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sheets/sheet16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7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Actuate e.Spreadsheet"/>
  <workbookPr codeName="ThisWorkbook"/>
  <bookViews>
    <workbookView xWindow="15" yWindow="1155" windowWidth="15975" windowHeight="7935" tabRatio="918"/>
  </bookViews>
  <sheets>
    <sheet name="Entity Information" sheetId="1" r:id="rId1"/>
    <sheet name="Input Sheet" sheetId="2" r:id="rId2" state="hidden"/>
    <sheet name="CVAR Adjustments" sheetId="3" r:id="rId3" state="hidden"/>
    <sheet name="Spread Risk" sheetId="4" r:id="rId4"/>
    <sheet name="Analysis Tab Spread Risk" sheetId="5" r:id="rId5"/>
    <sheet name="Position_Tab_Qual_Inf_Corp" sheetId="6" r:id="rId6"/>
    <sheet name="Position_Tab_Qual_Infrastr_Bond" sheetId="7" r:id="rId7"/>
    <sheet name="Position_Tab_Other Bond" sheetId="8" r:id="rId8"/>
    <sheet name="Position_Tab_Covered Bond" sheetId="9" r:id="rId9"/>
    <sheet name="Position_Tab_Non-EEA_Sover_Bond" sheetId="10" r:id="rId10"/>
    <sheet name="Position_Tab EEA Sovereign Bond" sheetId="11" r:id="rId11"/>
    <sheet name="Position_Tab_Supranational Bond" sheetId="12" r:id="rId12"/>
    <sheet name="Position_Tab_Local_Author_Bond" sheetId="13" r:id="rId13"/>
    <sheet name="Position_Tab_STS_Securities" sheetId="14" r:id="rId14"/>
    <sheet name="Position_Tab_Other_Securities" sheetId="15" r:id="rId15"/>
    <sheet name="Liabilities Input" sheetId="16" r:id="rId16"/>
    <sheet name="Liabilities Input Recon" sheetId="17" r:id="rId17"/>
    <sheet name="CSRFinput" sheetId="18" r:id="rId18"/>
    <sheet name="MappingTables" sheetId="19" r:id="rId19"/>
    <sheet name="ModelParameters" sheetId="20" r:id="rId20"/>
    <sheet name="Output Sheet" sheetId="21" r:id="rId21" state="hidden"/>
    <sheet name="Version" sheetId="22" r:id="rId22" state="hidden"/>
  </sheets>
  <definedNames>
    <definedName name="CB_CAP_CRG">'Position_Tab_Covered Bond'!$T$4:$T$52</definedName>
    <definedName name="CB_CAP_CRG_UL">'Position_Tab_Covered Bond'!$U$4:$U$52</definedName>
    <definedName name="CB_CATEGORY">'Position_Tab_Covered Bond'!$N$4:$N$52</definedName>
    <definedName name="CB_CQS">'Position_Tab_Covered Bond'!$J$4:$J$52</definedName>
    <definedName name="CB_EN">'Position_Tab_Covered Bond'!$E$4:$E$52</definedName>
    <definedName name="CB_LACTP">'Position_Tab_Covered Bond'!$W$4:$W$52</definedName>
    <definedName name="CB_LACTP_UL">'Position_Tab_Covered Bond'!$X$4:$X$52</definedName>
    <definedName name="CB_LOB_TYPE">'Position_Tab_Covered Bond'!$H$4:$H$52</definedName>
    <definedName name="CB_MV">'Position_Tab_Covered Bond'!$K$4:$K$52</definedName>
    <definedName name="CB_SUBEN">'Position_Tab_Covered Bond'!$F$4:$F$52</definedName>
    <definedName name="CSRF_ManAdj">'CVAR Adjustments'!$B$21:$G$31</definedName>
    <definedName name="CVAR_Input_Data">'Input Sheet'!$B$2:$I$4</definedName>
    <definedName name="DurClassMapping">MappingTables!$B$4:$E$8</definedName>
    <definedName name="EEA_CAP_CRG">'Position_Tab EEA Sovereign Bond'!$T$4:$T$53</definedName>
    <definedName name="EEA_CAP_CRG_UL">'Position_Tab EEA Sovereign Bond'!$U$4:$U$53</definedName>
    <definedName name="EEA_CATEGORY">'Position_Tab EEA Sovereign Bond'!$N$4:$N$53</definedName>
    <definedName name="EEA_CQS">'Position_Tab EEA Sovereign Bond'!$J$4:$J$53</definedName>
    <definedName name="EEA_EN">'Position_Tab EEA Sovereign Bond'!$E$4:$E$53</definedName>
    <definedName name="EEA_LACTP">'Position_Tab EEA Sovereign Bond'!$W$4:$W$53</definedName>
    <definedName name="EEA_LACTP_UL">'Position_Tab EEA Sovereign Bond'!$X$4:$X$53</definedName>
    <definedName name="EEA_LOB_TYPE">'Position_Tab EEA Sovereign Bond'!$H$4:$H$53</definedName>
    <definedName name="EEA_MV">'Position_Tab EEA Sovereign Bond'!$K$4:$K$53</definedName>
    <definedName name="EEA_SUBEN">'Position_Tab EEA Sovereign Bond'!$F$4:$F$53</definedName>
    <definedName name="LACTP_UL">Position_Tab_STS_Securities!$X$4:$X$118</definedName>
    <definedName name="LIB_BL">'Liabilities Input'!$G$4:$G$7</definedName>
    <definedName name="LIB_EN">'Liabilities Input'!$C$4:$C$7</definedName>
    <definedName name="LIB_NonSenior_STS">'Liabilities Input'!$T$4:$T$7</definedName>
    <definedName name="LIB_OtherSec">'Liabilities Input'!$U$4:$U$7</definedName>
    <definedName name="LIB_QIB">'Liabilities Input'!$H$4:$H$7</definedName>
    <definedName name="LIB_QIBOth">'Liabilities Input'!$J$4:$J$7</definedName>
    <definedName name="LIB_QICB">'Liabilities Input'!$I$4:$I$7</definedName>
    <definedName name="LIB_RES">'Liabilities Input'!$W$4:$W$7</definedName>
    <definedName name="LIB_Senior_STS">'Liabilities Input'!$S$4:$S$7</definedName>
    <definedName name="LIB_SP">'Liabilities Input'!$R$4:$R$7</definedName>
    <definedName name="LIB_SUBEN">'Liabilities Input'!$D$4:$D$7</definedName>
    <definedName name="LIB_T1">'Liabilities Input'!$V$4:$V$7</definedName>
    <definedName name="LIB_VAL">'Liabilities Input'!$F$4:$F$7</definedName>
    <definedName name="LOC_CAP_CRG">Position_Tab_Local_Author_Bond!$T$4:$T$13</definedName>
    <definedName name="LOC_CAP_CRG_UL">Position_Tab_Local_Author_Bond!$U$4:$U$13</definedName>
    <definedName name="LOC_CATEGORY">Position_Tab_Local_Author_Bond!$N$4:$N$13</definedName>
    <definedName name="LOC_CQS">Position_Tab_Local_Author_Bond!$J$4:$J$13</definedName>
    <definedName name="LOC_EN">Position_Tab_Local_Author_Bond!$E$4:$E$13</definedName>
    <definedName name="LOC_LACTP">Position_Tab_Local_Author_Bond!$W$4:$W$13</definedName>
    <definedName name="LOC_LACTP_UL">Position_Tab_Local_Author_Bond!$X$4:$X$13</definedName>
    <definedName name="LOC_LOB_TYPE">Position_Tab_Local_Author_Bond!$H$4:$H$13</definedName>
    <definedName name="LOC_MV">Position_Tab_Local_Author_Bond!$K$4:$K$13</definedName>
    <definedName name="LOC_SUBEN">Position_Tab_Local_Author_Bond!$F$4:$F$13</definedName>
    <definedName name="NEEA_CAP_CRG">'Position_Tab_Non-EEA_Sover_Bond'!$T$4:$T$89</definedName>
    <definedName name="NEEA_CAP_CRG_UL">'Position_Tab_Non-EEA_Sover_Bond'!$U$4:$U$89</definedName>
    <definedName name="NEEA_CATEGORY">'Position_Tab_Non-EEA_Sover_Bond'!$N$4:$N$89</definedName>
    <definedName name="NEEA_CQS">'Position_Tab_Non-EEA_Sover_Bond'!$J$4:$J$89</definedName>
    <definedName name="NEEA_EN">'Position_Tab_Non-EEA_Sover_Bond'!$E$4:$E$89</definedName>
    <definedName name="NEEA_LACTP">'Position_Tab_Non-EEA_Sover_Bond'!$W$4:$W$89</definedName>
    <definedName name="NEEA_LACTP_UL">'Position_Tab_Non-EEA_Sover_Bond'!$X$4:$X$89</definedName>
    <definedName name="NEEA_LOB_TYPE">'Position_Tab_Non-EEA_Sover_Bond'!$H$4:$H$89</definedName>
    <definedName name="NEEA_MV">'Position_Tab_Non-EEA_Sover_Bond'!$K$4:$K$89</definedName>
    <definedName name="NEEA_SUBEN">'Position_Tab_Non-EEA_Sover_Bond'!$F$4:$F$89</definedName>
    <definedName name="OB_CAP_CRG">'Position_Tab_Other Bond'!$T$4:$T$4517</definedName>
    <definedName name="OB_CAP_CRG_UL">'Position_Tab_Other Bond'!$U$4:$U$4517</definedName>
    <definedName name="OB_CATEGORY">'Position_Tab_Other Bond'!$N$4:$N$4517</definedName>
    <definedName name="OB_CQS">'Position_Tab_Other Bond'!$J$4:$J$4517</definedName>
    <definedName name="OB_EN">'Position_Tab_Other Bond'!$E$4:$E$4517</definedName>
    <definedName name="OB_LACTP">'Position_Tab_Other Bond'!$W$4:$W$4517</definedName>
    <definedName name="OB_LACTP_UL">'Position_Tab_Other Bond'!$X$4:$X$4517</definedName>
    <definedName name="OB_LOB_TYPE">'Position_Tab_Other Bond'!$H$4:$H$4517</definedName>
    <definedName name="OB_MV">'Position_Tab_Other Bond'!$K$4:$K$4517</definedName>
    <definedName name="OB_SUBEN">'Position_Tab_Other Bond'!$F$4:$F$4517</definedName>
    <definedName name="QIB_CAP_CRG">Position_Tab_Qual_Infrastr_Bond!$T$4:$T$5</definedName>
    <definedName name="QIB_CAP_CRG_UL">Position_Tab_Qual_Infrastr_Bond!$U$4:$U$5</definedName>
    <definedName name="QIB_CATEGORY">Position_Tab_Qual_Infrastr_Bond!$N$4:$N$5</definedName>
    <definedName name="QIB_CQS">Position_Tab_Qual_Infrastr_Bond!$J$4:$J$5</definedName>
    <definedName name="QIB_EN">Position_Tab_Qual_Infrastr_Bond!$E$4:$E$5</definedName>
    <definedName name="QIB_LACTP">Position_Tab_Qual_Infrastr_Bond!$W$4:$W$5</definedName>
    <definedName name="QIB_LACTP_UL">Position_Tab_Qual_Infrastr_Bond!$X$4:$X$5</definedName>
    <definedName name="QIB_LOB_TYPE">Position_Tab_Qual_Infrastr_Bond!$H$4:$H$5</definedName>
    <definedName name="QIB_MV">Position_Tab_Qual_Infrastr_Bond!$K$4:$K$5</definedName>
    <definedName name="QIB_SUBEN">Position_Tab_Qual_Infrastr_Bond!$F$4:$F$5</definedName>
    <definedName name="QICB_CAP_CRG">Position_Tab_Qual_Inf_Corp!$T$4:$T$5</definedName>
    <definedName name="QICB_CAP_CRG_UL">Position_Tab_Qual_Inf_Corp!$U$4:$U$5</definedName>
    <definedName name="QICB_CQS">Position_Tab_Qual_Inf_Corp!$J$4:$J$5</definedName>
    <definedName name="QICB_LACTP">Position_Tab_Qual_Inf_Corp!$W$4:$W$5</definedName>
    <definedName name="QICB_LACTP_UL">Position_Tab_Qual_Inf_Corp!$X$4:$X$5</definedName>
    <definedName name="QICB_LOB_TYPE">Position_Tab_Qual_Inf_Corp!$H$4:$H$5</definedName>
    <definedName name="QICB_MV">Position_Tab_Qual_Inf_Corp!$K$4:$K$5</definedName>
    <definedName name="QICB_SUBEN">Position_Tab_Qual_Inf_Corp!$F$4:$F$5</definedName>
    <definedName name="SP_ASSET_ID">Position_Tab_Other_Securities!$B$4:$B$2310</definedName>
    <definedName name="SP_CAP_CRG">Position_Tab_Other_Securities!$P$4:$P$2310</definedName>
    <definedName name="SP_CAP_CRG_UL">Position_Tab_Other_Securities!$Q$4:$Q$2310</definedName>
    <definedName name="SP_CATEGORY">Position_Tab_Other_Securities!$N$4:$N$2310</definedName>
    <definedName name="SP_CQS">Position_Tab_Other_Securities!$J$4:$J$2310</definedName>
    <definedName name="SP_EN">Position_Tab_Other_Securities!$E$4:$E$2310</definedName>
    <definedName name="SP_LACTP">Position_Tab_Other_Securities!$S$4:$S$2310</definedName>
    <definedName name="SP_LACTP_UL">Position_Tab_Other_Securities!$T$4:$T$2310</definedName>
    <definedName name="SP_LOB_TYPE">Position_Tab_Other_Securities!$H$4:$H$2310</definedName>
    <definedName name="SP_MV">Position_Tab_Other_Securities!$K$4:$K$2310</definedName>
    <definedName name="SP_SUBEN">Position_Tab_Other_Securities!$F$4:$F$2310</definedName>
    <definedName name="STS_ASSET_ID">Position_Tab_STS_Securities!$B$4:$B$118</definedName>
    <definedName name="STS_CAP_CRG">Position_Tab_STS_Securities!$T$4:$T$118</definedName>
    <definedName name="STS_CAP_CRG_UL">Position_Tab_STS_Securities!$U$4:$U$118</definedName>
    <definedName name="STS_CATEGORY">Position_Tab_STS_Securities!$N$4:$N$118</definedName>
    <definedName name="STS_CQS">Position_Tab_STS_Securities!$J$4:$J$118</definedName>
    <definedName name="STS_EN">Position_Tab_STS_Securities!$E$4:$E$118</definedName>
    <definedName name="STS_LACTP">Position_Tab_STS_Securities!$W$4:$W$118</definedName>
    <definedName name="STS_LACTP_UL">Position_Tab_STS_Securities!$X$4:$X$118</definedName>
    <definedName name="STS_LOB_TYPE">Position_Tab_STS_Securities!$H$4:$H$118</definedName>
    <definedName name="STS_MV">Position_Tab_STS_Securities!$K$4:$K$118</definedName>
    <definedName name="STS_SUBEN">Position_Tab_STS_Securities!$F$4:$F$118</definedName>
    <definedName name="SUP_CAP_CRG">'Position_Tab_Supranational Bond'!$T$4:$T$39</definedName>
    <definedName name="SUP_CAP_CRG_UL">'Position_Tab_Supranational Bond'!$U$4:$U$39</definedName>
    <definedName name="SUP_CATEGORY">'Position_Tab_Supranational Bond'!$N$4:$N$39</definedName>
    <definedName name="SUP_CQS">'Position_Tab_Supranational Bond'!$J$4:$J$39</definedName>
    <definedName name="SUP_EN">'Position_Tab_Supranational Bond'!$E$4:$E$39</definedName>
    <definedName name="SUP_LACTP">'Position_Tab_Supranational Bond'!$W$4:$W$39</definedName>
    <definedName name="SUP_LACTP_UL">'Position_Tab_Supranational Bond'!$X$4:$X$39</definedName>
    <definedName name="SUP_LOB_TYPE">'Position_Tab_Supranational Bond'!$H$4:$H$39</definedName>
    <definedName name="SUP_MV">'Position_Tab_Supranational Bond'!$K$4:$K$39</definedName>
    <definedName name="SUP_SUBEN">'Position_Tab_Supranational Bond'!$F$4:$F$39</definedName>
  </definedNames>
  <calcPr calcId="125725"/>
</workbook>
</file>

<file path=xl/sharedStrings.xml><?xml version="1.0" encoding="utf-8"?>
<sst xmlns="http://schemas.openxmlformats.org/spreadsheetml/2006/main" count="78714" uniqueCount="5420">
  <si>
    <t>Solo Node</t>
  </si>
  <si>
    <t>RC630</t>
  </si>
  <si>
    <t>Legend</t>
  </si>
  <si>
    <t>Description</t>
  </si>
  <si>
    <t>Allianz Life Luxembourg_S</t>
  </si>
  <si>
    <t>Main results</t>
  </si>
  <si>
    <t>Model Status</t>
  </si>
  <si>
    <t>SM</t>
  </si>
  <si>
    <t>Intermediate calculations/mappings</t>
  </si>
  <si>
    <t>Level name</t>
  </si>
  <si>
    <t>Solo</t>
  </si>
  <si>
    <t>Data automatically populated from outside of this data item</t>
  </si>
  <si>
    <t>Segment</t>
  </si>
  <si>
    <t>Life</t>
  </si>
  <si>
    <t>Data which needs to be provided manually</t>
  </si>
  <si>
    <t>Reporting Currency</t>
  </si>
  <si>
    <t>EUR</t>
  </si>
  <si>
    <t>Subentity Level</t>
  </si>
  <si>
    <t xml:space="preserve">RFF type </t>
  </si>
  <si>
    <t>Lookup Value</t>
  </si>
  <si>
    <t>Subentity</t>
  </si>
  <si>
    <t>key ID Data Item</t>
  </si>
  <si>
    <t>key ID Data Category</t>
  </si>
  <si>
    <t>key ID Row</t>
  </si>
  <si>
    <t>key ID Column</t>
  </si>
  <si>
    <t>Text value</t>
  </si>
  <si>
    <t>Value</t>
  </si>
  <si>
    <t>Market risk</t>
  </si>
  <si>
    <t>Spread risk</t>
  </si>
  <si>
    <t>CVARBL_DecAftNetAsst</t>
  </si>
  <si>
    <t>bonds</t>
  </si>
  <si>
    <t>delta asset value after shock</t>
  </si>
  <si>
    <t>CVARBL_DecAftGroLib</t>
  </si>
  <si>
    <t>delta liability value after shock (gross)</t>
  </si>
  <si>
    <t>CVARBL_DecAftNetLib</t>
  </si>
  <si>
    <t>delta liability value after shock (net)</t>
  </si>
  <si>
    <t>CVARBLQI_DecAftNetAsst</t>
  </si>
  <si>
    <t>bonds and loans
(qualifying investment infrastructure)</t>
  </si>
  <si>
    <t>CVARBLQI_DecAftGroLib</t>
  </si>
  <si>
    <t>CVARBLQI_DecAftNetLib</t>
  </si>
  <si>
    <t>CVARBLoQI_DecAftNetAsst</t>
  </si>
  <si>
    <t>bonds and loans
(other than qualifying investment infrastructure)</t>
  </si>
  <si>
    <t>CVARBLoQI_DecAftGroLib</t>
  </si>
  <si>
    <t>CVARBLoQI_DecAftNetLib</t>
  </si>
  <si>
    <t>CVARSP_DecAftNetAsst</t>
  </si>
  <si>
    <t>securitisations</t>
  </si>
  <si>
    <t>CVARSP_DecAftGroLib</t>
  </si>
  <si>
    <t>CVARSP_DecAftNetLib</t>
  </si>
  <si>
    <t>Credit Spread Relief Factor (Manual Adjustment)</t>
  </si>
  <si>
    <t>Fund/Lob Name</t>
  </si>
  <si>
    <t>Credit Spread Relief Factor (Manual)</t>
  </si>
  <si>
    <t>Credit Spread Relief Factor (Actual)</t>
  </si>
  <si>
    <t>LU0003_ANN</t>
  </si>
  <si>
    <t>LU0003_Fund_dummy</t>
  </si>
  <si>
    <t>LU0003_CDFIN</t>
  </si>
  <si>
    <t>LU0003_LXCLA</t>
  </si>
  <si>
    <t>LU0003_AZFR</t>
  </si>
  <si>
    <t>LU0003_UL</t>
  </si>
  <si>
    <t>LU0003_LXFP</t>
  </si>
  <si>
    <t>LU0003_LXCLAWOPB</t>
  </si>
  <si>
    <t>LU0003_exNemian</t>
  </si>
  <si>
    <t>LU0003_LXEUR</t>
  </si>
  <si>
    <t>Output Id</t>
  </si>
  <si>
    <t>Sub-module</t>
  </si>
  <si>
    <t>Category</t>
  </si>
  <si>
    <t>Scenario</t>
  </si>
  <si>
    <t>Value type</t>
  </si>
  <si>
    <t>BL_BefAsst</t>
  </si>
  <si>
    <t>Loans and Bonds</t>
  </si>
  <si>
    <t>initial</t>
  </si>
  <si>
    <t>asset value before shock</t>
  </si>
  <si>
    <t>BL_BefLib</t>
  </si>
  <si>
    <t>liability value before shock</t>
  </si>
  <si>
    <t>BL_DecAftNetAsst</t>
  </si>
  <si>
    <t>decrease</t>
  </si>
  <si>
    <t>BL_DecAftGroLib</t>
  </si>
  <si>
    <t>BL_DecAftNetLib</t>
  </si>
  <si>
    <t>BLQIC_BefAsst</t>
  </si>
  <si>
    <t>BLQIC_BefLib</t>
  </si>
  <si>
    <t>(qualifying infrastructure corporate investment)</t>
  </si>
  <si>
    <t>BLQIC_DecAftNetAsst</t>
  </si>
  <si>
    <t>BLQIC_DecAftGroLib</t>
  </si>
  <si>
    <t>BLQIC_DecAftNetLib</t>
  </si>
  <si>
    <t>BLQI_BefAsst</t>
  </si>
  <si>
    <t>BLQI_BefLib</t>
  </si>
  <si>
    <t>(qualifying investment infrastructure other than infrastructure corporate)</t>
  </si>
  <si>
    <t>BLQI_DecAftNetAsst</t>
  </si>
  <si>
    <t>BLQI_DecAftGroLib</t>
  </si>
  <si>
    <t>BLQI_DecAftNetLib</t>
  </si>
  <si>
    <t>BLoQI_BefAsst</t>
  </si>
  <si>
    <t>BLoQI_BefLib</t>
  </si>
  <si>
    <t>(other than qualifying investment infrastructure and infrastructure corporate)</t>
  </si>
  <si>
    <t>BLoQI_DecAftNetAsst</t>
  </si>
  <si>
    <t>BLoQI_DecAftGroLib</t>
  </si>
  <si>
    <t>BLoQI_DecAftNetLib</t>
  </si>
  <si>
    <t>SP_BefAsst</t>
  </si>
  <si>
    <t>Securitisation positions</t>
  </si>
  <si>
    <t>SP_BefLib</t>
  </si>
  <si>
    <t>SP_DecAftNetAsst</t>
  </si>
  <si>
    <t>SP_DecAftGroLib</t>
  </si>
  <si>
    <t>SP_DecAftNetLib</t>
  </si>
  <si>
    <t>SenSTS_BefAsst</t>
  </si>
  <si>
    <t>Senior STS Securitisation</t>
  </si>
  <si>
    <t>SenSTS_BefLib</t>
  </si>
  <si>
    <t>SenSTS_DecAftNetAsst</t>
  </si>
  <si>
    <t>SenSTS_DecAftGroLib</t>
  </si>
  <si>
    <t>SenSTS_DecAftNetLib</t>
  </si>
  <si>
    <t>NonSenSTS_BefAsst</t>
  </si>
  <si>
    <t>Non-Senior STS Securitisation</t>
  </si>
  <si>
    <t>NonSenSTS_BefLib</t>
  </si>
  <si>
    <t>NonSenSTS_DecAftNetAsst</t>
  </si>
  <si>
    <t>NonSenSTS_DecAftGroLib</t>
  </si>
  <si>
    <t>NonSenSTS_DecAftNetLib</t>
  </si>
  <si>
    <t>OtherSec_BefAsst</t>
  </si>
  <si>
    <t>Other Securitisation</t>
  </si>
  <si>
    <t>OtherSec_BefLib</t>
  </si>
  <si>
    <t>OtherSec_DecAftNetAsst</t>
  </si>
  <si>
    <t>OtherSec_DecAftGroLib</t>
  </si>
  <si>
    <t>OtherSec_DecAftNetLib</t>
  </si>
  <si>
    <t>REC_BefAsst</t>
  </si>
  <si>
    <t>Resecuritisations</t>
  </si>
  <si>
    <t>REC_BefLib</t>
  </si>
  <si>
    <t>REC_DecAftNetAsst</t>
  </si>
  <si>
    <t>REC_DecAftGroLib</t>
  </si>
  <si>
    <t>REC_DecAftNetLib</t>
  </si>
  <si>
    <t>T1S_BefAsst</t>
  </si>
  <si>
    <t>Type 1 securitisations</t>
  </si>
  <si>
    <t>T1S_BefLib</t>
  </si>
  <si>
    <t>T1S_DecAftNetAsst</t>
  </si>
  <si>
    <t>T1S_DecAftGroLib</t>
  </si>
  <si>
    <t>T1S_DecAftNetLib</t>
  </si>
  <si>
    <t>Helper Tab Spread Risk calculation - Bonds &amp; Tradable securities or other financial instruments based on repackaged loans</t>
  </si>
  <si>
    <t>SCR for Bonds and tradable securities</t>
  </si>
  <si>
    <t>Mktspbonds</t>
  </si>
  <si>
    <t>Mktspts</t>
  </si>
  <si>
    <t>Loss Absorbing Capacity of Technical Provisions</t>
  </si>
  <si>
    <t>nMktspbonds</t>
  </si>
  <si>
    <t>nMktspts</t>
  </si>
  <si>
    <t>Mktspbonds UL</t>
  </si>
  <si>
    <t>Mktspts UL</t>
  </si>
  <si>
    <t>Loss Absorbing Capacity of Technical Provisions UL (MG impact)</t>
  </si>
  <si>
    <t>Other Bond</t>
  </si>
  <si>
    <t>SMVi per Credit Quality Step</t>
  </si>
  <si>
    <t>Capital Charge per Credit Quality Step</t>
  </si>
  <si>
    <t>Of which UL</t>
  </si>
  <si>
    <t>LAC of TP per Credit Quality Step</t>
  </si>
  <si>
    <t>unrated</t>
  </si>
  <si>
    <t>Covered Bond</t>
  </si>
  <si>
    <t>Non-EEA Sovereign Bond</t>
  </si>
  <si>
    <t>Qualifying Infrastructure Corporate Bond</t>
  </si>
  <si>
    <t>Qualifying Infrastructure Bond</t>
  </si>
  <si>
    <t>EEA Sovereign Bond</t>
  </si>
  <si>
    <t>Supranational Bond</t>
  </si>
  <si>
    <t>Local Authority Bond</t>
  </si>
  <si>
    <t>Securities</t>
  </si>
  <si>
    <t>Asset ID</t>
  </si>
  <si>
    <t>Asset Name</t>
  </si>
  <si>
    <t>Entity Code</t>
  </si>
  <si>
    <t>SubEntity Code</t>
  </si>
  <si>
    <t>Fund/LoB Name</t>
  </si>
  <si>
    <t>Fund/LoB Type</t>
  </si>
  <si>
    <t>Rating</t>
  </si>
  <si>
    <t>Credit Quality Step</t>
  </si>
  <si>
    <t>Market Value (MVi)</t>
  </si>
  <si>
    <t>Modified Duration</t>
  </si>
  <si>
    <t>Duration</t>
  </si>
  <si>
    <t>Duration Class</t>
  </si>
  <si>
    <t>Corrected Duration</t>
  </si>
  <si>
    <t>Multiplication Factor</t>
  </si>
  <si>
    <t>Step Up Factor</t>
  </si>
  <si>
    <t>F(Rating, Duration)</t>
  </si>
  <si>
    <t>Capital Charge</t>
  </si>
  <si>
    <t>Capital Charge UL</t>
  </si>
  <si>
    <t>Credit Spread Relief Factor</t>
  </si>
  <si>
    <t>LAC of TP</t>
  </si>
  <si>
    <t>LAC of TP UL</t>
  </si>
  <si>
    <t>Qualifying Infrastructure Bond Other Than Corporate</t>
  </si>
  <si>
    <t>FORD MOTOR CREDIT CO LLC FIX 5.125% 16.06.2025_20993767</t>
  </si>
  <si>
    <t>PROFIT_PART</t>
  </si>
  <si>
    <t>BB</t>
  </si>
  <si>
    <t>UNICREDIT SPA EMTN CONV FIX TO FLOAT 6.750% 10.03.2198_7505292</t>
  </si>
  <si>
    <t>BBB</t>
  </si>
  <si>
    <t>24748968_LU0003_LU0003_LXEUR</t>
  </si>
  <si>
    <t>LU0003 ENERGIZER GAMMA ACQ BV SR UNSEC BP9956718_IE00BK9YL094_EUR LU0003_LXEUR_24748968_LU0003_LU0003_LXEUR</t>
  </si>
  <si>
    <t>B</t>
  </si>
  <si>
    <t>ENERGY TRANSFER LP FIX 6.625% 15.10.2036_556907</t>
  </si>
  <si>
    <t>25094361_LU0003_LU0003_LXEUR</t>
  </si>
  <si>
    <t>LU0003 IND &amp; COMM BK CHINA/SG ZS1854950_IE00B5ZR2157_EUR LU0003_LXEUR_25094361_LU0003_LU0003_LXEUR</t>
  </si>
  <si>
    <t>A</t>
  </si>
  <si>
    <t>DEUTSCHE BANK AG EMTN FIX 3.875% 12.02.2024_16637778</t>
  </si>
  <si>
    <t>22623432_LU0003_LU0003_LXEUR</t>
  </si>
  <si>
    <t>LU0003 CREDIT SUISSE AG UNSEC REGS EJ7790151_IE00B0C18065_USD LU0003_LXEUR_22623432_LU0003_LU0003_LXEUR</t>
  </si>
  <si>
    <t>CPI PROPERTY GROUP SA . PERP FIX TO FLOAT 4.875% 16.11.2198_21722265</t>
  </si>
  <si>
    <t>BOC AVIATION LTD REGS FIX 2.750% 18.09.2022_13093828</t>
  </si>
  <si>
    <t>KAISA GROUP HOLDINGS LTD FIX 11.250% 16.04.2025_21236160</t>
  </si>
  <si>
    <t>STANDARD CHARTERED PLC 144A FIX TO FLOAT 2.744% 10.09.2022_18668444</t>
  </si>
  <si>
    <t>ABERTIS INFRAESTRUCTURAS EMTN FIX 3.375% 27.11.2026_17166420</t>
  </si>
  <si>
    <t>1MDB GLOBAL INVESTMENTS REGS FIX 4.400% 09.03.2023_4992247</t>
  </si>
  <si>
    <t>NR</t>
  </si>
  <si>
    <t>SOUTHERN CAL EDISON J MBS FIX 0.700% 01.08.2023_24931064</t>
  </si>
  <si>
    <t>PARK AEROSPACE HOLDINGS 144A FIX 5.250% 15.08.2022_11864945</t>
  </si>
  <si>
    <t>NATIONWIDE BLDG SOCIETY 144A FIX 0.550% 22.01.2024_22857467</t>
  </si>
  <si>
    <t>ISLAMIC REP OF PAKISTAN REGS FIX 8.250% 30.09.2025_9338568</t>
  </si>
  <si>
    <t>REPUBLIC OF SRI LANKA REGS FIX 7.550% 28.03.2030_17858542</t>
  </si>
  <si>
    <t>CCC</t>
  </si>
  <si>
    <t>CIFI HOLDINGS GROUP FIX 6.450% 07.11.2024_19012867</t>
  </si>
  <si>
    <t>UNICREDIT SPA 144A VAR 14.01.2022_16199153</t>
  </si>
  <si>
    <t>22554244_LU0003_LU0003_LXEUR</t>
  </si>
  <si>
    <t>LU0003 GENERAL ELECTRIC CO EMTN 36962G9H9_IE00B0C18065_GBP LU0003_LXEUR_22554244_LU0003_LU0003_LXEUR</t>
  </si>
  <si>
    <t>22554347_LU0003_LU0003_LXEUR</t>
  </si>
  <si>
    <t>LU0003 GENERAL ELECTRIC CO SR UNSEC EMTN 3696229D9_IE00B0C18065_GBP LU0003_LXEUR_22554347_LU0003_LU0003_LXEUR</t>
  </si>
  <si>
    <t>17619775_LU0003_LU0003_LXEUR</t>
  </si>
  <si>
    <t>LU0003 SBERBANK (SB CAP SA) LPN REGS 0543959C4_IE00B3D1YW09_USD LU0003_LXEUR_17619775_LU0003_LU0003_LXEUR</t>
  </si>
  <si>
    <t>BANK OF AMERICA CORP MTN VAR 21.10.2022_11442823</t>
  </si>
  <si>
    <t>DEUTSCHE BANK AG EMTN FIX TO FLOAT 1.000% 19.11.2025_22214086</t>
  </si>
  <si>
    <t>FREDDIE MAC FIX 0.800% 28.10.2026_22078684</t>
  </si>
  <si>
    <t>AAA</t>
  </si>
  <si>
    <t>PETROLEOS MEXICANOS FIX 5.950% 28.01.2031_22106687</t>
  </si>
  <si>
    <t>23531137_LU0003_LU0003_LXEUR</t>
  </si>
  <si>
    <t>LU0003 MDGH-GMTN BV SR UNSEC REGS 44985G9G8__USD LU0003_LXEUR_23531137_LU0003_LU0003_LXEUR</t>
  </si>
  <si>
    <t>AA</t>
  </si>
  <si>
    <t>22927459_LU0003_LU0003_LXEUR</t>
  </si>
  <si>
    <t>LU0003 GOLDMAN SACHS GROUP INC FRN VAR 09.12.2026 LU0003_LXEUR_22927459_LU0003_LU0003_LXEUR</t>
  </si>
  <si>
    <t>22623421_LU0003_LU0003_LXEUR</t>
  </si>
  <si>
    <t>LU0003 NN GROUP NV SUB EK3730190_IE00B0C18065_EUR LU0003_LXEUR_22623421_LU0003_LU0003_LXEUR</t>
  </si>
  <si>
    <t>VOLKSWAGEN FIN SERV AG EMTN FIX 0.750% 14.10.2021_8584176</t>
  </si>
  <si>
    <t>CPI PROPERTY GROUP SA FIX 4.750% 08.03.2023_17056008</t>
  </si>
  <si>
    <t>BARCLAYS PLC EMTN FIX 3.250% 12.02.2027_11009660</t>
  </si>
  <si>
    <t>25428022_LU0003_LU0003_LXEUR</t>
  </si>
  <si>
    <t>LU0003 HANSOH PHARMACEUTICAL BN4199764_IE00B464Q616_USD LU0003_LXEUR_25428022_LU0003_LU0003_LXEUR</t>
  </si>
  <si>
    <t>22623431_LU0003_LU0003_LXEUR</t>
  </si>
  <si>
    <t>LU0003 UBS AG JR SUB COCO EK2649458_IE00B0C18065_USD LU0003_LXEUR_22623431_LU0003_LU0003_LXEUR</t>
  </si>
  <si>
    <t>24139303_LU0003_LU0003_LXEUR</t>
  </si>
  <si>
    <t>LU0003 HUARONG FINANCE 2017 CO SR UNSEC AP6228310_IE00B464Q616_USD LU0003_LXEUR_24139303_LU0003_LU0003_LXEUR</t>
  </si>
  <si>
    <t>GREENKO SOLAR MAURITIUS REGS FIX 5.950% 29.07.2026_18051828</t>
  </si>
  <si>
    <t>VERISURE MIDHOLDING AB REGS FIX 5.250% 15.02.2029_22865681</t>
  </si>
  <si>
    <t>UNITED MEXICAN STATES FIX 3.771% 24.05.2061_22264581</t>
  </si>
  <si>
    <t>BANCA MONTE DEI PASCHI S EMTN FIX TO FLOAT 5.375% 18.01.2028_13724713</t>
  </si>
  <si>
    <t>AGILE GROUP HOLDINGS LTD PERP FIX TO FLOAT 7.875% 31.01.2198_18992190</t>
  </si>
  <si>
    <t>24139213_LU0003_LU0003_LXEUR</t>
  </si>
  <si>
    <t>LU0003 INTRUM AB SR UNSEC REGS BK6354447_IE00BK9YL094_EUR LU0003_LXEUR_24139213_LU0003_LU0003_LXEUR</t>
  </si>
  <si>
    <t>NEXTERA ENERGY CAPITAL FIX 2.900% 01.04.2022_17246494</t>
  </si>
  <si>
    <t>PROSUS NV REGS FIX 3.832% 08.02.2051_22387309</t>
  </si>
  <si>
    <t>VOLKSWAGEN GROUP AMERICA 144A VAR 12.11.2021_15775331</t>
  </si>
  <si>
    <t>MILEAGE PLUS HLDINGS LLC 144A FIX 6.500% 20.06.2027_21073867</t>
  </si>
  <si>
    <t>PETROLEOS MEXICANOS FIX 6.875% 04.08.2026_11879433</t>
  </si>
  <si>
    <t>WYNN MACAU LTD REGS FIX 5.625% 26.08.2028_21792759</t>
  </si>
  <si>
    <t>BOEING CO FIX 2.350% 30.10.2021_7745746</t>
  </si>
  <si>
    <t>SANTANDER UK GROUP HLDGS FIX TO FLOAT 1.089% 15.03.2025_23455190</t>
  </si>
  <si>
    <t>REPUBLIC OF INDONESIA REGS FIX 2.625% 14.06.2023_10660661</t>
  </si>
  <si>
    <t>25428060_LU0003_LU0003_LXEUR</t>
  </si>
  <si>
    <t>LU0003 GENM CAPITAL LABUAN SMR BP0464803_IE00B464Q616_USD LU0003_LXEUR_25428060_LU0003_LU0003_LXEUR</t>
  </si>
  <si>
    <t>MITSUBISHI UFJ FIN GRP FIX TO FLOAT 0.848% 15.09.2024_21719480</t>
  </si>
  <si>
    <t>19990932_LU0003_LU0003_LXEUR</t>
  </si>
  <si>
    <t>LU0003 FRONT RANGE BIDC 21.02.2027 US98919XAC56 LU0003_LXEUR_19990932_LU0003_LU0003_LXEUR</t>
  </si>
  <si>
    <t>24394882_LU0003_LU0003_LXEUR</t>
  </si>
  <si>
    <t>LU0003 UNIVERSE TREK LTD SR UNSEC BP8223425__USD LU0003_LXEUR_24394882_LU0003_LU0003_LXEUR</t>
  </si>
  <si>
    <t>GAIF BOND ISSUER P/L MTN FIX 1.900% 14.12.2028_22406780</t>
  </si>
  <si>
    <t>22623399_LU0003_LU0003_LXEUR</t>
  </si>
  <si>
    <t>LU0003 DORIC NIMROD AIR 2012-1A 144A 258258AA0_IE00B0C18065_USD LU0003_LXEUR_22623399_LU0003_LU0003_LXEUR</t>
  </si>
  <si>
    <t>KOREA DEVELOPMENT BANK GMTN VAR 30.10.2022_13483958</t>
  </si>
  <si>
    <t>FORD MOTOR CREDIT CO LLC FIX 2.979% 03.08.2022_12827546</t>
  </si>
  <si>
    <t>NGPL PIPECO LLC 144A FIX 7.768% 15.12.2037_884301</t>
  </si>
  <si>
    <t>SPIRIT REALTY LP FIX 4.000% 15.07.2029_17838079</t>
  </si>
  <si>
    <t>SUMITOMO MITSUI FINL GRP VAR 19.10.2021_11354555</t>
  </si>
  <si>
    <t>FORD MOTOR CREDIT CO LLC GMTN FIX 4.389% 08.01.2026_9791305</t>
  </si>
  <si>
    <t>BANIJAY ENTERTAINMENT REGS FIX 3.500% 01.03.2025_19746433</t>
  </si>
  <si>
    <t>22623391_LU0003_LU0003_LXEUR</t>
  </si>
  <si>
    <t>LU0003 GAZPROM NEFT LPN SR UNSEC REGS EJ9515473_IE00B0C18065_USD LU0003_LXEUR_22623391_LU0003_LU0003_LXEUR</t>
  </si>
  <si>
    <t>25428214_LU0003_LU0003_LXEUR</t>
  </si>
  <si>
    <t>LU0003 EUROFINS SCIENTIFIC SE SR UNSEC AO3855738_IE00B5ZR2157_EUR LU0003_LXEUR_25428214_LU0003_LU0003_LXEUR</t>
  </si>
  <si>
    <t>PNC BANK NA BKNT VAR 24.02.2023_19929932</t>
  </si>
  <si>
    <t>HSBC HOLDINGS PLC FIX TO FLOAT 2.099% 04.06.2026_20813003</t>
  </si>
  <si>
    <t>WELLS FARGO BANK NA BKNT VAR 09.09.2022_18812113</t>
  </si>
  <si>
    <t>OCCIDENTAL PETROLEUM COR FIX 4.400% 15.08.2049_18154855</t>
  </si>
  <si>
    <t>DAIMLER FINANCE NA LLC 144A VAR 04.05.2023_14742713</t>
  </si>
  <si>
    <t>KDB LIFE INSURANCE CO LT PERP FIX TO FLOAT 7.500% 21.11.2198_14954232</t>
  </si>
  <si>
    <t>INTERNATIONAL GAME TECH REGS FIX 2.375% 15.04.2028_18676472</t>
  </si>
  <si>
    <t>ENERGY TRANSFER LP FIX 6.100% 15.02.2042_3092976</t>
  </si>
  <si>
    <t>23914614_LU0003_LU0003_LXEUR</t>
  </si>
  <si>
    <t>LU0003 E.ON SE SR UNSEC ZQ1737951_IE00B5ZR2157_EUR LU0003_LXEUR_23914614_LU0003_LU0003_LXEUR</t>
  </si>
  <si>
    <t>FMS WERTMANAGEMENT EMTN FIX 0.275% 28.07.2022_21365025</t>
  </si>
  <si>
    <t>13265705_LU0003_LU0003_LXFP</t>
  </si>
  <si>
    <t>LU0003 IDINVEST PARTNERS IPD IV LU0003_LXFP_13265705_LU0003_LU0003_LXFP</t>
  </si>
  <si>
    <t>OTHER_LIFE</t>
  </si>
  <si>
    <t>AERCAP IRELAND CAP/GLOBA FIX 4.450% 01.10.2025_15276134</t>
  </si>
  <si>
    <t>AIA GROUP LTD 144A FIX 3.375% 07.04.2030_20243725</t>
  </si>
  <si>
    <t>24395129_LU0003_LU0003_LXEUR</t>
  </si>
  <si>
    <t>LU0003 STUDIO CITY FINANCE LTD SR UNSEC REGS BK4197954_IE00BGSXQQ02_USD LU0003_LXEUR_24395129_LU0003_LU0003_LXEUR</t>
  </si>
  <si>
    <t>ALTICE FRANCE HOLDING SA REGS FIX 8.000% 15.05.2027_20693891</t>
  </si>
  <si>
    <t>PT PERTAMINA (PERSERO) REGS FIX 6.500% 07.11.2048_15709649</t>
  </si>
  <si>
    <t>WOODSIDE FINANCE LTD 144A FIX 4.500% 04.03.2029_17000742</t>
  </si>
  <si>
    <t>24395188_LU0003_LU0003_LXEUR</t>
  </si>
  <si>
    <t>LU0003 CASINO GUICHARD PERRACHO EK6370994_IE00BK9YL094_EUR LU0003_LXEUR_24395188_LU0003_LU0003_LXEUR</t>
  </si>
  <si>
    <t>GAZPROM (GAZ CAPITAL SA) FIX 4.250% 06.04.2024_12187816</t>
  </si>
  <si>
    <t>FORD MOTOR CREDIT CO LLC FIX 3.664% 08.09.2024_7514613</t>
  </si>
  <si>
    <t>25428148_LU0003_LU0003_LXEUR</t>
  </si>
  <si>
    <t>LU0003 CITIGROUP INC SR UNSEC AW7707176_IE00B5ZR2157_GBP LU0003_LXEUR_25428148_LU0003_LU0003_LXEUR</t>
  </si>
  <si>
    <t>INTESA SANPAOLO SPA XR FIX 3.250% 23.09.2024_18718604</t>
  </si>
  <si>
    <t>BAT CAPITAL CORP VAR 15.08.2022_15851015</t>
  </si>
  <si>
    <t>SFIL SA EMTN FIX 2.625% 25.04.2022_17400151</t>
  </si>
  <si>
    <t>SANTANDER UK GROUP HLDGS EMTN VAR 18.05.2023_12495004</t>
  </si>
  <si>
    <t>ARAB REPUBLIC OF EGYPT REGS FIX 5.625% 16.04.2030_14519212</t>
  </si>
  <si>
    <t>BNP PARIBAS EMTN VAR 22.09.2022_12122770</t>
  </si>
  <si>
    <t>MUTHOOT FINANCE LTD 144A FIX 4.400% 02.09.2023_19854528</t>
  </si>
  <si>
    <t>24139385_LU0003_LU0003_LXEUR</t>
  </si>
  <si>
    <t>LU0003 NEINOR HOMES SLU SR SEC REGS BP0492358_IE00BK9YL094_EUR LU0003_LXEUR_24139385_LU0003_LU0003_LXEUR</t>
  </si>
  <si>
    <t>REPUBLIC OF INDONESIA REGS FIX 2.150% 18.07.2024_12767430</t>
  </si>
  <si>
    <t>INDIA GREEN POWER HOLD 144A FIX 4.000% 22.02.2027_23353688</t>
  </si>
  <si>
    <t>NISSAN MOTOR ACCEPTANCE 144A FIX 2.800% 13.01.2022_11821210</t>
  </si>
  <si>
    <t>LAS VEGAS SANDS CORP FIX 3.500% 18.08.2026_18085384</t>
  </si>
  <si>
    <t>FEDERAL HOME LOAN BANK FIX 1.110% 27.07.2026_24696645</t>
  </si>
  <si>
    <t>FEDERAL HOME LOAN BANK FIX 0.680% 24.02.2026_23237421</t>
  </si>
  <si>
    <t>BMW US CAPITAL LLC 144A FIX 2.950% 14.04.2022_17418008</t>
  </si>
  <si>
    <t>23654822_LU0003_LU0003_LXEUR</t>
  </si>
  <si>
    <t>LU0003 HYUNDAI CAPITAL AMERICA 144A FIX 0.800% 03.04.2023 LU0003_LXEUR_23654822_LU0003_LU0003_LXEUR</t>
  </si>
  <si>
    <t>MINERAL RESOURCES LTD 144A FIX 8.125% 01.05.2027_17388192</t>
  </si>
  <si>
    <t>24395103_LU0003_LU0003_LXEUR</t>
  </si>
  <si>
    <t>LU0003 AEDAS HOMES OPCO SLU SEC REGS BP4717412_IE00BK9YL094_EUR LU0003_LXEUR_24395103_LU0003_LU0003_LXEUR</t>
  </si>
  <si>
    <t>AMERICAN TOWER CORP FIX 4.700% 15.03.2022_3767589</t>
  </si>
  <si>
    <t>BOC AVIATION USA CORP 144A FIX 1.625% 29.04.2024_23936141</t>
  </si>
  <si>
    <t>NEW METRO GLOBAL LTD FIX 4.800% 15.12.2024_22469147</t>
  </si>
  <si>
    <t>EASY TACTIC LTD FIX 11.625% 03.09.2024_23528331</t>
  </si>
  <si>
    <t>7-ELEVEN INC 144A FIX 0.800% 10.02.2024_23061859</t>
  </si>
  <si>
    <t>BOSTON SCIENTIFIC CORP FIX 3.375% 15.05.2022_8749137</t>
  </si>
  <si>
    <t>BANGKOK BANK PCL/HK REGS FIX 4.450% 19.09.2028_15445565</t>
  </si>
  <si>
    <t>18746247_LU0003_LU0003_LXEUR</t>
  </si>
  <si>
    <t>LU0003 GENERAL ELECTRIC CO SR UNSEC AN5492805_IE0033386453_EUR LU0003_LXEUR_18746247_LU0003_LU0003_LXEUR</t>
  </si>
  <si>
    <t>25094508_LU0003_LU0003_LXEUR</t>
  </si>
  <si>
    <t>LU0003 LOXAM SAS SR SUB REGS ZS0273574_IE00BK9YL094_EUR LU0003_LXEUR_25094508_LU0003_LU0003_LXEUR</t>
  </si>
  <si>
    <t>NATWEST MARKETS PLC EMTN FIX 0.625% 02.03.2022_14276868</t>
  </si>
  <si>
    <t>23914496_LU0003_LU0003_LXEUR</t>
  </si>
  <si>
    <t>LU0003 LENDLEASE FINANCE LTD BO6547653_IE00B464Q616_AUD LU0003_LXEUR_23914496_LU0003_LU0003_LXEUR</t>
  </si>
  <si>
    <t>SMC GLOBAL POWER HLDGS PERP FIX TO FLOAT 6.500% 25.10.2198_17407831</t>
  </si>
  <si>
    <t>ZHENRO PROPERTIES GROUP FIX 9.150% 06.05.2023_19132588</t>
  </si>
  <si>
    <t>SBB TREASURY OYJ EMTN VAR 01.02.2023_22948279</t>
  </si>
  <si>
    <t>CITIGROUP INC VAR 01.09.2023_11063578</t>
  </si>
  <si>
    <t>25428082_LU0003_LU0003_LXEUR</t>
  </si>
  <si>
    <t>LU0003 PURE FINANCE SA REGS PPEE2YAP1_IE00B5ZR2157_EUR LU0003_LXEUR_25428082_LU0003_LU0003_LXEUR</t>
  </si>
  <si>
    <t>CHESAPEAKE ENERGY CORP 144A FIX 5.500% 01.02.2026_23127282</t>
  </si>
  <si>
    <t>MPT OPER PARTNERSP/FINL FIX 3.692% 05.06.2028_19178600</t>
  </si>
  <si>
    <t>AT&amp;T INC VAR 15.02.2023_16092812</t>
  </si>
  <si>
    <t>EPR PROPERTIES FIX 3.750% 15.08.2029_18173009</t>
  </si>
  <si>
    <t>TAKEDA PHARMACEUTICAL REGS VAR 21.11.2022_15815020</t>
  </si>
  <si>
    <t>ABERTIS INFRAESTRUCTURAS EMTN FIX 1.625% 15.07.2029_17921546</t>
  </si>
  <si>
    <t>SYNGENTA FINANCE NV EMTN FIX 1.875% 02.11.2021_6839913</t>
  </si>
  <si>
    <t>NISSAN MOTOR ACCEPTANCE REGS VAR 13.01.2022_22554485</t>
  </si>
  <si>
    <t>DEVELOPMENT BK OF JAPAN REGS FIX 2.125% 01.09.2022_22062088</t>
  </si>
  <si>
    <t>TOLL BROS FINANCE CORP FIX 4.875% 15.03.2027_12081610</t>
  </si>
  <si>
    <t>GREENKO SOLAR MAURITIUS 144A FIX 5.950% 29.07.2026_18055745</t>
  </si>
  <si>
    <t>TOKYO METROPOLITAN GOVT 716 FIX 0.770% 20.12.2022_7219469</t>
  </si>
  <si>
    <t>24394858_LU0003_LU0003_LXEUR</t>
  </si>
  <si>
    <t>LU0003 NOMURA BANK INTL ECP PPE0EDBA6_IE00B5ZR2157_EUR LU0003_LXEUR_24394858_LU0003_LU0003_LXEUR</t>
  </si>
  <si>
    <t>24394839_LU0003_LU0003_LXEUR</t>
  </si>
  <si>
    <t>LU0003 CHAMPION PATH HOLDINGS CO GTD SR UNSEC BN6409666_IE00BGSXQQ02_USD LU0003_LXEUR_24394839_LU0003_LU0003_LXEUR</t>
  </si>
  <si>
    <t>ENERGY TRANSFER LP FIX 4.050% 15.03.2025_8421530</t>
  </si>
  <si>
    <t>DEUTSCHE BANK AG EMTN FIX TO FLOAT 1.375% 03.09.2026_21623035</t>
  </si>
  <si>
    <t>ISLAMIC REP OF PAKISTAN REGS FIX 6.875% 05.12.2027_13482143</t>
  </si>
  <si>
    <t>GOLDMAN SACHS GROUP INC FIX 3.375% 27.03.2025_20173127</t>
  </si>
  <si>
    <t>RLJ LODGING TRUST LP 144A FIX 3.750% 01.07.2026_24324810</t>
  </si>
  <si>
    <t>UKRAINE GOVERNMENT REGS FIX 7.375% 25.09.2032_13122323</t>
  </si>
  <si>
    <t>23914723_LU0003_LU0003_LXEUR</t>
  </si>
  <si>
    <t>LU0003 TRINITY ACQUISITION PLC LW0042629_IE00B5ZR2157_EUR LU0003_LXEUR_23914723_LU0003_LU0003_LXEUR</t>
  </si>
  <si>
    <t>AVANTOR FUNDING INC REGS FIX 3.875% 15.07.2028_21227852</t>
  </si>
  <si>
    <t>TRANSOCEAN POSEIDON LTD 144A FIX 6.875% 01.02.2027_16183661</t>
  </si>
  <si>
    <t>22623766_LU0003_LU0003_LXEUR</t>
  </si>
  <si>
    <t>LU0003 REPUBLIC OF KAZAKHSTAN REGS AF2793459_IE00B0C18065_USD LU0003_LXEUR_22623766_LU0003_LU0003_LXEUR</t>
  </si>
  <si>
    <t>23914704_LU0003_LU0003_LXEUR</t>
  </si>
  <si>
    <t>LU0003 NISSAN MOTOR ACCEPTANCE SR UNSEC REGS AO2963756_IE00B67B7N93_USD LU0003_LXEUR_23914704_LU0003_LU0003_LXEUR</t>
  </si>
  <si>
    <t>VONOVIA FINANCE BV EMTN FIX 0.875% 10.06.2022_10654400</t>
  </si>
  <si>
    <t>24748810_LU0003_LU0003_LXEUR</t>
  </si>
  <si>
    <t>LU0003 FOSUN INTERNATIO SR UNSEC BQ1786541_IE00B464Q616_EUR LU0003_LXEUR_24748810_LU0003_LU0003_LXEUR</t>
  </si>
  <si>
    <t>FORD MOTOR CREDIT CO LLC FIX 4.375% 06.08.2023_5335554</t>
  </si>
  <si>
    <t>UBS GROUP AG 144A FIX 4.125% 24.09.2025_9322301</t>
  </si>
  <si>
    <t>HSBC HOLDINGS PLC * CONV FIX TO FLOAT 6.000% 22.11.2198_12427810</t>
  </si>
  <si>
    <t>STATE BANK INDIA/LONDON 144A FIX 4.000% 24.01.2022_16151235</t>
  </si>
  <si>
    <t>25428102_LU0003_LU0003_LXEUR</t>
  </si>
  <si>
    <t>LU0003 LLOYDS BANKING GROUP PLC SR UNSEC AQ6588976_IE00B5ZR2157_EUR LU0003_LXEUR_25428102_LU0003_LU0003_LXEUR</t>
  </si>
  <si>
    <t>LLOYDS BANKING GROUP PLC EMTN FIX TO FLOAT 3.500% 01.04.2026_20173120</t>
  </si>
  <si>
    <t>UNITED AIRLINES INC 144A FIX 4.625% 15.04.2029_23861635</t>
  </si>
  <si>
    <t>STYROLUTION REGS FIX 2.250% 16.01.2027_19646587</t>
  </si>
  <si>
    <t>FORD MOTOR CREDIT CO LLC FIX 4.250% 20.09.2022_4184780</t>
  </si>
  <si>
    <t>GAZPROM PJSC (GAZ FN) REGS FIX 2.950% 27.01.2029_22956030</t>
  </si>
  <si>
    <t>ENERGY TRANSFER LP FIX 3.750% 15.05.2030_19484951</t>
  </si>
  <si>
    <t>24394863_LU0003_LU0003_LXEUR</t>
  </si>
  <si>
    <t>LU0003 JAGUAR LAND ROVER AUTOMO REGS AP4190413__USD LU0003_LXEUR_24394863_LU0003_LU0003_LXEUR</t>
  </si>
  <si>
    <t>JAGUAR LAND ROVER AUTOMO REGS FIX 2.200% 15.01.2024_11835384</t>
  </si>
  <si>
    <t>12347859_LU0003_LU0003_LXEUR</t>
  </si>
  <si>
    <t>LU0003 NIELSEN FINANCE 04.10.2023 US65409YBE41 LU0003_LXEUR_12347859_LU0003_LU0003_LXEUR</t>
  </si>
  <si>
    <t>24748859_LU0003_LU0003_LXEUR</t>
  </si>
  <si>
    <t>LU0003 WANDA GROUP OVERSEAS AZ7095898_IE00B464Q616_USD LU0003_LXEUR_24748859_LU0003_LU0003_LXEUR</t>
  </si>
  <si>
    <t>SIEMENS FINANCIERINGSMAT 144A VAR 11.03.2024_23421001</t>
  </si>
  <si>
    <t>PERUSAHAAN PENERBIT SBSN REGS FIX 4.400% 01.03.2028_14256176</t>
  </si>
  <si>
    <t>HX CEMENT INTER FIN EMTN FIX 2.250% 19.11.2025_22246381</t>
  </si>
  <si>
    <t>HBOS PLC EMTN FIX TO FLOAT 4.500% 18.03.2030_417599</t>
  </si>
  <si>
    <t>KONINKLIJKE KPN NV GMTN FIX 5.625% 30.09.2024_2007329</t>
  </si>
  <si>
    <t>SSE PLC EMTN FIX 1.750% 16.04.2030_20374651</t>
  </si>
  <si>
    <t>HEINEKEN NV EMTN FIX 2.250% 30.03.2030_20173124</t>
  </si>
  <si>
    <t>BERTELSMANN SE &amp; CO KGAA EMTN FIX 1.500% 15.05.2030_20652550</t>
  </si>
  <si>
    <t>CREDIT AGRICOLE SA EMTN FIX 0.875% 14.01.2032_19476382</t>
  </si>
  <si>
    <t>OP CORPORATE BANK PLC EMTN FIX 0.625% 12.11.2029_19035757</t>
  </si>
  <si>
    <t>VIER GAS TRANSPORT GMBH EMTN FIX 3.125% 10.07.2023_5180794</t>
  </si>
  <si>
    <t>4801529_LU0003_LU0003_LXCLA</t>
  </si>
  <si>
    <t>LU0003 FLUVIUS SYSTEM OP EMTN FIX 3.750% 28.03.2033 LU0003_LXCLA_4801529_LU0003_LU0003_LXCLA</t>
  </si>
  <si>
    <t>DEUTSCHE TELEKOM INT FIN EMTN FIX 3.250% 17.01.2028_4558086</t>
  </si>
  <si>
    <t>TELENOR ASA EMTN FIX 2.500% 22.05.2025_4992226</t>
  </si>
  <si>
    <t>VODAFONE GROUP PLC EMTN FIX 5.375% 06.06.2022_743648</t>
  </si>
  <si>
    <t>BANQUE FED CRED MUTUEL FIX 1.250% 03.06.2030_20784315</t>
  </si>
  <si>
    <t>SUNCORP-METWAY LTD 144A FIX 2.800% 04.05.2022_12334819</t>
  </si>
  <si>
    <t>STATE OF QATAR REGS FIX 4.400% 16.04.2050_20382570</t>
  </si>
  <si>
    <t>KAISA GROUP HOLDINGS LTD FIX 11.950% 12.11.2023_19215363</t>
  </si>
  <si>
    <t>TNB GLOBAL VENTURES CAP EMTN FIX 3.244% 19.10.2026_11359229</t>
  </si>
  <si>
    <t>SAGAX AB EMTN FIX 2.250% 13.03.2025_17087721</t>
  </si>
  <si>
    <t>EXPORT-IMPORT BK INDIA GMTN VAR 21.08.2022_12894601</t>
  </si>
  <si>
    <t>22623376_LU0003_LU0003_LXEUR</t>
  </si>
  <si>
    <t>LU0003 REPUBLIC OF TURKEY SR UNSEC 900123CM0_IE00B0C18065_USD LU0003_LXEUR_22623376_LU0003_LU0003_LXEUR</t>
  </si>
  <si>
    <t>AMERICAN EXPRESS CO VAR 05.11.2021_15887203</t>
  </si>
  <si>
    <t>DALIAN WANDA COMMERCIAL MTN FIX 4.700% 03.06.2023_23531229</t>
  </si>
  <si>
    <t>COCA-COLA EUROPACIFIC FIX 0.750% 24.02.2022_10572226</t>
  </si>
  <si>
    <t>CIT GROUP INC FIX 5.000% 01.08.2023_5300051</t>
  </si>
  <si>
    <t>SUNAC CHINA HOLDINGS LTD FIX 6.650% 03.08.2024_21380827</t>
  </si>
  <si>
    <t>ADANI TRANSMISSION LTD REGS FIX 4.000% 03.08.2026_10927152</t>
  </si>
  <si>
    <t>VALARIS LTD 144A 30.04.2028_24326074</t>
  </si>
  <si>
    <t>BANK OF AMERICA CORP FIX TO FLOAT 3.004% 20.12.2023_14755697</t>
  </si>
  <si>
    <t>UNICREDIT SPA EMTN FIX 1.000% 18.01.2023_13715879</t>
  </si>
  <si>
    <t>FEDERAL HOME LOAN BANK FIX 0.960% 05.03.2026_23307204</t>
  </si>
  <si>
    <t>25094538_LU0003_LU0003_LXEUR</t>
  </si>
  <si>
    <t>LU0003 PURE FINANCE SA PPE82VX67_IE00B5ZR2157_GBP LU0003_LXEUR_25094538_LU0003_LU0003_LXEUR</t>
  </si>
  <si>
    <t>23914668_LU0003_LU0003_LXEUR</t>
  </si>
  <si>
    <t>LU0003 DOLPHIN ENERGY LTD SR SEC REGS M28368AB0_IE00B67B7N93_USD LU0003_LXEUR_23914668_LU0003_LU0003_LXEUR</t>
  </si>
  <si>
    <t>AMERN MUN PWR-B-BABS MUNI FIX 8.084% 15.02.2050_2687393</t>
  </si>
  <si>
    <t>UPC BROADBAND FINCO BV 144A FIX 4.875% 15.07.2031_23722534</t>
  </si>
  <si>
    <t>PLAINS ALL AMER PIPELINE FIX 4.900% 15.02.2045_7920661</t>
  </si>
  <si>
    <t>KWG GROUP HOLDINGS EMTN FIX 7.400% 05.03.2024_18093606</t>
  </si>
  <si>
    <t>SABINE PASS LIQUEFACTION FIX 5.625% 01.03.2025_9828810</t>
  </si>
  <si>
    <t>24395160_LU0003_LU0003_LXEUR</t>
  </si>
  <si>
    <t>LU0003 VALARIS LIMITED SR SEC G9460GAA9_IE00B0C18065_USD LU0003_LXEUR_24395160_LU0003_LU0003_LXEUR</t>
  </si>
  <si>
    <t>25094500_LU0003_LU0003_LXEUR</t>
  </si>
  <si>
    <t>LU0003 BAYER US FINANCE LLC SR UNSEC REGS EK5272464_IE00B67B7N93_USD LU0003_LXEUR_25094500_LU0003_LU0003_LXEUR</t>
  </si>
  <si>
    <t>BROADCOM INC 144A FIX 2.450% 15.02.2031_22664656</t>
  </si>
  <si>
    <t>VERIZON COMMUNICATIONS VAR 16.03.2022_12200157</t>
  </si>
  <si>
    <t>HUTCH WHAMPOA FINANCE 14 FIX 1.375% 31.10.2021_7734423</t>
  </si>
  <si>
    <t>BARCLAYS PLC FIX 3.650% 16.03.2025_8432966</t>
  </si>
  <si>
    <t>24139231_LU0003_LU0003_LXEUR</t>
  </si>
  <si>
    <t>LU0003 ORGANON FINANCE 1 LLC SEC REGS SMR 233225077_IE00BK9YL094_EUR LU0003_LXEUR_24139231_LU0003_LU0003_LXEUR</t>
  </si>
  <si>
    <t>25094580_LU0003_LU0003_LXEUR</t>
  </si>
  <si>
    <t>LU0003 GAZPROM (GAZ CAPITAL SA) AL0884778_IE00B5ZR2157_EUR LU0003_LXEUR_25094580_LU0003_LU0003_LXEUR</t>
  </si>
  <si>
    <t>KAISA GROUP HOLDINGS LTD FIX 9.750% 28.09.2023_21236159</t>
  </si>
  <si>
    <t>VOLKSWAGEN BANK GMBH EMTN FIX 2.500% 31.07.2026_16192333</t>
  </si>
  <si>
    <t>REPUBLIC OF PERU FIX 3.300% 11.03.2041_23422500</t>
  </si>
  <si>
    <t>SOCIETE GENERALE 144A CONV FIX TO FLOAT 7.375% 04.04.2198_15524804</t>
  </si>
  <si>
    <t>CITIGROUP INC VAR 08.12.2021_11774423</t>
  </si>
  <si>
    <t>SANTOS FINANCE LTD EMTN FIX 5.250% 13.03.2029_17089606</t>
  </si>
  <si>
    <t>ATMOS ENERGY CORP VAR 09.03.2023_23432952</t>
  </si>
  <si>
    <t>HYUNDAI CAPITAL AMERICA REGS FIX 3.950% 01.02.2022_16211005</t>
  </si>
  <si>
    <t>25094364_LU0003_LU0003_LXEUR</t>
  </si>
  <si>
    <t>LU0003 PURE FINANCE SA REGS PPE82V0Z9_IE00B5ZR2157_EUR LU0003_LXEUR_25094364_LU0003_LU0003_LXEUR</t>
  </si>
  <si>
    <t>22281188_LU0003_LU0003_LXEUR</t>
  </si>
  <si>
    <t>LU0003 JOHN LEWIS PLC BD 2442179D9_IE0033386453_GBP LU0003_LXEUR_22281188_LU0003_LU0003_LXEUR</t>
  </si>
  <si>
    <t>MITSUBISHI UFJ FIN GRP VAR 26.07.2023_15118994</t>
  </si>
  <si>
    <t>24139161_LU0003_LU0003_LXEUR</t>
  </si>
  <si>
    <t>LU0003 CNP ASSURANCES EMTN 2084609B3_IE00B5ZR2157_EUR LU0003_LXEUR_24139161_LU0003_LU0003_LXEUR</t>
  </si>
  <si>
    <t>WESTERN MIDSTREAM OPERAT STEP 6.500% 01.02.2050_19567720</t>
  </si>
  <si>
    <t>25428139_LU0003_LU0003_LXEUR</t>
  </si>
  <si>
    <t>LU0003 FORTUNE STAR BVI LTD BK1820871_IE00BGSXQQ02_USD LU0003_LXEUR_25428139_LU0003_LU0003_LXEUR</t>
  </si>
  <si>
    <t>BOC AVIATION LTD GMTN FIX 3.000% 23.05.2022_12445544</t>
  </si>
  <si>
    <t>24394921_LU0003_LU0003_LXEUR</t>
  </si>
  <si>
    <t>LU0003 VERALLIA SA SR UNSEC SMR BP4319292_IE00BFZ89957_EUR LU0003_LXEUR_24394921_LU0003_LU0003_LXEUR</t>
  </si>
  <si>
    <t>25428184_LU0003_LU0003_LXEUR</t>
  </si>
  <si>
    <t>LU0003 FIAT CHRYSLER AUTOMOBILE SR UNSEC BK3067992_IE00B5ZR2157_EUR LU0003_LXEUR_25428184_LU0003_LU0003_LXEUR</t>
  </si>
  <si>
    <t>JOLLIBEE WORLDWIDE PTE L PERP FIX TO FLOAT 3.900% 23.07.2198_19616285</t>
  </si>
  <si>
    <t>MIZUHO FINANCIAL GROUP . VAR 10.07.2024_21150131</t>
  </si>
  <si>
    <t>BANCA MONTE DEI PASCHI S FIX TO FLOAT 8.500% 10.09.2030_21681682</t>
  </si>
  <si>
    <t>SAUDI ARABIAN OIL CO 144A FIX 1.625% 24.11.2025_22273778</t>
  </si>
  <si>
    <t>AMER AIRLINE 16-2 AA PTT AA FIX 3.200% 15.06.2028_10489625</t>
  </si>
  <si>
    <t>BABCOCK INTL GROUP PLC EMTN FIX 1.750% 06.10.2022_7621870</t>
  </si>
  <si>
    <t>22623753_LU0003_LU0003_LXEUR</t>
  </si>
  <si>
    <t>LU0003 TX PUB FIN AUTH-TXBL 8827562Q1_IE00B0C18065_USD LU0003_LXEUR_22623753_LU0003_LU0003_LXEUR</t>
  </si>
  <si>
    <t>SYNGENTA FINANCE NV 144A FIX 4.441% 24.04.2023_14559424</t>
  </si>
  <si>
    <t>24395151_LU0003_LU0003_LXEUR</t>
  </si>
  <si>
    <t>LU0003 GE CAPITAL UK FUNDING EMTN SR UNSEC REGS EJ8250502_IE00B5ZR2157_GBP LU0003_LXEUR_24395151_LU0003_LU0003_LXEUR</t>
  </si>
  <si>
    <t>24394860_LU0003_LU0003_LXEUR</t>
  </si>
  <si>
    <t>LU0003 PURE FINANCE SA REGS PPE52QDW9_IE00B5ZR2157_USD LU0003_LXEUR_24394860_LU0003_LU0003_LXEUR</t>
  </si>
  <si>
    <t>23914728_LU0003_LU0003_LXEUR</t>
  </si>
  <si>
    <t>LU0003 KRUNG THAI BANK/CAYMAN JR SUB COCO BO6552414_IE00B464Q616_USD LU0003_LXEUR_23914728_LU0003_LU0003_LXEUR</t>
  </si>
  <si>
    <t>25428226_LU0003_LU0003_LXEUR</t>
  </si>
  <si>
    <t>LU0003 ABM INVESTAMA TBK PT BQ8041858_IE00BGSXQQ02_USD LU0003_LXEUR_25428226_LU0003_LU0003_LXEUR</t>
  </si>
  <si>
    <t>BANCA MONTE DEI PASCHI S EMTN FIX 10.500% 23.07.2029_18025250</t>
  </si>
  <si>
    <t>25094481_LU0003_LU0003_LXEUR</t>
  </si>
  <si>
    <t>LU0003 HYUNDAI CAPITAL SERVICES SR UNSEC REGS AR4805206_IE00B67B7N93_USD LU0003_LXEUR_25094481_LU0003_LU0003_LXEUR</t>
  </si>
  <si>
    <t>JSW STEEL LTD FIX 5.250% 13.04.2022_12259980</t>
  </si>
  <si>
    <t>ARDAGH METAL PACKAGING REGS FIX 2.000% 01.09.2028_23372702</t>
  </si>
  <si>
    <t>ONEMAIN FINANCE CORP FIX 5.625% 15.03.2023_13533865</t>
  </si>
  <si>
    <t>KENNEDY WILSON EUR REAL EMTN FIX 3.250% 12.11.2025_9513772</t>
  </si>
  <si>
    <t>PACIFIC GAS &amp; ELECTRIC FIX 1.367% 10.03.2023_23455187</t>
  </si>
  <si>
    <t>VOLKSWAGEN BANK GMBH EMTN FIX 0.750% 15.06.2023_13534483</t>
  </si>
  <si>
    <t>MCDONALD'S CORP GMTN FIX 1.125% 26.05.2022_8791617</t>
  </si>
  <si>
    <t>COMMSCOPE INC 144A FIX 4.750% 01.09.2029_24971130</t>
  </si>
  <si>
    <t>24139406_LU0003_LU0003_LXEUR</t>
  </si>
  <si>
    <t>LU0003 PURE FINANCE SA REGS PPE0E7ZL9_IE00B5ZR2157_GBP LU0003_LXEUR_24139406_LU0003_LU0003_LXEUR</t>
  </si>
  <si>
    <t>NEW YORK LIFE GLOBAL FDG 144A VAR 21.01.2022_19031472</t>
  </si>
  <si>
    <t>IMPERIAL BRANDS FIN PLC REGS FIX 3.500% 11.02.2023_4966465</t>
  </si>
  <si>
    <t>AVOLON HOLDINGS FNDG LTD 144A FIX 5.500% 15.01.2023_14288288</t>
  </si>
  <si>
    <t>INDUSTRIAL BANK OF KOREA 144A VAR 23.10.2022_19216275</t>
  </si>
  <si>
    <t>JETBLUE AIRWAYS CORP 1A FIX 4.000% 15.11.2032_21417310</t>
  </si>
  <si>
    <t>24748923_LU0003_LU0003_LXEUR</t>
  </si>
  <si>
    <t>LU0003 PETRORIO LUXEMBOURG SARL SEC REGS BP9143531_IE00B0C18065_USD LU0003_LXEUR_24748923_LU0003_LU0003_LXEUR</t>
  </si>
  <si>
    <t>ATHENE GLOBAL FUNDING 144A FIX 3.000% 01.07.2022_12635311</t>
  </si>
  <si>
    <t>E.ON SE EMTN FIX 0.375% 20.04.2023_20678970</t>
  </si>
  <si>
    <t>DEUTSCHE BANK AG EMTN FIX 1.500% 20.01.2022_11842055</t>
  </si>
  <si>
    <t>BANCO DO BRASIL (CAYMAN) 144A FIX 4.625% 15.01.2025_13275738</t>
  </si>
  <si>
    <t>19641342_LU0003_LU0003_LXEUR</t>
  </si>
  <si>
    <t>LU0003 SCENERY JOURNEY LTD FIX 12.000% 24.10.2023 LU0003_LXEUR_19641342_LU0003_LU0003_LXEUR</t>
  </si>
  <si>
    <t>C</t>
  </si>
  <si>
    <t>HSBC HOLDINGS PLC FIX 4.300% 08.03.2026_10211113</t>
  </si>
  <si>
    <t>24748911_LU0003_LU0003_LXEUR</t>
  </si>
  <si>
    <t>LU0003 VMED O2 UK FINAN SEC REGS SMR BQ1812982_IE00B0C18065_GBP LU0003_LXEUR_24748911_LU0003_LU0003_LXEUR</t>
  </si>
  <si>
    <t>ERAC USA FINANCE LLC 144A FIX 2.600% 01.12.2021_10591784</t>
  </si>
  <si>
    <t>CREDIT SUISSE NEW YORK VAR 02.02.2024_23043029</t>
  </si>
  <si>
    <t>22554395_LU0003_LU0003_LXEUR</t>
  </si>
  <si>
    <t>LU0003 CYRUSONE LP/CYRUSONE FIN SR UNSEC ZP5132813_IE00B0C18065_EUR LU0003_LXEUR_22554395_LU0003_LU0003_LXEUR</t>
  </si>
  <si>
    <t>23914713_LU0003_LU0003_LXEUR</t>
  </si>
  <si>
    <t>LU0003 UNIONE DI BANCHE ITALIAN SR UNSEC AP4905794_IE00B5ZR2157_EUR LU0003_LXEUR_23914713_LU0003_LU0003_LXEUR</t>
  </si>
  <si>
    <t>BNP PARIBAS 144A FIX TO FLOAT 1.904% 30.09.2028_21817247</t>
  </si>
  <si>
    <t>BG ENERGY CAPITAL PLC 144A FIX 4.000% 15.10.2021_3273888</t>
  </si>
  <si>
    <t>19657941_LU0003_LU0003_LXEUR</t>
  </si>
  <si>
    <t>LU0003 ALTICE FRANCE HOLDING SA 144A FIX 6.000% 15.02.2028 LU0003_LXEUR_19657941_LU0003_LU0003_LXEUR</t>
  </si>
  <si>
    <t>AGENCE FRANCAISE DEVELOP EMTN VAR 17.12.2021_21272376</t>
  </si>
  <si>
    <t>24139331_LU0003_LU0003_LXEUR</t>
  </si>
  <si>
    <t>LU0003 EXPORT-IMPORT BANK KOREA SR UNSEC FRN AR6704209_IE00B67B7N93_USD LU0003_LXEUR_24139331_LU0003_LU0003_LXEUR</t>
  </si>
  <si>
    <t>REPUBLIC OF PHILIPPINES FIX 0.000% 03.02.2023_19639660</t>
  </si>
  <si>
    <t>23914644_LU0003_LU0003_LXEUR</t>
  </si>
  <si>
    <t>LU0003 NTPC LTD JK2023949_IE00B464Q616_USD LU0003_LXEUR_23914644_LU0003_LU0003_LXEUR</t>
  </si>
  <si>
    <t>RECKITT BENCKISER TSY 144A FIX 2.375% 24.06.2022_12610612</t>
  </si>
  <si>
    <t>BANK OF CHINA/MACAU EMTN FIX 0.000% 16.10.2021_18912862</t>
  </si>
  <si>
    <t>HYUNDAI CAPITAL AMERICA REGS FIX 2.750% 27.09.2026_11238601</t>
  </si>
  <si>
    <t>AVOLON HOLDINGS FNDG LTD 144A FIX 5.125% 01.10.2023_15405446</t>
  </si>
  <si>
    <t>25094351_LU0003_LU0003_LXEUR</t>
  </si>
  <si>
    <t>LU0003 OI MOVEL SA REGS BQ6415203_IE00B0C18065_USD LU0003_LXEUR_25094351_LU0003_LU0003_LXEUR</t>
  </si>
  <si>
    <t>22623397_LU0003_LU0003_LXEUR</t>
  </si>
  <si>
    <t>LU0003 NATWEST GROUP PLC SR UNSEC JK4671216_IE00B0C18065_EUR LU0003_LXEUR_22623397_LU0003_LU0003_LXEUR</t>
  </si>
  <si>
    <t>23914747_LU0003_LU0003_LXEUR</t>
  </si>
  <si>
    <t>LU0003 ENQUEST PLC AL4590751_IE00BK9YL094_USD LU0003_LXEUR_23914747_LU0003_LU0003_LXEUR</t>
  </si>
  <si>
    <t>24395008_LU0003_LU0003_LXEUR</t>
  </si>
  <si>
    <t>LU0003 UBS GROUP AG SR UNSEC REGS AO6573544__USD LU0003_LXEUR_24395008_LU0003_LU0003_LXEUR</t>
  </si>
  <si>
    <t>BOMBARDIER INC 144A FIX 7.500% 01.12.2024_13449119</t>
  </si>
  <si>
    <t>24395321_LU0003_LU0003_LXEUR</t>
  </si>
  <si>
    <t>LU0003 DEUTSCHE BANK AG JRSUB COCO BP3850578_IE00BK9YL094_EUR LU0003_LXEUR_24395321_LU0003_LU0003_LXEUR</t>
  </si>
  <si>
    <t>ENABLE MIDSTREAM PARTNER FIX 4.400% 15.03.2027_12074508</t>
  </si>
  <si>
    <t>HYUNDAI CAPITAL AMERICA 144A FIX 2.375% 10.02.2023_19761708</t>
  </si>
  <si>
    <t>LENNAR CORP STEP 4.750% 15.11.2022_5449277</t>
  </si>
  <si>
    <t>PACIFIC GAS &amp; ELECTRIC MBS FIX 3.300% 01.12.2027_14725002</t>
  </si>
  <si>
    <t>HARTFORD HEALTHCARE CORP FIX 5.746% 01.04.2044_6827074</t>
  </si>
  <si>
    <t>PLAINS ALL AMER PIPELINE FIX 6.650% 15.01.2037_761910</t>
  </si>
  <si>
    <t>ING GROEP NV EMTN FIX 2.500% 15.11.2030_15775695</t>
  </si>
  <si>
    <t>25428107_LU0003_LU0003_LXEUR</t>
  </si>
  <si>
    <t>LU0003 HSBC HOLDINGS PLC SR UNSEC EMTN 4042819C3_IE00B5ZR2157_GBP LU0003_LXEUR_25428107_LU0003_LU0003_LXEUR</t>
  </si>
  <si>
    <t>WELLS FARGO &amp; COMPANY EMTN FIX 1.375% 30.06.2022_12776014</t>
  </si>
  <si>
    <t>Q-PARK HOLDING BV REGS FIX 2.000% 01.03.2027_19762439</t>
  </si>
  <si>
    <t>KBC GROUP NV EMTN FIX 0.750% 24.01.2030_19635261</t>
  </si>
  <si>
    <t>LLOYDS BANKING GROUP PLC CONV FIX TO FLOAT 7.875% 27.06.2198_6837218</t>
  </si>
  <si>
    <t>CONAGRA BRANDS INC FIX 0.500% 11.08.2023_24964661</t>
  </si>
  <si>
    <t>ING GROEP NV FIX 3.150% 29.03.2022_12149431</t>
  </si>
  <si>
    <t>EQT CORP STEP 7.500% 01.02.2030_19602155</t>
  </si>
  <si>
    <t>DAE FUNDING LLC 144A FIX 5.250% 15.11.2021_15718958</t>
  </si>
  <si>
    <t>BARCLAYS PLC VAR 10.01.2023_11773266</t>
  </si>
  <si>
    <t>24395054_LU0003_LU0003_LXEUR</t>
  </si>
  <si>
    <t>LU0003 AGILE GROUP HOLDINGS LTD SEC BP4631803__USD LU0003_LXEUR_24395054_LU0003_LU0003_LXEUR</t>
  </si>
  <si>
    <t>FORTRESS TRANS &amp; INFRAST 144A FIX 6.500% 01.10.2025_15456462</t>
  </si>
  <si>
    <t>AMERICAN EXPRESS CO FIX 3.700% 05.11.2021_15716650</t>
  </si>
  <si>
    <t>GENERAL MOTORS FINL CO FIX 3.550% 08.07.2022_17296773</t>
  </si>
  <si>
    <t>22554232_LU0003_LU0003_LXEUR</t>
  </si>
  <si>
    <t>LU0003 PIPER SANDLER COS FIX 5.200% 15.10.2023 LU0003_LXEUR_22554232_LU0003_LU0003_LXEUR</t>
  </si>
  <si>
    <t>REPUBLIC OF PARAGUAY REGS FIX 5.600% 13.03.2048_14346856</t>
  </si>
  <si>
    <t>CREDIT SUISSE NEW YORK FIX 2.100% 12.11.2021_19043517</t>
  </si>
  <si>
    <t>AVOLON HOLDINGS FNDG LTD 144A FIX 2.875% 15.02.2025_19503866</t>
  </si>
  <si>
    <t>13658154_LU0003_LU0003_LXEUR</t>
  </si>
  <si>
    <t>LU0003 ODEBRECHT DRILL VIII/IX REGS FIX 6.350% 01.12.2021 LU0003_LXEUR_13658154_LU0003_LU0003_LXEUR</t>
  </si>
  <si>
    <t>25428220_LU0003_LU0003_LXEUR</t>
  </si>
  <si>
    <t>LU0003 PURE FINANCE SA REGS PPE438RL0_IE00B5ZR2157_GBP LU0003_LXEUR_25428220_LU0003_LU0003_LXEUR</t>
  </si>
  <si>
    <t>KINGDOM OF JORDAN REGS FIX 5.850% 07.07.2030_21089955</t>
  </si>
  <si>
    <t>DEUTSCHE BANK AG EMTN FIX TO FLOAT 1.750% 19.11.2030_22214088</t>
  </si>
  <si>
    <t>24395143_LU0003_LU0003_LXEUR</t>
  </si>
  <si>
    <t>LU0003 VLL INTERNATIONAL INC SR UNSEC BK4994335_IE00B464Q616_USD LU0003_LXEUR_24395143_LU0003_LU0003_LXEUR</t>
  </si>
  <si>
    <t>BANK OF AMERICA CORP EMTN FIX 1.625% 14.09.2022_9277884</t>
  </si>
  <si>
    <t>FORD MOTOR CREDIT CO LLC FIX 2.386% 17.02.2026_17776637</t>
  </si>
  <si>
    <t>GENERAL MOTORS FINL CO VAR 06.11.2021_15887204</t>
  </si>
  <si>
    <t>BAYER US FINANCE II LLC 144A VAR 15.12.2023_14903820</t>
  </si>
  <si>
    <t>BANK OF AMERICA CORP MTN VAR 24.10.2024_22062042</t>
  </si>
  <si>
    <t>GLP CAPITAL LP / FIN II FIX 3.350% 01.09.2024_18407518</t>
  </si>
  <si>
    <t>SANTANDER HOLDINGS USA FIX 4.450% 03.12.2021_15869428</t>
  </si>
  <si>
    <t>CHEPLAPHARM ARZNEIMITTEL REGS FIX 3.500% 11.02.2027_19676193</t>
  </si>
  <si>
    <t>CA INFRA ECON DEV-A MUNI VAR 01.01.2050 01.01.2050 0,2_24748824</t>
  </si>
  <si>
    <t>FORD MOTOR CREDIT CO LLC EMTN FIX 3.250% 15.09.2025_21714881</t>
  </si>
  <si>
    <t>FORD MOTOR CREDI FIX 3.625% 17.06.2031_24426174</t>
  </si>
  <si>
    <t>24748977_LU0003_LU0003_LXEUR</t>
  </si>
  <si>
    <t>LU0003 OMAN GOV INTERNTL BOND SR UNSEC REGS AZ8054472_IE00B0C18065_USD LU0003_LXEUR_24748977_LU0003_LU0003_LXEUR</t>
  </si>
  <si>
    <t>MARKS &amp; SPENCER PLC EMTN FIX 3.750% 19.05.2026_22246383</t>
  </si>
  <si>
    <t>LENDLEASE FINANCE LTD MTN FIX 3.400% 27.10.2027_22069574</t>
  </si>
  <si>
    <t>23914549_LU0003_LU0003_LXEUR</t>
  </si>
  <si>
    <t>LU0003 BANK NEGARA INDONESIA SUB BO7338565_IE00B464Q616_USD LU0003_LXEUR_23914549_LU0003_LU0003_LXEUR</t>
  </si>
  <si>
    <t>EQUINOR ASA EMTN FIX 1.375% 22.05.2032_20708335</t>
  </si>
  <si>
    <t>MA PORT AUTH-B-TXBL MUNI FIX 6.202% 01.07.2031_3001303</t>
  </si>
  <si>
    <t>UBS GROUP AG 144A VAR 01.02.2022_11002190</t>
  </si>
  <si>
    <t>25428021_LU0003_LU0003_LXEUR</t>
  </si>
  <si>
    <t>LU0003 RENAULT SA SR UNSEC SMR BM5820279_IE00BK9YL094_EUR LU0003_LXEUR_25428021_LU0003_LU0003_LXEUR</t>
  </si>
  <si>
    <t>VMED O2 UK FINAN REGS FIX 3.250% 31.01.2031_21743790</t>
  </si>
  <si>
    <t>ORACLE CORP FIX 3.600% 01.04.2050_20215778</t>
  </si>
  <si>
    <t>FAR EAST HORIZON LTD EMTN PERP FIX TO FLOAT 4.350% 14.12.2198_12553441</t>
  </si>
  <si>
    <t>SOUTHERN CAL EDISON MBS VAR 03.04.2023_23595944</t>
  </si>
  <si>
    <t>24139140_LU0003_LU0003_LXEUR</t>
  </si>
  <si>
    <t>LU0003 GRUENENTHAL GMBH SEC REGS BP1531576_IE00BK9YL094_EUR LU0003_LXEUR_24139140_LU0003_LU0003_LXEUR</t>
  </si>
  <si>
    <t>JD.COM INC FIX 4.125% 14.01.2050_19485210</t>
  </si>
  <si>
    <t>FREEDOM MORTGAGE CORP 144A FIX 8.125% 15.11.2024_13366879</t>
  </si>
  <si>
    <t>PETROLEOS MEXICANOS FIX 4.750% 26.02.2029_14729825</t>
  </si>
  <si>
    <t>VOLKSWAGEN LEASING GMBH EMTN FIX 0.500% 20.06.2022_17785897</t>
  </si>
  <si>
    <t>HYUNDAI CAPITAL AMERICA 144A FIX 3.250% 20.09.2022_13173876</t>
  </si>
  <si>
    <t>HSBC HOLDINGS PLC FIX 4.950% 31.03.2030_20173185</t>
  </si>
  <si>
    <t>PETROLEOS MEXICANOS FIX 6.490% 23.01.2027_22106684</t>
  </si>
  <si>
    <t>25094581_LU0003_LU0003_LXEUR</t>
  </si>
  <si>
    <t>LU0003 ZF FINANCE GMBH CO GTD SR UNSEC ZO4363776_IE00B0C18065_EUR LU0003_LXEUR_25094581_LU0003_LU0003_LXEUR</t>
  </si>
  <si>
    <t>ILLINOIS-BABS MUNI FIX 7.350% 01.07.2035_2422615</t>
  </si>
  <si>
    <t>25428081_LU0003_LU0003_LXEUR</t>
  </si>
  <si>
    <t>LU0003 PURE FINANCE SA REGS PPEG3A029_IE00B5ZR2157_EUR LU0003_LXEUR_25428081_LU0003_LU0003_LXEUR</t>
  </si>
  <si>
    <t>YUNDA HOLDING INV FIX 2.250% 19.08.2025_21519218</t>
  </si>
  <si>
    <t>SHRIRAM TRANSPORT FIN 144A FIX 5.950% 24.10.2022_17394477</t>
  </si>
  <si>
    <t>PERUSAHAAN LISTRIK NEGAR REGS FIX 3.000% 30.06.2030_21036981</t>
  </si>
  <si>
    <t>AERCAP IRELAND CAP/GLOBA FIX 3.150% 15.02.2024_21827992</t>
  </si>
  <si>
    <t>19654149_LU0003_LU0003_LXEUR</t>
  </si>
  <si>
    <t>LU0003 SCENERY JOURNEY LTD FIX 11.500% 24.10.2022 LU0003_LXEUR_19654149_LU0003_LU0003_LXEUR</t>
  </si>
  <si>
    <t>ONEOK INC FIX 5.850% 15.01.2026_20584521</t>
  </si>
  <si>
    <t>22281278_LU0003_LU0003_LXEUR</t>
  </si>
  <si>
    <t>LU0003 GENERAL MILLS INC MTN FIX 6.410% 15.10.2022 LU0003_LXEUR_22281278_LU0003_LU0003_LXEUR</t>
  </si>
  <si>
    <t>AMER AIRLN 15-1 A PTT FIX 3.375% 01.05.2027_8383612</t>
  </si>
  <si>
    <t>ASTRAZENECA PLC FIX 0.300% 26.05.2023_24188545</t>
  </si>
  <si>
    <t>FIRST ABU DHABI BANK PJS EMTN VAR 16.04.2022_17282284</t>
  </si>
  <si>
    <t>VOLKSWAGEN FIN SERV NV EMTN FIX 1.125% 18.09.2023_21743793</t>
  </si>
  <si>
    <t>AIB GROUP PLC CONV FIX TO FLOAT 6.250% 23.12.2198_20986643</t>
  </si>
  <si>
    <t>25428114_LU0003_LU0003_LXEUR</t>
  </si>
  <si>
    <t>LU0003 WMG ACQUISITION CORP SEC REGS SMR BQ8992282_IE00BK9YL094_EUR LU0003_LXEUR_25428114_LU0003_LU0003_LXEUR</t>
  </si>
  <si>
    <t>ENERGY TRANSFER LP 5Y FIX 4.200% 15.09.2023_14844837</t>
  </si>
  <si>
    <t>MITSUBISHI HC CAPITAL 144A FIX 3.406% 28.02.2022_16988739</t>
  </si>
  <si>
    <t>AVOLON HOLDINGS FNDG LTD 144A FIX 2.528% 18.11.2027_25105239</t>
  </si>
  <si>
    <t>AIR CANADA 2020-2A PTT 144A FIX 5.250% 01.04.2029_21729563</t>
  </si>
  <si>
    <t>REPUBLIC OF ALBANIA REGS FIX 3.500% 16.06.2027_20930579</t>
  </si>
  <si>
    <t>FORD MOTOR CREDIT CO LLC FIX 5.584% 18.03.2024_17129704</t>
  </si>
  <si>
    <t>UKRAINE GOVERNMENT REGS FIX 8.994% 01.02.2024_15690041</t>
  </si>
  <si>
    <t>SYNGENTA FINANCE NV 144A FIX 5.182% 24.04.2028_14559428</t>
  </si>
  <si>
    <t>22623369_LU0003_LU0003_LXEUR</t>
  </si>
  <si>
    <t>LU0003 INDONESIA GOVT SR UNSEC REGS EK6905963_IE00B0C18065_USD LU0003_LXEUR_22623369_LU0003_LU0003_LXEUR</t>
  </si>
  <si>
    <t>25428291_LU0003_LU0003_LXEUR</t>
  </si>
  <si>
    <t>LU0003 ARCELORMITTAL SR UNSEC ZQ6165059_IE00B5ZR2157_EUR LU0003_LXEUR_25428291_LU0003_LU0003_LXEUR</t>
  </si>
  <si>
    <t>BANCO DE SABADELL SA EMTN FIX 1.750% 10.05.2024_17470938</t>
  </si>
  <si>
    <t>SKANDINAVISKA ENSKILDA 144A VAR 01.09.2023_21618000</t>
  </si>
  <si>
    <t>DEUTSCHE BANK AG FIX TO FLOAT 1.375% 17.02.2032_23162553</t>
  </si>
  <si>
    <t>7400893_LU0003_LU0003_LXEUR</t>
  </si>
  <si>
    <t>LU0003 PACIFIC GAS &amp; ELECTRIC MBS FIX 3.400% 15.08.2024 LU0003_LXEUR_7400893_LU0003_LU0003_LXEUR</t>
  </si>
  <si>
    <t>MELCO RESORTS FINANCE REGS FIX 4.875% 06.06.2025_12495001</t>
  </si>
  <si>
    <t>MELCO RESORTS FINANCE REGS FIX 5.750% 21.07.2028_21276264</t>
  </si>
  <si>
    <t>CPI PROPERTY GROUP SA EMTN FIX 1.500% 27.01.2031_22892551</t>
  </si>
  <si>
    <t>BUCKEYE PARTNERS LP 144A FIX 4.125% 01.03.2025_19793892</t>
  </si>
  <si>
    <t>25428001_LU0003_LU0003_LXEUR</t>
  </si>
  <si>
    <t>LU0003 SIG COMBIBLOC PURCHASER SR UNSEC REGS BK0101786_IE00B5ZR2157_EUR LU0003_LXEUR_25428001_LU0003_LU0003_LXEUR</t>
  </si>
  <si>
    <t>ZOOMLION HK SPV CO LTD REGS FIX 6.125% 20.12.2022_4482503</t>
  </si>
  <si>
    <t>PERIAMA HOLDINGS LLC/DE FIX 5.950% 19.04.2026_22055798</t>
  </si>
  <si>
    <t>23045626_LU0003_LU0003_LXEUR</t>
  </si>
  <si>
    <t>LU0003 DAE FUNDING LLC 144A FIX 1.625% 15.02.2024 LU0003_LXEUR_23045626_LU0003_LU0003_LXEUR</t>
  </si>
  <si>
    <t>SUNAC CHINA HOLDINGS LTD FIX 6.500% 09.07.2023_21150137</t>
  </si>
  <si>
    <t>25428196_LU0003_LU0003_LXEUR</t>
  </si>
  <si>
    <t>LU0003 PURE FINANCE SA REGS PPE93BRF5_IE00B5ZR2157_EUR LU0003_LXEUR_25428196_LU0003_LU0003_LXEUR</t>
  </si>
  <si>
    <t>476007_LU0003_LU0003_LXEUR</t>
  </si>
  <si>
    <t>LU0003 FENIX MARINE SER FIX 8.000% 15.01.2024 LU0003_LXEUR_476007_LU0003_LU0003_LXEUR</t>
  </si>
  <si>
    <t>21784714_LU0003_LU0003_LXEUR</t>
  </si>
  <si>
    <t>LU0003 BERKSHIRE HATHAWAY INC SR UNSEC AM0387655__EUR LU0003_LXEUR_21784714_LU0003_LU0003_LXEUR</t>
  </si>
  <si>
    <t>CANADIAN IMPERIAL BANK VAR 14.12.2023_22455331</t>
  </si>
  <si>
    <t>GLOBAL ATLANTIC FIN CO 144A FIX 4.400% 15.10.2029_18801403</t>
  </si>
  <si>
    <t>IVORY COAST REGS FIX 6.625% 22.03.2048_14383862</t>
  </si>
  <si>
    <t>KFW GMTN FIX 3.125% 15.12.2021_15586195</t>
  </si>
  <si>
    <t>MICROCHIP TECHNOLOGY INC 144A FIX 0.983% 01.09.2024_24137384</t>
  </si>
  <si>
    <t>LOXAM SAS FIX 3.750% 15.07.2026_18026295</t>
  </si>
  <si>
    <t>GREENLAND GLB INVST EMTN FIX 7.250% 22.01.2025_21278021</t>
  </si>
  <si>
    <t>VOLKSWAGEN BANK GMBH EMTN FIX 1.250% 10.06.2024_14826305</t>
  </si>
  <si>
    <t>ING GROEP NV VAR 01.04.2027_23595943</t>
  </si>
  <si>
    <t>SOFTBANK GROUP CORP FIX 5.000% 15.04.2028_14428839</t>
  </si>
  <si>
    <t>FREDDIE MAC FIX 0.750% 23.06.2026_22482499</t>
  </si>
  <si>
    <t>CHAMPION PATH HOLDINGS FIX 4.500% 27.01.2026_22913218</t>
  </si>
  <si>
    <t>VOLKSWAGEN INTL FIN NV . PERP FIX TO FLOAT 3.875% 17.06.2198_20942440</t>
  </si>
  <si>
    <t>AVIATION CAPITAL GROUP 144A FIX 5.500% 15.12.2024_21237415</t>
  </si>
  <si>
    <t>PACIFIC GAS &amp; ELECTRIC MBS FIX 3.300% 01.08.2040_21007336</t>
  </si>
  <si>
    <t>SINGAPORE AIR CONV FIX 1.625% 03.12.2025_22251687</t>
  </si>
  <si>
    <t>23914765_LU0003_LU0003_LXEUR</t>
  </si>
  <si>
    <t>LU0003 ATRIUM FINANCE ISSUER BV SR UNSEC SMR BN8230466_IE00B0C18065_EUR LU0003_LXEUR_23914765_LU0003_LU0003_LXEUR</t>
  </si>
  <si>
    <t>FORD MOTOR CREDIT CO LLC EMTN FIX 4.535% 06.03.2025_17050704</t>
  </si>
  <si>
    <t>BANCA MONTE DEI PASCHI S EMTN FIX 2.625% 28.04.2025_19639661</t>
  </si>
  <si>
    <t>ORGANON &amp; CO/ORG 144A FIX 4.125% 30.04.2028_23732708</t>
  </si>
  <si>
    <t>KOREA DEVELOPMENT BANK FIX 4.625% 16.11.2021_3393246</t>
  </si>
  <si>
    <t>AVIATION CAPITAL GROUP 144A FIX 2.875% 20.01.2022_11841708</t>
  </si>
  <si>
    <t>25428187_LU0003_LU0003_LXEUR</t>
  </si>
  <si>
    <t>LU0003 MPT OPER PARTNERSP/FINL SR UNSEC ZQ7313708_IE00B5ZR2157_GBP LU0003_LXEUR_25428187_LU0003_LU0003_LXEUR</t>
  </si>
  <si>
    <t>WELLS FARGO &amp; COMPANY * VAR 31.10.2023_11401432</t>
  </si>
  <si>
    <t>25428224_LU0003_LU0003_LXEUR</t>
  </si>
  <si>
    <t>LU0003 GENERAL MOTORS FINL CO QZ3870040_IE00B5ZR2157_EUR LU0003_LXEUR_25428224_LU0003_LU0003_LXEUR</t>
  </si>
  <si>
    <t>BANK OF AMERICA CORP MTN VAR 20.01.2023_11911959</t>
  </si>
  <si>
    <t>AA BOND CO LTD 144A FIX 6.500% 31.01.2026_23207363</t>
  </si>
  <si>
    <t>RUSSIAN FEDERATION REGS FIX 4.750% 27.05.2026_11114722</t>
  </si>
  <si>
    <t>22554090_LU0003_LU0003_LXEUR</t>
  </si>
  <si>
    <t>LU0003 CHUBB INA HOLDINGS INC CO GTD SR UNSEC AZ1507898__EUR LU0003_LXEUR_22554090_LU0003_LU0003_LXEUR</t>
  </si>
  <si>
    <t>FREDDIE MAC FIX 0.650% 27.10.2025_22063598</t>
  </si>
  <si>
    <t>FCE BANK PLC EMTN FIX 1.615% 11.05.2023_10504442</t>
  </si>
  <si>
    <t>KINDER MORGAN ENER PART FIX 7.500% 15.11.2040_2656804</t>
  </si>
  <si>
    <t>DBS GROUP HOLDINGS LTD 144A VAR 25.07.2022_12782438</t>
  </si>
  <si>
    <t>HANA BANK GMTN VAR 14.09.2022_13173833</t>
  </si>
  <si>
    <t>LEASEPLAN CORPORATION NV EMTN FIX 0.750% 03.10.2022_13158525</t>
  </si>
  <si>
    <t>CITIGROUP INC FIX TO FLOAT 2.572% 03.06.2031_20784521</t>
  </si>
  <si>
    <t>SABINE PASS LIQUEFACTION FIX 5.000% 15.03.2027_12412639</t>
  </si>
  <si>
    <t>24749017_LU0003_LU0003_LXEUR</t>
  </si>
  <si>
    <t>LU0003 CREDIT SUISSE GROUP AG JR SUB REGS AT5191917_IE00B0C18065_USD LU0003_LXEUR_24749017_LU0003_LU0003_LXEUR</t>
  </si>
  <si>
    <t>BANCO DE SABADELL SA EMTN FIX 5.625% 06.05.2026_10497884</t>
  </si>
  <si>
    <t>KAISA GROUP HOLDINGS LTD FIX 10.500% 15.01.2025_19506407</t>
  </si>
  <si>
    <t>SMBC AVIATION CAPITAL FI REGS FIX 3.550% 15.04.2024_17356653</t>
  </si>
  <si>
    <t>VIET NAM DEBT AND ASSET REGS FIX 1.000% 10.10.2025_7676900</t>
  </si>
  <si>
    <t>HP ENTERPRISE CO FIX 3.500% 05.10.2021_15422375</t>
  </si>
  <si>
    <t>VODAFONE GROUP PLC EMTN FIX 4.650% 20.01.2022_2145309</t>
  </si>
  <si>
    <t>25094376_LU0003_LU0003_LXEUR</t>
  </si>
  <si>
    <t>LU0003 XIAOMI BEST TIME INTL SR UNSEC REGS BQ4045879_IE00B464Q616_USD LU0003_LXEUR_25094376_LU0003_LU0003_LXEUR</t>
  </si>
  <si>
    <t>22623774_LU0003_LU0003_LXEUR</t>
  </si>
  <si>
    <t>LU0003 SMBC AVIATION CAPITAL FI SR UNSEC 144A 78448TAB8_IE00BMTRWY37_USD LU0003_LXEUR_22623774_LU0003_LU0003_LXEUR</t>
  </si>
  <si>
    <t>UNICREDIT SPA EMTN FIX TO FLOAT 1.200% 20.01.2026_19579226</t>
  </si>
  <si>
    <t>UBS AG LONDON 144A VAR 01.06.2023_24247290</t>
  </si>
  <si>
    <t>ODEBRECHT DRILL VIII/IX 144A 01.12.2026_13662077</t>
  </si>
  <si>
    <t>24748749_LU0003_LU0003_LXEUR</t>
  </si>
  <si>
    <t>LU0003 SOFTBANK GROUP CORP SR UNSEC BQ3265403_IE00BK9YL094_EUR LU0003_LXEUR_24748749_LU0003_LU0003_LXEUR</t>
  </si>
  <si>
    <t>25094431_LU0003_LU0003_LXEUR</t>
  </si>
  <si>
    <t>LU0003 CHINA SCE GRP HLDGS LTD SEC BN7409608_IE00B464Q616_USD LU0003_LXEUR_25094431_LU0003_LU0003_LXEUR</t>
  </si>
  <si>
    <t>16975070_LU0003_LU0003_LXEUR</t>
  </si>
  <si>
    <t>LU0003 ZIMMER BIOMET HOLDINGS SR UNSEC AL5897643_IE00B3D1YW09_EUR LU0003_LXEUR_16975070_LU0003_LU0003_LXEUR</t>
  </si>
  <si>
    <t>HANA BANK 144A VAR 02.10.2022_22927469</t>
  </si>
  <si>
    <t>KOREA DEVELOPMENT BANK VAR 27.02.2022_12014225</t>
  </si>
  <si>
    <t>25428230_LU0003_LU0003_LXEUR</t>
  </si>
  <si>
    <t>LU0003 HUARONG FINANCE II AL2762667_IE00BGSXQQ02_USD LU0003_LXEUR_25428230_LU0003_LU0003_LXEUR</t>
  </si>
  <si>
    <t>BARCLAYS BANK PLC CONV FIX 7.625% 21.11.2022_4355169</t>
  </si>
  <si>
    <t>TIMES CHINA HLDG LTD FIX 6.750% 16.07.2023_18009033</t>
  </si>
  <si>
    <t>SANDS CHINA LTD FIX 4.375% 18.06.2030_23145105</t>
  </si>
  <si>
    <t>IQVIA INC REGS FIX 2.250% 15.03.2029_23245610</t>
  </si>
  <si>
    <t>FEDERAL HOME LOAN BANK FIX 0.900% 03.03.2026_23353978</t>
  </si>
  <si>
    <t>REPUBLIC OF INDONESIA FIX 1.100% 12.03.2033_22681321</t>
  </si>
  <si>
    <t>NORTH MACEDONIA REGS FIX 2.750% 18.01.2025_13726603</t>
  </si>
  <si>
    <t>RENEW POWER SYNTHETIC REGS FIX 6.670% 12.03.2024_17251676</t>
  </si>
  <si>
    <t>RIO OIL FINANCE TRUST 144A FIX 9.750% 06.01.2027_7823379</t>
  </si>
  <si>
    <t>UNITED AIR 2018-1 AA PTT AA FIX 3.500% 01.03.2030_14165699</t>
  </si>
  <si>
    <t>BANK OF AMERICA CORP EMTN FIX TO FLOAT 1.776% 04.05.2027_12295258</t>
  </si>
  <si>
    <t>KAISA GROUP HOLDINGS LTD FIX 8.500% 30.06.2022_12641067</t>
  </si>
  <si>
    <t>25428069_LU0003_LU0003_LXEUR</t>
  </si>
  <si>
    <t>LU0003 RYANAIR LTD EK7847602_IE00B5ZR2157_EUR LU0003_LXEUR_25428069_LU0003_LU0003_LXEUR</t>
  </si>
  <si>
    <t>KINDER MORGAN ENER PART FIX 6.375% 01.03.2041_2807487</t>
  </si>
  <si>
    <t>24139338_LU0003_LU0003_LXEUR</t>
  </si>
  <si>
    <t>LU0003 ALTICE FRANCE SA SEC REGS BP0542806__EUR LU0003_LXEUR_24139338_LU0003_LU0003_LXEUR</t>
  </si>
  <si>
    <t>RIO OIL FINANCE TRUST 144A FIX 8.200% 06.04.2028_14542527</t>
  </si>
  <si>
    <t>AT&amp;T INC 144A FIX 3.800% 01.12.2057_22444251</t>
  </si>
  <si>
    <t>SEAGATE HDD CAYMAN FIX 4.125% 15.01.2031_20869206</t>
  </si>
  <si>
    <t>CAIXABANK SA . CONV FIX TO FLOAT 5.875% 09.01.2198_21874281</t>
  </si>
  <si>
    <t>24139390_LU0003_LU0003_LXEUR</t>
  </si>
  <si>
    <t>LU0003 GOLDMAN SACHS GROUP INC SR UNSEC BP2685546_IE00B5ZR2157_EUR LU0003_LXEUR_24139390_LU0003_LU0003_LXEUR</t>
  </si>
  <si>
    <t>ENEL FINANCE INTL NV EMTN FIX 5.000% 14.09.2022_1993216</t>
  </si>
  <si>
    <t>REPUBLIC OF NIGERIA REGS FIX 6.500% 28.11.2027_13442903</t>
  </si>
  <si>
    <t>25094470_LU0003_LU0003_LXEUR</t>
  </si>
  <si>
    <t>LU0003 AVOLON TLB BORRO 01.12.2027 01.12.2027 2,75 LU0003_LXEUR_25094470_LU0003_LU0003_LXEUR</t>
  </si>
  <si>
    <t>15185764_LU0003_LU0003_LXEUR</t>
  </si>
  <si>
    <t>LU0003 PACIFIC GAS &amp; ELECTRIC MBS FIX 4.250% 01.08.2023 LU0003_LXEUR_15185764_LU0003_LU0003_LXEUR</t>
  </si>
  <si>
    <t>PLT VII FINANCE SARL REGS FIX 4.625% 05.01.2026_21226549</t>
  </si>
  <si>
    <t>LINCOLN FINANCING SARL REGS FIX 3.625% 01.04.2024_17241065</t>
  </si>
  <si>
    <t>INFORMA PLC EMTN FIX 1.250% 22.04.2028_18929325</t>
  </si>
  <si>
    <t>YANGO JUSTICE INTL FIX 7.500% 15.04.2024_21238959</t>
  </si>
  <si>
    <t>HYUNDAI CAPITAL AMERICA REGS FIX 4.125% 08.06.2023_14845766</t>
  </si>
  <si>
    <t>HANA BANK REGS FIX 3.375% 30.01.2022_16192998</t>
  </si>
  <si>
    <t>BMW US CAPITAL LLC 144A VAR 12.08.2024_25216638</t>
  </si>
  <si>
    <t>TP ICAP LTD EMTN FIX 5.250% 29.05.2026_17634083</t>
  </si>
  <si>
    <t>FINGRID OYJ EMTN FIX 3.500% 03.04.2024_3824606</t>
  </si>
  <si>
    <t>TOYOTA MOTOR CREDIT CORP MTN VAR 08.09.2022_13200186</t>
  </si>
  <si>
    <t>25094349_LU0003_LU0003_LXEUR</t>
  </si>
  <si>
    <t>LU0003 BIOGROUP (CAB) SR SEC REGS BN7192352_IE00BK9YL094_EUR LU0003_LXEUR_25094349_LU0003_LU0003_LXEUR</t>
  </si>
  <si>
    <t>ALROSA FINANCE SA REGS FIX 3.100% 25.06.2027_21005399</t>
  </si>
  <si>
    <t>NISSAN MOTOR CO REGS FIX 1.940% 15.09.2023_21740948</t>
  </si>
  <si>
    <t>MERLIN PROPERTIES SOCIMI EMTN FIX 2.375% 23.05.2022_10560235</t>
  </si>
  <si>
    <t>24139395_LU0003_LU0003_LXEUR</t>
  </si>
  <si>
    <t>LU0003 CDP FINANCIAL INC AX4193782_IE00BDQZ6S97_USD LU0003_LXEUR_24139395_LU0003_LU0003_LXEUR</t>
  </si>
  <si>
    <t>23914611_LU0003_LU0003_LXEUR</t>
  </si>
  <si>
    <t>LU0003 CITIGROUP INC QZ9444469_IE00BMTRWY37_AUD LU0003_LXEUR_23914611_LU0003_LU0003_LXEUR</t>
  </si>
  <si>
    <t>22623384_LU0003_LU0003_LXEUR</t>
  </si>
  <si>
    <t>LU0003 NATWEST GROUP PLC SR UNSEC 780097BA8_IE00B0C18065_USD LU0003_LXEUR_22623384_LU0003_LU0003_LXEUR</t>
  </si>
  <si>
    <t>BEVCO LUX SARL FIX 1.500% 16.09.2027_21722262</t>
  </si>
  <si>
    <t>REPUBLIC OF INDONESIA FIX 0.900% 14.02.2027_19481696</t>
  </si>
  <si>
    <t>MORGAN STANLEY GMTN VAR 08.11.2022_12308477</t>
  </si>
  <si>
    <t>AIRCASTLE LTD FIX 4.400% 25.09.2023_15477150</t>
  </si>
  <si>
    <t>NAVIENT CORP FIX 6.500% 15.06.2022_12055728</t>
  </si>
  <si>
    <t>IVORY COAST 144A FIX 5.875% 17.10.2031_18916353</t>
  </si>
  <si>
    <t>SIXT SE EMTN FIX 1.750% 09.12.2024_22410558</t>
  </si>
  <si>
    <t>KOOKMIN BANK GMTN FIX 3.625% 23.10.2021_15642473</t>
  </si>
  <si>
    <t>SEAZEN GROUP LTD FIX 6.000% 12.08.2024_21473851</t>
  </si>
  <si>
    <t>24139345_LU0003_LU0003_LXEUR</t>
  </si>
  <si>
    <t>LU0003 NEXI SPA SR UNSEC SMR BP0500747_IE00BK9YL094_EUR LU0003_LXEUR_24139345_LU0003_LU0003_LXEUR</t>
  </si>
  <si>
    <t>SCHAEFFLER AG EMTN FIX 3.375% 12.10.2028_21906280</t>
  </si>
  <si>
    <t>BOMBARDIER INC 144A FIX 6.000% 15.10.2022_6874148</t>
  </si>
  <si>
    <t>25428002_LU0003_LU0003_LXEUR</t>
  </si>
  <si>
    <t>LU0003 HUARONG FINANCE 2017 CO AP8052692_IE00B464Q616_USD LU0003_LXEUR_25428002_LU0003_LU0003_LXEUR</t>
  </si>
  <si>
    <t>NXP BV/NXP FUNDING LLC 144A FIX 3.875% 01.09.2022_11025789</t>
  </si>
  <si>
    <t>23207350_LU0003_LU0003_LXEUR</t>
  </si>
  <si>
    <t>LU0003 SUNAC CHINA HOLDINGS LTD REGS PPE71OKV5_IE00B464Q616_USD LU0003_LXEUR_23207350_LU0003_LU0003_LXEUR</t>
  </si>
  <si>
    <t>PETROBRAS GLOBAL FINANCE . FIX 5.375% 01.10.2029_4187635</t>
  </si>
  <si>
    <t>24139353_LU0003_LU0003_LXEUR</t>
  </si>
  <si>
    <t>LU0003 CPUK FINANCE LTD SEC BP2681057_IE00BK9YL094_GBP LU0003_LXEUR_24139353_LU0003_LU0003_LXEUR</t>
  </si>
  <si>
    <t>MISSISSIPPI POWE A VAR 28.06.2024_24449320</t>
  </si>
  <si>
    <t>HYUNDAI CAPITAL SERVICES REGS FIX 3.000% 06.03.2022_12040183</t>
  </si>
  <si>
    <t>NEXTERA ENERGY CAPITAL VAR 01.03.2023_23513473</t>
  </si>
  <si>
    <t>ARAB REPUBLIC OF EGYPT REGS FIX 6.375% 11.04.2031_17328098</t>
  </si>
  <si>
    <t>ABBVIE INC FIX 2.150% 19.11.2021_22318845</t>
  </si>
  <si>
    <t>ADIENT GLOBAL HOLDINGS REGS FIX 3.500% 15.08.2024_11009289</t>
  </si>
  <si>
    <t>UNITED AIRLINES INC 144A FIX 4.375% 15.04.2026_23858823</t>
  </si>
  <si>
    <t>MONDELEZ INTL HLDINGS NE 144A FIX 2.000% 28.10.2021_11396651</t>
  </si>
  <si>
    <t>BOC AVIATION LTD REGS VAR 26.09.2023_15481640</t>
  </si>
  <si>
    <t>24748950_LU0003_LU0003_LXEUR</t>
  </si>
  <si>
    <t>LU0003 QNB FINANCE LTD SR UNSEC REGS BQ0830514_IE00B67B7N93_USD LU0003_LXEUR_24748950_LU0003_LU0003_LXEUR</t>
  </si>
  <si>
    <t>AVIATION CAPITAL GROUP 144A FIX 3.875% 01.05.2023_14591488</t>
  </si>
  <si>
    <t>VERIZON COMMUNICATIONS VAR 20.03.2026_23488989</t>
  </si>
  <si>
    <t>17243800_LU0003_LU0003_LXEUR</t>
  </si>
  <si>
    <t>LU0003 LINCOLN FINANCING SARL REGS VAR 01.04.2024 LU0003_LXEUR_17243800_LU0003_LU0003_LXEUR</t>
  </si>
  <si>
    <t>AMERICAN HONDA FINANCE MTN FIX 3.375% 10.12.2021_15540822</t>
  </si>
  <si>
    <t>23914813_LU0003_LU0003_LXEUR</t>
  </si>
  <si>
    <t>LU0003 BANCA MONTE DEI PASCHI S BM8531113_IE00B0C18065_EUR LU0003_LXEUR_23914813_LU0003_LU0003_LXEUR</t>
  </si>
  <si>
    <t>23914652_LU0003_LU0003_LXEUR</t>
  </si>
  <si>
    <t>LU0003 ONGC VIDESH VANKORNEFT SR UNSEC LW9384923_IE00B464Q616_USD LU0003_LXEUR_23914652_LU0003_LU0003_LXEUR</t>
  </si>
  <si>
    <t>DELL INT LLC / EMC CORP FIX 8.100% 15.07.2036_24423129</t>
  </si>
  <si>
    <t>FORD MOTOR CREDIT CO LLC VAR 03.08.2022_12828179</t>
  </si>
  <si>
    <t>SHINHAN BANK REGS FIX 2.875% 28.03.2022_12151037</t>
  </si>
  <si>
    <t>REPUBLIC OF TURKEY INTL FIX 3.250% 14.06.2025_12557692</t>
  </si>
  <si>
    <t>25428037_LU0003_LU0003_LXEUR</t>
  </si>
  <si>
    <t>LU0003 LLOYDS BANKING GROUP PLC FRN AN9811463_IE00B5ZR2157_EUR LU0003_LXEUR_25428037_LU0003_LU0003_LXEUR</t>
  </si>
  <si>
    <t>CENTRAIS ELETRICAS BRASI REGS FIX 4.625% 04.02.2030_19695570</t>
  </si>
  <si>
    <t>CREDIT MUTUEL ARKEA EMTN FIX TO FLOAT 1.250% 11.06.2029_20892696</t>
  </si>
  <si>
    <t>JAB HOLDINGS BV FIX 2.125% 16.09.2022_9290119</t>
  </si>
  <si>
    <t>JPN HOUSING FIN AGENCY 89 FIX 1.122% 20.12.2021_20113398</t>
  </si>
  <si>
    <t>GIVAUDAN FIN EUROPE FIX 1.625% 22.04.2032_20435191</t>
  </si>
  <si>
    <t>DELL INT LLC / EMC CORP FIX 5.850% 15.07.2025_24430402</t>
  </si>
  <si>
    <t>ATLANTIA SPA FIX 1.875% 12.02.2028_23182456</t>
  </si>
  <si>
    <t>AVIATION CAPITAL GROUP 144A FIX 4.375% 30.01.2024_15874704</t>
  </si>
  <si>
    <t>CANADIAN IMPERIAL BANK VAR 22.06.2023_24408435</t>
  </si>
  <si>
    <t>NISSAN MOTOR ACCEPTANCE 144A VAR 28.09.2022_13181147</t>
  </si>
  <si>
    <t>RIVERSIDE ELEC-BABS MUNI FIX 7.605% 01.10.2040_2672799</t>
  </si>
  <si>
    <t>BANCO BILBAO VIZCAYA ARG EMTN VAR 09.03.2023_14271823</t>
  </si>
  <si>
    <t>CHARTER COMM OPT LLC/CAP FIX 4.800% 01.03.2050_18931659</t>
  </si>
  <si>
    <t>BNP PARIBAS 144A FIX TO FLOAT 4.705% 10.01.2025_16058106</t>
  </si>
  <si>
    <t>25094476_LU0003_LU0003_LXEUR</t>
  </si>
  <si>
    <t>LU0003 YANGO JUSTICE INTL SR UNSEC BP8085527_IE00BGSXQQ02_USD LU0003_LXEUR_25094476_LU0003_LU0003_LXEUR</t>
  </si>
  <si>
    <t>GREENKO INVESTMENT CO REGS FIX 4.875% 16.08.2023_11029611</t>
  </si>
  <si>
    <t>SUNAC CHINA HOLDINGS LTD FIX 7.500% 01.02.2024_19013622</t>
  </si>
  <si>
    <t>FORTUNE STAR BVI LTD FIX 4.350% 06.05.2023_19013591</t>
  </si>
  <si>
    <t>JAGUAR LAND ROVER AUTOMO REGS FIX 5.875% 15.11.2024_19178595</t>
  </si>
  <si>
    <t>DAIMLER FINANCE NA LLC 144A VAR 15.02.2022_18189432</t>
  </si>
  <si>
    <t>AMERICAN EXPRESS CO VAR 20.05.2022_17602723</t>
  </si>
  <si>
    <t>BMW FINANCE NV EMTN VAR 02.10.2023_21836613</t>
  </si>
  <si>
    <t>19637192_LU0003_LU0003_LXEUR</t>
  </si>
  <si>
    <t>LU0003 GLOBAL PRIME CAPITAL FIX 5.950% 23.01.2025 LU0003_LXEUR_19637192_LU0003_LU0003_LXEUR</t>
  </si>
  <si>
    <t>FLEX LTD FIX 3.750% 01.02.2026_20647449</t>
  </si>
  <si>
    <t>ABERTIS INFRAESTRUCTURAS FIX 1.875% 26.03.2032_18728680</t>
  </si>
  <si>
    <t>24139214_LU0003_LU0003_LXEUR</t>
  </si>
  <si>
    <t>LU0003 DAIMLER FINANCE NA LLC SR UNSEC REGS AX3134407_IE00BDQZ6S97_USD LU0003_LXEUR_24139214_LU0003_LU0003_LXEUR</t>
  </si>
  <si>
    <t>23207278_LU0003_LU0003_LXEUR</t>
  </si>
  <si>
    <t>LU0003 AT&amp;T INC SR UNSEC EJ5827492_IE00B5ZR2157_EUR LU0003_LXEUR_23207278_LU0003_LU0003_LXEUR</t>
  </si>
  <si>
    <t>23914589_LU0003_LU0003_LXEUR</t>
  </si>
  <si>
    <t>LU0003 CITYCON TREASURY BV SR UNSEC SMR BO3976392_IE00B0C18065_EUR LU0003_LXEUR_23914589_LU0003_LU0003_LXEUR</t>
  </si>
  <si>
    <t>BARCLAYS PLC CONV FIX TO FLOAT 4.375% 15.12.2198_24922384</t>
  </si>
  <si>
    <t>GATX CORP VAR 05.11.2021_13337154</t>
  </si>
  <si>
    <t>ALFA LAVAL TREASURY INTL EMTN FIX 1.375% 12.09.2022_7512985</t>
  </si>
  <si>
    <t>SELP FINANCE SARL FIX 1.500% 20.12.2026_17795766</t>
  </si>
  <si>
    <t>22554320_LU0003_LU0003_LXEUR</t>
  </si>
  <si>
    <t>LU0003 VENEZUELA (REPUBLIC OF) **DEF** 009220Z80_IE00B0C18065_USD LU0003_LXEUR_22554320_LU0003_LU0003_LXEUR</t>
  </si>
  <si>
    <t>AMCOR LTD EMTN FIX 2.750% 22.03.2023_4797401</t>
  </si>
  <si>
    <t>SOUTHERN CALIF GAS CO VAR 14.09.2023_21753703</t>
  </si>
  <si>
    <t>18190630_LU0003_LU0003_LXEUR</t>
  </si>
  <si>
    <t>LU0003 FANTASIA HOLDINGS GROUP FIX 12.250% 18.10.2022 LU0003_LXEUR_18190630_LU0003_LU0003_LXEUR</t>
  </si>
  <si>
    <t>FORD MOTOR CREDIT CO LLC FIX 3.219% 09.01.2022_8062536</t>
  </si>
  <si>
    <t>WYNN MACAU LTD 144A FIX 4.875% 01.10.2024_13111105</t>
  </si>
  <si>
    <t>25428221_LU0003_LU0003_LXEUR</t>
  </si>
  <si>
    <t>LU0003 WOORI BANK AQ8245849_IE00B67B7N93_USD LU0003_LXEUR_25428221_LU0003_LU0003_LXEUR</t>
  </si>
  <si>
    <t>VICI PROPERTIES / NOTE 144A FIX 3.500% 15.02.2025_19647980</t>
  </si>
  <si>
    <t>23207317_LU0003_LU0003_LXEUR</t>
  </si>
  <si>
    <t>LU0003 AT&amp;T INC 4(2) DISC NT* 0020A2ZE5_IE00BDQZ6S97_USD LU0003_LXEUR_23207317_LU0003_LU0003_LXEUR</t>
  </si>
  <si>
    <t>7-ELEVEN INC 144A VAR 10.08.2022_23069421</t>
  </si>
  <si>
    <t>MIZUHO FINANCIAL GROUP VAR 28.02.2022_12057777</t>
  </si>
  <si>
    <t>PT PERTAMINA (PERSERO) 144A FIX 1.400% 09.02.2026_23353706</t>
  </si>
  <si>
    <t>EXPORT-IMPORT BANK KOREA FIX 2.500% 29.06.2041_24432571</t>
  </si>
  <si>
    <t>SCHAEFFLER AG EMTN FIX 2.750% 12.10.2025_21906268</t>
  </si>
  <si>
    <t>ROYAL CARIBBEAN CRUISES 144A FIX 11.500% 01.06.2025_20679265</t>
  </si>
  <si>
    <t>#ND 30.09.2024 3,5_20612943</t>
  </si>
  <si>
    <t>AVOLON HOLDINGS FNDG LTD 144A FIX 5.250% 15.05.2024_16729249</t>
  </si>
  <si>
    <t>UKRAINE GOVERNMENT REGS FIX 7.750% 01.09.2022_9530605</t>
  </si>
  <si>
    <t>22623418_LU0003_LU0003_LXEUR</t>
  </si>
  <si>
    <t>LU0003 INTESA SANPAOLO SPA COCO JRSUB AM0179896_IE00B0C18065_EUR LU0003_LXEUR_22623418_LU0003_LU0003_LXEUR</t>
  </si>
  <si>
    <t>OXFORD FIN LLC/CO-ISS II FIX 6.375% 15.12.2022_13531124</t>
  </si>
  <si>
    <t>DEUTSCHE BANK AG EMTN FIX TO FLOAT 5.625% 19.05.2031_20661511</t>
  </si>
  <si>
    <t>FORD MOTOR CREDIT CO LLC EMTN FIX 1.744% 19.07.2024_19806895</t>
  </si>
  <si>
    <t>25428039_LU0003_LU0003_LXEUR</t>
  </si>
  <si>
    <t>LU0003 YANLORD LAND HK CO LTD SEC REGS AS2389680_IE00B464Q616_USD LU0003_LXEUR_25428039_LU0003_LU0003_LXEUR</t>
  </si>
  <si>
    <t>GEELY AUTOMOBILE PERP FIX TO FLOAT 4.000% 09.06.2198_19213177</t>
  </si>
  <si>
    <t>CHINA SCE GRP HLDGS LTD FIX 7.250% 19.04.2023_17992744</t>
  </si>
  <si>
    <t>MONGOLIA INTL BOND REGS FIX 5.625% 01.05.2023_13302590</t>
  </si>
  <si>
    <t>YINGDE GASES INVSTMT LTD 144A FIX 6.250% 19.01.2023_13718524</t>
  </si>
  <si>
    <t>BMW US CAPITAL LLC 144A VAR 14.04.2022_17401113</t>
  </si>
  <si>
    <t>BANCO DE SABADELL SA FIX TO FLOAT 1.125% 11.03.2027_21669715</t>
  </si>
  <si>
    <t>24395287_LU0003_LU0003_LXEUR</t>
  </si>
  <si>
    <t>LU0003 COUNTRY GARDEN HLDGS ZO9642570_IE00B464Q616_USD LU0003_LXEUR_24395287_LU0003_LU0003_LXEUR</t>
  </si>
  <si>
    <t>25428006_LU0003_LU0003_LXEUR</t>
  </si>
  <si>
    <t>LU0003 BEL SR UNSEC AN0587104_IE00B5ZR2157_EUR LU0003_LXEUR_25428006_LU0003_LU0003_LXEUR</t>
  </si>
  <si>
    <t>22281237_LU0003_LU0003_LXEUR</t>
  </si>
  <si>
    <t>LU0003 BOOKING HOLDINGS INC QJ7660682__EUR LU0003_LXEUR_22281237_LU0003_LU0003_LXEUR</t>
  </si>
  <si>
    <t>HCA INC FIX 4.750% 01.05.2023_4272787</t>
  </si>
  <si>
    <t>ROYAL CARIBBEAN CRUISES 144A FIX 10.875% 01.06.2023_20679275</t>
  </si>
  <si>
    <t>23914527_LU0003_LU0003_LXEUR</t>
  </si>
  <si>
    <t>LU0003 IMPERIAL BRANDS FIN NETH SR UNSEC REGS BO5830225_IE00B0C18065_EUR LU0003_LXEUR_23914527_LU0003_LU0003_LXEUR</t>
  </si>
  <si>
    <t>23914767_LU0003_LU0003_LXEUR</t>
  </si>
  <si>
    <t>LU0003 GLP CHINA HOLDINGS LTD SR UNSEC REGS BO7336379_IE00B464Q616_USD LU0003_LXEUR_23914767_LU0003_LU0003_LXEUR</t>
  </si>
  <si>
    <t>22623750_LU0003_LU0003_LXEUR</t>
  </si>
  <si>
    <t>LU0003 TRAVIS PERKINS PLC SR UNSEC JK9552767_IE00B0C18065_GBP LU0003_LXEUR_22623750_LU0003_LU0003_LXEUR</t>
  </si>
  <si>
    <t>24394925_LU0003_LU0003_LXEUR</t>
  </si>
  <si>
    <t>LU0003 CIFI HOLDINGS GROUP SR UNSEC REGS BP4631027_IE00B464Q616_USD LU0003_LXEUR_24394925_LU0003_LU0003_LXEUR</t>
  </si>
  <si>
    <t>DOMINICAN REPUBLIC REGS FIX 6.500% 15.02.2048_14199789</t>
  </si>
  <si>
    <t>23914639_LU0003_LU0003_LXEUR</t>
  </si>
  <si>
    <t>LU0003 FRAPORT AG SR UNSEC REGS BO7983782_IE00B0C18065_EUR LU0003_LXEUR_23914639_LU0003_LU0003_LXEUR</t>
  </si>
  <si>
    <t>24394866_LU0003_LU0003_LXEUR</t>
  </si>
  <si>
    <t>LU0003 PURE FINANCE SA REGS PPE32KJ35_IE00B5ZR2157_EUR LU0003_LXEUR_24394866_LU0003_LU0003_LXEUR</t>
  </si>
  <si>
    <t>REPUBLIC OF PHILIPPINES FIX 3.200% 06.07.2046_24477235</t>
  </si>
  <si>
    <t>19425635_LU0003_LU0003_LXEUR</t>
  </si>
  <si>
    <t>LU0003 MARRIOTT OWNERSH 31.08.2025 LU0003_LXEUR_19425635_LU0003_LU0003_LXEUR</t>
  </si>
  <si>
    <t>REPUBLIC OF SRI LANKA REGS FIX 6.200% 11.05.2027_12363288</t>
  </si>
  <si>
    <t>24394908_LU0003_LU0003_LXEUR</t>
  </si>
  <si>
    <t>LU0003 CHINA EVERGRANDE GROUP AO0636305_IE00B464Q616_USD LU0003_LXEUR_24394908_LU0003_LU0003_LXEUR</t>
  </si>
  <si>
    <t>FEDERAL HOME LOAN BANK FIX 0.790% 25.02.2026_23264061</t>
  </si>
  <si>
    <t>EXPORT-IMPORT BANK KOREA VAR 25.06.2022_17830015</t>
  </si>
  <si>
    <t>24748791_LU0003_LU0003_LXEUR</t>
  </si>
  <si>
    <t>LU0003 GAJAH TUNGGAL TB SEC BQ1013425_IE00B464Q616_USD LU0003_LXEUR_24748791_LU0003_LU0003_LXEUR</t>
  </si>
  <si>
    <t>CIT GROUP INC FIX 5.000% 15.08.2022_4082359</t>
  </si>
  <si>
    <t>STANDARD CHARTERED PLC 144A FIX TO FLOAT 1.319% 14.10.2023_21917532</t>
  </si>
  <si>
    <t>YANGO JUSTICE INTL FIX 9.250% 15.04.2023_19697125</t>
  </si>
  <si>
    <t>KOREA EXPRESSWAY CORP SR UNSEC REGS 25.11.2022 0,8065_22554255</t>
  </si>
  <si>
    <t>GENERAL MOTORS FINL CO FIX 3.150% 30.06.2022_12641065</t>
  </si>
  <si>
    <t>24139218_LU0003_LU0003_LXEUR</t>
  </si>
  <si>
    <t>LU0003 PETRONAS CAPITAL LTD SR UNSEC REGS BP2212390_IE00B464Q616_USD LU0003_LXEUR_24139218_LU0003_LU0003_LXEUR</t>
  </si>
  <si>
    <t>21151583_LU0003_LU0003_LXEUR</t>
  </si>
  <si>
    <t>LU0003 PACIFIC GAS &amp; ELECTRIC MBS FIX 4.500% 01.07.2040 LU0003_LXEUR_21151583_LU0003_LU0003_LXEUR</t>
  </si>
  <si>
    <t>25094523_LU0003_LU0003_LXEUR</t>
  </si>
  <si>
    <t>LU0003 GOLDMAN SACHS GROUP INC AN3005930_IE00BMTRWY37_AUD LU0003_LXEUR_25094523_LU0003_LU0003_LXEUR</t>
  </si>
  <si>
    <t>AMERICAN EXPRESS CO VAR 01.08.2022_12819849</t>
  </si>
  <si>
    <t>25428033_LU0003_LU0003_LXEUR</t>
  </si>
  <si>
    <t>LU0003 AURIZON NETWORK PTY LTD EK4685294_IE00B5ZR2157_EUR LU0003_LXEUR_25428033_LU0003_LU0003_LXEUR</t>
  </si>
  <si>
    <t>ABERTIS INFRAESTRUCTURAS EMTN FIX 3.000% 27.03.2031_17164391</t>
  </si>
  <si>
    <t>VOLKSWAGEN LEASING GMBH EMTN FIX 1.125% 04.04.2024_13155802</t>
  </si>
  <si>
    <t>DEXIA CREDIT LOCAL REGS FIX 2.875% 29.01.2022_16166347</t>
  </si>
  <si>
    <t>24395049_LU0003_LU0003_LXEUR</t>
  </si>
  <si>
    <t>LU0003 NWD FINANCE (BVI) LTD SR UNSEC BP8082243_IE00B464Q616_USD LU0003_LXEUR_24395049_LU0003_LU0003_LXEUR</t>
  </si>
  <si>
    <t>STATE DEVELOPMENT&amp;INVEST MTN FIX 3.990% 15.03.2024_19567738</t>
  </si>
  <si>
    <t>JAGUAR LAND ROVER AUTOMO REGS FIX 3.875% 01.03.2023_8340264</t>
  </si>
  <si>
    <t>EASY TACTIC LTD FIX 8.125% 27.02.2023_16992081</t>
  </si>
  <si>
    <t>BANK OF AMERICA CORP EMTN VAR 04.05.2023_12295257</t>
  </si>
  <si>
    <t>AT&amp;T INC 144A FIX 3.500% 15.09.2053_21801477</t>
  </si>
  <si>
    <t>DEUTSCHE BANK AG EMTN FIX 1.750% 17.01.2028_13700564</t>
  </si>
  <si>
    <t>TIME WARNER CABLE LLC FIX 4.500% 15.09.2042_4104355</t>
  </si>
  <si>
    <t>PLAINS ALL AMER PIPELINE FIX 4.500% 15.12.2026_11519512</t>
  </si>
  <si>
    <t>NAVIENT CORP FIX 5.500% 25.01.2023_4601775</t>
  </si>
  <si>
    <t>BAT INTL FINANCE PLC EMTN FIX 1.000% 23.05.2022_9542984</t>
  </si>
  <si>
    <t>18117923_LU0003_LU0003_LXEUR</t>
  </si>
  <si>
    <t>LU0003 AMER AIRLINE 19-1AA PTT AA FIX 3.150% 15.02.2032 LU0003_LXEUR_18117923_LU0003_LU0003_LXEUR</t>
  </si>
  <si>
    <t>ITHACA ENERGY NORTH 144A FIX 9.000% 15.07.2026_24779556</t>
  </si>
  <si>
    <t>24395086_LU0003_LU0003_LXEUR</t>
  </si>
  <si>
    <t>LU0003 GLOBE TELECOM INC SR UNSEC BK5554179_IE00B464Q616_USD LU0003_LXEUR_24395086_LU0003_LU0003_LXEUR</t>
  </si>
  <si>
    <t>MITSUBISHI HC CAPITAL REGS FIX 2.652% 19.09.2022_13098149</t>
  </si>
  <si>
    <t>ALTICE FRANCE SA REGS FIX 3.375% 15.01.2028_18702634</t>
  </si>
  <si>
    <t>LMIRT CAPITAL PTE LTD FIX 7.250% 19.06.2024_17798236</t>
  </si>
  <si>
    <t>ALLY FINANCIAL INC FIX 4.625% 19.05.2022_8779478</t>
  </si>
  <si>
    <t>ENERGY TRANSFER LP FIX 4.500% 15.04.2024_16080796</t>
  </si>
  <si>
    <t>ADANI GREEN ENERGY UP 144A FIX 6.250% 10.12.2024_17884638</t>
  </si>
  <si>
    <t>FREDDIE MAC FIX 0.800% 27.10.2026_22008395</t>
  </si>
  <si>
    <t>19138462_LU0003_LU0003_LXEUR</t>
  </si>
  <si>
    <t>LU0003 TARGA RESOURCES PARTNERS FIX 5.500% 01.03.2030 LU0003_LXEUR_19138462_LU0003_LU0003_LXEUR</t>
  </si>
  <si>
    <t>KOREA EXPRESSWAY CORP 144A FIX 3.625% 22.10.2021_15646987</t>
  </si>
  <si>
    <t>BMW FINANCE NV EMTN FIX 0.125% 13.07.2022_17745733</t>
  </si>
  <si>
    <t>JACKSON NATL LIFE GLOBAL 144A VAR 27.06.2022_12606277</t>
  </si>
  <si>
    <t>AMBAC ASSURANCE CORP_22554130</t>
  </si>
  <si>
    <t>EQUINOR ASA EMTN FIX 2.875% 10.09.2025_5436128</t>
  </si>
  <si>
    <t>REPUBLIC OF SRI LANKA REGS FIX 5.750% 18.04.2023_14536858</t>
  </si>
  <si>
    <t>ADANI ELECTRICITY MUMBAI REGS FIX 3.949% 12.02.2030_19748440</t>
  </si>
  <si>
    <t>25428200_LU0003_LU0003_LXEUR</t>
  </si>
  <si>
    <t>LU0003 BAE SYSTEMS PLC SR UNSEC REGS 0565109G7_IE00B5ZR2157_GBP LU0003_LXEUR_25428200_LU0003_LU0003_LXEUR</t>
  </si>
  <si>
    <t>24748797_LU0003_LU0003_LXEUR</t>
  </si>
  <si>
    <t>LU0003 ADCB FINANCE CAYMAN LTD AP5775634_IE00BMTRWY37_AUD LU0003_LXEUR_24748797_LU0003_LU0003_LXEUR</t>
  </si>
  <si>
    <t>ISRAEL TREASURY BILL MOF 1121 ZERO 30.11.2021_23170668</t>
  </si>
  <si>
    <t>ROGERS COMMUNICATIONS IN VAR 22.03.2022_20982109</t>
  </si>
  <si>
    <t>24394870_LU0003_LU0003_LXEUR</t>
  </si>
  <si>
    <t>LU0003 CHINA EVERGRANDE GROUP AO0636297_IE00B464Q616_USD LU0003_LXEUR_24394870_LU0003_LU0003_LXEUR</t>
  </si>
  <si>
    <t>24394861_LU0003_LU0003_LXEUR</t>
  </si>
  <si>
    <t>LU0003 PURE FINANCE SA PPE42IWO7__USD LU0003_LXEUR_24394861_LU0003_LU0003_LXEUR</t>
  </si>
  <si>
    <t>24748921_LU0003_LU0003_LXEUR</t>
  </si>
  <si>
    <t>LU0003 SA GLOBAL SUKUK LTD SR UNSEC REGS BP9911390_IE00B464Q616_USD LU0003_LXEUR_24748921_LU0003_LU0003_LXEUR</t>
  </si>
  <si>
    <t>VIRGIN MONEY UK PLC FIX TO FLOAT 2.875% 24.06.2025_21005393</t>
  </si>
  <si>
    <t>ONEMAIN FINANCE CORP FIX 4.000% 15.09.2030_22465795</t>
  </si>
  <si>
    <t>INTRUM AB REGS FIX 3.500% 15.07.2026_18073286</t>
  </si>
  <si>
    <t>24749009_LU0003_LU0003_LXEUR</t>
  </si>
  <si>
    <t>LU0003 WEST CHINA CEMENT LTD SR UNSEC REGS BQ3057743_IE00B464Q616_USD LU0003_LXEUR_24749009_LU0003_LU0003_LXEUR</t>
  </si>
  <si>
    <t>INTESA SANPAOLO SPA EMTN CONV FIX TO FLOAT 5.875% 01.03.2198_21610162</t>
  </si>
  <si>
    <t>TIMES CHINA HLDG LTD FIX 6.600% 02.03.2023_13637351</t>
  </si>
  <si>
    <t>PARK AEROSPACE HOLDINGS 144A FIX 4.500% 15.03.2023_13112162</t>
  </si>
  <si>
    <t>VOLKSWAGEN FIN SERV AG EMTN FIX 0.875% 12.04.2023_14499833</t>
  </si>
  <si>
    <t>ARROW ELECTRONICS INC FIX 3.500% 01.04.2022_8351094</t>
  </si>
  <si>
    <t>REPUBLIC OF INDONESIA FIX 1.400% 30.10.2031_18980137</t>
  </si>
  <si>
    <t>OKLAHOMA G&amp;E CO FIX 0.553% 26.05.2023_24203931</t>
  </si>
  <si>
    <t>YUZHOU GROUP FIX 7.375% 13.01.2026_19475893</t>
  </si>
  <si>
    <t>REPUBLIC OF SRI LANKA REGS FIX 6.750% 18.04.2028_14543370</t>
  </si>
  <si>
    <t>HYUNDAI CAPITAL AMERICA REGS FIX 3.100% 05.04.2022_12187821</t>
  </si>
  <si>
    <t>AT&amp;T INC 144A FIX 3.650% 15.09.2059_21802086</t>
  </si>
  <si>
    <t>SANTANDER UK PLC VAR 15.11.2021_15774248</t>
  </si>
  <si>
    <t>SVENSKA HANDELSBANKEN AB FIX 0.500% 18.02.2030_19785660</t>
  </si>
  <si>
    <t>PERUSAHAAN LISTRIK NEGAR REGS FIX 5.250% 15.05.2047_12402301</t>
  </si>
  <si>
    <t>MARSH &amp; MCLENNAN COS INC FIX 1.349% 21.09.2026_17147948</t>
  </si>
  <si>
    <t>WYNN RESORTS FINANCE LLC 144A FIX 5.125% 01.10.2029_18701432</t>
  </si>
  <si>
    <t>PACIFIC GAS &amp; ELECTRIC MBS FIX 1.750% 16.06.2022_20995748</t>
  </si>
  <si>
    <t>ENERGY TRANSFER LP FIX 7.500% 01.07.2038_951622</t>
  </si>
  <si>
    <t>22623409_LU0003_LU0003_LXEUR</t>
  </si>
  <si>
    <t>LU0003 MELCO RESORTS FINANCE SR UNSEC 144A 58547DAA7_IE00B0C18065_USD LU0003_LXEUR_22623409_LU0003_LU0003_LXEUR</t>
  </si>
  <si>
    <t>24395110_LU0003_LU0003_LXEUR</t>
  </si>
  <si>
    <t>LU0003 KOREA SOUTHERN POWER ZQ2359391_IE00BMTRWY37_AUD LU0003_LXEUR_24395110_LU0003_LU0003_LXEUR</t>
  </si>
  <si>
    <t>AERCAP IRELAND CAP/GLOBA FIX 3.500% 26.05.2022_11877040</t>
  </si>
  <si>
    <t>AIR LEASE CORP FIX 2.750% 15.01.2023_13412749</t>
  </si>
  <si>
    <t>IVORY COAST REGS FIX 5.875% 17.10.2031_18916366</t>
  </si>
  <si>
    <t>INTELSAT JACKSON HLDG 144A 15.07.2025_12606189</t>
  </si>
  <si>
    <t>ENRGY TRANS LP/REG FIN FIX 5.000% 01.10.2022_7323825</t>
  </si>
  <si>
    <t>VERIZON COMMUNICATIONS VAR 15.05.2025_14683362</t>
  </si>
  <si>
    <t>NISSAN MOTOR CO 144A FIX 1.940% 15.09.2023_21860320</t>
  </si>
  <si>
    <t>25094572_LU0003_LU0003_LXEUR</t>
  </si>
  <si>
    <t>LU0003 CHINA DEVELOPMENT BANK BN2974796_IE00BLNMYB83_CNY LU0003_LXEUR_25094572_LU0003_LU0003_LXEUR</t>
  </si>
  <si>
    <t>PETROBRAS GLOBAL FINANCE FIX 6.900% 19.03.2049_17134490</t>
  </si>
  <si>
    <t>BACARDI LTD 144A FIX 4.700% 15.05.2028_14618619</t>
  </si>
  <si>
    <t>SUMMER BC HOLDCO B SARL REGS FIX 5.750% 31.10.2026_18978138</t>
  </si>
  <si>
    <t>25428164_LU0003_LU0003_LXEUR</t>
  </si>
  <si>
    <t>LU0003 KAISA GROUP HOLDINGS LTD SEC AX9574382_IE00B464Q616_USD LU0003_LXEUR_25428164_LU0003_LU0003_LXEUR</t>
  </si>
  <si>
    <t>GENERAL MOTORS CO FIX 6.800% 01.10.2027_20647448</t>
  </si>
  <si>
    <t>19429675_LU0003_LU0003_LXEUR</t>
  </si>
  <si>
    <t>LU0003 CONSTELLATION OIL SA 144A 09.11.2 BB99 21038MAA1 LU0003_LXEUR_19429675_LU0003_LU0003_LXEUR</t>
  </si>
  <si>
    <t>22623387_LU0003_LU0003_LXEUR</t>
  </si>
  <si>
    <t>LU0003 RIO OIL FINANCE TRUST SEC REG EK6069752_IE00B0C18065_USD LU0003_LXEUR_22623387_LU0003_LU0003_LXEUR</t>
  </si>
  <si>
    <t>REPUBLIC OF INDONESIA REGS FIX 4.625% 15.04.2043_4876677</t>
  </si>
  <si>
    <t>RELX FINANCE BV FIX 0.500% 10.03.2028_19950418</t>
  </si>
  <si>
    <t>BPCE SA EMTN FIX 1.000% 01.04.2025_17220547</t>
  </si>
  <si>
    <t>SERVICE PROPERTIES TRUST FIX 4.750% 01.10.2026_18686747</t>
  </si>
  <si>
    <t>DOMINICAN REPUBLIC REGS FIX 6.850% 27.01.2045_8140507</t>
  </si>
  <si>
    <t>SCIENTIFIC GAMES INTERNA REGS FIX 3.375% 15.02.2026_14122089</t>
  </si>
  <si>
    <t>CORESTATE CAPITA CCAP CONV FIX 1.375% 28.11.2022_13452757</t>
  </si>
  <si>
    <t>STATE GRID OVERSEAS INV EMTN FIX 1.303% 05.08.2032_21380829</t>
  </si>
  <si>
    <t>AERCAP IRELAND CAP/GLOBA FIX 3.950% 01.02.2022_10566104</t>
  </si>
  <si>
    <t>MITSUBISHI UFJ FIN GRP VAR 02.03.2023_14272069</t>
  </si>
  <si>
    <t>NATWEST GROUP PLC EMTN FIX TO FLOAT 1.750% 02.03.2026_14275608</t>
  </si>
  <si>
    <t>AMIPEACE LTD EMTN FIX 2.250% 22.10.2030_22063603</t>
  </si>
  <si>
    <t>NATWEST MARKETS PLC 144A FIX 3.625% 29.09.2022_17240179</t>
  </si>
  <si>
    <t>24139267_LU0003_LU0003_LXEUR</t>
  </si>
  <si>
    <t>LU0003 OMAN GOV INTERNTL BOND SR UNSEC REGS BN5332786_IE00B0C18065_USD LU0003_LXEUR_24139267_LU0003_LU0003_LXEUR</t>
  </si>
  <si>
    <t>INDIA GREEN ENERGY HLDNG REGS FIX 5.375% 29.04.2024_22069575</t>
  </si>
  <si>
    <t>25428235_LU0003_LU0003_LXEUR</t>
  </si>
  <si>
    <t>LU0003 PURE FINANCE SA REGS PPEG38TJ6_IE00B5ZR2157_EUR LU0003_LXEUR_25428235_LU0003_LU0003_LXEUR</t>
  </si>
  <si>
    <t>SABINE PASS LIQUEFACTION FIX 5.875% 30.06.2026_12412640</t>
  </si>
  <si>
    <t>22623396_LU0003_LU0003_LXEUR</t>
  </si>
  <si>
    <t>LU0003 ALTICE FRANCE SA SEC 144A 67054KAA7_IE00B0C18065_USD LU0003_LXEUR_22623396_LU0003_LU0003_LXEUR</t>
  </si>
  <si>
    <t>CA IMMOBILIEN ANLAGEN AG FIX 0.875% 05.02.2027_19673877</t>
  </si>
  <si>
    <t>REPUBLIC OF TURKEY FIX 4.250% 13.03.2025_19771038</t>
  </si>
  <si>
    <t>24394846_LU0003_LU0003_LXEUR</t>
  </si>
  <si>
    <t>LU0003 AAC TECHNOLOGIES HOLDING SR UNSEC REGS BP7700860_IE00B464Q616_USD LU0003_LXEUR_24394846_LU0003_LU0003_LXEUR</t>
  </si>
  <si>
    <t>JOHN DEERE CAPITAL CORP MTN VAR 08.09.2022_13044717</t>
  </si>
  <si>
    <t>ASAHI MUTUAL LIFE INSURA PERP FIX TO FLOAT 4.100% 27.07.2198_22902513</t>
  </si>
  <si>
    <t>UNIPOL GRUPPO SPA EMTN FIX 3.250% 23.09.2030_21774078</t>
  </si>
  <si>
    <t>HUTCH WHAMPOA INT 12 II REGS FIX 3.250% 08.11.2022_4329873</t>
  </si>
  <si>
    <t>OCCIDENTAL PETROLEUM COR FIX 3.200% 15.08.2026_18152759</t>
  </si>
  <si>
    <t>22623377_LU0003_LU0003_LXEUR</t>
  </si>
  <si>
    <t>LU0003 RUSSIAN FEDERATION SR UNSEC BD REG S 007142A10_IE00B0C18065_USD LU0003_LXEUR_22623377_LU0003_LU0003_LXEUR</t>
  </si>
  <si>
    <t>VMWARE INC FIX 0.600% 15.08.2023_24747314</t>
  </si>
  <si>
    <t>WYNN LAS VEGAS LLC/CORP 144A FIX 5.250% 15.05.2027_12365026</t>
  </si>
  <si>
    <t>NXP BV/NXP FDG/NXP USA 144A FIX 3.150% 01.05.2027_20538925</t>
  </si>
  <si>
    <t>LAND NORDRHEIN-WESTFALEN FIX 1.500% 13.02.2023_19812482</t>
  </si>
  <si>
    <t>25428135_LU0003_LU0003_LXEUR</t>
  </si>
  <si>
    <t>LU0003 CK HUTCHISON GROUP CO GTD SR UNSEC ZQ0129275_IE00B5ZR2157_EUR LU0003_LXEUR_25428135_LU0003_LU0003_LXEUR</t>
  </si>
  <si>
    <t>SAUDI ARABIAN OIL CO 144A FIX 2.875% 16.04.2024_17356632</t>
  </si>
  <si>
    <t>SASOL FINANCING USA LLC FIX 5.875% 27.03.2024_15479984</t>
  </si>
  <si>
    <t>SWEDBANK AB 144A VAR 14.03.2022_12200132</t>
  </si>
  <si>
    <t>DAVITA INC 144A FIX 4.625% 01.06.2030_20788619</t>
  </si>
  <si>
    <t>21784644_LU0003_LU0003_LXEUR</t>
  </si>
  <si>
    <t>LU0003 IMPERIAL BRANDS FINANCE 4531109K6__GBP LU0003_LXEUR_21784644_LU0003_LU0003_LXEUR</t>
  </si>
  <si>
    <t>AZURE POWER SOLAR ENERGY REGS FIX 5.650% 24.12.2024_18724774</t>
  </si>
  <si>
    <t>25428097_LU0003_LU0003_LXEUR</t>
  </si>
  <si>
    <t>LU0003 PURE FINANCE SA REGS PPE83BVC9_IE00B5ZR2157_EUR LU0003_LXEUR_25428097_LU0003_LU0003_LXEUR</t>
  </si>
  <si>
    <t>24748866_LU0003_LU0003_LXEUR</t>
  </si>
  <si>
    <t>LU0003 PURE FINANCE SA REGS PPE32N7V0_IE00B5ZR2157_GBP LU0003_LXEUR_24748866_LU0003_LU0003_LXEUR</t>
  </si>
  <si>
    <t>GEORGIA-PACIFIC LLC 144A FIX 3.163% 15.11.2021_7778058</t>
  </si>
  <si>
    <t>REPUBLIC OF TURKEY FIX 6.000% 25.03.2027_11854063</t>
  </si>
  <si>
    <t>25428241_LU0003_LU0003_LXEUR</t>
  </si>
  <si>
    <t>LU0003 CREDIT SUISSE AG LONDON SR UNSEC FRN BR1516938_IE00B5ZR2157_EUR LU0003_LXEUR_25428241_LU0003_LU0003_LXEUR</t>
  </si>
  <si>
    <t>EXPORT-IMPORT BANK KOREA VAR 27.04.2023_20466086</t>
  </si>
  <si>
    <t>24139095_LU0003_LU0003_LXEUR</t>
  </si>
  <si>
    <t>LU0003 UKRAINE GOVT BP2701582_IE00B0C18065_USD LU0003_LXEUR_24139095_LU0003_LU0003_LXEUR</t>
  </si>
  <si>
    <t>22623401_LU0003_LU0003_LXEUR</t>
  </si>
  <si>
    <t>LU0003 PEMEX SR UNSEC 71654QCC4_IE00B0C18065_USD LU0003_LXEUR_22623401_LU0003_LU0003_LXEUR</t>
  </si>
  <si>
    <t>24748892_LU0003_LU0003_LXEUR</t>
  </si>
  <si>
    <t>LU0003 BMW FINANCE NV UNSEC BP9616056_IE00BLNMYB83_CNY LU0003_LXEUR_24748892_LU0003_LU0003_LXEUR</t>
  </si>
  <si>
    <t>MEDTRONIC GLOBAL HLDINGS FIX 0.000% 15.03.2023_21834590</t>
  </si>
  <si>
    <t>EMPRESA DE TRANSPORTE ME REGS FIX 4.700% 07.05.2050_20591970</t>
  </si>
  <si>
    <t>KB CAPITAL CO LTD FIX 1.500% 28.10.2025_22099281</t>
  </si>
  <si>
    <t>BHARTI AIRTEL REGS CONV FIX 1.500% 17.02.2025_19567681</t>
  </si>
  <si>
    <t>20113232_LU0003_LU0003_LXEUR</t>
  </si>
  <si>
    <t>LU0003 BAT INTL FINANCE PLC CO GTD EMTN 0705339W6_IE00B5ZR2157_EUR LU0003_LXEUR_20113232_LU0003_LU0003_LXEUR</t>
  </si>
  <si>
    <t>NISSAN MOTOR ACCEPTANCE REGS VAR 13.07.2022_16975009</t>
  </si>
  <si>
    <t>VIRGIN MONEY UK PLC GMTN FIX TO FLOAT 3.125% 22.06.2025_12598390</t>
  </si>
  <si>
    <t>PETROLEOS MEXICANOS FIX 6.625% 15.06.2038_1693856</t>
  </si>
  <si>
    <t>INTERCONTINENTALEXCHANGE VAR 15.06.2023_21555127</t>
  </si>
  <si>
    <t>SYNCHRONY BANK BKNT FIX 3.000% 15.06.2022_12561864</t>
  </si>
  <si>
    <t>24395182_LU0003_LU0003_LXEUR</t>
  </si>
  <si>
    <t>LU0003 BPCE SA EJ7525417_IE00B5ZR2157_EUR LU0003_LXEUR_24395182_LU0003_LU0003_LXEUR</t>
  </si>
  <si>
    <t>PERUSAHAAN PENERBIT SBSN REGS FIX 2.800% 23.06.2030_20993773</t>
  </si>
  <si>
    <t>WYNN MACAU LTD 144A FIX 5.625% 26.08.2028_21563202</t>
  </si>
  <si>
    <t>REPUBLIC OF INDONESIA REGS FIX 5.250% 17.01.2042_3515501</t>
  </si>
  <si>
    <t>CREDIT AGRICOLE SA EMTN FIX 0.375% 21.10.2025_18923344</t>
  </si>
  <si>
    <t>24394881_LU0003_LU0003_LXEUR</t>
  </si>
  <si>
    <t>LU0003 VOLKSWAGEN BANK GMBH SR UNSEC FRN AW8989369_IE00B5ZR2157_EUR LU0003_LXEUR_24394881_LU0003_LU0003_LXEUR</t>
  </si>
  <si>
    <t>ISRAEL ELECTRIC CORP LTD REGS FIX 6.875% 21.06.2023_5149490</t>
  </si>
  <si>
    <t>BANK OF NOVA SCOTIA VAR 31.07.2024_24892936</t>
  </si>
  <si>
    <t>PACIFIC GAS &amp; ELECTRIC FIX 4.200% 01.06.2041_23457590</t>
  </si>
  <si>
    <t>KWG GROUP HOLDINGS FIX 6.000% 11.01.2022_11899224</t>
  </si>
  <si>
    <t>24139230_LU0003_LU0003_LXEUR</t>
  </si>
  <si>
    <t>LU0003 FORTUNE STAR BVI LTD AZ2971093_IE00BGSXQQ02_USD LU0003_LXEUR_24139230_LU0003_LU0003_LXEUR</t>
  </si>
  <si>
    <t>INTL LEASE FINANCE CORP FIX 5.875% 15.08.2022_4121875</t>
  </si>
  <si>
    <t>ENERGY TRANSFER LP FIX 6.125% 15.12.2045_8939457</t>
  </si>
  <si>
    <t>IMPERIAL BRANDS FIN PLC 144A FIX 3.750% 21.07.2022_9073220</t>
  </si>
  <si>
    <t>TEMASEK FINANCIAL I LTD REGS FIX 2.750% 02.08.2061_24828803</t>
  </si>
  <si>
    <t>25094458_LU0003_LU0003_LXEUR</t>
  </si>
  <si>
    <t>LU0003 CENTRAL NIPPON EXPRESSWY AP6364693_IE00B67B7N93_USD LU0003_LXEUR_25094458_LU0003_LU0003_LXEUR</t>
  </si>
  <si>
    <t>CCO HLDGS LLC/CAP CORP 144A FIX 4.250% 01.02.2031_21237289</t>
  </si>
  <si>
    <t>AERCAP IRELAND CAP/GLOBA FIX 3.650% 21.07.2027_12775392</t>
  </si>
  <si>
    <t>ACS ACTIVIDADES CONS Y S EMTN FIX 1.375% 17.06.2025_20925610</t>
  </si>
  <si>
    <t>LENNAR CORP FIX 4.125% 15.01.2022_11804267</t>
  </si>
  <si>
    <t>ODEBRECHT DRILL VIII/IX REGS 01.12.2026_13658441</t>
  </si>
  <si>
    <t>COUNTRY GARDEN HLDGS FIX 3.300% 12.01.2031_22681324</t>
  </si>
  <si>
    <t>AEP TRANSMISSION CO LLC M FIX 3.650% 01.04.2050_20231386</t>
  </si>
  <si>
    <t>FIDELITY NATL INFO SERV FIX 0.375% 01.03.2023_23298166</t>
  </si>
  <si>
    <t>22623386_LU0003_LU0003_LXEUR</t>
  </si>
  <si>
    <t>LU0003 PEMEX SR UNSEC 706451BG5_IE00B0C18065_USD LU0003_LXEUR_22623386_LU0003_LU0003_LXEUR</t>
  </si>
  <si>
    <t>COOPERAT RABOBANK UA/NY VAR 10.01.2022_11911985</t>
  </si>
  <si>
    <t>SYNNEX CORP 144A FIX 1.250% 09.08.2024_24867329</t>
  </si>
  <si>
    <t>DANSKE BANK A/S 144A FIX 5.000% 12.01.2022_16139755</t>
  </si>
  <si>
    <t>BMW FINANCE NV EMTN VAR 24.06.2022_21550423</t>
  </si>
  <si>
    <t>15185765_LU0003_LU0003_LXEUR</t>
  </si>
  <si>
    <t>LU0003 PACIFIC GAS &amp; ELECTRIC MBS FIX 4.650% 01.08.2028 LU0003_LXEUR_15185765_LU0003_LU0003_LXEUR</t>
  </si>
  <si>
    <t>24749003_LU0003_LU0003_LXEUR</t>
  </si>
  <si>
    <t>LU0003 QATAR PETROLEUM SR UNSEC REGS BQ3267243_IE00B464Q616_USD LU0003_LXEUR_24749003_LU0003_LU0003_LXEUR</t>
  </si>
  <si>
    <t>24139212_LU0003_LU0003_LXEUR</t>
  </si>
  <si>
    <t>LU0003 PETRONAS CAPITAL LTD SR UNSEC REGS BP2212408_IE00B464Q616_USD LU0003_LXEUR_24139212_LU0003_LU0003_LXEUR</t>
  </si>
  <si>
    <t>NATIONAL AUSTRALIA BANK 144A VAR 22.05.2022_12512024</t>
  </si>
  <si>
    <t>23914601_LU0003_LU0003_LXEUR</t>
  </si>
  <si>
    <t>LU0003 IND &amp; COMM BK OF CHINA SUB REGS UV8899758_IE00B464Q616_USD LU0003_LXEUR_23914601_LU0003_LU0003_LXEUR</t>
  </si>
  <si>
    <t>20385499_LU0003_LU0003_LXEUR</t>
  </si>
  <si>
    <t>LU0003 INDONESIA (REP OF) BD REGS 004135A82_IE0030759645_USD LU0003_LXEUR_20385499_LU0003_LU0003_LXEUR</t>
  </si>
  <si>
    <t>AIRCASTLE LTD FIX 5.000% 01.04.2023_10318069</t>
  </si>
  <si>
    <t>JOHN LEWIS PLC FIX 4.250% 18.12.2034_7936200</t>
  </si>
  <si>
    <t>VMWARE INC FIX 1.000% 15.08.2024_24735912</t>
  </si>
  <si>
    <t>DNB BANK ASA 144A VAR 02.12.2022_19240912</t>
  </si>
  <si>
    <t>ING GROEP NV CONV FIX TO FLOAT 6.500% 16.10.2198_8606912</t>
  </si>
  <si>
    <t>REPUBLIC OF INDONESIA FIX 1.450% 18.09.2026_17782763</t>
  </si>
  <si>
    <t>MATTERHORN TELECOM SA REGS FIX 3.125% 15.09.2026_18676480</t>
  </si>
  <si>
    <t>24748992_LU0003_LU0003_LXEUR</t>
  </si>
  <si>
    <t>LU0003 TML HOLDINGS PTE LTD SR UNSEC BP9083935_IE00B464Q616_USD LU0003_LXEUR_24748992_LU0003_LU0003_LXEUR</t>
  </si>
  <si>
    <t>25428275_LU0003_LU0003_LXEUR</t>
  </si>
  <si>
    <t>LU0003 UBS AG LONDON SR UNSEC REGS SOFR BQ8568256_IE00B5ZR2157_USD LU0003_LXEUR_25428275_LU0003_LU0003_LXEUR</t>
  </si>
  <si>
    <t>BERRY GLOBAL INC 144A FIX 4.875% 15.07.2026_17616141</t>
  </si>
  <si>
    <t>WASHINGTON ST HLTH CA MUNI VAR 01.01.2042_14504602</t>
  </si>
  <si>
    <t>FORD MOTOR CREDIT CO LLC MTN FIX 3.550% 07.10.2022_18762283</t>
  </si>
  <si>
    <t>ROSSINI SARL REGS FIX 6.750% 30.10.2025_15645627</t>
  </si>
  <si>
    <t>24394829_LU0003_LU0003_LXEUR</t>
  </si>
  <si>
    <t>LU0003 RYANAIR DAC SR UNSEC REGS BP5503423__EUR LU0003_LXEUR_24394829_LU0003_LU0003_LXEUR</t>
  </si>
  <si>
    <t>25428029_LU0003_LU0003_LXEUR</t>
  </si>
  <si>
    <t>LU0003 BECTON DICKINSON AND CO SR UNSEC BQ9087603_IE00B5ZR2157_EUR LU0003_LXEUR_25428029_LU0003_LU0003_LXEUR</t>
  </si>
  <si>
    <t>CONTEMPRY RUIDNG DEVELOP FIX 1.875% 17.09.2025_21736822</t>
  </si>
  <si>
    <t>FORD MOTOR CREDIT CO LLC FIX 3.813% 12.10.2021_15217220</t>
  </si>
  <si>
    <t>CGG SA 144A FIX 8.750% 01.04.2027_23545374</t>
  </si>
  <si>
    <t>KINDER MORGAN ENER PART FIX 7.300% 15.08.2033_260991</t>
  </si>
  <si>
    <t>WESTINGHOUSE AIR BRAKE FIX 3.200% 15.06.2025_20993775</t>
  </si>
  <si>
    <t>22623382_LU0003_LU0003_LXEUR</t>
  </si>
  <si>
    <t>LU0003 CENTRAL NIPPON EXPRESSWY AM6156708_IE00BMTRWY37_USD LU0003_LXEUR_22623382_LU0003_LU0003_LXEUR</t>
  </si>
  <si>
    <t>VOLKSWAGEN GROUP AMERICA 144A FIX 4.000% 12.11.2021_15774249</t>
  </si>
  <si>
    <t>OCCIDENTAL PETROLEUM COR FIX 5.500% 01.12.2025_22466874</t>
  </si>
  <si>
    <t>SOCIETE GENERALE . FIX 0.000% 27.05.2022_17621838</t>
  </si>
  <si>
    <t>PETROLEOS MEXICANOS FIX 3.625% 24.11.2025_14731422</t>
  </si>
  <si>
    <t>MATTEL INC 144A FIX 3.375% 01.04.2026_23469260</t>
  </si>
  <si>
    <t>CITIGROUP INC _ VAR 25.04.2022_12339029</t>
  </si>
  <si>
    <t>REPUBLIC OF PARAGUAY REGS FIX 6.100% 11.08.2044_7379418</t>
  </si>
  <si>
    <t>PETROLEOS MEXICANOS EMTN FIX 3.750% 21.02.2024_11984772</t>
  </si>
  <si>
    <t>REPUBLIC OF COLOMBIA FIX 5.625% 26.02.2044_6542693</t>
  </si>
  <si>
    <t>CHENIERE ENERGY PARTNERS 144A FIX 4.000% 01.03.2031_23353567</t>
  </si>
  <si>
    <t>GEELY AUTOMOBILE FIX 3.625% 25.01.2023_14060700</t>
  </si>
  <si>
    <t>CITIGROUP INC FIX 2.750% 25.04.2022_12294996</t>
  </si>
  <si>
    <t>24395050_LU0003_LU0003_LXEUR</t>
  </si>
  <si>
    <t>LU0003 PURE FINANCE SA REGS PPE92D947__EUR LU0003_LXEUR_24395050_LU0003_LU0003_LXEUR</t>
  </si>
  <si>
    <t>24204074_LU0003_LU0003_LXEUR</t>
  </si>
  <si>
    <t>LU0003 EXPORT DEVELOPMNT CANADA MTN FIX 0.520% 26.05.2024 LU0003_LXEUR_24204074_LU0003_LU0003_LXEUR</t>
  </si>
  <si>
    <t>ROMANIA REGS FIX 2.625% 02.12.2040_22323049</t>
  </si>
  <si>
    <t>20113241_LU0003_LU0003_LXEUR</t>
  </si>
  <si>
    <t>LU0003 ELECTRICITE DE FRANCE UNSEC EMTN 5354789D5_IE00B5ZR2157_EUR LU0003_LXEUR_20113241_LU0003_LU0003_LXEUR</t>
  </si>
  <si>
    <t>INTESA SANPAOLO SPA FIX 4.198% 01.06.2032_24176486</t>
  </si>
  <si>
    <t>JPMORGAN CHASE &amp; CO VAR 24.10.2023_11384399</t>
  </si>
  <si>
    <t>SANDS CHINA LTD FIX 3.800% 08.01.2026_23039281</t>
  </si>
  <si>
    <t>HYUNDAI CAPITAL AMERICA 144A FIX 3.950% 01.02.2022_17020265</t>
  </si>
  <si>
    <t>CAESARS RESORT / FINCO 144A FIX 5.750% 01.07.2025_21026165</t>
  </si>
  <si>
    <t>MARRIOTT OWNERSHIP/ILG FIX 6.500% 15.09.2026_17876603</t>
  </si>
  <si>
    <t>SINOPEC GRP OVERSEA 2015 REGS FIX 1.000% 28.04.2022_8657585</t>
  </si>
  <si>
    <t>ROCKIES EXPRESS PIPELINE 144A FIX 4.800% 15.05.2030_19612064</t>
  </si>
  <si>
    <t>NISSAN MOTOR ACCEPTANCE REGS VAR 28.09.2022_16974253</t>
  </si>
  <si>
    <t>RECKITT BENCKISER TSY 144A VAR 24.06.2022_12610741</t>
  </si>
  <si>
    <t>AMERN MUN PWR-B-BABS MUNI FIX 6.449% 15.02.2044_2106487</t>
  </si>
  <si>
    <t>ABJA INVESTMENT CO FIX 5.450% 24.01.2028_14073575</t>
  </si>
  <si>
    <t>ROYAL BANK OF CANADA MTN VAR 26.10.2023_22281224</t>
  </si>
  <si>
    <t>FORD MOTOR CREDIT CO LLC FIX 2.330% 25.11.2025_19149584</t>
  </si>
  <si>
    <t>FREDDIE MAC FIX 0.600% 20.10.2025_21990809</t>
  </si>
  <si>
    <t>ABERTIS INFRAESTRUCTURAS EMTN FIX 2.250% 29.03.2029_21020084</t>
  </si>
  <si>
    <t>NISSAN MOTOR CO 144A FIX 4.345% 17.09.2027_21736771</t>
  </si>
  <si>
    <t>23914746_LU0003_LU0003_LXEUR</t>
  </si>
  <si>
    <t>LU0003 ABJA INVESTMENT CO SR UNSEC AQ7824529_IE00B464Q616_USD LU0003_LXEUR_23914746_LU0003_LU0003_LXEUR</t>
  </si>
  <si>
    <t>FEDERAL HOME LOAN BANK FIX 1.020% 24.02.2027_23264059</t>
  </si>
  <si>
    <t>MORGAN STANLEY GMTN VAR 08.05.2024_12299582</t>
  </si>
  <si>
    <t>22623395_LU0003_LU0003_LXEUR</t>
  </si>
  <si>
    <t>LU0003 BANCO DO BRASIL (CAYMAN) SR UNSEC 05958AAJ7_IE0030759645_USD LU0003_LXEUR_22623395_LU0003_LU0003_LXEUR</t>
  </si>
  <si>
    <t>LEASEPLAN CORPORATION NV EMTN FIX 1.000% 02.05.2023_14579747</t>
  </si>
  <si>
    <t>GRAY OAK PIPELINE LLC 144A FIX 3.450% 15.10.2027_21743758</t>
  </si>
  <si>
    <t>FANNIE MAE FIX 0.700% 30.07.2025_21365024</t>
  </si>
  <si>
    <t>21VIANET GROUP INC FIX 7.875% 15.10.2021_17357779</t>
  </si>
  <si>
    <t>CHINA SCE GRP HLDGS LTD FIX 5.875% 10.03.2022_12115855</t>
  </si>
  <si>
    <t>KASIKORNBANK PCL HK EMTN CONV FIX TO FLOAT 5.275% 14.04.2198_22125349</t>
  </si>
  <si>
    <t>BARCLAYS PLC . CONV FIX TO FLOAT 7.875% 15.12.2198_11082668</t>
  </si>
  <si>
    <t>22623425_LU0003_LU0003_LXEUR</t>
  </si>
  <si>
    <t>LU0003 INTESA SANPAOLO SPA SUB 144A 46115HAT4_IE00B0C18065_USD LU0003_LXEUR_22623425_LU0003_LU0003_LXEUR</t>
  </si>
  <si>
    <t>25094519_LU0003_LU0003_LXEUR</t>
  </si>
  <si>
    <t>LU0003 PURE FINANCE SA REGS PPEB3D0O6_IE00B5ZR2157_EUR LU0003_LXEUR_25094519_LU0003_LU0003_LXEUR</t>
  </si>
  <si>
    <t>15712325_LU0003_LU0003_LXEUR</t>
  </si>
  <si>
    <t>LU0003 SCENERY JOURNEY LTD FIX 13.000% 06.11.2022 LU0003_LXEUR_15712325_LU0003_LU0003_LXEUR</t>
  </si>
  <si>
    <t>CREDIT SUISSE GROUP AG 144A FIX 3.574% 09.01.2023_11812756</t>
  </si>
  <si>
    <t>UNICREDIT SPA 144A FIX TO FLOAT 2.569% 22.09.2026_21761408</t>
  </si>
  <si>
    <t>ABBVIE INC FIX 3.450% 15.03.2022_22270574</t>
  </si>
  <si>
    <t>STATE OF ISRAEL EMTN FIX 0.000% 22.07.2022_21322748</t>
  </si>
  <si>
    <t>23914513_LU0003_LU0003_LXEUR</t>
  </si>
  <si>
    <t>LU0003 CHINA EVERGRANDE GROUP SEC ZS0897661_IE00B464Q616_USD LU0003_LXEUR_23914513_LU0003_LU0003_LXEUR</t>
  </si>
  <si>
    <t>SAUDI INTERNATIONAL BOND REGS FIX 2.900% 22.10.2025_20435362</t>
  </si>
  <si>
    <t>DOMETIC GROUP AB EMTN FIX 3.000% 08.05.2026_17468382</t>
  </si>
  <si>
    <t>GREENLAND GLB INVST EMTN FIX 6.250% 16.12.2022_20928675</t>
  </si>
  <si>
    <t>MIZUHO FINANCIAL GROUP VAR 16.07.2023_18126165</t>
  </si>
  <si>
    <t>GNL QUINTERO SA REGS FIX 4.634% 31.07.2029_7333092</t>
  </si>
  <si>
    <t>ROCKIES EXPRESS PIPELINE 144A FIX 4.950% 15.07.2029_17327708</t>
  </si>
  <si>
    <t>MELCO RESORTS FINANCE 144A FIX 5.750% 21.07.2028_21282228</t>
  </si>
  <si>
    <t>24139277_LU0003_LU0003_LXEUR</t>
  </si>
  <si>
    <t>LU0003 KOMATSU FINANCE AMERICA CO GTD AP0072607_IE00B67B7N93_USD LU0003_LXEUR_24139277_LU0003_LU0003_LXEUR</t>
  </si>
  <si>
    <t>MORGAN STANLEY FIX TO FLOAT 0.731% 05.04.2024_23893620</t>
  </si>
  <si>
    <t>25428191_LU0003_LU0003_LXEUR</t>
  </si>
  <si>
    <t>LU0003 NATIONAL GRID ELECT TRANS UNSUB 6374WA9B3_IE00B5ZR2157_GBP LU0003_LXEUR_25428191_LU0003_LU0003_LXEUR</t>
  </si>
  <si>
    <t>CREDIT SUISSE AG 144A CONV FIX 6.500% 08.08.2023_5325710</t>
  </si>
  <si>
    <t>MUTHOOT FINANCE LTD REGS FIX 4.400% 02.09.2023_19854529</t>
  </si>
  <si>
    <t>AMER AIRLINE 16-3 AA PTT FIX 3.000% 15.10.2028_11218526</t>
  </si>
  <si>
    <t>NISSAN MOTOR ACCEPTANCE 144A FIX 2.000% 09.03.2026_23431288</t>
  </si>
  <si>
    <t>WOODSIDE FINANCE LTD 144A FIX 3.700% 15.09.2026_11163655</t>
  </si>
  <si>
    <t>COTY INC REGS FIX 4.000% 15.04.2023_14455836</t>
  </si>
  <si>
    <t>WOORI BANK REGS PERP FIX TO FLOAT 4.250% 04.04.2198_18782691</t>
  </si>
  <si>
    <t>OCCIDENTAL PETROLEUM COR FIX 4.300% 15.08.2039_18154854</t>
  </si>
  <si>
    <t>REPUBLIC OF ECUADOR REGS STEP 1.000% 31.07.2035_21644217</t>
  </si>
  <si>
    <t>PACIFIC GAS &amp; ELECTRIC MBS FIX 2.100% 01.08.2027_21007337</t>
  </si>
  <si>
    <t>BARCLAYS PLC CONV FIX TO FLOAT 6.125% 15.12.2198_21473846</t>
  </si>
  <si>
    <t>24395108_LU0003_LU0003_LXEUR</t>
  </si>
  <si>
    <t>LU0003 BNG BANK NV AS0887859_IE00B67B7N93_USD LU0003_LXEUR_24395108_LU0003_LU0003_LXEUR</t>
  </si>
  <si>
    <t>20113399_LU0003_LU0003_LXEUR</t>
  </si>
  <si>
    <t>LU0003 SOUTHERN POWER CO LW2549118_IE00B5ZR2157_EUR LU0003_LXEUR_20113399_LU0003_LU0003_LXEUR</t>
  </si>
  <si>
    <t>AERCAP IRELAND CAP/GLOBA FIX 4.450% 16.12.2021_16113933</t>
  </si>
  <si>
    <t>BANQUE FED CRED MUTUEL 144A FIX 0.650% 27.02.2024_22317447</t>
  </si>
  <si>
    <t>GAZPROM PJSC (GAZ FN) FIX 3.000% 29.06.2027_21042940</t>
  </si>
  <si>
    <t>DEUTSCHE BANK NY VAR 27.02.2023_14256170</t>
  </si>
  <si>
    <t>ITAU UNIBANCO HLDG SA/KY REGS FIX 2.900% 24.01.2023_19612059</t>
  </si>
  <si>
    <t>JOLLIBEE WORLDWIDE PTE L FIX 4.750% 24.06.2030_21015446</t>
  </si>
  <si>
    <t>MITSUBISHI HC CAPITAL 144A FIX 2.652% 19.09.2022_13102389</t>
  </si>
  <si>
    <t>SANTANDER UK GROUP HLDGS FIX 3.571% 10.01.2023_11773262</t>
  </si>
  <si>
    <t>NUSTAR LOGISTICS LP FIX 5.625% 28.04.2027_12308376</t>
  </si>
  <si>
    <t>PACIFIC GAS &amp; ELECTRIC MBS FIX 3.300% 15.03.2027_12077048</t>
  </si>
  <si>
    <t>IHO VERWALTUNGS GMBH REGS 15.05.2025_17634084</t>
  </si>
  <si>
    <t>SUMITOMO MITSUI BANK NY YCD VAR 14.02.2022_24395138</t>
  </si>
  <si>
    <t>HSBC HOLDINGS PLC FIX TO FLOAT 2.804% 24.05.2032_24123126</t>
  </si>
  <si>
    <t>LANDWIRTSCH. RENTENBANK 36 FIX 2.000% 06.12.2021_11583648</t>
  </si>
  <si>
    <t>23914824_LU0003_LU0003_LXEUR</t>
  </si>
  <si>
    <t>LU0003 ENERGEAN ISRAEL FINANCE SEC SMR BO3321805_IE00B0C18065_USD LU0003_LXEUR_23914824_LU0003_LU0003_LXEUR</t>
  </si>
  <si>
    <t>HSBC HOLDINGS PLC FIX TO FLOAT 3.262% 13.03.2023_12077015</t>
  </si>
  <si>
    <t>BAT INTL FINANCE PLC 144A FIX 3.950% 15.06.2025_8904920</t>
  </si>
  <si>
    <t>23494642_LU0003_LU0003_LXEUR</t>
  </si>
  <si>
    <t>LU0003 DELL INTERNATIONAL LLC US0001M 2% 2025-09-19 USD 19.09.2025 2 LU0003_LXEUR_23494642_LU0003_LU0003_LXEUR</t>
  </si>
  <si>
    <t>23531174_LU0003_LU0003_LXEUR</t>
  </si>
  <si>
    <t>LU0003 COTY INC 05.04.2023 LU0003_LXEUR_23531174_LU0003_LU0003_LXEUR</t>
  </si>
  <si>
    <t>BAIDU INC FIX 3.075% 07.04.2025_20244104</t>
  </si>
  <si>
    <t>L-BANK BW FOERDERBANK EMTN VAR 15.03.2022_17351106</t>
  </si>
  <si>
    <t>BRF SA REGS FIX 5.750% 21.09.2050_21771067</t>
  </si>
  <si>
    <t>25094416_LU0003_LU0003_LXEUR</t>
  </si>
  <si>
    <t>LU0003 FORD MOTOR CREDIT CO LLC SR UNSEC AR0503136_IE00B0C18065_EUR LU0003_LXEUR_25094416_LU0003_LU0003_LXEUR</t>
  </si>
  <si>
    <t>SANTANDER HOLDINGS USA FIX 3.450% 02.06.2025_20811032</t>
  </si>
  <si>
    <t>REPUBLIC OF TURKEY FIX 4.750% 26.01.2026_22896289</t>
  </si>
  <si>
    <t>REPUBLIC OF PERU FIX 2.783% 23.01.2031_20447790</t>
  </si>
  <si>
    <t>20214502_LU0003_LU0003_LXEUR</t>
  </si>
  <si>
    <t>LU0003 ALTICE FRANCE HOLDING SA REGS FIX 4.000% 15.02.2028 LU0003_LXEUR_20214502_LU0003_LU0003_LXEUR</t>
  </si>
  <si>
    <t>AKER BP ASA 144A FIX 3.750% 15.01.2030_19494625</t>
  </si>
  <si>
    <t>MOBILE TELESYS (MTS INT) REGS FIX 5.000% 30.05.2023_5043377</t>
  </si>
  <si>
    <t>25428210_LU0003_LU0003_LXEUR</t>
  </si>
  <si>
    <t>LU0003 CHINA AOYUAN GROUP LIMITED AP0441927_IE00B464Q616_USD LU0003_LXEUR_25428210_LU0003_LU0003_LXEUR</t>
  </si>
  <si>
    <t>SEAZEN GROUP LTD FIX 4.450% 13.07.2025_22698144</t>
  </si>
  <si>
    <t>AVOLON HOLDINGS FNDG LTD 144A FIX 5.500% 15.01.2026_21834546</t>
  </si>
  <si>
    <t>SHELL INTERNATIONAL FIN EMTN FIX 1.500% 07.04.2028_20269102</t>
  </si>
  <si>
    <t>VOLKSWAGEN BANK GMBH EMTN FIX 1.875% 31.01.2024_16192340</t>
  </si>
  <si>
    <t>YANGTZE PWR INTL . CONV ZERO 09.11.2021_11479489</t>
  </si>
  <si>
    <t>BAYER US FINANCE LLC 144A FIX 3.000% 08.10.2021_7631442</t>
  </si>
  <si>
    <t>CK HUTCHISON INTL 17 LTD REGS FIX 2.875% 05.04.2022_12193679</t>
  </si>
  <si>
    <t>BNP PARIBAS 144A FIX 3.500% 16.11.2027_13394878</t>
  </si>
  <si>
    <t>MITSUBISHI UFJ FIN GRP FIX 3.218% 07.03.2022_17020309</t>
  </si>
  <si>
    <t>SENSATA TECH INC 144A FIX 4.375% 15.02.2030_18690554</t>
  </si>
  <si>
    <t>AMERICAN HONDA FINANCE MTN VAR 15.02.2022_18913651</t>
  </si>
  <si>
    <t>DOMINICAN REPUBLIC REGS FIX 4.875% 23.09.2032_21781334</t>
  </si>
  <si>
    <t>25428162_LU0003_LU0003_LXEUR</t>
  </si>
  <si>
    <t>LU0003 BARCLAYS PLC SR UNSEC BQ8368673_IE00B0C18065_EUR LU0003_LXEUR_25428162_LU0003_LU0003_LXEUR</t>
  </si>
  <si>
    <t>ROLLS-ROYCE PLC REGS FIX 5.750% 15.10.2027_22042367</t>
  </si>
  <si>
    <t>IMMOBILIARE GRANDE DIST FIX 2.125% 28.11.2024_19162906</t>
  </si>
  <si>
    <t>BRISTOL-MYERS SQUIBB CO FIX 2.600% 16.05.2022_21299666</t>
  </si>
  <si>
    <t>DEUTSCHE BANK NY FIX TO FLOAT 3.035% 28.05.2032_24188547</t>
  </si>
  <si>
    <t>NE PROPERTY BV EMTN FIX 2.625% 22.05.2023_17600993</t>
  </si>
  <si>
    <t>DEUTSCHE BANK AG EMTN FIX 2.625% 16.12.2024_19503566</t>
  </si>
  <si>
    <t>INTESA SANPAOLO SPA EMTN FIX 5.148% 10.06.2030_20861079</t>
  </si>
  <si>
    <t>BRITISH AIR 21-1 A PPT 144A FIX 2.900% 15.03.2035_24738981</t>
  </si>
  <si>
    <t>AMERICAN HONDA FINANCE MTN VAR 27.06.2022_17901009</t>
  </si>
  <si>
    <t>PETROCHINA CO LTD MTN FIX 3.960% 23.04.2024_17447587</t>
  </si>
  <si>
    <t>12544780_LU0003_LU0003_LXEUR</t>
  </si>
  <si>
    <t>LU0003 SUMITOMO MITSUI FINL GRP EMTN VAR 14.06.2022 LU0003_LXEUR_12544780_LU0003_LU0003_LXEUR</t>
  </si>
  <si>
    <t>24139155_LU0003_LU0003_LXEUR</t>
  </si>
  <si>
    <t>LU0003 SANTOS FINANCE LTD SR UNSEC REGS BP2211764_IE00B464Q616_USD LU0003_LXEUR_24139155_LU0003_LU0003_LXEUR</t>
  </si>
  <si>
    <t>DANONE SA 144A FIX 2.077% 02.11.2021_11426623</t>
  </si>
  <si>
    <t>BANK OF AMERICA CORP FIX 4.100% 24.07.2023_5276844</t>
  </si>
  <si>
    <t>25428101_LU0003_LU0003_LXEUR</t>
  </si>
  <si>
    <t>LU0003 ZHENRO PROPERTIES GROUP SR UNSEC BJ4948904_IE00B464Q616_USD LU0003_LXEUR_25428101_LU0003_LU0003_LXEUR</t>
  </si>
  <si>
    <t>FREEDOM MORTGAGE CORP 144A FIX 7.625% 01.05.2026_22033217</t>
  </si>
  <si>
    <t>DANSKE BANK A/S REGS FIX 5.375% 12.01.2024_16140030</t>
  </si>
  <si>
    <t>AERCAP IRELAND CAP/GLOBA FIX 3.500% 15.01.2025_13428954</t>
  </si>
  <si>
    <t>TML HOLDINGS PTE LTD FIX 5.500% 03.06.2024_22526410</t>
  </si>
  <si>
    <t>RIO OIL FINANCE TRUST 144A FIX 9.250% 06.07.2024_7169615</t>
  </si>
  <si>
    <t>GOLDMAN SACHS GROUP INC VAR 24.07.2023_12833954</t>
  </si>
  <si>
    <t>NATWEST GROUP PLC VAR 15.05.2023_12406019</t>
  </si>
  <si>
    <t>HARLEY-DAVIDSON FINL SER 144A FIX 3.350% 15.02.2023_14185572</t>
  </si>
  <si>
    <t>CENTRAL NIPPON EXPRESSWY VAR 02.11.2021_17172496</t>
  </si>
  <si>
    <t>KINDER MORGAN INC/DELAWA GMTN FIX 7.750% 15.01.2032_222886</t>
  </si>
  <si>
    <t>SAUDI INTERNATIONAL BOND REGS FIX 2.375% 26.10.2021_11386214</t>
  </si>
  <si>
    <t>REPUBLIC OF ECUADOR REGS ZERO 31.07.2030_21644219</t>
  </si>
  <si>
    <t>CREDIT AGRICOLE LONDON 144A FIX TO FLOAT 1.907% 16.06.2026_20930569</t>
  </si>
  <si>
    <t>ARAB REPUBLIC OF EGYPT REGS FIX 7.500% 16.02.2061_23170669</t>
  </si>
  <si>
    <t>SPRINT CORP FIX 7.875% 15.09.2023_7823360</t>
  </si>
  <si>
    <t>25094582_LU0003_LU0003_LXEUR</t>
  </si>
  <si>
    <t>LU0003 TEVA PHARM FNC NL II CO GTD SR UNSEC EK8001977_IE00BK9YL094_EUR LU0003_LXEUR_25094582_LU0003_LU0003_LXEUR</t>
  </si>
  <si>
    <t>GE CAPITAL FUNDING LLC FIX 4.550% 15.05.2032_24083947</t>
  </si>
  <si>
    <t>VOLKSWAGEN INTL FIN NV . PERP FIX TO FLOAT 3.500% 17.06.2198_20942445</t>
  </si>
  <si>
    <t>22623420_LU0003_LU0003_LXEUR</t>
  </si>
  <si>
    <t>LU0003 BARCLAYS PLC SUB COCO REGS AM6775317_IE00B0C18065_GBP LU0003_LXEUR_22623420_LU0003_LU0003_LXEUR</t>
  </si>
  <si>
    <t>KWG GROUP HOLDINGS FIX 5.200% 21.09.2022_13123509</t>
  </si>
  <si>
    <t>MIDWEST CONNECTOR CAPIT 144A FIX 3.900% 01.04.2024_17095257</t>
  </si>
  <si>
    <t>23914563_LU0003_LU0003_LXEUR</t>
  </si>
  <si>
    <t>LU0003 JMH CO LTD SR UNSEC BO8615417_IE00B464Q616_USD LU0003_LXEUR_23914563_LU0003_LU0003_LXEUR</t>
  </si>
  <si>
    <t>IDAHO POWER CO K MBS FIX 4.200% 01.03.2048_20229861</t>
  </si>
  <si>
    <t>K+S AG FIX 4.125% 06.12.2021_6338134</t>
  </si>
  <si>
    <t>DAE FUNDING LLC 144A FIX 2.625% 20.03.2025_22827428</t>
  </si>
  <si>
    <t>12363709_LU0003_LU0003_LXEUR</t>
  </si>
  <si>
    <t>LU0003 DAIMLER INTL FINANCE BV EMTN VAR 11.05.2022 LU0003_LXEUR_12363709_LU0003_LU0003_LXEUR</t>
  </si>
  <si>
    <t>CPI PROPERTY GROUP SA PERP FIX TO FLOAT 4.875% 16.10.2198_17355614</t>
  </si>
  <si>
    <t>23914451_LU0003_LU0003_LXEUR</t>
  </si>
  <si>
    <t>LU0003 PAKISTAN GOVT BO8618015_IE00B464Q616_USD LU0003_LXEUR_23914451_LU0003_LU0003_LXEUR</t>
  </si>
  <si>
    <t>NATWEST GROUP PLC CONV FIX TO FLOAT 8.000% 30.09.2198_9159514</t>
  </si>
  <si>
    <t>TESCO CORP TREASURY SERV EMTN FIX 1.375% 24.10.2023_15647467</t>
  </si>
  <si>
    <t>21706559_LU0003_LU0003_LXEUR</t>
  </si>
  <si>
    <t>LU0003 REPUBLIC OF ARGENTINA STEP 2.500% 09.07.2041 LU0003_LXEUR_21706559_LU0003_LU0003_LXEUR</t>
  </si>
  <si>
    <t>TELIA CO AB EMTN FIX 4.000% 22.03.2022_3196426</t>
  </si>
  <si>
    <t>PACIFIC GAS &amp; ELECTRIC MBS FIX 3.250% 15.06.2023_5168869</t>
  </si>
  <si>
    <t>FORD MOTOR CREDIT CO LLC FIX 3.087% 09.01.2023_19474497</t>
  </si>
  <si>
    <t>UNICREDIT SPA 144A FIX 7.830% 04.12.2023_15861122</t>
  </si>
  <si>
    <t>25428255_LU0003_LU0003_LXEUR</t>
  </si>
  <si>
    <t>LU0003 MEDCO PLATINUM ROAD PTE REGS AQ8940324_IE00BGSXQQ02_USD LU0003_LXEUR_25428255_LU0003_LU0003_LXEUR</t>
  </si>
  <si>
    <t>25428019_LU0003_LU0003_LXEUR</t>
  </si>
  <si>
    <t>LU0003 HJ HEINZ CO CO GTD SR UNSEC SMR EK9979585_IE00B5ZR2157_EUR LU0003_LXEUR_25428019_LU0003_LU0003_LXEUR</t>
  </si>
  <si>
    <t>KAISA GROUP HOLDINGS LTD FIX 10.875% 23.07.2023_18066183</t>
  </si>
  <si>
    <t>23914732_LU0003_LU0003_LXEUR</t>
  </si>
  <si>
    <t>LU0003 CHINA SCE GRP HLDGS LTD SEC BO7334697_IE00B464Q616_USD LU0003_LXEUR_23914732_LU0003_LU0003_LXEUR</t>
  </si>
  <si>
    <t>PERRIGO FINANCE UNLIMITD FIX 3.900% 15.12.2024_7860309</t>
  </si>
  <si>
    <t>SUMITOMO MITSUI FINL GRP VAR 18.10.2022_13328830</t>
  </si>
  <si>
    <t>DEUTSCHE BANK NY * VAR 16.11.2022_13412742</t>
  </si>
  <si>
    <t>22623383_LU0003_LU0003_LXEUR</t>
  </si>
  <si>
    <t>LU0003 RIO OIL FINANCE TRUST SEC REG EK3333094_IE00B0C18065_USD LU0003_LXEUR_22623383_LU0003_LU0003_LXEUR</t>
  </si>
  <si>
    <t>23531118_LU0003_LU0003_LXEUR</t>
  </si>
  <si>
    <t>LU0003 NEXTERA ENERGY CAPITAL SR UNSEC 65339KBT6__USD LU0003_LXEUR_23531118_LU0003_LU0003_LXEUR</t>
  </si>
  <si>
    <t>GAZPROM (GAZ CAPITAL SA) REGS FIX 4.950% 19.07.2022_4082454</t>
  </si>
  <si>
    <t>MUFG UNION BANK NA BKNT VAR 09.12.2022_22062096</t>
  </si>
  <si>
    <t>SABINE PASS LIQUEFACTION FIX 5.750% 15.05.2024_7836586</t>
  </si>
  <si>
    <t>CPI PROPERTY GROUP SA EMTN FIX 1.625% 23.04.2027_18941272</t>
  </si>
  <si>
    <t>MARTIN MARIETTA FIX 0.650% 15.07.2023_24426295</t>
  </si>
  <si>
    <t>BANCO SANTANDER CHILE EMTN VAR 28.11.2021_22554127</t>
  </si>
  <si>
    <t>SAUDI INTERNATIONAL BOND REGS FIX 5.250% 16.01.2050_16117364</t>
  </si>
  <si>
    <t>ALTICE FINANCING SA 144A FIX 5.750% 15.08.2029_24923220</t>
  </si>
  <si>
    <t>DELTA AIR LINES/SKYMILES 144A FIX 4.500% 20.10.2025_21771039</t>
  </si>
  <si>
    <t>MUFG BANK LTD EMTN FIX 0.875% 11.03.2022_8416920</t>
  </si>
  <si>
    <t>SANTANDER UK GROUP HLDGS FIX TO FLOAT 3.823% 03.11.2028_13315410</t>
  </si>
  <si>
    <t>ROYAL CARIBBEAN CRUISES 144A FIX 9.125% 15.06.2023_20902600</t>
  </si>
  <si>
    <t>OCCIDENTAL PETROLEUM COR FIX 6.625% 01.09.2030_21521373</t>
  </si>
  <si>
    <t>25094488_LU0003_LU0003_LXEUR</t>
  </si>
  <si>
    <t>LU0003 GAZPROM (GAZ CAPITAL SA) SR UNSEC REGS AL4205160_IE00B5ZR2157_CHF LU0003_LXEUR_25094488_LU0003_LU0003_LXEUR</t>
  </si>
  <si>
    <t>PACIFIC GAS &amp; ELECTRIC MBS FIX 3.950% 01.12.2047_14731185</t>
  </si>
  <si>
    <t>CRED SUIS GP FUN LTD EMTN FIX 1.250% 14.04.2022_8590153</t>
  </si>
  <si>
    <t>24139348_LU0003_LU0003_LXEUR</t>
  </si>
  <si>
    <t>LU0003 GRUENENTHAL GMBH SEC REGS BP2093535_IE00BK9YL094_EUR LU0003_LXEUR_24139348_LU0003_LU0003_LXEUR</t>
  </si>
  <si>
    <t>24395158_LU0003_LU0003_LXEUR</t>
  </si>
  <si>
    <t>LU0003 ALLIED UNI HLD / ALL FIN SEC REGS SMR BP3255414_IE00B0C18065_EUR LU0003_LXEUR_24395158_LU0003_LU0003_LXEUR</t>
  </si>
  <si>
    <t>PERRIGO FINANCE UNLIMITE STEP 3.150% 15.06.2030_20993772</t>
  </si>
  <si>
    <t>DBS GROUP HOLDINGS LTD REGS VAR 25.07.2022_12994167</t>
  </si>
  <si>
    <t>IMMOFINANZ AG FIX 2.625% 27.01.2023_16168537</t>
  </si>
  <si>
    <t>BANCO BILBAO VIZCAYA ARG CONV FIX TO FLOAT 6.000% 29.06.2198_17164668</t>
  </si>
  <si>
    <t>KAISA GROUP HOLDINGS LTD REGS FIX 11.950% 22.10.2022_18946098</t>
  </si>
  <si>
    <t>NXP BV/NXP FUNDING LLC 144A FIX 4.625% 01.06.2023_10578240</t>
  </si>
  <si>
    <t>VMWARE INC FIX 4.700% 15.05.2030_20285513</t>
  </si>
  <si>
    <t>KINGDOM OF JORDAN REGS FIX 4.950% 07.07.2025_21107453</t>
  </si>
  <si>
    <t>KWG GROUP HOLDINGS FIX 7.875% 01.09.2023_16989337</t>
  </si>
  <si>
    <t>STATKRAFT AS EMTN FIX 2.500% 28.11.2022_4373134</t>
  </si>
  <si>
    <t>CATERPILLAR FINL SERVICE MTN VAR 15.05.2023_14691120</t>
  </si>
  <si>
    <t>METINVEST BV 144A FIX 7.750% 23.04.2023_14496882</t>
  </si>
  <si>
    <t>LOGICOR FINANCING SARL CO GTD SR UNSEC AV5251146_15769826</t>
  </si>
  <si>
    <t>24748931_LU0003_LU0003_LXEUR</t>
  </si>
  <si>
    <t>LU0003 ATLANTIA SPA SR UNSEC AM2789346_IE00B0C18065_EUR LU0003_LXEUR_24748931_LU0003_LU0003_LXEUR</t>
  </si>
  <si>
    <t>23914485_LU0003_LU0003_LXEUR</t>
  </si>
  <si>
    <t>LU0003 KIA MOTORS CORP SR UNSEC REGS AP3638768_IE00B67B7N93_USD LU0003_LXEUR_23914485_LU0003_LU0003_LXEUR</t>
  </si>
  <si>
    <t>REPUBLIC OF SERBIA REGS FIX 3.125% 15.05.2027_20658179</t>
  </si>
  <si>
    <t>DEUTSCHE BANK NY FIX TO FLOAT 5.882% 08.07.2031_21092295</t>
  </si>
  <si>
    <t>FEL ENERGY VI SARL REGS FIX 5.750% 01.12.2040_22301296</t>
  </si>
  <si>
    <t>STARBUCKS CORP FIX 1.300% 07.05.2022_20594292</t>
  </si>
  <si>
    <t>DNB BANK ASA REGS VAR 02.12.2022_19666398</t>
  </si>
  <si>
    <t>25094569_LU0003_LU0003_LXEUR</t>
  </si>
  <si>
    <t>LU0003 EXPORT-IMPORT BANK CHINA AX4101272_IE00B5ZR2157_EUR LU0003_LXEUR_25094569_LU0003_LU0003_LXEUR</t>
  </si>
  <si>
    <t>MPLX LP FIX 4.250% 01.12.2027_20774628</t>
  </si>
  <si>
    <t>CIGNA CORP FIX 0.613% 15.03.2024_23394686</t>
  </si>
  <si>
    <t>REPUBLIC OF NIGERIA REGS FIX 7.143% 23.02.2030_14230544</t>
  </si>
  <si>
    <t>BANCO DE SABADELL SA EMTN FIX 1.125% 27.03.2025_18717023</t>
  </si>
  <si>
    <t>DIAMONDBACK ENERGY INC FIX 0.900% 24.03.2023_23545454</t>
  </si>
  <si>
    <t>BANCO SANTANDER SA FIX 3.490% 28.05.2030_20755409</t>
  </si>
  <si>
    <t>NIELSEN FINANCE LLC/CO 144A FIX 4.500% 15.07.2029_24176488</t>
  </si>
  <si>
    <t>DOMINICAN REPUBLIC 144A FIX 6.500% 15.02.2048_14211371</t>
  </si>
  <si>
    <t>SAMHALLSBYGGNADSBOLAGET EMTN FIX 1.750% 14.01.2025_17542240</t>
  </si>
  <si>
    <t>GOLDMAN SACHS GROUP INC FIX TO FLOAT 2.876% 31.10.2022_13298084</t>
  </si>
  <si>
    <t>24748860_LU0003_LU0003_LXEUR</t>
  </si>
  <si>
    <t>LU0003 PURE FINANCE SA PPE92OGE3_IE00B5ZR2157_USD LU0003_LXEUR_24748860_LU0003_LU0003_LXEUR</t>
  </si>
  <si>
    <t>UBS GROUP AG 144A VAR 15.08.2023_12894599</t>
  </si>
  <si>
    <t>MITSUBISHI UFJ FIN GRP FIX 2.998% 22.02.2022_11998306</t>
  </si>
  <si>
    <t>PPL ELECTRIC UTI MBS VAR 24.06.2024_24410842</t>
  </si>
  <si>
    <t>HSH PORTFOLIOMANAGEMENT EMTN VAR 19.11.2021_16974005</t>
  </si>
  <si>
    <t>22554471_LU0003_LU0003_LXEUR</t>
  </si>
  <si>
    <t>LU0003 FORD MOTOR CREDIT CO LLC SR UNSEC AZ0979627_IE00BFZ89957_EUR LU0003_LXEUR_22554471_LU0003_LU0003_LXEUR</t>
  </si>
  <si>
    <t>22062099_LU0003_LU0003_LXEUR</t>
  </si>
  <si>
    <t>LU0003 RABOBANK NEDERLAND SR UNSECURED EMTN 7497799W6_IE00B5ZR2157_EUR LU0003_LXEUR_22062099_LU0003_LU0003_LXEUR</t>
  </si>
  <si>
    <t>MDGH - GMTN BV GMTN FIX 3.950% 21.05.2050_20668560</t>
  </si>
  <si>
    <t>TOKYO METROPOLITAN GOVT REGS FIX 2.500% 08.06.2022_12505494</t>
  </si>
  <si>
    <t>DEUTSCHE BANK AG EMTN VAR 16.05.2022_12398504</t>
  </si>
  <si>
    <t>BANCO SANTANDER SA CONV FIX TO FLOAT 4.375% 14.04.2198_19566679</t>
  </si>
  <si>
    <t>BARCLAYS PLC * VAR 15.02.2023_15774240</t>
  </si>
  <si>
    <t>21784690_LU0003_LU0003_LXEUR</t>
  </si>
  <si>
    <t>LU0003 AT&amp;T INC SR UNSEC EJ9203898__EUR LU0003_LXEUR_21784690_LU0003_LU0003_LXEUR</t>
  </si>
  <si>
    <t>BUKIT MAKMUR MANDIRI UTA REGS FIX 7.750% 10.02.2026_22964845</t>
  </si>
  <si>
    <t>24395314_LU0003_LU0003_LXEUR</t>
  </si>
  <si>
    <t>LU0003 UNITED GROUP BV SR SEC SMR AO3427801_IE00B0C18065_EUR LU0003_LXEUR_24395314_LU0003_LU0003_LXEUR</t>
  </si>
  <si>
    <t>BAXTER INTERNATIONAL INC FIX 1.300% 15.05.2029_17568070</t>
  </si>
  <si>
    <t>EASY TACTIC LTD FIX 9.125% 28.07.2022_16711402</t>
  </si>
  <si>
    <t>24139120_LU0003_LU0003_LXEUR</t>
  </si>
  <si>
    <t>LU0003 FWD LTD EK5014338_IE00BGSXQQ02_USD LU0003_LXEUR_24139120_LU0003_LU0003_LXEUR</t>
  </si>
  <si>
    <t>GAZPROM PJSC (GAZ FN) 144A FIX 3.250% 25.02.2030_19834668</t>
  </si>
  <si>
    <t>EASY TACTIC LTD FIX 11.750% 02.08.2023_22954813</t>
  </si>
  <si>
    <t>25428237_LU0003_LU0003_LXEUR</t>
  </si>
  <si>
    <t>LU0003 HUARONG UNI INV HOLDING AQ2190470_IE00BK9YL094_EUR LU0003_LXEUR_25428237_LU0003_LU0003_LXEUR</t>
  </si>
  <si>
    <t>VOLKSWAGEN LEASING GMBH EMTN FIX 2.625% 15.01.2024_6463543</t>
  </si>
  <si>
    <t>24139413_LU0003_LU0003_LXEUR</t>
  </si>
  <si>
    <t>LU0003 NWD FINANCE (BVI) LTD SR UNSEC BM8780116_IE00B464Q616_USD LU0003_LXEUR_24139413_LU0003_LU0003_LXEUR</t>
  </si>
  <si>
    <t>24139215_LU0003_LU0003_LXEUR</t>
  </si>
  <si>
    <t>LU0003 LLOYDS BANKING GROUP PLC AP1140486_IE00BMTRWY37_AUD LU0003_LXEUR_24139215_LU0003_LU0003_LXEUR</t>
  </si>
  <si>
    <t>TENNESSEE GAS PIPELINE FIX 8.375% 15.06.2032_478090</t>
  </si>
  <si>
    <t>EQT CORP STEP 6.625% 01.02.2025_19603895</t>
  </si>
  <si>
    <t>WOORI BANK REGS PERP FIX TO FLOAT 5.250% 16.11.2198_12399821</t>
  </si>
  <si>
    <t>MPT OPER PARTNERSP/FINL FIX 4.000% 19.08.2022_9189714</t>
  </si>
  <si>
    <t>23914490_LU0003_LU0003_LXEUR</t>
  </si>
  <si>
    <t>LU0003 RELIANCE HOLDINGS USA EJ0204564_IE00BMTRWY37_USD LU0003_LXEUR_23914490_LU0003_LU0003_LXEUR</t>
  </si>
  <si>
    <t>BOC AVIATION LTD 144A FIX 2.750% 18.09.2022_13093830</t>
  </si>
  <si>
    <t>23914465_LU0003_LU0003_LXEUR</t>
  </si>
  <si>
    <t>LU0003 GOLDMAN SACHS GROUP INC SR UNSEC SOFR 38141GXV1_IE00B67B7N93_USD LU0003_LXEUR_23914465_LU0003_LU0003_LXEUR</t>
  </si>
  <si>
    <t>DUKE ENERGY CORP VAR 11.03.2022_17087433</t>
  </si>
  <si>
    <t>KOMMUNALBANKEN AS 144A VAR 24.02.2022_21238745</t>
  </si>
  <si>
    <t>23914521_LU0003_LU0003_LXEUR</t>
  </si>
  <si>
    <t>LU0003 CGG SA 1ST LIEN REGS SMR BO5821505_IE00BK9YL094_EUR LU0003_LXEUR_23914521_LU0003_LU0003_LXEUR</t>
  </si>
  <si>
    <t>REPUBLIC OF BELARUS REGS FIX 5.875% 24.02.2026_21005401</t>
  </si>
  <si>
    <t>BANCO BILBAO VIZCAYA ARG . CONV FIX TO FLOAT 5.875% 24.12.2198_15462936</t>
  </si>
  <si>
    <t>24748915_LU0003_LU0003_LXEUR</t>
  </si>
  <si>
    <t>LU0003 FANTASIA HOLDINGS GROUP AW2213691_IE00B464Q616_USD LU0003_LXEUR_24748915_LU0003_LU0003_LXEUR</t>
  </si>
  <si>
    <t>SPRINT COMMUNICATIONS FIX 6.000% 15.11.2022_4337950</t>
  </si>
  <si>
    <t>BNP PARIBAS 144A FIX 4.400% 14.08.2028_15223787</t>
  </si>
  <si>
    <t>25428110_LU0003_LU0003_LXEUR</t>
  </si>
  <si>
    <t>LU0003 BAT INTL FINANCE PLC CO GTD EMTN 008809A88_IE00B5ZR2157_GBP LU0003_LXEUR_25428110_LU0003_LU0003_LXEUR</t>
  </si>
  <si>
    <t>PLAINS ALL AMER PIPELINE FIX 3.600% 01.11.2024_7499016</t>
  </si>
  <si>
    <t>14743028_LU0003_LU0003_LXEUR</t>
  </si>
  <si>
    <t>LU0003 TEVA PHARM FNC NL II FIX 4.500% 01.03.2025 LU0003_LXEUR_14743028_LU0003_LU0003_LXEUR</t>
  </si>
  <si>
    <t>DAE SUKUK DIFC LTD 144A FIX 3.750% 15.02.2026_22289604</t>
  </si>
  <si>
    <t>PETRONAS CAPITAL LTD REGS FIX 4.550% 21.04.2050_20423716</t>
  </si>
  <si>
    <t>ING GROEP NV EMTN FIX 0.750% 09.03.2022_12051925</t>
  </si>
  <si>
    <t>BARCLAYS PLC EMTN FIX 3.125% 17.01.2024_11821205</t>
  </si>
  <si>
    <t>WYNN MACAU LTD 144A FIX 5.500% 01.10.2027_13105590</t>
  </si>
  <si>
    <t>PETROLEOS MEXICANOS FIX 6.840% 23.01.2030_22106685</t>
  </si>
  <si>
    <t>FIFTH THIRD BANK BKNT VAR 01.02.2022_16588743</t>
  </si>
  <si>
    <t>NE PROPERTY BV FIX 3.375% 14.07.2027_21226546</t>
  </si>
  <si>
    <t>ROMANIA EMTN FIX 4.125% 11.03.2039_15552694</t>
  </si>
  <si>
    <t>IPALCO ENTERPRISES INC FIX 4.250% 01.05.2030_24107793</t>
  </si>
  <si>
    <t>DELL INT LLC / EMC CORP FIX 6.020% 15.06.2026_24423125</t>
  </si>
  <si>
    <t>23914656_LU0003_LU0003_LXEUR</t>
  </si>
  <si>
    <t>LU0003 SUNSHINE CITY GROUP AP7433927_IE00B464Q616_CNY LU0003_LXEUR_23914656_LU0003_LU0003_LXEUR</t>
  </si>
  <si>
    <t>ELECTRICITE DE FRANCE SA 144A FIX 4.500% 21.09.2028_15469247</t>
  </si>
  <si>
    <t>ABU DHABI GOVT INT'L REGS FIX 2.700% 02.09.2070_21610161</t>
  </si>
  <si>
    <t>GREIF INC 144A FIX 6.500% 01.03.2027_16583502</t>
  </si>
  <si>
    <t>BOMBARDIER INC 144A FIX 6.125% 15.01.2023_4553018</t>
  </si>
  <si>
    <t>PERUSAHAAN PENERBIT SBSN REGS FIX 3.800% 23.06.2050_20993774</t>
  </si>
  <si>
    <t>23914479_LU0003_LU0003_LXEUR</t>
  </si>
  <si>
    <t>LU0003 PETRONAS ENERGY CANADA GTD SR UNSEC REGS BO6047746_IE00B464Q616_USD LU0003_LXEUR_23914479_LU0003_LU0003_LXEUR</t>
  </si>
  <si>
    <t>25428156_LU0003_LU0003_LXEUR</t>
  </si>
  <si>
    <t>LU0003 STUDIO CITY FINANCE LTD SR UNSEC REGS BN3023114_IE00BGSXQQ02_USD LU0003_LXEUR_25428156_LU0003_LU0003_LXEUR</t>
  </si>
  <si>
    <t>NISSAN MOTOR ACCEPTANCE 144A FIX 3.875% 21.09.2023_15473454</t>
  </si>
  <si>
    <t>DEUTSCHE BANK NY FIX TO FLOAT 3.729% 14.01.2032_22827673</t>
  </si>
  <si>
    <t>24394887_LU0003_LU0003_LXEUR</t>
  </si>
  <si>
    <t>LU0003 GLENCORE FINANCE EUROPE EJ1102494_IE00B5ZR2157_GBP LU0003_LXEUR_24394887_LU0003_LU0003_LXEUR</t>
  </si>
  <si>
    <t>GAZPROM PJSC (GAZ FN) REGS FIX 3.250% 25.02.2030_19834501</t>
  </si>
  <si>
    <t>23436624_LU0003_LU0003_LXEUR</t>
  </si>
  <si>
    <t>LU0003 NISSAN MOTOR ACCEPTANCE 144A VAR 08.03.2024 LU0003_LXEUR_23436624_LU0003_LU0003_LXEUR</t>
  </si>
  <si>
    <t>NATIONAL FUEL GAS CO FIX 5.200% 15.07.2025_8947959</t>
  </si>
  <si>
    <t>IL ST-TXB-3-BABS MUNI FIX 6.725% 01.04.2035_2294874</t>
  </si>
  <si>
    <t>24749004_LU0003_LU0003_LXEUR</t>
  </si>
  <si>
    <t>LU0003 MONGOLIA GOVT REGS BQ2935527_IE00B464Q616_USD LU0003_LXEUR_24749004_LU0003_LU0003_LXEUR</t>
  </si>
  <si>
    <t>PLAINS ALL AMER PIPELINE FIX 4.300% 31.01.2043_4422111</t>
  </si>
  <si>
    <t>FAIRFAX FINL HLDGS LTD FIX 4.850% 17.04.2028_16192326</t>
  </si>
  <si>
    <t>WALT DISNEY COMPANY/THE VAR 01.09.2022_18638793</t>
  </si>
  <si>
    <t>SANTOS FINANCE LTD 144A FIX 3.649% 29.04.2031_23938408</t>
  </si>
  <si>
    <t>HUTCH WHAMPOA INT 11 LTD REGS FIX 4.625% 13.01.2022_3515308</t>
  </si>
  <si>
    <t>REPUBLIC OF TURKEY FIX 5.125% 17.02.2028_13700915</t>
  </si>
  <si>
    <t>7-ELEVEN INC 144A FIX 0.625% 10.02.2023_23061858</t>
  </si>
  <si>
    <t>JAMES HARDIE INTL FIN REGS FIX 3.625% 01.10.2026_15505727</t>
  </si>
  <si>
    <t>SMBC AVIATION CAPITAL FI 144A FIX 4.125% 15.07.2023_15137351</t>
  </si>
  <si>
    <t>23914486_LU0003_LU0003_LXEUR</t>
  </si>
  <si>
    <t>LU0003 AIA GROUP LTD EMTN SR UNSEC REGS EJ5803063_IE00B67B7N93_USD LU0003_LXEUR_23914486_LU0003_LU0003_LXEUR</t>
  </si>
  <si>
    <t>24139355_LU0003_LU0003_LXEUR</t>
  </si>
  <si>
    <t>LU0003 PHILIPPINES (REP OF) NT SRUNSC BP1537458_IE00B464Q616_EUR LU0003_LXEUR_24139355_LU0003_LU0003_LXEUR</t>
  </si>
  <si>
    <t>GENERAL MOTORS FINL CO FIX 3.450% 14.01.2022_11828354</t>
  </si>
  <si>
    <t>DANSKE BANK A/S 144A FIX TO FLOAT 3.001% 20.09.2022_18714148</t>
  </si>
  <si>
    <t>VIRGIN MEDIA SECURED FIN REGS FIX 4.250% 15.01.2030_18807689</t>
  </si>
  <si>
    <t>FEDERAL HOME LOAN BANK FIX 1.000% 23.03.2026_23297632</t>
  </si>
  <si>
    <t>SHRIRAM TRANSPORT FIN REGS FIX 4.400% 13.03.2024_22698143</t>
  </si>
  <si>
    <t>TIME WARNER CABLE LLC FIX 5.875% 15.11.2040_2628622</t>
  </si>
  <si>
    <t>25428149_LU0003_LU0003_LXEUR</t>
  </si>
  <si>
    <t>LU0003 BANK OF CHINA/LONDON SR UNSEC SONIA BQ8390453_IE00B5ZR2157_GBP LU0003_LXEUR_25428149_LU0003_LU0003_LXEUR</t>
  </si>
  <si>
    <t>KENNEDY-WILSON INC FIX 4.750% 01.02.2030_24956618</t>
  </si>
  <si>
    <t>ARAB REPUBLIC OF EGYPT REGS FIX 4.750% 11.04.2025_17327948</t>
  </si>
  <si>
    <t>24748853_LU0003_LU0003_LXEUR</t>
  </si>
  <si>
    <t>LU0003 INTRUM AB REGS AN9431635_IE00BK9YL094_EUR LU0003_LXEUR_24748853_LU0003_LU0003_LXEUR</t>
  </si>
  <si>
    <t>23914770_LU0003_LU0003_LXEUR</t>
  </si>
  <si>
    <t>LU0003 PACIFIC NATIONAL FINANCE SR UNSEC AR6200521_IE00B464Q616_USD LU0003_LXEUR_23914770_LU0003_LU0003_LXEUR</t>
  </si>
  <si>
    <t>24748970_LU0003_LU0003_LXEUR</t>
  </si>
  <si>
    <t>LU0003 HUARONG FINANCE 2017 CO AM2096502_IE00B464Q616_USD LU0003_LXEUR_24748970_LU0003_LU0003_LXEUR</t>
  </si>
  <si>
    <t>PIONEER NATURAL RESOURCE FIX 0.550% 15.05.2023_24077275</t>
  </si>
  <si>
    <t>VMWARE INC FIX 4.500% 15.05.2025_20370878</t>
  </si>
  <si>
    <t>REPUBLIC OF PHILIPPINES FIX 5.000% 13.01.2037_3625061</t>
  </si>
  <si>
    <t>ABU DHABI GOVT INT'L REGS FIX 3.875% 16.04.2050_20392661</t>
  </si>
  <si>
    <t>REPUBLIC OF SRI LANKA REGS FIX 5.750% 18.01.2022_10875059</t>
  </si>
  <si>
    <t>23914587_LU0003_LU0003_LXEUR</t>
  </si>
  <si>
    <t>LU0003 DEV BANK PHILIPPINES SR UNSEC BO3633308_IE00B464Q616_USD LU0003_LXEUR_23914587_LU0003_LU0003_LXEUR</t>
  </si>
  <si>
    <t>CERAH CAPITAL CONV ZERO 08.08.2024_18109196</t>
  </si>
  <si>
    <t>BOC AVIATION LTD GMTN FIX 1.750% 21.01.2026_22859504</t>
  </si>
  <si>
    <t>24395322_LU0003_LU0003_LXEUR</t>
  </si>
  <si>
    <t>LU0003 SANTOS FINANCE LTD AO9519809_IE00BGSXQQ02_USD LU0003_LXEUR_24395322_LU0003_LU0003_LXEUR</t>
  </si>
  <si>
    <t>24394862_LU0003_LU0003_LXEUR</t>
  </si>
  <si>
    <t>LU0003 GREENLAND GLB INVST SR UNSEC ZR6986510__USD LU0003_LXEUR_24394862_LU0003_LU0003_LXEUR</t>
  </si>
  <si>
    <t>VERIZON COMMUNICATIONS VAR 22.03.2024_23673166</t>
  </si>
  <si>
    <t>PETROBRAS GLOBAL FINANCE FIX 6.625% 16.01.2034_6494877</t>
  </si>
  <si>
    <t>MIZUHO FINANCIAL GROUP VAR 11.09.2022_13036774</t>
  </si>
  <si>
    <t>LLOYDS BANKING GROUP PLC FIX TO FLOAT 1.875% 15.01.2026_19486469</t>
  </si>
  <si>
    <t>UNITED GROUP BV 144A FIX 3.625% 15.02.2028_22554064</t>
  </si>
  <si>
    <t>NATWEST GROUP PLC VAR 25.06.2024_14921124</t>
  </si>
  <si>
    <t>22294916_LU0003_LU0003_LXEUR</t>
  </si>
  <si>
    <t>LU0003 ABBVIE INC VAR 19.11.2021 LU0003_LXEUR_22294916_LU0003_LU0003_LXEUR</t>
  </si>
  <si>
    <t>STATE OF QATAR REGS FIX 4.625% 02.06.2046_10596345</t>
  </si>
  <si>
    <t>TONGYANGLIFEINSURANCECO PERP FIX TO FLOAT 5.250% 22.03.2198_21811316</t>
  </si>
  <si>
    <t>ORACLE CORP FIX 3.125% 10.07.2025_5211003</t>
  </si>
  <si>
    <t>MET TOWER GLOBAL FUNDING 144A VAR 17.01.2023_19863537</t>
  </si>
  <si>
    <t>UBS AG LONDON 144A VAR 09.08.2024_24911926</t>
  </si>
  <si>
    <t>CREDIT SUISSE GROUP AG CONV FIX TO FLOAT 7.125% 29.07.2198_11882841</t>
  </si>
  <si>
    <t>ORIX CORP FIX 3.200% 19.01.2022_11841694</t>
  </si>
  <si>
    <t>24394915_LU0003_LU0003_LXEUR</t>
  </si>
  <si>
    <t>LU0003 VIRGIN MONEY UK PLC COCO JRSUB AX5435992_IE00BK9YL094_GBP LU0003_LXEUR_24394915_LU0003_LU0003_LXEUR</t>
  </si>
  <si>
    <t>BAIDU INC FIX 3.425% 07.04.2030_20244089</t>
  </si>
  <si>
    <t>NATIONWIDE BLDG SOCIETY CONV FIX TO FLOAT 5.750% 20.12.2198_20942443</t>
  </si>
  <si>
    <t>LLOYDS BANKING GROUP PLC FIX 4.450% 08.05.2025_14619690</t>
  </si>
  <si>
    <t>23914581_LU0003_LU0003_LXEUR</t>
  </si>
  <si>
    <t>LU0003 MITSUBISHI UFJ LEASE&amp;FIN SR UNSEC REGS AX3299093_IE00B67B7N93_USD LU0003_LXEUR_23914581_LU0003_LU0003_LXEUR</t>
  </si>
  <si>
    <t>23914763_LU0003_LU0003_LXEUR</t>
  </si>
  <si>
    <t>LU0003 MITSUBISHI CORP SR UNSEC AO1474847_IE00BDQZ6S97_USD LU0003_LXEUR_23914763_LU0003_LU0003_LXEUR</t>
  </si>
  <si>
    <t>EASY TACTIC LTD FIX 12.375% 18.11.2022_22237859</t>
  </si>
  <si>
    <t>BANK OF AMERICA CORP FIX 5.700% 24.01.2022_3610277</t>
  </si>
  <si>
    <t>ELECTRICITE DE FRANCE SA EMTN FIX 4.000% 12.11.2025_2605746</t>
  </si>
  <si>
    <t>24139111_LU0003_LU0003_LXEUR</t>
  </si>
  <si>
    <t>LU0003 CENTRAL CHN REAL ESTATE AZ9059660_IE00B464Q616_USD LU0003_LXEUR_24139111_LU0003_LU0003_LXEUR</t>
  </si>
  <si>
    <t>GLOBALWORTH REAL ESTATE FIX 2.875% 20.06.2022_12570444</t>
  </si>
  <si>
    <t>22623365_LU0003_LU0003_LXEUR</t>
  </si>
  <si>
    <t>LU0003 INDONESIA GOVT LW3626055_IE00B0C18065_EUR LU0003_LXEUR_22623365_LU0003_LU0003_LXEUR</t>
  </si>
  <si>
    <t>STATE OF QATAR REGS FIX 4.500% 23.04.2028_14542520</t>
  </si>
  <si>
    <t>BNP PARIBAS EMTN VAR 22.05.2023_14731284</t>
  </si>
  <si>
    <t>REPUBLIC OF SOUTH AFRICA FIX 5.750% 30.09.2049_18762285</t>
  </si>
  <si>
    <t>16205616_LU0003_LU0003_LXEUR</t>
  </si>
  <si>
    <t>LU0003 UNITED AIR 2019-1 AA PTT AA FIX 4.150% 25.08.2031 LU0003_LXEUR_16205616_LU0003_LU0003_LXEUR</t>
  </si>
  <si>
    <t>16974240_LU0003_LU0003_LXEUR</t>
  </si>
  <si>
    <t>LU0003 AT&amp;T INC SR UNSEC AN8808825_IE00B3D1YW09_EUR LU0003_LXEUR_16974240_LU0003_LU0003_LXEUR</t>
  </si>
  <si>
    <t>PERUSAHAAN PENERBIT SBSN REGS FIX 2.300% 23.06.2025_21004748</t>
  </si>
  <si>
    <t>UNICREDIT SPA CONV FIX TO FLOAT 7.500% 03.06.2198_17121464</t>
  </si>
  <si>
    <t>HYUNDAI CAPITAL AMERICA REGS FIX 5.750% 06.04.2023_21006783</t>
  </si>
  <si>
    <t>25094463_LU0003_LU0003_LXEUR</t>
  </si>
  <si>
    <t>LU0003 ELIOR PARTICIPAT SR UNSEC REGS BQ2946433_IE00B0C18065_EUR LU0003_LXEUR_25094463_LU0003_LU0003_LXEUR</t>
  </si>
  <si>
    <t>23914471_LU0003_LU0003_LXEUR</t>
  </si>
  <si>
    <t>LU0003 STANDARD CHARTERED PLC BK1160153_IE00B464Q616_USD LU0003_LXEUR_23914471_LU0003_LU0003_LXEUR</t>
  </si>
  <si>
    <t>OGE ENERGY CORP * FIX 0.703% 26.05.2023_24189706</t>
  </si>
  <si>
    <t>23914444_LU0003_LU0003_LXEUR</t>
  </si>
  <si>
    <t>LU0003 MEDTRONIC GLOBAL HLDINGS SR UNSEC AX4989007_IE00B5ZR2157_EUR LU0003_LXEUR_23914444_LU0003_LU0003_LXEUR</t>
  </si>
  <si>
    <t>REPUBLIC OF COLOMBIA FIX 7.375% 18.09.2037_546831</t>
  </si>
  <si>
    <t>CNP ASSURANCES FIX 1.875% 20.10.2022_11357846</t>
  </si>
  <si>
    <t>CREDIT SUISSE NEW YORK * VAR 04.02.2022_19863493</t>
  </si>
  <si>
    <t>ATMOS ENERGY CORP FIX 0.625% 09.03.2023_23437205</t>
  </si>
  <si>
    <t>24749005_LU0003_LU0003_LXEUR</t>
  </si>
  <si>
    <t>LU0003 VIVAT NV SUB AS9354125_IE00B0C18065_EUR LU0003_LXEUR_24749005_LU0003_LU0003_LXEUR</t>
  </si>
  <si>
    <t>TELECOM ITALIA SPA EMTN FIX 2.375% 12.10.2027_13220916</t>
  </si>
  <si>
    <t>CREDIT SUISSE GROUP AG 144A CONV FIX TO FLOAT 5.250% 11.02.2198_21467920</t>
  </si>
  <si>
    <t>24748871_LU0003_LU0003_LXEUR</t>
  </si>
  <si>
    <t>LU0003 CNAC HK FINBRIDGE CO LTD AZ1269218_IE00B464Q616_USD LU0003_LXEUR_24748871_LU0003_LU0003_LXEUR</t>
  </si>
  <si>
    <t>ENERGY TRANSFER LP FIX 2.900% 15.05.2025_19485230</t>
  </si>
  <si>
    <t>25428086_LU0003_LU0003_LXEUR</t>
  </si>
  <si>
    <t>LU0003 INNOGY FINANCE BV CO GTD EMTN 7835609H0_IE00B5ZR2157_GBP LU0003_LXEUR_25428086_LU0003_LU0003_LXEUR</t>
  </si>
  <si>
    <t>PATTERSON-UTI ENERGY INC FIX 5.150% 15.11.2029_19116941</t>
  </si>
  <si>
    <t>SIEMENS FINANCIERINGSMAT 144A FIX 0.400% 11.03.2023_23425036</t>
  </si>
  <si>
    <t>12140444_LU0003_LU0003_LXEUR</t>
  </si>
  <si>
    <t>LU0003 CHINA EVERGRANDE GROUP FIX 8.250% 23.03.2022 LU0003_LXEUR_12140444_LU0003_LU0003_LXEUR</t>
  </si>
  <si>
    <t>23914677_LU0003_LU0003_LXEUR</t>
  </si>
  <si>
    <t>LU0003 ENERGEAN ISRAEL FINANCE SEC SMR BO3321847_IE00B464Q616_USD LU0003_LXEUR_23914677_LU0003_LU0003_LXEUR</t>
  </si>
  <si>
    <t>25094491_LU0003_LU0003_LXEUR</t>
  </si>
  <si>
    <t>LU0003 ZHEJIANG EXPRESSWAY CO BQ4242401_IE00B464Q616_USD LU0003_LXEUR_25094491_LU0003_LU0003_LXEUR</t>
  </si>
  <si>
    <t>BANK OF AMERICA CORP VAR 22.04.2025_24010289</t>
  </si>
  <si>
    <t>24139273_LU0003_LU0003_LXEUR</t>
  </si>
  <si>
    <t>LU0003 KEB HANA BANK SR UNSEC AR4652129_IE00B67B7N93_USD LU0003_LXEUR_24139273_LU0003_LU0003_LXEUR</t>
  </si>
  <si>
    <t>UNITED AIR 2016-1 AA PTT AA FIX 3.100% 07.07.2028_10657982</t>
  </si>
  <si>
    <t>RKPF OVERSEAS 2019 A LTD FIX 6.700% 30.09.2024_18775820</t>
  </si>
  <si>
    <t>NATURGY CAPITAL MARKETS EMTN FIX 5.125% 02.11.2021_2047099</t>
  </si>
  <si>
    <t>MIZUHO FINANCIAL GROUP VAR 08.09.2024_21694766</t>
  </si>
  <si>
    <t>24395090_LU0003_LU0003_LXEUR</t>
  </si>
  <si>
    <t>LU0003 IMPERIAL BRANDS FINANCE SR UNSEC REGS UV2901956_IE00B67B7N93_USD LU0003_LXEUR_24395090_LU0003_LU0003_LXEUR</t>
  </si>
  <si>
    <t>CPI PROPERTY GROUP SA EMTN FIX 2.750% 22.01.2028_19599196</t>
  </si>
  <si>
    <t>23914727_LU0003_LU0003_LXEUR</t>
  </si>
  <si>
    <t>LU0003 LEVC FINANCE LTD SR UNSEC BO6552604_IE00B464Q616_USD LU0003_LXEUR_23914727_LU0003_LU0003_LXEUR</t>
  </si>
  <si>
    <t>VODAFONE GROUP PLC FIX TO FLOAT 7.000% 04.04.2079_17252299</t>
  </si>
  <si>
    <t>CONSTELLATION BRANDS INC FIX 3.700% 06.12.2026_11583646</t>
  </si>
  <si>
    <t>MORGAN STANLEY MTN FIX 2.625% 17.11.2021_11522747</t>
  </si>
  <si>
    <t>PHILLIPS 66 VAR 15.02.2024_22273928</t>
  </si>
  <si>
    <t>MIZUHO FINANCIAL GROUP VAR 25.05.2024_19843127</t>
  </si>
  <si>
    <t>HSBC HOLDINGS PLC VAR 18.05.2024_14693195</t>
  </si>
  <si>
    <t>MIZUHO FINANCIAL GROUP VAR 13.09.2023_18745959</t>
  </si>
  <si>
    <t>THIRD PKSTAN INTL SUKUK REGS FIX 5.625% 05.12.2022_13488998</t>
  </si>
  <si>
    <t>TOYOTA MOTOR CREDIT CORP MTN VAR 11.01.2024_23207407</t>
  </si>
  <si>
    <t>BANK OF AMERICA CORP VAR 24.04.2023_12339031</t>
  </si>
  <si>
    <t>24139202_LU0003_LU0003_LXEUR</t>
  </si>
  <si>
    <t>LU0003 ADLER GROUP SA SR UNSEC REGS SMR BP1553455_IE00BK9YL094_EUR LU0003_LXEUR_24139202_LU0003_LU0003_LXEUR</t>
  </si>
  <si>
    <t>23914794_LU0003_LU0003_LXEUR</t>
  </si>
  <si>
    <t>LU0003 GAZPROM REGS LPN 1769969K4_IE00B5ZR2157_USD LU0003_LXEUR_23914794_LU0003_LU0003_LXEUR</t>
  </si>
  <si>
    <t>MTU AERO ENGINES AG FIX 3.000% 01.07.2025_21046345</t>
  </si>
  <si>
    <t>BOEING CO FIX 4.508% 01.05.2023_20579161</t>
  </si>
  <si>
    <t>AIA GROUP LTD REGS FIX 3.200% 11.03.2025_8543726</t>
  </si>
  <si>
    <t>HYUNDAI CAPITAL AMERICA REGS FIX 2.850% 01.11.2022_19005883</t>
  </si>
  <si>
    <t>DAIMLER FINANCE NA LLC 144A VAR 05.11.2021_15887208</t>
  </si>
  <si>
    <t>MEAG TXB-PLT VOGTLE MUNI FIX 6.655% 01.04.2057_2251474</t>
  </si>
  <si>
    <t>UKRAINE GOVERNMENT REGS FIX 6.750% 20.06.2026_17807209</t>
  </si>
  <si>
    <t>OCCIDENTAL PETROLEUM COR VAR 15.08.2022_18156063</t>
  </si>
  <si>
    <t>ENERGY TRANSFER LP FIX 5.950% 01.10.2043_6088170</t>
  </si>
  <si>
    <t>CPI PROPERTY GROUP SA EMTN FIX 2.750% 12.05.2026_20622079</t>
  </si>
  <si>
    <t>22554083_LU0003_LU0003_LXEUR</t>
  </si>
  <si>
    <t>LU0003 KOREA EXPRESSWAY CORP EMTN VAR 25.11.2022 LU0003_LXEUR_22554083_LU0003_LU0003_LXEUR</t>
  </si>
  <si>
    <t>PT PERTAMINA (PERSERO) REGS FIX 4.300% 20.05.2023_4992301</t>
  </si>
  <si>
    <t>DEUTSCHE BANK NY * FIX 3.700% 30.05.2024_14832156</t>
  </si>
  <si>
    <t>NEXTERA ENERGY CAPITAL FIX 0.650% 01.03.2023_23510510</t>
  </si>
  <si>
    <t>24139194_LU0003_LU0003_LXEUR</t>
  </si>
  <si>
    <t>LU0003 AEROPORTI DI ROMA SPA SR UNSEC REGS SMR BP2016262_IE00B0C18065_EUR LU0003_LXEUR_24139194_LU0003_LU0003_LXEUR</t>
  </si>
  <si>
    <t>SOUTHERN GAS NETWORK PLC EMTN FIX 4.875% 05.10.2023_3260336</t>
  </si>
  <si>
    <t>ENBRIDGE INC VAR 18.02.2022_19834226</t>
  </si>
  <si>
    <t>VMED O2 UK FINAN 144A FIX 4.250% 31.01.2031_21738090</t>
  </si>
  <si>
    <t>KFW FIX 2.625% 25.01.2022_3613168</t>
  </si>
  <si>
    <t>REPUBLIC OF TURKEY FIX 5.600% 14.11.2024_19074346</t>
  </si>
  <si>
    <t>SUMITOMO MITSUI FINL GRP VAR 12.07.2022_12830227</t>
  </si>
  <si>
    <t>23914673_LU0003_LU0003_LXEUR</t>
  </si>
  <si>
    <t>LU0003 DALIAN WANDA COMMERCIAL BH7873186_IE00BGSXQQ02_CNY LU0003_LXEUR_23914673_LU0003_LU0003_LXEUR</t>
  </si>
  <si>
    <t>DEUTSCHE BANK NY FIX 0.898% 28.05.2024_24190973</t>
  </si>
  <si>
    <t>23914796_LU0003_LU0003_LXEUR</t>
  </si>
  <si>
    <t>LU0003 VONOVIA FINANCE BV CO GTD ZR7965893_IE00B5ZR2157_EUR LU0003_LXEUR_23914796_LU0003_LU0003_LXEUR</t>
  </si>
  <si>
    <t>TOYOTA MOTOR CREDIT CORP MTN VAR 13.12.2021_22927558</t>
  </si>
  <si>
    <t>22623747_LU0003_LU0003_LXEUR</t>
  </si>
  <si>
    <t>LU0003 TEVA PHARM FIN IV BV CO GTD 88166JAA1_IE00B0C18065_USD LU0003_LXEUR_22623747_LU0003_LU0003_LXEUR</t>
  </si>
  <si>
    <t>MELCO RESORTS FINANCE REGS FIX 5.625% 17.07.2027_18006396</t>
  </si>
  <si>
    <t>REPUBLIC OF TURKEY FIX 4.875% 16.04.2043_4876675</t>
  </si>
  <si>
    <t>16974205_LU0003_LU0003_LXEUR</t>
  </si>
  <si>
    <t>LU0003 GENERAL ELECTRIC CO SRUNSEC AN5493365_IE00B3D1YW09_EUR LU0003_LXEUR_16974205_LU0003_LU0003_LXEUR</t>
  </si>
  <si>
    <t>25428261_LU0003_LU0003_LXEUR</t>
  </si>
  <si>
    <t>LU0003 AGILE GROUP HOLDINGS LTD RVC ZS8633720_IE00B464Q616_USD LU0003_LXEUR_25428261_LU0003_LU0003_LXEUR</t>
  </si>
  <si>
    <t>MERCIALYS SA FIX 4.625% 07.07.2027_21085220</t>
  </si>
  <si>
    <t>DAIMLER FINANCE NA LLC REGS VAR 05.11.2021_15929001</t>
  </si>
  <si>
    <t>REYNOLDS AMERICAN INC FIX 4.850% 15.09.2023_6031524</t>
  </si>
  <si>
    <t>BNQ CEN TUNISIA INT BOND REGS FIX 6.375% 15.07.2026_17997877</t>
  </si>
  <si>
    <t>CHARLES SCHWAB CORP VAR 13.05.2026_24247289</t>
  </si>
  <si>
    <t>BARCLAYS PLC FIX TO FLOAT 4.338% 16.05.2024_14689143</t>
  </si>
  <si>
    <t>AVIATION CAPITAL GROUP 144A FIX 4.875% 01.10.2025_9308929</t>
  </si>
  <si>
    <t>TORONTO-DOMINION BANK MTN VAR 27.01.2023_19863541</t>
  </si>
  <si>
    <t>KINDER MORGAN ENER PART MTN FIX 6.950% 15.01.2038_741531</t>
  </si>
  <si>
    <t>25428130_LU0003_LU0003_LXEUR</t>
  </si>
  <si>
    <t>LU0003 INTERCONTINENTAL HOTELS UNSEC EMTN EJ4540294_IE00B5ZR2157_GBP LU0003_LXEUR_25428130_LU0003_LU0003_LXEUR</t>
  </si>
  <si>
    <t>GENERAL MOTORS FINL CO VAR 30.06.2022_12635400</t>
  </si>
  <si>
    <t>KINGDOM OF MOROCCO REGS FIX 4.000% 15.12.2050_22463789</t>
  </si>
  <si>
    <t>FORD MOTOR CREDIT CO LLC VAR 07.01.2022_16058095</t>
  </si>
  <si>
    <t>FIDELITY NATL FINANCIAL FIX 3.400% 15.06.2030_20952390</t>
  </si>
  <si>
    <t>NETWORK I2I LTD REGS PERP FIX TO FLOAT 5.650% 15.04.2198_18903817</t>
  </si>
  <si>
    <t>ENABLE MIDSTREAM PARTNER FIX 4.950% 15.05.2028_14674577</t>
  </si>
  <si>
    <t>KINDER MORGAN INC VAR 15.01.2023_12853219</t>
  </si>
  <si>
    <t>24139278_LU0003_LU0003_LXEUR</t>
  </si>
  <si>
    <t>LU0003 VEDANTA RESOURCES BO2757611_IE00BGSXQQ02_USD LU0003_LXEUR_24139278_LU0003_LU0003_LXEUR</t>
  </si>
  <si>
    <t>25428031_LU0003_LU0003_LXEUR</t>
  </si>
  <si>
    <t>LU0003 EMECO PTY LTD BQ1762153_IE00B464Q616_AUD LU0003_LXEUR_25428031_LU0003_LU0003_LXEUR</t>
  </si>
  <si>
    <t>MARKS &amp; SPENCER PLC EMTN STEP 6.000% 12.06.2025_4446147</t>
  </si>
  <si>
    <t>KOMMUNALBANKEN AS REGS VAR 24.02.2022_20186857</t>
  </si>
  <si>
    <t>22554277_LU0003_LU0003_LXEUR</t>
  </si>
  <si>
    <t>LU0003 PIPER SANDLER COS FIX 4.740% 15.10.2021 LU0003_LXEUR_22554277_LU0003_LU0003_LXEUR</t>
  </si>
  <si>
    <t>INTESA SANPAOLO SPA XR FIX 4.000% 23.09.2029_18714525</t>
  </si>
  <si>
    <t>BP CAPITAL MARKETS PLC VAR 19.09.2022_13113069</t>
  </si>
  <si>
    <t>24748765_LU0003_LU0003_LXEUR</t>
  </si>
  <si>
    <t>LU0003 BALDER FINLAND OYJ SR UNSEC BP9631873_IE00B5ZR2157_EUR LU0003_LXEUR_24748765_LU0003_LU0003_LXEUR</t>
  </si>
  <si>
    <t>PRO-GEST SPA REGS FIX 3.250% 15.12.2024_13555241</t>
  </si>
  <si>
    <t>25428108_LU0003_LU0003_LXEUR</t>
  </si>
  <si>
    <t>LU0003 CHINA CINDA FINANCE 2017 SR UNSEC AR0491142_IE00B464Q616_USD LU0003_LXEUR_25428108_LU0003_LU0003_LXEUR</t>
  </si>
  <si>
    <t>ROYAL BANK OF CANADA GMTN VAR 19.01.2024_23207299</t>
  </si>
  <si>
    <t>23914514_LU0003_LU0003_LXEUR</t>
  </si>
  <si>
    <t>LU0003 COUNTRY GARDEN HLDGS AQ6580841_IE00B0C18065_USD LU0003_LXEUR_23914514_LU0003_LU0003_LXEUR</t>
  </si>
  <si>
    <t>DANSKE BANK A/S REGS FIX 5.000% 12.01.2022_16139752</t>
  </si>
  <si>
    <t>ROLLS-ROYCE PLC 144A FIX 5.750% 15.10.2027_22029360</t>
  </si>
  <si>
    <t>ABBVIE INC FIX 3.375% 14.11.2021_15449869</t>
  </si>
  <si>
    <t>22623422_LU0003_LU0003_LXEUR</t>
  </si>
  <si>
    <t>LU0003 LA MONDIALE SUB EK6494950_IE00B0C18065_EUR LU0003_LXEUR_22623422_LU0003_LU0003_LXEUR</t>
  </si>
  <si>
    <t>20113234_LU0003_LU0003_LXEUR</t>
  </si>
  <si>
    <t>LU0003 GOLDMAN SACHS GROUP INC GLBL SUBORD 38141N9V3_IE00B5ZR2157_EUR LU0003_LXEUR_20113234_LU0003_LU0003_LXEUR</t>
  </si>
  <si>
    <t>INTESA SANPAOLO SPA EMTN FIX 0.875% 27.06.2022_12588128</t>
  </si>
  <si>
    <t>BOEING CO FIX 1.875% 15.06.2023_10567183</t>
  </si>
  <si>
    <t>UNITED MEXICAN STATES FIX 6.050% 11.01.2040_913920</t>
  </si>
  <si>
    <t>VIRGIN MONEY UK PLC EMTN FIX TO FLOAT 4.000% 25.09.2026_15462933</t>
  </si>
  <si>
    <t>REPUBLIC OF COLOMBIA FIX 10.375% 28.01.2033_261329</t>
  </si>
  <si>
    <t>25428231_LU0003_LU0003_LXEUR</t>
  </si>
  <si>
    <t>LU0003 AIG INC 0268749B5_IE00B5ZR2157_GBP LU0003_LXEUR_25428231_LU0003_LU0003_LXEUR</t>
  </si>
  <si>
    <t>BP CAP MARKETS AMERICA * VAR 19.09.2022_17351582</t>
  </si>
  <si>
    <t>24206127_LU0003_LU0003_LXEUR</t>
  </si>
  <si>
    <t>LU0003 PACIFIC LIFE GF II 144A VAR 04.06.2026 LU0003_LXEUR_24206127_LU0003_LU0003_LXEUR</t>
  </si>
  <si>
    <t>HYUNDAI CAPITAL AMERICA REGS FIX 3.000% 20.06.2022_17830018</t>
  </si>
  <si>
    <t>CREDIT AGRICOLE LONDON EMTN VAR 06.03.2023_14265324</t>
  </si>
  <si>
    <t>MIZUHO FINANCIAL GROUP VAR 05.03.2023_14284409</t>
  </si>
  <si>
    <t>ING GROEP NV CONV FIX TO FLOAT 5.750% 16.11.2198_18594112</t>
  </si>
  <si>
    <t>HSBC HOLDINGS PLC FIX 3.900% 25.05.2026_10572264</t>
  </si>
  <si>
    <t>OCCIDENTAL PETROLEUM COR FIX 3.400% 15.04.2026_10331465</t>
  </si>
  <si>
    <t>FEDERAL HOME LOAN BANK FIX 0.620% 09.12.2024_24222203</t>
  </si>
  <si>
    <t>CCO HLDGS LLC/CAP CORP 144A FIX 4.500% 01.06.2033_23892301</t>
  </si>
  <si>
    <t>24139153_LU0003_LU0003_LXEUR</t>
  </si>
  <si>
    <t>LU0003 ROMANIA GOVT SR UNSEC REGS BO9736196_IE00B0C18065_EUR LU0003_LXEUR_24139153_LU0003_LU0003_LXEUR</t>
  </si>
  <si>
    <t>22623364_LU0003_LU0003_LXEUR</t>
  </si>
  <si>
    <t>LU0003 PANAMA (REP OF) BD GLB 698299AW4_IE00B0C18065_USD LU0003_LXEUR_22623364_LU0003_LU0003_LXEUR</t>
  </si>
  <si>
    <t>24748864_LU0003_LU0003_LXEUR</t>
  </si>
  <si>
    <t>LU0003 INEOS FINANCE PLC SR SEC REGS ZS0934399_IE00B0C18065_EUR LU0003_LXEUR_24748864_LU0003_LU0003_LXEUR</t>
  </si>
  <si>
    <t>17884595_LU0003_LU0003_LXEUR</t>
  </si>
  <si>
    <t>LU0003 HILTON WORLDWIDE 21.06.2026 LU0003_LXEUR_17884595_LU0003_LU0003_LXEUR</t>
  </si>
  <si>
    <t>24395150_LU0003_LU0003_LXEUR</t>
  </si>
  <si>
    <t>LU0003 VOLKSWAGEN LEASING GMBH SR UNSEC REGS BP4855766_IE00B5ZR2157_EUR LU0003_LXEUR_24395150_LU0003_LU0003_LXEUR</t>
  </si>
  <si>
    <t>ORIX CORP FIX 2.900% 18.07.2022_12749535</t>
  </si>
  <si>
    <t>REPUBLIC OF SOUTH AFRICA FIX 5.000% 12.10.2046_11262381</t>
  </si>
  <si>
    <t>BANCO DE SABADELL SA EMTN FIX TO FLOAT 1.750% 29.06.2023_20996856</t>
  </si>
  <si>
    <t>FEDERAL HOME LOAN BANK FIX 0.850% 17.02.2027_23146109</t>
  </si>
  <si>
    <t>BANCA MONTE DEI PASCHI S FIX TO FLOAT 8.000% 22.01.2030_19614467</t>
  </si>
  <si>
    <t>DEUTSCHE BANK NY D FIX 5.000% 14.02.2022_16682604</t>
  </si>
  <si>
    <t>TEVA PHARM FNC NL II FIX 1.250% 31.03.2023_8513859</t>
  </si>
  <si>
    <t>HYUNDAI CAPITAL AMERICA REGS FIX 2.375% 10.02.2023_19906434</t>
  </si>
  <si>
    <t>ALLY FINANCIAL INC FIX 8.000% 01.11.2031_216727</t>
  </si>
  <si>
    <t>ENERGY TRANSFER LP FIX 5.350% 15.05.2045_7820431</t>
  </si>
  <si>
    <t>AROUNDTOWN SA EMTN FIX 5.375% 21.03.2029_17146019</t>
  </si>
  <si>
    <t>FORD MOTOR CREDIT CO LLC VAR 15.02.2023_14617072</t>
  </si>
  <si>
    <t>25428142_LU0003_LU0003_LXEUR</t>
  </si>
  <si>
    <t>LU0003 HSBC HOLDINGS COCO EK4835634_IE00B5ZR2157_EUR LU0003_LXEUR_25428142_LU0003_LU0003_LXEUR</t>
  </si>
  <si>
    <t>24139386_LU0003_LU0003_LXEUR</t>
  </si>
  <si>
    <t>LU0003 NEDER WATERSCHAPSBANK EK8523814_IE00BDQZ6S97_USD LU0003_LXEUR_24139386_LU0003_LU0003_LXEUR</t>
  </si>
  <si>
    <t>24394894_LU0003_LU0003_LXEUR</t>
  </si>
  <si>
    <t>LU0003 JAGUAR LAND ROVER AUTOMO SR UNSEC REGS AU4782333__EUR LU0003_LXEUR_24394894_LU0003_LU0003_LXEUR</t>
  </si>
  <si>
    <t>LENOVO GROUP LTD EMTN FIX 5.875% 24.04.2025_20459285</t>
  </si>
  <si>
    <t>23914630_LU0003_LU0003_LXEUR</t>
  </si>
  <si>
    <t>LU0003 MERCEDES BENZ FIN CO LTD ZR1466682_IE00B5ZR2157_EUR LU0003_LXEUR_23914630_LU0003_LU0003_LXEUR</t>
  </si>
  <si>
    <t>LEASEPLAN CORPORATION NV EMTN FIX 1.000% 25.02.2022_16952847</t>
  </si>
  <si>
    <t>MAUSER PACKAGING SOLUT REGS FIX 4.750% 15.04.2024_14957856</t>
  </si>
  <si>
    <t>CIGNA CORP VAR 15.07.2023_18542337</t>
  </si>
  <si>
    <t>SANDS CHINA LTD FIX 4.600% 08.08.2023_16209303</t>
  </si>
  <si>
    <t>NATWEST MARKETS PLC 144A VAR 29.09.2022_17267347</t>
  </si>
  <si>
    <t>SUMITOMO MITSUI FINL GRP VAR 17.01.2023_13709736</t>
  </si>
  <si>
    <t>25094534_LU0003_LU0003_LXEUR</t>
  </si>
  <si>
    <t>LU0003 ITV PLC SR UNSEC UV8560194_IE00B5ZR2157_EUR LU0003_LXEUR_25094534_LU0003_LU0003_LXEUR</t>
  </si>
  <si>
    <t>TALLGRASS NRG PRTNR/FIN 144A FIX 6.000% 31.12.2030_22522718</t>
  </si>
  <si>
    <t>25094377_LU0003_LU0003_LXEUR</t>
  </si>
  <si>
    <t>LU0003 NOVOMATIC AG SR UNSEC QZ4279159_IE00BK9YL094_EUR LU0003_LXEUR_25094377_LU0003_LU0003_LXEUR</t>
  </si>
  <si>
    <t>25428144_LU0003_LU0003_LXEUR</t>
  </si>
  <si>
    <t>LU0003 FANTASIA HOLDINGS GROUP BN0772531_IE00B464Q616_USD LU0003_LXEUR_25428144_LU0003_LU0003_LXEUR</t>
  </si>
  <si>
    <t>COOPERATIEVE RABOBANK UA FIX 3.950% 09.11.2022_4318141</t>
  </si>
  <si>
    <t>DIGITAL DUTCH FINCO BV FIX 0.125% 15.10.2022_19486457</t>
  </si>
  <si>
    <t>24394897_LU0003_LU0003_LXEUR</t>
  </si>
  <si>
    <t>LU0003 ELECTRICITE DE FRANCE SA JR SUB SMR BP7958104__EUR LU0003_LXEUR_24394897_LU0003_LU0003_LXEUR</t>
  </si>
  <si>
    <t>VIRGIN MONEY UK PLC GMTN FIX TO FLOAT 4.000% 03.09.2027_18527302</t>
  </si>
  <si>
    <t>24748955_LU0003_LU0003_LXEUR</t>
  </si>
  <si>
    <t>LU0003 PURE FINANCE SA PPE32QL88_IE00B5ZR2157_EUR LU0003_LXEUR_24748955_LU0003_LU0003_LXEUR</t>
  </si>
  <si>
    <t>CITIGROUP INC VAR 04.11.2022_19216264</t>
  </si>
  <si>
    <t>SYNOVUS BANK GA FIX TO FLOAT 2.289% 10.02.2023_19761710</t>
  </si>
  <si>
    <t>INEOS QUATTRO FINANCE 2 144A FIX 3.375% 15.01.2026_22943429</t>
  </si>
  <si>
    <t>25428243_LU0003_LU0003_LXEUR</t>
  </si>
  <si>
    <t>LU0003 BAT NETHERLANDS FINANCE EJ4408401_IE00B5ZR2157_EUR LU0003_LXEUR_25428243_LU0003_LU0003_LXEUR</t>
  </si>
  <si>
    <t>24139347_LU0003_LU0003_LXEUR</t>
  </si>
  <si>
    <t>LU0003 DEUTSCHE BANK AG EK7907075_IE00B5ZR2157_CHF LU0003_LXEUR_24139347_LU0003_LU0003_LXEUR</t>
  </si>
  <si>
    <t>24139082_LU0003_LU0003_LXEUR</t>
  </si>
  <si>
    <t>LU0003 MEITUAN BP1721839_IE00B464Q616_USD LU0003_LXEUR_24139082_LU0003_LU0003_LXEUR</t>
  </si>
  <si>
    <t>23914453_LU0003_LU0003_LXEUR</t>
  </si>
  <si>
    <t>LU0003 AIA GROUP LTD SUB REGS BO8406874_IE00B464Q616_USD LU0003_LXEUR_23914453_LU0003_LU0003_LXEUR</t>
  </si>
  <si>
    <t>INDIKA ENERGY CAPITAL IV REGS FIX 8.250% 22.10.2025_22048320</t>
  </si>
  <si>
    <t>24395299_LU0003_LU0003_LXEUR</t>
  </si>
  <si>
    <t>LU0003 ALTICE FINANCING SA SR SEC REGS ZP3544803_IE00B0C18065_EUR LU0003_LXEUR_24395299_LU0003_LU0003_LXEUR</t>
  </si>
  <si>
    <t>DKT FINANCE APS REGS FIX 7.000% 17.06.2023_14923621</t>
  </si>
  <si>
    <t>DELL INT LLC / EMC CORP FIX 5.450% 15.06.2023_24430401</t>
  </si>
  <si>
    <t>13662044_LU0003_LU0003_LXEUR</t>
  </si>
  <si>
    <t>LU0003 ODEBRECHT OIL &amp; FINANCE 144A PERP ZERO 22.12.2198 LU0003_LXEUR_13662044_LU0003_LU0003_LXEUR</t>
  </si>
  <si>
    <t>21784695_LU0003_LU0003_LXEUR</t>
  </si>
  <si>
    <t>LU0003 BERKSHIRE HATHAWAY INC EK7902092__EUR LU0003_LXEUR_21784695_LU0003_LU0003_LXEUR</t>
  </si>
  <si>
    <t>23914446_LU0003_LU0003_LXEUR</t>
  </si>
  <si>
    <t>LU0003 UNICREDIT SPA COCO JRSUB AL7554663_IE00BK9YL094_EUR LU0003_LXEUR_23914446_LU0003_LU0003_LXEUR</t>
  </si>
  <si>
    <t>MGM CHINA HOLDINGS LTD 144A FIX 5.375% 15.05.2024_17561283</t>
  </si>
  <si>
    <t>24139297_LU0003_LU0003_LXEUR</t>
  </si>
  <si>
    <t>LU0003 PT PAKUWON JATI SR UNSEC BP2209156_IE00B464Q616_USD LU0003_LXEUR_24139297_LU0003_LU0003_LXEUR</t>
  </si>
  <si>
    <t>QVC INC FIX 4.375% 15.03.2023_5408779</t>
  </si>
  <si>
    <t>FORD MOTOR CREDIT CO LLC EMTN VAR 15.11.2023_14685397</t>
  </si>
  <si>
    <t>PROSUS NV 144A FIX 3.832% 08.02.2051_22387301</t>
  </si>
  <si>
    <t>HYUNDAI CAPITAL AMERICA REGS FIX 1.250% 18.09.2023_21764314</t>
  </si>
  <si>
    <t>22623763_LU0003_LU0003_LXEUR</t>
  </si>
  <si>
    <t>LU0003 PETROBRAS GLOBAL FINANCE CO GTD EMTN EI8991800_IE00B0C18065_GBP LU0003_LXEUR_22623763_LU0003_LU0003_LXEUR</t>
  </si>
  <si>
    <t>18594113_LU0003_LU0003_LXEUR</t>
  </si>
  <si>
    <t>LU0003 UNITED AIR 2019-2 AA PTT AA FIX 2.700% 01.05.2032 LU0003_LXEUR_18594113_LU0003_LU0003_LXEUR</t>
  </si>
  <si>
    <t>WYNN MACAU LTD REGS FIX 5.500% 01.10.2027_13109400</t>
  </si>
  <si>
    <t>GENERAL MOTORS FINL CO FIX 3.450% 10.04.2022_8584154</t>
  </si>
  <si>
    <t>SUNAC CHINA HOLDINGS LTD FIX 7.250% 14.06.2022_17776713</t>
  </si>
  <si>
    <t>ALTICE FRANCE SA 144A FIX 8.125% 01.02.2027_15124171</t>
  </si>
  <si>
    <t>22623744_LU0003_LU0003_LXEUR</t>
  </si>
  <si>
    <t>LU0003 HSBC HOLDINGS PLC JR SUB COCO AO1326237_IE00B0C18065_EUR LU0003_LXEUR_22623744_LU0003_LU0003_LXEUR</t>
  </si>
  <si>
    <t>DEUTSCHE BANK AG EMTN FIX TO FLOAT 0.750% 17.02.2027_23162552</t>
  </si>
  <si>
    <t>CIFI HOLDINGS GROUP FIX 5.250% 13.05.2026_22213236</t>
  </si>
  <si>
    <t>24748760_LU0003_LU0003_LXEUR</t>
  </si>
  <si>
    <t>LU0003 CHINA HONGQIAO GROUP LTD SR UNSEC BP8712906_IE00B464Q616_USD LU0003_LXEUR_24748760_LU0003_LU0003_LXEUR</t>
  </si>
  <si>
    <t>GAZPROM (GAZ CAPITAL SA) REGS FIX 5.150% 11.02.2026_16642340</t>
  </si>
  <si>
    <t>ROYAL BANK OF CANADA GMTN VAR 17.01.2023_19714559</t>
  </si>
  <si>
    <t>NISSAN MOTOR ACCEPTANCE 144A VAR 13.01.2022_11821209</t>
  </si>
  <si>
    <t>FORD MOTOR CREDIT CO LLC FIX 4.063% 01.11.2024_19005970</t>
  </si>
  <si>
    <t>HSBC HOLDINGS PLC . CONV FIX TO FLOAT 4.000% 09.09.2198_23415378</t>
  </si>
  <si>
    <t>OVERSEAS CHINESE TOWN AS PERP FIX TO FLOAT 4.500% 15.01.2198_21565411</t>
  </si>
  <si>
    <t>AERCAP IRELAND CAP/GLOBA FIX 4.450% 03.04.2026_17236825</t>
  </si>
  <si>
    <t>PACIFIC GAS &amp; ELECTRIC MBS FIX 4.250% 15.03.2046_9476265</t>
  </si>
  <si>
    <t>AMER AIRLINE 16-1 AA PTT AA FIX 3.575% 15.01.2028_9818321</t>
  </si>
  <si>
    <t>BANK OF AMERICA CORP MTN VAR 05.03.2024_14384096</t>
  </si>
  <si>
    <t>CN HUANENG GP HK TREASUR PERP FIX TO FLOAT 3.080% 09.06.2198_22424958</t>
  </si>
  <si>
    <t>KT CORP REGS FIX 2.625% 07.08.2022_12847675</t>
  </si>
  <si>
    <t>CONTI-GUMMI FINANCE B.V. FIX 1.125% 25.09.2024_20996854</t>
  </si>
  <si>
    <t>25094574_LU0003_LU0003_LXEUR</t>
  </si>
  <si>
    <t>LU0003 SAUDI ARABIA (KSA SUKUK LTD) REGS AN1402543_IE00B67B7N93_USD LU0003_LXEUR_25094574_LU0003_LU0003_LXEUR</t>
  </si>
  <si>
    <t>BOC LUXEMBOURG SA FIX 0.125% 16.01.2023_19498823</t>
  </si>
  <si>
    <t>NIELSEN FINANCE LLC/CO 144A FIX 4.750% 15.07.2031_24176489</t>
  </si>
  <si>
    <t>24139359_LU0003_LU0003_LXEUR</t>
  </si>
  <si>
    <t>LU0003 CARNIVAL CORP SEC REGS BK5445642_IE00BK9YL094_EUR LU0003_LXEUR_24139359_LU0003_LU0003_LXEUR</t>
  </si>
  <si>
    <t>21565483_LU0003_LU0003_LXEUR</t>
  </si>
  <si>
    <t>LU0003 BRISTOL-MYERS SQUIBB CO SR UNSEC 110122CJ5_IE00B67B7N93_USD LU0003_LXEUR_21565483_LU0003_LU0003_LXEUR</t>
  </si>
  <si>
    <t>CHARTER COMM OPT LLC/CAP FIX 4.908% 23.07.2025_11642979</t>
  </si>
  <si>
    <t>DELL BANK INTERNATIONAL FIX 0.625% 17.10.2022_18905403</t>
  </si>
  <si>
    <t>25428155_LU0003_LU0003_LXEUR</t>
  </si>
  <si>
    <t>LU0003 NATIONAL GRID PLC SR UNSEC EMTN EJ8760971_IE00B5ZR2157_GBP LU0003_LXEUR_25428155_LU0003_LU0003_LXEUR</t>
  </si>
  <si>
    <t>19790527_LU0003_LU0003_LXEUR</t>
  </si>
  <si>
    <t>LU0003 KOREA DEVELOPMENT BANK EMTN VAR 18.02.2023 LU0003_LXEUR_19790527_LU0003_LU0003_LXEUR</t>
  </si>
  <si>
    <t>22554349_LU0003_LU0003_LXEUR</t>
  </si>
  <si>
    <t>LU0003 INNOGY FINANCE BV SR UNSEC 7835269W8__GBP LU0003_LXEUR_22554349_LU0003_LU0003_LXEUR</t>
  </si>
  <si>
    <t>REPUBLIC OF SERBIA REGS FIX 1.650% 03.03.2033_23305251</t>
  </si>
  <si>
    <t>25428201_LU0003_LU0003_LXEUR</t>
  </si>
  <si>
    <t>LU0003 KAISA GROUP HOLDINGS LTD PPEB3PO13_IE00B464Q616_USD LU0003_LXEUR_25428201_LU0003_LU0003_LXEUR</t>
  </si>
  <si>
    <t>PACIFIC GAS &amp; ELECTRIC MBS FIX 4.550% 01.07.2030_21151212</t>
  </si>
  <si>
    <t>HYUNDAI CAPITAL AMERICA 144A FIX 1.250% 18.09.2023_21772341</t>
  </si>
  <si>
    <t>24139072_LU0003_LU0003_LXEUR</t>
  </si>
  <si>
    <t>LU0003 BARCLAYS BANK PLC SUB EMTN 5752449C4_IE00B5ZR2157_EUR LU0003_LXEUR_24139072_LU0003_LU0003_LXEUR</t>
  </si>
  <si>
    <t>25428246_LU0003_LU0003_LXEUR</t>
  </si>
  <si>
    <t>LU0003 UBS GROUP AG SR UNSEC REGS AM8966021_IE00BDQZ6S97_USD LU0003_LXEUR_25428246_LU0003_LU0003_LXEUR</t>
  </si>
  <si>
    <t>NATIONWIDE BLDG SOCIETY FIX 1.000% 24.01.2023_19616258</t>
  </si>
  <si>
    <t>VOLKSWAGEN GROUP AMERICA REGS VAR 12.11.2021_19216281</t>
  </si>
  <si>
    <t>SIGMA HOLDCO BV REGS FIX 5.750% 15.05.2026_14593298</t>
  </si>
  <si>
    <t>24748905_LU0003_LU0003_LXEUR</t>
  </si>
  <si>
    <t>LU0003 PURE FINANCE SA PPE92PGU4_IE00B5ZR2157_GBP LU0003_LXEUR_24748905_LU0003_LU0003_LXEUR</t>
  </si>
  <si>
    <t>ANZ NEW ZEALAND INTL LTD EMTN FIX 0.400% 01.03.2022_12012728</t>
  </si>
  <si>
    <t>DELL INT LLC / EMC CORP FIX 4.900% 01.10.2026_24423126</t>
  </si>
  <si>
    <t>ZHONGAN ONLINE P&amp;C INSUR FIX 3.125% 16.07.2025_21245626</t>
  </si>
  <si>
    <t>CITIGROUP INC VAR 17.05.2024_12414185</t>
  </si>
  <si>
    <t>AT&amp;T INC FIX 3.100% 01.02.2043_21363927</t>
  </si>
  <si>
    <t>NISSAN MOTOR CO REGS FIX 2.652% 17.03.2026_21740949</t>
  </si>
  <si>
    <t>IVORY COAST REGS FIX 6.875% 17.10.2040_18916406</t>
  </si>
  <si>
    <t>JAGUAR LAND ROVER AUTOMO REGS FIX 5.000% 15.02.2022_6568192</t>
  </si>
  <si>
    <t>VERISURE HOLDING AB REGS FIX 3.250% 15.02.2027_22859854</t>
  </si>
  <si>
    <t>CANTOR FITZGERALD LP 144A FIX 6.500% 17.06.2022_8917854</t>
  </si>
  <si>
    <t>CHAMPION SINCERITY HLDGS PERP FIX TO FLOAT 8.125% 08.08.2198_16196303</t>
  </si>
  <si>
    <t>CREDIT SUISSE NEW YORK FIX 1.000% 05.05.2023_20868124</t>
  </si>
  <si>
    <t>22623373_LU0003_LU0003_LXEUR</t>
  </si>
  <si>
    <t>LU0003 PANAMA (REP OF) 698299AT1_IE00B0C18065_USD LU0003_LXEUR_22623373_LU0003_LU0003_LXEUR</t>
  </si>
  <si>
    <t>VOLKSWAGEN GROUP AMERICA 144A FIX 0.750% 23.11.2022_22301292</t>
  </si>
  <si>
    <t>NISSAN MOTOR ACCEPTANCE 144A FIX 2.650% 13.07.2022_12754691</t>
  </si>
  <si>
    <t>23531154_LU0003_LU0003_LXEUR</t>
  </si>
  <si>
    <t>LU0003 NOBLE CORP 2L NOTES 65505JAC5_IE00B0C18065_USD LU0003_LXEUR_23531154_LU0003_LU0003_LXEUR</t>
  </si>
  <si>
    <t>22623405_LU0003_LU0003_LXEUR</t>
  </si>
  <si>
    <t>LU0003 RAS LAFFAN LNG III 144A YANKEE 75405UAA4_IE00B0C18065_USD LU0003_LXEUR_22623405_LU0003_LU0003_LXEUR</t>
  </si>
  <si>
    <t>STANDARD CHARTERED PLC 144A VAR 14.10.2023_21917533</t>
  </si>
  <si>
    <t>BPCE SA REGS FIX 2.375% 14.01.2025_19483991</t>
  </si>
  <si>
    <t>TRANSOCEAN GUARDIAN LTD 144A FIX 5.875% 15.01.2024_14946321</t>
  </si>
  <si>
    <t>11410887_LU0003_LU0003_LXEUR</t>
  </si>
  <si>
    <t>LU0003 USBR 2016-1 A ABS VAR 25.09.2056 LU0003_LXEUR_11410887_LU0003_LU0003_LXEUR</t>
  </si>
  <si>
    <t>UNICREDIT SPA 144A FIX TO FLOAT 5.459% 30.06.2035_21057448</t>
  </si>
  <si>
    <t>NEW YORK LIFE GLOBAL FDG 144A VAR 12.07.2022_18126166</t>
  </si>
  <si>
    <t>SANTANDER HOLDINGS USA FIX 3.400% 18.01.2023_14339647</t>
  </si>
  <si>
    <t>TIME WARNER CABLE LLC FIX 6.750% 15.06.2039_1902559</t>
  </si>
  <si>
    <t>BOC AVIATION USA CORP REGS FIX 1.625% 29.04.2024_23936142</t>
  </si>
  <si>
    <t>VMWARE INC FIX 2.950% 21.08.2022_12942097</t>
  </si>
  <si>
    <t>ADLER GROUP SA FIX 2.750% 13.11.2026_22214087</t>
  </si>
  <si>
    <t>BNQ CEN TUNISIA INT BOND FIX 5.625% 17.02.2024_11975419</t>
  </si>
  <si>
    <t>7157123_LU0003_LU0003_LXEUR</t>
  </si>
  <si>
    <t>LU0003 PETROLEOS DE VENEZUELA S REGS 16.05.2024 LU0003_LXEUR_7157123_LU0003_LU0003_LXEUR</t>
  </si>
  <si>
    <t>FORD MOTOR CREDIT CO LLC FIX 3.096% 04.05.2023_10483612</t>
  </si>
  <si>
    <t>POWERLONG REAL ESTATE FIX 6.250% 10.08.2024_21451967</t>
  </si>
  <si>
    <t>24139133_LU0003_LU0003_LXEUR</t>
  </si>
  <si>
    <t>LU0003 PURE FINANCE SA REGS PPE52HMT6_IE00B5ZR2157_EUR LU0003_LXEUR_24139133_LU0003_LU0003_LXEUR</t>
  </si>
  <si>
    <t>22623393_LU0003_LU0003_LXEUR</t>
  </si>
  <si>
    <t>LU0003 SCHAEFFLER (IHO VERWALTUNGS) SEC REGS QZ4832064_IE00B0C18065_EUR LU0003_LXEUR_22623393_LU0003_LU0003_LXEUR</t>
  </si>
  <si>
    <t>GREENLAND GLB INVST EMTN FIX 6.750% 25.06.2022_17829812</t>
  </si>
  <si>
    <t>HSBC HOLDINGS PLC EMTN VAR 27.09.2022_12137995</t>
  </si>
  <si>
    <t>NOMURA HOLDINGS INC FIX 2.648% 16.01.2025_19503822</t>
  </si>
  <si>
    <t>25094394_LU0003_LU0003_LXEUR</t>
  </si>
  <si>
    <t>LU0003 BANK OF CHINA/FRANKFURT SR UNSEC ZS1071902_IE00B5ZR2157_EUR LU0003_LXEUR_25094394_LU0003_LU0003_LXEUR</t>
  </si>
  <si>
    <t>CORESTATE CAPITAL HOLD FIX 3.500% 15.04.2023_14455838</t>
  </si>
  <si>
    <t>VMED O2 UK FINAN 144A FIX 4.750% 15.07.2031_24432467</t>
  </si>
  <si>
    <t>COMMONSPIRIT HEALTH FIX 2.950% 01.11.2022_4300429</t>
  </si>
  <si>
    <t>25094551_LU0003_LU0003_LXEUR</t>
  </si>
  <si>
    <t>LU0003 PURE FINANCE SA PPE92Z3N2_IE00B5ZR2157_GBP LU0003_LXEUR_25094551_LU0003_LU0003_LXEUR</t>
  </si>
  <si>
    <t>SOFTBANK GROUP CORP FIX 4.000% 19.09.2029_13102840</t>
  </si>
  <si>
    <t>LAS VEGAS SANDS CORP FIX 3.200% 08.08.2024_18085386</t>
  </si>
  <si>
    <t>ENERGY TRANSFER LP FIX 6.050% 01.06.2041_2980591</t>
  </si>
  <si>
    <t>OCCIDENTAL PETROLEUM COR FIX 5.875% 01.09.2025_21534674</t>
  </si>
  <si>
    <t>AVOLON HOLDINGS FNDG LTD 144A FIX 3.250% 15.02.2027_19503968</t>
  </si>
  <si>
    <t>GOLDMAN SACHS GROUP INC GMTN VAR 28.10.2027_11413498</t>
  </si>
  <si>
    <t>22623375_LU0003_LU0003_LXEUR</t>
  </si>
  <si>
    <t>LU0003 REPUBLIC OF NIGERIA REGS AM4670155_IE00B0C18065_USD LU0003_LXEUR_22623375_LU0003_LU0003_LXEUR</t>
  </si>
  <si>
    <t>ING GROEP NV VAR 29.03.2022_12147490</t>
  </si>
  <si>
    <t>25428239_LU0003_LU0003_LXEUR</t>
  </si>
  <si>
    <t>LU0003 AZURE POWER ENERGY LTD REGS BQ9791410_IE00B464Q616_USD LU0003_LXEUR_25428239_LU0003_LU0003_LXEUR</t>
  </si>
  <si>
    <t>NATWEST GROUP PLC FIX TO FLOAT 4.892% 18.05.2029_14723458</t>
  </si>
  <si>
    <t>DEUTSCHE BANK AG EMTN FIX 1.625% 20.01.2027_19498501</t>
  </si>
  <si>
    <t>ONEMAIN FINANCE CORP FIX 3.500% 15.01.2027_24359615</t>
  </si>
  <si>
    <t>25428084_LU0003_LU0003_LXEUR</t>
  </si>
  <si>
    <t>LU0003 EXPORT-IMPORT BANK KOREA AO0409786_IE00BDQZ6S97_USD LU0003_LXEUR_25428084_LU0003_LU0003_LXEUR</t>
  </si>
  <si>
    <t>BOEING CO FIX 1.167% 04.02.2023_23118780</t>
  </si>
  <si>
    <t>UKRAINE GOVERNMENT REGS FIX 4.375% 27.01.2030_19647685</t>
  </si>
  <si>
    <t>INDIGO NATURAL RES LLC 144A FIX 5.375% 01.02.2029_22901028</t>
  </si>
  <si>
    <t>ING GROEP NV CONV FIX TO FLOAT 6.750% 16.04.2198_16971309</t>
  </si>
  <si>
    <t>22554543_LU0003_LU0003_LXEUR</t>
  </si>
  <si>
    <t>LU0003 AT&amp;T INC SR UNSEC BJ5954950_IE00B0C18065_EUR LU0003_LXEUR_22554543_LU0003_LU0003_LXEUR</t>
  </si>
  <si>
    <t>16974706_LU0003_LU0003_LXEUR</t>
  </si>
  <si>
    <t>LU0003 HSBC BANK FUNDING STER EMTN PRFSTY 4042709A0_IE00B3D1YW09_GBP LU0003_LXEUR_16974706_LU0003_LU0003_LXEUR</t>
  </si>
  <si>
    <t>25428112_LU0003_LU0003_LXEUR</t>
  </si>
  <si>
    <t>LU0003 WORLDLINE SA/FRANCE SR UNSEC SMR ZR5706091_IE00B5ZR2157_EUR LU0003_LXEUR_25428112_LU0003_LU0003_LXEUR</t>
  </si>
  <si>
    <t>24748724_LU0003_LU0003_LXEUR</t>
  </si>
  <si>
    <t>LU0003 CATHAY PACIFIC FIN III SR UNSEC BN7879487_IE00B464Q616_HKD LU0003_LXEUR_24748724_LU0003_LU0003_LXEUR</t>
  </si>
  <si>
    <t>AERCAP IRELAND CAP/GLOBA FIX 4.625% 01.07.2022_8950596</t>
  </si>
  <si>
    <t>VIRGIN MEDIA SECURED FIN REGS FIX 4.125% 15.08.2030_21039549</t>
  </si>
  <si>
    <t>VIRGIN MONEY UK PLC GMTN FIX TO FLOAT 3.375% 24.04.2026_14571501</t>
  </si>
  <si>
    <t>ROYAL CAPITAL BV PERP FIX 5.875% 05.05.2198_14276622</t>
  </si>
  <si>
    <t>ARDAGH PKG FIN/HLDGS USA REGS FIX 4.750% 15.07.2027_12519276</t>
  </si>
  <si>
    <t>HSBC HOLDINGS PLC FIX TO FLOAT 1.645% 18.04.2026_21520715</t>
  </si>
  <si>
    <t>SL GREEN REALTY CORP FIX 4.500% 01.12.2022_4341995</t>
  </si>
  <si>
    <t>ORIGIN ENERGY FINANCE REGS FIX 3.500% 04.10.2021_6087964</t>
  </si>
  <si>
    <t>20113402_LU0003_LU0003_LXEUR</t>
  </si>
  <si>
    <t>LU0003 AT&amp;T INC SR UNSEC REGS EK6171715_IE00B5ZR2157_EUR LU0003_LXEUR_20113402_LU0003_LU0003_LXEUR</t>
  </si>
  <si>
    <t>25094595_LU0003_LU0003_LXEUR</t>
  </si>
  <si>
    <t>LU0003 ZHENRO PROPERTIES GROUP BP8704531_IE00B464Q616_USD LU0003_LXEUR_25094595_LU0003_LU0003_LXEUR</t>
  </si>
  <si>
    <t>SMBC AVIATION CAPITAL FI REGS FIX 3.000% 15.07.2022_13656300</t>
  </si>
  <si>
    <t>FEDERAL HOME LOAN BANK FIX 0.900% 26.02.2027_23159574</t>
  </si>
  <si>
    <t>SPRINT SPECTRUM / SPEC I 144A FIX 5.152% 20.03.2028_14376252</t>
  </si>
  <si>
    <t>BANK OF AMERICA CORP EMTN FIX TO FLOAT 0.808% 09.05.2026_17470939</t>
  </si>
  <si>
    <t>VMWARE INC FIX 3.900% 21.08.2027_12942096</t>
  </si>
  <si>
    <t>23914809_LU0003_LU0003_LXEUR</t>
  </si>
  <si>
    <t>LU0003 GREENKO DUTCH BV SR UNSEC REGS BO3759905_IE00B464Q616_USD LU0003_LXEUR_23914809_LU0003_LU0003_LXEUR</t>
  </si>
  <si>
    <t>25428024_LU0003_LU0003_LXEUR</t>
  </si>
  <si>
    <t>LU0003 YUZHOU GROUP BR2050580_IE00BGSXQQ02_USD LU0003_LXEUR_25428024_LU0003_LU0003_LXEUR</t>
  </si>
  <si>
    <t>SANTANDER UK GROUP HLDGS VAR 27.03.2024_14395981</t>
  </si>
  <si>
    <t>WYNN MACAU LTD 144A FIX 5.500% 15.01.2026_20971137</t>
  </si>
  <si>
    <t>SKANDINAVISKA ENSKILDA 144A VAR 12.12.2022_19295240</t>
  </si>
  <si>
    <t>NUSTAR LOGISTICS LP FIX 6.000% 01.06.2026_17614602</t>
  </si>
  <si>
    <t>SWEDISH EXPORT CREDIT EMTN FIX 0.250% 05.10.2022_22185540</t>
  </si>
  <si>
    <t>GENERAL MOTORS FINL CO FIX 4.200% 06.11.2021_15742343</t>
  </si>
  <si>
    <t>ILLINOIS ST-BABS MUNI FIX 6.630% 01.02.2035_2166226</t>
  </si>
  <si>
    <t>DELTA AIR LINES INC FIX 3.625% 15.03.2022_12101483</t>
  </si>
  <si>
    <t>SWEDISH EXPORT CREDIT EMTN VAR 13.12.2021_14805194</t>
  </si>
  <si>
    <t>FORD MOTOR CREDIT CO LLC EMTN FIX 3.021% 06.03.2024_17020835</t>
  </si>
  <si>
    <t>24394851_LU0003_LU0003_LXEUR</t>
  </si>
  <si>
    <t>LU0003 AAC TECHNOLOGIES HOLDING REGS BP7700852_IE00B464Q616_USD LU0003_LXEUR_24394851_LU0003_LU0003_LXEUR</t>
  </si>
  <si>
    <t>CATERPILLAR FINL SERVICE MTN VAR 12.11.2021_19573516</t>
  </si>
  <si>
    <t>WEYERHAEUSER CO FIX 7.950% 15.03.2025_203287</t>
  </si>
  <si>
    <t>PLAINS ALL AMER PIPELINE FIX 3.850% 15.10.2023_5348488</t>
  </si>
  <si>
    <t>SUMMER BIDCO BV REGS 15.11.2025_17633389</t>
  </si>
  <si>
    <t>23914733_LU0003_LU0003_LXEUR</t>
  </si>
  <si>
    <t>LU0003 NAVER CORP SR UNSEC BO7067305_IE00B464Q616_USD LU0003_LXEUR_23914733_LU0003_LU0003_LXEUR</t>
  </si>
  <si>
    <t>ABH FINANCIAL (ALFA HLDG FIX 2.700% 11.06.2023_20903489</t>
  </si>
  <si>
    <t>DOMINICAN REPUBLIC REGS FIX 6.875% 29.01.2026_9870815</t>
  </si>
  <si>
    <t>23914671_LU0003_LU0003_LXEUR</t>
  </si>
  <si>
    <t>LU0003 VOLKSWAGEN LEASING GMBH SR UNSEC REGS AT9683547_IE00B5ZR2157_EUR LU0003_LXEUR_23914671_LU0003_LU0003_LXEUR</t>
  </si>
  <si>
    <t>SOUTHWEST AIRLINES CO FIX 5.250% 04.05.2025_20541270</t>
  </si>
  <si>
    <t>ZIMMER BIOMET HOLDINGS FIX 3.150% 01.04.2022_8439558</t>
  </si>
  <si>
    <t>AMER AIRLINE 17-1 AA PTT AA FIX 3.650% 15.02.2029_11798507</t>
  </si>
  <si>
    <t>22623408_LU0003_LU0003_LXEUR</t>
  </si>
  <si>
    <t>LU0003 LIMA METRO LINE 2 FIN LT SEC 144A SMR 532522AA7_IE00B0C18065_USD LU0003_LXEUR_22623408_LU0003_LU0003_LXEUR</t>
  </si>
  <si>
    <t>22554479_LU0003_LU0003_LXEUR</t>
  </si>
  <si>
    <t>LU0003 GE CAPITAL UK FUNDING SR UNSUB EMTN 3615689B6_IE00B0C18065_GBP LU0003_LXEUR_22554479_LU0003_LU0003_LXEUR</t>
  </si>
  <si>
    <t>JAGUAR LAND ROVER AUTOMO 144A FIX 7.750% 15.10.2025_21989831</t>
  </si>
  <si>
    <t>RCS &amp; RDS SA REGS FIX 2.500% 05.02.2025_19686832</t>
  </si>
  <si>
    <t>SOUTHWEST AIRLINES CO FIX 5.125% 15.06.2027_20904646</t>
  </si>
  <si>
    <t>CNPC GLOBAL CAPITAL FIX 1.125% 23.06.2023_21004751</t>
  </si>
  <si>
    <t>GENERAL ELECTRIC CO GMTN FIX 6.875% 10.01.2039_1667976</t>
  </si>
  <si>
    <t>HSBC CAPITAL FUNDING USD 144A PERP FIX TO FLOAT 10.176% 31.12.2198_387894</t>
  </si>
  <si>
    <t>FORD MOTOR CREDIT CO LLC VAR 12.10.2021_15219111</t>
  </si>
  <si>
    <t>UNICREDIT SPA REGS FIX 7.830% 04.12.2023_15861135</t>
  </si>
  <si>
    <t>TEVA PHARM FNC NL II FIX 1.125% 15.10.2024_10900818</t>
  </si>
  <si>
    <t>BAUSCH HEALTH COS INC 144A FIX 4.875% 01.06.2028_24190230</t>
  </si>
  <si>
    <t>CREDIT SUISSE GROUP AG 144A FIX TO FLOAT 4.194% 01.04.2031_20204088</t>
  </si>
  <si>
    <t>KOOKMIN BANK REGS FIX 2.500% 04.11.2030_22124822</t>
  </si>
  <si>
    <t>GOLDMAN SACHS GROUP INC * VAR 31.10.2022_13302207</t>
  </si>
  <si>
    <t>24748949_LU0003_LU0003_LXEUR</t>
  </si>
  <si>
    <t>LU0003 BANCO SANTANDER SA AO3123368_IE00BMTRWY37_AUD LU0003_LXEUR_24748949_LU0003_LU0003_LXEUR</t>
  </si>
  <si>
    <t>ING GROEP NV * VAR 02.10.2023_15497495</t>
  </si>
  <si>
    <t>BARCLAYS PLC VAR 16.05.2024_14692677</t>
  </si>
  <si>
    <t>CONTINENTAL RESOURCES FIX 4.375% 15.01.2028_14770812</t>
  </si>
  <si>
    <t>25428185_LU0003_LU0003_LXEUR</t>
  </si>
  <si>
    <t>LU0003 BMW US CAPITAL LLC SR UNSEC REGS AN0860170_IE00BDQZ6S97_USD LU0003_LXEUR_25428185_LU0003_LU0003_LXEUR</t>
  </si>
  <si>
    <t>VOLKSWAGEN LEASING GMBH EMTN FIX 0.250% 12.01.2026_22676178</t>
  </si>
  <si>
    <t>6127437_LU0003_LU0003_LXEUR</t>
  </si>
  <si>
    <t>LU0003 DOCTORS CO INTERINSURANC 144A FIX 6.500% 15.10.2023 LU0003_LXEUR_6127437_LU0003_LU0003_LXEUR</t>
  </si>
  <si>
    <t>ENERGY TRANSFER LP FIX 3.600% 01.02.2023_4582243</t>
  </si>
  <si>
    <t>SOCIETE GENERALE 144A CONV FIX TO FLOAT 7.875% 18.06.2198_6380989</t>
  </si>
  <si>
    <t>SHRIRAM TRANSPORT FIN REGS FIX 5.950% 24.10.2022_17392711</t>
  </si>
  <si>
    <t>24139243_LU0003_LU0003_LXEUR</t>
  </si>
  <si>
    <t>LU0003 ZHENRO PROPERTIES GROUP BO9974573_IE00BGSXQQ02_USD LU0003_LXEUR_24139243_LU0003_LU0003_LXEUR</t>
  </si>
  <si>
    <t>UNITED AIR 2015-1 AA PTT FIX 3.450% 01.12.2027_9487915</t>
  </si>
  <si>
    <t>OMAN GOV INTERNTL BOND REGS FIX 7.000% 25.01.2051_22857471</t>
  </si>
  <si>
    <t>RCS &amp; RDS SA REGS FIX 3.250% 05.02.2028_19686822</t>
  </si>
  <si>
    <t>CHALIECO HONG KONG CORP PERP FIX TO FLOAT 5.000% 21.05.2198_19142221</t>
  </si>
  <si>
    <t>EMPRESA DE TRANSPORTE ME REGS FIX 3.650% 07.05.2030_20591727</t>
  </si>
  <si>
    <t>22623413_LU0003_LU0003_LXEUR</t>
  </si>
  <si>
    <t>LU0003 UBS GROUP FUNDING SR UNSEC 144A 90351DAF4_IE00B0C18065_USD LU0003_LXEUR_22623413_LU0003_LU0003_LXEUR</t>
  </si>
  <si>
    <t>18550734_LU0003_LU0003_LXEUR</t>
  </si>
  <si>
    <t>LU0003 YANLORD LAND HK CO LTD FIX 6.800% 27.02.2024 LU0003_LXEUR_18550734_LU0003_LU0003_LXEUR</t>
  </si>
  <si>
    <t>SWISS RE FINANCE UK EMTN FIX TO FLOAT 2.714% 04.06.2052_20791397</t>
  </si>
  <si>
    <t>ALTICE FRANCE SA REGS FIX 2.125% 15.02.2025_19653090</t>
  </si>
  <si>
    <t>25094554_LU0003_LU0003_LXEUR</t>
  </si>
  <si>
    <t>LU0003 PURE FINANCE SA REGS PPE63O468_IE00B5ZR2157_USD LU0003_LXEUR_25094554_LU0003_LU0003_LXEUR</t>
  </si>
  <si>
    <t>SEAZEN GROUP LTD FIX 6.450% 11.06.2022_20908882</t>
  </si>
  <si>
    <t>BANCO BTG PACTUAL/CAYMAN REGS FIX 4.500% 10.01.2025_19272727</t>
  </si>
  <si>
    <t>AIR LEASE CORP FIX 2.250% 15.01.2023_18681510</t>
  </si>
  <si>
    <t>25428203_LU0003_LU0003_LXEUR</t>
  </si>
  <si>
    <t>LU0003 SMITHS GROUP PLC SR UNSEC EK8613797_IE00B5ZR2157_EUR LU0003_LXEUR_25428203_LU0003_LU0003_LXEUR</t>
  </si>
  <si>
    <t>24394927_LU0003_LU0003_LXEUR</t>
  </si>
  <si>
    <t>LU0003 JINKE PROPERTIES GROUP SR UNSEC BP7702056_IE00BGSXQQ02_USD LU0003_LXEUR_24394927_LU0003_LU0003_LXEUR</t>
  </si>
  <si>
    <t>24395114_LU0003_LU0003_LXEUR</t>
  </si>
  <si>
    <t>LU0003 SK BROADBAND CO LTD SR UNSEC REGS AT9313467_IE00B67B7N93_USD LU0003_LXEUR_24395114_LU0003_LU0003_LXEUR</t>
  </si>
  <si>
    <t>GLP CHINA HOLDINGS LTD EMTN FIX 4.974% 26.02.2024_16965277</t>
  </si>
  <si>
    <t>STATE POWER INVESTMENT MTN FIX 3.870% 08.05.2022_19567767</t>
  </si>
  <si>
    <t>FIDELITY NATL INFO SERV FIX 0.125% 03.12.2022_19178596</t>
  </si>
  <si>
    <t>23914697_LU0003_LU0003_LXEUR</t>
  </si>
  <si>
    <t>LU0003 CITYCON OYJ SUB ZQ6627744_IE00BK9YL094_EUR LU0003_LXEUR_23914697_LU0003_LU0003_LXEUR</t>
  </si>
  <si>
    <t>HSBC HOLDINGS PLC VAR 12.09.2026_15399530</t>
  </si>
  <si>
    <t>CPUK FINANCE LTD FIX 6.500% 28.08.2026_21753800</t>
  </si>
  <si>
    <t>24139104_LU0003_LU0003_LXEUR</t>
  </si>
  <si>
    <t>LU0003 L-BANK BW FOERDERBANK BH1669416_IE00BDQZ6S97_USD LU0003_LXEUR_24139104_LU0003_LU0003_LXEUR</t>
  </si>
  <si>
    <t>CNH INDUSTRIAL CAP LLC FIX 4.375% 05.04.2022_12246861</t>
  </si>
  <si>
    <t>19425636_LU0003_LU0003_LXEUR</t>
  </si>
  <si>
    <t>LU0003 LEVEL 3 FIN INC 01.03.2027 LU0003_LXEUR_19425636_LU0003_LU0003_LXEUR</t>
  </si>
  <si>
    <t>21706560_LU0003_LU0003_LXEUR</t>
  </si>
  <si>
    <t>LU0003 REPUBLIC OF ARGENTINA FIX 1.000% 09.07.2029 LU0003_LXEUR_21706560_LU0003_LU0003_LXEUR</t>
  </si>
  <si>
    <t>HSBC HOLDINGS PLC FIX TO FLOAT 2.848% 04.06.2031_20809016</t>
  </si>
  <si>
    <t>20151591_LU0003_LU0003_LXEUR</t>
  </si>
  <si>
    <t>LU0003 NAKILAT INC SR SECD REGS 6201459A2_IE0030759645_USD LU0003_LXEUR_20151591_LU0003_LU0003_LXEUR</t>
  </si>
  <si>
    <t>HANA BANK REGS FIX 2.125% 18.10.2021_11578696</t>
  </si>
  <si>
    <t>22623748_LU0003_LU0003_LXEUR</t>
  </si>
  <si>
    <t>LU0003 TEVA PHARMACEUT FIN BV GLBL CO GTD 2 88165FAF9_IE00B0C18065_USD LU0003_LXEUR_22623748_LU0003_LU0003_LXEUR</t>
  </si>
  <si>
    <t>HUTCH WHAMPOA EUR FIN 12 B FIX 3.625% 06.06.2022_3953308</t>
  </si>
  <si>
    <t>19017862_LU0003_LU0003_LXEUR</t>
  </si>
  <si>
    <t>LU0003 JETBLUE 2019-1 CLASS AA 2019 FIX 2.750% 15.05.2032 LU0003_LXEUR_19017862_LU0003_LU0003_LXEUR</t>
  </si>
  <si>
    <t>AROUNDTOWN SA FIX 0.375% 23.09.2022_18719309</t>
  </si>
  <si>
    <t>SAN DIEGO G &amp; E UUU MBS FIX 3.320% 15.04.2050_20253637</t>
  </si>
  <si>
    <t>BANK OF CHINA/HONG KONG EMTN FIX 1.250% 24.06.2025_21024822</t>
  </si>
  <si>
    <t>PACIFIC GAS &amp; ELECTRIC MBS FIX 3.500% 15.06.2025_8903954</t>
  </si>
  <si>
    <t>LA POSTE SA EMTN FIX 2.750% 26.11.2024_4359338</t>
  </si>
  <si>
    <t>KOREA DEVELOPMENT BANK VAR 06.07.2022_12633911</t>
  </si>
  <si>
    <t>YANGO JUSTICE INTL FIX 8.250% 25.11.2023_19837924</t>
  </si>
  <si>
    <t>ALROSA FINANCE SA REGS FIX 4.650% 09.04.2024_17296039</t>
  </si>
  <si>
    <t>MORGAN STANLEY FIX TO FLOAT 0.790% 30.05.2025_24191440</t>
  </si>
  <si>
    <t>HYUNDAI CAPITAL AMERICA 144A FIX 2.850% 01.11.2022_19003893</t>
  </si>
  <si>
    <t>FEDERAL HOME LOAN BANK FIX 0.830% 10.02.2027_23120391</t>
  </si>
  <si>
    <t>GRUPO TELEVISA SAB FIX 5.000% 13.05.2045_7013339</t>
  </si>
  <si>
    <t>TOYOTA MOTOR CREDIT CORP MTN VAR 07.10.2021_19031474</t>
  </si>
  <si>
    <t>FORD MOTOR CREDIT CO LLC FIX 5.596% 07.01.2022_16064048</t>
  </si>
  <si>
    <t>2931233_LU0003_LU0003_LXEUR</t>
  </si>
  <si>
    <t>LU0003 CHICAGO WTR-TXB-C MUNI FIX 6.642% 01.11.2029 LU0003_LXEUR_2931233_LU0003_LU0003_LXEUR</t>
  </si>
  <si>
    <t>TALKTALK TELECOM GROUP FIX 3.875% 20.02.2025_19812328</t>
  </si>
  <si>
    <t>DAIMLER FINANCE NA LLC 144A FIX 2.550% 15.08.2022_18188305</t>
  </si>
  <si>
    <t>REPUBLIC OF SRI LANKA REGS FIX 6.850% 03.11.2025_9454013</t>
  </si>
  <si>
    <t>GREENKO SOLAR MAURITIUS REGS FIX 5.550% 29.01.2025_18052009</t>
  </si>
  <si>
    <t>CREDIT SUISSE GROUP AG 144A FIX TO FLOAT 3.869% 12.01.2029_13672875</t>
  </si>
  <si>
    <t>GLP CAPITAL LP / FIN II FIX 5.750% 01.06.2028_14676162</t>
  </si>
  <si>
    <t>STANDARD CHARTERED PLC REGS VAR 14.10.2023_21917556</t>
  </si>
  <si>
    <t>AA BOND CO LTD EMTN FIX 2.750% 31.07.2023_12667442</t>
  </si>
  <si>
    <t>25428044_LU0003_LU0003_LXEUR</t>
  </si>
  <si>
    <t>LU0003 PURE FINANCE SA REGS PPEE2W7G9_IE00B5ZR2157_GBP LU0003_LXEUR_25428044_LU0003_LU0003_LXEUR</t>
  </si>
  <si>
    <t>SUMMER (BC) BIDC 144A FIX 5.500% 31.10.2026_24453175</t>
  </si>
  <si>
    <t>CHINA DEVELOPMENT BANK 1605 FIX 3.800% 25.01.2036_12402492</t>
  </si>
  <si>
    <t>7-ELEVEN INC REGS VAR 10.08.2022_23207410</t>
  </si>
  <si>
    <t>INTESA SANPAOLO SPA EMTN FIX 1.125% 04.03.2022_8354801</t>
  </si>
  <si>
    <t>25094427_LU0003_LU0003_LXEUR</t>
  </si>
  <si>
    <t>LU0003 EG GLOBAL FINANCE PLC SEC REGS ZS4547817_IE00BK9YL094_EUR LU0003_LXEUR_25094427_LU0003_LU0003_LXEUR</t>
  </si>
  <si>
    <t>22623412_LU0003_LU0003_LXEUR</t>
  </si>
  <si>
    <t>LU0003 KENNEDY WILSON EUROPE RE EK9851545_IE00B0C18065_GBP LU0003_LXEUR_22623412_LU0003_LU0003_LXEUR</t>
  </si>
  <si>
    <t>PT ADARO INDONESIA REGS FIX 4.250% 31.10.2024_18991273</t>
  </si>
  <si>
    <t>TOKYO METROPOLITAN GOVT 144A FIX 0.750% 16.07.2025_21257169</t>
  </si>
  <si>
    <t>TOYOTA MOTOR CREDIT CORP MTN VAR 13.06.2022_22927564</t>
  </si>
  <si>
    <t>ANTON OILFIELD SERV GRP/ FIX 7.500% 02.12.2022_19184780</t>
  </si>
  <si>
    <t>25094381_LU0003_LU0003_LXEUR</t>
  </si>
  <si>
    <t>LU0003 RENAULT SA AZ1870817_IE00B0C18065_EUR LU0003_LXEUR_25094381_LU0003_LU0003_LXEUR</t>
  </si>
  <si>
    <t>SPIRIT AIR 2015-1 PTT A A FIX 4.100% 01.04.2028_9118094</t>
  </si>
  <si>
    <t>SK HYNIX INC REGS FIX 2.375% 19.01.2031_22844752</t>
  </si>
  <si>
    <t>24139315_LU0003_LU0003_LXEUR</t>
  </si>
  <si>
    <t>LU0003 LLOYDS BANKING GROUP PLC AR5033816_IE00BMTRWY37_AUD LU0003_LXEUR_24139315_LU0003_LU0003_LXEUR</t>
  </si>
  <si>
    <t>PACIFIC GAS &amp; ELECTRIC MBS FIX 4.450% 15.04.2042_3853226</t>
  </si>
  <si>
    <t>ALTAREIT SCA FIX 2.875% 02.07.2025_14935545</t>
  </si>
  <si>
    <t>JPMORGAN CHASE &amp; CO VAR 25.04.2023_12287386</t>
  </si>
  <si>
    <t>ALTICE FRANCE SA REGS FIX 2.500% 15.01.2025_18702636</t>
  </si>
  <si>
    <t>23914554_LU0003_LU0003_LXEUR</t>
  </si>
  <si>
    <t>LU0003 YANGO JUSTICE INTL SR UNSEC BN3253554_IE00BGSXQQ02_USD LU0003_LXEUR_23914554_LU0003_LU0003_LXEUR</t>
  </si>
  <si>
    <t>24139333_LU0003_LU0003_LXEUR</t>
  </si>
  <si>
    <t>LU0003 HARVEST OPERATIONS CORP UNSEC REGS BP1992273_IE00B5ZR2157_USD LU0003_LXEUR_24139333_LU0003_LU0003_LXEUR</t>
  </si>
  <si>
    <t>SUNNY EXPRESS PERP FIX TO FLOAT 3.350% 23.04.2198_18942811</t>
  </si>
  <si>
    <t>BOEING CO FIX 2.800% 01.03.2023_14257093</t>
  </si>
  <si>
    <t>MGM CHINA HOLDINGS LTD REGS FIX 5.375% 15.05.2024_17561182</t>
  </si>
  <si>
    <t>FAR EAST HORIZON LTD EMTN FIX 3.375% 18.02.2025_19791091</t>
  </si>
  <si>
    <t>DAIMLER FINANCE NA LLC 144A VAR 22.02.2022_17055915</t>
  </si>
  <si>
    <t>MUTHOOT FINANCE LTD REGS FIX 6.125% 31.10.2022_18960229</t>
  </si>
  <si>
    <t>STANDARD CHARTERED PLC EMTN FIX TO FLOAT 0.750% 03.10.2023_13162985</t>
  </si>
  <si>
    <t>24139206_LU0003_LU0003_LXEUR</t>
  </si>
  <si>
    <t>LU0003 HUARONG FINANCE 2019 SR UNSEC ZO6315261_IE00BGSXQQ02_USD LU0003_LXEUR_24139206_LU0003_LU0003_LXEUR</t>
  </si>
  <si>
    <t>25428067_LU0003_LU0003_LXEUR</t>
  </si>
  <si>
    <t>LU0003 PURE FINANCE SA REGS PPEF3PVS7_IE00B5ZR2157_EUR LU0003_LXEUR_25428067_LU0003_LU0003_LXEUR</t>
  </si>
  <si>
    <t>ZF EUROPE FINANCE BV FIX 2.000% 23.02.2026_18923343</t>
  </si>
  <si>
    <t>STATE OF QATAR REGS FIX 4.817% 14.03.2049_17087265</t>
  </si>
  <si>
    <t>CITIGROUP INC VAR 01.06.2024_14741153</t>
  </si>
  <si>
    <t>MEDCO OAK TREE PTE LTD REGS FIX 7.375% 14.05.2026_17491187</t>
  </si>
  <si>
    <t>BGC PARTNERS INC FIX 5.375% 24.07.2023_15493714</t>
  </si>
  <si>
    <t>PT PERTAMINA (PERSERO) REGS FIX 4.875% 03.05.2022_3883655</t>
  </si>
  <si>
    <t>CONTINENTAL RESOURCES FIX 3.800% 01.06.2024_7524533</t>
  </si>
  <si>
    <t>ENERGY TRANSFER LP FIX 5.000% 15.05.2050_19481667</t>
  </si>
  <si>
    <t>REPUBLIC OF GHANA REGS FIX 8.125% 26.03.2032_17170631</t>
  </si>
  <si>
    <t>ROYAL BANK OF CANADA GMTN VAR 29.04.2022_17481459</t>
  </si>
  <si>
    <t>CHARTER COMM OPT LLC/CAP FIX 4.464% 23.07.2022_11645329</t>
  </si>
  <si>
    <t>GENERAL MOTORS FINL CO EMTN VAR 26.03.2022_14410290</t>
  </si>
  <si>
    <t>24748972_LU0003_LU0003_LXEUR</t>
  </si>
  <si>
    <t>LU0003 EXPEDIA INC SR UNSEC EK8829526_IE00B5ZR2157_EUR LU0003_LXEUR_24748972_LU0003_LU0003_LXEUR</t>
  </si>
  <si>
    <t>UBS AG STAMFORD CT CONV FIX 7.625% 17.08.2022_4107885</t>
  </si>
  <si>
    <t>FREDDIE MAC FIX 0.600% 15.10.2025_21908432</t>
  </si>
  <si>
    <t>MELCO RESORTS FINANCE REGS FIX 5.250% 26.04.2026_17478578</t>
  </si>
  <si>
    <t>24394865_LU0003_LU0003_LXEUR</t>
  </si>
  <si>
    <t>LU0003 EHI CAR SERVICES LTD SR UNSEC BP4387299_IE00B464Q616_USD LU0003_LXEUR_24394865_LU0003_LU0003_LXEUR</t>
  </si>
  <si>
    <t>NTT FINANCE CORP 144A FIX 0.373% 03.03.2023_23364894</t>
  </si>
  <si>
    <t>BOEING CO FIX 2.700% 01.05.2022_17490485</t>
  </si>
  <si>
    <t>FORTUNE STAR BVI LTD FIX 5.050% 27.01.2027_22911183</t>
  </si>
  <si>
    <t>CLEARSTREAM BANKING AG FIX 0.000% 01.12.2025_22320616</t>
  </si>
  <si>
    <t>CALIFORNIA ST-C-TXBL MUNI VAR 01.04.2047_14504603</t>
  </si>
  <si>
    <t>DANSKE BANK A/S REGS VAR 12.09.2023_14851927</t>
  </si>
  <si>
    <t>REPUBLIC OF CHILE FIX 2.450% 31.01.2031_20626151</t>
  </si>
  <si>
    <t>ENERGY TRANSFER LP FIX 4.650% 15.02.2022_3092975</t>
  </si>
  <si>
    <t>AOZORA BANK FIX 2.550% 09.09.2022_18555381</t>
  </si>
  <si>
    <t>CHARTER COMM OPT LLC/CAP VAR 01.02.2024_14957286</t>
  </si>
  <si>
    <t>INDONESIA ASAHAN ALUMINI REGS FIX 5.450% 15.05.2030_20658178</t>
  </si>
  <si>
    <t>US AIRWAYS 2013-1A PTT FIX 3.950% 15.11.2025_4881645</t>
  </si>
  <si>
    <t>STATE OF QATAR REGS FIX 5.103% 23.04.2048_14542340</t>
  </si>
  <si>
    <t>UNICREDIT SPA 144A FIX 6.572% 14.01.2022_16080840</t>
  </si>
  <si>
    <t>24139050_LU0003_LU0003_LXEUR</t>
  </si>
  <si>
    <t>LU0003 10 RENEW POWER SUBSIDIAR SEC REGS BO8630713_IE00BGSXQQ02_USD LU0003_LXEUR_24139050_LU0003_LU0003_LXEUR</t>
  </si>
  <si>
    <t>25428052_LU0003_LU0003_LXEUR</t>
  </si>
  <si>
    <t>LU0003 VIRGIN MONEY UK PLC SR UNSEC BP6151826_IE00B5ZR2157_EUR LU0003_LXEUR_25428052_LU0003_LU0003_LXEUR</t>
  </si>
  <si>
    <t>DUFRY ONE BV FIX 2.500% 15.10.2024_13240037</t>
  </si>
  <si>
    <t>HSBC HOLDINGS PLC FIX TO FLOAT 3.973% 22.05.2030_17596333</t>
  </si>
  <si>
    <t>23914789_LU0003_LU0003_LXEUR</t>
  </si>
  <si>
    <t>LU0003 INDONESIA (REP OF) BD REGS 004137A13_IE00B0C18065_USD LU0003_LXEUR_23914789_LU0003_LU0003_LXEUR</t>
  </si>
  <si>
    <t>CREDIT SUISSE GROUP AG 144A CONV FIX TO FLOAT 7.500% 11.06.2198_6350660</t>
  </si>
  <si>
    <t>24139257_LU0003_LU0003_LXEUR</t>
  </si>
  <si>
    <t>LU0003 SANTANDER UK GROUP JR SUB EK9552192_IE00B5ZR2157_GBP LU0003_LXEUR_24139257_LU0003_LU0003_LXEUR</t>
  </si>
  <si>
    <t>FREDDIE MAC FIX 0.650% 22.10.2025_22000591</t>
  </si>
  <si>
    <t>24748869_LU0003_LU0003_LXEUR</t>
  </si>
  <si>
    <t>LU0003 SMC GLOBAL POWER HLDGS SR UNSEC BP8914734_IE00B464Q616_USD LU0003_LXEUR_24748869_LU0003_LU0003_LXEUR</t>
  </si>
  <si>
    <t>ERSTE GROUP BANK AG PERP CONV FIX TO FLOAT 4.250% 15.04.2198_22259428</t>
  </si>
  <si>
    <t>22623378_LU0003_LU0003_LXEUR</t>
  </si>
  <si>
    <t>LU0003 MEXICO GOVT (UMS) EK8496623_IE00B0C18065_EUR LU0003_LXEUR_22623378_LU0003_LU0003_LXEUR</t>
  </si>
  <si>
    <t>HUNTINGTON INGALLS INDUS 144A FIX 0.670% 16.08.2023_24964663</t>
  </si>
  <si>
    <t>25094369_LU0003_LU0003_LXEUR</t>
  </si>
  <si>
    <t>LU0003 JT INTL FIN SERVICES BV SR UNSEC REGS AU4703776_IE00B67B7N93_USD LU0003_LXEUR_25094369_LU0003_LU0003_LXEUR</t>
  </si>
  <si>
    <t>20113426_LU0003_LU0003_LXEUR</t>
  </si>
  <si>
    <t>LU0003 KINDER MORGAN INC/DELAWA EK7726343_IE00B5ZR2157_EUR LU0003_LXEUR_20113426_LU0003_LU0003_LXEUR</t>
  </si>
  <si>
    <t>25428045_LU0003_LU0003_LXEUR</t>
  </si>
  <si>
    <t>LU0003 PURE FINANCE SA REGS PPEE36ZG4_IE00B5ZR2157_EUR LU0003_LXEUR_25428045_LU0003_LU0003_LXEUR</t>
  </si>
  <si>
    <t>SOUTHERN CAL EDISON MBS VAR 01.04.2024_23595946</t>
  </si>
  <si>
    <t>ABBVIE INC FIX 5.000% 15.12.2021_22289596</t>
  </si>
  <si>
    <t>GREENTOWN CHINA HLDGS FIX 4.700% 29.04.2025_22081367</t>
  </si>
  <si>
    <t>SERVICE PROPERTIES TRUST FIX 4.350% 01.10.2024_18684448</t>
  </si>
  <si>
    <t>BAT CAPITAL CORP FIX 2.764% 15.08.2022_15834520</t>
  </si>
  <si>
    <t>24394871_LU0003_LU0003_LXEUR</t>
  </si>
  <si>
    <t>LU0003 JSW HYDRO ENERGY LTD SEC REGS BP4638287_IE00BGSXQQ02_USD LU0003_LXEUR_24394871_LU0003_LU0003_LXEUR</t>
  </si>
  <si>
    <t>25094529_LU0003_LU0003_LXEUR</t>
  </si>
  <si>
    <t>LU0003 MCLAREN FINANCE PLC SEC REGS SMR BQ6038658_IE00BK9YL094_USD LU0003_LXEUR_25094529_LU0003_LU0003_LXEUR</t>
  </si>
  <si>
    <t>PACIFIC GAS &amp; ELECTRIC MBS FIX 2.500% 01.02.2031_20993770</t>
  </si>
  <si>
    <t>BRITISH TRA INTL FINANCE ZERO 04.11.2021_388150</t>
  </si>
  <si>
    <t>WYNN MACAU LTD 144A FIX 5.125% 15.12.2029_19334513</t>
  </si>
  <si>
    <t>21084645_LU0003_LU0003_LXEUR</t>
  </si>
  <si>
    <t>LU0003 CFLD CAYMAN INVESTMENT 16.06.2022 LU0003_LXEUR_21084645_LU0003_LU0003_LXEUR</t>
  </si>
  <si>
    <t>25094446_LU0003_LU0003_LXEUR</t>
  </si>
  <si>
    <t>LU0003 CIFI HOLDINGS GROUP SR UNSEC RVC AO7718627_IE00BGSXQQ02_USD LU0003_LXEUR_25094446_LU0003_LU0003_LXEUR</t>
  </si>
  <si>
    <t>ATRIUM EUROPEAN REAL EST FIX 3.000% 11.09.2025_15345826</t>
  </si>
  <si>
    <t>LMIRT CAPITAL PTE LTD FIX 7.500% 09.02.2026_23299441</t>
  </si>
  <si>
    <t>SYNCHRONY FINANCIAL FIX 2.850% 25.07.2022_18047814</t>
  </si>
  <si>
    <t>SUMITOMO MITSUI FINL GRP FIX 2.784% 12.07.2022_12738122</t>
  </si>
  <si>
    <t>FORD MOTOR CREDIT CO LLC FIX 2.700% 10.08.2026_24926976</t>
  </si>
  <si>
    <t>OMAN GOV INTERNTL BOND REGS FIX 6.750% 17.01.2048_13711234</t>
  </si>
  <si>
    <t>KINDER MORGAN INC FIX 5.300% 01.12.2034_7852994</t>
  </si>
  <si>
    <t>EG GLOBAL FINANCE PLC REGS FIX 4.375% 07.02.2025_17558942</t>
  </si>
  <si>
    <t>BNP PARIBAS 144A FIX TO FLOAT 5.198% 10.01.2030_16060758</t>
  </si>
  <si>
    <t>24395307_LU0003_LU0003_LXEUR</t>
  </si>
  <si>
    <t>LU0003 NISSAN MOTOR ACCEPTANCE SR UNSEC REGS AP2853509_IE00B67B7N93_USD LU0003_LXEUR_24395307_LU0003_LU0003_LXEUR</t>
  </si>
  <si>
    <t>ORACLE CORP FIX 3.600% 01.04.2040_20215777</t>
  </si>
  <si>
    <t>AMERICAN INTL GROUP FIX 1.500% 08.06.2023_10616292</t>
  </si>
  <si>
    <t>25094557_LU0003_LU0003_LXEUR</t>
  </si>
  <si>
    <t>LU0003 SUNAC CHINA HOLDINGS LTD SR UNSEC BQ5327417_IE00B464Q616_USD LU0003_LXEUR_25094557_LU0003_LU0003_LXEUR</t>
  </si>
  <si>
    <t>FAIRFAX FINL HLDGS LTD REGS FIX 2.750% 29.03.2028_14418869</t>
  </si>
  <si>
    <t>FEDERAL HOME LOAN BANK FIX 0.920% 26.02.2027_23237422</t>
  </si>
  <si>
    <t>LLOYDS BANKING GROUP PLC FIX TO FLOAT 1.326% 15.06.2023_20925605</t>
  </si>
  <si>
    <t>SOCIETE GENERALE REGS FIX 4.000% 12.01.2027_11813146</t>
  </si>
  <si>
    <t>MITSUBISHI UFJ FIN GRP VAR 25.07.2022_12777384</t>
  </si>
  <si>
    <t>24748849_LU0003_LU0003_LXEUR</t>
  </si>
  <si>
    <t>LU0003 AMCO SPA SR UNSEC BK4514968_IE00B5ZR2157_EUR LU0003_LXEUR_24748849_LU0003_LU0003_LXEUR</t>
  </si>
  <si>
    <t>UNITED GROUP BV REGS FIX 3.625% 15.02.2028_19657742</t>
  </si>
  <si>
    <t>24139176_LU0003_LU0003_LXEUR</t>
  </si>
  <si>
    <t>LU0003 SUMITOMO MITSUI FINL GRP ZQ0115043_IE00BMTRWY37_AUD LU0003_LXEUR_24139176_LU0003_LU0003_LXEUR</t>
  </si>
  <si>
    <t>FCE BANK PLC EMTN FIX 1.134% 10.02.2022_8234466</t>
  </si>
  <si>
    <t>24139407_LU0003_LU0003_LXEUR</t>
  </si>
  <si>
    <t>LU0003 NEW METRO GLOBAL LTD SR UNSEC REGS BN7410234_IE00BGSXQQ02_USD LU0003_LXEUR_24139407_LU0003_LU0003_LXEUR</t>
  </si>
  <si>
    <t>24748959_LU0003_LU0003_LXEUR</t>
  </si>
  <si>
    <t>LU0003 SOFTBANK GROUP CORP SR UNSEC BQ3265320_IE00BK9YL094_USD LU0003_LXEUR_24748959_LU0003_LU0003_LXEUR</t>
  </si>
  <si>
    <t>SABINE PASS LIQUEFACTION FIX 6.250% 15.03.2022_7852167</t>
  </si>
  <si>
    <t>CREDIT SUISSE GROUP AG 144A CONV FIX TO FLOAT 7.500% 17.01.2198_15085355</t>
  </si>
  <si>
    <t>DEUTSCHE BANK AG FIX 4.500% 01.04.2025_8543657</t>
  </si>
  <si>
    <t>MITSUBISHI UFJ FIN GRP FIX 2.623% 18.07.2022_18003004</t>
  </si>
  <si>
    <t>VOLKSWAGEN BANK GMBH EMTN VAR 08.12.2021_14826302</t>
  </si>
  <si>
    <t>QNB FINANCE LTD EMTN FIX 1.375% 26.01.2026_22896296</t>
  </si>
  <si>
    <t>HYATT HOTELS CORP VAR 01.09.2022_21617036</t>
  </si>
  <si>
    <t>24748808_LU0003_LU0003_LXEUR</t>
  </si>
  <si>
    <t>LU0003 PURE FINANCE SA PPE12UHH8_IE00B5ZR2157_CHF LU0003_LXEUR_24748808_LU0003_LU0003_LXEUR</t>
  </si>
  <si>
    <t>19429118_LU0003_LU0003_LXEUR</t>
  </si>
  <si>
    <t>LU0003 CONSTELLATION OIL SA REGS 09.11.2024 09.11.2024 10 LU0003_LXEUR_19429118_LU0003_LU0003_LXEUR</t>
  </si>
  <si>
    <t>20749313_LU0003_LU0003_LXEUR</t>
  </si>
  <si>
    <t>LU0003 NATWEST GROUP PLC FIX TO FLOAT 2.359% 22.05.2024 LU0003_LXEUR_20749313_LU0003_LU0003_LXEUR</t>
  </si>
  <si>
    <t>24748896_LU0003_LU0003_LXEUR</t>
  </si>
  <si>
    <t>LU0003 PURE FINANCE SA PPE82MZI9_IE00B5ZR2157_EUR LU0003_LXEUR_24748896_LU0003_LU0003_LXEUR</t>
  </si>
  <si>
    <t>LEIDOS INC FIX 2.950% 15.05.2023_24432958</t>
  </si>
  <si>
    <t>PERUSAHAAN PENERBIT SBSN REGS FIX 4.150% 29.03.2027_12156146</t>
  </si>
  <si>
    <t>25094558_LU0003_LU0003_LXEUR</t>
  </si>
  <si>
    <t>LU0003 MINOR INTERNATIONAL PCL SR UNSEC RVC BQ4718871_IE00B464Q616_USD LU0003_LXEUR_25094558_LU0003_LU0003_LXEUR</t>
  </si>
  <si>
    <t>FORTUNE STAR BVI LTD FIX 5.950% 19.10.2025_22017486</t>
  </si>
  <si>
    <t>CHARTER COMM OPT LLC/CAP FIX 5.375% 01.04.2038_14484261</t>
  </si>
  <si>
    <t>LOXAM SAS FIX 3.250% 14.01.2025_18026294</t>
  </si>
  <si>
    <t>22623398_LU0003_LU0003_LXEUR</t>
  </si>
  <si>
    <t>LU0003 PEMEX SR UNSEC 71654QBX9_IE00B0C18065_USD LU0003_LXEUR_22623398_LU0003_LU0003_LXEUR</t>
  </si>
  <si>
    <t>PACIFIC GAS &amp; ELECTRIC MBS FIX 3.750% 15.02.2024_6648242</t>
  </si>
  <si>
    <t>COOPERAT RABOBANK UA/NY FIX 2.750% 10.01.2022_11798103</t>
  </si>
  <si>
    <t>COUNTRY GARDEN HLDGS FIX 6.500% 08.04.2024_17252200</t>
  </si>
  <si>
    <t>VEREIT OPERATING PARTNER FIX 4.875% 01.06.2026_10572489</t>
  </si>
  <si>
    <t>14276865_LU0003_LU0003_LXEUR</t>
  </si>
  <si>
    <t>LU0003 SOCIETE GENERALE EMTN VAR 06.03.2023 LU0003_LXEUR_14276865_LU0003_LU0003_LXEUR</t>
  </si>
  <si>
    <t>23914591_LU0003_LU0003_LXEUR</t>
  </si>
  <si>
    <t>LU0003 VICTORIA PLC SEC BO2210397_IE00BK9YL094_EUR LU0003_LXEUR_23914591_LU0003_LU0003_LXEUR</t>
  </si>
  <si>
    <t>RENAULT SA FIX 1.125% 04.10.2027_18788641</t>
  </si>
  <si>
    <t>24139285_LU0003_LU0003_LXEUR</t>
  </si>
  <si>
    <t>LU0003 EASY TACTIC LTD SEC AP9971353_IE00B464Q616_USD LU0003_LXEUR_24139285_LU0003_LU0003_LXEUR</t>
  </si>
  <si>
    <t>DEUTSCHE BANK NY FIX TO FLOAT 3.961% 26.11.2025_19178554</t>
  </si>
  <si>
    <t>PENSKE TRUCK LEASING/PTL 144A FIX 3.375% 01.02.2022_8173683</t>
  </si>
  <si>
    <t>25428143_LU0003_LU0003_LXEUR</t>
  </si>
  <si>
    <t>LU0003 FORD MOTOR CREDIT CO LLC SR UNSEC AQ1998519_IE00B0C18065_EUR LU0003_LXEUR_25428143_LU0003_LU0003_LXEUR</t>
  </si>
  <si>
    <t>STENA INTERNATIONAL SA 144A FIX 6.125% 01.02.2025_19686291</t>
  </si>
  <si>
    <t>WESTERN MIDSTREAM OPERAT STEP 4.350% 01.02.2025_19503911</t>
  </si>
  <si>
    <t>25428026_LU0003_LU0003_LXEUR</t>
  </si>
  <si>
    <t>LU0003 HUARONG FINANCE 2019 CO GTD FRN SR UNSEC BG1632218_IE00B0C18065_USD LU0003_LXEUR_25428026_LU0003_LU0003_LXEUR</t>
  </si>
  <si>
    <t>NISSAN MOTOR CO 144A FIX 3.043% 15.09.2023_21736770</t>
  </si>
  <si>
    <t>20385495_LU0003_LU0003_LXEUR</t>
  </si>
  <si>
    <t>LU0003 VENEZUELA (REP OF) BOLIV **DEF** 009228A49_IE0030759645_USD LU0003_LXEUR_20385495_LU0003_LU0003_LXEUR</t>
  </si>
  <si>
    <t>MIDWEST CONNECTOR CAPIT 144A FIX 3.625% 01.04.2022_17095258</t>
  </si>
  <si>
    <t>PACIFIC GAS &amp; ELECTRIC MBS FIX 3.750% 01.07.2028_21151211</t>
  </si>
  <si>
    <t>NEWELL BRANDS INC FIX 4.875% 01.06.2025_20763534</t>
  </si>
  <si>
    <t>MUTHOOT FINANCE LTD 144A FIX 6.125% 31.10.2022_18960228</t>
  </si>
  <si>
    <t>CITIGROUP INC VAR 01.05.2025_23963875</t>
  </si>
  <si>
    <t>LIBERTY MUTUAL FIN EU REGS FIX 1.750% 27.03.2024_12138004</t>
  </si>
  <si>
    <t>16974951_LU0003_LU0003_LXEUR</t>
  </si>
  <si>
    <t>LU0003 TESCO PROPERTY FIN 3 PLC MTGE BACKED 87666S9A0_IE00B3D1YW09_GBP LU0003_LXEUR_16974951_LU0003_LU0003_LXEUR</t>
  </si>
  <si>
    <t>ARDAGH PKG FIN/HLDGS USA 144A FIX 4.125% 15.08.2026_18101061</t>
  </si>
  <si>
    <t>PACIFIC GAS &amp; ELECTRIC MBS FIX 3.850% 15.11.2023_6243822</t>
  </si>
  <si>
    <t>24139103_LU0003_LU0003_LXEUR</t>
  </si>
  <si>
    <t>LU0003 BANK MANDIRI PT SR UNSEC BP0467012_IE00B464Q616_USD LU0003_LXEUR_24139103_LU0003_LU0003_LXEUR</t>
  </si>
  <si>
    <t>AVOLON HOLDINGS FNDG LTD 144A FIX 4.250% 15.04.2026_22264575</t>
  </si>
  <si>
    <t>DANSKE BANK A/S 144A FIX TO FLOAT 1.171% 08.12.2023_21719476</t>
  </si>
  <si>
    <t>HANA BANK REGS VAR 02.10.2022_18771484</t>
  </si>
  <si>
    <t>22623423_LU0003_LU0003_LXEUR</t>
  </si>
  <si>
    <t>LU0003 SANTANDER UK GROUP HO COCO JRSUB *PROXY* AN0790369_IE00B0C18065_GBP LU0003_LXEUR_22623423_LU0003_LU0003_LXEUR</t>
  </si>
  <si>
    <t>OMAN GOV INTERNTL BOND REGS FIX 6.500% 08.03.2047_12046707</t>
  </si>
  <si>
    <t>24395128_LU0003_LU0003_LXEUR</t>
  </si>
  <si>
    <t>LU0003 DUA CAPITAL LTD SR UNSEC BP3791715_IE00B464Q616_USD LU0003_LXEUR_24395128_LU0003_LU0003_LXEUR</t>
  </si>
  <si>
    <t>24748948_LU0003_LU0003_LXEUR</t>
  </si>
  <si>
    <t>LU0003 LG CHEM LTD SR UNSEC REGS BQ2936111_IE00B464Q616_USD LU0003_LXEUR_24748948_LU0003_LU0003_LXEUR</t>
  </si>
  <si>
    <t>FIRSTENERGY CORP C FIX 7.375% 15.11.2031_238624</t>
  </si>
  <si>
    <t>FANNIE MAE VAR 24.01.2022_21027790</t>
  </si>
  <si>
    <t>22220604_LU0003_LU0003_LXEUR</t>
  </si>
  <si>
    <t>LU0003 HYUNDAI CAPITAL AMERICA 144A FIX 1.150% 10.11.2022 LU0003_LXEUR_22220604_LU0003_LU0003_LXEUR</t>
  </si>
  <si>
    <t>24748817_LU0003_LU0003_LXEUR</t>
  </si>
  <si>
    <t>LU0003 BARCLAYS PLC SR UNSEC AP3665217_IE00B5ZR2157_GBP LU0003_LXEUR_24748817_LU0003_LU0003_LXEUR</t>
  </si>
  <si>
    <t>22623406_LU0003_LU0003_LXEUR</t>
  </si>
  <si>
    <t>LU0003 DORIC NIMROD AIR 2012-1A REGS G2901NAA6_IE00B0C18065_USD LU0003_LXEUR_22623406_LU0003_LU0003_LXEUR</t>
  </si>
  <si>
    <t>25094531_LU0003_LU0003_LXEUR</t>
  </si>
  <si>
    <t>LU0003 KWG GROUP HOLDINGS BM3180908_IE00B464Q616_USD LU0003_LXEUR_25094531_LU0003_LU0003_LXEUR</t>
  </si>
  <si>
    <t>EQM MIDSTREAM PARTNERS L FIX 4.000% 01.08.2024_7347500</t>
  </si>
  <si>
    <t>DAE FUNDING LLC 144A FIX 3.375% 20.03.2028_22827429</t>
  </si>
  <si>
    <t>EXPORT-IMPORT BK INDIA REGS FIX 3.250% 15.01.2030_19474819</t>
  </si>
  <si>
    <t>SUTTER HEALTH 20A FIX 1.321% 15.08.2025_22090046</t>
  </si>
  <si>
    <t>25428189_LU0003_LU0003_LXEUR</t>
  </si>
  <si>
    <t>LU0003 ADLER REAL ESTATE AG SR UNSEC ZS0239302_IE00BK9YL094_EUR LU0003_LXEUR_25428189_LU0003_LU0003_LXEUR</t>
  </si>
  <si>
    <t>24394914_LU0003_LU0003_LXEUR</t>
  </si>
  <si>
    <t>LU0003 CATHAY PACFIC MTN FIN HK SR UNSEC REGS BP4636984__USD LU0003_LXEUR_24394914_LU0003_LU0003_LXEUR</t>
  </si>
  <si>
    <t>23914584_LU0003_LU0003_LXEUR</t>
  </si>
  <si>
    <t>LU0003 HOLDING D'INFRASTRUCTURE SR UNSEC 4335129A0_IE00B5ZR2157_EUR LU0003_LXEUR_23914584_LU0003_LU0003_LXEUR</t>
  </si>
  <si>
    <t>GAZPROM NEFT (GPN CAPITA REGS FIX 4.375% 19.09.2022_4162673</t>
  </si>
  <si>
    <t>LLOYDS BANKING GROUP PLC EMTN FIX 2.250% 16.10.2024_13230594</t>
  </si>
  <si>
    <t>NONGHYUP BANK 144A FIX 0.875% 28.07.2024_24747510</t>
  </si>
  <si>
    <t>BNP PARIBAS 144A FIX TO FLOAT 2.219% 09.06.2026_20844759</t>
  </si>
  <si>
    <t>BANIJAY ENTERTAINMENT 144A FIX 5.375% 01.03.2025_19739607</t>
  </si>
  <si>
    <t>DANSKE BANK A/S 144A FIX TO FLOAT 5.000% 12.01.2023_21069413</t>
  </si>
  <si>
    <t>Q-PARK HOLDING I BV FIX 3.500% 01.02.2025_23207309</t>
  </si>
  <si>
    <t>REPUBLIC OF GHANA REGS FIX 7.875% 26.03.2027_17170630</t>
  </si>
  <si>
    <t>GLOBALWORTH REAL ESTATE EMTN FIX 3.000% 29.03.2025_14418867</t>
  </si>
  <si>
    <t>23914721_LU0003_LU0003_LXEUR</t>
  </si>
  <si>
    <t>LU0003 YUZHOU PROPERTIES CO LTD QZ9221693_IE00B464Q616_USD LU0003_LXEUR_23914721_LU0003_LU0003_LXEUR</t>
  </si>
  <si>
    <t>LLPL CAPITAL PTE LTD REGS FIX 6.875% 04.02.2039_16209205</t>
  </si>
  <si>
    <t>MORGAN STANLEY MTN VAR 24.10.2023_11393825</t>
  </si>
  <si>
    <t>KINDER MORGAN INC/DELAWA GMTN FIX 7.800% 01.08.2031_244468</t>
  </si>
  <si>
    <t>JAB HOLDINGS BV FIX 2.250% 19.12.2039_19319314</t>
  </si>
  <si>
    <t>KAZAKHSTAN TEMIR ZHOLY 144A FIX 6.950% 10.07.2042_4079035</t>
  </si>
  <si>
    <t>18201363_LU0003_LU0003_LXEUR</t>
  </si>
  <si>
    <t>LU0003 CR SUISSE GROUP AG 6.375% DUE 12-29-2999 0A8XMVU LU0003_LXEUR_18201363_LU0003_LU0003_LXEUR</t>
  </si>
  <si>
    <t>22623414_LU0003_LU0003_LXEUR</t>
  </si>
  <si>
    <t>LU0003 BANCO ESPIRITO SANTO SA **DEF** EJ5066752_IE00B0C18065_EUR LU0003_LXEUR_22623414_LU0003_LU0003_LXEUR</t>
  </si>
  <si>
    <t>REPUBLIC OF GHANA REGS FIX 8.950% 26.03.2051_17170632</t>
  </si>
  <si>
    <t>MCDONALD'S CORP MTN VAR 28.10.2021_14742106</t>
  </si>
  <si>
    <t>ORSTED A/S EMTN FIX 4.875% 16.12.2021_2118871</t>
  </si>
  <si>
    <t>HYUNDAI CAPITAL AMERICA 144A FIX 3.100% 05.04.2022_12331144</t>
  </si>
  <si>
    <t>24139225_LU0003_LU0003_LXEUR</t>
  </si>
  <si>
    <t>LU0003 AA BOND CO LTD SR SEC AL3193136_IE00B5ZR2157_GBP LU0003_LXEUR_24139225_LU0003_LU0003_LXEUR</t>
  </si>
  <si>
    <t>EDISON INTERNATIONAL FIX 5.750% 15.06.2027_17822146</t>
  </si>
  <si>
    <t>SUNAC CHINA HOLDINGS LTD FIX 5.950% 26.04.2024_22930280</t>
  </si>
  <si>
    <t>ANTHEM INC FIX 0.450% 15.03.2023_23457587</t>
  </si>
  <si>
    <t>SPRINT CORP FIX 7.125% 15.06.2024_7821787</t>
  </si>
  <si>
    <t>JPMORGAN CHASE &amp; CO EMTN FIX 1.500% 26.10.2022_9424878</t>
  </si>
  <si>
    <t>25094408_LU0003_LU0003_LXEUR</t>
  </si>
  <si>
    <t>LU0003 CHALCO HK INVESTMENT SR UNSEC BQ6183454_IE00B464Q616_USD LU0003_LXEUR_25094408_LU0003_LU0003_LXEUR</t>
  </si>
  <si>
    <t>HYUNDAI CAPITAL AMERICA REGS FIX 3.250% 20.09.2022_13128752</t>
  </si>
  <si>
    <t>USBR 2017-1 A ABS VAR 25.01.2057_14504631</t>
  </si>
  <si>
    <t>GA GLOBAL FUNDING TRUST 144A FIX 1.625% 15.01.2026_22723302</t>
  </si>
  <si>
    <t>25428063_LU0003_LU0003_LXEUR</t>
  </si>
  <si>
    <t>LU0003 REPUBLIC OF SRI LANKA AX5675811_IE00B464Q616_USD LU0003_LXEUR_25428063_LU0003_LU0003_LXEUR</t>
  </si>
  <si>
    <t>PETROLEOS MEXICANOS FIX 6.500% 13.03.2027_14430635</t>
  </si>
  <si>
    <t>LLOYDS BANKING GROUP PLC FIX TO FLOAT 2.438% 05.02.2026_19686810</t>
  </si>
  <si>
    <t>GENERAL MOTORS FINL CO VAR 14.01.2022_11911975</t>
  </si>
  <si>
    <t>BANCA MONTE DEI PASCHI S EMTN FIX 4.000% 10.07.2022_17939593</t>
  </si>
  <si>
    <t>REPUBLIC OF COLOMBIA FIX 6.125% 18.01.2041_2043053</t>
  </si>
  <si>
    <t>INFOR INC 144A FIX 1.450% 15.07.2023_20847807</t>
  </si>
  <si>
    <t>MILLER HOMES GRP HLDS REGS FIX 5.500% 15.10.2024_13145185</t>
  </si>
  <si>
    <t>25428127_LU0003_LU0003_LXEUR</t>
  </si>
  <si>
    <t>LU0003 INTERCONTINENTAL HOTELS SR UNSEC ZO7466360_IE00B5ZR2157_EUR LU0003_LXEUR_25428127_LU0003_LU0003_LXEUR</t>
  </si>
  <si>
    <t>MORGAN STANLEY GMTN VAR 20.01.2023_19863533</t>
  </si>
  <si>
    <t>5026050_LU0003_LU0003_LXEUR</t>
  </si>
  <si>
    <t>LU0003 INTELSAT JACKSON HLDG 01.08.2023 LU0003_LXEUR_5026050_LU0003_LU0003_LXEUR</t>
  </si>
  <si>
    <t>23914649_LU0003_LU0003_LXEUR</t>
  </si>
  <si>
    <t>LU0003 WYNN MACAU LTD SR UNSEC REGS AP1031586_IE00B464Q616_USD LU0003_LXEUR_23914649_LU0003_LU0003_LXEUR</t>
  </si>
  <si>
    <t>FORD MOTOR CREDIT CO LLC EMTN FIX 2.748% 14.06.2024_22448713</t>
  </si>
  <si>
    <t>21747936_LU0003_LU0003_LXEUR</t>
  </si>
  <si>
    <t>LU0003 DIGITAL DUTCH FINCO BV VAR 23.09.2022 LU0003_LXEUR_21747936_LU0003_LU0003_LXEUR</t>
  </si>
  <si>
    <t>BAYER CAPITAL CORP BV VAR 26.06.2022_14905454</t>
  </si>
  <si>
    <t>DAIMLER FINANCE NA LLC 144A FIX 3.400% 22.02.2022_16963936</t>
  </si>
  <si>
    <t>FEDERAL HOME LOAN BANK FIX 1.115% 26.02.2027_23297633</t>
  </si>
  <si>
    <t>25094480_LU0003_LU0003_LXEUR</t>
  </si>
  <si>
    <t>LU0003 PURE FINANCE SA REGS PPE134KQ1_IE00B5ZR2157_USD LU0003_LXEUR_25094480_LU0003_LU0003_LXEUR</t>
  </si>
  <si>
    <t>22623404_LU0003_LU0003_LXEUR</t>
  </si>
  <si>
    <t>LU0003 VIRGIN MEDIA SECURED FIN REGS SMR AM2044296_IE00B0C18065_GBP LU0003_LXEUR_22623404_LU0003_LU0003_LXEUR</t>
  </si>
  <si>
    <t>21VIANET GROUP I CONV ZERO 01.02.2026_22934551</t>
  </si>
  <si>
    <t>24139241_LU0003_LU0003_LXEUR</t>
  </si>
  <si>
    <t>LU0003 FWD GROUP LTD AN8403593_IE00BGSXQQ02_USD LU0003_LXEUR_24139241_LU0003_LU0003_LXEUR</t>
  </si>
  <si>
    <t>23914739_LU0003_LU0003_LXEUR</t>
  </si>
  <si>
    <t>LU0003 SUNAC CHINA HOLDINGS LTD SR SEC BN6678500_IE00BGSXQQ02_USD LU0003_LXEUR_23914739_LU0003_LU0003_LXEUR</t>
  </si>
  <si>
    <t>LOGICOR FINANCING SARL EMTN FIX 1.500% 14.11.2022_15769824</t>
  </si>
  <si>
    <t>NATIONWIDE BLDG SOCIETY 144A FIX TO FLOAT 3.622% 26.04.2023_17411519</t>
  </si>
  <si>
    <t>25094547_LU0003_LU0003_LXEUR</t>
  </si>
  <si>
    <t>LU0003 SCIENTIFIC GAMES INTERNA SR UNSEC REGS AR0150334_IE00BK9YL094_EUR LU0003_LXEUR_25094547_LU0003_LU0003_LXEUR</t>
  </si>
  <si>
    <t>SAUDI ARABIAN OIL CO REGS FIX 2.750% 16.04.2022_17357776</t>
  </si>
  <si>
    <t>24139085_LU0003_LU0003_LXEUR</t>
  </si>
  <si>
    <t>LU0003 BARCLAYS PLC JR SUB COCO REGS UV4299359_IE00B5ZR2157_GBP LU0003_LXEUR_24139085_LU0003_LU0003_LXEUR</t>
  </si>
  <si>
    <t>NOMURA HOLDINGS INC FIX 1.851% 16.07.2025_21227556</t>
  </si>
  <si>
    <t>SM INVESTMENTS CORP FIX 4.875% 10.06.2024_7175517</t>
  </si>
  <si>
    <t>GREENKO MAURITIUS LTD 144A FIX 6.250% 21.02.2023_18550857</t>
  </si>
  <si>
    <t>16974952_LU0003_LU0003_LXEUR</t>
  </si>
  <si>
    <t>LU0003 TESCO PROPERTY FIN 4 PLC MTGE BACKED 87666S9B8_IE00B3D1YW09_GBP LU0003_LXEUR_16974952_LU0003_LU0003_LXEUR</t>
  </si>
  <si>
    <t>PT PERTAMINA (PERSERO) REGS FIX 1.400% 09.02.2026_23134848</t>
  </si>
  <si>
    <t>BRITISH AIR 20-1 A PTT 144A FIX 4.250% 15.11.2032_22272418</t>
  </si>
  <si>
    <t>JAPAN FIN ORG MUNICIPAL 30 FIX 1.035% 26.11.2021_7178602</t>
  </si>
  <si>
    <t>CREDIT SUISSE GROUP AG 144A VAR 12.06.2024_14962706</t>
  </si>
  <si>
    <t>LEASEPLAN CORPORATION NV REGS FIX 2.875% 24.10.2024_18943962</t>
  </si>
  <si>
    <t>BROADCOM INC FIX 3.459% 15.09.2026_21507541</t>
  </si>
  <si>
    <t>ONEMAIN FINANCE CORP FIX 6.125% 15.03.2024_16973570</t>
  </si>
  <si>
    <t>FREEDOM MORTGAGE CORP 144A FIX 8.250% 15.04.2025_14497935</t>
  </si>
  <si>
    <t>NISSAN MOTOR CO REGS FIX 3.201% 17.09.2028_21743792</t>
  </si>
  <si>
    <t>25094543_LU0003_LU0003_LXEUR</t>
  </si>
  <si>
    <t>LU0003 KT CORP SR UNSEC REGS BQ4724895_IE00BMTRWY37_USD LU0003_LXEUR_25094543_LU0003_LU0003_LXEUR</t>
  </si>
  <si>
    <t>WORLDLINE SA/FRANCE EMTN FIX 0.500% 30.06.2023_21040218</t>
  </si>
  <si>
    <t>REPUBLIC OF COLOMBIA FIX 5.000% 15.06.2045_8145964</t>
  </si>
  <si>
    <t>25428046_LU0003_LU0003_LXEUR</t>
  </si>
  <si>
    <t>LU0003 HUARONG FINANCE 2019 CO GTD SR UNSEC BG1632002_IE00BGSXQQ02_USD LU0003_LXEUR_25428046_LU0003_LU0003_LXEUR</t>
  </si>
  <si>
    <t>BARCLAYS PLC CONV FIX TO FLOAT 7.750% 15.12.2198_15242247</t>
  </si>
  <si>
    <t>SINOPEC GRP DEV 2018 REGS FIX 2.150% 13.05.2025_20627507</t>
  </si>
  <si>
    <t>PEAK RE BVI HOLDING LTD PERP FIX TO FLOAT 5.350% 28.04.2198_22070884</t>
  </si>
  <si>
    <t>ALLY FINANCIAL INC FIX 4.125% 13.02.2022_8300495</t>
  </si>
  <si>
    <t>687121_LU0003_LU0003_LXEUR</t>
  </si>
  <si>
    <t>LU0003 CONTL AIRLINES 2007-1 071A FIX 5.983% 19.04.2022 LU0003_LXEUR_687121_LU0003_LU0003_LXEUR</t>
  </si>
  <si>
    <t>23914708_LU0003_LU0003_LXEUR</t>
  </si>
  <si>
    <t>LU0003 VERIZON COMMUNICATIONS FRN AO6240110_IE00BMTRWY37_AUD LU0003_LXEUR_23914708_LU0003_LU0003_LXEUR</t>
  </si>
  <si>
    <t>BARCLAYS PLC FIX TO FLOAT 4.610% 15.02.2023_15774239</t>
  </si>
  <si>
    <t>20385468_LU0003_LU0003_LXEUR</t>
  </si>
  <si>
    <t>LU0003 VENEZUELA (REP OF) UNSEC **DEF** 0092389A6_IE0030759645_USD LU0003_LXEUR_20385468_LU0003_LU0003_LXEUR</t>
  </si>
  <si>
    <t>AERCAP IRELAND CAP/GLOBA FIX 4.625% 15.10.2027_21838363</t>
  </si>
  <si>
    <t>SANTANDER UK PLC FIX 3.750% 15.11.2021_15774247</t>
  </si>
  <si>
    <t>MITSUBISHI UFJ FIN GRP FIX 2.665% 25.07.2022_12784727</t>
  </si>
  <si>
    <t>MITSUBISHI UFJ FIN GRP VAR 07.03.2022_17055919</t>
  </si>
  <si>
    <t>HSBC HOLDINGS PLC VAR 11.03.2025_17267345</t>
  </si>
  <si>
    <t>ADLER GROUP SA FIX 1.875% 14.01.2026_22713415</t>
  </si>
  <si>
    <t>GLOBAL SWITCH HOLDINGS L EMTN FIX 4.375% 13.12.2022_6350672</t>
  </si>
  <si>
    <t>UNICREDIT SPA EMTN FIX TO FLOAT 2.200% 22.07.2027_21276188</t>
  </si>
  <si>
    <t>RED SUN PROPERTIES GRP FIX 7.300% 13.01.2025_22700042</t>
  </si>
  <si>
    <t>BAT CAPITAL CORP FIX 3.557% 15.08.2027_15839017</t>
  </si>
  <si>
    <t>FORD MOTOR CREDIT CO LLC FIX 3.350% 01.11.2022_18091585</t>
  </si>
  <si>
    <t>HSBC HOLDINGS PLC VAR 05.01.2022_11252237</t>
  </si>
  <si>
    <t>NISSAN MOTOR CO 144A FIX 4.810% 17.09.2030_21736772</t>
  </si>
  <si>
    <t>PLAINS ALL AMER PIPELINE FIX 5.150% 01.06.2042_3796112</t>
  </si>
  <si>
    <t>FANNIE MAE FIX 0.875% 18.12.2026_22412940</t>
  </si>
  <si>
    <t>CREDIT AGRICOLE LONDON EMTN VAR 22.03.2024_23207341</t>
  </si>
  <si>
    <t>PACIFIC GAS &amp; ELECTRIC MBS FIX 3.450% 01.07.2025_21151580</t>
  </si>
  <si>
    <t>REPUBLIC OF SOUTH AFRICA FIX 4.850% 30.09.2029_18762284</t>
  </si>
  <si>
    <t>DAE FUNDING LLC 144A FIX 1.550% 01.08.2024_24355439</t>
  </si>
  <si>
    <t>BANK OF CHINA/HONG KONG EMTN VAR 24.06.2023_21391641</t>
  </si>
  <si>
    <t>CREDIT SUISSE NEW YORK FIX 3.000% 29.10.2021_7728521</t>
  </si>
  <si>
    <t>BANCO VOTORANTIM REGS FIX 4.500% 24.09.2024_18718964</t>
  </si>
  <si>
    <t>KRAFT HEINZ FOODS CO VAR 10.08.2022_12894598</t>
  </si>
  <si>
    <t>DIGITAL EURO FINCO FIX 2.500% 16.01.2026_16128864</t>
  </si>
  <si>
    <t>LINK 2019 CB CONV FIX 1.600% 03.04.2024_17136271</t>
  </si>
  <si>
    <t>SOUTHERN CAL EDISON MBS FIX 0.700% 03.04.2023_23625022</t>
  </si>
  <si>
    <t>15398293_LU0003_LU0003_LXEUR</t>
  </si>
  <si>
    <t>LU0003 CR SUISSE GROUP AG 7.25% DUE 12-29-2999 4A87M6U LU0003_LXEUR_15398293_LU0003_LU0003_LXEUR</t>
  </si>
  <si>
    <t>24395268_LU0003_LU0003_LXEUR</t>
  </si>
  <si>
    <t>LU0003 TIMES CHINA HLDG LTD BP8081468_IE00B464Q616_USD LU0003_LXEUR_24395268_LU0003_LU0003_LXEUR</t>
  </si>
  <si>
    <t>BANCA MONTE DEI PASCHI S EMTN FIX 3.625% 24.09.2024_18728679</t>
  </si>
  <si>
    <t>UBISOFT ENTERTAINMENT SA FIX 1.289% 30.01.2023_14087341</t>
  </si>
  <si>
    <t>LAS VEGAS SANDS CORP FIX 3.900% 08.08.2029_18085385</t>
  </si>
  <si>
    <t>TDF INFRASTRUCTURE SAS EK9677114_9399325</t>
  </si>
  <si>
    <t>23914488_LU0003_LU0003_LXEUR</t>
  </si>
  <si>
    <t>LU0003 SINOPEC GRP DEV 2018 SR UNSEC AU3996850_IE00B464Q616_USD LU0003_LXEUR_23914488_LU0003_LU0003_LXEUR</t>
  </si>
  <si>
    <t>REPUBLIC OF NIGERIA REGS FIX 7.625% 28.11.2047_13442904</t>
  </si>
  <si>
    <t>TOYOTA MOTOR CREDIT CORP MTN VAR 17.05.2022_14723457</t>
  </si>
  <si>
    <t>KOREA NATIONAL OIL CORP GMTN VAR 16.07.2023_15342010</t>
  </si>
  <si>
    <t>MET LIFE GLOB FUNDING I 144A FIX 3.375% 11.01.2022_16080750</t>
  </si>
  <si>
    <t>24395227_LU0003_LU0003_LXEUR</t>
  </si>
  <si>
    <t>LU0003 RONSHINE CHINA AX3928550_IE00B464Q616_USD LU0003_LXEUR_24395227_LU0003_LU0003_LXEUR</t>
  </si>
  <si>
    <t>NISSAN MOTOR ACCEPTANCE 144A FIX 2.600% 28.09.2022_13162715</t>
  </si>
  <si>
    <t>SKANDINAVISKA ENSKILDA REGS VAR 12.12.2022_19666469</t>
  </si>
  <si>
    <t>DIAGEO FINANCE PLC EMTN FIX 0.250% 22.10.2021_15637323</t>
  </si>
  <si>
    <t>INTELSAT JACKSON HLDG 144A 15.10.2024_15402640</t>
  </si>
  <si>
    <t>REPUBLIC OF TURKEY FIX 6.125% 24.10.2028_14553905</t>
  </si>
  <si>
    <t>ONEMAIN FINANCE CORP FIX 6.875% 15.03.2025_14352945</t>
  </si>
  <si>
    <t>AMER AIRLN 14-1 A PTT A FIX 3.700% 01.10.2026_7509056</t>
  </si>
  <si>
    <t>MGM CHINA HOLDINGS LTD 144A FIX 4.750% 01.02.2027_23613618</t>
  </si>
  <si>
    <t>STANDARD INDUSTRIES INC 144A FIX 4.750% 15.01.2028_13563455</t>
  </si>
  <si>
    <t>COUNTRY GARDEN HLDGS FIX 7.250% 08.04.2026_17255180</t>
  </si>
  <si>
    <t>VOLKSWAGEN LEASING GMBH EMTN FIX 0.000% 12.07.2023_22676179</t>
  </si>
  <si>
    <t>NATWEST GROUP PLC EMTN FIX TO FLOAT 2.000% 08.03.2023_12041225</t>
  </si>
  <si>
    <t>FEDERAL HOME LOAN BANK 0004 FIX 1.000% 27.07.2026_24738982</t>
  </si>
  <si>
    <t>ENRGY TRANS LP/REG FIN FIX 4.500% 01.11.2023_6429424</t>
  </si>
  <si>
    <t>22623374_LU0003_LU0003_LXEUR</t>
  </si>
  <si>
    <t>LU0003 REPUBLIC OF TURKEY SRUNSC 900123CK4_IE00B0C18065_USD LU0003_LXEUR_22623374_LU0003_LU0003_LXEUR</t>
  </si>
  <si>
    <t>23914477_LU0003_LU0003_LXEUR</t>
  </si>
  <si>
    <t>LU0003 YANGO JUSTICE INTL SR UNSEC AZ0975070_IE00BGSXQQ02_USD LU0003_LXEUR_23914477_LU0003_LU0003_LXEUR</t>
  </si>
  <si>
    <t>TRUIST FIN CORP MTN VAR 01.04.2022_12200139</t>
  </si>
  <si>
    <t>24748930_LU0003_LU0003_LXEUR</t>
  </si>
  <si>
    <t>LU0003 HUARONG FINANCE 2019 ZQ4648791_IE00B464Q616_USD LU0003_LXEUR_24748930_LU0003_LU0003_LXEUR</t>
  </si>
  <si>
    <t>SUMITOMO MITSUI FINL GRP VAR 11.01.2022_11938366</t>
  </si>
  <si>
    <t>22623410_LU0003_LU0003_LXEUR</t>
  </si>
  <si>
    <t>LU0003 RAC BOND CO SEC JK9364940_IE00B0C18065_GBP LU0003_LXEUR_22623410_LU0003_LU0003_LXEUR</t>
  </si>
  <si>
    <t>25094493_LU0003_LU0003_LXEUR</t>
  </si>
  <si>
    <t>LU0003 ROMANIA GOVT SR UNSEC REGS BQ4352952_IE00B0C18065_EUR LU0003_LXEUR_25094493_LU0003_LU0003_LXEUR</t>
  </si>
  <si>
    <t>FEDERAL HOME LOAN BANK FIX 0.750% 24.02.2026_23248120</t>
  </si>
  <si>
    <t>PEARSON FUNDING PLC FIX 3.750% 04.06.2030_20801543</t>
  </si>
  <si>
    <t>23914819_LU0003_LU0003_LXEUR</t>
  </si>
  <si>
    <t>LU0003 VIA CELERE DESARROLLOS SEC REGS BO5826579_IE00BK9YL094_EUR LU0003_LXEUR_23914819_LU0003_LU0003_LXEUR</t>
  </si>
  <si>
    <t>22623433_LU0003_LU0003_LXEUR</t>
  </si>
  <si>
    <t>LU0003 INTESA SANPAOLO SPA 144A SUB 46115HAW7_IE00B0C18065_USD LU0003_LXEUR_22623433_LU0003_LU0003_LXEUR</t>
  </si>
  <si>
    <t>BANCO BILBAO VIZCAYA ARG . CONV FIX TO FLOAT 6.000% 15.10.2198_21226550</t>
  </si>
  <si>
    <t>NOVA LJUBLJANSKA BANKA D FIX TO FLOAT 3.400% 05.02.2030_19686821</t>
  </si>
  <si>
    <t>ENRGY TRANS LP/REG FIN FIX 5.875% 01.03.2022_6590851</t>
  </si>
  <si>
    <t>BERRY GLOBAL INC 144A FIX 1.570% 15.01.2026_22520327</t>
  </si>
  <si>
    <t>ATRIUM EUROPEAN REAL EST FIX 3.625% 17.10.2022_7663108</t>
  </si>
  <si>
    <t>ROCKIES EXPRESS PIPELINE 144A FIX 3.600% 15.05.2025_19612063</t>
  </si>
  <si>
    <t>25428146_LU0003_LU0003_LXEUR</t>
  </si>
  <si>
    <t>LU0003 IND &amp; COMM BK CHINA/SG SR UNSEC ZO2604247_IE00B5ZR2157_USD LU0003_LXEUR_25428146_LU0003_LU0003_LXEUR</t>
  </si>
  <si>
    <t>24139193_LU0003_LU0003_LXEUR</t>
  </si>
  <si>
    <t>LU0003 STANDARD CHARTERED PLC SR UNSEC REGS ZR4957075_IE00BDQZ6S97_USD LU0003_LXEUR_24139193_LU0003_LU0003_LXEUR</t>
  </si>
  <si>
    <t>PACIFIC GAS &amp; ELECTRIC MBS FIX 4.600% 15.06.2043_5110635</t>
  </si>
  <si>
    <t>IMPERIAL BRANDS FIN PLC 144A FIX 3.125% 26.07.2024_18055851</t>
  </si>
  <si>
    <t>SBERBANK (SB CAP SA) REGS FIX 5.125% 29.10.2022_4310929</t>
  </si>
  <si>
    <t>RENEW POWER LTD REGS FIX 6.450% 27.09.2022_18657604</t>
  </si>
  <si>
    <t>DELL INT LLC / EMC CORP FIX 6.100% 15.07.2027_24432378</t>
  </si>
  <si>
    <t>ROLLS-ROYCE PLC EMTN FIX 0.875% 09.05.2024_14620691</t>
  </si>
  <si>
    <t>CNH INDUSTRIAL CAP LLC FIX 3.875% 15.10.2021_11388706</t>
  </si>
  <si>
    <t>DELL INT LLC / EMC CORP FIX 5.300% 01.10.2029_24423127</t>
  </si>
  <si>
    <t>NEW IMMO HOLDING SA . FIX 2.750% 26.11.2026_19155670</t>
  </si>
  <si>
    <t>SAUDI INTERNATIONAL BOND REGS FIX 4.500% 26.10.2046_11386216</t>
  </si>
  <si>
    <t>22623371_LU0003_LU0003_LXEUR</t>
  </si>
  <si>
    <t>LU0003 INDONESIA GOVT REGS UV3442265_IE00B0C18065_EUR LU0003_LXEUR_22623371_LU0003_LU0003_LXEUR</t>
  </si>
  <si>
    <t>NISSAN MOTOR ACCEPTANCE 144A VAR 13.07.2022_12833960</t>
  </si>
  <si>
    <t>KINDER MORGAN ENER PART FIX 6.500% 01.02.2037_630159</t>
  </si>
  <si>
    <t>HUMANA INC FIX 0.650% 03.08.2023_24865540</t>
  </si>
  <si>
    <t>HUARONG FINANCE 2017 CO EMTN PERP FIX TO FLOAT 4.000% 07.05.2198_13326754</t>
  </si>
  <si>
    <t>PELABUHAN INDONESIA III REGS FIX 4.875% 01.10.2024_7591116</t>
  </si>
  <si>
    <t>CONNECT FINCO SARL/CONNE 144A FIX 6.750% 01.10.2026_18760720</t>
  </si>
  <si>
    <t>24139282_LU0003_LU0003_LXEUR</t>
  </si>
  <si>
    <t>LU0003 FWD GROUP LTD SUB AZ5273562_IE00BGSXQQ02_USD LU0003_LXEUR_24139282_LU0003_LU0003_LXEUR</t>
  </si>
  <si>
    <t>TENCENT HOLDINGS LTD REGS FIX 3.975% 11.04.2029_17296778</t>
  </si>
  <si>
    <t>SMC GLOBAL POWER HLDGS PERP FIX TO FLOAT 7.000% 21.04.2198_22211284</t>
  </si>
  <si>
    <t>PARK AEROSPACE HOLDINGS 144A FIX 5.500% 15.02.2024_11866824</t>
  </si>
  <si>
    <t>ALASKA AIRLINES 2020 TR 144A FIX 4.800% 15.08.2027_21045590</t>
  </si>
  <si>
    <t>FEDERAL HOME LOAN BANK FIX 1.050% 13.08.2026_24824154</t>
  </si>
  <si>
    <t>GOLDMAN SACHS GROUP INC FRN VAR 27.01.2023_23207412</t>
  </si>
  <si>
    <t>EXPORT-IMPORT BANK KOREA VAR 01.11.2022_13303727</t>
  </si>
  <si>
    <t>23914745_LU0003_LU0003_LXEUR</t>
  </si>
  <si>
    <t>LU0003 ASDA BELLIS ACQUISITION CO PL SEC REGS BN9675073_IE00B0C18065_GBP LU0003_LXEUR_23914745_LU0003_LU0003_LXEUR</t>
  </si>
  <si>
    <t>REPUBLIC OF GHANA REGS FIX 8.750% 11.03.2061_19743068</t>
  </si>
  <si>
    <t>REPUBLIC OF SOUTH AFRICA FIX 4.875% 14.04.2026_10407144</t>
  </si>
  <si>
    <t>SUMITOMO MITSUI TR BK LT 144A FIX 0.850% 25.03.2024_23543699</t>
  </si>
  <si>
    <t>SABINE PASS LIQUEFACTION FIX 4.500% 15.05.2030_23351454</t>
  </si>
  <si>
    <t>24139255_LU0003_LU0003_LXEUR</t>
  </si>
  <si>
    <t>LU0003 LAND NORDRHEIN-WESTFALEN BH9954455_IE00B67B7N93_USD LU0003_LXEUR_24139255_LU0003_LU0003_LXEUR</t>
  </si>
  <si>
    <t>25428271_LU0003_LU0003_LXEUR</t>
  </si>
  <si>
    <t>LU0003 NISSAN MOTOR ACCEPTANCE SR UNSEC REGS AM1051680_IE00B67B7N93_USD LU0003_LXEUR_25428271_LU0003_LU0003_LXEUR</t>
  </si>
  <si>
    <t>22623367_LU0003_LU0003_LXEUR</t>
  </si>
  <si>
    <t>LU0003 EGYPT GOVT AM2612894_IE00B0C18065_USD LU0003_LXEUR_22623367_LU0003_LU0003_LXEUR</t>
  </si>
  <si>
    <t>KOREA DEVELOPMENT BANK VAR 01.10.2022_18768984</t>
  </si>
  <si>
    <t>DANSKE BANK A/S 144A VAR 12.09.2023_14851913</t>
  </si>
  <si>
    <t>MDGH - GMTN BV GMTN FIX 2.500% 21.05.2026_20668384</t>
  </si>
  <si>
    <t>SAUDI INTERNATIONAL BOND REGS FIX 4.000% 17.04.2025_14526947</t>
  </si>
  <si>
    <t>KRAFT HEINZ FOODS CO FIX 4.125% 01.07.2027_8959372</t>
  </si>
  <si>
    <t>21706558_LU0003_LU0003_LXEUR</t>
  </si>
  <si>
    <t>LU0003 REPUBLIC OF ARGENTINA STEP 1.125% 09.07.2035 LU0003_LXEUR_21706558_LU0003_LU0003_LXEUR</t>
  </si>
  <si>
    <t>TELIA CO AB EMTN FIX 4.750% 16.11.2021_2073509</t>
  </si>
  <si>
    <t>DAIMLER FINANCE NA LLC 144A FIX 2.200% 30.10.2021_11418404</t>
  </si>
  <si>
    <t>24394905_LU0003_LU0003_LXEUR</t>
  </si>
  <si>
    <t>LU0003 YANLORD LAND HK CO LTD SEC BP4818830__USD LU0003_LXEUR_24394905_LU0003_LU0003_LXEUR</t>
  </si>
  <si>
    <t>25094474_LU0003_LU0003_LXEUR</t>
  </si>
  <si>
    <t>LU0003 AGILE GROUP HOLDINGS LTD SEC BQ5553418_IE00BGSXQQ02_USD LU0003_LXEUR_25094474_LU0003_LU0003_LXEUR</t>
  </si>
  <si>
    <t>BMW FINANCE NV 144A VAR 12.08.2022_18568285</t>
  </si>
  <si>
    <t>FEDERAL HOME LOAN BANK FIX 0.625% 27.11.2024_24178485</t>
  </si>
  <si>
    <t>22623403_LU0003_LU0003_LXEUR</t>
  </si>
  <si>
    <t>LU0003 PEMEX SR UNSEC REGS EK8589716_IE00B0C18065_EUR LU0003_LXEUR_22623403_LU0003_LU0003_LXEUR</t>
  </si>
  <si>
    <t>BNQ CEN TUNISIA INT BOND FIX 8.250% 19.09.2027_224422</t>
  </si>
  <si>
    <t>24748943_LU0003_LU0003_LXEUR</t>
  </si>
  <si>
    <t>LU0003 POWERLONG REAL ESTATE SR UNSEC BM0763110_IE00BGSXQQ02_USD LU0003_LXEUR_24748943_LU0003_LU0003_LXEUR</t>
  </si>
  <si>
    <t>MARRIOTT INTERNATIONAL FF FIX 4.625% 15.06.2030_20810865</t>
  </si>
  <si>
    <t>CIRSA FINANCE INTER 144A FIX 7.875% 20.12.2023_14942238</t>
  </si>
  <si>
    <t>PACIFIC GAS &amp; ELECTRIC MBS VAR 16.06.2022_21105300</t>
  </si>
  <si>
    <t>SANDS CHINA LTD FIX 5.400% 08.08.2028_16209406</t>
  </si>
  <si>
    <t>COOPERATIEVE RABOBANK UA EMTN FIX 4.125% 14.09.2022_4151959</t>
  </si>
  <si>
    <t>QNB FINANCE LTD EMTN VAR 12.02.2022_19743067</t>
  </si>
  <si>
    <t>ALTICE FINANCING SA REGS FIX 2.250% 15.01.2025_19494656</t>
  </si>
  <si>
    <t>25094521_LU0003_LU0003_LXEUR</t>
  </si>
  <si>
    <t>LU0003 PURE FINANCE SA PPEG35LU5_IE00B5ZR2157_EUR LU0003_LXEUR_25094521_LU0003_LU0003_LXEUR</t>
  </si>
  <si>
    <t>YINGDE GASES INVSTMT LTD REGS FIX 6.250% 19.01.2023_13721933</t>
  </si>
  <si>
    <t>UNITED AIR 2016-1 A PTT A FIX 3.450% 07.07.2028_10661715</t>
  </si>
  <si>
    <t>PROVINCE OF ALBERTA FIX 2.200% 26.07.2022_12792348</t>
  </si>
  <si>
    <t>CENTENE CORP FIX 4.250% 15.12.2027_20631186</t>
  </si>
  <si>
    <t>SUMITOMO MITSUI FINL GRP FIX 2.778% 18.10.2022_13244697</t>
  </si>
  <si>
    <t>DEUTSCHE BANK NY FIX 3.950% 27.02.2023_14256169</t>
  </si>
  <si>
    <t>PETROLEOS MEXICANOS EMTN FIX 4.875% 21.02.2028_11986935</t>
  </si>
  <si>
    <t>VALE OVERSEAS LIMITED FIX 6.875% 21.11.2036_606023</t>
  </si>
  <si>
    <t>ZHONGSHENG GROUP FIX 3.000% 13.01.2026_22698145</t>
  </si>
  <si>
    <t>ANTARES HOLDINGS FIX 2.750% 15.01.2027_24769619</t>
  </si>
  <si>
    <t>24748999_LU0003_LU0003_LXEUR</t>
  </si>
  <si>
    <t>LU0003 FRAPORT AG SR UNSEC BK3447012_IE00B5ZR2157_EUR LU0003_LXEUR_24748999_LU0003_LU0003_LXEUR</t>
  </si>
  <si>
    <t>CENTENE CORP FIX 4.625% 15.12.2029_20630023</t>
  </si>
  <si>
    <t>DUKE ENERGY FLORIDA LLC A VAR 26.11.2021_23212108</t>
  </si>
  <si>
    <t>ROLLS-ROYCE PLC REGS FIX 4.625% 16.02.2026_22028344</t>
  </si>
  <si>
    <t>25428068_LU0003_LU0003_LXEUR</t>
  </si>
  <si>
    <t>LU0003 ABN AMRO BANK NV AO2465620_IE00BDQZ6S97_USD LU0003_LXEUR_25428068_LU0003_LU0003_LXEUR</t>
  </si>
  <si>
    <t>CHEPLAPHARM ARZNEIMITTEL REGS FIX 4.375% 15.01.2028_21999296</t>
  </si>
  <si>
    <t>21706557_LU0003_LU0003_LXEUR</t>
  </si>
  <si>
    <t>LU0003 REPUBLIC OF ARGENTINA STEP 0.500% 09.07.2030 LU0003_LXEUR_21706557_LU0003_LU0003_LXEUR</t>
  </si>
  <si>
    <t>CHINA SCE GRP HLDGS LTD FIX 7.000% 02.05.2025_22081352</t>
  </si>
  <si>
    <t>BPCE SA FIX 0.625% 15.01.2030_19476392</t>
  </si>
  <si>
    <t>INFRABEL SA EMTN FIX 3.011% 26.03.2029_6845989</t>
  </si>
  <si>
    <t>GENERAL ELECTRIC CO EMTN FIX 4.125% 19.09.2035_455581</t>
  </si>
  <si>
    <t>CENTRAL HUIJIN INV MTN FIX 3.420% 08.03.2022_17101589</t>
  </si>
  <si>
    <t>EQT CORP FIX 3.900% 01.10.2027_13167407</t>
  </si>
  <si>
    <t>OMEGA HLTHCARE INVESTORS FIX 4.750% 15.01.2028_12177002</t>
  </si>
  <si>
    <t>DAIMLER CANADA FINANCE EMTN VAR 11.09.2022_21704763</t>
  </si>
  <si>
    <t>NEDER WATERSCHAPSBANK REGS VAR 15.12.2021_19863554</t>
  </si>
  <si>
    <t>SHINHAN BANK REGS FIX 4.000% 23.04.2029_17398317</t>
  </si>
  <si>
    <t>ODBRCHT OFFSHRE DRLL FIN REGS FIX 6.720% 01.12.2022_13658089</t>
  </si>
  <si>
    <t>23914442_LU0003_LU0003_LXEUR</t>
  </si>
  <si>
    <t>LU0003 E.ON SE SR UNSEC ZQ8771441_IE00B5ZR2157_EUR LU0003_LXEUR_23914442_LU0003_LU0003_LXEUR</t>
  </si>
  <si>
    <t>GA GLOBAL FUNDING TRUST 144A FIX 1.000% 08.04.2024_23654834</t>
  </si>
  <si>
    <t>24748862_LU0003_LU0003_LXEUR</t>
  </si>
  <si>
    <t>LU0003 PURE FINANCE SA PPE12YNE0_IE00B5ZR2157_GBP LU0003_LXEUR_24748862_LU0003_LU0003_LXEUR</t>
  </si>
  <si>
    <t>REPUBLIC OF TURKEY FIX 6.875% 17.03.2036_488603</t>
  </si>
  <si>
    <t>SITKA HOLDINGS L 144A VAR 06.07.2026_24601963</t>
  </si>
  <si>
    <t>GOLDMAN SACHS GROUP INC FRN VAR 17.11.2023_22361562</t>
  </si>
  <si>
    <t>VMED O2 UK FINAN REGS FIX 4.000% 31.01.2029_21742335</t>
  </si>
  <si>
    <t>24139307_LU0003_LU0003_LXEUR</t>
  </si>
  <si>
    <t>LU0003 FIRST ABU DHABI BANK PJS SR UNSEC AZ8144083_IE00B67B7N93_USD LU0003_LXEUR_24139307_LU0003_LU0003_LXEUR</t>
  </si>
  <si>
    <t>25428129_LU0003_LU0003_LXEUR</t>
  </si>
  <si>
    <t>LU0003 ZF FINANCE GMBH SR UNSEC BM6256721_IE00BK9YL094_EUR LU0003_LXEUR_25428129_LU0003_LU0003_LXEUR</t>
  </si>
  <si>
    <t>ZHENRO PROPERTIES GROUP FIX 8.700% 03.08.2022_18764711</t>
  </si>
  <si>
    <t>GOLDMAN SACHS GROUP INC EMTN VAR 26.09.2023_13136867</t>
  </si>
  <si>
    <t>STUDIO CITY FINANCE LTD 144A FIX 6.000% 15.07.2025_21247047</t>
  </si>
  <si>
    <t>ASAHI MUTUAL LIFE INSURA PERP FIX TO FLOAT 6.500% 05.03.2198_15456588</t>
  </si>
  <si>
    <t>FREEDOM MORTGAGE 144A FIX 6.625% 15.01.2027_24432662</t>
  </si>
  <si>
    <t>PT PELABUHAN INDO II REGS FIX 5.375% 05.05.2045_8675037</t>
  </si>
  <si>
    <t>23531235_LU0003_LU0003_LXEUR</t>
  </si>
  <si>
    <t>LU0003 NOBLE CORP 2L NOTES 65505JAA9_IE00B0C18065_USD LU0003_LXEUR_23531235_LU0003_LU0003_LXEUR</t>
  </si>
  <si>
    <t>17849859_LU0003_LU0003_LXEUR</t>
  </si>
  <si>
    <t>LU0003 MEAG TXB-PLT VOGTLE 626207YF5_IE0033386453_USD LU0003_LXEUR_17849859_LU0003_LU0003_LXEUR</t>
  </si>
  <si>
    <t>GAZPROM (GAZ CAPITAL SA) FIX 2.949% 24.01.2024_15798271</t>
  </si>
  <si>
    <t>LOXAM SAS REGS FIX 2.875% 15.04.2026_17290604</t>
  </si>
  <si>
    <t>NATIONWIDE BLDG SOCIETY 144A FIX TO FLOAT 4.363% 01.08.2024_15148669</t>
  </si>
  <si>
    <t>REPUBLIC OF ECUADOR REGS STEP 0.500% 31.07.2040_21644220</t>
  </si>
  <si>
    <t>REPUBLIC OF SRI LANKA REGS FIX 7.850% 14.03.2029_17095269</t>
  </si>
  <si>
    <t>ATHENE GLOBAL FUNDING 144A VAR 01.07.2022_12657547</t>
  </si>
  <si>
    <t>MELCO RESORTS FINANCE 144A FIX 5.375% 04.12.2029_19203904</t>
  </si>
  <si>
    <t>FORD MOTOR CREDIT CO LLC FIX 4.134% 04.08.2025_9126831</t>
  </si>
  <si>
    <t>CENTRAL NIPPON EXPRESSWY EMTN VAR 15.02.2022_14122091</t>
  </si>
  <si>
    <t>HARLEY-DAVIDSON FINL SER 144A FIX 2.550% 09.06.2022_12544779</t>
  </si>
  <si>
    <t>HAMBURG COMMERCIAL BNK EMTN FIX 0.750% 23.11.2023_22246382</t>
  </si>
  <si>
    <t>19429085_LU0003_LU0003_LXEUR</t>
  </si>
  <si>
    <t>LU0003 CONSTELLATION OIL SA 144A 09.11.2024 09.11.2024 10 LU0003_LXEUR_19429085_LU0003_LU0003_LXEUR</t>
  </si>
  <si>
    <t>ANGLOGOLD HOLDINGS PLC FIX 3.750% 01.10.2030_21851167</t>
  </si>
  <si>
    <t>WELLS FARGO BANK NA BKNT FIX 3.625% 22.10.2021_15645431</t>
  </si>
  <si>
    <t>REPUBLIC OF INDONESIA FIX 4.350% 11.01.2048_13524479</t>
  </si>
  <si>
    <t>NORTH MACEDONIA REGS FIX 3.675% 03.06.2026_20798798</t>
  </si>
  <si>
    <t>FREDDIE MAC FIX 0.850% 23.12.2026_22927476</t>
  </si>
  <si>
    <t>SCHLUMBERGER FINANCE BV FIX 0.500% 15.10.2031_18651825</t>
  </si>
  <si>
    <t>FORD MOTOR CREDIT CO LLC FIX 3.370% 17.11.2023_21521372</t>
  </si>
  <si>
    <t>INTESA SANPAOLO SPA EMTN VAR 19.04.2022_12256073</t>
  </si>
  <si>
    <t>SUNAC CHINA HOLDINGS LTD FIX 7.950% 11.10.2023_17346000</t>
  </si>
  <si>
    <t>LENNAR CORP FIX 5.375% 01.10.2022_14897112</t>
  </si>
  <si>
    <t>NXP BV/NXP FUNDING LLC 144A FIX 5.350% 01.03.2026_15888940</t>
  </si>
  <si>
    <t>13662062_LU0003_LU0003_LXEUR</t>
  </si>
  <si>
    <t>LU0003 ODEBRECHT OIL &amp; FINANCE REGS PERP ZERO 22.12.2198 LU0003_LXEUR_13662062_LU0003_LU0003_LXEUR</t>
  </si>
  <si>
    <t>ABU DHABI GOVT INT'L 144A FIX 2.500% 11.10.2022_13321922</t>
  </si>
  <si>
    <t>BMW US CAPITAL LLC 144A VAR 06.04.2022_14504610</t>
  </si>
  <si>
    <t>NORDEA BANK ABP 144A VAR 30.08.2023_15307241</t>
  </si>
  <si>
    <t>SEAZEN GROUP LTD FIX 6.150% 15.04.2023_17619857</t>
  </si>
  <si>
    <t>25094492_LU0003_LU0003_LXEUR</t>
  </si>
  <si>
    <t>LU0003 MARKS &amp; SPENCER PLC SR UNSEC AZ4959393_IE00B0C18065_GBP LU0003_LXEUR_25094492_LU0003_LU0003_LXEUR</t>
  </si>
  <si>
    <t>22623392_LU0003_LU0003_LXEUR</t>
  </si>
  <si>
    <t>LU0003 PEMEX GLBL CO GTD 71654QAZ5_IE00B0C18065_USD LU0003_LXEUR_22623392_LU0003_LU0003_LXEUR</t>
  </si>
  <si>
    <t>WYNN MACAU LTD REGS FIX 5.500% 15.01.2026_20986313</t>
  </si>
  <si>
    <t>CNP ASSURANCES FIX TO FLOAT 7.375% 30.09.2041_2924639</t>
  </si>
  <si>
    <t>24394847_LU0003_LU0003_LXEUR</t>
  </si>
  <si>
    <t>LU0003 FOSUN INTERNATIONAL LTD SR UNSEC BP4818921_IE00B464Q616_USD LU0003_LXEUR_24394847_LU0003_LU0003_LXEUR</t>
  </si>
  <si>
    <t>24748988_LU0003_LU0003_LXEUR</t>
  </si>
  <si>
    <t>LU0003 COTY INC SR SEC REGS BP9627574_IE00BK9YL094_EUR LU0003_LXEUR_24748988_LU0003_LU0003_LXEUR</t>
  </si>
  <si>
    <t>SHRIRAM TRANSPORT FIN EMTN FIX 5.700% 27.02.2022_16972044</t>
  </si>
  <si>
    <t>ARAB REPUBLIC OF EGYPT REGS FIX 7.600% 01.03.2029_16963941</t>
  </si>
  <si>
    <t>SUNNY OPTICAL TECH FIX 3.750% 23.01.2023_14041518</t>
  </si>
  <si>
    <t>EXXON MOBIL CORPORATION FIX 0.835% 26.06.2032_21045688</t>
  </si>
  <si>
    <t>IMMOFINANZ AG FIX 2.500% 15.10.2027_21994047</t>
  </si>
  <si>
    <t>BG ENERGY CAPITAL PLC EMTN FIX 1.250% 21.11.2022_7811728</t>
  </si>
  <si>
    <t>NEDER WATERSCHAPSBANK 144A VAR 15.12.2021_19714686</t>
  </si>
  <si>
    <t>CHARTER COMM OPT LLC/CAP FIX 5.125% 01.07.2049_17860436</t>
  </si>
  <si>
    <t>BOARDWALK PIPELINES LP FIX 3.400% 15.02.2031_21457733</t>
  </si>
  <si>
    <t>25428098_LU0003_LU0003_LXEUR</t>
  </si>
  <si>
    <t>LU0003 PURE FINANCE SA REGS PPEF3S774_IE00B5ZR2157_EUR LU0003_LXEUR_25428098_LU0003_LU0003_LXEUR</t>
  </si>
  <si>
    <t>CARLSBERG BREWERIES A/S EMTN FIX 0.625% 09.03.2030_19969512</t>
  </si>
  <si>
    <t>SWEDISH EXPORT CREDIT FIX 1.625% 14.01.2022_19664799</t>
  </si>
  <si>
    <t>OCCIDENTAL PETROLEUM COR FIX 3.500% 15.08.2029_18152805</t>
  </si>
  <si>
    <t>25428113_LU0003_LU0003_LXEUR</t>
  </si>
  <si>
    <t>LU0003 TP ICAP LTD SR UNSEC AM2194331_IE00B5ZR2157_GBP LU0003_LXEUR_25428113_LU0003_LU0003_LXEUR</t>
  </si>
  <si>
    <t>AIR CANADA 2017-1AA PTT 144A FIX 3.300% 15.01.2030_13551324</t>
  </si>
  <si>
    <t>EL PASO NATURAL GAS * STEP 8.375% 15.06.2032_476261</t>
  </si>
  <si>
    <t>BANQUE FED CRED MUTUEL EMTN FIX 0.500% 16.11.2022_15018891</t>
  </si>
  <si>
    <t>KWG GROUP HOLDINGS FIX 5.875% 10.11.2024_13384013</t>
  </si>
  <si>
    <t>25428124_LU0003_LU0003_LXEUR</t>
  </si>
  <si>
    <t>LU0003 KAISA GROUP HOLDINGS LTD SEC BP2862657_IE00BGSXQQ02_USD LU0003_LXEUR_25428124_LU0003_LU0003_LXEUR</t>
  </si>
  <si>
    <t>BANK OF IRELAND GROUP CONV FIX TO FLOAT 7.500% 19.11.2198_20691835</t>
  </si>
  <si>
    <t>SABINE PASS LIQUEFACTION STEP 5.625% 15.04.2023_6831738</t>
  </si>
  <si>
    <t>INDIKA ENERGY III PTE REGS FIX 5.875% 09.11.2024_13340381</t>
  </si>
  <si>
    <t>TOTALENERGIES CAP INTL EMTN FIX 0.696% 31.05.2028_17634082</t>
  </si>
  <si>
    <t>HONG KONG REGS FIX 2.375% 02.02.2051_22963703</t>
  </si>
  <si>
    <t>UNITED MEXICAN STATES FIX 2.659% 24.05.2031_22266463</t>
  </si>
  <si>
    <t>MYLAN INC FIX 4.200% 29.11.2023_6292911</t>
  </si>
  <si>
    <t>JGSH PHILIPPINES LTD FIX 4.125% 09.07.2030_21127133</t>
  </si>
  <si>
    <t>GROWTHPOINT PROPERTIES L REGS FIX 5.872% 02.05.2023_14591485</t>
  </si>
  <si>
    <t>ROYAL CAPITAL BV PERP FIX TO FLOAT 5.000% 05.05.2198_21230807</t>
  </si>
  <si>
    <t>MGM RESORTS INTL FIX 7.750% 15.03.2022_3797504</t>
  </si>
  <si>
    <t>STANDARD CHARTERED PLC 144A VAR 10.09.2022_18657665</t>
  </si>
  <si>
    <t>HARLEY-DAVIDSON FINL SER REGS FIX 4.050% 04.02.2022_17069409</t>
  </si>
  <si>
    <t>ISLAMIC REP OF PAKISTAN REGS FIX 8.250% 15.04.2024_6924798</t>
  </si>
  <si>
    <t>DOMINION ENERGY INC D VAR 15.09.2023_21736767</t>
  </si>
  <si>
    <t>GALP ENERGIA SGPS SA EMTN FIX 2.000% 15.01.2026_20928443</t>
  </si>
  <si>
    <t>25094395_LU0003_LU0003_LXEUR</t>
  </si>
  <si>
    <t>LU0003 AT&amp;T INC SR UNSEC EK7679799_IE00B5ZR2157_EUR LU0003_LXEUR_25094395_LU0003_LU0003_LXEUR</t>
  </si>
  <si>
    <t>HYUNDAI CAPITAL AMERICA REGS FIX 1.150% 10.11.2022_23675253</t>
  </si>
  <si>
    <t>ABU DHABI COMMERCIAL BNK EMTN FIX 2.750% 05.10.2021_11252201</t>
  </si>
  <si>
    <t>AIR CANADA 2013-1A PTT 144A FIX 4.125% 15.05.2025_4934205</t>
  </si>
  <si>
    <t>VMWARE INC FIX 4.650% 15.05.2027_20370879</t>
  </si>
  <si>
    <t>TECHEM VERWALTUNGSGESELL REGS FIX 2.000% 15.07.2025_19641203</t>
  </si>
  <si>
    <t>UBS AG LONDON 144A VAR 09.02.2024_23531113</t>
  </si>
  <si>
    <t>WELLS FARGO &amp; COMPANY EMTN FIX TO FLOAT 1.741% 04.05.2030_20505301</t>
  </si>
  <si>
    <t>BLUE RACER MID LLC/FINAN 144A FIX 6.625% 15.07.2026_14897748</t>
  </si>
  <si>
    <t>CITIGROUP INC VAR 24.07.2023_12774289</t>
  </si>
  <si>
    <t>ABBVIE INC VAR 21.11.2022_22317281</t>
  </si>
  <si>
    <t>GLOBALWORTH REAL ESTATE EMTN FIX 2.950% 29.07.2026_21322737</t>
  </si>
  <si>
    <t>SMBC AVIATION CAPITAL FI 144A FIX 2.300% 15.06.2028_24304012</t>
  </si>
  <si>
    <t>EXPORT-IMPORT BANK CHINA 1504 FIX 3.950% 26.01.2022_8941452</t>
  </si>
  <si>
    <t>GOODMAN HK FINANCE EMTN FIX 3.000% 22.07.2030_21282457</t>
  </si>
  <si>
    <t>RUSSIAN FEDERATION REGS FIX 2.875% 04.12.2025_15869357</t>
  </si>
  <si>
    <t>24394910_LU0003_LU0003_LXEUR</t>
  </si>
  <si>
    <t>LU0003 KOREA DEVELOPMENT BANK BH6207063_IE00B67B7N93_USD LU0003_LXEUR_24394910_LU0003_LU0003_LXEUR</t>
  </si>
  <si>
    <t>UBS GROUP AG FIX 1.750% 16.11.2022_9511665</t>
  </si>
  <si>
    <t>EXPORT-IMPORT BANK KOREA VAR 01.06.2023_14767410</t>
  </si>
  <si>
    <t>SYNCHRONY FINANCIAL FIX 5.150% 19.03.2029_17147379</t>
  </si>
  <si>
    <t>AMERICAN HONDA FINANCE MTN VAR 10.12.2021_15540828</t>
  </si>
  <si>
    <t>TALLGRASS NRG PRTNR/FIN 144A FIX 5.500% 15.01.2028_13102511</t>
  </si>
  <si>
    <t>24748983_LU0003_LU0003_LXEUR</t>
  </si>
  <si>
    <t>LU0003 MONGOLIA GOVT REGS BQ2935519_IE00B464Q616_USD LU0003_LXEUR_24748983_LU0003_LU0003_LXEUR</t>
  </si>
  <si>
    <t>VOLKSWAGEN GROUP AMERICA REGS FIX 4.000% 12.11.2021_17012996</t>
  </si>
  <si>
    <t>LEGAL &amp; GENERAL GROUP PERP FIX TO FLOAT 5.625% 24.09.2198_21005390</t>
  </si>
  <si>
    <t>DEUTSCHE BANK NY FIX TO FLOAT 3.547% 18.09.2031_21736766</t>
  </si>
  <si>
    <t>KAZMUNAYGAS NATIONAL CO REGS FIX 5.750% 19.04.2047_12266947</t>
  </si>
  <si>
    <t>BAIDU INC FIX 3.875% 29.09.2023_14418870</t>
  </si>
  <si>
    <t>22623394_LU0003_LU0003_LXEUR</t>
  </si>
  <si>
    <t>LU0003 RAS LAFFAN LNG 3 CO GTD REGS 75405U9G3_IE00B0C18065_USD LU0003_LXEUR_22623394_LU0003_LU0003_LXEUR</t>
  </si>
  <si>
    <t>CITIGROUP INC FIX TO FLOAT 3.106% 08.04.2026_20233235</t>
  </si>
  <si>
    <t>ECOPETROL SA FIX 5.875% 28.05.2045_7062459</t>
  </si>
  <si>
    <t>NATIONAL GRID NA INC EMTN FIX 0.750% 11.02.2022_8247517</t>
  </si>
  <si>
    <t>PUGET ENERGY INC FIX 4.100% 15.06.2030_22444256</t>
  </si>
  <si>
    <t>BRIXMOR OPERATING PART VAR 01.02.2022_15329729</t>
  </si>
  <si>
    <t>BROADCOM INC FIX 5.000% 15.04.2030_21507543</t>
  </si>
  <si>
    <t>LUMEN TECHNOLOGIES INC 144A FIX 4.000% 15.02.2027_19619422</t>
  </si>
  <si>
    <t>SAUDI ARABIAN OIL CO 144A FIX 1.250% 24.11.2023_22273777</t>
  </si>
  <si>
    <t>25428066_LU0003_LU0003_LXEUR</t>
  </si>
  <si>
    <t>LU0003 GENERAL MOTORS FINL CO SR UNSEC AO9525475_IE00B5ZR2157_GBP LU0003_LXEUR_25428066_LU0003_LU0003_LXEUR</t>
  </si>
  <si>
    <t>ROYAL CAPITAL BV PERP FIX TO FLOAT 4.875% 05.11.2198_11372165</t>
  </si>
  <si>
    <t>TORONTO-DOMINION BANK VAR 04.03.2024_23482942</t>
  </si>
  <si>
    <t>GE CAPITAL INTL FUNDING FIX 4.418% 15.11.2035_10849654</t>
  </si>
  <si>
    <t>TRAVIS PERKINS PLC FIX 3.750% 17.02.2026_22227999</t>
  </si>
  <si>
    <t>UBS GROUP AG CONV FIX TO FLOAT 5.125% 29.07.2198_21329474</t>
  </si>
  <si>
    <t>MEDCO BELL PTE LTD REGS FIX 6.375% 30.01.2027_19612116</t>
  </si>
  <si>
    <t>CHINA HUADIAN CORP MTN FIX 3.640% 02.07.2022_19567751</t>
  </si>
  <si>
    <t>EXPORT-IMPORT BANK CHINA 1905 FIX 3.280% 11.02.2024_16729319</t>
  </si>
  <si>
    <t>25094541_LU0003_LU0003_LXEUR</t>
  </si>
  <si>
    <t>LU0003 PURE FINANCE SA PPE32TMR9_IE00B5ZR2157_GBP LU0003_LXEUR_25094541_LU0003_LU0003_LXEUR</t>
  </si>
  <si>
    <t>TELSTRA CORP LTD FIX 1.000% 23.04.2030_20440739</t>
  </si>
  <si>
    <t>ILLUMINA INC FIX 0.550% 23.03.2023_23523014</t>
  </si>
  <si>
    <t>CMA CGM SA REGS FIX 5.250% 15.01.2025_13272904</t>
  </si>
  <si>
    <t>DANSKE BANK A/S 144A FIX 3.875% 12.09.2023_14851179</t>
  </si>
  <si>
    <t>CASTELLUM AB EMTN FIX 2.125% 20.11.2023_15798267</t>
  </si>
  <si>
    <t>COMPET TEAM TECH LTD FIX 4.250% 12.03.2029_17100995</t>
  </si>
  <si>
    <t>22623380_LU0003_LU0003_LXEUR</t>
  </si>
  <si>
    <t>LU0003 EXPORT-IMPORT BK INDIA UNSEC REGS 30216KAA0_IE00B0C18065_USD LU0003_LXEUR_22623380_LU0003_LU0003_LXEUR</t>
  </si>
  <si>
    <t>TIMES CHINA HLDG LTD FIX 5.750% 26.04.2022_12296910</t>
  </si>
  <si>
    <t>BOEING CO FIX 2.125% 01.03.2022_11986525</t>
  </si>
  <si>
    <t>DEUTSCHE BANK AG EMTN FIX 1.875% 14.02.2022_16636569</t>
  </si>
  <si>
    <t>US BANK NA CINCINNATI BKNT VAR 21.01.2022_19622097</t>
  </si>
  <si>
    <t>MITSUBISHI HC CAPITAL REGS FIX 3.960% 19.09.2023_15533513</t>
  </si>
  <si>
    <t>BANCO SANTANDER SA CONV FIX TO FLOAT 6.250% 11.12.2198_7497465</t>
  </si>
  <si>
    <t>CONTEMPRY RUIDNG DEVELOP FIX 2.625% 17.09.2030_21736823</t>
  </si>
  <si>
    <t>24748843_LU0003_LU0003_LXEUR</t>
  </si>
  <si>
    <t>LU0003 ONTEX GROUP NV SR UNSEC REGS BQ1784108_IE00BK9YL094_EUR LU0003_LXEUR_24748843_LU0003_LU0003_LXEUR</t>
  </si>
  <si>
    <t>LA CNTY MUNI FIX 7.618% 01.08.2040_2614752</t>
  </si>
  <si>
    <t>BANQUE FED CRED MUTUEL 144A FIX 2.125% 21.11.2022_19159975</t>
  </si>
  <si>
    <t>BPIFRANCE SACA EMTN FIX 2.750% 25.10.2025_4653284</t>
  </si>
  <si>
    <t>24394934_LU0003_LU0003_LXEUR</t>
  </si>
  <si>
    <t>LU0003 NOMURA BANK INTL ECP PPE72RXU5_IE00B5ZR2157_EUR LU0003_LXEUR_24394934_LU0003_LU0003_LXEUR</t>
  </si>
  <si>
    <t>14372685_LU0003_LU0003_LXEUR</t>
  </si>
  <si>
    <t>LU0003 CITIGROUP INC EMTN VAR 21.03.2023 LU0003_LXEUR_14372685_LU0003_LU0003_LXEUR</t>
  </si>
  <si>
    <t>HARLEY-DAVIDSON FINL SER 144A FIX 4.050% 04.02.2022_16627758</t>
  </si>
  <si>
    <t>KLEPIERRE EMTN FIX 3.516% 13.12.2022_4470999</t>
  </si>
  <si>
    <t>24395181_LU0003_LU0003_LXEUR</t>
  </si>
  <si>
    <t>LU0003 DUFRY ONE BV CO GTD SR UNSEC ZQ4920273_IE00B464Q616_EUR LU0003_LXEUR_24395181_LU0003_LU0003_LXEUR</t>
  </si>
  <si>
    <t>24139157_LU0003_LU0003_LXEUR</t>
  </si>
  <si>
    <t>LU0003 MEITUAN BP1720617_IE00B464Q616_USD LU0003_LXEUR_24139157_LU0003_LU0003_LXEUR</t>
  </si>
  <si>
    <t>FANNIE MAE 0 VAR 06.05.2022_21301521</t>
  </si>
  <si>
    <t>KIA CORP 144A FIX 1.000% 16.04.2024_23824584</t>
  </si>
  <si>
    <t>VLL INTERNATIONAL INC EMTN FIX 5.750% 28.11.2024_13443990</t>
  </si>
  <si>
    <t>STANDARD INDUSTRIES INC REGS FIX 2.250% 21.11.2026_19133186</t>
  </si>
  <si>
    <t>CITIGROUP INC EMTN FIX TO FLOAT 1.250% 06.07.2026_20527484</t>
  </si>
  <si>
    <t>NEXTERA ENERGY CAPITAL VAR 25.02.2022_16991015</t>
  </si>
  <si>
    <t>UNITED MEXICAN STATES FIX 2.125% 25.10.2051_22857474</t>
  </si>
  <si>
    <t>13658606_LU0003_LU0003_LXEUR</t>
  </si>
  <si>
    <t>LU0003 ODBRCHT OFFSHRE DRLL FIN REGS 01.12.2026 LU0003_LXEUR_13658606_LU0003_LU0003_LXEUR</t>
  </si>
  <si>
    <t>25094383_LU0003_LU0003_LXEUR</t>
  </si>
  <si>
    <t>LU0003 DUFRY ONE BV SR UNSEC BP0675283_IE00BK9YL094_CHF LU0003_LXEUR_25094383_LU0003_LU0003_LXEUR</t>
  </si>
  <si>
    <t>JOHN DEERE CAPITAL CORP MTN VAR 13.06.2022_18812115</t>
  </si>
  <si>
    <t>ELECTRICITE DE FRANCE SA EMTN FIX 2.750% 10.03.2023_4148457</t>
  </si>
  <si>
    <t>GREENTOWN CHINA HLDGS FIX 5.650% 13.07.2025_21226545</t>
  </si>
  <si>
    <t>MEGAWORLD CORP FIX 4.125% 30.07.2027_21565432</t>
  </si>
  <si>
    <t>JEFFERIES FIN LLC / JFIN FIX 5.000% 15.08.2028_24831379</t>
  </si>
  <si>
    <t>FORD MOTOR CREDIT CO LLC FIX 3.339% 28.03.2022_12182640</t>
  </si>
  <si>
    <t>23914585_LU0003_LU0003_LXEUR</t>
  </si>
  <si>
    <t>LU0003 ELECTRICITE DE FRANCE SUB EMTN EJ5162338_IE00BK9YL094_EUR LU0003_LXEUR_23914585_LU0003_LU0003_LXEUR</t>
  </si>
  <si>
    <t>GENERAL MOTORS FINL CO FIX 5.100% 17.01.2024_16137739</t>
  </si>
  <si>
    <t>25428290_LU0003_LU0003_LXEUR</t>
  </si>
  <si>
    <t>LU0003 PURE FINANCE SA REGS PPE23KAA9_IE00B5ZR2157_EUR LU0003_LXEUR_25428290_LU0003_LU0003_LXEUR</t>
  </si>
  <si>
    <t>CHENIERE CORP CHRISTI HD FIX 5.125% 30.06.2027_13627396</t>
  </si>
  <si>
    <t>11872953_LU0003_LU0003_LXEUR</t>
  </si>
  <si>
    <t>LU0003 WELLS FARGO &amp; COMPANY EMTN VAR 31.01.2022 LU0003_LXEUR_11872953_LU0003_LU0003_LXEUR</t>
  </si>
  <si>
    <t>SPRINT COMMUNICATIONS FIX 11.500% 15.11.2021_4087439</t>
  </si>
  <si>
    <t>BNP PARIBAS 144A FIX TO FLOAT 2.819% 19.11.2025_19118061</t>
  </si>
  <si>
    <t>NEW METRO GLOBAL LTD FIX 6.800% 05.08.2023_19602322</t>
  </si>
  <si>
    <t>AMERICAN AIRLINES/AADVAN 144A FIX 5.500% 20.04.2026_23482886</t>
  </si>
  <si>
    <t>AIRCASTLE LTD 144A FIX 2.850% 26.01.2028_22926236</t>
  </si>
  <si>
    <t>UNITED AIR 2014-1 A PTT A FIX 4.000% 11.04.2026_6842237</t>
  </si>
  <si>
    <t>BANCO DE SABADELL SA EMTN FIX 0.875% 22.07.2025_17985727</t>
  </si>
  <si>
    <t>CK HUTCHISON INTL 16 LTD REGS FIX 1.875% 03.10.2021_11258732</t>
  </si>
  <si>
    <t>AKZO NOBEL NV EMTN FIX 2.625% 27.07.2022_4061418</t>
  </si>
  <si>
    <t>23914604_LU0003_LU0003_LXEUR</t>
  </si>
  <si>
    <t>LU0003 MGM CHINA HOLDINGS LTD SR UNSEC REGS BO7736610_IE00B464Q616_USD LU0003_LXEUR_23914604_LU0003_LU0003_LXEUR</t>
  </si>
  <si>
    <t>SAPPI PAPIER HOLDNG GMBH REGS FIX 3.125% 15.04.2026_17126672</t>
  </si>
  <si>
    <t>SUNAC CHINA HOLDINGS LTD FIX 7.000% 09.07.2025_21150138</t>
  </si>
  <si>
    <t>23914482_LU0003_LU0003_LXEUR</t>
  </si>
  <si>
    <t>LU0003 DANFOSS A/S SR UNSEC EK6427497_IE00B5ZR2157_EUR LU0003_LXEUR_23914482_LU0003_LU0003_LXEUR</t>
  </si>
  <si>
    <t>CREDIT SUISSE NEW YORK FRN VAR 09.08.2023_25212139</t>
  </si>
  <si>
    <t>24395280_LU0003_LU0003_LXEUR</t>
  </si>
  <si>
    <t>LU0003 SHINHAN FINANCIAL GROUP REGS BP3771725_IE00B464Q616_USD LU0003_LXEUR_24395280_LU0003_LU0003_LXEUR</t>
  </si>
  <si>
    <t>STUDIO CITY FINANCE LTD 144A FIX 5.000% 15.01.2029_22817934</t>
  </si>
  <si>
    <t>DELL INT LLC / EMC CORP FIX 4.000% 15.07.2024_24426297</t>
  </si>
  <si>
    <t>FORTRESS TRANS &amp; INFRAST 144A FIX 5.500% 01.05.2028_23724588</t>
  </si>
  <si>
    <t>GREENLAND GLB INVST EMTN FIX 5.600% 13.11.2022_19215387</t>
  </si>
  <si>
    <t>INTERPUBLIC GROUP COS FIX 3.750% 01.10.2021_15468825</t>
  </si>
  <si>
    <t>BOEING CO FIX 1.433% 04.02.2024_23118781</t>
  </si>
  <si>
    <t>CREDIT SUISSE GROUP AG 144A CONV FIX TO FLOAT 6.250% 18.12.2198_7162170</t>
  </si>
  <si>
    <t>LEASEPLAN CORPORATION NV 144A FIX 2.875% 24.10.2024_18944109</t>
  </si>
  <si>
    <t>CIFI HOLDINGS GROUP FIX 5.500% 23.01.2022_11899219</t>
  </si>
  <si>
    <t>CONTI-GUMMI FINANCE B.V. EMTN FIX 2.125% 27.11.2023_20708336</t>
  </si>
  <si>
    <t>ONEMAIN FINANCE CORP FIX 7.125% 15.03.2026_14690505</t>
  </si>
  <si>
    <t>25428194_LU0003_LU0003_LXEUR</t>
  </si>
  <si>
    <t>LU0003 SRI LANKA GOVT BOND SRUNSC LW8500974_IE00B464Q616_USD LU0003_LXEUR_25428194_LU0003_LU0003_LXEUR</t>
  </si>
  <si>
    <t>JPMORGAN CHASE &amp; CO VAR 01.06.2025_24178931</t>
  </si>
  <si>
    <t>BAUSCH HEALTH AMERICAS 144A FIX 9.250% 01.04.2026_14370170</t>
  </si>
  <si>
    <t>BAT CAPITAL CORP FIX 3.222% 15.08.2024_15839016</t>
  </si>
  <si>
    <t>10604391_LU0003_LU0003_LXEUR</t>
  </si>
  <si>
    <t>LU0003 AMERN AIRLINE 16-2 A PTT A FIX 3.650% 15.06.2028 LU0003_LXEUR_10604391_LU0003_LU0003_LXEUR</t>
  </si>
  <si>
    <t>REYNOLDS AMERICAN INC FIX 4.450% 12.06.2025_8896432</t>
  </si>
  <si>
    <t>24748806_LU0003_LU0003_LXEUR</t>
  </si>
  <si>
    <t>LU0003 DEUTSCHE BANK AG SR UNSEC AQ6896452_IE00B5ZR2157_GBP LU0003_LXEUR_24748806_LU0003_LU0003_LXEUR</t>
  </si>
  <si>
    <t>CHINA REINSURANCE FIN FIX 3.375% 09.03.2022_12061918</t>
  </si>
  <si>
    <t>PETROBRAS GLOBAL FINANCE FIX 5.500% 10.06.2051_24263604</t>
  </si>
  <si>
    <t>DEUTSCHE BANK NY * FIX 4.250% 14.10.2021_14818854</t>
  </si>
  <si>
    <t>25094533_LU0003_LU0003_LXEUR</t>
  </si>
  <si>
    <t>LU0003 SUNAC CHINA HOLDINGS LTD SR SEC AS2390746_IE00B464Q616_USD LU0003_LXEUR_25094533_LU0003_LU0003_LXEUR</t>
  </si>
  <si>
    <t>MGM CHINA HOLDINGS LTD 144A FIX 5.250% 18.06.2025_20959890</t>
  </si>
  <si>
    <t>24395315_LU0003_LU0003_LXEUR</t>
  </si>
  <si>
    <t>LU0003 KAISA GROUP HOLDINGS LTD AO0808649_IE00B464Q616_USD LU0003_LXEUR_24395315_LU0003_LU0003_LXEUR</t>
  </si>
  <si>
    <t>KIA CORP 144A FIX 3.000% 25.04.2023_13321967</t>
  </si>
  <si>
    <t>SUNAC CHINA HOLDINGS LTD FIX 6.500% 10.01.2025_19481694</t>
  </si>
  <si>
    <t>24394842_LU0003_LU0003_LXEUR</t>
  </si>
  <si>
    <t>LU0003 RONSHINE CHINA ZS2340181_IE00B464Q616_USD LU0003_LXEUR_24394842_LU0003_LU0003_LXEUR</t>
  </si>
  <si>
    <t>SYNGENTA FINANCE NV EMTN FIX 3.375% 16.04.2026_20374630</t>
  </si>
  <si>
    <t>FUKUOKA PREFECTURE 24-1 FIX 0.880% 22.06.2022_7178667</t>
  </si>
  <si>
    <t>CAISSE D'AMORT DETTE SOC FIX 2.375% 25.01.2024_5109850</t>
  </si>
  <si>
    <t>VALERO ENERGY CORP VAR 15.09.2023_21883382</t>
  </si>
  <si>
    <t>22623416_LU0003_LU0003_LXEUR</t>
  </si>
  <si>
    <t>LU0003 TESCO PROP FIN 6 PLC EJ5474840_IE00B0C18065_GBP LU0003_LXEUR_22623416_LU0003_LU0003_LXEUR</t>
  </si>
  <si>
    <t>24748898_LU0003_LU0003_LXEUR</t>
  </si>
  <si>
    <t>LU0003 CAIXABANK SA COCO PRFSTY JR SUB AO1843090_IE00B0C18065_EUR LU0003_LXEUR_24748898_LU0003_LU0003_LXEUR</t>
  </si>
  <si>
    <t>CHARTER COMM OPT LLC/CAP FIX 4.200% 15.03.2028_13477624</t>
  </si>
  <si>
    <t>24395278_LU0003_LU0003_LXEUR</t>
  </si>
  <si>
    <t>LU0003 PURE FINANCE SA REGS PPE42C8Q2_IE00B5ZR2157_GBP LU0003_LXEUR_24395278_LU0003_LU0003_LXEUR</t>
  </si>
  <si>
    <t>HYUNDAI CAPITAL SERVICES 144A FIX 3.000% 06.03.2022_12187977</t>
  </si>
  <si>
    <t>GOLDMAN SACHS GROUP INC VAR 23.02.2023_14059598</t>
  </si>
  <si>
    <t>NATWEST GROUP PLC CONV FIX TO FLOAT 6.000% 30.09.2198_21054753</t>
  </si>
  <si>
    <t>ENABLE MIDSTREAM PARTNER FIX 4.150% 15.09.2029_18647860</t>
  </si>
  <si>
    <t>NATWEST GROUP PLC EMTN FIX TO FLOAT 2.000% 04.03.2025_15325609</t>
  </si>
  <si>
    <t>24395056_LU0003_LU0003_LXEUR</t>
  </si>
  <si>
    <t>LU0003 SK TELECOM CO LTD SR UNSEC REGS AR8274854_IE00B67B7N93_USD LU0003_LXEUR_24395056_LU0003_LU0003_LXEUR</t>
  </si>
  <si>
    <t>MMK INTL CAPITAL DAC REGS FIX 4.375% 13.06.2024_17753274</t>
  </si>
  <si>
    <t>DEUTSCHE BANK AG EMTN FIX 2.625% 12.02.2026_16636568</t>
  </si>
  <si>
    <t>JPMORGAN CHASE &amp; CO VAR 16.03.2024_23673157</t>
  </si>
  <si>
    <t>BERRY GLOBAL INC 144A FIX 0.950% 15.02.2024_22817241</t>
  </si>
  <si>
    <t>VONOVIA FINANCE BV DIP FIX 2.125% 09.07.2022_7252176</t>
  </si>
  <si>
    <t>22927440_LU0003_LU0003_LXEUR</t>
  </si>
  <si>
    <t>LU0003 MET LIFE GLOB FUNDING I 144A VAR 08.09.2022 LU0003_LXEUR_22927440_LU0003_LU0003_LXEUR</t>
  </si>
  <si>
    <t>HYUNDAI CAPITAL SERVICES REGS FIX 3.000% 29.08.2022_12962685</t>
  </si>
  <si>
    <t>UNICREDIT SPA FIX 1.800% 20.01.2030_19579227</t>
  </si>
  <si>
    <t>PERNOD RICARD SA FIX 1.750% 08.04.2030_20243642</t>
  </si>
  <si>
    <t>HUARONG FINANCE II EMTN FIX 5.000% 19.11.2025_9529859</t>
  </si>
  <si>
    <t>24394837_LU0003_LU0003_LXEUR</t>
  </si>
  <si>
    <t>LU0003 PERMANENT TSB GROUP SUB BP4709138_IE00BK9YL094_EUR LU0003_LXEUR_24394837_LU0003_LU0003_LXEUR</t>
  </si>
  <si>
    <t>MITSUBISHI UFJ FIN GRP VAR 22.02.2022_12057776</t>
  </si>
  <si>
    <t>INTL LEASE FINANCE CORP FIX 8.625% 15.01.2022_3467211</t>
  </si>
  <si>
    <t>AIRCASTLE LTD FIX 4.250% 15.06.2026_17771927</t>
  </si>
  <si>
    <t>CHINA CONSTRUCTION BANK FIX TO FLOAT 2.450% 24.06.2030_21007288</t>
  </si>
  <si>
    <t>IVORY COAST REGS FIX 5.250% 22.03.2030_14383860</t>
  </si>
  <si>
    <t>CENTERPOINT ENERGY RES VAR 02.03.2023_23365199</t>
  </si>
  <si>
    <t>TRUST FIBRAUNO REGS FIX 6.390% 15.01.2050_17860440</t>
  </si>
  <si>
    <t>24748971_LU0003_LU0003_LXEUR</t>
  </si>
  <si>
    <t>LU0003 CSN RESOURCES SA SR UNSEC REGS BP9085443_IE00B464Q616_USD LU0003_LXEUR_24748971_LU0003_LU0003_LXEUR</t>
  </si>
  <si>
    <t>SPIC MTN CO LTD EMTN FIX 1.625% 27.07.2025_21329473</t>
  </si>
  <si>
    <t>SOUTHERN NATURAL GAS 144A FIX 0.625% 28.04.2023_23930496</t>
  </si>
  <si>
    <t>25094441_LU0003_LU0003_LXEUR</t>
  </si>
  <si>
    <t>LU0003 LEND LEASE EUROPE FIN CO GTD 5260549C7_IE00B5ZR2157_GBP LU0003_LXEUR_25094441_LU0003_LU0003_LXEUR</t>
  </si>
  <si>
    <t>STAR ENERGY GEOTHERMAL REGS FIX 6.750% 24.04.2033_14577841</t>
  </si>
  <si>
    <t>24748894_LU0003_LU0003_LXEUR</t>
  </si>
  <si>
    <t>LU0003 QATAR PETROLEUM SR UNSEC REGS BQ3267193_IE00B464Q616_USD LU0003_LXEUR_24748894_LU0003_LU0003_LXEUR</t>
  </si>
  <si>
    <t>WELLS FARGO &amp; COMPANY EMTN FIX 2.250% 02.05.2023_4938090</t>
  </si>
  <si>
    <t>GLENCORE FINANCE EUROPE EMTN FIX 1.625% 18.01.2022_7529282</t>
  </si>
  <si>
    <t>25428167_LU0003_LU0003_LXEUR</t>
  </si>
  <si>
    <t>LU0003 KASIKORNBANK PCL HK JR SUB RVC BQ8053291_IE00B464Q616_USD LU0003_LXEUR_25428167_LU0003_LU0003_LXEUR</t>
  </si>
  <si>
    <t>25094433_LU0003_LU0003_LXEUR</t>
  </si>
  <si>
    <t>LU0003 PURE FINANCE SA REGS PPEB35G81_IE00B5ZR2157_USD LU0003_LXEUR_25094433_LU0003_LU0003_LXEUR</t>
  </si>
  <si>
    <t>25428087_LU0003_LU0003_LXEUR</t>
  </si>
  <si>
    <t>LU0003 RYANAIR DAC CO GTD SR UNSEC AM4406485_IE00B5ZR2157_EUR LU0003_LXEUR_25428087_LU0003_LU0003_LXEUR</t>
  </si>
  <si>
    <t>ALLY FINANCIAL INC * FIX 8.000% 01.11.2031_1669787</t>
  </si>
  <si>
    <t>25428088_LU0003_LU0003_LXEUR</t>
  </si>
  <si>
    <t>LU0003 ALTICE FINANCING SA SEC REGS BQ8377286_IE00BK9YL094_EUR LU0003_LXEUR_25428088_LU0003_LU0003_LXEUR</t>
  </si>
  <si>
    <t>21151582_LU0003_LU0003_LXEUR</t>
  </si>
  <si>
    <t>LU0003 PACIFIC GAS &amp; ELECTRIC MBS FIX 3.150% 01.01.2026 LU0003_LXEUR_21151582_LU0003_LU0003_LXEUR</t>
  </si>
  <si>
    <t>FORD MOTOR CREDIT CO LLC FIX 4.542% 01.08.2026_18091439</t>
  </si>
  <si>
    <t>DOMINICAN REPUBLIC REGS FIX 5.300% 21.01.2041_22843188</t>
  </si>
  <si>
    <t>AIRCASTLE LTD 144A FIX 5.250% 11.08.2025_21483226</t>
  </si>
  <si>
    <t>24139394_LU0003_LU0003_LXEUR</t>
  </si>
  <si>
    <t>LU0003 INTESA SANPAOLO SPA ZO1561760_IE00B0C18065_EUR LU0003_LXEUR_24139394_LU0003_LU0003_LXEUR</t>
  </si>
  <si>
    <t>RADIANCE CAPITAL INV FIX 11.750% 31.10.2021_19215090</t>
  </si>
  <si>
    <t>HSH PORTFOLIOMANAGEMENT FIX 0.500% 09.09.2022_21676070</t>
  </si>
  <si>
    <t>ATLANTIA SPA EMTN FIX 1.875% 13.07.2027_12686062</t>
  </si>
  <si>
    <t>PETROLEOS MEXICANOS FIX 7.690% 23.01.2050_22106686</t>
  </si>
  <si>
    <t>SAUDI INTERNATIONAL BOND REGS FIX 5.000% 17.04.2049_14532329</t>
  </si>
  <si>
    <t>UNITED MEXICAN STATES GMTN FIX 5.750% 12.10.2110_2549190</t>
  </si>
  <si>
    <t>PACIFIC GAS &amp; ELECTRIC MBS FIX 2.950% 01.03.2026_10177835</t>
  </si>
  <si>
    <t>CIFI HOLDINGS GROUP FIX 6.550% 28.03.2024_17251929</t>
  </si>
  <si>
    <t>CELESTIAL MILES LTD PERP FIX TO FLOAT 5.750% 31.07.2198_16606683</t>
  </si>
  <si>
    <t>UNITED AIR 2020-1 A PTT 20-1 FIX 5.875% 15.10.2027_22071386</t>
  </si>
  <si>
    <t>AMERICAN ELECTRIC POWER A VAR 01.11.2023_22282639</t>
  </si>
  <si>
    <t>25094552_LU0003_LU0003_LXEUR</t>
  </si>
  <si>
    <t>LU0003 CHINA MODERN DAIRY HOLDING SR UNSEC REGS BQ3982783_IE00B464Q616_USD LU0003_LXEUR_25094552_LU0003_LU0003_LXEUR</t>
  </si>
  <si>
    <t>25428227_LU0003_LU0003_LXEUR</t>
  </si>
  <si>
    <t>LU0003 BAT INTL FINANCE PLC CO GTD REGS EJ2233348_IE00B67B7N93_USD LU0003_LXEUR_25428227_LU0003_LU0003_LXEUR</t>
  </si>
  <si>
    <t>HP ENTERPRISE CO VAR 05.10.2021_15419814</t>
  </si>
  <si>
    <t>VOLKSWAGEN GROUP AMERICA 144A FIX 2.900% 13.05.2022_20649047</t>
  </si>
  <si>
    <t>CREDIT SUISSE GROUP AG 144A FIX TO FLOAT 2.193% 05.06.2026_20870454</t>
  </si>
  <si>
    <t>24748772_LU0003_LU0003_LXEUR</t>
  </si>
  <si>
    <t>LU0003 DUKE ENERGY CORP SOFR 26441CBK0_IE00BDQZ6S97_USD LU0003_LXEUR_24748772_LU0003_LU0003_LXEUR</t>
  </si>
  <si>
    <t>24394856_LU0003_LU0003_LXEUR</t>
  </si>
  <si>
    <t>LU0003 ABSA GROUP LTD JR SUB COCO BP6143476_IE00B61N1B75_USD LU0003_LXEUR_24394856_LU0003_LU0003_LXEUR</t>
  </si>
  <si>
    <t>AMER AIRLINE 17-2 AA PTT AA FIX 3.350% 15.10.2029_12828176</t>
  </si>
  <si>
    <t>24748795_LU0003_LU0003_LXEUR</t>
  </si>
  <si>
    <t>LU0003 OMAN SOVEREIGN SUKUK SR UNSEC REGS BP9860662_IE00B464Q616_USD LU0003_LXEUR_24748795_LU0003_LU0003_LXEUR</t>
  </si>
  <si>
    <t>SYNGENTA FINANCE NV 144A FIX 4.892% 24.04.2025_14559425</t>
  </si>
  <si>
    <t>24748989_LU0003_LU0003_LXEUR</t>
  </si>
  <si>
    <t>LU0003 PURE FINANCE SA REGS PPEA2OF84_IE00B5ZR2157_EUR LU0003_LXEUR_24748989_LU0003_LU0003_LXEUR</t>
  </si>
  <si>
    <t>25428208_LU0003_LU0003_LXEUR</t>
  </si>
  <si>
    <t>LU0003 NEDER WATERSCHAPSBANK AV6877188_IE00B67B7N93_USD LU0003_LXEUR_25428208_LU0003_LU0003_LXEUR</t>
  </si>
  <si>
    <t>25428137_LU0003_LU0003_LXEUR</t>
  </si>
  <si>
    <t>LU0003 VEDANTA RESOURCES SR UNSEC REGS BM9940974_IE00BGSXQQ02_USD LU0003_LXEUR_25428137_LU0003_LU0003_LXEUR</t>
  </si>
  <si>
    <t>23914501_LU0003_LU0003_LXEUR</t>
  </si>
  <si>
    <t>LU0003 PAKISTAN GOVT BO8617975_IE00B464Q616_USD LU0003_LXEUR_23914501_LU0003_LU0003_LXEUR</t>
  </si>
  <si>
    <t>DANSKE BANK A/S 144A FIX 5.375% 12.01.2024_16131459</t>
  </si>
  <si>
    <t>23914541_LU0003_LU0003_LXEUR</t>
  </si>
  <si>
    <t>LU0003 CREDIT SUISSE GROUP AG COCO JR SUB REGS EJ9764584_IE00B0C18065_USD LU0003_LXEUR_23914541_LU0003_LU0003_LXEUR</t>
  </si>
  <si>
    <t>DELTA AIR LINES INC 144A FIX 7.000% 01.05.2025_20525960</t>
  </si>
  <si>
    <t>CREDIT AGRICOLE LONDON EMTN FIX 1.750% 05.03.2029_16995939</t>
  </si>
  <si>
    <t>HSBC BANK CANADA REGS COV FIX 3.300% 28.11.2021_15831633</t>
  </si>
  <si>
    <t>24394886_LU0003_LU0003_LXEUR</t>
  </si>
  <si>
    <t>LU0003 NYKREDIT REALKREDIT IO **PARTIAL CALL** AO7057240_IE00B5ZR2157_DKK LU0003_LXEUR_24394886_LU0003_LU0003_LXEUR</t>
  </si>
  <si>
    <t>TORONTO-DOMINION BANK COV FIX 1.000% 13.12.2021_12077023</t>
  </si>
  <si>
    <t>PROGRAMA CEDULAS TDA FTA A6 COV FIX 4.250% 10.04.2031_506717</t>
  </si>
  <si>
    <t>BANCA CARIGE SPA COV VAR 25.10.2021_17555097</t>
  </si>
  <si>
    <t>ROYAL BANK OF CANADA EMTN COV VAR 08.12.2022_13513713</t>
  </si>
  <si>
    <t>BANCA MONTE DEI PASCHI S COV FIX 1.250% 20.01.2022_9443127</t>
  </si>
  <si>
    <t>PKO BANK HIPOTECZNY COV FIX 0.250% 23.11.2021_16168539</t>
  </si>
  <si>
    <t>ABN AMRO BANK NV COV FIX 3.500% 21.09.2022_2511127</t>
  </si>
  <si>
    <t>HEALTH AND HAPPINESS H&amp;H FIX 5.625% 24.10.2024_18946108</t>
  </si>
  <si>
    <t>ROYAL BANK OF CANADA 144A COV FIX 3.350% 22.10.2021_15638340</t>
  </si>
  <si>
    <t>SOUTHERN CAL EDISON D MBS VAR 03.12.2021_22390625</t>
  </si>
  <si>
    <t>19428963_LU0003_LU0003_LXEUR</t>
  </si>
  <si>
    <t>LU0003 CONSTELLATION OIL SA REGS 09.11.2 BB99 ZP2061171 LU0003_LXEUR_19428963_LU0003_LU0003_LXEUR</t>
  </si>
  <si>
    <t>SOUTHERN CAL EDISON F MBS VAR 13.06.2022_24728975</t>
  </si>
  <si>
    <t>24394902_LU0003_LU0003_LXEUR</t>
  </si>
  <si>
    <t>LU0003 NYKREDIT REALKREDIT IO **PARTIAL CALL** AO8258144_IE00B5ZR2157_DKK LU0003_LXEUR_24394902_LU0003_LU0003_LXEUR</t>
  </si>
  <si>
    <t>TORONTO-DOMINION BANK 144A COV FIX 3.350% 22.10.2021_15653146</t>
  </si>
  <si>
    <t>24139379_LU0003_LU0003_LXEUR</t>
  </si>
  <si>
    <t>LU0003 LLOYDS BANK PLC SEC COVERED AV4989670_IE00BDQZ6S97_USD LU0003_LXEUR_24139379_LU0003_LU0003_LXEUR</t>
  </si>
  <si>
    <t>PITCH1 COV FIX 5.125% 20.07.2022_813975</t>
  </si>
  <si>
    <t>TORONTO-DOMINION BANK EMTN COV VAR 24.06.2022_17809766</t>
  </si>
  <si>
    <t>24394874_LU0003_LU0003_LXEUR</t>
  </si>
  <si>
    <t>LU0003 REALKREDIT DANMARK SEC IO AO9120780__DKK LU0003_LXEUR_24394874_LU0003_LU0003_LXEUR</t>
  </si>
  <si>
    <t>PACIFIC GAS &amp; ELECTRIC MBS VAR 15.11.2021_22246375</t>
  </si>
  <si>
    <t>DEUT PFANDBRIEFBANK AG EMTN PF VAR 29.09.2023_21834589</t>
  </si>
  <si>
    <t>DEUT PFANDBRIEFBANK AG EMTN PF FIX 3.375% 22.11.2021_15802732</t>
  </si>
  <si>
    <t>ATHENE GLOBAL FUNDING REGS VAR 01.07.2022_14504605</t>
  </si>
  <si>
    <t>LLOYDS BANK PLC COV VAR 03.02.2023_19671746</t>
  </si>
  <si>
    <t>CHINA GOVERNMENT BOND INBK FIX 2.850% 04.06.2027_20904570</t>
  </si>
  <si>
    <t>24139074_LU0003_LU0003_LXEUR</t>
  </si>
  <si>
    <t>LU0003 ISRAEL TREASURY BILL MOF BO9406493_IE00B5ZR2157_ILS LU0003_LXEUR_24139074_LU0003_LU0003_LXEUR</t>
  </si>
  <si>
    <t>TREASURY BILL ZERO 28.10.2021_23963922</t>
  </si>
  <si>
    <t>24394913_LU0003_LU0003_LXEUR</t>
  </si>
  <si>
    <t>LU0003 CHINA GOVERNMENT BOND BO9178522_IE00BLNMYB83_CNY LU0003_LXEUR_24394913_LU0003_LU0003_LXEUR</t>
  </si>
  <si>
    <t>TREASURY BILL ZERO 17.02.2022_25010321</t>
  </si>
  <si>
    <t>US TREASURY N/B FIX 0.125% 31.03.2023_23552919</t>
  </si>
  <si>
    <t>CHINA GOVERNMENT BOND INBK FIX 3.280% 03.12.2027_22433332</t>
  </si>
  <si>
    <t>TREASURY BILL ZERO 10.02.2022_24964907</t>
  </si>
  <si>
    <t>CHINA GOVERNMENT BOND 1610 FIX 2.900% 05.05.2026_10740749</t>
  </si>
  <si>
    <t>ISRAEL FIXED BOND 0722 FIX 0.750% 31.07.2022_17737410</t>
  </si>
  <si>
    <t>23914622_LU0003_LU0003_LXEUR</t>
  </si>
  <si>
    <t>LU0003 CHINA GOVERNMENT BOND ZO9552175_IE00BLNMYB83_CNY LU0003_LXEUR_23914622_LU0003_LU0003_LXEUR</t>
  </si>
  <si>
    <t>TREASURY BILL ZERO 07.10.2021_21990923</t>
  </si>
  <si>
    <t>24748747_LU0003_LU0003_LXEUR</t>
  </si>
  <si>
    <t>LU0003 JAPAN TREASURY DISC BILL #1001 BP9741573_IE00B5ZR2157_JPY LU0003_LXEUR_24748747_LU0003_LU0003_LXEUR</t>
  </si>
  <si>
    <t>TREASURY BILL ZERO 26.11.2021_24190431</t>
  </si>
  <si>
    <t>24139287_LU0003_LU0003_LXEUR</t>
  </si>
  <si>
    <t>LU0003 ISRAEL MAKAM BILL BO9141231_IE00B5ZR2157_ILS LU0003_LXEUR_24139287_LU0003_LU0003_LXEUR</t>
  </si>
  <si>
    <t>TREASURY BILL ZERO 20.01.2022_24738794</t>
  </si>
  <si>
    <t>22927510_LU0003_LU0003_LXEUR</t>
  </si>
  <si>
    <t>LU0003 INDONESIA GOVERNMENT 0041189O5_IE00B464Q616_IDR LU0003_LXEUR_22927510_LU0003_LU0003_LXEUR</t>
  </si>
  <si>
    <t>TREASURY BILL ZERO 13.01.2022_24674941</t>
  </si>
  <si>
    <t>CHINA GOVERNMENT BOND INBK FIX 3.390% 16.03.2050_20081374</t>
  </si>
  <si>
    <t>US TREASURY N/B FIX 2.500% 15.02.2022_16627755</t>
  </si>
  <si>
    <t>TREASURY BILL ZERO 09.12.2021_24306016</t>
  </si>
  <si>
    <t>TREASURY BILL ZERO 04.11.2021_22185637</t>
  </si>
  <si>
    <t>CHINA GOVERNMENT BOND 1910 FIX 3.860% 22.07.2049_18041120</t>
  </si>
  <si>
    <t>25428265_LU0003_LU0003_LXEUR</t>
  </si>
  <si>
    <t>LU0003 JAPAN TREASURY DISC BILL #1014 BQ8053176_IE00B5ZR2157_JPY LU0003_LXEUR_25428265_LU0003_LU0003_LXEUR</t>
  </si>
  <si>
    <t>CHINA GOVERNMENT BOND 1614 FIX 2.950% 16.06.2023_10931330</t>
  </si>
  <si>
    <t>CHINA GOVERNMENT BOND INBK FIX 1.990% 09.04.2025_20394611</t>
  </si>
  <si>
    <t>TREASURY BILL ZERO 03.02.2022_24909349</t>
  </si>
  <si>
    <t>US TREASURY N/B FIX 2.500% 15.01.2022_16064045</t>
  </si>
  <si>
    <t>CASH_USD</t>
  </si>
  <si>
    <t>CHINA GOVERNMENT BOND INBK FIX 3.810% 14.09.2050_21755092</t>
  </si>
  <si>
    <t>TREASURY BILL ZERO 27.01.2022_23045956</t>
  </si>
  <si>
    <t>ISRAEL MAKAM BILL 0212 ZERO 02.02.2022_23134853</t>
  </si>
  <si>
    <t>TREASURY BILL ZERO 18.11.2021_24139040</t>
  </si>
  <si>
    <t>TREASURY BILL ZERO 06.01.2022_24621131</t>
  </si>
  <si>
    <t>ISRAEL FIXED BOND 0122 FIX 5.500% 31.01.2022_2983248</t>
  </si>
  <si>
    <t>TREASURY BILL ZERO 02.12.2021_22413270</t>
  </si>
  <si>
    <t>US TREASURY N/B FIX 2.250% 15.08.2049_18126309</t>
  </si>
  <si>
    <t>TREASURY BILL ZERO 12.10.2021_24343663</t>
  </si>
  <si>
    <t>JAPAN (30 YEAR ISSUE) 67 FIX 0.600% 20.06.2050_21227977</t>
  </si>
  <si>
    <t>TREASURY BILL ZERO 03.03.2022_25200623</t>
  </si>
  <si>
    <t>TREASURY BILL ZERO 24.02.2022_23306339</t>
  </si>
  <si>
    <t>TREASURY BILL ZERO 14.10.2021_23848887</t>
  </si>
  <si>
    <t>TREASURY BILL ZERO 16.12.2021_24359496</t>
  </si>
  <si>
    <t>BELGIUM BE-STRIP MR35 ZERO 28.03.2030_2373826</t>
  </si>
  <si>
    <t>BELGIUM BE-STRIP MR41 ZERO 28.03.2036_2402967</t>
  </si>
  <si>
    <t>BELGIUM BE-STRIP MR35 ZERO 28.03.2032_2402964</t>
  </si>
  <si>
    <t>BELGIUM KINGDOM 44 FIX 5.000% 28.03.2035_356679</t>
  </si>
  <si>
    <t>BELGIUM BE-STRIP MR28 ZERO 28.03.2025_357822</t>
  </si>
  <si>
    <t>BUNDESREPUB. DEUTSCHLAND 08 FIX 4.750% 04.07.2040_1043463</t>
  </si>
  <si>
    <t>NETHERLANDS GOVERNMENT FIX 7.500% 15.01.2023_147412</t>
  </si>
  <si>
    <t>BONOS Y OBLIG DEL ESTADO FIX 6.000% 31.01.2029_147343</t>
  </si>
  <si>
    <t>FRANCE O.A.T. STRIP ZERO 25.04.2029_309831</t>
  </si>
  <si>
    <t>BELGIUM BE-STRIP MR35 ZERO 28.03.2031_2457733</t>
  </si>
  <si>
    <t>BELGIUM BE-STRIP MR35 ZERO 28.03.2035_2319641</t>
  </si>
  <si>
    <t>BELGIUM BE-STRIP MR35 ZERO 28.03.2029_2457732</t>
  </si>
  <si>
    <t>NETHERLANDS GOVERNMENT FIX 3.750% 15.01.2023_499095</t>
  </si>
  <si>
    <t>BUNDESREPUB. DEUTSCHLAND FIX 2.500% 04.07.2044_3883660</t>
  </si>
  <si>
    <t>BELGIUM BE-STRIP MR35 ZERO 28.03.2034_2402966</t>
  </si>
  <si>
    <t>BELGIUM BE-STRIP MR28 ZERO 28.03.2028_1753192</t>
  </si>
  <si>
    <t>BUONI POLIENNALI STRIP ZERO 01.08.2024_497663</t>
  </si>
  <si>
    <t>BUONI POLIENNALI DEL TES FIX 4.750% 01.08.2023_961384</t>
  </si>
  <si>
    <t>BUNDESREPUB. DEUTSCHLAND 05 FIX 4.000% 04.01.2037_404965</t>
  </si>
  <si>
    <t>BELGIUM BE-STRIP MR35 ZERO 28.03.2033_2402965</t>
  </si>
  <si>
    <t>FRANCE O.A.T. STRIP ZERO 25.04.2025_421102</t>
  </si>
  <si>
    <t>BELGIUM BE-STRIP MR28 ZERO 28.03.2026_357823</t>
  </si>
  <si>
    <t>BUNDESREPUB. DEUTSCHLAND 2007 FIX 4.250% 04.07.2039_629102</t>
  </si>
  <si>
    <t>FRANCE O.A.T. STRIP ZERO 25.04.2026_421101</t>
  </si>
  <si>
    <t>BUNDESREPUB. DEUTSCHLAND ZERO 04.07.2028 DE0001143311_477552</t>
  </si>
  <si>
    <t>BELGIUM KINGDOM 60 FIX 4.250% 28.03.2041_2265534</t>
  </si>
  <si>
    <t>NETHERLANDS GOVERNMENT FIX 3.750% 15.01.2042_2321380</t>
  </si>
  <si>
    <t>BELGIUM BE-STRIP MR28 ZERO 28.03.2023_155342</t>
  </si>
  <si>
    <t>NETHERLANDS GOVERNMENT FIX 2.500% 15.01.2033_3824603</t>
  </si>
  <si>
    <t>BELGIUM KINGDOM 31 FIX 5.500% 28.03.2028_147347</t>
  </si>
  <si>
    <t>BUNDESREPUB. DEUTSCHLAND 03 FIX 4.750% 04.07.2034_262358</t>
  </si>
  <si>
    <t>BELGIUM BE-STRIP MR28 ZERO 28.03.2027_517699</t>
  </si>
  <si>
    <t>BUNDESREPUB. DEUTSCHLAND ZERO 04.07.2038_8452273</t>
  </si>
  <si>
    <t>NETHERLAND GOVT STRIP JA36 ZERO 15.01.2036_8452279</t>
  </si>
  <si>
    <t>BELGIUM BE-STRIP MR28 ZERO 28.03.2024_527870</t>
  </si>
  <si>
    <t>NETHERLANDS GOVERNMENT FIX 4.000% 15.01.2037_422157</t>
  </si>
  <si>
    <t>ITALY BTPS HYBRID ZERO 01.11.2022_4513159</t>
  </si>
  <si>
    <t>CASH_EUR</t>
  </si>
  <si>
    <t>25094578_LU0003_LU0003_LXEUR</t>
  </si>
  <si>
    <t>LU0003 FRENCH DISCOUNT T-BILL BN8219394_IE00BK9YL094_EUR LU0003_LXEUR_25094578_LU0003_LU0003_LXEUR</t>
  </si>
  <si>
    <t>25094354_LU0003_LU0003_LXEUR</t>
  </si>
  <si>
    <t>LU0003 GERMAN TREASURY BILL BM6819825_IE00BK9YL094_EUR LU0003_LXEUR_25094354_LU0003_LU0003_LXEUR</t>
  </si>
  <si>
    <t>24395192_LU0003_LU0003_LXEUR</t>
  </si>
  <si>
    <t>LU0003 FRENCH DISCOUNT T-BILL BP4495696_IE00B5ZR2157_EUR LU0003_LXEUR_24395192_LU0003_LU0003_LXEUR</t>
  </si>
  <si>
    <t>BELGIUM KINGDOM 48 FIX 4.000% 28.03.2022_519065</t>
  </si>
  <si>
    <t>24394854_LU0003_LU0003_LXEUR</t>
  </si>
  <si>
    <t>LU0003 GERMAN TREASURY BILL ZO9909334__EUR LU0003_LXEUR_24394854_LU0003_LU0003_LXEUR</t>
  </si>
  <si>
    <t>BELGIUM KINGDOM 64 FIX 4.500% 28.03.2026_2999108</t>
  </si>
  <si>
    <t>23207413_LU0003_LU0003_LXEUR</t>
  </si>
  <si>
    <t>LU0003 INTL BK RECON &amp; DEVELOP MTN VAR 13.01.2023 LU0003_LXEUR_23207413_LU0003_LU0003_LXEUR</t>
  </si>
  <si>
    <t>24139378_LU0003_LU0003_LXEUR</t>
  </si>
  <si>
    <t>LU0003 EUROFIMA AX9662419_IE00BDQZ6S97_USD LU0003_LXEUR_24139378_LU0003_LU0003_LXEUR</t>
  </si>
  <si>
    <t>INTER-AMERICAN DEVEL BK VAR 16.09.2022_23673151</t>
  </si>
  <si>
    <t>23173554_LU0003_LU0003_LXEUR</t>
  </si>
  <si>
    <t>LU0003 INTL BK RECON &amp; DEVELOP GDIF FIX 0.650% 10.02.2026 LU0003_LXEUR_23173554_LU0003_LU0003_LXEUR</t>
  </si>
  <si>
    <t>EUROPEAN INVESTMENT BANK 144A VAR 19.01.2023_14121289</t>
  </si>
  <si>
    <t>24139276_LU0003_LU0003_LXEUR</t>
  </si>
  <si>
    <t>LU0003 EUROPEAN INVESTMENT BANK SRUNSEC REGS ZP6124819_IE00BDQZ6S97_USD LU0003_LXEUR_24139276_LU0003_LU0003_LXEUR</t>
  </si>
  <si>
    <t>EUROPEAN BK RECON &amp; DEV GMTN VAR 19.08.2022_19202938</t>
  </si>
  <si>
    <t>INTL FINANCE COR VAR 30.06.2023_24501432</t>
  </si>
  <si>
    <t>EUROPEAN BK RECON &amp; DEV GMTN VAR 11.05.2022_14812095</t>
  </si>
  <si>
    <t>EUROPEAN INVESTMENT BANK 144A VAR 10.06.2022_21244054</t>
  </si>
  <si>
    <t>23173555_LU0003_LU0003_LXEUR</t>
  </si>
  <si>
    <t>LU0003 INTL BK RECON &amp; DEVELOP GDIF FIX 0.850% 10.02.2027 LU0003_LXEUR_23173555_LU0003_LU0003_LXEUR</t>
  </si>
  <si>
    <t>EUROPEAN INVESTMENT BANK REGS VAR 10.06.2022_20350200</t>
  </si>
  <si>
    <t>EUROPEAN INVESTMENT BANK FIX 2.125% 15.10.2021_7480978</t>
  </si>
  <si>
    <t>EFSF EMTN FIX 1.875% 23.05.2023_5009193</t>
  </si>
  <si>
    <t>AFRICAN DEVELOPMENT BANK GMTN VAR 15.12.2021_19714580</t>
  </si>
  <si>
    <t>BANQUE OUEST AFRICAINE D REGS FIX 2.750% 22.01.2033_22857475</t>
  </si>
  <si>
    <t>8043286_LU0003_LU0003_LXEUR</t>
  </si>
  <si>
    <t>LU0003 ASIAN DEVELOPMENT BANK VAR 15.12.2021 LU0003_LXEUR_8043286_LU0003_LU0003_LXEUR</t>
  </si>
  <si>
    <t>INTER-AMERICAN DEVEL BK VAR 15.03.2022_17901012</t>
  </si>
  <si>
    <t>24395316_LU0003_LU0003_LXEUR</t>
  </si>
  <si>
    <t>LU0003 ERSTE ABWICKLUNGSANSTALT AX4142854_IE00B67B7N93_USD LU0003_LXEUR_24395316_LU0003_LU0003_LXEUR</t>
  </si>
  <si>
    <t>Unlisted Local Authority Bond</t>
  </si>
  <si>
    <t>LAND BERLIN 226 FIX 4.250% 25.04.2022_640472</t>
  </si>
  <si>
    <t>NRW.BANK EMTN VAR 01.02.2022_16973990</t>
  </si>
  <si>
    <t>KOMMUNINVEST I SVERIGE REGS FIX 0.125% 20.07.2022_22281184</t>
  </si>
  <si>
    <t>24748907_LU0003_LU0003_LXEUR</t>
  </si>
  <si>
    <t>LU0003 GEMEINSAME NRW KOMMUNEN EK9464810_IE00B5ZR2157_EUR LU0003_LXEUR_24748907_LU0003_LU0003_LXEUR</t>
  </si>
  <si>
    <t>Spread Risk calculation - STS Securitizations</t>
  </si>
  <si>
    <t>Securitization category</t>
  </si>
  <si>
    <t>1929112_LU0003_LU0003_LXEUR</t>
  </si>
  <si>
    <t>LU0003 PPSI 2005-WHQ3 M4 MBS VAR 25.06.2035 LU0003_LXEUR_1929112_LU0003_LU0003_LXEUR</t>
  </si>
  <si>
    <t>Type 1 Securitization</t>
  </si>
  <si>
    <t>MCMLT 2017-2 A1 MBS FIX 2.750% 25.07.2059_22554600</t>
  </si>
  <si>
    <t>FN AL7090 MBS VAR 01.10.2037_22554345</t>
  </si>
  <si>
    <t>GEWMC 2005-2 A2C MBS VAR 25.12.2035_4279957</t>
  </si>
  <si>
    <t>1921847_LU0003_LU0003_LXEUR</t>
  </si>
  <si>
    <t>LU0003 SAIL 2004-8 M1 MBS VAR 25.09.2034 LU0003_LXEUR_1921847_LU0003_LU0003_LXEUR</t>
  </si>
  <si>
    <t>FINA 2004-2 M1 MBS VAR 25.08.2034_22554288</t>
  </si>
  <si>
    <t>4948114_LU0003_LU0003_LXEUR</t>
  </si>
  <si>
    <t>LU0003 CMLTI 2005-OPT4 M4 MBS VAR 25.07.2035 LU0003_LXEUR_4948114_LU0003_LU0003_LXEUR</t>
  </si>
  <si>
    <t>7223154_LU0003_LU0003_LXEUR</t>
  </si>
  <si>
    <t>LU0003 SAIL 2003-BC6 M1 MBS VAR 25.07.2033 LU0003_LXEUR_7223154_LU0003_LU0003_LXEUR</t>
  </si>
  <si>
    <t>4370375_LU0003_LU0003_LXEUR</t>
  </si>
  <si>
    <t>LU0003 JPMAC 2007-CH5 A5 MBS VAR 25.06.2037 LU0003_LXEUR_4370375_LU0003_LU0003_LXEUR</t>
  </si>
  <si>
    <t>1928377_LU0003_LU0003_LXEUR</t>
  </si>
  <si>
    <t>LU0003 CWL 2006-4 2A3 MBS VAR 25.07.2036 LU0003_LXEUR_1928377_LU0003_LU0003_LXEUR</t>
  </si>
  <si>
    <t>7313749_LU0003_LU0003_LXEUR</t>
  </si>
  <si>
    <t>LU0003 SASC 2006-WF3 M1 MBS VAR 25.09.2036 LU0003_LXEUR_7313749_LU0003_LU0003_LXEUR</t>
  </si>
  <si>
    <t>TPMT 2017-4 A1 MBS FIX 2.750% 25.06.2057_13321999</t>
  </si>
  <si>
    <t>3870714_LU0003_LU0003_LXEUR</t>
  </si>
  <si>
    <t>LU0003 RAAC 2007-SP3 A1 MBS VAR 25.09.2047 LU0003_LXEUR_3870714_LU0003_LU0003_LXEUR</t>
  </si>
  <si>
    <t>6181983_LU0003_LU0003_LXEUR</t>
  </si>
  <si>
    <t>LU0003 AMSI 2004-R9 M3 MBS VAR 25.10.2034 LU0003_LXEUR_6181983_LU0003_LU0003_LXEUR</t>
  </si>
  <si>
    <t>FN AL7183 MBS VAR 01.01.2036_14504601</t>
  </si>
  <si>
    <t>1929090_LU0003_LU0003_LXEUR</t>
  </si>
  <si>
    <t>LU0003 PPSI 2005-WCW2 M2 MBS VAR 25.07.2035 LU0003_LXEUR_1929090_LU0003_LU0003_LXEUR</t>
  </si>
  <si>
    <t>1921392_LU0003_LU0003_LXEUR</t>
  </si>
  <si>
    <t>LU0003 PPSI 2004-WHQ1 M2 MBS VAR 25.09.2034 LU0003_LXEUR_1921392_LU0003_LU0003_LXEUR</t>
  </si>
  <si>
    <t>4165718_LU0003_LU0003_LXEUR</t>
  </si>
  <si>
    <t>LU0003 PPSI 2005-WHQ1 M4 ABS FLOAT 25.03.35 LU0003_LXEUR_4165718_LU0003_LU0003_LXEUR</t>
  </si>
  <si>
    <t>7069332_LU0003_LU0003_LXEUR</t>
  </si>
  <si>
    <t>LU0003 POPLR 2006-D A3 MBS VAR 25.11.2036 LU0003_LXEUR_7069332_LU0003_LU0003_LXEUR</t>
  </si>
  <si>
    <t>7013364_LU0003_LU0003_LXEUR</t>
  </si>
  <si>
    <t>LU0003 JPMAC 2007-CH3 A5 MBS VAR 25.03.2037 LU0003_LXEUR_7013364_LU0003_LU0003_LXEUR</t>
  </si>
  <si>
    <t>SAIL 2004-8 A1 MBS VAR 25.09.2034_22554568</t>
  </si>
  <si>
    <t>6987699_LU0003_LU0003_LXEUR</t>
  </si>
  <si>
    <t>LU0003 SAIL 2004-7 A7 MBS VAR 25.08.2034 LU0003_LXEUR_6987699_LU0003_LU0003_LXEUR</t>
  </si>
  <si>
    <t>482623_LU0003_LU0003_LXEUR</t>
  </si>
  <si>
    <t>LU0003 CWL 2005-4 AF6 MBS FIX 4.740% 25.10.2035 LU0003_LXEUR_482623_LU0003_LU0003_LXEUR</t>
  </si>
  <si>
    <t>4766563_LU0003_LU0003_LXEUR</t>
  </si>
  <si>
    <t>LU0003 AMSI 2005-R3 M4 MBS VAR 25.05.2035 LU0003_LXEUR_4766563_LU0003_LU0003_LXEUR</t>
  </si>
  <si>
    <t>CWL 2005-15 2AV3 MBS VAR 25.04.2036_22554149</t>
  </si>
  <si>
    <t>SASC 2007-BC1 A4 MBS VAR 25.02.2037_22554243</t>
  </si>
  <si>
    <t>4455214_LU0003_LU0003_LXEUR</t>
  </si>
  <si>
    <t>LU0003 RAAC 2006-SP3 M1 MBS VAR 25.08.2036 LU0003_LXEUR_4455214_LU0003_LU0003_LXEUR</t>
  </si>
  <si>
    <t>4122074_LU0003_LU0003_LXEUR</t>
  </si>
  <si>
    <t>LU0003 BSABS 2006-SD2 M1 MBS VAR 25.06.2036 LU0003_LXEUR_4122074_LU0003_LU0003_LXEUR</t>
  </si>
  <si>
    <t>7116524_LU0003_LU0003_LXEUR</t>
  </si>
  <si>
    <t>LU0003 SASC 2007-WF2 A3 MBS VAR 25.08.2037 LU0003_LXEUR_7116524_LU0003_LU0003_LXEUR</t>
  </si>
  <si>
    <t>6313452_LU0003_LU0003_LXEUR</t>
  </si>
  <si>
    <t>LU0003 PPSI 2005-WCH1 M4 MBS VAR 25.01.2036 LU0003_LXEUR_6313452_LU0003_LU0003_LXEUR</t>
  </si>
  <si>
    <t>FN AL5548 MBS VAR 01.05.2038_14504604</t>
  </si>
  <si>
    <t>16975229_LU0003_LU0003_LXEUR</t>
  </si>
  <si>
    <t>LU0003 CFII 2018-2A A2 ABS VAR 15.08.2030 LU0003_LXEUR_16975229_LU0003_LU0003_LXEUR</t>
  </si>
  <si>
    <t>525297_LU0003_LU0003_LXEUR</t>
  </si>
  <si>
    <t>LU0003 CWL 2004-1 3A MBS VAR 25.04.2034 LU0003_LXEUR_525297_LU0003_LU0003_LXEUR</t>
  </si>
  <si>
    <t>1928752_LU0003_LU0003_LXEUR</t>
  </si>
  <si>
    <t>LU0003 LBMLT 2005-WL3 M1 MBS VAR 25.11.2035 LU0003_LXEUR_1928752_LU0003_LU0003_LXEUR</t>
  </si>
  <si>
    <t>1928968_LU0003_LU0003_LXEUR</t>
  </si>
  <si>
    <t>LU0003 MSAC 2006-WMC1 A2C MBS VAR 25.12.2035 LU0003_LXEUR_1928968_LU0003_LU0003_LXEUR</t>
  </si>
  <si>
    <t>GFORT 2018-4 A2 ABS VAR 15.09.2023_16974047</t>
  </si>
  <si>
    <t>FFML 2005-FF9 A4 MBS VAR 25.10.2035_4172301</t>
  </si>
  <si>
    <t>1928277_LU0003_LU0003_LXEUR</t>
  </si>
  <si>
    <t>LU0003 CWL 2006-1 AV3 MBS VAR 25.07.2036 LU0003_LXEUR_1928277_LU0003_LU0003_LXEUR</t>
  </si>
  <si>
    <t>482236_LU0003_LU0003_LXEUR</t>
  </si>
  <si>
    <t>LU0003 CFAB 2002-2 1A5 MBS STEP 6.333% 25.04.2032 LU0003_LXEUR_482236_LU0003_LU0003_LXEUR</t>
  </si>
  <si>
    <t>7196979_LU0003_LU0003_LXEUR</t>
  </si>
  <si>
    <t>LU0003 RAAC 2006-SP1 M1 MBS VAR 25.09.2045 LU0003_LXEUR_7196979_LU0003_LU0003_LXEUR</t>
  </si>
  <si>
    <t>6058800_LU0003_LU0003_LXEUR</t>
  </si>
  <si>
    <t>LU0003 MLMI 2005-FM1 M1 MBS VAR 25.05.2036 LU0003_LXEUR_6058800_LU0003_LU0003_LXEUR</t>
  </si>
  <si>
    <t>CITM 2007-1 1A MBS VAR 25.10.2037_14071393</t>
  </si>
  <si>
    <t>FG G08831 MBS FIX 4.000% 01.08.2048_22554298</t>
  </si>
  <si>
    <t>6846432_LU0003_LU0003_LXEUR</t>
  </si>
  <si>
    <t>LU0003 FFML 2005-FFH1 M1 MBS VAR 25.06.2036 LU0003_LXEUR_6846432_LU0003_LU0003_LXEUR</t>
  </si>
  <si>
    <t>1921342_LU0003_LU0003_LXEUR</t>
  </si>
  <si>
    <t>LU0003 ARC 2004-1 A5 MBS VAR 25.10.2034 LU0003_LXEUR_1921342_LU0003_LU0003_LXEUR</t>
  </si>
  <si>
    <t>LXS 2005-4 1A3 MBS VAR 25.10.2035_4172303</t>
  </si>
  <si>
    <t>6958102_LU0003_LU0003_LXEUR</t>
  </si>
  <si>
    <t>LU0003 RAMP 2005-EFC5 M2 MBS VAR 25.10.2035 LU0003_LXEUR_6958102_LU0003_LU0003_LXEUR</t>
  </si>
  <si>
    <t>7217343_LU0003_LU0003_LXEUR</t>
  </si>
  <si>
    <t>LU0003 CMLTI 2006-SHL1 M1 MBS VAR 25.11.2045 LU0003_LXEUR_7217343_LU0003_LU0003_LXEUR</t>
  </si>
  <si>
    <t>TPMT 2017-5 A1 MBS VAR 25.02.2057_16974894</t>
  </si>
  <si>
    <t>1921309_LU0003_LU0003_LXEUR</t>
  </si>
  <si>
    <t>LU0003 AMSI 2004-R5 M1 MBS VAR 25.07.2034 LU0003_LXEUR_1921309_LU0003_LU0003_LXEUR</t>
  </si>
  <si>
    <t>CCCIT 2017-A5 A5 ABS VAR 22.04.2026_12488134</t>
  </si>
  <si>
    <t>TPMT 2018-3 A1 MBS FIX 3.750% 25.05.2058_15341920</t>
  </si>
  <si>
    <t>7175530_LU0003_LU0003_LXEUR</t>
  </si>
  <si>
    <t>LU0003 RAAC 2005-RP2 M3 MBS VAR 25.06.2035 LU0003_LXEUR_7175530_LU0003_LU0003_LXEUR</t>
  </si>
  <si>
    <t>1928008_LU0003_LU0003_LXEUR</t>
  </si>
  <si>
    <t>LU0003 AMSI 2005-R7 M2 MBS VAR 25.09.2035 LU0003_LXEUR_1928008_LU0003_LU0003_LXEUR</t>
  </si>
  <si>
    <t>7051864_LU0003_LU0003_LXEUR</t>
  </si>
  <si>
    <t>LU0003 JPMAC 2007-CH2 MV1 MBS VAR 25.01.2037 LU0003_LXEUR_7051864_LU0003_LU0003_LXEUR</t>
  </si>
  <si>
    <t>6981536_LU0003_LU0003_LXEUR</t>
  </si>
  <si>
    <t>LU0003 RAAC 2006-RP1 M2 MBS VAR 25.10.2045 LU0003_LXEUR_6981536_LU0003_LU0003_LXEUR</t>
  </si>
  <si>
    <t>CFII 2018-2A A1 ABS FIX 3.230% 15.08.2030_15510671</t>
  </si>
  <si>
    <t xml:space="preserve">Other Securitizations or Resecuritizations																		</t>
  </si>
  <si>
    <t>21565424_LU0003_LU0003_LXEUR</t>
  </si>
  <si>
    <t>LU0003 STRA 2019-1 A SONIA3M+120BP CX2D90014__GBP LU0003_LXEUR_21565424_LU0003_LU0003_LXEUR</t>
  </si>
  <si>
    <t>Other Securitization</t>
  </si>
  <si>
    <t>4446998_LU0003_LU0003_LXEUR</t>
  </si>
  <si>
    <t>LU0003 ACE 2006-FM2 A2C MBS VAR 25.08.2036 LU0003_LXEUR_4446998_LU0003_LU0003_LXEUR</t>
  </si>
  <si>
    <t>D</t>
  </si>
  <si>
    <t>GNR 2016-H06 FD CMO VAR 20.07.2065_16974686</t>
  </si>
  <si>
    <t>6940150_LU0003_LU0003_LXEUR</t>
  </si>
  <si>
    <t>LU0003 MSRR 2010-R4 4B CMO VAR 26.02.2037 LU0003_LXEUR_6940150_LU0003_LU0003_LXEUR</t>
  </si>
  <si>
    <t>UBSBB 2013-C6 A3FL MBS VAR 10.04.2046_16974966</t>
  </si>
  <si>
    <t>957765_LU0003_LU0003_LXEUR</t>
  </si>
  <si>
    <t>LU0003 RALI 2007-QO2 A1 CMO VAR 25.02.2047 LU0003_LXEUR_957765_LU0003_LU0003_LXEUR</t>
  </si>
  <si>
    <t>CC</t>
  </si>
  <si>
    <t>5003665_LU0003_LU0003_LXEUR</t>
  </si>
  <si>
    <t>LU0003 RALI 2007-QS5 A1 CMO FIX 5.500% 25.03.2037 LU0003_LXEUR_5003665_LU0003_LU0003_LXEUR</t>
  </si>
  <si>
    <t>5400410_LU0003_LU0003_LXEUR</t>
  </si>
  <si>
    <t>LU0003 CWALT 2005-1CB 2A1 CMO FIX 6.000% 25.03.2035 LU0003_LXEUR_5400410_LU0003_LU0003_LXEUR</t>
  </si>
  <si>
    <t>22554433_LU0003_LU0003_LXEUR</t>
  </si>
  <si>
    <t>LU0003 MKSE 2X A 3MEUR+155BP CX2F5R014_IE00BMTRWY37_EUR LU0003_LXEUR_22554433_LU0003_LU0003_LXEUR</t>
  </si>
  <si>
    <t>FNR 2019-53 FA CMO VAR 25.09.2049_18746155</t>
  </si>
  <si>
    <t>22623743_LU0003_LU0003_LXEUR</t>
  </si>
  <si>
    <t>LU0003 GNR 2017-H16 KF 1MLIB+75BP 38375UG53_IE00BMTRWY37_USD LU0003_LXEUR_22623743_LU0003_LU0003_LXEUR</t>
  </si>
  <si>
    <t>SLMA 2005-7 A4 ABS VAR 25.10.2029_1921710</t>
  </si>
  <si>
    <t>22554566_LU0003_LU0003_LXEUR</t>
  </si>
  <si>
    <t>LU0003 WFMBS RECEIVABLE 94986ABB3 WFMBRED19_IE00B0C18065_USD LU0003_LXEUR_22554566_LU0003_LU0003_LXEUR</t>
  </si>
  <si>
    <t>4620769_LU0003_LU0003_LXEUR</t>
  </si>
  <si>
    <t>LU0003 MSHEL 2007-1 A2 MBS VAR 25.12.2036 LU0003_LXEUR_4620769_LU0003_LU0003_LXEUR</t>
  </si>
  <si>
    <t>23914754_LU0003_LU0003_LXEUR</t>
  </si>
  <si>
    <t>LU0003 TRINI 2021-1X A SONIA3M + 85BP CX2RBV012_IE00B5ZR2157_GBP LU0003_LXEUR_23914754_LU0003_LU0003_LXEUR</t>
  </si>
  <si>
    <t>465006_LU0003_LU0003_LXEUR</t>
  </si>
  <si>
    <t>LU0003 WAMU 2005-AR13 A1A1 CMO FLOAT 25.10.45 LU0003_LXEUR_465006_LU0003_LU0003_LXEUR</t>
  </si>
  <si>
    <t>1928446_LU0003_LU0003_LXEUR</t>
  </si>
  <si>
    <t>LU0003 CWL 2007-12 2A3 MBS VAR 25.08.2047 LU0003_LXEUR_1928446_LU0003_LU0003_LXEUR</t>
  </si>
  <si>
    <t>14743026_LU0003_LU0003_LXEUR</t>
  </si>
  <si>
    <t>LU0003 HLA 2015-1A AR CDO VAR 20.04.2027 LU0003_LXEUR_14743026_LU0003_LU0003_LXEUR</t>
  </si>
  <si>
    <t>4455211_LU0003_LU0003_LXEUR</t>
  </si>
  <si>
    <t>LU0003 MABS 2006-FRE2 A5 MBS VAR 25.03.2036 LU0003_LXEUR_4455211_LU0003_LU0003_LXEUR</t>
  </si>
  <si>
    <t>SMB 2015-B A2A ABS FIX 2.980% 15.07.2027_16974123</t>
  </si>
  <si>
    <t>22554464_LU0003_LU0003_LXEUR</t>
  </si>
  <si>
    <t>LU0003 SGSHR 1A A MBS VAR 17.11.2030 LU0003_LXEUR_22554464_LU0003_LU0003_LXEUR</t>
  </si>
  <si>
    <t>4397143_LU0003_LU0003_LXEUR</t>
  </si>
  <si>
    <t>LU0003 JPMAC 2007-CH2 AF2 MBS STEP 4.544% 25.01.2037 LU0003_LXEUR_4397143_LU0003_LU0003_LXEUR</t>
  </si>
  <si>
    <t>4337938_LU0003_LU0003_LXEUR</t>
  </si>
  <si>
    <t>LU0003 CHASE 2005-A2 3A5 CMO FLOAT 25.01.36 LU0003_LXEUR_4337938_LU0003_LU0003_LXEUR</t>
  </si>
  <si>
    <t>FHR 3326 KF CMO VAR 15.06.2037_22554389</t>
  </si>
  <si>
    <t>SVHE 2006-OPT3 M1 MBS VAR 25.06.2036_22623682</t>
  </si>
  <si>
    <t>24139209_LU0003_LU0003_LXEUR</t>
  </si>
  <si>
    <t>LU0003 CGMSE 2014-2X AR1 3MEUR + 75BP CMDF96562_IE00B0C18065_EUR LU0003_LXEUR_24139209_LU0003_LU0003_LXEUR</t>
  </si>
  <si>
    <t>22623658_LU0003_LU0003_LXEUR</t>
  </si>
  <si>
    <t>LU0003 GSAA 2006-17 A1 MBS VAR 25.11.2036 LU0003_LXEUR_22623658_LU0003_LU0003_LXEUR</t>
  </si>
  <si>
    <t>979365_LU0003_LU0003_LXEUR</t>
  </si>
  <si>
    <t>LU0003 WAMU 2006-AR10 1A2 CMO VAR 25.09.2036 LU0003_LXEUR_979365_LU0003_LU0003_LXEUR</t>
  </si>
  <si>
    <t>4442930_LU0003_LU0003_LXEUR</t>
  </si>
  <si>
    <t>LU0003 CBASS 2006-CB6 A24 MBS VAR 25.07.2036 LU0003_LXEUR_4442930_LU0003_LU0003_LXEUR</t>
  </si>
  <si>
    <t>823711_LU0003_LU0003_LXEUR</t>
  </si>
  <si>
    <t>LU0003 BAFC 2006-J 4A1 CMO VAR 20.01.2047 LU0003_LXEUR_823711_LU0003_LU0003_LXEUR</t>
  </si>
  <si>
    <t>20113500_LU0003_LU0003_LXEUR</t>
  </si>
  <si>
    <t>LU0003 GNKGO 2017-SF1 A 1MEUR + 40BPS CX2D9B010_IE00B5ZR2157_EUR LU0003_LXEUR_20113500_LU0003_LU0003_LXEUR</t>
  </si>
  <si>
    <t>20467544_LU0003_LU0003_LXEUR</t>
  </si>
  <si>
    <t>LU0003 NCC 2017-IA A1AS CDO VAR 15.10.2029 LU0003_LXEUR_20467544_LU0003_LU0003_LXEUR</t>
  </si>
  <si>
    <t>6181997_LU0003_LU0003_LXEUR</t>
  </si>
  <si>
    <t>LU0003 MSM 2006-3AR 1A3 CMO VAR 25.03.2036 LU0003_LXEUR_6181997_LU0003_LU0003_LXEUR</t>
  </si>
  <si>
    <t>6378745_LU0003_LU0003_LXEUR</t>
  </si>
  <si>
    <t>LU0003 BSABS 2005-HE4 M2 MBS VAR 25.04.2035 LU0003_LXEUR_6378745_LU0003_LU0003_LXEUR</t>
  </si>
  <si>
    <t>5036233_LU0003_LU0003_LXEUR</t>
  </si>
  <si>
    <t>LU0003 CWHL 2007-HY5 2A1 CMO VAR 25.09.2037 LU0003_LXEUR_5036233_LU0003_LU0003_LXEUR</t>
  </si>
  <si>
    <t>24748852_LU0003_LU0003_LXEUR</t>
  </si>
  <si>
    <t>LU0003 SEGOV 2019-6X AR 3MEUR+88BP CX2B500O2_IE00B0C18065_EUR LU0003_LXEUR_24748852_LU0003_LU0003_LXEUR</t>
  </si>
  <si>
    <t>PHEAA 2016-2A A ABS VAR 25.11.2065_14504645</t>
  </si>
  <si>
    <t>24395177_LU0003_LU0003_LXEUR</t>
  </si>
  <si>
    <t>LU0003 AQUE 2020-5X A 3MEUR + 145BP CX2644016_IE00B5ZR2157_EUR LU0003_LXEUR_24395177_LU0003_LU0003_LXEUR</t>
  </si>
  <si>
    <t>25428212_LU0003_LU0003_LXEUR</t>
  </si>
  <si>
    <t>LU0003 SUMMER BC HOLDCO B SARL BL3676741_IE00B0C18065_EUR LU0003_LXEUR_25428212_LU0003_LU0003_LXEUR</t>
  </si>
  <si>
    <t>4582189_LU0003_LU0003_LXEUR</t>
  </si>
  <si>
    <t>LU0003 RALI 2007-QA2 A1 CMO FLOAT 25.02.37 LU0003_LXEUR_4582189_LU0003_LU0003_LXEUR</t>
  </si>
  <si>
    <t>24748962_LU0003_LU0003_LXEUR</t>
  </si>
  <si>
    <t>LU0003 CSF 2021-2 A SONIA3M + 78BP CX35LD018_IE00BMTRWY37_GBP LU0003_LXEUR_24748962_LU0003_LU0003_LXEUR</t>
  </si>
  <si>
    <t>FNR 2019-42 MF CMO VAR 25.08.2059_18423531</t>
  </si>
  <si>
    <t>GNR 2011-72 AF CMO VAR 20.05.2041_20113245</t>
  </si>
  <si>
    <t>FHR 2408 FP CMO VAR 15.01.2032_7065952</t>
  </si>
  <si>
    <t>1928886_LU0003_LU0003_LXEUR</t>
  </si>
  <si>
    <t>LU0003 MSAC 2005-HE5 M2 ABS FLOAT 25.09.35 LU0003_LXEUR_1928886_LU0003_LU0003_LXEUR</t>
  </si>
  <si>
    <t>FHR 3878 FA CMO VAR 15.04.2041_22554337</t>
  </si>
  <si>
    <t>LXS 2007-18N 2A1 CMO VAR 25.10.2037_22554261</t>
  </si>
  <si>
    <t>20113229_LU0003_LU0003_LXEUR</t>
  </si>
  <si>
    <t>LU0003 BCJAF 10 A2 3MEUR+12 05536A9J0_IE00B5ZR2157_EUR LU0003_LXEUR_20113229_LU0003_LU0003_LXEUR</t>
  </si>
  <si>
    <t>6954684_LU0003_LU0003_LXEUR</t>
  </si>
  <si>
    <t>LU0003 CMLTI 2007-6 1A3A CMO VAR 25.10.2046 LU0003_LXEUR_6954684_LU0003_LU0003_LXEUR</t>
  </si>
  <si>
    <t>24748828_LU0003_LU0003_LXEUR</t>
  </si>
  <si>
    <t>LU0003 CRMN 2014-1A A1AR CDO VAR 22.04.2030 LU0003_LXEUR_24748828_LU0003_LU0003_LXEUR</t>
  </si>
  <si>
    <t>4598274_LU0003_LU0003_LXEUR</t>
  </si>
  <si>
    <t>LU0003 CWALT 2007-7T2 A8 CMO 6.000% 25.04.37 LU0003_LXEUR_4598274_LU0003_LU0003_LXEUR</t>
  </si>
  <si>
    <t>7223153_LU0003_LU0003_LXEUR</t>
  </si>
  <si>
    <t>LU0003 CWL 2004-12 MV5 MBS VAR 25.02.2035 LU0003_LXEUR_7223153_LU0003_LU0003_LXEUR</t>
  </si>
  <si>
    <t>1928438_LU0003_LU0003_LXEUR</t>
  </si>
  <si>
    <t>LU0003 CWL 2007-11 2A3 MBS VAR 25.06.2047 LU0003_LXEUR_1928438_LU0003_LU0003_LXEUR</t>
  </si>
  <si>
    <t>4632726_LU0003_LU0003_LXEUR</t>
  </si>
  <si>
    <t>LU0003 BOAA 2006-6 CB3 CMO FIX 6.000% 25.07.2046 LU0003_LXEUR_4632726_LU0003_LU0003_LXEUR</t>
  </si>
  <si>
    <t>4219960_LU0003_LU0003_LXEUR</t>
  </si>
  <si>
    <t>LU0003 SAIL 2006-BNC3 A3 MBS VAR 25.09.2036 LU0003_LXEUR_4219960_LU0003_LU0003_LXEUR</t>
  </si>
  <si>
    <t>7368414_LU0003_LU0003_LXEUR</t>
  </si>
  <si>
    <t>LU0003 WFHET 2005-2 M7 MBS VAR 25.02.2035 LU0003_LXEUR_7368414_LU0003_LU0003_LXEUR</t>
  </si>
  <si>
    <t>GFUND 2018-1A A1 CMO VAR 25.08.2060_15454220</t>
  </si>
  <si>
    <t>WAMU 2005-AR6 2A1A CMO FLOAT 25.04.45_870799</t>
  </si>
  <si>
    <t>16974988_LU0003_LU0003_LXEUR</t>
  </si>
  <si>
    <t>LU0003 ZAIS1 2014-1A A1AR CDO VAR 15.04.2028 LU0003_LXEUR_16974988_LU0003_LU0003_LXEUR</t>
  </si>
  <si>
    <t>24748815_LU0003_LU0003_LXEUR</t>
  </si>
  <si>
    <t>LU0003 CGMSE 2017-2X A1R 3MEUR + 63BP CX2EQ30L3_IE00B0C18065_EUR LU0003_LXEUR_24748815_LU0003_LU0003_LXEUR</t>
  </si>
  <si>
    <t>4223273_LU0003_LU0003_LXEUR</t>
  </si>
  <si>
    <t>LU0003 WAMU 2006-AR12 3A3 CMO VAR 25.10.2036 LU0003_LXEUR_4223273_LU0003_LU0003_LXEUR</t>
  </si>
  <si>
    <t>G2 80387 MBS VAR 20.03.2030_22554265</t>
  </si>
  <si>
    <t>7512229_LU0003_LU0003_LXEUR</t>
  </si>
  <si>
    <t>LU0003 SASC 2007-MN1A A1 MBS VAR 25.01.2037 LU0003_LXEUR_7512229_LU0003_LU0003_LXEUR</t>
  </si>
  <si>
    <t>CWHL 2007-HYB1 3A1 CMO VAR 25.03.2037_22623674</t>
  </si>
  <si>
    <t>WFRBS 2013-C14 A5 MBS FIX 3.337% 15.06.2046_5168892</t>
  </si>
  <si>
    <t>16974803_LU0003_LU0003_LXEUR</t>
  </si>
  <si>
    <t>LU0003 PSTAT 2018-4A A1 CDO VAR 15.11.2026 LU0003_LXEUR_16974803_LU0003_LU0003_LXEUR</t>
  </si>
  <si>
    <t>FNR 2014-61 FA CMO VAR 25.10.2044_17619867</t>
  </si>
  <si>
    <t>7145187_LU0003_LU0003_LXEUR</t>
  </si>
  <si>
    <t>LU0003 BSARM 2005-3 1A1 CMO VAR 25.06.2035 LU0003_LXEUR_7145187_LU0003_LU0003_LXEUR</t>
  </si>
  <si>
    <t>LBMLT 2005-2 M5 MBS VAR 25.04.2035_22554529</t>
  </si>
  <si>
    <t>23914790_LU0003_LU0003_LXEUR</t>
  </si>
  <si>
    <t>LU0003 OHECP 2015-4X A1R CX276F0P4_IE00B0C18065_EUR LU0003_LXEUR_23914790_LU0003_LU0003_LXEUR</t>
  </si>
  <si>
    <t>4293506_LU0003_LU0003_LXEUR</t>
  </si>
  <si>
    <t>LU0003 CWALT 2005-J14 A3 CMO FIX 5.500% 25.12.2035 LU0003_LXEUR_4293506_LU0003_LU0003_LXEUR</t>
  </si>
  <si>
    <t>23207433_LU0003_LU0003_LXEUR</t>
  </si>
  <si>
    <t>LU0003 NRZT 2018-3A A1 CMO FIX 4.500% 25.05.2058 LU0003_LXEUR_23207433_LU0003_LU0003_LXEUR</t>
  </si>
  <si>
    <t>SOFI 2017-D A2FX ABS FIX 2.650% 25.09.2040_12994210</t>
  </si>
  <si>
    <t>OPMAC 2005-1 M7 CMO VAR 25.02.2035_22554416</t>
  </si>
  <si>
    <t>1929024_LU0003_LU0003_LXEUR</t>
  </si>
  <si>
    <t>LU0003 MSAC 2007-NC1 A2D MBS VAR 25.11.2036 LU0003_LXEUR_1929024_LU0003_LU0003_LXEUR</t>
  </si>
  <si>
    <t>2738640_LU0003_LU0003_LXEUR</t>
  </si>
  <si>
    <t>LU0003 WAMU 2005-AR12 1A6 CMO VAR 25.10.35 LU0003_LXEUR_2738640_LU0003_LU0003_LXEUR</t>
  </si>
  <si>
    <t>6526138_LU0003_LU0003_LXEUR</t>
  </si>
  <si>
    <t>LU0003 MLMI 2007-SD1 A1 MBS VAR 25.02.2047 LU0003_LXEUR_6526138_LU0003_LU0003_LXEUR</t>
  </si>
  <si>
    <t>23531148_LU0003_LU0003_LXEUR</t>
  </si>
  <si>
    <t>LU0003 BECLO 7X AR 3MEUR + 62BP CMED01228_IE00B0C18065_EUR LU0003_LXEUR_23531148_LU0003_LU0003_LXEUR</t>
  </si>
  <si>
    <t>4455197_LU0003_LU0003_LXEUR</t>
  </si>
  <si>
    <t>LU0003 BAFC 2006-3 4A20 CMO FIX 5.750% 25.03.2036 LU0003_LXEUR_4455197_LU0003_LU0003_LXEUR</t>
  </si>
  <si>
    <t>FHR 4579 FD CMO VAR 15.01.2038_14111070</t>
  </si>
  <si>
    <t>NEF 2012-1 A ABS VAR 26.12.2031_7065905</t>
  </si>
  <si>
    <t>GNR 2017-H07 FG CMO VAR 20.02.2067_22623656</t>
  </si>
  <si>
    <t>4172309_LU0003_LU0003_LXEUR</t>
  </si>
  <si>
    <t>LU0003 PCHLT 2005-1 M4 MBS VAR 25.01.2035 LU0003_LXEUR_4172309_LU0003_LU0003_LXEUR</t>
  </si>
  <si>
    <t>8941462_LU0003_LU0003_LXEUR</t>
  </si>
  <si>
    <t>LU0003 MLMI 2003-A2 2A3 CMO VAR 25.03.2033 LU0003_LXEUR_8941462_LU0003_LU0003_LXEUR</t>
  </si>
  <si>
    <t>2555792_LU0003_LU0003_LXEUR</t>
  </si>
  <si>
    <t>LU0003 SAMI 2006-AR7 A11 CMO FLOAT 25.08.36 LU0003_LXEUR_2555792_LU0003_LU0003_LXEUR</t>
  </si>
  <si>
    <t>4296603_LU0003_LU0003_LXEUR</t>
  </si>
  <si>
    <t>LU0003 WFMBS 2006-AR4 1A1 CMO FLOAT 25.04.36 LU0003_LXEUR_4296603_LU0003_LU0003_LXEUR</t>
  </si>
  <si>
    <t>839686_LU0003_LU0003_LXEUR</t>
  </si>
  <si>
    <t>LU0003 MSM 2007-10XS A1 MBS FIX 6.000% 25.02.2037 LU0003_LXEUR_839686_LU0003_LU0003_LXEUR</t>
  </si>
  <si>
    <t>7069331_LU0003_LU0003_LXEUR</t>
  </si>
  <si>
    <t>LU0003 RASC 2006-EMX2 M1 MBS VAR 25.02.2036 LU0003_LXEUR_7069331_LU0003_LU0003_LXEUR</t>
  </si>
  <si>
    <t>7013365_LU0003_LU0003_LXEUR</t>
  </si>
  <si>
    <t>LU0003 GSAA 2007-5 2A1A MBS VAR 25.04.2047 LU0003_LXEUR_7013365_LU0003_LU0003_LXEUR</t>
  </si>
  <si>
    <t>4672932_LU0003_LU0003_LXEUR</t>
  </si>
  <si>
    <t>LU0003 WMABS 2006-HE2 A4 MBS VAR 25.05.2036 LU0003_LXEUR_4672932_LU0003_LU0003_LXEUR</t>
  </si>
  <si>
    <t>FHR 4903 F CMO VAR 15.09.2048_19863506</t>
  </si>
  <si>
    <t>2644309_LU0003_LU0003_LXEUR</t>
  </si>
  <si>
    <t>LU0003 CWALT 2007-19 1A34 CMO 6.000% 25.08.37 LU0003_LXEUR_2644309_LU0003_LU0003_LXEUR</t>
  </si>
  <si>
    <t>20113504_LU0003_LU0003_LXEUR</t>
  </si>
  <si>
    <t>LU0003 STORM 2017-2 A 3MEUR + 60BP CX2E1Q013_IE00B5ZR2157_EUR LU0003_LXEUR_20113504_LU0003_LU0003_LXEUR</t>
  </si>
  <si>
    <t>2931274_LU0003_LU0003_LXEUR</t>
  </si>
  <si>
    <t>LU0003 SARM 2005-21 3A1 CMO VAR 25.11.2035 LU0003_LXEUR_2931274_LU0003_LU0003_LXEUR</t>
  </si>
  <si>
    <t>SOFI 2016-E A1 ABS VAR 25.07.2039_14504641</t>
  </si>
  <si>
    <t>4172310_LU0003_LU0003_LXEUR</t>
  </si>
  <si>
    <t>LU0003 RALI 2007-QA1 A1 CMO FLOAT 25.01.37 LU0003_LXEUR_4172310_LU0003_LU0003_LXEUR</t>
  </si>
  <si>
    <t>501252_LU0003_LU0003_LXEUR</t>
  </si>
  <si>
    <t>LU0003 CWALT 2006-2CB A9 CMO FIX 6.000% 25.03.2036 LU0003_LXEUR_501252_LU0003_LU0003_LXEUR</t>
  </si>
  <si>
    <t>6831728_LU0003_LU0003_LXEUR</t>
  </si>
  <si>
    <t>LU0003 BCAP 2011-RR5 14A6 CMO VAR 26.07.2036 LU0003_LXEUR_6831728_LU0003_LU0003_LXEUR</t>
  </si>
  <si>
    <t>DBCG 2017-BBG A MBS VAR 15.06.2034_14236674</t>
  </si>
  <si>
    <t>24139185_LU0003_LU0003_LXEUR</t>
  </si>
  <si>
    <t>LU0003 OHECP 2018-7X AR 3MEUR + 74BP CMTD28209_IE00B0C18065_EUR LU0003_LXEUR_24139185_LU0003_LU0003_LXEUR</t>
  </si>
  <si>
    <t>6409359_LU0003_LU0003_LXEUR</t>
  </si>
  <si>
    <t>LU0003 CWHL 2006-21 A2 CMO FIX 6.000% 25.02.2037 LU0003_LXEUR_6409359_LU0003_LU0003_LXEUR</t>
  </si>
  <si>
    <t>6905022_LU0003_LU0003_LXEUR</t>
  </si>
  <si>
    <t>LU0003 CMLTI 2005-HE3 M3 MBS VAR 25.09.2035 LU0003_LXEUR_6905022_LU0003_LU0003_LXEUR</t>
  </si>
  <si>
    <t>FNR 2010-153 FD CMO VAR 25.01.2041_22554451</t>
  </si>
  <si>
    <t>GNR 2011-H11 FA CMO VAR 20.03.2061_16974056</t>
  </si>
  <si>
    <t>5223435_LU0003_LU0003_LXEUR</t>
  </si>
  <si>
    <t>LU0003 DORIC NIMROD 2013-1 CL A 144A FIX 5.250% 30.05.2023 LU0003_LXEUR_5223435_LU0003_LU0003_LXEUR</t>
  </si>
  <si>
    <t>4598278_LU0003_LU0003_LXEUR</t>
  </si>
  <si>
    <t>LU0003 HEAT 2005-2 M5 MBS VAR 25.07.2035 LU0003_LXEUR_4598278_LU0003_LU0003_LXEUR</t>
  </si>
  <si>
    <t>BALTA 2005-5 1M2 CMO VAR 25.07.2035_22554172</t>
  </si>
  <si>
    <t>24748796_LU0003_LU0003_LXEUR</t>
  </si>
  <si>
    <t>LU0003 DRYD 2017-52A AR 3MEUR + 86BP 144A CX2DVC0M7_IE00B0C18065_EUR LU0003_LXEUR_24748796_LU0003_LU0003_LXEUR</t>
  </si>
  <si>
    <t>2005165_LU0003_LU0003_LXEUR</t>
  </si>
  <si>
    <t>LU0003 JPMMT 2007-A1 6A1 CMO VAR 25.07.2035 LU0003_LXEUR_2005165_LU0003_LU0003_LXEUR</t>
  </si>
  <si>
    <t>6243552_LU0003_LU0003_LXEUR</t>
  </si>
  <si>
    <t>LU0003 SAMI 2006-AR6 1A1 CMO VAR 25.07.2046 LU0003_LXEUR_6243552_LU0003_LU0003_LXEUR</t>
  </si>
  <si>
    <t>NCMS 2018-RIVA A MBS VAR 15.02.2033_22554254</t>
  </si>
  <si>
    <t>733150_LU0003_LU0003_LXEUR</t>
  </si>
  <si>
    <t>LU0003 LABSM 2007-1 2A1 MBS VAR 25.06.2037 LU0003_LXEUR_733150_LU0003_LU0003_LXEUR</t>
  </si>
  <si>
    <t>2057072_LU0003_LU0003_LXEUR</t>
  </si>
  <si>
    <t>LU0003 CWALT 2006-OA1 2A1 CMO VAR 20.03.2046 LU0003_LXEUR_2057072_LU0003_LU0003_LXEUR</t>
  </si>
  <si>
    <t>6651899_LU0003_LU0003_LXEUR</t>
  </si>
  <si>
    <t>LU0003 MABS 2006-AM3 A3 MBS VAR 25.10.2036 LU0003_LXEUR_6651899_LU0003_LU0003_LXEUR</t>
  </si>
  <si>
    <t>EFSV 2010-1 A2 ABS VAR 25.10.2035_22623646</t>
  </si>
  <si>
    <t>RALI 2005-QA9 CB3 CMO VAR 25.08.2035_22554205</t>
  </si>
  <si>
    <t>BSABS 2005-AQ1 M3 MBS VAR 25.03.2035_22623692</t>
  </si>
  <si>
    <t>FWLS 2015-SC02 1A CMO FIX 3.000% 25.09.2045_22554533</t>
  </si>
  <si>
    <t>FNR 2009-66 FY CMO VAR 25.09.2039_7065940</t>
  </si>
  <si>
    <t>7022849_LU0003_LU0003_LXEUR</t>
  </si>
  <si>
    <t>LU0003 JPMAC 2006-CW2 AV5 MBS VAR 25.08.2036 LU0003_LXEUR_7022849_LU0003_LU0003_LXEUR</t>
  </si>
  <si>
    <t>529587_LU0003_LU0003_LXEUR</t>
  </si>
  <si>
    <t>LU0003 SARM 2005-19XS 1A1 CMO VAR 25.10.2035 LU0003_LXEUR_529587_LU0003_LU0003_LXEUR</t>
  </si>
  <si>
    <t>FHR 4913 FC CMO VAR 15.06.2044_18746159</t>
  </si>
  <si>
    <t>3956394_LU0003_LU0003_LXEUR</t>
  </si>
  <si>
    <t>LU0003 BAFC 2007-B A1 CMO VAR 20.04.2047 LU0003_LXEUR_3956394_LU0003_LU0003_LXEUR</t>
  </si>
  <si>
    <t>23207279_LU0003_LU0003_LXEUR</t>
  </si>
  <si>
    <t>LU0003 AFUND 2021-1 A SONIA3M IR + 90BP CX2PFR011__GBP LU0003_LXEUR_23207279_LU0003_LU0003_LXEUR</t>
  </si>
  <si>
    <t>CWALT 2005-J1 1A8 CMO FIX 5.500% 25.02.2035_22554176</t>
  </si>
  <si>
    <t>GNR 2010-35 AF CMO VAR 20.03.2040_20113240</t>
  </si>
  <si>
    <t>GNR 2015-H04 FA CMO VAR 20.12.2064_16974691</t>
  </si>
  <si>
    <t>LXS 2006-18N A3 CMO VAR 25.12.2036_22554528</t>
  </si>
  <si>
    <t>MSDWC 2003-NC1 M1 MBS VAR 25.11.2032_22623686</t>
  </si>
  <si>
    <t>4163277_LU0003_LU0003_LXEUR</t>
  </si>
  <si>
    <t>LU0003 CWHL 2005-22 3A1 CMO VAR 25.10.2035 LU0003_LXEUR_4163277_LU0003_LU0003_LXEUR</t>
  </si>
  <si>
    <t>FHR 4416 FB CMO VAR 15.01.2040_16974606</t>
  </si>
  <si>
    <t>23531138_LU0003_LU0003_LXEUR</t>
  </si>
  <si>
    <t>LU0003 JUBIL 2016-17X A1RR EUR3M + 65BP CMPI14368__EUR LU0003_LXEUR_23531138_LU0003_LU0003_LXEUR</t>
  </si>
  <si>
    <t>4370349_LU0003_LU0003_LXEUR</t>
  </si>
  <si>
    <t>LU0003 CWALT 2006-6CB 2A11 CMO 5.500% 25.05.36 LU0003_LXEUR_4370349_LU0003_LU0003_LXEUR</t>
  </si>
  <si>
    <t>24748920_LU0003_LU0003_LXEUR</t>
  </si>
  <si>
    <t>LU0003 BNPAM 2018-1X AR 3MEUR + 60BP CX28B20I1_IE00B5ZR2157_EUR LU0003_LXEUR_24748920_LU0003_LU0003_LXEUR</t>
  </si>
  <si>
    <t>MABS 2004-OPT2 A1 MBS VAR 25.09.2034_22554147</t>
  </si>
  <si>
    <t>22281192_LU0003_LU0003_LXEUR</t>
  </si>
  <si>
    <t>LU0003 PSTET 2020-2X A 3MEUR + 87BP REG S CX2G42018_IE00B5ZR2157_EUR LU0003_LXEUR_22281192_LU0003_LU0003_LXEUR</t>
  </si>
  <si>
    <t>6981540_LU0003_LU0003_LXEUR</t>
  </si>
  <si>
    <t>LU0003 AMSI 2005-R1 M4 MBS VAR 25.03.2035 LU0003_LXEUR_6981540_LU0003_LU0003_LXEUR</t>
  </si>
  <si>
    <t>4678850_LU0003_LU0003_LXEUR</t>
  </si>
  <si>
    <t>LU0003 BALTA 2006-3 31A1 CMO FLOAT 25.05.36 LU0003_LXEUR_4678850_LU0003_LU0003_LXEUR</t>
  </si>
  <si>
    <t>CWL 2006-BC3 M2 MBS VAR 25.02.2037_22623672</t>
  </si>
  <si>
    <t>22623647_LU0003_LU0003_LXEUR</t>
  </si>
  <si>
    <t>LU0003 UNIQUE PUB FINANCE CO A4 9087779C1_IE00B0C18065_GBP LU0003_LXEUR_22623647_LU0003_LU0003_LXEUR</t>
  </si>
  <si>
    <t>22623764_LU0003_LU0003_LXEUR</t>
  </si>
  <si>
    <t>LU0003 PHEAA 2006-2 A3 3MLIB+13BP 709163GH6_IE00BMTRWY37_USD LU0003_LXEUR_22623764_LU0003_LU0003_LXEUR</t>
  </si>
  <si>
    <t>FNR 2019-38 FB CMO VAR 25.07.2059_18423529</t>
  </si>
  <si>
    <t>4984077_LU0003_LU0003_LXEUR</t>
  </si>
  <si>
    <t>LU0003 CMALT 2007-A1 1A7 CMO FIX 6.000% 25.01.2037 LU0003_LXEUR_4984077_LU0003_LU0003_LXEUR</t>
  </si>
  <si>
    <t>22554585_LU0003_LU0003_LXEUR</t>
  </si>
  <si>
    <t>LU0003 XAN 2020-RSO9 A MBS VAR 17.04.2037 LU0003_LXEUR_22554585_LU0003_LU0003_LXEUR</t>
  </si>
  <si>
    <t>1928810_LU0003_LU0003_LXEUR</t>
  </si>
  <si>
    <t>LU0003 LBMLT 2006-8 2A2 MBS VAR 25.09.2036 LU0003_LXEUR_1928810_LU0003_LU0003_LXEUR</t>
  </si>
  <si>
    <t>CWALT 2005-21CB A3 CMO FIX 5.250% 25.06.2035_948883</t>
  </si>
  <si>
    <t>6958103_LU0003_LU0003_LXEUR</t>
  </si>
  <si>
    <t>LU0003 OOMLT 2005-3 M3 MBS VAR 25.08.2035 LU0003_LXEUR_6958103_LU0003_LU0003_LXEUR</t>
  </si>
  <si>
    <t>SLCLT 2006-1 A5 ABS VAR 15.03.2027_16974927</t>
  </si>
  <si>
    <t>25094485_LU0003_LU0003_LXEUR</t>
  </si>
  <si>
    <t>LU0003 BOELS TOPHOLDING BV BL3626159_IE00BK9YL094_EUR LU0003_LXEUR_25094485_LU0003_LU0003_LXEUR</t>
  </si>
  <si>
    <t>6604677_LU0003_LU0003_LXEUR</t>
  </si>
  <si>
    <t>LU0003 CSMC 2011-6R 4A2 CMO VAR 28.04.2037 LU0003_LXEUR_6604677_LU0003_LU0003_LXEUR</t>
  </si>
  <si>
    <t>JPALT 2006-A5 1A1 CMO VAR 25.10.2036_13166841</t>
  </si>
  <si>
    <t>NHEL 2007-2 A2B MBS VAR 25.09.2037_22623666</t>
  </si>
  <si>
    <t>GNR 2017-H15 FN CMO VAR 20.07.2067_16974681</t>
  </si>
  <si>
    <t>6243551_LU0003_LU0003_LXEUR</t>
  </si>
  <si>
    <t>LU0003 RASC 2006-EMX3 A3 MBS VAR 25.04.2036 LU0003_LXEUR_6243551_LU0003_LU0003_LXEUR</t>
  </si>
  <si>
    <t>4766645_LU0003_LU0003_LXEUR</t>
  </si>
  <si>
    <t>LU0003 HVMLT 2006-6 3A1A CMO FLOAT 19.08.36 LU0003_LXEUR_4766645_LU0003_LU0003_LXEUR</t>
  </si>
  <si>
    <t>4602130_LU0003_LU0003_LXEUR</t>
  </si>
  <si>
    <t>LU0003 INDX 2005-AR11 A3 CMO FLOAT 25.08.35 LU0003_LXEUR_4602130_LU0003_LU0003_LXEUR</t>
  </si>
  <si>
    <t>22623683_LU0003_LU0003_LXEUR</t>
  </si>
  <si>
    <t>LU0003 RMS 29 A 3MGBP+95BP CX29UE019_IE00B0C18065_GBP LU0003_LXEUR_22623683_LU0003_LU0003_LXEUR</t>
  </si>
  <si>
    <t>6504331_LU0003_LU0003_LXEUR</t>
  </si>
  <si>
    <t>LU0003 SURF 2007-BC2 A2C MBS VAR 25.04.2037 LU0003_LXEUR_6504331_LU0003_LU0003_LXEUR</t>
  </si>
  <si>
    <t>1928932_LU0003_LU0003_LXEUR</t>
  </si>
  <si>
    <t>LU0003 MSAC 2006-HE7 A2C MBS VAR 25.09.2036 LU0003_LXEUR_1928932_LU0003_LU0003_LXEUR</t>
  </si>
  <si>
    <t>FHR 3279 FB CMO VAR 15.02.2037_4797581</t>
  </si>
  <si>
    <t>4530809_LU0003_LU0003_LXEUR</t>
  </si>
  <si>
    <t>LU0003 NHEL 2007-1 A2B MBS VAR 25.03.2037 LU0003_LXEUR_4530809_LU0003_LU0003_LXEUR</t>
  </si>
  <si>
    <t>1928872_LU0003_LU0003_LXEUR</t>
  </si>
  <si>
    <t>LU0003 MSAC 2005-HE1 M2 MBS VAR 25.12.2034 LU0003_LXEUR_1928872_LU0003_LU0003_LXEUR</t>
  </si>
  <si>
    <t>FSQ 2019-3 A CMO VAR 16.12.2069_18850582</t>
  </si>
  <si>
    <t>4557972_LU0003_LU0003_LXEUR</t>
  </si>
  <si>
    <t>LU0003 SARM 2007-5 1A1 CMO VAR 25.06.2037 LU0003_LXEUR_4557972_LU0003_LU0003_LXEUR</t>
  </si>
  <si>
    <t>25094588_LU0003_LU0003_LXEUR</t>
  </si>
  <si>
    <t>LU0003 TIKEH 2015-1X ARR 3MEUR + 87BP CMPH10335_IE00B0C18065_EUR LU0003_LXEUR_25094588_LU0003_LU0003_LXEUR</t>
  </si>
  <si>
    <t>FNR 2007-109 GF CMO VAR 25.12.2037_14504648</t>
  </si>
  <si>
    <t>6718699_LU0003_LU0003_LXEUR</t>
  </si>
  <si>
    <t>LU0003 MSM 2006-8AR 6A1 CMO VAR 25.06.2036 LU0003_LXEUR_6718699_LU0003_LU0003_LXEUR</t>
  </si>
  <si>
    <t>20113529_LU0003_LU0003_LXEUR</t>
  </si>
  <si>
    <t>LU0003 PEPIB 2019-1 A 1MEUR + 51BP CX2I0Q015_IE00B5ZR2157_EUR LU0003_LXEUR_20113529_LU0003_LU0003_LXEUR</t>
  </si>
  <si>
    <t>SLMA 2005-5 A4 ABS VAR 25.10.2028_1921702</t>
  </si>
  <si>
    <t>23207429_LU0003_LU0003_LXEUR</t>
  </si>
  <si>
    <t>LU0003 INEOS US PETROCHEM LLC TL B BL3541341_IE00B0C18065_USD LU0003_LXEUR_23207429_LU0003_LU0003_LXEUR</t>
  </si>
  <si>
    <t>7058157_LU0003_LU0003_LXEUR</t>
  </si>
  <si>
    <t>LU0003 SURF 2006-BC5 A2D MBS VAR 25.11.2037 LU0003_LXEUR_7058157_LU0003_LU0003_LXEUR</t>
  </si>
  <si>
    <t>7216573_LU0003_LU0003_LXEUR</t>
  </si>
  <si>
    <t>LU0003 JPMMT 2005-A2 5A2 CMO VAR 25.04.2035 LU0003_LXEUR_7216573_LU0003_LU0003_LXEUR</t>
  </si>
  <si>
    <t>GNR 2017-H14 FG CMO VAR 20.06.2067_16974062</t>
  </si>
  <si>
    <t>2262830_LU0003_LU0003_LXEUR</t>
  </si>
  <si>
    <t>LU0003 CWHL 2006-J4 A3 CMO FIX 6.250% 25.09.2036 LU0003_LXEUR_2262830_LU0003_LU0003_LXEUR</t>
  </si>
  <si>
    <t>2644497_LU0003_LU0003_LXEUR</t>
  </si>
  <si>
    <t>LU0003 GSR 2006-8F 4A1 CMO FIX 6.500% 25.09.2036 LU0003_LXEUR_2644497_LU0003_LU0003_LXEUR</t>
  </si>
  <si>
    <t>6378759_LU0003_LU0003_LXEUR</t>
  </si>
  <si>
    <t>LU0003 RAMP 2006-RS1 AI3 MBS VAR 25.01.2036 LU0003_LXEUR_6378759_LU0003_LU0003_LXEUR</t>
  </si>
  <si>
    <t>22623650_LU0003_LU0003_LXEUR</t>
  </si>
  <si>
    <t>LU0003 MITCHELLS &amp; BUTLERS FIN SECURED FRN 6066179E0_IE00B0C18065_GBP LU0003_LXEUR_22623650_LU0003_LU0003_LXEUR</t>
  </si>
  <si>
    <t>FHR 4989 FB CMO VAR 15.10.2040_22554179</t>
  </si>
  <si>
    <t>1928449_LU0003_LU0003_LXEUR</t>
  </si>
  <si>
    <t>LU0003 CWL 2007-13 1A MBS VAR 25.10.2047 LU0003_LXEUR_1928449_LU0003_LU0003_LXEUR</t>
  </si>
  <si>
    <t>LBMLT 2005-1 M4 MBS VAR 25.02.2035_7135731</t>
  </si>
  <si>
    <t>22623644_LU0003_LU0003_LXEUR</t>
  </si>
  <si>
    <t>LU0003 TRAFFORD CENTRE FIN LTD AB D2 8762009F5_IE00B0C18065_GBP LU0003_LXEUR_22623644_LU0003_LU0003_LXEUR</t>
  </si>
  <si>
    <t>FNR 2014-42 FA CMO VAR 25.07.2044_16974742</t>
  </si>
  <si>
    <t>TMST 2007-4 2A1 CMO VAR 25.09.2037_2290885</t>
  </si>
  <si>
    <t>6405195_LU0003_LU0003_LXEUR</t>
  </si>
  <si>
    <t>LU0003 CWALT 2006-OC8 2A2B CMO VAR 25.11.2036 LU0003_LXEUR_6405195_LU0003_LU0003_LXEUR</t>
  </si>
  <si>
    <t>FNR 2019-28 FJ CMO VAR 25.06.2059_17849961</t>
  </si>
  <si>
    <t>4165711_LU0003_LU0003_LXEUR</t>
  </si>
  <si>
    <t>LU0003 FFML 2004-FF8 M3 MBS VAR 25.10.2034 LU0003_LXEUR_4165711_LU0003_LU0003_LXEUR</t>
  </si>
  <si>
    <t>4672929_LU0003_LU0003_LXEUR</t>
  </si>
  <si>
    <t>LU0003 CWALT 2006-39CB 1A20 CMO 6.000% 25.01.37 LU0003_LXEUR_4672929_LU0003_LU0003_LXEUR</t>
  </si>
  <si>
    <t>GSR 2005-AR6 1A1 CMO VAR 25.09.2035_870778</t>
  </si>
  <si>
    <t>23207320_LU0003_LU0003_LXEUR</t>
  </si>
  <si>
    <t>LU0003 CONTE 4X AR 3MEUR + 64BP CX2DP30J1_IE00B5ZR2157_EUR LU0003_LXEUR_23207320_LU0003_LU0003_LXEUR</t>
  </si>
  <si>
    <t>CHASE 2007-A1 11M1 CMO FLOAT 25.03.37_1551570</t>
  </si>
  <si>
    <t>4582188_LU0003_LU0003_LXEUR</t>
  </si>
  <si>
    <t>LU0003 POPLR 2006-E A3 MBS VAR 25.01.2037 LU0003_LXEUR_4582188_LU0003_LU0003_LXEUR</t>
  </si>
  <si>
    <t>6018186_LU0003_LU0003_LXEUR</t>
  </si>
  <si>
    <t>LU0003 GSR 2004-7 1A1 CMO VAR 25.06.2034 LU0003_LXEUR_6018186_LU0003_LU0003_LXEUR</t>
  </si>
  <si>
    <t>19863552_LU0003_LU0003_LXEUR</t>
  </si>
  <si>
    <t>LU0003 CENTURYLINK INC TL B 1L USD BL3288513_IE0033386453_USD LU0003_LXEUR_19863552_LU0003_LU0003_LXEUR</t>
  </si>
  <si>
    <t>WAMU 2006-AR10 1A1 CMO VAR 25.09.2036_1551609</t>
  </si>
  <si>
    <t>1921459_LU0003_LU0003_LXEUR</t>
  </si>
  <si>
    <t>LU0003 CWL 2004-1 M1 MBS VAR 25.03.2034 LU0003_LXEUR_1921459_LU0003_LU0003_LXEUR</t>
  </si>
  <si>
    <t>1929023_LU0003_LU0003_LXEUR</t>
  </si>
  <si>
    <t>LU0003 MSAC 2007-NC1 A2C MBS VAR 25.11.2036 LU0003_LXEUR_1929023_LU0003_LU0003_LXEUR</t>
  </si>
  <si>
    <t>4212971_LU0003_LU0003_LXEUR</t>
  </si>
  <si>
    <t>LU0003 HVMLT 2005-3 2A1A CMO VAR 19.06.2035 LU0003_LXEUR_4212971_LU0003_LU0003_LXEUR</t>
  </si>
  <si>
    <t>551350_LU0003_LU0003_LXEUR</t>
  </si>
  <si>
    <t>LU0003 WAMU 2006-AR13 2A CMO FLOAT 25.10.46 LU0003_LXEUR_551350_LU0003_LU0003_LXEUR</t>
  </si>
  <si>
    <t>6399441_LU0003_LU0003_LXEUR</t>
  </si>
  <si>
    <t>LU0003 RAAC 2007-SP3 A2 MBS VAR 25.09.2047 LU0003_LXEUR_6399441_LU0003_LU0003_LXEUR</t>
  </si>
  <si>
    <t>FNR 2019-38 CF CMO VAR 25.07.2049_20113237</t>
  </si>
  <si>
    <t>8829557_LU0003_LU0003_LXEUR</t>
  </si>
  <si>
    <t>LU0003 INDX 2006-AR15 A2 CMO VAR 25.07.2036 LU0003_LXEUR_8829557_LU0003_LU0003_LXEUR</t>
  </si>
  <si>
    <t>14542301_LU0003_LU0003_LXEUR</t>
  </si>
  <si>
    <t>LU0003 TELOS 2014-5A A1R CDO VAR 17.04.2028 LU0003_LXEUR_14542301_LU0003_LU0003_LXEUR</t>
  </si>
  <si>
    <t>4477174_LU0003_LU0003_LXEUR</t>
  </si>
  <si>
    <t>LU0003 CSMC 2007-3 2A19 CMO FIX 6.000% 25.04.2037 LU0003_LXEUR_4477174_LU0003_LU0003_LXEUR</t>
  </si>
  <si>
    <t>20113317_LU0003_LU0003_LXEUR</t>
  </si>
  <si>
    <t>LU0003 KANTAR (SUMMER HLD B) TL B 1L BL3185131_IE00BK9YL094_USD LU0003_LXEUR_20113317_LU0003_LU0003_LXEUR</t>
  </si>
  <si>
    <t>4966239_LU0003_LU0003_LXEUR</t>
  </si>
  <si>
    <t>LU0003 NHEL 2004-4 M6 MBS VAR 25.03.2035 LU0003_LXEUR_4966239_LU0003_LU0003_LXEUR</t>
  </si>
  <si>
    <t>FNR 2001-46 F CMO VAR 18.09.2031_7065945</t>
  </si>
  <si>
    <t>JPMCC 2018-PHH A MBS VAR 15.06.2035_15176542</t>
  </si>
  <si>
    <t>4598262_LU0003_LU0003_LXEUR</t>
  </si>
  <si>
    <t>LU0003 WMALT 2007-HY1 A2A CMO VAR 25.02.2037 LU0003_LXEUR_4598262_LU0003_LU0003_LXEUR</t>
  </si>
  <si>
    <t>CMLTI 2006-AR7 1A3A CMO VAR 25.07.2046_1551572</t>
  </si>
  <si>
    <t>WAMU 2006-AR16 1A1 CMO FLOAT 25.12.36_1551579</t>
  </si>
  <si>
    <t>FNR 2019-60 WF CMO VAR 25.10.2059_19863502</t>
  </si>
  <si>
    <t>22554393_LU0003_LU0003_LXEUR</t>
  </si>
  <si>
    <t>LU0003 NHEL 2007-1 A2A MBS VAR 25.03.2037 LU0003_LXEUR_22554393_LU0003_LU0003_LXEUR</t>
  </si>
  <si>
    <t>7288734_LU0003_LU0003_LXEUR</t>
  </si>
  <si>
    <t>LU0003 CHASE 2007-A1 11A4 CMO VAR 25.03.2037 LU0003_LXEUR_7288734_LU0003_LU0003_LXEUR</t>
  </si>
  <si>
    <t>1921247_LU0003_LU0003_LXEUR</t>
  </si>
  <si>
    <t>LU0003 MSAC 2003-NC8 M1 MBS VAR 25.09.2033 LU0003_LXEUR_1921247_LU0003_LU0003_LXEUR</t>
  </si>
  <si>
    <t>4688664_LU0003_LU0003_LXEUR</t>
  </si>
  <si>
    <t>LU0003 HASC 2006-NC1 2A CMO VAR 25.11.2035 LU0003_LXEUR_4688664_LU0003_LU0003_LXEUR</t>
  </si>
  <si>
    <t>4337949_LU0003_LU0003_LXEUR</t>
  </si>
  <si>
    <t>LU0003 OOMLT 2007-6 2A4 MBS VAR 25.07.2037 LU0003_LXEUR_4337949_LU0003_LU0003_LXEUR</t>
  </si>
  <si>
    <t>3764549_LU0003_LU0003_LXEUR</t>
  </si>
  <si>
    <t>LU0003 INABS 2007-A 2A3 MBS VAR 25.04.2037 LU0003_LXEUR_3764549_LU0003_LU0003_LXEUR</t>
  </si>
  <si>
    <t>2931256_LU0003_LU0003_LXEUR</t>
  </si>
  <si>
    <t>LU0003 JPMMT 2007-A4 3A3 CMO VAR 25.06.2037 LU0003_LXEUR_2931256_LU0003_LU0003_LXEUR</t>
  </si>
  <si>
    <t>WAMU 2006-AR9 1A CMO VAR 25.08.2046_741516</t>
  </si>
  <si>
    <t>SMB 2015-B A2B ABS VAR 15.07.2027_17849852</t>
  </si>
  <si>
    <t>2523738_LU0003_LU0003_LXEUR</t>
  </si>
  <si>
    <t>LU0003 CMLTI 2007-OPX1 A1B MBS VAR 25.01.2037 LU0003_LXEUR_2523738_LU0003_LU0003_LXEUR</t>
  </si>
  <si>
    <t>3923853_LU0003_LU0003_LXEUR</t>
  </si>
  <si>
    <t>LU0003 OPMAC 2005-5 1APT CMO VAR 25.12.2035 LU0003_LXEUR_3923853_LU0003_LU0003_LXEUR</t>
  </si>
  <si>
    <t>20113390_LU0003_LU0003_LXEUR</t>
  </si>
  <si>
    <t>LU0003 PMF 2020-1B A1 1MSONIA+93BP CX2LTI015_IE00B5ZR2157_GBP LU0003_LXEUR_20113390_LU0003_LU0003_LXEUR</t>
  </si>
  <si>
    <t>747726_LU0003_LU0003_LXEUR</t>
  </si>
  <si>
    <t>LU0003 WAMU 2007-OA6 1A CMO FLOAT 25.07.47 LU0003_LXEUR_747726_LU0003_LU0003_LXEUR</t>
  </si>
  <si>
    <t>6986131_LU0003_LU0003_LXEUR</t>
  </si>
  <si>
    <t>LU0003 CWALT 2006-OC10 2A2A CMO VAR 25.11.2036 LU0003_LXEUR_6986131_LU0003_LU0003_LXEUR</t>
  </si>
  <si>
    <t>FHR 4839 UF CMO VAR 15.08.2056_22554582</t>
  </si>
  <si>
    <t>SLMA 2012-3 A ABS VAR 27.12.2038_4313837</t>
  </si>
  <si>
    <t>22554279_LU0003_LU0003_LXEUR</t>
  </si>
  <si>
    <t>LU0003 GLGE 2X A1R 3MEUR + 87BP CX25KA0J7__EUR LU0003_LXEUR_22554279_LU0003_LU0003_LXEUR</t>
  </si>
  <si>
    <t>1928308_LU0003_LU0003_LXEUR</t>
  </si>
  <si>
    <t>LU0003 CWL 2006-18 2A2 MBS VAR 25.03.2037 LU0003_LXEUR_1928308_LU0003_LU0003_LXEUR</t>
  </si>
  <si>
    <t>2644308_LU0003_LU0003_LXEUR</t>
  </si>
  <si>
    <t>LU0003 CWALT 2007-9T1 2A3 CMO 6.000% 25.05.37 LU0003_LXEUR_2644308_LU0003_LU0003_LXEUR</t>
  </si>
  <si>
    <t>23914545_LU0003_LU0003_LXEUR</t>
  </si>
  <si>
    <t>LU0003 HARVT 21X A1R 3MEUR + 76BP CX21J40P8_IE00B0C18065_EUR LU0003_LXEUR_23914545_LU0003_LU0003_LXEUR</t>
  </si>
  <si>
    <t>GFUND 2017-1A A1A CMO VAR 19.12.2059_16974053</t>
  </si>
  <si>
    <t>506410_LU0003_LU0003_LXEUR</t>
  </si>
  <si>
    <t>LU0003 CWL 2006-1 AF5 MBS STEP 4.553% 25.07.2036 LU0003_LXEUR_506410_LU0003_LU0003_LXEUR</t>
  </si>
  <si>
    <t>BRASS 10A A1 CMO FIX TO FLOAT 0.669% 16.04.2069_24139330</t>
  </si>
  <si>
    <t>1928542_LU0003_LU0003_LXEUR</t>
  </si>
  <si>
    <t>LU0003 FFML 2006-FF12 A4 MBS VAR 25.09.2036 LU0003_LXEUR_1928542_LU0003_LU0003_LXEUR</t>
  </si>
  <si>
    <t>2145334_LU0003_LU0003_LXEUR</t>
  </si>
  <si>
    <t>LU0003 CWHL 2004-HYB5 2A1 CMO VAR 20.04.2035 LU0003_LXEUR_2145334_LU0003_LU0003_LXEUR</t>
  </si>
  <si>
    <t>2128703_LU0003_LU0003_LXEUR</t>
  </si>
  <si>
    <t>LU0003 GSR 2006-3F 2A3 CMO FIX 5.750% 25.03.2036 LU0003_LXEUR_2128703_LU0003_LU0003_LXEUR</t>
  </si>
  <si>
    <t>23914757_LU0003_LU0003_LXEUR</t>
  </si>
  <si>
    <t>LU0003 GRIPK 1X A1RA 3MEUR + 72BP CM8A68477_IE00B0C18065_EUR LU0003_LXEUR_23914757_LU0003_LU0003_LXEUR</t>
  </si>
  <si>
    <t>4165682_LU0003_LU0003_LXEUR</t>
  </si>
  <si>
    <t>LU0003 ABSHE 2003-HE4 M1 MBS VAR 15.08.2033 LU0003_LXEUR_4165682_LU0003_LU0003_LXEUR</t>
  </si>
  <si>
    <t>2931259_LU0003_LU0003_LXEUR</t>
  </si>
  <si>
    <t>LU0003 LXS 2006-14N 1A2 CMO VAR 25.09.2046 LU0003_LXEUR_2931259_LU0003_LU0003_LXEUR</t>
  </si>
  <si>
    <t>24395124_LU0003_LU0003_LXEUR</t>
  </si>
  <si>
    <t>LU0003 HARVT 11X ARR 3MEUR + 65BP CM5F98302_IE00B5ZR2157_EUR LU0003_LXEUR_24395124_LU0003_LU0003_LXEUR</t>
  </si>
  <si>
    <t>7073811_LU0003_LU0003_LXEUR</t>
  </si>
  <si>
    <t>LU0003 SABR 2005-FR5 M1 MBS VAR 25.08.2035 LU0003_LXEUR_7073811_LU0003_LU0003_LXEUR</t>
  </si>
  <si>
    <t>4626440_LU0003_LU0003_LXEUR</t>
  </si>
  <si>
    <t>LU0003 RALI 2006-QS6 1A16 CMO 6.000% 25.06.36 LU0003_LXEUR_4626440_LU0003_LU0003_LXEUR</t>
  </si>
  <si>
    <t>4877523_LU0003_LU0003_LXEUR</t>
  </si>
  <si>
    <t>LU0003 CWALT 2006-22R 1A9 CMO 6.000% 25.05.36 LU0003_LXEUR_4877523_LU0003_LU0003_LXEUR</t>
  </si>
  <si>
    <t>22554410_LU0003_LU0003_LXEUR</t>
  </si>
  <si>
    <t>LU0003 PARGN 26 A1 SONIO + 105BP CX2B66018_IE00B5ZR2157_GBP LU0003_LXEUR_22554410_LU0003_LU0003_LXEUR</t>
  </si>
  <si>
    <t>4620765_LU0003_LU0003_LXEUR</t>
  </si>
  <si>
    <t>LU0003 CWALT 2006-45T1 1A11 CMO 6.000% 25.02.37 LU0003_LXEUR_4620765_LU0003_LU0003_LXEUR</t>
  </si>
  <si>
    <t>SLMA 2008-7 A4 ABS VAR 25.07.2023_2986441</t>
  </si>
  <si>
    <t>4557969_LU0003_LU0003_LXEUR</t>
  </si>
  <si>
    <t>LU0003 MSM 2006-6AR 4A1 CMO VAR 25.05.2036 LU0003_LXEUR_4557969_LU0003_LU0003_LXEUR</t>
  </si>
  <si>
    <t>6263983_LU0003_LU0003_LXEUR</t>
  </si>
  <si>
    <t>LU0003 SARM 2006-9 1A1 CMO VAR 25.10.2036 LU0003_LXEUR_6263983_LU0003_LU0003_LXEUR</t>
  </si>
  <si>
    <t>22554370_LU0003_LU0003_LXEUR</t>
  </si>
  <si>
    <t>LU0003 ZIGGO BV SR SEC TL H 1L BL3193739_IE00B0C18065_EUR LU0003_LXEUR_22554370_LU0003_LU0003_LXEUR</t>
  </si>
  <si>
    <t>VNDO 2012-6AVE A MBS FIX 2.996% 15.11.2030_4530720</t>
  </si>
  <si>
    <t>CSMC 2017-CHOP A MBS VAR 15.07.2032_22623701</t>
  </si>
  <si>
    <t>4417296_LU0003_LU0003_LXEUR</t>
  </si>
  <si>
    <t>LU0003 FHLT 2006-3 IIA3 CMO VAR 25.02.2037 LU0003_LXEUR_4417296_LU0003_LU0003_LXEUR</t>
  </si>
  <si>
    <t>22281263_LU0003_LU0003_LXEUR</t>
  </si>
  <si>
    <t>LU0003 SMB 2020-PTB A1 ABS VAR 15.09.2054 LU0003_LXEUR_22281263_LU0003_LU0003_LXEUR</t>
  </si>
  <si>
    <t>13245191_LU0003_LU0003_LXEUR</t>
  </si>
  <si>
    <t>LU0003 WINDR 2015-2A A1R CDO VAR 15.10.2027 LU0003_LXEUR_13245191_LU0003_LU0003_LXEUR</t>
  </si>
  <si>
    <t>JPMCC 2018-AON A MBS FIX 4.128% 05.07.2031_14902956</t>
  </si>
  <si>
    <t>24395213_LU0003_LU0003_LXEUR</t>
  </si>
  <si>
    <t>LU0003 BLUME 3X A2R WM26 WC3.6831 CX27RT0P1_IE00B0C18065_EUR LU0003_LXEUR_24395213_LU0003_LU0003_LXEUR</t>
  </si>
  <si>
    <t>FHR 3876 DF CMO VAR 15.06.2041_14504618</t>
  </si>
  <si>
    <t>7299173_LU0003_LU0003_LXEUR</t>
  </si>
  <si>
    <t>LU0003 SABR 2006-HE2 A1 MBS VAR 25.07.2036 LU0003_LXEUR_7299173_LU0003_LU0003_LXEUR</t>
  </si>
  <si>
    <t>GNR 2017-H14 FD CMO VAR 20.06.2067_16974680</t>
  </si>
  <si>
    <t>20113370_LU0003_LU0003_LXEUR</t>
  </si>
  <si>
    <t>LU0003 STEP 4 A 3MEUR +72BP CX2ATU012__EUR LU0003_LXEUR_20113370_LU0003_LU0003_LXEUR</t>
  </si>
  <si>
    <t>FHR 5092 XA CMO FIX 1.000% 15.01.2041_23954151</t>
  </si>
  <si>
    <t>22554233_LU0003_LU0003_LXEUR</t>
  </si>
  <si>
    <t>LU0003 CRNCL 2016-7X A1R 3MEUR + 67BP CX29HG0K7_IE00B5ZR2157_EUR LU0003_LXEUR_22554233_LU0003_LU0003_LXEUR</t>
  </si>
  <si>
    <t>4577930_LU0003_LU0003_LXEUR</t>
  </si>
  <si>
    <t>LU0003 WMALT 2005-9 2A2 CMO FIX 5.500% 25.11.2035 LU0003_LXEUR_4577930_LU0003_LU0003_LXEUR</t>
  </si>
  <si>
    <t>LBMLT 2005-WL1 M4 MBS VAR 25.06.2035_7242714</t>
  </si>
  <si>
    <t>1929284_LU0003_LU0003_LXEUR</t>
  </si>
  <si>
    <t>LU0003 SAIL 2006-3 A5 MBS VAR 25.06.2036 LU0003_LXEUR_1929284_LU0003_LU0003_LXEUR</t>
  </si>
  <si>
    <t>16974290_LU0003_LU0003_LXEUR</t>
  </si>
  <si>
    <t>LU0003 MARSS 2014-1 A1 3MEUR+130BP CM4G60012_IE00B3D1YW09_EUR LU0003_LXEUR_16974290_LU0003_LU0003_LXEUR</t>
  </si>
  <si>
    <t>GNR 2010-4 FM CMO VAR 16.01.2040_20113239</t>
  </si>
  <si>
    <t>6399437_LU0003_LU0003_LXEUR</t>
  </si>
  <si>
    <t>LU0003 BCAP 2007-AA3 2A1A CMO VAR 25.05.2047 LU0003_LXEUR_6399437_LU0003_LU0003_LXEUR</t>
  </si>
  <si>
    <t>1874611_LU0003_LU0003_LXEUR</t>
  </si>
  <si>
    <t>LU0003 JPMMT 2005-A8 2A3 CMO VAR 25.11.35 LU0003_LXEUR_1874611_LU0003_LU0003_LXEUR</t>
  </si>
  <si>
    <t>7170913_LU0003_LU0003_LXEUR</t>
  </si>
  <si>
    <t>LU0003 SASC 2005-AR1 M2 MBS VAR 25.09.2035 LU0003_LXEUR_7170913_LU0003_LU0003_LXEUR</t>
  </si>
  <si>
    <t>20113271_LU0003_LU0003_LXEUR</t>
  </si>
  <si>
    <t>LU0003 SLMA 2003-5 A5 3MEUR+27 78442H9A4__EUR LU0003_LXEUR_20113271_LU0003_LU0003_LXEUR</t>
  </si>
  <si>
    <t>NAVSL 2017-2A A ABS VAR 27.12.2066_12130969</t>
  </si>
  <si>
    <t>22062062_LU0003_LU0003_LXEUR</t>
  </si>
  <si>
    <t>LU0003 AVON 2X A SONIA3M + 90BP CX2CGR019__GBP LU0003_LXEUR_22062062_LU0003_LU0003_LXEUR</t>
  </si>
  <si>
    <t>7062463_LU0003_LU0003_LXEUR</t>
  </si>
  <si>
    <t>LU0003 JPMMT 2005-S3 1A11 CMO FIX 6.000% 25.01.2036 LU0003_LXEUR_7062463_LU0003_LU0003_LXEUR</t>
  </si>
  <si>
    <t>24748914_LU0003_LU0003_LXEUR</t>
  </si>
  <si>
    <t>LU0003 CGMSE 2017-3X A1R 3MEUR + 70BP CX2IO90M1_IE00B0C18065_EUR LU0003_LXEUR_24748914_LU0003_LU0003_LXEUR</t>
  </si>
  <si>
    <t>4105206_LU0003_LU0003_LXEUR</t>
  </si>
  <si>
    <t>LU0003 RALI 2006-QA8 A1 CMO FLOAT 25.09.36 LU0003_LXEUR_4105206_LU0003_LU0003_LXEUR</t>
  </si>
  <si>
    <t>1929116_LU0003_LU0003_LXEUR</t>
  </si>
  <si>
    <t>LU0003 PPSI 2005-WHQ4 M1 MBS VAR 25.09.2035 LU0003_LXEUR_1929116_LU0003_LU0003_LXEUR</t>
  </si>
  <si>
    <t>RALI 2006-QO5 1A1 CMO VAR 25.05.2046_22554075</t>
  </si>
  <si>
    <t>2734281_LU0003_LU0003_LXEUR</t>
  </si>
  <si>
    <t>LU0003 NCHET 2006-1 A2B MBS VAR 25.05.2036 LU0003_LXEUR_2734281_LU0003_LU0003_LXEUR</t>
  </si>
  <si>
    <t>7116517_LU0003_LU0003_LXEUR</t>
  </si>
  <si>
    <t>LU0003 CWALT 2005-16 A3 CMO VAR 25.06.2035 LU0003_LXEUR_7116517_LU0003_LU0003_LXEUR</t>
  </si>
  <si>
    <t>AA BOND CO LTD EMTN FIX 4.875% 31.07.2024_15086004</t>
  </si>
  <si>
    <t>4602537_LU0003_LU0003_LXEUR</t>
  </si>
  <si>
    <t>LU0003 JPALT 2008-R3 3A1 CMO FIX 5.831% 26.05.2037 LU0003_LXEUR_4602537_LU0003_LU0003_LXEUR</t>
  </si>
  <si>
    <t>CWL 2007-SEA1 1A1 MBS VAR 25.05.2047_22623670</t>
  </si>
  <si>
    <t>22554182_LU0003_LU0003_LXEUR</t>
  </si>
  <si>
    <t>LU0003 ALTICE FINANCING SA TL 1L BL2543645__USD LU0003_LXEUR_22554182_LU0003_LU0003_LXEUR</t>
  </si>
  <si>
    <t>1928321_LU0003_LU0003_LXEUR</t>
  </si>
  <si>
    <t>LU0003 CWL 2006-2 M1 MBS VAR 25.06.2036 LU0003_LXEUR_1928321_LU0003_LU0003_LXEUR</t>
  </si>
  <si>
    <t>24139339_LU0003_LU0003_LXEUR</t>
  </si>
  <si>
    <t>LU0003 FNGAL 1 A 3MEUR+100BP CM4F06017_IE00B5ZR2157_EUR LU0003_LXEUR_24139339_LU0003_LU0003_LXEUR</t>
  </si>
  <si>
    <t>4834612_LU0003_LU0003_LXEUR</t>
  </si>
  <si>
    <t>LU0003 INDA 2005-AR1 1A1 CMO VAR 25.11.2035 LU0003_LXEUR_4834612_LU0003_LU0003_LXEUR</t>
  </si>
  <si>
    <t>22554049_LU0003_LU0003_LXEUR</t>
  </si>
  <si>
    <t>LU0003 STRA 2020-1 A SONIA3M+90BP REGS CX2405012_IE00BMTRWY37_GBP LU0003_LXEUR_22554049_LU0003_LU0003_LXEUR</t>
  </si>
  <si>
    <t>G2 80378 MBS VAR 20.02.2030_22554573</t>
  </si>
  <si>
    <t>23914822_LU0003_LU0003_LXEUR</t>
  </si>
  <si>
    <t>LU0003 BCCE 2018-2X AR 3MEUR + 74BP CM5A26205_IE00B0C18065_EUR LU0003_LXEUR_23914822_LU0003_LU0003_LXEUR</t>
  </si>
  <si>
    <t>GNR 2019-44 FE CMO VAR 20.04.2049_17619850</t>
  </si>
  <si>
    <t>MSBAM 2016-C30 ASB MBS FIX 2.729% 15.09.2049_11248835</t>
  </si>
  <si>
    <t>1928424_LU0003_LU0003_LXEUR</t>
  </si>
  <si>
    <t>LU0003 CWL 2007-1 2A3 MBS VAR 25.07.2037 LU0003_LXEUR_1928424_LU0003_LU0003_LXEUR</t>
  </si>
  <si>
    <t>6378760_LU0003_LU0003_LXEUR</t>
  </si>
  <si>
    <t>LU0003 SABR 2006-NC1 A3 MBS VAR 25.03.2036 LU0003_LXEUR_6378760_LU0003_LU0003_LXEUR</t>
  </si>
  <si>
    <t>SOFI 2017-A A1 ABS VAR 26.03.2040_21027851</t>
  </si>
  <si>
    <t>23914569_LU0003_LU0003_LXEUR</t>
  </si>
  <si>
    <t>LU0003 HARVT 21X A2R WM26 WC3.7457 CX21J40S2_IE00B0C18065_EUR LU0003_LXEUR_23914569_LU0003_LU0003_LXEUR</t>
  </si>
  <si>
    <t>21565431_LU0003_LU0003_LXEUR</t>
  </si>
  <si>
    <t>LU0003 TWRBG 2020-1 A SONI3M+137BP CMBI92013_IE00B5ZR2157_GBP LU0003_LXEUR_21565431_LU0003_LU0003_LXEUR</t>
  </si>
  <si>
    <t>INDA 2006-AR3 1A1 CMO VAR 25.12.2036_2008450</t>
  </si>
  <si>
    <t>1931827_LU0003_LU0003_LXEUR</t>
  </si>
  <si>
    <t>LU0003 FNR 2000-34 F CMO VAR 25.10.2030 LU0003_LXEUR_1931827_LU0003_LU0003_LXEUR</t>
  </si>
  <si>
    <t>22554222_LU0003_LU0003_LXEUR</t>
  </si>
  <si>
    <t>LU0003 VENTR 2015-21A AR CDO VAR 15.07.2027 LU0003_LXEUR_22554222_LU0003_LU0003_LXEUR</t>
  </si>
  <si>
    <t>9099904_LU0003_LU0003_LXEUR</t>
  </si>
  <si>
    <t>LU0003 CMLTI 2007-AMC3 A1 MBS VAR 25.03.2037 LU0003_LXEUR_9099904_LU0003_LU0003_LXEUR</t>
  </si>
  <si>
    <t>22554100_LU0003_LU0003_LXEUR</t>
  </si>
  <si>
    <t>LU0003 CRKST 1X AA1R 3MEUR + 59BPS CX27CO0L7_IE00BMTRWY37_EUR LU0003_LXEUR_22554100_LU0003_LU0003_LXEUR</t>
  </si>
  <si>
    <t>22134373_LU0003_LU0003_LXEUR</t>
  </si>
  <si>
    <t>LU0003 PRET 2020-RPL2 A1 MBS STEP 3.179% 27.06.2069 LU0003_LXEUR_22134373_LU0003_LU0003_LXEUR</t>
  </si>
  <si>
    <t>MSBAM 2015-C25 ASB MBS FIX 3.383% 15.10.2048_9460743</t>
  </si>
  <si>
    <t>4191535_LU0003_LU0003_LXEUR</t>
  </si>
  <si>
    <t>LU0003 CWHL 2005-HYB8 1A1 CMO VAR 20.12.2035 LU0003_LXEUR_4191535_LU0003_LU0003_LXEUR</t>
  </si>
  <si>
    <t>16974396_LU0003_LU0003_LXEUR</t>
  </si>
  <si>
    <t>LU0003 DIVERSEY (DIAMOND BC BV) TL BL2482646_IE00B3D1YW09_USD LU0003_LXEUR_16974396_LU0003_LU0003_LXEUR</t>
  </si>
  <si>
    <t>23914452_LU0003_LU0003_LXEUR</t>
  </si>
  <si>
    <t>LU0003 GLGE 5X A1R 3MEUR + 69BP CX291G123_IE00B0C18065_EUR LU0003_LXEUR_23914452_LU0003_LU0003_LXEUR</t>
  </si>
  <si>
    <t>GNR 2019-31 CF CMO VAR 20.03.2049_17619849</t>
  </si>
  <si>
    <t>3960050_LU0003_LU0003_LXEUR</t>
  </si>
  <si>
    <t>LU0003 AHM 2005-2 1A1 CMO VAR 25.09.2045 LU0003_LXEUR_3960050_LU0003_LU0003_LXEUR</t>
  </si>
  <si>
    <t>2025620_LU0003_LU0003_LXEUR</t>
  </si>
  <si>
    <t>LU0003 SARM 2005-18 1A1 CMO VAR 25.09.2035 LU0003_LXEUR_2025620_LU0003_LU0003_LXEUR</t>
  </si>
  <si>
    <t>FNR 2010-2 GF CMO VAR 25.12.2049_22554498</t>
  </si>
  <si>
    <t>7379414_LU0003_LU0003_LXEUR</t>
  </si>
  <si>
    <t>LU0003 RASC 2005-EMX5 A3 MBS VAR 25.12.2035 LU0003_LXEUR_7379414_LU0003_LU0003_LXEUR</t>
  </si>
  <si>
    <t>2976790_LU0003_LU0003_LXEUR</t>
  </si>
  <si>
    <t>LU0003 BAFC 2007-6 A1 CMO FLOAT 25.07.37 LU0003_LXEUR_2976790_LU0003_LU0003_LXEUR</t>
  </si>
  <si>
    <t>2931281_LU0003_LU0003_LXEUR</t>
  </si>
  <si>
    <t>LU0003 WMLT 2007-A 3A1 CMO VAR 20.03.2037 LU0003_LXEUR_2931281_LU0003_LU0003_LXEUR</t>
  </si>
  <si>
    <t>843694_LU0003_LU0003_LXEUR</t>
  </si>
  <si>
    <t>LU0003 FNLC 2007-1 A1 MBS VAR 25.08.2037 LU0003_LXEUR_843694_LU0003_LU0003_LXEUR</t>
  </si>
  <si>
    <t>7313747_LU0003_LU0003_LXEUR</t>
  </si>
  <si>
    <t>LU0003 INABS 2006-D 1A MBS VAR 25.11.2036 LU0003_LXEUR_7313747_LU0003_LU0003_LXEUR</t>
  </si>
  <si>
    <t>7468095_LU0003_LU0003_LXEUR</t>
  </si>
  <si>
    <t>LU0003 JPMMT 2005-A8 2A6 CMO VAR 25.11.2035 LU0003_LXEUR_7468095_LU0003_LU0003_LXEUR</t>
  </si>
  <si>
    <t>FNR 2008-12 FA CMO VAR 25.03.2038_22554335</t>
  </si>
  <si>
    <t>20113274_LU0003_LU0003_LXEUR</t>
  </si>
  <si>
    <t>LU0003 FSQ 2020-1X A SONIA3M + 80BP CM2C26014_IE00B5ZR2157_GBP LU0003_LXEUR_20113274_LU0003_LU0003_LXEUR</t>
  </si>
  <si>
    <t>4546083_LU0003_LU0003_LXEUR</t>
  </si>
  <si>
    <t>LU0003 SURF 2006-BC2 A2D MBS STEP 3.425% 25.02.2037 LU0003_LXEUR_4546083_LU0003_LU0003_LXEUR</t>
  </si>
  <si>
    <t>23531266_LU0003_LU0003_LXEUR</t>
  </si>
  <si>
    <t>LU0003 CORDA 11X AR 3MEUR + 65BP CX25810K8_IE00B0C18065_EUR LU0003_LXEUR_23531266_LU0003_LU0003_LXEUR</t>
  </si>
  <si>
    <t>SLMA 2013-2 A ABS VAR 25.06.2043_8842287</t>
  </si>
  <si>
    <t>4365730_LU0003_LU0003_LXEUR</t>
  </si>
  <si>
    <t>LU0003 WAMU 2004-AR2 A CMO VAR 25.04.2044 LU0003_LXEUR_4365730_LU0003_LU0003_LXEUR</t>
  </si>
  <si>
    <t>11298582_LU0003_LU0003_LXEUR</t>
  </si>
  <si>
    <t>LU0003 WMHE 2007-HE1 1A MBS VAR 25.01.2037 LU0003_LXEUR_11298582_LU0003_LU0003_LXEUR</t>
  </si>
  <si>
    <t>RCMT 2020-FL4 A MBS VAR 25.02.2035_21301590</t>
  </si>
  <si>
    <t>16974738_LU0003_LU0003_LXEUR</t>
  </si>
  <si>
    <t>LU0003 DRSLF 2012-25A ARR CDO VAR 15.10.2027 LU0003_LXEUR_16974738_LU0003_LU0003_LXEUR</t>
  </si>
  <si>
    <t>1929138_LU0003_LU0003_LXEUR</t>
  </si>
  <si>
    <t>LU0003 RASC 2005-KS11 M2 MBS VAR 25.12.2035 LU0003_LXEUR_1929138_LU0003_LU0003_LXEUR</t>
  </si>
  <si>
    <t>FNR 2016-40 DF CMO VAR 25.07.2046_19216270</t>
  </si>
  <si>
    <t>1551565_LU0003_LU0003_LXEUR</t>
  </si>
  <si>
    <t>LU0003 AHMA 2006-2 2A1 CMO VAR 25.09.2046 LU0003_LXEUR_1551565_LU0003_LU0003_LXEUR</t>
  </si>
  <si>
    <t>SOFI 2017-B A2FX ABS FIX 2.740% 25.05.2040_12488211</t>
  </si>
  <si>
    <t>25428202_LU0003_LU0003_LXEUR</t>
  </si>
  <si>
    <t>LU0003 CGMSE 2019-2A A1R 3MEUR + 89BP 144A CX2NNE0R9_IE00B0C18065_EUR LU0003_LXEUR_25428202_LU0003_LU0003_LXEUR</t>
  </si>
  <si>
    <t>4467336_LU0003_LU0003_LXEUR</t>
  </si>
  <si>
    <t>LU0003 FHLT 2006-2 2A3 MBS VAR 25.02.2036 LU0003_LXEUR_4467336_LU0003_LU0003_LXEUR</t>
  </si>
  <si>
    <t>1928743_LU0003_LU0003_LXEUR</t>
  </si>
  <si>
    <t>LU0003 LBMLT 2005-WL2 M2 MBS VAR 25.08.2035 LU0003_LXEUR_1928743_LU0003_LU0003_LXEUR</t>
  </si>
  <si>
    <t>GNR 2019-78 FJ CMO VAR 20.06.2049_18423591</t>
  </si>
  <si>
    <t>22554301_LU0003_LU0003_LXEUR</t>
  </si>
  <si>
    <t>LU0003 TURBF 9 A SONIA1M + 83BP CX27Q2014_IE00BMTRWY37_GBP LU0003_LXEUR_22554301_LU0003_LU0003_LXEUR</t>
  </si>
  <si>
    <t>2058672_LU0003_LU0003_LXEUR</t>
  </si>
  <si>
    <t>LU0003 MLCC 2004-E A1 CMO VAR 25.11.2029 LU0003_LXEUR_2058672_LU0003_LU0003_LXEUR</t>
  </si>
  <si>
    <t>2644494_LU0003_LU0003_LXEUR</t>
  </si>
  <si>
    <t>LU0003 GSR 2007-1F 3A4 CMO FIX 5.750% 25.01.2037 LU0003_LXEUR_2644494_LU0003_LU0003_LXEUR</t>
  </si>
  <si>
    <t>4158071_LU0003_LU0003_LXEUR</t>
  </si>
  <si>
    <t>LU0003 CWHL 2006-OA4 A1 CMO VAR 25.04.2046 LU0003_LXEUR_4158071_LU0003_LU0003_LXEUR</t>
  </si>
  <si>
    <t>FHR 3203 CF CMO VAR 15.05.2036_22554089</t>
  </si>
  <si>
    <t>1551580_LU0003_LU0003_LXEUR</t>
  </si>
  <si>
    <t>LU0003 WAMU 2007-HY2 1A1 CMO VAR 25.12.2036 LU0003_LXEUR_1551580_LU0003_LU0003_LXEUR</t>
  </si>
  <si>
    <t>2916319_LU0003_LU0003_LXEUR</t>
  </si>
  <si>
    <t>LU0003 RBSGC 2008-A A1 CMO FIX 5.500% 25.11.2035 LU0003_LXEUR_2916319_LU0003_LU0003_LXEUR</t>
  </si>
  <si>
    <t>MSM 2006-8AR 5A4 CMO VAR 25.06.2036_1551422</t>
  </si>
  <si>
    <t>6168283_LU0003_LU0003_LXEUR</t>
  </si>
  <si>
    <t>LU0003 PFRMS 2006-1 2A2 MBS VAR 25.09.2036 LU0003_LXEUR_6168283_LU0003_LU0003_LXEUR</t>
  </si>
  <si>
    <t>25428238_LU0003_LU0003_LXEUR</t>
  </si>
  <si>
    <t>LU0003 CHESH 2020-1 A SONIA 3M + 90BP CX2BR3012_IE00B5ZR2157_GBP LU0003_LXEUR_25428238_LU0003_LU0003_LXEUR</t>
  </si>
  <si>
    <t>2931225_LU0003_LU0003_LXEUR</t>
  </si>
  <si>
    <t>LU0003 BSARM 2004-3 4A CMO VAR 25.07.2034 LU0003_LXEUR_2931225_LU0003_LU0003_LXEUR</t>
  </si>
  <si>
    <t>4672931_LU0003_LU0003_LXEUR</t>
  </si>
  <si>
    <t>LU0003 CWALT 2007-22 2A16 CMO FIX 6.500% 25.09.2037 LU0003_LXEUR_4672931_LU0003_LU0003_LXEUR</t>
  </si>
  <si>
    <t>GNR 2007-58 FC CMO VAR 20.10.2037_22554357</t>
  </si>
  <si>
    <t>4678851_LU0003_LU0003_LXEUR</t>
  </si>
  <si>
    <t>LU0003 BSABS 2005-SD1 2M2 MBS VAR 25.01.2045 LU0003_LXEUR_4678851_LU0003_LU0003_LXEUR</t>
  </si>
  <si>
    <t>GNR 2014-H02 FB CMO VAR 20.12.2063_16974058</t>
  </si>
  <si>
    <t>2058666_LU0003_LU0003_LXEUR</t>
  </si>
  <si>
    <t>LU0003 GSR 2004-12 1A1 CMO VAR 25.12.2034 LU0003_LXEUR_2058666_LU0003_LU0003_LXEUR</t>
  </si>
  <si>
    <t>21784645_LU0003_LU0003_LXEUR</t>
  </si>
  <si>
    <t>LU0003 TPMF 2020-A14X A SONIA3M + 90BP REGS CMDF34019_IE00B5ZR2157_GBP LU0003_LXEUR_21784645_LU0003_LU0003_LXEUR</t>
  </si>
  <si>
    <t>FNR 2007-25 FB CMO VAR 25.04.2037_22554518</t>
  </si>
  <si>
    <t>6683103_LU0003_LU0003_LXEUR</t>
  </si>
  <si>
    <t>LU0003 CWL 2007-SD1 A1 MBS VAR 25.03.2047 LU0003_LXEUR_6683103_LU0003_LU0003_LXEUR</t>
  </si>
  <si>
    <t>2931220_LU0003_LU0003_LXEUR</t>
  </si>
  <si>
    <t>LU0003 BAFC 2005-F 4A1 CMO VAR 20.09.2035 LU0003_LXEUR_2931220_LU0003_LU0003_LXEUR</t>
  </si>
  <si>
    <t>6827077_LU0003_LU0003_LXEUR</t>
  </si>
  <si>
    <t>LU0003 MSHEL 2006-3 A3 MBS VAR 25.04.2036 LU0003_LXEUR_6827077_LU0003_LU0003_LXEUR</t>
  </si>
  <si>
    <t>23531126_LU0003_LU0003_LXEUR</t>
  </si>
  <si>
    <t>LU0003 JUBIL 2014-11X ARR 3MEUR+61BP CM1I28232_IE00B5ZR2157_EUR LU0003_LXEUR_23531126_LU0003_LU0003_LXEUR</t>
  </si>
  <si>
    <t>GNR 2012-H08 FB CMO VAR 20.03.2062_6689630</t>
  </si>
  <si>
    <t>FHLT 2005-2 M4 MBS VAR 25.06.2035_22623669</t>
  </si>
  <si>
    <t>2931287_LU0003_LU0003_LXEUR</t>
  </si>
  <si>
    <t>LU0003 WFMBS 2007-AR8 A1 CMO VAR 25.11.2037 LU0003_LXEUR_2931287_LU0003_LU0003_LXEUR</t>
  </si>
  <si>
    <t>GNR 2019-83 NF CMO VAR 20.06.2046_18423592</t>
  </si>
  <si>
    <t>WFCM 2013-LC12 A4 MBS FIX 4.218% 15.07.2046_5422637</t>
  </si>
  <si>
    <t>22554121_LU0003_LU0003_LXEUR</t>
  </si>
  <si>
    <t>LU0003 ATCLO 2018-9A A CDO VAR 20.04.2028 LU0003_LXEUR_22554121_LU0003_LU0003_LXEUR</t>
  </si>
  <si>
    <t>SOFI 2016-A A1 ABS VAR 25.08.2036_21027849</t>
  </si>
  <si>
    <t>GNR 2017-H09 FB CMO VAR 20.04.2067_22623684</t>
  </si>
  <si>
    <t>SMB 2020-PTA A2B ABS VAR 15.09.2054_23914483</t>
  </si>
  <si>
    <t>1929021_LU0003_LU0003_LXEUR</t>
  </si>
  <si>
    <t>LU0003 MSAC 2007-NC1 A1 MBS VAR 25.11.2036 LU0003_LXEUR_1929021_LU0003_LU0003_LXEUR</t>
  </si>
  <si>
    <t>23914567_LU0003_LU0003_LXEUR</t>
  </si>
  <si>
    <t>LU0003 ARESE 7X A1RR 3MEUR + 66BP CMEC30427_IE00B0C18065_EUR LU0003_LXEUR_23914567_LU0003_LU0003_LXEUR</t>
  </si>
  <si>
    <t>543815_LU0003_LU0003_LXEUR</t>
  </si>
  <si>
    <t>LU0003 CWL 2006-15 A3 MBS FIX 4.453% 25.10.2046 LU0003_LXEUR_543815_LU0003_LU0003_LXEUR</t>
  </si>
  <si>
    <t>1523056_LU0003_LU0003_LXEUR</t>
  </si>
  <si>
    <t>LU0003 CWALT 2005-17 1A1 CMO VAR 25.07.2035 LU0003_LXEUR_1523056_LU0003_LU0003_LXEUR</t>
  </si>
  <si>
    <t>4750888_LU0003_LU0003_LXEUR</t>
  </si>
  <si>
    <t>LU0003 AABST 2004-6 M2 MBS VAR 25.03.2035 LU0003_LXEUR_4750888_LU0003_LU0003_LXEUR</t>
  </si>
  <si>
    <t>HVMLT 2006-6 5A1A CMO VAR 19.08.2036_1551610</t>
  </si>
  <si>
    <t>2733912_LU0003_LU0003_LXEUR</t>
  </si>
  <si>
    <t>LU0003 BOAMS 2005-F 2A2 CMO VAR 25.07.2035 LU0003_LXEUR_2733912_LU0003_LU0003_LXEUR</t>
  </si>
  <si>
    <t>22927566_LU0003_LU0003_LXEUR</t>
  </si>
  <si>
    <t>LU0003 RMAC 2018-1 A 3MGBP + 70BP CX2LTF011_IE00BMTRWY37_GBP LU0003_LXEUR_22927566_LU0003_LU0003_LXEUR</t>
  </si>
  <si>
    <t>5036272_LU0003_LU0003_LXEUR</t>
  </si>
  <si>
    <t>LU0003 GSAMP 2006-HE1 M1 MBS VAR 25.01.2036 LU0003_LXEUR_5036272_LU0003_LU0003_LXEUR</t>
  </si>
  <si>
    <t>4582166_LU0003_LU0003_LXEUR</t>
  </si>
  <si>
    <t>LU0003 CWHL 2006-J4 A5 CMO 6.250% 25.09.36 LU0003_LXEUR_4582166_LU0003_LU0003_LXEUR</t>
  </si>
  <si>
    <t>4161008_LU0003_LU0003_LXEUR</t>
  </si>
  <si>
    <t>LU0003 ACE 2004-RM2 M2 MBS VAR 25.01.2035 LU0003_LXEUR_4161008_LU0003_LU0003_LXEUR</t>
  </si>
  <si>
    <t>2644506_LU0003_LU0003_LXEUR</t>
  </si>
  <si>
    <t>LU0003 RAST 2005-A14 A5 CMO FIX 5.500% 25.12.2035 LU0003_LXEUR_2644506_LU0003_LU0003_LXEUR</t>
  </si>
  <si>
    <t>GNR 2015-H32 FA CMO VAR 20.12.2065_16974684</t>
  </si>
  <si>
    <t>SLMA 2005-8 A4 ABS VAR 25.01.2028_11865468</t>
  </si>
  <si>
    <t>4541109_LU0003_LU0003_LXEUR</t>
  </si>
  <si>
    <t>LU0003 CWHL 2005-18 A3 CMO 5.500% 25.10.35 LU0003_LXEUR_4541109_LU0003_LU0003_LXEUR</t>
  </si>
  <si>
    <t>23207431_LU0003_LU0003_LXEUR</t>
  </si>
  <si>
    <t>LU0003 RMAC 2018-2 A 3MGBP + 97BP CM1D35014_IE00BMTRWY37_GBP LU0003_LXEUR_23207431_LU0003_LU0003_LXEUR</t>
  </si>
  <si>
    <t>FHS 328 F4 CMO VAR 15.02.2038_16974741</t>
  </si>
  <si>
    <t>6978262_LU0003_LU0003_LXEUR</t>
  </si>
  <si>
    <t>LU0003 CWALT 2007-HY7C A1 CMO VAR 25.08.2037 LU0003_LXEUR_6978262_LU0003_LU0003_LXEUR</t>
  </si>
  <si>
    <t>FNR 2019-41 F CMO VAR 25.08.2059_18964213</t>
  </si>
  <si>
    <t>17849932_LU0003_LU0003_LXEUR</t>
  </si>
  <si>
    <t>LU0003 DAOT 5 A 1MLIB+93BP CX2M2U015_IE0033386453_AUD LU0003_LXEUR_17849932_LU0003_LU0003_LXEUR</t>
  </si>
  <si>
    <t>4417285_LU0003_LU0003_LXEUR</t>
  </si>
  <si>
    <t>LU0003 SURF 2004-BC2 M1 MBS VAR 25.05.2035 LU0003_LXEUR_4417285_LU0003_LU0003_LXEUR</t>
  </si>
  <si>
    <t>23531119_LU0003_LU0003_LXEUR</t>
  </si>
  <si>
    <t>LU0003 JUBIL 2016-17X A2RR 3MEUR+65BP CMPI14376__EUR LU0003_LXEUR_23531119_LU0003_LU0003_LXEUR</t>
  </si>
  <si>
    <t>3001273_LU0003_LU0003_LXEUR</t>
  </si>
  <si>
    <t>LU0003 CMLTI 2007-AHL1 A2C MBS VAR 25.12.2036 LU0003_LXEUR_3001273_LU0003_LU0003_LXEUR</t>
  </si>
  <si>
    <t>22062120_LU0003_LU0003_LXEUR</t>
  </si>
  <si>
    <t>LU0003 ATCLO 2017-8A A CDO VAR 16.01.2030 LU0003_LXEUR_22062120_LU0003_LU0003_LXEUR</t>
  </si>
  <si>
    <t>4557971_LU0003_LU0003_LXEUR</t>
  </si>
  <si>
    <t>LU0003 RFMSI 2007-S6 2A3 CMO 6.000% 25.06.37 LU0003_LXEUR_4557971_LU0003_LU0003_LXEUR</t>
  </si>
  <si>
    <t>22623702_LU0003_LU0003_LXEUR</t>
  </si>
  <si>
    <t>LU0003 CWALT 2006-5T2 A1 CMO VAR 25.04.2036 LU0003_LXEUR_22623702_LU0003_LU0003_LXEUR</t>
  </si>
  <si>
    <t>24395214_LU0003_LU0003_LXEUR</t>
  </si>
  <si>
    <t>LU0003 BLUME 3X A1R 3MEUR + 72BP CX27RT0M8_IE00B0C18065_EUR LU0003_LXEUR_24395214_LU0003_LU0003_LXEUR</t>
  </si>
  <si>
    <t>4370376_LU0003_LU0003_LXEUR</t>
  </si>
  <si>
    <t>LU0003 OOMLT 2007-3 2A2 MBS VAR 25.04.2037 LU0003_LXEUR_4370376_LU0003_LU0003_LXEUR</t>
  </si>
  <si>
    <t>7192904_LU0003_LU0003_LXEUR</t>
  </si>
  <si>
    <t>LU0003 ACE 2006-OP2 A1A MBS VAR 25.08.2036 LU0003_LXEUR_7192904_LU0003_LU0003_LXEUR</t>
  </si>
  <si>
    <t>1020413_LU0003_LU0003_LXEUR</t>
  </si>
  <si>
    <t>LU0003 SAMI 2004-AR5 1A1 CMO VAR 19.10.2034 LU0003_LXEUR_1020413_LU0003_LU0003_LXEUR</t>
  </si>
  <si>
    <t>23207368_LU0003_LU0003_LXEUR</t>
  </si>
  <si>
    <t>LU0003 AQUE 2017-1X AR 3MEUR + 64BP CX2D960I4__EUR LU0003_LXEUR_23207368_LU0003_LU0003_LXEUR</t>
  </si>
  <si>
    <t>GNR 2019-H02 FB CMO VAR 20.12.2068_16974693</t>
  </si>
  <si>
    <t>1929194_LU0003_LU0003_LXEUR</t>
  </si>
  <si>
    <t>LU0003 RASC 2007-KS3 AI3 MBS VAR 25.04.2037 LU0003_LXEUR_1929194_LU0003_LU0003_LXEUR</t>
  </si>
  <si>
    <t>478785_LU0003_LU0003_LXEUR</t>
  </si>
  <si>
    <t>LU0003 WAMU 2004-AR13 A2A CMO FLOAT 25.11.34 LU0003_LXEUR_478785_LU0003_LU0003_LXEUR</t>
  </si>
  <si>
    <t>MSAC 2007-SEA1 1A1 MBS VAR 25.02.2047_22623679</t>
  </si>
  <si>
    <t>20113285_LU0003_LU0003_LXEUR</t>
  </si>
  <si>
    <t>LU0003 BBVCA 2018-1 A CX27IB013_IE00B5ZR2157_EUR LU0003_LXEUR_20113285_LU0003_LU0003_LXEUR</t>
  </si>
  <si>
    <t>DMSI 2007-RS8 2A1 CMO VAR 28.09.2036_22554523</t>
  </si>
  <si>
    <t>4553865_LU0003_LU0003_LXEUR</t>
  </si>
  <si>
    <t>LU0003 CARR 2007-FRE1 A3 MBS VAR 25.02.2037 LU0003_LXEUR_4553865_LU0003_LU0003_LXEUR</t>
  </si>
  <si>
    <t>4223269_LU0003_LU0003_LXEUR</t>
  </si>
  <si>
    <t>LU0003 JPMMT 2005-ALT1 2A1 CMO VAR 25.10.2035 LU0003_LXEUR_4223269_LU0003_LU0003_LXEUR</t>
  </si>
  <si>
    <t>7116525_LU0003_LU0003_LXEUR</t>
  </si>
  <si>
    <t>LU0003 ACE 2006-OP1 A1A MBS VAR 25.04.2036 LU0003_LXEUR_7116525_LU0003_LU0003_LXEUR</t>
  </si>
  <si>
    <t>4067238_LU0003_LU0003_LXEUR</t>
  </si>
  <si>
    <t>LU0003 WFALT 2007-PA3 1A1 CMO FIX 5.750% 25.07.2037 LU0003_LXEUR_4067238_LU0003_LU0003_LXEUR</t>
  </si>
  <si>
    <t>SMB 2020-PTB A2B ABS VAR 15.09.2054_22554398</t>
  </si>
  <si>
    <t>GNR 2020-21 AC CMO FIX 2.500% 20.01.2049_20113248</t>
  </si>
  <si>
    <t>FNR 2019-26 WF CMO VAR 25.06.2059_18037285</t>
  </si>
  <si>
    <t>7512230_LU0003_LU0003_LXEUR</t>
  </si>
  <si>
    <t>LU0003 SASC 2007-WF1 A6 MBS VAR 25.02.2037 LU0003_LXEUR_7512230_LU0003_LU0003_LXEUR</t>
  </si>
  <si>
    <t>2644547_LU0003_LU0003_LXEUR</t>
  </si>
  <si>
    <t>LU0003 WAMU 2005-AR4 A5 CMO VAR 25.04.2035 LU0003_LXEUR_2644547_LU0003_LU0003_LXEUR</t>
  </si>
  <si>
    <t>2931234_LU0003_LU0003_LXEUR</t>
  </si>
  <si>
    <t>LU0003 CMLTI 2007-10 2A3A CMO VAR 25.09.2037 LU0003_LXEUR_2931234_LU0003_LU0003_LXEUR</t>
  </si>
  <si>
    <t>FHR 4885 AF CMO VAR 15.06.2049_17849964</t>
  </si>
  <si>
    <t>20113321_LU0003_LU0003_LXEUR</t>
  </si>
  <si>
    <t>LU0003 ORTHO-CLINICAL DIAGNOSTICS TL B BL3280734_IE00BK9YL094_EUR LU0003_LXEUR_20113321_LU0003_LU0003_LXEUR</t>
  </si>
  <si>
    <t>CMLTI 2005-6 A1 CMO VAR 25.09.2035_778660</t>
  </si>
  <si>
    <t>20113366_LU0003_LU0003_LXEUR</t>
  </si>
  <si>
    <t>LU0003 MULC 1 A 3MEUR + 100 BP CX29E1015_IE00B5ZR2157_EUR LU0003_LXEUR_20113366_LU0003_LU0003_LXEUR</t>
  </si>
  <si>
    <t>SMB 2015-A A2B ABS VAR 15.06.2027_22554106</t>
  </si>
  <si>
    <t>4397120_LU0003_LU0003_LXEUR</t>
  </si>
  <si>
    <t>LU0003 CARR 2006-FRE2 A3 MBS VAR 25.10.2036 LU0003_LXEUR_4397120_LU0003_LU0003_LXEUR</t>
  </si>
  <si>
    <t>24748900_LU0003_LU0003_LXEUR</t>
  </si>
  <si>
    <t>LU0003 OHECP 2015-3X A1R 3MEUR + 90BP CX22AU0Q5_IE00B5ZR2157_EUR LU0003_LXEUR_24748900_LU0003_LU0003_LXEUR</t>
  </si>
  <si>
    <t>FHR 3148 CF CMO VAR 15.02.2034_22554110</t>
  </si>
  <si>
    <t>5026052_LU0003_LU0003_LXEUR</t>
  </si>
  <si>
    <t>LU0003 INDX 2007-AR5 3A1 CMO FLOAT 25.05.37 LU0003_LXEUR_5026052_LU0003_LU0003_LXEUR</t>
  </si>
  <si>
    <t>CWL 2004-9 MV4 MBS VAR 25.11.2034_22623662</t>
  </si>
  <si>
    <t>1928758_LU0003_LU0003_LXEUR</t>
  </si>
  <si>
    <t>LU0003 LBMLT 2006-1 2A4 MBS VAR 25.02.2036 LU0003_LXEUR_1928758_LU0003_LU0003_LXEUR</t>
  </si>
  <si>
    <t>25428079_LU0003_LU0003_LXEUR</t>
  </si>
  <si>
    <t>LU0003 GLME 3X AR 3MEUR + 90BP CX2D7O0K2_IE00B0C18065_EUR LU0003_LXEUR_25428079_LU0003_LU0003_LXEUR</t>
  </si>
  <si>
    <t>1929055_LU0003_LU0003_LXEUR</t>
  </si>
  <si>
    <t>LU0003 OOMLT 2005-4 M2 ABS FLOAT 25.11.35 LU0003_LXEUR_1929055_LU0003_LU0003_LXEUR</t>
  </si>
  <si>
    <t>6409357_LU0003_LU0003_LXEUR</t>
  </si>
  <si>
    <t>LU0003 CWHL 2006-16 2A1 CMO FIX 6.500% 25.11.2036 LU0003_LXEUR_6409357_LU0003_LU0003_LXEUR</t>
  </si>
  <si>
    <t>FHR 4948 E CMO FIX 2.500% 25.10.2048_22554418</t>
  </si>
  <si>
    <t>AMSI 2006-R1 M1 MBS VAR 25.03.2036_1928022</t>
  </si>
  <si>
    <t>FHR 4876 MF CMO VAR 15.09.2038_17619874</t>
  </si>
  <si>
    <t>FHR 4736 AF CMO VAR 15.08.2042_16974678</t>
  </si>
  <si>
    <t>22554555_LU0003_LU0003_LXEUR</t>
  </si>
  <si>
    <t>LU0003 LBRTY 2018-1 A1B CX2ML0028_IE00BMTRWY37_AUD LU0003_LXEUR_22554555_LU0003_LU0003_LXEUR</t>
  </si>
  <si>
    <t>22927483_LU0003_LU0003_LXEUR</t>
  </si>
  <si>
    <t>LU0003 CARS 2019-1 A SONIA1MR+63BP CX2KF4013_IE00B5ZR2157_GBP LU0003_LXEUR_22927483_LU0003_LU0003_LXEUR</t>
  </si>
  <si>
    <t>20113318_LU0003_LU0003_LXEUR</t>
  </si>
  <si>
    <t>LU0003 SAPPO 2016-3 A 3MEUR+50BP CM5B59014_IE00B5ZR2157_EUR LU0003_LXEUR_20113318_LU0003_LU0003_LXEUR</t>
  </si>
  <si>
    <t>MLCC 2004-A A1 CMO VAR 25.04.2029_7031047</t>
  </si>
  <si>
    <t>2471598_LU0003_LU0003_LXEUR</t>
  </si>
  <si>
    <t>LU0003 RALI 2005-QS14 2A1 CMO FIX 6.000% 25.09.2035 LU0003_LXEUR_2471598_LU0003_LU0003_LXEUR</t>
  </si>
  <si>
    <t>CSFB 2001-HE17 A1 MBS VAR 25.01.2032_278397</t>
  </si>
  <si>
    <t>GNR 2020-17 EU CMO FIX 2.500% 20.10.2049_20113247</t>
  </si>
  <si>
    <t>6224122_LU0003_LU0003_LXEUR</t>
  </si>
  <si>
    <t>LU0003 AABST 2005-5 M1 MBS VAR 25.12.2035 LU0003_LXEUR_6224122_LU0003_LU0003_LXEUR</t>
  </si>
  <si>
    <t>CWHL 2007-HY4 1A1 CMO VAR 25.09.2047_1551571</t>
  </si>
  <si>
    <t>NSLT 2015-3A A2 ABS VAR 27.02.2051_22623648</t>
  </si>
  <si>
    <t>6657693_LU0003_LU0003_LXEUR</t>
  </si>
  <si>
    <t>LU0003 OOMLT 2007-5 2A2 MBS VAR 25.05.2037 LU0003_LXEUR_6657693_LU0003_LU0003_LXEUR</t>
  </si>
  <si>
    <t>6955633_LU0003_LU0003_LXEUR</t>
  </si>
  <si>
    <t>LU0003 JPMAC 2006-ACC1 M1 MBS VAR 25.05.2036 LU0003_LXEUR_6955633_LU0003_LU0003_LXEUR</t>
  </si>
  <si>
    <t>FWLS 2017-SC01 1A CMO FIX 3.000% 25.12.2046_22281235</t>
  </si>
  <si>
    <t>4994300_LU0003_LU0003_LXEUR</t>
  </si>
  <si>
    <t>LU0003 JPMAC 2007-HE1 AV3 MBS VAR 25.03.2047 LU0003_LXEUR_4994300_LU0003_LU0003_LXEUR</t>
  </si>
  <si>
    <t>23531176_LU0003_LU0003_LXEUR</t>
  </si>
  <si>
    <t>LU0003 EGLXY 2013-3X ARRR 3MEUR + 62BP CMCG00522_IE00B0C18065_EUR LU0003_LXEUR_23531176_LU0003_LU0003_LXEUR</t>
  </si>
  <si>
    <t>6867539_LU0003_LU0003_LXEUR</t>
  </si>
  <si>
    <t>LU0003 BCAP 2011-R11 8A5 CMO VAR 26.07.2036 LU0003_LXEUR_6867539_LU0003_LU0003_LXEUR</t>
  </si>
  <si>
    <t>GNR 2021-98 FM CMO VAR 20.06.2051_24748844</t>
  </si>
  <si>
    <t>GSAMP 2007-FM2 A2B MBS VAR 25.01.2037_6429885</t>
  </si>
  <si>
    <t>MSBAM 2016-C31 ASB MBS FIX 2.952% 15.11.2049_11578832</t>
  </si>
  <si>
    <t>FNR 2019-47 FD CMO VAR 25.08.2049_18423530</t>
  </si>
  <si>
    <t>22623765_LU0003_LU0003_LXEUR</t>
  </si>
  <si>
    <t>LU0003 RAAC 2005-SP2 1M4 1MLIB+140BP 76112BE89_IE00BMTRWY37_USD LU0003_LXEUR_22623765_LU0003_LU0003_LXEUR</t>
  </si>
  <si>
    <t>4739872_LU0003_LU0003_LXEUR</t>
  </si>
  <si>
    <t>LU0003 CWALT 2006-36T2 1A7 CMO FLOAT 25.12.36 LU0003_LXEUR_4739872_LU0003_LU0003_LXEUR</t>
  </si>
  <si>
    <t>TESCO PROPERTY FIN 5 PLC FIX 5.661% 13.10.2041_3625199</t>
  </si>
  <si>
    <t>BSARM 2005-10 A3 CMO FIX TO FLOAT 2.699% 25.10.2035_2264351</t>
  </si>
  <si>
    <t>4293512_LU0003_LU0003_LXEUR</t>
  </si>
  <si>
    <t>LU0003 HMBT 2005-5 A1 CMO VAR 25.01.2036 LU0003_LXEUR_4293512_LU0003_LU0003_LXEUR</t>
  </si>
  <si>
    <t>6657611_LU0003_LU0003_LXEUR</t>
  </si>
  <si>
    <t>LU0003 ACE 2006-SD1 M1 MBS VAR 25.02.2036 LU0003_LXEUR_6657611_LU0003_LU0003_LXEUR</t>
  </si>
  <si>
    <t>4632730_LU0003_LU0003_LXEUR</t>
  </si>
  <si>
    <t>LU0003 SAIL 2003-BC11 M1 MBS VAR 25.10.2033 LU0003_LXEUR_4632730_LU0003_LU0003_LXEUR</t>
  </si>
  <si>
    <t>BSARM 2005-12 23A1 CMO VAR 25.02.2036_994090</t>
  </si>
  <si>
    <t>NAVSL 2014-AA A3 ABS VAR 15.10.2031_22927450</t>
  </si>
  <si>
    <t>2931270_LU0003_LU0003_LXEUR</t>
  </si>
  <si>
    <t>LU0003 RALI 2005-QA2 NB2 CMO VAR 25.02.2035 LU0003_LXEUR_2931270_LU0003_LU0003_LXEUR</t>
  </si>
  <si>
    <t>INABS 2006-B 2A3 MBS VAR 25.06.2036_22623659</t>
  </si>
  <si>
    <t>527726_LU0003_LU0003_LXEUR</t>
  </si>
  <si>
    <t>LU0003 HVMLT 2005-1 2A1A CMO VAR 19.03.2035 LU0003_LXEUR_527726_LU0003_LU0003_LXEUR</t>
  </si>
  <si>
    <t>NAVSL 2015-AA A2A ABS FIX 2.650% 15.12.2028_8364977</t>
  </si>
  <si>
    <t>22281199_LU0003_LU0003_LXEUR</t>
  </si>
  <si>
    <t>LU0003 SILVA 2020-1FR A 1MEUR + 70BP CX2GG7014_IE00B5ZR2157_EUR LU0003_LXEUR_22281199_LU0003_LU0003_LXEUR</t>
  </si>
  <si>
    <t>4361280_LU0003_LU0003_LXEUR</t>
  </si>
  <si>
    <t>LU0003 NHEL 2006-6 2A4 ABS FLOAT 25.01.2037 LU0003_LXEUR_4361280_LU0003_LU0003_LXEUR</t>
  </si>
  <si>
    <t>G2 8482 MBS VAR 20.08.2024_22554422</t>
  </si>
  <si>
    <t>19567733_LU0003_LU0003_LXEUR</t>
  </si>
  <si>
    <t>LU0003 GREENE KING FINANCE PLC 3935069D4__GBP LU0003_LXEUR_19567733_LU0003_LU0003_LXEUR</t>
  </si>
  <si>
    <t>22554341_LU0003_LU0003_LXEUR</t>
  </si>
  <si>
    <t>LU0003 SPAUL 4X AR1 3MEUR + 85BP CMQF15378__EUR LU0003_LXEUR_22554341_LU0003_LU0003_LXEUR</t>
  </si>
  <si>
    <t>7518968_LU0003_LU0003_LXEUR</t>
  </si>
  <si>
    <t>LU0003 SAMI 2007-AR3 2A1 CMO VAR 25.09.2047 LU0003_LXEUR_7518968_LU0003_LU0003_LXEUR</t>
  </si>
  <si>
    <t>20113358_LU0003_LU0003_LXEUR</t>
  </si>
  <si>
    <t>LU0003 FSQ 2019-1 A 3MGBP + 97BP CX2446016_IE00B5ZR2157_GBP LU0003_LXEUR_20113358_LU0003_LU0003_LXEUR</t>
  </si>
  <si>
    <t>7051865_LU0003_LU0003_LXEUR</t>
  </si>
  <si>
    <t>LU0003 JPMAC 2006-NC2 M1 MBS VAR 25.07.2036 LU0003_LXEUR_7051865_LU0003_LU0003_LXEUR</t>
  </si>
  <si>
    <t>22554306_LU0003_LU0003_LXEUR</t>
  </si>
  <si>
    <t>LU0003 VOYE 1A A CDO VAR 15.10.2030 LU0003_LXEUR_22554306_LU0003_LU0003_LXEUR</t>
  </si>
  <si>
    <t>6181982_LU0003_LU0003_LXEUR</t>
  </si>
  <si>
    <t>LU0003 AABST 2005-4 M1 MBS VAR 25.10.2035 LU0003_LXEUR_6181982_LU0003_LU0003_LXEUR</t>
  </si>
  <si>
    <t>SOFI 2017-C A1 ABS VAR 25.07.2040_21027852</t>
  </si>
  <si>
    <t>4369384_LU0003_LU0003_LXEUR</t>
  </si>
  <si>
    <t>LU0003 IMSA 2007-2 1A1A CMO VAR 25.05.2037 LU0003_LXEUR_4369384_LU0003_LU0003_LXEUR</t>
  </si>
  <si>
    <t>1929117_LU0003_LU0003_LXEUR</t>
  </si>
  <si>
    <t>LU0003 PPSI 2005-WHQ4 M2 MBS VAR 25.09.2035 LU0003_LXEUR_1929117_LU0003_LU0003_LXEUR</t>
  </si>
  <si>
    <t>22554578_LU0003_LU0003_LXEUR</t>
  </si>
  <si>
    <t>LU0003 GALL 2018-1A A CDO VAR 21.01.2028 LU0003_LXEUR_22554578_LU0003_LU0003_LXEUR</t>
  </si>
  <si>
    <t>4739873_LU0003_LU0003_LXEUR</t>
  </si>
  <si>
    <t>LU0003 BOAMS 2006-3 1A10 CMO FIX 6.000% 25.10.2036 LU0003_LXEUR_4739873_LU0003_LU0003_LXEUR</t>
  </si>
  <si>
    <t>748354_LU0003_LU0003_LXEUR</t>
  </si>
  <si>
    <t>LU0003 MSAC 2006-HE6 A2B MBS VAR 25.09.2036 LU0003_LXEUR_748354_LU0003_LU0003_LXEUR</t>
  </si>
  <si>
    <t>GNR 2016-H18 FA CMO VAR 20.08.2066_16974688</t>
  </si>
  <si>
    <t>6422583_LU0003_LU0003_LXEUR</t>
  </si>
  <si>
    <t>LU0003 CARR 2006-NC5 A4 MBS VAR 25.01.2037 LU0003_LXEUR_6422583_LU0003_LU0003_LXEUR</t>
  </si>
  <si>
    <t>22554425_LU0003_LU0003_LXEUR</t>
  </si>
  <si>
    <t>LU0003 TPMF 2019-GR4A A1 3MGBP + 102.5BP 144A CX2NFV0B5_IE00BMTRWY37_GBP LU0003_LXEUR_22554425_LU0003_LU0003_LXEUR</t>
  </si>
  <si>
    <t>FHR 5002 FJ CMO VAR 25.07.2050_22554444</t>
  </si>
  <si>
    <t>FNR 2007-32 FE CMO VAR 25.04.2037_22554296</t>
  </si>
  <si>
    <t>2931241_LU0003_LU0003_LXEUR</t>
  </si>
  <si>
    <t>LU0003 FHASI 2005-AR4 4A1 CMO VAR 25.09.2035 LU0003_LXEUR_2931241_LU0003_LU0003_LXEUR</t>
  </si>
  <si>
    <t>5207643_LU0003_LU0003_LXEUR</t>
  </si>
  <si>
    <t>LU0003 WFHET 2004-1 A3 MBS VAR 25.04.2034 LU0003_LXEUR_5207643_LU0003_LU0003_LXEUR</t>
  </si>
  <si>
    <t>4541117_LU0003_LU0003_LXEUR</t>
  </si>
  <si>
    <t>LU0003 SASC 2006-BC5 A4 MBS VAR 25.12.2036 LU0003_LXEUR_4541117_LU0003_LU0003_LXEUR</t>
  </si>
  <si>
    <t>2931235_LU0003_LU0003_LXEUR</t>
  </si>
  <si>
    <t>LU0003 CSFB 2005-12 8A1 CMO FIX 6.000% 25.01.2036 LU0003_LXEUR_2931235_LU0003_LU0003_LXEUR</t>
  </si>
  <si>
    <t>SMB 2016-C A2B ABS VAR 15.09.2034_14504625</t>
  </si>
  <si>
    <t>22554213_LU0003_LU0003_LXEUR</t>
  </si>
  <si>
    <t>LU0003 WFMBS RECEIVABLE 94984LAA4 WFMBRECN2_IE00B0C18065_USD LU0003_LXEUR_22554213_LU0003_LU0003_LXEUR</t>
  </si>
  <si>
    <t>22623772_LU0003_LU0003_LXEUR</t>
  </si>
  <si>
    <t>LU0003 SLCLT 2007-1 A4 3MLIB+6BP 784424AD5_IE00BMTRWY37_USD LU0003_LXEUR_22623772_LU0003_LU0003_LXEUR</t>
  </si>
  <si>
    <t>22554181_LU0003_LU0003_LXEUR</t>
  </si>
  <si>
    <t>LU0003 GRIFOLS SA TL B BL3202860__EUR LU0003_LXEUR_22554181_LU0003_LU0003_LXEUR</t>
  </si>
  <si>
    <t>485121_LU0003_LU0003_LXEUR</t>
  </si>
  <si>
    <t>LU0003 CWALT 2005-77T1 1A2 CMO FIX 6.000% 25.02.2036 LU0003_LXEUR_485121_LU0003_LU0003_LXEUR</t>
  </si>
  <si>
    <t>NSLT 2012-4A A ABS VAR 27.09.2038_22554242</t>
  </si>
  <si>
    <t>6640494_LU0003_LU0003_LXEUR</t>
  </si>
  <si>
    <t>LU0003 WMLT 2005-B 2A4 CMO VAR 20.10.2035 LU0003_LXEUR_6640494_LU0003_LU0003_LXEUR</t>
  </si>
  <si>
    <t>1551597_LU0003_LU0003_LXEUR</t>
  </si>
  <si>
    <t>LU0003 WAMU 2007-HY5 2A1 CMO VAR 25.05.2037 LU0003_LXEUR_1551597_LU0003_LU0003_LXEUR</t>
  </si>
  <si>
    <t>BCAP 2009-RR5 3A3 CMO FIX 6.250% 26.08.2036_22623678</t>
  </si>
  <si>
    <t>FHR 3311 FN CMO VAR 15.05.2037_22554211</t>
  </si>
  <si>
    <t>CSAIL15-C3 A4 LC12635FAT_9257049</t>
  </si>
  <si>
    <t>SAMI 2006-AR5 1A1 CMO VAR 25.05.2036_942518</t>
  </si>
  <si>
    <t>23531125_LU0003_LU0003_LXEUR</t>
  </si>
  <si>
    <t>LU0003 STRA 2021-2X A SONIA3M + 90BP 7452179A9__GBP LU0003_LXEUR_23531125_LU0003_LU0003_LXEUR</t>
  </si>
  <si>
    <t>24395048_LU0003_LU0003_LXEUR</t>
  </si>
  <si>
    <t>LU0003 ROMULUS FINANCE S.R.L. SECURED A4 7762189Y7_IE00B5ZR2157_GBP LU0003_LXEUR_24395048_LU0003_LU0003_LXEUR</t>
  </si>
  <si>
    <t>CSMC 2013-IVR5 B2 CMO FIX 3.617% 25.10.2043_22554475</t>
  </si>
  <si>
    <t>22623754_LU0003_LU0003_LXEUR</t>
  </si>
  <si>
    <t>LU0003 UNIQUE PUB FINANCE CO ASSET BKD 9087779F4_IE00B0C18065_GBP LU0003_LXEUR_22623754_LU0003_LU0003_LXEUR</t>
  </si>
  <si>
    <t>22927503_LU0003_LU0003_LXEUR</t>
  </si>
  <si>
    <t>LU0003 HWKSM 2019-1A A SONIA + 105BP 144A CX2NP60E3_IE00BMTRWY37_GBP LU0003_LXEUR_22927503_LU0003_LU0003_LXEUR</t>
  </si>
  <si>
    <t>FNR 2014-84 BF CMO VAR 25.12.2044_16974601</t>
  </si>
  <si>
    <t>4293505_LU0003_LU0003_LXEUR</t>
  </si>
  <si>
    <t>LU0003 AHM 2006-1 2A3 CMO FIX TO FLOAT 1.905% 25.12.2035 LU0003_LXEUR_4293505_LU0003_LU0003_LXEUR</t>
  </si>
  <si>
    <t>4361282_LU0003_LU0003_LXEUR</t>
  </si>
  <si>
    <t>LU0003 SARM 2006-10 2A1 CMO FLOAT 25.11.36 LU0003_LXEUR_4361282_LU0003_LU0003_LXEUR</t>
  </si>
  <si>
    <t>21027867_LU0003_LU0003_LXEUR</t>
  </si>
  <si>
    <t>LU0003 CTC ACQUICO GMBH TL B 1L BL2570960_IE00BK9YL094_EUR LU0003_LXEUR_21027867_LU0003_LU0003_LXEUR</t>
  </si>
  <si>
    <t>FFML 2006-FF5 2A5 MBS ZERO 25.04.2036_22623681</t>
  </si>
  <si>
    <t>20113384_LU0003_LU0003_LXEUR</t>
  </si>
  <si>
    <t>LU0003 DRVES 5 A 1MEUR + 40BP CX2KH4011__EUR LU0003_LXEUR_20113384_LU0003_LU0003_LXEUR</t>
  </si>
  <si>
    <t>SMB 2016-B A2B ABS VAR 17.02.2032_22623645</t>
  </si>
  <si>
    <t>23914597_LU0003_LU0003_LXEUR</t>
  </si>
  <si>
    <t>LU0003 ARESE 7A A1RR 3MEUR + 66BP 144A CMCF59421_IE00B0C18065_EUR LU0003_LXEUR_23914597_LU0003_LU0003_LXEUR</t>
  </si>
  <si>
    <t>7073813_LU0003_LU0003_LXEUR</t>
  </si>
  <si>
    <t>LU0003 CWL 2005-BC4 M6 MBS VAR 25.08.2035 LU0003_LXEUR_7073813_LU0003_LU0003_LXEUR</t>
  </si>
  <si>
    <t>2931243_LU0003_LU0003_LXEUR</t>
  </si>
  <si>
    <t>LU0003 GSR 2006-2F 3A6 CMO 6.000% 25.02.36 LU0003_LXEUR_2931243_LU0003_LU0003_LXEUR</t>
  </si>
  <si>
    <t>25094370_LU0003_LU0003_LXEUR</t>
  </si>
  <si>
    <t>LU0003 G2 785540 MBS VAR 20.05.2071 LU0003_LXEUR_25094370_LU0003_LU0003_LXEUR</t>
  </si>
  <si>
    <t>14496201_LU0003_LU0003_LXEUR</t>
  </si>
  <si>
    <t>LU0003 VENTR 2014-17A ARR CDO VAR 15.04.2027 LU0003_LXEUR_14496201_LU0003_LU0003_LXEUR</t>
  </si>
  <si>
    <t>1546437_LU0003_LU0003_LXEUR</t>
  </si>
  <si>
    <t>LU0003 RALI 2007-QS9 A33 CMO FIX 6.500% 25.07.2037 LU0003_LXEUR_1546437_LU0003_LU0003_LXEUR</t>
  </si>
  <si>
    <t>4653697_LU0003_LU0003_LXEUR</t>
  </si>
  <si>
    <t>LU0003 BSABS 2005-FR1 M2 MBS VAR 25.06.2035 LU0003_LXEUR_4653697_LU0003_LU0003_LXEUR</t>
  </si>
  <si>
    <t>4625551_LU0003_LU0003_LXEUR</t>
  </si>
  <si>
    <t>LU0003 CWALT 2006-45T1 1A16 CMO 6.000% 25.02.37 LU0003_LXEUR_4625551_LU0003_LU0003_LXEUR</t>
  </si>
  <si>
    <t>2251720_LU0003_LU0003_LXEUR</t>
  </si>
  <si>
    <t>LU0003 BSARM 2007-4 22A1 CMO VAR 25.06.2047 LU0003_LXEUR_2251720_LU0003_LU0003_LXEUR</t>
  </si>
  <si>
    <t>4541114_LU0003_LU0003_LXEUR</t>
  </si>
  <si>
    <t>LU0003 NCHET 2005-1 M2 ABS FLOAT 25.03.35 LU0003_LXEUR_4541114_LU0003_LU0003_LXEUR</t>
  </si>
  <si>
    <t>FNR 2007-70 FA CMO VAR 25.07.2037_22554319</t>
  </si>
  <si>
    <t>1929063_LU0003_LU0003_LXEUR</t>
  </si>
  <si>
    <t>LU0003 OOMLT 2006-1 M1 MBS VAR 25.01.2036 LU0003_LXEUR_1929063_LU0003_LU0003_LXEUR</t>
  </si>
  <si>
    <t>4553905_LU0003_LU0003_LXEUR</t>
  </si>
  <si>
    <t>LU0003 ABSHE 2005-HE6 M4 MBS VAR 25.07.2035 LU0003_LXEUR_4553905_LU0003_LU0003_LXEUR</t>
  </si>
  <si>
    <t>22554284_LU0003_LU0003_LXEUR</t>
  </si>
  <si>
    <t>LU0003 MITCHELLS &amp; BUTLERS FINA SECURED A3N 6066179F7_IE00B0C18065_USD LU0003_LXEUR_22554284_LU0003_LU0003_LXEUR</t>
  </si>
  <si>
    <t>1928365_LU0003_LU0003_LXEUR</t>
  </si>
  <si>
    <t>LU0003 CWL 2006-26 2A4 MBS VAR 25.06.2037 LU0003_LXEUR_1928365_LU0003_LU0003_LXEUR</t>
  </si>
  <si>
    <t>SAIL 2005-1 M2 MBS VAR 25.02.2035_1929203</t>
  </si>
  <si>
    <t>7069330_LU0003_LU0003_LXEUR</t>
  </si>
  <si>
    <t>LU0003 WFHET 2006-1 M3 MBS VAR 25.05.2036 LU0003_LXEUR_7069330_LU0003_LU0003_LXEUR</t>
  </si>
  <si>
    <t>4602115_LU0003_LU0003_LXEUR</t>
  </si>
  <si>
    <t>LU0003 CARR 2006-NC2 A4 MBS VAR 25.06.2036 LU0003_LXEUR_4602115_LU0003_LU0003_LXEUR</t>
  </si>
  <si>
    <t>4500978_LU0003_LU0003_LXEUR</t>
  </si>
  <si>
    <t>LU0003 FFML 2005-FFH4 M1 MBS VAR 25.12.2035 LU0003_LXEUR_4500978_LU0003_LU0003_LXEUR</t>
  </si>
  <si>
    <t>6981539_LU0003_LU0003_LXEUR</t>
  </si>
  <si>
    <t>LU0003 FFML 2005-FF2 M5 MBS VAR 25.03.2035 LU0003_LXEUR_6981539_LU0003_LU0003_LXEUR</t>
  </si>
  <si>
    <t>870801_LU0003_LU0003_LXEUR</t>
  </si>
  <si>
    <t>LU0003 WAMU 2006-AR17 1A1A CMO VAR 25.12.2046 LU0003_LXEUR_870801_LU0003_LU0003_LXEUR</t>
  </si>
  <si>
    <t>2941723_LU0003_LU0003_LXEUR</t>
  </si>
  <si>
    <t>LU0003 BSABS 2007-HE6 1A1 MBS VAR 25.08.2037 LU0003_LXEUR_2941723_LU0003_LU0003_LXEUR</t>
  </si>
  <si>
    <t>24395047_LU0003_LU0003_LXEUR</t>
  </si>
  <si>
    <t>LU0003 BABSN 2015-IA AR CDO VAR 20.01.2031 LU0003_LXEUR_24395047_LU0003_LU0003_LXEUR</t>
  </si>
  <si>
    <t>22554307_LU0003_LU0003_LXEUR</t>
  </si>
  <si>
    <t>LU0003 MABS 2006-WMC3 A1 MBS VAR 25.08.2036 LU0003_LXEUR_22554307_LU0003_LU0003_LXEUR</t>
  </si>
  <si>
    <t>6621307_LU0003_LU0003_LXEUR</t>
  </si>
  <si>
    <t>LU0003 BAFC 2007-E 8A1 CMO VAR 20.09.2047 LU0003_LXEUR_6621307_LU0003_LU0003_LXEUR</t>
  </si>
  <si>
    <t>4632729_LU0003_LU0003_LXEUR</t>
  </si>
  <si>
    <t>LU0003 MLMI 2006-A1 2A1 CMO VAR 25.03.2036 LU0003_LXEUR_4632729_LU0003_LU0003_LXEUR</t>
  </si>
  <si>
    <t>784322_LU0003_LU0003_LXEUR</t>
  </si>
  <si>
    <t>LU0003 WAMU 2003-AR5 A7 CMO VAR 25.06.2033 LU0003_LXEUR_784322_LU0003_LU0003_LXEUR</t>
  </si>
  <si>
    <t>4530810_LU0003_LU0003_LXEUR</t>
  </si>
  <si>
    <t>LU0003 RALI 2005-QS12 A8 CMO FLOAT 25.08.35 LU0003_LXEUR_4530810_LU0003_LU0003_LXEUR</t>
  </si>
  <si>
    <t>GSR 2004-4 2A2 CMO FIX TO FLOAT 1.790% 25.04.2032_4138940</t>
  </si>
  <si>
    <t>6571356_LU0003_LU0003_LXEUR</t>
  </si>
  <si>
    <t>LU0003 MSAC 2005-WMC5 M5 MBS VAR 25.06.2035 LU0003_LXEUR_6571356_LU0003_LU0003_LXEUR</t>
  </si>
  <si>
    <t>23531163_LU0003_LU0003_LXEUR</t>
  </si>
  <si>
    <t>LU0003 HARVT 20X AR 3MEUR+68BP CMHB52255_IE00B0C18065_EUR LU0003_LXEUR_23531163_LU0003_LU0003_LXEUR</t>
  </si>
  <si>
    <t>CBSLT 2017-AGS A2 ABS VAR 25.05.2041_14504636</t>
  </si>
  <si>
    <t>BALTA 2006-5 2A2 CMO FIX 3.445% 25.08.2036_994430</t>
  </si>
  <si>
    <t>1928412_LU0003_LU0003_LXEUR</t>
  </si>
  <si>
    <t>LU0003 CWL 2006-BC5 2A3 ABS FLOAT 25.03.37 LU0003_LXEUR_1928412_LU0003_LU0003_LXEUR</t>
  </si>
  <si>
    <t>22554158_LU0003_LU0003_LXEUR</t>
  </si>
  <si>
    <t>LU0003 ZIGGO FINANCING PARTNERS TL I 1L USD BL3284900_IE00B0C18065_USD LU0003_LXEUR_22554158_LU0003_LU0003_LXEUR</t>
  </si>
  <si>
    <t>22623655_LU0003_LU0003_LXEUR</t>
  </si>
  <si>
    <t>LU0003 RIPON 1A A1 3MLIB+80BP 144A CX2CIL010_IE00BMTRWY37_GBP LU0003_LXEUR_22623655_LU0003_LU0003_LXEUR</t>
  </si>
  <si>
    <t>4061886_LU0003_LU0003_LXEUR</t>
  </si>
  <si>
    <t>LU0003 MLCC 2006-1 1A CMO VAR 25.02.2036 LU0003_LXEUR_4061886_LU0003_LU0003_LXEUR</t>
  </si>
  <si>
    <t>22554220_LU0003_LU0003_LXEUR</t>
  </si>
  <si>
    <t>LU0003 MORGN 2017-1A A CDO VAR 20.10.2029 LU0003_LXEUR_22554220_LU0003_LU0003_LXEUR</t>
  </si>
  <si>
    <t>2290888_LU0003_LU0003_LXEUR</t>
  </si>
  <si>
    <t>LU0003 CSFB 2003-8 5A1 CMO FIX 6.500% 25.04.2033 LU0003_LXEUR_2290888_LU0003_LU0003_LXEUR</t>
  </si>
  <si>
    <t>GNR 2016-H21 FH CMO VAR 20.09.2066_16974689</t>
  </si>
  <si>
    <t>16974526_LU0003_LU0003_LXEUR</t>
  </si>
  <si>
    <t>LU0003 ILFC DELOS FINANCE SARL TL B BL2645325_IE00B3D1YW09_USD LU0003_LXEUR_16974526_LU0003_LU0003_LXEUR</t>
  </si>
  <si>
    <t>1921456_LU0003_LU0003_LXEUR</t>
  </si>
  <si>
    <t>LU0003 CWL 2004-5 M1 MBS VAR 25.08.2034 LU0003_LXEUR_1921456_LU0003_LU0003_LXEUR</t>
  </si>
  <si>
    <t>OOMLT 2007-1 2A3 MBS VAR 25.01.2037_5036274</t>
  </si>
  <si>
    <t>1928472_LU0003_LU0003_LXEUR</t>
  </si>
  <si>
    <t>LU0003 CWL 2007-6 2A4 MBS VAR 25.09.2037 LU0003_LXEUR_1928472_LU0003_LU0003_LXEUR</t>
  </si>
  <si>
    <t>2941727_LU0003_LU0003_LXEUR</t>
  </si>
  <si>
    <t>LU0003 INDX 2004-AR6 5A1 CMO VAR 25.10.2034 LU0003_LXEUR_2941727_LU0003_LU0003_LXEUR</t>
  </si>
  <si>
    <t>16974403_LU0003_LU0003_LXEUR</t>
  </si>
  <si>
    <t>LU0003 ENVISION HEALTHCARE TL BL2726208_IE00B3D1YW09_USD LU0003_LXEUR_16974403_LU0003_LU0003_LXEUR</t>
  </si>
  <si>
    <t>SLMA 2004-B A3 ABS VAR 15.03.2024_1921758</t>
  </si>
  <si>
    <t>2931247_LU0003_LU0003_LXEUR</t>
  </si>
  <si>
    <t>LU0003 GPMF 2006-AR3 4A2 CMO VAR 25.04.2036 LU0003_LXEUR_2931247_LU0003_LU0003_LXEUR</t>
  </si>
  <si>
    <t>7283893_LU0003_LU0003_LXEUR</t>
  </si>
  <si>
    <t>LU0003 CWL 2005-6 M4 MBS VAR 25.12.2035 LU0003_LXEUR_7283893_LU0003_LU0003_LXEUR</t>
  </si>
  <si>
    <t>7079279_LU0003_LU0003_LXEUR</t>
  </si>
  <si>
    <t>LU0003 BSABS 2006-HE5 1A3 MBS VAR 25.06.2036 LU0003_LXEUR_7079279_LU0003_LU0003_LXEUR</t>
  </si>
  <si>
    <t>23914588_LU0003_LU0003_LXEUR</t>
  </si>
  <si>
    <t>LU0003 HARVT 21A A1R 3MEUR + 76BP CX2ND60P1_IE00B0C18065_EUR LU0003_LXEUR_23914588_LU0003_LU0003_LXEUR</t>
  </si>
  <si>
    <t>4477191_LU0003_LU0003_LXEUR</t>
  </si>
  <si>
    <t>LU0003 SABR 2006-FR2 A3 MBS VAR 25.03.2036 LU0003_LXEUR_4477191_LU0003_LU0003_LXEUR</t>
  </si>
  <si>
    <t>23531123_LU0003_LU0003_LXEUR</t>
  </si>
  <si>
    <t>LU0003 BRASS 8X A1 3MUSD+70BP CX2I0B018__USD LU0003_LXEUR_23531123_LU0003_LU0003_LXEUR</t>
  </si>
  <si>
    <t>1928381_LU0003_LU0003_LXEUR</t>
  </si>
  <si>
    <t>LU0003 CWL 2006-5 M1 ABS FLOAT 25.08.36 LU0003_LXEUR_1928381_LU0003_LU0003_LXEUR</t>
  </si>
  <si>
    <t>23531120_LU0003_LU0003_LXEUR</t>
  </si>
  <si>
    <t>LU0003 CRNCL 2014-4X ARRR 3MEUR + 60BP CM1I10586_IE00B5ZR2157_EUR LU0003_LXEUR_23531120_LU0003_LU0003_LXEUR</t>
  </si>
  <si>
    <t>FFML 2006-FF5 2A3 MBS VAR 25.04.2036_1928588</t>
  </si>
  <si>
    <t>22554153_LU0003_LU0003_LXEUR</t>
  </si>
  <si>
    <t>LU0003 AOMT 2020-4 A1 CMO FIX 1.469% 25.06.2065 LU0003_LXEUR_22554153_LU0003_LU0003_LXEUR</t>
  </si>
  <si>
    <t>SOFI 2016-C A2B ABS FIX 2.360% 27.12.2032_11094842</t>
  </si>
  <si>
    <t>NCMT 2006-1 M2 MBS VAR 25.03.2036_22554160</t>
  </si>
  <si>
    <t>1929144_LU0003_LU0003_LXEUR</t>
  </si>
  <si>
    <t>LU0003 RASC 2005-KS1 M1 MBS VAR 25.02.2035 LU0003_LXEUR_1929144_LU0003_LU0003_LXEUR</t>
  </si>
  <si>
    <t>6399439_LU0003_LU0003_LXEUR</t>
  </si>
  <si>
    <t>LU0003 DBALT 2007-OA4 1A1A CMO VAR 25.08.2047 LU0003_LXEUR_6399439_LU0003_LU0003_LXEUR</t>
  </si>
  <si>
    <t>SMB 2017-A A2B ABS VAR 15.09.2034_14504624</t>
  </si>
  <si>
    <t>22554180_LU0003_LU0003_LXEUR</t>
  </si>
  <si>
    <t>LU0003 RMS 32A A CMO VAR 20.06.2070 LU0003_LXEUR_22554180_LU0003_LU0003_LXEUR</t>
  </si>
  <si>
    <t>4276517_LU0003_LU0003_LXEUR</t>
  </si>
  <si>
    <t>LU0003 CWHL 2005-HYB7 1A1 CMO VAR 20.11.2035 LU0003_LXEUR_4276517_LU0003_LU0003_LXEUR</t>
  </si>
  <si>
    <t>SOFI 2016-F A1 ABS VAR 25.02.2040_14504632</t>
  </si>
  <si>
    <t>6609945_LU0003_LU0003_LXEUR</t>
  </si>
  <si>
    <t>LU0003 SASC 2006-BC4 A4 MBS VAR 25.12.2036 LU0003_LXEUR_6609945_LU0003_LU0003_LXEUR</t>
  </si>
  <si>
    <t>25428163_LU0003_LU0003_LXEUR</t>
  </si>
  <si>
    <t>LU0003 VERITAS US INC TL B BL3690155_IE00BK9YL094_EUR LU0003_LXEUR_25428163_LU0003_LU0003_LXEUR</t>
  </si>
  <si>
    <t>2470946_LU0003_LU0003_LXEUR</t>
  </si>
  <si>
    <t>LU0003 INDX 2007-AR7 2A1 CMO VAR 25.06.37 LU0003_LXEUR_2470946_LU0003_LU0003_LXEUR</t>
  </si>
  <si>
    <t>20113387_LU0003_LU0003_LXEUR</t>
  </si>
  <si>
    <t>LU0003 DPF 2020-1 A 3MEUR+65BP CX2L81015_IE00B5ZR2157_EUR LU0003_LXEUR_20113387_LU0003_LU0003_LXEUR</t>
  </si>
  <si>
    <t>24395159_LU0003_LU0003_LXEUR</t>
  </si>
  <si>
    <t>LU0003 DEN16 2018-1A A CDO VAR 20.01.2030 LU0003_LXEUR_24395159_LU0003_LU0003_LXEUR</t>
  </si>
  <si>
    <t>20113302_LU0003_LU0003_LXEUR</t>
  </si>
  <si>
    <t>LU0003 FRIAR 6 A SONIA + 72BP CMUG90010_IE00B5ZR2157_GBP LU0003_LXEUR_20113302_LU0003_LU0003_LXEUR</t>
  </si>
  <si>
    <t>4697385_LU0003_LU0003_LXEUR</t>
  </si>
  <si>
    <t>LU0003 INDX 2005-AR23 2A1 CMO FLOAT 25.11.35 LU0003_LXEUR_4697385_LU0003_LU0003_LXEUR</t>
  </si>
  <si>
    <t>MABS 2006-FRE2 A1 MBS VAR 25.03.2036_22623673</t>
  </si>
  <si>
    <t>4337946_LU0003_LU0003_LXEUR</t>
  </si>
  <si>
    <t>LU0003 GSAMP 2006-FM1 A2D MBS VAR 25.04.2036 LU0003_LXEUR_4337946_LU0003_LU0003_LXEUR</t>
  </si>
  <si>
    <t>2144392_LU0003_LU0003_LXEUR</t>
  </si>
  <si>
    <t>LU0003 CWALT 2006-OA18 A2 CMO FLOAT 25.12.46 LU0003_LXEUR_2144392_LU0003_LU0003_LXEUR</t>
  </si>
  <si>
    <t>19567754_LU0003_LU0003_LXEUR</t>
  </si>
  <si>
    <t>LU0003 MITCHELLS &amp; BUTLER FIN SEC B2 6066179A8_IE0033386453_GBP LU0003_LXEUR_19567754_LU0003_LU0003_LXEUR</t>
  </si>
  <si>
    <t>FHR 3850 FC CMO VAR 15.04.2041_7065947</t>
  </si>
  <si>
    <t>22554550_LU0003_LU0003_LXEUR</t>
  </si>
  <si>
    <t>LU0003 WFMBS RECEIVABLE 94985WDJ7 WFMBREEJ9_IE00B0C18065_USD LU0003_LXEUR_22554550_LU0003_LU0003_LXEUR</t>
  </si>
  <si>
    <t>2555823_LU0003_LU0003_LXEUR</t>
  </si>
  <si>
    <t>LU0003 GPMF 2006-AR5 A3A2 CMO FLOAT 25.10.46 LU0003_LXEUR_2555823_LU0003_LU0003_LXEUR</t>
  </si>
  <si>
    <t>4293508_LU0003_LU0003_LXEUR</t>
  </si>
  <si>
    <t>LU0003 CWHL 2005-17 1A6 CMO 5.500% 25.09.35 LU0003_LXEUR_4293508_LU0003_LU0003_LXEUR</t>
  </si>
  <si>
    <t>FHR 4600 FA CMO VAR 15.11.2044_16974675</t>
  </si>
  <si>
    <t>22623664_LU0003_LU0003_LXEUR</t>
  </si>
  <si>
    <t>LU0003 EMFNL 2008-APRX A2 **PUT REDEMPTION** 3624659C2_IE00B0C18065_EUR LU0003_LXEUR_22623664_LU0003_LU0003_LXEUR</t>
  </si>
  <si>
    <t>FHS 246 F14 CMO VAR 15.05.2037_22554576</t>
  </si>
  <si>
    <t>AHPT 2018-ATRM A MBS VAR 15.06.2035_22554068</t>
  </si>
  <si>
    <t>22554470_LU0003_LU0003_LXEUR</t>
  </si>
  <si>
    <t>LU0003 TPMF 2019-A13A A1 SONIA + 90BP 144A CX2NTE010_IE00BMTRWY37_GBP LU0003_LXEUR_22554470_LU0003_LU0003_LXEUR</t>
  </si>
  <si>
    <t>1921330_LU0003_LU0003_LXEUR</t>
  </si>
  <si>
    <t>LU0003 AMSI 2004-R11 M1 MBS VAR 25.11.2034 LU0003_LXEUR_1921330_LU0003_LU0003_LXEUR</t>
  </si>
  <si>
    <t>22571526_LU0003_LU0003_LXEUR</t>
  </si>
  <si>
    <t>LU0003 CGMS 2015-3A A1R CDO VAR 28.07.2028 LU0003_LXEUR_22571526_LU0003_LU0003_LXEUR</t>
  </si>
  <si>
    <t>7192087_LU0003_LU0003_LXEUR</t>
  </si>
  <si>
    <t>LU0003 SARM 2005-1 2A CMO VAR 25.02.2035 LU0003_LXEUR_7192087_LU0003_LU0003_LXEUR</t>
  </si>
  <si>
    <t>FNR 2010-117 FE CMO VAR 25.10.2040_22554506</t>
  </si>
  <si>
    <t>FNR 2002-77 WF CMO VAR 18.12.2032_7065943</t>
  </si>
  <si>
    <t>7258033_LU0003_LU0003_LXEUR</t>
  </si>
  <si>
    <t>LU0003 RASC 2006-EMX9 2A MBS VAR 25.11.2036 LU0003_LXEUR_7258033_LU0003_LU0003_LXEUR</t>
  </si>
  <si>
    <t>SABR 2006-FR3 A3 MBS VAR 25.05.2036_6388757</t>
  </si>
  <si>
    <t>FHR 4521 AF CMO VAR 15.05.2041_16974607</t>
  </si>
  <si>
    <t>4121874_LU0003_LU0003_LXEUR</t>
  </si>
  <si>
    <t>LU0003 INDX 2007-AR13 4A1 CMO VAR 25.07.2037 LU0003_LXEUR_4121874_LU0003_LU0003_LXEUR</t>
  </si>
  <si>
    <t>2344669_LU0003_LU0003_LXEUR</t>
  </si>
  <si>
    <t>LU0003 WMALT 2007-5 A6 CMO FIX 6.000% 25.06.2037 LU0003_LXEUR_2344669_LU0003_LU0003_LXEUR</t>
  </si>
  <si>
    <t>6973084_LU0003_LU0003_LXEUR</t>
  </si>
  <si>
    <t>LU0003 LABSM 2007-1 2A2 MBS VAR 25.06.2037 LU0003_LXEUR_6973084_LU0003_LU0003_LXEUR</t>
  </si>
  <si>
    <t>1551411_LU0003_LU0003_LXEUR</t>
  </si>
  <si>
    <t>LU0003 GSR 2006-AR1 2A1 CMO VAR 25.01.2036 LU0003_LXEUR_1551411_LU0003_LU0003_LXEUR</t>
  </si>
  <si>
    <t>FHR 5104 DC CMO FIX 1.000% 15.08.2044_24139078</t>
  </si>
  <si>
    <t>1928123_LU0003_LU0003_LXEUR</t>
  </si>
  <si>
    <t>LU0003 BSABS 2006-HE4 1A2 MBS VAR 25.05.2036 LU0003_LXEUR_1928123_LU0003_LU0003_LXEUR</t>
  </si>
  <si>
    <t>CWALT 2005-J11 1A13 CMO FIX 5.500% 25.11.2035_22554542</t>
  </si>
  <si>
    <t>24139179_LU0003_LU0003_LXEUR</t>
  </si>
  <si>
    <t>LU0003 ADIENT US LLC TL B BL3591890_IE00B0C18065_USD LU0003_LXEUR_24139179_LU0003_LU0003_LXEUR</t>
  </si>
  <si>
    <t>6874171_LU0003_LU0003_LXEUR</t>
  </si>
  <si>
    <t>LU0003 MSAC 2005-WMC3 M4 MBS VAR 25.03.2035 LU0003_LXEUR_6874171_LU0003_LU0003_LXEUR</t>
  </si>
  <si>
    <t>4644258_LU0003_LU0003_LXEUR</t>
  </si>
  <si>
    <t>LU0003 MSM 2005-5AR 2A1 CMO FLOAT 25.09.35 LU0003_LXEUR_4644258_LU0003_LU0003_LXEUR</t>
  </si>
  <si>
    <t>4121870_LU0003_LU0003_LXEUR</t>
  </si>
  <si>
    <t>LU0003 CHASE 2006-S3 1A1 CMO FIX 6.000% 25.11.2036 LU0003_LXEUR_4121870_LU0003_LU0003_LXEUR</t>
  </si>
  <si>
    <t>MSAC 2005-NC1 A2MZ MBS VAR 25.01.2035_22554459</t>
  </si>
  <si>
    <t>16974398_LU0003_LU0003_LXEUR</t>
  </si>
  <si>
    <t>LU0003 INEOS FINANCE PLC TL B BL2552430_IE00B3D1YW09_EUR LU0003_LXEUR_16974398_LU0003_LU0003_LXEUR</t>
  </si>
  <si>
    <t>COMM 2014-CR20 ASB MBS FIX 3.305% 10.11.2047_7909091</t>
  </si>
  <si>
    <t>1929096_LU0003_LU0003_LXEUR</t>
  </si>
  <si>
    <t>LU0003 PPSI 2005-WCW3 M2 MBS VAR 25.08.2035 LU0003_LXEUR_1929096_LU0003_LU0003_LXEUR</t>
  </si>
  <si>
    <t>23914793_LU0003_LU0003_LXEUR</t>
  </si>
  <si>
    <t>LU0003 FMACB 2018-1 A1U 1MLIB+80BP CX2LE9011_IE00B67B7N93_USD LU0003_LXEUR_23914793_LU0003_LU0003_LXEUR</t>
  </si>
  <si>
    <t>4907433_LU0003_LU0003_LXEUR</t>
  </si>
  <si>
    <t>LU0003 CWALT 2007-5CB 1A4 CMO 6.000% 25.04.37 LU0003_LXEUR_4907433_LU0003_LU0003_LXEUR</t>
  </si>
  <si>
    <t>24748830_LU0003_LU0003_LXEUR</t>
  </si>
  <si>
    <t>LU0003 CRNCL 2018-10X AR 3MEUR + 78BP REGS CM5C83236_IE00B0C18065_EUR LU0003_LXEUR_24748830_LU0003_LU0003_LXEUR</t>
  </si>
  <si>
    <t>1929132_LU0003_LU0003_LXEUR</t>
  </si>
  <si>
    <t>LU0003 RASC 2005-KS10 M2 MBS VAR 25.11.2035 LU0003_LXEUR_1929132_LU0003_LU0003_LXEUR</t>
  </si>
  <si>
    <t>2555788_LU0003_LU0003_LXEUR</t>
  </si>
  <si>
    <t>LU0003 MARM 2007-3 22A4 CMO FLOAT 25.05.47 LU0003_LXEUR_2555788_LU0003_LU0003_LXEUR</t>
  </si>
  <si>
    <t>23531249_LU0003_LU0003_LXEUR</t>
  </si>
  <si>
    <t>LU0003 GLGE 3X AR 3MEUR + 68BP CX2DOC0J2__EUR LU0003_LXEUR_23531249_LU0003_LU0003_LXEUR</t>
  </si>
  <si>
    <t>557900_LU0003_LU0003_LXEUR</t>
  </si>
  <si>
    <t>LU0003 BALTA 2006-6 31A1 CMO VAR 25.11.2036 LU0003_LXEUR_557900_LU0003_LU0003_LXEUR</t>
  </si>
  <si>
    <t>1928303_LU0003_LU0003_LXEUR</t>
  </si>
  <si>
    <t>LU0003 CWL 2006-17 2A2 MBS VAR 25.03.2047 LU0003_LXEUR_1928303_LU0003_LU0003_LXEUR</t>
  </si>
  <si>
    <t>6405194_LU0003_LU0003_LXEUR</t>
  </si>
  <si>
    <t>LU0003 CBASS 2007-CB6 A3 MBS VAR 25.07.2037 LU0003_LXEUR_6405194_LU0003_LU0003_LXEUR</t>
  </si>
  <si>
    <t>FNR 2012-29 FG CMO VAR 25.04.2042_7065951</t>
  </si>
  <si>
    <t>4954056_LU0003_LU0003_LXEUR</t>
  </si>
  <si>
    <t>LU0003 SEMT 2004-9 A1 CMO VAR 20.10.2034 LU0003_LXEUR_4954056_LU0003_LU0003_LXEUR</t>
  </si>
  <si>
    <t>22554503_LU0003_LU0003_LXEUR</t>
  </si>
  <si>
    <t>LU0003 TURSE 2020-1 A SONIA 3M +125BP CX2504012_IE00BMTRWY37_GBP LU0003_LXEUR_22554503_LU0003_LU0003_LXEUR</t>
  </si>
  <si>
    <t>ACE 2006-HE1 A2D MBS VAR 25.02.2036_6156877</t>
  </si>
  <si>
    <t>22554436_LU0003_LU0003_LXEUR</t>
  </si>
  <si>
    <t>LU0003 DORPK 2015-1A AR CDO VAR 20.04.2028 LU0003_LXEUR_22554436_LU0003_LU0003_LXEUR</t>
  </si>
  <si>
    <t>4626437_LU0003_LU0003_LXEUR</t>
  </si>
  <si>
    <t>LU0003 ABFC 2004-FF1 M1 MBS VAR 25.03.2034 LU0003_LXEUR_4626437_LU0003_LU0003_LXEUR</t>
  </si>
  <si>
    <t>6168278_LU0003_LU0003_LXEUR</t>
  </si>
  <si>
    <t>LU0003 MABS 2005-FRE1 M1 MBS VAR 25.10.2035 LU0003_LXEUR_6168278_LU0003_LU0003_LXEUR</t>
  </si>
  <si>
    <t>4131481_LU0003_LU0003_LXEUR</t>
  </si>
  <si>
    <t>LU0003 ARMT 2005-10 3A31 CMO FLOAT 25.01.36 LU0003_LXEUR_4131481_LU0003_LU0003_LXEUR</t>
  </si>
  <si>
    <t>SMB 2017-B A2B ABS VAR 15.10.2035_22927565</t>
  </si>
  <si>
    <t>4553867_LU0003_LU0003_LXEUR</t>
  </si>
  <si>
    <t>LU0003 GSR 2006-2F 2A13 CMO FIX 5.750% 25.02.2036 LU0003_LXEUR_4553867_LU0003_LU0003_LXEUR</t>
  </si>
  <si>
    <t>6983249_LU0003_LU0003_LXEUR</t>
  </si>
  <si>
    <t>LU0003 PPSI 2004-WWF1 M5 MBS VAR 25.12.2034 LU0003_LXEUR_6983249_LU0003_LU0003_LXEUR</t>
  </si>
  <si>
    <t>535374_LU0003_LU0003_LXEUR</t>
  </si>
  <si>
    <t>LU0003 WAMU 2005-AR19 A1A1 CMO VAR 25.12.2045 LU0003_LXEUR_535374_LU0003_LU0003_LXEUR</t>
  </si>
  <si>
    <t>4530808_LU0003_LU0003_LXEUR</t>
  </si>
  <si>
    <t>LU0003 NHEL 2006-6 2A2 MBS VAR 25.01.2037 LU0003_LXEUR_4530808_LU0003_LU0003_LXEUR</t>
  </si>
  <si>
    <t>22554405_LU0003_LU0003_LXEUR</t>
  </si>
  <si>
    <t>LU0003 NUMERICABLE-SFR SA TL B12 BL2543546__USD LU0003_LXEUR_22554405_LU0003_LU0003_LXEUR</t>
  </si>
  <si>
    <t>22623680_LU0003_LU0003_LXEUR</t>
  </si>
  <si>
    <t>LU0003 CANARY WHARF FIN PLC ASSETBK B 1373009F8_IE00B0C18065_GBP LU0003_LXEUR_22623680_LU0003_LU0003_LXEUR</t>
  </si>
  <si>
    <t>4917949_LU0003_LU0003_LXEUR</t>
  </si>
  <si>
    <t>LU0003 SGMS 2006-OPT2 A3D MBS VAR 25.10.2036 LU0003_LXEUR_4917949_LU0003_LU0003_LXEUR</t>
  </si>
  <si>
    <t>1929214_LU0003_LU0003_LXEUR</t>
  </si>
  <si>
    <t>LU0003 SAIL 2005-11 A3 MBS VAR 25.01.2036 LU0003_LXEUR_1929214_LU0003_LU0003_LXEUR</t>
  </si>
  <si>
    <t>1533442_LU0003_LU0003_LXEUR</t>
  </si>
  <si>
    <t>LU0003 SAMI 2007-AR4 A4A CMO FLOAT 25.09.47 LU0003_LXEUR_1533442_LU0003_LU0003_LXEUR</t>
  </si>
  <si>
    <t>22554535_LU0003_LU0003_LXEUR</t>
  </si>
  <si>
    <t>LU0003 NRZT 2018-RPL1 A1 CMO FIX 3.500% 25.12.2057 LU0003_LXEUR_22554535_LU0003_LU0003_LXEUR</t>
  </si>
  <si>
    <t>19567849_LU0003_LU0003_LXEUR</t>
  </si>
  <si>
    <t>LU0003 CHARTER COMMU OPER TL B2 1L BL3196914_IE0033386453_USD LU0003_LXEUR_19567849_LU0003_LU0003_LXEUR</t>
  </si>
  <si>
    <t>20113516_LU0003_LU0003_LXEUR</t>
  </si>
  <si>
    <t>LU0003 GLDR 2019-UKA A 1M SONIA+54BP CX2ENE016_IE00B5ZR2157_GBP LU0003_LXEUR_20113516_LU0003_LU0003_LXEUR</t>
  </si>
  <si>
    <t>2058673_LU0003_LU0003_LXEUR</t>
  </si>
  <si>
    <t>LU0003 MLCC 2005-3 1A CMO FLOAT 25.11.35 LU0003_LXEUR_2058673_LU0003_LU0003_LXEUR</t>
  </si>
  <si>
    <t>GNR 2014-H10 FA CMO VAR 20.04.2064_16974059</t>
  </si>
  <si>
    <t>16974804_LU0003_LU0003_LXEUR</t>
  </si>
  <si>
    <t>LU0003 PSTAT 2018-3A A1 CDO VAR 15.08.2026 LU0003_LXEUR_16974804_LU0003_LU0003_LXEUR</t>
  </si>
  <si>
    <t>25094461_LU0003_LU0003_LXEUR</t>
  </si>
  <si>
    <t>LU0003 PSTET 2021-1X A 3MEUR + 78BP CX37AO012_IE00B5ZR2157_EUR LU0003_LXEUR_25094461_LU0003_LU0003_LXEUR</t>
  </si>
  <si>
    <t>2512612_LU0003_LU0003_LXEUR</t>
  </si>
  <si>
    <t>LU0003 CWALT 2006-45T1 1A13 CMO 6.000% 25.02.37 LU0003_LXEUR_2512612_LU0003_LU0003_LXEUR</t>
  </si>
  <si>
    <t>4626435_LU0003_LU0003_LXEUR</t>
  </si>
  <si>
    <t>LU0003 CSMC 2006-7 10A1 CMO FIX 6.750% 25.08.2036 LU0003_LXEUR_4626435_LU0003_LU0003_LXEUR</t>
  </si>
  <si>
    <t>WFCM 2013-LC12 A3FL MBS VAR 15.07.2046_16974979</t>
  </si>
  <si>
    <t>1928649_LU0003_LU0003_LXEUR</t>
  </si>
  <si>
    <t>LU0003 HEAT 2005-7 M1 MBS VAR 25.01.2036 LU0003_LXEUR_1928649_LU0003_LU0003_LXEUR</t>
  </si>
  <si>
    <t>22623668_LU0003_LU0003_LXEUR</t>
  </si>
  <si>
    <t>LU0003 ACE 2006-FM1 A2C MBS VAR 25.07.2036 LU0003_LXEUR_22623668_LU0003_LU0003_LXEUR</t>
  </si>
  <si>
    <t>22554303_LU0003_LU0003_LXEUR</t>
  </si>
  <si>
    <t>LU0003 WFMBS RECEIVABLE 94983YAH2 WFMBRECG7_IE00B0C18065_USD LU0003_LXEUR_22554303_LU0003_LU0003_LXEUR</t>
  </si>
  <si>
    <t>4709466_LU0003_LU0003_LXEUR</t>
  </si>
  <si>
    <t>LU0003 RALI 2007-QA2 A3 CMO VAR 25.02.2037 LU0003_LXEUR_4709466_LU0003_LU0003_LXEUR</t>
  </si>
  <si>
    <t>24748939_LU0003_LU0003_LXEUR</t>
  </si>
  <si>
    <t>LU0003 GNR 2021-H09 FG CMO VAR 20.06.2071 LU0003_LXEUR_24748939_LU0003_LU0003_LXEUR</t>
  </si>
  <si>
    <t>25428015_LU0003_LU0003_LXEUR</t>
  </si>
  <si>
    <t>LU0003 TCLO 6X AR 3MEUR + 92BP CX2DVL0K1_IE00B0C18065_EUR LU0003_LXEUR_25428015_LU0003_LU0003_LXEUR</t>
  </si>
  <si>
    <t>4653093_LU0003_LU0003_LXEUR</t>
  </si>
  <si>
    <t>LU0003 MSBAM 2013-C8 XA MBS FIX 1.044% 15.12.2048 LU0003_LXEUR_4653093_LU0003_LU0003_LXEUR</t>
  </si>
  <si>
    <t>1551594_LU0003_LU0003_LXEUR</t>
  </si>
  <si>
    <t>LU0003 MLMBS 2007-1 2A1 CMO VAR 25.04.2037 LU0003_LXEUR_1551594_LU0003_LU0003_LXEUR</t>
  </si>
  <si>
    <t>15667675_LU0003_LU0003_LXEUR</t>
  </si>
  <si>
    <t>LU0003 BX 2018-IND A MBS VAR 15.11.2035 LU0003_LXEUR_15667675_LU0003_LU0003_LXEUR</t>
  </si>
  <si>
    <t>23914628_LU0003_LU0003_LXEUR</t>
  </si>
  <si>
    <t>LU0003 ARMDA 3X A1R 3MEUR+72BP CX20ND0L4_IE00B0C18065_EUR LU0003_LXEUR_23914628_LU0003_LU0003_LXEUR</t>
  </si>
  <si>
    <t>994109_LU0003_LU0003_LXEUR</t>
  </si>
  <si>
    <t>LU0003 CWHL 2005-HYB6 5A1 CMO VAR 20.10.2035 LU0003_LXEUR_994109_LU0003_LU0003_LXEUR</t>
  </si>
  <si>
    <t>24395286_LU0003_LU0003_LXEUR</t>
  </si>
  <si>
    <t>LU0003 ARESE 10X AR 3MEUR + 78BP CMEF70202_IE00B0C18065_EUR LU0003_LXEUR_24395286_LU0003_LU0003_LXEUR</t>
  </si>
  <si>
    <t>4397122_LU0003_LU0003_LXEUR</t>
  </si>
  <si>
    <t>LU0003 CARR 2006-FRE2 A4 MBS VAR 25.10.2036 LU0003_LXEUR_4397122_LU0003_LU0003_LXEUR</t>
  </si>
  <si>
    <t>2644526_LU0003_LU0003_LXEUR</t>
  </si>
  <si>
    <t>LU0003 MSM 2007-13 6A1 CMO FIX 6.000% 25.10.2037 LU0003_LXEUR_2644526_LU0003_LU0003_LXEUR</t>
  </si>
  <si>
    <t>994099_LU0003_LU0003_LXEUR</t>
  </si>
  <si>
    <t>LU0003 CWALT 2006-OC11 2A2A CMO VAR 25.01.2037 LU0003_LXEUR_994099_LU0003_LU0003_LXEUR</t>
  </si>
  <si>
    <t>20113369_LU0003_LU0003_LXEUR</t>
  </si>
  <si>
    <t>LU0003 TPMF 2019-GR4X A1 3MGBP + 102.50BP CX2A9H013_IE00B5ZR2157_GBP LU0003_LXEUR_20113369_LU0003_LU0003_LXEUR</t>
  </si>
  <si>
    <t>4442943_LU0003_LU0003_LXEUR</t>
  </si>
  <si>
    <t>LU0003 CWALT 2006-46 A7 CMO FIX 6.000% 25.02.2047 LU0003_LXEUR_4442943_LU0003_LU0003_LXEUR</t>
  </si>
  <si>
    <t>4105207_LU0003_LU0003_LXEUR</t>
  </si>
  <si>
    <t>LU0003 RALI 2006-QA7 1A1 CMO VAR 25.08.2036 LU0003_LXEUR_4105207_LU0003_LU0003_LXEUR</t>
  </si>
  <si>
    <t>1928989_LU0003_LU0003_LXEUR</t>
  </si>
  <si>
    <t>LU0003 MSAC 2007-HE2 A2C MBS VAR 25.01.2037 LU0003_LXEUR_1928989_LU0003_LU0003_LXEUR</t>
  </si>
  <si>
    <t>22554556_LU0003_LU0003_LXEUR</t>
  </si>
  <si>
    <t>LU0003 GHM 2006-1 A2A 3MGBP+15BP REGS 2886269D8_IE00BMTRWY37_GBP LU0003_LXEUR_22554556_LU0003_LU0003_LXEUR</t>
  </si>
  <si>
    <t>FR SD8012 MBS FIX 4.000% 01.09.2049_22554309</t>
  </si>
  <si>
    <t>COMM 2013-CR6 A3FL MBS VAR 10.03.2046_22554511</t>
  </si>
  <si>
    <t>4115676_LU0003_LU0003_LXEUR</t>
  </si>
  <si>
    <t>LU0003 NAA 2005-AR4 3A1 CMO VAR 25.08.2035 LU0003_LXEUR_4115676_LU0003_LU0003_LXEUR</t>
  </si>
  <si>
    <t>557241_LU0003_LU0003_LXEUR</t>
  </si>
  <si>
    <t>LU0003 FSPC T-61 1A1 CMO VAR 25.07.2044 LU0003_LXEUR_557241_LU0003_LU0003_LXEUR</t>
  </si>
  <si>
    <t>4482442_LU0003_LU0003_LXEUR</t>
  </si>
  <si>
    <t>LU0003 CWALT 2006-19CB A15 CMO FIX 6.000% 25.08.2036 LU0003_LXEUR_4482442_LU0003_LU0003_LXEUR</t>
  </si>
  <si>
    <t>2931276_LU0003_LU0003_LXEUR</t>
  </si>
  <si>
    <t>LU0003 SARM 2007-9 1A1 CMO VAR 25.10.2037 LU0003_LXEUR_2931276_LU0003_LU0003_LXEUR</t>
  </si>
  <si>
    <t>FHR 4697 WF CMO VAR 15.06.2038_22554491</t>
  </si>
  <si>
    <t>4586745_LU0003_LU0003_LXEUR</t>
  </si>
  <si>
    <t>LU0003 CWHL 2007-2 A3 CMO 6.000% 25.03.37 LU0003_LXEUR_4586745_LU0003_LU0003_LXEUR</t>
  </si>
  <si>
    <t>FNR 2007-38 FB CMO VAR 25.05.2037_22554314</t>
  </si>
  <si>
    <t>22062045_LU0003_LU0003_LXEUR</t>
  </si>
  <si>
    <t>LU0003 CANBY 3 A1 SONIA1M + 100BP CM0H12015__GBP LU0003_LXEUR_22062045_LU0003_LU0003_LXEUR</t>
  </si>
  <si>
    <t>MSST 2007-1 A3 MBS VAR 25.06.2037_22554592</t>
  </si>
  <si>
    <t>413451_LU0003_LU0003_LXEUR</t>
  </si>
  <si>
    <t>LU0003 WAMU 2005-AR1 A1A CMO FLOAT 25.01.45 LU0003_LXEUR_413451_LU0003_LU0003_LXEUR</t>
  </si>
  <si>
    <t>4602114_LU0003_LU0003_LXEUR</t>
  </si>
  <si>
    <t>LU0003 ACCR 2006-1 A4 MBS VAR 25.04.2036 LU0003_LXEUR_4602114_LU0003_LU0003_LXEUR</t>
  </si>
  <si>
    <t>FNR 2007-41 FA CMO VAR 25.05.2037_22554359</t>
  </si>
  <si>
    <t>2644343_LU0003_LU0003_LXEUR</t>
  </si>
  <si>
    <t>LU0003 CMLTI 2004-HYB1 A31 CMO VAR 25.02.2034 LU0003_LXEUR_2644343_LU0003_LU0003_LXEUR</t>
  </si>
  <si>
    <t>22623676_LU0003_LU0003_LXEUR</t>
  </si>
  <si>
    <t>LU0003 CWHL 2006-OA4 A2 CMO VAR 25.04.2046 LU0003_LXEUR_22623676_LU0003_LU0003_LXEUR</t>
  </si>
  <si>
    <t>2931255_LU0003_LU0003_LXEUR</t>
  </si>
  <si>
    <t>LU0003 JPMMT 2007-A4 3A1 CMO VAR 25.06.2037 LU0003_LXEUR_2931255_LU0003_LU0003_LXEUR</t>
  </si>
  <si>
    <t>21027854_LU0003_LU0003_LXEUR</t>
  </si>
  <si>
    <t>LU0003 LCM 20X AR CDO VAR 20.10.2027 LU0003_LXEUR_21027854_LU0003_LU0003_LXEUR</t>
  </si>
  <si>
    <t>4722216_LU0003_LU0003_LXEUR</t>
  </si>
  <si>
    <t>LU0003 RFMSI 2006-S10 1A1 CMO FIX 6.000% 25.10.2036 LU0003_LXEUR_4722216_LU0003_LU0003_LXEUR</t>
  </si>
  <si>
    <t>2219133_LU0003_LU0003_LXEUR</t>
  </si>
  <si>
    <t>LU0003 BSARM 2005-1 2A1 CMO VAR 25.03.2035 LU0003_LXEUR_2219133_LU0003_LU0003_LXEUR</t>
  </si>
  <si>
    <t>4119244_LU0003_LU0003_LXEUR</t>
  </si>
  <si>
    <t>LU0003 WAMU 2007-HY1 3A1 CMO FLOAT 25.02.37 LU0003_LXEUR_4119244_LU0003_LU0003_LXEUR</t>
  </si>
  <si>
    <t>24395144_LU0003_LU0003_LXEUR</t>
  </si>
  <si>
    <t>LU0003 PRISE 2021-1 A 1MEUR + 75BP CX31Q1018_IE00B5ZR2157_EUR LU0003_LXEUR_24395144_LU0003_LU0003_LXEUR</t>
  </si>
  <si>
    <t>4872356_LU0003_LU0003_LXEUR</t>
  </si>
  <si>
    <t>LU0003 JPMMT 2006-S2 3A10 CMO FIX 6.500% 25.07.2036 LU0003_LXEUR_4872356_LU0003_LU0003_LXEUR</t>
  </si>
  <si>
    <t>17619769_LU0003_LU0003_LXEUR</t>
  </si>
  <si>
    <t>LU0003 NUMERICABLE-SFR SA TL B12 BL2543520_IE00B3D1YW09_EUR LU0003_LXEUR_17619769_LU0003_LU0003_LXEUR</t>
  </si>
  <si>
    <t>2931249_LU0003_LU0003_LXEUR</t>
  </si>
  <si>
    <t>LU0003 HVMLT 2005-4 4A CMO VAR 19.07.35 LU0003_LXEUR_2931249_LU0003_LU0003_LXEUR</t>
  </si>
  <si>
    <t>4861761_LU0003_LU0003_LXEUR</t>
  </si>
  <si>
    <t>LU0003 RALI 2007-QS4 1A4 CMO FIX 6.250% 25.03.2037 LU0003_LXEUR_4861761_LU0003_LU0003_LXEUR</t>
  </si>
  <si>
    <t>4165731_LU0003_LU0003_LXEUR</t>
  </si>
  <si>
    <t>LU0003 STALT 2005-1F 1A1 CMO VAR 25.12.2035 LU0003_LXEUR_4165731_LU0003_LU0003_LXEUR</t>
  </si>
  <si>
    <t>IMSA 2007-1 A2 CMO VAR 25.03.2037_22623663</t>
  </si>
  <si>
    <t>MSBAM 2013-C7 A4 MBS FIX 2.918% 15.02.2046_4721451</t>
  </si>
  <si>
    <t>FHLT 2005-A M3 MBS VAR 25.01.2035_22554226</t>
  </si>
  <si>
    <t>1928471_LU0003_LU0003_LXEUR</t>
  </si>
  <si>
    <t>LU0003 CWL 2007-6 2A3 MBS VAR 25.09.2037 LU0003_LXEUR_1928471_LU0003_LU0003_LXEUR</t>
  </si>
  <si>
    <t>1927917_LU0003_LU0003_LXEUR</t>
  </si>
  <si>
    <t>LU0003 ABSHE 2005-HE8 M2 MBS VAR 25.11.2035 LU0003_LXEUR_1927917_LU0003_LU0003_LXEUR</t>
  </si>
  <si>
    <t>1551561_LU0003_LU0003_LXEUR</t>
  </si>
  <si>
    <t>LU0003 CWALT 2006-OA11 A1B CMO VAR 25.09.2046 LU0003_LXEUR_1551561_LU0003_LU0003_LXEUR</t>
  </si>
  <si>
    <t>23364750_LU0003_LU0003_LXEUR</t>
  </si>
  <si>
    <t>LU0003 VENTR 2017-29A AR CDO VAR 07.09.2030 LU0003_LXEUR_23364750_LU0003_LU0003_LXEUR</t>
  </si>
  <si>
    <t>20113326_LU0003_LU0003_LXEUR</t>
  </si>
  <si>
    <t>LU0003 JUBIL 2014-14X A1R 3MEUR+98BP CMEC17101_IE00B5ZR2157_EUR LU0003_LXEUR_20113326_LU0003_LU0003_LXEUR</t>
  </si>
  <si>
    <t>24139057_LU0003_LU0003_LXEUR</t>
  </si>
  <si>
    <t>LU0003 OHECP 2018-7A AR 3MEUR+74BP 144A CMEF73206_IE00BMTRWY37_EUR LU0003_LXEUR_24139057_LU0003_LU0003_LXEUR</t>
  </si>
  <si>
    <t>ELAT 2007-2 A1 MBS VAR 25.05.2037_22623687</t>
  </si>
  <si>
    <t>FHR 4730 WF CMO VAR 15.08.2038_22554457</t>
  </si>
  <si>
    <t>25094494_LU0003_LU0003_LXEUR</t>
  </si>
  <si>
    <t>LU0003 TIKEH 2015-1A ARR 3MEUR +87BP 144A CMOD07331_IE00BMTRWY37_EUR LU0003_LXEUR_25094494_LU0003_LU0003_LXEUR</t>
  </si>
  <si>
    <t>MABS 2005-HE2 M4 MBS VAR 25.10.2035_23207343</t>
  </si>
  <si>
    <t>NHEL 2005-4 M1 MBS VAR 25.01.2036_15148670</t>
  </si>
  <si>
    <t>1608150_LU0003_LU0003_LXEUR</t>
  </si>
  <si>
    <t>LU0003 CWL 2007-9 2A3 MBS VAR 25.06.2047 LU0003_LXEUR_1608150_LU0003_LU0003_LXEUR</t>
  </si>
  <si>
    <t>FNR 2016-40 EF CMO VAR 25.07.2046_16974603</t>
  </si>
  <si>
    <t>22062048_LU0003_LU0003_LXEUR</t>
  </si>
  <si>
    <t>LU0003 CBAM 2018-8A A1 CDO VAR 20.10.2029 LU0003_LXEUR_22062048_LU0003_LU0003_LXEUR</t>
  </si>
  <si>
    <t>22554097_LU0003_LU0003_LXEUR</t>
  </si>
  <si>
    <t>LU0003 NUMERICABLE-SFR SA TL B11 BL2389569__USD LU0003_LXEUR_22554097_LU0003_LU0003_LXEUR</t>
  </si>
  <si>
    <t>4549736_LU0003_LU0003_LXEUR</t>
  </si>
  <si>
    <t>LU0003 ACE 2005-HE7 M1 MBS VAR 25.11.2035 LU0003_LXEUR_4549736_LU0003_LU0003_LXEUR</t>
  </si>
  <si>
    <t>7323152_LU0003_LU0003_LXEUR</t>
  </si>
  <si>
    <t>LU0003 MSRR 2010-R5 3B CMO STEP 1.052% 26.03.2037 LU0003_LXEUR_7323152_LU0003_LU0003_LXEUR</t>
  </si>
  <si>
    <t>2937141_LU0003_LU0003_LXEUR</t>
  </si>
  <si>
    <t>LU0003 CWALT 2004-28CB 5A1 CMO FIX 5.750% 25.01.2035 LU0003_LXEUR_2937141_LU0003_LU0003_LXEUR</t>
  </si>
  <si>
    <t>SMB 2015-A A2A ABS FIX 2.490% 15.06.2027_8842299</t>
  </si>
  <si>
    <t>22623642_LU0003_LU0003_LXEUR</t>
  </si>
  <si>
    <t>LU0003 TRAFFORD CENTRE FIN LTD FRN A3 8762009D0_IE00B0C18065_GBP LU0003_LXEUR_22623642_LU0003_LU0003_LXEUR</t>
  </si>
  <si>
    <t>FNR 2005-79 NF CMO FLOAT 25.09.35_3130048</t>
  </si>
  <si>
    <t>25159029_LU0003_LU0003_LXEUR</t>
  </si>
  <si>
    <t>LU0003 RAMC 2006-4 AF6 MBS STEP 5.340% 25.01.2037 LU0003_LXEUR_25159029_LU0003_LU0003_LXEUR</t>
  </si>
  <si>
    <t>4361196_LU0003_LU0003_LXEUR</t>
  </si>
  <si>
    <t>LU0003 CMALT 2007-A6 1A7 CMO 6.000% 25.06.37 LU0003_LXEUR_4361196_LU0003_LU0003_LXEUR</t>
  </si>
  <si>
    <t>1929175_LU0003_LU0003_LXEUR</t>
  </si>
  <si>
    <t>LU0003 RASC 2006-KS7 A4 MBS VAR 25.09.2036 LU0003_LXEUR_1929175_LU0003_LU0003_LXEUR</t>
  </si>
  <si>
    <t>22623773_LU0003_LU0003_LXEUR</t>
  </si>
  <si>
    <t>LU0003 SLFT 2017-AA A 144A 85172PAA5_IE00BMTRWY37_USD LU0003_LXEUR_22623773_LU0003_LU0003_LXEUR</t>
  </si>
  <si>
    <t>FHR 4680 FP CMO VAR 15.12.2046_17849963</t>
  </si>
  <si>
    <t>20113533_LU0003_LU0003_LXEUR</t>
  </si>
  <si>
    <t>LU0003 DAOT 6 A 1MBBSW+ 90BP CX2ITM013_IE00B5ZR2157_AUD LU0003_LXEUR_20113533_LU0003_LU0003_LXEUR</t>
  </si>
  <si>
    <t>FNR 2020-54 WF CMO VAR 25.08.2050_21382664</t>
  </si>
  <si>
    <t>FHR 5115 EM CMO FIX 1.000% 15.09.2044_24395135</t>
  </si>
  <si>
    <t>22554117_LU0003_LU0003_LXEUR</t>
  </si>
  <si>
    <t>LU0003 EHMU 2007-1 A 3MGBP+15 2904169A6_IE00BMTRWY37_GBP LU0003_LXEUR_22554117_LU0003_LU0003_LXEUR</t>
  </si>
  <si>
    <t>1928589_LU0003_LU0003_LXEUR</t>
  </si>
  <si>
    <t>LU0003 FFML 2006-FF5 2A4 MBS VAR 25.04.2036 LU0003_LXEUR_1928589_LU0003_LU0003_LXEUR</t>
  </si>
  <si>
    <t>4667232_LU0003_LU0003_LXEUR</t>
  </si>
  <si>
    <t>LU0003 GSAA 2007-8 A3 MBS VAR 25.08.2037 LU0003_LXEUR_4667232_LU0003_LU0003_LXEUR</t>
  </si>
  <si>
    <t>4447023_LU0003_LU0003_LXEUR</t>
  </si>
  <si>
    <t>LU0003 CWALT 2005-85CB 2A6 CMO FLOAT 25.02.36 LU0003_LXEUR_4447023_LU0003_LU0003_LXEUR</t>
  </si>
  <si>
    <t>PERMM 2019-1A 1A1 CMO VAR 15.07.2058_19216294</t>
  </si>
  <si>
    <t>22554305_LU0003_LU0003_LXEUR</t>
  </si>
  <si>
    <t>LU0003 MITCHELLS &amp; BUTLERS FIN SEC C1 6066179C4_IE00B0C18065_GBP LU0003_LXEUR_22554305_LU0003_LU0003_LXEUR</t>
  </si>
  <si>
    <t>21784703_LU0003_LU0003_LXEUR</t>
  </si>
  <si>
    <t>LU0003 RMS 32X A SONIA3M + 125BP REGS CM5G99019_IE00B5ZR2157_GBP LU0003_LXEUR_21784703_LU0003_LU0003_LXEUR</t>
  </si>
  <si>
    <t>1928962_LU0003_LU0003_LXEUR</t>
  </si>
  <si>
    <t>LU0003 MSAC 2006-NC5 A2C MBS VAR 25.10.2036 LU0003_LXEUR_1928962_LU0003_LU0003_LXEUR</t>
  </si>
  <si>
    <t>556162_LU0003_LU0003_LXEUR</t>
  </si>
  <si>
    <t>LU0003 SVHE 2006-NLC1 A1 MBS VAR 25.11.2036 LU0003_LXEUR_556162_LU0003_LU0003_LXEUR</t>
  </si>
  <si>
    <t>2955051_LU0003_LU0003_LXEUR</t>
  </si>
  <si>
    <t>LU0003 MSDWC 2003-NC2 M1 MBS VAR 25.02.2033 LU0003_LXEUR_2955051_LU0003_LU0003_LXEUR</t>
  </si>
  <si>
    <t>6874172_LU0003_LU0003_LXEUR</t>
  </si>
  <si>
    <t>LU0003 PPSI 2005-WHQ1 M5 MBS VAR 25.03.2035 LU0003_LXEUR_6874172_LU0003_LU0003_LXEUR</t>
  </si>
  <si>
    <t>4546082_LU0003_LU0003_LXEUR</t>
  </si>
  <si>
    <t>LU0003 JPALT 2007-A2 2A1 CMO VAR 25.05.2037 LU0003_LXEUR_4546082_LU0003_LU0003_LXEUR</t>
  </si>
  <si>
    <t>SLCLT 2005-3 A3 ABS VAR 15.06.2029_14504617</t>
  </si>
  <si>
    <t>8823302_LU0003_LU0003_LXEUR</t>
  </si>
  <si>
    <t>LU0003 MSAC 2006-HE2 A2C MBS VAR 25.03.2036 LU0003_LXEUR_8823302_LU0003_LU0003_LXEUR</t>
  </si>
  <si>
    <t>GNR 2010-15 AF CMO VAR 20.02.2040_20113242</t>
  </si>
  <si>
    <t>FNA 2016-M5 FA MBS VAR 25.04.2023_16974602</t>
  </si>
  <si>
    <t>1551418_LU0003_LU0003_LXEUR</t>
  </si>
  <si>
    <t>LU0003 CWALT 2005-59 1A1 CMO VAR 20.11.2035 LU0003_LXEUR_1551418_LU0003_LU0003_LXEUR</t>
  </si>
  <si>
    <t>22554540_LU0003_LU0003_LXEUR</t>
  </si>
  <si>
    <t>LU0003 WFMBS RECEIVABLE 94983LBB2 WFMBREFT6_IE00B0C18065_USD LU0003_LXEUR_22554540_LU0003_LU0003_LXEUR</t>
  </si>
  <si>
    <t>SMB 2016-C A2A ABS FIX 2.340% 15.09.2034_11757687</t>
  </si>
  <si>
    <t>1929020_LU0003_LU0003_LXEUR</t>
  </si>
  <si>
    <t>LU0003 MSAC 2007-HE7 A2C MBS VAR 25.07.2037 LU0003_LXEUR_1929020_LU0003_LU0003_LXEUR</t>
  </si>
  <si>
    <t>FHR 3232 KF CMO VAR 15.10.2036_22554252</t>
  </si>
  <si>
    <t>7031046_LU0003_LU0003_LXEUR</t>
  </si>
  <si>
    <t>LU0003 MSM 2004-11AR 1A1 CMO VAR 25.01.2035 LU0003_LXEUR_7031046_LU0003_LU0003_LXEUR</t>
  </si>
  <si>
    <t>539507_LU0003_LU0003_LXEUR</t>
  </si>
  <si>
    <t>LU0003 WMALT 2005-5 CB3 CMO FIX 5.500% 25.07.2035 LU0003_LXEUR_539507_LU0003_LU0003_LXEUR</t>
  </si>
  <si>
    <t>BSABS 2004-HE2 M4 MBS VAR 25.03.2034_22554454</t>
  </si>
  <si>
    <t>NRPL 2018-2A A1 CMO STEP 4.250% 25.07.2067_22554344</t>
  </si>
  <si>
    <t>20113360_LU0003_LU0003_LXEUR</t>
  </si>
  <si>
    <t>LU0003 BABSE 2015-1X A1RE CDO VAR 25.10.2029 LU0003_LXEUR_20113360_LU0003_LU0003_LXEUR</t>
  </si>
  <si>
    <t>4337948_LU0003_LU0003_LXEUR</t>
  </si>
  <si>
    <t>LU0003 LXS 2007-15N 4A1 CMO VAR 25.08.2047 LU0003_LXEUR_4337948_LU0003_LU0003_LXEUR</t>
  </si>
  <si>
    <t>FNR 2007-42 FG CMO VAR 25.05.2037_22554268</t>
  </si>
  <si>
    <t>CWALT 2007-15CB A6 CMO FIX 5.750% 25.07.2037_22554189</t>
  </si>
  <si>
    <t>4184775_LU0003_LU0003_LXEUR</t>
  </si>
  <si>
    <t>LU0003 CHASE 2007-S2 1A8 CMO 6.000% 25.03.37 LU0003_LXEUR_4184775_LU0003_LU0003_LXEUR</t>
  </si>
  <si>
    <t>4586757_LU0003_LU0003_LXEUR</t>
  </si>
  <si>
    <t>LU0003 PRIME 2006-1 2A7 CMO FIX 6.000% 25.06.2036 LU0003_LXEUR_4586757_LU0003_LU0003_LXEUR</t>
  </si>
  <si>
    <t>6882366_LU0003_LU0003_LXEUR</t>
  </si>
  <si>
    <t>LU0003 SABR 2006-HE1 A2B MBS VAR 25.07.2036 LU0003_LXEUR_6882366_LU0003_LU0003_LXEUR</t>
  </si>
  <si>
    <t>CWALT 2005-36 2A1A CMO VAR 25.08.2035_6599957</t>
  </si>
  <si>
    <t>4482443_LU0003_LU0003_LXEUR</t>
  </si>
  <si>
    <t>LU0003 CFLX 2007-3 2A1 CMO VAR 25.07.2037 LU0003_LXEUR_4482443_LU0003_LU0003_LXEUR</t>
  </si>
  <si>
    <t>FHR 4906 WF CMO VAR 15.12.2038_18746166</t>
  </si>
  <si>
    <t>1929180_LU0003_LU0003_LXEUR</t>
  </si>
  <si>
    <t>LU0003 RASC 2006-KS9 A13 ABS FLOAT 25.11.2036 LU0003_LXEUR_1929180_LU0003_LU0003_LXEUR</t>
  </si>
  <si>
    <t>6856475_LU0003_LU0003_LXEUR</t>
  </si>
  <si>
    <t>LU0003 RAAC 2007-RP4 A MBS VAR 25.11.2046 LU0003_LXEUR_6856475_LU0003_LU0003_LXEUR</t>
  </si>
  <si>
    <t>22554591_LU0003_LU0003_LXEUR</t>
  </si>
  <si>
    <t>LU0003 HWKSM 2019-1X A SONIA +105BP CX2FRJ018_IE00BMTRWY37_GBP LU0003_LXEUR_22554591_LU0003_LU0003_LXEUR</t>
  </si>
  <si>
    <t>22554214_LU0003_LU0003_LXEUR</t>
  </si>
  <si>
    <t>LU0003 BLUEM 2015-2A A1R CDO VAR 18.07.2027 LU0003_LXEUR_22554214_LU0003_LU0003_LXEUR</t>
  </si>
  <si>
    <t>6186714_LU0003_LU0003_LXEUR</t>
  </si>
  <si>
    <t>LU0003 AABST 2005-2 M2 MBS VAR 25.06.2035 LU0003_LXEUR_6186714_LU0003_LU0003_LXEUR</t>
  </si>
  <si>
    <t>G2 80054 MBS VAR 20.03.2027_22554515</t>
  </si>
  <si>
    <t>1928269_LU0003_LU0003_LXEUR</t>
  </si>
  <si>
    <t>LU0003 CWL 2005-AB4 2A4 MBS VAR 25.03.2036 LU0003_LXEUR_1928269_LU0003_LU0003_LXEUR</t>
  </si>
  <si>
    <t>MSM 2006-16AX 3A1 MBS FIX TO FLOAT 1.405% 25.11.2036_2931264</t>
  </si>
  <si>
    <t>25428118_LU0003_LU0003_LXEUR</t>
  </si>
  <si>
    <t>LU0003 CGMSE 2019-2X A1R 3MEUR + 89BP CX2EM50R9_IE00B0C18065_EUR LU0003_LXEUR_25428118_LU0003_LU0003_LXEUR</t>
  </si>
  <si>
    <t>20113278_LU0003_LU0003_LXEUR</t>
  </si>
  <si>
    <t>LU0003 PRADO 3 A 3MEUR + 65BP CMIA78012_IE00B5ZR2157_EUR LU0003_LXEUR_20113278_LU0003_LU0003_LXEUR</t>
  </si>
  <si>
    <t>GNR 2016-H20 PT CMO FIX 2.819% 20.09.2066_22623661</t>
  </si>
  <si>
    <t>4172302_LU0003_LU0003_LXEUR</t>
  </si>
  <si>
    <t>LU0003 HMBT 2005-4 A2 CMO FLOAT 25.10.35 LU0003_LXEUR_4172302_LU0003_LU0003_LXEUR</t>
  </si>
  <si>
    <t>24394918_LU0003_LU0003_LXEUR</t>
  </si>
  <si>
    <t>LU0003 SMI 2018-1X 1A 3MLIB + 39BP CX2KT0016_IE00B67B7N93_USD LU0003_LXEUR_24394918_LU0003_LU0003_LXEUR</t>
  </si>
  <si>
    <t>6497881_LU0003_LU0003_LXEUR</t>
  </si>
  <si>
    <t>LU0003 ABFC 2006-HE1 A2B MBS VAR 25.01.2037 LU0003_LXEUR_6497881_LU0003_LU0003_LXEUR</t>
  </si>
  <si>
    <t>22554194_LU0003_LU0003_LXEUR</t>
  </si>
  <si>
    <t>LU0003 ALBAC 1A A 3MEUR+153BP 144A CX2OML019_IE00BMTRWY37_EUR LU0003_LXEUR_22554194_LU0003_LU0003_LXEUR</t>
  </si>
  <si>
    <t>CWL 2006-1 AF6 MBS FIX 4.553% 25.07.2036_506411</t>
  </si>
  <si>
    <t>CWALT 2007-OA3 1A1 CMO VAR 25.04.2047_4158073</t>
  </si>
  <si>
    <t>GSMS 2014-GC18 AAB MBS FIX 3.648% 10.01.2047_6683584</t>
  </si>
  <si>
    <t>22623671_LU0003_LU0003_LXEUR</t>
  </si>
  <si>
    <t>LU0003 MABS 2006-HE3 A2 MBS VAR 25.08.2036 LU0003_LXEUR_22623671_LU0003_LU0003_LXEUR</t>
  </si>
  <si>
    <t>FNR 2007-84 FN CMO VAR 25.08.2037_22554085</t>
  </si>
  <si>
    <t>5231462_LU0003_LU0003_LXEUR</t>
  </si>
  <si>
    <t>LU0003 CWALT 2006-J8 A2 CMO 6.000% 25.02.37 LU0003_LXEUR_5231462_LU0003_LU0003_LXEUR</t>
  </si>
  <si>
    <t>JPMCC 2018-LAQ A MBS VAR 15.06.2032_15099701</t>
  </si>
  <si>
    <t>FNR 2007-27 FA CMO VAR 25.04.2037_22554461</t>
  </si>
  <si>
    <t>1928537_LU0003_LU0003_LXEUR</t>
  </si>
  <si>
    <t>LU0003 FFML 2006-FF11 2A4 MBS VAR 25.08.2036 LU0003_LXEUR_1928537_LU0003_LU0003_LXEUR</t>
  </si>
  <si>
    <t>FHR 4722 FA CMO VAR 15.05.2038_16974677</t>
  </si>
  <si>
    <t>25428289_LU0003_LU0003_LXEUR</t>
  </si>
  <si>
    <t>LU0003 OCPE 2020-4X AR 3MEUR + 88BP CX2DIG0J0_IE00B0C18065_EUR LU0003_LXEUR_25428289_LU0003_LU0003_LXEUR</t>
  </si>
  <si>
    <t>4172167_LU0003_LU0003_LXEUR</t>
  </si>
  <si>
    <t>LU0003 CWHL 2007-J1 1A1 CMO 6.000% 25.02.37 LU0003_LXEUR_4172167_LU0003_LU0003_LXEUR</t>
  </si>
  <si>
    <t>HMBT 2005-1 A1 CMO VAR 25.03.2035_2215067</t>
  </si>
  <si>
    <t>7069333_LU0003_LU0003_LXEUR</t>
  </si>
  <si>
    <t>LU0003 BASIC 2006-1 A3 MBS VAR 25.04.2036 LU0003_LXEUR_7069333_LU0003_LU0003_LXEUR</t>
  </si>
  <si>
    <t>2420178_LU0003_LU0003_LXEUR</t>
  </si>
  <si>
    <t>LU0003 FHAMS 2007-FA4 1A8 CMO FIX 6.250% 25.08.2037 LU0003_LXEUR_2420178_LU0003_LU0003_LXEUR</t>
  </si>
  <si>
    <t>2931275_LU0003_LU0003_LXEUR</t>
  </si>
  <si>
    <t>LU0003 SARM 2005-18 6A1 CMO VAR 25.09.35 LU0003_LXEUR_2931275_LU0003_LU0003_LXEUR</t>
  </si>
  <si>
    <t>FHR 4678 AF CMO VAR 15.12.2042_16974676</t>
  </si>
  <si>
    <t>2644546_LU0003_LU0003_LXEUR</t>
  </si>
  <si>
    <t>LU0003 WAMU 2005-AR16 1A3 CMO VAR 25.12.2035 LU0003_LXEUR_2644546_LU0003_LU0003_LXEUR</t>
  </si>
  <si>
    <t>4126773_LU0003_LU0003_LXEUR</t>
  </si>
  <si>
    <t>LU0003 GSAMP 2004-OPT M1 MBS VAR 25.11.2034 LU0003_LXEUR_4126773_LU0003_LU0003_LXEUR</t>
  </si>
  <si>
    <t>WFCM 2017-HSDB A MBS VAR 13.12.2031_14504614</t>
  </si>
  <si>
    <t>2476903_LU0003_LU0003_LXEUR</t>
  </si>
  <si>
    <t>LU0003 HMBT 2005-4 A1 CMO VAR 25.10.2035 LU0003_LXEUR_2476903_LU0003_LU0003_LXEUR</t>
  </si>
  <si>
    <t>4557959_LU0003_LU0003_LXEUR</t>
  </si>
  <si>
    <t>LU0003 CHASE 2007-A1 12M3 CMO FLOAT 25.03.37 LU0003_LXEUR_4557959_LU0003_LU0003_LXEUR</t>
  </si>
  <si>
    <t>5380310_LU0003_LU0003_LXEUR</t>
  </si>
  <si>
    <t>LU0003 ACE 2004-FM2 M1 MBS VAR 25.06.2034 LU0003_LXEUR_5380310_LU0003_LU0003_LXEUR</t>
  </si>
  <si>
    <t>SAIL 2005-7 M2 MBS VAR 25.08.2035_1929252</t>
  </si>
  <si>
    <t>CMLTI 2004-HYB2 2A CMO VAR 25.03.2034_1551412</t>
  </si>
  <si>
    <t>2644319_LU0003_LU0003_LXEUR</t>
  </si>
  <si>
    <t>LU0003 BSARM 2005-12 13A1 CMO VAR 25.02.36 LU0003_LXEUR_2644319_LU0003_LU0003_LXEUR</t>
  </si>
  <si>
    <t>HAWAIIAN AIRLINES 20-1A 144A FIX 7.375% 15.09.2027_21565617</t>
  </si>
  <si>
    <t>20113293_LU0003_LU0003_LXEUR</t>
  </si>
  <si>
    <t>LU0003 BUMP 2019-1 A SONIA + 60BP CX2CEI011_IE00B5ZR2157_GBP LU0003_LXEUR_20113293_LU0003_LU0003_LXEUR</t>
  </si>
  <si>
    <t>EDUSA 2012-2 A ABS VAR 25.04.2039_7065909</t>
  </si>
  <si>
    <t>GSAMP 2007-FM1 A1 MBS VAR 25.12.2036_22554055</t>
  </si>
  <si>
    <t>5003121_LU0003_LU0003_LXEUR</t>
  </si>
  <si>
    <t>LU0003 FNLC 2005-1 A MBS VAR 25.05.2035 LU0003_LXEUR_5003121_LU0003_LU0003_LXEUR</t>
  </si>
  <si>
    <t>23914672_LU0003_LU0003_LXEUR</t>
  </si>
  <si>
    <t>LU0003 CASINO GUICHARD PERRACHON TL B BL3581776_IE00BK9YL094_EUR LU0003_LXEUR_23914672_LU0003_LU0003_LXEUR</t>
  </si>
  <si>
    <t>25094432_LU0003_LU0003_LXEUR</t>
  </si>
  <si>
    <t>LU0003 JPMF 2020-1 A 3MEUR + 100BP CX2B72016_IE00B5ZR2157_EUR LU0003_LXEUR_25094432_LU0003_LU0003_LXEUR</t>
  </si>
  <si>
    <t>22062106_LU0003_LU0003_LXEUR</t>
  </si>
  <si>
    <t>LU0003 OCP 2014-7A A1RR CDO VAR 20.07.2029 LU0003_LXEUR_22062106_LU0003_LU0003_LXEUR</t>
  </si>
  <si>
    <t>SCLP 2016-1 A ABS FIX 3.260% 25.08.2025_22554541</t>
  </si>
  <si>
    <t>2970494_LU0003_LU0003_LXEUR</t>
  </si>
  <si>
    <t>LU0003 RAAC 2005-SP2 2A MBS VAR 25.06.2044 LU0003_LXEUR_2970494_LU0003_LU0003_LXEUR</t>
  </si>
  <si>
    <t>4625699_LU0003_LU0003_LXEUR</t>
  </si>
  <si>
    <t>LU0003 CWALT 2007-12T1 A1 CMO FIX 6.000% 25.06.2037 LU0003_LXEUR_4625699_LU0003_LU0003_LXEUR</t>
  </si>
  <si>
    <t>4006451_LU0003_LU0003_LXEUR</t>
  </si>
  <si>
    <t>LU0003 RALI 2006-QS8 A1 CMO FIX 6.000% 25.08.2036 LU0003_LXEUR_4006451_LU0003_LU0003_LXEUR</t>
  </si>
  <si>
    <t>FNR 2014-50 FC CMO VAR 25.08.2044_19863499</t>
  </si>
  <si>
    <t>4165706_LU0003_LU0003_LXEUR</t>
  </si>
  <si>
    <t>LU0003 STALT 2005-1F 1A6 CMO FIX 5.750% 25.12.2035 LU0003_LXEUR_4165706_LU0003_LU0003_LXEUR</t>
  </si>
  <si>
    <t>FHR 4367 GF CMO VAR 15.03.2037_16974605</t>
  </si>
  <si>
    <t>22554154_LU0003_LU0003_LXEUR</t>
  </si>
  <si>
    <t>LU0003 BAUSCH HEALTH COS INC TL B BL2701110_IE00B0C18065_USD LU0003_LXEUR_22554154_LU0003_LU0003_LXEUR</t>
  </si>
  <si>
    <t>CMLTI 2007-AHL1 A2B MBS VAR 25.12.2036_6955862</t>
  </si>
  <si>
    <t>20113386_LU0003_LU0003_LXEUR</t>
  </si>
  <si>
    <t>LU0003 CCMF 2020-1 A 1MGBP+60BP CX2KRC012_IE00B5ZR2157_GBP LU0003_LXEUR_20113386_LU0003_LU0003_LXEUR</t>
  </si>
  <si>
    <t>1928372_LU0003_LU0003_LXEUR</t>
  </si>
  <si>
    <t>LU0003 CWL 2006-3 M1 ABS FLOAT 25.06.36 LU0003_LXEUR_1928372_LU0003_LU0003_LXEUR</t>
  </si>
  <si>
    <t>BSABS 2007-HE7 1A1 MBS VAR 25.10.2037_826104</t>
  </si>
  <si>
    <t>4404546_LU0003_LU0003_LXEUR</t>
  </si>
  <si>
    <t>LU0003 RALI 2006-QS8 A3 CMO 6.000% 25.08.36 LU0003_LXEUR_4404546_LU0003_LU0003_LXEUR</t>
  </si>
  <si>
    <t>22554458_LU0003_LU0003_LXEUR</t>
  </si>
  <si>
    <t>LU0003 WFMBS RECEIVABLE 94983VAF2 WFMBRECU6_IE00B0C18065_USD LU0003_LXEUR_22554458_LU0003_LU0003_LXEUR</t>
  </si>
  <si>
    <t>22554198_LU0003_LU0003_LXEUR</t>
  </si>
  <si>
    <t>LU0003 DILSK 2 A 3MEUR+75BP CM0H69023_IE00BMTRWY37_EUR LU0003_LXEUR_22554198_LU0003_LU0003_LXEUR</t>
  </si>
  <si>
    <t>4067216_LU0003_LU0003_LXEUR</t>
  </si>
  <si>
    <t>LU0003 CWALT 2005-76 1A1 CMO VAR 25.01.2036 LU0003_LXEUR_4067216_LU0003_LU0003_LXEUR</t>
  </si>
  <si>
    <t>SLMA 2008-9 A ABS VAR 25.04.2023_1105467</t>
  </si>
  <si>
    <t>1551410_LU0003_LU0003_LXEUR</t>
  </si>
  <si>
    <t>LU0003 AHM 2005-2 4A1 CMO VAR 25.09.2045 LU0003_LXEUR_1551410_LU0003_LU0003_LXEUR</t>
  </si>
  <si>
    <t>23531101_LU0003_LU0003_LXEUR</t>
  </si>
  <si>
    <t>LU0003 DILSK 4 A 3MEUR + 75BP CMKF83018__EUR LU0003_LXEUR_23531101_LU0003_LU0003_LXEUR</t>
  </si>
  <si>
    <t>1928331_LU0003_LU0003_LXEUR</t>
  </si>
  <si>
    <t>LU0003 CWL 2006-21 2A3 MBS VAR 25.05.2037 LU0003_LXEUR_1928331_LU0003_LU0003_LXEUR</t>
  </si>
  <si>
    <t>7140432_LU0003_LU0003_LXEUR</t>
  </si>
  <si>
    <t>LU0003 BSABS 2006-HE1 1M2 MBS VAR 25.12.2035 LU0003_LXEUR_7140432_LU0003_LU0003_LXEUR</t>
  </si>
  <si>
    <t>FHR 3977 FB CMO VAR 15.12.2041_22554274</t>
  </si>
  <si>
    <t>FHR 4842 FW CMO VAR 15.10.2037_19567725</t>
  </si>
  <si>
    <t>1921451_LU0003_LU0003_LXEUR</t>
  </si>
  <si>
    <t>LU0003 CWL 2004-4 M1 MBS VAR 25.07.2034 LU0003_LXEUR_1921451_LU0003_LU0003_LXEUR</t>
  </si>
  <si>
    <t>6017609_LU0003_LU0003_LXEUR</t>
  </si>
  <si>
    <t>LU0003 FHR 3740 DF CMO VAR 15.10.2040 LU0003_LXEUR_6017609_LU0003_LU0003_LXEUR</t>
  </si>
  <si>
    <t>22554086_LU0003_LU0003_LXEUR</t>
  </si>
  <si>
    <t>LU0003 CIART 2020-1 A 1MEUR + 82BP CX2HVI011_IE00B5ZR2157_EUR LU0003_LXEUR_22554086_LU0003_LU0003_LXEUR</t>
  </si>
  <si>
    <t>SLMA 2004-10 A7B ABS VAR 25.10.2029_14578157</t>
  </si>
  <si>
    <t>4330333_LU0003_LU0003_LXEUR</t>
  </si>
  <si>
    <t>LU0003 MLMI 2004-HE1 M1 MBS VAR 25.04.2035 LU0003_LXEUR_4330333_LU0003_LU0003_LXEUR</t>
  </si>
  <si>
    <t>6018127_LU0003_LU0003_LXEUR</t>
  </si>
  <si>
    <t>LU0003 HVMLT 2004-11 3A1A CMO VAR 19.01.2035 LU0003_LXEUR_6018127_LU0003_LU0003_LXEUR</t>
  </si>
  <si>
    <t>MARM 2004-13 3A7 CMO VAR 21.11.2034_2290894</t>
  </si>
  <si>
    <t>2931283_LU0003_LU0003_LXEUR</t>
  </si>
  <si>
    <t>LU0003 WAMU 2007-HY7 2A2 CMO VAR 25.07.37 LU0003_LXEUR_2931283_LU0003_LU0003_LXEUR</t>
  </si>
  <si>
    <t>GNR 2016-H11 F CMO VAR 20.05.2066_16974060</t>
  </si>
  <si>
    <t>784182_LU0003_LU0003_LXEUR</t>
  </si>
  <si>
    <t>LU0003 SARM 2004-2 4A1 CMO VAR 25.03.2034 LU0003_LXEUR_784182_LU0003_LU0003_LXEUR</t>
  </si>
  <si>
    <t>22554257_LU0003_LU0003_LXEUR</t>
  </si>
  <si>
    <t>LU0003 MKSE 2A A 3MEUR+155BP 144A CX2OM3035_IE00BMTRWY37_EUR LU0003_LXEUR_22554257_LU0003_LU0003_LXEUR</t>
  </si>
  <si>
    <t>2251721_LU0003_LU0003_LXEUR</t>
  </si>
  <si>
    <t>LU0003 SAMI 2006-AR4 2A1 CMO VAR 25.06.2036 LU0003_LXEUR_2251721_LU0003_LU0003_LXEUR</t>
  </si>
  <si>
    <t>21565519_LU0003_LU0003_LXEUR</t>
  </si>
  <si>
    <t>LU0003 EMI 2020-1X A1 SONIA1M + 47BP CMH968017__GBP LU0003_LXEUR_21565519_LU0003_LU0003_LXEUR</t>
  </si>
  <si>
    <t>4188821_LU0003_LU0003_LXEUR</t>
  </si>
  <si>
    <t>LU0003 CHASE 2007-S1 A4 CMO FLOAT 25.02.37 LU0003_LXEUR_4188821_LU0003_LU0003_LXEUR</t>
  </si>
  <si>
    <t>4080211_LU0003_LU0003_LXEUR</t>
  </si>
  <si>
    <t>LU0003 CWALT 2006-OA12 A1B CMO FLOAT 20.09.46 LU0003_LXEUR_4080211_LU0003_LU0003_LXEUR</t>
  </si>
  <si>
    <t>UNITED AIRLINES 2012-1 A A FIX 4.150% 11.04.2024_3776280</t>
  </si>
  <si>
    <t>2008445_LU0003_LU0003_LXEUR</t>
  </si>
  <si>
    <t>LU0003 GSR 2005-AR7 2A1 CMO VAR 25.11.2035 LU0003_LXEUR_2008445_LU0003_LU0003_LXEUR</t>
  </si>
  <si>
    <t>20113359_LU0003_LU0003_LXEUR</t>
  </si>
  <si>
    <t>LU0003 BABSE 2015-1X A1R 3MEUR + 82BP CX24GM0P5_IE00B5ZR2157_EUR LU0003_LXEUR_20113359_LU0003_LU0003_LXEUR</t>
  </si>
  <si>
    <t>LBMLT 2005-WL1 M3 MBS VAR 25.06.2035_1928739</t>
  </si>
  <si>
    <t>FNR 2014-86 PA CMO FIX 2.000% 25.12.2044_21301526</t>
  </si>
  <si>
    <t>6851178_LU0003_LU0003_LXEUR</t>
  </si>
  <si>
    <t>LU0003 MASD 2005-3 M1 MBS VAR 25.11.2035 LU0003_LXEUR_6851178_LU0003_LU0003_LXEUR</t>
  </si>
  <si>
    <t>WAMU 2002-AR17 1A CMO VAR 25.11.2042_870797</t>
  </si>
  <si>
    <t>6867600_LU0003_LU0003_LXEUR</t>
  </si>
  <si>
    <t>LU0003 BSABS 2005-HE10 M2 MBS VAR 25.11.2035 LU0003_LXEUR_6867600_LU0003_LU0003_LXEUR</t>
  </si>
  <si>
    <t>WFHET 2005-3 M7 MBS VAR 25.11.2035_22554343</t>
  </si>
  <si>
    <t>2931254_LU0003_LU0003_LXEUR</t>
  </si>
  <si>
    <t>LU0003 JPMMT 2005-A5 3A3 CMO VAR 25.08.35 LU0003_LXEUR_2931254_LU0003_LU0003_LXEUR</t>
  </si>
  <si>
    <t>FHR 4344 FA CMO VAR 15.12.2037_16974604</t>
  </si>
  <si>
    <t>BALTA 2005-7 22A1 CMO VAR 25.09.2035_781753</t>
  </si>
  <si>
    <t>GNR 2016-H04 FK CMO VAR 20.02.2066_16974685</t>
  </si>
  <si>
    <t>22554521_LU0003_LU0003_LXEUR</t>
  </si>
  <si>
    <t>LU0003 DKFLD 2 A 3MGBP+125BP CM5J07073_IE00BMTRWY37_GBP LU0003_LXEUR_22554521_LU0003_LU0003_LXEUR</t>
  </si>
  <si>
    <t>20113341_LU0003_LU0003_LXEUR</t>
  </si>
  <si>
    <t>LU0003 CRNCL 2013-3X AR 3MEUR + 65BP CMRF90115_IE00B5ZR2157_EUR LU0003_LXEUR_20113341_LU0003_LU0003_LXEUR</t>
  </si>
  <si>
    <t>1551423_LU0003_LU0003_LXEUR</t>
  </si>
  <si>
    <t>LU0003 INDX 2005-AR12 2A1A CMO VAR 25.07.2035 LU0003_LXEUR_1551423_LU0003_LU0003_LXEUR</t>
  </si>
  <si>
    <t>GNR 2021-97 FA CMO VAR 20.06.2051_24748733</t>
  </si>
  <si>
    <t>20113517_LU0003_LU0003_LXEUR</t>
  </si>
  <si>
    <t>LU0003 LWMC 2017-FL1 A 3MGBP + 85BP CX2F16014_IE00B5ZR2157_GBP LU0003_LXEUR_20113517_LU0003_LU0003_LXEUR</t>
  </si>
  <si>
    <t>AA BOND CO LTD A8 FIX 5.500% 31.07.2027_19762437</t>
  </si>
  <si>
    <t>6640738_LU0003_LU0003_LXEUR</t>
  </si>
  <si>
    <t>LU0003 CMLTI 2007-AR4 2A2A CMO VAR 25.03.2037 LU0003_LXEUR_6640738_LU0003_LU0003_LXEUR</t>
  </si>
  <si>
    <t>23207325_LU0003_LU0003_LXEUR</t>
  </si>
  <si>
    <t>LU0003 BLUME 2017-2X AR 3MEUR + 65BP CX2DH40G4_IE00B5ZR2157_EUR LU0003_LXEUR_23207325_LU0003_LU0003_LXEUR</t>
  </si>
  <si>
    <t>IMM 2004-10 1A1 CMO VAR 25.03.2035_12817903</t>
  </si>
  <si>
    <t>23914544_LU0003_LU0003_LXEUR</t>
  </si>
  <si>
    <t>LU0003 LAUR 2016-1X ARR EUR003M +72BP CM1I21344_IE00B0C18065_EUR LU0003_LXEUR_23914544_LU0003_LU0003_LXEUR</t>
  </si>
  <si>
    <t>SOFI 2018-A A1 ABS VAR 25.02.2042_16974881</t>
  </si>
  <si>
    <t>1921390_LU0003_LU0003_LXEUR</t>
  </si>
  <si>
    <t>LU0003 PPSI 2004-WCW2 M3 MBS VAR 25.10.2034 LU0003_LXEUR_1921390_LU0003_LU0003_LXEUR</t>
  </si>
  <si>
    <t>667084_LU0003_LU0003_LXEUR</t>
  </si>
  <si>
    <t>LU0003 MABS 2006-NC2 A3 MBS VAR 25.08.2036 LU0003_LXEUR_667084_LU0003_LU0003_LXEUR</t>
  </si>
  <si>
    <t>6088117_LU0003_LU0003_LXEUR</t>
  </si>
  <si>
    <t>LU0003 MABS 2005-OPT1 M3 MBS VAR 25.03.2035 LU0003_LXEUR_6088117_LU0003_LU0003_LXEUR</t>
  </si>
  <si>
    <t>20113385_LU0003_LU0003_LXEUR</t>
  </si>
  <si>
    <t>LU0003 BUMP 10 A 1MEUR + 40BP CX2KMF010_IE00B5ZR2157_EUR LU0003_LXEUR_20113385_LU0003_LU0003_LXEUR</t>
  </si>
  <si>
    <t>534917_LU0003_LU0003_LXEUR</t>
  </si>
  <si>
    <t>LU0003 BSARM 2004-10 12A3 CMO VAR 25.01.2035 LU0003_LXEUR_534917_LU0003_LU0003_LXEUR</t>
  </si>
  <si>
    <t>MLMI 2006-A3 6A1 CMO VAR 25.05.2036_4085814</t>
  </si>
  <si>
    <t>20113294_LU0003_LU0003_LXEUR</t>
  </si>
  <si>
    <t>LU0003 RIPON 1X A1 3MGBP + 80BP CX2CIK012_IE00B5ZR2157_GBP LU0003_LXEUR_20113294_LU0003_LU0003_LXEUR</t>
  </si>
  <si>
    <t>7461736_LU0003_LU0003_LXEUR</t>
  </si>
  <si>
    <t>LU0003 CSMC 2007-1 4A1 CMO FIX 6.500% 25.02.2022 LU0003_LXEUR_7461736_LU0003_LU0003_LXEUR</t>
  </si>
  <si>
    <t>20113388_LU0003_LU0003_LXEUR</t>
  </si>
  <si>
    <t>LU0003 COMP 2019-UK1 A SONIA + 66BP CX2LEV012_IE00B5ZR2157_GBP LU0003_LXEUR_20113388_LU0003_LU0003_LXEUR</t>
  </si>
  <si>
    <t>1979982_LU0003_LU0003_LXEUR</t>
  </si>
  <si>
    <t>LU0003 INDX 2006-AR9 3A1 CMO VAR 25.06.2036 LU0003_LXEUR_1979982_LU0003_LU0003_LXEUR</t>
  </si>
  <si>
    <t>CWL 2005-11 MV5 MBS VAR 25.02.2036_22623685</t>
  </si>
  <si>
    <t>4376484_LU0003_LU0003_LXEUR</t>
  </si>
  <si>
    <t>LU0003 CWHL 2006-3 2A1 CMO FLOAT 25.03.36 LU0003_LXEUR_4376484_LU0003_LU0003_LXEUR</t>
  </si>
  <si>
    <t>2383901_LU0003_LU0003_LXEUR</t>
  </si>
  <si>
    <t>LU0003 JPMMT 2006-A6 1A4L CMO VAR 25.10.2036 LU0003_LXEUR_2383901_LU0003_LU0003_LXEUR</t>
  </si>
  <si>
    <t>4397142_LU0003_LU0003_LXEUR</t>
  </si>
  <si>
    <t>LU0003 HELT 2007-FRE1 2AV4 MBS VAR 25.04.2037 LU0003_LXEUR_4397142_LU0003_LU0003_LXEUR</t>
  </si>
  <si>
    <t>1928351_LU0003_LU0003_LXEUR</t>
  </si>
  <si>
    <t>LU0003 CWL 2006-24 2A3 MBS VAR 25.06.2047 LU0003_LXEUR_1928351_LU0003_LU0003_LXEUR</t>
  </si>
  <si>
    <t>SLMA 2008-5 A4 ABS VAR 25.07.2023_980350</t>
  </si>
  <si>
    <t>FFML 2004-FF6 M2 MBS VAR 25.07.2034_22554193</t>
  </si>
  <si>
    <t>4701847_LU0003_LU0003_LXEUR</t>
  </si>
  <si>
    <t>LU0003 CMLTI 2007-SHL1 A MBS VAR 25.11.2046 LU0003_LXEUR_4701847_LU0003_LU0003_LXEUR</t>
  </si>
  <si>
    <t>6378747_LU0003_LU0003_LXEUR</t>
  </si>
  <si>
    <t>LU0003 CWL 2006-ABC1 A2 MBS VAR 25.05.2036 LU0003_LXEUR_6378747_LU0003_LU0003_LXEUR</t>
  </si>
  <si>
    <t>2337890_LU0003_LU0003_LXEUR</t>
  </si>
  <si>
    <t>LU0003 GSR 2005-AR6 1A4 CMO FLOAT 25.09.35 LU0003_LXEUR_2337890_LU0003_LU0003_LXEUR</t>
  </si>
  <si>
    <t>4602536_LU0003_LU0003_LXEUR</t>
  </si>
  <si>
    <t>LU0003 CWALT 2007-1T1 1A1 CMO FIX 6.000% 25.03.2037 LU0003_LXEUR_4602536_LU0003_LU0003_LXEUR</t>
  </si>
  <si>
    <t>13530902_LU0003_LU0003_LXEUR</t>
  </si>
  <si>
    <t>LU0003 CRMN 2013-1A AR CDO VAR 27.01.2028 LU0003_LXEUR_13530902_LU0003_LU0003_LXEUR</t>
  </si>
  <si>
    <t>SOFI 2015-D A2 ABS FIX 2.720% 27.10.2036_9769687</t>
  </si>
  <si>
    <t>1928943_LU0003_LU0003_LXEUR</t>
  </si>
  <si>
    <t>LU0003 MSAC 2006-HE8 A2FP MBS VAR 25.10.2036 LU0003_LXEUR_1928943_LU0003_LU0003_LXEUR</t>
  </si>
  <si>
    <t>4541111_LU0003_LU0003_LXEUR</t>
  </si>
  <si>
    <t>LU0003 HVMLT 2006-3 1A1A CMO FLOAT 19.06.36 LU0003_LXEUR_4541111_LU0003_LU0003_LXEUR</t>
  </si>
  <si>
    <t>GNR 2018-H18 FC CMO VAR 20.08.2065_16974698</t>
  </si>
  <si>
    <t>7036444_LU0003_LU0003_LXEUR</t>
  </si>
  <si>
    <t>LU0003 LXS 2006-4N A1C1 CMO VAR 25.04.2046 LU0003_LXEUR_7036444_LU0003_LU0003_LXEUR</t>
  </si>
  <si>
    <t>4877078_LU0003_LU0003_LXEUR</t>
  </si>
  <si>
    <t>LU0003 CWALT 2005-54CB 2A5 CMO 5.500% 25.11.35 LU0003_LXEUR_4877078_LU0003_LU0003_LXEUR</t>
  </si>
  <si>
    <t>SOFI 2016-C A1 ABS VAR 27.10.2036_14504652</t>
  </si>
  <si>
    <t>25428091_LU0003_LU0003_LXEUR</t>
  </si>
  <si>
    <t>LU0003 OCPE 2020-4A AR 3MEUR+88BP 144A CX2OL80J0_IE00B0C18065_EUR LU0003_LXEUR_25428091_LU0003_LU0003_LXEUR</t>
  </si>
  <si>
    <t>2931222_LU0003_LU0003_LXEUR</t>
  </si>
  <si>
    <t>LU0003 BOAMS 2004-L 2A1 CMO VAR 25.01.2035 LU0003_LXEUR_2931222_LU0003_LU0003_LXEUR</t>
  </si>
  <si>
    <t>FNR 2019-30 FN CMO VAR 25.07.2049_18423528</t>
  </si>
  <si>
    <t>4582186_LU0003_LU0003_LXEUR</t>
  </si>
  <si>
    <t>LU0003 MLMI 2006-HE5 A2C MBS VAR 25.08.2037 LU0003_LXEUR_4582186_LU0003_LU0003_LXEUR</t>
  </si>
  <si>
    <t>24395226_LU0003_LU0003_LXEUR</t>
  </si>
  <si>
    <t>LU0003 HARVT 11A ARR 3MEUR + 65BP 144A CX339U0U5_IE00BMTRWY37_EUR LU0003_LXEUR_24395226_LU0003_LU0003_LXEUR</t>
  </si>
  <si>
    <t>22623677_LU0003_LU0003_LXEUR</t>
  </si>
  <si>
    <t>LU0003 ESAIL 2007-NL2X A**PUT REDEMPTION** 0253579D8_IE00B0C18065_EUR LU0003_LXEUR_22623677_LU0003_LU0003_LXEUR</t>
  </si>
  <si>
    <t>EMLT 2004-2 M7 MBS VAR 25.10.2034_22623706</t>
  </si>
  <si>
    <t>MABS 2004-WMC2 M1 MBS VAR 25.04.2034_22623654</t>
  </si>
  <si>
    <t>24139334_LU0003_LU0003_LXEUR</t>
  </si>
  <si>
    <t>LU0003 CADOG 13X AR 3MEUR + 75BP CMKB65279_IE00B0C18065_EUR LU0003_LXEUR_24139334_LU0003_LU0003_LXEUR</t>
  </si>
  <si>
    <t>4447011_LU0003_LU0003_LXEUR</t>
  </si>
  <si>
    <t>LU0003 HASC 2007-HE1 2A4 MBS VAR 25.01.2037 LU0003_LXEUR_4447011_LU0003_LU0003_LXEUR</t>
  </si>
  <si>
    <t>13326074_LU0003_LU0003_LXEUR</t>
  </si>
  <si>
    <t>LU0003 OCP 2015-9A A1R CDO VAR 15.07.2027 LU0003_LXEUR_13326074_LU0003_LU0003_LXEUR</t>
  </si>
  <si>
    <t>22554200_LU0003_LU0003_LXEUR</t>
  </si>
  <si>
    <t>LU0003 WFMBS RECEIVABLE 94983WAG8 WFMBRECS1_IE00B0C18065_USD LU0003_LXEUR_22554200_LU0003_LU0003_LXEUR</t>
  </si>
  <si>
    <t>16974079_LU0003_LU0003_LXEUR</t>
  </si>
  <si>
    <t>LU0003 LCM 20A AR CDO VAR 20.10.2027 LU0003_LXEUR_16974079_LU0003_LU0003_LXEUR</t>
  </si>
  <si>
    <t>4082902_LU0003_LU0003_LXEUR</t>
  </si>
  <si>
    <t>LU0003 BAFC 2007-4 TA4 CMO VAR 25.05.2037 LU0003_LXEUR_4082902_LU0003_LU0003_LXEUR</t>
  </si>
  <si>
    <t>1928477_LU0003_LU0003_LXEUR</t>
  </si>
  <si>
    <t>LU0003 CWL 2007-7 2A3 MBS VAR 25.10.2047 LU0003_LXEUR_1928477_LU0003_LU0003_LXEUR</t>
  </si>
  <si>
    <t>CMLTI 2007-10 22AA CMO VAR 25.09.37_1551415</t>
  </si>
  <si>
    <t>20113319_LU0003_LU0003_LXEUR</t>
  </si>
  <si>
    <t>LU0003 DRWBY 5 A 3MSONIA + 53BP CM6E53010_IE00B5ZR2157_GBP LU0003_LXEUR_20113319_LU0003_LU0003_LXEUR</t>
  </si>
  <si>
    <t>14111069_LU0003_LU0003_LXEUR</t>
  </si>
  <si>
    <t>LU0003 FHR 4579 SD CMO FIX 1.902% 15.01.2038 LU0003_LXEUR_14111069_LU0003_LU0003_LXEUR</t>
  </si>
  <si>
    <t>22554113_LU0003_LU0003_LXEUR</t>
  </si>
  <si>
    <t>LU0003 CGMSE 2015-2X AA1R 3MEUR + 73BP CX24190M7_IE00BMTRWY37_EUR LU0003_LXEUR_22554113_LU0003_LU0003_LXEUR</t>
  </si>
  <si>
    <t>FNR 2019-26 FM CMO VAR 25.06.2049_17849962</t>
  </si>
  <si>
    <t>G2 82873 MBS VAR 20.05.2041_7065911</t>
  </si>
  <si>
    <t>1928394_LU0003_LU0003_LXEUR</t>
  </si>
  <si>
    <t>LU0003 CWL 2006-8 2A3 MBS VAR 25.12.2035 LU0003_LXEUR_1928394_LU0003_LU0003_LXEUR</t>
  </si>
  <si>
    <t>4653700_LU0003_LU0003_LXEUR</t>
  </si>
  <si>
    <t>LU0003 RALI 2006-QS16 A1 CMO VAR 25.11.2036 LU0003_LXEUR_4653700_LU0003_LU0003_LXEUR</t>
  </si>
  <si>
    <t>2402384_LU0003_LU0003_LXEUR</t>
  </si>
  <si>
    <t>LU0003 BSARM 2006-2 3A2 CMO VAR 25.07.36 LU0003_LXEUR_2402384_LU0003_LU0003_LXEUR</t>
  </si>
  <si>
    <t>14504626_LU0003_LU0003_LXEUR</t>
  </si>
  <si>
    <t>LU0003 SLMA 2003-10A A3 ABS VAR 15.12.2027 LU0003_LXEUR_14504626_LU0003_LU0003_LXEUR</t>
  </si>
  <si>
    <t>GNR 2016-H04 FB CMO VAR 20.01.2066_22623675</t>
  </si>
  <si>
    <t>FHS 330 F4 CMO VAR 15.10.2037_14954581</t>
  </si>
  <si>
    <t>SAMI 2006-AR3 11A1 CMO VAR 25.04.2036_2290881</t>
  </si>
  <si>
    <t>1028738_LU0003_LU0003_LXEUR</t>
  </si>
  <si>
    <t>LU0003 WFMBS 2007-7 A1 CMO FIX 6.000% 25.06.2037 LU0003_LXEUR_1028738_LU0003_LU0003_LXEUR</t>
  </si>
  <si>
    <t>4228575_LU0003_LU0003_LXEUR</t>
  </si>
  <si>
    <t>LU0003 CWALT 2006-19CB A3 CMO VAR 25.08.2036 LU0003_LXEUR_4228575_LU0003_LU0003_LXEUR</t>
  </si>
  <si>
    <t>LPCC 2018-1 A ABS VAR 20.08.2024_22554066</t>
  </si>
  <si>
    <t>WAMU 2006-AR18 1A1 CMO FLOAT 25.01.37_1551590</t>
  </si>
  <si>
    <t>22859256_LU0003_LU0003_LXEUR</t>
  </si>
  <si>
    <t>LU0003 VENTR 2017-26A AR CDO VAR 20.01.2029 LU0003_LXEUR_22859256_LU0003_LU0003_LXEUR</t>
  </si>
  <si>
    <t>7154192_LU0003_LU0003_LXEUR</t>
  </si>
  <si>
    <t>LU0003 CMLTI 2007-WFH1 M1 MBS VAR 25.01.2037 LU0003_LXEUR_7154192_LU0003_LU0003_LXEUR</t>
  </si>
  <si>
    <t>25428272_LU0003_LU0003_LXEUR</t>
  </si>
  <si>
    <t>LU0003 STANDARD INDUSTRIES INC BL3683986_IE00B0C18065_USD LU0003_LXEUR_25428272_LU0003_LU0003_LXEUR</t>
  </si>
  <si>
    <t>4442924_LU0003_LU0003_LXEUR</t>
  </si>
  <si>
    <t>LU0003 ACCR 2006-2 A4 MBS VAR 25.09.2036 LU0003_LXEUR_4442924_LU0003_LU0003_LXEUR</t>
  </si>
  <si>
    <t>1551612_LU0003_LU0003_LXEUR</t>
  </si>
  <si>
    <t>LU0003 IMSC 2007-HOA1 A11 CMO VAR 25.07.2047 LU0003_LXEUR_1551612_LU0003_LU0003_LXEUR</t>
  </si>
  <si>
    <t>BSARM 2004-10 13A1 CMO VAR 25.01.2035_1551417</t>
  </si>
  <si>
    <t>22554304_LU0003_LU0003_LXEUR</t>
  </si>
  <si>
    <t>LU0003 BLACK 2015-1A A2R CDO VAR 03.10.2029 LU0003_LXEUR_22554304_LU0003_LU0003_LXEUR</t>
  </si>
  <si>
    <t>GNR 2021-122 FA CMO VAR 20.07.2051_25094363</t>
  </si>
  <si>
    <t>4066804_LU0003_LU0003_LXEUR</t>
  </si>
  <si>
    <t>LU0003 WFMBS 2007-7 A38 CMO 6.000% 25.06.37 LU0003_LXEUR_4066804_LU0003_LU0003_LXEUR</t>
  </si>
  <si>
    <t>526678_LU0003_LU0003_LXEUR</t>
  </si>
  <si>
    <t>LU0003 WAMU 2006-AR4 2A1A CMO VAR 25.05.2046 LU0003_LXEUR_526678_LU0003_LU0003_LXEUR</t>
  </si>
  <si>
    <t>GNR 2016-H15 FA CMO VAR 20.07.2066_16974687</t>
  </si>
  <si>
    <t>FNR 2005-105 F CMO VAR 25.12.2035_7065942</t>
  </si>
  <si>
    <t>24748780_LU0003_LU0003_LXEUR</t>
  </si>
  <si>
    <t>LU0003 DRYD 2017-52X AR 3MEUR + 86BP CX2DV70M8_IE00B0C18065_EUR LU0003_LXEUR_24748780_LU0003_LU0003_LXEUR</t>
  </si>
  <si>
    <t>1054503_LU0003_LU0003_LXEUR</t>
  </si>
  <si>
    <t>LU0003 AHMA 2007-3 22A1 CMO STEP 6.750% 25.06.2037 LU0003_LXEUR_1054503_LU0003_LU0003_LXEUR</t>
  </si>
  <si>
    <t>4082906_LU0003_LU0003_LXEUR</t>
  </si>
  <si>
    <t>LU0003 CMSI 2007-8 1A3 CMO 6.000% 25.09.37 LU0003_LXEUR_4082906_LU0003_LU0003_LXEUR</t>
  </si>
  <si>
    <t>5231461_LU0003_LU0003_LXEUR</t>
  </si>
  <si>
    <t>LU0003 CWALT 2006-19CB A24 CMO 6.000% 25.08.36 LU0003_LXEUR_5231461_LU0003_LU0003_LXEUR</t>
  </si>
  <si>
    <t>22927437_LU0003_LU0003_LXEUR</t>
  </si>
  <si>
    <t>LU0003 TPMF 2019-V2X A SONIA + 120BP CX2L3D014_IE00B5ZR2157_GBP LU0003_LXEUR_22927437_LU0003_LU0003_LXEUR</t>
  </si>
  <si>
    <t>2644493_LU0003_LU0003_LXEUR</t>
  </si>
  <si>
    <t>LU0003 G2 80344 MBS VAR 20.11.2029 LU0003_LXEUR_2644493_LU0003_LU0003_LXEUR</t>
  </si>
  <si>
    <t>282957_LU0003_LU0003_LXEUR</t>
  </si>
  <si>
    <t>LU0003 WAMU 2002-AR2 A CMO VAR 27.02.2034 LU0003_LXEUR_282957_LU0003_LU0003_LXEUR</t>
  </si>
  <si>
    <t>20113313_LU0003_LU0003_LXEUR</t>
  </si>
  <si>
    <t>LU0003 BABSE 2016-1X A1R 3MEUR + 68BP CX21240M3_IE00B5ZR2157_EUR LU0003_LXEUR_20113313_LU0003_LU0003_LXEUR</t>
  </si>
  <si>
    <t>23914539_LU0003_LU0003_LXEUR</t>
  </si>
  <si>
    <t>LU0003 OZLM 2017-16A A1R CDO VAR 16.05.2030 LU0003_LXEUR_23914539_LU0003_LU0003_LXEUR</t>
  </si>
  <si>
    <t>4688663_LU0003_LU0003_LXEUR</t>
  </si>
  <si>
    <t>LU0003 GSAMP 2007-NC1 A2A MBS VAR 25.12.2046 LU0003_LXEUR_4688663_LU0003_LU0003_LXEUR</t>
  </si>
  <si>
    <t>FNR 2016-25 FL CMO VAR 25.05.2046_19666405</t>
  </si>
  <si>
    <t>24395071_LU0003_LU0003_LXEUR</t>
  </si>
  <si>
    <t>LU0003 ACCUN 2X A 3MEUR + 93BP CX2H2E012_IE00B5ZR2157_EUR LU0003_LXEUR_24395071_LU0003_LU0003_LXEUR</t>
  </si>
  <si>
    <t>GNR 2019-H01 FP CMO VAR 20.12.2068_16974692</t>
  </si>
  <si>
    <t>SASC 2003-22A 2A1 CMO VAR 25.06.2033_813657</t>
  </si>
  <si>
    <t>6604678_LU0003_LU0003_LXEUR</t>
  </si>
  <si>
    <t>LU0003 POPLR 2006-A M1 MBS VAR 25.02.2036 LU0003_LXEUR_6604678_LU0003_LU0003_LXEUR</t>
  </si>
  <si>
    <t>CFLX 2006-1 A4 CMO FIX 6.300% 25.06.2036_13285034</t>
  </si>
  <si>
    <t>5368667_LU0003_LU0003_LXEUR</t>
  </si>
  <si>
    <t>LU0003 TRUMN 2006-1 A MBS VAR 25.03.2036 LU0003_LXEUR_5368667_LU0003_LU0003_LXEUR</t>
  </si>
  <si>
    <t>6409358_LU0003_LU0003_LXEUR</t>
  </si>
  <si>
    <t>LU0003 CWHL 2006-21 A13 CMO FIX 6.000% 25.02.2037 LU0003_LXEUR_6409358_LU0003_LU0003_LXEUR</t>
  </si>
  <si>
    <t>ARMT 2005-11 2A42 CMO VAR 25.02.2036_6759856</t>
  </si>
  <si>
    <t>GNR 2017-121 PE CMO FIX 3.000% 20.07.2046_20819692</t>
  </si>
  <si>
    <t>22554163_LU0003_LU0003_LXEUR</t>
  </si>
  <si>
    <t>LU0003 TRAL 2018-5A A1 CDO VAR 20.10.2028 LU0003_LXEUR_22554163_LU0003_LU0003_LXEUR</t>
  </si>
  <si>
    <t>FNR 2002-77 F CMO VAR 25.12.2032_7065944</t>
  </si>
  <si>
    <t>7097053_LU0003_LU0003_LXEUR</t>
  </si>
  <si>
    <t>LU0003 RAST 2007-A2 2A2 CMO FIX 6.500% 25.04.2037 LU0003_LXEUR_7097053_LU0003_LU0003_LXEUR</t>
  </si>
  <si>
    <t>6288045_LU0003_LU0003_LXEUR</t>
  </si>
  <si>
    <t>LU0003 ACCR 2005-3 M3 MBS VAR 25.09.2035 LU0003_LXEUR_6288045_LU0003_LU0003_LXEUR</t>
  </si>
  <si>
    <t>845953_LU0003_LU0003_LXEUR</t>
  </si>
  <si>
    <t>LU0003 BSSP 2007-R6 1A1 CMO VAR 26.01.2036 LU0003_LXEUR_845953_LU0003_LU0003_LXEUR</t>
  </si>
  <si>
    <t>TPMF 2019-A13X A1 CMO VAR 20.07.2045_18913657</t>
  </si>
  <si>
    <t>4161020_LU0003_LU0003_LXEUR</t>
  </si>
  <si>
    <t>LU0003 ACE 2004-HE4 M1 MBS VAR 25.12.2034 LU0003_LXEUR_4161020_LU0003_LU0003_LXEUR</t>
  </si>
  <si>
    <t>20113315_LU0003_LU0003_LXEUR</t>
  </si>
  <si>
    <t>LU0003 JUBIL 2015-15X AR 3MEUR +84BP CX220P0G9_IE00B5ZR2157_EUR LU0003_LXEUR_20113315_LU0003_LU0003_LXEUR</t>
  </si>
  <si>
    <t>NSLT 2016-1A A ABS VAR 25.09.2065_14504643</t>
  </si>
  <si>
    <t>6973086_LU0003_LU0003_LXEUR</t>
  </si>
  <si>
    <t>LU0003 CMLTI 2011-2 3A2 CMO VAR 25.09.2037 LU0003_LXEUR_6973086_LU0003_LU0003_LXEUR</t>
  </si>
  <si>
    <t>SAST 2006-1 M1 MBS VAR 25.03.2036_22623660</t>
  </si>
  <si>
    <t>4205670_LU0003_LU0003_LXEUR</t>
  </si>
  <si>
    <t>LU0003 CWHL 2007-14 A6 CMO FIX 6.000% 25.09.2037 LU0003_LXEUR_4205670_LU0003_LU0003_LXEUR</t>
  </si>
  <si>
    <t>22927515_LU0003_LU0003_LXEUR</t>
  </si>
  <si>
    <t>LU0003 TWIN 2019-1 A 3MGBP + 95BP CX23LP017_IE00B5ZR2157_GBP LU0003_LXEUR_22927515_LU0003_LU0003_LXEUR</t>
  </si>
  <si>
    <t>4022144_LU0003_LU0003_LXEUR</t>
  </si>
  <si>
    <t>LU0003 MSHEL 2007-2 A3 ABS FLOAT 25.04.37 LU0003_LXEUR_4022144_LU0003_LU0003_LXEUR</t>
  </si>
  <si>
    <t>4541116_LU0003_LU0003_LXEUR</t>
  </si>
  <si>
    <t>LU0003 SAIL 2003-BC2 M1 MBS VAR 25.04.2033 LU0003_LXEUR_4541116_LU0003_LU0003_LXEUR</t>
  </si>
  <si>
    <t>5036232_LU0003_LU0003_LXEUR</t>
  </si>
  <si>
    <t>LU0003 BSARM 2007-2 2A1 CMO VAR 25.12.2046 LU0003_LXEUR_5036232_LU0003_LU0003_LXEUR</t>
  </si>
  <si>
    <t>1928209_LU0003_LU0003_LXEUR</t>
  </si>
  <si>
    <t>LU0003 CWL 2005-11 MV3 MBS VAR 25.02.2036 LU0003_LXEUR_1928209_LU0003_LU0003_LXEUR</t>
  </si>
  <si>
    <t>22281214_LU0003_LU0003_LXEUR</t>
  </si>
  <si>
    <t>LU0003 PMACC 2020-1 A 1MEUR + 70BP CX2P0R017__EUR LU0003_LXEUR_22281214_LU0003_LU0003_LXEUR</t>
  </si>
  <si>
    <t>14725153_LU0003_LU0003_LXEUR</t>
  </si>
  <si>
    <t>LU0003 WITEH 2015-10A A1R CDO VAR 17.04.2027 LU0003_LXEUR_14725153_LU0003_LU0003_LXEUR</t>
  </si>
  <si>
    <t>1928782_LU0003_LU0003_LXEUR</t>
  </si>
  <si>
    <t>LU0003 LBMLT 2006-3 2A4 MBS VAR 25.05.2046 LU0003_LXEUR_1928782_LU0003_LU0003_LXEUR</t>
  </si>
  <si>
    <t>16974523_LU0003_LU0003_LXEUR</t>
  </si>
  <si>
    <t>LU0003 FLORA FOODS (SIGMA BIDCO) TL B BL2630137_IE00B3D1YW09_EUR LU0003_LXEUR_16974523_LU0003_LU0003_LXEUR</t>
  </si>
  <si>
    <t>CWALT 2006-OA9 2A1A CMO VAR 20.07.2046_1551421</t>
  </si>
  <si>
    <t>2200645_LU0003_LU0003_LXEUR</t>
  </si>
  <si>
    <t>LU0003 JPMMT 2007-S2 2A3 CMO FIX 5.500% 25.06.2037 LU0003_LXEUR_2200645_LU0003_LU0003_LXEUR</t>
  </si>
  <si>
    <t>20113295_LU0003_LU0003_LXEUR</t>
  </si>
  <si>
    <t>LU0003 RIPON 1X A2 3MGBP + 80BP CX2CIK0C8_IE00B5ZR2157_GBP LU0003_LXEUR_20113295_LU0003_LU0003_LXEUR</t>
  </si>
  <si>
    <t>527749_LU0003_LU0003_LXEUR</t>
  </si>
  <si>
    <t>LU0003 SAMI 2004-AR1 1A2 CMO VAR 19.03.2034 LU0003_LXEUR_527749_LU0003_LU0003_LXEUR</t>
  </si>
  <si>
    <t>20113311_LU0003_LU0003_LXEUR</t>
  </si>
  <si>
    <t>LU0003 FACT 2018-1 A 1MEUR + 50BP CX203G013_IE00B5ZR2157_EUR LU0003_LXEUR_20113311_LU0003_LU0003_LXEUR</t>
  </si>
  <si>
    <t>24748924_LU0003_LU0003_LXEUR</t>
  </si>
  <si>
    <t>LU0003 BNPAM 2018-1A AR 3MEUR + 60BP 144A BCC2QYLE0_IE00BMTRWY37_EUR LU0003_LXEUR_24748924_LU0003_LU0003_LXEUR</t>
  </si>
  <si>
    <t>6168333_LU0003_LU0003_LXEUR</t>
  </si>
  <si>
    <t>LU0003 CSMC 2006-6 1A12 CMO FIX 6.000% 25.07.2036 LU0003_LXEUR_6168333_LU0003_LU0003_LXEUR</t>
  </si>
  <si>
    <t>20113291_LU0003_LU0003_LXEUR</t>
  </si>
  <si>
    <t>LU0003 PRADO 4 A 3MEUR + 46BP CX2BOG016__EUR LU0003_LXEUR_20113291_LU0003_LU0003_LXEUR</t>
  </si>
  <si>
    <t>6399438_LU0003_LU0003_LXEUR</t>
  </si>
  <si>
    <t>LU0003 DBALT 2007-AR1 A4 CMO VAR 25.01.2047 LU0003_LXEUR_6399438_LU0003_LU0003_LXEUR</t>
  </si>
  <si>
    <t>20113537_LU0003_LU0003_LXEUR</t>
  </si>
  <si>
    <t>LU0003 CSF 2019-1 A SONIA + 110BP CX2KDE013_IE00B5ZR2157_GBP LU0003_LXEUR_20113537_LU0003_LU0003_LXEUR</t>
  </si>
  <si>
    <t>16975042_LU0003_LU0003_LXEUR</t>
  </si>
  <si>
    <t>LU0003 CIFC 2015-5A A1R CDO VAR 25.10.2027 LU0003_LXEUR_16975042_LU0003_LU0003_LXEUR</t>
  </si>
  <si>
    <t>4107884_LU0003_LU0003_LXEUR</t>
  </si>
  <si>
    <t>LU0003 HVMLT 2005-10 2A1A CMO VAR 19.11.2035 LU0003_LXEUR_4107884_LU0003_LU0003_LXEUR</t>
  </si>
  <si>
    <t>SLMA 2004-10 A7A ABS VAR 25.10.2029_22554514</t>
  </si>
  <si>
    <t>23914700_LU0003_LU0003_LXEUR</t>
  </si>
  <si>
    <t>LU0003 ADAGI V-X ARR 3MEUR + 72BP CMNB29371_IE00B0C18065_EUR LU0003_LXEUR_23914700_LU0003_LU0003_LXEUR</t>
  </si>
  <si>
    <t>4286379_LU0003_LU0003_LXEUR</t>
  </si>
  <si>
    <t>LU0003 CWHL 2005-2 2A3 CMO FLOAT 25.03.35 LU0003_LXEUR_4286379_LU0003_LU0003_LXEUR</t>
  </si>
  <si>
    <t>1928982_LU0003_LU0003_LXEUR</t>
  </si>
  <si>
    <t>LU0003 MSAC 2007-HE1 A2C MBS VAR 25.11.2036 LU0003_LXEUR_1928982_LU0003_LU0003_LXEUR</t>
  </si>
  <si>
    <t>6201091_LU0003_LU0003_LXEUR</t>
  </si>
  <si>
    <t>LU0003 CWALT 2006-HY10 2A1 CMO VAR 25.05.2036 LU0003_LXEUR_6201091_LU0003_LU0003_LXEUR</t>
  </si>
  <si>
    <t>4994324_LU0003_LU0003_LXEUR</t>
  </si>
  <si>
    <t>LU0003 MSHEL 2007-2 A4 MBS VAR 25.04.2037 LU0003_LXEUR_4994324_LU0003_LU0003_LXEUR</t>
  </si>
  <si>
    <t>1921325_LU0003_LU0003_LXEUR</t>
  </si>
  <si>
    <t>LU0003 AMSI 2004-R10 M1 MBS VAR 25.11.2034 LU0003_LXEUR_1921325_LU0003_LU0003_LXEUR</t>
  </si>
  <si>
    <t>1928938_LU0003_LU0003_LXEUR</t>
  </si>
  <si>
    <t>LU0003 MSAC 2006-HE8 A2C MBS VAR 25.10.2036 LU0003_LXEUR_1928938_LU0003_LU0003_LXEUR</t>
  </si>
  <si>
    <t>1921659_LU0003_LU0003_LXEUR</t>
  </si>
  <si>
    <t>LU0003 HEAT 2004-1 M1 MBS VAR 25.06.2034 LU0003_LXEUR_1921659_LU0003_LU0003_LXEUR</t>
  </si>
  <si>
    <t>SARM 2005-7 1A3 CMO VAR 25.04.2035_4219959</t>
  </si>
  <si>
    <t>FNR 2014-47 AF CMO VAR 25.08.2044_19216269</t>
  </si>
  <si>
    <t>23531145_LU0003_LU0003_LXEUR</t>
  </si>
  <si>
    <t>LU0003 DRYD 2017-27X AR 3MEUR + 66BP CX2CP30M6_IE00B0C18065_EUR LU0003_LXEUR_23531145_LU0003_LU0003_LXEUR</t>
  </si>
  <si>
    <t>4697369_LU0003_LU0003_LXEUR</t>
  </si>
  <si>
    <t>LU0003 ABFC 2006-HE1 A2C MBS VAR 25.01.2037 LU0003_LXEUR_4697369_LU0003_LU0003_LXEUR</t>
  </si>
  <si>
    <t>5031782_LU0003_LU0003_LXEUR</t>
  </si>
  <si>
    <t>LU0003 RASC 2006-EMX9 1A3 MBS VAR 25.11.2036 LU0003_LXEUR_5031782_LU0003_LU0003_LXEUR</t>
  </si>
  <si>
    <t>4783138_LU0003_LU0003_LXEUR</t>
  </si>
  <si>
    <t>LU0003 SVHE 2006-OPT5 2A4 MBS VAR 25.07.2036 LU0003_LXEUR_4783138_LU0003_LU0003_LXEUR</t>
  </si>
  <si>
    <t>4209352_LU0003_LU0003_LXEUR</t>
  </si>
  <si>
    <t>LU0003 GSR 2007-AR1 2A1 CMO VAR 25.03.2047 LU0003_LXEUR_4209352_LU0003_LU0003_LXEUR</t>
  </si>
  <si>
    <t>22554143_LU0003_LU0003_LXEUR</t>
  </si>
  <si>
    <t>LU0003 GALL 2017-1A A CDO VAR 15.07.2027 LU0003_LXEUR_22554143_LU0003_LU0003_LXEUR</t>
  </si>
  <si>
    <t>22554082_LU0003_LU0003_LXEUR</t>
  </si>
  <si>
    <t>LU0003 CONTE 2X AR 3MEUR+91BP CMKI53080_IE00BMTRWY37_EUR LU0003_LXEUR_22554082_LU0003_LU0003_LXEUR</t>
  </si>
  <si>
    <t>1928117_LU0003_LU0003_LXEUR</t>
  </si>
  <si>
    <t>LU0003 BSABS 2006-HE10 1A2 MBS VAR 25.12.2036 LU0003_LXEUR_1928117_LU0003_LU0003_LXEUR</t>
  </si>
  <si>
    <t>22554595_LU0003_LU0003_LXEUR</t>
  </si>
  <si>
    <t>LU0003 WFMBS RECEIVABLE 94983YAA7 WFMBRECF9_IE00B0C18065_USD LU0003_LXEUR_22554595_LU0003_LU0003_LXEUR</t>
  </si>
  <si>
    <t>GNR 2019-90 AF CMO VAR 20.07.2049_18423593</t>
  </si>
  <si>
    <t>4126767_LU0003_LU0003_LXEUR</t>
  </si>
  <si>
    <t>LU0003 BALTA 2007-1 1A1 CMO FLOAT 25.01.47 LU0003_LXEUR_4126767_LU0003_LU0003_LXEUR</t>
  </si>
  <si>
    <t>6194111_LU0003_LU0003_LXEUR</t>
  </si>
  <si>
    <t>LU0003 CWALT 2006-24CB A13 CMO VAR 25.08.2036 LU0003_LXEUR_6194111_LU0003_LU0003_LXEUR</t>
  </si>
  <si>
    <t>2734372_LU0003_LU0003_LXEUR</t>
  </si>
  <si>
    <t>LU0003 WMALT 2005-3 1CB3 CMO VAR 25.05.2035 LU0003_LXEUR_2734372_LU0003_LU0003_LXEUR</t>
  </si>
  <si>
    <t>FHR 4068 FA CMO VAR 15.06.2042_22554481</t>
  </si>
  <si>
    <t>23914573_LU0003_LU0003_LXEUR</t>
  </si>
  <si>
    <t>LU0003 ADAGI V-A ARR 3MEUR + 72BP 144A CMJF71379_IE00B0C18065_EUR LU0003_LXEUR_23914573_LU0003_LU0003_LXEUR</t>
  </si>
  <si>
    <t>CWHL 2004-19 A14 CMO FIX 5.500% 25.10.2034_4467280</t>
  </si>
  <si>
    <t>4447027_LU0003_LU0003_LXEUR</t>
  </si>
  <si>
    <t>LU0003 CSMC 2007-5 1A11 CMO FIX 7.000% 25.08.2037 LU0003_LXEUR_4447027_LU0003_LU0003_LXEUR</t>
  </si>
  <si>
    <t>6388771_LU0003_LU0003_LXEUR</t>
  </si>
  <si>
    <t>LU0003 NHELI 2006-HE1 M1 MBS VAR 25.02.2036 LU0003_LXEUR_6388771_LU0003_LU0003_LXEUR</t>
  </si>
  <si>
    <t>SMB 2020-PTA A2A ABS FIX 1.600% 15.09.2054_21637003</t>
  </si>
  <si>
    <t>GNR 2010-50 GF CMO VAR 20.04.2040_20113244</t>
  </si>
  <si>
    <t>7148138_LU0003_LU0003_LXEUR</t>
  </si>
  <si>
    <t>LU0003 BCAP 2007-AA5 A1 CMO VAR 25.09.2047 LU0003_LXEUR_7148138_LU0003_LU0003_LXEUR</t>
  </si>
  <si>
    <t>20113327_LU0003_LU0003_LXEUR</t>
  </si>
  <si>
    <t>LU0003 JUBIL 2014-14X A1RE 3MEUR + 98BP CMEC17176_IE00B5ZR2157_EUR LU0003_LXEUR_20113327_LU0003_LU0003_LXEUR</t>
  </si>
  <si>
    <t>GNR 2016-H24 F CMO VAR 20.11.2066_22623653</t>
  </si>
  <si>
    <t>7353270_LU0003_LU0003_LXEUR</t>
  </si>
  <si>
    <t>LU0003 BALTA 2006-2 11A1 CMO VAR 25.04.2036 LU0003_LXEUR_7353270_LU0003_LU0003_LXEUR</t>
  </si>
  <si>
    <t>3949108_LU0003_LU0003_LXEUR</t>
  </si>
  <si>
    <t>LU0003 MSAC 2004-HE3 M1 MBS VAR 25.03.2034 LU0003_LXEUR_3949108_LU0003_LU0003_LXEUR</t>
  </si>
  <si>
    <t>6604684_LU0003_LU0003_LXEUR</t>
  </si>
  <si>
    <t>LU0003 WAMU 2006-AR8 2A1 CMO VAR 25.08.2036 LU0003_LXEUR_6604684_LU0003_LU0003_LXEUR</t>
  </si>
  <si>
    <t>FNR 2007-9 FA CMO FLOAT 25.03.37_2644357</t>
  </si>
  <si>
    <t>CWL 2004-BC5 M5 MBS VAR 25.10.2034_22554490</t>
  </si>
  <si>
    <t>22554334_LU0003_LU0003_LXEUR</t>
  </si>
  <si>
    <t>LU0003 HARVT 14X A1RN 3MEUR + 63BP CX26F20Q3_IE00BMTRWY37_EUR LU0003_LXEUR_22554334_LU0003_LU0003_LXEUR</t>
  </si>
  <si>
    <t>7103535_LU0003_LU0003_LXEUR</t>
  </si>
  <si>
    <t>LU0003 FFML 2004-FF11 M4 MBS VAR 25.01.2035 LU0003_LXEUR_7103535_LU0003_LU0003_LXEUR</t>
  </si>
  <si>
    <t>FNR 2007-38 FC CMO VAR 25.05.2037_22554099</t>
  </si>
  <si>
    <t>6609935_LU0003_LU0003_LXEUR</t>
  </si>
  <si>
    <t>LU0003 OWNIT 2005-5 M1 MBS VAR 25.10.2036 LU0003_LXEUR_6609935_LU0003_LU0003_LXEUR</t>
  </si>
  <si>
    <t>4126774_LU0003_LU0003_LXEUR</t>
  </si>
  <si>
    <t>LU0003 LXS 2006-2N 1A1 CMO VAR 25.02.2046 LU0003_LXEUR_4126774_LU0003_LU0003_LXEUR</t>
  </si>
  <si>
    <t>1929122_LU0003_LU0003_LXEUR</t>
  </si>
  <si>
    <t>LU0003 RASC 2004-KS11 M1 MBS VAR 25.12.2034 LU0003_LXEUR_1929122_LU0003_LU0003_LXEUR</t>
  </si>
  <si>
    <t>WAMU 2006-AR2 1A1 CMO VAR 25.03.2036_2644548</t>
  </si>
  <si>
    <t>6982141_LU0003_LU0003_LXEUR</t>
  </si>
  <si>
    <t>LU0003 GSR 2005-AR2 2A1 CMO VAR 25.04.2035 LU0003_LXEUR_6982141_LU0003_LU0003_LXEUR</t>
  </si>
  <si>
    <t>1929091_LU0003_LU0003_LXEUR</t>
  </si>
  <si>
    <t>LU0003 PPSI 2005-WCW2 M3 MBS VAR 25.07.2035 LU0003_LXEUR_1929091_LU0003_LU0003_LXEUR</t>
  </si>
  <si>
    <t>2125360_LU0003_LU0003_LXEUR</t>
  </si>
  <si>
    <t>LU0003 RAST 2005-A10 A3 CMO FIX 5.500% 25.09.2035 LU0003_LXEUR_2125360_LU0003_LU0003_LXEUR</t>
  </si>
  <si>
    <t>3001223_LU0003_LU0003_LXEUR</t>
  </si>
  <si>
    <t>LU0003 CMLTI 2007-AHL2 A3B MBS VAR 25.05.2037 LU0003_LXEUR_3001223_LU0003_LU0003_LXEUR</t>
  </si>
  <si>
    <t>23531222_LU0003_LU0003_LXEUR</t>
  </si>
  <si>
    <t>LU0003 STRA 2021-2A A SONIA3M + 90BP 144A 7452179B7_IE00BMTRWY37_GBP LU0003_LXEUR_23531222_LU0003_LU0003_LXEUR</t>
  </si>
  <si>
    <t>22554369_LU0003_LU0003_LXEUR</t>
  </si>
  <si>
    <t>LU0003 ALBAC 1X A 3MEUR+153BP CMND29013_IE00BMTRWY37_EUR LU0003_LXEUR_22554369_LU0003_LU0003_LXEUR</t>
  </si>
  <si>
    <t>FHR 3318 FL CMO VAR 15.05.2037_22554081</t>
  </si>
  <si>
    <t>25094496_LU0003_LU0003_LXEUR</t>
  </si>
  <si>
    <t>LU0003 PSTET 2021-1A A 3MEUR + 78BP 144A CX37AP019_IE00BMTRWY37_EUR LU0003_LXEUR_25094496_LU0003_LU0003_LXEUR</t>
  </si>
  <si>
    <t>7004555_LU0003_LU0003_LXEUR</t>
  </si>
  <si>
    <t>LU0003 BSARM 2004-2 12A2 CMO VAR 25.05.2034 LU0003_LXEUR_7004555_LU0003_LU0003_LXEUR</t>
  </si>
  <si>
    <t>19567848_LU0003_LU0003_LXEUR</t>
  </si>
  <si>
    <t>LU0003 COMMSCOPE INC TL B BL2849315_IE0033386453_USD LU0003_LXEUR_19567848_LU0003_LU0003_LXEUR</t>
  </si>
  <si>
    <t>2249032_LU0003_LU0003_LXEUR</t>
  </si>
  <si>
    <t>LU0003 RALI 2007-QS10 A1 CMO FIX 6.500% 25.09.2037 LU0003_LXEUR_2249032_LU0003_LU0003_LXEUR</t>
  </si>
  <si>
    <t>2923109_LU0003_LU0003_LXEUR</t>
  </si>
  <si>
    <t>LU0003 CWALT 2005-J1 3A1 CMO FIX 6.500% 25.08.2032 LU0003_LXEUR_2923109_LU0003_LU0003_LXEUR</t>
  </si>
  <si>
    <t>SLMA 2008-8 A4 ABS VAR 25.04.2023_2986422</t>
  </si>
  <si>
    <t>GNR 2012-H29 SA CMO VAR 20.10.2062_16974057</t>
  </si>
  <si>
    <t>611536_LU0003_LU0003_LXEUR</t>
  </si>
  <si>
    <t>LU0003 WFMBS 2006-AR19 A1 CMO VAR 25.12.2036 LU0003_LXEUR_611536_LU0003_LU0003_LXEUR</t>
  </si>
  <si>
    <t>1928234_LU0003_LU0003_LXEUR</t>
  </si>
  <si>
    <t>LU0003 CWL 2005-17 MV1 MBS VAR 25.05.2036 LU0003_LXEUR_1928234_LU0003_LU0003_LXEUR</t>
  </si>
  <si>
    <t>20113283_LU0003_LU0003_LXEUR</t>
  </si>
  <si>
    <t>LU0003 TWIN 2018-1 A 3MEUR + 88BP CX2603012_IE00B5ZR2157_GBP LU0003_LXEUR_20113283_LU0003_LU0003_LXEUR</t>
  </si>
  <si>
    <t>19914484_LU0003_LU0003_LXEUR</t>
  </si>
  <si>
    <t>LU0003 MVEW 2017-1A AR CDO VAR 16.10.2029 LU0003_LXEUR_19914484_LU0003_LU0003_LXEUR</t>
  </si>
  <si>
    <t>1551577_LU0003_LU0003_LXEUR</t>
  </si>
  <si>
    <t>LU0003 INDX 2006-AR6 2A1A CMO VAR 25.06.2046 LU0003_LXEUR_1551577_LU0003_LU0003_LXEUR</t>
  </si>
  <si>
    <t>4847346_LU0003_LU0003_LXEUR</t>
  </si>
  <si>
    <t>LU0003 BALTA 2005-4 1A1 CMO FLOAT 25.04.35 LU0003_LXEUR_4847346_LU0003_LU0003_LXEUR</t>
  </si>
  <si>
    <t>2791537_LU0003_LU0003_LXEUR</t>
  </si>
  <si>
    <t>LU0003 INDX 2005-AR14 2A1A CMO FLOAT 25.07.35 LU0003_LXEUR_2791537_LU0003_LU0003_LXEUR</t>
  </si>
  <si>
    <t>25094399_LU0003_LU0003_LXEUR</t>
  </si>
  <si>
    <t>LU0003 G2 785555 MBS VAR 20.06.2071 LU0003_LXEUR_25094399_LU0003_LU0003_LXEUR</t>
  </si>
  <si>
    <t>GNR 2016-H07 FK CMO VAR 20.03.2066_22623667</t>
  </si>
  <si>
    <t>23531180_LU0003_LU0003_LXEUR</t>
  </si>
  <si>
    <t>LU0003 CONNECT FINCO SARL BL3543891_IE00B0C18065_USD LU0003_LXEUR_23531180_LU0003_LU0003_LXEUR</t>
  </si>
  <si>
    <t>GNR 2013-H15 FC CMO VAR 20.07.2063_16974055</t>
  </si>
  <si>
    <t>24139187_LU0003_LU0003_LXEUR</t>
  </si>
  <si>
    <t>LU0003 BLACK 2017-2X A1 3MEUR + 86BP CX2IF6013_IE00B5ZR2157_EUR LU0003_LXEUR_24139187_LU0003_LU0003_LXEUR</t>
  </si>
  <si>
    <t>2261443_LU0003_LU0003_LXEUR</t>
  </si>
  <si>
    <t>LU0003 CWALT 2006-OA19 A1 CMO VAR 20.02.2047 LU0003_LXEUR_2261443_LU0003_LU0003_LXEUR</t>
  </si>
  <si>
    <t>FSQ 2020-2A A CMO VAR 16.06.2070_22554210</t>
  </si>
  <si>
    <t>2931285_LU0003_LU0003_LXEUR</t>
  </si>
  <si>
    <t>LU0003 WFMBS 2006-AR5 2A1 CMO FLOAT 25.04.36 LU0003_LXEUR_2931285_LU0003_LU0003_LXEUR</t>
  </si>
  <si>
    <t>FHR 4906 QF CMO VAR 25.09.2049_18746165</t>
  </si>
  <si>
    <t>21520997_LU0003_LU0003_LXEUR</t>
  </si>
  <si>
    <t>LU0003 KKR 18 A CDO VAR 18.07.2030 LU0003_LXEUR_21520997_LU0003_LU0003_LXEUR</t>
  </si>
  <si>
    <t>708782_LU0003_LU0003_LXEUR</t>
  </si>
  <si>
    <t>LU0003 JPMAC 2007-CH1 AF4 MBS STEP 4.722% 25.11.2036 LU0003_LXEUR_708782_LU0003_LU0003_LXEUR</t>
  </si>
  <si>
    <t>4355178_LU0003_LU0003_LXEUR</t>
  </si>
  <si>
    <t>LU0003 MANA 2007-A2 A3A CMO FLOAT 25.03.37 LU0003_LXEUR_4355178_LU0003_LU0003_LXEUR</t>
  </si>
  <si>
    <t>23173247_LU0003_LU0003_LXEUR</t>
  </si>
  <si>
    <t>LU0003 VENTR 2017-27A AR CDO VAR 20.07.2030 LU0003_LXEUR_23173247_LU0003_LU0003_LXEUR</t>
  </si>
  <si>
    <t>18594856_LU0003_LU0003_LXEUR</t>
  </si>
  <si>
    <t>LU0003 UNITED AIR 2019-2 A PTT A FIX 2.900% 01.05.2028 LU0003_LXEUR_18594856_LU0003_LU0003_LXEUR</t>
  </si>
  <si>
    <t>FNR 2006-129 FM CMO VAR 25.01.2037_22554249</t>
  </si>
  <si>
    <t>22554430_LU0003_LU0003_LXEUR</t>
  </si>
  <si>
    <t>LU0003 ALTICE FRANCE SA TL B13 BL2757823_IE00B0C18065_USD LU0003_LXEUR_22554430_LU0003_LU0003_LXEUR</t>
  </si>
  <si>
    <t>WAMU 2007-HY4 1A1 CMO VAR 25.04.2037_1551608</t>
  </si>
  <si>
    <t>FNR 2006-58 FL CMO VAR 25.07.2036_7065941</t>
  </si>
  <si>
    <t>22554103_LU0003_LU0003_LXEUR</t>
  </si>
  <si>
    <t>LU0003 PMF 2018-2B A 3 3MGBP + 68BP CX2LG6015_IE00BMTRWY37_GBP LU0003_LXEUR_22554103_LU0003_LU0003_LXEUR</t>
  </si>
  <si>
    <t>1921855_LU0003_LU0003_LXEUR</t>
  </si>
  <si>
    <t>LU0003 SAIL 2004-11 M1 MBS VAR 25.01.2035 LU0003_LXEUR_1921855_LU0003_LU0003_LXEUR</t>
  </si>
  <si>
    <t>7323151_LU0003_LU0003_LXEUR</t>
  </si>
  <si>
    <t>LU0003 DMARC 2014-RS1 4A1 CMO VAR 27.11.2036 LU0003_LXEUR_7323151_LU0003_LU0003_LXEUR</t>
  </si>
  <si>
    <t>GNR 2017-H18 FB CMO VAR 20.09.2067_16974682</t>
  </si>
  <si>
    <t>20113534_LU0003_LU0003_LXEUR</t>
  </si>
  <si>
    <t>LU0003 STORM 2018-1 A 3MEUR+ 60BP CX2JP8016_IE00B5ZR2157_EUR LU0003_LXEUR_20113534_LU0003_LU0003_LXEUR</t>
  </si>
  <si>
    <t>4653698_LU0003_LU0003_LXEUR</t>
  </si>
  <si>
    <t>LU0003 EMCM 2003-B A1 MBS VAR 25.11.2041 LU0003_LXEUR_4653698_LU0003_LU0003_LXEUR</t>
  </si>
  <si>
    <t>16974089_LU0003_LU0003_LXEUR</t>
  </si>
  <si>
    <t>LU0003 MVW 2015-10A AR CDO VAR 13.10.2027 LU0003_LXEUR_16974089_LU0003_LU0003_LXEUR</t>
  </si>
  <si>
    <t>6651894_LU0003_LU0003_LXEUR</t>
  </si>
  <si>
    <t>LU0003 CWALT 2006-OA8 2A3 CMO VAR 25.07.2046 LU0003_LXEUR_6651894_LU0003_LU0003_LXEUR</t>
  </si>
  <si>
    <t>6405193_LU0003_LU0003_LXEUR</t>
  </si>
  <si>
    <t>LU0003 ABFC 2006-HE1 A2D MBS VAR 25.01.2037 LU0003_LXEUR_6405193_LU0003_LU0003_LXEUR</t>
  </si>
  <si>
    <t>4057426_LU0003_LU0003_LXEUR</t>
  </si>
  <si>
    <t>LU0003 WAMU 2002-AR19 A6 CMO VAR 25.02.2033 LU0003_LXEUR_4057426_LU0003_LU0003_LXEUR</t>
  </si>
  <si>
    <t>FNR 2020-40 FA CMO VAR 25.06.2060_22554310</t>
  </si>
  <si>
    <t>7175512_LU0003_LU0003_LXEUR</t>
  </si>
  <si>
    <t>LU0003 MABS 2006-WMC1 A3 MBS VAR 25.02.2036 LU0003_LXEUR_7175512_LU0003_LU0003_LXEUR</t>
  </si>
  <si>
    <t>1929007_LU0003_LU0003_LXEUR</t>
  </si>
  <si>
    <t>LU0003 MSAC 2007-HE5 A2C MBS VAR 25.03.2037 LU0003_LXEUR_1929007_LU0003_LU0003_LXEUR</t>
  </si>
  <si>
    <t>23531158_LU0003_LU0003_LXEUR</t>
  </si>
  <si>
    <t>LU0003 STRA 2021-1 A SONIA3M IR +85BP CX2M2B017_IE00B5ZR2157_GBP LU0003_LXEUR_23531158_LU0003_LU0003_LXEUR</t>
  </si>
  <si>
    <t>22554174_LU0003_LU0003_LXEUR</t>
  </si>
  <si>
    <t>LU0003 PLRS 2019-1 A SONIA1M + 125BP CX2BMR014_IE00BMTRWY37_GBP LU0003_LXEUR_22554174_LU0003_LU0003_LXEUR</t>
  </si>
  <si>
    <t>FNR 2019-66 FA CMO VAR 25.11.2059_19863503</t>
  </si>
  <si>
    <t>4913968_LU0003_LU0003_LXEUR</t>
  </si>
  <si>
    <t>LU0003 CWALT 2007-25 1A2 CMO FIX 6.500% 25.11.2037 LU0003_LXEUR_4913968_LU0003_LU0003_LXEUR</t>
  </si>
  <si>
    <t>CSFB 2003-AR15 2A1 CMO VAR 25.06.2033_813656</t>
  </si>
  <si>
    <t>994144_LU0003_LU0003_LXEUR</t>
  </si>
  <si>
    <t>LU0003 HMBT 2006-2 A1 CMO VAR 25.12.2036 LU0003_LXEUR_994144_LU0003_LU0003_LXEUR</t>
  </si>
  <si>
    <t>4586888_LU0003_LU0003_LXEUR</t>
  </si>
  <si>
    <t>LU0003 GSR 2005-AR7 5A1 CMO FLOAT 25.11.35 LU0003_LXEUR_4586888_LU0003_LU0003_LXEUR</t>
  </si>
  <si>
    <t>CGCMT 2013-375P A MBS FIX 3.251% 10.05.2035_11100305</t>
  </si>
  <si>
    <t>GNR 2020-H07 FA CMO VAR 20.04.2070_21027809</t>
  </si>
  <si>
    <t>6689643_LU0003_LU0003_LXEUR</t>
  </si>
  <si>
    <t>LU0003 SVHE 2006-3 A3 MBS VAR 25.11.2036 LU0003_LXEUR_6689643_LU0003_LU0003_LXEUR</t>
  </si>
  <si>
    <t>4330328_LU0003_LU0003_LXEUR</t>
  </si>
  <si>
    <t>LU0003 CMALT 2007-A6 1A3 CMO 6.000% 25.06.37 LU0003_LXEUR_4330328_LU0003_LU0003_LXEUR</t>
  </si>
  <si>
    <t>23914520_LU0003_LU0003_LXEUR</t>
  </si>
  <si>
    <t>LU0003 VIBR 2017-7A A1R CDO VAR 15.09.2030 LU0003_LXEUR_23914520_LU0003_LU0003_LXEUR</t>
  </si>
  <si>
    <t>1921231_LU0003_LU0003_LXEUR</t>
  </si>
  <si>
    <t>LU0003 MSAC 2005-NC1 M2 MBS VAR 25.01.2035 LU0003_LXEUR_1921231_LU0003_LU0003_LXEUR</t>
  </si>
  <si>
    <t>SEMT 2007-1 1A1 CMO VAR 20.01.2047_1551603</t>
  </si>
  <si>
    <t>22554466_LU0003_LU0003_LXEUR</t>
  </si>
  <si>
    <t>LU0003 RMS 31 A 3MGBP + 120BP CMUA54019_IE00BMTRWY37_GBP LU0003_LXEUR_22554466_LU0003_LU0003_LXEUR</t>
  </si>
  <si>
    <t>WFRBS 2012-C7 AFL MBS VAR 15.06.2045_22623665</t>
  </si>
  <si>
    <t>24139191_LU0003_LU0003_LXEUR</t>
  </si>
  <si>
    <t>LU0003 PCLF 2021-1 A SONIA1M + 75BP CX2RJD014_IE00B5ZR2157_GBP LU0003_LXEUR_24139191_LU0003_LU0003_LXEUR</t>
  </si>
  <si>
    <t>FHR 3927 FH CMO FLOAT 15.09.41_4797555</t>
  </si>
  <si>
    <t>714888_LU0003_LU0003_LXEUR</t>
  </si>
  <si>
    <t>LU0003 WAMU 2004-AR8 A1 CMO VAR 25.06.2044 LU0003_LXEUR_714888_LU0003_LU0003_LXEUR</t>
  </si>
  <si>
    <t>2009898_LU0003_LU0003_LXEUR</t>
  </si>
  <si>
    <t>LU0003 JPALT 2006-A2 3A1 CMO VAR 25.05.2036 LU0003_LXEUR_2009898_LU0003_LU0003_LXEUR</t>
  </si>
  <si>
    <t>FHR 3751 FG CMO VAR 15.11.2050_22554266</t>
  </si>
  <si>
    <t>7073812_LU0003_LU0003_LXEUR</t>
  </si>
  <si>
    <t>LU0003 CWL 2005-1 MV6 MBS VAR 25.07.2035 LU0003_LXEUR_7073812_LU0003_LU0003_LXEUR</t>
  </si>
  <si>
    <t>786220_LU0003_LU0003_LXEUR</t>
  </si>
  <si>
    <t>LU0003 HASC 2006-HE2 2A2 MBS VAR 25.12.2036 LU0003_LXEUR_786220_LU0003_LU0003_LXEUR</t>
  </si>
  <si>
    <t>994152_LU0003_LU0003_LXEUR</t>
  </si>
  <si>
    <t>LU0003 INDX 2005-AR7 4A1 CMO VAR 25.06.2035 LU0003_LXEUR_994152_LU0003_LU0003_LXEUR</t>
  </si>
  <si>
    <t>2202464_LU0003_LU0003_LXEUR</t>
  </si>
  <si>
    <t>LU0003 CWHL 2006-9 A1 CMO FIX 6.000% 25.05.2036 LU0003_LXEUR_2202464_LU0003_LU0003_LXEUR</t>
  </si>
  <si>
    <t>4442929_LU0003_LU0003_LXEUR</t>
  </si>
  <si>
    <t>LU0003 CMLTI 2006-NC2 A2B MBS VAR 25.09.2036 LU0003_LXEUR_4442929_LU0003_LU0003_LXEUR</t>
  </si>
  <si>
    <t>4759261_LU0003_LU0003_LXEUR</t>
  </si>
  <si>
    <t>LU0003 FHAMS 2006-AA3 A1 CMO VAR 25.06.2036 LU0003_LXEUR_4759261_LU0003_LU0003_LXEUR</t>
  </si>
  <si>
    <t>22554484_LU0003_LU0003_LXEUR</t>
  </si>
  <si>
    <t>LU0003 NOURYON FINANCE BV TL B BL3286657__EUR LU0003_LXEUR_22554484_LU0003_LU0003_LXEUR</t>
  </si>
  <si>
    <t>8941463_LU0003_LU0003_LXEUR</t>
  </si>
  <si>
    <t>LU0003 MLMI 2003-A3 1A CMO VAR 25.05.2033 LU0003_LXEUR_8941463_LU0003_LU0003_LXEUR</t>
  </si>
  <si>
    <t>22554340_LU0003_LU0003_LXEUR</t>
  </si>
  <si>
    <t>LU0003 ALTICE FINANCING SA TL B BL2389221_IE00B0C18065_USD LU0003_LXEUR_22554340_LU0003_LU0003_LXEUR</t>
  </si>
  <si>
    <t>FHR 3747 WF CMO VAR 15.10.2040_22554434</t>
  </si>
  <si>
    <t>1551416_LU0003_LU0003_LXEUR</t>
  </si>
  <si>
    <t>LU0003 BOAMS 2006-A 2A1 CMO VAR 25.02.2036 LU0003_LXEUR_1551416_LU0003_LU0003_LXEUR</t>
  </si>
  <si>
    <t>SLMA 2003-11 A6 ABS VAR 15.12.2025_12573239</t>
  </si>
  <si>
    <t>2005175_LU0003_LU0003_LXEUR</t>
  </si>
  <si>
    <t>LU0003 CWALT 2006-OA2 A1 CMO VAR 20.05.2046 LU0003_LXEUR_2005175_LU0003_LU0003_LXEUR</t>
  </si>
  <si>
    <t>PPSI 2005-WCW1 M3 MBS VAR 25.09.2035_1929086</t>
  </si>
  <si>
    <t>22554394_LU0003_LU0003_LXEUR</t>
  </si>
  <si>
    <t>LU0003 COLT 2020-1R A1 CMO FIX 1.255% 25.09.2065 LU0003_LXEUR_22554394_LU0003_LU0003_LXEUR</t>
  </si>
  <si>
    <t>22554054_LU0003_LU0003_LXEUR</t>
  </si>
  <si>
    <t>LU0003 HARVT 14X A1AR 3MEUR + 63BP CX26F20P5_IE00BMTRWY37_EUR LU0003_LXEUR_22554054_LU0003_LU0003_LXEUR</t>
  </si>
  <si>
    <t>FNR 2017-95 FA CMO VAR 25.11.2047_22554140</t>
  </si>
  <si>
    <t>24748876_LU0003_LU0003_LXEUR</t>
  </si>
  <si>
    <t>LU0003 CGMSE 2017-3A A1R 3MEUR + 70BP 144A CX35030M7_IE00BMTRWY37_EUR LU0003_LXEUR_24748876_LU0003_LU0003_LXEUR</t>
  </si>
  <si>
    <t>4653695_LU0003_LU0003_LXEUR</t>
  </si>
  <si>
    <t>LU0003 BALTA 2006-2 24A1 CMO FLOAT 25.03.36 LU0003_LXEUR_4653695_LU0003_LU0003_LXEUR</t>
  </si>
  <si>
    <t>GNR 2010-37 FG CMO VAR 20.03.2040_20113243</t>
  </si>
  <si>
    <t>4582190_LU0003_LU0003_LXEUR</t>
  </si>
  <si>
    <t>LU0003 RALI 2007-QA3 A1 CMO FLOAT 25.05.37 LU0003_LXEUR_4582190_LU0003_LU0003_LXEUR</t>
  </si>
  <si>
    <t>4877077_LU0003_LU0003_LXEUR</t>
  </si>
  <si>
    <t>LU0003 BOAA 2006-5 CB14 CMO VAR 25.06.2046 LU0003_LXEUR_4877077_LU0003_LU0003_LXEUR</t>
  </si>
  <si>
    <t>NSLT 2017-3A A ABS VAR 25.02.2066_16974793</t>
  </si>
  <si>
    <t>GNR 2017-H12 FE CMO VAR 20.06.2066_16974061</t>
  </si>
  <si>
    <t>1928094_LU0003_LU0003_LXEUR</t>
  </si>
  <si>
    <t>LU0003 ARSI 2006-W4 A2D MBS VAR 25.05.2036 LU0003_LXEUR_1928094_LU0003_LU0003_LXEUR</t>
  </si>
  <si>
    <t>Liability value before shock</t>
  </si>
  <si>
    <t>Bonds &amp; Loans</t>
  </si>
  <si>
    <t>Bonds other than qualifying infrastructure bonds</t>
  </si>
  <si>
    <t>Securitisation Position</t>
  </si>
  <si>
    <t>Senior STS Securitization</t>
  </si>
  <si>
    <t>Non-Senior STS Securitization</t>
  </si>
  <si>
    <t>Resecuritization</t>
  </si>
  <si>
    <t/>
  </si>
  <si>
    <t>Subentity_Code</t>
  </si>
  <si>
    <t>Lookup Key</t>
  </si>
  <si>
    <t>Solo &amp; Fund Name</t>
  </si>
  <si>
    <t>Correction duration</t>
  </si>
  <si>
    <t>Duration lower bound (included)</t>
  </si>
  <si>
    <t>Duration higher bound 
(included)</t>
  </si>
  <si>
    <t>Correction on duration</t>
  </si>
  <si>
    <t>selection - Securitization</t>
  </si>
  <si>
    <t>Credit Quality step</t>
  </si>
  <si>
    <t>DDD</t>
  </si>
  <si>
    <t>DD</t>
  </si>
  <si>
    <t>Name</t>
  </si>
  <si>
    <t>Unit-linked</t>
  </si>
  <si>
    <t>INDEX_LINKED</t>
  </si>
  <si>
    <t xml:space="preserve">Index-linked and unit-linked insurance </t>
  </si>
  <si>
    <t>RI_UL</t>
  </si>
  <si>
    <t>Reinsurance from unit-linked</t>
  </si>
  <si>
    <t xml:space="preserve">Credit Quality Step </t>
  </si>
  <si>
    <t>Spread Helper - Model Parameter</t>
  </si>
  <si>
    <t>Parameters for Other Bond</t>
  </si>
  <si>
    <t>Parameters for securitization positions</t>
  </si>
  <si>
    <t>Duration class</t>
  </si>
  <si>
    <t>Multiplication factor</t>
  </si>
  <si>
    <t>F_up (&lt; 5 y)</t>
  </si>
  <si>
    <t>Risk Factor for Other Securitization</t>
  </si>
  <si>
    <t>Risk Factor for Resecuritization</t>
  </si>
  <si>
    <t>F_up (6 - 10 y)</t>
  </si>
  <si>
    <t>Credit quality step</t>
  </si>
  <si>
    <t>Risk factor FUP</t>
  </si>
  <si>
    <t>F_up (11 - 15 y)</t>
  </si>
  <si>
    <t>F_up (16 - 20 y)</t>
  </si>
  <si>
    <t>F_up (&gt; 20 y)</t>
  </si>
  <si>
    <t>Step up factor</t>
  </si>
  <si>
    <t>Parameters for Covered Bond</t>
  </si>
  <si>
    <t>Transitional Measures</t>
  </si>
  <si>
    <t>Factor</t>
  </si>
  <si>
    <t>Parameters for Non-EEA Sovereign Bond</t>
  </si>
  <si>
    <t>Parameters for Qualifying Infrastructure Bond</t>
  </si>
  <si>
    <t>Parameters for EEA Sovereign Bond</t>
  </si>
  <si>
    <t>Parameters for Supranational Bond</t>
  </si>
  <si>
    <t>Parameters for Local Authority Bond</t>
  </si>
  <si>
    <t>Parameters for Qualifying Infrastructure Corporate Bond</t>
  </si>
  <si>
    <t>Parameters for Senior STS securitisation positions</t>
  </si>
  <si>
    <t>Parameters for Non-senior STS securitisation positions</t>
  </si>
  <si>
    <t>Unlisted Local Authority Bonds</t>
  </si>
  <si>
    <t>Address of the Cell</t>
  </si>
  <si>
    <t>Number of Errors</t>
  </si>
  <si>
    <t>Error</t>
  </si>
  <si>
    <t>Dataitem</t>
  </si>
  <si>
    <t>Sheet Name</t>
  </si>
  <si>
    <t>Node</t>
  </si>
  <si>
    <t>Spread Risk</t>
  </si>
  <si>
    <t>Bonds_Loans</t>
  </si>
  <si>
    <t>Output Sheet</t>
  </si>
  <si>
    <t>Bond_Loans_Quality_Infrastructure</t>
  </si>
  <si>
    <t>Bond_Loans_Other_Quality_Infrastructure</t>
  </si>
  <si>
    <t>Securitisation_Postion</t>
  </si>
  <si>
    <t>Type1_Securitisation_Postion</t>
  </si>
  <si>
    <t>Senior_STS_Securitisation</t>
  </si>
  <si>
    <t>Non_Senior_STS_Securitisation</t>
  </si>
  <si>
    <t>Other_Securitisation</t>
  </si>
  <si>
    <t>Resecuritisation</t>
  </si>
  <si>
    <t>Bond_Loans_Quality_Corporate_Infrastructure</t>
  </si>
  <si>
    <t>Version</t>
  </si>
  <si>
    <t>Date</t>
  </si>
  <si>
    <t>Latest Version</t>
  </si>
  <si>
    <t>v.4.02.00</t>
  </si>
  <si>
    <t>Implemented RSP-15957 - eFrame Santity for errors in output and extraction sheets - Arun N</t>
  </si>
  <si>
    <t>v.4.01.01</t>
  </si>
  <si>
    <t>RSP-15179 - eFrame Encapsualtion implementation - Arun N</t>
  </si>
  <si>
    <t>v.4.01.00</t>
  </si>
  <si>
    <t>27/4/2021</t>
  </si>
  <si>
    <t>TICKET-5553 and RSP-15898</t>
  </si>
  <si>
    <t>v.4.00.00</t>
  </si>
  <si>
    <t>v.3.8.00</t>
  </si>
  <si>
    <t>RSP:8999 Local Authority Bond</t>
  </si>
  <si>
    <t>v.3.7.03</t>
  </si>
  <si>
    <t>UAT Comments Formatting Issues</t>
  </si>
  <si>
    <t>v.3.7.02</t>
  </si>
  <si>
    <t>UAT comments from hannes
Changed the code for BEL to fix Bug on SUPRANATIONAL bond</t>
  </si>
  <si>
    <t>v.3.7.01</t>
  </si>
  <si>
    <t>Change In formulae for securtisation Position Total to include other secutisation Values in the Sum and Liabilities Input and Liabilities input Code change</t>
  </si>
  <si>
    <t>v.3.7.00</t>
  </si>
  <si>
    <t>STS secuitisation</t>
  </si>
  <si>
    <t>v.3.5.06</t>
  </si>
  <si>
    <t>CSRF Mapping Named Range Issue Resolved</t>
  </si>
  <si>
    <t>v.3.5.05</t>
  </si>
  <si>
    <t>Summation Formulae missing in Spread Risk Issue</t>
  </si>
  <si>
    <t>v.3.5.04</t>
  </si>
  <si>
    <t>Formtting Issues</t>
  </si>
  <si>
    <t>v.3.5.03</t>
  </si>
  <si>
    <t>Named Range Issue resolved</t>
  </si>
  <si>
    <t>v.3.5.02</t>
  </si>
  <si>
    <t>QIC ChangeData Flow Story</t>
  </si>
  <si>
    <t>v.3.5.01</t>
  </si>
  <si>
    <t>QIC Change Layout Story</t>
  </si>
  <si>
    <t>v.3.5.00</t>
  </si>
  <si>
    <t>Manual Adjusments for CSRF</t>
  </si>
  <si>
    <t>v.3.3.09-HF3</t>
  </si>
  <si>
    <t>Transitional Measure Factor Fix for Spread Helper-changed to Reporting Cycle ID filter. This was the initial fix,but didn't work in 2018 planning BST due to the wrong version of the eFrame it Config deployed.</t>
  </si>
  <si>
    <t>v.3.3.09-HF2</t>
  </si>
  <si>
    <t>Transitional Measure Factor Fix for Spread Helper-Environment ID filter</t>
  </si>
  <si>
    <t>v.3.3.09-HF1</t>
  </si>
  <si>
    <t>Transitional Measure Factor Fix for Spread Helper</t>
  </si>
  <si>
    <t>v.3.3.09</t>
  </si>
  <si>
    <t>Formatting Changes Mentioned on the below by Hannes</t>
  </si>
  <si>
    <t>v.3.3.08</t>
  </si>
  <si>
    <t>Merged CVAR adjusments change in CVAR code.</t>
  </si>
  <si>
    <t>v.3.3.07</t>
  </si>
  <si>
    <t>Updated the SQL for Spread Helper data and BEL data since there are scenarios with all parameters same but different values, for the same CVAR_TYPE/BASE. This will lead to the SQL for fetching data from 'V_RAI_EFRAME_SPREAD_REPORT' not in sync with the DB import Standard for CVAR. This is in Allignment with Hannes and based on a confirmation from him that all the data taken fromt his view will always have CVAR and BASE values.</t>
  </si>
  <si>
    <t>v.3.3.06</t>
  </si>
  <si>
    <t>CVAR Adjustment Mapping</t>
  </si>
  <si>
    <t>v.3.3.05</t>
  </si>
  <si>
    <t>UTF-8 encoding implemented for RC201807</t>
  </si>
  <si>
    <t>v.3.3.04</t>
  </si>
  <si>
    <t>Added comments in the SQL to describe each area</t>
  </si>
  <si>
    <t>v.3.3.03</t>
  </si>
  <si>
    <t>SQL for the MVBS DB Import is updated based on the finalized RAI DB Structure.</t>
  </si>
  <si>
    <t>v.3.3.02</t>
  </si>
  <si>
    <t>#10-515a  implemented the 'optical' changes - 1) Spread Risk sheet: The formula for all 'liability value before shock' are adjusted to replace the columns from Liabilities Input sheet with the corresponding Name Managers. 2) on both liability sheets: allowed a wrapping of the text in row 3 so that the header entries are readable 3) hide the version sheet.</t>
  </si>
  <si>
    <t>v.3.3.01</t>
  </si>
  <si>
    <t>#10-515a Include Qalifying Infrastucture Corporate spread category for liabilities in the spread helper</t>
  </si>
  <si>
    <t>v.3.3.00</t>
  </si>
  <si>
    <t>Implemented RSP-3561. Formula changes in Position Tab Securities for columns Capital Charge UL, LAC of TP and LAC of TP UL</t>
  </si>
  <si>
    <t>v.3.2.06</t>
  </si>
  <si>
    <t>implemented the UAT comments</t>
  </si>
  <si>
    <t>v.3.2.05</t>
  </si>
  <si>
    <t>Multiplication Factor &amp; Step Up Factor in 'Position_Tab_Qual_Infrastr_Bond' sheet,and added new model paramenters and Mappings for the new category Qualifying Infrastructure Corporate Bond as part of CR515a</t>
  </si>
  <si>
    <t>v.3.2.04</t>
  </si>
  <si>
    <t>Standardized the parameters used in the report as part of CR507 implementation in Sprint RSP201802</t>
  </si>
  <si>
    <t>v.3.2.03</t>
  </si>
  <si>
    <t>Deleted the SEC_LACTP_UL from the name list, as per the review comments from Hannes.</t>
  </si>
  <si>
    <t>v.3.2.02</t>
  </si>
  <si>
    <t>The Summary Section for Securities position in column S of Analysis Spread Risk Tab is updated to match with the Formulae in Column K8 to K13</t>
  </si>
  <si>
    <t>v.3.2.01</t>
  </si>
  <si>
    <t>An issue with the data for a fund type - RIUL- not reaching the data item is fixed.</t>
  </si>
  <si>
    <t>v.3.2.00</t>
  </si>
  <si>
    <t>TD 9853 fixed.</t>
  </si>
  <si>
    <t>v.3.1.01</t>
  </si>
  <si>
    <t>TD (Improvement) fix for 9852. The stress factors for unrated qualifying infrastructure bonds in the spread helper dataitem (sheet ModelParameters) updated.  -B</t>
  </si>
  <si>
    <t>v.3.1.00</t>
  </si>
  <si>
    <t>TD fix for 9760. Incorportaed the condition for Other bOnd TM in Analysis Spread Tab.</t>
  </si>
  <si>
    <t>v.3.0.21</t>
  </si>
  <si>
    <t>Improvement 9467, the data in column BC and BD which a was duplicate of the Legend is removed</t>
  </si>
  <si>
    <t>v.3.0.20</t>
  </si>
  <si>
    <t>TD9620 fixed</t>
  </si>
  <si>
    <t>v.3.0.19</t>
  </si>
  <si>
    <t>Improvement 9467</t>
  </si>
  <si>
    <t>v.3.0.18</t>
  </si>
  <si>
    <t>Fix for T9561 - is implemented.</t>
  </si>
  <si>
    <t>v.3.0.17</t>
  </si>
  <si>
    <t>added the transisional measure factor changes</t>
  </si>
  <si>
    <t>v.3.0.16</t>
  </si>
  <si>
    <t>Fix for TD9465 -'Spread helper formula issue' has been implemented</t>
  </si>
  <si>
    <t>v.3.0.15</t>
  </si>
  <si>
    <t>Technical Change for DB Views is implemented.</t>
  </si>
  <si>
    <t>v.3.0.14</t>
  </si>
  <si>
    <t>CR#482 - Implemented the Field to show the Latest Version</t>
  </si>
  <si>
    <t>v.3.0.12</t>
  </si>
  <si>
    <t>CR#482 - Version sheet implemented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</si>
</sst>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scheme val="minor"/>
    </font>
    <font>
      <b/>
      <sz val="11"/>
      <color theme="0"/>
      <name val="Calibri"/>
      <scheme val="minor"/>
    </font>
    <font>
      <sz val="11"/>
      <color theme="0"/>
      <name val="Calibri"/>
      <scheme val="minor"/>
    </font>
    <font>
      <sz val="10"/>
      <color theme="1"/>
      <name val="Calibri"/>
      <scheme val="minor"/>
    </font>
    <font>
      <b/>
      <sz val="10"/>
      <color rgb="FFFF0000"/>
      <name val="Calibri"/>
      <scheme val="minor"/>
    </font>
    <font>
      <sz val="10"/>
      <color theme="0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0"/>
      <color rgb="FF000000"/>
      <name val="Calibri"/>
      <scheme val="minor"/>
    </font>
    <font>
      <b/>
      <sz val="11"/>
      <color indexed="9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1"/>
      <color indexed="8"/>
      <name val="Calibri"/>
    </font>
    <font>
      <sz val="10.65"/>
      <color rgb="FFFFFFFF"/>
      <name val="Calibri"/>
    </font>
    <font>
      <b/>
      <sz val="11"/>
      <color theme="0" tint="-0.050000000000000096"/>
      <name val="Calibri"/>
      <scheme val="minor"/>
    </font>
    <font>
      <b/>
      <sz val="10"/>
      <color theme="0"/>
      <name val="Calibri"/>
      <scheme val="minor"/>
    </font>
    <font>
      <b/>
      <sz val="10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family val="2"/>
    </font>
    <font>
      <sz val="8"/>
      <name val="Arial"/>
      <family val="2"/>
    </font>
    <font>
      <b/>
      <sz val="11"/>
      <color theme="0"/>
      <name val="Calibri"/>
      <family val="2"/>
    </font>
    <font>
      <sz val="10"/>
      <color rgb="FF000000"/>
      <name val="Arial"/>
    </font>
    <font>
      <sz val="10"/>
      <color indexed="64"/>
      <name val="Arial"/>
    </font>
  </fonts>
  <fills count="29">
    <fill>
      <patternFill patternType="none"/>
    </fill>
    <fill>
      <patternFill patternType="gray125"/>
    </fill>
    <fill>
      <patternFill patternType="solid">
        <fgColor rgb="FF003264"/>
        <bgColor rgb="FF003264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theme="3"/>
      </patternFill>
    </fill>
    <fill>
      <patternFill patternType="solid">
        <fgColor theme="3" tint="0.8"/>
        <bgColor theme="3" tint="0.8"/>
      </patternFill>
    </fill>
    <fill>
      <patternFill patternType="solid">
        <fgColor indexed="42"/>
        <bgColor indexed="42"/>
      </patternFill>
    </fill>
    <fill>
      <patternFill patternType="solid">
        <fgColor indexed="56"/>
        <bgColor indexed="56"/>
      </patternFill>
    </fill>
    <fill>
      <patternFill patternType="solid">
        <fgColor rgb="FFDAEEF3"/>
        <bgColor theme="4" tint="0.8"/>
      </patternFill>
    </fill>
    <fill>
      <patternFill patternType="solid">
        <fgColor rgb="FFDAEEF3"/>
        <bgColor rgb="FFCCFFFF"/>
      </patternFill>
    </fill>
    <fill>
      <patternFill patternType="solid">
        <fgColor rgb="FF1F497D"/>
        <bgColor rgb="FF1F497D"/>
      </patternFill>
    </fill>
    <fill>
      <patternFill patternType="solid">
        <fgColor indexed="26"/>
        <bgColor indexed="26"/>
      </patternFill>
    </fill>
    <fill>
      <patternFill patternType="solid">
        <fgColor indexed="28"/>
        <bgColor indexed="28"/>
      </patternFill>
    </fill>
    <fill>
      <patternFill patternType="solid">
        <fgColor indexed="29"/>
        <bgColor indexed="29"/>
      </patternFill>
    </fill>
    <fill>
      <patternFill patternType="solid">
        <fgColor indexed="41"/>
        <bgColor indexed="41"/>
      </patternFill>
    </fill>
    <fill>
      <patternFill patternType="solid">
        <fgColor indexed="31"/>
        <bgColor indexed="31"/>
      </patternFill>
    </fill>
    <fill>
      <patternFill patternType="solid">
        <fgColor indexed="18"/>
        <bgColor indexed="18"/>
      </patternFill>
    </fill>
    <fill>
      <patternFill patternType="solid">
        <fgColor theme="4" tint="0.8"/>
        <bgColor theme="4" tint="0.8"/>
      </patternFill>
    </fill>
    <fill>
      <patternFill patternType="solid">
        <fgColor indexed="5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9" tint="-0.25"/>
        <bgColor theme="9" tint="-0.25"/>
      </patternFill>
    </fill>
    <fill>
      <patternFill patternType="solid">
        <fgColor rgb="FFFFA500"/>
        <bgColor rgb="FFFFA500"/>
      </patternFill>
    </fill>
    <fill>
      <patternFill patternType="solid">
        <fgColor rgb="FFFFFFCC"/>
        <bgColor indexed="64"/>
      </patternFill>
    </fill>
    <fill>
      <patternFill patternType="solid">
        <fgColor rgb="FF003366"/>
        <bgColor rgb="FF003366"/>
      </patternFill>
    </fill>
    <fill>
      <patternFill patternType="solid">
        <fgColor rgb="FF0033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AE9F3"/>
        <bgColor rgb="FFDAE9F3"/>
      </patternFill>
    </fill>
    <fill>
      <patternFill patternType="solid">
        <fgColor indexed="62"/>
        <bgColor indexed="62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2" fillId="18" borderId="0" applyBorder="0" applyAlignment="0"/>
    <xf numFmtId="0" fontId="19" fillId="0" borderId="0">
      <protection locked="0"/>
    </xf>
  </cellStyleXfs>
  <cellXfs count="217">
    <xf numFmtId="0" fontId="0" fillId="0" borderId="0" xfId="0"/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0" fontId="0" fillId="0" borderId="6" xfId="0" applyNumberFormat="1" applyFont="1" applyFill="1" applyBorder="1" applyAlignment="1" applyProtection="1"/>
    <xf numFmtId="0" fontId="4" fillId="0" borderId="0" xfId="0" applyFont="1"/>
    <xf numFmtId="0" fontId="3" fillId="0" borderId="0" xfId="0" applyNumberFormat="1" applyFont="1" applyFill="1" applyBorder="1" applyAlignment="1" applyProtection="1"/>
    <xf numFmtId="0" fontId="3" fillId="0" borderId="1" xfId="0" applyNumberFormat="1" applyFont="1" applyFill="1" applyBorder="1" applyAlignment="1" applyProtection="1"/>
    <xf numFmtId="0" fontId="3" fillId="0" borderId="2" xfId="0" applyNumberFormat="1" applyFont="1" applyFill="1" applyBorder="1" applyAlignment="1" applyProtection="1"/>
    <xf numFmtId="0" fontId="3" fillId="0" borderId="1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>
      <alignment horizontal="center"/>
    </xf>
    <xf numFmtId="10" fontId="3" fillId="0" borderId="2" xfId="0" applyNumberFormat="1" applyFont="1" applyFill="1" applyBorder="1" applyAlignment="1" applyProtection="1">
      <alignment horizontal="center"/>
    </xf>
    <xf numFmtId="0" fontId="3" fillId="0" borderId="9" xfId="0" applyNumberFormat="1" applyFont="1" applyFill="1" applyBorder="1" applyAlignment="1" applyProtection="1">
      <alignment horizontal="center"/>
    </xf>
    <xf numFmtId="0" fontId="0" fillId="0" borderId="13" xfId="0" applyNumberFormat="1" applyFont="1" applyFill="1" applyBorder="1" applyAlignment="1" applyProtection="1"/>
    <xf numFmtId="0" fontId="0" fillId="0" borderId="9" xfId="0" applyNumberFormat="1" applyFont="1" applyFill="1" applyBorder="1" applyAlignment="1" applyProtection="1"/>
    <xf numFmtId="0" fontId="0" fillId="0" borderId="0" xfId="0" applyNumberFormat="1" applyFont="1" applyFill="1" applyAlignment="1" applyProtection="1"/>
    <xf numFmtId="0" fontId="6" fillId="0" borderId="2" xfId="0" applyNumberFormat="1" applyFont="1" applyFill="1" applyBorder="1" applyAlignment="1" applyProtection="1"/>
    <xf numFmtId="0" fontId="6" fillId="0" borderId="9" xfId="0" applyNumberFormat="1" applyFont="1" applyFill="1" applyBorder="1" applyAlignment="1" applyProtection="1"/>
    <xf numFmtId="0" fontId="7" fillId="7" borderId="14" xfId="0" applyNumberFormat="1" applyFont="1" applyFill="1" applyBorder="1" applyAlignment="1" applyProtection="1"/>
    <xf numFmtId="0" fontId="7" fillId="7" borderId="15" xfId="0" applyNumberFormat="1" applyFont="1" applyFill="1" applyBorder="1" applyAlignment="1" applyProtection="1"/>
    <xf numFmtId="0" fontId="7" fillId="7" borderId="11" xfId="0" applyNumberFormat="1" applyFont="1" applyFill="1" applyBorder="1" applyAlignment="1" applyProtection="1"/>
    <xf numFmtId="0" fontId="6" fillId="0" borderId="14" xfId="0" applyNumberFormat="1" applyFont="1" applyFill="1" applyBorder="1" applyAlignment="1" applyProtection="1"/>
    <xf numFmtId="0" fontId="6" fillId="0" borderId="5" xfId="0" applyNumberFormat="1" applyFont="1" applyFill="1" applyBorder="1" applyAlignment="1" applyProtection="1"/>
    <xf numFmtId="0" fontId="6" fillId="0" borderId="13" xfId="0" applyNumberFormat="1" applyFont="1" applyFill="1" applyBorder="1" applyAlignment="1" applyProtection="1"/>
    <xf numFmtId="0" fontId="6" fillId="0" borderId="12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6" fillId="0" borderId="1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1" fillId="6" borderId="14" xfId="0" applyNumberFormat="1" applyFont="1" applyFill="1" applyBorder="1" applyAlignment="1" applyProtection="1"/>
    <xf numFmtId="0" fontId="1" fillId="6" borderId="15" xfId="0" applyNumberFormat="1" applyFont="1" applyFill="1" applyBorder="1" applyAlignment="1" applyProtection="1"/>
    <xf numFmtId="0" fontId="1" fillId="6" borderId="11" xfId="0" applyNumberFormat="1" applyFont="1" applyFill="1" applyBorder="1" applyAlignment="1" applyProtection="1"/>
    <xf numFmtId="0" fontId="0" fillId="12" borderId="1" xfId="0" applyNumberFormat="1" applyFont="1" applyFill="1" applyBorder="1" applyAlignment="1" applyProtection="1"/>
    <xf numFmtId="0" fontId="0" fillId="13" borderId="1" xfId="0" applyNumberFormat="1" applyFont="1" applyFill="1" applyBorder="1" applyAlignment="1" applyProtection="1"/>
    <xf numFmtId="0" fontId="0" fillId="11" borderId="1" xfId="0" applyNumberFormat="1" applyFont="1" applyFill="1" applyBorder="1" applyAlignment="1" applyProtection="1"/>
    <xf numFmtId="0" fontId="0" fillId="14" borderId="1" xfId="0" applyNumberFormat="1" applyFont="1" applyFill="1" applyBorder="1" applyAlignment="1" applyProtection="1"/>
    <xf numFmtId="4" fontId="6" fillId="13" borderId="1" xfId="0" applyNumberFormat="1" applyFont="1" applyFill="1" applyBorder="1" applyAlignment="1" applyProtection="1">
      <alignment horizontal="right"/>
    </xf>
    <xf numFmtId="4" fontId="0" fillId="9" borderId="12" xfId="0" applyNumberFormat="1" applyFont="1" applyFill="1" applyBorder="1" applyAlignment="1" applyProtection="1"/>
    <xf numFmtId="4" fontId="0" fillId="5" borderId="4" xfId="0" applyNumberFormat="1" applyFont="1" applyFill="1" applyBorder="1" applyAlignment="1" applyProtection="1"/>
    <xf numFmtId="4" fontId="0" fillId="9" borderId="10" xfId="0" applyNumberFormat="1" applyFont="1" applyFill="1" applyBorder="1" applyAlignment="1" applyProtection="1"/>
    <xf numFmtId="4" fontId="0" fillId="9" borderId="1" xfId="0" applyNumberFormat="1" applyFont="1" applyFill="1" applyBorder="1" applyAlignment="1" applyProtection="1"/>
    <xf numFmtId="4" fontId="0" fillId="8" borderId="10" xfId="0" applyNumberFormat="1" applyFont="1" applyFill="1" applyBorder="1" applyAlignment="1" applyProtection="1"/>
    <xf numFmtId="4" fontId="0" fillId="8" borderId="1" xfId="0" applyNumberFormat="1" applyFont="1" applyFill="1" applyBorder="1" applyAlignment="1" applyProtection="1"/>
    <xf numFmtId="4" fontId="0" fillId="9" borderId="2" xfId="0" applyNumberFormat="1" applyFont="1" applyFill="1" applyBorder="1" applyAlignment="1" applyProtection="1"/>
    <xf numFmtId="4" fontId="0" fillId="9" borderId="9" xfId="0" applyNumberFormat="1" applyFont="1" applyFill="1" applyBorder="1" applyAlignment="1" applyProtection="1"/>
    <xf numFmtId="0" fontId="7" fillId="7" borderId="7" xfId="0" applyNumberFormat="1" applyFont="1" applyFill="1" applyBorder="1" applyAlignment="1" applyProtection="1"/>
    <xf numFmtId="0" fontId="7" fillId="7" borderId="8" xfId="0" applyNumberFormat="1" applyFont="1" applyFill="1" applyBorder="1" applyAlignment="1" applyProtection="1"/>
    <xf numFmtId="0" fontId="7" fillId="7" borderId="4" xfId="0" applyNumberFormat="1" applyFont="1" applyFill="1" applyBorder="1" applyAlignment="1" applyProtection="1"/>
    <xf numFmtId="0" fontId="8" fillId="0" borderId="2" xfId="0" applyNumberFormat="1" applyFont="1" applyFill="1" applyBorder="1" applyAlignment="1" applyProtection="1"/>
    <xf numFmtId="0" fontId="8" fillId="0" borderId="1" xfId="0" applyNumberFormat="1" applyFont="1" applyFill="1" applyBorder="1" applyAlignment="1" applyProtection="1"/>
    <xf numFmtId="0" fontId="1" fillId="15" borderId="4" xfId="0" applyNumberFormat="1" applyFont="1" applyFill="1" applyBorder="1" applyAlignment="1" applyProtection="1">
      <alignment wrapText="1"/>
    </xf>
    <xf numFmtId="0" fontId="1" fillId="15" borderId="11" xfId="0" applyNumberFormat="1" applyFont="1" applyFill="1" applyBorder="1" applyAlignment="1" applyProtection="1">
      <alignment wrapText="1"/>
    </xf>
    <xf numFmtId="0" fontId="2" fillId="15" borderId="3" xfId="0" applyNumberFormat="1" applyFont="1" applyFill="1" applyBorder="1" applyAlignment="1" applyProtection="1">
      <alignment wrapText="1"/>
    </xf>
    <xf numFmtId="0" fontId="0" fillId="0" borderId="2" xfId="0" applyNumberFormat="1" applyFont="1" applyFill="1" applyBorder="1" applyAlignment="1" applyProtection="1"/>
    <xf numFmtId="10" fontId="0" fillId="0" borderId="2" xfId="0" applyNumberFormat="1" applyFont="1" applyFill="1" applyBorder="1" applyAlignment="1" applyProtection="1"/>
    <xf numFmtId="4" fontId="0" fillId="0" borderId="0" xfId="0" applyNumberFormat="1" applyFont="1" applyFill="1" applyBorder="1" applyAlignment="1" applyProtection="1"/>
    <xf numFmtId="4" fontId="0" fillId="9" borderId="3" xfId="0" applyNumberFormat="1" applyFont="1" applyFill="1" applyBorder="1" applyAlignment="1" applyProtection="1"/>
    <xf numFmtId="0" fontId="0" fillId="12" borderId="13" xfId="0" applyNumberFormat="1" applyFont="1" applyFill="1" applyBorder="1" applyAlignment="1" applyProtection="1"/>
    <xf numFmtId="0" fontId="0" fillId="13" borderId="13" xfId="0" applyNumberFormat="1" applyFont="1" applyFill="1" applyBorder="1" applyAlignment="1" applyProtection="1"/>
    <xf numFmtId="0" fontId="0" fillId="11" borderId="13" xfId="0" applyNumberFormat="1" applyFont="1" applyFill="1" applyBorder="1" applyAlignment="1" applyProtection="1"/>
    <xf numFmtId="0" fontId="0" fillId="14" borderId="13" xfId="0" applyNumberFormat="1" applyFont="1" applyFill="1" applyBorder="1" applyAlignment="1" applyProtection="1"/>
    <xf numFmtId="0" fontId="1" fillId="15" borderId="14" xfId="0" applyNumberFormat="1" applyFont="1" applyFill="1" applyBorder="1" applyAlignment="1" applyProtection="1"/>
    <xf numFmtId="0" fontId="1" fillId="15" borderId="15" xfId="0" applyNumberFormat="1" applyFont="1" applyFill="1" applyBorder="1" applyAlignment="1" applyProtection="1"/>
    <xf numFmtId="0" fontId="1" fillId="15" borderId="11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/>
    <xf numFmtId="4" fontId="0" fillId="9" borderId="15" xfId="0" applyNumberFormat="1" applyFont="1" applyFill="1" applyBorder="1" applyAlignment="1" applyProtection="1"/>
    <xf numFmtId="4" fontId="0" fillId="9" borderId="0" xfId="0" applyNumberFormat="1" applyFont="1" applyFill="1" applyBorder="1" applyAlignment="1" applyProtection="1"/>
    <xf numFmtId="0" fontId="0" fillId="3" borderId="3" xfId="0" applyNumberFormat="1" applyFont="1" applyFill="1" applyBorder="1" applyAlignment="1" applyProtection="1"/>
    <xf numFmtId="0" fontId="0" fillId="3" borderId="4" xfId="0" applyNumberFormat="1" applyFont="1" applyFill="1" applyBorder="1" applyAlignment="1" applyProtection="1"/>
    <xf numFmtId="0" fontId="0" fillId="13" borderId="4" xfId="0" applyNumberFormat="1" applyFont="1" applyFill="1" applyBorder="1" applyAlignment="1" applyProtection="1"/>
    <xf numFmtId="4" fontId="0" fillId="3" borderId="4" xfId="0" applyNumberFormat="1" applyFont="1" applyFill="1" applyBorder="1" applyAlignment="1" applyProtection="1"/>
    <xf numFmtId="4" fontId="0" fillId="13" borderId="4" xfId="0" applyNumberFormat="1" applyFont="1" applyFill="1" applyBorder="1" applyAlignment="1" applyProtection="1"/>
    <xf numFmtId="0" fontId="9" fillId="7" borderId="12" xfId="0" applyNumberFormat="1" applyFont="1" applyFill="1" applyBorder="1" applyAlignment="1" applyProtection="1"/>
    <xf numFmtId="0" fontId="9" fillId="7" borderId="6" xfId="0" applyNumberFormat="1" applyFont="1" applyFill="1" applyBorder="1" applyAlignment="1" applyProtection="1"/>
    <xf numFmtId="0" fontId="6" fillId="11" borderId="3" xfId="0" applyNumberFormat="1" applyFont="1" applyFill="1" applyBorder="1" applyAlignment="1" applyProtection="1"/>
    <xf numFmtId="0" fontId="6" fillId="11" borderId="4" xfId="0" applyNumberFormat="1" applyFont="1" applyFill="1" applyBorder="1" applyAlignment="1" applyProtection="1"/>
    <xf numFmtId="0" fontId="6" fillId="17" borderId="4" xfId="0" applyNumberFormat="1" applyFont="1" applyFill="1" applyBorder="1" applyAlignment="1" applyProtection="1"/>
    <xf numFmtId="0" fontId="6" fillId="19" borderId="0" xfId="0" applyNumberFormat="1" applyFont="1" applyFill="1" applyBorder="1" applyAlignment="1" applyProtection="1"/>
    <xf numFmtId="0" fontId="0" fillId="20" borderId="0" xfId="0" applyNumberFormat="1" applyFont="1" applyFill="1" applyBorder="1" applyAlignment="1" applyProtection="1"/>
    <xf numFmtId="0" fontId="11" fillId="10" borderId="4" xfId="1" applyNumberFormat="1" applyFont="1" applyFill="1" applyBorder="1" applyAlignment="1" applyProtection="1">
      <alignment wrapText="1"/>
    </xf>
    <xf numFmtId="0" fontId="13" fillId="10" borderId="4" xfId="1" applyNumberFormat="1" applyFont="1" applyFill="1" applyBorder="1" applyAlignment="1" applyProtection="1">
      <alignment wrapText="1"/>
    </xf>
    <xf numFmtId="4" fontId="6" fillId="3" borderId="2" xfId="0" applyNumberFormat="1" applyFont="1" applyFill="1" applyBorder="1" applyAlignment="1" applyProtection="1"/>
    <xf numFmtId="4" fontId="6" fillId="13" borderId="3" xfId="0" applyNumberFormat="1" applyFont="1" applyFill="1" applyBorder="1" applyAlignment="1" applyProtection="1">
      <alignment horizontal="right"/>
    </xf>
    <xf numFmtId="4" fontId="0" fillId="13" borderId="2" xfId="0" applyNumberFormat="1" applyFont="1" applyFill="1" applyBorder="1" applyAlignment="1" applyProtection="1"/>
    <xf numFmtId="0" fontId="0" fillId="21" borderId="0" xfId="0" applyNumberFormat="1" applyFont="1" applyFill="1" applyBorder="1" applyAlignment="1" applyProtection="1"/>
    <xf numFmtId="0" fontId="0" fillId="22" borderId="3" xfId="0" applyNumberFormat="1" applyFont="1" applyFill="1" applyBorder="1" applyAlignment="1" applyProtection="1"/>
    <xf numFmtId="0" fontId="0" fillId="22" borderId="4" xfId="0" applyNumberFormat="1" applyFont="1" applyFill="1" applyBorder="1" applyAlignment="1" applyProtection="1"/>
    <xf numFmtId="0" fontId="2" fillId="4" borderId="7" xfId="0" applyNumberFormat="1" applyFont="1" applyFill="1" applyBorder="1" applyAlignment="1" applyProtection="1"/>
    <xf numFmtId="0" fontId="2" fillId="4" borderId="13" xfId="0" applyNumberFormat="1" applyFont="1" applyFill="1" applyBorder="1" applyAlignment="1" applyProtection="1"/>
    <xf numFmtId="0" fontId="0" fillId="3" borderId="1" xfId="0" applyNumberFormat="1" applyFont="1" applyFill="1" applyBorder="1" applyAlignment="1" applyProtection="1"/>
    <xf numFmtId="0" fontId="11" fillId="10" borderId="10" xfId="1" applyNumberFormat="1" applyFont="1" applyFill="1" applyBorder="1" applyAlignment="1" applyProtection="1">
      <alignment wrapText="1"/>
    </xf>
    <xf numFmtId="0" fontId="6" fillId="3" borderId="3" xfId="0" applyNumberFormat="1" applyFont="1" applyFill="1" applyBorder="1" applyAlignment="1" applyProtection="1"/>
    <xf numFmtId="0" fontId="10" fillId="7" borderId="6" xfId="0" applyNumberFormat="1" applyFont="1" applyFill="1" applyBorder="1" applyAlignment="1" applyProtection="1"/>
    <xf numFmtId="0" fontId="1" fillId="15" borderId="3" xfId="0" applyNumberFormat="1" applyFont="1" applyFill="1" applyBorder="1" applyAlignment="1" applyProtection="1">
      <alignment wrapText="1"/>
    </xf>
    <xf numFmtId="0" fontId="0" fillId="0" borderId="1" xfId="0" applyNumberFormat="1" applyFont="1" applyFill="1" applyBorder="1" applyAlignment="1" applyProtection="1">
      <alignment horizontal="center"/>
    </xf>
    <xf numFmtId="14" fontId="0" fillId="0" borderId="2" xfId="0" applyNumberFormat="1" applyFont="1" applyFill="1" applyBorder="1" applyAlignment="1" applyProtection="1">
      <alignment horizontal="center"/>
    </xf>
    <xf numFmtId="0" fontId="1" fillId="15" borderId="3" xfId="0" applyNumberFormat="1" applyFont="1" applyFill="1" applyBorder="1" applyAlignment="1" applyProtection="1">
      <alignment horizontal="center" wrapText="1"/>
    </xf>
    <xf numFmtId="0" fontId="1" fillId="15" borderId="4" xfId="0" applyNumberFormat="1" applyFont="1" applyFill="1" applyBorder="1" applyAlignment="1" applyProtection="1">
      <alignment horizontal="center" wrapText="1"/>
    </xf>
    <xf numFmtId="0" fontId="1" fillId="16" borderId="2" xfId="0" applyNumberFormat="1" applyFont="1" applyFill="1" applyBorder="1" applyAlignment="1" applyProtection="1"/>
    <xf numFmtId="0" fontId="14" fillId="4" borderId="3" xfId="0" applyNumberFormat="1" applyFont="1" applyFill="1" applyBorder="1" applyAlignment="1" applyProtection="1">
      <alignment horizontal="left"/>
    </xf>
    <xf numFmtId="0" fontId="14" fillId="4" borderId="4" xfId="0" applyNumberFormat="1" applyFont="1" applyFill="1" applyBorder="1" applyAlignment="1" applyProtection="1">
      <alignment horizontal="left"/>
    </xf>
    <xf numFmtId="0" fontId="14" fillId="4" borderId="4" xfId="0" applyNumberFormat="1" applyFont="1" applyFill="1" applyBorder="1" applyAlignment="1" applyProtection="1"/>
    <xf numFmtId="0" fontId="1" fillId="16" borderId="1" xfId="0" applyNumberFormat="1" applyFont="1" applyFill="1" applyBorder="1" applyAlignment="1" applyProtection="1">
      <alignment horizontal="left"/>
    </xf>
    <xf numFmtId="0" fontId="1" fillId="16" borderId="2" xfId="0" applyNumberFormat="1" applyFont="1" applyFill="1" applyBorder="1" applyAlignment="1" applyProtection="1">
      <alignment horizontal="left"/>
    </xf>
    <xf numFmtId="0" fontId="15" fillId="10" borderId="2" xfId="0" applyNumberFormat="1" applyFont="1" applyFill="1" applyBorder="1" applyAlignment="1" applyProtection="1">
      <alignment horizontal="left"/>
    </xf>
    <xf numFmtId="0" fontId="16" fillId="0" borderId="0" xfId="0" applyNumberFormat="1" applyFont="1" applyFill="1" applyBorder="1" applyAlignment="1" applyProtection="1"/>
    <xf numFmtId="0" fontId="16" fillId="0" borderId="0" xfId="0" applyNumberFormat="1" applyFont="1" applyFill="1" applyBorder="1" applyAlignment="1" applyProtection="1">
      <alignment horizontal="left"/>
    </xf>
    <xf numFmtId="0" fontId="1" fillId="4" borderId="1" xfId="0" applyNumberFormat="1" applyFont="1" applyFill="1" applyBorder="1" applyAlignment="1" applyProtection="1">
      <alignment horizontal="left"/>
    </xf>
    <xf numFmtId="0" fontId="1" fillId="4" borderId="2" xfId="0" applyNumberFormat="1" applyFont="1" applyFill="1" applyBorder="1" applyAlignment="1" applyProtection="1">
      <alignment horizontal="left"/>
    </xf>
    <xf numFmtId="0" fontId="1" fillId="4" borderId="2" xfId="0" applyNumberFormat="1" applyFont="1" applyFill="1" applyBorder="1" applyAlignment="1" applyProtection="1"/>
    <xf numFmtId="0" fontId="1" fillId="10" borderId="1" xfId="0" applyNumberFormat="1" applyFont="1" applyFill="1" applyBorder="1" applyAlignment="1" applyProtection="1">
      <alignment horizontal="left"/>
    </xf>
    <xf numFmtId="0" fontId="1" fillId="10" borderId="2" xfId="0" applyNumberFormat="1" applyFont="1" applyFill="1" applyBorder="1" applyAlignment="1" applyProtection="1">
      <alignment horizontal="left"/>
    </xf>
    <xf numFmtId="0" fontId="1" fillId="10" borderId="2" xfId="0" applyNumberFormat="1" applyFont="1" applyFill="1" applyBorder="1" applyAlignment="1" applyProtection="1"/>
    <xf numFmtId="0" fontId="15" fillId="10" borderId="2" xfId="0" applyNumberFormat="1" applyFont="1" applyFill="1" applyBorder="1" applyAlignment="1" applyProtection="1">
      <alignment wrapText="1"/>
    </xf>
    <xf numFmtId="0" fontId="15" fillId="10" borderId="4" xfId="0" applyNumberFormat="1" applyFont="1" applyFill="1" applyBorder="1" applyAlignment="1" applyProtection="1"/>
    <xf numFmtId="0" fontId="15" fillId="10" borderId="7" xfId="0" applyNumberFormat="1" applyFont="1" applyFill="1" applyBorder="1" applyAlignment="1" applyProtection="1"/>
    <xf numFmtId="0" fontId="15" fillId="10" borderId="8" xfId="0" applyNumberFormat="1" applyFont="1" applyFill="1" applyBorder="1" applyAlignment="1" applyProtection="1"/>
    <xf numFmtId="0" fontId="1" fillId="2" borderId="14" xfId="0" applyNumberFormat="1" applyFont="1" applyFill="1" applyBorder="1" applyAlignment="1" applyProtection="1"/>
    <xf numFmtId="0" fontId="1" fillId="2" borderId="15" xfId="0" applyNumberFormat="1" applyFont="1" applyFill="1" applyBorder="1" applyAlignment="1" applyProtection="1"/>
    <xf numFmtId="0" fontId="1" fillId="2" borderId="11" xfId="0" applyNumberFormat="1" applyFont="1" applyFill="1" applyBorder="1" applyAlignment="1" applyProtection="1"/>
    <xf numFmtId="0" fontId="1" fillId="15" borderId="6" xfId="0" applyNumberFormat="1" applyFont="1" applyFill="1" applyBorder="1" applyAlignment="1" applyProtection="1">
      <alignment wrapText="1"/>
    </xf>
    <xf numFmtId="0" fontId="1" fillId="15" borderId="0" xfId="0" applyNumberFormat="1" applyFont="1" applyFill="1" applyBorder="1" applyAlignment="1" applyProtection="1">
      <alignment wrapText="1"/>
    </xf>
    <xf numFmtId="0" fontId="0" fillId="12" borderId="7" xfId="0" applyNumberFormat="1" applyFont="1" applyFill="1" applyBorder="1" applyAlignment="1" applyProtection="1"/>
    <xf numFmtId="0" fontId="1" fillId="15" borderId="6" xfId="0" applyNumberFormat="1" applyFont="1" applyFill="1" applyBorder="1" applyAlignment="1" applyProtection="1">
      <alignment horizontal="left" vertical="center" wrapText="1"/>
    </xf>
    <xf numFmtId="0" fontId="1" fillId="15" borderId="0" xfId="0" applyNumberFormat="1" applyFont="1" applyFill="1" applyBorder="1" applyAlignment="1" applyProtection="1">
      <alignment horizontal="left" vertical="center" wrapText="1"/>
    </xf>
    <xf numFmtId="0" fontId="1" fillId="15" borderId="3" xfId="0" applyNumberFormat="1" applyFont="1" applyFill="1" applyBorder="1" applyAlignment="1" applyProtection="1">
      <alignment horizontal="left" vertical="center" wrapText="1"/>
    </xf>
    <xf numFmtId="0" fontId="0" fillId="0" borderId="2" xfId="0" applyNumberFormat="1" applyFont="1" applyFill="1" applyBorder="1" applyAlignment="1" applyProtection="1">
      <alignment horizontal="left"/>
    </xf>
    <xf numFmtId="0" fontId="17" fillId="0" borderId="16" xfId="0" applyNumberFormat="1" applyFont="1" applyFill="1" applyBorder="1" applyAlignment="1" applyProtection="1">
      <alignment horizontal="center"/>
    </xf>
    <xf numFmtId="0" fontId="1" fillId="15" borderId="17" xfId="0" applyNumberFormat="1" applyFont="1" applyFill="1" applyBorder="1" applyAlignment="1" applyProtection="1">
      <alignment horizontal="center" wrapText="1"/>
    </xf>
    <xf numFmtId="0" fontId="1" fillId="16" borderId="3" xfId="0" applyNumberFormat="1" applyFont="1" applyFill="1" applyBorder="1" applyAlignment="1" applyProtection="1"/>
    <xf numFmtId="0" fontId="1" fillId="16" borderId="4" xfId="0" applyNumberFormat="1" applyFont="1" applyFill="1" applyBorder="1" applyAlignment="1" applyProtection="1"/>
    <xf numFmtId="0" fontId="0" fillId="0" borderId="2" xfId="0" applyNumberFormat="1" applyFont="1" applyFill="1" applyBorder="1" applyAlignment="1" applyProtection="1">
      <alignment horizontal="left" wrapText="1"/>
    </xf>
    <xf numFmtId="0" fontId="9" fillId="7" borderId="6" xfId="0" applyNumberFormat="1" applyFont="1" applyFill="1" applyBorder="1" applyAlignment="1" applyProtection="1">
      <alignment vertical="center" wrapText="1"/>
    </xf>
    <xf numFmtId="0" fontId="10" fillId="7" borderId="6" xfId="0" applyNumberFormat="1" applyFont="1" applyFill="1" applyBorder="1" applyAlignment="1" applyProtection="1">
      <alignment vertical="center" wrapText="1"/>
    </xf>
    <xf numFmtId="0" fontId="9" fillId="23" borderId="4" xfId="0" applyNumberFormat="1" applyFont="1" applyFill="1" applyBorder="1" applyAlignment="1" applyProtection="1">
      <alignment vertical="top" wrapText="1"/>
    </xf>
    <xf numFmtId="0" fontId="11" fillId="4" borderId="3" xfId="1" applyNumberFormat="1" applyFont="1" applyFill="1" applyBorder="1" applyAlignment="1" applyProtection="1">
      <alignment wrapText="1"/>
    </xf>
    <xf numFmtId="0" fontId="11" fillId="4" borderId="4" xfId="1" applyNumberFormat="1" applyFont="1" applyFill="1" applyBorder="1" applyAlignment="1" applyProtection="1">
      <alignment wrapText="1"/>
    </xf>
    <xf numFmtId="0" fontId="13" fillId="4" borderId="4" xfId="1" applyNumberFormat="1" applyFont="1" applyFill="1" applyBorder="1" applyAlignment="1" applyProtection="1">
      <alignment wrapText="1"/>
    </xf>
    <xf numFmtId="0" fontId="18" fillId="22" borderId="1" xfId="2" applyNumberFormat="1" applyFont="1" applyFill="1" applyBorder="1" applyAlignment="1" applyProtection="1">
      <alignment vertical="center"/>
      <protection locked="0"/>
    </xf>
    <xf numFmtId="0" fontId="18" fillId="22" borderId="2" xfId="2" applyNumberFormat="1" applyFont="1" applyFill="1" applyBorder="1" applyAlignment="1" applyProtection="1">
      <alignment vertical="center"/>
      <protection locked="0"/>
    </xf>
    <xf numFmtId="3" fontId="18" fillId="22" borderId="2" xfId="2" applyNumberFormat="1" applyFont="1" applyFill="1" applyBorder="1" applyAlignment="1" applyProtection="1">
      <alignment vertical="center"/>
      <protection locked="0"/>
    </xf>
    <xf numFmtId="0" fontId="6" fillId="20" borderId="0" xfId="0" applyNumberFormat="1" applyFont="1" applyFill="1" applyBorder="1" applyAlignment="1" applyProtection="1"/>
    <xf numFmtId="0" fontId="6" fillId="21" borderId="0" xfId="0" applyNumberFormat="1" applyFont="1" applyFill="1" applyBorder="1" applyAlignment="1" applyProtection="1"/>
    <xf numFmtId="0" fontId="20" fillId="24" borderId="11" xfId="0" applyNumberFormat="1" applyFont="1" applyFill="1" applyBorder="1" applyAlignment="1" applyProtection="1"/>
    <xf numFmtId="0" fontId="20" fillId="24" borderId="14" xfId="0" applyNumberFormat="1" applyFont="1" applyFill="1" applyBorder="1" applyAlignment="1" applyProtection="1"/>
    <xf numFmtId="0" fontId="18" fillId="0" borderId="4" xfId="0" applyNumberFormat="1" applyFont="1" applyFill="1" applyBorder="1" applyAlignment="1" applyProtection="1">
      <protection locked="0"/>
    </xf>
    <xf numFmtId="0" fontId="18" fillId="0" borderId="11" xfId="0" applyNumberFormat="1" applyFont="1" applyFill="1" applyBorder="1" applyAlignment="1" applyProtection="1">
      <protection locked="0"/>
    </xf>
    <xf numFmtId="0" fontId="7" fillId="24" borderId="14" xfId="0" applyNumberFormat="1" applyFont="1" applyFill="1" applyBorder="1" applyAlignment="1" applyProtection="1"/>
    <xf numFmtId="0" fontId="20" fillId="24" borderId="8" xfId="0" applyNumberFormat="1" applyFont="1" applyFill="1" applyBorder="1" applyAlignment="1" applyProtection="1"/>
    <xf numFmtId="0" fontId="20" fillId="24" borderId="15" xfId="0" applyNumberFormat="1" applyFont="1" applyFill="1" applyBorder="1" applyAlignment="1" applyProtection="1"/>
    <xf numFmtId="0" fontId="1" fillId="2" borderId="6" xfId="0" applyNumberFormat="1" applyFont="1" applyFill="1" applyBorder="1" applyAlignment="1" applyProtection="1"/>
    <xf numFmtId="4" fontId="6" fillId="3" borderId="3" xfId="0" applyNumberFormat="1" applyFont="1" applyFill="1" applyBorder="1" applyAlignment="1" applyProtection="1"/>
    <xf numFmtId="0" fontId="7" fillId="15" borderId="7" xfId="0" applyNumberFormat="1" applyFont="1" applyFill="1" applyBorder="1" applyAlignment="1" applyProtection="1"/>
    <xf numFmtId="0" fontId="7" fillId="15" borderId="8" xfId="0" applyNumberFormat="1" applyFont="1" applyFill="1" applyBorder="1" applyAlignment="1" applyProtection="1"/>
    <xf numFmtId="0" fontId="7" fillId="15" borderId="4" xfId="0" applyNumberFormat="1" applyFont="1" applyFill="1" applyBorder="1" applyAlignment="1" applyProtection="1"/>
    <xf numFmtId="0" fontId="0" fillId="27" borderId="4" xfId="0" applyNumberFormat="1" applyFont="1" applyFill="1" applyBorder="1" applyAlignment="1" applyProtection="1"/>
    <xf numFmtId="0" fontId="6" fillId="0" borderId="7" xfId="0" applyNumberFormat="1" applyFont="1" applyFill="1" applyBorder="1" applyAlignment="1" applyProtection="1"/>
    <xf numFmtId="0" fontId="1" fillId="15" borderId="4" xfId="0" applyNumberFormat="1" applyFont="1" applyFill="1" applyBorder="1" applyAlignment="1" applyProtection="1">
      <alignment horizontal="left" vertical="center" wrapText="1"/>
    </xf>
    <xf numFmtId="0" fontId="0" fillId="13" borderId="2" xfId="0" applyNumberFormat="1" applyFont="1" applyFill="1" applyBorder="1" applyAlignment="1" applyProtection="1"/>
    <xf numFmtId="4" fontId="0" fillId="9" borderId="11" xfId="0" applyNumberFormat="1" applyFont="1" applyFill="1" applyBorder="1" applyAlignment="1" applyProtection="1"/>
    <xf numFmtId="4" fontId="0" fillId="9" borderId="6" xfId="0" applyNumberFormat="1" applyFont="1" applyFill="1" applyBorder="1" applyAlignment="1" applyProtection="1"/>
    <xf numFmtId="0" fontId="1" fillId="15" borderId="1" xfId="0" applyNumberFormat="1" applyFont="1" applyFill="1" applyBorder="1" applyAlignment="1" applyProtection="1">
      <alignment wrapText="1"/>
    </xf>
    <xf numFmtId="0" fontId="10" fillId="7" borderId="2" xfId="0" applyNumberFormat="1" applyFont="1" applyFill="1" applyBorder="1" applyAlignment="1" applyProtection="1">
      <alignment vertical="center"/>
    </xf>
    <xf numFmtId="0" fontId="9" fillId="7" borderId="4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>
      <alignment horizontal="center"/>
    </xf>
    <xf numFmtId="14" fontId="0" fillId="0" borderId="6" xfId="0" applyNumberFormat="1" applyFont="1" applyFill="1" applyBorder="1" applyAlignment="1" applyProtection="1">
      <alignment horizontal="center"/>
    </xf>
    <xf numFmtId="0" fontId="0" fillId="0" borderId="6" xfId="0" applyNumberFormat="1" applyFont="1" applyFill="1" applyBorder="1" applyAlignment="1" applyProtection="1">
      <alignment horizontal="left" wrapText="1"/>
    </xf>
    <xf numFmtId="0" fontId="0" fillId="0" borderId="3" xfId="0" applyNumberFormat="1" applyFont="1" applyFill="1" applyBorder="1" applyAlignment="1" applyProtection="1">
      <alignment horizontal="center"/>
    </xf>
    <xf numFmtId="14" fontId="0" fillId="0" borderId="4" xfId="0" applyNumberFormat="1" applyFont="1" applyFill="1" applyBorder="1" applyAlignment="1" applyProtection="1">
      <alignment horizontal="center"/>
    </xf>
    <xf numFmtId="0" fontId="0" fillId="0" borderId="4" xfId="0" applyNumberFormat="1" applyFont="1" applyFill="1" applyBorder="1" applyAlignment="1" applyProtection="1">
      <alignment horizontal="left" wrapText="1"/>
    </xf>
    <xf numFmtId="0" fontId="11" fillId="28" borderId="3" xfId="1" applyNumberFormat="1" applyFont="1" applyFill="1" applyBorder="1" applyAlignment="1" applyProtection="1">
      <alignment wrapText="1"/>
    </xf>
    <xf numFmtId="0" fontId="13" fillId="28" borderId="4" xfId="1" applyNumberFormat="1" applyFont="1" applyFill="1" applyBorder="1" applyAlignment="1" applyProtection="1">
      <alignment wrapText="1"/>
    </xf>
    <xf numFmtId="0" fontId="21" fillId="0" borderId="1" xfId="0" applyNumberFormat="1" applyFont="1" applyFill="1" applyBorder="1" applyAlignment="1" applyProtection="1"/>
    <xf numFmtId="0" fontId="22" fillId="0" borderId="2" xfId="0" applyNumberFormat="1" applyFont="1" applyFill="1" applyBorder="1" applyAlignment="1" applyProtection="1"/>
    <xf numFmtId="0" fontId="21" fillId="0" borderId="2" xfId="0" applyNumberFormat="1" applyFont="1" applyFill="1" applyBorder="1" applyAlignment="1" applyProtection="1"/>
    <xf numFmtId="0" fontId="6" fillId="25" borderId="10" xfId="0" applyNumberFormat="1" applyFont="1" applyFill="1" applyBorder="1" applyAlignment="1" applyProtection="1">
      <alignment horizontal="left" vertical="top"/>
      <protection locked="0"/>
    </xf>
    <xf numFmtId="0" fontId="6" fillId="25" borderId="12" xfId="0" applyNumberFormat="1" applyFont="1" applyFill="1" applyBorder="1" applyAlignment="1" applyProtection="1">
      <alignment horizontal="left" vertical="top"/>
      <protection locked="0"/>
    </xf>
    <xf numFmtId="0" fontId="6" fillId="25" borderId="10" xfId="0" applyNumberFormat="1" applyFont="1" applyFill="1" applyBorder="1" applyAlignment="1" applyProtection="1">
      <alignment horizontal="left" vertical="top" wrapText="1"/>
      <protection locked="0"/>
    </xf>
    <xf numFmtId="0" fontId="20" fillId="24" borderId="13" xfId="0" applyNumberFormat="1" applyFont="1" applyFill="1" applyBorder="1" applyAlignment="1" applyProtection="1">
      <alignment horizontal="center"/>
      <protection locked="0"/>
    </xf>
    <xf numFmtId="0" fontId="20" fillId="24" borderId="2" xfId="0" applyNumberFormat="1" applyFont="1" applyFill="1" applyBorder="1" applyAlignment="1" applyProtection="1">
      <alignment horizontal="center"/>
      <protection locked="0"/>
    </xf>
    <xf numFmtId="0" fontId="18" fillId="26" borderId="10" xfId="0" applyNumberFormat="1" applyFont="1" applyFill="1" applyBorder="1" applyAlignment="1" applyProtection="1">
      <alignment horizontal="left" vertical="top"/>
      <protection locked="0"/>
    </xf>
    <xf numFmtId="0" fontId="18" fillId="26" borderId="12" xfId="0" applyNumberFormat="1" applyFont="1" applyFill="1" applyBorder="1" applyAlignment="1" applyProtection="1">
      <alignment horizontal="left" vertical="top"/>
      <protection locked="0"/>
    </xf>
    <xf numFmtId="0" fontId="18" fillId="26" borderId="1" xfId="0" applyNumberFormat="1" applyFont="1" applyFill="1" applyBorder="1" applyAlignment="1" applyProtection="1">
      <alignment horizontal="left" vertical="top"/>
      <protection locked="0"/>
    </xf>
    <xf numFmtId="0" fontId="6" fillId="25" borderId="12" xfId="0" applyNumberFormat="1" applyFont="1" applyFill="1" applyBorder="1" applyAlignment="1" applyProtection="1">
      <alignment horizontal="left" vertical="top" wrapText="1"/>
      <protection locked="0"/>
    </xf>
    <xf numFmtId="0" fontId="6" fillId="0" borderId="12" xfId="0" applyNumberFormat="1" applyFont="1" applyFill="1" applyBorder="1" applyAlignment="1" applyProtection="1">
      <alignment horizontal="left" vertical="top" wrapText="1"/>
    </xf>
    <xf numFmtId="0" fontId="6" fillId="0" borderId="1" xfId="0" applyNumberFormat="1" applyFont="1" applyFill="1" applyBorder="1" applyAlignment="1" applyProtection="1">
      <alignment horizontal="left" vertical="top" wrapText="1"/>
    </xf>
    <xf numFmtId="0" fontId="0" fillId="0" borderId="1" xfId="0" applyNumberFormat="1" applyFont="1" applyFill="1" applyBorder="1" applyAlignment="1" applyProtection="1">
      <alignment horizontal="left"/>
    </xf>
    <xf numFmtId="0" fontId="0" fillId="0" borderId="2" xfId="0" applyNumberFormat="1" applyFont="1" applyFill="1" applyBorder="1" applyAlignment="1" applyProtection="1">
      <alignment horizontal="left"/>
    </xf>
    <xf numFmtId="0" fontId="0" fillId="0" borderId="3" xfId="0" applyNumberFormat="1" applyFont="1" applyFill="1" applyBorder="1" applyAlignment="1" applyProtection="1">
      <alignment horizontal="left"/>
    </xf>
    <xf numFmtId="0" fontId="0" fillId="0" borderId="4" xfId="0" applyNumberFormat="1" applyFont="1" applyFill="1" applyBorder="1" applyAlignment="1" applyProtection="1">
      <alignment horizontal="left"/>
    </xf>
    <xf numFmtId="0" fontId="0" fillId="0" borderId="8" xfId="0" applyNumberFormat="1" applyFont="1" applyFill="1" applyBorder="1" applyAlignment="1" applyProtection="1">
      <alignment horizontal="left"/>
    </xf>
    <xf numFmtId="0" fontId="0" fillId="0" borderId="9" xfId="0" applyNumberFormat="1" applyFont="1" applyFill="1" applyBorder="1" applyAlignment="1" applyProtection="1">
      <alignment horizontal="left"/>
    </xf>
    <xf numFmtId="0" fontId="0" fillId="0" borderId="10" xfId="0" applyNumberFormat="1" applyFont="1" applyFill="1" applyBorder="1" applyAlignment="1" applyProtection="1">
      <alignment horizontal="left"/>
    </xf>
    <xf numFmtId="0" fontId="0" fillId="0" borderId="11" xfId="0" applyNumberFormat="1" applyFont="1" applyFill="1" applyBorder="1" applyAlignment="1" applyProtection="1">
      <alignment horizontal="left"/>
    </xf>
    <xf numFmtId="0" fontId="0" fillId="0" borderId="15" xfId="0" applyNumberFormat="1" applyFont="1" applyFill="1" applyBorder="1" applyAlignment="1" applyProtection="1">
      <alignment horizontal="left"/>
    </xf>
    <xf numFmtId="0" fontId="0" fillId="0" borderId="12" xfId="0" applyNumberFormat="1" applyFont="1" applyFill="1" applyBorder="1" applyAlignment="1" applyProtection="1">
      <alignment horizontal="left"/>
    </xf>
    <xf numFmtId="0" fontId="0" fillId="0" borderId="6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left"/>
    </xf>
    <xf numFmtId="0" fontId="10" fillId="15" borderId="7" xfId="0" applyNumberFormat="1" applyFont="1" applyFill="1" applyBorder="1" applyAlignment="1" applyProtection="1">
      <alignment horizontal="left"/>
    </xf>
    <xf numFmtId="0" fontId="9" fillId="15" borderId="8" xfId="0" applyNumberFormat="1" applyFont="1" applyFill="1" applyBorder="1" applyAlignment="1" applyProtection="1">
      <alignment horizontal="left" vertical="center"/>
    </xf>
    <xf numFmtId="0" fontId="9" fillId="15" borderId="15" xfId="0" applyNumberFormat="1" applyFont="1" applyFill="1" applyBorder="1" applyAlignment="1" applyProtection="1">
      <alignment horizontal="left" vertical="center"/>
    </xf>
    <xf numFmtId="0" fontId="9" fillId="15" borderId="11" xfId="0" applyNumberFormat="1" applyFont="1" applyFill="1" applyBorder="1" applyAlignment="1" applyProtection="1">
      <alignment horizontal="left" vertical="center"/>
    </xf>
    <xf numFmtId="0" fontId="7" fillId="15" borderId="7" xfId="0" applyNumberFormat="1" applyFont="1" applyFill="1" applyBorder="1" applyAlignment="1" applyProtection="1">
      <alignment horizontal="left"/>
    </xf>
    <xf numFmtId="0" fontId="7" fillId="15" borderId="8" xfId="0" applyNumberFormat="1" applyFont="1" applyFill="1" applyBorder="1" applyAlignment="1" applyProtection="1">
      <alignment horizontal="left"/>
    </xf>
    <xf numFmtId="0" fontId="7" fillId="15" borderId="4" xfId="0" applyNumberFormat="1" applyFont="1" applyFill="1" applyBorder="1" applyAlignment="1" applyProtection="1">
      <alignment horizontal="left"/>
    </xf>
    <xf numFmtId="0" fontId="9" fillId="7" borderId="3" xfId="0" applyNumberFormat="1" applyFont="1" applyFill="1" applyBorder="1" applyAlignment="1" applyProtection="1">
      <alignment horizontal="center"/>
    </xf>
    <xf numFmtId="0" fontId="9" fillId="7" borderId="4" xfId="0" applyNumberFormat="1" applyFont="1" applyFill="1" applyBorder="1" applyAlignment="1" applyProtection="1">
      <alignment horizontal="center"/>
    </xf>
    <xf numFmtId="0" fontId="10" fillId="7" borderId="2" xfId="0" applyNumberFormat="1" applyFont="1" applyFill="1" applyBorder="1" applyAlignment="1" applyProtection="1">
      <alignment horizontal="center" vertical="center"/>
    </xf>
    <xf numFmtId="0" fontId="10" fillId="7" borderId="4" xfId="0" applyNumberFormat="1" applyFont="1" applyFill="1" applyBorder="1" applyAlignment="1" applyProtection="1">
      <alignment horizontal="left"/>
    </xf>
    <xf numFmtId="0" fontId="9" fillId="7" borderId="4" xfId="0" applyNumberFormat="1" applyFont="1" applyFill="1" applyBorder="1" applyAlignment="1" applyProtection="1">
      <alignment horizontal="left"/>
    </xf>
    <xf numFmtId="0" fontId="15" fillId="10" borderId="4" xfId="0" applyNumberFormat="1" applyFont="1" applyFill="1" applyBorder="1" applyAlignment="1" applyProtection="1">
      <alignment horizontal="left"/>
    </xf>
    <xf numFmtId="0" fontId="15" fillId="10" borderId="2" xfId="0" applyNumberFormat="1" applyFont="1" applyFill="1" applyBorder="1" applyAlignment="1" applyProtection="1">
      <alignment horizontal="left"/>
    </xf>
    <xf numFmtId="0" fontId="1" fillId="16" borderId="3" xfId="0" applyNumberFormat="1" applyFont="1" applyFill="1" applyBorder="1" applyAlignment="1" applyProtection="1">
      <alignment horizontal="left"/>
    </xf>
    <xf numFmtId="0" fontId="1" fillId="16" borderId="4" xfId="0" applyNumberFormat="1" applyFont="1" applyFill="1" applyBorder="1" applyAlignment="1" applyProtection="1">
      <alignment horizontal="left"/>
    </xf>
    <xf numFmtId="0" fontId="15" fillId="16" borderId="8" xfId="0" applyNumberFormat="1" applyFont="1" applyFill="1" applyBorder="1" applyAlignment="1" applyProtection="1">
      <alignment horizontal="left"/>
    </xf>
  </cellXfs>
  <cellStyles count="3">
    <cellStyle name="Normal" xfId="0" builtinId="0"/>
    <cellStyle name="tableSubHeader" xfId="1"/>
    <cellStyle name="QIS5InputCell" xfId="2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1F497D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C5D9F1"/>
      <rgbColor rgb="00DAEEF3"/>
      <rgbColor rgb="000066CC"/>
      <rgbColor rgb="001F497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00"/>
      <rgbColor rgb="00003264"/>
      <rgbColor rgb="00FFFFCC"/>
      <rgbColor rgb="0099CCFF"/>
      <rgbColor rgb="00FF99CC"/>
      <rgbColor rgb="0066CC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<Relationships xmlns="http://schemas.openxmlformats.org/package/2006/relationships"><Relationship Id="rId20" Type="http://schemas.openxmlformats.org/officeDocument/2006/relationships/worksheet" Target="worksheets/sheet20.xml"></Relationship><Relationship Id="rId22" Type="http://schemas.openxmlformats.org/officeDocument/2006/relationships/worksheet" Target="worksheets/sheet22.xml"></Relationship><Relationship Id="rId21" Type="http://schemas.openxmlformats.org/officeDocument/2006/relationships/worksheet" Target="worksheets/sheet21.xml"></Relationship><Relationship Id="rId24" Type="http://schemas.openxmlformats.org/officeDocument/2006/relationships/styles" Target="styles.xml"></Relationship><Relationship Id="rId23" Type="http://schemas.openxmlformats.org/officeDocument/2006/relationships/sharedStrings" Target="sharedStrings.xml"></Relationship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9" Type="http://schemas.openxmlformats.org/officeDocument/2006/relationships/worksheet" Target="worksheets/sheet9.xml"></Relationship><Relationship Id="rId25" Type="http://schemas.openxmlformats.org/officeDocument/2006/relationships/theme" Target="theme/theme1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11" Type="http://schemas.openxmlformats.org/officeDocument/2006/relationships/worksheet" Target="worksheets/sheet11.xml"></Relationship><Relationship Id="rId10" Type="http://schemas.openxmlformats.org/officeDocument/2006/relationships/worksheet" Target="worksheets/sheet10.xml"></Relationship><Relationship Id="rId13" Type="http://schemas.openxmlformats.org/officeDocument/2006/relationships/worksheet" Target="worksheets/sheet13.xml"></Relationship><Relationship Id="rId12" Type="http://schemas.openxmlformats.org/officeDocument/2006/relationships/worksheet" Target="worksheets/sheet12.xml"></Relationship><Relationship Id="rId15" Type="http://schemas.openxmlformats.org/officeDocument/2006/relationships/worksheet" Target="worksheets/sheet15.xml"></Relationship><Relationship Id="rId14" Type="http://schemas.openxmlformats.org/officeDocument/2006/relationships/worksheet" Target="worksheets/sheet14.xml"></Relationship><Relationship Id="rId17" Type="http://schemas.openxmlformats.org/officeDocument/2006/relationships/worksheet" Target="worksheets/sheet17.xml"></Relationship><Relationship Id="rId16" Type="http://schemas.openxmlformats.org/officeDocument/2006/relationships/worksheet" Target="worksheets/sheet16.xml"></Relationship><Relationship Id="rId19" Type="http://schemas.openxmlformats.org/officeDocument/2006/relationships/worksheet" Target="worksheets/sheet19.xml"></Relationship><Relationship Id="rId18" Type="http://schemas.openxmlformats.org/officeDocument/2006/relationships/worksheet" Target="worksheets/sheet18.xml"></Relationship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2:K9"/>
  <sheetViews>
    <sheetView showGridLines="0" tabSelected="1" workbookViewId="0"/>
  </sheetViews>
  <sheetFormatPr defaultColWidth="9.1484375" defaultRowHeight="12.75" customHeight="0"/>
  <cols>
    <col min="2" max="2" width="21.14453125" style="1" customWidth="1"/>
    <col min="3" max="3" width="37.71484375" style="1" customWidth="1"/>
  </cols>
  <sheetData>
    <row r="1" s="0" customFormat="0" ht="15"/>
    <row r="2" spans="2:11" s="0" customFormat="0" ht="15">
      <c r="B2" s="89" t="s">
        <v>0</v>
      </c>
      <c r="C2" s="69" t="s">
        <v>1</v>
      </c>
      <c r="J2" s="19" t="s">
        <v>2</v>
      </c>
      <c r="K2" s="5"/>
    </row>
    <row r="3" spans="2:11" s="0" customFormat="0" ht="15">
      <c r="B3" s="90" t="s">
        <v>3</v>
      </c>
      <c r="C3" s="91" t="s">
        <v>4</v>
      </c>
      <c r="J3" s="59"/>
      <c r="K3" s="24" t="s">
        <v>5</v>
      </c>
    </row>
    <row r="4" spans="2:11" s="0" customFormat="0" ht="15">
      <c r="B4" s="90" t="s">
        <v>6</v>
      </c>
      <c r="C4" s="91" t="s">
        <v>7</v>
      </c>
      <c r="J4" s="60"/>
      <c r="K4" s="24" t="s">
        <v>8</v>
      </c>
    </row>
    <row r="5" spans="2:11" s="0" customFormat="0" ht="15">
      <c r="B5" s="90" t="s">
        <v>9</v>
      </c>
      <c r="C5" s="91" t="s">
        <v>10</v>
      </c>
      <c r="J5" s="61"/>
      <c r="K5" s="24" t="s">
        <v>11</v>
      </c>
    </row>
    <row r="6" spans="2:11" s="0" customFormat="0" ht="15">
      <c r="B6" s="90" t="s">
        <v>12</v>
      </c>
      <c r="C6" s="91" t="s">
        <v>13</v>
      </c>
      <c r="J6" s="62"/>
      <c r="K6" s="24" t="s">
        <v>14</v>
      </c>
    </row>
    <row r="7" spans="2:3" s="0" customFormat="0" ht="15">
      <c r="B7" s="90" t="s">
        <v>15</v>
      </c>
      <c r="C7" s="91" t="s">
        <v>16</v>
      </c>
    </row>
    <row r="8" spans="2:3" s="0" customFormat="0" ht="15">
      <c r="B8" s="90" t="s">
        <v>17</v>
      </c>
      <c r="C8" s="91"/>
    </row>
    <row r="9" spans="2:3" s="0" customFormat="0" ht="15">
      <c r="B9" s="90" t="s">
        <v>18</v>
      </c>
      <c r="C9" s="91"/>
    </row>
  </sheetData>
  <pageMargins left="0.75" right="0.75" top="1" bottom="1" header="0.5" footer="0.5"/>
  <headerFooter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9"/>
  <dimension ref="B2:I3"/>
  <sheetViews>
    <sheetView workbookViewId="0"/>
  </sheetViews>
  <sheetFormatPr defaultColWidth="9.1484375" defaultRowHeight="12.75" customHeight="0"/>
  <cols>
    <col min="2" max="2" width="22.71484375" style="1" customWidth="1"/>
    <col min="3" max="3" width="29.5703125" style="1" customWidth="1"/>
    <col min="4" max="4" width="25" style="1" customWidth="1"/>
    <col min="5" max="5" width="25.85546875" style="1" customWidth="1"/>
    <col min="6" max="7" width="25" style="1" customWidth="1"/>
    <col min="8" max="8" width="19.85546875" style="1" customWidth="1"/>
    <col min="9" max="9" width="20.85546875" style="1" customWidth="1"/>
  </cols>
  <sheetData>
    <row r="1" s="0" customFormat="0" ht="15"/>
    <row r="2" spans="2:9" s="0" customFormat="0" ht="15">
      <c r="B2" s="137" t="s">
        <v>19</v>
      </c>
      <c r="C2" s="138" t="s">
        <v>20</v>
      </c>
      <c r="D2" s="138" t="s">
        <v>21</v>
      </c>
      <c r="E2" s="138" t="s">
        <v>22</v>
      </c>
      <c r="F2" s="138" t="s">
        <v>23</v>
      </c>
      <c r="G2" s="138" t="s">
        <v>24</v>
      </c>
      <c r="H2" s="139" t="s">
        <v>25</v>
      </c>
      <c r="I2" s="139" t="s">
        <v>26</v>
      </c>
    </row>
    <row r="3" spans="2:9" s="0" customFormat="0" ht="15">
      <c r="B3" s="140" t="str">
        <f>F3&amp;"_"&amp;G3</f>
        <v>_</v>
      </c>
      <c r="C3" s="141"/>
      <c r="D3" s="141"/>
      <c r="E3" s="141"/>
      <c r="F3" s="141"/>
      <c r="G3" s="141"/>
      <c r="H3" s="141"/>
      <c r="I3" s="142"/>
    </row>
  </sheetData>
  <pageMargins left="0.75" right="0.75" top="1" bottom="1" header="0.5" footer="0.5"/>
  <headerFooter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0"/>
  <dimension ref="A1:G38"/>
  <sheetViews>
    <sheetView showGridLines="0" workbookViewId="0">
      <selection activeCell="C3" sqref="C3"/>
    </sheetView>
  </sheetViews>
  <sheetFormatPr defaultColWidth="9.1484375" defaultRowHeight="12.75" customHeight="0"/>
  <cols>
    <col min="1" max="1" width="49" hidden="1" style="1" customWidth="1"/>
    <col min="2" max="2" width="9.1484375" hidden="1" style="1"/>
    <col min="4" max="4" width="50.71484375" style="27" customWidth="1"/>
    <col min="5" max="5" width="43.4296875" style="27" customWidth="1"/>
    <col min="6" max="6" width="42.71484375" style="27" customWidth="1"/>
    <col min="7" max="7" width="48.5703125" style="1" customWidth="1"/>
  </cols>
  <sheetData>
    <row r="1" spans="1:6" s="0" customFormat="0" ht="15" hidden="1">
      <c r="A1" s="80"/>
      <c r="B1" s="80"/>
      <c r="C1" s="80"/>
      <c r="D1" s="143"/>
      <c r="E1" s="143"/>
      <c r="F1" s="143" t="s">
        <v>1</v>
      </c>
    </row>
    <row r="2" spans="1:6" s="0" customFormat="0" ht="15" hidden="1">
      <c r="A2" s="80"/>
      <c r="B2" s="86"/>
      <c r="C2" s="86"/>
      <c r="D2" s="144"/>
      <c r="E2" s="144"/>
      <c r="F2" s="144"/>
    </row>
    <row r="3" spans="1:2" s="0" customFormat="0" ht="15.6" customHeight="1">
      <c r="A3" s="80"/>
      <c r="B3" s="86"/>
    </row>
    <row r="4" spans="1:6" s="0" customFormat="0" ht="15.6" customHeight="1">
      <c r="A4" s="80"/>
      <c r="B4" s="86"/>
      <c r="D4" s="180" t="s">
        <v>27</v>
      </c>
      <c r="E4" s="181"/>
      <c r="F4" s="145" t="s">
        <v>1</v>
      </c>
    </row>
    <row r="5" spans="1:6" s="0" customFormat="0" ht="15.6" customHeight="1">
      <c r="A5" s="80"/>
      <c r="B5" s="86"/>
      <c r="D5" s="146" t="s">
        <v>28</v>
      </c>
      <c r="E5" s="145"/>
      <c r="F5" s="145"/>
    </row>
    <row r="6" spans="1:6" s="0" customFormat="0" ht="15.6" customHeight="1">
      <c r="A6" s="80" t="s">
        <v>29</v>
      </c>
      <c r="B6" s="86"/>
      <c r="D6" s="177" t="s">
        <v>30</v>
      </c>
      <c r="E6" s="147" t="s">
        <v>31</v>
      </c>
      <c r="F6" s="83" t="str">
        <f>IF(ISERROR(VLOOKUP($A6&amp;"_"&amp;F$1,CVAR_Input_Data,8,0)),"",IF(VLOOKUP($A6&amp;"_"&amp;F$1,CVAR_Input_Data,8,0)="","",VLOOKUP($A6&amp;"_"&amp;F$1,CVAR_Input_Data,8,0)))</f>
        <v/>
      </c>
    </row>
    <row r="7" spans="1:6" s="0" customFormat="0" ht="15.6" customHeight="1">
      <c r="A7" s="80" t="s">
        <v>32</v>
      </c>
      <c r="B7" s="86"/>
      <c r="D7" s="178"/>
      <c r="E7" s="147" t="s">
        <v>33</v>
      </c>
      <c r="F7" s="83" t="str">
        <f>IF(ISERROR(VLOOKUP($A7&amp;"_"&amp;F$1,CVAR_Input_Data,8,0)),"",IF(VLOOKUP($A7&amp;"_"&amp;F$1,CVAR_Input_Data,8,0)="","",VLOOKUP($A7&amp;"_"&amp;F$1,CVAR_Input_Data,8,0)))</f>
        <v/>
      </c>
    </row>
    <row r="8" spans="1:6" s="0" customFormat="0" ht="15.6" customHeight="1">
      <c r="A8" s="80" t="s">
        <v>34</v>
      </c>
      <c r="B8" s="86"/>
      <c r="D8" s="178"/>
      <c r="E8" s="148" t="s">
        <v>35</v>
      </c>
      <c r="F8" s="83" t="str">
        <f>IF(ISERROR(VLOOKUP($A8&amp;"_"&amp;F$1,CVAR_Input_Data,8,0)),"",IF(VLOOKUP($A8&amp;"_"&amp;F$1,CVAR_Input_Data,8,0)="","",VLOOKUP($A8&amp;"_"&amp;F$1,CVAR_Input_Data,8,0)))</f>
        <v/>
      </c>
    </row>
    <row r="9" spans="1:6" s="0" customFormat="0" ht="15.6" customHeight="1">
      <c r="A9" s="80" t="s">
        <v>36</v>
      </c>
      <c r="B9" s="86"/>
      <c r="D9" s="179" t="s">
        <v>37</v>
      </c>
      <c r="E9" s="147" t="s">
        <v>31</v>
      </c>
      <c r="F9" s="83" t="str">
        <f>IF(ISERROR(VLOOKUP($A9&amp;"_"&amp;F$1,CVAR_Input_Data,8,0)),"",IF(VLOOKUP($A9&amp;"_"&amp;F$1,CVAR_Input_Data,8,0)="","",VLOOKUP($A9&amp;"_"&amp;F$1,CVAR_Input_Data,8,0)))</f>
        <v/>
      </c>
    </row>
    <row r="10" spans="1:6" s="0" customFormat="0" ht="15.6" customHeight="1">
      <c r="A10" s="80" t="s">
        <v>38</v>
      </c>
      <c r="B10" s="86"/>
      <c r="D10" s="178"/>
      <c r="E10" s="147" t="s">
        <v>33</v>
      </c>
      <c r="F10" s="83" t="str">
        <f>IF(ISERROR(VLOOKUP($A10&amp;"_"&amp;F$1,CVAR_Input_Data,8,0)),"",IF(VLOOKUP($A10&amp;"_"&amp;F$1,CVAR_Input_Data,8,0)="","",VLOOKUP($A10&amp;"_"&amp;F$1,CVAR_Input_Data,8,0)))</f>
        <v/>
      </c>
    </row>
    <row r="11" spans="1:6" s="0" customFormat="0" ht="15.6" customHeight="1">
      <c r="A11" s="80" t="s">
        <v>39</v>
      </c>
      <c r="B11" s="86"/>
      <c r="D11" s="178"/>
      <c r="E11" s="148" t="s">
        <v>35</v>
      </c>
      <c r="F11" s="83" t="str">
        <f>IF(ISERROR(VLOOKUP($A11&amp;"_"&amp;F$1,CVAR_Input_Data,8,0)),"",IF(VLOOKUP($A11&amp;"_"&amp;F$1,CVAR_Input_Data,8,0)="","",VLOOKUP($A11&amp;"_"&amp;F$1,CVAR_Input_Data,8,0)))</f>
        <v/>
      </c>
    </row>
    <row r="12" spans="1:6" s="0" customFormat="0" ht="15.6" customHeight="1">
      <c r="A12" s="80" t="s">
        <v>40</v>
      </c>
      <c r="B12" s="86"/>
      <c r="D12" s="179" t="s">
        <v>41</v>
      </c>
      <c r="E12" s="147" t="s">
        <v>31</v>
      </c>
      <c r="F12" s="83" t="str">
        <f>IF(ISERROR(VLOOKUP($A12&amp;"_"&amp;F$1,CVAR_Input_Data,8,0)),"",IF(VLOOKUP($A12&amp;"_"&amp;F$1,CVAR_Input_Data,8,0)="","",VLOOKUP($A12&amp;"_"&amp;F$1,CVAR_Input_Data,8,0)))</f>
        <v/>
      </c>
    </row>
    <row r="13" spans="1:6" s="0" customFormat="0" ht="15.6" customHeight="1">
      <c r="A13" s="80" t="s">
        <v>42</v>
      </c>
      <c r="B13" s="86"/>
      <c r="D13" s="185"/>
      <c r="E13" s="147" t="s">
        <v>33</v>
      </c>
      <c r="F13" s="83" t="str">
        <f>IF(ISERROR(VLOOKUP($A13&amp;"_"&amp;F$1,CVAR_Input_Data,8,0)),"",IF(VLOOKUP($A13&amp;"_"&amp;F$1,CVAR_Input_Data,8,0)="","",VLOOKUP($A13&amp;"_"&amp;F$1,CVAR_Input_Data,8,0)))</f>
        <v/>
      </c>
    </row>
    <row r="14" spans="1:6" s="0" customFormat="0" ht="15.6" customHeight="1">
      <c r="A14" s="80" t="s">
        <v>43</v>
      </c>
      <c r="B14" s="86"/>
      <c r="D14" s="185"/>
      <c r="E14" s="148" t="s">
        <v>35</v>
      </c>
      <c r="F14" s="83" t="str">
        <f>IF(ISERROR(VLOOKUP($A14&amp;"_"&amp;F$1,CVAR_Input_Data,8,0)),"",IF(VLOOKUP($A14&amp;"_"&amp;F$1,CVAR_Input_Data,8,0)="","",VLOOKUP($A14&amp;"_"&amp;F$1,CVAR_Input_Data,8,0)))</f>
        <v/>
      </c>
    </row>
    <row r="15" spans="1:6" s="0" customFormat="0" ht="15.6" customHeight="1">
      <c r="A15" s="80" t="s">
        <v>44</v>
      </c>
      <c r="B15" s="86"/>
      <c r="D15" s="182" t="s">
        <v>45</v>
      </c>
      <c r="E15" s="147" t="s">
        <v>31</v>
      </c>
      <c r="F15" s="83" t="str">
        <f>IF(ISERROR(VLOOKUP($A15&amp;"_"&amp;F$1,CVAR_Input_Data,8,0)),"",IF(VLOOKUP($A15&amp;"_"&amp;F$1,CVAR_Input_Data,8,0)="","",VLOOKUP($A15&amp;"_"&amp;F$1,CVAR_Input_Data,8,0)))</f>
        <v/>
      </c>
    </row>
    <row r="16" spans="1:6" s="0" customFormat="0" ht="15.6" customHeight="1">
      <c r="A16" s="80" t="s">
        <v>46</v>
      </c>
      <c r="B16" s="86"/>
      <c r="D16" s="183"/>
      <c r="E16" s="147" t="s">
        <v>33</v>
      </c>
      <c r="F16" s="83" t="str">
        <f>IF(ISERROR(VLOOKUP($A16&amp;"_"&amp;F$1,CVAR_Input_Data,8,0)),"",IF(VLOOKUP($A16&amp;"_"&amp;F$1,CVAR_Input_Data,8,0)="","",VLOOKUP($A16&amp;"_"&amp;F$1,CVAR_Input_Data,8,0)))</f>
        <v/>
      </c>
    </row>
    <row r="17" spans="1:6" s="0" customFormat="0" ht="15.6" customHeight="1">
      <c r="A17" s="80" t="s">
        <v>47</v>
      </c>
      <c r="B17" s="86"/>
      <c r="D17" s="184"/>
      <c r="E17" s="147" t="s">
        <v>35</v>
      </c>
      <c r="F17" s="83" t="str">
        <f>IF(ISERROR(VLOOKUP($A17&amp;"_"&amp;F$1,CVAR_Input_Data,8,0)),"",IF(VLOOKUP($A17&amp;"_"&amp;F$1,CVAR_Input_Data,8,0)="","",VLOOKUP($A17&amp;"_"&amp;F$1,CVAR_Input_Data,8,0)))</f>
        <v/>
      </c>
    </row>
    <row r="18" spans="1:6" s="0" customFormat="0" ht="15">
      <c r="A18" s="80"/>
      <c r="B18" s="86"/>
      <c r="F18" s="27"/>
    </row>
    <row r="19" spans="1:7" s="0" customFormat="0" ht="15">
      <c r="A19" s="80"/>
      <c r="B19" s="86"/>
      <c r="D19" s="149" t="s">
        <v>48</v>
      </c>
      <c r="E19" s="151"/>
      <c r="F19" s="150"/>
      <c r="G19" s="145"/>
    </row>
    <row r="20" spans="1:7" s="0" customFormat="0" ht="15">
      <c r="A20" s="80"/>
      <c r="B20" s="86"/>
      <c r="D20" s="119" t="s">
        <v>10</v>
      </c>
      <c r="E20" s="120" t="s">
        <v>49</v>
      </c>
      <c r="F20" s="152" t="s">
        <v>50</v>
      </c>
      <c r="G20" s="121" t="s">
        <v>51</v>
      </c>
    </row>
    <row r="21" spans="1:7" s="0" customFormat="0" ht="15">
      <c r="A21" s="80"/>
      <c r="B21" s="80" t="str">
        <f>D21&amp;"_"&amp;E21</f>
        <v>RC630_LU0003_ANN</v>
      </c>
      <c r="D21" s="153" t="s">
        <v>1</v>
      </c>
      <c r="E21" s="83" t="s">
        <v>52</v>
      </c>
      <c r="F21" s="83" t="str">
        <f>IF(ISERROR(VLOOKUP($D21&amp;"_"&amp;E21,CVAR_Input_Data,8,0)),"",IF(VLOOKUP($D21&amp;"_"&amp;E21,CVAR_Input_Data,8,0)="","",VLOOKUP($D21&amp;"_"&amp;E21,CVAR_Input_Data,8,0)))</f>
        <v/>
      </c>
      <c r="G21" s="83"/>
    </row>
    <row r="22" spans="1:7" s="0" customFormat="0" ht="15">
      <c r="A22" s="80"/>
      <c r="B22" s="80" t="str">
        <f>D22&amp;"_"&amp;E22</f>
        <v>RC630_LU0003_Fund_dummy</v>
      </c>
      <c r="D22" s="153" t="s">
        <v>1</v>
      </c>
      <c r="E22" s="83" t="s">
        <v>53</v>
      </c>
      <c r="F22" s="83" t="str">
        <f>IF(ISERROR(VLOOKUP($D22&amp;"_"&amp;E22,CVAR_Input_Data,8,0)),"",IF(VLOOKUP($D22&amp;"_"&amp;E22,CVAR_Input_Data,8,0)="","",VLOOKUP($D22&amp;"_"&amp;E22,CVAR_Input_Data,8,0)))</f>
        <v/>
      </c>
      <c r="G22" s="83"/>
    </row>
    <row r="23" spans="1:7" s="0" customFormat="0" ht="15">
      <c r="A23" s="80"/>
      <c r="B23" s="80" t="str">
        <f>D23&amp;"_"&amp;E23</f>
        <v>RC630_LU0003_CDFIN</v>
      </c>
      <c r="D23" s="153" t="s">
        <v>1</v>
      </c>
      <c r="E23" s="83" t="s">
        <v>54</v>
      </c>
      <c r="F23" s="83" t="str">
        <f>IF(ISERROR(VLOOKUP($D23&amp;"_"&amp;E23,CVAR_Input_Data,8,0)),"",IF(VLOOKUP($D23&amp;"_"&amp;E23,CVAR_Input_Data,8,0)="","",VLOOKUP($D23&amp;"_"&amp;E23,CVAR_Input_Data,8,0)))</f>
        <v/>
      </c>
      <c r="G23" s="83"/>
    </row>
    <row r="24" spans="1:7" s="0" customFormat="0" ht="15">
      <c r="A24" s="80"/>
      <c r="B24" s="80" t="str">
        <f>D24&amp;"_"&amp;E24</f>
        <v>RC630_LU0003_LXCLA</v>
      </c>
      <c r="D24" s="153" t="s">
        <v>1</v>
      </c>
      <c r="E24" s="83" t="s">
        <v>55</v>
      </c>
      <c r="F24" s="83" t="str">
        <f>IF(ISERROR(VLOOKUP($D24&amp;"_"&amp;E24,CVAR_Input_Data,8,0)),"",IF(VLOOKUP($D24&amp;"_"&amp;E24,CVAR_Input_Data,8,0)="","",VLOOKUP($D24&amp;"_"&amp;E24,CVAR_Input_Data,8,0)))</f>
        <v/>
      </c>
      <c r="G24" s="83">
        <v>0.14144277112511686</v>
      </c>
    </row>
    <row r="25" spans="1:7" s="0" customFormat="0" ht="15">
      <c r="A25" s="80"/>
      <c r="B25" s="80" t="str">
        <f>D25&amp;"_"&amp;E25</f>
        <v>RC630_LU0003_AZFR</v>
      </c>
      <c r="D25" s="153" t="s">
        <v>1</v>
      </c>
      <c r="E25" s="83" t="s">
        <v>56</v>
      </c>
      <c r="F25" s="83" t="str">
        <f>IF(ISERROR(VLOOKUP($D25&amp;"_"&amp;E25,CVAR_Input_Data,8,0)),"",IF(VLOOKUP($D25&amp;"_"&amp;E25,CVAR_Input_Data,8,0)="","",VLOOKUP($D25&amp;"_"&amp;E25,CVAR_Input_Data,8,0)))</f>
        <v/>
      </c>
      <c r="G25" s="83"/>
    </row>
    <row r="26" spans="1:7" s="0" customFormat="0" ht="15">
      <c r="A26" s="80"/>
      <c r="B26" s="80" t="str">
        <f>D26&amp;"_"&amp;E26</f>
        <v>RC630_LU0003_UL</v>
      </c>
      <c r="D26" s="153" t="s">
        <v>1</v>
      </c>
      <c r="E26" s="83" t="s">
        <v>57</v>
      </c>
      <c r="F26" s="83" t="str">
        <f>IF(ISERROR(VLOOKUP($D26&amp;"_"&amp;E26,CVAR_Input_Data,8,0)),"",IF(VLOOKUP($D26&amp;"_"&amp;E26,CVAR_Input_Data,8,0)="","",VLOOKUP($D26&amp;"_"&amp;E26,CVAR_Input_Data,8,0)))</f>
        <v/>
      </c>
      <c r="G26" s="83"/>
    </row>
    <row r="27" spans="1:7" s="0" customFormat="0" ht="15">
      <c r="A27" s="80"/>
      <c r="B27" s="80" t="str">
        <f>D27&amp;"_"&amp;E27</f>
        <v>RC630_LU0003_LXFP</v>
      </c>
      <c r="D27" s="153" t="s">
        <v>1</v>
      </c>
      <c r="E27" s="83" t="s">
        <v>58</v>
      </c>
      <c r="F27" s="83" t="str">
        <f>IF(ISERROR(VLOOKUP($D27&amp;"_"&amp;E27,CVAR_Input_Data,8,0)),"",IF(VLOOKUP($D27&amp;"_"&amp;E27,CVAR_Input_Data,8,0)="","",VLOOKUP($D27&amp;"_"&amp;E27,CVAR_Input_Data,8,0)))</f>
        <v/>
      </c>
      <c r="G27" s="83"/>
    </row>
    <row r="28" spans="1:7" s="0" customFormat="0" ht="15">
      <c r="A28" s="80"/>
      <c r="B28" s="80" t="str">
        <f>D28&amp;"_"&amp;E28</f>
        <v>RC630_LU0003_LXCLAWOPB</v>
      </c>
      <c r="D28" s="153" t="s">
        <v>1</v>
      </c>
      <c r="E28" s="83" t="s">
        <v>59</v>
      </c>
      <c r="F28" s="83" t="str">
        <f>IF(ISERROR(VLOOKUP($D28&amp;"_"&amp;E28,CVAR_Input_Data,8,0)),"",IF(VLOOKUP($D28&amp;"_"&amp;E28,CVAR_Input_Data,8,0)="","",VLOOKUP($D28&amp;"_"&amp;E28,CVAR_Input_Data,8,0)))</f>
        <v/>
      </c>
      <c r="G28" s="83"/>
    </row>
    <row r="29" spans="1:7" s="0" customFormat="0" ht="15">
      <c r="A29" s="80"/>
      <c r="B29" s="80" t="str">
        <f>D29&amp;"_"&amp;E29</f>
        <v>RC630_LU0003_exNemian</v>
      </c>
      <c r="D29" s="153" t="s">
        <v>1</v>
      </c>
      <c r="E29" s="83" t="s">
        <v>60</v>
      </c>
      <c r="F29" s="83" t="str">
        <f>IF(ISERROR(VLOOKUP($D29&amp;"_"&amp;E29,CVAR_Input_Data,8,0)),"",IF(VLOOKUP($D29&amp;"_"&amp;E29,CVAR_Input_Data,8,0)="","",VLOOKUP($D29&amp;"_"&amp;E29,CVAR_Input_Data,8,0)))</f>
        <v/>
      </c>
      <c r="G29" s="83"/>
    </row>
    <row r="30" spans="1:7" s="0" customFormat="0" ht="15">
      <c r="A30" s="80"/>
      <c r="B30" s="80" t="str">
        <f>D30&amp;"_"&amp;E30</f>
        <v>RC630_LU0003_LXEUR</v>
      </c>
      <c r="D30" s="153" t="s">
        <v>1</v>
      </c>
      <c r="E30" s="83" t="s">
        <v>61</v>
      </c>
      <c r="F30" s="83" t="str">
        <f>IF(ISERROR(VLOOKUP($D30&amp;"_"&amp;E30,CVAR_Input_Data,8,0)),"",IF(VLOOKUP($D30&amp;"_"&amp;E30,CVAR_Input_Data,8,0)="","",VLOOKUP($D30&amp;"_"&amp;E30,CVAR_Input_Data,8,0)))</f>
        <v/>
      </c>
      <c r="G30" s="83">
        <v>0.054776304963434752</v>
      </c>
    </row>
    <row r="31" spans="1:6" s="0" customFormat="0" ht="15">
      <c r="A31" s="80"/>
      <c r="B31" s="86"/>
      <c r="D31" s="27"/>
      <c r="E31" s="27"/>
      <c r="F31" s="27"/>
    </row>
    <row r="32" spans="1:2" s="0" customFormat="0" ht="15">
      <c r="A32" s="80"/>
      <c r="B32" s="86"/>
    </row>
    <row r="33" spans="1:2" s="0" customFormat="0" ht="15">
      <c r="A33" s="80"/>
      <c r="B33" s="86"/>
    </row>
    <row r="34" spans="1:2" s="0" customFormat="0" ht="15">
      <c r="A34" s="80" t="str">
        <f>D34&amp;"_"&amp;E34</f>
        <v>_</v>
      </c>
      <c r="B34" s="86"/>
    </row>
    <row r="35" spans="1:2" s="0" customFormat="0" ht="15">
      <c r="A35" s="80"/>
      <c r="B35" s="86"/>
    </row>
    <row r="36" spans="1:4" s="0" customFormat="0" ht="15">
      <c r="A36" s="80"/>
      <c r="B36" s="86"/>
      <c r="D36" s="27"/>
    </row>
    <row r="37" s="0" customFormat="0" ht="15"/>
    <row r="38" spans="4:4" s="0" customFormat="0" ht="15">
      <c r="D38" s="27"/>
    </row>
  </sheetData>
  <mergeCells count="5">
    <mergeCell ref="D15:D17"/>
    <mergeCell ref="D12:D14"/>
    <mergeCell ref="D6:D8"/>
    <mergeCell ref="D9:D11"/>
    <mergeCell ref="D4:E4"/>
  </mergeCells>
  <pageMargins left="0.75" right="0.75" top="1" bottom="1" header="0.5" footer="0.5"/>
  <headerFooter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M57"/>
  <sheetViews>
    <sheetView showGridLines="0" workbookViewId="0">
      <selection activeCell="C3" sqref="C3"/>
    </sheetView>
  </sheetViews>
  <sheetFormatPr defaultColWidth="9.1484375" defaultRowHeight="12.75" customHeight="0"/>
  <cols>
    <col min="1" max="1" width="9.14453125" hidden="1" style="1" customWidth="1"/>
    <col min="2" max="2" width="20.28125" hidden="1" style="1" customWidth="1"/>
    <col min="4" max="4" width="11.99609375" style="1" customWidth="1"/>
    <col min="5" max="5" width="45.140625" style="1" customWidth="1"/>
    <col min="6" max="6" width="9.140625" style="1" customWidth="1"/>
    <col min="7" max="7" width="34.7109375" style="1" customWidth="1"/>
    <col min="8" max="8" width="19.71484375" style="1" customWidth="1"/>
    <col min="13" max="13" width="53.85546875" style="1" customWidth="1"/>
  </cols>
  <sheetData>
    <row r="1" spans="1:8" s="0" customFormat="0" ht="15" hidden="1">
      <c r="A1" s="80"/>
      <c r="B1" s="80"/>
      <c r="C1" s="80"/>
      <c r="D1" s="80"/>
      <c r="E1" s="80"/>
      <c r="F1" s="80"/>
      <c r="G1" s="80"/>
      <c r="H1" s="80"/>
    </row>
    <row r="2" spans="1:8" s="0" customFormat="0" ht="15" hidden="1">
      <c r="A2" s="80"/>
      <c r="B2" s="86" t="s">
        <v>62</v>
      </c>
      <c r="C2" s="86"/>
      <c r="D2" s="86"/>
      <c r="E2" s="86"/>
      <c r="F2" s="86"/>
      <c r="G2" s="86"/>
      <c r="H2" s="86" t="s">
        <v>1</v>
      </c>
    </row>
    <row r="3" spans="1:2" s="0" customFormat="0" ht="15">
      <c r="A3" s="80"/>
      <c r="B3" s="86"/>
    </row>
    <row r="4" spans="1:13" s="0" customFormat="0" ht="15">
      <c r="A4" s="80"/>
      <c r="B4" s="86"/>
      <c r="D4" s="47" t="s">
        <v>63</v>
      </c>
      <c r="E4" s="48" t="s">
        <v>64</v>
      </c>
      <c r="F4" s="48" t="s">
        <v>65</v>
      </c>
      <c r="G4" s="48" t="s">
        <v>66</v>
      </c>
      <c r="H4" s="49" t="s">
        <v>26</v>
      </c>
      <c r="L4" s="19" t="s">
        <v>2</v>
      </c>
      <c r="M4" s="5"/>
    </row>
    <row r="5" spans="1:13" s="0" customFormat="0" ht="15">
      <c r="A5" s="80"/>
      <c r="B5" s="86"/>
      <c r="L5" s="59"/>
      <c r="M5" s="24" t="s">
        <v>5</v>
      </c>
    </row>
    <row r="6" spans="1:13" s="0" customFormat="0" ht="15">
      <c r="A6" s="80"/>
      <c r="B6" s="86"/>
      <c r="D6" s="20" t="s">
        <v>28</v>
      </c>
      <c r="E6" s="21"/>
      <c r="F6" s="21"/>
      <c r="G6" s="21"/>
      <c r="H6" s="22" t="s">
        <v>1</v>
      </c>
      <c r="L6" s="60"/>
      <c r="M6" s="24" t="s">
        <v>8</v>
      </c>
    </row>
    <row r="7" spans="1:13" s="0" customFormat="0" ht="15">
      <c r="A7" s="80"/>
      <c r="B7" s="86" t="s">
        <v>67</v>
      </c>
      <c r="D7" s="23"/>
      <c r="E7" s="23" t="s">
        <v>68</v>
      </c>
      <c r="F7" s="23" t="s">
        <v>69</v>
      </c>
      <c r="G7" s="25" t="s">
        <v>70</v>
      </c>
      <c r="H7" s="38">
        <f>H17+H22+H12</f>
        <v>246297857.55273576</v>
      </c>
      <c r="L7" s="61"/>
      <c r="M7" s="24" t="s">
        <v>11</v>
      </c>
    </row>
    <row r="8" spans="1:13" s="0" customFormat="0" ht="15">
      <c r="A8" s="80"/>
      <c r="B8" s="86" t="s">
        <v>71</v>
      </c>
      <c r="D8" s="24"/>
      <c r="E8" s="24"/>
      <c r="F8" s="25"/>
      <c r="G8" s="25" t="s">
        <v>72</v>
      </c>
      <c r="H8" s="84">
        <f>-IF(AND(H10=0,H11=0),0,IF(COUNTA($H$2:I$2)&lt;=1,SUMPRODUCT(LIB_VAL,LIB_BL),SUMPRODUCT((LIB_SUBEN=H$6)*((LIB_VAL)*(LIB_BL)))))</f>
        <v>0</v>
      </c>
      <c r="L8" s="62"/>
      <c r="M8" s="24" t="s">
        <v>14</v>
      </c>
    </row>
    <row r="9" spans="1:8" s="0" customFormat="0" ht="15">
      <c r="A9" s="80"/>
      <c r="B9" s="86" t="s">
        <v>73</v>
      </c>
      <c r="D9" s="24"/>
      <c r="E9" s="26"/>
      <c r="F9" s="27" t="s">
        <v>74</v>
      </c>
      <c r="G9" s="25" t="s">
        <v>31</v>
      </c>
      <c r="H9" s="38">
        <f>IF('CVAR Adjustments'!F6&lt;&gt;"",'CVAR Adjustments'!F6,H19+H24+H14)</f>
        <v>-12881443.72413583</v>
      </c>
    </row>
    <row r="10" spans="1:8" s="0" customFormat="0" ht="15">
      <c r="A10" s="80"/>
      <c r="B10" s="86" t="s">
        <v>75</v>
      </c>
      <c r="D10" s="24"/>
      <c r="E10" s="26"/>
      <c r="F10" s="27"/>
      <c r="G10" s="25" t="s">
        <v>33</v>
      </c>
      <c r="H10" s="38">
        <f>IF('CVAR Adjustments'!F7&lt;&gt;"",'CVAR Adjustments'!F7,H20+H25+H15)</f>
        <v>0</v>
      </c>
    </row>
    <row r="11" spans="1:8" s="0" customFormat="0" ht="15">
      <c r="A11" s="80"/>
      <c r="B11" s="86" t="s">
        <v>76</v>
      </c>
      <c r="D11" s="24"/>
      <c r="E11" s="26"/>
      <c r="F11" s="27"/>
      <c r="G11" s="25" t="s">
        <v>35</v>
      </c>
      <c r="H11" s="38">
        <f>IF('CVAR Adjustments'!F8&lt;&gt;"",'CVAR Adjustments'!F8,H21+H26+H16)</f>
        <v>-671473.97880483616</v>
      </c>
    </row>
    <row r="12" spans="1:8" s="0" customFormat="0" ht="15">
      <c r="A12" s="80"/>
      <c r="B12" s="86" t="s">
        <v>77</v>
      </c>
      <c r="D12" s="23"/>
      <c r="E12" s="23" t="s">
        <v>68</v>
      </c>
      <c r="F12" s="23" t="s">
        <v>69</v>
      </c>
      <c r="G12" s="25" t="s">
        <v>70</v>
      </c>
      <c r="H12" s="38">
        <f>IF(COUNTA($H$2:I$2)&lt;=1,SUM(QICB_MV),SUMIF(QICB_SUBEN,H$6,QICB_MV))</f>
        <v>0</v>
      </c>
    </row>
    <row r="13" spans="1:8" s="0" customFormat="0" ht="15">
      <c r="A13" s="80"/>
      <c r="B13" s="86" t="s">
        <v>78</v>
      </c>
      <c r="D13" s="24"/>
      <c r="E13" s="186" t="s">
        <v>79</v>
      </c>
      <c r="F13" s="25"/>
      <c r="G13" s="25" t="s">
        <v>72</v>
      </c>
      <c r="H13" s="84">
        <f>-IF(AND(H15=0,H16=0),0,IF(COUNTA($H$2:I$2)&lt;=1,SUMPRODUCT(LIB_VAL,LIB_QICB),SUMPRODUCT((LIB_SUBEN=H$6)*((LIB_VAL)*(LIB_QICB)))))</f>
        <v>0</v>
      </c>
    </row>
    <row r="14" spans="1:8" s="0" customFormat="0" ht="15">
      <c r="A14" s="80"/>
      <c r="B14" s="86" t="s">
        <v>80</v>
      </c>
      <c r="D14" s="24"/>
      <c r="E14" s="186"/>
      <c r="F14" s="27" t="s">
        <v>74</v>
      </c>
      <c r="G14" s="25" t="s">
        <v>31</v>
      </c>
      <c r="H14" s="38">
        <f>-IF(COUNTA($H$2:I$2)&lt;=1,SUM(QICB_CAP_CRG),SUMIF(QICB_SUBEN,H$6,QICB_CAP_CRG))</f>
        <v>0</v>
      </c>
    </row>
    <row r="15" spans="1:8" s="0" customFormat="0" ht="15">
      <c r="A15" s="80"/>
      <c r="B15" s="86" t="s">
        <v>81</v>
      </c>
      <c r="D15" s="24"/>
      <c r="E15" s="186"/>
      <c r="F15" s="27"/>
      <c r="G15" s="25" t="s">
        <v>33</v>
      </c>
      <c r="H15" s="38">
        <f>-IF(COUNTA($H$2:I$2)&lt;=1,SUM(QICB_LACTP_UL),SUMIF(QICB_SUBEN,H$6,QICB_LACTP_UL))</f>
        <v>0</v>
      </c>
    </row>
    <row r="16" spans="1:8" s="0" customFormat="0" ht="15">
      <c r="A16" s="80"/>
      <c r="B16" s="86" t="s">
        <v>82</v>
      </c>
      <c r="D16" s="24"/>
      <c r="E16" s="187"/>
      <c r="F16" s="27"/>
      <c r="G16" s="25" t="s">
        <v>35</v>
      </c>
      <c r="H16" s="38">
        <f>-IF(COUNTA($H$2:I$2)&lt;=1,SUM(QICB_LACTP),SUMIF(QICB_SUBEN,H$6,QICB_LACTP))</f>
        <v>0</v>
      </c>
    </row>
    <row r="17" spans="1:8" s="0" customFormat="0" ht="15">
      <c r="A17" s="80"/>
      <c r="B17" s="86" t="s">
        <v>83</v>
      </c>
      <c r="D17" s="23"/>
      <c r="E17" s="23" t="s">
        <v>68</v>
      </c>
      <c r="F17" s="23" t="s">
        <v>69</v>
      </c>
      <c r="G17" s="25" t="s">
        <v>70</v>
      </c>
      <c r="H17" s="38">
        <f>IF(COUNTA($H$2:I$2)&lt;=1,SUM(QIB_MV),SUMIF(QIB_SUBEN,H$6,QIB_MV))</f>
        <v>0</v>
      </c>
    </row>
    <row r="18" spans="1:8" s="0" customFormat="0" ht="15">
      <c r="A18" s="80"/>
      <c r="B18" s="86" t="s">
        <v>84</v>
      </c>
      <c r="D18" s="24"/>
      <c r="E18" s="186" t="s">
        <v>85</v>
      </c>
      <c r="F18" s="25"/>
      <c r="G18" s="25" t="s">
        <v>72</v>
      </c>
      <c r="H18" s="84">
        <f>-IF(AND(H20=0,H21=0),0,IF(COUNTA($H$2:I$2)&lt;=1,SUMPRODUCT(LIB_VAL,LIB_QIB),SUMPRODUCT((LIB_SUBEN=H$6)*((LIB_VAL)*(LIB_QIB)))))</f>
        <v>0</v>
      </c>
    </row>
    <row r="19" spans="1:8" s="0" customFormat="0" ht="15">
      <c r="A19" s="80"/>
      <c r="B19" s="86" t="s">
        <v>86</v>
      </c>
      <c r="D19" s="24"/>
      <c r="E19" s="186"/>
      <c r="F19" s="27" t="s">
        <v>74</v>
      </c>
      <c r="G19" s="25" t="s">
        <v>31</v>
      </c>
      <c r="H19" s="38">
        <f>IF('CVAR Adjustments'!F9&lt;&gt;"",'CVAR Adjustments'!F9,-IF(COUNTA($H$2:I$2)&lt;=1,SUM(QIB_CAP_CRG),SUMIF(QIB_SUBEN,H$6,QIB_CAP_CRG)))</f>
        <v>0</v>
      </c>
    </row>
    <row r="20" spans="1:8" s="0" customFormat="0" ht="15">
      <c r="A20" s="80"/>
      <c r="B20" s="86" t="s">
        <v>87</v>
      </c>
      <c r="D20" s="24"/>
      <c r="E20" s="186"/>
      <c r="F20" s="27"/>
      <c r="G20" s="25" t="s">
        <v>33</v>
      </c>
      <c r="H20" s="38">
        <f>IF('CVAR Adjustments'!F10&lt;&gt;"",'CVAR Adjustments'!F10,-IF(COUNTA($H$2:I$2)&lt;=1,SUM(QIB_LACTP_UL),SUMIF(QIB_SUBEN,H$6,QIB_LACTP_UL)))</f>
        <v>0</v>
      </c>
    </row>
    <row r="21" spans="1:8" s="0" customFormat="0" ht="15">
      <c r="A21" s="80"/>
      <c r="B21" s="86" t="s">
        <v>88</v>
      </c>
      <c r="D21" s="24"/>
      <c r="E21" s="187"/>
      <c r="F21" s="27"/>
      <c r="G21" s="25" t="s">
        <v>35</v>
      </c>
      <c r="H21" s="38">
        <f>IF('CVAR Adjustments'!F11&lt;&gt;"",'CVAR Adjustments'!F11,-IF(COUNTA($H$2:I$2)&lt;=1,SUM(QIB_LACTP),SUMIF(QIB_SUBEN,H$6,QIB_LACTP)))</f>
        <v>0</v>
      </c>
    </row>
    <row r="22" spans="1:8" s="0" customFormat="0" ht="15">
      <c r="A22" s="80"/>
      <c r="B22" s="86" t="s">
        <v>89</v>
      </c>
      <c r="D22" s="23"/>
      <c r="E22" s="23" t="s">
        <v>68</v>
      </c>
      <c r="F22" s="23" t="s">
        <v>69</v>
      </c>
      <c r="G22" s="25" t="s">
        <v>70</v>
      </c>
      <c r="H22" s="38">
        <f>IF(COUNTA($H$2:I$2)&lt;=1,SUM(OB_MV)+SUM(CB_MV)+SUM(NEEA_MV)+SUM(EEA_MV)+SUM(SUP_MV)+SUM(LOC_MV),SUMIF(OB_SUBEN,H$6,OB_MV)+SUMIF(CB_SUBEN,H$6,CB_MV)+SUMIF(NEEA_SUBEN,H$6,NEEA_MV)+SUMIF(EEA_SUBEN,H$6,EEA_MV)+SUMIF(SUP_SUBEN,H$6,SUP_MV)+SUMIF(LOC_SUBEN,H$6,LOC_MV))</f>
        <v>246297857.55273576</v>
      </c>
    </row>
    <row r="23" spans="1:8" s="0" customFormat="0" ht="15">
      <c r="A23" s="80"/>
      <c r="B23" s="86" t="s">
        <v>90</v>
      </c>
      <c r="D23" s="24"/>
      <c r="E23" s="186" t="s">
        <v>91</v>
      </c>
      <c r="F23" s="25"/>
      <c r="G23" s="25" t="s">
        <v>72</v>
      </c>
      <c r="H23" s="84">
        <f>-IF(AND(H25=0,H26=0),0,IF(COUNTA($H$2:I$2)&lt;=1,SUMPRODUCT(LIB_VAL,LIB_QIBOth),SUMPRODUCT((LIB_SUBEN=H$6)*(LIB_VAL)*(LIB_QIBOth))))</f>
        <v>0</v>
      </c>
    </row>
    <row r="24" spans="1:8" s="0" customFormat="0" ht="15">
      <c r="A24" s="80"/>
      <c r="B24" s="86" t="s">
        <v>92</v>
      </c>
      <c r="D24" s="24"/>
      <c r="E24" s="186"/>
      <c r="F24" s="27" t="s">
        <v>74</v>
      </c>
      <c r="G24" s="25" t="s">
        <v>31</v>
      </c>
      <c r="H24" s="38">
        <f>IF('CVAR Adjustments'!F12&lt;&gt;"",'CVAR Adjustments'!F12,-IF(COUNTA($H$2:I$2)&lt;=1,SUM(OB_CAP_CRG)+SUM(CB_CAP_CRG)+SUM(NEEA_CAP_CRG)+SUM(EEA_CAP_CRG)+SUM(SUP_CAP_CRG)+SUM(LOC_CAP_CRG),SUMIF(OB_SUBEN,H$6,OB_CAP_CRG)+SUMIF(CB_SUBEN,H$6,CB_CAP_CRG)+SUMIF(NEEA_SUBEN,H$6,NEEA_CAP_CRG)+SUMIF(EEA_SUBEN,H$6,EEA_CAP_CRG)+SUMIF(SUP_SUBEN,H$6,SUP_CAP_CRG)+SUMIF(LOC_SUBEN,H$6,LOC_CAP_CRG)))</f>
        <v>-12881443.72413583</v>
      </c>
    </row>
    <row r="25" spans="1:8" s="0" customFormat="0" ht="15">
      <c r="A25" s="80"/>
      <c r="B25" s="86" t="s">
        <v>93</v>
      </c>
      <c r="D25" s="24"/>
      <c r="E25" s="186"/>
      <c r="F25" s="27"/>
      <c r="G25" s="25" t="s">
        <v>33</v>
      </c>
      <c r="H25" s="38">
        <f>IF('CVAR Adjustments'!F13&lt;&gt;"",'CVAR Adjustments'!F13,-IF(COUNTA($H$2:I$2)&lt;=1,SUM(OB_LACTP_UL)+SUM(CB_LACTP_UL)+SUM(NEEA_LACTP_UL)+SUM(EEA_LACTP_UL)+SUM(SUP_LACTP_UL)+SUM(LOC_LACTP_UL),SUMIF(OB_SUBEN,H$6,OB_LACTP_UL)+SUMIF(CB_SUBEN,H$6,CB_LACTP_UL)+SUMIF(NEEA_SUBEN,H$6,NEEA_LACTP_UL)+SUMIF(EEA_SUBEN,H$6,EEA_LACTP_UL)+SUMIF(SUP_SUBEN,H$6,SUP_LACTP_UL)+SUMIF(LOC_SUBEN,H$6,LOC_LACTP_UL)))</f>
        <v>0</v>
      </c>
    </row>
    <row r="26" spans="1:8" s="0" customFormat="0" ht="15">
      <c r="A26" s="80"/>
      <c r="B26" s="86" t="s">
        <v>94</v>
      </c>
      <c r="D26" s="24"/>
      <c r="E26" s="187"/>
      <c r="F26" s="27"/>
      <c r="G26" s="25" t="s">
        <v>35</v>
      </c>
      <c r="H26" s="38">
        <f>IF('CVAR Adjustments'!F14&lt;&gt;"",'CVAR Adjustments'!F14,-IF(COUNTA($H$2:I$2)&lt;=1,SUM(OB_LACTP)+SUM(CB_LACTP)+SUM(NEEA_LACTP)+SUM(EEA_LACTP)+SUM(SUP_LACTP)+SUM(LOC_LACTP),SUMIF(OB_SUBEN,H$6,OB_LACTP)+SUMIF(CB_SUBEN,H$6,CB_LACTP)+SUMIF(NEEA_SUBEN,H$6,NEEA_LACTP)+SUMIF(EEA_SUBEN,H$6,EEA_LACTP)+SUMIF(SUP_SUBEN,H$6,SUP_LACTP)+SUMIF(LOC_SUBEN,H$6,LOC_LACTP)))</f>
        <v>-671473.97880483616</v>
      </c>
    </row>
    <row r="27" spans="1:8" s="0" customFormat="0" ht="15">
      <c r="A27" s="80"/>
      <c r="B27" s="86" t="s">
        <v>95</v>
      </c>
      <c r="D27" s="23"/>
      <c r="E27" s="23" t="s">
        <v>96</v>
      </c>
      <c r="F27" s="23" t="s">
        <v>69</v>
      </c>
      <c r="G27" s="25" t="s">
        <v>70</v>
      </c>
      <c r="H27" s="38">
        <f>H52+H47+H42+H32+H37</f>
        <v>3348855.6539814424</v>
      </c>
    </row>
    <row r="28" spans="1:8" s="0" customFormat="0" ht="15">
      <c r="A28" s="80"/>
      <c r="B28" s="86" t="s">
        <v>97</v>
      </c>
      <c r="D28" s="24"/>
      <c r="E28" s="24"/>
      <c r="F28" s="25"/>
      <c r="G28" s="25" t="s">
        <v>72</v>
      </c>
      <c r="H28" s="84">
        <f>-IF(AND(H30=0,H31=0),0,IF(COUNTA($H$2:I$2)&lt;=1,SUMPRODUCT(LIB_VAL,LIB_SP),SUMPRODUCT((LIB_SUBEN=H$6)*(LIB_VAL)*(LIB_SP))))</f>
        <v>0</v>
      </c>
    </row>
    <row r="29" spans="1:8" s="0" customFormat="0" ht="15">
      <c r="A29" s="80"/>
      <c r="B29" s="86" t="s">
        <v>98</v>
      </c>
      <c r="D29" s="24"/>
      <c r="E29" s="26"/>
      <c r="F29" s="27" t="s">
        <v>74</v>
      </c>
      <c r="G29" s="25" t="s">
        <v>31</v>
      </c>
      <c r="H29" s="38">
        <f>IF('CVAR Adjustments'!F15&lt;&gt;"",'CVAR Adjustments'!F15,H54+H49+H44+H34+H39)</f>
        <v>-2882469.6841400708</v>
      </c>
    </row>
    <row r="30" spans="1:8" s="0" customFormat="0" ht="15">
      <c r="A30" s="80"/>
      <c r="B30" s="86" t="s">
        <v>99</v>
      </c>
      <c r="D30" s="24"/>
      <c r="E30" s="26"/>
      <c r="F30" s="27"/>
      <c r="G30" s="25" t="s">
        <v>33</v>
      </c>
      <c r="H30" s="38">
        <f>IF('CVAR Adjustments'!F16&lt;&gt;"",'CVAR Adjustments'!F16,H55+H50+H45+H40+H35)</f>
        <v>0</v>
      </c>
    </row>
    <row r="31" spans="1:8" s="0" customFormat="0" ht="15">
      <c r="A31" s="80"/>
      <c r="B31" s="86" t="s">
        <v>100</v>
      </c>
      <c r="D31" s="24"/>
      <c r="E31" s="26"/>
      <c r="F31" s="27"/>
      <c r="G31" s="25" t="s">
        <v>35</v>
      </c>
      <c r="H31" s="38">
        <f>IF('CVAR Adjustments'!F17&lt;&gt;"",'CVAR Adjustments'!F17,H56+H51+H36+H46+H41)</f>
        <v>-157891.03846631268</v>
      </c>
    </row>
    <row r="32" spans="1:8" s="0" customFormat="0" ht="15">
      <c r="A32" s="80"/>
      <c r="B32" s="86" t="s">
        <v>101</v>
      </c>
      <c r="D32" s="23"/>
      <c r="E32" s="23" t="s">
        <v>102</v>
      </c>
      <c r="F32" s="23" t="s">
        <v>69</v>
      </c>
      <c r="G32" s="25" t="s">
        <v>70</v>
      </c>
      <c r="H32" s="38">
        <f>IF(COUNTA($H$2:I$2)&lt;=1,SUMPRODUCT((STS_CATEGORY=MappingTables!$C$12)*(STS_MV)),SUMPRODUCT((STS_SUBEN=H$6)*(STS_CATEGORY=MappingTables!$C$12)*(STS_MV)))</f>
        <v>0</v>
      </c>
    </row>
    <row r="33" spans="1:8" s="0" customFormat="0" ht="15">
      <c r="A33" s="80"/>
      <c r="B33" s="86" t="s">
        <v>103</v>
      </c>
      <c r="D33" s="24"/>
      <c r="E33" s="24"/>
      <c r="F33" s="25"/>
      <c r="G33" s="25" t="s">
        <v>72</v>
      </c>
      <c r="H33" s="84">
        <f>-IF(AND(H35=0,H36=0),0,IF(COUNTA($H$2:I$2)&lt;=1,SUMPRODUCT(LIB_VAL,LIB_Senior_STS),SUMPRODUCT((LIB_SUBEN=H$6)*(LIB_VAL)*(LIB_Senior_STS))))</f>
        <v>0</v>
      </c>
    </row>
    <row r="34" spans="1:8" s="0" customFormat="0" ht="15">
      <c r="A34" s="80"/>
      <c r="B34" s="86" t="s">
        <v>104</v>
      </c>
      <c r="D34" s="24"/>
      <c r="E34" s="26"/>
      <c r="F34" s="27" t="s">
        <v>74</v>
      </c>
      <c r="G34" s="25" t="s">
        <v>31</v>
      </c>
      <c r="H34" s="38">
        <f>-IF(COUNTA($H$2:I$2)&lt;=1,SUMPRODUCT((STS_CATEGORY=MappingTables!$C$12)*(STS_CAP_CRG)),SUMPRODUCT((STS_SUBEN=H$6)*(STS_CATEGORY=MappingTables!$C$12)*(STS_CAP_CRG)))</f>
        <v>0</v>
      </c>
    </row>
    <row r="35" spans="1:8" s="0" customFormat="0" ht="15">
      <c r="A35" s="80"/>
      <c r="B35" s="86" t="s">
        <v>105</v>
      </c>
      <c r="D35" s="24"/>
      <c r="E35" s="26"/>
      <c r="F35" s="27"/>
      <c r="G35" s="25" t="s">
        <v>33</v>
      </c>
      <c r="H35" s="38">
        <f>-IF(COUNTA($H$2:I$2)&lt;=1,SUMPRODUCT((STS_CATEGORY=MappingTables!$C$12)*(STS_LACTP_UL)),SUMPRODUCT((STS_SUBEN=H$6)*(STS_CATEGORY=MappingTables!$C$12)*(STS_LACTP_UL)))</f>
        <v>0</v>
      </c>
    </row>
    <row r="36" spans="1:8" s="0" customFormat="0" ht="15">
      <c r="A36" s="80"/>
      <c r="B36" s="86" t="s">
        <v>106</v>
      </c>
      <c r="D36" s="24"/>
      <c r="E36" s="26"/>
      <c r="F36" s="27"/>
      <c r="G36" s="25" t="s">
        <v>35</v>
      </c>
      <c r="H36" s="38">
        <f>-IF(COUNTA($H$2:I$2)&lt;=1,SUMPRODUCT((STS_CATEGORY=MappingTables!$C$12)*(STS_LACTP)),SUMPRODUCT((STS_SUBEN=H$6)*(STS_CATEGORY=MappingTables!$C$12)*(STS_LACTP)))</f>
        <v>0</v>
      </c>
    </row>
    <row r="37" spans="1:8" s="0" customFormat="0" ht="15">
      <c r="A37" s="80"/>
      <c r="B37" s="86" t="s">
        <v>107</v>
      </c>
      <c r="D37" s="23"/>
      <c r="E37" s="23" t="s">
        <v>108</v>
      </c>
      <c r="F37" s="23" t="s">
        <v>69</v>
      </c>
      <c r="G37" s="25" t="s">
        <v>70</v>
      </c>
      <c r="H37" s="38">
        <f>IF(COUNTA($H$2:I$2)&lt;=1,SUMPRODUCT((STS_CATEGORY=MappingTables!$C$13)*(STS_MV)),SUMPRODUCT((STS_SUBEN=H$6)*(STS_CATEGORY=MappingTables!$C$13)*(STS_MV)))</f>
        <v>0</v>
      </c>
    </row>
    <row r="38" spans="1:8" s="0" customFormat="0" ht="15">
      <c r="A38" s="80"/>
      <c r="B38" s="86" t="s">
        <v>109</v>
      </c>
      <c r="D38" s="24"/>
      <c r="E38" s="24"/>
      <c r="F38" s="25"/>
      <c r="G38" s="25" t="s">
        <v>72</v>
      </c>
      <c r="H38" s="84">
        <f>-IF(AND(H40=0,H41=0),0,IF(COUNTA($H$2:I$2)&lt;=1,SUMPRODUCT(LIB_VAL,LIB_NonSenior_STS),SUMPRODUCT((LIB_SUBEN=H$6)*(LIB_VAL)*(LIB_NonSenior_STS))))</f>
        <v>0</v>
      </c>
    </row>
    <row r="39" spans="1:8" s="0" customFormat="0" ht="15">
      <c r="A39" s="80"/>
      <c r="B39" s="86" t="s">
        <v>110</v>
      </c>
      <c r="D39" s="24"/>
      <c r="E39" s="26"/>
      <c r="F39" s="27" t="s">
        <v>74</v>
      </c>
      <c r="G39" s="25" t="s">
        <v>31</v>
      </c>
      <c r="H39" s="38">
        <f>-IF(COUNTA($H$2:I$2)&lt;=1,SUMPRODUCT((STS_CATEGORY=MappingTables!$C$13)*(STS_CAP_CRG)),SUMPRODUCT((STS_SUBEN=H$6)*(STS_CATEGORY=MappingTables!$C$13)*(STS_CAP_CRG)))</f>
        <v>0</v>
      </c>
    </row>
    <row r="40" spans="1:8" s="0" customFormat="0" ht="15">
      <c r="A40" s="80"/>
      <c r="B40" s="86" t="s">
        <v>111</v>
      </c>
      <c r="D40" s="24"/>
      <c r="E40" s="26"/>
      <c r="F40" s="27"/>
      <c r="G40" s="25" t="s">
        <v>33</v>
      </c>
      <c r="H40" s="38">
        <f>-IF(COUNTA($H$2:I$2)&lt;=1,SUMPRODUCT((STS_CATEGORY=MappingTables!$C$13)*(STS_LACTP_UL)),SUMPRODUCT((STS_SUBEN=H$6)*(STS_CATEGORY=MappingTables!$C$13)*(STS_LACTP_UL)))</f>
        <v>0</v>
      </c>
    </row>
    <row r="41" spans="1:8" s="0" customFormat="0" ht="15">
      <c r="A41" s="80"/>
      <c r="B41" s="86" t="s">
        <v>112</v>
      </c>
      <c r="D41" s="24"/>
      <c r="E41" s="26"/>
      <c r="F41" s="27"/>
      <c r="G41" s="25" t="s">
        <v>35</v>
      </c>
      <c r="H41" s="38">
        <f>-IF(COUNTA($H$2:I$2)&lt;=1,SUMPRODUCT((STS_CATEGORY=MappingTables!$C$13)*(STS_LACTP)),SUMPRODUCT((STS_SUBEN=H$6)*(STS_CATEGORY=MappingTables!$C$13)*(STS_LACTP)))</f>
        <v>0</v>
      </c>
    </row>
    <row r="42" spans="1:8" s="0" customFormat="0" ht="15">
      <c r="A42" s="80"/>
      <c r="B42" s="86" t="s">
        <v>113</v>
      </c>
      <c r="D42" s="23"/>
      <c r="E42" s="23" t="s">
        <v>114</v>
      </c>
      <c r="F42" s="23" t="s">
        <v>69</v>
      </c>
      <c r="G42" s="25" t="s">
        <v>70</v>
      </c>
      <c r="H42" s="38">
        <f>IF(COUNTA($H$2:I$2)&lt;=1,SUMPRODUCT((SP_CATEGORY=MappingTables!$C$14)*(SP_MV)),SUMPRODUCT((SP_SUBEN=H$6)*(SP_CATEGORY=MappingTables!$C$14)*(SP_MV)))</f>
        <v>3308991.8567646072</v>
      </c>
    </row>
    <row r="43" spans="1:8" s="0" customFormat="0" ht="15">
      <c r="A43" s="80"/>
      <c r="B43" s="86" t="s">
        <v>115</v>
      </c>
      <c r="D43" s="24"/>
      <c r="E43" s="24"/>
      <c r="F43" s="25"/>
      <c r="G43" s="25" t="s">
        <v>72</v>
      </c>
      <c r="H43" s="84">
        <f>-IF(AND(H45=0,H46=0),0,IF(COUNTA($H$2:I$2)&lt;=1,SUMPRODUCT(LIB_VAL,LIB_OtherSec),SUMPRODUCT((LIB_SUBEN=H$6)*(LIB_VAL)*(LIB_OtherSec))))</f>
        <v>0</v>
      </c>
    </row>
    <row r="44" spans="1:8" s="0" customFormat="0" ht="15">
      <c r="A44" s="80"/>
      <c r="B44" s="86" t="s">
        <v>116</v>
      </c>
      <c r="D44" s="24"/>
      <c r="E44" s="26"/>
      <c r="F44" s="27" t="s">
        <v>74</v>
      </c>
      <c r="G44" s="25" t="s">
        <v>31</v>
      </c>
      <c r="H44" s="38">
        <f>-IF(COUNTA($H$2:I$2)&lt;=1,SUMPRODUCT((SP_CATEGORY=MappingTables!$C$14)*(SP_CAP_CRG)),SUMPRODUCT((SP_SUBEN=H$6)*(SP_CATEGORY=MappingTables!$C$14)*(SP_CAP_CRG)))</f>
        <v>-2881547.5044743396</v>
      </c>
    </row>
    <row r="45" spans="1:8" s="0" customFormat="0" ht="15">
      <c r="A45" s="80"/>
      <c r="B45" s="86" t="s">
        <v>117</v>
      </c>
      <c r="D45" s="24"/>
      <c r="E45" s="26"/>
      <c r="F45" s="27"/>
      <c r="G45" s="25" t="s">
        <v>33</v>
      </c>
      <c r="H45" s="38">
        <f>-IF(COUNTA($H$2:I$2)&lt;=1,SUMPRODUCT((SP_CATEGORY=MappingTables!$C$14)*(SP_LACTP_UL)),SUMPRODUCT((SP_SUBEN=H$6)*(SP_CATEGORY=MappingTables!$C$14)*(SP_LACTP_UL)))</f>
        <v>0</v>
      </c>
    </row>
    <row r="46" spans="1:8" s="0" customFormat="0" ht="15">
      <c r="A46" s="80"/>
      <c r="B46" s="86" t="s">
        <v>118</v>
      </c>
      <c r="D46" s="25"/>
      <c r="E46" s="28"/>
      <c r="F46" s="19"/>
      <c r="G46" s="25" t="s">
        <v>35</v>
      </c>
      <c r="H46" s="38">
        <f>-IF(COUNTA($H$2:I$2)&lt;=1,SUMPRODUCT((SP_CATEGORY=MappingTables!$C$14)*(SP_LACTP)),SUMPRODUCT((SP_SUBEN=H$6)*(SP_CATEGORY=MappingTables!$C$14)*(SP_LACTP)))</f>
        <v>-157840.5248717115</v>
      </c>
    </row>
    <row r="47" spans="1:8" s="0" customFormat="0" ht="15">
      <c r="A47" s="80"/>
      <c r="B47" s="86" t="s">
        <v>119</v>
      </c>
      <c r="D47" s="23"/>
      <c r="E47" s="23" t="s">
        <v>120</v>
      </c>
      <c r="F47" s="23" t="s">
        <v>69</v>
      </c>
      <c r="G47" s="25" t="s">
        <v>70</v>
      </c>
      <c r="H47" s="38">
        <f>IF(COUNTA($H$2:I$2)&lt;=1,SUMPRODUCT((SP_CATEGORY=MappingTables!$C$16)*(SP_MV)),SUMPRODUCT((SP_SUBEN=H$6)*(SP_CATEGORY=MappingTables!$C$16)*(SP_MV)))</f>
        <v>0</v>
      </c>
    </row>
    <row r="48" spans="1:8" s="0" customFormat="0" ht="15">
      <c r="A48" s="80"/>
      <c r="B48" s="86" t="s">
        <v>121</v>
      </c>
      <c r="D48" s="24"/>
      <c r="E48" s="24"/>
      <c r="F48" s="25"/>
      <c r="G48" s="25" t="s">
        <v>72</v>
      </c>
      <c r="H48" s="38">
        <f>-IF(AND(H50=0,H51=0),0,IF(COUNTA($H$2:I$2)&lt;=1,SUMPRODUCT(LIB_VAL,LIB_RES),SUMPRODUCT((LIB_SUBEN=H$6)*(LIB_VAL)*(LIB_RES))))</f>
        <v>0</v>
      </c>
    </row>
    <row r="49" spans="1:8" s="0" customFormat="0" ht="15">
      <c r="A49" s="80"/>
      <c r="B49" s="86" t="s">
        <v>122</v>
      </c>
      <c r="D49" s="24"/>
      <c r="E49" s="26"/>
      <c r="F49" s="27" t="s">
        <v>74</v>
      </c>
      <c r="G49" s="25" t="s">
        <v>31</v>
      </c>
      <c r="H49" s="38">
        <f>-IF(COUNTA($H$2:I$2)&lt;=1,SUMPRODUCT((SP_CATEGORY=MappingTables!$C$16)*(SP_CAP_CRG)),SUMPRODUCT((SP_SUBEN=H$6)*(SP_CATEGORY=MappingTables!$C$16)*(SP_CAP_CRG)))</f>
        <v>0</v>
      </c>
    </row>
    <row r="50" spans="1:8" s="0" customFormat="0" ht="15">
      <c r="A50" s="80"/>
      <c r="B50" s="86" t="s">
        <v>123</v>
      </c>
      <c r="D50" s="24"/>
      <c r="E50" s="26"/>
      <c r="F50" s="27"/>
      <c r="G50" s="25" t="s">
        <v>33</v>
      </c>
      <c r="H50" s="38">
        <f>-IF(COUNTA($H$2:I$2)&lt;=1,SUMPRODUCT((SP_CATEGORY=MappingTables!$C$16)*(SP_LACTP_UL)),SUMPRODUCT((SP_SUBEN=H$6)*(SP_CATEGORY=MappingTables!$C$16)*(SP_LACTP_UL)))</f>
        <v>0</v>
      </c>
    </row>
    <row r="51" spans="1:8" s="0" customFormat="0" ht="15">
      <c r="A51" s="80"/>
      <c r="B51" s="86" t="s">
        <v>124</v>
      </c>
      <c r="D51" s="25"/>
      <c r="E51" s="28"/>
      <c r="F51" s="19"/>
      <c r="G51" s="25" t="s">
        <v>35</v>
      </c>
      <c r="H51" s="38">
        <f>-IF(COUNTA($H$2:I$2)&lt;=1,SUMPRODUCT((SP_CATEGORY=MappingTables!$C$16)*(SP_LACTP)),SUMPRODUCT((SP_SUBEN=H$6)*(SP_CATEGORY=MappingTables!$C$16)*(SP_LACTP)))</f>
        <v>0</v>
      </c>
    </row>
    <row r="52" spans="1:8" s="0" customFormat="0" ht="15">
      <c r="A52" s="80"/>
      <c r="B52" s="86" t="s">
        <v>125</v>
      </c>
      <c r="D52" s="23"/>
      <c r="E52" s="23" t="s">
        <v>126</v>
      </c>
      <c r="F52" s="23" t="s">
        <v>69</v>
      </c>
      <c r="G52" s="158" t="s">
        <v>70</v>
      </c>
      <c r="H52" s="38">
        <f>IF(COUNTA($H$2:I$2)&lt;=1,SUMPRODUCT((STS_CATEGORY=MappingTables!$C$15)*(STS_MV)),SUMPRODUCT((STS_SUBEN=H$6)*(STS_CATEGORY=MappingTables!$C$15)*(STS_MV)))</f>
        <v>39863.797216835352</v>
      </c>
    </row>
    <row r="53" spans="1:8" s="0" customFormat="0" ht="15">
      <c r="A53" s="80"/>
      <c r="B53" s="86" t="s">
        <v>127</v>
      </c>
      <c r="D53" s="24"/>
      <c r="E53" s="24"/>
      <c r="F53" s="25"/>
      <c r="G53" s="25" t="s">
        <v>72</v>
      </c>
      <c r="H53" s="38">
        <f>-IF(AND(H55=0,H56=0),0,IF(COUNTA($H$2:I$2)&lt;=1,SUMPRODUCT(LIB_VAL,LIB_T1),SUMPRODUCT((LIB_SUBEN=H$6)*(LIB_VAL)*(LIB_T1))))</f>
        <v>0</v>
      </c>
    </row>
    <row r="54" spans="1:8" s="0" customFormat="0" ht="15">
      <c r="A54" s="80"/>
      <c r="B54" s="86" t="s">
        <v>128</v>
      </c>
      <c r="D54" s="24"/>
      <c r="E54" s="26"/>
      <c r="F54" s="27" t="s">
        <v>74</v>
      </c>
      <c r="G54" s="25" t="s">
        <v>31</v>
      </c>
      <c r="H54" s="38">
        <f>-IF(COUNTA($H$2:I$2)&lt;=1,SUMPRODUCT((STS_CATEGORY=MappingTables!$C$15)*(STS_CAP_CRG)),SUMPRODUCT((STS_SUBEN=H$6)*(STS_CATEGORY=MappingTables!$C$15)*(STS_CAP_CRG)))</f>
        <v>-922.17966573148992</v>
      </c>
    </row>
    <row r="55" spans="1:8" s="0" customFormat="0" ht="15">
      <c r="A55" s="80"/>
      <c r="B55" s="86" t="s">
        <v>129</v>
      </c>
      <c r="D55" s="24"/>
      <c r="E55" s="26"/>
      <c r="F55" s="27"/>
      <c r="G55" s="25" t="s">
        <v>33</v>
      </c>
      <c r="H55" s="38">
        <f>-IF(COUNTA($H$2:I$2)&lt;=1,SUMPRODUCT((STS_CATEGORY=MappingTables!$C$15)*(STS_LACTP_UL)),SUMPRODUCT((STS_SUBEN=H$6)*(STS_CATEGORY=MappingTables!$C$15)*(STS_LACTP_UL)))</f>
        <v>0</v>
      </c>
    </row>
    <row r="56" spans="1:8" s="0" customFormat="0" ht="15">
      <c r="A56" s="80"/>
      <c r="B56" s="86" t="s">
        <v>130</v>
      </c>
      <c r="D56" s="25"/>
      <c r="E56" s="28"/>
      <c r="F56" s="19"/>
      <c r="G56" s="25" t="s">
        <v>35</v>
      </c>
      <c r="H56" s="38">
        <f>-IF(COUNTA($H$2:I$2)&lt;=1,SUMPRODUCT((STS_CATEGORY=MappingTables!$C$15)*(STS_LACTP)),SUMPRODUCT((STS_SUBEN=H$6)*(STS_CATEGORY=MappingTables!$C$15)*(STS_LACTP)))</f>
        <v>-50.513594601186448</v>
      </c>
    </row>
    <row r="57" spans="8:8" s="0" customFormat="0" ht="15">
      <c r="H57" s="1"/>
    </row>
  </sheetData>
  <mergeCells count="3">
    <mergeCell ref="E13:E16"/>
    <mergeCell ref="E18:E21"/>
    <mergeCell ref="E23:E26"/>
  </mergeCells>
  <pageMargins left="0.75" right="0.75" top="1" bottom="1" header="0.5" footer="0.5"/>
  <headerFooter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/>
  <dimension ref="D2:AW105"/>
  <sheetViews>
    <sheetView showGridLines="0" workbookViewId="0">
      <selection activeCell="H17" sqref="H17"/>
    </sheetView>
  </sheetViews>
  <sheetFormatPr defaultColWidth="9.140625" defaultRowHeight="12.75" customHeight="0"/>
  <cols>
    <col min="1" max="3" width="3.28515625" style="1" customWidth="1"/>
    <col min="4" max="4" width="13.14453125" hidden="1" style="1" customWidth="1"/>
    <col min="5" max="5" width="17.4296875" style="1" customWidth="1"/>
    <col min="6" max="6" width="8" style="1" customWidth="1"/>
    <col min="7" max="7" width="15.7109375" style="1" customWidth="1"/>
    <col min="8" max="8" width="15.140625" style="1" customWidth="1"/>
    <col min="9" max="20" width="15.7109375" style="1" customWidth="1"/>
    <col min="21" max="21" width="5.42578125" style="1" customWidth="1"/>
    <col min="22" max="38" width="15.7109375" style="1" customWidth="1"/>
    <col min="39" max="39" width="3" style="1" customWidth="1"/>
    <col min="40" max="40" width="2.140625" style="1" customWidth="1"/>
    <col min="41" max="41" width="2.7109375" style="1" customWidth="1"/>
    <col min="42" max="42" width="17.5703125" style="1" customWidth="1"/>
    <col min="43" max="43" width="26.42578125" style="1" customWidth="1"/>
    <col min="44" max="44" width="17.42578125" style="1" customWidth="1"/>
    <col min="45" max="45" width="14.140625" style="1" customWidth="1"/>
    <col min="47" max="47" width="17.42578125" style="1" customWidth="1"/>
    <col min="48" max="48" width="14.140625" style="1" customWidth="1"/>
  </cols>
  <sheetData>
    <row r="1" s="0" customFormat="0" ht="15"/>
    <row r="2" spans="5:41" s="1" customFormat="1" ht="30" customHeight="1">
      <c r="E2" s="95" t="s">
        <v>1</v>
      </c>
      <c r="W2" s="7"/>
      <c r="AH2" s="17"/>
      <c r="AI2" s="17"/>
      <c r="AK2" s="17"/>
      <c r="AL2" s="17"/>
      <c r="AM2" s="17"/>
      <c r="AN2" s="17"/>
      <c r="AO2" s="17"/>
    </row>
    <row r="3" spans="5:12" s="1" customFormat="1" ht="15">
      <c r="E3" s="63" t="s">
        <v>131</v>
      </c>
      <c r="F3" s="64"/>
      <c r="G3" s="64"/>
      <c r="H3" s="64"/>
      <c r="I3" s="64"/>
      <c r="J3" s="64"/>
      <c r="K3" s="64"/>
      <c r="L3" s="65"/>
    </row>
    <row r="4" spans="5:12" s="1" customFormat="1" ht="15">
      <c r="E4" s="4"/>
      <c r="F4" s="5"/>
      <c r="G4" s="5"/>
      <c r="H4" s="5"/>
      <c r="I4" s="5"/>
      <c r="J4" s="5"/>
      <c r="K4" s="5"/>
      <c r="L4" s="6"/>
    </row>
    <row r="5" spans="4:12" s="1" customFormat="1" ht="30" customHeight="1">
      <c r="D5" s="1"/>
      <c r="E5" s="4"/>
      <c r="F5" s="5"/>
      <c r="G5" s="54" t="s">
        <v>132</v>
      </c>
      <c r="H5" s="40">
        <f>IF(ISERROR(K8),0,K8)+IF(ISERROR(S8),0,S8)</f>
        <v>15763913.408275976</v>
      </c>
      <c r="I5" s="5"/>
      <c r="J5" s="5"/>
      <c r="K5" s="5"/>
      <c r="L5" s="6"/>
    </row>
    <row r="6" spans="4:23" s="1" customFormat="1" ht="15">
      <c r="D6" s="1"/>
      <c r="E6" s="4"/>
      <c r="F6" s="5"/>
      <c r="G6" s="5"/>
      <c r="H6" s="5"/>
      <c r="I6" s="5"/>
      <c r="J6" s="5"/>
      <c r="K6" s="5"/>
      <c r="L6" s="6"/>
      <c r="S6" s="57"/>
      <c r="V6" s="19" t="s">
        <v>2</v>
      </c>
      <c r="W6" s="5"/>
    </row>
    <row r="7" spans="4:23" s="1" customFormat="1" ht="15">
      <c r="D7" s="1"/>
      <c r="E7" s="4"/>
      <c r="F7" s="5"/>
      <c r="G7" s="5"/>
      <c r="H7" s="5"/>
      <c r="I7" s="5"/>
      <c r="J7" s="5"/>
      <c r="K7" s="5"/>
      <c r="L7" s="6"/>
      <c r="S7" s="57"/>
      <c r="V7" s="59"/>
      <c r="W7" s="24" t="s">
        <v>5</v>
      </c>
    </row>
    <row r="8" spans="4:23" s="1" customFormat="1" ht="15">
      <c r="D8" s="1" t="s">
        <v>1</v>
      </c>
      <c r="E8" s="4"/>
      <c r="F8" s="5"/>
      <c r="G8" s="194" t="s">
        <v>133</v>
      </c>
      <c r="H8" s="195"/>
      <c r="I8" s="195"/>
      <c r="J8" s="196"/>
      <c r="K8" s="41">
        <f>SUM(I17:I24,I27:I34,I37:I44,I47:I54,I57:I64,I67:I74,I77:I84,I87:I94)</f>
        <v>12881443.724135898</v>
      </c>
      <c r="L8" s="6"/>
      <c r="N8" s="190" t="s">
        <v>134</v>
      </c>
      <c r="O8" s="191"/>
      <c r="P8" s="191"/>
      <c r="Q8" s="191"/>
      <c r="R8" s="192"/>
      <c r="S8" s="58">
        <f>SUM(I97:I104)</f>
        <v>2882469.6841400788</v>
      </c>
      <c r="V8" s="60"/>
      <c r="W8" s="24" t="s">
        <v>8</v>
      </c>
    </row>
    <row r="9" spans="4:23" s="1" customFormat="1" ht="15">
      <c r="D9" s="1" t="s">
        <v>1</v>
      </c>
      <c r="E9" s="4"/>
      <c r="F9" s="5"/>
      <c r="G9" s="197" t="s">
        <v>135</v>
      </c>
      <c r="H9" s="198"/>
      <c r="I9" s="198"/>
      <c r="J9" s="199"/>
      <c r="K9" s="39">
        <f>SUM(K17:K24,K27:K34,K37:K44,K47:K54,K57:K64,K67:K74,K77:K84,K87:K94)</f>
        <v>671473.97880483176</v>
      </c>
      <c r="L9" s="6"/>
      <c r="N9" s="188" t="s">
        <v>135</v>
      </c>
      <c r="O9" s="189"/>
      <c r="P9" s="189"/>
      <c r="Q9" s="189"/>
      <c r="R9" s="189"/>
      <c r="S9" s="45">
        <f>SUM(K97:K104)</f>
        <v>157891.03846631242</v>
      </c>
      <c r="V9" s="61"/>
      <c r="W9" s="24" t="s">
        <v>11</v>
      </c>
    </row>
    <row r="10" spans="4:23" s="1" customFormat="1" ht="15">
      <c r="D10" s="1" t="s">
        <v>1</v>
      </c>
      <c r="E10" s="4"/>
      <c r="F10" s="5"/>
      <c r="G10" s="188" t="s">
        <v>136</v>
      </c>
      <c r="H10" s="189"/>
      <c r="I10" s="189"/>
      <c r="J10" s="193"/>
      <c r="K10" s="42">
        <f>K8-K9</f>
        <v>12209969.745331066</v>
      </c>
      <c r="L10" s="6"/>
      <c r="N10" s="188" t="s">
        <v>137</v>
      </c>
      <c r="O10" s="189"/>
      <c r="P10" s="189"/>
      <c r="Q10" s="189"/>
      <c r="R10" s="189"/>
      <c r="S10" s="45">
        <f>S8-S9</f>
        <v>2724578.6456737664</v>
      </c>
      <c r="V10" s="62"/>
      <c r="W10" s="24" t="s">
        <v>14</v>
      </c>
    </row>
    <row r="11" spans="4:19" s="1" customFormat="1" ht="15">
      <c r="D11" s="1" t="s">
        <v>1</v>
      </c>
      <c r="E11" s="4"/>
      <c r="F11" s="5"/>
      <c r="G11" s="5"/>
      <c r="H11" s="5"/>
      <c r="I11" s="5"/>
      <c r="J11" s="5"/>
      <c r="K11" s="5"/>
      <c r="L11" s="6"/>
      <c r="S11" s="57"/>
    </row>
    <row r="12" spans="4:19" s="1" customFormat="1" ht="15">
      <c r="D12" s="1" t="s">
        <v>1</v>
      </c>
      <c r="E12" s="4"/>
      <c r="F12" s="5"/>
      <c r="G12" s="194" t="s">
        <v>138</v>
      </c>
      <c r="H12" s="195"/>
      <c r="I12" s="195"/>
      <c r="J12" s="196"/>
      <c r="K12" s="43">
        <f>SUM(J17:J24,J27:J34,J37:J44,J47:J54,J57:J64,J67:J74,J77:J84,J87:J94)</f>
        <v>0</v>
      </c>
      <c r="L12" s="6"/>
      <c r="N12" s="190" t="s">
        <v>139</v>
      </c>
      <c r="O12" s="191"/>
      <c r="P12" s="191"/>
      <c r="Q12" s="191"/>
      <c r="R12" s="192"/>
      <c r="S12" s="58">
        <f>SUM(J97:J104)</f>
        <v>0</v>
      </c>
    </row>
    <row r="13" spans="4:19" s="1" customFormat="1" ht="15">
      <c r="D13" s="1" t="s">
        <v>1</v>
      </c>
      <c r="E13" s="4"/>
      <c r="F13" s="5"/>
      <c r="G13" s="188" t="s">
        <v>140</v>
      </c>
      <c r="H13" s="189"/>
      <c r="I13" s="189"/>
      <c r="J13" s="193"/>
      <c r="K13" s="44">
        <f>SUM(L17:L24,L27:L34,L37:L44,L47:L54,L57:L64,L67:L74,L77:L84,L87:L94)</f>
        <v>0</v>
      </c>
      <c r="L13" s="6"/>
      <c r="N13" s="188" t="s">
        <v>140</v>
      </c>
      <c r="O13" s="189"/>
      <c r="P13" s="189"/>
      <c r="Q13" s="189"/>
      <c r="R13" s="189"/>
      <c r="S13" s="45">
        <f>SUM(L97:L104)</f>
        <v>0</v>
      </c>
    </row>
    <row r="14" spans="4:19" s="1" customFormat="1" ht="15">
      <c r="D14" s="1" t="s">
        <v>1</v>
      </c>
      <c r="E14" s="4"/>
      <c r="F14" s="5"/>
      <c r="G14" s="5"/>
      <c r="H14" s="5"/>
      <c r="I14" s="5"/>
      <c r="J14" s="5"/>
      <c r="K14" s="5"/>
      <c r="L14" s="6"/>
      <c r="S14" s="57"/>
    </row>
    <row r="15" spans="4:19" s="1" customFormat="1" ht="15">
      <c r="D15" s="1" t="s">
        <v>1</v>
      </c>
      <c r="E15" s="4"/>
      <c r="F15" s="5"/>
      <c r="G15" s="5"/>
      <c r="H15" s="5"/>
      <c r="I15" s="5"/>
      <c r="J15" s="5"/>
      <c r="K15" s="5"/>
      <c r="L15" s="6"/>
      <c r="S15" s="57"/>
    </row>
    <row r="16" spans="4:12" s="1" customFormat="1" ht="44.25" customHeight="1">
      <c r="D16" s="1" t="s">
        <v>1</v>
      </c>
      <c r="E16" s="4"/>
      <c r="F16" s="5"/>
      <c r="G16" s="52" t="s">
        <v>141</v>
      </c>
      <c r="H16" s="53" t="s">
        <v>142</v>
      </c>
      <c r="I16" s="53" t="s">
        <v>143</v>
      </c>
      <c r="J16" s="53" t="s">
        <v>144</v>
      </c>
      <c r="K16" s="53" t="s">
        <v>145</v>
      </c>
      <c r="L16" s="53" t="s">
        <v>144</v>
      </c>
    </row>
    <row r="17" spans="4:13" s="1" customFormat="1" ht="15">
      <c r="D17" s="1" t="s">
        <v>1</v>
      </c>
      <c r="E17" s="4"/>
      <c r="F17" s="5"/>
      <c r="G17" s="4">
        <v>0</v>
      </c>
      <c r="H17" s="41">
        <f>IF(COUNTA(OB_SUBEN)=0,SUMPRODUCT((OB_CQS=$G17)*(OB_MV)),SUMPRODUCT((OB_SUBEN=$D17)*(OB_CQS=$G17)*(OB_MV)))</f>
        <v>267084.35218184652</v>
      </c>
      <c r="I17" s="67">
        <f>IF($H17=0,0,IF(COUNTA(OB_SUBEN)=0,SUMPRODUCT((OB_CQS=$G17)*(OB_CAP_CRG)),SUMPRODUCT((OB_SUBEN=$D17)*(OB_CQS=$G17)*(OB_CAP_CRG))))</f>
        <v>2538.72247347988</v>
      </c>
      <c r="J17" s="41">
        <f>IF($H17=0,0,IF(COUNTA(OB_SUBEN)=0,SUMPRODUCT((OB_CQS=$G17)*(OB_CAP_CRG_UL)),SUMPRODUCT((OB_SUBEN=$D17)*(OB_CQS=$G17)*(OB_CAP_CRG_UL))))</f>
        <v>0</v>
      </c>
      <c r="K17" s="67">
        <f>IF($H17=0,0,IF(COUNTA(OB_SUBEN)=0,SUMPRODUCT((OB_CQS=$G17)*(OB_LACTP)),SUMPRODUCT((OB_SUBEN=$D17)*(OB_CQS=$G17)*(OB_LACTP))))</f>
        <v>139.0618364248593</v>
      </c>
      <c r="L17" s="41">
        <f>IF($H17=0,0,IF(COUNTA(OB_SUBEN)=0,SUMPRODUCT((OB_CQS=$G17)*(OB_LACTP_UL)),SUMPRODUCT((OB_SUBEN=$D17)*(OB_CQS=$G17)*(OB_LACTP_UL))))</f>
        <v>0</v>
      </c>
      <c r="M17" s="1"/>
    </row>
    <row r="18" spans="4:13" s="1" customFormat="1" ht="15">
      <c r="D18" s="1" t="s">
        <v>1</v>
      </c>
      <c r="E18" s="4"/>
      <c r="F18" s="5"/>
      <c r="G18" s="4">
        <v>1</v>
      </c>
      <c r="H18" s="39">
        <f>IF(COUNTA(OB_SUBEN)=0,SUMPRODUCT((OB_CQS=$G18)*(OB_MV)),SUMPRODUCT((OB_SUBEN=$D18)*(OB_CQS=$G18)*(OB_MV)))</f>
        <v>11945767.569454762</v>
      </c>
      <c r="I18" s="68">
        <f>IF($H18=0,0,IF(COUNTA(OB_SUBEN)=0,SUMPRODUCT((OB_CQS=$G18)*(OB_CAP_CRG)),SUMPRODUCT((OB_SUBEN=$D18)*(OB_CQS=$G18)*(OB_CAP_CRG))))</f>
        <v>680071.04959703624</v>
      </c>
      <c r="J18" s="39">
        <f>IF($H18=0,0,IF(COUNTA(OB_SUBEN)=0,SUMPRODUCT((OB_CQS=$G18)*(OB_CAP_CRG_UL)),SUMPRODUCT((OB_SUBEN=$D18)*(OB_CQS=$G18)*(OB_CAP_CRG_UL))))</f>
        <v>0</v>
      </c>
      <c r="K18" s="68">
        <f>IF($H18=0,0,IF(COUNTA(OB_SUBEN)=0,SUMPRODUCT((OB_CQS=$G18)*(OB_LACTP)),SUMPRODUCT((OB_SUBEN=$D18)*(OB_CQS=$G18)*(OB_LACTP))))</f>
        <v>37251.77920953044</v>
      </c>
      <c r="L18" s="39">
        <f>IF($H18=0,0,IF(COUNTA(OB_SUBEN)=0,SUMPRODUCT((OB_CQS=$G18)*(OB_LACTP_UL)),SUMPRODUCT((OB_SUBEN=$D18)*(OB_CQS=$G18)*(OB_LACTP_UL))))</f>
        <v>0</v>
      </c>
      <c r="M18" s="1"/>
    </row>
    <row r="19" spans="4:13" s="1" customFormat="1" ht="15">
      <c r="D19" s="1" t="s">
        <v>1</v>
      </c>
      <c r="E19" s="4"/>
      <c r="F19" s="5"/>
      <c r="G19" s="4">
        <v>2</v>
      </c>
      <c r="H19" s="39">
        <f>IF(COUNTA(OB_SUBEN)=0,SUMPRODUCT((OB_CQS=$G19)*(OB_MV)),SUMPRODUCT((OB_SUBEN=$D19)*(OB_CQS=$G19)*(OB_MV)))</f>
        <v>36273955.328809072</v>
      </c>
      <c r="I19" s="68">
        <f>IF($H19=0,0,IF(COUNTA(OB_SUBEN)=0,SUMPRODUCT((OB_CQS=$G19)*(OB_CAP_CRG)),SUMPRODUCT((OB_SUBEN=$D19)*(OB_CQS=$G19)*(OB_CAP_CRG))))</f>
        <v>2669903.4448547676</v>
      </c>
      <c r="J19" s="39">
        <f>IF($H19=0,0,IF(COUNTA(OB_SUBEN)=0,SUMPRODUCT((OB_CQS=$G19)*(OB_CAP_CRG_UL)),SUMPRODUCT((OB_SUBEN=$D19)*(OB_CQS=$G19)*(OB_CAP_CRG_UL))))</f>
        <v>0</v>
      </c>
      <c r="K19" s="68">
        <f>IF($H19=0,0,IF(COUNTA(OB_SUBEN)=0,SUMPRODUCT((OB_CQS=$G19)*(OB_LACTP)),SUMPRODUCT((OB_SUBEN=$D19)*(OB_CQS=$G19)*(OB_LACTP))))</f>
        <v>219357.94313449536</v>
      </c>
      <c r="L19" s="39">
        <f>IF($H19=0,0,IF(COUNTA(OB_SUBEN)=0,SUMPRODUCT((OB_CQS=$G19)*(OB_LACTP_UL)),SUMPRODUCT((OB_SUBEN=$D19)*(OB_CQS=$G19)*(OB_LACTP_UL))))</f>
        <v>0</v>
      </c>
      <c r="M19" s="1"/>
    </row>
    <row r="20" spans="4:13" s="1" customFormat="1" ht="15">
      <c r="D20" s="1" t="s">
        <v>1</v>
      </c>
      <c r="E20" s="4"/>
      <c r="F20" s="5"/>
      <c r="G20" s="4">
        <v>3</v>
      </c>
      <c r="H20" s="39">
        <f>IF(COUNTA(OB_SUBEN)=0,SUMPRODUCT((OB_CQS=$G20)*(OB_MV)),SUMPRODUCT((OB_SUBEN=$D20)*(OB_CQS=$G20)*(OB_MV)))</f>
        <v>35560026.510873676</v>
      </c>
      <c r="I20" s="68">
        <f>IF($H20=0,0,IF(COUNTA(OB_SUBEN)=0,SUMPRODUCT((OB_CQS=$G20)*(OB_CAP_CRG)),SUMPRODUCT((OB_SUBEN=$D20)*(OB_CQS=$G20)*(OB_CAP_CRG))))</f>
        <v>3598620.3550921776</v>
      </c>
      <c r="J20" s="39">
        <f>IF($H20=0,0,IF(COUNTA(OB_SUBEN)=0,SUMPRODUCT((OB_CQS=$G20)*(OB_CAP_CRG_UL)),SUMPRODUCT((OB_SUBEN=$D20)*(OB_CQS=$G20)*(OB_CAP_CRG_UL))))</f>
        <v>0</v>
      </c>
      <c r="K20" s="68">
        <f>IF($H20=0,0,IF(COUNTA(OB_SUBEN)=0,SUMPRODUCT((OB_CQS=$G20)*(OB_LACTP)),SUMPRODUCT((OB_SUBEN=$D20)*(OB_CQS=$G20)*(OB_LACTP))))</f>
        <v>269638.55975176716</v>
      </c>
      <c r="L20" s="39">
        <f>IF($H20=0,0,IF(COUNTA(OB_SUBEN)=0,SUMPRODUCT((OB_CQS=$G20)*(OB_LACTP_UL)),SUMPRODUCT((OB_SUBEN=$D20)*(OB_CQS=$G20)*(OB_LACTP_UL))))</f>
        <v>0</v>
      </c>
      <c r="M20" s="1"/>
    </row>
    <row r="21" spans="4:13" s="1" customFormat="1" ht="29.25" customHeight="1">
      <c r="D21" s="1" t="s">
        <v>1</v>
      </c>
      <c r="E21" s="4"/>
      <c r="F21" s="5"/>
      <c r="G21" s="4">
        <v>4</v>
      </c>
      <c r="H21" s="39">
        <f>IF(COUNTA(OB_SUBEN)=0,SUMPRODUCT((OB_CQS=$G21)*(OB_MV)),SUMPRODUCT((OB_SUBEN=$D21)*(OB_CQS=$G21)*(OB_MV)))</f>
        <v>7302848.701548616</v>
      </c>
      <c r="I21" s="68">
        <f>IF($H21=0,0,IF(COUNTA(OB_SUBEN)=0,SUMPRODUCT((OB_CQS=$G21)*(OB_CAP_CRG)),SUMPRODUCT((OB_SUBEN=$D21)*(OB_CQS=$G21)*(OB_CAP_CRG))))</f>
        <v>1468407.3223709408</v>
      </c>
      <c r="J21" s="39">
        <f>IF($H21=0,0,IF(COUNTA(OB_SUBEN)=0,SUMPRODUCT((OB_CQS=$G21)*(OB_CAP_CRG_UL)),SUMPRODUCT((OB_SUBEN=$D21)*(OB_CQS=$G21)*(OB_CAP_CRG_UL))))</f>
        <v>0</v>
      </c>
      <c r="K21" s="68">
        <f>IF($H21=0,0,IF(COUNTA(OB_SUBEN)=0,SUMPRODUCT((OB_CQS=$G21)*(OB_LACTP)),SUMPRODUCT((OB_SUBEN=$D21)*(OB_CQS=$G21)*(OB_LACTP))))</f>
        <v>80433.927300731264</v>
      </c>
      <c r="L21" s="39">
        <f>IF($H21=0,0,IF(COUNTA(OB_SUBEN)=0,SUMPRODUCT((OB_CQS=$G21)*(OB_LACTP_UL)),SUMPRODUCT((OB_SUBEN=$D21)*(OB_CQS=$G21)*(OB_LACTP_UL))))</f>
        <v>0</v>
      </c>
      <c r="M21" s="1"/>
    </row>
    <row r="22" spans="4:13" s="1" customFormat="1" ht="15">
      <c r="D22" s="1" t="s">
        <v>1</v>
      </c>
      <c r="E22" s="4"/>
      <c r="F22" s="5"/>
      <c r="G22" s="4">
        <v>5</v>
      </c>
      <c r="H22" s="39">
        <f>IF(COUNTA(OB_SUBEN)=0,SUMPRODUCT((OB_CQS=$G22)*(OB_MV)),SUMPRODUCT((OB_SUBEN=$D22)*(OB_CQS=$G22)*(OB_MV)))</f>
        <v>2420924.8476437888</v>
      </c>
      <c r="I22" s="68">
        <f>IF($H22=0,0,IF(COUNTA(OB_SUBEN)=0,SUMPRODUCT((OB_CQS=$G22)*(OB_CAP_CRG)),SUMPRODUCT((OB_SUBEN=$D22)*(OB_CQS=$G22)*(OB_CAP_CRG))))</f>
        <v>669178.1861962336</v>
      </c>
      <c r="J22" s="39">
        <f>IF($H22=0,0,IF(COUNTA(OB_SUBEN)=0,SUMPRODUCT((OB_CQS=$G22)*(OB_CAP_CRG_UL)),SUMPRODUCT((OB_SUBEN=$D22)*(OB_CQS=$G22)*(OB_CAP_CRG_UL))))</f>
        <v>0</v>
      </c>
      <c r="K22" s="68">
        <f>IF($H22=0,0,IF(COUNTA(OB_SUBEN)=0,SUMPRODUCT((OB_CQS=$G22)*(OB_LACTP)),SUMPRODUCT((OB_SUBEN=$D22)*(OB_CQS=$G22)*(OB_LACTP))))</f>
        <v>36655.108401963064</v>
      </c>
      <c r="L22" s="39">
        <f>IF($H22=0,0,IF(COUNTA(OB_SUBEN)=0,SUMPRODUCT((OB_CQS=$G22)*(OB_LACTP_UL)),SUMPRODUCT((OB_SUBEN=$D22)*(OB_CQS=$G22)*(OB_LACTP_UL))))</f>
        <v>0</v>
      </c>
      <c r="M22" s="1"/>
    </row>
    <row r="23" spans="4:13" s="1" customFormat="1" ht="15">
      <c r="D23" s="1" t="s">
        <v>1</v>
      </c>
      <c r="E23" s="4"/>
      <c r="F23" s="5"/>
      <c r="G23" s="4">
        <v>6</v>
      </c>
      <c r="H23" s="39">
        <f>IF(COUNTA(OB_SUBEN)=0,SUMPRODUCT((OB_CQS=$G23)*(OB_MV)),SUMPRODUCT((OB_SUBEN=$D23)*(OB_CQS=$G23)*(OB_MV)))</f>
        <v>867786.60137888688</v>
      </c>
      <c r="I23" s="68">
        <f>IF($H23=0,0,IF(COUNTA(OB_SUBEN)=0,SUMPRODUCT((OB_CQS=$G23)*(OB_CAP_CRG)),SUMPRODUCT((OB_SUBEN=$D23)*(OB_CQS=$G23)*(OB_CAP_CRG))))</f>
        <v>142368.40921483366</v>
      </c>
      <c r="J23" s="39">
        <f>IF($H23=0,0,IF(COUNTA(OB_SUBEN)=0,SUMPRODUCT((OB_CQS=$G23)*(OB_CAP_CRG_UL)),SUMPRODUCT((OB_SUBEN=$D23)*(OB_CQS=$G23)*(OB_CAP_CRG_UL))))</f>
        <v>0</v>
      </c>
      <c r="K23" s="68">
        <f>IF($H23=0,0,IF(COUNTA(OB_SUBEN)=0,SUMPRODUCT((OB_CQS=$G23)*(OB_LACTP)),SUMPRODUCT((OB_SUBEN=$D23)*(OB_CQS=$G23)*(OB_LACTP))))</f>
        <v>7798.4154003108016</v>
      </c>
      <c r="L23" s="39">
        <f>IF($H23=0,0,IF(COUNTA(OB_SUBEN)=0,SUMPRODUCT((OB_CQS=$G23)*(OB_LACTP_UL)),SUMPRODUCT((OB_SUBEN=$D23)*(OB_CQS=$G23)*(OB_LACTP_UL))))</f>
        <v>0</v>
      </c>
      <c r="M23" s="1"/>
    </row>
    <row r="24" spans="4:13" s="1" customFormat="1" ht="15">
      <c r="D24" s="1" t="s">
        <v>1</v>
      </c>
      <c r="E24" s="4"/>
      <c r="F24" s="5"/>
      <c r="G24" s="15" t="s">
        <v>146</v>
      </c>
      <c r="H24" s="42">
        <f>IF(COUNTA(OB_SUBEN)=0,SUMPRODUCT((OB_CQS=$G24)*(OB_MV)),SUMPRODUCT((OB_SUBEN=$D24)*(OB_CQS=$G24)*(OB_MV)))</f>
        <v>9505440.6740505712</v>
      </c>
      <c r="I24" s="46">
        <f>IF($H24=0,0,IF(COUNTA(OB_SUBEN)=0,SUMPRODUCT((OB_CQS=$G24)*(OB_CAP_CRG)),SUMPRODUCT((OB_SUBEN=$D24)*(OB_CQS=$G24)*(OB_CAP_CRG))))</f>
        <v>3555885.9022084712</v>
      </c>
      <c r="J24" s="42">
        <f>IF($H24=0,0,IF(COUNTA(OB_SUBEN)=0,SUMPRODUCT((OB_CQS=$G24)*(OB_CAP_CRG_UL)),SUMPRODUCT((OB_SUBEN=$D24)*(OB_CQS=$G24)*(OB_CAP_CRG_UL))))</f>
        <v>0</v>
      </c>
      <c r="K24" s="46">
        <f>IF($H24=0,0,IF(COUNTA(OB_SUBEN)=0,SUMPRODUCT((OB_CQS=$G24)*(OB_LACTP)),SUMPRODUCT((OB_SUBEN=$D24)*(OB_CQS=$G24)*(OB_LACTP))))</f>
        <v>7658.0123916456816</v>
      </c>
      <c r="L24" s="42">
        <f>IF($H24=0,0,IF(COUNTA(OB_SUBEN)=0,SUMPRODUCT((OB_CQS=$G24)*(OB_LACTP_UL)),SUMPRODUCT((OB_SUBEN=$D24)*(OB_CQS=$G24)*(OB_LACTP_UL))))</f>
        <v>0</v>
      </c>
      <c r="M24" s="1"/>
    </row>
    <row r="25" spans="4:12" s="1" customFormat="1" ht="15">
      <c r="D25" s="1" t="s">
        <v>1</v>
      </c>
      <c r="E25" s="4"/>
      <c r="F25" s="5"/>
      <c r="G25" s="5"/>
      <c r="H25" s="5"/>
      <c r="I25" s="5"/>
      <c r="J25" s="5"/>
      <c r="K25" s="5"/>
      <c r="L25" s="6"/>
    </row>
    <row r="26" spans="4:12" s="1" customFormat="1" ht="43.5">
      <c r="D26" s="1" t="s">
        <v>1</v>
      </c>
      <c r="E26" s="4"/>
      <c r="F26" s="5"/>
      <c r="G26" s="52" t="s">
        <v>147</v>
      </c>
      <c r="H26" s="53" t="s">
        <v>142</v>
      </c>
      <c r="I26" s="53" t="s">
        <v>143</v>
      </c>
      <c r="J26" s="53" t="s">
        <v>144</v>
      </c>
      <c r="K26" s="53" t="s">
        <v>145</v>
      </c>
      <c r="L26" s="53" t="s">
        <v>144</v>
      </c>
    </row>
    <row r="27" spans="4:13" s="1" customFormat="1" ht="15">
      <c r="D27" s="1" t="s">
        <v>1</v>
      </c>
      <c r="E27" s="4"/>
      <c r="F27" s="5"/>
      <c r="G27" s="4">
        <v>0</v>
      </c>
      <c r="H27" s="41">
        <f>IF(COUNTA(CB_SUBEN)=0,SUMPRODUCT((CB_CQS=$G27)*(CB_MV)),SUMPRODUCT((CB_SUBEN=$D27)*(CB_CQS=$G27)*(CB_MV)))</f>
        <v>1041243.3967010626</v>
      </c>
      <c r="I27" s="67">
        <f>IF($H27=0,0,IF(COUNTA(CB_SUBEN)=0,SUMPRODUCT((CB_CQS=$G27)*(CB_CAP_CRG)),SUMPRODUCT((CB_SUBEN=$D27)*(CB_CQS=$G27)*(CB_CAP_CRG))))</f>
        <v>7288.7475859702576</v>
      </c>
      <c r="J27" s="41">
        <f>IF($H27=0,0,IF(COUNTA(CB_SUBEN)=0,SUMPRODUCT((CB_CQS=$G27)*(CB_CAP_CRG_UL)),SUMPRODUCT((CB_SUBEN=$D27)*(CB_CQS=$G27)*(CB_CAP_CRG_UL))))</f>
        <v>0</v>
      </c>
      <c r="K27" s="67">
        <f>IF($H27=0,0,IF(COUNTA(CB_SUBEN)=0,SUMPRODUCT((CB_CQS=$G27)*(CB_LACTP)),SUMPRODUCT((CB_SUBEN=$D27)*(CB_CQS=$G27)*(CB_LACTP))))</f>
        <v>399.25066057060568</v>
      </c>
      <c r="L27" s="41">
        <f>IF($H27=0,0,IF(COUNTA(CB_SUBEN)=0,SUMPRODUCT((CB_CQS=$G27)*(CB_LACTP_UL)),SUMPRODUCT((CB_SUBEN=$D27)*(CB_CQS=$G27)*(CB_LACTP_UL))))</f>
        <v>0</v>
      </c>
      <c r="M27" s="1"/>
    </row>
    <row r="28" spans="4:13" s="1" customFormat="1" ht="15">
      <c r="D28" s="1" t="s">
        <v>1</v>
      </c>
      <c r="E28" s="4"/>
      <c r="F28" s="5"/>
      <c r="G28" s="4">
        <v>1</v>
      </c>
      <c r="H28" s="39">
        <f>IF(COUNTA(CB_SUBEN)=0,SUMPRODUCT((CB_CQS=$G28)*(CB_MV)),SUMPRODUCT((CB_SUBEN=$D28)*(CB_CQS=$G28)*(CB_MV)))</f>
        <v>1398878.2512107296</v>
      </c>
      <c r="I28" s="68">
        <f>IF($H28=0,0,IF(COUNTA(CB_SUBEN)=0,SUMPRODUCT((CB_CQS=$G28)*(CB_CAP_CRG)),SUMPRODUCT((CB_SUBEN=$D28)*(CB_CQS=$G28)*(CB_CAP_CRG))))</f>
        <v>85003.803544215776</v>
      </c>
      <c r="J28" s="39">
        <f>IF($H28=0,0,IF(COUNTA(CB_SUBEN)=0,SUMPRODUCT((CB_CQS=$G28)*(CB_CAP_CRG_UL)),SUMPRODUCT((CB_SUBEN=$D28)*(CB_CQS=$G28)*(CB_CAP_CRG_UL))))</f>
        <v>0</v>
      </c>
      <c r="K28" s="68">
        <f>IF($H28=0,0,IF(COUNTA(CB_SUBEN)=0,SUMPRODUCT((CB_CQS=$G28)*(CB_LACTP)),SUMPRODUCT((CB_SUBEN=$D28)*(CB_CQS=$G28)*(CB_LACTP))))</f>
        <v>12022.629921315098</v>
      </c>
      <c r="L28" s="39">
        <f>IF($H28=0,0,IF(COUNTA(CB_SUBEN)=0,SUMPRODUCT((CB_CQS=$G28)*(CB_LACTP_UL)),SUMPRODUCT((CB_SUBEN=$D28)*(CB_CQS=$G28)*(CB_LACTP_UL))))</f>
        <v>0</v>
      </c>
      <c r="M28" s="1"/>
    </row>
    <row r="29" spans="4:13" s="1" customFormat="1" ht="15">
      <c r="D29" s="1" t="s">
        <v>1</v>
      </c>
      <c r="E29" s="4"/>
      <c r="F29" s="5"/>
      <c r="G29" s="4">
        <v>2</v>
      </c>
      <c r="H29" s="39">
        <f>IF(COUNTA(CB_SUBEN)=0,SUMPRODUCT((CB_CQS=$G29)*(CB_MV)),SUMPRODUCT((CB_SUBEN=$D29)*(CB_CQS=$G29)*(CB_MV)))</f>
        <v>10274.654658646066</v>
      </c>
      <c r="I29" s="68">
        <f>IF($H29=0,0,IF(COUNTA(CB_SUBEN)=0,SUMPRODUCT((CB_CQS=$G29)*(CB_CAP_CRG)),SUMPRODUCT((CB_SUBEN=$D29)*(CB_CQS=$G29)*(CB_CAP_CRG))))</f>
        <v>153.49386769093878</v>
      </c>
      <c r="J29" s="39">
        <f>IF($H29=0,0,IF(COUNTA(CB_SUBEN)=0,SUMPRODUCT((CB_CQS=$G29)*(CB_CAP_CRG_UL)),SUMPRODUCT((CB_SUBEN=$D29)*(CB_CQS=$G29)*(CB_CAP_CRG_UL))))</f>
        <v>0</v>
      </c>
      <c r="K29" s="68">
        <f>IF($H29=0,0,IF(COUNTA(CB_SUBEN)=0,SUMPRODUCT((CB_CQS=$G29)*(CB_LACTP)),SUMPRODUCT((CB_SUBEN=$D29)*(CB_CQS=$G29)*(CB_LACTP))))</f>
        <v>8.407826906655968</v>
      </c>
      <c r="L29" s="39">
        <f>IF($H29=0,0,IF(COUNTA(CB_SUBEN)=0,SUMPRODUCT((CB_CQS=$G29)*(CB_LACTP_UL)),SUMPRODUCT((CB_SUBEN=$D29)*(CB_CQS=$G29)*(CB_LACTP_UL))))</f>
        <v>0</v>
      </c>
      <c r="M29" s="1"/>
    </row>
    <row r="30" spans="4:13" s="1" customFormat="1" ht="15">
      <c r="D30" s="1" t="s">
        <v>1</v>
      </c>
      <c r="E30" s="4"/>
      <c r="F30" s="5"/>
      <c r="G30" s="4">
        <v>3</v>
      </c>
      <c r="H30" s="39">
        <f>IF(COUNTA(CB_SUBEN)=0,SUMPRODUCT((CB_CQS=$G30)*(CB_MV)),SUMPRODUCT((CB_SUBEN=$D30)*(CB_CQS=$G30)*(CB_MV)))</f>
        <v>18412.54714419512</v>
      </c>
      <c r="I30" s="68">
        <f>IF($H30=0,0,IF(COUNTA(CB_SUBEN)=0,SUMPRODUCT((CB_CQS=$G30)*(CB_CAP_CRG)),SUMPRODUCT((CB_SUBEN=$D30)*(CB_CQS=$G30)*(CB_CAP_CRG))))</f>
        <v>460.313678604878</v>
      </c>
      <c r="J30" s="39">
        <f>IF($H30=0,0,IF(COUNTA(CB_SUBEN)=0,SUMPRODUCT((CB_CQS=$G30)*(CB_CAP_CRG_UL)),SUMPRODUCT((CB_SUBEN=$D30)*(CB_CQS=$G30)*(CB_CAP_CRG_UL))))</f>
        <v>0</v>
      </c>
      <c r="K30" s="68">
        <f>IF($H30=0,0,IF(COUNTA(CB_SUBEN)=0,SUMPRODUCT((CB_CQS=$G30)*(CB_LACTP)),SUMPRODUCT((CB_SUBEN=$D30)*(CB_CQS=$G30)*(CB_LACTP))))</f>
        <v>25.214282438101288</v>
      </c>
      <c r="L30" s="39">
        <f>IF($H30=0,0,IF(COUNTA(CB_SUBEN)=0,SUMPRODUCT((CB_CQS=$G30)*(CB_LACTP_UL)),SUMPRODUCT((CB_SUBEN=$D30)*(CB_CQS=$G30)*(CB_LACTP_UL))))</f>
        <v>0</v>
      </c>
      <c r="M30" s="1"/>
    </row>
    <row r="31" spans="4:13" s="1" customFormat="1" ht="15">
      <c r="D31" s="1" t="s">
        <v>1</v>
      </c>
      <c r="E31" s="4"/>
      <c r="F31" s="5"/>
      <c r="G31" s="4">
        <v>4</v>
      </c>
      <c r="H31" s="39">
        <f>IF(COUNTA(CB_SUBEN)=0,SUMPRODUCT((CB_CQS=$G31)*(CB_MV)),SUMPRODUCT((CB_SUBEN=$D31)*(CB_CQS=$G31)*(CB_MV)))</f>
        <v>1974.1354385106028</v>
      </c>
      <c r="I31" s="68">
        <f>IF($H31=0,0,IF(COUNTA(CB_SUBEN)=0,SUMPRODUCT((CB_CQS=$G31)*(CB_CAP_CRG)),SUMPRODUCT((CB_SUBEN=$D31)*(CB_CQS=$G31)*(CB_CAP_CRG))))</f>
        <v>88.83609473297712</v>
      </c>
      <c r="J31" s="39">
        <f>IF($H31=0,0,IF(COUNTA(CB_SUBEN)=0,SUMPRODUCT((CB_CQS=$G31)*(CB_CAP_CRG_UL)),SUMPRODUCT((CB_SUBEN=$D31)*(CB_CQS=$G31)*(CB_CAP_CRG_UL))))</f>
        <v>0</v>
      </c>
      <c r="K31" s="68">
        <f>IF($H31=0,0,IF(COUNTA(CB_SUBEN)=0,SUMPRODUCT((CB_CQS=$G31)*(CB_LACTP)),SUMPRODUCT((CB_SUBEN=$D31)*(CB_CQS=$G31)*(CB_LACTP))))</f>
        <v>4.8661130168541344</v>
      </c>
      <c r="L31" s="39">
        <f>IF($H31=0,0,IF(COUNTA(CB_SUBEN)=0,SUMPRODUCT((CB_CQS=$G31)*(CB_LACTP_UL)),SUMPRODUCT((CB_SUBEN=$D31)*(CB_CQS=$G31)*(CB_LACTP_UL))))</f>
        <v>0</v>
      </c>
      <c r="M31" s="1"/>
    </row>
    <row r="32" spans="4:13" s="1" customFormat="1" ht="15">
      <c r="D32" s="1" t="s">
        <v>1</v>
      </c>
      <c r="E32" s="4"/>
      <c r="F32" s="5"/>
      <c r="G32" s="4">
        <v>5</v>
      </c>
      <c r="H32" s="39">
        <f>IF(COUNTA(CB_SUBEN)=0,SUMPRODUCT((CB_CQS=$G32)*(CB_MV)),SUMPRODUCT((CB_SUBEN=$D32)*(CB_CQS=$G32)*(CB_MV)))</f>
        <v>0</v>
      </c>
      <c r="I32" s="68">
        <f>IF($H32=0,0,IF(COUNTA(CB_SUBEN)=0,SUMPRODUCT((CB_CQS=$G32)*(CB_CAP_CRG)),SUMPRODUCT((CB_SUBEN=$D32)*(CB_CQS=$G32)*(CB_CAP_CRG))))</f>
        <v>0</v>
      </c>
      <c r="J32" s="39">
        <f>IF($H32=0,0,IF(COUNTA(CB_SUBEN)=0,SUMPRODUCT((CB_CQS=$G32)*(CB_CAP_CRG_UL)),SUMPRODUCT((CB_SUBEN=$D32)*(CB_CQS=$G32)*(CB_CAP_CRG_UL))))</f>
        <v>0</v>
      </c>
      <c r="K32" s="68">
        <f>IF($H32=0,0,IF(COUNTA(CB_SUBEN)=0,SUMPRODUCT((CB_CQS=$G32)*(CB_LACTP)),SUMPRODUCT((CB_SUBEN=$D32)*(CB_CQS=$G32)*(CB_LACTP))))</f>
        <v>0</v>
      </c>
      <c r="L32" s="39">
        <f>IF($H32=0,0,IF(COUNTA(CB_SUBEN)=0,SUMPRODUCT((CB_CQS=$G32)*(CB_LACTP_UL)),SUMPRODUCT((CB_SUBEN=$D32)*(CB_CQS=$G32)*(CB_LACTP_UL))))</f>
        <v>0</v>
      </c>
      <c r="M32" s="1"/>
    </row>
    <row r="33" spans="4:13" s="1" customFormat="1" ht="15">
      <c r="D33" s="1" t="s">
        <v>1</v>
      </c>
      <c r="E33" s="4"/>
      <c r="F33" s="5"/>
      <c r="G33" s="4">
        <v>6</v>
      </c>
      <c r="H33" s="39">
        <f>IF(COUNTA(CB_SUBEN)=0,SUMPRODUCT((CB_CQS=$G33)*(CB_MV)),SUMPRODUCT((CB_SUBEN=$D33)*(CB_CQS=$G33)*(CB_MV)))</f>
        <v>0</v>
      </c>
      <c r="I33" s="68">
        <f>IF($H33=0,0,IF(COUNTA(CB_SUBEN)=0,SUMPRODUCT((CB_CQS=$G33)*(CB_CAP_CRG)),SUMPRODUCT((CB_SUBEN=$D33)*(CB_CQS=$G33)*(CB_CAP_CRG))))</f>
        <v>0</v>
      </c>
      <c r="J33" s="39">
        <f>IF($H33=0,0,IF(COUNTA(CB_SUBEN)=0,SUMPRODUCT((CB_CQS=$G33)*(CB_CAP_CRG_UL)),SUMPRODUCT((CB_SUBEN=$D33)*(CB_CQS=$G33)*(CB_CAP_CRG_UL))))</f>
        <v>0</v>
      </c>
      <c r="K33" s="68">
        <f>IF($H33=0,0,IF(COUNTA(CB_SUBEN)=0,SUMPRODUCT((CB_CQS=$G33)*(CB_LACTP)),SUMPRODUCT((CB_SUBEN=$D33)*(CB_CQS=$G33)*(CB_LACTP))))</f>
        <v>0</v>
      </c>
      <c r="L33" s="39">
        <f>IF($H33=0,0,IF(COUNTA(CB_SUBEN)=0,SUMPRODUCT((CB_CQS=$G33)*(CB_LACTP_UL)),SUMPRODUCT((CB_SUBEN=$D33)*(CB_CQS=$G33)*(CB_LACTP_UL))))</f>
        <v>0</v>
      </c>
      <c r="M33" s="1"/>
    </row>
    <row r="34" spans="4:13" s="1" customFormat="1" ht="15">
      <c r="D34" s="1" t="s">
        <v>1</v>
      </c>
      <c r="E34" s="4"/>
      <c r="F34" s="5"/>
      <c r="G34" s="15" t="s">
        <v>146</v>
      </c>
      <c r="H34" s="42">
        <f>IF(COUNTA(CB_SUBEN)=0,SUMPRODUCT((CB_CQS=$G34)*(CB_MV)),SUMPRODUCT((CB_SUBEN=$D34)*(CB_CQS=$G34)*(CB_MV)))</f>
        <v>545.72643117252168</v>
      </c>
      <c r="I34" s="46">
        <f>IF($H34=0,0,IF(COUNTA(CB_SUBEN)=0,SUMPRODUCT((CB_CQS=$G34)*(CB_CAP_CRG)),SUMPRODUCT((CB_SUBEN=$D34)*(CB_CQS=$G34)*(CB_CAP_CRG))))</f>
        <v>20.584779567240484</v>
      </c>
      <c r="J34" s="42">
        <f>IF($H34=0,0,IF(COUNTA(CB_SUBEN)=0,SUMPRODUCT((CB_CQS=$G34)*(CB_CAP_CRG_UL)),SUMPRODUCT((CB_SUBEN=$D34)*(CB_CQS=$G34)*(CB_CAP_CRG_UL))))</f>
        <v>0</v>
      </c>
      <c r="K34" s="46">
        <f>IF($H34=0,0,IF(COUNTA(CB_SUBEN)=0,SUMPRODUCT((CB_CQS=$G34)*(CB_LACTP)),SUMPRODUCT((CB_SUBEN=$D34)*(CB_CQS=$G34)*(CB_LACTP))))</f>
        <v>1.1275581631802454</v>
      </c>
      <c r="L34" s="42">
        <f>IF($H34=0,0,IF(COUNTA(CB_SUBEN)=0,SUMPRODUCT((CB_CQS=$G34)*(CB_LACTP_UL)),SUMPRODUCT((CB_SUBEN=$D34)*(CB_CQS=$G34)*(CB_LACTP_UL))))</f>
        <v>0</v>
      </c>
      <c r="M34" s="1"/>
    </row>
    <row r="35" spans="4:12" s="1" customFormat="1" ht="15">
      <c r="D35" s="1" t="s">
        <v>1</v>
      </c>
      <c r="E35" s="4"/>
      <c r="F35" s="5"/>
      <c r="G35" s="5"/>
      <c r="H35" s="5"/>
      <c r="I35" s="5"/>
      <c r="J35" s="5"/>
      <c r="K35" s="5"/>
      <c r="L35" s="6"/>
    </row>
    <row r="36" spans="4:12" s="1" customFormat="1" ht="43.5">
      <c r="D36" s="1" t="s">
        <v>1</v>
      </c>
      <c r="E36" s="4"/>
      <c r="F36" s="5"/>
      <c r="G36" s="52" t="s">
        <v>148</v>
      </c>
      <c r="H36" s="53" t="s">
        <v>142</v>
      </c>
      <c r="I36" s="53" t="s">
        <v>143</v>
      </c>
      <c r="J36" s="53" t="s">
        <v>144</v>
      </c>
      <c r="K36" s="53" t="s">
        <v>145</v>
      </c>
      <c r="L36" s="53" t="s">
        <v>144</v>
      </c>
    </row>
    <row r="37" spans="4:13" s="1" customFormat="1" ht="15">
      <c r="D37" s="1" t="s">
        <v>1</v>
      </c>
      <c r="E37" s="4"/>
      <c r="F37" s="5"/>
      <c r="G37" s="4">
        <v>0</v>
      </c>
      <c r="H37" s="41">
        <f>IF(COUNTA(NEEA_SUBEN)=0,SUMPRODUCT((NEEA_CQS=$G37)*(NEEA_MV)),SUMPRODUCT((NEEA_SUBEN=$D37)*(NEEA_CQS=$G37)*(NEEA_MV)))</f>
        <v>2252472.6567003276</v>
      </c>
      <c r="I37" s="67">
        <f>IF($H37=0,0,IF(COUNTA(NEEA_SUBEN)=0,SUMPRODUCT((NEEA_CQS=$G37)*(NEEA_CAP_CRG)),SUMPRODUCT((NEEA_SUBEN=$D37)*(NEEA_CQS=$G37)*(NEEA_CAP_CRG))))</f>
        <v>0</v>
      </c>
      <c r="J37" s="41">
        <f>IF($H37=0,0,IF(COUNTA(NEEA_SUBEN)=0,SUMPRODUCT((NEEA_CQS=$G37)*(NEEA_CAP_CRG_UL)),SUMPRODUCT((NEEA_SUBEN=$D37)*(NEEA_CQS=$G37)*(NEEA_CAP_CRG_UL))))</f>
        <v>0</v>
      </c>
      <c r="K37" s="67">
        <f>IF($H37=0,0,IF(COUNTA(NEEA_SUBEN)=0,SUMPRODUCT((NEEA_CQS=$G37)*(NEEA_LACTP)),SUMPRODUCT((NEEA_SUBEN=$D37)*(NEEA_CQS=$G37)*(NEEA_LACTP))))</f>
        <v>0</v>
      </c>
      <c r="L37" s="41">
        <f>IF($H37=0,0,IF(COUNTA(NEEA_SUBEN)=0,SUMPRODUCT((NEEA_CQS=$G37)*(NEEA_LACTP_UL)),SUMPRODUCT((NEEA_SUBEN=$D37)*(NEEA_CQS=$G37)*(NEEA_LACTP_UL))))</f>
        <v>0</v>
      </c>
      <c r="M37" s="1"/>
    </row>
    <row r="38" spans="4:13" s="1" customFormat="1" ht="15">
      <c r="D38" s="1" t="s">
        <v>1</v>
      </c>
      <c r="E38" s="4"/>
      <c r="F38" s="5"/>
      <c r="G38" s="4">
        <v>1</v>
      </c>
      <c r="H38" s="39">
        <f>IF(COUNTA(NEEA_SUBEN)=0,SUMPRODUCT((NEEA_CQS=$G38)*(NEEA_MV)),SUMPRODUCT((NEEA_SUBEN=$D38)*(NEEA_CQS=$G38)*(NEEA_MV)))</f>
        <v>0</v>
      </c>
      <c r="I38" s="68">
        <f>IF($H38=0,0,IF(COUNTA(NEEA_SUBEN)=0,SUMPRODUCT((NEEA_CQS=$G38)*(NEEA_CAP_CRG)),SUMPRODUCT((NEEA_SUBEN=$D38)*(NEEA_CQS=$G38)*(NEEA_CAP_CRG))))</f>
        <v>0</v>
      </c>
      <c r="J38" s="39">
        <f>IF($H38=0,0,IF(COUNTA(NEEA_SUBEN)=0,SUMPRODUCT((NEEA_CQS=$G38)*(NEEA_CAP_CRG_UL)),SUMPRODUCT((NEEA_SUBEN=$D38)*(NEEA_CQS=$G38)*(NEEA_CAP_CRG_UL))))</f>
        <v>0</v>
      </c>
      <c r="K38" s="68">
        <f>IF($H38=0,0,IF(COUNTA(NEEA_SUBEN)=0,SUMPRODUCT((NEEA_CQS=$G38)*(NEEA_LACTP)),SUMPRODUCT((NEEA_SUBEN=$D38)*(NEEA_CQS=$G38)*(NEEA_LACTP))))</f>
        <v>0</v>
      </c>
      <c r="L38" s="39">
        <f>IF($H38=0,0,IF(COUNTA(NEEA_SUBEN)=0,SUMPRODUCT((NEEA_CQS=$G38)*(NEEA_LACTP_UL)),SUMPRODUCT((NEEA_SUBEN=$D38)*(NEEA_CQS=$G38)*(NEEA_LACTP_UL))))</f>
        <v>0</v>
      </c>
      <c r="M38" s="1"/>
    </row>
    <row r="39" spans="4:13" s="1" customFormat="1" ht="15">
      <c r="D39" s="1" t="s">
        <v>1</v>
      </c>
      <c r="E39" s="4"/>
      <c r="F39" s="5"/>
      <c r="G39" s="4">
        <v>2</v>
      </c>
      <c r="H39" s="39">
        <f>IF(COUNTA(NEEA_SUBEN)=0,SUMPRODUCT((NEEA_CQS=$G39)*(NEEA_MV)),SUMPRODUCT((NEEA_SUBEN=$D39)*(NEEA_CQS=$G39)*(NEEA_MV)))</f>
        <v>9933.7579988403344</v>
      </c>
      <c r="I39" s="68">
        <f>IF($H39=0,0,IF(COUNTA(NEEA_SUBEN)=0,SUMPRODUCT((NEEA_CQS=$G39)*(NEEA_CAP_CRG)),SUMPRODUCT((NEEA_SUBEN=$D39)*(NEEA_CQS=$G39)*(NEEA_CAP_CRG))))</f>
        <v>1622.5453260655352</v>
      </c>
      <c r="J39" s="39">
        <f>IF($H39=0,0,IF(COUNTA(NEEA_SUBEN)=0,SUMPRODUCT((NEEA_CQS=$G39)*(NEEA_CAP_CRG_UL)),SUMPRODUCT((NEEA_SUBEN=$D39)*(NEEA_CQS=$G39)*(NEEA_CAP_CRG_UL))))</f>
        <v>0</v>
      </c>
      <c r="K39" s="68">
        <f>IF($H39=0,0,IF(COUNTA(NEEA_SUBEN)=0,SUMPRODUCT((NEEA_CQS=$G39)*(NEEA_LACTP)),SUMPRODUCT((NEEA_SUBEN=$D39)*(NEEA_CQS=$G39)*(NEEA_LACTP))))</f>
        <v>88.87703759756144</v>
      </c>
      <c r="L39" s="39">
        <f>IF($H39=0,0,IF(COUNTA(NEEA_SUBEN)=0,SUMPRODUCT((NEEA_CQS=$G39)*(NEEA_LACTP_UL)),SUMPRODUCT((NEEA_SUBEN=$D39)*(NEEA_CQS=$G39)*(NEEA_LACTP_UL))))</f>
        <v>0</v>
      </c>
      <c r="M39" s="1"/>
    </row>
    <row r="40" spans="4:13" s="1" customFormat="1" ht="15">
      <c r="D40" s="1" t="s">
        <v>1</v>
      </c>
      <c r="E40" s="4"/>
      <c r="F40" s="5"/>
      <c r="G40" s="4">
        <v>3</v>
      </c>
      <c r="H40" s="39">
        <f>IF(COUNTA(NEEA_SUBEN)=0,SUMPRODUCT((NEEA_CQS=$G40)*(NEEA_MV)),SUMPRODUCT((NEEA_SUBEN=$D40)*(NEEA_CQS=$G40)*(NEEA_MV)))</f>
        <v>2992.4031385651492</v>
      </c>
      <c r="I40" s="68">
        <f>IF($H40=0,0,IF(COUNTA(NEEA_SUBEN)=0,SUMPRODUCT((NEEA_CQS=$G40)*(NEEA_CAP_CRG)),SUMPRODUCT((NEEA_SUBEN=$D40)*(NEEA_CQS=$G40)*(NEEA_CAP_CRG))))</f>
        <v>176.33654087538912</v>
      </c>
      <c r="J40" s="39">
        <f>IF($H40=0,0,IF(COUNTA(NEEA_SUBEN)=0,SUMPRODUCT((NEEA_CQS=$G40)*(NEEA_CAP_CRG_UL)),SUMPRODUCT((NEEA_SUBEN=$D40)*(NEEA_CQS=$G40)*(NEEA_CAP_CRG_UL))))</f>
        <v>0</v>
      </c>
      <c r="K40" s="68">
        <f>IF($H40=0,0,IF(COUNTA(NEEA_SUBEN)=0,SUMPRODUCT((NEEA_CQS=$G40)*(NEEA_LACTP)),SUMPRODUCT((NEEA_SUBEN=$D40)*(NEEA_CQS=$G40)*(NEEA_LACTP))))</f>
        <v>9.6590641391874912</v>
      </c>
      <c r="L40" s="39">
        <f>IF($H40=0,0,IF(COUNTA(NEEA_SUBEN)=0,SUMPRODUCT((NEEA_CQS=$G40)*(NEEA_LACTP_UL)),SUMPRODUCT((NEEA_SUBEN=$D40)*(NEEA_CQS=$G40)*(NEEA_LACTP_UL))))</f>
        <v>0</v>
      </c>
      <c r="M40" s="1"/>
    </row>
    <row r="41" spans="4:13" s="1" customFormat="1" ht="15">
      <c r="D41" s="1" t="s">
        <v>1</v>
      </c>
      <c r="E41" s="4"/>
      <c r="F41" s="5"/>
      <c r="G41" s="4">
        <v>4</v>
      </c>
      <c r="H41" s="39">
        <f>IF(COUNTA(NEEA_SUBEN)=0,SUMPRODUCT((NEEA_CQS=$G41)*(NEEA_MV)),SUMPRODUCT((NEEA_SUBEN=$D41)*(NEEA_CQS=$G41)*(NEEA_MV)))</f>
        <v>0</v>
      </c>
      <c r="I41" s="68">
        <f>IF($H41=0,0,IF(COUNTA(NEEA_SUBEN)=0,SUMPRODUCT((NEEA_CQS=$G41)*(NEEA_CAP_CRG)),SUMPRODUCT((NEEA_SUBEN=$D41)*(NEEA_CQS=$G41)*(NEEA_CAP_CRG))))</f>
        <v>0</v>
      </c>
      <c r="J41" s="39">
        <f>IF($H41=0,0,IF(COUNTA(NEEA_SUBEN)=0,SUMPRODUCT((NEEA_CQS=$G41)*(NEEA_CAP_CRG_UL)),SUMPRODUCT((NEEA_SUBEN=$D41)*(NEEA_CQS=$G41)*(NEEA_CAP_CRG_UL))))</f>
        <v>0</v>
      </c>
      <c r="K41" s="68">
        <f>IF($H41=0,0,IF(COUNTA(NEEA_SUBEN)=0,SUMPRODUCT((NEEA_CQS=$G41)*(NEEA_LACTP)),SUMPRODUCT((NEEA_SUBEN=$D41)*(NEEA_CQS=$G41)*(NEEA_LACTP))))</f>
        <v>0</v>
      </c>
      <c r="L41" s="39">
        <f>IF($H41=0,0,IF(COUNTA(NEEA_SUBEN)=0,SUMPRODUCT((NEEA_CQS=$G41)*(NEEA_LACTP_UL)),SUMPRODUCT((NEEA_SUBEN=$D41)*(NEEA_CQS=$G41)*(NEEA_LACTP_UL))))</f>
        <v>0</v>
      </c>
      <c r="M41" s="1"/>
    </row>
    <row r="42" spans="4:13" s="1" customFormat="1" ht="15">
      <c r="D42" s="1" t="s">
        <v>1</v>
      </c>
      <c r="E42" s="4"/>
      <c r="F42" s="5"/>
      <c r="G42" s="4">
        <v>5</v>
      </c>
      <c r="H42" s="39">
        <f>IF(COUNTA(NEEA_SUBEN)=0,SUMPRODUCT((NEEA_CQS=$G42)*(NEEA_MV)),SUMPRODUCT((NEEA_SUBEN=$D42)*(NEEA_CQS=$G42)*(NEEA_MV)))</f>
        <v>0</v>
      </c>
      <c r="I42" s="68">
        <f>IF($H42=0,0,IF(COUNTA(NEEA_SUBEN)=0,SUMPRODUCT((NEEA_CQS=$G42)*(NEEA_CAP_CRG)),SUMPRODUCT((NEEA_SUBEN=$D42)*(NEEA_CQS=$G42)*(NEEA_CAP_CRG))))</f>
        <v>0</v>
      </c>
      <c r="J42" s="39">
        <f>IF($H42=0,0,IF(COUNTA(NEEA_SUBEN)=0,SUMPRODUCT((NEEA_CQS=$G42)*(NEEA_CAP_CRG_UL)),SUMPRODUCT((NEEA_SUBEN=$D42)*(NEEA_CQS=$G42)*(NEEA_CAP_CRG_UL))))</f>
        <v>0</v>
      </c>
      <c r="K42" s="68">
        <f>IF($H42=0,0,IF(COUNTA(NEEA_SUBEN)=0,SUMPRODUCT((NEEA_CQS=$G42)*(NEEA_LACTP)),SUMPRODUCT((NEEA_SUBEN=$D42)*(NEEA_CQS=$G42)*(NEEA_LACTP))))</f>
        <v>0</v>
      </c>
      <c r="L42" s="39">
        <f>IF($H42=0,0,IF(COUNTA(NEEA_SUBEN)=0,SUMPRODUCT((NEEA_CQS=$G42)*(NEEA_LACTP_UL)),SUMPRODUCT((NEEA_SUBEN=$D42)*(NEEA_CQS=$G42)*(NEEA_LACTP_UL))))</f>
        <v>0</v>
      </c>
      <c r="M42" s="1"/>
    </row>
    <row r="43" spans="4:13" s="1" customFormat="1" ht="15">
      <c r="D43" s="1" t="s">
        <v>1</v>
      </c>
      <c r="E43" s="4"/>
      <c r="F43" s="5"/>
      <c r="G43" s="4">
        <v>6</v>
      </c>
      <c r="H43" s="39">
        <f>IF(COUNTA(NEEA_SUBEN)=0,SUMPRODUCT((NEEA_CQS=$G43)*(NEEA_MV)),SUMPRODUCT((NEEA_SUBEN=$D43)*(NEEA_CQS=$G43)*(NEEA_MV)))</f>
        <v>0</v>
      </c>
      <c r="I43" s="68">
        <f>IF($H43=0,0,IF(COUNTA(NEEA_SUBEN)=0,SUMPRODUCT((NEEA_CQS=$G43)*(NEEA_CAP_CRG)),SUMPRODUCT((NEEA_SUBEN=$D43)*(NEEA_CQS=$G43)*(NEEA_CAP_CRG))))</f>
        <v>0</v>
      </c>
      <c r="J43" s="39">
        <f>IF($H43=0,0,IF(COUNTA(NEEA_SUBEN)=0,SUMPRODUCT((NEEA_CQS=$G43)*(NEEA_CAP_CRG_UL)),SUMPRODUCT((NEEA_SUBEN=$D43)*(NEEA_CQS=$G43)*(NEEA_CAP_CRG_UL))))</f>
        <v>0</v>
      </c>
      <c r="K43" s="68">
        <f>IF($H43=0,0,IF(COUNTA(NEEA_SUBEN)=0,SUMPRODUCT((NEEA_CQS=$G43)*(NEEA_LACTP)),SUMPRODUCT((NEEA_SUBEN=$D43)*(NEEA_CQS=$G43)*(NEEA_LACTP))))</f>
        <v>0</v>
      </c>
      <c r="L43" s="39">
        <f>IF($H43=0,0,IF(COUNTA(NEEA_SUBEN)=0,SUMPRODUCT((NEEA_CQS=$G43)*(NEEA_LACTP_UL)),SUMPRODUCT((NEEA_SUBEN=$D43)*(NEEA_CQS=$G43)*(NEEA_LACTP_UL))))</f>
        <v>0</v>
      </c>
      <c r="M43" s="1"/>
    </row>
    <row r="44" spans="4:13" s="1" customFormat="1" ht="15">
      <c r="D44" s="1" t="s">
        <v>1</v>
      </c>
      <c r="E44" s="4"/>
      <c r="F44" s="6"/>
      <c r="G44" s="16" t="s">
        <v>146</v>
      </c>
      <c r="H44" s="42">
        <f>IF(COUNTA(NEEA_SUBEN)=0,SUMPRODUCT((NEEA_CQS=$G44)*(NEEA_MV)),SUMPRODUCT((NEEA_SUBEN=$D44)*(NEEA_CQS=$G44)*(NEEA_MV)))</f>
        <v>-13172.011270990052</v>
      </c>
      <c r="I44" s="46">
        <f>IF($H44=0,0,IF(COUNTA(NEEA_SUBEN)=0,SUMPRODUCT((NEEA_CQS=$G44)*(NEEA_CAP_CRG)),SUMPRODUCT((NEEA_SUBEN=$D44)*(NEEA_CQS=$G44)*(NEEA_CAP_CRG))))</f>
        <v>-395.16033812970152</v>
      </c>
      <c r="J44" s="42">
        <f>IF($H44=0,0,IF(COUNTA(NEEA_SUBEN)=0,SUMPRODUCT((NEEA_CQS=$G44)*(NEEA_CAP_CRG_UL)),SUMPRODUCT((NEEA_SUBEN=$D44)*(NEEA_CQS=$G44)*(NEEA_CAP_CRG_UL))))</f>
        <v>0</v>
      </c>
      <c r="K44" s="46">
        <f>IF($H44=0,0,IF(COUNTA(NEEA_SUBEN)=0,SUMPRODUCT((NEEA_CQS=$G44)*(NEEA_LACTP)),SUMPRODUCT((NEEA_SUBEN=$D44)*(NEEA_CQS=$G44)*(NEEA_LACTP))))</f>
        <v>-21.645423190846524</v>
      </c>
      <c r="L44" s="42">
        <f>IF($H44=0,0,IF(COUNTA(NEEA_SUBEN)=0,SUMPRODUCT((NEEA_CQS=$G44)*(NEEA_LACTP_UL)),SUMPRODUCT((NEEA_SUBEN=$D44)*(NEEA_CQS=$G44)*(NEEA_LACTP_UL))))</f>
        <v>0</v>
      </c>
      <c r="M44" s="1"/>
    </row>
    <row r="45" spans="4:12" s="1" customFormat="1" ht="15">
      <c r="D45" s="1" t="s">
        <v>1</v>
      </c>
      <c r="E45" s="4"/>
      <c r="F45" s="5"/>
      <c r="L45" s="1"/>
    </row>
    <row r="46" spans="4:12" s="1" customFormat="1" ht="43.5">
      <c r="D46" s="1"/>
      <c r="E46" s="4"/>
      <c r="F46" s="5"/>
      <c r="G46" s="52" t="s">
        <v>149</v>
      </c>
      <c r="H46" s="53" t="s">
        <v>142</v>
      </c>
      <c r="I46" s="53" t="s">
        <v>143</v>
      </c>
      <c r="J46" s="53" t="s">
        <v>144</v>
      </c>
      <c r="K46" s="53" t="s">
        <v>145</v>
      </c>
      <c r="L46" s="53" t="s">
        <v>144</v>
      </c>
    </row>
    <row r="47" spans="4:12" s="1" customFormat="1" ht="15">
      <c r="D47" s="1"/>
      <c r="E47" s="4"/>
      <c r="F47" s="5"/>
      <c r="G47" s="4">
        <v>0</v>
      </c>
      <c r="H47" s="41">
        <f>IF(COUNTA(QICB_SUBEN)=0,SUMPRODUCT((QICB_CQS=$G47)*(QICB_MV)),SUMPRODUCT((QICB_SUBEN=$D47)*(QICB_CQS=$G47)*(QICB_MV)))</f>
        <v>0</v>
      </c>
      <c r="I47" s="67">
        <f>IF($H47=0,0,IF(COUNTA(QICB_SUBEN)=0,SUMPRODUCT((QICB_CQS=$G47)*(QICB_CAP_CRG)),SUMPRODUCT((QICB_SUBEN=$D47)*(QICB_CQS=$G47)*(QICB_CAP_CRG))))</f>
        <v>0</v>
      </c>
      <c r="J47" s="41">
        <f>IF($H47=0,0,IF(COUNTA(QICB_SUBEN)=0,SUMPRODUCT((QICB_CQS=$G47)*(QICB_CAP_CRG_UL)),SUMPRODUCT((QICB_SUBEN=$D47)*(QICB_CQS=$G47)*(QICB_CAP_CRG_UL))))</f>
        <v>0</v>
      </c>
      <c r="K47" s="67">
        <f>IF($H47=0,0,IF(COUNTA(QICB_SUBEN)=0,SUMPRODUCT((QICB_CQS=$G47)*(QICB_LACTP)),SUMPRODUCT((QICB_SUBEN=$D47)*(QICB_CQS=$G47)*(QICB_LACTP))))</f>
        <v>0</v>
      </c>
      <c r="L47" s="41">
        <f>IF($H47=0,0,IF(COUNTA(QICB_SUBEN)=0,SUMPRODUCT((QICB_CQS=$G47)*(QICB_LACTP_UL)),SUMPRODUCT((QICB_SUBEN=$D47)*(QICB_CQS=$G47)*(QICB_LACTP_UL))))</f>
        <v>0</v>
      </c>
    </row>
    <row r="48" spans="4:12" s="1" customFormat="1" ht="15">
      <c r="D48" s="1"/>
      <c r="E48" s="4"/>
      <c r="F48" s="5"/>
      <c r="G48" s="4">
        <v>1</v>
      </c>
      <c r="H48" s="39">
        <f>IF(COUNTA(QICB_SUBEN)=0,SUMPRODUCT((QICB_CQS=$G48)*(QICB_MV)),SUMPRODUCT((QICB_SUBEN=$D48)*(QICB_CQS=$G48)*(QICB_MV)))</f>
        <v>0</v>
      </c>
      <c r="I48" s="68">
        <f>IF($H48=0,0,IF(COUNTA(QICB_SUBEN)=0,SUMPRODUCT((QICB_CQS=$G48)*(QICB_CAP_CRG)),SUMPRODUCT((QICB_SUBEN=$D48)*(QICB_CQS=$G48)*(QICB_CAP_CRG))))</f>
        <v>0</v>
      </c>
      <c r="J48" s="39">
        <f>IF($H48=0,0,IF(COUNTA(QICB_SUBEN)=0,SUMPRODUCT((QICB_CQS=$G48)*(QICB_CAP_CRG_UL)),SUMPRODUCT((QICB_SUBEN=$D48)*(QICB_CQS=$G48)*(QICB_CAP_CRG_UL))))</f>
        <v>0</v>
      </c>
      <c r="K48" s="68">
        <f>IF($H48=0,0,IF(COUNTA(QICB_SUBEN)=0,SUMPRODUCT((QICB_CQS=$G48)*(QICB_LACTP)),SUMPRODUCT((QICB_SUBEN=$D48)*(QICB_CQS=$G48)*(QICB_LACTP))))</f>
        <v>0</v>
      </c>
      <c r="L48" s="39">
        <f>IF($H48=0,0,IF(COUNTA(QICB_SUBEN)=0,SUMPRODUCT((QICB_CQS=$G48)*(QICB_LACTP_UL)),SUMPRODUCT((QICB_SUBEN=$D48)*(QICB_CQS=$G48)*(QICB_LACTP_UL))))</f>
        <v>0</v>
      </c>
    </row>
    <row r="49" spans="4:12" s="1" customFormat="1" ht="15">
      <c r="D49" s="1"/>
      <c r="E49" s="4"/>
      <c r="F49" s="5"/>
      <c r="G49" s="4">
        <v>2</v>
      </c>
      <c r="H49" s="39">
        <f>IF(COUNTA(QICB_SUBEN)=0,SUMPRODUCT((QICB_CQS=$G49)*(QICB_MV)),SUMPRODUCT((QICB_SUBEN=$D49)*(QICB_CQS=$G49)*(QICB_MV)))</f>
        <v>0</v>
      </c>
      <c r="I49" s="68">
        <f>IF($H49=0,0,IF(COUNTA(QICB_SUBEN)=0,SUMPRODUCT((QICB_CQS=$G49)*(QICB_CAP_CRG)),SUMPRODUCT((QICB_SUBEN=$D49)*(QICB_CQS=$G49)*(QICB_CAP_CRG))))</f>
        <v>0</v>
      </c>
      <c r="J49" s="39">
        <f>IF($H49=0,0,IF(COUNTA(QICB_SUBEN)=0,SUMPRODUCT((QICB_CQS=$G49)*(QICB_CAP_CRG_UL)),SUMPRODUCT((QICB_SUBEN=$D49)*(QICB_CQS=$G49)*(QICB_CAP_CRG_UL))))</f>
        <v>0</v>
      </c>
      <c r="K49" s="68">
        <f>IF($H49=0,0,IF(COUNTA(QICB_SUBEN)=0,SUMPRODUCT((QICB_CQS=$G49)*(QICB_LACTP)),SUMPRODUCT((QICB_SUBEN=$D49)*(QICB_CQS=$G49)*(QICB_LACTP))))</f>
        <v>0</v>
      </c>
      <c r="L49" s="39">
        <f>IF($H49=0,0,IF(COUNTA(QICB_SUBEN)=0,SUMPRODUCT((QICB_CQS=$G49)*(QICB_LACTP_UL)),SUMPRODUCT((QICB_SUBEN=$D49)*(QICB_CQS=$G49)*(QICB_LACTP_UL))))</f>
        <v>0</v>
      </c>
    </row>
    <row r="50" spans="4:12" s="1" customFormat="1" ht="15">
      <c r="D50" s="1"/>
      <c r="E50" s="4"/>
      <c r="F50" s="5"/>
      <c r="G50" s="4">
        <v>3</v>
      </c>
      <c r="H50" s="39">
        <f>IF(COUNTA(QICB_SUBEN)=0,SUMPRODUCT((QICB_CQS=$G50)*(QICB_MV)),SUMPRODUCT((QICB_SUBEN=$D50)*(QICB_CQS=$G50)*(QICB_MV)))</f>
        <v>0</v>
      </c>
      <c r="I50" s="68">
        <f>IF($H50=0,0,IF(COUNTA(QICB_SUBEN)=0,SUMPRODUCT((QICB_CQS=$G50)*(QICB_CAP_CRG)),SUMPRODUCT((QICB_SUBEN=$D50)*(QICB_CQS=$G50)*(QICB_CAP_CRG))))</f>
        <v>0</v>
      </c>
      <c r="J50" s="39">
        <f>IF($H50=0,0,IF(COUNTA(QICB_SUBEN)=0,SUMPRODUCT((QICB_CQS=$G50)*(QICB_CAP_CRG_UL)),SUMPRODUCT((QICB_SUBEN=$D50)*(QICB_CQS=$G50)*(QICB_CAP_CRG_UL))))</f>
        <v>0</v>
      </c>
      <c r="K50" s="68">
        <f>IF($H50=0,0,IF(COUNTA(QICB_SUBEN)=0,SUMPRODUCT((QICB_CQS=$G50)*(QICB_LACTP)),SUMPRODUCT((QICB_SUBEN=$D50)*(QICB_CQS=$G50)*(QICB_LACTP))))</f>
        <v>0</v>
      </c>
      <c r="L50" s="39">
        <f>IF($H50=0,0,IF(COUNTA(QICB_SUBEN)=0,SUMPRODUCT((QICB_CQS=$G50)*(QICB_LACTP_UL)),SUMPRODUCT((QICB_SUBEN=$D50)*(QICB_CQS=$G50)*(QICB_LACTP_UL))))</f>
        <v>0</v>
      </c>
    </row>
    <row r="51" spans="4:12" s="1" customFormat="1" ht="15">
      <c r="D51" s="1"/>
      <c r="E51" s="4"/>
      <c r="F51" s="5"/>
      <c r="G51" s="4">
        <v>4</v>
      </c>
      <c r="H51" s="39">
        <f>IF(COUNTA(QICB_SUBEN)=0,SUMPRODUCT((QICB_CQS=$G51)*(QICB_MV)),SUMPRODUCT((QICB_SUBEN=$D51)*(QICB_CQS=$G51)*(QICB_MV)))</f>
        <v>0</v>
      </c>
      <c r="I51" s="68">
        <f>IF($H51=0,0,IF(COUNTA(QICB_SUBEN)=0,SUMPRODUCT((QICB_CQS=$G51)*(QICB_CAP_CRG)),SUMPRODUCT((QICB_SUBEN=$D51)*(QICB_CQS=$G51)*(QICB_CAP_CRG))))</f>
        <v>0</v>
      </c>
      <c r="J51" s="39">
        <f>IF($H51=0,0,IF(COUNTA(QICB_SUBEN)=0,SUMPRODUCT((QICB_CQS=$G51)*(QICB_CAP_CRG_UL)),SUMPRODUCT((QICB_SUBEN=$D51)*(QICB_CQS=$G51)*(QICB_CAP_CRG_UL))))</f>
        <v>0</v>
      </c>
      <c r="K51" s="68">
        <f>IF($H51=0,0,IF(COUNTA(QICB_SUBEN)=0,SUMPRODUCT((QICB_CQS=$G51)*(QICB_LACTP)),SUMPRODUCT((QICB_SUBEN=$D51)*(QICB_CQS=$G51)*(QICB_LACTP))))</f>
        <v>0</v>
      </c>
      <c r="L51" s="39">
        <f>IF($H51=0,0,IF(COUNTA(QICB_SUBEN)=0,SUMPRODUCT((QICB_CQS=$G51)*(QICB_LACTP_UL)),SUMPRODUCT((QICB_SUBEN=$D51)*(QICB_CQS=$G51)*(QICB_LACTP_UL))))</f>
        <v>0</v>
      </c>
    </row>
    <row r="52" spans="4:12" s="1" customFormat="1" ht="15">
      <c r="D52" s="1"/>
      <c r="E52" s="4"/>
      <c r="F52" s="5"/>
      <c r="G52" s="4">
        <v>5</v>
      </c>
      <c r="H52" s="39">
        <f>IF(COUNTA(QICB_SUBEN)=0,SUMPRODUCT((QICB_CQS=$G52)*(QICB_MV)),SUMPRODUCT((QICB_SUBEN=$D52)*(QICB_CQS=$G52)*(QICB_MV)))</f>
        <v>0</v>
      </c>
      <c r="I52" s="68">
        <f>IF($H52=0,0,IF(COUNTA(QICB_SUBEN)=0,SUMPRODUCT((QICB_CQS=$G52)*(QICB_CAP_CRG)),SUMPRODUCT((QICB_SUBEN=$D52)*(QICB_CQS=$G52)*(QICB_CAP_CRG))))</f>
        <v>0</v>
      </c>
      <c r="J52" s="39">
        <f>IF($H52=0,0,IF(COUNTA(QICB_SUBEN)=0,SUMPRODUCT((QICB_CQS=$G52)*(QICB_CAP_CRG_UL)),SUMPRODUCT((QICB_SUBEN=$D52)*(QICB_CQS=$G52)*(QICB_CAP_CRG_UL))))</f>
        <v>0</v>
      </c>
      <c r="K52" s="68">
        <f>IF($H52=0,0,IF(COUNTA(QICB_SUBEN)=0,SUMPRODUCT((QICB_CQS=$G52)*(QICB_LACTP)),SUMPRODUCT((QICB_SUBEN=$D52)*(QICB_CQS=$G52)*(QICB_LACTP))))</f>
        <v>0</v>
      </c>
      <c r="L52" s="39">
        <f>IF($H52=0,0,IF(COUNTA(QICB_SUBEN)=0,SUMPRODUCT((QICB_CQS=$G52)*(QICB_LACTP_UL)),SUMPRODUCT((QICB_SUBEN=$D52)*(QICB_CQS=$G52)*(QICB_LACTP_UL))))</f>
        <v>0</v>
      </c>
    </row>
    <row r="53" spans="4:12" s="1" customFormat="1" ht="15">
      <c r="D53" s="1"/>
      <c r="E53" s="4"/>
      <c r="F53" s="5"/>
      <c r="G53" s="4">
        <v>6</v>
      </c>
      <c r="H53" s="39">
        <f>IF(COUNTA(QICB_SUBEN)=0,SUMPRODUCT((QICB_CQS=$G53)*(QICB_MV)),SUMPRODUCT((QICB_SUBEN=$D53)*(QICB_CQS=$G53)*(QICB_MV)))</f>
        <v>0</v>
      </c>
      <c r="I53" s="68">
        <f>IF($H53=0,0,IF(COUNTA(QICB_SUBEN)=0,SUMPRODUCT((QICB_CQS=$G53)*(QICB_CAP_CRG)),SUMPRODUCT((QICB_SUBEN=$D53)*(QICB_CQS=$G53)*(QICB_CAP_CRG))))</f>
        <v>0</v>
      </c>
      <c r="J53" s="39">
        <f>IF($H53=0,0,IF(COUNTA(QICB_SUBEN)=0,SUMPRODUCT((QICB_CQS=$G53)*(QICB_CAP_CRG_UL)),SUMPRODUCT((QICB_SUBEN=$D53)*(QICB_CQS=$G53)*(QICB_CAP_CRG_UL))))</f>
        <v>0</v>
      </c>
      <c r="K53" s="68">
        <f>IF($H53=0,0,IF(COUNTA(QICB_SUBEN)=0,SUMPRODUCT((QICB_CQS=$G53)*(QICB_LACTP)),SUMPRODUCT((QICB_SUBEN=$D53)*(QICB_CQS=$G53)*(QICB_LACTP))))</f>
        <v>0</v>
      </c>
      <c r="L53" s="39">
        <f>IF($H53=0,0,IF(COUNTA(QICB_SUBEN)=0,SUMPRODUCT((QICB_CQS=$G53)*(QICB_LACTP_UL)),SUMPRODUCT((QICB_SUBEN=$D53)*(QICB_CQS=$G53)*(QICB_LACTP_UL))))</f>
        <v>0</v>
      </c>
    </row>
    <row r="54" spans="4:12" s="1" customFormat="1" ht="15">
      <c r="D54" s="1"/>
      <c r="E54" s="4"/>
      <c r="F54" s="5"/>
      <c r="G54" s="15" t="s">
        <v>146</v>
      </c>
      <c r="H54" s="42">
        <f>IF(COUNTA(QICB_SUBEN)=0,SUMPRODUCT((QICB_CQS=$G54)*(QICB_MV)),SUMPRODUCT((QICB_SUBEN=$D54)*(QICB_CQS=$G54)*(QICB_MV)))</f>
        <v>0</v>
      </c>
      <c r="I54" s="46">
        <f>IF($H54=0,0,IF(COUNTA(QICB_SUBEN)=0,SUMPRODUCT((QICB_CQS=$G54)*(QICB_CAP_CRG)),SUMPRODUCT((QICB_SUBEN=$D54)*(QICB_CQS=$G54)*(QICB_CAP_CRG))))</f>
        <v>0</v>
      </c>
      <c r="J54" s="42">
        <f>IF($H54=0,0,IF(COUNTA(QICB_SUBEN)=0,SUMPRODUCT((QICB_CQS=$G54)*(QICB_CAP_CRG_UL)),SUMPRODUCT((QICB_SUBEN=$D54)*(QICB_CQS=$G54)*(QICB_CAP_CRG_UL))))</f>
        <v>0</v>
      </c>
      <c r="K54" s="46">
        <f>IF($H54=0,0,IF(COUNTA(QICB_SUBEN)=0,SUMPRODUCT((QICB_CQS=$G54)*(QICB_LACTP)),SUMPRODUCT((QICB_SUBEN=$D54)*(QICB_CQS=$G54)*(QICB_LACTP))))</f>
        <v>0</v>
      </c>
      <c r="L54" s="42">
        <f>IF($H54=0,0,IF(COUNTA(QICB_SUBEN)=0,SUMPRODUCT((QICB_CQS=$G54)*(QICB_LACTP_UL)),SUMPRODUCT((QICB_SUBEN=$D54)*(QICB_CQS=$G54)*(QICB_LACTP_UL))))</f>
        <v>0</v>
      </c>
    </row>
    <row r="55" spans="4:6" s="1" customFormat="1" ht="15">
      <c r="D55" s="1" t="s">
        <v>1</v>
      </c>
      <c r="E55" s="4"/>
      <c r="F55" s="5"/>
    </row>
    <row r="56" spans="4:13" s="1" customFormat="1" ht="43.5">
      <c r="D56" s="1" t="s">
        <v>1</v>
      </c>
      <c r="E56" s="4"/>
      <c r="F56" s="5"/>
      <c r="G56" s="52" t="s">
        <v>150</v>
      </c>
      <c r="H56" s="53" t="s">
        <v>142</v>
      </c>
      <c r="I56" s="53" t="s">
        <v>143</v>
      </c>
      <c r="J56" s="53" t="s">
        <v>144</v>
      </c>
      <c r="K56" s="53" t="s">
        <v>145</v>
      </c>
      <c r="L56" s="53" t="s">
        <v>144</v>
      </c>
      <c r="M56" s="1"/>
    </row>
    <row r="57" spans="4:13" s="1" customFormat="1" ht="15">
      <c r="D57" s="1" t="s">
        <v>1</v>
      </c>
      <c r="E57" s="4"/>
      <c r="F57" s="5"/>
      <c r="G57" s="4">
        <v>0</v>
      </c>
      <c r="H57" s="41">
        <f>IF(COUNTA(QIB_SUBEN)=0,SUMPRODUCT((QIB_CQS=$G57)*(QIB_MV)),SUMPRODUCT((QIB_SUBEN=$D57)*(QIB_CQS=$G57)*(QIB_MV)))</f>
        <v>0</v>
      </c>
      <c r="I57" s="67">
        <f>IF($H57=0,0,IF(COUNTA(QIB_SUBEN)=0,SUMPRODUCT((QIB_CQS=$G57)*(QIB_CAP_CRG)),SUMPRODUCT((QIB_SUBEN=$D57)*(QIB_CQS=$G57)*(QIB_CAP_CRG))))</f>
        <v>0</v>
      </c>
      <c r="J57" s="41">
        <f>IF($H57=0,0,IF(COUNTA(QIB_SUBEN)=0,SUMPRODUCT((QIB_CQS=$G57)*(QIB_CAP_CRG_UL)),SUMPRODUCT((QIB_SUBEN=$D57)*(QIB_CQS=$G57)*(QIB_CAP_CRG_UL))))</f>
        <v>0</v>
      </c>
      <c r="K57" s="67">
        <f>IF($H57=0,0,IF(COUNTA(QIB_SUBEN)=0,SUMPRODUCT((QIB_CQS=$G57)*(QIB_LACTP)),SUMPRODUCT((QIB_SUBEN=$D57)*(QIB_CQS=$G57)*(QIB_LACTP))))</f>
        <v>0</v>
      </c>
      <c r="L57" s="41">
        <f>IF($H57=0,0,IF(COUNTA(QIB_SUBEN)=0,SUMPRODUCT((QIB_CQS=$G57)*(QIB_LACTP_UL)),SUMPRODUCT((QIB_SUBEN=$D57)*(QIB_CQS=$G57)*(QIB_LACTP_UL))))</f>
        <v>0</v>
      </c>
      <c r="M57" s="1"/>
    </row>
    <row r="58" spans="4:13" s="1" customFormat="1" ht="15">
      <c r="D58" s="1" t="s">
        <v>1</v>
      </c>
      <c r="E58" s="4"/>
      <c r="F58" s="5"/>
      <c r="G58" s="4">
        <v>1</v>
      </c>
      <c r="H58" s="39">
        <f>IF(COUNTA(QIB_SUBEN)=0,SUMPRODUCT((QIB_CQS=$G58)*(QIB_MV)),SUMPRODUCT((QIB_SUBEN=$D58)*(QIB_CQS=$G58)*(QIB_MV)))</f>
        <v>0</v>
      </c>
      <c r="I58" s="68">
        <f>IF($H58=0,0,IF(COUNTA(QIB_SUBEN)=0,SUMPRODUCT((QIB_CQS=$G58)*(QIB_CAP_CRG)),SUMPRODUCT((QIB_SUBEN=$D58)*(QIB_CQS=$G58)*(QIB_CAP_CRG))))</f>
        <v>0</v>
      </c>
      <c r="J58" s="39">
        <f>IF($H58=0,0,IF(COUNTA(QIB_SUBEN)=0,SUMPRODUCT((QIB_CQS=$G58)*(QIB_CAP_CRG_UL)),SUMPRODUCT((QIB_SUBEN=$D58)*(QIB_CQS=$G58)*(QIB_CAP_CRG_UL))))</f>
        <v>0</v>
      </c>
      <c r="K58" s="68">
        <f>IF($H58=0,0,IF(COUNTA(QIB_SUBEN)=0,SUMPRODUCT((QIB_CQS=$G58)*(QIB_LACTP)),SUMPRODUCT((QIB_SUBEN=$D58)*(QIB_CQS=$G58)*(QIB_LACTP))))</f>
        <v>0</v>
      </c>
      <c r="L58" s="39">
        <f>IF($H58=0,0,IF(COUNTA(QIB_SUBEN)=0,SUMPRODUCT((QIB_CQS=$G58)*(QIB_LACTP_UL)),SUMPRODUCT((QIB_SUBEN=$D58)*(QIB_CQS=$G58)*(QIB_LACTP_UL))))</f>
        <v>0</v>
      </c>
      <c r="M58" s="1"/>
    </row>
    <row r="59" spans="4:49" s="1" customFormat="1" ht="15">
      <c r="D59" s="1" t="s">
        <v>1</v>
      </c>
      <c r="E59" s="4"/>
      <c r="F59" s="5"/>
      <c r="G59" s="4">
        <v>2</v>
      </c>
      <c r="H59" s="39">
        <f>IF(COUNTA(QIB_SUBEN)=0,SUMPRODUCT((QIB_CQS=$G59)*(QIB_MV)),SUMPRODUCT((QIB_SUBEN=$D59)*(QIB_CQS=$G59)*(QIB_MV)))</f>
        <v>0</v>
      </c>
      <c r="I59" s="68">
        <f>IF($H59=0,0,IF(COUNTA(QIB_SUBEN)=0,SUMPRODUCT((QIB_CQS=$G59)*(QIB_CAP_CRG)),SUMPRODUCT((QIB_SUBEN=$D59)*(QIB_CQS=$G59)*(QIB_CAP_CRG))))</f>
        <v>0</v>
      </c>
      <c r="J59" s="39">
        <f>IF($H59=0,0,IF(COUNTA(QIB_SUBEN)=0,SUMPRODUCT((QIB_CQS=$G59)*(QIB_CAP_CRG_UL)),SUMPRODUCT((QIB_SUBEN=$D59)*(QIB_CQS=$G59)*(QIB_CAP_CRG_UL))))</f>
        <v>0</v>
      </c>
      <c r="K59" s="68">
        <f>IF($H59=0,0,IF(COUNTA(QIB_SUBEN)=0,SUMPRODUCT((QIB_CQS=$G59)*(QIB_LACTP)),SUMPRODUCT((QIB_SUBEN=$D59)*(QIB_CQS=$G59)*(QIB_LACTP))))</f>
        <v>0</v>
      </c>
      <c r="L59" s="39">
        <f>IF($H59=0,0,IF(COUNTA(QIB_SUBEN)=0,SUMPRODUCT((QIB_CQS=$G59)*(QIB_LACTP_UL)),SUMPRODUCT((QIB_SUBEN=$D59)*(QIB_CQS=$G59)*(QIB_LACTP_UL))))</f>
        <v>0</v>
      </c>
      <c r="M59" s="1"/>
      <c r="AP59" s="8"/>
      <c r="AQ59" s="8"/>
      <c r="AR59" s="8"/>
      <c r="AS59" s="8"/>
      <c r="AT59" s="8"/>
      <c r="AU59" s="8"/>
      <c r="AV59" s="8"/>
      <c r="AW59" s="8"/>
    </row>
    <row r="60" spans="4:49" s="1" customFormat="1" ht="15">
      <c r="D60" s="1" t="s">
        <v>1</v>
      </c>
      <c r="E60" s="4"/>
      <c r="F60" s="5"/>
      <c r="G60" s="4">
        <v>3</v>
      </c>
      <c r="H60" s="39">
        <f>IF(COUNTA(QIB_SUBEN)=0,SUMPRODUCT((QIB_CQS=$G60)*(QIB_MV)),SUMPRODUCT((QIB_SUBEN=$D60)*(QIB_CQS=$G60)*(QIB_MV)))</f>
        <v>0</v>
      </c>
      <c r="I60" s="68">
        <f>IF($H60=0,0,IF(COUNTA(QIB_SUBEN)=0,SUMPRODUCT((QIB_CQS=$G60)*(QIB_CAP_CRG)),SUMPRODUCT((QIB_SUBEN=$D60)*(QIB_CQS=$G60)*(QIB_CAP_CRG))))</f>
        <v>0</v>
      </c>
      <c r="J60" s="39">
        <f>IF($H60=0,0,IF(COUNTA(QIB_SUBEN)=0,SUMPRODUCT((QIB_CQS=$G60)*(QIB_CAP_CRG_UL)),SUMPRODUCT((QIB_SUBEN=$D60)*(QIB_CQS=$G60)*(QIB_CAP_CRG_UL))))</f>
        <v>0</v>
      </c>
      <c r="K60" s="68">
        <f>IF($H60=0,0,IF(COUNTA(QIB_SUBEN)=0,SUMPRODUCT((QIB_CQS=$G60)*(QIB_LACTP)),SUMPRODUCT((QIB_SUBEN=$D60)*(QIB_CQS=$G60)*(QIB_LACTP))))</f>
        <v>0</v>
      </c>
      <c r="L60" s="39">
        <f>IF($H60=0,0,IF(COUNTA(QIB_SUBEN)=0,SUMPRODUCT((QIB_CQS=$G60)*(QIB_LACTP_UL)),SUMPRODUCT((QIB_SUBEN=$D60)*(QIB_CQS=$G60)*(QIB_LACTP_UL))))</f>
        <v>0</v>
      </c>
      <c r="M60" s="1"/>
      <c r="AP60" s="8"/>
      <c r="AQ60" s="8"/>
      <c r="AR60" s="8"/>
      <c r="AS60" s="8"/>
      <c r="AT60" s="8"/>
      <c r="AU60" s="8"/>
      <c r="AV60" s="8"/>
      <c r="AW60" s="8"/>
    </row>
    <row r="61" spans="4:49" s="1" customFormat="1" ht="15">
      <c r="D61" s="1" t="s">
        <v>1</v>
      </c>
      <c r="E61" s="4"/>
      <c r="F61" s="5"/>
      <c r="G61" s="4">
        <v>4</v>
      </c>
      <c r="H61" s="39">
        <f>IF(COUNTA(QIB_SUBEN)=0,SUMPRODUCT((QIB_CQS=$G61)*(QIB_MV)),SUMPRODUCT((QIB_SUBEN=$D61)*(QIB_CQS=$G61)*(QIB_MV)))</f>
        <v>0</v>
      </c>
      <c r="I61" s="68">
        <f>IF($H61=0,0,IF(COUNTA(QIB_SUBEN)=0,SUMPRODUCT((QIB_CQS=$G61)*(QIB_CAP_CRG)),SUMPRODUCT((QIB_SUBEN=$D61)*(QIB_CQS=$G61)*(QIB_CAP_CRG))))</f>
        <v>0</v>
      </c>
      <c r="J61" s="39">
        <f>IF($H61=0,0,IF(COUNTA(QIB_SUBEN)=0,SUMPRODUCT((QIB_CQS=$G61)*(QIB_CAP_CRG_UL)),SUMPRODUCT((QIB_SUBEN=$D61)*(QIB_CQS=$G61)*(QIB_CAP_CRG_UL))))</f>
        <v>0</v>
      </c>
      <c r="K61" s="68">
        <f>IF($H61=0,0,IF(COUNTA(QIB_SUBEN)=0,SUMPRODUCT((QIB_CQS=$G61)*(QIB_LACTP)),SUMPRODUCT((QIB_SUBEN=$D61)*(QIB_CQS=$G61)*(QIB_LACTP))))</f>
        <v>0</v>
      </c>
      <c r="L61" s="39">
        <f>IF($H61=0,0,IF(COUNTA(QIB_SUBEN)=0,SUMPRODUCT((QIB_CQS=$G61)*(QIB_LACTP_UL)),SUMPRODUCT((QIB_SUBEN=$D61)*(QIB_CQS=$G61)*(QIB_LACTP_UL))))</f>
        <v>0</v>
      </c>
      <c r="M61" s="1"/>
      <c r="AP61" s="8"/>
      <c r="AQ61" s="8"/>
      <c r="AR61" s="8"/>
      <c r="AS61" s="8"/>
      <c r="AT61" s="8"/>
      <c r="AU61" s="8"/>
      <c r="AV61" s="8"/>
      <c r="AW61" s="8"/>
    </row>
    <row r="62" spans="4:49" s="1" customFormat="1" ht="15">
      <c r="D62" s="1" t="s">
        <v>1</v>
      </c>
      <c r="E62" s="4"/>
      <c r="F62" s="5"/>
      <c r="G62" s="4">
        <v>5</v>
      </c>
      <c r="H62" s="39">
        <f>IF(COUNTA(QIB_SUBEN)=0,SUMPRODUCT((QIB_CQS=$G62)*(QIB_MV)),SUMPRODUCT((QIB_SUBEN=$D62)*(QIB_CQS=$G62)*(QIB_MV)))</f>
        <v>0</v>
      </c>
      <c r="I62" s="68">
        <f>IF($H62=0,0,IF(COUNTA(QIB_SUBEN)=0,SUMPRODUCT((QIB_CQS=$G62)*(QIB_CAP_CRG)),SUMPRODUCT((QIB_SUBEN=$D62)*(QIB_CQS=$G62)*(QIB_CAP_CRG))))</f>
        <v>0</v>
      </c>
      <c r="J62" s="39">
        <f>IF($H62=0,0,IF(COUNTA(QIB_SUBEN)=0,SUMPRODUCT((QIB_CQS=$G62)*(QIB_CAP_CRG_UL)),SUMPRODUCT((QIB_SUBEN=$D62)*(QIB_CQS=$G62)*(QIB_CAP_CRG_UL))))</f>
        <v>0</v>
      </c>
      <c r="K62" s="68">
        <f>IF($H62=0,0,IF(COUNTA(QIB_SUBEN)=0,SUMPRODUCT((QIB_CQS=$G62)*(QIB_LACTP)),SUMPRODUCT((QIB_SUBEN=$D62)*(QIB_CQS=$G62)*(QIB_LACTP))))</f>
        <v>0</v>
      </c>
      <c r="L62" s="39">
        <f>IF($H62=0,0,IF(COUNTA(QIB_SUBEN)=0,SUMPRODUCT((QIB_CQS=$G62)*(QIB_LACTP_UL)),SUMPRODUCT((QIB_SUBEN=$D62)*(QIB_CQS=$G62)*(QIB_LACTP_UL))))</f>
        <v>0</v>
      </c>
      <c r="M62" s="1"/>
      <c r="AS62" s="8"/>
      <c r="AT62" s="8"/>
      <c r="AU62" s="8"/>
      <c r="AV62" s="8"/>
      <c r="AW62" s="8"/>
    </row>
    <row r="63" spans="4:49" s="1" customFormat="1" ht="15">
      <c r="D63" s="1" t="s">
        <v>1</v>
      </c>
      <c r="E63" s="4"/>
      <c r="F63" s="5"/>
      <c r="G63" s="4">
        <v>6</v>
      </c>
      <c r="H63" s="39">
        <f>IF(COUNTA(QIB_SUBEN)=0,SUMPRODUCT((QIB_CQS=$G63)*(QIB_MV)),SUMPRODUCT((QIB_SUBEN=$D63)*(QIB_CQS=$G63)*(QIB_MV)))</f>
        <v>0</v>
      </c>
      <c r="I63" s="68">
        <f>IF($H63=0,0,IF(COUNTA(QIB_SUBEN)=0,SUMPRODUCT((QIB_CQS=$G63)*(QIB_CAP_CRG)),SUMPRODUCT((QIB_SUBEN=$D63)*(QIB_CQS=$G63)*(QIB_CAP_CRG))))</f>
        <v>0</v>
      </c>
      <c r="J63" s="39">
        <f>IF($H63=0,0,IF(COUNTA(QIB_SUBEN)=0,SUMPRODUCT((QIB_CQS=$G63)*(QIB_CAP_CRG_UL)),SUMPRODUCT((QIB_SUBEN=$D63)*(QIB_CQS=$G63)*(QIB_CAP_CRG_UL))))</f>
        <v>0</v>
      </c>
      <c r="K63" s="68">
        <f>IF($H63=0,0,IF(COUNTA(QIB_SUBEN)=0,SUMPRODUCT((QIB_CQS=$G63)*(QIB_LACTP)),SUMPRODUCT((QIB_SUBEN=$D63)*(QIB_CQS=$G63)*(QIB_LACTP))))</f>
        <v>0</v>
      </c>
      <c r="L63" s="39">
        <f>IF($H63=0,0,IF(COUNTA(QIB_SUBEN)=0,SUMPRODUCT((QIB_CQS=$G63)*(QIB_LACTP_UL)),SUMPRODUCT((QIB_SUBEN=$D63)*(QIB_CQS=$G63)*(QIB_LACTP_UL))))</f>
        <v>0</v>
      </c>
      <c r="M63" s="1"/>
      <c r="AS63" s="8"/>
      <c r="AT63" s="8"/>
      <c r="AU63" s="8"/>
      <c r="AV63" s="8"/>
      <c r="AW63" s="8"/>
    </row>
    <row r="64" spans="4:49" s="1" customFormat="1" ht="15">
      <c r="D64" s="1" t="s">
        <v>1</v>
      </c>
      <c r="E64" s="4"/>
      <c r="F64" s="5"/>
      <c r="G64" s="15" t="s">
        <v>146</v>
      </c>
      <c r="H64" s="42">
        <f>IF(COUNTA(QIB_SUBEN)=0,SUMPRODUCT((QIB_CQS=$G64)*(QIB_MV)),SUMPRODUCT((QIB_SUBEN=$D64)*(QIB_CQS=$G64)*(QIB_MV)))</f>
        <v>0</v>
      </c>
      <c r="I64" s="46">
        <f>IF($H64=0,0,IF(COUNTA(QIB_SUBEN)=0,SUMPRODUCT((QIB_CQS=$G64)*(QIB_CAP_CRG)),SUMPRODUCT((QIB_SUBEN=$D64)*(QIB_CQS=$G64)*(QIB_CAP_CRG))))</f>
        <v>0</v>
      </c>
      <c r="J64" s="42">
        <f>IF($H64=0,0,IF(COUNTA(QIB_SUBEN)=0,SUMPRODUCT((QIB_CQS=$G64)*(QIB_CAP_CRG_UL)),SUMPRODUCT((QIB_SUBEN=$D64)*(QIB_CQS=$G64)*(QIB_CAP_CRG_UL))))</f>
        <v>0</v>
      </c>
      <c r="K64" s="46">
        <f>IF($H64=0,0,IF(COUNTA(QIB_SUBEN)=0,SUMPRODUCT((QIB_CQS=$G64)*(QIB_LACTP)),SUMPRODUCT((QIB_SUBEN=$D64)*(QIB_CQS=$G64)*(QIB_LACTP))))</f>
        <v>0</v>
      </c>
      <c r="L64" s="42">
        <f>IF($H64=0,0,IF(COUNTA(QIB_SUBEN)=0,SUMPRODUCT((QIB_CQS=$G64)*(QIB_LACTP_UL)),SUMPRODUCT((QIB_SUBEN=$D64)*(QIB_CQS=$G64)*(QIB_LACTP_UL))))</f>
        <v>0</v>
      </c>
      <c r="AS64" s="8"/>
      <c r="AT64" s="8"/>
      <c r="AU64" s="8"/>
      <c r="AV64" s="8"/>
      <c r="AW64" s="8"/>
    </row>
    <row r="65" spans="4:49" s="1" customFormat="1" ht="15">
      <c r="D65" s="1"/>
      <c r="E65" s="4"/>
      <c r="F65" s="5"/>
      <c r="AS65" s="8"/>
      <c r="AT65" s="8"/>
      <c r="AU65" s="8"/>
      <c r="AV65" s="8"/>
      <c r="AW65" s="8"/>
    </row>
    <row r="66" spans="4:49" s="1" customFormat="1" ht="43.5">
      <c r="D66" s="1" t="s">
        <v>1</v>
      </c>
      <c r="E66" s="4"/>
      <c r="F66" s="5"/>
      <c r="G66" s="52" t="s">
        <v>151</v>
      </c>
      <c r="H66" s="53" t="s">
        <v>142</v>
      </c>
      <c r="I66" s="53" t="s">
        <v>143</v>
      </c>
      <c r="J66" s="53" t="s">
        <v>144</v>
      </c>
      <c r="K66" s="53" t="s">
        <v>145</v>
      </c>
      <c r="L66" s="53" t="s">
        <v>144</v>
      </c>
      <c r="AS66" s="8"/>
      <c r="AT66" s="8"/>
      <c r="AU66" s="8"/>
      <c r="AV66" s="8"/>
      <c r="AW66" s="8"/>
    </row>
    <row r="67" spans="4:49" s="1" customFormat="1" ht="15">
      <c r="D67" s="1" t="s">
        <v>1</v>
      </c>
      <c r="E67" s="4"/>
      <c r="F67" s="5"/>
      <c r="G67" s="4">
        <v>0</v>
      </c>
      <c r="H67" s="41">
        <f>IF(COUNTA(EEA_SUBEN)=0,SUMPRODUCT((EEA_CQS=$G67)*(EEA_MV)),SUMPRODUCT((EEA_SUBEN=$D67)*(EEA_CQS=$G67)*(EEA_MV)))</f>
        <v>55863875.087338072</v>
      </c>
      <c r="I67" s="67">
        <f>IF($H67=0,0,IF(COUNTA(EEA_SUBEN)=0,SUMPRODUCT((EEA_CQS=$G67)*(EEA_CAP_CRG)),SUMPRODUCT((EEA_SUBEN=$D67)*(EEA_CQS=$G67)*(EEA_CAP_CRG))))</f>
        <v>0</v>
      </c>
      <c r="J67" s="41">
        <f>IF($H67=0,0,IF(COUNTA(EEA_SUBEN)=0,SUMPRODUCT((EEA_CQS=$G67)*(EEA_CAP_CRG_UL)),SUMPRODUCT((EEA_SUBEN=$D67)*(EEA_CQS=$G67)*(EEA_CAP_CRG_UL))))</f>
        <v>0</v>
      </c>
      <c r="K67" s="67">
        <f>IF($H67=0,0,IF(COUNTA(EEA_SUBEN)=0,SUMPRODUCT((EEA_CQS=$G67)*(EEA_LACTP)),SUMPRODUCT((EEA_SUBEN=$D67)*(EEA_CQS=$G67)*(EEA_LACTP))))</f>
        <v>0</v>
      </c>
      <c r="L67" s="41">
        <f>IF($H67=0,0,IF(COUNTA(EEA_SUBEN)=0,SUMPRODUCT((EEA_CQS=$G67)*(EEA_LACTP_UL)),SUMPRODUCT((EEA_SUBEN=$D67)*(EEA_CQS=$G67)*(EEA_LACTP_UL))))</f>
        <v>0</v>
      </c>
      <c r="M67" s="1"/>
      <c r="AS67" s="8"/>
      <c r="AT67" s="8"/>
      <c r="AU67" s="8"/>
      <c r="AV67" s="8"/>
      <c r="AW67" s="8"/>
    </row>
    <row r="68" spans="4:49" s="1" customFormat="1" ht="15">
      <c r="D68" s="1" t="s">
        <v>1</v>
      </c>
      <c r="E68" s="4"/>
      <c r="F68" s="5"/>
      <c r="G68" s="4">
        <v>1</v>
      </c>
      <c r="H68" s="39">
        <f>IF(COUNTA(EEA_SUBEN)=0,SUMPRODUCT((EEA_CQS=$G68)*(EEA_MV)),SUMPRODUCT((EEA_SUBEN=$D68)*(EEA_CQS=$G68)*(EEA_MV)))</f>
        <v>68754209.173671752</v>
      </c>
      <c r="I68" s="68">
        <f>IF($H68=0,0,IF(COUNTA(EEA_SUBEN)=0,SUMPRODUCT((EEA_CQS=$G68)*(EEA_CAP_CRG)),SUMPRODUCT((EEA_SUBEN=$D68)*(EEA_CQS=$G68)*(EEA_CAP_CRG))))</f>
        <v>0</v>
      </c>
      <c r="J68" s="39">
        <f>IF($H68=0,0,IF(COUNTA(EEA_SUBEN)=0,SUMPRODUCT((EEA_CQS=$G68)*(EEA_CAP_CRG_UL)),SUMPRODUCT((EEA_SUBEN=$D68)*(EEA_CQS=$G68)*(EEA_CAP_CRG_UL))))</f>
        <v>0</v>
      </c>
      <c r="K68" s="68">
        <f>IF($H68=0,0,IF(COUNTA(EEA_SUBEN)=0,SUMPRODUCT((EEA_CQS=$G68)*(EEA_LACTP)),SUMPRODUCT((EEA_SUBEN=$D68)*(EEA_CQS=$G68)*(EEA_LACTP))))</f>
        <v>0</v>
      </c>
      <c r="L68" s="39">
        <f>IF($H68=0,0,IF(COUNTA(EEA_SUBEN)=0,SUMPRODUCT((EEA_CQS=$G68)*(EEA_LACTP_UL)),SUMPRODUCT((EEA_SUBEN=$D68)*(EEA_CQS=$G68)*(EEA_LACTP_UL))))</f>
        <v>0</v>
      </c>
      <c r="M68" s="1"/>
      <c r="AS68" s="8"/>
      <c r="AT68" s="8"/>
      <c r="AU68" s="8"/>
      <c r="AV68" s="8"/>
      <c r="AW68" s="8"/>
    </row>
    <row r="69" spans="4:49" s="1" customFormat="1" ht="15">
      <c r="D69" s="1" t="s">
        <v>1</v>
      </c>
      <c r="E69" s="4"/>
      <c r="F69" s="5"/>
      <c r="G69" s="4">
        <v>2</v>
      </c>
      <c r="H69" s="39">
        <f>IF(COUNTA(EEA_SUBEN)=0,SUMPRODUCT((EEA_CQS=$G69)*(EEA_MV)),SUMPRODUCT((EEA_SUBEN=$D69)*(EEA_CQS=$G69)*(EEA_MV)))</f>
        <v>5902463.9892578128</v>
      </c>
      <c r="I69" s="68">
        <f>IF($H69=0,0,IF(COUNTA(EEA_SUBEN)=0,SUMPRODUCT((EEA_CQS=$G69)*(EEA_CAP_CRG)),SUMPRODUCT((EEA_SUBEN=$D69)*(EEA_CQS=$G69)*(EEA_CAP_CRG))))</f>
        <v>0</v>
      </c>
      <c r="J69" s="39">
        <f>IF($H69=0,0,IF(COUNTA(EEA_SUBEN)=0,SUMPRODUCT((EEA_CQS=$G69)*(EEA_CAP_CRG_UL)),SUMPRODUCT((EEA_SUBEN=$D69)*(EEA_CQS=$G69)*(EEA_CAP_CRG_UL))))</f>
        <v>0</v>
      </c>
      <c r="K69" s="68">
        <f>IF($H69=0,0,IF(COUNTA(EEA_SUBEN)=0,SUMPRODUCT((EEA_CQS=$G69)*(EEA_LACTP)),SUMPRODUCT((EEA_SUBEN=$D69)*(EEA_CQS=$G69)*(EEA_LACTP))))</f>
        <v>0</v>
      </c>
      <c r="L69" s="39">
        <f>IF($H69=0,0,IF(COUNTA(EEA_SUBEN)=0,SUMPRODUCT((EEA_CQS=$G69)*(EEA_LACTP_UL)),SUMPRODUCT((EEA_SUBEN=$D69)*(EEA_CQS=$G69)*(EEA_LACTP_UL))))</f>
        <v>0</v>
      </c>
      <c r="M69" s="1"/>
      <c r="AS69" s="8"/>
      <c r="AT69" s="8"/>
      <c r="AU69" s="8"/>
      <c r="AV69" s="8"/>
      <c r="AW69" s="8"/>
    </row>
    <row r="70" spans="4:49" s="1" customFormat="1" ht="15">
      <c r="D70" s="1" t="s">
        <v>1</v>
      </c>
      <c r="E70" s="4"/>
      <c r="F70" s="5"/>
      <c r="G70" s="4">
        <v>3</v>
      </c>
      <c r="H70" s="39">
        <f>IF(COUNTA(EEA_SUBEN)=0,SUMPRODUCT((EEA_CQS=$G70)*(EEA_MV)),SUMPRODUCT((EEA_SUBEN=$D70)*(EEA_CQS=$G70)*(EEA_MV)))</f>
        <v>3661060.1425170896</v>
      </c>
      <c r="I70" s="68">
        <f>IF($H70=0,0,IF(COUNTA(EEA_SUBEN)=0,SUMPRODUCT((EEA_CQS=$G70)*(EEA_CAP_CRG)),SUMPRODUCT((EEA_SUBEN=$D70)*(EEA_CQS=$G70)*(EEA_CAP_CRG))))</f>
        <v>0</v>
      </c>
      <c r="J70" s="39">
        <f>IF($H70=0,0,IF(COUNTA(EEA_SUBEN)=0,SUMPRODUCT((EEA_CQS=$G70)*(EEA_CAP_CRG_UL)),SUMPRODUCT((EEA_SUBEN=$D70)*(EEA_CQS=$G70)*(EEA_CAP_CRG_UL))))</f>
        <v>0</v>
      </c>
      <c r="K70" s="68">
        <f>IF($H70=0,0,IF(COUNTA(EEA_SUBEN)=0,SUMPRODUCT((EEA_CQS=$G70)*(EEA_LACTP)),SUMPRODUCT((EEA_SUBEN=$D70)*(EEA_CQS=$G70)*(EEA_LACTP))))</f>
        <v>0</v>
      </c>
      <c r="L70" s="39">
        <f>IF($H70=0,0,IF(COUNTA(EEA_SUBEN)=0,SUMPRODUCT((EEA_CQS=$G70)*(EEA_LACTP_UL)),SUMPRODUCT((EEA_SUBEN=$D70)*(EEA_CQS=$G70)*(EEA_LACTP_UL))))</f>
        <v>0</v>
      </c>
      <c r="M70" s="1"/>
      <c r="AS70" s="8"/>
      <c r="AT70" s="8"/>
      <c r="AU70" s="8"/>
      <c r="AV70" s="8"/>
      <c r="AW70" s="8"/>
    </row>
    <row r="71" spans="4:49" s="1" customFormat="1" ht="15">
      <c r="D71" s="1" t="s">
        <v>1</v>
      </c>
      <c r="E71" s="4"/>
      <c r="F71" s="5"/>
      <c r="G71" s="4">
        <v>4</v>
      </c>
      <c r="H71" s="39">
        <f>IF(COUNTA(EEA_SUBEN)=0,SUMPRODUCT((EEA_CQS=$G71)*(EEA_MV)),SUMPRODUCT((EEA_SUBEN=$D71)*(EEA_CQS=$G71)*(EEA_MV)))</f>
        <v>0</v>
      </c>
      <c r="I71" s="68">
        <f>IF($H71=0,0,IF(COUNTA(EEA_SUBEN)=0,SUMPRODUCT((EEA_CQS=$G71)*(EEA_CAP_CRG)),SUMPRODUCT((EEA_SUBEN=$D71)*(EEA_CQS=$G71)*(EEA_CAP_CRG))))</f>
        <v>0</v>
      </c>
      <c r="J71" s="39">
        <f>IF($H71=0,0,IF(COUNTA(EEA_SUBEN)=0,SUMPRODUCT((EEA_CQS=$G71)*(EEA_CAP_CRG_UL)),SUMPRODUCT((EEA_SUBEN=$D71)*(EEA_CQS=$G71)*(EEA_CAP_CRG_UL))))</f>
        <v>0</v>
      </c>
      <c r="K71" s="68">
        <f>IF($H71=0,0,IF(COUNTA(EEA_SUBEN)=0,SUMPRODUCT((EEA_CQS=$G71)*(EEA_LACTP)),SUMPRODUCT((EEA_SUBEN=$D71)*(EEA_CQS=$G71)*(EEA_LACTP))))</f>
        <v>0</v>
      </c>
      <c r="L71" s="39">
        <f>IF($H71=0,0,IF(COUNTA(EEA_SUBEN)=0,SUMPRODUCT((EEA_CQS=$G71)*(EEA_LACTP_UL)),SUMPRODUCT((EEA_SUBEN=$D71)*(EEA_CQS=$G71)*(EEA_LACTP_UL))))</f>
        <v>0</v>
      </c>
      <c r="M71" s="1"/>
      <c r="AP71" s="8"/>
      <c r="AQ71" s="8"/>
      <c r="AR71" s="8"/>
      <c r="AS71" s="8"/>
      <c r="AT71" s="8"/>
      <c r="AU71" s="8"/>
      <c r="AV71" s="8"/>
      <c r="AW71" s="8"/>
    </row>
    <row r="72" spans="4:49" s="1" customFormat="1" ht="15">
      <c r="D72" s="1" t="s">
        <v>1</v>
      </c>
      <c r="E72" s="4"/>
      <c r="F72" s="5"/>
      <c r="G72" s="4">
        <v>5</v>
      </c>
      <c r="H72" s="39">
        <f>IF(COUNTA(EEA_SUBEN)=0,SUMPRODUCT((EEA_CQS=$G72)*(EEA_MV)),SUMPRODUCT((EEA_SUBEN=$D72)*(EEA_CQS=$G72)*(EEA_MV)))</f>
        <v>0</v>
      </c>
      <c r="I72" s="68">
        <f>IF($H72=0,0,IF(COUNTA(EEA_SUBEN)=0,SUMPRODUCT((EEA_CQS=$G72)*(EEA_CAP_CRG)),SUMPRODUCT((EEA_SUBEN=$D72)*(EEA_CQS=$G72)*(EEA_CAP_CRG))))</f>
        <v>0</v>
      </c>
      <c r="J72" s="39">
        <f>IF($H72=0,0,IF(COUNTA(EEA_SUBEN)=0,SUMPRODUCT((EEA_CQS=$G72)*(EEA_CAP_CRG_UL)),SUMPRODUCT((EEA_SUBEN=$D72)*(EEA_CQS=$G72)*(EEA_CAP_CRG_UL))))</f>
        <v>0</v>
      </c>
      <c r="K72" s="68">
        <f>IF($H72=0,0,IF(COUNTA(EEA_SUBEN)=0,SUMPRODUCT((EEA_CQS=$G72)*(EEA_LACTP)),SUMPRODUCT((EEA_SUBEN=$D72)*(EEA_CQS=$G72)*(EEA_LACTP))))</f>
        <v>0</v>
      </c>
      <c r="L72" s="39">
        <f>IF($H72=0,0,IF(COUNTA(EEA_SUBEN)=0,SUMPRODUCT((EEA_CQS=$G72)*(EEA_LACTP_UL)),SUMPRODUCT((EEA_SUBEN=$D72)*(EEA_CQS=$G72)*(EEA_LACTP_UL))))</f>
        <v>0</v>
      </c>
      <c r="M72" s="1"/>
      <c r="AP72" s="8"/>
      <c r="AQ72" s="8"/>
      <c r="AR72" s="8"/>
      <c r="AS72" s="8"/>
      <c r="AT72" s="8"/>
      <c r="AU72" s="8"/>
      <c r="AV72" s="8"/>
      <c r="AW72" s="8"/>
    </row>
    <row r="73" spans="4:49" s="1" customFormat="1" ht="15">
      <c r="D73" s="1" t="s">
        <v>1</v>
      </c>
      <c r="E73" s="4"/>
      <c r="F73" s="5"/>
      <c r="G73" s="4">
        <v>6</v>
      </c>
      <c r="H73" s="39">
        <f>IF(COUNTA(EEA_SUBEN)=0,SUMPRODUCT((EEA_CQS=$G73)*(EEA_MV)),SUMPRODUCT((EEA_SUBEN=$D73)*(EEA_CQS=$G73)*(EEA_MV)))</f>
        <v>0</v>
      </c>
      <c r="I73" s="68">
        <f>IF($H73=0,0,IF(COUNTA(EEA_SUBEN)=0,SUMPRODUCT((EEA_CQS=$G73)*(EEA_CAP_CRG)),SUMPRODUCT((EEA_SUBEN=$D73)*(EEA_CQS=$G73)*(EEA_CAP_CRG))))</f>
        <v>0</v>
      </c>
      <c r="J73" s="39">
        <f>IF($H73=0,0,IF(COUNTA(EEA_SUBEN)=0,SUMPRODUCT((EEA_CQS=$G73)*(EEA_CAP_CRG_UL)),SUMPRODUCT((EEA_SUBEN=$D73)*(EEA_CQS=$G73)*(EEA_CAP_CRG_UL))))</f>
        <v>0</v>
      </c>
      <c r="K73" s="68">
        <f>IF($H73=0,0,IF(COUNTA(EEA_SUBEN)=0,SUMPRODUCT((EEA_CQS=$G73)*(EEA_LACTP)),SUMPRODUCT((EEA_SUBEN=$D73)*(EEA_CQS=$G73)*(EEA_LACTP))))</f>
        <v>0</v>
      </c>
      <c r="L73" s="39">
        <f>IF($H73=0,0,IF(COUNTA(EEA_SUBEN)=0,SUMPRODUCT((EEA_CQS=$G73)*(EEA_LACTP_UL)),SUMPRODUCT((EEA_SUBEN=$D73)*(EEA_CQS=$G73)*(EEA_LACTP_UL))))</f>
        <v>0</v>
      </c>
      <c r="M73" s="1"/>
      <c r="AP73" s="8"/>
      <c r="AQ73" s="8"/>
      <c r="AR73" s="8"/>
      <c r="AS73" s="8"/>
      <c r="AT73" s="8"/>
      <c r="AU73" s="8"/>
      <c r="AV73" s="8"/>
      <c r="AW73" s="8"/>
    </row>
    <row r="74" spans="4:49" s="1" customFormat="1" ht="15">
      <c r="D74" s="1" t="s">
        <v>1</v>
      </c>
      <c r="E74" s="4"/>
      <c r="F74" s="5"/>
      <c r="G74" s="15" t="s">
        <v>146</v>
      </c>
      <c r="H74" s="42">
        <f>IF(COUNTA(EEA_SUBEN)=0,SUMPRODUCT((EEA_CQS=$G74)*(EEA_MV)),SUMPRODUCT((EEA_SUBEN=$D74)*(EEA_CQS=$G74)*(EEA_MV)))</f>
        <v>-971.86147766</v>
      </c>
      <c r="I74" s="46">
        <f>IF($H74=0,0,IF(COUNTA(EEA_SUBEN)=0,SUMPRODUCT((EEA_CQS=$G74)*(EEA_CAP_CRG)),SUMPRODUCT((EEA_SUBEN=$D74)*(EEA_CQS=$G74)*(EEA_CAP_CRG))))</f>
        <v>0</v>
      </c>
      <c r="J74" s="42">
        <f>IF($H74=0,0,IF(COUNTA(EEA_SUBEN)=0,SUMPRODUCT((EEA_CQS=$G74)*(EEA_CAP_CRG_UL)),SUMPRODUCT((EEA_SUBEN=$D74)*(EEA_CQS=$G74)*(EEA_CAP_CRG_UL))))</f>
        <v>0</v>
      </c>
      <c r="K74" s="46">
        <f>IF($H74=0,0,IF(COUNTA(EEA_SUBEN)=0,SUMPRODUCT((EEA_CQS=$G74)*(EEA_LACTP)),SUMPRODUCT((EEA_SUBEN=$D74)*(EEA_CQS=$G74)*(EEA_LACTP))))</f>
        <v>0</v>
      </c>
      <c r="L74" s="42">
        <f>IF($H74=0,0,IF(COUNTA(EEA_SUBEN)=0,SUMPRODUCT((EEA_CQS=$G74)*(EEA_LACTP_UL)),SUMPRODUCT((EEA_SUBEN=$D74)*(EEA_CQS=$G74)*(EEA_LACTP_UL))))</f>
        <v>0</v>
      </c>
      <c r="M74" s="1"/>
      <c r="AW74" s="8"/>
    </row>
    <row r="75" spans="4:49" s="1" customFormat="1" ht="15">
      <c r="D75" s="1" t="s">
        <v>1</v>
      </c>
      <c r="E75" s="4"/>
      <c r="F75" s="5"/>
      <c r="L75" s="1"/>
      <c r="AW75" s="8"/>
    </row>
    <row r="76" spans="4:49" s="1" customFormat="1" ht="43.5">
      <c r="D76" s="1" t="s">
        <v>1</v>
      </c>
      <c r="E76" s="4"/>
      <c r="F76" s="5"/>
      <c r="G76" s="52" t="s">
        <v>152</v>
      </c>
      <c r="H76" s="53" t="s">
        <v>142</v>
      </c>
      <c r="I76" s="53" t="s">
        <v>143</v>
      </c>
      <c r="J76" s="53" t="s">
        <v>144</v>
      </c>
      <c r="K76" s="53" t="s">
        <v>145</v>
      </c>
      <c r="L76" s="53" t="s">
        <v>144</v>
      </c>
      <c r="AW76" s="8"/>
    </row>
    <row r="77" spans="4:49" s="1" customFormat="1" ht="15">
      <c r="D77" s="1" t="s">
        <v>1</v>
      </c>
      <c r="E77" s="4"/>
      <c r="F77" s="5"/>
      <c r="G77" s="4">
        <v>0</v>
      </c>
      <c r="H77" s="41">
        <f>IF(COUNTA(SUP_SUBEN)=0,SUMPRODUCT((SUP_CQS=$G77)*(SUP_MV)),SUMPRODUCT((SUP_SUBEN=$D77)*(SUP_CQS=$G77)*(SUP_MV)))</f>
        <v>89471.834580218688</v>
      </c>
      <c r="I77" s="67">
        <f>IF($H77=0,0,IF(COUNTA(SUP_SUBEN)=0,SUMPRODUCT((SUP_CQS=$G77)*(SUP_CAP_CRG)),SUMPRODUCT((SUP_SUBEN=$D77)*(SUP_CQS=$G77)*(SUP_CAP_CRG))))</f>
        <v>0</v>
      </c>
      <c r="J77" s="41">
        <f>IF($H77=0,0,IF(COUNTA(SUP_SUBEN)=0,SUMPRODUCT((SUP_CQS=$G77)*(SUP_CAP_CRG_UL)),SUMPRODUCT((SUP_SUBEN=$D77)*(SUP_CQS=$G77)*(SUP_CAP_CRG_UL))))</f>
        <v>0</v>
      </c>
      <c r="K77" s="67">
        <f>IF($H77=0,0,IF(COUNTA(SUP_SUBEN)=0,SUMPRODUCT((SUP_CQS=$G77)*(SUP_LACTP)),SUMPRODUCT((SUP_SUBEN=$D77)*(SUP_CQS=$G77)*(SUP_LACTP))))</f>
        <v>0</v>
      </c>
      <c r="L77" s="41">
        <f>IF($H77=0,0,IF(COUNTA(SUP_SUBEN)=0,SUMPRODUCT((SUP_CQS=$G77)*(SUP_LACTP_UL)),SUMPRODUCT((SUP_SUBEN=$D77)*(SUP_CQS=$G77)*(SUP_LACTP_UL))))</f>
        <v>0</v>
      </c>
      <c r="M77" s="1"/>
      <c r="AW77" s="8"/>
    </row>
    <row r="78" spans="4:49" s="1" customFormat="1" ht="15">
      <c r="D78" s="1" t="s">
        <v>1</v>
      </c>
      <c r="E78" s="4"/>
      <c r="F78" s="5"/>
      <c r="G78" s="4">
        <v>1</v>
      </c>
      <c r="H78" s="39">
        <f>IF(COUNTA(SUP_SUBEN)=0,SUMPRODUCT((SUP_CQS=$G78)*(SUP_MV)),SUMPRODUCT((SUP_SUBEN=$D78)*(SUP_CQS=$G78)*(SUP_MV)))</f>
        <v>1047664.439422787</v>
      </c>
      <c r="I78" s="68">
        <f>IF($H78=0,0,IF(COUNTA(SUP_SUBEN)=0,SUMPRODUCT((SUP_CQS=$G78)*(SUP_CAP_CRG)),SUMPRODUCT((SUP_SUBEN=$D78)*(SUP_CQS=$G78)*(SUP_CAP_CRG))))</f>
        <v>0</v>
      </c>
      <c r="J78" s="39">
        <f>IF($H78=0,0,IF(COUNTA(SUP_SUBEN)=0,SUMPRODUCT((SUP_CQS=$G78)*(SUP_CAP_CRG_UL)),SUMPRODUCT((SUP_SUBEN=$D78)*(SUP_CQS=$G78)*(SUP_CAP_CRG_UL))))</f>
        <v>0</v>
      </c>
      <c r="K78" s="68">
        <f>IF($H78=0,0,IF(COUNTA(SUP_SUBEN)=0,SUMPRODUCT((SUP_CQS=$G78)*(SUP_LACTP)),SUMPRODUCT((SUP_SUBEN=$D78)*(SUP_CQS=$G78)*(SUP_LACTP))))</f>
        <v>0</v>
      </c>
      <c r="L78" s="39">
        <f>IF($H78=0,0,IF(COUNTA(SUP_SUBEN)=0,SUMPRODUCT((SUP_CQS=$G78)*(SUP_LACTP_UL)),SUMPRODUCT((SUP_SUBEN=$D78)*(SUP_CQS=$G78)*(SUP_LACTP_UL))))</f>
        <v>0</v>
      </c>
      <c r="M78" s="1"/>
      <c r="AW78" s="8"/>
    </row>
    <row r="79" spans="4:49" s="1" customFormat="1" ht="15">
      <c r="D79" s="1" t="s">
        <v>1</v>
      </c>
      <c r="E79" s="4"/>
      <c r="F79" s="5"/>
      <c r="G79" s="4">
        <v>2</v>
      </c>
      <c r="H79" s="39">
        <f>IF(COUNTA(SUP_SUBEN)=0,SUMPRODUCT((SUP_CQS=$G79)*(SUP_MV)),SUMPRODUCT((SUP_SUBEN=$D79)*(SUP_CQS=$G79)*(SUP_MV)))</f>
        <v>0</v>
      </c>
      <c r="I79" s="68">
        <f>IF($H79=0,0,IF(COUNTA(SUP_SUBEN)=0,SUMPRODUCT((SUP_CQS=$G79)*(SUP_CAP_CRG)),SUMPRODUCT((SUP_SUBEN=$D79)*(SUP_CQS=$G79)*(SUP_CAP_CRG))))</f>
        <v>0</v>
      </c>
      <c r="J79" s="39">
        <f>IF($H79=0,0,IF(COUNTA(SUP_SUBEN)=0,SUMPRODUCT((SUP_CQS=$G79)*(SUP_CAP_CRG_UL)),SUMPRODUCT((SUP_SUBEN=$D79)*(SUP_CQS=$G79)*(SUP_CAP_CRG_UL))))</f>
        <v>0</v>
      </c>
      <c r="K79" s="68">
        <f>IF($H79=0,0,IF(COUNTA(SUP_SUBEN)=0,SUMPRODUCT((SUP_CQS=$G79)*(SUP_LACTP)),SUMPRODUCT((SUP_SUBEN=$D79)*(SUP_CQS=$G79)*(SUP_LACTP))))</f>
        <v>0</v>
      </c>
      <c r="L79" s="39">
        <f>IF($H79=0,0,IF(COUNTA(SUP_SUBEN)=0,SUMPRODUCT((SUP_CQS=$G79)*(SUP_LACTP_UL)),SUMPRODUCT((SUP_SUBEN=$D79)*(SUP_CQS=$G79)*(SUP_LACTP_UL))))</f>
        <v>0</v>
      </c>
      <c r="M79" s="1"/>
      <c r="AW79" s="8"/>
    </row>
    <row r="80" spans="4:49" s="1" customFormat="1" ht="15">
      <c r="D80" s="1" t="s">
        <v>1</v>
      </c>
      <c r="E80" s="4"/>
      <c r="F80" s="5"/>
      <c r="G80" s="4">
        <v>3</v>
      </c>
      <c r="H80" s="39">
        <f>IF(COUNTA(SUP_SUBEN)=0,SUMPRODUCT((SUP_CQS=$G80)*(SUP_MV)),SUMPRODUCT((SUP_SUBEN=$D80)*(SUP_CQS=$G80)*(SUP_MV)))</f>
        <v>17631.504092320648</v>
      </c>
      <c r="I80" s="68">
        <f>IF($H80=0,0,IF(COUNTA(SUP_SUBEN)=0,SUMPRODUCT((SUP_CQS=$G80)*(SUP_CAP_CRG)),SUMPRODUCT((SUP_SUBEN=$D80)*(SUP_CQS=$G80)*(SUP_CAP_CRG))))</f>
        <v>0</v>
      </c>
      <c r="J80" s="39">
        <f>IF($H80=0,0,IF(COUNTA(SUP_SUBEN)=0,SUMPRODUCT((SUP_CQS=$G80)*(SUP_CAP_CRG_UL)),SUMPRODUCT((SUP_SUBEN=$D80)*(SUP_CQS=$G80)*(SUP_CAP_CRG_UL))))</f>
        <v>0</v>
      </c>
      <c r="K80" s="68">
        <f>IF($H80=0,0,IF(COUNTA(SUP_SUBEN)=0,SUMPRODUCT((SUP_CQS=$G80)*(SUP_LACTP)),SUMPRODUCT((SUP_SUBEN=$D80)*(SUP_CQS=$G80)*(SUP_LACTP))))</f>
        <v>0</v>
      </c>
      <c r="L80" s="39">
        <f>IF($H80=0,0,IF(COUNTA(SUP_SUBEN)=0,SUMPRODUCT((SUP_CQS=$G80)*(SUP_LACTP_UL)),SUMPRODUCT((SUP_SUBEN=$D80)*(SUP_CQS=$G80)*(SUP_LACTP_UL))))</f>
        <v>0</v>
      </c>
      <c r="M80" s="1"/>
      <c r="AW80" s="8"/>
    </row>
    <row r="81" spans="4:49" s="1" customFormat="1" ht="15">
      <c r="D81" s="1" t="s">
        <v>1</v>
      </c>
      <c r="E81" s="4"/>
      <c r="F81" s="5"/>
      <c r="G81" s="4">
        <v>4</v>
      </c>
      <c r="H81" s="39">
        <f>IF(COUNTA(SUP_SUBEN)=0,SUMPRODUCT((SUP_CQS=$G81)*(SUP_MV)),SUMPRODUCT((SUP_SUBEN=$D81)*(SUP_CQS=$G81)*(SUP_MV)))</f>
        <v>0</v>
      </c>
      <c r="I81" s="68">
        <f>IF($H81=0,0,IF(COUNTA(SUP_SUBEN)=0,SUMPRODUCT((SUP_CQS=$G81)*(SUP_CAP_CRG)),SUMPRODUCT((SUP_SUBEN=$D81)*(SUP_CQS=$G81)*(SUP_CAP_CRG))))</f>
        <v>0</v>
      </c>
      <c r="J81" s="39">
        <f>IF($H81=0,0,IF(COUNTA(SUP_SUBEN)=0,SUMPRODUCT((SUP_CQS=$G81)*(SUP_CAP_CRG_UL)),SUMPRODUCT((SUP_SUBEN=$D81)*(SUP_CQS=$G81)*(SUP_CAP_CRG_UL))))</f>
        <v>0</v>
      </c>
      <c r="K81" s="68">
        <f>IF($H81=0,0,IF(COUNTA(SUP_SUBEN)=0,SUMPRODUCT((SUP_CQS=$G81)*(SUP_LACTP)),SUMPRODUCT((SUP_SUBEN=$D81)*(SUP_CQS=$G81)*(SUP_LACTP))))</f>
        <v>0</v>
      </c>
      <c r="L81" s="39">
        <f>IF($H81=0,0,IF(COUNTA(SUP_SUBEN)=0,SUMPRODUCT((SUP_CQS=$G81)*(SUP_LACTP_UL)),SUMPRODUCT((SUP_SUBEN=$D81)*(SUP_CQS=$G81)*(SUP_LACTP_UL))))</f>
        <v>0</v>
      </c>
      <c r="M81" s="1"/>
      <c r="AW81" s="8"/>
    </row>
    <row r="82" spans="4:49" s="1" customFormat="1" ht="15">
      <c r="D82" s="1" t="s">
        <v>1</v>
      </c>
      <c r="E82" s="4"/>
      <c r="F82" s="5"/>
      <c r="G82" s="4">
        <v>5</v>
      </c>
      <c r="H82" s="39">
        <f>IF(COUNTA(SUP_SUBEN)=0,SUMPRODUCT((SUP_CQS=$G82)*(SUP_MV)),SUMPRODUCT((SUP_SUBEN=$D82)*(SUP_CQS=$G82)*(SUP_MV)))</f>
        <v>0</v>
      </c>
      <c r="I82" s="68">
        <f>IF($H82=0,0,IF(COUNTA(SUP_SUBEN)=0,SUMPRODUCT((SUP_CQS=$G82)*(SUP_CAP_CRG)),SUMPRODUCT((SUP_SUBEN=$D82)*(SUP_CQS=$G82)*(SUP_CAP_CRG))))</f>
        <v>0</v>
      </c>
      <c r="J82" s="39">
        <f>IF($H82=0,0,IF(COUNTA(SUP_SUBEN)=0,SUMPRODUCT((SUP_CQS=$G82)*(SUP_CAP_CRG_UL)),SUMPRODUCT((SUP_SUBEN=$D82)*(SUP_CQS=$G82)*(SUP_CAP_CRG_UL))))</f>
        <v>0</v>
      </c>
      <c r="K82" s="68">
        <f>IF($H82=0,0,IF(COUNTA(SUP_SUBEN)=0,SUMPRODUCT((SUP_CQS=$G82)*(SUP_LACTP)),SUMPRODUCT((SUP_SUBEN=$D82)*(SUP_CQS=$G82)*(SUP_LACTP))))</f>
        <v>0</v>
      </c>
      <c r="L82" s="39">
        <f>IF($H82=0,0,IF(COUNTA(SUP_SUBEN)=0,SUMPRODUCT((SUP_CQS=$G82)*(SUP_LACTP_UL)),SUMPRODUCT((SUP_SUBEN=$D82)*(SUP_CQS=$G82)*(SUP_LACTP_UL))))</f>
        <v>0</v>
      </c>
      <c r="M82" s="1"/>
      <c r="AW82" s="8"/>
    </row>
    <row r="83" spans="4:49" s="1" customFormat="1" ht="15">
      <c r="D83" s="1" t="s">
        <v>1</v>
      </c>
      <c r="E83" s="4"/>
      <c r="F83" s="5"/>
      <c r="G83" s="4">
        <v>6</v>
      </c>
      <c r="H83" s="39">
        <f>IF(COUNTA(SUP_SUBEN)=0,SUMPRODUCT((SUP_CQS=$G83)*(SUP_MV)),SUMPRODUCT((SUP_SUBEN=$D83)*(SUP_CQS=$G83)*(SUP_MV)))</f>
        <v>0</v>
      </c>
      <c r="I83" s="68">
        <f>IF($H83=0,0,IF(COUNTA(SUP_SUBEN)=0,SUMPRODUCT((SUP_CQS=$G83)*(SUP_CAP_CRG)),SUMPRODUCT((SUP_SUBEN=$D83)*(SUP_CQS=$G83)*(SUP_CAP_CRG))))</f>
        <v>0</v>
      </c>
      <c r="J83" s="39">
        <f>IF($H83=0,0,IF(COUNTA(SUP_SUBEN)=0,SUMPRODUCT((SUP_CQS=$G83)*(SUP_CAP_CRG_UL)),SUMPRODUCT((SUP_SUBEN=$D83)*(SUP_CQS=$G83)*(SUP_CAP_CRG_UL))))</f>
        <v>0</v>
      </c>
      <c r="K83" s="68">
        <f>IF($H83=0,0,IF(COUNTA(SUP_SUBEN)=0,SUMPRODUCT((SUP_CQS=$G83)*(SUP_LACTP)),SUMPRODUCT((SUP_SUBEN=$D83)*(SUP_CQS=$G83)*(SUP_LACTP))))</f>
        <v>0</v>
      </c>
      <c r="L83" s="39">
        <f>IF($H83=0,0,IF(COUNTA(SUP_SUBEN)=0,SUMPRODUCT((SUP_CQS=$G83)*(SUP_LACTP_UL)),SUMPRODUCT((SUP_SUBEN=$D83)*(SUP_CQS=$G83)*(SUP_LACTP_UL))))</f>
        <v>0</v>
      </c>
      <c r="M83" s="1"/>
      <c r="AW83" s="8"/>
    </row>
    <row r="84" spans="4:49" s="1" customFormat="1" ht="15">
      <c r="D84" s="1" t="s">
        <v>1</v>
      </c>
      <c r="E84" s="4"/>
      <c r="F84" s="5"/>
      <c r="G84" s="15" t="s">
        <v>146</v>
      </c>
      <c r="H84" s="42">
        <f>IF(COUNTA(SUP_SUBEN)=0,SUMPRODUCT((SUP_CQS=$G84)*(SUP_MV)),SUMPRODUCT((SUP_SUBEN=$D84)*(SUP_CQS=$G84)*(SUP_MV)))</f>
        <v>0</v>
      </c>
      <c r="I84" s="46">
        <f>IF($H84=0,0,IF(COUNTA(SUP_SUBEN)=0,SUMPRODUCT((SUP_CQS=$G84)*(SUP_CAP_CRG)),SUMPRODUCT((SUP_SUBEN=$D84)*(SUP_CQS=$G84)*(SUP_CAP_CRG))))</f>
        <v>0</v>
      </c>
      <c r="J84" s="42">
        <f>IF($H84=0,0,IF(COUNTA(SUP_SUBEN)=0,SUMPRODUCT((SUP_CQS=$G84)*(SUP_CAP_CRG_UL)),SUMPRODUCT((SUP_SUBEN=$D84)*(SUP_CQS=$G84)*(SUP_CAP_CRG_UL))))</f>
        <v>0</v>
      </c>
      <c r="K84" s="46">
        <f>IF($H84=0,0,IF(COUNTA(SUP_SUBEN)=0,SUMPRODUCT((SUP_CQS=$G84)*(SUP_LACTP)),SUMPRODUCT((SUP_SUBEN=$D84)*(SUP_CQS=$G84)*(SUP_LACTP))))</f>
        <v>0</v>
      </c>
      <c r="L84" s="42">
        <f>IF($H84=0,0,IF(COUNTA(SUP_SUBEN)=0,SUMPRODUCT((SUP_CQS=$G84)*(SUP_LACTP_UL)),SUMPRODUCT((SUP_SUBEN=$D84)*(SUP_CQS=$G84)*(SUP_LACTP_UL))))</f>
        <v>0</v>
      </c>
      <c r="M84" s="1"/>
      <c r="AW84" s="8"/>
    </row>
    <row r="85" spans="4:49" s="1" customFormat="1" ht="15">
      <c r="D85" s="1" t="s">
        <v>1</v>
      </c>
      <c r="E85" s="4"/>
      <c r="F85" s="5"/>
      <c r="L85" s="1"/>
      <c r="AW85" s="8"/>
    </row>
    <row r="86" spans="4:49" s="1" customFormat="1" ht="43.5">
      <c r="D86" s="1" t="s">
        <v>1</v>
      </c>
      <c r="E86" s="4"/>
      <c r="F86" s="5"/>
      <c r="G86" s="52" t="s">
        <v>153</v>
      </c>
      <c r="H86" s="53" t="s">
        <v>142</v>
      </c>
      <c r="I86" s="53" t="s">
        <v>143</v>
      </c>
      <c r="J86" s="53" t="s">
        <v>144</v>
      </c>
      <c r="K86" s="53" t="s">
        <v>145</v>
      </c>
      <c r="L86" s="53" t="s">
        <v>144</v>
      </c>
      <c r="AP86" s="8"/>
      <c r="AQ86" s="8"/>
      <c r="AR86" s="8"/>
      <c r="AS86" s="8"/>
      <c r="AT86" s="8"/>
      <c r="AU86" s="8"/>
      <c r="AV86" s="8"/>
      <c r="AW86" s="8"/>
    </row>
    <row r="87" spans="4:49" s="1" customFormat="1" ht="15">
      <c r="D87" s="1" t="s">
        <v>1</v>
      </c>
      <c r="E87" s="4"/>
      <c r="F87" s="5"/>
      <c r="G87" s="4">
        <v>0</v>
      </c>
      <c r="H87" s="41">
        <f>IF(COUNTA(LOC_SUBEN)=0,SUMPRODUCT((LOC_CQS=$G87)*(LOC_MV)),SUMPRODUCT((LOC_SUBEN=$D87)*(LOC_CQS=$G87)*(LOC_MV)))</f>
        <v>0</v>
      </c>
      <c r="I87" s="67">
        <f>IF($H87=0,0,IF(COUNTA(LOC_SUBEN)=0,SUMPRODUCT((LOC_CQS=$G87)*(LOC_CAP_CRG)),SUMPRODUCT((LOC_SUBEN=$D87)*(LOC_CQS=$G87)*(LOC_CAP_CRG))))</f>
        <v>0</v>
      </c>
      <c r="J87" s="41">
        <f>IF($H87=0,0,IF(COUNTA(LOC_SUBEN)=0,SUMPRODUCT((LOC_CQS=$G87)*(LOC_CAP_CRG_UL)),SUMPRODUCT((LOC_SUBEN=$D87)*(LOC_CQS=$G87)*(LOC_CAP_CRG_UL))))</f>
        <v>0</v>
      </c>
      <c r="K87" s="67">
        <f>IF($H87=0,0,IF(COUNTA(LOC_SUBEN)=0,SUMPRODUCT((LOC_CQS=$G87)*(LOC_LACTP)),SUMPRODUCT((LOC_SUBEN=$D87)*(LOC_CQS=$G87)*(LOC_LACTP))))</f>
        <v>0</v>
      </c>
      <c r="L87" s="41">
        <f>IF($H87=0,0,IF(COUNTA(LOC_SUBEN)=0,SUMPRODUCT((LOC_CQS=$G87)*(LOC_LACTP_UL)),SUMPRODUCT((LOC_SUBEN=$D87)*(LOC_CQS=$G87)*(LOC_LACTP_UL))))</f>
        <v>0</v>
      </c>
      <c r="M87" s="1"/>
      <c r="AP87" s="8"/>
      <c r="AQ87" s="8"/>
      <c r="AR87" s="8"/>
      <c r="AS87" s="8"/>
      <c r="AT87" s="8"/>
      <c r="AU87" s="8"/>
      <c r="AV87" s="8"/>
      <c r="AW87" s="8"/>
    </row>
    <row r="88" spans="4:49" s="1" customFormat="1" ht="15">
      <c r="D88" s="1" t="s">
        <v>1</v>
      </c>
      <c r="E88" s="4"/>
      <c r="F88" s="5"/>
      <c r="G88" s="4">
        <v>1</v>
      </c>
      <c r="H88" s="39">
        <f>IF(COUNTA(LOC_SUBEN)=0,SUMPRODUCT((LOC_CQS=$G88)*(LOC_MV)),SUMPRODUCT((LOC_SUBEN=$D88)*(LOC_CQS=$G88)*(LOC_MV)))</f>
        <v>2090434.5703125</v>
      </c>
      <c r="I88" s="68">
        <f>IF($H88=0,0,IF(COUNTA(LOC_SUBEN)=0,SUMPRODUCT((LOC_CQS=$G88)*(LOC_CAP_CRG)),SUMPRODUCT((LOC_SUBEN=$D88)*(LOC_CQS=$G88)*(LOC_CAP_CRG))))</f>
        <v>0</v>
      </c>
      <c r="J88" s="39">
        <f>IF($H88=0,0,IF(COUNTA(LOC_SUBEN)=0,SUMPRODUCT((LOC_CQS=$G88)*(LOC_CAP_CRG_UL)),SUMPRODUCT((LOC_SUBEN=$D88)*(LOC_CQS=$G88)*(LOC_CAP_CRG_UL))))</f>
        <v>0</v>
      </c>
      <c r="K88" s="68">
        <f>IF($H88=0,0,IF(COUNTA(LOC_SUBEN)=0,SUMPRODUCT((LOC_CQS=$G88)*(LOC_LACTP)),SUMPRODUCT((LOC_SUBEN=$D88)*(LOC_CQS=$G88)*(LOC_LACTP))))</f>
        <v>0</v>
      </c>
      <c r="L88" s="39">
        <f>IF($H88=0,0,IF(COUNTA(LOC_SUBEN)=0,SUMPRODUCT((LOC_CQS=$G88)*(LOC_LACTP_UL)),SUMPRODUCT((LOC_SUBEN=$D88)*(LOC_CQS=$G88)*(LOC_LACTP_UL))))</f>
        <v>0</v>
      </c>
      <c r="M88" s="1"/>
      <c r="AP88" s="8"/>
      <c r="AQ88" s="8"/>
      <c r="AR88" s="8"/>
      <c r="AS88" s="8"/>
      <c r="AT88" s="8"/>
      <c r="AU88" s="8"/>
      <c r="AV88" s="8"/>
      <c r="AW88" s="8"/>
    </row>
    <row r="89" spans="4:49" s="1" customFormat="1" ht="15">
      <c r="D89" s="1" t="s">
        <v>1</v>
      </c>
      <c r="E89" s="4"/>
      <c r="F89" s="5"/>
      <c r="G89" s="4">
        <v>2</v>
      </c>
      <c r="H89" s="39">
        <f>IF(COUNTA(LOC_SUBEN)=0,SUMPRODUCT((LOC_CQS=$G89)*(LOC_MV)),SUMPRODUCT((LOC_SUBEN=$D89)*(LOC_CQS=$G89)*(LOC_MV)))</f>
        <v>4621.0043966907648</v>
      </c>
      <c r="I89" s="68">
        <f>IF($H89=0,0,IF(COUNTA(LOC_SUBEN)=0,SUMPRODUCT((LOC_CQS=$G89)*(LOC_CAP_CRG)),SUMPRODUCT((LOC_SUBEN=$D89)*(LOC_CQS=$G89)*(LOC_CAP_CRG))))</f>
        <v>50.831048363598424</v>
      </c>
      <c r="J89" s="39">
        <f>IF($H89=0,0,IF(COUNTA(LOC_SUBEN)=0,SUMPRODUCT((LOC_CQS=$G89)*(LOC_CAP_CRG_UL)),SUMPRODUCT((LOC_SUBEN=$D89)*(LOC_CQS=$G89)*(LOC_CAP_CRG_UL))))</f>
        <v>0</v>
      </c>
      <c r="K89" s="68">
        <f>IF($H89=0,0,IF(COUNTA(LOC_SUBEN)=0,SUMPRODUCT((LOC_CQS=$G89)*(LOC_LACTP)),SUMPRODUCT((LOC_SUBEN=$D89)*(LOC_CQS=$G89)*(LOC_LACTP))))</f>
        <v>2.7843370067755684</v>
      </c>
      <c r="L89" s="39">
        <f>IF($H89=0,0,IF(COUNTA(LOC_SUBEN)=0,SUMPRODUCT((LOC_CQS=$G89)*(LOC_LACTP_UL)),SUMPRODUCT((LOC_SUBEN=$D89)*(LOC_CQS=$G89)*(LOC_LACTP_UL))))</f>
        <v>0</v>
      </c>
      <c r="M89" s="1"/>
      <c r="AP89" s="8"/>
      <c r="AQ89" s="8"/>
      <c r="AR89" s="8"/>
      <c r="AS89" s="8"/>
      <c r="AT89" s="8"/>
      <c r="AU89" s="8"/>
      <c r="AV89" s="8"/>
      <c r="AW89" s="8"/>
    </row>
    <row r="90" spans="4:49" s="1" customFormat="1" ht="15">
      <c r="D90" s="1" t="s">
        <v>1</v>
      </c>
      <c r="E90" s="4"/>
      <c r="F90" s="5"/>
      <c r="G90" s="4">
        <v>3</v>
      </c>
      <c r="H90" s="39">
        <f>IF(COUNTA(LOC_SUBEN)=0,SUMPRODUCT((LOC_CQS=$G90)*(LOC_MV)),SUMPRODUCT((LOC_SUBEN=$D90)*(LOC_CQS=$G90)*(LOC_MV)))</f>
        <v>0</v>
      </c>
      <c r="I90" s="68">
        <f>IF($H90=0,0,IF(COUNTA(LOC_SUBEN)=0,SUMPRODUCT((LOC_CQS=$G90)*(LOC_CAP_CRG)),SUMPRODUCT((LOC_SUBEN=$D90)*(LOC_CQS=$G90)*(LOC_CAP_CRG))))</f>
        <v>0</v>
      </c>
      <c r="J90" s="39">
        <f>IF($H90=0,0,IF(COUNTA(LOC_SUBEN)=0,SUMPRODUCT((LOC_CQS=$G90)*(LOC_CAP_CRG_UL)),SUMPRODUCT((LOC_SUBEN=$D90)*(LOC_CQS=$G90)*(LOC_CAP_CRG_UL))))</f>
        <v>0</v>
      </c>
      <c r="K90" s="68">
        <f>IF($H90=0,0,IF(COUNTA(LOC_SUBEN)=0,SUMPRODUCT((LOC_CQS=$G90)*(LOC_LACTP)),SUMPRODUCT((LOC_SUBEN=$D90)*(LOC_CQS=$G90)*(LOC_LACTP))))</f>
        <v>0</v>
      </c>
      <c r="L90" s="39">
        <f>IF($H90=0,0,IF(COUNTA(LOC_SUBEN)=0,SUMPRODUCT((LOC_CQS=$G90)*(LOC_LACTP_UL)),SUMPRODUCT((LOC_SUBEN=$D90)*(LOC_CQS=$G90)*(LOC_LACTP_UL))))</f>
        <v>0</v>
      </c>
      <c r="M90" s="1"/>
      <c r="AP90" s="8"/>
      <c r="AQ90" s="8"/>
      <c r="AR90" s="8"/>
      <c r="AS90" s="8"/>
      <c r="AT90" s="8"/>
      <c r="AU90" s="8"/>
      <c r="AV90" s="8"/>
      <c r="AW90" s="8"/>
    </row>
    <row r="91" spans="4:49" s="1" customFormat="1" ht="15">
      <c r="D91" s="1" t="s">
        <v>1</v>
      </c>
      <c r="E91" s="4"/>
      <c r="F91" s="5"/>
      <c r="G91" s="4">
        <v>4</v>
      </c>
      <c r="H91" s="39">
        <f>IF(COUNTA(LOC_SUBEN)=0,SUMPRODUCT((LOC_CQS=$G91)*(LOC_MV)),SUMPRODUCT((LOC_SUBEN=$D91)*(LOC_CQS=$G91)*(LOC_MV)))</f>
        <v>0</v>
      </c>
      <c r="I91" s="68">
        <f>IF($H91=0,0,IF(COUNTA(LOC_SUBEN)=0,SUMPRODUCT((LOC_CQS=$G91)*(LOC_CAP_CRG)),SUMPRODUCT((LOC_SUBEN=$D91)*(LOC_CQS=$G91)*(LOC_CAP_CRG))))</f>
        <v>0</v>
      </c>
      <c r="J91" s="39">
        <f>IF($H91=0,0,IF(COUNTA(LOC_SUBEN)=0,SUMPRODUCT((LOC_CQS=$G91)*(LOC_CAP_CRG_UL)),SUMPRODUCT((LOC_SUBEN=$D91)*(LOC_CQS=$G91)*(LOC_CAP_CRG_UL))))</f>
        <v>0</v>
      </c>
      <c r="K91" s="68">
        <f>IF($H91=0,0,IF(COUNTA(LOC_SUBEN)=0,SUMPRODUCT((LOC_CQS=$G91)*(LOC_LACTP)),SUMPRODUCT((LOC_SUBEN=$D91)*(LOC_CQS=$G91)*(LOC_LACTP))))</f>
        <v>0</v>
      </c>
      <c r="L91" s="39">
        <f>IF($H91=0,0,IF(COUNTA(LOC_SUBEN)=0,SUMPRODUCT((LOC_CQS=$G91)*(LOC_LACTP_UL)),SUMPRODUCT((LOC_SUBEN=$D91)*(LOC_CQS=$G91)*(LOC_LACTP_UL))))</f>
        <v>0</v>
      </c>
      <c r="M91" s="1"/>
      <c r="AP91" s="8"/>
      <c r="AQ91" s="8"/>
      <c r="AR91" s="8"/>
      <c r="AS91" s="8"/>
      <c r="AT91" s="8"/>
      <c r="AU91" s="8"/>
      <c r="AV91" s="8"/>
      <c r="AW91" s="8"/>
    </row>
    <row r="92" spans="4:49" s="1" customFormat="1" ht="15">
      <c r="D92" s="1" t="s">
        <v>1</v>
      </c>
      <c r="E92" s="4"/>
      <c r="F92" s="5"/>
      <c r="G92" s="4">
        <v>5</v>
      </c>
      <c r="H92" s="39">
        <f>IF(COUNTA(LOC_SUBEN)=0,SUMPRODUCT((LOC_CQS=$G92)*(LOC_MV)),SUMPRODUCT((LOC_SUBEN=$D92)*(LOC_CQS=$G92)*(LOC_MV)))</f>
        <v>0</v>
      </c>
      <c r="I92" s="68">
        <f>IF($H92=0,0,IF(COUNTA(LOC_SUBEN)=0,SUMPRODUCT((LOC_CQS=$G92)*(LOC_CAP_CRG)),SUMPRODUCT((LOC_SUBEN=$D92)*(LOC_CQS=$G92)*(LOC_CAP_CRG))))</f>
        <v>0</v>
      </c>
      <c r="J92" s="39">
        <f>IF($H92=0,0,IF(COUNTA(LOC_SUBEN)=0,SUMPRODUCT((LOC_CQS=$G92)*(LOC_CAP_CRG_UL)),SUMPRODUCT((LOC_SUBEN=$D92)*(LOC_CQS=$G92)*(LOC_CAP_CRG_UL))))</f>
        <v>0</v>
      </c>
      <c r="K92" s="68">
        <f>IF($H92=0,0,IF(COUNTA(LOC_SUBEN)=0,SUMPRODUCT((LOC_CQS=$G92)*(LOC_LACTP)),SUMPRODUCT((LOC_SUBEN=$D92)*(LOC_CQS=$G92)*(LOC_LACTP))))</f>
        <v>0</v>
      </c>
      <c r="L92" s="39">
        <f>IF($H92=0,0,IF(COUNTA(LOC_SUBEN)=0,SUMPRODUCT((LOC_CQS=$G92)*(LOC_LACTP_UL)),SUMPRODUCT((LOC_SUBEN=$D92)*(LOC_CQS=$G92)*(LOC_LACTP_UL))))</f>
        <v>0</v>
      </c>
      <c r="M92" s="1"/>
      <c r="AP92" s="66"/>
      <c r="AQ92" s="8"/>
      <c r="AR92" s="8"/>
      <c r="AS92" s="8"/>
      <c r="AT92" s="8"/>
      <c r="AU92" s="8"/>
      <c r="AV92" s="8"/>
      <c r="AW92" s="8"/>
    </row>
    <row r="93" spans="4:49" s="1" customFormat="1" ht="15">
      <c r="D93" s="1" t="s">
        <v>1</v>
      </c>
      <c r="E93" s="4"/>
      <c r="F93" s="5"/>
      <c r="G93" s="4">
        <v>6</v>
      </c>
      <c r="H93" s="39">
        <f>IF(COUNTA(LOC_SUBEN)=0,SUMPRODUCT((LOC_CQS=$G93)*(LOC_MV)),SUMPRODUCT((LOC_SUBEN=$D93)*(LOC_CQS=$G93)*(LOC_MV)))</f>
        <v>0</v>
      </c>
      <c r="I93" s="68">
        <f>IF($H93=0,0,IF(COUNTA(LOC_SUBEN)=0,SUMPRODUCT((LOC_CQS=$G93)*(LOC_CAP_CRG)),SUMPRODUCT((LOC_SUBEN=$D93)*(LOC_CQS=$G93)*(LOC_CAP_CRG))))</f>
        <v>0</v>
      </c>
      <c r="J93" s="39">
        <f>IF($H93=0,0,IF(COUNTA(LOC_SUBEN)=0,SUMPRODUCT((LOC_CQS=$G93)*(LOC_CAP_CRG_UL)),SUMPRODUCT((LOC_SUBEN=$D93)*(LOC_CQS=$G93)*(LOC_CAP_CRG_UL))))</f>
        <v>0</v>
      </c>
      <c r="K93" s="68">
        <f>IF($H93=0,0,IF(COUNTA(LOC_SUBEN)=0,SUMPRODUCT((LOC_CQS=$G93)*(LOC_LACTP)),SUMPRODUCT((LOC_SUBEN=$D93)*(LOC_CQS=$G93)*(LOC_LACTP))))</f>
        <v>0</v>
      </c>
      <c r="L93" s="39">
        <f>IF($H93=0,0,IF(COUNTA(LOC_SUBEN)=0,SUMPRODUCT((LOC_CQS=$G93)*(LOC_LACTP_UL)),SUMPRODUCT((LOC_SUBEN=$D93)*(LOC_CQS=$G93)*(LOC_LACTP_UL))))</f>
        <v>0</v>
      </c>
      <c r="M93" s="1"/>
      <c r="AP93" s="8"/>
      <c r="AQ93" s="8"/>
      <c r="AR93" s="8"/>
      <c r="AS93" s="8"/>
      <c r="AT93" s="8"/>
      <c r="AU93" s="8"/>
      <c r="AV93" s="8"/>
      <c r="AW93" s="8"/>
    </row>
    <row r="94" spans="4:49" s="1" customFormat="1" ht="15">
      <c r="D94" s="1" t="s">
        <v>1</v>
      </c>
      <c r="E94" s="4"/>
      <c r="F94" s="6"/>
      <c r="G94" s="16" t="s">
        <v>146</v>
      </c>
      <c r="H94" s="42">
        <f>IF(COUNTA(LOC_SUBEN)=0,SUMPRODUCT((LOC_CQS=$G94)*(LOC_MV)),SUMPRODUCT((LOC_SUBEN=$D94)*(LOC_CQS=$G94)*(LOC_MV)))</f>
        <v>7.5645321822884688</v>
      </c>
      <c r="I94" s="46">
        <f>IF($H94=0,0,IF(COUNTA(LOC_SUBEN)=0,SUMPRODUCT((LOC_CQS=$G94)*(LOC_CAP_CRG)),SUMPRODUCT((LOC_SUBEN=$D94)*(LOC_CQS=$G94)*(LOC_CAP_CRG))))</f>
        <v>0</v>
      </c>
      <c r="J94" s="42">
        <f>IF($H94=0,0,IF(COUNTA(LOC_SUBEN)=0,SUMPRODUCT((LOC_CQS=$G94)*(LOC_CAP_CRG_UL)),SUMPRODUCT((LOC_SUBEN=$D94)*(LOC_CQS=$G94)*(LOC_CAP_CRG_UL))))</f>
        <v>0</v>
      </c>
      <c r="K94" s="46">
        <f>IF($H94=0,0,IF(COUNTA(LOC_SUBEN)=0,SUMPRODUCT((LOC_CQS=$G94)*(LOC_LACTP)),SUMPRODUCT((LOC_SUBEN=$D94)*(LOC_CQS=$G94)*(LOC_LACTP))))</f>
        <v>0</v>
      </c>
      <c r="L94" s="42">
        <f>IF($H94=0,0,IF(COUNTA(LOC_SUBEN)=0,SUMPRODUCT((LOC_CQS=$G94)*(LOC_LACTP_UL)),SUMPRODUCT((LOC_SUBEN=$D94)*(LOC_CQS=$G94)*(LOC_LACTP_UL))))</f>
        <v>0</v>
      </c>
      <c r="M94" s="1"/>
      <c r="AP94" s="8"/>
      <c r="AQ94" s="8"/>
      <c r="AR94" s="8"/>
      <c r="AS94" s="8"/>
      <c r="AT94" s="8"/>
      <c r="AU94" s="8"/>
      <c r="AV94" s="8"/>
      <c r="AW94" s="8"/>
    </row>
    <row r="95" spans="4:49" s="1" customFormat="1" ht="15">
      <c r="D95" s="1"/>
      <c r="E95" s="4"/>
      <c r="F95" s="5"/>
      <c r="G95" s="5"/>
      <c r="H95" s="57"/>
      <c r="I95" s="57"/>
      <c r="J95" s="57"/>
      <c r="K95" s="57"/>
      <c r="L95" s="57"/>
      <c r="AP95" s="8"/>
      <c r="AQ95" s="8"/>
      <c r="AR95" s="8"/>
      <c r="AS95" s="8"/>
      <c r="AT95" s="8"/>
      <c r="AU95" s="8"/>
      <c r="AV95" s="8"/>
      <c r="AW95" s="8"/>
    </row>
    <row r="96" spans="4:49" s="1" customFormat="1" ht="43.5">
      <c r="D96" s="1"/>
      <c r="E96" s="4"/>
      <c r="F96" s="5"/>
      <c r="G96" s="52" t="s">
        <v>154</v>
      </c>
      <c r="H96" s="53" t="s">
        <v>142</v>
      </c>
      <c r="I96" s="53" t="s">
        <v>143</v>
      </c>
      <c r="J96" s="53" t="s">
        <v>144</v>
      </c>
      <c r="K96" s="53" t="s">
        <v>145</v>
      </c>
      <c r="L96" s="53" t="s">
        <v>144</v>
      </c>
      <c r="AP96" s="8"/>
      <c r="AQ96" s="8"/>
      <c r="AR96" s="8"/>
      <c r="AS96" s="8"/>
      <c r="AT96" s="8"/>
      <c r="AU96" s="8"/>
      <c r="AV96" s="8"/>
      <c r="AW96" s="8"/>
    </row>
    <row r="97" spans="4:49" s="1" customFormat="1" ht="15">
      <c r="D97" s="1" t="s">
        <v>1</v>
      </c>
      <c r="E97" s="4"/>
      <c r="F97" s="5"/>
      <c r="G97" s="4">
        <v>0</v>
      </c>
      <c r="H97" s="41">
        <f>IF(COUNTA(SP_SUBEN)=0,SUMPRODUCT((SP_CQS=$G97)*(SP_MV))+SUMPRODUCT((STS_CQS=$G97)*(STS_MV)),SUMPRODUCT((SP_SUBEN=$D97)*(SP_CQS=$G97)*(SP_MV))+SUMPRODUCT((STS_SUBEN=$D97)*(STS_CQS=$G97)*(STS_MV)))</f>
        <v>465472.20439677328</v>
      </c>
      <c r="I97" s="161">
        <f>IF($H97=0,0,IF(COUNTA(SP_SUBEN)=0,SUMPRODUCT((SP_CQS=$G97)*(SP_CAP_CRG))+SUMPRODUCT((STS_CQS=$G97)*(STS_CAP_CRG)),SUMPRODUCT((SP_SUBEN=$D97)*(SP_CQS=$G97)*(SP_CAP_CRG))+SUMPRODUCT((STS_SUBEN=$D97)*(STS_CQS=$G97)*(STS_CAP_CRG))))</f>
        <v>75091.611302658608</v>
      </c>
      <c r="J97" s="161">
        <f>IF($H97=0,0,IF(COUNTA(SP_SUBEN)=0,SUMPRODUCT((SP_CQS=$G97)*(SP_CAP_CRG_UL))+SUMPRODUCT((STS_CQS=$G97)*(STS_CAP_CRG_UL)),SUMPRODUCT((SP_SUBEN=$D97)*(SP_CQS=$G97)*(SP_CAP_CRG_UL))+SUMPRODUCT((STS_SUBEN=$D97)*(STS_CQS=$G97)*(STS_CAP_CRG_UL))))</f>
        <v>0</v>
      </c>
      <c r="K97" s="161">
        <f>IF($H97=0,0,IF(COUNTA(SP_SUBEN)=0,SUMPRODUCT((SP_CQS=$G97)*(SP_LACTP))+SUMPRODUCT((STS_CQS=$G97)*(STS_LACTP)),SUMPRODUCT((SP_SUBEN=$D97)*(SP_CQS=$G97)*(SP_LACTP))+SUMPRODUCT((STS_SUBEN=$D97)*(STS_CQS=$G97)*(STS_LACTP))))</f>
        <v>4113.2410009101344</v>
      </c>
      <c r="L97" s="161">
        <f>IF($H97=0,0,IF(COUNTA(SP_SUBEN)=0,SUMPRODUCT((SP_CQS=$G97)*(SP_LACTP_UL))+SUMPRODUCT((STS_CQS=$G97)*(STS_LACTP_UL)),SUMPRODUCT((SP_SUBEN=$D97)*(SP_CQS=$G97)*(SP_LACTP_UL))+SUMPRODUCT((STS_SUBEN=$D97)*(STS_CQS=$G97)*(STS_LACTP_UL))))</f>
        <v>0</v>
      </c>
      <c r="M97" s="1"/>
      <c r="AP97" s="8"/>
      <c r="AQ97" s="8"/>
      <c r="AR97" s="8"/>
      <c r="AS97" s="8"/>
      <c r="AT97" s="8"/>
      <c r="AU97" s="8"/>
      <c r="AV97" s="8"/>
      <c r="AW97" s="8"/>
    </row>
    <row r="98" spans="4:49" s="1" customFormat="1" ht="15">
      <c r="D98" s="1" t="s">
        <v>1</v>
      </c>
      <c r="E98" s="4"/>
      <c r="F98" s="5"/>
      <c r="G98" s="4">
        <v>1</v>
      </c>
      <c r="H98" s="39">
        <f>IF(COUNTA(SP_SUBEN)=0,SUMPRODUCT((SP_CQS=$G98)*(SP_MV))+SUMPRODUCT((STS_CQS=$G98)*(STS_MV)),SUMPRODUCT((SP_SUBEN=$D98)*(SP_CQS=$G98)*(SP_MV))+SUMPRODUCT((STS_SUBEN=$D98)*(STS_CQS=$G98)*(STS_MV)))</f>
        <v>10007.655052501038</v>
      </c>
      <c r="I98" s="162">
        <f>IF($H98=0,0,IF(COUNTA(SP_SUBEN)=0,SUMPRODUCT((SP_CQS=$G98)*(SP_CAP_CRG))+SUMPRODUCT((STS_CQS=$G98)*(STS_CAP_CRG)),SUMPRODUCT((SP_SUBEN=$D98)*(SP_CQS=$G98)*(SP_CAP_CRG))+SUMPRODUCT((STS_SUBEN=$D98)*(STS_CQS=$G98)*(STS_CAP_CRG))))</f>
        <v>1060.3124601349744</v>
      </c>
      <c r="J98" s="162">
        <f>IF($H98=0,0,IF(COUNTA(SP_SUBEN)=0,SUMPRODUCT((SP_CQS=$G98)*(SP_CAP_CRG_UL))+SUMPRODUCT((STS_CQS=$G98)*(STS_CAP_CRG_UL)),SUMPRODUCT((SP_SUBEN=$D98)*(SP_CQS=$G98)*(SP_CAP_CRG_UL))+SUMPRODUCT((STS_SUBEN=$D98)*(STS_CQS=$G98)*(STS_CAP_CRG_UL))))</f>
        <v>0</v>
      </c>
      <c r="K98" s="162">
        <f>IF($H98=0,0,IF(COUNTA(SP_SUBEN)=0,SUMPRODUCT((SP_CQS=$G98)*(SP_LACTP))+SUMPRODUCT((STS_CQS=$G98)*(STS_LACTP)),SUMPRODUCT((SP_SUBEN=$D98)*(SP_CQS=$G98)*(SP_LACTP))+SUMPRODUCT((STS_SUBEN=$D98)*(STS_CQS=$G98)*(STS_LACTP))))</f>
        <v>58.079998672883104</v>
      </c>
      <c r="L98" s="162">
        <f>IF($H98=0,0,IF(COUNTA(SP_SUBEN)=0,SUMPRODUCT((SP_CQS=$G98)*(SP_LACTP_UL))+SUMPRODUCT((STS_CQS=$G98)*(STS_LACTP_UL)),SUMPRODUCT((SP_SUBEN=$D98)*(SP_CQS=$G98)*(SP_LACTP_UL))+SUMPRODUCT((STS_SUBEN=$D98)*(STS_CQS=$G98)*(STS_LACTP_UL))))</f>
        <v>0</v>
      </c>
      <c r="M98" s="1"/>
      <c r="AP98" s="8"/>
      <c r="AQ98" s="8"/>
      <c r="AR98" s="8"/>
      <c r="AS98" s="8"/>
      <c r="AT98" s="8"/>
      <c r="AU98" s="8"/>
      <c r="AV98" s="8"/>
      <c r="AW98" s="8"/>
    </row>
    <row r="99" spans="4:49" s="1" customFormat="1" ht="15">
      <c r="D99" s="1" t="s">
        <v>1</v>
      </c>
      <c r="E99" s="4"/>
      <c r="F99" s="5"/>
      <c r="G99" s="4">
        <v>2</v>
      </c>
      <c r="H99" s="39">
        <f>IF(COUNTA(SP_SUBEN)=0,SUMPRODUCT((SP_CQS=$G99)*(SP_MV))+SUMPRODUCT((STS_CQS=$G99)*(STS_MV)),SUMPRODUCT((SP_SUBEN=$D99)*(SP_CQS=$G99)*(SP_MV))+SUMPRODUCT((STS_SUBEN=$D99)*(STS_CQS=$G99)*(STS_MV)))</f>
        <v>44849.21376024608</v>
      </c>
      <c r="I99" s="162">
        <f>IF($H99=0,0,IF(COUNTA(SP_SUBEN)=0,SUMPRODUCT((SP_CQS=$G99)*(SP_CAP_CRG))+SUMPRODUCT((STS_CQS=$G99)*(STS_CAP_CRG)),SUMPRODUCT((SP_SUBEN=$D99)*(SP_CQS=$G99)*(SP_CAP_CRG))+SUMPRODUCT((STS_SUBEN=$D99)*(STS_CQS=$G99)*(STS_CAP_CRG))))</f>
        <v>22711.808570579036</v>
      </c>
      <c r="J99" s="162">
        <f>IF($H99=0,0,IF(COUNTA(SP_SUBEN)=0,SUMPRODUCT((SP_CQS=$G99)*(SP_CAP_CRG_UL))+SUMPRODUCT((STS_CQS=$G99)*(STS_CAP_CRG_UL)),SUMPRODUCT((SP_SUBEN=$D99)*(SP_CQS=$G99)*(SP_CAP_CRG_UL))+SUMPRODUCT((STS_SUBEN=$D99)*(STS_CQS=$G99)*(STS_CAP_CRG_UL))))</f>
        <v>0</v>
      </c>
      <c r="K99" s="162">
        <f>IF($H99=0,0,IF(COUNTA(SP_SUBEN)=0,SUMPRODUCT((SP_CQS=$G99)*(SP_LACTP))+SUMPRODUCT((STS_CQS=$G99)*(STS_LACTP)),SUMPRODUCT((SP_SUBEN=$D99)*(SP_CQS=$G99)*(SP_LACTP))+SUMPRODUCT((STS_SUBEN=$D99)*(STS_CQS=$G99)*(STS_LACTP))))</f>
        <v>1244.0689525331884</v>
      </c>
      <c r="L99" s="162">
        <f>IF($H99=0,0,IF(COUNTA(SP_SUBEN)=0,SUMPRODUCT((SP_CQS=$G99)*(SP_LACTP_UL))+SUMPRODUCT((STS_CQS=$G99)*(STS_LACTP_UL)),SUMPRODUCT((SP_SUBEN=$D99)*(SP_CQS=$G99)*(SP_LACTP_UL))+SUMPRODUCT((STS_SUBEN=$D99)*(STS_CQS=$G99)*(STS_LACTP_UL))))</f>
        <v>0</v>
      </c>
      <c r="M99" s="1"/>
      <c r="AP99" s="8"/>
      <c r="AQ99" s="8"/>
      <c r="AR99" s="8"/>
      <c r="AS99" s="8"/>
      <c r="AT99" s="8"/>
      <c r="AU99" s="8"/>
      <c r="AV99" s="8"/>
      <c r="AW99" s="8"/>
    </row>
    <row r="100" spans="4:49" s="1" customFormat="1" ht="15">
      <c r="D100" s="1" t="s">
        <v>1</v>
      </c>
      <c r="E100" s="4"/>
      <c r="F100" s="5"/>
      <c r="G100" s="4">
        <v>3</v>
      </c>
      <c r="H100" s="39">
        <f>IF(COUNTA(SP_SUBEN)=0,SUMPRODUCT((SP_CQS=$G100)*(SP_MV))+SUMPRODUCT((STS_CQS=$G100)*(STS_MV)),SUMPRODUCT((SP_SUBEN=$D100)*(SP_CQS=$G100)*(SP_MV))+SUMPRODUCT((STS_SUBEN=$D100)*(STS_CQS=$G100)*(STS_MV)))</f>
        <v>144042.01790986792</v>
      </c>
      <c r="I100" s="162">
        <f>IF($H100=0,0,IF(COUNTA(SP_SUBEN)=0,SUMPRODUCT((SP_CQS=$G100)*(SP_CAP_CRG))+SUMPRODUCT((STS_CQS=$G100)*(STS_CAP_CRG)),SUMPRODUCT((SP_SUBEN=$D100)*(SP_CQS=$G100)*(SP_CAP_CRG))+SUMPRODUCT((STS_SUBEN=$D100)*(STS_CQS=$G100)*(STS_CAP_CRG))))</f>
        <v>106518.67986192112</v>
      </c>
      <c r="J100" s="162">
        <f>IF($H100=0,0,IF(COUNTA(SP_SUBEN)=0,SUMPRODUCT((SP_CQS=$G100)*(SP_CAP_CRG_UL))+SUMPRODUCT((STS_CQS=$G100)*(STS_CAP_CRG_UL)),SUMPRODUCT((SP_SUBEN=$D100)*(SP_CQS=$G100)*(SP_CAP_CRG_UL))+SUMPRODUCT((STS_SUBEN=$D100)*(STS_CQS=$G100)*(STS_CAP_CRG_UL))))</f>
        <v>0</v>
      </c>
      <c r="K100" s="162">
        <f>IF($H100=0,0,IF(COUNTA(SP_SUBEN)=0,SUMPRODUCT((SP_CQS=$G100)*(SP_LACTP))+SUMPRODUCT((STS_CQS=$G100)*(STS_LACTP)),SUMPRODUCT((SP_SUBEN=$D100)*(SP_CQS=$G100)*(SP_LACTP))+SUMPRODUCT((STS_SUBEN=$D100)*(STS_CQS=$G100)*(STS_LACTP))))</f>
        <v>5834.6996924190672</v>
      </c>
      <c r="L100" s="162">
        <f>IF($H100=0,0,IF(COUNTA(SP_SUBEN)=0,SUMPRODUCT((SP_CQS=$G100)*(SP_LACTP_UL))+SUMPRODUCT((STS_CQS=$G100)*(STS_LACTP_UL)),SUMPRODUCT((SP_SUBEN=$D100)*(SP_CQS=$G100)*(SP_LACTP_UL))+SUMPRODUCT((STS_SUBEN=$D100)*(STS_CQS=$G100)*(STS_LACTP_UL))))</f>
        <v>0</v>
      </c>
      <c r="M100" s="1"/>
      <c r="AP100" s="8"/>
      <c r="AQ100" s="8"/>
      <c r="AR100" s="8"/>
      <c r="AS100" s="8"/>
      <c r="AT100" s="8"/>
      <c r="AU100" s="8"/>
      <c r="AV100" s="8"/>
      <c r="AW100" s="8"/>
    </row>
    <row r="101" spans="4:49" s="1" customFormat="1" ht="15">
      <c r="D101" s="1" t="s">
        <v>1</v>
      </c>
      <c r="E101" s="4"/>
      <c r="F101" s="5"/>
      <c r="G101" s="4">
        <v>4</v>
      </c>
      <c r="H101" s="39">
        <f>IF(COUNTA(SP_SUBEN)=0,SUMPRODUCT((SP_CQS=$G101)*(SP_MV))+SUMPRODUCT((STS_CQS=$G101)*(STS_MV)),SUMPRODUCT((SP_SUBEN=$D101)*(SP_CQS=$G101)*(SP_MV))+SUMPRODUCT((STS_SUBEN=$D101)*(STS_CQS=$G101)*(STS_MV)))</f>
        <v>224855.60507334812</v>
      </c>
      <c r="I101" s="162">
        <f>IF($H101=0,0,IF(COUNTA(SP_SUBEN)=0,SUMPRODUCT((SP_CQS=$G101)*(SP_CAP_CRG))+SUMPRODUCT((STS_CQS=$G101)*(STS_CAP_CRG)),SUMPRODUCT((SP_SUBEN=$D101)*(SP_CQS=$G101)*(SP_CAP_CRG))+SUMPRODUCT((STS_SUBEN=$D101)*(STS_CQS=$G101)*(STS_CAP_CRG))))</f>
        <v>217458.314156069</v>
      </c>
      <c r="J101" s="162">
        <f>IF($H101=0,0,IF(COUNTA(SP_SUBEN)=0,SUMPRODUCT((SP_CQS=$G101)*(SP_CAP_CRG_UL))+SUMPRODUCT((STS_CQS=$G101)*(STS_CAP_CRG_UL)),SUMPRODUCT((SP_SUBEN=$D101)*(SP_CQS=$G101)*(SP_CAP_CRG_UL))+SUMPRODUCT((STS_SUBEN=$D101)*(STS_CQS=$G101)*(STS_CAP_CRG_UL))))</f>
        <v>0</v>
      </c>
      <c r="K101" s="162">
        <f>IF($H101=0,0,IF(COUNTA(SP_SUBEN)=0,SUMPRODUCT((SP_CQS=$G101)*(SP_LACTP))+SUMPRODUCT((STS_CQS=$G101)*(STS_LACTP)),SUMPRODUCT((SP_SUBEN=$D101)*(SP_CQS=$G101)*(SP_LACTP))+SUMPRODUCT((STS_SUBEN=$D101)*(STS_CQS=$G101)*(STS_LACTP))))</f>
        <v>11911.562933047238</v>
      </c>
      <c r="L101" s="162">
        <f>IF($H101=0,0,IF(COUNTA(SP_SUBEN)=0,SUMPRODUCT((SP_CQS=$G101)*(SP_LACTP_UL))+SUMPRODUCT((STS_CQS=$G101)*(STS_LACTP_UL)),SUMPRODUCT((SP_SUBEN=$D101)*(SP_CQS=$G101)*(SP_LACTP_UL))+SUMPRODUCT((STS_SUBEN=$D101)*(STS_CQS=$G101)*(STS_LACTP_UL))))</f>
        <v>0</v>
      </c>
      <c r="M101" s="1"/>
      <c r="AP101" s="8"/>
      <c r="AQ101" s="8"/>
      <c r="AR101" s="8"/>
      <c r="AS101" s="8"/>
      <c r="AT101" s="8"/>
      <c r="AU101" s="8"/>
      <c r="AV101" s="8"/>
      <c r="AW101" s="8"/>
    </row>
    <row r="102" spans="4:49" s="1" customFormat="1" ht="15">
      <c r="D102" s="1" t="s">
        <v>1</v>
      </c>
      <c r="E102" s="4"/>
      <c r="F102" s="5"/>
      <c r="G102" s="4">
        <v>5</v>
      </c>
      <c r="H102" s="39">
        <f>IF(COUNTA(SP_SUBEN)=0,SUMPRODUCT((SP_CQS=$G102)*(SP_MV))+SUMPRODUCT((STS_CQS=$G102)*(STS_MV)),SUMPRODUCT((SP_SUBEN=$D102)*(SP_CQS=$G102)*(SP_MV))+SUMPRODUCT((STS_SUBEN=$D102)*(STS_CQS=$G102)*(STS_MV)))</f>
        <v>147284.19070341968</v>
      </c>
      <c r="I102" s="162">
        <f>IF($H102=0,0,IF(COUNTA(SP_SUBEN)=0,SUMPRODUCT((SP_CQS=$G102)*(SP_CAP_CRG))+SUMPRODUCT((STS_CQS=$G102)*(STS_CAP_CRG)),SUMPRODUCT((SP_SUBEN=$D102)*(SP_CQS=$G102)*(SP_CAP_CRG))+SUMPRODUCT((STS_SUBEN=$D102)*(STS_CQS=$G102)*(STS_CAP_CRG))))</f>
        <v>147284.19070341968</v>
      </c>
      <c r="J102" s="162">
        <f>IF($H102=0,0,IF(COUNTA(SP_SUBEN)=0,SUMPRODUCT((SP_CQS=$G102)*(SP_CAP_CRG_UL))+SUMPRODUCT((STS_CQS=$G102)*(STS_CAP_CRG_UL)),SUMPRODUCT((SP_SUBEN=$D102)*(SP_CQS=$G102)*(SP_CAP_CRG_UL))+SUMPRODUCT((STS_SUBEN=$D102)*(STS_CQS=$G102)*(STS_CAP_CRG_UL))))</f>
        <v>0</v>
      </c>
      <c r="K102" s="162">
        <f>IF($H102=0,0,IF(COUNTA(SP_SUBEN)=0,SUMPRODUCT((SP_CQS=$G102)*(SP_LACTP))+SUMPRODUCT((STS_CQS=$G102)*(STS_LACTP)),SUMPRODUCT((SP_SUBEN=$D102)*(SP_CQS=$G102)*(SP_LACTP))+SUMPRODUCT((STS_SUBEN=$D102)*(STS_CQS=$G102)*(STS_LACTP))))</f>
        <v>8067.6837462632016</v>
      </c>
      <c r="L102" s="162">
        <f>IF($H102=0,0,IF(COUNTA(SP_SUBEN)=0,SUMPRODUCT((SP_CQS=$G102)*(SP_LACTP_UL))+SUMPRODUCT((STS_CQS=$G102)*(STS_LACTP_UL)),SUMPRODUCT((SP_SUBEN=$D102)*(SP_CQS=$G102)*(SP_LACTP_UL))+SUMPRODUCT((STS_SUBEN=$D102)*(STS_CQS=$G102)*(STS_LACTP_UL))))</f>
        <v>0</v>
      </c>
      <c r="M102" s="1"/>
      <c r="AP102" s="8"/>
      <c r="AQ102" s="8"/>
      <c r="AR102" s="8"/>
      <c r="AS102" s="8"/>
      <c r="AT102" s="8"/>
      <c r="AU102" s="8"/>
      <c r="AV102" s="8"/>
      <c r="AW102" s="8"/>
    </row>
    <row r="103" spans="4:49" s="1" customFormat="1" ht="15">
      <c r="D103" s="1" t="s">
        <v>1</v>
      </c>
      <c r="E103" s="4"/>
      <c r="F103" s="5"/>
      <c r="G103" s="4">
        <v>6</v>
      </c>
      <c r="H103" s="39">
        <f>IF(COUNTA(SP_SUBEN)=0,SUMPRODUCT((SP_CQS=$G103)*(SP_MV))+SUMPRODUCT((STS_CQS=$G103)*(STS_MV)),SUMPRODUCT((SP_SUBEN=$D103)*(SP_CQS=$G103)*(SP_MV))+SUMPRODUCT((STS_SUBEN=$D103)*(STS_CQS=$G103)*(STS_MV)))</f>
        <v>622425.65607933504</v>
      </c>
      <c r="I103" s="162">
        <f>IF($H103=0,0,IF(COUNTA(SP_SUBEN)=0,SUMPRODUCT((SP_CQS=$G103)*(SP_CAP_CRG))+SUMPRODUCT((STS_CQS=$G103)*(STS_CAP_CRG)),SUMPRODUCT((SP_SUBEN=$D103)*(SP_CQS=$G103)*(SP_CAP_CRG))+SUMPRODUCT((STS_SUBEN=$D103)*(STS_CQS=$G103)*(STS_CAP_CRG))))</f>
        <v>622425.65607933504</v>
      </c>
      <c r="J103" s="162">
        <f>IF($H103=0,0,IF(COUNTA(SP_SUBEN)=0,SUMPRODUCT((SP_CQS=$G103)*(SP_CAP_CRG_UL))+SUMPRODUCT((STS_CQS=$G103)*(STS_CAP_CRG_UL)),SUMPRODUCT((SP_SUBEN=$D103)*(SP_CQS=$G103)*(SP_CAP_CRG_UL))+SUMPRODUCT((STS_SUBEN=$D103)*(STS_CQS=$G103)*(STS_CAP_CRG_UL))))</f>
        <v>0</v>
      </c>
      <c r="K103" s="162">
        <f>IF($H103=0,0,IF(COUNTA(SP_SUBEN)=0,SUMPRODUCT((SP_CQS=$G103)*(SP_LACTP))+SUMPRODUCT((STS_CQS=$G103)*(STS_LACTP)),SUMPRODUCT((SP_SUBEN=$D103)*(SP_CQS=$G103)*(SP_LACTP))+SUMPRODUCT((STS_SUBEN=$D103)*(STS_CQS=$G103)*(STS_LACTP))))</f>
        <v>34094.177554467656</v>
      </c>
      <c r="L103" s="162">
        <f>IF($H103=0,0,IF(COUNTA(SP_SUBEN)=0,SUMPRODUCT((SP_CQS=$G103)*(SP_LACTP_UL))+SUMPRODUCT((STS_CQS=$G103)*(STS_LACTP_UL)),SUMPRODUCT((SP_SUBEN=$D103)*(SP_CQS=$G103)*(SP_LACTP_UL))+SUMPRODUCT((STS_SUBEN=$D103)*(STS_CQS=$G103)*(STS_LACTP_UL))))</f>
        <v>0</v>
      </c>
      <c r="M103" s="1"/>
      <c r="AP103" s="8"/>
      <c r="AQ103" s="8"/>
      <c r="AR103" s="8"/>
      <c r="AS103" s="8"/>
      <c r="AT103" s="8"/>
      <c r="AU103" s="8"/>
      <c r="AV103" s="8"/>
      <c r="AW103" s="8"/>
    </row>
    <row r="104" spans="4:49" s="1" customFormat="1" ht="15">
      <c r="D104" s="1" t="s">
        <v>1</v>
      </c>
      <c r="E104" s="15"/>
      <c r="F104" s="16"/>
      <c r="G104" s="15" t="s">
        <v>146</v>
      </c>
      <c r="H104" s="42">
        <f>IF(COUNTA(SP_SUBEN)=0,SUMPRODUCT((SP_CQS=$G104)*(SP_MV))+SUMPRODUCT((STS_CQS=$G104)*(STS_MV)),SUMPRODUCT((SP_SUBEN=$D104)*(SP_CQS=$G104)*(SP_MV))+SUMPRODUCT((STS_SUBEN=$D104)*(STS_CQS=$G104)*(STS_MV)))</f>
        <v>1689919.1110059616</v>
      </c>
      <c r="I104" s="45">
        <f>IF($H104=0,0,IF(COUNTA(SP_SUBEN)=0,SUMPRODUCT((SP_CQS=$G104)*(SP_CAP_CRG))+SUMPRODUCT((STS_CQS=$G104)*(STS_CAP_CRG)),SUMPRODUCT((SP_SUBEN=$D104)*(SP_CQS=$G104)*(SP_CAP_CRG))+SUMPRODUCT((STS_SUBEN=$D104)*(STS_CQS=$G104)*(STS_CAP_CRG))))</f>
        <v>1689919.1110059616</v>
      </c>
      <c r="J104" s="45">
        <f>IF($H104=0,0,IF(COUNTA(SP_SUBEN)=0,SUMPRODUCT((SP_CQS=$G104)*(SP_CAP_CRG_UL))+SUMPRODUCT((STS_CQS=$G104)*(STS_CAP_CRG_UL)),SUMPRODUCT((SP_SUBEN=$D104)*(SP_CQS=$G104)*(SP_CAP_CRG_UL))+SUMPRODUCT((STS_SUBEN=$D104)*(STS_CQS=$G104)*(STS_CAP_CRG_UL))))</f>
        <v>0</v>
      </c>
      <c r="K104" s="45">
        <f>IF($H104=0,0,IF(COUNTA(SP_SUBEN)=0,SUMPRODUCT((SP_CQS=$G104)*(SP_LACTP))+SUMPRODUCT((STS_CQS=$G104)*(STS_LACTP)),SUMPRODUCT((SP_SUBEN=$D104)*(SP_CQS=$G104)*(SP_LACTP))+SUMPRODUCT((STS_SUBEN=$D104)*(STS_CQS=$G104)*(STS_LACTP))))</f>
        <v>92567.524587999056</v>
      </c>
      <c r="L104" s="45">
        <f>IF($H104=0,0,IF(COUNTA(SP_SUBEN)=0,SUMPRODUCT((SP_CQS=$G104)*(SP_LACTP_UL))+SUMPRODUCT((STS_CQS=$G104)*(STS_LACTP_UL)),SUMPRODUCT((SP_SUBEN=$D104)*(SP_CQS=$G104)*(SP_LACTP_UL))+SUMPRODUCT((STS_SUBEN=$D104)*(STS_CQS=$G104)*(STS_LACTP_UL))))</f>
        <v>0</v>
      </c>
      <c r="M104" s="1"/>
      <c r="AP104" s="8"/>
      <c r="AQ104" s="8"/>
      <c r="AR104" s="8"/>
      <c r="AS104" s="8"/>
      <c r="AT104" s="8"/>
      <c r="AU104" s="8"/>
      <c r="AV104" s="8"/>
      <c r="AW104" s="8"/>
    </row>
    <row r="105" spans="4:49" s="1" customFormat="1" ht="15">
      <c r="D105" s="1"/>
      <c r="E105" s="1"/>
      <c r="F105" s="1"/>
      <c r="G105" s="1"/>
      <c r="H105" s="1"/>
      <c r="I105" s="1"/>
      <c r="J105" s="1"/>
      <c r="K105" s="1"/>
      <c r="L105" s="1"/>
      <c r="AP105" s="8"/>
      <c r="AQ105" s="8"/>
      <c r="AR105" s="8"/>
      <c r="AS105" s="8"/>
      <c r="AT105" s="8"/>
      <c r="AU105" s="8"/>
      <c r="AV105" s="8"/>
      <c r="AW105" s="8"/>
    </row>
  </sheetData>
  <mergeCells count="10">
    <mergeCell ref="G8:J8"/>
    <mergeCell ref="G9:J9"/>
    <mergeCell ref="G10:J10"/>
    <mergeCell ref="G12:J12"/>
    <mergeCell ref="N8:R8"/>
    <mergeCell ref="N9:R9"/>
    <mergeCell ref="N13:R13"/>
    <mergeCell ref="G13:J13"/>
    <mergeCell ref="N12:R12"/>
    <mergeCell ref="N10:R10"/>
  </mergeCells>
  <pageMargins left="0.75" right="0.75" top="1" bottom="1" header="0.5" footer="0.5"/>
  <headerFooter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8"/>
  <dimension ref="B2:AB6"/>
  <sheetViews>
    <sheetView showGridLines="0" workbookViewId="0"/>
  </sheetViews>
  <sheetFormatPr defaultColWidth="9.1484375" defaultRowHeight="12.75" customHeight="0"/>
  <cols>
    <col min="2" max="2" width="8.28125" style="1" customWidth="1"/>
    <col min="10" max="10" width="13.4296875" style="1" customWidth="1"/>
    <col min="11" max="11" width="11.85546875" style="1" customWidth="1"/>
    <col min="12" max="12" width="28.85546875" style="1" customWidth="1"/>
    <col min="15" max="15" width="10.28515625" style="1" customWidth="1"/>
    <col min="16" max="16" width="13.42968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149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/>
      <c r="C4" s="70"/>
      <c r="D4" s="70"/>
      <c r="E4" s="70"/>
      <c r="F4" s="70"/>
      <c r="G4" s="70"/>
      <c r="H4" s="70"/>
      <c r="I4" s="70"/>
      <c r="J4" s="71" t="str">
        <f>IF(OR(I4=0,I4=""),"unrated",VLOOKUP(I4,MappingTables!$B$19:$C$31,2,FALSE))</f>
        <v>unrated</v>
      </c>
      <c r="K4" s="72"/>
      <c r="L4" s="70"/>
      <c r="M4" s="71">
        <f>IF(L4&lt;1,1,L4)</f>
        <v>1</v>
      </c>
      <c r="N4" s="70"/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IF($B4="",0,INDEX(ModelParameters!$D$118:$K$122,MATCH($O4,ModelParameters!$B$6:$B$10,0),MATCH($J4,ModelParameters!$D$5:$K$5,0)))</f>
        <v>0</v>
      </c>
      <c r="R4" s="71">
        <f>IF(B4="",0,INDEX(ModelParameters!$D$125:$K$129,MATCH($O4,ModelParameters!$B$13:$B$17,0),MATCH($J4,ModelParameters!$D$5:$K$5,0)))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7:28" s="0" customFormat="0" ht="15">
      <c r="AA5" s="61"/>
      <c r="AB5" s="24" t="s">
        <v>11</v>
      </c>
    </row>
    <row r="6" spans="27:28" s="0" customFormat="0" ht="15">
      <c r="AA6" s="62"/>
      <c r="AB6" s="24" t="s">
        <v>14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B2:AB10"/>
  <sheetViews>
    <sheetView showGridLines="0" workbookViewId="0"/>
  </sheetViews>
  <sheetFormatPr defaultColWidth="9.1484375" defaultRowHeight="12.75" customHeight="0"/>
  <cols>
    <col min="2" max="2" width="8.28125" style="1" customWidth="1"/>
    <col min="10" max="10" width="13.4296875" style="1" customWidth="1"/>
    <col min="11" max="11" width="11.85546875" style="1" customWidth="1"/>
    <col min="12" max="12" width="28.85546875" style="1" customWidth="1"/>
    <col min="15" max="15" width="10.28515625" style="1" customWidth="1"/>
    <col min="16" max="16" width="13.42968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176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/>
      <c r="C4" s="70"/>
      <c r="D4" s="70"/>
      <c r="E4" s="70"/>
      <c r="F4" s="70"/>
      <c r="G4" s="70"/>
      <c r="H4" s="70"/>
      <c r="I4" s="70"/>
      <c r="J4" s="71" t="str">
        <f>IF(OR(I4=0,I4=""),"unrated",VLOOKUP(I4,MappingTables!$B$19:$C$31,2,FALSE))</f>
        <v>unrated</v>
      </c>
      <c r="K4" s="72"/>
      <c r="L4" s="70"/>
      <c r="M4" s="71">
        <f>IF(L4&lt;1,1,L4)</f>
        <v>1</v>
      </c>
      <c r="N4" s="70"/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IF($B4="",0,INDEX(ModelParameters!$D$54:$K$58,MATCH($O4,ModelParameters!$B$6:$B$10,0),MATCH($J4,ModelParameters!$D$5:$K$5,0)))</f>
        <v>0</v>
      </c>
      <c r="R4" s="71">
        <f>IF(B4="",0,INDEX(ModelParameters!$D$61:$K$65,MATCH($O4,ModelParameters!$B$13:$B$17,0),MATCH($J4,ModelParameters!$D$5:$K$5,0)))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7:28" s="0" customFormat="0" ht="15">
      <c r="AA5" s="61"/>
      <c r="AB5" s="24" t="s">
        <v>11</v>
      </c>
    </row>
    <row r="6" spans="27:28" s="0" customFormat="0" ht="15">
      <c r="AA6" s="62"/>
      <c r="AB6" s="24" t="s">
        <v>14</v>
      </c>
    </row>
    <row r="7" s="0" customFormat="0" ht="15"/>
    <row r="8" s="0" customFormat="0" ht="15"/>
    <row r="9" s="0" customFormat="0" ht="15"/>
    <row r="10" spans="7:7" s="0" customFormat="0" ht="15">
      <c r="G10" s="1"/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0"/>
  <dimension ref="B2:AB4516"/>
  <sheetViews>
    <sheetView showGridLines="0" workbookViewId="0"/>
  </sheetViews>
  <sheetFormatPr defaultColWidth="9.1484375" defaultRowHeight="12.75" customHeight="0"/>
  <cols>
    <col min="10" max="10" width="13.14453125" style="1" customWidth="1"/>
    <col min="11" max="11" width="11.4296875" style="1" customWidth="1"/>
    <col min="12" max="12" width="28.85546875" style="1" customWidth="1"/>
    <col min="15" max="16" width="11.4296875" style="1" customWidth="1"/>
    <col min="20" max="21" width="21.14453125" style="1" customWidth="1"/>
    <col min="28" max="28" width="53.85546875" style="1" customWidth="1"/>
  </cols>
  <sheetData>
    <row r="1" s="0" customFormat="0" ht="15"/>
    <row r="2" spans="2:28" s="0" customFormat="0" ht="15">
      <c r="B2" s="200" t="s">
        <v>141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20993767</v>
      </c>
      <c r="C4" s="70" t="s">
        <v>177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179</v>
      </c>
      <c r="J4" s="71">
        <f>IF(OR(I4=0,I4=""),"unrated",VLOOKUP(I4,MappingTables!$B$19:$C$31,2,FALSE))</f>
        <v>4</v>
      </c>
      <c r="K4" s="72">
        <v>3425.4385576964252</v>
      </c>
      <c r="L4" s="70">
        <v>3.310304453024252</v>
      </c>
      <c r="M4" s="71">
        <f>IF(L4&lt;1,1,L4)</f>
        <v>3.310304453024252</v>
      </c>
      <c r="N4" s="70" t="s">
        <v>141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3.310304453024252</v>
      </c>
      <c r="Q4" s="71">
        <f>IF(B4="",0,INDEX(ModelParameters!$D$6:$K$10,MATCH($O4,ModelParameters!$B$6:$B$10,0),MATCH($J4,ModelParameters!$D$5:$K$5,0)))</f>
        <v>0.045</v>
      </c>
      <c r="R4" s="71">
        <f>IF(B4="",0,INDEX(ModelParameters!$D$13:$K$17,MATCH($O4,ModelParameters!$B$13:$B$17,0),MATCH($J4,ModelParameters!$D$5:$K$5,0)))</f>
        <v>0</v>
      </c>
      <c r="S4" s="160">
        <f>IF(B4="",0,MIN(IF($N4="Other Bond TM",ModelParameters!$N$21,1)*(P4*Q4+R4),1))</f>
        <v>0.14896370038609134</v>
      </c>
      <c r="T4" s="85">
        <f>IF(B4="",0,$S4*$K4)</f>
        <v>510.26600299965512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27.95048619278202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7505292</v>
      </c>
      <c r="C5" s="70" t="s">
        <v>180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181</v>
      </c>
      <c r="J5" s="71">
        <f>IF(OR(I5=0,I5=""),"unrated",VLOOKUP(I5,MappingTables!$B$19:$C$31,2,FALSE))</f>
        <v>3</v>
      </c>
      <c r="K5" s="72">
        <v>687.44571460421704</v>
      </c>
      <c r="L5" s="70">
        <v>13.384419981005908</v>
      </c>
      <c r="M5" s="71">
        <f>IF(L5&lt;1,1,L5)</f>
        <v>13.384419981005908</v>
      </c>
      <c r="N5" s="70" t="s">
        <v>141</v>
      </c>
      <c r="O5" s="71">
        <f>INDEX(DurClassMapping,MATCH(M5,MappingTables!$D$4:$D$8,-1),1)</f>
        <v>3</v>
      </c>
      <c r="P5" s="73">
        <f>IF(M5=$A$1,1,$M5-INDEX(MappingTables!$E$4:$E$8,MATCH(O5,MappingTables!$B$4:$B$8,0)))</f>
        <v>3.3844199810059088</v>
      </c>
      <c r="Q5" s="71">
        <f>IF(B5="",0,INDEX(ModelParameters!$D$6:$K$10,MATCH($O5,ModelParameters!$B$6:$B$10,0),MATCH($J5,ModelParameters!$D$5:$K$5,0)))</f>
        <v>0.01</v>
      </c>
      <c r="R5" s="71">
        <f>IF(B5="",0,INDEX(ModelParameters!$D$13:$K$17,MATCH($O5,ModelParameters!$B$13:$B$17,0),MATCH($J5,ModelParameters!$D$5:$K$5,0)))</f>
        <v>0.2</v>
      </c>
      <c r="S5" s="160">
        <f>IF(B5="",0,MIN(IF($N5="Other Bond TM",ModelParameters!$N$21,1)*(P5*Q5+R5),1))</f>
        <v>0.23384419981005912</v>
      </c>
      <c r="T5" s="85">
        <f>IF(B5="",0,$S5*$K5)</f>
        <v>160.7551930444774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8.80557547866012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 t="s">
        <v>182</v>
      </c>
      <c r="C6" s="70" t="s">
        <v>183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184</v>
      </c>
      <c r="J6" s="71">
        <f>IF(OR(I6=0,I6=""),"unrated",VLOOKUP(I6,MappingTables!$B$19:$C$31,2,FALSE))</f>
        <v>5</v>
      </c>
      <c r="K6" s="72">
        <v>323.8853983992908</v>
      </c>
      <c r="L6" s="70">
        <v>6.7752322763507992</v>
      </c>
      <c r="M6" s="71">
        <f>IF(L6&lt;1,1,L6)</f>
        <v>6.7752322763507992</v>
      </c>
      <c r="N6" s="70" t="s">
        <v>141</v>
      </c>
      <c r="O6" s="71">
        <f>INDEX(DurClassMapping,MATCH(M6,MappingTables!$D$4:$D$8,-1),1)</f>
        <v>2</v>
      </c>
      <c r="P6" s="73">
        <f>IF(M6=$A$1,1,$M6-INDEX(MappingTables!$E$4:$E$8,MATCH(O6,MappingTables!$B$4:$B$8,0)))</f>
        <v>1.775232276350799</v>
      </c>
      <c r="Q6" s="71">
        <f>IF(B6="",0,INDEX(ModelParameters!$D$6:$K$10,MATCH($O6,ModelParameters!$B$6:$B$10,0),MATCH($J6,ModelParameters!$D$5:$K$5,0)))</f>
        <v>0.042</v>
      </c>
      <c r="R6" s="71">
        <f>IF(B6="",0,INDEX(ModelParameters!$D$13:$K$17,MATCH($O6,ModelParameters!$B$13:$B$17,0),MATCH($J6,ModelParameters!$D$5:$K$5,0)))</f>
        <v>0.375</v>
      </c>
      <c r="S6" s="160">
        <f>IF(B6="",0,MIN(IF($N6="Other Bond TM",ModelParameters!$N$21,1)*(P6*Q6+R6),1))</f>
        <v>0.44955975560673352</v>
      </c>
      <c r="T6" s="85">
        <f>IF(B6="",0,$S6*$K6)</f>
        <v>145.6058405489747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7.9757499263678928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556907</v>
      </c>
      <c r="C7" s="70" t="s">
        <v>185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181</v>
      </c>
      <c r="J7" s="71">
        <f>IF(OR(I7=0,I7=""),"unrated",VLOOKUP(I7,MappingTables!$B$19:$C$31,2,FALSE))</f>
        <v>3</v>
      </c>
      <c r="K7" s="72">
        <v>598.60498423571368</v>
      </c>
      <c r="L7" s="70">
        <v>10.092964184757754</v>
      </c>
      <c r="M7" s="71">
        <f>IF(L7&lt;1,1,L7)</f>
        <v>10.092964184757754</v>
      </c>
      <c r="N7" s="70" t="s">
        <v>141</v>
      </c>
      <c r="O7" s="71">
        <f>INDEX(DurClassMapping,MATCH(M7,MappingTables!$D$4:$D$8,-1),1)</f>
        <v>3</v>
      </c>
      <c r="P7" s="73">
        <f>IF(M7=$A$1,1,$M7-INDEX(MappingTables!$E$4:$E$8,MATCH(O7,MappingTables!$B$4:$B$8,0)))</f>
        <v>0.092964184757754256</v>
      </c>
      <c r="Q7" s="71">
        <f>IF(B7="",0,INDEX(ModelParameters!$D$6:$K$10,MATCH($O7,ModelParameters!$B$6:$B$10,0),MATCH($J7,ModelParameters!$D$5:$K$5,0)))</f>
        <v>0.01</v>
      </c>
      <c r="R7" s="71">
        <f>IF(B7="",0,INDEX(ModelParameters!$D$13:$K$17,MATCH($O7,ModelParameters!$B$13:$B$17,0),MATCH($J7,ModelParameters!$D$5:$K$5,0)))</f>
        <v>0.2</v>
      </c>
      <c r="S7" s="160">
        <f>IF(B7="",0,MIN(IF($N7="Other Bond TM",ModelParameters!$N$21,1)*(P7*Q7+R7),1))</f>
        <v>0.20092964184757756</v>
      </c>
      <c r="T7" s="85">
        <f>IF(B7="",0,$S7*$K7)</f>
        <v>120.27748509065676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6.5883562035607912</v>
      </c>
      <c r="X7" s="85">
        <f>IF(B7="",0,IF(OR(H7=MappingTables!$C$34,H7=MappingTables!$C$35),W7,0))</f>
        <v>0</v>
      </c>
    </row>
    <row r="8" spans="2:24" s="0" customFormat="0" ht="15">
      <c r="B8" s="69" t="s">
        <v>186</v>
      </c>
      <c r="C8" s="70" t="s">
        <v>187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188</v>
      </c>
      <c r="J8" s="71">
        <f>IF(OR(I8=0,I8=""),"unrated",VLOOKUP(I8,MappingTables!$B$19:$C$31,2,FALSE))</f>
        <v>2</v>
      </c>
      <c r="K8" s="72">
        <v>0.68420431109989024</v>
      </c>
      <c r="L8" s="70">
        <v>0.56712387244129</v>
      </c>
      <c r="M8" s="71">
        <f>IF(L8&lt;1,1,L8)</f>
        <v>1</v>
      </c>
      <c r="N8" s="70" t="s">
        <v>141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IF(B8="",0,INDEX(ModelParameters!$D$6:$K$10,MATCH($O8,ModelParameters!$B$6:$B$10,0),MATCH($J8,ModelParameters!$D$5:$K$5,0)))</f>
        <v>0.013999999999999998</v>
      </c>
      <c r="R8" s="71">
        <f>IF(B8="",0,INDEX(ModelParameters!$D$13:$K$17,MATCH($O8,ModelParameters!$B$13:$B$17,0),MATCH($J8,ModelParameters!$D$5:$K$5,0)))</f>
        <v>0</v>
      </c>
      <c r="S8" s="160">
        <f>IF(B8="",0,MIN(IF($N8="Other Bond TM",ModelParameters!$N$21,1)*(P8*Q8+R8),1))</f>
        <v>0.013999999999999998</v>
      </c>
      <c r="T8" s="85">
        <f>IF(B8="",0,$S8*$K8)</f>
        <v>0.0095788603553984624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0.00052469457602946112</v>
      </c>
      <c r="X8" s="85">
        <f>IF(B8="",0,IF(OR(H8=MappingTables!$C$34,H8=MappingTables!$C$35),W8,0))</f>
        <v>0</v>
      </c>
    </row>
    <row r="9" spans="2:24" s="0" customFormat="0" ht="15">
      <c r="B9" s="69">
        <v>16637778</v>
      </c>
      <c r="C9" s="70" t="s">
        <v>189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181</v>
      </c>
      <c r="J9" s="71">
        <f>IF(OR(I9=0,I9=""),"unrated",VLOOKUP(I9,MappingTables!$B$19:$C$31,2,FALSE))</f>
        <v>3</v>
      </c>
      <c r="K9" s="72">
        <v>16916.848649630294</v>
      </c>
      <c r="L9" s="70">
        <v>2.2633534098718788</v>
      </c>
      <c r="M9" s="71">
        <f>IF(L9&lt;1,1,L9)</f>
        <v>2.2633534098718788</v>
      </c>
      <c r="N9" s="70" t="s">
        <v>141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2.2633534098718788</v>
      </c>
      <c r="Q9" s="71">
        <f>IF(B9="",0,INDEX(ModelParameters!$D$6:$K$10,MATCH($O9,ModelParameters!$B$6:$B$10,0),MATCH($J9,ModelParameters!$D$5:$K$5,0)))</f>
        <v>0.025</v>
      </c>
      <c r="R9" s="71">
        <f>IF(B9="",0,INDEX(ModelParameters!$D$13:$K$17,MATCH($O9,ModelParameters!$B$13:$B$17,0),MATCH($J9,ModelParameters!$D$5:$K$5,0)))</f>
        <v>0</v>
      </c>
      <c r="S9" s="160">
        <f>IF(B9="",0,MIN(IF($N9="Other Bond TM",ModelParameters!$N$21,1)*(P9*Q9+R9),1))</f>
        <v>0.056583835246796968</v>
      </c>
      <c r="T9" s="85">
        <f>IF(B9="",0,$S9*$K9)</f>
        <v>957.22017688568048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52.432984326242984</v>
      </c>
      <c r="X9" s="85">
        <f>IF(B9="",0,IF(OR(H9=MappingTables!$C$34,H9=MappingTables!$C$35),W9,0))</f>
        <v>0</v>
      </c>
    </row>
    <row r="10" spans="2:24" s="0" customFormat="0" ht="15">
      <c r="B10" s="69" t="s">
        <v>190</v>
      </c>
      <c r="C10" s="70" t="s">
        <v>191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188</v>
      </c>
      <c r="J10" s="71">
        <f>IF(OR(I10=0,I10=""),"unrated",VLOOKUP(I10,MappingTables!$B$19:$C$31,2,FALSE))</f>
        <v>2</v>
      </c>
      <c r="K10" s="72">
        <v>9587.357188734872</v>
      </c>
      <c r="L10" s="70">
        <v>1.7673373213959358</v>
      </c>
      <c r="M10" s="71">
        <f>IF(L10&lt;1,1,L10)</f>
        <v>1.7673373213959358</v>
      </c>
      <c r="N10" s="70" t="s">
        <v>141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1.7673373213959358</v>
      </c>
      <c r="Q10" s="71">
        <f>IF(B10="",0,INDEX(ModelParameters!$D$6:$K$10,MATCH($O10,ModelParameters!$B$6:$B$10,0),MATCH($J10,ModelParameters!$D$5:$K$5,0)))</f>
        <v>0.013999999999999998</v>
      </c>
      <c r="R10" s="71">
        <f>IF(B10="",0,INDEX(ModelParameters!$D$13:$K$17,MATCH($O10,ModelParameters!$B$13:$B$17,0),MATCH($J10,ModelParameters!$D$5:$K$5,0)))</f>
        <v>0</v>
      </c>
      <c r="S10" s="160">
        <f>IF(B10="",0,MIN(IF($N10="Other Bond TM",ModelParameters!$N$21,1)*(P10*Q10+R10),1))</f>
        <v>0.0247427224995431</v>
      </c>
      <c r="T10" s="85">
        <f>IF(B10="",0,$S10*$K10)</f>
        <v>237.2173184248666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12.993888176648702</v>
      </c>
      <c r="X10" s="85">
        <f>IF(B10="",0,IF(OR(H10=MappingTables!$C$34,H10=MappingTables!$C$35),W10,0))</f>
        <v>0</v>
      </c>
    </row>
    <row r="11" spans="2:24" s="0" customFormat="0" ht="15">
      <c r="B11" s="69">
        <v>21722265</v>
      </c>
      <c r="C11" s="70" t="s">
        <v>192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179</v>
      </c>
      <c r="J11" s="71">
        <f>IF(OR(I11=0,I11=""),"unrated",VLOOKUP(I11,MappingTables!$B$19:$C$31,2,FALSE))</f>
        <v>4</v>
      </c>
      <c r="K11" s="72">
        <v>136.7269909968444</v>
      </c>
      <c r="L11" s="70">
        <v>4.4523654479743608</v>
      </c>
      <c r="M11" s="71">
        <f>IF(L11&lt;1,1,L11)</f>
        <v>4.4523654479743608</v>
      </c>
      <c r="N11" s="70" t="s">
        <v>141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4.4523654479743608</v>
      </c>
      <c r="Q11" s="71">
        <f>IF(B11="",0,INDEX(ModelParameters!$D$6:$K$10,MATCH($O11,ModelParameters!$B$6:$B$10,0),MATCH($J11,ModelParameters!$D$5:$K$5,0)))</f>
        <v>0.045</v>
      </c>
      <c r="R11" s="71">
        <f>IF(B11="",0,INDEX(ModelParameters!$D$13:$K$17,MATCH($O11,ModelParameters!$B$13:$B$17,0),MATCH($J11,ModelParameters!$D$5:$K$5,0)))</f>
        <v>0</v>
      </c>
      <c r="S11" s="160">
        <f>IF(B11="",0,MIN(IF($N11="Other Bond TM",ModelParameters!$N$21,1)*(P11*Q11+R11),1))</f>
        <v>0.20035644515884624</v>
      </c>
      <c r="T11" s="85">
        <f>IF(B11="",0,$S11*$K11)</f>
        <v>27.394133873393316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1.5005494312581504</v>
      </c>
      <c r="X11" s="85">
        <f>IF(B11="",0,IF(OR(H11=MappingTables!$C$34,H11=MappingTables!$C$35),W11,0))</f>
        <v>0</v>
      </c>
    </row>
    <row r="12" spans="2:24" s="0" customFormat="0" ht="15">
      <c r="B12" s="69">
        <v>13093828</v>
      </c>
      <c r="C12" s="70" t="s">
        <v>193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188</v>
      </c>
      <c r="J12" s="71">
        <f>IF(OR(I12=0,I12=""),"unrated",VLOOKUP(I12,MappingTables!$B$19:$C$31,2,FALSE))</f>
        <v>2</v>
      </c>
      <c r="K12" s="72">
        <v>535.95633380009688</v>
      </c>
      <c r="L12" s="70">
        <v>0.8754781628647336</v>
      </c>
      <c r="M12" s="71">
        <f>IF(L12&lt;1,1,L12)</f>
        <v>1</v>
      </c>
      <c r="N12" s="70" t="s">
        <v>141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IF(B12="",0,INDEX(ModelParameters!$D$6:$K$10,MATCH($O12,ModelParameters!$B$6:$B$10,0),MATCH($J12,ModelParameters!$D$5:$K$5,0)))</f>
        <v>0.013999999999999998</v>
      </c>
      <c r="R12" s="71">
        <f>IF(B12="",0,INDEX(ModelParameters!$D$13:$K$17,MATCH($O12,ModelParameters!$B$13:$B$17,0),MATCH($J12,ModelParameters!$D$5:$K$5,0)))</f>
        <v>0</v>
      </c>
      <c r="S12" s="160">
        <f>IF(B12="",0,MIN(IF($N12="Other Bond TM",ModelParameters!$N$21,1)*(P12*Q12+R12),1))</f>
        <v>0.013999999999999998</v>
      </c>
      <c r="T12" s="85">
        <f>IF(B12="",0,$S12*$K12)</f>
        <v>7.5033886732013568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0.41100790622245952</v>
      </c>
      <c r="X12" s="85">
        <f>IF(B12="",0,IF(OR(H12=MappingTables!$C$34,H12=MappingTables!$C$35),W12,0))</f>
        <v>0</v>
      </c>
    </row>
    <row r="13" spans="2:24" s="0" customFormat="0" ht="15">
      <c r="B13" s="69">
        <v>21236160</v>
      </c>
      <c r="C13" s="70" t="s">
        <v>194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184</v>
      </c>
      <c r="J13" s="71">
        <f>IF(OR(I13=0,I13=""),"unrated",VLOOKUP(I13,MappingTables!$B$19:$C$31,2,FALSE))</f>
        <v>5</v>
      </c>
      <c r="K13" s="72">
        <v>8263.4584716431312</v>
      </c>
      <c r="L13" s="70">
        <v>1.3575092303072984</v>
      </c>
      <c r="M13" s="71">
        <f>IF(L13&lt;1,1,L13)</f>
        <v>1.3575092303072984</v>
      </c>
      <c r="N13" s="70" t="s">
        <v>141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1.3575092303072984</v>
      </c>
      <c r="Q13" s="71">
        <f>IF(B13="",0,INDEX(ModelParameters!$D$6:$K$10,MATCH($O13,ModelParameters!$B$6:$B$10,0),MATCH($J13,ModelParameters!$D$5:$K$5,0)))</f>
        <v>0.075</v>
      </c>
      <c r="R13" s="71">
        <f>IF(B13="",0,INDEX(ModelParameters!$D$13:$K$17,MATCH($O13,ModelParameters!$B$13:$B$17,0),MATCH($J13,ModelParameters!$D$5:$K$5,0)))</f>
        <v>0</v>
      </c>
      <c r="S13" s="160">
        <f>IF(B13="",0,MIN(IF($N13="Other Bond TM",ModelParameters!$N$21,1)*(P13*Q13+R13),1))</f>
        <v>0.10181319227304738</v>
      </c>
      <c r="T13" s="85">
        <f>IF(B13="",0,$S13*$K13)</f>
        <v>841.32908621374432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46.084898601051944</v>
      </c>
      <c r="X13" s="85">
        <f>IF(B13="",0,IF(OR(H13=MappingTables!$C$34,H13=MappingTables!$C$35),W13,0))</f>
        <v>0</v>
      </c>
    </row>
    <row r="14" spans="2:24" s="0" customFormat="0" ht="15">
      <c r="B14" s="69">
        <v>18668444</v>
      </c>
      <c r="C14" s="70" t="s">
        <v>195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181</v>
      </c>
      <c r="J14" s="71">
        <f>IF(OR(I14=0,I14=""),"unrated",VLOOKUP(I14,MappingTables!$B$19:$C$31,2,FALSE))</f>
        <v>3</v>
      </c>
      <c r="K14" s="72">
        <v>344.2262665338652</v>
      </c>
      <c r="L14" s="70">
        <v>0.93845385793947712</v>
      </c>
      <c r="M14" s="71">
        <f>IF(L14&lt;1,1,L14)</f>
        <v>1</v>
      </c>
      <c r="N14" s="70" t="s">
        <v>141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IF(B14="",0,INDEX(ModelParameters!$D$6:$K$10,MATCH($O14,ModelParameters!$B$6:$B$10,0),MATCH($J14,ModelParameters!$D$5:$K$5,0)))</f>
        <v>0.025</v>
      </c>
      <c r="R14" s="71">
        <f>IF(B14="",0,INDEX(ModelParameters!$D$13:$K$17,MATCH($O14,ModelParameters!$B$13:$B$17,0),MATCH($J14,ModelParameters!$D$5:$K$5,0)))</f>
        <v>0</v>
      </c>
      <c r="S14" s="160">
        <f>IF(B14="",0,MIN(IF($N14="Other Bond TM",ModelParameters!$N$21,1)*(P14*Q14+R14),1))</f>
        <v>0.025</v>
      </c>
      <c r="T14" s="85">
        <f>IF(B14="",0,$S14*$K14)</f>
        <v>8.6056566633466304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0.47138607380208944</v>
      </c>
      <c r="X14" s="85">
        <f>IF(B14="",0,IF(OR(H14=MappingTables!$C$34,H14=MappingTables!$C$35),W14,0))</f>
        <v>0</v>
      </c>
    </row>
    <row r="15" spans="2:24" s="0" customFormat="0" ht="15">
      <c r="B15" s="69">
        <v>17166420</v>
      </c>
      <c r="C15" s="70" t="s">
        <v>196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181</v>
      </c>
      <c r="J15" s="71">
        <f>IF(OR(I15=0,I15=""),"unrated",VLOOKUP(I15,MappingTables!$B$19:$C$31,2,FALSE))</f>
        <v>3</v>
      </c>
      <c r="K15" s="72">
        <v>51894.759338306744</v>
      </c>
      <c r="L15" s="70">
        <v>4.604549655400132</v>
      </c>
      <c r="M15" s="71">
        <f>IF(L15&lt;1,1,L15)</f>
        <v>4.604549655400132</v>
      </c>
      <c r="N15" s="70" t="s">
        <v>141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4.604549655400132</v>
      </c>
      <c r="Q15" s="71">
        <f>IF(B15="",0,INDEX(ModelParameters!$D$6:$K$10,MATCH($O15,ModelParameters!$B$6:$B$10,0),MATCH($J15,ModelParameters!$D$5:$K$5,0)))</f>
        <v>0.025</v>
      </c>
      <c r="R15" s="71">
        <f>IF(B15="",0,INDEX(ModelParameters!$D$13:$K$17,MATCH($O15,ModelParameters!$B$13:$B$17,0),MATCH($J15,ModelParameters!$D$5:$K$5,0)))</f>
        <v>0</v>
      </c>
      <c r="S15" s="160">
        <f>IF(B15="",0,MIN(IF($N15="Other Bond TM",ModelParameters!$N$21,1)*(P15*Q15+R15),1))</f>
        <v>0.1151137413850033</v>
      </c>
      <c r="T15" s="85">
        <f>IF(B15="",0,$S15*$K15)</f>
        <v>5973.7999057068272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327.22268542553496</v>
      </c>
      <c r="X15" s="85">
        <f>IF(B15="",0,IF(OR(H15=MappingTables!$C$34,H15=MappingTables!$C$35),W15,0))</f>
        <v>0</v>
      </c>
    </row>
    <row r="16" spans="2:24" s="0" customFormat="0" ht="15">
      <c r="B16" s="69">
        <v>4992247</v>
      </c>
      <c r="C16" s="70" t="s">
        <v>197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198</v>
      </c>
      <c r="J16" s="71" t="str">
        <f>IF(OR(I16=0,I16=""),"unrated",VLOOKUP(I16,MappingTables!$B$19:$C$31,2,FALSE))</f>
        <v>unrated</v>
      </c>
      <c r="K16" s="72">
        <v>620.80290502396392</v>
      </c>
      <c r="L16" s="70">
        <v>1.4064927932448806</v>
      </c>
      <c r="M16" s="71">
        <f>IF(L16&lt;1,1,L16)</f>
        <v>1.4064927932448806</v>
      </c>
      <c r="N16" s="70" t="s">
        <v>141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1.4064927932448806</v>
      </c>
      <c r="Q16" s="71">
        <f>IF(B16="",0,INDEX(ModelParameters!$D$6:$K$10,MATCH($O16,ModelParameters!$B$6:$B$10,0),MATCH($J16,ModelParameters!$D$5:$K$5,0)))</f>
        <v>0.03</v>
      </c>
      <c r="R16" s="71">
        <f>IF(B16="",0,INDEX(ModelParameters!$D$13:$K$17,MATCH($O16,ModelParameters!$B$13:$B$17,0),MATCH($J16,ModelParameters!$D$5:$K$5,0)))</f>
        <v>0</v>
      </c>
      <c r="S16" s="160">
        <f>IF(B16="",0,MIN(IF($N16="Other Bond TM",ModelParameters!$N$21,1)*(P16*Q16+R16),1))</f>
        <v>0.042194783797346408</v>
      </c>
      <c r="T16" s="85">
        <f>IF(B16="",0,$S16*$K16)</f>
        <v>26.194644358250736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1.4348458277762582</v>
      </c>
      <c r="X16" s="85">
        <f>IF(B16="",0,IF(OR(H16=MappingTables!$C$34,H16=MappingTables!$C$35),W16,0))</f>
        <v>0</v>
      </c>
    </row>
    <row r="17" spans="2:24" s="0" customFormat="0" ht="15">
      <c r="B17" s="69">
        <v>24931064</v>
      </c>
      <c r="C17" s="70" t="s">
        <v>199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188</v>
      </c>
      <c r="J17" s="71">
        <f>IF(OR(I17=0,I17=""),"unrated",VLOOKUP(I17,MappingTables!$B$19:$C$31,2,FALSE))</f>
        <v>2</v>
      </c>
      <c r="K17" s="72">
        <v>859.13123244777056</v>
      </c>
      <c r="L17" s="70">
        <v>1.8146612885169104</v>
      </c>
      <c r="M17" s="71">
        <f>IF(L17&lt;1,1,L17)</f>
        <v>1.8146612885169104</v>
      </c>
      <c r="N17" s="70" t="s">
        <v>141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1.8146612885169104</v>
      </c>
      <c r="Q17" s="71">
        <f>IF(B17="",0,INDEX(ModelParameters!$D$6:$K$10,MATCH($O17,ModelParameters!$B$6:$B$10,0),MATCH($J17,ModelParameters!$D$5:$K$5,0)))</f>
        <v>0.013999999999999998</v>
      </c>
      <c r="R17" s="71">
        <f>IF(B17="",0,INDEX(ModelParameters!$D$13:$K$17,MATCH($O17,ModelParameters!$B$13:$B$17,0),MATCH($J17,ModelParameters!$D$5:$K$5,0)))</f>
        <v>0</v>
      </c>
      <c r="S17" s="160">
        <f>IF(B17="",0,MIN(IF($N17="Other Bond TM",ModelParameters!$N$21,1)*(P17*Q17+R17),1))</f>
        <v>0.025405258039236744</v>
      </c>
      <c r="T17" s="85">
        <f>IF(B17="",0,$S17*$K17)</f>
        <v>21.826450649903096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1.1955723170684504</v>
      </c>
      <c r="X17" s="85">
        <f>IF(B17="",0,IF(OR(H17=MappingTables!$C$34,H17=MappingTables!$C$35),W17,0))</f>
        <v>0</v>
      </c>
    </row>
    <row r="18" spans="2:24" s="0" customFormat="0" ht="15">
      <c r="B18" s="69">
        <v>11864945</v>
      </c>
      <c r="C18" s="70" t="s">
        <v>200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181</v>
      </c>
      <c r="J18" s="71">
        <f>IF(OR(I18=0,I18=""),"unrated",VLOOKUP(I18,MappingTables!$B$19:$C$31,2,FALSE))</f>
        <v>3</v>
      </c>
      <c r="K18" s="72">
        <v>2804.6500106718352</v>
      </c>
      <c r="L18" s="70">
        <v>0.77653032942683728</v>
      </c>
      <c r="M18" s="71">
        <f>IF(L18&lt;1,1,L18)</f>
        <v>1</v>
      </c>
      <c r="N18" s="70" t="s">
        <v>141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</v>
      </c>
      <c r="Q18" s="71">
        <f>IF(B18="",0,INDEX(ModelParameters!$D$6:$K$10,MATCH($O18,ModelParameters!$B$6:$B$10,0),MATCH($J18,ModelParameters!$D$5:$K$5,0)))</f>
        <v>0.025</v>
      </c>
      <c r="R18" s="71">
        <f>IF(B18="",0,INDEX(ModelParameters!$D$13:$K$17,MATCH($O18,ModelParameters!$B$13:$B$17,0),MATCH($J18,ModelParameters!$D$5:$K$5,0)))</f>
        <v>0</v>
      </c>
      <c r="S18" s="160">
        <f>IF(B18="",0,MIN(IF($N18="Other Bond TM",ModelParameters!$N$21,1)*(P18*Q18+R18),1))</f>
        <v>0.025</v>
      </c>
      <c r="T18" s="85">
        <f>IF(B18="",0,$S18*$K18)</f>
        <v>70.116250266795888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3.8407091075065248</v>
      </c>
      <c r="X18" s="85">
        <f>IF(B18="",0,IF(OR(H18=MappingTables!$C$34,H18=MappingTables!$C$35),W18,0))</f>
        <v>0</v>
      </c>
    </row>
    <row r="19" spans="2:24" s="0" customFormat="0" ht="15">
      <c r="B19" s="69">
        <v>22857467</v>
      </c>
      <c r="C19" s="70" t="s">
        <v>201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188</v>
      </c>
      <c r="J19" s="71">
        <f>IF(OR(I19=0,I19=""),"unrated",VLOOKUP(I19,MappingTables!$B$19:$C$31,2,FALSE))</f>
        <v>2</v>
      </c>
      <c r="K19" s="72">
        <v>1134.3617084585244</v>
      </c>
      <c r="L19" s="70">
        <v>2.2987275115994396</v>
      </c>
      <c r="M19" s="71">
        <f>IF(L19&lt;1,1,L19)</f>
        <v>2.2987275115994396</v>
      </c>
      <c r="N19" s="70" t="s">
        <v>141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2.2987275115994396</v>
      </c>
      <c r="Q19" s="71">
        <f>IF(B19="",0,INDEX(ModelParameters!$D$6:$K$10,MATCH($O19,ModelParameters!$B$6:$B$10,0),MATCH($J19,ModelParameters!$D$5:$K$5,0)))</f>
        <v>0.013999999999999998</v>
      </c>
      <c r="R19" s="71">
        <f>IF(B19="",0,INDEX(ModelParameters!$D$13:$K$17,MATCH($O19,ModelParameters!$B$13:$B$17,0),MATCH($J19,ModelParameters!$D$5:$K$5,0)))</f>
        <v>0</v>
      </c>
      <c r="S19" s="160">
        <f>IF(B19="",0,MIN(IF($N19="Other Bond TM",ModelParameters!$N$21,1)*(P19*Q19+R19),1))</f>
        <v>0.032182185162392152</v>
      </c>
      <c r="T19" s="85">
        <f>IF(B19="",0,$S19*$K19)</f>
        <v>36.506238542739736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1.9996768554850076</v>
      </c>
      <c r="X19" s="85">
        <f>IF(B19="",0,IF(OR(H19=MappingTables!$C$34,H19=MappingTables!$C$35),W19,0))</f>
        <v>0</v>
      </c>
    </row>
    <row r="20" spans="2:24" s="0" customFormat="0" ht="15">
      <c r="B20" s="69">
        <v>9338568</v>
      </c>
      <c r="C20" s="70" t="s">
        <v>202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184</v>
      </c>
      <c r="J20" s="71">
        <f>IF(OR(I20=0,I20=""),"unrated",VLOOKUP(I20,MappingTables!$B$19:$C$31,2,FALSE))</f>
        <v>5</v>
      </c>
      <c r="K20" s="72">
        <v>310.07133840632912</v>
      </c>
      <c r="L20" s="70">
        <v>3.5028901639998144</v>
      </c>
      <c r="M20" s="71">
        <f>IF(L20&lt;1,1,L20)</f>
        <v>3.5028901639998144</v>
      </c>
      <c r="N20" s="70" t="s">
        <v>141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3.5028901639998144</v>
      </c>
      <c r="Q20" s="71">
        <f>IF(B20="",0,INDEX(ModelParameters!$D$6:$K$10,MATCH($O20,ModelParameters!$B$6:$B$10,0),MATCH($J20,ModelParameters!$D$5:$K$5,0)))</f>
        <v>0.075</v>
      </c>
      <c r="R20" s="71">
        <f>IF(B20="",0,INDEX(ModelParameters!$D$13:$K$17,MATCH($O20,ModelParameters!$B$13:$B$17,0),MATCH($J20,ModelParameters!$D$5:$K$5,0)))</f>
        <v>0</v>
      </c>
      <c r="S20" s="160">
        <f>IF(B20="",0,MIN(IF($N20="Other Bond TM",ModelParameters!$N$21,1)*(P20*Q20+R20),1))</f>
        <v>0.26271676229998608</v>
      </c>
      <c r="T20" s="85">
        <f>IF(B20="",0,$S20*$K20)</f>
        <v>81.460938108134112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4.4621291884186384</v>
      </c>
      <c r="X20" s="85">
        <f>IF(B20="",0,IF(OR(H20=MappingTables!$C$34,H20=MappingTables!$C$35),W20,0))</f>
        <v>0</v>
      </c>
    </row>
    <row r="21" spans="2:24" s="0" customFormat="0" ht="15">
      <c r="B21" s="69">
        <v>17858542</v>
      </c>
      <c r="C21" s="70" t="s">
        <v>203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204</v>
      </c>
      <c r="J21" s="71">
        <f>IF(OR(I21=0,I21=""),"unrated",VLOOKUP(I21,MappingTables!$B$19:$C$31,2,FALSE))</f>
        <v>6</v>
      </c>
      <c r="K21" s="72">
        <v>14722.879757949836</v>
      </c>
      <c r="L21" s="70">
        <v>5.4918476357641344</v>
      </c>
      <c r="M21" s="71">
        <f>IF(L21&lt;1,1,L21)</f>
        <v>5.4918476357641344</v>
      </c>
      <c r="N21" s="70" t="s">
        <v>141</v>
      </c>
      <c r="O21" s="71">
        <f>INDEX(DurClassMapping,MATCH(M21,MappingTables!$D$4:$D$8,-1),1)</f>
        <v>2</v>
      </c>
      <c r="P21" s="73">
        <f>IF(M21=$A$1,1,$M21-INDEX(MappingTables!$E$4:$E$8,MATCH(O21,MappingTables!$B$4:$B$8,0)))</f>
        <v>0.49184763576413456</v>
      </c>
      <c r="Q21" s="71">
        <f>IF(B21="",0,INDEX(ModelParameters!$D$6:$K$10,MATCH($O21,ModelParameters!$B$6:$B$10,0),MATCH($J21,ModelParameters!$D$5:$K$5,0)))</f>
        <v>0.042</v>
      </c>
      <c r="R21" s="71">
        <f>IF(B21="",0,INDEX(ModelParameters!$D$13:$K$17,MATCH($O21,ModelParameters!$B$13:$B$17,0),MATCH($J21,ModelParameters!$D$5:$K$5,0)))</f>
        <v>0.375</v>
      </c>
      <c r="S21" s="160">
        <f>IF(B21="",0,MIN(IF($N21="Other Bond TM",ModelParameters!$N$21,1)*(P21*Q21+R21),1))</f>
        <v>0.39565760070209368</v>
      </c>
      <c r="T21" s="85">
        <f>IF(B21="",0,$S21*$K21)</f>
        <v>5825.2192804558536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319.0839877851298</v>
      </c>
      <c r="X21" s="85">
        <f>IF(B21="",0,IF(OR(H21=MappingTables!$C$34,H21=MappingTables!$C$35),W21,0))</f>
        <v>0</v>
      </c>
    </row>
    <row r="22" spans="2:24" s="0" customFormat="0" ht="15">
      <c r="B22" s="69">
        <v>19012867</v>
      </c>
      <c r="C22" s="70" t="s">
        <v>205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179</v>
      </c>
      <c r="J22" s="71">
        <f>IF(OR(I22=0,I22=""),"unrated",VLOOKUP(I22,MappingTables!$B$19:$C$31,2,FALSE))</f>
        <v>4</v>
      </c>
      <c r="K22" s="72">
        <v>524.9865897621332</v>
      </c>
      <c r="L22" s="70">
        <v>1.0574947674120974</v>
      </c>
      <c r="M22" s="71">
        <f>IF(L22&lt;1,1,L22)</f>
        <v>1.0574947674120974</v>
      </c>
      <c r="N22" s="70" t="s">
        <v>141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1.0574947674120974</v>
      </c>
      <c r="Q22" s="71">
        <f>IF(B22="",0,INDEX(ModelParameters!$D$6:$K$10,MATCH($O22,ModelParameters!$B$6:$B$10,0),MATCH($J22,ModelParameters!$D$5:$K$5,0)))</f>
        <v>0.045</v>
      </c>
      <c r="R22" s="71">
        <f>IF(B22="",0,INDEX(ModelParameters!$D$13:$K$17,MATCH($O22,ModelParameters!$B$13:$B$17,0),MATCH($J22,ModelParameters!$D$5:$K$5,0)))</f>
        <v>0</v>
      </c>
      <c r="S22" s="160">
        <f>IF(B22="",0,MIN(IF($N22="Other Bond TM",ModelParameters!$N$21,1)*(P22*Q22+R22),1))</f>
        <v>0.047587264533544376</v>
      </c>
      <c r="T22" s="85">
        <f>IF(B22="",0,$S22*$K22)</f>
        <v>24.982675723573976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1.3684586642370862</v>
      </c>
      <c r="X22" s="85">
        <f>IF(B22="",0,IF(OR(H22=MappingTables!$C$34,H22=MappingTables!$C$35),W22,0))</f>
        <v>0</v>
      </c>
    </row>
    <row r="23" spans="2:24" s="0" customFormat="0" ht="15">
      <c r="B23" s="69">
        <v>16199153</v>
      </c>
      <c r="C23" s="70" t="s">
        <v>206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181</v>
      </c>
      <c r="J23" s="71">
        <f>IF(OR(I23=0,I23=""),"unrated",VLOOKUP(I23,MappingTables!$B$19:$C$31,2,FALSE))</f>
        <v>3</v>
      </c>
      <c r="K23" s="72">
        <v>10732.876841258988</v>
      </c>
      <c r="L23" s="70">
        <v>0.28789372665819076</v>
      </c>
      <c r="M23" s="71">
        <f>IF(L23&lt;1,1,L23)</f>
        <v>1</v>
      </c>
      <c r="N23" s="70" t="s">
        <v>141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IF(B23="",0,INDEX(ModelParameters!$D$6:$K$10,MATCH($O23,ModelParameters!$B$6:$B$10,0),MATCH($J23,ModelParameters!$D$5:$K$5,0)))</f>
        <v>0.025</v>
      </c>
      <c r="R23" s="71">
        <f>IF(B23="",0,INDEX(ModelParameters!$D$13:$K$17,MATCH($O23,ModelParameters!$B$13:$B$17,0),MATCH($J23,ModelParameters!$D$5:$K$5,0)))</f>
        <v>0</v>
      </c>
      <c r="S23" s="160">
        <f>IF(B23="",0,MIN(IF($N23="Other Bond TM",ModelParameters!$N$21,1)*(P23*Q23+R23),1))</f>
        <v>0.025</v>
      </c>
      <c r="T23" s="85">
        <f>IF(B23="",0,$S23*$K23)</f>
        <v>268.32192103147468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14.697683374794716</v>
      </c>
      <c r="X23" s="85">
        <f>IF(B23="",0,IF(OR(H23=MappingTables!$C$34,H23=MappingTables!$C$35),W23,0))</f>
        <v>0</v>
      </c>
    </row>
    <row r="24" spans="2:24" s="0" customFormat="0" ht="15">
      <c r="B24" s="69" t="s">
        <v>207</v>
      </c>
      <c r="C24" s="70" t="s">
        <v>208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181</v>
      </c>
      <c r="J24" s="71">
        <f>IF(OR(I24=0,I24=""),"unrated",VLOOKUP(I24,MappingTables!$B$19:$C$31,2,FALSE))</f>
        <v>3</v>
      </c>
      <c r="K24" s="72">
        <v>6203.3841198017272</v>
      </c>
      <c r="L24" s="70">
        <v>6.0802272108124384</v>
      </c>
      <c r="M24" s="71">
        <f>IF(L24&lt;1,1,L24)</f>
        <v>6.0802272108124384</v>
      </c>
      <c r="N24" s="70" t="s">
        <v>141</v>
      </c>
      <c r="O24" s="71">
        <f>INDEX(DurClassMapping,MATCH(M24,MappingTables!$D$4:$D$8,-1),1)</f>
        <v>2</v>
      </c>
      <c r="P24" s="73">
        <f>IF(M24=$A$1,1,$M24-INDEX(MappingTables!$E$4:$E$8,MATCH(O24,MappingTables!$B$4:$B$8,0)))</f>
        <v>1.0802272108124384</v>
      </c>
      <c r="Q24" s="71">
        <f>IF(B24="",0,INDEX(ModelParameters!$D$6:$K$10,MATCH($O24,ModelParameters!$B$6:$B$10,0),MATCH($J24,ModelParameters!$D$5:$K$5,0)))</f>
        <v>0.015</v>
      </c>
      <c r="R24" s="71">
        <f>IF(B24="",0,INDEX(ModelParameters!$D$13:$K$17,MATCH($O24,ModelParameters!$B$13:$B$17,0),MATCH($J24,ModelParameters!$D$5:$K$5,0)))</f>
        <v>0.125</v>
      </c>
      <c r="S24" s="160">
        <f>IF(B24="",0,MIN(IF($N24="Other Bond TM",ModelParameters!$N$21,1)*(P24*Q24+R24),1))</f>
        <v>0.14120340816218658</v>
      </c>
      <c r="T24" s="85">
        <f>IF(B24="",0,$S24*$K24)</f>
        <v>875.93897985518976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47.980700689907808</v>
      </c>
      <c r="X24" s="85">
        <f>IF(B24="",0,IF(OR(H24=MappingTables!$C$34,H24=MappingTables!$C$35),W24,0))</f>
        <v>0</v>
      </c>
    </row>
    <row r="25" spans="2:24" s="0" customFormat="0" ht="15">
      <c r="B25" s="69" t="s">
        <v>209</v>
      </c>
      <c r="C25" s="70" t="s">
        <v>210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181</v>
      </c>
      <c r="J25" s="71">
        <f>IF(OR(I25=0,I25=""),"unrated",VLOOKUP(I25,MappingTables!$B$19:$C$31,2,FALSE))</f>
        <v>3</v>
      </c>
      <c r="K25" s="72">
        <v>7042.6447309984704</v>
      </c>
      <c r="L25" s="70">
        <v>8.2023857441753648</v>
      </c>
      <c r="M25" s="71">
        <f>IF(L25&lt;1,1,L25)</f>
        <v>8.2023857441753648</v>
      </c>
      <c r="N25" s="70" t="s">
        <v>141</v>
      </c>
      <c r="O25" s="71">
        <f>INDEX(DurClassMapping,MATCH(M25,MappingTables!$D$4:$D$8,-1),1)</f>
        <v>2</v>
      </c>
      <c r="P25" s="73">
        <f>IF(M25=$A$1,1,$M25-INDEX(MappingTables!$E$4:$E$8,MATCH(O25,MappingTables!$B$4:$B$8,0)))</f>
        <v>3.2023857441753644</v>
      </c>
      <c r="Q25" s="71">
        <f>IF(B25="",0,INDEX(ModelParameters!$D$6:$K$10,MATCH($O25,ModelParameters!$B$6:$B$10,0),MATCH($J25,ModelParameters!$D$5:$K$5,0)))</f>
        <v>0.015</v>
      </c>
      <c r="R25" s="71">
        <f>IF(B25="",0,INDEX(ModelParameters!$D$13:$K$17,MATCH($O25,ModelParameters!$B$13:$B$17,0),MATCH($J25,ModelParameters!$D$5:$K$5,0)))</f>
        <v>0.125</v>
      </c>
      <c r="S25" s="160">
        <f>IF(B25="",0,MIN(IF($N25="Other Bond TM",ModelParameters!$N$21,1)*(P25*Q25+R25),1))</f>
        <v>0.17303578616263046</v>
      </c>
      <c r="T25" s="85">
        <f>IF(B25="",0,$S25*$K25)</f>
        <v>1218.6295676924274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66.752024837379056</v>
      </c>
      <c r="X25" s="85">
        <f>IF(B25="",0,IF(OR(H25=MappingTables!$C$34,H25=MappingTables!$C$35),W25,0))</f>
        <v>0</v>
      </c>
    </row>
    <row r="26" spans="2:24" s="0" customFormat="0" ht="15">
      <c r="B26" s="69" t="s">
        <v>211</v>
      </c>
      <c r="C26" s="70" t="s">
        <v>212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198</v>
      </c>
      <c r="J26" s="71" t="str">
        <f>IF(OR(I26=0,I26=""),"unrated",VLOOKUP(I26,MappingTables!$B$19:$C$31,2,FALSE))</f>
        <v>unrated</v>
      </c>
      <c r="K26" s="72">
        <v>7448.0672698645408</v>
      </c>
      <c r="L26" s="70">
        <v>0.35616969290772156</v>
      </c>
      <c r="M26" s="71">
        <f>IF(L26&lt;1,1,L26)</f>
        <v>1</v>
      </c>
      <c r="N26" s="70" t="s">
        <v>141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</v>
      </c>
      <c r="Q26" s="71">
        <f>IF(B26="",0,INDEX(ModelParameters!$D$6:$K$10,MATCH($O26,ModelParameters!$B$6:$B$10,0),MATCH($J26,ModelParameters!$D$5:$K$5,0)))</f>
        <v>0.03</v>
      </c>
      <c r="R26" s="71">
        <f>IF(B26="",0,INDEX(ModelParameters!$D$13:$K$17,MATCH($O26,ModelParameters!$B$13:$B$17,0),MATCH($J26,ModelParameters!$D$5:$K$5,0)))</f>
        <v>0</v>
      </c>
      <c r="S26" s="160">
        <f>IF(B26="",0,MIN(IF($N26="Other Bond TM",ModelParameters!$N$21,1)*(P26*Q26+R26),1))</f>
        <v>0.03</v>
      </c>
      <c r="T26" s="85">
        <f>IF(B26="",0,$S26*$K26)</f>
        <v>223.4420180959362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12.23932812486831</v>
      </c>
      <c r="X26" s="85">
        <f>IF(B26="",0,IF(OR(H26=MappingTables!$C$34,H26=MappingTables!$C$35),W26,0))</f>
        <v>0</v>
      </c>
    </row>
    <row r="27" spans="2:24" s="0" customFormat="0" ht="15">
      <c r="B27" s="69">
        <v>11442823</v>
      </c>
      <c r="C27" s="70" t="s">
        <v>213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188</v>
      </c>
      <c r="J27" s="71">
        <f>IF(OR(I27=0,I27=""),"unrated",VLOOKUP(I27,MappingTables!$B$19:$C$31,2,FALSE))</f>
        <v>2</v>
      </c>
      <c r="K27" s="72">
        <v>58.26184432862016</v>
      </c>
      <c r="L27" s="70">
        <v>0.057532814857859112</v>
      </c>
      <c r="M27" s="71">
        <f>IF(L27&lt;1,1,L27)</f>
        <v>1</v>
      </c>
      <c r="N27" s="70" t="s">
        <v>141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IF(B27="",0,INDEX(ModelParameters!$D$6:$K$10,MATCH($O27,ModelParameters!$B$6:$B$10,0),MATCH($J27,ModelParameters!$D$5:$K$5,0)))</f>
        <v>0.013999999999999998</v>
      </c>
      <c r="R27" s="71">
        <f>IF(B27="",0,INDEX(ModelParameters!$D$13:$K$17,MATCH($O27,ModelParameters!$B$13:$B$17,0),MATCH($J27,ModelParameters!$D$5:$K$5,0)))</f>
        <v>0</v>
      </c>
      <c r="S27" s="160">
        <f>IF(B27="",0,MIN(IF($N27="Other Bond TM",ModelParameters!$N$21,1)*(P27*Q27+R27),1))</f>
        <v>0.013999999999999998</v>
      </c>
      <c r="T27" s="85">
        <f>IF(B27="",0,$S27*$K27)</f>
        <v>0.81566582060068208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0.044679159737473224</v>
      </c>
      <c r="X27" s="85">
        <f>IF(B27="",0,IF(OR(H27=MappingTables!$C$34,H27=MappingTables!$C$35),W27,0))</f>
        <v>0</v>
      </c>
    </row>
    <row r="28" spans="2:24" s="0" customFormat="0" ht="15">
      <c r="B28" s="69">
        <v>22214086</v>
      </c>
      <c r="C28" s="70" t="s">
        <v>214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181</v>
      </c>
      <c r="J28" s="71">
        <f>IF(OR(I28=0,I28=""),"unrated",VLOOKUP(I28,MappingTables!$B$19:$C$31,2,FALSE))</f>
        <v>3</v>
      </c>
      <c r="K28" s="72">
        <v>17918.6095140742</v>
      </c>
      <c r="L28" s="70">
        <v>3.0819110365735516</v>
      </c>
      <c r="M28" s="71">
        <f>IF(L28&lt;1,1,L28)</f>
        <v>3.0819110365735516</v>
      </c>
      <c r="N28" s="70" t="s">
        <v>141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3.0819110365735516</v>
      </c>
      <c r="Q28" s="71">
        <f>IF(B28="",0,INDEX(ModelParameters!$D$6:$K$10,MATCH($O28,ModelParameters!$B$6:$B$10,0),MATCH($J28,ModelParameters!$D$5:$K$5,0)))</f>
        <v>0.025</v>
      </c>
      <c r="R28" s="71">
        <f>IF(B28="",0,INDEX(ModelParameters!$D$13:$K$17,MATCH($O28,ModelParameters!$B$13:$B$17,0),MATCH($J28,ModelParameters!$D$5:$K$5,0)))</f>
        <v>0</v>
      </c>
      <c r="S28" s="160">
        <f>IF(B28="",0,MIN(IF($N28="Other Bond TM",ModelParameters!$N$21,1)*(P28*Q28+R28),1))</f>
        <v>0.0770477759143388</v>
      </c>
      <c r="T28" s="85">
        <f>IF(B28="",0,$S28*$K28)</f>
        <v>1380.589010536928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75.623564670337408</v>
      </c>
      <c r="X28" s="85">
        <f>IF(B28="",0,IF(OR(H28=MappingTables!$C$34,H28=MappingTables!$C$35),W28,0))</f>
        <v>0</v>
      </c>
    </row>
    <row r="29" spans="2:24" s="0" customFormat="0" ht="15">
      <c r="B29" s="69">
        <v>22078684</v>
      </c>
      <c r="C29" s="70" t="s">
        <v>215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216</v>
      </c>
      <c r="J29" s="71">
        <f>IF(OR(I29=0,I29=""),"unrated",VLOOKUP(I29,MappingTables!$B$19:$C$31,2,FALSE))</f>
        <v>0</v>
      </c>
      <c r="K29" s="72">
        <v>20010.903681732836</v>
      </c>
      <c r="L29" s="70">
        <v>0.07671502075712024</v>
      </c>
      <c r="M29" s="71">
        <f>IF(L29&lt;1,1,L29)</f>
        <v>1</v>
      </c>
      <c r="N29" s="70" t="s">
        <v>141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IF(B29="",0,INDEX(ModelParameters!$D$6:$K$10,MATCH($O29,ModelParameters!$B$6:$B$10,0),MATCH($J29,ModelParameters!$D$5:$K$5,0)))</f>
        <v>0.0090000000000000016</v>
      </c>
      <c r="R29" s="71">
        <f>IF(B29="",0,INDEX(ModelParameters!$D$13:$K$17,MATCH($O29,ModelParameters!$B$13:$B$17,0),MATCH($J29,ModelParameters!$D$5:$K$5,0)))</f>
        <v>0</v>
      </c>
      <c r="S29" s="160">
        <f>IF(B29="",0,MIN(IF($N29="Other Bond TM",ModelParameters!$N$21,1)*(P29*Q29+R29),1))</f>
        <v>0.0090000000000000016</v>
      </c>
      <c r="T29" s="85">
        <f>IF(B29="",0,$S29*$K29)</f>
        <v>180.09813313559554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9.8651102639806544</v>
      </c>
      <c r="X29" s="85">
        <f>IF(B29="",0,IF(OR(H29=MappingTables!$C$34,H29=MappingTables!$C$35),W29,0))</f>
        <v>0</v>
      </c>
    </row>
    <row r="30" spans="2:24" s="0" customFormat="0" ht="15">
      <c r="B30" s="69">
        <v>22106687</v>
      </c>
      <c r="C30" s="70" t="s">
        <v>217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179</v>
      </c>
      <c r="J30" s="71">
        <f>IF(OR(I30=0,I30=""),"unrated",VLOOKUP(I30,MappingTables!$B$19:$C$31,2,FALSE))</f>
        <v>4</v>
      </c>
      <c r="K30" s="72">
        <v>21962.758780702512</v>
      </c>
      <c r="L30" s="70">
        <v>6.8553029682594824</v>
      </c>
      <c r="M30" s="71">
        <f>IF(L30&lt;1,1,L30)</f>
        <v>6.8553029682594824</v>
      </c>
      <c r="N30" s="70" t="s">
        <v>141</v>
      </c>
      <c r="O30" s="71">
        <f>INDEX(DurClassMapping,MATCH(M30,MappingTables!$D$4:$D$8,-1),1)</f>
        <v>2</v>
      </c>
      <c r="P30" s="73">
        <f>IF(M30=$A$1,1,$M30-INDEX(MappingTables!$E$4:$E$8,MATCH(O30,MappingTables!$B$4:$B$8,0)))</f>
        <v>1.8553029682594824</v>
      </c>
      <c r="Q30" s="71">
        <f>IF(B30="",0,INDEX(ModelParameters!$D$6:$K$10,MATCH($O30,ModelParameters!$B$6:$B$10,0),MATCH($J30,ModelParameters!$D$5:$K$5,0)))</f>
        <v>0.025</v>
      </c>
      <c r="R30" s="71">
        <f>IF(B30="",0,INDEX(ModelParameters!$D$13:$K$17,MATCH($O30,ModelParameters!$B$13:$B$17,0),MATCH($J30,ModelParameters!$D$5:$K$5,0)))</f>
        <v>0.225</v>
      </c>
      <c r="S30" s="160">
        <f>IF(B30="",0,MIN(IF($N30="Other Bond TM",ModelParameters!$N$21,1)*(P30*Q30+R30),1))</f>
        <v>0.27138257420648704</v>
      </c>
      <c r="T30" s="85">
        <f>IF(B30="",0,$S30*$K30)</f>
        <v>5960.3100145831744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326.48375903542216</v>
      </c>
      <c r="X30" s="85">
        <f>IF(B30="",0,IF(OR(H30=MappingTables!$C$34,H30=MappingTables!$C$35),W30,0))</f>
        <v>0</v>
      </c>
    </row>
    <row r="31" spans="2:24" s="0" customFormat="0" ht="15">
      <c r="B31" s="69" t="s">
        <v>218</v>
      </c>
      <c r="C31" s="70" t="s">
        <v>219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220</v>
      </c>
      <c r="J31" s="71">
        <f>IF(OR(I31=0,I31=""),"unrated",VLOOKUP(I31,MappingTables!$B$19:$C$31,2,FALSE))</f>
        <v>1</v>
      </c>
      <c r="K31" s="72">
        <v>282.83554930061684</v>
      </c>
      <c r="L31" s="70">
        <v>0.41644139136072784</v>
      </c>
      <c r="M31" s="71">
        <f>IF(L31&lt;1,1,L31)</f>
        <v>1</v>
      </c>
      <c r="N31" s="70" t="s">
        <v>141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IF(B31="",0,INDEX(ModelParameters!$D$6:$K$10,MATCH($O31,ModelParameters!$B$6:$B$10,0),MATCH($J31,ModelParameters!$D$5:$K$5,0)))</f>
        <v>0.011000000000000002</v>
      </c>
      <c r="R31" s="71">
        <f>IF(B31="",0,INDEX(ModelParameters!$D$13:$K$17,MATCH($O31,ModelParameters!$B$13:$B$17,0),MATCH($J31,ModelParameters!$D$5:$K$5,0)))</f>
        <v>0</v>
      </c>
      <c r="S31" s="160">
        <f>IF(B31="",0,MIN(IF($N31="Other Bond TM",ModelParameters!$N$21,1)*(P31*Q31+R31),1))</f>
        <v>0.011000000000000002</v>
      </c>
      <c r="T31" s="85">
        <f>IF(B31="",0,$S31*$K31)</f>
        <v>3.1111910423067856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0.1704195493329029</v>
      </c>
      <c r="X31" s="85">
        <f>IF(B31="",0,IF(OR(H31=MappingTables!$C$34,H31=MappingTables!$C$35),W31,0))</f>
        <v>0</v>
      </c>
    </row>
    <row r="32" spans="2:24" s="0" customFormat="0" ht="15">
      <c r="B32" s="69" t="s">
        <v>221</v>
      </c>
      <c r="C32" s="70" t="s">
        <v>222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188</v>
      </c>
      <c r="J32" s="71">
        <f>IF(OR(I32=0,I32=""),"unrated",VLOOKUP(I32,MappingTables!$B$19:$C$31,2,FALSE))</f>
        <v>2</v>
      </c>
      <c r="K32" s="72">
        <v>901.4089531998016</v>
      </c>
      <c r="L32" s="70">
        <v>4.091025336870424</v>
      </c>
      <c r="M32" s="71">
        <f>IF(L32&lt;1,1,L32)</f>
        <v>4.091025336870424</v>
      </c>
      <c r="N32" s="70" t="s">
        <v>141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4.091025336870424</v>
      </c>
      <c r="Q32" s="71">
        <f>IF(B32="",0,INDEX(ModelParameters!$D$6:$K$10,MATCH($O32,ModelParameters!$B$6:$B$10,0),MATCH($J32,ModelParameters!$D$5:$K$5,0)))</f>
        <v>0.013999999999999998</v>
      </c>
      <c r="R32" s="71">
        <f>IF(B32="",0,INDEX(ModelParameters!$D$13:$K$17,MATCH($O32,ModelParameters!$B$13:$B$17,0),MATCH($J32,ModelParameters!$D$5:$K$5,0)))</f>
        <v>0</v>
      </c>
      <c r="S32" s="160">
        <f>IF(B32="",0,MIN(IF($N32="Other Bond TM",ModelParameters!$N$21,1)*(P32*Q32+R32),1))</f>
        <v>0.057274354716185928</v>
      </c>
      <c r="T32" s="85">
        <f>IF(B32="",0,$S32*$K32)</f>
        <v>51.627616129911272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2.8279700456671632</v>
      </c>
      <c r="X32" s="85">
        <f>IF(B32="",0,IF(OR(H32=MappingTables!$C$34,H32=MappingTables!$C$35),W32,0))</f>
        <v>0</v>
      </c>
    </row>
    <row r="33" spans="2:24" s="0" customFormat="0" ht="15">
      <c r="B33" s="69" t="s">
        <v>223</v>
      </c>
      <c r="C33" s="70" t="s">
        <v>224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181</v>
      </c>
      <c r="J33" s="71">
        <f>IF(OR(I33=0,I33=""),"unrated",VLOOKUP(I33,MappingTables!$B$19:$C$31,2,FALSE))</f>
        <v>3</v>
      </c>
      <c r="K33" s="72">
        <v>36042.29536068616</v>
      </c>
      <c r="L33" s="70">
        <v>3.9128017496153344</v>
      </c>
      <c r="M33" s="71">
        <f>IF(L33&lt;1,1,L33)</f>
        <v>3.9128017496153344</v>
      </c>
      <c r="N33" s="70" t="s">
        <v>141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3.9128017496153344</v>
      </c>
      <c r="Q33" s="71">
        <f>IF(B33="",0,INDEX(ModelParameters!$D$6:$K$10,MATCH($O33,ModelParameters!$B$6:$B$10,0),MATCH($J33,ModelParameters!$D$5:$K$5,0)))</f>
        <v>0.025</v>
      </c>
      <c r="R33" s="71">
        <f>IF(B33="",0,INDEX(ModelParameters!$D$13:$K$17,MATCH($O33,ModelParameters!$B$13:$B$17,0),MATCH($J33,ModelParameters!$D$5:$K$5,0)))</f>
        <v>0</v>
      </c>
      <c r="S33" s="160">
        <f>IF(B33="",0,MIN(IF($N33="Other Bond TM",ModelParameters!$N$21,1)*(P33*Q33+R33),1))</f>
        <v>0.09782004374038336</v>
      </c>
      <c r="T33" s="85">
        <f>IF(B33="",0,$S33*$K33)</f>
        <v>3525.6589086861368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193.1225675792424</v>
      </c>
      <c r="X33" s="85">
        <f>IF(B33="",0,IF(OR(H33=MappingTables!$C$34,H33=MappingTables!$C$35),W33,0))</f>
        <v>0</v>
      </c>
    </row>
    <row r="34" spans="2:24" s="0" customFormat="0" ht="15">
      <c r="B34" s="69">
        <v>8584176</v>
      </c>
      <c r="C34" s="70" t="s">
        <v>225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181</v>
      </c>
      <c r="J34" s="71">
        <f>IF(OR(I34=0,I34=""),"unrated",VLOOKUP(I34,MappingTables!$B$19:$C$31,2,FALSE))</f>
        <v>3</v>
      </c>
      <c r="K34" s="72">
        <v>0.2427922230608772</v>
      </c>
      <c r="L34" s="70">
        <v>0.038358154377200072</v>
      </c>
      <c r="M34" s="71">
        <f>IF(L34&lt;1,1,L34)</f>
        <v>1</v>
      </c>
      <c r="N34" s="70" t="s">
        <v>141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IF(B34="",0,INDEX(ModelParameters!$D$6:$K$10,MATCH($O34,ModelParameters!$B$6:$B$10,0),MATCH($J34,ModelParameters!$D$5:$K$5,0)))</f>
        <v>0.025</v>
      </c>
      <c r="R34" s="71">
        <f>IF(B34="",0,INDEX(ModelParameters!$D$13:$K$17,MATCH($O34,ModelParameters!$B$13:$B$17,0),MATCH($J34,ModelParameters!$D$5:$K$5,0)))</f>
        <v>0</v>
      </c>
      <c r="S34" s="160">
        <f>IF(B34="",0,MIN(IF($N34="Other Bond TM",ModelParameters!$N$21,1)*(P34*Q34+R34),1))</f>
        <v>0.025</v>
      </c>
      <c r="T34" s="85">
        <f>IF(B34="",0,$S34*$K34)</f>
        <v>0.0060698055765219304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0.00033248152132832216</v>
      </c>
      <c r="X34" s="85">
        <f>IF(B34="",0,IF(OR(H34=MappingTables!$C$34,H34=MappingTables!$C$35),W34,0))</f>
        <v>0</v>
      </c>
    </row>
    <row r="35" spans="2:24" s="0" customFormat="0" ht="15">
      <c r="B35" s="69">
        <v>17056008</v>
      </c>
      <c r="C35" s="70" t="s">
        <v>226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181</v>
      </c>
      <c r="J35" s="71">
        <f>IF(OR(I35=0,I35=""),"unrated",VLOOKUP(I35,MappingTables!$B$19:$C$31,2,FALSE))</f>
        <v>3</v>
      </c>
      <c r="K35" s="72">
        <v>31584.21765177728</v>
      </c>
      <c r="L35" s="70">
        <v>1.4023603622172606</v>
      </c>
      <c r="M35" s="71">
        <f>IF(L35&lt;1,1,L35)</f>
        <v>1.4023603622172606</v>
      </c>
      <c r="N35" s="70" t="s">
        <v>141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1.4023603622172606</v>
      </c>
      <c r="Q35" s="71">
        <f>IF(B35="",0,INDEX(ModelParameters!$D$6:$K$10,MATCH($O35,ModelParameters!$B$6:$B$10,0),MATCH($J35,ModelParameters!$D$5:$K$5,0)))</f>
        <v>0.025</v>
      </c>
      <c r="R35" s="71">
        <f>IF(B35="",0,INDEX(ModelParameters!$D$13:$K$17,MATCH($O35,ModelParameters!$B$13:$B$17,0),MATCH($J35,ModelParameters!$D$5:$K$5,0)))</f>
        <v>0</v>
      </c>
      <c r="S35" s="160">
        <f>IF(B35="",0,MIN(IF($N35="Other Bond TM",ModelParameters!$N$21,1)*(P35*Q35+R35),1))</f>
        <v>0.035059009055431516</v>
      </c>
      <c r="T35" s="85">
        <f>IF(B35="",0,$S35*$K35)</f>
        <v>1107.3113726623794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60.654425438434048</v>
      </c>
      <c r="X35" s="85">
        <f>IF(B35="",0,IF(OR(H35=MappingTables!$C$34,H35=MappingTables!$C$35),W35,0))</f>
        <v>0</v>
      </c>
    </row>
    <row r="36" spans="2:24" s="0" customFormat="0" ht="15">
      <c r="B36" s="69">
        <v>11009660</v>
      </c>
      <c r="C36" s="70" t="s">
        <v>227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181</v>
      </c>
      <c r="J36" s="71">
        <f>IF(OR(I36=0,I36=""),"unrated",VLOOKUP(I36,MappingTables!$B$19:$C$31,2,FALSE))</f>
        <v>3</v>
      </c>
      <c r="K36" s="72">
        <v>778.34811789985616</v>
      </c>
      <c r="L36" s="70">
        <v>4.9369693012871216</v>
      </c>
      <c r="M36" s="71">
        <f>IF(L36&lt;1,1,L36)</f>
        <v>4.9369693012871216</v>
      </c>
      <c r="N36" s="70" t="s">
        <v>141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4.9369693012871216</v>
      </c>
      <c r="Q36" s="71">
        <f>IF(B36="",0,INDEX(ModelParameters!$D$6:$K$10,MATCH($O36,ModelParameters!$B$6:$B$10,0),MATCH($J36,ModelParameters!$D$5:$K$5,0)))</f>
        <v>0.025</v>
      </c>
      <c r="R36" s="71">
        <f>IF(B36="",0,INDEX(ModelParameters!$D$13:$K$17,MATCH($O36,ModelParameters!$B$13:$B$17,0),MATCH($J36,ModelParameters!$D$5:$K$5,0)))</f>
        <v>0</v>
      </c>
      <c r="S36" s="160">
        <f>IF(B36="",0,MIN(IF($N36="Other Bond TM",ModelParameters!$N$21,1)*(P36*Q36+R36),1))</f>
        <v>0.12342423253217804</v>
      </c>
      <c r="T36" s="85">
        <f>IF(B36="",0,$S36*$K36)</f>
        <v>96.067019094654976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5.2621963348569312</v>
      </c>
      <c r="X36" s="85">
        <f>IF(B36="",0,IF(OR(H36=MappingTables!$C$34,H36=MappingTables!$C$35),W36,0))</f>
        <v>0</v>
      </c>
    </row>
    <row r="37" spans="2:24" s="0" customFormat="0" ht="15">
      <c r="B37" s="69" t="s">
        <v>228</v>
      </c>
      <c r="C37" s="70" t="s">
        <v>229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198</v>
      </c>
      <c r="J37" s="71" t="str">
        <f>IF(OR(I37=0,I37=""),"unrated",VLOOKUP(I37,MappingTables!$B$19:$C$31,2,FALSE))</f>
        <v>unrated</v>
      </c>
      <c r="K37" s="72">
        <v>166.3821296350707</v>
      </c>
      <c r="L37" s="70">
        <v>4.3164074721923128</v>
      </c>
      <c r="M37" s="71">
        <f>IF(L37&lt;1,1,L37)</f>
        <v>4.3164074721923128</v>
      </c>
      <c r="N37" s="70" t="s">
        <v>141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4.3164074721923128</v>
      </c>
      <c r="Q37" s="71">
        <f>IF(B37="",0,INDEX(ModelParameters!$D$6:$K$10,MATCH($O37,ModelParameters!$B$6:$B$10,0),MATCH($J37,ModelParameters!$D$5:$K$5,0)))</f>
        <v>0.03</v>
      </c>
      <c r="R37" s="71">
        <f>IF(B37="",0,INDEX(ModelParameters!$D$13:$K$17,MATCH($O37,ModelParameters!$B$13:$B$17,0),MATCH($J37,ModelParameters!$D$5:$K$5,0)))</f>
        <v>0</v>
      </c>
      <c r="S37" s="160">
        <f>IF(B37="",0,MIN(IF($N37="Other Bond TM",ModelParameters!$N$21,1)*(P37*Q37+R37),1))</f>
        <v>0.12949222416576938</v>
      </c>
      <c r="T37" s="85">
        <f>IF(B37="",0,$S37*$K37)</f>
        <v>21.545192027882676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1.1801660090150648</v>
      </c>
      <c r="X37" s="85">
        <f>IF(B37="",0,IF(OR(H37=MappingTables!$C$34,H37=MappingTables!$C$35),W37,0))</f>
        <v>0</v>
      </c>
    </row>
    <row r="38" spans="2:24" s="0" customFormat="0" ht="15">
      <c r="B38" s="69" t="s">
        <v>230</v>
      </c>
      <c r="C38" s="70" t="s">
        <v>231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220</v>
      </c>
      <c r="J38" s="71">
        <f>IF(OR(I38=0,I38=""),"unrated",VLOOKUP(I38,MappingTables!$B$19:$C$31,2,FALSE))</f>
        <v>1</v>
      </c>
      <c r="K38" s="72">
        <v>53759.06347911432</v>
      </c>
      <c r="L38" s="70">
        <v>2.4879963678827208</v>
      </c>
      <c r="M38" s="71">
        <f>IF(L38&lt;1,1,L38)</f>
        <v>2.4879963678827208</v>
      </c>
      <c r="N38" s="70" t="s">
        <v>141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2.4879963678827208</v>
      </c>
      <c r="Q38" s="71">
        <f>IF(B38="",0,INDEX(ModelParameters!$D$6:$K$10,MATCH($O38,ModelParameters!$B$6:$B$10,0),MATCH($J38,ModelParameters!$D$5:$K$5,0)))</f>
        <v>0.011000000000000002</v>
      </c>
      <c r="R38" s="71">
        <f>IF(B38="",0,INDEX(ModelParameters!$D$13:$K$17,MATCH($O38,ModelParameters!$B$13:$B$17,0),MATCH($J38,ModelParameters!$D$5:$K$5,0)))</f>
        <v>0</v>
      </c>
      <c r="S38" s="160">
        <f>IF(B38="",0,MIN(IF($N38="Other Bond TM",ModelParameters!$N$21,1)*(P38*Q38+R38),1))</f>
        <v>0.027367960046709928</v>
      </c>
      <c r="T38" s="85">
        <f>IF(B38="",0,$S38*$K38)</f>
        <v>1471.2759014449434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80.591057462900592</v>
      </c>
      <c r="X38" s="85">
        <f>IF(B38="",0,IF(OR(H38=MappingTables!$C$34,H38=MappingTables!$C$35),W38,0))</f>
        <v>0</v>
      </c>
    </row>
    <row r="39" spans="2:24" s="0" customFormat="0" ht="15">
      <c r="B39" s="69" t="s">
        <v>232</v>
      </c>
      <c r="C39" s="70" t="s">
        <v>233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181</v>
      </c>
      <c r="J39" s="71">
        <f>IF(OR(I39=0,I39=""),"unrated",VLOOKUP(I39,MappingTables!$B$19:$C$31,2,FALSE))</f>
        <v>3</v>
      </c>
      <c r="K39" s="72">
        <v>24.441856802330308</v>
      </c>
      <c r="L39" s="70">
        <v>1.0959232957764832</v>
      </c>
      <c r="M39" s="71">
        <f>IF(L39&lt;1,1,L39)</f>
        <v>1.0959232957764832</v>
      </c>
      <c r="N39" s="70" t="s">
        <v>141</v>
      </c>
      <c r="O39" s="71">
        <f>INDEX(DurClassMapping,MATCH(M39,MappingTables!$D$4:$D$8,-1),1)</f>
        <v>1</v>
      </c>
      <c r="P39" s="73">
        <f>IF(M39=$A$1,1,$M39-INDEX(MappingTables!$E$4:$E$8,MATCH(O39,MappingTables!$B$4:$B$8,0)))</f>
        <v>1.0959232957764832</v>
      </c>
      <c r="Q39" s="71">
        <f>IF(B39="",0,INDEX(ModelParameters!$D$6:$K$10,MATCH($O39,ModelParameters!$B$6:$B$10,0),MATCH($J39,ModelParameters!$D$5:$K$5,0)))</f>
        <v>0.025</v>
      </c>
      <c r="R39" s="71">
        <f>IF(B39="",0,INDEX(ModelParameters!$D$13:$K$17,MATCH($O39,ModelParameters!$B$13:$B$17,0),MATCH($J39,ModelParameters!$D$5:$K$5,0)))</f>
        <v>0</v>
      </c>
      <c r="S39" s="160">
        <f>IF(B39="",0,MIN(IF($N39="Other Bond TM",ModelParameters!$N$21,1)*(P39*Q39+R39),1))</f>
        <v>0.027398082394412084</v>
      </c>
      <c r="T39" s="85">
        <f>IF(B39="",0,$S39*$K39)</f>
        <v>0.6696600065426672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85">
        <f>IF(B39="",0,+$T39*$V39)</f>
        <v>0.036681500740196856</v>
      </c>
      <c r="X39" s="85">
        <f>IF(B39="",0,IF(OR(H39=MappingTables!$C$34,H39=MappingTables!$C$35),W39,0))</f>
        <v>0</v>
      </c>
    </row>
    <row r="40" spans="2:24" s="0" customFormat="0" ht="15">
      <c r="B40" s="69">
        <v>18051828</v>
      </c>
      <c r="C40" s="70" t="s">
        <v>234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179</v>
      </c>
      <c r="J40" s="71">
        <f>IF(OR(I40=0,I40=""),"unrated",VLOOKUP(I40,MappingTables!$B$19:$C$31,2,FALSE))</f>
        <v>4</v>
      </c>
      <c r="K40" s="72">
        <v>532.46533026139048</v>
      </c>
      <c r="L40" s="70">
        <v>0.81341544224019472</v>
      </c>
      <c r="M40" s="71">
        <f>IF(L40&lt;1,1,L40)</f>
        <v>1</v>
      </c>
      <c r="N40" s="70" t="s">
        <v>141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</v>
      </c>
      <c r="Q40" s="71">
        <f>IF(B40="",0,INDEX(ModelParameters!$D$6:$K$10,MATCH($O40,ModelParameters!$B$6:$B$10,0),MATCH($J40,ModelParameters!$D$5:$K$5,0)))</f>
        <v>0.045</v>
      </c>
      <c r="R40" s="71">
        <f>IF(B40="",0,INDEX(ModelParameters!$D$13:$K$17,MATCH($O40,ModelParameters!$B$13:$B$17,0),MATCH($J40,ModelParameters!$D$5:$K$5,0)))</f>
        <v>0</v>
      </c>
      <c r="S40" s="160">
        <f>IF(B40="",0,MIN(IF($N40="Other Bond TM",ModelParameters!$N$21,1)*(P40*Q40+R40),1))</f>
        <v>0.045</v>
      </c>
      <c r="T40" s="85">
        <f>IF(B40="",0,$S40*$K40)</f>
        <v>23.960939861762572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85">
        <f>IF(B40="",0,+$T40*$V40)</f>
        <v>1.312491749078427</v>
      </c>
      <c r="X40" s="85">
        <f>IF(B40="",0,IF(OR(H40=MappingTables!$C$34,H40=MappingTables!$C$35),W40,0))</f>
        <v>0</v>
      </c>
    </row>
    <row r="41" spans="2:24" s="0" customFormat="0" ht="15">
      <c r="B41" s="69">
        <v>22865681</v>
      </c>
      <c r="C41" s="70" t="s">
        <v>235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204</v>
      </c>
      <c r="J41" s="71">
        <f>IF(OR(I41=0,I41=""),"unrated",VLOOKUP(I41,MappingTables!$B$19:$C$31,2,FALSE))</f>
        <v>6</v>
      </c>
      <c r="K41" s="72">
        <v>109.88934711093578</v>
      </c>
      <c r="L41" s="70">
        <v>2.2525675531128124</v>
      </c>
      <c r="M41" s="71">
        <f>IF(L41&lt;1,1,L41)</f>
        <v>2.2525675531128124</v>
      </c>
      <c r="N41" s="70" t="s">
        <v>141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2.2525675531128124</v>
      </c>
      <c r="Q41" s="71">
        <f>IF(B41="",0,INDEX(ModelParameters!$D$6:$K$10,MATCH($O41,ModelParameters!$B$6:$B$10,0),MATCH($J41,ModelParameters!$D$5:$K$5,0)))</f>
        <v>0.075</v>
      </c>
      <c r="R41" s="71">
        <f>IF(B41="",0,INDEX(ModelParameters!$D$13:$K$17,MATCH($O41,ModelParameters!$B$13:$B$17,0),MATCH($J41,ModelParameters!$D$5:$K$5,0)))</f>
        <v>0</v>
      </c>
      <c r="S41" s="160">
        <f>IF(B41="",0,MIN(IF($N41="Other Bond TM",ModelParameters!$N$21,1)*(P41*Q41+R41),1))</f>
        <v>0.16894256648346092</v>
      </c>
      <c r="T41" s="85">
        <f>IF(B41="",0,$S41*$K41)</f>
        <v>18.564988330113384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1.016921462412898</v>
      </c>
      <c r="X41" s="85">
        <f>IF(B41="",0,IF(OR(H41=MappingTables!$C$34,H41=MappingTables!$C$35),W41,0))</f>
        <v>0</v>
      </c>
    </row>
    <row r="42" spans="2:24" s="0" customFormat="0" ht="15">
      <c r="B42" s="69">
        <v>22264581</v>
      </c>
      <c r="C42" s="70" t="s">
        <v>236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181</v>
      </c>
      <c r="J42" s="71">
        <f>IF(OR(I42=0,I42=""),"unrated",VLOOKUP(I42,MappingTables!$B$19:$C$31,2,FALSE))</f>
        <v>3</v>
      </c>
      <c r="K42" s="72">
        <v>9423.0277170203488</v>
      </c>
      <c r="L42" s="70">
        <v>19.029172966373396</v>
      </c>
      <c r="M42" s="71">
        <f>IF(L42&lt;1,1,L42)</f>
        <v>19.029172966373396</v>
      </c>
      <c r="N42" s="70" t="s">
        <v>141</v>
      </c>
      <c r="O42" s="71">
        <f>INDEX(DurClassMapping,MATCH(M42,MappingTables!$D$4:$D$8,-1),1)</f>
        <v>4</v>
      </c>
      <c r="P42" s="73">
        <f>IF(M42=$A$1,1,$M42-INDEX(MappingTables!$E$4:$E$8,MATCH(O42,MappingTables!$B$4:$B$8,0)))</f>
        <v>4.0291729663733944</v>
      </c>
      <c r="Q42" s="71">
        <f>IF(B42="",0,INDEX(ModelParameters!$D$6:$K$10,MATCH($O42,ModelParameters!$B$6:$B$10,0),MATCH($J42,ModelParameters!$D$5:$K$5,0)))</f>
        <v>0.01</v>
      </c>
      <c r="R42" s="71">
        <f>IF(B42="",0,INDEX(ModelParameters!$D$13:$K$17,MATCH($O42,ModelParameters!$B$13:$B$17,0),MATCH($J42,ModelParameters!$D$5:$K$5,0)))</f>
        <v>0.25</v>
      </c>
      <c r="S42" s="160">
        <f>IF(B42="",0,MIN(IF($N42="Other Bond TM",ModelParameters!$N$21,1)*(P42*Q42+R42),1))</f>
        <v>0.29029172966373396</v>
      </c>
      <c r="T42" s="85">
        <f>IF(B42="",0,$S42*$K42)</f>
        <v>2735.4270146431432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149.8365843593107</v>
      </c>
      <c r="X42" s="85">
        <f>IF(B42="",0,IF(OR(H42=MappingTables!$C$34,H42=MappingTables!$C$35),W42,0))</f>
        <v>0</v>
      </c>
    </row>
    <row r="43" spans="2:24" s="0" customFormat="0" ht="15">
      <c r="B43" s="69">
        <v>13724713</v>
      </c>
      <c r="C43" s="70" t="s">
        <v>237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204</v>
      </c>
      <c r="J43" s="71">
        <f>IF(OR(I43=0,I43=""),"unrated",VLOOKUP(I43,MappingTables!$B$19:$C$31,2,FALSE))</f>
        <v>6</v>
      </c>
      <c r="K43" s="72">
        <v>21189.980812172208</v>
      </c>
      <c r="L43" s="70">
        <v>1.2382571694024054</v>
      </c>
      <c r="M43" s="71">
        <f>IF(L43&lt;1,1,L43)</f>
        <v>1.2382571694024054</v>
      </c>
      <c r="N43" s="70" t="s">
        <v>141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1.2382571694024054</v>
      </c>
      <c r="Q43" s="71">
        <f>IF(B43="",0,INDEX(ModelParameters!$D$6:$K$10,MATCH($O43,ModelParameters!$B$6:$B$10,0),MATCH($J43,ModelParameters!$D$5:$K$5,0)))</f>
        <v>0.075</v>
      </c>
      <c r="R43" s="71">
        <f>IF(B43="",0,INDEX(ModelParameters!$D$13:$K$17,MATCH($O43,ModelParameters!$B$13:$B$17,0),MATCH($J43,ModelParameters!$D$5:$K$5,0)))</f>
        <v>0</v>
      </c>
      <c r="S43" s="160">
        <f>IF(B43="",0,MIN(IF($N43="Other Bond TM",ModelParameters!$N$21,1)*(P43*Q43+R43),1))</f>
        <v>0.0928692877051804</v>
      </c>
      <c r="T43" s="85">
        <f>IF(B43="",0,$S43*$K43)</f>
        <v>1967.8984245128728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107.79420423817992</v>
      </c>
      <c r="X43" s="85">
        <f>IF(B43="",0,IF(OR(H43=MappingTables!$C$34,H43=MappingTables!$C$35),W43,0))</f>
        <v>0</v>
      </c>
    </row>
    <row r="44" spans="2:24" s="0" customFormat="0" ht="15">
      <c r="B44" s="69">
        <v>18992190</v>
      </c>
      <c r="C44" s="70" t="s">
        <v>238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179</v>
      </c>
      <c r="J44" s="71">
        <f>IF(OR(I44=0,I44=""),"unrated",VLOOKUP(I44,MappingTables!$B$19:$C$31,2,FALSE))</f>
        <v>4</v>
      </c>
      <c r="K44" s="72">
        <v>1036.4335093293368</v>
      </c>
      <c r="L44" s="70">
        <v>2.5467679315792524</v>
      </c>
      <c r="M44" s="71">
        <f>IF(L44&lt;1,1,L44)</f>
        <v>2.5467679315792524</v>
      </c>
      <c r="N44" s="70" t="s">
        <v>141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2.5467679315792524</v>
      </c>
      <c r="Q44" s="71">
        <f>IF(B44="",0,INDEX(ModelParameters!$D$6:$K$10,MATCH($O44,ModelParameters!$B$6:$B$10,0),MATCH($J44,ModelParameters!$D$5:$K$5,0)))</f>
        <v>0.045</v>
      </c>
      <c r="R44" s="71">
        <f>IF(B44="",0,INDEX(ModelParameters!$D$13:$K$17,MATCH($O44,ModelParameters!$B$13:$B$17,0),MATCH($J44,ModelParameters!$D$5:$K$5,0)))</f>
        <v>0</v>
      </c>
      <c r="S44" s="160">
        <f>IF(B44="",0,MIN(IF($N44="Other Bond TM",ModelParameters!$N$21,1)*(P44*Q44+R44),1))</f>
        <v>0.11460455692106636</v>
      </c>
      <c r="T44" s="85">
        <f>IF(B44="",0,$S44*$K44)</f>
        <v>118.78000311483454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6.5063296741759072</v>
      </c>
      <c r="X44" s="85">
        <f>IF(B44="",0,IF(OR(H44=MappingTables!$C$34,H44=MappingTables!$C$35),W44,0))</f>
        <v>0</v>
      </c>
    </row>
    <row r="45" spans="2:24" s="0" customFormat="0" ht="15">
      <c r="B45" s="69" t="s">
        <v>239</v>
      </c>
      <c r="C45" s="70" t="s">
        <v>240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179</v>
      </c>
      <c r="J45" s="71">
        <f>IF(OR(I45=0,I45=""),"unrated",VLOOKUP(I45,MappingTables!$B$19:$C$31,2,FALSE))</f>
        <v>4</v>
      </c>
      <c r="K45" s="72">
        <v>178.63091586680634</v>
      </c>
      <c r="L45" s="70">
        <v>3.5677820309633804</v>
      </c>
      <c r="M45" s="71">
        <f>IF(L45&lt;1,1,L45)</f>
        <v>3.5677820309633804</v>
      </c>
      <c r="N45" s="70" t="s">
        <v>141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3.5677820309633804</v>
      </c>
      <c r="Q45" s="71">
        <f>IF(B45="",0,INDEX(ModelParameters!$D$6:$K$10,MATCH($O45,ModelParameters!$B$6:$B$10,0),MATCH($J45,ModelParameters!$D$5:$K$5,0)))</f>
        <v>0.045</v>
      </c>
      <c r="R45" s="71">
        <f>IF(B45="",0,INDEX(ModelParameters!$D$13:$K$17,MATCH($O45,ModelParameters!$B$13:$B$17,0),MATCH($J45,ModelParameters!$D$5:$K$5,0)))</f>
        <v>0</v>
      </c>
      <c r="S45" s="160">
        <f>IF(B45="",0,MIN(IF($N45="Other Bond TM",ModelParameters!$N$21,1)*(P45*Q45+R45),1))</f>
        <v>0.1605501913933521</v>
      </c>
      <c r="T45" s="85">
        <f>IF(B45="",0,$S45*$K45)</f>
        <v>28.679227731185536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1.5709421243192138</v>
      </c>
      <c r="X45" s="85">
        <f>IF(B45="",0,IF(OR(H45=MappingTables!$C$34,H45=MappingTables!$C$35),W45,0))</f>
        <v>0</v>
      </c>
    </row>
    <row r="46" spans="2:24" s="0" customFormat="0" ht="15">
      <c r="B46" s="69">
        <v>17246494</v>
      </c>
      <c r="C46" s="70" t="s">
        <v>241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181</v>
      </c>
      <c r="J46" s="71">
        <f>IF(OR(I46=0,I46=""),"unrated",VLOOKUP(I46,MappingTables!$B$19:$C$31,2,FALSE))</f>
        <v>3</v>
      </c>
      <c r="K46" s="72">
        <v>26.259580995436292</v>
      </c>
      <c r="L46" s="70">
        <v>0.49431966900113696</v>
      </c>
      <c r="M46" s="71">
        <f>IF(L46&lt;1,1,L46)</f>
        <v>1</v>
      </c>
      <c r="N46" s="70" t="s">
        <v>141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IF(B46="",0,INDEX(ModelParameters!$D$6:$K$10,MATCH($O46,ModelParameters!$B$6:$B$10,0),MATCH($J46,ModelParameters!$D$5:$K$5,0)))</f>
        <v>0.025</v>
      </c>
      <c r="R46" s="71">
        <f>IF(B46="",0,INDEX(ModelParameters!$D$13:$K$17,MATCH($O46,ModelParameters!$B$13:$B$17,0),MATCH($J46,ModelParameters!$D$5:$K$5,0)))</f>
        <v>0</v>
      </c>
      <c r="S46" s="160">
        <f>IF(B46="",0,MIN(IF($N46="Other Bond TM",ModelParameters!$N$21,1)*(P46*Q46+R46),1))</f>
        <v>0.025</v>
      </c>
      <c r="T46" s="85">
        <f>IF(B46="",0,$S46*$K46)</f>
        <v>0.65648952488590728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0.035960070420450844</v>
      </c>
      <c r="X46" s="85">
        <f>IF(B46="",0,IF(OR(H46=MappingTables!$C$34,H46=MappingTables!$C$35),W46,0))</f>
        <v>0</v>
      </c>
    </row>
    <row r="47" spans="2:24" s="0" customFormat="0" ht="15">
      <c r="B47" s="69">
        <v>22387309</v>
      </c>
      <c r="C47" s="70" t="s">
        <v>242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181</v>
      </c>
      <c r="J47" s="71">
        <f>IF(OR(I47=0,I47=""),"unrated",VLOOKUP(I47,MappingTables!$B$19:$C$31,2,FALSE))</f>
        <v>3</v>
      </c>
      <c r="K47" s="72">
        <v>261.22481327581024</v>
      </c>
      <c r="L47" s="70">
        <v>16.478629253866334</v>
      </c>
      <c r="M47" s="71">
        <f>IF(L47&lt;1,1,L47)</f>
        <v>16.478629253866334</v>
      </c>
      <c r="N47" s="70" t="s">
        <v>141</v>
      </c>
      <c r="O47" s="71">
        <f>INDEX(DurClassMapping,MATCH(M47,MappingTables!$D$4:$D$8,-1),1)</f>
        <v>4</v>
      </c>
      <c r="P47" s="73">
        <f>IF(M47=$A$1,1,$M47-INDEX(MappingTables!$E$4:$E$8,MATCH(O47,MappingTables!$B$4:$B$8,0)))</f>
        <v>1.478629253866334</v>
      </c>
      <c r="Q47" s="71">
        <f>IF(B47="",0,INDEX(ModelParameters!$D$6:$K$10,MATCH($O47,ModelParameters!$B$6:$B$10,0),MATCH($J47,ModelParameters!$D$5:$K$5,0)))</f>
        <v>0.01</v>
      </c>
      <c r="R47" s="71">
        <f>IF(B47="",0,INDEX(ModelParameters!$D$13:$K$17,MATCH($O47,ModelParameters!$B$13:$B$17,0),MATCH($J47,ModelParameters!$D$5:$K$5,0)))</f>
        <v>0.25</v>
      </c>
      <c r="S47" s="160">
        <f>IF(B47="",0,MIN(IF($N47="Other Bond TM",ModelParameters!$N$21,1)*(P47*Q47+R47),1))</f>
        <v>0.26478629253866332</v>
      </c>
      <c r="T47" s="85">
        <f>IF(B47="",0,$S47*$K47)</f>
        <v>69.168749826406384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3.7888085344307608</v>
      </c>
      <c r="X47" s="85">
        <f>IF(B47="",0,IF(OR(H47=MappingTables!$C$34,H47=MappingTables!$C$35),W47,0))</f>
        <v>0</v>
      </c>
    </row>
    <row r="48" spans="2:24" s="0" customFormat="0" ht="15">
      <c r="B48" s="69">
        <v>15775331</v>
      </c>
      <c r="C48" s="70" t="s">
        <v>243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181</v>
      </c>
      <c r="J48" s="71">
        <f>IF(OR(I48=0,I48=""),"unrated",VLOOKUP(I48,MappingTables!$B$19:$C$31,2,FALSE))</f>
        <v>3</v>
      </c>
      <c r="K48" s="72">
        <v>4638.8165733765824</v>
      </c>
      <c r="L48" s="70">
        <v>0.11780924728932836</v>
      </c>
      <c r="M48" s="71">
        <f>IF(L48&lt;1,1,L48)</f>
        <v>1</v>
      </c>
      <c r="N48" s="70" t="s">
        <v>141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IF(B48="",0,INDEX(ModelParameters!$D$6:$K$10,MATCH($O48,ModelParameters!$B$6:$B$10,0),MATCH($J48,ModelParameters!$D$5:$K$5,0)))</f>
        <v>0.025</v>
      </c>
      <c r="R48" s="71">
        <f>IF(B48="",0,INDEX(ModelParameters!$D$13:$K$17,MATCH($O48,ModelParameters!$B$13:$B$17,0),MATCH($J48,ModelParameters!$D$5:$K$5,0)))</f>
        <v>0</v>
      </c>
      <c r="S48" s="160">
        <f>IF(B48="",0,MIN(IF($N48="Other Bond TM",ModelParameters!$N$21,1)*(P48*Q48+R48),1))</f>
        <v>0.025</v>
      </c>
      <c r="T48" s="85">
        <f>IF(B48="",0,$S48*$K48)</f>
        <v>115.97041433441458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6.3524307823177776</v>
      </c>
      <c r="X48" s="85">
        <f>IF(B48="",0,IF(OR(H48=MappingTables!$C$34,H48=MappingTables!$C$35),W48,0))</f>
        <v>0</v>
      </c>
    </row>
    <row r="49" spans="2:24" s="0" customFormat="0" ht="15">
      <c r="B49" s="69">
        <v>21073867</v>
      </c>
      <c r="C49" s="70" t="s">
        <v>244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181</v>
      </c>
      <c r="J49" s="71">
        <f>IF(OR(I49=0,I49=""),"unrated",VLOOKUP(I49,MappingTables!$B$19:$C$31,2,FALSE))</f>
        <v>3</v>
      </c>
      <c r="K49" s="72">
        <v>16916.686271119434</v>
      </c>
      <c r="L49" s="70">
        <v>1.670377903873383</v>
      </c>
      <c r="M49" s="71">
        <f>IF(L49&lt;1,1,L49)</f>
        <v>1.670377903873383</v>
      </c>
      <c r="N49" s="70" t="s">
        <v>141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1.670377903873383</v>
      </c>
      <c r="Q49" s="71">
        <f>IF(B49="",0,INDEX(ModelParameters!$D$6:$K$10,MATCH($O49,ModelParameters!$B$6:$B$10,0),MATCH($J49,ModelParameters!$D$5:$K$5,0)))</f>
        <v>0.025</v>
      </c>
      <c r="R49" s="71">
        <f>IF(B49="",0,INDEX(ModelParameters!$D$13:$K$17,MATCH($O49,ModelParameters!$B$13:$B$17,0),MATCH($J49,ModelParameters!$D$5:$K$5,0)))</f>
        <v>0</v>
      </c>
      <c r="S49" s="160">
        <f>IF(B49="",0,MIN(IF($N49="Other Bond TM",ModelParameters!$N$21,1)*(P49*Q49+R49),1))</f>
        <v>0.041759447596834576</v>
      </c>
      <c r="T49" s="85">
        <f>IF(B49="",0,$S49*$K49)</f>
        <v>706.43147385090296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38.695705847425744</v>
      </c>
      <c r="X49" s="85">
        <f>IF(B49="",0,IF(OR(H49=MappingTables!$C$34,H49=MappingTables!$C$35),W49,0))</f>
        <v>0</v>
      </c>
    </row>
    <row r="50" spans="2:24" s="0" customFormat="0" ht="15">
      <c r="B50" s="69">
        <v>11879433</v>
      </c>
      <c r="C50" s="70" t="s">
        <v>245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179</v>
      </c>
      <c r="J50" s="71">
        <f>IF(OR(I50=0,I50=""),"unrated",VLOOKUP(I50,MappingTables!$B$19:$C$31,2,FALSE))</f>
        <v>4</v>
      </c>
      <c r="K50" s="72">
        <v>734.10514224533136</v>
      </c>
      <c r="L50" s="70">
        <v>4.1807707143679712</v>
      </c>
      <c r="M50" s="71">
        <f>IF(L50&lt;1,1,L50)</f>
        <v>4.1807707143679712</v>
      </c>
      <c r="N50" s="70" t="s">
        <v>141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4.1807707143679712</v>
      </c>
      <c r="Q50" s="71">
        <f>IF(B50="",0,INDEX(ModelParameters!$D$6:$K$10,MATCH($O50,ModelParameters!$B$6:$B$10,0),MATCH($J50,ModelParameters!$D$5:$K$5,0)))</f>
        <v>0.045</v>
      </c>
      <c r="R50" s="71">
        <f>IF(B50="",0,INDEX(ModelParameters!$D$13:$K$17,MATCH($O50,ModelParameters!$B$13:$B$17,0),MATCH($J50,ModelParameters!$D$5:$K$5,0)))</f>
        <v>0</v>
      </c>
      <c r="S50" s="160">
        <f>IF(B50="",0,MIN(IF($N50="Other Bond TM",ModelParameters!$N$21,1)*(P50*Q50+R50),1))</f>
        <v>0.18813468214655868</v>
      </c>
      <c r="T50" s="85">
        <f>IF(B50="",0,$S50*$K50)</f>
        <v>138.11063759847968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7.5651904037887408</v>
      </c>
      <c r="X50" s="85">
        <f>IF(B50="",0,IF(OR(H50=MappingTables!$C$34,H50=MappingTables!$C$35),W50,0))</f>
        <v>0</v>
      </c>
    </row>
    <row r="51" spans="2:24" s="0" customFormat="0" ht="15">
      <c r="B51" s="69">
        <v>21792759</v>
      </c>
      <c r="C51" s="70" t="s">
        <v>246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184</v>
      </c>
      <c r="J51" s="71">
        <f>IF(OR(I51=0,I51=""),"unrated",VLOOKUP(I51,MappingTables!$B$19:$C$31,2,FALSE))</f>
        <v>5</v>
      </c>
      <c r="K51" s="72">
        <v>326.4168355720228</v>
      </c>
      <c r="L51" s="70">
        <v>1.8206385112287468</v>
      </c>
      <c r="M51" s="71">
        <f>IF(L51&lt;1,1,L51)</f>
        <v>1.8206385112287468</v>
      </c>
      <c r="N51" s="70" t="s">
        <v>141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1.8206385112287468</v>
      </c>
      <c r="Q51" s="71">
        <f>IF(B51="",0,INDEX(ModelParameters!$D$6:$K$10,MATCH($O51,ModelParameters!$B$6:$B$10,0),MATCH($J51,ModelParameters!$D$5:$K$5,0)))</f>
        <v>0.075</v>
      </c>
      <c r="R51" s="71">
        <f>IF(B51="",0,INDEX(ModelParameters!$D$13:$K$17,MATCH($O51,ModelParameters!$B$13:$B$17,0),MATCH($J51,ModelParameters!$D$5:$K$5,0)))</f>
        <v>0</v>
      </c>
      <c r="S51" s="160">
        <f>IF(B51="",0,MIN(IF($N51="Other Bond TM",ModelParameters!$N$21,1)*(P51*Q51+R51),1))</f>
        <v>0.136547888342156</v>
      </c>
      <c r="T51" s="85">
        <f>IF(B51="",0,$S51*$K51)</f>
        <v>44.571529616688464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2.4414636989704916</v>
      </c>
      <c r="X51" s="85">
        <f>IF(B51="",0,IF(OR(H51=MappingTables!$C$34,H51=MappingTables!$C$35),W51,0))</f>
        <v>0</v>
      </c>
    </row>
    <row r="52" spans="2:24" s="0" customFormat="0" ht="15">
      <c r="B52" s="69">
        <v>7745746</v>
      </c>
      <c r="C52" s="70" t="s">
        <v>247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181</v>
      </c>
      <c r="J52" s="71">
        <f>IF(OR(I52=0,I52=""),"unrated",VLOOKUP(I52,MappingTables!$B$19:$C$31,2,FALSE))</f>
        <v>3</v>
      </c>
      <c r="K52" s="72">
        <v>142.86968946250496</v>
      </c>
      <c r="L52" s="70">
        <v>0.082188815063671056</v>
      </c>
      <c r="M52" s="71">
        <f>IF(L52&lt;1,1,L52)</f>
        <v>1</v>
      </c>
      <c r="N52" s="70" t="s">
        <v>141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1</v>
      </c>
      <c r="Q52" s="71">
        <f>IF(B52="",0,INDEX(ModelParameters!$D$6:$K$10,MATCH($O52,ModelParameters!$B$6:$B$10,0),MATCH($J52,ModelParameters!$D$5:$K$5,0)))</f>
        <v>0.025</v>
      </c>
      <c r="R52" s="71">
        <f>IF(B52="",0,INDEX(ModelParameters!$D$13:$K$17,MATCH($O52,ModelParameters!$B$13:$B$17,0),MATCH($J52,ModelParameters!$D$5:$K$5,0)))</f>
        <v>0</v>
      </c>
      <c r="S52" s="160">
        <f>IF(B52="",0,MIN(IF($N52="Other Bond TM",ModelParameters!$N$21,1)*(P52*Q52+R52),1))</f>
        <v>0.025</v>
      </c>
      <c r="T52" s="85">
        <f>IF(B52="",0,$S52*$K52)</f>
        <v>3.571742236562624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85">
        <f>IF(B52="",0,+$T52*$V52)</f>
        <v>0.1956468420007348</v>
      </c>
      <c r="X52" s="85">
        <f>IF(B52="",0,IF(OR(H52=MappingTables!$C$34,H52=MappingTables!$C$35),W52,0))</f>
        <v>0</v>
      </c>
    </row>
    <row r="53" spans="2:24" s="0" customFormat="0" ht="15">
      <c r="B53" s="69">
        <v>23455190</v>
      </c>
      <c r="C53" s="70" t="s">
        <v>248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181</v>
      </c>
      <c r="J53" s="71">
        <f>IF(OR(I53=0,I53=""),"unrated",VLOOKUP(I53,MappingTables!$B$19:$C$31,2,FALSE))</f>
        <v>3</v>
      </c>
      <c r="K53" s="72">
        <v>6249.8617696433648</v>
      </c>
      <c r="L53" s="70">
        <v>2.4307730783285244</v>
      </c>
      <c r="M53" s="71">
        <f>IF(L53&lt;1,1,L53)</f>
        <v>2.4307730783285244</v>
      </c>
      <c r="N53" s="70" t="s">
        <v>141</v>
      </c>
      <c r="O53" s="71">
        <f>INDEX(DurClassMapping,MATCH(M53,MappingTables!$D$4:$D$8,-1),1)</f>
        <v>1</v>
      </c>
      <c r="P53" s="73">
        <f>IF(M53=$A$1,1,$M53-INDEX(MappingTables!$E$4:$E$8,MATCH(O53,MappingTables!$B$4:$B$8,0)))</f>
        <v>2.4307730783285244</v>
      </c>
      <c r="Q53" s="71">
        <f>IF(B53="",0,INDEX(ModelParameters!$D$6:$K$10,MATCH($O53,ModelParameters!$B$6:$B$10,0),MATCH($J53,ModelParameters!$D$5:$K$5,0)))</f>
        <v>0.025</v>
      </c>
      <c r="R53" s="71">
        <f>IF(B53="",0,INDEX(ModelParameters!$D$13:$K$17,MATCH($O53,ModelParameters!$B$13:$B$17,0),MATCH($J53,ModelParameters!$D$5:$K$5,0)))</f>
        <v>0</v>
      </c>
      <c r="S53" s="160">
        <f>IF(B53="",0,MIN(IF($N53="Other Bond TM",ModelParameters!$N$21,1)*(P53*Q53+R53),1))</f>
        <v>0.060769326958213112</v>
      </c>
      <c r="T53" s="85">
        <f>IF(B53="",0,$S53*$K53)</f>
        <v>379.799893323094</v>
      </c>
      <c r="U53" s="85">
        <f>IF(B53="",0,IF(OR(H53=MappingTables!$C$34,H53=MappingTables!$C$35),T53,0))</f>
        <v>0</v>
      </c>
      <c r="V53" s="85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0.054776304963434752</v>
      </c>
      <c r="W53" s="85">
        <f>IF(B53="",0,+$T53*$V53)</f>
        <v>20.804034781745784</v>
      </c>
      <c r="X53" s="85">
        <f>IF(B53="",0,IF(OR(H53=MappingTables!$C$34,H53=MappingTables!$C$35),W53,0))</f>
        <v>0</v>
      </c>
    </row>
    <row r="54" spans="2:24" s="0" customFormat="0" ht="15">
      <c r="B54" s="69">
        <v>10660661</v>
      </c>
      <c r="C54" s="70" t="s">
        <v>249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181</v>
      </c>
      <c r="J54" s="71">
        <f>IF(OR(I54=0,I54=""),"unrated",VLOOKUP(I54,MappingTables!$B$19:$C$31,2,FALSE))</f>
        <v>3</v>
      </c>
      <c r="K54" s="72">
        <v>31.853554019529788</v>
      </c>
      <c r="L54" s="70">
        <v>1.67915788150858</v>
      </c>
      <c r="M54" s="71">
        <f>IF(L54&lt;1,1,L54)</f>
        <v>1.67915788150858</v>
      </c>
      <c r="N54" s="70" t="s">
        <v>141</v>
      </c>
      <c r="O54" s="71">
        <f>INDEX(DurClassMapping,MATCH(M54,MappingTables!$D$4:$D$8,-1),1)</f>
        <v>1</v>
      </c>
      <c r="P54" s="73">
        <f>IF(M54=$A$1,1,$M54-INDEX(MappingTables!$E$4:$E$8,MATCH(O54,MappingTables!$B$4:$B$8,0)))</f>
        <v>1.67915788150858</v>
      </c>
      <c r="Q54" s="71">
        <f>IF(B54="",0,INDEX(ModelParameters!$D$6:$K$10,MATCH($O54,ModelParameters!$B$6:$B$10,0),MATCH($J54,ModelParameters!$D$5:$K$5,0)))</f>
        <v>0.025</v>
      </c>
      <c r="R54" s="71">
        <f>IF(B54="",0,INDEX(ModelParameters!$D$13:$K$17,MATCH($O54,ModelParameters!$B$13:$B$17,0),MATCH($J54,ModelParameters!$D$5:$K$5,0)))</f>
        <v>0</v>
      </c>
      <c r="S54" s="160">
        <f>IF(B54="",0,MIN(IF($N54="Other Bond TM",ModelParameters!$N$21,1)*(P54*Q54+R54),1))</f>
        <v>0.041978947037714504</v>
      </c>
      <c r="T54" s="85">
        <f>IF(B54="",0,$S54*$K54)</f>
        <v>1.3371786571488188</v>
      </c>
      <c r="U54" s="85">
        <f>IF(B54="",0,IF(OR(H54=MappingTables!$C$34,H54=MappingTables!$C$35),T54,0))</f>
        <v>0</v>
      </c>
      <c r="V54" s="85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0.054776304963434752</v>
      </c>
      <c r="W54" s="85">
        <f>IF(B54="",0,+$T54*$V54)</f>
        <v>0.073245705914579872</v>
      </c>
      <c r="X54" s="85">
        <f>IF(B54="",0,IF(OR(H54=MappingTables!$C$34,H54=MappingTables!$C$35),W54,0))</f>
        <v>0</v>
      </c>
    </row>
    <row r="55" spans="2:24" s="0" customFormat="0" ht="15">
      <c r="B55" s="69" t="s">
        <v>250</v>
      </c>
      <c r="C55" s="70" t="s">
        <v>251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181</v>
      </c>
      <c r="J55" s="71">
        <f>IF(OR(I55=0,I55=""),"unrated",VLOOKUP(I55,MappingTables!$B$19:$C$31,2,FALSE))</f>
        <v>3</v>
      </c>
      <c r="K55" s="72">
        <v>157.4115896999104</v>
      </c>
      <c r="L55" s="70">
        <v>7.9088073197943488</v>
      </c>
      <c r="M55" s="71">
        <f>IF(L55&lt;1,1,L55)</f>
        <v>7.9088073197943488</v>
      </c>
      <c r="N55" s="70" t="s">
        <v>141</v>
      </c>
      <c r="O55" s="71">
        <f>INDEX(DurClassMapping,MATCH(M55,MappingTables!$D$4:$D$8,-1),1)</f>
        <v>2</v>
      </c>
      <c r="P55" s="73">
        <f>IF(M55=$A$1,1,$M55-INDEX(MappingTables!$E$4:$E$8,MATCH(O55,MappingTables!$B$4:$B$8,0)))</f>
        <v>2.9088073197943488</v>
      </c>
      <c r="Q55" s="71">
        <f>IF(B55="",0,INDEX(ModelParameters!$D$6:$K$10,MATCH($O55,ModelParameters!$B$6:$B$10,0),MATCH($J55,ModelParameters!$D$5:$K$5,0)))</f>
        <v>0.015</v>
      </c>
      <c r="R55" s="71">
        <f>IF(B55="",0,INDEX(ModelParameters!$D$13:$K$17,MATCH($O55,ModelParameters!$B$13:$B$17,0),MATCH($J55,ModelParameters!$D$5:$K$5,0)))</f>
        <v>0.125</v>
      </c>
      <c r="S55" s="160">
        <f>IF(B55="",0,MIN(IF($N55="Other Bond TM",ModelParameters!$N$21,1)*(P55*Q55+R55),1))</f>
        <v>0.16863210979691524</v>
      </c>
      <c r="T55" s="85">
        <f>IF(B55="",0,$S55*$K55)</f>
        <v>26.54464847758226</v>
      </c>
      <c r="U55" s="85">
        <f>IF(B55="",0,IF(OR(H55=MappingTables!$C$34,H55=MappingTables!$C$35),T55,0))</f>
        <v>0</v>
      </c>
      <c r="V55" s="85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0.054776304963434752</v>
      </c>
      <c r="W55" s="85">
        <f>IF(B55="",0,+$T55*$V55)</f>
        <v>1.45401776015522</v>
      </c>
      <c r="X55" s="85">
        <f>IF(B55="",0,IF(OR(H55=MappingTables!$C$34,H55=MappingTables!$C$35),W55,0))</f>
        <v>0</v>
      </c>
    </row>
    <row r="56" spans="2:24" s="0" customFormat="0" ht="15">
      <c r="B56" s="69">
        <v>21719480</v>
      </c>
      <c r="C56" s="70" t="s">
        <v>252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188</v>
      </c>
      <c r="J56" s="71">
        <f>IF(OR(I56=0,I56=""),"unrated",VLOOKUP(I56,MappingTables!$B$19:$C$31,2,FALSE))</f>
        <v>2</v>
      </c>
      <c r="K56" s="72">
        <v>2285.1719288999012</v>
      </c>
      <c r="L56" s="70">
        <v>1.9463853642842348</v>
      </c>
      <c r="M56" s="71">
        <f>IF(L56&lt;1,1,L56)</f>
        <v>1.9463853642842348</v>
      </c>
      <c r="N56" s="70" t="s">
        <v>141</v>
      </c>
      <c r="O56" s="71">
        <f>INDEX(DurClassMapping,MATCH(M56,MappingTables!$D$4:$D$8,-1),1)</f>
        <v>1</v>
      </c>
      <c r="P56" s="73">
        <f>IF(M56=$A$1,1,$M56-INDEX(MappingTables!$E$4:$E$8,MATCH(O56,MappingTables!$B$4:$B$8,0)))</f>
        <v>1.9463853642842348</v>
      </c>
      <c r="Q56" s="71">
        <f>IF(B56="",0,INDEX(ModelParameters!$D$6:$K$10,MATCH($O56,ModelParameters!$B$6:$B$10,0),MATCH($J56,ModelParameters!$D$5:$K$5,0)))</f>
        <v>0.013999999999999998</v>
      </c>
      <c r="R56" s="71">
        <f>IF(B56="",0,INDEX(ModelParameters!$D$13:$K$17,MATCH($O56,ModelParameters!$B$13:$B$17,0),MATCH($J56,ModelParameters!$D$5:$K$5,0)))</f>
        <v>0</v>
      </c>
      <c r="S56" s="160">
        <f>IF(B56="",0,MIN(IF($N56="Other Bond TM",ModelParameters!$N$21,1)*(P56*Q56+R56),1))</f>
        <v>0.027249395099979284</v>
      </c>
      <c r="T56" s="85">
        <f>IF(B56="",0,$S56*$K56)</f>
        <v>62.269552761975176</v>
      </c>
      <c r="U56" s="85">
        <f>IF(B56="",0,IF(OR(H56=MappingTables!$C$34,H56=MappingTables!$C$35),T56,0))</f>
        <v>0</v>
      </c>
      <c r="V56" s="85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0.054776304963434752</v>
      </c>
      <c r="W56" s="85">
        <f>IF(B56="",0,+$T56*$V56)</f>
        <v>3.4108960120266428</v>
      </c>
      <c r="X56" s="85">
        <f>IF(B56="",0,IF(OR(H56=MappingTables!$C$34,H56=MappingTables!$C$35),W56,0))</f>
        <v>0</v>
      </c>
    </row>
    <row r="57" spans="2:24" s="0" customFormat="0" ht="15">
      <c r="B57" s="69" t="s">
        <v>253</v>
      </c>
      <c r="C57" s="70" t="s">
        <v>254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184</v>
      </c>
      <c r="J57" s="71">
        <f>IF(OR(I57=0,I57=""),"unrated",VLOOKUP(I57,MappingTables!$B$19:$C$31,2,FALSE))</f>
        <v>5</v>
      </c>
      <c r="K57" s="72">
        <v>318.07663220795852</v>
      </c>
      <c r="L57" s="70">
        <v>5.0399186152238392</v>
      </c>
      <c r="M57" s="71">
        <f>IF(L57&lt;1,1,L57)</f>
        <v>5.0399186152238392</v>
      </c>
      <c r="N57" s="70" t="s">
        <v>141</v>
      </c>
      <c r="O57" s="71">
        <f>INDEX(DurClassMapping,MATCH(M57,MappingTables!$D$4:$D$8,-1),1)</f>
        <v>2</v>
      </c>
      <c r="P57" s="73">
        <f>IF(M57=$A$1,1,$M57-INDEX(MappingTables!$E$4:$E$8,MATCH(O57,MappingTables!$B$4:$B$8,0)))</f>
        <v>0.039918615223839104</v>
      </c>
      <c r="Q57" s="71">
        <f>IF(B57="",0,INDEX(ModelParameters!$D$6:$K$10,MATCH($O57,ModelParameters!$B$6:$B$10,0),MATCH($J57,ModelParameters!$D$5:$K$5,0)))</f>
        <v>0.042</v>
      </c>
      <c r="R57" s="71">
        <f>IF(B57="",0,INDEX(ModelParameters!$D$13:$K$17,MATCH($O57,ModelParameters!$B$13:$B$17,0),MATCH($J57,ModelParameters!$D$5:$K$5,0)))</f>
        <v>0.375</v>
      </c>
      <c r="S57" s="160">
        <f>IF(B57="",0,MIN(IF($N57="Other Bond TM",ModelParameters!$N$21,1)*(P57*Q57+R57),1))</f>
        <v>0.3766765818394012</v>
      </c>
      <c r="T57" s="85">
        <f>IF(B57="",0,$S57*$K57)</f>
        <v>119.81201858308222</v>
      </c>
      <c r="U57" s="85">
        <f>IF(B57="",0,IF(OR(H57=MappingTables!$C$34,H57=MappingTables!$C$35),T57,0))</f>
        <v>0</v>
      </c>
      <c r="V57" s="85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0.054776304963434752</v>
      </c>
      <c r="W57" s="85">
        <f>IF(B57="",0,+$T57*$V57)</f>
        <v>6.5628596681916232</v>
      </c>
      <c r="X57" s="85">
        <f>IF(B57="",0,IF(OR(H57=MappingTables!$C$34,H57=MappingTables!$C$35),W57,0))</f>
        <v>0</v>
      </c>
    </row>
    <row r="58" spans="2:24" s="0" customFormat="0" ht="15">
      <c r="B58" s="69" t="s">
        <v>255</v>
      </c>
      <c r="C58" s="70" t="s">
        <v>256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198</v>
      </c>
      <c r="J58" s="71" t="str">
        <f>IF(OR(I58=0,I58=""),"unrated",VLOOKUP(I58,MappingTables!$B$19:$C$31,2,FALSE))</f>
        <v>unrated</v>
      </c>
      <c r="K58" s="72">
        <v>63.149342160188592</v>
      </c>
      <c r="L58" s="70">
        <v>4.7113282877053656</v>
      </c>
      <c r="M58" s="71">
        <f>IF(L58&lt;1,1,L58)</f>
        <v>4.7113282877053656</v>
      </c>
      <c r="N58" s="70" t="s">
        <v>141</v>
      </c>
      <c r="O58" s="71">
        <f>INDEX(DurClassMapping,MATCH(M58,MappingTables!$D$4:$D$8,-1),1)</f>
        <v>1</v>
      </c>
      <c r="P58" s="73">
        <f>IF(M58=$A$1,1,$M58-INDEX(MappingTables!$E$4:$E$8,MATCH(O58,MappingTables!$B$4:$B$8,0)))</f>
        <v>4.7113282877053656</v>
      </c>
      <c r="Q58" s="71">
        <f>IF(B58="",0,INDEX(ModelParameters!$D$6:$K$10,MATCH($O58,ModelParameters!$B$6:$B$10,0),MATCH($J58,ModelParameters!$D$5:$K$5,0)))</f>
        <v>0.03</v>
      </c>
      <c r="R58" s="71">
        <f>IF(B58="",0,INDEX(ModelParameters!$D$13:$K$17,MATCH($O58,ModelParameters!$B$13:$B$17,0),MATCH($J58,ModelParameters!$D$5:$K$5,0)))</f>
        <v>0</v>
      </c>
      <c r="S58" s="160">
        <f>IF(B58="",0,MIN(IF($N58="Other Bond TM",ModelParameters!$N$21,1)*(P58*Q58+R58),1))</f>
        <v>0.14133984863116094</v>
      </c>
      <c r="T58" s="85">
        <f>IF(B58="",0,$S58*$K58)</f>
        <v>8.9255184620784464</v>
      </c>
      <c r="U58" s="85">
        <f>IF(B58="",0,IF(OR(H58=MappingTables!$C$34,H58=MappingTables!$C$35),T58,0))</f>
        <v>0</v>
      </c>
      <c r="V58" s="85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0.054776304963434752</v>
      </c>
      <c r="W58" s="85">
        <f>IF(B58="",0,+$T58*$V58)</f>
        <v>0.48890692123557616</v>
      </c>
      <c r="X58" s="85">
        <f>IF(B58="",0,IF(OR(H58=MappingTables!$C$34,H58=MappingTables!$C$35),W58,0))</f>
        <v>0</v>
      </c>
    </row>
    <row r="59" spans="2:24" s="0" customFormat="0" ht="15">
      <c r="B59" s="69">
        <v>22406780</v>
      </c>
      <c r="C59" s="70" t="s">
        <v>257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181</v>
      </c>
      <c r="J59" s="71">
        <f>IF(OR(I59=0,I59=""),"unrated",VLOOKUP(I59,MappingTables!$B$19:$C$31,2,FALSE))</f>
        <v>3</v>
      </c>
      <c r="K59" s="72">
        <v>27.077837223227256</v>
      </c>
      <c r="L59" s="70">
        <v>6.5403252251256968</v>
      </c>
      <c r="M59" s="71">
        <f>IF(L59&lt;1,1,L59)</f>
        <v>6.5403252251256968</v>
      </c>
      <c r="N59" s="70" t="s">
        <v>141</v>
      </c>
      <c r="O59" s="71">
        <f>INDEX(DurClassMapping,MATCH(M59,MappingTables!$D$4:$D$8,-1),1)</f>
        <v>2</v>
      </c>
      <c r="P59" s="73">
        <f>IF(M59=$A$1,1,$M59-INDEX(MappingTables!$E$4:$E$8,MATCH(O59,MappingTables!$B$4:$B$8,0)))</f>
        <v>1.540325225125697</v>
      </c>
      <c r="Q59" s="71">
        <f>IF(B59="",0,INDEX(ModelParameters!$D$6:$K$10,MATCH($O59,ModelParameters!$B$6:$B$10,0),MATCH($J59,ModelParameters!$D$5:$K$5,0)))</f>
        <v>0.015</v>
      </c>
      <c r="R59" s="71">
        <f>IF(B59="",0,INDEX(ModelParameters!$D$13:$K$17,MATCH($O59,ModelParameters!$B$13:$B$17,0),MATCH($J59,ModelParameters!$D$5:$K$5,0)))</f>
        <v>0.125</v>
      </c>
      <c r="S59" s="160">
        <f>IF(B59="",0,MIN(IF($N59="Other Bond TM",ModelParameters!$N$21,1)*(P59*Q59+R59),1))</f>
        <v>0.14810487837688546</v>
      </c>
      <c r="T59" s="85">
        <f>IF(B59="",0,$S59*$K59)</f>
        <v>4.0103597886551744</v>
      </c>
      <c r="U59" s="85">
        <f>IF(B59="",0,IF(OR(H59=MappingTables!$C$34,H59=MappingTables!$C$35),T59,0))</f>
        <v>0</v>
      </c>
      <c r="V59" s="85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0.054776304963434752</v>
      </c>
      <c r="W59" s="85">
        <f>IF(B59="",0,+$T59*$V59)</f>
        <v>0.21967269079647156</v>
      </c>
      <c r="X59" s="85">
        <f>IF(B59="",0,IF(OR(H59=MappingTables!$C$34,H59=MappingTables!$C$35),W59,0))</f>
        <v>0</v>
      </c>
    </row>
    <row r="60" spans="2:24" s="0" customFormat="0" ht="15">
      <c r="B60" s="69" t="s">
        <v>258</v>
      </c>
      <c r="C60" s="70" t="s">
        <v>259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198</v>
      </c>
      <c r="J60" s="71" t="str">
        <f>IF(OR(I60=0,I60=""),"unrated",VLOOKUP(I60,MappingTables!$B$19:$C$31,2,FALSE))</f>
        <v>unrated</v>
      </c>
      <c r="K60" s="72">
        <v>990.40594115567088</v>
      </c>
      <c r="L60" s="70">
        <v>2.9165356008850756</v>
      </c>
      <c r="M60" s="71">
        <f>IF(L60&lt;1,1,L60)</f>
        <v>2.9165356008850756</v>
      </c>
      <c r="N60" s="70" t="s">
        <v>141</v>
      </c>
      <c r="O60" s="71">
        <f>INDEX(DurClassMapping,MATCH(M60,MappingTables!$D$4:$D$8,-1),1)</f>
        <v>1</v>
      </c>
      <c r="P60" s="73">
        <f>IF(M60=$A$1,1,$M60-INDEX(MappingTables!$E$4:$E$8,MATCH(O60,MappingTables!$B$4:$B$8,0)))</f>
        <v>2.9165356008850756</v>
      </c>
      <c r="Q60" s="71">
        <f>IF(B60="",0,INDEX(ModelParameters!$D$6:$K$10,MATCH($O60,ModelParameters!$B$6:$B$10,0),MATCH($J60,ModelParameters!$D$5:$K$5,0)))</f>
        <v>0.03</v>
      </c>
      <c r="R60" s="71">
        <f>IF(B60="",0,INDEX(ModelParameters!$D$13:$K$17,MATCH($O60,ModelParameters!$B$13:$B$17,0),MATCH($J60,ModelParameters!$D$5:$K$5,0)))</f>
        <v>0</v>
      </c>
      <c r="S60" s="160">
        <f>IF(B60="",0,MIN(IF($N60="Other Bond TM",ModelParameters!$N$21,1)*(P60*Q60+R60),1))</f>
        <v>0.087496068026552272</v>
      </c>
      <c r="T60" s="85">
        <f>IF(B60="",0,$S60*$K60)</f>
        <v>86.656625601258096</v>
      </c>
      <c r="U60" s="85">
        <f>IF(B60="",0,IF(OR(H60=MappingTables!$C$34,H60=MappingTables!$C$35),T60,0))</f>
        <v>0</v>
      </c>
      <c r="V60" s="85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0.054776304963434752</v>
      </c>
      <c r="W60" s="85">
        <f>IF(B60="",0,+$T60*$V60)</f>
        <v>4.7467297510367016</v>
      </c>
      <c r="X60" s="85">
        <f>IF(B60="",0,IF(OR(H60=MappingTables!$C$34,H60=MappingTables!$C$35),W60,0))</f>
        <v>0</v>
      </c>
    </row>
    <row r="61" spans="2:24" s="0" customFormat="0" ht="15">
      <c r="B61" s="69">
        <v>13483958</v>
      </c>
      <c r="C61" s="70" t="s">
        <v>260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220</v>
      </c>
      <c r="J61" s="71">
        <f>IF(OR(I61=0,I61=""),"unrated",VLOOKUP(I61,MappingTables!$B$19:$C$31,2,FALSE))</f>
        <v>1</v>
      </c>
      <c r="K61" s="72">
        <v>422.68094005239712</v>
      </c>
      <c r="L61" s="70">
        <v>1.0766572156642406</v>
      </c>
      <c r="M61" s="71">
        <f>IF(L61&lt;1,1,L61)</f>
        <v>1.0766572156642406</v>
      </c>
      <c r="N61" s="70" t="s">
        <v>141</v>
      </c>
      <c r="O61" s="71">
        <f>INDEX(DurClassMapping,MATCH(M61,MappingTables!$D$4:$D$8,-1),1)</f>
        <v>1</v>
      </c>
      <c r="P61" s="73">
        <f>IF(M61=$A$1,1,$M61-INDEX(MappingTables!$E$4:$E$8,MATCH(O61,MappingTables!$B$4:$B$8,0)))</f>
        <v>1.0766572156642406</v>
      </c>
      <c r="Q61" s="71">
        <f>IF(B61="",0,INDEX(ModelParameters!$D$6:$K$10,MATCH($O61,ModelParameters!$B$6:$B$10,0),MATCH($J61,ModelParameters!$D$5:$K$5,0)))</f>
        <v>0.011000000000000002</v>
      </c>
      <c r="R61" s="71">
        <f>IF(B61="",0,INDEX(ModelParameters!$D$13:$K$17,MATCH($O61,ModelParameters!$B$13:$B$17,0),MATCH($J61,ModelParameters!$D$5:$K$5,0)))</f>
        <v>0</v>
      </c>
      <c r="S61" s="160">
        <f>IF(B61="",0,MIN(IF($N61="Other Bond TM",ModelParameters!$N$21,1)*(P61*Q61+R61),1))</f>
        <v>0.01184322937230665</v>
      </c>
      <c r="T61" s="85">
        <f>IF(B61="",0,$S61*$K61)</f>
        <v>5.005907324342736</v>
      </c>
      <c r="U61" s="85">
        <f>IF(B61="",0,IF(OR(H61=MappingTables!$C$34,H61=MappingTables!$C$35),T61,0))</f>
        <v>0</v>
      </c>
      <c r="V61" s="85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0.054776304963434752</v>
      </c>
      <c r="W61" s="85">
        <f>IF(B61="",0,+$T61*$V61)</f>
        <v>0.27420510621688944</v>
      </c>
      <c r="X61" s="85">
        <f>IF(B61="",0,IF(OR(H61=MappingTables!$C$34,H61=MappingTables!$C$35),W61,0))</f>
        <v>0</v>
      </c>
    </row>
    <row r="62" spans="2:24" s="0" customFormat="0" ht="15">
      <c r="B62" s="69">
        <v>12827546</v>
      </c>
      <c r="C62" s="70" t="s">
        <v>261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179</v>
      </c>
      <c r="J62" s="71">
        <f>IF(OR(I62=0,I62=""),"unrated",VLOOKUP(I62,MappingTables!$B$19:$C$31,2,FALSE))</f>
        <v>4</v>
      </c>
      <c r="K62" s="72">
        <v>30.086146437874616</v>
      </c>
      <c r="L62" s="70">
        <v>0.74888730418107472</v>
      </c>
      <c r="M62" s="71">
        <f>IF(L62&lt;1,1,L62)</f>
        <v>1</v>
      </c>
      <c r="N62" s="70" t="s">
        <v>141</v>
      </c>
      <c r="O62" s="71">
        <f>INDEX(DurClassMapping,MATCH(M62,MappingTables!$D$4:$D$8,-1),1)</f>
        <v>1</v>
      </c>
      <c r="P62" s="73">
        <f>IF(M62=$A$1,1,$M62-INDEX(MappingTables!$E$4:$E$8,MATCH(O62,MappingTables!$B$4:$B$8,0)))</f>
        <v>1</v>
      </c>
      <c r="Q62" s="71">
        <f>IF(B62="",0,INDEX(ModelParameters!$D$6:$K$10,MATCH($O62,ModelParameters!$B$6:$B$10,0),MATCH($J62,ModelParameters!$D$5:$K$5,0)))</f>
        <v>0.045</v>
      </c>
      <c r="R62" s="71">
        <f>IF(B62="",0,INDEX(ModelParameters!$D$13:$K$17,MATCH($O62,ModelParameters!$B$13:$B$17,0),MATCH($J62,ModelParameters!$D$5:$K$5,0)))</f>
        <v>0</v>
      </c>
      <c r="S62" s="160">
        <f>IF(B62="",0,MIN(IF($N62="Other Bond TM",ModelParameters!$N$21,1)*(P62*Q62+R62),1))</f>
        <v>0.045</v>
      </c>
      <c r="T62" s="85">
        <f>IF(B62="",0,$S62*$K62)</f>
        <v>1.3538765897043576</v>
      </c>
      <c r="U62" s="85">
        <f>IF(B62="",0,IF(OR(H62=MappingTables!$C$34,H62=MappingTables!$C$35),T62,0))</f>
        <v>0</v>
      </c>
      <c r="V62" s="85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0.054776304963434752</v>
      </c>
      <c r="W62" s="85">
        <f>IF(B62="",0,+$T62*$V62)</f>
        <v>0.074160356960500928</v>
      </c>
      <c r="X62" s="85">
        <f>IF(B62="",0,IF(OR(H62=MappingTables!$C$34,H62=MappingTables!$C$35),W62,0))</f>
        <v>0</v>
      </c>
    </row>
    <row r="63" spans="2:24" s="0" customFormat="0" ht="15">
      <c r="B63" s="69">
        <v>884301</v>
      </c>
      <c r="C63" s="70" t="s">
        <v>262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181</v>
      </c>
      <c r="J63" s="71">
        <f>IF(OR(I63=0,I63=""),"unrated",VLOOKUP(I63,MappingTables!$B$19:$C$31,2,FALSE))</f>
        <v>3</v>
      </c>
      <c r="K63" s="72">
        <v>21656.843709890472</v>
      </c>
      <c r="L63" s="70">
        <v>10.281842094003396</v>
      </c>
      <c r="M63" s="71">
        <f>IF(L63&lt;1,1,L63)</f>
        <v>10.281842094003396</v>
      </c>
      <c r="N63" s="70" t="s">
        <v>141</v>
      </c>
      <c r="O63" s="71">
        <f>INDEX(DurClassMapping,MATCH(M63,MappingTables!$D$4:$D$8,-1),1)</f>
        <v>3</v>
      </c>
      <c r="P63" s="73">
        <f>IF(M63=$A$1,1,$M63-INDEX(MappingTables!$E$4:$E$8,MATCH(O63,MappingTables!$B$4:$B$8,0)))</f>
        <v>0.28184209400339632</v>
      </c>
      <c r="Q63" s="71">
        <f>IF(B63="",0,INDEX(ModelParameters!$D$6:$K$10,MATCH($O63,ModelParameters!$B$6:$B$10,0),MATCH($J63,ModelParameters!$D$5:$K$5,0)))</f>
        <v>0.01</v>
      </c>
      <c r="R63" s="71">
        <f>IF(B63="",0,INDEX(ModelParameters!$D$13:$K$17,MATCH($O63,ModelParameters!$B$13:$B$17,0),MATCH($J63,ModelParameters!$D$5:$K$5,0)))</f>
        <v>0.2</v>
      </c>
      <c r="S63" s="160">
        <f>IF(B63="",0,MIN(IF($N63="Other Bond TM",ModelParameters!$N$21,1)*(P63*Q63+R63),1))</f>
        <v>0.20281842094003396</v>
      </c>
      <c r="T63" s="85">
        <f>IF(B63="",0,$S63*$K63)</f>
        <v>4392.4068437850928</v>
      </c>
      <c r="U63" s="85">
        <f>IF(B63="",0,IF(OR(H63=MappingTables!$C$34,H63=MappingTables!$C$35),T63,0))</f>
        <v>0</v>
      </c>
      <c r="V63" s="85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0.054776304963434752</v>
      </c>
      <c r="W63" s="85">
        <f>IF(B63="",0,+$T63*$V63)</f>
        <v>240.59981679865016</v>
      </c>
      <c r="X63" s="85">
        <f>IF(B63="",0,IF(OR(H63=MappingTables!$C$34,H63=MappingTables!$C$35),W63,0))</f>
        <v>0</v>
      </c>
    </row>
    <row r="64" spans="2:24" s="0" customFormat="0" ht="15">
      <c r="B64" s="69">
        <v>17838079</v>
      </c>
      <c r="C64" s="70" t="s">
        <v>263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181</v>
      </c>
      <c r="J64" s="71">
        <f>IF(OR(I64=0,I64=""),"unrated",VLOOKUP(I64,MappingTables!$B$19:$C$31,2,FALSE))</f>
        <v>3</v>
      </c>
      <c r="K64" s="72">
        <v>62.656999664045744</v>
      </c>
      <c r="L64" s="70">
        <v>6.52138959018192</v>
      </c>
      <c r="M64" s="71">
        <f>IF(L64&lt;1,1,L64)</f>
        <v>6.52138959018192</v>
      </c>
      <c r="N64" s="70" t="s">
        <v>141</v>
      </c>
      <c r="O64" s="71">
        <f>INDEX(DurClassMapping,MATCH(M64,MappingTables!$D$4:$D$8,-1),1)</f>
        <v>2</v>
      </c>
      <c r="P64" s="73">
        <f>IF(M64=$A$1,1,$M64-INDEX(MappingTables!$E$4:$E$8,MATCH(O64,MappingTables!$B$4:$B$8,0)))</f>
        <v>1.5213895901819204</v>
      </c>
      <c r="Q64" s="71">
        <f>IF(B64="",0,INDEX(ModelParameters!$D$6:$K$10,MATCH($O64,ModelParameters!$B$6:$B$10,0),MATCH($J64,ModelParameters!$D$5:$K$5,0)))</f>
        <v>0.015</v>
      </c>
      <c r="R64" s="71">
        <f>IF(B64="",0,INDEX(ModelParameters!$D$13:$K$17,MATCH($O64,ModelParameters!$B$13:$B$17,0),MATCH($J64,ModelParameters!$D$5:$K$5,0)))</f>
        <v>0.125</v>
      </c>
      <c r="S64" s="160">
        <f>IF(B64="",0,MIN(IF($N64="Other Bond TM",ModelParameters!$N$21,1)*(P64*Q64+R64),1))</f>
        <v>0.14782084385272882</v>
      </c>
      <c r="T64" s="85">
        <f>IF(B64="",0,$S64*$K64)</f>
        <v>9.2620105636193872</v>
      </c>
      <c r="U64" s="85">
        <f>IF(B64="",0,IF(OR(H64=MappingTables!$C$34,H64=MappingTables!$C$35),T64,0))</f>
        <v>0</v>
      </c>
      <c r="V64" s="85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0.054776304963434752</v>
      </c>
      <c r="W64" s="85">
        <f>IF(B64="",0,+$T64*$V64)</f>
        <v>0.50733871520736984</v>
      </c>
      <c r="X64" s="85">
        <f>IF(B64="",0,IF(OR(H64=MappingTables!$C$34,H64=MappingTables!$C$35),W64,0))</f>
        <v>0</v>
      </c>
    </row>
    <row r="65" spans="2:24" s="0" customFormat="0" ht="15">
      <c r="B65" s="69">
        <v>11354555</v>
      </c>
      <c r="C65" s="70" t="s">
        <v>264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188</v>
      </c>
      <c r="J65" s="71">
        <f>IF(OR(I65=0,I65=""),"unrated",VLOOKUP(I65,MappingTables!$B$19:$C$31,2,FALSE))</f>
        <v>2</v>
      </c>
      <c r="K65" s="72">
        <v>339.26232298136096</v>
      </c>
      <c r="L65" s="70">
        <v>0.052056835661993616</v>
      </c>
      <c r="M65" s="71">
        <f>IF(L65&lt;1,1,L65)</f>
        <v>1</v>
      </c>
      <c r="N65" s="70" t="s">
        <v>141</v>
      </c>
      <c r="O65" s="71">
        <f>INDEX(DurClassMapping,MATCH(M65,MappingTables!$D$4:$D$8,-1),1)</f>
        <v>1</v>
      </c>
      <c r="P65" s="73">
        <f>IF(M65=$A$1,1,$M65-INDEX(MappingTables!$E$4:$E$8,MATCH(O65,MappingTables!$B$4:$B$8,0)))</f>
        <v>1</v>
      </c>
      <c r="Q65" s="71">
        <f>IF(B65="",0,INDEX(ModelParameters!$D$6:$K$10,MATCH($O65,ModelParameters!$B$6:$B$10,0),MATCH($J65,ModelParameters!$D$5:$K$5,0)))</f>
        <v>0.013999999999999998</v>
      </c>
      <c r="R65" s="71">
        <f>IF(B65="",0,INDEX(ModelParameters!$D$13:$K$17,MATCH($O65,ModelParameters!$B$13:$B$17,0),MATCH($J65,ModelParameters!$D$5:$K$5,0)))</f>
        <v>0</v>
      </c>
      <c r="S65" s="160">
        <f>IF(B65="",0,MIN(IF($N65="Other Bond TM",ModelParameters!$N$21,1)*(P65*Q65+R65),1))</f>
        <v>0.013999999999999998</v>
      </c>
      <c r="T65" s="85">
        <f>IF(B65="",0,$S65*$K65)</f>
        <v>4.7496725217390528</v>
      </c>
      <c r="U65" s="85">
        <f>IF(B65="",0,IF(OR(H65=MappingTables!$C$34,H65=MappingTables!$C$35),T65,0))</f>
        <v>0</v>
      </c>
      <c r="V65" s="85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0.054776304963434752</v>
      </c>
      <c r="W65" s="85">
        <f>IF(B65="",0,+$T65*$V65)</f>
        <v>0.26016951052722452</v>
      </c>
      <c r="X65" s="85">
        <f>IF(B65="",0,IF(OR(H65=MappingTables!$C$34,H65=MappingTables!$C$35),W65,0))</f>
        <v>0</v>
      </c>
    </row>
    <row r="66" spans="2:24" s="0" customFormat="0" ht="15">
      <c r="B66" s="69">
        <v>9791305</v>
      </c>
      <c r="C66" s="70" t="s">
        <v>265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179</v>
      </c>
      <c r="J66" s="71">
        <f>IF(OR(I66=0,I66=""),"unrated",VLOOKUP(I66,MappingTables!$B$19:$C$31,2,FALSE))</f>
        <v>4</v>
      </c>
      <c r="K66" s="72">
        <v>1078.044790060375</v>
      </c>
      <c r="L66" s="70">
        <v>3.9203609980732336</v>
      </c>
      <c r="M66" s="71">
        <f>IF(L66&lt;1,1,L66)</f>
        <v>3.9203609980732336</v>
      </c>
      <c r="N66" s="70" t="s">
        <v>141</v>
      </c>
      <c r="O66" s="71">
        <f>INDEX(DurClassMapping,MATCH(M66,MappingTables!$D$4:$D$8,-1),1)</f>
        <v>1</v>
      </c>
      <c r="P66" s="73">
        <f>IF(M66=$A$1,1,$M66-INDEX(MappingTables!$E$4:$E$8,MATCH(O66,MappingTables!$B$4:$B$8,0)))</f>
        <v>3.9203609980732336</v>
      </c>
      <c r="Q66" s="71">
        <f>IF(B66="",0,INDEX(ModelParameters!$D$6:$K$10,MATCH($O66,ModelParameters!$B$6:$B$10,0),MATCH($J66,ModelParameters!$D$5:$K$5,0)))</f>
        <v>0.045</v>
      </c>
      <c r="R66" s="71">
        <f>IF(B66="",0,INDEX(ModelParameters!$D$13:$K$17,MATCH($O66,ModelParameters!$B$13:$B$17,0),MATCH($J66,ModelParameters!$D$5:$K$5,0)))</f>
        <v>0</v>
      </c>
      <c r="S66" s="160">
        <f>IF(B66="",0,MIN(IF($N66="Other Bond TM",ModelParameters!$N$21,1)*(P66*Q66+R66),1))</f>
        <v>0.17641624491329552</v>
      </c>
      <c r="T66" s="85">
        <f>IF(B66="",0,$S66*$K66)</f>
        <v>190.18461371079336</v>
      </c>
      <c r="U66" s="85">
        <f>IF(B66="",0,IF(OR(H66=MappingTables!$C$34,H66=MappingTables!$C$35),T66,0))</f>
        <v>0</v>
      </c>
      <c r="V66" s="85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0.054776304963434752</v>
      </c>
      <c r="W66" s="85">
        <f>IF(B66="",0,+$T66*$V66)</f>
        <v>10.41761039997545</v>
      </c>
      <c r="X66" s="85">
        <f>IF(B66="",0,IF(OR(H66=MappingTables!$C$34,H66=MappingTables!$C$35),W66,0))</f>
        <v>0</v>
      </c>
    </row>
    <row r="67" spans="2:24" s="0" customFormat="0" ht="15">
      <c r="B67" s="69">
        <v>19746433</v>
      </c>
      <c r="C67" s="70" t="s">
        <v>266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184</v>
      </c>
      <c r="J67" s="71">
        <f>IF(OR(I67=0,I67=""),"unrated",VLOOKUP(I67,MappingTables!$B$19:$C$31,2,FALSE))</f>
        <v>5</v>
      </c>
      <c r="K67" s="72">
        <v>154.09851096128404</v>
      </c>
      <c r="L67" s="70">
        <v>0.41644181366642736</v>
      </c>
      <c r="M67" s="71">
        <f>IF(L67&lt;1,1,L67)</f>
        <v>1</v>
      </c>
      <c r="N67" s="70" t="s">
        <v>141</v>
      </c>
      <c r="O67" s="71">
        <f>INDEX(DurClassMapping,MATCH(M67,MappingTables!$D$4:$D$8,-1),1)</f>
        <v>1</v>
      </c>
      <c r="P67" s="73">
        <f>IF(M67=$A$1,1,$M67-INDEX(MappingTables!$E$4:$E$8,MATCH(O67,MappingTables!$B$4:$B$8,0)))</f>
        <v>1</v>
      </c>
      <c r="Q67" s="71">
        <f>IF(B67="",0,INDEX(ModelParameters!$D$6:$K$10,MATCH($O67,ModelParameters!$B$6:$B$10,0),MATCH($J67,ModelParameters!$D$5:$K$5,0)))</f>
        <v>0.075</v>
      </c>
      <c r="R67" s="71">
        <f>IF(B67="",0,INDEX(ModelParameters!$D$13:$K$17,MATCH($O67,ModelParameters!$B$13:$B$17,0),MATCH($J67,ModelParameters!$D$5:$K$5,0)))</f>
        <v>0</v>
      </c>
      <c r="S67" s="160">
        <f>IF(B67="",0,MIN(IF($N67="Other Bond TM",ModelParameters!$N$21,1)*(P67*Q67+R67),1))</f>
        <v>0.075</v>
      </c>
      <c r="T67" s="85">
        <f>IF(B67="",0,$S67*$K67)</f>
        <v>11.557388322096302</v>
      </c>
      <c r="U67" s="85">
        <f>IF(B67="",0,IF(OR(H67=MappingTables!$C$34,H67=MappingTables!$C$35),T67,0))</f>
        <v>0</v>
      </c>
      <c r="V67" s="85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0.054776304963434752</v>
      </c>
      <c r="W67" s="85">
        <f>IF(B67="",0,+$T67*$V67)</f>
        <v>0.63307102731198664</v>
      </c>
      <c r="X67" s="85">
        <f>IF(B67="",0,IF(OR(H67=MappingTables!$C$34,H67=MappingTables!$C$35),W67,0))</f>
        <v>0</v>
      </c>
    </row>
    <row r="68" spans="2:24" s="0" customFormat="0" ht="15">
      <c r="B68" s="69" t="s">
        <v>267</v>
      </c>
      <c r="C68" s="70" t="s">
        <v>268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198</v>
      </c>
      <c r="J68" s="71" t="str">
        <f>IF(OR(I68=0,I68=""),"unrated",VLOOKUP(I68,MappingTables!$B$19:$C$31,2,FALSE))</f>
        <v>unrated</v>
      </c>
      <c r="K68" s="72">
        <v>4311.2089464175536</v>
      </c>
      <c r="L68" s="70">
        <v>2.0257113059999004</v>
      </c>
      <c r="M68" s="71">
        <f>IF(L68&lt;1,1,L68)</f>
        <v>2.0257113059999004</v>
      </c>
      <c r="N68" s="70" t="s">
        <v>141</v>
      </c>
      <c r="O68" s="71">
        <f>INDEX(DurClassMapping,MATCH(M68,MappingTables!$D$4:$D$8,-1),1)</f>
        <v>1</v>
      </c>
      <c r="P68" s="73">
        <f>IF(M68=$A$1,1,$M68-INDEX(MappingTables!$E$4:$E$8,MATCH(O68,MappingTables!$B$4:$B$8,0)))</f>
        <v>2.0257113059999004</v>
      </c>
      <c r="Q68" s="71">
        <f>IF(B68="",0,INDEX(ModelParameters!$D$6:$K$10,MATCH($O68,ModelParameters!$B$6:$B$10,0),MATCH($J68,ModelParameters!$D$5:$K$5,0)))</f>
        <v>0.03</v>
      </c>
      <c r="R68" s="71">
        <f>IF(B68="",0,INDEX(ModelParameters!$D$13:$K$17,MATCH($O68,ModelParameters!$B$13:$B$17,0),MATCH($J68,ModelParameters!$D$5:$K$5,0)))</f>
        <v>0</v>
      </c>
      <c r="S68" s="160">
        <f>IF(B68="",0,MIN(IF($N68="Other Bond TM",ModelParameters!$N$21,1)*(P68*Q68+R68),1))</f>
        <v>0.060771339179997008</v>
      </c>
      <c r="T68" s="85">
        <f>IF(B68="",0,$S68*$K68)</f>
        <v>261.99794115857868</v>
      </c>
      <c r="U68" s="85">
        <f>IF(B68="",0,IF(OR(H68=MappingTables!$C$34,H68=MappingTables!$C$35),T68,0))</f>
        <v>0</v>
      </c>
      <c r="V68" s="85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0.054776304963434752</v>
      </c>
      <c r="W68" s="85">
        <f>IF(B68="",0,+$T68*$V68)</f>
        <v>14.35127912469434</v>
      </c>
      <c r="X68" s="85">
        <f>IF(B68="",0,IF(OR(H68=MappingTables!$C$34,H68=MappingTables!$C$35),W68,0))</f>
        <v>0</v>
      </c>
    </row>
    <row r="69" spans="2:24" s="0" customFormat="0" ht="15">
      <c r="B69" s="69" t="s">
        <v>269</v>
      </c>
      <c r="C69" s="70" t="s">
        <v>270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181</v>
      </c>
      <c r="J69" s="71">
        <f>IF(OR(I69=0,I69=""),"unrated",VLOOKUP(I69,MappingTables!$B$19:$C$31,2,FALSE))</f>
        <v>3</v>
      </c>
      <c r="K69" s="72">
        <v>0.30028035592029424</v>
      </c>
      <c r="L69" s="70">
        <v>2.7594897894155344</v>
      </c>
      <c r="M69" s="71">
        <f>IF(L69&lt;1,1,L69)</f>
        <v>2.7594897894155344</v>
      </c>
      <c r="N69" s="70" t="s">
        <v>141</v>
      </c>
      <c r="O69" s="71">
        <f>INDEX(DurClassMapping,MATCH(M69,MappingTables!$D$4:$D$8,-1),1)</f>
        <v>1</v>
      </c>
      <c r="P69" s="73">
        <f>IF(M69=$A$1,1,$M69-INDEX(MappingTables!$E$4:$E$8,MATCH(O69,MappingTables!$B$4:$B$8,0)))</f>
        <v>2.7594897894155344</v>
      </c>
      <c r="Q69" s="71">
        <f>IF(B69="",0,INDEX(ModelParameters!$D$6:$K$10,MATCH($O69,ModelParameters!$B$6:$B$10,0),MATCH($J69,ModelParameters!$D$5:$K$5,0)))</f>
        <v>0.025</v>
      </c>
      <c r="R69" s="71">
        <f>IF(B69="",0,INDEX(ModelParameters!$D$13:$K$17,MATCH($O69,ModelParameters!$B$13:$B$17,0),MATCH($J69,ModelParameters!$D$5:$K$5,0)))</f>
        <v>0</v>
      </c>
      <c r="S69" s="160">
        <f>IF(B69="",0,MIN(IF($N69="Other Bond TM",ModelParameters!$N$21,1)*(P69*Q69+R69),1))</f>
        <v>0.068987244735388368</v>
      </c>
      <c r="T69" s="85">
        <f>IF(B69="",0,$S69*$K69)</f>
        <v>0.02071551440310286</v>
      </c>
      <c r="U69" s="85">
        <f>IF(B69="",0,IF(OR(H69=MappingTables!$C$34,H69=MappingTables!$C$35),T69,0))</f>
        <v>0</v>
      </c>
      <c r="V69" s="85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0.054776304963434752</v>
      </c>
      <c r="W69" s="85">
        <f>IF(B69="",0,+$T69*$V69)</f>
        <v>0.0011347193344187874</v>
      </c>
      <c r="X69" s="85">
        <f>IF(B69="",0,IF(OR(H69=MappingTables!$C$34,H69=MappingTables!$C$35),W69,0))</f>
        <v>0</v>
      </c>
    </row>
    <row r="70" spans="2:24" s="0" customFormat="0" ht="15">
      <c r="B70" s="69">
        <v>19929932</v>
      </c>
      <c r="C70" s="70" t="s">
        <v>271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188</v>
      </c>
      <c r="J70" s="71">
        <f>IF(OR(I70=0,I70=""),"unrated",VLOOKUP(I70,MappingTables!$B$19:$C$31,2,FALSE))</f>
        <v>2</v>
      </c>
      <c r="K70" s="72">
        <v>5738.0299849574288</v>
      </c>
      <c r="L70" s="70">
        <v>0.40245493537677952</v>
      </c>
      <c r="M70" s="71">
        <f>IF(L70&lt;1,1,L70)</f>
        <v>1</v>
      </c>
      <c r="N70" s="70" t="s">
        <v>141</v>
      </c>
      <c r="O70" s="71">
        <f>INDEX(DurClassMapping,MATCH(M70,MappingTables!$D$4:$D$8,-1),1)</f>
        <v>1</v>
      </c>
      <c r="P70" s="73">
        <f>IF(M70=$A$1,1,$M70-INDEX(MappingTables!$E$4:$E$8,MATCH(O70,MappingTables!$B$4:$B$8,0)))</f>
        <v>1</v>
      </c>
      <c r="Q70" s="71">
        <f>IF(B70="",0,INDEX(ModelParameters!$D$6:$K$10,MATCH($O70,ModelParameters!$B$6:$B$10,0),MATCH($J70,ModelParameters!$D$5:$K$5,0)))</f>
        <v>0.013999999999999998</v>
      </c>
      <c r="R70" s="71">
        <f>IF(B70="",0,INDEX(ModelParameters!$D$13:$K$17,MATCH($O70,ModelParameters!$B$13:$B$17,0),MATCH($J70,ModelParameters!$D$5:$K$5,0)))</f>
        <v>0</v>
      </c>
      <c r="S70" s="160">
        <f>IF(B70="",0,MIN(IF($N70="Other Bond TM",ModelParameters!$N$21,1)*(P70*Q70+R70),1))</f>
        <v>0.013999999999999998</v>
      </c>
      <c r="T70" s="85">
        <f>IF(B70="",0,$S70*$K70)</f>
        <v>80.332419789403984</v>
      </c>
      <c r="U70" s="85">
        <f>IF(B70="",0,IF(OR(H70=MappingTables!$C$34,H70=MappingTables!$C$35),T70,0))</f>
        <v>0</v>
      </c>
      <c r="V70" s="85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0.054776304963434752</v>
      </c>
      <c r="W70" s="85">
        <f>IF(B70="",0,+$T70*$V70)</f>
        <v>4.4003131248350536</v>
      </c>
      <c r="X70" s="85">
        <f>IF(B70="",0,IF(OR(H70=MappingTables!$C$34,H70=MappingTables!$C$35),W70,0))</f>
        <v>0</v>
      </c>
    </row>
    <row r="71" spans="2:24" s="0" customFormat="0" ht="15">
      <c r="B71" s="69">
        <v>20813003</v>
      </c>
      <c r="C71" s="70" t="s">
        <v>272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188</v>
      </c>
      <c r="J71" s="71">
        <f>IF(OR(I71=0,I71=""),"unrated",VLOOKUP(I71,MappingTables!$B$19:$C$31,2,FALSE))</f>
        <v>2</v>
      </c>
      <c r="K71" s="72">
        <v>1947.226073449808</v>
      </c>
      <c r="L71" s="70">
        <v>3.5385248086660228</v>
      </c>
      <c r="M71" s="71">
        <f>IF(L71&lt;1,1,L71)</f>
        <v>3.5385248086660228</v>
      </c>
      <c r="N71" s="70" t="s">
        <v>141</v>
      </c>
      <c r="O71" s="71">
        <f>INDEX(DurClassMapping,MATCH(M71,MappingTables!$D$4:$D$8,-1),1)</f>
        <v>1</v>
      </c>
      <c r="P71" s="73">
        <f>IF(M71=$A$1,1,$M71-INDEX(MappingTables!$E$4:$E$8,MATCH(O71,MappingTables!$B$4:$B$8,0)))</f>
        <v>3.5385248086660228</v>
      </c>
      <c r="Q71" s="71">
        <f>IF(B71="",0,INDEX(ModelParameters!$D$6:$K$10,MATCH($O71,ModelParameters!$B$6:$B$10,0),MATCH($J71,ModelParameters!$D$5:$K$5,0)))</f>
        <v>0.013999999999999998</v>
      </c>
      <c r="R71" s="71">
        <f>IF(B71="",0,INDEX(ModelParameters!$D$13:$K$17,MATCH($O71,ModelParameters!$B$13:$B$17,0),MATCH($J71,ModelParameters!$D$5:$K$5,0)))</f>
        <v>0</v>
      </c>
      <c r="S71" s="160">
        <f>IF(B71="",0,MIN(IF($N71="Other Bond TM",ModelParameters!$N$21,1)*(P71*Q71+R71),1))</f>
        <v>0.049539347321324312</v>
      </c>
      <c r="T71" s="85">
        <f>IF(B71="",0,$S71*$K71)</f>
        <v>96.464308765768608</v>
      </c>
      <c r="U71" s="85">
        <f>IF(B71="",0,IF(OR(H71=MappingTables!$C$34,H71=MappingTables!$C$35),T71,0))</f>
        <v>0</v>
      </c>
      <c r="V71" s="85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0.054776304963434752</v>
      </c>
      <c r="W71" s="85">
        <f>IF(B71="",0,+$T71*$V71)</f>
        <v>5.2839583950406736</v>
      </c>
      <c r="X71" s="85">
        <f>IF(B71="",0,IF(OR(H71=MappingTables!$C$34,H71=MappingTables!$C$35),W71,0))</f>
        <v>0</v>
      </c>
    </row>
    <row r="72" spans="2:24" s="0" customFormat="0" ht="15">
      <c r="B72" s="69">
        <v>18812113</v>
      </c>
      <c r="C72" s="70" t="s">
        <v>273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188</v>
      </c>
      <c r="J72" s="71">
        <f>IF(OR(I72=0,I72=""),"unrated",VLOOKUP(I72,MappingTables!$B$19:$C$31,2,FALSE))</f>
        <v>2</v>
      </c>
      <c r="K72" s="72">
        <v>279.41228481987428</v>
      </c>
      <c r="L72" s="70">
        <v>0.93964967305658208</v>
      </c>
      <c r="M72" s="71">
        <f>IF(L72&lt;1,1,L72)</f>
        <v>1</v>
      </c>
      <c r="N72" s="70" t="s">
        <v>141</v>
      </c>
      <c r="O72" s="71">
        <f>INDEX(DurClassMapping,MATCH(M72,MappingTables!$D$4:$D$8,-1),1)</f>
        <v>1</v>
      </c>
      <c r="P72" s="73">
        <f>IF(M72=$A$1,1,$M72-INDEX(MappingTables!$E$4:$E$8,MATCH(O72,MappingTables!$B$4:$B$8,0)))</f>
        <v>1</v>
      </c>
      <c r="Q72" s="71">
        <f>IF(B72="",0,INDEX(ModelParameters!$D$6:$K$10,MATCH($O72,ModelParameters!$B$6:$B$10,0),MATCH($J72,ModelParameters!$D$5:$K$5,0)))</f>
        <v>0.013999999999999998</v>
      </c>
      <c r="R72" s="71">
        <f>IF(B72="",0,INDEX(ModelParameters!$D$13:$K$17,MATCH($O72,ModelParameters!$B$13:$B$17,0),MATCH($J72,ModelParameters!$D$5:$K$5,0)))</f>
        <v>0</v>
      </c>
      <c r="S72" s="160">
        <f>IF(B72="",0,MIN(IF($N72="Other Bond TM",ModelParameters!$N$21,1)*(P72*Q72+R72),1))</f>
        <v>0.013999999999999998</v>
      </c>
      <c r="T72" s="85">
        <f>IF(B72="",0,$S72*$K72)</f>
        <v>3.9117719874782392</v>
      </c>
      <c r="U72" s="85">
        <f>IF(B72="",0,IF(OR(H72=MappingTables!$C$34,H72=MappingTables!$C$35),T72,0))</f>
        <v>0</v>
      </c>
      <c r="V72" s="85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0.054776304963434752</v>
      </c>
      <c r="W72" s="85">
        <f>IF(B72="",0,+$T72*$V72)</f>
        <v>0.21427241533352932</v>
      </c>
      <c r="X72" s="85">
        <f>IF(B72="",0,IF(OR(H72=MappingTables!$C$34,H72=MappingTables!$C$35),W72,0))</f>
        <v>0</v>
      </c>
    </row>
    <row r="73" spans="2:24" s="0" customFormat="0" ht="15">
      <c r="B73" s="69">
        <v>18154855</v>
      </c>
      <c r="C73" s="70" t="s">
        <v>274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179</v>
      </c>
      <c r="J73" s="71">
        <f>IF(OR(I73=0,I73=""),"unrated",VLOOKUP(I73,MappingTables!$B$19:$C$31,2,FALSE))</f>
        <v>4</v>
      </c>
      <c r="K73" s="72">
        <v>233.23201356527124</v>
      </c>
      <c r="L73" s="70">
        <v>15.629907223047026</v>
      </c>
      <c r="M73" s="71">
        <f>IF(L73&lt;1,1,L73)</f>
        <v>15.629907223047026</v>
      </c>
      <c r="N73" s="70" t="s">
        <v>141</v>
      </c>
      <c r="O73" s="71">
        <f>INDEX(DurClassMapping,MATCH(M73,MappingTables!$D$4:$D$8,-1),1)</f>
        <v>4</v>
      </c>
      <c r="P73" s="73">
        <f>IF(M73=$A$1,1,$M73-INDEX(MappingTables!$E$4:$E$8,MATCH(O73,MappingTables!$B$4:$B$8,0)))</f>
        <v>0.62990722304702552</v>
      </c>
      <c r="Q73" s="71">
        <f>IF(B73="",0,INDEX(ModelParameters!$D$6:$K$10,MATCH($O73,ModelParameters!$B$6:$B$10,0),MATCH($J73,ModelParameters!$D$5:$K$5,0)))</f>
        <v>0.005</v>
      </c>
      <c r="R73" s="71">
        <f>IF(B73="",0,INDEX(ModelParameters!$D$13:$K$17,MATCH($O73,ModelParameters!$B$13:$B$17,0),MATCH($J73,ModelParameters!$D$5:$K$5,0)))</f>
        <v>0.44</v>
      </c>
      <c r="S73" s="160">
        <f>IF(B73="",0,MIN(IF($N73="Other Bond TM",ModelParameters!$N$21,1)*(P73*Q73+R73),1))</f>
        <v>0.44314953611523512</v>
      </c>
      <c r="T73" s="85">
        <f>IF(B73="",0,$S73*$K73)</f>
        <v>103.35665861867218</v>
      </c>
      <c r="U73" s="85">
        <f>IF(B73="",0,IF(OR(H73=MappingTables!$C$34,H73=MappingTables!$C$35),T73,0))</f>
        <v>0</v>
      </c>
      <c r="V73" s="85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0.054776304963434752</v>
      </c>
      <c r="W73" s="85">
        <f>IF(B73="",0,+$T73*$V73)</f>
        <v>5.661495852498004</v>
      </c>
      <c r="X73" s="85">
        <f>IF(B73="",0,IF(OR(H73=MappingTables!$C$34,H73=MappingTables!$C$35),W73,0))</f>
        <v>0</v>
      </c>
    </row>
    <row r="74" spans="2:24" s="0" customFormat="0" ht="15">
      <c r="B74" s="69">
        <v>14742713</v>
      </c>
      <c r="C74" s="70" t="s">
        <v>275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188</v>
      </c>
      <c r="J74" s="71">
        <f>IF(OR(I74=0,I74=""),"unrated",VLOOKUP(I74,MappingTables!$B$19:$C$31,2,FALSE))</f>
        <v>2</v>
      </c>
      <c r="K74" s="72">
        <v>421.81022224880728</v>
      </c>
      <c r="L74" s="70">
        <v>1.5795591561394266</v>
      </c>
      <c r="M74" s="71">
        <f>IF(L74&lt;1,1,L74)</f>
        <v>1.5795591561394266</v>
      </c>
      <c r="N74" s="70" t="s">
        <v>141</v>
      </c>
      <c r="O74" s="71">
        <f>INDEX(DurClassMapping,MATCH(M74,MappingTables!$D$4:$D$8,-1),1)</f>
        <v>1</v>
      </c>
      <c r="P74" s="73">
        <f>IF(M74=$A$1,1,$M74-INDEX(MappingTables!$E$4:$E$8,MATCH(O74,MappingTables!$B$4:$B$8,0)))</f>
        <v>1.5795591561394266</v>
      </c>
      <c r="Q74" s="71">
        <f>IF(B74="",0,INDEX(ModelParameters!$D$6:$K$10,MATCH($O74,ModelParameters!$B$6:$B$10,0),MATCH($J74,ModelParameters!$D$5:$K$5,0)))</f>
        <v>0.013999999999999998</v>
      </c>
      <c r="R74" s="71">
        <f>IF(B74="",0,INDEX(ModelParameters!$D$13:$K$17,MATCH($O74,ModelParameters!$B$13:$B$17,0),MATCH($J74,ModelParameters!$D$5:$K$5,0)))</f>
        <v>0</v>
      </c>
      <c r="S74" s="160">
        <f>IF(B74="",0,MIN(IF($N74="Other Bond TM",ModelParameters!$N$21,1)*(P74*Q74+R74),1))</f>
        <v>0.022113828185951972</v>
      </c>
      <c r="T74" s="85">
        <f>IF(B74="",0,$S74*$K74)</f>
        <v>9.3278387818883408</v>
      </c>
      <c r="U74" s="85">
        <f>IF(B74="",0,IF(OR(H74=MappingTables!$C$34,H74=MappingTables!$C$35),T74,0))</f>
        <v>0</v>
      </c>
      <c r="V74" s="85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0.054776304963434752</v>
      </c>
      <c r="W74" s="85">
        <f>IF(B74="",0,+$T74*$V74)</f>
        <v>0.51094454176646952</v>
      </c>
      <c r="X74" s="85">
        <f>IF(B74="",0,IF(OR(H74=MappingTables!$C$34,H74=MappingTables!$C$35),W74,0))</f>
        <v>0</v>
      </c>
    </row>
    <row r="75" spans="2:24" s="0" customFormat="0" ht="15">
      <c r="B75" s="69">
        <v>14954232</v>
      </c>
      <c r="C75" s="70" t="s">
        <v>276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179</v>
      </c>
      <c r="J75" s="71">
        <f>IF(OR(I75=0,I75=""),"unrated",VLOOKUP(I75,MappingTables!$B$19:$C$31,2,FALSE))</f>
        <v>4</v>
      </c>
      <c r="K75" s="72">
        <v>22.048356915289456</v>
      </c>
      <c r="L75" s="70">
        <v>1.532835134393525</v>
      </c>
      <c r="M75" s="71">
        <f>IF(L75&lt;1,1,L75)</f>
        <v>1.532835134393525</v>
      </c>
      <c r="N75" s="70" t="s">
        <v>141</v>
      </c>
      <c r="O75" s="71">
        <f>INDEX(DurClassMapping,MATCH(M75,MappingTables!$D$4:$D$8,-1),1)</f>
        <v>1</v>
      </c>
      <c r="P75" s="73">
        <f>IF(M75=$A$1,1,$M75-INDEX(MappingTables!$E$4:$E$8,MATCH(O75,MappingTables!$B$4:$B$8,0)))</f>
        <v>1.532835134393525</v>
      </c>
      <c r="Q75" s="71">
        <f>IF(B75="",0,INDEX(ModelParameters!$D$6:$K$10,MATCH($O75,ModelParameters!$B$6:$B$10,0),MATCH($J75,ModelParameters!$D$5:$K$5,0)))</f>
        <v>0.045</v>
      </c>
      <c r="R75" s="71">
        <f>IF(B75="",0,INDEX(ModelParameters!$D$13:$K$17,MATCH($O75,ModelParameters!$B$13:$B$17,0),MATCH($J75,ModelParameters!$D$5:$K$5,0)))</f>
        <v>0</v>
      </c>
      <c r="S75" s="160">
        <f>IF(B75="",0,MIN(IF($N75="Other Bond TM",ModelParameters!$N$21,1)*(P75*Q75+R75),1))</f>
        <v>0.068977581047708624</v>
      </c>
      <c r="T75" s="85">
        <f>IF(B75="",0,$S75*$K75)</f>
        <v>1.5208423260931854</v>
      </c>
      <c r="U75" s="85">
        <f>IF(B75="",0,IF(OR(H75=MappingTables!$C$34,H75=MappingTables!$C$35),T75,0))</f>
        <v>0</v>
      </c>
      <c r="V75" s="85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0.054776304963434752</v>
      </c>
      <c r="W75" s="85">
        <f>IF(B75="",0,+$T75*$V75)</f>
        <v>0.083306123055379808</v>
      </c>
      <c r="X75" s="85">
        <f>IF(B75="",0,IF(OR(H75=MappingTables!$C$34,H75=MappingTables!$C$35),W75,0))</f>
        <v>0</v>
      </c>
    </row>
    <row r="76" spans="2:24" s="0" customFormat="0" ht="15">
      <c r="B76" s="69">
        <v>18676472</v>
      </c>
      <c r="C76" s="70" t="s">
        <v>277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179</v>
      </c>
      <c r="J76" s="71">
        <f>IF(OR(I76=0,I76=""),"unrated",VLOOKUP(I76,MappingTables!$B$19:$C$31,2,FALSE))</f>
        <v>4</v>
      </c>
      <c r="K76" s="72">
        <v>212.13926872358272</v>
      </c>
      <c r="L76" s="70">
        <v>1.5044177913103574</v>
      </c>
      <c r="M76" s="71">
        <f>IF(L76&lt;1,1,L76)</f>
        <v>1.5044177913103574</v>
      </c>
      <c r="N76" s="70" t="s">
        <v>141</v>
      </c>
      <c r="O76" s="71">
        <f>INDEX(DurClassMapping,MATCH(M76,MappingTables!$D$4:$D$8,-1),1)</f>
        <v>1</v>
      </c>
      <c r="P76" s="73">
        <f>IF(M76=$A$1,1,$M76-INDEX(MappingTables!$E$4:$E$8,MATCH(O76,MappingTables!$B$4:$B$8,0)))</f>
        <v>1.5044177913103574</v>
      </c>
      <c r="Q76" s="71">
        <f>IF(B76="",0,INDEX(ModelParameters!$D$6:$K$10,MATCH($O76,ModelParameters!$B$6:$B$10,0),MATCH($J76,ModelParameters!$D$5:$K$5,0)))</f>
        <v>0.045</v>
      </c>
      <c r="R76" s="71">
        <f>IF(B76="",0,INDEX(ModelParameters!$D$13:$K$17,MATCH($O76,ModelParameters!$B$13:$B$17,0),MATCH($J76,ModelParameters!$D$5:$K$5,0)))</f>
        <v>0</v>
      </c>
      <c r="S76" s="160">
        <f>IF(B76="",0,MIN(IF($N76="Other Bond TM",ModelParameters!$N$21,1)*(P76*Q76+R76),1))</f>
        <v>0.067698800608966072</v>
      </c>
      <c r="T76" s="85">
        <f>IF(B76="",0,$S76*$K76)</f>
        <v>14.3615740546497</v>
      </c>
      <c r="U76" s="85">
        <f>IF(B76="",0,IF(OR(H76=MappingTables!$C$34,H76=MappingTables!$C$35),T76,0))</f>
        <v>0</v>
      </c>
      <c r="V76" s="85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0.054776304963434752</v>
      </c>
      <c r="W76" s="85">
        <f>IF(B76="",0,+$T76*$V76)</f>
        <v>0.786673960172444</v>
      </c>
      <c r="X76" s="85">
        <f>IF(B76="",0,IF(OR(H76=MappingTables!$C$34,H76=MappingTables!$C$35),W76,0))</f>
        <v>0</v>
      </c>
    </row>
    <row r="77" spans="2:24" s="0" customFormat="0" ht="15">
      <c r="B77" s="69">
        <v>3092976</v>
      </c>
      <c r="C77" s="70" t="s">
        <v>278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181</v>
      </c>
      <c r="J77" s="71">
        <f>IF(OR(I77=0,I77=""),"unrated",VLOOKUP(I77,MappingTables!$B$19:$C$31,2,FALSE))</f>
        <v>3</v>
      </c>
      <c r="K77" s="72">
        <v>557.23930558603864</v>
      </c>
      <c r="L77" s="70">
        <v>12.46419757696712</v>
      </c>
      <c r="M77" s="71">
        <f>IF(L77&lt;1,1,L77)</f>
        <v>12.46419757696712</v>
      </c>
      <c r="N77" s="70" t="s">
        <v>141</v>
      </c>
      <c r="O77" s="71">
        <f>INDEX(DurClassMapping,MATCH(M77,MappingTables!$D$4:$D$8,-1),1)</f>
        <v>3</v>
      </c>
      <c r="P77" s="73">
        <f>IF(M77=$A$1,1,$M77-INDEX(MappingTables!$E$4:$E$8,MATCH(O77,MappingTables!$B$4:$B$8,0)))</f>
        <v>2.46419757696712</v>
      </c>
      <c r="Q77" s="71">
        <f>IF(B77="",0,INDEX(ModelParameters!$D$6:$K$10,MATCH($O77,ModelParameters!$B$6:$B$10,0),MATCH($J77,ModelParameters!$D$5:$K$5,0)))</f>
        <v>0.01</v>
      </c>
      <c r="R77" s="71">
        <f>IF(B77="",0,INDEX(ModelParameters!$D$13:$K$17,MATCH($O77,ModelParameters!$B$13:$B$17,0),MATCH($J77,ModelParameters!$D$5:$K$5,0)))</f>
        <v>0.2</v>
      </c>
      <c r="S77" s="160">
        <f>IF(B77="",0,MIN(IF($N77="Other Bond TM",ModelParameters!$N$21,1)*(P77*Q77+R77),1))</f>
        <v>0.2246419757696712</v>
      </c>
      <c r="T77" s="85">
        <f>IF(B77="",0,$S77*$K77)</f>
        <v>125.17933858336732</v>
      </c>
      <c r="U77" s="85">
        <f>IF(B77="",0,IF(OR(H77=MappingTables!$C$34,H77=MappingTables!$C$35),T77,0))</f>
        <v>0</v>
      </c>
      <c r="V77" s="85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0.054776304963434752</v>
      </c>
      <c r="W77" s="85">
        <f>IF(B77="",0,+$T77*$V77)</f>
        <v>6.8568616253635824</v>
      </c>
      <c r="X77" s="85">
        <f>IF(B77="",0,IF(OR(H77=MappingTables!$C$34,H77=MappingTables!$C$35),W77,0))</f>
        <v>0</v>
      </c>
    </row>
    <row r="78" spans="2:24" s="0" customFormat="0" ht="15">
      <c r="B78" s="69" t="s">
        <v>279</v>
      </c>
      <c r="C78" s="70" t="s">
        <v>280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181</v>
      </c>
      <c r="J78" s="71">
        <f>IF(OR(I78=0,I78=""),"unrated",VLOOKUP(I78,MappingTables!$B$19:$C$31,2,FALSE))</f>
        <v>3</v>
      </c>
      <c r="K78" s="72">
        <v>0.2212828226977432</v>
      </c>
      <c r="L78" s="70">
        <v>1.0657760780507298</v>
      </c>
      <c r="M78" s="71">
        <f>IF(L78&lt;1,1,L78)</f>
        <v>1.0657760780507298</v>
      </c>
      <c r="N78" s="70" t="s">
        <v>141</v>
      </c>
      <c r="O78" s="71">
        <f>INDEX(DurClassMapping,MATCH(M78,MappingTables!$D$4:$D$8,-1),1)</f>
        <v>1</v>
      </c>
      <c r="P78" s="73">
        <f>IF(M78=$A$1,1,$M78-INDEX(MappingTables!$E$4:$E$8,MATCH(O78,MappingTables!$B$4:$B$8,0)))</f>
        <v>1.0657760780507298</v>
      </c>
      <c r="Q78" s="71">
        <f>IF(B78="",0,INDEX(ModelParameters!$D$6:$K$10,MATCH($O78,ModelParameters!$B$6:$B$10,0),MATCH($J78,ModelParameters!$D$5:$K$5,0)))</f>
        <v>0.025</v>
      </c>
      <c r="R78" s="71">
        <f>IF(B78="",0,INDEX(ModelParameters!$D$13:$K$17,MATCH($O78,ModelParameters!$B$13:$B$17,0),MATCH($J78,ModelParameters!$D$5:$K$5,0)))</f>
        <v>0</v>
      </c>
      <c r="S78" s="160">
        <f>IF(B78="",0,MIN(IF($N78="Other Bond TM",ModelParameters!$N$21,1)*(P78*Q78+R78),1))</f>
        <v>0.026644401951268244</v>
      </c>
      <c r="T78" s="85">
        <f>IF(B78="",0,$S78*$K78)</f>
        <v>0.0058959484728698944</v>
      </c>
      <c r="U78" s="85">
        <f>IF(B78="",0,IF(OR(H78=MappingTables!$C$34,H78=MappingTables!$C$35),T78,0))</f>
        <v>0</v>
      </c>
      <c r="V78" s="85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0.054776304963434752</v>
      </c>
      <c r="W78" s="85">
        <f>IF(B78="",0,+$T78*$V78)</f>
        <v>0.00032295827159861872</v>
      </c>
      <c r="X78" s="85">
        <f>IF(B78="",0,IF(OR(H78=MappingTables!$C$34,H78=MappingTables!$C$35),W78,0))</f>
        <v>0</v>
      </c>
    </row>
    <row r="79" spans="2:24" s="0" customFormat="0" ht="15">
      <c r="B79" s="69">
        <v>21365025</v>
      </c>
      <c r="C79" s="70" t="s">
        <v>281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216</v>
      </c>
      <c r="J79" s="71">
        <f>IF(OR(I79=0,I79=""),"unrated",VLOOKUP(I79,MappingTables!$B$19:$C$31,2,FALSE))</f>
        <v>0</v>
      </c>
      <c r="K79" s="72">
        <v>1163.2688957355346</v>
      </c>
      <c r="L79" s="70">
        <v>0.8239808866558168</v>
      </c>
      <c r="M79" s="71">
        <f>IF(L79&lt;1,1,L79)</f>
        <v>1</v>
      </c>
      <c r="N79" s="70" t="s">
        <v>141</v>
      </c>
      <c r="O79" s="71">
        <f>INDEX(DurClassMapping,MATCH(M79,MappingTables!$D$4:$D$8,-1),1)</f>
        <v>1</v>
      </c>
      <c r="P79" s="73">
        <f>IF(M79=$A$1,1,$M79-INDEX(MappingTables!$E$4:$E$8,MATCH(O79,MappingTables!$B$4:$B$8,0)))</f>
        <v>1</v>
      </c>
      <c r="Q79" s="71">
        <f>IF(B79="",0,INDEX(ModelParameters!$D$6:$K$10,MATCH($O79,ModelParameters!$B$6:$B$10,0),MATCH($J79,ModelParameters!$D$5:$K$5,0)))</f>
        <v>0.0090000000000000016</v>
      </c>
      <c r="R79" s="71">
        <f>IF(B79="",0,INDEX(ModelParameters!$D$13:$K$17,MATCH($O79,ModelParameters!$B$13:$B$17,0),MATCH($J79,ModelParameters!$D$5:$K$5,0)))</f>
        <v>0</v>
      </c>
      <c r="S79" s="160">
        <f>IF(B79="",0,MIN(IF($N79="Other Bond TM",ModelParameters!$N$21,1)*(P79*Q79+R79),1))</f>
        <v>0.0090000000000000016</v>
      </c>
      <c r="T79" s="85">
        <f>IF(B79="",0,$S79*$K79)</f>
        <v>10.469420061619812</v>
      </c>
      <c r="U79" s="85">
        <f>IF(B79="",0,IF(OR(H79=MappingTables!$C$34,H79=MappingTables!$C$35),T79,0))</f>
        <v>0</v>
      </c>
      <c r="V79" s="85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0.054776304963434752</v>
      </c>
      <c r="W79" s="85">
        <f>IF(B79="",0,+$T79*$V79)</f>
        <v>0.57347614608558872</v>
      </c>
      <c r="X79" s="85">
        <f>IF(B79="",0,IF(OR(H79=MappingTables!$C$34,H79=MappingTables!$C$35),W79,0))</f>
        <v>0</v>
      </c>
    </row>
    <row r="80" spans="2:24" s="0" customFormat="0" ht="15">
      <c r="B80" s="69" t="s">
        <v>282</v>
      </c>
      <c r="C80" s="70" t="s">
        <v>283</v>
      </c>
      <c r="D80" s="70" t="s">
        <v>1</v>
      </c>
      <c r="E80" s="70" t="s">
        <v>1</v>
      </c>
      <c r="F80" s="70"/>
      <c r="G80" s="70" t="s">
        <v>58</v>
      </c>
      <c r="H80" s="70" t="s">
        <v>284</v>
      </c>
      <c r="I80" s="70" t="s">
        <v>198</v>
      </c>
      <c r="J80" s="71" t="str">
        <f>IF(OR(I80=0,I80=""),"unrated",VLOOKUP(I80,MappingTables!$B$19:$C$31,2,FALSE))</f>
        <v>unrated</v>
      </c>
      <c r="K80" s="72">
        <v>8467065</v>
      </c>
      <c r="L80" s="70">
        <v>29.691023394765484</v>
      </c>
      <c r="M80" s="71">
        <f>IF(L80&lt;1,1,L80)</f>
        <v>29.691023394765484</v>
      </c>
      <c r="N80" s="70" t="s">
        <v>141</v>
      </c>
      <c r="O80" s="71">
        <f>INDEX(DurClassMapping,MATCH(M80,MappingTables!$D$4:$D$8,-1),1)</f>
        <v>5</v>
      </c>
      <c r="P80" s="73">
        <f>IF(M80=$A$1,1,$M80-INDEX(MappingTables!$E$4:$E$8,MATCH(O80,MappingTables!$B$4:$B$8,0)))</f>
        <v>9.6910233947654832</v>
      </c>
      <c r="Q80" s="71">
        <f>IF(B80="",0,INDEX(ModelParameters!$D$6:$K$10,MATCH($O80,ModelParameters!$B$6:$B$10,0),MATCH($J80,ModelParameters!$D$5:$K$5,0)))</f>
        <v>0.005</v>
      </c>
      <c r="R80" s="71">
        <f>IF(B80="",0,INDEX(ModelParameters!$D$13:$K$17,MATCH($O80,ModelParameters!$B$13:$B$17,0),MATCH($J80,ModelParameters!$D$5:$K$5,0)))</f>
        <v>0.355</v>
      </c>
      <c r="S80" s="160">
        <f>IF(B80="",0,MIN(IF($N80="Other Bond TM",ModelParameters!$N$21,1)*(P80*Q80+R80),1))</f>
        <v>0.40345511697382744</v>
      </c>
      <c r="T80" s="85">
        <f>IF(B80="",0,$S80*$K80)</f>
        <v>3416080.7</v>
      </c>
      <c r="U80" s="85">
        <f>IF(B80="",0,IF(OR(H80=MappingTables!$C$34,H80=MappingTables!$C$35),T80,0))</f>
        <v>0</v>
      </c>
      <c r="V80" s="85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</v>
      </c>
      <c r="W80" s="85">
        <f>IF(B80="",0,+$T80*$V80)</f>
        <v>0</v>
      </c>
      <c r="X80" s="85">
        <f>IF(B80="",0,IF(OR(H80=MappingTables!$C$34,H80=MappingTables!$C$35),W80,0))</f>
        <v>0</v>
      </c>
    </row>
    <row r="81" spans="2:24" s="0" customFormat="0" ht="15">
      <c r="B81" s="69">
        <v>15276134</v>
      </c>
      <c r="C81" s="70" t="s">
        <v>285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181</v>
      </c>
      <c r="J81" s="71">
        <f>IF(OR(I81=0,I81=""),"unrated",VLOOKUP(I81,MappingTables!$B$19:$C$31,2,FALSE))</f>
        <v>3</v>
      </c>
      <c r="K81" s="72">
        <v>517.49541547908544</v>
      </c>
      <c r="L81" s="70">
        <v>3.559587692214748</v>
      </c>
      <c r="M81" s="71">
        <f>IF(L81&lt;1,1,L81)</f>
        <v>3.559587692214748</v>
      </c>
      <c r="N81" s="70" t="s">
        <v>141</v>
      </c>
      <c r="O81" s="71">
        <f>INDEX(DurClassMapping,MATCH(M81,MappingTables!$D$4:$D$8,-1),1)</f>
        <v>1</v>
      </c>
      <c r="P81" s="73">
        <f>IF(M81=$A$1,1,$M81-INDEX(MappingTables!$E$4:$E$8,MATCH(O81,MappingTables!$B$4:$B$8,0)))</f>
        <v>3.559587692214748</v>
      </c>
      <c r="Q81" s="71">
        <f>IF(B81="",0,INDEX(ModelParameters!$D$6:$K$10,MATCH($O81,ModelParameters!$B$6:$B$10,0),MATCH($J81,ModelParameters!$D$5:$K$5,0)))</f>
        <v>0.025</v>
      </c>
      <c r="R81" s="71">
        <f>IF(B81="",0,INDEX(ModelParameters!$D$13:$K$17,MATCH($O81,ModelParameters!$B$13:$B$17,0),MATCH($J81,ModelParameters!$D$5:$K$5,0)))</f>
        <v>0</v>
      </c>
      <c r="S81" s="160">
        <f>IF(B81="",0,MIN(IF($N81="Other Bond TM",ModelParameters!$N$21,1)*(P81*Q81+R81),1))</f>
        <v>0.088989692305368704</v>
      </c>
      <c r="T81" s="85">
        <f>IF(B81="",0,$S81*$K81)</f>
        <v>46.051757792922744</v>
      </c>
      <c r="U81" s="85">
        <f>IF(B81="",0,IF(OR(H81=MappingTables!$C$34,H81=MappingTables!$C$35),T81,0))</f>
        <v>0</v>
      </c>
      <c r="V81" s="85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0.054776304963434752</v>
      </c>
      <c r="W81" s="85">
        <f>IF(B81="",0,+$T81*$V81)</f>
        <v>2.5225451289673692</v>
      </c>
      <c r="X81" s="85">
        <f>IF(B81="",0,IF(OR(H81=MappingTables!$C$34,H81=MappingTables!$C$35),W81,0))</f>
        <v>0</v>
      </c>
    </row>
    <row r="82" spans="2:24" s="0" customFormat="0" ht="15">
      <c r="B82" s="69">
        <v>20243725</v>
      </c>
      <c r="C82" s="70" t="s">
        <v>286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188</v>
      </c>
      <c r="J82" s="71">
        <f>IF(OR(I82=0,I82=""),"unrated",VLOOKUP(I82,MappingTables!$B$19:$C$31,2,FALSE))</f>
        <v>2</v>
      </c>
      <c r="K82" s="72">
        <v>5916.235527136092</v>
      </c>
      <c r="L82" s="70">
        <v>7.26728317231732</v>
      </c>
      <c r="M82" s="71">
        <f>IF(L82&lt;1,1,L82)</f>
        <v>7.26728317231732</v>
      </c>
      <c r="N82" s="70" t="s">
        <v>141</v>
      </c>
      <c r="O82" s="71">
        <f>INDEX(DurClassMapping,MATCH(M82,MappingTables!$D$4:$D$8,-1),1)</f>
        <v>2</v>
      </c>
      <c r="P82" s="73">
        <f>IF(M82=$A$1,1,$M82-INDEX(MappingTables!$E$4:$E$8,MATCH(O82,MappingTables!$B$4:$B$8,0)))</f>
        <v>2.2672831723173196</v>
      </c>
      <c r="Q82" s="71">
        <f>IF(B82="",0,INDEX(ModelParameters!$D$6:$K$10,MATCH($O82,ModelParameters!$B$6:$B$10,0),MATCH($J82,ModelParameters!$D$5:$K$5,0)))</f>
        <v>0.0069999999999999992</v>
      </c>
      <c r="R82" s="71">
        <f>IF(B82="",0,INDEX(ModelParameters!$D$13:$K$17,MATCH($O82,ModelParameters!$B$13:$B$17,0),MATCH($J82,ModelParameters!$D$5:$K$5,0)))</f>
        <v>0.070000000000000008</v>
      </c>
      <c r="S82" s="160">
        <f>IF(B82="",0,MIN(IF($N82="Other Bond TM",ModelParameters!$N$21,1)*(P82*Q82+R82),1))</f>
        <v>0.085870982206221248</v>
      </c>
      <c r="T82" s="85">
        <f>IF(B82="",0,$S82*$K82)</f>
        <v>508.03295567851736</v>
      </c>
      <c r="U82" s="85">
        <f>IF(B82="",0,IF(OR(H82=MappingTables!$C$34,H82=MappingTables!$C$35),T82,0))</f>
        <v>0</v>
      </c>
      <c r="V82" s="85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0.054776304963434752</v>
      </c>
      <c r="W82" s="85">
        <f>IF(B82="",0,+$T82*$V82)</f>
        <v>27.8281681117216</v>
      </c>
      <c r="X82" s="85">
        <f>IF(B82="",0,IF(OR(H82=MappingTables!$C$34,H82=MappingTables!$C$35),W82,0))</f>
        <v>0</v>
      </c>
    </row>
    <row r="83" spans="2:24" s="0" customFormat="0" ht="15">
      <c r="B83" s="69" t="s">
        <v>287</v>
      </c>
      <c r="C83" s="70" t="s">
        <v>288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184</v>
      </c>
      <c r="J83" s="71">
        <f>IF(OR(I83=0,I83=""),"unrated",VLOOKUP(I83,MappingTables!$B$19:$C$31,2,FALSE))</f>
        <v>5</v>
      </c>
      <c r="K83" s="72">
        <v>112.90007942710896</v>
      </c>
      <c r="L83" s="70">
        <v>5.2159688239847712</v>
      </c>
      <c r="M83" s="71">
        <f>IF(L83&lt;1,1,L83)</f>
        <v>5.2159688239847712</v>
      </c>
      <c r="N83" s="70" t="s">
        <v>141</v>
      </c>
      <c r="O83" s="71">
        <f>INDEX(DurClassMapping,MATCH(M83,MappingTables!$D$4:$D$8,-1),1)</f>
        <v>2</v>
      </c>
      <c r="P83" s="73">
        <f>IF(M83=$A$1,1,$M83-INDEX(MappingTables!$E$4:$E$8,MATCH(O83,MappingTables!$B$4:$B$8,0)))</f>
        <v>0.21596882398477124</v>
      </c>
      <c r="Q83" s="71">
        <f>IF(B83="",0,INDEX(ModelParameters!$D$6:$K$10,MATCH($O83,ModelParameters!$B$6:$B$10,0),MATCH($J83,ModelParameters!$D$5:$K$5,0)))</f>
        <v>0.042</v>
      </c>
      <c r="R83" s="71">
        <f>IF(B83="",0,INDEX(ModelParameters!$D$13:$K$17,MATCH($O83,ModelParameters!$B$13:$B$17,0),MATCH($J83,ModelParameters!$D$5:$K$5,0)))</f>
        <v>0.375</v>
      </c>
      <c r="S83" s="160">
        <f>IF(B83="",0,MIN(IF($N83="Other Bond TM",ModelParameters!$N$21,1)*(P83*Q83+R83),1))</f>
        <v>0.3840706906073604</v>
      </c>
      <c r="T83" s="85">
        <f>IF(B83="",0,$S83*$K83)</f>
        <v>43.361611475195584</v>
      </c>
      <c r="U83" s="85">
        <f>IF(B83="",0,IF(OR(H83=MappingTables!$C$34,H83=MappingTables!$C$35),T83,0))</f>
        <v>0</v>
      </c>
      <c r="V83" s="85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0.054776304963434752</v>
      </c>
      <c r="W83" s="85">
        <f>IF(B83="",0,+$T83*$V83)</f>
        <v>2.3751888538712848</v>
      </c>
      <c r="X83" s="85">
        <f>IF(B83="",0,IF(OR(H83=MappingTables!$C$34,H83=MappingTables!$C$35),W83,0))</f>
        <v>0</v>
      </c>
    </row>
    <row r="84" spans="2:24" s="0" customFormat="0" ht="15">
      <c r="B84" s="69">
        <v>20693891</v>
      </c>
      <c r="C84" s="70" t="s">
        <v>289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204</v>
      </c>
      <c r="J84" s="71">
        <f>IF(OR(I84=0,I84=""),"unrated",VLOOKUP(I84,MappingTables!$B$19:$C$31,2,FALSE))</f>
        <v>6</v>
      </c>
      <c r="K84" s="72">
        <v>19903.55141356418</v>
      </c>
      <c r="L84" s="70">
        <v>0.60356927076377864</v>
      </c>
      <c r="M84" s="71">
        <f>IF(L84&lt;1,1,L84)</f>
        <v>1</v>
      </c>
      <c r="N84" s="70" t="s">
        <v>141</v>
      </c>
      <c r="O84" s="71">
        <f>INDEX(DurClassMapping,MATCH(M84,MappingTables!$D$4:$D$8,-1),1)</f>
        <v>1</v>
      </c>
      <c r="P84" s="73">
        <f>IF(M84=$A$1,1,$M84-INDEX(MappingTables!$E$4:$E$8,MATCH(O84,MappingTables!$B$4:$B$8,0)))</f>
        <v>1</v>
      </c>
      <c r="Q84" s="71">
        <f>IF(B84="",0,INDEX(ModelParameters!$D$6:$K$10,MATCH($O84,ModelParameters!$B$6:$B$10,0),MATCH($J84,ModelParameters!$D$5:$K$5,0)))</f>
        <v>0.075</v>
      </c>
      <c r="R84" s="71">
        <f>IF(B84="",0,INDEX(ModelParameters!$D$13:$K$17,MATCH($O84,ModelParameters!$B$13:$B$17,0),MATCH($J84,ModelParameters!$D$5:$K$5,0)))</f>
        <v>0</v>
      </c>
      <c r="S84" s="160">
        <f>IF(B84="",0,MIN(IF($N84="Other Bond TM",ModelParameters!$N$21,1)*(P84*Q84+R84),1))</f>
        <v>0.075</v>
      </c>
      <c r="T84" s="85">
        <f>IF(B84="",0,$S84*$K84)</f>
        <v>1492.7663560173134</v>
      </c>
      <c r="U84" s="85">
        <f>IF(B84="",0,IF(OR(H84=MappingTables!$C$34,H84=MappingTables!$C$35),T84,0))</f>
        <v>0</v>
      </c>
      <c r="V84" s="85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0.054776304963434752</v>
      </c>
      <c r="W84" s="85">
        <f>IF(B84="",0,+$T84*$V84)</f>
        <v>81.768225156359584</v>
      </c>
      <c r="X84" s="85">
        <f>IF(B84="",0,IF(OR(H84=MappingTables!$C$34,H84=MappingTables!$C$35),W84,0))</f>
        <v>0</v>
      </c>
    </row>
    <row r="85" spans="2:24" s="0" customFormat="0" ht="15">
      <c r="B85" s="69">
        <v>15709649</v>
      </c>
      <c r="C85" s="70" t="s">
        <v>290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181</v>
      </c>
      <c r="J85" s="71">
        <f>IF(OR(I85=0,I85=""),"unrated",VLOOKUP(I85,MappingTables!$B$19:$C$31,2,FALSE))</f>
        <v>3</v>
      </c>
      <c r="K85" s="72">
        <v>29499.680611200808</v>
      </c>
      <c r="L85" s="70">
        <v>14.110141579042664</v>
      </c>
      <c r="M85" s="71">
        <f>IF(L85&lt;1,1,L85)</f>
        <v>14.110141579042664</v>
      </c>
      <c r="N85" s="70" t="s">
        <v>141</v>
      </c>
      <c r="O85" s="71">
        <f>INDEX(DurClassMapping,MATCH(M85,MappingTables!$D$4:$D$8,-1),1)</f>
        <v>3</v>
      </c>
      <c r="P85" s="73">
        <f>IF(M85=$A$1,1,$M85-INDEX(MappingTables!$E$4:$E$8,MATCH(O85,MappingTables!$B$4:$B$8,0)))</f>
        <v>4.1101415790426648</v>
      </c>
      <c r="Q85" s="71">
        <f>IF(B85="",0,INDEX(ModelParameters!$D$6:$K$10,MATCH($O85,ModelParameters!$B$6:$B$10,0),MATCH($J85,ModelParameters!$D$5:$K$5,0)))</f>
        <v>0.01</v>
      </c>
      <c r="R85" s="71">
        <f>IF(B85="",0,INDEX(ModelParameters!$D$13:$K$17,MATCH($O85,ModelParameters!$B$13:$B$17,0),MATCH($J85,ModelParameters!$D$5:$K$5,0)))</f>
        <v>0.2</v>
      </c>
      <c r="S85" s="160">
        <f>IF(B85="",0,MIN(IF($N85="Other Bond TM",ModelParameters!$N$21,1)*(P85*Q85+R85),1))</f>
        <v>0.24110141579042664</v>
      </c>
      <c r="T85" s="85">
        <f>IF(B85="",0,$S85*$K85)</f>
        <v>7112.4147607259136</v>
      </c>
      <c r="U85" s="85">
        <f>IF(B85="",0,IF(OR(H85=MappingTables!$C$34,H85=MappingTables!$C$35),T85,0))</f>
        <v>0</v>
      </c>
      <c r="V85" s="85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0.054776304963434752</v>
      </c>
      <c r="W85" s="85">
        <f>IF(B85="",0,+$T85*$V85)</f>
        <v>389.59179995995752</v>
      </c>
      <c r="X85" s="85">
        <f>IF(B85="",0,IF(OR(H85=MappingTables!$C$34,H85=MappingTables!$C$35),W85,0))</f>
        <v>0</v>
      </c>
    </row>
    <row r="86" spans="2:24" s="0" customFormat="0" ht="15">
      <c r="B86" s="69" t="s">
        <v>182</v>
      </c>
      <c r="C86" s="70" t="s">
        <v>183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184</v>
      </c>
      <c r="J86" s="71">
        <f>IF(OR(I86=0,I86=""),"unrated",VLOOKUP(I86,MappingTables!$B$19:$C$31,2,FALSE))</f>
        <v>5</v>
      </c>
      <c r="K86" s="72">
        <v>152.6992006005297</v>
      </c>
      <c r="L86" s="70">
        <v>6.7752322763507992</v>
      </c>
      <c r="M86" s="71">
        <f>IF(L86&lt;1,1,L86)</f>
        <v>6.7752322763507992</v>
      </c>
      <c r="N86" s="70" t="s">
        <v>141</v>
      </c>
      <c r="O86" s="71">
        <f>INDEX(DurClassMapping,MATCH(M86,MappingTables!$D$4:$D$8,-1),1)</f>
        <v>2</v>
      </c>
      <c r="P86" s="73">
        <f>IF(M86=$A$1,1,$M86-INDEX(MappingTables!$E$4:$E$8,MATCH(O86,MappingTables!$B$4:$B$8,0)))</f>
        <v>1.775232276350799</v>
      </c>
      <c r="Q86" s="71">
        <f>IF(B86="",0,INDEX(ModelParameters!$D$6:$K$10,MATCH($O86,ModelParameters!$B$6:$B$10,0),MATCH($J86,ModelParameters!$D$5:$K$5,0)))</f>
        <v>0.042</v>
      </c>
      <c r="R86" s="71">
        <f>IF(B86="",0,INDEX(ModelParameters!$D$13:$K$17,MATCH($O86,ModelParameters!$B$13:$B$17,0),MATCH($J86,ModelParameters!$D$5:$K$5,0)))</f>
        <v>0.375</v>
      </c>
      <c r="S86" s="160">
        <f>IF(B86="",0,MIN(IF($N86="Other Bond TM",ModelParameters!$N$21,1)*(P86*Q86+R86),1))</f>
        <v>0.44955975560673352</v>
      </c>
      <c r="T86" s="85">
        <f>IF(B86="",0,$S86*$K86)</f>
        <v>68.647415303317712</v>
      </c>
      <c r="U86" s="85">
        <f>IF(B86="",0,IF(OR(H86=MappingTables!$C$34,H86=MappingTables!$C$35),T86,0))</f>
        <v>0</v>
      </c>
      <c r="V86" s="85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0.054776304963434752</v>
      </c>
      <c r="W86" s="85">
        <f>IF(B86="",0,+$T86*$V86)</f>
        <v>3.7602517556060888</v>
      </c>
      <c r="X86" s="85">
        <f>IF(B86="",0,IF(OR(H86=MappingTables!$C$34,H86=MappingTables!$C$35),W86,0))</f>
        <v>0</v>
      </c>
    </row>
    <row r="87" spans="2:24" s="0" customFormat="0" ht="15">
      <c r="B87" s="69">
        <v>22406780</v>
      </c>
      <c r="C87" s="70" t="s">
        <v>257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181</v>
      </c>
      <c r="J87" s="71">
        <f>IF(OR(I87=0,I87=""),"unrated",VLOOKUP(I87,MappingTables!$B$19:$C$31,2,FALSE))</f>
        <v>3</v>
      </c>
      <c r="K87" s="72">
        <v>12.766133078766038</v>
      </c>
      <c r="L87" s="70">
        <v>6.5403252251257032</v>
      </c>
      <c r="M87" s="71">
        <f>IF(L87&lt;1,1,L87)</f>
        <v>6.5403252251257032</v>
      </c>
      <c r="N87" s="70" t="s">
        <v>141</v>
      </c>
      <c r="O87" s="71">
        <f>INDEX(DurClassMapping,MATCH(M87,MappingTables!$D$4:$D$8,-1),1)</f>
        <v>2</v>
      </c>
      <c r="P87" s="73">
        <f>IF(M87=$A$1,1,$M87-INDEX(MappingTables!$E$4:$E$8,MATCH(O87,MappingTables!$B$4:$B$8,0)))</f>
        <v>1.5403252251257032</v>
      </c>
      <c r="Q87" s="71">
        <f>IF(B87="",0,INDEX(ModelParameters!$D$6:$K$10,MATCH($O87,ModelParameters!$B$6:$B$10,0),MATCH($J87,ModelParameters!$D$5:$K$5,0)))</f>
        <v>0.015</v>
      </c>
      <c r="R87" s="71">
        <f>IF(B87="",0,INDEX(ModelParameters!$D$13:$K$17,MATCH($O87,ModelParameters!$B$13:$B$17,0),MATCH($J87,ModelParameters!$D$5:$K$5,0)))</f>
        <v>0.125</v>
      </c>
      <c r="S87" s="160">
        <f>IF(B87="",0,MIN(IF($N87="Other Bond TM",ModelParameters!$N$21,1)*(P87*Q87+R87),1))</f>
        <v>0.14810487837688554</v>
      </c>
      <c r="T87" s="85">
        <f>IF(B87="",0,$S87*$K87)</f>
        <v>1.8907265869737792</v>
      </c>
      <c r="U87" s="85">
        <f>IF(B87="",0,IF(OR(H87=MappingTables!$C$34,H87=MappingTables!$C$35),T87,0))</f>
        <v>0</v>
      </c>
      <c r="V87" s="85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0.054776304963434752</v>
      </c>
      <c r="W87" s="85">
        <f>IF(B87="",0,+$T87*$V87)</f>
        <v>0.10356701613054988</v>
      </c>
      <c r="X87" s="85">
        <f>IF(B87="",0,IF(OR(H87=MappingTables!$C$34,H87=MappingTables!$C$35),W87,0))</f>
        <v>0</v>
      </c>
    </row>
    <row r="88" spans="2:24" s="0" customFormat="0" ht="15">
      <c r="B88" s="69">
        <v>17000742</v>
      </c>
      <c r="C88" s="70" t="s">
        <v>291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181</v>
      </c>
      <c r="J88" s="71">
        <f>IF(OR(I88=0,I88=""),"unrated",VLOOKUP(I88,MappingTables!$B$19:$C$31,2,FALSE))</f>
        <v>3</v>
      </c>
      <c r="K88" s="72">
        <v>3093.05932257536</v>
      </c>
      <c r="L88" s="70">
        <v>6.1892340876527136</v>
      </c>
      <c r="M88" s="71">
        <f>IF(L88&lt;1,1,L88)</f>
        <v>6.1892340876527136</v>
      </c>
      <c r="N88" s="70" t="s">
        <v>141</v>
      </c>
      <c r="O88" s="71">
        <f>INDEX(DurClassMapping,MATCH(M88,MappingTables!$D$4:$D$8,-1),1)</f>
        <v>2</v>
      </c>
      <c r="P88" s="73">
        <f>IF(M88=$A$1,1,$M88-INDEX(MappingTables!$E$4:$E$8,MATCH(O88,MappingTables!$B$4:$B$8,0)))</f>
        <v>1.1892340876527134</v>
      </c>
      <c r="Q88" s="71">
        <f>IF(B88="",0,INDEX(ModelParameters!$D$6:$K$10,MATCH($O88,ModelParameters!$B$6:$B$10,0),MATCH($J88,ModelParameters!$D$5:$K$5,0)))</f>
        <v>0.015</v>
      </c>
      <c r="R88" s="71">
        <f>IF(B88="",0,INDEX(ModelParameters!$D$13:$K$17,MATCH($O88,ModelParameters!$B$13:$B$17,0),MATCH($J88,ModelParameters!$D$5:$K$5,0)))</f>
        <v>0.125</v>
      </c>
      <c r="S88" s="160">
        <f>IF(B88="",0,MIN(IF($N88="Other Bond TM",ModelParameters!$N$21,1)*(P88*Q88+R88),1))</f>
        <v>0.1428385113147907</v>
      </c>
      <c r="T88" s="85">
        <f>IF(B88="",0,$S88*$K88)</f>
        <v>441.80798904499944</v>
      </c>
      <c r="U88" s="85">
        <f>IF(B88="",0,IF(OR(H88=MappingTables!$C$34,H88=MappingTables!$C$35),T88,0))</f>
        <v>0</v>
      </c>
      <c r="V88" s="85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0.054776304963434752</v>
      </c>
      <c r="W88" s="85">
        <f>IF(B88="",0,+$T88*$V88)</f>
        <v>24.200609143210732</v>
      </c>
      <c r="X88" s="85">
        <f>IF(B88="",0,IF(OR(H88=MappingTables!$C$34,H88=MappingTables!$C$35),W88,0))</f>
        <v>0</v>
      </c>
    </row>
    <row r="89" spans="2:24" s="0" customFormat="0" ht="15">
      <c r="B89" s="69" t="s">
        <v>292</v>
      </c>
      <c r="C89" s="70" t="s">
        <v>293</v>
      </c>
      <c r="D89" s="70" t="s">
        <v>1</v>
      </c>
      <c r="E89" s="70" t="s">
        <v>1</v>
      </c>
      <c r="F89" s="70"/>
      <c r="G89" s="70" t="s">
        <v>61</v>
      </c>
      <c r="H89" s="70" t="s">
        <v>178</v>
      </c>
      <c r="I89" s="70" t="s">
        <v>204</v>
      </c>
      <c r="J89" s="71">
        <f>IF(OR(I89=0,I89=""),"unrated",VLOOKUP(I89,MappingTables!$B$19:$C$31,2,FALSE))</f>
        <v>6</v>
      </c>
      <c r="K89" s="72">
        <v>289.25532620859168</v>
      </c>
      <c r="L89" s="70">
        <v>3.1470257750233424</v>
      </c>
      <c r="M89" s="71">
        <f>IF(L89&lt;1,1,L89)</f>
        <v>3.1470257750233424</v>
      </c>
      <c r="N89" s="70" t="s">
        <v>141</v>
      </c>
      <c r="O89" s="71">
        <f>INDEX(DurClassMapping,MATCH(M89,MappingTables!$D$4:$D$8,-1),1)</f>
        <v>1</v>
      </c>
      <c r="P89" s="73">
        <f>IF(M89=$A$1,1,$M89-INDEX(MappingTables!$E$4:$E$8,MATCH(O89,MappingTables!$B$4:$B$8,0)))</f>
        <v>3.1470257750233424</v>
      </c>
      <c r="Q89" s="71">
        <f>IF(B89="",0,INDEX(ModelParameters!$D$6:$K$10,MATCH($O89,ModelParameters!$B$6:$B$10,0),MATCH($J89,ModelParameters!$D$5:$K$5,0)))</f>
        <v>0.075</v>
      </c>
      <c r="R89" s="71">
        <f>IF(B89="",0,INDEX(ModelParameters!$D$13:$K$17,MATCH($O89,ModelParameters!$B$13:$B$17,0),MATCH($J89,ModelParameters!$D$5:$K$5,0)))</f>
        <v>0</v>
      </c>
      <c r="S89" s="160">
        <f>IF(B89="",0,MIN(IF($N89="Other Bond TM",ModelParameters!$N$21,1)*(P89*Q89+R89),1))</f>
        <v>0.23602693312675068</v>
      </c>
      <c r="T89" s="85">
        <f>IF(B89="",0,$S89*$K89)</f>
        <v>68.272047535591728</v>
      </c>
      <c r="U89" s="85">
        <f>IF(B89="",0,IF(OR(H89=MappingTables!$C$34,H89=MappingTables!$C$35),T89,0))</f>
        <v>0</v>
      </c>
      <c r="V89" s="85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0.054776304963434752</v>
      </c>
      <c r="W89" s="85">
        <f>IF(B89="",0,+$T89*$V89)</f>
        <v>3.7396904962876864</v>
      </c>
      <c r="X89" s="85">
        <f>IF(B89="",0,IF(OR(H89=MappingTables!$C$34,H89=MappingTables!$C$35),W89,0))</f>
        <v>0</v>
      </c>
    </row>
    <row r="90" spans="2:24" s="0" customFormat="0" ht="15">
      <c r="B90" s="69">
        <v>12187816</v>
      </c>
      <c r="C90" s="70" t="s">
        <v>294</v>
      </c>
      <c r="D90" s="70" t="s">
        <v>1</v>
      </c>
      <c r="E90" s="70" t="s">
        <v>1</v>
      </c>
      <c r="F90" s="70"/>
      <c r="G90" s="70" t="s">
        <v>61</v>
      </c>
      <c r="H90" s="70" t="s">
        <v>178</v>
      </c>
      <c r="I90" s="70" t="s">
        <v>181</v>
      </c>
      <c r="J90" s="71">
        <f>IF(OR(I90=0,I90=""),"unrated",VLOOKUP(I90,MappingTables!$B$19:$C$31,2,FALSE))</f>
        <v>3</v>
      </c>
      <c r="K90" s="72">
        <v>14708.154274361794</v>
      </c>
      <c r="L90" s="70">
        <v>2.3717134205609772</v>
      </c>
      <c r="M90" s="71">
        <f>IF(L90&lt;1,1,L90)</f>
        <v>2.3717134205609772</v>
      </c>
      <c r="N90" s="70" t="s">
        <v>141</v>
      </c>
      <c r="O90" s="71">
        <f>INDEX(DurClassMapping,MATCH(M90,MappingTables!$D$4:$D$8,-1),1)</f>
        <v>1</v>
      </c>
      <c r="P90" s="73">
        <f>IF(M90=$A$1,1,$M90-INDEX(MappingTables!$E$4:$E$8,MATCH(O90,MappingTables!$B$4:$B$8,0)))</f>
        <v>2.3717134205609772</v>
      </c>
      <c r="Q90" s="71">
        <f>IF(B90="",0,INDEX(ModelParameters!$D$6:$K$10,MATCH($O90,ModelParameters!$B$6:$B$10,0),MATCH($J90,ModelParameters!$D$5:$K$5,0)))</f>
        <v>0.025</v>
      </c>
      <c r="R90" s="71">
        <f>IF(B90="",0,INDEX(ModelParameters!$D$13:$K$17,MATCH($O90,ModelParameters!$B$13:$B$17,0),MATCH($J90,ModelParameters!$D$5:$K$5,0)))</f>
        <v>0</v>
      </c>
      <c r="S90" s="160">
        <f>IF(B90="",0,MIN(IF($N90="Other Bond TM",ModelParameters!$N$21,1)*(P90*Q90+R90),1))</f>
        <v>0.05929283551402444</v>
      </c>
      <c r="T90" s="85">
        <f>IF(B90="",0,$S90*$K90)</f>
        <v>872.08817210462928</v>
      </c>
      <c r="U90" s="85">
        <f>IF(B90="",0,IF(OR(H90=MappingTables!$C$34,H90=MappingTables!$C$35),T90,0))</f>
        <v>0</v>
      </c>
      <c r="V90" s="85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0.054776304963434752</v>
      </c>
      <c r="W90" s="85">
        <f>IF(B90="",0,+$T90*$V90)</f>
        <v>47.769767670207552</v>
      </c>
      <c r="X90" s="85">
        <f>IF(B90="",0,IF(OR(H90=MappingTables!$C$34,H90=MappingTables!$C$35),W90,0))</f>
        <v>0</v>
      </c>
    </row>
    <row r="91" spans="2:24" s="0" customFormat="0" ht="15">
      <c r="B91" s="69">
        <v>7514613</v>
      </c>
      <c r="C91" s="70" t="s">
        <v>295</v>
      </c>
      <c r="D91" s="70" t="s">
        <v>1</v>
      </c>
      <c r="E91" s="70" t="s">
        <v>1</v>
      </c>
      <c r="F91" s="70"/>
      <c r="G91" s="70" t="s">
        <v>61</v>
      </c>
      <c r="H91" s="70" t="s">
        <v>178</v>
      </c>
      <c r="I91" s="70" t="s">
        <v>179</v>
      </c>
      <c r="J91" s="71">
        <f>IF(OR(I91=0,I91=""),"unrated",VLOOKUP(I91,MappingTables!$B$19:$C$31,2,FALSE))</f>
        <v>4</v>
      </c>
      <c r="K91" s="72">
        <v>751.30610223019904</v>
      </c>
      <c r="L91" s="70">
        <v>2.812991344871518</v>
      </c>
      <c r="M91" s="71">
        <f>IF(L91&lt;1,1,L91)</f>
        <v>2.812991344871518</v>
      </c>
      <c r="N91" s="70" t="s">
        <v>141</v>
      </c>
      <c r="O91" s="71">
        <f>INDEX(DurClassMapping,MATCH(M91,MappingTables!$D$4:$D$8,-1),1)</f>
        <v>1</v>
      </c>
      <c r="P91" s="73">
        <f>IF(M91=$A$1,1,$M91-INDEX(MappingTables!$E$4:$E$8,MATCH(O91,MappingTables!$B$4:$B$8,0)))</f>
        <v>2.812991344871518</v>
      </c>
      <c r="Q91" s="71">
        <f>IF(B91="",0,INDEX(ModelParameters!$D$6:$K$10,MATCH($O91,ModelParameters!$B$6:$B$10,0),MATCH($J91,ModelParameters!$D$5:$K$5,0)))</f>
        <v>0.045</v>
      </c>
      <c r="R91" s="71">
        <f>IF(B91="",0,INDEX(ModelParameters!$D$13:$K$17,MATCH($O91,ModelParameters!$B$13:$B$17,0),MATCH($J91,ModelParameters!$D$5:$K$5,0)))</f>
        <v>0</v>
      </c>
      <c r="S91" s="160">
        <f>IF(B91="",0,MIN(IF($N91="Other Bond TM",ModelParameters!$N$21,1)*(P91*Q91+R91),1))</f>
        <v>0.1265846105192183</v>
      </c>
      <c r="T91" s="85">
        <f>IF(B91="",0,$S91*$K91)</f>
        <v>95.103790331521744</v>
      </c>
      <c r="U91" s="85">
        <f>IF(B91="",0,IF(OR(H91=MappingTables!$C$34,H91=MappingTables!$C$35),T91,0))</f>
        <v>0</v>
      </c>
      <c r="V91" s="85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0.054776304963434752</v>
      </c>
      <c r="W91" s="85">
        <f>IF(B91="",0,+$T91*$V91)</f>
        <v>5.2094342223779936</v>
      </c>
      <c r="X91" s="85">
        <f>IF(B91="",0,IF(OR(H91=MappingTables!$C$34,H91=MappingTables!$C$35),W91,0))</f>
        <v>0</v>
      </c>
    </row>
    <row r="92" spans="2:24" s="0" customFormat="0" ht="15">
      <c r="B92" s="69" t="s">
        <v>296</v>
      </c>
      <c r="C92" s="70" t="s">
        <v>297</v>
      </c>
      <c r="D92" s="70" t="s">
        <v>1</v>
      </c>
      <c r="E92" s="70" t="s">
        <v>1</v>
      </c>
      <c r="F92" s="70"/>
      <c r="G92" s="70" t="s">
        <v>61</v>
      </c>
      <c r="H92" s="70" t="s">
        <v>178</v>
      </c>
      <c r="I92" s="70" t="s">
        <v>188</v>
      </c>
      <c r="J92" s="71">
        <f>IF(OR(I92=0,I92=""),"unrated",VLOOKUP(I92,MappingTables!$B$19:$C$31,2,FALSE))</f>
        <v>2</v>
      </c>
      <c r="K92" s="72">
        <v>8.3695134075002288</v>
      </c>
      <c r="L92" s="70">
        <v>2.2406057907007896</v>
      </c>
      <c r="M92" s="71">
        <f>IF(L92&lt;1,1,L92)</f>
        <v>2.2406057907007896</v>
      </c>
      <c r="N92" s="70" t="s">
        <v>141</v>
      </c>
      <c r="O92" s="71">
        <f>INDEX(DurClassMapping,MATCH(M92,MappingTables!$D$4:$D$8,-1),1)</f>
        <v>1</v>
      </c>
      <c r="P92" s="73">
        <f>IF(M92=$A$1,1,$M92-INDEX(MappingTables!$E$4:$E$8,MATCH(O92,MappingTables!$B$4:$B$8,0)))</f>
        <v>2.2406057907007896</v>
      </c>
      <c r="Q92" s="71">
        <f>IF(B92="",0,INDEX(ModelParameters!$D$6:$K$10,MATCH($O92,ModelParameters!$B$6:$B$10,0),MATCH($J92,ModelParameters!$D$5:$K$5,0)))</f>
        <v>0.013999999999999998</v>
      </c>
      <c r="R92" s="71">
        <f>IF(B92="",0,INDEX(ModelParameters!$D$13:$K$17,MATCH($O92,ModelParameters!$B$13:$B$17,0),MATCH($J92,ModelParameters!$D$5:$K$5,0)))</f>
        <v>0</v>
      </c>
      <c r="S92" s="160">
        <f>IF(B92="",0,MIN(IF($N92="Other Bond TM",ModelParameters!$N$21,1)*(P92*Q92+R92),1))</f>
        <v>0.031368481069811048</v>
      </c>
      <c r="T92" s="85">
        <f>IF(B92="",0,$S92*$K92)</f>
        <v>0.26253892288670072</v>
      </c>
      <c r="U92" s="85">
        <f>IF(B92="",0,IF(OR(H92=MappingTables!$C$34,H92=MappingTables!$C$35),T92,0))</f>
        <v>0</v>
      </c>
      <c r="V92" s="85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0.054776304963434752</v>
      </c>
      <c r="W92" s="85">
        <f>IF(B92="",0,+$T92*$V92)</f>
        <v>0.014380912104813598</v>
      </c>
      <c r="X92" s="85">
        <f>IF(B92="",0,IF(OR(H92=MappingTables!$C$34,H92=MappingTables!$C$35),W92,0))</f>
        <v>0</v>
      </c>
    </row>
    <row r="93" spans="2:24" s="0" customFormat="0" ht="15">
      <c r="B93" s="69">
        <v>18718604</v>
      </c>
      <c r="C93" s="70" t="s">
        <v>298</v>
      </c>
      <c r="D93" s="70" t="s">
        <v>1</v>
      </c>
      <c r="E93" s="70" t="s">
        <v>1</v>
      </c>
      <c r="F93" s="70"/>
      <c r="G93" s="70" t="s">
        <v>61</v>
      </c>
      <c r="H93" s="70" t="s">
        <v>178</v>
      </c>
      <c r="I93" s="70" t="s">
        <v>181</v>
      </c>
      <c r="J93" s="71">
        <f>IF(OR(I93=0,I93=""),"unrated",VLOOKUP(I93,MappingTables!$B$19:$C$31,2,FALSE))</f>
        <v>3</v>
      </c>
      <c r="K93" s="72">
        <v>5424.1875075596056</v>
      </c>
      <c r="L93" s="70">
        <v>2.8695877633329468</v>
      </c>
      <c r="M93" s="71">
        <f>IF(L93&lt;1,1,L93)</f>
        <v>2.8695877633329468</v>
      </c>
      <c r="N93" s="70" t="s">
        <v>141</v>
      </c>
      <c r="O93" s="71">
        <f>INDEX(DurClassMapping,MATCH(M93,MappingTables!$D$4:$D$8,-1),1)</f>
        <v>1</v>
      </c>
      <c r="P93" s="73">
        <f>IF(M93=$A$1,1,$M93-INDEX(MappingTables!$E$4:$E$8,MATCH(O93,MappingTables!$B$4:$B$8,0)))</f>
        <v>2.8695877633329468</v>
      </c>
      <c r="Q93" s="71">
        <f>IF(B93="",0,INDEX(ModelParameters!$D$6:$K$10,MATCH($O93,ModelParameters!$B$6:$B$10,0),MATCH($J93,ModelParameters!$D$5:$K$5,0)))</f>
        <v>0.025</v>
      </c>
      <c r="R93" s="71">
        <f>IF(B93="",0,INDEX(ModelParameters!$D$13:$K$17,MATCH($O93,ModelParameters!$B$13:$B$17,0),MATCH($J93,ModelParameters!$D$5:$K$5,0)))</f>
        <v>0</v>
      </c>
      <c r="S93" s="160">
        <f>IF(B93="",0,MIN(IF($N93="Other Bond TM",ModelParameters!$N$21,1)*(P93*Q93+R93),1))</f>
        <v>0.071739694083323672</v>
      </c>
      <c r="T93" s="85">
        <f>IF(B93="",0,$S93*$K93)</f>
        <v>389.129552442912</v>
      </c>
      <c r="U93" s="85">
        <f>IF(B93="",0,IF(OR(H93=MappingTables!$C$34,H93=MappingTables!$C$35),T93,0))</f>
        <v>0</v>
      </c>
      <c r="V93" s="85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0.054776304963434752</v>
      </c>
      <c r="W93" s="85">
        <f>IF(B93="",0,+$T93*$V93)</f>
        <v>21.315079034897828</v>
      </c>
      <c r="X93" s="85">
        <f>IF(B93="",0,IF(OR(H93=MappingTables!$C$34,H93=MappingTables!$C$35),W93,0))</f>
        <v>0</v>
      </c>
    </row>
    <row r="94" spans="2:24" s="0" customFormat="0" ht="15">
      <c r="B94" s="69">
        <v>15851015</v>
      </c>
      <c r="C94" s="70" t="s">
        <v>299</v>
      </c>
      <c r="D94" s="70" t="s">
        <v>1</v>
      </c>
      <c r="E94" s="70" t="s">
        <v>1</v>
      </c>
      <c r="F94" s="70"/>
      <c r="G94" s="70" t="s">
        <v>61</v>
      </c>
      <c r="H94" s="70" t="s">
        <v>178</v>
      </c>
      <c r="I94" s="70" t="s">
        <v>181</v>
      </c>
      <c r="J94" s="71">
        <f>IF(OR(I94=0,I94=""),"unrated",VLOOKUP(I94,MappingTables!$B$19:$C$31,2,FALSE))</f>
        <v>3</v>
      </c>
      <c r="K94" s="72">
        <v>5702.2310992207976</v>
      </c>
      <c r="L94" s="70">
        <v>0.78541138193691168</v>
      </c>
      <c r="M94" s="71">
        <f>IF(L94&lt;1,1,L94)</f>
        <v>1</v>
      </c>
      <c r="N94" s="70" t="s">
        <v>141</v>
      </c>
      <c r="O94" s="71">
        <f>INDEX(DurClassMapping,MATCH(M94,MappingTables!$D$4:$D$8,-1),1)</f>
        <v>1</v>
      </c>
      <c r="P94" s="73">
        <f>IF(M94=$A$1,1,$M94-INDEX(MappingTables!$E$4:$E$8,MATCH(O94,MappingTables!$B$4:$B$8,0)))</f>
        <v>1</v>
      </c>
      <c r="Q94" s="71">
        <f>IF(B94="",0,INDEX(ModelParameters!$D$6:$K$10,MATCH($O94,ModelParameters!$B$6:$B$10,0),MATCH($J94,ModelParameters!$D$5:$K$5,0)))</f>
        <v>0.025</v>
      </c>
      <c r="R94" s="71">
        <f>IF(B94="",0,INDEX(ModelParameters!$D$13:$K$17,MATCH($O94,ModelParameters!$B$13:$B$17,0),MATCH($J94,ModelParameters!$D$5:$K$5,0)))</f>
        <v>0</v>
      </c>
      <c r="S94" s="160">
        <f>IF(B94="",0,MIN(IF($N94="Other Bond TM",ModelParameters!$N$21,1)*(P94*Q94+R94),1))</f>
        <v>0.025</v>
      </c>
      <c r="T94" s="85">
        <f>IF(B94="",0,$S94*$K94)</f>
        <v>142.55577748051994</v>
      </c>
      <c r="U94" s="85">
        <f>IF(B94="",0,IF(OR(H94=MappingTables!$C$34,H94=MappingTables!$C$35),T94,0))</f>
        <v>0</v>
      </c>
      <c r="V94" s="85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0.054776304963434752</v>
      </c>
      <c r="W94" s="85">
        <f>IF(B94="",0,+$T94*$V94)</f>
        <v>7.808678741572504</v>
      </c>
      <c r="X94" s="85">
        <f>IF(B94="",0,IF(OR(H94=MappingTables!$C$34,H94=MappingTables!$C$35),W94,0))</f>
        <v>0</v>
      </c>
    </row>
    <row r="95" spans="2:24" s="0" customFormat="0" ht="15">
      <c r="B95" s="69">
        <v>7745746</v>
      </c>
      <c r="C95" s="70" t="s">
        <v>247</v>
      </c>
      <c r="D95" s="70" t="s">
        <v>1</v>
      </c>
      <c r="E95" s="70" t="s">
        <v>1</v>
      </c>
      <c r="F95" s="70"/>
      <c r="G95" s="70" t="s">
        <v>61</v>
      </c>
      <c r="H95" s="70" t="s">
        <v>178</v>
      </c>
      <c r="I95" s="70" t="s">
        <v>181</v>
      </c>
      <c r="J95" s="71">
        <f>IF(OR(I95=0,I95=""),"unrated",VLOOKUP(I95,MappingTables!$B$19:$C$31,2,FALSE))</f>
        <v>3</v>
      </c>
      <c r="K95" s="72">
        <v>303.0363361920182</v>
      </c>
      <c r="L95" s="70">
        <v>0.082188815063659664</v>
      </c>
      <c r="M95" s="71">
        <f>IF(L95&lt;1,1,L95)</f>
        <v>1</v>
      </c>
      <c r="N95" s="70" t="s">
        <v>141</v>
      </c>
      <c r="O95" s="71">
        <f>INDEX(DurClassMapping,MATCH(M95,MappingTables!$D$4:$D$8,-1),1)</f>
        <v>1</v>
      </c>
      <c r="P95" s="73">
        <f>IF(M95=$A$1,1,$M95-INDEX(MappingTables!$E$4:$E$8,MATCH(O95,MappingTables!$B$4:$B$8,0)))</f>
        <v>1</v>
      </c>
      <c r="Q95" s="71">
        <f>IF(B95="",0,INDEX(ModelParameters!$D$6:$K$10,MATCH($O95,ModelParameters!$B$6:$B$10,0),MATCH($J95,ModelParameters!$D$5:$K$5,0)))</f>
        <v>0.025</v>
      </c>
      <c r="R95" s="71">
        <f>IF(B95="",0,INDEX(ModelParameters!$D$13:$K$17,MATCH($O95,ModelParameters!$B$13:$B$17,0),MATCH($J95,ModelParameters!$D$5:$K$5,0)))</f>
        <v>0</v>
      </c>
      <c r="S95" s="160">
        <f>IF(B95="",0,MIN(IF($N95="Other Bond TM",ModelParameters!$N$21,1)*(P95*Q95+R95),1))</f>
        <v>0.025</v>
      </c>
      <c r="T95" s="85">
        <f>IF(B95="",0,$S95*$K95)</f>
        <v>7.575908404800456</v>
      </c>
      <c r="U95" s="85">
        <f>IF(B95="",0,IF(OR(H95=MappingTables!$C$34,H95=MappingTables!$C$35),T95,0))</f>
        <v>0</v>
      </c>
      <c r="V95" s="85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0.054776304963434752</v>
      </c>
      <c r="W95" s="85">
        <f>IF(B95="",0,+$T95*$V95)</f>
        <v>0.41498026915639824</v>
      </c>
      <c r="X95" s="85">
        <f>IF(B95="",0,IF(OR(H95=MappingTables!$C$34,H95=MappingTables!$C$35),W95,0))</f>
        <v>0</v>
      </c>
    </row>
    <row r="96" spans="2:24" s="0" customFormat="0" ht="15">
      <c r="B96" s="69">
        <v>17400151</v>
      </c>
      <c r="C96" s="70" t="s">
        <v>300</v>
      </c>
      <c r="D96" s="70" t="s">
        <v>1</v>
      </c>
      <c r="E96" s="70" t="s">
        <v>1</v>
      </c>
      <c r="F96" s="70"/>
      <c r="G96" s="70" t="s">
        <v>61</v>
      </c>
      <c r="H96" s="70" t="s">
        <v>178</v>
      </c>
      <c r="I96" s="70" t="s">
        <v>220</v>
      </c>
      <c r="J96" s="71">
        <f>IF(OR(I96=0,I96=""),"unrated",VLOOKUP(I96,MappingTables!$B$19:$C$31,2,FALSE))</f>
        <v>1</v>
      </c>
      <c r="K96" s="72">
        <v>112.25329131420704</v>
      </c>
      <c r="L96" s="70">
        <v>0.56712966857090216</v>
      </c>
      <c r="M96" s="71">
        <f>IF(L96&lt;1,1,L96)</f>
        <v>1</v>
      </c>
      <c r="N96" s="70" t="s">
        <v>141</v>
      </c>
      <c r="O96" s="71">
        <f>INDEX(DurClassMapping,MATCH(M96,MappingTables!$D$4:$D$8,-1),1)</f>
        <v>1</v>
      </c>
      <c r="P96" s="73">
        <f>IF(M96=$A$1,1,$M96-INDEX(MappingTables!$E$4:$E$8,MATCH(O96,MappingTables!$B$4:$B$8,0)))</f>
        <v>1</v>
      </c>
      <c r="Q96" s="71">
        <f>IF(B96="",0,INDEX(ModelParameters!$D$6:$K$10,MATCH($O96,ModelParameters!$B$6:$B$10,0),MATCH($J96,ModelParameters!$D$5:$K$5,0)))</f>
        <v>0.011000000000000002</v>
      </c>
      <c r="R96" s="71">
        <f>IF(B96="",0,INDEX(ModelParameters!$D$13:$K$17,MATCH($O96,ModelParameters!$B$13:$B$17,0),MATCH($J96,ModelParameters!$D$5:$K$5,0)))</f>
        <v>0</v>
      </c>
      <c r="S96" s="160">
        <f>IF(B96="",0,MIN(IF($N96="Other Bond TM",ModelParameters!$N$21,1)*(P96*Q96+R96),1))</f>
        <v>0.011000000000000002</v>
      </c>
      <c r="T96" s="85">
        <f>IF(B96="",0,$S96*$K96)</f>
        <v>1.2347862044562776</v>
      </c>
      <c r="U96" s="85">
        <f>IF(B96="",0,IF(OR(H96=MappingTables!$C$34,H96=MappingTables!$C$35),T96,0))</f>
        <v>0</v>
      </c>
      <c r="V96" s="85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0.054776304963434752</v>
      </c>
      <c r="W96" s="85">
        <f>IF(B96="",0,+$T96*$V96)</f>
        <v>0.067637025699939168</v>
      </c>
      <c r="X96" s="85">
        <f>IF(B96="",0,IF(OR(H96=MappingTables!$C$34,H96=MappingTables!$C$35),W96,0))</f>
        <v>0</v>
      </c>
    </row>
    <row r="97" spans="2:24" s="0" customFormat="0" ht="15">
      <c r="B97" s="69">
        <v>12495004</v>
      </c>
      <c r="C97" s="70" t="s">
        <v>301</v>
      </c>
      <c r="D97" s="70" t="s">
        <v>1</v>
      </c>
      <c r="E97" s="70" t="s">
        <v>1</v>
      </c>
      <c r="F97" s="70"/>
      <c r="G97" s="70" t="s">
        <v>61</v>
      </c>
      <c r="H97" s="70" t="s">
        <v>178</v>
      </c>
      <c r="I97" s="70" t="s">
        <v>181</v>
      </c>
      <c r="J97" s="71">
        <f>IF(OR(I97=0,I97=""),"unrated",VLOOKUP(I97,MappingTables!$B$19:$C$31,2,FALSE))</f>
        <v>3</v>
      </c>
      <c r="K97" s="72">
        <v>4.9615621296736912</v>
      </c>
      <c r="L97" s="70">
        <v>0.62974191114579592</v>
      </c>
      <c r="M97" s="71">
        <f>IF(L97&lt;1,1,L97)</f>
        <v>1</v>
      </c>
      <c r="N97" s="70" t="s">
        <v>141</v>
      </c>
      <c r="O97" s="71">
        <f>INDEX(DurClassMapping,MATCH(M97,MappingTables!$D$4:$D$8,-1),1)</f>
        <v>1</v>
      </c>
      <c r="P97" s="73">
        <f>IF(M97=$A$1,1,$M97-INDEX(MappingTables!$E$4:$E$8,MATCH(O97,MappingTables!$B$4:$B$8,0)))</f>
        <v>1</v>
      </c>
      <c r="Q97" s="71">
        <f>IF(B97="",0,INDEX(ModelParameters!$D$6:$K$10,MATCH($O97,ModelParameters!$B$6:$B$10,0),MATCH($J97,ModelParameters!$D$5:$K$5,0)))</f>
        <v>0.025</v>
      </c>
      <c r="R97" s="71">
        <f>IF(B97="",0,INDEX(ModelParameters!$D$13:$K$17,MATCH($O97,ModelParameters!$B$13:$B$17,0),MATCH($J97,ModelParameters!$D$5:$K$5,0)))</f>
        <v>0</v>
      </c>
      <c r="S97" s="160">
        <f>IF(B97="",0,MIN(IF($N97="Other Bond TM",ModelParameters!$N$21,1)*(P97*Q97+R97),1))</f>
        <v>0.025</v>
      </c>
      <c r="T97" s="85">
        <f>IF(B97="",0,$S97*$K97)</f>
        <v>0.12403905324184228</v>
      </c>
      <c r="U97" s="85">
        <f>IF(B97="",0,IF(OR(H97=MappingTables!$C$34,H97=MappingTables!$C$35),T97,0))</f>
        <v>0</v>
      </c>
      <c r="V97" s="85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0.054776304963434752</v>
      </c>
      <c r="W97" s="85">
        <f>IF(B97="",0,+$T97*$V97)</f>
        <v>0.0067944010077508728</v>
      </c>
      <c r="X97" s="85">
        <f>IF(B97="",0,IF(OR(H97=MappingTables!$C$34,H97=MappingTables!$C$35),W97,0))</f>
        <v>0</v>
      </c>
    </row>
    <row r="98" spans="2:24" s="0" customFormat="0" ht="15">
      <c r="B98" s="69">
        <v>14519212</v>
      </c>
      <c r="C98" s="70" t="s">
        <v>302</v>
      </c>
      <c r="D98" s="70" t="s">
        <v>1</v>
      </c>
      <c r="E98" s="70" t="s">
        <v>1</v>
      </c>
      <c r="F98" s="70"/>
      <c r="G98" s="70" t="s">
        <v>61</v>
      </c>
      <c r="H98" s="70" t="s">
        <v>178</v>
      </c>
      <c r="I98" s="70" t="s">
        <v>184</v>
      </c>
      <c r="J98" s="71">
        <f>IF(OR(I98=0,I98=""),"unrated",VLOOKUP(I98,MappingTables!$B$19:$C$31,2,FALSE))</f>
        <v>5</v>
      </c>
      <c r="K98" s="72">
        <v>3544.9140643537732</v>
      </c>
      <c r="L98" s="70">
        <v>6.7567862076561344</v>
      </c>
      <c r="M98" s="71">
        <f>IF(L98&lt;1,1,L98)</f>
        <v>6.7567862076561344</v>
      </c>
      <c r="N98" s="70" t="s">
        <v>141</v>
      </c>
      <c r="O98" s="71">
        <f>INDEX(DurClassMapping,MATCH(M98,MappingTables!$D$4:$D$8,-1),1)</f>
        <v>2</v>
      </c>
      <c r="P98" s="73">
        <f>IF(M98=$A$1,1,$M98-INDEX(MappingTables!$E$4:$E$8,MATCH(O98,MappingTables!$B$4:$B$8,0)))</f>
        <v>1.756786207656134</v>
      </c>
      <c r="Q98" s="71">
        <f>IF(B98="",0,INDEX(ModelParameters!$D$6:$K$10,MATCH($O98,ModelParameters!$B$6:$B$10,0),MATCH($J98,ModelParameters!$D$5:$K$5,0)))</f>
        <v>0.042</v>
      </c>
      <c r="R98" s="71">
        <f>IF(B98="",0,INDEX(ModelParameters!$D$13:$K$17,MATCH($O98,ModelParameters!$B$13:$B$17,0),MATCH($J98,ModelParameters!$D$5:$K$5,0)))</f>
        <v>0.375</v>
      </c>
      <c r="S98" s="160">
        <f>IF(B98="",0,MIN(IF($N98="Other Bond TM",ModelParameters!$N$21,1)*(P98*Q98+R98),1))</f>
        <v>0.4487850207215576</v>
      </c>
      <c r="T98" s="85">
        <f>IF(B98="",0,$S98*$K98)</f>
        <v>1590.904331827149</v>
      </c>
      <c r="U98" s="85">
        <f>IF(B98="",0,IF(OR(H98=MappingTables!$C$34,H98=MappingTables!$C$35),T98,0))</f>
        <v>0</v>
      </c>
      <c r="V98" s="85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0.054776304963434752</v>
      </c>
      <c r="W98" s="85">
        <f>IF(B98="",0,+$T98*$V98)</f>
        <v>87.143860847813312</v>
      </c>
      <c r="X98" s="85">
        <f>IF(B98="",0,IF(OR(H98=MappingTables!$C$34,H98=MappingTables!$C$35),W98,0))</f>
        <v>0</v>
      </c>
    </row>
    <row r="99" spans="2:24" s="0" customFormat="0" ht="15">
      <c r="B99" s="69">
        <v>12122770</v>
      </c>
      <c r="C99" s="70" t="s">
        <v>303</v>
      </c>
      <c r="D99" s="70" t="s">
        <v>1</v>
      </c>
      <c r="E99" s="70" t="s">
        <v>1</v>
      </c>
      <c r="F99" s="70"/>
      <c r="G99" s="70" t="s">
        <v>61</v>
      </c>
      <c r="H99" s="70" t="s">
        <v>178</v>
      </c>
      <c r="I99" s="70" t="s">
        <v>188</v>
      </c>
      <c r="J99" s="71">
        <f>IF(OR(I99=0,I99=""),"unrated",VLOOKUP(I99,MappingTables!$B$19:$C$31,2,FALSE))</f>
        <v>2</v>
      </c>
      <c r="K99" s="72">
        <v>7.95258284700668</v>
      </c>
      <c r="L99" s="70">
        <v>0.97705571700610112</v>
      </c>
      <c r="M99" s="71">
        <f>IF(L99&lt;1,1,L99)</f>
        <v>1</v>
      </c>
      <c r="N99" s="70" t="s">
        <v>141</v>
      </c>
      <c r="O99" s="71">
        <f>INDEX(DurClassMapping,MATCH(M99,MappingTables!$D$4:$D$8,-1),1)</f>
        <v>1</v>
      </c>
      <c r="P99" s="73">
        <f>IF(M99=$A$1,1,$M99-INDEX(MappingTables!$E$4:$E$8,MATCH(O99,MappingTables!$B$4:$B$8,0)))</f>
        <v>1</v>
      </c>
      <c r="Q99" s="71">
        <f>IF(B99="",0,INDEX(ModelParameters!$D$6:$K$10,MATCH($O99,ModelParameters!$B$6:$B$10,0),MATCH($J99,ModelParameters!$D$5:$K$5,0)))</f>
        <v>0.013999999999999998</v>
      </c>
      <c r="R99" s="71">
        <f>IF(B99="",0,INDEX(ModelParameters!$D$13:$K$17,MATCH($O99,ModelParameters!$B$13:$B$17,0),MATCH($J99,ModelParameters!$D$5:$K$5,0)))</f>
        <v>0</v>
      </c>
      <c r="S99" s="160">
        <f>IF(B99="",0,MIN(IF($N99="Other Bond TM",ModelParameters!$N$21,1)*(P99*Q99+R99),1))</f>
        <v>0.013999999999999998</v>
      </c>
      <c r="T99" s="85">
        <f>IF(B99="",0,$S99*$K99)</f>
        <v>0.1113361598580935</v>
      </c>
      <c r="U99" s="85">
        <f>IF(B99="",0,IF(OR(H99=MappingTables!$C$34,H99=MappingTables!$C$35),T99,0))</f>
        <v>0</v>
      </c>
      <c r="V99" s="85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0.054776304963434752</v>
      </c>
      <c r="W99" s="85">
        <f>IF(B99="",0,+$T99*$V99)</f>
        <v>0.006098583445844652</v>
      </c>
      <c r="X99" s="85">
        <f>IF(B99="",0,IF(OR(H99=MappingTables!$C$34,H99=MappingTables!$C$35),W99,0))</f>
        <v>0</v>
      </c>
    </row>
    <row r="100" spans="2:24" s="0" customFormat="0" ht="15">
      <c r="B100" s="69">
        <v>19854528</v>
      </c>
      <c r="C100" s="70" t="s">
        <v>304</v>
      </c>
      <c r="D100" s="70" t="s">
        <v>1</v>
      </c>
      <c r="E100" s="70" t="s">
        <v>1</v>
      </c>
      <c r="F100" s="70"/>
      <c r="G100" s="70" t="s">
        <v>61</v>
      </c>
      <c r="H100" s="70" t="s">
        <v>178</v>
      </c>
      <c r="I100" s="70" t="s">
        <v>179</v>
      </c>
      <c r="J100" s="71">
        <f>IF(OR(I100=0,I100=""),"unrated",VLOOKUP(I100,MappingTables!$B$19:$C$31,2,FALSE))</f>
        <v>4</v>
      </c>
      <c r="K100" s="72">
        <v>87.88719061389728</v>
      </c>
      <c r="L100" s="70">
        <v>1.8602436695139716</v>
      </c>
      <c r="M100" s="71">
        <f>IF(L100&lt;1,1,L100)</f>
        <v>1.8602436695139716</v>
      </c>
      <c r="N100" s="70" t="s">
        <v>141</v>
      </c>
      <c r="O100" s="71">
        <f>INDEX(DurClassMapping,MATCH(M100,MappingTables!$D$4:$D$8,-1),1)</f>
        <v>1</v>
      </c>
      <c r="P100" s="73">
        <f>IF(M100=$A$1,1,$M100-INDEX(MappingTables!$E$4:$E$8,MATCH(O100,MappingTables!$B$4:$B$8,0)))</f>
        <v>1.8602436695139716</v>
      </c>
      <c r="Q100" s="71">
        <f>IF(B100="",0,INDEX(ModelParameters!$D$6:$K$10,MATCH($O100,ModelParameters!$B$6:$B$10,0),MATCH($J100,ModelParameters!$D$5:$K$5,0)))</f>
        <v>0.045</v>
      </c>
      <c r="R100" s="71">
        <f>IF(B100="",0,INDEX(ModelParameters!$D$13:$K$17,MATCH($O100,ModelParameters!$B$13:$B$17,0),MATCH($J100,ModelParameters!$D$5:$K$5,0)))</f>
        <v>0</v>
      </c>
      <c r="S100" s="160">
        <f>IF(B100="",0,MIN(IF($N100="Other Bond TM",ModelParameters!$N$21,1)*(P100*Q100+R100),1))</f>
        <v>0.083710965128128736</v>
      </c>
      <c r="T100" s="85">
        <f>IF(B100="",0,$S100*$K100)</f>
        <v>7.3571215486891568</v>
      </c>
      <c r="U100" s="85">
        <f>IF(B100="",0,IF(OR(H100=MappingTables!$C$34,H100=MappingTables!$C$35),T100,0))</f>
        <v>0</v>
      </c>
      <c r="V100" s="85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0.054776304963434752</v>
      </c>
      <c r="W100" s="85">
        <f>IF(B100="",0,+$T100*$V100)</f>
        <v>0.40299593360405464</v>
      </c>
      <c r="X100" s="85">
        <f>IF(B100="",0,IF(OR(H100=MappingTables!$C$34,H100=MappingTables!$C$35),W100,0))</f>
        <v>0</v>
      </c>
    </row>
    <row r="101" spans="2:24" s="0" customFormat="0" ht="15">
      <c r="B101" s="69" t="s">
        <v>305</v>
      </c>
      <c r="C101" s="70" t="s">
        <v>306</v>
      </c>
      <c r="D101" s="70" t="s">
        <v>1</v>
      </c>
      <c r="E101" s="70" t="s">
        <v>1</v>
      </c>
      <c r="F101" s="70"/>
      <c r="G101" s="70" t="s">
        <v>61</v>
      </c>
      <c r="H101" s="70" t="s">
        <v>178</v>
      </c>
      <c r="I101" s="70" t="s">
        <v>184</v>
      </c>
      <c r="J101" s="71">
        <f>IF(OR(I101=0,I101=""),"unrated",VLOOKUP(I101,MappingTables!$B$19:$C$31,2,FALSE))</f>
        <v>5</v>
      </c>
      <c r="K101" s="72">
        <v>143.0001504642995</v>
      </c>
      <c r="L101" s="70">
        <v>4.4873198007662784</v>
      </c>
      <c r="M101" s="71">
        <f>IF(L101&lt;1,1,L101)</f>
        <v>4.4873198007662784</v>
      </c>
      <c r="N101" s="70" t="s">
        <v>141</v>
      </c>
      <c r="O101" s="71">
        <f>INDEX(DurClassMapping,MATCH(M101,MappingTables!$D$4:$D$8,-1),1)</f>
        <v>1</v>
      </c>
      <c r="P101" s="73">
        <f>IF(M101=$A$1,1,$M101-INDEX(MappingTables!$E$4:$E$8,MATCH(O101,MappingTables!$B$4:$B$8,0)))</f>
        <v>4.4873198007662784</v>
      </c>
      <c r="Q101" s="71">
        <f>IF(B101="",0,INDEX(ModelParameters!$D$6:$K$10,MATCH($O101,ModelParameters!$B$6:$B$10,0),MATCH($J101,ModelParameters!$D$5:$K$5,0)))</f>
        <v>0.075</v>
      </c>
      <c r="R101" s="71">
        <f>IF(B101="",0,INDEX(ModelParameters!$D$13:$K$17,MATCH($O101,ModelParameters!$B$13:$B$17,0),MATCH($J101,ModelParameters!$D$5:$K$5,0)))</f>
        <v>0</v>
      </c>
      <c r="S101" s="160">
        <f>IF(B101="",0,MIN(IF($N101="Other Bond TM",ModelParameters!$N$21,1)*(P101*Q101+R101),1))</f>
        <v>0.33654898505747088</v>
      </c>
      <c r="T101" s="85">
        <f>IF(B101="",0,$S101*$K101)</f>
        <v>48.126555501825624</v>
      </c>
      <c r="U101" s="85">
        <f>IF(B101="",0,IF(OR(H101=MappingTables!$C$34,H101=MappingTables!$C$35),T101,0))</f>
        <v>0</v>
      </c>
      <c r="V101" s="85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0.054776304963434752</v>
      </c>
      <c r="W101" s="85">
        <f>IF(B101="",0,+$T101*$V101)</f>
        <v>2.6361948810076688</v>
      </c>
      <c r="X101" s="85">
        <f>IF(B101="",0,IF(OR(H101=MappingTables!$C$34,H101=MappingTables!$C$35),W101,0))</f>
        <v>0</v>
      </c>
    </row>
    <row r="102" spans="2:24" s="0" customFormat="0" ht="15">
      <c r="B102" s="69">
        <v>12767430</v>
      </c>
      <c r="C102" s="70" t="s">
        <v>307</v>
      </c>
      <c r="D102" s="70" t="s">
        <v>1</v>
      </c>
      <c r="E102" s="70" t="s">
        <v>1</v>
      </c>
      <c r="F102" s="70"/>
      <c r="G102" s="70" t="s">
        <v>61</v>
      </c>
      <c r="H102" s="70" t="s">
        <v>178</v>
      </c>
      <c r="I102" s="70" t="s">
        <v>181</v>
      </c>
      <c r="J102" s="71">
        <f>IF(OR(I102=0,I102=""),"unrated",VLOOKUP(I102,MappingTables!$B$19:$C$31,2,FALSE))</f>
        <v>3</v>
      </c>
      <c r="K102" s="72">
        <v>2998.7437447638828</v>
      </c>
      <c r="L102" s="70">
        <v>2.7390803196879148</v>
      </c>
      <c r="M102" s="71">
        <f>IF(L102&lt;1,1,L102)</f>
        <v>2.7390803196879148</v>
      </c>
      <c r="N102" s="70" t="s">
        <v>141</v>
      </c>
      <c r="O102" s="71">
        <f>INDEX(DurClassMapping,MATCH(M102,MappingTables!$D$4:$D$8,-1),1)</f>
        <v>1</v>
      </c>
      <c r="P102" s="73">
        <f>IF(M102=$A$1,1,$M102-INDEX(MappingTables!$E$4:$E$8,MATCH(O102,MappingTables!$B$4:$B$8,0)))</f>
        <v>2.7390803196879148</v>
      </c>
      <c r="Q102" s="71">
        <f>IF(B102="",0,INDEX(ModelParameters!$D$6:$K$10,MATCH($O102,ModelParameters!$B$6:$B$10,0),MATCH($J102,ModelParameters!$D$5:$K$5,0)))</f>
        <v>0.025</v>
      </c>
      <c r="R102" s="71">
        <f>IF(B102="",0,INDEX(ModelParameters!$D$13:$K$17,MATCH($O102,ModelParameters!$B$13:$B$17,0),MATCH($J102,ModelParameters!$D$5:$K$5,0)))</f>
        <v>0</v>
      </c>
      <c r="S102" s="160">
        <f>IF(B102="",0,MIN(IF($N102="Other Bond TM",ModelParameters!$N$21,1)*(P102*Q102+R102),1))</f>
        <v>0.068477007992197872</v>
      </c>
      <c r="T102" s="85">
        <f>IF(B102="",0,$S102*$K102)</f>
        <v>205.34499937674976</v>
      </c>
      <c r="U102" s="85">
        <f>IF(B102="",0,IF(OR(H102=MappingTables!$C$34,H102=MappingTables!$C$35),T102,0))</f>
        <v>0</v>
      </c>
      <c r="V102" s="85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0.054776304963434752</v>
      </c>
      <c r="W102" s="85">
        <f>IF(B102="",0,+$T102*$V102)</f>
        <v>11.248040308577166</v>
      </c>
      <c r="X102" s="85">
        <f>IF(B102="",0,IF(OR(H102=MappingTables!$C$34,H102=MappingTables!$C$35),W102,0))</f>
        <v>0</v>
      </c>
    </row>
    <row r="103" spans="2:24" s="0" customFormat="0" ht="15">
      <c r="B103" s="69">
        <v>23353688</v>
      </c>
      <c r="C103" s="70" t="s">
        <v>308</v>
      </c>
      <c r="D103" s="70" t="s">
        <v>1</v>
      </c>
      <c r="E103" s="70" t="s">
        <v>1</v>
      </c>
      <c r="F103" s="70"/>
      <c r="G103" s="70" t="s">
        <v>61</v>
      </c>
      <c r="H103" s="70" t="s">
        <v>178</v>
      </c>
      <c r="I103" s="70" t="s">
        <v>179</v>
      </c>
      <c r="J103" s="71">
        <f>IF(OR(I103=0,I103=""),"unrated",VLOOKUP(I103,MappingTables!$B$19:$C$31,2,FALSE))</f>
        <v>4</v>
      </c>
      <c r="K103" s="72">
        <v>113.90210345457974</v>
      </c>
      <c r="L103" s="70">
        <v>2.30082214051292</v>
      </c>
      <c r="M103" s="71">
        <f>IF(L103&lt;1,1,L103)</f>
        <v>2.30082214051292</v>
      </c>
      <c r="N103" s="70" t="s">
        <v>141</v>
      </c>
      <c r="O103" s="71">
        <f>INDEX(DurClassMapping,MATCH(M103,MappingTables!$D$4:$D$8,-1),1)</f>
        <v>1</v>
      </c>
      <c r="P103" s="73">
        <f>IF(M103=$A$1,1,$M103-INDEX(MappingTables!$E$4:$E$8,MATCH(O103,MappingTables!$B$4:$B$8,0)))</f>
        <v>2.30082214051292</v>
      </c>
      <c r="Q103" s="71">
        <f>IF(B103="",0,INDEX(ModelParameters!$D$6:$K$10,MATCH($O103,ModelParameters!$B$6:$B$10,0),MATCH($J103,ModelParameters!$D$5:$K$5,0)))</f>
        <v>0.045</v>
      </c>
      <c r="R103" s="71">
        <f>IF(B103="",0,INDEX(ModelParameters!$D$13:$K$17,MATCH($O103,ModelParameters!$B$13:$B$17,0),MATCH($J103,ModelParameters!$D$5:$K$5,0)))</f>
        <v>0</v>
      </c>
      <c r="S103" s="160">
        <f>IF(B103="",0,MIN(IF($N103="Other Bond TM",ModelParameters!$N$21,1)*(P103*Q103+R103),1))</f>
        <v>0.1035369963230814</v>
      </c>
      <c r="T103" s="85">
        <f>IF(B103="",0,$S103*$K103)</f>
        <v>11.793081666568058</v>
      </c>
      <c r="U103" s="85">
        <f>IF(B103="",0,IF(OR(H103=MappingTables!$C$34,H103=MappingTables!$C$35),T103,0))</f>
        <v>0</v>
      </c>
      <c r="V103" s="85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0.054776304963434752</v>
      </c>
      <c r="W103" s="85">
        <f>IF(B103="",0,+$T103*$V103)</f>
        <v>0.64598143782662328</v>
      </c>
      <c r="X103" s="85">
        <f>IF(B103="",0,IF(OR(H103=MappingTables!$C$34,H103=MappingTables!$C$35),W103,0))</f>
        <v>0</v>
      </c>
    </row>
    <row r="104" spans="2:24" s="0" customFormat="0" ht="15">
      <c r="B104" s="69">
        <v>11821210</v>
      </c>
      <c r="C104" s="70" t="s">
        <v>309</v>
      </c>
      <c r="D104" s="70" t="s">
        <v>1</v>
      </c>
      <c r="E104" s="70" t="s">
        <v>1</v>
      </c>
      <c r="F104" s="70"/>
      <c r="G104" s="70" t="s">
        <v>61</v>
      </c>
      <c r="H104" s="70" t="s">
        <v>178</v>
      </c>
      <c r="I104" s="70" t="s">
        <v>181</v>
      </c>
      <c r="J104" s="71">
        <f>IF(OR(I104=0,I104=""),"unrated",VLOOKUP(I104,MappingTables!$B$19:$C$31,2,FALSE))</f>
        <v>3</v>
      </c>
      <c r="K104" s="72">
        <v>2876.8226549218412</v>
      </c>
      <c r="L104" s="70">
        <v>0.2876691931421148</v>
      </c>
      <c r="M104" s="71">
        <f>IF(L104&lt;1,1,L104)</f>
        <v>1</v>
      </c>
      <c r="N104" s="70" t="s">
        <v>141</v>
      </c>
      <c r="O104" s="71">
        <f>INDEX(DurClassMapping,MATCH(M104,MappingTables!$D$4:$D$8,-1),1)</f>
        <v>1</v>
      </c>
      <c r="P104" s="73">
        <f>IF(M104=$A$1,1,$M104-INDEX(MappingTables!$E$4:$E$8,MATCH(O104,MappingTables!$B$4:$B$8,0)))</f>
        <v>1</v>
      </c>
      <c r="Q104" s="71">
        <f>IF(B104="",0,INDEX(ModelParameters!$D$6:$K$10,MATCH($O104,ModelParameters!$B$6:$B$10,0),MATCH($J104,ModelParameters!$D$5:$K$5,0)))</f>
        <v>0.025</v>
      </c>
      <c r="R104" s="71">
        <f>IF(B104="",0,INDEX(ModelParameters!$D$13:$K$17,MATCH($O104,ModelParameters!$B$13:$B$17,0),MATCH($J104,ModelParameters!$D$5:$K$5,0)))</f>
        <v>0</v>
      </c>
      <c r="S104" s="160">
        <f>IF(B104="",0,MIN(IF($N104="Other Bond TM",ModelParameters!$N$21,1)*(P104*Q104+R104),1))</f>
        <v>0.025</v>
      </c>
      <c r="T104" s="85">
        <f>IF(B104="",0,$S104*$K104)</f>
        <v>71.920566373046032</v>
      </c>
      <c r="U104" s="85">
        <f>IF(B104="",0,IF(OR(H104=MappingTables!$C$34,H104=MappingTables!$C$35),T104,0))</f>
        <v>0</v>
      </c>
      <c r="V104" s="85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0.054776304963434752</v>
      </c>
      <c r="W104" s="85">
        <f>IF(B104="",0,+$T104*$V104)</f>
        <v>3.93954287679292</v>
      </c>
      <c r="X104" s="85">
        <f>IF(B104="",0,IF(OR(H104=MappingTables!$C$34,H104=MappingTables!$C$35),W104,0))</f>
        <v>0</v>
      </c>
    </row>
    <row r="105" spans="2:24" s="0" customFormat="0" ht="15">
      <c r="B105" s="69">
        <v>18085384</v>
      </c>
      <c r="C105" s="70" t="s">
        <v>310</v>
      </c>
      <c r="D105" s="70" t="s">
        <v>1</v>
      </c>
      <c r="E105" s="70" t="s">
        <v>1</v>
      </c>
      <c r="F105" s="70"/>
      <c r="G105" s="70" t="s">
        <v>61</v>
      </c>
      <c r="H105" s="70" t="s">
        <v>178</v>
      </c>
      <c r="I105" s="70" t="s">
        <v>181</v>
      </c>
      <c r="J105" s="71">
        <f>IF(OR(I105=0,I105=""),"unrated",VLOOKUP(I105,MappingTables!$B$19:$C$31,2,FALSE))</f>
        <v>3</v>
      </c>
      <c r="K105" s="72">
        <v>4430.4944675103136</v>
      </c>
      <c r="L105" s="70">
        <v>4.3503667358781672</v>
      </c>
      <c r="M105" s="71">
        <f>IF(L105&lt;1,1,L105)</f>
        <v>4.3503667358781672</v>
      </c>
      <c r="N105" s="70" t="s">
        <v>141</v>
      </c>
      <c r="O105" s="71">
        <f>INDEX(DurClassMapping,MATCH(M105,MappingTables!$D$4:$D$8,-1),1)</f>
        <v>1</v>
      </c>
      <c r="P105" s="73">
        <f>IF(M105=$A$1,1,$M105-INDEX(MappingTables!$E$4:$E$8,MATCH(O105,MappingTables!$B$4:$B$8,0)))</f>
        <v>4.3503667358781672</v>
      </c>
      <c r="Q105" s="71">
        <f>IF(B105="",0,INDEX(ModelParameters!$D$6:$K$10,MATCH($O105,ModelParameters!$B$6:$B$10,0),MATCH($J105,ModelParameters!$D$5:$K$5,0)))</f>
        <v>0.025</v>
      </c>
      <c r="R105" s="71">
        <f>IF(B105="",0,INDEX(ModelParameters!$D$13:$K$17,MATCH($O105,ModelParameters!$B$13:$B$17,0),MATCH($J105,ModelParameters!$D$5:$K$5,0)))</f>
        <v>0</v>
      </c>
      <c r="S105" s="160">
        <f>IF(B105="",0,MIN(IF($N105="Other Bond TM",ModelParameters!$N$21,1)*(P105*Q105+R105),1))</f>
        <v>0.1087591683969542</v>
      </c>
      <c r="T105" s="85">
        <f>IF(B105="",0,$S105*$K105)</f>
        <v>481.85689387372808</v>
      </c>
      <c r="U105" s="85">
        <f>IF(B105="",0,IF(OR(H105=MappingTables!$C$34,H105=MappingTables!$C$35),T105,0))</f>
        <v>0</v>
      </c>
      <c r="V105" s="85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0.054776304963434752</v>
      </c>
      <c r="W105" s="85">
        <f>IF(B105="",0,+$T105*$V105)</f>
        <v>26.394340167560744</v>
      </c>
      <c r="X105" s="85">
        <f>IF(B105="",0,IF(OR(H105=MappingTables!$C$34,H105=MappingTables!$C$35),W105,0))</f>
        <v>0</v>
      </c>
    </row>
    <row r="106" spans="2:24" s="0" customFormat="0" ht="15">
      <c r="B106" s="69">
        <v>24696645</v>
      </c>
      <c r="C106" s="70" t="s">
        <v>311</v>
      </c>
      <c r="D106" s="70" t="s">
        <v>1</v>
      </c>
      <c r="E106" s="70" t="s">
        <v>1</v>
      </c>
      <c r="F106" s="70"/>
      <c r="G106" s="70" t="s">
        <v>61</v>
      </c>
      <c r="H106" s="70" t="s">
        <v>178</v>
      </c>
      <c r="I106" s="70" t="s">
        <v>220</v>
      </c>
      <c r="J106" s="71">
        <f>IF(OR(I106=0,I106=""),"unrated",VLOOKUP(I106,MappingTables!$B$19:$C$31,2,FALSE))</f>
        <v>1</v>
      </c>
      <c r="K106" s="72">
        <v>11147.903729602074</v>
      </c>
      <c r="L106" s="70">
        <v>0.073972355322283904</v>
      </c>
      <c r="M106" s="71">
        <f>IF(L106&lt;1,1,L106)</f>
        <v>1</v>
      </c>
      <c r="N106" s="70" t="s">
        <v>141</v>
      </c>
      <c r="O106" s="71">
        <f>INDEX(DurClassMapping,MATCH(M106,MappingTables!$D$4:$D$8,-1),1)</f>
        <v>1</v>
      </c>
      <c r="P106" s="73">
        <f>IF(M106=$A$1,1,$M106-INDEX(MappingTables!$E$4:$E$8,MATCH(O106,MappingTables!$B$4:$B$8,0)))</f>
        <v>1</v>
      </c>
      <c r="Q106" s="71">
        <f>IF(B106="",0,INDEX(ModelParameters!$D$6:$K$10,MATCH($O106,ModelParameters!$B$6:$B$10,0),MATCH($J106,ModelParameters!$D$5:$K$5,0)))</f>
        <v>0.011000000000000002</v>
      </c>
      <c r="R106" s="71">
        <f>IF(B106="",0,INDEX(ModelParameters!$D$13:$K$17,MATCH($O106,ModelParameters!$B$13:$B$17,0),MATCH($J106,ModelParameters!$D$5:$K$5,0)))</f>
        <v>0</v>
      </c>
      <c r="S106" s="160">
        <f>IF(B106="",0,MIN(IF($N106="Other Bond TM",ModelParameters!$N$21,1)*(P106*Q106+R106),1))</f>
        <v>0.011000000000000002</v>
      </c>
      <c r="T106" s="85">
        <f>IF(B106="",0,$S106*$K106)</f>
        <v>122.62694102562282</v>
      </c>
      <c r="U106" s="85">
        <f>IF(B106="",0,IF(OR(H106=MappingTables!$C$34,H106=MappingTables!$C$35),T106,0))</f>
        <v>0</v>
      </c>
      <c r="V106" s="85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0.054776304963434752</v>
      </c>
      <c r="W106" s="85">
        <f>IF(B106="",0,+$T106*$V106)</f>
        <v>6.7170507183526448</v>
      </c>
      <c r="X106" s="85">
        <f>IF(B106="",0,IF(OR(H106=MappingTables!$C$34,H106=MappingTables!$C$35),W106,0))</f>
        <v>0</v>
      </c>
    </row>
    <row r="107" spans="2:24" s="0" customFormat="0" ht="15">
      <c r="B107" s="69">
        <v>23237421</v>
      </c>
      <c r="C107" s="70" t="s">
        <v>312</v>
      </c>
      <c r="D107" s="70" t="s">
        <v>1</v>
      </c>
      <c r="E107" s="70" t="s">
        <v>1</v>
      </c>
      <c r="F107" s="70"/>
      <c r="G107" s="70" t="s">
        <v>61</v>
      </c>
      <c r="H107" s="70" t="s">
        <v>178</v>
      </c>
      <c r="I107" s="70" t="s">
        <v>220</v>
      </c>
      <c r="J107" s="71">
        <f>IF(OR(I107=0,I107=""),"unrated",VLOOKUP(I107,MappingTables!$B$19:$C$31,2,FALSE))</f>
        <v>1</v>
      </c>
      <c r="K107" s="72">
        <v>1148.2640445460378</v>
      </c>
      <c r="L107" s="70">
        <v>0.15068242076534156</v>
      </c>
      <c r="M107" s="71">
        <f>IF(L107&lt;1,1,L107)</f>
        <v>1</v>
      </c>
      <c r="N107" s="70" t="s">
        <v>141</v>
      </c>
      <c r="O107" s="71">
        <f>INDEX(DurClassMapping,MATCH(M107,MappingTables!$D$4:$D$8,-1),1)</f>
        <v>1</v>
      </c>
      <c r="P107" s="73">
        <f>IF(M107=$A$1,1,$M107-INDEX(MappingTables!$E$4:$E$8,MATCH(O107,MappingTables!$B$4:$B$8,0)))</f>
        <v>1</v>
      </c>
      <c r="Q107" s="71">
        <f>IF(B107="",0,INDEX(ModelParameters!$D$6:$K$10,MATCH($O107,ModelParameters!$B$6:$B$10,0),MATCH($J107,ModelParameters!$D$5:$K$5,0)))</f>
        <v>0.011000000000000002</v>
      </c>
      <c r="R107" s="71">
        <f>IF(B107="",0,INDEX(ModelParameters!$D$13:$K$17,MATCH($O107,ModelParameters!$B$13:$B$17,0),MATCH($J107,ModelParameters!$D$5:$K$5,0)))</f>
        <v>0</v>
      </c>
      <c r="S107" s="160">
        <f>IF(B107="",0,MIN(IF($N107="Other Bond TM",ModelParameters!$N$21,1)*(P107*Q107+R107),1))</f>
        <v>0.011000000000000002</v>
      </c>
      <c r="T107" s="85">
        <f>IF(B107="",0,$S107*$K107)</f>
        <v>12.630904490006418</v>
      </c>
      <c r="U107" s="85">
        <f>IF(B107="",0,IF(OR(H107=MappingTables!$C$34,H107=MappingTables!$C$35),T107,0))</f>
        <v>0</v>
      </c>
      <c r="V107" s="85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0.054776304963434752</v>
      </c>
      <c r="W107" s="85">
        <f>IF(B107="",0,+$T107*$V107)</f>
        <v>0.69187427630860888</v>
      </c>
      <c r="X107" s="85">
        <f>IF(B107="",0,IF(OR(H107=MappingTables!$C$34,H107=MappingTables!$C$35),W107,0))</f>
        <v>0</v>
      </c>
    </row>
    <row r="108" spans="2:24" s="0" customFormat="0" ht="15">
      <c r="B108" s="69">
        <v>17418008</v>
      </c>
      <c r="C108" s="70" t="s">
        <v>313</v>
      </c>
      <c r="D108" s="70" t="s">
        <v>1</v>
      </c>
      <c r="E108" s="70" t="s">
        <v>1</v>
      </c>
      <c r="F108" s="70"/>
      <c r="G108" s="70" t="s">
        <v>61</v>
      </c>
      <c r="H108" s="70" t="s">
        <v>178</v>
      </c>
      <c r="I108" s="70" t="s">
        <v>188</v>
      </c>
      <c r="J108" s="71">
        <f>IF(OR(I108=0,I108=""),"unrated",VLOOKUP(I108,MappingTables!$B$19:$C$31,2,FALSE))</f>
        <v>2</v>
      </c>
      <c r="K108" s="72">
        <v>23.885925568510132</v>
      </c>
      <c r="L108" s="70">
        <v>0.5298166725357912</v>
      </c>
      <c r="M108" s="71">
        <f>IF(L108&lt;1,1,L108)</f>
        <v>1</v>
      </c>
      <c r="N108" s="70" t="s">
        <v>141</v>
      </c>
      <c r="O108" s="71">
        <f>INDEX(DurClassMapping,MATCH(M108,MappingTables!$D$4:$D$8,-1),1)</f>
        <v>1</v>
      </c>
      <c r="P108" s="73">
        <f>IF(M108=$A$1,1,$M108-INDEX(MappingTables!$E$4:$E$8,MATCH(O108,MappingTables!$B$4:$B$8,0)))</f>
        <v>1</v>
      </c>
      <c r="Q108" s="71">
        <f>IF(B108="",0,INDEX(ModelParameters!$D$6:$K$10,MATCH($O108,ModelParameters!$B$6:$B$10,0),MATCH($J108,ModelParameters!$D$5:$K$5,0)))</f>
        <v>0.013999999999999998</v>
      </c>
      <c r="R108" s="71">
        <f>IF(B108="",0,INDEX(ModelParameters!$D$13:$K$17,MATCH($O108,ModelParameters!$B$13:$B$17,0),MATCH($J108,ModelParameters!$D$5:$K$5,0)))</f>
        <v>0</v>
      </c>
      <c r="S108" s="160">
        <f>IF(B108="",0,MIN(IF($N108="Other Bond TM",ModelParameters!$N$21,1)*(P108*Q108+R108),1))</f>
        <v>0.013999999999999998</v>
      </c>
      <c r="T108" s="85">
        <f>IF(B108="",0,$S108*$K108)</f>
        <v>0.33440295795914184</v>
      </c>
      <c r="U108" s="85">
        <f>IF(B108="",0,IF(OR(H108=MappingTables!$C$34,H108=MappingTables!$C$35),T108,0))</f>
        <v>0</v>
      </c>
      <c r="V108" s="85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0.054776304963434752</v>
      </c>
      <c r="W108" s="85">
        <f>IF(B108="",0,+$T108*$V108)</f>
        <v>0.018317358405844604</v>
      </c>
      <c r="X108" s="85">
        <f>IF(B108="",0,IF(OR(H108=MappingTables!$C$34,H108=MappingTables!$C$35),W108,0))</f>
        <v>0</v>
      </c>
    </row>
    <row r="109" spans="2:24" s="0" customFormat="0" ht="15">
      <c r="B109" s="69" t="s">
        <v>314</v>
      </c>
      <c r="C109" s="70" t="s">
        <v>315</v>
      </c>
      <c r="D109" s="70" t="s">
        <v>1</v>
      </c>
      <c r="E109" s="70" t="s">
        <v>1</v>
      </c>
      <c r="F109" s="70"/>
      <c r="G109" s="70" t="s">
        <v>61</v>
      </c>
      <c r="H109" s="70" t="s">
        <v>178</v>
      </c>
      <c r="I109" s="70" t="s">
        <v>181</v>
      </c>
      <c r="J109" s="71">
        <f>IF(OR(I109=0,I109=""),"unrated",VLOOKUP(I109,MappingTables!$B$19:$C$31,2,FALSE))</f>
        <v>3</v>
      </c>
      <c r="K109" s="72">
        <v>647.41738395336904</v>
      </c>
      <c r="L109" s="70">
        <v>1.4949832054766862</v>
      </c>
      <c r="M109" s="71">
        <f>IF(L109&lt;1,1,L109)</f>
        <v>1.4949832054766862</v>
      </c>
      <c r="N109" s="70" t="s">
        <v>141</v>
      </c>
      <c r="O109" s="71">
        <f>INDEX(DurClassMapping,MATCH(M109,MappingTables!$D$4:$D$8,-1),1)</f>
        <v>1</v>
      </c>
      <c r="P109" s="73">
        <f>IF(M109=$A$1,1,$M109-INDEX(MappingTables!$E$4:$E$8,MATCH(O109,MappingTables!$B$4:$B$8,0)))</f>
        <v>1.4949832054766862</v>
      </c>
      <c r="Q109" s="71">
        <f>IF(B109="",0,INDEX(ModelParameters!$D$6:$K$10,MATCH($O109,ModelParameters!$B$6:$B$10,0),MATCH($J109,ModelParameters!$D$5:$K$5,0)))</f>
        <v>0.025</v>
      </c>
      <c r="R109" s="71">
        <f>IF(B109="",0,INDEX(ModelParameters!$D$13:$K$17,MATCH($O109,ModelParameters!$B$13:$B$17,0),MATCH($J109,ModelParameters!$D$5:$K$5,0)))</f>
        <v>0</v>
      </c>
      <c r="S109" s="160">
        <f>IF(B109="",0,MIN(IF($N109="Other Bond TM",ModelParameters!$N$21,1)*(P109*Q109+R109),1))</f>
        <v>0.037374580136917152</v>
      </c>
      <c r="T109" s="85">
        <f>IF(B109="",0,$S109*$K109)</f>
        <v>24.196952898598452</v>
      </c>
      <c r="U109" s="85">
        <f>IF(B109="",0,IF(OR(H109=MappingTables!$C$34,H109=MappingTables!$C$35),T109,0))</f>
        <v>0</v>
      </c>
      <c r="V109" s="85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0.054776304963434752</v>
      </c>
      <c r="W109" s="85">
        <f>IF(B109="",0,+$T109*$V109)</f>
        <v>1.3254196711594954</v>
      </c>
      <c r="X109" s="85">
        <f>IF(B109="",0,IF(OR(H109=MappingTables!$C$34,H109=MappingTables!$C$35),W109,0))</f>
        <v>0</v>
      </c>
    </row>
    <row r="110" spans="2:24" s="0" customFormat="0" ht="15">
      <c r="B110" s="69">
        <v>17388192</v>
      </c>
      <c r="C110" s="70" t="s">
        <v>316</v>
      </c>
      <c r="D110" s="70" t="s">
        <v>1</v>
      </c>
      <c r="E110" s="70" t="s">
        <v>1</v>
      </c>
      <c r="F110" s="70"/>
      <c r="G110" s="70" t="s">
        <v>61</v>
      </c>
      <c r="H110" s="70" t="s">
        <v>178</v>
      </c>
      <c r="I110" s="70" t="s">
        <v>179</v>
      </c>
      <c r="J110" s="71">
        <f>IF(OR(I110=0,I110=""),"unrated",VLOOKUP(I110,MappingTables!$B$19:$C$31,2,FALSE))</f>
        <v>4</v>
      </c>
      <c r="K110" s="72">
        <v>68.040752968474664</v>
      </c>
      <c r="L110" s="70">
        <v>0.56527985067386168</v>
      </c>
      <c r="M110" s="71">
        <f>IF(L110&lt;1,1,L110)</f>
        <v>1</v>
      </c>
      <c r="N110" s="70" t="s">
        <v>141</v>
      </c>
      <c r="O110" s="71">
        <f>INDEX(DurClassMapping,MATCH(M110,MappingTables!$D$4:$D$8,-1),1)</f>
        <v>1</v>
      </c>
      <c r="P110" s="73">
        <f>IF(M110=$A$1,1,$M110-INDEX(MappingTables!$E$4:$E$8,MATCH(O110,MappingTables!$B$4:$B$8,0)))</f>
        <v>1</v>
      </c>
      <c r="Q110" s="71">
        <f>IF(B110="",0,INDEX(ModelParameters!$D$6:$K$10,MATCH($O110,ModelParameters!$B$6:$B$10,0),MATCH($J110,ModelParameters!$D$5:$K$5,0)))</f>
        <v>0.045</v>
      </c>
      <c r="R110" s="71">
        <f>IF(B110="",0,INDEX(ModelParameters!$D$13:$K$17,MATCH($O110,ModelParameters!$B$13:$B$17,0),MATCH($J110,ModelParameters!$D$5:$K$5,0)))</f>
        <v>0</v>
      </c>
      <c r="S110" s="160">
        <f>IF(B110="",0,MIN(IF($N110="Other Bond TM",ModelParameters!$N$21,1)*(P110*Q110+R110),1))</f>
        <v>0.045</v>
      </c>
      <c r="T110" s="85">
        <f>IF(B110="",0,$S110*$K110)</f>
        <v>3.0618338835813596</v>
      </c>
      <c r="U110" s="85">
        <f>IF(B110="",0,IF(OR(H110=MappingTables!$C$34,H110=MappingTables!$C$35),T110,0))</f>
        <v>0</v>
      </c>
      <c r="V110" s="85">
        <f>IF(ISNA(IF(AND(VLOOKUP(CONCATENATE($D110,$G110),CSRFinput!$B:$E,4,0)=0,OR(H110=MappingTables!$C$34,H110=MappingTables!$C$35)),1,VLOOKUP(CONCATENATE($D110,$G110),CSRFinput!$B:$E,4,0))),0,IF(AND(VLOOKUP(CONCATENATE($D110,$G110),CSRFinput!$B:$E,4,0)=0,OR(H110=MappingTables!$C$34,H110=MappingTables!$C$35)),1,VLOOKUP(CONCATENATE($D110,$G110),CSRFinput!$B:$E,4,0)))</f>
        <v>0.054776304963434752</v>
      </c>
      <c r="W110" s="85">
        <f>IF(B110="",0,+$T110*$V110)</f>
        <v>0.16771594655443034</v>
      </c>
      <c r="X110" s="85">
        <f>IF(B110="",0,IF(OR(H110=MappingTables!$C$34,H110=MappingTables!$C$35),W110,0))</f>
        <v>0</v>
      </c>
    </row>
    <row r="111" spans="2:24" s="0" customFormat="0" ht="15">
      <c r="B111" s="69" t="s">
        <v>317</v>
      </c>
      <c r="C111" s="70" t="s">
        <v>318</v>
      </c>
      <c r="D111" s="70" t="s">
        <v>1</v>
      </c>
      <c r="E111" s="70" t="s">
        <v>1</v>
      </c>
      <c r="F111" s="70"/>
      <c r="G111" s="70" t="s">
        <v>61</v>
      </c>
      <c r="H111" s="70" t="s">
        <v>178</v>
      </c>
      <c r="I111" s="70" t="s">
        <v>179</v>
      </c>
      <c r="J111" s="71">
        <f>IF(OR(I111=0,I111=""),"unrated",VLOOKUP(I111,MappingTables!$B$19:$C$31,2,FALSE))</f>
        <v>4</v>
      </c>
      <c r="K111" s="72">
        <v>541.47652920030536</v>
      </c>
      <c r="L111" s="70">
        <v>4.4639657576964256</v>
      </c>
      <c r="M111" s="71">
        <f>IF(L111&lt;1,1,L111)</f>
        <v>4.4639657576964256</v>
      </c>
      <c r="N111" s="70" t="s">
        <v>141</v>
      </c>
      <c r="O111" s="71">
        <f>INDEX(DurClassMapping,MATCH(M111,MappingTables!$D$4:$D$8,-1),1)</f>
        <v>1</v>
      </c>
      <c r="P111" s="73">
        <f>IF(M111=$A$1,1,$M111-INDEX(MappingTables!$E$4:$E$8,MATCH(O111,MappingTables!$B$4:$B$8,0)))</f>
        <v>4.4639657576964256</v>
      </c>
      <c r="Q111" s="71">
        <f>IF(B111="",0,INDEX(ModelParameters!$D$6:$K$10,MATCH($O111,ModelParameters!$B$6:$B$10,0),MATCH($J111,ModelParameters!$D$5:$K$5,0)))</f>
        <v>0.045</v>
      </c>
      <c r="R111" s="71">
        <f>IF(B111="",0,INDEX(ModelParameters!$D$13:$K$17,MATCH($O111,ModelParameters!$B$13:$B$17,0),MATCH($J111,ModelParameters!$D$5:$K$5,0)))</f>
        <v>0</v>
      </c>
      <c r="S111" s="160">
        <f>IF(B111="",0,MIN(IF($N111="Other Bond TM",ModelParameters!$N$21,1)*(P111*Q111+R111),1))</f>
        <v>0.20087845909633916</v>
      </c>
      <c r="T111" s="85">
        <f>IF(B111="",0,$S111*$K111)</f>
        <v>108.77097082259122</v>
      </c>
      <c r="U111" s="85">
        <f>IF(B111="",0,IF(OR(H111=MappingTables!$C$34,H111=MappingTables!$C$35),T111,0))</f>
        <v>0</v>
      </c>
      <c r="V111" s="85">
        <f>IF(ISNA(IF(AND(VLOOKUP(CONCATENATE($D111,$G111),CSRFinput!$B:$E,4,0)=0,OR(H111=MappingTables!$C$34,H111=MappingTables!$C$35)),1,VLOOKUP(CONCATENATE($D111,$G111),CSRFinput!$B:$E,4,0))),0,IF(AND(VLOOKUP(CONCATENATE($D111,$G111),CSRFinput!$B:$E,4,0)=0,OR(H111=MappingTables!$C$34,H111=MappingTables!$C$35)),1,VLOOKUP(CONCATENATE($D111,$G111),CSRFinput!$B:$E,4,0)))</f>
        <v>0.054776304963434752</v>
      </c>
      <c r="W111" s="85">
        <f>IF(B111="",0,+$T111*$V111)</f>
        <v>5.9580718689471208</v>
      </c>
      <c r="X111" s="85">
        <f>IF(B111="",0,IF(OR(H111=MappingTables!$C$34,H111=MappingTables!$C$35),W111,0))</f>
        <v>0</v>
      </c>
    </row>
    <row r="112" spans="2:24" s="0" customFormat="0" ht="15">
      <c r="B112" s="69">
        <v>3767589</v>
      </c>
      <c r="C112" s="70" t="s">
        <v>319</v>
      </c>
      <c r="D112" s="70" t="s">
        <v>1</v>
      </c>
      <c r="E112" s="70" t="s">
        <v>1</v>
      </c>
      <c r="F112" s="70"/>
      <c r="G112" s="70" t="s">
        <v>61</v>
      </c>
      <c r="H112" s="70" t="s">
        <v>178</v>
      </c>
      <c r="I112" s="70" t="s">
        <v>181</v>
      </c>
      <c r="J112" s="71">
        <f>IF(OR(I112=0,I112=""),"unrated",VLOOKUP(I112,MappingTables!$B$19:$C$31,2,FALSE))</f>
        <v>3</v>
      </c>
      <c r="K112" s="72">
        <v>474.18506460680352</v>
      </c>
      <c r="L112" s="70">
        <v>0.038354109573392832</v>
      </c>
      <c r="M112" s="71">
        <f>IF(L112&lt;1,1,L112)</f>
        <v>1</v>
      </c>
      <c r="N112" s="70" t="s">
        <v>141</v>
      </c>
      <c r="O112" s="71">
        <f>INDEX(DurClassMapping,MATCH(M112,MappingTables!$D$4:$D$8,-1),1)</f>
        <v>1</v>
      </c>
      <c r="P112" s="73">
        <f>IF(M112=$A$1,1,$M112-INDEX(MappingTables!$E$4:$E$8,MATCH(O112,MappingTables!$B$4:$B$8,0)))</f>
        <v>1</v>
      </c>
      <c r="Q112" s="71">
        <f>IF(B112="",0,INDEX(ModelParameters!$D$6:$K$10,MATCH($O112,ModelParameters!$B$6:$B$10,0),MATCH($J112,ModelParameters!$D$5:$K$5,0)))</f>
        <v>0.025</v>
      </c>
      <c r="R112" s="71">
        <f>IF(B112="",0,INDEX(ModelParameters!$D$13:$K$17,MATCH($O112,ModelParameters!$B$13:$B$17,0),MATCH($J112,ModelParameters!$D$5:$K$5,0)))</f>
        <v>0</v>
      </c>
      <c r="S112" s="160">
        <f>IF(B112="",0,MIN(IF($N112="Other Bond TM",ModelParameters!$N$21,1)*(P112*Q112+R112),1))</f>
        <v>0.025</v>
      </c>
      <c r="T112" s="85">
        <f>IF(B112="",0,$S112*$K112)</f>
        <v>11.854626615170088</v>
      </c>
      <c r="U112" s="85">
        <f>IF(B112="",0,IF(OR(H112=MappingTables!$C$34,H112=MappingTables!$C$35),T112,0))</f>
        <v>0</v>
      </c>
      <c r="V112" s="85">
        <f>IF(ISNA(IF(AND(VLOOKUP(CONCATENATE($D112,$G112),CSRFinput!$B:$E,4,0)=0,OR(H112=MappingTables!$C$34,H112=MappingTables!$C$35)),1,VLOOKUP(CONCATENATE($D112,$G112),CSRFinput!$B:$E,4,0))),0,IF(AND(VLOOKUP(CONCATENATE($D112,$G112),CSRFinput!$B:$E,4,0)=0,OR(H112=MappingTables!$C$34,H112=MappingTables!$C$35)),1,VLOOKUP(CONCATENATE($D112,$G112),CSRFinput!$B:$E,4,0)))</f>
        <v>0.054776304963434752</v>
      </c>
      <c r="W112" s="85">
        <f>IF(B112="",0,+$T112*$V112)</f>
        <v>0.64935264270020712</v>
      </c>
      <c r="X112" s="85">
        <f>IF(B112="",0,IF(OR(H112=MappingTables!$C$34,H112=MappingTables!$C$35),W112,0))</f>
        <v>0</v>
      </c>
    </row>
    <row r="113" spans="2:24" s="0" customFormat="0" ht="15">
      <c r="B113" s="69">
        <v>23936141</v>
      </c>
      <c r="C113" s="70" t="s">
        <v>320</v>
      </c>
      <c r="D113" s="70" t="s">
        <v>1</v>
      </c>
      <c r="E113" s="70" t="s">
        <v>1</v>
      </c>
      <c r="F113" s="70"/>
      <c r="G113" s="70" t="s">
        <v>61</v>
      </c>
      <c r="H113" s="70" t="s">
        <v>178</v>
      </c>
      <c r="I113" s="70" t="s">
        <v>188</v>
      </c>
      <c r="J113" s="71">
        <f>IF(OR(I113=0,I113=""),"unrated",VLOOKUP(I113,MappingTables!$B$19:$C$31,2,FALSE))</f>
        <v>2</v>
      </c>
      <c r="K113" s="72">
        <v>632.35538430232704</v>
      </c>
      <c r="L113" s="70">
        <v>2.4562302384124984</v>
      </c>
      <c r="M113" s="71">
        <f>IF(L113&lt;1,1,L113)</f>
        <v>2.4562302384124984</v>
      </c>
      <c r="N113" s="70" t="s">
        <v>141</v>
      </c>
      <c r="O113" s="71">
        <f>INDEX(DurClassMapping,MATCH(M113,MappingTables!$D$4:$D$8,-1),1)</f>
        <v>1</v>
      </c>
      <c r="P113" s="73">
        <f>IF(M113=$A$1,1,$M113-INDEX(MappingTables!$E$4:$E$8,MATCH(O113,MappingTables!$B$4:$B$8,0)))</f>
        <v>2.4562302384124984</v>
      </c>
      <c r="Q113" s="71">
        <f>IF(B113="",0,INDEX(ModelParameters!$D$6:$K$10,MATCH($O113,ModelParameters!$B$6:$B$10,0),MATCH($J113,ModelParameters!$D$5:$K$5,0)))</f>
        <v>0.013999999999999998</v>
      </c>
      <c r="R113" s="71">
        <f>IF(B113="",0,INDEX(ModelParameters!$D$13:$K$17,MATCH($O113,ModelParameters!$B$13:$B$17,0),MATCH($J113,ModelParameters!$D$5:$K$5,0)))</f>
        <v>0</v>
      </c>
      <c r="S113" s="160">
        <f>IF(B113="",0,MIN(IF($N113="Other Bond TM",ModelParameters!$N$21,1)*(P113*Q113+R113),1))</f>
        <v>0.034387223337774976</v>
      </c>
      <c r="T113" s="85">
        <f>IF(B113="",0,$S113*$K113)</f>
        <v>21.744945828848644</v>
      </c>
      <c r="U113" s="85">
        <f>IF(B113="",0,IF(OR(H113=MappingTables!$C$34,H113=MappingTables!$C$35),T113,0))</f>
        <v>0</v>
      </c>
      <c r="V113" s="85">
        <f>IF(ISNA(IF(AND(VLOOKUP(CONCATENATE($D113,$G113),CSRFinput!$B:$E,4,0)=0,OR(H113=MappingTables!$C$34,H113=MappingTables!$C$35)),1,VLOOKUP(CONCATENATE($D113,$G113),CSRFinput!$B:$E,4,0))),0,IF(AND(VLOOKUP(CONCATENATE($D113,$G113),CSRFinput!$B:$E,4,0)=0,OR(H113=MappingTables!$C$34,H113=MappingTables!$C$35)),1,VLOOKUP(CONCATENATE($D113,$G113),CSRFinput!$B:$E,4,0)))</f>
        <v>0.054776304963434752</v>
      </c>
      <c r="W113" s="85">
        <f>IF(B113="",0,+$T113*$V113)</f>
        <v>1.1911077841343818</v>
      </c>
      <c r="X113" s="85">
        <f>IF(B113="",0,IF(OR(H113=MappingTables!$C$34,H113=MappingTables!$C$35),W113,0))</f>
        <v>0</v>
      </c>
    </row>
    <row r="114" spans="2:24" s="0" customFormat="0" ht="15">
      <c r="B114" s="69">
        <v>22469147</v>
      </c>
      <c r="C114" s="70" t="s">
        <v>321</v>
      </c>
      <c r="D114" s="70" t="s">
        <v>1</v>
      </c>
      <c r="E114" s="70" t="s">
        <v>1</v>
      </c>
      <c r="F114" s="70"/>
      <c r="G114" s="70" t="s">
        <v>61</v>
      </c>
      <c r="H114" s="70" t="s">
        <v>178</v>
      </c>
      <c r="I114" s="70" t="s">
        <v>179</v>
      </c>
      <c r="J114" s="71">
        <f>IF(OR(I114=0,I114=""),"unrated",VLOOKUP(I114,MappingTables!$B$19:$C$31,2,FALSE))</f>
        <v>4</v>
      </c>
      <c r="K114" s="72">
        <v>1606.2668134771976</v>
      </c>
      <c r="L114" s="70">
        <v>1.171790214635358</v>
      </c>
      <c r="M114" s="71">
        <f>IF(L114&lt;1,1,L114)</f>
        <v>1.171790214635358</v>
      </c>
      <c r="N114" s="70" t="s">
        <v>141</v>
      </c>
      <c r="O114" s="71">
        <f>INDEX(DurClassMapping,MATCH(M114,MappingTables!$D$4:$D$8,-1),1)</f>
        <v>1</v>
      </c>
      <c r="P114" s="73">
        <f>IF(M114=$A$1,1,$M114-INDEX(MappingTables!$E$4:$E$8,MATCH(O114,MappingTables!$B$4:$B$8,0)))</f>
        <v>1.171790214635358</v>
      </c>
      <c r="Q114" s="71">
        <f>IF(B114="",0,INDEX(ModelParameters!$D$6:$K$10,MATCH($O114,ModelParameters!$B$6:$B$10,0),MATCH($J114,ModelParameters!$D$5:$K$5,0)))</f>
        <v>0.045</v>
      </c>
      <c r="R114" s="71">
        <f>IF(B114="",0,INDEX(ModelParameters!$D$13:$K$17,MATCH($O114,ModelParameters!$B$13:$B$17,0),MATCH($J114,ModelParameters!$D$5:$K$5,0)))</f>
        <v>0</v>
      </c>
      <c r="S114" s="160">
        <f>IF(B114="",0,MIN(IF($N114="Other Bond TM",ModelParameters!$N$21,1)*(P114*Q114+R114),1))</f>
        <v>0.052730559658591112</v>
      </c>
      <c r="T114" s="85">
        <f>IF(B114="",0,$S114*$K114)</f>
        <v>84.6993480356744</v>
      </c>
      <c r="U114" s="85">
        <f>IF(B114="",0,IF(OR(H114=MappingTables!$C$34,H114=MappingTables!$C$35),T114,0))</f>
        <v>0</v>
      </c>
      <c r="V114" s="85">
        <f>IF(ISNA(IF(AND(VLOOKUP(CONCATENATE($D114,$G114),CSRFinput!$B:$E,4,0)=0,OR(H114=MappingTables!$C$34,H114=MappingTables!$C$35)),1,VLOOKUP(CONCATENATE($D114,$G114),CSRFinput!$B:$E,4,0))),0,IF(AND(VLOOKUP(CONCATENATE($D114,$G114),CSRFinput!$B:$E,4,0)=0,OR(H114=MappingTables!$C$34,H114=MappingTables!$C$35)),1,VLOOKUP(CONCATENATE($D114,$G114),CSRFinput!$B:$E,4,0)))</f>
        <v>0.054776304963434752</v>
      </c>
      <c r="W114" s="85">
        <f>IF(B114="",0,+$T114*$V114)</f>
        <v>4.6395173182062</v>
      </c>
      <c r="X114" s="85">
        <f>IF(B114="",0,IF(OR(H114=MappingTables!$C$34,H114=MappingTables!$C$35),W114,0))</f>
        <v>0</v>
      </c>
    </row>
    <row r="115" spans="2:24" s="0" customFormat="0" ht="15">
      <c r="B115" s="69">
        <v>23528331</v>
      </c>
      <c r="C115" s="70" t="s">
        <v>322</v>
      </c>
      <c r="D115" s="70" t="s">
        <v>1</v>
      </c>
      <c r="E115" s="70" t="s">
        <v>1</v>
      </c>
      <c r="F115" s="70"/>
      <c r="G115" s="70" t="s">
        <v>61</v>
      </c>
      <c r="H115" s="70" t="s">
        <v>178</v>
      </c>
      <c r="I115" s="70" t="s">
        <v>184</v>
      </c>
      <c r="J115" s="71">
        <f>IF(OR(I115=0,I115=""),"unrated",VLOOKUP(I115,MappingTables!$B$19:$C$31,2,FALSE))</f>
        <v>5</v>
      </c>
      <c r="K115" s="72">
        <v>211.82742626388788</v>
      </c>
      <c r="L115" s="70">
        <v>1.7226367935050552</v>
      </c>
      <c r="M115" s="71">
        <f>IF(L115&lt;1,1,L115)</f>
        <v>1.7226367935050552</v>
      </c>
      <c r="N115" s="70" t="s">
        <v>141</v>
      </c>
      <c r="O115" s="71">
        <f>INDEX(DurClassMapping,MATCH(M115,MappingTables!$D$4:$D$8,-1),1)</f>
        <v>1</v>
      </c>
      <c r="P115" s="73">
        <f>IF(M115=$A$1,1,$M115-INDEX(MappingTables!$E$4:$E$8,MATCH(O115,MappingTables!$B$4:$B$8,0)))</f>
        <v>1.7226367935050552</v>
      </c>
      <c r="Q115" s="71">
        <f>IF(B115="",0,INDEX(ModelParameters!$D$6:$K$10,MATCH($O115,ModelParameters!$B$6:$B$10,0),MATCH($J115,ModelParameters!$D$5:$K$5,0)))</f>
        <v>0.075</v>
      </c>
      <c r="R115" s="71">
        <f>IF(B115="",0,INDEX(ModelParameters!$D$13:$K$17,MATCH($O115,ModelParameters!$B$13:$B$17,0),MATCH($J115,ModelParameters!$D$5:$K$5,0)))</f>
        <v>0</v>
      </c>
      <c r="S115" s="160">
        <f>IF(B115="",0,MIN(IF($N115="Other Bond TM",ModelParameters!$N$21,1)*(P115*Q115+R115),1))</f>
        <v>0.12919775951287916</v>
      </c>
      <c r="T115" s="85">
        <f>IF(B115="",0,$S115*$K115)</f>
        <v>27.367628876673928</v>
      </c>
      <c r="U115" s="85">
        <f>IF(B115="",0,IF(OR(H115=MappingTables!$C$34,H115=MappingTables!$C$35),T115,0))</f>
        <v>0</v>
      </c>
      <c r="V115" s="85">
        <f>IF(ISNA(IF(AND(VLOOKUP(CONCATENATE($D115,$G115),CSRFinput!$B:$E,4,0)=0,OR(H115=MappingTables!$C$34,H115=MappingTables!$C$35)),1,VLOOKUP(CONCATENATE($D115,$G115),CSRFinput!$B:$E,4,0))),0,IF(AND(VLOOKUP(CONCATENATE($D115,$G115),CSRFinput!$B:$E,4,0)=0,OR(H115=MappingTables!$C$34,H115=MappingTables!$C$35)),1,VLOOKUP(CONCATENATE($D115,$G115),CSRFinput!$B:$E,4,0)))</f>
        <v>0.054776304963434752</v>
      </c>
      <c r="W115" s="85">
        <f>IF(B115="",0,+$T115*$V115)</f>
        <v>1.4990975854747944</v>
      </c>
      <c r="X115" s="85">
        <f>IF(B115="",0,IF(OR(H115=MappingTables!$C$34,H115=MappingTables!$C$35),W115,0))</f>
        <v>0</v>
      </c>
    </row>
    <row r="116" spans="2:24" s="0" customFormat="0" ht="15">
      <c r="B116" s="69">
        <v>23061859</v>
      </c>
      <c r="C116" s="70" t="s">
        <v>323</v>
      </c>
      <c r="D116" s="70" t="s">
        <v>1</v>
      </c>
      <c r="E116" s="70" t="s">
        <v>1</v>
      </c>
      <c r="F116" s="70"/>
      <c r="G116" s="70" t="s">
        <v>61</v>
      </c>
      <c r="H116" s="70" t="s">
        <v>178</v>
      </c>
      <c r="I116" s="70" t="s">
        <v>181</v>
      </c>
      <c r="J116" s="71">
        <f>IF(OR(I116=0,I116=""),"unrated",VLOOKUP(I116,MappingTables!$B$19:$C$31,2,FALSE))</f>
        <v>3</v>
      </c>
      <c r="K116" s="72">
        <v>462.8562737738192</v>
      </c>
      <c r="L116" s="70">
        <v>0.3643840274341448</v>
      </c>
      <c r="M116" s="71">
        <f>IF(L116&lt;1,1,L116)</f>
        <v>1</v>
      </c>
      <c r="N116" s="70" t="s">
        <v>141</v>
      </c>
      <c r="O116" s="71">
        <f>INDEX(DurClassMapping,MATCH(M116,MappingTables!$D$4:$D$8,-1),1)</f>
        <v>1</v>
      </c>
      <c r="P116" s="73">
        <f>IF(M116=$A$1,1,$M116-INDEX(MappingTables!$E$4:$E$8,MATCH(O116,MappingTables!$B$4:$B$8,0)))</f>
        <v>1</v>
      </c>
      <c r="Q116" s="71">
        <f>IF(B116="",0,INDEX(ModelParameters!$D$6:$K$10,MATCH($O116,ModelParameters!$B$6:$B$10,0),MATCH($J116,ModelParameters!$D$5:$K$5,0)))</f>
        <v>0.025</v>
      </c>
      <c r="R116" s="71">
        <f>IF(B116="",0,INDEX(ModelParameters!$D$13:$K$17,MATCH($O116,ModelParameters!$B$13:$B$17,0),MATCH($J116,ModelParameters!$D$5:$K$5,0)))</f>
        <v>0</v>
      </c>
      <c r="S116" s="160">
        <f>IF(B116="",0,MIN(IF($N116="Other Bond TM",ModelParameters!$N$21,1)*(P116*Q116+R116),1))</f>
        <v>0.025</v>
      </c>
      <c r="T116" s="85">
        <f>IF(B116="",0,$S116*$K116)</f>
        <v>11.571406844345482</v>
      </c>
      <c r="U116" s="85">
        <f>IF(B116="",0,IF(OR(H116=MappingTables!$C$34,H116=MappingTables!$C$35),T116,0))</f>
        <v>0</v>
      </c>
      <c r="V116" s="85">
        <f>IF(ISNA(IF(AND(VLOOKUP(CONCATENATE($D116,$G116),CSRFinput!$B:$E,4,0)=0,OR(H116=MappingTables!$C$34,H116=MappingTables!$C$35)),1,VLOOKUP(CONCATENATE($D116,$G116),CSRFinput!$B:$E,4,0))),0,IF(AND(VLOOKUP(CONCATENATE($D116,$G116),CSRFinput!$B:$E,4,0)=0,OR(H116=MappingTables!$C$34,H116=MappingTables!$C$35)),1,VLOOKUP(CONCATENATE($D116,$G116),CSRFinput!$B:$E,4,0)))</f>
        <v>0.054776304963434752</v>
      </c>
      <c r="W116" s="85">
        <f>IF(B116="",0,+$T116*$V116)</f>
        <v>0.63383891016184432</v>
      </c>
      <c r="X116" s="85">
        <f>IF(B116="",0,IF(OR(H116=MappingTables!$C$34,H116=MappingTables!$C$35),W116,0))</f>
        <v>0</v>
      </c>
    </row>
    <row r="117" spans="2:24" s="0" customFormat="0" ht="15">
      <c r="B117" s="69">
        <v>8749137</v>
      </c>
      <c r="C117" s="70" t="s">
        <v>324</v>
      </c>
      <c r="D117" s="70" t="s">
        <v>1</v>
      </c>
      <c r="E117" s="70" t="s">
        <v>1</v>
      </c>
      <c r="F117" s="70"/>
      <c r="G117" s="70" t="s">
        <v>61</v>
      </c>
      <c r="H117" s="70" t="s">
        <v>178</v>
      </c>
      <c r="I117" s="70" t="s">
        <v>181</v>
      </c>
      <c r="J117" s="71">
        <f>IF(OR(I117=0,I117=""),"unrated",VLOOKUP(I117,MappingTables!$B$19:$C$31,2,FALSE))</f>
        <v>3</v>
      </c>
      <c r="K117" s="72">
        <v>2.3953348808184744</v>
      </c>
      <c r="L117" s="70">
        <v>0.6137390912123384</v>
      </c>
      <c r="M117" s="71">
        <f>IF(L117&lt;1,1,L117)</f>
        <v>1</v>
      </c>
      <c r="N117" s="70" t="s">
        <v>141</v>
      </c>
      <c r="O117" s="71">
        <f>INDEX(DurClassMapping,MATCH(M117,MappingTables!$D$4:$D$8,-1),1)</f>
        <v>1</v>
      </c>
      <c r="P117" s="73">
        <f>IF(M117=$A$1,1,$M117-INDEX(MappingTables!$E$4:$E$8,MATCH(O117,MappingTables!$B$4:$B$8,0)))</f>
        <v>1</v>
      </c>
      <c r="Q117" s="71">
        <f>IF(B117="",0,INDEX(ModelParameters!$D$6:$K$10,MATCH($O117,ModelParameters!$B$6:$B$10,0),MATCH($J117,ModelParameters!$D$5:$K$5,0)))</f>
        <v>0.025</v>
      </c>
      <c r="R117" s="71">
        <f>IF(B117="",0,INDEX(ModelParameters!$D$13:$K$17,MATCH($O117,ModelParameters!$B$13:$B$17,0),MATCH($J117,ModelParameters!$D$5:$K$5,0)))</f>
        <v>0</v>
      </c>
      <c r="S117" s="160">
        <f>IF(B117="",0,MIN(IF($N117="Other Bond TM",ModelParameters!$N$21,1)*(P117*Q117+R117),1))</f>
        <v>0.025</v>
      </c>
      <c r="T117" s="85">
        <f>IF(B117="",0,$S117*$K117)</f>
        <v>0.059883372020461856</v>
      </c>
      <c r="U117" s="85">
        <f>IF(B117="",0,IF(OR(H117=MappingTables!$C$34,H117=MappingTables!$C$35),T117,0))</f>
        <v>0</v>
      </c>
      <c r="V117" s="85">
        <f>IF(ISNA(IF(AND(VLOOKUP(CONCATENATE($D117,$G117),CSRFinput!$B:$E,4,0)=0,OR(H117=MappingTables!$C$34,H117=MappingTables!$C$35)),1,VLOOKUP(CONCATENATE($D117,$G117),CSRFinput!$B:$E,4,0))),0,IF(AND(VLOOKUP(CONCATENATE($D117,$G117),CSRFinput!$B:$E,4,0)=0,OR(H117=MappingTables!$C$34,H117=MappingTables!$C$35)),1,VLOOKUP(CONCATENATE($D117,$G117),CSRFinput!$B:$E,4,0)))</f>
        <v>0.054776304963434752</v>
      </c>
      <c r="W117" s="85">
        <f>IF(B117="",0,+$T117*$V117)</f>
        <v>0.0032801898480316348</v>
      </c>
      <c r="X117" s="85">
        <f>IF(B117="",0,IF(OR(H117=MappingTables!$C$34,H117=MappingTables!$C$35),W117,0))</f>
        <v>0</v>
      </c>
    </row>
    <row r="118" spans="2:24" s="0" customFormat="0" ht="15">
      <c r="B118" s="69">
        <v>15445565</v>
      </c>
      <c r="C118" s="70" t="s">
        <v>325</v>
      </c>
      <c r="D118" s="70" t="s">
        <v>1</v>
      </c>
      <c r="E118" s="70" t="s">
        <v>1</v>
      </c>
      <c r="F118" s="70"/>
      <c r="G118" s="70" t="s">
        <v>61</v>
      </c>
      <c r="H118" s="70" t="s">
        <v>178</v>
      </c>
      <c r="I118" s="70" t="s">
        <v>181</v>
      </c>
      <c r="J118" s="71">
        <f>IF(OR(I118=0,I118=""),"unrated",VLOOKUP(I118,MappingTables!$B$19:$C$31,2,FALSE))</f>
        <v>3</v>
      </c>
      <c r="K118" s="72">
        <v>29.434972501296256</v>
      </c>
      <c r="L118" s="70">
        <v>6.1263382973602864</v>
      </c>
      <c r="M118" s="71">
        <f>IF(L118&lt;1,1,L118)</f>
        <v>6.1263382973602864</v>
      </c>
      <c r="N118" s="70" t="s">
        <v>141</v>
      </c>
      <c r="O118" s="71">
        <f>INDEX(DurClassMapping,MATCH(M118,MappingTables!$D$4:$D$8,-1),1)</f>
        <v>2</v>
      </c>
      <c r="P118" s="73">
        <f>IF(M118=$A$1,1,$M118-INDEX(MappingTables!$E$4:$E$8,MATCH(O118,MappingTables!$B$4:$B$8,0)))</f>
        <v>1.1263382973602862</v>
      </c>
      <c r="Q118" s="71">
        <f>IF(B118="",0,INDEX(ModelParameters!$D$6:$K$10,MATCH($O118,ModelParameters!$B$6:$B$10,0),MATCH($J118,ModelParameters!$D$5:$K$5,0)))</f>
        <v>0.015</v>
      </c>
      <c r="R118" s="71">
        <f>IF(B118="",0,INDEX(ModelParameters!$D$13:$K$17,MATCH($O118,ModelParameters!$B$13:$B$17,0),MATCH($J118,ModelParameters!$D$5:$K$5,0)))</f>
        <v>0.125</v>
      </c>
      <c r="S118" s="160">
        <f>IF(B118="",0,MIN(IF($N118="Other Bond TM",ModelParameters!$N$21,1)*(P118*Q118+R118),1))</f>
        <v>0.14189507446040428</v>
      </c>
      <c r="T118" s="85">
        <f>IF(B118="",0,$S118*$K118)</f>
        <v>4.1766776148113848</v>
      </c>
      <c r="U118" s="85">
        <f>IF(B118="",0,IF(OR(H118=MappingTables!$C$34,H118=MappingTables!$C$35),T118,0))</f>
        <v>0</v>
      </c>
      <c r="V118" s="85">
        <f>IF(ISNA(IF(AND(VLOOKUP(CONCATENATE($D118,$G118),CSRFinput!$B:$E,4,0)=0,OR(H118=MappingTables!$C$34,H118=MappingTables!$C$35)),1,VLOOKUP(CONCATENATE($D118,$G118),CSRFinput!$B:$E,4,0))),0,IF(AND(VLOOKUP(CONCATENATE($D118,$G118),CSRFinput!$B:$E,4,0)=0,OR(H118=MappingTables!$C$34,H118=MappingTables!$C$35)),1,VLOOKUP(CONCATENATE($D118,$G118),CSRFinput!$B:$E,4,0)))</f>
        <v>0.054776304963434752</v>
      </c>
      <c r="W118" s="85">
        <f>IF(B118="",0,+$T118*$V118)</f>
        <v>0.22878296676285968</v>
      </c>
      <c r="X118" s="85">
        <f>IF(B118="",0,IF(OR(H118=MappingTables!$C$34,H118=MappingTables!$C$35),W118,0))</f>
        <v>0</v>
      </c>
    </row>
    <row r="119" spans="2:24" s="0" customFormat="0" ht="15">
      <c r="B119" s="69" t="s">
        <v>326</v>
      </c>
      <c r="C119" s="70" t="s">
        <v>327</v>
      </c>
      <c r="D119" s="70" t="s">
        <v>1</v>
      </c>
      <c r="E119" s="70" t="s">
        <v>1</v>
      </c>
      <c r="F119" s="70"/>
      <c r="G119" s="70" t="s">
        <v>61</v>
      </c>
      <c r="H119" s="70" t="s">
        <v>178</v>
      </c>
      <c r="I119" s="70" t="s">
        <v>181</v>
      </c>
      <c r="J119" s="71">
        <f>IF(OR(I119=0,I119=""),"unrated",VLOOKUP(I119,MappingTables!$B$19:$C$31,2,FALSE))</f>
        <v>3</v>
      </c>
      <c r="K119" s="72">
        <v>4.1197251734770616</v>
      </c>
      <c r="L119" s="70">
        <v>0.6273979064912096</v>
      </c>
      <c r="M119" s="71">
        <f>IF(L119&lt;1,1,L119)</f>
        <v>1</v>
      </c>
      <c r="N119" s="70" t="s">
        <v>141</v>
      </c>
      <c r="O119" s="71">
        <f>INDEX(DurClassMapping,MATCH(M119,MappingTables!$D$4:$D$8,-1),1)</f>
        <v>1</v>
      </c>
      <c r="P119" s="73">
        <f>IF(M119=$A$1,1,$M119-INDEX(MappingTables!$E$4:$E$8,MATCH(O119,MappingTables!$B$4:$B$8,0)))</f>
        <v>1</v>
      </c>
      <c r="Q119" s="71">
        <f>IF(B119="",0,INDEX(ModelParameters!$D$6:$K$10,MATCH($O119,ModelParameters!$B$6:$B$10,0),MATCH($J119,ModelParameters!$D$5:$K$5,0)))</f>
        <v>0.025</v>
      </c>
      <c r="R119" s="71">
        <f>IF(B119="",0,INDEX(ModelParameters!$D$13:$K$17,MATCH($O119,ModelParameters!$B$13:$B$17,0),MATCH($J119,ModelParameters!$D$5:$K$5,0)))</f>
        <v>0</v>
      </c>
      <c r="S119" s="160">
        <f>IF(B119="",0,MIN(IF($N119="Other Bond TM",ModelParameters!$N$21,1)*(P119*Q119+R119),1))</f>
        <v>0.025</v>
      </c>
      <c r="T119" s="85">
        <f>IF(B119="",0,$S119*$K119)</f>
        <v>0.10299312933692656</v>
      </c>
      <c r="U119" s="85">
        <f>IF(B119="",0,IF(OR(H119=MappingTables!$C$34,H119=MappingTables!$C$35),T119,0))</f>
        <v>0</v>
      </c>
      <c r="V119" s="85">
        <f>IF(ISNA(IF(AND(VLOOKUP(CONCATENATE($D119,$G119),CSRFinput!$B:$E,4,0)=0,OR(H119=MappingTables!$C$34,H119=MappingTables!$C$35)),1,VLOOKUP(CONCATENATE($D119,$G119),CSRFinput!$B:$E,4,0))),0,IF(AND(VLOOKUP(CONCATENATE($D119,$G119),CSRFinput!$B:$E,4,0)=0,OR(H119=MappingTables!$C$34,H119=MappingTables!$C$35)),1,VLOOKUP(CONCATENATE($D119,$G119),CSRFinput!$B:$E,4,0)))</f>
        <v>0.054776304963434752</v>
      </c>
      <c r="W119" s="85">
        <f>IF(B119="",0,+$T119*$V119)</f>
        <v>0.0056415830616979672</v>
      </c>
      <c r="X119" s="85">
        <f>IF(B119="",0,IF(OR(H119=MappingTables!$C$34,H119=MappingTables!$C$35),W119,0))</f>
        <v>0</v>
      </c>
    </row>
    <row r="120" spans="2:24" s="0" customFormat="0" ht="15">
      <c r="B120" s="69" t="s">
        <v>328</v>
      </c>
      <c r="C120" s="70" t="s">
        <v>329</v>
      </c>
      <c r="D120" s="70" t="s">
        <v>1</v>
      </c>
      <c r="E120" s="70" t="s">
        <v>1</v>
      </c>
      <c r="F120" s="70"/>
      <c r="G120" s="70" t="s">
        <v>61</v>
      </c>
      <c r="H120" s="70" t="s">
        <v>178</v>
      </c>
      <c r="I120" s="70" t="s">
        <v>184</v>
      </c>
      <c r="J120" s="71">
        <f>IF(OR(I120=0,I120=""),"unrated",VLOOKUP(I120,MappingTables!$B$19:$C$31,2,FALSE))</f>
        <v>5</v>
      </c>
      <c r="K120" s="72">
        <v>62.066162695949184</v>
      </c>
      <c r="L120" s="70">
        <v>4.865943663229544</v>
      </c>
      <c r="M120" s="71">
        <f>IF(L120&lt;1,1,L120)</f>
        <v>4.865943663229544</v>
      </c>
      <c r="N120" s="70" t="s">
        <v>141</v>
      </c>
      <c r="O120" s="71">
        <f>INDEX(DurClassMapping,MATCH(M120,MappingTables!$D$4:$D$8,-1),1)</f>
        <v>1</v>
      </c>
      <c r="P120" s="73">
        <f>IF(M120=$A$1,1,$M120-INDEX(MappingTables!$E$4:$E$8,MATCH(O120,MappingTables!$B$4:$B$8,0)))</f>
        <v>4.865943663229544</v>
      </c>
      <c r="Q120" s="71">
        <f>IF(B120="",0,INDEX(ModelParameters!$D$6:$K$10,MATCH($O120,ModelParameters!$B$6:$B$10,0),MATCH($J120,ModelParameters!$D$5:$K$5,0)))</f>
        <v>0.075</v>
      </c>
      <c r="R120" s="71">
        <f>IF(B120="",0,INDEX(ModelParameters!$D$13:$K$17,MATCH($O120,ModelParameters!$B$13:$B$17,0),MATCH($J120,ModelParameters!$D$5:$K$5,0)))</f>
        <v>0</v>
      </c>
      <c r="S120" s="160">
        <f>IF(B120="",0,MIN(IF($N120="Other Bond TM",ModelParameters!$N$21,1)*(P120*Q120+R120),1))</f>
        <v>0.36494577474221576</v>
      </c>
      <c r="T120" s="85">
        <f>IF(B120="",0,$S120*$K120)</f>
        <v>22.650783830349584</v>
      </c>
      <c r="U120" s="85">
        <f>IF(B120="",0,IF(OR(H120=MappingTables!$C$34,H120=MappingTables!$C$35),T120,0))</f>
        <v>0</v>
      </c>
      <c r="V120" s="85">
        <f>IF(ISNA(IF(AND(VLOOKUP(CONCATENATE($D120,$G120),CSRFinput!$B:$E,4,0)=0,OR(H120=MappingTables!$C$34,H120=MappingTables!$C$35)),1,VLOOKUP(CONCATENATE($D120,$G120),CSRFinput!$B:$E,4,0))),0,IF(AND(VLOOKUP(CONCATENATE($D120,$G120),CSRFinput!$B:$E,4,0)=0,OR(H120=MappingTables!$C$34,H120=MappingTables!$C$35)),1,VLOOKUP(CONCATENATE($D120,$G120),CSRFinput!$B:$E,4,0)))</f>
        <v>0.054776304963434752</v>
      </c>
      <c r="W120" s="85">
        <f>IF(B120="",0,+$T120*$V120)</f>
        <v>1.2407262427520656</v>
      </c>
      <c r="X120" s="85">
        <f>IF(B120="",0,IF(OR(H120=MappingTables!$C$34,H120=MappingTables!$C$35),W120,0))</f>
        <v>0</v>
      </c>
    </row>
    <row r="121" spans="2:24" s="0" customFormat="0" ht="15">
      <c r="B121" s="69">
        <v>14276868</v>
      </c>
      <c r="C121" s="70" t="s">
        <v>330</v>
      </c>
      <c r="D121" s="70" t="s">
        <v>1</v>
      </c>
      <c r="E121" s="70" t="s">
        <v>1</v>
      </c>
      <c r="F121" s="70"/>
      <c r="G121" s="70" t="s">
        <v>61</v>
      </c>
      <c r="H121" s="70" t="s">
        <v>178</v>
      </c>
      <c r="I121" s="70" t="s">
        <v>188</v>
      </c>
      <c r="J121" s="71">
        <f>IF(OR(I121=0,I121=""),"unrated",VLOOKUP(I121,MappingTables!$B$19:$C$31,2,FALSE))</f>
        <v>2</v>
      </c>
      <c r="K121" s="72">
        <v>17.811051193699206</v>
      </c>
      <c r="L121" s="70">
        <v>0.41917884641230256</v>
      </c>
      <c r="M121" s="71">
        <f>IF(L121&lt;1,1,L121)</f>
        <v>1</v>
      </c>
      <c r="N121" s="70" t="s">
        <v>141</v>
      </c>
      <c r="O121" s="71">
        <f>INDEX(DurClassMapping,MATCH(M121,MappingTables!$D$4:$D$8,-1),1)</f>
        <v>1</v>
      </c>
      <c r="P121" s="73">
        <f>IF(M121=$A$1,1,$M121-INDEX(MappingTables!$E$4:$E$8,MATCH(O121,MappingTables!$B$4:$B$8,0)))</f>
        <v>1</v>
      </c>
      <c r="Q121" s="71">
        <f>IF(B121="",0,INDEX(ModelParameters!$D$6:$K$10,MATCH($O121,ModelParameters!$B$6:$B$10,0),MATCH($J121,ModelParameters!$D$5:$K$5,0)))</f>
        <v>0.013999999999999998</v>
      </c>
      <c r="R121" s="71">
        <f>IF(B121="",0,INDEX(ModelParameters!$D$13:$K$17,MATCH($O121,ModelParameters!$B$13:$B$17,0),MATCH($J121,ModelParameters!$D$5:$K$5,0)))</f>
        <v>0</v>
      </c>
      <c r="S121" s="160">
        <f>IF(B121="",0,MIN(IF($N121="Other Bond TM",ModelParameters!$N$21,1)*(P121*Q121+R121),1))</f>
        <v>0.013999999999999998</v>
      </c>
      <c r="T121" s="85">
        <f>IF(B121="",0,$S121*$K121)</f>
        <v>0.24935471671178888</v>
      </c>
      <c r="U121" s="85">
        <f>IF(B121="",0,IF(OR(H121=MappingTables!$C$34,H121=MappingTables!$C$35),T121,0))</f>
        <v>0</v>
      </c>
      <c r="V121" s="85">
        <f>IF(ISNA(IF(AND(VLOOKUP(CONCATENATE($D121,$G121),CSRFinput!$B:$E,4,0)=0,OR(H121=MappingTables!$C$34,H121=MappingTables!$C$35)),1,VLOOKUP(CONCATENATE($D121,$G121),CSRFinput!$B:$E,4,0))),0,IF(AND(VLOOKUP(CONCATENATE($D121,$G121),CSRFinput!$B:$E,4,0)=0,OR(H121=MappingTables!$C$34,H121=MappingTables!$C$35)),1,VLOOKUP(CONCATENATE($D121,$G121),CSRFinput!$B:$E,4,0)))</f>
        <v>0.054776304963434752</v>
      </c>
      <c r="W121" s="85">
        <f>IF(B121="",0,+$T121*$V121)</f>
        <v>0.013658730006675828</v>
      </c>
      <c r="X121" s="85">
        <f>IF(B121="",0,IF(OR(H121=MappingTables!$C$34,H121=MappingTables!$C$35),W121,0))</f>
        <v>0</v>
      </c>
    </row>
    <row r="122" spans="2:24" s="0" customFormat="0" ht="15">
      <c r="B122" s="69" t="s">
        <v>331</v>
      </c>
      <c r="C122" s="70" t="s">
        <v>332</v>
      </c>
      <c r="D122" s="70" t="s">
        <v>1</v>
      </c>
      <c r="E122" s="70" t="s">
        <v>1</v>
      </c>
      <c r="F122" s="70"/>
      <c r="G122" s="70" t="s">
        <v>61</v>
      </c>
      <c r="H122" s="70" t="s">
        <v>178</v>
      </c>
      <c r="I122" s="70" t="s">
        <v>181</v>
      </c>
      <c r="J122" s="71">
        <f>IF(OR(I122=0,I122=""),"unrated",VLOOKUP(I122,MappingTables!$B$19:$C$31,2,FALSE))</f>
        <v>3</v>
      </c>
      <c r="K122" s="72">
        <v>23.818361129225108</v>
      </c>
      <c r="L122" s="70">
        <v>8.1389246965813296</v>
      </c>
      <c r="M122" s="71">
        <f>IF(L122&lt;1,1,L122)</f>
        <v>8.1389246965813296</v>
      </c>
      <c r="N122" s="70" t="s">
        <v>141</v>
      </c>
      <c r="O122" s="71">
        <f>INDEX(DurClassMapping,MATCH(M122,MappingTables!$D$4:$D$8,-1),1)</f>
        <v>2</v>
      </c>
      <c r="P122" s="73">
        <f>IF(M122=$A$1,1,$M122-INDEX(MappingTables!$E$4:$E$8,MATCH(O122,MappingTables!$B$4:$B$8,0)))</f>
        <v>3.1389246965813288</v>
      </c>
      <c r="Q122" s="71">
        <f>IF(B122="",0,INDEX(ModelParameters!$D$6:$K$10,MATCH($O122,ModelParameters!$B$6:$B$10,0),MATCH($J122,ModelParameters!$D$5:$K$5,0)))</f>
        <v>0.015</v>
      </c>
      <c r="R122" s="71">
        <f>IF(B122="",0,INDEX(ModelParameters!$D$13:$K$17,MATCH($O122,ModelParameters!$B$13:$B$17,0),MATCH($J122,ModelParameters!$D$5:$K$5,0)))</f>
        <v>0.125</v>
      </c>
      <c r="S122" s="160">
        <f>IF(B122="",0,MIN(IF($N122="Other Bond TM",ModelParameters!$N$21,1)*(P122*Q122+R122),1))</f>
        <v>0.17208387044871992</v>
      </c>
      <c r="T122" s="85">
        <f>IF(B122="",0,$S122*$K122)</f>
        <v>4.0987557708623992</v>
      </c>
      <c r="U122" s="85">
        <f>IF(B122="",0,IF(OR(H122=MappingTables!$C$34,H122=MappingTables!$C$35),T122,0))</f>
        <v>0</v>
      </c>
      <c r="V122" s="85">
        <f>IF(ISNA(IF(AND(VLOOKUP(CONCATENATE($D122,$G122),CSRFinput!$B:$E,4,0)=0,OR(H122=MappingTables!$C$34,H122=MappingTables!$C$35)),1,VLOOKUP(CONCATENATE($D122,$G122),CSRFinput!$B:$E,4,0))),0,IF(AND(VLOOKUP(CONCATENATE($D122,$G122),CSRFinput!$B:$E,4,0)=0,OR(H122=MappingTables!$C$34,H122=MappingTables!$C$35)),1,VLOOKUP(CONCATENATE($D122,$G122),CSRFinput!$B:$E,4,0)))</f>
        <v>0.054776304963434752</v>
      </c>
      <c r="W122" s="85">
        <f>IF(B122="",0,+$T122*$V122)</f>
        <v>0.22451469607539688</v>
      </c>
      <c r="X122" s="85">
        <f>IF(B122="",0,IF(OR(H122=MappingTables!$C$34,H122=MappingTables!$C$35),W122,0))</f>
        <v>0</v>
      </c>
    </row>
    <row r="123" spans="2:24" s="0" customFormat="0" ht="15">
      <c r="B123" s="69">
        <v>17407831</v>
      </c>
      <c r="C123" s="70" t="s">
        <v>333</v>
      </c>
      <c r="D123" s="70" t="s">
        <v>1</v>
      </c>
      <c r="E123" s="70" t="s">
        <v>1</v>
      </c>
      <c r="F123" s="70"/>
      <c r="G123" s="70" t="s">
        <v>61</v>
      </c>
      <c r="H123" s="70" t="s">
        <v>178</v>
      </c>
      <c r="I123" s="70" t="s">
        <v>198</v>
      </c>
      <c r="J123" s="71" t="str">
        <f>IF(OR(I123=0,I123=""),"unrated",VLOOKUP(I123,MappingTables!$B$19:$C$31,2,FALSE))</f>
        <v>unrated</v>
      </c>
      <c r="K123" s="72">
        <v>85.1791342285244</v>
      </c>
      <c r="L123" s="70">
        <v>2.3451929739244912</v>
      </c>
      <c r="M123" s="71">
        <f>IF(L123&lt;1,1,L123)</f>
        <v>2.3451929739244912</v>
      </c>
      <c r="N123" s="70" t="s">
        <v>141</v>
      </c>
      <c r="O123" s="71">
        <f>INDEX(DurClassMapping,MATCH(M123,MappingTables!$D$4:$D$8,-1),1)</f>
        <v>1</v>
      </c>
      <c r="P123" s="73">
        <f>IF(M123=$A$1,1,$M123-INDEX(MappingTables!$E$4:$E$8,MATCH(O123,MappingTables!$B$4:$B$8,0)))</f>
        <v>2.3451929739244912</v>
      </c>
      <c r="Q123" s="71">
        <f>IF(B123="",0,INDEX(ModelParameters!$D$6:$K$10,MATCH($O123,ModelParameters!$B$6:$B$10,0),MATCH($J123,ModelParameters!$D$5:$K$5,0)))</f>
        <v>0.03</v>
      </c>
      <c r="R123" s="71">
        <f>IF(B123="",0,INDEX(ModelParameters!$D$13:$K$17,MATCH($O123,ModelParameters!$B$13:$B$17,0),MATCH($J123,ModelParameters!$D$5:$K$5,0)))</f>
        <v>0</v>
      </c>
      <c r="S123" s="160">
        <f>IF(B123="",0,MIN(IF($N123="Other Bond TM",ModelParameters!$N$21,1)*(P123*Q123+R123),1))</f>
        <v>0.070355789217734736</v>
      </c>
      <c r="T123" s="85">
        <f>IF(B123="",0,$S123*$K123)</f>
        <v>5.9928452135311968</v>
      </c>
      <c r="U123" s="85">
        <f>IF(B123="",0,IF(OR(H123=MappingTables!$C$34,H123=MappingTables!$C$35),T123,0))</f>
        <v>0</v>
      </c>
      <c r="V123" s="85">
        <f>IF(ISNA(IF(AND(VLOOKUP(CONCATENATE($D123,$G123),CSRFinput!$B:$E,4,0)=0,OR(H123=MappingTables!$C$34,H123=MappingTables!$C$35)),1,VLOOKUP(CONCATENATE($D123,$G123),CSRFinput!$B:$E,4,0))),0,IF(AND(VLOOKUP(CONCATENATE($D123,$G123),CSRFinput!$B:$E,4,0)=0,OR(H123=MappingTables!$C$34,H123=MappingTables!$C$35)),1,VLOOKUP(CONCATENATE($D123,$G123),CSRFinput!$B:$E,4,0)))</f>
        <v>0.054776304963434752</v>
      </c>
      <c r="W123" s="85">
        <f>IF(B123="",0,+$T123*$V123)</f>
        <v>0.32826591701504508</v>
      </c>
      <c r="X123" s="85">
        <f>IF(B123="",0,IF(OR(H123=MappingTables!$C$34,H123=MappingTables!$C$35),W123,0))</f>
        <v>0</v>
      </c>
    </row>
    <row r="124" spans="2:24" s="0" customFormat="0" ht="15">
      <c r="B124" s="69">
        <v>19132588</v>
      </c>
      <c r="C124" s="70" t="s">
        <v>334</v>
      </c>
      <c r="D124" s="70" t="s">
        <v>1</v>
      </c>
      <c r="E124" s="70" t="s">
        <v>1</v>
      </c>
      <c r="F124" s="70"/>
      <c r="G124" s="70" t="s">
        <v>61</v>
      </c>
      <c r="H124" s="70" t="s">
        <v>178</v>
      </c>
      <c r="I124" s="70" t="s">
        <v>184</v>
      </c>
      <c r="J124" s="71">
        <f>IF(OR(I124=0,I124=""),"unrated",VLOOKUP(I124,MappingTables!$B$19:$C$31,2,FALSE))</f>
        <v>5</v>
      </c>
      <c r="K124" s="72">
        <v>123.0236504083785</v>
      </c>
      <c r="L124" s="70">
        <v>0.57484514268977792</v>
      </c>
      <c r="M124" s="71">
        <f>IF(L124&lt;1,1,L124)</f>
        <v>1</v>
      </c>
      <c r="N124" s="70" t="s">
        <v>141</v>
      </c>
      <c r="O124" s="71">
        <f>INDEX(DurClassMapping,MATCH(M124,MappingTables!$D$4:$D$8,-1),1)</f>
        <v>1</v>
      </c>
      <c r="P124" s="73">
        <f>IF(M124=$A$1,1,$M124-INDEX(MappingTables!$E$4:$E$8,MATCH(O124,MappingTables!$B$4:$B$8,0)))</f>
        <v>1</v>
      </c>
      <c r="Q124" s="71">
        <f>IF(B124="",0,INDEX(ModelParameters!$D$6:$K$10,MATCH($O124,ModelParameters!$B$6:$B$10,0),MATCH($J124,ModelParameters!$D$5:$K$5,0)))</f>
        <v>0.075</v>
      </c>
      <c r="R124" s="71">
        <f>IF(B124="",0,INDEX(ModelParameters!$D$13:$K$17,MATCH($O124,ModelParameters!$B$13:$B$17,0),MATCH($J124,ModelParameters!$D$5:$K$5,0)))</f>
        <v>0</v>
      </c>
      <c r="S124" s="160">
        <f>IF(B124="",0,MIN(IF($N124="Other Bond TM",ModelParameters!$N$21,1)*(P124*Q124+R124),1))</f>
        <v>0.075</v>
      </c>
      <c r="T124" s="85">
        <f>IF(B124="",0,$S124*$K124)</f>
        <v>9.2267737806283872</v>
      </c>
      <c r="U124" s="85">
        <f>IF(B124="",0,IF(OR(H124=MappingTables!$C$34,H124=MappingTables!$C$35),T124,0))</f>
        <v>0</v>
      </c>
      <c r="V124" s="85">
        <f>IF(ISNA(IF(AND(VLOOKUP(CONCATENATE($D124,$G124),CSRFinput!$B:$E,4,0)=0,OR(H124=MappingTables!$C$34,H124=MappingTables!$C$35)),1,VLOOKUP(CONCATENATE($D124,$G124),CSRFinput!$B:$E,4,0))),0,IF(AND(VLOOKUP(CONCATENATE($D124,$G124),CSRFinput!$B:$E,4,0)=0,OR(H124=MappingTables!$C$34,H124=MappingTables!$C$35)),1,VLOOKUP(CONCATENATE($D124,$G124),CSRFinput!$B:$E,4,0)))</f>
        <v>0.054776304963434752</v>
      </c>
      <c r="W124" s="85">
        <f>IF(B124="",0,+$T124*$V124)</f>
        <v>0.5054085744363244</v>
      </c>
      <c r="X124" s="85">
        <f>IF(B124="",0,IF(OR(H124=MappingTables!$C$34,H124=MappingTables!$C$35),W124,0))</f>
        <v>0</v>
      </c>
    </row>
    <row r="125" spans="2:24" s="0" customFormat="0" ht="15">
      <c r="B125" s="69">
        <v>22948279</v>
      </c>
      <c r="C125" s="70" t="s">
        <v>335</v>
      </c>
      <c r="D125" s="70" t="s">
        <v>1</v>
      </c>
      <c r="E125" s="70" t="s">
        <v>1</v>
      </c>
      <c r="F125" s="70"/>
      <c r="G125" s="70" t="s">
        <v>61</v>
      </c>
      <c r="H125" s="70" t="s">
        <v>178</v>
      </c>
      <c r="I125" s="70" t="s">
        <v>181</v>
      </c>
      <c r="J125" s="71">
        <f>IF(OR(I125=0,I125=""),"unrated",VLOOKUP(I125,MappingTables!$B$19:$C$31,2,FALSE))</f>
        <v>3</v>
      </c>
      <c r="K125" s="72">
        <v>4.7782443593241216</v>
      </c>
      <c r="L125" s="70">
        <v>0.36431633601856424</v>
      </c>
      <c r="M125" s="71">
        <f>IF(L125&lt;1,1,L125)</f>
        <v>1</v>
      </c>
      <c r="N125" s="70" t="s">
        <v>141</v>
      </c>
      <c r="O125" s="71">
        <f>INDEX(DurClassMapping,MATCH(M125,MappingTables!$D$4:$D$8,-1),1)</f>
        <v>1</v>
      </c>
      <c r="P125" s="73">
        <f>IF(M125=$A$1,1,$M125-INDEX(MappingTables!$E$4:$E$8,MATCH(O125,MappingTables!$B$4:$B$8,0)))</f>
        <v>1</v>
      </c>
      <c r="Q125" s="71">
        <f>IF(B125="",0,INDEX(ModelParameters!$D$6:$K$10,MATCH($O125,ModelParameters!$B$6:$B$10,0),MATCH($J125,ModelParameters!$D$5:$K$5,0)))</f>
        <v>0.025</v>
      </c>
      <c r="R125" s="71">
        <f>IF(B125="",0,INDEX(ModelParameters!$D$13:$K$17,MATCH($O125,ModelParameters!$B$13:$B$17,0),MATCH($J125,ModelParameters!$D$5:$K$5,0)))</f>
        <v>0</v>
      </c>
      <c r="S125" s="160">
        <f>IF(B125="",0,MIN(IF($N125="Other Bond TM",ModelParameters!$N$21,1)*(P125*Q125+R125),1))</f>
        <v>0.025</v>
      </c>
      <c r="T125" s="85">
        <f>IF(B125="",0,$S125*$K125)</f>
        <v>0.11945610898310304</v>
      </c>
      <c r="U125" s="85">
        <f>IF(B125="",0,IF(OR(H125=MappingTables!$C$34,H125=MappingTables!$C$35),T125,0))</f>
        <v>0</v>
      </c>
      <c r="V125" s="85">
        <f>IF(ISNA(IF(AND(VLOOKUP(CONCATENATE($D125,$G125),CSRFinput!$B:$E,4,0)=0,OR(H125=MappingTables!$C$34,H125=MappingTables!$C$35)),1,VLOOKUP(CONCATENATE($D125,$G125),CSRFinput!$B:$E,4,0))),0,IF(AND(VLOOKUP(CONCATENATE($D125,$G125),CSRFinput!$B:$E,4,0)=0,OR(H125=MappingTables!$C$34,H125=MappingTables!$C$35)),1,VLOOKUP(CONCATENATE($D125,$G125),CSRFinput!$B:$E,4,0)))</f>
        <v>0.054776304963434752</v>
      </c>
      <c r="W125" s="85">
        <f>IF(B125="",0,+$T125*$V125)</f>
        <v>0.0065433642554037504</v>
      </c>
      <c r="X125" s="85">
        <f>IF(B125="",0,IF(OR(H125=MappingTables!$C$34,H125=MappingTables!$C$35),W125,0))</f>
        <v>0</v>
      </c>
    </row>
    <row r="126" spans="2:24" s="0" customFormat="0" ht="15">
      <c r="B126" s="69">
        <v>11063578</v>
      </c>
      <c r="C126" s="70" t="s">
        <v>336</v>
      </c>
      <c r="D126" s="70" t="s">
        <v>1</v>
      </c>
      <c r="E126" s="70" t="s">
        <v>1</v>
      </c>
      <c r="F126" s="70"/>
      <c r="G126" s="70" t="s">
        <v>61</v>
      </c>
      <c r="H126" s="70" t="s">
        <v>178</v>
      </c>
      <c r="I126" s="70" t="s">
        <v>188</v>
      </c>
      <c r="J126" s="71">
        <f>IF(OR(I126=0,I126=""),"unrated",VLOOKUP(I126,MappingTables!$B$19:$C$31,2,FALSE))</f>
        <v>2</v>
      </c>
      <c r="K126" s="72">
        <v>4681.3329293204048</v>
      </c>
      <c r="L126" s="70">
        <v>0.91491328304374848</v>
      </c>
      <c r="M126" s="71">
        <f>IF(L126&lt;1,1,L126)</f>
        <v>1</v>
      </c>
      <c r="N126" s="70" t="s">
        <v>141</v>
      </c>
      <c r="O126" s="71">
        <f>INDEX(DurClassMapping,MATCH(M126,MappingTables!$D$4:$D$8,-1),1)</f>
        <v>1</v>
      </c>
      <c r="P126" s="73">
        <f>IF(M126=$A$1,1,$M126-INDEX(MappingTables!$E$4:$E$8,MATCH(O126,MappingTables!$B$4:$B$8,0)))</f>
        <v>1</v>
      </c>
      <c r="Q126" s="71">
        <f>IF(B126="",0,INDEX(ModelParameters!$D$6:$K$10,MATCH($O126,ModelParameters!$B$6:$B$10,0),MATCH($J126,ModelParameters!$D$5:$K$5,0)))</f>
        <v>0.013999999999999998</v>
      </c>
      <c r="R126" s="71">
        <f>IF(B126="",0,INDEX(ModelParameters!$D$13:$K$17,MATCH($O126,ModelParameters!$B$13:$B$17,0),MATCH($J126,ModelParameters!$D$5:$K$5,0)))</f>
        <v>0</v>
      </c>
      <c r="S126" s="160">
        <f>IF(B126="",0,MIN(IF($N126="Other Bond TM",ModelParameters!$N$21,1)*(P126*Q126+R126),1))</f>
        <v>0.013999999999999998</v>
      </c>
      <c r="T126" s="85">
        <f>IF(B126="",0,$S126*$K126)</f>
        <v>65.538661010485672</v>
      </c>
      <c r="U126" s="85">
        <f>IF(B126="",0,IF(OR(H126=MappingTables!$C$34,H126=MappingTables!$C$35),T126,0))</f>
        <v>0</v>
      </c>
      <c r="V126" s="85">
        <f>IF(ISNA(IF(AND(VLOOKUP(CONCATENATE($D126,$G126),CSRFinput!$B:$E,4,0)=0,OR(H126=MappingTables!$C$34,H126=MappingTables!$C$35)),1,VLOOKUP(CONCATENATE($D126,$G126),CSRFinput!$B:$E,4,0))),0,IF(AND(VLOOKUP(CONCATENATE($D126,$G126),CSRFinput!$B:$E,4,0)=0,OR(H126=MappingTables!$C$34,H126=MappingTables!$C$35)),1,VLOOKUP(CONCATENATE($D126,$G126),CSRFinput!$B:$E,4,0)))</f>
        <v>0.054776304963434752</v>
      </c>
      <c r="W126" s="85">
        <f>IF(B126="",0,+$T126*$V126)</f>
        <v>3.5899656824055336</v>
      </c>
      <c r="X126" s="85">
        <f>IF(B126="",0,IF(OR(H126=MappingTables!$C$34,H126=MappingTables!$C$35),W126,0))</f>
        <v>0</v>
      </c>
    </row>
    <row r="127" spans="2:24" s="0" customFormat="0" ht="15">
      <c r="B127" s="69" t="s">
        <v>337</v>
      </c>
      <c r="C127" s="70" t="s">
        <v>338</v>
      </c>
      <c r="D127" s="70" t="s">
        <v>1</v>
      </c>
      <c r="E127" s="70" t="s">
        <v>1</v>
      </c>
      <c r="F127" s="70"/>
      <c r="G127" s="70" t="s">
        <v>61</v>
      </c>
      <c r="H127" s="70" t="s">
        <v>178</v>
      </c>
      <c r="I127" s="70" t="s">
        <v>198</v>
      </c>
      <c r="J127" s="71" t="str">
        <f>IF(OR(I127=0,I127=""),"unrated",VLOOKUP(I127,MappingTables!$B$19:$C$31,2,FALSE))</f>
        <v>unrated</v>
      </c>
      <c r="K127" s="72">
        <v>0.12048355868525392</v>
      </c>
      <c r="L127" s="70">
        <v>0.28767006436802208</v>
      </c>
      <c r="M127" s="71">
        <f>IF(L127&lt;1,1,L127)</f>
        <v>1</v>
      </c>
      <c r="N127" s="70" t="s">
        <v>141</v>
      </c>
      <c r="O127" s="71">
        <f>INDEX(DurClassMapping,MATCH(M127,MappingTables!$D$4:$D$8,-1),1)</f>
        <v>1</v>
      </c>
      <c r="P127" s="73">
        <f>IF(M127=$A$1,1,$M127-INDEX(MappingTables!$E$4:$E$8,MATCH(O127,MappingTables!$B$4:$B$8,0)))</f>
        <v>1</v>
      </c>
      <c r="Q127" s="71">
        <f>IF(B127="",0,INDEX(ModelParameters!$D$6:$K$10,MATCH($O127,ModelParameters!$B$6:$B$10,0),MATCH($J127,ModelParameters!$D$5:$K$5,0)))</f>
        <v>0.03</v>
      </c>
      <c r="R127" s="71">
        <f>IF(B127="",0,INDEX(ModelParameters!$D$13:$K$17,MATCH($O127,ModelParameters!$B$13:$B$17,0),MATCH($J127,ModelParameters!$D$5:$K$5,0)))</f>
        <v>0</v>
      </c>
      <c r="S127" s="160">
        <f>IF(B127="",0,MIN(IF($N127="Other Bond TM",ModelParameters!$N$21,1)*(P127*Q127+R127),1))</f>
        <v>0.03</v>
      </c>
      <c r="T127" s="85">
        <f>IF(B127="",0,$S127*$K127)</f>
        <v>0.0036145067605576176</v>
      </c>
      <c r="U127" s="85">
        <f>IF(B127="",0,IF(OR(H127=MappingTables!$C$34,H127=MappingTables!$C$35),T127,0))</f>
        <v>0</v>
      </c>
      <c r="V127" s="85">
        <f>IF(ISNA(IF(AND(VLOOKUP(CONCATENATE($D127,$G127),CSRFinput!$B:$E,4,0)=0,OR(H127=MappingTables!$C$34,H127=MappingTables!$C$35)),1,VLOOKUP(CONCATENATE($D127,$G127),CSRFinput!$B:$E,4,0))),0,IF(AND(VLOOKUP(CONCATENATE($D127,$G127),CSRFinput!$B:$E,4,0)=0,OR(H127=MappingTables!$C$34,H127=MappingTables!$C$35)),1,VLOOKUP(CONCATENATE($D127,$G127),CSRFinput!$B:$E,4,0)))</f>
        <v>0.054776304963434752</v>
      </c>
      <c r="W127" s="85">
        <f>IF(B127="",0,+$T127*$V127)</f>
        <v>0.00019798932460870068</v>
      </c>
      <c r="X127" s="85">
        <f>IF(B127="",0,IF(OR(H127=MappingTables!$C$34,H127=MappingTables!$C$35),W127,0))</f>
        <v>0</v>
      </c>
    </row>
    <row r="128" spans="2:24" s="0" customFormat="0" ht="15">
      <c r="B128" s="69">
        <v>23127282</v>
      </c>
      <c r="C128" s="70" t="s">
        <v>339</v>
      </c>
      <c r="D128" s="70" t="s">
        <v>1</v>
      </c>
      <c r="E128" s="70" t="s">
        <v>1</v>
      </c>
      <c r="F128" s="70"/>
      <c r="G128" s="70" t="s">
        <v>61</v>
      </c>
      <c r="H128" s="70" t="s">
        <v>178</v>
      </c>
      <c r="I128" s="70" t="s">
        <v>184</v>
      </c>
      <c r="J128" s="71">
        <f>IF(OR(I128=0,I128=""),"unrated",VLOOKUP(I128,MappingTables!$B$19:$C$31,2,FALSE))</f>
        <v>5</v>
      </c>
      <c r="K128" s="72">
        <v>939.0866015296512</v>
      </c>
      <c r="L128" s="70">
        <v>1.3117564836601522</v>
      </c>
      <c r="M128" s="71">
        <f>IF(L128&lt;1,1,L128)</f>
        <v>1.3117564836601522</v>
      </c>
      <c r="N128" s="70" t="s">
        <v>141</v>
      </c>
      <c r="O128" s="71">
        <f>INDEX(DurClassMapping,MATCH(M128,MappingTables!$D$4:$D$8,-1),1)</f>
        <v>1</v>
      </c>
      <c r="P128" s="73">
        <f>IF(M128=$A$1,1,$M128-INDEX(MappingTables!$E$4:$E$8,MATCH(O128,MappingTables!$B$4:$B$8,0)))</f>
        <v>1.3117564836601522</v>
      </c>
      <c r="Q128" s="71">
        <f>IF(B128="",0,INDEX(ModelParameters!$D$6:$K$10,MATCH($O128,ModelParameters!$B$6:$B$10,0),MATCH($J128,ModelParameters!$D$5:$K$5,0)))</f>
        <v>0.075</v>
      </c>
      <c r="R128" s="71">
        <f>IF(B128="",0,INDEX(ModelParameters!$D$13:$K$17,MATCH($O128,ModelParameters!$B$13:$B$17,0),MATCH($J128,ModelParameters!$D$5:$K$5,0)))</f>
        <v>0</v>
      </c>
      <c r="S128" s="160">
        <f>IF(B128="",0,MIN(IF($N128="Other Bond TM",ModelParameters!$N$21,1)*(P128*Q128+R128),1))</f>
        <v>0.098381736274511424</v>
      </c>
      <c r="T128" s="85">
        <f>IF(B128="",0,$S128*$K128)</f>
        <v>92.388970370617344</v>
      </c>
      <c r="U128" s="85">
        <f>IF(B128="",0,IF(OR(H128=MappingTables!$C$34,H128=MappingTables!$C$35),T128,0))</f>
        <v>0</v>
      </c>
      <c r="V128" s="85">
        <f>IF(ISNA(IF(AND(VLOOKUP(CONCATENATE($D128,$G128),CSRFinput!$B:$E,4,0)=0,OR(H128=MappingTables!$C$34,H128=MappingTables!$C$35)),1,VLOOKUP(CONCATENATE($D128,$G128),CSRFinput!$B:$E,4,0))),0,IF(AND(VLOOKUP(CONCATENATE($D128,$G128),CSRFinput!$B:$E,4,0)=0,OR(H128=MappingTables!$C$34,H128=MappingTables!$C$35)),1,VLOOKUP(CONCATENATE($D128,$G128),CSRFinput!$B:$E,4,0)))</f>
        <v>0.054776304963434752</v>
      </c>
      <c r="W128" s="85">
        <f>IF(B128="",0,+$T128*$V128)</f>
        <v>5.0607264162786736</v>
      </c>
      <c r="X128" s="85">
        <f>IF(B128="",0,IF(OR(H128=MappingTables!$C$34,H128=MappingTables!$C$35),W128,0))</f>
        <v>0</v>
      </c>
    </row>
    <row r="129" spans="2:24" s="0" customFormat="0" ht="15">
      <c r="B129" s="69">
        <v>19178600</v>
      </c>
      <c r="C129" s="70" t="s">
        <v>340</v>
      </c>
      <c r="D129" s="70" t="s">
        <v>1</v>
      </c>
      <c r="E129" s="70" t="s">
        <v>1</v>
      </c>
      <c r="F129" s="70"/>
      <c r="G129" s="70" t="s">
        <v>61</v>
      </c>
      <c r="H129" s="70" t="s">
        <v>178</v>
      </c>
      <c r="I129" s="70" t="s">
        <v>179</v>
      </c>
      <c r="J129" s="71">
        <f>IF(OR(I129=0,I129=""),"unrated",VLOOKUP(I129,MappingTables!$B$19:$C$31,2,FALSE))</f>
        <v>4</v>
      </c>
      <c r="K129" s="72">
        <v>5005.3179911792056</v>
      </c>
      <c r="L129" s="70">
        <v>5.836151685432372</v>
      </c>
      <c r="M129" s="71">
        <f>IF(L129&lt;1,1,L129)</f>
        <v>5.836151685432372</v>
      </c>
      <c r="N129" s="70" t="s">
        <v>141</v>
      </c>
      <c r="O129" s="71">
        <f>INDEX(DurClassMapping,MATCH(M129,MappingTables!$D$4:$D$8,-1),1)</f>
        <v>2</v>
      </c>
      <c r="P129" s="73">
        <f>IF(M129=$A$1,1,$M129-INDEX(MappingTables!$E$4:$E$8,MATCH(O129,MappingTables!$B$4:$B$8,0)))</f>
        <v>0.83615168543237232</v>
      </c>
      <c r="Q129" s="71">
        <f>IF(B129="",0,INDEX(ModelParameters!$D$6:$K$10,MATCH($O129,ModelParameters!$B$6:$B$10,0),MATCH($J129,ModelParameters!$D$5:$K$5,0)))</f>
        <v>0.025</v>
      </c>
      <c r="R129" s="71">
        <f>IF(B129="",0,INDEX(ModelParameters!$D$13:$K$17,MATCH($O129,ModelParameters!$B$13:$B$17,0),MATCH($J129,ModelParameters!$D$5:$K$5,0)))</f>
        <v>0.225</v>
      </c>
      <c r="S129" s="160">
        <f>IF(B129="",0,MIN(IF($N129="Other Bond TM",ModelParameters!$N$21,1)*(P129*Q129+R129),1))</f>
        <v>0.24590379213580932</v>
      </c>
      <c r="T129" s="85">
        <f>IF(B129="",0,$S129*$K129)</f>
        <v>1230.8266748765582</v>
      </c>
      <c r="U129" s="85">
        <f>IF(B129="",0,IF(OR(H129=MappingTables!$C$34,H129=MappingTables!$C$35),T129,0))</f>
        <v>0</v>
      </c>
      <c r="V129" s="85">
        <f>IF(ISNA(IF(AND(VLOOKUP(CONCATENATE($D129,$G129),CSRFinput!$B:$E,4,0)=0,OR(H129=MappingTables!$C$34,H129=MappingTables!$C$35)),1,VLOOKUP(CONCATENATE($D129,$G129),CSRFinput!$B:$E,4,0))),0,IF(AND(VLOOKUP(CONCATENATE($D129,$G129),CSRFinput!$B:$E,4,0)=0,OR(H129=MappingTables!$C$34,H129=MappingTables!$C$35)),1,VLOOKUP(CONCATENATE($D129,$G129),CSRFinput!$B:$E,4,0)))</f>
        <v>0.054776304963434752</v>
      </c>
      <c r="W129" s="85">
        <f>IF(B129="",0,+$T129*$V129)</f>
        <v>67.420137300168704</v>
      </c>
      <c r="X129" s="85">
        <f>IF(B129="",0,IF(OR(H129=MappingTables!$C$34,H129=MappingTables!$C$35),W129,0))</f>
        <v>0</v>
      </c>
    </row>
    <row r="130" spans="2:24" s="0" customFormat="0" ht="15">
      <c r="B130" s="69">
        <v>16092812</v>
      </c>
      <c r="C130" s="70" t="s">
        <v>341</v>
      </c>
      <c r="D130" s="70" t="s">
        <v>1</v>
      </c>
      <c r="E130" s="70" t="s">
        <v>1</v>
      </c>
      <c r="F130" s="70"/>
      <c r="G130" s="70" t="s">
        <v>61</v>
      </c>
      <c r="H130" s="70" t="s">
        <v>178</v>
      </c>
      <c r="I130" s="70" t="s">
        <v>181</v>
      </c>
      <c r="J130" s="71">
        <f>IF(OR(I130=0,I130=""),"unrated",VLOOKUP(I130,MappingTables!$B$19:$C$31,2,FALSE))</f>
        <v>3</v>
      </c>
      <c r="K130" s="72">
        <v>5068.2961926709704</v>
      </c>
      <c r="L130" s="70">
        <v>1.3689206418431932</v>
      </c>
      <c r="M130" s="71">
        <f>IF(L130&lt;1,1,L130)</f>
        <v>1.3689206418431932</v>
      </c>
      <c r="N130" s="70" t="s">
        <v>141</v>
      </c>
      <c r="O130" s="71">
        <f>INDEX(DurClassMapping,MATCH(M130,MappingTables!$D$4:$D$8,-1),1)</f>
        <v>1</v>
      </c>
      <c r="P130" s="73">
        <f>IF(M130=$A$1,1,$M130-INDEX(MappingTables!$E$4:$E$8,MATCH(O130,MappingTables!$B$4:$B$8,0)))</f>
        <v>1.3689206418431932</v>
      </c>
      <c r="Q130" s="71">
        <f>IF(B130="",0,INDEX(ModelParameters!$D$6:$K$10,MATCH($O130,ModelParameters!$B$6:$B$10,0),MATCH($J130,ModelParameters!$D$5:$K$5,0)))</f>
        <v>0.025</v>
      </c>
      <c r="R130" s="71">
        <f>IF(B130="",0,INDEX(ModelParameters!$D$13:$K$17,MATCH($O130,ModelParameters!$B$13:$B$17,0),MATCH($J130,ModelParameters!$D$5:$K$5,0)))</f>
        <v>0</v>
      </c>
      <c r="S130" s="160">
        <f>IF(B130="",0,MIN(IF($N130="Other Bond TM",ModelParameters!$N$21,1)*(P130*Q130+R130),1))</f>
        <v>0.034223016046079828</v>
      </c>
      <c r="T130" s="85">
        <f>IF(B130="",0,$S130*$K130)</f>
        <v>173.45238192806392</v>
      </c>
      <c r="U130" s="85">
        <f>IF(B130="",0,IF(OR(H130=MappingTables!$C$34,H130=MappingTables!$C$35),T130,0))</f>
        <v>0</v>
      </c>
      <c r="V130" s="85">
        <f>IF(ISNA(IF(AND(VLOOKUP(CONCATENATE($D130,$G130),CSRFinput!$B:$E,4,0)=0,OR(H130=MappingTables!$C$34,H130=MappingTables!$C$35)),1,VLOOKUP(CONCATENATE($D130,$G130),CSRFinput!$B:$E,4,0))),0,IF(AND(VLOOKUP(CONCATENATE($D130,$G130),CSRFinput!$B:$E,4,0)=0,OR(H130=MappingTables!$C$34,H130=MappingTables!$C$35)),1,VLOOKUP(CONCATENATE($D130,$G130),CSRFinput!$B:$E,4,0)))</f>
        <v>0.054776304963434752</v>
      </c>
      <c r="W130" s="85">
        <f>IF(B130="",0,+$T130*$V130)</f>
        <v>9.5010805691257888</v>
      </c>
      <c r="X130" s="85">
        <f>IF(B130="",0,IF(OR(H130=MappingTables!$C$34,H130=MappingTables!$C$35),W130,0))</f>
        <v>0</v>
      </c>
    </row>
    <row r="131" spans="2:24" s="0" customFormat="0" ht="15">
      <c r="B131" s="69">
        <v>18173009</v>
      </c>
      <c r="C131" s="70" t="s">
        <v>342</v>
      </c>
      <c r="D131" s="70" t="s">
        <v>1</v>
      </c>
      <c r="E131" s="70" t="s">
        <v>1</v>
      </c>
      <c r="F131" s="70"/>
      <c r="G131" s="70" t="s">
        <v>61</v>
      </c>
      <c r="H131" s="70" t="s">
        <v>178</v>
      </c>
      <c r="I131" s="70" t="s">
        <v>181</v>
      </c>
      <c r="J131" s="71">
        <f>IF(OR(I131=0,I131=""),"unrated",VLOOKUP(I131,MappingTables!$B$19:$C$31,2,FALSE))</f>
        <v>3</v>
      </c>
      <c r="K131" s="72">
        <v>616.98660616210952</v>
      </c>
      <c r="L131" s="70">
        <v>6.6155259526019648</v>
      </c>
      <c r="M131" s="71">
        <f>IF(L131&lt;1,1,L131)</f>
        <v>6.6155259526019648</v>
      </c>
      <c r="N131" s="70" t="s">
        <v>141</v>
      </c>
      <c r="O131" s="71">
        <f>INDEX(DurClassMapping,MATCH(M131,MappingTables!$D$4:$D$8,-1),1)</f>
        <v>2</v>
      </c>
      <c r="P131" s="73">
        <f>IF(M131=$A$1,1,$M131-INDEX(MappingTables!$E$4:$E$8,MATCH(O131,MappingTables!$B$4:$B$8,0)))</f>
        <v>1.6155259526019652</v>
      </c>
      <c r="Q131" s="71">
        <f>IF(B131="",0,INDEX(ModelParameters!$D$6:$K$10,MATCH($O131,ModelParameters!$B$6:$B$10,0),MATCH($J131,ModelParameters!$D$5:$K$5,0)))</f>
        <v>0.015</v>
      </c>
      <c r="R131" s="71">
        <f>IF(B131="",0,INDEX(ModelParameters!$D$13:$K$17,MATCH($O131,ModelParameters!$B$13:$B$17,0),MATCH($J131,ModelParameters!$D$5:$K$5,0)))</f>
        <v>0.125</v>
      </c>
      <c r="S131" s="160">
        <f>IF(B131="",0,MIN(IF($N131="Other Bond TM",ModelParameters!$N$21,1)*(P131*Q131+R131),1))</f>
        <v>0.14923288928902948</v>
      </c>
      <c r="T131" s="85">
        <f>IF(B131="",0,$S131*$K131)</f>
        <v>92.074693890204112</v>
      </c>
      <c r="U131" s="85">
        <f>IF(B131="",0,IF(OR(H131=MappingTables!$C$34,H131=MappingTables!$C$35),T131,0))</f>
        <v>0</v>
      </c>
      <c r="V131" s="85">
        <f>IF(ISNA(IF(AND(VLOOKUP(CONCATENATE($D131,$G131),CSRFinput!$B:$E,4,0)=0,OR(H131=MappingTables!$C$34,H131=MappingTables!$C$35)),1,VLOOKUP(CONCATENATE($D131,$G131),CSRFinput!$B:$E,4,0))),0,IF(AND(VLOOKUP(CONCATENATE($D131,$G131),CSRFinput!$B:$E,4,0)=0,OR(H131=MappingTables!$C$34,H131=MappingTables!$C$35)),1,VLOOKUP(CONCATENATE($D131,$G131),CSRFinput!$B:$E,4,0)))</f>
        <v>0.054776304963434752</v>
      </c>
      <c r="W131" s="85">
        <f>IF(B131="",0,+$T131*$V131)</f>
        <v>5.0435115119447232</v>
      </c>
      <c r="X131" s="85">
        <f>IF(B131="",0,IF(OR(H131=MappingTables!$C$34,H131=MappingTables!$C$35),W131,0))</f>
        <v>0</v>
      </c>
    </row>
    <row r="132" spans="2:24" s="0" customFormat="0" ht="15">
      <c r="B132" s="69">
        <v>15815020</v>
      </c>
      <c r="C132" s="70" t="s">
        <v>343</v>
      </c>
      <c r="D132" s="70" t="s">
        <v>1</v>
      </c>
      <c r="E132" s="70" t="s">
        <v>1</v>
      </c>
      <c r="F132" s="70"/>
      <c r="G132" s="70" t="s">
        <v>61</v>
      </c>
      <c r="H132" s="70" t="s">
        <v>178</v>
      </c>
      <c r="I132" s="70" t="s">
        <v>181</v>
      </c>
      <c r="J132" s="71">
        <f>IF(OR(I132=0,I132=""),"unrated",VLOOKUP(I132,MappingTables!$B$19:$C$31,2,FALSE))</f>
        <v>3</v>
      </c>
      <c r="K132" s="72">
        <v>6.319115662258488</v>
      </c>
      <c r="L132" s="70">
        <v>1.1392457491742344</v>
      </c>
      <c r="M132" s="71">
        <f>IF(L132&lt;1,1,L132)</f>
        <v>1.1392457491742344</v>
      </c>
      <c r="N132" s="70" t="s">
        <v>141</v>
      </c>
      <c r="O132" s="71">
        <f>INDEX(DurClassMapping,MATCH(M132,MappingTables!$D$4:$D$8,-1),1)</f>
        <v>1</v>
      </c>
      <c r="P132" s="73">
        <f>IF(M132=$A$1,1,$M132-INDEX(MappingTables!$E$4:$E$8,MATCH(O132,MappingTables!$B$4:$B$8,0)))</f>
        <v>1.1392457491742344</v>
      </c>
      <c r="Q132" s="71">
        <f>IF(B132="",0,INDEX(ModelParameters!$D$6:$K$10,MATCH($O132,ModelParameters!$B$6:$B$10,0),MATCH($J132,ModelParameters!$D$5:$K$5,0)))</f>
        <v>0.025</v>
      </c>
      <c r="R132" s="71">
        <f>IF(B132="",0,INDEX(ModelParameters!$D$13:$K$17,MATCH($O132,ModelParameters!$B$13:$B$17,0),MATCH($J132,ModelParameters!$D$5:$K$5,0)))</f>
        <v>0</v>
      </c>
      <c r="S132" s="160">
        <f>IF(B132="",0,MIN(IF($N132="Other Bond TM",ModelParameters!$N$21,1)*(P132*Q132+R132),1))</f>
        <v>0.028481143729355864</v>
      </c>
      <c r="T132" s="85">
        <f>IF(B132="",0,$S132*$K132)</f>
        <v>0.17997564141920778</v>
      </c>
      <c r="U132" s="85">
        <f>IF(B132="",0,IF(OR(H132=MappingTables!$C$34,H132=MappingTables!$C$35),T132,0))</f>
        <v>0</v>
      </c>
      <c r="V132" s="85">
        <f>IF(ISNA(IF(AND(VLOOKUP(CONCATENATE($D132,$G132),CSRFinput!$B:$E,4,0)=0,OR(H132=MappingTables!$C$34,H132=MappingTables!$C$35)),1,VLOOKUP(CONCATENATE($D132,$G132),CSRFinput!$B:$E,4,0))),0,IF(AND(VLOOKUP(CONCATENATE($D132,$G132),CSRFinput!$B:$E,4,0)=0,OR(H132=MappingTables!$C$34,H132=MappingTables!$C$35)),1,VLOOKUP(CONCATENATE($D132,$G132),CSRFinput!$B:$E,4,0)))</f>
        <v>0.054776304963434752</v>
      </c>
      <c r="W132" s="85">
        <f>IF(B132="",0,+$T132*$V132)</f>
        <v>0.009858400620368304</v>
      </c>
      <c r="X132" s="85">
        <f>IF(B132="",0,IF(OR(H132=MappingTables!$C$34,H132=MappingTables!$C$35),W132,0))</f>
        <v>0</v>
      </c>
    </row>
    <row r="133" spans="2:24" s="0" customFormat="0" ht="15">
      <c r="B133" s="69">
        <v>17921546</v>
      </c>
      <c r="C133" s="70" t="s">
        <v>344</v>
      </c>
      <c r="D133" s="70" t="s">
        <v>1</v>
      </c>
      <c r="E133" s="70" t="s">
        <v>1</v>
      </c>
      <c r="F133" s="70"/>
      <c r="G133" s="70" t="s">
        <v>61</v>
      </c>
      <c r="H133" s="70" t="s">
        <v>178</v>
      </c>
      <c r="I133" s="70" t="s">
        <v>181</v>
      </c>
      <c r="J133" s="71">
        <f>IF(OR(I133=0,I133=""),"unrated",VLOOKUP(I133,MappingTables!$B$19:$C$31,2,FALSE))</f>
        <v>3</v>
      </c>
      <c r="K133" s="72">
        <v>3624.6620765057184</v>
      </c>
      <c r="L133" s="70">
        <v>7.1262083093848608</v>
      </c>
      <c r="M133" s="71">
        <f>IF(L133&lt;1,1,L133)</f>
        <v>7.1262083093848608</v>
      </c>
      <c r="N133" s="70" t="s">
        <v>141</v>
      </c>
      <c r="O133" s="71">
        <f>INDEX(DurClassMapping,MATCH(M133,MappingTables!$D$4:$D$8,-1),1)</f>
        <v>2</v>
      </c>
      <c r="P133" s="73">
        <f>IF(M133=$A$1,1,$M133-INDEX(MappingTables!$E$4:$E$8,MATCH(O133,MappingTables!$B$4:$B$8,0)))</f>
        <v>2.1262083093848608</v>
      </c>
      <c r="Q133" s="71">
        <f>IF(B133="",0,INDEX(ModelParameters!$D$6:$K$10,MATCH($O133,ModelParameters!$B$6:$B$10,0),MATCH($J133,ModelParameters!$D$5:$K$5,0)))</f>
        <v>0.015</v>
      </c>
      <c r="R133" s="71">
        <f>IF(B133="",0,INDEX(ModelParameters!$D$13:$K$17,MATCH($O133,ModelParameters!$B$13:$B$17,0),MATCH($J133,ModelParameters!$D$5:$K$5,0)))</f>
        <v>0.125</v>
      </c>
      <c r="S133" s="160">
        <f>IF(B133="",0,MIN(IF($N133="Other Bond TM",ModelParameters!$N$21,1)*(P133*Q133+R133),1))</f>
        <v>0.15689312464077292</v>
      </c>
      <c r="T133" s="85">
        <f>IF(B133="",0,$S133*$K133)</f>
        <v>568.68455894989448</v>
      </c>
      <c r="U133" s="85">
        <f>IF(B133="",0,IF(OR(H133=MappingTables!$C$34,H133=MappingTables!$C$35),T133,0))</f>
        <v>0</v>
      </c>
      <c r="V133" s="85">
        <f>IF(ISNA(IF(AND(VLOOKUP(CONCATENATE($D133,$G133),CSRFinput!$B:$E,4,0)=0,OR(H133=MappingTables!$C$34,H133=MappingTables!$C$35)),1,VLOOKUP(CONCATENATE($D133,$G133),CSRFinput!$B:$E,4,0))),0,IF(AND(VLOOKUP(CONCATENATE($D133,$G133),CSRFinput!$B:$E,4,0)=0,OR(H133=MappingTables!$C$34,H133=MappingTables!$C$35)),1,VLOOKUP(CONCATENATE($D133,$G133),CSRFinput!$B:$E,4,0)))</f>
        <v>0.054776304963434752</v>
      </c>
      <c r="W133" s="85">
        <f>IF(B133="",0,+$T133*$V133)</f>
        <v>31.150438829035812</v>
      </c>
      <c r="X133" s="85">
        <f>IF(B133="",0,IF(OR(H133=MappingTables!$C$34,H133=MappingTables!$C$35),W133,0))</f>
        <v>0</v>
      </c>
    </row>
    <row r="134" spans="2:24" s="0" customFormat="0" ht="15">
      <c r="B134" s="69">
        <v>6839913</v>
      </c>
      <c r="C134" s="70" t="s">
        <v>345</v>
      </c>
      <c r="D134" s="70" t="s">
        <v>1</v>
      </c>
      <c r="E134" s="70" t="s">
        <v>1</v>
      </c>
      <c r="F134" s="70"/>
      <c r="G134" s="70" t="s">
        <v>61</v>
      </c>
      <c r="H134" s="70" t="s">
        <v>178</v>
      </c>
      <c r="I134" s="70" t="s">
        <v>181</v>
      </c>
      <c r="J134" s="71">
        <f>IF(OR(I134=0,I134=""),"unrated",VLOOKUP(I134,MappingTables!$B$19:$C$31,2,FALSE))</f>
        <v>3</v>
      </c>
      <c r="K134" s="72">
        <v>7.6072954484639264</v>
      </c>
      <c r="L134" s="70">
        <v>0.079453325160992816</v>
      </c>
      <c r="M134" s="71">
        <f>IF(L134&lt;1,1,L134)</f>
        <v>1</v>
      </c>
      <c r="N134" s="70" t="s">
        <v>141</v>
      </c>
      <c r="O134" s="71">
        <f>INDEX(DurClassMapping,MATCH(M134,MappingTables!$D$4:$D$8,-1),1)</f>
        <v>1</v>
      </c>
      <c r="P134" s="73">
        <f>IF(M134=$A$1,1,$M134-INDEX(MappingTables!$E$4:$E$8,MATCH(O134,MappingTables!$B$4:$B$8,0)))</f>
        <v>1</v>
      </c>
      <c r="Q134" s="71">
        <f>IF(B134="",0,INDEX(ModelParameters!$D$6:$K$10,MATCH($O134,ModelParameters!$B$6:$B$10,0),MATCH($J134,ModelParameters!$D$5:$K$5,0)))</f>
        <v>0.025</v>
      </c>
      <c r="R134" s="71">
        <f>IF(B134="",0,INDEX(ModelParameters!$D$13:$K$17,MATCH($O134,ModelParameters!$B$13:$B$17,0),MATCH($J134,ModelParameters!$D$5:$K$5,0)))</f>
        <v>0</v>
      </c>
      <c r="S134" s="160">
        <f>IF(B134="",0,MIN(IF($N134="Other Bond TM",ModelParameters!$N$21,1)*(P134*Q134+R134),1))</f>
        <v>0.025</v>
      </c>
      <c r="T134" s="85">
        <f>IF(B134="",0,$S134*$K134)</f>
        <v>0.19018238621159816</v>
      </c>
      <c r="U134" s="85">
        <f>IF(B134="",0,IF(OR(H134=MappingTables!$C$34,H134=MappingTables!$C$35),T134,0))</f>
        <v>0</v>
      </c>
      <c r="V134" s="85">
        <f>IF(ISNA(IF(AND(VLOOKUP(CONCATENATE($D134,$G134),CSRFinput!$B:$E,4,0)=0,OR(H134=MappingTables!$C$34,H134=MappingTables!$C$35)),1,VLOOKUP(CONCATENATE($D134,$G134),CSRFinput!$B:$E,4,0))),0,IF(AND(VLOOKUP(CONCATENATE($D134,$G134),CSRFinput!$B:$E,4,0)=0,OR(H134=MappingTables!$C$34,H134=MappingTables!$C$35)),1,VLOOKUP(CONCATENATE($D134,$G134),CSRFinput!$B:$E,4,0)))</f>
        <v>0.054776304963434752</v>
      </c>
      <c r="W134" s="85">
        <f>IF(B134="",0,+$T134*$V134)</f>
        <v>0.01041748838580023</v>
      </c>
      <c r="X134" s="85">
        <f>IF(B134="",0,IF(OR(H134=MappingTables!$C$34,H134=MappingTables!$C$35),W134,0))</f>
        <v>0</v>
      </c>
    </row>
    <row r="135" spans="2:24" s="0" customFormat="0" ht="15">
      <c r="B135" s="69">
        <v>22554485</v>
      </c>
      <c r="C135" s="70" t="s">
        <v>346</v>
      </c>
      <c r="D135" s="70" t="s">
        <v>1</v>
      </c>
      <c r="E135" s="70" t="s">
        <v>1</v>
      </c>
      <c r="F135" s="70"/>
      <c r="G135" s="70" t="s">
        <v>61</v>
      </c>
      <c r="H135" s="70" t="s">
        <v>178</v>
      </c>
      <c r="I135" s="70" t="s">
        <v>181</v>
      </c>
      <c r="J135" s="71">
        <f>IF(OR(I135=0,I135=""),"unrated",VLOOKUP(I135,MappingTables!$B$19:$C$31,2,FALSE))</f>
        <v>3</v>
      </c>
      <c r="K135" s="72">
        <v>492.4091351677964</v>
      </c>
      <c r="L135" s="70">
        <v>0.28702194509839584</v>
      </c>
      <c r="M135" s="71">
        <f>IF(L135&lt;1,1,L135)</f>
        <v>1</v>
      </c>
      <c r="N135" s="70" t="s">
        <v>141</v>
      </c>
      <c r="O135" s="71">
        <f>INDEX(DurClassMapping,MATCH(M135,MappingTables!$D$4:$D$8,-1),1)</f>
        <v>1</v>
      </c>
      <c r="P135" s="73">
        <f>IF(M135=$A$1,1,$M135-INDEX(MappingTables!$E$4:$E$8,MATCH(O135,MappingTables!$B$4:$B$8,0)))</f>
        <v>1</v>
      </c>
      <c r="Q135" s="71">
        <f>IF(B135="",0,INDEX(ModelParameters!$D$6:$K$10,MATCH($O135,ModelParameters!$B$6:$B$10,0),MATCH($J135,ModelParameters!$D$5:$K$5,0)))</f>
        <v>0.025</v>
      </c>
      <c r="R135" s="71">
        <f>IF(B135="",0,INDEX(ModelParameters!$D$13:$K$17,MATCH($O135,ModelParameters!$B$13:$B$17,0),MATCH($J135,ModelParameters!$D$5:$K$5,0)))</f>
        <v>0</v>
      </c>
      <c r="S135" s="160">
        <f>IF(B135="",0,MIN(IF($N135="Other Bond TM",ModelParameters!$N$21,1)*(P135*Q135+R135),1))</f>
        <v>0.025</v>
      </c>
      <c r="T135" s="85">
        <f>IF(B135="",0,$S135*$K135)</f>
        <v>12.31022837919491</v>
      </c>
      <c r="U135" s="85">
        <f>IF(B135="",0,IF(OR(H135=MappingTables!$C$34,H135=MappingTables!$C$35),T135,0))</f>
        <v>0</v>
      </c>
      <c r="V135" s="85">
        <f>IF(ISNA(IF(AND(VLOOKUP(CONCATENATE($D135,$G135),CSRFinput!$B:$E,4,0)=0,OR(H135=MappingTables!$C$34,H135=MappingTables!$C$35)),1,VLOOKUP(CONCATENATE($D135,$G135),CSRFinput!$B:$E,4,0))),0,IF(AND(VLOOKUP(CONCATENATE($D135,$G135),CSRFinput!$B:$E,4,0)=0,OR(H135=MappingTables!$C$34,H135=MappingTables!$C$35)),1,VLOOKUP(CONCATENATE($D135,$G135),CSRFinput!$B:$E,4,0)))</f>
        <v>0.054776304963434752</v>
      </c>
      <c r="W135" s="85">
        <f>IF(B135="",0,+$T135*$V135)</f>
        <v>0.6743088238683096</v>
      </c>
      <c r="X135" s="85">
        <f>IF(B135="",0,IF(OR(H135=MappingTables!$C$34,H135=MappingTables!$C$35),W135,0))</f>
        <v>0</v>
      </c>
    </row>
    <row r="136" spans="2:24" s="0" customFormat="0" ht="15">
      <c r="B136" s="69">
        <v>22062088</v>
      </c>
      <c r="C136" s="70" t="s">
        <v>347</v>
      </c>
      <c r="D136" s="70" t="s">
        <v>1</v>
      </c>
      <c r="E136" s="70" t="s">
        <v>1</v>
      </c>
      <c r="F136" s="70"/>
      <c r="G136" s="70" t="s">
        <v>61</v>
      </c>
      <c r="H136" s="70" t="s">
        <v>178</v>
      </c>
      <c r="I136" s="70" t="s">
        <v>188</v>
      </c>
      <c r="J136" s="71">
        <f>IF(OR(I136=0,I136=""),"unrated",VLOOKUP(I136,MappingTables!$B$19:$C$31,2,FALSE))</f>
        <v>2</v>
      </c>
      <c r="K136" s="72">
        <v>213.11840283739812</v>
      </c>
      <c r="L136" s="70">
        <v>0.91535037731178688</v>
      </c>
      <c r="M136" s="71">
        <f>IF(L136&lt;1,1,L136)</f>
        <v>1</v>
      </c>
      <c r="N136" s="70" t="s">
        <v>141</v>
      </c>
      <c r="O136" s="71">
        <f>INDEX(DurClassMapping,MATCH(M136,MappingTables!$D$4:$D$8,-1),1)</f>
        <v>1</v>
      </c>
      <c r="P136" s="73">
        <f>IF(M136=$A$1,1,$M136-INDEX(MappingTables!$E$4:$E$8,MATCH(O136,MappingTables!$B$4:$B$8,0)))</f>
        <v>1</v>
      </c>
      <c r="Q136" s="71">
        <f>IF(B136="",0,INDEX(ModelParameters!$D$6:$K$10,MATCH($O136,ModelParameters!$B$6:$B$10,0),MATCH($J136,ModelParameters!$D$5:$K$5,0)))</f>
        <v>0.013999999999999998</v>
      </c>
      <c r="R136" s="71">
        <f>IF(B136="",0,INDEX(ModelParameters!$D$13:$K$17,MATCH($O136,ModelParameters!$B$13:$B$17,0),MATCH($J136,ModelParameters!$D$5:$K$5,0)))</f>
        <v>0</v>
      </c>
      <c r="S136" s="160">
        <f>IF(B136="",0,MIN(IF($N136="Other Bond TM",ModelParameters!$N$21,1)*(P136*Q136+R136),1))</f>
        <v>0.013999999999999998</v>
      </c>
      <c r="T136" s="85">
        <f>IF(B136="",0,$S136*$K136)</f>
        <v>2.9836576397235732</v>
      </c>
      <c r="U136" s="85">
        <f>IF(B136="",0,IF(OR(H136=MappingTables!$C$34,H136=MappingTables!$C$35),T136,0))</f>
        <v>0</v>
      </c>
      <c r="V136" s="85">
        <f>IF(ISNA(IF(AND(VLOOKUP(CONCATENATE($D136,$G136),CSRFinput!$B:$E,4,0)=0,OR(H136=MappingTables!$C$34,H136=MappingTables!$C$35)),1,VLOOKUP(CONCATENATE($D136,$G136),CSRFinput!$B:$E,4,0))),0,IF(AND(VLOOKUP(CONCATENATE($D136,$G136),CSRFinput!$B:$E,4,0)=0,OR(H136=MappingTables!$C$34,H136=MappingTables!$C$35)),1,VLOOKUP(CONCATENATE($D136,$G136),CSRFinput!$B:$E,4,0)))</f>
        <v>0.054776304963434752</v>
      </c>
      <c r="W136" s="85">
        <f>IF(B136="",0,+$T136*$V136)</f>
        <v>0.16343374077998038</v>
      </c>
      <c r="X136" s="85">
        <f>IF(B136="",0,IF(OR(H136=MappingTables!$C$34,H136=MappingTables!$C$35),W136,0))</f>
        <v>0</v>
      </c>
    </row>
    <row r="137" spans="2:24" s="0" customFormat="0" ht="15">
      <c r="B137" s="69">
        <v>12081610</v>
      </c>
      <c r="C137" s="70" t="s">
        <v>348</v>
      </c>
      <c r="D137" s="70" t="s">
        <v>1</v>
      </c>
      <c r="E137" s="70" t="s">
        <v>1</v>
      </c>
      <c r="F137" s="70"/>
      <c r="G137" s="70" t="s">
        <v>61</v>
      </c>
      <c r="H137" s="70" t="s">
        <v>178</v>
      </c>
      <c r="I137" s="70" t="s">
        <v>179</v>
      </c>
      <c r="J137" s="71">
        <f>IF(OR(I137=0,I137=""),"unrated",VLOOKUP(I137,MappingTables!$B$19:$C$31,2,FALSE))</f>
        <v>4</v>
      </c>
      <c r="K137" s="72">
        <v>15079.39364984163</v>
      </c>
      <c r="L137" s="70">
        <v>4.639725811682804</v>
      </c>
      <c r="M137" s="71">
        <f>IF(L137&lt;1,1,L137)</f>
        <v>4.639725811682804</v>
      </c>
      <c r="N137" s="70" t="s">
        <v>141</v>
      </c>
      <c r="O137" s="71">
        <f>INDEX(DurClassMapping,MATCH(M137,MappingTables!$D$4:$D$8,-1),1)</f>
        <v>1</v>
      </c>
      <c r="P137" s="73">
        <f>IF(M137=$A$1,1,$M137-INDEX(MappingTables!$E$4:$E$8,MATCH(O137,MappingTables!$B$4:$B$8,0)))</f>
        <v>4.639725811682804</v>
      </c>
      <c r="Q137" s="71">
        <f>IF(B137="",0,INDEX(ModelParameters!$D$6:$K$10,MATCH($O137,ModelParameters!$B$6:$B$10,0),MATCH($J137,ModelParameters!$D$5:$K$5,0)))</f>
        <v>0.045</v>
      </c>
      <c r="R137" s="71">
        <f>IF(B137="",0,INDEX(ModelParameters!$D$13:$K$17,MATCH($O137,ModelParameters!$B$13:$B$17,0),MATCH($J137,ModelParameters!$D$5:$K$5,0)))</f>
        <v>0</v>
      </c>
      <c r="S137" s="160">
        <f>IF(B137="",0,MIN(IF($N137="Other Bond TM",ModelParameters!$N$21,1)*(P137*Q137+R137),1))</f>
        <v>0.20878766152572616</v>
      </c>
      <c r="T137" s="85">
        <f>IF(B137="",0,$S137*$K137)</f>
        <v>3148.3913373763188</v>
      </c>
      <c r="U137" s="85">
        <f>IF(B137="",0,IF(OR(H137=MappingTables!$C$34,H137=MappingTables!$C$35),T137,0))</f>
        <v>0</v>
      </c>
      <c r="V137" s="85">
        <f>IF(ISNA(IF(AND(VLOOKUP(CONCATENATE($D137,$G137),CSRFinput!$B:$E,4,0)=0,OR(H137=MappingTables!$C$34,H137=MappingTables!$C$35)),1,VLOOKUP(CONCATENATE($D137,$G137),CSRFinput!$B:$E,4,0))),0,IF(AND(VLOOKUP(CONCATENATE($D137,$G137),CSRFinput!$B:$E,4,0)=0,OR(H137=MappingTables!$C$34,H137=MappingTables!$C$35)),1,VLOOKUP(CONCATENATE($D137,$G137),CSRFinput!$B:$E,4,0)))</f>
        <v>0.054776304963434752</v>
      </c>
      <c r="W137" s="85">
        <f>IF(B137="",0,+$T137*$V137)</f>
        <v>172.45724404036144</v>
      </c>
      <c r="X137" s="85">
        <f>IF(B137="",0,IF(OR(H137=MappingTables!$C$34,H137=MappingTables!$C$35),W137,0))</f>
        <v>0</v>
      </c>
    </row>
    <row r="138" spans="2:24" s="0" customFormat="0" ht="15">
      <c r="B138" s="69">
        <v>18055745</v>
      </c>
      <c r="C138" s="70" t="s">
        <v>349</v>
      </c>
      <c r="D138" s="70" t="s">
        <v>1</v>
      </c>
      <c r="E138" s="70" t="s">
        <v>1</v>
      </c>
      <c r="F138" s="70"/>
      <c r="G138" s="70" t="s">
        <v>61</v>
      </c>
      <c r="H138" s="70" t="s">
        <v>178</v>
      </c>
      <c r="I138" s="70" t="s">
        <v>179</v>
      </c>
      <c r="J138" s="71">
        <f>IF(OR(I138=0,I138=""),"unrated",VLOOKUP(I138,MappingTables!$B$19:$C$31,2,FALSE))</f>
        <v>4</v>
      </c>
      <c r="K138" s="72">
        <v>237.06804212887296</v>
      </c>
      <c r="L138" s="70">
        <v>0.81342786357793536</v>
      </c>
      <c r="M138" s="71">
        <f>IF(L138&lt;1,1,L138)</f>
        <v>1</v>
      </c>
      <c r="N138" s="70" t="s">
        <v>141</v>
      </c>
      <c r="O138" s="71">
        <f>INDEX(DurClassMapping,MATCH(M138,MappingTables!$D$4:$D$8,-1),1)</f>
        <v>1</v>
      </c>
      <c r="P138" s="73">
        <f>IF(M138=$A$1,1,$M138-INDEX(MappingTables!$E$4:$E$8,MATCH(O138,MappingTables!$B$4:$B$8,0)))</f>
        <v>1</v>
      </c>
      <c r="Q138" s="71">
        <f>IF(B138="",0,INDEX(ModelParameters!$D$6:$K$10,MATCH($O138,ModelParameters!$B$6:$B$10,0),MATCH($J138,ModelParameters!$D$5:$K$5,0)))</f>
        <v>0.045</v>
      </c>
      <c r="R138" s="71">
        <f>IF(B138="",0,INDEX(ModelParameters!$D$13:$K$17,MATCH($O138,ModelParameters!$B$13:$B$17,0),MATCH($J138,ModelParameters!$D$5:$K$5,0)))</f>
        <v>0</v>
      </c>
      <c r="S138" s="160">
        <f>IF(B138="",0,MIN(IF($N138="Other Bond TM",ModelParameters!$N$21,1)*(P138*Q138+R138),1))</f>
        <v>0.045</v>
      </c>
      <c r="T138" s="85">
        <f>IF(B138="",0,$S138*$K138)</f>
        <v>10.668061895799282</v>
      </c>
      <c r="U138" s="85">
        <f>IF(B138="",0,IF(OR(H138=MappingTables!$C$34,H138=MappingTables!$C$35),T138,0))</f>
        <v>0</v>
      </c>
      <c r="V138" s="85">
        <f>IF(ISNA(IF(AND(VLOOKUP(CONCATENATE($D138,$G138),CSRFinput!$B:$E,4,0)=0,OR(H138=MappingTables!$C$34,H138=MappingTables!$C$35)),1,VLOOKUP(CONCATENATE($D138,$G138),CSRFinput!$B:$E,4,0))),0,IF(AND(VLOOKUP(CONCATENATE($D138,$G138),CSRFinput!$B:$E,4,0)=0,OR(H138=MappingTables!$C$34,H138=MappingTables!$C$35)),1,VLOOKUP(CONCATENATE($D138,$G138),CSRFinput!$B:$E,4,0)))</f>
        <v>0.054776304963434752</v>
      </c>
      <c r="W138" s="85">
        <f>IF(B138="",0,+$T138*$V138)</f>
        <v>0.58435701177309936</v>
      </c>
      <c r="X138" s="85">
        <f>IF(B138="",0,IF(OR(H138=MappingTables!$C$34,H138=MappingTables!$C$35),W138,0))</f>
        <v>0</v>
      </c>
    </row>
    <row r="139" spans="2:24" s="0" customFormat="0" ht="15">
      <c r="B139" s="69">
        <v>7219469</v>
      </c>
      <c r="C139" s="70" t="s">
        <v>350</v>
      </c>
      <c r="D139" s="70" t="s">
        <v>1</v>
      </c>
      <c r="E139" s="70" t="s">
        <v>1</v>
      </c>
      <c r="F139" s="70"/>
      <c r="G139" s="70" t="s">
        <v>61</v>
      </c>
      <c r="H139" s="70" t="s">
        <v>178</v>
      </c>
      <c r="I139" s="70" t="s">
        <v>188</v>
      </c>
      <c r="J139" s="71">
        <f>IF(OR(I139=0,I139=""),"unrated",VLOOKUP(I139,MappingTables!$B$19:$C$31,2,FALSE))</f>
        <v>2</v>
      </c>
      <c r="K139" s="72">
        <v>1.1996525310740838</v>
      </c>
      <c r="L139" s="70">
        <v>1.2162210665642654</v>
      </c>
      <c r="M139" s="71">
        <f>IF(L139&lt;1,1,L139)</f>
        <v>1.2162210665642654</v>
      </c>
      <c r="N139" s="70" t="s">
        <v>141</v>
      </c>
      <c r="O139" s="71">
        <f>INDEX(DurClassMapping,MATCH(M139,MappingTables!$D$4:$D$8,-1),1)</f>
        <v>1</v>
      </c>
      <c r="P139" s="73">
        <f>IF(M139=$A$1,1,$M139-INDEX(MappingTables!$E$4:$E$8,MATCH(O139,MappingTables!$B$4:$B$8,0)))</f>
        <v>1.2162210665642654</v>
      </c>
      <c r="Q139" s="71">
        <f>IF(B139="",0,INDEX(ModelParameters!$D$6:$K$10,MATCH($O139,ModelParameters!$B$6:$B$10,0),MATCH($J139,ModelParameters!$D$5:$K$5,0)))</f>
        <v>0.013999999999999998</v>
      </c>
      <c r="R139" s="71">
        <f>IF(B139="",0,INDEX(ModelParameters!$D$13:$K$17,MATCH($O139,ModelParameters!$B$13:$B$17,0),MATCH($J139,ModelParameters!$D$5:$K$5,0)))</f>
        <v>0</v>
      </c>
      <c r="S139" s="160">
        <f>IF(B139="",0,MIN(IF($N139="Other Bond TM",ModelParameters!$N$21,1)*(P139*Q139+R139),1))</f>
        <v>0.017027094931899714</v>
      </c>
      <c r="T139" s="85">
        <f>IF(B139="",0,$S139*$K139)</f>
        <v>0.020426597531892196</v>
      </c>
      <c r="U139" s="85">
        <f>IF(B139="",0,IF(OR(H139=MappingTables!$C$34,H139=MappingTables!$C$35),T139,0))</f>
        <v>0</v>
      </c>
      <c r="V139" s="85">
        <f>IF(ISNA(IF(AND(VLOOKUP(CONCATENATE($D139,$G139),CSRFinput!$B:$E,4,0)=0,OR(H139=MappingTables!$C$34,H139=MappingTables!$C$35)),1,VLOOKUP(CONCATENATE($D139,$G139),CSRFinput!$B:$E,4,0))),0,IF(AND(VLOOKUP(CONCATENATE($D139,$G139),CSRFinput!$B:$E,4,0)=0,OR(H139=MappingTables!$C$34,H139=MappingTables!$C$35)),1,VLOOKUP(CONCATENATE($D139,$G139),CSRFinput!$B:$E,4,0)))</f>
        <v>0.054776304963434752</v>
      </c>
      <c r="W139" s="85">
        <f>IF(B139="",0,+$T139*$V139)</f>
        <v>0.0011188935357722704</v>
      </c>
      <c r="X139" s="85">
        <f>IF(B139="",0,IF(OR(H139=MappingTables!$C$34,H139=MappingTables!$C$35),W139,0))</f>
        <v>0</v>
      </c>
    </row>
    <row r="140" spans="2:24" s="0" customFormat="0" ht="15">
      <c r="B140" s="69" t="s">
        <v>351</v>
      </c>
      <c r="C140" s="70" t="s">
        <v>352</v>
      </c>
      <c r="D140" s="70" t="s">
        <v>1</v>
      </c>
      <c r="E140" s="70" t="s">
        <v>1</v>
      </c>
      <c r="F140" s="70"/>
      <c r="G140" s="70" t="s">
        <v>61</v>
      </c>
      <c r="H140" s="70" t="s">
        <v>178</v>
      </c>
      <c r="I140" s="70" t="s">
        <v>188</v>
      </c>
      <c r="J140" s="71">
        <f>IF(OR(I140=0,I140=""),"unrated",VLOOKUP(I140,MappingTables!$B$19:$C$31,2,FALSE))</f>
        <v>2</v>
      </c>
      <c r="K140" s="72">
        <v>4.8236177633624816</v>
      </c>
      <c r="L140" s="70">
        <v>0.1260275927437751</v>
      </c>
      <c r="M140" s="71">
        <f>IF(L140&lt;1,1,L140)</f>
        <v>1</v>
      </c>
      <c r="N140" s="70" t="s">
        <v>141</v>
      </c>
      <c r="O140" s="71">
        <f>INDEX(DurClassMapping,MATCH(M140,MappingTables!$D$4:$D$8,-1),1)</f>
        <v>1</v>
      </c>
      <c r="P140" s="73">
        <f>IF(M140=$A$1,1,$M140-INDEX(MappingTables!$E$4:$E$8,MATCH(O140,MappingTables!$B$4:$B$8,0)))</f>
        <v>1</v>
      </c>
      <c r="Q140" s="71">
        <f>IF(B140="",0,INDEX(ModelParameters!$D$6:$K$10,MATCH($O140,ModelParameters!$B$6:$B$10,0),MATCH($J140,ModelParameters!$D$5:$K$5,0)))</f>
        <v>0.013999999999999998</v>
      </c>
      <c r="R140" s="71">
        <f>IF(B140="",0,INDEX(ModelParameters!$D$13:$K$17,MATCH($O140,ModelParameters!$B$13:$B$17,0),MATCH($J140,ModelParameters!$D$5:$K$5,0)))</f>
        <v>0</v>
      </c>
      <c r="S140" s="160">
        <f>IF(B140="",0,MIN(IF($N140="Other Bond TM",ModelParameters!$N$21,1)*(P140*Q140+R140),1))</f>
        <v>0.013999999999999998</v>
      </c>
      <c r="T140" s="85">
        <f>IF(B140="",0,$S140*$K140)</f>
        <v>0.067530648687074728</v>
      </c>
      <c r="U140" s="85">
        <f>IF(B140="",0,IF(OR(H140=MappingTables!$C$34,H140=MappingTables!$C$35),T140,0))</f>
        <v>0</v>
      </c>
      <c r="V140" s="85">
        <f>IF(ISNA(IF(AND(VLOOKUP(CONCATENATE($D140,$G140),CSRFinput!$B:$E,4,0)=0,OR(H140=MappingTables!$C$34,H140=MappingTables!$C$35)),1,VLOOKUP(CONCATENATE($D140,$G140),CSRFinput!$B:$E,4,0))),0,IF(AND(VLOOKUP(CONCATENATE($D140,$G140),CSRFinput!$B:$E,4,0)=0,OR(H140=MappingTables!$C$34,H140=MappingTables!$C$35)),1,VLOOKUP(CONCATENATE($D140,$G140),CSRFinput!$B:$E,4,0)))</f>
        <v>0.054776304963434752</v>
      </c>
      <c r="W140" s="85">
        <f>IF(B140="",0,+$T140*$V140)</f>
        <v>0.00369907940686178</v>
      </c>
      <c r="X140" s="85">
        <f>IF(B140="",0,IF(OR(H140=MappingTables!$C$34,H140=MappingTables!$C$35),W140,0))</f>
        <v>0</v>
      </c>
    </row>
    <row r="141" spans="2:24" s="0" customFormat="0" ht="15">
      <c r="B141" s="69" t="s">
        <v>353</v>
      </c>
      <c r="C141" s="70" t="s">
        <v>354</v>
      </c>
      <c r="D141" s="70" t="s">
        <v>1</v>
      </c>
      <c r="E141" s="70" t="s">
        <v>1</v>
      </c>
      <c r="F141" s="70"/>
      <c r="G141" s="70" t="s">
        <v>61</v>
      </c>
      <c r="H141" s="70" t="s">
        <v>178</v>
      </c>
      <c r="I141" s="70" t="s">
        <v>179</v>
      </c>
      <c r="J141" s="71">
        <f>IF(OR(I141=0,I141=""),"unrated",VLOOKUP(I141,MappingTables!$B$19:$C$31,2,FALSE))</f>
        <v>4</v>
      </c>
      <c r="K141" s="72">
        <v>127.73075450516996</v>
      </c>
      <c r="L141" s="70">
        <v>5.4882708690928776</v>
      </c>
      <c r="M141" s="71">
        <f>IF(L141&lt;1,1,L141)</f>
        <v>5.4882708690928776</v>
      </c>
      <c r="N141" s="70" t="s">
        <v>141</v>
      </c>
      <c r="O141" s="71">
        <f>INDEX(DurClassMapping,MATCH(M141,MappingTables!$D$4:$D$8,-1),1)</f>
        <v>2</v>
      </c>
      <c r="P141" s="73">
        <f>IF(M141=$A$1,1,$M141-INDEX(MappingTables!$E$4:$E$8,MATCH(O141,MappingTables!$B$4:$B$8,0)))</f>
        <v>0.48827086909287768</v>
      </c>
      <c r="Q141" s="71">
        <f>IF(B141="",0,INDEX(ModelParameters!$D$6:$K$10,MATCH($O141,ModelParameters!$B$6:$B$10,0),MATCH($J141,ModelParameters!$D$5:$K$5,0)))</f>
        <v>0.025</v>
      </c>
      <c r="R141" s="71">
        <f>IF(B141="",0,INDEX(ModelParameters!$D$13:$K$17,MATCH($O141,ModelParameters!$B$13:$B$17,0),MATCH($J141,ModelParameters!$D$5:$K$5,0)))</f>
        <v>0.225</v>
      </c>
      <c r="S141" s="160">
        <f>IF(B141="",0,MIN(IF($N141="Other Bond TM",ModelParameters!$N$21,1)*(P141*Q141+R141),1))</f>
        <v>0.23720677172732192</v>
      </c>
      <c r="T141" s="85">
        <f>IF(B141="",0,$S141*$K141)</f>
        <v>30.298599926466452</v>
      </c>
      <c r="U141" s="85">
        <f>IF(B141="",0,IF(OR(H141=MappingTables!$C$34,H141=MappingTables!$C$35),T141,0))</f>
        <v>0</v>
      </c>
      <c r="V141" s="85">
        <f>IF(ISNA(IF(AND(VLOOKUP(CONCATENATE($D141,$G141),CSRFinput!$B:$E,4,0)=0,OR(H141=MappingTables!$C$34,H141=MappingTables!$C$35)),1,VLOOKUP(CONCATENATE($D141,$G141),CSRFinput!$B:$E,4,0))),0,IF(AND(VLOOKUP(CONCATENATE($D141,$G141),CSRFinput!$B:$E,4,0)=0,OR(H141=MappingTables!$C$34,H141=MappingTables!$C$35)),1,VLOOKUP(CONCATENATE($D141,$G141),CSRFinput!$B:$E,4,0)))</f>
        <v>0.054776304963434752</v>
      </c>
      <c r="W141" s="85">
        <f>IF(B141="",0,+$T141*$V141)</f>
        <v>1.659645349537228</v>
      </c>
      <c r="X141" s="85">
        <f>IF(B141="",0,IF(OR(H141=MappingTables!$C$34,H141=MappingTables!$C$35),W141,0))</f>
        <v>0</v>
      </c>
    </row>
    <row r="142" spans="2:24" s="0" customFormat="0" ht="15">
      <c r="B142" s="69">
        <v>8421530</v>
      </c>
      <c r="C142" s="70" t="s">
        <v>355</v>
      </c>
      <c r="D142" s="70" t="s">
        <v>1</v>
      </c>
      <c r="E142" s="70" t="s">
        <v>1</v>
      </c>
      <c r="F142" s="70"/>
      <c r="G142" s="70" t="s">
        <v>61</v>
      </c>
      <c r="H142" s="70" t="s">
        <v>178</v>
      </c>
      <c r="I142" s="70" t="s">
        <v>181</v>
      </c>
      <c r="J142" s="71">
        <f>IF(OR(I142=0,I142=""),"unrated",VLOOKUP(I142,MappingTables!$B$19:$C$31,2,FALSE))</f>
        <v>3</v>
      </c>
      <c r="K142" s="72">
        <v>182.2939764791074</v>
      </c>
      <c r="L142" s="70">
        <v>3.017990507723536</v>
      </c>
      <c r="M142" s="71">
        <f>IF(L142&lt;1,1,L142)</f>
        <v>3.017990507723536</v>
      </c>
      <c r="N142" s="70" t="s">
        <v>141</v>
      </c>
      <c r="O142" s="71">
        <f>INDEX(DurClassMapping,MATCH(M142,MappingTables!$D$4:$D$8,-1),1)</f>
        <v>1</v>
      </c>
      <c r="P142" s="73">
        <f>IF(M142=$A$1,1,$M142-INDEX(MappingTables!$E$4:$E$8,MATCH(O142,MappingTables!$B$4:$B$8,0)))</f>
        <v>3.017990507723536</v>
      </c>
      <c r="Q142" s="71">
        <f>IF(B142="",0,INDEX(ModelParameters!$D$6:$K$10,MATCH($O142,ModelParameters!$B$6:$B$10,0),MATCH($J142,ModelParameters!$D$5:$K$5,0)))</f>
        <v>0.025</v>
      </c>
      <c r="R142" s="71">
        <f>IF(B142="",0,INDEX(ModelParameters!$D$13:$K$17,MATCH($O142,ModelParameters!$B$13:$B$17,0),MATCH($J142,ModelParameters!$D$5:$K$5,0)))</f>
        <v>0</v>
      </c>
      <c r="S142" s="160">
        <f>IF(B142="",0,MIN(IF($N142="Other Bond TM",ModelParameters!$N$21,1)*(P142*Q142+R142),1))</f>
        <v>0.0754497626930884</v>
      </c>
      <c r="T142" s="85">
        <f>IF(B142="",0,$S142*$K142)</f>
        <v>13.754037265728092</v>
      </c>
      <c r="U142" s="85">
        <f>IF(B142="",0,IF(OR(H142=MappingTables!$C$34,H142=MappingTables!$C$35),T142,0))</f>
        <v>0</v>
      </c>
      <c r="V142" s="85">
        <f>IF(ISNA(IF(AND(VLOOKUP(CONCATENATE($D142,$G142),CSRFinput!$B:$E,4,0)=0,OR(H142=MappingTables!$C$34,H142=MappingTables!$C$35)),1,VLOOKUP(CONCATENATE($D142,$G142),CSRFinput!$B:$E,4,0))),0,IF(AND(VLOOKUP(CONCATENATE($D142,$G142),CSRFinput!$B:$E,4,0)=0,OR(H142=MappingTables!$C$34,H142=MappingTables!$C$35)),1,VLOOKUP(CONCATENATE($D142,$G142),CSRFinput!$B:$E,4,0)))</f>
        <v>0.054776304963434752</v>
      </c>
      <c r="W142" s="85">
        <f>IF(B142="",0,+$T142*$V142)</f>
        <v>0.75339533974596832</v>
      </c>
      <c r="X142" s="85">
        <f>IF(B142="",0,IF(OR(H142=MappingTables!$C$34,H142=MappingTables!$C$35),W142,0))</f>
        <v>0</v>
      </c>
    </row>
    <row r="143" spans="2:24" s="0" customFormat="0" ht="15">
      <c r="B143" s="69">
        <v>21623035</v>
      </c>
      <c r="C143" s="70" t="s">
        <v>356</v>
      </c>
      <c r="D143" s="70" t="s">
        <v>1</v>
      </c>
      <c r="E143" s="70" t="s">
        <v>1</v>
      </c>
      <c r="F143" s="70"/>
      <c r="G143" s="70" t="s">
        <v>61</v>
      </c>
      <c r="H143" s="70" t="s">
        <v>178</v>
      </c>
      <c r="I143" s="70" t="s">
        <v>181</v>
      </c>
      <c r="J143" s="71">
        <f>IF(OR(I143=0,I143=""),"unrated",VLOOKUP(I143,MappingTables!$B$19:$C$31,2,FALSE))</f>
        <v>3</v>
      </c>
      <c r="K143" s="72">
        <v>24039.502525008016</v>
      </c>
      <c r="L143" s="70">
        <v>3.85027689404126</v>
      </c>
      <c r="M143" s="71">
        <f>IF(L143&lt;1,1,L143)</f>
        <v>3.85027689404126</v>
      </c>
      <c r="N143" s="70" t="s">
        <v>141</v>
      </c>
      <c r="O143" s="71">
        <f>INDEX(DurClassMapping,MATCH(M143,MappingTables!$D$4:$D$8,-1),1)</f>
        <v>1</v>
      </c>
      <c r="P143" s="73">
        <f>IF(M143=$A$1,1,$M143-INDEX(MappingTables!$E$4:$E$8,MATCH(O143,MappingTables!$B$4:$B$8,0)))</f>
        <v>3.85027689404126</v>
      </c>
      <c r="Q143" s="71">
        <f>IF(B143="",0,INDEX(ModelParameters!$D$6:$K$10,MATCH($O143,ModelParameters!$B$6:$B$10,0),MATCH($J143,ModelParameters!$D$5:$K$5,0)))</f>
        <v>0.025</v>
      </c>
      <c r="R143" s="71">
        <f>IF(B143="",0,INDEX(ModelParameters!$D$13:$K$17,MATCH($O143,ModelParameters!$B$13:$B$17,0),MATCH($J143,ModelParameters!$D$5:$K$5,0)))</f>
        <v>0</v>
      </c>
      <c r="S143" s="160">
        <f>IF(B143="",0,MIN(IF($N143="Other Bond TM",ModelParameters!$N$21,1)*(P143*Q143+R143),1))</f>
        <v>0.096256922351031504</v>
      </c>
      <c r="T143" s="85">
        <f>IF(B143="",0,$S143*$K143)</f>
        <v>2313.9685279071228</v>
      </c>
      <c r="U143" s="85">
        <f>IF(B143="",0,IF(OR(H143=MappingTables!$C$34,H143=MappingTables!$C$35),T143,0))</f>
        <v>0</v>
      </c>
      <c r="V143" s="85">
        <f>IF(ISNA(IF(AND(VLOOKUP(CONCATENATE($D143,$G143),CSRFinput!$B:$E,4,0)=0,OR(H143=MappingTables!$C$34,H143=MappingTables!$C$35)),1,VLOOKUP(CONCATENATE($D143,$G143),CSRFinput!$B:$E,4,0))),0,IF(AND(VLOOKUP(CONCATENATE($D143,$G143),CSRFinput!$B:$E,4,0)=0,OR(H143=MappingTables!$C$34,H143=MappingTables!$C$35)),1,VLOOKUP(CONCATENATE($D143,$G143),CSRFinput!$B:$E,4,0)))</f>
        <v>0.054776304963434752</v>
      </c>
      <c r="W143" s="85">
        <f>IF(B143="",0,+$T143*$V143)</f>
        <v>126.75064576043074</v>
      </c>
      <c r="X143" s="85">
        <f>IF(B143="",0,IF(OR(H143=MappingTables!$C$34,H143=MappingTables!$C$35),W143,0))</f>
        <v>0</v>
      </c>
    </row>
    <row r="144" spans="2:24" s="0" customFormat="0" ht="15">
      <c r="B144" s="69">
        <v>13482143</v>
      </c>
      <c r="C144" s="70" t="s">
        <v>357</v>
      </c>
      <c r="D144" s="70" t="s">
        <v>1</v>
      </c>
      <c r="E144" s="70" t="s">
        <v>1</v>
      </c>
      <c r="F144" s="70"/>
      <c r="G144" s="70" t="s">
        <v>61</v>
      </c>
      <c r="H144" s="70" t="s">
        <v>178</v>
      </c>
      <c r="I144" s="70" t="s">
        <v>184</v>
      </c>
      <c r="J144" s="71">
        <f>IF(OR(I144=0,I144=""),"unrated",VLOOKUP(I144,MappingTables!$B$19:$C$31,2,FALSE))</f>
        <v>5</v>
      </c>
      <c r="K144" s="72">
        <v>835.00740047629248</v>
      </c>
      <c r="L144" s="70">
        <v>5.0006862202507608</v>
      </c>
      <c r="M144" s="71">
        <f>IF(L144&lt;1,1,L144)</f>
        <v>5.0006862202507608</v>
      </c>
      <c r="N144" s="70" t="s">
        <v>141</v>
      </c>
      <c r="O144" s="71">
        <f>INDEX(DurClassMapping,MATCH(M144,MappingTables!$D$4:$D$8,-1),1)</f>
        <v>2</v>
      </c>
      <c r="P144" s="73">
        <f>IF(M144=$A$1,1,$M144-INDEX(MappingTables!$E$4:$E$8,MATCH(O144,MappingTables!$B$4:$B$8,0)))</f>
        <v>0.00068622025076070512</v>
      </c>
      <c r="Q144" s="71">
        <f>IF(B144="",0,INDEX(ModelParameters!$D$6:$K$10,MATCH($O144,ModelParameters!$B$6:$B$10,0),MATCH($J144,ModelParameters!$D$5:$K$5,0)))</f>
        <v>0.042</v>
      </c>
      <c r="R144" s="71">
        <f>IF(B144="",0,INDEX(ModelParameters!$D$13:$K$17,MATCH($O144,ModelParameters!$B$13:$B$17,0),MATCH($J144,ModelParameters!$D$5:$K$5,0)))</f>
        <v>0.375</v>
      </c>
      <c r="S144" s="160">
        <f>IF(B144="",0,MIN(IF($N144="Other Bond TM",ModelParameters!$N$21,1)*(P144*Q144+R144),1))</f>
        <v>0.37502882125053192</v>
      </c>
      <c r="T144" s="85">
        <f>IF(B144="",0,$S144*$K144)</f>
        <v>313.15184113609484</v>
      </c>
      <c r="U144" s="85">
        <f>IF(B144="",0,IF(OR(H144=MappingTables!$C$34,H144=MappingTables!$C$35),T144,0))</f>
        <v>0</v>
      </c>
      <c r="V144" s="85">
        <f>IF(ISNA(IF(AND(VLOOKUP(CONCATENATE($D144,$G144),CSRFinput!$B:$E,4,0)=0,OR(H144=MappingTables!$C$34,H144=MappingTables!$C$35)),1,VLOOKUP(CONCATENATE($D144,$G144),CSRFinput!$B:$E,4,0))),0,IF(AND(VLOOKUP(CONCATENATE($D144,$G144),CSRFinput!$B:$E,4,0)=0,OR(H144=MappingTables!$C$34,H144=MappingTables!$C$35)),1,VLOOKUP(CONCATENATE($D144,$G144),CSRFinput!$B:$E,4,0)))</f>
        <v>0.054776304963434752</v>
      </c>
      <c r="W144" s="85">
        <f>IF(B144="",0,+$T144*$V144)</f>
        <v>17.153300749931802</v>
      </c>
      <c r="X144" s="85">
        <f>IF(B144="",0,IF(OR(H144=MappingTables!$C$34,H144=MappingTables!$C$35),W144,0))</f>
        <v>0</v>
      </c>
    </row>
    <row r="145" spans="2:24" s="0" customFormat="0" ht="15">
      <c r="B145" s="69">
        <v>20173127</v>
      </c>
      <c r="C145" s="70" t="s">
        <v>358</v>
      </c>
      <c r="D145" s="70" t="s">
        <v>1</v>
      </c>
      <c r="E145" s="70" t="s">
        <v>1</v>
      </c>
      <c r="F145" s="70"/>
      <c r="G145" s="70" t="s">
        <v>61</v>
      </c>
      <c r="H145" s="70" t="s">
        <v>178</v>
      </c>
      <c r="I145" s="70" t="s">
        <v>188</v>
      </c>
      <c r="J145" s="71">
        <f>IF(OR(I145=0,I145=""),"unrated",VLOOKUP(I145,MappingTables!$B$19:$C$31,2,FALSE))</f>
        <v>2</v>
      </c>
      <c r="K145" s="72">
        <v>930.1391025148824</v>
      </c>
      <c r="L145" s="70">
        <v>3.3115758161074236</v>
      </c>
      <c r="M145" s="71">
        <f>IF(L145&lt;1,1,L145)</f>
        <v>3.3115758161074236</v>
      </c>
      <c r="N145" s="70" t="s">
        <v>141</v>
      </c>
      <c r="O145" s="71">
        <f>INDEX(DurClassMapping,MATCH(M145,MappingTables!$D$4:$D$8,-1),1)</f>
        <v>1</v>
      </c>
      <c r="P145" s="73">
        <f>IF(M145=$A$1,1,$M145-INDEX(MappingTables!$E$4:$E$8,MATCH(O145,MappingTables!$B$4:$B$8,0)))</f>
        <v>3.3115758161074236</v>
      </c>
      <c r="Q145" s="71">
        <f>IF(B145="",0,INDEX(ModelParameters!$D$6:$K$10,MATCH($O145,ModelParameters!$B$6:$B$10,0),MATCH($J145,ModelParameters!$D$5:$K$5,0)))</f>
        <v>0.013999999999999998</v>
      </c>
      <c r="R145" s="71">
        <f>IF(B145="",0,INDEX(ModelParameters!$D$13:$K$17,MATCH($O145,ModelParameters!$B$13:$B$17,0),MATCH($J145,ModelParameters!$D$5:$K$5,0)))</f>
        <v>0</v>
      </c>
      <c r="S145" s="160">
        <f>IF(B145="",0,MIN(IF($N145="Other Bond TM",ModelParameters!$N$21,1)*(P145*Q145+R145),1))</f>
        <v>0.046362061425503928</v>
      </c>
      <c r="T145" s="85">
        <f>IF(B145="",0,$S145*$K145)</f>
        <v>43.12316620505808</v>
      </c>
      <c r="U145" s="85">
        <f>IF(B145="",0,IF(OR(H145=MappingTables!$C$34,H145=MappingTables!$C$35),T145,0))</f>
        <v>0</v>
      </c>
      <c r="V145" s="85">
        <f>IF(ISNA(IF(AND(VLOOKUP(CONCATENATE($D145,$G145),CSRFinput!$B:$E,4,0)=0,OR(H145=MappingTables!$C$34,H145=MappingTables!$C$35)),1,VLOOKUP(CONCATENATE($D145,$G145),CSRFinput!$B:$E,4,0))),0,IF(AND(VLOOKUP(CONCATENATE($D145,$G145),CSRFinput!$B:$E,4,0)=0,OR(H145=MappingTables!$C$34,H145=MappingTables!$C$35)),1,VLOOKUP(CONCATENATE($D145,$G145),CSRFinput!$B:$E,4,0)))</f>
        <v>0.054776304963434752</v>
      </c>
      <c r="W145" s="85">
        <f>IF(B145="",0,+$T145*$V145)</f>
        <v>2.3621277030371444</v>
      </c>
      <c r="X145" s="85">
        <f>IF(B145="",0,IF(OR(H145=MappingTables!$C$34,H145=MappingTables!$C$35),W145,0))</f>
        <v>0</v>
      </c>
    </row>
    <row r="146" spans="2:24" s="0" customFormat="0" ht="15">
      <c r="B146" s="69">
        <v>24324810</v>
      </c>
      <c r="C146" s="70" t="s">
        <v>359</v>
      </c>
      <c r="D146" s="70" t="s">
        <v>1</v>
      </c>
      <c r="E146" s="70" t="s">
        <v>1</v>
      </c>
      <c r="F146" s="70"/>
      <c r="G146" s="70" t="s">
        <v>61</v>
      </c>
      <c r="H146" s="70" t="s">
        <v>178</v>
      </c>
      <c r="I146" s="70" t="s">
        <v>179</v>
      </c>
      <c r="J146" s="71">
        <f>IF(OR(I146=0,I146=""),"unrated",VLOOKUP(I146,MappingTables!$B$19:$C$31,2,FALSE))</f>
        <v>4</v>
      </c>
      <c r="K146" s="72">
        <v>1520.2650254277536</v>
      </c>
      <c r="L146" s="70">
        <v>1.6961839099285942</v>
      </c>
      <c r="M146" s="71">
        <f>IF(L146&lt;1,1,L146)</f>
        <v>1.6961839099285942</v>
      </c>
      <c r="N146" s="70" t="s">
        <v>141</v>
      </c>
      <c r="O146" s="71">
        <f>INDEX(DurClassMapping,MATCH(M146,MappingTables!$D$4:$D$8,-1),1)</f>
        <v>1</v>
      </c>
      <c r="P146" s="73">
        <f>IF(M146=$A$1,1,$M146-INDEX(MappingTables!$E$4:$E$8,MATCH(O146,MappingTables!$B$4:$B$8,0)))</f>
        <v>1.6961839099285942</v>
      </c>
      <c r="Q146" s="71">
        <f>IF(B146="",0,INDEX(ModelParameters!$D$6:$K$10,MATCH($O146,ModelParameters!$B$6:$B$10,0),MATCH($J146,ModelParameters!$D$5:$K$5,0)))</f>
        <v>0.045</v>
      </c>
      <c r="R146" s="71">
        <f>IF(B146="",0,INDEX(ModelParameters!$D$13:$K$17,MATCH($O146,ModelParameters!$B$13:$B$17,0),MATCH($J146,ModelParameters!$D$5:$K$5,0)))</f>
        <v>0</v>
      </c>
      <c r="S146" s="160">
        <f>IF(B146="",0,MIN(IF($N146="Other Bond TM",ModelParameters!$N$21,1)*(P146*Q146+R146),1))</f>
        <v>0.076328275946786736</v>
      </c>
      <c r="T146" s="85">
        <f>IF(B146="",0,$S146*$K146)</f>
        <v>116.03920837309834</v>
      </c>
      <c r="U146" s="85">
        <f>IF(B146="",0,IF(OR(H146=MappingTables!$C$34,H146=MappingTables!$C$35),T146,0))</f>
        <v>0</v>
      </c>
      <c r="V146" s="85">
        <f>IF(ISNA(IF(AND(VLOOKUP(CONCATENATE($D146,$G146),CSRFinput!$B:$E,4,0)=0,OR(H146=MappingTables!$C$34,H146=MappingTables!$C$35)),1,VLOOKUP(CONCATENATE($D146,$G146),CSRFinput!$B:$E,4,0))),0,IF(AND(VLOOKUP(CONCATENATE($D146,$G146),CSRFinput!$B:$E,4,0)=0,OR(H146=MappingTables!$C$34,H146=MappingTables!$C$35)),1,VLOOKUP(CONCATENATE($D146,$G146),CSRFinput!$B:$E,4,0)))</f>
        <v>0.054776304963434752</v>
      </c>
      <c r="W146" s="85">
        <f>IF(B146="",0,+$T146*$V146)</f>
        <v>6.3561990655603856</v>
      </c>
      <c r="X146" s="85">
        <f>IF(B146="",0,IF(OR(H146=MappingTables!$C$34,H146=MappingTables!$C$35),W146,0))</f>
        <v>0</v>
      </c>
    </row>
    <row r="147" spans="2:24" s="0" customFormat="0" ht="15">
      <c r="B147" s="69">
        <v>13122323</v>
      </c>
      <c r="C147" s="70" t="s">
        <v>360</v>
      </c>
      <c r="D147" s="70" t="s">
        <v>1</v>
      </c>
      <c r="E147" s="70" t="s">
        <v>1</v>
      </c>
      <c r="F147" s="70"/>
      <c r="G147" s="70" t="s">
        <v>61</v>
      </c>
      <c r="H147" s="70" t="s">
        <v>178</v>
      </c>
      <c r="I147" s="70" t="s">
        <v>184</v>
      </c>
      <c r="J147" s="71">
        <f>IF(OR(I147=0,I147=""),"unrated",VLOOKUP(I147,MappingTables!$B$19:$C$31,2,FALSE))</f>
        <v>5</v>
      </c>
      <c r="K147" s="72">
        <v>7145.785897924684</v>
      </c>
      <c r="L147" s="70">
        <v>7.1154872883961416</v>
      </c>
      <c r="M147" s="71">
        <f>IF(L147&lt;1,1,L147)</f>
        <v>7.1154872883961416</v>
      </c>
      <c r="N147" s="70" t="s">
        <v>141</v>
      </c>
      <c r="O147" s="71">
        <f>INDEX(DurClassMapping,MATCH(M147,MappingTables!$D$4:$D$8,-1),1)</f>
        <v>2</v>
      </c>
      <c r="P147" s="73">
        <f>IF(M147=$A$1,1,$M147-INDEX(MappingTables!$E$4:$E$8,MATCH(O147,MappingTables!$B$4:$B$8,0)))</f>
        <v>2.1154872883961416</v>
      </c>
      <c r="Q147" s="71">
        <f>IF(B147="",0,INDEX(ModelParameters!$D$6:$K$10,MATCH($O147,ModelParameters!$B$6:$B$10,0),MATCH($J147,ModelParameters!$D$5:$K$5,0)))</f>
        <v>0.042</v>
      </c>
      <c r="R147" s="71">
        <f>IF(B147="",0,INDEX(ModelParameters!$D$13:$K$17,MATCH($O147,ModelParameters!$B$13:$B$17,0),MATCH($J147,ModelParameters!$D$5:$K$5,0)))</f>
        <v>0.375</v>
      </c>
      <c r="S147" s="160">
        <f>IF(B147="",0,MIN(IF($N147="Other Bond TM",ModelParameters!$N$21,1)*(P147*Q147+R147),1))</f>
        <v>0.46385046611263792</v>
      </c>
      <c r="T147" s="85">
        <f>IF(B147="",0,$S147*$K147)</f>
        <v>3314.5761194934792</v>
      </c>
      <c r="U147" s="85">
        <f>IF(B147="",0,IF(OR(H147=MappingTables!$C$34,H147=MappingTables!$C$35),T147,0))</f>
        <v>0</v>
      </c>
      <c r="V147" s="85">
        <f>IF(ISNA(IF(AND(VLOOKUP(CONCATENATE($D147,$G147),CSRFinput!$B:$E,4,0)=0,OR(H147=MappingTables!$C$34,H147=MappingTables!$C$35)),1,VLOOKUP(CONCATENATE($D147,$G147),CSRFinput!$B:$E,4,0))),0,IF(AND(VLOOKUP(CONCATENATE($D147,$G147),CSRFinput!$B:$E,4,0)=0,OR(H147=MappingTables!$C$34,H147=MappingTables!$C$35)),1,VLOOKUP(CONCATENATE($D147,$G147),CSRFinput!$B:$E,4,0)))</f>
        <v>0.054776304963434752</v>
      </c>
      <c r="W147" s="85">
        <f>IF(B147="",0,+$T147*$V147)</f>
        <v>181.560232345893</v>
      </c>
      <c r="X147" s="85">
        <f>IF(B147="",0,IF(OR(H147=MappingTables!$C$34,H147=MappingTables!$C$35),W147,0))</f>
        <v>0</v>
      </c>
    </row>
    <row r="148" spans="2:24" s="0" customFormat="0" ht="15">
      <c r="B148" s="69" t="s">
        <v>361</v>
      </c>
      <c r="C148" s="70" t="s">
        <v>362</v>
      </c>
      <c r="D148" s="70" t="s">
        <v>1</v>
      </c>
      <c r="E148" s="70" t="s">
        <v>1</v>
      </c>
      <c r="F148" s="70"/>
      <c r="G148" s="70" t="s">
        <v>61</v>
      </c>
      <c r="H148" s="70" t="s">
        <v>178</v>
      </c>
      <c r="I148" s="70" t="s">
        <v>181</v>
      </c>
      <c r="J148" s="71">
        <f>IF(OR(I148=0,I148=""),"unrated",VLOOKUP(I148,MappingTables!$B$19:$C$31,2,FALSE))</f>
        <v>3</v>
      </c>
      <c r="K148" s="72">
        <v>0.6126995334527816</v>
      </c>
      <c r="L148" s="70">
        <v>0.65205946245772664</v>
      </c>
      <c r="M148" s="71">
        <f>IF(L148&lt;1,1,L148)</f>
        <v>1</v>
      </c>
      <c r="N148" s="70" t="s">
        <v>141</v>
      </c>
      <c r="O148" s="71">
        <f>INDEX(DurClassMapping,MATCH(M148,MappingTables!$D$4:$D$8,-1),1)</f>
        <v>1</v>
      </c>
      <c r="P148" s="73">
        <f>IF(M148=$A$1,1,$M148-INDEX(MappingTables!$E$4:$E$8,MATCH(O148,MappingTables!$B$4:$B$8,0)))</f>
        <v>1</v>
      </c>
      <c r="Q148" s="71">
        <f>IF(B148="",0,INDEX(ModelParameters!$D$6:$K$10,MATCH($O148,ModelParameters!$B$6:$B$10,0),MATCH($J148,ModelParameters!$D$5:$K$5,0)))</f>
        <v>0.025</v>
      </c>
      <c r="R148" s="71">
        <f>IF(B148="",0,INDEX(ModelParameters!$D$13:$K$17,MATCH($O148,ModelParameters!$B$13:$B$17,0),MATCH($J148,ModelParameters!$D$5:$K$5,0)))</f>
        <v>0</v>
      </c>
      <c r="S148" s="160">
        <f>IF(B148="",0,MIN(IF($N148="Other Bond TM",ModelParameters!$N$21,1)*(P148*Q148+R148),1))</f>
        <v>0.025</v>
      </c>
      <c r="T148" s="85">
        <f>IF(B148="",0,$S148*$K148)</f>
        <v>0.01531748833631954</v>
      </c>
      <c r="U148" s="85">
        <f>IF(B148="",0,IF(OR(H148=MappingTables!$C$34,H148=MappingTables!$C$35),T148,0))</f>
        <v>0</v>
      </c>
      <c r="V148" s="85">
        <f>IF(ISNA(IF(AND(VLOOKUP(CONCATENATE($D148,$G148),CSRFinput!$B:$E,4,0)=0,OR(H148=MappingTables!$C$34,H148=MappingTables!$C$35)),1,VLOOKUP(CONCATENATE($D148,$G148),CSRFinput!$B:$E,4,0))),0,IF(AND(VLOOKUP(CONCATENATE($D148,$G148),CSRFinput!$B:$E,4,0)=0,OR(H148=MappingTables!$C$34,H148=MappingTables!$C$35)),1,VLOOKUP(CONCATENATE($D148,$G148),CSRFinput!$B:$E,4,0)))</f>
        <v>0.054776304963434752</v>
      </c>
      <c r="W148" s="85">
        <f>IF(B148="",0,+$T148*$V148)</f>
        <v>0.00083903541238409408</v>
      </c>
      <c r="X148" s="85">
        <f>IF(B148="",0,IF(OR(H148=MappingTables!$C$34,H148=MappingTables!$C$35),W148,0))</f>
        <v>0</v>
      </c>
    </row>
    <row r="149" spans="2:24" s="0" customFormat="0" ht="15">
      <c r="B149" s="69">
        <v>21227852</v>
      </c>
      <c r="C149" s="70" t="s">
        <v>363</v>
      </c>
      <c r="D149" s="70" t="s">
        <v>1</v>
      </c>
      <c r="E149" s="70" t="s">
        <v>1</v>
      </c>
      <c r="F149" s="70"/>
      <c r="G149" s="70" t="s">
        <v>61</v>
      </c>
      <c r="H149" s="70" t="s">
        <v>178</v>
      </c>
      <c r="I149" s="70" t="s">
        <v>179</v>
      </c>
      <c r="J149" s="71">
        <f>IF(OR(I149=0,I149=""),"unrated",VLOOKUP(I149,MappingTables!$B$19:$C$31,2,FALSE))</f>
        <v>4</v>
      </c>
      <c r="K149" s="72">
        <v>176.166459956946</v>
      </c>
      <c r="L149" s="70">
        <v>1.7342466634861386</v>
      </c>
      <c r="M149" s="71">
        <f>IF(L149&lt;1,1,L149)</f>
        <v>1.7342466634861386</v>
      </c>
      <c r="N149" s="70" t="s">
        <v>141</v>
      </c>
      <c r="O149" s="71">
        <f>INDEX(DurClassMapping,MATCH(M149,MappingTables!$D$4:$D$8,-1),1)</f>
        <v>1</v>
      </c>
      <c r="P149" s="73">
        <f>IF(M149=$A$1,1,$M149-INDEX(MappingTables!$E$4:$E$8,MATCH(O149,MappingTables!$B$4:$B$8,0)))</f>
        <v>1.7342466634861386</v>
      </c>
      <c r="Q149" s="71">
        <f>IF(B149="",0,INDEX(ModelParameters!$D$6:$K$10,MATCH($O149,ModelParameters!$B$6:$B$10,0),MATCH($J149,ModelParameters!$D$5:$K$5,0)))</f>
        <v>0.045</v>
      </c>
      <c r="R149" s="71">
        <f>IF(B149="",0,INDEX(ModelParameters!$D$13:$K$17,MATCH($O149,ModelParameters!$B$13:$B$17,0),MATCH($J149,ModelParameters!$D$5:$K$5,0)))</f>
        <v>0</v>
      </c>
      <c r="S149" s="160">
        <f>IF(B149="",0,MIN(IF($N149="Other Bond TM",ModelParameters!$N$21,1)*(P149*Q149+R149),1))</f>
        <v>0.07804109985687624</v>
      </c>
      <c r="T149" s="85">
        <f>IF(B149="",0,$S149*$K149)</f>
        <v>13.748224292932412</v>
      </c>
      <c r="U149" s="85">
        <f>IF(B149="",0,IF(OR(H149=MappingTables!$C$34,H149=MappingTables!$C$35),T149,0))</f>
        <v>0</v>
      </c>
      <c r="V149" s="85">
        <f>IF(ISNA(IF(AND(VLOOKUP(CONCATENATE($D149,$G149),CSRFinput!$B:$E,4,0)=0,OR(H149=MappingTables!$C$34,H149=MappingTables!$C$35)),1,VLOOKUP(CONCATENATE($D149,$G149),CSRFinput!$B:$E,4,0))),0,IF(AND(VLOOKUP(CONCATENATE($D149,$G149),CSRFinput!$B:$E,4,0)=0,OR(H149=MappingTables!$C$34,H149=MappingTables!$C$35)),1,VLOOKUP(CONCATENATE($D149,$G149),CSRFinput!$B:$E,4,0)))</f>
        <v>0.054776304963434752</v>
      </c>
      <c r="W149" s="85">
        <f>IF(B149="",0,+$T149*$V149)</f>
        <v>0.753076926575368</v>
      </c>
      <c r="X149" s="85">
        <f>IF(B149="",0,IF(OR(H149=MappingTables!$C$34,H149=MappingTables!$C$35),W149,0))</f>
        <v>0</v>
      </c>
    </row>
    <row r="150" spans="2:24" s="0" customFormat="0" ht="15">
      <c r="B150" s="69">
        <v>16183661</v>
      </c>
      <c r="C150" s="70" t="s">
        <v>364</v>
      </c>
      <c r="D150" s="70" t="s">
        <v>1</v>
      </c>
      <c r="E150" s="70" t="s">
        <v>1</v>
      </c>
      <c r="F150" s="70"/>
      <c r="G150" s="70" t="s">
        <v>61</v>
      </c>
      <c r="H150" s="70" t="s">
        <v>178</v>
      </c>
      <c r="I150" s="70" t="s">
        <v>204</v>
      </c>
      <c r="J150" s="71">
        <f>IF(OR(I150=0,I150=""),"unrated",VLOOKUP(I150,MappingTables!$B$19:$C$31,2,FALSE))</f>
        <v>6</v>
      </c>
      <c r="K150" s="72">
        <v>1121.3329740277464</v>
      </c>
      <c r="L150" s="70">
        <v>0.33972968363507872</v>
      </c>
      <c r="M150" s="71">
        <f>IF(L150&lt;1,1,L150)</f>
        <v>1</v>
      </c>
      <c r="N150" s="70" t="s">
        <v>141</v>
      </c>
      <c r="O150" s="71">
        <f>INDEX(DurClassMapping,MATCH(M150,MappingTables!$D$4:$D$8,-1),1)</f>
        <v>1</v>
      </c>
      <c r="P150" s="73">
        <f>IF(M150=$A$1,1,$M150-INDEX(MappingTables!$E$4:$E$8,MATCH(O150,MappingTables!$B$4:$B$8,0)))</f>
        <v>1</v>
      </c>
      <c r="Q150" s="71">
        <f>IF(B150="",0,INDEX(ModelParameters!$D$6:$K$10,MATCH($O150,ModelParameters!$B$6:$B$10,0),MATCH($J150,ModelParameters!$D$5:$K$5,0)))</f>
        <v>0.075</v>
      </c>
      <c r="R150" s="71">
        <f>IF(B150="",0,INDEX(ModelParameters!$D$13:$K$17,MATCH($O150,ModelParameters!$B$13:$B$17,0),MATCH($J150,ModelParameters!$D$5:$K$5,0)))</f>
        <v>0</v>
      </c>
      <c r="S150" s="160">
        <f>IF(B150="",0,MIN(IF($N150="Other Bond TM",ModelParameters!$N$21,1)*(P150*Q150+R150),1))</f>
        <v>0.075</v>
      </c>
      <c r="T150" s="85">
        <f>IF(B150="",0,$S150*$K150)</f>
        <v>84.099973052080976</v>
      </c>
      <c r="U150" s="85">
        <f>IF(B150="",0,IF(OR(H150=MappingTables!$C$34,H150=MappingTables!$C$35),T150,0))</f>
        <v>0</v>
      </c>
      <c r="V150" s="85">
        <f>IF(ISNA(IF(AND(VLOOKUP(CONCATENATE($D150,$G150),CSRFinput!$B:$E,4,0)=0,OR(H150=MappingTables!$C$34,H150=MappingTables!$C$35)),1,VLOOKUP(CONCATENATE($D150,$G150),CSRFinput!$B:$E,4,0))),0,IF(AND(VLOOKUP(CONCATENATE($D150,$G150),CSRFinput!$B:$E,4,0)=0,OR(H150=MappingTables!$C$34,H150=MappingTables!$C$35)),1,VLOOKUP(CONCATENATE($D150,$G150),CSRFinput!$B:$E,4,0)))</f>
        <v>0.054776304963434752</v>
      </c>
      <c r="W150" s="85">
        <f>IF(B150="",0,+$T150*$V150)</f>
        <v>4.606685771317432</v>
      </c>
      <c r="X150" s="85">
        <f>IF(B150="",0,IF(OR(H150=MappingTables!$C$34,H150=MappingTables!$C$35),W150,0))</f>
        <v>0</v>
      </c>
    </row>
    <row r="151" spans="2:24" s="0" customFormat="0" ht="15">
      <c r="B151" s="69" t="s">
        <v>365</v>
      </c>
      <c r="C151" s="70" t="s">
        <v>366</v>
      </c>
      <c r="D151" s="70" t="s">
        <v>1</v>
      </c>
      <c r="E151" s="70" t="s">
        <v>1</v>
      </c>
      <c r="F151" s="70"/>
      <c r="G151" s="70" t="s">
        <v>61</v>
      </c>
      <c r="H151" s="70" t="s">
        <v>178</v>
      </c>
      <c r="I151" s="70" t="s">
        <v>181</v>
      </c>
      <c r="J151" s="71">
        <f>IF(OR(I151=0,I151=""),"unrated",VLOOKUP(I151,MappingTables!$B$19:$C$31,2,FALSE))</f>
        <v>3</v>
      </c>
      <c r="K151" s="72">
        <v>2993.079461268844</v>
      </c>
      <c r="L151" s="70">
        <v>13.973744403348258</v>
      </c>
      <c r="M151" s="71">
        <f>IF(L151&lt;1,1,L151)</f>
        <v>13.973744403348258</v>
      </c>
      <c r="N151" s="70" t="s">
        <v>141</v>
      </c>
      <c r="O151" s="71">
        <f>INDEX(DurClassMapping,MATCH(M151,MappingTables!$D$4:$D$8,-1),1)</f>
        <v>3</v>
      </c>
      <c r="P151" s="73">
        <f>IF(M151=$A$1,1,$M151-INDEX(MappingTables!$E$4:$E$8,MATCH(O151,MappingTables!$B$4:$B$8,0)))</f>
        <v>3.9737444033482576</v>
      </c>
      <c r="Q151" s="71">
        <f>IF(B151="",0,INDEX(ModelParameters!$D$6:$K$10,MATCH($O151,ModelParameters!$B$6:$B$10,0),MATCH($J151,ModelParameters!$D$5:$K$5,0)))</f>
        <v>0.01</v>
      </c>
      <c r="R151" s="71">
        <f>IF(B151="",0,INDEX(ModelParameters!$D$13:$K$17,MATCH($O151,ModelParameters!$B$13:$B$17,0),MATCH($J151,ModelParameters!$D$5:$K$5,0)))</f>
        <v>0.2</v>
      </c>
      <c r="S151" s="160">
        <f>IF(B151="",0,MIN(IF($N151="Other Bond TM",ModelParameters!$N$21,1)*(P151*Q151+R151),1))</f>
        <v>0.2397374440334826</v>
      </c>
      <c r="T151" s="85">
        <f>IF(B151="",0,$S151*$K151)</f>
        <v>717.55321983370576</v>
      </c>
      <c r="U151" s="85">
        <f>IF(B151="",0,IF(OR(H151=MappingTables!$C$34,H151=MappingTables!$C$35),T151,0))</f>
        <v>0</v>
      </c>
      <c r="V151" s="85">
        <f>IF(ISNA(IF(AND(VLOOKUP(CONCATENATE($D151,$G151),CSRFinput!$B:$E,4,0)=0,OR(H151=MappingTables!$C$34,H151=MappingTables!$C$35)),1,VLOOKUP(CONCATENATE($D151,$G151),CSRFinput!$B:$E,4,0))),0,IF(AND(VLOOKUP(CONCATENATE($D151,$G151),CSRFinput!$B:$E,4,0)=0,OR(H151=MappingTables!$C$34,H151=MappingTables!$C$35)),1,VLOOKUP(CONCATENATE($D151,$G151),CSRFinput!$B:$E,4,0)))</f>
        <v>0.054776304963434752</v>
      </c>
      <c r="W151" s="85">
        <f>IF(B151="",0,+$T151*$V151)</f>
        <v>39.3049139971056</v>
      </c>
      <c r="X151" s="85">
        <f>IF(B151="",0,IF(OR(H151=MappingTables!$C$34,H151=MappingTables!$C$35),W151,0))</f>
        <v>0</v>
      </c>
    </row>
    <row r="152" spans="2:24" s="0" customFormat="0" ht="15">
      <c r="B152" s="69" t="s">
        <v>367</v>
      </c>
      <c r="C152" s="70" t="s">
        <v>368</v>
      </c>
      <c r="D152" s="70" t="s">
        <v>1</v>
      </c>
      <c r="E152" s="70" t="s">
        <v>1</v>
      </c>
      <c r="F152" s="70"/>
      <c r="G152" s="70" t="s">
        <v>61</v>
      </c>
      <c r="H152" s="70" t="s">
        <v>178</v>
      </c>
      <c r="I152" s="70" t="s">
        <v>181</v>
      </c>
      <c r="J152" s="71">
        <f>IF(OR(I152=0,I152=""),"unrated",VLOOKUP(I152,MappingTables!$B$19:$C$31,2,FALSE))</f>
        <v>3</v>
      </c>
      <c r="K152" s="72">
        <v>733.64756726554208</v>
      </c>
      <c r="L152" s="70">
        <v>0.77705346231720432</v>
      </c>
      <c r="M152" s="71">
        <f>IF(L152&lt;1,1,L152)</f>
        <v>1</v>
      </c>
      <c r="N152" s="70" t="s">
        <v>141</v>
      </c>
      <c r="O152" s="71">
        <f>INDEX(DurClassMapping,MATCH(M152,MappingTables!$D$4:$D$8,-1),1)</f>
        <v>1</v>
      </c>
      <c r="P152" s="73">
        <f>IF(M152=$A$1,1,$M152-INDEX(MappingTables!$E$4:$E$8,MATCH(O152,MappingTables!$B$4:$B$8,0)))</f>
        <v>1</v>
      </c>
      <c r="Q152" s="71">
        <f>IF(B152="",0,INDEX(ModelParameters!$D$6:$K$10,MATCH($O152,ModelParameters!$B$6:$B$10,0),MATCH($J152,ModelParameters!$D$5:$K$5,0)))</f>
        <v>0.025</v>
      </c>
      <c r="R152" s="71">
        <f>IF(B152="",0,INDEX(ModelParameters!$D$13:$K$17,MATCH($O152,ModelParameters!$B$13:$B$17,0),MATCH($J152,ModelParameters!$D$5:$K$5,0)))</f>
        <v>0</v>
      </c>
      <c r="S152" s="160">
        <f>IF(B152="",0,MIN(IF($N152="Other Bond TM",ModelParameters!$N$21,1)*(P152*Q152+R152),1))</f>
        <v>0.025</v>
      </c>
      <c r="T152" s="85">
        <f>IF(B152="",0,$S152*$K152)</f>
        <v>18.341189181638552</v>
      </c>
      <c r="U152" s="85">
        <f>IF(B152="",0,IF(OR(H152=MappingTables!$C$34,H152=MappingTables!$C$35),T152,0))</f>
        <v>0</v>
      </c>
      <c r="V152" s="85">
        <f>IF(ISNA(IF(AND(VLOOKUP(CONCATENATE($D152,$G152),CSRFinput!$B:$E,4,0)=0,OR(H152=MappingTables!$C$34,H152=MappingTables!$C$35)),1,VLOOKUP(CONCATENATE($D152,$G152),CSRFinput!$B:$E,4,0))),0,IF(AND(VLOOKUP(CONCATENATE($D152,$G152),CSRFinput!$B:$E,4,0)=0,OR(H152=MappingTables!$C$34,H152=MappingTables!$C$35)),1,VLOOKUP(CONCATENATE($D152,$G152),CSRFinput!$B:$E,4,0)))</f>
        <v>0.054776304963434752</v>
      </c>
      <c r="W152" s="85">
        <f>IF(B152="",0,+$T152*$V152)</f>
        <v>1.0046625720054836</v>
      </c>
      <c r="X152" s="85">
        <f>IF(B152="",0,IF(OR(H152=MappingTables!$C$34,H152=MappingTables!$C$35),W152,0))</f>
        <v>0</v>
      </c>
    </row>
    <row r="153" spans="2:24" s="0" customFormat="0" ht="15">
      <c r="B153" s="69">
        <v>10654400</v>
      </c>
      <c r="C153" s="70" t="s">
        <v>369</v>
      </c>
      <c r="D153" s="70" t="s">
        <v>1</v>
      </c>
      <c r="E153" s="70" t="s">
        <v>1</v>
      </c>
      <c r="F153" s="70"/>
      <c r="G153" s="70" t="s">
        <v>61</v>
      </c>
      <c r="H153" s="70" t="s">
        <v>178</v>
      </c>
      <c r="I153" s="70" t="s">
        <v>181</v>
      </c>
      <c r="J153" s="71">
        <f>IF(OR(I153=0,I153=""),"unrated",VLOOKUP(I153,MappingTables!$B$19:$C$31,2,FALSE))</f>
        <v>3</v>
      </c>
      <c r="K153" s="72">
        <v>2.4373982232353072</v>
      </c>
      <c r="L153" s="70">
        <v>0.69315930749919984</v>
      </c>
      <c r="M153" s="71">
        <f>IF(L153&lt;1,1,L153)</f>
        <v>1</v>
      </c>
      <c r="N153" s="70" t="s">
        <v>141</v>
      </c>
      <c r="O153" s="71">
        <f>INDEX(DurClassMapping,MATCH(M153,MappingTables!$D$4:$D$8,-1),1)</f>
        <v>1</v>
      </c>
      <c r="P153" s="73">
        <f>IF(M153=$A$1,1,$M153-INDEX(MappingTables!$E$4:$E$8,MATCH(O153,MappingTables!$B$4:$B$8,0)))</f>
        <v>1</v>
      </c>
      <c r="Q153" s="71">
        <f>IF(B153="",0,INDEX(ModelParameters!$D$6:$K$10,MATCH($O153,ModelParameters!$B$6:$B$10,0),MATCH($J153,ModelParameters!$D$5:$K$5,0)))</f>
        <v>0.025</v>
      </c>
      <c r="R153" s="71">
        <f>IF(B153="",0,INDEX(ModelParameters!$D$13:$K$17,MATCH($O153,ModelParameters!$B$13:$B$17,0),MATCH($J153,ModelParameters!$D$5:$K$5,0)))</f>
        <v>0</v>
      </c>
      <c r="S153" s="160">
        <f>IF(B153="",0,MIN(IF($N153="Other Bond TM",ModelParameters!$N$21,1)*(P153*Q153+R153),1))</f>
        <v>0.025</v>
      </c>
      <c r="T153" s="85">
        <f>IF(B153="",0,$S153*$K153)</f>
        <v>0.06093495558088268</v>
      </c>
      <c r="U153" s="85">
        <f>IF(B153="",0,IF(OR(H153=MappingTables!$C$34,H153=MappingTables!$C$35),T153,0))</f>
        <v>0</v>
      </c>
      <c r="V153" s="85">
        <f>IF(ISNA(IF(AND(VLOOKUP(CONCATENATE($D153,$G153),CSRFinput!$B:$E,4,0)=0,OR(H153=MappingTables!$C$34,H153=MappingTables!$C$35)),1,VLOOKUP(CONCATENATE($D153,$G153),CSRFinput!$B:$E,4,0))),0,IF(AND(VLOOKUP(CONCATENATE($D153,$G153),CSRFinput!$B:$E,4,0)=0,OR(H153=MappingTables!$C$34,H153=MappingTables!$C$35)),1,VLOOKUP(CONCATENATE($D153,$G153),CSRFinput!$B:$E,4,0)))</f>
        <v>0.054776304963434752</v>
      </c>
      <c r="W153" s="85">
        <f>IF(B153="",0,+$T153*$V153)</f>
        <v>0.0033377917098317804</v>
      </c>
      <c r="X153" s="85">
        <f>IF(B153="",0,IF(OR(H153=MappingTables!$C$34,H153=MappingTables!$C$35),W153,0))</f>
        <v>0</v>
      </c>
    </row>
    <row r="154" spans="2:24" s="0" customFormat="0" ht="15">
      <c r="B154" s="69" t="s">
        <v>370</v>
      </c>
      <c r="C154" s="70" t="s">
        <v>371</v>
      </c>
      <c r="D154" s="70" t="s">
        <v>1</v>
      </c>
      <c r="E154" s="70" t="s">
        <v>1</v>
      </c>
      <c r="F154" s="70"/>
      <c r="G154" s="70" t="s">
        <v>61</v>
      </c>
      <c r="H154" s="70" t="s">
        <v>178</v>
      </c>
      <c r="I154" s="70" t="s">
        <v>179</v>
      </c>
      <c r="J154" s="71">
        <f>IF(OR(I154=0,I154=""),"unrated",VLOOKUP(I154,MappingTables!$B$19:$C$31,2,FALSE))</f>
        <v>4</v>
      </c>
      <c r="K154" s="72">
        <v>47626.035435468504</v>
      </c>
      <c r="L154" s="70">
        <v>4.5359887160074656</v>
      </c>
      <c r="M154" s="71">
        <f>IF(L154&lt;1,1,L154)</f>
        <v>4.5359887160074656</v>
      </c>
      <c r="N154" s="70" t="s">
        <v>141</v>
      </c>
      <c r="O154" s="71">
        <f>INDEX(DurClassMapping,MATCH(M154,MappingTables!$D$4:$D$8,-1),1)</f>
        <v>1</v>
      </c>
      <c r="P154" s="73">
        <f>IF(M154=$A$1,1,$M154-INDEX(MappingTables!$E$4:$E$8,MATCH(O154,MappingTables!$B$4:$B$8,0)))</f>
        <v>4.5359887160074656</v>
      </c>
      <c r="Q154" s="71">
        <f>IF(B154="",0,INDEX(ModelParameters!$D$6:$K$10,MATCH($O154,ModelParameters!$B$6:$B$10,0),MATCH($J154,ModelParameters!$D$5:$K$5,0)))</f>
        <v>0.045</v>
      </c>
      <c r="R154" s="71">
        <f>IF(B154="",0,INDEX(ModelParameters!$D$13:$K$17,MATCH($O154,ModelParameters!$B$13:$B$17,0),MATCH($J154,ModelParameters!$D$5:$K$5,0)))</f>
        <v>0</v>
      </c>
      <c r="S154" s="160">
        <f>IF(B154="",0,MIN(IF($N154="Other Bond TM",ModelParameters!$N$21,1)*(P154*Q154+R154),1))</f>
        <v>0.20411949222033592</v>
      </c>
      <c r="T154" s="85">
        <f>IF(B154="",0,$S154*$K154)</f>
        <v>9721.4021695555568</v>
      </c>
      <c r="U154" s="85">
        <f>IF(B154="",0,IF(OR(H154=MappingTables!$C$34,H154=MappingTables!$C$35),T154,0))</f>
        <v>0</v>
      </c>
      <c r="V154" s="85">
        <f>IF(ISNA(IF(AND(VLOOKUP(CONCATENATE($D154,$G154),CSRFinput!$B:$E,4,0)=0,OR(H154=MappingTables!$C$34,H154=MappingTables!$C$35)),1,VLOOKUP(CONCATENATE($D154,$G154),CSRFinput!$B:$E,4,0))),0,IF(AND(VLOOKUP(CONCATENATE($D154,$G154),CSRFinput!$B:$E,4,0)=0,OR(H154=MappingTables!$C$34,H154=MappingTables!$C$35)),1,VLOOKUP(CONCATENATE($D154,$G154),CSRFinput!$B:$E,4,0)))</f>
        <v>0.054776304963434752</v>
      </c>
      <c r="W154" s="85">
        <f>IF(B154="",0,+$T154*$V154)</f>
        <v>532.50248991177136</v>
      </c>
      <c r="X154" s="85">
        <f>IF(B154="",0,IF(OR(H154=MappingTables!$C$34,H154=MappingTables!$C$35),W154,0))</f>
        <v>0</v>
      </c>
    </row>
    <row r="155" spans="2:24" s="0" customFormat="0" ht="15">
      <c r="B155" s="69">
        <v>5335554</v>
      </c>
      <c r="C155" s="70" t="s">
        <v>372</v>
      </c>
      <c r="D155" s="70" t="s">
        <v>1</v>
      </c>
      <c r="E155" s="70" t="s">
        <v>1</v>
      </c>
      <c r="F155" s="70"/>
      <c r="G155" s="70" t="s">
        <v>61</v>
      </c>
      <c r="H155" s="70" t="s">
        <v>178</v>
      </c>
      <c r="I155" s="70" t="s">
        <v>179</v>
      </c>
      <c r="J155" s="71">
        <f>IF(OR(I155=0,I155=""),"unrated",VLOOKUP(I155,MappingTables!$B$19:$C$31,2,FALSE))</f>
        <v>4</v>
      </c>
      <c r="K155" s="72">
        <v>1167.5804182142988</v>
      </c>
      <c r="L155" s="70">
        <v>1.7875739597534044</v>
      </c>
      <c r="M155" s="71">
        <f>IF(L155&lt;1,1,L155)</f>
        <v>1.7875739597534044</v>
      </c>
      <c r="N155" s="70" t="s">
        <v>141</v>
      </c>
      <c r="O155" s="71">
        <f>INDEX(DurClassMapping,MATCH(M155,MappingTables!$D$4:$D$8,-1),1)</f>
        <v>1</v>
      </c>
      <c r="P155" s="73">
        <f>IF(M155=$A$1,1,$M155-INDEX(MappingTables!$E$4:$E$8,MATCH(O155,MappingTables!$B$4:$B$8,0)))</f>
        <v>1.7875739597534044</v>
      </c>
      <c r="Q155" s="71">
        <f>IF(B155="",0,INDEX(ModelParameters!$D$6:$K$10,MATCH($O155,ModelParameters!$B$6:$B$10,0),MATCH($J155,ModelParameters!$D$5:$K$5,0)))</f>
        <v>0.045</v>
      </c>
      <c r="R155" s="71">
        <f>IF(B155="",0,INDEX(ModelParameters!$D$13:$K$17,MATCH($O155,ModelParameters!$B$13:$B$17,0),MATCH($J155,ModelParameters!$D$5:$K$5,0)))</f>
        <v>0</v>
      </c>
      <c r="S155" s="160">
        <f>IF(B155="",0,MIN(IF($N155="Other Bond TM",ModelParameters!$N$21,1)*(P155*Q155+R155),1))</f>
        <v>0.080440828188903184</v>
      </c>
      <c r="T155" s="85">
        <f>IF(B155="",0,$S155*$K155)</f>
        <v>93.921135818304144</v>
      </c>
      <c r="U155" s="85">
        <f>IF(B155="",0,IF(OR(H155=MappingTables!$C$34,H155=MappingTables!$C$35),T155,0))</f>
        <v>0</v>
      </c>
      <c r="V155" s="85">
        <f>IF(ISNA(IF(AND(VLOOKUP(CONCATENATE($D155,$G155),CSRFinput!$B:$E,4,0)=0,OR(H155=MappingTables!$C$34,H155=MappingTables!$C$35)),1,VLOOKUP(CONCATENATE($D155,$G155),CSRFinput!$B:$E,4,0))),0,IF(AND(VLOOKUP(CONCATENATE($D155,$G155),CSRFinput!$B:$E,4,0)=0,OR(H155=MappingTables!$C$34,H155=MappingTables!$C$35)),1,VLOOKUP(CONCATENATE($D155,$G155),CSRFinput!$B:$E,4,0)))</f>
        <v>0.054776304963434752</v>
      </c>
      <c r="W155" s="85">
        <f>IF(B155="",0,+$T155*$V155)</f>
        <v>5.1446527780956032</v>
      </c>
      <c r="X155" s="85">
        <f>IF(B155="",0,IF(OR(H155=MappingTables!$C$34,H155=MappingTables!$C$35),W155,0))</f>
        <v>0</v>
      </c>
    </row>
    <row r="156" spans="2:24" s="0" customFormat="0" ht="15">
      <c r="B156" s="69">
        <v>9322301</v>
      </c>
      <c r="C156" s="70" t="s">
        <v>373</v>
      </c>
      <c r="D156" s="70" t="s">
        <v>1</v>
      </c>
      <c r="E156" s="70" t="s">
        <v>1</v>
      </c>
      <c r="F156" s="70"/>
      <c r="G156" s="70" t="s">
        <v>61</v>
      </c>
      <c r="H156" s="70" t="s">
        <v>178</v>
      </c>
      <c r="I156" s="70" t="s">
        <v>188</v>
      </c>
      <c r="J156" s="71">
        <f>IF(OR(I156=0,I156=""),"unrated",VLOOKUP(I156,MappingTables!$B$19:$C$31,2,FALSE))</f>
        <v>2</v>
      </c>
      <c r="K156" s="72">
        <v>1168.930114038212</v>
      </c>
      <c r="L156" s="70">
        <v>3.7283390409382152</v>
      </c>
      <c r="M156" s="71">
        <f>IF(L156&lt;1,1,L156)</f>
        <v>3.7283390409382152</v>
      </c>
      <c r="N156" s="70" t="s">
        <v>141</v>
      </c>
      <c r="O156" s="71">
        <f>INDEX(DurClassMapping,MATCH(M156,MappingTables!$D$4:$D$8,-1),1)</f>
        <v>1</v>
      </c>
      <c r="P156" s="73">
        <f>IF(M156=$A$1,1,$M156-INDEX(MappingTables!$E$4:$E$8,MATCH(O156,MappingTables!$B$4:$B$8,0)))</f>
        <v>3.7283390409382152</v>
      </c>
      <c r="Q156" s="71">
        <f>IF(B156="",0,INDEX(ModelParameters!$D$6:$K$10,MATCH($O156,ModelParameters!$B$6:$B$10,0),MATCH($J156,ModelParameters!$D$5:$K$5,0)))</f>
        <v>0.013999999999999998</v>
      </c>
      <c r="R156" s="71">
        <f>IF(B156="",0,INDEX(ModelParameters!$D$13:$K$17,MATCH($O156,ModelParameters!$B$13:$B$17,0),MATCH($J156,ModelParameters!$D$5:$K$5,0)))</f>
        <v>0</v>
      </c>
      <c r="S156" s="160">
        <f>IF(B156="",0,MIN(IF($N156="Other Bond TM",ModelParameters!$N$21,1)*(P156*Q156+R156),1))</f>
        <v>0.052196746573135016</v>
      </c>
      <c r="T156" s="85">
        <f>IF(B156="",0,$S156*$K156)</f>
        <v>61.01434892415836</v>
      </c>
      <c r="U156" s="85">
        <f>IF(B156="",0,IF(OR(H156=MappingTables!$C$34,H156=MappingTables!$C$35),T156,0))</f>
        <v>0</v>
      </c>
      <c r="V156" s="85">
        <f>IF(ISNA(IF(AND(VLOOKUP(CONCATENATE($D156,$G156),CSRFinput!$B:$E,4,0)=0,OR(H156=MappingTables!$C$34,H156=MappingTables!$C$35)),1,VLOOKUP(CONCATENATE($D156,$G156),CSRFinput!$B:$E,4,0))),0,IF(AND(VLOOKUP(CONCATENATE($D156,$G156),CSRFinput!$B:$E,4,0)=0,OR(H156=MappingTables!$C$34,H156=MappingTables!$C$35)),1,VLOOKUP(CONCATENATE($D156,$G156),CSRFinput!$B:$E,4,0)))</f>
        <v>0.054776304963434752</v>
      </c>
      <c r="W156" s="85">
        <f>IF(B156="",0,+$T156*$V156)</f>
        <v>3.3421405838151156</v>
      </c>
      <c r="X156" s="85">
        <f>IF(B156="",0,IF(OR(H156=MappingTables!$C$34,H156=MappingTables!$C$35),W156,0))</f>
        <v>0</v>
      </c>
    </row>
    <row r="157" spans="2:24" s="0" customFormat="0" ht="15">
      <c r="B157" s="69">
        <v>12427810</v>
      </c>
      <c r="C157" s="70" t="s">
        <v>374</v>
      </c>
      <c r="D157" s="70" t="s">
        <v>1</v>
      </c>
      <c r="E157" s="70" t="s">
        <v>1</v>
      </c>
      <c r="F157" s="70"/>
      <c r="G157" s="70" t="s">
        <v>61</v>
      </c>
      <c r="H157" s="70" t="s">
        <v>178</v>
      </c>
      <c r="I157" s="70" t="s">
        <v>181</v>
      </c>
      <c r="J157" s="71">
        <f>IF(OR(I157=0,I157=""),"unrated",VLOOKUP(I157,MappingTables!$B$19:$C$31,2,FALSE))</f>
        <v>3</v>
      </c>
      <c r="K157" s="72">
        <v>646.24040587726184</v>
      </c>
      <c r="L157" s="70">
        <v>4.8104376236926248</v>
      </c>
      <c r="M157" s="71">
        <f>IF(L157&lt;1,1,L157)</f>
        <v>4.8104376236926248</v>
      </c>
      <c r="N157" s="70" t="s">
        <v>141</v>
      </c>
      <c r="O157" s="71">
        <f>INDEX(DurClassMapping,MATCH(M157,MappingTables!$D$4:$D$8,-1),1)</f>
        <v>1</v>
      </c>
      <c r="P157" s="73">
        <f>IF(M157=$A$1,1,$M157-INDEX(MappingTables!$E$4:$E$8,MATCH(O157,MappingTables!$B$4:$B$8,0)))</f>
        <v>4.8104376236926248</v>
      </c>
      <c r="Q157" s="71">
        <f>IF(B157="",0,INDEX(ModelParameters!$D$6:$K$10,MATCH($O157,ModelParameters!$B$6:$B$10,0),MATCH($J157,ModelParameters!$D$5:$K$5,0)))</f>
        <v>0.025</v>
      </c>
      <c r="R157" s="71">
        <f>IF(B157="",0,INDEX(ModelParameters!$D$13:$K$17,MATCH($O157,ModelParameters!$B$13:$B$17,0),MATCH($J157,ModelParameters!$D$5:$K$5,0)))</f>
        <v>0</v>
      </c>
      <c r="S157" s="160">
        <f>IF(B157="",0,MIN(IF($N157="Other Bond TM",ModelParameters!$N$21,1)*(P157*Q157+R157),1))</f>
        <v>0.12026094059231562</v>
      </c>
      <c r="T157" s="85">
        <f>IF(B157="",0,$S157*$K157)</f>
        <v>77.717479059559328</v>
      </c>
      <c r="U157" s="85">
        <f>IF(B157="",0,IF(OR(H157=MappingTables!$C$34,H157=MappingTables!$C$35),T157,0))</f>
        <v>0</v>
      </c>
      <c r="V157" s="85">
        <f>IF(ISNA(IF(AND(VLOOKUP(CONCATENATE($D157,$G157),CSRFinput!$B:$E,4,0)=0,OR(H157=MappingTables!$C$34,H157=MappingTables!$C$35)),1,VLOOKUP(CONCATENATE($D157,$G157),CSRFinput!$B:$E,4,0))),0,IF(AND(VLOOKUP(CONCATENATE($D157,$G157),CSRFinput!$B:$E,4,0)=0,OR(H157=MappingTables!$C$34,H157=MappingTables!$C$35)),1,VLOOKUP(CONCATENATE($D157,$G157),CSRFinput!$B:$E,4,0)))</f>
        <v>0.054776304963434752</v>
      </c>
      <c r="W157" s="85">
        <f>IF(B157="",0,+$T157*$V157)</f>
        <v>4.2570763339557752</v>
      </c>
      <c r="X157" s="85">
        <f>IF(B157="",0,IF(OR(H157=MappingTables!$C$34,H157=MappingTables!$C$35),W157,0))</f>
        <v>0</v>
      </c>
    </row>
    <row r="158" spans="2:24" s="0" customFormat="0" ht="15">
      <c r="B158" s="69">
        <v>16151235</v>
      </c>
      <c r="C158" s="70" t="s">
        <v>375</v>
      </c>
      <c r="D158" s="70" t="s">
        <v>1</v>
      </c>
      <c r="E158" s="70" t="s">
        <v>1</v>
      </c>
      <c r="F158" s="70"/>
      <c r="G158" s="70" t="s">
        <v>61</v>
      </c>
      <c r="H158" s="70" t="s">
        <v>178</v>
      </c>
      <c r="I158" s="70" t="s">
        <v>181</v>
      </c>
      <c r="J158" s="71">
        <f>IF(OR(I158=0,I158=""),"unrated",VLOOKUP(I158,MappingTables!$B$19:$C$31,2,FALSE))</f>
        <v>3</v>
      </c>
      <c r="K158" s="72">
        <v>1572.6496197364826</v>
      </c>
      <c r="L158" s="70">
        <v>0.3178141277236784</v>
      </c>
      <c r="M158" s="71">
        <f>IF(L158&lt;1,1,L158)</f>
        <v>1</v>
      </c>
      <c r="N158" s="70" t="s">
        <v>141</v>
      </c>
      <c r="O158" s="71">
        <f>INDEX(DurClassMapping,MATCH(M158,MappingTables!$D$4:$D$8,-1),1)</f>
        <v>1</v>
      </c>
      <c r="P158" s="73">
        <f>IF(M158=$A$1,1,$M158-INDEX(MappingTables!$E$4:$E$8,MATCH(O158,MappingTables!$B$4:$B$8,0)))</f>
        <v>1</v>
      </c>
      <c r="Q158" s="71">
        <f>IF(B158="",0,INDEX(ModelParameters!$D$6:$K$10,MATCH($O158,ModelParameters!$B$6:$B$10,0),MATCH($J158,ModelParameters!$D$5:$K$5,0)))</f>
        <v>0.025</v>
      </c>
      <c r="R158" s="71">
        <f>IF(B158="",0,INDEX(ModelParameters!$D$13:$K$17,MATCH($O158,ModelParameters!$B$13:$B$17,0),MATCH($J158,ModelParameters!$D$5:$K$5,0)))</f>
        <v>0</v>
      </c>
      <c r="S158" s="160">
        <f>IF(B158="",0,MIN(IF($N158="Other Bond TM",ModelParameters!$N$21,1)*(P158*Q158+R158),1))</f>
        <v>0.025</v>
      </c>
      <c r="T158" s="85">
        <f>IF(B158="",0,$S158*$K158)</f>
        <v>39.316240493412064</v>
      </c>
      <c r="U158" s="85">
        <f>IF(B158="",0,IF(OR(H158=MappingTables!$C$34,H158=MappingTables!$C$35),T158,0))</f>
        <v>0</v>
      </c>
      <c r="V158" s="85">
        <f>IF(ISNA(IF(AND(VLOOKUP(CONCATENATE($D158,$G158),CSRFinput!$B:$E,4,0)=0,OR(H158=MappingTables!$C$34,H158=MappingTables!$C$35)),1,VLOOKUP(CONCATENATE($D158,$G158),CSRFinput!$B:$E,4,0))),0,IF(AND(VLOOKUP(CONCATENATE($D158,$G158),CSRFinput!$B:$E,4,0)=0,OR(H158=MappingTables!$C$34,H158=MappingTables!$C$35)),1,VLOOKUP(CONCATENATE($D158,$G158),CSRFinput!$B:$E,4,0)))</f>
        <v>0.054776304963434752</v>
      </c>
      <c r="W158" s="85">
        <f>IF(B158="",0,+$T158*$V158)</f>
        <v>2.1535983792828816</v>
      </c>
      <c r="X158" s="85">
        <f>IF(B158="",0,IF(OR(H158=MappingTables!$C$34,H158=MappingTables!$C$35),W158,0))</f>
        <v>0</v>
      </c>
    </row>
    <row r="159" spans="2:24" s="0" customFormat="0" ht="15">
      <c r="B159" s="69" t="s">
        <v>376</v>
      </c>
      <c r="C159" s="70" t="s">
        <v>377</v>
      </c>
      <c r="D159" s="70" t="s">
        <v>1</v>
      </c>
      <c r="E159" s="70" t="s">
        <v>1</v>
      </c>
      <c r="F159" s="70"/>
      <c r="G159" s="70" t="s">
        <v>61</v>
      </c>
      <c r="H159" s="70" t="s">
        <v>178</v>
      </c>
      <c r="I159" s="70" t="s">
        <v>188</v>
      </c>
      <c r="J159" s="71">
        <f>IF(OR(I159=0,I159=""),"unrated",VLOOKUP(I159,MappingTables!$B$19:$C$31,2,FALSE))</f>
        <v>2</v>
      </c>
      <c r="K159" s="72">
        <v>15.539765127455474</v>
      </c>
      <c r="L159" s="70">
        <v>2.2748849703189812</v>
      </c>
      <c r="M159" s="71">
        <f>IF(L159&lt;1,1,L159)</f>
        <v>2.2748849703189812</v>
      </c>
      <c r="N159" s="70" t="s">
        <v>141</v>
      </c>
      <c r="O159" s="71">
        <f>INDEX(DurClassMapping,MATCH(M159,MappingTables!$D$4:$D$8,-1),1)</f>
        <v>1</v>
      </c>
      <c r="P159" s="73">
        <f>IF(M159=$A$1,1,$M159-INDEX(MappingTables!$E$4:$E$8,MATCH(O159,MappingTables!$B$4:$B$8,0)))</f>
        <v>2.2748849703189812</v>
      </c>
      <c r="Q159" s="71">
        <f>IF(B159="",0,INDEX(ModelParameters!$D$6:$K$10,MATCH($O159,ModelParameters!$B$6:$B$10,0),MATCH($J159,ModelParameters!$D$5:$K$5,0)))</f>
        <v>0.013999999999999998</v>
      </c>
      <c r="R159" s="71">
        <f>IF(B159="",0,INDEX(ModelParameters!$D$13:$K$17,MATCH($O159,ModelParameters!$B$13:$B$17,0),MATCH($J159,ModelParameters!$D$5:$K$5,0)))</f>
        <v>0</v>
      </c>
      <c r="S159" s="160">
        <f>IF(B159="",0,MIN(IF($N159="Other Bond TM",ModelParameters!$N$21,1)*(P159*Q159+R159),1))</f>
        <v>0.031848389584465736</v>
      </c>
      <c r="T159" s="85">
        <f>IF(B159="",0,$S159*$K159)</f>
        <v>0.49491649383029688</v>
      </c>
      <c r="U159" s="85">
        <f>IF(B159="",0,IF(OR(H159=MappingTables!$C$34,H159=MappingTables!$C$35),T159,0))</f>
        <v>0</v>
      </c>
      <c r="V159" s="85">
        <f>IF(ISNA(IF(AND(VLOOKUP(CONCATENATE($D159,$G159),CSRFinput!$B:$E,4,0)=0,OR(H159=MappingTables!$C$34,H159=MappingTables!$C$35)),1,VLOOKUP(CONCATENATE($D159,$G159),CSRFinput!$B:$E,4,0))),0,IF(AND(VLOOKUP(CONCATENATE($D159,$G159),CSRFinput!$B:$E,4,0)=0,OR(H159=MappingTables!$C$34,H159=MappingTables!$C$35)),1,VLOOKUP(CONCATENATE($D159,$G159),CSRFinput!$B:$E,4,0)))</f>
        <v>0.054776304963434752</v>
      </c>
      <c r="W159" s="85">
        <f>IF(B159="",0,+$T159*$V159)</f>
        <v>0.027109696797482216</v>
      </c>
      <c r="X159" s="85">
        <f>IF(B159="",0,IF(OR(H159=MappingTables!$C$34,H159=MappingTables!$C$35),W159,0))</f>
        <v>0</v>
      </c>
    </row>
    <row r="160" spans="2:24" s="0" customFormat="0" ht="15">
      <c r="B160" s="69">
        <v>20173120</v>
      </c>
      <c r="C160" s="70" t="s">
        <v>378</v>
      </c>
      <c r="D160" s="70" t="s">
        <v>1</v>
      </c>
      <c r="E160" s="70" t="s">
        <v>1</v>
      </c>
      <c r="F160" s="70"/>
      <c r="G160" s="70" t="s">
        <v>61</v>
      </c>
      <c r="H160" s="70" t="s">
        <v>178</v>
      </c>
      <c r="I160" s="70" t="s">
        <v>188</v>
      </c>
      <c r="J160" s="71">
        <f>IF(OR(I160=0,I160=""),"unrated",VLOOKUP(I160,MappingTables!$B$19:$C$31,2,FALSE))</f>
        <v>2</v>
      </c>
      <c r="K160" s="72">
        <v>2178.782315077118</v>
      </c>
      <c r="L160" s="70">
        <v>3.3193805906117988</v>
      </c>
      <c r="M160" s="71">
        <f>IF(L160&lt;1,1,L160)</f>
        <v>3.3193805906117988</v>
      </c>
      <c r="N160" s="70" t="s">
        <v>141</v>
      </c>
      <c r="O160" s="71">
        <f>INDEX(DurClassMapping,MATCH(M160,MappingTables!$D$4:$D$8,-1),1)</f>
        <v>1</v>
      </c>
      <c r="P160" s="73">
        <f>IF(M160=$A$1,1,$M160-INDEX(MappingTables!$E$4:$E$8,MATCH(O160,MappingTables!$B$4:$B$8,0)))</f>
        <v>3.3193805906117988</v>
      </c>
      <c r="Q160" s="71">
        <f>IF(B160="",0,INDEX(ModelParameters!$D$6:$K$10,MATCH($O160,ModelParameters!$B$6:$B$10,0),MATCH($J160,ModelParameters!$D$5:$K$5,0)))</f>
        <v>0.013999999999999998</v>
      </c>
      <c r="R160" s="71">
        <f>IF(B160="",0,INDEX(ModelParameters!$D$13:$K$17,MATCH($O160,ModelParameters!$B$13:$B$17,0),MATCH($J160,ModelParameters!$D$5:$K$5,0)))</f>
        <v>0</v>
      </c>
      <c r="S160" s="160">
        <f>IF(B160="",0,MIN(IF($N160="Other Bond TM",ModelParameters!$N$21,1)*(P160*Q160+R160),1))</f>
        <v>0.046471328268565176</v>
      </c>
      <c r="T160" s="85">
        <f>IF(B160="",0,$S160*$K160)</f>
        <v>101.25090818969314</v>
      </c>
      <c r="U160" s="85">
        <f>IF(B160="",0,IF(OR(H160=MappingTables!$C$34,H160=MappingTables!$C$35),T160,0))</f>
        <v>0</v>
      </c>
      <c r="V160" s="85">
        <f>IF(ISNA(IF(AND(VLOOKUP(CONCATENATE($D160,$G160),CSRFinput!$B:$E,4,0)=0,OR(H160=MappingTables!$C$34,H160=MappingTables!$C$35)),1,VLOOKUP(CONCATENATE($D160,$G160),CSRFinput!$B:$E,4,0))),0,IF(AND(VLOOKUP(CONCATENATE($D160,$G160),CSRFinput!$B:$E,4,0)=0,OR(H160=MappingTables!$C$34,H160=MappingTables!$C$35)),1,VLOOKUP(CONCATENATE($D160,$G160),CSRFinput!$B:$E,4,0)))</f>
        <v>0.054776304963434752</v>
      </c>
      <c r="W160" s="85">
        <f>IF(B160="",0,+$T160*$V160)</f>
        <v>5.5461506248233656</v>
      </c>
      <c r="X160" s="85">
        <f>IF(B160="",0,IF(OR(H160=MappingTables!$C$34,H160=MappingTables!$C$35),W160,0))</f>
        <v>0</v>
      </c>
    </row>
    <row r="161" spans="2:24" s="0" customFormat="0" ht="15">
      <c r="B161" s="69">
        <v>23861635</v>
      </c>
      <c r="C161" s="70" t="s">
        <v>379</v>
      </c>
      <c r="D161" s="70" t="s">
        <v>1</v>
      </c>
      <c r="E161" s="70" t="s">
        <v>1</v>
      </c>
      <c r="F161" s="70"/>
      <c r="G161" s="70" t="s">
        <v>61</v>
      </c>
      <c r="H161" s="70" t="s">
        <v>178</v>
      </c>
      <c r="I161" s="70" t="s">
        <v>179</v>
      </c>
      <c r="J161" s="71">
        <f>IF(OR(I161=0,I161=""),"unrated",VLOOKUP(I161,MappingTables!$B$19:$C$31,2,FALSE))</f>
        <v>4</v>
      </c>
      <c r="K161" s="72">
        <v>1539.24077645148</v>
      </c>
      <c r="L161" s="70">
        <v>5.9807768137476904</v>
      </c>
      <c r="M161" s="71">
        <f>IF(L161&lt;1,1,L161)</f>
        <v>5.9807768137476904</v>
      </c>
      <c r="N161" s="70" t="s">
        <v>141</v>
      </c>
      <c r="O161" s="71">
        <f>INDEX(DurClassMapping,MATCH(M161,MappingTables!$D$4:$D$8,-1),1)</f>
        <v>2</v>
      </c>
      <c r="P161" s="73">
        <f>IF(M161=$A$1,1,$M161-INDEX(MappingTables!$E$4:$E$8,MATCH(O161,MappingTables!$B$4:$B$8,0)))</f>
        <v>0.98077681374769024</v>
      </c>
      <c r="Q161" s="71">
        <f>IF(B161="",0,INDEX(ModelParameters!$D$6:$K$10,MATCH($O161,ModelParameters!$B$6:$B$10,0),MATCH($J161,ModelParameters!$D$5:$K$5,0)))</f>
        <v>0.025</v>
      </c>
      <c r="R161" s="71">
        <f>IF(B161="",0,INDEX(ModelParameters!$D$13:$K$17,MATCH($O161,ModelParameters!$B$13:$B$17,0),MATCH($J161,ModelParameters!$D$5:$K$5,0)))</f>
        <v>0.225</v>
      </c>
      <c r="S161" s="160">
        <f>IF(B161="",0,MIN(IF($N161="Other Bond TM",ModelParameters!$N$21,1)*(P161*Q161+R161),1))</f>
        <v>0.24951942034369228</v>
      </c>
      <c r="T161" s="85">
        <f>IF(B161="",0,$S161*$K161)</f>
        <v>384.07046630954816</v>
      </c>
      <c r="U161" s="85">
        <f>IF(B161="",0,IF(OR(H161=MappingTables!$C$34,H161=MappingTables!$C$35),T161,0))</f>
        <v>0</v>
      </c>
      <c r="V161" s="85">
        <f>IF(ISNA(IF(AND(VLOOKUP(CONCATENATE($D161,$G161),CSRFinput!$B:$E,4,0)=0,OR(H161=MappingTables!$C$34,H161=MappingTables!$C$35)),1,VLOOKUP(CONCATENATE($D161,$G161),CSRFinput!$B:$E,4,0))),0,IF(AND(VLOOKUP(CONCATENATE($D161,$G161),CSRFinput!$B:$E,4,0)=0,OR(H161=MappingTables!$C$34,H161=MappingTables!$C$35)),1,VLOOKUP(CONCATENATE($D161,$G161),CSRFinput!$B:$E,4,0)))</f>
        <v>0.054776304963434752</v>
      </c>
      <c r="W161" s="85">
        <f>IF(B161="",0,+$T161*$V161)</f>
        <v>21.0379609900204</v>
      </c>
      <c r="X161" s="85">
        <f>IF(B161="",0,IF(OR(H161=MappingTables!$C$34,H161=MappingTables!$C$35),W161,0))</f>
        <v>0</v>
      </c>
    </row>
    <row r="162" spans="2:24" s="0" customFormat="0" ht="15">
      <c r="B162" s="69">
        <v>19646587</v>
      </c>
      <c r="C162" s="70" t="s">
        <v>380</v>
      </c>
      <c r="D162" s="70" t="s">
        <v>1</v>
      </c>
      <c r="E162" s="70" t="s">
        <v>1</v>
      </c>
      <c r="F162" s="70"/>
      <c r="G162" s="70" t="s">
        <v>61</v>
      </c>
      <c r="H162" s="70" t="s">
        <v>178</v>
      </c>
      <c r="I162" s="70" t="s">
        <v>179</v>
      </c>
      <c r="J162" s="71">
        <f>IF(OR(I162=0,I162=""),"unrated",VLOOKUP(I162,MappingTables!$B$19:$C$31,2,FALSE))</f>
        <v>4</v>
      </c>
      <c r="K162" s="72">
        <v>30169.21711225104</v>
      </c>
      <c r="L162" s="70">
        <v>1.2763117719250304</v>
      </c>
      <c r="M162" s="71">
        <f>IF(L162&lt;1,1,L162)</f>
        <v>1.2763117719250304</v>
      </c>
      <c r="N162" s="70" t="s">
        <v>141</v>
      </c>
      <c r="O162" s="71">
        <f>INDEX(DurClassMapping,MATCH(M162,MappingTables!$D$4:$D$8,-1),1)</f>
        <v>1</v>
      </c>
      <c r="P162" s="73">
        <f>IF(M162=$A$1,1,$M162-INDEX(MappingTables!$E$4:$E$8,MATCH(O162,MappingTables!$B$4:$B$8,0)))</f>
        <v>1.2763117719250304</v>
      </c>
      <c r="Q162" s="71">
        <f>IF(B162="",0,INDEX(ModelParameters!$D$6:$K$10,MATCH($O162,ModelParameters!$B$6:$B$10,0),MATCH($J162,ModelParameters!$D$5:$K$5,0)))</f>
        <v>0.045</v>
      </c>
      <c r="R162" s="71">
        <f>IF(B162="",0,INDEX(ModelParameters!$D$13:$K$17,MATCH($O162,ModelParameters!$B$13:$B$17,0),MATCH($J162,ModelParameters!$D$5:$K$5,0)))</f>
        <v>0</v>
      </c>
      <c r="S162" s="160">
        <f>IF(B162="",0,MIN(IF($N162="Other Bond TM",ModelParameters!$N$21,1)*(P162*Q162+R162),1))</f>
        <v>0.05743402973662636</v>
      </c>
      <c r="T162" s="85">
        <f>IF(B162="",0,$S162*$K162)</f>
        <v>1732.739712755763</v>
      </c>
      <c r="U162" s="85">
        <f>IF(B162="",0,IF(OR(H162=MappingTables!$C$34,H162=MappingTables!$C$35),T162,0))</f>
        <v>0</v>
      </c>
      <c r="V162" s="85">
        <f>IF(ISNA(IF(AND(VLOOKUP(CONCATENATE($D162,$G162),CSRFinput!$B:$E,4,0)=0,OR(H162=MappingTables!$C$34,H162=MappingTables!$C$35)),1,VLOOKUP(CONCATENATE($D162,$G162),CSRFinput!$B:$E,4,0))),0,IF(AND(VLOOKUP(CONCATENATE($D162,$G162),CSRFinput!$B:$E,4,0)=0,OR(H162=MappingTables!$C$34,H162=MappingTables!$C$35)),1,VLOOKUP(CONCATENATE($D162,$G162),CSRFinput!$B:$E,4,0)))</f>
        <v>0.054776304963434752</v>
      </c>
      <c r="W162" s="85">
        <f>IF(B162="",0,+$T162*$V162)</f>
        <v>94.913078928164016</v>
      </c>
      <c r="X162" s="85">
        <f>IF(B162="",0,IF(OR(H162=MappingTables!$C$34,H162=MappingTables!$C$35),W162,0))</f>
        <v>0</v>
      </c>
    </row>
    <row r="163" spans="2:24" s="0" customFormat="0" ht="15">
      <c r="B163" s="69">
        <v>4184780</v>
      </c>
      <c r="C163" s="70" t="s">
        <v>381</v>
      </c>
      <c r="D163" s="70" t="s">
        <v>1</v>
      </c>
      <c r="E163" s="70" t="s">
        <v>1</v>
      </c>
      <c r="F163" s="70"/>
      <c r="G163" s="70" t="s">
        <v>61</v>
      </c>
      <c r="H163" s="70" t="s">
        <v>178</v>
      </c>
      <c r="I163" s="70" t="s">
        <v>179</v>
      </c>
      <c r="J163" s="71">
        <f>IF(OR(I163=0,I163=""),"unrated",VLOOKUP(I163,MappingTables!$B$19:$C$31,2,FALSE))</f>
        <v>4</v>
      </c>
      <c r="K163" s="72">
        <v>548.03371326348624</v>
      </c>
      <c r="L163" s="70">
        <v>0.96232648228363328</v>
      </c>
      <c r="M163" s="71">
        <f>IF(L163&lt;1,1,L163)</f>
        <v>1</v>
      </c>
      <c r="N163" s="70" t="s">
        <v>141</v>
      </c>
      <c r="O163" s="71">
        <f>INDEX(DurClassMapping,MATCH(M163,MappingTables!$D$4:$D$8,-1),1)</f>
        <v>1</v>
      </c>
      <c r="P163" s="73">
        <f>IF(M163=$A$1,1,$M163-INDEX(MappingTables!$E$4:$E$8,MATCH(O163,MappingTables!$B$4:$B$8,0)))</f>
        <v>1</v>
      </c>
      <c r="Q163" s="71">
        <f>IF(B163="",0,INDEX(ModelParameters!$D$6:$K$10,MATCH($O163,ModelParameters!$B$6:$B$10,0),MATCH($J163,ModelParameters!$D$5:$K$5,0)))</f>
        <v>0.045</v>
      </c>
      <c r="R163" s="71">
        <f>IF(B163="",0,INDEX(ModelParameters!$D$13:$K$17,MATCH($O163,ModelParameters!$B$13:$B$17,0),MATCH($J163,ModelParameters!$D$5:$K$5,0)))</f>
        <v>0</v>
      </c>
      <c r="S163" s="160">
        <f>IF(B163="",0,MIN(IF($N163="Other Bond TM",ModelParameters!$N$21,1)*(P163*Q163+R163),1))</f>
        <v>0.045</v>
      </c>
      <c r="T163" s="85">
        <f>IF(B163="",0,$S163*$K163)</f>
        <v>24.66151709685688</v>
      </c>
      <c r="U163" s="85">
        <f>IF(B163="",0,IF(OR(H163=MappingTables!$C$34,H163=MappingTables!$C$35),T163,0))</f>
        <v>0</v>
      </c>
      <c r="V163" s="85">
        <f>IF(ISNA(IF(AND(VLOOKUP(CONCATENATE($D163,$G163),CSRFinput!$B:$E,4,0)=0,OR(H163=MappingTables!$C$34,H163=MappingTables!$C$35)),1,VLOOKUP(CONCATENATE($D163,$G163),CSRFinput!$B:$E,4,0))),0,IF(AND(VLOOKUP(CONCATENATE($D163,$G163),CSRFinput!$B:$E,4,0)=0,OR(H163=MappingTables!$C$34,H163=MappingTables!$C$35)),1,VLOOKUP(CONCATENATE($D163,$G163),CSRFinput!$B:$E,4,0)))</f>
        <v>0.054776304963434752</v>
      </c>
      <c r="W163" s="85">
        <f>IF(B163="",0,+$T163*$V163)</f>
        <v>1.3508667813583926</v>
      </c>
      <c r="X163" s="85">
        <f>IF(B163="",0,IF(OR(H163=MappingTables!$C$34,H163=MappingTables!$C$35),W163,0))</f>
        <v>0</v>
      </c>
    </row>
    <row r="164" spans="2:24" s="0" customFormat="0" ht="15">
      <c r="B164" s="69">
        <v>22956030</v>
      </c>
      <c r="C164" s="70" t="s">
        <v>382</v>
      </c>
      <c r="D164" s="70" t="s">
        <v>1</v>
      </c>
      <c r="E164" s="70" t="s">
        <v>1</v>
      </c>
      <c r="F164" s="70"/>
      <c r="G164" s="70" t="s">
        <v>61</v>
      </c>
      <c r="H164" s="70" t="s">
        <v>178</v>
      </c>
      <c r="I164" s="70" t="s">
        <v>181</v>
      </c>
      <c r="J164" s="71">
        <f>IF(OR(I164=0,I164=""),"unrated",VLOOKUP(I164,MappingTables!$B$19:$C$31,2,FALSE))</f>
        <v>3</v>
      </c>
      <c r="K164" s="72">
        <v>19773.666255402836</v>
      </c>
      <c r="L164" s="70">
        <v>6.5920567519606304</v>
      </c>
      <c r="M164" s="71">
        <f>IF(L164&lt;1,1,L164)</f>
        <v>6.5920567519606304</v>
      </c>
      <c r="N164" s="70" t="s">
        <v>141</v>
      </c>
      <c r="O164" s="71">
        <f>INDEX(DurClassMapping,MATCH(M164,MappingTables!$D$4:$D$8,-1),1)</f>
        <v>2</v>
      </c>
      <c r="P164" s="73">
        <f>IF(M164=$A$1,1,$M164-INDEX(MappingTables!$E$4:$E$8,MATCH(O164,MappingTables!$B$4:$B$8,0)))</f>
        <v>1.5920567519606302</v>
      </c>
      <c r="Q164" s="71">
        <f>IF(B164="",0,INDEX(ModelParameters!$D$6:$K$10,MATCH($O164,ModelParameters!$B$6:$B$10,0),MATCH($J164,ModelParameters!$D$5:$K$5,0)))</f>
        <v>0.015</v>
      </c>
      <c r="R164" s="71">
        <f>IF(B164="",0,INDEX(ModelParameters!$D$13:$K$17,MATCH($O164,ModelParameters!$B$13:$B$17,0),MATCH($J164,ModelParameters!$D$5:$K$5,0)))</f>
        <v>0.125</v>
      </c>
      <c r="S164" s="160">
        <f>IF(B164="",0,MIN(IF($N164="Other Bond TM",ModelParameters!$N$21,1)*(P164*Q164+R164),1))</f>
        <v>0.14888085127940944</v>
      </c>
      <c r="T164" s="85">
        <f>IF(B164="",0,$S164*$K164)</f>
        <v>2943.9202650193068</v>
      </c>
      <c r="U164" s="85">
        <f>IF(B164="",0,IF(OR(H164=MappingTables!$C$34,H164=MappingTables!$C$35),T164,0))</f>
        <v>0</v>
      </c>
      <c r="V164" s="85">
        <f>IF(ISNA(IF(AND(VLOOKUP(CONCATENATE($D164,$G164),CSRFinput!$B:$E,4,0)=0,OR(H164=MappingTables!$C$34,H164=MappingTables!$C$35)),1,VLOOKUP(CONCATENATE($D164,$G164),CSRFinput!$B:$E,4,0))),0,IF(AND(VLOOKUP(CONCATENATE($D164,$G164),CSRFinput!$B:$E,4,0)=0,OR(H164=MappingTables!$C$34,H164=MappingTables!$C$35)),1,VLOOKUP(CONCATENATE($D164,$G164),CSRFinput!$B:$E,4,0)))</f>
        <v>0.054776304963434752</v>
      </c>
      <c r="W164" s="85">
        <f>IF(B164="",0,+$T164*$V164)</f>
        <v>161.25707422473324</v>
      </c>
      <c r="X164" s="85">
        <f>IF(B164="",0,IF(OR(H164=MappingTables!$C$34,H164=MappingTables!$C$35),W164,0))</f>
        <v>0</v>
      </c>
    </row>
    <row r="165" spans="2:24" s="0" customFormat="0" ht="15">
      <c r="B165" s="69">
        <v>19484951</v>
      </c>
      <c r="C165" s="70" t="s">
        <v>383</v>
      </c>
      <c r="D165" s="70" t="s">
        <v>1</v>
      </c>
      <c r="E165" s="70" t="s">
        <v>1</v>
      </c>
      <c r="F165" s="70"/>
      <c r="G165" s="70" t="s">
        <v>61</v>
      </c>
      <c r="H165" s="70" t="s">
        <v>178</v>
      </c>
      <c r="I165" s="70" t="s">
        <v>181</v>
      </c>
      <c r="J165" s="71">
        <f>IF(OR(I165=0,I165=""),"unrated",VLOOKUP(I165,MappingTables!$B$19:$C$31,2,FALSE))</f>
        <v>3</v>
      </c>
      <c r="K165" s="72">
        <v>2820.1610055771216</v>
      </c>
      <c r="L165" s="70">
        <v>7.2708296159339968</v>
      </c>
      <c r="M165" s="71">
        <f>IF(L165&lt;1,1,L165)</f>
        <v>7.2708296159339968</v>
      </c>
      <c r="N165" s="70" t="s">
        <v>141</v>
      </c>
      <c r="O165" s="71">
        <f>INDEX(DurClassMapping,MATCH(M165,MappingTables!$D$4:$D$8,-1),1)</f>
        <v>2</v>
      </c>
      <c r="P165" s="73">
        <f>IF(M165=$A$1,1,$M165-INDEX(MappingTables!$E$4:$E$8,MATCH(O165,MappingTables!$B$4:$B$8,0)))</f>
        <v>2.2708296159339972</v>
      </c>
      <c r="Q165" s="71">
        <f>IF(B165="",0,INDEX(ModelParameters!$D$6:$K$10,MATCH($O165,ModelParameters!$B$6:$B$10,0),MATCH($J165,ModelParameters!$D$5:$K$5,0)))</f>
        <v>0.015</v>
      </c>
      <c r="R165" s="71">
        <f>IF(B165="",0,INDEX(ModelParameters!$D$13:$K$17,MATCH($O165,ModelParameters!$B$13:$B$17,0),MATCH($J165,ModelParameters!$D$5:$K$5,0)))</f>
        <v>0.125</v>
      </c>
      <c r="S165" s="160">
        <f>IF(B165="",0,MIN(IF($N165="Other Bond TM",ModelParameters!$N$21,1)*(P165*Q165+R165),1))</f>
        <v>0.15906244423900994</v>
      </c>
      <c r="T165" s="85">
        <f>IF(B165="",0,$S165*$K165)</f>
        <v>448.58170269464112</v>
      </c>
      <c r="U165" s="85">
        <f>IF(B165="",0,IF(OR(H165=MappingTables!$C$34,H165=MappingTables!$C$35),T165,0))</f>
        <v>0</v>
      </c>
      <c r="V165" s="85">
        <f>IF(ISNA(IF(AND(VLOOKUP(CONCATENATE($D165,$G165),CSRFinput!$B:$E,4,0)=0,OR(H165=MappingTables!$C$34,H165=MappingTables!$C$35)),1,VLOOKUP(CONCATENATE($D165,$G165),CSRFinput!$B:$E,4,0))),0,IF(AND(VLOOKUP(CONCATENATE($D165,$G165),CSRFinput!$B:$E,4,0)=0,OR(H165=MappingTables!$C$34,H165=MappingTables!$C$35)),1,VLOOKUP(CONCATENATE($D165,$G165),CSRFinput!$B:$E,4,0)))</f>
        <v>0.054776304963434752</v>
      </c>
      <c r="W165" s="85">
        <f>IF(B165="",0,+$T165*$V165)</f>
        <v>24.571648147818484</v>
      </c>
      <c r="X165" s="85">
        <f>IF(B165="",0,IF(OR(H165=MappingTables!$C$34,H165=MappingTables!$C$35),W165,0))</f>
        <v>0</v>
      </c>
    </row>
    <row r="166" spans="2:24" s="0" customFormat="0" ht="15">
      <c r="B166" s="69" t="s">
        <v>384</v>
      </c>
      <c r="C166" s="70" t="s">
        <v>385</v>
      </c>
      <c r="D166" s="70" t="s">
        <v>1</v>
      </c>
      <c r="E166" s="70" t="s">
        <v>1</v>
      </c>
      <c r="F166" s="70"/>
      <c r="G166" s="70" t="s">
        <v>61</v>
      </c>
      <c r="H166" s="70" t="s">
        <v>178</v>
      </c>
      <c r="I166" s="70" t="s">
        <v>184</v>
      </c>
      <c r="J166" s="71">
        <f>IF(OR(I166=0,I166=""),"unrated",VLOOKUP(I166,MappingTables!$B$19:$C$31,2,FALSE))</f>
        <v>5</v>
      </c>
      <c r="K166" s="72">
        <v>127.22544975818764</v>
      </c>
      <c r="L166" s="70">
        <v>5.1962451138654952</v>
      </c>
      <c r="M166" s="71">
        <f>IF(L166&lt;1,1,L166)</f>
        <v>5.1962451138654952</v>
      </c>
      <c r="N166" s="70" t="s">
        <v>141</v>
      </c>
      <c r="O166" s="71">
        <f>INDEX(DurClassMapping,MATCH(M166,MappingTables!$D$4:$D$8,-1),1)</f>
        <v>2</v>
      </c>
      <c r="P166" s="73">
        <f>IF(M166=$A$1,1,$M166-INDEX(MappingTables!$E$4:$E$8,MATCH(O166,MappingTables!$B$4:$B$8,0)))</f>
        <v>0.19624511386549504</v>
      </c>
      <c r="Q166" s="71">
        <f>IF(B166="",0,INDEX(ModelParameters!$D$6:$K$10,MATCH($O166,ModelParameters!$B$6:$B$10,0),MATCH($J166,ModelParameters!$D$5:$K$5,0)))</f>
        <v>0.042</v>
      </c>
      <c r="R166" s="71">
        <f>IF(B166="",0,INDEX(ModelParameters!$D$13:$K$17,MATCH($O166,ModelParameters!$B$13:$B$17,0),MATCH($J166,ModelParameters!$D$5:$K$5,0)))</f>
        <v>0.375</v>
      </c>
      <c r="S166" s="160">
        <f>IF(B166="",0,MIN(IF($N166="Other Bond TM",ModelParameters!$N$21,1)*(P166*Q166+R166),1))</f>
        <v>0.3832422947823508</v>
      </c>
      <c r="T166" s="85">
        <f>IF(B166="",0,$S166*$K166)</f>
        <v>48.758173320044504</v>
      </c>
      <c r="U166" s="85">
        <f>IF(B166="",0,IF(OR(H166=MappingTables!$C$34,H166=MappingTables!$C$35),T166,0))</f>
        <v>0</v>
      </c>
      <c r="V166" s="85">
        <f>IF(ISNA(IF(AND(VLOOKUP(CONCATENATE($D166,$G166),CSRFinput!$B:$E,4,0)=0,OR(H166=MappingTables!$C$34,H166=MappingTables!$C$35)),1,VLOOKUP(CONCATENATE($D166,$G166),CSRFinput!$B:$E,4,0))),0,IF(AND(VLOOKUP(CONCATENATE($D166,$G166),CSRFinput!$B:$E,4,0)=0,OR(H166=MappingTables!$C$34,H166=MappingTables!$C$35)),1,VLOOKUP(CONCATENATE($D166,$G166),CSRFinput!$B:$E,4,0)))</f>
        <v>0.054776304963434752</v>
      </c>
      <c r="W166" s="85">
        <f>IF(B166="",0,+$T166*$V166)</f>
        <v>2.6707925712387656</v>
      </c>
      <c r="X166" s="85">
        <f>IF(B166="",0,IF(OR(H166=MappingTables!$C$34,H166=MappingTables!$C$35),W166,0))</f>
        <v>0</v>
      </c>
    </row>
    <row r="167" spans="2:24" s="0" customFormat="0" ht="15">
      <c r="B167" s="69">
        <v>11835384</v>
      </c>
      <c r="C167" s="70" t="s">
        <v>386</v>
      </c>
      <c r="D167" s="70" t="s">
        <v>1</v>
      </c>
      <c r="E167" s="70" t="s">
        <v>1</v>
      </c>
      <c r="F167" s="70"/>
      <c r="G167" s="70" t="s">
        <v>61</v>
      </c>
      <c r="H167" s="70" t="s">
        <v>178</v>
      </c>
      <c r="I167" s="70" t="s">
        <v>184</v>
      </c>
      <c r="J167" s="71">
        <f>IF(OR(I167=0,I167=""),"unrated",VLOOKUP(I167,MappingTables!$B$19:$C$31,2,FALSE))</f>
        <v>5</v>
      </c>
      <c r="K167" s="72">
        <v>212.64384594718924</v>
      </c>
      <c r="L167" s="70">
        <v>2.238295755818574</v>
      </c>
      <c r="M167" s="71">
        <f>IF(L167&lt;1,1,L167)</f>
        <v>2.238295755818574</v>
      </c>
      <c r="N167" s="70" t="s">
        <v>141</v>
      </c>
      <c r="O167" s="71">
        <f>INDEX(DurClassMapping,MATCH(M167,MappingTables!$D$4:$D$8,-1),1)</f>
        <v>1</v>
      </c>
      <c r="P167" s="73">
        <f>IF(M167=$A$1,1,$M167-INDEX(MappingTables!$E$4:$E$8,MATCH(O167,MappingTables!$B$4:$B$8,0)))</f>
        <v>2.238295755818574</v>
      </c>
      <c r="Q167" s="71">
        <f>IF(B167="",0,INDEX(ModelParameters!$D$6:$K$10,MATCH($O167,ModelParameters!$B$6:$B$10,0),MATCH($J167,ModelParameters!$D$5:$K$5,0)))</f>
        <v>0.075</v>
      </c>
      <c r="R167" s="71">
        <f>IF(B167="",0,INDEX(ModelParameters!$D$13:$K$17,MATCH($O167,ModelParameters!$B$13:$B$17,0),MATCH($J167,ModelParameters!$D$5:$K$5,0)))</f>
        <v>0</v>
      </c>
      <c r="S167" s="160">
        <f>IF(B167="",0,MIN(IF($N167="Other Bond TM",ModelParameters!$N$21,1)*(P167*Q167+R167),1))</f>
        <v>0.16787218168639304</v>
      </c>
      <c r="T167" s="85">
        <f>IF(B167="",0,$S167*$K167)</f>
        <v>35.696986341339924</v>
      </c>
      <c r="U167" s="85">
        <f>IF(B167="",0,IF(OR(H167=MappingTables!$C$34,H167=MappingTables!$C$35),T167,0))</f>
        <v>0</v>
      </c>
      <c r="V167" s="85">
        <f>IF(ISNA(IF(AND(VLOOKUP(CONCATENATE($D167,$G167),CSRFinput!$B:$E,4,0)=0,OR(H167=MappingTables!$C$34,H167=MappingTables!$C$35)),1,VLOOKUP(CONCATENATE($D167,$G167),CSRFinput!$B:$E,4,0))),0,IF(AND(VLOOKUP(CONCATENATE($D167,$G167),CSRFinput!$B:$E,4,0)=0,OR(H167=MappingTables!$C$34,H167=MappingTables!$C$35)),1,VLOOKUP(CONCATENATE($D167,$G167),CSRFinput!$B:$E,4,0)))</f>
        <v>0.054776304963434752</v>
      </c>
      <c r="W167" s="85">
        <f>IF(B167="",0,+$T167*$V167)</f>
        <v>1.9553490101088008</v>
      </c>
      <c r="X167" s="85">
        <f>IF(B167="",0,IF(OR(H167=MappingTables!$C$34,H167=MappingTables!$C$35),W167,0))</f>
        <v>0</v>
      </c>
    </row>
    <row r="168" spans="2:24" s="0" customFormat="0" ht="15">
      <c r="B168" s="69" t="s">
        <v>387</v>
      </c>
      <c r="C168" s="70" t="s">
        <v>388</v>
      </c>
      <c r="D168" s="70" t="s">
        <v>1</v>
      </c>
      <c r="E168" s="70" t="s">
        <v>1</v>
      </c>
      <c r="F168" s="70"/>
      <c r="G168" s="70" t="s">
        <v>61</v>
      </c>
      <c r="H168" s="70" t="s">
        <v>178</v>
      </c>
      <c r="I168" s="70" t="s">
        <v>179</v>
      </c>
      <c r="J168" s="71">
        <f>IF(OR(I168=0,I168=""),"unrated",VLOOKUP(I168,MappingTables!$B$19:$C$31,2,FALSE))</f>
        <v>4</v>
      </c>
      <c r="K168" s="72">
        <v>2860.0147601226548</v>
      </c>
      <c r="L168" s="70">
        <v>0.00821997918723948</v>
      </c>
      <c r="M168" s="71">
        <f>IF(L168&lt;1,1,L168)</f>
        <v>1</v>
      </c>
      <c r="N168" s="70" t="s">
        <v>141</v>
      </c>
      <c r="O168" s="71">
        <f>INDEX(DurClassMapping,MATCH(M168,MappingTables!$D$4:$D$8,-1),1)</f>
        <v>1</v>
      </c>
      <c r="P168" s="73">
        <f>IF(M168=$A$1,1,$M168-INDEX(MappingTables!$E$4:$E$8,MATCH(O168,MappingTables!$B$4:$B$8,0)))</f>
        <v>1</v>
      </c>
      <c r="Q168" s="71">
        <f>IF(B168="",0,INDEX(ModelParameters!$D$6:$K$10,MATCH($O168,ModelParameters!$B$6:$B$10,0),MATCH($J168,ModelParameters!$D$5:$K$5,0)))</f>
        <v>0.045</v>
      </c>
      <c r="R168" s="71">
        <f>IF(B168="",0,INDEX(ModelParameters!$D$13:$K$17,MATCH($O168,ModelParameters!$B$13:$B$17,0),MATCH($J168,ModelParameters!$D$5:$K$5,0)))</f>
        <v>0</v>
      </c>
      <c r="S168" s="160">
        <f>IF(B168="",0,MIN(IF($N168="Other Bond TM",ModelParameters!$N$21,1)*(P168*Q168+R168),1))</f>
        <v>0.045</v>
      </c>
      <c r="T168" s="85">
        <f>IF(B168="",0,$S168*$K168)</f>
        <v>128.70066420551948</v>
      </c>
      <c r="U168" s="85">
        <f>IF(B168="",0,IF(OR(H168=MappingTables!$C$34,H168=MappingTables!$C$35),T168,0))</f>
        <v>0</v>
      </c>
      <c r="V168" s="85">
        <f>IF(ISNA(IF(AND(VLOOKUP(CONCATENATE($D168,$G168),CSRFinput!$B:$E,4,0)=0,OR(H168=MappingTables!$C$34,H168=MappingTables!$C$35)),1,VLOOKUP(CONCATENATE($D168,$G168),CSRFinput!$B:$E,4,0))),0,IF(AND(VLOOKUP(CONCATENATE($D168,$G168),CSRFinput!$B:$E,4,0)=0,OR(H168=MappingTables!$C$34,H168=MappingTables!$C$35)),1,VLOOKUP(CONCATENATE($D168,$G168),CSRFinput!$B:$E,4,0)))</f>
        <v>0.054776304963434752</v>
      </c>
      <c r="W168" s="85">
        <f>IF(B168="",0,+$T168*$V168)</f>
        <v>7.0497468315181456</v>
      </c>
      <c r="X168" s="85">
        <f>IF(B168="",0,IF(OR(H168=MappingTables!$C$34,H168=MappingTables!$C$35),W168,0))</f>
        <v>0</v>
      </c>
    </row>
    <row r="169" spans="2:24" s="0" customFormat="0" ht="15">
      <c r="B169" s="69" t="s">
        <v>389</v>
      </c>
      <c r="C169" s="70" t="s">
        <v>390</v>
      </c>
      <c r="D169" s="70" t="s">
        <v>1</v>
      </c>
      <c r="E169" s="70" t="s">
        <v>1</v>
      </c>
      <c r="F169" s="70"/>
      <c r="G169" s="70" t="s">
        <v>61</v>
      </c>
      <c r="H169" s="70" t="s">
        <v>178</v>
      </c>
      <c r="I169" s="70" t="s">
        <v>198</v>
      </c>
      <c r="J169" s="71" t="str">
        <f>IF(OR(I169=0,I169=""),"unrated",VLOOKUP(I169,MappingTables!$B$19:$C$31,2,FALSE))</f>
        <v>unrated</v>
      </c>
      <c r="K169" s="72">
        <v>425.89666481845104</v>
      </c>
      <c r="L169" s="70">
        <v>0.79527100563746064</v>
      </c>
      <c r="M169" s="71">
        <f>IF(L169&lt;1,1,L169)</f>
        <v>1</v>
      </c>
      <c r="N169" s="70" t="s">
        <v>141</v>
      </c>
      <c r="O169" s="71">
        <f>INDEX(DurClassMapping,MATCH(M169,MappingTables!$D$4:$D$8,-1),1)</f>
        <v>1</v>
      </c>
      <c r="P169" s="73">
        <f>IF(M169=$A$1,1,$M169-INDEX(MappingTables!$E$4:$E$8,MATCH(O169,MappingTables!$B$4:$B$8,0)))</f>
        <v>1</v>
      </c>
      <c r="Q169" s="71">
        <f>IF(B169="",0,INDEX(ModelParameters!$D$6:$K$10,MATCH($O169,ModelParameters!$B$6:$B$10,0),MATCH($J169,ModelParameters!$D$5:$K$5,0)))</f>
        <v>0.03</v>
      </c>
      <c r="R169" s="71">
        <f>IF(B169="",0,INDEX(ModelParameters!$D$13:$K$17,MATCH($O169,ModelParameters!$B$13:$B$17,0),MATCH($J169,ModelParameters!$D$5:$K$5,0)))</f>
        <v>0</v>
      </c>
      <c r="S169" s="160">
        <f>IF(B169="",0,MIN(IF($N169="Other Bond TM",ModelParameters!$N$21,1)*(P169*Q169+R169),1))</f>
        <v>0.03</v>
      </c>
      <c r="T169" s="85">
        <f>IF(B169="",0,$S169*$K169)</f>
        <v>12.77689994455353</v>
      </c>
      <c r="U169" s="85">
        <f>IF(B169="",0,IF(OR(H169=MappingTables!$C$34,H169=MappingTables!$C$35),T169,0))</f>
        <v>0</v>
      </c>
      <c r="V169" s="85">
        <f>IF(ISNA(IF(AND(VLOOKUP(CONCATENATE($D169,$G169),CSRFinput!$B:$E,4,0)=0,OR(H169=MappingTables!$C$34,H169=MappingTables!$C$35)),1,VLOOKUP(CONCATENATE($D169,$G169),CSRFinput!$B:$E,4,0))),0,IF(AND(VLOOKUP(CONCATENATE($D169,$G169),CSRFinput!$B:$E,4,0)=0,OR(H169=MappingTables!$C$34,H169=MappingTables!$C$35)),1,VLOOKUP(CONCATENATE($D169,$G169),CSRFinput!$B:$E,4,0)))</f>
        <v>0.054776304963434752</v>
      </c>
      <c r="W169" s="85">
        <f>IF(B169="",0,+$T169*$V169)</f>
        <v>0.6998713678501568</v>
      </c>
      <c r="X169" s="85">
        <f>IF(B169="",0,IF(OR(H169=MappingTables!$C$34,H169=MappingTables!$C$35),W169,0))</f>
        <v>0</v>
      </c>
    </row>
    <row r="170" spans="2:24" s="0" customFormat="0" ht="15">
      <c r="B170" s="69">
        <v>23421001</v>
      </c>
      <c r="C170" s="70" t="s">
        <v>391</v>
      </c>
      <c r="D170" s="70" t="s">
        <v>1</v>
      </c>
      <c r="E170" s="70" t="s">
        <v>1</v>
      </c>
      <c r="F170" s="70"/>
      <c r="G170" s="70" t="s">
        <v>61</v>
      </c>
      <c r="H170" s="70" t="s">
        <v>178</v>
      </c>
      <c r="I170" s="70" t="s">
        <v>188</v>
      </c>
      <c r="J170" s="71">
        <f>IF(OR(I170=0,I170=""),"unrated",VLOOKUP(I170,MappingTables!$B$19:$C$31,2,FALSE))</f>
        <v>2</v>
      </c>
      <c r="K170" s="72">
        <v>464.25372628615384</v>
      </c>
      <c r="L170" s="70">
        <v>2.4294839870391208</v>
      </c>
      <c r="M170" s="71">
        <f>IF(L170&lt;1,1,L170)</f>
        <v>2.4294839870391208</v>
      </c>
      <c r="N170" s="70" t="s">
        <v>141</v>
      </c>
      <c r="O170" s="71">
        <f>INDEX(DurClassMapping,MATCH(M170,MappingTables!$D$4:$D$8,-1),1)</f>
        <v>1</v>
      </c>
      <c r="P170" s="73">
        <f>IF(M170=$A$1,1,$M170-INDEX(MappingTables!$E$4:$E$8,MATCH(O170,MappingTables!$B$4:$B$8,0)))</f>
        <v>2.4294839870391208</v>
      </c>
      <c r="Q170" s="71">
        <f>IF(B170="",0,INDEX(ModelParameters!$D$6:$K$10,MATCH($O170,ModelParameters!$B$6:$B$10,0),MATCH($J170,ModelParameters!$D$5:$K$5,0)))</f>
        <v>0.013999999999999998</v>
      </c>
      <c r="R170" s="71">
        <f>IF(B170="",0,INDEX(ModelParameters!$D$13:$K$17,MATCH($O170,ModelParameters!$B$13:$B$17,0),MATCH($J170,ModelParameters!$D$5:$K$5,0)))</f>
        <v>0</v>
      </c>
      <c r="S170" s="160">
        <f>IF(B170="",0,MIN(IF($N170="Other Bond TM",ModelParameters!$N$21,1)*(P170*Q170+R170),1))</f>
        <v>0.034012775818547688</v>
      </c>
      <c r="T170" s="85">
        <f>IF(B170="",0,$S170*$K170)</f>
        <v>15.79055791509635</v>
      </c>
      <c r="U170" s="85">
        <f>IF(B170="",0,IF(OR(H170=MappingTables!$C$34,H170=MappingTables!$C$35),T170,0))</f>
        <v>0</v>
      </c>
      <c r="V170" s="85">
        <f>IF(ISNA(IF(AND(VLOOKUP(CONCATENATE($D170,$G170),CSRFinput!$B:$E,4,0)=0,OR(H170=MappingTables!$C$34,H170=MappingTables!$C$35)),1,VLOOKUP(CONCATENATE($D170,$G170),CSRFinput!$B:$E,4,0))),0,IF(AND(VLOOKUP(CONCATENATE($D170,$G170),CSRFinput!$B:$E,4,0)=0,OR(H170=MappingTables!$C$34,H170=MappingTables!$C$35)),1,VLOOKUP(CONCATENATE($D170,$G170),CSRFinput!$B:$E,4,0)))</f>
        <v>0.054776304963434752</v>
      </c>
      <c r="W170" s="85">
        <f>IF(B170="",0,+$T170*$V170)</f>
        <v>0.86494841590009616</v>
      </c>
      <c r="X170" s="85">
        <f>IF(B170="",0,IF(OR(H170=MappingTables!$C$34,H170=MappingTables!$C$35),W170,0))</f>
        <v>0</v>
      </c>
    </row>
    <row r="171" spans="2:24" s="0" customFormat="0" ht="15">
      <c r="B171" s="69">
        <v>14256176</v>
      </c>
      <c r="C171" s="70" t="s">
        <v>392</v>
      </c>
      <c r="D171" s="70" t="s">
        <v>1</v>
      </c>
      <c r="E171" s="70" t="s">
        <v>1</v>
      </c>
      <c r="F171" s="70"/>
      <c r="G171" s="70" t="s">
        <v>61</v>
      </c>
      <c r="H171" s="70" t="s">
        <v>178</v>
      </c>
      <c r="I171" s="70" t="s">
        <v>181</v>
      </c>
      <c r="J171" s="71">
        <f>IF(OR(I171=0,I171=""),"unrated",VLOOKUP(I171,MappingTables!$B$19:$C$31,2,FALSE))</f>
        <v>3</v>
      </c>
      <c r="K171" s="72">
        <v>127.42103840125946</v>
      </c>
      <c r="L171" s="70">
        <v>5.691463338534992</v>
      </c>
      <c r="M171" s="71">
        <f>IF(L171&lt;1,1,L171)</f>
        <v>5.691463338534992</v>
      </c>
      <c r="N171" s="70" t="s">
        <v>141</v>
      </c>
      <c r="O171" s="71">
        <f>INDEX(DurClassMapping,MATCH(M171,MappingTables!$D$4:$D$8,-1),1)</f>
        <v>2</v>
      </c>
      <c r="P171" s="73">
        <f>IF(M171=$A$1,1,$M171-INDEX(MappingTables!$E$4:$E$8,MATCH(O171,MappingTables!$B$4:$B$8,0)))</f>
        <v>0.69146333853499176</v>
      </c>
      <c r="Q171" s="71">
        <f>IF(B171="",0,INDEX(ModelParameters!$D$6:$K$10,MATCH($O171,ModelParameters!$B$6:$B$10,0),MATCH($J171,ModelParameters!$D$5:$K$5,0)))</f>
        <v>0.015</v>
      </c>
      <c r="R171" s="71">
        <f>IF(B171="",0,INDEX(ModelParameters!$D$13:$K$17,MATCH($O171,ModelParameters!$B$13:$B$17,0),MATCH($J171,ModelParameters!$D$5:$K$5,0)))</f>
        <v>0.125</v>
      </c>
      <c r="S171" s="160">
        <f>IF(B171="",0,MIN(IF($N171="Other Bond TM",ModelParameters!$N$21,1)*(P171*Q171+R171),1))</f>
        <v>0.13537195007802488</v>
      </c>
      <c r="T171" s="85">
        <f>IF(B171="",0,$S171*$K171)</f>
        <v>17.249234449345388</v>
      </c>
      <c r="U171" s="85">
        <f>IF(B171="",0,IF(OR(H171=MappingTables!$C$34,H171=MappingTables!$C$35),T171,0))</f>
        <v>0</v>
      </c>
      <c r="V171" s="85">
        <f>IF(ISNA(IF(AND(VLOOKUP(CONCATENATE($D171,$G171),CSRFinput!$B:$E,4,0)=0,OR(H171=MappingTables!$C$34,H171=MappingTables!$C$35)),1,VLOOKUP(CONCATENATE($D171,$G171),CSRFinput!$B:$E,4,0))),0,IF(AND(VLOOKUP(CONCATENATE($D171,$G171),CSRFinput!$B:$E,4,0)=0,OR(H171=MappingTables!$C$34,H171=MappingTables!$C$35)),1,VLOOKUP(CONCATENATE($D171,$G171),CSRFinput!$B:$E,4,0)))</f>
        <v>0.054776304963434752</v>
      </c>
      <c r="W171" s="85">
        <f>IF(B171="",0,+$T171*$V171)</f>
        <v>0.94484932658312752</v>
      </c>
      <c r="X171" s="85">
        <f>IF(B171="",0,IF(OR(H171=MappingTables!$C$34,H171=MappingTables!$C$35),W171,0))</f>
        <v>0</v>
      </c>
    </row>
    <row r="172" spans="2:24" s="0" customFormat="0" ht="15">
      <c r="B172" s="69">
        <v>22246381</v>
      </c>
      <c r="C172" s="70" t="s">
        <v>393</v>
      </c>
      <c r="D172" s="70" t="s">
        <v>1</v>
      </c>
      <c r="E172" s="70" t="s">
        <v>1</v>
      </c>
      <c r="F172" s="70"/>
      <c r="G172" s="70" t="s">
        <v>61</v>
      </c>
      <c r="H172" s="70" t="s">
        <v>178</v>
      </c>
      <c r="I172" s="70" t="s">
        <v>181</v>
      </c>
      <c r="J172" s="71">
        <f>IF(OR(I172=0,I172=""),"unrated",VLOOKUP(I172,MappingTables!$B$19:$C$31,2,FALSE))</f>
        <v>3</v>
      </c>
      <c r="K172" s="72">
        <v>190.5223433953702</v>
      </c>
      <c r="L172" s="70">
        <v>3.9413362352410928</v>
      </c>
      <c r="M172" s="71">
        <f>IF(L172&lt;1,1,L172)</f>
        <v>3.9413362352410928</v>
      </c>
      <c r="N172" s="70" t="s">
        <v>141</v>
      </c>
      <c r="O172" s="71">
        <f>INDEX(DurClassMapping,MATCH(M172,MappingTables!$D$4:$D$8,-1),1)</f>
        <v>1</v>
      </c>
      <c r="P172" s="73">
        <f>IF(M172=$A$1,1,$M172-INDEX(MappingTables!$E$4:$E$8,MATCH(O172,MappingTables!$B$4:$B$8,0)))</f>
        <v>3.9413362352410928</v>
      </c>
      <c r="Q172" s="71">
        <f>IF(B172="",0,INDEX(ModelParameters!$D$6:$K$10,MATCH($O172,ModelParameters!$B$6:$B$10,0),MATCH($J172,ModelParameters!$D$5:$K$5,0)))</f>
        <v>0.025</v>
      </c>
      <c r="R172" s="71">
        <f>IF(B172="",0,INDEX(ModelParameters!$D$13:$K$17,MATCH($O172,ModelParameters!$B$13:$B$17,0),MATCH($J172,ModelParameters!$D$5:$K$5,0)))</f>
        <v>0</v>
      </c>
      <c r="S172" s="160">
        <f>IF(B172="",0,MIN(IF($N172="Other Bond TM",ModelParameters!$N$21,1)*(P172*Q172+R172),1))</f>
        <v>0.098533405881027328</v>
      </c>
      <c r="T172" s="85">
        <f>IF(B172="",0,$S172*$K172)</f>
        <v>18.772815391180476</v>
      </c>
      <c r="U172" s="85">
        <f>IF(B172="",0,IF(OR(H172=MappingTables!$C$34,H172=MappingTables!$C$35),T172,0))</f>
        <v>0</v>
      </c>
      <c r="V172" s="85">
        <f>IF(ISNA(IF(AND(VLOOKUP(CONCATENATE($D172,$G172),CSRFinput!$B:$E,4,0)=0,OR(H172=MappingTables!$C$34,H172=MappingTables!$C$35)),1,VLOOKUP(CONCATENATE($D172,$G172),CSRFinput!$B:$E,4,0))),0,IF(AND(VLOOKUP(CONCATENATE($D172,$G172),CSRFinput!$B:$E,4,0)=0,OR(H172=MappingTables!$C$34,H172=MappingTables!$C$35)),1,VLOOKUP(CONCATENATE($D172,$G172),CSRFinput!$B:$E,4,0)))</f>
        <v>0.054776304963434752</v>
      </c>
      <c r="W172" s="85">
        <f>IF(B172="",0,+$T172*$V172)</f>
        <v>1.0283054608895634</v>
      </c>
      <c r="X172" s="85">
        <f>IF(B172="",0,IF(OR(H172=MappingTables!$C$34,H172=MappingTables!$C$35),W172,0))</f>
        <v>0</v>
      </c>
    </row>
    <row r="173" spans="2:24" s="0" customFormat="0" ht="15">
      <c r="B173" s="69">
        <v>417599</v>
      </c>
      <c r="C173" s="70" t="s">
        <v>394</v>
      </c>
      <c r="D173" s="70" t="s">
        <v>1</v>
      </c>
      <c r="E173" s="70" t="s">
        <v>1</v>
      </c>
      <c r="F173" s="70"/>
      <c r="G173" s="70" t="s">
        <v>55</v>
      </c>
      <c r="H173" s="70" t="s">
        <v>178</v>
      </c>
      <c r="I173" s="70" t="s">
        <v>181</v>
      </c>
      <c r="J173" s="71">
        <f>IF(OR(I173=0,I173=""),"unrated",VLOOKUP(I173,MappingTables!$B$19:$C$31,2,FALSE))</f>
        <v>3</v>
      </c>
      <c r="K173" s="72">
        <v>1158094.4061279296</v>
      </c>
      <c r="L173" s="70">
        <v>3.2336212788734712</v>
      </c>
      <c r="M173" s="71">
        <f>IF(L173&lt;1,1,L173)</f>
        <v>3.2336212788734712</v>
      </c>
      <c r="N173" s="70" t="s">
        <v>141</v>
      </c>
      <c r="O173" s="71">
        <f>INDEX(DurClassMapping,MATCH(M173,MappingTables!$D$4:$D$8,-1),1)</f>
        <v>1</v>
      </c>
      <c r="P173" s="73">
        <f>IF(M173=$A$1,1,$M173-INDEX(MappingTables!$E$4:$E$8,MATCH(O173,MappingTables!$B$4:$B$8,0)))</f>
        <v>3.2336212788734712</v>
      </c>
      <c r="Q173" s="71">
        <f>IF(B173="",0,INDEX(ModelParameters!$D$6:$K$10,MATCH($O173,ModelParameters!$B$6:$B$10,0),MATCH($J173,ModelParameters!$D$5:$K$5,0)))</f>
        <v>0.025</v>
      </c>
      <c r="R173" s="71">
        <f>IF(B173="",0,INDEX(ModelParameters!$D$13:$K$17,MATCH($O173,ModelParameters!$B$13:$B$17,0),MATCH($J173,ModelParameters!$D$5:$K$5,0)))</f>
        <v>0</v>
      </c>
      <c r="S173" s="160">
        <f>IF(B173="",0,MIN(IF($N173="Other Bond TM",ModelParameters!$N$21,1)*(P173*Q173+R173),1))</f>
        <v>0.080840531971836784</v>
      </c>
      <c r="T173" s="85">
        <f>IF(B173="",0,$S173*$K173)</f>
        <v>93620.96786499024</v>
      </c>
      <c r="U173" s="85">
        <f>IF(B173="",0,IF(OR(H173=MappingTables!$C$34,H173=MappingTables!$C$35),T173,0))</f>
        <v>0</v>
      </c>
      <c r="V173" s="85">
        <f>IF(ISNA(IF(AND(VLOOKUP(CONCATENATE($D173,$G173),CSRFinput!$B:$E,4,0)=0,OR(H173=MappingTables!$C$34,H173=MappingTables!$C$35)),1,VLOOKUP(CONCATENATE($D173,$G173),CSRFinput!$B:$E,4,0))),0,IF(AND(VLOOKUP(CONCATENATE($D173,$G173),CSRFinput!$B:$E,4,0)=0,OR(H173=MappingTables!$C$34,H173=MappingTables!$C$35)),1,VLOOKUP(CONCATENATE($D173,$G173),CSRFinput!$B:$E,4,0)))</f>
        <v>0.14144277112511686</v>
      </c>
      <c r="W173" s="85">
        <f>IF(B173="",0,+$T173*$V173)</f>
        <v>13242.009130239734</v>
      </c>
      <c r="X173" s="85">
        <f>IF(B173="",0,IF(OR(H173=MappingTables!$C$34,H173=MappingTables!$C$35),W173,0))</f>
        <v>0</v>
      </c>
    </row>
    <row r="174" spans="2:24" s="0" customFormat="0" ht="15">
      <c r="B174" s="69">
        <v>2007329</v>
      </c>
      <c r="C174" s="70" t="s">
        <v>395</v>
      </c>
      <c r="D174" s="70" t="s">
        <v>1</v>
      </c>
      <c r="E174" s="70" t="s">
        <v>1</v>
      </c>
      <c r="F174" s="70"/>
      <c r="G174" s="70" t="s">
        <v>55</v>
      </c>
      <c r="H174" s="70" t="s">
        <v>178</v>
      </c>
      <c r="I174" s="70" t="s">
        <v>181</v>
      </c>
      <c r="J174" s="71">
        <f>IF(OR(I174=0,I174=""),"unrated",VLOOKUP(I174,MappingTables!$B$19:$C$31,2,FALSE))</f>
        <v>3</v>
      </c>
      <c r="K174" s="72">
        <v>2328480.0720214844</v>
      </c>
      <c r="L174" s="70">
        <v>2.8577954534120644</v>
      </c>
      <c r="M174" s="71">
        <f>IF(L174&lt;1,1,L174)</f>
        <v>2.8577954534120644</v>
      </c>
      <c r="N174" s="70" t="s">
        <v>141</v>
      </c>
      <c r="O174" s="71">
        <f>INDEX(DurClassMapping,MATCH(M174,MappingTables!$D$4:$D$8,-1),1)</f>
        <v>1</v>
      </c>
      <c r="P174" s="73">
        <f>IF(M174=$A$1,1,$M174-INDEX(MappingTables!$E$4:$E$8,MATCH(O174,MappingTables!$B$4:$B$8,0)))</f>
        <v>2.8577954534120644</v>
      </c>
      <c r="Q174" s="71">
        <f>IF(B174="",0,INDEX(ModelParameters!$D$6:$K$10,MATCH($O174,ModelParameters!$B$6:$B$10,0),MATCH($J174,ModelParameters!$D$5:$K$5,0)))</f>
        <v>0.025</v>
      </c>
      <c r="R174" s="71">
        <f>IF(B174="",0,INDEX(ModelParameters!$D$13:$K$17,MATCH($O174,ModelParameters!$B$13:$B$17,0),MATCH($J174,ModelParameters!$D$5:$K$5,0)))</f>
        <v>0</v>
      </c>
      <c r="S174" s="160">
        <f>IF(B174="",0,MIN(IF($N174="Other Bond TM",ModelParameters!$N$21,1)*(P174*Q174+R174),1))</f>
        <v>0.071444886335301608</v>
      </c>
      <c r="T174" s="85">
        <f>IF(B174="",0,$S174*$K174)</f>
        <v>166357.99407958984</v>
      </c>
      <c r="U174" s="85">
        <f>IF(B174="",0,IF(OR(H174=MappingTables!$C$34,H174=MappingTables!$C$35),T174,0))</f>
        <v>0</v>
      </c>
      <c r="V174" s="85">
        <f>IF(ISNA(IF(AND(VLOOKUP(CONCATENATE($D174,$G174),CSRFinput!$B:$E,4,0)=0,OR(H174=MappingTables!$C$34,H174=MappingTables!$C$35)),1,VLOOKUP(CONCATENATE($D174,$G174),CSRFinput!$B:$E,4,0))),0,IF(AND(VLOOKUP(CONCATENATE($D174,$G174),CSRFinput!$B:$E,4,0)=0,OR(H174=MappingTables!$C$34,H174=MappingTables!$C$35)),1,VLOOKUP(CONCATENATE($D174,$G174),CSRFinput!$B:$E,4,0)))</f>
        <v>0.14144277112511686</v>
      </c>
      <c r="W174" s="85">
        <f>IF(B174="",0,+$T174*$V174)</f>
        <v>23530.135681432972</v>
      </c>
      <c r="X174" s="85">
        <f>IF(B174="",0,IF(OR(H174=MappingTables!$C$34,H174=MappingTables!$C$35),W174,0))</f>
        <v>0</v>
      </c>
    </row>
    <row r="175" spans="2:24" s="0" customFormat="0" ht="15">
      <c r="B175" s="69">
        <v>20374651</v>
      </c>
      <c r="C175" s="70" t="s">
        <v>396</v>
      </c>
      <c r="D175" s="70" t="s">
        <v>1</v>
      </c>
      <c r="E175" s="70" t="s">
        <v>1</v>
      </c>
      <c r="F175" s="70"/>
      <c r="G175" s="70" t="s">
        <v>55</v>
      </c>
      <c r="H175" s="70" t="s">
        <v>178</v>
      </c>
      <c r="I175" s="70" t="s">
        <v>181</v>
      </c>
      <c r="J175" s="71">
        <f>IF(OR(I175=0,I175=""),"unrated",VLOOKUP(I175,MappingTables!$B$19:$C$31,2,FALSE))</f>
        <v>3</v>
      </c>
      <c r="K175" s="72">
        <v>1090591.8884277344</v>
      </c>
      <c r="L175" s="70">
        <v>7.7356731623103152</v>
      </c>
      <c r="M175" s="71">
        <f>IF(L175&lt;1,1,L175)</f>
        <v>7.7356731623103152</v>
      </c>
      <c r="N175" s="70" t="s">
        <v>141</v>
      </c>
      <c r="O175" s="71">
        <f>INDEX(DurClassMapping,MATCH(M175,MappingTables!$D$4:$D$8,-1),1)</f>
        <v>2</v>
      </c>
      <c r="P175" s="73">
        <f>IF(M175=$A$1,1,$M175-INDEX(MappingTables!$E$4:$E$8,MATCH(O175,MappingTables!$B$4:$B$8,0)))</f>
        <v>2.7356731623103148</v>
      </c>
      <c r="Q175" s="71">
        <f>IF(B175="",0,INDEX(ModelParameters!$D$6:$K$10,MATCH($O175,ModelParameters!$B$6:$B$10,0),MATCH($J175,ModelParameters!$D$5:$K$5,0)))</f>
        <v>0.015</v>
      </c>
      <c r="R175" s="71">
        <f>IF(B175="",0,INDEX(ModelParameters!$D$13:$K$17,MATCH($O175,ModelParameters!$B$13:$B$17,0),MATCH($J175,ModelParameters!$D$5:$K$5,0)))</f>
        <v>0.125</v>
      </c>
      <c r="S175" s="160">
        <f>IF(B175="",0,MIN(IF($N175="Other Bond TM",ModelParameters!$N$21,1)*(P175*Q175+R175),1))</f>
        <v>0.16603509743465472</v>
      </c>
      <c r="T175" s="85">
        <f>IF(B175="",0,$S175*$K175)</f>
        <v>181076.53045654296</v>
      </c>
      <c r="U175" s="85">
        <f>IF(B175="",0,IF(OR(H175=MappingTables!$C$34,H175=MappingTables!$C$35),T175,0))</f>
        <v>0</v>
      </c>
      <c r="V175" s="85">
        <f>IF(ISNA(IF(AND(VLOOKUP(CONCATENATE($D175,$G175),CSRFinput!$B:$E,4,0)=0,OR(H175=MappingTables!$C$34,H175=MappingTables!$C$35)),1,VLOOKUP(CONCATENATE($D175,$G175),CSRFinput!$B:$E,4,0))),0,IF(AND(VLOOKUP(CONCATENATE($D175,$G175),CSRFinput!$B:$E,4,0)=0,OR(H175=MappingTables!$C$34,H175=MappingTables!$C$35)),1,VLOOKUP(CONCATENATE($D175,$G175),CSRFinput!$B:$E,4,0)))</f>
        <v>0.14144277112511686</v>
      </c>
      <c r="W175" s="85">
        <f>IF(B175="",0,+$T175*$V175)</f>
        <v>25611.96625349506</v>
      </c>
      <c r="X175" s="85">
        <f>IF(B175="",0,IF(OR(H175=MappingTables!$C$34,H175=MappingTables!$C$35),W175,0))</f>
        <v>0</v>
      </c>
    </row>
    <row r="176" spans="2:24" s="0" customFormat="0" ht="15">
      <c r="B176" s="69">
        <v>20173124</v>
      </c>
      <c r="C176" s="70" t="s">
        <v>397</v>
      </c>
      <c r="D176" s="70" t="s">
        <v>1</v>
      </c>
      <c r="E176" s="70" t="s">
        <v>1</v>
      </c>
      <c r="F176" s="70"/>
      <c r="G176" s="70" t="s">
        <v>55</v>
      </c>
      <c r="H176" s="70" t="s">
        <v>178</v>
      </c>
      <c r="I176" s="70" t="s">
        <v>181</v>
      </c>
      <c r="J176" s="71">
        <f>IF(OR(I176=0,I176=""),"unrated",VLOOKUP(I176,MappingTables!$B$19:$C$31,2,FALSE))</f>
        <v>3</v>
      </c>
      <c r="K176" s="72">
        <v>699330.23071289064</v>
      </c>
      <c r="L176" s="70">
        <v>7.5658492035989552</v>
      </c>
      <c r="M176" s="71">
        <f>IF(L176&lt;1,1,L176)</f>
        <v>7.5658492035989552</v>
      </c>
      <c r="N176" s="70" t="s">
        <v>141</v>
      </c>
      <c r="O176" s="71">
        <f>INDEX(DurClassMapping,MATCH(M176,MappingTables!$D$4:$D$8,-1),1)</f>
        <v>2</v>
      </c>
      <c r="P176" s="73">
        <f>IF(M176=$A$1,1,$M176-INDEX(MappingTables!$E$4:$E$8,MATCH(O176,MappingTables!$B$4:$B$8,0)))</f>
        <v>2.5658492035989548</v>
      </c>
      <c r="Q176" s="71">
        <f>IF(B176="",0,INDEX(ModelParameters!$D$6:$K$10,MATCH($O176,ModelParameters!$B$6:$B$10,0),MATCH($J176,ModelParameters!$D$5:$K$5,0)))</f>
        <v>0.015</v>
      </c>
      <c r="R176" s="71">
        <f>IF(B176="",0,INDEX(ModelParameters!$D$13:$K$17,MATCH($O176,ModelParameters!$B$13:$B$17,0),MATCH($J176,ModelParameters!$D$5:$K$5,0)))</f>
        <v>0.125</v>
      </c>
      <c r="S176" s="160">
        <f>IF(B176="",0,MIN(IF($N176="Other Bond TM",ModelParameters!$N$21,1)*(P176*Q176+R176),1))</f>
        <v>0.16348773805398432</v>
      </c>
      <c r="T176" s="85">
        <f>IF(B176="",0,$S176*$K176)</f>
        <v>114331.91757202146</v>
      </c>
      <c r="U176" s="85">
        <f>IF(B176="",0,IF(OR(H176=MappingTables!$C$34,H176=MappingTables!$C$35),T176,0))</f>
        <v>0</v>
      </c>
      <c r="V176" s="85">
        <f>IF(ISNA(IF(AND(VLOOKUP(CONCATENATE($D176,$G176),CSRFinput!$B:$E,4,0)=0,OR(H176=MappingTables!$C$34,H176=MappingTables!$C$35)),1,VLOOKUP(CONCATENATE($D176,$G176),CSRFinput!$B:$E,4,0))),0,IF(AND(VLOOKUP(CONCATENATE($D176,$G176),CSRFinput!$B:$E,4,0)=0,OR(H176=MappingTables!$C$34,H176=MappingTables!$C$35)),1,VLOOKUP(CONCATENATE($D176,$G176),CSRFinput!$B:$E,4,0)))</f>
        <v>0.14144277112511686</v>
      </c>
      <c r="W176" s="85">
        <f>IF(B176="",0,+$T176*$V176)</f>
        <v>16171.423249435158</v>
      </c>
      <c r="X176" s="85">
        <f>IF(B176="",0,IF(OR(H176=MappingTables!$C$34,H176=MappingTables!$C$35),W176,0))</f>
        <v>0</v>
      </c>
    </row>
    <row r="177" spans="2:24" s="0" customFormat="0" ht="15">
      <c r="B177" s="69">
        <v>20652550</v>
      </c>
      <c r="C177" s="70" t="s">
        <v>398</v>
      </c>
      <c r="D177" s="70" t="s">
        <v>1</v>
      </c>
      <c r="E177" s="70" t="s">
        <v>1</v>
      </c>
      <c r="F177" s="70"/>
      <c r="G177" s="70" t="s">
        <v>55</v>
      </c>
      <c r="H177" s="70" t="s">
        <v>178</v>
      </c>
      <c r="I177" s="70" t="s">
        <v>181</v>
      </c>
      <c r="J177" s="71">
        <f>IF(OR(I177=0,I177=""),"unrated",VLOOKUP(I177,MappingTables!$B$19:$C$31,2,FALSE))</f>
        <v>3</v>
      </c>
      <c r="K177" s="72">
        <v>545574.37896728512</v>
      </c>
      <c r="L177" s="70">
        <v>7.8969724662553696</v>
      </c>
      <c r="M177" s="71">
        <f>IF(L177&lt;1,1,L177)</f>
        <v>7.8969724662553696</v>
      </c>
      <c r="N177" s="70" t="s">
        <v>141</v>
      </c>
      <c r="O177" s="71">
        <f>INDEX(DurClassMapping,MATCH(M177,MappingTables!$D$4:$D$8,-1),1)</f>
        <v>2</v>
      </c>
      <c r="P177" s="73">
        <f>IF(M177=$A$1,1,$M177-INDEX(MappingTables!$E$4:$E$8,MATCH(O177,MappingTables!$B$4:$B$8,0)))</f>
        <v>2.8969724662553692</v>
      </c>
      <c r="Q177" s="71">
        <f>IF(B177="",0,INDEX(ModelParameters!$D$6:$K$10,MATCH($O177,ModelParameters!$B$6:$B$10,0),MATCH($J177,ModelParameters!$D$5:$K$5,0)))</f>
        <v>0.015</v>
      </c>
      <c r="R177" s="71">
        <f>IF(B177="",0,INDEX(ModelParameters!$D$13:$K$17,MATCH($O177,ModelParameters!$B$13:$B$17,0),MATCH($J177,ModelParameters!$D$5:$K$5,0)))</f>
        <v>0.125</v>
      </c>
      <c r="S177" s="160">
        <f>IF(B177="",0,MIN(IF($N177="Other Bond TM",ModelParameters!$N$21,1)*(P177*Q177+R177),1))</f>
        <v>0.16845458699383054</v>
      </c>
      <c r="T177" s="85">
        <f>IF(B177="",0,$S177*$K177)</f>
        <v>91904.506683349616</v>
      </c>
      <c r="U177" s="85">
        <f>IF(B177="",0,IF(OR(H177=MappingTables!$C$34,H177=MappingTables!$C$35),T177,0))</f>
        <v>0</v>
      </c>
      <c r="V177" s="85">
        <f>IF(ISNA(IF(AND(VLOOKUP(CONCATENATE($D177,$G177),CSRFinput!$B:$E,4,0)=0,OR(H177=MappingTables!$C$34,H177=MappingTables!$C$35)),1,VLOOKUP(CONCATENATE($D177,$G177),CSRFinput!$B:$E,4,0))),0,IF(AND(VLOOKUP(CONCATENATE($D177,$G177),CSRFinput!$B:$E,4,0)=0,OR(H177=MappingTables!$C$34,H177=MappingTables!$C$35)),1,VLOOKUP(CONCATENATE($D177,$G177),CSRFinput!$B:$E,4,0)))</f>
        <v>0.14144277112511686</v>
      </c>
      <c r="W177" s="85">
        <f>IF(B177="",0,+$T177*$V177)</f>
        <v>12999.22810417979</v>
      </c>
      <c r="X177" s="85">
        <f>IF(B177="",0,IF(OR(H177=MappingTables!$C$34,H177=MappingTables!$C$35),W177,0))</f>
        <v>0</v>
      </c>
    </row>
    <row r="178" spans="2:24" s="0" customFormat="0" ht="15">
      <c r="B178" s="69">
        <v>19476382</v>
      </c>
      <c r="C178" s="70" t="s">
        <v>399</v>
      </c>
      <c r="D178" s="70" t="s">
        <v>1</v>
      </c>
      <c r="E178" s="70" t="s">
        <v>1</v>
      </c>
      <c r="F178" s="70"/>
      <c r="G178" s="70" t="s">
        <v>55</v>
      </c>
      <c r="H178" s="70" t="s">
        <v>178</v>
      </c>
      <c r="I178" s="70" t="s">
        <v>188</v>
      </c>
      <c r="J178" s="71">
        <f>IF(OR(I178=0,I178=""),"unrated",VLOOKUP(I178,MappingTables!$B$19:$C$31,2,FALSE))</f>
        <v>2</v>
      </c>
      <c r="K178" s="72">
        <v>1013828.8879394532</v>
      </c>
      <c r="L178" s="70">
        <v>9.8416159346705232</v>
      </c>
      <c r="M178" s="71">
        <f>IF(L178&lt;1,1,L178)</f>
        <v>9.8416159346705232</v>
      </c>
      <c r="N178" s="70" t="s">
        <v>141</v>
      </c>
      <c r="O178" s="71">
        <f>INDEX(DurClassMapping,MATCH(M178,MappingTables!$D$4:$D$8,-1),1)</f>
        <v>2</v>
      </c>
      <c r="P178" s="73">
        <f>IF(M178=$A$1,1,$M178-INDEX(MappingTables!$E$4:$E$8,MATCH(O178,MappingTables!$B$4:$B$8,0)))</f>
        <v>4.8416159346705232</v>
      </c>
      <c r="Q178" s="71">
        <f>IF(B178="",0,INDEX(ModelParameters!$D$6:$K$10,MATCH($O178,ModelParameters!$B$6:$B$10,0),MATCH($J178,ModelParameters!$D$5:$K$5,0)))</f>
        <v>0.0069999999999999992</v>
      </c>
      <c r="R178" s="71">
        <f>IF(B178="",0,INDEX(ModelParameters!$D$13:$K$17,MATCH($O178,ModelParameters!$B$13:$B$17,0),MATCH($J178,ModelParameters!$D$5:$K$5,0)))</f>
        <v>0.070000000000000008</v>
      </c>
      <c r="S178" s="160">
        <f>IF(B178="",0,MIN(IF($N178="Other Bond TM",ModelParameters!$N$21,1)*(P178*Q178+R178),1))</f>
        <v>0.10389131154269366</v>
      </c>
      <c r="T178" s="85">
        <f>IF(B178="",0,$S178*$K178)</f>
        <v>105328.0128479004</v>
      </c>
      <c r="U178" s="85">
        <f>IF(B178="",0,IF(OR(H178=MappingTables!$C$34,H178=MappingTables!$C$35),T178,0))</f>
        <v>0</v>
      </c>
      <c r="V178" s="85">
        <f>IF(ISNA(IF(AND(VLOOKUP(CONCATENATE($D178,$G178),CSRFinput!$B:$E,4,0)=0,OR(H178=MappingTables!$C$34,H178=MappingTables!$C$35)),1,VLOOKUP(CONCATENATE($D178,$G178),CSRFinput!$B:$E,4,0))),0,IF(AND(VLOOKUP(CONCATENATE($D178,$G178),CSRFinput!$B:$E,4,0)=0,OR(H178=MappingTables!$C$34,H178=MappingTables!$C$35)),1,VLOOKUP(CONCATENATE($D178,$G178),CSRFinput!$B:$E,4,0)))</f>
        <v>0.14144277112511686</v>
      </c>
      <c r="W178" s="85">
        <f>IF(B178="",0,+$T178*$V178)</f>
        <v>14897.886014308942</v>
      </c>
      <c r="X178" s="85">
        <f>IF(B178="",0,IF(OR(H178=MappingTables!$C$34,H178=MappingTables!$C$35),W178,0))</f>
        <v>0</v>
      </c>
    </row>
    <row r="179" spans="2:24" s="0" customFormat="0" ht="15">
      <c r="B179" s="69">
        <v>19035757</v>
      </c>
      <c r="C179" s="70" t="s">
        <v>400</v>
      </c>
      <c r="D179" s="70" t="s">
        <v>1</v>
      </c>
      <c r="E179" s="70" t="s">
        <v>1</v>
      </c>
      <c r="F179" s="70"/>
      <c r="G179" s="70" t="s">
        <v>55</v>
      </c>
      <c r="H179" s="70" t="s">
        <v>178</v>
      </c>
      <c r="I179" s="70" t="s">
        <v>188</v>
      </c>
      <c r="J179" s="71">
        <f>IF(OR(I179=0,I179=""),"unrated",VLOOKUP(I179,MappingTables!$B$19:$C$31,2,FALSE))</f>
        <v>2</v>
      </c>
      <c r="K179" s="72">
        <v>1512140.5792236328</v>
      </c>
      <c r="L179" s="70">
        <v>7.909001591277144</v>
      </c>
      <c r="M179" s="71">
        <f>IF(L179&lt;1,1,L179)</f>
        <v>7.909001591277144</v>
      </c>
      <c r="N179" s="70" t="s">
        <v>141</v>
      </c>
      <c r="O179" s="71">
        <f>INDEX(DurClassMapping,MATCH(M179,MappingTables!$D$4:$D$8,-1),1)</f>
        <v>2</v>
      </c>
      <c r="P179" s="73">
        <f>IF(M179=$A$1,1,$M179-INDEX(MappingTables!$E$4:$E$8,MATCH(O179,MappingTables!$B$4:$B$8,0)))</f>
        <v>2.9090015912771436</v>
      </c>
      <c r="Q179" s="71">
        <f>IF(B179="",0,INDEX(ModelParameters!$D$6:$K$10,MATCH($O179,ModelParameters!$B$6:$B$10,0),MATCH($J179,ModelParameters!$D$5:$K$5,0)))</f>
        <v>0.0069999999999999992</v>
      </c>
      <c r="R179" s="71">
        <f>IF(B179="",0,INDEX(ModelParameters!$D$13:$K$17,MATCH($O179,ModelParameters!$B$13:$B$17,0),MATCH($J179,ModelParameters!$D$5:$K$5,0)))</f>
        <v>0.070000000000000008</v>
      </c>
      <c r="S179" s="160">
        <f>IF(B179="",0,MIN(IF($N179="Other Bond TM",ModelParameters!$N$21,1)*(P179*Q179+R179),1))</f>
        <v>0.09036301113894</v>
      </c>
      <c r="T179" s="85">
        <f>IF(B179="",0,$S179*$K179)</f>
        <v>136641.57600402832</v>
      </c>
      <c r="U179" s="85">
        <f>IF(B179="",0,IF(OR(H179=MappingTables!$C$34,H179=MappingTables!$C$35),T179,0))</f>
        <v>0</v>
      </c>
      <c r="V179" s="85">
        <f>IF(ISNA(IF(AND(VLOOKUP(CONCATENATE($D179,$G179),CSRFinput!$B:$E,4,0)=0,OR(H179=MappingTables!$C$34,H179=MappingTables!$C$35)),1,VLOOKUP(CONCATENATE($D179,$G179),CSRFinput!$B:$E,4,0))),0,IF(AND(VLOOKUP(CONCATENATE($D179,$G179),CSRFinput!$B:$E,4,0)=0,OR(H179=MappingTables!$C$34,H179=MappingTables!$C$35)),1,VLOOKUP(CONCATENATE($D179,$G179),CSRFinput!$B:$E,4,0)))</f>
        <v>0.14144277112511686</v>
      </c>
      <c r="W179" s="85">
        <f>IF(B179="",0,+$T179*$V179)</f>
        <v>19326.963160913036</v>
      </c>
      <c r="X179" s="85">
        <f>IF(B179="",0,IF(OR(H179=MappingTables!$C$34,H179=MappingTables!$C$35),W179,0))</f>
        <v>0</v>
      </c>
    </row>
    <row r="180" spans="2:24" s="0" customFormat="0" ht="15">
      <c r="B180" s="69">
        <v>5180794</v>
      </c>
      <c r="C180" s="70" t="s">
        <v>401</v>
      </c>
      <c r="D180" s="70" t="s">
        <v>1</v>
      </c>
      <c r="E180" s="70" t="s">
        <v>1</v>
      </c>
      <c r="F180" s="70"/>
      <c r="G180" s="70" t="s">
        <v>55</v>
      </c>
      <c r="H180" s="70" t="s">
        <v>178</v>
      </c>
      <c r="I180" s="70" t="s">
        <v>188</v>
      </c>
      <c r="J180" s="71">
        <f>IF(OR(I180=0,I180=""),"unrated",VLOOKUP(I180,MappingTables!$B$19:$C$31,2,FALSE))</f>
        <v>2</v>
      </c>
      <c r="K180" s="72">
        <v>1066730.5755615234</v>
      </c>
      <c r="L180" s="70">
        <v>1.7460599458540932</v>
      </c>
      <c r="M180" s="71">
        <f>IF(L180&lt;1,1,L180)</f>
        <v>1.7460599458540932</v>
      </c>
      <c r="N180" s="70" t="s">
        <v>141</v>
      </c>
      <c r="O180" s="71">
        <f>INDEX(DurClassMapping,MATCH(M180,MappingTables!$D$4:$D$8,-1),1)</f>
        <v>1</v>
      </c>
      <c r="P180" s="73">
        <f>IF(M180=$A$1,1,$M180-INDEX(MappingTables!$E$4:$E$8,MATCH(O180,MappingTables!$B$4:$B$8,0)))</f>
        <v>1.7460599458540932</v>
      </c>
      <c r="Q180" s="71">
        <f>IF(B180="",0,INDEX(ModelParameters!$D$6:$K$10,MATCH($O180,ModelParameters!$B$6:$B$10,0),MATCH($J180,ModelParameters!$D$5:$K$5,0)))</f>
        <v>0.013999999999999998</v>
      </c>
      <c r="R180" s="71">
        <f>IF(B180="",0,INDEX(ModelParameters!$D$13:$K$17,MATCH($O180,ModelParameters!$B$13:$B$17,0),MATCH($J180,ModelParameters!$D$5:$K$5,0)))</f>
        <v>0</v>
      </c>
      <c r="S180" s="160">
        <f>IF(B180="",0,MIN(IF($N180="Other Bond TM",ModelParameters!$N$21,1)*(P180*Q180+R180),1))</f>
        <v>0.024444839241957304</v>
      </c>
      <c r="T180" s="85">
        <f>IF(B180="",0,$S180*$K180)</f>
        <v>26076.057434082032</v>
      </c>
      <c r="U180" s="85">
        <f>IF(B180="",0,IF(OR(H180=MappingTables!$C$34,H180=MappingTables!$C$35),T180,0))</f>
        <v>0</v>
      </c>
      <c r="V180" s="85">
        <f>IF(ISNA(IF(AND(VLOOKUP(CONCATENATE($D180,$G180),CSRFinput!$B:$E,4,0)=0,OR(H180=MappingTables!$C$34,H180=MappingTables!$C$35)),1,VLOOKUP(CONCATENATE($D180,$G180),CSRFinput!$B:$E,4,0))),0,IF(AND(VLOOKUP(CONCATENATE($D180,$G180),CSRFinput!$B:$E,4,0)=0,OR(H180=MappingTables!$C$34,H180=MappingTables!$C$35)),1,VLOOKUP(CONCATENATE($D180,$G180),CSRFinput!$B:$E,4,0)))</f>
        <v>0.14144277112511686</v>
      </c>
      <c r="W180" s="85">
        <f>IF(B180="",0,+$T180*$V180)</f>
        <v>3688.2698234942672</v>
      </c>
      <c r="X180" s="85">
        <f>IF(B180="",0,IF(OR(H180=MappingTables!$C$34,H180=MappingTables!$C$35),W180,0))</f>
        <v>0</v>
      </c>
    </row>
    <row r="181" spans="2:24" s="0" customFormat="0" ht="15">
      <c r="B181" s="69" t="s">
        <v>402</v>
      </c>
      <c r="C181" s="70" t="s">
        <v>403</v>
      </c>
      <c r="D181" s="70" t="s">
        <v>1</v>
      </c>
      <c r="E181" s="70" t="s">
        <v>1</v>
      </c>
      <c r="F181" s="70"/>
      <c r="G181" s="70" t="s">
        <v>55</v>
      </c>
      <c r="H181" s="70" t="s">
        <v>178</v>
      </c>
      <c r="I181" s="70" t="s">
        <v>188</v>
      </c>
      <c r="J181" s="71">
        <f>IF(OR(I181=0,I181=""),"unrated",VLOOKUP(I181,MappingTables!$B$19:$C$31,2,FALSE))</f>
        <v>2</v>
      </c>
      <c r="K181" s="72">
        <v>1280479.5837402344</v>
      </c>
      <c r="L181" s="70">
        <v>9.6417571255391152</v>
      </c>
      <c r="M181" s="71">
        <f>IF(L181&lt;1,1,L181)</f>
        <v>9.6417571255391152</v>
      </c>
      <c r="N181" s="70" t="s">
        <v>141</v>
      </c>
      <c r="O181" s="71">
        <f>INDEX(DurClassMapping,MATCH(M181,MappingTables!$D$4:$D$8,-1),1)</f>
        <v>2</v>
      </c>
      <c r="P181" s="73">
        <f>IF(M181=$A$1,1,$M181-INDEX(MappingTables!$E$4:$E$8,MATCH(O181,MappingTables!$B$4:$B$8,0)))</f>
        <v>4.6417571255391152</v>
      </c>
      <c r="Q181" s="71">
        <f>IF(B181="",0,INDEX(ModelParameters!$D$6:$K$10,MATCH($O181,ModelParameters!$B$6:$B$10,0),MATCH($J181,ModelParameters!$D$5:$K$5,0)))</f>
        <v>0.0069999999999999992</v>
      </c>
      <c r="R181" s="71">
        <f>IF(B181="",0,INDEX(ModelParameters!$D$13:$K$17,MATCH($O181,ModelParameters!$B$13:$B$17,0),MATCH($J181,ModelParameters!$D$5:$K$5,0)))</f>
        <v>0.070000000000000008</v>
      </c>
      <c r="S181" s="160">
        <f>IF(B181="",0,MIN(IF($N181="Other Bond TM",ModelParameters!$N$21,1)*(P181*Q181+R181),1))</f>
        <v>0.10249229987877382</v>
      </c>
      <c r="T181" s="85">
        <f>IF(B181="",0,$S181*$K181)</f>
        <v>131239.29748535156</v>
      </c>
      <c r="U181" s="85">
        <f>IF(B181="",0,IF(OR(H181=MappingTables!$C$34,H181=MappingTables!$C$35),T181,0))</f>
        <v>0</v>
      </c>
      <c r="V181" s="85">
        <f>IF(ISNA(IF(AND(VLOOKUP(CONCATENATE($D181,$G181),CSRFinput!$B:$E,4,0)=0,OR(H181=MappingTables!$C$34,H181=MappingTables!$C$35)),1,VLOOKUP(CONCATENATE($D181,$G181),CSRFinput!$B:$E,4,0))),0,IF(AND(VLOOKUP(CONCATENATE($D181,$G181),CSRFinput!$B:$E,4,0)=0,OR(H181=MappingTables!$C$34,H181=MappingTables!$C$35)),1,VLOOKUP(CONCATENATE($D181,$G181),CSRFinput!$B:$E,4,0)))</f>
        <v>0.14144277112511686</v>
      </c>
      <c r="W181" s="85">
        <f>IF(B181="",0,+$T181*$V181)</f>
        <v>18562.849916841704</v>
      </c>
      <c r="X181" s="85">
        <f>IF(B181="",0,IF(OR(H181=MappingTables!$C$34,H181=MappingTables!$C$35),W181,0))</f>
        <v>0</v>
      </c>
    </row>
    <row r="182" spans="2:24" s="0" customFormat="0" ht="15">
      <c r="B182" s="69">
        <v>4558086</v>
      </c>
      <c r="C182" s="70" t="s">
        <v>404</v>
      </c>
      <c r="D182" s="70" t="s">
        <v>1</v>
      </c>
      <c r="E182" s="70" t="s">
        <v>1</v>
      </c>
      <c r="F182" s="70"/>
      <c r="G182" s="70" t="s">
        <v>55</v>
      </c>
      <c r="H182" s="70" t="s">
        <v>178</v>
      </c>
      <c r="I182" s="70" t="s">
        <v>181</v>
      </c>
      <c r="J182" s="71">
        <f>IF(OR(I182=0,I182=""),"unrated",VLOOKUP(I182,MappingTables!$B$19:$C$31,2,FALSE))</f>
        <v>3</v>
      </c>
      <c r="K182" s="72">
        <v>1219674.5300292968</v>
      </c>
      <c r="L182" s="70">
        <v>5.7417318768227072</v>
      </c>
      <c r="M182" s="71">
        <f>IF(L182&lt;1,1,L182)</f>
        <v>5.7417318768227072</v>
      </c>
      <c r="N182" s="70" t="s">
        <v>141</v>
      </c>
      <c r="O182" s="71">
        <f>INDEX(DurClassMapping,MATCH(M182,MappingTables!$D$4:$D$8,-1),1)</f>
        <v>2</v>
      </c>
      <c r="P182" s="73">
        <f>IF(M182=$A$1,1,$M182-INDEX(MappingTables!$E$4:$E$8,MATCH(O182,MappingTables!$B$4:$B$8,0)))</f>
        <v>0.74173187682270752</v>
      </c>
      <c r="Q182" s="71">
        <f>IF(B182="",0,INDEX(ModelParameters!$D$6:$K$10,MATCH($O182,ModelParameters!$B$6:$B$10,0),MATCH($J182,ModelParameters!$D$5:$K$5,0)))</f>
        <v>0.015</v>
      </c>
      <c r="R182" s="71">
        <f>IF(B182="",0,INDEX(ModelParameters!$D$13:$K$17,MATCH($O182,ModelParameters!$B$13:$B$17,0),MATCH($J182,ModelParameters!$D$5:$K$5,0)))</f>
        <v>0.125</v>
      </c>
      <c r="S182" s="160">
        <f>IF(B182="",0,MIN(IF($N182="Other Bond TM",ModelParameters!$N$21,1)*(P182*Q182+R182),1))</f>
        <v>0.13612597815234062</v>
      </c>
      <c r="T182" s="85">
        <f>IF(B182="",0,$S182*$K182)</f>
        <v>166029.38842773438</v>
      </c>
      <c r="U182" s="85">
        <f>IF(B182="",0,IF(OR(H182=MappingTables!$C$34,H182=MappingTables!$C$35),T182,0))</f>
        <v>0</v>
      </c>
      <c r="V182" s="85">
        <f>IF(ISNA(IF(AND(VLOOKUP(CONCATENATE($D182,$G182),CSRFinput!$B:$E,4,0)=0,OR(H182=MappingTables!$C$34,H182=MappingTables!$C$35)),1,VLOOKUP(CONCATENATE($D182,$G182),CSRFinput!$B:$E,4,0))),0,IF(AND(VLOOKUP(CONCATENATE($D182,$G182),CSRFinput!$B:$E,4,0)=0,OR(H182=MappingTables!$C$34,H182=MappingTables!$C$35)),1,VLOOKUP(CONCATENATE($D182,$G182),CSRFinput!$B:$E,4,0)))</f>
        <v>0.14144277112511686</v>
      </c>
      <c r="W182" s="85">
        <f>IF(B182="",0,+$T182*$V182)</f>
        <v>23483.656787427156</v>
      </c>
      <c r="X182" s="85">
        <f>IF(B182="",0,IF(OR(H182=MappingTables!$C$34,H182=MappingTables!$C$35),W182,0))</f>
        <v>0</v>
      </c>
    </row>
    <row r="183" spans="2:24" s="0" customFormat="0" ht="15">
      <c r="B183" s="69">
        <v>4992226</v>
      </c>
      <c r="C183" s="70" t="s">
        <v>405</v>
      </c>
      <c r="D183" s="70" t="s">
        <v>1</v>
      </c>
      <c r="E183" s="70" t="s">
        <v>1</v>
      </c>
      <c r="F183" s="70"/>
      <c r="G183" s="70" t="s">
        <v>55</v>
      </c>
      <c r="H183" s="70" t="s">
        <v>178</v>
      </c>
      <c r="I183" s="70" t="s">
        <v>188</v>
      </c>
      <c r="J183" s="71">
        <f>IF(OR(I183=0,I183=""),"unrated",VLOOKUP(I183,MappingTables!$B$19:$C$31,2,FALSE))</f>
        <v>2</v>
      </c>
      <c r="K183" s="72">
        <v>2208645.1721191408</v>
      </c>
      <c r="L183" s="70">
        <v>3.5079781606053152</v>
      </c>
      <c r="M183" s="71">
        <f>IF(L183&lt;1,1,L183)</f>
        <v>3.5079781606053152</v>
      </c>
      <c r="N183" s="70" t="s">
        <v>141</v>
      </c>
      <c r="O183" s="71">
        <f>INDEX(DurClassMapping,MATCH(M183,MappingTables!$D$4:$D$8,-1),1)</f>
        <v>1</v>
      </c>
      <c r="P183" s="73">
        <f>IF(M183=$A$1,1,$M183-INDEX(MappingTables!$E$4:$E$8,MATCH(O183,MappingTables!$B$4:$B$8,0)))</f>
        <v>3.5079781606053152</v>
      </c>
      <c r="Q183" s="71">
        <f>IF(B183="",0,INDEX(ModelParameters!$D$6:$K$10,MATCH($O183,ModelParameters!$B$6:$B$10,0),MATCH($J183,ModelParameters!$D$5:$K$5,0)))</f>
        <v>0.013999999999999998</v>
      </c>
      <c r="R183" s="71">
        <f>IF(B183="",0,INDEX(ModelParameters!$D$13:$K$17,MATCH($O183,ModelParameters!$B$13:$B$17,0),MATCH($J183,ModelParameters!$D$5:$K$5,0)))</f>
        <v>0</v>
      </c>
      <c r="S183" s="160">
        <f>IF(B183="",0,MIN(IF($N183="Other Bond TM",ModelParameters!$N$21,1)*(P183*Q183+R183),1))</f>
        <v>0.049111694248474416</v>
      </c>
      <c r="T183" s="85">
        <f>IF(B183="",0,$S183*$K183)</f>
        <v>108470.30639648438</v>
      </c>
      <c r="U183" s="85">
        <f>IF(B183="",0,IF(OR(H183=MappingTables!$C$34,H183=MappingTables!$C$35),T183,0))</f>
        <v>0</v>
      </c>
      <c r="V183" s="85">
        <f>IF(ISNA(IF(AND(VLOOKUP(CONCATENATE($D183,$G183),CSRFinput!$B:$E,4,0)=0,OR(H183=MappingTables!$C$34,H183=MappingTables!$C$35)),1,VLOOKUP(CONCATENATE($D183,$G183),CSRFinput!$B:$E,4,0))),0,IF(AND(VLOOKUP(CONCATENATE($D183,$G183),CSRFinput!$B:$E,4,0)=0,OR(H183=MappingTables!$C$34,H183=MappingTables!$C$35)),1,VLOOKUP(CONCATENATE($D183,$G183),CSRFinput!$B:$E,4,0)))</f>
        <v>0.14144277112511686</v>
      </c>
      <c r="W183" s="85">
        <f>IF(B183="",0,+$T183*$V183)</f>
        <v>15342.340721509238</v>
      </c>
      <c r="X183" s="85">
        <f>IF(B183="",0,IF(OR(H183=MappingTables!$C$34,H183=MappingTables!$C$35),W183,0))</f>
        <v>0</v>
      </c>
    </row>
    <row r="184" spans="2:24" s="0" customFormat="0" ht="15">
      <c r="B184" s="69">
        <v>743648</v>
      </c>
      <c r="C184" s="70" t="s">
        <v>406</v>
      </c>
      <c r="D184" s="70" t="s">
        <v>1</v>
      </c>
      <c r="E184" s="70" t="s">
        <v>1</v>
      </c>
      <c r="F184" s="70"/>
      <c r="G184" s="70" t="s">
        <v>55</v>
      </c>
      <c r="H184" s="70" t="s">
        <v>178</v>
      </c>
      <c r="I184" s="70" t="s">
        <v>181</v>
      </c>
      <c r="J184" s="71">
        <f>IF(OR(I184=0,I184=""),"unrated",VLOOKUP(I184,MappingTables!$B$19:$C$31,2,FALSE))</f>
        <v>3</v>
      </c>
      <c r="K184" s="72">
        <v>528031.08215332032</v>
      </c>
      <c r="L184" s="70">
        <v>0.6821946048618056</v>
      </c>
      <c r="M184" s="71">
        <f>IF(L184&lt;1,1,L184)</f>
        <v>1</v>
      </c>
      <c r="N184" s="70" t="s">
        <v>141</v>
      </c>
      <c r="O184" s="71">
        <f>INDEX(DurClassMapping,MATCH(M184,MappingTables!$D$4:$D$8,-1),1)</f>
        <v>1</v>
      </c>
      <c r="P184" s="73">
        <f>IF(M184=$A$1,1,$M184-INDEX(MappingTables!$E$4:$E$8,MATCH(O184,MappingTables!$B$4:$B$8,0)))</f>
        <v>1</v>
      </c>
      <c r="Q184" s="71">
        <f>IF(B184="",0,INDEX(ModelParameters!$D$6:$K$10,MATCH($O184,ModelParameters!$B$6:$B$10,0),MATCH($J184,ModelParameters!$D$5:$K$5,0)))</f>
        <v>0.025</v>
      </c>
      <c r="R184" s="71">
        <f>IF(B184="",0,INDEX(ModelParameters!$D$13:$K$17,MATCH($O184,ModelParameters!$B$13:$B$17,0),MATCH($J184,ModelParameters!$D$5:$K$5,0)))</f>
        <v>0</v>
      </c>
      <c r="S184" s="160">
        <f>IF(B184="",0,MIN(IF($N184="Other Bond TM",ModelParameters!$N$21,1)*(P184*Q184+R184),1))</f>
        <v>0.025</v>
      </c>
      <c r="T184" s="85">
        <f>IF(B184="",0,$S184*$K184)</f>
        <v>13200.777053833008</v>
      </c>
      <c r="U184" s="85">
        <f>IF(B184="",0,IF(OR(H184=MappingTables!$C$34,H184=MappingTables!$C$35),T184,0))</f>
        <v>0</v>
      </c>
      <c r="V184" s="85">
        <f>IF(ISNA(IF(AND(VLOOKUP(CONCATENATE($D184,$G184),CSRFinput!$B:$E,4,0)=0,OR(H184=MappingTables!$C$34,H184=MappingTables!$C$35)),1,VLOOKUP(CONCATENATE($D184,$G184),CSRFinput!$B:$E,4,0))),0,IF(AND(VLOOKUP(CONCATENATE($D184,$G184),CSRFinput!$B:$E,4,0)=0,OR(H184=MappingTables!$C$34,H184=MappingTables!$C$35)),1,VLOOKUP(CONCATENATE($D184,$G184),CSRFinput!$B:$E,4,0)))</f>
        <v>0.14144277112511686</v>
      </c>
      <c r="W184" s="85">
        <f>IF(B184="",0,+$T184*$V184)</f>
        <v>1867.1544874989964</v>
      </c>
      <c r="X184" s="85">
        <f>IF(B184="",0,IF(OR(H184=MappingTables!$C$34,H184=MappingTables!$C$35),W184,0))</f>
        <v>0</v>
      </c>
    </row>
    <row r="185" spans="2:24" s="0" customFormat="0" ht="15">
      <c r="B185" s="69">
        <v>20784315</v>
      </c>
      <c r="C185" s="70" t="s">
        <v>407</v>
      </c>
      <c r="D185" s="70" t="s">
        <v>1</v>
      </c>
      <c r="E185" s="70" t="s">
        <v>1</v>
      </c>
      <c r="F185" s="70"/>
      <c r="G185" s="70" t="s">
        <v>55</v>
      </c>
      <c r="H185" s="70" t="s">
        <v>178</v>
      </c>
      <c r="I185" s="70" t="s">
        <v>188</v>
      </c>
      <c r="J185" s="71">
        <f>IF(OR(I185=0,I185=""),"unrated",VLOOKUP(I185,MappingTables!$B$19:$C$31,2,FALSE))</f>
        <v>2</v>
      </c>
      <c r="K185" s="72">
        <v>1049185.3332519532</v>
      </c>
      <c r="L185" s="70">
        <v>8.2628581309816352</v>
      </c>
      <c r="M185" s="71">
        <f>IF(L185&lt;1,1,L185)</f>
        <v>8.2628581309816352</v>
      </c>
      <c r="N185" s="70" t="s">
        <v>141</v>
      </c>
      <c r="O185" s="71">
        <f>INDEX(DurClassMapping,MATCH(M185,MappingTables!$D$4:$D$8,-1),1)</f>
        <v>2</v>
      </c>
      <c r="P185" s="73">
        <f>IF(M185=$A$1,1,$M185-INDEX(MappingTables!$E$4:$E$8,MATCH(O185,MappingTables!$B$4:$B$8,0)))</f>
        <v>3.2628581309816356</v>
      </c>
      <c r="Q185" s="71">
        <f>IF(B185="",0,INDEX(ModelParameters!$D$6:$K$10,MATCH($O185,ModelParameters!$B$6:$B$10,0),MATCH($J185,ModelParameters!$D$5:$K$5,0)))</f>
        <v>0.0069999999999999992</v>
      </c>
      <c r="R185" s="71">
        <f>IF(B185="",0,INDEX(ModelParameters!$D$13:$K$17,MATCH($O185,ModelParameters!$B$13:$B$17,0),MATCH($J185,ModelParameters!$D$5:$K$5,0)))</f>
        <v>0.070000000000000008</v>
      </c>
      <c r="S185" s="160">
        <f>IF(B185="",0,MIN(IF($N185="Other Bond TM",ModelParameters!$N$21,1)*(P185*Q185+R185),1))</f>
        <v>0.092840006916871456</v>
      </c>
      <c r="T185" s="85">
        <f>IF(B185="",0,$S185*$K185)</f>
        <v>97406.373596191408</v>
      </c>
      <c r="U185" s="85">
        <f>IF(B185="",0,IF(OR(H185=MappingTables!$C$34,H185=MappingTables!$C$35),T185,0))</f>
        <v>0</v>
      </c>
      <c r="V185" s="85">
        <f>IF(ISNA(IF(AND(VLOOKUP(CONCATENATE($D185,$G185),CSRFinput!$B:$E,4,0)=0,OR(H185=MappingTables!$C$34,H185=MappingTables!$C$35)),1,VLOOKUP(CONCATENATE($D185,$G185),CSRFinput!$B:$E,4,0))),0,IF(AND(VLOOKUP(CONCATENATE($D185,$G185),CSRFinput!$B:$E,4,0)=0,OR(H185=MappingTables!$C$34,H185=MappingTables!$C$35)),1,VLOOKUP(CONCATENATE($D185,$G185),CSRFinput!$B:$E,4,0)))</f>
        <v>0.14144277112511686</v>
      </c>
      <c r="W185" s="85">
        <f>IF(B185="",0,+$T185*$V185)</f>
        <v>13777.427406693726</v>
      </c>
      <c r="X185" s="85">
        <f>IF(B185="",0,IF(OR(H185=MappingTables!$C$34,H185=MappingTables!$C$35),W185,0))</f>
        <v>0</v>
      </c>
    </row>
    <row r="186" spans="2:24" s="0" customFormat="0" ht="15">
      <c r="B186" s="69">
        <v>12334819</v>
      </c>
      <c r="C186" s="70" t="s">
        <v>408</v>
      </c>
      <c r="D186" s="70" t="s">
        <v>1</v>
      </c>
      <c r="E186" s="70" t="s">
        <v>1</v>
      </c>
      <c r="F186" s="70"/>
      <c r="G186" s="70" t="s">
        <v>61</v>
      </c>
      <c r="H186" s="70" t="s">
        <v>178</v>
      </c>
      <c r="I186" s="70" t="s">
        <v>188</v>
      </c>
      <c r="J186" s="71">
        <f>IF(OR(I186=0,I186=""),"unrated",VLOOKUP(I186,MappingTables!$B$19:$C$31,2,FALSE))</f>
        <v>2</v>
      </c>
      <c r="K186" s="72">
        <v>96.55875122582544</v>
      </c>
      <c r="L186" s="70">
        <v>0.58495998073493448</v>
      </c>
      <c r="M186" s="71">
        <f>IF(L186&lt;1,1,L186)</f>
        <v>1</v>
      </c>
      <c r="N186" s="70" t="s">
        <v>141</v>
      </c>
      <c r="O186" s="71">
        <f>INDEX(DurClassMapping,MATCH(M186,MappingTables!$D$4:$D$8,-1),1)</f>
        <v>1</v>
      </c>
      <c r="P186" s="73">
        <f>IF(M186=$A$1,1,$M186-INDEX(MappingTables!$E$4:$E$8,MATCH(O186,MappingTables!$B$4:$B$8,0)))</f>
        <v>1</v>
      </c>
      <c r="Q186" s="71">
        <f>IF(B186="",0,INDEX(ModelParameters!$D$6:$K$10,MATCH($O186,ModelParameters!$B$6:$B$10,0),MATCH($J186,ModelParameters!$D$5:$K$5,0)))</f>
        <v>0.013999999999999998</v>
      </c>
      <c r="R186" s="71">
        <f>IF(B186="",0,INDEX(ModelParameters!$D$13:$K$17,MATCH($O186,ModelParameters!$B$13:$B$17,0),MATCH($J186,ModelParameters!$D$5:$K$5,0)))</f>
        <v>0</v>
      </c>
      <c r="S186" s="160">
        <f>IF(B186="",0,MIN(IF($N186="Other Bond TM",ModelParameters!$N$21,1)*(P186*Q186+R186),1))</f>
        <v>0.013999999999999998</v>
      </c>
      <c r="T186" s="85">
        <f>IF(B186="",0,$S186*$K186)</f>
        <v>1.3518225171615558</v>
      </c>
      <c r="U186" s="85">
        <f>IF(B186="",0,IF(OR(H186=MappingTables!$C$34,H186=MappingTables!$C$35),T186,0))</f>
        <v>0</v>
      </c>
      <c r="V186" s="85">
        <f>IF(ISNA(IF(AND(VLOOKUP(CONCATENATE($D186,$G186),CSRFinput!$B:$E,4,0)=0,OR(H186=MappingTables!$C$34,H186=MappingTables!$C$35)),1,VLOOKUP(CONCATENATE($D186,$G186),CSRFinput!$B:$E,4,0))),0,IF(AND(VLOOKUP(CONCATENATE($D186,$G186),CSRFinput!$B:$E,4,0)=0,OR(H186=MappingTables!$C$34,H186=MappingTables!$C$35)),1,VLOOKUP(CONCATENATE($D186,$G186),CSRFinput!$B:$E,4,0)))</f>
        <v>0.054776304963434752</v>
      </c>
      <c r="W186" s="85">
        <f>IF(B186="",0,+$T186*$V186)</f>
        <v>0.074047842456479392</v>
      </c>
      <c r="X186" s="85">
        <f>IF(B186="",0,IF(OR(H186=MappingTables!$C$34,H186=MappingTables!$C$35),W186,0))</f>
        <v>0</v>
      </c>
    </row>
    <row r="187" spans="2:24" s="0" customFormat="0" ht="15">
      <c r="B187" s="69">
        <v>20382570</v>
      </c>
      <c r="C187" s="70" t="s">
        <v>409</v>
      </c>
      <c r="D187" s="70" t="s">
        <v>1</v>
      </c>
      <c r="E187" s="70" t="s">
        <v>1</v>
      </c>
      <c r="F187" s="70"/>
      <c r="G187" s="70" t="s">
        <v>61</v>
      </c>
      <c r="H187" s="70" t="s">
        <v>178</v>
      </c>
      <c r="I187" s="70" t="s">
        <v>220</v>
      </c>
      <c r="J187" s="71">
        <f>IF(OR(I187=0,I187=""),"unrated",VLOOKUP(I187,MappingTables!$B$19:$C$31,2,FALSE))</f>
        <v>1</v>
      </c>
      <c r="K187" s="72">
        <v>94615.691661940224</v>
      </c>
      <c r="L187" s="70">
        <v>17.074725165412442</v>
      </c>
      <c r="M187" s="71">
        <f>IF(L187&lt;1,1,L187)</f>
        <v>17.074725165412442</v>
      </c>
      <c r="N187" s="70" t="s">
        <v>141</v>
      </c>
      <c r="O187" s="71">
        <f>INDEX(DurClassMapping,MATCH(M187,MappingTables!$D$4:$D$8,-1),1)</f>
        <v>4</v>
      </c>
      <c r="P187" s="73">
        <f>IF(M187=$A$1,1,$M187-INDEX(MappingTables!$E$4:$E$8,MATCH(O187,MappingTables!$B$4:$B$8,0)))</f>
        <v>2.074725165412442</v>
      </c>
      <c r="Q187" s="71">
        <f>IF(B187="",0,INDEX(ModelParameters!$D$6:$K$10,MATCH($O187,ModelParameters!$B$6:$B$10,0),MATCH($J187,ModelParameters!$D$5:$K$5,0)))</f>
        <v>0.005</v>
      </c>
      <c r="R187" s="71">
        <f>IF(B187="",0,INDEX(ModelParameters!$D$13:$K$17,MATCH($O187,ModelParameters!$B$13:$B$17,0),MATCH($J187,ModelParameters!$D$5:$K$5,0)))</f>
        <v>0.11</v>
      </c>
      <c r="S187" s="160">
        <f>IF(B187="",0,MIN(IF($N187="Other Bond TM",ModelParameters!$N$21,1)*(P187*Q187+R187),1))</f>
        <v>0.1203736258270622</v>
      </c>
      <c r="T187" s="85">
        <f>IF(B187="",0,$S187*$K187)</f>
        <v>11389.233865483082</v>
      </c>
      <c r="U187" s="85">
        <f>IF(B187="",0,IF(OR(H187=MappingTables!$C$34,H187=MappingTables!$C$35),T187,0))</f>
        <v>0</v>
      </c>
      <c r="V187" s="85">
        <f>IF(ISNA(IF(AND(VLOOKUP(CONCATENATE($D187,$G187),CSRFinput!$B:$E,4,0)=0,OR(H187=MappingTables!$C$34,H187=MappingTables!$C$35)),1,VLOOKUP(CONCATENATE($D187,$G187),CSRFinput!$B:$E,4,0))),0,IF(AND(VLOOKUP(CONCATENATE($D187,$G187),CSRFinput!$B:$E,4,0)=0,OR(H187=MappingTables!$C$34,H187=MappingTables!$C$35)),1,VLOOKUP(CONCATENATE($D187,$G187),CSRFinput!$B:$E,4,0)))</f>
        <v>0.054776304963434752</v>
      </c>
      <c r="W187" s="85">
        <f>IF(B187="",0,+$T187*$V187)</f>
        <v>623.86014751558016</v>
      </c>
      <c r="X187" s="85">
        <f>IF(B187="",0,IF(OR(H187=MappingTables!$C$34,H187=MappingTables!$C$35),W187,0))</f>
        <v>0</v>
      </c>
    </row>
    <row r="188" spans="2:24" s="0" customFormat="0" ht="15">
      <c r="B188" s="69">
        <v>19215363</v>
      </c>
      <c r="C188" s="70" t="s">
        <v>410</v>
      </c>
      <c r="D188" s="70" t="s">
        <v>1</v>
      </c>
      <c r="E188" s="70" t="s">
        <v>1</v>
      </c>
      <c r="F188" s="70"/>
      <c r="G188" s="70" t="s">
        <v>61</v>
      </c>
      <c r="H188" s="70" t="s">
        <v>178</v>
      </c>
      <c r="I188" s="70" t="s">
        <v>184</v>
      </c>
      <c r="J188" s="71">
        <f>IF(OR(I188=0,I188=""),"unrated",VLOOKUP(I188,MappingTables!$B$19:$C$31,2,FALSE))</f>
        <v>5</v>
      </c>
      <c r="K188" s="72">
        <v>4401.4435328274984</v>
      </c>
      <c r="L188" s="70">
        <v>0.11780777037913082</v>
      </c>
      <c r="M188" s="71">
        <f>IF(L188&lt;1,1,L188)</f>
        <v>1</v>
      </c>
      <c r="N188" s="70" t="s">
        <v>141</v>
      </c>
      <c r="O188" s="71">
        <f>INDEX(DurClassMapping,MATCH(M188,MappingTables!$D$4:$D$8,-1),1)</f>
        <v>1</v>
      </c>
      <c r="P188" s="73">
        <f>IF(M188=$A$1,1,$M188-INDEX(MappingTables!$E$4:$E$8,MATCH(O188,MappingTables!$B$4:$B$8,0)))</f>
        <v>1</v>
      </c>
      <c r="Q188" s="71">
        <f>IF(B188="",0,INDEX(ModelParameters!$D$6:$K$10,MATCH($O188,ModelParameters!$B$6:$B$10,0),MATCH($J188,ModelParameters!$D$5:$K$5,0)))</f>
        <v>0.075</v>
      </c>
      <c r="R188" s="71">
        <f>IF(B188="",0,INDEX(ModelParameters!$D$13:$K$17,MATCH($O188,ModelParameters!$B$13:$B$17,0),MATCH($J188,ModelParameters!$D$5:$K$5,0)))</f>
        <v>0</v>
      </c>
      <c r="S188" s="160">
        <f>IF(B188="",0,MIN(IF($N188="Other Bond TM",ModelParameters!$N$21,1)*(P188*Q188+R188),1))</f>
        <v>0.075</v>
      </c>
      <c r="T188" s="85">
        <f>IF(B188="",0,$S188*$K188)</f>
        <v>330.10826496206236</v>
      </c>
      <c r="U188" s="85">
        <f>IF(B188="",0,IF(OR(H188=MappingTables!$C$34,H188=MappingTables!$C$35),T188,0))</f>
        <v>0</v>
      </c>
      <c r="V188" s="85">
        <f>IF(ISNA(IF(AND(VLOOKUP(CONCATENATE($D188,$G188),CSRFinput!$B:$E,4,0)=0,OR(H188=MappingTables!$C$34,H188=MappingTables!$C$35)),1,VLOOKUP(CONCATENATE($D188,$G188),CSRFinput!$B:$E,4,0))),0,IF(AND(VLOOKUP(CONCATENATE($D188,$G188),CSRFinput!$B:$E,4,0)=0,OR(H188=MappingTables!$C$34,H188=MappingTables!$C$35)),1,VLOOKUP(CONCATENATE($D188,$G188),CSRFinput!$B:$E,4,0)))</f>
        <v>0.054776304963434752</v>
      </c>
      <c r="W188" s="85">
        <f>IF(B188="",0,+$T188*$V188)</f>
        <v>18.082110992512252</v>
      </c>
      <c r="X188" s="85">
        <f>IF(B188="",0,IF(OR(H188=MappingTables!$C$34,H188=MappingTables!$C$35),W188,0))</f>
        <v>0</v>
      </c>
    </row>
    <row r="189" spans="2:24" s="0" customFormat="0" ht="15">
      <c r="B189" s="69">
        <v>11359229</v>
      </c>
      <c r="C189" s="70" t="s">
        <v>411</v>
      </c>
      <c r="D189" s="70" t="s">
        <v>1</v>
      </c>
      <c r="E189" s="70" t="s">
        <v>1</v>
      </c>
      <c r="F189" s="70"/>
      <c r="G189" s="70" t="s">
        <v>61</v>
      </c>
      <c r="H189" s="70" t="s">
        <v>178</v>
      </c>
      <c r="I189" s="70" t="s">
        <v>181</v>
      </c>
      <c r="J189" s="71">
        <f>IF(OR(I189=0,I189=""),"unrated",VLOOKUP(I189,MappingTables!$B$19:$C$31,2,FALSE))</f>
        <v>3</v>
      </c>
      <c r="K189" s="72">
        <v>71.165855027546856</v>
      </c>
      <c r="L189" s="70">
        <v>4.6467810239827152</v>
      </c>
      <c r="M189" s="71">
        <f>IF(L189&lt;1,1,L189)</f>
        <v>4.6467810239827152</v>
      </c>
      <c r="N189" s="70" t="s">
        <v>141</v>
      </c>
      <c r="O189" s="71">
        <f>INDEX(DurClassMapping,MATCH(M189,MappingTables!$D$4:$D$8,-1),1)</f>
        <v>1</v>
      </c>
      <c r="P189" s="73">
        <f>IF(M189=$A$1,1,$M189-INDEX(MappingTables!$E$4:$E$8,MATCH(O189,MappingTables!$B$4:$B$8,0)))</f>
        <v>4.6467810239827152</v>
      </c>
      <c r="Q189" s="71">
        <f>IF(B189="",0,INDEX(ModelParameters!$D$6:$K$10,MATCH($O189,ModelParameters!$B$6:$B$10,0),MATCH($J189,ModelParameters!$D$5:$K$5,0)))</f>
        <v>0.025</v>
      </c>
      <c r="R189" s="71">
        <f>IF(B189="",0,INDEX(ModelParameters!$D$13:$K$17,MATCH($O189,ModelParameters!$B$13:$B$17,0),MATCH($J189,ModelParameters!$D$5:$K$5,0)))</f>
        <v>0</v>
      </c>
      <c r="S189" s="160">
        <f>IF(B189="",0,MIN(IF($N189="Other Bond TM",ModelParameters!$N$21,1)*(P189*Q189+R189),1))</f>
        <v>0.1161695255995679</v>
      </c>
      <c r="T189" s="85">
        <f>IF(B189="",0,$S189*$K189)</f>
        <v>8.2673036174377424</v>
      </c>
      <c r="U189" s="85">
        <f>IF(B189="",0,IF(OR(H189=MappingTables!$C$34,H189=MappingTables!$C$35),T189,0))</f>
        <v>0</v>
      </c>
      <c r="V189" s="85">
        <f>IF(ISNA(IF(AND(VLOOKUP(CONCATENATE($D189,$G189),CSRFinput!$B:$E,4,0)=0,OR(H189=MappingTables!$C$34,H189=MappingTables!$C$35)),1,VLOOKUP(CONCATENATE($D189,$G189),CSRFinput!$B:$E,4,0))),0,IF(AND(VLOOKUP(CONCATENATE($D189,$G189),CSRFinput!$B:$E,4,0)=0,OR(H189=MappingTables!$C$34,H189=MappingTables!$C$35)),1,VLOOKUP(CONCATENATE($D189,$G189),CSRFinput!$B:$E,4,0)))</f>
        <v>0.054776304963434752</v>
      </c>
      <c r="W189" s="85">
        <f>IF(B189="",0,+$T189*$V189)</f>
        <v>0.45285234417407704</v>
      </c>
      <c r="X189" s="85">
        <f>IF(B189="",0,IF(OR(H189=MappingTables!$C$34,H189=MappingTables!$C$35),W189,0))</f>
        <v>0</v>
      </c>
    </row>
    <row r="190" spans="2:24" s="0" customFormat="0" ht="15">
      <c r="B190" s="69">
        <v>17087721</v>
      </c>
      <c r="C190" s="70" t="s">
        <v>412</v>
      </c>
      <c r="D190" s="70" t="s">
        <v>1</v>
      </c>
      <c r="E190" s="70" t="s">
        <v>1</v>
      </c>
      <c r="F190" s="70"/>
      <c r="G190" s="70" t="s">
        <v>61</v>
      </c>
      <c r="H190" s="70" t="s">
        <v>178</v>
      </c>
      <c r="I190" s="70" t="s">
        <v>181</v>
      </c>
      <c r="J190" s="71">
        <f>IF(OR(I190=0,I190=""),"unrated",VLOOKUP(I190,MappingTables!$B$19:$C$31,2,FALSE))</f>
        <v>3</v>
      </c>
      <c r="K190" s="72">
        <v>443.29166514859936</v>
      </c>
      <c r="L190" s="70">
        <v>3.0807348861903976</v>
      </c>
      <c r="M190" s="71">
        <f>IF(L190&lt;1,1,L190)</f>
        <v>3.0807348861903976</v>
      </c>
      <c r="N190" s="70" t="s">
        <v>141</v>
      </c>
      <c r="O190" s="71">
        <f>INDEX(DurClassMapping,MATCH(M190,MappingTables!$D$4:$D$8,-1),1)</f>
        <v>1</v>
      </c>
      <c r="P190" s="73">
        <f>IF(M190=$A$1,1,$M190-INDEX(MappingTables!$E$4:$E$8,MATCH(O190,MappingTables!$B$4:$B$8,0)))</f>
        <v>3.0807348861903976</v>
      </c>
      <c r="Q190" s="71">
        <f>IF(B190="",0,INDEX(ModelParameters!$D$6:$K$10,MATCH($O190,ModelParameters!$B$6:$B$10,0),MATCH($J190,ModelParameters!$D$5:$K$5,0)))</f>
        <v>0.025</v>
      </c>
      <c r="R190" s="71">
        <f>IF(B190="",0,INDEX(ModelParameters!$D$13:$K$17,MATCH($O190,ModelParameters!$B$13:$B$17,0),MATCH($J190,ModelParameters!$D$5:$K$5,0)))</f>
        <v>0</v>
      </c>
      <c r="S190" s="160">
        <f>IF(B190="",0,MIN(IF($N190="Other Bond TM",ModelParameters!$N$21,1)*(P190*Q190+R190),1))</f>
        <v>0.077018372154759936</v>
      </c>
      <c r="T190" s="85">
        <f>IF(B190="",0,$S190*$K190)</f>
        <v>34.141602439518052</v>
      </c>
      <c r="U190" s="85">
        <f>IF(B190="",0,IF(OR(H190=MappingTables!$C$34,H190=MappingTables!$C$35),T190,0))</f>
        <v>0</v>
      </c>
      <c r="V190" s="85">
        <f>IF(ISNA(IF(AND(VLOOKUP(CONCATENATE($D190,$G190),CSRFinput!$B:$E,4,0)=0,OR(H190=MappingTables!$C$34,H190=MappingTables!$C$35)),1,VLOOKUP(CONCATENATE($D190,$G190),CSRFinput!$B:$E,4,0))),0,IF(AND(VLOOKUP(CONCATENATE($D190,$G190),CSRFinput!$B:$E,4,0)=0,OR(H190=MappingTables!$C$34,H190=MappingTables!$C$35)),1,VLOOKUP(CONCATENATE($D190,$G190),CSRFinput!$B:$E,4,0)))</f>
        <v>0.054776304963434752</v>
      </c>
      <c r="W190" s="85">
        <f>IF(B190="",0,+$T190*$V190)</f>
        <v>1.8701508271673888</v>
      </c>
      <c r="X190" s="85">
        <f>IF(B190="",0,IF(OR(H190=MappingTables!$C$34,H190=MappingTables!$C$35),W190,0))</f>
        <v>0</v>
      </c>
    </row>
    <row r="191" spans="2:24" s="0" customFormat="0" ht="15">
      <c r="B191" s="69">
        <v>12894601</v>
      </c>
      <c r="C191" s="70" t="s">
        <v>413</v>
      </c>
      <c r="D191" s="70" t="s">
        <v>1</v>
      </c>
      <c r="E191" s="70" t="s">
        <v>1</v>
      </c>
      <c r="F191" s="70"/>
      <c r="G191" s="70" t="s">
        <v>61</v>
      </c>
      <c r="H191" s="70" t="s">
        <v>178</v>
      </c>
      <c r="I191" s="70" t="s">
        <v>181</v>
      </c>
      <c r="J191" s="71">
        <f>IF(OR(I191=0,I191=""),"unrated",VLOOKUP(I191,MappingTables!$B$19:$C$31,2,FALSE))</f>
        <v>3</v>
      </c>
      <c r="K191" s="72">
        <v>2229.3508268173308</v>
      </c>
      <c r="L191" s="70">
        <v>0.88631559077733424</v>
      </c>
      <c r="M191" s="71">
        <f>IF(L191&lt;1,1,L191)</f>
        <v>1</v>
      </c>
      <c r="N191" s="70" t="s">
        <v>141</v>
      </c>
      <c r="O191" s="71">
        <f>INDEX(DurClassMapping,MATCH(M191,MappingTables!$D$4:$D$8,-1),1)</f>
        <v>1</v>
      </c>
      <c r="P191" s="73">
        <f>IF(M191=$A$1,1,$M191-INDEX(MappingTables!$E$4:$E$8,MATCH(O191,MappingTables!$B$4:$B$8,0)))</f>
        <v>1</v>
      </c>
      <c r="Q191" s="71">
        <f>IF(B191="",0,INDEX(ModelParameters!$D$6:$K$10,MATCH($O191,ModelParameters!$B$6:$B$10,0),MATCH($J191,ModelParameters!$D$5:$K$5,0)))</f>
        <v>0.025</v>
      </c>
      <c r="R191" s="71">
        <f>IF(B191="",0,INDEX(ModelParameters!$D$13:$K$17,MATCH($O191,ModelParameters!$B$13:$B$17,0),MATCH($J191,ModelParameters!$D$5:$K$5,0)))</f>
        <v>0</v>
      </c>
      <c r="S191" s="160">
        <f>IF(B191="",0,MIN(IF($N191="Other Bond TM",ModelParameters!$N$21,1)*(P191*Q191+R191),1))</f>
        <v>0.025</v>
      </c>
      <c r="T191" s="85">
        <f>IF(B191="",0,$S191*$K191)</f>
        <v>55.733770670433272</v>
      </c>
      <c r="U191" s="85">
        <f>IF(B191="",0,IF(OR(H191=MappingTables!$C$34,H191=MappingTables!$C$35),T191,0))</f>
        <v>0</v>
      </c>
      <c r="V191" s="85">
        <f>IF(ISNA(IF(AND(VLOOKUP(CONCATENATE($D191,$G191),CSRFinput!$B:$E,4,0)=0,OR(H191=MappingTables!$C$34,H191=MappingTables!$C$35)),1,VLOOKUP(CONCATENATE($D191,$G191),CSRFinput!$B:$E,4,0))),0,IF(AND(VLOOKUP(CONCATENATE($D191,$G191),CSRFinput!$B:$E,4,0)=0,OR(H191=MappingTables!$C$34,H191=MappingTables!$C$35)),1,VLOOKUP(CONCATENATE($D191,$G191),CSRFinput!$B:$E,4,0)))</f>
        <v>0.054776304963434752</v>
      </c>
      <c r="W191" s="85">
        <f>IF(B191="",0,+$T191*$V191)</f>
        <v>3.0528900190057888</v>
      </c>
      <c r="X191" s="85">
        <f>IF(B191="",0,IF(OR(H191=MappingTables!$C$34,H191=MappingTables!$C$35),W191,0))</f>
        <v>0</v>
      </c>
    </row>
    <row r="192" spans="2:24" s="0" customFormat="0" ht="15">
      <c r="B192" s="69" t="s">
        <v>414</v>
      </c>
      <c r="C192" s="70" t="s">
        <v>415</v>
      </c>
      <c r="D192" s="70" t="s">
        <v>1</v>
      </c>
      <c r="E192" s="70" t="s">
        <v>1</v>
      </c>
      <c r="F192" s="70"/>
      <c r="G192" s="70" t="s">
        <v>61</v>
      </c>
      <c r="H192" s="70" t="s">
        <v>178</v>
      </c>
      <c r="I192" s="70" t="s">
        <v>179</v>
      </c>
      <c r="J192" s="71">
        <f>IF(OR(I192=0,I192=""),"unrated",VLOOKUP(I192,MappingTables!$B$19:$C$31,2,FALSE))</f>
        <v>4</v>
      </c>
      <c r="K192" s="72">
        <v>78379.011275820064</v>
      </c>
      <c r="L192" s="70">
        <v>12.077109723176828</v>
      </c>
      <c r="M192" s="71">
        <f>IF(L192&lt;1,1,L192)</f>
        <v>12.077109723176828</v>
      </c>
      <c r="N192" s="70" t="s">
        <v>141</v>
      </c>
      <c r="O192" s="71">
        <f>INDEX(DurClassMapping,MATCH(M192,MappingTables!$D$4:$D$8,-1),1)</f>
        <v>3</v>
      </c>
      <c r="P192" s="73">
        <f>IF(M192=$A$1,1,$M192-INDEX(MappingTables!$E$4:$E$8,MATCH(O192,MappingTables!$B$4:$B$8,0)))</f>
        <v>2.0771097231768288</v>
      </c>
      <c r="Q192" s="71">
        <f>IF(B192="",0,INDEX(ModelParameters!$D$6:$K$10,MATCH($O192,ModelParameters!$B$6:$B$10,0),MATCH($J192,ModelParameters!$D$5:$K$5,0)))</f>
        <v>0.018000000000000002</v>
      </c>
      <c r="R192" s="71">
        <f>IF(B192="",0,INDEX(ModelParameters!$D$13:$K$17,MATCH($O192,ModelParameters!$B$13:$B$17,0),MATCH($J192,ModelParameters!$D$5:$K$5,0)))</f>
        <v>0.34999999999999996</v>
      </c>
      <c r="S192" s="160">
        <f>IF(B192="",0,MIN(IF($N192="Other Bond TM",ModelParameters!$N$21,1)*(P192*Q192+R192),1))</f>
        <v>0.38738797501718288</v>
      </c>
      <c r="T192" s="85">
        <f>IF(B192="",0,$S192*$K192)</f>
        <v>30363.086461988884</v>
      </c>
      <c r="U192" s="85">
        <f>IF(B192="",0,IF(OR(H192=MappingTables!$C$34,H192=MappingTables!$C$35),T192,0))</f>
        <v>0</v>
      </c>
      <c r="V192" s="85">
        <f>IF(ISNA(IF(AND(VLOOKUP(CONCATENATE($D192,$G192),CSRFinput!$B:$E,4,0)=0,OR(H192=MappingTables!$C$34,H192=MappingTables!$C$35)),1,VLOOKUP(CONCATENATE($D192,$G192),CSRFinput!$B:$E,4,0))),0,IF(AND(VLOOKUP(CONCATENATE($D192,$G192),CSRFinput!$B:$E,4,0)=0,OR(H192=MappingTables!$C$34,H192=MappingTables!$C$35)),1,VLOOKUP(CONCATENATE($D192,$G192),CSRFinput!$B:$E,4,0)))</f>
        <v>0.054776304963434752</v>
      </c>
      <c r="W192" s="85">
        <f>IF(B192="",0,+$T192*$V192)</f>
        <v>1663.1776836730402</v>
      </c>
      <c r="X192" s="85">
        <f>IF(B192="",0,IF(OR(H192=MappingTables!$C$34,H192=MappingTables!$C$35),W192,0))</f>
        <v>0</v>
      </c>
    </row>
    <row r="193" spans="2:24" s="0" customFormat="0" ht="15">
      <c r="B193" s="69">
        <v>15887203</v>
      </c>
      <c r="C193" s="70" t="s">
        <v>416</v>
      </c>
      <c r="D193" s="70" t="s">
        <v>1</v>
      </c>
      <c r="E193" s="70" t="s">
        <v>1</v>
      </c>
      <c r="F193" s="70"/>
      <c r="G193" s="70" t="s">
        <v>61</v>
      </c>
      <c r="H193" s="70" t="s">
        <v>178</v>
      </c>
      <c r="I193" s="70" t="s">
        <v>188</v>
      </c>
      <c r="J193" s="71">
        <f>IF(OR(I193=0,I193=""),"unrated",VLOOKUP(I193,MappingTables!$B$19:$C$31,2,FALSE))</f>
        <v>2</v>
      </c>
      <c r="K193" s="72">
        <v>58.147752574219208</v>
      </c>
      <c r="L193" s="70">
        <v>0.013694717343332564</v>
      </c>
      <c r="M193" s="71">
        <f>IF(L193&lt;1,1,L193)</f>
        <v>1</v>
      </c>
      <c r="N193" s="70" t="s">
        <v>141</v>
      </c>
      <c r="O193" s="71">
        <f>INDEX(DurClassMapping,MATCH(M193,MappingTables!$D$4:$D$8,-1),1)</f>
        <v>1</v>
      </c>
      <c r="P193" s="73">
        <f>IF(M193=$A$1,1,$M193-INDEX(MappingTables!$E$4:$E$8,MATCH(O193,MappingTables!$B$4:$B$8,0)))</f>
        <v>1</v>
      </c>
      <c r="Q193" s="71">
        <f>IF(B193="",0,INDEX(ModelParameters!$D$6:$K$10,MATCH($O193,ModelParameters!$B$6:$B$10,0),MATCH($J193,ModelParameters!$D$5:$K$5,0)))</f>
        <v>0.013999999999999998</v>
      </c>
      <c r="R193" s="71">
        <f>IF(B193="",0,INDEX(ModelParameters!$D$13:$K$17,MATCH($O193,ModelParameters!$B$13:$B$17,0),MATCH($J193,ModelParameters!$D$5:$K$5,0)))</f>
        <v>0</v>
      </c>
      <c r="S193" s="160">
        <f>IF(B193="",0,MIN(IF($N193="Other Bond TM",ModelParameters!$N$21,1)*(P193*Q193+R193),1))</f>
        <v>0.013999999999999998</v>
      </c>
      <c r="T193" s="85">
        <f>IF(B193="",0,$S193*$K193)</f>
        <v>0.81406853603906896</v>
      </c>
      <c r="U193" s="85">
        <f>IF(B193="",0,IF(OR(H193=MappingTables!$C$34,H193=MappingTables!$C$35),T193,0))</f>
        <v>0</v>
      </c>
      <c r="V193" s="85">
        <f>IF(ISNA(IF(AND(VLOOKUP(CONCATENATE($D193,$G193),CSRFinput!$B:$E,4,0)=0,OR(H193=MappingTables!$C$34,H193=MappingTables!$C$35)),1,VLOOKUP(CONCATENATE($D193,$G193),CSRFinput!$B:$E,4,0))),0,IF(AND(VLOOKUP(CONCATENATE($D193,$G193),CSRFinput!$B:$E,4,0)=0,OR(H193=MappingTables!$C$34,H193=MappingTables!$C$35)),1,VLOOKUP(CONCATENATE($D193,$G193),CSRFinput!$B:$E,4,0)))</f>
        <v>0.054776304963434752</v>
      </c>
      <c r="W193" s="85">
        <f>IF(B193="",0,+$T193*$V193)</f>
        <v>0.044591666391212912</v>
      </c>
      <c r="X193" s="85">
        <f>IF(B193="",0,IF(OR(H193=MappingTables!$C$34,H193=MappingTables!$C$35),W193,0))</f>
        <v>0</v>
      </c>
    </row>
    <row r="194" spans="2:24" s="0" customFormat="0" ht="15">
      <c r="B194" s="69">
        <v>23531229</v>
      </c>
      <c r="C194" s="70" t="s">
        <v>417</v>
      </c>
      <c r="D194" s="70" t="s">
        <v>1</v>
      </c>
      <c r="E194" s="70" t="s">
        <v>1</v>
      </c>
      <c r="F194" s="70"/>
      <c r="G194" s="70" t="s">
        <v>61</v>
      </c>
      <c r="H194" s="70" t="s">
        <v>178</v>
      </c>
      <c r="I194" s="70" t="s">
        <v>179</v>
      </c>
      <c r="J194" s="71">
        <f>IF(OR(I194=0,I194=""),"unrated",VLOOKUP(I194,MappingTables!$B$19:$C$31,2,FALSE))</f>
        <v>4</v>
      </c>
      <c r="K194" s="72">
        <v>205.17320882877224</v>
      </c>
      <c r="L194" s="70">
        <v>1.628031222348076</v>
      </c>
      <c r="M194" s="71">
        <f>IF(L194&lt;1,1,L194)</f>
        <v>1.628031222348076</v>
      </c>
      <c r="N194" s="70" t="s">
        <v>141</v>
      </c>
      <c r="O194" s="71">
        <f>INDEX(DurClassMapping,MATCH(M194,MappingTables!$D$4:$D$8,-1),1)</f>
        <v>1</v>
      </c>
      <c r="P194" s="73">
        <f>IF(M194=$A$1,1,$M194-INDEX(MappingTables!$E$4:$E$8,MATCH(O194,MappingTables!$B$4:$B$8,0)))</f>
        <v>1.628031222348076</v>
      </c>
      <c r="Q194" s="71">
        <f>IF(B194="",0,INDEX(ModelParameters!$D$6:$K$10,MATCH($O194,ModelParameters!$B$6:$B$10,0),MATCH($J194,ModelParameters!$D$5:$K$5,0)))</f>
        <v>0.045</v>
      </c>
      <c r="R194" s="71">
        <f>IF(B194="",0,INDEX(ModelParameters!$D$13:$K$17,MATCH($O194,ModelParameters!$B$13:$B$17,0),MATCH($J194,ModelParameters!$D$5:$K$5,0)))</f>
        <v>0</v>
      </c>
      <c r="S194" s="160">
        <f>IF(B194="",0,MIN(IF($N194="Other Bond TM",ModelParameters!$N$21,1)*(P194*Q194+R194),1))</f>
        <v>0.073261405005663408</v>
      </c>
      <c r="T194" s="85">
        <f>IF(B194="",0,$S194*$K194)</f>
        <v>15.03127754831624</v>
      </c>
      <c r="U194" s="85">
        <f>IF(B194="",0,IF(OR(H194=MappingTables!$C$34,H194=MappingTables!$C$35),T194,0))</f>
        <v>0</v>
      </c>
      <c r="V194" s="85">
        <f>IF(ISNA(IF(AND(VLOOKUP(CONCATENATE($D194,$G194),CSRFinput!$B:$E,4,0)=0,OR(H194=MappingTables!$C$34,H194=MappingTables!$C$35)),1,VLOOKUP(CONCATENATE($D194,$G194),CSRFinput!$B:$E,4,0))),0,IF(AND(VLOOKUP(CONCATENATE($D194,$G194),CSRFinput!$B:$E,4,0)=0,OR(H194=MappingTables!$C$34,H194=MappingTables!$C$35)),1,VLOOKUP(CONCATENATE($D194,$G194),CSRFinput!$B:$E,4,0)))</f>
        <v>0.054776304963434752</v>
      </c>
      <c r="W194" s="85">
        <f>IF(B194="",0,+$T194*$V194)</f>
        <v>0.82335784297660016</v>
      </c>
      <c r="X194" s="85">
        <f>IF(B194="",0,IF(OR(H194=MappingTables!$C$34,H194=MappingTables!$C$35),W194,0))</f>
        <v>0</v>
      </c>
    </row>
    <row r="195" spans="2:24" s="0" customFormat="0" ht="15">
      <c r="B195" s="69">
        <v>10572226</v>
      </c>
      <c r="C195" s="70" t="s">
        <v>418</v>
      </c>
      <c r="D195" s="70" t="s">
        <v>1</v>
      </c>
      <c r="E195" s="70" t="s">
        <v>1</v>
      </c>
      <c r="F195" s="70"/>
      <c r="G195" s="70" t="s">
        <v>61</v>
      </c>
      <c r="H195" s="70" t="s">
        <v>178</v>
      </c>
      <c r="I195" s="70" t="s">
        <v>181</v>
      </c>
      <c r="J195" s="71">
        <f>IF(OR(I195=0,I195=""),"unrated",VLOOKUP(I195,MappingTables!$B$19:$C$31,2,FALSE))</f>
        <v>3</v>
      </c>
      <c r="K195" s="72">
        <v>3.649338592430692</v>
      </c>
      <c r="L195" s="70">
        <v>0.31780620118626924</v>
      </c>
      <c r="M195" s="71">
        <f>IF(L195&lt;1,1,L195)</f>
        <v>1</v>
      </c>
      <c r="N195" s="70" t="s">
        <v>141</v>
      </c>
      <c r="O195" s="71">
        <f>INDEX(DurClassMapping,MATCH(M195,MappingTables!$D$4:$D$8,-1),1)</f>
        <v>1</v>
      </c>
      <c r="P195" s="73">
        <f>IF(M195=$A$1,1,$M195-INDEX(MappingTables!$E$4:$E$8,MATCH(O195,MappingTables!$B$4:$B$8,0)))</f>
        <v>1</v>
      </c>
      <c r="Q195" s="71">
        <f>IF(B195="",0,INDEX(ModelParameters!$D$6:$K$10,MATCH($O195,ModelParameters!$B$6:$B$10,0),MATCH($J195,ModelParameters!$D$5:$K$5,0)))</f>
        <v>0.025</v>
      </c>
      <c r="R195" s="71">
        <f>IF(B195="",0,INDEX(ModelParameters!$D$13:$K$17,MATCH($O195,ModelParameters!$B$13:$B$17,0),MATCH($J195,ModelParameters!$D$5:$K$5,0)))</f>
        <v>0</v>
      </c>
      <c r="S195" s="160">
        <f>IF(B195="",0,MIN(IF($N195="Other Bond TM",ModelParameters!$N$21,1)*(P195*Q195+R195),1))</f>
        <v>0.025</v>
      </c>
      <c r="T195" s="85">
        <f>IF(B195="",0,$S195*$K195)</f>
        <v>0.091233464810767312</v>
      </c>
      <c r="U195" s="85">
        <f>IF(B195="",0,IF(OR(H195=MappingTables!$C$34,H195=MappingTables!$C$35),T195,0))</f>
        <v>0</v>
      </c>
      <c r="V195" s="85">
        <f>IF(ISNA(IF(AND(VLOOKUP(CONCATENATE($D195,$G195),CSRFinput!$B:$E,4,0)=0,OR(H195=MappingTables!$C$34,H195=MappingTables!$C$35)),1,VLOOKUP(CONCATENATE($D195,$G195),CSRFinput!$B:$E,4,0))),0,IF(AND(VLOOKUP(CONCATENATE($D195,$G195),CSRFinput!$B:$E,4,0)=0,OR(H195=MappingTables!$C$34,H195=MappingTables!$C$35)),1,VLOOKUP(CONCATENATE($D195,$G195),CSRFinput!$B:$E,4,0)))</f>
        <v>0.054776304963434752</v>
      </c>
      <c r="W195" s="85">
        <f>IF(B195="",0,+$T195*$V195)</f>
        <v>0.004997432091345384</v>
      </c>
      <c r="X195" s="85">
        <f>IF(B195="",0,IF(OR(H195=MappingTables!$C$34,H195=MappingTables!$C$35),W195,0))</f>
        <v>0</v>
      </c>
    </row>
    <row r="196" spans="2:24" s="0" customFormat="0" ht="15">
      <c r="B196" s="69">
        <v>5300051</v>
      </c>
      <c r="C196" s="70" t="s">
        <v>419</v>
      </c>
      <c r="D196" s="70" t="s">
        <v>1</v>
      </c>
      <c r="E196" s="70" t="s">
        <v>1</v>
      </c>
      <c r="F196" s="70"/>
      <c r="G196" s="70" t="s">
        <v>61</v>
      </c>
      <c r="H196" s="70" t="s">
        <v>178</v>
      </c>
      <c r="I196" s="70" t="s">
        <v>179</v>
      </c>
      <c r="J196" s="71">
        <f>IF(OR(I196=0,I196=""),"unrated",VLOOKUP(I196,MappingTables!$B$19:$C$31,2,FALSE))</f>
        <v>4</v>
      </c>
      <c r="K196" s="72">
        <v>2983.9597570795376</v>
      </c>
      <c r="L196" s="70">
        <v>1.7663902183716594</v>
      </c>
      <c r="M196" s="71">
        <f>IF(L196&lt;1,1,L196)</f>
        <v>1.7663902183716594</v>
      </c>
      <c r="N196" s="70" t="s">
        <v>141</v>
      </c>
      <c r="O196" s="71">
        <f>INDEX(DurClassMapping,MATCH(M196,MappingTables!$D$4:$D$8,-1),1)</f>
        <v>1</v>
      </c>
      <c r="P196" s="73">
        <f>IF(M196=$A$1,1,$M196-INDEX(MappingTables!$E$4:$E$8,MATCH(O196,MappingTables!$B$4:$B$8,0)))</f>
        <v>1.7663902183716594</v>
      </c>
      <c r="Q196" s="71">
        <f>IF(B196="",0,INDEX(ModelParameters!$D$6:$K$10,MATCH($O196,ModelParameters!$B$6:$B$10,0),MATCH($J196,ModelParameters!$D$5:$K$5,0)))</f>
        <v>0.045</v>
      </c>
      <c r="R196" s="71">
        <f>IF(B196="",0,INDEX(ModelParameters!$D$13:$K$17,MATCH($O196,ModelParameters!$B$13:$B$17,0),MATCH($J196,ModelParameters!$D$5:$K$5,0)))</f>
        <v>0</v>
      </c>
      <c r="S196" s="160">
        <f>IF(B196="",0,MIN(IF($N196="Other Bond TM",ModelParameters!$N$21,1)*(P196*Q196+R196),1))</f>
        <v>0.079487559826724656</v>
      </c>
      <c r="T196" s="85">
        <f>IF(B196="",0,$S196*$K196)</f>
        <v>237.18767971139856</v>
      </c>
      <c r="U196" s="85">
        <f>IF(B196="",0,IF(OR(H196=MappingTables!$C$34,H196=MappingTables!$C$35),T196,0))</f>
        <v>0</v>
      </c>
      <c r="V196" s="85">
        <f>IF(ISNA(IF(AND(VLOOKUP(CONCATENATE($D196,$G196),CSRFinput!$B:$E,4,0)=0,OR(H196=MappingTables!$C$34,H196=MappingTables!$C$35)),1,VLOOKUP(CONCATENATE($D196,$G196),CSRFinput!$B:$E,4,0))),0,IF(AND(VLOOKUP(CONCATENATE($D196,$G196),CSRFinput!$B:$E,4,0)=0,OR(H196=MappingTables!$C$34,H196=MappingTables!$C$35)),1,VLOOKUP(CONCATENATE($D196,$G196),CSRFinput!$B:$E,4,0)))</f>
        <v>0.054776304963434752</v>
      </c>
      <c r="W196" s="85">
        <f>IF(B196="",0,+$T196*$V196)</f>
        <v>12.992264677441054</v>
      </c>
      <c r="X196" s="85">
        <f>IF(B196="",0,IF(OR(H196=MappingTables!$C$34,H196=MappingTables!$C$35),W196,0))</f>
        <v>0</v>
      </c>
    </row>
    <row r="197" spans="2:24" s="0" customFormat="0" ht="15">
      <c r="B197" s="69">
        <v>21380827</v>
      </c>
      <c r="C197" s="70" t="s">
        <v>420</v>
      </c>
      <c r="D197" s="70" t="s">
        <v>1</v>
      </c>
      <c r="E197" s="70" t="s">
        <v>1</v>
      </c>
      <c r="F197" s="70"/>
      <c r="G197" s="70" t="s">
        <v>61</v>
      </c>
      <c r="H197" s="70" t="s">
        <v>178</v>
      </c>
      <c r="I197" s="70" t="s">
        <v>179</v>
      </c>
      <c r="J197" s="71">
        <f>IF(OR(I197=0,I197=""),"unrated",VLOOKUP(I197,MappingTables!$B$19:$C$31,2,FALSE))</f>
        <v>4</v>
      </c>
      <c r="K197" s="72">
        <v>6754.5635757995544</v>
      </c>
      <c r="L197" s="70">
        <v>0.82288605596780976</v>
      </c>
      <c r="M197" s="71">
        <f>IF(L197&lt;1,1,L197)</f>
        <v>1</v>
      </c>
      <c r="N197" s="70" t="s">
        <v>141</v>
      </c>
      <c r="O197" s="71">
        <f>INDEX(DurClassMapping,MATCH(M197,MappingTables!$D$4:$D$8,-1),1)</f>
        <v>1</v>
      </c>
      <c r="P197" s="73">
        <f>IF(M197=$A$1,1,$M197-INDEX(MappingTables!$E$4:$E$8,MATCH(O197,MappingTables!$B$4:$B$8,0)))</f>
        <v>1</v>
      </c>
      <c r="Q197" s="71">
        <f>IF(B197="",0,INDEX(ModelParameters!$D$6:$K$10,MATCH($O197,ModelParameters!$B$6:$B$10,0),MATCH($J197,ModelParameters!$D$5:$K$5,0)))</f>
        <v>0.045</v>
      </c>
      <c r="R197" s="71">
        <f>IF(B197="",0,INDEX(ModelParameters!$D$13:$K$17,MATCH($O197,ModelParameters!$B$13:$B$17,0),MATCH($J197,ModelParameters!$D$5:$K$5,0)))</f>
        <v>0</v>
      </c>
      <c r="S197" s="160">
        <f>IF(B197="",0,MIN(IF($N197="Other Bond TM",ModelParameters!$N$21,1)*(P197*Q197+R197),1))</f>
        <v>0.045</v>
      </c>
      <c r="T197" s="85">
        <f>IF(B197="",0,$S197*$K197)</f>
        <v>303.95536091097996</v>
      </c>
      <c r="U197" s="85">
        <f>IF(B197="",0,IF(OR(H197=MappingTables!$C$34,H197=MappingTables!$C$35),T197,0))</f>
        <v>0</v>
      </c>
      <c r="V197" s="85">
        <f>IF(ISNA(IF(AND(VLOOKUP(CONCATENATE($D197,$G197),CSRFinput!$B:$E,4,0)=0,OR(H197=MappingTables!$C$34,H197=MappingTables!$C$35)),1,VLOOKUP(CONCATENATE($D197,$G197),CSRFinput!$B:$E,4,0))),0,IF(AND(VLOOKUP(CONCATENATE($D197,$G197),CSRFinput!$B:$E,4,0)=0,OR(H197=MappingTables!$C$34,H197=MappingTables!$C$35)),1,VLOOKUP(CONCATENATE($D197,$G197),CSRFinput!$B:$E,4,0)))</f>
        <v>0.054776304963434752</v>
      </c>
      <c r="W197" s="85">
        <f>IF(B197="",0,+$T197*$V197)</f>
        <v>16.649551544530712</v>
      </c>
      <c r="X197" s="85">
        <f>IF(B197="",0,IF(OR(H197=MappingTables!$C$34,H197=MappingTables!$C$35),W197,0))</f>
        <v>0</v>
      </c>
    </row>
    <row r="198" spans="2:24" s="0" customFormat="0" ht="15">
      <c r="B198" s="69">
        <v>10927152</v>
      </c>
      <c r="C198" s="70" t="s">
        <v>421</v>
      </c>
      <c r="D198" s="70" t="s">
        <v>1</v>
      </c>
      <c r="E198" s="70" t="s">
        <v>1</v>
      </c>
      <c r="F198" s="70"/>
      <c r="G198" s="70" t="s">
        <v>61</v>
      </c>
      <c r="H198" s="70" t="s">
        <v>178</v>
      </c>
      <c r="I198" s="70" t="s">
        <v>181</v>
      </c>
      <c r="J198" s="71">
        <f>IF(OR(I198=0,I198=""),"unrated",VLOOKUP(I198,MappingTables!$B$19:$C$31,2,FALSE))</f>
        <v>3</v>
      </c>
      <c r="K198" s="72">
        <v>218.19779853168748</v>
      </c>
      <c r="L198" s="70">
        <v>4.4361926663306416</v>
      </c>
      <c r="M198" s="71">
        <f>IF(L198&lt;1,1,L198)</f>
        <v>4.4361926663306416</v>
      </c>
      <c r="N198" s="70" t="s">
        <v>141</v>
      </c>
      <c r="O198" s="71">
        <f>INDEX(DurClassMapping,MATCH(M198,MappingTables!$D$4:$D$8,-1),1)</f>
        <v>1</v>
      </c>
      <c r="P198" s="73">
        <f>IF(M198=$A$1,1,$M198-INDEX(MappingTables!$E$4:$E$8,MATCH(O198,MappingTables!$B$4:$B$8,0)))</f>
        <v>4.4361926663306416</v>
      </c>
      <c r="Q198" s="71">
        <f>IF(B198="",0,INDEX(ModelParameters!$D$6:$K$10,MATCH($O198,ModelParameters!$B$6:$B$10,0),MATCH($J198,ModelParameters!$D$5:$K$5,0)))</f>
        <v>0.025</v>
      </c>
      <c r="R198" s="71">
        <f>IF(B198="",0,INDEX(ModelParameters!$D$13:$K$17,MATCH($O198,ModelParameters!$B$13:$B$17,0),MATCH($J198,ModelParameters!$D$5:$K$5,0)))</f>
        <v>0</v>
      </c>
      <c r="S198" s="160">
        <f>IF(B198="",0,MIN(IF($N198="Other Bond TM",ModelParameters!$N$21,1)*(P198*Q198+R198),1))</f>
        <v>0.11090481665826604</v>
      </c>
      <c r="T198" s="85">
        <f>IF(B198="",0,$S198*$K198)</f>
        <v>24.199186841394072</v>
      </c>
      <c r="U198" s="85">
        <f>IF(B198="",0,IF(OR(H198=MappingTables!$C$34,H198=MappingTables!$C$35),T198,0))</f>
        <v>0</v>
      </c>
      <c r="V198" s="85">
        <f>IF(ISNA(IF(AND(VLOOKUP(CONCATENATE($D198,$G198),CSRFinput!$B:$E,4,0)=0,OR(H198=MappingTables!$C$34,H198=MappingTables!$C$35)),1,VLOOKUP(CONCATENATE($D198,$G198),CSRFinput!$B:$E,4,0))),0,IF(AND(VLOOKUP(CONCATENATE($D198,$G198),CSRFinput!$B:$E,4,0)=0,OR(H198=MappingTables!$C$34,H198=MappingTables!$C$35)),1,VLOOKUP(CONCATENATE($D198,$G198),CSRFinput!$B:$E,4,0)))</f>
        <v>0.054776304963434752</v>
      </c>
      <c r="W198" s="85">
        <f>IF(B198="",0,+$T198*$V198)</f>
        <v>1.325542038291339</v>
      </c>
      <c r="X198" s="85">
        <f>IF(B198="",0,IF(OR(H198=MappingTables!$C$34,H198=MappingTables!$C$35),W198,0))</f>
        <v>0</v>
      </c>
    </row>
    <row r="199" spans="2:24" s="0" customFormat="0" ht="15">
      <c r="B199" s="69">
        <v>23237421</v>
      </c>
      <c r="C199" s="70" t="s">
        <v>312</v>
      </c>
      <c r="D199" s="70" t="s">
        <v>1</v>
      </c>
      <c r="E199" s="70" t="s">
        <v>1</v>
      </c>
      <c r="F199" s="70"/>
      <c r="G199" s="70" t="s">
        <v>61</v>
      </c>
      <c r="H199" s="70" t="s">
        <v>178</v>
      </c>
      <c r="I199" s="70" t="s">
        <v>220</v>
      </c>
      <c r="J199" s="71">
        <f>IF(OR(I199=0,I199=""),"unrated",VLOOKUP(I199,MappingTables!$B$19:$C$31,2,FALSE))</f>
        <v>1</v>
      </c>
      <c r="K199" s="72">
        <v>2435.5461984420332</v>
      </c>
      <c r="L199" s="70">
        <v>0.15068242076534708</v>
      </c>
      <c r="M199" s="71">
        <f>IF(L199&lt;1,1,L199)</f>
        <v>1</v>
      </c>
      <c r="N199" s="70" t="s">
        <v>141</v>
      </c>
      <c r="O199" s="71">
        <f>INDEX(DurClassMapping,MATCH(M199,MappingTables!$D$4:$D$8,-1),1)</f>
        <v>1</v>
      </c>
      <c r="P199" s="73">
        <f>IF(M199=$A$1,1,$M199-INDEX(MappingTables!$E$4:$E$8,MATCH(O199,MappingTables!$B$4:$B$8,0)))</f>
        <v>1</v>
      </c>
      <c r="Q199" s="71">
        <f>IF(B199="",0,INDEX(ModelParameters!$D$6:$K$10,MATCH($O199,ModelParameters!$B$6:$B$10,0),MATCH($J199,ModelParameters!$D$5:$K$5,0)))</f>
        <v>0.011000000000000002</v>
      </c>
      <c r="R199" s="71">
        <f>IF(B199="",0,INDEX(ModelParameters!$D$13:$K$17,MATCH($O199,ModelParameters!$B$13:$B$17,0),MATCH($J199,ModelParameters!$D$5:$K$5,0)))</f>
        <v>0</v>
      </c>
      <c r="S199" s="160">
        <f>IF(B199="",0,MIN(IF($N199="Other Bond TM",ModelParameters!$N$21,1)*(P199*Q199+R199),1))</f>
        <v>0.011000000000000002</v>
      </c>
      <c r="T199" s="85">
        <f>IF(B199="",0,$S199*$K199)</f>
        <v>26.791008182862368</v>
      </c>
      <c r="U199" s="85">
        <f>IF(B199="",0,IF(OR(H199=MappingTables!$C$34,H199=MappingTables!$C$35),T199,0))</f>
        <v>0</v>
      </c>
      <c r="V199" s="85">
        <f>IF(ISNA(IF(AND(VLOOKUP(CONCATENATE($D199,$G199),CSRFinput!$B:$E,4,0)=0,OR(H199=MappingTables!$C$34,H199=MappingTables!$C$35)),1,VLOOKUP(CONCATENATE($D199,$G199),CSRFinput!$B:$E,4,0))),0,IF(AND(VLOOKUP(CONCATENATE($D199,$G199),CSRFinput!$B:$E,4,0)=0,OR(H199=MappingTables!$C$34,H199=MappingTables!$C$35)),1,VLOOKUP(CONCATENATE($D199,$G199),CSRFinput!$B:$E,4,0)))</f>
        <v>0.054776304963434752</v>
      </c>
      <c r="W199" s="85">
        <f>IF(B199="",0,+$T199*$V199)</f>
        <v>1.467512434502345</v>
      </c>
      <c r="X199" s="85">
        <f>IF(B199="",0,IF(OR(H199=MappingTables!$C$34,H199=MappingTables!$C$35),W199,0))</f>
        <v>0</v>
      </c>
    </row>
    <row r="200" spans="2:24" s="0" customFormat="0" ht="15">
      <c r="B200" s="69">
        <v>24326074</v>
      </c>
      <c r="C200" s="70" t="s">
        <v>422</v>
      </c>
      <c r="D200" s="70" t="s">
        <v>1</v>
      </c>
      <c r="E200" s="70" t="s">
        <v>1</v>
      </c>
      <c r="F200" s="70"/>
      <c r="G200" s="70" t="s">
        <v>61</v>
      </c>
      <c r="H200" s="70" t="s">
        <v>178</v>
      </c>
      <c r="I200" s="70" t="s">
        <v>184</v>
      </c>
      <c r="J200" s="71">
        <f>IF(OR(I200=0,I200=""),"unrated",VLOOKUP(I200,MappingTables!$B$19:$C$31,2,FALSE))</f>
        <v>5</v>
      </c>
      <c r="K200" s="72">
        <v>441.36416666961904</v>
      </c>
      <c r="L200" s="70">
        <v>1.4676567383566276</v>
      </c>
      <c r="M200" s="71">
        <f>IF(L200&lt;1,1,L200)</f>
        <v>1.4676567383566276</v>
      </c>
      <c r="N200" s="70" t="s">
        <v>141</v>
      </c>
      <c r="O200" s="71">
        <f>INDEX(DurClassMapping,MATCH(M200,MappingTables!$D$4:$D$8,-1),1)</f>
        <v>1</v>
      </c>
      <c r="P200" s="73">
        <f>IF(M200=$A$1,1,$M200-INDEX(MappingTables!$E$4:$E$8,MATCH(O200,MappingTables!$B$4:$B$8,0)))</f>
        <v>1.4676567383566276</v>
      </c>
      <c r="Q200" s="71">
        <f>IF(B200="",0,INDEX(ModelParameters!$D$6:$K$10,MATCH($O200,ModelParameters!$B$6:$B$10,0),MATCH($J200,ModelParameters!$D$5:$K$5,0)))</f>
        <v>0.075</v>
      </c>
      <c r="R200" s="71">
        <f>IF(B200="",0,INDEX(ModelParameters!$D$13:$K$17,MATCH($O200,ModelParameters!$B$13:$B$17,0),MATCH($J200,ModelParameters!$D$5:$K$5,0)))</f>
        <v>0</v>
      </c>
      <c r="S200" s="160">
        <f>IF(B200="",0,MIN(IF($N200="Other Bond TM",ModelParameters!$N$21,1)*(P200*Q200+R200),1))</f>
        <v>0.11007425537674708</v>
      </c>
      <c r="T200" s="85">
        <f>IF(B200="",0,$S200*$K200)</f>
        <v>48.5828319961368</v>
      </c>
      <c r="U200" s="85">
        <f>IF(B200="",0,IF(OR(H200=MappingTables!$C$34,H200=MappingTables!$C$35),T200,0))</f>
        <v>0</v>
      </c>
      <c r="V200" s="85">
        <f>IF(ISNA(IF(AND(VLOOKUP(CONCATENATE($D200,$G200),CSRFinput!$B:$E,4,0)=0,OR(H200=MappingTables!$C$34,H200=MappingTables!$C$35)),1,VLOOKUP(CONCATENATE($D200,$G200),CSRFinput!$B:$E,4,0))),0,IF(AND(VLOOKUP(CONCATENATE($D200,$G200),CSRFinput!$B:$E,4,0)=0,OR(H200=MappingTables!$C$34,H200=MappingTables!$C$35)),1,VLOOKUP(CONCATENATE($D200,$G200),CSRFinput!$B:$E,4,0)))</f>
        <v>0.054776304963434752</v>
      </c>
      <c r="W200" s="85">
        <f>IF(B200="",0,+$T200*$V200)</f>
        <v>2.6611880214077052</v>
      </c>
      <c r="X200" s="85">
        <f>IF(B200="",0,IF(OR(H200=MappingTables!$C$34,H200=MappingTables!$C$35),W200,0))</f>
        <v>0</v>
      </c>
    </row>
    <row r="201" spans="2:24" s="0" customFormat="0" ht="15">
      <c r="B201" s="69">
        <v>12122770</v>
      </c>
      <c r="C201" s="70" t="s">
        <v>303</v>
      </c>
      <c r="D201" s="70" t="s">
        <v>1</v>
      </c>
      <c r="E201" s="70" t="s">
        <v>1</v>
      </c>
      <c r="F201" s="70"/>
      <c r="G201" s="70" t="s">
        <v>61</v>
      </c>
      <c r="H201" s="70" t="s">
        <v>178</v>
      </c>
      <c r="I201" s="70" t="s">
        <v>188</v>
      </c>
      <c r="J201" s="71">
        <f>IF(OR(I201=0,I201=""),"unrated",VLOOKUP(I201,MappingTables!$B$19:$C$31,2,FALSE))</f>
        <v>2</v>
      </c>
      <c r="K201" s="72">
        <v>3.7493293930309408</v>
      </c>
      <c r="L201" s="70">
        <v>0.97705571700609984</v>
      </c>
      <c r="M201" s="71">
        <f>IF(L201&lt;1,1,L201)</f>
        <v>1</v>
      </c>
      <c r="N201" s="70" t="s">
        <v>141</v>
      </c>
      <c r="O201" s="71">
        <f>INDEX(DurClassMapping,MATCH(M201,MappingTables!$D$4:$D$8,-1),1)</f>
        <v>1</v>
      </c>
      <c r="P201" s="73">
        <f>IF(M201=$A$1,1,$M201-INDEX(MappingTables!$E$4:$E$8,MATCH(O201,MappingTables!$B$4:$B$8,0)))</f>
        <v>1</v>
      </c>
      <c r="Q201" s="71">
        <f>IF(B201="",0,INDEX(ModelParameters!$D$6:$K$10,MATCH($O201,ModelParameters!$B$6:$B$10,0),MATCH($J201,ModelParameters!$D$5:$K$5,0)))</f>
        <v>0.013999999999999998</v>
      </c>
      <c r="R201" s="71">
        <f>IF(B201="",0,INDEX(ModelParameters!$D$13:$K$17,MATCH($O201,ModelParameters!$B$13:$B$17,0),MATCH($J201,ModelParameters!$D$5:$K$5,0)))</f>
        <v>0</v>
      </c>
      <c r="S201" s="160">
        <f>IF(B201="",0,MIN(IF($N201="Other Bond TM",ModelParameters!$N$21,1)*(P201*Q201+R201),1))</f>
        <v>0.013999999999999998</v>
      </c>
      <c r="T201" s="85">
        <f>IF(B201="",0,$S201*$K201)</f>
        <v>0.052490611502433168</v>
      </c>
      <c r="U201" s="85">
        <f>IF(B201="",0,IF(OR(H201=MappingTables!$C$34,H201=MappingTables!$C$35),T201,0))</f>
        <v>0</v>
      </c>
      <c r="V201" s="85">
        <f>IF(ISNA(IF(AND(VLOOKUP(CONCATENATE($D201,$G201),CSRFinput!$B:$E,4,0)=0,OR(H201=MappingTables!$C$34,H201=MappingTables!$C$35)),1,VLOOKUP(CONCATENATE($D201,$G201),CSRFinput!$B:$E,4,0))),0,IF(AND(VLOOKUP(CONCATENATE($D201,$G201),CSRFinput!$B:$E,4,0)=0,OR(H201=MappingTables!$C$34,H201=MappingTables!$C$35)),1,VLOOKUP(CONCATENATE($D201,$G201),CSRFinput!$B:$E,4,0)))</f>
        <v>0.054776304963434752</v>
      </c>
      <c r="W201" s="85">
        <f>IF(B201="",0,+$T201*$V201)</f>
        <v>0.0028752417433744552</v>
      </c>
      <c r="X201" s="85">
        <f>IF(B201="",0,IF(OR(H201=MappingTables!$C$34,H201=MappingTables!$C$35),W201,0))</f>
        <v>0</v>
      </c>
    </row>
    <row r="202" spans="2:24" s="0" customFormat="0" ht="15">
      <c r="B202" s="69">
        <v>14755697</v>
      </c>
      <c r="C202" s="70" t="s">
        <v>423</v>
      </c>
      <c r="D202" s="70" t="s">
        <v>1</v>
      </c>
      <c r="E202" s="70" t="s">
        <v>1</v>
      </c>
      <c r="F202" s="70"/>
      <c r="G202" s="70" t="s">
        <v>61</v>
      </c>
      <c r="H202" s="70" t="s">
        <v>178</v>
      </c>
      <c r="I202" s="70" t="s">
        <v>188</v>
      </c>
      <c r="J202" s="71">
        <f>IF(OR(I202=0,I202=""),"unrated",VLOOKUP(I202,MappingTables!$B$19:$C$31,2,FALSE))</f>
        <v>2</v>
      </c>
      <c r="K202" s="72">
        <v>2164.4829324217364</v>
      </c>
      <c r="L202" s="70">
        <v>1.200241887828729</v>
      </c>
      <c r="M202" s="71">
        <f>IF(L202&lt;1,1,L202)</f>
        <v>1.200241887828729</v>
      </c>
      <c r="N202" s="70" t="s">
        <v>141</v>
      </c>
      <c r="O202" s="71">
        <f>INDEX(DurClassMapping,MATCH(M202,MappingTables!$D$4:$D$8,-1),1)</f>
        <v>1</v>
      </c>
      <c r="P202" s="73">
        <f>IF(M202=$A$1,1,$M202-INDEX(MappingTables!$E$4:$E$8,MATCH(O202,MappingTables!$B$4:$B$8,0)))</f>
        <v>1.200241887828729</v>
      </c>
      <c r="Q202" s="71">
        <f>IF(B202="",0,INDEX(ModelParameters!$D$6:$K$10,MATCH($O202,ModelParameters!$B$6:$B$10,0),MATCH($J202,ModelParameters!$D$5:$K$5,0)))</f>
        <v>0.013999999999999998</v>
      </c>
      <c r="R202" s="71">
        <f>IF(B202="",0,INDEX(ModelParameters!$D$13:$K$17,MATCH($O202,ModelParameters!$B$13:$B$17,0),MATCH($J202,ModelParameters!$D$5:$K$5,0)))</f>
        <v>0</v>
      </c>
      <c r="S202" s="160">
        <f>IF(B202="",0,MIN(IF($N202="Other Bond TM",ModelParameters!$N$21,1)*(P202*Q202+R202),1))</f>
        <v>0.016803386429602204</v>
      </c>
      <c r="T202" s="85">
        <f>IF(B202="",0,$S202*$K202)</f>
        <v>36.370643133760984</v>
      </c>
      <c r="U202" s="85">
        <f>IF(B202="",0,IF(OR(H202=MappingTables!$C$34,H202=MappingTables!$C$35),T202,0))</f>
        <v>0</v>
      </c>
      <c r="V202" s="85">
        <f>IF(ISNA(IF(AND(VLOOKUP(CONCATENATE($D202,$G202),CSRFinput!$B:$E,4,0)=0,OR(H202=MappingTables!$C$34,H202=MappingTables!$C$35)),1,VLOOKUP(CONCATENATE($D202,$G202),CSRFinput!$B:$E,4,0))),0,IF(AND(VLOOKUP(CONCATENATE($D202,$G202),CSRFinput!$B:$E,4,0)=0,OR(H202=MappingTables!$C$34,H202=MappingTables!$C$35)),1,VLOOKUP(CONCATENATE($D202,$G202),CSRFinput!$B:$E,4,0)))</f>
        <v>0.054776304963434752</v>
      </c>
      <c r="W202" s="85">
        <f>IF(B202="",0,+$T202*$V202)</f>
        <v>1.992249440011146</v>
      </c>
      <c r="X202" s="85">
        <f>IF(B202="",0,IF(OR(H202=MappingTables!$C$34,H202=MappingTables!$C$35),W202,0))</f>
        <v>0</v>
      </c>
    </row>
    <row r="203" spans="2:24" s="0" customFormat="0" ht="15">
      <c r="B203" s="69">
        <v>13715879</v>
      </c>
      <c r="C203" s="70" t="s">
        <v>424</v>
      </c>
      <c r="D203" s="70" t="s">
        <v>1</v>
      </c>
      <c r="E203" s="70" t="s">
        <v>1</v>
      </c>
      <c r="F203" s="70"/>
      <c r="G203" s="70" t="s">
        <v>61</v>
      </c>
      <c r="H203" s="70" t="s">
        <v>178</v>
      </c>
      <c r="I203" s="70" t="s">
        <v>181</v>
      </c>
      <c r="J203" s="71">
        <f>IF(OR(I203=0,I203=""),"unrated",VLOOKUP(I203,MappingTables!$B$19:$C$31,2,FALSE))</f>
        <v>3</v>
      </c>
      <c r="K203" s="72">
        <v>1.1079781771921048</v>
      </c>
      <c r="L203" s="70">
        <v>1.291608292708644</v>
      </c>
      <c r="M203" s="71">
        <f>IF(L203&lt;1,1,L203)</f>
        <v>1.291608292708644</v>
      </c>
      <c r="N203" s="70" t="s">
        <v>141</v>
      </c>
      <c r="O203" s="71">
        <f>INDEX(DurClassMapping,MATCH(M203,MappingTables!$D$4:$D$8,-1),1)</f>
        <v>1</v>
      </c>
      <c r="P203" s="73">
        <f>IF(M203=$A$1,1,$M203-INDEX(MappingTables!$E$4:$E$8,MATCH(O203,MappingTables!$B$4:$B$8,0)))</f>
        <v>1.291608292708644</v>
      </c>
      <c r="Q203" s="71">
        <f>IF(B203="",0,INDEX(ModelParameters!$D$6:$K$10,MATCH($O203,ModelParameters!$B$6:$B$10,0),MATCH($J203,ModelParameters!$D$5:$K$5,0)))</f>
        <v>0.025</v>
      </c>
      <c r="R203" s="71">
        <f>IF(B203="",0,INDEX(ModelParameters!$D$13:$K$17,MATCH($O203,ModelParameters!$B$13:$B$17,0),MATCH($J203,ModelParameters!$D$5:$K$5,0)))</f>
        <v>0</v>
      </c>
      <c r="S203" s="160">
        <f>IF(B203="",0,MIN(IF($N203="Other Bond TM",ModelParameters!$N$21,1)*(P203*Q203+R203),1))</f>
        <v>0.032290207317716104</v>
      </c>
      <c r="T203" s="85">
        <f>IF(B203="",0,$S203*$K203)</f>
        <v>0.03577684504503826</v>
      </c>
      <c r="U203" s="85">
        <f>IF(B203="",0,IF(OR(H203=MappingTables!$C$34,H203=MappingTables!$C$35),T203,0))</f>
        <v>0</v>
      </c>
      <c r="V203" s="85">
        <f>IF(ISNA(IF(AND(VLOOKUP(CONCATENATE($D203,$G203),CSRFinput!$B:$E,4,0)=0,OR(H203=MappingTables!$C$34,H203=MappingTables!$C$35)),1,VLOOKUP(CONCATENATE($D203,$G203),CSRFinput!$B:$E,4,0))),0,IF(AND(VLOOKUP(CONCATENATE($D203,$G203),CSRFinput!$B:$E,4,0)=0,OR(H203=MappingTables!$C$34,H203=MappingTables!$C$35)),1,VLOOKUP(CONCATENATE($D203,$G203),CSRFinput!$B:$E,4,0)))</f>
        <v>0.054776304963434752</v>
      </c>
      <c r="W203" s="85">
        <f>IF(B203="",0,+$T203*$V203)</f>
        <v>0.0019597233748165652</v>
      </c>
      <c r="X203" s="85">
        <f>IF(B203="",0,IF(OR(H203=MappingTables!$C$34,H203=MappingTables!$C$35),W203,0))</f>
        <v>0</v>
      </c>
    </row>
    <row r="204" spans="2:24" s="0" customFormat="0" ht="15">
      <c r="B204" s="69">
        <v>23307204</v>
      </c>
      <c r="C204" s="70" t="s">
        <v>425</v>
      </c>
      <c r="D204" s="70" t="s">
        <v>1</v>
      </c>
      <c r="E204" s="70" t="s">
        <v>1</v>
      </c>
      <c r="F204" s="70"/>
      <c r="G204" s="70" t="s">
        <v>61</v>
      </c>
      <c r="H204" s="70" t="s">
        <v>178</v>
      </c>
      <c r="I204" s="70" t="s">
        <v>220</v>
      </c>
      <c r="J204" s="71">
        <f>IF(OR(I204=0,I204=""),"unrated",VLOOKUP(I204,MappingTables!$B$19:$C$31,2,FALSE))</f>
        <v>1</v>
      </c>
      <c r="K204" s="72">
        <v>9280.04296503828</v>
      </c>
      <c r="L204" s="70">
        <v>0.098627311989535648</v>
      </c>
      <c r="M204" s="71">
        <f>IF(L204&lt;1,1,L204)</f>
        <v>1</v>
      </c>
      <c r="N204" s="70" t="s">
        <v>141</v>
      </c>
      <c r="O204" s="71">
        <f>INDEX(DurClassMapping,MATCH(M204,MappingTables!$D$4:$D$8,-1),1)</f>
        <v>1</v>
      </c>
      <c r="P204" s="73">
        <f>IF(M204=$A$1,1,$M204-INDEX(MappingTables!$E$4:$E$8,MATCH(O204,MappingTables!$B$4:$B$8,0)))</f>
        <v>1</v>
      </c>
      <c r="Q204" s="71">
        <f>IF(B204="",0,INDEX(ModelParameters!$D$6:$K$10,MATCH($O204,ModelParameters!$B$6:$B$10,0),MATCH($J204,ModelParameters!$D$5:$K$5,0)))</f>
        <v>0.011000000000000002</v>
      </c>
      <c r="R204" s="71">
        <f>IF(B204="",0,INDEX(ModelParameters!$D$13:$K$17,MATCH($O204,ModelParameters!$B$13:$B$17,0),MATCH($J204,ModelParameters!$D$5:$K$5,0)))</f>
        <v>0</v>
      </c>
      <c r="S204" s="160">
        <f>IF(B204="",0,MIN(IF($N204="Other Bond TM",ModelParameters!$N$21,1)*(P204*Q204+R204),1))</f>
        <v>0.011000000000000002</v>
      </c>
      <c r="T204" s="85">
        <f>IF(B204="",0,$S204*$K204)</f>
        <v>102.08047261542108</v>
      </c>
      <c r="U204" s="85">
        <f>IF(B204="",0,IF(OR(H204=MappingTables!$C$34,H204=MappingTables!$C$35),T204,0))</f>
        <v>0</v>
      </c>
      <c r="V204" s="85">
        <f>IF(ISNA(IF(AND(VLOOKUP(CONCATENATE($D204,$G204),CSRFinput!$B:$E,4,0)=0,OR(H204=MappingTables!$C$34,H204=MappingTables!$C$35)),1,VLOOKUP(CONCATENATE($D204,$G204),CSRFinput!$B:$E,4,0))),0,IF(AND(VLOOKUP(CONCATENATE($D204,$G204),CSRFinput!$B:$E,4,0)=0,OR(H204=MappingTables!$C$34,H204=MappingTables!$C$35)),1,VLOOKUP(CONCATENATE($D204,$G204),CSRFinput!$B:$E,4,0)))</f>
        <v>0.054776304963434752</v>
      </c>
      <c r="W204" s="85">
        <f>IF(B204="",0,+$T204*$V204)</f>
        <v>5.5915910987938552</v>
      </c>
      <c r="X204" s="85">
        <f>IF(B204="",0,IF(OR(H204=MappingTables!$C$34,H204=MappingTables!$C$35),W204,0))</f>
        <v>0</v>
      </c>
    </row>
    <row r="205" spans="2:24" s="0" customFormat="0" ht="15">
      <c r="B205" s="69" t="s">
        <v>426</v>
      </c>
      <c r="C205" s="70" t="s">
        <v>427</v>
      </c>
      <c r="D205" s="70" t="s">
        <v>1</v>
      </c>
      <c r="E205" s="70" t="s">
        <v>1</v>
      </c>
      <c r="F205" s="70"/>
      <c r="G205" s="70" t="s">
        <v>61</v>
      </c>
      <c r="H205" s="70" t="s">
        <v>178</v>
      </c>
      <c r="I205" s="70" t="s">
        <v>198</v>
      </c>
      <c r="J205" s="71" t="str">
        <f>IF(OR(I205=0,I205=""),"unrated",VLOOKUP(I205,MappingTables!$B$19:$C$31,2,FALSE))</f>
        <v>unrated</v>
      </c>
      <c r="K205" s="72">
        <v>0.69998080230413432</v>
      </c>
      <c r="L205" s="70">
        <v>0.28219209654633672</v>
      </c>
      <c r="M205" s="71">
        <f>IF(L205&lt;1,1,L205)</f>
        <v>1</v>
      </c>
      <c r="N205" s="70" t="s">
        <v>141</v>
      </c>
      <c r="O205" s="71">
        <f>INDEX(DurClassMapping,MATCH(M205,MappingTables!$D$4:$D$8,-1),1)</f>
        <v>1</v>
      </c>
      <c r="P205" s="73">
        <f>IF(M205=$A$1,1,$M205-INDEX(MappingTables!$E$4:$E$8,MATCH(O205,MappingTables!$B$4:$B$8,0)))</f>
        <v>1</v>
      </c>
      <c r="Q205" s="71">
        <f>IF(B205="",0,INDEX(ModelParameters!$D$6:$K$10,MATCH($O205,ModelParameters!$B$6:$B$10,0),MATCH($J205,ModelParameters!$D$5:$K$5,0)))</f>
        <v>0.03</v>
      </c>
      <c r="R205" s="71">
        <f>IF(B205="",0,INDEX(ModelParameters!$D$13:$K$17,MATCH($O205,ModelParameters!$B$13:$B$17,0),MATCH($J205,ModelParameters!$D$5:$K$5,0)))</f>
        <v>0</v>
      </c>
      <c r="S205" s="160">
        <f>IF(B205="",0,MIN(IF($N205="Other Bond TM",ModelParameters!$N$21,1)*(P205*Q205+R205),1))</f>
        <v>0.03</v>
      </c>
      <c r="T205" s="85">
        <f>IF(B205="",0,$S205*$K205)</f>
        <v>0.020999424069124028</v>
      </c>
      <c r="U205" s="85">
        <f>IF(B205="",0,IF(OR(H205=MappingTables!$C$34,H205=MappingTables!$C$35),T205,0))</f>
        <v>0</v>
      </c>
      <c r="V205" s="85">
        <f>IF(ISNA(IF(AND(VLOOKUP(CONCATENATE($D205,$G205),CSRFinput!$B:$E,4,0)=0,OR(H205=MappingTables!$C$34,H205=MappingTables!$C$35)),1,VLOOKUP(CONCATENATE($D205,$G205),CSRFinput!$B:$E,4,0))),0,IF(AND(VLOOKUP(CONCATENATE($D205,$G205),CSRFinput!$B:$E,4,0)=0,OR(H205=MappingTables!$C$34,H205=MappingTables!$C$35)),1,VLOOKUP(CONCATENATE($D205,$G205),CSRFinput!$B:$E,4,0)))</f>
        <v>0.054776304963434752</v>
      </c>
      <c r="W205" s="85">
        <f>IF(B205="",0,+$T205*$V205)</f>
        <v>0.0011502708568668298</v>
      </c>
      <c r="X205" s="85">
        <f>IF(B205="",0,IF(OR(H205=MappingTables!$C$34,H205=MappingTables!$C$35),W205,0))</f>
        <v>0</v>
      </c>
    </row>
    <row r="206" spans="2:24" s="0" customFormat="0" ht="15">
      <c r="B206" s="69" t="s">
        <v>428</v>
      </c>
      <c r="C206" s="70" t="s">
        <v>429</v>
      </c>
      <c r="D206" s="70" t="s">
        <v>1</v>
      </c>
      <c r="E206" s="70" t="s">
        <v>1</v>
      </c>
      <c r="F206" s="70"/>
      <c r="G206" s="70" t="s">
        <v>61</v>
      </c>
      <c r="H206" s="70" t="s">
        <v>178</v>
      </c>
      <c r="I206" s="70" t="s">
        <v>198</v>
      </c>
      <c r="J206" s="71" t="str">
        <f>IF(OR(I206=0,I206=""),"unrated",VLOOKUP(I206,MappingTables!$B$19:$C$31,2,FALSE))</f>
        <v>unrated</v>
      </c>
      <c r="K206" s="72">
        <v>2426.1851552671336</v>
      </c>
      <c r="L206" s="70">
        <v>0.20821941745263956</v>
      </c>
      <c r="M206" s="71">
        <f>IF(L206&lt;1,1,L206)</f>
        <v>1</v>
      </c>
      <c r="N206" s="70" t="s">
        <v>141</v>
      </c>
      <c r="O206" s="71">
        <f>INDEX(DurClassMapping,MATCH(M206,MappingTables!$D$4:$D$8,-1),1)</f>
        <v>1</v>
      </c>
      <c r="P206" s="73">
        <f>IF(M206=$A$1,1,$M206-INDEX(MappingTables!$E$4:$E$8,MATCH(O206,MappingTables!$B$4:$B$8,0)))</f>
        <v>1</v>
      </c>
      <c r="Q206" s="71">
        <f>IF(B206="",0,INDEX(ModelParameters!$D$6:$K$10,MATCH($O206,ModelParameters!$B$6:$B$10,0),MATCH($J206,ModelParameters!$D$5:$K$5,0)))</f>
        <v>0.03</v>
      </c>
      <c r="R206" s="71">
        <f>IF(B206="",0,INDEX(ModelParameters!$D$13:$K$17,MATCH($O206,ModelParameters!$B$13:$B$17,0),MATCH($J206,ModelParameters!$D$5:$K$5,0)))</f>
        <v>0</v>
      </c>
      <c r="S206" s="160">
        <f>IF(B206="",0,MIN(IF($N206="Other Bond TM",ModelParameters!$N$21,1)*(P206*Q206+R206),1))</f>
        <v>0.03</v>
      </c>
      <c r="T206" s="85">
        <f>IF(B206="",0,$S206*$K206)</f>
        <v>72.785554658014</v>
      </c>
      <c r="U206" s="85">
        <f>IF(B206="",0,IF(OR(H206=MappingTables!$C$34,H206=MappingTables!$C$35),T206,0))</f>
        <v>0</v>
      </c>
      <c r="V206" s="85">
        <f>IF(ISNA(IF(AND(VLOOKUP(CONCATENATE($D206,$G206),CSRFinput!$B:$E,4,0)=0,OR(H206=MappingTables!$C$34,H206=MappingTables!$C$35)),1,VLOOKUP(CONCATENATE($D206,$G206),CSRFinput!$B:$E,4,0))),0,IF(AND(VLOOKUP(CONCATENATE($D206,$G206),CSRFinput!$B:$E,4,0)=0,OR(H206=MappingTables!$C$34,H206=MappingTables!$C$35)),1,VLOOKUP(CONCATENATE($D206,$G206),CSRFinput!$B:$E,4,0)))</f>
        <v>0.054776304963434752</v>
      </c>
      <c r="W206" s="85">
        <f>IF(B206="",0,+$T206*$V206)</f>
        <v>3.986923738880124</v>
      </c>
      <c r="X206" s="85">
        <f>IF(B206="",0,IF(OR(H206=MappingTables!$C$34,H206=MappingTables!$C$35),W206,0))</f>
        <v>0</v>
      </c>
    </row>
    <row r="207" spans="2:24" s="0" customFormat="0" ht="15">
      <c r="B207" s="69">
        <v>2687393</v>
      </c>
      <c r="C207" s="70" t="s">
        <v>430</v>
      </c>
      <c r="D207" s="70" t="s">
        <v>1</v>
      </c>
      <c r="E207" s="70" t="s">
        <v>1</v>
      </c>
      <c r="F207" s="70"/>
      <c r="G207" s="70" t="s">
        <v>61</v>
      </c>
      <c r="H207" s="70" t="s">
        <v>178</v>
      </c>
      <c r="I207" s="70" t="s">
        <v>188</v>
      </c>
      <c r="J207" s="71">
        <f>IF(OR(I207=0,I207=""),"unrated",VLOOKUP(I207,MappingTables!$B$19:$C$31,2,FALSE))</f>
        <v>2</v>
      </c>
      <c r="K207" s="72">
        <v>13949.683349795222</v>
      </c>
      <c r="L207" s="70">
        <v>15.168285659247156</v>
      </c>
      <c r="M207" s="71">
        <f>IF(L207&lt;1,1,L207)</f>
        <v>15.168285659247156</v>
      </c>
      <c r="N207" s="70" t="s">
        <v>141</v>
      </c>
      <c r="O207" s="71">
        <f>INDEX(DurClassMapping,MATCH(M207,MappingTables!$D$4:$D$8,-1),1)</f>
        <v>4</v>
      </c>
      <c r="P207" s="73">
        <f>IF(M207=$A$1,1,$M207-INDEX(MappingTables!$E$4:$E$8,MATCH(O207,MappingTables!$B$4:$B$8,0)))</f>
        <v>0.16828565924715556</v>
      </c>
      <c r="Q207" s="71">
        <f>IF(B207="",0,INDEX(ModelParameters!$D$6:$K$10,MATCH($O207,ModelParameters!$B$6:$B$10,0),MATCH($J207,ModelParameters!$D$5:$K$5,0)))</f>
        <v>0.005</v>
      </c>
      <c r="R207" s="71">
        <f>IF(B207="",0,INDEX(ModelParameters!$D$13:$K$17,MATCH($O207,ModelParameters!$B$13:$B$17,0),MATCH($J207,ModelParameters!$D$5:$K$5,0)))</f>
        <v>0.13</v>
      </c>
      <c r="S207" s="160">
        <f>IF(B207="",0,MIN(IF($N207="Other Bond TM",ModelParameters!$N$21,1)*(P207*Q207+R207),1))</f>
        <v>0.1308414282962358</v>
      </c>
      <c r="T207" s="85">
        <f>IF(B207="",0,$S207*$K207)</f>
        <v>1825.196493767426</v>
      </c>
      <c r="U207" s="85">
        <f>IF(B207="",0,IF(OR(H207=MappingTables!$C$34,H207=MappingTables!$C$35),T207,0))</f>
        <v>0</v>
      </c>
      <c r="V207" s="85">
        <f>IF(ISNA(IF(AND(VLOOKUP(CONCATENATE($D207,$G207),CSRFinput!$B:$E,4,0)=0,OR(H207=MappingTables!$C$34,H207=MappingTables!$C$35)),1,VLOOKUP(CONCATENATE($D207,$G207),CSRFinput!$B:$E,4,0))),0,IF(AND(VLOOKUP(CONCATENATE($D207,$G207),CSRFinput!$B:$E,4,0)=0,OR(H207=MappingTables!$C$34,H207=MappingTables!$C$35)),1,VLOOKUP(CONCATENATE($D207,$G207),CSRFinput!$B:$E,4,0)))</f>
        <v>0.054776304963434752</v>
      </c>
      <c r="W207" s="85">
        <f>IF(B207="",0,+$T207*$V207)</f>
        <v>99.977519760796352</v>
      </c>
      <c r="X207" s="85">
        <f>IF(B207="",0,IF(OR(H207=MappingTables!$C$34,H207=MappingTables!$C$35),W207,0))</f>
        <v>0</v>
      </c>
    </row>
    <row r="208" spans="2:24" s="0" customFormat="0" ht="15">
      <c r="B208" s="69">
        <v>23722534</v>
      </c>
      <c r="C208" s="70" t="s">
        <v>431</v>
      </c>
      <c r="D208" s="70" t="s">
        <v>1</v>
      </c>
      <c r="E208" s="70" t="s">
        <v>1</v>
      </c>
      <c r="F208" s="70"/>
      <c r="G208" s="70" t="s">
        <v>61</v>
      </c>
      <c r="H208" s="70" t="s">
        <v>178</v>
      </c>
      <c r="I208" s="70" t="s">
        <v>179</v>
      </c>
      <c r="J208" s="71">
        <f>IF(OR(I208=0,I208=""),"unrated",VLOOKUP(I208,MappingTables!$B$19:$C$31,2,FALSE))</f>
        <v>4</v>
      </c>
      <c r="K208" s="72">
        <v>32896.340717944172</v>
      </c>
      <c r="L208" s="70">
        <v>4.2922888273592816</v>
      </c>
      <c r="M208" s="71">
        <f>IF(L208&lt;1,1,L208)</f>
        <v>4.2922888273592816</v>
      </c>
      <c r="N208" s="70" t="s">
        <v>141</v>
      </c>
      <c r="O208" s="71">
        <f>INDEX(DurClassMapping,MATCH(M208,MappingTables!$D$4:$D$8,-1),1)</f>
        <v>1</v>
      </c>
      <c r="P208" s="73">
        <f>IF(M208=$A$1,1,$M208-INDEX(MappingTables!$E$4:$E$8,MATCH(O208,MappingTables!$B$4:$B$8,0)))</f>
        <v>4.2922888273592816</v>
      </c>
      <c r="Q208" s="71">
        <f>IF(B208="",0,INDEX(ModelParameters!$D$6:$K$10,MATCH($O208,ModelParameters!$B$6:$B$10,0),MATCH($J208,ModelParameters!$D$5:$K$5,0)))</f>
        <v>0.045</v>
      </c>
      <c r="R208" s="71">
        <f>IF(B208="",0,INDEX(ModelParameters!$D$13:$K$17,MATCH($O208,ModelParameters!$B$13:$B$17,0),MATCH($J208,ModelParameters!$D$5:$K$5,0)))</f>
        <v>0</v>
      </c>
      <c r="S208" s="160">
        <f>IF(B208="",0,MIN(IF($N208="Other Bond TM",ModelParameters!$N$21,1)*(P208*Q208+R208),1))</f>
        <v>0.19315299723116768</v>
      </c>
      <c r="T208" s="85">
        <f>IF(B208="",0,$S208*$K208)</f>
        <v>6354.0268076086184</v>
      </c>
      <c r="U208" s="85">
        <f>IF(B208="",0,IF(OR(H208=MappingTables!$C$34,H208=MappingTables!$C$35),T208,0))</f>
        <v>0</v>
      </c>
      <c r="V208" s="85">
        <f>IF(ISNA(IF(AND(VLOOKUP(CONCATENATE($D208,$G208),CSRFinput!$B:$E,4,0)=0,OR(H208=MappingTables!$C$34,H208=MappingTables!$C$35)),1,VLOOKUP(CONCATENATE($D208,$G208),CSRFinput!$B:$E,4,0))),0,IF(AND(VLOOKUP(CONCATENATE($D208,$G208),CSRFinput!$B:$E,4,0)=0,OR(H208=MappingTables!$C$34,H208=MappingTables!$C$35)),1,VLOOKUP(CONCATENATE($D208,$G208),CSRFinput!$B:$E,4,0)))</f>
        <v>0.054776304963434752</v>
      </c>
      <c r="W208" s="85">
        <f>IF(B208="",0,+$T208*$V208)</f>
        <v>348.05011015940944</v>
      </c>
      <c r="X208" s="85">
        <f>IF(B208="",0,IF(OR(H208=MappingTables!$C$34,H208=MappingTables!$C$35),W208,0))</f>
        <v>0</v>
      </c>
    </row>
    <row r="209" spans="2:24" s="0" customFormat="0" ht="15">
      <c r="B209" s="69">
        <v>7920661</v>
      </c>
      <c r="C209" s="70" t="s">
        <v>432</v>
      </c>
      <c r="D209" s="70" t="s">
        <v>1</v>
      </c>
      <c r="E209" s="70" t="s">
        <v>1</v>
      </c>
      <c r="F209" s="70"/>
      <c r="G209" s="70" t="s">
        <v>61</v>
      </c>
      <c r="H209" s="70" t="s">
        <v>178</v>
      </c>
      <c r="I209" s="70" t="s">
        <v>181</v>
      </c>
      <c r="J209" s="71">
        <f>IF(OR(I209=0,I209=""),"unrated",VLOOKUP(I209,MappingTables!$B$19:$C$31,2,FALSE))</f>
        <v>3</v>
      </c>
      <c r="K209" s="72">
        <v>28680.92482561554</v>
      </c>
      <c r="L209" s="70">
        <v>13.95432548789407</v>
      </c>
      <c r="M209" s="71">
        <f>IF(L209&lt;1,1,L209)</f>
        <v>13.95432548789407</v>
      </c>
      <c r="N209" s="70" t="s">
        <v>141</v>
      </c>
      <c r="O209" s="71">
        <f>INDEX(DurClassMapping,MATCH(M209,MappingTables!$D$4:$D$8,-1),1)</f>
        <v>3</v>
      </c>
      <c r="P209" s="73">
        <f>IF(M209=$A$1,1,$M209-INDEX(MappingTables!$E$4:$E$8,MATCH(O209,MappingTables!$B$4:$B$8,0)))</f>
        <v>3.9543254878940704</v>
      </c>
      <c r="Q209" s="71">
        <f>IF(B209="",0,INDEX(ModelParameters!$D$6:$K$10,MATCH($O209,ModelParameters!$B$6:$B$10,0),MATCH($J209,ModelParameters!$D$5:$K$5,0)))</f>
        <v>0.01</v>
      </c>
      <c r="R209" s="71">
        <f>IF(B209="",0,INDEX(ModelParameters!$D$13:$K$17,MATCH($O209,ModelParameters!$B$13:$B$17,0),MATCH($J209,ModelParameters!$D$5:$K$5,0)))</f>
        <v>0.2</v>
      </c>
      <c r="S209" s="160">
        <f>IF(B209="",0,MIN(IF($N209="Other Bond TM",ModelParameters!$N$21,1)*(P209*Q209+R209),1))</f>
        <v>0.23954325487894072</v>
      </c>
      <c r="T209" s="85">
        <f>IF(B209="",0,$S209*$K209)</f>
        <v>6870.3220856661616</v>
      </c>
      <c r="U209" s="85">
        <f>IF(B209="",0,IF(OR(H209=MappingTables!$C$34,H209=MappingTables!$C$35),T209,0))</f>
        <v>0</v>
      </c>
      <c r="V209" s="85">
        <f>IF(ISNA(IF(AND(VLOOKUP(CONCATENATE($D209,$G209),CSRFinput!$B:$E,4,0)=0,OR(H209=MappingTables!$C$34,H209=MappingTables!$C$35)),1,VLOOKUP(CONCATENATE($D209,$G209),CSRFinput!$B:$E,4,0))),0,IF(AND(VLOOKUP(CONCATENATE($D209,$G209),CSRFinput!$B:$E,4,0)=0,OR(H209=MappingTables!$C$34,H209=MappingTables!$C$35)),1,VLOOKUP(CONCATENATE($D209,$G209),CSRFinput!$B:$E,4,0)))</f>
        <v>0.054776304963434752</v>
      </c>
      <c r="W209" s="85">
        <f>IF(B209="",0,+$T209*$V209)</f>
        <v>376.3308577614708</v>
      </c>
      <c r="X209" s="85">
        <f>IF(B209="",0,IF(OR(H209=MappingTables!$C$34,H209=MappingTables!$C$35),W209,0))</f>
        <v>0</v>
      </c>
    </row>
    <row r="210" spans="2:24" s="0" customFormat="0" ht="15">
      <c r="B210" s="69">
        <v>18093606</v>
      </c>
      <c r="C210" s="70" t="s">
        <v>433</v>
      </c>
      <c r="D210" s="70" t="s">
        <v>1</v>
      </c>
      <c r="E210" s="70" t="s">
        <v>1</v>
      </c>
      <c r="F210" s="70"/>
      <c r="G210" s="70" t="s">
        <v>61</v>
      </c>
      <c r="H210" s="70" t="s">
        <v>178</v>
      </c>
      <c r="I210" s="70" t="s">
        <v>179</v>
      </c>
      <c r="J210" s="71">
        <f>IF(OR(I210=0,I210=""),"unrated",VLOOKUP(I210,MappingTables!$B$19:$C$31,2,FALSE))</f>
        <v>4</v>
      </c>
      <c r="K210" s="72">
        <v>105.5497656078903</v>
      </c>
      <c r="L210" s="70">
        <v>0.42739738679712264</v>
      </c>
      <c r="M210" s="71">
        <f>IF(L210&lt;1,1,L210)</f>
        <v>1</v>
      </c>
      <c r="N210" s="70" t="s">
        <v>141</v>
      </c>
      <c r="O210" s="71">
        <f>INDEX(DurClassMapping,MATCH(M210,MappingTables!$D$4:$D$8,-1),1)</f>
        <v>1</v>
      </c>
      <c r="P210" s="73">
        <f>IF(M210=$A$1,1,$M210-INDEX(MappingTables!$E$4:$E$8,MATCH(O210,MappingTables!$B$4:$B$8,0)))</f>
        <v>1</v>
      </c>
      <c r="Q210" s="71">
        <f>IF(B210="",0,INDEX(ModelParameters!$D$6:$K$10,MATCH($O210,ModelParameters!$B$6:$B$10,0),MATCH($J210,ModelParameters!$D$5:$K$5,0)))</f>
        <v>0.045</v>
      </c>
      <c r="R210" s="71">
        <f>IF(B210="",0,INDEX(ModelParameters!$D$13:$K$17,MATCH($O210,ModelParameters!$B$13:$B$17,0),MATCH($J210,ModelParameters!$D$5:$K$5,0)))</f>
        <v>0</v>
      </c>
      <c r="S210" s="160">
        <f>IF(B210="",0,MIN(IF($N210="Other Bond TM",ModelParameters!$N$21,1)*(P210*Q210+R210),1))</f>
        <v>0.045</v>
      </c>
      <c r="T210" s="85">
        <f>IF(B210="",0,$S210*$K210)</f>
        <v>4.7497394523550632</v>
      </c>
      <c r="U210" s="85">
        <f>IF(B210="",0,IF(OR(H210=MappingTables!$C$34,H210=MappingTables!$C$35),T210,0))</f>
        <v>0</v>
      </c>
      <c r="V210" s="85">
        <f>IF(ISNA(IF(AND(VLOOKUP(CONCATENATE($D210,$G210),CSRFinput!$B:$E,4,0)=0,OR(H210=MappingTables!$C$34,H210=MappingTables!$C$35)),1,VLOOKUP(CONCATENATE($D210,$G210),CSRFinput!$B:$E,4,0))),0,IF(AND(VLOOKUP(CONCATENATE($D210,$G210),CSRFinput!$B:$E,4,0)=0,OR(H210=MappingTables!$C$34,H210=MappingTables!$C$35)),1,VLOOKUP(CONCATENATE($D210,$G210),CSRFinput!$B:$E,4,0)))</f>
        <v>0.054776304963434752</v>
      </c>
      <c r="W210" s="85">
        <f>IF(B210="",0,+$T210*$V210)</f>
        <v>0.26017317673905856</v>
      </c>
      <c r="X210" s="85">
        <f>IF(B210="",0,IF(OR(H210=MappingTables!$C$34,H210=MappingTables!$C$35),W210,0))</f>
        <v>0</v>
      </c>
    </row>
    <row r="211" spans="2:24" s="0" customFormat="0" ht="15">
      <c r="B211" s="69">
        <v>9828810</v>
      </c>
      <c r="C211" s="70" t="s">
        <v>434</v>
      </c>
      <c r="D211" s="70" t="s">
        <v>1</v>
      </c>
      <c r="E211" s="70" t="s">
        <v>1</v>
      </c>
      <c r="F211" s="70"/>
      <c r="G211" s="70" t="s">
        <v>61</v>
      </c>
      <c r="H211" s="70" t="s">
        <v>178</v>
      </c>
      <c r="I211" s="70" t="s">
        <v>181</v>
      </c>
      <c r="J211" s="71">
        <f>IF(OR(I211=0,I211=""),"unrated",VLOOKUP(I211,MappingTables!$B$19:$C$31,2,FALSE))</f>
        <v>3</v>
      </c>
      <c r="K211" s="72">
        <v>80331.641171481616</v>
      </c>
      <c r="L211" s="70">
        <v>2.9180451468412444</v>
      </c>
      <c r="M211" s="71">
        <f>IF(L211&lt;1,1,L211)</f>
        <v>2.9180451468412444</v>
      </c>
      <c r="N211" s="70" t="s">
        <v>141</v>
      </c>
      <c r="O211" s="71">
        <f>INDEX(DurClassMapping,MATCH(M211,MappingTables!$D$4:$D$8,-1),1)</f>
        <v>1</v>
      </c>
      <c r="P211" s="73">
        <f>IF(M211=$A$1,1,$M211-INDEX(MappingTables!$E$4:$E$8,MATCH(O211,MappingTables!$B$4:$B$8,0)))</f>
        <v>2.9180451468412444</v>
      </c>
      <c r="Q211" s="71">
        <f>IF(B211="",0,INDEX(ModelParameters!$D$6:$K$10,MATCH($O211,ModelParameters!$B$6:$B$10,0),MATCH($J211,ModelParameters!$D$5:$K$5,0)))</f>
        <v>0.025</v>
      </c>
      <c r="R211" s="71">
        <f>IF(B211="",0,INDEX(ModelParameters!$D$13:$K$17,MATCH($O211,ModelParameters!$B$13:$B$17,0),MATCH($J211,ModelParameters!$D$5:$K$5,0)))</f>
        <v>0</v>
      </c>
      <c r="S211" s="160">
        <f>IF(B211="",0,MIN(IF($N211="Other Bond TM",ModelParameters!$N$21,1)*(P211*Q211+R211),1))</f>
        <v>0.072951128671031104</v>
      </c>
      <c r="T211" s="85">
        <f>IF(B211="",0,$S211*$K211)</f>
        <v>5860.283891455856</v>
      </c>
      <c r="U211" s="85">
        <f>IF(B211="",0,IF(OR(H211=MappingTables!$C$34,H211=MappingTables!$C$35),T211,0))</f>
        <v>0</v>
      </c>
      <c r="V211" s="85">
        <f>IF(ISNA(IF(AND(VLOOKUP(CONCATENATE($D211,$G211),CSRFinput!$B:$E,4,0)=0,OR(H211=MappingTables!$C$34,H211=MappingTables!$C$35)),1,VLOOKUP(CONCATENATE($D211,$G211),CSRFinput!$B:$E,4,0))),0,IF(AND(VLOOKUP(CONCATENATE($D211,$G211),CSRFinput!$B:$E,4,0)=0,OR(H211=MappingTables!$C$34,H211=MappingTables!$C$35)),1,VLOOKUP(CONCATENATE($D211,$G211),CSRFinput!$B:$E,4,0)))</f>
        <v>0.054776304963434752</v>
      </c>
      <c r="W211" s="85">
        <f>IF(B211="",0,+$T211*$V211)</f>
        <v>321.00469761069012</v>
      </c>
      <c r="X211" s="85">
        <f>IF(B211="",0,IF(OR(H211=MappingTables!$C$34,H211=MappingTables!$C$35),W211,0))</f>
        <v>0</v>
      </c>
    </row>
    <row r="212" spans="2:24" s="0" customFormat="0" ht="15">
      <c r="B212" s="69" t="s">
        <v>435</v>
      </c>
      <c r="C212" s="70" t="s">
        <v>436</v>
      </c>
      <c r="D212" s="70" t="s">
        <v>1</v>
      </c>
      <c r="E212" s="70" t="s">
        <v>1</v>
      </c>
      <c r="F212" s="70"/>
      <c r="G212" s="70" t="s">
        <v>61</v>
      </c>
      <c r="H212" s="70" t="s">
        <v>178</v>
      </c>
      <c r="I212" s="70" t="s">
        <v>184</v>
      </c>
      <c r="J212" s="71">
        <f>IF(OR(I212=0,I212=""),"unrated",VLOOKUP(I212,MappingTables!$B$19:$C$31,2,FALSE))</f>
        <v>5</v>
      </c>
      <c r="K212" s="72">
        <v>560.8172435025476</v>
      </c>
      <c r="L212" s="70">
        <v>5.0543161342536616</v>
      </c>
      <c r="M212" s="71">
        <f>IF(L212&lt;1,1,L212)</f>
        <v>5.0543161342536616</v>
      </c>
      <c r="N212" s="70" t="s">
        <v>141</v>
      </c>
      <c r="O212" s="71">
        <f>INDEX(DurClassMapping,MATCH(M212,MappingTables!$D$4:$D$8,-1),1)</f>
        <v>2</v>
      </c>
      <c r="P212" s="73">
        <f>IF(M212=$A$1,1,$M212-INDEX(MappingTables!$E$4:$E$8,MATCH(O212,MappingTables!$B$4:$B$8,0)))</f>
        <v>0.054316134253661552</v>
      </c>
      <c r="Q212" s="71">
        <f>IF(B212="",0,INDEX(ModelParameters!$D$6:$K$10,MATCH($O212,ModelParameters!$B$6:$B$10,0),MATCH($J212,ModelParameters!$D$5:$K$5,0)))</f>
        <v>0.042</v>
      </c>
      <c r="R212" s="71">
        <f>IF(B212="",0,INDEX(ModelParameters!$D$13:$K$17,MATCH($O212,ModelParameters!$B$13:$B$17,0),MATCH($J212,ModelParameters!$D$5:$K$5,0)))</f>
        <v>0.375</v>
      </c>
      <c r="S212" s="160">
        <f>IF(B212="",0,MIN(IF($N212="Other Bond TM",ModelParameters!$N$21,1)*(P212*Q212+R212),1))</f>
        <v>0.37728127763865376</v>
      </c>
      <c r="T212" s="85">
        <f>IF(B212="",0,$S212*$K212)</f>
        <v>211.58584615042916</v>
      </c>
      <c r="U212" s="85">
        <f>IF(B212="",0,IF(OR(H212=MappingTables!$C$34,H212=MappingTables!$C$35),T212,0))</f>
        <v>0</v>
      </c>
      <c r="V212" s="85">
        <f>IF(ISNA(IF(AND(VLOOKUP(CONCATENATE($D212,$G212),CSRFinput!$B:$E,4,0)=0,OR(H212=MappingTables!$C$34,H212=MappingTables!$C$35)),1,VLOOKUP(CONCATENATE($D212,$G212),CSRFinput!$B:$E,4,0))),0,IF(AND(VLOOKUP(CONCATENATE($D212,$G212),CSRFinput!$B:$E,4,0)=0,OR(H212=MappingTables!$C$34,H212=MappingTables!$C$35)),1,VLOOKUP(CONCATENATE($D212,$G212),CSRFinput!$B:$E,4,0)))</f>
        <v>0.054776304963434752</v>
      </c>
      <c r="W212" s="85">
        <f>IF(B212="",0,+$T212*$V212)</f>
        <v>11.589890834682296</v>
      </c>
      <c r="X212" s="85">
        <f>IF(B212="",0,IF(OR(H212=MappingTables!$C$34,H212=MappingTables!$C$35),W212,0))</f>
        <v>0</v>
      </c>
    </row>
    <row r="213" spans="2:24" s="0" customFormat="0" ht="15">
      <c r="B213" s="69" t="s">
        <v>437</v>
      </c>
      <c r="C213" s="70" t="s">
        <v>438</v>
      </c>
      <c r="D213" s="70" t="s">
        <v>1</v>
      </c>
      <c r="E213" s="70" t="s">
        <v>1</v>
      </c>
      <c r="F213" s="70"/>
      <c r="G213" s="70" t="s">
        <v>61</v>
      </c>
      <c r="H213" s="70" t="s">
        <v>178</v>
      </c>
      <c r="I213" s="70" t="s">
        <v>181</v>
      </c>
      <c r="J213" s="71">
        <f>IF(OR(I213=0,I213=""),"unrated",VLOOKUP(I213,MappingTables!$B$19:$C$31,2,FALSE))</f>
        <v>3</v>
      </c>
      <c r="K213" s="72">
        <v>37.383037385231912</v>
      </c>
      <c r="L213" s="70">
        <v>0.021922783182715008</v>
      </c>
      <c r="M213" s="71">
        <f>IF(L213&lt;1,1,L213)</f>
        <v>1</v>
      </c>
      <c r="N213" s="70" t="s">
        <v>141</v>
      </c>
      <c r="O213" s="71">
        <f>INDEX(DurClassMapping,MATCH(M213,MappingTables!$D$4:$D$8,-1),1)</f>
        <v>1</v>
      </c>
      <c r="P213" s="73">
        <f>IF(M213=$A$1,1,$M213-INDEX(MappingTables!$E$4:$E$8,MATCH(O213,MappingTables!$B$4:$B$8,0)))</f>
        <v>1</v>
      </c>
      <c r="Q213" s="71">
        <f>IF(B213="",0,INDEX(ModelParameters!$D$6:$K$10,MATCH($O213,ModelParameters!$B$6:$B$10,0),MATCH($J213,ModelParameters!$D$5:$K$5,0)))</f>
        <v>0.025</v>
      </c>
      <c r="R213" s="71">
        <f>IF(B213="",0,INDEX(ModelParameters!$D$13:$K$17,MATCH($O213,ModelParameters!$B$13:$B$17,0),MATCH($J213,ModelParameters!$D$5:$K$5,0)))</f>
        <v>0</v>
      </c>
      <c r="S213" s="160">
        <f>IF(B213="",0,MIN(IF($N213="Other Bond TM",ModelParameters!$N$21,1)*(P213*Q213+R213),1))</f>
        <v>0.025</v>
      </c>
      <c r="T213" s="85">
        <f>IF(B213="",0,$S213*$K213)</f>
        <v>0.93457593463079792</v>
      </c>
      <c r="U213" s="85">
        <f>IF(B213="",0,IF(OR(H213=MappingTables!$C$34,H213=MappingTables!$C$35),T213,0))</f>
        <v>0</v>
      </c>
      <c r="V213" s="85">
        <f>IF(ISNA(IF(AND(VLOOKUP(CONCATENATE($D213,$G213),CSRFinput!$B:$E,4,0)=0,OR(H213=MappingTables!$C$34,H213=MappingTables!$C$35)),1,VLOOKUP(CONCATENATE($D213,$G213),CSRFinput!$B:$E,4,0))),0,IF(AND(VLOOKUP(CONCATENATE($D213,$G213),CSRFinput!$B:$E,4,0)=0,OR(H213=MappingTables!$C$34,H213=MappingTables!$C$35)),1,VLOOKUP(CONCATENATE($D213,$G213),CSRFinput!$B:$E,4,0)))</f>
        <v>0.054776304963434752</v>
      </c>
      <c r="W213" s="85">
        <f>IF(B213="",0,+$T213*$V213)</f>
        <v>0.051192616406823648</v>
      </c>
      <c r="X213" s="85">
        <f>IF(B213="",0,IF(OR(H213=MappingTables!$C$34,H213=MappingTables!$C$35),W213,0))</f>
        <v>0</v>
      </c>
    </row>
    <row r="214" spans="2:24" s="0" customFormat="0" ht="15">
      <c r="B214" s="69">
        <v>22664656</v>
      </c>
      <c r="C214" s="70" t="s">
        <v>439</v>
      </c>
      <c r="D214" s="70" t="s">
        <v>1</v>
      </c>
      <c r="E214" s="70" t="s">
        <v>1</v>
      </c>
      <c r="F214" s="70"/>
      <c r="G214" s="70" t="s">
        <v>61</v>
      </c>
      <c r="H214" s="70" t="s">
        <v>178</v>
      </c>
      <c r="I214" s="70" t="s">
        <v>181</v>
      </c>
      <c r="J214" s="71">
        <f>IF(OR(I214=0,I214=""),"unrated",VLOOKUP(I214,MappingTables!$B$19:$C$31,2,FALSE))</f>
        <v>3</v>
      </c>
      <c r="K214" s="72">
        <v>11870.541733346598</v>
      </c>
      <c r="L214" s="70">
        <v>8.1243019720406208</v>
      </c>
      <c r="M214" s="71">
        <f>IF(L214&lt;1,1,L214)</f>
        <v>8.1243019720406208</v>
      </c>
      <c r="N214" s="70" t="s">
        <v>141</v>
      </c>
      <c r="O214" s="71">
        <f>INDEX(DurClassMapping,MATCH(M214,MappingTables!$D$4:$D$8,-1),1)</f>
        <v>2</v>
      </c>
      <c r="P214" s="73">
        <f>IF(M214=$A$1,1,$M214-INDEX(MappingTables!$E$4:$E$8,MATCH(O214,MappingTables!$B$4:$B$8,0)))</f>
        <v>3.1243019720406212</v>
      </c>
      <c r="Q214" s="71">
        <f>IF(B214="",0,INDEX(ModelParameters!$D$6:$K$10,MATCH($O214,ModelParameters!$B$6:$B$10,0),MATCH($J214,ModelParameters!$D$5:$K$5,0)))</f>
        <v>0.015</v>
      </c>
      <c r="R214" s="71">
        <f>IF(B214="",0,INDEX(ModelParameters!$D$13:$K$17,MATCH($O214,ModelParameters!$B$13:$B$17,0),MATCH($J214,ModelParameters!$D$5:$K$5,0)))</f>
        <v>0.125</v>
      </c>
      <c r="S214" s="160">
        <f>IF(B214="",0,MIN(IF($N214="Other Bond TM",ModelParameters!$N$21,1)*(P214*Q214+R214),1))</f>
        <v>0.17186452958060932</v>
      </c>
      <c r="T214" s="85">
        <f>IF(B214="",0,$S214*$K214)</f>
        <v>2040.125070868604</v>
      </c>
      <c r="U214" s="85">
        <f>IF(B214="",0,IF(OR(H214=MappingTables!$C$34,H214=MappingTables!$C$35),T214,0))</f>
        <v>0</v>
      </c>
      <c r="V214" s="85">
        <f>IF(ISNA(IF(AND(VLOOKUP(CONCATENATE($D214,$G214),CSRFinput!$B:$E,4,0)=0,OR(H214=MappingTables!$C$34,H214=MappingTables!$C$35)),1,VLOOKUP(CONCATENATE($D214,$G214),CSRFinput!$B:$E,4,0))),0,IF(AND(VLOOKUP(CONCATENATE($D214,$G214),CSRFinput!$B:$E,4,0)=0,OR(H214=MappingTables!$C$34,H214=MappingTables!$C$35)),1,VLOOKUP(CONCATENATE($D214,$G214),CSRFinput!$B:$E,4,0)))</f>
        <v>0.054776304963434752</v>
      </c>
      <c r="W214" s="85">
        <f>IF(B214="",0,+$T214*$V214)</f>
        <v>111.7505130454476</v>
      </c>
      <c r="X214" s="85">
        <f>IF(B214="",0,IF(OR(H214=MappingTables!$C$34,H214=MappingTables!$C$35),W214,0))</f>
        <v>0</v>
      </c>
    </row>
    <row r="215" spans="2:24" s="0" customFormat="0" ht="15">
      <c r="B215" s="69">
        <v>12200157</v>
      </c>
      <c r="C215" s="70" t="s">
        <v>440</v>
      </c>
      <c r="D215" s="70" t="s">
        <v>1</v>
      </c>
      <c r="E215" s="70" t="s">
        <v>1</v>
      </c>
      <c r="F215" s="70"/>
      <c r="G215" s="70" t="s">
        <v>61</v>
      </c>
      <c r="H215" s="70" t="s">
        <v>178</v>
      </c>
      <c r="I215" s="70" t="s">
        <v>181</v>
      </c>
      <c r="J215" s="71">
        <f>IF(OR(I215=0,I215=""),"unrated",VLOOKUP(I215,MappingTables!$B$19:$C$31,2,FALSE))</f>
        <v>3</v>
      </c>
      <c r="K215" s="72">
        <v>456.67662895402568</v>
      </c>
      <c r="L215" s="70">
        <v>0.45685017412281088</v>
      </c>
      <c r="M215" s="71">
        <f>IF(L215&lt;1,1,L215)</f>
        <v>1</v>
      </c>
      <c r="N215" s="70" t="s">
        <v>141</v>
      </c>
      <c r="O215" s="71">
        <f>INDEX(DurClassMapping,MATCH(M215,MappingTables!$D$4:$D$8,-1),1)</f>
        <v>1</v>
      </c>
      <c r="P215" s="73">
        <f>IF(M215=$A$1,1,$M215-INDEX(MappingTables!$E$4:$E$8,MATCH(O215,MappingTables!$B$4:$B$8,0)))</f>
        <v>1</v>
      </c>
      <c r="Q215" s="71">
        <f>IF(B215="",0,INDEX(ModelParameters!$D$6:$K$10,MATCH($O215,ModelParameters!$B$6:$B$10,0),MATCH($J215,ModelParameters!$D$5:$K$5,0)))</f>
        <v>0.025</v>
      </c>
      <c r="R215" s="71">
        <f>IF(B215="",0,INDEX(ModelParameters!$D$13:$K$17,MATCH($O215,ModelParameters!$B$13:$B$17,0),MATCH($J215,ModelParameters!$D$5:$K$5,0)))</f>
        <v>0</v>
      </c>
      <c r="S215" s="160">
        <f>IF(B215="",0,MIN(IF($N215="Other Bond TM",ModelParameters!$N$21,1)*(P215*Q215+R215),1))</f>
        <v>0.025</v>
      </c>
      <c r="T215" s="85">
        <f>IF(B215="",0,$S215*$K215)</f>
        <v>11.416915723850642</v>
      </c>
      <c r="U215" s="85">
        <f>IF(B215="",0,IF(OR(H215=MappingTables!$C$34,H215=MappingTables!$C$35),T215,0))</f>
        <v>0</v>
      </c>
      <c r="V215" s="85">
        <f>IF(ISNA(IF(AND(VLOOKUP(CONCATENATE($D215,$G215),CSRFinput!$B:$E,4,0)=0,OR(H215=MappingTables!$C$34,H215=MappingTables!$C$35)),1,VLOOKUP(CONCATENATE($D215,$G215),CSRFinput!$B:$E,4,0))),0,IF(AND(VLOOKUP(CONCATENATE($D215,$G215),CSRFinput!$B:$E,4,0)=0,OR(H215=MappingTables!$C$34,H215=MappingTables!$C$35)),1,VLOOKUP(CONCATENATE($D215,$G215),CSRFinput!$B:$E,4,0)))</f>
        <v>0.054776304963434752</v>
      </c>
      <c r="W215" s="85">
        <f>IF(B215="",0,+$T215*$V215)</f>
        <v>0.62537645743147632</v>
      </c>
      <c r="X215" s="85">
        <f>IF(B215="",0,IF(OR(H215=MappingTables!$C$34,H215=MappingTables!$C$35),W215,0))</f>
        <v>0</v>
      </c>
    </row>
    <row r="216" spans="2:24" s="0" customFormat="0" ht="15">
      <c r="B216" s="69">
        <v>7734423</v>
      </c>
      <c r="C216" s="70" t="s">
        <v>441</v>
      </c>
      <c r="D216" s="70" t="s">
        <v>1</v>
      </c>
      <c r="E216" s="70" t="s">
        <v>1</v>
      </c>
      <c r="F216" s="70"/>
      <c r="G216" s="70" t="s">
        <v>61</v>
      </c>
      <c r="H216" s="70" t="s">
        <v>178</v>
      </c>
      <c r="I216" s="70" t="s">
        <v>188</v>
      </c>
      <c r="J216" s="71">
        <f>IF(OR(I216=0,I216=""),"unrated",VLOOKUP(I216,MappingTables!$B$19:$C$31,2,FALSE))</f>
        <v>2</v>
      </c>
      <c r="K216" s="72">
        <v>4.491946577577452</v>
      </c>
      <c r="L216" s="70">
        <v>0.084930996340568672</v>
      </c>
      <c r="M216" s="71">
        <f>IF(L216&lt;1,1,L216)</f>
        <v>1</v>
      </c>
      <c r="N216" s="70" t="s">
        <v>141</v>
      </c>
      <c r="O216" s="71">
        <f>INDEX(DurClassMapping,MATCH(M216,MappingTables!$D$4:$D$8,-1),1)</f>
        <v>1</v>
      </c>
      <c r="P216" s="73">
        <f>IF(M216=$A$1,1,$M216-INDEX(MappingTables!$E$4:$E$8,MATCH(O216,MappingTables!$B$4:$B$8,0)))</f>
        <v>1</v>
      </c>
      <c r="Q216" s="71">
        <f>IF(B216="",0,INDEX(ModelParameters!$D$6:$K$10,MATCH($O216,ModelParameters!$B$6:$B$10,0),MATCH($J216,ModelParameters!$D$5:$K$5,0)))</f>
        <v>0.013999999999999998</v>
      </c>
      <c r="R216" s="71">
        <f>IF(B216="",0,INDEX(ModelParameters!$D$13:$K$17,MATCH($O216,ModelParameters!$B$13:$B$17,0),MATCH($J216,ModelParameters!$D$5:$K$5,0)))</f>
        <v>0</v>
      </c>
      <c r="S216" s="160">
        <f>IF(B216="",0,MIN(IF($N216="Other Bond TM",ModelParameters!$N$21,1)*(P216*Q216+R216),1))</f>
        <v>0.013999999999999998</v>
      </c>
      <c r="T216" s="85">
        <f>IF(B216="",0,$S216*$K216)</f>
        <v>0.062887252086084328</v>
      </c>
      <c r="U216" s="85">
        <f>IF(B216="",0,IF(OR(H216=MappingTables!$C$34,H216=MappingTables!$C$35),T216,0))</f>
        <v>0</v>
      </c>
      <c r="V216" s="85">
        <f>IF(ISNA(IF(AND(VLOOKUP(CONCATENATE($D216,$G216),CSRFinput!$B:$E,4,0)=0,OR(H216=MappingTables!$C$34,H216=MappingTables!$C$35)),1,VLOOKUP(CONCATENATE($D216,$G216),CSRFinput!$B:$E,4,0))),0,IF(AND(VLOOKUP(CONCATENATE($D216,$G216),CSRFinput!$B:$E,4,0)=0,OR(H216=MappingTables!$C$34,H216=MappingTables!$C$35)),1,VLOOKUP(CONCATENATE($D216,$G216),CSRFinput!$B:$E,4,0)))</f>
        <v>0.054776304963434752</v>
      </c>
      <c r="W216" s="85">
        <f>IF(B216="",0,+$T216*$V216)</f>
        <v>0.0034447312985797532</v>
      </c>
      <c r="X216" s="85">
        <f>IF(B216="",0,IF(OR(H216=MappingTables!$C$34,H216=MappingTables!$C$35),W216,0))</f>
        <v>0</v>
      </c>
    </row>
    <row r="217" spans="2:24" s="0" customFormat="0" ht="15">
      <c r="B217" s="69">
        <v>8432966</v>
      </c>
      <c r="C217" s="70" t="s">
        <v>442</v>
      </c>
      <c r="D217" s="70" t="s">
        <v>1</v>
      </c>
      <c r="E217" s="70" t="s">
        <v>1</v>
      </c>
      <c r="F217" s="70"/>
      <c r="G217" s="70" t="s">
        <v>61</v>
      </c>
      <c r="H217" s="70" t="s">
        <v>178</v>
      </c>
      <c r="I217" s="70" t="s">
        <v>181</v>
      </c>
      <c r="J217" s="71">
        <f>IF(OR(I217=0,I217=""),"unrated",VLOOKUP(I217,MappingTables!$B$19:$C$31,2,FALSE))</f>
        <v>3</v>
      </c>
      <c r="K217" s="72">
        <v>420.1823896608824</v>
      </c>
      <c r="L217" s="70">
        <v>3.2850119192201384</v>
      </c>
      <c r="M217" s="71">
        <f>IF(L217&lt;1,1,L217)</f>
        <v>3.2850119192201384</v>
      </c>
      <c r="N217" s="70" t="s">
        <v>141</v>
      </c>
      <c r="O217" s="71">
        <f>INDEX(DurClassMapping,MATCH(M217,MappingTables!$D$4:$D$8,-1),1)</f>
        <v>1</v>
      </c>
      <c r="P217" s="73">
        <f>IF(M217=$A$1,1,$M217-INDEX(MappingTables!$E$4:$E$8,MATCH(O217,MappingTables!$B$4:$B$8,0)))</f>
        <v>3.2850119192201384</v>
      </c>
      <c r="Q217" s="71">
        <f>IF(B217="",0,INDEX(ModelParameters!$D$6:$K$10,MATCH($O217,ModelParameters!$B$6:$B$10,0),MATCH($J217,ModelParameters!$D$5:$K$5,0)))</f>
        <v>0.025</v>
      </c>
      <c r="R217" s="71">
        <f>IF(B217="",0,INDEX(ModelParameters!$D$13:$K$17,MATCH($O217,ModelParameters!$B$13:$B$17,0),MATCH($J217,ModelParameters!$D$5:$K$5,0)))</f>
        <v>0</v>
      </c>
      <c r="S217" s="160">
        <f>IF(B217="",0,MIN(IF($N217="Other Bond TM",ModelParameters!$N$21,1)*(P217*Q217+R217),1))</f>
        <v>0.082125297980503472</v>
      </c>
      <c r="T217" s="85">
        <f>IF(B217="",0,$S217*$K217)</f>
        <v>34.507603957059984</v>
      </c>
      <c r="U217" s="85">
        <f>IF(B217="",0,IF(OR(H217=MappingTables!$C$34,H217=MappingTables!$C$35),T217,0))</f>
        <v>0</v>
      </c>
      <c r="V217" s="85">
        <f>IF(ISNA(IF(AND(VLOOKUP(CONCATENATE($D217,$G217),CSRFinput!$B:$E,4,0)=0,OR(H217=MappingTables!$C$34,H217=MappingTables!$C$35)),1,VLOOKUP(CONCATENATE($D217,$G217),CSRFinput!$B:$E,4,0))),0,IF(AND(VLOOKUP(CONCATENATE($D217,$G217),CSRFinput!$B:$E,4,0)=0,OR(H217=MappingTables!$C$34,H217=MappingTables!$C$35)),1,VLOOKUP(CONCATENATE($D217,$G217),CSRFinput!$B:$E,4,0)))</f>
        <v>0.054776304963434752</v>
      </c>
      <c r="W217" s="85">
        <f>IF(B217="",0,+$T217*$V217)</f>
        <v>1.8901990379093456</v>
      </c>
      <c r="X217" s="85">
        <f>IF(B217="",0,IF(OR(H217=MappingTables!$C$34,H217=MappingTables!$C$35),W217,0))</f>
        <v>0</v>
      </c>
    </row>
    <row r="218" spans="2:24" s="0" customFormat="0" ht="15">
      <c r="B218" s="69" t="s">
        <v>443</v>
      </c>
      <c r="C218" s="70" t="s">
        <v>444</v>
      </c>
      <c r="D218" s="70" t="s">
        <v>1</v>
      </c>
      <c r="E218" s="70" t="s">
        <v>1</v>
      </c>
      <c r="F218" s="70"/>
      <c r="G218" s="70" t="s">
        <v>61</v>
      </c>
      <c r="H218" s="70" t="s">
        <v>178</v>
      </c>
      <c r="I218" s="70" t="s">
        <v>198</v>
      </c>
      <c r="J218" s="71" t="str">
        <f>IF(OR(I218=0,I218=""),"unrated",VLOOKUP(I218,MappingTables!$B$19:$C$31,2,FALSE))</f>
        <v>unrated</v>
      </c>
      <c r="K218" s="72">
        <v>9696.8990165221888</v>
      </c>
      <c r="L218" s="70">
        <v>5.9742812140366744</v>
      </c>
      <c r="M218" s="71">
        <f>IF(L218&lt;1,1,L218)</f>
        <v>5.9742812140366744</v>
      </c>
      <c r="N218" s="70" t="s">
        <v>141</v>
      </c>
      <c r="O218" s="71">
        <f>INDEX(DurClassMapping,MATCH(M218,MappingTables!$D$4:$D$8,-1),1)</f>
        <v>2</v>
      </c>
      <c r="P218" s="73">
        <f>IF(M218=$A$1,1,$M218-INDEX(MappingTables!$E$4:$E$8,MATCH(O218,MappingTables!$B$4:$B$8,0)))</f>
        <v>0.97428121403667408</v>
      </c>
      <c r="Q218" s="71">
        <f>IF(B218="",0,INDEX(ModelParameters!$D$6:$K$10,MATCH($O218,ModelParameters!$B$6:$B$10,0),MATCH($J218,ModelParameters!$D$5:$K$5,0)))</f>
        <v>0.017000000000000002</v>
      </c>
      <c r="R218" s="71">
        <f>IF(B218="",0,INDEX(ModelParameters!$D$13:$K$17,MATCH($O218,ModelParameters!$B$13:$B$17,0),MATCH($J218,ModelParameters!$D$5:$K$5,0)))</f>
        <v>0.15</v>
      </c>
      <c r="S218" s="160">
        <f>IF(B218="",0,MIN(IF($N218="Other Bond TM",ModelParameters!$N$21,1)*(P218*Q218+R218),1))</f>
        <v>0.16656278063862346</v>
      </c>
      <c r="T218" s="85">
        <f>IF(B218="",0,$S218*$K218)</f>
        <v>1615.142463763869</v>
      </c>
      <c r="U218" s="85">
        <f>IF(B218="",0,IF(OR(H218=MappingTables!$C$34,H218=MappingTables!$C$35),T218,0))</f>
        <v>0</v>
      </c>
      <c r="V218" s="85">
        <f>IF(ISNA(IF(AND(VLOOKUP(CONCATENATE($D218,$G218),CSRFinput!$B:$E,4,0)=0,OR(H218=MappingTables!$C$34,H218=MappingTables!$C$35)),1,VLOOKUP(CONCATENATE($D218,$G218),CSRFinput!$B:$E,4,0))),0,IF(AND(VLOOKUP(CONCATENATE($D218,$G218),CSRFinput!$B:$E,4,0)=0,OR(H218=MappingTables!$C$34,H218=MappingTables!$C$35)),1,VLOOKUP(CONCATENATE($D218,$G218),CSRFinput!$B:$E,4,0)))</f>
        <v>0.054776304963434752</v>
      </c>
      <c r="W218" s="85">
        <f>IF(B218="",0,+$T218*$V218)</f>
        <v>88.471536154523056</v>
      </c>
      <c r="X218" s="85">
        <f>IF(B218="",0,IF(OR(H218=MappingTables!$C$34,H218=MappingTables!$C$35),W218,0))</f>
        <v>0</v>
      </c>
    </row>
    <row r="219" spans="2:24" s="0" customFormat="0" ht="15">
      <c r="B219" s="69" t="s">
        <v>445</v>
      </c>
      <c r="C219" s="70" t="s">
        <v>446</v>
      </c>
      <c r="D219" s="70" t="s">
        <v>1</v>
      </c>
      <c r="E219" s="70" t="s">
        <v>1</v>
      </c>
      <c r="F219" s="70"/>
      <c r="G219" s="70" t="s">
        <v>61</v>
      </c>
      <c r="H219" s="70" t="s">
        <v>178</v>
      </c>
      <c r="I219" s="70" t="s">
        <v>181</v>
      </c>
      <c r="J219" s="71">
        <f>IF(OR(I219=0,I219=""),"unrated",VLOOKUP(I219,MappingTables!$B$19:$C$31,2,FALSE))</f>
        <v>3</v>
      </c>
      <c r="K219" s="72">
        <v>1.1674817571708298</v>
      </c>
      <c r="L219" s="70">
        <v>2.0451409005327584</v>
      </c>
      <c r="M219" s="71">
        <f>IF(L219&lt;1,1,L219)</f>
        <v>2.0451409005327584</v>
      </c>
      <c r="N219" s="70" t="s">
        <v>141</v>
      </c>
      <c r="O219" s="71">
        <f>INDEX(DurClassMapping,MATCH(M219,MappingTables!$D$4:$D$8,-1),1)</f>
        <v>1</v>
      </c>
      <c r="P219" s="73">
        <f>IF(M219=$A$1,1,$M219-INDEX(MappingTables!$E$4:$E$8,MATCH(O219,MappingTables!$B$4:$B$8,0)))</f>
        <v>2.0451409005327584</v>
      </c>
      <c r="Q219" s="71">
        <f>IF(B219="",0,INDEX(ModelParameters!$D$6:$K$10,MATCH($O219,ModelParameters!$B$6:$B$10,0),MATCH($J219,ModelParameters!$D$5:$K$5,0)))</f>
        <v>0.025</v>
      </c>
      <c r="R219" s="71">
        <f>IF(B219="",0,INDEX(ModelParameters!$D$13:$K$17,MATCH($O219,ModelParameters!$B$13:$B$17,0),MATCH($J219,ModelParameters!$D$5:$K$5,0)))</f>
        <v>0</v>
      </c>
      <c r="S219" s="160">
        <f>IF(B219="",0,MIN(IF($N219="Other Bond TM",ModelParameters!$N$21,1)*(P219*Q219+R219),1))</f>
        <v>0.051128522513318968</v>
      </c>
      <c r="T219" s="85">
        <f>IF(B219="",0,$S219*$K219)</f>
        <v>0.05969161730539796</v>
      </c>
      <c r="U219" s="85">
        <f>IF(B219="",0,IF(OR(H219=MappingTables!$C$34,H219=MappingTables!$C$35),T219,0))</f>
        <v>0</v>
      </c>
      <c r="V219" s="85">
        <f>IF(ISNA(IF(AND(VLOOKUP(CONCATENATE($D219,$G219),CSRFinput!$B:$E,4,0)=0,OR(H219=MappingTables!$C$34,H219=MappingTables!$C$35)),1,VLOOKUP(CONCATENATE($D219,$G219),CSRFinput!$B:$E,4,0))),0,IF(AND(VLOOKUP(CONCATENATE($D219,$G219),CSRFinput!$B:$E,4,0)=0,OR(H219=MappingTables!$C$34,H219=MappingTables!$C$35)),1,VLOOKUP(CONCATENATE($D219,$G219),CSRFinput!$B:$E,4,0)))</f>
        <v>0.054776304963434752</v>
      </c>
      <c r="W219" s="85">
        <f>IF(B219="",0,+$T219*$V219)</f>
        <v>0.003269686233281118</v>
      </c>
      <c r="X219" s="85">
        <f>IF(B219="",0,IF(OR(H219=MappingTables!$C$34,H219=MappingTables!$C$35),W219,0))</f>
        <v>0</v>
      </c>
    </row>
    <row r="220" spans="2:24" s="0" customFormat="0" ht="15">
      <c r="B220" s="69">
        <v>21236159</v>
      </c>
      <c r="C220" s="70" t="s">
        <v>447</v>
      </c>
      <c r="D220" s="70" t="s">
        <v>1</v>
      </c>
      <c r="E220" s="70" t="s">
        <v>1</v>
      </c>
      <c r="F220" s="70"/>
      <c r="G220" s="70" t="s">
        <v>61</v>
      </c>
      <c r="H220" s="70" t="s">
        <v>178</v>
      </c>
      <c r="I220" s="70" t="s">
        <v>184</v>
      </c>
      <c r="J220" s="71">
        <f>IF(OR(I220=0,I220=""),"unrated",VLOOKUP(I220,MappingTables!$B$19:$C$31,2,FALSE))</f>
        <v>5</v>
      </c>
      <c r="K220" s="72">
        <v>23921.507074045132</v>
      </c>
      <c r="L220" s="70">
        <v>0.96833912216146896</v>
      </c>
      <c r="M220" s="71">
        <f>IF(L220&lt;1,1,L220)</f>
        <v>1</v>
      </c>
      <c r="N220" s="70" t="s">
        <v>141</v>
      </c>
      <c r="O220" s="71">
        <f>INDEX(DurClassMapping,MATCH(M220,MappingTables!$D$4:$D$8,-1),1)</f>
        <v>1</v>
      </c>
      <c r="P220" s="73">
        <f>IF(M220=$A$1,1,$M220-INDEX(MappingTables!$E$4:$E$8,MATCH(O220,MappingTables!$B$4:$B$8,0)))</f>
        <v>1</v>
      </c>
      <c r="Q220" s="71">
        <f>IF(B220="",0,INDEX(ModelParameters!$D$6:$K$10,MATCH($O220,ModelParameters!$B$6:$B$10,0),MATCH($J220,ModelParameters!$D$5:$K$5,0)))</f>
        <v>0.075</v>
      </c>
      <c r="R220" s="71">
        <f>IF(B220="",0,INDEX(ModelParameters!$D$13:$K$17,MATCH($O220,ModelParameters!$B$13:$B$17,0),MATCH($J220,ModelParameters!$D$5:$K$5,0)))</f>
        <v>0</v>
      </c>
      <c r="S220" s="160">
        <f>IF(B220="",0,MIN(IF($N220="Other Bond TM",ModelParameters!$N$21,1)*(P220*Q220+R220),1))</f>
        <v>0.075</v>
      </c>
      <c r="T220" s="85">
        <f>IF(B220="",0,$S220*$K220)</f>
        <v>1794.113030553385</v>
      </c>
      <c r="U220" s="85">
        <f>IF(B220="",0,IF(OR(H220=MappingTables!$C$34,H220=MappingTables!$C$35),T220,0))</f>
        <v>0</v>
      </c>
      <c r="V220" s="85">
        <f>IF(ISNA(IF(AND(VLOOKUP(CONCATENATE($D220,$G220),CSRFinput!$B:$E,4,0)=0,OR(H220=MappingTables!$C$34,H220=MappingTables!$C$35)),1,VLOOKUP(CONCATENATE($D220,$G220),CSRFinput!$B:$E,4,0))),0,IF(AND(VLOOKUP(CONCATENATE($D220,$G220),CSRFinput!$B:$E,4,0)=0,OR(H220=MappingTables!$C$34,H220=MappingTables!$C$35)),1,VLOOKUP(CONCATENATE($D220,$G220),CSRFinput!$B:$E,4,0)))</f>
        <v>0.054776304963434752</v>
      </c>
      <c r="W220" s="85">
        <f>IF(B220="",0,+$T220*$V220)</f>
        <v>98.274882500464336</v>
      </c>
      <c r="X220" s="85">
        <f>IF(B220="",0,IF(OR(H220=MappingTables!$C$34,H220=MappingTables!$C$35),W220,0))</f>
        <v>0</v>
      </c>
    </row>
    <row r="221" spans="2:24" s="0" customFormat="0" ht="15">
      <c r="B221" s="69">
        <v>16192333</v>
      </c>
      <c r="C221" s="70" t="s">
        <v>448</v>
      </c>
      <c r="D221" s="70" t="s">
        <v>1</v>
      </c>
      <c r="E221" s="70" t="s">
        <v>1</v>
      </c>
      <c r="F221" s="70"/>
      <c r="G221" s="70" t="s">
        <v>61</v>
      </c>
      <c r="H221" s="70" t="s">
        <v>178</v>
      </c>
      <c r="I221" s="70" t="s">
        <v>181</v>
      </c>
      <c r="J221" s="71">
        <f>IF(OR(I221=0,I221=""),"unrated",VLOOKUP(I221,MappingTables!$B$19:$C$31,2,FALSE))</f>
        <v>3</v>
      </c>
      <c r="K221" s="72">
        <v>28227.428463841912</v>
      </c>
      <c r="L221" s="70">
        <v>4.6114690090342296</v>
      </c>
      <c r="M221" s="71">
        <f>IF(L221&lt;1,1,L221)</f>
        <v>4.6114690090342296</v>
      </c>
      <c r="N221" s="70" t="s">
        <v>141</v>
      </c>
      <c r="O221" s="71">
        <f>INDEX(DurClassMapping,MATCH(M221,MappingTables!$D$4:$D$8,-1),1)</f>
        <v>1</v>
      </c>
      <c r="P221" s="73">
        <f>IF(M221=$A$1,1,$M221-INDEX(MappingTables!$E$4:$E$8,MATCH(O221,MappingTables!$B$4:$B$8,0)))</f>
        <v>4.6114690090342296</v>
      </c>
      <c r="Q221" s="71">
        <f>IF(B221="",0,INDEX(ModelParameters!$D$6:$K$10,MATCH($O221,ModelParameters!$B$6:$B$10,0),MATCH($J221,ModelParameters!$D$5:$K$5,0)))</f>
        <v>0.025</v>
      </c>
      <c r="R221" s="71">
        <f>IF(B221="",0,INDEX(ModelParameters!$D$13:$K$17,MATCH($O221,ModelParameters!$B$13:$B$17,0),MATCH($J221,ModelParameters!$D$5:$K$5,0)))</f>
        <v>0</v>
      </c>
      <c r="S221" s="160">
        <f>IF(B221="",0,MIN(IF($N221="Other Bond TM",ModelParameters!$N$21,1)*(P221*Q221+R221),1))</f>
        <v>0.11528672522585576</v>
      </c>
      <c r="T221" s="85">
        <f>IF(B221="",0,$S221*$K221)</f>
        <v>3254.2477891434424</v>
      </c>
      <c r="U221" s="85">
        <f>IF(B221="",0,IF(OR(H221=MappingTables!$C$34,H221=MappingTables!$C$35),T221,0))</f>
        <v>0</v>
      </c>
      <c r="V221" s="85">
        <f>IF(ISNA(IF(AND(VLOOKUP(CONCATENATE($D221,$G221),CSRFinput!$B:$E,4,0)=0,OR(H221=MappingTables!$C$34,H221=MappingTables!$C$35)),1,VLOOKUP(CONCATENATE($D221,$G221),CSRFinput!$B:$E,4,0))),0,IF(AND(VLOOKUP(CONCATENATE($D221,$G221),CSRFinput!$B:$E,4,0)=0,OR(H221=MappingTables!$C$34,H221=MappingTables!$C$35)),1,VLOOKUP(CONCATENATE($D221,$G221),CSRFinput!$B:$E,4,0)))</f>
        <v>0.054776304963434752</v>
      </c>
      <c r="W221" s="85">
        <f>IF(B221="",0,+$T221*$V221)</f>
        <v>178.25566932470452</v>
      </c>
      <c r="X221" s="85">
        <f>IF(B221="",0,IF(OR(H221=MappingTables!$C$34,H221=MappingTables!$C$35),W221,0))</f>
        <v>0</v>
      </c>
    </row>
    <row r="222" spans="2:24" s="0" customFormat="0" ht="15">
      <c r="B222" s="69">
        <v>23422500</v>
      </c>
      <c r="C222" s="70" t="s">
        <v>449</v>
      </c>
      <c r="D222" s="70" t="s">
        <v>1</v>
      </c>
      <c r="E222" s="70" t="s">
        <v>1</v>
      </c>
      <c r="F222" s="70"/>
      <c r="G222" s="70" t="s">
        <v>61</v>
      </c>
      <c r="H222" s="70" t="s">
        <v>178</v>
      </c>
      <c r="I222" s="70" t="s">
        <v>181</v>
      </c>
      <c r="J222" s="71">
        <f>IF(OR(I222=0,I222=""),"unrated",VLOOKUP(I222,MappingTables!$B$19:$C$31,2,FALSE))</f>
        <v>3</v>
      </c>
      <c r="K222" s="72">
        <v>18444.645267498732</v>
      </c>
      <c r="L222" s="70">
        <v>13.939198432365244</v>
      </c>
      <c r="M222" s="71">
        <f>IF(L222&lt;1,1,L222)</f>
        <v>13.939198432365244</v>
      </c>
      <c r="N222" s="70" t="s">
        <v>141</v>
      </c>
      <c r="O222" s="71">
        <f>INDEX(DurClassMapping,MATCH(M222,MappingTables!$D$4:$D$8,-1),1)</f>
        <v>3</v>
      </c>
      <c r="P222" s="73">
        <f>IF(M222=$A$1,1,$M222-INDEX(MappingTables!$E$4:$E$8,MATCH(O222,MappingTables!$B$4:$B$8,0)))</f>
        <v>3.9391984323652432</v>
      </c>
      <c r="Q222" s="71">
        <f>IF(B222="",0,INDEX(ModelParameters!$D$6:$K$10,MATCH($O222,ModelParameters!$B$6:$B$10,0),MATCH($J222,ModelParameters!$D$5:$K$5,0)))</f>
        <v>0.01</v>
      </c>
      <c r="R222" s="71">
        <f>IF(B222="",0,INDEX(ModelParameters!$D$13:$K$17,MATCH($O222,ModelParameters!$B$13:$B$17,0),MATCH($J222,ModelParameters!$D$5:$K$5,0)))</f>
        <v>0.2</v>
      </c>
      <c r="S222" s="160">
        <f>IF(B222="",0,MIN(IF($N222="Other Bond TM",ModelParameters!$N$21,1)*(P222*Q222+R222),1))</f>
        <v>0.23939198432365244</v>
      </c>
      <c r="T222" s="85">
        <f>IF(B222="",0,$S222*$K222)</f>
        <v>4415.5002307323864</v>
      </c>
      <c r="U222" s="85">
        <f>IF(B222="",0,IF(OR(H222=MappingTables!$C$34,H222=MappingTables!$C$35),T222,0))</f>
        <v>0</v>
      </c>
      <c r="V222" s="85">
        <f>IF(ISNA(IF(AND(VLOOKUP(CONCATENATE($D222,$G222),CSRFinput!$B:$E,4,0)=0,OR(H222=MappingTables!$C$34,H222=MappingTables!$C$35)),1,VLOOKUP(CONCATENATE($D222,$G222),CSRFinput!$B:$E,4,0))),0,IF(AND(VLOOKUP(CONCATENATE($D222,$G222),CSRFinput!$B:$E,4,0)=0,OR(H222=MappingTables!$C$34,H222=MappingTables!$C$35)),1,VLOOKUP(CONCATENATE($D222,$G222),CSRFinput!$B:$E,4,0)))</f>
        <v>0.054776304963434752</v>
      </c>
      <c r="W222" s="85">
        <f>IF(B222="",0,+$T222*$V222)</f>
        <v>241.86478720471372</v>
      </c>
      <c r="X222" s="85">
        <f>IF(B222="",0,IF(OR(H222=MappingTables!$C$34,H222=MappingTables!$C$35),W222,0))</f>
        <v>0</v>
      </c>
    </row>
    <row r="223" spans="2:24" s="0" customFormat="0" ht="15">
      <c r="B223" s="69">
        <v>15524804</v>
      </c>
      <c r="C223" s="70" t="s">
        <v>450</v>
      </c>
      <c r="D223" s="70" t="s">
        <v>1</v>
      </c>
      <c r="E223" s="70" t="s">
        <v>1</v>
      </c>
      <c r="F223" s="70"/>
      <c r="G223" s="70" t="s">
        <v>61</v>
      </c>
      <c r="H223" s="70" t="s">
        <v>178</v>
      </c>
      <c r="I223" s="70" t="s">
        <v>179</v>
      </c>
      <c r="J223" s="71">
        <f>IF(OR(I223=0,I223=""),"unrated",VLOOKUP(I223,MappingTables!$B$19:$C$31,2,FALSE))</f>
        <v>4</v>
      </c>
      <c r="K223" s="72">
        <v>529.1319305966732</v>
      </c>
      <c r="L223" s="70">
        <v>1.8484433562535968</v>
      </c>
      <c r="M223" s="71">
        <f>IF(L223&lt;1,1,L223)</f>
        <v>1.8484433562535968</v>
      </c>
      <c r="N223" s="70" t="s">
        <v>141</v>
      </c>
      <c r="O223" s="71">
        <f>INDEX(DurClassMapping,MATCH(M223,MappingTables!$D$4:$D$8,-1),1)</f>
        <v>1</v>
      </c>
      <c r="P223" s="73">
        <f>IF(M223=$A$1,1,$M223-INDEX(MappingTables!$E$4:$E$8,MATCH(O223,MappingTables!$B$4:$B$8,0)))</f>
        <v>1.8484433562535968</v>
      </c>
      <c r="Q223" s="71">
        <f>IF(B223="",0,INDEX(ModelParameters!$D$6:$K$10,MATCH($O223,ModelParameters!$B$6:$B$10,0),MATCH($J223,ModelParameters!$D$5:$K$5,0)))</f>
        <v>0.045</v>
      </c>
      <c r="R223" s="71">
        <f>IF(B223="",0,INDEX(ModelParameters!$D$13:$K$17,MATCH($O223,ModelParameters!$B$13:$B$17,0),MATCH($J223,ModelParameters!$D$5:$K$5,0)))</f>
        <v>0</v>
      </c>
      <c r="S223" s="160">
        <f>IF(B223="",0,MIN(IF($N223="Other Bond TM",ModelParameters!$N$21,1)*(P223*Q223+R223),1))</f>
        <v>0.083179951031411856</v>
      </c>
      <c r="T223" s="85">
        <f>IF(B223="",0,$S223*$K223)</f>
        <v>44.013168076187696</v>
      </c>
      <c r="U223" s="85">
        <f>IF(B223="",0,IF(OR(H223=MappingTables!$C$34,H223=MappingTables!$C$35),T223,0))</f>
        <v>0</v>
      </c>
      <c r="V223" s="85">
        <f>IF(ISNA(IF(AND(VLOOKUP(CONCATENATE($D223,$G223),CSRFinput!$B:$E,4,0)=0,OR(H223=MappingTables!$C$34,H223=MappingTables!$C$35)),1,VLOOKUP(CONCATENATE($D223,$G223),CSRFinput!$B:$E,4,0))),0,IF(AND(VLOOKUP(CONCATENATE($D223,$G223),CSRFinput!$B:$E,4,0)=0,OR(H223=MappingTables!$C$34,H223=MappingTables!$C$35)),1,VLOOKUP(CONCATENATE($D223,$G223),CSRFinput!$B:$E,4,0)))</f>
        <v>0.054776304963434752</v>
      </c>
      <c r="W223" s="85">
        <f>IF(B223="",0,+$T223*$V223)</f>
        <v>2.4108787169481684</v>
      </c>
      <c r="X223" s="85">
        <f>IF(B223="",0,IF(OR(H223=MappingTables!$C$34,H223=MappingTables!$C$35),W223,0))</f>
        <v>0</v>
      </c>
    </row>
    <row r="224" spans="2:24" s="0" customFormat="0" ht="15">
      <c r="B224" s="69">
        <v>11774423</v>
      </c>
      <c r="C224" s="70" t="s">
        <v>451</v>
      </c>
      <c r="D224" s="70" t="s">
        <v>1</v>
      </c>
      <c r="E224" s="70" t="s">
        <v>1</v>
      </c>
      <c r="F224" s="70"/>
      <c r="G224" s="70" t="s">
        <v>61</v>
      </c>
      <c r="H224" s="70" t="s">
        <v>178</v>
      </c>
      <c r="I224" s="70" t="s">
        <v>188</v>
      </c>
      <c r="J224" s="71">
        <f>IF(OR(I224=0,I224=""),"unrated",VLOOKUP(I224,MappingTables!$B$19:$C$31,2,FALSE))</f>
        <v>2</v>
      </c>
      <c r="K224" s="72">
        <v>92.24883388315192</v>
      </c>
      <c r="L224" s="70">
        <v>0.1068493455091827</v>
      </c>
      <c r="M224" s="71">
        <f>IF(L224&lt;1,1,L224)</f>
        <v>1</v>
      </c>
      <c r="N224" s="70" t="s">
        <v>141</v>
      </c>
      <c r="O224" s="71">
        <f>INDEX(DurClassMapping,MATCH(M224,MappingTables!$D$4:$D$8,-1),1)</f>
        <v>1</v>
      </c>
      <c r="P224" s="73">
        <f>IF(M224=$A$1,1,$M224-INDEX(MappingTables!$E$4:$E$8,MATCH(O224,MappingTables!$B$4:$B$8,0)))</f>
        <v>1</v>
      </c>
      <c r="Q224" s="71">
        <f>IF(B224="",0,INDEX(ModelParameters!$D$6:$K$10,MATCH($O224,ModelParameters!$B$6:$B$10,0),MATCH($J224,ModelParameters!$D$5:$K$5,0)))</f>
        <v>0.013999999999999998</v>
      </c>
      <c r="R224" s="71">
        <f>IF(B224="",0,INDEX(ModelParameters!$D$13:$K$17,MATCH($O224,ModelParameters!$B$13:$B$17,0),MATCH($J224,ModelParameters!$D$5:$K$5,0)))</f>
        <v>0</v>
      </c>
      <c r="S224" s="160">
        <f>IF(B224="",0,MIN(IF($N224="Other Bond TM",ModelParameters!$N$21,1)*(P224*Q224+R224),1))</f>
        <v>0.013999999999999998</v>
      </c>
      <c r="T224" s="85">
        <f>IF(B224="",0,$S224*$K224)</f>
        <v>1.2914836743641266</v>
      </c>
      <c r="U224" s="85">
        <f>IF(B224="",0,IF(OR(H224=MappingTables!$C$34,H224=MappingTables!$C$35),T224,0))</f>
        <v>0</v>
      </c>
      <c r="V224" s="85">
        <f>IF(ISNA(IF(AND(VLOOKUP(CONCATENATE($D224,$G224),CSRFinput!$B:$E,4,0)=0,OR(H224=MappingTables!$C$34,H224=MappingTables!$C$35)),1,VLOOKUP(CONCATENATE($D224,$G224),CSRFinput!$B:$E,4,0))),0,IF(AND(VLOOKUP(CONCATENATE($D224,$G224),CSRFinput!$B:$E,4,0)=0,OR(H224=MappingTables!$C$34,H224=MappingTables!$C$35)),1,VLOOKUP(CONCATENATE($D224,$G224),CSRFinput!$B:$E,4,0)))</f>
        <v>0.054776304963434752</v>
      </c>
      <c r="W224" s="85">
        <f>IF(B224="",0,+$T224*$V224)</f>
        <v>0.070742703602266672</v>
      </c>
      <c r="X224" s="85">
        <f>IF(B224="",0,IF(OR(H224=MappingTables!$C$34,H224=MappingTables!$C$35),W224,0))</f>
        <v>0</v>
      </c>
    </row>
    <row r="225" spans="2:24" s="0" customFormat="0" ht="15">
      <c r="B225" s="69">
        <v>17089606</v>
      </c>
      <c r="C225" s="70" t="s">
        <v>452</v>
      </c>
      <c r="D225" s="70" t="s">
        <v>1</v>
      </c>
      <c r="E225" s="70" t="s">
        <v>1</v>
      </c>
      <c r="F225" s="70"/>
      <c r="G225" s="70" t="s">
        <v>61</v>
      </c>
      <c r="H225" s="70" t="s">
        <v>178</v>
      </c>
      <c r="I225" s="70" t="s">
        <v>181</v>
      </c>
      <c r="J225" s="71">
        <f>IF(OR(I225=0,I225=""),"unrated",VLOOKUP(I225,MappingTables!$B$19:$C$31,2,FALSE))</f>
        <v>3</v>
      </c>
      <c r="K225" s="72">
        <v>298.86943073360588</v>
      </c>
      <c r="L225" s="70">
        <v>6.0647306687231152</v>
      </c>
      <c r="M225" s="71">
        <f>IF(L225&lt;1,1,L225)</f>
        <v>6.0647306687231152</v>
      </c>
      <c r="N225" s="70" t="s">
        <v>141</v>
      </c>
      <c r="O225" s="71">
        <f>INDEX(DurClassMapping,MATCH(M225,MappingTables!$D$4:$D$8,-1),1)</f>
        <v>2</v>
      </c>
      <c r="P225" s="73">
        <f>IF(M225=$A$1,1,$M225-INDEX(MappingTables!$E$4:$E$8,MATCH(O225,MappingTables!$B$4:$B$8,0)))</f>
        <v>1.064730668723115</v>
      </c>
      <c r="Q225" s="71">
        <f>IF(B225="",0,INDEX(ModelParameters!$D$6:$K$10,MATCH($O225,ModelParameters!$B$6:$B$10,0),MATCH($J225,ModelParameters!$D$5:$K$5,0)))</f>
        <v>0.015</v>
      </c>
      <c r="R225" s="71">
        <f>IF(B225="",0,INDEX(ModelParameters!$D$13:$K$17,MATCH($O225,ModelParameters!$B$13:$B$17,0),MATCH($J225,ModelParameters!$D$5:$K$5,0)))</f>
        <v>0.125</v>
      </c>
      <c r="S225" s="160">
        <f>IF(B225="",0,MIN(IF($N225="Other Bond TM",ModelParameters!$N$21,1)*(P225*Q225+R225),1))</f>
        <v>0.14097096003084672</v>
      </c>
      <c r="T225" s="85">
        <f>IF(B225="",0,$S225*$K225)</f>
        <v>42.131910574389064</v>
      </c>
      <c r="U225" s="85">
        <f>IF(B225="",0,IF(OR(H225=MappingTables!$C$34,H225=MappingTables!$C$35),T225,0))</f>
        <v>0</v>
      </c>
      <c r="V225" s="85">
        <f>IF(ISNA(IF(AND(VLOOKUP(CONCATENATE($D225,$G225),CSRFinput!$B:$E,4,0)=0,OR(H225=MappingTables!$C$34,H225=MappingTables!$C$35)),1,VLOOKUP(CONCATENATE($D225,$G225),CSRFinput!$B:$E,4,0))),0,IF(AND(VLOOKUP(CONCATENATE($D225,$G225),CSRFinput!$B:$E,4,0)=0,OR(H225=MappingTables!$C$34,H225=MappingTables!$C$35)),1,VLOOKUP(CONCATENATE($D225,$G225),CSRFinput!$B:$E,4,0)))</f>
        <v>0.054776304963434752</v>
      </c>
      <c r="W225" s="85">
        <f>IF(B225="",0,+$T225*$V225)</f>
        <v>2.3078303823148972</v>
      </c>
      <c r="X225" s="85">
        <f>IF(B225="",0,IF(OR(H225=MappingTables!$C$34,H225=MappingTables!$C$35),W225,0))</f>
        <v>0</v>
      </c>
    </row>
    <row r="226" spans="2:24" s="0" customFormat="0" ht="15">
      <c r="B226" s="69">
        <v>23432952</v>
      </c>
      <c r="C226" s="70" t="s">
        <v>453</v>
      </c>
      <c r="D226" s="70" t="s">
        <v>1</v>
      </c>
      <c r="E226" s="70" t="s">
        <v>1</v>
      </c>
      <c r="F226" s="70"/>
      <c r="G226" s="70" t="s">
        <v>61</v>
      </c>
      <c r="H226" s="70" t="s">
        <v>178</v>
      </c>
      <c r="I226" s="70" t="s">
        <v>188</v>
      </c>
      <c r="J226" s="71">
        <f>IF(OR(I226=0,I226=""),"unrated",VLOOKUP(I226,MappingTables!$B$19:$C$31,2,FALSE))</f>
        <v>2</v>
      </c>
      <c r="K226" s="72">
        <v>3063.9342287471528</v>
      </c>
      <c r="L226" s="70">
        <v>0.087672108962514784</v>
      </c>
      <c r="M226" s="71">
        <f>IF(L226&lt;1,1,L226)</f>
        <v>1</v>
      </c>
      <c r="N226" s="70" t="s">
        <v>141</v>
      </c>
      <c r="O226" s="71">
        <f>INDEX(DurClassMapping,MATCH(M226,MappingTables!$D$4:$D$8,-1),1)</f>
        <v>1</v>
      </c>
      <c r="P226" s="73">
        <f>IF(M226=$A$1,1,$M226-INDEX(MappingTables!$E$4:$E$8,MATCH(O226,MappingTables!$B$4:$B$8,0)))</f>
        <v>1</v>
      </c>
      <c r="Q226" s="71">
        <f>IF(B226="",0,INDEX(ModelParameters!$D$6:$K$10,MATCH($O226,ModelParameters!$B$6:$B$10,0),MATCH($J226,ModelParameters!$D$5:$K$5,0)))</f>
        <v>0.013999999999999998</v>
      </c>
      <c r="R226" s="71">
        <f>IF(B226="",0,INDEX(ModelParameters!$D$13:$K$17,MATCH($O226,ModelParameters!$B$13:$B$17,0),MATCH($J226,ModelParameters!$D$5:$K$5,0)))</f>
        <v>0</v>
      </c>
      <c r="S226" s="160">
        <f>IF(B226="",0,MIN(IF($N226="Other Bond TM",ModelParameters!$N$21,1)*(P226*Q226+R226),1))</f>
        <v>0.013999999999999998</v>
      </c>
      <c r="T226" s="85">
        <f>IF(B226="",0,$S226*$K226)</f>
        <v>42.895079202460128</v>
      </c>
      <c r="U226" s="85">
        <f>IF(B226="",0,IF(OR(H226=MappingTables!$C$34,H226=MappingTables!$C$35),T226,0))</f>
        <v>0</v>
      </c>
      <c r="V226" s="85">
        <f>IF(ISNA(IF(AND(VLOOKUP(CONCATENATE($D226,$G226),CSRFinput!$B:$E,4,0)=0,OR(H226=MappingTables!$C$34,H226=MappingTables!$C$35)),1,VLOOKUP(CONCATENATE($D226,$G226),CSRFinput!$B:$E,4,0))),0,IF(AND(VLOOKUP(CONCATENATE($D226,$G226),CSRFinput!$B:$E,4,0)=0,OR(H226=MappingTables!$C$34,H226=MappingTables!$C$35)),1,VLOOKUP(CONCATENATE($D226,$G226),CSRFinput!$B:$E,4,0)))</f>
        <v>0.054776304963434752</v>
      </c>
      <c r="W226" s="85">
        <f>IF(B226="",0,+$T226*$V226)</f>
        <v>2.3496339398246436</v>
      </c>
      <c r="X226" s="85">
        <f>IF(B226="",0,IF(OR(H226=MappingTables!$C$34,H226=MappingTables!$C$35),W226,0))</f>
        <v>0</v>
      </c>
    </row>
    <row r="227" spans="2:24" s="0" customFormat="0" ht="15">
      <c r="B227" s="69">
        <v>16211005</v>
      </c>
      <c r="C227" s="70" t="s">
        <v>454</v>
      </c>
      <c r="D227" s="70" t="s">
        <v>1</v>
      </c>
      <c r="E227" s="70" t="s">
        <v>1</v>
      </c>
      <c r="F227" s="70"/>
      <c r="G227" s="70" t="s">
        <v>61</v>
      </c>
      <c r="H227" s="70" t="s">
        <v>178</v>
      </c>
      <c r="I227" s="70" t="s">
        <v>181</v>
      </c>
      <c r="J227" s="71">
        <f>IF(OR(I227=0,I227=""),"unrated",VLOOKUP(I227,MappingTables!$B$19:$C$31,2,FALSE))</f>
        <v>3</v>
      </c>
      <c r="K227" s="72">
        <v>92.588505929464272</v>
      </c>
      <c r="L227" s="70">
        <v>0.3397267104919106</v>
      </c>
      <c r="M227" s="71">
        <f>IF(L227&lt;1,1,L227)</f>
        <v>1</v>
      </c>
      <c r="N227" s="70" t="s">
        <v>141</v>
      </c>
      <c r="O227" s="71">
        <f>INDEX(DurClassMapping,MATCH(M227,MappingTables!$D$4:$D$8,-1),1)</f>
        <v>1</v>
      </c>
      <c r="P227" s="73">
        <f>IF(M227=$A$1,1,$M227-INDEX(MappingTables!$E$4:$E$8,MATCH(O227,MappingTables!$B$4:$B$8,0)))</f>
        <v>1</v>
      </c>
      <c r="Q227" s="71">
        <f>IF(B227="",0,INDEX(ModelParameters!$D$6:$K$10,MATCH($O227,ModelParameters!$B$6:$B$10,0),MATCH($J227,ModelParameters!$D$5:$K$5,0)))</f>
        <v>0.025</v>
      </c>
      <c r="R227" s="71">
        <f>IF(B227="",0,INDEX(ModelParameters!$D$13:$K$17,MATCH($O227,ModelParameters!$B$13:$B$17,0),MATCH($J227,ModelParameters!$D$5:$K$5,0)))</f>
        <v>0</v>
      </c>
      <c r="S227" s="160">
        <f>IF(B227="",0,MIN(IF($N227="Other Bond TM",ModelParameters!$N$21,1)*(P227*Q227+R227),1))</f>
        <v>0.025</v>
      </c>
      <c r="T227" s="85">
        <f>IF(B227="",0,$S227*$K227)</f>
        <v>2.3147126482366072</v>
      </c>
      <c r="U227" s="85">
        <f>IF(B227="",0,IF(OR(H227=MappingTables!$C$34,H227=MappingTables!$C$35),T227,0))</f>
        <v>0</v>
      </c>
      <c r="V227" s="85">
        <f>IF(ISNA(IF(AND(VLOOKUP(CONCATENATE($D227,$G227),CSRFinput!$B:$E,4,0)=0,OR(H227=MappingTables!$C$34,H227=MappingTables!$C$35)),1,VLOOKUP(CONCATENATE($D227,$G227),CSRFinput!$B:$E,4,0))),0,IF(AND(VLOOKUP(CONCATENATE($D227,$G227),CSRFinput!$B:$E,4,0)=0,OR(H227=MappingTables!$C$34,H227=MappingTables!$C$35)),1,VLOOKUP(CONCATENATE($D227,$G227),CSRFinput!$B:$E,4,0)))</f>
        <v>0.054776304963434752</v>
      </c>
      <c r="W227" s="85">
        <f>IF(B227="",0,+$T227*$V227)</f>
        <v>0.12679140592252808</v>
      </c>
      <c r="X227" s="85">
        <f>IF(B227="",0,IF(OR(H227=MappingTables!$C$34,H227=MappingTables!$C$35),W227,0))</f>
        <v>0</v>
      </c>
    </row>
    <row r="228" spans="2:24" s="0" customFormat="0" ht="15">
      <c r="B228" s="69" t="s">
        <v>455</v>
      </c>
      <c r="C228" s="70" t="s">
        <v>456</v>
      </c>
      <c r="D228" s="70" t="s">
        <v>1</v>
      </c>
      <c r="E228" s="70" t="s">
        <v>1</v>
      </c>
      <c r="F228" s="70"/>
      <c r="G228" s="70" t="s">
        <v>61</v>
      </c>
      <c r="H228" s="70" t="s">
        <v>178</v>
      </c>
      <c r="I228" s="70" t="s">
        <v>198</v>
      </c>
      <c r="J228" s="71" t="str">
        <f>IF(OR(I228=0,I228=""),"unrated",VLOOKUP(I228,MappingTables!$B$19:$C$31,2,FALSE))</f>
        <v>unrated</v>
      </c>
      <c r="K228" s="72">
        <v>0.12048355868525392</v>
      </c>
      <c r="L228" s="70">
        <v>0.24383306369629676</v>
      </c>
      <c r="M228" s="71">
        <f>IF(L228&lt;1,1,L228)</f>
        <v>1</v>
      </c>
      <c r="N228" s="70" t="s">
        <v>141</v>
      </c>
      <c r="O228" s="71">
        <f>INDEX(DurClassMapping,MATCH(M228,MappingTables!$D$4:$D$8,-1),1)</f>
        <v>1</v>
      </c>
      <c r="P228" s="73">
        <f>IF(M228=$A$1,1,$M228-INDEX(MappingTables!$E$4:$E$8,MATCH(O228,MappingTables!$B$4:$B$8,0)))</f>
        <v>1</v>
      </c>
      <c r="Q228" s="71">
        <f>IF(B228="",0,INDEX(ModelParameters!$D$6:$K$10,MATCH($O228,ModelParameters!$B$6:$B$10,0),MATCH($J228,ModelParameters!$D$5:$K$5,0)))</f>
        <v>0.03</v>
      </c>
      <c r="R228" s="71">
        <f>IF(B228="",0,INDEX(ModelParameters!$D$13:$K$17,MATCH($O228,ModelParameters!$B$13:$B$17,0),MATCH($J228,ModelParameters!$D$5:$K$5,0)))</f>
        <v>0</v>
      </c>
      <c r="S228" s="160">
        <f>IF(B228="",0,MIN(IF($N228="Other Bond TM",ModelParameters!$N$21,1)*(P228*Q228+R228),1))</f>
        <v>0.03</v>
      </c>
      <c r="T228" s="85">
        <f>IF(B228="",0,$S228*$K228)</f>
        <v>0.0036145067605576176</v>
      </c>
      <c r="U228" s="85">
        <f>IF(B228="",0,IF(OR(H228=MappingTables!$C$34,H228=MappingTables!$C$35),T228,0))</f>
        <v>0</v>
      </c>
      <c r="V228" s="85">
        <f>IF(ISNA(IF(AND(VLOOKUP(CONCATENATE($D228,$G228),CSRFinput!$B:$E,4,0)=0,OR(H228=MappingTables!$C$34,H228=MappingTables!$C$35)),1,VLOOKUP(CONCATENATE($D228,$G228),CSRFinput!$B:$E,4,0))),0,IF(AND(VLOOKUP(CONCATENATE($D228,$G228),CSRFinput!$B:$E,4,0)=0,OR(H228=MappingTables!$C$34,H228=MappingTables!$C$35)),1,VLOOKUP(CONCATENATE($D228,$G228),CSRFinput!$B:$E,4,0)))</f>
        <v>0.054776304963434752</v>
      </c>
      <c r="W228" s="85">
        <f>IF(B228="",0,+$T228*$V228)</f>
        <v>0.00019798932460870068</v>
      </c>
      <c r="X228" s="85">
        <f>IF(B228="",0,IF(OR(H228=MappingTables!$C$34,H228=MappingTables!$C$35),W228,0))</f>
        <v>0</v>
      </c>
    </row>
    <row r="229" spans="2:24" s="0" customFormat="0" ht="15">
      <c r="B229" s="69" t="s">
        <v>457</v>
      </c>
      <c r="C229" s="70" t="s">
        <v>458</v>
      </c>
      <c r="D229" s="70" t="s">
        <v>1</v>
      </c>
      <c r="E229" s="70" t="s">
        <v>1</v>
      </c>
      <c r="F229" s="70"/>
      <c r="G229" s="70" t="s">
        <v>61</v>
      </c>
      <c r="H229" s="70" t="s">
        <v>178</v>
      </c>
      <c r="I229" s="70" t="s">
        <v>198</v>
      </c>
      <c r="J229" s="71" t="str">
        <f>IF(OR(I229=0,I229=""),"unrated",VLOOKUP(I229,MappingTables!$B$19:$C$31,2,FALSE))</f>
        <v>unrated</v>
      </c>
      <c r="K229" s="72">
        <v>14876.963887430112</v>
      </c>
      <c r="L229" s="70">
        <v>3.0025865533390116</v>
      </c>
      <c r="M229" s="71">
        <f>IF(L229&lt;1,1,L229)</f>
        <v>3.0025865533390116</v>
      </c>
      <c r="N229" s="70" t="s">
        <v>141</v>
      </c>
      <c r="O229" s="71">
        <f>INDEX(DurClassMapping,MATCH(M229,MappingTables!$D$4:$D$8,-1),1)</f>
        <v>1</v>
      </c>
      <c r="P229" s="73">
        <f>IF(M229=$A$1,1,$M229-INDEX(MappingTables!$E$4:$E$8,MATCH(O229,MappingTables!$B$4:$B$8,0)))</f>
        <v>3.0025865533390116</v>
      </c>
      <c r="Q229" s="71">
        <f>IF(B229="",0,INDEX(ModelParameters!$D$6:$K$10,MATCH($O229,ModelParameters!$B$6:$B$10,0),MATCH($J229,ModelParameters!$D$5:$K$5,0)))</f>
        <v>0.03</v>
      </c>
      <c r="R229" s="71">
        <f>IF(B229="",0,INDEX(ModelParameters!$D$13:$K$17,MATCH($O229,ModelParameters!$B$13:$B$17,0),MATCH($J229,ModelParameters!$D$5:$K$5,0)))</f>
        <v>0</v>
      </c>
      <c r="S229" s="160">
        <f>IF(B229="",0,MIN(IF($N229="Other Bond TM",ModelParameters!$N$21,1)*(P229*Q229+R229),1))</f>
        <v>0.090077596600170336</v>
      </c>
      <c r="T229" s="85">
        <f>IF(B229="",0,$S229*$K229)</f>
        <v>1340.0811516872316</v>
      </c>
      <c r="U229" s="85">
        <f>IF(B229="",0,IF(OR(H229=MappingTables!$C$34,H229=MappingTables!$C$35),T229,0))</f>
        <v>0</v>
      </c>
      <c r="V229" s="85">
        <f>IF(ISNA(IF(AND(VLOOKUP(CONCATENATE($D229,$G229),CSRFinput!$B:$E,4,0)=0,OR(H229=MappingTables!$C$34,H229=MappingTables!$C$35)),1,VLOOKUP(CONCATENATE($D229,$G229),CSRFinput!$B:$E,4,0))),0,IF(AND(VLOOKUP(CONCATENATE($D229,$G229),CSRFinput!$B:$E,4,0)=0,OR(H229=MappingTables!$C$34,H229=MappingTables!$C$35)),1,VLOOKUP(CONCATENATE($D229,$G229),CSRFinput!$B:$E,4,0)))</f>
        <v>0.054776304963434752</v>
      </c>
      <c r="W229" s="85">
        <f>IF(B229="",0,+$T229*$V229)</f>
        <v>73.404693840570656</v>
      </c>
      <c r="X229" s="85">
        <f>IF(B229="",0,IF(OR(H229=MappingTables!$C$34,H229=MappingTables!$C$35),W229,0))</f>
        <v>0</v>
      </c>
    </row>
    <row r="230" spans="2:24" s="0" customFormat="0" ht="15">
      <c r="B230" s="69">
        <v>15118994</v>
      </c>
      <c r="C230" s="70" t="s">
        <v>459</v>
      </c>
      <c r="D230" s="70" t="s">
        <v>1</v>
      </c>
      <c r="E230" s="70" t="s">
        <v>1</v>
      </c>
      <c r="F230" s="70"/>
      <c r="G230" s="70" t="s">
        <v>61</v>
      </c>
      <c r="H230" s="70" t="s">
        <v>178</v>
      </c>
      <c r="I230" s="70" t="s">
        <v>188</v>
      </c>
      <c r="J230" s="71">
        <f>IF(OR(I230=0,I230=""),"unrated",VLOOKUP(I230,MappingTables!$B$19:$C$31,2,FALSE))</f>
        <v>2</v>
      </c>
      <c r="K230" s="72">
        <v>2541.634757261554</v>
      </c>
      <c r="L230" s="70">
        <v>1.8022617955317716</v>
      </c>
      <c r="M230" s="71">
        <f>IF(L230&lt;1,1,L230)</f>
        <v>1.8022617955317716</v>
      </c>
      <c r="N230" s="70" t="s">
        <v>141</v>
      </c>
      <c r="O230" s="71">
        <f>INDEX(DurClassMapping,MATCH(M230,MappingTables!$D$4:$D$8,-1),1)</f>
        <v>1</v>
      </c>
      <c r="P230" s="73">
        <f>IF(M230=$A$1,1,$M230-INDEX(MappingTables!$E$4:$E$8,MATCH(O230,MappingTables!$B$4:$B$8,0)))</f>
        <v>1.8022617955317716</v>
      </c>
      <c r="Q230" s="71">
        <f>IF(B230="",0,INDEX(ModelParameters!$D$6:$K$10,MATCH($O230,ModelParameters!$B$6:$B$10,0),MATCH($J230,ModelParameters!$D$5:$K$5,0)))</f>
        <v>0.013999999999999998</v>
      </c>
      <c r="R230" s="71">
        <f>IF(B230="",0,INDEX(ModelParameters!$D$13:$K$17,MATCH($O230,ModelParameters!$B$13:$B$17,0),MATCH($J230,ModelParameters!$D$5:$K$5,0)))</f>
        <v>0</v>
      </c>
      <c r="S230" s="160">
        <f>IF(B230="",0,MIN(IF($N230="Other Bond TM",ModelParameters!$N$21,1)*(P230*Q230+R230),1))</f>
        <v>0.025231665137444804</v>
      </c>
      <c r="T230" s="85">
        <f>IF(B230="",0,$S230*$K230)</f>
        <v>64.129677096914336</v>
      </c>
      <c r="U230" s="85">
        <f>IF(B230="",0,IF(OR(H230=MappingTables!$C$34,H230=MappingTables!$C$35),T230,0))</f>
        <v>0</v>
      </c>
      <c r="V230" s="85">
        <f>IF(ISNA(IF(AND(VLOOKUP(CONCATENATE($D230,$G230),CSRFinput!$B:$E,4,0)=0,OR(H230=MappingTables!$C$34,H230=MappingTables!$C$35)),1,VLOOKUP(CONCATENATE($D230,$G230),CSRFinput!$B:$E,4,0))),0,IF(AND(VLOOKUP(CONCATENATE($D230,$G230),CSRFinput!$B:$E,4,0)=0,OR(H230=MappingTables!$C$34,H230=MappingTables!$C$35)),1,VLOOKUP(CONCATENATE($D230,$G230),CSRFinput!$B:$E,4,0)))</f>
        <v>0.054776304963434752</v>
      </c>
      <c r="W230" s="85">
        <f>IF(B230="",0,+$T230*$V230)</f>
        <v>3.5127867498671764</v>
      </c>
      <c r="X230" s="85">
        <f>IF(B230="",0,IF(OR(H230=MappingTables!$C$34,H230=MappingTables!$C$35),W230,0))</f>
        <v>0</v>
      </c>
    </row>
    <row r="231" spans="2:24" s="0" customFormat="0" ht="15">
      <c r="B231" s="69" t="s">
        <v>460</v>
      </c>
      <c r="C231" s="70" t="s">
        <v>461</v>
      </c>
      <c r="D231" s="70" t="s">
        <v>1</v>
      </c>
      <c r="E231" s="70" t="s">
        <v>1</v>
      </c>
      <c r="F231" s="70"/>
      <c r="G231" s="70" t="s">
        <v>61</v>
      </c>
      <c r="H231" s="70" t="s">
        <v>178</v>
      </c>
      <c r="I231" s="70" t="s">
        <v>188</v>
      </c>
      <c r="J231" s="71">
        <f>IF(OR(I231=0,I231=""),"unrated",VLOOKUP(I231,MappingTables!$B$19:$C$31,2,FALSE))</f>
        <v>2</v>
      </c>
      <c r="K231" s="72">
        <v>0.60754492070880896</v>
      </c>
      <c r="L231" s="70">
        <v>11.590170879718488</v>
      </c>
      <c r="M231" s="71">
        <f>IF(L231&lt;1,1,L231)</f>
        <v>11.590170879718488</v>
      </c>
      <c r="N231" s="70" t="s">
        <v>141</v>
      </c>
      <c r="O231" s="71">
        <f>INDEX(DurClassMapping,MATCH(M231,MappingTables!$D$4:$D$8,-1),1)</f>
        <v>3</v>
      </c>
      <c r="P231" s="73">
        <f>IF(M231=$A$1,1,$M231-INDEX(MappingTables!$E$4:$E$8,MATCH(O231,MappingTables!$B$4:$B$8,0)))</f>
        <v>1.5901708797184888</v>
      </c>
      <c r="Q231" s="71">
        <f>IF(B231="",0,INDEX(ModelParameters!$D$6:$K$10,MATCH($O231,ModelParameters!$B$6:$B$10,0),MATCH($J231,ModelParameters!$D$5:$K$5,0)))</f>
        <v>0.005</v>
      </c>
      <c r="R231" s="71">
        <f>IF(B231="",0,INDEX(ModelParameters!$D$13:$K$17,MATCH($O231,ModelParameters!$B$13:$B$17,0),MATCH($J231,ModelParameters!$D$5:$K$5,0)))</f>
        <v>0.105</v>
      </c>
      <c r="S231" s="160">
        <f>IF(B231="",0,MIN(IF($N231="Other Bond TM",ModelParameters!$N$21,1)*(P231*Q231+R231),1))</f>
        <v>0.11295085439859244</v>
      </c>
      <c r="T231" s="85">
        <f>IF(B231="",0,$S231*$K231)</f>
        <v>0.068622717879585072</v>
      </c>
      <c r="U231" s="85">
        <f>IF(B231="",0,IF(OR(H231=MappingTables!$C$34,H231=MappingTables!$C$35),T231,0))</f>
        <v>0</v>
      </c>
      <c r="V231" s="85">
        <f>IF(ISNA(IF(AND(VLOOKUP(CONCATENATE($D231,$G231),CSRFinput!$B:$E,4,0)=0,OR(H231=MappingTables!$C$34,H231=MappingTables!$C$35)),1,VLOOKUP(CONCATENATE($D231,$G231),CSRFinput!$B:$E,4,0))),0,IF(AND(VLOOKUP(CONCATENATE($D231,$G231),CSRFinput!$B:$E,4,0)=0,OR(H231=MappingTables!$C$34,H231=MappingTables!$C$35)),1,VLOOKUP(CONCATENATE($D231,$G231),CSRFinput!$B:$E,4,0)))</f>
        <v>0.054776304963434752</v>
      </c>
      <c r="W231" s="85">
        <f>IF(B231="",0,+$T231*$V231)</f>
        <v>0.0037588989219918984</v>
      </c>
      <c r="X231" s="85">
        <f>IF(B231="",0,IF(OR(H231=MappingTables!$C$34,H231=MappingTables!$C$35),W231,0))</f>
        <v>0</v>
      </c>
    </row>
    <row r="232" spans="2:24" s="0" customFormat="0" ht="15">
      <c r="B232" s="69">
        <v>19567720</v>
      </c>
      <c r="C232" s="70" t="s">
        <v>462</v>
      </c>
      <c r="D232" s="70" t="s">
        <v>1</v>
      </c>
      <c r="E232" s="70" t="s">
        <v>1</v>
      </c>
      <c r="F232" s="70"/>
      <c r="G232" s="70" t="s">
        <v>61</v>
      </c>
      <c r="H232" s="70" t="s">
        <v>178</v>
      </c>
      <c r="I232" s="70" t="s">
        <v>179</v>
      </c>
      <c r="J232" s="71">
        <f>IF(OR(I232=0,I232=""),"unrated",VLOOKUP(I232,MappingTables!$B$19:$C$31,2,FALSE))</f>
        <v>4</v>
      </c>
      <c r="K232" s="72">
        <v>45626.05718291796</v>
      </c>
      <c r="L232" s="70">
        <v>13.727182771408974</v>
      </c>
      <c r="M232" s="71">
        <f>IF(L232&lt;1,1,L232)</f>
        <v>13.727182771408974</v>
      </c>
      <c r="N232" s="70" t="s">
        <v>141</v>
      </c>
      <c r="O232" s="71">
        <f>INDEX(DurClassMapping,MATCH(M232,MappingTables!$D$4:$D$8,-1),1)</f>
        <v>3</v>
      </c>
      <c r="P232" s="73">
        <f>IF(M232=$A$1,1,$M232-INDEX(MappingTables!$E$4:$E$8,MATCH(O232,MappingTables!$B$4:$B$8,0)))</f>
        <v>3.7271827714089728</v>
      </c>
      <c r="Q232" s="71">
        <f>IF(B232="",0,INDEX(ModelParameters!$D$6:$K$10,MATCH($O232,ModelParameters!$B$6:$B$10,0),MATCH($J232,ModelParameters!$D$5:$K$5,0)))</f>
        <v>0.018000000000000002</v>
      </c>
      <c r="R232" s="71">
        <f>IF(B232="",0,INDEX(ModelParameters!$D$13:$K$17,MATCH($O232,ModelParameters!$B$13:$B$17,0),MATCH($J232,ModelParameters!$D$5:$K$5,0)))</f>
        <v>0.34999999999999996</v>
      </c>
      <c r="S232" s="160">
        <f>IF(B232="",0,MIN(IF($N232="Other Bond TM",ModelParameters!$N$21,1)*(P232*Q232+R232),1))</f>
        <v>0.41708928988536152</v>
      </c>
      <c r="T232" s="85">
        <f>IF(B232="",0,$S232*$K232)</f>
        <v>19030.139790692152</v>
      </c>
      <c r="U232" s="85">
        <f>IF(B232="",0,IF(OR(H232=MappingTables!$C$34,H232=MappingTables!$C$35),T232,0))</f>
        <v>0</v>
      </c>
      <c r="V232" s="85">
        <f>IF(ISNA(IF(AND(VLOOKUP(CONCATENATE($D232,$G232),CSRFinput!$B:$E,4,0)=0,OR(H232=MappingTables!$C$34,H232=MappingTables!$C$35)),1,VLOOKUP(CONCATENATE($D232,$G232),CSRFinput!$B:$E,4,0))),0,IF(AND(VLOOKUP(CONCATENATE($D232,$G232),CSRFinput!$B:$E,4,0)=0,OR(H232=MappingTables!$C$34,H232=MappingTables!$C$35)),1,VLOOKUP(CONCATENATE($D232,$G232),CSRFinput!$B:$E,4,0)))</f>
        <v>0.054776304963434752</v>
      </c>
      <c r="W232" s="85">
        <f>IF(B232="",0,+$T232*$V232)</f>
        <v>1042.4007406717478</v>
      </c>
      <c r="X232" s="85">
        <f>IF(B232="",0,IF(OR(H232=MappingTables!$C$34,H232=MappingTables!$C$35),W232,0))</f>
        <v>0</v>
      </c>
    </row>
    <row r="233" spans="2:24" s="0" customFormat="0" ht="15">
      <c r="B233" s="69" t="s">
        <v>463</v>
      </c>
      <c r="C233" s="70" t="s">
        <v>464</v>
      </c>
      <c r="D233" s="70" t="s">
        <v>1</v>
      </c>
      <c r="E233" s="70" t="s">
        <v>1</v>
      </c>
      <c r="F233" s="70"/>
      <c r="G233" s="70" t="s">
        <v>61</v>
      </c>
      <c r="H233" s="70" t="s">
        <v>178</v>
      </c>
      <c r="I233" s="70" t="s">
        <v>179</v>
      </c>
      <c r="J233" s="71">
        <f>IF(OR(I233=0,I233=""),"unrated",VLOOKUP(I233,MappingTables!$B$19:$C$31,2,FALSE))</f>
        <v>4</v>
      </c>
      <c r="K233" s="72">
        <v>101.16857101736754</v>
      </c>
      <c r="L233" s="70">
        <v>2.5267182729865968</v>
      </c>
      <c r="M233" s="71">
        <f>IF(L233&lt;1,1,L233)</f>
        <v>2.5267182729865968</v>
      </c>
      <c r="N233" s="70" t="s">
        <v>141</v>
      </c>
      <c r="O233" s="71">
        <f>INDEX(DurClassMapping,MATCH(M233,MappingTables!$D$4:$D$8,-1),1)</f>
        <v>1</v>
      </c>
      <c r="P233" s="73">
        <f>IF(M233=$A$1,1,$M233-INDEX(MappingTables!$E$4:$E$8,MATCH(O233,MappingTables!$B$4:$B$8,0)))</f>
        <v>2.5267182729865968</v>
      </c>
      <c r="Q233" s="71">
        <f>IF(B233="",0,INDEX(ModelParameters!$D$6:$K$10,MATCH($O233,ModelParameters!$B$6:$B$10,0),MATCH($J233,ModelParameters!$D$5:$K$5,0)))</f>
        <v>0.045</v>
      </c>
      <c r="R233" s="71">
        <f>IF(B233="",0,INDEX(ModelParameters!$D$13:$K$17,MATCH($O233,ModelParameters!$B$13:$B$17,0),MATCH($J233,ModelParameters!$D$5:$K$5,0)))</f>
        <v>0</v>
      </c>
      <c r="S233" s="160">
        <f>IF(B233="",0,MIN(IF($N233="Other Bond TM",ModelParameters!$N$21,1)*(P233*Q233+R233),1))</f>
        <v>0.11370232228439684</v>
      </c>
      <c r="T233" s="85">
        <f>IF(B233="",0,$S233*$K233)</f>
        <v>11.503101466868614</v>
      </c>
      <c r="U233" s="85">
        <f>IF(B233="",0,IF(OR(H233=MappingTables!$C$34,H233=MappingTables!$C$35),T233,0))</f>
        <v>0</v>
      </c>
      <c r="V233" s="85">
        <f>IF(ISNA(IF(AND(VLOOKUP(CONCATENATE($D233,$G233),CSRFinput!$B:$E,4,0)=0,OR(H233=MappingTables!$C$34,H233=MappingTables!$C$35)),1,VLOOKUP(CONCATENATE($D233,$G233),CSRFinput!$B:$E,4,0))),0,IF(AND(VLOOKUP(CONCATENATE($D233,$G233),CSRFinput!$B:$E,4,0)=0,OR(H233=MappingTables!$C$34,H233=MappingTables!$C$35)),1,VLOOKUP(CONCATENATE($D233,$G233),CSRFinput!$B:$E,4,0)))</f>
        <v>0.054776304963434752</v>
      </c>
      <c r="W233" s="85">
        <f>IF(B233="",0,+$T233*$V233)</f>
        <v>0.63009739397452888</v>
      </c>
      <c r="X233" s="85">
        <f>IF(B233="",0,IF(OR(H233=MappingTables!$C$34,H233=MappingTables!$C$35),W233,0))</f>
        <v>0</v>
      </c>
    </row>
    <row r="234" spans="2:24" s="0" customFormat="0" ht="15">
      <c r="B234" s="69">
        <v>12445544</v>
      </c>
      <c r="C234" s="70" t="s">
        <v>465</v>
      </c>
      <c r="D234" s="70" t="s">
        <v>1</v>
      </c>
      <c r="E234" s="70" t="s">
        <v>1</v>
      </c>
      <c r="F234" s="70"/>
      <c r="G234" s="70" t="s">
        <v>61</v>
      </c>
      <c r="H234" s="70" t="s">
        <v>178</v>
      </c>
      <c r="I234" s="70" t="s">
        <v>188</v>
      </c>
      <c r="J234" s="71">
        <f>IF(OR(I234=0,I234=""),"unrated",VLOOKUP(I234,MappingTables!$B$19:$C$31,2,FALSE))</f>
        <v>2</v>
      </c>
      <c r="K234" s="72">
        <v>435.69576353602</v>
      </c>
      <c r="L234" s="70">
        <v>0.55431947132101256</v>
      </c>
      <c r="M234" s="71">
        <f>IF(L234&lt;1,1,L234)</f>
        <v>1</v>
      </c>
      <c r="N234" s="70" t="s">
        <v>141</v>
      </c>
      <c r="O234" s="71">
        <f>INDEX(DurClassMapping,MATCH(M234,MappingTables!$D$4:$D$8,-1),1)</f>
        <v>1</v>
      </c>
      <c r="P234" s="73">
        <f>IF(M234=$A$1,1,$M234-INDEX(MappingTables!$E$4:$E$8,MATCH(O234,MappingTables!$B$4:$B$8,0)))</f>
        <v>1</v>
      </c>
      <c r="Q234" s="71">
        <f>IF(B234="",0,INDEX(ModelParameters!$D$6:$K$10,MATCH($O234,ModelParameters!$B$6:$B$10,0),MATCH($J234,ModelParameters!$D$5:$K$5,0)))</f>
        <v>0.013999999999999998</v>
      </c>
      <c r="R234" s="71">
        <f>IF(B234="",0,INDEX(ModelParameters!$D$13:$K$17,MATCH($O234,ModelParameters!$B$13:$B$17,0),MATCH($J234,ModelParameters!$D$5:$K$5,0)))</f>
        <v>0</v>
      </c>
      <c r="S234" s="160">
        <f>IF(B234="",0,MIN(IF($N234="Other Bond TM",ModelParameters!$N$21,1)*(P234*Q234+R234),1))</f>
        <v>0.013999999999999998</v>
      </c>
      <c r="T234" s="85">
        <f>IF(B234="",0,$S234*$K234)</f>
        <v>6.0997406895042792</v>
      </c>
      <c r="U234" s="85">
        <f>IF(B234="",0,IF(OR(H234=MappingTables!$C$34,H234=MappingTables!$C$35),T234,0))</f>
        <v>0</v>
      </c>
      <c r="V234" s="85">
        <f>IF(ISNA(IF(AND(VLOOKUP(CONCATENATE($D234,$G234),CSRFinput!$B:$E,4,0)=0,OR(H234=MappingTables!$C$34,H234=MappingTables!$C$35)),1,VLOOKUP(CONCATENATE($D234,$G234),CSRFinput!$B:$E,4,0))),0,IF(AND(VLOOKUP(CONCATENATE($D234,$G234),CSRFinput!$B:$E,4,0)=0,OR(H234=MappingTables!$C$34,H234=MappingTables!$C$35)),1,VLOOKUP(CONCATENATE($D234,$G234),CSRFinput!$B:$E,4,0)))</f>
        <v>0.054776304963434752</v>
      </c>
      <c r="W234" s="85">
        <f>IF(B234="",0,+$T234*$V234)</f>
        <v>0.33412125620615816</v>
      </c>
      <c r="X234" s="85">
        <f>IF(B234="",0,IF(OR(H234=MappingTables!$C$34,H234=MappingTables!$C$35),W234,0))</f>
        <v>0</v>
      </c>
    </row>
    <row r="235" spans="2:24" s="0" customFormat="0" ht="15">
      <c r="B235" s="69" t="s">
        <v>466</v>
      </c>
      <c r="C235" s="70" t="s">
        <v>467</v>
      </c>
      <c r="D235" s="70" t="s">
        <v>1</v>
      </c>
      <c r="E235" s="70" t="s">
        <v>1</v>
      </c>
      <c r="F235" s="70"/>
      <c r="G235" s="70" t="s">
        <v>61</v>
      </c>
      <c r="H235" s="70" t="s">
        <v>178</v>
      </c>
      <c r="I235" s="70" t="s">
        <v>179</v>
      </c>
      <c r="J235" s="71">
        <f>IF(OR(I235=0,I235=""),"unrated",VLOOKUP(I235,MappingTables!$B$19:$C$31,2,FALSE))</f>
        <v>4</v>
      </c>
      <c r="K235" s="72">
        <v>467.4080225703548</v>
      </c>
      <c r="L235" s="70">
        <v>6.299133474070504</v>
      </c>
      <c r="M235" s="71">
        <f>IF(L235&lt;1,1,L235)</f>
        <v>6.299133474070504</v>
      </c>
      <c r="N235" s="70" t="s">
        <v>141</v>
      </c>
      <c r="O235" s="71">
        <f>INDEX(DurClassMapping,MATCH(M235,MappingTables!$D$4:$D$8,-1),1)</f>
        <v>2</v>
      </c>
      <c r="P235" s="73">
        <f>IF(M235=$A$1,1,$M235-INDEX(MappingTables!$E$4:$E$8,MATCH(O235,MappingTables!$B$4:$B$8,0)))</f>
        <v>1.299133474070504</v>
      </c>
      <c r="Q235" s="71">
        <f>IF(B235="",0,INDEX(ModelParameters!$D$6:$K$10,MATCH($O235,ModelParameters!$B$6:$B$10,0),MATCH($J235,ModelParameters!$D$5:$K$5,0)))</f>
        <v>0.025</v>
      </c>
      <c r="R235" s="71">
        <f>IF(B235="",0,INDEX(ModelParameters!$D$13:$K$17,MATCH($O235,ModelParameters!$B$13:$B$17,0),MATCH($J235,ModelParameters!$D$5:$K$5,0)))</f>
        <v>0.225</v>
      </c>
      <c r="S235" s="160">
        <f>IF(B235="",0,MIN(IF($N235="Other Bond TM",ModelParameters!$N$21,1)*(P235*Q235+R235),1))</f>
        <v>0.25747833685176256</v>
      </c>
      <c r="T235" s="85">
        <f>IF(B235="",0,$S235*$K235)</f>
        <v>120.34744028258606</v>
      </c>
      <c r="U235" s="85">
        <f>IF(B235="",0,IF(OR(H235=MappingTables!$C$34,H235=MappingTables!$C$35),T235,0))</f>
        <v>0</v>
      </c>
      <c r="V235" s="85">
        <f>IF(ISNA(IF(AND(VLOOKUP(CONCATENATE($D235,$G235),CSRFinput!$B:$E,4,0)=0,OR(H235=MappingTables!$C$34,H235=MappingTables!$C$35)),1,VLOOKUP(CONCATENATE($D235,$G235),CSRFinput!$B:$E,4,0))),0,IF(AND(VLOOKUP(CONCATENATE($D235,$G235),CSRFinput!$B:$E,4,0)=0,OR(H235=MappingTables!$C$34,H235=MappingTables!$C$35)),1,VLOOKUP(CONCATENATE($D235,$G235),CSRFinput!$B:$E,4,0)))</f>
        <v>0.054776304963434752</v>
      </c>
      <c r="W235" s="85">
        <f>IF(B235="",0,+$T235*$V235)</f>
        <v>6.5921880904876872</v>
      </c>
      <c r="X235" s="85">
        <f>IF(B235="",0,IF(OR(H235=MappingTables!$C$34,H235=MappingTables!$C$35),W235,0))</f>
        <v>0</v>
      </c>
    </row>
    <row r="236" spans="2:24" s="0" customFormat="0" ht="15">
      <c r="B236" s="69" t="s">
        <v>468</v>
      </c>
      <c r="C236" s="70" t="s">
        <v>469</v>
      </c>
      <c r="D236" s="70" t="s">
        <v>1</v>
      </c>
      <c r="E236" s="70" t="s">
        <v>1</v>
      </c>
      <c r="F236" s="70"/>
      <c r="G236" s="70" t="s">
        <v>61</v>
      </c>
      <c r="H236" s="70" t="s">
        <v>178</v>
      </c>
      <c r="I236" s="70" t="s">
        <v>181</v>
      </c>
      <c r="J236" s="71">
        <f>IF(OR(I236=0,I236=""),"unrated",VLOOKUP(I236,MappingTables!$B$19:$C$31,2,FALSE))</f>
        <v>3</v>
      </c>
      <c r="K236" s="72">
        <v>4.6058994703749016</v>
      </c>
      <c r="L236" s="70">
        <v>1.7354700724817742</v>
      </c>
      <c r="M236" s="71">
        <f>IF(L236&lt;1,1,L236)</f>
        <v>1.7354700724817742</v>
      </c>
      <c r="N236" s="70" t="s">
        <v>141</v>
      </c>
      <c r="O236" s="71">
        <f>INDEX(DurClassMapping,MATCH(M236,MappingTables!$D$4:$D$8,-1),1)</f>
        <v>1</v>
      </c>
      <c r="P236" s="73">
        <f>IF(M236=$A$1,1,$M236-INDEX(MappingTables!$E$4:$E$8,MATCH(O236,MappingTables!$B$4:$B$8,0)))</f>
        <v>1.7354700724817742</v>
      </c>
      <c r="Q236" s="71">
        <f>IF(B236="",0,INDEX(ModelParameters!$D$6:$K$10,MATCH($O236,ModelParameters!$B$6:$B$10,0),MATCH($J236,ModelParameters!$D$5:$K$5,0)))</f>
        <v>0.025</v>
      </c>
      <c r="R236" s="71">
        <f>IF(B236="",0,INDEX(ModelParameters!$D$13:$K$17,MATCH($O236,ModelParameters!$B$13:$B$17,0),MATCH($J236,ModelParameters!$D$5:$K$5,0)))</f>
        <v>0</v>
      </c>
      <c r="S236" s="160">
        <f>IF(B236="",0,MIN(IF($N236="Other Bond TM",ModelParameters!$N$21,1)*(P236*Q236+R236),1))</f>
        <v>0.04338675181204436</v>
      </c>
      <c r="T236" s="85">
        <f>IF(B236="",0,$S236*$K236)</f>
        <v>0.1998350171923824</v>
      </c>
      <c r="U236" s="85">
        <f>IF(B236="",0,IF(OR(H236=MappingTables!$C$34,H236=MappingTables!$C$35),T236,0))</f>
        <v>0</v>
      </c>
      <c r="V236" s="85">
        <f>IF(ISNA(IF(AND(VLOOKUP(CONCATENATE($D236,$G236),CSRFinput!$B:$E,4,0)=0,OR(H236=MappingTables!$C$34,H236=MappingTables!$C$35)),1,VLOOKUP(CONCATENATE($D236,$G236),CSRFinput!$B:$E,4,0))),0,IF(AND(VLOOKUP(CONCATENATE($D236,$G236),CSRFinput!$B:$E,4,0)=0,OR(H236=MappingTables!$C$34,H236=MappingTables!$C$35)),1,VLOOKUP(CONCATENATE($D236,$G236),CSRFinput!$B:$E,4,0)))</f>
        <v>0.054776304963434752</v>
      </c>
      <c r="W236" s="85">
        <f>IF(B236="",0,+$T236*$V236)</f>
        <v>0.010946223844103166</v>
      </c>
      <c r="X236" s="85">
        <f>IF(B236="",0,IF(OR(H236=MappingTables!$C$34,H236=MappingTables!$C$35),W236,0))</f>
        <v>0</v>
      </c>
    </row>
    <row r="237" spans="2:24" s="0" customFormat="0" ht="15">
      <c r="B237" s="69">
        <v>19616285</v>
      </c>
      <c r="C237" s="70" t="s">
        <v>470</v>
      </c>
      <c r="D237" s="70" t="s">
        <v>1</v>
      </c>
      <c r="E237" s="70" t="s">
        <v>1</v>
      </c>
      <c r="F237" s="70"/>
      <c r="G237" s="70" t="s">
        <v>61</v>
      </c>
      <c r="H237" s="70" t="s">
        <v>178</v>
      </c>
      <c r="I237" s="70" t="s">
        <v>198</v>
      </c>
      <c r="J237" s="71" t="str">
        <f>IF(OR(I237=0,I237=""),"unrated",VLOOKUP(I237,MappingTables!$B$19:$C$31,2,FALSE))</f>
        <v>unrated</v>
      </c>
      <c r="K237" s="72">
        <v>18.285389134088932</v>
      </c>
      <c r="L237" s="70">
        <v>3.122149733933536</v>
      </c>
      <c r="M237" s="71">
        <f>IF(L237&lt;1,1,L237)</f>
        <v>3.122149733933536</v>
      </c>
      <c r="N237" s="70" t="s">
        <v>141</v>
      </c>
      <c r="O237" s="71">
        <f>INDEX(DurClassMapping,MATCH(M237,MappingTables!$D$4:$D$8,-1),1)</f>
        <v>1</v>
      </c>
      <c r="P237" s="73">
        <f>IF(M237=$A$1,1,$M237-INDEX(MappingTables!$E$4:$E$8,MATCH(O237,MappingTables!$B$4:$B$8,0)))</f>
        <v>3.122149733933536</v>
      </c>
      <c r="Q237" s="71">
        <f>IF(B237="",0,INDEX(ModelParameters!$D$6:$K$10,MATCH($O237,ModelParameters!$B$6:$B$10,0),MATCH($J237,ModelParameters!$D$5:$K$5,0)))</f>
        <v>0.03</v>
      </c>
      <c r="R237" s="71">
        <f>IF(B237="",0,INDEX(ModelParameters!$D$13:$K$17,MATCH($O237,ModelParameters!$B$13:$B$17,0),MATCH($J237,ModelParameters!$D$5:$K$5,0)))</f>
        <v>0</v>
      </c>
      <c r="S237" s="160">
        <f>IF(B237="",0,MIN(IF($N237="Other Bond TM",ModelParameters!$N$21,1)*(P237*Q237+R237),1))</f>
        <v>0.093664492018006064</v>
      </c>
      <c r="T237" s="85">
        <f>IF(B237="",0,$S237*$K237)</f>
        <v>1.7126916845960076</v>
      </c>
      <c r="U237" s="85">
        <f>IF(B237="",0,IF(OR(H237=MappingTables!$C$34,H237=MappingTables!$C$35),T237,0))</f>
        <v>0</v>
      </c>
      <c r="V237" s="85">
        <f>IF(ISNA(IF(AND(VLOOKUP(CONCATENATE($D237,$G237),CSRFinput!$B:$E,4,0)=0,OR(H237=MappingTables!$C$34,H237=MappingTables!$C$35)),1,VLOOKUP(CONCATENATE($D237,$G237),CSRFinput!$B:$E,4,0))),0,IF(AND(VLOOKUP(CONCATENATE($D237,$G237),CSRFinput!$B:$E,4,0)=0,OR(H237=MappingTables!$C$34,H237=MappingTables!$C$35)),1,VLOOKUP(CONCATENATE($D237,$G237),CSRFinput!$B:$E,4,0)))</f>
        <v>0.054776304963434752</v>
      </c>
      <c r="W237" s="85">
        <f>IF(B237="",0,+$T237*$V237)</f>
        <v>0.093814922023769712</v>
      </c>
      <c r="X237" s="85">
        <f>IF(B237="",0,IF(OR(H237=MappingTables!$C$34,H237=MappingTables!$C$35),W237,0))</f>
        <v>0</v>
      </c>
    </row>
    <row r="238" spans="2:24" s="0" customFormat="0" ht="15">
      <c r="B238" s="69">
        <v>21150131</v>
      </c>
      <c r="C238" s="70" t="s">
        <v>471</v>
      </c>
      <c r="D238" s="70" t="s">
        <v>1</v>
      </c>
      <c r="E238" s="70" t="s">
        <v>1</v>
      </c>
      <c r="F238" s="70"/>
      <c r="G238" s="70" t="s">
        <v>61</v>
      </c>
      <c r="H238" s="70" t="s">
        <v>178</v>
      </c>
      <c r="I238" s="70" t="s">
        <v>188</v>
      </c>
      <c r="J238" s="71">
        <f>IF(OR(I238=0,I238=""),"unrated",VLOOKUP(I238,MappingTables!$B$19:$C$31,2,FALSE))</f>
        <v>2</v>
      </c>
      <c r="K238" s="72">
        <v>1403.0016510260306</v>
      </c>
      <c r="L238" s="70">
        <v>1.7563426302371314</v>
      </c>
      <c r="M238" s="71">
        <f>IF(L238&lt;1,1,L238)</f>
        <v>1.7563426302371314</v>
      </c>
      <c r="N238" s="70" t="s">
        <v>141</v>
      </c>
      <c r="O238" s="71">
        <f>INDEX(DurClassMapping,MATCH(M238,MappingTables!$D$4:$D$8,-1),1)</f>
        <v>1</v>
      </c>
      <c r="P238" s="73">
        <f>IF(M238=$A$1,1,$M238-INDEX(MappingTables!$E$4:$E$8,MATCH(O238,MappingTables!$B$4:$B$8,0)))</f>
        <v>1.7563426302371314</v>
      </c>
      <c r="Q238" s="71">
        <f>IF(B238="",0,INDEX(ModelParameters!$D$6:$K$10,MATCH($O238,ModelParameters!$B$6:$B$10,0),MATCH($J238,ModelParameters!$D$5:$K$5,0)))</f>
        <v>0.013999999999999998</v>
      </c>
      <c r="R238" s="71">
        <f>IF(B238="",0,INDEX(ModelParameters!$D$13:$K$17,MATCH($O238,ModelParameters!$B$13:$B$17,0),MATCH($J238,ModelParameters!$D$5:$K$5,0)))</f>
        <v>0</v>
      </c>
      <c r="S238" s="160">
        <f>IF(B238="",0,MIN(IF($N238="Other Bond TM",ModelParameters!$N$21,1)*(P238*Q238+R238),1))</f>
        <v>0.02458879682331984</v>
      </c>
      <c r="T238" s="85">
        <f>IF(B238="",0,$S238*$K238)</f>
        <v>34.498122539861356</v>
      </c>
      <c r="U238" s="85">
        <f>IF(B238="",0,IF(OR(H238=MappingTables!$C$34,H238=MappingTables!$C$35),T238,0))</f>
        <v>0</v>
      </c>
      <c r="V238" s="85">
        <f>IF(ISNA(IF(AND(VLOOKUP(CONCATENATE($D238,$G238),CSRFinput!$B:$E,4,0)=0,OR(H238=MappingTables!$C$34,H238=MappingTables!$C$35)),1,VLOOKUP(CONCATENATE($D238,$G238),CSRFinput!$B:$E,4,0))),0,IF(AND(VLOOKUP(CONCATENATE($D238,$G238),CSRFinput!$B:$E,4,0)=0,OR(H238=MappingTables!$C$34,H238=MappingTables!$C$35)),1,VLOOKUP(CONCATENATE($D238,$G238),CSRFinput!$B:$E,4,0)))</f>
        <v>0.054776304963434752</v>
      </c>
      <c r="W238" s="85">
        <f>IF(B238="",0,+$T238*$V238)</f>
        <v>1.889679680909388</v>
      </c>
      <c r="X238" s="85">
        <f>IF(B238="",0,IF(OR(H238=MappingTables!$C$34,H238=MappingTables!$C$35),W238,0))</f>
        <v>0</v>
      </c>
    </row>
    <row r="239" spans="2:24" s="0" customFormat="0" ht="15">
      <c r="B239" s="69">
        <v>21681682</v>
      </c>
      <c r="C239" s="70" t="s">
        <v>472</v>
      </c>
      <c r="D239" s="70" t="s">
        <v>1</v>
      </c>
      <c r="E239" s="70" t="s">
        <v>1</v>
      </c>
      <c r="F239" s="70"/>
      <c r="G239" s="70" t="s">
        <v>61</v>
      </c>
      <c r="H239" s="70" t="s">
        <v>178</v>
      </c>
      <c r="I239" s="70" t="s">
        <v>204</v>
      </c>
      <c r="J239" s="71">
        <f>IF(OR(I239=0,I239=""),"unrated",VLOOKUP(I239,MappingTables!$B$19:$C$31,2,FALSE))</f>
        <v>6</v>
      </c>
      <c r="K239" s="72">
        <v>41723.191942044272</v>
      </c>
      <c r="L239" s="70">
        <v>3.4248491244273128</v>
      </c>
      <c r="M239" s="71">
        <f>IF(L239&lt;1,1,L239)</f>
        <v>3.4248491244273128</v>
      </c>
      <c r="N239" s="70" t="s">
        <v>141</v>
      </c>
      <c r="O239" s="71">
        <f>INDEX(DurClassMapping,MATCH(M239,MappingTables!$D$4:$D$8,-1),1)</f>
        <v>1</v>
      </c>
      <c r="P239" s="73">
        <f>IF(M239=$A$1,1,$M239-INDEX(MappingTables!$E$4:$E$8,MATCH(O239,MappingTables!$B$4:$B$8,0)))</f>
        <v>3.4248491244273128</v>
      </c>
      <c r="Q239" s="71">
        <f>IF(B239="",0,INDEX(ModelParameters!$D$6:$K$10,MATCH($O239,ModelParameters!$B$6:$B$10,0),MATCH($J239,ModelParameters!$D$5:$K$5,0)))</f>
        <v>0.075</v>
      </c>
      <c r="R239" s="71">
        <f>IF(B239="",0,INDEX(ModelParameters!$D$13:$K$17,MATCH($O239,ModelParameters!$B$13:$B$17,0),MATCH($J239,ModelParameters!$D$5:$K$5,0)))</f>
        <v>0</v>
      </c>
      <c r="S239" s="160">
        <f>IF(B239="",0,MIN(IF($N239="Other Bond TM",ModelParameters!$N$21,1)*(P239*Q239+R239),1))</f>
        <v>0.25686368433204848</v>
      </c>
      <c r="T239" s="85">
        <f>IF(B239="",0,$S239*$K239)</f>
        <v>10717.172804326728</v>
      </c>
      <c r="U239" s="85">
        <f>IF(B239="",0,IF(OR(H239=MappingTables!$C$34,H239=MappingTables!$C$35),T239,0))</f>
        <v>0</v>
      </c>
      <c r="V239" s="85">
        <f>IF(ISNA(IF(AND(VLOOKUP(CONCATENATE($D239,$G239),CSRFinput!$B:$E,4,0)=0,OR(H239=MappingTables!$C$34,H239=MappingTables!$C$35)),1,VLOOKUP(CONCATENATE($D239,$G239),CSRFinput!$B:$E,4,0))),0,IF(AND(VLOOKUP(CONCATENATE($D239,$G239),CSRFinput!$B:$E,4,0)=0,OR(H239=MappingTables!$C$34,H239=MappingTables!$C$35)),1,VLOOKUP(CONCATENATE($D239,$G239),CSRFinput!$B:$E,4,0)))</f>
        <v>0.054776304963434752</v>
      </c>
      <c r="W239" s="85">
        <f>IF(B239="",0,+$T239*$V239)</f>
        <v>587.04712587563016</v>
      </c>
      <c r="X239" s="85">
        <f>IF(B239="",0,IF(OR(H239=MappingTables!$C$34,H239=MappingTables!$C$35),W239,0))</f>
        <v>0</v>
      </c>
    </row>
    <row r="240" spans="2:24" s="0" customFormat="0" ht="15">
      <c r="B240" s="69">
        <v>22273778</v>
      </c>
      <c r="C240" s="70" t="s">
        <v>473</v>
      </c>
      <c r="D240" s="70" t="s">
        <v>1</v>
      </c>
      <c r="E240" s="70" t="s">
        <v>1</v>
      </c>
      <c r="F240" s="70"/>
      <c r="G240" s="70" t="s">
        <v>61</v>
      </c>
      <c r="H240" s="70" t="s">
        <v>178</v>
      </c>
      <c r="I240" s="70" t="s">
        <v>188</v>
      </c>
      <c r="J240" s="71">
        <f>IF(OR(I240=0,I240=""),"unrated",VLOOKUP(I240,MappingTables!$B$19:$C$31,2,FALSE))</f>
        <v>2</v>
      </c>
      <c r="K240" s="72">
        <v>218.16431061427396</v>
      </c>
      <c r="L240" s="70">
        <v>3.9255616041503096</v>
      </c>
      <c r="M240" s="71">
        <f>IF(L240&lt;1,1,L240)</f>
        <v>3.9255616041503096</v>
      </c>
      <c r="N240" s="70" t="s">
        <v>141</v>
      </c>
      <c r="O240" s="71">
        <f>INDEX(DurClassMapping,MATCH(M240,MappingTables!$D$4:$D$8,-1),1)</f>
        <v>1</v>
      </c>
      <c r="P240" s="73">
        <f>IF(M240=$A$1,1,$M240-INDEX(MappingTables!$E$4:$E$8,MATCH(O240,MappingTables!$B$4:$B$8,0)))</f>
        <v>3.9255616041503096</v>
      </c>
      <c r="Q240" s="71">
        <f>IF(B240="",0,INDEX(ModelParameters!$D$6:$K$10,MATCH($O240,ModelParameters!$B$6:$B$10,0),MATCH($J240,ModelParameters!$D$5:$K$5,0)))</f>
        <v>0.013999999999999998</v>
      </c>
      <c r="R240" s="71">
        <f>IF(B240="",0,INDEX(ModelParameters!$D$13:$K$17,MATCH($O240,ModelParameters!$B$13:$B$17,0),MATCH($J240,ModelParameters!$D$5:$K$5,0)))</f>
        <v>0</v>
      </c>
      <c r="S240" s="160">
        <f>IF(B240="",0,MIN(IF($N240="Other Bond TM",ModelParameters!$N$21,1)*(P240*Q240+R240),1))</f>
        <v>0.054957862458104328</v>
      </c>
      <c r="T240" s="85">
        <f>IF(B240="",0,$S240*$K240)</f>
        <v>11.98984417600642</v>
      </c>
      <c r="U240" s="85">
        <f>IF(B240="",0,IF(OR(H240=MappingTables!$C$34,H240=MappingTables!$C$35),T240,0))</f>
        <v>0</v>
      </c>
      <c r="V240" s="85">
        <f>IF(ISNA(IF(AND(VLOOKUP(CONCATENATE($D240,$G240),CSRFinput!$B:$E,4,0)=0,OR(H240=MappingTables!$C$34,H240=MappingTables!$C$35)),1,VLOOKUP(CONCATENATE($D240,$G240),CSRFinput!$B:$E,4,0))),0,IF(AND(VLOOKUP(CONCATENATE($D240,$G240),CSRFinput!$B:$E,4,0)=0,OR(H240=MappingTables!$C$34,H240=MappingTables!$C$35)),1,VLOOKUP(CONCATENATE($D240,$G240),CSRFinput!$B:$E,4,0)))</f>
        <v>0.054776304963434752</v>
      </c>
      <c r="W240" s="85">
        <f>IF(B240="",0,+$T240*$V240)</f>
        <v>0.65675936104898968</v>
      </c>
      <c r="X240" s="85">
        <f>IF(B240="",0,IF(OR(H240=MappingTables!$C$34,H240=MappingTables!$C$35),W240,0))</f>
        <v>0</v>
      </c>
    </row>
    <row r="241" spans="2:24" s="0" customFormat="0" ht="15">
      <c r="B241" s="69">
        <v>10489625</v>
      </c>
      <c r="C241" s="70" t="s">
        <v>474</v>
      </c>
      <c r="D241" s="70" t="s">
        <v>1</v>
      </c>
      <c r="E241" s="70" t="s">
        <v>1</v>
      </c>
      <c r="F241" s="70"/>
      <c r="G241" s="70" t="s">
        <v>61</v>
      </c>
      <c r="H241" s="70" t="s">
        <v>178</v>
      </c>
      <c r="I241" s="70" t="s">
        <v>181</v>
      </c>
      <c r="J241" s="71">
        <f>IF(OR(I241=0,I241=""),"unrated",VLOOKUP(I241,MappingTables!$B$19:$C$31,2,FALSE))</f>
        <v>3</v>
      </c>
      <c r="K241" s="72">
        <v>2334.3218783561552</v>
      </c>
      <c r="L241" s="70">
        <v>4.9820893690878728</v>
      </c>
      <c r="M241" s="71">
        <f>IF(L241&lt;1,1,L241)</f>
        <v>4.9820893690878728</v>
      </c>
      <c r="N241" s="70" t="s">
        <v>141</v>
      </c>
      <c r="O241" s="71">
        <f>INDEX(DurClassMapping,MATCH(M241,MappingTables!$D$4:$D$8,-1),1)</f>
        <v>1</v>
      </c>
      <c r="P241" s="73">
        <f>IF(M241=$A$1,1,$M241-INDEX(MappingTables!$E$4:$E$8,MATCH(O241,MappingTables!$B$4:$B$8,0)))</f>
        <v>4.9820893690878728</v>
      </c>
      <c r="Q241" s="71">
        <f>IF(B241="",0,INDEX(ModelParameters!$D$6:$K$10,MATCH($O241,ModelParameters!$B$6:$B$10,0),MATCH($J241,ModelParameters!$D$5:$K$5,0)))</f>
        <v>0.025</v>
      </c>
      <c r="R241" s="71">
        <f>IF(B241="",0,INDEX(ModelParameters!$D$13:$K$17,MATCH($O241,ModelParameters!$B$13:$B$17,0),MATCH($J241,ModelParameters!$D$5:$K$5,0)))</f>
        <v>0</v>
      </c>
      <c r="S241" s="160">
        <f>IF(B241="",0,MIN(IF($N241="Other Bond TM",ModelParameters!$N$21,1)*(P241*Q241+R241),1))</f>
        <v>0.12455223422719682</v>
      </c>
      <c r="T241" s="85">
        <f>IF(B241="",0,$S241*$K241)</f>
        <v>290.74500535468588</v>
      </c>
      <c r="U241" s="85">
        <f>IF(B241="",0,IF(OR(H241=MappingTables!$C$34,H241=MappingTables!$C$35),T241,0))</f>
        <v>0</v>
      </c>
      <c r="V241" s="85">
        <f>IF(ISNA(IF(AND(VLOOKUP(CONCATENATE($D241,$G241),CSRFinput!$B:$E,4,0)=0,OR(H241=MappingTables!$C$34,H241=MappingTables!$C$35)),1,VLOOKUP(CONCATENATE($D241,$G241),CSRFinput!$B:$E,4,0))),0,IF(AND(VLOOKUP(CONCATENATE($D241,$G241),CSRFinput!$B:$E,4,0)=0,OR(H241=MappingTables!$C$34,H241=MappingTables!$C$35)),1,VLOOKUP(CONCATENATE($D241,$G241),CSRFinput!$B:$E,4,0)))</f>
        <v>0.054776304963434752</v>
      </c>
      <c r="W241" s="85">
        <f>IF(B241="",0,+$T241*$V241)</f>
        <v>15.925937079903744</v>
      </c>
      <c r="X241" s="85">
        <f>IF(B241="",0,IF(OR(H241=MappingTables!$C$34,H241=MappingTables!$C$35),W241,0))</f>
        <v>0</v>
      </c>
    </row>
    <row r="242" spans="2:24" s="0" customFormat="0" ht="15">
      <c r="B242" s="69">
        <v>7621870</v>
      </c>
      <c r="C242" s="70" t="s">
        <v>475</v>
      </c>
      <c r="D242" s="70" t="s">
        <v>1</v>
      </c>
      <c r="E242" s="70" t="s">
        <v>1</v>
      </c>
      <c r="F242" s="70"/>
      <c r="G242" s="70" t="s">
        <v>61</v>
      </c>
      <c r="H242" s="70" t="s">
        <v>178</v>
      </c>
      <c r="I242" s="70" t="s">
        <v>181</v>
      </c>
      <c r="J242" s="71">
        <f>IF(OR(I242=0,I242=""),"unrated",VLOOKUP(I242,MappingTables!$B$19:$C$31,2,FALSE))</f>
        <v>3</v>
      </c>
      <c r="K242" s="72">
        <v>3.1861870712397528</v>
      </c>
      <c r="L242" s="70">
        <v>0.7643885027003552</v>
      </c>
      <c r="M242" s="71">
        <f>IF(L242&lt;1,1,L242)</f>
        <v>1</v>
      </c>
      <c r="N242" s="70" t="s">
        <v>141</v>
      </c>
      <c r="O242" s="71">
        <f>INDEX(DurClassMapping,MATCH(M242,MappingTables!$D$4:$D$8,-1),1)</f>
        <v>1</v>
      </c>
      <c r="P242" s="73">
        <f>IF(M242=$A$1,1,$M242-INDEX(MappingTables!$E$4:$E$8,MATCH(O242,MappingTables!$B$4:$B$8,0)))</f>
        <v>1</v>
      </c>
      <c r="Q242" s="71">
        <f>IF(B242="",0,INDEX(ModelParameters!$D$6:$K$10,MATCH($O242,ModelParameters!$B$6:$B$10,0),MATCH($J242,ModelParameters!$D$5:$K$5,0)))</f>
        <v>0.025</v>
      </c>
      <c r="R242" s="71">
        <f>IF(B242="",0,INDEX(ModelParameters!$D$13:$K$17,MATCH($O242,ModelParameters!$B$13:$B$17,0),MATCH($J242,ModelParameters!$D$5:$K$5,0)))</f>
        <v>0</v>
      </c>
      <c r="S242" s="160">
        <f>IF(B242="",0,MIN(IF($N242="Other Bond TM",ModelParameters!$N$21,1)*(P242*Q242+R242),1))</f>
        <v>0.025</v>
      </c>
      <c r="T242" s="85">
        <f>IF(B242="",0,$S242*$K242)</f>
        <v>0.079654676780993824</v>
      </c>
      <c r="U242" s="85">
        <f>IF(B242="",0,IF(OR(H242=MappingTables!$C$34,H242=MappingTables!$C$35),T242,0))</f>
        <v>0</v>
      </c>
      <c r="V242" s="85">
        <f>IF(ISNA(IF(AND(VLOOKUP(CONCATENATE($D242,$G242),CSRFinput!$B:$E,4,0)=0,OR(H242=MappingTables!$C$34,H242=MappingTables!$C$35)),1,VLOOKUP(CONCATENATE($D242,$G242),CSRFinput!$B:$E,4,0))),0,IF(AND(VLOOKUP(CONCATENATE($D242,$G242),CSRFinput!$B:$E,4,0)=0,OR(H242=MappingTables!$C$34,H242=MappingTables!$C$35)),1,VLOOKUP(CONCATENATE($D242,$G242),CSRFinput!$B:$E,4,0)))</f>
        <v>0.054776304963434752</v>
      </c>
      <c r="W242" s="85">
        <f>IF(B242="",0,+$T242*$V242)</f>
        <v>0.0043631888671195424</v>
      </c>
      <c r="X242" s="85">
        <f>IF(B242="",0,IF(OR(H242=MappingTables!$C$34,H242=MappingTables!$C$35),W242,0))</f>
        <v>0</v>
      </c>
    </row>
    <row r="243" spans="2:24" s="0" customFormat="0" ht="15">
      <c r="B243" s="69" t="s">
        <v>476</v>
      </c>
      <c r="C243" s="70" t="s">
        <v>477</v>
      </c>
      <c r="D243" s="70" t="s">
        <v>1</v>
      </c>
      <c r="E243" s="70" t="s">
        <v>1</v>
      </c>
      <c r="F243" s="70"/>
      <c r="G243" s="70" t="s">
        <v>61</v>
      </c>
      <c r="H243" s="70" t="s">
        <v>178</v>
      </c>
      <c r="I243" s="70" t="s">
        <v>198</v>
      </c>
      <c r="J243" s="71" t="str">
        <f>IF(OR(I243=0,I243=""),"unrated",VLOOKUP(I243,MappingTables!$B$19:$C$31,2,FALSE))</f>
        <v>unrated</v>
      </c>
      <c r="K243" s="72">
        <v>1021.7738950280102</v>
      </c>
      <c r="L243" s="70">
        <v>2.469041919789836</v>
      </c>
      <c r="M243" s="71">
        <f>IF(L243&lt;1,1,L243)</f>
        <v>2.469041919789836</v>
      </c>
      <c r="N243" s="70" t="s">
        <v>141</v>
      </c>
      <c r="O243" s="71">
        <f>INDEX(DurClassMapping,MATCH(M243,MappingTables!$D$4:$D$8,-1),1)</f>
        <v>1</v>
      </c>
      <c r="P243" s="73">
        <f>IF(M243=$A$1,1,$M243-INDEX(MappingTables!$E$4:$E$8,MATCH(O243,MappingTables!$B$4:$B$8,0)))</f>
        <v>2.469041919789836</v>
      </c>
      <c r="Q243" s="71">
        <f>IF(B243="",0,INDEX(ModelParameters!$D$6:$K$10,MATCH($O243,ModelParameters!$B$6:$B$10,0),MATCH($J243,ModelParameters!$D$5:$K$5,0)))</f>
        <v>0.03</v>
      </c>
      <c r="R243" s="71">
        <f>IF(B243="",0,INDEX(ModelParameters!$D$13:$K$17,MATCH($O243,ModelParameters!$B$13:$B$17,0),MATCH($J243,ModelParameters!$D$5:$K$5,0)))</f>
        <v>0</v>
      </c>
      <c r="S243" s="160">
        <f>IF(B243="",0,MIN(IF($N243="Other Bond TM",ModelParameters!$N$21,1)*(P243*Q243+R243),1))</f>
        <v>0.074071257593695088</v>
      </c>
      <c r="T243" s="85">
        <f>IF(B243="",0,$S243*$K243)</f>
        <v>75.684077381132896</v>
      </c>
      <c r="U243" s="85">
        <f>IF(B243="",0,IF(OR(H243=MappingTables!$C$34,H243=MappingTables!$C$35),T243,0))</f>
        <v>0</v>
      </c>
      <c r="V243" s="85">
        <f>IF(ISNA(IF(AND(VLOOKUP(CONCATENATE($D243,$G243),CSRFinput!$B:$E,4,0)=0,OR(H243=MappingTables!$C$34,H243=MappingTables!$C$35)),1,VLOOKUP(CONCATENATE($D243,$G243),CSRFinput!$B:$E,4,0))),0,IF(AND(VLOOKUP(CONCATENATE($D243,$G243),CSRFinput!$B:$E,4,0)=0,OR(H243=MappingTables!$C$34,H243=MappingTables!$C$35)),1,VLOOKUP(CONCATENATE($D243,$G243),CSRFinput!$B:$E,4,0)))</f>
        <v>0.054776304963434752</v>
      </c>
      <c r="W243" s="85">
        <f>IF(B243="",0,+$T243*$V243)</f>
        <v>4.1456941035051296</v>
      </c>
      <c r="X243" s="85">
        <f>IF(B243="",0,IF(OR(H243=MappingTables!$C$34,H243=MappingTables!$C$35),W243,0))</f>
        <v>0</v>
      </c>
    </row>
    <row r="244" spans="2:24" s="0" customFormat="0" ht="15">
      <c r="B244" s="69">
        <v>14559424</v>
      </c>
      <c r="C244" s="70" t="s">
        <v>478</v>
      </c>
      <c r="D244" s="70" t="s">
        <v>1</v>
      </c>
      <c r="E244" s="70" t="s">
        <v>1</v>
      </c>
      <c r="F244" s="70"/>
      <c r="G244" s="70" t="s">
        <v>61</v>
      </c>
      <c r="H244" s="70" t="s">
        <v>178</v>
      </c>
      <c r="I244" s="70" t="s">
        <v>181</v>
      </c>
      <c r="J244" s="71">
        <f>IF(OR(I244=0,I244=""),"unrated",VLOOKUP(I244,MappingTables!$B$19:$C$31,2,FALSE))</f>
        <v>3</v>
      </c>
      <c r="K244" s="72">
        <v>5519.0581513843728</v>
      </c>
      <c r="L244" s="70">
        <v>1.448080001295657</v>
      </c>
      <c r="M244" s="71">
        <f>IF(L244&lt;1,1,L244)</f>
        <v>1.448080001295657</v>
      </c>
      <c r="N244" s="70" t="s">
        <v>141</v>
      </c>
      <c r="O244" s="71">
        <f>INDEX(DurClassMapping,MATCH(M244,MappingTables!$D$4:$D$8,-1),1)</f>
        <v>1</v>
      </c>
      <c r="P244" s="73">
        <f>IF(M244=$A$1,1,$M244-INDEX(MappingTables!$E$4:$E$8,MATCH(O244,MappingTables!$B$4:$B$8,0)))</f>
        <v>1.448080001295657</v>
      </c>
      <c r="Q244" s="71">
        <f>IF(B244="",0,INDEX(ModelParameters!$D$6:$K$10,MATCH($O244,ModelParameters!$B$6:$B$10,0),MATCH($J244,ModelParameters!$D$5:$K$5,0)))</f>
        <v>0.025</v>
      </c>
      <c r="R244" s="71">
        <f>IF(B244="",0,INDEX(ModelParameters!$D$13:$K$17,MATCH($O244,ModelParameters!$B$13:$B$17,0),MATCH($J244,ModelParameters!$D$5:$K$5,0)))</f>
        <v>0</v>
      </c>
      <c r="S244" s="160">
        <f>IF(B244="",0,MIN(IF($N244="Other Bond TM",ModelParameters!$N$21,1)*(P244*Q244+R244),1))</f>
        <v>0.036202000032391424</v>
      </c>
      <c r="T244" s="85">
        <f>IF(B244="",0,$S244*$K244)</f>
        <v>199.80094337518724</v>
      </c>
      <c r="U244" s="85">
        <f>IF(B244="",0,IF(OR(H244=MappingTables!$C$34,H244=MappingTables!$C$35),T244,0))</f>
        <v>0</v>
      </c>
      <c r="V244" s="85">
        <f>IF(ISNA(IF(AND(VLOOKUP(CONCATENATE($D244,$G244),CSRFinput!$B:$E,4,0)=0,OR(H244=MappingTables!$C$34,H244=MappingTables!$C$35)),1,VLOOKUP(CONCATENATE($D244,$G244),CSRFinput!$B:$E,4,0))),0,IF(AND(VLOOKUP(CONCATENATE($D244,$G244),CSRFinput!$B:$E,4,0)=0,OR(H244=MappingTables!$C$34,H244=MappingTables!$C$35)),1,VLOOKUP(CONCATENATE($D244,$G244),CSRFinput!$B:$E,4,0)))</f>
        <v>0.054776304963434752</v>
      </c>
      <c r="W244" s="85">
        <f>IF(B244="",0,+$T244*$V244)</f>
        <v>10.944357406301216</v>
      </c>
      <c r="X244" s="85">
        <f>IF(B244="",0,IF(OR(H244=MappingTables!$C$34,H244=MappingTables!$C$35),W244,0))</f>
        <v>0</v>
      </c>
    </row>
    <row r="245" spans="2:24" s="0" customFormat="0" ht="15">
      <c r="B245" s="69" t="s">
        <v>479</v>
      </c>
      <c r="C245" s="70" t="s">
        <v>480</v>
      </c>
      <c r="D245" s="70" t="s">
        <v>1</v>
      </c>
      <c r="E245" s="70" t="s">
        <v>1</v>
      </c>
      <c r="F245" s="70"/>
      <c r="G245" s="70" t="s">
        <v>61</v>
      </c>
      <c r="H245" s="70" t="s">
        <v>178</v>
      </c>
      <c r="I245" s="70" t="s">
        <v>181</v>
      </c>
      <c r="J245" s="71">
        <f>IF(OR(I245=0,I245=""),"unrated",VLOOKUP(I245,MappingTables!$B$19:$C$31,2,FALSE))</f>
        <v>3</v>
      </c>
      <c r="K245" s="72">
        <v>1.5406165025273682</v>
      </c>
      <c r="L245" s="70">
        <v>1.9157656020564068</v>
      </c>
      <c r="M245" s="71">
        <f>IF(L245&lt;1,1,L245)</f>
        <v>1.9157656020564068</v>
      </c>
      <c r="N245" s="70" t="s">
        <v>141</v>
      </c>
      <c r="O245" s="71">
        <f>INDEX(DurClassMapping,MATCH(M245,MappingTables!$D$4:$D$8,-1),1)</f>
        <v>1</v>
      </c>
      <c r="P245" s="73">
        <f>IF(M245=$A$1,1,$M245-INDEX(MappingTables!$E$4:$E$8,MATCH(O245,MappingTables!$B$4:$B$8,0)))</f>
        <v>1.9157656020564068</v>
      </c>
      <c r="Q245" s="71">
        <f>IF(B245="",0,INDEX(ModelParameters!$D$6:$K$10,MATCH($O245,ModelParameters!$B$6:$B$10,0),MATCH($J245,ModelParameters!$D$5:$K$5,0)))</f>
        <v>0.025</v>
      </c>
      <c r="R245" s="71">
        <f>IF(B245="",0,INDEX(ModelParameters!$D$13:$K$17,MATCH($O245,ModelParameters!$B$13:$B$17,0),MATCH($J245,ModelParameters!$D$5:$K$5,0)))</f>
        <v>0</v>
      </c>
      <c r="S245" s="160">
        <f>IF(B245="",0,MIN(IF($N245="Other Bond TM",ModelParameters!$N$21,1)*(P245*Q245+R245),1))</f>
        <v>0.047894140051410168</v>
      </c>
      <c r="T245" s="85">
        <f>IF(B245="",0,$S245*$K245)</f>
        <v>0.073786502537559472</v>
      </c>
      <c r="U245" s="85">
        <f>IF(B245="",0,IF(OR(H245=MappingTables!$C$34,H245=MappingTables!$C$35),T245,0))</f>
        <v>0</v>
      </c>
      <c r="V245" s="85">
        <f>IF(ISNA(IF(AND(VLOOKUP(CONCATENATE($D245,$G245),CSRFinput!$B:$E,4,0)=0,OR(H245=MappingTables!$C$34,H245=MappingTables!$C$35)),1,VLOOKUP(CONCATENATE($D245,$G245),CSRFinput!$B:$E,4,0))),0,IF(AND(VLOOKUP(CONCATENATE($D245,$G245),CSRFinput!$B:$E,4,0)=0,OR(H245=MappingTables!$C$34,H245=MappingTables!$C$35)),1,VLOOKUP(CONCATENATE($D245,$G245),CSRFinput!$B:$E,4,0)))</f>
        <v>0.054776304963434752</v>
      </c>
      <c r="W245" s="85">
        <f>IF(B245="",0,+$T245*$V245)</f>
        <v>0.0040417519651826096</v>
      </c>
      <c r="X245" s="85">
        <f>IF(B245="",0,IF(OR(H245=MappingTables!$C$34,H245=MappingTables!$C$35),W245,0))</f>
        <v>0</v>
      </c>
    </row>
    <row r="246" spans="2:24" s="0" customFormat="0" ht="15">
      <c r="B246" s="69" t="s">
        <v>481</v>
      </c>
      <c r="C246" s="70" t="s">
        <v>482</v>
      </c>
      <c r="D246" s="70" t="s">
        <v>1</v>
      </c>
      <c r="E246" s="70" t="s">
        <v>1</v>
      </c>
      <c r="F246" s="70"/>
      <c r="G246" s="70" t="s">
        <v>61</v>
      </c>
      <c r="H246" s="70" t="s">
        <v>178</v>
      </c>
      <c r="I246" s="70" t="s">
        <v>198</v>
      </c>
      <c r="J246" s="71" t="str">
        <f>IF(OR(I246=0,I246=""),"unrated",VLOOKUP(I246,MappingTables!$B$19:$C$31,2,FALSE))</f>
        <v>unrated</v>
      </c>
      <c r="K246" s="72">
        <v>3.6330490993011128</v>
      </c>
      <c r="L246" s="70">
        <v>0.11232820151966092</v>
      </c>
      <c r="M246" s="71">
        <f>IF(L246&lt;1,1,L246)</f>
        <v>1</v>
      </c>
      <c r="N246" s="70" t="s">
        <v>141</v>
      </c>
      <c r="O246" s="71">
        <f>INDEX(DurClassMapping,MATCH(M246,MappingTables!$D$4:$D$8,-1),1)</f>
        <v>1</v>
      </c>
      <c r="P246" s="73">
        <f>IF(M246=$A$1,1,$M246-INDEX(MappingTables!$E$4:$E$8,MATCH(O246,MappingTables!$B$4:$B$8,0)))</f>
        <v>1</v>
      </c>
      <c r="Q246" s="71">
        <f>IF(B246="",0,INDEX(ModelParameters!$D$6:$K$10,MATCH($O246,ModelParameters!$B$6:$B$10,0),MATCH($J246,ModelParameters!$D$5:$K$5,0)))</f>
        <v>0.03</v>
      </c>
      <c r="R246" s="71">
        <f>IF(B246="",0,INDEX(ModelParameters!$D$13:$K$17,MATCH($O246,ModelParameters!$B$13:$B$17,0),MATCH($J246,ModelParameters!$D$5:$K$5,0)))</f>
        <v>0</v>
      </c>
      <c r="S246" s="160">
        <f>IF(B246="",0,MIN(IF($N246="Other Bond TM",ModelParameters!$N$21,1)*(P246*Q246+R246),1))</f>
        <v>0.03</v>
      </c>
      <c r="T246" s="85">
        <f>IF(B246="",0,$S246*$K246)</f>
        <v>0.10899147297903338</v>
      </c>
      <c r="U246" s="85">
        <f>IF(B246="",0,IF(OR(H246=MappingTables!$C$34,H246=MappingTables!$C$35),T246,0))</f>
        <v>0</v>
      </c>
      <c r="V246" s="85">
        <f>IF(ISNA(IF(AND(VLOOKUP(CONCATENATE($D246,$G246),CSRFinput!$B:$E,4,0)=0,OR(H246=MappingTables!$C$34,H246=MappingTables!$C$35)),1,VLOOKUP(CONCATENATE($D246,$G246),CSRFinput!$B:$E,4,0))),0,IF(AND(VLOOKUP(CONCATENATE($D246,$G246),CSRFinput!$B:$E,4,0)=0,OR(H246=MappingTables!$C$34,H246=MappingTables!$C$35)),1,VLOOKUP(CONCATENATE($D246,$G246),CSRFinput!$B:$E,4,0)))</f>
        <v>0.054776304963434752</v>
      </c>
      <c r="W246" s="85">
        <f>IF(B246="",0,+$T246*$V246)</f>
        <v>0.0059701501623134912</v>
      </c>
      <c r="X246" s="85">
        <f>IF(B246="",0,IF(OR(H246=MappingTables!$C$34,H246=MappingTables!$C$35),W246,0))</f>
        <v>0</v>
      </c>
    </row>
    <row r="247" spans="2:24" s="0" customFormat="0" ht="15">
      <c r="B247" s="69" t="s">
        <v>483</v>
      </c>
      <c r="C247" s="70" t="s">
        <v>484</v>
      </c>
      <c r="D247" s="70" t="s">
        <v>1</v>
      </c>
      <c r="E247" s="70" t="s">
        <v>1</v>
      </c>
      <c r="F247" s="70"/>
      <c r="G247" s="70" t="s">
        <v>61</v>
      </c>
      <c r="H247" s="70" t="s">
        <v>178</v>
      </c>
      <c r="I247" s="70" t="s">
        <v>181</v>
      </c>
      <c r="J247" s="71">
        <f>IF(OR(I247=0,I247=""),"unrated",VLOOKUP(I247,MappingTables!$B$19:$C$31,2,FALSE))</f>
        <v>3</v>
      </c>
      <c r="K247" s="72">
        <v>1055.5893198591548</v>
      </c>
      <c r="L247" s="70">
        <v>4.1202290004319176</v>
      </c>
      <c r="M247" s="71">
        <f>IF(L247&lt;1,1,L247)</f>
        <v>4.1202290004319176</v>
      </c>
      <c r="N247" s="70" t="s">
        <v>141</v>
      </c>
      <c r="O247" s="71">
        <f>INDEX(DurClassMapping,MATCH(M247,MappingTables!$D$4:$D$8,-1),1)</f>
        <v>1</v>
      </c>
      <c r="P247" s="73">
        <f>IF(M247=$A$1,1,$M247-INDEX(MappingTables!$E$4:$E$8,MATCH(O247,MappingTables!$B$4:$B$8,0)))</f>
        <v>4.1202290004319176</v>
      </c>
      <c r="Q247" s="71">
        <f>IF(B247="",0,INDEX(ModelParameters!$D$6:$K$10,MATCH($O247,ModelParameters!$B$6:$B$10,0),MATCH($J247,ModelParameters!$D$5:$K$5,0)))</f>
        <v>0.025</v>
      </c>
      <c r="R247" s="71">
        <f>IF(B247="",0,INDEX(ModelParameters!$D$13:$K$17,MATCH($O247,ModelParameters!$B$13:$B$17,0),MATCH($J247,ModelParameters!$D$5:$K$5,0)))</f>
        <v>0</v>
      </c>
      <c r="S247" s="160">
        <f>IF(B247="",0,MIN(IF($N247="Other Bond TM",ModelParameters!$N$21,1)*(P247*Q247+R247),1))</f>
        <v>0.10300572501079796</v>
      </c>
      <c r="T247" s="85">
        <f>IF(B247="",0,$S247*$K247)</f>
        <v>108.73174320574734</v>
      </c>
      <c r="U247" s="85">
        <f>IF(B247="",0,IF(OR(H247=MappingTables!$C$34,H247=MappingTables!$C$35),T247,0))</f>
        <v>0</v>
      </c>
      <c r="V247" s="85">
        <f>IF(ISNA(IF(AND(VLOOKUP(CONCATENATE($D247,$G247),CSRFinput!$B:$E,4,0)=0,OR(H247=MappingTables!$C$34,H247=MappingTables!$C$35)),1,VLOOKUP(CONCATENATE($D247,$G247),CSRFinput!$B:$E,4,0))),0,IF(AND(VLOOKUP(CONCATENATE($D247,$G247),CSRFinput!$B:$E,4,0)=0,OR(H247=MappingTables!$C$34,H247=MappingTables!$C$35)),1,VLOOKUP(CONCATENATE($D247,$G247),CSRFinput!$B:$E,4,0)))</f>
        <v>0.054776304963434752</v>
      </c>
      <c r="W247" s="85">
        <f>IF(B247="",0,+$T247*$V247)</f>
        <v>5.9559231250438912</v>
      </c>
      <c r="X247" s="85">
        <f>IF(B247="",0,IF(OR(H247=MappingTables!$C$34,H247=MappingTables!$C$35),W247,0))</f>
        <v>0</v>
      </c>
    </row>
    <row r="248" spans="2:24" s="0" customFormat="0" ht="15">
      <c r="B248" s="69" t="s">
        <v>485</v>
      </c>
      <c r="C248" s="70" t="s">
        <v>486</v>
      </c>
      <c r="D248" s="70" t="s">
        <v>1</v>
      </c>
      <c r="E248" s="70" t="s">
        <v>1</v>
      </c>
      <c r="F248" s="70"/>
      <c r="G248" s="70" t="s">
        <v>61</v>
      </c>
      <c r="H248" s="70" t="s">
        <v>178</v>
      </c>
      <c r="I248" s="70" t="s">
        <v>184</v>
      </c>
      <c r="J248" s="71">
        <f>IF(OR(I248=0,I248=""),"unrated",VLOOKUP(I248,MappingTables!$B$19:$C$31,2,FALSE))</f>
        <v>5</v>
      </c>
      <c r="K248" s="72">
        <v>45.909275403043584</v>
      </c>
      <c r="L248" s="70">
        <v>3.9152998262831672</v>
      </c>
      <c r="M248" s="71">
        <f>IF(L248&lt;1,1,L248)</f>
        <v>3.9152998262831672</v>
      </c>
      <c r="N248" s="70" t="s">
        <v>141</v>
      </c>
      <c r="O248" s="71">
        <f>INDEX(DurClassMapping,MATCH(M248,MappingTables!$D$4:$D$8,-1),1)</f>
        <v>1</v>
      </c>
      <c r="P248" s="73">
        <f>IF(M248=$A$1,1,$M248-INDEX(MappingTables!$E$4:$E$8,MATCH(O248,MappingTables!$B$4:$B$8,0)))</f>
        <v>3.9152998262831672</v>
      </c>
      <c r="Q248" s="71">
        <f>IF(B248="",0,INDEX(ModelParameters!$D$6:$K$10,MATCH($O248,ModelParameters!$B$6:$B$10,0),MATCH($J248,ModelParameters!$D$5:$K$5,0)))</f>
        <v>0.075</v>
      </c>
      <c r="R248" s="71">
        <f>IF(B248="",0,INDEX(ModelParameters!$D$13:$K$17,MATCH($O248,ModelParameters!$B$13:$B$17,0),MATCH($J248,ModelParameters!$D$5:$K$5,0)))</f>
        <v>0</v>
      </c>
      <c r="S248" s="160">
        <f>IF(B248="",0,MIN(IF($N248="Other Bond TM",ModelParameters!$N$21,1)*(P248*Q248+R248),1))</f>
        <v>0.29364748697123756</v>
      </c>
      <c r="T248" s="85">
        <f>IF(B248="",0,$S248*$K248)</f>
        <v>13.481143350774198</v>
      </c>
      <c r="U248" s="85">
        <f>IF(B248="",0,IF(OR(H248=MappingTables!$C$34,H248=MappingTables!$C$35),T248,0))</f>
        <v>0</v>
      </c>
      <c r="V248" s="85">
        <f>IF(ISNA(IF(AND(VLOOKUP(CONCATENATE($D248,$G248),CSRFinput!$B:$E,4,0)=0,OR(H248=MappingTables!$C$34,H248=MappingTables!$C$35)),1,VLOOKUP(CONCATENATE($D248,$G248),CSRFinput!$B:$E,4,0))),0,IF(AND(VLOOKUP(CONCATENATE($D248,$G248),CSRFinput!$B:$E,4,0)=0,OR(H248=MappingTables!$C$34,H248=MappingTables!$C$35)),1,VLOOKUP(CONCATENATE($D248,$G248),CSRFinput!$B:$E,4,0)))</f>
        <v>0.054776304963434752</v>
      </c>
      <c r="W248" s="85">
        <f>IF(B248="",0,+$T248*$V248)</f>
        <v>0.73844721943778816</v>
      </c>
      <c r="X248" s="85">
        <f>IF(B248="",0,IF(OR(H248=MappingTables!$C$34,H248=MappingTables!$C$35),W248,0))</f>
        <v>0</v>
      </c>
    </row>
    <row r="249" spans="2:24" s="0" customFormat="0" ht="15">
      <c r="B249" s="69">
        <v>18025250</v>
      </c>
      <c r="C249" s="70" t="s">
        <v>487</v>
      </c>
      <c r="D249" s="70" t="s">
        <v>1</v>
      </c>
      <c r="E249" s="70" t="s">
        <v>1</v>
      </c>
      <c r="F249" s="70"/>
      <c r="G249" s="70" t="s">
        <v>61</v>
      </c>
      <c r="H249" s="70" t="s">
        <v>178</v>
      </c>
      <c r="I249" s="70" t="s">
        <v>204</v>
      </c>
      <c r="J249" s="71">
        <f>IF(OR(I249=0,I249=""),"unrated",VLOOKUP(I249,MappingTables!$B$19:$C$31,2,FALSE))</f>
        <v>6</v>
      </c>
      <c r="K249" s="72">
        <v>66.934669068989992</v>
      </c>
      <c r="L249" s="70">
        <v>5.4445310256241504</v>
      </c>
      <c r="M249" s="71">
        <f>IF(L249&lt;1,1,L249)</f>
        <v>5.4445310256241504</v>
      </c>
      <c r="N249" s="70" t="s">
        <v>141</v>
      </c>
      <c r="O249" s="71">
        <f>INDEX(DurClassMapping,MATCH(M249,MappingTables!$D$4:$D$8,-1),1)</f>
        <v>2</v>
      </c>
      <c r="P249" s="73">
        <f>IF(M249=$A$1,1,$M249-INDEX(MappingTables!$E$4:$E$8,MATCH(O249,MappingTables!$B$4:$B$8,0)))</f>
        <v>0.4445310256241504</v>
      </c>
      <c r="Q249" s="71">
        <f>IF(B249="",0,INDEX(ModelParameters!$D$6:$K$10,MATCH($O249,ModelParameters!$B$6:$B$10,0),MATCH($J249,ModelParameters!$D$5:$K$5,0)))</f>
        <v>0.042</v>
      </c>
      <c r="R249" s="71">
        <f>IF(B249="",0,INDEX(ModelParameters!$D$13:$K$17,MATCH($O249,ModelParameters!$B$13:$B$17,0),MATCH($J249,ModelParameters!$D$5:$K$5,0)))</f>
        <v>0.375</v>
      </c>
      <c r="S249" s="160">
        <f>IF(B249="",0,MIN(IF($N249="Other Bond TM",ModelParameters!$N$21,1)*(P249*Q249+R249),1))</f>
        <v>0.39367030307621432</v>
      </c>
      <c r="T249" s="85">
        <f>IF(B249="",0,$S249*$K249)</f>
        <v>26.3501914586954</v>
      </c>
      <c r="U249" s="85">
        <f>IF(B249="",0,IF(OR(H249=MappingTables!$C$34,H249=MappingTables!$C$35),T249,0))</f>
        <v>0</v>
      </c>
      <c r="V249" s="85">
        <f>IF(ISNA(IF(AND(VLOOKUP(CONCATENATE($D249,$G249),CSRFinput!$B:$E,4,0)=0,OR(H249=MappingTables!$C$34,H249=MappingTables!$C$35)),1,VLOOKUP(CONCATENATE($D249,$G249),CSRFinput!$B:$E,4,0))),0,IF(AND(VLOOKUP(CONCATENATE($D249,$G249),CSRFinput!$B:$E,4,0)=0,OR(H249=MappingTables!$C$34,H249=MappingTables!$C$35)),1,VLOOKUP(CONCATENATE($D249,$G249),CSRFinput!$B:$E,4,0)))</f>
        <v>0.054776304963434752</v>
      </c>
      <c r="W249" s="85">
        <f>IF(B249="",0,+$T249*$V249)</f>
        <v>1.4433661231863928</v>
      </c>
      <c r="X249" s="85">
        <f>IF(B249="",0,IF(OR(H249=MappingTables!$C$34,H249=MappingTables!$C$35),W249,0))</f>
        <v>0</v>
      </c>
    </row>
    <row r="250" spans="2:24" s="0" customFormat="0" ht="15">
      <c r="B250" s="69" t="s">
        <v>488</v>
      </c>
      <c r="C250" s="70" t="s">
        <v>489</v>
      </c>
      <c r="D250" s="70" t="s">
        <v>1</v>
      </c>
      <c r="E250" s="70" t="s">
        <v>1</v>
      </c>
      <c r="F250" s="70"/>
      <c r="G250" s="70" t="s">
        <v>61</v>
      </c>
      <c r="H250" s="70" t="s">
        <v>178</v>
      </c>
      <c r="I250" s="70" t="s">
        <v>181</v>
      </c>
      <c r="J250" s="71">
        <f>IF(OR(I250=0,I250=""),"unrated",VLOOKUP(I250,MappingTables!$B$19:$C$31,2,FALSE))</f>
        <v>3</v>
      </c>
      <c r="K250" s="72">
        <v>1261.1768648917474</v>
      </c>
      <c r="L250" s="70">
        <v>1.4010497044944684</v>
      </c>
      <c r="M250" s="71">
        <f>IF(L250&lt;1,1,L250)</f>
        <v>1.4010497044944684</v>
      </c>
      <c r="N250" s="70" t="s">
        <v>141</v>
      </c>
      <c r="O250" s="71">
        <f>INDEX(DurClassMapping,MATCH(M250,MappingTables!$D$4:$D$8,-1),1)</f>
        <v>1</v>
      </c>
      <c r="P250" s="73">
        <f>IF(M250=$A$1,1,$M250-INDEX(MappingTables!$E$4:$E$8,MATCH(O250,MappingTables!$B$4:$B$8,0)))</f>
        <v>1.4010497044944684</v>
      </c>
      <c r="Q250" s="71">
        <f>IF(B250="",0,INDEX(ModelParameters!$D$6:$K$10,MATCH($O250,ModelParameters!$B$6:$B$10,0),MATCH($J250,ModelParameters!$D$5:$K$5,0)))</f>
        <v>0.025</v>
      </c>
      <c r="R250" s="71">
        <f>IF(B250="",0,INDEX(ModelParameters!$D$13:$K$17,MATCH($O250,ModelParameters!$B$13:$B$17,0),MATCH($J250,ModelParameters!$D$5:$K$5,0)))</f>
        <v>0</v>
      </c>
      <c r="S250" s="160">
        <f>IF(B250="",0,MIN(IF($N250="Other Bond TM",ModelParameters!$N$21,1)*(P250*Q250+R250),1))</f>
        <v>0.035026242612361708</v>
      </c>
      <c r="T250" s="85">
        <f>IF(B250="",0,$S250*$K250)</f>
        <v>44.174286846796064</v>
      </c>
      <c r="U250" s="85">
        <f>IF(B250="",0,IF(OR(H250=MappingTables!$C$34,H250=MappingTables!$C$35),T250,0))</f>
        <v>0</v>
      </c>
      <c r="V250" s="85">
        <f>IF(ISNA(IF(AND(VLOOKUP(CONCATENATE($D250,$G250),CSRFinput!$B:$E,4,0)=0,OR(H250=MappingTables!$C$34,H250=MappingTables!$C$35)),1,VLOOKUP(CONCATENATE($D250,$G250),CSRFinput!$B:$E,4,0))),0,IF(AND(VLOOKUP(CONCATENATE($D250,$G250),CSRFinput!$B:$E,4,0)=0,OR(H250=MappingTables!$C$34,H250=MappingTables!$C$35)),1,VLOOKUP(CONCATENATE($D250,$G250),CSRFinput!$B:$E,4,0)))</f>
        <v>0.054776304963434752</v>
      </c>
      <c r="W250" s="85">
        <f>IF(B250="",0,+$T250*$V250)</f>
        <v>2.419704207862346</v>
      </c>
      <c r="X250" s="85">
        <f>IF(B250="",0,IF(OR(H250=MappingTables!$C$34,H250=MappingTables!$C$35),W250,0))</f>
        <v>0</v>
      </c>
    </row>
    <row r="251" spans="2:24" s="0" customFormat="0" ht="15">
      <c r="B251" s="69">
        <v>12259980</v>
      </c>
      <c r="C251" s="70" t="s">
        <v>490</v>
      </c>
      <c r="D251" s="70" t="s">
        <v>1</v>
      </c>
      <c r="E251" s="70" t="s">
        <v>1</v>
      </c>
      <c r="F251" s="70"/>
      <c r="G251" s="70" t="s">
        <v>61</v>
      </c>
      <c r="H251" s="70" t="s">
        <v>178</v>
      </c>
      <c r="I251" s="70" t="s">
        <v>179</v>
      </c>
      <c r="J251" s="71">
        <f>IF(OR(I251=0,I251=""),"unrated",VLOOKUP(I251,MappingTables!$B$19:$C$31,2,FALSE))</f>
        <v>4</v>
      </c>
      <c r="K251" s="72">
        <v>47.549315097118112</v>
      </c>
      <c r="L251" s="70">
        <v>0.5216048932680124</v>
      </c>
      <c r="M251" s="71">
        <f>IF(L251&lt;1,1,L251)</f>
        <v>1</v>
      </c>
      <c r="N251" s="70" t="s">
        <v>141</v>
      </c>
      <c r="O251" s="71">
        <f>INDEX(DurClassMapping,MATCH(M251,MappingTables!$D$4:$D$8,-1),1)</f>
        <v>1</v>
      </c>
      <c r="P251" s="73">
        <f>IF(M251=$A$1,1,$M251-INDEX(MappingTables!$E$4:$E$8,MATCH(O251,MappingTables!$B$4:$B$8,0)))</f>
        <v>1</v>
      </c>
      <c r="Q251" s="71">
        <f>IF(B251="",0,INDEX(ModelParameters!$D$6:$K$10,MATCH($O251,ModelParameters!$B$6:$B$10,0),MATCH($J251,ModelParameters!$D$5:$K$5,0)))</f>
        <v>0.045</v>
      </c>
      <c r="R251" s="71">
        <f>IF(B251="",0,INDEX(ModelParameters!$D$13:$K$17,MATCH($O251,ModelParameters!$B$13:$B$17,0),MATCH($J251,ModelParameters!$D$5:$K$5,0)))</f>
        <v>0</v>
      </c>
      <c r="S251" s="160">
        <f>IF(B251="",0,MIN(IF($N251="Other Bond TM",ModelParameters!$N$21,1)*(P251*Q251+R251),1))</f>
        <v>0.045</v>
      </c>
      <c r="T251" s="85">
        <f>IF(B251="",0,$S251*$K251)</f>
        <v>2.1397191793703148</v>
      </c>
      <c r="U251" s="85">
        <f>IF(B251="",0,IF(OR(H251=MappingTables!$C$34,H251=MappingTables!$C$35),T251,0))</f>
        <v>0</v>
      </c>
      <c r="V251" s="85">
        <f>IF(ISNA(IF(AND(VLOOKUP(CONCATENATE($D251,$G251),CSRFinput!$B:$E,4,0)=0,OR(H251=MappingTables!$C$34,H251=MappingTables!$C$35)),1,VLOOKUP(CONCATENATE($D251,$G251),CSRFinput!$B:$E,4,0))),0,IF(AND(VLOOKUP(CONCATENATE($D251,$G251),CSRFinput!$B:$E,4,0)=0,OR(H251=MappingTables!$C$34,H251=MappingTables!$C$35)),1,VLOOKUP(CONCATENATE($D251,$G251),CSRFinput!$B:$E,4,0)))</f>
        <v>0.054776304963434752</v>
      </c>
      <c r="W251" s="85">
        <f>IF(B251="",0,+$T251*$V251)</f>
        <v>0.11720591030529872</v>
      </c>
      <c r="X251" s="85">
        <f>IF(B251="",0,IF(OR(H251=MappingTables!$C$34,H251=MappingTables!$C$35),W251,0))</f>
        <v>0</v>
      </c>
    </row>
    <row r="252" spans="2:24" s="0" customFormat="0" ht="15">
      <c r="B252" s="69">
        <v>23372702</v>
      </c>
      <c r="C252" s="70" t="s">
        <v>491</v>
      </c>
      <c r="D252" s="70" t="s">
        <v>1</v>
      </c>
      <c r="E252" s="70" t="s">
        <v>1</v>
      </c>
      <c r="F252" s="70"/>
      <c r="G252" s="70" t="s">
        <v>61</v>
      </c>
      <c r="H252" s="70" t="s">
        <v>178</v>
      </c>
      <c r="I252" s="70" t="s">
        <v>179</v>
      </c>
      <c r="J252" s="71">
        <f>IF(OR(I252=0,I252=""),"unrated",VLOOKUP(I252,MappingTables!$B$19:$C$31,2,FALSE))</f>
        <v>4</v>
      </c>
      <c r="K252" s="72">
        <v>98.17515955965768</v>
      </c>
      <c r="L252" s="70">
        <v>2.5515414271594236</v>
      </c>
      <c r="M252" s="71">
        <f>IF(L252&lt;1,1,L252)</f>
        <v>2.5515414271594236</v>
      </c>
      <c r="N252" s="70" t="s">
        <v>141</v>
      </c>
      <c r="O252" s="71">
        <f>INDEX(DurClassMapping,MATCH(M252,MappingTables!$D$4:$D$8,-1),1)</f>
        <v>1</v>
      </c>
      <c r="P252" s="73">
        <f>IF(M252=$A$1,1,$M252-INDEX(MappingTables!$E$4:$E$8,MATCH(O252,MappingTables!$B$4:$B$8,0)))</f>
        <v>2.5515414271594236</v>
      </c>
      <c r="Q252" s="71">
        <f>IF(B252="",0,INDEX(ModelParameters!$D$6:$K$10,MATCH($O252,ModelParameters!$B$6:$B$10,0),MATCH($J252,ModelParameters!$D$5:$K$5,0)))</f>
        <v>0.045</v>
      </c>
      <c r="R252" s="71">
        <f>IF(B252="",0,INDEX(ModelParameters!$D$13:$K$17,MATCH($O252,ModelParameters!$B$13:$B$17,0),MATCH($J252,ModelParameters!$D$5:$K$5,0)))</f>
        <v>0</v>
      </c>
      <c r="S252" s="160">
        <f>IF(B252="",0,MIN(IF($N252="Other Bond TM",ModelParameters!$N$21,1)*(P252*Q252+R252),1))</f>
        <v>0.11481936422217406</v>
      </c>
      <c r="T252" s="85">
        <f>IF(B252="",0,$S252*$K252)</f>
        <v>11.27240940305039</v>
      </c>
      <c r="U252" s="85">
        <f>IF(B252="",0,IF(OR(H252=MappingTables!$C$34,H252=MappingTables!$C$35),T252,0))</f>
        <v>0</v>
      </c>
      <c r="V252" s="85">
        <f>IF(ISNA(IF(AND(VLOOKUP(CONCATENATE($D252,$G252),CSRFinput!$B:$E,4,0)=0,OR(H252=MappingTables!$C$34,H252=MappingTables!$C$35)),1,VLOOKUP(CONCATENATE($D252,$G252),CSRFinput!$B:$E,4,0))),0,IF(AND(VLOOKUP(CONCATENATE($D252,$G252),CSRFinput!$B:$E,4,0)=0,OR(H252=MappingTables!$C$34,H252=MappingTables!$C$35)),1,VLOOKUP(CONCATENATE($D252,$G252),CSRFinput!$B:$E,4,0)))</f>
        <v>0.054776304963434752</v>
      </c>
      <c r="W252" s="85">
        <f>IF(B252="",0,+$T252*$V252)</f>
        <v>0.61746093513417768</v>
      </c>
      <c r="X252" s="85">
        <f>IF(B252="",0,IF(OR(H252=MappingTables!$C$34,H252=MappingTables!$C$35),W252,0))</f>
        <v>0</v>
      </c>
    </row>
    <row r="253" spans="2:24" s="0" customFormat="0" ht="15">
      <c r="B253" s="69">
        <v>13533865</v>
      </c>
      <c r="C253" s="70" t="s">
        <v>492</v>
      </c>
      <c r="D253" s="70" t="s">
        <v>1</v>
      </c>
      <c r="E253" s="70" t="s">
        <v>1</v>
      </c>
      <c r="F253" s="70"/>
      <c r="G253" s="70" t="s">
        <v>61</v>
      </c>
      <c r="H253" s="70" t="s">
        <v>178</v>
      </c>
      <c r="I253" s="70" t="s">
        <v>179</v>
      </c>
      <c r="J253" s="71">
        <f>IF(OR(I253=0,I253=""),"unrated",VLOOKUP(I253,MappingTables!$B$19:$C$31,2,FALSE))</f>
        <v>4</v>
      </c>
      <c r="K253" s="72">
        <v>746.15110892212176</v>
      </c>
      <c r="L253" s="70">
        <v>1.4154365844229296</v>
      </c>
      <c r="M253" s="71">
        <f>IF(L253&lt;1,1,L253)</f>
        <v>1.4154365844229296</v>
      </c>
      <c r="N253" s="70" t="s">
        <v>141</v>
      </c>
      <c r="O253" s="71">
        <f>INDEX(DurClassMapping,MATCH(M253,MappingTables!$D$4:$D$8,-1),1)</f>
        <v>1</v>
      </c>
      <c r="P253" s="73">
        <f>IF(M253=$A$1,1,$M253-INDEX(MappingTables!$E$4:$E$8,MATCH(O253,MappingTables!$B$4:$B$8,0)))</f>
        <v>1.4154365844229296</v>
      </c>
      <c r="Q253" s="71">
        <f>IF(B253="",0,INDEX(ModelParameters!$D$6:$K$10,MATCH($O253,ModelParameters!$B$6:$B$10,0),MATCH($J253,ModelParameters!$D$5:$K$5,0)))</f>
        <v>0.045</v>
      </c>
      <c r="R253" s="71">
        <f>IF(B253="",0,INDEX(ModelParameters!$D$13:$K$17,MATCH($O253,ModelParameters!$B$13:$B$17,0),MATCH($J253,ModelParameters!$D$5:$K$5,0)))</f>
        <v>0</v>
      </c>
      <c r="S253" s="160">
        <f>IF(B253="",0,MIN(IF($N253="Other Bond TM",ModelParameters!$N$21,1)*(P253*Q253+R253),1))</f>
        <v>0.063694646299031824</v>
      </c>
      <c r="T253" s="85">
        <f>IF(B253="",0,$S253*$K253)</f>
        <v>47.525830968424904</v>
      </c>
      <c r="U253" s="85">
        <f>IF(B253="",0,IF(OR(H253=MappingTables!$C$34,H253=MappingTables!$C$35),T253,0))</f>
        <v>0</v>
      </c>
      <c r="V253" s="85">
        <f>IF(ISNA(IF(AND(VLOOKUP(CONCATENATE($D253,$G253),CSRFinput!$B:$E,4,0)=0,OR(H253=MappingTables!$C$34,H253=MappingTables!$C$35)),1,VLOOKUP(CONCATENATE($D253,$G253),CSRFinput!$B:$E,4,0))),0,IF(AND(VLOOKUP(CONCATENATE($D253,$G253),CSRFinput!$B:$E,4,0)=0,OR(H253=MappingTables!$C$34,H253=MappingTables!$C$35)),1,VLOOKUP(CONCATENATE($D253,$G253),CSRFinput!$B:$E,4,0)))</f>
        <v>0.054776304963434752</v>
      </c>
      <c r="W253" s="85">
        <f>IF(B253="",0,+$T253*$V253)</f>
        <v>2.6032894107670944</v>
      </c>
      <c r="X253" s="85">
        <f>IF(B253="",0,IF(OR(H253=MappingTables!$C$34,H253=MappingTables!$C$35),W253,0))</f>
        <v>0</v>
      </c>
    </row>
    <row r="254" spans="2:24" s="0" customFormat="0" ht="15">
      <c r="B254" s="69">
        <v>9513772</v>
      </c>
      <c r="C254" s="70" t="s">
        <v>493</v>
      </c>
      <c r="D254" s="70" t="s">
        <v>1</v>
      </c>
      <c r="E254" s="70" t="s">
        <v>1</v>
      </c>
      <c r="F254" s="70"/>
      <c r="G254" s="70" t="s">
        <v>61</v>
      </c>
      <c r="H254" s="70" t="s">
        <v>178</v>
      </c>
      <c r="I254" s="70" t="s">
        <v>181</v>
      </c>
      <c r="J254" s="71">
        <f>IF(OR(I254=0,I254=""),"unrated",VLOOKUP(I254,MappingTables!$B$19:$C$31,2,FALSE))</f>
        <v>3</v>
      </c>
      <c r="K254" s="72">
        <v>627.24209292253976</v>
      </c>
      <c r="L254" s="70">
        <v>3.6909597810913072</v>
      </c>
      <c r="M254" s="71">
        <f>IF(L254&lt;1,1,L254)</f>
        <v>3.6909597810913072</v>
      </c>
      <c r="N254" s="70" t="s">
        <v>141</v>
      </c>
      <c r="O254" s="71">
        <f>INDEX(DurClassMapping,MATCH(M254,MappingTables!$D$4:$D$8,-1),1)</f>
        <v>1</v>
      </c>
      <c r="P254" s="73">
        <f>IF(M254=$A$1,1,$M254-INDEX(MappingTables!$E$4:$E$8,MATCH(O254,MappingTables!$B$4:$B$8,0)))</f>
        <v>3.6909597810913072</v>
      </c>
      <c r="Q254" s="71">
        <f>IF(B254="",0,INDEX(ModelParameters!$D$6:$K$10,MATCH($O254,ModelParameters!$B$6:$B$10,0),MATCH($J254,ModelParameters!$D$5:$K$5,0)))</f>
        <v>0.025</v>
      </c>
      <c r="R254" s="71">
        <f>IF(B254="",0,INDEX(ModelParameters!$D$13:$K$17,MATCH($O254,ModelParameters!$B$13:$B$17,0),MATCH($J254,ModelParameters!$D$5:$K$5,0)))</f>
        <v>0</v>
      </c>
      <c r="S254" s="160">
        <f>IF(B254="",0,MIN(IF($N254="Other Bond TM",ModelParameters!$N$21,1)*(P254*Q254+R254),1))</f>
        <v>0.092273994527282688</v>
      </c>
      <c r="T254" s="85">
        <f>IF(B254="",0,$S254*$K254)</f>
        <v>57.878133449615776</v>
      </c>
      <c r="U254" s="85">
        <f>IF(B254="",0,IF(OR(H254=MappingTables!$C$34,H254=MappingTables!$C$35),T254,0))</f>
        <v>0</v>
      </c>
      <c r="V254" s="85">
        <f>IF(ISNA(IF(AND(VLOOKUP(CONCATENATE($D254,$G254),CSRFinput!$B:$E,4,0)=0,OR(H254=MappingTables!$C$34,H254=MappingTables!$C$35)),1,VLOOKUP(CONCATENATE($D254,$G254),CSRFinput!$B:$E,4,0))),0,IF(AND(VLOOKUP(CONCATENATE($D254,$G254),CSRFinput!$B:$E,4,0)=0,OR(H254=MappingTables!$C$34,H254=MappingTables!$C$35)),1,VLOOKUP(CONCATENATE($D254,$G254),CSRFinput!$B:$E,4,0)))</f>
        <v>0.054776304963434752</v>
      </c>
      <c r="W254" s="85">
        <f>IF(B254="",0,+$T254*$V254)</f>
        <v>3.1703502885505276</v>
      </c>
      <c r="X254" s="85">
        <f>IF(B254="",0,IF(OR(H254=MappingTables!$C$34,H254=MappingTables!$C$35),W254,0))</f>
        <v>0</v>
      </c>
    </row>
    <row r="255" spans="2:24" s="0" customFormat="0" ht="15">
      <c r="B255" s="69">
        <v>14559424</v>
      </c>
      <c r="C255" s="70" t="s">
        <v>478</v>
      </c>
      <c r="D255" s="70" t="s">
        <v>1</v>
      </c>
      <c r="E255" s="70" t="s">
        <v>1</v>
      </c>
      <c r="F255" s="70"/>
      <c r="G255" s="70" t="s">
        <v>61</v>
      </c>
      <c r="H255" s="70" t="s">
        <v>178</v>
      </c>
      <c r="I255" s="70" t="s">
        <v>181</v>
      </c>
      <c r="J255" s="71">
        <f>IF(OR(I255=0,I255=""),"unrated",VLOOKUP(I255,MappingTables!$B$19:$C$31,2,FALSE))</f>
        <v>3</v>
      </c>
      <c r="K255" s="72">
        <v>11706.29801000227</v>
      </c>
      <c r="L255" s="70">
        <v>1.4480800012956596</v>
      </c>
      <c r="M255" s="71">
        <f>IF(L255&lt;1,1,L255)</f>
        <v>1.4480800012956596</v>
      </c>
      <c r="N255" s="70" t="s">
        <v>141</v>
      </c>
      <c r="O255" s="71">
        <f>INDEX(DurClassMapping,MATCH(M255,MappingTables!$D$4:$D$8,-1),1)</f>
        <v>1</v>
      </c>
      <c r="P255" s="73">
        <f>IF(M255=$A$1,1,$M255-INDEX(MappingTables!$E$4:$E$8,MATCH(O255,MappingTables!$B$4:$B$8,0)))</f>
        <v>1.4480800012956596</v>
      </c>
      <c r="Q255" s="71">
        <f>IF(B255="",0,INDEX(ModelParameters!$D$6:$K$10,MATCH($O255,ModelParameters!$B$6:$B$10,0),MATCH($J255,ModelParameters!$D$5:$K$5,0)))</f>
        <v>0.025</v>
      </c>
      <c r="R255" s="71">
        <f>IF(B255="",0,INDEX(ModelParameters!$D$13:$K$17,MATCH($O255,ModelParameters!$B$13:$B$17,0),MATCH($J255,ModelParameters!$D$5:$K$5,0)))</f>
        <v>0</v>
      </c>
      <c r="S255" s="160">
        <f>IF(B255="",0,MIN(IF($N255="Other Bond TM",ModelParameters!$N$21,1)*(P255*Q255+R255),1))</f>
        <v>0.036202000032391488</v>
      </c>
      <c r="T255" s="85">
        <f>IF(B255="",0,$S255*$K255)</f>
        <v>423.79140093728664</v>
      </c>
      <c r="U255" s="85">
        <f>IF(B255="",0,IF(OR(H255=MappingTables!$C$34,H255=MappingTables!$C$35),T255,0))</f>
        <v>0</v>
      </c>
      <c r="V255" s="85">
        <f>IF(ISNA(IF(AND(VLOOKUP(CONCATENATE($D255,$G255),CSRFinput!$B:$E,4,0)=0,OR(H255=MappingTables!$C$34,H255=MappingTables!$C$35)),1,VLOOKUP(CONCATENATE($D255,$G255),CSRFinput!$B:$E,4,0))),0,IF(AND(VLOOKUP(CONCATENATE($D255,$G255),CSRFinput!$B:$E,4,0)=0,OR(H255=MappingTables!$C$34,H255=MappingTables!$C$35)),1,VLOOKUP(CONCATENATE($D255,$G255),CSRFinput!$B:$E,4,0)))</f>
        <v>0.054776304963434752</v>
      </c>
      <c r="W255" s="85">
        <f>IF(B255="",0,+$T255*$V255)</f>
        <v>23.213727018622064</v>
      </c>
      <c r="X255" s="85">
        <f>IF(B255="",0,IF(OR(H255=MappingTables!$C$34,H255=MappingTables!$C$35),W255,0))</f>
        <v>0</v>
      </c>
    </row>
    <row r="256" spans="2:24" s="0" customFormat="0" ht="15">
      <c r="B256" s="69">
        <v>23455187</v>
      </c>
      <c r="C256" s="70" t="s">
        <v>494</v>
      </c>
      <c r="D256" s="70" t="s">
        <v>1</v>
      </c>
      <c r="E256" s="70" t="s">
        <v>1</v>
      </c>
      <c r="F256" s="70"/>
      <c r="G256" s="70" t="s">
        <v>61</v>
      </c>
      <c r="H256" s="70" t="s">
        <v>178</v>
      </c>
      <c r="I256" s="70" t="s">
        <v>181</v>
      </c>
      <c r="J256" s="71">
        <f>IF(OR(I256=0,I256=""),"unrated",VLOOKUP(I256,MappingTables!$B$19:$C$31,2,FALSE))</f>
        <v>3</v>
      </c>
      <c r="K256" s="72">
        <v>27450.111944836708</v>
      </c>
      <c r="L256" s="70">
        <v>0.087672560370942</v>
      </c>
      <c r="M256" s="71">
        <f>IF(L256&lt;1,1,L256)</f>
        <v>1</v>
      </c>
      <c r="N256" s="70" t="s">
        <v>141</v>
      </c>
      <c r="O256" s="71">
        <f>INDEX(DurClassMapping,MATCH(M256,MappingTables!$D$4:$D$8,-1),1)</f>
        <v>1</v>
      </c>
      <c r="P256" s="73">
        <f>IF(M256=$A$1,1,$M256-INDEX(MappingTables!$E$4:$E$8,MATCH(O256,MappingTables!$B$4:$B$8,0)))</f>
        <v>1</v>
      </c>
      <c r="Q256" s="71">
        <f>IF(B256="",0,INDEX(ModelParameters!$D$6:$K$10,MATCH($O256,ModelParameters!$B$6:$B$10,0),MATCH($J256,ModelParameters!$D$5:$K$5,0)))</f>
        <v>0.025</v>
      </c>
      <c r="R256" s="71">
        <f>IF(B256="",0,INDEX(ModelParameters!$D$13:$K$17,MATCH($O256,ModelParameters!$B$13:$B$17,0),MATCH($J256,ModelParameters!$D$5:$K$5,0)))</f>
        <v>0</v>
      </c>
      <c r="S256" s="160">
        <f>IF(B256="",0,MIN(IF($N256="Other Bond TM",ModelParameters!$N$21,1)*(P256*Q256+R256),1))</f>
        <v>0.025</v>
      </c>
      <c r="T256" s="85">
        <f>IF(B256="",0,$S256*$K256)</f>
        <v>686.25279862091784</v>
      </c>
      <c r="U256" s="85">
        <f>IF(B256="",0,IF(OR(H256=MappingTables!$C$34,H256=MappingTables!$C$35),T256,0))</f>
        <v>0</v>
      </c>
      <c r="V256" s="85">
        <f>IF(ISNA(IF(AND(VLOOKUP(CONCATENATE($D256,$G256),CSRFinput!$B:$E,4,0)=0,OR(H256=MappingTables!$C$34,H256=MappingTables!$C$35)),1,VLOOKUP(CONCATENATE($D256,$G256),CSRFinput!$B:$E,4,0))),0,IF(AND(VLOOKUP(CONCATENATE($D256,$G256),CSRFinput!$B:$E,4,0)=0,OR(H256=MappingTables!$C$34,H256=MappingTables!$C$35)),1,VLOOKUP(CONCATENATE($D256,$G256),CSRFinput!$B:$E,4,0)))</f>
        <v>0.054776304963434752</v>
      </c>
      <c r="W256" s="85">
        <f>IF(B256="",0,+$T256*$V256)</f>
        <v>37.590392579269976</v>
      </c>
      <c r="X256" s="85">
        <f>IF(B256="",0,IF(OR(H256=MappingTables!$C$34,H256=MappingTables!$C$35),W256,0))</f>
        <v>0</v>
      </c>
    </row>
    <row r="257" spans="2:24" s="0" customFormat="0" ht="15">
      <c r="B257" s="69">
        <v>13534483</v>
      </c>
      <c r="C257" s="70" t="s">
        <v>495</v>
      </c>
      <c r="D257" s="70" t="s">
        <v>1</v>
      </c>
      <c r="E257" s="70" t="s">
        <v>1</v>
      </c>
      <c r="F257" s="70"/>
      <c r="G257" s="70" t="s">
        <v>61</v>
      </c>
      <c r="H257" s="70" t="s">
        <v>178</v>
      </c>
      <c r="I257" s="70" t="s">
        <v>181</v>
      </c>
      <c r="J257" s="71">
        <f>IF(OR(I257=0,I257=""),"unrated",VLOOKUP(I257,MappingTables!$B$19:$C$31,2,FALSE))</f>
        <v>3</v>
      </c>
      <c r="K257" s="72">
        <v>0.85750332906389536</v>
      </c>
      <c r="L257" s="70">
        <v>1.6995460208025854</v>
      </c>
      <c r="M257" s="71">
        <f>IF(L257&lt;1,1,L257)</f>
        <v>1.6995460208025854</v>
      </c>
      <c r="N257" s="70" t="s">
        <v>141</v>
      </c>
      <c r="O257" s="71">
        <f>INDEX(DurClassMapping,MATCH(M257,MappingTables!$D$4:$D$8,-1),1)</f>
        <v>1</v>
      </c>
      <c r="P257" s="73">
        <f>IF(M257=$A$1,1,$M257-INDEX(MappingTables!$E$4:$E$8,MATCH(O257,MappingTables!$B$4:$B$8,0)))</f>
        <v>1.6995460208025854</v>
      </c>
      <c r="Q257" s="71">
        <f>IF(B257="",0,INDEX(ModelParameters!$D$6:$K$10,MATCH($O257,ModelParameters!$B$6:$B$10,0),MATCH($J257,ModelParameters!$D$5:$K$5,0)))</f>
        <v>0.025</v>
      </c>
      <c r="R257" s="71">
        <f>IF(B257="",0,INDEX(ModelParameters!$D$13:$K$17,MATCH($O257,ModelParameters!$B$13:$B$17,0),MATCH($J257,ModelParameters!$D$5:$K$5,0)))</f>
        <v>0</v>
      </c>
      <c r="S257" s="160">
        <f>IF(B257="",0,MIN(IF($N257="Other Bond TM",ModelParameters!$N$21,1)*(P257*Q257+R257),1))</f>
        <v>0.04248865052006464</v>
      </c>
      <c r="T257" s="85">
        <f>IF(B257="",0,$S257*$K257)</f>
        <v>0.03643415926838784</v>
      </c>
      <c r="U257" s="85">
        <f>IF(B257="",0,IF(OR(H257=MappingTables!$C$34,H257=MappingTables!$C$35),T257,0))</f>
        <v>0</v>
      </c>
      <c r="V257" s="85">
        <f>IF(ISNA(IF(AND(VLOOKUP(CONCATENATE($D257,$G257),CSRFinput!$B:$E,4,0)=0,OR(H257=MappingTables!$C$34,H257=MappingTables!$C$35)),1,VLOOKUP(CONCATENATE($D257,$G257),CSRFinput!$B:$E,4,0))),0,IF(AND(VLOOKUP(CONCATENATE($D257,$G257),CSRFinput!$B:$E,4,0)=0,OR(H257=MappingTables!$C$34,H257=MappingTables!$C$35)),1,VLOOKUP(CONCATENATE($D257,$G257),CSRFinput!$B:$E,4,0)))</f>
        <v>0.054776304963434752</v>
      </c>
      <c r="W257" s="85">
        <f>IF(B257="",0,+$T257*$V257)</f>
        <v>0.0019957286191715652</v>
      </c>
      <c r="X257" s="85">
        <f>IF(B257="",0,IF(OR(H257=MappingTables!$C$34,H257=MappingTables!$C$35),W257,0))</f>
        <v>0</v>
      </c>
    </row>
    <row r="258" spans="2:24" s="0" customFormat="0" ht="15">
      <c r="B258" s="69">
        <v>8791617</v>
      </c>
      <c r="C258" s="70" t="s">
        <v>496</v>
      </c>
      <c r="D258" s="70" t="s">
        <v>1</v>
      </c>
      <c r="E258" s="70" t="s">
        <v>1</v>
      </c>
      <c r="F258" s="70"/>
      <c r="G258" s="70" t="s">
        <v>61</v>
      </c>
      <c r="H258" s="70" t="s">
        <v>178</v>
      </c>
      <c r="I258" s="70" t="s">
        <v>181</v>
      </c>
      <c r="J258" s="71">
        <f>IF(OR(I258=0,I258=""),"unrated",VLOOKUP(I258,MappingTables!$B$19:$C$31,2,FALSE))</f>
        <v>3</v>
      </c>
      <c r="K258" s="72">
        <v>0.46059532181109544</v>
      </c>
      <c r="L258" s="70">
        <v>0.65205852820440656</v>
      </c>
      <c r="M258" s="71">
        <f>IF(L258&lt;1,1,L258)</f>
        <v>1</v>
      </c>
      <c r="N258" s="70" t="s">
        <v>141</v>
      </c>
      <c r="O258" s="71">
        <f>INDEX(DurClassMapping,MATCH(M258,MappingTables!$D$4:$D$8,-1),1)</f>
        <v>1</v>
      </c>
      <c r="P258" s="73">
        <f>IF(M258=$A$1,1,$M258-INDEX(MappingTables!$E$4:$E$8,MATCH(O258,MappingTables!$B$4:$B$8,0)))</f>
        <v>1</v>
      </c>
      <c r="Q258" s="71">
        <f>IF(B258="",0,INDEX(ModelParameters!$D$6:$K$10,MATCH($O258,ModelParameters!$B$6:$B$10,0),MATCH($J258,ModelParameters!$D$5:$K$5,0)))</f>
        <v>0.025</v>
      </c>
      <c r="R258" s="71">
        <f>IF(B258="",0,INDEX(ModelParameters!$D$13:$K$17,MATCH($O258,ModelParameters!$B$13:$B$17,0),MATCH($J258,ModelParameters!$D$5:$K$5,0)))</f>
        <v>0</v>
      </c>
      <c r="S258" s="160">
        <f>IF(B258="",0,MIN(IF($N258="Other Bond TM",ModelParameters!$N$21,1)*(P258*Q258+R258),1))</f>
        <v>0.025</v>
      </c>
      <c r="T258" s="85">
        <f>IF(B258="",0,$S258*$K258)</f>
        <v>0.011514883045277386</v>
      </c>
      <c r="U258" s="85">
        <f>IF(B258="",0,IF(OR(H258=MappingTables!$C$34,H258=MappingTables!$C$35),T258,0))</f>
        <v>0</v>
      </c>
      <c r="V258" s="85">
        <f>IF(ISNA(IF(AND(VLOOKUP(CONCATENATE($D258,$G258),CSRFinput!$B:$E,4,0)=0,OR(H258=MappingTables!$C$34,H258=MappingTables!$C$35)),1,VLOOKUP(CONCATENATE($D258,$G258),CSRFinput!$B:$E,4,0))),0,IF(AND(VLOOKUP(CONCATENATE($D258,$G258),CSRFinput!$B:$E,4,0)=0,OR(H258=MappingTables!$C$34,H258=MappingTables!$C$35)),1,VLOOKUP(CONCATENATE($D258,$G258),CSRFinput!$B:$E,4,0)))</f>
        <v>0.054776304963434752</v>
      </c>
      <c r="W258" s="85">
        <f>IF(B258="",0,+$T258*$V258)</f>
        <v>0.0006307427453063984</v>
      </c>
      <c r="X258" s="85">
        <f>IF(B258="",0,IF(OR(H258=MappingTables!$C$34,H258=MappingTables!$C$35),W258,0))</f>
        <v>0</v>
      </c>
    </row>
    <row r="259" spans="2:24" s="0" customFormat="0" ht="15">
      <c r="B259" s="69">
        <v>24971130</v>
      </c>
      <c r="C259" s="70" t="s">
        <v>497</v>
      </c>
      <c r="D259" s="70" t="s">
        <v>1</v>
      </c>
      <c r="E259" s="70" t="s">
        <v>1</v>
      </c>
      <c r="F259" s="70"/>
      <c r="G259" s="70" t="s">
        <v>61</v>
      </c>
      <c r="H259" s="70" t="s">
        <v>178</v>
      </c>
      <c r="I259" s="70" t="s">
        <v>184</v>
      </c>
      <c r="J259" s="71">
        <f>IF(OR(I259=0,I259=""),"unrated",VLOOKUP(I259,MappingTables!$B$19:$C$31,2,FALSE))</f>
        <v>5</v>
      </c>
      <c r="K259" s="72">
        <v>104161.4808715315</v>
      </c>
      <c r="L259" s="70">
        <v>2.7541344348756696</v>
      </c>
      <c r="M259" s="71">
        <f>IF(L259&lt;1,1,L259)</f>
        <v>2.7541344348756696</v>
      </c>
      <c r="N259" s="70" t="s">
        <v>141</v>
      </c>
      <c r="O259" s="71">
        <f>INDEX(DurClassMapping,MATCH(M259,MappingTables!$D$4:$D$8,-1),1)</f>
        <v>1</v>
      </c>
      <c r="P259" s="73">
        <f>IF(M259=$A$1,1,$M259-INDEX(MappingTables!$E$4:$E$8,MATCH(O259,MappingTables!$B$4:$B$8,0)))</f>
        <v>2.7541344348756696</v>
      </c>
      <c r="Q259" s="71">
        <f>IF(B259="",0,INDEX(ModelParameters!$D$6:$K$10,MATCH($O259,ModelParameters!$B$6:$B$10,0),MATCH($J259,ModelParameters!$D$5:$K$5,0)))</f>
        <v>0.075</v>
      </c>
      <c r="R259" s="71">
        <f>IF(B259="",0,INDEX(ModelParameters!$D$13:$K$17,MATCH($O259,ModelParameters!$B$13:$B$17,0),MATCH($J259,ModelParameters!$D$5:$K$5,0)))</f>
        <v>0</v>
      </c>
      <c r="S259" s="160">
        <f>IF(B259="",0,MIN(IF($N259="Other Bond TM",ModelParameters!$N$21,1)*(P259*Q259+R259),1))</f>
        <v>0.20656008261567524</v>
      </c>
      <c r="T259" s="85">
        <f>IF(B259="",0,$S259*$K259)</f>
        <v>21515.604094194624</v>
      </c>
      <c r="U259" s="85">
        <f>IF(B259="",0,IF(OR(H259=MappingTables!$C$34,H259=MappingTables!$C$35),T259,0))</f>
        <v>0</v>
      </c>
      <c r="V259" s="85">
        <f>IF(ISNA(IF(AND(VLOOKUP(CONCATENATE($D259,$G259),CSRFinput!$B:$E,4,0)=0,OR(H259=MappingTables!$C$34,H259=MappingTables!$C$35)),1,VLOOKUP(CONCATENATE($D259,$G259),CSRFinput!$B:$E,4,0))),0,IF(AND(VLOOKUP(CONCATENATE($D259,$G259),CSRFinput!$B:$E,4,0)=0,OR(H259=MappingTables!$C$34,H259=MappingTables!$C$35)),1,VLOOKUP(CONCATENATE($D259,$G259),CSRFinput!$B:$E,4,0)))</f>
        <v>0.054776304963434752</v>
      </c>
      <c r="W259" s="85">
        <f>IF(B259="",0,+$T259*$V259)</f>
        <v>1178.54529133613</v>
      </c>
      <c r="X259" s="85">
        <f>IF(B259="",0,IF(OR(H259=MappingTables!$C$34,H259=MappingTables!$C$35),W259,0))</f>
        <v>0</v>
      </c>
    </row>
    <row r="260" spans="2:24" s="0" customFormat="0" ht="15">
      <c r="B260" s="69" t="s">
        <v>498</v>
      </c>
      <c r="C260" s="70" t="s">
        <v>499</v>
      </c>
      <c r="D260" s="70" t="s">
        <v>1</v>
      </c>
      <c r="E260" s="70" t="s">
        <v>1</v>
      </c>
      <c r="F260" s="70"/>
      <c r="G260" s="70" t="s">
        <v>61</v>
      </c>
      <c r="H260" s="70" t="s">
        <v>178</v>
      </c>
      <c r="I260" s="70" t="s">
        <v>198</v>
      </c>
      <c r="J260" s="71" t="str">
        <f>IF(OR(I260=0,I260=""),"unrated",VLOOKUP(I260,MappingTables!$B$19:$C$31,2,FALSE))</f>
        <v>unrated</v>
      </c>
      <c r="K260" s="72">
        <v>0.14012310677216796</v>
      </c>
      <c r="L260" s="70">
        <v>0.016437109147124076</v>
      </c>
      <c r="M260" s="71">
        <f>IF(L260&lt;1,1,L260)</f>
        <v>1</v>
      </c>
      <c r="N260" s="70" t="s">
        <v>141</v>
      </c>
      <c r="O260" s="71">
        <f>INDEX(DurClassMapping,MATCH(M260,MappingTables!$D$4:$D$8,-1),1)</f>
        <v>1</v>
      </c>
      <c r="P260" s="73">
        <f>IF(M260=$A$1,1,$M260-INDEX(MappingTables!$E$4:$E$8,MATCH(O260,MappingTables!$B$4:$B$8,0)))</f>
        <v>1</v>
      </c>
      <c r="Q260" s="71">
        <f>IF(B260="",0,INDEX(ModelParameters!$D$6:$K$10,MATCH($O260,ModelParameters!$B$6:$B$10,0),MATCH($J260,ModelParameters!$D$5:$K$5,0)))</f>
        <v>0.03</v>
      </c>
      <c r="R260" s="71">
        <f>IF(B260="",0,INDEX(ModelParameters!$D$13:$K$17,MATCH($O260,ModelParameters!$B$13:$B$17,0),MATCH($J260,ModelParameters!$D$5:$K$5,0)))</f>
        <v>0</v>
      </c>
      <c r="S260" s="160">
        <f>IF(B260="",0,MIN(IF($N260="Other Bond TM",ModelParameters!$N$21,1)*(P260*Q260+R260),1))</f>
        <v>0.03</v>
      </c>
      <c r="T260" s="85">
        <f>IF(B260="",0,$S260*$K260)</f>
        <v>0.0042036932031650392</v>
      </c>
      <c r="U260" s="85">
        <f>IF(B260="",0,IF(OR(H260=MappingTables!$C$34,H260=MappingTables!$C$35),T260,0))</f>
        <v>0</v>
      </c>
      <c r="V260" s="85">
        <f>IF(ISNA(IF(AND(VLOOKUP(CONCATENATE($D260,$G260),CSRFinput!$B:$E,4,0)=0,OR(H260=MappingTables!$C$34,H260=MappingTables!$C$35)),1,VLOOKUP(CONCATENATE($D260,$G260),CSRFinput!$B:$E,4,0))),0,IF(AND(VLOOKUP(CONCATENATE($D260,$G260),CSRFinput!$B:$E,4,0)=0,OR(H260=MappingTables!$C$34,H260=MappingTables!$C$35)),1,VLOOKUP(CONCATENATE($D260,$G260),CSRFinput!$B:$E,4,0)))</f>
        <v>0.054776304963434752</v>
      </c>
      <c r="W260" s="85">
        <f>IF(B260="",0,+$T260*$V260)</f>
        <v>0.00023026278086928608</v>
      </c>
      <c r="X260" s="85">
        <f>IF(B260="",0,IF(OR(H260=MappingTables!$C$34,H260=MappingTables!$C$35),W260,0))</f>
        <v>0</v>
      </c>
    </row>
    <row r="261" spans="2:24" s="0" customFormat="0" ht="15">
      <c r="B261" s="69">
        <v>19031472</v>
      </c>
      <c r="C261" s="70" t="s">
        <v>500</v>
      </c>
      <c r="D261" s="70" t="s">
        <v>1</v>
      </c>
      <c r="E261" s="70" t="s">
        <v>1</v>
      </c>
      <c r="F261" s="70"/>
      <c r="G261" s="70" t="s">
        <v>61</v>
      </c>
      <c r="H261" s="70" t="s">
        <v>178</v>
      </c>
      <c r="I261" s="70" t="s">
        <v>216</v>
      </c>
      <c r="J261" s="71">
        <f>IF(OR(I261=0,I261=""),"unrated",VLOOKUP(I261,MappingTables!$B$19:$C$31,2,FALSE))</f>
        <v>0</v>
      </c>
      <c r="K261" s="72">
        <v>155.88450048541406</v>
      </c>
      <c r="L261" s="70">
        <v>0.3093270799603104</v>
      </c>
      <c r="M261" s="71">
        <f>IF(L261&lt;1,1,L261)</f>
        <v>1</v>
      </c>
      <c r="N261" s="70" t="s">
        <v>141</v>
      </c>
      <c r="O261" s="71">
        <f>INDEX(DurClassMapping,MATCH(M261,MappingTables!$D$4:$D$8,-1),1)</f>
        <v>1</v>
      </c>
      <c r="P261" s="73">
        <f>IF(M261=$A$1,1,$M261-INDEX(MappingTables!$E$4:$E$8,MATCH(O261,MappingTables!$B$4:$B$8,0)))</f>
        <v>1</v>
      </c>
      <c r="Q261" s="71">
        <f>IF(B261="",0,INDEX(ModelParameters!$D$6:$K$10,MATCH($O261,ModelParameters!$B$6:$B$10,0),MATCH($J261,ModelParameters!$D$5:$K$5,0)))</f>
        <v>0.0090000000000000016</v>
      </c>
      <c r="R261" s="71">
        <f>IF(B261="",0,INDEX(ModelParameters!$D$13:$K$17,MATCH($O261,ModelParameters!$B$13:$B$17,0),MATCH($J261,ModelParameters!$D$5:$K$5,0)))</f>
        <v>0</v>
      </c>
      <c r="S261" s="160">
        <f>IF(B261="",0,MIN(IF($N261="Other Bond TM",ModelParameters!$N$21,1)*(P261*Q261+R261),1))</f>
        <v>0.0090000000000000016</v>
      </c>
      <c r="T261" s="85">
        <f>IF(B261="",0,$S261*$K261)</f>
        <v>1.4029605043687268</v>
      </c>
      <c r="U261" s="85">
        <f>IF(B261="",0,IF(OR(H261=MappingTables!$C$34,H261=MappingTables!$C$35),T261,0))</f>
        <v>0</v>
      </c>
      <c r="V261" s="85">
        <f>IF(ISNA(IF(AND(VLOOKUP(CONCATENATE($D261,$G261),CSRFinput!$B:$E,4,0)=0,OR(H261=MappingTables!$C$34,H261=MappingTables!$C$35)),1,VLOOKUP(CONCATENATE($D261,$G261),CSRFinput!$B:$E,4,0))),0,IF(AND(VLOOKUP(CONCATENATE($D261,$G261),CSRFinput!$B:$E,4,0)=0,OR(H261=MappingTables!$C$34,H261=MappingTables!$C$35)),1,VLOOKUP(CONCATENATE($D261,$G261),CSRFinput!$B:$E,4,0)))</f>
        <v>0.054776304963434752</v>
      </c>
      <c r="W261" s="85">
        <f>IF(B261="",0,+$T261*$V261)</f>
        <v>0.076848992438955616</v>
      </c>
      <c r="X261" s="85">
        <f>IF(B261="",0,IF(OR(H261=MappingTables!$C$34,H261=MappingTables!$C$35),W261,0))</f>
        <v>0</v>
      </c>
    </row>
    <row r="262" spans="2:24" s="0" customFormat="0" ht="15">
      <c r="B262" s="69">
        <v>4966465</v>
      </c>
      <c r="C262" s="70" t="s">
        <v>501</v>
      </c>
      <c r="D262" s="70" t="s">
        <v>1</v>
      </c>
      <c r="E262" s="70" t="s">
        <v>1</v>
      </c>
      <c r="F262" s="70"/>
      <c r="G262" s="70" t="s">
        <v>61</v>
      </c>
      <c r="H262" s="70" t="s">
        <v>178</v>
      </c>
      <c r="I262" s="70" t="s">
        <v>181</v>
      </c>
      <c r="J262" s="71">
        <f>IF(OR(I262=0,I262=""),"unrated",VLOOKUP(I262,MappingTables!$B$19:$C$31,2,FALSE))</f>
        <v>3</v>
      </c>
      <c r="K262" s="72">
        <v>44.838339514875432</v>
      </c>
      <c r="L262" s="70">
        <v>1.089851208829249</v>
      </c>
      <c r="M262" s="71">
        <f>IF(L262&lt;1,1,L262)</f>
        <v>1.089851208829249</v>
      </c>
      <c r="N262" s="70" t="s">
        <v>141</v>
      </c>
      <c r="O262" s="71">
        <f>INDEX(DurClassMapping,MATCH(M262,MappingTables!$D$4:$D$8,-1),1)</f>
        <v>1</v>
      </c>
      <c r="P262" s="73">
        <f>IF(M262=$A$1,1,$M262-INDEX(MappingTables!$E$4:$E$8,MATCH(O262,MappingTables!$B$4:$B$8,0)))</f>
        <v>1.089851208829249</v>
      </c>
      <c r="Q262" s="71">
        <f>IF(B262="",0,INDEX(ModelParameters!$D$6:$K$10,MATCH($O262,ModelParameters!$B$6:$B$10,0),MATCH($J262,ModelParameters!$D$5:$K$5,0)))</f>
        <v>0.025</v>
      </c>
      <c r="R262" s="71">
        <f>IF(B262="",0,INDEX(ModelParameters!$D$13:$K$17,MATCH($O262,ModelParameters!$B$13:$B$17,0),MATCH($J262,ModelParameters!$D$5:$K$5,0)))</f>
        <v>0</v>
      </c>
      <c r="S262" s="160">
        <f>IF(B262="",0,MIN(IF($N262="Other Bond TM",ModelParameters!$N$21,1)*(P262*Q262+R262),1))</f>
        <v>0.027246280220731224</v>
      </c>
      <c r="T262" s="85">
        <f>IF(B262="",0,$S262*$K262)</f>
        <v>1.2216779630545816</v>
      </c>
      <c r="U262" s="85">
        <f>IF(B262="",0,IF(OR(H262=MappingTables!$C$34,H262=MappingTables!$C$35),T262,0))</f>
        <v>0</v>
      </c>
      <c r="V262" s="85">
        <f>IF(ISNA(IF(AND(VLOOKUP(CONCATENATE($D262,$G262),CSRFinput!$B:$E,4,0)=0,OR(H262=MappingTables!$C$34,H262=MappingTables!$C$35)),1,VLOOKUP(CONCATENATE($D262,$G262),CSRFinput!$B:$E,4,0))),0,IF(AND(VLOOKUP(CONCATENATE($D262,$G262),CSRFinput!$B:$E,4,0)=0,OR(H262=MappingTables!$C$34,H262=MappingTables!$C$35)),1,VLOOKUP(CONCATENATE($D262,$G262),CSRFinput!$B:$E,4,0)))</f>
        <v>0.054776304963434752</v>
      </c>
      <c r="W262" s="85">
        <f>IF(B262="",0,+$T262*$V262)</f>
        <v>0.066919004671385536</v>
      </c>
      <c r="X262" s="85">
        <f>IF(B262="",0,IF(OR(H262=MappingTables!$C$34,H262=MappingTables!$C$35),W262,0))</f>
        <v>0</v>
      </c>
    </row>
    <row r="263" spans="2:24" s="0" customFormat="0" ht="15">
      <c r="B263" s="69">
        <v>14288288</v>
      </c>
      <c r="C263" s="70" t="s">
        <v>502</v>
      </c>
      <c r="D263" s="70" t="s">
        <v>1</v>
      </c>
      <c r="E263" s="70" t="s">
        <v>1</v>
      </c>
      <c r="F263" s="70"/>
      <c r="G263" s="70" t="s">
        <v>61</v>
      </c>
      <c r="H263" s="70" t="s">
        <v>178</v>
      </c>
      <c r="I263" s="70" t="s">
        <v>181</v>
      </c>
      <c r="J263" s="71">
        <f>IF(OR(I263=0,I263=""),"unrated",VLOOKUP(I263,MappingTables!$B$19:$C$31,2,FALSE))</f>
        <v>3</v>
      </c>
      <c r="K263" s="72">
        <v>601.91096757040144</v>
      </c>
      <c r="L263" s="70">
        <v>1.1696880646818852</v>
      </c>
      <c r="M263" s="71">
        <f>IF(L263&lt;1,1,L263)</f>
        <v>1.1696880646818852</v>
      </c>
      <c r="N263" s="70" t="s">
        <v>141</v>
      </c>
      <c r="O263" s="71">
        <f>INDEX(DurClassMapping,MATCH(M263,MappingTables!$D$4:$D$8,-1),1)</f>
        <v>1</v>
      </c>
      <c r="P263" s="73">
        <f>IF(M263=$A$1,1,$M263-INDEX(MappingTables!$E$4:$E$8,MATCH(O263,MappingTables!$B$4:$B$8,0)))</f>
        <v>1.1696880646818852</v>
      </c>
      <c r="Q263" s="71">
        <f>IF(B263="",0,INDEX(ModelParameters!$D$6:$K$10,MATCH($O263,ModelParameters!$B$6:$B$10,0),MATCH($J263,ModelParameters!$D$5:$K$5,0)))</f>
        <v>0.025</v>
      </c>
      <c r="R263" s="71">
        <f>IF(B263="",0,INDEX(ModelParameters!$D$13:$K$17,MATCH($O263,ModelParameters!$B$13:$B$17,0),MATCH($J263,ModelParameters!$D$5:$K$5,0)))</f>
        <v>0</v>
      </c>
      <c r="S263" s="160">
        <f>IF(B263="",0,MIN(IF($N263="Other Bond TM",ModelParameters!$N$21,1)*(P263*Q263+R263),1))</f>
        <v>0.029242201617047132</v>
      </c>
      <c r="T263" s="85">
        <f>IF(B263="",0,$S263*$K263)</f>
        <v>17.601201869205596</v>
      </c>
      <c r="U263" s="85">
        <f>IF(B263="",0,IF(OR(H263=MappingTables!$C$34,H263=MappingTables!$C$35),T263,0))</f>
        <v>0</v>
      </c>
      <c r="V263" s="85">
        <f>IF(ISNA(IF(AND(VLOOKUP(CONCATENATE($D263,$G263),CSRFinput!$B:$E,4,0)=0,OR(H263=MappingTables!$C$34,H263=MappingTables!$C$35)),1,VLOOKUP(CONCATENATE($D263,$G263),CSRFinput!$B:$E,4,0))),0,IF(AND(VLOOKUP(CONCATENATE($D263,$G263),CSRFinput!$B:$E,4,0)=0,OR(H263=MappingTables!$C$34,H263=MappingTables!$C$35)),1,VLOOKUP(CONCATENATE($D263,$G263),CSRFinput!$B:$E,4,0)))</f>
        <v>0.054776304963434752</v>
      </c>
      <c r="W263" s="85">
        <f>IF(B263="",0,+$T263*$V263)</f>
        <v>0.96412880131058352</v>
      </c>
      <c r="X263" s="85">
        <f>IF(B263="",0,IF(OR(H263=MappingTables!$C$34,H263=MappingTables!$C$35),W263,0))</f>
        <v>0</v>
      </c>
    </row>
    <row r="264" spans="2:24" s="0" customFormat="0" ht="15">
      <c r="B264" s="69">
        <v>19216275</v>
      </c>
      <c r="C264" s="70" t="s">
        <v>503</v>
      </c>
      <c r="D264" s="70" t="s">
        <v>1</v>
      </c>
      <c r="E264" s="70" t="s">
        <v>1</v>
      </c>
      <c r="F264" s="70"/>
      <c r="G264" s="70" t="s">
        <v>61</v>
      </c>
      <c r="H264" s="70" t="s">
        <v>178</v>
      </c>
      <c r="I264" s="70" t="s">
        <v>220</v>
      </c>
      <c r="J264" s="71">
        <f>IF(OR(I264=0,I264=""),"unrated",VLOOKUP(I264,MappingTables!$B$19:$C$31,2,FALSE))</f>
        <v>1</v>
      </c>
      <c r="K264" s="72">
        <v>905.24744191684832</v>
      </c>
      <c r="L264" s="70">
        <v>1.0596106849059876</v>
      </c>
      <c r="M264" s="71">
        <f>IF(L264&lt;1,1,L264)</f>
        <v>1.0596106849059876</v>
      </c>
      <c r="N264" s="70" t="s">
        <v>141</v>
      </c>
      <c r="O264" s="71">
        <f>INDEX(DurClassMapping,MATCH(M264,MappingTables!$D$4:$D$8,-1),1)</f>
        <v>1</v>
      </c>
      <c r="P264" s="73">
        <f>IF(M264=$A$1,1,$M264-INDEX(MappingTables!$E$4:$E$8,MATCH(O264,MappingTables!$B$4:$B$8,0)))</f>
        <v>1.0596106849059876</v>
      </c>
      <c r="Q264" s="71">
        <f>IF(B264="",0,INDEX(ModelParameters!$D$6:$K$10,MATCH($O264,ModelParameters!$B$6:$B$10,0),MATCH($J264,ModelParameters!$D$5:$K$5,0)))</f>
        <v>0.011000000000000002</v>
      </c>
      <c r="R264" s="71">
        <f>IF(B264="",0,INDEX(ModelParameters!$D$13:$K$17,MATCH($O264,ModelParameters!$B$13:$B$17,0),MATCH($J264,ModelParameters!$D$5:$K$5,0)))</f>
        <v>0</v>
      </c>
      <c r="S264" s="160">
        <f>IF(B264="",0,MIN(IF($N264="Other Bond TM",ModelParameters!$N$21,1)*(P264*Q264+R264),1))</f>
        <v>0.011655717533965866</v>
      </c>
      <c r="T264" s="85">
        <f>IF(B264="",0,$S264*$K264)</f>
        <v>10.551308481327956</v>
      </c>
      <c r="U264" s="85">
        <f>IF(B264="",0,IF(OR(H264=MappingTables!$C$34,H264=MappingTables!$C$35),T264,0))</f>
        <v>0</v>
      </c>
      <c r="V264" s="85">
        <f>IF(ISNA(IF(AND(VLOOKUP(CONCATENATE($D264,$G264),CSRFinput!$B:$E,4,0)=0,OR(H264=MappingTables!$C$34,H264=MappingTables!$C$35)),1,VLOOKUP(CONCATENATE($D264,$G264),CSRFinput!$B:$E,4,0))),0,IF(AND(VLOOKUP(CONCATENATE($D264,$G264),CSRFinput!$B:$E,4,0)=0,OR(H264=MappingTables!$C$34,H264=MappingTables!$C$35)),1,VLOOKUP(CONCATENATE($D264,$G264),CSRFinput!$B:$E,4,0)))</f>
        <v>0.054776304963434752</v>
      </c>
      <c r="W264" s="85">
        <f>IF(B264="",0,+$T264*$V264)</f>
        <v>0.57796169113649576</v>
      </c>
      <c r="X264" s="85">
        <f>IF(B264="",0,IF(OR(H264=MappingTables!$C$34,H264=MappingTables!$C$35),W264,0))</f>
        <v>0</v>
      </c>
    </row>
    <row r="265" spans="2:24" s="0" customFormat="0" ht="15">
      <c r="B265" s="69">
        <v>22264581</v>
      </c>
      <c r="C265" s="70" t="s">
        <v>236</v>
      </c>
      <c r="D265" s="70" t="s">
        <v>1</v>
      </c>
      <c r="E265" s="70" t="s">
        <v>1</v>
      </c>
      <c r="F265" s="70"/>
      <c r="G265" s="70" t="s">
        <v>61</v>
      </c>
      <c r="H265" s="70" t="s">
        <v>178</v>
      </c>
      <c r="I265" s="70" t="s">
        <v>181</v>
      </c>
      <c r="J265" s="71">
        <f>IF(OR(I265=0,I265=""),"unrated",VLOOKUP(I265,MappingTables!$B$19:$C$31,2,FALSE))</f>
        <v>3</v>
      </c>
      <c r="K265" s="72">
        <v>4442.5861948777736</v>
      </c>
      <c r="L265" s="70">
        <v>19.0291729663734</v>
      </c>
      <c r="M265" s="71">
        <f>IF(L265&lt;1,1,L265)</f>
        <v>19.0291729663734</v>
      </c>
      <c r="N265" s="70" t="s">
        <v>141</v>
      </c>
      <c r="O265" s="71">
        <f>INDEX(DurClassMapping,MATCH(M265,MappingTables!$D$4:$D$8,-1),1)</f>
        <v>4</v>
      </c>
      <c r="P265" s="73">
        <f>IF(M265=$A$1,1,$M265-INDEX(MappingTables!$E$4:$E$8,MATCH(O265,MappingTables!$B$4:$B$8,0)))</f>
        <v>4.0291729663733984</v>
      </c>
      <c r="Q265" s="71">
        <f>IF(B265="",0,INDEX(ModelParameters!$D$6:$K$10,MATCH($O265,ModelParameters!$B$6:$B$10,0),MATCH($J265,ModelParameters!$D$5:$K$5,0)))</f>
        <v>0.01</v>
      </c>
      <c r="R265" s="71">
        <f>IF(B265="",0,INDEX(ModelParameters!$D$13:$K$17,MATCH($O265,ModelParameters!$B$13:$B$17,0),MATCH($J265,ModelParameters!$D$5:$K$5,0)))</f>
        <v>0.25</v>
      </c>
      <c r="S265" s="160">
        <f>IF(B265="",0,MIN(IF($N265="Other Bond TM",ModelParameters!$N$21,1)*(P265*Q265+R265),1))</f>
        <v>0.29029172966373396</v>
      </c>
      <c r="T265" s="85">
        <f>IF(B265="",0,$S265*$K265)</f>
        <v>1289.6460306912952</v>
      </c>
      <c r="U265" s="85">
        <f>IF(B265="",0,IF(OR(H265=MappingTables!$C$34,H265=MappingTables!$C$35),T265,0))</f>
        <v>0</v>
      </c>
      <c r="V265" s="85">
        <f>IF(ISNA(IF(AND(VLOOKUP(CONCATENATE($D265,$G265),CSRFinput!$B:$E,4,0)=0,OR(H265=MappingTables!$C$34,H265=MappingTables!$C$35)),1,VLOOKUP(CONCATENATE($D265,$G265),CSRFinput!$B:$E,4,0))),0,IF(AND(VLOOKUP(CONCATENATE($D265,$G265),CSRFinput!$B:$E,4,0)=0,OR(H265=MappingTables!$C$34,H265=MappingTables!$C$35)),1,VLOOKUP(CONCATENATE($D265,$G265),CSRFinput!$B:$E,4,0)))</f>
        <v>0.054776304963434752</v>
      </c>
      <c r="W265" s="85">
        <f>IF(B265="",0,+$T265*$V265)</f>
        <v>70.64204427202952</v>
      </c>
      <c r="X265" s="85">
        <f>IF(B265="",0,IF(OR(H265=MappingTables!$C$34,H265=MappingTables!$C$35),W265,0))</f>
        <v>0</v>
      </c>
    </row>
    <row r="266" spans="2:24" s="0" customFormat="0" ht="15">
      <c r="B266" s="69">
        <v>21417310</v>
      </c>
      <c r="C266" s="70" t="s">
        <v>504</v>
      </c>
      <c r="D266" s="70" t="s">
        <v>1</v>
      </c>
      <c r="E266" s="70" t="s">
        <v>1</v>
      </c>
      <c r="F266" s="70"/>
      <c r="G266" s="70" t="s">
        <v>61</v>
      </c>
      <c r="H266" s="70" t="s">
        <v>178</v>
      </c>
      <c r="I266" s="70" t="s">
        <v>188</v>
      </c>
      <c r="J266" s="71">
        <f>IF(OR(I266=0,I266=""),"unrated",VLOOKUP(I266,MappingTables!$B$19:$C$31,2,FALSE))</f>
        <v>2</v>
      </c>
      <c r="K266" s="72">
        <v>16579.493266644236</v>
      </c>
      <c r="L266" s="70">
        <v>6.041731751075116</v>
      </c>
      <c r="M266" s="71">
        <f>IF(L266&lt;1,1,L266)</f>
        <v>6.041731751075116</v>
      </c>
      <c r="N266" s="70" t="s">
        <v>141</v>
      </c>
      <c r="O266" s="71">
        <f>INDEX(DurClassMapping,MATCH(M266,MappingTables!$D$4:$D$8,-1),1)</f>
        <v>2</v>
      </c>
      <c r="P266" s="73">
        <f>IF(M266=$A$1,1,$M266-INDEX(MappingTables!$E$4:$E$8,MATCH(O266,MappingTables!$B$4:$B$8,0)))</f>
        <v>1.0417317510751162</v>
      </c>
      <c r="Q266" s="71">
        <f>IF(B266="",0,INDEX(ModelParameters!$D$6:$K$10,MATCH($O266,ModelParameters!$B$6:$B$10,0),MATCH($J266,ModelParameters!$D$5:$K$5,0)))</f>
        <v>0.0069999999999999992</v>
      </c>
      <c r="R266" s="71">
        <f>IF(B266="",0,INDEX(ModelParameters!$D$13:$K$17,MATCH($O266,ModelParameters!$B$13:$B$17,0),MATCH($J266,ModelParameters!$D$5:$K$5,0)))</f>
        <v>0.070000000000000008</v>
      </c>
      <c r="S266" s="160">
        <f>IF(B266="",0,MIN(IF($N266="Other Bond TM",ModelParameters!$N$21,1)*(P266*Q266+R266),1))</f>
        <v>0.077292122257525824</v>
      </c>
      <c r="T266" s="85">
        <f>IF(B266="",0,$S266*$K266)</f>
        <v>1281.4642205332926</v>
      </c>
      <c r="U266" s="85">
        <f>IF(B266="",0,IF(OR(H266=MappingTables!$C$34,H266=MappingTables!$C$35),T266,0))</f>
        <v>0</v>
      </c>
      <c r="V266" s="85">
        <f>IF(ISNA(IF(AND(VLOOKUP(CONCATENATE($D266,$G266),CSRFinput!$B:$E,4,0)=0,OR(H266=MappingTables!$C$34,H266=MappingTables!$C$35)),1,VLOOKUP(CONCATENATE($D266,$G266),CSRFinput!$B:$E,4,0))),0,IF(AND(VLOOKUP(CONCATENATE($D266,$G266),CSRFinput!$B:$E,4,0)=0,OR(H266=MappingTables!$C$34,H266=MappingTables!$C$35)),1,VLOOKUP(CONCATENATE($D266,$G266),CSRFinput!$B:$E,4,0)))</f>
        <v>0.054776304963434752</v>
      </c>
      <c r="W266" s="85">
        <f>IF(B266="",0,+$T266*$V266)</f>
        <v>70.19387494366184</v>
      </c>
      <c r="X266" s="85">
        <f>IF(B266="",0,IF(OR(H266=MappingTables!$C$34,H266=MappingTables!$C$35),W266,0))</f>
        <v>0</v>
      </c>
    </row>
    <row r="267" spans="2:24" s="0" customFormat="0" ht="15">
      <c r="B267" s="69" t="s">
        <v>505</v>
      </c>
      <c r="C267" s="70" t="s">
        <v>506</v>
      </c>
      <c r="D267" s="70" t="s">
        <v>1</v>
      </c>
      <c r="E267" s="70" t="s">
        <v>1</v>
      </c>
      <c r="F267" s="70"/>
      <c r="G267" s="70" t="s">
        <v>61</v>
      </c>
      <c r="H267" s="70" t="s">
        <v>178</v>
      </c>
      <c r="I267" s="70" t="s">
        <v>198</v>
      </c>
      <c r="J267" s="71" t="str">
        <f>IF(OR(I267=0,I267=""),"unrated",VLOOKUP(I267,MappingTables!$B$19:$C$31,2,FALSE))</f>
        <v>unrated</v>
      </c>
      <c r="K267" s="72">
        <v>2262.543613527576</v>
      </c>
      <c r="L267" s="70">
        <v>4.0785276061116432</v>
      </c>
      <c r="M267" s="71">
        <f>IF(L267&lt;1,1,L267)</f>
        <v>4.0785276061116432</v>
      </c>
      <c r="N267" s="70" t="s">
        <v>141</v>
      </c>
      <c r="O267" s="71">
        <f>INDEX(DurClassMapping,MATCH(M267,MappingTables!$D$4:$D$8,-1),1)</f>
        <v>1</v>
      </c>
      <c r="P267" s="73">
        <f>IF(M267=$A$1,1,$M267-INDEX(MappingTables!$E$4:$E$8,MATCH(O267,MappingTables!$B$4:$B$8,0)))</f>
        <v>4.0785276061116432</v>
      </c>
      <c r="Q267" s="71">
        <f>IF(B267="",0,INDEX(ModelParameters!$D$6:$K$10,MATCH($O267,ModelParameters!$B$6:$B$10,0),MATCH($J267,ModelParameters!$D$5:$K$5,0)))</f>
        <v>0.03</v>
      </c>
      <c r="R267" s="71">
        <f>IF(B267="",0,INDEX(ModelParameters!$D$13:$K$17,MATCH($O267,ModelParameters!$B$13:$B$17,0),MATCH($J267,ModelParameters!$D$5:$K$5,0)))</f>
        <v>0</v>
      </c>
      <c r="S267" s="160">
        <f>IF(B267="",0,MIN(IF($N267="Other Bond TM",ModelParameters!$N$21,1)*(P267*Q267+R267),1))</f>
        <v>0.12235582818334928</v>
      </c>
      <c r="T267" s="85">
        <f>IF(B267="",0,$S267*$K267)</f>
        <v>276.83539763411432</v>
      </c>
      <c r="U267" s="85">
        <f>IF(B267="",0,IF(OR(H267=MappingTables!$C$34,H267=MappingTables!$C$35),T267,0))</f>
        <v>0</v>
      </c>
      <c r="V267" s="85">
        <f>IF(ISNA(IF(AND(VLOOKUP(CONCATENATE($D267,$G267),CSRFinput!$B:$E,4,0)=0,OR(H267=MappingTables!$C$34,H267=MappingTables!$C$35)),1,VLOOKUP(CONCATENATE($D267,$G267),CSRFinput!$B:$E,4,0))),0,IF(AND(VLOOKUP(CONCATENATE($D267,$G267),CSRFinput!$B:$E,4,0)=0,OR(H267=MappingTables!$C$34,H267=MappingTables!$C$35)),1,VLOOKUP(CONCATENATE($D267,$G267),CSRFinput!$B:$E,4,0)))</f>
        <v>0.054776304963434752</v>
      </c>
      <c r="W267" s="85">
        <f>IF(B267="",0,+$T267*$V267)</f>
        <v>15.16402016547997</v>
      </c>
      <c r="X267" s="85">
        <f>IF(B267="",0,IF(OR(H267=MappingTables!$C$34,H267=MappingTables!$C$35),W267,0))</f>
        <v>0</v>
      </c>
    </row>
    <row r="268" spans="2:24" s="0" customFormat="0" ht="15">
      <c r="B268" s="69">
        <v>12635311</v>
      </c>
      <c r="C268" s="70" t="s">
        <v>507</v>
      </c>
      <c r="D268" s="70" t="s">
        <v>1</v>
      </c>
      <c r="E268" s="70" t="s">
        <v>1</v>
      </c>
      <c r="F268" s="70"/>
      <c r="G268" s="70" t="s">
        <v>61</v>
      </c>
      <c r="H268" s="70" t="s">
        <v>178</v>
      </c>
      <c r="I268" s="70" t="s">
        <v>188</v>
      </c>
      <c r="J268" s="71">
        <f>IF(OR(I268=0,I268=""),"unrated",VLOOKUP(I268,MappingTables!$B$19:$C$31,2,FALSE))</f>
        <v>2</v>
      </c>
      <c r="K268" s="72">
        <v>274.33499787068852</v>
      </c>
      <c r="L268" s="70">
        <v>0.7433977617991288</v>
      </c>
      <c r="M268" s="71">
        <f>IF(L268&lt;1,1,L268)</f>
        <v>1</v>
      </c>
      <c r="N268" s="70" t="s">
        <v>141</v>
      </c>
      <c r="O268" s="71">
        <f>INDEX(DurClassMapping,MATCH(M268,MappingTables!$D$4:$D$8,-1),1)</f>
        <v>1</v>
      </c>
      <c r="P268" s="73">
        <f>IF(M268=$A$1,1,$M268-INDEX(MappingTables!$E$4:$E$8,MATCH(O268,MappingTables!$B$4:$B$8,0)))</f>
        <v>1</v>
      </c>
      <c r="Q268" s="71">
        <f>IF(B268="",0,INDEX(ModelParameters!$D$6:$K$10,MATCH($O268,ModelParameters!$B$6:$B$10,0),MATCH($J268,ModelParameters!$D$5:$K$5,0)))</f>
        <v>0.013999999999999998</v>
      </c>
      <c r="R268" s="71">
        <f>IF(B268="",0,INDEX(ModelParameters!$D$13:$K$17,MATCH($O268,ModelParameters!$B$13:$B$17,0),MATCH($J268,ModelParameters!$D$5:$K$5,0)))</f>
        <v>0</v>
      </c>
      <c r="S268" s="160">
        <f>IF(B268="",0,MIN(IF($N268="Other Bond TM",ModelParameters!$N$21,1)*(P268*Q268+R268),1))</f>
        <v>0.013999999999999998</v>
      </c>
      <c r="T268" s="85">
        <f>IF(B268="",0,$S268*$K268)</f>
        <v>3.8406899701896392</v>
      </c>
      <c r="U268" s="85">
        <f>IF(B268="",0,IF(OR(H268=MappingTables!$C$34,H268=MappingTables!$C$35),T268,0))</f>
        <v>0</v>
      </c>
      <c r="V268" s="85">
        <f>IF(ISNA(IF(AND(VLOOKUP(CONCATENATE($D268,$G268),CSRFinput!$B:$E,4,0)=0,OR(H268=MappingTables!$C$34,H268=MappingTables!$C$35)),1,VLOOKUP(CONCATENATE($D268,$G268),CSRFinput!$B:$E,4,0))),0,IF(AND(VLOOKUP(CONCATENATE($D268,$G268),CSRFinput!$B:$E,4,0)=0,OR(H268=MappingTables!$C$34,H268=MappingTables!$C$35)),1,VLOOKUP(CONCATENATE($D268,$G268),CSRFinput!$B:$E,4,0)))</f>
        <v>0.054776304963434752</v>
      </c>
      <c r="W268" s="85">
        <f>IF(B268="",0,+$T268*$V268)</f>
        <v>0.2103788050771128</v>
      </c>
      <c r="X268" s="85">
        <f>IF(B268="",0,IF(OR(H268=MappingTables!$C$34,H268=MappingTables!$C$35),W268,0))</f>
        <v>0</v>
      </c>
    </row>
    <row r="269" spans="2:24" s="0" customFormat="0" ht="15">
      <c r="B269" s="69">
        <v>20678970</v>
      </c>
      <c r="C269" s="70" t="s">
        <v>508</v>
      </c>
      <c r="D269" s="70" t="s">
        <v>1</v>
      </c>
      <c r="E269" s="70" t="s">
        <v>1</v>
      </c>
      <c r="F269" s="70"/>
      <c r="G269" s="70" t="s">
        <v>61</v>
      </c>
      <c r="H269" s="70" t="s">
        <v>178</v>
      </c>
      <c r="I269" s="70" t="s">
        <v>181</v>
      </c>
      <c r="J269" s="71">
        <f>IF(OR(I269=0,I269=""),"unrated",VLOOKUP(I269,MappingTables!$B$19:$C$31,2,FALSE))</f>
        <v>3</v>
      </c>
      <c r="K269" s="72">
        <v>2.8733490460845744</v>
      </c>
      <c r="L269" s="70">
        <v>1.4648319514244656</v>
      </c>
      <c r="M269" s="71">
        <f>IF(L269&lt;1,1,L269)</f>
        <v>1.4648319514244656</v>
      </c>
      <c r="N269" s="70" t="s">
        <v>141</v>
      </c>
      <c r="O269" s="71">
        <f>INDEX(DurClassMapping,MATCH(M269,MappingTables!$D$4:$D$8,-1),1)</f>
        <v>1</v>
      </c>
      <c r="P269" s="73">
        <f>IF(M269=$A$1,1,$M269-INDEX(MappingTables!$E$4:$E$8,MATCH(O269,MappingTables!$B$4:$B$8,0)))</f>
        <v>1.4648319514244656</v>
      </c>
      <c r="Q269" s="71">
        <f>IF(B269="",0,INDEX(ModelParameters!$D$6:$K$10,MATCH($O269,ModelParameters!$B$6:$B$10,0),MATCH($J269,ModelParameters!$D$5:$K$5,0)))</f>
        <v>0.025</v>
      </c>
      <c r="R269" s="71">
        <f>IF(B269="",0,INDEX(ModelParameters!$D$13:$K$17,MATCH($O269,ModelParameters!$B$13:$B$17,0),MATCH($J269,ModelParameters!$D$5:$K$5,0)))</f>
        <v>0</v>
      </c>
      <c r="S269" s="160">
        <f>IF(B269="",0,MIN(IF($N269="Other Bond TM",ModelParameters!$N$21,1)*(P269*Q269+R269),1))</f>
        <v>0.03662079878561164</v>
      </c>
      <c r="T269" s="85">
        <f>IF(B269="",0,$S269*$K269)</f>
        <v>0.10522433725749234</v>
      </c>
      <c r="U269" s="85">
        <f>IF(B269="",0,IF(OR(H269=MappingTables!$C$34,H269=MappingTables!$C$35),T269,0))</f>
        <v>0</v>
      </c>
      <c r="V269" s="85">
        <f>IF(ISNA(IF(AND(VLOOKUP(CONCATENATE($D269,$G269),CSRFinput!$B:$E,4,0)=0,OR(H269=MappingTables!$C$34,H269=MappingTables!$C$35)),1,VLOOKUP(CONCATENATE($D269,$G269),CSRFinput!$B:$E,4,0))),0,IF(AND(VLOOKUP(CONCATENATE($D269,$G269),CSRFinput!$B:$E,4,0)=0,OR(H269=MappingTables!$C$34,H269=MappingTables!$C$35)),1,VLOOKUP(CONCATENATE($D269,$G269),CSRFinput!$B:$E,4,0)))</f>
        <v>0.054776304963434752</v>
      </c>
      <c r="W269" s="85">
        <f>IF(B269="",0,+$T269*$V269)</f>
        <v>0.0057638003871917104</v>
      </c>
      <c r="X269" s="85">
        <f>IF(B269="",0,IF(OR(H269=MappingTables!$C$34,H269=MappingTables!$C$35),W269,0))</f>
        <v>0</v>
      </c>
    </row>
    <row r="270" spans="2:24" s="0" customFormat="0" ht="15">
      <c r="B270" s="69">
        <v>11842055</v>
      </c>
      <c r="C270" s="70" t="s">
        <v>509</v>
      </c>
      <c r="D270" s="70" t="s">
        <v>1</v>
      </c>
      <c r="E270" s="70" t="s">
        <v>1</v>
      </c>
      <c r="F270" s="70"/>
      <c r="G270" s="70" t="s">
        <v>61</v>
      </c>
      <c r="H270" s="70" t="s">
        <v>178</v>
      </c>
      <c r="I270" s="70" t="s">
        <v>181</v>
      </c>
      <c r="J270" s="71">
        <f>IF(OR(I270=0,I270=""),"unrated",VLOOKUP(I270,MappingTables!$B$19:$C$31,2,FALSE))</f>
        <v>3</v>
      </c>
      <c r="K270" s="72">
        <v>13.465097593655562</v>
      </c>
      <c r="L270" s="70">
        <v>0.306850515387659</v>
      </c>
      <c r="M270" s="71">
        <f>IF(L270&lt;1,1,L270)</f>
        <v>1</v>
      </c>
      <c r="N270" s="70" t="s">
        <v>141</v>
      </c>
      <c r="O270" s="71">
        <f>INDEX(DurClassMapping,MATCH(M270,MappingTables!$D$4:$D$8,-1),1)</f>
        <v>1</v>
      </c>
      <c r="P270" s="73">
        <f>IF(M270=$A$1,1,$M270-INDEX(MappingTables!$E$4:$E$8,MATCH(O270,MappingTables!$B$4:$B$8,0)))</f>
        <v>1</v>
      </c>
      <c r="Q270" s="71">
        <f>IF(B270="",0,INDEX(ModelParameters!$D$6:$K$10,MATCH($O270,ModelParameters!$B$6:$B$10,0),MATCH($J270,ModelParameters!$D$5:$K$5,0)))</f>
        <v>0.025</v>
      </c>
      <c r="R270" s="71">
        <f>IF(B270="",0,INDEX(ModelParameters!$D$13:$K$17,MATCH($O270,ModelParameters!$B$13:$B$17,0),MATCH($J270,ModelParameters!$D$5:$K$5,0)))</f>
        <v>0</v>
      </c>
      <c r="S270" s="160">
        <f>IF(B270="",0,MIN(IF($N270="Other Bond TM",ModelParameters!$N$21,1)*(P270*Q270+R270),1))</f>
        <v>0.025</v>
      </c>
      <c r="T270" s="85">
        <f>IF(B270="",0,$S270*$K270)</f>
        <v>0.33662743984138908</v>
      </c>
      <c r="U270" s="85">
        <f>IF(B270="",0,IF(OR(H270=MappingTables!$C$34,H270=MappingTables!$C$35),T270,0))</f>
        <v>0</v>
      </c>
      <c r="V270" s="85">
        <f>IF(ISNA(IF(AND(VLOOKUP(CONCATENATE($D270,$G270),CSRFinput!$B:$E,4,0)=0,OR(H270=MappingTables!$C$34,H270=MappingTables!$C$35)),1,VLOOKUP(CONCATENATE($D270,$G270),CSRFinput!$B:$E,4,0))),0,IF(AND(VLOOKUP(CONCATENATE($D270,$G270),CSRFinput!$B:$E,4,0)=0,OR(H270=MappingTables!$C$34,H270=MappingTables!$C$35)),1,VLOOKUP(CONCATENATE($D270,$G270),CSRFinput!$B:$E,4,0)))</f>
        <v>0.054776304963434752</v>
      </c>
      <c r="W270" s="85">
        <f>IF(B270="",0,+$T270*$V270)</f>
        <v>0.018439207303812216</v>
      </c>
      <c r="X270" s="85">
        <f>IF(B270="",0,IF(OR(H270=MappingTables!$C$34,H270=MappingTables!$C$35),W270,0))</f>
        <v>0</v>
      </c>
    </row>
    <row r="271" spans="2:24" s="0" customFormat="0" ht="15">
      <c r="B271" s="69">
        <v>13275738</v>
      </c>
      <c r="C271" s="70" t="s">
        <v>510</v>
      </c>
      <c r="D271" s="70" t="s">
        <v>1</v>
      </c>
      <c r="E271" s="70" t="s">
        <v>1</v>
      </c>
      <c r="F271" s="70"/>
      <c r="G271" s="70" t="s">
        <v>61</v>
      </c>
      <c r="H271" s="70" t="s">
        <v>178</v>
      </c>
      <c r="I271" s="70" t="s">
        <v>179</v>
      </c>
      <c r="J271" s="71">
        <f>IF(OR(I271=0,I271=""),"unrated",VLOOKUP(I271,MappingTables!$B$19:$C$31,2,FALSE))</f>
        <v>4</v>
      </c>
      <c r="K271" s="72">
        <v>12311.51045198658</v>
      </c>
      <c r="L271" s="70">
        <v>3.0732287497980456</v>
      </c>
      <c r="M271" s="71">
        <f>IF(L271&lt;1,1,L271)</f>
        <v>3.0732287497980456</v>
      </c>
      <c r="N271" s="70" t="s">
        <v>141</v>
      </c>
      <c r="O271" s="71">
        <f>INDEX(DurClassMapping,MATCH(M271,MappingTables!$D$4:$D$8,-1),1)</f>
        <v>1</v>
      </c>
      <c r="P271" s="73">
        <f>IF(M271=$A$1,1,$M271-INDEX(MappingTables!$E$4:$E$8,MATCH(O271,MappingTables!$B$4:$B$8,0)))</f>
        <v>3.0732287497980456</v>
      </c>
      <c r="Q271" s="71">
        <f>IF(B271="",0,INDEX(ModelParameters!$D$6:$K$10,MATCH($O271,ModelParameters!$B$6:$B$10,0),MATCH($J271,ModelParameters!$D$5:$K$5,0)))</f>
        <v>0.045</v>
      </c>
      <c r="R271" s="71">
        <f>IF(B271="",0,INDEX(ModelParameters!$D$13:$K$17,MATCH($O271,ModelParameters!$B$13:$B$17,0),MATCH($J271,ModelParameters!$D$5:$K$5,0)))</f>
        <v>0</v>
      </c>
      <c r="S271" s="160">
        <f>IF(B271="",0,MIN(IF($N271="Other Bond TM",ModelParameters!$N$21,1)*(P271*Q271+R271),1))</f>
        <v>0.13829529374091204</v>
      </c>
      <c r="T271" s="85">
        <f>IF(B271="",0,$S271*$K271)</f>
        <v>1702.623954351793</v>
      </c>
      <c r="U271" s="85">
        <f>IF(B271="",0,IF(OR(H271=MappingTables!$C$34,H271=MappingTables!$C$35),T271,0))</f>
        <v>0</v>
      </c>
      <c r="V271" s="85">
        <f>IF(ISNA(IF(AND(VLOOKUP(CONCATENATE($D271,$G271),CSRFinput!$B:$E,4,0)=0,OR(H271=MappingTables!$C$34,H271=MappingTables!$C$35)),1,VLOOKUP(CONCATENATE($D271,$G271),CSRFinput!$B:$E,4,0))),0,IF(AND(VLOOKUP(CONCATENATE($D271,$G271),CSRFinput!$B:$E,4,0)=0,OR(H271=MappingTables!$C$34,H271=MappingTables!$C$35)),1,VLOOKUP(CONCATENATE($D271,$G271),CSRFinput!$B:$E,4,0)))</f>
        <v>0.054776304963434752</v>
      </c>
      <c r="W271" s="85">
        <f>IF(B271="",0,+$T271*$V271)</f>
        <v>93.263448961623024</v>
      </c>
      <c r="X271" s="85">
        <f>IF(B271="",0,IF(OR(H271=MappingTables!$C$34,H271=MappingTables!$C$35),W271,0))</f>
        <v>0</v>
      </c>
    </row>
    <row r="272" spans="2:24" s="0" customFormat="0" ht="15">
      <c r="B272" s="69" t="s">
        <v>511</v>
      </c>
      <c r="C272" s="70" t="s">
        <v>512</v>
      </c>
      <c r="D272" s="70" t="s">
        <v>1</v>
      </c>
      <c r="E272" s="70" t="s">
        <v>1</v>
      </c>
      <c r="F272" s="70"/>
      <c r="G272" s="70" t="s">
        <v>61</v>
      </c>
      <c r="H272" s="70" t="s">
        <v>178</v>
      </c>
      <c r="I272" s="70" t="s">
        <v>513</v>
      </c>
      <c r="J272" s="71">
        <f>IF(OR(I272=0,I272=""),"unrated",VLOOKUP(I272,MappingTables!$B$19:$C$31,2,FALSE))</f>
        <v>6</v>
      </c>
      <c r="K272" s="72">
        <v>109.63624826885516</v>
      </c>
      <c r="L272" s="70">
        <v>0.065755002918988864</v>
      </c>
      <c r="M272" s="71">
        <f>IF(L272&lt;1,1,L272)</f>
        <v>1</v>
      </c>
      <c r="N272" s="70" t="s">
        <v>141</v>
      </c>
      <c r="O272" s="71">
        <f>INDEX(DurClassMapping,MATCH(M272,MappingTables!$D$4:$D$8,-1),1)</f>
        <v>1</v>
      </c>
      <c r="P272" s="73">
        <f>IF(M272=$A$1,1,$M272-INDEX(MappingTables!$E$4:$E$8,MATCH(O272,MappingTables!$B$4:$B$8,0)))</f>
        <v>1</v>
      </c>
      <c r="Q272" s="71">
        <f>IF(B272="",0,INDEX(ModelParameters!$D$6:$K$10,MATCH($O272,ModelParameters!$B$6:$B$10,0),MATCH($J272,ModelParameters!$D$5:$K$5,0)))</f>
        <v>0.075</v>
      </c>
      <c r="R272" s="71">
        <f>IF(B272="",0,INDEX(ModelParameters!$D$13:$K$17,MATCH($O272,ModelParameters!$B$13:$B$17,0),MATCH($J272,ModelParameters!$D$5:$K$5,0)))</f>
        <v>0</v>
      </c>
      <c r="S272" s="160">
        <f>IF(B272="",0,MIN(IF($N272="Other Bond TM",ModelParameters!$N$21,1)*(P272*Q272+R272),1))</f>
        <v>0.075</v>
      </c>
      <c r="T272" s="85">
        <f>IF(B272="",0,$S272*$K272)</f>
        <v>8.222718620164136</v>
      </c>
      <c r="U272" s="85">
        <f>IF(B272="",0,IF(OR(H272=MappingTables!$C$34,H272=MappingTables!$C$35),T272,0))</f>
        <v>0</v>
      </c>
      <c r="V272" s="85">
        <f>IF(ISNA(IF(AND(VLOOKUP(CONCATENATE($D272,$G272),CSRFinput!$B:$E,4,0)=0,OR(H272=MappingTables!$C$34,H272=MappingTables!$C$35)),1,VLOOKUP(CONCATENATE($D272,$G272),CSRFinput!$B:$E,4,0))),0,IF(AND(VLOOKUP(CONCATENATE($D272,$G272),CSRFinput!$B:$E,4,0)=0,OR(H272=MappingTables!$C$34,H272=MappingTables!$C$35)),1,VLOOKUP(CONCATENATE($D272,$G272),CSRFinput!$B:$E,4,0)))</f>
        <v>0.054776304963434752</v>
      </c>
      <c r="W272" s="85">
        <f>IF(B272="",0,+$T272*$V272)</f>
        <v>0.45041014276662408</v>
      </c>
      <c r="X272" s="85">
        <f>IF(B272="",0,IF(OR(H272=MappingTables!$C$34,H272=MappingTables!$C$35),W272,0))</f>
        <v>0</v>
      </c>
    </row>
    <row r="273" spans="2:24" s="0" customFormat="0" ht="15">
      <c r="B273" s="69">
        <v>10211113</v>
      </c>
      <c r="C273" s="70" t="s">
        <v>514</v>
      </c>
      <c r="D273" s="70" t="s">
        <v>1</v>
      </c>
      <c r="E273" s="70" t="s">
        <v>1</v>
      </c>
      <c r="F273" s="70"/>
      <c r="G273" s="70" t="s">
        <v>61</v>
      </c>
      <c r="H273" s="70" t="s">
        <v>178</v>
      </c>
      <c r="I273" s="70" t="s">
        <v>188</v>
      </c>
      <c r="J273" s="71">
        <f>IF(OR(I273=0,I273=""),"unrated",VLOOKUP(I273,MappingTables!$B$19:$C$31,2,FALSE))</f>
        <v>2</v>
      </c>
      <c r="K273" s="72">
        <v>53330.84318149808</v>
      </c>
      <c r="L273" s="70">
        <v>4.0978046004493048</v>
      </c>
      <c r="M273" s="71">
        <f>IF(L273&lt;1,1,L273)</f>
        <v>4.0978046004493048</v>
      </c>
      <c r="N273" s="70" t="s">
        <v>141</v>
      </c>
      <c r="O273" s="71">
        <f>INDEX(DurClassMapping,MATCH(M273,MappingTables!$D$4:$D$8,-1),1)</f>
        <v>1</v>
      </c>
      <c r="P273" s="73">
        <f>IF(M273=$A$1,1,$M273-INDEX(MappingTables!$E$4:$E$8,MATCH(O273,MappingTables!$B$4:$B$8,0)))</f>
        <v>4.0978046004493048</v>
      </c>
      <c r="Q273" s="71">
        <f>IF(B273="",0,INDEX(ModelParameters!$D$6:$K$10,MATCH($O273,ModelParameters!$B$6:$B$10,0),MATCH($J273,ModelParameters!$D$5:$K$5,0)))</f>
        <v>0.013999999999999998</v>
      </c>
      <c r="R273" s="71">
        <f>IF(B273="",0,INDEX(ModelParameters!$D$13:$K$17,MATCH($O273,ModelParameters!$B$13:$B$17,0),MATCH($J273,ModelParameters!$D$5:$K$5,0)))</f>
        <v>0</v>
      </c>
      <c r="S273" s="160">
        <f>IF(B273="",0,MIN(IF($N273="Other Bond TM",ModelParameters!$N$21,1)*(P273*Q273+R273),1))</f>
        <v>0.057369264406290256</v>
      </c>
      <c r="T273" s="85">
        <f>IF(B273="",0,$S273*$K273)</f>
        <v>3059.5512434897652</v>
      </c>
      <c r="U273" s="85">
        <f>IF(B273="",0,IF(OR(H273=MappingTables!$C$34,H273=MappingTables!$C$35),T273,0))</f>
        <v>0</v>
      </c>
      <c r="V273" s="85">
        <f>IF(ISNA(IF(AND(VLOOKUP(CONCATENATE($D273,$G273),CSRFinput!$B:$E,4,0)=0,OR(H273=MappingTables!$C$34,H273=MappingTables!$C$35)),1,VLOOKUP(CONCATENATE($D273,$G273),CSRFinput!$B:$E,4,0))),0,IF(AND(VLOOKUP(CONCATENATE($D273,$G273),CSRFinput!$B:$E,4,0)=0,OR(H273=MappingTables!$C$34,H273=MappingTables!$C$35)),1,VLOOKUP(CONCATENATE($D273,$G273),CSRFinput!$B:$E,4,0)))</f>
        <v>0.054776304963434752</v>
      </c>
      <c r="W273" s="85">
        <f>IF(B273="",0,+$T273*$V273)</f>
        <v>167.59091196465138</v>
      </c>
      <c r="X273" s="85">
        <f>IF(B273="",0,IF(OR(H273=MappingTables!$C$34,H273=MappingTables!$C$35),W273,0))</f>
        <v>0</v>
      </c>
    </row>
    <row r="274" spans="2:24" s="0" customFormat="0" ht="15">
      <c r="B274" s="69" t="s">
        <v>515</v>
      </c>
      <c r="C274" s="70" t="s">
        <v>516</v>
      </c>
      <c r="D274" s="70" t="s">
        <v>1</v>
      </c>
      <c r="E274" s="70" t="s">
        <v>1</v>
      </c>
      <c r="F274" s="70"/>
      <c r="G274" s="70" t="s">
        <v>61</v>
      </c>
      <c r="H274" s="70" t="s">
        <v>178</v>
      </c>
      <c r="I274" s="70" t="s">
        <v>198</v>
      </c>
      <c r="J274" s="71" t="str">
        <f>IF(OR(I274=0,I274=""),"unrated",VLOOKUP(I274,MappingTables!$B$19:$C$31,2,FALSE))</f>
        <v>unrated</v>
      </c>
      <c r="K274" s="72">
        <v>17456.58246603308</v>
      </c>
      <c r="L274" s="70">
        <v>7.9487026098701408</v>
      </c>
      <c r="M274" s="71">
        <f>IF(L274&lt;1,1,L274)</f>
        <v>7.9487026098701408</v>
      </c>
      <c r="N274" s="70" t="s">
        <v>141</v>
      </c>
      <c r="O274" s="71">
        <f>INDEX(DurClassMapping,MATCH(M274,MappingTables!$D$4:$D$8,-1),1)</f>
        <v>2</v>
      </c>
      <c r="P274" s="73">
        <f>IF(M274=$A$1,1,$M274-INDEX(MappingTables!$E$4:$E$8,MATCH(O274,MappingTables!$B$4:$B$8,0)))</f>
        <v>2.9487026098701408</v>
      </c>
      <c r="Q274" s="71">
        <f>IF(B274="",0,INDEX(ModelParameters!$D$6:$K$10,MATCH($O274,ModelParameters!$B$6:$B$10,0),MATCH($J274,ModelParameters!$D$5:$K$5,0)))</f>
        <v>0.017000000000000002</v>
      </c>
      <c r="R274" s="71">
        <f>IF(B274="",0,INDEX(ModelParameters!$D$13:$K$17,MATCH($O274,ModelParameters!$B$13:$B$17,0),MATCH($J274,ModelParameters!$D$5:$K$5,0)))</f>
        <v>0.15</v>
      </c>
      <c r="S274" s="160">
        <f>IF(B274="",0,MIN(IF($N274="Other Bond TM",ModelParameters!$N$21,1)*(P274*Q274+R274),1))</f>
        <v>0.2001279443677924</v>
      </c>
      <c r="T274" s="85">
        <f>IF(B274="",0,$S274*$K274)</f>
        <v>3493.5499646140488</v>
      </c>
      <c r="U274" s="85">
        <f>IF(B274="",0,IF(OR(H274=MappingTables!$C$34,H274=MappingTables!$C$35),T274,0))</f>
        <v>0</v>
      </c>
      <c r="V274" s="85">
        <f>IF(ISNA(IF(AND(VLOOKUP(CONCATENATE($D274,$G274),CSRFinput!$B:$E,4,0)=0,OR(H274=MappingTables!$C$34,H274=MappingTables!$C$35)),1,VLOOKUP(CONCATENATE($D274,$G274),CSRFinput!$B:$E,4,0))),0,IF(AND(VLOOKUP(CONCATENATE($D274,$G274),CSRFinput!$B:$E,4,0)=0,OR(H274=MappingTables!$C$34,H274=MappingTables!$C$35)),1,VLOOKUP(CONCATENATE($D274,$G274),CSRFinput!$B:$E,4,0)))</f>
        <v>0.054776304963434752</v>
      </c>
      <c r="W274" s="85">
        <f>IF(B274="",0,+$T274*$V274)</f>
        <v>191.36375826669584</v>
      </c>
      <c r="X274" s="85">
        <f>IF(B274="",0,IF(OR(H274=MappingTables!$C$34,H274=MappingTables!$C$35),W274,0))</f>
        <v>0</v>
      </c>
    </row>
    <row r="275" spans="2:24" s="0" customFormat="0" ht="15">
      <c r="B275" s="69">
        <v>10591784</v>
      </c>
      <c r="C275" s="70" t="s">
        <v>517</v>
      </c>
      <c r="D275" s="70" t="s">
        <v>1</v>
      </c>
      <c r="E275" s="70" t="s">
        <v>1</v>
      </c>
      <c r="F275" s="70"/>
      <c r="G275" s="70" t="s">
        <v>61</v>
      </c>
      <c r="H275" s="70" t="s">
        <v>178</v>
      </c>
      <c r="I275" s="70" t="s">
        <v>181</v>
      </c>
      <c r="J275" s="71">
        <f>IF(OR(I275=0,I275=""),"unrated",VLOOKUP(I275,MappingTables!$B$19:$C$31,2,FALSE))</f>
        <v>3</v>
      </c>
      <c r="K275" s="72">
        <v>55.339248048021768</v>
      </c>
      <c r="L275" s="70">
        <v>0.08767156603028896</v>
      </c>
      <c r="M275" s="71">
        <f>IF(L275&lt;1,1,L275)</f>
        <v>1</v>
      </c>
      <c r="N275" s="70" t="s">
        <v>141</v>
      </c>
      <c r="O275" s="71">
        <f>INDEX(DurClassMapping,MATCH(M275,MappingTables!$D$4:$D$8,-1),1)</f>
        <v>1</v>
      </c>
      <c r="P275" s="73">
        <f>IF(M275=$A$1,1,$M275-INDEX(MappingTables!$E$4:$E$8,MATCH(O275,MappingTables!$B$4:$B$8,0)))</f>
        <v>1</v>
      </c>
      <c r="Q275" s="71">
        <f>IF(B275="",0,INDEX(ModelParameters!$D$6:$K$10,MATCH($O275,ModelParameters!$B$6:$B$10,0),MATCH($J275,ModelParameters!$D$5:$K$5,0)))</f>
        <v>0.025</v>
      </c>
      <c r="R275" s="71">
        <f>IF(B275="",0,INDEX(ModelParameters!$D$13:$K$17,MATCH($O275,ModelParameters!$B$13:$B$17,0),MATCH($J275,ModelParameters!$D$5:$K$5,0)))</f>
        <v>0</v>
      </c>
      <c r="S275" s="160">
        <f>IF(B275="",0,MIN(IF($N275="Other Bond TM",ModelParameters!$N$21,1)*(P275*Q275+R275),1))</f>
        <v>0.025</v>
      </c>
      <c r="T275" s="85">
        <f>IF(B275="",0,$S275*$K275)</f>
        <v>1.3834812012005442</v>
      </c>
      <c r="U275" s="85">
        <f>IF(B275="",0,IF(OR(H275=MappingTables!$C$34,H275=MappingTables!$C$35),T275,0))</f>
        <v>0</v>
      </c>
      <c r="V275" s="85">
        <f>IF(ISNA(IF(AND(VLOOKUP(CONCATENATE($D275,$G275),CSRFinput!$B:$E,4,0)=0,OR(H275=MappingTables!$C$34,H275=MappingTables!$C$35)),1,VLOOKUP(CONCATENATE($D275,$G275),CSRFinput!$B:$E,4,0))),0,IF(AND(VLOOKUP(CONCATENATE($D275,$G275),CSRFinput!$B:$E,4,0)=0,OR(H275=MappingTables!$C$34,H275=MappingTables!$C$35)),1,VLOOKUP(CONCATENATE($D275,$G275),CSRFinput!$B:$E,4,0)))</f>
        <v>0.054776304963434752</v>
      </c>
      <c r="W275" s="85">
        <f>IF(B275="",0,+$T275*$V275)</f>
        <v>0.075781988188140032</v>
      </c>
      <c r="X275" s="85">
        <f>IF(B275="",0,IF(OR(H275=MappingTables!$C$34,H275=MappingTables!$C$35),W275,0))</f>
        <v>0</v>
      </c>
    </row>
    <row r="276" spans="2:24" s="0" customFormat="0" ht="15">
      <c r="B276" s="69">
        <v>23043029</v>
      </c>
      <c r="C276" s="70" t="s">
        <v>518</v>
      </c>
      <c r="D276" s="70" t="s">
        <v>1</v>
      </c>
      <c r="E276" s="70" t="s">
        <v>1</v>
      </c>
      <c r="F276" s="70"/>
      <c r="G276" s="70" t="s">
        <v>61</v>
      </c>
      <c r="H276" s="70" t="s">
        <v>178</v>
      </c>
      <c r="I276" s="70" t="s">
        <v>188</v>
      </c>
      <c r="J276" s="71">
        <f>IF(OR(I276=0,I276=""),"unrated",VLOOKUP(I276,MappingTables!$B$19:$C$31,2,FALSE))</f>
        <v>2</v>
      </c>
      <c r="K276" s="72">
        <v>3229.291873082108</v>
      </c>
      <c r="L276" s="70">
        <v>2.3270234232562</v>
      </c>
      <c r="M276" s="71">
        <f>IF(L276&lt;1,1,L276)</f>
        <v>2.3270234232562</v>
      </c>
      <c r="N276" s="70" t="s">
        <v>141</v>
      </c>
      <c r="O276" s="71">
        <f>INDEX(DurClassMapping,MATCH(M276,MappingTables!$D$4:$D$8,-1),1)</f>
        <v>1</v>
      </c>
      <c r="P276" s="73">
        <f>IF(M276=$A$1,1,$M276-INDEX(MappingTables!$E$4:$E$8,MATCH(O276,MappingTables!$B$4:$B$8,0)))</f>
        <v>2.3270234232562</v>
      </c>
      <c r="Q276" s="71">
        <f>IF(B276="",0,INDEX(ModelParameters!$D$6:$K$10,MATCH($O276,ModelParameters!$B$6:$B$10,0),MATCH($J276,ModelParameters!$D$5:$K$5,0)))</f>
        <v>0.013999999999999998</v>
      </c>
      <c r="R276" s="71">
        <f>IF(B276="",0,INDEX(ModelParameters!$D$13:$K$17,MATCH($O276,ModelParameters!$B$13:$B$17,0),MATCH($J276,ModelParameters!$D$5:$K$5,0)))</f>
        <v>0</v>
      </c>
      <c r="S276" s="160">
        <f>IF(B276="",0,MIN(IF($N276="Other Bond TM",ModelParameters!$N$21,1)*(P276*Q276+R276),1))</f>
        <v>0.0325783279255868</v>
      </c>
      <c r="T276" s="85">
        <f>IF(B276="",0,$S276*$K276)</f>
        <v>105.20492960870134</v>
      </c>
      <c r="U276" s="85">
        <f>IF(B276="",0,IF(OR(H276=MappingTables!$C$34,H276=MappingTables!$C$35),T276,0))</f>
        <v>0</v>
      </c>
      <c r="V276" s="85">
        <f>IF(ISNA(IF(AND(VLOOKUP(CONCATENATE($D276,$G276),CSRFinput!$B:$E,4,0)=0,OR(H276=MappingTables!$C$34,H276=MappingTables!$C$35)),1,VLOOKUP(CONCATENATE($D276,$G276),CSRFinput!$B:$E,4,0))),0,IF(AND(VLOOKUP(CONCATENATE($D276,$G276),CSRFinput!$B:$E,4,0)=0,OR(H276=MappingTables!$C$34,H276=MappingTables!$C$35)),1,VLOOKUP(CONCATENATE($D276,$G276),CSRFinput!$B:$E,4,0)))</f>
        <v>0.054776304963434752</v>
      </c>
      <c r="W276" s="85">
        <f>IF(B276="",0,+$T276*$V276)</f>
        <v>5.7627373079029104</v>
      </c>
      <c r="X276" s="85">
        <f>IF(B276="",0,IF(OR(H276=MappingTables!$C$34,H276=MappingTables!$C$35),W276,0))</f>
        <v>0</v>
      </c>
    </row>
    <row r="277" spans="2:24" s="0" customFormat="0" ht="15">
      <c r="B277" s="69" t="s">
        <v>519</v>
      </c>
      <c r="C277" s="70" t="s">
        <v>520</v>
      </c>
      <c r="D277" s="70" t="s">
        <v>1</v>
      </c>
      <c r="E277" s="70" t="s">
        <v>1</v>
      </c>
      <c r="F277" s="70"/>
      <c r="G277" s="70" t="s">
        <v>61</v>
      </c>
      <c r="H277" s="70" t="s">
        <v>178</v>
      </c>
      <c r="I277" s="70" t="s">
        <v>181</v>
      </c>
      <c r="J277" s="71">
        <f>IF(OR(I277=0,I277=""),"unrated",VLOOKUP(I277,MappingTables!$B$19:$C$31,2,FALSE))</f>
        <v>3</v>
      </c>
      <c r="K277" s="72">
        <v>1003.2118906753402</v>
      </c>
      <c r="L277" s="70">
        <v>5.1092056494626616</v>
      </c>
      <c r="M277" s="71">
        <f>IF(L277&lt;1,1,L277)</f>
        <v>5.1092056494626616</v>
      </c>
      <c r="N277" s="70" t="s">
        <v>141</v>
      </c>
      <c r="O277" s="71">
        <f>INDEX(DurClassMapping,MATCH(M277,MappingTables!$D$4:$D$8,-1),1)</f>
        <v>2</v>
      </c>
      <c r="P277" s="73">
        <f>IF(M277=$A$1,1,$M277-INDEX(MappingTables!$E$4:$E$8,MATCH(O277,MappingTables!$B$4:$B$8,0)))</f>
        <v>0.10920564946266164</v>
      </c>
      <c r="Q277" s="71">
        <f>IF(B277="",0,INDEX(ModelParameters!$D$6:$K$10,MATCH($O277,ModelParameters!$B$6:$B$10,0),MATCH($J277,ModelParameters!$D$5:$K$5,0)))</f>
        <v>0.015</v>
      </c>
      <c r="R277" s="71">
        <f>IF(B277="",0,INDEX(ModelParameters!$D$13:$K$17,MATCH($O277,ModelParameters!$B$13:$B$17,0),MATCH($J277,ModelParameters!$D$5:$K$5,0)))</f>
        <v>0.125</v>
      </c>
      <c r="S277" s="160">
        <f>IF(B277="",0,MIN(IF($N277="Other Bond TM",ModelParameters!$N$21,1)*(P277*Q277+R277),1))</f>
        <v>0.12663808474193994</v>
      </c>
      <c r="T277" s="85">
        <f>IF(B277="",0,$S277*$K277)</f>
        <v>127.04483242546552</v>
      </c>
      <c r="U277" s="85">
        <f>IF(B277="",0,IF(OR(H277=MappingTables!$C$34,H277=MappingTables!$C$35),T277,0))</f>
        <v>0</v>
      </c>
      <c r="V277" s="85">
        <f>IF(ISNA(IF(AND(VLOOKUP(CONCATENATE($D277,$G277),CSRFinput!$B:$E,4,0)=0,OR(H277=MappingTables!$C$34,H277=MappingTables!$C$35)),1,VLOOKUP(CONCATENATE($D277,$G277),CSRFinput!$B:$E,4,0))),0,IF(AND(VLOOKUP(CONCATENATE($D277,$G277),CSRFinput!$B:$E,4,0)=0,OR(H277=MappingTables!$C$34,H277=MappingTables!$C$35)),1,VLOOKUP(CONCATENATE($D277,$G277),CSRFinput!$B:$E,4,0)))</f>
        <v>0.054776304963434752</v>
      </c>
      <c r="W277" s="85">
        <f>IF(B277="",0,+$T277*$V277)</f>
        <v>6.9590464849657632</v>
      </c>
      <c r="X277" s="85">
        <f>IF(B277="",0,IF(OR(H277=MappingTables!$C$34,H277=MappingTables!$C$35),W277,0))</f>
        <v>0</v>
      </c>
    </row>
    <row r="278" spans="2:24" s="0" customFormat="0" ht="15">
      <c r="B278" s="69" t="s">
        <v>521</v>
      </c>
      <c r="C278" s="70" t="s">
        <v>522</v>
      </c>
      <c r="D278" s="70" t="s">
        <v>1</v>
      </c>
      <c r="E278" s="70" t="s">
        <v>1</v>
      </c>
      <c r="F278" s="70"/>
      <c r="G278" s="70" t="s">
        <v>61</v>
      </c>
      <c r="H278" s="70" t="s">
        <v>178</v>
      </c>
      <c r="I278" s="70" t="s">
        <v>181</v>
      </c>
      <c r="J278" s="71">
        <f>IF(OR(I278=0,I278=""),"unrated",VLOOKUP(I278,MappingTables!$B$19:$C$31,2,FALSE))</f>
        <v>3</v>
      </c>
      <c r="K278" s="72">
        <v>0.28946337550544736</v>
      </c>
      <c r="L278" s="70">
        <v>1.0392352091271826</v>
      </c>
      <c r="M278" s="71">
        <f>IF(L278&lt;1,1,L278)</f>
        <v>1.0392352091271826</v>
      </c>
      <c r="N278" s="70" t="s">
        <v>141</v>
      </c>
      <c r="O278" s="71">
        <f>INDEX(DurClassMapping,MATCH(M278,MappingTables!$D$4:$D$8,-1),1)</f>
        <v>1</v>
      </c>
      <c r="P278" s="73">
        <f>IF(M278=$A$1,1,$M278-INDEX(MappingTables!$E$4:$E$8,MATCH(O278,MappingTables!$B$4:$B$8,0)))</f>
        <v>1.0392352091271826</v>
      </c>
      <c r="Q278" s="71">
        <f>IF(B278="",0,INDEX(ModelParameters!$D$6:$K$10,MATCH($O278,ModelParameters!$B$6:$B$10,0),MATCH($J278,ModelParameters!$D$5:$K$5,0)))</f>
        <v>0.025</v>
      </c>
      <c r="R278" s="71">
        <f>IF(B278="",0,INDEX(ModelParameters!$D$13:$K$17,MATCH($O278,ModelParameters!$B$13:$B$17,0),MATCH($J278,ModelParameters!$D$5:$K$5,0)))</f>
        <v>0</v>
      </c>
      <c r="S278" s="160">
        <f>IF(B278="",0,MIN(IF($N278="Other Bond TM",ModelParameters!$N$21,1)*(P278*Q278+R278),1))</f>
        <v>0.025980880228179568</v>
      </c>
      <c r="T278" s="85">
        <f>IF(B278="",0,$S278*$K278)</f>
        <v>0.0075205132894515952</v>
      </c>
      <c r="U278" s="85">
        <f>IF(B278="",0,IF(OR(H278=MappingTables!$C$34,H278=MappingTables!$C$35),T278,0))</f>
        <v>0</v>
      </c>
      <c r="V278" s="85">
        <f>IF(ISNA(IF(AND(VLOOKUP(CONCATENATE($D278,$G278),CSRFinput!$B:$E,4,0)=0,OR(H278=MappingTables!$C$34,H278=MappingTables!$C$35)),1,VLOOKUP(CONCATENATE($D278,$G278),CSRFinput!$B:$E,4,0))),0,IF(AND(VLOOKUP(CONCATENATE($D278,$G278),CSRFinput!$B:$E,4,0)=0,OR(H278=MappingTables!$C$34,H278=MappingTables!$C$35)),1,VLOOKUP(CONCATENATE($D278,$G278),CSRFinput!$B:$E,4,0)))</f>
        <v>0.054776304963434752</v>
      </c>
      <c r="W278" s="85">
        <f>IF(B278="",0,+$T278*$V278)</f>
        <v>0.0004119459294245644</v>
      </c>
      <c r="X278" s="85">
        <f>IF(B278="",0,IF(OR(H278=MappingTables!$C$34,H278=MappingTables!$C$35),W278,0))</f>
        <v>0</v>
      </c>
    </row>
    <row r="279" spans="2:24" s="0" customFormat="0" ht="15">
      <c r="B279" s="69">
        <v>21817247</v>
      </c>
      <c r="C279" s="70" t="s">
        <v>523</v>
      </c>
      <c r="D279" s="70" t="s">
        <v>1</v>
      </c>
      <c r="E279" s="70" t="s">
        <v>1</v>
      </c>
      <c r="F279" s="70"/>
      <c r="G279" s="70" t="s">
        <v>61</v>
      </c>
      <c r="H279" s="70" t="s">
        <v>178</v>
      </c>
      <c r="I279" s="70" t="s">
        <v>188</v>
      </c>
      <c r="J279" s="71">
        <f>IF(OR(I279=0,I279=""),"unrated",VLOOKUP(I279,MappingTables!$B$19:$C$31,2,FALSE))</f>
        <v>2</v>
      </c>
      <c r="K279" s="72">
        <v>21323.31219510092</v>
      </c>
      <c r="L279" s="70">
        <v>5.6974196025739096</v>
      </c>
      <c r="M279" s="71">
        <f>IF(L279&lt;1,1,L279)</f>
        <v>5.6974196025739096</v>
      </c>
      <c r="N279" s="70" t="s">
        <v>141</v>
      </c>
      <c r="O279" s="71">
        <f>INDEX(DurClassMapping,MATCH(M279,MappingTables!$D$4:$D$8,-1),1)</f>
        <v>2</v>
      </c>
      <c r="P279" s="73">
        <f>IF(M279=$A$1,1,$M279-INDEX(MappingTables!$E$4:$E$8,MATCH(O279,MappingTables!$B$4:$B$8,0)))</f>
        <v>0.69741960257390992</v>
      </c>
      <c r="Q279" s="71">
        <f>IF(B279="",0,INDEX(ModelParameters!$D$6:$K$10,MATCH($O279,ModelParameters!$B$6:$B$10,0),MATCH($J279,ModelParameters!$D$5:$K$5,0)))</f>
        <v>0.0069999999999999992</v>
      </c>
      <c r="R279" s="71">
        <f>IF(B279="",0,INDEX(ModelParameters!$D$13:$K$17,MATCH($O279,ModelParameters!$B$13:$B$17,0),MATCH($J279,ModelParameters!$D$5:$K$5,0)))</f>
        <v>0.070000000000000008</v>
      </c>
      <c r="S279" s="160">
        <f>IF(B279="",0,MIN(IF($N279="Other Bond TM",ModelParameters!$N$21,1)*(P279*Q279+R279),1))</f>
        <v>0.074881937218017376</v>
      </c>
      <c r="T279" s="85">
        <f>IF(B279="",0,$S279*$K279)</f>
        <v>1596.7309250737314</v>
      </c>
      <c r="U279" s="85">
        <f>IF(B279="",0,IF(OR(H279=MappingTables!$C$34,H279=MappingTables!$C$35),T279,0))</f>
        <v>0</v>
      </c>
      <c r="V279" s="85">
        <f>IF(ISNA(IF(AND(VLOOKUP(CONCATENATE($D279,$G279),CSRFinput!$B:$E,4,0)=0,OR(H279=MappingTables!$C$34,H279=MappingTables!$C$35)),1,VLOOKUP(CONCATENATE($D279,$G279),CSRFinput!$B:$E,4,0))),0,IF(AND(VLOOKUP(CONCATENATE($D279,$G279),CSRFinput!$B:$E,4,0)=0,OR(H279=MappingTables!$C$34,H279=MappingTables!$C$35)),1,VLOOKUP(CONCATENATE($D279,$G279),CSRFinput!$B:$E,4,0)))</f>
        <v>0.054776304963434752</v>
      </c>
      <c r="W279" s="85">
        <f>IF(B279="",0,+$T279*$V279)</f>
        <v>87.463020096386</v>
      </c>
      <c r="X279" s="85">
        <f>IF(B279="",0,IF(OR(H279=MappingTables!$C$34,H279=MappingTables!$C$35),W279,0))</f>
        <v>0</v>
      </c>
    </row>
    <row r="280" spans="2:24" s="0" customFormat="0" ht="15">
      <c r="B280" s="69">
        <v>3273888</v>
      </c>
      <c r="C280" s="70" t="s">
        <v>524</v>
      </c>
      <c r="D280" s="70" t="s">
        <v>1</v>
      </c>
      <c r="E280" s="70" t="s">
        <v>1</v>
      </c>
      <c r="F280" s="70"/>
      <c r="G280" s="70" t="s">
        <v>61</v>
      </c>
      <c r="H280" s="70" t="s">
        <v>178</v>
      </c>
      <c r="I280" s="70" t="s">
        <v>188</v>
      </c>
      <c r="J280" s="71">
        <f>IF(OR(I280=0,I280=""),"unrated",VLOOKUP(I280,MappingTables!$B$19:$C$31,2,FALSE))</f>
        <v>2</v>
      </c>
      <c r="K280" s="72">
        <v>626.40186550922648</v>
      </c>
      <c r="L280" s="70">
        <v>0.041092952727916376</v>
      </c>
      <c r="M280" s="71">
        <f>IF(L280&lt;1,1,L280)</f>
        <v>1</v>
      </c>
      <c r="N280" s="70" t="s">
        <v>141</v>
      </c>
      <c r="O280" s="71">
        <f>INDEX(DurClassMapping,MATCH(M280,MappingTables!$D$4:$D$8,-1),1)</f>
        <v>1</v>
      </c>
      <c r="P280" s="73">
        <f>IF(M280=$A$1,1,$M280-INDEX(MappingTables!$E$4:$E$8,MATCH(O280,MappingTables!$B$4:$B$8,0)))</f>
        <v>1</v>
      </c>
      <c r="Q280" s="71">
        <f>IF(B280="",0,INDEX(ModelParameters!$D$6:$K$10,MATCH($O280,ModelParameters!$B$6:$B$10,0),MATCH($J280,ModelParameters!$D$5:$K$5,0)))</f>
        <v>0.013999999999999998</v>
      </c>
      <c r="R280" s="71">
        <f>IF(B280="",0,INDEX(ModelParameters!$D$13:$K$17,MATCH($O280,ModelParameters!$B$13:$B$17,0),MATCH($J280,ModelParameters!$D$5:$K$5,0)))</f>
        <v>0</v>
      </c>
      <c r="S280" s="160">
        <f>IF(B280="",0,MIN(IF($N280="Other Bond TM",ModelParameters!$N$21,1)*(P280*Q280+R280),1))</f>
        <v>0.013999999999999998</v>
      </c>
      <c r="T280" s="85">
        <f>IF(B280="",0,$S280*$K280)</f>
        <v>8.7696261171291696</v>
      </c>
      <c r="U280" s="85">
        <f>IF(B280="",0,IF(OR(H280=MappingTables!$C$34,H280=MappingTables!$C$35),T280,0))</f>
        <v>0</v>
      </c>
      <c r="V280" s="85">
        <f>IF(ISNA(IF(AND(VLOOKUP(CONCATENATE($D280,$G280),CSRFinput!$B:$E,4,0)=0,OR(H280=MappingTables!$C$34,H280=MappingTables!$C$35)),1,VLOOKUP(CONCATENATE($D280,$G280),CSRFinput!$B:$E,4,0))),0,IF(AND(VLOOKUP(CONCATENATE($D280,$G280),CSRFinput!$B:$E,4,0)=0,OR(H280=MappingTables!$C$34,H280=MappingTables!$C$35)),1,VLOOKUP(CONCATENATE($D280,$G280),CSRFinput!$B:$E,4,0)))</f>
        <v>0.054776304963434752</v>
      </c>
      <c r="W280" s="85">
        <f>IF(B280="",0,+$T280*$V280)</f>
        <v>0.48036771460716952</v>
      </c>
      <c r="X280" s="85">
        <f>IF(B280="",0,IF(OR(H280=MappingTables!$C$34,H280=MappingTables!$C$35),W280,0))</f>
        <v>0</v>
      </c>
    </row>
    <row r="281" spans="2:24" s="0" customFormat="0" ht="15">
      <c r="B281" s="69" t="s">
        <v>525</v>
      </c>
      <c r="C281" s="70" t="s">
        <v>526</v>
      </c>
      <c r="D281" s="70" t="s">
        <v>1</v>
      </c>
      <c r="E281" s="70" t="s">
        <v>1</v>
      </c>
      <c r="F281" s="70"/>
      <c r="G281" s="70" t="s">
        <v>61</v>
      </c>
      <c r="H281" s="70" t="s">
        <v>178</v>
      </c>
      <c r="I281" s="70" t="s">
        <v>204</v>
      </c>
      <c r="J281" s="71">
        <f>IF(OR(I281=0,I281=""),"unrated",VLOOKUP(I281,MappingTables!$B$19:$C$31,2,FALSE))</f>
        <v>6</v>
      </c>
      <c r="K281" s="72">
        <v>32297.540282885036</v>
      </c>
      <c r="L281" s="70">
        <v>1.3339559350461244</v>
      </c>
      <c r="M281" s="71">
        <f>IF(L281&lt;1,1,L281)</f>
        <v>1.3339559350461244</v>
      </c>
      <c r="N281" s="70" t="s">
        <v>141</v>
      </c>
      <c r="O281" s="71">
        <f>INDEX(DurClassMapping,MATCH(M281,MappingTables!$D$4:$D$8,-1),1)</f>
        <v>1</v>
      </c>
      <c r="P281" s="73">
        <f>IF(M281=$A$1,1,$M281-INDEX(MappingTables!$E$4:$E$8,MATCH(O281,MappingTables!$B$4:$B$8,0)))</f>
        <v>1.3339559350461244</v>
      </c>
      <c r="Q281" s="71">
        <f>IF(B281="",0,INDEX(ModelParameters!$D$6:$K$10,MATCH($O281,ModelParameters!$B$6:$B$10,0),MATCH($J281,ModelParameters!$D$5:$K$5,0)))</f>
        <v>0.075</v>
      </c>
      <c r="R281" s="71">
        <f>IF(B281="",0,INDEX(ModelParameters!$D$13:$K$17,MATCH($O281,ModelParameters!$B$13:$B$17,0),MATCH($J281,ModelParameters!$D$5:$K$5,0)))</f>
        <v>0</v>
      </c>
      <c r="S281" s="160">
        <f>IF(B281="",0,MIN(IF($N281="Other Bond TM",ModelParameters!$N$21,1)*(P281*Q281+R281),1))</f>
        <v>0.10004669512845932</v>
      </c>
      <c r="T281" s="85">
        <f>IF(B281="",0,$S281*$K281)</f>
        <v>3231.2621660809328</v>
      </c>
      <c r="U281" s="85">
        <f>IF(B281="",0,IF(OR(H281=MappingTables!$C$34,H281=MappingTables!$C$35),T281,0))</f>
        <v>0</v>
      </c>
      <c r="V281" s="85">
        <f>IF(ISNA(IF(AND(VLOOKUP(CONCATENATE($D281,$G281),CSRFinput!$B:$E,4,0)=0,OR(H281=MappingTables!$C$34,H281=MappingTables!$C$35)),1,VLOOKUP(CONCATENATE($D281,$G281),CSRFinput!$B:$E,4,0))),0,IF(AND(VLOOKUP(CONCATENATE($D281,$G281),CSRFinput!$B:$E,4,0)=0,OR(H281=MappingTables!$C$34,H281=MappingTables!$C$35)),1,VLOOKUP(CONCATENATE($D281,$G281),CSRFinput!$B:$E,4,0)))</f>
        <v>0.054776304963434752</v>
      </c>
      <c r="W281" s="85">
        <f>IF(B281="",0,+$T281*$V281)</f>
        <v>176.99660182605794</v>
      </c>
      <c r="X281" s="85">
        <f>IF(B281="",0,IF(OR(H281=MappingTables!$C$34,H281=MappingTables!$C$35),W281,0))</f>
        <v>0</v>
      </c>
    </row>
    <row r="282" spans="2:24" s="0" customFormat="0" ht="15">
      <c r="B282" s="69">
        <v>21272376</v>
      </c>
      <c r="C282" s="70" t="s">
        <v>527</v>
      </c>
      <c r="D282" s="70" t="s">
        <v>1</v>
      </c>
      <c r="E282" s="70" t="s">
        <v>1</v>
      </c>
      <c r="F282" s="70"/>
      <c r="G282" s="70" t="s">
        <v>61</v>
      </c>
      <c r="H282" s="70" t="s">
        <v>178</v>
      </c>
      <c r="I282" s="70" t="s">
        <v>220</v>
      </c>
      <c r="J282" s="71">
        <f>IF(OR(I282=0,I282=""),"unrated",VLOOKUP(I282,MappingTables!$B$19:$C$31,2,FALSE))</f>
        <v>1</v>
      </c>
      <c r="K282" s="72">
        <v>1490.8388632743888</v>
      </c>
      <c r="L282" s="70">
        <v>0.2137014453196434</v>
      </c>
      <c r="M282" s="71">
        <f>IF(L282&lt;1,1,L282)</f>
        <v>1</v>
      </c>
      <c r="N282" s="70" t="s">
        <v>141</v>
      </c>
      <c r="O282" s="71">
        <f>INDEX(DurClassMapping,MATCH(M282,MappingTables!$D$4:$D$8,-1),1)</f>
        <v>1</v>
      </c>
      <c r="P282" s="73">
        <f>IF(M282=$A$1,1,$M282-INDEX(MappingTables!$E$4:$E$8,MATCH(O282,MappingTables!$B$4:$B$8,0)))</f>
        <v>1</v>
      </c>
      <c r="Q282" s="71">
        <f>IF(B282="",0,INDEX(ModelParameters!$D$6:$K$10,MATCH($O282,ModelParameters!$B$6:$B$10,0),MATCH($J282,ModelParameters!$D$5:$K$5,0)))</f>
        <v>0.011000000000000002</v>
      </c>
      <c r="R282" s="71">
        <f>IF(B282="",0,INDEX(ModelParameters!$D$13:$K$17,MATCH($O282,ModelParameters!$B$13:$B$17,0),MATCH($J282,ModelParameters!$D$5:$K$5,0)))</f>
        <v>0</v>
      </c>
      <c r="S282" s="160">
        <f>IF(B282="",0,MIN(IF($N282="Other Bond TM",ModelParameters!$N$21,1)*(P282*Q282+R282),1))</f>
        <v>0.011000000000000002</v>
      </c>
      <c r="T282" s="85">
        <f>IF(B282="",0,$S282*$K282)</f>
        <v>16.399227496018276</v>
      </c>
      <c r="U282" s="85">
        <f>IF(B282="",0,IF(OR(H282=MappingTables!$C$34,H282=MappingTables!$C$35),T282,0))</f>
        <v>0</v>
      </c>
      <c r="V282" s="85">
        <f>IF(ISNA(IF(AND(VLOOKUP(CONCATENATE($D282,$G282),CSRFinput!$B:$E,4,0)=0,OR(H282=MappingTables!$C$34,H282=MappingTables!$C$35)),1,VLOOKUP(CONCATENATE($D282,$G282),CSRFinput!$B:$E,4,0))),0,IF(AND(VLOOKUP(CONCATENATE($D282,$G282),CSRFinput!$B:$E,4,0)=0,OR(H282=MappingTables!$C$34,H282=MappingTables!$C$35)),1,VLOOKUP(CONCATENATE($D282,$G282),CSRFinput!$B:$E,4,0)))</f>
        <v>0.054776304963434752</v>
      </c>
      <c r="W282" s="85">
        <f>IF(B282="",0,+$T282*$V282)</f>
        <v>0.8982890864866416</v>
      </c>
      <c r="X282" s="85">
        <f>IF(B282="",0,IF(OR(H282=MappingTables!$C$34,H282=MappingTables!$C$35),W282,0))</f>
        <v>0</v>
      </c>
    </row>
    <row r="283" spans="2:24" s="0" customFormat="0" ht="15">
      <c r="B283" s="69" t="s">
        <v>528</v>
      </c>
      <c r="C283" s="70" t="s">
        <v>529</v>
      </c>
      <c r="D283" s="70" t="s">
        <v>1</v>
      </c>
      <c r="E283" s="70" t="s">
        <v>1</v>
      </c>
      <c r="F283" s="70"/>
      <c r="G283" s="70" t="s">
        <v>61</v>
      </c>
      <c r="H283" s="70" t="s">
        <v>178</v>
      </c>
      <c r="I283" s="70" t="s">
        <v>220</v>
      </c>
      <c r="J283" s="71">
        <f>IF(OR(I283=0,I283=""),"unrated",VLOOKUP(I283,MappingTables!$B$19:$C$31,2,FALSE))</f>
        <v>1</v>
      </c>
      <c r="K283" s="72">
        <v>276.12997681045828</v>
      </c>
      <c r="L283" s="70">
        <v>1.4659472706292726</v>
      </c>
      <c r="M283" s="71">
        <f>IF(L283&lt;1,1,L283)</f>
        <v>1.4659472706292726</v>
      </c>
      <c r="N283" s="70" t="s">
        <v>141</v>
      </c>
      <c r="O283" s="71">
        <f>INDEX(DurClassMapping,MATCH(M283,MappingTables!$D$4:$D$8,-1),1)</f>
        <v>1</v>
      </c>
      <c r="P283" s="73">
        <f>IF(M283=$A$1,1,$M283-INDEX(MappingTables!$E$4:$E$8,MATCH(O283,MappingTables!$B$4:$B$8,0)))</f>
        <v>1.4659472706292726</v>
      </c>
      <c r="Q283" s="71">
        <f>IF(B283="",0,INDEX(ModelParameters!$D$6:$K$10,MATCH($O283,ModelParameters!$B$6:$B$10,0),MATCH($J283,ModelParameters!$D$5:$K$5,0)))</f>
        <v>0.011000000000000002</v>
      </c>
      <c r="R283" s="71">
        <f>IF(B283="",0,INDEX(ModelParameters!$D$13:$K$17,MATCH($O283,ModelParameters!$B$13:$B$17,0),MATCH($J283,ModelParameters!$D$5:$K$5,0)))</f>
        <v>0</v>
      </c>
      <c r="S283" s="160">
        <f>IF(B283="",0,MIN(IF($N283="Other Bond TM",ModelParameters!$N$21,1)*(P283*Q283+R283),1))</f>
        <v>0.016125419976922</v>
      </c>
      <c r="T283" s="85">
        <f>IF(B283="",0,$S283*$K283)</f>
        <v>4.4527118442863728</v>
      </c>
      <c r="U283" s="85">
        <f>IF(B283="",0,IF(OR(H283=MappingTables!$C$34,H283=MappingTables!$C$35),T283,0))</f>
        <v>0</v>
      </c>
      <c r="V283" s="85">
        <f>IF(ISNA(IF(AND(VLOOKUP(CONCATENATE($D283,$G283),CSRFinput!$B:$E,4,0)=0,OR(H283=MappingTables!$C$34,H283=MappingTables!$C$35)),1,VLOOKUP(CONCATENATE($D283,$G283),CSRFinput!$B:$E,4,0))),0,IF(AND(VLOOKUP(CONCATENATE($D283,$G283),CSRFinput!$B:$E,4,0)=0,OR(H283=MappingTables!$C$34,H283=MappingTables!$C$35)),1,VLOOKUP(CONCATENATE($D283,$G283),CSRFinput!$B:$E,4,0)))</f>
        <v>0.054776304963434752</v>
      </c>
      <c r="W283" s="85">
        <f>IF(B283="",0,+$T283*$V283)</f>
        <v>0.24390310189692836</v>
      </c>
      <c r="X283" s="85">
        <f>IF(B283="",0,IF(OR(H283=MappingTables!$C$34,H283=MappingTables!$C$35),W283,0))</f>
        <v>0</v>
      </c>
    </row>
    <row r="284" spans="2:24" s="0" customFormat="0" ht="15">
      <c r="B284" s="69">
        <v>19639660</v>
      </c>
      <c r="C284" s="70" t="s">
        <v>530</v>
      </c>
      <c r="D284" s="70" t="s">
        <v>1</v>
      </c>
      <c r="E284" s="70" t="s">
        <v>1</v>
      </c>
      <c r="F284" s="70"/>
      <c r="G284" s="70" t="s">
        <v>61</v>
      </c>
      <c r="H284" s="70" t="s">
        <v>178</v>
      </c>
      <c r="I284" s="70" t="s">
        <v>181</v>
      </c>
      <c r="J284" s="71">
        <f>IF(OR(I284=0,I284=""),"unrated",VLOOKUP(I284,MappingTables!$B$19:$C$31,2,FALSE))</f>
        <v>3</v>
      </c>
      <c r="K284" s="72">
        <v>1.2030174918353142</v>
      </c>
      <c r="L284" s="70">
        <v>1.3452458375274548</v>
      </c>
      <c r="M284" s="71">
        <f>IF(L284&lt;1,1,L284)</f>
        <v>1.3452458375274548</v>
      </c>
      <c r="N284" s="70" t="s">
        <v>141</v>
      </c>
      <c r="O284" s="71">
        <f>INDEX(DurClassMapping,MATCH(M284,MappingTables!$D$4:$D$8,-1),1)</f>
        <v>1</v>
      </c>
      <c r="P284" s="73">
        <f>IF(M284=$A$1,1,$M284-INDEX(MappingTables!$E$4:$E$8,MATCH(O284,MappingTables!$B$4:$B$8,0)))</f>
        <v>1.3452458375274548</v>
      </c>
      <c r="Q284" s="71">
        <f>IF(B284="",0,INDEX(ModelParameters!$D$6:$K$10,MATCH($O284,ModelParameters!$B$6:$B$10,0),MATCH($J284,ModelParameters!$D$5:$K$5,0)))</f>
        <v>0.025</v>
      </c>
      <c r="R284" s="71">
        <f>IF(B284="",0,INDEX(ModelParameters!$D$13:$K$17,MATCH($O284,ModelParameters!$B$13:$B$17,0),MATCH($J284,ModelParameters!$D$5:$K$5,0)))</f>
        <v>0</v>
      </c>
      <c r="S284" s="160">
        <f>IF(B284="",0,MIN(IF($N284="Other Bond TM",ModelParameters!$N$21,1)*(P284*Q284+R284),1))</f>
        <v>0.033631145938186372</v>
      </c>
      <c r="T284" s="85">
        <f>IF(B284="",0,$S284*$K284)</f>
        <v>0.040458856834104384</v>
      </c>
      <c r="U284" s="85">
        <f>IF(B284="",0,IF(OR(H284=MappingTables!$C$34,H284=MappingTables!$C$35),T284,0))</f>
        <v>0</v>
      </c>
      <c r="V284" s="85">
        <f>IF(ISNA(IF(AND(VLOOKUP(CONCATENATE($D284,$G284),CSRFinput!$B:$E,4,0)=0,OR(H284=MappingTables!$C$34,H284=MappingTables!$C$35)),1,VLOOKUP(CONCATENATE($D284,$G284),CSRFinput!$B:$E,4,0))),0,IF(AND(VLOOKUP(CONCATENATE($D284,$G284),CSRFinput!$B:$E,4,0)=0,OR(H284=MappingTables!$C$34,H284=MappingTables!$C$35)),1,VLOOKUP(CONCATENATE($D284,$G284),CSRFinput!$B:$E,4,0)))</f>
        <v>0.054776304963434752</v>
      </c>
      <c r="W284" s="85">
        <f>IF(B284="",0,+$T284*$V284)</f>
        <v>0.002216186680416848</v>
      </c>
      <c r="X284" s="85">
        <f>IF(B284="",0,IF(OR(H284=MappingTables!$C$34,H284=MappingTables!$C$35),W284,0))</f>
        <v>0</v>
      </c>
    </row>
    <row r="285" spans="2:24" s="0" customFormat="0" ht="15">
      <c r="B285" s="69" t="s">
        <v>531</v>
      </c>
      <c r="C285" s="70" t="s">
        <v>532</v>
      </c>
      <c r="D285" s="70" t="s">
        <v>1</v>
      </c>
      <c r="E285" s="70" t="s">
        <v>1</v>
      </c>
      <c r="F285" s="70"/>
      <c r="G285" s="70" t="s">
        <v>61</v>
      </c>
      <c r="H285" s="70" t="s">
        <v>178</v>
      </c>
      <c r="I285" s="70" t="s">
        <v>181</v>
      </c>
      <c r="J285" s="71">
        <f>IF(OR(I285=0,I285=""),"unrated",VLOOKUP(I285,MappingTables!$B$19:$C$31,2,FALSE))</f>
        <v>3</v>
      </c>
      <c r="K285" s="72">
        <v>39.249987245262448</v>
      </c>
      <c r="L285" s="70">
        <v>4.0673058480764296</v>
      </c>
      <c r="M285" s="71">
        <f>IF(L285&lt;1,1,L285)</f>
        <v>4.0673058480764296</v>
      </c>
      <c r="N285" s="70" t="s">
        <v>141</v>
      </c>
      <c r="O285" s="71">
        <f>INDEX(DurClassMapping,MATCH(M285,MappingTables!$D$4:$D$8,-1),1)</f>
        <v>1</v>
      </c>
      <c r="P285" s="73">
        <f>IF(M285=$A$1,1,$M285-INDEX(MappingTables!$E$4:$E$8,MATCH(O285,MappingTables!$B$4:$B$8,0)))</f>
        <v>4.0673058480764296</v>
      </c>
      <c r="Q285" s="71">
        <f>IF(B285="",0,INDEX(ModelParameters!$D$6:$K$10,MATCH($O285,ModelParameters!$B$6:$B$10,0),MATCH($J285,ModelParameters!$D$5:$K$5,0)))</f>
        <v>0.025</v>
      </c>
      <c r="R285" s="71">
        <f>IF(B285="",0,INDEX(ModelParameters!$D$13:$K$17,MATCH($O285,ModelParameters!$B$13:$B$17,0),MATCH($J285,ModelParameters!$D$5:$K$5,0)))</f>
        <v>0</v>
      </c>
      <c r="S285" s="160">
        <f>IF(B285="",0,MIN(IF($N285="Other Bond TM",ModelParameters!$N$21,1)*(P285*Q285+R285),1))</f>
        <v>0.10168264620191076</v>
      </c>
      <c r="T285" s="85">
        <f>IF(B285="",0,$S285*$K285)</f>
        <v>3.9910425664895312</v>
      </c>
      <c r="U285" s="85">
        <f>IF(B285="",0,IF(OR(H285=MappingTables!$C$34,H285=MappingTables!$C$35),T285,0))</f>
        <v>0</v>
      </c>
      <c r="V285" s="85">
        <f>IF(ISNA(IF(AND(VLOOKUP(CONCATENATE($D285,$G285),CSRFinput!$B:$E,4,0)=0,OR(H285=MappingTables!$C$34,H285=MappingTables!$C$35)),1,VLOOKUP(CONCATENATE($D285,$G285),CSRFinput!$B:$E,4,0))),0,IF(AND(VLOOKUP(CONCATENATE($D285,$G285),CSRFinput!$B:$E,4,0)=0,OR(H285=MappingTables!$C$34,H285=MappingTables!$C$35)),1,VLOOKUP(CONCATENATE($D285,$G285),CSRFinput!$B:$E,4,0)))</f>
        <v>0.054776304963434752</v>
      </c>
      <c r="W285" s="85">
        <f>IF(B285="",0,+$T285*$V285)</f>
        <v>0.21861456474407988</v>
      </c>
      <c r="X285" s="85">
        <f>IF(B285="",0,IF(OR(H285=MappingTables!$C$34,H285=MappingTables!$C$35),W285,0))</f>
        <v>0</v>
      </c>
    </row>
    <row r="286" spans="2:24" s="0" customFormat="0" ht="15">
      <c r="B286" s="69">
        <v>12610612</v>
      </c>
      <c r="C286" s="70" t="s">
        <v>533</v>
      </c>
      <c r="D286" s="70" t="s">
        <v>1</v>
      </c>
      <c r="E286" s="70" t="s">
        <v>1</v>
      </c>
      <c r="F286" s="70"/>
      <c r="G286" s="70" t="s">
        <v>61</v>
      </c>
      <c r="H286" s="70" t="s">
        <v>178</v>
      </c>
      <c r="I286" s="70" t="s">
        <v>188</v>
      </c>
      <c r="J286" s="71">
        <f>IF(OR(I286=0,I286=""),"unrated",VLOOKUP(I286,MappingTables!$B$19:$C$31,2,FALSE))</f>
        <v>2</v>
      </c>
      <c r="K286" s="72">
        <v>59.253917261341752</v>
      </c>
      <c r="L286" s="70">
        <v>0.64076561505902616</v>
      </c>
      <c r="M286" s="71">
        <f>IF(L286&lt;1,1,L286)</f>
        <v>1</v>
      </c>
      <c r="N286" s="70" t="s">
        <v>141</v>
      </c>
      <c r="O286" s="71">
        <f>INDEX(DurClassMapping,MATCH(M286,MappingTables!$D$4:$D$8,-1),1)</f>
        <v>1</v>
      </c>
      <c r="P286" s="73">
        <f>IF(M286=$A$1,1,$M286-INDEX(MappingTables!$E$4:$E$8,MATCH(O286,MappingTables!$B$4:$B$8,0)))</f>
        <v>1</v>
      </c>
      <c r="Q286" s="71">
        <f>IF(B286="",0,INDEX(ModelParameters!$D$6:$K$10,MATCH($O286,ModelParameters!$B$6:$B$10,0),MATCH($J286,ModelParameters!$D$5:$K$5,0)))</f>
        <v>0.013999999999999998</v>
      </c>
      <c r="R286" s="71">
        <f>IF(B286="",0,INDEX(ModelParameters!$D$13:$K$17,MATCH($O286,ModelParameters!$B$13:$B$17,0),MATCH($J286,ModelParameters!$D$5:$K$5,0)))</f>
        <v>0</v>
      </c>
      <c r="S286" s="160">
        <f>IF(B286="",0,MIN(IF($N286="Other Bond TM",ModelParameters!$N$21,1)*(P286*Q286+R286),1))</f>
        <v>0.013999999999999998</v>
      </c>
      <c r="T286" s="85">
        <f>IF(B286="",0,$S286*$K286)</f>
        <v>0.82955484165878448</v>
      </c>
      <c r="U286" s="85">
        <f>IF(B286="",0,IF(OR(H286=MappingTables!$C$34,H286=MappingTables!$C$35),T286,0))</f>
        <v>0</v>
      </c>
      <c r="V286" s="85">
        <f>IF(ISNA(IF(AND(VLOOKUP(CONCATENATE($D286,$G286),CSRFinput!$B:$E,4,0)=0,OR(H286=MappingTables!$C$34,H286=MappingTables!$C$35)),1,VLOOKUP(CONCATENATE($D286,$G286),CSRFinput!$B:$E,4,0))),0,IF(AND(VLOOKUP(CONCATENATE($D286,$G286),CSRFinput!$B:$E,4,0)=0,OR(H286=MappingTables!$C$34,H286=MappingTables!$C$35)),1,VLOOKUP(CONCATENATE($D286,$G286),CSRFinput!$B:$E,4,0)))</f>
        <v>0.054776304963434752</v>
      </c>
      <c r="W286" s="85">
        <f>IF(B286="",0,+$T286*$V286)</f>
        <v>0.045439948990595408</v>
      </c>
      <c r="X286" s="85">
        <f>IF(B286="",0,IF(OR(H286=MappingTables!$C$34,H286=MappingTables!$C$35),W286,0))</f>
        <v>0</v>
      </c>
    </row>
    <row r="287" spans="2:24" s="0" customFormat="0" ht="15">
      <c r="B287" s="69">
        <v>18912862</v>
      </c>
      <c r="C287" s="70" t="s">
        <v>534</v>
      </c>
      <c r="D287" s="70" t="s">
        <v>1</v>
      </c>
      <c r="E287" s="70" t="s">
        <v>1</v>
      </c>
      <c r="F287" s="70"/>
      <c r="G287" s="70" t="s">
        <v>61</v>
      </c>
      <c r="H287" s="70" t="s">
        <v>178</v>
      </c>
      <c r="I287" s="70" t="s">
        <v>188</v>
      </c>
      <c r="J287" s="71">
        <f>IF(OR(I287=0,I287=""),"unrated",VLOOKUP(I287,MappingTables!$B$19:$C$31,2,FALSE))</f>
        <v>2</v>
      </c>
      <c r="K287" s="72">
        <v>0.60244252882384864</v>
      </c>
      <c r="L287" s="70">
        <v>0.043835124389755088</v>
      </c>
      <c r="M287" s="71">
        <f>IF(L287&lt;1,1,L287)</f>
        <v>1</v>
      </c>
      <c r="N287" s="70" t="s">
        <v>141</v>
      </c>
      <c r="O287" s="71">
        <f>INDEX(DurClassMapping,MATCH(M287,MappingTables!$D$4:$D$8,-1),1)</f>
        <v>1</v>
      </c>
      <c r="P287" s="73">
        <f>IF(M287=$A$1,1,$M287-INDEX(MappingTables!$E$4:$E$8,MATCH(O287,MappingTables!$B$4:$B$8,0)))</f>
        <v>1</v>
      </c>
      <c r="Q287" s="71">
        <f>IF(B287="",0,INDEX(ModelParameters!$D$6:$K$10,MATCH($O287,ModelParameters!$B$6:$B$10,0),MATCH($J287,ModelParameters!$D$5:$K$5,0)))</f>
        <v>0.013999999999999998</v>
      </c>
      <c r="R287" s="71">
        <f>IF(B287="",0,INDEX(ModelParameters!$D$13:$K$17,MATCH($O287,ModelParameters!$B$13:$B$17,0),MATCH($J287,ModelParameters!$D$5:$K$5,0)))</f>
        <v>0</v>
      </c>
      <c r="S287" s="160">
        <f>IF(B287="",0,MIN(IF($N287="Other Bond TM",ModelParameters!$N$21,1)*(P287*Q287+R287),1))</f>
        <v>0.013999999999999998</v>
      </c>
      <c r="T287" s="85">
        <f>IF(B287="",0,$S287*$K287)</f>
        <v>0.00843419540353388</v>
      </c>
      <c r="U287" s="85">
        <f>IF(B287="",0,IF(OR(H287=MappingTables!$C$34,H287=MappingTables!$C$35),T287,0))</f>
        <v>0</v>
      </c>
      <c r="V287" s="85">
        <f>IF(ISNA(IF(AND(VLOOKUP(CONCATENATE($D287,$G287),CSRFinput!$B:$E,4,0)=0,OR(H287=MappingTables!$C$34,H287=MappingTables!$C$35)),1,VLOOKUP(CONCATENATE($D287,$G287),CSRFinput!$B:$E,4,0))),0,IF(AND(VLOOKUP(CONCATENATE($D287,$G287),CSRFinput!$B:$E,4,0)=0,OR(H287=MappingTables!$C$34,H287=MappingTables!$C$35)),1,VLOOKUP(CONCATENATE($D287,$G287),CSRFinput!$B:$E,4,0)))</f>
        <v>0.054776304963434752</v>
      </c>
      <c r="W287" s="85">
        <f>IF(B287="",0,+$T287*$V287)</f>
        <v>0.00046199405954517144</v>
      </c>
      <c r="X287" s="85">
        <f>IF(B287="",0,IF(OR(H287=MappingTables!$C$34,H287=MappingTables!$C$35),W287,0))</f>
        <v>0</v>
      </c>
    </row>
    <row r="288" spans="2:24" s="0" customFormat="0" ht="15">
      <c r="B288" s="69">
        <v>11238601</v>
      </c>
      <c r="C288" s="70" t="s">
        <v>535</v>
      </c>
      <c r="D288" s="70" t="s">
        <v>1</v>
      </c>
      <c r="E288" s="70" t="s">
        <v>1</v>
      </c>
      <c r="F288" s="70"/>
      <c r="G288" s="70" t="s">
        <v>61</v>
      </c>
      <c r="H288" s="70" t="s">
        <v>178</v>
      </c>
      <c r="I288" s="70" t="s">
        <v>181</v>
      </c>
      <c r="J288" s="71">
        <f>IF(OR(I288=0,I288=""),"unrated",VLOOKUP(I288,MappingTables!$B$19:$C$31,2,FALSE))</f>
        <v>3</v>
      </c>
      <c r="K288" s="72">
        <v>43.70712622723128</v>
      </c>
      <c r="L288" s="70">
        <v>4.70387634194824</v>
      </c>
      <c r="M288" s="71">
        <f>IF(L288&lt;1,1,L288)</f>
        <v>4.70387634194824</v>
      </c>
      <c r="N288" s="70" t="s">
        <v>141</v>
      </c>
      <c r="O288" s="71">
        <f>INDEX(DurClassMapping,MATCH(M288,MappingTables!$D$4:$D$8,-1),1)</f>
        <v>1</v>
      </c>
      <c r="P288" s="73">
        <f>IF(M288=$A$1,1,$M288-INDEX(MappingTables!$E$4:$E$8,MATCH(O288,MappingTables!$B$4:$B$8,0)))</f>
        <v>4.70387634194824</v>
      </c>
      <c r="Q288" s="71">
        <f>IF(B288="",0,INDEX(ModelParameters!$D$6:$K$10,MATCH($O288,ModelParameters!$B$6:$B$10,0),MATCH($J288,ModelParameters!$D$5:$K$5,0)))</f>
        <v>0.025</v>
      </c>
      <c r="R288" s="71">
        <f>IF(B288="",0,INDEX(ModelParameters!$D$13:$K$17,MATCH($O288,ModelParameters!$B$13:$B$17,0),MATCH($J288,ModelParameters!$D$5:$K$5,0)))</f>
        <v>0</v>
      </c>
      <c r="S288" s="160">
        <f>IF(B288="",0,MIN(IF($N288="Other Bond TM",ModelParameters!$N$21,1)*(P288*Q288+R288),1))</f>
        <v>0.117596908548706</v>
      </c>
      <c r="T288" s="85">
        <f>IF(B288="",0,$S288*$K288)</f>
        <v>5.1398229258704664</v>
      </c>
      <c r="U288" s="85">
        <f>IF(B288="",0,IF(OR(H288=MappingTables!$C$34,H288=MappingTables!$C$35),T288,0))</f>
        <v>0</v>
      </c>
      <c r="V288" s="85">
        <f>IF(ISNA(IF(AND(VLOOKUP(CONCATENATE($D288,$G288),CSRFinput!$B:$E,4,0)=0,OR(H288=MappingTables!$C$34,H288=MappingTables!$C$35)),1,VLOOKUP(CONCATENATE($D288,$G288),CSRFinput!$B:$E,4,0))),0,IF(AND(VLOOKUP(CONCATENATE($D288,$G288),CSRFinput!$B:$E,4,0)=0,OR(H288=MappingTables!$C$34,H288=MappingTables!$C$35)),1,VLOOKUP(CONCATENATE($D288,$G288),CSRFinput!$B:$E,4,0)))</f>
        <v>0.054776304963434752</v>
      </c>
      <c r="W288" s="85">
        <f>IF(B288="",0,+$T288*$V288)</f>
        <v>0.28154050804553416</v>
      </c>
      <c r="X288" s="85">
        <f>IF(B288="",0,IF(OR(H288=MappingTables!$C$34,H288=MappingTables!$C$35),W288,0))</f>
        <v>0</v>
      </c>
    </row>
    <row r="289" spans="2:24" s="0" customFormat="0" ht="15">
      <c r="B289" s="69">
        <v>15405446</v>
      </c>
      <c r="C289" s="70" t="s">
        <v>536</v>
      </c>
      <c r="D289" s="70" t="s">
        <v>1</v>
      </c>
      <c r="E289" s="70" t="s">
        <v>1</v>
      </c>
      <c r="F289" s="70"/>
      <c r="G289" s="70" t="s">
        <v>61</v>
      </c>
      <c r="H289" s="70" t="s">
        <v>178</v>
      </c>
      <c r="I289" s="70" t="s">
        <v>181</v>
      </c>
      <c r="J289" s="71">
        <f>IF(OR(I289=0,I289=""),"unrated",VLOOKUP(I289,MappingTables!$B$19:$C$31,2,FALSE))</f>
        <v>3</v>
      </c>
      <c r="K289" s="72">
        <v>53.065781141326784</v>
      </c>
      <c r="L289" s="70">
        <v>1.84983557399958</v>
      </c>
      <c r="M289" s="71">
        <f>IF(L289&lt;1,1,L289)</f>
        <v>1.84983557399958</v>
      </c>
      <c r="N289" s="70" t="s">
        <v>141</v>
      </c>
      <c r="O289" s="71">
        <f>INDEX(DurClassMapping,MATCH(M289,MappingTables!$D$4:$D$8,-1),1)</f>
        <v>1</v>
      </c>
      <c r="P289" s="73">
        <f>IF(M289=$A$1,1,$M289-INDEX(MappingTables!$E$4:$E$8,MATCH(O289,MappingTables!$B$4:$B$8,0)))</f>
        <v>1.84983557399958</v>
      </c>
      <c r="Q289" s="71">
        <f>IF(B289="",0,INDEX(ModelParameters!$D$6:$K$10,MATCH($O289,ModelParameters!$B$6:$B$10,0),MATCH($J289,ModelParameters!$D$5:$K$5,0)))</f>
        <v>0.025</v>
      </c>
      <c r="R289" s="71">
        <f>IF(B289="",0,INDEX(ModelParameters!$D$13:$K$17,MATCH($O289,ModelParameters!$B$13:$B$17,0),MATCH($J289,ModelParameters!$D$5:$K$5,0)))</f>
        <v>0</v>
      </c>
      <c r="S289" s="160">
        <f>IF(B289="",0,MIN(IF($N289="Other Bond TM",ModelParameters!$N$21,1)*(P289*Q289+R289),1))</f>
        <v>0.046245889349989504</v>
      </c>
      <c r="T289" s="85">
        <f>IF(B289="",0,$S289*$K289)</f>
        <v>2.454074242932558</v>
      </c>
      <c r="U289" s="85">
        <f>IF(B289="",0,IF(OR(H289=MappingTables!$C$34,H289=MappingTables!$C$35),T289,0))</f>
        <v>0</v>
      </c>
      <c r="V289" s="85">
        <f>IF(ISNA(IF(AND(VLOOKUP(CONCATENATE($D289,$G289),CSRFinput!$B:$E,4,0)=0,OR(H289=MappingTables!$C$34,H289=MappingTables!$C$35)),1,VLOOKUP(CONCATENATE($D289,$G289),CSRFinput!$B:$E,4,0))),0,IF(AND(VLOOKUP(CONCATENATE($D289,$G289),CSRFinput!$B:$E,4,0)=0,OR(H289=MappingTables!$C$34,H289=MappingTables!$C$35)),1,VLOOKUP(CONCATENATE($D289,$G289),CSRFinput!$B:$E,4,0)))</f>
        <v>0.054776304963434752</v>
      </c>
      <c r="W289" s="85">
        <f>IF(B289="",0,+$T289*$V289)</f>
        <v>0.13442511913378404</v>
      </c>
      <c r="X289" s="85">
        <f>IF(B289="",0,IF(OR(H289=MappingTables!$C$34,H289=MappingTables!$C$35),W289,0))</f>
        <v>0</v>
      </c>
    </row>
    <row r="290" spans="2:24" s="0" customFormat="0" ht="15">
      <c r="B290" s="69" t="s">
        <v>537</v>
      </c>
      <c r="C290" s="70" t="s">
        <v>538</v>
      </c>
      <c r="D290" s="70" t="s">
        <v>1</v>
      </c>
      <c r="E290" s="70" t="s">
        <v>1</v>
      </c>
      <c r="F290" s="70"/>
      <c r="G290" s="70" t="s">
        <v>61</v>
      </c>
      <c r="H290" s="70" t="s">
        <v>178</v>
      </c>
      <c r="I290" s="70" t="s">
        <v>198</v>
      </c>
      <c r="J290" s="71" t="str">
        <f>IF(OR(I290=0,I290=""),"unrated",VLOOKUP(I290,MappingTables!$B$19:$C$31,2,FALSE))</f>
        <v>unrated</v>
      </c>
      <c r="K290" s="72">
        <v>27781.870540544016</v>
      </c>
      <c r="L290" s="70">
        <v>3.9950742234619848</v>
      </c>
      <c r="M290" s="71">
        <f>IF(L290&lt;1,1,L290)</f>
        <v>3.9950742234619848</v>
      </c>
      <c r="N290" s="70" t="s">
        <v>141</v>
      </c>
      <c r="O290" s="71">
        <f>INDEX(DurClassMapping,MATCH(M290,MappingTables!$D$4:$D$8,-1),1)</f>
        <v>1</v>
      </c>
      <c r="P290" s="73">
        <f>IF(M290=$A$1,1,$M290-INDEX(MappingTables!$E$4:$E$8,MATCH(O290,MappingTables!$B$4:$B$8,0)))</f>
        <v>3.9950742234619848</v>
      </c>
      <c r="Q290" s="71">
        <f>IF(B290="",0,INDEX(ModelParameters!$D$6:$K$10,MATCH($O290,ModelParameters!$B$6:$B$10,0),MATCH($J290,ModelParameters!$D$5:$K$5,0)))</f>
        <v>0.03</v>
      </c>
      <c r="R290" s="71">
        <f>IF(B290="",0,INDEX(ModelParameters!$D$13:$K$17,MATCH($O290,ModelParameters!$B$13:$B$17,0),MATCH($J290,ModelParameters!$D$5:$K$5,0)))</f>
        <v>0</v>
      </c>
      <c r="S290" s="160">
        <f>IF(B290="",0,MIN(IF($N290="Other Bond TM",ModelParameters!$N$21,1)*(P290*Q290+R290),1))</f>
        <v>0.11985222670385954</v>
      </c>
      <c r="T290" s="85">
        <f>IF(B290="",0,$S290*$K290)</f>
        <v>3329.719046282558</v>
      </c>
      <c r="U290" s="85">
        <f>IF(B290="",0,IF(OR(H290=MappingTables!$C$34,H290=MappingTables!$C$35),T290,0))</f>
        <v>0</v>
      </c>
      <c r="V290" s="85">
        <f>IF(ISNA(IF(AND(VLOOKUP(CONCATENATE($D290,$G290),CSRFinput!$B:$E,4,0)=0,OR(H290=MappingTables!$C$34,H290=MappingTables!$C$35)),1,VLOOKUP(CONCATENATE($D290,$G290),CSRFinput!$B:$E,4,0))),0,IF(AND(VLOOKUP(CONCATENATE($D290,$G290),CSRFinput!$B:$E,4,0)=0,OR(H290=MappingTables!$C$34,H290=MappingTables!$C$35)),1,VLOOKUP(CONCATENATE($D290,$G290),CSRFinput!$B:$E,4,0)))</f>
        <v>0.054776304963434752</v>
      </c>
      <c r="W290" s="85">
        <f>IF(B290="",0,+$T290*$V290)</f>
        <v>182.38970592173048</v>
      </c>
      <c r="X290" s="85">
        <f>IF(B290="",0,IF(OR(H290=MappingTables!$C$34,H290=MappingTables!$C$35),W290,0))</f>
        <v>0</v>
      </c>
    </row>
    <row r="291" spans="2:24" s="0" customFormat="0" ht="15">
      <c r="B291" s="69" t="s">
        <v>539</v>
      </c>
      <c r="C291" s="70" t="s">
        <v>540</v>
      </c>
      <c r="D291" s="70" t="s">
        <v>1</v>
      </c>
      <c r="E291" s="70" t="s">
        <v>1</v>
      </c>
      <c r="F291" s="70"/>
      <c r="G291" s="70" t="s">
        <v>61</v>
      </c>
      <c r="H291" s="70" t="s">
        <v>178</v>
      </c>
      <c r="I291" s="70" t="s">
        <v>181</v>
      </c>
      <c r="J291" s="71">
        <f>IF(OR(I291=0,I291=""),"unrated",VLOOKUP(I291,MappingTables!$B$19:$C$31,2,FALSE))</f>
        <v>3</v>
      </c>
      <c r="K291" s="72">
        <v>13755.708409011778</v>
      </c>
      <c r="L291" s="70">
        <v>1.4502561758772882</v>
      </c>
      <c r="M291" s="71">
        <f>IF(L291&lt;1,1,L291)</f>
        <v>1.4502561758772882</v>
      </c>
      <c r="N291" s="70" t="s">
        <v>141</v>
      </c>
      <c r="O291" s="71">
        <f>INDEX(DurClassMapping,MATCH(M291,MappingTables!$D$4:$D$8,-1),1)</f>
        <v>1</v>
      </c>
      <c r="P291" s="73">
        <f>IF(M291=$A$1,1,$M291-INDEX(MappingTables!$E$4:$E$8,MATCH(O291,MappingTables!$B$4:$B$8,0)))</f>
        <v>1.4502561758772882</v>
      </c>
      <c r="Q291" s="71">
        <f>IF(B291="",0,INDEX(ModelParameters!$D$6:$K$10,MATCH($O291,ModelParameters!$B$6:$B$10,0),MATCH($J291,ModelParameters!$D$5:$K$5,0)))</f>
        <v>0.025</v>
      </c>
      <c r="R291" s="71">
        <f>IF(B291="",0,INDEX(ModelParameters!$D$13:$K$17,MATCH($O291,ModelParameters!$B$13:$B$17,0),MATCH($J291,ModelParameters!$D$5:$K$5,0)))</f>
        <v>0</v>
      </c>
      <c r="S291" s="160">
        <f>IF(B291="",0,MIN(IF($N291="Other Bond TM",ModelParameters!$N$21,1)*(P291*Q291+R291),1))</f>
        <v>0.036256404396932208</v>
      </c>
      <c r="T291" s="85">
        <f>IF(B291="",0,$S291*$K291)</f>
        <v>498.732526843412</v>
      </c>
      <c r="U291" s="85">
        <f>IF(B291="",0,IF(OR(H291=MappingTables!$C$34,H291=MappingTables!$C$35),T291,0))</f>
        <v>0</v>
      </c>
      <c r="V291" s="85">
        <f>IF(ISNA(IF(AND(VLOOKUP(CONCATENATE($D291,$G291),CSRFinput!$B:$E,4,0)=0,OR(H291=MappingTables!$C$34,H291=MappingTables!$C$35)),1,VLOOKUP(CONCATENATE($D291,$G291),CSRFinput!$B:$E,4,0))),0,IF(AND(VLOOKUP(CONCATENATE($D291,$G291),CSRFinput!$B:$E,4,0)=0,OR(H291=MappingTables!$C$34,H291=MappingTables!$C$35)),1,VLOOKUP(CONCATENATE($D291,$G291),CSRFinput!$B:$E,4,0)))</f>
        <v>0.054776304963434752</v>
      </c>
      <c r="W291" s="85">
        <f>IF(B291="",0,+$T291*$V291)</f>
        <v>27.318724985559148</v>
      </c>
      <c r="X291" s="85">
        <f>IF(B291="",0,IF(OR(H291=MappingTables!$C$34,H291=MappingTables!$C$35),W291,0))</f>
        <v>0</v>
      </c>
    </row>
    <row r="292" spans="2:24" s="0" customFormat="0" ht="15">
      <c r="B292" s="69" t="s">
        <v>541</v>
      </c>
      <c r="C292" s="70" t="s">
        <v>542</v>
      </c>
      <c r="D292" s="70" t="s">
        <v>1</v>
      </c>
      <c r="E292" s="70" t="s">
        <v>1</v>
      </c>
      <c r="F292" s="70"/>
      <c r="G292" s="70" t="s">
        <v>61</v>
      </c>
      <c r="H292" s="70" t="s">
        <v>178</v>
      </c>
      <c r="I292" s="70" t="s">
        <v>204</v>
      </c>
      <c r="J292" s="71">
        <f>IF(OR(I292=0,I292=""),"unrated",VLOOKUP(I292,MappingTables!$B$19:$C$31,2,FALSE))</f>
        <v>6</v>
      </c>
      <c r="K292" s="72">
        <v>304.40884912111732</v>
      </c>
      <c r="L292" s="70">
        <v>1.8667860598651828</v>
      </c>
      <c r="M292" s="71">
        <f>IF(L292&lt;1,1,L292)</f>
        <v>1.8667860598651828</v>
      </c>
      <c r="N292" s="70" t="s">
        <v>141</v>
      </c>
      <c r="O292" s="71">
        <f>INDEX(DurClassMapping,MATCH(M292,MappingTables!$D$4:$D$8,-1),1)</f>
        <v>1</v>
      </c>
      <c r="P292" s="73">
        <f>IF(M292=$A$1,1,$M292-INDEX(MappingTables!$E$4:$E$8,MATCH(O292,MappingTables!$B$4:$B$8,0)))</f>
        <v>1.8667860598651828</v>
      </c>
      <c r="Q292" s="71">
        <f>IF(B292="",0,INDEX(ModelParameters!$D$6:$K$10,MATCH($O292,ModelParameters!$B$6:$B$10,0),MATCH($J292,ModelParameters!$D$5:$K$5,0)))</f>
        <v>0.075</v>
      </c>
      <c r="R292" s="71">
        <f>IF(B292="",0,INDEX(ModelParameters!$D$13:$K$17,MATCH($O292,ModelParameters!$B$13:$B$17,0),MATCH($J292,ModelParameters!$D$5:$K$5,0)))</f>
        <v>0</v>
      </c>
      <c r="S292" s="160">
        <f>IF(B292="",0,MIN(IF($N292="Other Bond TM",ModelParameters!$N$21,1)*(P292*Q292+R292),1))</f>
        <v>0.1400089544898887</v>
      </c>
      <c r="T292" s="85">
        <f>IF(B292="",0,$S292*$K292)</f>
        <v>42.619964702917912</v>
      </c>
      <c r="U292" s="85">
        <f>IF(B292="",0,IF(OR(H292=MappingTables!$C$34,H292=MappingTables!$C$35),T292,0))</f>
        <v>0</v>
      </c>
      <c r="V292" s="85">
        <f>IF(ISNA(IF(AND(VLOOKUP(CONCATENATE($D292,$G292),CSRFinput!$B:$E,4,0)=0,OR(H292=MappingTables!$C$34,H292=MappingTables!$C$35)),1,VLOOKUP(CONCATENATE($D292,$G292),CSRFinput!$B:$E,4,0))),0,IF(AND(VLOOKUP(CONCATENATE($D292,$G292),CSRFinput!$B:$E,4,0)=0,OR(H292=MappingTables!$C$34,H292=MappingTables!$C$35)),1,VLOOKUP(CONCATENATE($D292,$G292),CSRFinput!$B:$E,4,0)))</f>
        <v>0.054776304963434752</v>
      </c>
      <c r="W292" s="85">
        <f>IF(B292="",0,+$T292*$V292)</f>
        <v>2.3345641840978564</v>
      </c>
      <c r="X292" s="85">
        <f>IF(B292="",0,IF(OR(H292=MappingTables!$C$34,H292=MappingTables!$C$35),W292,0))</f>
        <v>0</v>
      </c>
    </row>
    <row r="293" spans="2:24" s="0" customFormat="0" ht="15">
      <c r="B293" s="69" t="s">
        <v>543</v>
      </c>
      <c r="C293" s="70" t="s">
        <v>544</v>
      </c>
      <c r="D293" s="70" t="s">
        <v>1</v>
      </c>
      <c r="E293" s="70" t="s">
        <v>1</v>
      </c>
      <c r="F293" s="70"/>
      <c r="G293" s="70" t="s">
        <v>61</v>
      </c>
      <c r="H293" s="70" t="s">
        <v>178</v>
      </c>
      <c r="I293" s="70" t="s">
        <v>188</v>
      </c>
      <c r="J293" s="71">
        <f>IF(OR(I293=0,I293=""),"unrated",VLOOKUP(I293,MappingTables!$B$19:$C$31,2,FALSE))</f>
        <v>2</v>
      </c>
      <c r="K293" s="72">
        <v>1625.485954923826</v>
      </c>
      <c r="L293" s="70">
        <v>1.8554829905551364</v>
      </c>
      <c r="M293" s="71">
        <f>IF(L293&lt;1,1,L293)</f>
        <v>1.8554829905551364</v>
      </c>
      <c r="N293" s="70" t="s">
        <v>141</v>
      </c>
      <c r="O293" s="71">
        <f>INDEX(DurClassMapping,MATCH(M293,MappingTables!$D$4:$D$8,-1),1)</f>
        <v>1</v>
      </c>
      <c r="P293" s="73">
        <f>IF(M293=$A$1,1,$M293-INDEX(MappingTables!$E$4:$E$8,MATCH(O293,MappingTables!$B$4:$B$8,0)))</f>
        <v>1.8554829905551364</v>
      </c>
      <c r="Q293" s="71">
        <f>IF(B293="",0,INDEX(ModelParameters!$D$6:$K$10,MATCH($O293,ModelParameters!$B$6:$B$10,0),MATCH($J293,ModelParameters!$D$5:$K$5,0)))</f>
        <v>0.013999999999999998</v>
      </c>
      <c r="R293" s="71">
        <f>IF(B293="",0,INDEX(ModelParameters!$D$13:$K$17,MATCH($O293,ModelParameters!$B$13:$B$17,0),MATCH($J293,ModelParameters!$D$5:$K$5,0)))</f>
        <v>0</v>
      </c>
      <c r="S293" s="160">
        <f>IF(B293="",0,MIN(IF($N293="Other Bond TM",ModelParameters!$N$21,1)*(P293*Q293+R293),1))</f>
        <v>0.025976761867771908</v>
      </c>
      <c r="T293" s="85">
        <f>IF(B293="",0,$S293*$K293)</f>
        <v>42.224861570464048</v>
      </c>
      <c r="U293" s="85">
        <f>IF(B293="",0,IF(OR(H293=MappingTables!$C$34,H293=MappingTables!$C$35),T293,0))</f>
        <v>0</v>
      </c>
      <c r="V293" s="85">
        <f>IF(ISNA(IF(AND(VLOOKUP(CONCATENATE($D293,$G293),CSRFinput!$B:$E,4,0)=0,OR(H293=MappingTables!$C$34,H293=MappingTables!$C$35)),1,VLOOKUP(CONCATENATE($D293,$G293),CSRFinput!$B:$E,4,0))),0,IF(AND(VLOOKUP(CONCATENATE($D293,$G293),CSRFinput!$B:$E,4,0)=0,OR(H293=MappingTables!$C$34,H293=MappingTables!$C$35)),1,VLOOKUP(CONCATENATE($D293,$G293),CSRFinput!$B:$E,4,0)))</f>
        <v>0.054776304963434752</v>
      </c>
      <c r="W293" s="85">
        <f>IF(B293="",0,+$T293*$V293)</f>
        <v>2.3129218944225552</v>
      </c>
      <c r="X293" s="85">
        <f>IF(B293="",0,IF(OR(H293=MappingTables!$C$34,H293=MappingTables!$C$35),W293,0))</f>
        <v>0</v>
      </c>
    </row>
    <row r="294" spans="2:24" s="0" customFormat="0" ht="15">
      <c r="B294" s="69">
        <v>5300051</v>
      </c>
      <c r="C294" s="70" t="s">
        <v>419</v>
      </c>
      <c r="D294" s="70" t="s">
        <v>1</v>
      </c>
      <c r="E294" s="70" t="s">
        <v>1</v>
      </c>
      <c r="F294" s="70"/>
      <c r="G294" s="70" t="s">
        <v>61</v>
      </c>
      <c r="H294" s="70" t="s">
        <v>178</v>
      </c>
      <c r="I294" s="70" t="s">
        <v>179</v>
      </c>
      <c r="J294" s="71">
        <f>IF(OR(I294=0,I294=""),"unrated",VLOOKUP(I294,MappingTables!$B$19:$C$31,2,FALSE))</f>
        <v>4</v>
      </c>
      <c r="K294" s="72">
        <v>1406.8194237510852</v>
      </c>
      <c r="L294" s="70">
        <v>1.7663902183716574</v>
      </c>
      <c r="M294" s="71">
        <f>IF(L294&lt;1,1,L294)</f>
        <v>1.7663902183716574</v>
      </c>
      <c r="N294" s="70" t="s">
        <v>141</v>
      </c>
      <c r="O294" s="71">
        <f>INDEX(DurClassMapping,MATCH(M294,MappingTables!$D$4:$D$8,-1),1)</f>
        <v>1</v>
      </c>
      <c r="P294" s="73">
        <f>IF(M294=$A$1,1,$M294-INDEX(MappingTables!$E$4:$E$8,MATCH(O294,MappingTables!$B$4:$B$8,0)))</f>
        <v>1.7663902183716574</v>
      </c>
      <c r="Q294" s="71">
        <f>IF(B294="",0,INDEX(ModelParameters!$D$6:$K$10,MATCH($O294,ModelParameters!$B$6:$B$10,0),MATCH($J294,ModelParameters!$D$5:$K$5,0)))</f>
        <v>0.045</v>
      </c>
      <c r="R294" s="71">
        <f>IF(B294="",0,INDEX(ModelParameters!$D$13:$K$17,MATCH($O294,ModelParameters!$B$13:$B$17,0),MATCH($J294,ModelParameters!$D$5:$K$5,0)))</f>
        <v>0</v>
      </c>
      <c r="S294" s="160">
        <f>IF(B294="",0,MIN(IF($N294="Other Bond TM",ModelParameters!$N$21,1)*(P294*Q294+R294),1))</f>
        <v>0.079487559826724576</v>
      </c>
      <c r="T294" s="85">
        <f>IF(B294="",0,$S294*$K294)</f>
        <v>111.82464311081258</v>
      </c>
      <c r="U294" s="85">
        <f>IF(B294="",0,IF(OR(H294=MappingTables!$C$34,H294=MappingTables!$C$35),T294,0))</f>
        <v>0</v>
      </c>
      <c r="V294" s="85">
        <f>IF(ISNA(IF(AND(VLOOKUP(CONCATENATE($D294,$G294),CSRFinput!$B:$E,4,0)=0,OR(H294=MappingTables!$C$34,H294=MappingTables!$C$35)),1,VLOOKUP(CONCATENATE($D294,$G294),CSRFinput!$B:$E,4,0))),0,IF(AND(VLOOKUP(CONCATENATE($D294,$G294),CSRFinput!$B:$E,4,0)=0,OR(H294=MappingTables!$C$34,H294=MappingTables!$C$35)),1,VLOOKUP(CONCATENATE($D294,$G294),CSRFinput!$B:$E,4,0)))</f>
        <v>0.054776304963434752</v>
      </c>
      <c r="W294" s="85">
        <f>IF(B294="",0,+$T294*$V294)</f>
        <v>6.1253407534651224</v>
      </c>
      <c r="X294" s="85">
        <f>IF(B294="",0,IF(OR(H294=MappingTables!$C$34,H294=MappingTables!$C$35),W294,0))</f>
        <v>0</v>
      </c>
    </row>
    <row r="295" spans="2:24" s="0" customFormat="0" ht="15">
      <c r="B295" s="69">
        <v>13449119</v>
      </c>
      <c r="C295" s="70" t="s">
        <v>545</v>
      </c>
      <c r="D295" s="70" t="s">
        <v>1</v>
      </c>
      <c r="E295" s="70" t="s">
        <v>1</v>
      </c>
      <c r="F295" s="70"/>
      <c r="G295" s="70" t="s">
        <v>61</v>
      </c>
      <c r="H295" s="70" t="s">
        <v>178</v>
      </c>
      <c r="I295" s="70" t="s">
        <v>204</v>
      </c>
      <c r="J295" s="71">
        <f>IF(OR(I295=0,I295=""),"unrated",VLOOKUP(I295,MappingTables!$B$19:$C$31,2,FALSE))</f>
        <v>6</v>
      </c>
      <c r="K295" s="72">
        <v>10937.652211066934</v>
      </c>
      <c r="L295" s="70">
        <v>0.087670273827257344</v>
      </c>
      <c r="M295" s="71">
        <f>IF(L295&lt;1,1,L295)</f>
        <v>1</v>
      </c>
      <c r="N295" s="70" t="s">
        <v>141</v>
      </c>
      <c r="O295" s="71">
        <f>INDEX(DurClassMapping,MATCH(M295,MappingTables!$D$4:$D$8,-1),1)</f>
        <v>1</v>
      </c>
      <c r="P295" s="73">
        <f>IF(M295=$A$1,1,$M295-INDEX(MappingTables!$E$4:$E$8,MATCH(O295,MappingTables!$B$4:$B$8,0)))</f>
        <v>1</v>
      </c>
      <c r="Q295" s="71">
        <f>IF(B295="",0,INDEX(ModelParameters!$D$6:$K$10,MATCH($O295,ModelParameters!$B$6:$B$10,0),MATCH($J295,ModelParameters!$D$5:$K$5,0)))</f>
        <v>0.075</v>
      </c>
      <c r="R295" s="71">
        <f>IF(B295="",0,INDEX(ModelParameters!$D$13:$K$17,MATCH($O295,ModelParameters!$B$13:$B$17,0),MATCH($J295,ModelParameters!$D$5:$K$5,0)))</f>
        <v>0</v>
      </c>
      <c r="S295" s="160">
        <f>IF(B295="",0,MIN(IF($N295="Other Bond TM",ModelParameters!$N$21,1)*(P295*Q295+R295),1))</f>
        <v>0.075</v>
      </c>
      <c r="T295" s="85">
        <f>IF(B295="",0,$S295*$K295)</f>
        <v>820.32391583002</v>
      </c>
      <c r="U295" s="85">
        <f>IF(B295="",0,IF(OR(H295=MappingTables!$C$34,H295=MappingTables!$C$35),T295,0))</f>
        <v>0</v>
      </c>
      <c r="V295" s="85">
        <f>IF(ISNA(IF(AND(VLOOKUP(CONCATENATE($D295,$G295),CSRFinput!$B:$E,4,0)=0,OR(H295=MappingTables!$C$34,H295=MappingTables!$C$35)),1,VLOOKUP(CONCATENATE($D295,$G295),CSRFinput!$B:$E,4,0))),0,IF(AND(VLOOKUP(CONCATENATE($D295,$G295),CSRFinput!$B:$E,4,0)=0,OR(H295=MappingTables!$C$34,H295=MappingTables!$C$35)),1,VLOOKUP(CONCATENATE($D295,$G295),CSRFinput!$B:$E,4,0)))</f>
        <v>0.054776304963434752</v>
      </c>
      <c r="W295" s="85">
        <f>IF(B295="",0,+$T295*$V295)</f>
        <v>44.93431298230416</v>
      </c>
      <c r="X295" s="85">
        <f>IF(B295="",0,IF(OR(H295=MappingTables!$C$34,H295=MappingTables!$C$35),W295,0))</f>
        <v>0</v>
      </c>
    </row>
    <row r="296" spans="2:24" s="0" customFormat="0" ht="15">
      <c r="B296" s="69" t="s">
        <v>546</v>
      </c>
      <c r="C296" s="70" t="s">
        <v>547</v>
      </c>
      <c r="D296" s="70" t="s">
        <v>1</v>
      </c>
      <c r="E296" s="70" t="s">
        <v>1</v>
      </c>
      <c r="F296" s="70"/>
      <c r="G296" s="70" t="s">
        <v>61</v>
      </c>
      <c r="H296" s="70" t="s">
        <v>178</v>
      </c>
      <c r="I296" s="70" t="s">
        <v>181</v>
      </c>
      <c r="J296" s="71">
        <f>IF(OR(I296=0,I296=""),"unrated",VLOOKUP(I296,MappingTables!$B$19:$C$31,2,FALSE))</f>
        <v>3</v>
      </c>
      <c r="K296" s="72">
        <v>32.449981929382956</v>
      </c>
      <c r="L296" s="70">
        <v>5.3642241675268496</v>
      </c>
      <c r="M296" s="71">
        <f>IF(L296&lt;1,1,L296)</f>
        <v>5.3642241675268496</v>
      </c>
      <c r="N296" s="70" t="s">
        <v>141</v>
      </c>
      <c r="O296" s="71">
        <f>INDEX(DurClassMapping,MATCH(M296,MappingTables!$D$4:$D$8,-1),1)</f>
        <v>2</v>
      </c>
      <c r="P296" s="73">
        <f>IF(M296=$A$1,1,$M296-INDEX(MappingTables!$E$4:$E$8,MATCH(O296,MappingTables!$B$4:$B$8,0)))</f>
        <v>0.36422416752684936</v>
      </c>
      <c r="Q296" s="71">
        <f>IF(B296="",0,INDEX(ModelParameters!$D$6:$K$10,MATCH($O296,ModelParameters!$B$6:$B$10,0),MATCH($J296,ModelParameters!$D$5:$K$5,0)))</f>
        <v>0.015</v>
      </c>
      <c r="R296" s="71">
        <f>IF(B296="",0,INDEX(ModelParameters!$D$13:$K$17,MATCH($O296,ModelParameters!$B$13:$B$17,0),MATCH($J296,ModelParameters!$D$5:$K$5,0)))</f>
        <v>0.125</v>
      </c>
      <c r="S296" s="160">
        <f>IF(B296="",0,MIN(IF($N296="Other Bond TM",ModelParameters!$N$21,1)*(P296*Q296+R296),1))</f>
        <v>0.13046336251290274</v>
      </c>
      <c r="T296" s="85">
        <f>IF(B296="",0,$S296*$K296)</f>
        <v>4.233533755990232</v>
      </c>
      <c r="U296" s="85">
        <f>IF(B296="",0,IF(OR(H296=MappingTables!$C$34,H296=MappingTables!$C$35),T296,0))</f>
        <v>0</v>
      </c>
      <c r="V296" s="85">
        <f>IF(ISNA(IF(AND(VLOOKUP(CONCATENATE($D296,$G296),CSRFinput!$B:$E,4,0)=0,OR(H296=MappingTables!$C$34,H296=MappingTables!$C$35)),1,VLOOKUP(CONCATENATE($D296,$G296),CSRFinput!$B:$E,4,0))),0,IF(AND(VLOOKUP(CONCATENATE($D296,$G296),CSRFinput!$B:$E,4,0)=0,OR(H296=MappingTables!$C$34,H296=MappingTables!$C$35)),1,VLOOKUP(CONCATENATE($D296,$G296),CSRFinput!$B:$E,4,0)))</f>
        <v>0.054776304963434752</v>
      </c>
      <c r="W296" s="85">
        <f>IF(B296="",0,+$T296*$V296)</f>
        <v>0.23189733609111632</v>
      </c>
      <c r="X296" s="85">
        <f>IF(B296="",0,IF(OR(H296=MappingTables!$C$34,H296=MappingTables!$C$35),W296,0))</f>
        <v>0</v>
      </c>
    </row>
    <row r="297" spans="2:24" s="0" customFormat="0" ht="15">
      <c r="B297" s="69">
        <v>12074508</v>
      </c>
      <c r="C297" s="70" t="s">
        <v>548</v>
      </c>
      <c r="D297" s="70" t="s">
        <v>1</v>
      </c>
      <c r="E297" s="70" t="s">
        <v>1</v>
      </c>
      <c r="F297" s="70"/>
      <c r="G297" s="70" t="s">
        <v>61</v>
      </c>
      <c r="H297" s="70" t="s">
        <v>178</v>
      </c>
      <c r="I297" s="70" t="s">
        <v>181</v>
      </c>
      <c r="J297" s="71">
        <f>IF(OR(I297=0,I297=""),"unrated",VLOOKUP(I297,MappingTables!$B$19:$C$31,2,FALSE))</f>
        <v>3</v>
      </c>
      <c r="K297" s="72">
        <v>660.92494702235168</v>
      </c>
      <c r="L297" s="70">
        <v>4.6844009794021648</v>
      </c>
      <c r="M297" s="71">
        <f>IF(L297&lt;1,1,L297)</f>
        <v>4.6844009794021648</v>
      </c>
      <c r="N297" s="70" t="s">
        <v>141</v>
      </c>
      <c r="O297" s="71">
        <f>INDEX(DurClassMapping,MATCH(M297,MappingTables!$D$4:$D$8,-1),1)</f>
        <v>1</v>
      </c>
      <c r="P297" s="73">
        <f>IF(M297=$A$1,1,$M297-INDEX(MappingTables!$E$4:$E$8,MATCH(O297,MappingTables!$B$4:$B$8,0)))</f>
        <v>4.6844009794021648</v>
      </c>
      <c r="Q297" s="71">
        <f>IF(B297="",0,INDEX(ModelParameters!$D$6:$K$10,MATCH($O297,ModelParameters!$B$6:$B$10,0),MATCH($J297,ModelParameters!$D$5:$K$5,0)))</f>
        <v>0.025</v>
      </c>
      <c r="R297" s="71">
        <f>IF(B297="",0,INDEX(ModelParameters!$D$13:$K$17,MATCH($O297,ModelParameters!$B$13:$B$17,0),MATCH($J297,ModelParameters!$D$5:$K$5,0)))</f>
        <v>0</v>
      </c>
      <c r="S297" s="160">
        <f>IF(B297="",0,MIN(IF($N297="Other Bond TM",ModelParameters!$N$21,1)*(P297*Q297+R297),1))</f>
        <v>0.11711002448505412</v>
      </c>
      <c r="T297" s="85">
        <f>IF(B297="",0,$S297*$K297)</f>
        <v>77.40093672857072</v>
      </c>
      <c r="U297" s="85">
        <f>IF(B297="",0,IF(OR(H297=MappingTables!$C$34,H297=MappingTables!$C$35),T297,0))</f>
        <v>0</v>
      </c>
      <c r="V297" s="85">
        <f>IF(ISNA(IF(AND(VLOOKUP(CONCATENATE($D297,$G297),CSRFinput!$B:$E,4,0)=0,OR(H297=MappingTables!$C$34,H297=MappingTables!$C$35)),1,VLOOKUP(CONCATENATE($D297,$G297),CSRFinput!$B:$E,4,0))),0,IF(AND(VLOOKUP(CONCATENATE($D297,$G297),CSRFinput!$B:$E,4,0)=0,OR(H297=MappingTables!$C$34,H297=MappingTables!$C$35)),1,VLOOKUP(CONCATENATE($D297,$G297),CSRFinput!$B:$E,4,0)))</f>
        <v>0.054776304963434752</v>
      </c>
      <c r="W297" s="85">
        <f>IF(B297="",0,+$T297*$V297)</f>
        <v>4.2397373146997072</v>
      </c>
      <c r="X297" s="85">
        <f>IF(B297="",0,IF(OR(H297=MappingTables!$C$34,H297=MappingTables!$C$35),W297,0))</f>
        <v>0</v>
      </c>
    </row>
    <row r="298" spans="2:24" s="0" customFormat="0" ht="15">
      <c r="B298" s="69">
        <v>19761708</v>
      </c>
      <c r="C298" s="70" t="s">
        <v>549</v>
      </c>
      <c r="D298" s="70" t="s">
        <v>1</v>
      </c>
      <c r="E298" s="70" t="s">
        <v>1</v>
      </c>
      <c r="F298" s="70"/>
      <c r="G298" s="70" t="s">
        <v>61</v>
      </c>
      <c r="H298" s="70" t="s">
        <v>178</v>
      </c>
      <c r="I298" s="70" t="s">
        <v>181</v>
      </c>
      <c r="J298" s="71">
        <f>IF(OR(I298=0,I298=""),"unrated",VLOOKUP(I298,MappingTables!$B$19:$C$31,2,FALSE))</f>
        <v>3</v>
      </c>
      <c r="K298" s="72">
        <v>676.75490429664952</v>
      </c>
      <c r="L298" s="70">
        <v>1.347002344353856</v>
      </c>
      <c r="M298" s="71">
        <f>IF(L298&lt;1,1,L298)</f>
        <v>1.347002344353856</v>
      </c>
      <c r="N298" s="70" t="s">
        <v>141</v>
      </c>
      <c r="O298" s="71">
        <f>INDEX(DurClassMapping,MATCH(M298,MappingTables!$D$4:$D$8,-1),1)</f>
        <v>1</v>
      </c>
      <c r="P298" s="73">
        <f>IF(M298=$A$1,1,$M298-INDEX(MappingTables!$E$4:$E$8,MATCH(O298,MappingTables!$B$4:$B$8,0)))</f>
        <v>1.347002344353856</v>
      </c>
      <c r="Q298" s="71">
        <f>IF(B298="",0,INDEX(ModelParameters!$D$6:$K$10,MATCH($O298,ModelParameters!$B$6:$B$10,0),MATCH($J298,ModelParameters!$D$5:$K$5,0)))</f>
        <v>0.025</v>
      </c>
      <c r="R298" s="71">
        <f>IF(B298="",0,INDEX(ModelParameters!$D$13:$K$17,MATCH($O298,ModelParameters!$B$13:$B$17,0),MATCH($J298,ModelParameters!$D$5:$K$5,0)))</f>
        <v>0</v>
      </c>
      <c r="S298" s="160">
        <f>IF(B298="",0,MIN(IF($N298="Other Bond TM",ModelParameters!$N$21,1)*(P298*Q298+R298),1))</f>
        <v>0.033675058608846396</v>
      </c>
      <c r="T298" s="85">
        <f>IF(B298="",0,$S298*$K298)</f>
        <v>22.789761066013908</v>
      </c>
      <c r="U298" s="85">
        <f>IF(B298="",0,IF(OR(H298=MappingTables!$C$34,H298=MappingTables!$C$35),T298,0))</f>
        <v>0</v>
      </c>
      <c r="V298" s="85">
        <f>IF(ISNA(IF(AND(VLOOKUP(CONCATENATE($D298,$G298),CSRFinput!$B:$E,4,0)=0,OR(H298=MappingTables!$C$34,H298=MappingTables!$C$35)),1,VLOOKUP(CONCATENATE($D298,$G298),CSRFinput!$B:$E,4,0))),0,IF(AND(VLOOKUP(CONCATENATE($D298,$G298),CSRFinput!$B:$E,4,0)=0,OR(H298=MappingTables!$C$34,H298=MappingTables!$C$35)),1,VLOOKUP(CONCATENATE($D298,$G298),CSRFinput!$B:$E,4,0)))</f>
        <v>0.054776304963434752</v>
      </c>
      <c r="W298" s="85">
        <f>IF(B298="",0,+$T298*$V298)</f>
        <v>1.2483389021957898</v>
      </c>
      <c r="X298" s="85">
        <f>IF(B298="",0,IF(OR(H298=MappingTables!$C$34,H298=MappingTables!$C$35),W298,0))</f>
        <v>0</v>
      </c>
    </row>
    <row r="299" spans="2:24" s="0" customFormat="0" ht="15">
      <c r="B299" s="69">
        <v>5449277</v>
      </c>
      <c r="C299" s="70" t="s">
        <v>550</v>
      </c>
      <c r="D299" s="70" t="s">
        <v>1</v>
      </c>
      <c r="E299" s="70" t="s">
        <v>1</v>
      </c>
      <c r="F299" s="70"/>
      <c r="G299" s="70" t="s">
        <v>61</v>
      </c>
      <c r="H299" s="70" t="s">
        <v>178</v>
      </c>
      <c r="I299" s="70" t="s">
        <v>181</v>
      </c>
      <c r="J299" s="71">
        <f>IF(OR(I299=0,I299=""),"unrated",VLOOKUP(I299,MappingTables!$B$19:$C$31,2,FALSE))</f>
        <v>3</v>
      </c>
      <c r="K299" s="72">
        <v>766.9547077760888</v>
      </c>
      <c r="L299" s="70">
        <v>0.86261276699131008</v>
      </c>
      <c r="M299" s="71">
        <f>IF(L299&lt;1,1,L299)</f>
        <v>1</v>
      </c>
      <c r="N299" s="70" t="s">
        <v>141</v>
      </c>
      <c r="O299" s="71">
        <f>INDEX(DurClassMapping,MATCH(M299,MappingTables!$D$4:$D$8,-1),1)</f>
        <v>1</v>
      </c>
      <c r="P299" s="73">
        <f>IF(M299=$A$1,1,$M299-INDEX(MappingTables!$E$4:$E$8,MATCH(O299,MappingTables!$B$4:$B$8,0)))</f>
        <v>1</v>
      </c>
      <c r="Q299" s="71">
        <f>IF(B299="",0,INDEX(ModelParameters!$D$6:$K$10,MATCH($O299,ModelParameters!$B$6:$B$10,0),MATCH($J299,ModelParameters!$D$5:$K$5,0)))</f>
        <v>0.025</v>
      </c>
      <c r="R299" s="71">
        <f>IF(B299="",0,INDEX(ModelParameters!$D$13:$K$17,MATCH($O299,ModelParameters!$B$13:$B$17,0),MATCH($J299,ModelParameters!$D$5:$K$5,0)))</f>
        <v>0</v>
      </c>
      <c r="S299" s="160">
        <f>IF(B299="",0,MIN(IF($N299="Other Bond TM",ModelParameters!$N$21,1)*(P299*Q299+R299),1))</f>
        <v>0.025</v>
      </c>
      <c r="T299" s="85">
        <f>IF(B299="",0,$S299*$K299)</f>
        <v>19.173867694402224</v>
      </c>
      <c r="U299" s="85">
        <f>IF(B299="",0,IF(OR(H299=MappingTables!$C$34,H299=MappingTables!$C$35),T299,0))</f>
        <v>0</v>
      </c>
      <c r="V299" s="85">
        <f>IF(ISNA(IF(AND(VLOOKUP(CONCATENATE($D299,$G299),CSRFinput!$B:$E,4,0)=0,OR(H299=MappingTables!$C$34,H299=MappingTables!$C$35)),1,VLOOKUP(CONCATENATE($D299,$G299),CSRFinput!$B:$E,4,0))),0,IF(AND(VLOOKUP(CONCATENATE($D299,$G299),CSRFinput!$B:$E,4,0)=0,OR(H299=MappingTables!$C$34,H299=MappingTables!$C$35)),1,VLOOKUP(CONCATENATE($D299,$G299),CSRFinput!$B:$E,4,0)))</f>
        <v>0.054776304963434752</v>
      </c>
      <c r="W299" s="85">
        <f>IF(B299="",0,+$T299*$V299)</f>
        <v>1.0502736241571258</v>
      </c>
      <c r="X299" s="85">
        <f>IF(B299="",0,IF(OR(H299=MappingTables!$C$34,H299=MappingTables!$C$35),W299,0))</f>
        <v>0</v>
      </c>
    </row>
    <row r="300" spans="2:24" s="0" customFormat="0" ht="15">
      <c r="B300" s="69">
        <v>14725002</v>
      </c>
      <c r="C300" s="70" t="s">
        <v>551</v>
      </c>
      <c r="D300" s="70" t="s">
        <v>1</v>
      </c>
      <c r="E300" s="70" t="s">
        <v>1</v>
      </c>
      <c r="F300" s="70"/>
      <c r="G300" s="70" t="s">
        <v>61</v>
      </c>
      <c r="H300" s="70" t="s">
        <v>178</v>
      </c>
      <c r="I300" s="70" t="s">
        <v>181</v>
      </c>
      <c r="J300" s="71">
        <f>IF(OR(I300=0,I300=""),"unrated",VLOOKUP(I300,MappingTables!$B$19:$C$31,2,FALSE))</f>
        <v>3</v>
      </c>
      <c r="K300" s="72">
        <v>1721.2915903388422</v>
      </c>
      <c r="L300" s="70">
        <v>5.4179120509350656</v>
      </c>
      <c r="M300" s="71">
        <f>IF(L300&lt;1,1,L300)</f>
        <v>5.4179120509350656</v>
      </c>
      <c r="N300" s="70" t="s">
        <v>141</v>
      </c>
      <c r="O300" s="71">
        <f>INDEX(DurClassMapping,MATCH(M300,MappingTables!$D$4:$D$8,-1),1)</f>
        <v>2</v>
      </c>
      <c r="P300" s="73">
        <f>IF(M300=$A$1,1,$M300-INDEX(MappingTables!$E$4:$E$8,MATCH(O300,MappingTables!$B$4:$B$8,0)))</f>
        <v>0.41791205093506536</v>
      </c>
      <c r="Q300" s="71">
        <f>IF(B300="",0,INDEX(ModelParameters!$D$6:$K$10,MATCH($O300,ModelParameters!$B$6:$B$10,0),MATCH($J300,ModelParameters!$D$5:$K$5,0)))</f>
        <v>0.015</v>
      </c>
      <c r="R300" s="71">
        <f>IF(B300="",0,INDEX(ModelParameters!$D$13:$K$17,MATCH($O300,ModelParameters!$B$13:$B$17,0),MATCH($J300,ModelParameters!$D$5:$K$5,0)))</f>
        <v>0.125</v>
      </c>
      <c r="S300" s="160">
        <f>IF(B300="",0,MIN(IF($N300="Other Bond TM",ModelParameters!$N$21,1)*(P300*Q300+R300),1))</f>
        <v>0.13126868076402598</v>
      </c>
      <c r="T300" s="85">
        <f>IF(B300="",0,$S300*$K300)</f>
        <v>225.95167627399208</v>
      </c>
      <c r="U300" s="85">
        <f>IF(B300="",0,IF(OR(H300=MappingTables!$C$34,H300=MappingTables!$C$35),T300,0))</f>
        <v>0</v>
      </c>
      <c r="V300" s="85">
        <f>IF(ISNA(IF(AND(VLOOKUP(CONCATENATE($D300,$G300),CSRFinput!$B:$E,4,0)=0,OR(H300=MappingTables!$C$34,H300=MappingTables!$C$35)),1,VLOOKUP(CONCATENATE($D300,$G300),CSRFinput!$B:$E,4,0))),0,IF(AND(VLOOKUP(CONCATENATE($D300,$G300),CSRFinput!$B:$E,4,0)=0,OR(H300=MappingTables!$C$34,H300=MappingTables!$C$35)),1,VLOOKUP(CONCATENATE($D300,$G300),CSRFinput!$B:$E,4,0)))</f>
        <v>0.054776304963434752</v>
      </c>
      <c r="W300" s="85">
        <f>IF(B300="",0,+$T300*$V300)</f>
        <v>12.376797926583474</v>
      </c>
      <c r="X300" s="85">
        <f>IF(B300="",0,IF(OR(H300=MappingTables!$C$34,H300=MappingTables!$C$35),W300,0))</f>
        <v>0</v>
      </c>
    </row>
    <row r="301" spans="2:24" s="0" customFormat="0" ht="15">
      <c r="B301" s="69">
        <v>6827074</v>
      </c>
      <c r="C301" s="70" t="s">
        <v>552</v>
      </c>
      <c r="D301" s="70" t="s">
        <v>1</v>
      </c>
      <c r="E301" s="70" t="s">
        <v>1</v>
      </c>
      <c r="F301" s="70"/>
      <c r="G301" s="70" t="s">
        <v>61</v>
      </c>
      <c r="H301" s="70" t="s">
        <v>178</v>
      </c>
      <c r="I301" s="70" t="s">
        <v>188</v>
      </c>
      <c r="J301" s="71">
        <f>IF(OR(I301=0,I301=""),"unrated",VLOOKUP(I301,MappingTables!$B$19:$C$31,2,FALSE))</f>
        <v>2</v>
      </c>
      <c r="K301" s="72">
        <v>2587.9075890601772</v>
      </c>
      <c r="L301" s="70">
        <v>13.960089558939588</v>
      </c>
      <c r="M301" s="71">
        <f>IF(L301&lt;1,1,L301)</f>
        <v>13.960089558939588</v>
      </c>
      <c r="N301" s="70" t="s">
        <v>141</v>
      </c>
      <c r="O301" s="71">
        <f>INDEX(DurClassMapping,MATCH(M301,MappingTables!$D$4:$D$8,-1),1)</f>
        <v>3</v>
      </c>
      <c r="P301" s="73">
        <f>IF(M301=$A$1,1,$M301-INDEX(MappingTables!$E$4:$E$8,MATCH(O301,MappingTables!$B$4:$B$8,0)))</f>
        <v>3.960089558939588</v>
      </c>
      <c r="Q301" s="71">
        <f>IF(B301="",0,INDEX(ModelParameters!$D$6:$K$10,MATCH($O301,ModelParameters!$B$6:$B$10,0),MATCH($J301,ModelParameters!$D$5:$K$5,0)))</f>
        <v>0.005</v>
      </c>
      <c r="R301" s="71">
        <f>IF(B301="",0,INDEX(ModelParameters!$D$13:$K$17,MATCH($O301,ModelParameters!$B$13:$B$17,0),MATCH($J301,ModelParameters!$D$5:$K$5,0)))</f>
        <v>0.105</v>
      </c>
      <c r="S301" s="160">
        <f>IF(B301="",0,MIN(IF($N301="Other Bond TM",ModelParameters!$N$21,1)*(P301*Q301+R301),1))</f>
        <v>0.12480044779469794</v>
      </c>
      <c r="T301" s="85">
        <f>IF(B301="",0,$S301*$K301)</f>
        <v>322.97202596600728</v>
      </c>
      <c r="U301" s="85">
        <f>IF(B301="",0,IF(OR(H301=MappingTables!$C$34,H301=MappingTables!$C$35),T301,0))</f>
        <v>0</v>
      </c>
      <c r="V301" s="85">
        <f>IF(ISNA(IF(AND(VLOOKUP(CONCATENATE($D301,$G301),CSRFinput!$B:$E,4,0)=0,OR(H301=MappingTables!$C$34,H301=MappingTables!$C$35)),1,VLOOKUP(CONCATENATE($D301,$G301),CSRFinput!$B:$E,4,0))),0,IF(AND(VLOOKUP(CONCATENATE($D301,$G301),CSRFinput!$B:$E,4,0)=0,OR(H301=MappingTables!$C$34,H301=MappingTables!$C$35)),1,VLOOKUP(CONCATENATE($D301,$G301),CSRFinput!$B:$E,4,0)))</f>
        <v>0.054776304963434752</v>
      </c>
      <c r="W301" s="85">
        <f>IF(B301="",0,+$T301*$V301)</f>
        <v>17.691214188972382</v>
      </c>
      <c r="X301" s="85">
        <f>IF(B301="",0,IF(OR(H301=MappingTables!$C$34,H301=MappingTables!$C$35),W301,0))</f>
        <v>0</v>
      </c>
    </row>
    <row r="302" spans="2:24" s="0" customFormat="0" ht="15">
      <c r="B302" s="69" t="s">
        <v>365</v>
      </c>
      <c r="C302" s="70" t="s">
        <v>366</v>
      </c>
      <c r="D302" s="70" t="s">
        <v>1</v>
      </c>
      <c r="E302" s="70" t="s">
        <v>1</v>
      </c>
      <c r="F302" s="70"/>
      <c r="G302" s="70" t="s">
        <v>61</v>
      </c>
      <c r="H302" s="70" t="s">
        <v>178</v>
      </c>
      <c r="I302" s="70" t="s">
        <v>181</v>
      </c>
      <c r="J302" s="71">
        <f>IF(OR(I302=0,I302=""),"unrated",VLOOKUP(I302,MappingTables!$B$19:$C$31,2,FALSE))</f>
        <v>3</v>
      </c>
      <c r="K302" s="72">
        <v>1411.1190048634094</v>
      </c>
      <c r="L302" s="70">
        <v>13.973744403348256</v>
      </c>
      <c r="M302" s="71">
        <f>IF(L302&lt;1,1,L302)</f>
        <v>13.973744403348256</v>
      </c>
      <c r="N302" s="70" t="s">
        <v>141</v>
      </c>
      <c r="O302" s="71">
        <f>INDEX(DurClassMapping,MATCH(M302,MappingTables!$D$4:$D$8,-1),1)</f>
        <v>3</v>
      </c>
      <c r="P302" s="73">
        <f>IF(M302=$A$1,1,$M302-INDEX(MappingTables!$E$4:$E$8,MATCH(O302,MappingTables!$B$4:$B$8,0)))</f>
        <v>3.973744403348256</v>
      </c>
      <c r="Q302" s="71">
        <f>IF(B302="",0,INDEX(ModelParameters!$D$6:$K$10,MATCH($O302,ModelParameters!$B$6:$B$10,0),MATCH($J302,ModelParameters!$D$5:$K$5,0)))</f>
        <v>0.01</v>
      </c>
      <c r="R302" s="71">
        <f>IF(B302="",0,INDEX(ModelParameters!$D$13:$K$17,MATCH($O302,ModelParameters!$B$13:$B$17,0),MATCH($J302,ModelParameters!$D$5:$K$5,0)))</f>
        <v>0.2</v>
      </c>
      <c r="S302" s="160">
        <f>IF(B302="",0,MIN(IF($N302="Other Bond TM",ModelParameters!$N$21,1)*(P302*Q302+R302),1))</f>
        <v>0.23973744403348256</v>
      </c>
      <c r="T302" s="85">
        <f>IF(B302="",0,$S302*$K302)</f>
        <v>338.29806345302524</v>
      </c>
      <c r="U302" s="85">
        <f>IF(B302="",0,IF(OR(H302=MappingTables!$C$34,H302=MappingTables!$C$35),T302,0))</f>
        <v>0</v>
      </c>
      <c r="V302" s="85">
        <f>IF(ISNA(IF(AND(VLOOKUP(CONCATENATE($D302,$G302),CSRFinput!$B:$E,4,0)=0,OR(H302=MappingTables!$C$34,H302=MappingTables!$C$35)),1,VLOOKUP(CONCATENATE($D302,$G302),CSRFinput!$B:$E,4,0))),0,IF(AND(VLOOKUP(CONCATENATE($D302,$G302),CSRFinput!$B:$E,4,0)=0,OR(H302=MappingTables!$C$34,H302=MappingTables!$C$35)),1,VLOOKUP(CONCATENATE($D302,$G302),CSRFinput!$B:$E,4,0)))</f>
        <v>0.054776304963434752</v>
      </c>
      <c r="W302" s="85">
        <f>IF(B302="",0,+$T302*$V302)</f>
        <v>18.530717892242312</v>
      </c>
      <c r="X302" s="85">
        <f>IF(B302="",0,IF(OR(H302=MappingTables!$C$34,H302=MappingTables!$C$35),W302,0))</f>
        <v>0</v>
      </c>
    </row>
    <row r="303" spans="2:24" s="0" customFormat="0" ht="15">
      <c r="B303" s="69">
        <v>761910</v>
      </c>
      <c r="C303" s="70" t="s">
        <v>553</v>
      </c>
      <c r="D303" s="70" t="s">
        <v>1</v>
      </c>
      <c r="E303" s="70" t="s">
        <v>1</v>
      </c>
      <c r="F303" s="70"/>
      <c r="G303" s="70" t="s">
        <v>61</v>
      </c>
      <c r="H303" s="70" t="s">
        <v>178</v>
      </c>
      <c r="I303" s="70" t="s">
        <v>181</v>
      </c>
      <c r="J303" s="71">
        <f>IF(OR(I303=0,I303=""),"unrated",VLOOKUP(I303,MappingTables!$B$19:$C$31,2,FALSE))</f>
        <v>3</v>
      </c>
      <c r="K303" s="72">
        <v>12345.412096094228</v>
      </c>
      <c r="L303" s="70">
        <v>10.308526677978148</v>
      </c>
      <c r="M303" s="71">
        <f>IF(L303&lt;1,1,L303)</f>
        <v>10.308526677978148</v>
      </c>
      <c r="N303" s="70" t="s">
        <v>141</v>
      </c>
      <c r="O303" s="71">
        <f>INDEX(DurClassMapping,MATCH(M303,MappingTables!$D$4:$D$8,-1),1)</f>
        <v>3</v>
      </c>
      <c r="P303" s="73">
        <f>IF(M303=$A$1,1,$M303-INDEX(MappingTables!$E$4:$E$8,MATCH(O303,MappingTables!$B$4:$B$8,0)))</f>
        <v>0.30852667797814704</v>
      </c>
      <c r="Q303" s="71">
        <f>IF(B303="",0,INDEX(ModelParameters!$D$6:$K$10,MATCH($O303,ModelParameters!$B$6:$B$10,0),MATCH($J303,ModelParameters!$D$5:$K$5,0)))</f>
        <v>0.01</v>
      </c>
      <c r="R303" s="71">
        <f>IF(B303="",0,INDEX(ModelParameters!$D$13:$K$17,MATCH($O303,ModelParameters!$B$13:$B$17,0),MATCH($J303,ModelParameters!$D$5:$K$5,0)))</f>
        <v>0.2</v>
      </c>
      <c r="S303" s="160">
        <f>IF(B303="",0,MIN(IF($N303="Other Bond TM",ModelParameters!$N$21,1)*(P303*Q303+R303),1))</f>
        <v>0.20308526677978148</v>
      </c>
      <c r="T303" s="85">
        <f>IF(B303="",0,$S303*$K303)</f>
        <v>2507.1713090416376</v>
      </c>
      <c r="U303" s="85">
        <f>IF(B303="",0,IF(OR(H303=MappingTables!$C$34,H303=MappingTables!$C$35),T303,0))</f>
        <v>0</v>
      </c>
      <c r="V303" s="85">
        <f>IF(ISNA(IF(AND(VLOOKUP(CONCATENATE($D303,$G303),CSRFinput!$B:$E,4,0)=0,OR(H303=MappingTables!$C$34,H303=MappingTables!$C$35)),1,VLOOKUP(CONCATENATE($D303,$G303),CSRFinput!$B:$E,4,0))),0,IF(AND(VLOOKUP(CONCATENATE($D303,$G303),CSRFinput!$B:$E,4,0)=0,OR(H303=MappingTables!$C$34,H303=MappingTables!$C$35)),1,VLOOKUP(CONCATENATE($D303,$G303),CSRFinput!$B:$E,4,0)))</f>
        <v>0.054776304963434752</v>
      </c>
      <c r="W303" s="85">
        <f>IF(B303="",0,+$T303*$V303)</f>
        <v>137.33358021963866</v>
      </c>
      <c r="X303" s="85">
        <f>IF(B303="",0,IF(OR(H303=MappingTables!$C$34,H303=MappingTables!$C$35),W303,0))</f>
        <v>0</v>
      </c>
    </row>
    <row r="304" spans="2:24" s="0" customFormat="0" ht="15">
      <c r="B304" s="69">
        <v>15775695</v>
      </c>
      <c r="C304" s="70" t="s">
        <v>554</v>
      </c>
      <c r="D304" s="70" t="s">
        <v>1</v>
      </c>
      <c r="E304" s="70" t="s">
        <v>1</v>
      </c>
      <c r="F304" s="70"/>
      <c r="G304" s="70" t="s">
        <v>61</v>
      </c>
      <c r="H304" s="70" t="s">
        <v>178</v>
      </c>
      <c r="I304" s="70" t="s">
        <v>188</v>
      </c>
      <c r="J304" s="71">
        <f>IF(OR(I304=0,I304=""),"unrated",VLOOKUP(I304,MappingTables!$B$19:$C$31,2,FALSE))</f>
        <v>2</v>
      </c>
      <c r="K304" s="72">
        <v>1199449.3103027344</v>
      </c>
      <c r="L304" s="70">
        <v>8.2036345058354144</v>
      </c>
      <c r="M304" s="71">
        <f>IF(L304&lt;1,1,L304)</f>
        <v>8.2036345058354144</v>
      </c>
      <c r="N304" s="70" t="s">
        <v>141</v>
      </c>
      <c r="O304" s="71">
        <f>INDEX(DurClassMapping,MATCH(M304,MappingTables!$D$4:$D$8,-1),1)</f>
        <v>2</v>
      </c>
      <c r="P304" s="73">
        <f>IF(M304=$A$1,1,$M304-INDEX(MappingTables!$E$4:$E$8,MATCH(O304,MappingTables!$B$4:$B$8,0)))</f>
        <v>3.2036345058354136</v>
      </c>
      <c r="Q304" s="71">
        <f>IF(B304="",0,INDEX(ModelParameters!$D$6:$K$10,MATCH($O304,ModelParameters!$B$6:$B$10,0),MATCH($J304,ModelParameters!$D$5:$K$5,0)))</f>
        <v>0.0069999999999999992</v>
      </c>
      <c r="R304" s="71">
        <f>IF(B304="",0,INDEX(ModelParameters!$D$13:$K$17,MATCH($O304,ModelParameters!$B$13:$B$17,0),MATCH($J304,ModelParameters!$D$5:$K$5,0)))</f>
        <v>0.070000000000000008</v>
      </c>
      <c r="S304" s="160">
        <f>IF(B304="",0,MIN(IF($N304="Other Bond TM",ModelParameters!$N$21,1)*(P304*Q304+R304),1))</f>
        <v>0.092425441540847888</v>
      </c>
      <c r="T304" s="85">
        <f>IF(B304="",0,$S304*$K304)</f>
        <v>110859.6321105957</v>
      </c>
      <c r="U304" s="85">
        <f>IF(B304="",0,IF(OR(H304=MappingTables!$C$34,H304=MappingTables!$C$35),T304,0))</f>
        <v>0</v>
      </c>
      <c r="V304" s="85">
        <f>IF(ISNA(IF(AND(VLOOKUP(CONCATENATE($D304,$G304),CSRFinput!$B:$E,4,0)=0,OR(H304=MappingTables!$C$34,H304=MappingTables!$C$35)),1,VLOOKUP(CONCATENATE($D304,$G304),CSRFinput!$B:$E,4,0))),0,IF(AND(VLOOKUP(CONCATENATE($D304,$G304),CSRFinput!$B:$E,4,0)=0,OR(H304=MappingTables!$C$34,H304=MappingTables!$C$35)),1,VLOOKUP(CONCATENATE($D304,$G304),CSRFinput!$B:$E,4,0)))</f>
        <v>0.054776304963434752</v>
      </c>
      <c r="W304" s="85">
        <f>IF(B304="",0,+$T304*$V304)</f>
        <v>6072.4810166241744</v>
      </c>
      <c r="X304" s="85">
        <f>IF(B304="",0,IF(OR(H304=MappingTables!$C$34,H304=MappingTables!$C$35),W304,0))</f>
        <v>0</v>
      </c>
    </row>
    <row r="305" spans="2:24" s="0" customFormat="0" ht="15">
      <c r="B305" s="69" t="s">
        <v>555</v>
      </c>
      <c r="C305" s="70" t="s">
        <v>556</v>
      </c>
      <c r="D305" s="70" t="s">
        <v>1</v>
      </c>
      <c r="E305" s="70" t="s">
        <v>1</v>
      </c>
      <c r="F305" s="70"/>
      <c r="G305" s="70" t="s">
        <v>61</v>
      </c>
      <c r="H305" s="70" t="s">
        <v>178</v>
      </c>
      <c r="I305" s="70" t="s">
        <v>188</v>
      </c>
      <c r="J305" s="71">
        <f>IF(OR(I305=0,I305=""),"unrated",VLOOKUP(I305,MappingTables!$B$19:$C$31,2,FALSE))</f>
        <v>2</v>
      </c>
      <c r="K305" s="72">
        <v>7.8599400809620832</v>
      </c>
      <c r="L305" s="70">
        <v>2.472104982878266</v>
      </c>
      <c r="M305" s="71">
        <f>IF(L305&lt;1,1,L305)</f>
        <v>2.472104982878266</v>
      </c>
      <c r="N305" s="70" t="s">
        <v>141</v>
      </c>
      <c r="O305" s="71">
        <f>INDEX(DurClassMapping,MATCH(M305,MappingTables!$D$4:$D$8,-1),1)</f>
        <v>1</v>
      </c>
      <c r="P305" s="73">
        <f>IF(M305=$A$1,1,$M305-INDEX(MappingTables!$E$4:$E$8,MATCH(O305,MappingTables!$B$4:$B$8,0)))</f>
        <v>2.472104982878266</v>
      </c>
      <c r="Q305" s="71">
        <f>IF(B305="",0,INDEX(ModelParameters!$D$6:$K$10,MATCH($O305,ModelParameters!$B$6:$B$10,0),MATCH($J305,ModelParameters!$D$5:$K$5,0)))</f>
        <v>0.013999999999999998</v>
      </c>
      <c r="R305" s="71">
        <f>IF(B305="",0,INDEX(ModelParameters!$D$13:$K$17,MATCH($O305,ModelParameters!$B$13:$B$17,0),MATCH($J305,ModelParameters!$D$5:$K$5,0)))</f>
        <v>0</v>
      </c>
      <c r="S305" s="160">
        <f>IF(B305="",0,MIN(IF($N305="Other Bond TM",ModelParameters!$N$21,1)*(P305*Q305+R305),1))</f>
        <v>0.034609469760295728</v>
      </c>
      <c r="T305" s="85">
        <f>IF(B305="",0,$S305*$K305)</f>
        <v>0.27202835854979356</v>
      </c>
      <c r="U305" s="85">
        <f>IF(B305="",0,IF(OR(H305=MappingTables!$C$34,H305=MappingTables!$C$35),T305,0))</f>
        <v>0</v>
      </c>
      <c r="V305" s="85">
        <f>IF(ISNA(IF(AND(VLOOKUP(CONCATENATE($D305,$G305),CSRFinput!$B:$E,4,0)=0,OR(H305=MappingTables!$C$34,H305=MappingTables!$C$35)),1,VLOOKUP(CONCATENATE($D305,$G305),CSRFinput!$B:$E,4,0))),0,IF(AND(VLOOKUP(CONCATENATE($D305,$G305),CSRFinput!$B:$E,4,0)=0,OR(H305=MappingTables!$C$34,H305=MappingTables!$C$35)),1,VLOOKUP(CONCATENATE($D305,$G305),CSRFinput!$B:$E,4,0)))</f>
        <v>0.054776304963434752</v>
      </c>
      <c r="W305" s="85">
        <f>IF(B305="",0,+$T305*$V305)</f>
        <v>0.014900708326626066</v>
      </c>
      <c r="X305" s="85">
        <f>IF(B305="",0,IF(OR(H305=MappingTables!$C$34,H305=MappingTables!$C$35),W305,0))</f>
        <v>0</v>
      </c>
    </row>
    <row r="306" spans="2:24" s="0" customFormat="0" ht="15">
      <c r="B306" s="69">
        <v>12776014</v>
      </c>
      <c r="C306" s="70" t="s">
        <v>557</v>
      </c>
      <c r="D306" s="70" t="s">
        <v>1</v>
      </c>
      <c r="E306" s="70" t="s">
        <v>1</v>
      </c>
      <c r="F306" s="70"/>
      <c r="G306" s="70" t="s">
        <v>61</v>
      </c>
      <c r="H306" s="70" t="s">
        <v>178</v>
      </c>
      <c r="I306" s="70" t="s">
        <v>188</v>
      </c>
      <c r="J306" s="71">
        <f>IF(OR(I306=0,I306=""),"unrated",VLOOKUP(I306,MappingTables!$B$19:$C$31,2,FALSE))</f>
        <v>2</v>
      </c>
      <c r="K306" s="72">
        <v>6.5118132730154576</v>
      </c>
      <c r="L306" s="70">
        <v>0.74795393148478448</v>
      </c>
      <c r="M306" s="71">
        <f>IF(L306&lt;1,1,L306)</f>
        <v>1</v>
      </c>
      <c r="N306" s="70" t="s">
        <v>141</v>
      </c>
      <c r="O306" s="71">
        <f>INDEX(DurClassMapping,MATCH(M306,MappingTables!$D$4:$D$8,-1),1)</f>
        <v>1</v>
      </c>
      <c r="P306" s="73">
        <f>IF(M306=$A$1,1,$M306-INDEX(MappingTables!$E$4:$E$8,MATCH(O306,MappingTables!$B$4:$B$8,0)))</f>
        <v>1</v>
      </c>
      <c r="Q306" s="71">
        <f>IF(B306="",0,INDEX(ModelParameters!$D$6:$K$10,MATCH($O306,ModelParameters!$B$6:$B$10,0),MATCH($J306,ModelParameters!$D$5:$K$5,0)))</f>
        <v>0.013999999999999998</v>
      </c>
      <c r="R306" s="71">
        <f>IF(B306="",0,INDEX(ModelParameters!$D$13:$K$17,MATCH($O306,ModelParameters!$B$13:$B$17,0),MATCH($J306,ModelParameters!$D$5:$K$5,0)))</f>
        <v>0</v>
      </c>
      <c r="S306" s="160">
        <f>IF(B306="",0,MIN(IF($N306="Other Bond TM",ModelParameters!$N$21,1)*(P306*Q306+R306),1))</f>
        <v>0.013999999999999998</v>
      </c>
      <c r="T306" s="85">
        <f>IF(B306="",0,$S306*$K306)</f>
        <v>0.0911653858222164</v>
      </c>
      <c r="U306" s="85">
        <f>IF(B306="",0,IF(OR(H306=MappingTables!$C$34,H306=MappingTables!$C$35),T306,0))</f>
        <v>0</v>
      </c>
      <c r="V306" s="85">
        <f>IF(ISNA(IF(AND(VLOOKUP(CONCATENATE($D306,$G306),CSRFinput!$B:$E,4,0)=0,OR(H306=MappingTables!$C$34,H306=MappingTables!$C$35)),1,VLOOKUP(CONCATENATE($D306,$G306),CSRFinput!$B:$E,4,0))),0,IF(AND(VLOOKUP(CONCATENATE($D306,$G306),CSRFinput!$B:$E,4,0)=0,OR(H306=MappingTables!$C$34,H306=MappingTables!$C$35)),1,VLOOKUP(CONCATENATE($D306,$G306),CSRFinput!$B:$E,4,0)))</f>
        <v>0.054776304963434752</v>
      </c>
      <c r="W306" s="85">
        <f>IF(B306="",0,+$T306*$V306)</f>
        <v>0.004993702975906916</v>
      </c>
      <c r="X306" s="85">
        <f>IF(B306="",0,IF(OR(H306=MappingTables!$C$34,H306=MappingTables!$C$35),W306,0))</f>
        <v>0</v>
      </c>
    </row>
    <row r="307" spans="2:24" s="0" customFormat="0" ht="15">
      <c r="B307" s="69">
        <v>19762439</v>
      </c>
      <c r="C307" s="70" t="s">
        <v>558</v>
      </c>
      <c r="D307" s="70" t="s">
        <v>1</v>
      </c>
      <c r="E307" s="70" t="s">
        <v>1</v>
      </c>
      <c r="F307" s="70"/>
      <c r="G307" s="70" t="s">
        <v>61</v>
      </c>
      <c r="H307" s="70" t="s">
        <v>178</v>
      </c>
      <c r="I307" s="70" t="s">
        <v>184</v>
      </c>
      <c r="J307" s="71">
        <f>IF(OR(I307=0,I307=""),"unrated",VLOOKUP(I307,MappingTables!$B$19:$C$31,2,FALSE))</f>
        <v>5</v>
      </c>
      <c r="K307" s="72">
        <v>2457.344153385386</v>
      </c>
      <c r="L307" s="70">
        <v>1.401328237807114</v>
      </c>
      <c r="M307" s="71">
        <f>IF(L307&lt;1,1,L307)</f>
        <v>1.401328237807114</v>
      </c>
      <c r="N307" s="70" t="s">
        <v>141</v>
      </c>
      <c r="O307" s="71">
        <f>INDEX(DurClassMapping,MATCH(M307,MappingTables!$D$4:$D$8,-1),1)</f>
        <v>1</v>
      </c>
      <c r="P307" s="73">
        <f>IF(M307=$A$1,1,$M307-INDEX(MappingTables!$E$4:$E$8,MATCH(O307,MappingTables!$B$4:$B$8,0)))</f>
        <v>1.401328237807114</v>
      </c>
      <c r="Q307" s="71">
        <f>IF(B307="",0,INDEX(ModelParameters!$D$6:$K$10,MATCH($O307,ModelParameters!$B$6:$B$10,0),MATCH($J307,ModelParameters!$D$5:$K$5,0)))</f>
        <v>0.075</v>
      </c>
      <c r="R307" s="71">
        <f>IF(B307="",0,INDEX(ModelParameters!$D$13:$K$17,MATCH($O307,ModelParameters!$B$13:$B$17,0),MATCH($J307,ModelParameters!$D$5:$K$5,0)))</f>
        <v>0</v>
      </c>
      <c r="S307" s="160">
        <f>IF(B307="",0,MIN(IF($N307="Other Bond TM",ModelParameters!$N$21,1)*(P307*Q307+R307),1))</f>
        <v>0.10509961783553354</v>
      </c>
      <c r="T307" s="85">
        <f>IF(B307="",0,$S307*$K307)</f>
        <v>258.2659314111868</v>
      </c>
      <c r="U307" s="85">
        <f>IF(B307="",0,IF(OR(H307=MappingTables!$C$34,H307=MappingTables!$C$35),T307,0))</f>
        <v>0</v>
      </c>
      <c r="V307" s="85">
        <f>IF(ISNA(IF(AND(VLOOKUP(CONCATENATE($D307,$G307),CSRFinput!$B:$E,4,0)=0,OR(H307=MappingTables!$C$34,H307=MappingTables!$C$35)),1,VLOOKUP(CONCATENATE($D307,$G307),CSRFinput!$B:$E,4,0))),0,IF(AND(VLOOKUP(CONCATENATE($D307,$G307),CSRFinput!$B:$E,4,0)=0,OR(H307=MappingTables!$C$34,H307=MappingTables!$C$35)),1,VLOOKUP(CONCATENATE($D307,$G307),CSRFinput!$B:$E,4,0)))</f>
        <v>0.054776304963434752</v>
      </c>
      <c r="W307" s="85">
        <f>IF(B307="",0,+$T307*$V307)</f>
        <v>14.14685342064469</v>
      </c>
      <c r="X307" s="85">
        <f>IF(B307="",0,IF(OR(H307=MappingTables!$C$34,H307=MappingTables!$C$35),W307,0))</f>
        <v>0</v>
      </c>
    </row>
    <row r="308" spans="2:24" s="0" customFormat="0" ht="15">
      <c r="B308" s="69">
        <v>19635261</v>
      </c>
      <c r="C308" s="70" t="s">
        <v>559</v>
      </c>
      <c r="D308" s="70" t="s">
        <v>1</v>
      </c>
      <c r="E308" s="70" t="s">
        <v>1</v>
      </c>
      <c r="F308" s="70"/>
      <c r="G308" s="70" t="s">
        <v>61</v>
      </c>
      <c r="H308" s="70" t="s">
        <v>178</v>
      </c>
      <c r="I308" s="70" t="s">
        <v>188</v>
      </c>
      <c r="J308" s="71">
        <f>IF(OR(I308=0,I308=""),"unrated",VLOOKUP(I308,MappingTables!$B$19:$C$31,2,FALSE))</f>
        <v>2</v>
      </c>
      <c r="K308" s="72">
        <v>1026646.4233398438</v>
      </c>
      <c r="L308" s="70">
        <v>8.0691058421011168</v>
      </c>
      <c r="M308" s="71">
        <f>IF(L308&lt;1,1,L308)</f>
        <v>8.0691058421011168</v>
      </c>
      <c r="N308" s="70" t="s">
        <v>141</v>
      </c>
      <c r="O308" s="71">
        <f>INDEX(DurClassMapping,MATCH(M308,MappingTables!$D$4:$D$8,-1),1)</f>
        <v>2</v>
      </c>
      <c r="P308" s="73">
        <f>IF(M308=$A$1,1,$M308-INDEX(MappingTables!$E$4:$E$8,MATCH(O308,MappingTables!$B$4:$B$8,0)))</f>
        <v>3.0691058421011164</v>
      </c>
      <c r="Q308" s="71">
        <f>IF(B308="",0,INDEX(ModelParameters!$D$6:$K$10,MATCH($O308,ModelParameters!$B$6:$B$10,0),MATCH($J308,ModelParameters!$D$5:$K$5,0)))</f>
        <v>0.0069999999999999992</v>
      </c>
      <c r="R308" s="71">
        <f>IF(B308="",0,INDEX(ModelParameters!$D$13:$K$17,MATCH($O308,ModelParameters!$B$13:$B$17,0),MATCH($J308,ModelParameters!$D$5:$K$5,0)))</f>
        <v>0.070000000000000008</v>
      </c>
      <c r="S308" s="160">
        <f>IF(B308="",0,MIN(IF($N308="Other Bond TM",ModelParameters!$N$21,1)*(P308*Q308+R308),1))</f>
        <v>0.091483740894707808</v>
      </c>
      <c r="T308" s="85">
        <f>IF(B308="",0,$S308*$K308)</f>
        <v>93921.455383300784</v>
      </c>
      <c r="U308" s="85">
        <f>IF(B308="",0,IF(OR(H308=MappingTables!$C$34,H308=MappingTables!$C$35),T308,0))</f>
        <v>0</v>
      </c>
      <c r="V308" s="85">
        <f>IF(ISNA(IF(AND(VLOOKUP(CONCATENATE($D308,$G308),CSRFinput!$B:$E,4,0)=0,OR(H308=MappingTables!$C$34,H308=MappingTables!$C$35)),1,VLOOKUP(CONCATENATE($D308,$G308),CSRFinput!$B:$E,4,0))),0,IF(AND(VLOOKUP(CONCATENATE($D308,$G308),CSRFinput!$B:$E,4,0)=0,OR(H308=MappingTables!$C$34,H308=MappingTables!$C$35)),1,VLOOKUP(CONCATENATE($D308,$G308),CSRFinput!$B:$E,4,0)))</f>
        <v>0.054776304963434752</v>
      </c>
      <c r="W308" s="85">
        <f>IF(B308="",0,+$T308*$V308)</f>
        <v>5144.6702826853144</v>
      </c>
      <c r="X308" s="85">
        <f>IF(B308="",0,IF(OR(H308=MappingTables!$C$34,H308=MappingTables!$C$35),W308,0))</f>
        <v>0</v>
      </c>
    </row>
    <row r="309" spans="2:24" s="0" customFormat="0" ht="15">
      <c r="B309" s="69">
        <v>6837218</v>
      </c>
      <c r="C309" s="70" t="s">
        <v>560</v>
      </c>
      <c r="D309" s="70" t="s">
        <v>1</v>
      </c>
      <c r="E309" s="70" t="s">
        <v>1</v>
      </c>
      <c r="F309" s="70"/>
      <c r="G309" s="70" t="s">
        <v>61</v>
      </c>
      <c r="H309" s="70" t="s">
        <v>178</v>
      </c>
      <c r="I309" s="70" t="s">
        <v>181</v>
      </c>
      <c r="J309" s="71">
        <f>IF(OR(I309=0,I309=""),"unrated",VLOOKUP(I309,MappingTables!$B$19:$C$31,2,FALSE))</f>
        <v>3</v>
      </c>
      <c r="K309" s="72">
        <v>69.74156416605956</v>
      </c>
      <c r="L309" s="70">
        <v>6.0971661219045224</v>
      </c>
      <c r="M309" s="71">
        <f>IF(L309&lt;1,1,L309)</f>
        <v>6.0971661219045224</v>
      </c>
      <c r="N309" s="70" t="s">
        <v>141</v>
      </c>
      <c r="O309" s="71">
        <f>INDEX(DurClassMapping,MATCH(M309,MappingTables!$D$4:$D$8,-1),1)</f>
        <v>2</v>
      </c>
      <c r="P309" s="73">
        <f>IF(M309=$A$1,1,$M309-INDEX(MappingTables!$E$4:$E$8,MATCH(O309,MappingTables!$B$4:$B$8,0)))</f>
        <v>1.0971661219045226</v>
      </c>
      <c r="Q309" s="71">
        <f>IF(B309="",0,INDEX(ModelParameters!$D$6:$K$10,MATCH($O309,ModelParameters!$B$6:$B$10,0),MATCH($J309,ModelParameters!$D$5:$K$5,0)))</f>
        <v>0.015</v>
      </c>
      <c r="R309" s="71">
        <f>IF(B309="",0,INDEX(ModelParameters!$D$13:$K$17,MATCH($O309,ModelParameters!$B$13:$B$17,0),MATCH($J309,ModelParameters!$D$5:$K$5,0)))</f>
        <v>0.125</v>
      </c>
      <c r="S309" s="160">
        <f>IF(B309="",0,MIN(IF($N309="Other Bond TM",ModelParameters!$N$21,1)*(P309*Q309+R309),1))</f>
        <v>0.14145749182856784</v>
      </c>
      <c r="T309" s="85">
        <f>IF(B309="",0,$S309*$K309)</f>
        <v>9.8654667431319104</v>
      </c>
      <c r="U309" s="85">
        <f>IF(B309="",0,IF(OR(H309=MappingTables!$C$34,H309=MappingTables!$C$35),T309,0))</f>
        <v>0</v>
      </c>
      <c r="V309" s="85">
        <f>IF(ISNA(IF(AND(VLOOKUP(CONCATENATE($D309,$G309),CSRFinput!$B:$E,4,0)=0,OR(H309=MappingTables!$C$34,H309=MappingTables!$C$35)),1,VLOOKUP(CONCATENATE($D309,$G309),CSRFinput!$B:$E,4,0))),0,IF(AND(VLOOKUP(CONCATENATE($D309,$G309),CSRFinput!$B:$E,4,0)=0,OR(H309=MappingTables!$C$34,H309=MappingTables!$C$35)),1,VLOOKUP(CONCATENATE($D309,$G309),CSRFinput!$B:$E,4,0)))</f>
        <v>0.054776304963434752</v>
      </c>
      <c r="W309" s="85">
        <f>IF(B309="",0,+$T309*$V309)</f>
        <v>0.54039381492841696</v>
      </c>
      <c r="X309" s="85">
        <f>IF(B309="",0,IF(OR(H309=MappingTables!$C$34,H309=MappingTables!$C$35),W309,0))</f>
        <v>0</v>
      </c>
    </row>
    <row r="310" spans="2:24" s="0" customFormat="0" ht="15">
      <c r="B310" s="69">
        <v>24964661</v>
      </c>
      <c r="C310" s="70" t="s">
        <v>561</v>
      </c>
      <c r="D310" s="70" t="s">
        <v>1</v>
      </c>
      <c r="E310" s="70" t="s">
        <v>1</v>
      </c>
      <c r="F310" s="70"/>
      <c r="G310" s="70" t="s">
        <v>61</v>
      </c>
      <c r="H310" s="70" t="s">
        <v>178</v>
      </c>
      <c r="I310" s="70" t="s">
        <v>181</v>
      </c>
      <c r="J310" s="71">
        <f>IF(OR(I310=0,I310=""),"unrated",VLOOKUP(I310,MappingTables!$B$19:$C$31,2,FALSE))</f>
        <v>3</v>
      </c>
      <c r="K310" s="72">
        <v>376.13724671833336</v>
      </c>
      <c r="L310" s="70">
        <v>0.86178459326310384</v>
      </c>
      <c r="M310" s="71">
        <f>IF(L310&lt;1,1,L310)</f>
        <v>1</v>
      </c>
      <c r="N310" s="70" t="s">
        <v>141</v>
      </c>
      <c r="O310" s="71">
        <f>INDEX(DurClassMapping,MATCH(M310,MappingTables!$D$4:$D$8,-1),1)</f>
        <v>1</v>
      </c>
      <c r="P310" s="73">
        <f>IF(M310=$A$1,1,$M310-INDEX(MappingTables!$E$4:$E$8,MATCH(O310,MappingTables!$B$4:$B$8,0)))</f>
        <v>1</v>
      </c>
      <c r="Q310" s="71">
        <f>IF(B310="",0,INDEX(ModelParameters!$D$6:$K$10,MATCH($O310,ModelParameters!$B$6:$B$10,0),MATCH($J310,ModelParameters!$D$5:$K$5,0)))</f>
        <v>0.025</v>
      </c>
      <c r="R310" s="71">
        <f>IF(B310="",0,INDEX(ModelParameters!$D$13:$K$17,MATCH($O310,ModelParameters!$B$13:$B$17,0),MATCH($J310,ModelParameters!$D$5:$K$5,0)))</f>
        <v>0</v>
      </c>
      <c r="S310" s="160">
        <f>IF(B310="",0,MIN(IF($N310="Other Bond TM",ModelParameters!$N$21,1)*(P310*Q310+R310),1))</f>
        <v>0.025</v>
      </c>
      <c r="T310" s="85">
        <f>IF(B310="",0,$S310*$K310)</f>
        <v>9.4034311679583344</v>
      </c>
      <c r="U310" s="85">
        <f>IF(B310="",0,IF(OR(H310=MappingTables!$C$34,H310=MappingTables!$C$35),T310,0))</f>
        <v>0</v>
      </c>
      <c r="V310" s="85">
        <f>IF(ISNA(IF(AND(VLOOKUP(CONCATENATE($D310,$G310),CSRFinput!$B:$E,4,0)=0,OR(H310=MappingTables!$C$34,H310=MappingTables!$C$35)),1,VLOOKUP(CONCATENATE($D310,$G310),CSRFinput!$B:$E,4,0))),0,IF(AND(VLOOKUP(CONCATENATE($D310,$G310),CSRFinput!$B:$E,4,0)=0,OR(H310=MappingTables!$C$34,H310=MappingTables!$C$35)),1,VLOOKUP(CONCATENATE($D310,$G310),CSRFinput!$B:$E,4,0)))</f>
        <v>0.054776304963434752</v>
      </c>
      <c r="W310" s="85">
        <f>IF(B310="",0,+$T310*$V310)</f>
        <v>0.5150852133587532</v>
      </c>
      <c r="X310" s="85">
        <f>IF(B310="",0,IF(OR(H310=MappingTables!$C$34,H310=MappingTables!$C$35),W310,0))</f>
        <v>0</v>
      </c>
    </row>
    <row r="311" spans="2:24" s="0" customFormat="0" ht="15">
      <c r="B311" s="69">
        <v>12149431</v>
      </c>
      <c r="C311" s="70" t="s">
        <v>562</v>
      </c>
      <c r="D311" s="70" t="s">
        <v>1</v>
      </c>
      <c r="E311" s="70" t="s">
        <v>1</v>
      </c>
      <c r="F311" s="70"/>
      <c r="G311" s="70" t="s">
        <v>61</v>
      </c>
      <c r="H311" s="70" t="s">
        <v>178</v>
      </c>
      <c r="I311" s="70" t="s">
        <v>188</v>
      </c>
      <c r="J311" s="71">
        <f>IF(OR(I311=0,I311=""),"unrated",VLOOKUP(I311,MappingTables!$B$19:$C$31,2,FALSE))</f>
        <v>2</v>
      </c>
      <c r="K311" s="72">
        <v>25.91941173611336</v>
      </c>
      <c r="L311" s="70">
        <v>0.49315777099748696</v>
      </c>
      <c r="M311" s="71">
        <f>IF(L311&lt;1,1,L311)</f>
        <v>1</v>
      </c>
      <c r="N311" s="70" t="s">
        <v>141</v>
      </c>
      <c r="O311" s="71">
        <f>INDEX(DurClassMapping,MATCH(M311,MappingTables!$D$4:$D$8,-1),1)</f>
        <v>1</v>
      </c>
      <c r="P311" s="73">
        <f>IF(M311=$A$1,1,$M311-INDEX(MappingTables!$E$4:$E$8,MATCH(O311,MappingTables!$B$4:$B$8,0)))</f>
        <v>1</v>
      </c>
      <c r="Q311" s="71">
        <f>IF(B311="",0,INDEX(ModelParameters!$D$6:$K$10,MATCH($O311,ModelParameters!$B$6:$B$10,0),MATCH($J311,ModelParameters!$D$5:$K$5,0)))</f>
        <v>0.013999999999999998</v>
      </c>
      <c r="R311" s="71">
        <f>IF(B311="",0,INDEX(ModelParameters!$D$13:$K$17,MATCH($O311,ModelParameters!$B$13:$B$17,0),MATCH($J311,ModelParameters!$D$5:$K$5,0)))</f>
        <v>0</v>
      </c>
      <c r="S311" s="160">
        <f>IF(B311="",0,MIN(IF($N311="Other Bond TM",ModelParameters!$N$21,1)*(P311*Q311+R311),1))</f>
        <v>0.013999999999999998</v>
      </c>
      <c r="T311" s="85">
        <f>IF(B311="",0,$S311*$K311)</f>
        <v>0.36287176430558696</v>
      </c>
      <c r="U311" s="85">
        <f>IF(B311="",0,IF(OR(H311=MappingTables!$C$34,H311=MappingTables!$C$35),T311,0))</f>
        <v>0</v>
      </c>
      <c r="V311" s="85">
        <f>IF(ISNA(IF(AND(VLOOKUP(CONCATENATE($D311,$G311),CSRFinput!$B:$E,4,0)=0,OR(H311=MappingTables!$C$34,H311=MappingTables!$C$35)),1,VLOOKUP(CONCATENATE($D311,$G311),CSRFinput!$B:$E,4,0))),0,IF(AND(VLOOKUP(CONCATENATE($D311,$G311),CSRFinput!$B:$E,4,0)=0,OR(H311=MappingTables!$C$34,H311=MappingTables!$C$35)),1,VLOOKUP(CONCATENATE($D311,$G311),CSRFinput!$B:$E,4,0)))</f>
        <v>0.054776304963434752</v>
      </c>
      <c r="W311" s="85">
        <f>IF(B311="",0,+$T311*$V311)</f>
        <v>0.019876774424222452</v>
      </c>
      <c r="X311" s="85">
        <f>IF(B311="",0,IF(OR(H311=MappingTables!$C$34,H311=MappingTables!$C$35),W311,0))</f>
        <v>0</v>
      </c>
    </row>
    <row r="312" spans="2:24" s="0" customFormat="0" ht="15">
      <c r="B312" s="69">
        <v>19602155</v>
      </c>
      <c r="C312" s="70" t="s">
        <v>563</v>
      </c>
      <c r="D312" s="70" t="s">
        <v>1</v>
      </c>
      <c r="E312" s="70" t="s">
        <v>1</v>
      </c>
      <c r="F312" s="70"/>
      <c r="G312" s="70" t="s">
        <v>61</v>
      </c>
      <c r="H312" s="70" t="s">
        <v>178</v>
      </c>
      <c r="I312" s="70" t="s">
        <v>179</v>
      </c>
      <c r="J312" s="71">
        <f>IF(OR(I312=0,I312=""),"unrated",VLOOKUP(I312,MappingTables!$B$19:$C$31,2,FALSE))</f>
        <v>4</v>
      </c>
      <c r="K312" s="72">
        <v>1552.5236753282972</v>
      </c>
      <c r="L312" s="70">
        <v>6.2837076335710832</v>
      </c>
      <c r="M312" s="71">
        <f>IF(L312&lt;1,1,L312)</f>
        <v>6.2837076335710832</v>
      </c>
      <c r="N312" s="70" t="s">
        <v>141</v>
      </c>
      <c r="O312" s="71">
        <f>INDEX(DurClassMapping,MATCH(M312,MappingTables!$D$4:$D$8,-1),1)</f>
        <v>2</v>
      </c>
      <c r="P312" s="73">
        <f>IF(M312=$A$1,1,$M312-INDEX(MappingTables!$E$4:$E$8,MATCH(O312,MappingTables!$B$4:$B$8,0)))</f>
        <v>1.2837076335710834</v>
      </c>
      <c r="Q312" s="71">
        <f>IF(B312="",0,INDEX(ModelParameters!$D$6:$K$10,MATCH($O312,ModelParameters!$B$6:$B$10,0),MATCH($J312,ModelParameters!$D$5:$K$5,0)))</f>
        <v>0.025</v>
      </c>
      <c r="R312" s="71">
        <f>IF(B312="",0,INDEX(ModelParameters!$D$13:$K$17,MATCH($O312,ModelParameters!$B$13:$B$17,0),MATCH($J312,ModelParameters!$D$5:$K$5,0)))</f>
        <v>0.225</v>
      </c>
      <c r="S312" s="160">
        <f>IF(B312="",0,MIN(IF($N312="Other Bond TM",ModelParameters!$N$21,1)*(P312*Q312+R312),1))</f>
        <v>0.25709269083927712</v>
      </c>
      <c r="T312" s="85">
        <f>IF(B312="",0,$S312*$K312)</f>
        <v>399.14248928183616</v>
      </c>
      <c r="U312" s="85">
        <f>IF(B312="",0,IF(OR(H312=MappingTables!$C$34,H312=MappingTables!$C$35),T312,0))</f>
        <v>0</v>
      </c>
      <c r="V312" s="85">
        <f>IF(ISNA(IF(AND(VLOOKUP(CONCATENATE($D312,$G312),CSRFinput!$B:$E,4,0)=0,OR(H312=MappingTables!$C$34,H312=MappingTables!$C$35)),1,VLOOKUP(CONCATENATE($D312,$G312),CSRFinput!$B:$E,4,0))),0,IF(AND(VLOOKUP(CONCATENATE($D312,$G312),CSRFinput!$B:$E,4,0)=0,OR(H312=MappingTables!$C$34,H312=MappingTables!$C$35)),1,VLOOKUP(CONCATENATE($D312,$G312),CSRFinput!$B:$E,4,0)))</f>
        <v>0.054776304963434752</v>
      </c>
      <c r="W312" s="85">
        <f>IF(B312="",0,+$T312*$V312)</f>
        <v>21.863550716766344</v>
      </c>
      <c r="X312" s="85">
        <f>IF(B312="",0,IF(OR(H312=MappingTables!$C$34,H312=MappingTables!$C$35),W312,0))</f>
        <v>0</v>
      </c>
    </row>
    <row r="313" spans="2:24" s="0" customFormat="0" ht="15">
      <c r="B313" s="69">
        <v>15718958</v>
      </c>
      <c r="C313" s="70" t="s">
        <v>564</v>
      </c>
      <c r="D313" s="70" t="s">
        <v>1</v>
      </c>
      <c r="E313" s="70" t="s">
        <v>1</v>
      </c>
      <c r="F313" s="70"/>
      <c r="G313" s="70" t="s">
        <v>61</v>
      </c>
      <c r="H313" s="70" t="s">
        <v>178</v>
      </c>
      <c r="I313" s="70" t="s">
        <v>181</v>
      </c>
      <c r="J313" s="71">
        <f>IF(OR(I313=0,I313=""),"unrated",VLOOKUP(I313,MappingTables!$B$19:$C$31,2,FALSE))</f>
        <v>3</v>
      </c>
      <c r="K313" s="72">
        <v>1110.8600101094874</v>
      </c>
      <c r="L313" s="70">
        <v>0.041095289616467088</v>
      </c>
      <c r="M313" s="71">
        <f>IF(L313&lt;1,1,L313)</f>
        <v>1</v>
      </c>
      <c r="N313" s="70" t="s">
        <v>141</v>
      </c>
      <c r="O313" s="71">
        <f>INDEX(DurClassMapping,MATCH(M313,MappingTables!$D$4:$D$8,-1),1)</f>
        <v>1</v>
      </c>
      <c r="P313" s="73">
        <f>IF(M313=$A$1,1,$M313-INDEX(MappingTables!$E$4:$E$8,MATCH(O313,MappingTables!$B$4:$B$8,0)))</f>
        <v>1</v>
      </c>
      <c r="Q313" s="71">
        <f>IF(B313="",0,INDEX(ModelParameters!$D$6:$K$10,MATCH($O313,ModelParameters!$B$6:$B$10,0),MATCH($J313,ModelParameters!$D$5:$K$5,0)))</f>
        <v>0.025</v>
      </c>
      <c r="R313" s="71">
        <f>IF(B313="",0,INDEX(ModelParameters!$D$13:$K$17,MATCH($O313,ModelParameters!$B$13:$B$17,0),MATCH($J313,ModelParameters!$D$5:$K$5,0)))</f>
        <v>0</v>
      </c>
      <c r="S313" s="160">
        <f>IF(B313="",0,MIN(IF($N313="Other Bond TM",ModelParameters!$N$21,1)*(P313*Q313+R313),1))</f>
        <v>0.025</v>
      </c>
      <c r="T313" s="85">
        <f>IF(B313="",0,$S313*$K313)</f>
        <v>27.771500252737184</v>
      </c>
      <c r="U313" s="85">
        <f>IF(B313="",0,IF(OR(H313=MappingTables!$C$34,H313=MappingTables!$C$35),T313,0))</f>
        <v>0</v>
      </c>
      <c r="V313" s="85">
        <f>IF(ISNA(IF(AND(VLOOKUP(CONCATENATE($D313,$G313),CSRFinput!$B:$E,4,0)=0,OR(H313=MappingTables!$C$34,H313=MappingTables!$C$35)),1,VLOOKUP(CONCATENATE($D313,$G313),CSRFinput!$B:$E,4,0))),0,IF(AND(VLOOKUP(CONCATENATE($D313,$G313),CSRFinput!$B:$E,4,0)=0,OR(H313=MappingTables!$C$34,H313=MappingTables!$C$35)),1,VLOOKUP(CONCATENATE($D313,$G313),CSRFinput!$B:$E,4,0)))</f>
        <v>0.054776304963434752</v>
      </c>
      <c r="W313" s="85">
        <f>IF(B313="",0,+$T313*$V313)</f>
        <v>1.5212201671360372</v>
      </c>
      <c r="X313" s="85">
        <f>IF(B313="",0,IF(OR(H313=MappingTables!$C$34,H313=MappingTables!$C$35),W313,0))</f>
        <v>0</v>
      </c>
    </row>
    <row r="314" spans="2:24" s="0" customFormat="0" ht="15">
      <c r="B314" s="69">
        <v>14742713</v>
      </c>
      <c r="C314" s="70" t="s">
        <v>275</v>
      </c>
      <c r="D314" s="70" t="s">
        <v>1</v>
      </c>
      <c r="E314" s="70" t="s">
        <v>1</v>
      </c>
      <c r="F314" s="70"/>
      <c r="G314" s="70" t="s">
        <v>61</v>
      </c>
      <c r="H314" s="70" t="s">
        <v>178</v>
      </c>
      <c r="I314" s="70" t="s">
        <v>188</v>
      </c>
      <c r="J314" s="71">
        <f>IF(OR(I314=0,I314=""),"unrated",VLOOKUP(I314,MappingTables!$B$19:$C$31,2,FALSE))</f>
        <v>2</v>
      </c>
      <c r="K314" s="72">
        <v>198.86689570495728</v>
      </c>
      <c r="L314" s="70">
        <v>1.5795591561394306</v>
      </c>
      <c r="M314" s="71">
        <f>IF(L314&lt;1,1,L314)</f>
        <v>1.5795591561394306</v>
      </c>
      <c r="N314" s="70" t="s">
        <v>141</v>
      </c>
      <c r="O314" s="71">
        <f>INDEX(DurClassMapping,MATCH(M314,MappingTables!$D$4:$D$8,-1),1)</f>
        <v>1</v>
      </c>
      <c r="P314" s="73">
        <f>IF(M314=$A$1,1,$M314-INDEX(MappingTables!$E$4:$E$8,MATCH(O314,MappingTables!$B$4:$B$8,0)))</f>
        <v>1.5795591561394306</v>
      </c>
      <c r="Q314" s="71">
        <f>IF(B314="",0,INDEX(ModelParameters!$D$6:$K$10,MATCH($O314,ModelParameters!$B$6:$B$10,0),MATCH($J314,ModelParameters!$D$5:$K$5,0)))</f>
        <v>0.013999999999999998</v>
      </c>
      <c r="R314" s="71">
        <f>IF(B314="",0,INDEX(ModelParameters!$D$13:$K$17,MATCH($O314,ModelParameters!$B$13:$B$17,0),MATCH($J314,ModelParameters!$D$5:$K$5,0)))</f>
        <v>0</v>
      </c>
      <c r="S314" s="160">
        <f>IF(B314="",0,MIN(IF($N314="Other Bond TM",ModelParameters!$N$21,1)*(P314*Q314+R314),1))</f>
        <v>0.022113828185952028</v>
      </c>
      <c r="T314" s="85">
        <f>IF(B314="",0,$S314*$K314)</f>
        <v>4.3977083634930664</v>
      </c>
      <c r="U314" s="85">
        <f>IF(B314="",0,IF(OR(H314=MappingTables!$C$34,H314=MappingTables!$C$35),T314,0))</f>
        <v>0</v>
      </c>
      <c r="V314" s="85">
        <f>IF(ISNA(IF(AND(VLOOKUP(CONCATENATE($D314,$G314),CSRFinput!$B:$E,4,0)=0,OR(H314=MappingTables!$C$34,H314=MappingTables!$C$35)),1,VLOOKUP(CONCATENATE($D314,$G314),CSRFinput!$B:$E,4,0))),0,IF(AND(VLOOKUP(CONCATENATE($D314,$G314),CSRFinput!$B:$E,4,0)=0,OR(H314=MappingTables!$C$34,H314=MappingTables!$C$35)),1,VLOOKUP(CONCATENATE($D314,$G314),CSRFinput!$B:$E,4,0)))</f>
        <v>0.054776304963434752</v>
      </c>
      <c r="W314" s="85">
        <f>IF(B314="",0,+$T314*$V314)</f>
        <v>0.2408902144589438</v>
      </c>
      <c r="X314" s="85">
        <f>IF(B314="",0,IF(OR(H314=MappingTables!$C$34,H314=MappingTables!$C$35),W314,0))</f>
        <v>0</v>
      </c>
    </row>
    <row r="315" spans="2:24" s="0" customFormat="0" ht="15">
      <c r="B315" s="69">
        <v>11773266</v>
      </c>
      <c r="C315" s="70" t="s">
        <v>565</v>
      </c>
      <c r="D315" s="70" t="s">
        <v>1</v>
      </c>
      <c r="E315" s="70" t="s">
        <v>1</v>
      </c>
      <c r="F315" s="70"/>
      <c r="G315" s="70" t="s">
        <v>61</v>
      </c>
      <c r="H315" s="70" t="s">
        <v>178</v>
      </c>
      <c r="I315" s="70" t="s">
        <v>181</v>
      </c>
      <c r="J315" s="71">
        <f>IF(OR(I315=0,I315=""),"unrated",VLOOKUP(I315,MappingTables!$B$19:$C$31,2,FALSE))</f>
        <v>3</v>
      </c>
      <c r="K315" s="72">
        <v>1475.5446310426296</v>
      </c>
      <c r="L315" s="70">
        <v>0.27835010663390432</v>
      </c>
      <c r="M315" s="71">
        <f>IF(L315&lt;1,1,L315)</f>
        <v>1</v>
      </c>
      <c r="N315" s="70" t="s">
        <v>141</v>
      </c>
      <c r="O315" s="71">
        <f>INDEX(DurClassMapping,MATCH(M315,MappingTables!$D$4:$D$8,-1),1)</f>
        <v>1</v>
      </c>
      <c r="P315" s="73">
        <f>IF(M315=$A$1,1,$M315-INDEX(MappingTables!$E$4:$E$8,MATCH(O315,MappingTables!$B$4:$B$8,0)))</f>
        <v>1</v>
      </c>
      <c r="Q315" s="71">
        <f>IF(B315="",0,INDEX(ModelParameters!$D$6:$K$10,MATCH($O315,ModelParameters!$B$6:$B$10,0),MATCH($J315,ModelParameters!$D$5:$K$5,0)))</f>
        <v>0.025</v>
      </c>
      <c r="R315" s="71">
        <f>IF(B315="",0,INDEX(ModelParameters!$D$13:$K$17,MATCH($O315,ModelParameters!$B$13:$B$17,0),MATCH($J315,ModelParameters!$D$5:$K$5,0)))</f>
        <v>0</v>
      </c>
      <c r="S315" s="160">
        <f>IF(B315="",0,MIN(IF($N315="Other Bond TM",ModelParameters!$N$21,1)*(P315*Q315+R315),1))</f>
        <v>0.025</v>
      </c>
      <c r="T315" s="85">
        <f>IF(B315="",0,$S315*$K315)</f>
        <v>36.888615776065744</v>
      </c>
      <c r="U315" s="85">
        <f>IF(B315="",0,IF(OR(H315=MappingTables!$C$34,H315=MappingTables!$C$35),T315,0))</f>
        <v>0</v>
      </c>
      <c r="V315" s="85">
        <f>IF(ISNA(IF(AND(VLOOKUP(CONCATENATE($D315,$G315),CSRFinput!$B:$E,4,0)=0,OR(H315=MappingTables!$C$34,H315=MappingTables!$C$35)),1,VLOOKUP(CONCATENATE($D315,$G315),CSRFinput!$B:$E,4,0))),0,IF(AND(VLOOKUP(CONCATENATE($D315,$G315),CSRFinput!$B:$E,4,0)=0,OR(H315=MappingTables!$C$34,H315=MappingTables!$C$35)),1,VLOOKUP(CONCATENATE($D315,$G315),CSRFinput!$B:$E,4,0)))</f>
        <v>0.054776304963434752</v>
      </c>
      <c r="W315" s="85">
        <f>IF(B315="",0,+$T315*$V315)</f>
        <v>2.0206220674287472</v>
      </c>
      <c r="X315" s="85">
        <f>IF(B315="",0,IF(OR(H315=MappingTables!$C$34,H315=MappingTables!$C$35),W315,0))</f>
        <v>0</v>
      </c>
    </row>
    <row r="316" spans="2:24" s="0" customFormat="0" ht="15">
      <c r="B316" s="69" t="s">
        <v>566</v>
      </c>
      <c r="C316" s="70" t="s">
        <v>567</v>
      </c>
      <c r="D316" s="70" t="s">
        <v>1</v>
      </c>
      <c r="E316" s="70" t="s">
        <v>1</v>
      </c>
      <c r="F316" s="70"/>
      <c r="G316" s="70" t="s">
        <v>61</v>
      </c>
      <c r="H316" s="70" t="s">
        <v>178</v>
      </c>
      <c r="I316" s="70" t="s">
        <v>179</v>
      </c>
      <c r="J316" s="71">
        <f>IF(OR(I316=0,I316=""),"unrated",VLOOKUP(I316,MappingTables!$B$19:$C$31,2,FALSE))</f>
        <v>4</v>
      </c>
      <c r="K316" s="72">
        <v>107.86566692948824</v>
      </c>
      <c r="L316" s="70">
        <v>4.0608719497876528</v>
      </c>
      <c r="M316" s="71">
        <f>IF(L316&lt;1,1,L316)</f>
        <v>4.0608719497876528</v>
      </c>
      <c r="N316" s="70" t="s">
        <v>141</v>
      </c>
      <c r="O316" s="71">
        <f>INDEX(DurClassMapping,MATCH(M316,MappingTables!$D$4:$D$8,-1),1)</f>
        <v>1</v>
      </c>
      <c r="P316" s="73">
        <f>IF(M316=$A$1,1,$M316-INDEX(MappingTables!$E$4:$E$8,MATCH(O316,MappingTables!$B$4:$B$8,0)))</f>
        <v>4.0608719497876528</v>
      </c>
      <c r="Q316" s="71">
        <f>IF(B316="",0,INDEX(ModelParameters!$D$6:$K$10,MATCH($O316,ModelParameters!$B$6:$B$10,0),MATCH($J316,ModelParameters!$D$5:$K$5,0)))</f>
        <v>0.045</v>
      </c>
      <c r="R316" s="71">
        <f>IF(B316="",0,INDEX(ModelParameters!$D$13:$K$17,MATCH($O316,ModelParameters!$B$13:$B$17,0),MATCH($J316,ModelParameters!$D$5:$K$5,0)))</f>
        <v>0</v>
      </c>
      <c r="S316" s="160">
        <f>IF(B316="",0,MIN(IF($N316="Other Bond TM",ModelParameters!$N$21,1)*(P316*Q316+R316),1))</f>
        <v>0.18273923774044436</v>
      </c>
      <c r="T316" s="85">
        <f>IF(B316="",0,$S316*$K316)</f>
        <v>19.71128975305934</v>
      </c>
      <c r="U316" s="85">
        <f>IF(B316="",0,IF(OR(H316=MappingTables!$C$34,H316=MappingTables!$C$35),T316,0))</f>
        <v>0</v>
      </c>
      <c r="V316" s="85">
        <f>IF(ISNA(IF(AND(VLOOKUP(CONCATENATE($D316,$G316),CSRFinput!$B:$E,4,0)=0,OR(H316=MappingTables!$C$34,H316=MappingTables!$C$35)),1,VLOOKUP(CONCATENATE($D316,$G316),CSRFinput!$B:$E,4,0))),0,IF(AND(VLOOKUP(CONCATENATE($D316,$G316),CSRFinput!$B:$E,4,0)=0,OR(H316=MappingTables!$C$34,H316=MappingTables!$C$35)),1,VLOOKUP(CONCATENATE($D316,$G316),CSRFinput!$B:$E,4,0)))</f>
        <v>0.054776304963434752</v>
      </c>
      <c r="W316" s="85">
        <f>IF(B316="",0,+$T316*$V316)</f>
        <v>1.079711618736205</v>
      </c>
      <c r="X316" s="85">
        <f>IF(B316="",0,IF(OR(H316=MappingTables!$C$34,H316=MappingTables!$C$35),W316,0))</f>
        <v>0</v>
      </c>
    </row>
    <row r="317" spans="2:24" s="0" customFormat="0" ht="15">
      <c r="B317" s="69">
        <v>15456462</v>
      </c>
      <c r="C317" s="70" t="s">
        <v>568</v>
      </c>
      <c r="D317" s="70" t="s">
        <v>1</v>
      </c>
      <c r="E317" s="70" t="s">
        <v>1</v>
      </c>
      <c r="F317" s="70"/>
      <c r="G317" s="70" t="s">
        <v>61</v>
      </c>
      <c r="H317" s="70" t="s">
        <v>178</v>
      </c>
      <c r="I317" s="70" t="s">
        <v>179</v>
      </c>
      <c r="J317" s="71">
        <f>IF(OR(I317=0,I317=""),"unrated",VLOOKUP(I317,MappingTables!$B$19:$C$31,2,FALSE))</f>
        <v>4</v>
      </c>
      <c r="K317" s="72">
        <v>12270.57727103198</v>
      </c>
      <c r="L317" s="70">
        <v>0.087671565697110496</v>
      </c>
      <c r="M317" s="71">
        <f>IF(L317&lt;1,1,L317)</f>
        <v>1</v>
      </c>
      <c r="N317" s="70" t="s">
        <v>141</v>
      </c>
      <c r="O317" s="71">
        <f>INDEX(DurClassMapping,MATCH(M317,MappingTables!$D$4:$D$8,-1),1)</f>
        <v>1</v>
      </c>
      <c r="P317" s="73">
        <f>IF(M317=$A$1,1,$M317-INDEX(MappingTables!$E$4:$E$8,MATCH(O317,MappingTables!$B$4:$B$8,0)))</f>
        <v>1</v>
      </c>
      <c r="Q317" s="71">
        <f>IF(B317="",0,INDEX(ModelParameters!$D$6:$K$10,MATCH($O317,ModelParameters!$B$6:$B$10,0),MATCH($J317,ModelParameters!$D$5:$K$5,0)))</f>
        <v>0.045</v>
      </c>
      <c r="R317" s="71">
        <f>IF(B317="",0,INDEX(ModelParameters!$D$13:$K$17,MATCH($O317,ModelParameters!$B$13:$B$17,0),MATCH($J317,ModelParameters!$D$5:$K$5,0)))</f>
        <v>0</v>
      </c>
      <c r="S317" s="160">
        <f>IF(B317="",0,MIN(IF($N317="Other Bond TM",ModelParameters!$N$21,1)*(P317*Q317+R317),1))</f>
        <v>0.045</v>
      </c>
      <c r="T317" s="85">
        <f>IF(B317="",0,$S317*$K317)</f>
        <v>552.17597719643904</v>
      </c>
      <c r="U317" s="85">
        <f>IF(B317="",0,IF(OR(H317=MappingTables!$C$34,H317=MappingTables!$C$35),T317,0))</f>
        <v>0</v>
      </c>
      <c r="V317" s="85">
        <f>IF(ISNA(IF(AND(VLOOKUP(CONCATENATE($D317,$G317),CSRFinput!$B:$E,4,0)=0,OR(H317=MappingTables!$C$34,H317=MappingTables!$C$35)),1,VLOOKUP(CONCATENATE($D317,$G317),CSRFinput!$B:$E,4,0))),0,IF(AND(VLOOKUP(CONCATENATE($D317,$G317),CSRFinput!$B:$E,4,0)=0,OR(H317=MappingTables!$C$34,H317=MappingTables!$C$35)),1,VLOOKUP(CONCATENATE($D317,$G317),CSRFinput!$B:$E,4,0)))</f>
        <v>0.054776304963434752</v>
      </c>
      <c r="W317" s="85">
        <f>IF(B317="",0,+$T317*$V317)</f>
        <v>30.246159720394736</v>
      </c>
      <c r="X317" s="85">
        <f>IF(B317="",0,IF(OR(H317=MappingTables!$C$34,H317=MappingTables!$C$35),W317,0))</f>
        <v>0</v>
      </c>
    </row>
    <row r="318" spans="2:24" s="0" customFormat="0" ht="15">
      <c r="B318" s="69">
        <v>15716650</v>
      </c>
      <c r="C318" s="70" t="s">
        <v>569</v>
      </c>
      <c r="D318" s="70" t="s">
        <v>1</v>
      </c>
      <c r="E318" s="70" t="s">
        <v>1</v>
      </c>
      <c r="F318" s="70"/>
      <c r="G318" s="70" t="s">
        <v>61</v>
      </c>
      <c r="H318" s="70" t="s">
        <v>178</v>
      </c>
      <c r="I318" s="70" t="s">
        <v>188</v>
      </c>
      <c r="J318" s="71">
        <f>IF(OR(I318=0,I318=""),"unrated",VLOOKUP(I318,MappingTables!$B$19:$C$31,2,FALSE))</f>
        <v>2</v>
      </c>
      <c r="K318" s="72">
        <v>125.35544273530128</v>
      </c>
      <c r="L318" s="70">
        <v>0.013699824555398054</v>
      </c>
      <c r="M318" s="71">
        <f>IF(L318&lt;1,1,L318)</f>
        <v>1</v>
      </c>
      <c r="N318" s="70" t="s">
        <v>141</v>
      </c>
      <c r="O318" s="71">
        <f>INDEX(DurClassMapping,MATCH(M318,MappingTables!$D$4:$D$8,-1),1)</f>
        <v>1</v>
      </c>
      <c r="P318" s="73">
        <f>IF(M318=$A$1,1,$M318-INDEX(MappingTables!$E$4:$E$8,MATCH(O318,MappingTables!$B$4:$B$8,0)))</f>
        <v>1</v>
      </c>
      <c r="Q318" s="71">
        <f>IF(B318="",0,INDEX(ModelParameters!$D$6:$K$10,MATCH($O318,ModelParameters!$B$6:$B$10,0),MATCH($J318,ModelParameters!$D$5:$K$5,0)))</f>
        <v>0.013999999999999998</v>
      </c>
      <c r="R318" s="71">
        <f>IF(B318="",0,INDEX(ModelParameters!$D$13:$K$17,MATCH($O318,ModelParameters!$B$13:$B$17,0),MATCH($J318,ModelParameters!$D$5:$K$5,0)))</f>
        <v>0</v>
      </c>
      <c r="S318" s="160">
        <f>IF(B318="",0,MIN(IF($N318="Other Bond TM",ModelParameters!$N$21,1)*(P318*Q318+R318),1))</f>
        <v>0.013999999999999998</v>
      </c>
      <c r="T318" s="85">
        <f>IF(B318="",0,$S318*$K318)</f>
        <v>1.7549761982942178</v>
      </c>
      <c r="U318" s="85">
        <f>IF(B318="",0,IF(OR(H318=MappingTables!$C$34,H318=MappingTables!$C$35),T318,0))</f>
        <v>0</v>
      </c>
      <c r="V318" s="85">
        <f>IF(ISNA(IF(AND(VLOOKUP(CONCATENATE($D318,$G318),CSRFinput!$B:$E,4,0)=0,OR(H318=MappingTables!$C$34,H318=MappingTables!$C$35)),1,VLOOKUP(CONCATENATE($D318,$G318),CSRFinput!$B:$E,4,0))),0,IF(AND(VLOOKUP(CONCATENATE($D318,$G318),CSRFinput!$B:$E,4,0)=0,OR(H318=MappingTables!$C$34,H318=MappingTables!$C$35)),1,VLOOKUP(CONCATENATE($D318,$G318),CSRFinput!$B:$E,4,0)))</f>
        <v>0.054776304963434752</v>
      </c>
      <c r="W318" s="85">
        <f>IF(B318="",0,+$T318*$V318)</f>
        <v>0.096131111441333424</v>
      </c>
      <c r="X318" s="85">
        <f>IF(B318="",0,IF(OR(H318=MappingTables!$C$34,H318=MappingTables!$C$35),W318,0))</f>
        <v>0</v>
      </c>
    </row>
    <row r="319" spans="2:24" s="0" customFormat="0" ht="15">
      <c r="B319" s="69">
        <v>12149431</v>
      </c>
      <c r="C319" s="70" t="s">
        <v>562</v>
      </c>
      <c r="D319" s="70" t="s">
        <v>1</v>
      </c>
      <c r="E319" s="70" t="s">
        <v>1</v>
      </c>
      <c r="F319" s="70"/>
      <c r="G319" s="70" t="s">
        <v>61</v>
      </c>
      <c r="H319" s="70" t="s">
        <v>178</v>
      </c>
      <c r="I319" s="70" t="s">
        <v>188</v>
      </c>
      <c r="J319" s="71">
        <f>IF(OR(I319=0,I319=""),"unrated",VLOOKUP(I319,MappingTables!$B$19:$C$31,2,FALSE))</f>
        <v>2</v>
      </c>
      <c r="K319" s="72">
        <v>12.219981114473204</v>
      </c>
      <c r="L319" s="70">
        <v>0.49315777099748448</v>
      </c>
      <c r="M319" s="71">
        <f>IF(L319&lt;1,1,L319)</f>
        <v>1</v>
      </c>
      <c r="N319" s="70" t="s">
        <v>141</v>
      </c>
      <c r="O319" s="71">
        <f>INDEX(DurClassMapping,MATCH(M319,MappingTables!$D$4:$D$8,-1),1)</f>
        <v>1</v>
      </c>
      <c r="P319" s="73">
        <f>IF(M319=$A$1,1,$M319-INDEX(MappingTables!$E$4:$E$8,MATCH(O319,MappingTables!$B$4:$B$8,0)))</f>
        <v>1</v>
      </c>
      <c r="Q319" s="71">
        <f>IF(B319="",0,INDEX(ModelParameters!$D$6:$K$10,MATCH($O319,ModelParameters!$B$6:$B$10,0),MATCH($J319,ModelParameters!$D$5:$K$5,0)))</f>
        <v>0.013999999999999998</v>
      </c>
      <c r="R319" s="71">
        <f>IF(B319="",0,INDEX(ModelParameters!$D$13:$K$17,MATCH($O319,ModelParameters!$B$13:$B$17,0),MATCH($J319,ModelParameters!$D$5:$K$5,0)))</f>
        <v>0</v>
      </c>
      <c r="S319" s="160">
        <f>IF(B319="",0,MIN(IF($N319="Other Bond TM",ModelParameters!$N$21,1)*(P319*Q319+R319),1))</f>
        <v>0.013999999999999998</v>
      </c>
      <c r="T319" s="85">
        <f>IF(B319="",0,$S319*$K319)</f>
        <v>0.17107973560262482</v>
      </c>
      <c r="U319" s="85">
        <f>IF(B319="",0,IF(OR(H319=MappingTables!$C$34,H319=MappingTables!$C$35),T319,0))</f>
        <v>0</v>
      </c>
      <c r="V319" s="85">
        <f>IF(ISNA(IF(AND(VLOOKUP(CONCATENATE($D319,$G319),CSRFinput!$B:$E,4,0)=0,OR(H319=MappingTables!$C$34,H319=MappingTables!$C$35)),1,VLOOKUP(CONCATENATE($D319,$G319),CSRFinput!$B:$E,4,0))),0,IF(AND(VLOOKUP(CONCATENATE($D319,$G319),CSRFinput!$B:$E,4,0)=0,OR(H319=MappingTables!$C$34,H319=MappingTables!$C$35)),1,VLOOKUP(CONCATENATE($D319,$G319),CSRFinput!$B:$E,4,0)))</f>
        <v>0.054776304963434752</v>
      </c>
      <c r="W319" s="85">
        <f>IF(B319="",0,+$T319*$V319)</f>
        <v>0.0093711157704331632</v>
      </c>
      <c r="X319" s="85">
        <f>IF(B319="",0,IF(OR(H319=MappingTables!$C$34,H319=MappingTables!$C$35),W319,0))</f>
        <v>0</v>
      </c>
    </row>
    <row r="320" spans="2:24" s="0" customFormat="0" ht="15">
      <c r="B320" s="69">
        <v>17296773</v>
      </c>
      <c r="C320" s="70" t="s">
        <v>570</v>
      </c>
      <c r="D320" s="70" t="s">
        <v>1</v>
      </c>
      <c r="E320" s="70" t="s">
        <v>1</v>
      </c>
      <c r="F320" s="70"/>
      <c r="G320" s="70" t="s">
        <v>61</v>
      </c>
      <c r="H320" s="70" t="s">
        <v>178</v>
      </c>
      <c r="I320" s="70" t="s">
        <v>181</v>
      </c>
      <c r="J320" s="71">
        <f>IF(OR(I320=0,I320=""),"unrated",VLOOKUP(I320,MappingTables!$B$19:$C$31,2,FALSE))</f>
        <v>3</v>
      </c>
      <c r="K320" s="72">
        <v>2300.2280968848492</v>
      </c>
      <c r="L320" s="70">
        <v>0.76127789416330336</v>
      </c>
      <c r="M320" s="71">
        <f>IF(L320&lt;1,1,L320)</f>
        <v>1</v>
      </c>
      <c r="N320" s="70" t="s">
        <v>141</v>
      </c>
      <c r="O320" s="71">
        <f>INDEX(DurClassMapping,MATCH(M320,MappingTables!$D$4:$D$8,-1),1)</f>
        <v>1</v>
      </c>
      <c r="P320" s="73">
        <f>IF(M320=$A$1,1,$M320-INDEX(MappingTables!$E$4:$E$8,MATCH(O320,MappingTables!$B$4:$B$8,0)))</f>
        <v>1</v>
      </c>
      <c r="Q320" s="71">
        <f>IF(B320="",0,INDEX(ModelParameters!$D$6:$K$10,MATCH($O320,ModelParameters!$B$6:$B$10,0),MATCH($J320,ModelParameters!$D$5:$K$5,0)))</f>
        <v>0.025</v>
      </c>
      <c r="R320" s="71">
        <f>IF(B320="",0,INDEX(ModelParameters!$D$13:$K$17,MATCH($O320,ModelParameters!$B$13:$B$17,0),MATCH($J320,ModelParameters!$D$5:$K$5,0)))</f>
        <v>0</v>
      </c>
      <c r="S320" s="160">
        <f>IF(B320="",0,MIN(IF($N320="Other Bond TM",ModelParameters!$N$21,1)*(P320*Q320+R320),1))</f>
        <v>0.025</v>
      </c>
      <c r="T320" s="85">
        <f>IF(B320="",0,$S320*$K320)</f>
        <v>57.505702422121232</v>
      </c>
      <c r="U320" s="85">
        <f>IF(B320="",0,IF(OR(H320=MappingTables!$C$34,H320=MappingTables!$C$35),T320,0))</f>
        <v>0</v>
      </c>
      <c r="V320" s="85">
        <f>IF(ISNA(IF(AND(VLOOKUP(CONCATENATE($D320,$G320),CSRFinput!$B:$E,4,0)=0,OR(H320=MappingTables!$C$34,H320=MappingTables!$C$35)),1,VLOOKUP(CONCATENATE($D320,$G320),CSRFinput!$B:$E,4,0))),0,IF(AND(VLOOKUP(CONCATENATE($D320,$G320),CSRFinput!$B:$E,4,0)=0,OR(H320=MappingTables!$C$34,H320=MappingTables!$C$35)),1,VLOOKUP(CONCATENATE($D320,$G320),CSRFinput!$B:$E,4,0)))</f>
        <v>0.054776304963434752</v>
      </c>
      <c r="W320" s="85">
        <f>IF(B320="",0,+$T320*$V320)</f>
        <v>3.1499498930106412</v>
      </c>
      <c r="X320" s="85">
        <f>IF(B320="",0,IF(OR(H320=MappingTables!$C$34,H320=MappingTables!$C$35),W320,0))</f>
        <v>0</v>
      </c>
    </row>
    <row r="321" spans="2:24" s="0" customFormat="0" ht="15">
      <c r="B321" s="69" t="s">
        <v>571</v>
      </c>
      <c r="C321" s="70" t="s">
        <v>572</v>
      </c>
      <c r="D321" s="70" t="s">
        <v>1</v>
      </c>
      <c r="E321" s="70" t="s">
        <v>1</v>
      </c>
      <c r="F321" s="70"/>
      <c r="G321" s="70" t="s">
        <v>61</v>
      </c>
      <c r="H321" s="70" t="s">
        <v>178</v>
      </c>
      <c r="I321" s="70" t="s">
        <v>198</v>
      </c>
      <c r="J321" s="71" t="str">
        <f>IF(OR(I321=0,I321=""),"unrated",VLOOKUP(I321,MappingTables!$B$19:$C$31,2,FALSE))</f>
        <v>unrated</v>
      </c>
      <c r="K321" s="72">
        <v>6458.6386613524864</v>
      </c>
      <c r="L321" s="70">
        <v>1.91765723473654</v>
      </c>
      <c r="M321" s="71">
        <f>IF(L321&lt;1,1,L321)</f>
        <v>1.91765723473654</v>
      </c>
      <c r="N321" s="70" t="s">
        <v>141</v>
      </c>
      <c r="O321" s="71">
        <f>INDEX(DurClassMapping,MATCH(M321,MappingTables!$D$4:$D$8,-1),1)</f>
        <v>1</v>
      </c>
      <c r="P321" s="73">
        <f>IF(M321=$A$1,1,$M321-INDEX(MappingTables!$E$4:$E$8,MATCH(O321,MappingTables!$B$4:$B$8,0)))</f>
        <v>1.91765723473654</v>
      </c>
      <c r="Q321" s="71">
        <f>IF(B321="",0,INDEX(ModelParameters!$D$6:$K$10,MATCH($O321,ModelParameters!$B$6:$B$10,0),MATCH($J321,ModelParameters!$D$5:$K$5,0)))</f>
        <v>0.03</v>
      </c>
      <c r="R321" s="71">
        <f>IF(B321="",0,INDEX(ModelParameters!$D$13:$K$17,MATCH($O321,ModelParameters!$B$13:$B$17,0),MATCH($J321,ModelParameters!$D$5:$K$5,0)))</f>
        <v>0</v>
      </c>
      <c r="S321" s="160">
        <f>IF(B321="",0,MIN(IF($N321="Other Bond TM",ModelParameters!$N$21,1)*(P321*Q321+R321),1))</f>
        <v>0.0575297170420962</v>
      </c>
      <c r="T321" s="85">
        <f>IF(B321="",0,$S321*$K321)</f>
        <v>371.56365466475152</v>
      </c>
      <c r="U321" s="85">
        <f>IF(B321="",0,IF(OR(H321=MappingTables!$C$34,H321=MappingTables!$C$35),T321,0))</f>
        <v>0</v>
      </c>
      <c r="V321" s="85">
        <f>IF(ISNA(IF(AND(VLOOKUP(CONCATENATE($D321,$G321),CSRFinput!$B:$E,4,0)=0,OR(H321=MappingTables!$C$34,H321=MappingTables!$C$35)),1,VLOOKUP(CONCATENATE($D321,$G321),CSRFinput!$B:$E,4,0))),0,IF(AND(VLOOKUP(CONCATENATE($D321,$G321),CSRFinput!$B:$E,4,0)=0,OR(H321=MappingTables!$C$34,H321=MappingTables!$C$35)),1,VLOOKUP(CONCATENATE($D321,$G321),CSRFinput!$B:$E,4,0)))</f>
        <v>0.054776304963434752</v>
      </c>
      <c r="W321" s="85">
        <f>IF(B321="",0,+$T321*$V321)</f>
        <v>20.352884061244788</v>
      </c>
      <c r="X321" s="85">
        <f>IF(B321="",0,IF(OR(H321=MappingTables!$C$34,H321=MappingTables!$C$35),W321,0))</f>
        <v>0</v>
      </c>
    </row>
    <row r="322" spans="2:24" s="0" customFormat="0" ht="15">
      <c r="B322" s="69">
        <v>14346856</v>
      </c>
      <c r="C322" s="70" t="s">
        <v>573</v>
      </c>
      <c r="D322" s="70" t="s">
        <v>1</v>
      </c>
      <c r="E322" s="70" t="s">
        <v>1</v>
      </c>
      <c r="F322" s="70"/>
      <c r="G322" s="70" t="s">
        <v>61</v>
      </c>
      <c r="H322" s="70" t="s">
        <v>178</v>
      </c>
      <c r="I322" s="70" t="s">
        <v>179</v>
      </c>
      <c r="J322" s="71">
        <f>IF(OR(I322=0,I322=""),"unrated",VLOOKUP(I322,MappingTables!$B$19:$C$31,2,FALSE))</f>
        <v>4</v>
      </c>
      <c r="K322" s="72">
        <v>11764.979998269852</v>
      </c>
      <c r="L322" s="70">
        <v>14.369812920461122</v>
      </c>
      <c r="M322" s="71">
        <f>IF(L322&lt;1,1,L322)</f>
        <v>14.369812920461122</v>
      </c>
      <c r="N322" s="70" t="s">
        <v>141</v>
      </c>
      <c r="O322" s="71">
        <f>INDEX(DurClassMapping,MATCH(M322,MappingTables!$D$4:$D$8,-1),1)</f>
        <v>3</v>
      </c>
      <c r="P322" s="73">
        <f>IF(M322=$A$1,1,$M322-INDEX(MappingTables!$E$4:$E$8,MATCH(O322,MappingTables!$B$4:$B$8,0)))</f>
        <v>4.3698129204611224</v>
      </c>
      <c r="Q322" s="71">
        <f>IF(B322="",0,INDEX(ModelParameters!$D$6:$K$10,MATCH($O322,ModelParameters!$B$6:$B$10,0),MATCH($J322,ModelParameters!$D$5:$K$5,0)))</f>
        <v>0.018000000000000002</v>
      </c>
      <c r="R322" s="71">
        <f>IF(B322="",0,INDEX(ModelParameters!$D$13:$K$17,MATCH($O322,ModelParameters!$B$13:$B$17,0),MATCH($J322,ModelParameters!$D$5:$K$5,0)))</f>
        <v>0.34999999999999996</v>
      </c>
      <c r="S322" s="160">
        <f>IF(B322="",0,MIN(IF($N322="Other Bond TM",ModelParameters!$N$21,1)*(P322*Q322+R322),1))</f>
        <v>0.42865663256830016</v>
      </c>
      <c r="T322" s="85">
        <f>IF(B322="",0,$S322*$K322)</f>
        <v>5043.1367082917608</v>
      </c>
      <c r="U322" s="85">
        <f>IF(B322="",0,IF(OR(H322=MappingTables!$C$34,H322=MappingTables!$C$35),T322,0))</f>
        <v>0</v>
      </c>
      <c r="V322" s="85">
        <f>IF(ISNA(IF(AND(VLOOKUP(CONCATENATE($D322,$G322),CSRFinput!$B:$E,4,0)=0,OR(H322=MappingTables!$C$34,H322=MappingTables!$C$35)),1,VLOOKUP(CONCATENATE($D322,$G322),CSRFinput!$B:$E,4,0))),0,IF(AND(VLOOKUP(CONCATENATE($D322,$G322),CSRFinput!$B:$E,4,0)=0,OR(H322=MappingTables!$C$34,H322=MappingTables!$C$35)),1,VLOOKUP(CONCATENATE($D322,$G322),CSRFinput!$B:$E,4,0)))</f>
        <v>0.054776304963434752</v>
      </c>
      <c r="W322" s="85">
        <f>IF(B322="",0,+$T322*$V322)</f>
        <v>276.24439430568196</v>
      </c>
      <c r="X322" s="85">
        <f>IF(B322="",0,IF(OR(H322=MappingTables!$C$34,H322=MappingTables!$C$35),W322,0))</f>
        <v>0</v>
      </c>
    </row>
    <row r="323" spans="2:24" s="0" customFormat="0" ht="15">
      <c r="B323" s="69">
        <v>19043517</v>
      </c>
      <c r="C323" s="70" t="s">
        <v>574</v>
      </c>
      <c r="D323" s="70" t="s">
        <v>1</v>
      </c>
      <c r="E323" s="70" t="s">
        <v>1</v>
      </c>
      <c r="F323" s="70"/>
      <c r="G323" s="70" t="s">
        <v>61</v>
      </c>
      <c r="H323" s="70" t="s">
        <v>178</v>
      </c>
      <c r="I323" s="70" t="s">
        <v>188</v>
      </c>
      <c r="J323" s="71">
        <f>IF(OR(I323=0,I323=""),"unrated",VLOOKUP(I323,MappingTables!$B$19:$C$31,2,FALSE))</f>
        <v>2</v>
      </c>
      <c r="K323" s="72">
        <v>211.19714212382108</v>
      </c>
      <c r="L323" s="70">
        <v>0.11780510063654866</v>
      </c>
      <c r="M323" s="71">
        <f>IF(L323&lt;1,1,L323)</f>
        <v>1</v>
      </c>
      <c r="N323" s="70" t="s">
        <v>141</v>
      </c>
      <c r="O323" s="71">
        <f>INDEX(DurClassMapping,MATCH(M323,MappingTables!$D$4:$D$8,-1),1)</f>
        <v>1</v>
      </c>
      <c r="P323" s="73">
        <f>IF(M323=$A$1,1,$M323-INDEX(MappingTables!$E$4:$E$8,MATCH(O323,MappingTables!$B$4:$B$8,0)))</f>
        <v>1</v>
      </c>
      <c r="Q323" s="71">
        <f>IF(B323="",0,INDEX(ModelParameters!$D$6:$K$10,MATCH($O323,ModelParameters!$B$6:$B$10,0),MATCH($J323,ModelParameters!$D$5:$K$5,0)))</f>
        <v>0.013999999999999998</v>
      </c>
      <c r="R323" s="71">
        <f>IF(B323="",0,INDEX(ModelParameters!$D$13:$K$17,MATCH($O323,ModelParameters!$B$13:$B$17,0),MATCH($J323,ModelParameters!$D$5:$K$5,0)))</f>
        <v>0</v>
      </c>
      <c r="S323" s="160">
        <f>IF(B323="",0,MIN(IF($N323="Other Bond TM",ModelParameters!$N$21,1)*(P323*Q323+R323),1))</f>
        <v>0.013999999999999998</v>
      </c>
      <c r="T323" s="85">
        <f>IF(B323="",0,$S323*$K323)</f>
        <v>2.9567599897334952</v>
      </c>
      <c r="U323" s="85">
        <f>IF(B323="",0,IF(OR(H323=MappingTables!$C$34,H323=MappingTables!$C$35),T323,0))</f>
        <v>0</v>
      </c>
      <c r="V323" s="85">
        <f>IF(ISNA(IF(AND(VLOOKUP(CONCATENATE($D323,$G323),CSRFinput!$B:$E,4,0)=0,OR(H323=MappingTables!$C$34,H323=MappingTables!$C$35)),1,VLOOKUP(CONCATENATE($D323,$G323),CSRFinput!$B:$E,4,0))),0,IF(AND(VLOOKUP(CONCATENATE($D323,$G323),CSRFinput!$B:$E,4,0)=0,OR(H323=MappingTables!$C$34,H323=MappingTables!$C$35)),1,VLOOKUP(CONCATENATE($D323,$G323),CSRFinput!$B:$E,4,0)))</f>
        <v>0.054776304963434752</v>
      </c>
      <c r="W323" s="85">
        <f>IF(B323="",0,+$T323*$V323)</f>
        <v>0.16196038690132414</v>
      </c>
      <c r="X323" s="85">
        <f>IF(B323="",0,IF(OR(H323=MappingTables!$C$34,H323=MappingTables!$C$35),W323,0))</f>
        <v>0</v>
      </c>
    </row>
    <row r="324" spans="2:24" s="0" customFormat="0" ht="15">
      <c r="B324" s="69">
        <v>19503866</v>
      </c>
      <c r="C324" s="70" t="s">
        <v>575</v>
      </c>
      <c r="D324" s="70" t="s">
        <v>1</v>
      </c>
      <c r="E324" s="70" t="s">
        <v>1</v>
      </c>
      <c r="F324" s="70"/>
      <c r="G324" s="70" t="s">
        <v>61</v>
      </c>
      <c r="H324" s="70" t="s">
        <v>178</v>
      </c>
      <c r="I324" s="70" t="s">
        <v>181</v>
      </c>
      <c r="J324" s="71">
        <f>IF(OR(I324=0,I324=""),"unrated",VLOOKUP(I324,MappingTables!$B$19:$C$31,2,FALSE))</f>
        <v>3</v>
      </c>
      <c r="K324" s="72">
        <v>6572.9200825954624</v>
      </c>
      <c r="L324" s="70">
        <v>3.1519405053477992</v>
      </c>
      <c r="M324" s="71">
        <f>IF(L324&lt;1,1,L324)</f>
        <v>3.1519405053477992</v>
      </c>
      <c r="N324" s="70" t="s">
        <v>141</v>
      </c>
      <c r="O324" s="71">
        <f>INDEX(DurClassMapping,MATCH(M324,MappingTables!$D$4:$D$8,-1),1)</f>
        <v>1</v>
      </c>
      <c r="P324" s="73">
        <f>IF(M324=$A$1,1,$M324-INDEX(MappingTables!$E$4:$E$8,MATCH(O324,MappingTables!$B$4:$B$8,0)))</f>
        <v>3.1519405053477992</v>
      </c>
      <c r="Q324" s="71">
        <f>IF(B324="",0,INDEX(ModelParameters!$D$6:$K$10,MATCH($O324,ModelParameters!$B$6:$B$10,0),MATCH($J324,ModelParameters!$D$5:$K$5,0)))</f>
        <v>0.025</v>
      </c>
      <c r="R324" s="71">
        <f>IF(B324="",0,INDEX(ModelParameters!$D$13:$K$17,MATCH($O324,ModelParameters!$B$13:$B$17,0),MATCH($J324,ModelParameters!$D$5:$K$5,0)))</f>
        <v>0</v>
      </c>
      <c r="S324" s="160">
        <f>IF(B324="",0,MIN(IF($N324="Other Bond TM",ModelParameters!$N$21,1)*(P324*Q324+R324),1))</f>
        <v>0.078798512633694992</v>
      </c>
      <c r="T324" s="85">
        <f>IF(B324="",0,$S324*$K324)</f>
        <v>517.936326168666</v>
      </c>
      <c r="U324" s="85">
        <f>IF(B324="",0,IF(OR(H324=MappingTables!$C$34,H324=MappingTables!$C$35),T324,0))</f>
        <v>0</v>
      </c>
      <c r="V324" s="85">
        <f>IF(ISNA(IF(AND(VLOOKUP(CONCATENATE($D324,$G324),CSRFinput!$B:$E,4,0)=0,OR(H324=MappingTables!$C$34,H324=MappingTables!$C$35)),1,VLOOKUP(CONCATENATE($D324,$G324),CSRFinput!$B:$E,4,0))),0,IF(AND(VLOOKUP(CONCATENATE($D324,$G324),CSRFinput!$B:$E,4,0)=0,OR(H324=MappingTables!$C$34,H324=MappingTables!$C$35)),1,VLOOKUP(CONCATENATE($D324,$G324),CSRFinput!$B:$E,4,0)))</f>
        <v>0.054776304963434752</v>
      </c>
      <c r="W324" s="85">
        <f>IF(B324="",0,+$T324*$V324)</f>
        <v>28.37063815385586</v>
      </c>
      <c r="X324" s="85">
        <f>IF(B324="",0,IF(OR(H324=MappingTables!$C$34,H324=MappingTables!$C$35),W324,0))</f>
        <v>0</v>
      </c>
    </row>
    <row r="325" spans="2:24" s="0" customFormat="0" ht="15">
      <c r="B325" s="69">
        <v>12635311</v>
      </c>
      <c r="C325" s="70" t="s">
        <v>507</v>
      </c>
      <c r="D325" s="70" t="s">
        <v>1</v>
      </c>
      <c r="E325" s="70" t="s">
        <v>1</v>
      </c>
      <c r="F325" s="70"/>
      <c r="G325" s="70" t="s">
        <v>61</v>
      </c>
      <c r="H325" s="70" t="s">
        <v>178</v>
      </c>
      <c r="I325" s="70" t="s">
        <v>188</v>
      </c>
      <c r="J325" s="71">
        <f>IF(OR(I325=0,I325=""),"unrated",VLOOKUP(I325,MappingTables!$B$19:$C$31,2,FALSE))</f>
        <v>2</v>
      </c>
      <c r="K325" s="72">
        <v>581.88320390373864</v>
      </c>
      <c r="L325" s="70">
        <v>0.74339776179913312</v>
      </c>
      <c r="M325" s="71">
        <f>IF(L325&lt;1,1,L325)</f>
        <v>1</v>
      </c>
      <c r="N325" s="70" t="s">
        <v>141</v>
      </c>
      <c r="O325" s="71">
        <f>INDEX(DurClassMapping,MATCH(M325,MappingTables!$D$4:$D$8,-1),1)</f>
        <v>1</v>
      </c>
      <c r="P325" s="73">
        <f>IF(M325=$A$1,1,$M325-INDEX(MappingTables!$E$4:$E$8,MATCH(O325,MappingTables!$B$4:$B$8,0)))</f>
        <v>1</v>
      </c>
      <c r="Q325" s="71">
        <f>IF(B325="",0,INDEX(ModelParameters!$D$6:$K$10,MATCH($O325,ModelParameters!$B$6:$B$10,0),MATCH($J325,ModelParameters!$D$5:$K$5,0)))</f>
        <v>0.013999999999999998</v>
      </c>
      <c r="R325" s="71">
        <f>IF(B325="",0,INDEX(ModelParameters!$D$13:$K$17,MATCH($O325,ModelParameters!$B$13:$B$17,0),MATCH($J325,ModelParameters!$D$5:$K$5,0)))</f>
        <v>0</v>
      </c>
      <c r="S325" s="160">
        <f>IF(B325="",0,MIN(IF($N325="Other Bond TM",ModelParameters!$N$21,1)*(P325*Q325+R325),1))</f>
        <v>0.013999999999999998</v>
      </c>
      <c r="T325" s="85">
        <f>IF(B325="",0,$S325*$K325)</f>
        <v>8.1463648546523408</v>
      </c>
      <c r="U325" s="85">
        <f>IF(B325="",0,IF(OR(H325=MappingTables!$C$34,H325=MappingTables!$C$35),T325,0))</f>
        <v>0</v>
      </c>
      <c r="V325" s="85">
        <f>IF(ISNA(IF(AND(VLOOKUP(CONCATENATE($D325,$G325),CSRFinput!$B:$E,4,0)=0,OR(H325=MappingTables!$C$34,H325=MappingTables!$C$35)),1,VLOOKUP(CONCATENATE($D325,$G325),CSRFinput!$B:$E,4,0))),0,IF(AND(VLOOKUP(CONCATENATE($D325,$G325),CSRFinput!$B:$E,4,0)=0,OR(H325=MappingTables!$C$34,H325=MappingTables!$C$35)),1,VLOOKUP(CONCATENATE($D325,$G325),CSRFinput!$B:$E,4,0)))</f>
        <v>0.054776304963434752</v>
      </c>
      <c r="W325" s="85">
        <f>IF(B325="",0,+$T325*$V325)</f>
        <v>0.44622776562184344</v>
      </c>
      <c r="X325" s="85">
        <f>IF(B325="",0,IF(OR(H325=MappingTables!$C$34,H325=MappingTables!$C$35),W325,0))</f>
        <v>0</v>
      </c>
    </row>
    <row r="326" spans="2:24" s="0" customFormat="0" ht="15">
      <c r="B326" s="69" t="s">
        <v>576</v>
      </c>
      <c r="C326" s="70" t="s">
        <v>577</v>
      </c>
      <c r="D326" s="70" t="s">
        <v>1</v>
      </c>
      <c r="E326" s="70" t="s">
        <v>1</v>
      </c>
      <c r="F326" s="70"/>
      <c r="G326" s="70" t="s">
        <v>61</v>
      </c>
      <c r="H326" s="70" t="s">
        <v>178</v>
      </c>
      <c r="I326" s="70" t="s">
        <v>184</v>
      </c>
      <c r="J326" s="71">
        <f>IF(OR(I326=0,I326=""),"unrated",VLOOKUP(I326,MappingTables!$B$19:$C$31,2,FALSE))</f>
        <v>5</v>
      </c>
      <c r="K326" s="72">
        <v>682.91543478555024</v>
      </c>
      <c r="L326" s="70">
        <v>0.169865860218749</v>
      </c>
      <c r="M326" s="71">
        <f>IF(L326&lt;1,1,L326)</f>
        <v>1</v>
      </c>
      <c r="N326" s="70" t="s">
        <v>141</v>
      </c>
      <c r="O326" s="71">
        <f>INDEX(DurClassMapping,MATCH(M326,MappingTables!$D$4:$D$8,-1),1)</f>
        <v>1</v>
      </c>
      <c r="P326" s="73">
        <f>IF(M326=$A$1,1,$M326-INDEX(MappingTables!$E$4:$E$8,MATCH(O326,MappingTables!$B$4:$B$8,0)))</f>
        <v>1</v>
      </c>
      <c r="Q326" s="71">
        <f>IF(B326="",0,INDEX(ModelParameters!$D$6:$K$10,MATCH($O326,ModelParameters!$B$6:$B$10,0),MATCH($J326,ModelParameters!$D$5:$K$5,0)))</f>
        <v>0.075</v>
      </c>
      <c r="R326" s="71">
        <f>IF(B326="",0,INDEX(ModelParameters!$D$13:$K$17,MATCH($O326,ModelParameters!$B$13:$B$17,0),MATCH($J326,ModelParameters!$D$5:$K$5,0)))</f>
        <v>0</v>
      </c>
      <c r="S326" s="160">
        <f>IF(B326="",0,MIN(IF($N326="Other Bond TM",ModelParameters!$N$21,1)*(P326*Q326+R326),1))</f>
        <v>0.075</v>
      </c>
      <c r="T326" s="85">
        <f>IF(B326="",0,$S326*$K326)</f>
        <v>51.218657608916264</v>
      </c>
      <c r="U326" s="85">
        <f>IF(B326="",0,IF(OR(H326=MappingTables!$C$34,H326=MappingTables!$C$35),T326,0))</f>
        <v>0</v>
      </c>
      <c r="V326" s="85">
        <f>IF(ISNA(IF(AND(VLOOKUP(CONCATENATE($D326,$G326),CSRFinput!$B:$E,4,0)=0,OR(H326=MappingTables!$C$34,H326=MappingTables!$C$35)),1,VLOOKUP(CONCATENATE($D326,$G326),CSRFinput!$B:$E,4,0))),0,IF(AND(VLOOKUP(CONCATENATE($D326,$G326),CSRFinput!$B:$E,4,0)=0,OR(H326=MappingTables!$C$34,H326=MappingTables!$C$35)),1,VLOOKUP(CONCATENATE($D326,$G326),CSRFinput!$B:$E,4,0)))</f>
        <v>0.054776304963434752</v>
      </c>
      <c r="W326" s="85">
        <f>IF(B326="",0,+$T326*$V326)</f>
        <v>2.8055688090037452</v>
      </c>
      <c r="X326" s="85">
        <f>IF(B326="",0,IF(OR(H326=MappingTables!$C$34,H326=MappingTables!$C$35),W326,0))</f>
        <v>0</v>
      </c>
    </row>
    <row r="327" spans="2:24" s="0" customFormat="0" ht="15">
      <c r="B327" s="69" t="s">
        <v>457</v>
      </c>
      <c r="C327" s="70" t="s">
        <v>458</v>
      </c>
      <c r="D327" s="70" t="s">
        <v>1</v>
      </c>
      <c r="E327" s="70" t="s">
        <v>1</v>
      </c>
      <c r="F327" s="70"/>
      <c r="G327" s="70" t="s">
        <v>61</v>
      </c>
      <c r="H327" s="70" t="s">
        <v>178</v>
      </c>
      <c r="I327" s="70" t="s">
        <v>198</v>
      </c>
      <c r="J327" s="71" t="str">
        <f>IF(OR(I327=0,I327=""),"unrated",VLOOKUP(I327,MappingTables!$B$19:$C$31,2,FALSE))</f>
        <v>unrated</v>
      </c>
      <c r="K327" s="72">
        <v>7013.902152561248</v>
      </c>
      <c r="L327" s="70">
        <v>3.0025865533390052</v>
      </c>
      <c r="M327" s="71">
        <f>IF(L327&lt;1,1,L327)</f>
        <v>3.0025865533390052</v>
      </c>
      <c r="N327" s="70" t="s">
        <v>141</v>
      </c>
      <c r="O327" s="71">
        <f>INDEX(DurClassMapping,MATCH(M327,MappingTables!$D$4:$D$8,-1),1)</f>
        <v>1</v>
      </c>
      <c r="P327" s="73">
        <f>IF(M327=$A$1,1,$M327-INDEX(MappingTables!$E$4:$E$8,MATCH(O327,MappingTables!$B$4:$B$8,0)))</f>
        <v>3.0025865533390052</v>
      </c>
      <c r="Q327" s="71">
        <f>IF(B327="",0,INDEX(ModelParameters!$D$6:$K$10,MATCH($O327,ModelParameters!$B$6:$B$10,0),MATCH($J327,ModelParameters!$D$5:$K$5,0)))</f>
        <v>0.03</v>
      </c>
      <c r="R327" s="71">
        <f>IF(B327="",0,INDEX(ModelParameters!$D$13:$K$17,MATCH($O327,ModelParameters!$B$13:$B$17,0),MATCH($J327,ModelParameters!$D$5:$K$5,0)))</f>
        <v>0</v>
      </c>
      <c r="S327" s="160">
        <f>IF(B327="",0,MIN(IF($N327="Other Bond TM",ModelParameters!$N$21,1)*(P327*Q327+R327),1))</f>
        <v>0.09007759660017016</v>
      </c>
      <c r="T327" s="85">
        <f>IF(B327="",0,$S327*$K327)</f>
        <v>631.7954486914772</v>
      </c>
      <c r="U327" s="85">
        <f>IF(B327="",0,IF(OR(H327=MappingTables!$C$34,H327=MappingTables!$C$35),T327,0))</f>
        <v>0</v>
      </c>
      <c r="V327" s="85">
        <f>IF(ISNA(IF(AND(VLOOKUP(CONCATENATE($D327,$G327),CSRFinput!$B:$E,4,0)=0,OR(H327=MappingTables!$C$34,H327=MappingTables!$C$35)),1,VLOOKUP(CONCATENATE($D327,$G327),CSRFinput!$B:$E,4,0))),0,IF(AND(VLOOKUP(CONCATENATE($D327,$G327),CSRFinput!$B:$E,4,0)=0,OR(H327=MappingTables!$C$34,H327=MappingTables!$C$35)),1,VLOOKUP(CONCATENATE($D327,$G327),CSRFinput!$B:$E,4,0)))</f>
        <v>0.054776304963434752</v>
      </c>
      <c r="W327" s="85">
        <f>IF(B327="",0,+$T327*$V327)</f>
        <v>34.607420172034452</v>
      </c>
      <c r="X327" s="85">
        <f>IF(B327="",0,IF(OR(H327=MappingTables!$C$34,H327=MappingTables!$C$35),W327,0))</f>
        <v>0</v>
      </c>
    </row>
    <row r="328" spans="2:24" s="0" customFormat="0" ht="15">
      <c r="B328" s="69" t="s">
        <v>578</v>
      </c>
      <c r="C328" s="70" t="s">
        <v>579</v>
      </c>
      <c r="D328" s="70" t="s">
        <v>1</v>
      </c>
      <c r="E328" s="70" t="s">
        <v>1</v>
      </c>
      <c r="F328" s="70"/>
      <c r="G328" s="70" t="s">
        <v>61</v>
      </c>
      <c r="H328" s="70" t="s">
        <v>178</v>
      </c>
      <c r="I328" s="70" t="s">
        <v>198</v>
      </c>
      <c r="J328" s="71" t="str">
        <f>IF(OR(I328=0,I328=""),"unrated",VLOOKUP(I328,MappingTables!$B$19:$C$31,2,FALSE))</f>
        <v>unrated</v>
      </c>
      <c r="K328" s="72">
        <v>0.19792158560321044</v>
      </c>
      <c r="L328" s="70">
        <v>0.3972601119919676</v>
      </c>
      <c r="M328" s="71">
        <f>IF(L328&lt;1,1,L328)</f>
        <v>1</v>
      </c>
      <c r="N328" s="70" t="s">
        <v>141</v>
      </c>
      <c r="O328" s="71">
        <f>INDEX(DurClassMapping,MATCH(M328,MappingTables!$D$4:$D$8,-1),1)</f>
        <v>1</v>
      </c>
      <c r="P328" s="73">
        <f>IF(M328=$A$1,1,$M328-INDEX(MappingTables!$E$4:$E$8,MATCH(O328,MappingTables!$B$4:$B$8,0)))</f>
        <v>1</v>
      </c>
      <c r="Q328" s="71">
        <f>IF(B328="",0,INDEX(ModelParameters!$D$6:$K$10,MATCH($O328,ModelParameters!$B$6:$B$10,0),MATCH($J328,ModelParameters!$D$5:$K$5,0)))</f>
        <v>0.03</v>
      </c>
      <c r="R328" s="71">
        <f>IF(B328="",0,INDEX(ModelParameters!$D$13:$K$17,MATCH($O328,ModelParameters!$B$13:$B$17,0),MATCH($J328,ModelParameters!$D$5:$K$5,0)))</f>
        <v>0</v>
      </c>
      <c r="S328" s="160">
        <f>IF(B328="",0,MIN(IF($N328="Other Bond TM",ModelParameters!$N$21,1)*(P328*Q328+R328),1))</f>
        <v>0.03</v>
      </c>
      <c r="T328" s="85">
        <f>IF(B328="",0,$S328*$K328)</f>
        <v>0.0059376475680963128</v>
      </c>
      <c r="U328" s="85">
        <f>IF(B328="",0,IF(OR(H328=MappingTables!$C$34,H328=MappingTables!$C$35),T328,0))</f>
        <v>0</v>
      </c>
      <c r="V328" s="85">
        <f>IF(ISNA(IF(AND(VLOOKUP(CONCATENATE($D328,$G328),CSRFinput!$B:$E,4,0)=0,OR(H328=MappingTables!$C$34,H328=MappingTables!$C$35)),1,VLOOKUP(CONCATENATE($D328,$G328),CSRFinput!$B:$E,4,0))),0,IF(AND(VLOOKUP(CONCATENATE($D328,$G328),CSRFinput!$B:$E,4,0)=0,OR(H328=MappingTables!$C$34,H328=MappingTables!$C$35)),1,VLOOKUP(CONCATENATE($D328,$G328),CSRFinput!$B:$E,4,0)))</f>
        <v>0.054776304963434752</v>
      </c>
      <c r="W328" s="85">
        <f>IF(B328="",0,+$T328*$V328)</f>
        <v>0.00032524239395544036</v>
      </c>
      <c r="X328" s="85">
        <f>IF(B328="",0,IF(OR(H328=MappingTables!$C$34,H328=MappingTables!$C$35),W328,0))</f>
        <v>0</v>
      </c>
    </row>
    <row r="329" spans="2:24" s="0" customFormat="0" ht="15">
      <c r="B329" s="69">
        <v>21089955</v>
      </c>
      <c r="C329" s="70" t="s">
        <v>580</v>
      </c>
      <c r="D329" s="70" t="s">
        <v>1</v>
      </c>
      <c r="E329" s="70" t="s">
        <v>1</v>
      </c>
      <c r="F329" s="70"/>
      <c r="G329" s="70" t="s">
        <v>61</v>
      </c>
      <c r="H329" s="70" t="s">
        <v>178</v>
      </c>
      <c r="I329" s="70" t="s">
        <v>184</v>
      </c>
      <c r="J329" s="71">
        <f>IF(OR(I329=0,I329=""),"unrated",VLOOKUP(I329,MappingTables!$B$19:$C$31,2,FALSE))</f>
        <v>5</v>
      </c>
      <c r="K329" s="72">
        <v>10657.346809632686</v>
      </c>
      <c r="L329" s="70">
        <v>6.8502346861639104</v>
      </c>
      <c r="M329" s="71">
        <f>IF(L329&lt;1,1,L329)</f>
        <v>6.8502346861639104</v>
      </c>
      <c r="N329" s="70" t="s">
        <v>141</v>
      </c>
      <c r="O329" s="71">
        <f>INDEX(DurClassMapping,MATCH(M329,MappingTables!$D$4:$D$8,-1),1)</f>
        <v>2</v>
      </c>
      <c r="P329" s="73">
        <f>IF(M329=$A$1,1,$M329-INDEX(MappingTables!$E$4:$E$8,MATCH(O329,MappingTables!$B$4:$B$8,0)))</f>
        <v>1.85023468616391</v>
      </c>
      <c r="Q329" s="71">
        <f>IF(B329="",0,INDEX(ModelParameters!$D$6:$K$10,MATCH($O329,ModelParameters!$B$6:$B$10,0),MATCH($J329,ModelParameters!$D$5:$K$5,0)))</f>
        <v>0.042</v>
      </c>
      <c r="R329" s="71">
        <f>IF(B329="",0,INDEX(ModelParameters!$D$13:$K$17,MATCH($O329,ModelParameters!$B$13:$B$17,0),MATCH($J329,ModelParameters!$D$5:$K$5,0)))</f>
        <v>0.375</v>
      </c>
      <c r="S329" s="160">
        <f>IF(B329="",0,MIN(IF($N329="Other Bond TM",ModelParameters!$N$21,1)*(P329*Q329+R329),1))</f>
        <v>0.45270985681888424</v>
      </c>
      <c r="T329" s="85">
        <f>IF(B329="",0,$S329*$K329)</f>
        <v>4824.6859482580056</v>
      </c>
      <c r="U329" s="85">
        <f>IF(B329="",0,IF(OR(H329=MappingTables!$C$34,H329=MappingTables!$C$35),T329,0))</f>
        <v>0</v>
      </c>
      <c r="V329" s="85">
        <f>IF(ISNA(IF(AND(VLOOKUP(CONCATENATE($D329,$G329),CSRFinput!$B:$E,4,0)=0,OR(H329=MappingTables!$C$34,H329=MappingTables!$C$35)),1,VLOOKUP(CONCATENATE($D329,$G329),CSRFinput!$B:$E,4,0))),0,IF(AND(VLOOKUP(CONCATENATE($D329,$G329),CSRFinput!$B:$E,4,0)=0,OR(H329=MappingTables!$C$34,H329=MappingTables!$C$35)),1,VLOOKUP(CONCATENATE($D329,$G329),CSRFinput!$B:$E,4,0)))</f>
        <v>0.054776304963434752</v>
      </c>
      <c r="W329" s="85">
        <f>IF(B329="",0,+$T329*$V329)</f>
        <v>264.27846885457892</v>
      </c>
      <c r="X329" s="85">
        <f>IF(B329="",0,IF(OR(H329=MappingTables!$C$34,H329=MappingTables!$C$35),W329,0))</f>
        <v>0</v>
      </c>
    </row>
    <row r="330" spans="2:24" s="0" customFormat="0" ht="15">
      <c r="B330" s="69">
        <v>22214088</v>
      </c>
      <c r="C330" s="70" t="s">
        <v>581</v>
      </c>
      <c r="D330" s="70" t="s">
        <v>1</v>
      </c>
      <c r="E330" s="70" t="s">
        <v>1</v>
      </c>
      <c r="F330" s="70"/>
      <c r="G330" s="70" t="s">
        <v>61</v>
      </c>
      <c r="H330" s="70" t="s">
        <v>178</v>
      </c>
      <c r="I330" s="70" t="s">
        <v>181</v>
      </c>
      <c r="J330" s="71">
        <f>IF(OR(I330=0,I330=""),"unrated",VLOOKUP(I330,MappingTables!$B$19:$C$31,2,FALSE))</f>
        <v>3</v>
      </c>
      <c r="K330" s="72">
        <v>32478.077614212544</v>
      </c>
      <c r="L330" s="70">
        <v>7.5670353182407216</v>
      </c>
      <c r="M330" s="71">
        <f>IF(L330&lt;1,1,L330)</f>
        <v>7.5670353182407216</v>
      </c>
      <c r="N330" s="70" t="s">
        <v>141</v>
      </c>
      <c r="O330" s="71">
        <f>INDEX(DurClassMapping,MATCH(M330,MappingTables!$D$4:$D$8,-1),1)</f>
        <v>2</v>
      </c>
      <c r="P330" s="73">
        <f>IF(M330=$A$1,1,$M330-INDEX(MappingTables!$E$4:$E$8,MATCH(O330,MappingTables!$B$4:$B$8,0)))</f>
        <v>2.5670353182407224</v>
      </c>
      <c r="Q330" s="71">
        <f>IF(B330="",0,INDEX(ModelParameters!$D$6:$K$10,MATCH($O330,ModelParameters!$B$6:$B$10,0),MATCH($J330,ModelParameters!$D$5:$K$5,0)))</f>
        <v>0.015</v>
      </c>
      <c r="R330" s="71">
        <f>IF(B330="",0,INDEX(ModelParameters!$D$13:$K$17,MATCH($O330,ModelParameters!$B$13:$B$17,0),MATCH($J330,ModelParameters!$D$5:$K$5,0)))</f>
        <v>0.125</v>
      </c>
      <c r="S330" s="160">
        <f>IF(B330="",0,MIN(IF($N330="Other Bond TM",ModelParameters!$N$21,1)*(P330*Q330+R330),1))</f>
        <v>0.16350552977361082</v>
      </c>
      <c r="T330" s="85">
        <f>IF(B330="",0,$S330*$K330)</f>
        <v>5310.3452863402728</v>
      </c>
      <c r="U330" s="85">
        <f>IF(B330="",0,IF(OR(H330=MappingTables!$C$34,H330=MappingTables!$C$35),T330,0))</f>
        <v>0</v>
      </c>
      <c r="V330" s="85">
        <f>IF(ISNA(IF(AND(VLOOKUP(CONCATENATE($D330,$G330),CSRFinput!$B:$E,4,0)=0,OR(H330=MappingTables!$C$34,H330=MappingTables!$C$35)),1,VLOOKUP(CONCATENATE($D330,$G330),CSRFinput!$B:$E,4,0))),0,IF(AND(VLOOKUP(CONCATENATE($D330,$G330),CSRFinput!$B:$E,4,0)=0,OR(H330=MappingTables!$C$34,H330=MappingTables!$C$35)),1,VLOOKUP(CONCATENATE($D330,$G330),CSRFinput!$B:$E,4,0)))</f>
        <v>0.054776304963434752</v>
      </c>
      <c r="W330" s="85">
        <f>IF(B330="",0,+$T330*$V330)</f>
        <v>290.881092865713</v>
      </c>
      <c r="X330" s="85">
        <f>IF(B330="",0,IF(OR(H330=MappingTables!$C$34,H330=MappingTables!$C$35),W330,0))</f>
        <v>0</v>
      </c>
    </row>
    <row r="331" spans="2:24" s="0" customFormat="0" ht="15">
      <c r="B331" s="69" t="s">
        <v>582</v>
      </c>
      <c r="C331" s="70" t="s">
        <v>583</v>
      </c>
      <c r="D331" s="70" t="s">
        <v>1</v>
      </c>
      <c r="E331" s="70" t="s">
        <v>1</v>
      </c>
      <c r="F331" s="70"/>
      <c r="G331" s="70" t="s">
        <v>61</v>
      </c>
      <c r="H331" s="70" t="s">
        <v>178</v>
      </c>
      <c r="I331" s="70" t="s">
        <v>198</v>
      </c>
      <c r="J331" s="71" t="str">
        <f>IF(OR(I331=0,I331=""),"unrated",VLOOKUP(I331,MappingTables!$B$19:$C$31,2,FALSE))</f>
        <v>unrated</v>
      </c>
      <c r="K331" s="72">
        <v>400.76072991277088</v>
      </c>
      <c r="L331" s="70">
        <v>4.7948251150026096</v>
      </c>
      <c r="M331" s="71">
        <f>IF(L331&lt;1,1,L331)</f>
        <v>4.7948251150026096</v>
      </c>
      <c r="N331" s="70" t="s">
        <v>141</v>
      </c>
      <c r="O331" s="71">
        <f>INDEX(DurClassMapping,MATCH(M331,MappingTables!$D$4:$D$8,-1),1)</f>
        <v>1</v>
      </c>
      <c r="P331" s="73">
        <f>IF(M331=$A$1,1,$M331-INDEX(MappingTables!$E$4:$E$8,MATCH(O331,MappingTables!$B$4:$B$8,0)))</f>
        <v>4.7948251150026096</v>
      </c>
      <c r="Q331" s="71">
        <f>IF(B331="",0,INDEX(ModelParameters!$D$6:$K$10,MATCH($O331,ModelParameters!$B$6:$B$10,0),MATCH($J331,ModelParameters!$D$5:$K$5,0)))</f>
        <v>0.03</v>
      </c>
      <c r="R331" s="71">
        <f>IF(B331="",0,INDEX(ModelParameters!$D$13:$K$17,MATCH($O331,ModelParameters!$B$13:$B$17,0),MATCH($J331,ModelParameters!$D$5:$K$5,0)))</f>
        <v>0</v>
      </c>
      <c r="S331" s="160">
        <f>IF(B331="",0,MIN(IF($N331="Other Bond TM",ModelParameters!$N$21,1)*(P331*Q331+R331),1))</f>
        <v>0.14384475345007828</v>
      </c>
      <c r="T331" s="85">
        <f>IF(B331="",0,$S331*$K331)</f>
        <v>57.647328386775936</v>
      </c>
      <c r="U331" s="85">
        <f>IF(B331="",0,IF(OR(H331=MappingTables!$C$34,H331=MappingTables!$C$35),T331,0))</f>
        <v>0</v>
      </c>
      <c r="V331" s="85">
        <f>IF(ISNA(IF(AND(VLOOKUP(CONCATENATE($D331,$G331),CSRFinput!$B:$E,4,0)=0,OR(H331=MappingTables!$C$34,H331=MappingTables!$C$35)),1,VLOOKUP(CONCATENATE($D331,$G331),CSRFinput!$B:$E,4,0))),0,IF(AND(VLOOKUP(CONCATENATE($D331,$G331),CSRFinput!$B:$E,4,0)=0,OR(H331=MappingTables!$C$34,H331=MappingTables!$C$35)),1,VLOOKUP(CONCATENATE($D331,$G331),CSRFinput!$B:$E,4,0)))</f>
        <v>0.054776304963434752</v>
      </c>
      <c r="W331" s="85">
        <f>IF(B331="",0,+$T331*$V331)</f>
        <v>3.1577076400413084</v>
      </c>
      <c r="X331" s="85">
        <f>IF(B331="",0,IF(OR(H331=MappingTables!$C$34,H331=MappingTables!$C$35),W331,0))</f>
        <v>0</v>
      </c>
    </row>
    <row r="332" spans="2:24" s="0" customFormat="0" ht="15">
      <c r="B332" s="69">
        <v>9277884</v>
      </c>
      <c r="C332" s="70" t="s">
        <v>584</v>
      </c>
      <c r="D332" s="70" t="s">
        <v>1</v>
      </c>
      <c r="E332" s="70" t="s">
        <v>1</v>
      </c>
      <c r="F332" s="70"/>
      <c r="G332" s="70" t="s">
        <v>61</v>
      </c>
      <c r="H332" s="70" t="s">
        <v>178</v>
      </c>
      <c r="I332" s="70" t="s">
        <v>188</v>
      </c>
      <c r="J332" s="71">
        <f>IF(OR(I332=0,I332=""),"unrated",VLOOKUP(I332,MappingTables!$B$19:$C$31,2,FALSE))</f>
        <v>2</v>
      </c>
      <c r="K332" s="72">
        <v>0.17385104993348694</v>
      </c>
      <c r="L332" s="70">
        <v>0.9561774887986968</v>
      </c>
      <c r="M332" s="71">
        <f>IF(L332&lt;1,1,L332)</f>
        <v>1</v>
      </c>
      <c r="N332" s="70" t="s">
        <v>141</v>
      </c>
      <c r="O332" s="71">
        <f>INDEX(DurClassMapping,MATCH(M332,MappingTables!$D$4:$D$8,-1),1)</f>
        <v>1</v>
      </c>
      <c r="P332" s="73">
        <f>IF(M332=$A$1,1,$M332-INDEX(MappingTables!$E$4:$E$8,MATCH(O332,MappingTables!$B$4:$B$8,0)))</f>
        <v>1</v>
      </c>
      <c r="Q332" s="71">
        <f>IF(B332="",0,INDEX(ModelParameters!$D$6:$K$10,MATCH($O332,ModelParameters!$B$6:$B$10,0),MATCH($J332,ModelParameters!$D$5:$K$5,0)))</f>
        <v>0.013999999999999998</v>
      </c>
      <c r="R332" s="71">
        <f>IF(B332="",0,INDEX(ModelParameters!$D$13:$K$17,MATCH($O332,ModelParameters!$B$13:$B$17,0),MATCH($J332,ModelParameters!$D$5:$K$5,0)))</f>
        <v>0</v>
      </c>
      <c r="S332" s="160">
        <f>IF(B332="",0,MIN(IF($N332="Other Bond TM",ModelParameters!$N$21,1)*(P332*Q332+R332),1))</f>
        <v>0.013999999999999998</v>
      </c>
      <c r="T332" s="85">
        <f>IF(B332="",0,$S332*$K332)</f>
        <v>0.0024339146990688168</v>
      </c>
      <c r="U332" s="85">
        <f>IF(B332="",0,IF(OR(H332=MappingTables!$C$34,H332=MappingTables!$C$35),T332,0))</f>
        <v>0</v>
      </c>
      <c r="V332" s="85">
        <f>IF(ISNA(IF(AND(VLOOKUP(CONCATENATE($D332,$G332),CSRFinput!$B:$E,4,0)=0,OR(H332=MappingTables!$C$34,H332=MappingTables!$C$35)),1,VLOOKUP(CONCATENATE($D332,$G332),CSRFinput!$B:$E,4,0))),0,IF(AND(VLOOKUP(CONCATENATE($D332,$G332),CSRFinput!$B:$E,4,0)=0,OR(H332=MappingTables!$C$34,H332=MappingTables!$C$35)),1,VLOOKUP(CONCATENATE($D332,$G332),CSRFinput!$B:$E,4,0)))</f>
        <v>0.054776304963434752</v>
      </c>
      <c r="W332" s="85">
        <f>IF(B332="",0,+$T332*$V332)</f>
        <v>0.00013332085381118004</v>
      </c>
      <c r="X332" s="85">
        <f>IF(B332="",0,IF(OR(H332=MappingTables!$C$34,H332=MappingTables!$C$35),W332,0))</f>
        <v>0</v>
      </c>
    </row>
    <row r="333" spans="2:24" s="0" customFormat="0" ht="15">
      <c r="B333" s="69">
        <v>17776637</v>
      </c>
      <c r="C333" s="70" t="s">
        <v>585</v>
      </c>
      <c r="D333" s="70" t="s">
        <v>1</v>
      </c>
      <c r="E333" s="70" t="s">
        <v>1</v>
      </c>
      <c r="F333" s="70"/>
      <c r="G333" s="70" t="s">
        <v>61</v>
      </c>
      <c r="H333" s="70" t="s">
        <v>178</v>
      </c>
      <c r="I333" s="70" t="s">
        <v>179</v>
      </c>
      <c r="J333" s="71">
        <f>IF(OR(I333=0,I333=""),"unrated",VLOOKUP(I333,MappingTables!$B$19:$C$31,2,FALSE))</f>
        <v>4</v>
      </c>
      <c r="K333" s="72">
        <v>7514.957002151304</v>
      </c>
      <c r="L333" s="70">
        <v>4.1613641553203496</v>
      </c>
      <c r="M333" s="71">
        <f>IF(L333&lt;1,1,L333)</f>
        <v>4.1613641553203496</v>
      </c>
      <c r="N333" s="70" t="s">
        <v>141</v>
      </c>
      <c r="O333" s="71">
        <f>INDEX(DurClassMapping,MATCH(M333,MappingTables!$D$4:$D$8,-1),1)</f>
        <v>1</v>
      </c>
      <c r="P333" s="73">
        <f>IF(M333=$A$1,1,$M333-INDEX(MappingTables!$E$4:$E$8,MATCH(O333,MappingTables!$B$4:$B$8,0)))</f>
        <v>4.1613641553203496</v>
      </c>
      <c r="Q333" s="71">
        <f>IF(B333="",0,INDEX(ModelParameters!$D$6:$K$10,MATCH($O333,ModelParameters!$B$6:$B$10,0),MATCH($J333,ModelParameters!$D$5:$K$5,0)))</f>
        <v>0.045</v>
      </c>
      <c r="R333" s="71">
        <f>IF(B333="",0,INDEX(ModelParameters!$D$13:$K$17,MATCH($O333,ModelParameters!$B$13:$B$17,0),MATCH($J333,ModelParameters!$D$5:$K$5,0)))</f>
        <v>0</v>
      </c>
      <c r="S333" s="160">
        <f>IF(B333="",0,MIN(IF($N333="Other Bond TM",ModelParameters!$N$21,1)*(P333*Q333+R333),1))</f>
        <v>0.18726138698941572</v>
      </c>
      <c r="T333" s="85">
        <f>IF(B333="",0,$S333*$K333)</f>
        <v>1407.2612713886746</v>
      </c>
      <c r="U333" s="85">
        <f>IF(B333="",0,IF(OR(H333=MappingTables!$C$34,H333=MappingTables!$C$35),T333,0))</f>
        <v>0</v>
      </c>
      <c r="V333" s="85">
        <f>IF(ISNA(IF(AND(VLOOKUP(CONCATENATE($D333,$G333),CSRFinput!$B:$E,4,0)=0,OR(H333=MappingTables!$C$34,H333=MappingTables!$C$35)),1,VLOOKUP(CONCATENATE($D333,$G333),CSRFinput!$B:$E,4,0))),0,IF(AND(VLOOKUP(CONCATENATE($D333,$G333),CSRFinput!$B:$E,4,0)=0,OR(H333=MappingTables!$C$34,H333=MappingTables!$C$35)),1,VLOOKUP(CONCATENATE($D333,$G333),CSRFinput!$B:$E,4,0)))</f>
        <v>0.054776304963434752</v>
      </c>
      <c r="W333" s="85">
        <f>IF(B333="",0,+$T333*$V333)</f>
        <v>77.08457256481696</v>
      </c>
      <c r="X333" s="85">
        <f>IF(B333="",0,IF(OR(H333=MappingTables!$C$34,H333=MappingTables!$C$35),W333,0))</f>
        <v>0</v>
      </c>
    </row>
    <row r="334" spans="2:24" s="0" customFormat="0" ht="15">
      <c r="B334" s="69">
        <v>15887204</v>
      </c>
      <c r="C334" s="70" t="s">
        <v>586</v>
      </c>
      <c r="D334" s="70" t="s">
        <v>1</v>
      </c>
      <c r="E334" s="70" t="s">
        <v>1</v>
      </c>
      <c r="F334" s="70"/>
      <c r="G334" s="70" t="s">
        <v>61</v>
      </c>
      <c r="H334" s="70" t="s">
        <v>178</v>
      </c>
      <c r="I334" s="70" t="s">
        <v>181</v>
      </c>
      <c r="J334" s="71">
        <f>IF(OR(I334=0,I334=""),"unrated",VLOOKUP(I334,MappingTables!$B$19:$C$31,2,FALSE))</f>
        <v>3</v>
      </c>
      <c r="K334" s="72">
        <v>2265.815035336784</v>
      </c>
      <c r="L334" s="70">
        <v>0.1013727272045929</v>
      </c>
      <c r="M334" s="71">
        <f>IF(L334&lt;1,1,L334)</f>
        <v>1</v>
      </c>
      <c r="N334" s="70" t="s">
        <v>141</v>
      </c>
      <c r="O334" s="71">
        <f>INDEX(DurClassMapping,MATCH(M334,MappingTables!$D$4:$D$8,-1),1)</f>
        <v>1</v>
      </c>
      <c r="P334" s="73">
        <f>IF(M334=$A$1,1,$M334-INDEX(MappingTables!$E$4:$E$8,MATCH(O334,MappingTables!$B$4:$B$8,0)))</f>
        <v>1</v>
      </c>
      <c r="Q334" s="71">
        <f>IF(B334="",0,INDEX(ModelParameters!$D$6:$K$10,MATCH($O334,ModelParameters!$B$6:$B$10,0),MATCH($J334,ModelParameters!$D$5:$K$5,0)))</f>
        <v>0.025</v>
      </c>
      <c r="R334" s="71">
        <f>IF(B334="",0,INDEX(ModelParameters!$D$13:$K$17,MATCH($O334,ModelParameters!$B$13:$B$17,0),MATCH($J334,ModelParameters!$D$5:$K$5,0)))</f>
        <v>0</v>
      </c>
      <c r="S334" s="160">
        <f>IF(B334="",0,MIN(IF($N334="Other Bond TM",ModelParameters!$N$21,1)*(P334*Q334+R334),1))</f>
        <v>0.025</v>
      </c>
      <c r="T334" s="85">
        <f>IF(B334="",0,$S334*$K334)</f>
        <v>56.6453758834196</v>
      </c>
      <c r="U334" s="85">
        <f>IF(B334="",0,IF(OR(H334=MappingTables!$C$34,H334=MappingTables!$C$35),T334,0))</f>
        <v>0</v>
      </c>
      <c r="V334" s="85">
        <f>IF(ISNA(IF(AND(VLOOKUP(CONCATENATE($D334,$G334),CSRFinput!$B:$E,4,0)=0,OR(H334=MappingTables!$C$34,H334=MappingTables!$C$35)),1,VLOOKUP(CONCATENATE($D334,$G334),CSRFinput!$B:$E,4,0))),0,IF(AND(VLOOKUP(CONCATENATE($D334,$G334),CSRFinput!$B:$E,4,0)=0,OR(H334=MappingTables!$C$34,H334=MappingTables!$C$35)),1,VLOOKUP(CONCATENATE($D334,$G334),CSRFinput!$B:$E,4,0)))</f>
        <v>0.054776304963434752</v>
      </c>
      <c r="W334" s="85">
        <f>IF(B334="",0,+$T334*$V334)</f>
        <v>3.1028243841585844</v>
      </c>
      <c r="X334" s="85">
        <f>IF(B334="",0,IF(OR(H334=MappingTables!$C$34,H334=MappingTables!$C$35),W334,0))</f>
        <v>0</v>
      </c>
    </row>
    <row r="335" spans="2:24" s="0" customFormat="0" ht="15">
      <c r="B335" s="69">
        <v>14903820</v>
      </c>
      <c r="C335" s="70" t="s">
        <v>587</v>
      </c>
      <c r="D335" s="70" t="s">
        <v>1</v>
      </c>
      <c r="E335" s="70" t="s">
        <v>1</v>
      </c>
      <c r="F335" s="70"/>
      <c r="G335" s="70" t="s">
        <v>61</v>
      </c>
      <c r="H335" s="70" t="s">
        <v>178</v>
      </c>
      <c r="I335" s="70" t="s">
        <v>181</v>
      </c>
      <c r="J335" s="71">
        <f>IF(OR(I335=0,I335=""),"unrated",VLOOKUP(I335,MappingTables!$B$19:$C$31,2,FALSE))</f>
        <v>3</v>
      </c>
      <c r="K335" s="72">
        <v>4407.0053497416672</v>
      </c>
      <c r="L335" s="70">
        <v>2.1002626664572328</v>
      </c>
      <c r="M335" s="71">
        <f>IF(L335&lt;1,1,L335)</f>
        <v>2.1002626664572328</v>
      </c>
      <c r="N335" s="70" t="s">
        <v>141</v>
      </c>
      <c r="O335" s="71">
        <f>INDEX(DurClassMapping,MATCH(M335,MappingTables!$D$4:$D$8,-1),1)</f>
        <v>1</v>
      </c>
      <c r="P335" s="73">
        <f>IF(M335=$A$1,1,$M335-INDEX(MappingTables!$E$4:$E$8,MATCH(O335,MappingTables!$B$4:$B$8,0)))</f>
        <v>2.1002626664572328</v>
      </c>
      <c r="Q335" s="71">
        <f>IF(B335="",0,INDEX(ModelParameters!$D$6:$K$10,MATCH($O335,ModelParameters!$B$6:$B$10,0),MATCH($J335,ModelParameters!$D$5:$K$5,0)))</f>
        <v>0.025</v>
      </c>
      <c r="R335" s="71">
        <f>IF(B335="",0,INDEX(ModelParameters!$D$13:$K$17,MATCH($O335,ModelParameters!$B$13:$B$17,0),MATCH($J335,ModelParameters!$D$5:$K$5,0)))</f>
        <v>0</v>
      </c>
      <c r="S335" s="160">
        <f>IF(B335="",0,MIN(IF($N335="Other Bond TM",ModelParameters!$N$21,1)*(P335*Q335+R335),1))</f>
        <v>0.052506566661430824</v>
      </c>
      <c r="T335" s="85">
        <f>IF(B335="",0,$S335*$K335)</f>
        <v>231.39672017349312</v>
      </c>
      <c r="U335" s="85">
        <f>IF(B335="",0,IF(OR(H335=MappingTables!$C$34,H335=MappingTables!$C$35),T335,0))</f>
        <v>0</v>
      </c>
      <c r="V335" s="85">
        <f>IF(ISNA(IF(AND(VLOOKUP(CONCATENATE($D335,$G335),CSRFinput!$B:$E,4,0)=0,OR(H335=MappingTables!$C$34,H335=MappingTables!$C$35)),1,VLOOKUP(CONCATENATE($D335,$G335),CSRFinput!$B:$E,4,0))),0,IF(AND(VLOOKUP(CONCATENATE($D335,$G335),CSRFinput!$B:$E,4,0)=0,OR(H335=MappingTables!$C$34,H335=MappingTables!$C$35)),1,VLOOKUP(CONCATENATE($D335,$G335),CSRFinput!$B:$E,4,0)))</f>
        <v>0.054776304963434752</v>
      </c>
      <c r="W335" s="85">
        <f>IF(B335="",0,+$T335*$V335)</f>
        <v>12.675057311761834</v>
      </c>
      <c r="X335" s="85">
        <f>IF(B335="",0,IF(OR(H335=MappingTables!$C$34,H335=MappingTables!$C$35),W335,0))</f>
        <v>0</v>
      </c>
    </row>
    <row r="336" spans="2:24" s="0" customFormat="0" ht="15">
      <c r="B336" s="69">
        <v>22062042</v>
      </c>
      <c r="C336" s="70" t="s">
        <v>588</v>
      </c>
      <c r="D336" s="70" t="s">
        <v>1</v>
      </c>
      <c r="E336" s="70" t="s">
        <v>1</v>
      </c>
      <c r="F336" s="70"/>
      <c r="G336" s="70" t="s">
        <v>61</v>
      </c>
      <c r="H336" s="70" t="s">
        <v>178</v>
      </c>
      <c r="I336" s="70" t="s">
        <v>188</v>
      </c>
      <c r="J336" s="71">
        <f>IF(OR(I336=0,I336=""),"unrated",VLOOKUP(I336,MappingTables!$B$19:$C$31,2,FALSE))</f>
        <v>2</v>
      </c>
      <c r="K336" s="72">
        <v>4135.8649911886272</v>
      </c>
      <c r="L336" s="70">
        <v>2.04664918041985</v>
      </c>
      <c r="M336" s="71">
        <f>IF(L336&lt;1,1,L336)</f>
        <v>2.04664918041985</v>
      </c>
      <c r="N336" s="70" t="s">
        <v>141</v>
      </c>
      <c r="O336" s="71">
        <f>INDEX(DurClassMapping,MATCH(M336,MappingTables!$D$4:$D$8,-1),1)</f>
        <v>1</v>
      </c>
      <c r="P336" s="73">
        <f>IF(M336=$A$1,1,$M336-INDEX(MappingTables!$E$4:$E$8,MATCH(O336,MappingTables!$B$4:$B$8,0)))</f>
        <v>2.04664918041985</v>
      </c>
      <c r="Q336" s="71">
        <f>IF(B336="",0,INDEX(ModelParameters!$D$6:$K$10,MATCH($O336,ModelParameters!$B$6:$B$10,0),MATCH($J336,ModelParameters!$D$5:$K$5,0)))</f>
        <v>0.013999999999999998</v>
      </c>
      <c r="R336" s="71">
        <f>IF(B336="",0,INDEX(ModelParameters!$D$13:$K$17,MATCH($O336,ModelParameters!$B$13:$B$17,0),MATCH($J336,ModelParameters!$D$5:$K$5,0)))</f>
        <v>0</v>
      </c>
      <c r="S336" s="160">
        <f>IF(B336="",0,MIN(IF($N336="Other Bond TM",ModelParameters!$N$21,1)*(P336*Q336+R336),1))</f>
        <v>0.028653088525877896</v>
      </c>
      <c r="T336" s="85">
        <f>IF(B336="",0,$S336*$K336)</f>
        <v>118.50530572360694</v>
      </c>
      <c r="U336" s="85">
        <f>IF(B336="",0,IF(OR(H336=MappingTables!$C$34,H336=MappingTables!$C$35),T336,0))</f>
        <v>0</v>
      </c>
      <c r="V336" s="85">
        <f>IF(ISNA(IF(AND(VLOOKUP(CONCATENATE($D336,$G336),CSRFinput!$B:$E,4,0)=0,OR(H336=MappingTables!$C$34,H336=MappingTables!$C$35)),1,VLOOKUP(CONCATENATE($D336,$G336),CSRFinput!$B:$E,4,0))),0,IF(AND(VLOOKUP(CONCATENATE($D336,$G336),CSRFinput!$B:$E,4,0)=0,OR(H336=MappingTables!$C$34,H336=MappingTables!$C$35)),1,VLOOKUP(CONCATENATE($D336,$G336),CSRFinput!$B:$E,4,0)))</f>
        <v>0.054776304963434752</v>
      </c>
      <c r="W336" s="85">
        <f>IF(B336="",0,+$T336*$V336)</f>
        <v>6.491282766101364</v>
      </c>
      <c r="X336" s="85">
        <f>IF(B336="",0,IF(OR(H336=MappingTables!$C$34,H336=MappingTables!$C$35),W336,0))</f>
        <v>0</v>
      </c>
    </row>
    <row r="337" spans="2:24" s="0" customFormat="0" ht="15">
      <c r="B337" s="69">
        <v>18407518</v>
      </c>
      <c r="C337" s="70" t="s">
        <v>589</v>
      </c>
      <c r="D337" s="70" t="s">
        <v>1</v>
      </c>
      <c r="E337" s="70" t="s">
        <v>1</v>
      </c>
      <c r="F337" s="70"/>
      <c r="G337" s="70" t="s">
        <v>61</v>
      </c>
      <c r="H337" s="70" t="s">
        <v>178</v>
      </c>
      <c r="I337" s="70" t="s">
        <v>181</v>
      </c>
      <c r="J337" s="71">
        <f>IF(OR(I337=0,I337=""),"unrated",VLOOKUP(I337,MappingTables!$B$19:$C$31,2,FALSE))</f>
        <v>3</v>
      </c>
      <c r="K337" s="72">
        <v>531.5956415811656</v>
      </c>
      <c r="L337" s="70">
        <v>2.7210442647343428</v>
      </c>
      <c r="M337" s="71">
        <f>IF(L337&lt;1,1,L337)</f>
        <v>2.7210442647343428</v>
      </c>
      <c r="N337" s="70" t="s">
        <v>141</v>
      </c>
      <c r="O337" s="71">
        <f>INDEX(DurClassMapping,MATCH(M337,MappingTables!$D$4:$D$8,-1),1)</f>
        <v>1</v>
      </c>
      <c r="P337" s="73">
        <f>IF(M337=$A$1,1,$M337-INDEX(MappingTables!$E$4:$E$8,MATCH(O337,MappingTables!$B$4:$B$8,0)))</f>
        <v>2.7210442647343428</v>
      </c>
      <c r="Q337" s="71">
        <f>IF(B337="",0,INDEX(ModelParameters!$D$6:$K$10,MATCH($O337,ModelParameters!$B$6:$B$10,0),MATCH($J337,ModelParameters!$D$5:$K$5,0)))</f>
        <v>0.025</v>
      </c>
      <c r="R337" s="71">
        <f>IF(B337="",0,INDEX(ModelParameters!$D$13:$K$17,MATCH($O337,ModelParameters!$B$13:$B$17,0),MATCH($J337,ModelParameters!$D$5:$K$5,0)))</f>
        <v>0</v>
      </c>
      <c r="S337" s="160">
        <f>IF(B337="",0,MIN(IF($N337="Other Bond TM",ModelParameters!$N$21,1)*(P337*Q337+R337),1))</f>
        <v>0.068026106618358576</v>
      </c>
      <c r="T337" s="85">
        <f>IF(B337="",0,$S337*$K337)</f>
        <v>36.162381792055104</v>
      </c>
      <c r="U337" s="85">
        <f>IF(B337="",0,IF(OR(H337=MappingTables!$C$34,H337=MappingTables!$C$35),T337,0))</f>
        <v>0</v>
      </c>
      <c r="V337" s="85">
        <f>IF(ISNA(IF(AND(VLOOKUP(CONCATENATE($D337,$G337),CSRFinput!$B:$E,4,0)=0,OR(H337=MappingTables!$C$34,H337=MappingTables!$C$35)),1,VLOOKUP(CONCATENATE($D337,$G337),CSRFinput!$B:$E,4,0))),0,IF(AND(VLOOKUP(CONCATENATE($D337,$G337),CSRFinput!$B:$E,4,0)=0,OR(H337=MappingTables!$C$34,H337=MappingTables!$C$35)),1,VLOOKUP(CONCATENATE($D337,$G337),CSRFinput!$B:$E,4,0)))</f>
        <v>0.054776304963434752</v>
      </c>
      <c r="W337" s="85">
        <f>IF(B337="",0,+$T337*$V337)</f>
        <v>1.9808416532457708</v>
      </c>
      <c r="X337" s="85">
        <f>IF(B337="",0,IF(OR(H337=MappingTables!$C$34,H337=MappingTables!$C$35),W337,0))</f>
        <v>0</v>
      </c>
    </row>
    <row r="338" spans="2:24" s="0" customFormat="0" ht="15">
      <c r="B338" s="69">
        <v>15869428</v>
      </c>
      <c r="C338" s="70" t="s">
        <v>590</v>
      </c>
      <c r="D338" s="70" t="s">
        <v>1</v>
      </c>
      <c r="E338" s="70" t="s">
        <v>1</v>
      </c>
      <c r="F338" s="70"/>
      <c r="G338" s="70" t="s">
        <v>61</v>
      </c>
      <c r="H338" s="70" t="s">
        <v>178</v>
      </c>
      <c r="I338" s="70" t="s">
        <v>181</v>
      </c>
      <c r="J338" s="71">
        <f>IF(OR(I338=0,I338=""),"unrated",VLOOKUP(I338,MappingTables!$B$19:$C$31,2,FALSE))</f>
        <v>3</v>
      </c>
      <c r="K338" s="72">
        <v>739.68315055585216</v>
      </c>
      <c r="L338" s="70">
        <v>0.093148301935894016</v>
      </c>
      <c r="M338" s="71">
        <f>IF(L338&lt;1,1,L338)</f>
        <v>1</v>
      </c>
      <c r="N338" s="70" t="s">
        <v>141</v>
      </c>
      <c r="O338" s="71">
        <f>INDEX(DurClassMapping,MATCH(M338,MappingTables!$D$4:$D$8,-1),1)</f>
        <v>1</v>
      </c>
      <c r="P338" s="73">
        <f>IF(M338=$A$1,1,$M338-INDEX(MappingTables!$E$4:$E$8,MATCH(O338,MappingTables!$B$4:$B$8,0)))</f>
        <v>1</v>
      </c>
      <c r="Q338" s="71">
        <f>IF(B338="",0,INDEX(ModelParameters!$D$6:$K$10,MATCH($O338,ModelParameters!$B$6:$B$10,0),MATCH($J338,ModelParameters!$D$5:$K$5,0)))</f>
        <v>0.025</v>
      </c>
      <c r="R338" s="71">
        <f>IF(B338="",0,INDEX(ModelParameters!$D$13:$K$17,MATCH($O338,ModelParameters!$B$13:$B$17,0),MATCH($J338,ModelParameters!$D$5:$K$5,0)))</f>
        <v>0</v>
      </c>
      <c r="S338" s="160">
        <f>IF(B338="",0,MIN(IF($N338="Other Bond TM",ModelParameters!$N$21,1)*(P338*Q338+R338),1))</f>
        <v>0.025</v>
      </c>
      <c r="T338" s="85">
        <f>IF(B338="",0,$S338*$K338)</f>
        <v>18.492078763896304</v>
      </c>
      <c r="U338" s="85">
        <f>IF(B338="",0,IF(OR(H338=MappingTables!$C$34,H338=MappingTables!$C$35),T338,0))</f>
        <v>0</v>
      </c>
      <c r="V338" s="85">
        <f>IF(ISNA(IF(AND(VLOOKUP(CONCATENATE($D338,$G338),CSRFinput!$B:$E,4,0)=0,OR(H338=MappingTables!$C$34,H338=MappingTables!$C$35)),1,VLOOKUP(CONCATENATE($D338,$G338),CSRFinput!$B:$E,4,0))),0,IF(AND(VLOOKUP(CONCATENATE($D338,$G338),CSRFinput!$B:$E,4,0)=0,OR(H338=MappingTables!$C$34,H338=MappingTables!$C$35)),1,VLOOKUP(CONCATENATE($D338,$G338),CSRFinput!$B:$E,4,0)))</f>
        <v>0.054776304963434752</v>
      </c>
      <c r="W338" s="85">
        <f>IF(B338="",0,+$T338*$V338)</f>
        <v>1.0129277457790394</v>
      </c>
      <c r="X338" s="85">
        <f>IF(B338="",0,IF(OR(H338=MappingTables!$C$34,H338=MappingTables!$C$35),W338,0))</f>
        <v>0</v>
      </c>
    </row>
    <row r="339" spans="2:24" s="0" customFormat="0" ht="15">
      <c r="B339" s="69">
        <v>19676193</v>
      </c>
      <c r="C339" s="70" t="s">
        <v>591</v>
      </c>
      <c r="D339" s="70" t="s">
        <v>1</v>
      </c>
      <c r="E339" s="70" t="s">
        <v>1</v>
      </c>
      <c r="F339" s="70"/>
      <c r="G339" s="70" t="s">
        <v>61</v>
      </c>
      <c r="H339" s="70" t="s">
        <v>178</v>
      </c>
      <c r="I339" s="70" t="s">
        <v>184</v>
      </c>
      <c r="J339" s="71">
        <f>IF(OR(I339=0,I339=""),"unrated",VLOOKUP(I339,MappingTables!$B$19:$C$31,2,FALSE))</f>
        <v>5</v>
      </c>
      <c r="K339" s="72">
        <v>294.89983924908976</v>
      </c>
      <c r="L339" s="70">
        <v>1.352467285723538</v>
      </c>
      <c r="M339" s="71">
        <f>IF(L339&lt;1,1,L339)</f>
        <v>1.352467285723538</v>
      </c>
      <c r="N339" s="70" t="s">
        <v>141</v>
      </c>
      <c r="O339" s="71">
        <f>INDEX(DurClassMapping,MATCH(M339,MappingTables!$D$4:$D$8,-1),1)</f>
        <v>1</v>
      </c>
      <c r="P339" s="73">
        <f>IF(M339=$A$1,1,$M339-INDEX(MappingTables!$E$4:$E$8,MATCH(O339,MappingTables!$B$4:$B$8,0)))</f>
        <v>1.352467285723538</v>
      </c>
      <c r="Q339" s="71">
        <f>IF(B339="",0,INDEX(ModelParameters!$D$6:$K$10,MATCH($O339,ModelParameters!$B$6:$B$10,0),MATCH($J339,ModelParameters!$D$5:$K$5,0)))</f>
        <v>0.075</v>
      </c>
      <c r="R339" s="71">
        <f>IF(B339="",0,INDEX(ModelParameters!$D$13:$K$17,MATCH($O339,ModelParameters!$B$13:$B$17,0),MATCH($J339,ModelParameters!$D$5:$K$5,0)))</f>
        <v>0</v>
      </c>
      <c r="S339" s="160">
        <f>IF(B339="",0,MIN(IF($N339="Other Bond TM",ModelParameters!$N$21,1)*(P339*Q339+R339),1))</f>
        <v>0.10143504642926534</v>
      </c>
      <c r="T339" s="85">
        <f>IF(B339="",0,$S339*$K339)</f>
        <v>29.913178886214308</v>
      </c>
      <c r="U339" s="85">
        <f>IF(B339="",0,IF(OR(H339=MappingTables!$C$34,H339=MappingTables!$C$35),T339,0))</f>
        <v>0</v>
      </c>
      <c r="V339" s="85">
        <f>IF(ISNA(IF(AND(VLOOKUP(CONCATENATE($D339,$G339),CSRFinput!$B:$E,4,0)=0,OR(H339=MappingTables!$C$34,H339=MappingTables!$C$35)),1,VLOOKUP(CONCATENATE($D339,$G339),CSRFinput!$B:$E,4,0))),0,IF(AND(VLOOKUP(CONCATENATE($D339,$G339),CSRFinput!$B:$E,4,0)=0,OR(H339=MappingTables!$C$34,H339=MappingTables!$C$35)),1,VLOOKUP(CONCATENATE($D339,$G339),CSRFinput!$B:$E,4,0)))</f>
        <v>0.054776304963434752</v>
      </c>
      <c r="W339" s="85">
        <f>IF(B339="",0,+$T339*$V339)</f>
        <v>1.6385334090970524</v>
      </c>
      <c r="X339" s="85">
        <f>IF(B339="",0,IF(OR(H339=MappingTables!$C$34,H339=MappingTables!$C$35),W339,0))</f>
        <v>0</v>
      </c>
    </row>
    <row r="340" spans="2:24" s="0" customFormat="0" ht="15">
      <c r="B340" s="69">
        <v>24748824</v>
      </c>
      <c r="C340" s="70" t="s">
        <v>592</v>
      </c>
      <c r="D340" s="70" t="s">
        <v>1</v>
      </c>
      <c r="E340" s="70" t="s">
        <v>1</v>
      </c>
      <c r="F340" s="70"/>
      <c r="G340" s="70" t="s">
        <v>61</v>
      </c>
      <c r="H340" s="70" t="s">
        <v>178</v>
      </c>
      <c r="I340" s="70" t="s">
        <v>198</v>
      </c>
      <c r="J340" s="71" t="str">
        <f>IF(OR(I340=0,I340=""),"unrated",VLOOKUP(I340,MappingTables!$B$19:$C$31,2,FALSE))</f>
        <v>unrated</v>
      </c>
      <c r="K340" s="72">
        <v>419.28684063812232</v>
      </c>
      <c r="L340" s="70">
        <v>0.33972925060805316</v>
      </c>
      <c r="M340" s="71">
        <f>IF(L340&lt;1,1,L340)</f>
        <v>1</v>
      </c>
      <c r="N340" s="70" t="s">
        <v>141</v>
      </c>
      <c r="O340" s="71">
        <f>INDEX(DurClassMapping,MATCH(M340,MappingTables!$D$4:$D$8,-1),1)</f>
        <v>1</v>
      </c>
      <c r="P340" s="73">
        <f>IF(M340=$A$1,1,$M340-INDEX(MappingTables!$E$4:$E$8,MATCH(O340,MappingTables!$B$4:$B$8,0)))</f>
        <v>1</v>
      </c>
      <c r="Q340" s="71">
        <f>IF(B340="",0,INDEX(ModelParameters!$D$6:$K$10,MATCH($O340,ModelParameters!$B$6:$B$10,0),MATCH($J340,ModelParameters!$D$5:$K$5,0)))</f>
        <v>0.03</v>
      </c>
      <c r="R340" s="71">
        <f>IF(B340="",0,INDEX(ModelParameters!$D$13:$K$17,MATCH($O340,ModelParameters!$B$13:$B$17,0),MATCH($J340,ModelParameters!$D$5:$K$5,0)))</f>
        <v>0</v>
      </c>
      <c r="S340" s="160">
        <f>IF(B340="",0,MIN(IF($N340="Other Bond TM",ModelParameters!$N$21,1)*(P340*Q340+R340),1))</f>
        <v>0.03</v>
      </c>
      <c r="T340" s="85">
        <f>IF(B340="",0,$S340*$K340)</f>
        <v>12.57860521914367</v>
      </c>
      <c r="U340" s="85">
        <f>IF(B340="",0,IF(OR(H340=MappingTables!$C$34,H340=MappingTables!$C$35),T340,0))</f>
        <v>0</v>
      </c>
      <c r="V340" s="85">
        <f>IF(ISNA(IF(AND(VLOOKUP(CONCATENATE($D340,$G340),CSRFinput!$B:$E,4,0)=0,OR(H340=MappingTables!$C$34,H340=MappingTables!$C$35)),1,VLOOKUP(CONCATENATE($D340,$G340),CSRFinput!$B:$E,4,0))),0,IF(AND(VLOOKUP(CONCATENATE($D340,$G340),CSRFinput!$B:$E,4,0)=0,OR(H340=MappingTables!$C$34,H340=MappingTables!$C$35)),1,VLOOKUP(CONCATENATE($D340,$G340),CSRFinput!$B:$E,4,0)))</f>
        <v>0.054776304963434752</v>
      </c>
      <c r="W340" s="85">
        <f>IF(B340="",0,+$T340*$V340)</f>
        <v>0.68900951549846568</v>
      </c>
      <c r="X340" s="85">
        <f>IF(B340="",0,IF(OR(H340=MappingTables!$C$34,H340=MappingTables!$C$35),W340,0))</f>
        <v>0</v>
      </c>
    </row>
    <row r="341" spans="2:24" s="0" customFormat="0" ht="15">
      <c r="B341" s="69">
        <v>21714881</v>
      </c>
      <c r="C341" s="70" t="s">
        <v>593</v>
      </c>
      <c r="D341" s="70" t="s">
        <v>1</v>
      </c>
      <c r="E341" s="70" t="s">
        <v>1</v>
      </c>
      <c r="F341" s="70"/>
      <c r="G341" s="70" t="s">
        <v>61</v>
      </c>
      <c r="H341" s="70" t="s">
        <v>178</v>
      </c>
      <c r="I341" s="70" t="s">
        <v>179</v>
      </c>
      <c r="J341" s="71">
        <f>IF(OR(I341=0,I341=""),"unrated",VLOOKUP(I341,MappingTables!$B$19:$C$31,2,FALSE))</f>
        <v>4</v>
      </c>
      <c r="K341" s="72">
        <v>3266.475645991512</v>
      </c>
      <c r="L341" s="70">
        <v>3.7816362113217296</v>
      </c>
      <c r="M341" s="71">
        <f>IF(L341&lt;1,1,L341)</f>
        <v>3.7816362113217296</v>
      </c>
      <c r="N341" s="70" t="s">
        <v>141</v>
      </c>
      <c r="O341" s="71">
        <f>INDEX(DurClassMapping,MATCH(M341,MappingTables!$D$4:$D$8,-1),1)</f>
        <v>1</v>
      </c>
      <c r="P341" s="73">
        <f>IF(M341=$A$1,1,$M341-INDEX(MappingTables!$E$4:$E$8,MATCH(O341,MappingTables!$B$4:$B$8,0)))</f>
        <v>3.7816362113217296</v>
      </c>
      <c r="Q341" s="71">
        <f>IF(B341="",0,INDEX(ModelParameters!$D$6:$K$10,MATCH($O341,ModelParameters!$B$6:$B$10,0),MATCH($J341,ModelParameters!$D$5:$K$5,0)))</f>
        <v>0.045</v>
      </c>
      <c r="R341" s="71">
        <f>IF(B341="",0,INDEX(ModelParameters!$D$13:$K$17,MATCH($O341,ModelParameters!$B$13:$B$17,0),MATCH($J341,ModelParameters!$D$5:$K$5,0)))</f>
        <v>0</v>
      </c>
      <c r="S341" s="160">
        <f>IF(B341="",0,MIN(IF($N341="Other Bond TM",ModelParameters!$N$21,1)*(P341*Q341+R341),1))</f>
        <v>0.17017362950947784</v>
      </c>
      <c r="T341" s="85">
        <f>IF(B341="",0,$S341*$K341)</f>
        <v>555.86801638269184</v>
      </c>
      <c r="U341" s="85">
        <f>IF(B341="",0,IF(OR(H341=MappingTables!$C$34,H341=MappingTables!$C$35),T341,0))</f>
        <v>0</v>
      </c>
      <c r="V341" s="85">
        <f>IF(ISNA(IF(AND(VLOOKUP(CONCATENATE($D341,$G341),CSRFinput!$B:$E,4,0)=0,OR(H341=MappingTables!$C$34,H341=MappingTables!$C$35)),1,VLOOKUP(CONCATENATE($D341,$G341),CSRFinput!$B:$E,4,0))),0,IF(AND(VLOOKUP(CONCATENATE($D341,$G341),CSRFinput!$B:$E,4,0)=0,OR(H341=MappingTables!$C$34,H341=MappingTables!$C$35)),1,VLOOKUP(CONCATENATE($D341,$G341),CSRFinput!$B:$E,4,0)))</f>
        <v>0.054776304963434752</v>
      </c>
      <c r="W341" s="85">
        <f>IF(B341="",0,+$T341*$V341)</f>
        <v>30.448395984797872</v>
      </c>
      <c r="X341" s="85">
        <f>IF(B341="",0,IF(OR(H341=MappingTables!$C$34,H341=MappingTables!$C$35),W341,0))</f>
        <v>0</v>
      </c>
    </row>
    <row r="342" spans="2:24" s="0" customFormat="0" ht="15">
      <c r="B342" s="69">
        <v>24426174</v>
      </c>
      <c r="C342" s="70" t="s">
        <v>594</v>
      </c>
      <c r="D342" s="70" t="s">
        <v>1</v>
      </c>
      <c r="E342" s="70" t="s">
        <v>1</v>
      </c>
      <c r="F342" s="70"/>
      <c r="G342" s="70" t="s">
        <v>61</v>
      </c>
      <c r="H342" s="70" t="s">
        <v>178</v>
      </c>
      <c r="I342" s="70" t="s">
        <v>179</v>
      </c>
      <c r="J342" s="71">
        <f>IF(OR(I342=0,I342=""),"unrated",VLOOKUP(I342,MappingTables!$B$19:$C$31,2,FALSE))</f>
        <v>4</v>
      </c>
      <c r="K342" s="72">
        <v>35253.884724068032</v>
      </c>
      <c r="L342" s="70">
        <v>8.07124493473636</v>
      </c>
      <c r="M342" s="71">
        <f>IF(L342&lt;1,1,L342)</f>
        <v>8.07124493473636</v>
      </c>
      <c r="N342" s="70" t="s">
        <v>141</v>
      </c>
      <c r="O342" s="71">
        <f>INDEX(DurClassMapping,MATCH(M342,MappingTables!$D$4:$D$8,-1),1)</f>
        <v>2</v>
      </c>
      <c r="P342" s="73">
        <f>IF(M342=$A$1,1,$M342-INDEX(MappingTables!$E$4:$E$8,MATCH(O342,MappingTables!$B$4:$B$8,0)))</f>
        <v>3.0712449347363596</v>
      </c>
      <c r="Q342" s="71">
        <f>IF(B342="",0,INDEX(ModelParameters!$D$6:$K$10,MATCH($O342,ModelParameters!$B$6:$B$10,0),MATCH($J342,ModelParameters!$D$5:$K$5,0)))</f>
        <v>0.025</v>
      </c>
      <c r="R342" s="71">
        <f>IF(B342="",0,INDEX(ModelParameters!$D$13:$K$17,MATCH($O342,ModelParameters!$B$13:$B$17,0),MATCH($J342,ModelParameters!$D$5:$K$5,0)))</f>
        <v>0.225</v>
      </c>
      <c r="S342" s="160">
        <f>IF(B342="",0,MIN(IF($N342="Other Bond TM",ModelParameters!$N$21,1)*(P342*Q342+R342),1))</f>
        <v>0.301781123368409</v>
      </c>
      <c r="T342" s="85">
        <f>IF(B342="",0,$S342*$K342)</f>
        <v>10638.956935129644</v>
      </c>
      <c r="U342" s="85">
        <f>IF(B342="",0,IF(OR(H342=MappingTables!$C$34,H342=MappingTables!$C$35),T342,0))</f>
        <v>0</v>
      </c>
      <c r="V342" s="85">
        <f>IF(ISNA(IF(AND(VLOOKUP(CONCATENATE($D342,$G342),CSRFinput!$B:$E,4,0)=0,OR(H342=MappingTables!$C$34,H342=MappingTables!$C$35)),1,VLOOKUP(CONCATENATE($D342,$G342),CSRFinput!$B:$E,4,0))),0,IF(AND(VLOOKUP(CONCATENATE($D342,$G342),CSRFinput!$B:$E,4,0)=0,OR(H342=MappingTables!$C$34,H342=MappingTables!$C$35)),1,VLOOKUP(CONCATENATE($D342,$G342),CSRFinput!$B:$E,4,0)))</f>
        <v>0.054776304963434752</v>
      </c>
      <c r="W342" s="85">
        <f>IF(B342="",0,+$T342*$V342)</f>
        <v>582.76274957151056</v>
      </c>
      <c r="X342" s="85">
        <f>IF(B342="",0,IF(OR(H342=MappingTables!$C$34,H342=MappingTables!$C$35),W342,0))</f>
        <v>0</v>
      </c>
    </row>
    <row r="343" spans="2:24" s="0" customFormat="0" ht="15">
      <c r="B343" s="69" t="s">
        <v>595</v>
      </c>
      <c r="C343" s="70" t="s">
        <v>596</v>
      </c>
      <c r="D343" s="70" t="s">
        <v>1</v>
      </c>
      <c r="E343" s="70" t="s">
        <v>1</v>
      </c>
      <c r="F343" s="70"/>
      <c r="G343" s="70" t="s">
        <v>61</v>
      </c>
      <c r="H343" s="70" t="s">
        <v>178</v>
      </c>
      <c r="I343" s="70" t="s">
        <v>179</v>
      </c>
      <c r="J343" s="71">
        <f>IF(OR(I343=0,I343=""),"unrated",VLOOKUP(I343,MappingTables!$B$19:$C$31,2,FALSE))</f>
        <v>4</v>
      </c>
      <c r="K343" s="72">
        <v>1527.362561008628</v>
      </c>
      <c r="L343" s="70">
        <v>3.1052018772224324</v>
      </c>
      <c r="M343" s="71">
        <f>IF(L343&lt;1,1,L343)</f>
        <v>3.1052018772224324</v>
      </c>
      <c r="N343" s="70" t="s">
        <v>141</v>
      </c>
      <c r="O343" s="71">
        <f>INDEX(DurClassMapping,MATCH(M343,MappingTables!$D$4:$D$8,-1),1)</f>
        <v>1</v>
      </c>
      <c r="P343" s="73">
        <f>IF(M343=$A$1,1,$M343-INDEX(MappingTables!$E$4:$E$8,MATCH(O343,MappingTables!$B$4:$B$8,0)))</f>
        <v>3.1052018772224324</v>
      </c>
      <c r="Q343" s="71">
        <f>IF(B343="",0,INDEX(ModelParameters!$D$6:$K$10,MATCH($O343,ModelParameters!$B$6:$B$10,0),MATCH($J343,ModelParameters!$D$5:$K$5,0)))</f>
        <v>0.045</v>
      </c>
      <c r="R343" s="71">
        <f>IF(B343="",0,INDEX(ModelParameters!$D$13:$K$17,MATCH($O343,ModelParameters!$B$13:$B$17,0),MATCH($J343,ModelParameters!$D$5:$K$5,0)))</f>
        <v>0</v>
      </c>
      <c r="S343" s="160">
        <f>IF(B343="",0,MIN(IF($N343="Other Bond TM",ModelParameters!$N$21,1)*(P343*Q343+R343),1))</f>
        <v>0.13973408447500946</v>
      </c>
      <c r="T343" s="85">
        <f>IF(B343="",0,$S343*$K343)</f>
        <v>213.42460912394644</v>
      </c>
      <c r="U343" s="85">
        <f>IF(B343="",0,IF(OR(H343=MappingTables!$C$34,H343=MappingTables!$C$35),T343,0))</f>
        <v>0</v>
      </c>
      <c r="V343" s="85">
        <f>IF(ISNA(IF(AND(VLOOKUP(CONCATENATE($D343,$G343),CSRFinput!$B:$E,4,0)=0,OR(H343=MappingTables!$C$34,H343=MappingTables!$C$35)),1,VLOOKUP(CONCATENATE($D343,$G343),CSRFinput!$B:$E,4,0))),0,IF(AND(VLOOKUP(CONCATENATE($D343,$G343),CSRFinput!$B:$E,4,0)=0,OR(H343=MappingTables!$C$34,H343=MappingTables!$C$35)),1,VLOOKUP(CONCATENATE($D343,$G343),CSRFinput!$B:$E,4,0)))</f>
        <v>0.054776304963434752</v>
      </c>
      <c r="W343" s="85">
        <f>IF(B343="",0,+$T343*$V343)</f>
        <v>11.69061147607515</v>
      </c>
      <c r="X343" s="85">
        <f>IF(B343="",0,IF(OR(H343=MappingTables!$C$34,H343=MappingTables!$C$35),W343,0))</f>
        <v>0</v>
      </c>
    </row>
    <row r="344" spans="2:24" s="0" customFormat="0" ht="15">
      <c r="B344" s="69" t="s">
        <v>279</v>
      </c>
      <c r="C344" s="70" t="s">
        <v>280</v>
      </c>
      <c r="D344" s="70" t="s">
        <v>1</v>
      </c>
      <c r="E344" s="70" t="s">
        <v>1</v>
      </c>
      <c r="F344" s="70"/>
      <c r="G344" s="70" t="s">
        <v>61</v>
      </c>
      <c r="H344" s="70" t="s">
        <v>178</v>
      </c>
      <c r="I344" s="70" t="s">
        <v>181</v>
      </c>
      <c r="J344" s="71">
        <f>IF(OR(I344=0,I344=""),"unrated",VLOOKUP(I344,MappingTables!$B$19:$C$31,2,FALSE))</f>
        <v>3</v>
      </c>
      <c r="K344" s="72">
        <v>0.46935592510805512</v>
      </c>
      <c r="L344" s="70">
        <v>1.0657760780507248</v>
      </c>
      <c r="M344" s="71">
        <f>IF(L344&lt;1,1,L344)</f>
        <v>1.0657760780507248</v>
      </c>
      <c r="N344" s="70" t="s">
        <v>141</v>
      </c>
      <c r="O344" s="71">
        <f>INDEX(DurClassMapping,MATCH(M344,MappingTables!$D$4:$D$8,-1),1)</f>
        <v>1</v>
      </c>
      <c r="P344" s="73">
        <f>IF(M344=$A$1,1,$M344-INDEX(MappingTables!$E$4:$E$8,MATCH(O344,MappingTables!$B$4:$B$8,0)))</f>
        <v>1.0657760780507248</v>
      </c>
      <c r="Q344" s="71">
        <f>IF(B344="",0,INDEX(ModelParameters!$D$6:$K$10,MATCH($O344,ModelParameters!$B$6:$B$10,0),MATCH($J344,ModelParameters!$D$5:$K$5,0)))</f>
        <v>0.025</v>
      </c>
      <c r="R344" s="71">
        <f>IF(B344="",0,INDEX(ModelParameters!$D$13:$K$17,MATCH($O344,ModelParameters!$B$13:$B$17,0),MATCH($J344,ModelParameters!$D$5:$K$5,0)))</f>
        <v>0</v>
      </c>
      <c r="S344" s="160">
        <f>IF(B344="",0,MIN(IF($N344="Other Bond TM",ModelParameters!$N$21,1)*(P344*Q344+R344),1))</f>
        <v>0.02664440195126812</v>
      </c>
      <c r="T344" s="85">
        <f>IF(B344="",0,$S344*$K344)</f>
        <v>0.012505707926788318</v>
      </c>
      <c r="U344" s="85">
        <f>IF(B344="",0,IF(OR(H344=MappingTables!$C$34,H344=MappingTables!$C$35),T344,0))</f>
        <v>0</v>
      </c>
      <c r="V344" s="85">
        <f>IF(ISNA(IF(AND(VLOOKUP(CONCATENATE($D344,$G344),CSRFinput!$B:$E,4,0)=0,OR(H344=MappingTables!$C$34,H344=MappingTables!$C$35)),1,VLOOKUP(CONCATENATE($D344,$G344),CSRFinput!$B:$E,4,0))),0,IF(AND(VLOOKUP(CONCATENATE($D344,$G344),CSRFinput!$B:$E,4,0)=0,OR(H344=MappingTables!$C$34,H344=MappingTables!$C$35)),1,VLOOKUP(CONCATENATE($D344,$G344),CSRFinput!$B:$E,4,0)))</f>
        <v>0.054776304963434752</v>
      </c>
      <c r="W344" s="85">
        <f>IF(B344="",0,+$T344*$V344)</f>
        <v>0.00068501647118140032</v>
      </c>
      <c r="X344" s="85">
        <f>IF(B344="",0,IF(OR(H344=MappingTables!$C$34,H344=MappingTables!$C$35),W344,0))</f>
        <v>0</v>
      </c>
    </row>
    <row r="345" spans="2:24" s="0" customFormat="0" ht="15">
      <c r="B345" s="69">
        <v>22246383</v>
      </c>
      <c r="C345" s="70" t="s">
        <v>597</v>
      </c>
      <c r="D345" s="70" t="s">
        <v>1</v>
      </c>
      <c r="E345" s="70" t="s">
        <v>1</v>
      </c>
      <c r="F345" s="70"/>
      <c r="G345" s="70" t="s">
        <v>61</v>
      </c>
      <c r="H345" s="70" t="s">
        <v>178</v>
      </c>
      <c r="I345" s="70" t="s">
        <v>179</v>
      </c>
      <c r="J345" s="71">
        <f>IF(OR(I345=0,I345=""),"unrated",VLOOKUP(I345,MappingTables!$B$19:$C$31,2,FALSE))</f>
        <v>4</v>
      </c>
      <c r="K345" s="72">
        <v>5304.3068697974608</v>
      </c>
      <c r="L345" s="70">
        <v>4.0502503069802592</v>
      </c>
      <c r="M345" s="71">
        <f>IF(L345&lt;1,1,L345)</f>
        <v>4.0502503069802592</v>
      </c>
      <c r="N345" s="70" t="s">
        <v>141</v>
      </c>
      <c r="O345" s="71">
        <f>INDEX(DurClassMapping,MATCH(M345,MappingTables!$D$4:$D$8,-1),1)</f>
        <v>1</v>
      </c>
      <c r="P345" s="73">
        <f>IF(M345=$A$1,1,$M345-INDEX(MappingTables!$E$4:$E$8,MATCH(O345,MappingTables!$B$4:$B$8,0)))</f>
        <v>4.0502503069802592</v>
      </c>
      <c r="Q345" s="71">
        <f>IF(B345="",0,INDEX(ModelParameters!$D$6:$K$10,MATCH($O345,ModelParameters!$B$6:$B$10,0),MATCH($J345,ModelParameters!$D$5:$K$5,0)))</f>
        <v>0.045</v>
      </c>
      <c r="R345" s="71">
        <f>IF(B345="",0,INDEX(ModelParameters!$D$13:$K$17,MATCH($O345,ModelParameters!$B$13:$B$17,0),MATCH($J345,ModelParameters!$D$5:$K$5,0)))</f>
        <v>0</v>
      </c>
      <c r="S345" s="160">
        <f>IF(B345="",0,MIN(IF($N345="Other Bond TM",ModelParameters!$N$21,1)*(P345*Q345+R345),1))</f>
        <v>0.18226126381411164</v>
      </c>
      <c r="T345" s="85">
        <f>IF(B345="",0,$S345*$K345)</f>
        <v>966.76967374715968</v>
      </c>
      <c r="U345" s="85">
        <f>IF(B345="",0,IF(OR(H345=MappingTables!$C$34,H345=MappingTables!$C$35),T345,0))</f>
        <v>0</v>
      </c>
      <c r="V345" s="85">
        <f>IF(ISNA(IF(AND(VLOOKUP(CONCATENATE($D345,$G345),CSRFinput!$B:$E,4,0)=0,OR(H345=MappingTables!$C$34,H345=MappingTables!$C$35)),1,VLOOKUP(CONCATENATE($D345,$G345),CSRFinput!$B:$E,4,0))),0,IF(AND(VLOOKUP(CONCATENATE($D345,$G345),CSRFinput!$B:$E,4,0)=0,OR(H345=MappingTables!$C$34,H345=MappingTables!$C$35)),1,VLOOKUP(CONCATENATE($D345,$G345),CSRFinput!$B:$E,4,0)))</f>
        <v>0.054776304963434752</v>
      </c>
      <c r="W345" s="85">
        <f>IF(B345="",0,+$T345*$V345)</f>
        <v>52.956070478574736</v>
      </c>
      <c r="X345" s="85">
        <f>IF(B345="",0,IF(OR(H345=MappingTables!$C$34,H345=MappingTables!$C$35),W345,0))</f>
        <v>0</v>
      </c>
    </row>
    <row r="346" spans="2:24" s="0" customFormat="0" ht="15">
      <c r="B346" s="69">
        <v>22069574</v>
      </c>
      <c r="C346" s="70" t="s">
        <v>598</v>
      </c>
      <c r="D346" s="70" t="s">
        <v>1</v>
      </c>
      <c r="E346" s="70" t="s">
        <v>1</v>
      </c>
      <c r="F346" s="70"/>
      <c r="G346" s="70" t="s">
        <v>61</v>
      </c>
      <c r="H346" s="70" t="s">
        <v>178</v>
      </c>
      <c r="I346" s="70" t="s">
        <v>181</v>
      </c>
      <c r="J346" s="71">
        <f>IF(OR(I346=0,I346=""),"unrated",VLOOKUP(I346,MappingTables!$B$19:$C$31,2,FALSE))</f>
        <v>3</v>
      </c>
      <c r="K346" s="72">
        <v>272.70193191256472</v>
      </c>
      <c r="L346" s="70">
        <v>5.317461340064072</v>
      </c>
      <c r="M346" s="71">
        <f>IF(L346&lt;1,1,L346)</f>
        <v>5.317461340064072</v>
      </c>
      <c r="N346" s="70" t="s">
        <v>141</v>
      </c>
      <c r="O346" s="71">
        <f>INDEX(DurClassMapping,MATCH(M346,MappingTables!$D$4:$D$8,-1),1)</f>
        <v>2</v>
      </c>
      <c r="P346" s="73">
        <f>IF(M346=$A$1,1,$M346-INDEX(MappingTables!$E$4:$E$8,MATCH(O346,MappingTables!$B$4:$B$8,0)))</f>
        <v>0.3174613400640718</v>
      </c>
      <c r="Q346" s="71">
        <f>IF(B346="",0,INDEX(ModelParameters!$D$6:$K$10,MATCH($O346,ModelParameters!$B$6:$B$10,0),MATCH($J346,ModelParameters!$D$5:$K$5,0)))</f>
        <v>0.015</v>
      </c>
      <c r="R346" s="71">
        <f>IF(B346="",0,INDEX(ModelParameters!$D$13:$K$17,MATCH($O346,ModelParameters!$B$13:$B$17,0),MATCH($J346,ModelParameters!$D$5:$K$5,0)))</f>
        <v>0.125</v>
      </c>
      <c r="S346" s="160">
        <f>IF(B346="",0,MIN(IF($N346="Other Bond TM",ModelParameters!$N$21,1)*(P346*Q346+R346),1))</f>
        <v>0.12976192010096108</v>
      </c>
      <c r="T346" s="85">
        <f>IF(B346="",0,$S346*$K346)</f>
        <v>35.386326300215948</v>
      </c>
      <c r="U346" s="85">
        <f>IF(B346="",0,IF(OR(H346=MappingTables!$C$34,H346=MappingTables!$C$35),T346,0))</f>
        <v>0</v>
      </c>
      <c r="V346" s="85">
        <f>IF(ISNA(IF(AND(VLOOKUP(CONCATENATE($D346,$G346),CSRFinput!$B:$E,4,0)=0,OR(H346=MappingTables!$C$34,H346=MappingTables!$C$35)),1,VLOOKUP(CONCATENATE($D346,$G346),CSRFinput!$B:$E,4,0))),0,IF(AND(VLOOKUP(CONCATENATE($D346,$G346),CSRFinput!$B:$E,4,0)=0,OR(H346=MappingTables!$C$34,H346=MappingTables!$C$35)),1,VLOOKUP(CONCATENATE($D346,$G346),CSRFinput!$B:$E,4,0)))</f>
        <v>0.054776304963434752</v>
      </c>
      <c r="W346" s="85">
        <f>IF(B346="",0,+$T346*$V346)</f>
        <v>1.9383322009562408</v>
      </c>
      <c r="X346" s="85">
        <f>IF(B346="",0,IF(OR(H346=MappingTables!$C$34,H346=MappingTables!$C$35),W346,0))</f>
        <v>0</v>
      </c>
    </row>
    <row r="347" spans="2:24" s="0" customFormat="0" ht="15">
      <c r="B347" s="69" t="s">
        <v>599</v>
      </c>
      <c r="C347" s="70" t="s">
        <v>600</v>
      </c>
      <c r="D347" s="70" t="s">
        <v>1</v>
      </c>
      <c r="E347" s="70" t="s">
        <v>1</v>
      </c>
      <c r="F347" s="70"/>
      <c r="G347" s="70" t="s">
        <v>61</v>
      </c>
      <c r="H347" s="70" t="s">
        <v>178</v>
      </c>
      <c r="I347" s="70" t="s">
        <v>181</v>
      </c>
      <c r="J347" s="71">
        <f>IF(OR(I347=0,I347=""),"unrated",VLOOKUP(I347,MappingTables!$B$19:$C$31,2,FALSE))</f>
        <v>3</v>
      </c>
      <c r="K347" s="72">
        <v>1813.6662957817236</v>
      </c>
      <c r="L347" s="70">
        <v>4.188502400030692</v>
      </c>
      <c r="M347" s="71">
        <f>IF(L347&lt;1,1,L347)</f>
        <v>4.188502400030692</v>
      </c>
      <c r="N347" s="70" t="s">
        <v>141</v>
      </c>
      <c r="O347" s="71">
        <f>INDEX(DurClassMapping,MATCH(M347,MappingTables!$D$4:$D$8,-1),1)</f>
        <v>1</v>
      </c>
      <c r="P347" s="73">
        <f>IF(M347=$A$1,1,$M347-INDEX(MappingTables!$E$4:$E$8,MATCH(O347,MappingTables!$B$4:$B$8,0)))</f>
        <v>4.188502400030692</v>
      </c>
      <c r="Q347" s="71">
        <f>IF(B347="",0,INDEX(ModelParameters!$D$6:$K$10,MATCH($O347,ModelParameters!$B$6:$B$10,0),MATCH($J347,ModelParameters!$D$5:$K$5,0)))</f>
        <v>0.025</v>
      </c>
      <c r="R347" s="71">
        <f>IF(B347="",0,INDEX(ModelParameters!$D$13:$K$17,MATCH($O347,ModelParameters!$B$13:$B$17,0),MATCH($J347,ModelParameters!$D$5:$K$5,0)))</f>
        <v>0</v>
      </c>
      <c r="S347" s="160">
        <f>IF(B347="",0,MIN(IF($N347="Other Bond TM",ModelParameters!$N$21,1)*(P347*Q347+R347),1))</f>
        <v>0.1047125600007673</v>
      </c>
      <c r="T347" s="85">
        <f>IF(B347="",0,$S347*$K347)</f>
        <v>189.91364081841312</v>
      </c>
      <c r="U347" s="85">
        <f>IF(B347="",0,IF(OR(H347=MappingTables!$C$34,H347=MappingTables!$C$35),T347,0))</f>
        <v>0</v>
      </c>
      <c r="V347" s="85">
        <f>IF(ISNA(IF(AND(VLOOKUP(CONCATENATE($D347,$G347),CSRFinput!$B:$E,4,0)=0,OR(H347=MappingTables!$C$34,H347=MappingTables!$C$35)),1,VLOOKUP(CONCATENATE($D347,$G347),CSRFinput!$B:$E,4,0))),0,IF(AND(VLOOKUP(CONCATENATE($D347,$G347),CSRFinput!$B:$E,4,0)=0,OR(H347=MappingTables!$C$34,H347=MappingTables!$C$35)),1,VLOOKUP(CONCATENATE($D347,$G347),CSRFinput!$B:$E,4,0)))</f>
        <v>0.054776304963434752</v>
      </c>
      <c r="W347" s="85">
        <f>IF(B347="",0,+$T347*$V347)</f>
        <v>10.402767506185608</v>
      </c>
      <c r="X347" s="85">
        <f>IF(B347="",0,IF(OR(H347=MappingTables!$C$34,H347=MappingTables!$C$35),W347,0))</f>
        <v>0</v>
      </c>
    </row>
    <row r="348" spans="2:24" s="0" customFormat="0" ht="15">
      <c r="B348" s="69">
        <v>20708335</v>
      </c>
      <c r="C348" s="70" t="s">
        <v>601</v>
      </c>
      <c r="D348" s="70" t="s">
        <v>1</v>
      </c>
      <c r="E348" s="70" t="s">
        <v>1</v>
      </c>
      <c r="F348" s="70"/>
      <c r="G348" s="70" t="s">
        <v>61</v>
      </c>
      <c r="H348" s="70" t="s">
        <v>178</v>
      </c>
      <c r="I348" s="70" t="s">
        <v>220</v>
      </c>
      <c r="J348" s="71">
        <f>IF(OR(I348=0,I348=""),"unrated",VLOOKUP(I348,MappingTables!$B$19:$C$31,2,FALSE))</f>
        <v>1</v>
      </c>
      <c r="K348" s="72">
        <v>1622696.4569091796</v>
      </c>
      <c r="L348" s="70">
        <v>9.7238707477034544</v>
      </c>
      <c r="M348" s="71">
        <f>IF(L348&lt;1,1,L348)</f>
        <v>9.7238707477034544</v>
      </c>
      <c r="N348" s="70" t="s">
        <v>141</v>
      </c>
      <c r="O348" s="71">
        <f>INDEX(DurClassMapping,MATCH(M348,MappingTables!$D$4:$D$8,-1),1)</f>
        <v>2</v>
      </c>
      <c r="P348" s="73">
        <f>IF(M348=$A$1,1,$M348-INDEX(MappingTables!$E$4:$E$8,MATCH(O348,MappingTables!$B$4:$B$8,0)))</f>
        <v>4.7238707477034544</v>
      </c>
      <c r="Q348" s="71">
        <f>IF(B348="",0,INDEX(ModelParameters!$D$6:$K$10,MATCH($O348,ModelParameters!$B$6:$B$10,0),MATCH($J348,ModelParameters!$D$5:$K$5,0)))</f>
        <v>0.006</v>
      </c>
      <c r="R348" s="71">
        <f>IF(B348="",0,INDEX(ModelParameters!$D$13:$K$17,MATCH($O348,ModelParameters!$B$13:$B$17,0),MATCH($J348,ModelParameters!$D$5:$K$5,0)))</f>
        <v>0.055</v>
      </c>
      <c r="S348" s="160">
        <f>IF(B348="",0,MIN(IF($N348="Other Bond TM",ModelParameters!$N$21,1)*(P348*Q348+R348),1))</f>
        <v>0.08334322448622072</v>
      </c>
      <c r="T348" s="85">
        <f>IF(B348="",0,$S348*$K348)</f>
        <v>135240.75508117676</v>
      </c>
      <c r="U348" s="85">
        <f>IF(B348="",0,IF(OR(H348=MappingTables!$C$34,H348=MappingTables!$C$35),T348,0))</f>
        <v>0</v>
      </c>
      <c r="V348" s="85">
        <f>IF(ISNA(IF(AND(VLOOKUP(CONCATENATE($D348,$G348),CSRFinput!$B:$E,4,0)=0,OR(H348=MappingTables!$C$34,H348=MappingTables!$C$35)),1,VLOOKUP(CONCATENATE($D348,$G348),CSRFinput!$B:$E,4,0))),0,IF(AND(VLOOKUP(CONCATENATE($D348,$G348),CSRFinput!$B:$E,4,0)=0,OR(H348=MappingTables!$C$34,H348=MappingTables!$C$35)),1,VLOOKUP(CONCATENATE($D348,$G348),CSRFinput!$B:$E,4,0)))</f>
        <v>0.054776304963434752</v>
      </c>
      <c r="W348" s="85">
        <f>IF(B348="",0,+$T348*$V348)</f>
        <v>7407.9888438117264</v>
      </c>
      <c r="X348" s="85">
        <f>IF(B348="",0,IF(OR(H348=MappingTables!$C$34,H348=MappingTables!$C$35),W348,0))</f>
        <v>0</v>
      </c>
    </row>
    <row r="349" spans="2:24" s="0" customFormat="0" ht="15">
      <c r="B349" s="69">
        <v>3001303</v>
      </c>
      <c r="C349" s="70" t="s">
        <v>602</v>
      </c>
      <c r="D349" s="70" t="s">
        <v>1</v>
      </c>
      <c r="E349" s="70" t="s">
        <v>1</v>
      </c>
      <c r="F349" s="70"/>
      <c r="G349" s="70" t="s">
        <v>61</v>
      </c>
      <c r="H349" s="70" t="s">
        <v>178</v>
      </c>
      <c r="I349" s="70" t="s">
        <v>188</v>
      </c>
      <c r="J349" s="71">
        <f>IF(OR(I349=0,I349=""),"unrated",VLOOKUP(I349,MappingTables!$B$19:$C$31,2,FALSE))</f>
        <v>2</v>
      </c>
      <c r="K349" s="72">
        <v>697.34921843237824</v>
      </c>
      <c r="L349" s="70">
        <v>7.5095618374611264</v>
      </c>
      <c r="M349" s="71">
        <f>IF(L349&lt;1,1,L349)</f>
        <v>7.5095618374611264</v>
      </c>
      <c r="N349" s="70" t="s">
        <v>141</v>
      </c>
      <c r="O349" s="71">
        <f>INDEX(DurClassMapping,MATCH(M349,MappingTables!$D$4:$D$8,-1),1)</f>
        <v>2</v>
      </c>
      <c r="P349" s="73">
        <f>IF(M349=$A$1,1,$M349-INDEX(MappingTables!$E$4:$E$8,MATCH(O349,MappingTables!$B$4:$B$8,0)))</f>
        <v>2.5095618374611268</v>
      </c>
      <c r="Q349" s="71">
        <f>IF(B349="",0,INDEX(ModelParameters!$D$6:$K$10,MATCH($O349,ModelParameters!$B$6:$B$10,0),MATCH($J349,ModelParameters!$D$5:$K$5,0)))</f>
        <v>0.0069999999999999992</v>
      </c>
      <c r="R349" s="71">
        <f>IF(B349="",0,INDEX(ModelParameters!$D$13:$K$17,MATCH($O349,ModelParameters!$B$13:$B$17,0),MATCH($J349,ModelParameters!$D$5:$K$5,0)))</f>
        <v>0.070000000000000008</v>
      </c>
      <c r="S349" s="160">
        <f>IF(B349="",0,MIN(IF($N349="Other Bond TM",ModelParameters!$N$21,1)*(P349*Q349+R349),1))</f>
        <v>0.087566932862227888</v>
      </c>
      <c r="T349" s="85">
        <f>IF(B349="",0,$S349*$K349)</f>
        <v>61.064732191995152</v>
      </c>
      <c r="U349" s="85">
        <f>IF(B349="",0,IF(OR(H349=MappingTables!$C$34,H349=MappingTables!$C$35),T349,0))</f>
        <v>0</v>
      </c>
      <c r="V349" s="85">
        <f>IF(ISNA(IF(AND(VLOOKUP(CONCATENATE($D349,$G349),CSRFinput!$B:$E,4,0)=0,OR(H349=MappingTables!$C$34,H349=MappingTables!$C$35)),1,VLOOKUP(CONCATENATE($D349,$G349),CSRFinput!$B:$E,4,0))),0,IF(AND(VLOOKUP(CONCATENATE($D349,$G349),CSRFinput!$B:$E,4,0)=0,OR(H349=MappingTables!$C$34,H349=MappingTables!$C$35)),1,VLOOKUP(CONCATENATE($D349,$G349),CSRFinput!$B:$E,4,0)))</f>
        <v>0.054776304963434752</v>
      </c>
      <c r="W349" s="85">
        <f>IF(B349="",0,+$T349*$V349)</f>
        <v>3.344900393059198</v>
      </c>
      <c r="X349" s="85">
        <f>IF(B349="",0,IF(OR(H349=MappingTables!$C$34,H349=MappingTables!$C$35),W349,0))</f>
        <v>0</v>
      </c>
    </row>
    <row r="350" spans="2:24" s="0" customFormat="0" ht="15">
      <c r="B350" s="69">
        <v>16211005</v>
      </c>
      <c r="C350" s="70" t="s">
        <v>454</v>
      </c>
      <c r="D350" s="70" t="s">
        <v>1</v>
      </c>
      <c r="E350" s="70" t="s">
        <v>1</v>
      </c>
      <c r="F350" s="70"/>
      <c r="G350" s="70" t="s">
        <v>61</v>
      </c>
      <c r="H350" s="70" t="s">
        <v>178</v>
      </c>
      <c r="I350" s="70" t="s">
        <v>181</v>
      </c>
      <c r="J350" s="71">
        <f>IF(OR(I350=0,I350=""),"unrated",VLOOKUP(I350,MappingTables!$B$19:$C$31,2,FALSE))</f>
        <v>3</v>
      </c>
      <c r="K350" s="72">
        <v>196.3865233883468</v>
      </c>
      <c r="L350" s="70">
        <v>0.33972671049191176</v>
      </c>
      <c r="M350" s="71">
        <f>IF(L350&lt;1,1,L350)</f>
        <v>1</v>
      </c>
      <c r="N350" s="70" t="s">
        <v>141</v>
      </c>
      <c r="O350" s="71">
        <f>INDEX(DurClassMapping,MATCH(M350,MappingTables!$D$4:$D$8,-1),1)</f>
        <v>1</v>
      </c>
      <c r="P350" s="73">
        <f>IF(M350=$A$1,1,$M350-INDEX(MappingTables!$E$4:$E$8,MATCH(O350,MappingTables!$B$4:$B$8,0)))</f>
        <v>1</v>
      </c>
      <c r="Q350" s="71">
        <f>IF(B350="",0,INDEX(ModelParameters!$D$6:$K$10,MATCH($O350,ModelParameters!$B$6:$B$10,0),MATCH($J350,ModelParameters!$D$5:$K$5,0)))</f>
        <v>0.025</v>
      </c>
      <c r="R350" s="71">
        <f>IF(B350="",0,INDEX(ModelParameters!$D$13:$K$17,MATCH($O350,ModelParameters!$B$13:$B$17,0),MATCH($J350,ModelParameters!$D$5:$K$5,0)))</f>
        <v>0</v>
      </c>
      <c r="S350" s="160">
        <f>IF(B350="",0,MIN(IF($N350="Other Bond TM",ModelParameters!$N$21,1)*(P350*Q350+R350),1))</f>
        <v>0.025</v>
      </c>
      <c r="T350" s="85">
        <f>IF(B350="",0,$S350*$K350)</f>
        <v>4.9096630847086704</v>
      </c>
      <c r="U350" s="85">
        <f>IF(B350="",0,IF(OR(H350=MappingTables!$C$34,H350=MappingTables!$C$35),T350,0))</f>
        <v>0</v>
      </c>
      <c r="V350" s="85">
        <f>IF(ISNA(IF(AND(VLOOKUP(CONCATENATE($D350,$G350),CSRFinput!$B:$E,4,0)=0,OR(H350=MappingTables!$C$34,H350=MappingTables!$C$35)),1,VLOOKUP(CONCATENATE($D350,$G350),CSRFinput!$B:$E,4,0))),0,IF(AND(VLOOKUP(CONCATENATE($D350,$G350),CSRFinput!$B:$E,4,0)=0,OR(H350=MappingTables!$C$34,H350=MappingTables!$C$35)),1,VLOOKUP(CONCATENATE($D350,$G350),CSRFinput!$B:$E,4,0)))</f>
        <v>0.054776304963434752</v>
      </c>
      <c r="W350" s="85">
        <f>IF(B350="",0,+$T350*$V350)</f>
        <v>0.26893320239571992</v>
      </c>
      <c r="X350" s="85">
        <f>IF(B350="",0,IF(OR(H350=MappingTables!$C$34,H350=MappingTables!$C$35),W350,0))</f>
        <v>0</v>
      </c>
    </row>
    <row r="351" spans="2:24" s="0" customFormat="0" ht="15">
      <c r="B351" s="69">
        <v>11002190</v>
      </c>
      <c r="C351" s="70" t="s">
        <v>603</v>
      </c>
      <c r="D351" s="70" t="s">
        <v>1</v>
      </c>
      <c r="E351" s="70" t="s">
        <v>1</v>
      </c>
      <c r="F351" s="70"/>
      <c r="G351" s="70" t="s">
        <v>61</v>
      </c>
      <c r="H351" s="70" t="s">
        <v>178</v>
      </c>
      <c r="I351" s="70" t="s">
        <v>188</v>
      </c>
      <c r="J351" s="71">
        <f>IF(OR(I351=0,I351=""),"unrated",VLOOKUP(I351,MappingTables!$B$19:$C$31,2,FALSE))</f>
        <v>2</v>
      </c>
      <c r="K351" s="72">
        <v>222.23889619978892</v>
      </c>
      <c r="L351" s="70">
        <v>0.33868427932571548</v>
      </c>
      <c r="M351" s="71">
        <f>IF(L351&lt;1,1,L351)</f>
        <v>1</v>
      </c>
      <c r="N351" s="70" t="s">
        <v>141</v>
      </c>
      <c r="O351" s="71">
        <f>INDEX(DurClassMapping,MATCH(M351,MappingTables!$D$4:$D$8,-1),1)</f>
        <v>1</v>
      </c>
      <c r="P351" s="73">
        <f>IF(M351=$A$1,1,$M351-INDEX(MappingTables!$E$4:$E$8,MATCH(O351,MappingTables!$B$4:$B$8,0)))</f>
        <v>1</v>
      </c>
      <c r="Q351" s="71">
        <f>IF(B351="",0,INDEX(ModelParameters!$D$6:$K$10,MATCH($O351,ModelParameters!$B$6:$B$10,0),MATCH($J351,ModelParameters!$D$5:$K$5,0)))</f>
        <v>0.013999999999999998</v>
      </c>
      <c r="R351" s="71">
        <f>IF(B351="",0,INDEX(ModelParameters!$D$13:$K$17,MATCH($O351,ModelParameters!$B$13:$B$17,0),MATCH($J351,ModelParameters!$D$5:$K$5,0)))</f>
        <v>0</v>
      </c>
      <c r="S351" s="160">
        <f>IF(B351="",0,MIN(IF($N351="Other Bond TM",ModelParameters!$N$21,1)*(P351*Q351+R351),1))</f>
        <v>0.013999999999999998</v>
      </c>
      <c r="T351" s="85">
        <f>IF(B351="",0,$S351*$K351)</f>
        <v>3.1113445467970444</v>
      </c>
      <c r="U351" s="85">
        <f>IF(B351="",0,IF(OR(H351=MappingTables!$C$34,H351=MappingTables!$C$35),T351,0))</f>
        <v>0</v>
      </c>
      <c r="V351" s="85">
        <f>IF(ISNA(IF(AND(VLOOKUP(CONCATENATE($D351,$G351),CSRFinput!$B:$E,4,0)=0,OR(H351=MappingTables!$C$34,H351=MappingTables!$C$35)),1,VLOOKUP(CONCATENATE($D351,$G351),CSRFinput!$B:$E,4,0))),0,IF(AND(VLOOKUP(CONCATENATE($D351,$G351),CSRFinput!$B:$E,4,0)=0,OR(H351=MappingTables!$C$34,H351=MappingTables!$C$35)),1,VLOOKUP(CONCATENATE($D351,$G351),CSRFinput!$B:$E,4,0)))</f>
        <v>0.054776304963434752</v>
      </c>
      <c r="W351" s="85">
        <f>IF(B351="",0,+$T351*$V351)</f>
        <v>0.1704279577416746</v>
      </c>
      <c r="X351" s="85">
        <f>IF(B351="",0,IF(OR(H351=MappingTables!$C$34,H351=MappingTables!$C$35),W351,0))</f>
        <v>0</v>
      </c>
    </row>
    <row r="352" spans="2:24" s="0" customFormat="0" ht="15">
      <c r="B352" s="69" t="s">
        <v>604</v>
      </c>
      <c r="C352" s="70" t="s">
        <v>605</v>
      </c>
      <c r="D352" s="70" t="s">
        <v>1</v>
      </c>
      <c r="E352" s="70" t="s">
        <v>1</v>
      </c>
      <c r="F352" s="70"/>
      <c r="G352" s="70" t="s">
        <v>61</v>
      </c>
      <c r="H352" s="70" t="s">
        <v>178</v>
      </c>
      <c r="I352" s="70" t="s">
        <v>179</v>
      </c>
      <c r="J352" s="71">
        <f>IF(OR(I352=0,I352=""),"unrated",VLOOKUP(I352,MappingTables!$B$19:$C$31,2,FALSE))</f>
        <v>4</v>
      </c>
      <c r="K352" s="72">
        <v>99248.0976411972</v>
      </c>
      <c r="L352" s="70">
        <v>4.4268203874712968</v>
      </c>
      <c r="M352" s="71">
        <f>IF(L352&lt;1,1,L352)</f>
        <v>4.4268203874712968</v>
      </c>
      <c r="N352" s="70" t="s">
        <v>141</v>
      </c>
      <c r="O352" s="71">
        <f>INDEX(DurClassMapping,MATCH(M352,MappingTables!$D$4:$D$8,-1),1)</f>
        <v>1</v>
      </c>
      <c r="P352" s="73">
        <f>IF(M352=$A$1,1,$M352-INDEX(MappingTables!$E$4:$E$8,MATCH(O352,MappingTables!$B$4:$B$8,0)))</f>
        <v>4.4268203874712968</v>
      </c>
      <c r="Q352" s="71">
        <f>IF(B352="",0,INDEX(ModelParameters!$D$6:$K$10,MATCH($O352,ModelParameters!$B$6:$B$10,0),MATCH($J352,ModelParameters!$D$5:$K$5,0)))</f>
        <v>0.045</v>
      </c>
      <c r="R352" s="71">
        <f>IF(B352="",0,INDEX(ModelParameters!$D$13:$K$17,MATCH($O352,ModelParameters!$B$13:$B$17,0),MATCH($J352,ModelParameters!$D$5:$K$5,0)))</f>
        <v>0</v>
      </c>
      <c r="S352" s="160">
        <f>IF(B352="",0,MIN(IF($N352="Other Bond TM",ModelParameters!$N$21,1)*(P352*Q352+R352),1))</f>
        <v>0.19920691743620836</v>
      </c>
      <c r="T352" s="85">
        <f>IF(B352="",0,$S352*$K352)</f>
        <v>19770.907592510716</v>
      </c>
      <c r="U352" s="85">
        <f>IF(B352="",0,IF(OR(H352=MappingTables!$C$34,H352=MappingTables!$C$35),T352,0))</f>
        <v>0</v>
      </c>
      <c r="V352" s="85">
        <f>IF(ISNA(IF(AND(VLOOKUP(CONCATENATE($D352,$G352),CSRFinput!$B:$E,4,0)=0,OR(H352=MappingTables!$C$34,H352=MappingTables!$C$35)),1,VLOOKUP(CONCATENATE($D352,$G352),CSRFinput!$B:$E,4,0))),0,IF(AND(VLOOKUP(CONCATENATE($D352,$G352),CSRFinput!$B:$E,4,0)=0,OR(H352=MappingTables!$C$34,H352=MappingTables!$C$35)),1,VLOOKUP(CONCATENATE($D352,$G352),CSRFinput!$B:$E,4,0)))</f>
        <v>0.054776304963434752</v>
      </c>
      <c r="W352" s="85">
        <f>IF(B352="",0,+$T352*$V352)</f>
        <v>1082.9772636912546</v>
      </c>
      <c r="X352" s="85">
        <f>IF(B352="",0,IF(OR(H352=MappingTables!$C$34,H352=MappingTables!$C$35),W352,0))</f>
        <v>0</v>
      </c>
    </row>
    <row r="353" spans="2:24" s="0" customFormat="0" ht="15">
      <c r="B353" s="69">
        <v>21743790</v>
      </c>
      <c r="C353" s="70" t="s">
        <v>606</v>
      </c>
      <c r="D353" s="70" t="s">
        <v>1</v>
      </c>
      <c r="E353" s="70" t="s">
        <v>1</v>
      </c>
      <c r="F353" s="70"/>
      <c r="G353" s="70" t="s">
        <v>61</v>
      </c>
      <c r="H353" s="70" t="s">
        <v>178</v>
      </c>
      <c r="I353" s="70" t="s">
        <v>179</v>
      </c>
      <c r="J353" s="71">
        <f>IF(OR(I353=0,I353=""),"unrated",VLOOKUP(I353,MappingTables!$B$19:$C$31,2,FALSE))</f>
        <v>4</v>
      </c>
      <c r="K353" s="72">
        <v>23182.15508720774</v>
      </c>
      <c r="L353" s="70">
        <v>4.0637274860641296</v>
      </c>
      <c r="M353" s="71">
        <f>IF(L353&lt;1,1,L353)</f>
        <v>4.0637274860641296</v>
      </c>
      <c r="N353" s="70" t="s">
        <v>141</v>
      </c>
      <c r="O353" s="71">
        <f>INDEX(DurClassMapping,MATCH(M353,MappingTables!$D$4:$D$8,-1),1)</f>
        <v>1</v>
      </c>
      <c r="P353" s="73">
        <f>IF(M353=$A$1,1,$M353-INDEX(MappingTables!$E$4:$E$8,MATCH(O353,MappingTables!$B$4:$B$8,0)))</f>
        <v>4.0637274860641296</v>
      </c>
      <c r="Q353" s="71">
        <f>IF(B353="",0,INDEX(ModelParameters!$D$6:$K$10,MATCH($O353,ModelParameters!$B$6:$B$10,0),MATCH($J353,ModelParameters!$D$5:$K$5,0)))</f>
        <v>0.045</v>
      </c>
      <c r="R353" s="71">
        <f>IF(B353="",0,INDEX(ModelParameters!$D$13:$K$17,MATCH($O353,ModelParameters!$B$13:$B$17,0),MATCH($J353,ModelParameters!$D$5:$K$5,0)))</f>
        <v>0</v>
      </c>
      <c r="S353" s="160">
        <f>IF(B353="",0,MIN(IF($N353="Other Bond TM",ModelParameters!$N$21,1)*(P353*Q353+R353),1))</f>
        <v>0.18286773687288584</v>
      </c>
      <c r="T353" s="85">
        <f>IF(B353="",0,$S353*$K353)</f>
        <v>4239.268236633936</v>
      </c>
      <c r="U353" s="85">
        <f>IF(B353="",0,IF(OR(H353=MappingTables!$C$34,H353=MappingTables!$C$35),T353,0))</f>
        <v>0</v>
      </c>
      <c r="V353" s="85">
        <f>IF(ISNA(IF(AND(VLOOKUP(CONCATENATE($D353,$G353),CSRFinput!$B:$E,4,0)=0,OR(H353=MappingTables!$C$34,H353=MappingTables!$C$35)),1,VLOOKUP(CONCATENATE($D353,$G353),CSRFinput!$B:$E,4,0))),0,IF(AND(VLOOKUP(CONCATENATE($D353,$G353),CSRFinput!$B:$E,4,0)=0,OR(H353=MappingTables!$C$34,H353=MappingTables!$C$35)),1,VLOOKUP(CONCATENATE($D353,$G353),CSRFinput!$B:$E,4,0)))</f>
        <v>0.054776304963434752</v>
      </c>
      <c r="W353" s="85">
        <f>IF(B353="",0,+$T353*$V353)</f>
        <v>232.21144975166276</v>
      </c>
      <c r="X353" s="85">
        <f>IF(B353="",0,IF(OR(H353=MappingTables!$C$34,H353=MappingTables!$C$35),W353,0))</f>
        <v>0</v>
      </c>
    </row>
    <row r="354" spans="2:24" s="0" customFormat="0" ht="15">
      <c r="B354" s="69">
        <v>20215778</v>
      </c>
      <c r="C354" s="70" t="s">
        <v>607</v>
      </c>
      <c r="D354" s="70" t="s">
        <v>1</v>
      </c>
      <c r="E354" s="70" t="s">
        <v>1</v>
      </c>
      <c r="F354" s="70"/>
      <c r="G354" s="70" t="s">
        <v>61</v>
      </c>
      <c r="H354" s="70" t="s">
        <v>178</v>
      </c>
      <c r="I354" s="70" t="s">
        <v>181</v>
      </c>
      <c r="J354" s="71">
        <f>IF(OR(I354=0,I354=""),"unrated",VLOOKUP(I354,MappingTables!$B$19:$C$31,2,FALSE))</f>
        <v>3</v>
      </c>
      <c r="K354" s="72">
        <v>4132.9207836804904</v>
      </c>
      <c r="L354" s="70">
        <v>17.094226489234906</v>
      </c>
      <c r="M354" s="71">
        <f>IF(L354&lt;1,1,L354)</f>
        <v>17.094226489234906</v>
      </c>
      <c r="N354" s="70" t="s">
        <v>141</v>
      </c>
      <c r="O354" s="71">
        <f>INDEX(DurClassMapping,MATCH(M354,MappingTables!$D$4:$D$8,-1),1)</f>
        <v>4</v>
      </c>
      <c r="P354" s="73">
        <f>IF(M354=$A$1,1,$M354-INDEX(MappingTables!$E$4:$E$8,MATCH(O354,MappingTables!$B$4:$B$8,0)))</f>
        <v>2.094226489234906</v>
      </c>
      <c r="Q354" s="71">
        <f>IF(B354="",0,INDEX(ModelParameters!$D$6:$K$10,MATCH($O354,ModelParameters!$B$6:$B$10,0),MATCH($J354,ModelParameters!$D$5:$K$5,0)))</f>
        <v>0.01</v>
      </c>
      <c r="R354" s="71">
        <f>IF(B354="",0,INDEX(ModelParameters!$D$13:$K$17,MATCH($O354,ModelParameters!$B$13:$B$17,0),MATCH($J354,ModelParameters!$D$5:$K$5,0)))</f>
        <v>0.25</v>
      </c>
      <c r="S354" s="160">
        <f>IF(B354="",0,MIN(IF($N354="Other Bond TM",ModelParameters!$N$21,1)*(P354*Q354+R354),1))</f>
        <v>0.27094226489234908</v>
      </c>
      <c r="T354" s="85">
        <f>IF(B354="",0,$S354*$K354)</f>
        <v>1119.7829177510544</v>
      </c>
      <c r="U354" s="85">
        <f>IF(B354="",0,IF(OR(H354=MappingTables!$C$34,H354=MappingTables!$C$35),T354,0))</f>
        <v>0</v>
      </c>
      <c r="V354" s="85">
        <f>IF(ISNA(IF(AND(VLOOKUP(CONCATENATE($D354,$G354),CSRFinput!$B:$E,4,0)=0,OR(H354=MappingTables!$C$34,H354=MappingTables!$C$35)),1,VLOOKUP(CONCATENATE($D354,$G354),CSRFinput!$B:$E,4,0))),0,IF(AND(VLOOKUP(CONCATENATE($D354,$G354),CSRFinput!$B:$E,4,0)=0,OR(H354=MappingTables!$C$34,H354=MappingTables!$C$35)),1,VLOOKUP(CONCATENATE($D354,$G354),CSRFinput!$B:$E,4,0)))</f>
        <v>0.054776304963434752</v>
      </c>
      <c r="W354" s="85">
        <f>IF(B354="",0,+$T354*$V354)</f>
        <v>61.337570595576528</v>
      </c>
      <c r="X354" s="85">
        <f>IF(B354="",0,IF(OR(H354=MappingTables!$C$34,H354=MappingTables!$C$35),W354,0))</f>
        <v>0</v>
      </c>
    </row>
    <row r="355" spans="2:24" s="0" customFormat="0" ht="15">
      <c r="B355" s="69">
        <v>12553441</v>
      </c>
      <c r="C355" s="70" t="s">
        <v>608</v>
      </c>
      <c r="D355" s="70" t="s">
        <v>1</v>
      </c>
      <c r="E355" s="70" t="s">
        <v>1</v>
      </c>
      <c r="F355" s="70"/>
      <c r="G355" s="70" t="s">
        <v>61</v>
      </c>
      <c r="H355" s="70" t="s">
        <v>178</v>
      </c>
      <c r="I355" s="70" t="s">
        <v>181</v>
      </c>
      <c r="J355" s="71">
        <f>IF(OR(I355=0,I355=""),"unrated",VLOOKUP(I355,MappingTables!$B$19:$C$31,2,FALSE))</f>
        <v>3</v>
      </c>
      <c r="K355" s="72">
        <v>143.7664767534226</v>
      </c>
      <c r="L355" s="70">
        <v>0.69348021183245792</v>
      </c>
      <c r="M355" s="71">
        <f>IF(L355&lt;1,1,L355)</f>
        <v>1</v>
      </c>
      <c r="N355" s="70" t="s">
        <v>141</v>
      </c>
      <c r="O355" s="71">
        <f>INDEX(DurClassMapping,MATCH(M355,MappingTables!$D$4:$D$8,-1),1)</f>
        <v>1</v>
      </c>
      <c r="P355" s="73">
        <f>IF(M355=$A$1,1,$M355-INDEX(MappingTables!$E$4:$E$8,MATCH(O355,MappingTables!$B$4:$B$8,0)))</f>
        <v>1</v>
      </c>
      <c r="Q355" s="71">
        <f>IF(B355="",0,INDEX(ModelParameters!$D$6:$K$10,MATCH($O355,ModelParameters!$B$6:$B$10,0),MATCH($J355,ModelParameters!$D$5:$K$5,0)))</f>
        <v>0.025</v>
      </c>
      <c r="R355" s="71">
        <f>IF(B355="",0,INDEX(ModelParameters!$D$13:$K$17,MATCH($O355,ModelParameters!$B$13:$B$17,0),MATCH($J355,ModelParameters!$D$5:$K$5,0)))</f>
        <v>0</v>
      </c>
      <c r="S355" s="160">
        <f>IF(B355="",0,MIN(IF($N355="Other Bond TM",ModelParameters!$N$21,1)*(P355*Q355+R355),1))</f>
        <v>0.025</v>
      </c>
      <c r="T355" s="85">
        <f>IF(B355="",0,$S355*$K355)</f>
        <v>3.5941619188355656</v>
      </c>
      <c r="U355" s="85">
        <f>IF(B355="",0,IF(OR(H355=MappingTables!$C$34,H355=MappingTables!$C$35),T355,0))</f>
        <v>0</v>
      </c>
      <c r="V355" s="85">
        <f>IF(ISNA(IF(AND(VLOOKUP(CONCATENATE($D355,$G355),CSRFinput!$B:$E,4,0)=0,OR(H355=MappingTables!$C$34,H355=MappingTables!$C$35)),1,VLOOKUP(CONCATENATE($D355,$G355),CSRFinput!$B:$E,4,0))),0,IF(AND(VLOOKUP(CONCATENATE($D355,$G355),CSRFinput!$B:$E,4,0)=0,OR(H355=MappingTables!$C$34,H355=MappingTables!$C$35)),1,VLOOKUP(CONCATENATE($D355,$G355),CSRFinput!$B:$E,4,0)))</f>
        <v>0.054776304963434752</v>
      </c>
      <c r="W355" s="85">
        <f>IF(B355="",0,+$T355*$V355)</f>
        <v>0.19687490935410076</v>
      </c>
      <c r="X355" s="85">
        <f>IF(B355="",0,IF(OR(H355=MappingTables!$C$34,H355=MappingTables!$C$35),W355,0))</f>
        <v>0</v>
      </c>
    </row>
    <row r="356" spans="2:24" s="0" customFormat="0" ht="15">
      <c r="B356" s="69">
        <v>23595944</v>
      </c>
      <c r="C356" s="70" t="s">
        <v>609</v>
      </c>
      <c r="D356" s="70" t="s">
        <v>1</v>
      </c>
      <c r="E356" s="70" t="s">
        <v>1</v>
      </c>
      <c r="F356" s="70"/>
      <c r="G356" s="70" t="s">
        <v>61</v>
      </c>
      <c r="H356" s="70" t="s">
        <v>178</v>
      </c>
      <c r="I356" s="70" t="s">
        <v>188</v>
      </c>
      <c r="J356" s="71">
        <f>IF(OR(I356=0,I356=""),"unrated",VLOOKUP(I356,MappingTables!$B$19:$C$31,2,FALSE))</f>
        <v>2</v>
      </c>
      <c r="K356" s="72">
        <v>2150.8050573343492</v>
      </c>
      <c r="L356" s="70">
        <v>1.4891760510371242</v>
      </c>
      <c r="M356" s="71">
        <f>IF(L356&lt;1,1,L356)</f>
        <v>1.4891760510371242</v>
      </c>
      <c r="N356" s="70" t="s">
        <v>141</v>
      </c>
      <c r="O356" s="71">
        <f>INDEX(DurClassMapping,MATCH(M356,MappingTables!$D$4:$D$8,-1),1)</f>
        <v>1</v>
      </c>
      <c r="P356" s="73">
        <f>IF(M356=$A$1,1,$M356-INDEX(MappingTables!$E$4:$E$8,MATCH(O356,MappingTables!$B$4:$B$8,0)))</f>
        <v>1.4891760510371242</v>
      </c>
      <c r="Q356" s="71">
        <f>IF(B356="",0,INDEX(ModelParameters!$D$6:$K$10,MATCH($O356,ModelParameters!$B$6:$B$10,0),MATCH($J356,ModelParameters!$D$5:$K$5,0)))</f>
        <v>0.013999999999999998</v>
      </c>
      <c r="R356" s="71">
        <f>IF(B356="",0,INDEX(ModelParameters!$D$13:$K$17,MATCH($O356,ModelParameters!$B$13:$B$17,0),MATCH($J356,ModelParameters!$D$5:$K$5,0)))</f>
        <v>0</v>
      </c>
      <c r="S356" s="160">
        <f>IF(B356="",0,MIN(IF($N356="Other Bond TM",ModelParameters!$N$21,1)*(P356*Q356+R356),1))</f>
        <v>0.020848464714519736</v>
      </c>
      <c r="T356" s="85">
        <f>IF(B356="",0,$S356*$K356)</f>
        <v>44.840983345645784</v>
      </c>
      <c r="U356" s="85">
        <f>IF(B356="",0,IF(OR(H356=MappingTables!$C$34,H356=MappingTables!$C$35),T356,0))</f>
        <v>0</v>
      </c>
      <c r="V356" s="85">
        <f>IF(ISNA(IF(AND(VLOOKUP(CONCATENATE($D356,$G356),CSRFinput!$B:$E,4,0)=0,OR(H356=MappingTables!$C$34,H356=MappingTables!$C$35)),1,VLOOKUP(CONCATENATE($D356,$G356),CSRFinput!$B:$E,4,0))),0,IF(AND(VLOOKUP(CONCATENATE($D356,$G356),CSRFinput!$B:$E,4,0)=0,OR(H356=MappingTables!$C$34,H356=MappingTables!$C$35)),1,VLOOKUP(CONCATENATE($D356,$G356),CSRFinput!$B:$E,4,0)))</f>
        <v>0.054776304963434752</v>
      </c>
      <c r="W356" s="85">
        <f>IF(B356="",0,+$T356*$V356)</f>
        <v>2.456223378601392</v>
      </c>
      <c r="X356" s="85">
        <f>IF(B356="",0,IF(OR(H356=MappingTables!$C$34,H356=MappingTables!$C$35),W356,0))</f>
        <v>0</v>
      </c>
    </row>
    <row r="357" spans="2:24" s="0" customFormat="0" ht="15">
      <c r="B357" s="69" t="s">
        <v>610</v>
      </c>
      <c r="C357" s="70" t="s">
        <v>611</v>
      </c>
      <c r="D357" s="70" t="s">
        <v>1</v>
      </c>
      <c r="E357" s="70" t="s">
        <v>1</v>
      </c>
      <c r="F357" s="70"/>
      <c r="G357" s="70" t="s">
        <v>61</v>
      </c>
      <c r="H357" s="70" t="s">
        <v>178</v>
      </c>
      <c r="I357" s="70" t="s">
        <v>198</v>
      </c>
      <c r="J357" s="71" t="str">
        <f>IF(OR(I357=0,I357=""),"unrated",VLOOKUP(I357,MappingTables!$B$19:$C$31,2,FALSE))</f>
        <v>unrated</v>
      </c>
      <c r="K357" s="72">
        <v>134.44608918513532</v>
      </c>
      <c r="L357" s="70">
        <v>4.6667988251322264</v>
      </c>
      <c r="M357" s="71">
        <f>IF(L357&lt;1,1,L357)</f>
        <v>4.6667988251322264</v>
      </c>
      <c r="N357" s="70" t="s">
        <v>141</v>
      </c>
      <c r="O357" s="71">
        <f>INDEX(DurClassMapping,MATCH(M357,MappingTables!$D$4:$D$8,-1),1)</f>
        <v>1</v>
      </c>
      <c r="P357" s="73">
        <f>IF(M357=$A$1,1,$M357-INDEX(MappingTables!$E$4:$E$8,MATCH(O357,MappingTables!$B$4:$B$8,0)))</f>
        <v>4.6667988251322264</v>
      </c>
      <c r="Q357" s="71">
        <f>IF(B357="",0,INDEX(ModelParameters!$D$6:$K$10,MATCH($O357,ModelParameters!$B$6:$B$10,0),MATCH($J357,ModelParameters!$D$5:$K$5,0)))</f>
        <v>0.03</v>
      </c>
      <c r="R357" s="71">
        <f>IF(B357="",0,INDEX(ModelParameters!$D$13:$K$17,MATCH($O357,ModelParameters!$B$13:$B$17,0),MATCH($J357,ModelParameters!$D$5:$K$5,0)))</f>
        <v>0</v>
      </c>
      <c r="S357" s="160">
        <f>IF(B357="",0,MIN(IF($N357="Other Bond TM",ModelParameters!$N$21,1)*(P357*Q357+R357),1))</f>
        <v>0.14000396475396678</v>
      </c>
      <c r="T357" s="85">
        <f>IF(B357="",0,$S357*$K357)</f>
        <v>18.82298553158436</v>
      </c>
      <c r="U357" s="85">
        <f>IF(B357="",0,IF(OR(H357=MappingTables!$C$34,H357=MappingTables!$C$35),T357,0))</f>
        <v>0</v>
      </c>
      <c r="V357" s="85">
        <f>IF(ISNA(IF(AND(VLOOKUP(CONCATENATE($D357,$G357),CSRFinput!$B:$E,4,0)=0,OR(H357=MappingTables!$C$34,H357=MappingTables!$C$35)),1,VLOOKUP(CONCATENATE($D357,$G357),CSRFinput!$B:$E,4,0))),0,IF(AND(VLOOKUP(CONCATENATE($D357,$G357),CSRFinput!$B:$E,4,0)=0,OR(H357=MappingTables!$C$34,H357=MappingTables!$C$35)),1,VLOOKUP(CONCATENATE($D357,$G357),CSRFinput!$B:$E,4,0)))</f>
        <v>0.054776304963434752</v>
      </c>
      <c r="W357" s="85">
        <f>IF(B357="",0,+$T357*$V357)</f>
        <v>1.031053595800385</v>
      </c>
      <c r="X357" s="85">
        <f>IF(B357="",0,IF(OR(H357=MappingTables!$C$34,H357=MappingTables!$C$35),W357,0))</f>
        <v>0</v>
      </c>
    </row>
    <row r="358" spans="2:24" s="0" customFormat="0" ht="15">
      <c r="B358" s="69">
        <v>19485210</v>
      </c>
      <c r="C358" s="70" t="s">
        <v>612</v>
      </c>
      <c r="D358" s="70" t="s">
        <v>1</v>
      </c>
      <c r="E358" s="70" t="s">
        <v>1</v>
      </c>
      <c r="F358" s="70"/>
      <c r="G358" s="70" t="s">
        <v>61</v>
      </c>
      <c r="H358" s="70" t="s">
        <v>178</v>
      </c>
      <c r="I358" s="70" t="s">
        <v>181</v>
      </c>
      <c r="J358" s="71">
        <f>IF(OR(I358=0,I358=""),"unrated",VLOOKUP(I358,MappingTables!$B$19:$C$31,2,FALSE))</f>
        <v>3</v>
      </c>
      <c r="K358" s="72">
        <v>225.24942556999808</v>
      </c>
      <c r="L358" s="70">
        <v>16.381665690890504</v>
      </c>
      <c r="M358" s="71">
        <f>IF(L358&lt;1,1,L358)</f>
        <v>16.381665690890504</v>
      </c>
      <c r="N358" s="70" t="s">
        <v>141</v>
      </c>
      <c r="O358" s="71">
        <f>INDEX(DurClassMapping,MATCH(M358,MappingTables!$D$4:$D$8,-1),1)</f>
        <v>4</v>
      </c>
      <c r="P358" s="73">
        <f>IF(M358=$A$1,1,$M358-INDEX(MappingTables!$E$4:$E$8,MATCH(O358,MappingTables!$B$4:$B$8,0)))</f>
        <v>1.3816656908905038</v>
      </c>
      <c r="Q358" s="71">
        <f>IF(B358="",0,INDEX(ModelParameters!$D$6:$K$10,MATCH($O358,ModelParameters!$B$6:$B$10,0),MATCH($J358,ModelParameters!$D$5:$K$5,0)))</f>
        <v>0.01</v>
      </c>
      <c r="R358" s="71">
        <f>IF(B358="",0,INDEX(ModelParameters!$D$13:$K$17,MATCH($O358,ModelParameters!$B$13:$B$17,0),MATCH($J358,ModelParameters!$D$5:$K$5,0)))</f>
        <v>0.25</v>
      </c>
      <c r="S358" s="160">
        <f>IF(B358="",0,MIN(IF($N358="Other Bond TM",ModelParameters!$N$21,1)*(P358*Q358+R358),1))</f>
        <v>0.26381665690890504</v>
      </c>
      <c r="T358" s="85">
        <f>IF(B358="",0,$S358*$K358)</f>
        <v>59.424550424528128</v>
      </c>
      <c r="U358" s="85">
        <f>IF(B358="",0,IF(OR(H358=MappingTables!$C$34,H358=MappingTables!$C$35),T358,0))</f>
        <v>0</v>
      </c>
      <c r="V358" s="85">
        <f>IF(ISNA(IF(AND(VLOOKUP(CONCATENATE($D358,$G358),CSRFinput!$B:$E,4,0)=0,OR(H358=MappingTables!$C$34,H358=MappingTables!$C$35)),1,VLOOKUP(CONCATENATE($D358,$G358),CSRFinput!$B:$E,4,0))),0,IF(AND(VLOOKUP(CONCATENATE($D358,$G358),CSRFinput!$B:$E,4,0)=0,OR(H358=MappingTables!$C$34,H358=MappingTables!$C$35)),1,VLOOKUP(CONCATENATE($D358,$G358),CSRFinput!$B:$E,4,0)))</f>
        <v>0.054776304963434752</v>
      </c>
      <c r="W358" s="85">
        <f>IF(B358="",0,+$T358*$V358)</f>
        <v>3.2550572963689592</v>
      </c>
      <c r="X358" s="85">
        <f>IF(B358="",0,IF(OR(H358=MappingTables!$C$34,H358=MappingTables!$C$35),W358,0))</f>
        <v>0</v>
      </c>
    </row>
    <row r="359" spans="2:24" s="0" customFormat="0" ht="15">
      <c r="B359" s="69">
        <v>13366879</v>
      </c>
      <c r="C359" s="70" t="s">
        <v>613</v>
      </c>
      <c r="D359" s="70" t="s">
        <v>1</v>
      </c>
      <c r="E359" s="70" t="s">
        <v>1</v>
      </c>
      <c r="F359" s="70"/>
      <c r="G359" s="70" t="s">
        <v>61</v>
      </c>
      <c r="H359" s="70" t="s">
        <v>178</v>
      </c>
      <c r="I359" s="70" t="s">
        <v>184</v>
      </c>
      <c r="J359" s="71">
        <f>IF(OR(I359=0,I359=""),"unrated",VLOOKUP(I359,MappingTables!$B$19:$C$31,2,FALSE))</f>
        <v>5</v>
      </c>
      <c r="K359" s="72">
        <v>6583.7776452075848</v>
      </c>
      <c r="L359" s="70">
        <v>0.087675104380853728</v>
      </c>
      <c r="M359" s="71">
        <f>IF(L359&lt;1,1,L359)</f>
        <v>1</v>
      </c>
      <c r="N359" s="70" t="s">
        <v>141</v>
      </c>
      <c r="O359" s="71">
        <f>INDEX(DurClassMapping,MATCH(M359,MappingTables!$D$4:$D$8,-1),1)</f>
        <v>1</v>
      </c>
      <c r="P359" s="73">
        <f>IF(M359=$A$1,1,$M359-INDEX(MappingTables!$E$4:$E$8,MATCH(O359,MappingTables!$B$4:$B$8,0)))</f>
        <v>1</v>
      </c>
      <c r="Q359" s="71">
        <f>IF(B359="",0,INDEX(ModelParameters!$D$6:$K$10,MATCH($O359,ModelParameters!$B$6:$B$10,0),MATCH($J359,ModelParameters!$D$5:$K$5,0)))</f>
        <v>0.075</v>
      </c>
      <c r="R359" s="71">
        <f>IF(B359="",0,INDEX(ModelParameters!$D$13:$K$17,MATCH($O359,ModelParameters!$B$13:$B$17,0),MATCH($J359,ModelParameters!$D$5:$K$5,0)))</f>
        <v>0</v>
      </c>
      <c r="S359" s="160">
        <f>IF(B359="",0,MIN(IF($N359="Other Bond TM",ModelParameters!$N$21,1)*(P359*Q359+R359),1))</f>
        <v>0.075</v>
      </c>
      <c r="T359" s="85">
        <f>IF(B359="",0,$S359*$K359)</f>
        <v>493.78332339056888</v>
      </c>
      <c r="U359" s="85">
        <f>IF(B359="",0,IF(OR(H359=MappingTables!$C$34,H359=MappingTables!$C$35),T359,0))</f>
        <v>0</v>
      </c>
      <c r="V359" s="85">
        <f>IF(ISNA(IF(AND(VLOOKUP(CONCATENATE($D359,$G359),CSRFinput!$B:$E,4,0)=0,OR(H359=MappingTables!$C$34,H359=MappingTables!$C$35)),1,VLOOKUP(CONCATENATE($D359,$G359),CSRFinput!$B:$E,4,0))),0,IF(AND(VLOOKUP(CONCATENATE($D359,$G359),CSRFinput!$B:$E,4,0)=0,OR(H359=MappingTables!$C$34,H359=MappingTables!$C$35)),1,VLOOKUP(CONCATENATE($D359,$G359),CSRFinput!$B:$E,4,0)))</f>
        <v>0.054776304963434752</v>
      </c>
      <c r="W359" s="85">
        <f>IF(B359="",0,+$T359*$V359)</f>
        <v>27.047625907900124</v>
      </c>
      <c r="X359" s="85">
        <f>IF(B359="",0,IF(OR(H359=MappingTables!$C$34,H359=MappingTables!$C$35),W359,0))</f>
        <v>0</v>
      </c>
    </row>
    <row r="360" spans="2:24" s="0" customFormat="0" ht="15">
      <c r="B360" s="69">
        <v>14729825</v>
      </c>
      <c r="C360" s="70" t="s">
        <v>614</v>
      </c>
      <c r="D360" s="70" t="s">
        <v>1</v>
      </c>
      <c r="E360" s="70" t="s">
        <v>1</v>
      </c>
      <c r="F360" s="70"/>
      <c r="G360" s="70" t="s">
        <v>61</v>
      </c>
      <c r="H360" s="70" t="s">
        <v>178</v>
      </c>
      <c r="I360" s="70" t="s">
        <v>179</v>
      </c>
      <c r="J360" s="71">
        <f>IF(OR(I360=0,I360=""),"unrated",VLOOKUP(I360,MappingTables!$B$19:$C$31,2,FALSE))</f>
        <v>4</v>
      </c>
      <c r="K360" s="72">
        <v>16958.307479414022</v>
      </c>
      <c r="L360" s="70">
        <v>6.2132688299800912</v>
      </c>
      <c r="M360" s="71">
        <f>IF(L360&lt;1,1,L360)</f>
        <v>6.2132688299800912</v>
      </c>
      <c r="N360" s="70" t="s">
        <v>141</v>
      </c>
      <c r="O360" s="71">
        <f>INDEX(DurClassMapping,MATCH(M360,MappingTables!$D$4:$D$8,-1),1)</f>
        <v>2</v>
      </c>
      <c r="P360" s="73">
        <f>IF(M360=$A$1,1,$M360-INDEX(MappingTables!$E$4:$E$8,MATCH(O360,MappingTables!$B$4:$B$8,0)))</f>
        <v>1.2132688299800912</v>
      </c>
      <c r="Q360" s="71">
        <f>IF(B360="",0,INDEX(ModelParameters!$D$6:$K$10,MATCH($O360,ModelParameters!$B$6:$B$10,0),MATCH($J360,ModelParameters!$D$5:$K$5,0)))</f>
        <v>0.025</v>
      </c>
      <c r="R360" s="71">
        <f>IF(B360="",0,INDEX(ModelParameters!$D$13:$K$17,MATCH($O360,ModelParameters!$B$13:$B$17,0),MATCH($J360,ModelParameters!$D$5:$K$5,0)))</f>
        <v>0.225</v>
      </c>
      <c r="S360" s="160">
        <f>IF(B360="",0,MIN(IF($N360="Other Bond TM",ModelParameters!$N$21,1)*(P360*Q360+R360),1))</f>
        <v>0.25533172074950228</v>
      </c>
      <c r="T360" s="85">
        <f>IF(B360="",0,$S360*$K360)</f>
        <v>4329.9938297179368</v>
      </c>
      <c r="U360" s="85">
        <f>IF(B360="",0,IF(OR(H360=MappingTables!$C$34,H360=MappingTables!$C$35),T360,0))</f>
        <v>0</v>
      </c>
      <c r="V360" s="85">
        <f>IF(ISNA(IF(AND(VLOOKUP(CONCATENATE($D360,$G360),CSRFinput!$B:$E,4,0)=0,OR(H360=MappingTables!$C$34,H360=MappingTables!$C$35)),1,VLOOKUP(CONCATENATE($D360,$G360),CSRFinput!$B:$E,4,0))),0,IF(AND(VLOOKUP(CONCATENATE($D360,$G360),CSRFinput!$B:$E,4,0)=0,OR(H360=MappingTables!$C$34,H360=MappingTables!$C$35)),1,VLOOKUP(CONCATENATE($D360,$G360),CSRFinput!$B:$E,4,0)))</f>
        <v>0.054776304963434752</v>
      </c>
      <c r="W360" s="85">
        <f>IF(B360="",0,+$T360*$V360)</f>
        <v>237.18106250642048</v>
      </c>
      <c r="X360" s="85">
        <f>IF(B360="",0,IF(OR(H360=MappingTables!$C$34,H360=MappingTables!$C$35),W360,0))</f>
        <v>0</v>
      </c>
    </row>
    <row r="361" spans="2:24" s="0" customFormat="0" ht="15">
      <c r="B361" s="69">
        <v>17785897</v>
      </c>
      <c r="C361" s="70" t="s">
        <v>615</v>
      </c>
      <c r="D361" s="70" t="s">
        <v>1</v>
      </c>
      <c r="E361" s="70" t="s">
        <v>1</v>
      </c>
      <c r="F361" s="70"/>
      <c r="G361" s="70" t="s">
        <v>61</v>
      </c>
      <c r="H361" s="70" t="s">
        <v>178</v>
      </c>
      <c r="I361" s="70" t="s">
        <v>181</v>
      </c>
      <c r="J361" s="71">
        <f>IF(OR(I361=0,I361=""),"unrated",VLOOKUP(I361,MappingTables!$B$19:$C$31,2,FALSE))</f>
        <v>3</v>
      </c>
      <c r="K361" s="72">
        <v>7.5235297349560864</v>
      </c>
      <c r="L361" s="70">
        <v>0.72055674915630008</v>
      </c>
      <c r="M361" s="71">
        <f>IF(L361&lt;1,1,L361)</f>
        <v>1</v>
      </c>
      <c r="N361" s="70" t="s">
        <v>141</v>
      </c>
      <c r="O361" s="71">
        <f>INDEX(DurClassMapping,MATCH(M361,MappingTables!$D$4:$D$8,-1),1)</f>
        <v>1</v>
      </c>
      <c r="P361" s="73">
        <f>IF(M361=$A$1,1,$M361-INDEX(MappingTables!$E$4:$E$8,MATCH(O361,MappingTables!$B$4:$B$8,0)))</f>
        <v>1</v>
      </c>
      <c r="Q361" s="71">
        <f>IF(B361="",0,INDEX(ModelParameters!$D$6:$K$10,MATCH($O361,ModelParameters!$B$6:$B$10,0),MATCH($J361,ModelParameters!$D$5:$K$5,0)))</f>
        <v>0.025</v>
      </c>
      <c r="R361" s="71">
        <f>IF(B361="",0,INDEX(ModelParameters!$D$13:$K$17,MATCH($O361,ModelParameters!$B$13:$B$17,0),MATCH($J361,ModelParameters!$D$5:$K$5,0)))</f>
        <v>0</v>
      </c>
      <c r="S361" s="160">
        <f>IF(B361="",0,MIN(IF($N361="Other Bond TM",ModelParameters!$N$21,1)*(P361*Q361+R361),1))</f>
        <v>0.025</v>
      </c>
      <c r="T361" s="85">
        <f>IF(B361="",0,$S361*$K361)</f>
        <v>0.18808824337390216</v>
      </c>
      <c r="U361" s="85">
        <f>IF(B361="",0,IF(OR(H361=MappingTables!$C$34,H361=MappingTables!$C$35),T361,0))</f>
        <v>0</v>
      </c>
      <c r="V361" s="85">
        <f>IF(ISNA(IF(AND(VLOOKUP(CONCATENATE($D361,$G361),CSRFinput!$B:$E,4,0)=0,OR(H361=MappingTables!$C$34,H361=MappingTables!$C$35)),1,VLOOKUP(CONCATENATE($D361,$G361),CSRFinput!$B:$E,4,0))),0,IF(AND(VLOOKUP(CONCATENATE($D361,$G361),CSRFinput!$B:$E,4,0)=0,OR(H361=MappingTables!$C$34,H361=MappingTables!$C$35)),1,VLOOKUP(CONCATENATE($D361,$G361),CSRFinput!$B:$E,4,0)))</f>
        <v>0.054776304963434752</v>
      </c>
      <c r="W361" s="85">
        <f>IF(B361="",0,+$T361*$V361)</f>
        <v>0.010302778979085602</v>
      </c>
      <c r="X361" s="85">
        <f>IF(B361="",0,IF(OR(H361=MappingTables!$C$34,H361=MappingTables!$C$35),W361,0))</f>
        <v>0</v>
      </c>
    </row>
    <row r="362" spans="2:24" s="0" customFormat="0" ht="15">
      <c r="B362" s="69">
        <v>13173876</v>
      </c>
      <c r="C362" s="70" t="s">
        <v>616</v>
      </c>
      <c r="D362" s="70" t="s">
        <v>1</v>
      </c>
      <c r="E362" s="70" t="s">
        <v>1</v>
      </c>
      <c r="F362" s="70"/>
      <c r="G362" s="70" t="s">
        <v>61</v>
      </c>
      <c r="H362" s="70" t="s">
        <v>178</v>
      </c>
      <c r="I362" s="70" t="s">
        <v>181</v>
      </c>
      <c r="J362" s="71">
        <f>IF(OR(I362=0,I362=""),"unrated",VLOOKUP(I362,MappingTables!$B$19:$C$31,2,FALSE))</f>
        <v>3</v>
      </c>
      <c r="K362" s="72">
        <v>330.54682935475228</v>
      </c>
      <c r="L362" s="70">
        <v>0.96472208190111312</v>
      </c>
      <c r="M362" s="71">
        <f>IF(L362&lt;1,1,L362)</f>
        <v>1</v>
      </c>
      <c r="N362" s="70" t="s">
        <v>141</v>
      </c>
      <c r="O362" s="71">
        <f>INDEX(DurClassMapping,MATCH(M362,MappingTables!$D$4:$D$8,-1),1)</f>
        <v>1</v>
      </c>
      <c r="P362" s="73">
        <f>IF(M362=$A$1,1,$M362-INDEX(MappingTables!$E$4:$E$8,MATCH(O362,MappingTables!$B$4:$B$8,0)))</f>
        <v>1</v>
      </c>
      <c r="Q362" s="71">
        <f>IF(B362="",0,INDEX(ModelParameters!$D$6:$K$10,MATCH($O362,ModelParameters!$B$6:$B$10,0),MATCH($J362,ModelParameters!$D$5:$K$5,0)))</f>
        <v>0.025</v>
      </c>
      <c r="R362" s="71">
        <f>IF(B362="",0,INDEX(ModelParameters!$D$13:$K$17,MATCH($O362,ModelParameters!$B$13:$B$17,0),MATCH($J362,ModelParameters!$D$5:$K$5,0)))</f>
        <v>0</v>
      </c>
      <c r="S362" s="160">
        <f>IF(B362="",0,MIN(IF($N362="Other Bond TM",ModelParameters!$N$21,1)*(P362*Q362+R362),1))</f>
        <v>0.025</v>
      </c>
      <c r="T362" s="85">
        <f>IF(B362="",0,$S362*$K362)</f>
        <v>8.2636707338688064</v>
      </c>
      <c r="U362" s="85">
        <f>IF(B362="",0,IF(OR(H362=MappingTables!$C$34,H362=MappingTables!$C$35),T362,0))</f>
        <v>0</v>
      </c>
      <c r="V362" s="85">
        <f>IF(ISNA(IF(AND(VLOOKUP(CONCATENATE($D362,$G362),CSRFinput!$B:$E,4,0)=0,OR(H362=MappingTables!$C$34,H362=MappingTables!$C$35)),1,VLOOKUP(CONCATENATE($D362,$G362),CSRFinput!$B:$E,4,0))),0,IF(AND(VLOOKUP(CONCATENATE($D362,$G362),CSRFinput!$B:$E,4,0)=0,OR(H362=MappingTables!$C$34,H362=MappingTables!$C$35)),1,VLOOKUP(CONCATENATE($D362,$G362),CSRFinput!$B:$E,4,0)))</f>
        <v>0.054776304963434752</v>
      </c>
      <c r="W362" s="85">
        <f>IF(B362="",0,+$T362*$V362)</f>
        <v>0.4526533482358084</v>
      </c>
      <c r="X362" s="85">
        <f>IF(B362="",0,IF(OR(H362=MappingTables!$C$34,H362=MappingTables!$C$35),W362,0))</f>
        <v>0</v>
      </c>
    </row>
    <row r="363" spans="2:24" s="0" customFormat="0" ht="15">
      <c r="B363" s="69">
        <v>20173185</v>
      </c>
      <c r="C363" s="70" t="s">
        <v>617</v>
      </c>
      <c r="D363" s="70" t="s">
        <v>1</v>
      </c>
      <c r="E363" s="70" t="s">
        <v>1</v>
      </c>
      <c r="F363" s="70"/>
      <c r="G363" s="70" t="s">
        <v>61</v>
      </c>
      <c r="H363" s="70" t="s">
        <v>178</v>
      </c>
      <c r="I363" s="70" t="s">
        <v>188</v>
      </c>
      <c r="J363" s="71">
        <f>IF(OR(I363=0,I363=""),"unrated",VLOOKUP(I363,MappingTables!$B$19:$C$31,2,FALSE))</f>
        <v>2</v>
      </c>
      <c r="K363" s="72">
        <v>3792.0813223286064</v>
      </c>
      <c r="L363" s="70">
        <v>7.1601519185339592</v>
      </c>
      <c r="M363" s="71">
        <f>IF(L363&lt;1,1,L363)</f>
        <v>7.1601519185339592</v>
      </c>
      <c r="N363" s="70" t="s">
        <v>141</v>
      </c>
      <c r="O363" s="71">
        <f>INDEX(DurClassMapping,MATCH(M363,MappingTables!$D$4:$D$8,-1),1)</f>
        <v>2</v>
      </c>
      <c r="P363" s="73">
        <f>IF(M363=$A$1,1,$M363-INDEX(MappingTables!$E$4:$E$8,MATCH(O363,MappingTables!$B$4:$B$8,0)))</f>
        <v>2.1601519185339592</v>
      </c>
      <c r="Q363" s="71">
        <f>IF(B363="",0,INDEX(ModelParameters!$D$6:$K$10,MATCH($O363,ModelParameters!$B$6:$B$10,0),MATCH($J363,ModelParameters!$D$5:$K$5,0)))</f>
        <v>0.0069999999999999992</v>
      </c>
      <c r="R363" s="71">
        <f>IF(B363="",0,INDEX(ModelParameters!$D$13:$K$17,MATCH($O363,ModelParameters!$B$13:$B$17,0),MATCH($J363,ModelParameters!$D$5:$K$5,0)))</f>
        <v>0.070000000000000008</v>
      </c>
      <c r="S363" s="160">
        <f>IF(B363="",0,MIN(IF($N363="Other Bond TM",ModelParameters!$N$21,1)*(P363*Q363+R363),1))</f>
        <v>0.085121063429737712</v>
      </c>
      <c r="T363" s="85">
        <f>IF(B363="",0,$S363*$K363)</f>
        <v>322.78599476865696</v>
      </c>
      <c r="U363" s="85">
        <f>IF(B363="",0,IF(OR(H363=MappingTables!$C$34,H363=MappingTables!$C$35),T363,0))</f>
        <v>0</v>
      </c>
      <c r="V363" s="85">
        <f>IF(ISNA(IF(AND(VLOOKUP(CONCATENATE($D363,$G363),CSRFinput!$B:$E,4,0)=0,OR(H363=MappingTables!$C$34,H363=MappingTables!$C$35)),1,VLOOKUP(CONCATENATE($D363,$G363),CSRFinput!$B:$E,4,0))),0,IF(AND(VLOOKUP(CONCATENATE($D363,$G363),CSRFinput!$B:$E,4,0)=0,OR(H363=MappingTables!$C$34,H363=MappingTables!$C$35)),1,VLOOKUP(CONCATENATE($D363,$G363),CSRFinput!$B:$E,4,0)))</f>
        <v>0.054776304963434752</v>
      </c>
      <c r="W363" s="85">
        <f>IF(B363="",0,+$T363*$V363)</f>
        <v>17.681024087373608</v>
      </c>
      <c r="X363" s="85">
        <f>IF(B363="",0,IF(OR(H363=MappingTables!$C$34,H363=MappingTables!$C$35),W363,0))</f>
        <v>0</v>
      </c>
    </row>
    <row r="364" spans="2:24" s="0" customFormat="0" ht="15">
      <c r="B364" s="69">
        <v>22106684</v>
      </c>
      <c r="C364" s="70" t="s">
        <v>618</v>
      </c>
      <c r="D364" s="70" t="s">
        <v>1</v>
      </c>
      <c r="E364" s="70" t="s">
        <v>1</v>
      </c>
      <c r="F364" s="70"/>
      <c r="G364" s="70" t="s">
        <v>61</v>
      </c>
      <c r="H364" s="70" t="s">
        <v>178</v>
      </c>
      <c r="I364" s="70" t="s">
        <v>179</v>
      </c>
      <c r="J364" s="71">
        <f>IF(OR(I364=0,I364=""),"unrated",VLOOKUP(I364,MappingTables!$B$19:$C$31,2,FALSE))</f>
        <v>4</v>
      </c>
      <c r="K364" s="72">
        <v>5869.67770079632</v>
      </c>
      <c r="L364" s="70">
        <v>4.3718270796595528</v>
      </c>
      <c r="M364" s="71">
        <f>IF(L364&lt;1,1,L364)</f>
        <v>4.3718270796595528</v>
      </c>
      <c r="N364" s="70" t="s">
        <v>141</v>
      </c>
      <c r="O364" s="71">
        <f>INDEX(DurClassMapping,MATCH(M364,MappingTables!$D$4:$D$8,-1),1)</f>
        <v>1</v>
      </c>
      <c r="P364" s="73">
        <f>IF(M364=$A$1,1,$M364-INDEX(MappingTables!$E$4:$E$8,MATCH(O364,MappingTables!$B$4:$B$8,0)))</f>
        <v>4.3718270796595528</v>
      </c>
      <c r="Q364" s="71">
        <f>IF(B364="",0,INDEX(ModelParameters!$D$6:$K$10,MATCH($O364,ModelParameters!$B$6:$B$10,0),MATCH($J364,ModelParameters!$D$5:$K$5,0)))</f>
        <v>0.045</v>
      </c>
      <c r="R364" s="71">
        <f>IF(B364="",0,INDEX(ModelParameters!$D$13:$K$17,MATCH($O364,ModelParameters!$B$13:$B$17,0),MATCH($J364,ModelParameters!$D$5:$K$5,0)))</f>
        <v>0</v>
      </c>
      <c r="S364" s="160">
        <f>IF(B364="",0,MIN(IF($N364="Other Bond TM",ModelParameters!$N$21,1)*(P364*Q364+R364),1))</f>
        <v>0.19673221858467984</v>
      </c>
      <c r="T364" s="85">
        <f>IF(B364="",0,$S364*$K364)</f>
        <v>1154.7547164546826</v>
      </c>
      <c r="U364" s="85">
        <f>IF(B364="",0,IF(OR(H364=MappingTables!$C$34,H364=MappingTables!$C$35),T364,0))</f>
        <v>0</v>
      </c>
      <c r="V364" s="85">
        <f>IF(ISNA(IF(AND(VLOOKUP(CONCATENATE($D364,$G364),CSRFinput!$B:$E,4,0)=0,OR(H364=MappingTables!$C$34,H364=MappingTables!$C$35)),1,VLOOKUP(CONCATENATE($D364,$G364),CSRFinput!$B:$E,4,0))),0,IF(AND(VLOOKUP(CONCATENATE($D364,$G364),CSRFinput!$B:$E,4,0)=0,OR(H364=MappingTables!$C$34,H364=MappingTables!$C$35)),1,VLOOKUP(CONCATENATE($D364,$G364),CSRFinput!$B:$E,4,0)))</f>
        <v>0.054776304963434752</v>
      </c>
      <c r="W364" s="85">
        <f>IF(B364="",0,+$T364*$V364)</f>
        <v>63.253196506486328</v>
      </c>
      <c r="X364" s="85">
        <f>IF(B364="",0,IF(OR(H364=MappingTables!$C$34,H364=MappingTables!$C$35),W364,0))</f>
        <v>0</v>
      </c>
    </row>
    <row r="365" spans="2:24" s="0" customFormat="0" ht="15">
      <c r="B365" s="69" t="s">
        <v>619</v>
      </c>
      <c r="C365" s="70" t="s">
        <v>620</v>
      </c>
      <c r="D365" s="70" t="s">
        <v>1</v>
      </c>
      <c r="E365" s="70" t="s">
        <v>1</v>
      </c>
      <c r="F365" s="70"/>
      <c r="G365" s="70" t="s">
        <v>61</v>
      </c>
      <c r="H365" s="70" t="s">
        <v>178</v>
      </c>
      <c r="I365" s="70" t="s">
        <v>179</v>
      </c>
      <c r="J365" s="71">
        <f>IF(OR(I365=0,I365=""),"unrated",VLOOKUP(I365,MappingTables!$B$19:$C$31,2,FALSE))</f>
        <v>4</v>
      </c>
      <c r="K365" s="72">
        <v>43888.8825155054</v>
      </c>
      <c r="L365" s="70">
        <v>6.3053161698975128</v>
      </c>
      <c r="M365" s="71">
        <f>IF(L365&lt;1,1,L365)</f>
        <v>6.3053161698975128</v>
      </c>
      <c r="N365" s="70" t="s">
        <v>141</v>
      </c>
      <c r="O365" s="71">
        <f>INDEX(DurClassMapping,MATCH(M365,MappingTables!$D$4:$D$8,-1),1)</f>
        <v>2</v>
      </c>
      <c r="P365" s="73">
        <f>IF(M365=$A$1,1,$M365-INDEX(MappingTables!$E$4:$E$8,MATCH(O365,MappingTables!$B$4:$B$8,0)))</f>
        <v>1.3053161698975124</v>
      </c>
      <c r="Q365" s="71">
        <f>IF(B365="",0,INDEX(ModelParameters!$D$6:$K$10,MATCH($O365,ModelParameters!$B$6:$B$10,0),MATCH($J365,ModelParameters!$D$5:$K$5,0)))</f>
        <v>0.025</v>
      </c>
      <c r="R365" s="71">
        <f>IF(B365="",0,INDEX(ModelParameters!$D$13:$K$17,MATCH($O365,ModelParameters!$B$13:$B$17,0),MATCH($J365,ModelParameters!$D$5:$K$5,0)))</f>
        <v>0.225</v>
      </c>
      <c r="S365" s="160">
        <f>IF(B365="",0,MIN(IF($N365="Other Bond TM",ModelParameters!$N$21,1)*(P365*Q365+R365),1))</f>
        <v>0.2576329042474378</v>
      </c>
      <c r="T365" s="85">
        <f>IF(B365="",0,$S365*$K365)</f>
        <v>11307.22026664425</v>
      </c>
      <c r="U365" s="85">
        <f>IF(B365="",0,IF(OR(H365=MappingTables!$C$34,H365=MappingTables!$C$35),T365,0))</f>
        <v>0</v>
      </c>
      <c r="V365" s="85">
        <f>IF(ISNA(IF(AND(VLOOKUP(CONCATENATE($D365,$G365),CSRFinput!$B:$E,4,0)=0,OR(H365=MappingTables!$C$34,H365=MappingTables!$C$35)),1,VLOOKUP(CONCATENATE($D365,$G365),CSRFinput!$B:$E,4,0))),0,IF(AND(VLOOKUP(CONCATENATE($D365,$G365),CSRFinput!$B:$E,4,0)=0,OR(H365=MappingTables!$C$34,H365=MappingTables!$C$35)),1,VLOOKUP(CONCATENATE($D365,$G365),CSRFinput!$B:$E,4,0)))</f>
        <v>0.054776304963434752</v>
      </c>
      <c r="W365" s="85">
        <f>IF(B365="",0,+$T365*$V365)</f>
        <v>619.36774561443544</v>
      </c>
      <c r="X365" s="85">
        <f>IF(B365="",0,IF(OR(H365=MappingTables!$C$34,H365=MappingTables!$C$35),W365,0))</f>
        <v>0</v>
      </c>
    </row>
    <row r="366" spans="2:24" s="0" customFormat="0" ht="15">
      <c r="B366" s="69">
        <v>2422615</v>
      </c>
      <c r="C366" s="70" t="s">
        <v>621</v>
      </c>
      <c r="D366" s="70" t="s">
        <v>1</v>
      </c>
      <c r="E366" s="70" t="s">
        <v>1</v>
      </c>
      <c r="F366" s="70"/>
      <c r="G366" s="70" t="s">
        <v>61</v>
      </c>
      <c r="H366" s="70" t="s">
        <v>178</v>
      </c>
      <c r="I366" s="70" t="s">
        <v>181</v>
      </c>
      <c r="J366" s="71">
        <f>IF(OR(I366=0,I366=""),"unrated",VLOOKUP(I366,MappingTables!$B$19:$C$31,2,FALSE))</f>
        <v>3</v>
      </c>
      <c r="K366" s="72">
        <v>1532.6406421029264</v>
      </c>
      <c r="L366" s="70">
        <v>9.1911332512707472</v>
      </c>
      <c r="M366" s="71">
        <f>IF(L366&lt;1,1,L366)</f>
        <v>9.1911332512707472</v>
      </c>
      <c r="N366" s="70" t="s">
        <v>141</v>
      </c>
      <c r="O366" s="71">
        <f>INDEX(DurClassMapping,MATCH(M366,MappingTables!$D$4:$D$8,-1),1)</f>
        <v>2</v>
      </c>
      <c r="P366" s="73">
        <f>IF(M366=$A$1,1,$M366-INDEX(MappingTables!$E$4:$E$8,MATCH(O366,MappingTables!$B$4:$B$8,0)))</f>
        <v>4.1911332512707472</v>
      </c>
      <c r="Q366" s="71">
        <f>IF(B366="",0,INDEX(ModelParameters!$D$6:$K$10,MATCH($O366,ModelParameters!$B$6:$B$10,0),MATCH($J366,ModelParameters!$D$5:$K$5,0)))</f>
        <v>0.015</v>
      </c>
      <c r="R366" s="71">
        <f>IF(B366="",0,INDEX(ModelParameters!$D$13:$K$17,MATCH($O366,ModelParameters!$B$13:$B$17,0),MATCH($J366,ModelParameters!$D$5:$K$5,0)))</f>
        <v>0.125</v>
      </c>
      <c r="S366" s="160">
        <f>IF(B366="",0,MIN(IF($N366="Other Bond TM",ModelParameters!$N$21,1)*(P366*Q366+R366),1))</f>
        <v>0.1878669987690612</v>
      </c>
      <c r="T366" s="85">
        <f>IF(B366="",0,$S366*$K366)</f>
        <v>287.93259762336368</v>
      </c>
      <c r="U366" s="85">
        <f>IF(B366="",0,IF(OR(H366=MappingTables!$C$34,H366=MappingTables!$C$35),T366,0))</f>
        <v>0</v>
      </c>
      <c r="V366" s="85">
        <f>IF(ISNA(IF(AND(VLOOKUP(CONCATENATE($D366,$G366),CSRFinput!$B:$E,4,0)=0,OR(H366=MappingTables!$C$34,H366=MappingTables!$C$35)),1,VLOOKUP(CONCATENATE($D366,$G366),CSRFinput!$B:$E,4,0))),0,IF(AND(VLOOKUP(CONCATENATE($D366,$G366),CSRFinput!$B:$E,4,0)=0,OR(H366=MappingTables!$C$34,H366=MappingTables!$C$35)),1,VLOOKUP(CONCATENATE($D366,$G366),CSRFinput!$B:$E,4,0)))</f>
        <v>0.054776304963434752</v>
      </c>
      <c r="W366" s="85">
        <f>IF(B366="",0,+$T366*$V366)</f>
        <v>15.771883776331318</v>
      </c>
      <c r="X366" s="85">
        <f>IF(B366="",0,IF(OR(H366=MappingTables!$C$34,H366=MappingTables!$C$35),W366,0))</f>
        <v>0</v>
      </c>
    </row>
    <row r="367" spans="2:24" s="0" customFormat="0" ht="15">
      <c r="B367" s="69" t="s">
        <v>622</v>
      </c>
      <c r="C367" s="70" t="s">
        <v>623</v>
      </c>
      <c r="D367" s="70" t="s">
        <v>1</v>
      </c>
      <c r="E367" s="70" t="s">
        <v>1</v>
      </c>
      <c r="F367" s="70"/>
      <c r="G367" s="70" t="s">
        <v>61</v>
      </c>
      <c r="H367" s="70" t="s">
        <v>178</v>
      </c>
      <c r="I367" s="70" t="s">
        <v>198</v>
      </c>
      <c r="J367" s="71" t="str">
        <f>IF(OR(I367=0,I367=""),"unrated",VLOOKUP(I367,MappingTables!$B$19:$C$31,2,FALSE))</f>
        <v>unrated</v>
      </c>
      <c r="K367" s="72">
        <v>0.056803250890731808</v>
      </c>
      <c r="L367" s="70">
        <v>0.2438368785949648</v>
      </c>
      <c r="M367" s="71">
        <f>IF(L367&lt;1,1,L367)</f>
        <v>1</v>
      </c>
      <c r="N367" s="70" t="s">
        <v>141</v>
      </c>
      <c r="O367" s="71">
        <f>INDEX(DurClassMapping,MATCH(M367,MappingTables!$D$4:$D$8,-1),1)</f>
        <v>1</v>
      </c>
      <c r="P367" s="73">
        <f>IF(M367=$A$1,1,$M367-INDEX(MappingTables!$E$4:$E$8,MATCH(O367,MappingTables!$B$4:$B$8,0)))</f>
        <v>1</v>
      </c>
      <c r="Q367" s="71">
        <f>IF(B367="",0,INDEX(ModelParameters!$D$6:$K$10,MATCH($O367,ModelParameters!$B$6:$B$10,0),MATCH($J367,ModelParameters!$D$5:$K$5,0)))</f>
        <v>0.03</v>
      </c>
      <c r="R367" s="71">
        <f>IF(B367="",0,INDEX(ModelParameters!$D$13:$K$17,MATCH($O367,ModelParameters!$B$13:$B$17,0),MATCH($J367,ModelParameters!$D$5:$K$5,0)))</f>
        <v>0</v>
      </c>
      <c r="S367" s="160">
        <f>IF(B367="",0,MIN(IF($N367="Other Bond TM",ModelParameters!$N$21,1)*(P367*Q367+R367),1))</f>
        <v>0.03</v>
      </c>
      <c r="T367" s="85">
        <f>IF(B367="",0,$S367*$K367)</f>
        <v>0.0017040975267219542</v>
      </c>
      <c r="U367" s="85">
        <f>IF(B367="",0,IF(OR(H367=MappingTables!$C$34,H367=MappingTables!$C$35),T367,0))</f>
        <v>0</v>
      </c>
      <c r="V367" s="85">
        <f>IF(ISNA(IF(AND(VLOOKUP(CONCATENATE($D367,$G367),CSRFinput!$B:$E,4,0)=0,OR(H367=MappingTables!$C$34,H367=MappingTables!$C$35)),1,VLOOKUP(CONCATENATE($D367,$G367),CSRFinput!$B:$E,4,0))),0,IF(AND(VLOOKUP(CONCATENATE($D367,$G367),CSRFinput!$B:$E,4,0)=0,OR(H367=MappingTables!$C$34,H367=MappingTables!$C$35)),1,VLOOKUP(CONCATENATE($D367,$G367),CSRFinput!$B:$E,4,0)))</f>
        <v>0.054776304963434752</v>
      </c>
      <c r="W367" s="85">
        <f>IF(B367="",0,+$T367*$V367)</f>
        <v>0.000093344165811156672</v>
      </c>
      <c r="X367" s="85">
        <f>IF(B367="",0,IF(OR(H367=MappingTables!$C$34,H367=MappingTables!$C$35),W367,0))</f>
        <v>0</v>
      </c>
    </row>
    <row r="368" spans="2:24" s="0" customFormat="0" ht="15">
      <c r="B368" s="69">
        <v>21519218</v>
      </c>
      <c r="C368" s="70" t="s">
        <v>624</v>
      </c>
      <c r="D368" s="70" t="s">
        <v>1</v>
      </c>
      <c r="E368" s="70" t="s">
        <v>1</v>
      </c>
      <c r="F368" s="70"/>
      <c r="G368" s="70" t="s">
        <v>61</v>
      </c>
      <c r="H368" s="70" t="s">
        <v>178</v>
      </c>
      <c r="I368" s="70" t="s">
        <v>181</v>
      </c>
      <c r="J368" s="71">
        <f>IF(OR(I368=0,I368=""),"unrated",VLOOKUP(I368,MappingTables!$B$19:$C$31,2,FALSE))</f>
        <v>3</v>
      </c>
      <c r="K368" s="72">
        <v>245.99043078440768</v>
      </c>
      <c r="L368" s="70">
        <v>3.7320659193599288</v>
      </c>
      <c r="M368" s="71">
        <f>IF(L368&lt;1,1,L368)</f>
        <v>3.7320659193599288</v>
      </c>
      <c r="N368" s="70" t="s">
        <v>141</v>
      </c>
      <c r="O368" s="71">
        <f>INDEX(DurClassMapping,MATCH(M368,MappingTables!$D$4:$D$8,-1),1)</f>
        <v>1</v>
      </c>
      <c r="P368" s="73">
        <f>IF(M368=$A$1,1,$M368-INDEX(MappingTables!$E$4:$E$8,MATCH(O368,MappingTables!$B$4:$B$8,0)))</f>
        <v>3.7320659193599288</v>
      </c>
      <c r="Q368" s="71">
        <f>IF(B368="",0,INDEX(ModelParameters!$D$6:$K$10,MATCH($O368,ModelParameters!$B$6:$B$10,0),MATCH($J368,ModelParameters!$D$5:$K$5,0)))</f>
        <v>0.025</v>
      </c>
      <c r="R368" s="71">
        <f>IF(B368="",0,INDEX(ModelParameters!$D$13:$K$17,MATCH($O368,ModelParameters!$B$13:$B$17,0),MATCH($J368,ModelParameters!$D$5:$K$5,0)))</f>
        <v>0</v>
      </c>
      <c r="S368" s="160">
        <f>IF(B368="",0,MIN(IF($N368="Other Bond TM",ModelParameters!$N$21,1)*(P368*Q368+R368),1))</f>
        <v>0.093301647983998224</v>
      </c>
      <c r="T368" s="85">
        <f>IF(B368="",0,$S368*$K368)</f>
        <v>22.951312580478884</v>
      </c>
      <c r="U368" s="85">
        <f>IF(B368="",0,IF(OR(H368=MappingTables!$C$34,H368=MappingTables!$C$35),T368,0))</f>
        <v>0</v>
      </c>
      <c r="V368" s="85">
        <f>IF(ISNA(IF(AND(VLOOKUP(CONCATENATE($D368,$G368),CSRFinput!$B:$E,4,0)=0,OR(H368=MappingTables!$C$34,H368=MappingTables!$C$35)),1,VLOOKUP(CONCATENATE($D368,$G368),CSRFinput!$B:$E,4,0))),0,IF(AND(VLOOKUP(CONCATENATE($D368,$G368),CSRFinput!$B:$E,4,0)=0,OR(H368=MappingTables!$C$34,H368=MappingTables!$C$35)),1,VLOOKUP(CONCATENATE($D368,$G368),CSRFinput!$B:$E,4,0)))</f>
        <v>0.054776304963434752</v>
      </c>
      <c r="W368" s="85">
        <f>IF(B368="",0,+$T368*$V368)</f>
        <v>1.257188097219428</v>
      </c>
      <c r="X368" s="85">
        <f>IF(B368="",0,IF(OR(H368=MappingTables!$C$34,H368=MappingTables!$C$35),W368,0))</f>
        <v>0</v>
      </c>
    </row>
    <row r="369" spans="2:24" s="0" customFormat="0" ht="15">
      <c r="B369" s="69">
        <v>17394477</v>
      </c>
      <c r="C369" s="70" t="s">
        <v>625</v>
      </c>
      <c r="D369" s="70" t="s">
        <v>1</v>
      </c>
      <c r="E369" s="70" t="s">
        <v>1</v>
      </c>
      <c r="F369" s="70"/>
      <c r="G369" s="70" t="s">
        <v>61</v>
      </c>
      <c r="H369" s="70" t="s">
        <v>178</v>
      </c>
      <c r="I369" s="70" t="s">
        <v>179</v>
      </c>
      <c r="J369" s="71">
        <f>IF(OR(I369=0,I369=""),"unrated",VLOOKUP(I369,MappingTables!$B$19:$C$31,2,FALSE))</f>
        <v>4</v>
      </c>
      <c r="K369" s="72">
        <v>311.32491373438552</v>
      </c>
      <c r="L369" s="70">
        <v>1.0233294089562766</v>
      </c>
      <c r="M369" s="71">
        <f>IF(L369&lt;1,1,L369)</f>
        <v>1.0233294089562766</v>
      </c>
      <c r="N369" s="70" t="s">
        <v>141</v>
      </c>
      <c r="O369" s="71">
        <f>INDEX(DurClassMapping,MATCH(M369,MappingTables!$D$4:$D$8,-1),1)</f>
        <v>1</v>
      </c>
      <c r="P369" s="73">
        <f>IF(M369=$A$1,1,$M369-INDEX(MappingTables!$E$4:$E$8,MATCH(O369,MappingTables!$B$4:$B$8,0)))</f>
        <v>1.0233294089562766</v>
      </c>
      <c r="Q369" s="71">
        <f>IF(B369="",0,INDEX(ModelParameters!$D$6:$K$10,MATCH($O369,ModelParameters!$B$6:$B$10,0),MATCH($J369,ModelParameters!$D$5:$K$5,0)))</f>
        <v>0.045</v>
      </c>
      <c r="R369" s="71">
        <f>IF(B369="",0,INDEX(ModelParameters!$D$13:$K$17,MATCH($O369,ModelParameters!$B$13:$B$17,0),MATCH($J369,ModelParameters!$D$5:$K$5,0)))</f>
        <v>0</v>
      </c>
      <c r="S369" s="160">
        <f>IF(B369="",0,MIN(IF($N369="Other Bond TM",ModelParameters!$N$21,1)*(P369*Q369+R369),1))</f>
        <v>0.046049823403032448</v>
      </c>
      <c r="T369" s="85">
        <f>IF(B369="",0,$S369*$K369)</f>
        <v>14.336457298432762</v>
      </c>
      <c r="U369" s="85">
        <f>IF(B369="",0,IF(OR(H369=MappingTables!$C$34,H369=MappingTables!$C$35),T369,0))</f>
        <v>0</v>
      </c>
      <c r="V369" s="85">
        <f>IF(ISNA(IF(AND(VLOOKUP(CONCATENATE($D369,$G369),CSRFinput!$B:$E,4,0)=0,OR(H369=MappingTables!$C$34,H369=MappingTables!$C$35)),1,VLOOKUP(CONCATENATE($D369,$G369),CSRFinput!$B:$E,4,0))),0,IF(AND(VLOOKUP(CONCATENATE($D369,$G369),CSRFinput!$B:$E,4,0)=0,OR(H369=MappingTables!$C$34,H369=MappingTables!$C$35)),1,VLOOKUP(CONCATENATE($D369,$G369),CSRFinput!$B:$E,4,0)))</f>
        <v>0.054776304963434752</v>
      </c>
      <c r="W369" s="85">
        <f>IF(B369="",0,+$T369*$V369)</f>
        <v>0.78529815707421296</v>
      </c>
      <c r="X369" s="85">
        <f>IF(B369="",0,IF(OR(H369=MappingTables!$C$34,H369=MappingTables!$C$35),W369,0))</f>
        <v>0</v>
      </c>
    </row>
    <row r="370" spans="2:24" s="0" customFormat="0" ht="15">
      <c r="B370" s="69">
        <v>21036981</v>
      </c>
      <c r="C370" s="70" t="s">
        <v>626</v>
      </c>
      <c r="D370" s="70" t="s">
        <v>1</v>
      </c>
      <c r="E370" s="70" t="s">
        <v>1</v>
      </c>
      <c r="F370" s="70"/>
      <c r="G370" s="70" t="s">
        <v>61</v>
      </c>
      <c r="H370" s="70" t="s">
        <v>178</v>
      </c>
      <c r="I370" s="70" t="s">
        <v>181</v>
      </c>
      <c r="J370" s="71">
        <f>IF(OR(I370=0,I370=""),"unrated",VLOOKUP(I370,MappingTables!$B$19:$C$31,2,FALSE))</f>
        <v>3</v>
      </c>
      <c r="K370" s="72">
        <v>24340.224539518964</v>
      </c>
      <c r="L370" s="70">
        <v>7.541620012441128</v>
      </c>
      <c r="M370" s="71">
        <f>IF(L370&lt;1,1,L370)</f>
        <v>7.541620012441128</v>
      </c>
      <c r="N370" s="70" t="s">
        <v>141</v>
      </c>
      <c r="O370" s="71">
        <f>INDEX(DurClassMapping,MATCH(M370,MappingTables!$D$4:$D$8,-1),1)</f>
        <v>2</v>
      </c>
      <c r="P370" s="73">
        <f>IF(M370=$A$1,1,$M370-INDEX(MappingTables!$E$4:$E$8,MATCH(O370,MappingTables!$B$4:$B$8,0)))</f>
        <v>2.541620012441128</v>
      </c>
      <c r="Q370" s="71">
        <f>IF(B370="",0,INDEX(ModelParameters!$D$6:$K$10,MATCH($O370,ModelParameters!$B$6:$B$10,0),MATCH($J370,ModelParameters!$D$5:$K$5,0)))</f>
        <v>0.015</v>
      </c>
      <c r="R370" s="71">
        <f>IF(B370="",0,INDEX(ModelParameters!$D$13:$K$17,MATCH($O370,ModelParameters!$B$13:$B$17,0),MATCH($J370,ModelParameters!$D$5:$K$5,0)))</f>
        <v>0.125</v>
      </c>
      <c r="S370" s="160">
        <f>IF(B370="",0,MIN(IF($N370="Other Bond TM",ModelParameters!$N$21,1)*(P370*Q370+R370),1))</f>
        <v>0.16312430018661692</v>
      </c>
      <c r="T370" s="85">
        <f>IF(B370="",0,$S370*$K370)</f>
        <v>3970.4820943941512</v>
      </c>
      <c r="U370" s="85">
        <f>IF(B370="",0,IF(OR(H370=MappingTables!$C$34,H370=MappingTables!$C$35),T370,0))</f>
        <v>0</v>
      </c>
      <c r="V370" s="85">
        <f>IF(ISNA(IF(AND(VLOOKUP(CONCATENATE($D370,$G370),CSRFinput!$B:$E,4,0)=0,OR(H370=MappingTables!$C$34,H370=MappingTables!$C$35)),1,VLOOKUP(CONCATENATE($D370,$G370),CSRFinput!$B:$E,4,0))),0,IF(AND(VLOOKUP(CONCATENATE($D370,$G370),CSRFinput!$B:$E,4,0)=0,OR(H370=MappingTables!$C$34,H370=MappingTables!$C$35)),1,VLOOKUP(CONCATENATE($D370,$G370),CSRFinput!$B:$E,4,0)))</f>
        <v>0.054776304963434752</v>
      </c>
      <c r="W370" s="85">
        <f>IF(B370="",0,+$T370*$V370)</f>
        <v>217.48833805439112</v>
      </c>
      <c r="X370" s="85">
        <f>IF(B370="",0,IF(OR(H370=MappingTables!$C$34,H370=MappingTables!$C$35),W370,0))</f>
        <v>0</v>
      </c>
    </row>
    <row r="371" spans="2:24" s="0" customFormat="0" ht="15">
      <c r="B371" s="69">
        <v>21827992</v>
      </c>
      <c r="C371" s="70" t="s">
        <v>627</v>
      </c>
      <c r="D371" s="70" t="s">
        <v>1</v>
      </c>
      <c r="E371" s="70" t="s">
        <v>1</v>
      </c>
      <c r="F371" s="70"/>
      <c r="G371" s="70" t="s">
        <v>61</v>
      </c>
      <c r="H371" s="70" t="s">
        <v>178</v>
      </c>
      <c r="I371" s="70" t="s">
        <v>181</v>
      </c>
      <c r="J371" s="71">
        <f>IF(OR(I371=0,I371=""),"unrated",VLOOKUP(I371,MappingTables!$B$19:$C$31,2,FALSE))</f>
        <v>3</v>
      </c>
      <c r="K371" s="72">
        <v>18974.409865733816</v>
      </c>
      <c r="L371" s="70">
        <v>2.2185699362490156</v>
      </c>
      <c r="M371" s="71">
        <f>IF(L371&lt;1,1,L371)</f>
        <v>2.2185699362490156</v>
      </c>
      <c r="N371" s="70" t="s">
        <v>141</v>
      </c>
      <c r="O371" s="71">
        <f>INDEX(DurClassMapping,MATCH(M371,MappingTables!$D$4:$D$8,-1),1)</f>
        <v>1</v>
      </c>
      <c r="P371" s="73">
        <f>IF(M371=$A$1,1,$M371-INDEX(MappingTables!$E$4:$E$8,MATCH(O371,MappingTables!$B$4:$B$8,0)))</f>
        <v>2.2185699362490156</v>
      </c>
      <c r="Q371" s="71">
        <f>IF(B371="",0,INDEX(ModelParameters!$D$6:$K$10,MATCH($O371,ModelParameters!$B$6:$B$10,0),MATCH($J371,ModelParameters!$D$5:$K$5,0)))</f>
        <v>0.025</v>
      </c>
      <c r="R371" s="71">
        <f>IF(B371="",0,INDEX(ModelParameters!$D$13:$K$17,MATCH($O371,ModelParameters!$B$13:$B$17,0),MATCH($J371,ModelParameters!$D$5:$K$5,0)))</f>
        <v>0</v>
      </c>
      <c r="S371" s="160">
        <f>IF(B371="",0,MIN(IF($N371="Other Bond TM",ModelParameters!$N$21,1)*(P371*Q371+R371),1))</f>
        <v>0.055464248406225392</v>
      </c>
      <c r="T371" s="85">
        <f>IF(B371="",0,$S371*$K371)</f>
        <v>1052.4013821545942</v>
      </c>
      <c r="U371" s="85">
        <f>IF(B371="",0,IF(OR(H371=MappingTables!$C$34,H371=MappingTables!$C$35),T371,0))</f>
        <v>0</v>
      </c>
      <c r="V371" s="85">
        <f>IF(ISNA(IF(AND(VLOOKUP(CONCATENATE($D371,$G371),CSRFinput!$B:$E,4,0)=0,OR(H371=MappingTables!$C$34,H371=MappingTables!$C$35)),1,VLOOKUP(CONCATENATE($D371,$G371),CSRFinput!$B:$E,4,0))),0,IF(AND(VLOOKUP(CONCATENATE($D371,$G371),CSRFinput!$B:$E,4,0)=0,OR(H371=MappingTables!$C$34,H371=MappingTables!$C$35)),1,VLOOKUP(CONCATENATE($D371,$G371),CSRFinput!$B:$E,4,0)))</f>
        <v>0.054776304963434752</v>
      </c>
      <c r="W371" s="85">
        <f>IF(B371="",0,+$T371*$V371)</f>
        <v>57.646659052840288</v>
      </c>
      <c r="X371" s="85">
        <f>IF(B371="",0,IF(OR(H371=MappingTables!$C$34,H371=MappingTables!$C$35),W371,0))</f>
        <v>0</v>
      </c>
    </row>
    <row r="372" spans="2:24" s="0" customFormat="0" ht="15">
      <c r="B372" s="69" t="s">
        <v>628</v>
      </c>
      <c r="C372" s="70" t="s">
        <v>629</v>
      </c>
      <c r="D372" s="70" t="s">
        <v>1</v>
      </c>
      <c r="E372" s="70" t="s">
        <v>1</v>
      </c>
      <c r="F372" s="70"/>
      <c r="G372" s="70" t="s">
        <v>61</v>
      </c>
      <c r="H372" s="70" t="s">
        <v>178</v>
      </c>
      <c r="I372" s="70" t="s">
        <v>513</v>
      </c>
      <c r="J372" s="71">
        <f>IF(OR(I372=0,I372=""),"unrated",VLOOKUP(I372,MappingTables!$B$19:$C$31,2,FALSE))</f>
        <v>6</v>
      </c>
      <c r="K372" s="72">
        <v>275.90575815888592</v>
      </c>
      <c r="L372" s="70">
        <v>0.7622683178693808</v>
      </c>
      <c r="M372" s="71">
        <f>IF(L372&lt;1,1,L372)</f>
        <v>1</v>
      </c>
      <c r="N372" s="70" t="s">
        <v>141</v>
      </c>
      <c r="O372" s="71">
        <f>INDEX(DurClassMapping,MATCH(M372,MappingTables!$D$4:$D$8,-1),1)</f>
        <v>1</v>
      </c>
      <c r="P372" s="73">
        <f>IF(M372=$A$1,1,$M372-INDEX(MappingTables!$E$4:$E$8,MATCH(O372,MappingTables!$B$4:$B$8,0)))</f>
        <v>1</v>
      </c>
      <c r="Q372" s="71">
        <f>IF(B372="",0,INDEX(ModelParameters!$D$6:$K$10,MATCH($O372,ModelParameters!$B$6:$B$10,0),MATCH($J372,ModelParameters!$D$5:$K$5,0)))</f>
        <v>0.075</v>
      </c>
      <c r="R372" s="71">
        <f>IF(B372="",0,INDEX(ModelParameters!$D$13:$K$17,MATCH($O372,ModelParameters!$B$13:$B$17,0),MATCH($J372,ModelParameters!$D$5:$K$5,0)))</f>
        <v>0</v>
      </c>
      <c r="S372" s="160">
        <f>IF(B372="",0,MIN(IF($N372="Other Bond TM",ModelParameters!$N$21,1)*(P372*Q372+R372),1))</f>
        <v>0.075</v>
      </c>
      <c r="T372" s="85">
        <f>IF(B372="",0,$S372*$K372)</f>
        <v>20.692931861916444</v>
      </c>
      <c r="U372" s="85">
        <f>IF(B372="",0,IF(OR(H372=MappingTables!$C$34,H372=MappingTables!$C$35),T372,0))</f>
        <v>0</v>
      </c>
      <c r="V372" s="85">
        <f>IF(ISNA(IF(AND(VLOOKUP(CONCATENATE($D372,$G372),CSRFinput!$B:$E,4,0)=0,OR(H372=MappingTables!$C$34,H372=MappingTables!$C$35)),1,VLOOKUP(CONCATENATE($D372,$G372),CSRFinput!$B:$E,4,0))),0,IF(AND(VLOOKUP(CONCATENATE($D372,$G372),CSRFinput!$B:$E,4,0)=0,OR(H372=MappingTables!$C$34,H372=MappingTables!$C$35)),1,VLOOKUP(CONCATENATE($D372,$G372),CSRFinput!$B:$E,4,0)))</f>
        <v>0.054776304963434752</v>
      </c>
      <c r="W372" s="85">
        <f>IF(B372="",0,+$T372*$V372)</f>
        <v>1.133482346255911</v>
      </c>
      <c r="X372" s="85">
        <f>IF(B372="",0,IF(OR(H372=MappingTables!$C$34,H372=MappingTables!$C$35),W372,0))</f>
        <v>0</v>
      </c>
    </row>
    <row r="373" spans="2:24" s="0" customFormat="0" ht="15">
      <c r="B373" s="69">
        <v>20584521</v>
      </c>
      <c r="C373" s="70" t="s">
        <v>630</v>
      </c>
      <c r="D373" s="70" t="s">
        <v>1</v>
      </c>
      <c r="E373" s="70" t="s">
        <v>1</v>
      </c>
      <c r="F373" s="70"/>
      <c r="G373" s="70" t="s">
        <v>61</v>
      </c>
      <c r="H373" s="70" t="s">
        <v>178</v>
      </c>
      <c r="I373" s="70" t="s">
        <v>181</v>
      </c>
      <c r="J373" s="71">
        <f>IF(OR(I373=0,I373=""),"unrated",VLOOKUP(I373,MappingTables!$B$19:$C$31,2,FALSE))</f>
        <v>3</v>
      </c>
      <c r="K373" s="72">
        <v>3373.3804447480344</v>
      </c>
      <c r="L373" s="70">
        <v>3.7740696689219656</v>
      </c>
      <c r="M373" s="71">
        <f>IF(L373&lt;1,1,L373)</f>
        <v>3.7740696689219656</v>
      </c>
      <c r="N373" s="70" t="s">
        <v>141</v>
      </c>
      <c r="O373" s="71">
        <f>INDEX(DurClassMapping,MATCH(M373,MappingTables!$D$4:$D$8,-1),1)</f>
        <v>1</v>
      </c>
      <c r="P373" s="73">
        <f>IF(M373=$A$1,1,$M373-INDEX(MappingTables!$E$4:$E$8,MATCH(O373,MappingTables!$B$4:$B$8,0)))</f>
        <v>3.7740696689219656</v>
      </c>
      <c r="Q373" s="71">
        <f>IF(B373="",0,INDEX(ModelParameters!$D$6:$K$10,MATCH($O373,ModelParameters!$B$6:$B$10,0),MATCH($J373,ModelParameters!$D$5:$K$5,0)))</f>
        <v>0.025</v>
      </c>
      <c r="R373" s="71">
        <f>IF(B373="",0,INDEX(ModelParameters!$D$13:$K$17,MATCH($O373,ModelParameters!$B$13:$B$17,0),MATCH($J373,ModelParameters!$D$5:$K$5,0)))</f>
        <v>0</v>
      </c>
      <c r="S373" s="160">
        <f>IF(B373="",0,MIN(IF($N373="Other Bond TM",ModelParameters!$N$21,1)*(P373*Q373+R373),1))</f>
        <v>0.094351741723049136</v>
      </c>
      <c r="T373" s="85">
        <f>IF(B373="",0,$S373*$K373)</f>
        <v>318.28432045645116</v>
      </c>
      <c r="U373" s="85">
        <f>IF(B373="",0,IF(OR(H373=MappingTables!$C$34,H373=MappingTables!$C$35),T373,0))</f>
        <v>0</v>
      </c>
      <c r="V373" s="85">
        <f>IF(ISNA(IF(AND(VLOOKUP(CONCATENATE($D373,$G373),CSRFinput!$B:$E,4,0)=0,OR(H373=MappingTables!$C$34,H373=MappingTables!$C$35)),1,VLOOKUP(CONCATENATE($D373,$G373),CSRFinput!$B:$E,4,0))),0,IF(AND(VLOOKUP(CONCATENATE($D373,$G373),CSRFinput!$B:$E,4,0)=0,OR(H373=MappingTables!$C$34,H373=MappingTables!$C$35)),1,VLOOKUP(CONCATENATE($D373,$G373),CSRFinput!$B:$E,4,0)))</f>
        <v>0.054776304963434752</v>
      </c>
      <c r="W373" s="85">
        <f>IF(B373="",0,+$T373*$V373)</f>
        <v>17.434439002402162</v>
      </c>
      <c r="X373" s="85">
        <f>IF(B373="",0,IF(OR(H373=MappingTables!$C$34,H373=MappingTables!$C$35),W373,0))</f>
        <v>0</v>
      </c>
    </row>
    <row r="374" spans="2:24" s="0" customFormat="0" ht="15">
      <c r="B374" s="69" t="s">
        <v>631</v>
      </c>
      <c r="C374" s="70" t="s">
        <v>632</v>
      </c>
      <c r="D374" s="70" t="s">
        <v>1</v>
      </c>
      <c r="E374" s="70" t="s">
        <v>1</v>
      </c>
      <c r="F374" s="70"/>
      <c r="G374" s="70" t="s">
        <v>61</v>
      </c>
      <c r="H374" s="70" t="s">
        <v>178</v>
      </c>
      <c r="I374" s="70" t="s">
        <v>181</v>
      </c>
      <c r="J374" s="71">
        <f>IF(OR(I374=0,I374=""),"unrated",VLOOKUP(I374,MappingTables!$B$19:$C$31,2,FALSE))</f>
        <v>3</v>
      </c>
      <c r="K374" s="72">
        <v>514.88225791870824</v>
      </c>
      <c r="L374" s="70">
        <v>0.99695737188085776</v>
      </c>
      <c r="M374" s="71">
        <f>IF(L374&lt;1,1,L374)</f>
        <v>1</v>
      </c>
      <c r="N374" s="70" t="s">
        <v>141</v>
      </c>
      <c r="O374" s="71">
        <f>INDEX(DurClassMapping,MATCH(M374,MappingTables!$D$4:$D$8,-1),1)</f>
        <v>1</v>
      </c>
      <c r="P374" s="73">
        <f>IF(M374=$A$1,1,$M374-INDEX(MappingTables!$E$4:$E$8,MATCH(O374,MappingTables!$B$4:$B$8,0)))</f>
        <v>1</v>
      </c>
      <c r="Q374" s="71">
        <f>IF(B374="",0,INDEX(ModelParameters!$D$6:$K$10,MATCH($O374,ModelParameters!$B$6:$B$10,0),MATCH($J374,ModelParameters!$D$5:$K$5,0)))</f>
        <v>0.025</v>
      </c>
      <c r="R374" s="71">
        <f>IF(B374="",0,INDEX(ModelParameters!$D$13:$K$17,MATCH($O374,ModelParameters!$B$13:$B$17,0),MATCH($J374,ModelParameters!$D$5:$K$5,0)))</f>
        <v>0</v>
      </c>
      <c r="S374" s="160">
        <f>IF(B374="",0,MIN(IF($N374="Other Bond TM",ModelParameters!$N$21,1)*(P374*Q374+R374),1))</f>
        <v>0.025</v>
      </c>
      <c r="T374" s="85">
        <f>IF(B374="",0,$S374*$K374)</f>
        <v>12.872056447967706</v>
      </c>
      <c r="U374" s="85">
        <f>IF(B374="",0,IF(OR(H374=MappingTables!$C$34,H374=MappingTables!$C$35),T374,0))</f>
        <v>0</v>
      </c>
      <c r="V374" s="85">
        <f>IF(ISNA(IF(AND(VLOOKUP(CONCATENATE($D374,$G374),CSRFinput!$B:$E,4,0)=0,OR(H374=MappingTables!$C$34,H374=MappingTables!$C$35)),1,VLOOKUP(CONCATENATE($D374,$G374),CSRFinput!$B:$E,4,0))),0,IF(AND(VLOOKUP(CONCATENATE($D374,$G374),CSRFinput!$B:$E,4,0)=0,OR(H374=MappingTables!$C$34,H374=MappingTables!$C$35)),1,VLOOKUP(CONCATENATE($D374,$G374),CSRFinput!$B:$E,4,0)))</f>
        <v>0.054776304963434752</v>
      </c>
      <c r="W374" s="85">
        <f>IF(B374="",0,+$T374*$V374)</f>
        <v>0.70508368950042576</v>
      </c>
      <c r="X374" s="85">
        <f>IF(B374="",0,IF(OR(H374=MappingTables!$C$34,H374=MappingTables!$C$35),W374,0))</f>
        <v>0</v>
      </c>
    </row>
    <row r="375" spans="2:24" s="0" customFormat="0" ht="15">
      <c r="B375" s="69">
        <v>8383612</v>
      </c>
      <c r="C375" s="70" t="s">
        <v>633</v>
      </c>
      <c r="D375" s="70" t="s">
        <v>1</v>
      </c>
      <c r="E375" s="70" t="s">
        <v>1</v>
      </c>
      <c r="F375" s="70"/>
      <c r="G375" s="70" t="s">
        <v>61</v>
      </c>
      <c r="H375" s="70" t="s">
        <v>178</v>
      </c>
      <c r="I375" s="70" t="s">
        <v>179</v>
      </c>
      <c r="J375" s="71">
        <f>IF(OR(I375=0,I375=""),"unrated",VLOOKUP(I375,MappingTables!$B$19:$C$31,2,FALSE))</f>
        <v>4</v>
      </c>
      <c r="K375" s="72">
        <v>5414.476656765452</v>
      </c>
      <c r="L375" s="70">
        <v>4.3246703816153872</v>
      </c>
      <c r="M375" s="71">
        <f>IF(L375&lt;1,1,L375)</f>
        <v>4.3246703816153872</v>
      </c>
      <c r="N375" s="70" t="s">
        <v>141</v>
      </c>
      <c r="O375" s="71">
        <f>INDEX(DurClassMapping,MATCH(M375,MappingTables!$D$4:$D$8,-1),1)</f>
        <v>1</v>
      </c>
      <c r="P375" s="73">
        <f>IF(M375=$A$1,1,$M375-INDEX(MappingTables!$E$4:$E$8,MATCH(O375,MappingTables!$B$4:$B$8,0)))</f>
        <v>4.3246703816153872</v>
      </c>
      <c r="Q375" s="71">
        <f>IF(B375="",0,INDEX(ModelParameters!$D$6:$K$10,MATCH($O375,ModelParameters!$B$6:$B$10,0),MATCH($J375,ModelParameters!$D$5:$K$5,0)))</f>
        <v>0.045</v>
      </c>
      <c r="R375" s="71">
        <f>IF(B375="",0,INDEX(ModelParameters!$D$13:$K$17,MATCH($O375,ModelParameters!$B$13:$B$17,0),MATCH($J375,ModelParameters!$D$5:$K$5,0)))</f>
        <v>0</v>
      </c>
      <c r="S375" s="160">
        <f>IF(B375="",0,MIN(IF($N375="Other Bond TM",ModelParameters!$N$21,1)*(P375*Q375+R375),1))</f>
        <v>0.19461016717269244</v>
      </c>
      <c r="T375" s="85">
        <f>IF(B375="",0,$S375*$K375)</f>
        <v>1053.7122073257656</v>
      </c>
      <c r="U375" s="85">
        <f>IF(B375="",0,IF(OR(H375=MappingTables!$C$34,H375=MappingTables!$C$35),T375,0))</f>
        <v>0</v>
      </c>
      <c r="V375" s="85">
        <f>IF(ISNA(IF(AND(VLOOKUP(CONCATENATE($D375,$G375),CSRFinput!$B:$E,4,0)=0,OR(H375=MappingTables!$C$34,H375=MappingTables!$C$35)),1,VLOOKUP(CONCATENATE($D375,$G375),CSRFinput!$B:$E,4,0))),0,IF(AND(VLOOKUP(CONCATENATE($D375,$G375),CSRFinput!$B:$E,4,0)=0,OR(H375=MappingTables!$C$34,H375=MappingTables!$C$35)),1,VLOOKUP(CONCATENATE($D375,$G375),CSRFinput!$B:$E,4,0)))</f>
        <v>0.054776304963434752</v>
      </c>
      <c r="W375" s="85">
        <f>IF(B375="",0,+$T375*$V375)</f>
        <v>57.718461212170128</v>
      </c>
      <c r="X375" s="85">
        <f>IF(B375="",0,IF(OR(H375=MappingTables!$C$34,H375=MappingTables!$C$35),W375,0))</f>
        <v>0</v>
      </c>
    </row>
    <row r="376" spans="2:24" s="0" customFormat="0" ht="15">
      <c r="B376" s="69">
        <v>24188545</v>
      </c>
      <c r="C376" s="70" t="s">
        <v>634</v>
      </c>
      <c r="D376" s="70" t="s">
        <v>1</v>
      </c>
      <c r="E376" s="70" t="s">
        <v>1</v>
      </c>
      <c r="F376" s="70"/>
      <c r="G376" s="70" t="s">
        <v>61</v>
      </c>
      <c r="H376" s="70" t="s">
        <v>178</v>
      </c>
      <c r="I376" s="70" t="s">
        <v>188</v>
      </c>
      <c r="J376" s="71">
        <f>IF(OR(I376=0,I376=""),"unrated",VLOOKUP(I376,MappingTables!$B$19:$C$31,2,FALSE))</f>
        <v>2</v>
      </c>
      <c r="K376" s="72">
        <v>327.5145422937796</v>
      </c>
      <c r="L376" s="70">
        <v>1.6394727037968702</v>
      </c>
      <c r="M376" s="71">
        <f>IF(L376&lt;1,1,L376)</f>
        <v>1.6394727037968702</v>
      </c>
      <c r="N376" s="70" t="s">
        <v>141</v>
      </c>
      <c r="O376" s="71">
        <f>INDEX(DurClassMapping,MATCH(M376,MappingTables!$D$4:$D$8,-1),1)</f>
        <v>1</v>
      </c>
      <c r="P376" s="73">
        <f>IF(M376=$A$1,1,$M376-INDEX(MappingTables!$E$4:$E$8,MATCH(O376,MappingTables!$B$4:$B$8,0)))</f>
        <v>1.6394727037968702</v>
      </c>
      <c r="Q376" s="71">
        <f>IF(B376="",0,INDEX(ModelParameters!$D$6:$K$10,MATCH($O376,ModelParameters!$B$6:$B$10,0),MATCH($J376,ModelParameters!$D$5:$K$5,0)))</f>
        <v>0.013999999999999998</v>
      </c>
      <c r="R376" s="71">
        <f>IF(B376="",0,INDEX(ModelParameters!$D$13:$K$17,MATCH($O376,ModelParameters!$B$13:$B$17,0),MATCH($J376,ModelParameters!$D$5:$K$5,0)))</f>
        <v>0</v>
      </c>
      <c r="S376" s="160">
        <f>IF(B376="",0,MIN(IF($N376="Other Bond TM",ModelParameters!$N$21,1)*(P376*Q376+R376),1))</f>
        <v>0.02295261785315618</v>
      </c>
      <c r="T376" s="85">
        <f>IF(B376="",0,$S376*$K376)</f>
        <v>7.51731613062048</v>
      </c>
      <c r="U376" s="85">
        <f>IF(B376="",0,IF(OR(H376=MappingTables!$C$34,H376=MappingTables!$C$35),T376,0))</f>
        <v>0</v>
      </c>
      <c r="V376" s="85">
        <f>IF(ISNA(IF(AND(VLOOKUP(CONCATENATE($D376,$G376),CSRFinput!$B:$E,4,0)=0,OR(H376=MappingTables!$C$34,H376=MappingTables!$C$35)),1,VLOOKUP(CONCATENATE($D376,$G376),CSRFinput!$B:$E,4,0))),0,IF(AND(VLOOKUP(CONCATENATE($D376,$G376),CSRFinput!$B:$E,4,0)=0,OR(H376=MappingTables!$C$34,H376=MappingTables!$C$35)),1,VLOOKUP(CONCATENATE($D376,$G376),CSRFinput!$B:$E,4,0)))</f>
        <v>0.054776304963434752</v>
      </c>
      <c r="W376" s="85">
        <f>IF(B376="",0,+$T376*$V376)</f>
        <v>0.41177080087741472</v>
      </c>
      <c r="X376" s="85">
        <f>IF(B376="",0,IF(OR(H376=MappingTables!$C$34,H376=MappingTables!$C$35),W376,0))</f>
        <v>0</v>
      </c>
    </row>
    <row r="377" spans="2:24" s="0" customFormat="0" ht="15">
      <c r="B377" s="69">
        <v>17282284</v>
      </c>
      <c r="C377" s="70" t="s">
        <v>635</v>
      </c>
      <c r="D377" s="70" t="s">
        <v>1</v>
      </c>
      <c r="E377" s="70" t="s">
        <v>1</v>
      </c>
      <c r="F377" s="70"/>
      <c r="G377" s="70" t="s">
        <v>61</v>
      </c>
      <c r="H377" s="70" t="s">
        <v>178</v>
      </c>
      <c r="I377" s="70" t="s">
        <v>220</v>
      </c>
      <c r="J377" s="71">
        <f>IF(OR(I377=0,I377=""),"unrated",VLOOKUP(I377,MappingTables!$B$19:$C$31,2,FALSE))</f>
        <v>1</v>
      </c>
      <c r="K377" s="72">
        <v>2068.82739706051</v>
      </c>
      <c r="L377" s="70">
        <v>0.54049186819659112</v>
      </c>
      <c r="M377" s="71">
        <f>IF(L377&lt;1,1,L377)</f>
        <v>1</v>
      </c>
      <c r="N377" s="70" t="s">
        <v>141</v>
      </c>
      <c r="O377" s="71">
        <f>INDEX(DurClassMapping,MATCH(M377,MappingTables!$D$4:$D$8,-1),1)</f>
        <v>1</v>
      </c>
      <c r="P377" s="73">
        <f>IF(M377=$A$1,1,$M377-INDEX(MappingTables!$E$4:$E$8,MATCH(O377,MappingTables!$B$4:$B$8,0)))</f>
        <v>1</v>
      </c>
      <c r="Q377" s="71">
        <f>IF(B377="",0,INDEX(ModelParameters!$D$6:$K$10,MATCH($O377,ModelParameters!$B$6:$B$10,0),MATCH($J377,ModelParameters!$D$5:$K$5,0)))</f>
        <v>0.011000000000000002</v>
      </c>
      <c r="R377" s="71">
        <f>IF(B377="",0,INDEX(ModelParameters!$D$13:$K$17,MATCH($O377,ModelParameters!$B$13:$B$17,0),MATCH($J377,ModelParameters!$D$5:$K$5,0)))</f>
        <v>0</v>
      </c>
      <c r="S377" s="160">
        <f>IF(B377="",0,MIN(IF($N377="Other Bond TM",ModelParameters!$N$21,1)*(P377*Q377+R377),1))</f>
        <v>0.011000000000000002</v>
      </c>
      <c r="T377" s="85">
        <f>IF(B377="",0,$S377*$K377)</f>
        <v>22.757101367665612</v>
      </c>
      <c r="U377" s="85">
        <f>IF(B377="",0,IF(OR(H377=MappingTables!$C$34,H377=MappingTables!$C$35),T377,0))</f>
        <v>0</v>
      </c>
      <c r="V377" s="85">
        <f>IF(ISNA(IF(AND(VLOOKUP(CONCATENATE($D377,$G377),CSRFinput!$B:$E,4,0)=0,OR(H377=MappingTables!$C$34,H377=MappingTables!$C$35)),1,VLOOKUP(CONCATENATE($D377,$G377),CSRFinput!$B:$E,4,0))),0,IF(AND(VLOOKUP(CONCATENATE($D377,$G377),CSRFinput!$B:$E,4,0)=0,OR(H377=MappingTables!$C$34,H377=MappingTables!$C$35)),1,VLOOKUP(CONCATENATE($D377,$G377),CSRFinput!$B:$E,4,0)))</f>
        <v>0.054776304963434752</v>
      </c>
      <c r="W377" s="85">
        <f>IF(B377="",0,+$T377*$V377)</f>
        <v>1.2465499245990496</v>
      </c>
      <c r="X377" s="85">
        <f>IF(B377="",0,IF(OR(H377=MappingTables!$C$34,H377=MappingTables!$C$35),W377,0))</f>
        <v>0</v>
      </c>
    </row>
    <row r="378" spans="2:24" s="0" customFormat="0" ht="15">
      <c r="B378" s="69">
        <v>21743793</v>
      </c>
      <c r="C378" s="70" t="s">
        <v>636</v>
      </c>
      <c r="D378" s="70" t="s">
        <v>1</v>
      </c>
      <c r="E378" s="70" t="s">
        <v>1</v>
      </c>
      <c r="F378" s="70"/>
      <c r="G378" s="70" t="s">
        <v>61</v>
      </c>
      <c r="H378" s="70" t="s">
        <v>178</v>
      </c>
      <c r="I378" s="70" t="s">
        <v>181</v>
      </c>
      <c r="J378" s="71">
        <f>IF(OR(I378=0,I378=""),"unrated",VLOOKUP(I378,MappingTables!$B$19:$C$31,2,FALSE))</f>
        <v>3</v>
      </c>
      <c r="K378" s="72">
        <v>6325.7096353950208</v>
      </c>
      <c r="L378" s="70">
        <v>1.9560918108389312</v>
      </c>
      <c r="M378" s="71">
        <f>IF(L378&lt;1,1,L378)</f>
        <v>1.9560918108389312</v>
      </c>
      <c r="N378" s="70" t="s">
        <v>141</v>
      </c>
      <c r="O378" s="71">
        <f>INDEX(DurClassMapping,MATCH(M378,MappingTables!$D$4:$D$8,-1),1)</f>
        <v>1</v>
      </c>
      <c r="P378" s="73">
        <f>IF(M378=$A$1,1,$M378-INDEX(MappingTables!$E$4:$E$8,MATCH(O378,MappingTables!$B$4:$B$8,0)))</f>
        <v>1.9560918108389312</v>
      </c>
      <c r="Q378" s="71">
        <f>IF(B378="",0,INDEX(ModelParameters!$D$6:$K$10,MATCH($O378,ModelParameters!$B$6:$B$10,0),MATCH($J378,ModelParameters!$D$5:$K$5,0)))</f>
        <v>0.025</v>
      </c>
      <c r="R378" s="71">
        <f>IF(B378="",0,INDEX(ModelParameters!$D$13:$K$17,MATCH($O378,ModelParameters!$B$13:$B$17,0),MATCH($J378,ModelParameters!$D$5:$K$5,0)))</f>
        <v>0</v>
      </c>
      <c r="S378" s="160">
        <f>IF(B378="",0,MIN(IF($N378="Other Bond TM",ModelParameters!$N$21,1)*(P378*Q378+R378),1))</f>
        <v>0.04890229527097328</v>
      </c>
      <c r="T378" s="85">
        <f>IF(B378="",0,$S378*$K378)</f>
        <v>309.34172038852808</v>
      </c>
      <c r="U378" s="85">
        <f>IF(B378="",0,IF(OR(H378=MappingTables!$C$34,H378=MappingTables!$C$35),T378,0))</f>
        <v>0</v>
      </c>
      <c r="V378" s="85">
        <f>IF(ISNA(IF(AND(VLOOKUP(CONCATENATE($D378,$G378),CSRFinput!$B:$E,4,0)=0,OR(H378=MappingTables!$C$34,H378=MappingTables!$C$35)),1,VLOOKUP(CONCATENATE($D378,$G378),CSRFinput!$B:$E,4,0))),0,IF(AND(VLOOKUP(CONCATENATE($D378,$G378),CSRFinput!$B:$E,4,0)=0,OR(H378=MappingTables!$C$34,H378=MappingTables!$C$35)),1,VLOOKUP(CONCATENATE($D378,$G378),CSRFinput!$B:$E,4,0)))</f>
        <v>0.054776304963434752</v>
      </c>
      <c r="W378" s="85">
        <f>IF(B378="",0,+$T378*$V378)</f>
        <v>16.944596413915576</v>
      </c>
      <c r="X378" s="85">
        <f>IF(B378="",0,IF(OR(H378=MappingTables!$C$34,H378=MappingTables!$C$35),W378,0))</f>
        <v>0</v>
      </c>
    </row>
    <row r="379" spans="2:24" s="0" customFormat="0" ht="15">
      <c r="B379" s="69">
        <v>20986643</v>
      </c>
      <c r="C379" s="70" t="s">
        <v>637</v>
      </c>
      <c r="D379" s="70" t="s">
        <v>1</v>
      </c>
      <c r="E379" s="70" t="s">
        <v>1</v>
      </c>
      <c r="F379" s="70"/>
      <c r="G379" s="70" t="s">
        <v>61</v>
      </c>
      <c r="H379" s="70" t="s">
        <v>178</v>
      </c>
      <c r="I379" s="70" t="s">
        <v>184</v>
      </c>
      <c r="J379" s="71">
        <f>IF(OR(I379=0,I379=""),"unrated",VLOOKUP(I379,MappingTables!$B$19:$C$31,2,FALSE))</f>
        <v>5</v>
      </c>
      <c r="K379" s="72">
        <v>4820.6987379318552</v>
      </c>
      <c r="L379" s="70">
        <v>3.3591202753850648</v>
      </c>
      <c r="M379" s="71">
        <f>IF(L379&lt;1,1,L379)</f>
        <v>3.3591202753850648</v>
      </c>
      <c r="N379" s="70" t="s">
        <v>141</v>
      </c>
      <c r="O379" s="71">
        <f>INDEX(DurClassMapping,MATCH(M379,MappingTables!$D$4:$D$8,-1),1)</f>
        <v>1</v>
      </c>
      <c r="P379" s="73">
        <f>IF(M379=$A$1,1,$M379-INDEX(MappingTables!$E$4:$E$8,MATCH(O379,MappingTables!$B$4:$B$8,0)))</f>
        <v>3.3591202753850648</v>
      </c>
      <c r="Q379" s="71">
        <f>IF(B379="",0,INDEX(ModelParameters!$D$6:$K$10,MATCH($O379,ModelParameters!$B$6:$B$10,0),MATCH($J379,ModelParameters!$D$5:$K$5,0)))</f>
        <v>0.075</v>
      </c>
      <c r="R379" s="71">
        <f>IF(B379="",0,INDEX(ModelParameters!$D$13:$K$17,MATCH($O379,ModelParameters!$B$13:$B$17,0),MATCH($J379,ModelParameters!$D$5:$K$5,0)))</f>
        <v>0</v>
      </c>
      <c r="S379" s="160">
        <f>IF(B379="",0,MIN(IF($N379="Other Bond TM",ModelParameters!$N$21,1)*(P379*Q379+R379),1))</f>
        <v>0.25193402065387988</v>
      </c>
      <c r="T379" s="85">
        <f>IF(B379="",0,$S379*$K379)</f>
        <v>1214.4980154082566</v>
      </c>
      <c r="U379" s="85">
        <f>IF(B379="",0,IF(OR(H379=MappingTables!$C$34,H379=MappingTables!$C$35),T379,0))</f>
        <v>0</v>
      </c>
      <c r="V379" s="85">
        <f>IF(ISNA(IF(AND(VLOOKUP(CONCATENATE($D379,$G379),CSRFinput!$B:$E,4,0)=0,OR(H379=MappingTables!$C$34,H379=MappingTables!$C$35)),1,VLOOKUP(CONCATENATE($D379,$G379),CSRFinput!$B:$E,4,0))),0,IF(AND(VLOOKUP(CONCATENATE($D379,$G379),CSRFinput!$B:$E,4,0)=0,OR(H379=MappingTables!$C$34,H379=MappingTables!$C$35)),1,VLOOKUP(CONCATENATE($D379,$G379),CSRFinput!$B:$E,4,0)))</f>
        <v>0.054776304963434752</v>
      </c>
      <c r="W379" s="85">
        <f>IF(B379="",0,+$T379*$V379)</f>
        <v>66.525713669488952</v>
      </c>
      <c r="X379" s="85">
        <f>IF(B379="",0,IF(OR(H379=MappingTables!$C$34,H379=MappingTables!$C$35),W379,0))</f>
        <v>0</v>
      </c>
    </row>
    <row r="380" spans="2:24" s="0" customFormat="0" ht="15">
      <c r="B380" s="69" t="s">
        <v>638</v>
      </c>
      <c r="C380" s="70" t="s">
        <v>639</v>
      </c>
      <c r="D380" s="70" t="s">
        <v>1</v>
      </c>
      <c r="E380" s="70" t="s">
        <v>1</v>
      </c>
      <c r="F380" s="70"/>
      <c r="G380" s="70" t="s">
        <v>61</v>
      </c>
      <c r="H380" s="70" t="s">
        <v>178</v>
      </c>
      <c r="I380" s="70" t="s">
        <v>184</v>
      </c>
      <c r="J380" s="71">
        <f>IF(OR(I380=0,I380=""),"unrated",VLOOKUP(I380,MappingTables!$B$19:$C$31,2,FALSE))</f>
        <v>5</v>
      </c>
      <c r="K380" s="72">
        <v>357.12037710881656</v>
      </c>
      <c r="L380" s="70">
        <v>8.8637019449835408</v>
      </c>
      <c r="M380" s="71">
        <f>IF(L380&lt;1,1,L380)</f>
        <v>8.8637019449835408</v>
      </c>
      <c r="N380" s="70" t="s">
        <v>141</v>
      </c>
      <c r="O380" s="71">
        <f>INDEX(DurClassMapping,MATCH(M380,MappingTables!$D$4:$D$8,-1),1)</f>
        <v>2</v>
      </c>
      <c r="P380" s="73">
        <f>IF(M380=$A$1,1,$M380-INDEX(MappingTables!$E$4:$E$8,MATCH(O380,MappingTables!$B$4:$B$8,0)))</f>
        <v>3.8637019449835408</v>
      </c>
      <c r="Q380" s="71">
        <f>IF(B380="",0,INDEX(ModelParameters!$D$6:$K$10,MATCH($O380,ModelParameters!$B$6:$B$10,0),MATCH($J380,ModelParameters!$D$5:$K$5,0)))</f>
        <v>0.042</v>
      </c>
      <c r="R380" s="71">
        <f>IF(B380="",0,INDEX(ModelParameters!$D$13:$K$17,MATCH($O380,ModelParameters!$B$13:$B$17,0),MATCH($J380,ModelParameters!$D$5:$K$5,0)))</f>
        <v>0.375</v>
      </c>
      <c r="S380" s="160">
        <f>IF(B380="",0,MIN(IF($N380="Other Bond TM",ModelParameters!$N$21,1)*(P380*Q380+R380),1))</f>
        <v>0.53727548168930872</v>
      </c>
      <c r="T380" s="85">
        <f>IF(B380="",0,$S380*$K380)</f>
        <v>191.872022632207</v>
      </c>
      <c r="U380" s="85">
        <f>IF(B380="",0,IF(OR(H380=MappingTables!$C$34,H380=MappingTables!$C$35),T380,0))</f>
        <v>0</v>
      </c>
      <c r="V380" s="85">
        <f>IF(ISNA(IF(AND(VLOOKUP(CONCATENATE($D380,$G380),CSRFinput!$B:$E,4,0)=0,OR(H380=MappingTables!$C$34,H380=MappingTables!$C$35)),1,VLOOKUP(CONCATENATE($D380,$G380),CSRFinput!$B:$E,4,0))),0,IF(AND(VLOOKUP(CONCATENATE($D380,$G380),CSRFinput!$B:$E,4,0)=0,OR(H380=MappingTables!$C$34,H380=MappingTables!$C$35)),1,VLOOKUP(CONCATENATE($D380,$G380),CSRFinput!$B:$E,4,0)))</f>
        <v>0.054776304963434752</v>
      </c>
      <c r="W380" s="85">
        <f>IF(B380="",0,+$T380*$V380)</f>
        <v>10.510040425652826</v>
      </c>
      <c r="X380" s="85">
        <f>IF(B380="",0,IF(OR(H380=MappingTables!$C$34,H380=MappingTables!$C$35),W380,0))</f>
        <v>0</v>
      </c>
    </row>
    <row r="381" spans="2:24" s="0" customFormat="0" ht="15">
      <c r="B381" s="69">
        <v>14844837</v>
      </c>
      <c r="C381" s="70" t="s">
        <v>640</v>
      </c>
      <c r="D381" s="70" t="s">
        <v>1</v>
      </c>
      <c r="E381" s="70" t="s">
        <v>1</v>
      </c>
      <c r="F381" s="70"/>
      <c r="G381" s="70" t="s">
        <v>61</v>
      </c>
      <c r="H381" s="70" t="s">
        <v>178</v>
      </c>
      <c r="I381" s="70" t="s">
        <v>181</v>
      </c>
      <c r="J381" s="71">
        <f>IF(OR(I381=0,I381=""),"unrated",VLOOKUP(I381,MappingTables!$B$19:$C$31,2,FALSE))</f>
        <v>3</v>
      </c>
      <c r="K381" s="72">
        <v>126.04033847056896</v>
      </c>
      <c r="L381" s="70">
        <v>1.81526547572069</v>
      </c>
      <c r="M381" s="71">
        <f>IF(L381&lt;1,1,L381)</f>
        <v>1.81526547572069</v>
      </c>
      <c r="N381" s="70" t="s">
        <v>141</v>
      </c>
      <c r="O381" s="71">
        <f>INDEX(DurClassMapping,MATCH(M381,MappingTables!$D$4:$D$8,-1),1)</f>
        <v>1</v>
      </c>
      <c r="P381" s="73">
        <f>IF(M381=$A$1,1,$M381-INDEX(MappingTables!$E$4:$E$8,MATCH(O381,MappingTables!$B$4:$B$8,0)))</f>
        <v>1.81526547572069</v>
      </c>
      <c r="Q381" s="71">
        <f>IF(B381="",0,INDEX(ModelParameters!$D$6:$K$10,MATCH($O381,ModelParameters!$B$6:$B$10,0),MATCH($J381,ModelParameters!$D$5:$K$5,0)))</f>
        <v>0.025</v>
      </c>
      <c r="R381" s="71">
        <f>IF(B381="",0,INDEX(ModelParameters!$D$13:$K$17,MATCH($O381,ModelParameters!$B$13:$B$17,0),MATCH($J381,ModelParameters!$D$5:$K$5,0)))</f>
        <v>0</v>
      </c>
      <c r="S381" s="160">
        <f>IF(B381="",0,MIN(IF($N381="Other Bond TM",ModelParameters!$N$21,1)*(P381*Q381+R381),1))</f>
        <v>0.045381636893017248</v>
      </c>
      <c r="T381" s="85">
        <f>IF(B381="",0,$S381*$K381)</f>
        <v>5.7199168743443528</v>
      </c>
      <c r="U381" s="85">
        <f>IF(B381="",0,IF(OR(H381=MappingTables!$C$34,H381=MappingTables!$C$35),T381,0))</f>
        <v>0</v>
      </c>
      <c r="V381" s="85">
        <f>IF(ISNA(IF(AND(VLOOKUP(CONCATENATE($D381,$G381),CSRFinput!$B:$E,4,0)=0,OR(H381=MappingTables!$C$34,H381=MappingTables!$C$35)),1,VLOOKUP(CONCATENATE($D381,$G381),CSRFinput!$B:$E,4,0))),0,IF(AND(VLOOKUP(CONCATENATE($D381,$G381),CSRFinput!$B:$E,4,0)=0,OR(H381=MappingTables!$C$34,H381=MappingTables!$C$35)),1,VLOOKUP(CONCATENATE($D381,$G381),CSRFinput!$B:$E,4,0)))</f>
        <v>0.054776304963434752</v>
      </c>
      <c r="W381" s="85">
        <f>IF(B381="",0,+$T381*$V381)</f>
        <v>0.3133159110745828</v>
      </c>
      <c r="X381" s="85">
        <f>IF(B381="",0,IF(OR(H381=MappingTables!$C$34,H381=MappingTables!$C$35),W381,0))</f>
        <v>0</v>
      </c>
    </row>
    <row r="382" spans="2:24" s="0" customFormat="0" ht="15">
      <c r="B382" s="69">
        <v>11002190</v>
      </c>
      <c r="C382" s="70" t="s">
        <v>603</v>
      </c>
      <c r="D382" s="70" t="s">
        <v>1</v>
      </c>
      <c r="E382" s="70" t="s">
        <v>1</v>
      </c>
      <c r="F382" s="70"/>
      <c r="G382" s="70" t="s">
        <v>61</v>
      </c>
      <c r="H382" s="70" t="s">
        <v>178</v>
      </c>
      <c r="I382" s="70" t="s">
        <v>188</v>
      </c>
      <c r="J382" s="71">
        <f>IF(OR(I382=0,I382=""),"unrated",VLOOKUP(I382,MappingTables!$B$19:$C$31,2,FALSE))</f>
        <v>2</v>
      </c>
      <c r="K382" s="72">
        <v>471.38382618247648</v>
      </c>
      <c r="L382" s="70">
        <v>0.33868427932571432</v>
      </c>
      <c r="M382" s="71">
        <f>IF(L382&lt;1,1,L382)</f>
        <v>1</v>
      </c>
      <c r="N382" s="70" t="s">
        <v>141</v>
      </c>
      <c r="O382" s="71">
        <f>INDEX(DurClassMapping,MATCH(M382,MappingTables!$D$4:$D$8,-1),1)</f>
        <v>1</v>
      </c>
      <c r="P382" s="73">
        <f>IF(M382=$A$1,1,$M382-INDEX(MappingTables!$E$4:$E$8,MATCH(O382,MappingTables!$B$4:$B$8,0)))</f>
        <v>1</v>
      </c>
      <c r="Q382" s="71">
        <f>IF(B382="",0,INDEX(ModelParameters!$D$6:$K$10,MATCH($O382,ModelParameters!$B$6:$B$10,0),MATCH($J382,ModelParameters!$D$5:$K$5,0)))</f>
        <v>0.013999999999999998</v>
      </c>
      <c r="R382" s="71">
        <f>IF(B382="",0,INDEX(ModelParameters!$D$13:$K$17,MATCH($O382,ModelParameters!$B$13:$B$17,0),MATCH($J382,ModelParameters!$D$5:$K$5,0)))</f>
        <v>0</v>
      </c>
      <c r="S382" s="160">
        <f>IF(B382="",0,MIN(IF($N382="Other Bond TM",ModelParameters!$N$21,1)*(P382*Q382+R382),1))</f>
        <v>0.013999999999999998</v>
      </c>
      <c r="T382" s="85">
        <f>IF(B382="",0,$S382*$K382)</f>
        <v>6.5993735665546696</v>
      </c>
      <c r="U382" s="85">
        <f>IF(B382="",0,IF(OR(H382=MappingTables!$C$34,H382=MappingTables!$C$35),T382,0))</f>
        <v>0</v>
      </c>
      <c r="V382" s="85">
        <f>IF(ISNA(IF(AND(VLOOKUP(CONCATENATE($D382,$G382),CSRFinput!$B:$E,4,0)=0,OR(H382=MappingTables!$C$34,H382=MappingTables!$C$35)),1,VLOOKUP(CONCATENATE($D382,$G382),CSRFinput!$B:$E,4,0))),0,IF(AND(VLOOKUP(CONCATENATE($D382,$G382),CSRFinput!$B:$E,4,0)=0,OR(H382=MappingTables!$C$34,H382=MappingTables!$C$35)),1,VLOOKUP(CONCATENATE($D382,$G382),CSRFinput!$B:$E,4,0)))</f>
        <v>0.054776304963434752</v>
      </c>
      <c r="W382" s="85">
        <f>IF(B382="",0,+$T382*$V382)</f>
        <v>0.36148929904922864</v>
      </c>
      <c r="X382" s="85">
        <f>IF(B382="",0,IF(OR(H382=MappingTables!$C$34,H382=MappingTables!$C$35),W382,0))</f>
        <v>0</v>
      </c>
    </row>
    <row r="383" spans="2:24" s="0" customFormat="0" ht="15">
      <c r="B383" s="69">
        <v>16988739</v>
      </c>
      <c r="C383" s="70" t="s">
        <v>641</v>
      </c>
      <c r="D383" s="70" t="s">
        <v>1</v>
      </c>
      <c r="E383" s="70" t="s">
        <v>1</v>
      </c>
      <c r="F383" s="70"/>
      <c r="G383" s="70" t="s">
        <v>61</v>
      </c>
      <c r="H383" s="70" t="s">
        <v>178</v>
      </c>
      <c r="I383" s="70" t="s">
        <v>188</v>
      </c>
      <c r="J383" s="71">
        <f>IF(OR(I383=0,I383=""),"unrated",VLOOKUP(I383,MappingTables!$B$19:$C$31,2,FALSE))</f>
        <v>2</v>
      </c>
      <c r="K383" s="72">
        <v>157.19714784279432</v>
      </c>
      <c r="L383" s="70">
        <v>0.328768485959425</v>
      </c>
      <c r="M383" s="71">
        <f>IF(L383&lt;1,1,L383)</f>
        <v>1</v>
      </c>
      <c r="N383" s="70" t="s">
        <v>141</v>
      </c>
      <c r="O383" s="71">
        <f>INDEX(DurClassMapping,MATCH(M383,MappingTables!$D$4:$D$8,-1),1)</f>
        <v>1</v>
      </c>
      <c r="P383" s="73">
        <f>IF(M383=$A$1,1,$M383-INDEX(MappingTables!$E$4:$E$8,MATCH(O383,MappingTables!$B$4:$B$8,0)))</f>
        <v>1</v>
      </c>
      <c r="Q383" s="71">
        <f>IF(B383="",0,INDEX(ModelParameters!$D$6:$K$10,MATCH($O383,ModelParameters!$B$6:$B$10,0),MATCH($J383,ModelParameters!$D$5:$K$5,0)))</f>
        <v>0.013999999999999998</v>
      </c>
      <c r="R383" s="71">
        <f>IF(B383="",0,INDEX(ModelParameters!$D$13:$K$17,MATCH($O383,ModelParameters!$B$13:$B$17,0),MATCH($J383,ModelParameters!$D$5:$K$5,0)))</f>
        <v>0</v>
      </c>
      <c r="S383" s="160">
        <f>IF(B383="",0,MIN(IF($N383="Other Bond TM",ModelParameters!$N$21,1)*(P383*Q383+R383),1))</f>
        <v>0.013999999999999998</v>
      </c>
      <c r="T383" s="85">
        <f>IF(B383="",0,$S383*$K383)</f>
        <v>2.20076006979912</v>
      </c>
      <c r="U383" s="85">
        <f>IF(B383="",0,IF(OR(H383=MappingTables!$C$34,H383=MappingTables!$C$35),T383,0))</f>
        <v>0</v>
      </c>
      <c r="V383" s="85">
        <f>IF(ISNA(IF(AND(VLOOKUP(CONCATENATE($D383,$G383),CSRFinput!$B:$E,4,0)=0,OR(H383=MappingTables!$C$34,H383=MappingTables!$C$35)),1,VLOOKUP(CONCATENATE($D383,$G383),CSRFinput!$B:$E,4,0))),0,IF(AND(VLOOKUP(CONCATENATE($D383,$G383),CSRFinput!$B:$E,4,0)=0,OR(H383=MappingTables!$C$34,H383=MappingTables!$C$35)),1,VLOOKUP(CONCATENATE($D383,$G383),CSRFinput!$B:$E,4,0)))</f>
        <v>0.054776304963434752</v>
      </c>
      <c r="W383" s="85">
        <f>IF(B383="",0,+$T383*$V383)</f>
        <v>0.12054950473466656</v>
      </c>
      <c r="X383" s="85">
        <f>IF(B383="",0,IF(OR(H383=MappingTables!$C$34,H383=MappingTables!$C$35),W383,0))</f>
        <v>0</v>
      </c>
    </row>
    <row r="384" spans="2:24" s="0" customFormat="0" ht="15">
      <c r="B384" s="69">
        <v>25105239</v>
      </c>
      <c r="C384" s="70" t="s">
        <v>642</v>
      </c>
      <c r="D384" s="70" t="s">
        <v>1</v>
      </c>
      <c r="E384" s="70" t="s">
        <v>1</v>
      </c>
      <c r="F384" s="70"/>
      <c r="G384" s="70" t="s">
        <v>61</v>
      </c>
      <c r="H384" s="70" t="s">
        <v>178</v>
      </c>
      <c r="I384" s="70" t="s">
        <v>181</v>
      </c>
      <c r="J384" s="71">
        <f>IF(OR(I384=0,I384=""),"unrated",VLOOKUP(I384,MappingTables!$B$19:$C$31,2,FALSE))</f>
        <v>3</v>
      </c>
      <c r="K384" s="72">
        <v>17781.028327712094</v>
      </c>
      <c r="L384" s="70">
        <v>5.6251521757240312</v>
      </c>
      <c r="M384" s="71">
        <f>IF(L384&lt;1,1,L384)</f>
        <v>5.6251521757240312</v>
      </c>
      <c r="N384" s="70" t="s">
        <v>141</v>
      </c>
      <c r="O384" s="71">
        <f>INDEX(DurClassMapping,MATCH(M384,MappingTables!$D$4:$D$8,-1),1)</f>
        <v>2</v>
      </c>
      <c r="P384" s="73">
        <f>IF(M384=$A$1,1,$M384-INDEX(MappingTables!$E$4:$E$8,MATCH(O384,MappingTables!$B$4:$B$8,0)))</f>
        <v>0.6251521757240308</v>
      </c>
      <c r="Q384" s="71">
        <f>IF(B384="",0,INDEX(ModelParameters!$D$6:$K$10,MATCH($O384,ModelParameters!$B$6:$B$10,0),MATCH($J384,ModelParameters!$D$5:$K$5,0)))</f>
        <v>0.015</v>
      </c>
      <c r="R384" s="71">
        <f>IF(B384="",0,INDEX(ModelParameters!$D$13:$K$17,MATCH($O384,ModelParameters!$B$13:$B$17,0),MATCH($J384,ModelParameters!$D$5:$K$5,0)))</f>
        <v>0.125</v>
      </c>
      <c r="S384" s="160">
        <f>IF(B384="",0,MIN(IF($N384="Other Bond TM",ModelParameters!$N$21,1)*(P384*Q384+R384),1))</f>
        <v>0.13437728263586046</v>
      </c>
      <c r="T384" s="85">
        <f>IF(B384="",0,$S384*$K384)</f>
        <v>2389.3662691492096</v>
      </c>
      <c r="U384" s="85">
        <f>IF(B384="",0,IF(OR(H384=MappingTables!$C$34,H384=MappingTables!$C$35),T384,0))</f>
        <v>0</v>
      </c>
      <c r="V384" s="85">
        <f>IF(ISNA(IF(AND(VLOOKUP(CONCATENATE($D384,$G384),CSRFinput!$B:$E,4,0)=0,OR(H384=MappingTables!$C$34,H384=MappingTables!$C$35)),1,VLOOKUP(CONCATENATE($D384,$G384),CSRFinput!$B:$E,4,0))),0,IF(AND(VLOOKUP(CONCATENATE($D384,$G384),CSRFinput!$B:$E,4,0)=0,OR(H384=MappingTables!$C$34,H384=MappingTables!$C$35)),1,VLOOKUP(CONCATENATE($D384,$G384),CSRFinput!$B:$E,4,0)))</f>
        <v>0.054776304963434752</v>
      </c>
      <c r="W384" s="85">
        <f>IF(B384="",0,+$T384*$V384)</f>
        <v>130.88065542826144</v>
      </c>
      <c r="X384" s="85">
        <f>IF(B384="",0,IF(OR(H384=MappingTables!$C$34,H384=MappingTables!$C$35),W384,0))</f>
        <v>0</v>
      </c>
    </row>
    <row r="385" spans="2:24" s="0" customFormat="0" ht="15">
      <c r="B385" s="69">
        <v>21729563</v>
      </c>
      <c r="C385" s="70" t="s">
        <v>643</v>
      </c>
      <c r="D385" s="70" t="s">
        <v>1</v>
      </c>
      <c r="E385" s="70" t="s">
        <v>1</v>
      </c>
      <c r="F385" s="70"/>
      <c r="G385" s="70" t="s">
        <v>61</v>
      </c>
      <c r="H385" s="70" t="s">
        <v>178</v>
      </c>
      <c r="I385" s="70" t="s">
        <v>188</v>
      </c>
      <c r="J385" s="71">
        <f>IF(OR(I385=0,I385=""),"unrated",VLOOKUP(I385,MappingTables!$B$19:$C$31,2,FALSE))</f>
        <v>2</v>
      </c>
      <c r="K385" s="72">
        <v>2673.1365774418256</v>
      </c>
      <c r="L385" s="70">
        <v>6.3205378683052912</v>
      </c>
      <c r="M385" s="71">
        <f>IF(L385&lt;1,1,L385)</f>
        <v>6.3205378683052912</v>
      </c>
      <c r="N385" s="70" t="s">
        <v>141</v>
      </c>
      <c r="O385" s="71">
        <f>INDEX(DurClassMapping,MATCH(M385,MappingTables!$D$4:$D$8,-1),1)</f>
        <v>2</v>
      </c>
      <c r="P385" s="73">
        <f>IF(M385=$A$1,1,$M385-INDEX(MappingTables!$E$4:$E$8,MATCH(O385,MappingTables!$B$4:$B$8,0)))</f>
        <v>1.3205378683052916</v>
      </c>
      <c r="Q385" s="71">
        <f>IF(B385="",0,INDEX(ModelParameters!$D$6:$K$10,MATCH($O385,ModelParameters!$B$6:$B$10,0),MATCH($J385,ModelParameters!$D$5:$K$5,0)))</f>
        <v>0.0069999999999999992</v>
      </c>
      <c r="R385" s="71">
        <f>IF(B385="",0,INDEX(ModelParameters!$D$13:$K$17,MATCH($O385,ModelParameters!$B$13:$B$17,0),MATCH($J385,ModelParameters!$D$5:$K$5,0)))</f>
        <v>0.070000000000000008</v>
      </c>
      <c r="S385" s="160">
        <f>IF(B385="",0,MIN(IF($N385="Other Bond TM",ModelParameters!$N$21,1)*(P385*Q385+R385),1))</f>
        <v>0.07924376507813704</v>
      </c>
      <c r="T385" s="85">
        <f>IF(B385="",0,$S385*$K385)</f>
        <v>211.82940696457532</v>
      </c>
      <c r="U385" s="85">
        <f>IF(B385="",0,IF(OR(H385=MappingTables!$C$34,H385=MappingTables!$C$35),T385,0))</f>
        <v>0</v>
      </c>
      <c r="V385" s="85">
        <f>IF(ISNA(IF(AND(VLOOKUP(CONCATENATE($D385,$G385),CSRFinput!$B:$E,4,0)=0,OR(H385=MappingTables!$C$34,H385=MappingTables!$C$35)),1,VLOOKUP(CONCATENATE($D385,$G385),CSRFinput!$B:$E,4,0))),0,IF(AND(VLOOKUP(CONCATENATE($D385,$G385),CSRFinput!$B:$E,4,0)=0,OR(H385=MappingTables!$C$34,H385=MappingTables!$C$35)),1,VLOOKUP(CONCATENATE($D385,$G385),CSRFinput!$B:$E,4,0)))</f>
        <v>0.054776304963434752</v>
      </c>
      <c r="W385" s="85">
        <f>IF(B385="",0,+$T385*$V385)</f>
        <v>11.603232196115108</v>
      </c>
      <c r="X385" s="85">
        <f>IF(B385="",0,IF(OR(H385=MappingTables!$C$34,H385=MappingTables!$C$35),W385,0))</f>
        <v>0</v>
      </c>
    </row>
    <row r="386" spans="2:24" s="0" customFormat="0" ht="15">
      <c r="B386" s="69">
        <v>20930579</v>
      </c>
      <c r="C386" s="70" t="s">
        <v>644</v>
      </c>
      <c r="D386" s="70" t="s">
        <v>1</v>
      </c>
      <c r="E386" s="70" t="s">
        <v>1</v>
      </c>
      <c r="F386" s="70"/>
      <c r="G386" s="70" t="s">
        <v>61</v>
      </c>
      <c r="H386" s="70" t="s">
        <v>178</v>
      </c>
      <c r="I386" s="70" t="s">
        <v>184</v>
      </c>
      <c r="J386" s="71">
        <f>IF(OR(I386=0,I386=""),"unrated",VLOOKUP(I386,MappingTables!$B$19:$C$31,2,FALSE))</f>
        <v>5</v>
      </c>
      <c r="K386" s="72">
        <v>13784.72995938196</v>
      </c>
      <c r="L386" s="70">
        <v>5.240911243040976</v>
      </c>
      <c r="M386" s="71">
        <f>IF(L386&lt;1,1,L386)</f>
        <v>5.240911243040976</v>
      </c>
      <c r="N386" s="70" t="s">
        <v>141</v>
      </c>
      <c r="O386" s="71">
        <f>INDEX(DurClassMapping,MATCH(M386,MappingTables!$D$4:$D$8,-1),1)</f>
        <v>2</v>
      </c>
      <c r="P386" s="73">
        <f>IF(M386=$A$1,1,$M386-INDEX(MappingTables!$E$4:$E$8,MATCH(O386,MappingTables!$B$4:$B$8,0)))</f>
        <v>0.24091124304097632</v>
      </c>
      <c r="Q386" s="71">
        <f>IF(B386="",0,INDEX(ModelParameters!$D$6:$K$10,MATCH($O386,ModelParameters!$B$6:$B$10,0),MATCH($J386,ModelParameters!$D$5:$K$5,0)))</f>
        <v>0.042</v>
      </c>
      <c r="R386" s="71">
        <f>IF(B386="",0,INDEX(ModelParameters!$D$13:$K$17,MATCH($O386,ModelParameters!$B$13:$B$17,0),MATCH($J386,ModelParameters!$D$5:$K$5,0)))</f>
        <v>0.375</v>
      </c>
      <c r="S386" s="160">
        <f>IF(B386="",0,MIN(IF($N386="Other Bond TM",ModelParameters!$N$21,1)*(P386*Q386+R386),1))</f>
        <v>0.38511827220772096</v>
      </c>
      <c r="T386" s="85">
        <f>IF(B386="",0,$S386*$K386)</f>
        <v>5308.7513848071888</v>
      </c>
      <c r="U386" s="85">
        <f>IF(B386="",0,IF(OR(H386=MappingTables!$C$34,H386=MappingTables!$C$35),T386,0))</f>
        <v>0</v>
      </c>
      <c r="V386" s="85">
        <f>IF(ISNA(IF(AND(VLOOKUP(CONCATENATE($D386,$G386),CSRFinput!$B:$E,4,0)=0,OR(H386=MappingTables!$C$34,H386=MappingTables!$C$35)),1,VLOOKUP(CONCATENATE($D386,$G386),CSRFinput!$B:$E,4,0))),0,IF(AND(VLOOKUP(CONCATENATE($D386,$G386),CSRFinput!$B:$E,4,0)=0,OR(H386=MappingTables!$C$34,H386=MappingTables!$C$35)),1,VLOOKUP(CONCATENATE($D386,$G386),CSRFinput!$B:$E,4,0)))</f>
        <v>0.054776304963434752</v>
      </c>
      <c r="W386" s="85">
        <f>IF(B386="",0,+$T386*$V386)</f>
        <v>290.79378482925512</v>
      </c>
      <c r="X386" s="85">
        <f>IF(B386="",0,IF(OR(H386=MappingTables!$C$34,H386=MappingTables!$C$35),W386,0))</f>
        <v>0</v>
      </c>
    </row>
    <row r="387" spans="2:24" s="0" customFormat="0" ht="15">
      <c r="B387" s="69">
        <v>17129704</v>
      </c>
      <c r="C387" s="70" t="s">
        <v>645</v>
      </c>
      <c r="D387" s="70" t="s">
        <v>1</v>
      </c>
      <c r="E387" s="70" t="s">
        <v>1</v>
      </c>
      <c r="F387" s="70"/>
      <c r="G387" s="70" t="s">
        <v>61</v>
      </c>
      <c r="H387" s="70" t="s">
        <v>178</v>
      </c>
      <c r="I387" s="70" t="s">
        <v>179</v>
      </c>
      <c r="J387" s="71">
        <f>IF(OR(I387=0,I387=""),"unrated",VLOOKUP(I387,MappingTables!$B$19:$C$31,2,FALSE))</f>
        <v>4</v>
      </c>
      <c r="K387" s="72">
        <v>11886.577369981448</v>
      </c>
      <c r="L387" s="70">
        <v>2.2592630381371988</v>
      </c>
      <c r="M387" s="71">
        <f>IF(L387&lt;1,1,L387)</f>
        <v>2.2592630381371988</v>
      </c>
      <c r="N387" s="70" t="s">
        <v>141</v>
      </c>
      <c r="O387" s="71">
        <f>INDEX(DurClassMapping,MATCH(M387,MappingTables!$D$4:$D$8,-1),1)</f>
        <v>1</v>
      </c>
      <c r="P387" s="73">
        <f>IF(M387=$A$1,1,$M387-INDEX(MappingTables!$E$4:$E$8,MATCH(O387,MappingTables!$B$4:$B$8,0)))</f>
        <v>2.2592630381371988</v>
      </c>
      <c r="Q387" s="71">
        <f>IF(B387="",0,INDEX(ModelParameters!$D$6:$K$10,MATCH($O387,ModelParameters!$B$6:$B$10,0),MATCH($J387,ModelParameters!$D$5:$K$5,0)))</f>
        <v>0.045</v>
      </c>
      <c r="R387" s="71">
        <f>IF(B387="",0,INDEX(ModelParameters!$D$13:$K$17,MATCH($O387,ModelParameters!$B$13:$B$17,0),MATCH($J387,ModelParameters!$D$5:$K$5,0)))</f>
        <v>0</v>
      </c>
      <c r="S387" s="160">
        <f>IF(B387="",0,MIN(IF($N387="Other Bond TM",ModelParameters!$N$21,1)*(P387*Q387+R387),1))</f>
        <v>0.10166683671617396</v>
      </c>
      <c r="T387" s="85">
        <f>IF(B387="",0,$S387*$K387)</f>
        <v>1208.4707205880722</v>
      </c>
      <c r="U387" s="85">
        <f>IF(B387="",0,IF(OR(H387=MappingTables!$C$34,H387=MappingTables!$C$35),T387,0))</f>
        <v>0</v>
      </c>
      <c r="V387" s="85">
        <f>IF(ISNA(IF(AND(VLOOKUP(CONCATENATE($D387,$G387),CSRFinput!$B:$E,4,0)=0,OR(H387=MappingTables!$C$34,H387=MappingTables!$C$35)),1,VLOOKUP(CONCATENATE($D387,$G387),CSRFinput!$B:$E,4,0))),0,IF(AND(VLOOKUP(CONCATENATE($D387,$G387),CSRFinput!$B:$E,4,0)=0,OR(H387=MappingTables!$C$34,H387=MappingTables!$C$35)),1,VLOOKUP(CONCATENATE($D387,$G387),CSRFinput!$B:$E,4,0)))</f>
        <v>0.054776304963434752</v>
      </c>
      <c r="W387" s="85">
        <f>IF(B387="",0,+$T387*$V387)</f>
        <v>66.195560730314</v>
      </c>
      <c r="X387" s="85">
        <f>IF(B387="",0,IF(OR(H387=MappingTables!$C$34,H387=MappingTables!$C$35),W387,0))</f>
        <v>0</v>
      </c>
    </row>
    <row r="388" spans="2:24" s="0" customFormat="0" ht="15">
      <c r="B388" s="69">
        <v>15690041</v>
      </c>
      <c r="C388" s="70" t="s">
        <v>646</v>
      </c>
      <c r="D388" s="70" t="s">
        <v>1</v>
      </c>
      <c r="E388" s="70" t="s">
        <v>1</v>
      </c>
      <c r="F388" s="70"/>
      <c r="G388" s="70" t="s">
        <v>61</v>
      </c>
      <c r="H388" s="70" t="s">
        <v>178</v>
      </c>
      <c r="I388" s="70" t="s">
        <v>184</v>
      </c>
      <c r="J388" s="71">
        <f>IF(OR(I388=0,I388=""),"unrated",VLOOKUP(I388,MappingTables!$B$19:$C$31,2,FALSE))</f>
        <v>5</v>
      </c>
      <c r="K388" s="72">
        <v>5776.3046505475976</v>
      </c>
      <c r="L388" s="70">
        <v>2.1428850736363572</v>
      </c>
      <c r="M388" s="71">
        <f>IF(L388&lt;1,1,L388)</f>
        <v>2.1428850736363572</v>
      </c>
      <c r="N388" s="70" t="s">
        <v>141</v>
      </c>
      <c r="O388" s="71">
        <f>INDEX(DurClassMapping,MATCH(M388,MappingTables!$D$4:$D$8,-1),1)</f>
        <v>1</v>
      </c>
      <c r="P388" s="73">
        <f>IF(M388=$A$1,1,$M388-INDEX(MappingTables!$E$4:$E$8,MATCH(O388,MappingTables!$B$4:$B$8,0)))</f>
        <v>2.1428850736363572</v>
      </c>
      <c r="Q388" s="71">
        <f>IF(B388="",0,INDEX(ModelParameters!$D$6:$K$10,MATCH($O388,ModelParameters!$B$6:$B$10,0),MATCH($J388,ModelParameters!$D$5:$K$5,0)))</f>
        <v>0.075</v>
      </c>
      <c r="R388" s="71">
        <f>IF(B388="",0,INDEX(ModelParameters!$D$13:$K$17,MATCH($O388,ModelParameters!$B$13:$B$17,0),MATCH($J388,ModelParameters!$D$5:$K$5,0)))</f>
        <v>0</v>
      </c>
      <c r="S388" s="160">
        <f>IF(B388="",0,MIN(IF($N388="Other Bond TM",ModelParameters!$N$21,1)*(P388*Q388+R388),1))</f>
        <v>0.16071638052272678</v>
      </c>
      <c r="T388" s="85">
        <f>IF(B388="",0,$S388*$K388)</f>
        <v>928.346776232604</v>
      </c>
      <c r="U388" s="85">
        <f>IF(B388="",0,IF(OR(H388=MappingTables!$C$34,H388=MappingTables!$C$35),T388,0))</f>
        <v>0</v>
      </c>
      <c r="V388" s="85">
        <f>IF(ISNA(IF(AND(VLOOKUP(CONCATENATE($D388,$G388),CSRFinput!$B:$E,4,0)=0,OR(H388=MappingTables!$C$34,H388=MappingTables!$C$35)),1,VLOOKUP(CONCATENATE($D388,$G388),CSRFinput!$B:$E,4,0))),0,IF(AND(VLOOKUP(CONCATENATE($D388,$G388),CSRFinput!$B:$E,4,0)=0,OR(H388=MappingTables!$C$34,H388=MappingTables!$C$35)),1,VLOOKUP(CONCATENATE($D388,$G388),CSRFinput!$B:$E,4,0)))</f>
        <v>0.054776304963434752</v>
      </c>
      <c r="W388" s="85">
        <f>IF(B388="",0,+$T388*$V388)</f>
        <v>50.85140612673864</v>
      </c>
      <c r="X388" s="85">
        <f>IF(B388="",0,IF(OR(H388=MappingTables!$C$34,H388=MappingTables!$C$35),W388,0))</f>
        <v>0</v>
      </c>
    </row>
    <row r="389" spans="2:24" s="0" customFormat="0" ht="15">
      <c r="B389" s="69">
        <v>14559428</v>
      </c>
      <c r="C389" s="70" t="s">
        <v>647</v>
      </c>
      <c r="D389" s="70" t="s">
        <v>1</v>
      </c>
      <c r="E389" s="70" t="s">
        <v>1</v>
      </c>
      <c r="F389" s="70"/>
      <c r="G389" s="70" t="s">
        <v>61</v>
      </c>
      <c r="H389" s="70" t="s">
        <v>178</v>
      </c>
      <c r="I389" s="70" t="s">
        <v>181</v>
      </c>
      <c r="J389" s="71">
        <f>IF(OR(I389=0,I389=""),"unrated",VLOOKUP(I389,MappingTables!$B$19:$C$31,2,FALSE))</f>
        <v>3</v>
      </c>
      <c r="K389" s="72">
        <v>15584.505434653636</v>
      </c>
      <c r="L389" s="70">
        <v>5.4658432898711088</v>
      </c>
      <c r="M389" s="71">
        <f>IF(L389&lt;1,1,L389)</f>
        <v>5.4658432898711088</v>
      </c>
      <c r="N389" s="70" t="s">
        <v>141</v>
      </c>
      <c r="O389" s="71">
        <f>INDEX(DurClassMapping,MATCH(M389,MappingTables!$D$4:$D$8,-1),1)</f>
        <v>2</v>
      </c>
      <c r="P389" s="73">
        <f>IF(M389=$A$1,1,$M389-INDEX(MappingTables!$E$4:$E$8,MATCH(O389,MappingTables!$B$4:$B$8,0)))</f>
        <v>0.46584328987110888</v>
      </c>
      <c r="Q389" s="71">
        <f>IF(B389="",0,INDEX(ModelParameters!$D$6:$K$10,MATCH($O389,ModelParameters!$B$6:$B$10,0),MATCH($J389,ModelParameters!$D$5:$K$5,0)))</f>
        <v>0.015</v>
      </c>
      <c r="R389" s="71">
        <f>IF(B389="",0,INDEX(ModelParameters!$D$13:$K$17,MATCH($O389,ModelParameters!$B$13:$B$17,0),MATCH($J389,ModelParameters!$D$5:$K$5,0)))</f>
        <v>0.125</v>
      </c>
      <c r="S389" s="160">
        <f>IF(B389="",0,MIN(IF($N389="Other Bond TM",ModelParameters!$N$21,1)*(P389*Q389+R389),1))</f>
        <v>0.13198764934806664</v>
      </c>
      <c r="T389" s="85">
        <f>IF(B389="",0,$S389*$K389)</f>
        <v>2056.9622385721032</v>
      </c>
      <c r="U389" s="85">
        <f>IF(B389="",0,IF(OR(H389=MappingTables!$C$34,H389=MappingTables!$C$35),T389,0))</f>
        <v>0</v>
      </c>
      <c r="V389" s="85">
        <f>IF(ISNA(IF(AND(VLOOKUP(CONCATENATE($D389,$G389),CSRFinput!$B:$E,4,0)=0,OR(H389=MappingTables!$C$34,H389=MappingTables!$C$35)),1,VLOOKUP(CONCATENATE($D389,$G389),CSRFinput!$B:$E,4,0))),0,IF(AND(VLOOKUP(CONCATENATE($D389,$G389),CSRFinput!$B:$E,4,0)=0,OR(H389=MappingTables!$C$34,H389=MappingTables!$C$35)),1,VLOOKUP(CONCATENATE($D389,$G389),CSRFinput!$B:$E,4,0)))</f>
        <v>0.054776304963434752</v>
      </c>
      <c r="W389" s="85">
        <f>IF(B389="",0,+$T389*$V389)</f>
        <v>112.67279087829496</v>
      </c>
      <c r="X389" s="85">
        <f>IF(B389="",0,IF(OR(H389=MappingTables!$C$34,H389=MappingTables!$C$35),W389,0))</f>
        <v>0</v>
      </c>
    </row>
    <row r="390" spans="2:24" s="0" customFormat="0" ht="15">
      <c r="B390" s="69" t="s">
        <v>648</v>
      </c>
      <c r="C390" s="70" t="s">
        <v>649</v>
      </c>
      <c r="D390" s="70" t="s">
        <v>1</v>
      </c>
      <c r="E390" s="70" t="s">
        <v>1</v>
      </c>
      <c r="F390" s="70"/>
      <c r="G390" s="70" t="s">
        <v>61</v>
      </c>
      <c r="H390" s="70" t="s">
        <v>178</v>
      </c>
      <c r="I390" s="70" t="s">
        <v>181</v>
      </c>
      <c r="J390" s="71">
        <f>IF(OR(I390=0,I390=""),"unrated",VLOOKUP(I390,MappingTables!$B$19:$C$31,2,FALSE))</f>
        <v>3</v>
      </c>
      <c r="K390" s="72">
        <v>37054.444579914904</v>
      </c>
      <c r="L390" s="70">
        <v>14.5009717699489</v>
      </c>
      <c r="M390" s="71">
        <f>IF(L390&lt;1,1,L390)</f>
        <v>14.5009717699489</v>
      </c>
      <c r="N390" s="70" t="s">
        <v>141</v>
      </c>
      <c r="O390" s="71">
        <f>INDEX(DurClassMapping,MATCH(M390,MappingTables!$D$4:$D$8,-1),1)</f>
        <v>3</v>
      </c>
      <c r="P390" s="73">
        <f>IF(M390=$A$1,1,$M390-INDEX(MappingTables!$E$4:$E$8,MATCH(O390,MappingTables!$B$4:$B$8,0)))</f>
        <v>4.5009717699489008</v>
      </c>
      <c r="Q390" s="71">
        <f>IF(B390="",0,INDEX(ModelParameters!$D$6:$K$10,MATCH($O390,ModelParameters!$B$6:$B$10,0),MATCH($J390,ModelParameters!$D$5:$K$5,0)))</f>
        <v>0.01</v>
      </c>
      <c r="R390" s="71">
        <f>IF(B390="",0,INDEX(ModelParameters!$D$13:$K$17,MATCH($O390,ModelParameters!$B$13:$B$17,0),MATCH($J390,ModelParameters!$D$5:$K$5,0)))</f>
        <v>0.2</v>
      </c>
      <c r="S390" s="160">
        <f>IF(B390="",0,MIN(IF($N390="Other Bond TM",ModelParameters!$N$21,1)*(P390*Q390+R390),1))</f>
        <v>0.24500971769948904</v>
      </c>
      <c r="T390" s="85">
        <f>IF(B390="",0,$S390*$K390)</f>
        <v>9078.699006036312</v>
      </c>
      <c r="U390" s="85">
        <f>IF(B390="",0,IF(OR(H390=MappingTables!$C$34,H390=MappingTables!$C$35),T390,0))</f>
        <v>0</v>
      </c>
      <c r="V390" s="85">
        <f>IF(ISNA(IF(AND(VLOOKUP(CONCATENATE($D390,$G390),CSRFinput!$B:$E,4,0)=0,OR(H390=MappingTables!$C$34,H390=MappingTables!$C$35)),1,VLOOKUP(CONCATENATE($D390,$G390),CSRFinput!$B:$E,4,0))),0,IF(AND(VLOOKUP(CONCATENATE($D390,$G390),CSRFinput!$B:$E,4,0)=0,OR(H390=MappingTables!$C$34,H390=MappingTables!$C$35)),1,VLOOKUP(CONCATENATE($D390,$G390),CSRFinput!$B:$E,4,0)))</f>
        <v>0.054776304963434752</v>
      </c>
      <c r="W390" s="85">
        <f>IF(B390="",0,+$T390*$V390)</f>
        <v>497.29758542587696</v>
      </c>
      <c r="X390" s="85">
        <f>IF(B390="",0,IF(OR(H390=MappingTables!$C$34,H390=MappingTables!$C$35),W390,0))</f>
        <v>0</v>
      </c>
    </row>
    <row r="391" spans="2:24" s="0" customFormat="0" ht="15">
      <c r="B391" s="69" t="s">
        <v>650</v>
      </c>
      <c r="C391" s="70" t="s">
        <v>651</v>
      </c>
      <c r="D391" s="70" t="s">
        <v>1</v>
      </c>
      <c r="E391" s="70" t="s">
        <v>1</v>
      </c>
      <c r="F391" s="70"/>
      <c r="G391" s="70" t="s">
        <v>61</v>
      </c>
      <c r="H391" s="70" t="s">
        <v>178</v>
      </c>
      <c r="I391" s="70" t="s">
        <v>181</v>
      </c>
      <c r="J391" s="71">
        <f>IF(OR(I391=0,I391=""),"unrated",VLOOKUP(I391,MappingTables!$B$19:$C$31,2,FALSE))</f>
        <v>3</v>
      </c>
      <c r="K391" s="72">
        <v>15.463659337103132</v>
      </c>
      <c r="L391" s="70">
        <v>1.6231295169688272</v>
      </c>
      <c r="M391" s="71">
        <f>IF(L391&lt;1,1,L391)</f>
        <v>1.6231295169688272</v>
      </c>
      <c r="N391" s="70" t="s">
        <v>141</v>
      </c>
      <c r="O391" s="71">
        <f>INDEX(DurClassMapping,MATCH(M391,MappingTables!$D$4:$D$8,-1),1)</f>
        <v>1</v>
      </c>
      <c r="P391" s="73">
        <f>IF(M391=$A$1,1,$M391-INDEX(MappingTables!$E$4:$E$8,MATCH(O391,MappingTables!$B$4:$B$8,0)))</f>
        <v>1.6231295169688272</v>
      </c>
      <c r="Q391" s="71">
        <f>IF(B391="",0,INDEX(ModelParameters!$D$6:$K$10,MATCH($O391,ModelParameters!$B$6:$B$10,0),MATCH($J391,ModelParameters!$D$5:$K$5,0)))</f>
        <v>0.025</v>
      </c>
      <c r="R391" s="71">
        <f>IF(B391="",0,INDEX(ModelParameters!$D$13:$K$17,MATCH($O391,ModelParameters!$B$13:$B$17,0),MATCH($J391,ModelParameters!$D$5:$K$5,0)))</f>
        <v>0</v>
      </c>
      <c r="S391" s="160">
        <f>IF(B391="",0,MIN(IF($N391="Other Bond TM",ModelParameters!$N$21,1)*(P391*Q391+R391),1))</f>
        <v>0.04057823792422068</v>
      </c>
      <c r="T391" s="85">
        <f>IF(B391="",0,$S391*$K391)</f>
        <v>0.62748804776006752</v>
      </c>
      <c r="U391" s="85">
        <f>IF(B391="",0,IF(OR(H391=MappingTables!$C$34,H391=MappingTables!$C$35),T391,0))</f>
        <v>0</v>
      </c>
      <c r="V391" s="85">
        <f>IF(ISNA(IF(AND(VLOOKUP(CONCATENATE($D391,$G391),CSRFinput!$B:$E,4,0)=0,OR(H391=MappingTables!$C$34,H391=MappingTables!$C$35)),1,VLOOKUP(CONCATENATE($D391,$G391),CSRFinput!$B:$E,4,0))),0,IF(AND(VLOOKUP(CONCATENATE($D391,$G391),CSRFinput!$B:$E,4,0)=0,OR(H391=MappingTables!$C$34,H391=MappingTables!$C$35)),1,VLOOKUP(CONCATENATE($D391,$G391),CSRFinput!$B:$E,4,0)))</f>
        <v>0.054776304963434752</v>
      </c>
      <c r="W391" s="85">
        <f>IF(B391="",0,+$T391*$V391)</f>
        <v>0.034371476665015768</v>
      </c>
      <c r="X391" s="85">
        <f>IF(B391="",0,IF(OR(H391=MappingTables!$C$34,H391=MappingTables!$C$35),W391,0))</f>
        <v>0</v>
      </c>
    </row>
    <row r="392" spans="2:24" s="0" customFormat="0" ht="15">
      <c r="B392" s="69">
        <v>17470938</v>
      </c>
      <c r="C392" s="70" t="s">
        <v>652</v>
      </c>
      <c r="D392" s="70" t="s">
        <v>1</v>
      </c>
      <c r="E392" s="70" t="s">
        <v>1</v>
      </c>
      <c r="F392" s="70"/>
      <c r="G392" s="70" t="s">
        <v>61</v>
      </c>
      <c r="H392" s="70" t="s">
        <v>178</v>
      </c>
      <c r="I392" s="70" t="s">
        <v>179</v>
      </c>
      <c r="J392" s="71">
        <f>IF(OR(I392=0,I392=""),"unrated",VLOOKUP(I392,MappingTables!$B$19:$C$31,2,FALSE))</f>
        <v>4</v>
      </c>
      <c r="K392" s="72">
        <v>2848.5794439915636</v>
      </c>
      <c r="L392" s="70">
        <v>2.5607643728925988</v>
      </c>
      <c r="M392" s="71">
        <f>IF(L392&lt;1,1,L392)</f>
        <v>2.5607643728925988</v>
      </c>
      <c r="N392" s="70" t="s">
        <v>141</v>
      </c>
      <c r="O392" s="71">
        <f>INDEX(DurClassMapping,MATCH(M392,MappingTables!$D$4:$D$8,-1),1)</f>
        <v>1</v>
      </c>
      <c r="P392" s="73">
        <f>IF(M392=$A$1,1,$M392-INDEX(MappingTables!$E$4:$E$8,MATCH(O392,MappingTables!$B$4:$B$8,0)))</f>
        <v>2.5607643728925988</v>
      </c>
      <c r="Q392" s="71">
        <f>IF(B392="",0,INDEX(ModelParameters!$D$6:$K$10,MATCH($O392,ModelParameters!$B$6:$B$10,0),MATCH($J392,ModelParameters!$D$5:$K$5,0)))</f>
        <v>0.045</v>
      </c>
      <c r="R392" s="71">
        <f>IF(B392="",0,INDEX(ModelParameters!$D$13:$K$17,MATCH($O392,ModelParameters!$B$13:$B$17,0),MATCH($J392,ModelParameters!$D$5:$K$5,0)))</f>
        <v>0</v>
      </c>
      <c r="S392" s="160">
        <f>IF(B392="",0,MIN(IF($N392="Other Bond TM",ModelParameters!$N$21,1)*(P392*Q392+R392),1))</f>
        <v>0.11523439678016694</v>
      </c>
      <c r="T392" s="85">
        <f>IF(B392="",0,$S392*$K392)</f>
        <v>328.25433390875116</v>
      </c>
      <c r="U392" s="85">
        <f>IF(B392="",0,IF(OR(H392=MappingTables!$C$34,H392=MappingTables!$C$35),T392,0))</f>
        <v>0</v>
      </c>
      <c r="V392" s="85">
        <f>IF(ISNA(IF(AND(VLOOKUP(CONCATENATE($D392,$G392),CSRFinput!$B:$E,4,0)=0,OR(H392=MappingTables!$C$34,H392=MappingTables!$C$35)),1,VLOOKUP(CONCATENATE($D392,$G392),CSRFinput!$B:$E,4,0))),0,IF(AND(VLOOKUP(CONCATENATE($D392,$G392),CSRFinput!$B:$E,4,0)=0,OR(H392=MappingTables!$C$34,H392=MappingTables!$C$35)),1,VLOOKUP(CONCATENATE($D392,$G392),CSRFinput!$B:$E,4,0)))</f>
        <v>0.054776304963434752</v>
      </c>
      <c r="W392" s="85">
        <f>IF(B392="",0,+$T392*$V392)</f>
        <v>17.980559499754896</v>
      </c>
      <c r="X392" s="85">
        <f>IF(B392="",0,IF(OR(H392=MappingTables!$C$34,H392=MappingTables!$C$35),W392,0))</f>
        <v>0</v>
      </c>
    </row>
    <row r="393" spans="2:24" s="0" customFormat="0" ht="15">
      <c r="B393" s="69">
        <v>21618000</v>
      </c>
      <c r="C393" s="70" t="s">
        <v>653</v>
      </c>
      <c r="D393" s="70" t="s">
        <v>1</v>
      </c>
      <c r="E393" s="70" t="s">
        <v>1</v>
      </c>
      <c r="F393" s="70"/>
      <c r="G393" s="70" t="s">
        <v>61</v>
      </c>
      <c r="H393" s="70" t="s">
        <v>178</v>
      </c>
      <c r="I393" s="70" t="s">
        <v>220</v>
      </c>
      <c r="J393" s="71">
        <f>IF(OR(I393=0,I393=""),"unrated",VLOOKUP(I393,MappingTables!$B$19:$C$31,2,FALSE))</f>
        <v>1</v>
      </c>
      <c r="K393" s="72">
        <v>116.49949385035674</v>
      </c>
      <c r="L393" s="70">
        <v>1.9126301055118388</v>
      </c>
      <c r="M393" s="71">
        <f>IF(L393&lt;1,1,L393)</f>
        <v>1.9126301055118388</v>
      </c>
      <c r="N393" s="70" t="s">
        <v>141</v>
      </c>
      <c r="O393" s="71">
        <f>INDEX(DurClassMapping,MATCH(M393,MappingTables!$D$4:$D$8,-1),1)</f>
        <v>1</v>
      </c>
      <c r="P393" s="73">
        <f>IF(M393=$A$1,1,$M393-INDEX(MappingTables!$E$4:$E$8,MATCH(O393,MappingTables!$B$4:$B$8,0)))</f>
        <v>1.9126301055118388</v>
      </c>
      <c r="Q393" s="71">
        <f>IF(B393="",0,INDEX(ModelParameters!$D$6:$K$10,MATCH($O393,ModelParameters!$B$6:$B$10,0),MATCH($J393,ModelParameters!$D$5:$K$5,0)))</f>
        <v>0.011000000000000002</v>
      </c>
      <c r="R393" s="71">
        <f>IF(B393="",0,INDEX(ModelParameters!$D$13:$K$17,MATCH($O393,ModelParameters!$B$13:$B$17,0),MATCH($J393,ModelParameters!$D$5:$K$5,0)))</f>
        <v>0</v>
      </c>
      <c r="S393" s="160">
        <f>IF(B393="",0,MIN(IF($N393="Other Bond TM",ModelParameters!$N$21,1)*(P393*Q393+R393),1))</f>
        <v>0.021038931160630228</v>
      </c>
      <c r="T393" s="85">
        <f>IF(B393="",0,$S393*$K393)</f>
        <v>2.45102483136592</v>
      </c>
      <c r="U393" s="85">
        <f>IF(B393="",0,IF(OR(H393=MappingTables!$C$34,H393=MappingTables!$C$35),T393,0))</f>
        <v>0</v>
      </c>
      <c r="V393" s="85">
        <f>IF(ISNA(IF(AND(VLOOKUP(CONCATENATE($D393,$G393),CSRFinput!$B:$E,4,0)=0,OR(H393=MappingTables!$C$34,H393=MappingTables!$C$35)),1,VLOOKUP(CONCATENATE($D393,$G393),CSRFinput!$B:$E,4,0))),0,IF(AND(VLOOKUP(CONCATENATE($D393,$G393),CSRFinput!$B:$E,4,0)=0,OR(H393=MappingTables!$C$34,H393=MappingTables!$C$35)),1,VLOOKUP(CONCATENATE($D393,$G393),CSRFinput!$B:$E,4,0)))</f>
        <v>0.054776304963434752</v>
      </c>
      <c r="W393" s="85">
        <f>IF(B393="",0,+$T393*$V393)</f>
        <v>0.13425808363585088</v>
      </c>
      <c r="X393" s="85">
        <f>IF(B393="",0,IF(OR(H393=MappingTables!$C$34,H393=MappingTables!$C$35),W393,0))</f>
        <v>0</v>
      </c>
    </row>
    <row r="394" spans="2:24" s="0" customFormat="0" ht="15">
      <c r="B394" s="69">
        <v>23162553</v>
      </c>
      <c r="C394" s="70" t="s">
        <v>654</v>
      </c>
      <c r="D394" s="70" t="s">
        <v>1</v>
      </c>
      <c r="E394" s="70" t="s">
        <v>1</v>
      </c>
      <c r="F394" s="70"/>
      <c r="G394" s="70" t="s">
        <v>61</v>
      </c>
      <c r="H394" s="70" t="s">
        <v>178</v>
      </c>
      <c r="I394" s="70" t="s">
        <v>181</v>
      </c>
      <c r="J394" s="71">
        <f>IF(OR(I394=0,I394=""),"unrated",VLOOKUP(I394,MappingTables!$B$19:$C$31,2,FALSE))</f>
        <v>3</v>
      </c>
      <c r="K394" s="72">
        <v>29804.092490138292</v>
      </c>
      <c r="L394" s="70">
        <v>8.8059490166432896</v>
      </c>
      <c r="M394" s="71">
        <f>IF(L394&lt;1,1,L394)</f>
        <v>8.8059490166432896</v>
      </c>
      <c r="N394" s="70" t="s">
        <v>141</v>
      </c>
      <c r="O394" s="71">
        <f>INDEX(DurClassMapping,MATCH(M394,MappingTables!$D$4:$D$8,-1),1)</f>
        <v>2</v>
      </c>
      <c r="P394" s="73">
        <f>IF(M394=$A$1,1,$M394-INDEX(MappingTables!$E$4:$E$8,MATCH(O394,MappingTables!$B$4:$B$8,0)))</f>
        <v>3.8059490166432896</v>
      </c>
      <c r="Q394" s="71">
        <f>IF(B394="",0,INDEX(ModelParameters!$D$6:$K$10,MATCH($O394,ModelParameters!$B$6:$B$10,0),MATCH($J394,ModelParameters!$D$5:$K$5,0)))</f>
        <v>0.015</v>
      </c>
      <c r="R394" s="71">
        <f>IF(B394="",0,INDEX(ModelParameters!$D$13:$K$17,MATCH($O394,ModelParameters!$B$13:$B$17,0),MATCH($J394,ModelParameters!$D$5:$K$5,0)))</f>
        <v>0.125</v>
      </c>
      <c r="S394" s="160">
        <f>IF(B394="",0,MIN(IF($N394="Other Bond TM",ModelParameters!$N$21,1)*(P394*Q394+R394),1))</f>
        <v>0.18208923524964936</v>
      </c>
      <c r="T394" s="85">
        <f>IF(B394="",0,$S394*$K394)</f>
        <v>5427.0044088390984</v>
      </c>
      <c r="U394" s="85">
        <f>IF(B394="",0,IF(OR(H394=MappingTables!$C$34,H394=MappingTables!$C$35),T394,0))</f>
        <v>0</v>
      </c>
      <c r="V394" s="85">
        <f>IF(ISNA(IF(AND(VLOOKUP(CONCATENATE($D394,$G394),CSRFinput!$B:$E,4,0)=0,OR(H394=MappingTables!$C$34,H394=MappingTables!$C$35)),1,VLOOKUP(CONCATENATE($D394,$G394),CSRFinput!$B:$E,4,0))),0,IF(AND(VLOOKUP(CONCATENATE($D394,$G394),CSRFinput!$B:$E,4,0)=0,OR(H394=MappingTables!$C$34,H394=MappingTables!$C$35)),1,VLOOKUP(CONCATENATE($D394,$G394),CSRFinput!$B:$E,4,0)))</f>
        <v>0.054776304963434752</v>
      </c>
      <c r="W394" s="85">
        <f>IF(B394="",0,+$T394*$V394)</f>
        <v>297.2712485364754</v>
      </c>
      <c r="X394" s="85">
        <f>IF(B394="",0,IF(OR(H394=MappingTables!$C$34,H394=MappingTables!$C$35),W394,0))</f>
        <v>0</v>
      </c>
    </row>
    <row r="395" spans="2:24" s="0" customFormat="0" ht="15">
      <c r="B395" s="69" t="s">
        <v>655</v>
      </c>
      <c r="C395" s="70" t="s">
        <v>656</v>
      </c>
      <c r="D395" s="70" t="s">
        <v>1</v>
      </c>
      <c r="E395" s="70" t="s">
        <v>1</v>
      </c>
      <c r="F395" s="70"/>
      <c r="G395" s="70" t="s">
        <v>61</v>
      </c>
      <c r="H395" s="70" t="s">
        <v>178</v>
      </c>
      <c r="I395" s="70" t="s">
        <v>181</v>
      </c>
      <c r="J395" s="71">
        <f>IF(OR(I395=0,I395=""),"unrated",VLOOKUP(I395,MappingTables!$B$19:$C$31,2,FALSE))</f>
        <v>3</v>
      </c>
      <c r="K395" s="72">
        <v>1216.9801242429548</v>
      </c>
      <c r="L395" s="70">
        <v>2.5043778277081052</v>
      </c>
      <c r="M395" s="71">
        <f>IF(L395&lt;1,1,L395)</f>
        <v>2.5043778277081052</v>
      </c>
      <c r="N395" s="70" t="s">
        <v>141</v>
      </c>
      <c r="O395" s="71">
        <f>INDEX(DurClassMapping,MATCH(M395,MappingTables!$D$4:$D$8,-1),1)</f>
        <v>1</v>
      </c>
      <c r="P395" s="73">
        <f>IF(M395=$A$1,1,$M395-INDEX(MappingTables!$E$4:$E$8,MATCH(O395,MappingTables!$B$4:$B$8,0)))</f>
        <v>2.5043778277081052</v>
      </c>
      <c r="Q395" s="71">
        <f>IF(B395="",0,INDEX(ModelParameters!$D$6:$K$10,MATCH($O395,ModelParameters!$B$6:$B$10,0),MATCH($J395,ModelParameters!$D$5:$K$5,0)))</f>
        <v>0.025</v>
      </c>
      <c r="R395" s="71">
        <f>IF(B395="",0,INDEX(ModelParameters!$D$13:$K$17,MATCH($O395,ModelParameters!$B$13:$B$17,0),MATCH($J395,ModelParameters!$D$5:$K$5,0)))</f>
        <v>0</v>
      </c>
      <c r="S395" s="160">
        <f>IF(B395="",0,MIN(IF($N395="Other Bond TM",ModelParameters!$N$21,1)*(P395*Q395+R395),1))</f>
        <v>0.062609445692702632</v>
      </c>
      <c r="T395" s="85">
        <f>IF(B395="",0,$S395*$K395)</f>
        <v>76.194450997887792</v>
      </c>
      <c r="U395" s="85">
        <f>IF(B395="",0,IF(OR(H395=MappingTables!$C$34,H395=MappingTables!$C$35),T395,0))</f>
        <v>0</v>
      </c>
      <c r="V395" s="85">
        <f>IF(ISNA(IF(AND(VLOOKUP(CONCATENATE($D395,$G395),CSRFinput!$B:$E,4,0)=0,OR(H395=MappingTables!$C$34,H395=MappingTables!$C$35)),1,VLOOKUP(CONCATENATE($D395,$G395),CSRFinput!$B:$E,4,0))),0,IF(AND(VLOOKUP(CONCATENATE($D395,$G395),CSRFinput!$B:$E,4,0)=0,OR(H395=MappingTables!$C$34,H395=MappingTables!$C$35)),1,VLOOKUP(CONCATENATE($D395,$G395),CSRFinput!$B:$E,4,0)))</f>
        <v>0.054776304963434752</v>
      </c>
      <c r="W395" s="85">
        <f>IF(B395="",0,+$T395*$V395)</f>
        <v>4.1736504843817864</v>
      </c>
      <c r="X395" s="85">
        <f>IF(B395="",0,IF(OR(H395=MappingTables!$C$34,H395=MappingTables!$C$35),W395,0))</f>
        <v>0</v>
      </c>
    </row>
    <row r="396" spans="2:24" s="0" customFormat="0" ht="15">
      <c r="B396" s="69">
        <v>12495001</v>
      </c>
      <c r="C396" s="70" t="s">
        <v>657</v>
      </c>
      <c r="D396" s="70" t="s">
        <v>1</v>
      </c>
      <c r="E396" s="70" t="s">
        <v>1</v>
      </c>
      <c r="F396" s="70"/>
      <c r="G396" s="70" t="s">
        <v>61</v>
      </c>
      <c r="H396" s="70" t="s">
        <v>178</v>
      </c>
      <c r="I396" s="70" t="s">
        <v>179</v>
      </c>
      <c r="J396" s="71">
        <f>IF(OR(I396=0,I396=""),"unrated",VLOOKUP(I396,MappingTables!$B$19:$C$31,2,FALSE))</f>
        <v>4</v>
      </c>
      <c r="K396" s="72">
        <v>42.605983334921536</v>
      </c>
      <c r="L396" s="70">
        <v>0.0876729566599116</v>
      </c>
      <c r="M396" s="71">
        <f>IF(L396&lt;1,1,L396)</f>
        <v>1</v>
      </c>
      <c r="N396" s="70" t="s">
        <v>141</v>
      </c>
      <c r="O396" s="71">
        <f>INDEX(DurClassMapping,MATCH(M396,MappingTables!$D$4:$D$8,-1),1)</f>
        <v>1</v>
      </c>
      <c r="P396" s="73">
        <f>IF(M396=$A$1,1,$M396-INDEX(MappingTables!$E$4:$E$8,MATCH(O396,MappingTables!$B$4:$B$8,0)))</f>
        <v>1</v>
      </c>
      <c r="Q396" s="71">
        <f>IF(B396="",0,INDEX(ModelParameters!$D$6:$K$10,MATCH($O396,ModelParameters!$B$6:$B$10,0),MATCH($J396,ModelParameters!$D$5:$K$5,0)))</f>
        <v>0.045</v>
      </c>
      <c r="R396" s="71">
        <f>IF(B396="",0,INDEX(ModelParameters!$D$13:$K$17,MATCH($O396,ModelParameters!$B$13:$B$17,0),MATCH($J396,ModelParameters!$D$5:$K$5,0)))</f>
        <v>0</v>
      </c>
      <c r="S396" s="160">
        <f>IF(B396="",0,MIN(IF($N396="Other Bond TM",ModelParameters!$N$21,1)*(P396*Q396+R396),1))</f>
        <v>0.045</v>
      </c>
      <c r="T396" s="85">
        <f>IF(B396="",0,$S396*$K396)</f>
        <v>1.9172692500714692</v>
      </c>
      <c r="U396" s="85">
        <f>IF(B396="",0,IF(OR(H396=MappingTables!$C$34,H396=MappingTables!$C$35),T396,0))</f>
        <v>0</v>
      </c>
      <c r="V396" s="85">
        <f>IF(ISNA(IF(AND(VLOOKUP(CONCATENATE($D396,$G396),CSRFinput!$B:$E,4,0)=0,OR(H396=MappingTables!$C$34,H396=MappingTables!$C$35)),1,VLOOKUP(CONCATENATE($D396,$G396),CSRFinput!$B:$E,4,0))),0,IF(AND(VLOOKUP(CONCATENATE($D396,$G396),CSRFinput!$B:$E,4,0)=0,OR(H396=MappingTables!$C$34,H396=MappingTables!$C$35)),1,VLOOKUP(CONCATENATE($D396,$G396),CSRFinput!$B:$E,4,0)))</f>
        <v>0.054776304963434752</v>
      </c>
      <c r="W396" s="85">
        <f>IF(B396="",0,+$T396*$V396)</f>
        <v>0.10502092513893064</v>
      </c>
      <c r="X396" s="85">
        <f>IF(B396="",0,IF(OR(H396=MappingTables!$C$34,H396=MappingTables!$C$35),W396,0))</f>
        <v>0</v>
      </c>
    </row>
    <row r="397" spans="2:24" s="0" customFormat="0" ht="15">
      <c r="B397" s="69">
        <v>21276264</v>
      </c>
      <c r="C397" s="70" t="s">
        <v>658</v>
      </c>
      <c r="D397" s="70" t="s">
        <v>1</v>
      </c>
      <c r="E397" s="70" t="s">
        <v>1</v>
      </c>
      <c r="F397" s="70"/>
      <c r="G397" s="70" t="s">
        <v>61</v>
      </c>
      <c r="H397" s="70" t="s">
        <v>178</v>
      </c>
      <c r="I397" s="70" t="s">
        <v>179</v>
      </c>
      <c r="J397" s="71">
        <f>IF(OR(I397=0,I397=""),"unrated",VLOOKUP(I397,MappingTables!$B$19:$C$31,2,FALSE))</f>
        <v>4</v>
      </c>
      <c r="K397" s="72">
        <v>900.35453503152224</v>
      </c>
      <c r="L397" s="70">
        <v>1.724387905452241</v>
      </c>
      <c r="M397" s="71">
        <f>IF(L397&lt;1,1,L397)</f>
        <v>1.724387905452241</v>
      </c>
      <c r="N397" s="70" t="s">
        <v>141</v>
      </c>
      <c r="O397" s="71">
        <f>INDEX(DurClassMapping,MATCH(M397,MappingTables!$D$4:$D$8,-1),1)</f>
        <v>1</v>
      </c>
      <c r="P397" s="73">
        <f>IF(M397=$A$1,1,$M397-INDEX(MappingTables!$E$4:$E$8,MATCH(O397,MappingTables!$B$4:$B$8,0)))</f>
        <v>1.724387905452241</v>
      </c>
      <c r="Q397" s="71">
        <f>IF(B397="",0,INDEX(ModelParameters!$D$6:$K$10,MATCH($O397,ModelParameters!$B$6:$B$10,0),MATCH($J397,ModelParameters!$D$5:$K$5,0)))</f>
        <v>0.045</v>
      </c>
      <c r="R397" s="71">
        <f>IF(B397="",0,INDEX(ModelParameters!$D$13:$K$17,MATCH($O397,ModelParameters!$B$13:$B$17,0),MATCH($J397,ModelParameters!$D$5:$K$5,0)))</f>
        <v>0</v>
      </c>
      <c r="S397" s="160">
        <f>IF(B397="",0,MIN(IF($N397="Other Bond TM",ModelParameters!$N$21,1)*(P397*Q397+R397),1))</f>
        <v>0.077597455745350848</v>
      </c>
      <c r="T397" s="85">
        <f>IF(B397="",0,$S397*$K397)</f>
        <v>69.86522118723448</v>
      </c>
      <c r="U397" s="85">
        <f>IF(B397="",0,IF(OR(H397=MappingTables!$C$34,H397=MappingTables!$C$35),T397,0))</f>
        <v>0</v>
      </c>
      <c r="V397" s="85">
        <f>IF(ISNA(IF(AND(VLOOKUP(CONCATENATE($D397,$G397),CSRFinput!$B:$E,4,0)=0,OR(H397=MappingTables!$C$34,H397=MappingTables!$C$35)),1,VLOOKUP(CONCATENATE($D397,$G397),CSRFinput!$B:$E,4,0))),0,IF(AND(VLOOKUP(CONCATENATE($D397,$G397),CSRFinput!$B:$E,4,0)=0,OR(H397=MappingTables!$C$34,H397=MappingTables!$C$35)),1,VLOOKUP(CONCATENATE($D397,$G397),CSRFinput!$B:$E,4,0)))</f>
        <v>0.054776304963434752</v>
      </c>
      <c r="W397" s="85">
        <f>IF(B397="",0,+$T397*$V397)</f>
        <v>3.8269586620897792</v>
      </c>
      <c r="X397" s="85">
        <f>IF(B397="",0,IF(OR(H397=MappingTables!$C$34,H397=MappingTables!$C$35),W397,0))</f>
        <v>0</v>
      </c>
    </row>
    <row r="398" spans="2:24" s="0" customFormat="0" ht="15">
      <c r="B398" s="69">
        <v>22892551</v>
      </c>
      <c r="C398" s="70" t="s">
        <v>659</v>
      </c>
      <c r="D398" s="70" t="s">
        <v>1</v>
      </c>
      <c r="E398" s="70" t="s">
        <v>1</v>
      </c>
      <c r="F398" s="70"/>
      <c r="G398" s="70" t="s">
        <v>61</v>
      </c>
      <c r="H398" s="70" t="s">
        <v>178</v>
      </c>
      <c r="I398" s="70" t="s">
        <v>181</v>
      </c>
      <c r="J398" s="71">
        <f>IF(OR(I398=0,I398=""),"unrated",VLOOKUP(I398,MappingTables!$B$19:$C$31,2,FALSE))</f>
        <v>3</v>
      </c>
      <c r="K398" s="72">
        <v>3753.8372332794912</v>
      </c>
      <c r="L398" s="70">
        <v>8.467903163156928</v>
      </c>
      <c r="M398" s="71">
        <f>IF(L398&lt;1,1,L398)</f>
        <v>8.467903163156928</v>
      </c>
      <c r="N398" s="70" t="s">
        <v>141</v>
      </c>
      <c r="O398" s="71">
        <f>INDEX(DurClassMapping,MATCH(M398,MappingTables!$D$4:$D$8,-1),1)</f>
        <v>2</v>
      </c>
      <c r="P398" s="73">
        <f>IF(M398=$A$1,1,$M398-INDEX(MappingTables!$E$4:$E$8,MATCH(O398,MappingTables!$B$4:$B$8,0)))</f>
        <v>3.4679031631569276</v>
      </c>
      <c r="Q398" s="71">
        <f>IF(B398="",0,INDEX(ModelParameters!$D$6:$K$10,MATCH($O398,ModelParameters!$B$6:$B$10,0),MATCH($J398,ModelParameters!$D$5:$K$5,0)))</f>
        <v>0.015</v>
      </c>
      <c r="R398" s="71">
        <f>IF(B398="",0,INDEX(ModelParameters!$D$13:$K$17,MATCH($O398,ModelParameters!$B$13:$B$17,0),MATCH($J398,ModelParameters!$D$5:$K$5,0)))</f>
        <v>0.125</v>
      </c>
      <c r="S398" s="160">
        <f>IF(B398="",0,MIN(IF($N398="Other Bond TM",ModelParameters!$N$21,1)*(P398*Q398+R398),1))</f>
        <v>0.1770185474473539</v>
      </c>
      <c r="T398" s="85">
        <f>IF(B398="",0,$S398*$K398)</f>
        <v>664.49881438892928</v>
      </c>
      <c r="U398" s="85">
        <f>IF(B398="",0,IF(OR(H398=MappingTables!$C$34,H398=MappingTables!$C$35),T398,0))</f>
        <v>0</v>
      </c>
      <c r="V398" s="85">
        <f>IF(ISNA(IF(AND(VLOOKUP(CONCATENATE($D398,$G398),CSRFinput!$B:$E,4,0)=0,OR(H398=MappingTables!$C$34,H398=MappingTables!$C$35)),1,VLOOKUP(CONCATENATE($D398,$G398),CSRFinput!$B:$E,4,0))),0,IF(AND(VLOOKUP(CONCATENATE($D398,$G398),CSRFinput!$B:$E,4,0)=0,OR(H398=MappingTables!$C$34,H398=MappingTables!$C$35)),1,VLOOKUP(CONCATENATE($D398,$G398),CSRFinput!$B:$E,4,0)))</f>
        <v>0.054776304963434752</v>
      </c>
      <c r="W398" s="85">
        <f>IF(B398="",0,+$T398*$V398)</f>
        <v>36.398789704808824</v>
      </c>
      <c r="X398" s="85">
        <f>IF(B398="",0,IF(OR(H398=MappingTables!$C$34,H398=MappingTables!$C$35),W398,0))</f>
        <v>0</v>
      </c>
    </row>
    <row r="399" spans="2:24" s="0" customFormat="0" ht="15">
      <c r="B399" s="69">
        <v>19793892</v>
      </c>
      <c r="C399" s="70" t="s">
        <v>660</v>
      </c>
      <c r="D399" s="70" t="s">
        <v>1</v>
      </c>
      <c r="E399" s="70" t="s">
        <v>1</v>
      </c>
      <c r="F399" s="70"/>
      <c r="G399" s="70" t="s">
        <v>61</v>
      </c>
      <c r="H399" s="70" t="s">
        <v>178</v>
      </c>
      <c r="I399" s="70" t="s">
        <v>179</v>
      </c>
      <c r="J399" s="71">
        <f>IF(OR(I399=0,I399=""),"unrated",VLOOKUP(I399,MappingTables!$B$19:$C$31,2,FALSE))</f>
        <v>4</v>
      </c>
      <c r="K399" s="72">
        <v>12202.91245256156</v>
      </c>
      <c r="L399" s="70">
        <v>3.1404543850408892</v>
      </c>
      <c r="M399" s="71">
        <f>IF(L399&lt;1,1,L399)</f>
        <v>3.1404543850408892</v>
      </c>
      <c r="N399" s="70" t="s">
        <v>141</v>
      </c>
      <c r="O399" s="71">
        <f>INDEX(DurClassMapping,MATCH(M399,MappingTables!$D$4:$D$8,-1),1)</f>
        <v>1</v>
      </c>
      <c r="P399" s="73">
        <f>IF(M399=$A$1,1,$M399-INDEX(MappingTables!$E$4:$E$8,MATCH(O399,MappingTables!$B$4:$B$8,0)))</f>
        <v>3.1404543850408892</v>
      </c>
      <c r="Q399" s="71">
        <f>IF(B399="",0,INDEX(ModelParameters!$D$6:$K$10,MATCH($O399,ModelParameters!$B$6:$B$10,0),MATCH($J399,ModelParameters!$D$5:$K$5,0)))</f>
        <v>0.045</v>
      </c>
      <c r="R399" s="71">
        <f>IF(B399="",0,INDEX(ModelParameters!$D$13:$K$17,MATCH($O399,ModelParameters!$B$13:$B$17,0),MATCH($J399,ModelParameters!$D$5:$K$5,0)))</f>
        <v>0</v>
      </c>
      <c r="S399" s="160">
        <f>IF(B399="",0,MIN(IF($N399="Other Bond TM",ModelParameters!$N$21,1)*(P399*Q399+R399),1))</f>
        <v>0.14132044732683998</v>
      </c>
      <c r="T399" s="85">
        <f>IF(B399="",0,$S399*$K399)</f>
        <v>1724.5210464862658</v>
      </c>
      <c r="U399" s="85">
        <f>IF(B399="",0,IF(OR(H399=MappingTables!$C$34,H399=MappingTables!$C$35),T399,0))</f>
        <v>0</v>
      </c>
      <c r="V399" s="85">
        <f>IF(ISNA(IF(AND(VLOOKUP(CONCATENATE($D399,$G399),CSRFinput!$B:$E,4,0)=0,OR(H399=MappingTables!$C$34,H399=MappingTables!$C$35)),1,VLOOKUP(CONCATENATE($D399,$G399),CSRFinput!$B:$E,4,0))),0,IF(AND(VLOOKUP(CONCATENATE($D399,$G399),CSRFinput!$B:$E,4,0)=0,OR(H399=MappingTables!$C$34,H399=MappingTables!$C$35)),1,VLOOKUP(CONCATENATE($D399,$G399),CSRFinput!$B:$E,4,0)))</f>
        <v>0.054776304963434752</v>
      </c>
      <c r="W399" s="85">
        <f>IF(B399="",0,+$T399*$V399)</f>
        <v>94.462890758193344</v>
      </c>
      <c r="X399" s="85">
        <f>IF(B399="",0,IF(OR(H399=MappingTables!$C$34,H399=MappingTables!$C$35),W399,0))</f>
        <v>0</v>
      </c>
    </row>
    <row r="400" spans="2:24" s="0" customFormat="0" ht="15">
      <c r="B400" s="69" t="s">
        <v>661</v>
      </c>
      <c r="C400" s="70" t="s">
        <v>662</v>
      </c>
      <c r="D400" s="70" t="s">
        <v>1</v>
      </c>
      <c r="E400" s="70" t="s">
        <v>1</v>
      </c>
      <c r="F400" s="70"/>
      <c r="G400" s="70" t="s">
        <v>61</v>
      </c>
      <c r="H400" s="70" t="s">
        <v>178</v>
      </c>
      <c r="I400" s="70" t="s">
        <v>181</v>
      </c>
      <c r="J400" s="71">
        <f>IF(OR(I400=0,I400=""),"unrated",VLOOKUP(I400,MappingTables!$B$19:$C$31,2,FALSE))</f>
        <v>3</v>
      </c>
      <c r="K400" s="72">
        <v>14.290410262717266</v>
      </c>
      <c r="L400" s="70">
        <v>1.6879938919584914</v>
      </c>
      <c r="M400" s="71">
        <f>IF(L400&lt;1,1,L400)</f>
        <v>1.6879938919584914</v>
      </c>
      <c r="N400" s="70" t="s">
        <v>141</v>
      </c>
      <c r="O400" s="71">
        <f>INDEX(DurClassMapping,MATCH(M400,MappingTables!$D$4:$D$8,-1),1)</f>
        <v>1</v>
      </c>
      <c r="P400" s="73">
        <f>IF(M400=$A$1,1,$M400-INDEX(MappingTables!$E$4:$E$8,MATCH(O400,MappingTables!$B$4:$B$8,0)))</f>
        <v>1.6879938919584914</v>
      </c>
      <c r="Q400" s="71">
        <f>IF(B400="",0,INDEX(ModelParameters!$D$6:$K$10,MATCH($O400,ModelParameters!$B$6:$B$10,0),MATCH($J400,ModelParameters!$D$5:$K$5,0)))</f>
        <v>0.025</v>
      </c>
      <c r="R400" s="71">
        <f>IF(B400="",0,INDEX(ModelParameters!$D$13:$K$17,MATCH($O400,ModelParameters!$B$13:$B$17,0),MATCH($J400,ModelParameters!$D$5:$K$5,0)))</f>
        <v>0</v>
      </c>
      <c r="S400" s="160">
        <f>IF(B400="",0,MIN(IF($N400="Other Bond TM",ModelParameters!$N$21,1)*(P400*Q400+R400),1))</f>
        <v>0.042199847298962288</v>
      </c>
      <c r="T400" s="85">
        <f>IF(B400="",0,$S400*$K400)</f>
        <v>0.60305313092619216</v>
      </c>
      <c r="U400" s="85">
        <f>IF(B400="",0,IF(OR(H400=MappingTables!$C$34,H400=MappingTables!$C$35),T400,0))</f>
        <v>0</v>
      </c>
      <c r="V400" s="85">
        <f>IF(ISNA(IF(AND(VLOOKUP(CONCATENATE($D400,$G400),CSRFinput!$B:$E,4,0)=0,OR(H400=MappingTables!$C$34,H400=MappingTables!$C$35)),1,VLOOKUP(CONCATENATE($D400,$G400),CSRFinput!$B:$E,4,0))),0,IF(AND(VLOOKUP(CONCATENATE($D400,$G400),CSRFinput!$B:$E,4,0)=0,OR(H400=MappingTables!$C$34,H400=MappingTables!$C$35)),1,VLOOKUP(CONCATENATE($D400,$G400),CSRFinput!$B:$E,4,0)))</f>
        <v>0.054776304963434752</v>
      </c>
      <c r="W400" s="85">
        <f>IF(B400="",0,+$T400*$V400)</f>
        <v>0.033033022208767248</v>
      </c>
      <c r="X400" s="85">
        <f>IF(B400="",0,IF(OR(H400=MappingTables!$C$34,H400=MappingTables!$C$35),W400,0))</f>
        <v>0</v>
      </c>
    </row>
    <row r="401" spans="2:24" s="0" customFormat="0" ht="15">
      <c r="B401" s="69">
        <v>4482503</v>
      </c>
      <c r="C401" s="70" t="s">
        <v>663</v>
      </c>
      <c r="D401" s="70" t="s">
        <v>1</v>
      </c>
      <c r="E401" s="70" t="s">
        <v>1</v>
      </c>
      <c r="F401" s="70"/>
      <c r="G401" s="70" t="s">
        <v>61</v>
      </c>
      <c r="H401" s="70" t="s">
        <v>178</v>
      </c>
      <c r="I401" s="70" t="s">
        <v>179</v>
      </c>
      <c r="J401" s="71">
        <f>IF(OR(I401=0,I401=""),"unrated",VLOOKUP(I401,MappingTables!$B$19:$C$31,2,FALSE))</f>
        <v>4</v>
      </c>
      <c r="K401" s="72">
        <v>184.55473980177724</v>
      </c>
      <c r="L401" s="70">
        <v>1.1789585194767082</v>
      </c>
      <c r="M401" s="71">
        <f>IF(L401&lt;1,1,L401)</f>
        <v>1.1789585194767082</v>
      </c>
      <c r="N401" s="70" t="s">
        <v>141</v>
      </c>
      <c r="O401" s="71">
        <f>INDEX(DurClassMapping,MATCH(M401,MappingTables!$D$4:$D$8,-1),1)</f>
        <v>1</v>
      </c>
      <c r="P401" s="73">
        <f>IF(M401=$A$1,1,$M401-INDEX(MappingTables!$E$4:$E$8,MATCH(O401,MappingTables!$B$4:$B$8,0)))</f>
        <v>1.1789585194767082</v>
      </c>
      <c r="Q401" s="71">
        <f>IF(B401="",0,INDEX(ModelParameters!$D$6:$K$10,MATCH($O401,ModelParameters!$B$6:$B$10,0),MATCH($J401,ModelParameters!$D$5:$K$5,0)))</f>
        <v>0.045</v>
      </c>
      <c r="R401" s="71">
        <f>IF(B401="",0,INDEX(ModelParameters!$D$13:$K$17,MATCH($O401,ModelParameters!$B$13:$B$17,0),MATCH($J401,ModelParameters!$D$5:$K$5,0)))</f>
        <v>0</v>
      </c>
      <c r="S401" s="160">
        <f>IF(B401="",0,MIN(IF($N401="Other Bond TM",ModelParameters!$N$21,1)*(P401*Q401+R401),1))</f>
        <v>0.053053133376451872</v>
      </c>
      <c r="T401" s="85">
        <f>IF(B401="",0,$S401*$K401)</f>
        <v>9.7912072259600576</v>
      </c>
      <c r="U401" s="85">
        <f>IF(B401="",0,IF(OR(H401=MappingTables!$C$34,H401=MappingTables!$C$35),T401,0))</f>
        <v>0</v>
      </c>
      <c r="V401" s="85">
        <f>IF(ISNA(IF(AND(VLOOKUP(CONCATENATE($D401,$G401),CSRFinput!$B:$E,4,0)=0,OR(H401=MappingTables!$C$34,H401=MappingTables!$C$35)),1,VLOOKUP(CONCATENATE($D401,$G401),CSRFinput!$B:$E,4,0))),0,IF(AND(VLOOKUP(CONCATENATE($D401,$G401),CSRFinput!$B:$E,4,0)=0,OR(H401=MappingTables!$C$34,H401=MappingTables!$C$35)),1,VLOOKUP(CONCATENATE($D401,$G401),CSRFinput!$B:$E,4,0)))</f>
        <v>0.054776304963434752</v>
      </c>
      <c r="W401" s="85">
        <f>IF(B401="",0,+$T401*$V401)</f>
        <v>0.53632615296937416</v>
      </c>
      <c r="X401" s="85">
        <f>IF(B401="",0,IF(OR(H401=MappingTables!$C$34,H401=MappingTables!$C$35),W401,0))</f>
        <v>0</v>
      </c>
    </row>
    <row r="402" spans="2:24" s="0" customFormat="0" ht="15">
      <c r="B402" s="69">
        <v>22055798</v>
      </c>
      <c r="C402" s="70" t="s">
        <v>664</v>
      </c>
      <c r="D402" s="70" t="s">
        <v>1</v>
      </c>
      <c r="E402" s="70" t="s">
        <v>1</v>
      </c>
      <c r="F402" s="70"/>
      <c r="G402" s="70" t="s">
        <v>61</v>
      </c>
      <c r="H402" s="70" t="s">
        <v>178</v>
      </c>
      <c r="I402" s="70" t="s">
        <v>179</v>
      </c>
      <c r="J402" s="71">
        <f>IF(OR(I402=0,I402=""),"unrated",VLOOKUP(I402,MappingTables!$B$19:$C$31,2,FALSE))</f>
        <v>4</v>
      </c>
      <c r="K402" s="72">
        <v>153.06312695444314</v>
      </c>
      <c r="L402" s="70">
        <v>3.974094765867752</v>
      </c>
      <c r="M402" s="71">
        <f>IF(L402&lt;1,1,L402)</f>
        <v>3.974094765867752</v>
      </c>
      <c r="N402" s="70" t="s">
        <v>141</v>
      </c>
      <c r="O402" s="71">
        <f>INDEX(DurClassMapping,MATCH(M402,MappingTables!$D$4:$D$8,-1),1)</f>
        <v>1</v>
      </c>
      <c r="P402" s="73">
        <f>IF(M402=$A$1,1,$M402-INDEX(MappingTables!$E$4:$E$8,MATCH(O402,MappingTables!$B$4:$B$8,0)))</f>
        <v>3.974094765867752</v>
      </c>
      <c r="Q402" s="71">
        <f>IF(B402="",0,INDEX(ModelParameters!$D$6:$K$10,MATCH($O402,ModelParameters!$B$6:$B$10,0),MATCH($J402,ModelParameters!$D$5:$K$5,0)))</f>
        <v>0.045</v>
      </c>
      <c r="R402" s="71">
        <f>IF(B402="",0,INDEX(ModelParameters!$D$13:$K$17,MATCH($O402,ModelParameters!$B$13:$B$17,0),MATCH($J402,ModelParameters!$D$5:$K$5,0)))</f>
        <v>0</v>
      </c>
      <c r="S402" s="160">
        <f>IF(B402="",0,MIN(IF($N402="Other Bond TM",ModelParameters!$N$21,1)*(P402*Q402+R402),1))</f>
        <v>0.17883426446404884</v>
      </c>
      <c r="T402" s="85">
        <f>IF(B402="",0,$S402*$K402)</f>
        <v>27.372931725465168</v>
      </c>
      <c r="U402" s="85">
        <f>IF(B402="",0,IF(OR(H402=MappingTables!$C$34,H402=MappingTables!$C$35),T402,0))</f>
        <v>0</v>
      </c>
      <c r="V402" s="85">
        <f>IF(ISNA(IF(AND(VLOOKUP(CONCATENATE($D402,$G402),CSRFinput!$B:$E,4,0)=0,OR(H402=MappingTables!$C$34,H402=MappingTables!$C$35)),1,VLOOKUP(CONCATENATE($D402,$G402),CSRFinput!$B:$E,4,0))),0,IF(AND(VLOOKUP(CONCATENATE($D402,$G402),CSRFinput!$B:$E,4,0)=0,OR(H402=MappingTables!$C$34,H402=MappingTables!$C$35)),1,VLOOKUP(CONCATENATE($D402,$G402),CSRFinput!$B:$E,4,0)))</f>
        <v>0.054776304963434752</v>
      </c>
      <c r="W402" s="85">
        <f>IF(B402="",0,+$T402*$V402)</f>
        <v>1.4993880559373582</v>
      </c>
      <c r="X402" s="85">
        <f>IF(B402="",0,IF(OR(H402=MappingTables!$C$34,H402=MappingTables!$C$35),W402,0))</f>
        <v>0</v>
      </c>
    </row>
    <row r="403" spans="2:24" s="0" customFormat="0" ht="15">
      <c r="B403" s="69" t="s">
        <v>665</v>
      </c>
      <c r="C403" s="70" t="s">
        <v>666</v>
      </c>
      <c r="D403" s="70" t="s">
        <v>1</v>
      </c>
      <c r="E403" s="70" t="s">
        <v>1</v>
      </c>
      <c r="F403" s="70"/>
      <c r="G403" s="70" t="s">
        <v>61</v>
      </c>
      <c r="H403" s="70" t="s">
        <v>178</v>
      </c>
      <c r="I403" s="70" t="s">
        <v>181</v>
      </c>
      <c r="J403" s="71">
        <f>IF(OR(I403=0,I403=""),"unrated",VLOOKUP(I403,MappingTables!$B$19:$C$31,2,FALSE))</f>
        <v>3</v>
      </c>
      <c r="K403" s="72">
        <v>18284.804517242844</v>
      </c>
      <c r="L403" s="70">
        <v>2.3379575334418468</v>
      </c>
      <c r="M403" s="71">
        <f>IF(L403&lt;1,1,L403)</f>
        <v>2.3379575334418468</v>
      </c>
      <c r="N403" s="70" t="s">
        <v>141</v>
      </c>
      <c r="O403" s="71">
        <f>INDEX(DurClassMapping,MATCH(M403,MappingTables!$D$4:$D$8,-1),1)</f>
        <v>1</v>
      </c>
      <c r="P403" s="73">
        <f>IF(M403=$A$1,1,$M403-INDEX(MappingTables!$E$4:$E$8,MATCH(O403,MappingTables!$B$4:$B$8,0)))</f>
        <v>2.3379575334418468</v>
      </c>
      <c r="Q403" s="71">
        <f>IF(B403="",0,INDEX(ModelParameters!$D$6:$K$10,MATCH($O403,ModelParameters!$B$6:$B$10,0),MATCH($J403,ModelParameters!$D$5:$K$5,0)))</f>
        <v>0.025</v>
      </c>
      <c r="R403" s="71">
        <f>IF(B403="",0,INDEX(ModelParameters!$D$13:$K$17,MATCH($O403,ModelParameters!$B$13:$B$17,0),MATCH($J403,ModelParameters!$D$5:$K$5,0)))</f>
        <v>0</v>
      </c>
      <c r="S403" s="160">
        <f>IF(B403="",0,MIN(IF($N403="Other Bond TM",ModelParameters!$N$21,1)*(P403*Q403+R403),1))</f>
        <v>0.058448938336046176</v>
      </c>
      <c r="T403" s="85">
        <f>IF(B403="",0,$S403*$K403)</f>
        <v>1068.7274117149854</v>
      </c>
      <c r="U403" s="85">
        <f>IF(B403="",0,IF(OR(H403=MappingTables!$C$34,H403=MappingTables!$C$35),T403,0))</f>
        <v>0</v>
      </c>
      <c r="V403" s="85">
        <f>IF(ISNA(IF(AND(VLOOKUP(CONCATENATE($D403,$G403),CSRFinput!$B:$E,4,0)=0,OR(H403=MappingTables!$C$34,H403=MappingTables!$C$35)),1,VLOOKUP(CONCATENATE($D403,$G403),CSRFinput!$B:$E,4,0))),0,IF(AND(VLOOKUP(CONCATENATE($D403,$G403),CSRFinput!$B:$E,4,0)=0,OR(H403=MappingTables!$C$34,H403=MappingTables!$C$35)),1,VLOOKUP(CONCATENATE($D403,$G403),CSRFinput!$B:$E,4,0)))</f>
        <v>0.054776304963434752</v>
      </c>
      <c r="W403" s="85">
        <f>IF(B403="",0,+$T403*$V403)</f>
        <v>58.540938626882336</v>
      </c>
      <c r="X403" s="85">
        <f>IF(B403="",0,IF(OR(H403=MappingTables!$C$34,H403=MappingTables!$C$35),W403,0))</f>
        <v>0</v>
      </c>
    </row>
    <row r="404" spans="2:24" s="0" customFormat="0" ht="15">
      <c r="B404" s="69">
        <v>21150137</v>
      </c>
      <c r="C404" s="70" t="s">
        <v>667</v>
      </c>
      <c r="D404" s="70" t="s">
        <v>1</v>
      </c>
      <c r="E404" s="70" t="s">
        <v>1</v>
      </c>
      <c r="F404" s="70"/>
      <c r="G404" s="70" t="s">
        <v>61</v>
      </c>
      <c r="H404" s="70" t="s">
        <v>178</v>
      </c>
      <c r="I404" s="70" t="s">
        <v>179</v>
      </c>
      <c r="J404" s="71">
        <f>IF(OR(I404=0,I404=""),"unrated",VLOOKUP(I404,MappingTables!$B$19:$C$31,2,FALSE))</f>
        <v>4</v>
      </c>
      <c r="K404" s="72">
        <v>4902.154015634292</v>
      </c>
      <c r="L404" s="70">
        <v>0.7549651375135728</v>
      </c>
      <c r="M404" s="71">
        <f>IF(L404&lt;1,1,L404)</f>
        <v>1</v>
      </c>
      <c r="N404" s="70" t="s">
        <v>141</v>
      </c>
      <c r="O404" s="71">
        <f>INDEX(DurClassMapping,MATCH(M404,MappingTables!$D$4:$D$8,-1),1)</f>
        <v>1</v>
      </c>
      <c r="P404" s="73">
        <f>IF(M404=$A$1,1,$M404-INDEX(MappingTables!$E$4:$E$8,MATCH(O404,MappingTables!$B$4:$B$8,0)))</f>
        <v>1</v>
      </c>
      <c r="Q404" s="71">
        <f>IF(B404="",0,INDEX(ModelParameters!$D$6:$K$10,MATCH($O404,ModelParameters!$B$6:$B$10,0),MATCH($J404,ModelParameters!$D$5:$K$5,0)))</f>
        <v>0.045</v>
      </c>
      <c r="R404" s="71">
        <f>IF(B404="",0,INDEX(ModelParameters!$D$13:$K$17,MATCH($O404,ModelParameters!$B$13:$B$17,0),MATCH($J404,ModelParameters!$D$5:$K$5,0)))</f>
        <v>0</v>
      </c>
      <c r="S404" s="160">
        <f>IF(B404="",0,MIN(IF($N404="Other Bond TM",ModelParameters!$N$21,1)*(P404*Q404+R404),1))</f>
        <v>0.045</v>
      </c>
      <c r="T404" s="85">
        <f>IF(B404="",0,$S404*$K404)</f>
        <v>220.59693070354312</v>
      </c>
      <c r="U404" s="85">
        <f>IF(B404="",0,IF(OR(H404=MappingTables!$C$34,H404=MappingTables!$C$35),T404,0))</f>
        <v>0</v>
      </c>
      <c r="V404" s="85">
        <f>IF(ISNA(IF(AND(VLOOKUP(CONCATENATE($D404,$G404),CSRFinput!$B:$E,4,0)=0,OR(H404=MappingTables!$C$34,H404=MappingTables!$C$35)),1,VLOOKUP(CONCATENATE($D404,$G404),CSRFinput!$B:$E,4,0))),0,IF(AND(VLOOKUP(CONCATENATE($D404,$G404),CSRFinput!$B:$E,4,0)=0,OR(H404=MappingTables!$C$34,H404=MappingTables!$C$35)),1,VLOOKUP(CONCATENATE($D404,$G404),CSRFinput!$B:$E,4,0)))</f>
        <v>0.054776304963434752</v>
      </c>
      <c r="W404" s="85">
        <f>IF(B404="",0,+$T404*$V404)</f>
        <v>12.08348475021496</v>
      </c>
      <c r="X404" s="85">
        <f>IF(B404="",0,IF(OR(H404=MappingTables!$C$34,H404=MappingTables!$C$35),W404,0))</f>
        <v>0</v>
      </c>
    </row>
    <row r="405" spans="2:24" s="0" customFormat="0" ht="15">
      <c r="B405" s="69" t="s">
        <v>668</v>
      </c>
      <c r="C405" s="70" t="s">
        <v>669</v>
      </c>
      <c r="D405" s="70" t="s">
        <v>1</v>
      </c>
      <c r="E405" s="70" t="s">
        <v>1</v>
      </c>
      <c r="F405" s="70"/>
      <c r="G405" s="70" t="s">
        <v>61</v>
      </c>
      <c r="H405" s="70" t="s">
        <v>178</v>
      </c>
      <c r="I405" s="70" t="s">
        <v>198</v>
      </c>
      <c r="J405" s="71" t="str">
        <f>IF(OR(I405=0,I405=""),"unrated",VLOOKUP(I405,MappingTables!$B$19:$C$31,2,FALSE))</f>
        <v>unrated</v>
      </c>
      <c r="K405" s="72">
        <v>0.1136064964811638</v>
      </c>
      <c r="L405" s="70">
        <v>0.26849599440034744</v>
      </c>
      <c r="M405" s="71">
        <f>IF(L405&lt;1,1,L405)</f>
        <v>1</v>
      </c>
      <c r="N405" s="70" t="s">
        <v>141</v>
      </c>
      <c r="O405" s="71">
        <f>INDEX(DurClassMapping,MATCH(M405,MappingTables!$D$4:$D$8,-1),1)</f>
        <v>1</v>
      </c>
      <c r="P405" s="73">
        <f>IF(M405=$A$1,1,$M405-INDEX(MappingTables!$E$4:$E$8,MATCH(O405,MappingTables!$B$4:$B$8,0)))</f>
        <v>1</v>
      </c>
      <c r="Q405" s="71">
        <f>IF(B405="",0,INDEX(ModelParameters!$D$6:$K$10,MATCH($O405,ModelParameters!$B$6:$B$10,0),MATCH($J405,ModelParameters!$D$5:$K$5,0)))</f>
        <v>0.03</v>
      </c>
      <c r="R405" s="71">
        <f>IF(B405="",0,INDEX(ModelParameters!$D$13:$K$17,MATCH($O405,ModelParameters!$B$13:$B$17,0),MATCH($J405,ModelParameters!$D$5:$K$5,0)))</f>
        <v>0</v>
      </c>
      <c r="S405" s="160">
        <f>IF(B405="",0,MIN(IF($N405="Other Bond TM",ModelParameters!$N$21,1)*(P405*Q405+R405),1))</f>
        <v>0.03</v>
      </c>
      <c r="T405" s="85">
        <f>IF(B405="",0,$S405*$K405)</f>
        <v>0.0034081948944349136</v>
      </c>
      <c r="U405" s="85">
        <f>IF(B405="",0,IF(OR(H405=MappingTables!$C$34,H405=MappingTables!$C$35),T405,0))</f>
        <v>0</v>
      </c>
      <c r="V405" s="85">
        <f>IF(ISNA(IF(AND(VLOOKUP(CONCATENATE($D405,$G405),CSRFinput!$B:$E,4,0)=0,OR(H405=MappingTables!$C$34,H405=MappingTables!$C$35)),1,VLOOKUP(CONCATENATE($D405,$G405),CSRFinput!$B:$E,4,0))),0,IF(AND(VLOOKUP(CONCATENATE($D405,$G405),CSRFinput!$B:$E,4,0)=0,OR(H405=MappingTables!$C$34,H405=MappingTables!$C$35)),1,VLOOKUP(CONCATENATE($D405,$G405),CSRFinput!$B:$E,4,0)))</f>
        <v>0.054776304963434752</v>
      </c>
      <c r="W405" s="85">
        <f>IF(B405="",0,+$T405*$V405)</f>
        <v>0.00018668832291238812</v>
      </c>
      <c r="X405" s="85">
        <f>IF(B405="",0,IF(OR(H405=MappingTables!$C$34,H405=MappingTables!$C$35),W405,0))</f>
        <v>0</v>
      </c>
    </row>
    <row r="406" spans="2:24" s="0" customFormat="0" ht="15">
      <c r="B406" s="69" t="s">
        <v>670</v>
      </c>
      <c r="C406" s="70" t="s">
        <v>671</v>
      </c>
      <c r="D406" s="70" t="s">
        <v>1</v>
      </c>
      <c r="E406" s="70" t="s">
        <v>1</v>
      </c>
      <c r="F406" s="70"/>
      <c r="G406" s="70" t="s">
        <v>61</v>
      </c>
      <c r="H406" s="70" t="s">
        <v>178</v>
      </c>
      <c r="I406" s="70" t="s">
        <v>198</v>
      </c>
      <c r="J406" s="71" t="str">
        <f>IF(OR(I406=0,I406=""),"unrated",VLOOKUP(I406,MappingTables!$B$19:$C$31,2,FALSE))</f>
        <v>unrated</v>
      </c>
      <c r="K406" s="72">
        <v>279.70904206711712</v>
      </c>
      <c r="L406" s="70">
        <v>2.1179359038835444</v>
      </c>
      <c r="M406" s="71">
        <f>IF(L406&lt;1,1,L406)</f>
        <v>2.1179359038835444</v>
      </c>
      <c r="N406" s="70" t="s">
        <v>141</v>
      </c>
      <c r="O406" s="71">
        <f>INDEX(DurClassMapping,MATCH(M406,MappingTables!$D$4:$D$8,-1),1)</f>
        <v>1</v>
      </c>
      <c r="P406" s="73">
        <f>IF(M406=$A$1,1,$M406-INDEX(MappingTables!$E$4:$E$8,MATCH(O406,MappingTables!$B$4:$B$8,0)))</f>
        <v>2.1179359038835444</v>
      </c>
      <c r="Q406" s="71">
        <f>IF(B406="",0,INDEX(ModelParameters!$D$6:$K$10,MATCH($O406,ModelParameters!$B$6:$B$10,0),MATCH($J406,ModelParameters!$D$5:$K$5,0)))</f>
        <v>0.03</v>
      </c>
      <c r="R406" s="71">
        <f>IF(B406="",0,INDEX(ModelParameters!$D$13:$K$17,MATCH($O406,ModelParameters!$B$13:$B$17,0),MATCH($J406,ModelParameters!$D$5:$K$5,0)))</f>
        <v>0</v>
      </c>
      <c r="S406" s="160">
        <f>IF(B406="",0,MIN(IF($N406="Other Bond TM",ModelParameters!$N$21,1)*(P406*Q406+R406),1))</f>
        <v>0.063538077116506328</v>
      </c>
      <c r="T406" s="85">
        <f>IF(B406="",0,$S406*$K406)</f>
        <v>17.772174685044604</v>
      </c>
      <c r="U406" s="85">
        <f>IF(B406="",0,IF(OR(H406=MappingTables!$C$34,H406=MappingTables!$C$35),T406,0))</f>
        <v>0</v>
      </c>
      <c r="V406" s="85">
        <f>IF(ISNA(IF(AND(VLOOKUP(CONCATENATE($D406,$G406),CSRFinput!$B:$E,4,0)=0,OR(H406=MappingTables!$C$34,H406=MappingTables!$C$35)),1,VLOOKUP(CONCATENATE($D406,$G406),CSRFinput!$B:$E,4,0))),0,IF(AND(VLOOKUP(CONCATENATE($D406,$G406),CSRFinput!$B:$E,4,0)=0,OR(H406=MappingTables!$C$34,H406=MappingTables!$C$35)),1,VLOOKUP(CONCATENATE($D406,$G406),CSRFinput!$B:$E,4,0)))</f>
        <v>0.054776304963434752</v>
      </c>
      <c r="W406" s="85">
        <f>IF(B406="",0,+$T406*$V406)</f>
        <v>0.97349406041143808</v>
      </c>
      <c r="X406" s="85">
        <f>IF(B406="",0,IF(OR(H406=MappingTables!$C$34,H406=MappingTables!$C$35),W406,0))</f>
        <v>0</v>
      </c>
    </row>
    <row r="407" spans="2:24" s="0" customFormat="0" ht="15">
      <c r="B407" s="69" t="s">
        <v>672</v>
      </c>
      <c r="C407" s="70" t="s">
        <v>673</v>
      </c>
      <c r="D407" s="70" t="s">
        <v>1</v>
      </c>
      <c r="E407" s="70" t="s">
        <v>1</v>
      </c>
      <c r="F407" s="70"/>
      <c r="G407" s="70" t="s">
        <v>61</v>
      </c>
      <c r="H407" s="70" t="s">
        <v>178</v>
      </c>
      <c r="I407" s="70" t="s">
        <v>220</v>
      </c>
      <c r="J407" s="71">
        <f>IF(OR(I407=0,I407=""),"unrated",VLOOKUP(I407,MappingTables!$B$19:$C$31,2,FALSE))</f>
        <v>1</v>
      </c>
      <c r="K407" s="72">
        <v>0.086604137659403232</v>
      </c>
      <c r="L407" s="70">
        <v>1.2925081368673676</v>
      </c>
      <c r="M407" s="71">
        <f>IF(L407&lt;1,1,L407)</f>
        <v>1.2925081368673676</v>
      </c>
      <c r="N407" s="70" t="s">
        <v>141</v>
      </c>
      <c r="O407" s="71">
        <f>INDEX(DurClassMapping,MATCH(M407,MappingTables!$D$4:$D$8,-1),1)</f>
        <v>1</v>
      </c>
      <c r="P407" s="73">
        <f>IF(M407=$A$1,1,$M407-INDEX(MappingTables!$E$4:$E$8,MATCH(O407,MappingTables!$B$4:$B$8,0)))</f>
        <v>1.2925081368673676</v>
      </c>
      <c r="Q407" s="71">
        <f>IF(B407="",0,INDEX(ModelParameters!$D$6:$K$10,MATCH($O407,ModelParameters!$B$6:$B$10,0),MATCH($J407,ModelParameters!$D$5:$K$5,0)))</f>
        <v>0.011000000000000002</v>
      </c>
      <c r="R407" s="71">
        <f>IF(B407="",0,INDEX(ModelParameters!$D$13:$K$17,MATCH($O407,ModelParameters!$B$13:$B$17,0),MATCH($J407,ModelParameters!$D$5:$K$5,0)))</f>
        <v>0</v>
      </c>
      <c r="S407" s="160">
        <f>IF(B407="",0,MIN(IF($N407="Other Bond TM",ModelParameters!$N$21,1)*(P407*Q407+R407),1))</f>
        <v>0.014217589505541046</v>
      </c>
      <c r="T407" s="85">
        <f>IF(B407="",0,$S407*$K407)</f>
        <v>0.0012313020787227634</v>
      </c>
      <c r="U407" s="85">
        <f>IF(B407="",0,IF(OR(H407=MappingTables!$C$34,H407=MappingTables!$C$35),T407,0))</f>
        <v>0</v>
      </c>
      <c r="V407" s="85">
        <f>IF(ISNA(IF(AND(VLOOKUP(CONCATENATE($D407,$G407),CSRFinput!$B:$E,4,0)=0,OR(H407=MappingTables!$C$34,H407=MappingTables!$C$35)),1,VLOOKUP(CONCATENATE($D407,$G407),CSRFinput!$B:$E,4,0))),0,IF(AND(VLOOKUP(CONCATENATE($D407,$G407),CSRFinput!$B:$E,4,0)=0,OR(H407=MappingTables!$C$34,H407=MappingTables!$C$35)),1,VLOOKUP(CONCATENATE($D407,$G407),CSRFinput!$B:$E,4,0)))</f>
        <v>0.054776304963434752</v>
      </c>
      <c r="W407" s="85">
        <f>IF(B407="",0,+$T407*$V407)</f>
        <v>0.00006744617816622924</v>
      </c>
      <c r="X407" s="85">
        <f>IF(B407="",0,IF(OR(H407=MappingTables!$C$34,H407=MappingTables!$C$35),W407,0))</f>
        <v>0</v>
      </c>
    </row>
    <row r="408" spans="2:24" s="0" customFormat="0" ht="15">
      <c r="B408" s="69">
        <v>22455331</v>
      </c>
      <c r="C408" s="70" t="s">
        <v>674</v>
      </c>
      <c r="D408" s="70" t="s">
        <v>1</v>
      </c>
      <c r="E408" s="70" t="s">
        <v>1</v>
      </c>
      <c r="F408" s="70"/>
      <c r="G408" s="70" t="s">
        <v>61</v>
      </c>
      <c r="H408" s="70" t="s">
        <v>178</v>
      </c>
      <c r="I408" s="70" t="s">
        <v>188</v>
      </c>
      <c r="J408" s="71">
        <f>IF(OR(I408=0,I408=""),"unrated",VLOOKUP(I408,MappingTables!$B$19:$C$31,2,FALSE))</f>
        <v>2</v>
      </c>
      <c r="K408" s="72">
        <v>1209.873063836897</v>
      </c>
      <c r="L408" s="70">
        <v>2.1931272749989984</v>
      </c>
      <c r="M408" s="71">
        <f>IF(L408&lt;1,1,L408)</f>
        <v>2.1931272749989984</v>
      </c>
      <c r="N408" s="70" t="s">
        <v>141</v>
      </c>
      <c r="O408" s="71">
        <f>INDEX(DurClassMapping,MATCH(M408,MappingTables!$D$4:$D$8,-1),1)</f>
        <v>1</v>
      </c>
      <c r="P408" s="73">
        <f>IF(M408=$A$1,1,$M408-INDEX(MappingTables!$E$4:$E$8,MATCH(O408,MappingTables!$B$4:$B$8,0)))</f>
        <v>2.1931272749989984</v>
      </c>
      <c r="Q408" s="71">
        <f>IF(B408="",0,INDEX(ModelParameters!$D$6:$K$10,MATCH($O408,ModelParameters!$B$6:$B$10,0),MATCH($J408,ModelParameters!$D$5:$K$5,0)))</f>
        <v>0.013999999999999998</v>
      </c>
      <c r="R408" s="71">
        <f>IF(B408="",0,INDEX(ModelParameters!$D$13:$K$17,MATCH($O408,ModelParameters!$B$13:$B$17,0),MATCH($J408,ModelParameters!$D$5:$K$5,0)))</f>
        <v>0</v>
      </c>
      <c r="S408" s="160">
        <f>IF(B408="",0,MIN(IF($N408="Other Bond TM",ModelParameters!$N$21,1)*(P408*Q408+R408),1))</f>
        <v>0.030703781849985972</v>
      </c>
      <c r="T408" s="85">
        <f>IF(B408="",0,$S408*$K408)</f>
        <v>37.14767861822224</v>
      </c>
      <c r="U408" s="85">
        <f>IF(B408="",0,IF(OR(H408=MappingTables!$C$34,H408=MappingTables!$C$35),T408,0))</f>
        <v>0</v>
      </c>
      <c r="V408" s="85">
        <f>IF(ISNA(IF(AND(VLOOKUP(CONCATENATE($D408,$G408),CSRFinput!$B:$E,4,0)=0,OR(H408=MappingTables!$C$34,H408=MappingTables!$C$35)),1,VLOOKUP(CONCATENATE($D408,$G408),CSRFinput!$B:$E,4,0))),0,IF(AND(VLOOKUP(CONCATENATE($D408,$G408),CSRFinput!$B:$E,4,0)=0,OR(H408=MappingTables!$C$34,H408=MappingTables!$C$35)),1,VLOOKUP(CONCATENATE($D408,$G408),CSRFinput!$B:$E,4,0)))</f>
        <v>0.054776304963434752</v>
      </c>
      <c r="W408" s="85">
        <f>IF(B408="",0,+$T408*$V408)</f>
        <v>2.034812572675406</v>
      </c>
      <c r="X408" s="85">
        <f>IF(B408="",0,IF(OR(H408=MappingTables!$C$34,H408=MappingTables!$C$35),W408,0))</f>
        <v>0</v>
      </c>
    </row>
    <row r="409" spans="2:24" s="0" customFormat="0" ht="15">
      <c r="B409" s="69">
        <v>18801403</v>
      </c>
      <c r="C409" s="70" t="s">
        <v>675</v>
      </c>
      <c r="D409" s="70" t="s">
        <v>1</v>
      </c>
      <c r="E409" s="70" t="s">
        <v>1</v>
      </c>
      <c r="F409" s="70"/>
      <c r="G409" s="70" t="s">
        <v>61</v>
      </c>
      <c r="H409" s="70" t="s">
        <v>178</v>
      </c>
      <c r="I409" s="70" t="s">
        <v>181</v>
      </c>
      <c r="J409" s="71">
        <f>IF(OR(I409=0,I409=""),"unrated",VLOOKUP(I409,MappingTables!$B$19:$C$31,2,FALSE))</f>
        <v>3</v>
      </c>
      <c r="K409" s="72">
        <v>17949.850373352848</v>
      </c>
      <c r="L409" s="70">
        <v>6.6701423069012912</v>
      </c>
      <c r="M409" s="71">
        <f>IF(L409&lt;1,1,L409)</f>
        <v>6.6701423069012912</v>
      </c>
      <c r="N409" s="70" t="s">
        <v>141</v>
      </c>
      <c r="O409" s="71">
        <f>INDEX(DurClassMapping,MATCH(M409,MappingTables!$D$4:$D$8,-1),1)</f>
        <v>2</v>
      </c>
      <c r="P409" s="73">
        <f>IF(M409=$A$1,1,$M409-INDEX(MappingTables!$E$4:$E$8,MATCH(O409,MappingTables!$B$4:$B$8,0)))</f>
        <v>1.6701423069012912</v>
      </c>
      <c r="Q409" s="71">
        <f>IF(B409="",0,INDEX(ModelParameters!$D$6:$K$10,MATCH($O409,ModelParameters!$B$6:$B$10,0),MATCH($J409,ModelParameters!$D$5:$K$5,0)))</f>
        <v>0.015</v>
      </c>
      <c r="R409" s="71">
        <f>IF(B409="",0,INDEX(ModelParameters!$D$13:$K$17,MATCH($O409,ModelParameters!$B$13:$B$17,0),MATCH($J409,ModelParameters!$D$5:$K$5,0)))</f>
        <v>0.125</v>
      </c>
      <c r="S409" s="160">
        <f>IF(B409="",0,MIN(IF($N409="Other Bond TM",ModelParameters!$N$21,1)*(P409*Q409+R409),1))</f>
        <v>0.15005213460351938</v>
      </c>
      <c r="T409" s="85">
        <f>IF(B409="",0,$S409*$K409)</f>
        <v>2693.4133643353744</v>
      </c>
      <c r="U409" s="85">
        <f>IF(B409="",0,IF(OR(H409=MappingTables!$C$34,H409=MappingTables!$C$35),T409,0))</f>
        <v>0</v>
      </c>
      <c r="V409" s="85">
        <f>IF(ISNA(IF(AND(VLOOKUP(CONCATENATE($D409,$G409),CSRFinput!$B:$E,4,0)=0,OR(H409=MappingTables!$C$34,H409=MappingTables!$C$35)),1,VLOOKUP(CONCATENATE($D409,$G409),CSRFinput!$B:$E,4,0))),0,IF(AND(VLOOKUP(CONCATENATE($D409,$G409),CSRFinput!$B:$E,4,0)=0,OR(H409=MappingTables!$C$34,H409=MappingTables!$C$35)),1,VLOOKUP(CONCATENATE($D409,$G409),CSRFinput!$B:$E,4,0)))</f>
        <v>0.054776304963434752</v>
      </c>
      <c r="W409" s="85">
        <f>IF(B409="",0,+$T409*$V409)</f>
        <v>147.53523183742528</v>
      </c>
      <c r="X409" s="85">
        <f>IF(B409="",0,IF(OR(H409=MappingTables!$C$34,H409=MappingTables!$C$35),W409,0))</f>
        <v>0</v>
      </c>
    </row>
    <row r="410" spans="2:24" s="0" customFormat="0" ht="15">
      <c r="B410" s="69">
        <v>14383862</v>
      </c>
      <c r="C410" s="70" t="s">
        <v>676</v>
      </c>
      <c r="D410" s="70" t="s">
        <v>1</v>
      </c>
      <c r="E410" s="70" t="s">
        <v>1</v>
      </c>
      <c r="F410" s="70"/>
      <c r="G410" s="70" t="s">
        <v>61</v>
      </c>
      <c r="H410" s="70" t="s">
        <v>178</v>
      </c>
      <c r="I410" s="70" t="s">
        <v>179</v>
      </c>
      <c r="J410" s="71">
        <f>IF(OR(I410=0,I410=""),"unrated",VLOOKUP(I410,MappingTables!$B$19:$C$31,2,FALSE))</f>
        <v>4</v>
      </c>
      <c r="K410" s="72">
        <v>42549.720505214744</v>
      </c>
      <c r="L410" s="70">
        <v>11.874200738624716</v>
      </c>
      <c r="M410" s="71">
        <f>IF(L410&lt;1,1,L410)</f>
        <v>11.874200738624716</v>
      </c>
      <c r="N410" s="70" t="s">
        <v>141</v>
      </c>
      <c r="O410" s="71">
        <f>INDEX(DurClassMapping,MATCH(M410,MappingTables!$D$4:$D$8,-1),1)</f>
        <v>3</v>
      </c>
      <c r="P410" s="73">
        <f>IF(M410=$A$1,1,$M410-INDEX(MappingTables!$E$4:$E$8,MATCH(O410,MappingTables!$B$4:$B$8,0)))</f>
        <v>1.8742007386247152</v>
      </c>
      <c r="Q410" s="71">
        <f>IF(B410="",0,INDEX(ModelParameters!$D$6:$K$10,MATCH($O410,ModelParameters!$B$6:$B$10,0),MATCH($J410,ModelParameters!$D$5:$K$5,0)))</f>
        <v>0.018000000000000002</v>
      </c>
      <c r="R410" s="71">
        <f>IF(B410="",0,INDEX(ModelParameters!$D$13:$K$17,MATCH($O410,ModelParameters!$B$13:$B$17,0),MATCH($J410,ModelParameters!$D$5:$K$5,0)))</f>
        <v>0.34999999999999996</v>
      </c>
      <c r="S410" s="160">
        <f>IF(B410="",0,MIN(IF($N410="Other Bond TM",ModelParameters!$N$21,1)*(P410*Q410+R410),1))</f>
        <v>0.38373561329524488</v>
      </c>
      <c r="T410" s="85">
        <f>IF(B410="",0,$S410*$K410)</f>
        <v>16327.843093609834</v>
      </c>
      <c r="U410" s="85">
        <f>IF(B410="",0,IF(OR(H410=MappingTables!$C$34,H410=MappingTables!$C$35),T410,0))</f>
        <v>0</v>
      </c>
      <c r="V410" s="85">
        <f>IF(ISNA(IF(AND(VLOOKUP(CONCATENATE($D410,$G410),CSRFinput!$B:$E,4,0)=0,OR(H410=MappingTables!$C$34,H410=MappingTables!$C$35)),1,VLOOKUP(CONCATENATE($D410,$G410),CSRFinput!$B:$E,4,0))),0,IF(AND(VLOOKUP(CONCATENATE($D410,$G410),CSRFinput!$B:$E,4,0)=0,OR(H410=MappingTables!$C$34,H410=MappingTables!$C$35)),1,VLOOKUP(CONCATENATE($D410,$G410),CSRFinput!$B:$E,4,0)))</f>
        <v>0.054776304963434752</v>
      </c>
      <c r="W410" s="85">
        <f>IF(B410="",0,+$T410*$V410)</f>
        <v>894.37891269068416</v>
      </c>
      <c r="X410" s="85">
        <f>IF(B410="",0,IF(OR(H410=MappingTables!$C$34,H410=MappingTables!$C$35),W410,0))</f>
        <v>0</v>
      </c>
    </row>
    <row r="411" spans="2:24" s="0" customFormat="0" ht="15">
      <c r="B411" s="69">
        <v>15586195</v>
      </c>
      <c r="C411" s="70" t="s">
        <v>677</v>
      </c>
      <c r="D411" s="70" t="s">
        <v>1</v>
      </c>
      <c r="E411" s="70" t="s">
        <v>1</v>
      </c>
      <c r="F411" s="70"/>
      <c r="G411" s="70" t="s">
        <v>61</v>
      </c>
      <c r="H411" s="70" t="s">
        <v>178</v>
      </c>
      <c r="I411" s="70" t="s">
        <v>216</v>
      </c>
      <c r="J411" s="71">
        <f>IF(OR(I411=0,I411=""),"unrated",VLOOKUP(I411,MappingTables!$B$19:$C$31,2,FALSE))</f>
        <v>0</v>
      </c>
      <c r="K411" s="72">
        <v>277.83874181112032</v>
      </c>
      <c r="L411" s="70">
        <v>0.20822399380695304</v>
      </c>
      <c r="M411" s="71">
        <f>IF(L411&lt;1,1,L411)</f>
        <v>1</v>
      </c>
      <c r="N411" s="70" t="s">
        <v>141</v>
      </c>
      <c r="O411" s="71">
        <f>INDEX(DurClassMapping,MATCH(M411,MappingTables!$D$4:$D$8,-1),1)</f>
        <v>1</v>
      </c>
      <c r="P411" s="73">
        <f>IF(M411=$A$1,1,$M411-INDEX(MappingTables!$E$4:$E$8,MATCH(O411,MappingTables!$B$4:$B$8,0)))</f>
        <v>1</v>
      </c>
      <c r="Q411" s="71">
        <f>IF(B411="",0,INDEX(ModelParameters!$D$6:$K$10,MATCH($O411,ModelParameters!$B$6:$B$10,0),MATCH($J411,ModelParameters!$D$5:$K$5,0)))</f>
        <v>0.0090000000000000016</v>
      </c>
      <c r="R411" s="71">
        <f>IF(B411="",0,INDEX(ModelParameters!$D$13:$K$17,MATCH($O411,ModelParameters!$B$13:$B$17,0),MATCH($J411,ModelParameters!$D$5:$K$5,0)))</f>
        <v>0</v>
      </c>
      <c r="S411" s="160">
        <f>IF(B411="",0,MIN(IF($N411="Other Bond TM",ModelParameters!$N$21,1)*(P411*Q411+R411),1))</f>
        <v>0.0090000000000000016</v>
      </c>
      <c r="T411" s="85">
        <f>IF(B411="",0,$S411*$K411)</f>
        <v>2.5005486763000832</v>
      </c>
      <c r="U411" s="85">
        <f>IF(B411="",0,IF(OR(H411=MappingTables!$C$34,H411=MappingTables!$C$35),T411,0))</f>
        <v>0</v>
      </c>
      <c r="V411" s="85">
        <f>IF(ISNA(IF(AND(VLOOKUP(CONCATENATE($D411,$G411),CSRFinput!$B:$E,4,0)=0,OR(H411=MappingTables!$C$34,H411=MappingTables!$C$35)),1,VLOOKUP(CONCATENATE($D411,$G411),CSRFinput!$B:$E,4,0))),0,IF(AND(VLOOKUP(CONCATENATE($D411,$G411),CSRFinput!$B:$E,4,0)=0,OR(H411=MappingTables!$C$34,H411=MappingTables!$C$35)),1,VLOOKUP(CONCATENATE($D411,$G411),CSRFinput!$B:$E,4,0)))</f>
        <v>0.054776304963434752</v>
      </c>
      <c r="W411" s="85">
        <f>IF(B411="",0,+$T411*$V411)</f>
        <v>0.13697081686892646</v>
      </c>
      <c r="X411" s="85">
        <f>IF(B411="",0,IF(OR(H411=MappingTables!$C$34,H411=MappingTables!$C$35),W411,0))</f>
        <v>0</v>
      </c>
    </row>
    <row r="412" spans="2:24" s="0" customFormat="0" ht="15">
      <c r="B412" s="69">
        <v>24137384</v>
      </c>
      <c r="C412" s="70" t="s">
        <v>678</v>
      </c>
      <c r="D412" s="70" t="s">
        <v>1</v>
      </c>
      <c r="E412" s="70" t="s">
        <v>1</v>
      </c>
      <c r="F412" s="70"/>
      <c r="G412" s="70" t="s">
        <v>61</v>
      </c>
      <c r="H412" s="70" t="s">
        <v>178</v>
      </c>
      <c r="I412" s="70" t="s">
        <v>181</v>
      </c>
      <c r="J412" s="71">
        <f>IF(OR(I412=0,I412=""),"unrated",VLOOKUP(I412,MappingTables!$B$19:$C$31,2,FALSE))</f>
        <v>3</v>
      </c>
      <c r="K412" s="72">
        <v>491.98977155051384</v>
      </c>
      <c r="L412" s="70">
        <v>2.88694652070413</v>
      </c>
      <c r="M412" s="71">
        <f>IF(L412&lt;1,1,L412)</f>
        <v>2.88694652070413</v>
      </c>
      <c r="N412" s="70" t="s">
        <v>141</v>
      </c>
      <c r="O412" s="71">
        <f>INDEX(DurClassMapping,MATCH(M412,MappingTables!$D$4:$D$8,-1),1)</f>
        <v>1</v>
      </c>
      <c r="P412" s="73">
        <f>IF(M412=$A$1,1,$M412-INDEX(MappingTables!$E$4:$E$8,MATCH(O412,MappingTables!$B$4:$B$8,0)))</f>
        <v>2.88694652070413</v>
      </c>
      <c r="Q412" s="71">
        <f>IF(B412="",0,INDEX(ModelParameters!$D$6:$K$10,MATCH($O412,ModelParameters!$B$6:$B$10,0),MATCH($J412,ModelParameters!$D$5:$K$5,0)))</f>
        <v>0.025</v>
      </c>
      <c r="R412" s="71">
        <f>IF(B412="",0,INDEX(ModelParameters!$D$13:$K$17,MATCH($O412,ModelParameters!$B$13:$B$17,0),MATCH($J412,ModelParameters!$D$5:$K$5,0)))</f>
        <v>0</v>
      </c>
      <c r="S412" s="160">
        <f>IF(B412="",0,MIN(IF($N412="Other Bond TM",ModelParameters!$N$21,1)*(P412*Q412+R412),1))</f>
        <v>0.072173663017603248</v>
      </c>
      <c r="T412" s="85">
        <f>IF(B412="",0,$S412*$K412)</f>
        <v>35.508703979994392</v>
      </c>
      <c r="U412" s="85">
        <f>IF(B412="",0,IF(OR(H412=MappingTables!$C$34,H412=MappingTables!$C$35),T412,0))</f>
        <v>0</v>
      </c>
      <c r="V412" s="85">
        <f>IF(ISNA(IF(AND(VLOOKUP(CONCATENATE($D412,$G412),CSRFinput!$B:$E,4,0)=0,OR(H412=MappingTables!$C$34,H412=MappingTables!$C$35)),1,VLOOKUP(CONCATENATE($D412,$G412),CSRFinput!$B:$E,4,0))),0,IF(AND(VLOOKUP(CONCATENATE($D412,$G412),CSRFinput!$B:$E,4,0)=0,OR(H412=MappingTables!$C$34,H412=MappingTables!$C$35)),1,VLOOKUP(CONCATENATE($D412,$G412),CSRFinput!$B:$E,4,0)))</f>
        <v>0.054776304963434752</v>
      </c>
      <c r="W412" s="85">
        <f>IF(B412="",0,+$T412*$V412)</f>
        <v>1.9450355980645024</v>
      </c>
      <c r="X412" s="85">
        <f>IF(B412="",0,IF(OR(H412=MappingTables!$C$34,H412=MappingTables!$C$35),W412,0))</f>
        <v>0</v>
      </c>
    </row>
    <row r="413" spans="2:24" s="0" customFormat="0" ht="15">
      <c r="B413" s="69">
        <v>18026295</v>
      </c>
      <c r="C413" s="70" t="s">
        <v>679</v>
      </c>
      <c r="D413" s="70" t="s">
        <v>1</v>
      </c>
      <c r="E413" s="70" t="s">
        <v>1</v>
      </c>
      <c r="F413" s="70"/>
      <c r="G413" s="70" t="s">
        <v>61</v>
      </c>
      <c r="H413" s="70" t="s">
        <v>178</v>
      </c>
      <c r="I413" s="70" t="s">
        <v>184</v>
      </c>
      <c r="J413" s="71">
        <f>IF(OR(I413=0,I413=""),"unrated",VLOOKUP(I413,MappingTables!$B$19:$C$31,2,FALSE))</f>
        <v>5</v>
      </c>
      <c r="K413" s="72">
        <v>6446.7774756481992</v>
      </c>
      <c r="L413" s="70">
        <v>0.77996139608593984</v>
      </c>
      <c r="M413" s="71">
        <f>IF(L413&lt;1,1,L413)</f>
        <v>1</v>
      </c>
      <c r="N413" s="70" t="s">
        <v>141</v>
      </c>
      <c r="O413" s="71">
        <f>INDEX(DurClassMapping,MATCH(M413,MappingTables!$D$4:$D$8,-1),1)</f>
        <v>1</v>
      </c>
      <c r="P413" s="73">
        <f>IF(M413=$A$1,1,$M413-INDEX(MappingTables!$E$4:$E$8,MATCH(O413,MappingTables!$B$4:$B$8,0)))</f>
        <v>1</v>
      </c>
      <c r="Q413" s="71">
        <f>IF(B413="",0,INDEX(ModelParameters!$D$6:$K$10,MATCH($O413,ModelParameters!$B$6:$B$10,0),MATCH($J413,ModelParameters!$D$5:$K$5,0)))</f>
        <v>0.075</v>
      </c>
      <c r="R413" s="71">
        <f>IF(B413="",0,INDEX(ModelParameters!$D$13:$K$17,MATCH($O413,ModelParameters!$B$13:$B$17,0),MATCH($J413,ModelParameters!$D$5:$K$5,0)))</f>
        <v>0</v>
      </c>
      <c r="S413" s="160">
        <f>IF(B413="",0,MIN(IF($N413="Other Bond TM",ModelParameters!$N$21,1)*(P413*Q413+R413),1))</f>
        <v>0.075</v>
      </c>
      <c r="T413" s="85">
        <f>IF(B413="",0,$S413*$K413)</f>
        <v>483.50831067361488</v>
      </c>
      <c r="U413" s="85">
        <f>IF(B413="",0,IF(OR(H413=MappingTables!$C$34,H413=MappingTables!$C$35),T413,0))</f>
        <v>0</v>
      </c>
      <c r="V413" s="85">
        <f>IF(ISNA(IF(AND(VLOOKUP(CONCATENATE($D413,$G413),CSRFinput!$B:$E,4,0)=0,OR(H413=MappingTables!$C$34,H413=MappingTables!$C$35)),1,VLOOKUP(CONCATENATE($D413,$G413),CSRFinput!$B:$E,4,0))),0,IF(AND(VLOOKUP(CONCATENATE($D413,$G413),CSRFinput!$B:$E,4,0)=0,OR(H413=MappingTables!$C$34,H413=MappingTables!$C$35)),1,VLOOKUP(CONCATENATE($D413,$G413),CSRFinput!$B:$E,4,0)))</f>
        <v>0.054776304963434752</v>
      </c>
      <c r="W413" s="85">
        <f>IF(B413="",0,+$T413*$V413)</f>
        <v>26.484798677813084</v>
      </c>
      <c r="X413" s="85">
        <f>IF(B413="",0,IF(OR(H413=MappingTables!$C$34,H413=MappingTables!$C$35),W413,0))</f>
        <v>0</v>
      </c>
    </row>
    <row r="414" spans="2:24" s="0" customFormat="0" ht="15">
      <c r="B414" s="69">
        <v>21278021</v>
      </c>
      <c r="C414" s="70" t="s">
        <v>680</v>
      </c>
      <c r="D414" s="70" t="s">
        <v>1</v>
      </c>
      <c r="E414" s="70" t="s">
        <v>1</v>
      </c>
      <c r="F414" s="70"/>
      <c r="G414" s="70" t="s">
        <v>61</v>
      </c>
      <c r="H414" s="70" t="s">
        <v>178</v>
      </c>
      <c r="I414" s="70" t="s">
        <v>179</v>
      </c>
      <c r="J414" s="71">
        <f>IF(OR(I414=0,I414=""),"unrated",VLOOKUP(I414,MappingTables!$B$19:$C$31,2,FALSE))</f>
        <v>4</v>
      </c>
      <c r="K414" s="72">
        <v>361.4768326227136</v>
      </c>
      <c r="L414" s="70">
        <v>2.8236826625587452</v>
      </c>
      <c r="M414" s="71">
        <f>IF(L414&lt;1,1,L414)</f>
        <v>2.8236826625587452</v>
      </c>
      <c r="N414" s="70" t="s">
        <v>141</v>
      </c>
      <c r="O414" s="71">
        <f>INDEX(DurClassMapping,MATCH(M414,MappingTables!$D$4:$D$8,-1),1)</f>
        <v>1</v>
      </c>
      <c r="P414" s="73">
        <f>IF(M414=$A$1,1,$M414-INDEX(MappingTables!$E$4:$E$8,MATCH(O414,MappingTables!$B$4:$B$8,0)))</f>
        <v>2.8236826625587452</v>
      </c>
      <c r="Q414" s="71">
        <f>IF(B414="",0,INDEX(ModelParameters!$D$6:$K$10,MATCH($O414,ModelParameters!$B$6:$B$10,0),MATCH($J414,ModelParameters!$D$5:$K$5,0)))</f>
        <v>0.045</v>
      </c>
      <c r="R414" s="71">
        <f>IF(B414="",0,INDEX(ModelParameters!$D$13:$K$17,MATCH($O414,ModelParameters!$B$13:$B$17,0),MATCH($J414,ModelParameters!$D$5:$K$5,0)))</f>
        <v>0</v>
      </c>
      <c r="S414" s="160">
        <f>IF(B414="",0,MIN(IF($N414="Other Bond TM",ModelParameters!$N$21,1)*(P414*Q414+R414),1))</f>
        <v>0.12706571981514352</v>
      </c>
      <c r="T414" s="85">
        <f>IF(B414="",0,$S414*$K414)</f>
        <v>45.931313933703264</v>
      </c>
      <c r="U414" s="85">
        <f>IF(B414="",0,IF(OR(H414=MappingTables!$C$34,H414=MappingTables!$C$35),T414,0))</f>
        <v>0</v>
      </c>
      <c r="V414" s="85">
        <f>IF(ISNA(IF(AND(VLOOKUP(CONCATENATE($D414,$G414),CSRFinput!$B:$E,4,0)=0,OR(H414=MappingTables!$C$34,H414=MappingTables!$C$35)),1,VLOOKUP(CONCATENATE($D414,$G414),CSRFinput!$B:$E,4,0))),0,IF(AND(VLOOKUP(CONCATENATE($D414,$G414),CSRFinput!$B:$E,4,0)=0,OR(H414=MappingTables!$C$34,H414=MappingTables!$C$35)),1,VLOOKUP(CONCATENATE($D414,$G414),CSRFinput!$B:$E,4,0)))</f>
        <v>0.054776304963434752</v>
      </c>
      <c r="W414" s="85">
        <f>IF(B414="",0,+$T414*$V414)</f>
        <v>2.51594765940379</v>
      </c>
      <c r="X414" s="85">
        <f>IF(B414="",0,IF(OR(H414=MappingTables!$C$34,H414=MappingTables!$C$35),W414,0))</f>
        <v>0</v>
      </c>
    </row>
    <row r="415" spans="2:24" s="0" customFormat="0" ht="15">
      <c r="B415" s="69">
        <v>14826305</v>
      </c>
      <c r="C415" s="70" t="s">
        <v>681</v>
      </c>
      <c r="D415" s="70" t="s">
        <v>1</v>
      </c>
      <c r="E415" s="70" t="s">
        <v>1</v>
      </c>
      <c r="F415" s="70"/>
      <c r="G415" s="70" t="s">
        <v>61</v>
      </c>
      <c r="H415" s="70" t="s">
        <v>178</v>
      </c>
      <c r="I415" s="70" t="s">
        <v>181</v>
      </c>
      <c r="J415" s="71">
        <f>IF(OR(I415=0,I415=""),"unrated",VLOOKUP(I415,MappingTables!$B$19:$C$31,2,FALSE))</f>
        <v>3</v>
      </c>
      <c r="K415" s="72">
        <v>25549.931413986488</v>
      </c>
      <c r="L415" s="70">
        <v>2.6598974360786456</v>
      </c>
      <c r="M415" s="71">
        <f>IF(L415&lt;1,1,L415)</f>
        <v>2.6598974360786456</v>
      </c>
      <c r="N415" s="70" t="s">
        <v>141</v>
      </c>
      <c r="O415" s="71">
        <f>INDEX(DurClassMapping,MATCH(M415,MappingTables!$D$4:$D$8,-1),1)</f>
        <v>1</v>
      </c>
      <c r="P415" s="73">
        <f>IF(M415=$A$1,1,$M415-INDEX(MappingTables!$E$4:$E$8,MATCH(O415,MappingTables!$B$4:$B$8,0)))</f>
        <v>2.6598974360786456</v>
      </c>
      <c r="Q415" s="71">
        <f>IF(B415="",0,INDEX(ModelParameters!$D$6:$K$10,MATCH($O415,ModelParameters!$B$6:$B$10,0),MATCH($J415,ModelParameters!$D$5:$K$5,0)))</f>
        <v>0.025</v>
      </c>
      <c r="R415" s="71">
        <f>IF(B415="",0,INDEX(ModelParameters!$D$13:$K$17,MATCH($O415,ModelParameters!$B$13:$B$17,0),MATCH($J415,ModelParameters!$D$5:$K$5,0)))</f>
        <v>0</v>
      </c>
      <c r="S415" s="160">
        <f>IF(B415="",0,MIN(IF($N415="Other Bond TM",ModelParameters!$N$21,1)*(P415*Q415+R415),1))</f>
        <v>0.066497435901966152</v>
      </c>
      <c r="T415" s="85">
        <f>IF(B415="",0,$S415*$K415)</f>
        <v>1699.0049265011978</v>
      </c>
      <c r="U415" s="85">
        <f>IF(B415="",0,IF(OR(H415=MappingTables!$C$34,H415=MappingTables!$C$35),T415,0))</f>
        <v>0</v>
      </c>
      <c r="V415" s="85">
        <f>IF(ISNA(IF(AND(VLOOKUP(CONCATENATE($D415,$G415),CSRFinput!$B:$E,4,0)=0,OR(H415=MappingTables!$C$34,H415=MappingTables!$C$35)),1,VLOOKUP(CONCATENATE($D415,$G415),CSRFinput!$B:$E,4,0))),0,IF(AND(VLOOKUP(CONCATENATE($D415,$G415),CSRFinput!$B:$E,4,0)=0,OR(H415=MappingTables!$C$34,H415=MappingTables!$C$35)),1,VLOOKUP(CONCATENATE($D415,$G415),CSRFinput!$B:$E,4,0)))</f>
        <v>0.054776304963434752</v>
      </c>
      <c r="W415" s="85">
        <f>IF(B415="",0,+$T415*$V415)</f>
        <v>93.065211988407648</v>
      </c>
      <c r="X415" s="85">
        <f>IF(B415="",0,IF(OR(H415=MappingTables!$C$34,H415=MappingTables!$C$35),W415,0))</f>
        <v>0</v>
      </c>
    </row>
    <row r="416" spans="2:24" s="0" customFormat="0" ht="15">
      <c r="B416" s="69">
        <v>23595943</v>
      </c>
      <c r="C416" s="70" t="s">
        <v>682</v>
      </c>
      <c r="D416" s="70" t="s">
        <v>1</v>
      </c>
      <c r="E416" s="70" t="s">
        <v>1</v>
      </c>
      <c r="F416" s="70"/>
      <c r="G416" s="70" t="s">
        <v>61</v>
      </c>
      <c r="H416" s="70" t="s">
        <v>178</v>
      </c>
      <c r="I416" s="70" t="s">
        <v>188</v>
      </c>
      <c r="J416" s="71">
        <f>IF(OR(I416=0,I416=""),"unrated",VLOOKUP(I416,MappingTables!$B$19:$C$31,2,FALSE))</f>
        <v>2</v>
      </c>
      <c r="K416" s="72">
        <v>499.82429874894048</v>
      </c>
      <c r="L416" s="70">
        <v>4.3514709218950072</v>
      </c>
      <c r="M416" s="71">
        <f>IF(L416&lt;1,1,L416)</f>
        <v>4.3514709218950072</v>
      </c>
      <c r="N416" s="70" t="s">
        <v>141</v>
      </c>
      <c r="O416" s="71">
        <f>INDEX(DurClassMapping,MATCH(M416,MappingTables!$D$4:$D$8,-1),1)</f>
        <v>1</v>
      </c>
      <c r="P416" s="73">
        <f>IF(M416=$A$1,1,$M416-INDEX(MappingTables!$E$4:$E$8,MATCH(O416,MappingTables!$B$4:$B$8,0)))</f>
        <v>4.3514709218950072</v>
      </c>
      <c r="Q416" s="71">
        <f>IF(B416="",0,INDEX(ModelParameters!$D$6:$K$10,MATCH($O416,ModelParameters!$B$6:$B$10,0),MATCH($J416,ModelParameters!$D$5:$K$5,0)))</f>
        <v>0.013999999999999998</v>
      </c>
      <c r="R416" s="71">
        <f>IF(B416="",0,INDEX(ModelParameters!$D$13:$K$17,MATCH($O416,ModelParameters!$B$13:$B$17,0),MATCH($J416,ModelParameters!$D$5:$K$5,0)))</f>
        <v>0</v>
      </c>
      <c r="S416" s="160">
        <f>IF(B416="",0,MIN(IF($N416="Other Bond TM",ModelParameters!$N$21,1)*(P416*Q416+R416),1))</f>
        <v>0.060920592906530096</v>
      </c>
      <c r="T416" s="85">
        <f>IF(B416="",0,$S416*$K416)</f>
        <v>30.449592628876084</v>
      </c>
      <c r="U416" s="85">
        <f>IF(B416="",0,IF(OR(H416=MappingTables!$C$34,H416=MappingTables!$C$35),T416,0))</f>
        <v>0</v>
      </c>
      <c r="V416" s="85">
        <f>IF(ISNA(IF(AND(VLOOKUP(CONCATENATE($D416,$G416),CSRFinput!$B:$E,4,0)=0,OR(H416=MappingTables!$C$34,H416=MappingTables!$C$35)),1,VLOOKUP(CONCATENATE($D416,$G416),CSRFinput!$B:$E,4,0))),0,IF(AND(VLOOKUP(CONCATENATE($D416,$G416),CSRFinput!$B:$E,4,0)=0,OR(H416=MappingTables!$C$34,H416=MappingTables!$C$35)),1,VLOOKUP(CONCATENATE($D416,$G416),CSRFinput!$B:$E,4,0)))</f>
        <v>0.054776304963434752</v>
      </c>
      <c r="W416" s="85">
        <f>IF(B416="",0,+$T416*$V416)</f>
        <v>1.6679161718516712</v>
      </c>
      <c r="X416" s="85">
        <f>IF(B416="",0,IF(OR(H416=MappingTables!$C$34,H416=MappingTables!$C$35),W416,0))</f>
        <v>0</v>
      </c>
    </row>
    <row r="417" spans="2:24" s="0" customFormat="0" ht="15">
      <c r="B417" s="69">
        <v>14428839</v>
      </c>
      <c r="C417" s="70" t="s">
        <v>683</v>
      </c>
      <c r="D417" s="70" t="s">
        <v>1</v>
      </c>
      <c r="E417" s="70" t="s">
        <v>1</v>
      </c>
      <c r="F417" s="70"/>
      <c r="G417" s="70" t="s">
        <v>61</v>
      </c>
      <c r="H417" s="70" t="s">
        <v>178</v>
      </c>
      <c r="I417" s="70" t="s">
        <v>179</v>
      </c>
      <c r="J417" s="71">
        <f>IF(OR(I417=0,I417=""),"unrated",VLOOKUP(I417,MappingTables!$B$19:$C$31,2,FALSE))</f>
        <v>4</v>
      </c>
      <c r="K417" s="72">
        <v>112.62619054779086</v>
      </c>
      <c r="L417" s="70">
        <v>5.4355896328786032</v>
      </c>
      <c r="M417" s="71">
        <f>IF(L417&lt;1,1,L417)</f>
        <v>5.4355896328786032</v>
      </c>
      <c r="N417" s="70" t="s">
        <v>141</v>
      </c>
      <c r="O417" s="71">
        <f>INDEX(DurClassMapping,MATCH(M417,MappingTables!$D$4:$D$8,-1),1)</f>
        <v>2</v>
      </c>
      <c r="P417" s="73">
        <f>IF(M417=$A$1,1,$M417-INDEX(MappingTables!$E$4:$E$8,MATCH(O417,MappingTables!$B$4:$B$8,0)))</f>
        <v>0.43558963287860312</v>
      </c>
      <c r="Q417" s="71">
        <f>IF(B417="",0,INDEX(ModelParameters!$D$6:$K$10,MATCH($O417,ModelParameters!$B$6:$B$10,0),MATCH($J417,ModelParameters!$D$5:$K$5,0)))</f>
        <v>0.025</v>
      </c>
      <c r="R417" s="71">
        <f>IF(B417="",0,INDEX(ModelParameters!$D$13:$K$17,MATCH($O417,ModelParameters!$B$13:$B$17,0),MATCH($J417,ModelParameters!$D$5:$K$5,0)))</f>
        <v>0.225</v>
      </c>
      <c r="S417" s="160">
        <f>IF(B417="",0,MIN(IF($N417="Other Bond TM",ModelParameters!$N$21,1)*(P417*Q417+R417),1))</f>
        <v>0.23588974082196508</v>
      </c>
      <c r="T417" s="85">
        <f>IF(B417="",0,$S417*$K417)</f>
        <v>26.56736289808364</v>
      </c>
      <c r="U417" s="85">
        <f>IF(B417="",0,IF(OR(H417=MappingTables!$C$34,H417=MappingTables!$C$35),T417,0))</f>
        <v>0</v>
      </c>
      <c r="V417" s="85">
        <f>IF(ISNA(IF(AND(VLOOKUP(CONCATENATE($D417,$G417),CSRFinput!$B:$E,4,0)=0,OR(H417=MappingTables!$C$34,H417=MappingTables!$C$35)),1,VLOOKUP(CONCATENATE($D417,$G417),CSRFinput!$B:$E,4,0))),0,IF(AND(VLOOKUP(CONCATENATE($D417,$G417),CSRFinput!$B:$E,4,0)=0,OR(H417=MappingTables!$C$34,H417=MappingTables!$C$35)),1,VLOOKUP(CONCATENATE($D417,$G417),CSRFinput!$B:$E,4,0)))</f>
        <v>0.054776304963434752</v>
      </c>
      <c r="W417" s="85">
        <f>IF(B417="",0,+$T417*$V417)</f>
        <v>1.4552619721796712</v>
      </c>
      <c r="X417" s="85">
        <f>IF(B417="",0,IF(OR(H417=MappingTables!$C$34,H417=MappingTables!$C$35),W417,0))</f>
        <v>0</v>
      </c>
    </row>
    <row r="418" spans="2:24" s="0" customFormat="0" ht="15">
      <c r="B418" s="69">
        <v>22482499</v>
      </c>
      <c r="C418" s="70" t="s">
        <v>684</v>
      </c>
      <c r="D418" s="70" t="s">
        <v>1</v>
      </c>
      <c r="E418" s="70" t="s">
        <v>1</v>
      </c>
      <c r="F418" s="70"/>
      <c r="G418" s="70" t="s">
        <v>61</v>
      </c>
      <c r="H418" s="70" t="s">
        <v>178</v>
      </c>
      <c r="I418" s="70" t="s">
        <v>216</v>
      </c>
      <c r="J418" s="71">
        <f>IF(OR(I418=0,I418=""),"unrated",VLOOKUP(I418,MappingTables!$B$19:$C$31,2,FALSE))</f>
        <v>0</v>
      </c>
      <c r="K418" s="72">
        <v>2122.0261651207828</v>
      </c>
      <c r="L418" s="70">
        <v>0.23013839630347252</v>
      </c>
      <c r="M418" s="71">
        <f>IF(L418&lt;1,1,L418)</f>
        <v>1</v>
      </c>
      <c r="N418" s="70" t="s">
        <v>141</v>
      </c>
      <c r="O418" s="71">
        <f>INDEX(DurClassMapping,MATCH(M418,MappingTables!$D$4:$D$8,-1),1)</f>
        <v>1</v>
      </c>
      <c r="P418" s="73">
        <f>IF(M418=$A$1,1,$M418-INDEX(MappingTables!$E$4:$E$8,MATCH(O418,MappingTables!$B$4:$B$8,0)))</f>
        <v>1</v>
      </c>
      <c r="Q418" s="71">
        <f>IF(B418="",0,INDEX(ModelParameters!$D$6:$K$10,MATCH($O418,ModelParameters!$B$6:$B$10,0),MATCH($J418,ModelParameters!$D$5:$K$5,0)))</f>
        <v>0.0090000000000000016</v>
      </c>
      <c r="R418" s="71">
        <f>IF(B418="",0,INDEX(ModelParameters!$D$13:$K$17,MATCH($O418,ModelParameters!$B$13:$B$17,0),MATCH($J418,ModelParameters!$D$5:$K$5,0)))</f>
        <v>0</v>
      </c>
      <c r="S418" s="160">
        <f>IF(B418="",0,MIN(IF($N418="Other Bond TM",ModelParameters!$N$21,1)*(P418*Q418+R418),1))</f>
        <v>0.0090000000000000016</v>
      </c>
      <c r="T418" s="85">
        <f>IF(B418="",0,$S418*$K418)</f>
        <v>19.098235486087048</v>
      </c>
      <c r="U418" s="85">
        <f>IF(B418="",0,IF(OR(H418=MappingTables!$C$34,H418=MappingTables!$C$35),T418,0))</f>
        <v>0</v>
      </c>
      <c r="V418" s="85">
        <f>IF(ISNA(IF(AND(VLOOKUP(CONCATENATE($D418,$G418),CSRFinput!$B:$E,4,0)=0,OR(H418=MappingTables!$C$34,H418=MappingTables!$C$35)),1,VLOOKUP(CONCATENATE($D418,$G418),CSRFinput!$B:$E,4,0))),0,IF(AND(VLOOKUP(CONCATENATE($D418,$G418),CSRFinput!$B:$E,4,0)=0,OR(H418=MappingTables!$C$34,H418=MappingTables!$C$35)),1,VLOOKUP(CONCATENATE($D418,$G418),CSRFinput!$B:$E,4,0)))</f>
        <v>0.054776304963434752</v>
      </c>
      <c r="W418" s="85">
        <f>IF(B418="",0,+$T418*$V418)</f>
        <v>1.0461307712493956</v>
      </c>
      <c r="X418" s="85">
        <f>IF(B418="",0,IF(OR(H418=MappingTables!$C$34,H418=MappingTables!$C$35),W418,0))</f>
        <v>0</v>
      </c>
    </row>
    <row r="419" spans="2:24" s="0" customFormat="0" ht="15">
      <c r="B419" s="69">
        <v>22913218</v>
      </c>
      <c r="C419" s="70" t="s">
        <v>685</v>
      </c>
      <c r="D419" s="70" t="s">
        <v>1</v>
      </c>
      <c r="E419" s="70" t="s">
        <v>1</v>
      </c>
      <c r="F419" s="70"/>
      <c r="G419" s="70" t="s">
        <v>61</v>
      </c>
      <c r="H419" s="70" t="s">
        <v>178</v>
      </c>
      <c r="I419" s="70" t="s">
        <v>179</v>
      </c>
      <c r="J419" s="71">
        <f>IF(OR(I419=0,I419=""),"unrated",VLOOKUP(I419,MappingTables!$B$19:$C$31,2,FALSE))</f>
        <v>4</v>
      </c>
      <c r="K419" s="72">
        <v>4155.3128130803752</v>
      </c>
      <c r="L419" s="70">
        <v>2.2193878668686868</v>
      </c>
      <c r="M419" s="71">
        <f>IF(L419&lt;1,1,L419)</f>
        <v>2.2193878668686868</v>
      </c>
      <c r="N419" s="70" t="s">
        <v>141</v>
      </c>
      <c r="O419" s="71">
        <f>INDEX(DurClassMapping,MATCH(M419,MappingTables!$D$4:$D$8,-1),1)</f>
        <v>1</v>
      </c>
      <c r="P419" s="73">
        <f>IF(M419=$A$1,1,$M419-INDEX(MappingTables!$E$4:$E$8,MATCH(O419,MappingTables!$B$4:$B$8,0)))</f>
        <v>2.2193878668686868</v>
      </c>
      <c r="Q419" s="71">
        <f>IF(B419="",0,INDEX(ModelParameters!$D$6:$K$10,MATCH($O419,ModelParameters!$B$6:$B$10,0),MATCH($J419,ModelParameters!$D$5:$K$5,0)))</f>
        <v>0.045</v>
      </c>
      <c r="R419" s="71">
        <f>IF(B419="",0,INDEX(ModelParameters!$D$13:$K$17,MATCH($O419,ModelParameters!$B$13:$B$17,0),MATCH($J419,ModelParameters!$D$5:$K$5,0)))</f>
        <v>0</v>
      </c>
      <c r="S419" s="160">
        <f>IF(B419="",0,MIN(IF($N419="Other Bond TM",ModelParameters!$N$21,1)*(P419*Q419+R419),1))</f>
        <v>0.099872454009090912</v>
      </c>
      <c r="T419" s="85">
        <f>IF(B419="",0,$S419*$K419)</f>
        <v>415.00128781775592</v>
      </c>
      <c r="U419" s="85">
        <f>IF(B419="",0,IF(OR(H419=MappingTables!$C$34,H419=MappingTables!$C$35),T419,0))</f>
        <v>0</v>
      </c>
      <c r="V419" s="85">
        <f>IF(ISNA(IF(AND(VLOOKUP(CONCATENATE($D419,$G419),CSRFinput!$B:$E,4,0)=0,OR(H419=MappingTables!$C$34,H419=MappingTables!$C$35)),1,VLOOKUP(CONCATENATE($D419,$G419),CSRFinput!$B:$E,4,0))),0,IF(AND(VLOOKUP(CONCATENATE($D419,$G419),CSRFinput!$B:$E,4,0)=0,OR(H419=MappingTables!$C$34,H419=MappingTables!$C$35)),1,VLOOKUP(CONCATENATE($D419,$G419),CSRFinput!$B:$E,4,0)))</f>
        <v>0.054776304963434752</v>
      </c>
      <c r="W419" s="85">
        <f>IF(B419="",0,+$T419*$V419)</f>
        <v>22.73223710172356</v>
      </c>
      <c r="X419" s="85">
        <f>IF(B419="",0,IF(OR(H419=MappingTables!$C$34,H419=MappingTables!$C$35),W419,0))</f>
        <v>0</v>
      </c>
    </row>
    <row r="420" spans="2:24" s="0" customFormat="0" ht="15">
      <c r="B420" s="69">
        <v>20942440</v>
      </c>
      <c r="C420" s="70" t="s">
        <v>686</v>
      </c>
      <c r="D420" s="70" t="s">
        <v>1</v>
      </c>
      <c r="E420" s="70" t="s">
        <v>1</v>
      </c>
      <c r="F420" s="70"/>
      <c r="G420" s="70" t="s">
        <v>61</v>
      </c>
      <c r="H420" s="70" t="s">
        <v>178</v>
      </c>
      <c r="I420" s="70" t="s">
        <v>181</v>
      </c>
      <c r="J420" s="71">
        <f>IF(OR(I420=0,I420=""),"unrated",VLOOKUP(I420,MappingTables!$B$19:$C$31,2,FALSE))</f>
        <v>3</v>
      </c>
      <c r="K420" s="72">
        <v>34625.610052521464</v>
      </c>
      <c r="L420" s="70">
        <v>6.7999819673990504</v>
      </c>
      <c r="M420" s="71">
        <f>IF(L420&lt;1,1,L420)</f>
        <v>6.7999819673990504</v>
      </c>
      <c r="N420" s="70" t="s">
        <v>141</v>
      </c>
      <c r="O420" s="71">
        <f>INDEX(DurClassMapping,MATCH(M420,MappingTables!$D$4:$D$8,-1),1)</f>
        <v>2</v>
      </c>
      <c r="P420" s="73">
        <f>IF(M420=$A$1,1,$M420-INDEX(MappingTables!$E$4:$E$8,MATCH(O420,MappingTables!$B$4:$B$8,0)))</f>
        <v>1.7999819673990504</v>
      </c>
      <c r="Q420" s="71">
        <f>IF(B420="",0,INDEX(ModelParameters!$D$6:$K$10,MATCH($O420,ModelParameters!$B$6:$B$10,0),MATCH($J420,ModelParameters!$D$5:$K$5,0)))</f>
        <v>0.015</v>
      </c>
      <c r="R420" s="71">
        <f>IF(B420="",0,INDEX(ModelParameters!$D$13:$K$17,MATCH($O420,ModelParameters!$B$13:$B$17,0),MATCH($J420,ModelParameters!$D$5:$K$5,0)))</f>
        <v>0.125</v>
      </c>
      <c r="S420" s="160">
        <f>IF(B420="",0,MIN(IF($N420="Other Bond TM",ModelParameters!$N$21,1)*(P420*Q420+R420),1))</f>
        <v>0.15199972951098576</v>
      </c>
      <c r="T420" s="85">
        <f>IF(B420="",0,$S420*$K420)</f>
        <v>5263.083362136132</v>
      </c>
      <c r="U420" s="85">
        <f>IF(B420="",0,IF(OR(H420=MappingTables!$C$34,H420=MappingTables!$C$35),T420,0))</f>
        <v>0</v>
      </c>
      <c r="V420" s="85">
        <f>IF(ISNA(IF(AND(VLOOKUP(CONCATENATE($D420,$G420),CSRFinput!$B:$E,4,0)=0,OR(H420=MappingTables!$C$34,H420=MappingTables!$C$35)),1,VLOOKUP(CONCATENATE($D420,$G420),CSRFinput!$B:$E,4,0))),0,IF(AND(VLOOKUP(CONCATENATE($D420,$G420),CSRFinput!$B:$E,4,0)=0,OR(H420=MappingTables!$C$34,H420=MappingTables!$C$35)),1,VLOOKUP(CONCATENATE($D420,$G420),CSRFinput!$B:$E,4,0)))</f>
        <v>0.054776304963434752</v>
      </c>
      <c r="W420" s="85">
        <f>IF(B420="",0,+$T420*$V420)</f>
        <v>288.29225929234828</v>
      </c>
      <c r="X420" s="85">
        <f>IF(B420="",0,IF(OR(H420=MappingTables!$C$34,H420=MappingTables!$C$35),W420,0))</f>
        <v>0</v>
      </c>
    </row>
    <row r="421" spans="2:24" s="0" customFormat="0" ht="15">
      <c r="B421" s="69">
        <v>21237415</v>
      </c>
      <c r="C421" s="70" t="s">
        <v>687</v>
      </c>
      <c r="D421" s="70" t="s">
        <v>1</v>
      </c>
      <c r="E421" s="70" t="s">
        <v>1</v>
      </c>
      <c r="F421" s="70"/>
      <c r="G421" s="70" t="s">
        <v>61</v>
      </c>
      <c r="H421" s="70" t="s">
        <v>178</v>
      </c>
      <c r="I421" s="70" t="s">
        <v>181</v>
      </c>
      <c r="J421" s="71">
        <f>IF(OR(I421=0,I421=""),"unrated",VLOOKUP(I421,MappingTables!$B$19:$C$31,2,FALSE))</f>
        <v>3</v>
      </c>
      <c r="K421" s="72">
        <v>14325.918091401944</v>
      </c>
      <c r="L421" s="70">
        <v>2.8778517025682368</v>
      </c>
      <c r="M421" s="71">
        <f>IF(L421&lt;1,1,L421)</f>
        <v>2.8778517025682368</v>
      </c>
      <c r="N421" s="70" t="s">
        <v>141</v>
      </c>
      <c r="O421" s="71">
        <f>INDEX(DurClassMapping,MATCH(M421,MappingTables!$D$4:$D$8,-1),1)</f>
        <v>1</v>
      </c>
      <c r="P421" s="73">
        <f>IF(M421=$A$1,1,$M421-INDEX(MappingTables!$E$4:$E$8,MATCH(O421,MappingTables!$B$4:$B$8,0)))</f>
        <v>2.8778517025682368</v>
      </c>
      <c r="Q421" s="71">
        <f>IF(B421="",0,INDEX(ModelParameters!$D$6:$K$10,MATCH($O421,ModelParameters!$B$6:$B$10,0),MATCH($J421,ModelParameters!$D$5:$K$5,0)))</f>
        <v>0.025</v>
      </c>
      <c r="R421" s="71">
        <f>IF(B421="",0,INDEX(ModelParameters!$D$13:$K$17,MATCH($O421,ModelParameters!$B$13:$B$17,0),MATCH($J421,ModelParameters!$D$5:$K$5,0)))</f>
        <v>0</v>
      </c>
      <c r="S421" s="160">
        <f>IF(B421="",0,MIN(IF($N421="Other Bond TM",ModelParameters!$N$21,1)*(P421*Q421+R421),1))</f>
        <v>0.071946292564205912</v>
      </c>
      <c r="T421" s="85">
        <f>IF(B421="",0,$S421*$K421)</f>
        <v>1030.6966942548548</v>
      </c>
      <c r="U421" s="85">
        <f>IF(B421="",0,IF(OR(H421=MappingTables!$C$34,H421=MappingTables!$C$35),T421,0))</f>
        <v>0</v>
      </c>
      <c r="V421" s="85">
        <f>IF(ISNA(IF(AND(VLOOKUP(CONCATENATE($D421,$G421),CSRFinput!$B:$E,4,0)=0,OR(H421=MappingTables!$C$34,H421=MappingTables!$C$35)),1,VLOOKUP(CONCATENATE($D421,$G421),CSRFinput!$B:$E,4,0))),0,IF(AND(VLOOKUP(CONCATENATE($D421,$G421),CSRFinput!$B:$E,4,0)=0,OR(H421=MappingTables!$C$34,H421=MappingTables!$C$35)),1,VLOOKUP(CONCATENATE($D421,$G421),CSRFinput!$B:$E,4,0)))</f>
        <v>0.054776304963434752</v>
      </c>
      <c r="W421" s="85">
        <f>IF(B421="",0,+$T421*$V421)</f>
        <v>56.457756449307992</v>
      </c>
      <c r="X421" s="85">
        <f>IF(B421="",0,IF(OR(H421=MappingTables!$C$34,H421=MappingTables!$C$35),W421,0))</f>
        <v>0</v>
      </c>
    </row>
    <row r="422" spans="2:24" s="0" customFormat="0" ht="15">
      <c r="B422" s="69">
        <v>21007336</v>
      </c>
      <c r="C422" s="70" t="s">
        <v>688</v>
      </c>
      <c r="D422" s="70" t="s">
        <v>1</v>
      </c>
      <c r="E422" s="70" t="s">
        <v>1</v>
      </c>
      <c r="F422" s="70"/>
      <c r="G422" s="70" t="s">
        <v>61</v>
      </c>
      <c r="H422" s="70" t="s">
        <v>178</v>
      </c>
      <c r="I422" s="70" t="s">
        <v>181</v>
      </c>
      <c r="J422" s="71">
        <f>IF(OR(I422=0,I422=""),"unrated",VLOOKUP(I422,MappingTables!$B$19:$C$31,2,FALSE))</f>
        <v>3</v>
      </c>
      <c r="K422" s="72">
        <v>15422.45437140548</v>
      </c>
      <c r="L422" s="70">
        <v>13.427951623021128</v>
      </c>
      <c r="M422" s="71">
        <f>IF(L422&lt;1,1,L422)</f>
        <v>13.427951623021128</v>
      </c>
      <c r="N422" s="70" t="s">
        <v>141</v>
      </c>
      <c r="O422" s="71">
        <f>INDEX(DurClassMapping,MATCH(M422,MappingTables!$D$4:$D$8,-1),1)</f>
        <v>3</v>
      </c>
      <c r="P422" s="73">
        <f>IF(M422=$A$1,1,$M422-INDEX(MappingTables!$E$4:$E$8,MATCH(O422,MappingTables!$B$4:$B$8,0)))</f>
        <v>3.4279516230211284</v>
      </c>
      <c r="Q422" s="71">
        <f>IF(B422="",0,INDEX(ModelParameters!$D$6:$K$10,MATCH($O422,ModelParameters!$B$6:$B$10,0),MATCH($J422,ModelParameters!$D$5:$K$5,0)))</f>
        <v>0.01</v>
      </c>
      <c r="R422" s="71">
        <f>IF(B422="",0,INDEX(ModelParameters!$D$13:$K$17,MATCH($O422,ModelParameters!$B$13:$B$17,0),MATCH($J422,ModelParameters!$D$5:$K$5,0)))</f>
        <v>0.2</v>
      </c>
      <c r="S422" s="160">
        <f>IF(B422="",0,MIN(IF($N422="Other Bond TM",ModelParameters!$N$21,1)*(P422*Q422+R422),1))</f>
        <v>0.23427951623021128</v>
      </c>
      <c r="T422" s="85">
        <f>IF(B422="",0,$S422*$K422)</f>
        <v>3613.1651492153832</v>
      </c>
      <c r="U422" s="85">
        <f>IF(B422="",0,IF(OR(H422=MappingTables!$C$34,H422=MappingTables!$C$35),T422,0))</f>
        <v>0</v>
      </c>
      <c r="V422" s="85">
        <f>IF(ISNA(IF(AND(VLOOKUP(CONCATENATE($D422,$G422),CSRFinput!$B:$E,4,0)=0,OR(H422=MappingTables!$C$34,H422=MappingTables!$C$35)),1,VLOOKUP(CONCATENATE($D422,$G422),CSRFinput!$B:$E,4,0))),0,IF(AND(VLOOKUP(CONCATENATE($D422,$G422),CSRFinput!$B:$E,4,0)=0,OR(H422=MappingTables!$C$34,H422=MappingTables!$C$35)),1,VLOOKUP(CONCATENATE($D422,$G422),CSRFinput!$B:$E,4,0)))</f>
        <v>0.054776304963434752</v>
      </c>
      <c r="W422" s="85">
        <f>IF(B422="",0,+$T422*$V422)</f>
        <v>197.91583609667604</v>
      </c>
      <c r="X422" s="85">
        <f>IF(B422="",0,IF(OR(H422=MappingTables!$C$34,H422=MappingTables!$C$35),W422,0))</f>
        <v>0</v>
      </c>
    </row>
    <row r="423" spans="2:24" s="0" customFormat="0" ht="15">
      <c r="B423" s="69">
        <v>22251687</v>
      </c>
      <c r="C423" s="70" t="s">
        <v>689</v>
      </c>
      <c r="D423" s="70" t="s">
        <v>1</v>
      </c>
      <c r="E423" s="70" t="s">
        <v>1</v>
      </c>
      <c r="F423" s="70"/>
      <c r="G423" s="70" t="s">
        <v>61</v>
      </c>
      <c r="H423" s="70" t="s">
        <v>178</v>
      </c>
      <c r="I423" s="70" t="s">
        <v>198</v>
      </c>
      <c r="J423" s="71" t="str">
        <f>IF(OR(I423=0,I423=""),"unrated",VLOOKUP(I423,MappingTables!$B$19:$C$31,2,FALSE))</f>
        <v>unrated</v>
      </c>
      <c r="K423" s="72">
        <v>56.163884594847264</v>
      </c>
      <c r="L423" s="70">
        <v>4.0343633970703096</v>
      </c>
      <c r="M423" s="71">
        <f>IF(L423&lt;1,1,L423)</f>
        <v>4.0343633970703096</v>
      </c>
      <c r="N423" s="70" t="s">
        <v>141</v>
      </c>
      <c r="O423" s="71">
        <f>INDEX(DurClassMapping,MATCH(M423,MappingTables!$D$4:$D$8,-1),1)</f>
        <v>1</v>
      </c>
      <c r="P423" s="73">
        <f>IF(M423=$A$1,1,$M423-INDEX(MappingTables!$E$4:$E$8,MATCH(O423,MappingTables!$B$4:$B$8,0)))</f>
        <v>4.0343633970703096</v>
      </c>
      <c r="Q423" s="71">
        <f>IF(B423="",0,INDEX(ModelParameters!$D$6:$K$10,MATCH($O423,ModelParameters!$B$6:$B$10,0),MATCH($J423,ModelParameters!$D$5:$K$5,0)))</f>
        <v>0.03</v>
      </c>
      <c r="R423" s="71">
        <f>IF(B423="",0,INDEX(ModelParameters!$D$13:$K$17,MATCH($O423,ModelParameters!$B$13:$B$17,0),MATCH($J423,ModelParameters!$D$5:$K$5,0)))</f>
        <v>0</v>
      </c>
      <c r="S423" s="160">
        <f>IF(B423="",0,MIN(IF($N423="Other Bond TM",ModelParameters!$N$21,1)*(P423*Q423+R423),1))</f>
        <v>0.12103090191210928</v>
      </c>
      <c r="T423" s="85">
        <f>IF(B423="",0,$S423*$K423)</f>
        <v>6.797565607401984</v>
      </c>
      <c r="U423" s="85">
        <f>IF(B423="",0,IF(OR(H423=MappingTables!$C$34,H423=MappingTables!$C$35),T423,0))</f>
        <v>0</v>
      </c>
      <c r="V423" s="85">
        <f>IF(ISNA(IF(AND(VLOOKUP(CONCATENATE($D423,$G423),CSRFinput!$B:$E,4,0)=0,OR(H423=MappingTables!$C$34,H423=MappingTables!$C$35)),1,VLOOKUP(CONCATENATE($D423,$G423),CSRFinput!$B:$E,4,0))),0,IF(AND(VLOOKUP(CONCATENATE($D423,$G423),CSRFinput!$B:$E,4,0)=0,OR(H423=MappingTables!$C$34,H423=MappingTables!$C$35)),1,VLOOKUP(CONCATENATE($D423,$G423),CSRFinput!$B:$E,4,0)))</f>
        <v>0.054776304963434752</v>
      </c>
      <c r="W423" s="85">
        <f>IF(B423="",0,+$T423*$V423)</f>
        <v>0.37234552672000672</v>
      </c>
      <c r="X423" s="85">
        <f>IF(B423="",0,IF(OR(H423=MappingTables!$C$34,H423=MappingTables!$C$35),W423,0))</f>
        <v>0</v>
      </c>
    </row>
    <row r="424" spans="2:24" s="0" customFormat="0" ht="15">
      <c r="B424" s="69" t="s">
        <v>690</v>
      </c>
      <c r="C424" s="70" t="s">
        <v>691</v>
      </c>
      <c r="D424" s="70" t="s">
        <v>1</v>
      </c>
      <c r="E424" s="70" t="s">
        <v>1</v>
      </c>
      <c r="F424" s="70"/>
      <c r="G424" s="70" t="s">
        <v>61</v>
      </c>
      <c r="H424" s="70" t="s">
        <v>178</v>
      </c>
      <c r="I424" s="70" t="s">
        <v>181</v>
      </c>
      <c r="J424" s="71">
        <f>IF(OR(I424=0,I424=""),"unrated",VLOOKUP(I424,MappingTables!$B$19:$C$31,2,FALSE))</f>
        <v>3</v>
      </c>
      <c r="K424" s="72">
        <v>31614.188288817604</v>
      </c>
      <c r="L424" s="70">
        <v>5.5761315352354504</v>
      </c>
      <c r="M424" s="71">
        <f>IF(L424&lt;1,1,L424)</f>
        <v>5.5761315352354504</v>
      </c>
      <c r="N424" s="70" t="s">
        <v>141</v>
      </c>
      <c r="O424" s="71">
        <f>INDEX(DurClassMapping,MATCH(M424,MappingTables!$D$4:$D$8,-1),1)</f>
        <v>2</v>
      </c>
      <c r="P424" s="73">
        <f>IF(M424=$A$1,1,$M424-INDEX(MappingTables!$E$4:$E$8,MATCH(O424,MappingTables!$B$4:$B$8,0)))</f>
        <v>0.5761315352354508</v>
      </c>
      <c r="Q424" s="71">
        <f>IF(B424="",0,INDEX(ModelParameters!$D$6:$K$10,MATCH($O424,ModelParameters!$B$6:$B$10,0),MATCH($J424,ModelParameters!$D$5:$K$5,0)))</f>
        <v>0.015</v>
      </c>
      <c r="R424" s="71">
        <f>IF(B424="",0,INDEX(ModelParameters!$D$13:$K$17,MATCH($O424,ModelParameters!$B$13:$B$17,0),MATCH($J424,ModelParameters!$D$5:$K$5,0)))</f>
        <v>0.125</v>
      </c>
      <c r="S424" s="160">
        <f>IF(B424="",0,MIN(IF($N424="Other Bond TM",ModelParameters!$N$21,1)*(P424*Q424+R424),1))</f>
        <v>0.13364197302853176</v>
      </c>
      <c r="T424" s="85">
        <f>IF(B424="",0,$S424*$K424)</f>
        <v>4224.9824986130872</v>
      </c>
      <c r="U424" s="85">
        <f>IF(B424="",0,IF(OR(H424=MappingTables!$C$34,H424=MappingTables!$C$35),T424,0))</f>
        <v>0</v>
      </c>
      <c r="V424" s="85">
        <f>IF(ISNA(IF(AND(VLOOKUP(CONCATENATE($D424,$G424),CSRFinput!$B:$E,4,0)=0,OR(H424=MappingTables!$C$34,H424=MappingTables!$C$35)),1,VLOOKUP(CONCATENATE($D424,$G424),CSRFinput!$B:$E,4,0))),0,IF(AND(VLOOKUP(CONCATENATE($D424,$G424),CSRFinput!$B:$E,4,0)=0,OR(H424=MappingTables!$C$34,H424=MappingTables!$C$35)),1,VLOOKUP(CONCATENATE($D424,$G424),CSRFinput!$B:$E,4,0)))</f>
        <v>0.054776304963434752</v>
      </c>
      <c r="W424" s="85">
        <f>IF(B424="",0,+$T424*$V424)</f>
        <v>231.428929809205</v>
      </c>
      <c r="X424" s="85">
        <f>IF(B424="",0,IF(OR(H424=MappingTables!$C$34,H424=MappingTables!$C$35),W424,0))</f>
        <v>0</v>
      </c>
    </row>
    <row r="425" spans="2:24" s="0" customFormat="0" ht="15">
      <c r="B425" s="69">
        <v>17050704</v>
      </c>
      <c r="C425" s="70" t="s">
        <v>692</v>
      </c>
      <c r="D425" s="70" t="s">
        <v>1</v>
      </c>
      <c r="E425" s="70" t="s">
        <v>1</v>
      </c>
      <c r="F425" s="70"/>
      <c r="G425" s="70" t="s">
        <v>61</v>
      </c>
      <c r="H425" s="70" t="s">
        <v>178</v>
      </c>
      <c r="I425" s="70" t="s">
        <v>179</v>
      </c>
      <c r="J425" s="71">
        <f>IF(OR(I425=0,I425=""),"unrated",VLOOKUP(I425,MappingTables!$B$19:$C$31,2,FALSE))</f>
        <v>4</v>
      </c>
      <c r="K425" s="72">
        <v>2700.6460526641492</v>
      </c>
      <c r="L425" s="70">
        <v>3.188877884139188</v>
      </c>
      <c r="M425" s="71">
        <f>IF(L425&lt;1,1,L425)</f>
        <v>3.188877884139188</v>
      </c>
      <c r="N425" s="70" t="s">
        <v>141</v>
      </c>
      <c r="O425" s="71">
        <f>INDEX(DurClassMapping,MATCH(M425,MappingTables!$D$4:$D$8,-1),1)</f>
        <v>1</v>
      </c>
      <c r="P425" s="73">
        <f>IF(M425=$A$1,1,$M425-INDEX(MappingTables!$E$4:$E$8,MATCH(O425,MappingTables!$B$4:$B$8,0)))</f>
        <v>3.188877884139188</v>
      </c>
      <c r="Q425" s="71">
        <f>IF(B425="",0,INDEX(ModelParameters!$D$6:$K$10,MATCH($O425,ModelParameters!$B$6:$B$10,0),MATCH($J425,ModelParameters!$D$5:$K$5,0)))</f>
        <v>0.045</v>
      </c>
      <c r="R425" s="71">
        <f>IF(B425="",0,INDEX(ModelParameters!$D$13:$K$17,MATCH($O425,ModelParameters!$B$13:$B$17,0),MATCH($J425,ModelParameters!$D$5:$K$5,0)))</f>
        <v>0</v>
      </c>
      <c r="S425" s="160">
        <f>IF(B425="",0,MIN(IF($N425="Other Bond TM",ModelParameters!$N$21,1)*(P425*Q425+R425),1))</f>
        <v>0.14349950478626344</v>
      </c>
      <c r="T425" s="85">
        <f>IF(B425="",0,$S425*$K425)</f>
        <v>387.54137116028256</v>
      </c>
      <c r="U425" s="85">
        <f>IF(B425="",0,IF(OR(H425=MappingTables!$C$34,H425=MappingTables!$C$35),T425,0))</f>
        <v>0</v>
      </c>
      <c r="V425" s="85">
        <f>IF(ISNA(IF(AND(VLOOKUP(CONCATENATE($D425,$G425),CSRFinput!$B:$E,4,0)=0,OR(H425=MappingTables!$C$34,H425=MappingTables!$C$35)),1,VLOOKUP(CONCATENATE($D425,$G425),CSRFinput!$B:$E,4,0))),0,IF(AND(VLOOKUP(CONCATENATE($D425,$G425),CSRFinput!$B:$E,4,0)=0,OR(H425=MappingTables!$C$34,H425=MappingTables!$C$35)),1,VLOOKUP(CONCATENATE($D425,$G425),CSRFinput!$B:$E,4,0)))</f>
        <v>0.054776304963434752</v>
      </c>
      <c r="W425" s="85">
        <f>IF(B425="",0,+$T425*$V425)</f>
        <v>21.228084332623296</v>
      </c>
      <c r="X425" s="85">
        <f>IF(B425="",0,IF(OR(H425=MappingTables!$C$34,H425=MappingTables!$C$35),W425,0))</f>
        <v>0</v>
      </c>
    </row>
    <row r="426" spans="2:24" s="0" customFormat="0" ht="15">
      <c r="B426" s="69">
        <v>19639661</v>
      </c>
      <c r="C426" s="70" t="s">
        <v>693</v>
      </c>
      <c r="D426" s="70" t="s">
        <v>1</v>
      </c>
      <c r="E426" s="70" t="s">
        <v>1</v>
      </c>
      <c r="F426" s="70"/>
      <c r="G426" s="70" t="s">
        <v>61</v>
      </c>
      <c r="H426" s="70" t="s">
        <v>178</v>
      </c>
      <c r="I426" s="70" t="s">
        <v>204</v>
      </c>
      <c r="J426" s="71">
        <f>IF(OR(I426=0,I426=""),"unrated",VLOOKUP(I426,MappingTables!$B$19:$C$31,2,FALSE))</f>
        <v>6</v>
      </c>
      <c r="K426" s="72">
        <v>57073.136025814288</v>
      </c>
      <c r="L426" s="70">
        <v>3.4238837532823388</v>
      </c>
      <c r="M426" s="71">
        <f>IF(L426&lt;1,1,L426)</f>
        <v>3.4238837532823388</v>
      </c>
      <c r="N426" s="70" t="s">
        <v>141</v>
      </c>
      <c r="O426" s="71">
        <f>INDEX(DurClassMapping,MATCH(M426,MappingTables!$D$4:$D$8,-1),1)</f>
        <v>1</v>
      </c>
      <c r="P426" s="73">
        <f>IF(M426=$A$1,1,$M426-INDEX(MappingTables!$E$4:$E$8,MATCH(O426,MappingTables!$B$4:$B$8,0)))</f>
        <v>3.4238837532823388</v>
      </c>
      <c r="Q426" s="71">
        <f>IF(B426="",0,INDEX(ModelParameters!$D$6:$K$10,MATCH($O426,ModelParameters!$B$6:$B$10,0),MATCH($J426,ModelParameters!$D$5:$K$5,0)))</f>
        <v>0.075</v>
      </c>
      <c r="R426" s="71">
        <f>IF(B426="",0,INDEX(ModelParameters!$D$13:$K$17,MATCH($O426,ModelParameters!$B$13:$B$17,0),MATCH($J426,ModelParameters!$D$5:$K$5,0)))</f>
        <v>0</v>
      </c>
      <c r="S426" s="160">
        <f>IF(B426="",0,MIN(IF($N426="Other Bond TM",ModelParameters!$N$21,1)*(P426*Q426+R426),1))</f>
        <v>0.2567912814961754</v>
      </c>
      <c r="T426" s="85">
        <f>IF(B426="",0,$S426*$K426)</f>
        <v>14655.883739074386</v>
      </c>
      <c r="U426" s="85">
        <f>IF(B426="",0,IF(OR(H426=MappingTables!$C$34,H426=MappingTables!$C$35),T426,0))</f>
        <v>0</v>
      </c>
      <c r="V426" s="85">
        <f>IF(ISNA(IF(AND(VLOOKUP(CONCATENATE($D426,$G426),CSRFinput!$B:$E,4,0)=0,OR(H426=MappingTables!$C$34,H426=MappingTables!$C$35)),1,VLOOKUP(CONCATENATE($D426,$G426),CSRFinput!$B:$E,4,0))),0,IF(AND(VLOOKUP(CONCATENATE($D426,$G426),CSRFinput!$B:$E,4,0)=0,OR(H426=MappingTables!$C$34,H426=MappingTables!$C$35)),1,VLOOKUP(CONCATENATE($D426,$G426),CSRFinput!$B:$E,4,0)))</f>
        <v>0.054776304963434752</v>
      </c>
      <c r="W426" s="85">
        <f>IF(B426="",0,+$T426*$V426)</f>
        <v>802.79515720018304</v>
      </c>
      <c r="X426" s="85">
        <f>IF(B426="",0,IF(OR(H426=MappingTables!$C$34,H426=MappingTables!$C$35),W426,0))</f>
        <v>0</v>
      </c>
    </row>
    <row r="427" spans="2:24" s="0" customFormat="0" ht="15">
      <c r="B427" s="69">
        <v>23732708</v>
      </c>
      <c r="C427" s="70" t="s">
        <v>694</v>
      </c>
      <c r="D427" s="70" t="s">
        <v>1</v>
      </c>
      <c r="E427" s="70" t="s">
        <v>1</v>
      </c>
      <c r="F427" s="70"/>
      <c r="G427" s="70" t="s">
        <v>61</v>
      </c>
      <c r="H427" s="70" t="s">
        <v>178</v>
      </c>
      <c r="I427" s="70" t="s">
        <v>179</v>
      </c>
      <c r="J427" s="71">
        <f>IF(OR(I427=0,I427=""),"unrated",VLOOKUP(I427,MappingTables!$B$19:$C$31,2,FALSE))</f>
        <v>4</v>
      </c>
      <c r="K427" s="72">
        <v>20839.184474593732</v>
      </c>
      <c r="L427" s="70">
        <v>2.4376170640354872</v>
      </c>
      <c r="M427" s="71">
        <f>IF(L427&lt;1,1,L427)</f>
        <v>2.4376170640354872</v>
      </c>
      <c r="N427" s="70" t="s">
        <v>141</v>
      </c>
      <c r="O427" s="71">
        <f>INDEX(DurClassMapping,MATCH(M427,MappingTables!$D$4:$D$8,-1),1)</f>
        <v>1</v>
      </c>
      <c r="P427" s="73">
        <f>IF(M427=$A$1,1,$M427-INDEX(MappingTables!$E$4:$E$8,MATCH(O427,MappingTables!$B$4:$B$8,0)))</f>
        <v>2.4376170640354872</v>
      </c>
      <c r="Q427" s="71">
        <f>IF(B427="",0,INDEX(ModelParameters!$D$6:$K$10,MATCH($O427,ModelParameters!$B$6:$B$10,0),MATCH($J427,ModelParameters!$D$5:$K$5,0)))</f>
        <v>0.045</v>
      </c>
      <c r="R427" s="71">
        <f>IF(B427="",0,INDEX(ModelParameters!$D$13:$K$17,MATCH($O427,ModelParameters!$B$13:$B$17,0),MATCH($J427,ModelParameters!$D$5:$K$5,0)))</f>
        <v>0</v>
      </c>
      <c r="S427" s="160">
        <f>IF(B427="",0,MIN(IF($N427="Other Bond TM",ModelParameters!$N$21,1)*(P427*Q427+R427),1))</f>
        <v>0.10969276788159692</v>
      </c>
      <c r="T427" s="85">
        <f>IF(B427="",0,$S427*$K427)</f>
        <v>2285.9078254133884</v>
      </c>
      <c r="U427" s="85">
        <f>IF(B427="",0,IF(OR(H427=MappingTables!$C$34,H427=MappingTables!$C$35),T427,0))</f>
        <v>0</v>
      </c>
      <c r="V427" s="85">
        <f>IF(ISNA(IF(AND(VLOOKUP(CONCATENATE($D427,$G427),CSRFinput!$B:$E,4,0)=0,OR(H427=MappingTables!$C$34,H427=MappingTables!$C$35)),1,VLOOKUP(CONCATENATE($D427,$G427),CSRFinput!$B:$E,4,0))),0,IF(AND(VLOOKUP(CONCATENATE($D427,$G427),CSRFinput!$B:$E,4,0)=0,OR(H427=MappingTables!$C$34,H427=MappingTables!$C$35)),1,VLOOKUP(CONCATENATE($D427,$G427),CSRFinput!$B:$E,4,0)))</f>
        <v>0.054776304963434752</v>
      </c>
      <c r="W427" s="85">
        <f>IF(B427="",0,+$T427*$V427)</f>
        <v>125.21358416314572</v>
      </c>
      <c r="X427" s="85">
        <f>IF(B427="",0,IF(OR(H427=MappingTables!$C$34,H427=MappingTables!$C$35),W427,0))</f>
        <v>0</v>
      </c>
    </row>
    <row r="428" spans="2:24" s="0" customFormat="0" ht="15">
      <c r="B428" s="69">
        <v>3393246</v>
      </c>
      <c r="C428" s="70" t="s">
        <v>695</v>
      </c>
      <c r="D428" s="70" t="s">
        <v>1</v>
      </c>
      <c r="E428" s="70" t="s">
        <v>1</v>
      </c>
      <c r="F428" s="70"/>
      <c r="G428" s="70" t="s">
        <v>61</v>
      </c>
      <c r="H428" s="70" t="s">
        <v>178</v>
      </c>
      <c r="I428" s="70" t="s">
        <v>220</v>
      </c>
      <c r="J428" s="71">
        <f>IF(OR(I428=0,I428=""),"unrated",VLOOKUP(I428,MappingTables!$B$19:$C$31,2,FALSE))</f>
        <v>1</v>
      </c>
      <c r="K428" s="72">
        <v>106.87436368469046</v>
      </c>
      <c r="L428" s="70">
        <v>0.12876649678846524</v>
      </c>
      <c r="M428" s="71">
        <f>IF(L428&lt;1,1,L428)</f>
        <v>1</v>
      </c>
      <c r="N428" s="70" t="s">
        <v>141</v>
      </c>
      <c r="O428" s="71">
        <f>INDEX(DurClassMapping,MATCH(M428,MappingTables!$D$4:$D$8,-1),1)</f>
        <v>1</v>
      </c>
      <c r="P428" s="73">
        <f>IF(M428=$A$1,1,$M428-INDEX(MappingTables!$E$4:$E$8,MATCH(O428,MappingTables!$B$4:$B$8,0)))</f>
        <v>1</v>
      </c>
      <c r="Q428" s="71">
        <f>IF(B428="",0,INDEX(ModelParameters!$D$6:$K$10,MATCH($O428,ModelParameters!$B$6:$B$10,0),MATCH($J428,ModelParameters!$D$5:$K$5,0)))</f>
        <v>0.011000000000000002</v>
      </c>
      <c r="R428" s="71">
        <f>IF(B428="",0,INDEX(ModelParameters!$D$13:$K$17,MATCH($O428,ModelParameters!$B$13:$B$17,0),MATCH($J428,ModelParameters!$D$5:$K$5,0)))</f>
        <v>0</v>
      </c>
      <c r="S428" s="160">
        <f>IF(B428="",0,MIN(IF($N428="Other Bond TM",ModelParameters!$N$21,1)*(P428*Q428+R428),1))</f>
        <v>0.011000000000000002</v>
      </c>
      <c r="T428" s="85">
        <f>IF(B428="",0,$S428*$K428)</f>
        <v>1.1756180005315952</v>
      </c>
      <c r="U428" s="85">
        <f>IF(B428="",0,IF(OR(H428=MappingTables!$C$34,H428=MappingTables!$C$35),T428,0))</f>
        <v>0</v>
      </c>
      <c r="V428" s="85">
        <f>IF(ISNA(IF(AND(VLOOKUP(CONCATENATE($D428,$G428),CSRFinput!$B:$E,4,0)=0,OR(H428=MappingTables!$C$34,H428=MappingTables!$C$35)),1,VLOOKUP(CONCATENATE($D428,$G428),CSRFinput!$B:$E,4,0))),0,IF(AND(VLOOKUP(CONCATENATE($D428,$G428),CSRFinput!$B:$E,4,0)=0,OR(H428=MappingTables!$C$34,H428=MappingTables!$C$35)),1,VLOOKUP(CONCATENATE($D428,$G428),CSRFinput!$B:$E,4,0)))</f>
        <v>0.054776304963434752</v>
      </c>
      <c r="W428" s="85">
        <f>IF(B428="",0,+$T428*$V428)</f>
        <v>0.064396010117622072</v>
      </c>
      <c r="X428" s="85">
        <f>IF(B428="",0,IF(OR(H428=MappingTables!$C$34,H428=MappingTables!$C$35),W428,0))</f>
        <v>0</v>
      </c>
    </row>
    <row r="429" spans="2:24" s="0" customFormat="0" ht="15">
      <c r="B429" s="69">
        <v>11841708</v>
      </c>
      <c r="C429" s="70" t="s">
        <v>696</v>
      </c>
      <c r="D429" s="70" t="s">
        <v>1</v>
      </c>
      <c r="E429" s="70" t="s">
        <v>1</v>
      </c>
      <c r="F429" s="70"/>
      <c r="G429" s="70" t="s">
        <v>61</v>
      </c>
      <c r="H429" s="70" t="s">
        <v>178</v>
      </c>
      <c r="I429" s="70" t="s">
        <v>181</v>
      </c>
      <c r="J429" s="71">
        <f>IF(OR(I429=0,I429=""),"unrated",VLOOKUP(I429,MappingTables!$B$19:$C$31,2,FALSE))</f>
        <v>3</v>
      </c>
      <c r="K429" s="72">
        <v>4238.4932005805512</v>
      </c>
      <c r="L429" s="70">
        <v>0.22191559585353036</v>
      </c>
      <c r="M429" s="71">
        <f>IF(L429&lt;1,1,L429)</f>
        <v>1</v>
      </c>
      <c r="N429" s="70" t="s">
        <v>141</v>
      </c>
      <c r="O429" s="71">
        <f>INDEX(DurClassMapping,MATCH(M429,MappingTables!$D$4:$D$8,-1),1)</f>
        <v>1</v>
      </c>
      <c r="P429" s="73">
        <f>IF(M429=$A$1,1,$M429-INDEX(MappingTables!$E$4:$E$8,MATCH(O429,MappingTables!$B$4:$B$8,0)))</f>
        <v>1</v>
      </c>
      <c r="Q429" s="71">
        <f>IF(B429="",0,INDEX(ModelParameters!$D$6:$K$10,MATCH($O429,ModelParameters!$B$6:$B$10,0),MATCH($J429,ModelParameters!$D$5:$K$5,0)))</f>
        <v>0.025</v>
      </c>
      <c r="R429" s="71">
        <f>IF(B429="",0,INDEX(ModelParameters!$D$13:$K$17,MATCH($O429,ModelParameters!$B$13:$B$17,0),MATCH($J429,ModelParameters!$D$5:$K$5,0)))</f>
        <v>0</v>
      </c>
      <c r="S429" s="160">
        <f>IF(B429="",0,MIN(IF($N429="Other Bond TM",ModelParameters!$N$21,1)*(P429*Q429+R429),1))</f>
        <v>0.025</v>
      </c>
      <c r="T429" s="85">
        <f>IF(B429="",0,$S429*$K429)</f>
        <v>105.96233001451378</v>
      </c>
      <c r="U429" s="85">
        <f>IF(B429="",0,IF(OR(H429=MappingTables!$C$34,H429=MappingTables!$C$35),T429,0))</f>
        <v>0</v>
      </c>
      <c r="V429" s="85">
        <f>IF(ISNA(IF(AND(VLOOKUP(CONCATENATE($D429,$G429),CSRFinput!$B:$E,4,0)=0,OR(H429=MappingTables!$C$34,H429=MappingTables!$C$35)),1,VLOOKUP(CONCATENATE($D429,$G429),CSRFinput!$B:$E,4,0))),0,IF(AND(VLOOKUP(CONCATENATE($D429,$G429),CSRFinput!$B:$E,4,0)=0,OR(H429=MappingTables!$C$34,H429=MappingTables!$C$35)),1,VLOOKUP(CONCATENATE($D429,$G429),CSRFinput!$B:$E,4,0)))</f>
        <v>0.054776304963434752</v>
      </c>
      <c r="W429" s="85">
        <f>IF(B429="",0,+$T429*$V429)</f>
        <v>5.8042249035111224</v>
      </c>
      <c r="X429" s="85">
        <f>IF(B429="",0,IF(OR(H429=MappingTables!$C$34,H429=MappingTables!$C$35),W429,0))</f>
        <v>0</v>
      </c>
    </row>
    <row r="430" spans="2:24" s="0" customFormat="0" ht="15">
      <c r="B430" s="69" t="s">
        <v>697</v>
      </c>
      <c r="C430" s="70" t="s">
        <v>698</v>
      </c>
      <c r="D430" s="70" t="s">
        <v>1</v>
      </c>
      <c r="E430" s="70" t="s">
        <v>1</v>
      </c>
      <c r="F430" s="70"/>
      <c r="G430" s="70" t="s">
        <v>61</v>
      </c>
      <c r="H430" s="70" t="s">
        <v>178</v>
      </c>
      <c r="I430" s="70" t="s">
        <v>198</v>
      </c>
      <c r="J430" s="71" t="str">
        <f>IF(OR(I430=0,I430=""),"unrated",VLOOKUP(I430,MappingTables!$B$19:$C$31,2,FALSE))</f>
        <v>unrated</v>
      </c>
      <c r="K430" s="72">
        <v>1.0312745522049072</v>
      </c>
      <c r="L430" s="70">
        <v>2.1078892538647948</v>
      </c>
      <c r="M430" s="71">
        <f>IF(L430&lt;1,1,L430)</f>
        <v>2.1078892538647948</v>
      </c>
      <c r="N430" s="70" t="s">
        <v>141</v>
      </c>
      <c r="O430" s="71">
        <f>INDEX(DurClassMapping,MATCH(M430,MappingTables!$D$4:$D$8,-1),1)</f>
        <v>1</v>
      </c>
      <c r="P430" s="73">
        <f>IF(M430=$A$1,1,$M430-INDEX(MappingTables!$E$4:$E$8,MATCH(O430,MappingTables!$B$4:$B$8,0)))</f>
        <v>2.1078892538647948</v>
      </c>
      <c r="Q430" s="71">
        <f>IF(B430="",0,INDEX(ModelParameters!$D$6:$K$10,MATCH($O430,ModelParameters!$B$6:$B$10,0),MATCH($J430,ModelParameters!$D$5:$K$5,0)))</f>
        <v>0.03</v>
      </c>
      <c r="R430" s="71">
        <f>IF(B430="",0,INDEX(ModelParameters!$D$13:$K$17,MATCH($O430,ModelParameters!$B$13:$B$17,0),MATCH($J430,ModelParameters!$D$5:$K$5,0)))</f>
        <v>0</v>
      </c>
      <c r="S430" s="160">
        <f>IF(B430="",0,MIN(IF($N430="Other Bond TM",ModelParameters!$N$21,1)*(P430*Q430+R430),1))</f>
        <v>0.06323667761594384</v>
      </c>
      <c r="T430" s="85">
        <f>IF(B430="",0,$S430*$K430)</f>
        <v>0.06521437639130856</v>
      </c>
      <c r="U430" s="85">
        <f>IF(B430="",0,IF(OR(H430=MappingTables!$C$34,H430=MappingTables!$C$35),T430,0))</f>
        <v>0</v>
      </c>
      <c r="V430" s="85">
        <f>IF(ISNA(IF(AND(VLOOKUP(CONCATENATE($D430,$G430),CSRFinput!$B:$E,4,0)=0,OR(H430=MappingTables!$C$34,H430=MappingTables!$C$35)),1,VLOOKUP(CONCATENATE($D430,$G430),CSRFinput!$B:$E,4,0))),0,IF(AND(VLOOKUP(CONCATENATE($D430,$G430),CSRFinput!$B:$E,4,0)=0,OR(H430=MappingTables!$C$34,H430=MappingTables!$C$35)),1,VLOOKUP(CONCATENATE($D430,$G430),CSRFinput!$B:$E,4,0)))</f>
        <v>0.054776304963434752</v>
      </c>
      <c r="W430" s="85">
        <f>IF(B430="",0,+$T430*$V430)</f>
        <v>0.0035722025692105372</v>
      </c>
      <c r="X430" s="85">
        <f>IF(B430="",0,IF(OR(H430=MappingTables!$C$34,H430=MappingTables!$C$35),W430,0))</f>
        <v>0</v>
      </c>
    </row>
    <row r="431" spans="2:24" s="0" customFormat="0" ht="15">
      <c r="B431" s="69">
        <v>11401432</v>
      </c>
      <c r="C431" s="70" t="s">
        <v>699</v>
      </c>
      <c r="D431" s="70" t="s">
        <v>1</v>
      </c>
      <c r="E431" s="70" t="s">
        <v>1</v>
      </c>
      <c r="F431" s="70"/>
      <c r="G431" s="70" t="s">
        <v>61</v>
      </c>
      <c r="H431" s="70" t="s">
        <v>178</v>
      </c>
      <c r="I431" s="70" t="s">
        <v>188</v>
      </c>
      <c r="J431" s="71">
        <f>IF(OR(I431=0,I431=""),"unrated",VLOOKUP(I431,MappingTables!$B$19:$C$31,2,FALSE))</f>
        <v>2</v>
      </c>
      <c r="K431" s="72">
        <v>5557.9695836888008</v>
      </c>
      <c r="L431" s="70">
        <v>1.0767677257071238</v>
      </c>
      <c r="M431" s="71">
        <f>IF(L431&lt;1,1,L431)</f>
        <v>1.0767677257071238</v>
      </c>
      <c r="N431" s="70" t="s">
        <v>141</v>
      </c>
      <c r="O431" s="71">
        <f>INDEX(DurClassMapping,MATCH(M431,MappingTables!$D$4:$D$8,-1),1)</f>
        <v>1</v>
      </c>
      <c r="P431" s="73">
        <f>IF(M431=$A$1,1,$M431-INDEX(MappingTables!$E$4:$E$8,MATCH(O431,MappingTables!$B$4:$B$8,0)))</f>
        <v>1.0767677257071238</v>
      </c>
      <c r="Q431" s="71">
        <f>IF(B431="",0,INDEX(ModelParameters!$D$6:$K$10,MATCH($O431,ModelParameters!$B$6:$B$10,0),MATCH($J431,ModelParameters!$D$5:$K$5,0)))</f>
        <v>0.013999999999999998</v>
      </c>
      <c r="R431" s="71">
        <f>IF(B431="",0,INDEX(ModelParameters!$D$13:$K$17,MATCH($O431,ModelParameters!$B$13:$B$17,0),MATCH($J431,ModelParameters!$D$5:$K$5,0)))</f>
        <v>0</v>
      </c>
      <c r="S431" s="160">
        <f>IF(B431="",0,MIN(IF($N431="Other Bond TM",ModelParameters!$N$21,1)*(P431*Q431+R431),1))</f>
        <v>0.015074748159899732</v>
      </c>
      <c r="T431" s="85">
        <f>IF(B431="",0,$S431*$K431)</f>
        <v>83.784991754491408</v>
      </c>
      <c r="U431" s="85">
        <f>IF(B431="",0,IF(OR(H431=MappingTables!$C$34,H431=MappingTables!$C$35),T431,0))</f>
        <v>0</v>
      </c>
      <c r="V431" s="85">
        <f>IF(ISNA(IF(AND(VLOOKUP(CONCATENATE($D431,$G431),CSRFinput!$B:$E,4,0)=0,OR(H431=MappingTables!$C$34,H431=MappingTables!$C$35)),1,VLOOKUP(CONCATENATE($D431,$G431),CSRFinput!$B:$E,4,0))),0,IF(AND(VLOOKUP(CONCATENATE($D431,$G431),CSRFinput!$B:$E,4,0)=0,OR(H431=MappingTables!$C$34,H431=MappingTables!$C$35)),1,VLOOKUP(CONCATENATE($D431,$G431),CSRFinput!$B:$E,4,0)))</f>
        <v>0.054776304963434752</v>
      </c>
      <c r="W431" s="85">
        <f>IF(B431="",0,+$T431*$V431)</f>
        <v>4.589432259702888</v>
      </c>
      <c r="X431" s="85">
        <f>IF(B431="",0,IF(OR(H431=MappingTables!$C$34,H431=MappingTables!$C$35),W431,0))</f>
        <v>0</v>
      </c>
    </row>
    <row r="432" spans="2:24" s="0" customFormat="0" ht="15">
      <c r="B432" s="69">
        <v>2687393</v>
      </c>
      <c r="C432" s="70" t="s">
        <v>430</v>
      </c>
      <c r="D432" s="70" t="s">
        <v>1</v>
      </c>
      <c r="E432" s="70" t="s">
        <v>1</v>
      </c>
      <c r="F432" s="70"/>
      <c r="G432" s="70" t="s">
        <v>61</v>
      </c>
      <c r="H432" s="70" t="s">
        <v>178</v>
      </c>
      <c r="I432" s="70" t="s">
        <v>188</v>
      </c>
      <c r="J432" s="71">
        <f>IF(OR(I432=0,I432=""),"unrated",VLOOKUP(I432,MappingTables!$B$19:$C$31,2,FALSE))</f>
        <v>2</v>
      </c>
      <c r="K432" s="72">
        <v>6576.7259243867872</v>
      </c>
      <c r="L432" s="70">
        <v>15.168285659247158</v>
      </c>
      <c r="M432" s="71">
        <f>IF(L432&lt;1,1,L432)</f>
        <v>15.168285659247158</v>
      </c>
      <c r="N432" s="70" t="s">
        <v>141</v>
      </c>
      <c r="O432" s="71">
        <f>INDEX(DurClassMapping,MATCH(M432,MappingTables!$D$4:$D$8,-1),1)</f>
        <v>4</v>
      </c>
      <c r="P432" s="73">
        <f>IF(M432=$A$1,1,$M432-INDEX(MappingTables!$E$4:$E$8,MATCH(O432,MappingTables!$B$4:$B$8,0)))</f>
        <v>0.16828565924715732</v>
      </c>
      <c r="Q432" s="71">
        <f>IF(B432="",0,INDEX(ModelParameters!$D$6:$K$10,MATCH($O432,ModelParameters!$B$6:$B$10,0),MATCH($J432,ModelParameters!$D$5:$K$5,0)))</f>
        <v>0.005</v>
      </c>
      <c r="R432" s="71">
        <f>IF(B432="",0,INDEX(ModelParameters!$D$13:$K$17,MATCH($O432,ModelParameters!$B$13:$B$17,0),MATCH($J432,ModelParameters!$D$5:$K$5,0)))</f>
        <v>0.13</v>
      </c>
      <c r="S432" s="160">
        <f>IF(B432="",0,MIN(IF($N432="Other Bond TM",ModelParameters!$N$21,1)*(P432*Q432+R432),1))</f>
        <v>0.1308414282962358</v>
      </c>
      <c r="T432" s="85">
        <f>IF(B432="",0,$S432*$K432)</f>
        <v>860.50821345964896</v>
      </c>
      <c r="U432" s="85">
        <f>IF(B432="",0,IF(OR(H432=MappingTables!$C$34,H432=MappingTables!$C$35),T432,0))</f>
        <v>0</v>
      </c>
      <c r="V432" s="85">
        <f>IF(ISNA(IF(AND(VLOOKUP(CONCATENATE($D432,$G432),CSRFinput!$B:$E,4,0)=0,OR(H432=MappingTables!$C$34,H432=MappingTables!$C$35)),1,VLOOKUP(CONCATENATE($D432,$G432),CSRFinput!$B:$E,4,0))),0,IF(AND(VLOOKUP(CONCATENATE($D432,$G432),CSRFinput!$B:$E,4,0)=0,OR(H432=MappingTables!$C$34,H432=MappingTables!$C$35)),1,VLOOKUP(CONCATENATE($D432,$G432),CSRFinput!$B:$E,4,0)))</f>
        <v>0.054776304963434752</v>
      </c>
      <c r="W432" s="85">
        <f>IF(B432="",0,+$T432*$V432)</f>
        <v>47.135460324006136</v>
      </c>
      <c r="X432" s="85">
        <f>IF(B432="",0,IF(OR(H432=MappingTables!$C$34,H432=MappingTables!$C$35),W432,0))</f>
        <v>0</v>
      </c>
    </row>
    <row r="433" spans="2:24" s="0" customFormat="0" ht="15">
      <c r="B433" s="69" t="s">
        <v>700</v>
      </c>
      <c r="C433" s="70" t="s">
        <v>701</v>
      </c>
      <c r="D433" s="70" t="s">
        <v>1</v>
      </c>
      <c r="E433" s="70" t="s">
        <v>1</v>
      </c>
      <c r="F433" s="70"/>
      <c r="G433" s="70" t="s">
        <v>61</v>
      </c>
      <c r="H433" s="70" t="s">
        <v>178</v>
      </c>
      <c r="I433" s="70" t="s">
        <v>181</v>
      </c>
      <c r="J433" s="71">
        <f>IF(OR(I433=0,I433=""),"unrated",VLOOKUP(I433,MappingTables!$B$19:$C$31,2,FALSE))</f>
        <v>3</v>
      </c>
      <c r="K433" s="72">
        <v>15.499521052281</v>
      </c>
      <c r="L433" s="70">
        <v>1.9277699024282896</v>
      </c>
      <c r="M433" s="71">
        <f>IF(L433&lt;1,1,L433)</f>
        <v>1.9277699024282896</v>
      </c>
      <c r="N433" s="70" t="s">
        <v>141</v>
      </c>
      <c r="O433" s="71">
        <f>INDEX(DurClassMapping,MATCH(M433,MappingTables!$D$4:$D$8,-1),1)</f>
        <v>1</v>
      </c>
      <c r="P433" s="73">
        <f>IF(M433=$A$1,1,$M433-INDEX(MappingTables!$E$4:$E$8,MATCH(O433,MappingTables!$B$4:$B$8,0)))</f>
        <v>1.9277699024282896</v>
      </c>
      <c r="Q433" s="71">
        <f>IF(B433="",0,INDEX(ModelParameters!$D$6:$K$10,MATCH($O433,ModelParameters!$B$6:$B$10,0),MATCH($J433,ModelParameters!$D$5:$K$5,0)))</f>
        <v>0.025</v>
      </c>
      <c r="R433" s="71">
        <f>IF(B433="",0,INDEX(ModelParameters!$D$13:$K$17,MATCH($O433,ModelParameters!$B$13:$B$17,0),MATCH($J433,ModelParameters!$D$5:$K$5,0)))</f>
        <v>0</v>
      </c>
      <c r="S433" s="160">
        <f>IF(B433="",0,MIN(IF($N433="Other Bond TM",ModelParameters!$N$21,1)*(P433*Q433+R433),1))</f>
        <v>0.048194247560707248</v>
      </c>
      <c r="T433" s="85">
        <f>IF(B433="",0,$S433*$K433)</f>
        <v>0.74698775466602416</v>
      </c>
      <c r="U433" s="85">
        <f>IF(B433="",0,IF(OR(H433=MappingTables!$C$34,H433=MappingTables!$C$35),T433,0))</f>
        <v>0</v>
      </c>
      <c r="V433" s="85">
        <f>IF(ISNA(IF(AND(VLOOKUP(CONCATENATE($D433,$G433),CSRFinput!$B:$E,4,0)=0,OR(H433=MappingTables!$C$34,H433=MappingTables!$C$35)),1,VLOOKUP(CONCATENATE($D433,$G433),CSRFinput!$B:$E,4,0))),0,IF(AND(VLOOKUP(CONCATENATE($D433,$G433),CSRFinput!$B:$E,4,0)=0,OR(H433=MappingTables!$C$34,H433=MappingTables!$C$35)),1,VLOOKUP(CONCATENATE($D433,$G433),CSRFinput!$B:$E,4,0)))</f>
        <v>0.054776304963434752</v>
      </c>
      <c r="W433" s="85">
        <f>IF(B433="",0,+$T433*$V433)</f>
        <v>0.04091722905353752</v>
      </c>
      <c r="X433" s="85">
        <f>IF(B433="",0,IF(OR(H433=MappingTables!$C$34,H433=MappingTables!$C$35),W433,0))</f>
        <v>0</v>
      </c>
    </row>
    <row r="434" spans="2:24" s="0" customFormat="0" ht="15">
      <c r="B434" s="69">
        <v>11911959</v>
      </c>
      <c r="C434" s="70" t="s">
        <v>702</v>
      </c>
      <c r="D434" s="70" t="s">
        <v>1</v>
      </c>
      <c r="E434" s="70" t="s">
        <v>1</v>
      </c>
      <c r="F434" s="70"/>
      <c r="G434" s="70" t="s">
        <v>61</v>
      </c>
      <c r="H434" s="70" t="s">
        <v>178</v>
      </c>
      <c r="I434" s="70" t="s">
        <v>188</v>
      </c>
      <c r="J434" s="71">
        <f>IF(OR(I434=0,I434=""),"unrated",VLOOKUP(I434,MappingTables!$B$19:$C$31,2,FALSE))</f>
        <v>2</v>
      </c>
      <c r="K434" s="72">
        <v>60.911459300845992</v>
      </c>
      <c r="L434" s="70">
        <v>0.30602975088277008</v>
      </c>
      <c r="M434" s="71">
        <f>IF(L434&lt;1,1,L434)</f>
        <v>1</v>
      </c>
      <c r="N434" s="70" t="s">
        <v>141</v>
      </c>
      <c r="O434" s="71">
        <f>INDEX(DurClassMapping,MATCH(M434,MappingTables!$D$4:$D$8,-1),1)</f>
        <v>1</v>
      </c>
      <c r="P434" s="73">
        <f>IF(M434=$A$1,1,$M434-INDEX(MappingTables!$E$4:$E$8,MATCH(O434,MappingTables!$B$4:$B$8,0)))</f>
        <v>1</v>
      </c>
      <c r="Q434" s="71">
        <f>IF(B434="",0,INDEX(ModelParameters!$D$6:$K$10,MATCH($O434,ModelParameters!$B$6:$B$10,0),MATCH($J434,ModelParameters!$D$5:$K$5,0)))</f>
        <v>0.013999999999999998</v>
      </c>
      <c r="R434" s="71">
        <f>IF(B434="",0,INDEX(ModelParameters!$D$13:$K$17,MATCH($O434,ModelParameters!$B$13:$B$17,0),MATCH($J434,ModelParameters!$D$5:$K$5,0)))</f>
        <v>0</v>
      </c>
      <c r="S434" s="160">
        <f>IF(B434="",0,MIN(IF($N434="Other Bond TM",ModelParameters!$N$21,1)*(P434*Q434+R434),1))</f>
        <v>0.013999999999999998</v>
      </c>
      <c r="T434" s="85">
        <f>IF(B434="",0,$S434*$K434)</f>
        <v>0.85276043021184384</v>
      </c>
      <c r="U434" s="85">
        <f>IF(B434="",0,IF(OR(H434=MappingTables!$C$34,H434=MappingTables!$C$35),T434,0))</f>
        <v>0</v>
      </c>
      <c r="V434" s="85">
        <f>IF(ISNA(IF(AND(VLOOKUP(CONCATENATE($D434,$G434),CSRFinput!$B:$E,4,0)=0,OR(H434=MappingTables!$C$34,H434=MappingTables!$C$35)),1,VLOOKUP(CONCATENATE($D434,$G434),CSRFinput!$B:$E,4,0))),0,IF(AND(VLOOKUP(CONCATENATE($D434,$G434),CSRFinput!$B:$E,4,0)=0,OR(H434=MappingTables!$C$34,H434=MappingTables!$C$35)),1,VLOOKUP(CONCATENATE($D434,$G434),CSRFinput!$B:$E,4,0)))</f>
        <v>0.054776304963434752</v>
      </c>
      <c r="W434" s="85">
        <f>IF(B434="",0,+$T434*$V434)</f>
        <v>0.046711065386033776</v>
      </c>
      <c r="X434" s="85">
        <f>IF(B434="",0,IF(OR(H434=MappingTables!$C$34,H434=MappingTables!$C$35),W434,0))</f>
        <v>0</v>
      </c>
    </row>
    <row r="435" spans="2:24" s="0" customFormat="0" ht="15">
      <c r="B435" s="69">
        <v>23207363</v>
      </c>
      <c r="C435" s="70" t="s">
        <v>703</v>
      </c>
      <c r="D435" s="70" t="s">
        <v>1</v>
      </c>
      <c r="E435" s="70" t="s">
        <v>1</v>
      </c>
      <c r="F435" s="70"/>
      <c r="G435" s="70" t="s">
        <v>61</v>
      </c>
      <c r="H435" s="70" t="s">
        <v>178</v>
      </c>
      <c r="I435" s="70" t="s">
        <v>184</v>
      </c>
      <c r="J435" s="71">
        <f>IF(OR(I435=0,I435=""),"unrated",VLOOKUP(I435,MappingTables!$B$19:$C$31,2,FALSE))</f>
        <v>5</v>
      </c>
      <c r="K435" s="72">
        <v>75.022364140965584</v>
      </c>
      <c r="L435" s="70">
        <v>1.2913750594598988</v>
      </c>
      <c r="M435" s="71">
        <f>IF(L435&lt;1,1,L435)</f>
        <v>1.2913750594598988</v>
      </c>
      <c r="N435" s="70" t="s">
        <v>141</v>
      </c>
      <c r="O435" s="71">
        <f>INDEX(DurClassMapping,MATCH(M435,MappingTables!$D$4:$D$8,-1),1)</f>
        <v>1</v>
      </c>
      <c r="P435" s="73">
        <f>IF(M435=$A$1,1,$M435-INDEX(MappingTables!$E$4:$E$8,MATCH(O435,MappingTables!$B$4:$B$8,0)))</f>
        <v>1.2913750594598988</v>
      </c>
      <c r="Q435" s="71">
        <f>IF(B435="",0,INDEX(ModelParameters!$D$6:$K$10,MATCH($O435,ModelParameters!$B$6:$B$10,0),MATCH($J435,ModelParameters!$D$5:$K$5,0)))</f>
        <v>0.075</v>
      </c>
      <c r="R435" s="71">
        <f>IF(B435="",0,INDEX(ModelParameters!$D$13:$K$17,MATCH($O435,ModelParameters!$B$13:$B$17,0),MATCH($J435,ModelParameters!$D$5:$K$5,0)))</f>
        <v>0</v>
      </c>
      <c r="S435" s="160">
        <f>IF(B435="",0,MIN(IF($N435="Other Bond TM",ModelParameters!$N$21,1)*(P435*Q435+R435),1))</f>
        <v>0.0968531294594924</v>
      </c>
      <c r="T435" s="85">
        <f>IF(B435="",0,$S435*$K435)</f>
        <v>7.26615074650212</v>
      </c>
      <c r="U435" s="85">
        <f>IF(B435="",0,IF(OR(H435=MappingTables!$C$34,H435=MappingTables!$C$35),T435,0))</f>
        <v>0</v>
      </c>
      <c r="V435" s="85">
        <f>IF(ISNA(IF(AND(VLOOKUP(CONCATENATE($D435,$G435),CSRFinput!$B:$E,4,0)=0,OR(H435=MappingTables!$C$34,H435=MappingTables!$C$35)),1,VLOOKUP(CONCATENATE($D435,$G435),CSRFinput!$B:$E,4,0))),0,IF(AND(VLOOKUP(CONCATENATE($D435,$G435),CSRFinput!$B:$E,4,0)=0,OR(H435=MappingTables!$C$34,H435=MappingTables!$C$35)),1,VLOOKUP(CONCATENATE($D435,$G435),CSRFinput!$B:$E,4,0)))</f>
        <v>0.054776304963434752</v>
      </c>
      <c r="W435" s="85">
        <f>IF(B435="",0,+$T435*$V435)</f>
        <v>0.3980128892006892</v>
      </c>
      <c r="X435" s="85">
        <f>IF(B435="",0,IF(OR(H435=MappingTables!$C$34,H435=MappingTables!$C$35),W435,0))</f>
        <v>0</v>
      </c>
    </row>
    <row r="436" spans="2:24" s="0" customFormat="0" ht="15">
      <c r="B436" s="69">
        <v>11114722</v>
      </c>
      <c r="C436" s="70" t="s">
        <v>704</v>
      </c>
      <c r="D436" s="70" t="s">
        <v>1</v>
      </c>
      <c r="E436" s="70" t="s">
        <v>1</v>
      </c>
      <c r="F436" s="70"/>
      <c r="G436" s="70" t="s">
        <v>61</v>
      </c>
      <c r="H436" s="70" t="s">
        <v>178</v>
      </c>
      <c r="I436" s="70" t="s">
        <v>181</v>
      </c>
      <c r="J436" s="71">
        <f>IF(OR(I436=0,I436=""),"unrated",VLOOKUP(I436,MappingTables!$B$19:$C$31,2,FALSE))</f>
        <v>3</v>
      </c>
      <c r="K436" s="72">
        <v>15092.578454066548</v>
      </c>
      <c r="L436" s="70">
        <v>4.1966145975696704</v>
      </c>
      <c r="M436" s="71">
        <f>IF(L436&lt;1,1,L436)</f>
        <v>4.1966145975696704</v>
      </c>
      <c r="N436" s="70" t="s">
        <v>141</v>
      </c>
      <c r="O436" s="71">
        <f>INDEX(DurClassMapping,MATCH(M436,MappingTables!$D$4:$D$8,-1),1)</f>
        <v>1</v>
      </c>
      <c r="P436" s="73">
        <f>IF(M436=$A$1,1,$M436-INDEX(MappingTables!$E$4:$E$8,MATCH(O436,MappingTables!$B$4:$B$8,0)))</f>
        <v>4.1966145975696704</v>
      </c>
      <c r="Q436" s="71">
        <f>IF(B436="",0,INDEX(ModelParameters!$D$6:$K$10,MATCH($O436,ModelParameters!$B$6:$B$10,0),MATCH($J436,ModelParameters!$D$5:$K$5,0)))</f>
        <v>0.025</v>
      </c>
      <c r="R436" s="71">
        <f>IF(B436="",0,INDEX(ModelParameters!$D$13:$K$17,MATCH($O436,ModelParameters!$B$13:$B$17,0),MATCH($J436,ModelParameters!$D$5:$K$5,0)))</f>
        <v>0</v>
      </c>
      <c r="S436" s="160">
        <f>IF(B436="",0,MIN(IF($N436="Other Bond TM",ModelParameters!$N$21,1)*(P436*Q436+R436),1))</f>
        <v>0.10491536493924176</v>
      </c>
      <c r="T436" s="85">
        <f>IF(B436="",0,$S436*$K436)</f>
        <v>1583.443376382529</v>
      </c>
      <c r="U436" s="85">
        <f>IF(B436="",0,IF(OR(H436=MappingTables!$C$34,H436=MappingTables!$C$35),T436,0))</f>
        <v>0</v>
      </c>
      <c r="V436" s="85">
        <f>IF(ISNA(IF(AND(VLOOKUP(CONCATENATE($D436,$G436),CSRFinput!$B:$E,4,0)=0,OR(H436=MappingTables!$C$34,H436=MappingTables!$C$35)),1,VLOOKUP(CONCATENATE($D436,$G436),CSRFinput!$B:$E,4,0))),0,IF(AND(VLOOKUP(CONCATENATE($D436,$G436),CSRFinput!$B:$E,4,0)=0,OR(H436=MappingTables!$C$34,H436=MappingTables!$C$35)),1,VLOOKUP(CONCATENATE($D436,$G436),CSRFinput!$B:$E,4,0)))</f>
        <v>0.054776304963434752</v>
      </c>
      <c r="W436" s="85">
        <f>IF(B436="",0,+$T436*$V436)</f>
        <v>86.735177277060224</v>
      </c>
      <c r="X436" s="85">
        <f>IF(B436="",0,IF(OR(H436=MappingTables!$C$34,H436=MappingTables!$C$35),W436,0))</f>
        <v>0</v>
      </c>
    </row>
    <row r="437" spans="2:24" s="0" customFormat="0" ht="15">
      <c r="B437" s="69" t="s">
        <v>705</v>
      </c>
      <c r="C437" s="70" t="s">
        <v>706</v>
      </c>
      <c r="D437" s="70" t="s">
        <v>1</v>
      </c>
      <c r="E437" s="70" t="s">
        <v>1</v>
      </c>
      <c r="F437" s="70"/>
      <c r="G437" s="70" t="s">
        <v>61</v>
      </c>
      <c r="H437" s="70" t="s">
        <v>178</v>
      </c>
      <c r="I437" s="70" t="s">
        <v>188</v>
      </c>
      <c r="J437" s="71">
        <f>IF(OR(I437=0,I437=""),"unrated",VLOOKUP(I437,MappingTables!$B$19:$C$31,2,FALSE))</f>
        <v>2</v>
      </c>
      <c r="K437" s="72">
        <v>2029.2847775293964</v>
      </c>
      <c r="L437" s="70">
        <v>5.5864665777510984</v>
      </c>
      <c r="M437" s="71">
        <f>IF(L437&lt;1,1,L437)</f>
        <v>5.5864665777510984</v>
      </c>
      <c r="N437" s="70" t="s">
        <v>141</v>
      </c>
      <c r="O437" s="71">
        <f>INDEX(DurClassMapping,MATCH(M437,MappingTables!$D$4:$D$8,-1),1)</f>
        <v>2</v>
      </c>
      <c r="P437" s="73">
        <f>IF(M437=$A$1,1,$M437-INDEX(MappingTables!$E$4:$E$8,MATCH(O437,MappingTables!$B$4:$B$8,0)))</f>
        <v>0.58646657775109824</v>
      </c>
      <c r="Q437" s="71">
        <f>IF(B437="",0,INDEX(ModelParameters!$D$6:$K$10,MATCH($O437,ModelParameters!$B$6:$B$10,0),MATCH($J437,ModelParameters!$D$5:$K$5,0)))</f>
        <v>0.0069999999999999992</v>
      </c>
      <c r="R437" s="71">
        <f>IF(B437="",0,INDEX(ModelParameters!$D$13:$K$17,MATCH($O437,ModelParameters!$B$13:$B$17,0),MATCH($J437,ModelParameters!$D$5:$K$5,0)))</f>
        <v>0.070000000000000008</v>
      </c>
      <c r="S437" s="160">
        <f>IF(B437="",0,MIN(IF($N437="Other Bond TM",ModelParameters!$N$21,1)*(P437*Q437+R437),1))</f>
        <v>0.074105266044257696</v>
      </c>
      <c r="T437" s="85">
        <f>IF(B437="",0,$S437*$K437)</f>
        <v>150.3806883183782</v>
      </c>
      <c r="U437" s="85">
        <f>IF(B437="",0,IF(OR(H437=MappingTables!$C$34,H437=MappingTables!$C$35),T437,0))</f>
        <v>0</v>
      </c>
      <c r="V437" s="85">
        <f>IF(ISNA(IF(AND(VLOOKUP(CONCATENATE($D437,$G437),CSRFinput!$B:$E,4,0)=0,OR(H437=MappingTables!$C$34,H437=MappingTables!$C$35)),1,VLOOKUP(CONCATENATE($D437,$G437),CSRFinput!$B:$E,4,0))),0,IF(AND(VLOOKUP(CONCATENATE($D437,$G437),CSRFinput!$B:$E,4,0)=0,OR(H437=MappingTables!$C$34,H437=MappingTables!$C$35)),1,VLOOKUP(CONCATENATE($D437,$G437),CSRFinput!$B:$E,4,0)))</f>
        <v>0.054776304963434752</v>
      </c>
      <c r="W437" s="85">
        <f>IF(B437="",0,+$T437*$V437)</f>
        <v>8.2372984439387136</v>
      </c>
      <c r="X437" s="85">
        <f>IF(B437="",0,IF(OR(H437=MappingTables!$C$34,H437=MappingTables!$C$35),W437,0))</f>
        <v>0</v>
      </c>
    </row>
    <row r="438" spans="2:24" s="0" customFormat="0" ht="15">
      <c r="B438" s="69">
        <v>22063598</v>
      </c>
      <c r="C438" s="70" t="s">
        <v>707</v>
      </c>
      <c r="D438" s="70" t="s">
        <v>1</v>
      </c>
      <c r="E438" s="70" t="s">
        <v>1</v>
      </c>
      <c r="F438" s="70"/>
      <c r="G438" s="70" t="s">
        <v>61</v>
      </c>
      <c r="H438" s="70" t="s">
        <v>178</v>
      </c>
      <c r="I438" s="70" t="s">
        <v>216</v>
      </c>
      <c r="J438" s="71">
        <f>IF(OR(I438=0,I438=""),"unrated",VLOOKUP(I438,MappingTables!$B$19:$C$31,2,FALSE))</f>
        <v>0</v>
      </c>
      <c r="K438" s="72">
        <v>3849.4152361935496</v>
      </c>
      <c r="L438" s="70">
        <v>0.073973361582128128</v>
      </c>
      <c r="M438" s="71">
        <f>IF(L438&lt;1,1,L438)</f>
        <v>1</v>
      </c>
      <c r="N438" s="70" t="s">
        <v>141</v>
      </c>
      <c r="O438" s="71">
        <f>INDEX(DurClassMapping,MATCH(M438,MappingTables!$D$4:$D$8,-1),1)</f>
        <v>1</v>
      </c>
      <c r="P438" s="73">
        <f>IF(M438=$A$1,1,$M438-INDEX(MappingTables!$E$4:$E$8,MATCH(O438,MappingTables!$B$4:$B$8,0)))</f>
        <v>1</v>
      </c>
      <c r="Q438" s="71">
        <f>IF(B438="",0,INDEX(ModelParameters!$D$6:$K$10,MATCH($O438,ModelParameters!$B$6:$B$10,0),MATCH($J438,ModelParameters!$D$5:$K$5,0)))</f>
        <v>0.0090000000000000016</v>
      </c>
      <c r="R438" s="71">
        <f>IF(B438="",0,INDEX(ModelParameters!$D$13:$K$17,MATCH($O438,ModelParameters!$B$13:$B$17,0),MATCH($J438,ModelParameters!$D$5:$K$5,0)))</f>
        <v>0</v>
      </c>
      <c r="S438" s="160">
        <f>IF(B438="",0,MIN(IF($N438="Other Bond TM",ModelParameters!$N$21,1)*(P438*Q438+R438),1))</f>
        <v>0.0090000000000000016</v>
      </c>
      <c r="T438" s="85">
        <f>IF(B438="",0,$S438*$K438)</f>
        <v>34.644737125741948</v>
      </c>
      <c r="U438" s="85">
        <f>IF(B438="",0,IF(OR(H438=MappingTables!$C$34,H438=MappingTables!$C$35),T438,0))</f>
        <v>0</v>
      </c>
      <c r="V438" s="85">
        <f>IF(ISNA(IF(AND(VLOOKUP(CONCATENATE($D438,$G438),CSRFinput!$B:$E,4,0)=0,OR(H438=MappingTables!$C$34,H438=MappingTables!$C$35)),1,VLOOKUP(CONCATENATE($D438,$G438),CSRFinput!$B:$E,4,0))),0,IF(AND(VLOOKUP(CONCATENATE($D438,$G438),CSRFinput!$B:$E,4,0)=0,OR(H438=MappingTables!$C$34,H438=MappingTables!$C$35)),1,VLOOKUP(CONCATENATE($D438,$G438),CSRFinput!$B:$E,4,0)))</f>
        <v>0.054776304963434752</v>
      </c>
      <c r="W438" s="85">
        <f>IF(B438="",0,+$T438*$V438)</f>
        <v>1.8977106861776708</v>
      </c>
      <c r="X438" s="85">
        <f>IF(B438="",0,IF(OR(H438=MappingTables!$C$34,H438=MappingTables!$C$35),W438,0))</f>
        <v>0</v>
      </c>
    </row>
    <row r="439" spans="2:24" s="0" customFormat="0" ht="15">
      <c r="B439" s="69">
        <v>10504442</v>
      </c>
      <c r="C439" s="70" t="s">
        <v>708</v>
      </c>
      <c r="D439" s="70" t="s">
        <v>1</v>
      </c>
      <c r="E439" s="70" t="s">
        <v>1</v>
      </c>
      <c r="F439" s="70"/>
      <c r="G439" s="70" t="s">
        <v>61</v>
      </c>
      <c r="H439" s="70" t="s">
        <v>178</v>
      </c>
      <c r="I439" s="70" t="s">
        <v>181</v>
      </c>
      <c r="J439" s="71">
        <f>IF(OR(I439=0,I439=""),"unrated",VLOOKUP(I439,MappingTables!$B$19:$C$31,2,FALSE))</f>
        <v>3</v>
      </c>
      <c r="K439" s="72">
        <v>420.92105469614472</v>
      </c>
      <c r="L439" s="70">
        <v>1.595295695801613</v>
      </c>
      <c r="M439" s="71">
        <f>IF(L439&lt;1,1,L439)</f>
        <v>1.595295695801613</v>
      </c>
      <c r="N439" s="70" t="s">
        <v>141</v>
      </c>
      <c r="O439" s="71">
        <f>INDEX(DurClassMapping,MATCH(M439,MappingTables!$D$4:$D$8,-1),1)</f>
        <v>1</v>
      </c>
      <c r="P439" s="73">
        <f>IF(M439=$A$1,1,$M439-INDEX(MappingTables!$E$4:$E$8,MATCH(O439,MappingTables!$B$4:$B$8,0)))</f>
        <v>1.595295695801613</v>
      </c>
      <c r="Q439" s="71">
        <f>IF(B439="",0,INDEX(ModelParameters!$D$6:$K$10,MATCH($O439,ModelParameters!$B$6:$B$10,0),MATCH($J439,ModelParameters!$D$5:$K$5,0)))</f>
        <v>0.025</v>
      </c>
      <c r="R439" s="71">
        <f>IF(B439="",0,INDEX(ModelParameters!$D$13:$K$17,MATCH($O439,ModelParameters!$B$13:$B$17,0),MATCH($J439,ModelParameters!$D$5:$K$5,0)))</f>
        <v>0</v>
      </c>
      <c r="S439" s="160">
        <f>IF(B439="",0,MIN(IF($N439="Other Bond TM",ModelParameters!$N$21,1)*(P439*Q439+R439),1))</f>
        <v>0.03988239239504032</v>
      </c>
      <c r="T439" s="85">
        <f>IF(B439="",0,$S439*$K439)</f>
        <v>16.787338670725874</v>
      </c>
      <c r="U439" s="85">
        <f>IF(B439="",0,IF(OR(H439=MappingTables!$C$34,H439=MappingTables!$C$35),T439,0))</f>
        <v>0</v>
      </c>
      <c r="V439" s="85">
        <f>IF(ISNA(IF(AND(VLOOKUP(CONCATENATE($D439,$G439),CSRFinput!$B:$E,4,0)=0,OR(H439=MappingTables!$C$34,H439=MappingTables!$C$35)),1,VLOOKUP(CONCATENATE($D439,$G439),CSRFinput!$B:$E,4,0))),0,IF(AND(VLOOKUP(CONCATENATE($D439,$G439),CSRFinput!$B:$E,4,0)=0,OR(H439=MappingTables!$C$34,H439=MappingTables!$C$35)),1,VLOOKUP(CONCATENATE($D439,$G439),CSRFinput!$B:$E,4,0)))</f>
        <v>0.054776304963434752</v>
      </c>
      <c r="W439" s="85">
        <f>IF(B439="",0,+$T439*$V439)</f>
        <v>0.91954838255214176</v>
      </c>
      <c r="X439" s="85">
        <f>IF(B439="",0,IF(OR(H439=MappingTables!$C$34,H439=MappingTables!$C$35),W439,0))</f>
        <v>0</v>
      </c>
    </row>
    <row r="440" spans="2:24" s="0" customFormat="0" ht="15">
      <c r="B440" s="69">
        <v>15716650</v>
      </c>
      <c r="C440" s="70" t="s">
        <v>569</v>
      </c>
      <c r="D440" s="70" t="s">
        <v>1</v>
      </c>
      <c r="E440" s="70" t="s">
        <v>1</v>
      </c>
      <c r="F440" s="70"/>
      <c r="G440" s="70" t="s">
        <v>61</v>
      </c>
      <c r="H440" s="70" t="s">
        <v>178</v>
      </c>
      <c r="I440" s="70" t="s">
        <v>188</v>
      </c>
      <c r="J440" s="71">
        <f>IF(OR(I440=0,I440=""),"unrated",VLOOKUP(I440,MappingTables!$B$19:$C$31,2,FALSE))</f>
        <v>2</v>
      </c>
      <c r="K440" s="72">
        <v>59.100150828398472</v>
      </c>
      <c r="L440" s="70">
        <v>0.013699824555401324</v>
      </c>
      <c r="M440" s="71">
        <f>IF(L440&lt;1,1,L440)</f>
        <v>1</v>
      </c>
      <c r="N440" s="70" t="s">
        <v>141</v>
      </c>
      <c r="O440" s="71">
        <f>INDEX(DurClassMapping,MATCH(M440,MappingTables!$D$4:$D$8,-1),1)</f>
        <v>1</v>
      </c>
      <c r="P440" s="73">
        <f>IF(M440=$A$1,1,$M440-INDEX(MappingTables!$E$4:$E$8,MATCH(O440,MappingTables!$B$4:$B$8,0)))</f>
        <v>1</v>
      </c>
      <c r="Q440" s="71">
        <f>IF(B440="",0,INDEX(ModelParameters!$D$6:$K$10,MATCH($O440,ModelParameters!$B$6:$B$10,0),MATCH($J440,ModelParameters!$D$5:$K$5,0)))</f>
        <v>0.013999999999999998</v>
      </c>
      <c r="R440" s="71">
        <f>IF(B440="",0,INDEX(ModelParameters!$D$13:$K$17,MATCH($O440,ModelParameters!$B$13:$B$17,0),MATCH($J440,ModelParameters!$D$5:$K$5,0)))</f>
        <v>0</v>
      </c>
      <c r="S440" s="160">
        <f>IF(B440="",0,MIN(IF($N440="Other Bond TM",ModelParameters!$N$21,1)*(P440*Q440+R440),1))</f>
        <v>0.013999999999999998</v>
      </c>
      <c r="T440" s="85">
        <f>IF(B440="",0,$S440*$K440)</f>
        <v>0.82740211159757856</v>
      </c>
      <c r="U440" s="85">
        <f>IF(B440="",0,IF(OR(H440=MappingTables!$C$34,H440=MappingTables!$C$35),T440,0))</f>
        <v>0</v>
      </c>
      <c r="V440" s="85">
        <f>IF(ISNA(IF(AND(VLOOKUP(CONCATENATE($D440,$G440),CSRFinput!$B:$E,4,0)=0,OR(H440=MappingTables!$C$34,H440=MappingTables!$C$35)),1,VLOOKUP(CONCATENATE($D440,$G440),CSRFinput!$B:$E,4,0))),0,IF(AND(VLOOKUP(CONCATENATE($D440,$G440),CSRFinput!$B:$E,4,0)=0,OR(H440=MappingTables!$C$34,H440=MappingTables!$C$35)),1,VLOOKUP(CONCATENATE($D440,$G440),CSRFinput!$B:$E,4,0)))</f>
        <v>0.054776304963434752</v>
      </c>
      <c r="W440" s="85">
        <f>IF(B440="",0,+$T440*$V440)</f>
        <v>0.045322030392258832</v>
      </c>
      <c r="X440" s="85">
        <f>IF(B440="",0,IF(OR(H440=MappingTables!$C$34,H440=MappingTables!$C$35),W440,0))</f>
        <v>0</v>
      </c>
    </row>
    <row r="441" spans="2:24" s="0" customFormat="0" ht="15">
      <c r="B441" s="69">
        <v>2656804</v>
      </c>
      <c r="C441" s="70" t="s">
        <v>709</v>
      </c>
      <c r="D441" s="70" t="s">
        <v>1</v>
      </c>
      <c r="E441" s="70" t="s">
        <v>1</v>
      </c>
      <c r="F441" s="70"/>
      <c r="G441" s="70" t="s">
        <v>61</v>
      </c>
      <c r="H441" s="70" t="s">
        <v>178</v>
      </c>
      <c r="I441" s="70" t="s">
        <v>181</v>
      </c>
      <c r="J441" s="71">
        <f>IF(OR(I441=0,I441=""),"unrated",VLOOKUP(I441,MappingTables!$B$19:$C$31,2,FALSE))</f>
        <v>3</v>
      </c>
      <c r="K441" s="72">
        <v>3784.5818096631032</v>
      </c>
      <c r="L441" s="70">
        <v>11.536954311354872</v>
      </c>
      <c r="M441" s="71">
        <f>IF(L441&lt;1,1,L441)</f>
        <v>11.536954311354872</v>
      </c>
      <c r="N441" s="70" t="s">
        <v>141</v>
      </c>
      <c r="O441" s="71">
        <f>INDEX(DurClassMapping,MATCH(M441,MappingTables!$D$4:$D$8,-1),1)</f>
        <v>3</v>
      </c>
      <c r="P441" s="73">
        <f>IF(M441=$A$1,1,$M441-INDEX(MappingTables!$E$4:$E$8,MATCH(O441,MappingTables!$B$4:$B$8,0)))</f>
        <v>1.5369543113548722</v>
      </c>
      <c r="Q441" s="71">
        <f>IF(B441="",0,INDEX(ModelParameters!$D$6:$K$10,MATCH($O441,ModelParameters!$B$6:$B$10,0),MATCH($J441,ModelParameters!$D$5:$K$5,0)))</f>
        <v>0.01</v>
      </c>
      <c r="R441" s="71">
        <f>IF(B441="",0,INDEX(ModelParameters!$D$13:$K$17,MATCH($O441,ModelParameters!$B$13:$B$17,0),MATCH($J441,ModelParameters!$D$5:$K$5,0)))</f>
        <v>0.2</v>
      </c>
      <c r="S441" s="160">
        <f>IF(B441="",0,MIN(IF($N441="Other Bond TM",ModelParameters!$N$21,1)*(P441*Q441+R441),1))</f>
        <v>0.21536954311354872</v>
      </c>
      <c r="T441" s="85">
        <f>IF(B441="",0,$S441*$K441)</f>
        <v>815.08365522298976</v>
      </c>
      <c r="U441" s="85">
        <f>IF(B441="",0,IF(OR(H441=MappingTables!$C$34,H441=MappingTables!$C$35),T441,0))</f>
        <v>0</v>
      </c>
      <c r="V441" s="85">
        <f>IF(ISNA(IF(AND(VLOOKUP(CONCATENATE($D441,$G441),CSRFinput!$B:$E,4,0)=0,OR(H441=MappingTables!$C$34,H441=MappingTables!$C$35)),1,VLOOKUP(CONCATENATE($D441,$G441),CSRFinput!$B:$E,4,0))),0,IF(AND(VLOOKUP(CONCATENATE($D441,$G441),CSRFinput!$B:$E,4,0)=0,OR(H441=MappingTables!$C$34,H441=MappingTables!$C$35)),1,VLOOKUP(CONCATENATE($D441,$G441),CSRFinput!$B:$E,4,0)))</f>
        <v>0.054776304963434752</v>
      </c>
      <c r="W441" s="85">
        <f>IF(B441="",0,+$T441*$V441)</f>
        <v>44.6472708692056</v>
      </c>
      <c r="X441" s="85">
        <f>IF(B441="",0,IF(OR(H441=MappingTables!$C$34,H441=MappingTables!$C$35),W441,0))</f>
        <v>0</v>
      </c>
    </row>
    <row r="442" spans="2:24" s="0" customFormat="0" ht="15">
      <c r="B442" s="69">
        <v>12782438</v>
      </c>
      <c r="C442" s="70" t="s">
        <v>710</v>
      </c>
      <c r="D442" s="70" t="s">
        <v>1</v>
      </c>
      <c r="E442" s="70" t="s">
        <v>1</v>
      </c>
      <c r="F442" s="70"/>
      <c r="G442" s="70" t="s">
        <v>61</v>
      </c>
      <c r="H442" s="70" t="s">
        <v>178</v>
      </c>
      <c r="I442" s="70" t="s">
        <v>220</v>
      </c>
      <c r="J442" s="71">
        <f>IF(OR(I442=0,I442=""),"unrated",VLOOKUP(I442,MappingTables!$B$19:$C$31,2,FALSE))</f>
        <v>1</v>
      </c>
      <c r="K442" s="72">
        <v>1608.3795839775474</v>
      </c>
      <c r="L442" s="70">
        <v>0.81376736840271296</v>
      </c>
      <c r="M442" s="71">
        <f>IF(L442&lt;1,1,L442)</f>
        <v>1</v>
      </c>
      <c r="N442" s="70" t="s">
        <v>141</v>
      </c>
      <c r="O442" s="71">
        <f>INDEX(DurClassMapping,MATCH(M442,MappingTables!$D$4:$D$8,-1),1)</f>
        <v>1</v>
      </c>
      <c r="P442" s="73">
        <f>IF(M442=$A$1,1,$M442-INDEX(MappingTables!$E$4:$E$8,MATCH(O442,MappingTables!$B$4:$B$8,0)))</f>
        <v>1</v>
      </c>
      <c r="Q442" s="71">
        <f>IF(B442="",0,INDEX(ModelParameters!$D$6:$K$10,MATCH($O442,ModelParameters!$B$6:$B$10,0),MATCH($J442,ModelParameters!$D$5:$K$5,0)))</f>
        <v>0.011000000000000002</v>
      </c>
      <c r="R442" s="71">
        <f>IF(B442="",0,INDEX(ModelParameters!$D$13:$K$17,MATCH($O442,ModelParameters!$B$13:$B$17,0),MATCH($J442,ModelParameters!$D$5:$K$5,0)))</f>
        <v>0</v>
      </c>
      <c r="S442" s="160">
        <f>IF(B442="",0,MIN(IF($N442="Other Bond TM",ModelParameters!$N$21,1)*(P442*Q442+R442),1))</f>
        <v>0.011000000000000002</v>
      </c>
      <c r="T442" s="85">
        <f>IF(B442="",0,$S442*$K442)</f>
        <v>17.69217542375302</v>
      </c>
      <c r="U442" s="85">
        <f>IF(B442="",0,IF(OR(H442=MappingTables!$C$34,H442=MappingTables!$C$35),T442,0))</f>
        <v>0</v>
      </c>
      <c r="V442" s="85">
        <f>IF(ISNA(IF(AND(VLOOKUP(CONCATENATE($D442,$G442),CSRFinput!$B:$E,4,0)=0,OR(H442=MappingTables!$C$34,H442=MappingTables!$C$35)),1,VLOOKUP(CONCATENATE($D442,$G442),CSRFinput!$B:$E,4,0))),0,IF(AND(VLOOKUP(CONCATENATE($D442,$G442),CSRFinput!$B:$E,4,0)=0,OR(H442=MappingTables!$C$34,H442=MappingTables!$C$35)),1,VLOOKUP(CONCATENATE($D442,$G442),CSRFinput!$B:$E,4,0)))</f>
        <v>0.054776304963434752</v>
      </c>
      <c r="W442" s="85">
        <f>IF(B442="",0,+$T442*$V442)</f>
        <v>0.96911199647808096</v>
      </c>
      <c r="X442" s="85">
        <f>IF(B442="",0,IF(OR(H442=MappingTables!$C$34,H442=MappingTables!$C$35),W442,0))</f>
        <v>0</v>
      </c>
    </row>
    <row r="443" spans="2:24" s="0" customFormat="0" ht="15">
      <c r="B443" s="69">
        <v>13173833</v>
      </c>
      <c r="C443" s="70" t="s">
        <v>711</v>
      </c>
      <c r="D443" s="70" t="s">
        <v>1</v>
      </c>
      <c r="E443" s="70" t="s">
        <v>1</v>
      </c>
      <c r="F443" s="70"/>
      <c r="G443" s="70" t="s">
        <v>61</v>
      </c>
      <c r="H443" s="70" t="s">
        <v>178</v>
      </c>
      <c r="I443" s="70" t="s">
        <v>188</v>
      </c>
      <c r="J443" s="71">
        <f>IF(OR(I443=0,I443=""),"unrated",VLOOKUP(I443,MappingTables!$B$19:$C$31,2,FALSE))</f>
        <v>2</v>
      </c>
      <c r="K443" s="72">
        <v>1328.508520270105</v>
      </c>
      <c r="L443" s="70">
        <v>0.95257337228464208</v>
      </c>
      <c r="M443" s="71">
        <f>IF(L443&lt;1,1,L443)</f>
        <v>1</v>
      </c>
      <c r="N443" s="70" t="s">
        <v>141</v>
      </c>
      <c r="O443" s="71">
        <f>INDEX(DurClassMapping,MATCH(M443,MappingTables!$D$4:$D$8,-1),1)</f>
        <v>1</v>
      </c>
      <c r="P443" s="73">
        <f>IF(M443=$A$1,1,$M443-INDEX(MappingTables!$E$4:$E$8,MATCH(O443,MappingTables!$B$4:$B$8,0)))</f>
        <v>1</v>
      </c>
      <c r="Q443" s="71">
        <f>IF(B443="",0,INDEX(ModelParameters!$D$6:$K$10,MATCH($O443,ModelParameters!$B$6:$B$10,0),MATCH($J443,ModelParameters!$D$5:$K$5,0)))</f>
        <v>0.013999999999999998</v>
      </c>
      <c r="R443" s="71">
        <f>IF(B443="",0,INDEX(ModelParameters!$D$13:$K$17,MATCH($O443,ModelParameters!$B$13:$B$17,0),MATCH($J443,ModelParameters!$D$5:$K$5,0)))</f>
        <v>0</v>
      </c>
      <c r="S443" s="160">
        <f>IF(B443="",0,MIN(IF($N443="Other Bond TM",ModelParameters!$N$21,1)*(P443*Q443+R443),1))</f>
        <v>0.013999999999999998</v>
      </c>
      <c r="T443" s="85">
        <f>IF(B443="",0,$S443*$K443)</f>
        <v>18.599119283781468</v>
      </c>
      <c r="U443" s="85">
        <f>IF(B443="",0,IF(OR(H443=MappingTables!$C$34,H443=MappingTables!$C$35),T443,0))</f>
        <v>0</v>
      </c>
      <c r="V443" s="85">
        <f>IF(ISNA(IF(AND(VLOOKUP(CONCATENATE($D443,$G443),CSRFinput!$B:$E,4,0)=0,OR(H443=MappingTables!$C$34,H443=MappingTables!$C$35)),1,VLOOKUP(CONCATENATE($D443,$G443),CSRFinput!$B:$E,4,0))),0,IF(AND(VLOOKUP(CONCATENATE($D443,$G443),CSRFinput!$B:$E,4,0)=0,OR(H443=MappingTables!$C$34,H443=MappingTables!$C$35)),1,VLOOKUP(CONCATENATE($D443,$G443),CSRFinput!$B:$E,4,0)))</f>
        <v>0.054776304963434752</v>
      </c>
      <c r="W443" s="85">
        <f>IF(B443="",0,+$T443*$V443)</f>
        <v>1.018791029939714</v>
      </c>
      <c r="X443" s="85">
        <f>IF(B443="",0,IF(OR(H443=MappingTables!$C$34,H443=MappingTables!$C$35),W443,0))</f>
        <v>0</v>
      </c>
    </row>
    <row r="444" spans="2:24" s="0" customFormat="0" ht="15">
      <c r="B444" s="69">
        <v>13158525</v>
      </c>
      <c r="C444" s="70" t="s">
        <v>712</v>
      </c>
      <c r="D444" s="70" t="s">
        <v>1</v>
      </c>
      <c r="E444" s="70" t="s">
        <v>1</v>
      </c>
      <c r="F444" s="70"/>
      <c r="G444" s="70" t="s">
        <v>61</v>
      </c>
      <c r="H444" s="70" t="s">
        <v>178</v>
      </c>
      <c r="I444" s="70" t="s">
        <v>181</v>
      </c>
      <c r="J444" s="71">
        <f>IF(OR(I444=0,I444=""),"unrated",VLOOKUP(I444,MappingTables!$B$19:$C$31,2,FALSE))</f>
        <v>3</v>
      </c>
      <c r="K444" s="72">
        <v>993.1911557085712</v>
      </c>
      <c r="L444" s="70">
        <v>1.0008648310655428</v>
      </c>
      <c r="M444" s="71">
        <f>IF(L444&lt;1,1,L444)</f>
        <v>1.0008648310655428</v>
      </c>
      <c r="N444" s="70" t="s">
        <v>141</v>
      </c>
      <c r="O444" s="71">
        <f>INDEX(DurClassMapping,MATCH(M444,MappingTables!$D$4:$D$8,-1),1)</f>
        <v>1</v>
      </c>
      <c r="P444" s="73">
        <f>IF(M444=$A$1,1,$M444-INDEX(MappingTables!$E$4:$E$8,MATCH(O444,MappingTables!$B$4:$B$8,0)))</f>
        <v>1.0008648310655428</v>
      </c>
      <c r="Q444" s="71">
        <f>IF(B444="",0,INDEX(ModelParameters!$D$6:$K$10,MATCH($O444,ModelParameters!$B$6:$B$10,0),MATCH($J444,ModelParameters!$D$5:$K$5,0)))</f>
        <v>0.025</v>
      </c>
      <c r="R444" s="71">
        <f>IF(B444="",0,INDEX(ModelParameters!$D$13:$K$17,MATCH($O444,ModelParameters!$B$13:$B$17,0),MATCH($J444,ModelParameters!$D$5:$K$5,0)))</f>
        <v>0</v>
      </c>
      <c r="S444" s="160">
        <f>IF(B444="",0,MIN(IF($N444="Other Bond TM",ModelParameters!$N$21,1)*(P444*Q444+R444),1))</f>
        <v>0.025021620776638572</v>
      </c>
      <c r="T444" s="85">
        <f>IF(B444="",0,$S444*$K444)</f>
        <v>24.85125245685126</v>
      </c>
      <c r="U444" s="85">
        <f>IF(B444="",0,IF(OR(H444=MappingTables!$C$34,H444=MappingTables!$C$35),T444,0))</f>
        <v>0</v>
      </c>
      <c r="V444" s="85">
        <f>IF(ISNA(IF(AND(VLOOKUP(CONCATENATE($D444,$G444),CSRFinput!$B:$E,4,0)=0,OR(H444=MappingTables!$C$34,H444=MappingTables!$C$35)),1,VLOOKUP(CONCATENATE($D444,$G444),CSRFinput!$B:$E,4,0))),0,IF(AND(VLOOKUP(CONCATENATE($D444,$G444),CSRFinput!$B:$E,4,0)=0,OR(H444=MappingTables!$C$34,H444=MappingTables!$C$35)),1,VLOOKUP(CONCATENATE($D444,$G444),CSRFinput!$B:$E,4,0)))</f>
        <v>0.054776304963434752</v>
      </c>
      <c r="W444" s="85">
        <f>IF(B444="",0,+$T444*$V444)</f>
        <v>1.3612597832997916</v>
      </c>
      <c r="X444" s="85">
        <f>IF(B444="",0,IF(OR(H444=MappingTables!$C$34,H444=MappingTables!$C$35),W444,0))</f>
        <v>0</v>
      </c>
    </row>
    <row r="445" spans="2:24" s="0" customFormat="0" ht="15">
      <c r="B445" s="69">
        <v>20784521</v>
      </c>
      <c r="C445" s="70" t="s">
        <v>713</v>
      </c>
      <c r="D445" s="70" t="s">
        <v>1</v>
      </c>
      <c r="E445" s="70" t="s">
        <v>1</v>
      </c>
      <c r="F445" s="70"/>
      <c r="G445" s="70" t="s">
        <v>61</v>
      </c>
      <c r="H445" s="70" t="s">
        <v>178</v>
      </c>
      <c r="I445" s="70" t="s">
        <v>188</v>
      </c>
      <c r="J445" s="71">
        <f>IF(OR(I445=0,I445=""),"unrated",VLOOKUP(I445,MappingTables!$B$19:$C$31,2,FALSE))</f>
        <v>2</v>
      </c>
      <c r="K445" s="72">
        <v>9696.8314936294464</v>
      </c>
      <c r="L445" s="70">
        <v>7.7658826478729232</v>
      </c>
      <c r="M445" s="71">
        <f>IF(L445&lt;1,1,L445)</f>
        <v>7.7658826478729232</v>
      </c>
      <c r="N445" s="70" t="s">
        <v>141</v>
      </c>
      <c r="O445" s="71">
        <f>INDEX(DurClassMapping,MATCH(M445,MappingTables!$D$4:$D$8,-1),1)</f>
        <v>2</v>
      </c>
      <c r="P445" s="73">
        <f>IF(M445=$A$1,1,$M445-INDEX(MappingTables!$E$4:$E$8,MATCH(O445,MappingTables!$B$4:$B$8,0)))</f>
        <v>2.7658826478729228</v>
      </c>
      <c r="Q445" s="71">
        <f>IF(B445="",0,INDEX(ModelParameters!$D$6:$K$10,MATCH($O445,ModelParameters!$B$6:$B$10,0),MATCH($J445,ModelParameters!$D$5:$K$5,0)))</f>
        <v>0.0069999999999999992</v>
      </c>
      <c r="R445" s="71">
        <f>IF(B445="",0,INDEX(ModelParameters!$D$13:$K$17,MATCH($O445,ModelParameters!$B$13:$B$17,0),MATCH($J445,ModelParameters!$D$5:$K$5,0)))</f>
        <v>0.070000000000000008</v>
      </c>
      <c r="S445" s="160">
        <f>IF(B445="",0,MIN(IF($N445="Other Bond TM",ModelParameters!$N$21,1)*(P445*Q445+R445),1))</f>
        <v>0.089361178535110464</v>
      </c>
      <c r="T445" s="85">
        <f>IF(B445="",0,$S445*$K445)</f>
        <v>866.52029032710288</v>
      </c>
      <c r="U445" s="85">
        <f>IF(B445="",0,IF(OR(H445=MappingTables!$C$34,H445=MappingTables!$C$35),T445,0))</f>
        <v>0</v>
      </c>
      <c r="V445" s="85">
        <f>IF(ISNA(IF(AND(VLOOKUP(CONCATENATE($D445,$G445),CSRFinput!$B:$E,4,0)=0,OR(H445=MappingTables!$C$34,H445=MappingTables!$C$35)),1,VLOOKUP(CONCATENATE($D445,$G445),CSRFinput!$B:$E,4,0))),0,IF(AND(VLOOKUP(CONCATENATE($D445,$G445),CSRFinput!$B:$E,4,0)=0,OR(H445=MappingTables!$C$34,H445=MappingTables!$C$35)),1,VLOOKUP(CONCATENATE($D445,$G445),CSRFinput!$B:$E,4,0)))</f>
        <v>0.054776304963434752</v>
      </c>
      <c r="W445" s="85">
        <f>IF(B445="",0,+$T445*$V445)</f>
        <v>47.464779679961408</v>
      </c>
      <c r="X445" s="85">
        <f>IF(B445="",0,IF(OR(H445=MappingTables!$C$34,H445=MappingTables!$C$35),W445,0))</f>
        <v>0</v>
      </c>
    </row>
    <row r="446" spans="2:24" s="0" customFormat="0" ht="15">
      <c r="B446" s="69">
        <v>12412639</v>
      </c>
      <c r="C446" s="70" t="s">
        <v>714</v>
      </c>
      <c r="D446" s="70" t="s">
        <v>1</v>
      </c>
      <c r="E446" s="70" t="s">
        <v>1</v>
      </c>
      <c r="F446" s="70"/>
      <c r="G446" s="70" t="s">
        <v>61</v>
      </c>
      <c r="H446" s="70" t="s">
        <v>178</v>
      </c>
      <c r="I446" s="70" t="s">
        <v>181</v>
      </c>
      <c r="J446" s="71">
        <f>IF(OR(I446=0,I446=""),"unrated",VLOOKUP(I446,MappingTables!$B$19:$C$31,2,FALSE))</f>
        <v>3</v>
      </c>
      <c r="K446" s="72">
        <v>6667.6704656875816</v>
      </c>
      <c r="L446" s="70">
        <v>4.4836014898291288</v>
      </c>
      <c r="M446" s="71">
        <f>IF(L446&lt;1,1,L446)</f>
        <v>4.4836014898291288</v>
      </c>
      <c r="N446" s="70" t="s">
        <v>141</v>
      </c>
      <c r="O446" s="71">
        <f>INDEX(DurClassMapping,MATCH(M446,MappingTables!$D$4:$D$8,-1),1)</f>
        <v>1</v>
      </c>
      <c r="P446" s="73">
        <f>IF(M446=$A$1,1,$M446-INDEX(MappingTables!$E$4:$E$8,MATCH(O446,MappingTables!$B$4:$B$8,0)))</f>
        <v>4.4836014898291288</v>
      </c>
      <c r="Q446" s="71">
        <f>IF(B446="",0,INDEX(ModelParameters!$D$6:$K$10,MATCH($O446,ModelParameters!$B$6:$B$10,0),MATCH($J446,ModelParameters!$D$5:$K$5,0)))</f>
        <v>0.025</v>
      </c>
      <c r="R446" s="71">
        <f>IF(B446="",0,INDEX(ModelParameters!$D$13:$K$17,MATCH($O446,ModelParameters!$B$13:$B$17,0),MATCH($J446,ModelParameters!$D$5:$K$5,0)))</f>
        <v>0</v>
      </c>
      <c r="S446" s="160">
        <f>IF(B446="",0,MIN(IF($N446="Other Bond TM",ModelParameters!$N$21,1)*(P446*Q446+R446),1))</f>
        <v>0.11209003724572822</v>
      </c>
      <c r="T446" s="85">
        <f>IF(B446="",0,$S446*$K446)</f>
        <v>747.37943084116304</v>
      </c>
      <c r="U446" s="85">
        <f>IF(B446="",0,IF(OR(H446=MappingTables!$C$34,H446=MappingTables!$C$35),T446,0))</f>
        <v>0</v>
      </c>
      <c r="V446" s="85">
        <f>IF(ISNA(IF(AND(VLOOKUP(CONCATENATE($D446,$G446),CSRFinput!$B:$E,4,0)=0,OR(H446=MappingTables!$C$34,H446=MappingTables!$C$35)),1,VLOOKUP(CONCATENATE($D446,$G446),CSRFinput!$B:$E,4,0))),0,IF(AND(VLOOKUP(CONCATENATE($D446,$G446),CSRFinput!$B:$E,4,0)=0,OR(H446=MappingTables!$C$34,H446=MappingTables!$C$35)),1,VLOOKUP(CONCATENATE($D446,$G446),CSRFinput!$B:$E,4,0)))</f>
        <v>0.054776304963434752</v>
      </c>
      <c r="W446" s="85">
        <f>IF(B446="",0,+$T446*$V446)</f>
        <v>40.93868362715384</v>
      </c>
      <c r="X446" s="85">
        <f>IF(B446="",0,IF(OR(H446=MappingTables!$C$34,H446=MappingTables!$C$35),W446,0))</f>
        <v>0</v>
      </c>
    </row>
    <row r="447" spans="2:24" s="0" customFormat="0" ht="15">
      <c r="B447" s="69" t="s">
        <v>566</v>
      </c>
      <c r="C447" s="70" t="s">
        <v>567</v>
      </c>
      <c r="D447" s="70" t="s">
        <v>1</v>
      </c>
      <c r="E447" s="70" t="s">
        <v>1</v>
      </c>
      <c r="F447" s="70"/>
      <c r="G447" s="70" t="s">
        <v>61</v>
      </c>
      <c r="H447" s="70" t="s">
        <v>178</v>
      </c>
      <c r="I447" s="70" t="s">
        <v>179</v>
      </c>
      <c r="J447" s="71">
        <f>IF(OR(I447=0,I447=""),"unrated",VLOOKUP(I447,MappingTables!$B$19:$C$31,2,FALSE))</f>
        <v>4</v>
      </c>
      <c r="K447" s="72">
        <v>228.7904217453288</v>
      </c>
      <c r="L447" s="70">
        <v>4.0608719497876528</v>
      </c>
      <c r="M447" s="71">
        <f>IF(L447&lt;1,1,L447)</f>
        <v>4.0608719497876528</v>
      </c>
      <c r="N447" s="70" t="s">
        <v>141</v>
      </c>
      <c r="O447" s="71">
        <f>INDEX(DurClassMapping,MATCH(M447,MappingTables!$D$4:$D$8,-1),1)</f>
        <v>1</v>
      </c>
      <c r="P447" s="73">
        <f>IF(M447=$A$1,1,$M447-INDEX(MappingTables!$E$4:$E$8,MATCH(O447,MappingTables!$B$4:$B$8,0)))</f>
        <v>4.0608719497876528</v>
      </c>
      <c r="Q447" s="71">
        <f>IF(B447="",0,INDEX(ModelParameters!$D$6:$K$10,MATCH($O447,ModelParameters!$B$6:$B$10,0),MATCH($J447,ModelParameters!$D$5:$K$5,0)))</f>
        <v>0.045</v>
      </c>
      <c r="R447" s="71">
        <f>IF(B447="",0,INDEX(ModelParameters!$D$13:$K$17,MATCH($O447,ModelParameters!$B$13:$B$17,0),MATCH($J447,ModelParameters!$D$5:$K$5,0)))</f>
        <v>0</v>
      </c>
      <c r="S447" s="160">
        <f>IF(B447="",0,MIN(IF($N447="Other Bond TM",ModelParameters!$N$21,1)*(P447*Q447+R447),1))</f>
        <v>0.18273923774044436</v>
      </c>
      <c r="T447" s="85">
        <f>IF(B447="",0,$S447*$K447)</f>
        <v>41.808987272056176</v>
      </c>
      <c r="U447" s="85">
        <f>IF(B447="",0,IF(OR(H447=MappingTables!$C$34,H447=MappingTables!$C$35),T447,0))</f>
        <v>0</v>
      </c>
      <c r="V447" s="85">
        <f>IF(ISNA(IF(AND(VLOOKUP(CONCATENATE($D447,$G447),CSRFinput!$B:$E,4,0)=0,OR(H447=MappingTables!$C$34,H447=MappingTables!$C$35)),1,VLOOKUP(CONCATENATE($D447,$G447),CSRFinput!$B:$E,4,0))),0,IF(AND(VLOOKUP(CONCATENATE($D447,$G447),CSRFinput!$B:$E,4,0)=0,OR(H447=MappingTables!$C$34,H447=MappingTables!$C$35)),1,VLOOKUP(CONCATENATE($D447,$G447),CSRFinput!$B:$E,4,0)))</f>
        <v>0.054776304963434752</v>
      </c>
      <c r="W447" s="85">
        <f>IF(B447="",0,+$T447*$V447)</f>
        <v>2.2901418370265116</v>
      </c>
      <c r="X447" s="85">
        <f>IF(B447="",0,IF(OR(H447=MappingTables!$C$34,H447=MappingTables!$C$35),W447,0))</f>
        <v>0</v>
      </c>
    </row>
    <row r="448" spans="2:24" s="0" customFormat="0" ht="15">
      <c r="B448" s="69" t="s">
        <v>715</v>
      </c>
      <c r="C448" s="70" t="s">
        <v>716</v>
      </c>
      <c r="D448" s="70" t="s">
        <v>1</v>
      </c>
      <c r="E448" s="70" t="s">
        <v>1</v>
      </c>
      <c r="F448" s="70"/>
      <c r="G448" s="70" t="s">
        <v>61</v>
      </c>
      <c r="H448" s="70" t="s">
        <v>178</v>
      </c>
      <c r="I448" s="70" t="s">
        <v>181</v>
      </c>
      <c r="J448" s="71">
        <f>IF(OR(I448=0,I448=""),"unrated",VLOOKUP(I448,MappingTables!$B$19:$C$31,2,FALSE))</f>
        <v>3</v>
      </c>
      <c r="K448" s="72">
        <v>2003.4769899066556</v>
      </c>
      <c r="L448" s="70">
        <v>1.6932411949940452</v>
      </c>
      <c r="M448" s="71">
        <f>IF(L448&lt;1,1,L448)</f>
        <v>1.6932411949940452</v>
      </c>
      <c r="N448" s="70" t="s">
        <v>141</v>
      </c>
      <c r="O448" s="71">
        <f>INDEX(DurClassMapping,MATCH(M448,MappingTables!$D$4:$D$8,-1),1)</f>
        <v>1</v>
      </c>
      <c r="P448" s="73">
        <f>IF(M448=$A$1,1,$M448-INDEX(MappingTables!$E$4:$E$8,MATCH(O448,MappingTables!$B$4:$B$8,0)))</f>
        <v>1.6932411949940452</v>
      </c>
      <c r="Q448" s="71">
        <f>IF(B448="",0,INDEX(ModelParameters!$D$6:$K$10,MATCH($O448,ModelParameters!$B$6:$B$10,0),MATCH($J448,ModelParameters!$D$5:$K$5,0)))</f>
        <v>0.025</v>
      </c>
      <c r="R448" s="71">
        <f>IF(B448="",0,INDEX(ModelParameters!$D$13:$K$17,MATCH($O448,ModelParameters!$B$13:$B$17,0),MATCH($J448,ModelParameters!$D$5:$K$5,0)))</f>
        <v>0</v>
      </c>
      <c r="S448" s="160">
        <f>IF(B448="",0,MIN(IF($N448="Other Bond TM",ModelParameters!$N$21,1)*(P448*Q448+R448),1))</f>
        <v>0.042331029874851128</v>
      </c>
      <c r="T448" s="85">
        <f>IF(B448="",0,$S448*$K448)</f>
        <v>84.80924431331544</v>
      </c>
      <c r="U448" s="85">
        <f>IF(B448="",0,IF(OR(H448=MappingTables!$C$34,H448=MappingTables!$C$35),T448,0))</f>
        <v>0</v>
      </c>
      <c r="V448" s="85">
        <f>IF(ISNA(IF(AND(VLOOKUP(CONCATENATE($D448,$G448),CSRFinput!$B:$E,4,0)=0,OR(H448=MappingTables!$C$34,H448=MappingTables!$C$35)),1,VLOOKUP(CONCATENATE($D448,$G448),CSRFinput!$B:$E,4,0))),0,IF(AND(VLOOKUP(CONCATENATE($D448,$G448),CSRFinput!$B:$E,4,0)=0,OR(H448=MappingTables!$C$34,H448=MappingTables!$C$35)),1,VLOOKUP(CONCATENATE($D448,$G448),CSRFinput!$B:$E,4,0)))</f>
        <v>0.054776304963434752</v>
      </c>
      <c r="W448" s="85">
        <f>IF(B448="",0,+$T448*$V448)</f>
        <v>4.6455370302246112</v>
      </c>
      <c r="X448" s="85">
        <f>IF(B448="",0,IF(OR(H448=MappingTables!$C$34,H448=MappingTables!$C$35),W448,0))</f>
        <v>0</v>
      </c>
    </row>
    <row r="449" spans="2:24" s="0" customFormat="0" ht="15">
      <c r="B449" s="69">
        <v>10497884</v>
      </c>
      <c r="C449" s="70" t="s">
        <v>717</v>
      </c>
      <c r="D449" s="70" t="s">
        <v>1</v>
      </c>
      <c r="E449" s="70" t="s">
        <v>1</v>
      </c>
      <c r="F449" s="70"/>
      <c r="G449" s="70" t="s">
        <v>61</v>
      </c>
      <c r="H449" s="70" t="s">
        <v>178</v>
      </c>
      <c r="I449" s="70" t="s">
        <v>179</v>
      </c>
      <c r="J449" s="71">
        <f>IF(OR(I449=0,I449=""),"unrated",VLOOKUP(I449,MappingTables!$B$19:$C$31,2,FALSE))</f>
        <v>4</v>
      </c>
      <c r="K449" s="72">
        <v>77.407997491794</v>
      </c>
      <c r="L449" s="70">
        <v>4.1404975066878472</v>
      </c>
      <c r="M449" s="71">
        <f>IF(L449&lt;1,1,L449)</f>
        <v>4.1404975066878472</v>
      </c>
      <c r="N449" s="70" t="s">
        <v>141</v>
      </c>
      <c r="O449" s="71">
        <f>INDEX(DurClassMapping,MATCH(M449,MappingTables!$D$4:$D$8,-1),1)</f>
        <v>1</v>
      </c>
      <c r="P449" s="73">
        <f>IF(M449=$A$1,1,$M449-INDEX(MappingTables!$E$4:$E$8,MATCH(O449,MappingTables!$B$4:$B$8,0)))</f>
        <v>4.1404975066878472</v>
      </c>
      <c r="Q449" s="71">
        <f>IF(B449="",0,INDEX(ModelParameters!$D$6:$K$10,MATCH($O449,ModelParameters!$B$6:$B$10,0),MATCH($J449,ModelParameters!$D$5:$K$5,0)))</f>
        <v>0.045</v>
      </c>
      <c r="R449" s="71">
        <f>IF(B449="",0,INDEX(ModelParameters!$D$13:$K$17,MATCH($O449,ModelParameters!$B$13:$B$17,0),MATCH($J449,ModelParameters!$D$5:$K$5,0)))</f>
        <v>0</v>
      </c>
      <c r="S449" s="160">
        <f>IF(B449="",0,MIN(IF($N449="Other Bond TM",ModelParameters!$N$21,1)*(P449*Q449+R449),1))</f>
        <v>0.18632238780095312</v>
      </c>
      <c r="T449" s="85">
        <f>IF(B449="",0,$S449*$K449)</f>
        <v>14.422842927561248</v>
      </c>
      <c r="U449" s="85">
        <f>IF(B449="",0,IF(OR(H449=MappingTables!$C$34,H449=MappingTables!$C$35),T449,0))</f>
        <v>0</v>
      </c>
      <c r="V449" s="85">
        <f>IF(ISNA(IF(AND(VLOOKUP(CONCATENATE($D449,$G449),CSRFinput!$B:$E,4,0)=0,OR(H449=MappingTables!$C$34,H449=MappingTables!$C$35)),1,VLOOKUP(CONCATENATE($D449,$G449),CSRFinput!$B:$E,4,0))),0,IF(AND(VLOOKUP(CONCATENATE($D449,$G449),CSRFinput!$B:$E,4,0)=0,OR(H449=MappingTables!$C$34,H449=MappingTables!$C$35)),1,VLOOKUP(CONCATENATE($D449,$G449),CSRFinput!$B:$E,4,0)))</f>
        <v>0.054776304963434752</v>
      </c>
      <c r="W449" s="85">
        <f>IF(B449="",0,+$T449*$V449)</f>
        <v>0.79003004263981296</v>
      </c>
      <c r="X449" s="85">
        <f>IF(B449="",0,IF(OR(H449=MappingTables!$C$34,H449=MappingTables!$C$35),W449,0))</f>
        <v>0</v>
      </c>
    </row>
    <row r="450" spans="2:24" s="0" customFormat="0" ht="15">
      <c r="B450" s="69">
        <v>19506407</v>
      </c>
      <c r="C450" s="70" t="s">
        <v>718</v>
      </c>
      <c r="D450" s="70" t="s">
        <v>1</v>
      </c>
      <c r="E450" s="70" t="s">
        <v>1</v>
      </c>
      <c r="F450" s="70"/>
      <c r="G450" s="70" t="s">
        <v>61</v>
      </c>
      <c r="H450" s="70" t="s">
        <v>178</v>
      </c>
      <c r="I450" s="70" t="s">
        <v>184</v>
      </c>
      <c r="J450" s="71">
        <f>IF(OR(I450=0,I450=""),"unrated",VLOOKUP(I450,MappingTables!$B$19:$C$31,2,FALSE))</f>
        <v>5</v>
      </c>
      <c r="K450" s="72">
        <v>22370.415735759308</v>
      </c>
      <c r="L450" s="70">
        <v>1.2058937908081982</v>
      </c>
      <c r="M450" s="71">
        <f>IF(L450&lt;1,1,L450)</f>
        <v>1.2058937908081982</v>
      </c>
      <c r="N450" s="70" t="s">
        <v>141</v>
      </c>
      <c r="O450" s="71">
        <f>INDEX(DurClassMapping,MATCH(M450,MappingTables!$D$4:$D$8,-1),1)</f>
        <v>1</v>
      </c>
      <c r="P450" s="73">
        <f>IF(M450=$A$1,1,$M450-INDEX(MappingTables!$E$4:$E$8,MATCH(O450,MappingTables!$B$4:$B$8,0)))</f>
        <v>1.2058937908081982</v>
      </c>
      <c r="Q450" s="71">
        <f>IF(B450="",0,INDEX(ModelParameters!$D$6:$K$10,MATCH($O450,ModelParameters!$B$6:$B$10,0),MATCH($J450,ModelParameters!$D$5:$K$5,0)))</f>
        <v>0.075</v>
      </c>
      <c r="R450" s="71">
        <f>IF(B450="",0,INDEX(ModelParameters!$D$13:$K$17,MATCH($O450,ModelParameters!$B$13:$B$17,0),MATCH($J450,ModelParameters!$D$5:$K$5,0)))</f>
        <v>0</v>
      </c>
      <c r="S450" s="160">
        <f>IF(B450="",0,MIN(IF($N450="Other Bond TM",ModelParameters!$N$21,1)*(P450*Q450+R450),1))</f>
        <v>0.090442034310614864</v>
      </c>
      <c r="T450" s="85">
        <f>IF(B450="",0,$S450*$K450)</f>
        <v>2023.2259075162616</v>
      </c>
      <c r="U450" s="85">
        <f>IF(B450="",0,IF(OR(H450=MappingTables!$C$34,H450=MappingTables!$C$35),T450,0))</f>
        <v>0</v>
      </c>
      <c r="V450" s="85">
        <f>IF(ISNA(IF(AND(VLOOKUP(CONCATENATE($D450,$G450),CSRFinput!$B:$E,4,0)=0,OR(H450=MappingTables!$C$34,H450=MappingTables!$C$35)),1,VLOOKUP(CONCATENATE($D450,$G450),CSRFinput!$B:$E,4,0))),0,IF(AND(VLOOKUP(CONCATENATE($D450,$G450),CSRFinput!$B:$E,4,0)=0,OR(H450=MappingTables!$C$34,H450=MappingTables!$C$35)),1,VLOOKUP(CONCATENATE($D450,$G450),CSRFinput!$B:$E,4,0)))</f>
        <v>0.054776304963434752</v>
      </c>
      <c r="W450" s="85">
        <f>IF(B450="",0,+$T450*$V450)</f>
        <v>110.8248393200328</v>
      </c>
      <c r="X450" s="85">
        <f>IF(B450="",0,IF(OR(H450=MappingTables!$C$34,H450=MappingTables!$C$35),W450,0))</f>
        <v>0</v>
      </c>
    </row>
    <row r="451" spans="2:24" s="0" customFormat="0" ht="15">
      <c r="B451" s="69">
        <v>17356653</v>
      </c>
      <c r="C451" s="70" t="s">
        <v>719</v>
      </c>
      <c r="D451" s="70" t="s">
        <v>1</v>
      </c>
      <c r="E451" s="70" t="s">
        <v>1</v>
      </c>
      <c r="F451" s="70"/>
      <c r="G451" s="70" t="s">
        <v>61</v>
      </c>
      <c r="H451" s="70" t="s">
        <v>178</v>
      </c>
      <c r="I451" s="70" t="s">
        <v>188</v>
      </c>
      <c r="J451" s="71">
        <f>IF(OR(I451=0,I451=""),"unrated",VLOOKUP(I451,MappingTables!$B$19:$C$31,2,FALSE))</f>
        <v>2</v>
      </c>
      <c r="K451" s="72">
        <v>386.38855006685112</v>
      </c>
      <c r="L451" s="70">
        <v>2.3747537345226896</v>
      </c>
      <c r="M451" s="71">
        <f>IF(L451&lt;1,1,L451)</f>
        <v>2.3747537345226896</v>
      </c>
      <c r="N451" s="70" t="s">
        <v>141</v>
      </c>
      <c r="O451" s="71">
        <f>INDEX(DurClassMapping,MATCH(M451,MappingTables!$D$4:$D$8,-1),1)</f>
        <v>1</v>
      </c>
      <c r="P451" s="73">
        <f>IF(M451=$A$1,1,$M451-INDEX(MappingTables!$E$4:$E$8,MATCH(O451,MappingTables!$B$4:$B$8,0)))</f>
        <v>2.3747537345226896</v>
      </c>
      <c r="Q451" s="71">
        <f>IF(B451="",0,INDEX(ModelParameters!$D$6:$K$10,MATCH($O451,ModelParameters!$B$6:$B$10,0),MATCH($J451,ModelParameters!$D$5:$K$5,0)))</f>
        <v>0.013999999999999998</v>
      </c>
      <c r="R451" s="71">
        <f>IF(B451="",0,INDEX(ModelParameters!$D$13:$K$17,MATCH($O451,ModelParameters!$B$13:$B$17,0),MATCH($J451,ModelParameters!$D$5:$K$5,0)))</f>
        <v>0</v>
      </c>
      <c r="S451" s="160">
        <f>IF(B451="",0,MIN(IF($N451="Other Bond TM",ModelParameters!$N$21,1)*(P451*Q451+R451),1))</f>
        <v>0.033246552283317644</v>
      </c>
      <c r="T451" s="85">
        <f>IF(B451="",0,$S451*$K451)</f>
        <v>12.846087131472864</v>
      </c>
      <c r="U451" s="85">
        <f>IF(B451="",0,IF(OR(H451=MappingTables!$C$34,H451=MappingTables!$C$35),T451,0))</f>
        <v>0</v>
      </c>
      <c r="V451" s="85">
        <f>IF(ISNA(IF(AND(VLOOKUP(CONCATENATE($D451,$G451),CSRFinput!$B:$E,4,0)=0,OR(H451=MappingTables!$C$34,H451=MappingTables!$C$35)),1,VLOOKUP(CONCATENATE($D451,$G451),CSRFinput!$B:$E,4,0))),0,IF(AND(VLOOKUP(CONCATENATE($D451,$G451),CSRFinput!$B:$E,4,0)=0,OR(H451=MappingTables!$C$34,H451=MappingTables!$C$35)),1,VLOOKUP(CONCATENATE($D451,$G451),CSRFinput!$B:$E,4,0)))</f>
        <v>0.054776304963434752</v>
      </c>
      <c r="W451" s="85">
        <f>IF(B451="",0,+$T451*$V451)</f>
        <v>0.70366118630041232</v>
      </c>
      <c r="X451" s="85">
        <f>IF(B451="",0,IF(OR(H451=MappingTables!$C$34,H451=MappingTables!$C$35),W451,0))</f>
        <v>0</v>
      </c>
    </row>
    <row r="452" spans="2:24" s="0" customFormat="0" ht="15">
      <c r="B452" s="69">
        <v>7676900</v>
      </c>
      <c r="C452" s="70" t="s">
        <v>720</v>
      </c>
      <c r="D452" s="70" t="s">
        <v>1</v>
      </c>
      <c r="E452" s="70" t="s">
        <v>1</v>
      </c>
      <c r="F452" s="70"/>
      <c r="G452" s="70" t="s">
        <v>61</v>
      </c>
      <c r="H452" s="70" t="s">
        <v>178</v>
      </c>
      <c r="I452" s="70" t="s">
        <v>198</v>
      </c>
      <c r="J452" s="71" t="str">
        <f>IF(OR(I452=0,I452=""),"unrated",VLOOKUP(I452,MappingTables!$B$19:$C$31,2,FALSE))</f>
        <v>unrated</v>
      </c>
      <c r="K452" s="72">
        <v>132.49081990730144</v>
      </c>
      <c r="L452" s="70">
        <v>0.038353371482844488</v>
      </c>
      <c r="M452" s="71">
        <f>IF(L452&lt;1,1,L452)</f>
        <v>1</v>
      </c>
      <c r="N452" s="70" t="s">
        <v>141</v>
      </c>
      <c r="O452" s="71">
        <f>INDEX(DurClassMapping,MATCH(M452,MappingTables!$D$4:$D$8,-1),1)</f>
        <v>1</v>
      </c>
      <c r="P452" s="73">
        <f>IF(M452=$A$1,1,$M452-INDEX(MappingTables!$E$4:$E$8,MATCH(O452,MappingTables!$B$4:$B$8,0)))</f>
        <v>1</v>
      </c>
      <c r="Q452" s="71">
        <f>IF(B452="",0,INDEX(ModelParameters!$D$6:$K$10,MATCH($O452,ModelParameters!$B$6:$B$10,0),MATCH($J452,ModelParameters!$D$5:$K$5,0)))</f>
        <v>0.03</v>
      </c>
      <c r="R452" s="71">
        <f>IF(B452="",0,INDEX(ModelParameters!$D$13:$K$17,MATCH($O452,ModelParameters!$B$13:$B$17,0),MATCH($J452,ModelParameters!$D$5:$K$5,0)))</f>
        <v>0</v>
      </c>
      <c r="S452" s="160">
        <f>IF(B452="",0,MIN(IF($N452="Other Bond TM",ModelParameters!$N$21,1)*(P452*Q452+R452),1))</f>
        <v>0.03</v>
      </c>
      <c r="T452" s="85">
        <f>IF(B452="",0,$S452*$K452)</f>
        <v>3.9747245972190432</v>
      </c>
      <c r="U452" s="85">
        <f>IF(B452="",0,IF(OR(H452=MappingTables!$C$34,H452=MappingTables!$C$35),T452,0))</f>
        <v>0</v>
      </c>
      <c r="V452" s="85">
        <f>IF(ISNA(IF(AND(VLOOKUP(CONCATENATE($D452,$G452),CSRFinput!$B:$E,4,0)=0,OR(H452=MappingTables!$C$34,H452=MappingTables!$C$35)),1,VLOOKUP(CONCATENATE($D452,$G452),CSRFinput!$B:$E,4,0))),0,IF(AND(VLOOKUP(CONCATENATE($D452,$G452),CSRFinput!$B:$E,4,0)=0,OR(H452=MappingTables!$C$34,H452=MappingTables!$C$35)),1,VLOOKUP(CONCATENATE($D452,$G452),CSRFinput!$B:$E,4,0)))</f>
        <v>0.054776304963434752</v>
      </c>
      <c r="W452" s="85">
        <f>IF(B452="",0,+$T452*$V452)</f>
        <v>0.21772072668293568</v>
      </c>
      <c r="X452" s="85">
        <f>IF(B452="",0,IF(OR(H452=MappingTables!$C$34,H452=MappingTables!$C$35),W452,0))</f>
        <v>0</v>
      </c>
    </row>
    <row r="453" spans="2:24" s="0" customFormat="0" ht="15">
      <c r="B453" s="69">
        <v>15422375</v>
      </c>
      <c r="C453" s="70" t="s">
        <v>721</v>
      </c>
      <c r="D453" s="70" t="s">
        <v>1</v>
      </c>
      <c r="E453" s="70" t="s">
        <v>1</v>
      </c>
      <c r="F453" s="70"/>
      <c r="G453" s="70" t="s">
        <v>61</v>
      </c>
      <c r="H453" s="70" t="s">
        <v>178</v>
      </c>
      <c r="I453" s="70" t="s">
        <v>181</v>
      </c>
      <c r="J453" s="71">
        <f>IF(OR(I453=0,I453=""),"unrated",VLOOKUP(I453,MappingTables!$B$19:$C$31,2,FALSE))</f>
        <v>3</v>
      </c>
      <c r="K453" s="72">
        <v>85.488819296393088</v>
      </c>
      <c r="L453" s="70">
        <v>0.013700204407745798</v>
      </c>
      <c r="M453" s="71">
        <f>IF(L453&lt;1,1,L453)</f>
        <v>1</v>
      </c>
      <c r="N453" s="70" t="s">
        <v>141</v>
      </c>
      <c r="O453" s="71">
        <f>INDEX(DurClassMapping,MATCH(M453,MappingTables!$D$4:$D$8,-1),1)</f>
        <v>1</v>
      </c>
      <c r="P453" s="73">
        <f>IF(M453=$A$1,1,$M453-INDEX(MappingTables!$E$4:$E$8,MATCH(O453,MappingTables!$B$4:$B$8,0)))</f>
        <v>1</v>
      </c>
      <c r="Q453" s="71">
        <f>IF(B453="",0,INDEX(ModelParameters!$D$6:$K$10,MATCH($O453,ModelParameters!$B$6:$B$10,0),MATCH($J453,ModelParameters!$D$5:$K$5,0)))</f>
        <v>0.025</v>
      </c>
      <c r="R453" s="71">
        <f>IF(B453="",0,INDEX(ModelParameters!$D$13:$K$17,MATCH($O453,ModelParameters!$B$13:$B$17,0),MATCH($J453,ModelParameters!$D$5:$K$5,0)))</f>
        <v>0</v>
      </c>
      <c r="S453" s="160">
        <f>IF(B453="",0,MIN(IF($N453="Other Bond TM",ModelParameters!$N$21,1)*(P453*Q453+R453),1))</f>
        <v>0.025</v>
      </c>
      <c r="T453" s="85">
        <f>IF(B453="",0,$S453*$K453)</f>
        <v>2.1372204824098272</v>
      </c>
      <c r="U453" s="85">
        <f>IF(B453="",0,IF(OR(H453=MappingTables!$C$34,H453=MappingTables!$C$35),T453,0))</f>
        <v>0</v>
      </c>
      <c r="V453" s="85">
        <f>IF(ISNA(IF(AND(VLOOKUP(CONCATENATE($D453,$G453),CSRFinput!$B:$E,4,0)=0,OR(H453=MappingTables!$C$34,H453=MappingTables!$C$35)),1,VLOOKUP(CONCATENATE($D453,$G453),CSRFinput!$B:$E,4,0))),0,IF(AND(VLOOKUP(CONCATENATE($D453,$G453),CSRFinput!$B:$E,4,0)=0,OR(H453=MappingTables!$C$34,H453=MappingTables!$C$35)),1,VLOOKUP(CONCATENATE($D453,$G453),CSRFinput!$B:$E,4,0)))</f>
        <v>0.054776304963434752</v>
      </c>
      <c r="W453" s="85">
        <f>IF(B453="",0,+$T453*$V453)</f>
        <v>0.11706904091857984</v>
      </c>
      <c r="X453" s="85">
        <f>IF(B453="",0,IF(OR(H453=MappingTables!$C$34,H453=MappingTables!$C$35),W453,0))</f>
        <v>0</v>
      </c>
    </row>
    <row r="454" spans="2:24" s="0" customFormat="0" ht="15">
      <c r="B454" s="69">
        <v>2145309</v>
      </c>
      <c r="C454" s="70" t="s">
        <v>722</v>
      </c>
      <c r="D454" s="70" t="s">
        <v>1</v>
      </c>
      <c r="E454" s="70" t="s">
        <v>1</v>
      </c>
      <c r="F454" s="70"/>
      <c r="G454" s="70" t="s">
        <v>61</v>
      </c>
      <c r="H454" s="70" t="s">
        <v>178</v>
      </c>
      <c r="I454" s="70" t="s">
        <v>181</v>
      </c>
      <c r="J454" s="71">
        <f>IF(OR(I454=0,I454=""),"unrated",VLOOKUP(I454,MappingTables!$B$19:$C$31,2,FALSE))</f>
        <v>3</v>
      </c>
      <c r="K454" s="72">
        <v>523665.77148437504</v>
      </c>
      <c r="L454" s="70">
        <v>0.30684933342968436</v>
      </c>
      <c r="M454" s="71">
        <f>IF(L454&lt;1,1,L454)</f>
        <v>1</v>
      </c>
      <c r="N454" s="70" t="s">
        <v>141</v>
      </c>
      <c r="O454" s="71">
        <f>INDEX(DurClassMapping,MATCH(M454,MappingTables!$D$4:$D$8,-1),1)</f>
        <v>1</v>
      </c>
      <c r="P454" s="73">
        <f>IF(M454=$A$1,1,$M454-INDEX(MappingTables!$E$4:$E$8,MATCH(O454,MappingTables!$B$4:$B$8,0)))</f>
        <v>1</v>
      </c>
      <c r="Q454" s="71">
        <f>IF(B454="",0,INDEX(ModelParameters!$D$6:$K$10,MATCH($O454,ModelParameters!$B$6:$B$10,0),MATCH($J454,ModelParameters!$D$5:$K$5,0)))</f>
        <v>0.025</v>
      </c>
      <c r="R454" s="71">
        <f>IF(B454="",0,INDEX(ModelParameters!$D$13:$K$17,MATCH($O454,ModelParameters!$B$13:$B$17,0),MATCH($J454,ModelParameters!$D$5:$K$5,0)))</f>
        <v>0</v>
      </c>
      <c r="S454" s="160">
        <f>IF(B454="",0,MIN(IF($N454="Other Bond TM",ModelParameters!$N$21,1)*(P454*Q454+R454),1))</f>
        <v>0.025</v>
      </c>
      <c r="T454" s="85">
        <f>IF(B454="",0,$S454*$K454)</f>
        <v>13091.644287109376</v>
      </c>
      <c r="U454" s="85">
        <f>IF(B454="",0,IF(OR(H454=MappingTables!$C$34,H454=MappingTables!$C$35),T454,0))</f>
        <v>0</v>
      </c>
      <c r="V454" s="85">
        <f>IF(ISNA(IF(AND(VLOOKUP(CONCATENATE($D454,$G454),CSRFinput!$B:$E,4,0)=0,OR(H454=MappingTables!$C$34,H454=MappingTables!$C$35)),1,VLOOKUP(CONCATENATE($D454,$G454),CSRFinput!$B:$E,4,0))),0,IF(AND(VLOOKUP(CONCATENATE($D454,$G454),CSRFinput!$B:$E,4,0)=0,OR(H454=MappingTables!$C$34,H454=MappingTables!$C$35)),1,VLOOKUP(CONCATENATE($D454,$G454),CSRFinput!$B:$E,4,0)))</f>
        <v>0.054776304963434752</v>
      </c>
      <c r="W454" s="85">
        <f>IF(B454="",0,+$T454*$V454)</f>
        <v>717.11189994351152</v>
      </c>
      <c r="X454" s="85">
        <f>IF(B454="",0,IF(OR(H454=MappingTables!$C$34,H454=MappingTables!$C$35),W454,0))</f>
        <v>0</v>
      </c>
    </row>
    <row r="455" spans="2:24" s="0" customFormat="0" ht="15">
      <c r="B455" s="69" t="s">
        <v>723</v>
      </c>
      <c r="C455" s="70" t="s">
        <v>724</v>
      </c>
      <c r="D455" s="70" t="s">
        <v>1</v>
      </c>
      <c r="E455" s="70" t="s">
        <v>1</v>
      </c>
      <c r="F455" s="70"/>
      <c r="G455" s="70" t="s">
        <v>61</v>
      </c>
      <c r="H455" s="70" t="s">
        <v>178</v>
      </c>
      <c r="I455" s="70" t="s">
        <v>181</v>
      </c>
      <c r="J455" s="71">
        <f>IF(OR(I455=0,I455=""),"unrated",VLOOKUP(I455,MappingTables!$B$19:$C$31,2,FALSE))</f>
        <v>3</v>
      </c>
      <c r="K455" s="72">
        <v>226.58137705328152</v>
      </c>
      <c r="L455" s="70">
        <v>8.5303502039563952</v>
      </c>
      <c r="M455" s="71">
        <f>IF(L455&lt;1,1,L455)</f>
        <v>8.5303502039563952</v>
      </c>
      <c r="N455" s="70" t="s">
        <v>141</v>
      </c>
      <c r="O455" s="71">
        <f>INDEX(DurClassMapping,MATCH(M455,MappingTables!$D$4:$D$8,-1),1)</f>
        <v>2</v>
      </c>
      <c r="P455" s="73">
        <f>IF(M455=$A$1,1,$M455-INDEX(MappingTables!$E$4:$E$8,MATCH(O455,MappingTables!$B$4:$B$8,0)))</f>
        <v>3.5303502039563952</v>
      </c>
      <c r="Q455" s="71">
        <f>IF(B455="",0,INDEX(ModelParameters!$D$6:$K$10,MATCH($O455,ModelParameters!$B$6:$B$10,0),MATCH($J455,ModelParameters!$D$5:$K$5,0)))</f>
        <v>0.015</v>
      </c>
      <c r="R455" s="71">
        <f>IF(B455="",0,INDEX(ModelParameters!$D$13:$K$17,MATCH($O455,ModelParameters!$B$13:$B$17,0),MATCH($J455,ModelParameters!$D$5:$K$5,0)))</f>
        <v>0.125</v>
      </c>
      <c r="S455" s="160">
        <f>IF(B455="",0,MIN(IF($N455="Other Bond TM",ModelParameters!$N$21,1)*(P455*Q455+R455),1))</f>
        <v>0.17795525305934592</v>
      </c>
      <c r="T455" s="85">
        <f>IF(B455="",0,$S455*$K455)</f>
        <v>40.321346292051792</v>
      </c>
      <c r="U455" s="85">
        <f>IF(B455="",0,IF(OR(H455=MappingTables!$C$34,H455=MappingTables!$C$35),T455,0))</f>
        <v>0</v>
      </c>
      <c r="V455" s="85">
        <f>IF(ISNA(IF(AND(VLOOKUP(CONCATENATE($D455,$G455),CSRFinput!$B:$E,4,0)=0,OR(H455=MappingTables!$C$34,H455=MappingTables!$C$35)),1,VLOOKUP(CONCATENATE($D455,$G455),CSRFinput!$B:$E,4,0))),0,IF(AND(VLOOKUP(CONCATENATE($D455,$G455),CSRFinput!$B:$E,4,0)=0,OR(H455=MappingTables!$C$34,H455=MappingTables!$C$35)),1,VLOOKUP(CONCATENATE($D455,$G455),CSRFinput!$B:$E,4,0)))</f>
        <v>0.054776304963434752</v>
      </c>
      <c r="W455" s="85">
        <f>IF(B455="",0,+$T455*$V455)</f>
        <v>2.208654361029688</v>
      </c>
      <c r="X455" s="85">
        <f>IF(B455="",0,IF(OR(H455=MappingTables!$C$34,H455=MappingTables!$C$35),W455,0))</f>
        <v>0</v>
      </c>
    </row>
    <row r="456" spans="2:24" s="0" customFormat="0" ht="15">
      <c r="B456" s="69" t="s">
        <v>725</v>
      </c>
      <c r="C456" s="70" t="s">
        <v>726</v>
      </c>
      <c r="D456" s="70" t="s">
        <v>1</v>
      </c>
      <c r="E456" s="70" t="s">
        <v>1</v>
      </c>
      <c r="F456" s="70"/>
      <c r="G456" s="70" t="s">
        <v>61</v>
      </c>
      <c r="H456" s="70" t="s">
        <v>178</v>
      </c>
      <c r="I456" s="70" t="s">
        <v>188</v>
      </c>
      <c r="J456" s="71">
        <f>IF(OR(I456=0,I456=""),"unrated",VLOOKUP(I456,MappingTables!$B$19:$C$31,2,FALSE))</f>
        <v>2</v>
      </c>
      <c r="K456" s="72">
        <v>855.26587068206912</v>
      </c>
      <c r="L456" s="70">
        <v>0.78174001802380864</v>
      </c>
      <c r="M456" s="71">
        <f>IF(L456&lt;1,1,L456)</f>
        <v>1</v>
      </c>
      <c r="N456" s="70" t="s">
        <v>141</v>
      </c>
      <c r="O456" s="71">
        <f>INDEX(DurClassMapping,MATCH(M456,MappingTables!$D$4:$D$8,-1),1)</f>
        <v>1</v>
      </c>
      <c r="P456" s="73">
        <f>IF(M456=$A$1,1,$M456-INDEX(MappingTables!$E$4:$E$8,MATCH(O456,MappingTables!$B$4:$B$8,0)))</f>
        <v>1</v>
      </c>
      <c r="Q456" s="71">
        <f>IF(B456="",0,INDEX(ModelParameters!$D$6:$K$10,MATCH($O456,ModelParameters!$B$6:$B$10,0),MATCH($J456,ModelParameters!$D$5:$K$5,0)))</f>
        <v>0.013999999999999998</v>
      </c>
      <c r="R456" s="71">
        <f>IF(B456="",0,INDEX(ModelParameters!$D$13:$K$17,MATCH($O456,ModelParameters!$B$13:$B$17,0),MATCH($J456,ModelParameters!$D$5:$K$5,0)))</f>
        <v>0</v>
      </c>
      <c r="S456" s="160">
        <f>IF(B456="",0,MIN(IF($N456="Other Bond TM",ModelParameters!$N$21,1)*(P456*Q456+R456),1))</f>
        <v>0.013999999999999998</v>
      </c>
      <c r="T456" s="85">
        <f>IF(B456="",0,$S456*$K456)</f>
        <v>11.973722189548968</v>
      </c>
      <c r="U456" s="85">
        <f>IF(B456="",0,IF(OR(H456=MappingTables!$C$34,H456=MappingTables!$C$35),T456,0))</f>
        <v>0</v>
      </c>
      <c r="V456" s="85">
        <f>IF(ISNA(IF(AND(VLOOKUP(CONCATENATE($D456,$G456),CSRFinput!$B:$E,4,0)=0,OR(H456=MappingTables!$C$34,H456=MappingTables!$C$35)),1,VLOOKUP(CONCATENATE($D456,$G456),CSRFinput!$B:$E,4,0))),0,IF(AND(VLOOKUP(CONCATENATE($D456,$G456),CSRFinput!$B:$E,4,0)=0,OR(H456=MappingTables!$C$34,H456=MappingTables!$C$35)),1,VLOOKUP(CONCATENATE($D456,$G456),CSRFinput!$B:$E,4,0)))</f>
        <v>0.054776304963434752</v>
      </c>
      <c r="W456" s="85">
        <f>IF(B456="",0,+$T456*$V456)</f>
        <v>0.65587625820218</v>
      </c>
      <c r="X456" s="85">
        <f>IF(B456="",0,IF(OR(H456=MappingTables!$C$34,H456=MappingTables!$C$35),W456,0))</f>
        <v>0</v>
      </c>
    </row>
    <row r="457" spans="2:24" s="0" customFormat="0" ht="15">
      <c r="B457" s="69">
        <v>19579226</v>
      </c>
      <c r="C457" s="70" t="s">
        <v>727</v>
      </c>
      <c r="D457" s="70" t="s">
        <v>1</v>
      </c>
      <c r="E457" s="70" t="s">
        <v>1</v>
      </c>
      <c r="F457" s="70"/>
      <c r="G457" s="70" t="s">
        <v>61</v>
      </c>
      <c r="H457" s="70" t="s">
        <v>178</v>
      </c>
      <c r="I457" s="70" t="s">
        <v>181</v>
      </c>
      <c r="J457" s="71">
        <f>IF(OR(I457=0,I457=""),"unrated",VLOOKUP(I457,MappingTables!$B$19:$C$31,2,FALSE))</f>
        <v>3</v>
      </c>
      <c r="K457" s="72">
        <v>6997.4332090401488</v>
      </c>
      <c r="L457" s="70">
        <v>3.2404279010807536</v>
      </c>
      <c r="M457" s="71">
        <f>IF(L457&lt;1,1,L457)</f>
        <v>3.2404279010807536</v>
      </c>
      <c r="N457" s="70" t="s">
        <v>141</v>
      </c>
      <c r="O457" s="71">
        <f>INDEX(DurClassMapping,MATCH(M457,MappingTables!$D$4:$D$8,-1),1)</f>
        <v>1</v>
      </c>
      <c r="P457" s="73">
        <f>IF(M457=$A$1,1,$M457-INDEX(MappingTables!$E$4:$E$8,MATCH(O457,MappingTables!$B$4:$B$8,0)))</f>
        <v>3.2404279010807536</v>
      </c>
      <c r="Q457" s="71">
        <f>IF(B457="",0,INDEX(ModelParameters!$D$6:$K$10,MATCH($O457,ModelParameters!$B$6:$B$10,0),MATCH($J457,ModelParameters!$D$5:$K$5,0)))</f>
        <v>0.025</v>
      </c>
      <c r="R457" s="71">
        <f>IF(B457="",0,INDEX(ModelParameters!$D$13:$K$17,MATCH($O457,ModelParameters!$B$13:$B$17,0),MATCH($J457,ModelParameters!$D$5:$K$5,0)))</f>
        <v>0</v>
      </c>
      <c r="S457" s="160">
        <f>IF(B457="",0,MIN(IF($N457="Other Bond TM",ModelParameters!$N$21,1)*(P457*Q457+R457),1))</f>
        <v>0.081010697527018832</v>
      </c>
      <c r="T457" s="85">
        <f>IF(B457="",0,$S457*$K457)</f>
        <v>566.86694516306832</v>
      </c>
      <c r="U457" s="85">
        <f>IF(B457="",0,IF(OR(H457=MappingTables!$C$34,H457=MappingTables!$C$35),T457,0))</f>
        <v>0</v>
      </c>
      <c r="V457" s="85">
        <f>IF(ISNA(IF(AND(VLOOKUP(CONCATENATE($D457,$G457),CSRFinput!$B:$E,4,0)=0,OR(H457=MappingTables!$C$34,H457=MappingTables!$C$35)),1,VLOOKUP(CONCATENATE($D457,$G457),CSRFinput!$B:$E,4,0))),0,IF(AND(VLOOKUP(CONCATENATE($D457,$G457),CSRFinput!$B:$E,4,0)=0,OR(H457=MappingTables!$C$34,H457=MappingTables!$C$35)),1,VLOOKUP(CONCATENATE($D457,$G457),CSRFinput!$B:$E,4,0)))</f>
        <v>0.054776304963434752</v>
      </c>
      <c r="W457" s="85">
        <f>IF(B457="",0,+$T457*$V457)</f>
        <v>31.050876661942872</v>
      </c>
      <c r="X457" s="85">
        <f>IF(B457="",0,IF(OR(H457=MappingTables!$C$34,H457=MappingTables!$C$35),W457,0))</f>
        <v>0</v>
      </c>
    </row>
    <row r="458" spans="2:24" s="0" customFormat="0" ht="15">
      <c r="B458" s="69">
        <v>24247290</v>
      </c>
      <c r="C458" s="70" t="s">
        <v>728</v>
      </c>
      <c r="D458" s="70" t="s">
        <v>1</v>
      </c>
      <c r="E458" s="70" t="s">
        <v>1</v>
      </c>
      <c r="F458" s="70"/>
      <c r="G458" s="70" t="s">
        <v>61</v>
      </c>
      <c r="H458" s="70" t="s">
        <v>178</v>
      </c>
      <c r="I458" s="70" t="s">
        <v>220</v>
      </c>
      <c r="J458" s="71">
        <f>IF(OR(I458=0,I458=""),"unrated",VLOOKUP(I458,MappingTables!$B$19:$C$31,2,FALSE))</f>
        <v>1</v>
      </c>
      <c r="K458" s="72">
        <v>558.28920804156072</v>
      </c>
      <c r="L458" s="70">
        <v>1.6631247716870772</v>
      </c>
      <c r="M458" s="71">
        <f>IF(L458&lt;1,1,L458)</f>
        <v>1.6631247716870772</v>
      </c>
      <c r="N458" s="70" t="s">
        <v>141</v>
      </c>
      <c r="O458" s="71">
        <f>INDEX(DurClassMapping,MATCH(M458,MappingTables!$D$4:$D$8,-1),1)</f>
        <v>1</v>
      </c>
      <c r="P458" s="73">
        <f>IF(M458=$A$1,1,$M458-INDEX(MappingTables!$E$4:$E$8,MATCH(O458,MappingTables!$B$4:$B$8,0)))</f>
        <v>1.6631247716870772</v>
      </c>
      <c r="Q458" s="71">
        <f>IF(B458="",0,INDEX(ModelParameters!$D$6:$K$10,MATCH($O458,ModelParameters!$B$6:$B$10,0),MATCH($J458,ModelParameters!$D$5:$K$5,0)))</f>
        <v>0.011000000000000002</v>
      </c>
      <c r="R458" s="71">
        <f>IF(B458="",0,INDEX(ModelParameters!$D$13:$K$17,MATCH($O458,ModelParameters!$B$13:$B$17,0),MATCH($J458,ModelParameters!$D$5:$K$5,0)))</f>
        <v>0</v>
      </c>
      <c r="S458" s="160">
        <f>IF(B458="",0,MIN(IF($N458="Other Bond TM",ModelParameters!$N$21,1)*(P458*Q458+R458),1))</f>
        <v>0.018294372488557852</v>
      </c>
      <c r="T458" s="85">
        <f>IF(B458="",0,$S458*$K458)</f>
        <v>10.21355072825428</v>
      </c>
      <c r="U458" s="85">
        <f>IF(B458="",0,IF(OR(H458=MappingTables!$C$34,H458=MappingTables!$C$35),T458,0))</f>
        <v>0</v>
      </c>
      <c r="V458" s="85">
        <f>IF(ISNA(IF(AND(VLOOKUP(CONCATENATE($D458,$G458),CSRFinput!$B:$E,4,0)=0,OR(H458=MappingTables!$C$34,H458=MappingTables!$C$35)),1,VLOOKUP(CONCATENATE($D458,$G458),CSRFinput!$B:$E,4,0))),0,IF(AND(VLOOKUP(CONCATENATE($D458,$G458),CSRFinput!$B:$E,4,0)=0,OR(H458=MappingTables!$C$34,H458=MappingTables!$C$35)),1,VLOOKUP(CONCATENATE($D458,$G458),CSRFinput!$B:$E,4,0)))</f>
        <v>0.054776304963434752</v>
      </c>
      <c r="W458" s="85">
        <f>IF(B458="",0,+$T458*$V458)</f>
        <v>0.5594605694503676</v>
      </c>
      <c r="X458" s="85">
        <f>IF(B458="",0,IF(OR(H458=MappingTables!$C$34,H458=MappingTables!$C$35),W458,0))</f>
        <v>0</v>
      </c>
    </row>
    <row r="459" spans="2:24" s="0" customFormat="0" ht="15">
      <c r="B459" s="69">
        <v>13662077</v>
      </c>
      <c r="C459" s="70" t="s">
        <v>729</v>
      </c>
      <c r="D459" s="70" t="s">
        <v>1</v>
      </c>
      <c r="E459" s="70" t="s">
        <v>1</v>
      </c>
      <c r="F459" s="70"/>
      <c r="G459" s="70" t="s">
        <v>61</v>
      </c>
      <c r="H459" s="70" t="s">
        <v>178</v>
      </c>
      <c r="I459" s="70" t="s">
        <v>198</v>
      </c>
      <c r="J459" s="71" t="str">
        <f>IF(OR(I459=0,I459=""),"unrated",VLOOKUP(I459,MappingTables!$B$19:$C$31,2,FALSE))</f>
        <v>unrated</v>
      </c>
      <c r="K459" s="72">
        <v>1.0568390374120506</v>
      </c>
      <c r="L459" s="70">
        <v>0.087671317886508496</v>
      </c>
      <c r="M459" s="71">
        <f>IF(L459&lt;1,1,L459)</f>
        <v>1</v>
      </c>
      <c r="N459" s="70" t="s">
        <v>141</v>
      </c>
      <c r="O459" s="71">
        <f>INDEX(DurClassMapping,MATCH(M459,MappingTables!$D$4:$D$8,-1),1)</f>
        <v>1</v>
      </c>
      <c r="P459" s="73">
        <f>IF(M459=$A$1,1,$M459-INDEX(MappingTables!$E$4:$E$8,MATCH(O459,MappingTables!$B$4:$B$8,0)))</f>
        <v>1</v>
      </c>
      <c r="Q459" s="71">
        <f>IF(B459="",0,INDEX(ModelParameters!$D$6:$K$10,MATCH($O459,ModelParameters!$B$6:$B$10,0),MATCH($J459,ModelParameters!$D$5:$K$5,0)))</f>
        <v>0.03</v>
      </c>
      <c r="R459" s="71">
        <f>IF(B459="",0,INDEX(ModelParameters!$D$13:$K$17,MATCH($O459,ModelParameters!$B$13:$B$17,0),MATCH($J459,ModelParameters!$D$5:$K$5,0)))</f>
        <v>0</v>
      </c>
      <c r="S459" s="160">
        <f>IF(B459="",0,MIN(IF($N459="Other Bond TM",ModelParameters!$N$21,1)*(P459*Q459+R459),1))</f>
        <v>0.03</v>
      </c>
      <c r="T459" s="85">
        <f>IF(B459="",0,$S459*$K459)</f>
        <v>0.03170517112236152</v>
      </c>
      <c r="U459" s="85">
        <f>IF(B459="",0,IF(OR(H459=MappingTables!$C$34,H459=MappingTables!$C$35),T459,0))</f>
        <v>0</v>
      </c>
      <c r="V459" s="85">
        <f>IF(ISNA(IF(AND(VLOOKUP(CONCATENATE($D459,$G459),CSRFinput!$B:$E,4,0)=0,OR(H459=MappingTables!$C$34,H459=MappingTables!$C$35)),1,VLOOKUP(CONCATENATE($D459,$G459),CSRFinput!$B:$E,4,0))),0,IF(AND(VLOOKUP(CONCATENATE($D459,$G459),CSRFinput!$B:$E,4,0)=0,OR(H459=MappingTables!$C$34,H459=MappingTables!$C$35)),1,VLOOKUP(CONCATENATE($D459,$G459),CSRFinput!$B:$E,4,0)))</f>
        <v>0.054776304963434752</v>
      </c>
      <c r="W459" s="85">
        <f>IF(B459="",0,+$T459*$V459)</f>
        <v>0.0017366921223163596</v>
      </c>
      <c r="X459" s="85">
        <f>IF(B459="",0,IF(OR(H459=MappingTables!$C$34,H459=MappingTables!$C$35),W459,0))</f>
        <v>0</v>
      </c>
    </row>
    <row r="460" spans="2:24" s="0" customFormat="0" ht="15">
      <c r="B460" s="69" t="s">
        <v>730</v>
      </c>
      <c r="C460" s="70" t="s">
        <v>731</v>
      </c>
      <c r="D460" s="70" t="s">
        <v>1</v>
      </c>
      <c r="E460" s="70" t="s">
        <v>1</v>
      </c>
      <c r="F460" s="70"/>
      <c r="G460" s="70" t="s">
        <v>61</v>
      </c>
      <c r="H460" s="70" t="s">
        <v>178</v>
      </c>
      <c r="I460" s="70" t="s">
        <v>179</v>
      </c>
      <c r="J460" s="71">
        <f>IF(OR(I460=0,I460=""),"unrated",VLOOKUP(I460,MappingTables!$B$19:$C$31,2,FALSE))</f>
        <v>4</v>
      </c>
      <c r="K460" s="72">
        <v>59.512650475043824</v>
      </c>
      <c r="L460" s="70">
        <v>6.8063869577720776</v>
      </c>
      <c r="M460" s="71">
        <f>IF(L460&lt;1,1,L460)</f>
        <v>6.8063869577720776</v>
      </c>
      <c r="N460" s="70" t="s">
        <v>141</v>
      </c>
      <c r="O460" s="71">
        <f>INDEX(DurClassMapping,MATCH(M460,MappingTables!$D$4:$D$8,-1),1)</f>
        <v>2</v>
      </c>
      <c r="P460" s="73">
        <f>IF(M460=$A$1,1,$M460-INDEX(MappingTables!$E$4:$E$8,MATCH(O460,MappingTables!$B$4:$B$8,0)))</f>
        <v>1.8063869577720776</v>
      </c>
      <c r="Q460" s="71">
        <f>IF(B460="",0,INDEX(ModelParameters!$D$6:$K$10,MATCH($O460,ModelParameters!$B$6:$B$10,0),MATCH($J460,ModelParameters!$D$5:$K$5,0)))</f>
        <v>0.025</v>
      </c>
      <c r="R460" s="71">
        <f>IF(B460="",0,INDEX(ModelParameters!$D$13:$K$17,MATCH($O460,ModelParameters!$B$13:$B$17,0),MATCH($J460,ModelParameters!$D$5:$K$5,0)))</f>
        <v>0.225</v>
      </c>
      <c r="S460" s="160">
        <f>IF(B460="",0,MIN(IF($N460="Other Bond TM",ModelParameters!$N$21,1)*(P460*Q460+R460),1))</f>
        <v>0.27015967394430196</v>
      </c>
      <c r="T460" s="85">
        <f>IF(B460="",0,$S460*$K460)</f>
        <v>16.077918247899046</v>
      </c>
      <c r="U460" s="85">
        <f>IF(B460="",0,IF(OR(H460=MappingTables!$C$34,H460=MappingTables!$C$35),T460,0))</f>
        <v>0</v>
      </c>
      <c r="V460" s="85">
        <f>IF(ISNA(IF(AND(VLOOKUP(CONCATENATE($D460,$G460),CSRFinput!$B:$E,4,0)=0,OR(H460=MappingTables!$C$34,H460=MappingTables!$C$35)),1,VLOOKUP(CONCATENATE($D460,$G460),CSRFinput!$B:$E,4,0))),0,IF(AND(VLOOKUP(CONCATENATE($D460,$G460),CSRFinput!$B:$E,4,0)=0,OR(H460=MappingTables!$C$34,H460=MappingTables!$C$35)),1,VLOOKUP(CONCATENATE($D460,$G460),CSRFinput!$B:$E,4,0)))</f>
        <v>0.054776304963434752</v>
      </c>
      <c r="W460" s="85">
        <f>IF(B460="",0,+$T460*$V460)</f>
        <v>0.88068895312409072</v>
      </c>
      <c r="X460" s="85">
        <f>IF(B460="",0,IF(OR(H460=MappingTables!$C$34,H460=MappingTables!$C$35),W460,0))</f>
        <v>0</v>
      </c>
    </row>
    <row r="461" spans="2:24" s="0" customFormat="0" ht="15">
      <c r="B461" s="69" t="s">
        <v>732</v>
      </c>
      <c r="C461" s="70" t="s">
        <v>733</v>
      </c>
      <c r="D461" s="70" t="s">
        <v>1</v>
      </c>
      <c r="E461" s="70" t="s">
        <v>1</v>
      </c>
      <c r="F461" s="70"/>
      <c r="G461" s="70" t="s">
        <v>61</v>
      </c>
      <c r="H461" s="70" t="s">
        <v>178</v>
      </c>
      <c r="I461" s="70" t="s">
        <v>184</v>
      </c>
      <c r="J461" s="71">
        <f>IF(OR(I461=0,I461=""),"unrated",VLOOKUP(I461,MappingTables!$B$19:$C$31,2,FALSE))</f>
        <v>5</v>
      </c>
      <c r="K461" s="72">
        <v>186.85374099520396</v>
      </c>
      <c r="L461" s="70">
        <v>3.8432550431453224</v>
      </c>
      <c r="M461" s="71">
        <f>IF(L461&lt;1,1,L461)</f>
        <v>3.8432550431453224</v>
      </c>
      <c r="N461" s="70" t="s">
        <v>141</v>
      </c>
      <c r="O461" s="71">
        <f>INDEX(DurClassMapping,MATCH(M461,MappingTables!$D$4:$D$8,-1),1)</f>
        <v>1</v>
      </c>
      <c r="P461" s="73">
        <f>IF(M461=$A$1,1,$M461-INDEX(MappingTables!$E$4:$E$8,MATCH(O461,MappingTables!$B$4:$B$8,0)))</f>
        <v>3.8432550431453224</v>
      </c>
      <c r="Q461" s="71">
        <f>IF(B461="",0,INDEX(ModelParameters!$D$6:$K$10,MATCH($O461,ModelParameters!$B$6:$B$10,0),MATCH($J461,ModelParameters!$D$5:$K$5,0)))</f>
        <v>0.075</v>
      </c>
      <c r="R461" s="71">
        <f>IF(B461="",0,INDEX(ModelParameters!$D$13:$K$17,MATCH($O461,ModelParameters!$B$13:$B$17,0),MATCH($J461,ModelParameters!$D$5:$K$5,0)))</f>
        <v>0</v>
      </c>
      <c r="S461" s="160">
        <f>IF(B461="",0,MIN(IF($N461="Other Bond TM",ModelParameters!$N$21,1)*(P461*Q461+R461),1))</f>
        <v>0.28824412823589912</v>
      </c>
      <c r="T461" s="85">
        <f>IF(B461="",0,$S461*$K461)</f>
        <v>53.859493680779056</v>
      </c>
      <c r="U461" s="85">
        <f>IF(B461="",0,IF(OR(H461=MappingTables!$C$34,H461=MappingTables!$C$35),T461,0))</f>
        <v>0</v>
      </c>
      <c r="V461" s="85">
        <f>IF(ISNA(IF(AND(VLOOKUP(CONCATENATE($D461,$G461),CSRFinput!$B:$E,4,0)=0,OR(H461=MappingTables!$C$34,H461=MappingTables!$C$35)),1,VLOOKUP(CONCATENATE($D461,$G461),CSRFinput!$B:$E,4,0))),0,IF(AND(VLOOKUP(CONCATENATE($D461,$G461),CSRFinput!$B:$E,4,0)=0,OR(H461=MappingTables!$C$34,H461=MappingTables!$C$35)),1,VLOOKUP(CONCATENATE($D461,$G461),CSRFinput!$B:$E,4,0)))</f>
        <v>0.054776304963434752</v>
      </c>
      <c r="W461" s="85">
        <f>IF(B461="",0,+$T461*$V461)</f>
        <v>2.9502240510345404</v>
      </c>
      <c r="X461" s="85">
        <f>IF(B461="",0,IF(OR(H461=MappingTables!$C$34,H461=MappingTables!$C$35),W461,0))</f>
        <v>0</v>
      </c>
    </row>
    <row r="462" spans="2:24" s="0" customFormat="0" ht="15">
      <c r="B462" s="69" t="s">
        <v>734</v>
      </c>
      <c r="C462" s="70" t="s">
        <v>735</v>
      </c>
      <c r="D462" s="70" t="s">
        <v>1</v>
      </c>
      <c r="E462" s="70" t="s">
        <v>1</v>
      </c>
      <c r="F462" s="70"/>
      <c r="G462" s="70" t="s">
        <v>61</v>
      </c>
      <c r="H462" s="70" t="s">
        <v>178</v>
      </c>
      <c r="I462" s="70" t="s">
        <v>181</v>
      </c>
      <c r="J462" s="71">
        <f>IF(OR(I462=0,I462=""),"unrated",VLOOKUP(I462,MappingTables!$B$19:$C$31,2,FALSE))</f>
        <v>3</v>
      </c>
      <c r="K462" s="72">
        <v>3.8653197080336328</v>
      </c>
      <c r="L462" s="70">
        <v>1.1890431930890318</v>
      </c>
      <c r="M462" s="71">
        <f>IF(L462&lt;1,1,L462)</f>
        <v>1.1890431930890318</v>
      </c>
      <c r="N462" s="70" t="s">
        <v>141</v>
      </c>
      <c r="O462" s="71">
        <f>INDEX(DurClassMapping,MATCH(M462,MappingTables!$D$4:$D$8,-1),1)</f>
        <v>1</v>
      </c>
      <c r="P462" s="73">
        <f>IF(M462=$A$1,1,$M462-INDEX(MappingTables!$E$4:$E$8,MATCH(O462,MappingTables!$B$4:$B$8,0)))</f>
        <v>1.1890431930890318</v>
      </c>
      <c r="Q462" s="71">
        <f>IF(B462="",0,INDEX(ModelParameters!$D$6:$K$10,MATCH($O462,ModelParameters!$B$6:$B$10,0),MATCH($J462,ModelParameters!$D$5:$K$5,0)))</f>
        <v>0.025</v>
      </c>
      <c r="R462" s="71">
        <f>IF(B462="",0,INDEX(ModelParameters!$D$13:$K$17,MATCH($O462,ModelParameters!$B$13:$B$17,0),MATCH($J462,ModelParameters!$D$5:$K$5,0)))</f>
        <v>0</v>
      </c>
      <c r="S462" s="160">
        <f>IF(B462="",0,MIN(IF($N462="Other Bond TM",ModelParameters!$N$21,1)*(P462*Q462+R462),1))</f>
        <v>0.029726079827225792</v>
      </c>
      <c r="T462" s="85">
        <f>IF(B462="",0,$S462*$K462)</f>
        <v>0.11490080219875686</v>
      </c>
      <c r="U462" s="85">
        <f>IF(B462="",0,IF(OR(H462=MappingTables!$C$34,H462=MappingTables!$C$35),T462,0))</f>
        <v>0</v>
      </c>
      <c r="V462" s="85">
        <f>IF(ISNA(IF(AND(VLOOKUP(CONCATENATE($D462,$G462),CSRFinput!$B:$E,4,0)=0,OR(H462=MappingTables!$C$34,H462=MappingTables!$C$35)),1,VLOOKUP(CONCATENATE($D462,$G462),CSRFinput!$B:$E,4,0))),0,IF(AND(VLOOKUP(CONCATENATE($D462,$G462),CSRFinput!$B:$E,4,0)=0,OR(H462=MappingTables!$C$34,H462=MappingTables!$C$35)),1,VLOOKUP(CONCATENATE($D462,$G462),CSRFinput!$B:$E,4,0)))</f>
        <v>0.054776304963434752</v>
      </c>
      <c r="W462" s="85">
        <f>IF(B462="",0,+$T462*$V462)</f>
        <v>0.0062938413817824008</v>
      </c>
      <c r="X462" s="85">
        <f>IF(B462="",0,IF(OR(H462=MappingTables!$C$34,H462=MappingTables!$C$35),W462,0))</f>
        <v>0</v>
      </c>
    </row>
    <row r="463" spans="2:24" s="0" customFormat="0" ht="15">
      <c r="B463" s="69">
        <v>22927469</v>
      </c>
      <c r="C463" s="70" t="s">
        <v>736</v>
      </c>
      <c r="D463" s="70" t="s">
        <v>1</v>
      </c>
      <c r="E463" s="70" t="s">
        <v>1</v>
      </c>
      <c r="F463" s="70"/>
      <c r="G463" s="70" t="s">
        <v>61</v>
      </c>
      <c r="H463" s="70" t="s">
        <v>178</v>
      </c>
      <c r="I463" s="70" t="s">
        <v>188</v>
      </c>
      <c r="J463" s="71">
        <f>IF(OR(I463=0,I463=""),"unrated",VLOOKUP(I463,MappingTables!$B$19:$C$31,2,FALSE))</f>
        <v>2</v>
      </c>
      <c r="K463" s="72">
        <v>561.92735065478032</v>
      </c>
      <c r="L463" s="70">
        <v>1.0005414269857034</v>
      </c>
      <c r="M463" s="71">
        <f>IF(L463&lt;1,1,L463)</f>
        <v>1.0005414269857034</v>
      </c>
      <c r="N463" s="70" t="s">
        <v>141</v>
      </c>
      <c r="O463" s="71">
        <f>INDEX(DurClassMapping,MATCH(M463,MappingTables!$D$4:$D$8,-1),1)</f>
        <v>1</v>
      </c>
      <c r="P463" s="73">
        <f>IF(M463=$A$1,1,$M463-INDEX(MappingTables!$E$4:$E$8,MATCH(O463,MappingTables!$B$4:$B$8,0)))</f>
        <v>1.0005414269857034</v>
      </c>
      <c r="Q463" s="71">
        <f>IF(B463="",0,INDEX(ModelParameters!$D$6:$K$10,MATCH($O463,ModelParameters!$B$6:$B$10,0),MATCH($J463,ModelParameters!$D$5:$K$5,0)))</f>
        <v>0.013999999999999998</v>
      </c>
      <c r="R463" s="71">
        <f>IF(B463="",0,INDEX(ModelParameters!$D$13:$K$17,MATCH($O463,ModelParameters!$B$13:$B$17,0),MATCH($J463,ModelParameters!$D$5:$K$5,0)))</f>
        <v>0</v>
      </c>
      <c r="S463" s="160">
        <f>IF(B463="",0,MIN(IF($N463="Other Bond TM",ModelParameters!$N$21,1)*(P463*Q463+R463),1))</f>
        <v>0.014007579977799846</v>
      </c>
      <c r="T463" s="85">
        <f>IF(B463="",0,$S463*$K463)</f>
        <v>7.8712423060100128</v>
      </c>
      <c r="U463" s="85">
        <f>IF(B463="",0,IF(OR(H463=MappingTables!$C$34,H463=MappingTables!$C$35),T463,0))</f>
        <v>0</v>
      </c>
      <c r="V463" s="85">
        <f>IF(ISNA(IF(AND(VLOOKUP(CONCATENATE($D463,$G463),CSRFinput!$B:$E,4,0)=0,OR(H463=MappingTables!$C$34,H463=MappingTables!$C$35)),1,VLOOKUP(CONCATENATE($D463,$G463),CSRFinput!$B:$E,4,0))),0,IF(AND(VLOOKUP(CONCATENATE($D463,$G463),CSRFinput!$B:$E,4,0)=0,OR(H463=MappingTables!$C$34,H463=MappingTables!$C$35)),1,VLOOKUP(CONCATENATE($D463,$G463),CSRFinput!$B:$E,4,0)))</f>
        <v>0.054776304963434752</v>
      </c>
      <c r="W463" s="85">
        <f>IF(B463="",0,+$T463*$V463)</f>
        <v>0.43115756899509392</v>
      </c>
      <c r="X463" s="85">
        <f>IF(B463="",0,IF(OR(H463=MappingTables!$C$34,H463=MappingTables!$C$35),W463,0))</f>
        <v>0</v>
      </c>
    </row>
    <row r="464" spans="2:24" s="0" customFormat="0" ht="15">
      <c r="B464" s="69">
        <v>12014225</v>
      </c>
      <c r="C464" s="70" t="s">
        <v>737</v>
      </c>
      <c r="D464" s="70" t="s">
        <v>1</v>
      </c>
      <c r="E464" s="70" t="s">
        <v>1</v>
      </c>
      <c r="F464" s="70"/>
      <c r="G464" s="70" t="s">
        <v>61</v>
      </c>
      <c r="H464" s="70" t="s">
        <v>178</v>
      </c>
      <c r="I464" s="70" t="s">
        <v>220</v>
      </c>
      <c r="J464" s="71">
        <f>IF(OR(I464=0,I464=""),"unrated",VLOOKUP(I464,MappingTables!$B$19:$C$31,2,FALSE))</f>
        <v>1</v>
      </c>
      <c r="K464" s="72">
        <v>117.61826241016396</v>
      </c>
      <c r="L464" s="70">
        <v>0.41043317688968288</v>
      </c>
      <c r="M464" s="71">
        <f>IF(L464&lt;1,1,L464)</f>
        <v>1</v>
      </c>
      <c r="N464" s="70" t="s">
        <v>141</v>
      </c>
      <c r="O464" s="71">
        <f>INDEX(DurClassMapping,MATCH(M464,MappingTables!$D$4:$D$8,-1),1)</f>
        <v>1</v>
      </c>
      <c r="P464" s="73">
        <f>IF(M464=$A$1,1,$M464-INDEX(MappingTables!$E$4:$E$8,MATCH(O464,MappingTables!$B$4:$B$8,0)))</f>
        <v>1</v>
      </c>
      <c r="Q464" s="71">
        <f>IF(B464="",0,INDEX(ModelParameters!$D$6:$K$10,MATCH($O464,ModelParameters!$B$6:$B$10,0),MATCH($J464,ModelParameters!$D$5:$K$5,0)))</f>
        <v>0.011000000000000002</v>
      </c>
      <c r="R464" s="71">
        <f>IF(B464="",0,INDEX(ModelParameters!$D$13:$K$17,MATCH($O464,ModelParameters!$B$13:$B$17,0),MATCH($J464,ModelParameters!$D$5:$K$5,0)))</f>
        <v>0</v>
      </c>
      <c r="S464" s="160">
        <f>IF(B464="",0,MIN(IF($N464="Other Bond TM",ModelParameters!$N$21,1)*(P464*Q464+R464),1))</f>
        <v>0.011000000000000002</v>
      </c>
      <c r="T464" s="85">
        <f>IF(B464="",0,$S464*$K464)</f>
        <v>1.2938008865118038</v>
      </c>
      <c r="U464" s="85">
        <f>IF(B464="",0,IF(OR(H464=MappingTables!$C$34,H464=MappingTables!$C$35),T464,0))</f>
        <v>0</v>
      </c>
      <c r="V464" s="85">
        <f>IF(ISNA(IF(AND(VLOOKUP(CONCATENATE($D464,$G464),CSRFinput!$B:$E,4,0)=0,OR(H464=MappingTables!$C$34,H464=MappingTables!$C$35)),1,VLOOKUP(CONCATENATE($D464,$G464),CSRFinput!$B:$E,4,0))),0,IF(AND(VLOOKUP(CONCATENATE($D464,$G464),CSRFinput!$B:$E,4,0)=0,OR(H464=MappingTables!$C$34,H464=MappingTables!$C$35)),1,VLOOKUP(CONCATENATE($D464,$G464),CSRFinput!$B:$E,4,0)))</f>
        <v>0.054776304963434752</v>
      </c>
      <c r="W464" s="85">
        <f>IF(B464="",0,+$T464*$V464)</f>
        <v>0.0708696319215328</v>
      </c>
      <c r="X464" s="85">
        <f>IF(B464="",0,IF(OR(H464=MappingTables!$C$34,H464=MappingTables!$C$35),W464,0))</f>
        <v>0</v>
      </c>
    </row>
    <row r="465" spans="2:24" s="0" customFormat="0" ht="15">
      <c r="B465" s="69" t="s">
        <v>738</v>
      </c>
      <c r="C465" s="70" t="s">
        <v>739</v>
      </c>
      <c r="D465" s="70" t="s">
        <v>1</v>
      </c>
      <c r="E465" s="70" t="s">
        <v>1</v>
      </c>
      <c r="F465" s="70"/>
      <c r="G465" s="70" t="s">
        <v>61</v>
      </c>
      <c r="H465" s="70" t="s">
        <v>178</v>
      </c>
      <c r="I465" s="70" t="s">
        <v>181</v>
      </c>
      <c r="J465" s="71">
        <f>IF(OR(I465=0,I465=""),"unrated",VLOOKUP(I465,MappingTables!$B$19:$C$31,2,FALSE))</f>
        <v>3</v>
      </c>
      <c r="K465" s="72">
        <v>62.470992786855336</v>
      </c>
      <c r="L465" s="70">
        <v>4.5273873123743536</v>
      </c>
      <c r="M465" s="71">
        <f>IF(L465&lt;1,1,L465)</f>
        <v>4.5273873123743536</v>
      </c>
      <c r="N465" s="70" t="s">
        <v>141</v>
      </c>
      <c r="O465" s="71">
        <f>INDEX(DurClassMapping,MATCH(M465,MappingTables!$D$4:$D$8,-1),1)</f>
        <v>1</v>
      </c>
      <c r="P465" s="73">
        <f>IF(M465=$A$1,1,$M465-INDEX(MappingTables!$E$4:$E$8,MATCH(O465,MappingTables!$B$4:$B$8,0)))</f>
        <v>4.5273873123743536</v>
      </c>
      <c r="Q465" s="71">
        <f>IF(B465="",0,INDEX(ModelParameters!$D$6:$K$10,MATCH($O465,ModelParameters!$B$6:$B$10,0),MATCH($J465,ModelParameters!$D$5:$K$5,0)))</f>
        <v>0.025</v>
      </c>
      <c r="R465" s="71">
        <f>IF(B465="",0,INDEX(ModelParameters!$D$13:$K$17,MATCH($O465,ModelParameters!$B$13:$B$17,0),MATCH($J465,ModelParameters!$D$5:$K$5,0)))</f>
        <v>0</v>
      </c>
      <c r="S465" s="160">
        <f>IF(B465="",0,MIN(IF($N465="Other Bond TM",ModelParameters!$N$21,1)*(P465*Q465+R465),1))</f>
        <v>0.11318468280935886</v>
      </c>
      <c r="T465" s="85">
        <f>IF(B465="",0,$S465*$K465)</f>
        <v>7.0707595033659656</v>
      </c>
      <c r="U465" s="85">
        <f>IF(B465="",0,IF(OR(H465=MappingTables!$C$34,H465=MappingTables!$C$35),T465,0))</f>
        <v>0</v>
      </c>
      <c r="V465" s="85">
        <f>IF(ISNA(IF(AND(VLOOKUP(CONCATENATE($D465,$G465),CSRFinput!$B:$E,4,0)=0,OR(H465=MappingTables!$C$34,H465=MappingTables!$C$35)),1,VLOOKUP(CONCATENATE($D465,$G465),CSRFinput!$B:$E,4,0))),0,IF(AND(VLOOKUP(CONCATENATE($D465,$G465),CSRFinput!$B:$E,4,0)=0,OR(H465=MappingTables!$C$34,H465=MappingTables!$C$35)),1,VLOOKUP(CONCATENATE($D465,$G465),CSRFinput!$B:$E,4,0)))</f>
        <v>0.054776304963434752</v>
      </c>
      <c r="W465" s="85">
        <f>IF(B465="",0,+$T465*$V465)</f>
        <v>0.38731007887947864</v>
      </c>
      <c r="X465" s="85">
        <f>IF(B465="",0,IF(OR(H465=MappingTables!$C$34,H465=MappingTables!$C$35),W465,0))</f>
        <v>0</v>
      </c>
    </row>
    <row r="466" spans="2:24" s="0" customFormat="0" ht="15">
      <c r="B466" s="69">
        <v>4355169</v>
      </c>
      <c r="C466" s="70" t="s">
        <v>740</v>
      </c>
      <c r="D466" s="70" t="s">
        <v>1</v>
      </c>
      <c r="E466" s="70" t="s">
        <v>1</v>
      </c>
      <c r="F466" s="70"/>
      <c r="G466" s="70" t="s">
        <v>61</v>
      </c>
      <c r="H466" s="70" t="s">
        <v>178</v>
      </c>
      <c r="I466" s="70" t="s">
        <v>179</v>
      </c>
      <c r="J466" s="71">
        <f>IF(OR(I466=0,I466=""),"unrated",VLOOKUP(I466,MappingTables!$B$19:$C$31,2,FALSE))</f>
        <v>4</v>
      </c>
      <c r="K466" s="72">
        <v>12092.51672439284</v>
      </c>
      <c r="L466" s="70">
        <v>1.0765319805239538</v>
      </c>
      <c r="M466" s="71">
        <f>IF(L466&lt;1,1,L466)</f>
        <v>1.0765319805239538</v>
      </c>
      <c r="N466" s="70" t="s">
        <v>141</v>
      </c>
      <c r="O466" s="71">
        <f>INDEX(DurClassMapping,MATCH(M466,MappingTables!$D$4:$D$8,-1),1)</f>
        <v>1</v>
      </c>
      <c r="P466" s="73">
        <f>IF(M466=$A$1,1,$M466-INDEX(MappingTables!$E$4:$E$8,MATCH(O466,MappingTables!$B$4:$B$8,0)))</f>
        <v>1.0765319805239538</v>
      </c>
      <c r="Q466" s="71">
        <f>IF(B466="",0,INDEX(ModelParameters!$D$6:$K$10,MATCH($O466,ModelParameters!$B$6:$B$10,0),MATCH($J466,ModelParameters!$D$5:$K$5,0)))</f>
        <v>0.045</v>
      </c>
      <c r="R466" s="71">
        <f>IF(B466="",0,INDEX(ModelParameters!$D$13:$K$17,MATCH($O466,ModelParameters!$B$13:$B$17,0),MATCH($J466,ModelParameters!$D$5:$K$5,0)))</f>
        <v>0</v>
      </c>
      <c r="S466" s="160">
        <f>IF(B466="",0,MIN(IF($N466="Other Bond TM",ModelParameters!$N$21,1)*(P466*Q466+R466),1))</f>
        <v>0.04844393912357792</v>
      </c>
      <c r="T466" s="85">
        <f>IF(B466="",0,$S466*$K466)</f>
        <v>585.80914404733448</v>
      </c>
      <c r="U466" s="85">
        <f>IF(B466="",0,IF(OR(H466=MappingTables!$C$34,H466=MappingTables!$C$35),T466,0))</f>
        <v>0</v>
      </c>
      <c r="V466" s="85">
        <f>IF(ISNA(IF(AND(VLOOKUP(CONCATENATE($D466,$G466),CSRFinput!$B:$E,4,0)=0,OR(H466=MappingTables!$C$34,H466=MappingTables!$C$35)),1,VLOOKUP(CONCATENATE($D466,$G466),CSRFinput!$B:$E,4,0))),0,IF(AND(VLOOKUP(CONCATENATE($D466,$G466),CSRFinput!$B:$E,4,0)=0,OR(H466=MappingTables!$C$34,H466=MappingTables!$C$35)),1,VLOOKUP(CONCATENATE($D466,$G466),CSRFinput!$B:$E,4,0)))</f>
        <v>0.054776304963434752</v>
      </c>
      <c r="W466" s="85">
        <f>IF(B466="",0,+$T466*$V466)</f>
        <v>32.088460324705472</v>
      </c>
      <c r="X466" s="85">
        <f>IF(B466="",0,IF(OR(H466=MappingTables!$C$34,H466=MappingTables!$C$35),W466,0))</f>
        <v>0</v>
      </c>
    </row>
    <row r="467" spans="2:24" s="0" customFormat="0" ht="15">
      <c r="B467" s="69">
        <v>18009033</v>
      </c>
      <c r="C467" s="70" t="s">
        <v>741</v>
      </c>
      <c r="D467" s="70" t="s">
        <v>1</v>
      </c>
      <c r="E467" s="70" t="s">
        <v>1</v>
      </c>
      <c r="F467" s="70"/>
      <c r="G467" s="70" t="s">
        <v>61</v>
      </c>
      <c r="H467" s="70" t="s">
        <v>178</v>
      </c>
      <c r="I467" s="70" t="s">
        <v>184</v>
      </c>
      <c r="J467" s="71">
        <f>IF(OR(I467=0,I467=""),"unrated",VLOOKUP(I467,MappingTables!$B$19:$C$31,2,FALSE))</f>
        <v>5</v>
      </c>
      <c r="K467" s="72">
        <v>114.7449404968984</v>
      </c>
      <c r="L467" s="70">
        <v>0.77513699063890288</v>
      </c>
      <c r="M467" s="71">
        <f>IF(L467&lt;1,1,L467)</f>
        <v>1</v>
      </c>
      <c r="N467" s="70" t="s">
        <v>141</v>
      </c>
      <c r="O467" s="71">
        <f>INDEX(DurClassMapping,MATCH(M467,MappingTables!$D$4:$D$8,-1),1)</f>
        <v>1</v>
      </c>
      <c r="P467" s="73">
        <f>IF(M467=$A$1,1,$M467-INDEX(MappingTables!$E$4:$E$8,MATCH(O467,MappingTables!$B$4:$B$8,0)))</f>
        <v>1</v>
      </c>
      <c r="Q467" s="71">
        <f>IF(B467="",0,INDEX(ModelParameters!$D$6:$K$10,MATCH($O467,ModelParameters!$B$6:$B$10,0),MATCH($J467,ModelParameters!$D$5:$K$5,0)))</f>
        <v>0.075</v>
      </c>
      <c r="R467" s="71">
        <f>IF(B467="",0,INDEX(ModelParameters!$D$13:$K$17,MATCH($O467,ModelParameters!$B$13:$B$17,0),MATCH($J467,ModelParameters!$D$5:$K$5,0)))</f>
        <v>0</v>
      </c>
      <c r="S467" s="160">
        <f>IF(B467="",0,MIN(IF($N467="Other Bond TM",ModelParameters!$N$21,1)*(P467*Q467+R467),1))</f>
        <v>0.075</v>
      </c>
      <c r="T467" s="85">
        <f>IF(B467="",0,$S467*$K467)</f>
        <v>8.6058705372673808</v>
      </c>
      <c r="U467" s="85">
        <f>IF(B467="",0,IF(OR(H467=MappingTables!$C$34,H467=MappingTables!$C$35),T467,0))</f>
        <v>0</v>
      </c>
      <c r="V467" s="85">
        <f>IF(ISNA(IF(AND(VLOOKUP(CONCATENATE($D467,$G467),CSRFinput!$B:$E,4,0)=0,OR(H467=MappingTables!$C$34,H467=MappingTables!$C$35)),1,VLOOKUP(CONCATENATE($D467,$G467),CSRFinput!$B:$E,4,0))),0,IF(AND(VLOOKUP(CONCATENATE($D467,$G467),CSRFinput!$B:$E,4,0)=0,OR(H467=MappingTables!$C$34,H467=MappingTables!$C$35)),1,VLOOKUP(CONCATENATE($D467,$G467),CSRFinput!$B:$E,4,0)))</f>
        <v>0.054776304963434752</v>
      </c>
      <c r="W467" s="85">
        <f>IF(B467="",0,+$T467*$V467)</f>
        <v>0.47139778902519616</v>
      </c>
      <c r="X467" s="85">
        <f>IF(B467="",0,IF(OR(H467=MappingTables!$C$34,H467=MappingTables!$C$35),W467,0))</f>
        <v>0</v>
      </c>
    </row>
    <row r="468" spans="2:24" s="0" customFormat="0" ht="15">
      <c r="B468" s="69">
        <v>23145105</v>
      </c>
      <c r="C468" s="70" t="s">
        <v>742</v>
      </c>
      <c r="D468" s="70" t="s">
        <v>1</v>
      </c>
      <c r="E468" s="70" t="s">
        <v>1</v>
      </c>
      <c r="F468" s="70"/>
      <c r="G468" s="70" t="s">
        <v>61</v>
      </c>
      <c r="H468" s="70" t="s">
        <v>178</v>
      </c>
      <c r="I468" s="70" t="s">
        <v>181</v>
      </c>
      <c r="J468" s="71">
        <f>IF(OR(I468=0,I468=""),"unrated",VLOOKUP(I468,MappingTables!$B$19:$C$31,2,FALSE))</f>
        <v>3</v>
      </c>
      <c r="K468" s="72">
        <v>8009.3826751465632</v>
      </c>
      <c r="L468" s="70">
        <v>7.1637133073062552</v>
      </c>
      <c r="M468" s="71">
        <f>IF(L468&lt;1,1,L468)</f>
        <v>7.1637133073062552</v>
      </c>
      <c r="N468" s="70" t="s">
        <v>141</v>
      </c>
      <c r="O468" s="71">
        <f>INDEX(DurClassMapping,MATCH(M468,MappingTables!$D$4:$D$8,-1),1)</f>
        <v>2</v>
      </c>
      <c r="P468" s="73">
        <f>IF(M468=$A$1,1,$M468-INDEX(MappingTables!$E$4:$E$8,MATCH(O468,MappingTables!$B$4:$B$8,0)))</f>
        <v>2.1637133073062556</v>
      </c>
      <c r="Q468" s="71">
        <f>IF(B468="",0,INDEX(ModelParameters!$D$6:$K$10,MATCH($O468,ModelParameters!$B$6:$B$10,0),MATCH($J468,ModelParameters!$D$5:$K$5,0)))</f>
        <v>0.015</v>
      </c>
      <c r="R468" s="71">
        <f>IF(B468="",0,INDEX(ModelParameters!$D$13:$K$17,MATCH($O468,ModelParameters!$B$13:$B$17,0),MATCH($J468,ModelParameters!$D$5:$K$5,0)))</f>
        <v>0.125</v>
      </c>
      <c r="S468" s="160">
        <f>IF(B468="",0,MIN(IF($N468="Other Bond TM",ModelParameters!$N$21,1)*(P468*Q468+R468),1))</f>
        <v>0.15745569960959382</v>
      </c>
      <c r="T468" s="85">
        <f>IF(B468="",0,$S468*$K468)</f>
        <v>1261.1229525561624</v>
      </c>
      <c r="U468" s="85">
        <f>IF(B468="",0,IF(OR(H468=MappingTables!$C$34,H468=MappingTables!$C$35),T468,0))</f>
        <v>0</v>
      </c>
      <c r="V468" s="85">
        <f>IF(ISNA(IF(AND(VLOOKUP(CONCATENATE($D468,$G468),CSRFinput!$B:$E,4,0)=0,OR(H468=MappingTables!$C$34,H468=MappingTables!$C$35)),1,VLOOKUP(CONCATENATE($D468,$G468),CSRFinput!$B:$E,4,0))),0,IF(AND(VLOOKUP(CONCATENATE($D468,$G468),CSRFinput!$B:$E,4,0)=0,OR(H468=MappingTables!$C$34,H468=MappingTables!$C$35)),1,VLOOKUP(CONCATENATE($D468,$G468),CSRFinput!$B:$E,4,0)))</f>
        <v>0.054776304963434752</v>
      </c>
      <c r="W468" s="85">
        <f>IF(B468="",0,+$T468*$V468)</f>
        <v>69.079655445603608</v>
      </c>
      <c r="X468" s="85">
        <f>IF(B468="",0,IF(OR(H468=MappingTables!$C$34,H468=MappingTables!$C$35),W468,0))</f>
        <v>0</v>
      </c>
    </row>
    <row r="469" spans="2:24" s="0" customFormat="0" ht="15">
      <c r="B469" s="69">
        <v>23245610</v>
      </c>
      <c r="C469" s="70" t="s">
        <v>743</v>
      </c>
      <c r="D469" s="70" t="s">
        <v>1</v>
      </c>
      <c r="E469" s="70" t="s">
        <v>1</v>
      </c>
      <c r="F469" s="70"/>
      <c r="G469" s="70" t="s">
        <v>61</v>
      </c>
      <c r="H469" s="70" t="s">
        <v>178</v>
      </c>
      <c r="I469" s="70" t="s">
        <v>179</v>
      </c>
      <c r="J469" s="71">
        <f>IF(OR(I469=0,I469=""),"unrated",VLOOKUP(I469,MappingTables!$B$19:$C$31,2,FALSE))</f>
        <v>4</v>
      </c>
      <c r="K469" s="72">
        <v>615.18214088010952</v>
      </c>
      <c r="L469" s="70">
        <v>2.4026307977271152</v>
      </c>
      <c r="M469" s="71">
        <f>IF(L469&lt;1,1,L469)</f>
        <v>2.4026307977271152</v>
      </c>
      <c r="N469" s="70" t="s">
        <v>141</v>
      </c>
      <c r="O469" s="71">
        <f>INDEX(DurClassMapping,MATCH(M469,MappingTables!$D$4:$D$8,-1),1)</f>
        <v>1</v>
      </c>
      <c r="P469" s="73">
        <f>IF(M469=$A$1,1,$M469-INDEX(MappingTables!$E$4:$E$8,MATCH(O469,MappingTables!$B$4:$B$8,0)))</f>
        <v>2.4026307977271152</v>
      </c>
      <c r="Q469" s="71">
        <f>IF(B469="",0,INDEX(ModelParameters!$D$6:$K$10,MATCH($O469,ModelParameters!$B$6:$B$10,0),MATCH($J469,ModelParameters!$D$5:$K$5,0)))</f>
        <v>0.045</v>
      </c>
      <c r="R469" s="71">
        <f>IF(B469="",0,INDEX(ModelParameters!$D$13:$K$17,MATCH($O469,ModelParameters!$B$13:$B$17,0),MATCH($J469,ModelParameters!$D$5:$K$5,0)))</f>
        <v>0</v>
      </c>
      <c r="S469" s="160">
        <f>IF(B469="",0,MIN(IF($N469="Other Bond TM",ModelParameters!$N$21,1)*(P469*Q469+R469),1))</f>
        <v>0.10811838589772018</v>
      </c>
      <c r="T469" s="85">
        <f>IF(B469="",0,$S469*$K469)</f>
        <v>66.512500105061352</v>
      </c>
      <c r="U469" s="85">
        <f>IF(B469="",0,IF(OR(H469=MappingTables!$C$34,H469=MappingTables!$C$35),T469,0))</f>
        <v>0</v>
      </c>
      <c r="V469" s="85">
        <f>IF(ISNA(IF(AND(VLOOKUP(CONCATENATE($D469,$G469),CSRFinput!$B:$E,4,0)=0,OR(H469=MappingTables!$C$34,H469=MappingTables!$C$35)),1,VLOOKUP(CONCATENATE($D469,$G469),CSRFinput!$B:$E,4,0))),0,IF(AND(VLOOKUP(CONCATENATE($D469,$G469),CSRFinput!$B:$E,4,0)=0,OR(H469=MappingTables!$C$34,H469=MappingTables!$C$35)),1,VLOOKUP(CONCATENATE($D469,$G469),CSRFinput!$B:$E,4,0)))</f>
        <v>0.054776304963434752</v>
      </c>
      <c r="W469" s="85">
        <f>IF(B469="",0,+$T469*$V469)</f>
        <v>3.6433089896353264</v>
      </c>
      <c r="X469" s="85">
        <f>IF(B469="",0,IF(OR(H469=MappingTables!$C$34,H469=MappingTables!$C$35),W469,0))</f>
        <v>0</v>
      </c>
    </row>
    <row r="470" spans="2:24" s="0" customFormat="0" ht="15">
      <c r="B470" s="69">
        <v>23353978</v>
      </c>
      <c r="C470" s="70" t="s">
        <v>744</v>
      </c>
      <c r="D470" s="70" t="s">
        <v>1</v>
      </c>
      <c r="E470" s="70" t="s">
        <v>1</v>
      </c>
      <c r="F470" s="70"/>
      <c r="G470" s="70" t="s">
        <v>61</v>
      </c>
      <c r="H470" s="70" t="s">
        <v>178</v>
      </c>
      <c r="I470" s="70" t="s">
        <v>220</v>
      </c>
      <c r="J470" s="71">
        <f>IF(OR(I470=0,I470=""),"unrated",VLOOKUP(I470,MappingTables!$B$19:$C$31,2,FALSE))</f>
        <v>1</v>
      </c>
      <c r="K470" s="72">
        <v>1468.1019125911042</v>
      </c>
      <c r="L470" s="70">
        <v>0.17534277847142594</v>
      </c>
      <c r="M470" s="71">
        <f>IF(L470&lt;1,1,L470)</f>
        <v>1</v>
      </c>
      <c r="N470" s="70" t="s">
        <v>141</v>
      </c>
      <c r="O470" s="71">
        <f>INDEX(DurClassMapping,MATCH(M470,MappingTables!$D$4:$D$8,-1),1)</f>
        <v>1</v>
      </c>
      <c r="P470" s="73">
        <f>IF(M470=$A$1,1,$M470-INDEX(MappingTables!$E$4:$E$8,MATCH(O470,MappingTables!$B$4:$B$8,0)))</f>
        <v>1</v>
      </c>
      <c r="Q470" s="71">
        <f>IF(B470="",0,INDEX(ModelParameters!$D$6:$K$10,MATCH($O470,ModelParameters!$B$6:$B$10,0),MATCH($J470,ModelParameters!$D$5:$K$5,0)))</f>
        <v>0.011000000000000002</v>
      </c>
      <c r="R470" s="71">
        <f>IF(B470="",0,INDEX(ModelParameters!$D$13:$K$17,MATCH($O470,ModelParameters!$B$13:$B$17,0),MATCH($J470,ModelParameters!$D$5:$K$5,0)))</f>
        <v>0</v>
      </c>
      <c r="S470" s="160">
        <f>IF(B470="",0,MIN(IF($N470="Other Bond TM",ModelParameters!$N$21,1)*(P470*Q470+R470),1))</f>
        <v>0.011000000000000002</v>
      </c>
      <c r="T470" s="85">
        <f>IF(B470="",0,$S470*$K470)</f>
        <v>16.149121038502148</v>
      </c>
      <c r="U470" s="85">
        <f>IF(B470="",0,IF(OR(H470=MappingTables!$C$34,H470=MappingTables!$C$35),T470,0))</f>
        <v>0</v>
      </c>
      <c r="V470" s="85">
        <f>IF(ISNA(IF(AND(VLOOKUP(CONCATENATE($D470,$G470),CSRFinput!$B:$E,4,0)=0,OR(H470=MappingTables!$C$34,H470=MappingTables!$C$35)),1,VLOOKUP(CONCATENATE($D470,$G470),CSRFinput!$B:$E,4,0))),0,IF(AND(VLOOKUP(CONCATENATE($D470,$G470),CSRFinput!$B:$E,4,0)=0,OR(H470=MappingTables!$C$34,H470=MappingTables!$C$35)),1,VLOOKUP(CONCATENATE($D470,$G470),CSRFinput!$B:$E,4,0)))</f>
        <v>0.054776304963434752</v>
      </c>
      <c r="W470" s="85">
        <f>IF(B470="",0,+$T470*$V470)</f>
        <v>0.88458917889641392</v>
      </c>
      <c r="X470" s="85">
        <f>IF(B470="",0,IF(OR(H470=MappingTables!$C$34,H470=MappingTables!$C$35),W470,0))</f>
        <v>0</v>
      </c>
    </row>
    <row r="471" spans="2:24" s="0" customFormat="0" ht="15">
      <c r="B471" s="69">
        <v>22681321</v>
      </c>
      <c r="C471" s="70" t="s">
        <v>745</v>
      </c>
      <c r="D471" s="70" t="s">
        <v>1</v>
      </c>
      <c r="E471" s="70" t="s">
        <v>1</v>
      </c>
      <c r="F471" s="70"/>
      <c r="G471" s="70" t="s">
        <v>61</v>
      </c>
      <c r="H471" s="70" t="s">
        <v>178</v>
      </c>
      <c r="I471" s="70" t="s">
        <v>181</v>
      </c>
      <c r="J471" s="71">
        <f>IF(OR(I471=0,I471=""),"unrated",VLOOKUP(I471,MappingTables!$B$19:$C$31,2,FALSE))</f>
        <v>3</v>
      </c>
      <c r="K471" s="72">
        <v>18018.284873192932</v>
      </c>
      <c r="L471" s="70">
        <v>10.743133269584878</v>
      </c>
      <c r="M471" s="71">
        <f>IF(L471&lt;1,1,L471)</f>
        <v>10.743133269584878</v>
      </c>
      <c r="N471" s="70" t="s">
        <v>141</v>
      </c>
      <c r="O471" s="71">
        <f>INDEX(DurClassMapping,MATCH(M471,MappingTables!$D$4:$D$8,-1),1)</f>
        <v>3</v>
      </c>
      <c r="P471" s="73">
        <f>IF(M471=$A$1,1,$M471-INDEX(MappingTables!$E$4:$E$8,MATCH(O471,MappingTables!$B$4:$B$8,0)))</f>
        <v>0.74313326958487728</v>
      </c>
      <c r="Q471" s="71">
        <f>IF(B471="",0,INDEX(ModelParameters!$D$6:$K$10,MATCH($O471,ModelParameters!$B$6:$B$10,0),MATCH($J471,ModelParameters!$D$5:$K$5,0)))</f>
        <v>0.01</v>
      </c>
      <c r="R471" s="71">
        <f>IF(B471="",0,INDEX(ModelParameters!$D$13:$K$17,MATCH($O471,ModelParameters!$B$13:$B$17,0),MATCH($J471,ModelParameters!$D$5:$K$5,0)))</f>
        <v>0.2</v>
      </c>
      <c r="S471" s="160">
        <f>IF(B471="",0,MIN(IF($N471="Other Bond TM",ModelParameters!$N$21,1)*(P471*Q471+R471),1))</f>
        <v>0.2074313326958488</v>
      </c>
      <c r="T471" s="85">
        <f>IF(B471="",0,$S471*$K471)</f>
        <v>3737.5568441398632</v>
      </c>
      <c r="U471" s="85">
        <f>IF(B471="",0,IF(OR(H471=MappingTables!$C$34,H471=MappingTables!$C$35),T471,0))</f>
        <v>0</v>
      </c>
      <c r="V471" s="85">
        <f>IF(ISNA(IF(AND(VLOOKUP(CONCATENATE($D471,$G471),CSRFinput!$B:$E,4,0)=0,OR(H471=MappingTables!$C$34,H471=MappingTables!$C$35)),1,VLOOKUP(CONCATENATE($D471,$G471),CSRFinput!$B:$E,4,0))),0,IF(AND(VLOOKUP(CONCATENATE($D471,$G471),CSRFinput!$B:$E,4,0)=0,OR(H471=MappingTables!$C$34,H471=MappingTables!$C$35)),1,VLOOKUP(CONCATENATE($D471,$G471),CSRFinput!$B:$E,4,0)))</f>
        <v>0.054776304963434752</v>
      </c>
      <c r="W471" s="85">
        <f>IF(B471="",0,+$T471*$V471)</f>
        <v>204.72955351277792</v>
      </c>
      <c r="X471" s="85">
        <f>IF(B471="",0,IF(OR(H471=MappingTables!$C$34,H471=MappingTables!$C$35),W471,0))</f>
        <v>0</v>
      </c>
    </row>
    <row r="472" spans="2:24" s="0" customFormat="0" ht="15">
      <c r="B472" s="69" t="s">
        <v>376</v>
      </c>
      <c r="C472" s="70" t="s">
        <v>377</v>
      </c>
      <c r="D472" s="70" t="s">
        <v>1</v>
      </c>
      <c r="E472" s="70" t="s">
        <v>1</v>
      </c>
      <c r="F472" s="70"/>
      <c r="G472" s="70" t="s">
        <v>61</v>
      </c>
      <c r="H472" s="70" t="s">
        <v>178</v>
      </c>
      <c r="I472" s="70" t="s">
        <v>188</v>
      </c>
      <c r="J472" s="71">
        <f>IF(OR(I472=0,I472=""),"unrated",VLOOKUP(I472,MappingTables!$B$19:$C$31,2,FALSE))</f>
        <v>2</v>
      </c>
      <c r="K472" s="72">
        <v>7.3263868142307248</v>
      </c>
      <c r="L472" s="70">
        <v>2.27488497031898</v>
      </c>
      <c r="M472" s="71">
        <f>IF(L472&lt;1,1,L472)</f>
        <v>2.27488497031898</v>
      </c>
      <c r="N472" s="70" t="s">
        <v>141</v>
      </c>
      <c r="O472" s="71">
        <f>INDEX(DurClassMapping,MATCH(M472,MappingTables!$D$4:$D$8,-1),1)</f>
        <v>1</v>
      </c>
      <c r="P472" s="73">
        <f>IF(M472=$A$1,1,$M472-INDEX(MappingTables!$E$4:$E$8,MATCH(O472,MappingTables!$B$4:$B$8,0)))</f>
        <v>2.27488497031898</v>
      </c>
      <c r="Q472" s="71">
        <f>IF(B472="",0,INDEX(ModelParameters!$D$6:$K$10,MATCH($O472,ModelParameters!$B$6:$B$10,0),MATCH($J472,ModelParameters!$D$5:$K$5,0)))</f>
        <v>0.013999999999999998</v>
      </c>
      <c r="R472" s="71">
        <f>IF(B472="",0,INDEX(ModelParameters!$D$13:$K$17,MATCH($O472,ModelParameters!$B$13:$B$17,0),MATCH($J472,ModelParameters!$D$5:$K$5,0)))</f>
        <v>0</v>
      </c>
      <c r="S472" s="160">
        <f>IF(B472="",0,MIN(IF($N472="Other Bond TM",ModelParameters!$N$21,1)*(P472*Q472+R472),1))</f>
        <v>0.031848389584465716</v>
      </c>
      <c r="T472" s="85">
        <f>IF(B472="",0,$S472*$K472)</f>
        <v>0.23333362150611276</v>
      </c>
      <c r="U472" s="85">
        <f>IF(B472="",0,IF(OR(H472=MappingTables!$C$34,H472=MappingTables!$C$35),T472,0))</f>
        <v>0</v>
      </c>
      <c r="V472" s="85">
        <f>IF(ISNA(IF(AND(VLOOKUP(CONCATENATE($D472,$G472),CSRFinput!$B:$E,4,0)=0,OR(H472=MappingTables!$C$34,H472=MappingTables!$C$35)),1,VLOOKUP(CONCATENATE($D472,$G472),CSRFinput!$B:$E,4,0))),0,IF(AND(VLOOKUP(CONCATENATE($D472,$G472),CSRFinput!$B:$E,4,0)=0,OR(H472=MappingTables!$C$34,H472=MappingTables!$C$35)),1,VLOOKUP(CONCATENATE($D472,$G472),CSRFinput!$B:$E,4,0)))</f>
        <v>0.054776304963434752</v>
      </c>
      <c r="W472" s="85">
        <f>IF(B472="",0,+$T472*$V472)</f>
        <v>0.01278115360984149</v>
      </c>
      <c r="X472" s="85">
        <f>IF(B472="",0,IF(OR(H472=MappingTables!$C$34,H472=MappingTables!$C$35),W472,0))</f>
        <v>0</v>
      </c>
    </row>
    <row r="473" spans="2:24" s="0" customFormat="0" ht="15">
      <c r="B473" s="69">
        <v>14725002</v>
      </c>
      <c r="C473" s="70" t="s">
        <v>551</v>
      </c>
      <c r="D473" s="70" t="s">
        <v>1</v>
      </c>
      <c r="E473" s="70" t="s">
        <v>1</v>
      </c>
      <c r="F473" s="70"/>
      <c r="G473" s="70" t="s">
        <v>61</v>
      </c>
      <c r="H473" s="70" t="s">
        <v>178</v>
      </c>
      <c r="I473" s="70" t="s">
        <v>181</v>
      </c>
      <c r="J473" s="71">
        <f>IF(OR(I473=0,I473=""),"unrated",VLOOKUP(I473,MappingTables!$B$19:$C$31,2,FALSE))</f>
        <v>3</v>
      </c>
      <c r="K473" s="72">
        <v>3650.9766278849072</v>
      </c>
      <c r="L473" s="70">
        <v>5.4179120509350656</v>
      </c>
      <c r="M473" s="71">
        <f>IF(L473&lt;1,1,L473)</f>
        <v>5.4179120509350656</v>
      </c>
      <c r="N473" s="70" t="s">
        <v>141</v>
      </c>
      <c r="O473" s="71">
        <f>INDEX(DurClassMapping,MATCH(M473,MappingTables!$D$4:$D$8,-1),1)</f>
        <v>2</v>
      </c>
      <c r="P473" s="73">
        <f>IF(M473=$A$1,1,$M473-INDEX(MappingTables!$E$4:$E$8,MATCH(O473,MappingTables!$B$4:$B$8,0)))</f>
        <v>0.41791205093506536</v>
      </c>
      <c r="Q473" s="71">
        <f>IF(B473="",0,INDEX(ModelParameters!$D$6:$K$10,MATCH($O473,ModelParameters!$B$6:$B$10,0),MATCH($J473,ModelParameters!$D$5:$K$5,0)))</f>
        <v>0.015</v>
      </c>
      <c r="R473" s="71">
        <f>IF(B473="",0,INDEX(ModelParameters!$D$13:$K$17,MATCH($O473,ModelParameters!$B$13:$B$17,0),MATCH($J473,ModelParameters!$D$5:$K$5,0)))</f>
        <v>0.125</v>
      </c>
      <c r="S473" s="160">
        <f>IF(B473="",0,MIN(IF($N473="Other Bond TM",ModelParameters!$N$21,1)*(P473*Q473+R473),1))</f>
        <v>0.13126868076402598</v>
      </c>
      <c r="T473" s="85">
        <f>IF(B473="",0,$S473*$K473)</f>
        <v>479.258885442744</v>
      </c>
      <c r="U473" s="85">
        <f>IF(B473="",0,IF(OR(H473=MappingTables!$C$34,H473=MappingTables!$C$35),T473,0))</f>
        <v>0</v>
      </c>
      <c r="V473" s="85">
        <f>IF(ISNA(IF(AND(VLOOKUP(CONCATENATE($D473,$G473),CSRFinput!$B:$E,4,0)=0,OR(H473=MappingTables!$C$34,H473=MappingTables!$C$35)),1,VLOOKUP(CONCATENATE($D473,$G473),CSRFinput!$B:$E,4,0))),0,IF(AND(VLOOKUP(CONCATENATE($D473,$G473),CSRFinput!$B:$E,4,0)=0,OR(H473=MappingTables!$C$34,H473=MappingTables!$C$35)),1,VLOOKUP(CONCATENATE($D473,$G473),CSRFinput!$B:$E,4,0)))</f>
        <v>0.054776304963434752</v>
      </c>
      <c r="W473" s="85">
        <f>IF(B473="",0,+$T473*$V473)</f>
        <v>26.252030865447584</v>
      </c>
      <c r="X473" s="85">
        <f>IF(B473="",0,IF(OR(H473=MappingTables!$C$34,H473=MappingTables!$C$35),W473,0))</f>
        <v>0</v>
      </c>
    </row>
    <row r="474" spans="2:24" s="0" customFormat="0" ht="15">
      <c r="B474" s="69">
        <v>13726603</v>
      </c>
      <c r="C474" s="70" t="s">
        <v>746</v>
      </c>
      <c r="D474" s="70" t="s">
        <v>1</v>
      </c>
      <c r="E474" s="70" t="s">
        <v>1</v>
      </c>
      <c r="F474" s="70"/>
      <c r="G474" s="70" t="s">
        <v>61</v>
      </c>
      <c r="H474" s="70" t="s">
        <v>178</v>
      </c>
      <c r="I474" s="70" t="s">
        <v>179</v>
      </c>
      <c r="J474" s="71">
        <f>IF(OR(I474=0,I474=""),"unrated",VLOOKUP(I474,MappingTables!$B$19:$C$31,2,FALSE))</f>
        <v>4</v>
      </c>
      <c r="K474" s="72">
        <v>2338.0880064302992</v>
      </c>
      <c r="L474" s="70">
        <v>3.1500616599872496</v>
      </c>
      <c r="M474" s="71">
        <f>IF(L474&lt;1,1,L474)</f>
        <v>3.1500616599872496</v>
      </c>
      <c r="N474" s="70" t="s">
        <v>141</v>
      </c>
      <c r="O474" s="71">
        <f>INDEX(DurClassMapping,MATCH(M474,MappingTables!$D$4:$D$8,-1),1)</f>
        <v>1</v>
      </c>
      <c r="P474" s="73">
        <f>IF(M474=$A$1,1,$M474-INDEX(MappingTables!$E$4:$E$8,MATCH(O474,MappingTables!$B$4:$B$8,0)))</f>
        <v>3.1500616599872496</v>
      </c>
      <c r="Q474" s="71">
        <f>IF(B474="",0,INDEX(ModelParameters!$D$6:$K$10,MATCH($O474,ModelParameters!$B$6:$B$10,0),MATCH($J474,ModelParameters!$D$5:$K$5,0)))</f>
        <v>0.045</v>
      </c>
      <c r="R474" s="71">
        <f>IF(B474="",0,INDEX(ModelParameters!$D$13:$K$17,MATCH($O474,ModelParameters!$B$13:$B$17,0),MATCH($J474,ModelParameters!$D$5:$K$5,0)))</f>
        <v>0</v>
      </c>
      <c r="S474" s="160">
        <f>IF(B474="",0,MIN(IF($N474="Other Bond TM",ModelParameters!$N$21,1)*(P474*Q474+R474),1))</f>
        <v>0.14175277469942624</v>
      </c>
      <c r="T474" s="85">
        <f>IF(B474="",0,$S474*$K474)</f>
        <v>331.43046240294484</v>
      </c>
      <c r="U474" s="85">
        <f>IF(B474="",0,IF(OR(H474=MappingTables!$C$34,H474=MappingTables!$C$35),T474,0))</f>
        <v>0</v>
      </c>
      <c r="V474" s="85">
        <f>IF(ISNA(IF(AND(VLOOKUP(CONCATENATE($D474,$G474),CSRFinput!$B:$E,4,0)=0,OR(H474=MappingTables!$C$34,H474=MappingTables!$C$35)),1,VLOOKUP(CONCATENATE($D474,$G474),CSRFinput!$B:$E,4,0))),0,IF(AND(VLOOKUP(CONCATENATE($D474,$G474),CSRFinput!$B:$E,4,0)=0,OR(H474=MappingTables!$C$34,H474=MappingTables!$C$35)),1,VLOOKUP(CONCATENATE($D474,$G474),CSRFinput!$B:$E,4,0)))</f>
        <v>0.054776304963434752</v>
      </c>
      <c r="W474" s="85">
        <f>IF(B474="",0,+$T474*$V474)</f>
        <v>18.154536082755904</v>
      </c>
      <c r="X474" s="85">
        <f>IF(B474="",0,IF(OR(H474=MappingTables!$C$34,H474=MappingTables!$C$35),W474,0))</f>
        <v>0</v>
      </c>
    </row>
    <row r="475" spans="2:24" s="0" customFormat="0" ht="15">
      <c r="B475" s="69">
        <v>17251676</v>
      </c>
      <c r="C475" s="70" t="s">
        <v>747</v>
      </c>
      <c r="D475" s="70" t="s">
        <v>1</v>
      </c>
      <c r="E475" s="70" t="s">
        <v>1</v>
      </c>
      <c r="F475" s="70"/>
      <c r="G475" s="70" t="s">
        <v>61</v>
      </c>
      <c r="H475" s="70" t="s">
        <v>178</v>
      </c>
      <c r="I475" s="70" t="s">
        <v>179</v>
      </c>
      <c r="J475" s="71">
        <f>IF(OR(I475=0,I475=""),"unrated",VLOOKUP(I475,MappingTables!$B$19:$C$31,2,FALSE))</f>
        <v>4</v>
      </c>
      <c r="K475" s="72">
        <v>163.07878509481176</v>
      </c>
      <c r="L475" s="70">
        <v>0.087675149958587248</v>
      </c>
      <c r="M475" s="71">
        <f>IF(L475&lt;1,1,L475)</f>
        <v>1</v>
      </c>
      <c r="N475" s="70" t="s">
        <v>141</v>
      </c>
      <c r="O475" s="71">
        <f>INDEX(DurClassMapping,MATCH(M475,MappingTables!$D$4:$D$8,-1),1)</f>
        <v>1</v>
      </c>
      <c r="P475" s="73">
        <f>IF(M475=$A$1,1,$M475-INDEX(MappingTables!$E$4:$E$8,MATCH(O475,MappingTables!$B$4:$B$8,0)))</f>
        <v>1</v>
      </c>
      <c r="Q475" s="71">
        <f>IF(B475="",0,INDEX(ModelParameters!$D$6:$K$10,MATCH($O475,ModelParameters!$B$6:$B$10,0),MATCH($J475,ModelParameters!$D$5:$K$5,0)))</f>
        <v>0.045</v>
      </c>
      <c r="R475" s="71">
        <f>IF(B475="",0,INDEX(ModelParameters!$D$13:$K$17,MATCH($O475,ModelParameters!$B$13:$B$17,0),MATCH($J475,ModelParameters!$D$5:$K$5,0)))</f>
        <v>0</v>
      </c>
      <c r="S475" s="160">
        <f>IF(B475="",0,MIN(IF($N475="Other Bond TM",ModelParameters!$N$21,1)*(P475*Q475+R475),1))</f>
        <v>0.045</v>
      </c>
      <c r="T475" s="85">
        <f>IF(B475="",0,$S475*$K475)</f>
        <v>7.3385453292665296</v>
      </c>
      <c r="U475" s="85">
        <f>IF(B475="",0,IF(OR(H475=MappingTables!$C$34,H475=MappingTables!$C$35),T475,0))</f>
        <v>0</v>
      </c>
      <c r="V475" s="85">
        <f>IF(ISNA(IF(AND(VLOOKUP(CONCATENATE($D475,$G475),CSRFinput!$B:$E,4,0)=0,OR(H475=MappingTables!$C$34,H475=MappingTables!$C$35)),1,VLOOKUP(CONCATENATE($D475,$G475),CSRFinput!$B:$E,4,0))),0,IF(AND(VLOOKUP(CONCATENATE($D475,$G475),CSRFinput!$B:$E,4,0)=0,OR(H475=MappingTables!$C$34,H475=MappingTables!$C$35)),1,VLOOKUP(CONCATENATE($D475,$G475),CSRFinput!$B:$E,4,0)))</f>
        <v>0.054776304963434752</v>
      </c>
      <c r="W475" s="85">
        <f>IF(B475="",0,+$T475*$V475)</f>
        <v>0.40197839694389312</v>
      </c>
      <c r="X475" s="85">
        <f>IF(B475="",0,IF(OR(H475=MappingTables!$C$34,H475=MappingTables!$C$35),W475,0))</f>
        <v>0</v>
      </c>
    </row>
    <row r="476" spans="2:24" s="0" customFormat="0" ht="15">
      <c r="B476" s="69">
        <v>7823379</v>
      </c>
      <c r="C476" s="70" t="s">
        <v>748</v>
      </c>
      <c r="D476" s="70" t="s">
        <v>1</v>
      </c>
      <c r="E476" s="70" t="s">
        <v>1</v>
      </c>
      <c r="F476" s="70"/>
      <c r="G476" s="70" t="s">
        <v>61</v>
      </c>
      <c r="H476" s="70" t="s">
        <v>178</v>
      </c>
      <c r="I476" s="70" t="s">
        <v>179</v>
      </c>
      <c r="J476" s="71">
        <f>IF(OR(I476=0,I476=""),"unrated",VLOOKUP(I476,MappingTables!$B$19:$C$31,2,FALSE))</f>
        <v>4</v>
      </c>
      <c r="K476" s="72">
        <v>522.3821149789936</v>
      </c>
      <c r="L476" s="70">
        <v>2.5269301061806044</v>
      </c>
      <c r="M476" s="71">
        <f>IF(L476&lt;1,1,L476)</f>
        <v>2.5269301061806044</v>
      </c>
      <c r="N476" s="70" t="s">
        <v>141</v>
      </c>
      <c r="O476" s="71">
        <f>INDEX(DurClassMapping,MATCH(M476,MappingTables!$D$4:$D$8,-1),1)</f>
        <v>1</v>
      </c>
      <c r="P476" s="73">
        <f>IF(M476=$A$1,1,$M476-INDEX(MappingTables!$E$4:$E$8,MATCH(O476,MappingTables!$B$4:$B$8,0)))</f>
        <v>2.5269301061806044</v>
      </c>
      <c r="Q476" s="71">
        <f>IF(B476="",0,INDEX(ModelParameters!$D$6:$K$10,MATCH($O476,ModelParameters!$B$6:$B$10,0),MATCH($J476,ModelParameters!$D$5:$K$5,0)))</f>
        <v>0.045</v>
      </c>
      <c r="R476" s="71">
        <f>IF(B476="",0,INDEX(ModelParameters!$D$13:$K$17,MATCH($O476,ModelParameters!$B$13:$B$17,0),MATCH($J476,ModelParameters!$D$5:$K$5,0)))</f>
        <v>0</v>
      </c>
      <c r="S476" s="160">
        <f>IF(B476="",0,MIN(IF($N476="Other Bond TM",ModelParameters!$N$21,1)*(P476*Q476+R476),1))</f>
        <v>0.11371185477812718</v>
      </c>
      <c r="T476" s="85">
        <f>IF(B476="",0,$S476*$K476)</f>
        <v>59.401039197182264</v>
      </c>
      <c r="U476" s="85">
        <f>IF(B476="",0,IF(OR(H476=MappingTables!$C$34,H476=MappingTables!$C$35),T476,0))</f>
        <v>0</v>
      </c>
      <c r="V476" s="85">
        <f>IF(ISNA(IF(AND(VLOOKUP(CONCATENATE($D476,$G476),CSRFinput!$B:$E,4,0)=0,OR(H476=MappingTables!$C$34,H476=MappingTables!$C$35)),1,VLOOKUP(CONCATENATE($D476,$G476),CSRFinput!$B:$E,4,0))),0,IF(AND(VLOOKUP(CONCATENATE($D476,$G476),CSRFinput!$B:$E,4,0)=0,OR(H476=MappingTables!$C$34,H476=MappingTables!$C$35)),1,VLOOKUP(CONCATENATE($D476,$G476),CSRFinput!$B:$E,4,0)))</f>
        <v>0.054776304963434752</v>
      </c>
      <c r="W476" s="85">
        <f>IF(B476="",0,+$T476*$V476)</f>
        <v>3.2537694382097972</v>
      </c>
      <c r="X476" s="85">
        <f>IF(B476="",0,IF(OR(H476=MappingTables!$C$34,H476=MappingTables!$C$35),W476,0))</f>
        <v>0</v>
      </c>
    </row>
    <row r="477" spans="2:24" s="0" customFormat="0" ht="15">
      <c r="B477" s="69">
        <v>14165699</v>
      </c>
      <c r="C477" s="70" t="s">
        <v>749</v>
      </c>
      <c r="D477" s="70" t="s">
        <v>1</v>
      </c>
      <c r="E477" s="70" t="s">
        <v>1</v>
      </c>
      <c r="F477" s="70"/>
      <c r="G477" s="70" t="s">
        <v>61</v>
      </c>
      <c r="H477" s="70" t="s">
        <v>178</v>
      </c>
      <c r="I477" s="70" t="s">
        <v>188</v>
      </c>
      <c r="J477" s="71">
        <f>IF(OR(I477=0,I477=""),"unrated",VLOOKUP(I477,MappingTables!$B$19:$C$31,2,FALSE))</f>
        <v>2</v>
      </c>
      <c r="K477" s="72">
        <v>806.21534822019808</v>
      </c>
      <c r="L477" s="70">
        <v>5.6725502795262392</v>
      </c>
      <c r="M477" s="71">
        <f>IF(L477&lt;1,1,L477)</f>
        <v>5.6725502795262392</v>
      </c>
      <c r="N477" s="70" t="s">
        <v>141</v>
      </c>
      <c r="O477" s="71">
        <f>INDEX(DurClassMapping,MATCH(M477,MappingTables!$D$4:$D$8,-1),1)</f>
        <v>2</v>
      </c>
      <c r="P477" s="73">
        <f>IF(M477=$A$1,1,$M477-INDEX(MappingTables!$E$4:$E$8,MATCH(O477,MappingTables!$B$4:$B$8,0)))</f>
        <v>0.6725502795262388</v>
      </c>
      <c r="Q477" s="71">
        <f>IF(B477="",0,INDEX(ModelParameters!$D$6:$K$10,MATCH($O477,ModelParameters!$B$6:$B$10,0),MATCH($J477,ModelParameters!$D$5:$K$5,0)))</f>
        <v>0.0069999999999999992</v>
      </c>
      <c r="R477" s="71">
        <f>IF(B477="",0,INDEX(ModelParameters!$D$13:$K$17,MATCH($O477,ModelParameters!$B$13:$B$17,0),MATCH($J477,ModelParameters!$D$5:$K$5,0)))</f>
        <v>0.070000000000000008</v>
      </c>
      <c r="S477" s="160">
        <f>IF(B477="",0,MIN(IF($N477="Other Bond TM",ModelParameters!$N$21,1)*(P477*Q477+R477),1))</f>
        <v>0.07470785195668368</v>
      </c>
      <c r="T477" s="85">
        <f>IF(B477="",0,$S477*$K477)</f>
        <v>60.230616880040744</v>
      </c>
      <c r="U477" s="85">
        <f>IF(B477="",0,IF(OR(H477=MappingTables!$C$34,H477=MappingTables!$C$35),T477,0))</f>
        <v>0</v>
      </c>
      <c r="V477" s="85">
        <f>IF(ISNA(IF(AND(VLOOKUP(CONCATENATE($D477,$G477),CSRFinput!$B:$E,4,0)=0,OR(H477=MappingTables!$C$34,H477=MappingTables!$C$35)),1,VLOOKUP(CONCATENATE($D477,$G477),CSRFinput!$B:$E,4,0))),0,IF(AND(VLOOKUP(CONCATENATE($D477,$G477),CSRFinput!$B:$E,4,0)=0,OR(H477=MappingTables!$C$34,H477=MappingTables!$C$35)),1,VLOOKUP(CONCATENATE($D477,$G477),CSRFinput!$B:$E,4,0)))</f>
        <v>0.054776304963434752</v>
      </c>
      <c r="W477" s="85">
        <f>IF(B477="",0,+$T477*$V477)</f>
        <v>3.2992106383569128</v>
      </c>
      <c r="X477" s="85">
        <f>IF(B477="",0,IF(OR(H477=MappingTables!$C$34,H477=MappingTables!$C$35),W477,0))</f>
        <v>0</v>
      </c>
    </row>
    <row r="478" spans="2:24" s="0" customFormat="0" ht="15">
      <c r="B478" s="69" t="s">
        <v>730</v>
      </c>
      <c r="C478" s="70" t="s">
        <v>731</v>
      </c>
      <c r="D478" s="70" t="s">
        <v>1</v>
      </c>
      <c r="E478" s="70" t="s">
        <v>1</v>
      </c>
      <c r="F478" s="70"/>
      <c r="G478" s="70" t="s">
        <v>61</v>
      </c>
      <c r="H478" s="70" t="s">
        <v>178</v>
      </c>
      <c r="I478" s="70" t="s">
        <v>179</v>
      </c>
      <c r="J478" s="71">
        <f>IF(OR(I478=0,I478=""),"unrated",VLOOKUP(I478,MappingTables!$B$19:$C$31,2,FALSE))</f>
        <v>4</v>
      </c>
      <c r="K478" s="72">
        <v>126.23038256533862</v>
      </c>
      <c r="L478" s="70">
        <v>6.8063869577720776</v>
      </c>
      <c r="M478" s="71">
        <f>IF(L478&lt;1,1,L478)</f>
        <v>6.8063869577720776</v>
      </c>
      <c r="N478" s="70" t="s">
        <v>141</v>
      </c>
      <c r="O478" s="71">
        <f>INDEX(DurClassMapping,MATCH(M478,MappingTables!$D$4:$D$8,-1),1)</f>
        <v>2</v>
      </c>
      <c r="P478" s="73">
        <f>IF(M478=$A$1,1,$M478-INDEX(MappingTables!$E$4:$E$8,MATCH(O478,MappingTables!$B$4:$B$8,0)))</f>
        <v>1.8063869577720776</v>
      </c>
      <c r="Q478" s="71">
        <f>IF(B478="",0,INDEX(ModelParameters!$D$6:$K$10,MATCH($O478,ModelParameters!$B$6:$B$10,0),MATCH($J478,ModelParameters!$D$5:$K$5,0)))</f>
        <v>0.025</v>
      </c>
      <c r="R478" s="71">
        <f>IF(B478="",0,INDEX(ModelParameters!$D$13:$K$17,MATCH($O478,ModelParameters!$B$13:$B$17,0),MATCH($J478,ModelParameters!$D$5:$K$5,0)))</f>
        <v>0.225</v>
      </c>
      <c r="S478" s="160">
        <f>IF(B478="",0,MIN(IF($N478="Other Bond TM",ModelParameters!$N$21,1)*(P478*Q478+R478),1))</f>
        <v>0.27015967394430196</v>
      </c>
      <c r="T478" s="85">
        <f>IF(B478="",0,$S478*$K478)</f>
        <v>34.102358995716388</v>
      </c>
      <c r="U478" s="85">
        <f>IF(B478="",0,IF(OR(H478=MappingTables!$C$34,H478=MappingTables!$C$35),T478,0))</f>
        <v>0</v>
      </c>
      <c r="V478" s="85">
        <f>IF(ISNA(IF(AND(VLOOKUP(CONCATENATE($D478,$G478),CSRFinput!$B:$E,4,0)=0,OR(H478=MappingTables!$C$34,H478=MappingTables!$C$35)),1,VLOOKUP(CONCATENATE($D478,$G478),CSRFinput!$B:$E,4,0))),0,IF(AND(VLOOKUP(CONCATENATE($D478,$G478),CSRFinput!$B:$E,4,0)=0,OR(H478=MappingTables!$C$34,H478=MappingTables!$C$35)),1,VLOOKUP(CONCATENATE($D478,$G478),CSRFinput!$B:$E,4,0)))</f>
        <v>0.054776304963434752</v>
      </c>
      <c r="W478" s="85">
        <f>IF(B478="",0,+$T478*$V478)</f>
        <v>1.8680012163218932</v>
      </c>
      <c r="X478" s="85">
        <f>IF(B478="",0,IF(OR(H478=MappingTables!$C$34,H478=MappingTables!$C$35),W478,0))</f>
        <v>0</v>
      </c>
    </row>
    <row r="479" spans="2:24" s="0" customFormat="0" ht="15">
      <c r="B479" s="69">
        <v>12295258</v>
      </c>
      <c r="C479" s="70" t="s">
        <v>750</v>
      </c>
      <c r="D479" s="70" t="s">
        <v>1</v>
      </c>
      <c r="E479" s="70" t="s">
        <v>1</v>
      </c>
      <c r="F479" s="70"/>
      <c r="G479" s="70" t="s">
        <v>61</v>
      </c>
      <c r="H479" s="70" t="s">
        <v>178</v>
      </c>
      <c r="I479" s="70" t="s">
        <v>188</v>
      </c>
      <c r="J479" s="71">
        <f>IF(OR(I479=0,I479=""),"unrated",VLOOKUP(I479,MappingTables!$B$19:$C$31,2,FALSE))</f>
        <v>2</v>
      </c>
      <c r="K479" s="72">
        <v>139.16589619419526</v>
      </c>
      <c r="L479" s="70">
        <v>4.43083832863144</v>
      </c>
      <c r="M479" s="71">
        <f>IF(L479&lt;1,1,L479)</f>
        <v>4.43083832863144</v>
      </c>
      <c r="N479" s="70" t="s">
        <v>141</v>
      </c>
      <c r="O479" s="71">
        <f>INDEX(DurClassMapping,MATCH(M479,MappingTables!$D$4:$D$8,-1),1)</f>
        <v>1</v>
      </c>
      <c r="P479" s="73">
        <f>IF(M479=$A$1,1,$M479-INDEX(MappingTables!$E$4:$E$8,MATCH(O479,MappingTables!$B$4:$B$8,0)))</f>
        <v>4.43083832863144</v>
      </c>
      <c r="Q479" s="71">
        <f>IF(B479="",0,INDEX(ModelParameters!$D$6:$K$10,MATCH($O479,ModelParameters!$B$6:$B$10,0),MATCH($J479,ModelParameters!$D$5:$K$5,0)))</f>
        <v>0.013999999999999998</v>
      </c>
      <c r="R479" s="71">
        <f>IF(B479="",0,INDEX(ModelParameters!$D$13:$K$17,MATCH($O479,ModelParameters!$B$13:$B$17,0),MATCH($J479,ModelParameters!$D$5:$K$5,0)))</f>
        <v>0</v>
      </c>
      <c r="S479" s="160">
        <f>IF(B479="",0,MIN(IF($N479="Other Bond TM",ModelParameters!$N$21,1)*(P479*Q479+R479),1))</f>
        <v>0.062031736600840152</v>
      </c>
      <c r="T479" s="85">
        <f>IF(B479="",0,$S479*$K479)</f>
        <v>8.6327022165381824</v>
      </c>
      <c r="U479" s="85">
        <f>IF(B479="",0,IF(OR(H479=MappingTables!$C$34,H479=MappingTables!$C$35),T479,0))</f>
        <v>0</v>
      </c>
      <c r="V479" s="85">
        <f>IF(ISNA(IF(AND(VLOOKUP(CONCATENATE($D479,$G479),CSRFinput!$B:$E,4,0)=0,OR(H479=MappingTables!$C$34,H479=MappingTables!$C$35)),1,VLOOKUP(CONCATENATE($D479,$G479),CSRFinput!$B:$E,4,0))),0,IF(AND(VLOOKUP(CONCATENATE($D479,$G479),CSRFinput!$B:$E,4,0)=0,OR(H479=MappingTables!$C$34,H479=MappingTables!$C$35)),1,VLOOKUP(CONCATENATE($D479,$G479),CSRFinput!$B:$E,4,0)))</f>
        <v>0.054776304963434752</v>
      </c>
      <c r="W479" s="85">
        <f>IF(B479="",0,+$T479*$V479)</f>
        <v>0.47286752927161472</v>
      </c>
      <c r="X479" s="85">
        <f>IF(B479="",0,IF(OR(H479=MappingTables!$C$34,H479=MappingTables!$C$35),W479,0))</f>
        <v>0</v>
      </c>
    </row>
    <row r="480" spans="2:24" s="0" customFormat="0" ht="15">
      <c r="B480" s="69">
        <v>12641067</v>
      </c>
      <c r="C480" s="70" t="s">
        <v>751</v>
      </c>
      <c r="D480" s="70" t="s">
        <v>1</v>
      </c>
      <c r="E480" s="70" t="s">
        <v>1</v>
      </c>
      <c r="F480" s="70"/>
      <c r="G480" s="70" t="s">
        <v>61</v>
      </c>
      <c r="H480" s="70" t="s">
        <v>178</v>
      </c>
      <c r="I480" s="70" t="s">
        <v>184</v>
      </c>
      <c r="J480" s="71">
        <f>IF(OR(I480=0,I480=""),"unrated",VLOOKUP(I480,MappingTables!$B$19:$C$31,2,FALSE))</f>
        <v>5</v>
      </c>
      <c r="K480" s="72">
        <v>573.64742021929144</v>
      </c>
      <c r="L480" s="70">
        <v>0.087667797296494288</v>
      </c>
      <c r="M480" s="71">
        <f>IF(L480&lt;1,1,L480)</f>
        <v>1</v>
      </c>
      <c r="N480" s="70" t="s">
        <v>141</v>
      </c>
      <c r="O480" s="71">
        <f>INDEX(DurClassMapping,MATCH(M480,MappingTables!$D$4:$D$8,-1),1)</f>
        <v>1</v>
      </c>
      <c r="P480" s="73">
        <f>IF(M480=$A$1,1,$M480-INDEX(MappingTables!$E$4:$E$8,MATCH(O480,MappingTables!$B$4:$B$8,0)))</f>
        <v>1</v>
      </c>
      <c r="Q480" s="71">
        <f>IF(B480="",0,INDEX(ModelParameters!$D$6:$K$10,MATCH($O480,ModelParameters!$B$6:$B$10,0),MATCH($J480,ModelParameters!$D$5:$K$5,0)))</f>
        <v>0.075</v>
      </c>
      <c r="R480" s="71">
        <f>IF(B480="",0,INDEX(ModelParameters!$D$13:$K$17,MATCH($O480,ModelParameters!$B$13:$B$17,0),MATCH($J480,ModelParameters!$D$5:$K$5,0)))</f>
        <v>0</v>
      </c>
      <c r="S480" s="160">
        <f>IF(B480="",0,MIN(IF($N480="Other Bond TM",ModelParameters!$N$21,1)*(P480*Q480+R480),1))</f>
        <v>0.075</v>
      </c>
      <c r="T480" s="85">
        <f>IF(B480="",0,$S480*$K480)</f>
        <v>43.023556516446856</v>
      </c>
      <c r="U480" s="85">
        <f>IF(B480="",0,IF(OR(H480=MappingTables!$C$34,H480=MappingTables!$C$35),T480,0))</f>
        <v>0</v>
      </c>
      <c r="V480" s="85">
        <f>IF(ISNA(IF(AND(VLOOKUP(CONCATENATE($D480,$G480),CSRFinput!$B:$E,4,0)=0,OR(H480=MappingTables!$C$34,H480=MappingTables!$C$35)),1,VLOOKUP(CONCATENATE($D480,$G480),CSRFinput!$B:$E,4,0))),0,IF(AND(VLOOKUP(CONCATENATE($D480,$G480),CSRFinput!$B:$E,4,0)=0,OR(H480=MappingTables!$C$34,H480=MappingTables!$C$35)),1,VLOOKUP(CONCATENATE($D480,$G480),CSRFinput!$B:$E,4,0)))</f>
        <v>0.054776304963434752</v>
      </c>
      <c r="W480" s="85">
        <f>IF(B480="",0,+$T480*$V480)</f>
        <v>2.356671452356464</v>
      </c>
      <c r="X480" s="85">
        <f>IF(B480="",0,IF(OR(H480=MappingTables!$C$34,H480=MappingTables!$C$35),W480,0))</f>
        <v>0</v>
      </c>
    </row>
    <row r="481" spans="2:24" s="0" customFormat="0" ht="15">
      <c r="B481" s="69" t="s">
        <v>752</v>
      </c>
      <c r="C481" s="70" t="s">
        <v>753</v>
      </c>
      <c r="D481" s="70" t="s">
        <v>1</v>
      </c>
      <c r="E481" s="70" t="s">
        <v>1</v>
      </c>
      <c r="F481" s="70"/>
      <c r="G481" s="70" t="s">
        <v>61</v>
      </c>
      <c r="H481" s="70" t="s">
        <v>178</v>
      </c>
      <c r="I481" s="70" t="s">
        <v>181</v>
      </c>
      <c r="J481" s="71">
        <f>IF(OR(I481=0,I481=""),"unrated",VLOOKUP(I481,MappingTables!$B$19:$C$31,2,FALSE))</f>
        <v>3</v>
      </c>
      <c r="K481" s="72">
        <v>10.739820364779006</v>
      </c>
      <c r="L481" s="70">
        <v>1.4301520379643294</v>
      </c>
      <c r="M481" s="71">
        <f>IF(L481&lt;1,1,L481)</f>
        <v>1.4301520379643294</v>
      </c>
      <c r="N481" s="70" t="s">
        <v>141</v>
      </c>
      <c r="O481" s="71">
        <f>INDEX(DurClassMapping,MATCH(M481,MappingTables!$D$4:$D$8,-1),1)</f>
        <v>1</v>
      </c>
      <c r="P481" s="73">
        <f>IF(M481=$A$1,1,$M481-INDEX(MappingTables!$E$4:$E$8,MATCH(O481,MappingTables!$B$4:$B$8,0)))</f>
        <v>1.4301520379643294</v>
      </c>
      <c r="Q481" s="71">
        <f>IF(B481="",0,INDEX(ModelParameters!$D$6:$K$10,MATCH($O481,ModelParameters!$B$6:$B$10,0),MATCH($J481,ModelParameters!$D$5:$K$5,0)))</f>
        <v>0.025</v>
      </c>
      <c r="R481" s="71">
        <f>IF(B481="",0,INDEX(ModelParameters!$D$13:$K$17,MATCH($O481,ModelParameters!$B$13:$B$17,0),MATCH($J481,ModelParameters!$D$5:$K$5,0)))</f>
        <v>0</v>
      </c>
      <c r="S481" s="160">
        <f>IF(B481="",0,MIN(IF($N481="Other Bond TM",ModelParameters!$N$21,1)*(P481*Q481+R481),1))</f>
        <v>0.035753800949108232</v>
      </c>
      <c r="T481" s="85">
        <f>IF(B481="",0,$S481*$K481)</f>
        <v>0.3839893995514876</v>
      </c>
      <c r="U481" s="85">
        <f>IF(B481="",0,IF(OR(H481=MappingTables!$C$34,H481=MappingTables!$C$35),T481,0))</f>
        <v>0</v>
      </c>
      <c r="V481" s="85">
        <f>IF(ISNA(IF(AND(VLOOKUP(CONCATENATE($D481,$G481),CSRFinput!$B:$E,4,0)=0,OR(H481=MappingTables!$C$34,H481=MappingTables!$C$35)),1,VLOOKUP(CONCATENATE($D481,$G481),CSRFinput!$B:$E,4,0))),0,IF(AND(VLOOKUP(CONCATENATE($D481,$G481),CSRFinput!$B:$E,4,0)=0,OR(H481=MappingTables!$C$34,H481=MappingTables!$C$35)),1,VLOOKUP(CONCATENATE($D481,$G481),CSRFinput!$B:$E,4,0)))</f>
        <v>0.054776304963434752</v>
      </c>
      <c r="W481" s="85">
        <f>IF(B481="",0,+$T481*$V481)</f>
        <v>0.02103352045255848</v>
      </c>
      <c r="X481" s="85">
        <f>IF(B481="",0,IF(OR(H481=MappingTables!$C$34,H481=MappingTables!$C$35),W481,0))</f>
        <v>0</v>
      </c>
    </row>
    <row r="482" spans="2:24" s="0" customFormat="0" ht="15">
      <c r="B482" s="69">
        <v>2807487</v>
      </c>
      <c r="C482" s="70" t="s">
        <v>754</v>
      </c>
      <c r="D482" s="70" t="s">
        <v>1</v>
      </c>
      <c r="E482" s="70" t="s">
        <v>1</v>
      </c>
      <c r="F482" s="70"/>
      <c r="G482" s="70" t="s">
        <v>61</v>
      </c>
      <c r="H482" s="70" t="s">
        <v>178</v>
      </c>
      <c r="I482" s="70" t="s">
        <v>181</v>
      </c>
      <c r="J482" s="71">
        <f>IF(OR(I482=0,I482=""),"unrated",VLOOKUP(I482,MappingTables!$B$19:$C$31,2,FALSE))</f>
        <v>3</v>
      </c>
      <c r="K482" s="72">
        <v>2802.122695687098</v>
      </c>
      <c r="L482" s="70">
        <v>12.263606125048948</v>
      </c>
      <c r="M482" s="71">
        <f>IF(L482&lt;1,1,L482)</f>
        <v>12.263606125048948</v>
      </c>
      <c r="N482" s="70" t="s">
        <v>141</v>
      </c>
      <c r="O482" s="71">
        <f>INDEX(DurClassMapping,MATCH(M482,MappingTables!$D$4:$D$8,-1),1)</f>
        <v>3</v>
      </c>
      <c r="P482" s="73">
        <f>IF(M482=$A$1,1,$M482-INDEX(MappingTables!$E$4:$E$8,MATCH(O482,MappingTables!$B$4:$B$8,0)))</f>
        <v>2.2636061250489484</v>
      </c>
      <c r="Q482" s="71">
        <f>IF(B482="",0,INDEX(ModelParameters!$D$6:$K$10,MATCH($O482,ModelParameters!$B$6:$B$10,0),MATCH($J482,ModelParameters!$D$5:$K$5,0)))</f>
        <v>0.01</v>
      </c>
      <c r="R482" s="71">
        <f>IF(B482="",0,INDEX(ModelParameters!$D$13:$K$17,MATCH($O482,ModelParameters!$B$13:$B$17,0),MATCH($J482,ModelParameters!$D$5:$K$5,0)))</f>
        <v>0.2</v>
      </c>
      <c r="S482" s="160">
        <f>IF(B482="",0,MIN(IF($N482="Other Bond TM",ModelParameters!$N$21,1)*(P482*Q482+R482),1))</f>
        <v>0.22263606125048948</v>
      </c>
      <c r="T482" s="85">
        <f>IF(B482="",0,$S482*$K482)</f>
        <v>623.85356010837936</v>
      </c>
      <c r="U482" s="85">
        <f>IF(B482="",0,IF(OR(H482=MappingTables!$C$34,H482=MappingTables!$C$35),T482,0))</f>
        <v>0</v>
      </c>
      <c r="V482" s="85">
        <f>IF(ISNA(IF(AND(VLOOKUP(CONCATENATE($D482,$G482),CSRFinput!$B:$E,4,0)=0,OR(H482=MappingTables!$C$34,H482=MappingTables!$C$35)),1,VLOOKUP(CONCATENATE($D482,$G482),CSRFinput!$B:$E,4,0))),0,IF(AND(VLOOKUP(CONCATENATE($D482,$G482),CSRFinput!$B:$E,4,0)=0,OR(H482=MappingTables!$C$34,H482=MappingTables!$C$35)),1,VLOOKUP(CONCATENATE($D482,$G482),CSRFinput!$B:$E,4,0)))</f>
        <v>0.054776304963434752</v>
      </c>
      <c r="W482" s="85">
        <f>IF(B482="",0,+$T482*$V482)</f>
        <v>34.172392861021068</v>
      </c>
      <c r="X482" s="85">
        <f>IF(B482="",0,IF(OR(H482=MappingTables!$C$34,H482=MappingTables!$C$35),W482,0))</f>
        <v>0</v>
      </c>
    </row>
    <row r="483" spans="2:24" s="0" customFormat="0" ht="15">
      <c r="B483" s="69" t="s">
        <v>755</v>
      </c>
      <c r="C483" s="70" t="s">
        <v>756</v>
      </c>
      <c r="D483" s="70" t="s">
        <v>1</v>
      </c>
      <c r="E483" s="70" t="s">
        <v>1</v>
      </c>
      <c r="F483" s="70"/>
      <c r="G483" s="70" t="s">
        <v>61</v>
      </c>
      <c r="H483" s="70" t="s">
        <v>178</v>
      </c>
      <c r="I483" s="70" t="s">
        <v>184</v>
      </c>
      <c r="J483" s="71">
        <f>IF(OR(I483=0,I483=""),"unrated",VLOOKUP(I483,MappingTables!$B$19:$C$31,2,FALSE))</f>
        <v>5</v>
      </c>
      <c r="K483" s="72">
        <v>18643.467885687056</v>
      </c>
      <c r="L483" s="70">
        <v>6.6988820970524568</v>
      </c>
      <c r="M483" s="71">
        <f>IF(L483&lt;1,1,L483)</f>
        <v>6.6988820970524568</v>
      </c>
      <c r="N483" s="70" t="s">
        <v>141</v>
      </c>
      <c r="O483" s="71">
        <f>INDEX(DurClassMapping,MATCH(M483,MappingTables!$D$4:$D$8,-1),1)</f>
        <v>2</v>
      </c>
      <c r="P483" s="73">
        <f>IF(M483=$A$1,1,$M483-INDEX(MappingTables!$E$4:$E$8,MATCH(O483,MappingTables!$B$4:$B$8,0)))</f>
        <v>1.698882097052457</v>
      </c>
      <c r="Q483" s="71">
        <f>IF(B483="",0,INDEX(ModelParameters!$D$6:$K$10,MATCH($O483,ModelParameters!$B$6:$B$10,0),MATCH($J483,ModelParameters!$D$5:$K$5,0)))</f>
        <v>0.042</v>
      </c>
      <c r="R483" s="71">
        <f>IF(B483="",0,INDEX(ModelParameters!$D$13:$K$17,MATCH($O483,ModelParameters!$B$13:$B$17,0),MATCH($J483,ModelParameters!$D$5:$K$5,0)))</f>
        <v>0.375</v>
      </c>
      <c r="S483" s="160">
        <f>IF(B483="",0,MIN(IF($N483="Other Bond TM",ModelParameters!$N$21,1)*(P483*Q483+R483),1))</f>
        <v>0.4463530480762032</v>
      </c>
      <c r="T483" s="85">
        <f>IF(B483="",0,$S483*$K483)</f>
        <v>8321.5687174872256</v>
      </c>
      <c r="U483" s="85">
        <f>IF(B483="",0,IF(OR(H483=MappingTables!$C$34,H483=MappingTables!$C$35),T483,0))</f>
        <v>0</v>
      </c>
      <c r="V483" s="85">
        <f>IF(ISNA(IF(AND(VLOOKUP(CONCATENATE($D483,$G483),CSRFinput!$B:$E,4,0)=0,OR(H483=MappingTables!$C$34,H483=MappingTables!$C$35)),1,VLOOKUP(CONCATENATE($D483,$G483),CSRFinput!$B:$E,4,0))),0,IF(AND(VLOOKUP(CONCATENATE($D483,$G483),CSRFinput!$B:$E,4,0)=0,OR(H483=MappingTables!$C$34,H483=MappingTables!$C$35)),1,VLOOKUP(CONCATENATE($D483,$G483),CSRFinput!$B:$E,4,0)))</f>
        <v>0.054776304963434752</v>
      </c>
      <c r="W483" s="85">
        <f>IF(B483="",0,+$T483*$V483)</f>
        <v>455.82478584325888</v>
      </c>
      <c r="X483" s="85">
        <f>IF(B483="",0,IF(OR(H483=MappingTables!$C$34,H483=MappingTables!$C$35),W483,0))</f>
        <v>0</v>
      </c>
    </row>
    <row r="484" spans="2:24" s="0" customFormat="0" ht="15">
      <c r="B484" s="69">
        <v>14542527</v>
      </c>
      <c r="C484" s="70" t="s">
        <v>757</v>
      </c>
      <c r="D484" s="70" t="s">
        <v>1</v>
      </c>
      <c r="E484" s="70" t="s">
        <v>1</v>
      </c>
      <c r="F484" s="70"/>
      <c r="G484" s="70" t="s">
        <v>61</v>
      </c>
      <c r="H484" s="70" t="s">
        <v>178</v>
      </c>
      <c r="I484" s="70" t="s">
        <v>179</v>
      </c>
      <c r="J484" s="71">
        <f>IF(OR(I484=0,I484=""),"unrated",VLOOKUP(I484,MappingTables!$B$19:$C$31,2,FALSE))</f>
        <v>4</v>
      </c>
      <c r="K484" s="72">
        <v>516.41595961031848</v>
      </c>
      <c r="L484" s="70">
        <v>3.4513785414594988</v>
      </c>
      <c r="M484" s="71">
        <f>IF(L484&lt;1,1,L484)</f>
        <v>3.4513785414594988</v>
      </c>
      <c r="N484" s="70" t="s">
        <v>141</v>
      </c>
      <c r="O484" s="71">
        <f>INDEX(DurClassMapping,MATCH(M484,MappingTables!$D$4:$D$8,-1),1)</f>
        <v>1</v>
      </c>
      <c r="P484" s="73">
        <f>IF(M484=$A$1,1,$M484-INDEX(MappingTables!$E$4:$E$8,MATCH(O484,MappingTables!$B$4:$B$8,0)))</f>
        <v>3.4513785414594988</v>
      </c>
      <c r="Q484" s="71">
        <f>IF(B484="",0,INDEX(ModelParameters!$D$6:$K$10,MATCH($O484,ModelParameters!$B$6:$B$10,0),MATCH($J484,ModelParameters!$D$5:$K$5,0)))</f>
        <v>0.045</v>
      </c>
      <c r="R484" s="71">
        <f>IF(B484="",0,INDEX(ModelParameters!$D$13:$K$17,MATCH($O484,ModelParameters!$B$13:$B$17,0),MATCH($J484,ModelParameters!$D$5:$K$5,0)))</f>
        <v>0</v>
      </c>
      <c r="S484" s="160">
        <f>IF(B484="",0,MIN(IF($N484="Other Bond TM",ModelParameters!$N$21,1)*(P484*Q484+R484),1))</f>
        <v>0.15531203436567742</v>
      </c>
      <c r="T484" s="85">
        <f>IF(B484="",0,$S484*$K484)</f>
        <v>80.205613265982064</v>
      </c>
      <c r="U484" s="85">
        <f>IF(B484="",0,IF(OR(H484=MappingTables!$C$34,H484=MappingTables!$C$35),T484,0))</f>
        <v>0</v>
      </c>
      <c r="V484" s="85">
        <f>IF(ISNA(IF(AND(VLOOKUP(CONCATENATE($D484,$G484),CSRFinput!$B:$E,4,0)=0,OR(H484=MappingTables!$C$34,H484=MappingTables!$C$35)),1,VLOOKUP(CONCATENATE($D484,$G484),CSRFinput!$B:$E,4,0))),0,IF(AND(VLOOKUP(CONCATENATE($D484,$G484),CSRFinput!$B:$E,4,0)=0,OR(H484=MappingTables!$C$34,H484=MappingTables!$C$35)),1,VLOOKUP(CONCATENATE($D484,$G484),CSRFinput!$B:$E,4,0)))</f>
        <v>0.054776304963434752</v>
      </c>
      <c r="W484" s="85">
        <f>IF(B484="",0,+$T484*$V484)</f>
        <v>4.3933671320367424</v>
      </c>
      <c r="X484" s="85">
        <f>IF(B484="",0,IF(OR(H484=MappingTables!$C$34,H484=MappingTables!$C$35),W484,0))</f>
        <v>0</v>
      </c>
    </row>
    <row r="485" spans="2:24" s="0" customFormat="0" ht="15">
      <c r="B485" s="69">
        <v>22444251</v>
      </c>
      <c r="C485" s="70" t="s">
        <v>758</v>
      </c>
      <c r="D485" s="70" t="s">
        <v>1</v>
      </c>
      <c r="E485" s="70" t="s">
        <v>1</v>
      </c>
      <c r="F485" s="70"/>
      <c r="G485" s="70" t="s">
        <v>61</v>
      </c>
      <c r="H485" s="70" t="s">
        <v>178</v>
      </c>
      <c r="I485" s="70" t="s">
        <v>181</v>
      </c>
      <c r="J485" s="71">
        <f>IF(OR(I485=0,I485=""),"unrated",VLOOKUP(I485,MappingTables!$B$19:$C$31,2,FALSE))</f>
        <v>3</v>
      </c>
      <c r="K485" s="72">
        <v>1060.917811007941</v>
      </c>
      <c r="L485" s="70">
        <v>19.220824527536968</v>
      </c>
      <c r="M485" s="71">
        <f>IF(L485&lt;1,1,L485)</f>
        <v>19.220824527536968</v>
      </c>
      <c r="N485" s="70" t="s">
        <v>141</v>
      </c>
      <c r="O485" s="71">
        <f>INDEX(DurClassMapping,MATCH(M485,MappingTables!$D$4:$D$8,-1),1)</f>
        <v>4</v>
      </c>
      <c r="P485" s="73">
        <f>IF(M485=$A$1,1,$M485-INDEX(MappingTables!$E$4:$E$8,MATCH(O485,MappingTables!$B$4:$B$8,0)))</f>
        <v>4.2208245275369688</v>
      </c>
      <c r="Q485" s="71">
        <f>IF(B485="",0,INDEX(ModelParameters!$D$6:$K$10,MATCH($O485,ModelParameters!$B$6:$B$10,0),MATCH($J485,ModelParameters!$D$5:$K$5,0)))</f>
        <v>0.01</v>
      </c>
      <c r="R485" s="71">
        <f>IF(B485="",0,INDEX(ModelParameters!$D$13:$K$17,MATCH($O485,ModelParameters!$B$13:$B$17,0),MATCH($J485,ModelParameters!$D$5:$K$5,0)))</f>
        <v>0.25</v>
      </c>
      <c r="S485" s="160">
        <f>IF(B485="",0,MIN(IF($N485="Other Bond TM",ModelParameters!$N$21,1)*(P485*Q485+R485),1))</f>
        <v>0.29220824527536972</v>
      </c>
      <c r="T485" s="85">
        <f>IF(B485="",0,$S485*$K485)</f>
        <v>310.00893193601676</v>
      </c>
      <c r="U485" s="85">
        <f>IF(B485="",0,IF(OR(H485=MappingTables!$C$34,H485=MappingTables!$C$35),T485,0))</f>
        <v>0</v>
      </c>
      <c r="V485" s="85">
        <f>IF(ISNA(IF(AND(VLOOKUP(CONCATENATE($D485,$G485),CSRFinput!$B:$E,4,0)=0,OR(H485=MappingTables!$C$34,H485=MappingTables!$C$35)),1,VLOOKUP(CONCATENATE($D485,$G485),CSRFinput!$B:$E,4,0))),0,IF(AND(VLOOKUP(CONCATENATE($D485,$G485),CSRFinput!$B:$E,4,0)=0,OR(H485=MappingTables!$C$34,H485=MappingTables!$C$35)),1,VLOOKUP(CONCATENATE($D485,$G485),CSRFinput!$B:$E,4,0)))</f>
        <v>0.054776304963434752</v>
      </c>
      <c r="W485" s="85">
        <f>IF(B485="",0,+$T485*$V485)</f>
        <v>16.981143797115944</v>
      </c>
      <c r="X485" s="85">
        <f>IF(B485="",0,IF(OR(H485=MappingTables!$C$34,H485=MappingTables!$C$35),W485,0))</f>
        <v>0</v>
      </c>
    </row>
    <row r="486" spans="2:24" s="0" customFormat="0" ht="15">
      <c r="B486" s="69">
        <v>19646587</v>
      </c>
      <c r="C486" s="70" t="s">
        <v>380</v>
      </c>
      <c r="D486" s="70" t="s">
        <v>1</v>
      </c>
      <c r="E486" s="70" t="s">
        <v>1</v>
      </c>
      <c r="F486" s="70"/>
      <c r="G486" s="70" t="s">
        <v>61</v>
      </c>
      <c r="H486" s="70" t="s">
        <v>178</v>
      </c>
      <c r="I486" s="70" t="s">
        <v>179</v>
      </c>
      <c r="J486" s="71">
        <f>IF(OR(I486=0,I486=""),"unrated",VLOOKUP(I486,MappingTables!$B$19:$C$31,2,FALSE))</f>
        <v>4</v>
      </c>
      <c r="K486" s="72">
        <v>14223.596860600526</v>
      </c>
      <c r="L486" s="70">
        <v>1.276311771925034</v>
      </c>
      <c r="M486" s="71">
        <f>IF(L486&lt;1,1,L486)</f>
        <v>1.276311771925034</v>
      </c>
      <c r="N486" s="70" t="s">
        <v>141</v>
      </c>
      <c r="O486" s="71">
        <f>INDEX(DurClassMapping,MATCH(M486,MappingTables!$D$4:$D$8,-1),1)</f>
        <v>1</v>
      </c>
      <c r="P486" s="73">
        <f>IF(M486=$A$1,1,$M486-INDEX(MappingTables!$E$4:$E$8,MATCH(O486,MappingTables!$B$4:$B$8,0)))</f>
        <v>1.276311771925034</v>
      </c>
      <c r="Q486" s="71">
        <f>IF(B486="",0,INDEX(ModelParameters!$D$6:$K$10,MATCH($O486,ModelParameters!$B$6:$B$10,0),MATCH($J486,ModelParameters!$D$5:$K$5,0)))</f>
        <v>0.045</v>
      </c>
      <c r="R486" s="71">
        <f>IF(B486="",0,INDEX(ModelParameters!$D$13:$K$17,MATCH($O486,ModelParameters!$B$13:$B$17,0),MATCH($J486,ModelParameters!$D$5:$K$5,0)))</f>
        <v>0</v>
      </c>
      <c r="S486" s="160">
        <f>IF(B486="",0,MIN(IF($N486="Other Bond TM",ModelParameters!$N$21,1)*(P486*Q486+R486),1))</f>
        <v>0.057434029736626536</v>
      </c>
      <c r="T486" s="85">
        <f>IF(B486="",0,$S486*$K486)</f>
        <v>816.9184850535184</v>
      </c>
      <c r="U486" s="85">
        <f>IF(B486="",0,IF(OR(H486=MappingTables!$C$34,H486=MappingTables!$C$35),T486,0))</f>
        <v>0</v>
      </c>
      <c r="V486" s="85">
        <f>IF(ISNA(IF(AND(VLOOKUP(CONCATENATE($D486,$G486),CSRFinput!$B:$E,4,0)=0,OR(H486=MappingTables!$C$34,H486=MappingTables!$C$35)),1,VLOOKUP(CONCATENATE($D486,$G486),CSRFinput!$B:$E,4,0))),0,IF(AND(VLOOKUP(CONCATENATE($D486,$G486),CSRFinput!$B:$E,4,0)=0,OR(H486=MappingTables!$C$34,H486=MappingTables!$C$35)),1,VLOOKUP(CONCATENATE($D486,$G486),CSRFinput!$B:$E,4,0)))</f>
        <v>0.054776304963434752</v>
      </c>
      <c r="W486" s="85">
        <f>IF(B486="",0,+$T486*$V486)</f>
        <v>44.74777606755864</v>
      </c>
      <c r="X486" s="85">
        <f>IF(B486="",0,IF(OR(H486=MappingTables!$C$34,H486=MappingTables!$C$35),W486,0))</f>
        <v>0</v>
      </c>
    </row>
    <row r="487" spans="2:24" s="0" customFormat="0" ht="15">
      <c r="B487" s="69">
        <v>20869206</v>
      </c>
      <c r="C487" s="70" t="s">
        <v>759</v>
      </c>
      <c r="D487" s="70" t="s">
        <v>1</v>
      </c>
      <c r="E487" s="70" t="s">
        <v>1</v>
      </c>
      <c r="F487" s="70"/>
      <c r="G487" s="70" t="s">
        <v>61</v>
      </c>
      <c r="H487" s="70" t="s">
        <v>178</v>
      </c>
      <c r="I487" s="70" t="s">
        <v>179</v>
      </c>
      <c r="J487" s="71">
        <f>IF(OR(I487=0,I487=""),"unrated",VLOOKUP(I487,MappingTables!$B$19:$C$31,2,FALSE))</f>
        <v>4</v>
      </c>
      <c r="K487" s="72">
        <v>1121.038393899161</v>
      </c>
      <c r="L487" s="70">
        <v>7.5147729048909792</v>
      </c>
      <c r="M487" s="71">
        <f>IF(L487&lt;1,1,L487)</f>
        <v>7.5147729048909792</v>
      </c>
      <c r="N487" s="70" t="s">
        <v>141</v>
      </c>
      <c r="O487" s="71">
        <f>INDEX(DurClassMapping,MATCH(M487,MappingTables!$D$4:$D$8,-1),1)</f>
        <v>2</v>
      </c>
      <c r="P487" s="73">
        <f>IF(M487=$A$1,1,$M487-INDEX(MappingTables!$E$4:$E$8,MATCH(O487,MappingTables!$B$4:$B$8,0)))</f>
        <v>2.5147729048909796</v>
      </c>
      <c r="Q487" s="71">
        <f>IF(B487="",0,INDEX(ModelParameters!$D$6:$K$10,MATCH($O487,ModelParameters!$B$6:$B$10,0),MATCH($J487,ModelParameters!$D$5:$K$5,0)))</f>
        <v>0.025</v>
      </c>
      <c r="R487" s="71">
        <f>IF(B487="",0,INDEX(ModelParameters!$D$13:$K$17,MATCH($O487,ModelParameters!$B$13:$B$17,0),MATCH($J487,ModelParameters!$D$5:$K$5,0)))</f>
        <v>0.225</v>
      </c>
      <c r="S487" s="160">
        <f>IF(B487="",0,MIN(IF($N487="Other Bond TM",ModelParameters!$N$21,1)*(P487*Q487+R487),1))</f>
        <v>0.28786932262227448</v>
      </c>
      <c r="T487" s="85">
        <f>IF(B487="",0,$S487*$K487)</f>
        <v>322.712563085314</v>
      </c>
      <c r="U487" s="85">
        <f>IF(B487="",0,IF(OR(H487=MappingTables!$C$34,H487=MappingTables!$C$35),T487,0))</f>
        <v>0</v>
      </c>
      <c r="V487" s="85">
        <f>IF(ISNA(IF(AND(VLOOKUP(CONCATENATE($D487,$G487),CSRFinput!$B:$E,4,0)=0,OR(H487=MappingTables!$C$34,H487=MappingTables!$C$35)),1,VLOOKUP(CONCATENATE($D487,$G487),CSRFinput!$B:$E,4,0))),0,IF(AND(VLOOKUP(CONCATENATE($D487,$G487),CSRFinput!$B:$E,4,0)=0,OR(H487=MappingTables!$C$34,H487=MappingTables!$C$35)),1,VLOOKUP(CONCATENATE($D487,$G487),CSRFinput!$B:$E,4,0)))</f>
        <v>0.054776304963434752</v>
      </c>
      <c r="W487" s="85">
        <f>IF(B487="",0,+$T487*$V487)</f>
        <v>17.677001771092836</v>
      </c>
      <c r="X487" s="85">
        <f>IF(B487="",0,IF(OR(H487=MappingTables!$C$34,H487=MappingTables!$C$35),W487,0))</f>
        <v>0</v>
      </c>
    </row>
    <row r="488" spans="2:24" s="0" customFormat="0" ht="15">
      <c r="B488" s="69">
        <v>21874281</v>
      </c>
      <c r="C488" s="70" t="s">
        <v>760</v>
      </c>
      <c r="D488" s="70" t="s">
        <v>1</v>
      </c>
      <c r="E488" s="70" t="s">
        <v>1</v>
      </c>
      <c r="F488" s="70"/>
      <c r="G488" s="70" t="s">
        <v>61</v>
      </c>
      <c r="H488" s="70" t="s">
        <v>178</v>
      </c>
      <c r="I488" s="70" t="s">
        <v>179</v>
      </c>
      <c r="J488" s="71">
        <f>IF(OR(I488=0,I488=""),"unrated",VLOOKUP(I488,MappingTables!$B$19:$C$31,2,FALSE))</f>
        <v>4</v>
      </c>
      <c r="K488" s="72">
        <v>5552.9024795935392</v>
      </c>
      <c r="L488" s="70">
        <v>5.1280484910618824</v>
      </c>
      <c r="M488" s="71">
        <f>IF(L488&lt;1,1,L488)</f>
        <v>5.1280484910618824</v>
      </c>
      <c r="N488" s="70" t="s">
        <v>141</v>
      </c>
      <c r="O488" s="71">
        <f>INDEX(DurClassMapping,MATCH(M488,MappingTables!$D$4:$D$8,-1),1)</f>
        <v>2</v>
      </c>
      <c r="P488" s="73">
        <f>IF(M488=$A$1,1,$M488-INDEX(MappingTables!$E$4:$E$8,MATCH(O488,MappingTables!$B$4:$B$8,0)))</f>
        <v>0.12804849106188244</v>
      </c>
      <c r="Q488" s="71">
        <f>IF(B488="",0,INDEX(ModelParameters!$D$6:$K$10,MATCH($O488,ModelParameters!$B$6:$B$10,0),MATCH($J488,ModelParameters!$D$5:$K$5,0)))</f>
        <v>0.025</v>
      </c>
      <c r="R488" s="71">
        <f>IF(B488="",0,INDEX(ModelParameters!$D$13:$K$17,MATCH($O488,ModelParameters!$B$13:$B$17,0),MATCH($J488,ModelParameters!$D$5:$K$5,0)))</f>
        <v>0.225</v>
      </c>
      <c r="S488" s="160">
        <f>IF(B488="",0,MIN(IF($N488="Other Bond TM",ModelParameters!$N$21,1)*(P488*Q488+R488),1))</f>
        <v>0.22820121227654708</v>
      </c>
      <c r="T488" s="85">
        <f>IF(B488="",0,$S488*$K488)</f>
        <v>1267.1790774966898</v>
      </c>
      <c r="U488" s="85">
        <f>IF(B488="",0,IF(OR(H488=MappingTables!$C$34,H488=MappingTables!$C$35),T488,0))</f>
        <v>0</v>
      </c>
      <c r="V488" s="85">
        <f>IF(ISNA(IF(AND(VLOOKUP(CONCATENATE($D488,$G488),CSRFinput!$B:$E,4,0)=0,OR(H488=MappingTables!$C$34,H488=MappingTables!$C$35)),1,VLOOKUP(CONCATENATE($D488,$G488),CSRFinput!$B:$E,4,0))),0,IF(AND(VLOOKUP(CONCATENATE($D488,$G488),CSRFinput!$B:$E,4,0)=0,OR(H488=MappingTables!$C$34,H488=MappingTables!$C$35)),1,VLOOKUP(CONCATENATE($D488,$G488),CSRFinput!$B:$E,4,0)))</f>
        <v>0.054776304963434752</v>
      </c>
      <c r="W488" s="85">
        <f>IF(B488="",0,+$T488*$V488)</f>
        <v>69.411387592242608</v>
      </c>
      <c r="X488" s="85">
        <f>IF(B488="",0,IF(OR(H488=MappingTables!$C$34,H488=MappingTables!$C$35),W488,0))</f>
        <v>0</v>
      </c>
    </row>
    <row r="489" spans="2:24" s="0" customFormat="0" ht="15">
      <c r="B489" s="69" t="s">
        <v>761</v>
      </c>
      <c r="C489" s="70" t="s">
        <v>762</v>
      </c>
      <c r="D489" s="70" t="s">
        <v>1</v>
      </c>
      <c r="E489" s="70" t="s">
        <v>1</v>
      </c>
      <c r="F489" s="70"/>
      <c r="G489" s="70" t="s">
        <v>61</v>
      </c>
      <c r="H489" s="70" t="s">
        <v>178</v>
      </c>
      <c r="I489" s="70" t="s">
        <v>188</v>
      </c>
      <c r="J489" s="71">
        <f>IF(OR(I489=0,I489=""),"unrated",VLOOKUP(I489,MappingTables!$B$19:$C$31,2,FALSE))</f>
        <v>2</v>
      </c>
      <c r="K489" s="72">
        <v>61.195756111989616</v>
      </c>
      <c r="L489" s="70">
        <v>2.5683996127000608</v>
      </c>
      <c r="M489" s="71">
        <f>IF(L489&lt;1,1,L489)</f>
        <v>2.5683996127000608</v>
      </c>
      <c r="N489" s="70" t="s">
        <v>141</v>
      </c>
      <c r="O489" s="71">
        <f>INDEX(DurClassMapping,MATCH(M489,MappingTables!$D$4:$D$8,-1),1)</f>
        <v>1</v>
      </c>
      <c r="P489" s="73">
        <f>IF(M489=$A$1,1,$M489-INDEX(MappingTables!$E$4:$E$8,MATCH(O489,MappingTables!$B$4:$B$8,0)))</f>
        <v>2.5683996127000608</v>
      </c>
      <c r="Q489" s="71">
        <f>IF(B489="",0,INDEX(ModelParameters!$D$6:$K$10,MATCH($O489,ModelParameters!$B$6:$B$10,0),MATCH($J489,ModelParameters!$D$5:$K$5,0)))</f>
        <v>0.013999999999999998</v>
      </c>
      <c r="R489" s="71">
        <f>IF(B489="",0,INDEX(ModelParameters!$D$13:$K$17,MATCH($O489,ModelParameters!$B$13:$B$17,0),MATCH($J489,ModelParameters!$D$5:$K$5,0)))</f>
        <v>0</v>
      </c>
      <c r="S489" s="160">
        <f>IF(B489="",0,MIN(IF($N489="Other Bond TM",ModelParameters!$N$21,1)*(P489*Q489+R489),1))</f>
        <v>0.035957594577800844</v>
      </c>
      <c r="T489" s="85">
        <f>IF(B489="",0,$S489*$K489)</f>
        <v>2.2004521881569004</v>
      </c>
      <c r="U489" s="85">
        <f>IF(B489="",0,IF(OR(H489=MappingTables!$C$34,H489=MappingTables!$C$35),T489,0))</f>
        <v>0</v>
      </c>
      <c r="V489" s="85">
        <f>IF(ISNA(IF(AND(VLOOKUP(CONCATENATE($D489,$G489),CSRFinput!$B:$E,4,0)=0,OR(H489=MappingTables!$C$34,H489=MappingTables!$C$35)),1,VLOOKUP(CONCATENATE($D489,$G489),CSRFinput!$B:$E,4,0))),0,IF(AND(VLOOKUP(CONCATENATE($D489,$G489),CSRFinput!$B:$E,4,0)=0,OR(H489=MappingTables!$C$34,H489=MappingTables!$C$35)),1,VLOOKUP(CONCATENATE($D489,$G489),CSRFinput!$B:$E,4,0)))</f>
        <v>0.054776304963434752</v>
      </c>
      <c r="W489" s="85">
        <f>IF(B489="",0,+$T489*$V489)</f>
        <v>0.1205326401159397</v>
      </c>
      <c r="X489" s="85">
        <f>IF(B489="",0,IF(OR(H489=MappingTables!$C$34,H489=MappingTables!$C$35),W489,0))</f>
        <v>0</v>
      </c>
    </row>
    <row r="490" spans="2:24" s="0" customFormat="0" ht="15">
      <c r="B490" s="69">
        <v>1993216</v>
      </c>
      <c r="C490" s="70" t="s">
        <v>763</v>
      </c>
      <c r="D490" s="70" t="s">
        <v>1</v>
      </c>
      <c r="E490" s="70" t="s">
        <v>1</v>
      </c>
      <c r="F490" s="70"/>
      <c r="G490" s="70" t="s">
        <v>61</v>
      </c>
      <c r="H490" s="70" t="s">
        <v>178</v>
      </c>
      <c r="I490" s="70" t="s">
        <v>181</v>
      </c>
      <c r="J490" s="71">
        <f>IF(OR(I490=0,I490=""),"unrated",VLOOKUP(I490,MappingTables!$B$19:$C$31,2,FALSE))</f>
        <v>3</v>
      </c>
      <c r="K490" s="72">
        <v>1053141.7846679688</v>
      </c>
      <c r="L490" s="70">
        <v>0.9561756451512416</v>
      </c>
      <c r="M490" s="71">
        <f>IF(L490&lt;1,1,L490)</f>
        <v>1</v>
      </c>
      <c r="N490" s="70" t="s">
        <v>141</v>
      </c>
      <c r="O490" s="71">
        <f>INDEX(DurClassMapping,MATCH(M490,MappingTables!$D$4:$D$8,-1),1)</f>
        <v>1</v>
      </c>
      <c r="P490" s="73">
        <f>IF(M490=$A$1,1,$M490-INDEX(MappingTables!$E$4:$E$8,MATCH(O490,MappingTables!$B$4:$B$8,0)))</f>
        <v>1</v>
      </c>
      <c r="Q490" s="71">
        <f>IF(B490="",0,INDEX(ModelParameters!$D$6:$K$10,MATCH($O490,ModelParameters!$B$6:$B$10,0),MATCH($J490,ModelParameters!$D$5:$K$5,0)))</f>
        <v>0.025</v>
      </c>
      <c r="R490" s="71">
        <f>IF(B490="",0,INDEX(ModelParameters!$D$13:$K$17,MATCH($O490,ModelParameters!$B$13:$B$17,0),MATCH($J490,ModelParameters!$D$5:$K$5,0)))</f>
        <v>0</v>
      </c>
      <c r="S490" s="160">
        <f>IF(B490="",0,MIN(IF($N490="Other Bond TM",ModelParameters!$N$21,1)*(P490*Q490+R490),1))</f>
        <v>0.025</v>
      </c>
      <c r="T490" s="85">
        <f>IF(B490="",0,$S490*$K490)</f>
        <v>26328.54461669922</v>
      </c>
      <c r="U490" s="85">
        <f>IF(B490="",0,IF(OR(H490=MappingTables!$C$34,H490=MappingTables!$C$35),T490,0))</f>
        <v>0</v>
      </c>
      <c r="V490" s="85">
        <f>IF(ISNA(IF(AND(VLOOKUP(CONCATENATE($D490,$G490),CSRFinput!$B:$E,4,0)=0,OR(H490=MappingTables!$C$34,H490=MappingTables!$C$35)),1,VLOOKUP(CONCATENATE($D490,$G490),CSRFinput!$B:$E,4,0))),0,IF(AND(VLOOKUP(CONCATENATE($D490,$G490),CSRFinput!$B:$E,4,0)=0,OR(H490=MappingTables!$C$34,H490=MappingTables!$C$35)),1,VLOOKUP(CONCATENATE($D490,$G490),CSRFinput!$B:$E,4,0)))</f>
        <v>0.054776304963434752</v>
      </c>
      <c r="W490" s="85">
        <f>IF(B490="",0,+$T490*$V490)</f>
        <v>1442.1803891677148</v>
      </c>
      <c r="X490" s="85">
        <f>IF(B490="",0,IF(OR(H490=MappingTables!$C$34,H490=MappingTables!$C$35),W490,0))</f>
        <v>0</v>
      </c>
    </row>
    <row r="491" spans="2:24" s="0" customFormat="0" ht="15">
      <c r="B491" s="69">
        <v>13442903</v>
      </c>
      <c r="C491" s="70" t="s">
        <v>764</v>
      </c>
      <c r="D491" s="70" t="s">
        <v>1</v>
      </c>
      <c r="E491" s="70" t="s">
        <v>1</v>
      </c>
      <c r="F491" s="70"/>
      <c r="G491" s="70" t="s">
        <v>61</v>
      </c>
      <c r="H491" s="70" t="s">
        <v>178</v>
      </c>
      <c r="I491" s="70" t="s">
        <v>184</v>
      </c>
      <c r="J491" s="71">
        <f>IF(OR(I491=0,I491=""),"unrated",VLOOKUP(I491,MappingTables!$B$19:$C$31,2,FALSE))</f>
        <v>5</v>
      </c>
      <c r="K491" s="72">
        <v>874.60332680079872</v>
      </c>
      <c r="L491" s="70">
        <v>5.0550650256047912</v>
      </c>
      <c r="M491" s="71">
        <f>IF(L491&lt;1,1,L491)</f>
        <v>5.0550650256047912</v>
      </c>
      <c r="N491" s="70" t="s">
        <v>141</v>
      </c>
      <c r="O491" s="71">
        <f>INDEX(DurClassMapping,MATCH(M491,MappingTables!$D$4:$D$8,-1),1)</f>
        <v>2</v>
      </c>
      <c r="P491" s="73">
        <f>IF(M491=$A$1,1,$M491-INDEX(MappingTables!$E$4:$E$8,MATCH(O491,MappingTables!$B$4:$B$8,0)))</f>
        <v>0.055065025604791096</v>
      </c>
      <c r="Q491" s="71">
        <f>IF(B491="",0,INDEX(ModelParameters!$D$6:$K$10,MATCH($O491,ModelParameters!$B$6:$B$10,0),MATCH($J491,ModelParameters!$D$5:$K$5,0)))</f>
        <v>0.042</v>
      </c>
      <c r="R491" s="71">
        <f>IF(B491="",0,INDEX(ModelParameters!$D$13:$K$17,MATCH($O491,ModelParameters!$B$13:$B$17,0),MATCH($J491,ModelParameters!$D$5:$K$5,0)))</f>
        <v>0.375</v>
      </c>
      <c r="S491" s="160">
        <f>IF(B491="",0,MIN(IF($N491="Other Bond TM",ModelParameters!$N$21,1)*(P491*Q491+R491),1))</f>
        <v>0.37731273107540128</v>
      </c>
      <c r="T491" s="85">
        <f>IF(B491="",0,$S491*$K491)</f>
        <v>329.99896984284108</v>
      </c>
      <c r="U491" s="85">
        <f>IF(B491="",0,IF(OR(H491=MappingTables!$C$34,H491=MappingTables!$C$35),T491,0))</f>
        <v>0</v>
      </c>
      <c r="V491" s="85">
        <f>IF(ISNA(IF(AND(VLOOKUP(CONCATENATE($D491,$G491),CSRFinput!$B:$E,4,0)=0,OR(H491=MappingTables!$C$34,H491=MappingTables!$C$35)),1,VLOOKUP(CONCATENATE($D491,$G491),CSRFinput!$B:$E,4,0))),0,IF(AND(VLOOKUP(CONCATENATE($D491,$G491),CSRFinput!$B:$E,4,0)=0,OR(H491=MappingTables!$C$34,H491=MappingTables!$C$35)),1,VLOOKUP(CONCATENATE($D491,$G491),CSRFinput!$B:$E,4,0)))</f>
        <v>0.054776304963434752</v>
      </c>
      <c r="W491" s="85">
        <f>IF(B491="",0,+$T491*$V491)</f>
        <v>18.076124209730772</v>
      </c>
      <c r="X491" s="85">
        <f>IF(B491="",0,IF(OR(H491=MappingTables!$C$34,H491=MappingTables!$C$35),W491,0))</f>
        <v>0</v>
      </c>
    </row>
    <row r="492" spans="2:24" s="0" customFormat="0" ht="15">
      <c r="B492" s="69">
        <v>15118994</v>
      </c>
      <c r="C492" s="70" t="s">
        <v>459</v>
      </c>
      <c r="D492" s="70" t="s">
        <v>1</v>
      </c>
      <c r="E492" s="70" t="s">
        <v>1</v>
      </c>
      <c r="F492" s="70"/>
      <c r="G492" s="70" t="s">
        <v>61</v>
      </c>
      <c r="H492" s="70" t="s">
        <v>178</v>
      </c>
      <c r="I492" s="70" t="s">
        <v>188</v>
      </c>
      <c r="J492" s="71">
        <f>IF(OR(I492=0,I492=""),"unrated",VLOOKUP(I492,MappingTables!$B$19:$C$31,2,FALSE))</f>
        <v>2</v>
      </c>
      <c r="K492" s="72">
        <v>1198.2806189420588</v>
      </c>
      <c r="L492" s="70">
        <v>1.8022617955317592</v>
      </c>
      <c r="M492" s="71">
        <f>IF(L492&lt;1,1,L492)</f>
        <v>1.8022617955317592</v>
      </c>
      <c r="N492" s="70" t="s">
        <v>141</v>
      </c>
      <c r="O492" s="71">
        <f>INDEX(DurClassMapping,MATCH(M492,MappingTables!$D$4:$D$8,-1),1)</f>
        <v>1</v>
      </c>
      <c r="P492" s="73">
        <f>IF(M492=$A$1,1,$M492-INDEX(MappingTables!$E$4:$E$8,MATCH(O492,MappingTables!$B$4:$B$8,0)))</f>
        <v>1.8022617955317592</v>
      </c>
      <c r="Q492" s="71">
        <f>IF(B492="",0,INDEX(ModelParameters!$D$6:$K$10,MATCH($O492,ModelParameters!$B$6:$B$10,0),MATCH($J492,ModelParameters!$D$5:$K$5,0)))</f>
        <v>0.013999999999999998</v>
      </c>
      <c r="R492" s="71">
        <f>IF(B492="",0,INDEX(ModelParameters!$D$13:$K$17,MATCH($O492,ModelParameters!$B$13:$B$17,0),MATCH($J492,ModelParameters!$D$5:$K$5,0)))</f>
        <v>0</v>
      </c>
      <c r="S492" s="160">
        <f>IF(B492="",0,MIN(IF($N492="Other Bond TM",ModelParameters!$N$21,1)*(P492*Q492+R492),1))</f>
        <v>0.025231665137444624</v>
      </c>
      <c r="T492" s="85">
        <f>IF(B492="",0,$S492*$K492)</f>
        <v>30.234615317835912</v>
      </c>
      <c r="U492" s="85">
        <f>IF(B492="",0,IF(OR(H492=MappingTables!$C$34,H492=MappingTables!$C$35),T492,0))</f>
        <v>0</v>
      </c>
      <c r="V492" s="85">
        <f>IF(ISNA(IF(AND(VLOOKUP(CONCATENATE($D492,$G492),CSRFinput!$B:$E,4,0)=0,OR(H492=MappingTables!$C$34,H492=MappingTables!$C$35)),1,VLOOKUP(CONCATENATE($D492,$G492),CSRFinput!$B:$E,4,0))),0,IF(AND(VLOOKUP(CONCATENATE($D492,$G492),CSRFinput!$B:$E,4,0)=0,OR(H492=MappingTables!$C$34,H492=MappingTables!$C$35)),1,VLOOKUP(CONCATENATE($D492,$G492),CSRFinput!$B:$E,4,0)))</f>
        <v>0.054776304963434752</v>
      </c>
      <c r="W492" s="85">
        <f>IF(B492="",0,+$T492*$V492)</f>
        <v>1.6561405091019156</v>
      </c>
      <c r="X492" s="85">
        <f>IF(B492="",0,IF(OR(H492=MappingTables!$C$34,H492=MappingTables!$C$35),W492,0))</f>
        <v>0</v>
      </c>
    </row>
    <row r="493" spans="2:24" s="0" customFormat="0" ht="15">
      <c r="B493" s="69" t="s">
        <v>765</v>
      </c>
      <c r="C493" s="70" t="s">
        <v>766</v>
      </c>
      <c r="D493" s="70" t="s">
        <v>1</v>
      </c>
      <c r="E493" s="70" t="s">
        <v>1</v>
      </c>
      <c r="F493" s="70"/>
      <c r="G493" s="70" t="s">
        <v>61</v>
      </c>
      <c r="H493" s="70" t="s">
        <v>178</v>
      </c>
      <c r="I493" s="70" t="s">
        <v>181</v>
      </c>
      <c r="J493" s="71">
        <f>IF(OR(I493=0,I493=""),"unrated",VLOOKUP(I493,MappingTables!$B$19:$C$31,2,FALSE))</f>
        <v>3</v>
      </c>
      <c r="K493" s="72">
        <v>17109.223460589562</v>
      </c>
      <c r="L493" s="70">
        <v>5.6313724984968056</v>
      </c>
      <c r="M493" s="71">
        <f>IF(L493&lt;1,1,L493)</f>
        <v>5.6313724984968056</v>
      </c>
      <c r="N493" s="70" t="s">
        <v>141</v>
      </c>
      <c r="O493" s="71">
        <f>INDEX(DurClassMapping,MATCH(M493,MappingTables!$D$4:$D$8,-1),1)</f>
        <v>2</v>
      </c>
      <c r="P493" s="73">
        <f>IF(M493=$A$1,1,$M493-INDEX(MappingTables!$E$4:$E$8,MATCH(O493,MappingTables!$B$4:$B$8,0)))</f>
        <v>0.63137249849680544</v>
      </c>
      <c r="Q493" s="71">
        <f>IF(B493="",0,INDEX(ModelParameters!$D$6:$K$10,MATCH($O493,ModelParameters!$B$6:$B$10,0),MATCH($J493,ModelParameters!$D$5:$K$5,0)))</f>
        <v>0.015</v>
      </c>
      <c r="R493" s="71">
        <f>IF(B493="",0,INDEX(ModelParameters!$D$13:$K$17,MATCH($O493,ModelParameters!$B$13:$B$17,0),MATCH($J493,ModelParameters!$D$5:$K$5,0)))</f>
        <v>0.125</v>
      </c>
      <c r="S493" s="160">
        <f>IF(B493="",0,MIN(IF($N493="Other Bond TM",ModelParameters!$N$21,1)*(P493*Q493+R493),1))</f>
        <v>0.13447058747745208</v>
      </c>
      <c r="T493" s="85">
        <f>IF(B493="",0,$S493*$K493)</f>
        <v>2300.6873300284836</v>
      </c>
      <c r="U493" s="85">
        <f>IF(B493="",0,IF(OR(H493=MappingTables!$C$34,H493=MappingTables!$C$35),T493,0))</f>
        <v>0</v>
      </c>
      <c r="V493" s="85">
        <f>IF(ISNA(IF(AND(VLOOKUP(CONCATENATE($D493,$G493),CSRFinput!$B:$E,4,0)=0,OR(H493=MappingTables!$C$34,H493=MappingTables!$C$35)),1,VLOOKUP(CONCATENATE($D493,$G493),CSRFinput!$B:$E,4,0))),0,IF(AND(VLOOKUP(CONCATENATE($D493,$G493),CSRFinput!$B:$E,4,0)=0,OR(H493=MappingTables!$C$34,H493=MappingTables!$C$35)),1,VLOOKUP(CONCATENATE($D493,$G493),CSRFinput!$B:$E,4,0)))</f>
        <v>0.054776304963434752</v>
      </c>
      <c r="W493" s="85">
        <f>IF(B493="",0,+$T493*$V493)</f>
        <v>126.02315081515068</v>
      </c>
      <c r="X493" s="85">
        <f>IF(B493="",0,IF(OR(H493=MappingTables!$C$34,H493=MappingTables!$C$35),W493,0))</f>
        <v>0</v>
      </c>
    </row>
    <row r="494" spans="2:24" s="0" customFormat="0" ht="15">
      <c r="B494" s="69" t="s">
        <v>767</v>
      </c>
      <c r="C494" s="70" t="s">
        <v>768</v>
      </c>
      <c r="D494" s="70" t="s">
        <v>1</v>
      </c>
      <c r="E494" s="70" t="s">
        <v>1</v>
      </c>
      <c r="F494" s="70"/>
      <c r="G494" s="70" t="s">
        <v>61</v>
      </c>
      <c r="H494" s="70" t="s">
        <v>178</v>
      </c>
      <c r="I494" s="70" t="s">
        <v>181</v>
      </c>
      <c r="J494" s="71">
        <f>IF(OR(I494=0,I494=""),"unrated",VLOOKUP(I494,MappingTables!$B$19:$C$31,2,FALSE))</f>
        <v>3</v>
      </c>
      <c r="K494" s="72">
        <v>1286.8228268184632</v>
      </c>
      <c r="L494" s="70">
        <v>1.6907020700510766</v>
      </c>
      <c r="M494" s="71">
        <f>IF(L494&lt;1,1,L494)</f>
        <v>1.6907020700510766</v>
      </c>
      <c r="N494" s="70" t="s">
        <v>141</v>
      </c>
      <c r="O494" s="71">
        <f>INDEX(DurClassMapping,MATCH(M494,MappingTables!$D$4:$D$8,-1),1)</f>
        <v>1</v>
      </c>
      <c r="P494" s="73">
        <f>IF(M494=$A$1,1,$M494-INDEX(MappingTables!$E$4:$E$8,MATCH(O494,MappingTables!$B$4:$B$8,0)))</f>
        <v>1.6907020700510766</v>
      </c>
      <c r="Q494" s="71">
        <f>IF(B494="",0,INDEX(ModelParameters!$D$6:$K$10,MATCH($O494,ModelParameters!$B$6:$B$10,0),MATCH($J494,ModelParameters!$D$5:$K$5,0)))</f>
        <v>0.025</v>
      </c>
      <c r="R494" s="71">
        <f>IF(B494="",0,INDEX(ModelParameters!$D$13:$K$17,MATCH($O494,ModelParameters!$B$13:$B$17,0),MATCH($J494,ModelParameters!$D$5:$K$5,0)))</f>
        <v>0</v>
      </c>
      <c r="S494" s="160">
        <f>IF(B494="",0,MIN(IF($N494="Other Bond TM",ModelParameters!$N$21,1)*(P494*Q494+R494),1))</f>
        <v>0.04226755175127692</v>
      </c>
      <c r="T494" s="85">
        <f>IF(B494="",0,$S494*$K494)</f>
        <v>54.390850427273848</v>
      </c>
      <c r="U494" s="85">
        <f>IF(B494="",0,IF(OR(H494=MappingTables!$C$34,H494=MappingTables!$C$35),T494,0))</f>
        <v>0</v>
      </c>
      <c r="V494" s="85">
        <f>IF(ISNA(IF(AND(VLOOKUP(CONCATENATE($D494,$G494),CSRFinput!$B:$E,4,0)=0,OR(H494=MappingTables!$C$34,H494=MappingTables!$C$35)),1,VLOOKUP(CONCATENATE($D494,$G494),CSRFinput!$B:$E,4,0))),0,IF(AND(VLOOKUP(CONCATENATE($D494,$G494),CSRFinput!$B:$E,4,0)=0,OR(H494=MappingTables!$C$34,H494=MappingTables!$C$35)),1,VLOOKUP(CONCATENATE($D494,$G494),CSRFinput!$B:$E,4,0)))</f>
        <v>0.054776304963434752</v>
      </c>
      <c r="W494" s="85">
        <f>IF(B494="",0,+$T494*$V494)</f>
        <v>2.9793298102249176</v>
      </c>
      <c r="X494" s="85">
        <f>IF(B494="",0,IF(OR(H494=MappingTables!$C$34,H494=MappingTables!$C$35),W494,0))</f>
        <v>0</v>
      </c>
    </row>
    <row r="495" spans="2:24" s="0" customFormat="0" ht="15">
      <c r="B495" s="69">
        <v>21226549</v>
      </c>
      <c r="C495" s="70" t="s">
        <v>769</v>
      </c>
      <c r="D495" s="70" t="s">
        <v>1</v>
      </c>
      <c r="E495" s="70" t="s">
        <v>1</v>
      </c>
      <c r="F495" s="70"/>
      <c r="G495" s="70" t="s">
        <v>61</v>
      </c>
      <c r="H495" s="70" t="s">
        <v>178</v>
      </c>
      <c r="I495" s="70" t="s">
        <v>184</v>
      </c>
      <c r="J495" s="71">
        <f>IF(OR(I495=0,I495=""),"unrated",VLOOKUP(I495,MappingTables!$B$19:$C$31,2,FALSE))</f>
        <v>5</v>
      </c>
      <c r="K495" s="72">
        <v>334.86289985758504</v>
      </c>
      <c r="L495" s="70">
        <v>0.77793685975893408</v>
      </c>
      <c r="M495" s="71">
        <f>IF(L495&lt;1,1,L495)</f>
        <v>1</v>
      </c>
      <c r="N495" s="70" t="s">
        <v>141</v>
      </c>
      <c r="O495" s="71">
        <f>INDEX(DurClassMapping,MATCH(M495,MappingTables!$D$4:$D$8,-1),1)</f>
        <v>1</v>
      </c>
      <c r="P495" s="73">
        <f>IF(M495=$A$1,1,$M495-INDEX(MappingTables!$E$4:$E$8,MATCH(O495,MappingTables!$B$4:$B$8,0)))</f>
        <v>1</v>
      </c>
      <c r="Q495" s="71">
        <f>IF(B495="",0,INDEX(ModelParameters!$D$6:$K$10,MATCH($O495,ModelParameters!$B$6:$B$10,0),MATCH($J495,ModelParameters!$D$5:$K$5,0)))</f>
        <v>0.075</v>
      </c>
      <c r="R495" s="71">
        <f>IF(B495="",0,INDEX(ModelParameters!$D$13:$K$17,MATCH($O495,ModelParameters!$B$13:$B$17,0),MATCH($J495,ModelParameters!$D$5:$K$5,0)))</f>
        <v>0</v>
      </c>
      <c r="S495" s="160">
        <f>IF(B495="",0,MIN(IF($N495="Other Bond TM",ModelParameters!$N$21,1)*(P495*Q495+R495),1))</f>
        <v>0.075</v>
      </c>
      <c r="T495" s="85">
        <f>IF(B495="",0,$S495*$K495)</f>
        <v>25.114717489318876</v>
      </c>
      <c r="U495" s="85">
        <f>IF(B495="",0,IF(OR(H495=MappingTables!$C$34,H495=MappingTables!$C$35),T495,0))</f>
        <v>0</v>
      </c>
      <c r="V495" s="85">
        <f>IF(ISNA(IF(AND(VLOOKUP(CONCATENATE($D495,$G495),CSRFinput!$B:$E,4,0)=0,OR(H495=MappingTables!$C$34,H495=MappingTables!$C$35)),1,VLOOKUP(CONCATENATE($D495,$G495),CSRFinput!$B:$E,4,0))),0,IF(AND(VLOOKUP(CONCATENATE($D495,$G495),CSRFinput!$B:$E,4,0)=0,OR(H495=MappingTables!$C$34,H495=MappingTables!$C$35)),1,VLOOKUP(CONCATENATE($D495,$G495),CSRFinput!$B:$E,4,0)))</f>
        <v>0.054776304963434752</v>
      </c>
      <c r="W495" s="85">
        <f>IF(B495="",0,+$T495*$V495)</f>
        <v>1.3756914242654392</v>
      </c>
      <c r="X495" s="85">
        <f>IF(B495="",0,IF(OR(H495=MappingTables!$C$34,H495=MappingTables!$C$35),W495,0))</f>
        <v>0</v>
      </c>
    </row>
    <row r="496" spans="2:24" s="0" customFormat="0" ht="15">
      <c r="B496" s="69">
        <v>17241065</v>
      </c>
      <c r="C496" s="70" t="s">
        <v>770</v>
      </c>
      <c r="D496" s="70" t="s">
        <v>1</v>
      </c>
      <c r="E496" s="70" t="s">
        <v>1</v>
      </c>
      <c r="F496" s="70"/>
      <c r="G496" s="70" t="s">
        <v>61</v>
      </c>
      <c r="H496" s="70" t="s">
        <v>178</v>
      </c>
      <c r="I496" s="70" t="s">
        <v>179</v>
      </c>
      <c r="J496" s="71">
        <f>IF(OR(I496=0,I496=""),"unrated",VLOOKUP(I496,MappingTables!$B$19:$C$31,2,FALSE))</f>
        <v>4</v>
      </c>
      <c r="K496" s="72">
        <v>51920.089730177072</v>
      </c>
      <c r="L496" s="70">
        <v>0.0876692737936396</v>
      </c>
      <c r="M496" s="71">
        <f>IF(L496&lt;1,1,L496)</f>
        <v>1</v>
      </c>
      <c r="N496" s="70" t="s">
        <v>141</v>
      </c>
      <c r="O496" s="71">
        <f>INDEX(DurClassMapping,MATCH(M496,MappingTables!$D$4:$D$8,-1),1)</f>
        <v>1</v>
      </c>
      <c r="P496" s="73">
        <f>IF(M496=$A$1,1,$M496-INDEX(MappingTables!$E$4:$E$8,MATCH(O496,MappingTables!$B$4:$B$8,0)))</f>
        <v>1</v>
      </c>
      <c r="Q496" s="71">
        <f>IF(B496="",0,INDEX(ModelParameters!$D$6:$K$10,MATCH($O496,ModelParameters!$B$6:$B$10,0),MATCH($J496,ModelParameters!$D$5:$K$5,0)))</f>
        <v>0.045</v>
      </c>
      <c r="R496" s="71">
        <f>IF(B496="",0,INDEX(ModelParameters!$D$13:$K$17,MATCH($O496,ModelParameters!$B$13:$B$17,0),MATCH($J496,ModelParameters!$D$5:$K$5,0)))</f>
        <v>0</v>
      </c>
      <c r="S496" s="160">
        <f>IF(B496="",0,MIN(IF($N496="Other Bond TM",ModelParameters!$N$21,1)*(P496*Q496+R496),1))</f>
        <v>0.045</v>
      </c>
      <c r="T496" s="85">
        <f>IF(B496="",0,$S496*$K496)</f>
        <v>2336.4040378579684</v>
      </c>
      <c r="U496" s="85">
        <f>IF(B496="",0,IF(OR(H496=MappingTables!$C$34,H496=MappingTables!$C$35),T496,0))</f>
        <v>0</v>
      </c>
      <c r="V496" s="85">
        <f>IF(ISNA(IF(AND(VLOOKUP(CONCATENATE($D496,$G496),CSRFinput!$B:$E,4,0)=0,OR(H496=MappingTables!$C$34,H496=MappingTables!$C$35)),1,VLOOKUP(CONCATENATE($D496,$G496),CSRFinput!$B:$E,4,0))),0,IF(AND(VLOOKUP(CONCATENATE($D496,$G496),CSRFinput!$B:$E,4,0)=0,OR(H496=MappingTables!$C$34,H496=MappingTables!$C$35)),1,VLOOKUP(CONCATENATE($D496,$G496),CSRFinput!$B:$E,4,0)))</f>
        <v>0.054776304963434752</v>
      </c>
      <c r="W496" s="85">
        <f>IF(B496="",0,+$T496*$V496)</f>
        <v>127.97958009550844</v>
      </c>
      <c r="X496" s="85">
        <f>IF(B496="",0,IF(OR(H496=MappingTables!$C$34,H496=MappingTables!$C$35),W496,0))</f>
        <v>0</v>
      </c>
    </row>
    <row r="497" spans="2:24" s="0" customFormat="0" ht="15">
      <c r="B497" s="69">
        <v>18929325</v>
      </c>
      <c r="C497" s="70" t="s">
        <v>771</v>
      </c>
      <c r="D497" s="70" t="s">
        <v>1</v>
      </c>
      <c r="E497" s="70" t="s">
        <v>1</v>
      </c>
      <c r="F497" s="70"/>
      <c r="G497" s="70" t="s">
        <v>61</v>
      </c>
      <c r="H497" s="70" t="s">
        <v>178</v>
      </c>
      <c r="I497" s="70" t="s">
        <v>181</v>
      </c>
      <c r="J497" s="71">
        <f>IF(OR(I497=0,I497=""),"unrated",VLOOKUP(I497,MappingTables!$B$19:$C$31,2,FALSE))</f>
        <v>3</v>
      </c>
      <c r="K497" s="72">
        <v>12233.316816145298</v>
      </c>
      <c r="L497" s="70">
        <v>6.0657783121660832</v>
      </c>
      <c r="M497" s="71">
        <f>IF(L497&lt;1,1,L497)</f>
        <v>6.0657783121660832</v>
      </c>
      <c r="N497" s="70" t="s">
        <v>141</v>
      </c>
      <c r="O497" s="71">
        <f>INDEX(DurClassMapping,MATCH(M497,MappingTables!$D$4:$D$8,-1),1)</f>
        <v>2</v>
      </c>
      <c r="P497" s="73">
        <f>IF(M497=$A$1,1,$M497-INDEX(MappingTables!$E$4:$E$8,MATCH(O497,MappingTables!$B$4:$B$8,0)))</f>
        <v>1.065778312166083</v>
      </c>
      <c r="Q497" s="71">
        <f>IF(B497="",0,INDEX(ModelParameters!$D$6:$K$10,MATCH($O497,ModelParameters!$B$6:$B$10,0),MATCH($J497,ModelParameters!$D$5:$K$5,0)))</f>
        <v>0.015</v>
      </c>
      <c r="R497" s="71">
        <f>IF(B497="",0,INDEX(ModelParameters!$D$13:$K$17,MATCH($O497,ModelParameters!$B$13:$B$17,0),MATCH($J497,ModelParameters!$D$5:$K$5,0)))</f>
        <v>0.125</v>
      </c>
      <c r="S497" s="160">
        <f>IF(B497="",0,MIN(IF($N497="Other Bond TM",ModelParameters!$N$21,1)*(P497*Q497+R497),1))</f>
        <v>0.14098667468249124</v>
      </c>
      <c r="T497" s="85">
        <f>IF(B497="",0,$S497*$K497)</f>
        <v>1724.7346582457264</v>
      </c>
      <c r="U497" s="85">
        <f>IF(B497="",0,IF(OR(H497=MappingTables!$C$34,H497=MappingTables!$C$35),T497,0))</f>
        <v>0</v>
      </c>
      <c r="V497" s="85">
        <f>IF(ISNA(IF(AND(VLOOKUP(CONCATENATE($D497,$G497),CSRFinput!$B:$E,4,0)=0,OR(H497=MappingTables!$C$34,H497=MappingTables!$C$35)),1,VLOOKUP(CONCATENATE($D497,$G497),CSRFinput!$B:$E,4,0))),0,IF(AND(VLOOKUP(CONCATENATE($D497,$G497),CSRFinput!$B:$E,4,0)=0,OR(H497=MappingTables!$C$34,H497=MappingTables!$C$35)),1,VLOOKUP(CONCATENATE($D497,$G497),CSRFinput!$B:$E,4,0)))</f>
        <v>0.054776304963434752</v>
      </c>
      <c r="W497" s="85">
        <f>IF(B497="",0,+$T497*$V497)</f>
        <v>94.474591621073328</v>
      </c>
      <c r="X497" s="85">
        <f>IF(B497="",0,IF(OR(H497=MappingTables!$C$34,H497=MappingTables!$C$35),W497,0))</f>
        <v>0</v>
      </c>
    </row>
    <row r="498" spans="2:24" s="0" customFormat="0" ht="15">
      <c r="B498" s="69">
        <v>21238959</v>
      </c>
      <c r="C498" s="70" t="s">
        <v>772</v>
      </c>
      <c r="D498" s="70" t="s">
        <v>1</v>
      </c>
      <c r="E498" s="70" t="s">
        <v>1</v>
      </c>
      <c r="F498" s="70"/>
      <c r="G498" s="70" t="s">
        <v>61</v>
      </c>
      <c r="H498" s="70" t="s">
        <v>178</v>
      </c>
      <c r="I498" s="70" t="s">
        <v>184</v>
      </c>
      <c r="J498" s="71">
        <f>IF(OR(I498=0,I498=""),"unrated",VLOOKUP(I498,MappingTables!$B$19:$C$31,2,FALSE))</f>
        <v>5</v>
      </c>
      <c r="K498" s="72">
        <v>30325.684670561248</v>
      </c>
      <c r="L498" s="70">
        <v>0.97621438379119488</v>
      </c>
      <c r="M498" s="71">
        <f>IF(L498&lt;1,1,L498)</f>
        <v>1</v>
      </c>
      <c r="N498" s="70" t="s">
        <v>141</v>
      </c>
      <c r="O498" s="71">
        <f>INDEX(DurClassMapping,MATCH(M498,MappingTables!$D$4:$D$8,-1),1)</f>
        <v>1</v>
      </c>
      <c r="P498" s="73">
        <f>IF(M498=$A$1,1,$M498-INDEX(MappingTables!$E$4:$E$8,MATCH(O498,MappingTables!$B$4:$B$8,0)))</f>
        <v>1</v>
      </c>
      <c r="Q498" s="71">
        <f>IF(B498="",0,INDEX(ModelParameters!$D$6:$K$10,MATCH($O498,ModelParameters!$B$6:$B$10,0),MATCH($J498,ModelParameters!$D$5:$K$5,0)))</f>
        <v>0.075</v>
      </c>
      <c r="R498" s="71">
        <f>IF(B498="",0,INDEX(ModelParameters!$D$13:$K$17,MATCH($O498,ModelParameters!$B$13:$B$17,0),MATCH($J498,ModelParameters!$D$5:$K$5,0)))</f>
        <v>0</v>
      </c>
      <c r="S498" s="160">
        <f>IF(B498="",0,MIN(IF($N498="Other Bond TM",ModelParameters!$N$21,1)*(P498*Q498+R498),1))</f>
        <v>0.075</v>
      </c>
      <c r="T498" s="85">
        <f>IF(B498="",0,$S498*$K498)</f>
        <v>2274.4263502920936</v>
      </c>
      <c r="U498" s="85">
        <f>IF(B498="",0,IF(OR(H498=MappingTables!$C$34,H498=MappingTables!$C$35),T498,0))</f>
        <v>0</v>
      </c>
      <c r="V498" s="85">
        <f>IF(ISNA(IF(AND(VLOOKUP(CONCATENATE($D498,$G498),CSRFinput!$B:$E,4,0)=0,OR(H498=MappingTables!$C$34,H498=MappingTables!$C$35)),1,VLOOKUP(CONCATENATE($D498,$G498),CSRFinput!$B:$E,4,0))),0,IF(AND(VLOOKUP(CONCATENATE($D498,$G498),CSRFinput!$B:$E,4,0)=0,OR(H498=MappingTables!$C$34,H498=MappingTables!$C$35)),1,VLOOKUP(CONCATENATE($D498,$G498),CSRFinput!$B:$E,4,0)))</f>
        <v>0.054776304963434752</v>
      </c>
      <c r="W498" s="85">
        <f>IF(B498="",0,+$T498*$V498)</f>
        <v>124.5846713804716</v>
      </c>
      <c r="X498" s="85">
        <f>IF(B498="",0,IF(OR(H498=MappingTables!$C$34,H498=MappingTables!$C$35),W498,0))</f>
        <v>0</v>
      </c>
    </row>
    <row r="499" spans="2:24" s="0" customFormat="0" ht="15">
      <c r="B499" s="69">
        <v>14845766</v>
      </c>
      <c r="C499" s="70" t="s">
        <v>773</v>
      </c>
      <c r="D499" s="70" t="s">
        <v>1</v>
      </c>
      <c r="E499" s="70" t="s">
        <v>1</v>
      </c>
      <c r="F499" s="70"/>
      <c r="G499" s="70" t="s">
        <v>61</v>
      </c>
      <c r="H499" s="70" t="s">
        <v>178</v>
      </c>
      <c r="I499" s="70" t="s">
        <v>181</v>
      </c>
      <c r="J499" s="71">
        <f>IF(OR(I499=0,I499=""),"unrated",VLOOKUP(I499,MappingTables!$B$19:$C$31,2,FALSE))</f>
        <v>3</v>
      </c>
      <c r="K499" s="72">
        <v>236.90125129620404</v>
      </c>
      <c r="L499" s="70">
        <v>1.6299980803636414</v>
      </c>
      <c r="M499" s="71">
        <f>IF(L499&lt;1,1,L499)</f>
        <v>1.6299980803636414</v>
      </c>
      <c r="N499" s="70" t="s">
        <v>141</v>
      </c>
      <c r="O499" s="71">
        <f>INDEX(DurClassMapping,MATCH(M499,MappingTables!$D$4:$D$8,-1),1)</f>
        <v>1</v>
      </c>
      <c r="P499" s="73">
        <f>IF(M499=$A$1,1,$M499-INDEX(MappingTables!$E$4:$E$8,MATCH(O499,MappingTables!$B$4:$B$8,0)))</f>
        <v>1.6299980803636414</v>
      </c>
      <c r="Q499" s="71">
        <f>IF(B499="",0,INDEX(ModelParameters!$D$6:$K$10,MATCH($O499,ModelParameters!$B$6:$B$10,0),MATCH($J499,ModelParameters!$D$5:$K$5,0)))</f>
        <v>0.025</v>
      </c>
      <c r="R499" s="71">
        <f>IF(B499="",0,INDEX(ModelParameters!$D$13:$K$17,MATCH($O499,ModelParameters!$B$13:$B$17,0),MATCH($J499,ModelParameters!$D$5:$K$5,0)))</f>
        <v>0</v>
      </c>
      <c r="S499" s="160">
        <f>IF(B499="",0,MIN(IF($N499="Other Bond TM",ModelParameters!$N$21,1)*(P499*Q499+R499),1))</f>
        <v>0.04074995200909104</v>
      </c>
      <c r="T499" s="85">
        <f>IF(B499="",0,$S499*$K499)</f>
        <v>9.6537146212139312</v>
      </c>
      <c r="U499" s="85">
        <f>IF(B499="",0,IF(OR(H499=MappingTables!$C$34,H499=MappingTables!$C$35),T499,0))</f>
        <v>0</v>
      </c>
      <c r="V499" s="85">
        <f>IF(ISNA(IF(AND(VLOOKUP(CONCATENATE($D499,$G499),CSRFinput!$B:$E,4,0)=0,OR(H499=MappingTables!$C$34,H499=MappingTables!$C$35)),1,VLOOKUP(CONCATENATE($D499,$G499),CSRFinput!$B:$E,4,0))),0,IF(AND(VLOOKUP(CONCATENATE($D499,$G499),CSRFinput!$B:$E,4,0)=0,OR(H499=MappingTables!$C$34,H499=MappingTables!$C$35)),1,VLOOKUP(CONCATENATE($D499,$G499),CSRFinput!$B:$E,4,0)))</f>
        <v>0.054776304963434752</v>
      </c>
      <c r="W499" s="85">
        <f>IF(B499="",0,+$T499*$V499)</f>
        <v>0.52879481612158328</v>
      </c>
      <c r="X499" s="85">
        <f>IF(B499="",0,IF(OR(H499=MappingTables!$C$34,H499=MappingTables!$C$35),W499,0))</f>
        <v>0</v>
      </c>
    </row>
    <row r="500" spans="2:24" s="0" customFormat="0" ht="15">
      <c r="B500" s="69">
        <v>16192998</v>
      </c>
      <c r="C500" s="70" t="s">
        <v>774</v>
      </c>
      <c r="D500" s="70" t="s">
        <v>1</v>
      </c>
      <c r="E500" s="70" t="s">
        <v>1</v>
      </c>
      <c r="F500" s="70"/>
      <c r="G500" s="70" t="s">
        <v>61</v>
      </c>
      <c r="H500" s="70" t="s">
        <v>178</v>
      </c>
      <c r="I500" s="70" t="s">
        <v>188</v>
      </c>
      <c r="J500" s="71">
        <f>IF(OR(I500=0,I500=""),"unrated",VLOOKUP(I500,MappingTables!$B$19:$C$31,2,FALSE))</f>
        <v>2</v>
      </c>
      <c r="K500" s="72">
        <v>1087.656835395517</v>
      </c>
      <c r="L500" s="70">
        <v>0.33424784877071928</v>
      </c>
      <c r="M500" s="71">
        <f>IF(L500&lt;1,1,L500)</f>
        <v>1</v>
      </c>
      <c r="N500" s="70" t="s">
        <v>141</v>
      </c>
      <c r="O500" s="71">
        <f>INDEX(DurClassMapping,MATCH(M500,MappingTables!$D$4:$D$8,-1),1)</f>
        <v>1</v>
      </c>
      <c r="P500" s="73">
        <f>IF(M500=$A$1,1,$M500-INDEX(MappingTables!$E$4:$E$8,MATCH(O500,MappingTables!$B$4:$B$8,0)))</f>
        <v>1</v>
      </c>
      <c r="Q500" s="71">
        <f>IF(B500="",0,INDEX(ModelParameters!$D$6:$K$10,MATCH($O500,ModelParameters!$B$6:$B$10,0),MATCH($J500,ModelParameters!$D$5:$K$5,0)))</f>
        <v>0.013999999999999998</v>
      </c>
      <c r="R500" s="71">
        <f>IF(B500="",0,INDEX(ModelParameters!$D$13:$K$17,MATCH($O500,ModelParameters!$B$13:$B$17,0),MATCH($J500,ModelParameters!$D$5:$K$5,0)))</f>
        <v>0</v>
      </c>
      <c r="S500" s="160">
        <f>IF(B500="",0,MIN(IF($N500="Other Bond TM",ModelParameters!$N$21,1)*(P500*Q500+R500),1))</f>
        <v>0.013999999999999998</v>
      </c>
      <c r="T500" s="85">
        <f>IF(B500="",0,$S500*$K500)</f>
        <v>15.227195695537236</v>
      </c>
      <c r="U500" s="85">
        <f>IF(B500="",0,IF(OR(H500=MappingTables!$C$34,H500=MappingTables!$C$35),T500,0))</f>
        <v>0</v>
      </c>
      <c r="V500" s="85">
        <f>IF(ISNA(IF(AND(VLOOKUP(CONCATENATE($D500,$G500),CSRFinput!$B:$E,4,0)=0,OR(H500=MappingTables!$C$34,H500=MappingTables!$C$35)),1,VLOOKUP(CONCATENATE($D500,$G500),CSRFinput!$B:$E,4,0))),0,IF(AND(VLOOKUP(CONCATENATE($D500,$G500),CSRFinput!$B:$E,4,0)=0,OR(H500=MappingTables!$C$34,H500=MappingTables!$C$35)),1,VLOOKUP(CONCATENATE($D500,$G500),CSRFinput!$B:$E,4,0)))</f>
        <v>0.054776304963434752</v>
      </c>
      <c r="W500" s="85">
        <f>IF(B500="",0,+$T500*$V500)</f>
        <v>0.83408951515664864</v>
      </c>
      <c r="X500" s="85">
        <f>IF(B500="",0,IF(OR(H500=MappingTables!$C$34,H500=MappingTables!$C$35),W500,0))</f>
        <v>0</v>
      </c>
    </row>
    <row r="501" spans="2:24" s="0" customFormat="0" ht="15">
      <c r="B501" s="69">
        <v>25216638</v>
      </c>
      <c r="C501" s="70" t="s">
        <v>775</v>
      </c>
      <c r="D501" s="70" t="s">
        <v>1</v>
      </c>
      <c r="E501" s="70" t="s">
        <v>1</v>
      </c>
      <c r="F501" s="70"/>
      <c r="G501" s="70" t="s">
        <v>61</v>
      </c>
      <c r="H501" s="70" t="s">
        <v>178</v>
      </c>
      <c r="I501" s="70" t="s">
        <v>188</v>
      </c>
      <c r="J501" s="71">
        <f>IF(OR(I501=0,I501=""),"unrated",VLOOKUP(I501,MappingTables!$B$19:$C$31,2,FALSE))</f>
        <v>2</v>
      </c>
      <c r="K501" s="72">
        <v>389.65375532129912</v>
      </c>
      <c r="L501" s="70">
        <v>2.843301125303734</v>
      </c>
      <c r="M501" s="71">
        <f>IF(L501&lt;1,1,L501)</f>
        <v>2.843301125303734</v>
      </c>
      <c r="N501" s="70" t="s">
        <v>141</v>
      </c>
      <c r="O501" s="71">
        <f>INDEX(DurClassMapping,MATCH(M501,MappingTables!$D$4:$D$8,-1),1)</f>
        <v>1</v>
      </c>
      <c r="P501" s="73">
        <f>IF(M501=$A$1,1,$M501-INDEX(MappingTables!$E$4:$E$8,MATCH(O501,MappingTables!$B$4:$B$8,0)))</f>
        <v>2.843301125303734</v>
      </c>
      <c r="Q501" s="71">
        <f>IF(B501="",0,INDEX(ModelParameters!$D$6:$K$10,MATCH($O501,ModelParameters!$B$6:$B$10,0),MATCH($J501,ModelParameters!$D$5:$K$5,0)))</f>
        <v>0.013999999999999998</v>
      </c>
      <c r="R501" s="71">
        <f>IF(B501="",0,INDEX(ModelParameters!$D$13:$K$17,MATCH($O501,ModelParameters!$B$13:$B$17,0),MATCH($J501,ModelParameters!$D$5:$K$5,0)))</f>
        <v>0</v>
      </c>
      <c r="S501" s="160">
        <f>IF(B501="",0,MIN(IF($N501="Other Bond TM",ModelParameters!$N$21,1)*(P501*Q501+R501),1))</f>
        <v>0.039806215754252272</v>
      </c>
      <c r="T501" s="85">
        <f>IF(B501="",0,$S501*$K501)</f>
        <v>15.510641453774256</v>
      </c>
      <c r="U501" s="85">
        <f>IF(B501="",0,IF(OR(H501=MappingTables!$C$34,H501=MappingTables!$C$35),T501,0))</f>
        <v>0</v>
      </c>
      <c r="V501" s="85">
        <f>IF(ISNA(IF(AND(VLOOKUP(CONCATENATE($D501,$G501),CSRFinput!$B:$E,4,0)=0,OR(H501=MappingTables!$C$34,H501=MappingTables!$C$35)),1,VLOOKUP(CONCATENATE($D501,$G501),CSRFinput!$B:$E,4,0))),0,IF(AND(VLOOKUP(CONCATENATE($D501,$G501),CSRFinput!$B:$E,4,0)=0,OR(H501=MappingTables!$C$34,H501=MappingTables!$C$35)),1,VLOOKUP(CONCATENATE($D501,$G501),CSRFinput!$B:$E,4,0)))</f>
        <v>0.054776304963434752</v>
      </c>
      <c r="W501" s="85">
        <f>IF(B501="",0,+$T501*$V501)</f>
        <v>0.84961562645043168</v>
      </c>
      <c r="X501" s="85">
        <f>IF(B501="",0,IF(OR(H501=MappingTables!$C$34,H501=MappingTables!$C$35),W501,0))</f>
        <v>0</v>
      </c>
    </row>
    <row r="502" spans="2:24" s="0" customFormat="0" ht="15">
      <c r="B502" s="69">
        <v>15586195</v>
      </c>
      <c r="C502" s="70" t="s">
        <v>677</v>
      </c>
      <c r="D502" s="70" t="s">
        <v>1</v>
      </c>
      <c r="E502" s="70" t="s">
        <v>1</v>
      </c>
      <c r="F502" s="70"/>
      <c r="G502" s="70" t="s">
        <v>61</v>
      </c>
      <c r="H502" s="70" t="s">
        <v>178</v>
      </c>
      <c r="I502" s="70" t="s">
        <v>216</v>
      </c>
      <c r="J502" s="71">
        <f>IF(OR(I502=0,I502=""),"unrated",VLOOKUP(I502,MappingTables!$B$19:$C$31,2,FALSE))</f>
        <v>0</v>
      </c>
      <c r="K502" s="72">
        <v>589.31488329956008</v>
      </c>
      <c r="L502" s="70">
        <v>0.208223993806958</v>
      </c>
      <c r="M502" s="71">
        <f>IF(L502&lt;1,1,L502)</f>
        <v>1</v>
      </c>
      <c r="N502" s="70" t="s">
        <v>141</v>
      </c>
      <c r="O502" s="71">
        <f>INDEX(DurClassMapping,MATCH(M502,MappingTables!$D$4:$D$8,-1),1)</f>
        <v>1</v>
      </c>
      <c r="P502" s="73">
        <f>IF(M502=$A$1,1,$M502-INDEX(MappingTables!$E$4:$E$8,MATCH(O502,MappingTables!$B$4:$B$8,0)))</f>
        <v>1</v>
      </c>
      <c r="Q502" s="71">
        <f>IF(B502="",0,INDEX(ModelParameters!$D$6:$K$10,MATCH($O502,ModelParameters!$B$6:$B$10,0),MATCH($J502,ModelParameters!$D$5:$K$5,0)))</f>
        <v>0.0090000000000000016</v>
      </c>
      <c r="R502" s="71">
        <f>IF(B502="",0,INDEX(ModelParameters!$D$13:$K$17,MATCH($O502,ModelParameters!$B$13:$B$17,0),MATCH($J502,ModelParameters!$D$5:$K$5,0)))</f>
        <v>0</v>
      </c>
      <c r="S502" s="160">
        <f>IF(B502="",0,MIN(IF($N502="Other Bond TM",ModelParameters!$N$21,1)*(P502*Q502+R502),1))</f>
        <v>0.0090000000000000016</v>
      </c>
      <c r="T502" s="85">
        <f>IF(B502="",0,$S502*$K502)</f>
        <v>5.3038339496960408</v>
      </c>
      <c r="U502" s="85">
        <f>IF(B502="",0,IF(OR(H502=MappingTables!$C$34,H502=MappingTables!$C$35),T502,0))</f>
        <v>0</v>
      </c>
      <c r="V502" s="85">
        <f>IF(ISNA(IF(AND(VLOOKUP(CONCATENATE($D502,$G502),CSRFinput!$B:$E,4,0)=0,OR(H502=MappingTables!$C$34,H502=MappingTables!$C$35)),1,VLOOKUP(CONCATENATE($D502,$G502),CSRFinput!$B:$E,4,0))),0,IF(AND(VLOOKUP(CONCATENATE($D502,$G502),CSRFinput!$B:$E,4,0)=0,OR(H502=MappingTables!$C$34,H502=MappingTables!$C$35)),1,VLOOKUP(CONCATENATE($D502,$G502),CSRFinput!$B:$E,4,0)))</f>
        <v>0.054776304963434752</v>
      </c>
      <c r="W502" s="85">
        <f>IF(B502="",0,+$T502*$V502)</f>
        <v>0.290524425903969</v>
      </c>
      <c r="X502" s="85">
        <f>IF(B502="",0,IF(OR(H502=MappingTables!$C$34,H502=MappingTables!$C$35),W502,0))</f>
        <v>0</v>
      </c>
    </row>
    <row r="503" spans="2:24" s="0" customFormat="0" ht="15">
      <c r="B503" s="69">
        <v>17634083</v>
      </c>
      <c r="C503" s="70" t="s">
        <v>776</v>
      </c>
      <c r="D503" s="70" t="s">
        <v>1</v>
      </c>
      <c r="E503" s="70" t="s">
        <v>1</v>
      </c>
      <c r="F503" s="70"/>
      <c r="G503" s="70" t="s">
        <v>61</v>
      </c>
      <c r="H503" s="70" t="s">
        <v>178</v>
      </c>
      <c r="I503" s="70" t="s">
        <v>181</v>
      </c>
      <c r="J503" s="71">
        <f>IF(OR(I503=0,I503=""),"unrated",VLOOKUP(I503,MappingTables!$B$19:$C$31,2,FALSE))</f>
        <v>3</v>
      </c>
      <c r="K503" s="72">
        <v>5218.1266080051128</v>
      </c>
      <c r="L503" s="70">
        <v>4.1661927397980568</v>
      </c>
      <c r="M503" s="71">
        <f>IF(L503&lt;1,1,L503)</f>
        <v>4.1661927397980568</v>
      </c>
      <c r="N503" s="70" t="s">
        <v>141</v>
      </c>
      <c r="O503" s="71">
        <f>INDEX(DurClassMapping,MATCH(M503,MappingTables!$D$4:$D$8,-1),1)</f>
        <v>1</v>
      </c>
      <c r="P503" s="73">
        <f>IF(M503=$A$1,1,$M503-INDEX(MappingTables!$E$4:$E$8,MATCH(O503,MappingTables!$B$4:$B$8,0)))</f>
        <v>4.1661927397980568</v>
      </c>
      <c r="Q503" s="71">
        <f>IF(B503="",0,INDEX(ModelParameters!$D$6:$K$10,MATCH($O503,ModelParameters!$B$6:$B$10,0),MATCH($J503,ModelParameters!$D$5:$K$5,0)))</f>
        <v>0.025</v>
      </c>
      <c r="R503" s="71">
        <f>IF(B503="",0,INDEX(ModelParameters!$D$13:$K$17,MATCH($O503,ModelParameters!$B$13:$B$17,0),MATCH($J503,ModelParameters!$D$5:$K$5,0)))</f>
        <v>0</v>
      </c>
      <c r="S503" s="160">
        <f>IF(B503="",0,MIN(IF($N503="Other Bond TM",ModelParameters!$N$21,1)*(P503*Q503+R503),1))</f>
        <v>0.10415481849495144</v>
      </c>
      <c r="T503" s="85">
        <f>IF(B503="",0,$S503*$K503)</f>
        <v>543.4930297404492</v>
      </c>
      <c r="U503" s="85">
        <f>IF(B503="",0,IF(OR(H503=MappingTables!$C$34,H503=MappingTables!$C$35),T503,0))</f>
        <v>0</v>
      </c>
      <c r="V503" s="85">
        <f>IF(ISNA(IF(AND(VLOOKUP(CONCATENATE($D503,$G503),CSRFinput!$B:$E,4,0)=0,OR(H503=MappingTables!$C$34,H503=MappingTables!$C$35)),1,VLOOKUP(CONCATENATE($D503,$G503),CSRFinput!$B:$E,4,0))),0,IF(AND(VLOOKUP(CONCATENATE($D503,$G503),CSRFinput!$B:$E,4,0)=0,OR(H503=MappingTables!$C$34,H503=MappingTables!$C$35)),1,VLOOKUP(CONCATENATE($D503,$G503),CSRFinput!$B:$E,4,0)))</f>
        <v>0.054776304963434752</v>
      </c>
      <c r="W503" s="85">
        <f>IF(B503="",0,+$T503*$V503)</f>
        <v>29.770539942563956</v>
      </c>
      <c r="X503" s="85">
        <f>IF(B503="",0,IF(OR(H503=MappingTables!$C$34,H503=MappingTables!$C$35),W503,0))</f>
        <v>0</v>
      </c>
    </row>
    <row r="504" spans="2:24" s="0" customFormat="0" ht="15">
      <c r="B504" s="69">
        <v>3824606</v>
      </c>
      <c r="C504" s="70" t="s">
        <v>777</v>
      </c>
      <c r="D504" s="70" t="s">
        <v>1</v>
      </c>
      <c r="E504" s="70" t="s">
        <v>1</v>
      </c>
      <c r="F504" s="70"/>
      <c r="G504" s="70" t="s">
        <v>61</v>
      </c>
      <c r="H504" s="70" t="s">
        <v>178</v>
      </c>
      <c r="I504" s="70" t="s">
        <v>188</v>
      </c>
      <c r="J504" s="71">
        <f>IF(OR(I504=0,I504=""),"unrated",VLOOKUP(I504,MappingTables!$B$19:$C$31,2,FALSE))</f>
        <v>2</v>
      </c>
      <c r="K504" s="72">
        <v>554740.1428222656</v>
      </c>
      <c r="L504" s="70">
        <v>2.4147892544309036</v>
      </c>
      <c r="M504" s="71">
        <f>IF(L504&lt;1,1,L504)</f>
        <v>2.4147892544309036</v>
      </c>
      <c r="N504" s="70" t="s">
        <v>141</v>
      </c>
      <c r="O504" s="71">
        <f>INDEX(DurClassMapping,MATCH(M504,MappingTables!$D$4:$D$8,-1),1)</f>
        <v>1</v>
      </c>
      <c r="P504" s="73">
        <f>IF(M504=$A$1,1,$M504-INDEX(MappingTables!$E$4:$E$8,MATCH(O504,MappingTables!$B$4:$B$8,0)))</f>
        <v>2.4147892544309036</v>
      </c>
      <c r="Q504" s="71">
        <f>IF(B504="",0,INDEX(ModelParameters!$D$6:$K$10,MATCH($O504,ModelParameters!$B$6:$B$10,0),MATCH($J504,ModelParameters!$D$5:$K$5,0)))</f>
        <v>0.013999999999999998</v>
      </c>
      <c r="R504" s="71">
        <f>IF(B504="",0,INDEX(ModelParameters!$D$13:$K$17,MATCH($O504,ModelParameters!$B$13:$B$17,0),MATCH($J504,ModelParameters!$D$5:$K$5,0)))</f>
        <v>0</v>
      </c>
      <c r="S504" s="160">
        <f>IF(B504="",0,MIN(IF($N504="Other Bond TM",ModelParameters!$N$21,1)*(P504*Q504+R504),1))</f>
        <v>0.033807049562032648</v>
      </c>
      <c r="T504" s="85">
        <f>IF(B504="",0,$S504*$K504)</f>
        <v>18754.127502441404</v>
      </c>
      <c r="U504" s="85">
        <f>IF(B504="",0,IF(OR(H504=MappingTables!$C$34,H504=MappingTables!$C$35),T504,0))</f>
        <v>0</v>
      </c>
      <c r="V504" s="85">
        <f>IF(ISNA(IF(AND(VLOOKUP(CONCATENATE($D504,$G504),CSRFinput!$B:$E,4,0)=0,OR(H504=MappingTables!$C$34,H504=MappingTables!$C$35)),1,VLOOKUP(CONCATENATE($D504,$G504),CSRFinput!$B:$E,4,0))),0,IF(AND(VLOOKUP(CONCATENATE($D504,$G504),CSRFinput!$B:$E,4,0)=0,OR(H504=MappingTables!$C$34,H504=MappingTables!$C$35)),1,VLOOKUP(CONCATENATE($D504,$G504),CSRFinput!$B:$E,4,0)))</f>
        <v>0.054776304963434752</v>
      </c>
      <c r="W504" s="85">
        <f>IF(B504="",0,+$T504*$V504)</f>
        <v>1027.2818073968692</v>
      </c>
      <c r="X504" s="85">
        <f>IF(B504="",0,IF(OR(H504=MappingTables!$C$34,H504=MappingTables!$C$35),W504,0))</f>
        <v>0</v>
      </c>
    </row>
    <row r="505" spans="2:24" s="0" customFormat="0" ht="15">
      <c r="B505" s="69">
        <v>13200186</v>
      </c>
      <c r="C505" s="70" t="s">
        <v>778</v>
      </c>
      <c r="D505" s="70" t="s">
        <v>1</v>
      </c>
      <c r="E505" s="70" t="s">
        <v>1</v>
      </c>
      <c r="F505" s="70"/>
      <c r="G505" s="70" t="s">
        <v>61</v>
      </c>
      <c r="H505" s="70" t="s">
        <v>178</v>
      </c>
      <c r="I505" s="70" t="s">
        <v>188</v>
      </c>
      <c r="J505" s="71">
        <f>IF(OR(I505=0,I505=""),"unrated",VLOOKUP(I505,MappingTables!$B$19:$C$31,2,FALSE))</f>
        <v>2</v>
      </c>
      <c r="K505" s="72">
        <v>399.8086765142988</v>
      </c>
      <c r="L505" s="70">
        <v>0.93760213740664848</v>
      </c>
      <c r="M505" s="71">
        <f>IF(L505&lt;1,1,L505)</f>
        <v>1</v>
      </c>
      <c r="N505" s="70" t="s">
        <v>141</v>
      </c>
      <c r="O505" s="71">
        <f>INDEX(DurClassMapping,MATCH(M505,MappingTables!$D$4:$D$8,-1),1)</f>
        <v>1</v>
      </c>
      <c r="P505" s="73">
        <f>IF(M505=$A$1,1,$M505-INDEX(MappingTables!$E$4:$E$8,MATCH(O505,MappingTables!$B$4:$B$8,0)))</f>
        <v>1</v>
      </c>
      <c r="Q505" s="71">
        <f>IF(B505="",0,INDEX(ModelParameters!$D$6:$K$10,MATCH($O505,ModelParameters!$B$6:$B$10,0),MATCH($J505,ModelParameters!$D$5:$K$5,0)))</f>
        <v>0.013999999999999998</v>
      </c>
      <c r="R505" s="71">
        <f>IF(B505="",0,INDEX(ModelParameters!$D$13:$K$17,MATCH($O505,ModelParameters!$B$13:$B$17,0),MATCH($J505,ModelParameters!$D$5:$K$5,0)))</f>
        <v>0</v>
      </c>
      <c r="S505" s="160">
        <f>IF(B505="",0,MIN(IF($N505="Other Bond TM",ModelParameters!$N$21,1)*(P505*Q505+R505),1))</f>
        <v>0.013999999999999998</v>
      </c>
      <c r="T505" s="85">
        <f>IF(B505="",0,$S505*$K505)</f>
        <v>5.5973214712001832</v>
      </c>
      <c r="U505" s="85">
        <f>IF(B505="",0,IF(OR(H505=MappingTables!$C$34,H505=MappingTables!$C$35),T505,0))</f>
        <v>0</v>
      </c>
      <c r="V505" s="85">
        <f>IF(ISNA(IF(AND(VLOOKUP(CONCATENATE($D505,$G505),CSRFinput!$B:$E,4,0)=0,OR(H505=MappingTables!$C$34,H505=MappingTables!$C$35)),1,VLOOKUP(CONCATENATE($D505,$G505),CSRFinput!$B:$E,4,0))),0,IF(AND(VLOOKUP(CONCATENATE($D505,$G505),CSRFinput!$B:$E,4,0)=0,OR(H505=MappingTables!$C$34,H505=MappingTables!$C$35)),1,VLOOKUP(CONCATENATE($D505,$G505),CSRFinput!$B:$E,4,0)))</f>
        <v>0.054776304963434752</v>
      </c>
      <c r="W505" s="85">
        <f>IF(B505="",0,+$T505*$V505)</f>
        <v>0.30660058788484252</v>
      </c>
      <c r="X505" s="85">
        <f>IF(B505="",0,IF(OR(H505=MappingTables!$C$34,H505=MappingTables!$C$35),W505,0))</f>
        <v>0</v>
      </c>
    </row>
    <row r="506" spans="2:24" s="0" customFormat="0" ht="15">
      <c r="B506" s="69">
        <v>13366879</v>
      </c>
      <c r="C506" s="70" t="s">
        <v>613</v>
      </c>
      <c r="D506" s="70" t="s">
        <v>1</v>
      </c>
      <c r="E506" s="70" t="s">
        <v>1</v>
      </c>
      <c r="F506" s="70"/>
      <c r="G506" s="70" t="s">
        <v>61</v>
      </c>
      <c r="H506" s="70" t="s">
        <v>178</v>
      </c>
      <c r="I506" s="70" t="s">
        <v>184</v>
      </c>
      <c r="J506" s="71">
        <f>IF(OR(I506=0,I506=""),"unrated",VLOOKUP(I506,MappingTables!$B$19:$C$31,2,FALSE))</f>
        <v>5</v>
      </c>
      <c r="K506" s="72">
        <v>13964.640529660872</v>
      </c>
      <c r="L506" s="70">
        <v>0.087675104380851232</v>
      </c>
      <c r="M506" s="71">
        <f>IF(L506&lt;1,1,L506)</f>
        <v>1</v>
      </c>
      <c r="N506" s="70" t="s">
        <v>141</v>
      </c>
      <c r="O506" s="71">
        <f>INDEX(DurClassMapping,MATCH(M506,MappingTables!$D$4:$D$8,-1),1)</f>
        <v>1</v>
      </c>
      <c r="P506" s="73">
        <f>IF(M506=$A$1,1,$M506-INDEX(MappingTables!$E$4:$E$8,MATCH(O506,MappingTables!$B$4:$B$8,0)))</f>
        <v>1</v>
      </c>
      <c r="Q506" s="71">
        <f>IF(B506="",0,INDEX(ModelParameters!$D$6:$K$10,MATCH($O506,ModelParameters!$B$6:$B$10,0),MATCH($J506,ModelParameters!$D$5:$K$5,0)))</f>
        <v>0.075</v>
      </c>
      <c r="R506" s="71">
        <f>IF(B506="",0,INDEX(ModelParameters!$D$13:$K$17,MATCH($O506,ModelParameters!$B$13:$B$17,0),MATCH($J506,ModelParameters!$D$5:$K$5,0)))</f>
        <v>0</v>
      </c>
      <c r="S506" s="160">
        <f>IF(B506="",0,MIN(IF($N506="Other Bond TM",ModelParameters!$N$21,1)*(P506*Q506+R506),1))</f>
        <v>0.075</v>
      </c>
      <c r="T506" s="85">
        <f>IF(B506="",0,$S506*$K506)</f>
        <v>1047.3480397245652</v>
      </c>
      <c r="U506" s="85">
        <f>IF(B506="",0,IF(OR(H506=MappingTables!$C$34,H506=MappingTables!$C$35),T506,0))</f>
        <v>0</v>
      </c>
      <c r="V506" s="85">
        <f>IF(ISNA(IF(AND(VLOOKUP(CONCATENATE($D506,$G506),CSRFinput!$B:$E,4,0)=0,OR(H506=MappingTables!$C$34,H506=MappingTables!$C$35)),1,VLOOKUP(CONCATENATE($D506,$G506),CSRFinput!$B:$E,4,0))),0,IF(AND(VLOOKUP(CONCATENATE($D506,$G506),CSRFinput!$B:$E,4,0)=0,OR(H506=MappingTables!$C$34,H506=MappingTables!$C$35)),1,VLOOKUP(CONCATENATE($D506,$G506),CSRFinput!$B:$E,4,0)))</f>
        <v>0.054776304963434752</v>
      </c>
      <c r="W506" s="85">
        <f>IF(B506="",0,+$T506*$V506)</f>
        <v>57.369855626808368</v>
      </c>
      <c r="X506" s="85">
        <f>IF(B506="",0,IF(OR(H506=MappingTables!$C$34,H506=MappingTables!$C$35),W506,0))</f>
        <v>0</v>
      </c>
    </row>
    <row r="507" spans="2:24" s="0" customFormat="0" ht="15">
      <c r="B507" s="69" t="s">
        <v>779</v>
      </c>
      <c r="C507" s="70" t="s">
        <v>780</v>
      </c>
      <c r="D507" s="70" t="s">
        <v>1</v>
      </c>
      <c r="E507" s="70" t="s">
        <v>1</v>
      </c>
      <c r="F507" s="70"/>
      <c r="G507" s="70" t="s">
        <v>61</v>
      </c>
      <c r="H507" s="70" t="s">
        <v>178</v>
      </c>
      <c r="I507" s="70" t="s">
        <v>184</v>
      </c>
      <c r="J507" s="71">
        <f>IF(OR(I507=0,I507=""),"unrated",VLOOKUP(I507,MappingTables!$B$19:$C$31,2,FALSE))</f>
        <v>5</v>
      </c>
      <c r="K507" s="72">
        <v>359.58371955500236</v>
      </c>
      <c r="L507" s="70">
        <v>5.7253055673395624</v>
      </c>
      <c r="M507" s="71">
        <f>IF(L507&lt;1,1,L507)</f>
        <v>5.7253055673395624</v>
      </c>
      <c r="N507" s="70" t="s">
        <v>141</v>
      </c>
      <c r="O507" s="71">
        <f>INDEX(DurClassMapping,MATCH(M507,MappingTables!$D$4:$D$8,-1),1)</f>
        <v>2</v>
      </c>
      <c r="P507" s="73">
        <f>IF(M507=$A$1,1,$M507-INDEX(MappingTables!$E$4:$E$8,MATCH(O507,MappingTables!$B$4:$B$8,0)))</f>
        <v>0.72530556733956256</v>
      </c>
      <c r="Q507" s="71">
        <f>IF(B507="",0,INDEX(ModelParameters!$D$6:$K$10,MATCH($O507,ModelParameters!$B$6:$B$10,0),MATCH($J507,ModelParameters!$D$5:$K$5,0)))</f>
        <v>0.042</v>
      </c>
      <c r="R507" s="71">
        <f>IF(B507="",0,INDEX(ModelParameters!$D$13:$K$17,MATCH($O507,ModelParameters!$B$13:$B$17,0),MATCH($J507,ModelParameters!$D$5:$K$5,0)))</f>
        <v>0.375</v>
      </c>
      <c r="S507" s="160">
        <f>IF(B507="",0,MIN(IF($N507="Other Bond TM",ModelParameters!$N$21,1)*(P507*Q507+R507),1))</f>
        <v>0.40546283382826168</v>
      </c>
      <c r="T507" s="85">
        <f>IF(B507="",0,$S507*$K507)</f>
        <v>145.79783392927814</v>
      </c>
      <c r="U507" s="85">
        <f>IF(B507="",0,IF(OR(H507=MappingTables!$C$34,H507=MappingTables!$C$35),T507,0))</f>
        <v>0</v>
      </c>
      <c r="V507" s="85">
        <f>IF(ISNA(IF(AND(VLOOKUP(CONCATENATE($D507,$G507),CSRFinput!$B:$E,4,0)=0,OR(H507=MappingTables!$C$34,H507=MappingTables!$C$35)),1,VLOOKUP(CONCATENATE($D507,$G507),CSRFinput!$B:$E,4,0))),0,IF(AND(VLOOKUP(CONCATENATE($D507,$G507),CSRFinput!$B:$E,4,0)=0,OR(H507=MappingTables!$C$34,H507=MappingTables!$C$35)),1,VLOOKUP(CONCATENATE($D507,$G507),CSRFinput!$B:$E,4,0)))</f>
        <v>0.054776304963434752</v>
      </c>
      <c r="W507" s="85">
        <f>IF(B507="",0,+$T507*$V507)</f>
        <v>7.9862666143183536</v>
      </c>
      <c r="X507" s="85">
        <f>IF(B507="",0,IF(OR(H507=MappingTables!$C$34,H507=MappingTables!$C$35),W507,0))</f>
        <v>0</v>
      </c>
    </row>
    <row r="508" spans="2:24" s="0" customFormat="0" ht="15">
      <c r="B508" s="69">
        <v>21005399</v>
      </c>
      <c r="C508" s="70" t="s">
        <v>781</v>
      </c>
      <c r="D508" s="70" t="s">
        <v>1</v>
      </c>
      <c r="E508" s="70" t="s">
        <v>1</v>
      </c>
      <c r="F508" s="70"/>
      <c r="G508" s="70" t="s">
        <v>61</v>
      </c>
      <c r="H508" s="70" t="s">
        <v>178</v>
      </c>
      <c r="I508" s="70" t="s">
        <v>181</v>
      </c>
      <c r="J508" s="71">
        <f>IF(OR(I508=0,I508=""),"unrated",VLOOKUP(I508,MappingTables!$B$19:$C$31,2,FALSE))</f>
        <v>3</v>
      </c>
      <c r="K508" s="72">
        <v>14116.602793147368</v>
      </c>
      <c r="L508" s="70">
        <v>5.0873159275237056</v>
      </c>
      <c r="M508" s="71">
        <f>IF(L508&lt;1,1,L508)</f>
        <v>5.0873159275237056</v>
      </c>
      <c r="N508" s="70" t="s">
        <v>141</v>
      </c>
      <c r="O508" s="71">
        <f>INDEX(DurClassMapping,MATCH(M508,MappingTables!$D$4:$D$8,-1),1)</f>
        <v>2</v>
      </c>
      <c r="P508" s="73">
        <f>IF(M508=$A$1,1,$M508-INDEX(MappingTables!$E$4:$E$8,MATCH(O508,MappingTables!$B$4:$B$8,0)))</f>
        <v>0.0873159275237052</v>
      </c>
      <c r="Q508" s="71">
        <f>IF(B508="",0,INDEX(ModelParameters!$D$6:$K$10,MATCH($O508,ModelParameters!$B$6:$B$10,0),MATCH($J508,ModelParameters!$D$5:$K$5,0)))</f>
        <v>0.015</v>
      </c>
      <c r="R508" s="71">
        <f>IF(B508="",0,INDEX(ModelParameters!$D$13:$K$17,MATCH($O508,ModelParameters!$B$13:$B$17,0),MATCH($J508,ModelParameters!$D$5:$K$5,0)))</f>
        <v>0.125</v>
      </c>
      <c r="S508" s="160">
        <f>IF(B508="",0,MIN(IF($N508="Other Bond TM",ModelParameters!$N$21,1)*(P508*Q508+R508),1))</f>
        <v>0.12630973891285558</v>
      </c>
      <c r="T508" s="85">
        <f>IF(B508="",0,$S508*$K508)</f>
        <v>1783.0644131389318</v>
      </c>
      <c r="U508" s="85">
        <f>IF(B508="",0,IF(OR(H508=MappingTables!$C$34,H508=MappingTables!$C$35),T508,0))</f>
        <v>0</v>
      </c>
      <c r="V508" s="85">
        <f>IF(ISNA(IF(AND(VLOOKUP(CONCATENATE($D508,$G508),CSRFinput!$B:$E,4,0)=0,OR(H508=MappingTables!$C$34,H508=MappingTables!$C$35)),1,VLOOKUP(CONCATENATE($D508,$G508),CSRFinput!$B:$E,4,0))),0,IF(AND(VLOOKUP(CONCATENATE($D508,$G508),CSRFinput!$B:$E,4,0)=0,OR(H508=MappingTables!$C$34,H508=MappingTables!$C$35)),1,VLOOKUP(CONCATENATE($D508,$G508),CSRFinput!$B:$E,4,0)))</f>
        <v>0.054776304963434752</v>
      </c>
      <c r="W508" s="85">
        <f>IF(B508="",0,+$T508*$V508)</f>
        <v>97.669680063545936</v>
      </c>
      <c r="X508" s="85">
        <f>IF(B508="",0,IF(OR(H508=MappingTables!$C$34,H508=MappingTables!$C$35),W508,0))</f>
        <v>0</v>
      </c>
    </row>
    <row r="509" spans="2:24" s="0" customFormat="0" ht="15">
      <c r="B509" s="69">
        <v>21740948</v>
      </c>
      <c r="C509" s="70" t="s">
        <v>782</v>
      </c>
      <c r="D509" s="70" t="s">
        <v>1</v>
      </c>
      <c r="E509" s="70" t="s">
        <v>1</v>
      </c>
      <c r="F509" s="70"/>
      <c r="G509" s="70" t="s">
        <v>61</v>
      </c>
      <c r="H509" s="70" t="s">
        <v>178</v>
      </c>
      <c r="I509" s="70" t="s">
        <v>181</v>
      </c>
      <c r="J509" s="71">
        <f>IF(OR(I509=0,I509=""),"unrated",VLOOKUP(I509,MappingTables!$B$19:$C$31,2,FALSE))</f>
        <v>3</v>
      </c>
      <c r="K509" s="72">
        <v>10.130018049646684</v>
      </c>
      <c r="L509" s="70">
        <v>1.9403205478859968</v>
      </c>
      <c r="M509" s="71">
        <f>IF(L509&lt;1,1,L509)</f>
        <v>1.9403205478859968</v>
      </c>
      <c r="N509" s="70" t="s">
        <v>141</v>
      </c>
      <c r="O509" s="71">
        <f>INDEX(DurClassMapping,MATCH(M509,MappingTables!$D$4:$D$8,-1),1)</f>
        <v>1</v>
      </c>
      <c r="P509" s="73">
        <f>IF(M509=$A$1,1,$M509-INDEX(MappingTables!$E$4:$E$8,MATCH(O509,MappingTables!$B$4:$B$8,0)))</f>
        <v>1.9403205478859968</v>
      </c>
      <c r="Q509" s="71">
        <f>IF(B509="",0,INDEX(ModelParameters!$D$6:$K$10,MATCH($O509,ModelParameters!$B$6:$B$10,0),MATCH($J509,ModelParameters!$D$5:$K$5,0)))</f>
        <v>0.025</v>
      </c>
      <c r="R509" s="71">
        <f>IF(B509="",0,INDEX(ModelParameters!$D$13:$K$17,MATCH($O509,ModelParameters!$B$13:$B$17,0),MATCH($J509,ModelParameters!$D$5:$K$5,0)))</f>
        <v>0</v>
      </c>
      <c r="S509" s="160">
        <f>IF(B509="",0,MIN(IF($N509="Other Bond TM",ModelParameters!$N$21,1)*(P509*Q509+R509),1))</f>
        <v>0.04850801369714992</v>
      </c>
      <c r="T509" s="85">
        <f>IF(B509="",0,$S509*$K509)</f>
        <v>0.49138705430463728</v>
      </c>
      <c r="U509" s="85">
        <f>IF(B509="",0,IF(OR(H509=MappingTables!$C$34,H509=MappingTables!$C$35),T509,0))</f>
        <v>0</v>
      </c>
      <c r="V509" s="85">
        <f>IF(ISNA(IF(AND(VLOOKUP(CONCATENATE($D509,$G509),CSRFinput!$B:$E,4,0)=0,OR(H509=MappingTables!$C$34,H509=MappingTables!$C$35)),1,VLOOKUP(CONCATENATE($D509,$G509),CSRFinput!$B:$E,4,0))),0,IF(AND(VLOOKUP(CONCATENATE($D509,$G509),CSRFinput!$B:$E,4,0)=0,OR(H509=MappingTables!$C$34,H509=MappingTables!$C$35)),1,VLOOKUP(CONCATENATE($D509,$G509),CSRFinput!$B:$E,4,0)))</f>
        <v>0.054776304963434752</v>
      </c>
      <c r="W509" s="85">
        <f>IF(B509="",0,+$T509*$V509)</f>
        <v>0.026916367141674684</v>
      </c>
      <c r="X509" s="85">
        <f>IF(B509="",0,IF(OR(H509=MappingTables!$C$34,H509=MappingTables!$C$35),W509,0))</f>
        <v>0</v>
      </c>
    </row>
    <row r="510" spans="2:24" s="0" customFormat="0" ht="15">
      <c r="B510" s="69">
        <v>10560235</v>
      </c>
      <c r="C510" s="70" t="s">
        <v>783</v>
      </c>
      <c r="D510" s="70" t="s">
        <v>1</v>
      </c>
      <c r="E510" s="70" t="s">
        <v>1</v>
      </c>
      <c r="F510" s="70"/>
      <c r="G510" s="70" t="s">
        <v>61</v>
      </c>
      <c r="H510" s="70" t="s">
        <v>178</v>
      </c>
      <c r="I510" s="70" t="s">
        <v>181</v>
      </c>
      <c r="J510" s="71">
        <f>IF(OR(I510=0,I510=""),"unrated",VLOOKUP(I510,MappingTables!$B$19:$C$31,2,FALSE))</f>
        <v>3</v>
      </c>
      <c r="K510" s="72">
        <v>2.4438822115204408</v>
      </c>
      <c r="L510" s="70">
        <v>0.40000098316940224</v>
      </c>
      <c r="M510" s="71">
        <f>IF(L510&lt;1,1,L510)</f>
        <v>1</v>
      </c>
      <c r="N510" s="70" t="s">
        <v>141</v>
      </c>
      <c r="O510" s="71">
        <f>INDEX(DurClassMapping,MATCH(M510,MappingTables!$D$4:$D$8,-1),1)</f>
        <v>1</v>
      </c>
      <c r="P510" s="73">
        <f>IF(M510=$A$1,1,$M510-INDEX(MappingTables!$E$4:$E$8,MATCH(O510,MappingTables!$B$4:$B$8,0)))</f>
        <v>1</v>
      </c>
      <c r="Q510" s="71">
        <f>IF(B510="",0,INDEX(ModelParameters!$D$6:$K$10,MATCH($O510,ModelParameters!$B$6:$B$10,0),MATCH($J510,ModelParameters!$D$5:$K$5,0)))</f>
        <v>0.025</v>
      </c>
      <c r="R510" s="71">
        <f>IF(B510="",0,INDEX(ModelParameters!$D$13:$K$17,MATCH($O510,ModelParameters!$B$13:$B$17,0),MATCH($J510,ModelParameters!$D$5:$K$5,0)))</f>
        <v>0</v>
      </c>
      <c r="S510" s="160">
        <f>IF(B510="",0,MIN(IF($N510="Other Bond TM",ModelParameters!$N$21,1)*(P510*Q510+R510),1))</f>
        <v>0.025</v>
      </c>
      <c r="T510" s="85">
        <f>IF(B510="",0,$S510*$K510)</f>
        <v>0.061097055288011016</v>
      </c>
      <c r="U510" s="85">
        <f>IF(B510="",0,IF(OR(H510=MappingTables!$C$34,H510=MappingTables!$C$35),T510,0))</f>
        <v>0</v>
      </c>
      <c r="V510" s="85">
        <f>IF(ISNA(IF(AND(VLOOKUP(CONCATENATE($D510,$G510),CSRFinput!$B:$E,4,0)=0,OR(H510=MappingTables!$C$34,H510=MappingTables!$C$35)),1,VLOOKUP(CONCATENATE($D510,$G510),CSRFinput!$B:$E,4,0))),0,IF(AND(VLOOKUP(CONCATENATE($D510,$G510),CSRFinput!$B:$E,4,0)=0,OR(H510=MappingTables!$C$34,H510=MappingTables!$C$35)),1,VLOOKUP(CONCATENATE($D510,$G510),CSRFinput!$B:$E,4,0)))</f>
        <v>0.054776304963434752</v>
      </c>
      <c r="W510" s="85">
        <f>IF(B510="",0,+$T510*$V510)</f>
        <v>0.0033466709328239252</v>
      </c>
      <c r="X510" s="85">
        <f>IF(B510="",0,IF(OR(H510=MappingTables!$C$34,H510=MappingTables!$C$35),W510,0))</f>
        <v>0</v>
      </c>
    </row>
    <row r="511" spans="2:24" s="0" customFormat="0" ht="15">
      <c r="B511" s="69" t="s">
        <v>784</v>
      </c>
      <c r="C511" s="70" t="s">
        <v>785</v>
      </c>
      <c r="D511" s="70" t="s">
        <v>1</v>
      </c>
      <c r="E511" s="70" t="s">
        <v>1</v>
      </c>
      <c r="F511" s="70"/>
      <c r="G511" s="70" t="s">
        <v>61</v>
      </c>
      <c r="H511" s="70" t="s">
        <v>178</v>
      </c>
      <c r="I511" s="70" t="s">
        <v>216</v>
      </c>
      <c r="J511" s="71">
        <f>IF(OR(I511=0,I511=""),"unrated",VLOOKUP(I511,MappingTables!$B$19:$C$31,2,FALSE))</f>
        <v>0</v>
      </c>
      <c r="K511" s="72">
        <v>333.89778774180284</v>
      </c>
      <c r="L511" s="70">
        <v>0.43287970333158872</v>
      </c>
      <c r="M511" s="71">
        <f>IF(L511&lt;1,1,L511)</f>
        <v>1</v>
      </c>
      <c r="N511" s="70" t="s">
        <v>141</v>
      </c>
      <c r="O511" s="71">
        <f>INDEX(DurClassMapping,MATCH(M511,MappingTables!$D$4:$D$8,-1),1)</f>
        <v>1</v>
      </c>
      <c r="P511" s="73">
        <f>IF(M511=$A$1,1,$M511-INDEX(MappingTables!$E$4:$E$8,MATCH(O511,MappingTables!$B$4:$B$8,0)))</f>
        <v>1</v>
      </c>
      <c r="Q511" s="71">
        <f>IF(B511="",0,INDEX(ModelParameters!$D$6:$K$10,MATCH($O511,ModelParameters!$B$6:$B$10,0),MATCH($J511,ModelParameters!$D$5:$K$5,0)))</f>
        <v>0.0090000000000000016</v>
      </c>
      <c r="R511" s="71">
        <f>IF(B511="",0,INDEX(ModelParameters!$D$13:$K$17,MATCH($O511,ModelParameters!$B$13:$B$17,0),MATCH($J511,ModelParameters!$D$5:$K$5,0)))</f>
        <v>0</v>
      </c>
      <c r="S511" s="160">
        <f>IF(B511="",0,MIN(IF($N511="Other Bond TM",ModelParameters!$N$21,1)*(P511*Q511+R511),1))</f>
        <v>0.0090000000000000016</v>
      </c>
      <c r="T511" s="85">
        <f>IF(B511="",0,$S511*$K511)</f>
        <v>3.005080089676226</v>
      </c>
      <c r="U511" s="85">
        <f>IF(B511="",0,IF(OR(H511=MappingTables!$C$34,H511=MappingTables!$C$35),T511,0))</f>
        <v>0</v>
      </c>
      <c r="V511" s="85">
        <f>IF(ISNA(IF(AND(VLOOKUP(CONCATENATE($D511,$G511),CSRFinput!$B:$E,4,0)=0,OR(H511=MappingTables!$C$34,H511=MappingTables!$C$35)),1,VLOOKUP(CONCATENATE($D511,$G511),CSRFinput!$B:$E,4,0))),0,IF(AND(VLOOKUP(CONCATENATE($D511,$G511),CSRFinput!$B:$E,4,0)=0,OR(H511=MappingTables!$C$34,H511=MappingTables!$C$35)),1,VLOOKUP(CONCATENATE($D511,$G511),CSRFinput!$B:$E,4,0)))</f>
        <v>0.054776304963434752</v>
      </c>
      <c r="W511" s="85">
        <f>IF(B511="",0,+$T511*$V511)</f>
        <v>0.16460718343165082</v>
      </c>
      <c r="X511" s="85">
        <f>IF(B511="",0,IF(OR(H511=MappingTables!$C$34,H511=MappingTables!$C$35),W511,0))</f>
        <v>0</v>
      </c>
    </row>
    <row r="512" spans="2:24" s="0" customFormat="0" ht="15">
      <c r="B512" s="69" t="s">
        <v>786</v>
      </c>
      <c r="C512" s="70" t="s">
        <v>787</v>
      </c>
      <c r="D512" s="70" t="s">
        <v>1</v>
      </c>
      <c r="E512" s="70" t="s">
        <v>1</v>
      </c>
      <c r="F512" s="70"/>
      <c r="G512" s="70" t="s">
        <v>61</v>
      </c>
      <c r="H512" s="70" t="s">
        <v>178</v>
      </c>
      <c r="I512" s="70" t="s">
        <v>188</v>
      </c>
      <c r="J512" s="71">
        <f>IF(OR(I512=0,I512=""),"unrated",VLOOKUP(I512,MappingTables!$B$19:$C$31,2,FALSE))</f>
        <v>2</v>
      </c>
      <c r="K512" s="72">
        <v>119.48712981502214</v>
      </c>
      <c r="L512" s="70">
        <v>2.035971405138358</v>
      </c>
      <c r="M512" s="71">
        <f>IF(L512&lt;1,1,L512)</f>
        <v>2.035971405138358</v>
      </c>
      <c r="N512" s="70" t="s">
        <v>141</v>
      </c>
      <c r="O512" s="71">
        <f>INDEX(DurClassMapping,MATCH(M512,MappingTables!$D$4:$D$8,-1),1)</f>
        <v>1</v>
      </c>
      <c r="P512" s="73">
        <f>IF(M512=$A$1,1,$M512-INDEX(MappingTables!$E$4:$E$8,MATCH(O512,MappingTables!$B$4:$B$8,0)))</f>
        <v>2.035971405138358</v>
      </c>
      <c r="Q512" s="71">
        <f>IF(B512="",0,INDEX(ModelParameters!$D$6:$K$10,MATCH($O512,ModelParameters!$B$6:$B$10,0),MATCH($J512,ModelParameters!$D$5:$K$5,0)))</f>
        <v>0.013999999999999998</v>
      </c>
      <c r="R512" s="71">
        <f>IF(B512="",0,INDEX(ModelParameters!$D$13:$K$17,MATCH($O512,ModelParameters!$B$13:$B$17,0),MATCH($J512,ModelParameters!$D$5:$K$5,0)))</f>
        <v>0</v>
      </c>
      <c r="S512" s="160">
        <f>IF(B512="",0,MIN(IF($N512="Other Bond TM",ModelParameters!$N$21,1)*(P512*Q512+R512),1))</f>
        <v>0.028503599671937008</v>
      </c>
      <c r="T512" s="85">
        <f>IF(B512="",0,$S512*$K512)</f>
        <v>3.40581331419616</v>
      </c>
      <c r="U512" s="85">
        <f>IF(B512="",0,IF(OR(H512=MappingTables!$C$34,H512=MappingTables!$C$35),T512,0))</f>
        <v>0</v>
      </c>
      <c r="V512" s="85">
        <f>IF(ISNA(IF(AND(VLOOKUP(CONCATENATE($D512,$G512),CSRFinput!$B:$E,4,0)=0,OR(H512=MappingTables!$C$34,H512=MappingTables!$C$35)),1,VLOOKUP(CONCATENATE($D512,$G512),CSRFinput!$B:$E,4,0))),0,IF(AND(VLOOKUP(CONCATENATE($D512,$G512),CSRFinput!$B:$E,4,0)=0,OR(H512=MappingTables!$C$34,H512=MappingTables!$C$35)),1,VLOOKUP(CONCATENATE($D512,$G512),CSRFinput!$B:$E,4,0)))</f>
        <v>0.054776304963434752</v>
      </c>
      <c r="W512" s="85">
        <f>IF(B512="",0,+$T512*$V512)</f>
        <v>0.18655786874693528</v>
      </c>
      <c r="X512" s="85">
        <f>IF(B512="",0,IF(OR(H512=MappingTables!$C$34,H512=MappingTables!$C$35),W512,0))</f>
        <v>0</v>
      </c>
    </row>
    <row r="513" spans="2:24" s="0" customFormat="0" ht="15">
      <c r="B513" s="69" t="s">
        <v>788</v>
      </c>
      <c r="C513" s="70" t="s">
        <v>789</v>
      </c>
      <c r="D513" s="70" t="s">
        <v>1</v>
      </c>
      <c r="E513" s="70" t="s">
        <v>1</v>
      </c>
      <c r="F513" s="70"/>
      <c r="G513" s="70" t="s">
        <v>61</v>
      </c>
      <c r="H513" s="70" t="s">
        <v>178</v>
      </c>
      <c r="I513" s="70" t="s">
        <v>181</v>
      </c>
      <c r="J513" s="71">
        <f>IF(OR(I513=0,I513=""),"unrated",VLOOKUP(I513,MappingTables!$B$19:$C$31,2,FALSE))</f>
        <v>3</v>
      </c>
      <c r="K513" s="72">
        <v>30672.437687913388</v>
      </c>
      <c r="L513" s="70">
        <v>4.0572999675778064</v>
      </c>
      <c r="M513" s="71">
        <f>IF(L513&lt;1,1,L513)</f>
        <v>4.0572999675778064</v>
      </c>
      <c r="N513" s="70" t="s">
        <v>141</v>
      </c>
      <c r="O513" s="71">
        <f>INDEX(DurClassMapping,MATCH(M513,MappingTables!$D$4:$D$8,-1),1)</f>
        <v>1</v>
      </c>
      <c r="P513" s="73">
        <f>IF(M513=$A$1,1,$M513-INDEX(MappingTables!$E$4:$E$8,MATCH(O513,MappingTables!$B$4:$B$8,0)))</f>
        <v>4.0572999675778064</v>
      </c>
      <c r="Q513" s="71">
        <f>IF(B513="",0,INDEX(ModelParameters!$D$6:$K$10,MATCH($O513,ModelParameters!$B$6:$B$10,0),MATCH($J513,ModelParameters!$D$5:$K$5,0)))</f>
        <v>0.025</v>
      </c>
      <c r="R513" s="71">
        <f>IF(B513="",0,INDEX(ModelParameters!$D$13:$K$17,MATCH($O513,ModelParameters!$B$13:$B$17,0),MATCH($J513,ModelParameters!$D$5:$K$5,0)))</f>
        <v>0</v>
      </c>
      <c r="S513" s="160">
        <f>IF(B513="",0,MIN(IF($N513="Other Bond TM",ModelParameters!$N$21,1)*(P513*Q513+R513),1))</f>
        <v>0.10143249918944518</v>
      </c>
      <c r="T513" s="85">
        <f>IF(B513="",0,$S513*$K513)</f>
        <v>3111.1820109175824</v>
      </c>
      <c r="U513" s="85">
        <f>IF(B513="",0,IF(OR(H513=MappingTables!$C$34,H513=MappingTables!$C$35),T513,0))</f>
        <v>0</v>
      </c>
      <c r="V513" s="85">
        <f>IF(ISNA(IF(AND(VLOOKUP(CONCATENATE($D513,$G513),CSRFinput!$B:$E,4,0)=0,OR(H513=MappingTables!$C$34,H513=MappingTables!$C$35)),1,VLOOKUP(CONCATENATE($D513,$G513),CSRFinput!$B:$E,4,0))),0,IF(AND(VLOOKUP(CONCATENATE($D513,$G513),CSRFinput!$B:$E,4,0)=0,OR(H513=MappingTables!$C$34,H513=MappingTables!$C$35)),1,VLOOKUP(CONCATENATE($D513,$G513),CSRFinput!$B:$E,4,0)))</f>
        <v>0.054776304963434752</v>
      </c>
      <c r="W513" s="85">
        <f>IF(B513="",0,+$T513*$V513)</f>
        <v>170.41905462677368</v>
      </c>
      <c r="X513" s="85">
        <f>IF(B513="",0,IF(OR(H513=MappingTables!$C$34,H513=MappingTables!$C$35),W513,0))</f>
        <v>0</v>
      </c>
    </row>
    <row r="514" spans="2:24" s="0" customFormat="0" ht="15">
      <c r="B514" s="69">
        <v>21722262</v>
      </c>
      <c r="C514" s="70" t="s">
        <v>790</v>
      </c>
      <c r="D514" s="70" t="s">
        <v>1</v>
      </c>
      <c r="E514" s="70" t="s">
        <v>1</v>
      </c>
      <c r="F514" s="70"/>
      <c r="G514" s="70" t="s">
        <v>61</v>
      </c>
      <c r="H514" s="70" t="s">
        <v>178</v>
      </c>
      <c r="I514" s="70" t="s">
        <v>181</v>
      </c>
      <c r="J514" s="71">
        <f>IF(OR(I514=0,I514=""),"unrated",VLOOKUP(I514,MappingTables!$B$19:$C$31,2,FALSE))</f>
        <v>3</v>
      </c>
      <c r="K514" s="72">
        <v>5449.0962287896112</v>
      </c>
      <c r="L514" s="70">
        <v>5.5023136852171616</v>
      </c>
      <c r="M514" s="71">
        <f>IF(L514&lt;1,1,L514)</f>
        <v>5.5023136852171616</v>
      </c>
      <c r="N514" s="70" t="s">
        <v>141</v>
      </c>
      <c r="O514" s="71">
        <f>INDEX(DurClassMapping,MATCH(M514,MappingTables!$D$4:$D$8,-1),1)</f>
        <v>2</v>
      </c>
      <c r="P514" s="73">
        <f>IF(M514=$A$1,1,$M514-INDEX(MappingTables!$E$4:$E$8,MATCH(O514,MappingTables!$B$4:$B$8,0)))</f>
        <v>0.50231368521716128</v>
      </c>
      <c r="Q514" s="71">
        <f>IF(B514="",0,INDEX(ModelParameters!$D$6:$K$10,MATCH($O514,ModelParameters!$B$6:$B$10,0),MATCH($J514,ModelParameters!$D$5:$K$5,0)))</f>
        <v>0.015</v>
      </c>
      <c r="R514" s="71">
        <f>IF(B514="",0,INDEX(ModelParameters!$D$13:$K$17,MATCH($O514,ModelParameters!$B$13:$B$17,0),MATCH($J514,ModelParameters!$D$5:$K$5,0)))</f>
        <v>0.125</v>
      </c>
      <c r="S514" s="160">
        <f>IF(B514="",0,MIN(IF($N514="Other Bond TM",ModelParameters!$N$21,1)*(P514*Q514+R514),1))</f>
        <v>0.13253470527825742</v>
      </c>
      <c r="T514" s="85">
        <f>IF(B514="",0,$S514*$K514)</f>
        <v>722.19436271549504</v>
      </c>
      <c r="U514" s="85">
        <f>IF(B514="",0,IF(OR(H514=MappingTables!$C$34,H514=MappingTables!$C$35),T514,0))</f>
        <v>0</v>
      </c>
      <c r="V514" s="85">
        <f>IF(ISNA(IF(AND(VLOOKUP(CONCATENATE($D514,$G514),CSRFinput!$B:$E,4,0)=0,OR(H514=MappingTables!$C$34,H514=MappingTables!$C$35)),1,VLOOKUP(CONCATENATE($D514,$G514),CSRFinput!$B:$E,4,0))),0,IF(AND(VLOOKUP(CONCATENATE($D514,$G514),CSRFinput!$B:$E,4,0)=0,OR(H514=MappingTables!$C$34,H514=MappingTables!$C$35)),1,VLOOKUP(CONCATENATE($D514,$G514),CSRFinput!$B:$E,4,0)))</f>
        <v>0.054776304963434752</v>
      </c>
      <c r="W514" s="85">
        <f>IF(B514="",0,+$T514*$V514)</f>
        <v>39.559138654977368</v>
      </c>
      <c r="X514" s="85">
        <f>IF(B514="",0,IF(OR(H514=MappingTables!$C$34,H514=MappingTables!$C$35),W514,0))</f>
        <v>0</v>
      </c>
    </row>
    <row r="515" spans="2:24" s="0" customFormat="0" ht="15">
      <c r="B515" s="69">
        <v>19481696</v>
      </c>
      <c r="C515" s="70" t="s">
        <v>791</v>
      </c>
      <c r="D515" s="70" t="s">
        <v>1</v>
      </c>
      <c r="E515" s="70" t="s">
        <v>1</v>
      </c>
      <c r="F515" s="70"/>
      <c r="G515" s="70" t="s">
        <v>61</v>
      </c>
      <c r="H515" s="70" t="s">
        <v>178</v>
      </c>
      <c r="I515" s="70" t="s">
        <v>181</v>
      </c>
      <c r="J515" s="71">
        <f>IF(OR(I515=0,I515=""),"unrated",VLOOKUP(I515,MappingTables!$B$19:$C$31,2,FALSE))</f>
        <v>3</v>
      </c>
      <c r="K515" s="72">
        <v>57121.519870706032</v>
      </c>
      <c r="L515" s="70">
        <v>5.247420146938884</v>
      </c>
      <c r="M515" s="71">
        <f>IF(L515&lt;1,1,L515)</f>
        <v>5.247420146938884</v>
      </c>
      <c r="N515" s="70" t="s">
        <v>141</v>
      </c>
      <c r="O515" s="71">
        <f>INDEX(DurClassMapping,MATCH(M515,MappingTables!$D$4:$D$8,-1),1)</f>
        <v>2</v>
      </c>
      <c r="P515" s="73">
        <f>IF(M515=$A$1,1,$M515-INDEX(MappingTables!$E$4:$E$8,MATCH(O515,MappingTables!$B$4:$B$8,0)))</f>
        <v>0.24742014693888416</v>
      </c>
      <c r="Q515" s="71">
        <f>IF(B515="",0,INDEX(ModelParameters!$D$6:$K$10,MATCH($O515,ModelParameters!$B$6:$B$10,0),MATCH($J515,ModelParameters!$D$5:$K$5,0)))</f>
        <v>0.015</v>
      </c>
      <c r="R515" s="71">
        <f>IF(B515="",0,INDEX(ModelParameters!$D$13:$K$17,MATCH($O515,ModelParameters!$B$13:$B$17,0),MATCH($J515,ModelParameters!$D$5:$K$5,0)))</f>
        <v>0.125</v>
      </c>
      <c r="S515" s="160">
        <f>IF(B515="",0,MIN(IF($N515="Other Bond TM",ModelParameters!$N$21,1)*(P515*Q515+R515),1))</f>
        <v>0.12871130220408324</v>
      </c>
      <c r="T515" s="85">
        <f>IF(B515="",0,$S515*$K515)</f>
        <v>7352.1852064349904</v>
      </c>
      <c r="U515" s="85">
        <f>IF(B515="",0,IF(OR(H515=MappingTables!$C$34,H515=MappingTables!$C$35),T515,0))</f>
        <v>0</v>
      </c>
      <c r="V515" s="85">
        <f>IF(ISNA(IF(AND(VLOOKUP(CONCATENATE($D515,$G515),CSRFinput!$B:$E,4,0)=0,OR(H515=MappingTables!$C$34,H515=MappingTables!$C$35)),1,VLOOKUP(CONCATENATE($D515,$G515),CSRFinput!$B:$E,4,0))),0,IF(AND(VLOOKUP(CONCATENATE($D515,$G515),CSRFinput!$B:$E,4,0)=0,OR(H515=MappingTables!$C$34,H515=MappingTables!$C$35)),1,VLOOKUP(CONCATENATE($D515,$G515),CSRFinput!$B:$E,4,0)))</f>
        <v>0.054776304963434752</v>
      </c>
      <c r="W515" s="85">
        <f>IF(B515="",0,+$T515*$V515)</f>
        <v>402.72553901533656</v>
      </c>
      <c r="X515" s="85">
        <f>IF(B515="",0,IF(OR(H515=MappingTables!$C$34,H515=MappingTables!$C$35),W515,0))</f>
        <v>0</v>
      </c>
    </row>
    <row r="516" spans="2:24" s="0" customFormat="0" ht="15">
      <c r="B516" s="69">
        <v>12308477</v>
      </c>
      <c r="C516" s="70" t="s">
        <v>792</v>
      </c>
      <c r="D516" s="70" t="s">
        <v>1</v>
      </c>
      <c r="E516" s="70" t="s">
        <v>1</v>
      </c>
      <c r="F516" s="70"/>
      <c r="G516" s="70" t="s">
        <v>61</v>
      </c>
      <c r="H516" s="70" t="s">
        <v>178</v>
      </c>
      <c r="I516" s="70" t="s">
        <v>188</v>
      </c>
      <c r="J516" s="71">
        <f>IF(OR(I516=0,I516=""),"unrated",VLOOKUP(I516,MappingTables!$B$19:$C$31,2,FALSE))</f>
        <v>2</v>
      </c>
      <c r="K516" s="72">
        <v>11.25664086315789</v>
      </c>
      <c r="L516" s="70">
        <v>0.10684786894303846</v>
      </c>
      <c r="M516" s="71">
        <f>IF(L516&lt;1,1,L516)</f>
        <v>1</v>
      </c>
      <c r="N516" s="70" t="s">
        <v>141</v>
      </c>
      <c r="O516" s="71">
        <f>INDEX(DurClassMapping,MATCH(M516,MappingTables!$D$4:$D$8,-1),1)</f>
        <v>1</v>
      </c>
      <c r="P516" s="73">
        <f>IF(M516=$A$1,1,$M516-INDEX(MappingTables!$E$4:$E$8,MATCH(O516,MappingTables!$B$4:$B$8,0)))</f>
        <v>1</v>
      </c>
      <c r="Q516" s="71">
        <f>IF(B516="",0,INDEX(ModelParameters!$D$6:$K$10,MATCH($O516,ModelParameters!$B$6:$B$10,0),MATCH($J516,ModelParameters!$D$5:$K$5,0)))</f>
        <v>0.013999999999999998</v>
      </c>
      <c r="R516" s="71">
        <f>IF(B516="",0,INDEX(ModelParameters!$D$13:$K$17,MATCH($O516,ModelParameters!$B$13:$B$17,0),MATCH($J516,ModelParameters!$D$5:$K$5,0)))</f>
        <v>0</v>
      </c>
      <c r="S516" s="160">
        <f>IF(B516="",0,MIN(IF($N516="Other Bond TM",ModelParameters!$N$21,1)*(P516*Q516+R516),1))</f>
        <v>0.013999999999999998</v>
      </c>
      <c r="T516" s="85">
        <f>IF(B516="",0,$S516*$K516)</f>
        <v>0.15759297208421046</v>
      </c>
      <c r="U516" s="85">
        <f>IF(B516="",0,IF(OR(H516=MappingTables!$C$34,H516=MappingTables!$C$35),T516,0))</f>
        <v>0</v>
      </c>
      <c r="V516" s="85">
        <f>IF(ISNA(IF(AND(VLOOKUP(CONCATENATE($D516,$G516),CSRFinput!$B:$E,4,0)=0,OR(H516=MappingTables!$C$34,H516=MappingTables!$C$35)),1,VLOOKUP(CONCATENATE($D516,$G516),CSRFinput!$B:$E,4,0))),0,IF(AND(VLOOKUP(CONCATENATE($D516,$G516),CSRFinput!$B:$E,4,0)=0,OR(H516=MappingTables!$C$34,H516=MappingTables!$C$35)),1,VLOOKUP(CONCATENATE($D516,$G516),CSRFinput!$B:$E,4,0)))</f>
        <v>0.054776304963434752</v>
      </c>
      <c r="W516" s="85">
        <f>IF(B516="",0,+$T516*$V516)</f>
        <v>0.0086323606989787728</v>
      </c>
      <c r="X516" s="85">
        <f>IF(B516="",0,IF(OR(H516=MappingTables!$C$34,H516=MappingTables!$C$35),W516,0))</f>
        <v>0</v>
      </c>
    </row>
    <row r="517" spans="2:24" s="0" customFormat="0" ht="15">
      <c r="B517" s="69">
        <v>15477150</v>
      </c>
      <c r="C517" s="70" t="s">
        <v>793</v>
      </c>
      <c r="D517" s="70" t="s">
        <v>1</v>
      </c>
      <c r="E517" s="70" t="s">
        <v>1</v>
      </c>
      <c r="F517" s="70"/>
      <c r="G517" s="70" t="s">
        <v>61</v>
      </c>
      <c r="H517" s="70" t="s">
        <v>178</v>
      </c>
      <c r="I517" s="70" t="s">
        <v>181</v>
      </c>
      <c r="J517" s="71">
        <f>IF(OR(I517=0,I517=""),"unrated",VLOOKUP(I517,MappingTables!$B$19:$C$31,2,FALSE))</f>
        <v>3</v>
      </c>
      <c r="K517" s="72">
        <v>222.52490448376284</v>
      </c>
      <c r="L517" s="70">
        <v>1.8399239674365244</v>
      </c>
      <c r="M517" s="71">
        <f>IF(L517&lt;1,1,L517)</f>
        <v>1.8399239674365244</v>
      </c>
      <c r="N517" s="70" t="s">
        <v>141</v>
      </c>
      <c r="O517" s="71">
        <f>INDEX(DurClassMapping,MATCH(M517,MappingTables!$D$4:$D$8,-1),1)</f>
        <v>1</v>
      </c>
      <c r="P517" s="73">
        <f>IF(M517=$A$1,1,$M517-INDEX(MappingTables!$E$4:$E$8,MATCH(O517,MappingTables!$B$4:$B$8,0)))</f>
        <v>1.8399239674365244</v>
      </c>
      <c r="Q517" s="71">
        <f>IF(B517="",0,INDEX(ModelParameters!$D$6:$K$10,MATCH($O517,ModelParameters!$B$6:$B$10,0),MATCH($J517,ModelParameters!$D$5:$K$5,0)))</f>
        <v>0.025</v>
      </c>
      <c r="R517" s="71">
        <f>IF(B517="",0,INDEX(ModelParameters!$D$13:$K$17,MATCH($O517,ModelParameters!$B$13:$B$17,0),MATCH($J517,ModelParameters!$D$5:$K$5,0)))</f>
        <v>0</v>
      </c>
      <c r="S517" s="160">
        <f>IF(B517="",0,MIN(IF($N517="Other Bond TM",ModelParameters!$N$21,1)*(P517*Q517+R517),1))</f>
        <v>0.045998099185913112</v>
      </c>
      <c r="T517" s="85">
        <f>IF(B517="",0,$S517*$K517)</f>
        <v>10.235722627779964</v>
      </c>
      <c r="U517" s="85">
        <f>IF(B517="",0,IF(OR(H517=MappingTables!$C$34,H517=MappingTables!$C$35),T517,0))</f>
        <v>0</v>
      </c>
      <c r="V517" s="85">
        <f>IF(ISNA(IF(AND(VLOOKUP(CONCATENATE($D517,$G517),CSRFinput!$B:$E,4,0)=0,OR(H517=MappingTables!$C$34,H517=MappingTables!$C$35)),1,VLOOKUP(CONCATENATE($D517,$G517),CSRFinput!$B:$E,4,0))),0,IF(AND(VLOOKUP(CONCATENATE($D517,$G517),CSRFinput!$B:$E,4,0)=0,OR(H517=MappingTables!$C$34,H517=MappingTables!$C$35)),1,VLOOKUP(CONCATENATE($D517,$G517),CSRFinput!$B:$E,4,0)))</f>
        <v>0.054776304963434752</v>
      </c>
      <c r="W517" s="85">
        <f>IF(B517="",0,+$T517*$V517)</f>
        <v>0.56067506418040504</v>
      </c>
      <c r="X517" s="85">
        <f>IF(B517="",0,IF(OR(H517=MappingTables!$C$34,H517=MappingTables!$C$35),W517,0))</f>
        <v>0</v>
      </c>
    </row>
    <row r="518" spans="2:24" s="0" customFormat="0" ht="15">
      <c r="B518" s="69">
        <v>12055728</v>
      </c>
      <c r="C518" s="70" t="s">
        <v>794</v>
      </c>
      <c r="D518" s="70" t="s">
        <v>1</v>
      </c>
      <c r="E518" s="70" t="s">
        <v>1</v>
      </c>
      <c r="F518" s="70"/>
      <c r="G518" s="70" t="s">
        <v>61</v>
      </c>
      <c r="H518" s="70" t="s">
        <v>178</v>
      </c>
      <c r="I518" s="70" t="s">
        <v>179</v>
      </c>
      <c r="J518" s="71">
        <f>IF(OR(I518=0,I518=""),"unrated",VLOOKUP(I518,MappingTables!$B$19:$C$31,2,FALSE))</f>
        <v>4</v>
      </c>
      <c r="K518" s="72">
        <v>761.64361031743024</v>
      </c>
      <c r="L518" s="70">
        <v>0.69145887164035792</v>
      </c>
      <c r="M518" s="71">
        <f>IF(L518&lt;1,1,L518)</f>
        <v>1</v>
      </c>
      <c r="N518" s="70" t="s">
        <v>141</v>
      </c>
      <c r="O518" s="71">
        <f>INDEX(DurClassMapping,MATCH(M518,MappingTables!$D$4:$D$8,-1),1)</f>
        <v>1</v>
      </c>
      <c r="P518" s="73">
        <f>IF(M518=$A$1,1,$M518-INDEX(MappingTables!$E$4:$E$8,MATCH(O518,MappingTables!$B$4:$B$8,0)))</f>
        <v>1</v>
      </c>
      <c r="Q518" s="71">
        <f>IF(B518="",0,INDEX(ModelParameters!$D$6:$K$10,MATCH($O518,ModelParameters!$B$6:$B$10,0),MATCH($J518,ModelParameters!$D$5:$K$5,0)))</f>
        <v>0.045</v>
      </c>
      <c r="R518" s="71">
        <f>IF(B518="",0,INDEX(ModelParameters!$D$13:$K$17,MATCH($O518,ModelParameters!$B$13:$B$17,0),MATCH($J518,ModelParameters!$D$5:$K$5,0)))</f>
        <v>0</v>
      </c>
      <c r="S518" s="160">
        <f>IF(B518="",0,MIN(IF($N518="Other Bond TM",ModelParameters!$N$21,1)*(P518*Q518+R518),1))</f>
        <v>0.045</v>
      </c>
      <c r="T518" s="85">
        <f>IF(B518="",0,$S518*$K518)</f>
        <v>34.27396246428436</v>
      </c>
      <c r="U518" s="85">
        <f>IF(B518="",0,IF(OR(H518=MappingTables!$C$34,H518=MappingTables!$C$35),T518,0))</f>
        <v>0</v>
      </c>
      <c r="V518" s="85">
        <f>IF(ISNA(IF(AND(VLOOKUP(CONCATENATE($D518,$G518),CSRFinput!$B:$E,4,0)=0,OR(H518=MappingTables!$C$34,H518=MappingTables!$C$35)),1,VLOOKUP(CONCATENATE($D518,$G518),CSRFinput!$B:$E,4,0))),0,IF(AND(VLOOKUP(CONCATENATE($D518,$G518),CSRFinput!$B:$E,4,0)=0,OR(H518=MappingTables!$C$34,H518=MappingTables!$C$35)),1,VLOOKUP(CONCATENATE($D518,$G518),CSRFinput!$B:$E,4,0)))</f>
        <v>0.054776304963434752</v>
      </c>
      <c r="W518" s="85">
        <f>IF(B518="",0,+$T518*$V518)</f>
        <v>1.8774010202489556</v>
      </c>
      <c r="X518" s="85">
        <f>IF(B518="",0,IF(OR(H518=MappingTables!$C$34,H518=MappingTables!$C$35),W518,0))</f>
        <v>0</v>
      </c>
    </row>
    <row r="519" spans="2:24" s="0" customFormat="0" ht="15">
      <c r="B519" s="69">
        <v>18916353</v>
      </c>
      <c r="C519" s="70" t="s">
        <v>795</v>
      </c>
      <c r="D519" s="70" t="s">
        <v>1</v>
      </c>
      <c r="E519" s="70" t="s">
        <v>1</v>
      </c>
      <c r="F519" s="70"/>
      <c r="G519" s="70" t="s">
        <v>61</v>
      </c>
      <c r="H519" s="70" t="s">
        <v>178</v>
      </c>
      <c r="I519" s="70" t="s">
        <v>179</v>
      </c>
      <c r="J519" s="71">
        <f>IF(OR(I519=0,I519=""),"unrated",VLOOKUP(I519,MappingTables!$B$19:$C$31,2,FALSE))</f>
        <v>4</v>
      </c>
      <c r="K519" s="72">
        <v>70.965271599839016</v>
      </c>
      <c r="L519" s="70">
        <v>6.8751929445819808</v>
      </c>
      <c r="M519" s="71">
        <f>IF(L519&lt;1,1,L519)</f>
        <v>6.8751929445819808</v>
      </c>
      <c r="N519" s="70" t="s">
        <v>141</v>
      </c>
      <c r="O519" s="71">
        <f>INDEX(DurClassMapping,MATCH(M519,MappingTables!$D$4:$D$8,-1),1)</f>
        <v>2</v>
      </c>
      <c r="P519" s="73">
        <f>IF(M519=$A$1,1,$M519-INDEX(MappingTables!$E$4:$E$8,MATCH(O519,MappingTables!$B$4:$B$8,0)))</f>
        <v>1.8751929445819808</v>
      </c>
      <c r="Q519" s="71">
        <f>IF(B519="",0,INDEX(ModelParameters!$D$6:$K$10,MATCH($O519,ModelParameters!$B$6:$B$10,0),MATCH($J519,ModelParameters!$D$5:$K$5,0)))</f>
        <v>0.025</v>
      </c>
      <c r="R519" s="71">
        <f>IF(B519="",0,INDEX(ModelParameters!$D$13:$K$17,MATCH($O519,ModelParameters!$B$13:$B$17,0),MATCH($J519,ModelParameters!$D$5:$K$5,0)))</f>
        <v>0.225</v>
      </c>
      <c r="S519" s="160">
        <f>IF(B519="",0,MIN(IF($N519="Other Bond TM",ModelParameters!$N$21,1)*(P519*Q519+R519),1))</f>
        <v>0.27187982361454956</v>
      </c>
      <c r="T519" s="85">
        <f>IF(B519="",0,$S519*$K519)</f>
        <v>19.294025525322832</v>
      </c>
      <c r="U519" s="85">
        <f>IF(B519="",0,IF(OR(H519=MappingTables!$C$34,H519=MappingTables!$C$35),T519,0))</f>
        <v>0</v>
      </c>
      <c r="V519" s="85">
        <f>IF(ISNA(IF(AND(VLOOKUP(CONCATENATE($D519,$G519),CSRFinput!$B:$E,4,0)=0,OR(H519=MappingTables!$C$34,H519=MappingTables!$C$35)),1,VLOOKUP(CONCATENATE($D519,$G519),CSRFinput!$B:$E,4,0))),0,IF(AND(VLOOKUP(CONCATENATE($D519,$G519),CSRFinput!$B:$E,4,0)=0,OR(H519=MappingTables!$C$34,H519=MappingTables!$C$35)),1,VLOOKUP(CONCATENATE($D519,$G519),CSRFinput!$B:$E,4,0)))</f>
        <v>0.054776304963434752</v>
      </c>
      <c r="W519" s="85">
        <f>IF(B519="",0,+$T519*$V519)</f>
        <v>1.056855426147378</v>
      </c>
      <c r="X519" s="85">
        <f>IF(B519="",0,IF(OR(H519=MappingTables!$C$34,H519=MappingTables!$C$35),W519,0))</f>
        <v>0</v>
      </c>
    </row>
    <row r="520" spans="2:24" s="0" customFormat="0" ht="15">
      <c r="B520" s="69">
        <v>22410558</v>
      </c>
      <c r="C520" s="70" t="s">
        <v>796</v>
      </c>
      <c r="D520" s="70" t="s">
        <v>1</v>
      </c>
      <c r="E520" s="70" t="s">
        <v>1</v>
      </c>
      <c r="F520" s="70"/>
      <c r="G520" s="70" t="s">
        <v>61</v>
      </c>
      <c r="H520" s="70" t="s">
        <v>178</v>
      </c>
      <c r="I520" s="70" t="s">
        <v>198</v>
      </c>
      <c r="J520" s="71" t="str">
        <f>IF(OR(I520=0,I520=""),"unrated",VLOOKUP(I520,MappingTables!$B$19:$C$31,2,FALSE))</f>
        <v>unrated</v>
      </c>
      <c r="K520" s="72">
        <v>7709.0738974439024</v>
      </c>
      <c r="L520" s="70">
        <v>2.9358227984488924</v>
      </c>
      <c r="M520" s="71">
        <f>IF(L520&lt;1,1,L520)</f>
        <v>2.9358227984488924</v>
      </c>
      <c r="N520" s="70" t="s">
        <v>141</v>
      </c>
      <c r="O520" s="71">
        <f>INDEX(DurClassMapping,MATCH(M520,MappingTables!$D$4:$D$8,-1),1)</f>
        <v>1</v>
      </c>
      <c r="P520" s="73">
        <f>IF(M520=$A$1,1,$M520-INDEX(MappingTables!$E$4:$E$8,MATCH(O520,MappingTables!$B$4:$B$8,0)))</f>
        <v>2.9358227984488924</v>
      </c>
      <c r="Q520" s="71">
        <f>IF(B520="",0,INDEX(ModelParameters!$D$6:$K$10,MATCH($O520,ModelParameters!$B$6:$B$10,0),MATCH($J520,ModelParameters!$D$5:$K$5,0)))</f>
        <v>0.03</v>
      </c>
      <c r="R520" s="71">
        <f>IF(B520="",0,INDEX(ModelParameters!$D$13:$K$17,MATCH($O520,ModelParameters!$B$13:$B$17,0),MATCH($J520,ModelParameters!$D$5:$K$5,0)))</f>
        <v>0</v>
      </c>
      <c r="S520" s="160">
        <f>IF(B520="",0,MIN(IF($N520="Other Bond TM",ModelParameters!$N$21,1)*(P520*Q520+R520),1))</f>
        <v>0.088074683953466768</v>
      </c>
      <c r="T520" s="85">
        <f>IF(B520="",0,$S520*$K520)</f>
        <v>678.97424709129192</v>
      </c>
      <c r="U520" s="85">
        <f>IF(B520="",0,IF(OR(H520=MappingTables!$C$34,H520=MappingTables!$C$35),T520,0))</f>
        <v>0</v>
      </c>
      <c r="V520" s="85">
        <f>IF(ISNA(IF(AND(VLOOKUP(CONCATENATE($D520,$G520),CSRFinput!$B:$E,4,0)=0,OR(H520=MappingTables!$C$34,H520=MappingTables!$C$35)),1,VLOOKUP(CONCATENATE($D520,$G520),CSRFinput!$B:$E,4,0))),0,IF(AND(VLOOKUP(CONCATENATE($D520,$G520),CSRFinput!$B:$E,4,0)=0,OR(H520=MappingTables!$C$34,H520=MappingTables!$C$35)),1,VLOOKUP(CONCATENATE($D520,$G520),CSRFinput!$B:$E,4,0)))</f>
        <v>0.054776304963434752</v>
      </c>
      <c r="W520" s="85">
        <f>IF(B520="",0,+$T520*$V520)</f>
        <v>37.191700420991104</v>
      </c>
      <c r="X520" s="85">
        <f>IF(B520="",0,IF(OR(H520=MappingTables!$C$34,H520=MappingTables!$C$35),W520,0))</f>
        <v>0</v>
      </c>
    </row>
    <row r="521" spans="2:24" s="0" customFormat="0" ht="15">
      <c r="B521" s="69">
        <v>15642473</v>
      </c>
      <c r="C521" s="70" t="s">
        <v>797</v>
      </c>
      <c r="D521" s="70" t="s">
        <v>1</v>
      </c>
      <c r="E521" s="70" t="s">
        <v>1</v>
      </c>
      <c r="F521" s="70"/>
      <c r="G521" s="70" t="s">
        <v>61</v>
      </c>
      <c r="H521" s="70" t="s">
        <v>178</v>
      </c>
      <c r="I521" s="70" t="s">
        <v>188</v>
      </c>
      <c r="J521" s="71">
        <f>IF(OR(I521=0,I521=""),"unrated",VLOOKUP(I521,MappingTables!$B$19:$C$31,2,FALSE))</f>
        <v>2</v>
      </c>
      <c r="K521" s="72">
        <v>764.95385290285968</v>
      </c>
      <c r="L521" s="70">
        <v>0.06301683997311308</v>
      </c>
      <c r="M521" s="71">
        <f>IF(L521&lt;1,1,L521)</f>
        <v>1</v>
      </c>
      <c r="N521" s="70" t="s">
        <v>141</v>
      </c>
      <c r="O521" s="71">
        <f>INDEX(DurClassMapping,MATCH(M521,MappingTables!$D$4:$D$8,-1),1)</f>
        <v>1</v>
      </c>
      <c r="P521" s="73">
        <f>IF(M521=$A$1,1,$M521-INDEX(MappingTables!$E$4:$E$8,MATCH(O521,MappingTables!$B$4:$B$8,0)))</f>
        <v>1</v>
      </c>
      <c r="Q521" s="71">
        <f>IF(B521="",0,INDEX(ModelParameters!$D$6:$K$10,MATCH($O521,ModelParameters!$B$6:$B$10,0),MATCH($J521,ModelParameters!$D$5:$K$5,0)))</f>
        <v>0.013999999999999998</v>
      </c>
      <c r="R521" s="71">
        <f>IF(B521="",0,INDEX(ModelParameters!$D$13:$K$17,MATCH($O521,ModelParameters!$B$13:$B$17,0),MATCH($J521,ModelParameters!$D$5:$K$5,0)))</f>
        <v>0</v>
      </c>
      <c r="S521" s="160">
        <f>IF(B521="",0,MIN(IF($N521="Other Bond TM",ModelParameters!$N$21,1)*(P521*Q521+R521),1))</f>
        <v>0.013999999999999998</v>
      </c>
      <c r="T521" s="85">
        <f>IF(B521="",0,$S521*$K521)</f>
        <v>10.709353940640036</v>
      </c>
      <c r="U521" s="85">
        <f>IF(B521="",0,IF(OR(H521=MappingTables!$C$34,H521=MappingTables!$C$35),T521,0))</f>
        <v>0</v>
      </c>
      <c r="V521" s="85">
        <f>IF(ISNA(IF(AND(VLOOKUP(CONCATENATE($D521,$G521),CSRFinput!$B:$E,4,0)=0,OR(H521=MappingTables!$C$34,H521=MappingTables!$C$35)),1,VLOOKUP(CONCATENATE($D521,$G521),CSRFinput!$B:$E,4,0))),0,IF(AND(VLOOKUP(CONCATENATE($D521,$G521),CSRFinput!$B:$E,4,0)=0,OR(H521=MappingTables!$C$34,H521=MappingTables!$C$35)),1,VLOOKUP(CONCATENATE($D521,$G521),CSRFinput!$B:$E,4,0)))</f>
        <v>0.054776304963434752</v>
      </c>
      <c r="W521" s="85">
        <f>IF(B521="",0,+$T521*$V521)</f>
        <v>0.58661883741386032</v>
      </c>
      <c r="X521" s="85">
        <f>IF(B521="",0,IF(OR(H521=MappingTables!$C$34,H521=MappingTables!$C$35),W521,0))</f>
        <v>0</v>
      </c>
    </row>
    <row r="522" spans="2:24" s="0" customFormat="0" ht="15">
      <c r="B522" s="69">
        <v>17166420</v>
      </c>
      <c r="C522" s="70" t="s">
        <v>196</v>
      </c>
      <c r="D522" s="70" t="s">
        <v>1</v>
      </c>
      <c r="E522" s="70" t="s">
        <v>1</v>
      </c>
      <c r="F522" s="70"/>
      <c r="G522" s="70" t="s">
        <v>61</v>
      </c>
      <c r="H522" s="70" t="s">
        <v>178</v>
      </c>
      <c r="I522" s="70" t="s">
        <v>181</v>
      </c>
      <c r="J522" s="71">
        <f>IF(OR(I522=0,I522=""),"unrated",VLOOKUP(I522,MappingTables!$B$19:$C$31,2,FALSE))</f>
        <v>3</v>
      </c>
      <c r="K522" s="72">
        <v>24466.333788497344</v>
      </c>
      <c r="L522" s="70">
        <v>4.6045496554001296</v>
      </c>
      <c r="M522" s="71">
        <f>IF(L522&lt;1,1,L522)</f>
        <v>4.6045496554001296</v>
      </c>
      <c r="N522" s="70" t="s">
        <v>141</v>
      </c>
      <c r="O522" s="71">
        <f>INDEX(DurClassMapping,MATCH(M522,MappingTables!$D$4:$D$8,-1),1)</f>
        <v>1</v>
      </c>
      <c r="P522" s="73">
        <f>IF(M522=$A$1,1,$M522-INDEX(MappingTables!$E$4:$E$8,MATCH(O522,MappingTables!$B$4:$B$8,0)))</f>
        <v>4.6045496554001296</v>
      </c>
      <c r="Q522" s="71">
        <f>IF(B522="",0,INDEX(ModelParameters!$D$6:$K$10,MATCH($O522,ModelParameters!$B$6:$B$10,0),MATCH($J522,ModelParameters!$D$5:$K$5,0)))</f>
        <v>0.025</v>
      </c>
      <c r="R522" s="71">
        <f>IF(B522="",0,INDEX(ModelParameters!$D$13:$K$17,MATCH($O522,ModelParameters!$B$13:$B$17,0),MATCH($J522,ModelParameters!$D$5:$K$5,0)))</f>
        <v>0</v>
      </c>
      <c r="S522" s="160">
        <f>IF(B522="",0,MIN(IF($N522="Other Bond TM",ModelParameters!$N$21,1)*(P522*Q522+R522),1))</f>
        <v>0.11511374138500324</v>
      </c>
      <c r="T522" s="85">
        <f>IF(B522="",0,$S522*$K522)</f>
        <v>2816.41122036825</v>
      </c>
      <c r="U522" s="85">
        <f>IF(B522="",0,IF(OR(H522=MappingTables!$C$34,H522=MappingTables!$C$35),T522,0))</f>
        <v>0</v>
      </c>
      <c r="V522" s="85">
        <f>IF(ISNA(IF(AND(VLOOKUP(CONCATENATE($D522,$G522),CSRFinput!$B:$E,4,0)=0,OR(H522=MappingTables!$C$34,H522=MappingTables!$C$35)),1,VLOOKUP(CONCATENATE($D522,$G522),CSRFinput!$B:$E,4,0))),0,IF(AND(VLOOKUP(CONCATENATE($D522,$G522),CSRFinput!$B:$E,4,0)=0,OR(H522=MappingTables!$C$34,H522=MappingTables!$C$35)),1,VLOOKUP(CONCATENATE($D522,$G522),CSRFinput!$B:$E,4,0)))</f>
        <v>0.054776304963434752</v>
      </c>
      <c r="W522" s="85">
        <f>IF(B522="",0,+$T522*$V522)</f>
        <v>154.2725999093307</v>
      </c>
      <c r="X522" s="85">
        <f>IF(B522="",0,IF(OR(H522=MappingTables!$C$34,H522=MappingTables!$C$35),W522,0))</f>
        <v>0</v>
      </c>
    </row>
    <row r="523" spans="2:24" s="0" customFormat="0" ht="15">
      <c r="B523" s="69">
        <v>21473851</v>
      </c>
      <c r="C523" s="70" t="s">
        <v>798</v>
      </c>
      <c r="D523" s="70" t="s">
        <v>1</v>
      </c>
      <c r="E523" s="70" t="s">
        <v>1</v>
      </c>
      <c r="F523" s="70"/>
      <c r="G523" s="70" t="s">
        <v>61</v>
      </c>
      <c r="H523" s="70" t="s">
        <v>178</v>
      </c>
      <c r="I523" s="70" t="s">
        <v>179</v>
      </c>
      <c r="J523" s="71">
        <f>IF(OR(I523=0,I523=""),"unrated",VLOOKUP(I523,MappingTables!$B$19:$C$31,2,FALSE))</f>
        <v>4</v>
      </c>
      <c r="K523" s="72">
        <v>2257.0235862091708</v>
      </c>
      <c r="L523" s="70">
        <v>2.652339852163744</v>
      </c>
      <c r="M523" s="71">
        <f>IF(L523&lt;1,1,L523)</f>
        <v>2.652339852163744</v>
      </c>
      <c r="N523" s="70" t="s">
        <v>141</v>
      </c>
      <c r="O523" s="71">
        <f>INDEX(DurClassMapping,MATCH(M523,MappingTables!$D$4:$D$8,-1),1)</f>
        <v>1</v>
      </c>
      <c r="P523" s="73">
        <f>IF(M523=$A$1,1,$M523-INDEX(MappingTables!$E$4:$E$8,MATCH(O523,MappingTables!$B$4:$B$8,0)))</f>
        <v>2.652339852163744</v>
      </c>
      <c r="Q523" s="71">
        <f>IF(B523="",0,INDEX(ModelParameters!$D$6:$K$10,MATCH($O523,ModelParameters!$B$6:$B$10,0),MATCH($J523,ModelParameters!$D$5:$K$5,0)))</f>
        <v>0.045</v>
      </c>
      <c r="R523" s="71">
        <f>IF(B523="",0,INDEX(ModelParameters!$D$13:$K$17,MATCH($O523,ModelParameters!$B$13:$B$17,0),MATCH($J523,ModelParameters!$D$5:$K$5,0)))</f>
        <v>0</v>
      </c>
      <c r="S523" s="160">
        <f>IF(B523="",0,MIN(IF($N523="Other Bond TM",ModelParameters!$N$21,1)*(P523*Q523+R523),1))</f>
        <v>0.11935529334736848</v>
      </c>
      <c r="T523" s="85">
        <f>IF(B523="",0,$S523*$K523)</f>
        <v>269.38771222392516</v>
      </c>
      <c r="U523" s="85">
        <f>IF(B523="",0,IF(OR(H523=MappingTables!$C$34,H523=MappingTables!$C$35),T523,0))</f>
        <v>0</v>
      </c>
      <c r="V523" s="85">
        <f>IF(ISNA(IF(AND(VLOOKUP(CONCATENATE($D523,$G523),CSRFinput!$B:$E,4,0)=0,OR(H523=MappingTables!$C$34,H523=MappingTables!$C$35)),1,VLOOKUP(CONCATENATE($D523,$G523),CSRFinput!$B:$E,4,0))),0,IF(AND(VLOOKUP(CONCATENATE($D523,$G523),CSRFinput!$B:$E,4,0)=0,OR(H523=MappingTables!$C$34,H523=MappingTables!$C$35)),1,VLOOKUP(CONCATENATE($D523,$G523),CSRFinput!$B:$E,4,0)))</f>
        <v>0.054776304963434752</v>
      </c>
      <c r="W523" s="85">
        <f>IF(B523="",0,+$T523*$V523)</f>
        <v>14.756063478179726</v>
      </c>
      <c r="X523" s="85">
        <f>IF(B523="",0,IF(OR(H523=MappingTables!$C$34,H523=MappingTables!$C$35),W523,0))</f>
        <v>0</v>
      </c>
    </row>
    <row r="524" spans="2:24" s="0" customFormat="0" ht="15">
      <c r="B524" s="69" t="s">
        <v>799</v>
      </c>
      <c r="C524" s="70" t="s">
        <v>800</v>
      </c>
      <c r="D524" s="70" t="s">
        <v>1</v>
      </c>
      <c r="E524" s="70" t="s">
        <v>1</v>
      </c>
      <c r="F524" s="70"/>
      <c r="G524" s="70" t="s">
        <v>61</v>
      </c>
      <c r="H524" s="70" t="s">
        <v>178</v>
      </c>
      <c r="I524" s="70" t="s">
        <v>179</v>
      </c>
      <c r="J524" s="71">
        <f>IF(OR(I524=0,I524=""),"unrated",VLOOKUP(I524,MappingTables!$B$19:$C$31,2,FALSE))</f>
        <v>4</v>
      </c>
      <c r="K524" s="72">
        <v>153.48486935170442</v>
      </c>
      <c r="L524" s="70">
        <v>6.973925249847524</v>
      </c>
      <c r="M524" s="71">
        <f>IF(L524&lt;1,1,L524)</f>
        <v>6.973925249847524</v>
      </c>
      <c r="N524" s="70" t="s">
        <v>141</v>
      </c>
      <c r="O524" s="71">
        <f>INDEX(DurClassMapping,MATCH(M524,MappingTables!$D$4:$D$8,-1),1)</f>
        <v>2</v>
      </c>
      <c r="P524" s="73">
        <f>IF(M524=$A$1,1,$M524-INDEX(MappingTables!$E$4:$E$8,MATCH(O524,MappingTables!$B$4:$B$8,0)))</f>
        <v>1.9739252498475244</v>
      </c>
      <c r="Q524" s="71">
        <f>IF(B524="",0,INDEX(ModelParameters!$D$6:$K$10,MATCH($O524,ModelParameters!$B$6:$B$10,0),MATCH($J524,ModelParameters!$D$5:$K$5,0)))</f>
        <v>0.025</v>
      </c>
      <c r="R524" s="71">
        <f>IF(B524="",0,INDEX(ModelParameters!$D$13:$K$17,MATCH($O524,ModelParameters!$B$13:$B$17,0),MATCH($J524,ModelParameters!$D$5:$K$5,0)))</f>
        <v>0.225</v>
      </c>
      <c r="S524" s="160">
        <f>IF(B524="",0,MIN(IF($N524="Other Bond TM",ModelParameters!$N$21,1)*(P524*Q524+R524),1))</f>
        <v>0.27434813124618812</v>
      </c>
      <c r="T524" s="85">
        <f>IF(B524="",0,$S524*$K524)</f>
        <v>42.10828708120544</v>
      </c>
      <c r="U524" s="85">
        <f>IF(B524="",0,IF(OR(H524=MappingTables!$C$34,H524=MappingTables!$C$35),T524,0))</f>
        <v>0</v>
      </c>
      <c r="V524" s="85">
        <f>IF(ISNA(IF(AND(VLOOKUP(CONCATENATE($D524,$G524),CSRFinput!$B:$E,4,0)=0,OR(H524=MappingTables!$C$34,H524=MappingTables!$C$35)),1,VLOOKUP(CONCATENATE($D524,$G524),CSRFinput!$B:$E,4,0))),0,IF(AND(VLOOKUP(CONCATENATE($D524,$G524),CSRFinput!$B:$E,4,0)=0,OR(H524=MappingTables!$C$34,H524=MappingTables!$C$35)),1,VLOOKUP(CONCATENATE($D524,$G524),CSRFinput!$B:$E,4,0)))</f>
        <v>0.054776304963434752</v>
      </c>
      <c r="W524" s="85">
        <f>IF(B524="",0,+$T524*$V524)</f>
        <v>2.3065363746479692</v>
      </c>
      <c r="X524" s="85">
        <f>IF(B524="",0,IF(OR(H524=MappingTables!$C$34,H524=MappingTables!$C$35),W524,0))</f>
        <v>0</v>
      </c>
    </row>
    <row r="525" spans="2:24" s="0" customFormat="0" ht="15">
      <c r="B525" s="69">
        <v>21906280</v>
      </c>
      <c r="C525" s="70" t="s">
        <v>801</v>
      </c>
      <c r="D525" s="70" t="s">
        <v>1</v>
      </c>
      <c r="E525" s="70" t="s">
        <v>1</v>
      </c>
      <c r="F525" s="70"/>
      <c r="G525" s="70" t="s">
        <v>61</v>
      </c>
      <c r="H525" s="70" t="s">
        <v>178</v>
      </c>
      <c r="I525" s="70" t="s">
        <v>179</v>
      </c>
      <c r="J525" s="71">
        <f>IF(OR(I525=0,I525=""),"unrated",VLOOKUP(I525,MappingTables!$B$19:$C$31,2,FALSE))</f>
        <v>4</v>
      </c>
      <c r="K525" s="72">
        <v>4811.1735757081232</v>
      </c>
      <c r="L525" s="70">
        <v>6.1665780718108984</v>
      </c>
      <c r="M525" s="71">
        <f>IF(L525&lt;1,1,L525)</f>
        <v>6.1665780718108984</v>
      </c>
      <c r="N525" s="70" t="s">
        <v>141</v>
      </c>
      <c r="O525" s="71">
        <f>INDEX(DurClassMapping,MATCH(M525,MappingTables!$D$4:$D$8,-1),1)</f>
        <v>2</v>
      </c>
      <c r="P525" s="73">
        <f>IF(M525=$A$1,1,$M525-INDEX(MappingTables!$E$4:$E$8,MATCH(O525,MappingTables!$B$4:$B$8,0)))</f>
        <v>1.166578071810898</v>
      </c>
      <c r="Q525" s="71">
        <f>IF(B525="",0,INDEX(ModelParameters!$D$6:$K$10,MATCH($O525,ModelParameters!$B$6:$B$10,0),MATCH($J525,ModelParameters!$D$5:$K$5,0)))</f>
        <v>0.025</v>
      </c>
      <c r="R525" s="71">
        <f>IF(B525="",0,INDEX(ModelParameters!$D$13:$K$17,MATCH($O525,ModelParameters!$B$13:$B$17,0),MATCH($J525,ModelParameters!$D$5:$K$5,0)))</f>
        <v>0.225</v>
      </c>
      <c r="S525" s="160">
        <f>IF(B525="",0,MIN(IF($N525="Other Bond TM",ModelParameters!$N$21,1)*(P525*Q525+R525),1))</f>
        <v>0.25416445179527248</v>
      </c>
      <c r="T525" s="85">
        <f>IF(B525="",0,$S525*$K525)</f>
        <v>1222.829294361756</v>
      </c>
      <c r="U525" s="85">
        <f>IF(B525="",0,IF(OR(H525=MappingTables!$C$34,H525=MappingTables!$C$35),T525,0))</f>
        <v>0</v>
      </c>
      <c r="V525" s="85">
        <f>IF(ISNA(IF(AND(VLOOKUP(CONCATENATE($D525,$G525),CSRFinput!$B:$E,4,0)=0,OR(H525=MappingTables!$C$34,H525=MappingTables!$C$35)),1,VLOOKUP(CONCATENATE($D525,$G525),CSRFinput!$B:$E,4,0))),0,IF(AND(VLOOKUP(CONCATENATE($D525,$G525),CSRFinput!$B:$E,4,0)=0,OR(H525=MappingTables!$C$34,H525=MappingTables!$C$35)),1,VLOOKUP(CONCATENATE($D525,$G525),CSRFinput!$B:$E,4,0)))</f>
        <v>0.054776304963434752</v>
      </c>
      <c r="W525" s="85">
        <f>IF(B525="",0,+$T525*$V525)</f>
        <v>66.982070346181272</v>
      </c>
      <c r="X525" s="85">
        <f>IF(B525="",0,IF(OR(H525=MappingTables!$C$34,H525=MappingTables!$C$35),W525,0))</f>
        <v>0</v>
      </c>
    </row>
    <row r="526" spans="2:24" s="0" customFormat="0" ht="15">
      <c r="B526" s="69">
        <v>6874148</v>
      </c>
      <c r="C526" s="70" t="s">
        <v>802</v>
      </c>
      <c r="D526" s="70" t="s">
        <v>1</v>
      </c>
      <c r="E526" s="70" t="s">
        <v>1</v>
      </c>
      <c r="F526" s="70"/>
      <c r="G526" s="70" t="s">
        <v>61</v>
      </c>
      <c r="H526" s="70" t="s">
        <v>178</v>
      </c>
      <c r="I526" s="70" t="s">
        <v>204</v>
      </c>
      <c r="J526" s="71">
        <f>IF(OR(I526=0,I526=""),"unrated",VLOOKUP(I526,MappingTables!$B$19:$C$31,2,FALSE))</f>
        <v>6</v>
      </c>
      <c r="K526" s="72">
        <v>148.87548688566642</v>
      </c>
      <c r="L526" s="70">
        <v>0.99765482394918832</v>
      </c>
      <c r="M526" s="71">
        <f>IF(L526&lt;1,1,L526)</f>
        <v>1</v>
      </c>
      <c r="N526" s="70" t="s">
        <v>141</v>
      </c>
      <c r="O526" s="71">
        <f>INDEX(DurClassMapping,MATCH(M526,MappingTables!$D$4:$D$8,-1),1)</f>
        <v>1</v>
      </c>
      <c r="P526" s="73">
        <f>IF(M526=$A$1,1,$M526-INDEX(MappingTables!$E$4:$E$8,MATCH(O526,MappingTables!$B$4:$B$8,0)))</f>
        <v>1</v>
      </c>
      <c r="Q526" s="71">
        <f>IF(B526="",0,INDEX(ModelParameters!$D$6:$K$10,MATCH($O526,ModelParameters!$B$6:$B$10,0),MATCH($J526,ModelParameters!$D$5:$K$5,0)))</f>
        <v>0.075</v>
      </c>
      <c r="R526" s="71">
        <f>IF(B526="",0,INDEX(ModelParameters!$D$13:$K$17,MATCH($O526,ModelParameters!$B$13:$B$17,0),MATCH($J526,ModelParameters!$D$5:$K$5,0)))</f>
        <v>0</v>
      </c>
      <c r="S526" s="160">
        <f>IF(B526="",0,MIN(IF($N526="Other Bond TM",ModelParameters!$N$21,1)*(P526*Q526+R526),1))</f>
        <v>0.075</v>
      </c>
      <c r="T526" s="85">
        <f>IF(B526="",0,$S526*$K526)</f>
        <v>11.165661516424982</v>
      </c>
      <c r="U526" s="85">
        <f>IF(B526="",0,IF(OR(H526=MappingTables!$C$34,H526=MappingTables!$C$35),T526,0))</f>
        <v>0</v>
      </c>
      <c r="V526" s="85">
        <f>IF(ISNA(IF(AND(VLOOKUP(CONCATENATE($D526,$G526),CSRFinput!$B:$E,4,0)=0,OR(H526=MappingTables!$C$34,H526=MappingTables!$C$35)),1,VLOOKUP(CONCATENATE($D526,$G526),CSRFinput!$B:$E,4,0))),0,IF(AND(VLOOKUP(CONCATENATE($D526,$G526),CSRFinput!$B:$E,4,0)=0,OR(H526=MappingTables!$C$34,H526=MappingTables!$C$35)),1,VLOOKUP(CONCATENATE($D526,$G526),CSRFinput!$B:$E,4,0)))</f>
        <v>0.054776304963434752</v>
      </c>
      <c r="W526" s="85">
        <f>IF(B526="",0,+$T526*$V526)</f>
        <v>0.61161368034218208</v>
      </c>
      <c r="X526" s="85">
        <f>IF(B526="",0,IF(OR(H526=MappingTables!$C$34,H526=MappingTables!$C$35),W526,0))</f>
        <v>0</v>
      </c>
    </row>
    <row r="527" spans="2:24" s="0" customFormat="0" ht="15">
      <c r="B527" s="69" t="s">
        <v>803</v>
      </c>
      <c r="C527" s="70" t="s">
        <v>804</v>
      </c>
      <c r="D527" s="70" t="s">
        <v>1</v>
      </c>
      <c r="E527" s="70" t="s">
        <v>1</v>
      </c>
      <c r="F527" s="70"/>
      <c r="G527" s="70" t="s">
        <v>61</v>
      </c>
      <c r="H527" s="70" t="s">
        <v>178</v>
      </c>
      <c r="I527" s="70" t="s">
        <v>181</v>
      </c>
      <c r="J527" s="71">
        <f>IF(OR(I527=0,I527=""),"unrated",VLOOKUP(I527,MappingTables!$B$19:$C$31,2,FALSE))</f>
        <v>3</v>
      </c>
      <c r="K527" s="72">
        <v>29.566282412425048</v>
      </c>
      <c r="L527" s="70">
        <v>5.3256001669339968</v>
      </c>
      <c r="M527" s="71">
        <f>IF(L527&lt;1,1,L527)</f>
        <v>5.3256001669339968</v>
      </c>
      <c r="N527" s="70" t="s">
        <v>141</v>
      </c>
      <c r="O527" s="71">
        <f>INDEX(DurClassMapping,MATCH(M527,MappingTables!$D$4:$D$8,-1),1)</f>
        <v>2</v>
      </c>
      <c r="P527" s="73">
        <f>IF(M527=$A$1,1,$M527-INDEX(MappingTables!$E$4:$E$8,MATCH(O527,MappingTables!$B$4:$B$8,0)))</f>
        <v>0.32560016693399696</v>
      </c>
      <c r="Q527" s="71">
        <f>IF(B527="",0,INDEX(ModelParameters!$D$6:$K$10,MATCH($O527,ModelParameters!$B$6:$B$10,0),MATCH($J527,ModelParameters!$D$5:$K$5,0)))</f>
        <v>0.015</v>
      </c>
      <c r="R527" s="71">
        <f>IF(B527="",0,INDEX(ModelParameters!$D$13:$K$17,MATCH($O527,ModelParameters!$B$13:$B$17,0),MATCH($J527,ModelParameters!$D$5:$K$5,0)))</f>
        <v>0.125</v>
      </c>
      <c r="S527" s="160">
        <f>IF(B527="",0,MIN(IF($N527="Other Bond TM",ModelParameters!$N$21,1)*(P527*Q527+R527),1))</f>
        <v>0.12988400250400994</v>
      </c>
      <c r="T527" s="85">
        <f>IF(B527="",0,$S527*$K527)</f>
        <v>3.84018709888968</v>
      </c>
      <c r="U527" s="85">
        <f>IF(B527="",0,IF(OR(H527=MappingTables!$C$34,H527=MappingTables!$C$35),T527,0))</f>
        <v>0</v>
      </c>
      <c r="V527" s="85">
        <f>IF(ISNA(IF(AND(VLOOKUP(CONCATENATE($D527,$G527),CSRFinput!$B:$E,4,0)=0,OR(H527=MappingTables!$C$34,H527=MappingTables!$C$35)),1,VLOOKUP(CONCATENATE($D527,$G527),CSRFinput!$B:$E,4,0))),0,IF(AND(VLOOKUP(CONCATENATE($D527,$G527),CSRFinput!$B:$E,4,0)=0,OR(H527=MappingTables!$C$34,H527=MappingTables!$C$35)),1,VLOOKUP(CONCATENATE($D527,$G527),CSRFinput!$B:$E,4,0)))</f>
        <v>0.054776304963434752</v>
      </c>
      <c r="W527" s="85">
        <f>IF(B527="",0,+$T527*$V527)</f>
        <v>0.21035125964542888</v>
      </c>
      <c r="X527" s="85">
        <f>IF(B527="",0,IF(OR(H527=MappingTables!$C$34,H527=MappingTables!$C$35),W527,0))</f>
        <v>0</v>
      </c>
    </row>
    <row r="528" spans="2:24" s="0" customFormat="0" ht="15">
      <c r="B528" s="69">
        <v>11025789</v>
      </c>
      <c r="C528" s="70" t="s">
        <v>805</v>
      </c>
      <c r="D528" s="70" t="s">
        <v>1</v>
      </c>
      <c r="E528" s="70" t="s">
        <v>1</v>
      </c>
      <c r="F528" s="70"/>
      <c r="G528" s="70" t="s">
        <v>61</v>
      </c>
      <c r="H528" s="70" t="s">
        <v>178</v>
      </c>
      <c r="I528" s="70" t="s">
        <v>181</v>
      </c>
      <c r="J528" s="71">
        <f>IF(OR(I528=0,I528=""),"unrated",VLOOKUP(I528,MappingTables!$B$19:$C$31,2,FALSE))</f>
        <v>3</v>
      </c>
      <c r="K528" s="72">
        <v>1235.8009913381406</v>
      </c>
      <c r="L528" s="70">
        <v>0.91120161604011952</v>
      </c>
      <c r="M528" s="71">
        <f>IF(L528&lt;1,1,L528)</f>
        <v>1</v>
      </c>
      <c r="N528" s="70" t="s">
        <v>141</v>
      </c>
      <c r="O528" s="71">
        <f>INDEX(DurClassMapping,MATCH(M528,MappingTables!$D$4:$D$8,-1),1)</f>
        <v>1</v>
      </c>
      <c r="P528" s="73">
        <f>IF(M528=$A$1,1,$M528-INDEX(MappingTables!$E$4:$E$8,MATCH(O528,MappingTables!$B$4:$B$8,0)))</f>
        <v>1</v>
      </c>
      <c r="Q528" s="71">
        <f>IF(B528="",0,INDEX(ModelParameters!$D$6:$K$10,MATCH($O528,ModelParameters!$B$6:$B$10,0),MATCH($J528,ModelParameters!$D$5:$K$5,0)))</f>
        <v>0.025</v>
      </c>
      <c r="R528" s="71">
        <f>IF(B528="",0,INDEX(ModelParameters!$D$13:$K$17,MATCH($O528,ModelParameters!$B$13:$B$17,0),MATCH($J528,ModelParameters!$D$5:$K$5,0)))</f>
        <v>0</v>
      </c>
      <c r="S528" s="160">
        <f>IF(B528="",0,MIN(IF($N528="Other Bond TM",ModelParameters!$N$21,1)*(P528*Q528+R528),1))</f>
        <v>0.025</v>
      </c>
      <c r="T528" s="85">
        <f>IF(B528="",0,$S528*$K528)</f>
        <v>30.89502478345352</v>
      </c>
      <c r="U528" s="85">
        <f>IF(B528="",0,IF(OR(H528=MappingTables!$C$34,H528=MappingTables!$C$35),T528,0))</f>
        <v>0</v>
      </c>
      <c r="V528" s="85">
        <f>IF(ISNA(IF(AND(VLOOKUP(CONCATENATE($D528,$G528),CSRFinput!$B:$E,4,0)=0,OR(H528=MappingTables!$C$34,H528=MappingTables!$C$35)),1,VLOOKUP(CONCATENATE($D528,$G528),CSRFinput!$B:$E,4,0))),0,IF(AND(VLOOKUP(CONCATENATE($D528,$G528),CSRFinput!$B:$E,4,0)=0,OR(H528=MappingTables!$C$34,H528=MappingTables!$C$35)),1,VLOOKUP(CONCATENATE($D528,$G528),CSRFinput!$B:$E,4,0)))</f>
        <v>0.054776304963434752</v>
      </c>
      <c r="W528" s="85">
        <f>IF(B528="",0,+$T528*$V528)</f>
        <v>1.6923152993913246</v>
      </c>
      <c r="X528" s="85">
        <f>IF(B528="",0,IF(OR(H528=MappingTables!$C$34,H528=MappingTables!$C$35),W528,0))</f>
        <v>0</v>
      </c>
    </row>
    <row r="529" spans="2:24" s="0" customFormat="0" ht="15">
      <c r="B529" s="69" t="s">
        <v>806</v>
      </c>
      <c r="C529" s="70" t="s">
        <v>807</v>
      </c>
      <c r="D529" s="70" t="s">
        <v>1</v>
      </c>
      <c r="E529" s="70" t="s">
        <v>1</v>
      </c>
      <c r="F529" s="70"/>
      <c r="G529" s="70" t="s">
        <v>61</v>
      </c>
      <c r="H529" s="70" t="s">
        <v>178</v>
      </c>
      <c r="I529" s="70" t="s">
        <v>179</v>
      </c>
      <c r="J529" s="71">
        <f>IF(OR(I529=0,I529=""),"unrated",VLOOKUP(I529,MappingTables!$B$19:$C$31,2,FALSE))</f>
        <v>4</v>
      </c>
      <c r="K529" s="72">
        <v>26481.057522573924</v>
      </c>
      <c r="L529" s="70">
        <v>0.24931281852334052</v>
      </c>
      <c r="M529" s="71">
        <f>IF(L529&lt;1,1,L529)</f>
        <v>1</v>
      </c>
      <c r="N529" s="70" t="s">
        <v>141</v>
      </c>
      <c r="O529" s="71">
        <f>INDEX(DurClassMapping,MATCH(M529,MappingTables!$D$4:$D$8,-1),1)</f>
        <v>1</v>
      </c>
      <c r="P529" s="73">
        <f>IF(M529=$A$1,1,$M529-INDEX(MappingTables!$E$4:$E$8,MATCH(O529,MappingTables!$B$4:$B$8,0)))</f>
        <v>1</v>
      </c>
      <c r="Q529" s="71">
        <f>IF(B529="",0,INDEX(ModelParameters!$D$6:$K$10,MATCH($O529,ModelParameters!$B$6:$B$10,0),MATCH($J529,ModelParameters!$D$5:$K$5,0)))</f>
        <v>0.045</v>
      </c>
      <c r="R529" s="71">
        <f>IF(B529="",0,INDEX(ModelParameters!$D$13:$K$17,MATCH($O529,ModelParameters!$B$13:$B$17,0),MATCH($J529,ModelParameters!$D$5:$K$5,0)))</f>
        <v>0</v>
      </c>
      <c r="S529" s="160">
        <f>IF(B529="",0,MIN(IF($N529="Other Bond TM",ModelParameters!$N$21,1)*(P529*Q529+R529),1))</f>
        <v>0.045</v>
      </c>
      <c r="T529" s="85">
        <f>IF(B529="",0,$S529*$K529)</f>
        <v>1191.6475885158266</v>
      </c>
      <c r="U529" s="85">
        <f>IF(B529="",0,IF(OR(H529=MappingTables!$C$34,H529=MappingTables!$C$35),T529,0))</f>
        <v>0</v>
      </c>
      <c r="V529" s="85">
        <f>IF(ISNA(IF(AND(VLOOKUP(CONCATENATE($D529,$G529),CSRFinput!$B:$E,4,0)=0,OR(H529=MappingTables!$C$34,H529=MappingTables!$C$35)),1,VLOOKUP(CONCATENATE($D529,$G529),CSRFinput!$B:$E,4,0))),0,IF(AND(VLOOKUP(CONCATENATE($D529,$G529),CSRFinput!$B:$E,4,0)=0,OR(H529=MappingTables!$C$34,H529=MappingTables!$C$35)),1,VLOOKUP(CONCATENATE($D529,$G529),CSRFinput!$B:$E,4,0)))</f>
        <v>0.054776304963434752</v>
      </c>
      <c r="W529" s="85">
        <f>IF(B529="",0,+$T529*$V529)</f>
        <v>65.274051717484528</v>
      </c>
      <c r="X529" s="85">
        <f>IF(B529="",0,IF(OR(H529=MappingTables!$C$34,H529=MappingTables!$C$35),W529,0))</f>
        <v>0</v>
      </c>
    </row>
    <row r="530" spans="2:24" s="0" customFormat="0" ht="15">
      <c r="B530" s="69">
        <v>23422500</v>
      </c>
      <c r="C530" s="70" t="s">
        <v>449</v>
      </c>
      <c r="D530" s="70" t="s">
        <v>1</v>
      </c>
      <c r="E530" s="70" t="s">
        <v>1</v>
      </c>
      <c r="F530" s="70"/>
      <c r="G530" s="70" t="s">
        <v>61</v>
      </c>
      <c r="H530" s="70" t="s">
        <v>178</v>
      </c>
      <c r="I530" s="70" t="s">
        <v>181</v>
      </c>
      <c r="J530" s="71">
        <f>IF(OR(I530=0,I530=""),"unrated",VLOOKUP(I530,MappingTables!$B$19:$C$31,2,FALSE))</f>
        <v>3</v>
      </c>
      <c r="K530" s="72">
        <v>39122.348101333896</v>
      </c>
      <c r="L530" s="70">
        <v>13.939198432365246</v>
      </c>
      <c r="M530" s="71">
        <f>IF(L530&lt;1,1,L530)</f>
        <v>13.939198432365246</v>
      </c>
      <c r="N530" s="70" t="s">
        <v>141</v>
      </c>
      <c r="O530" s="71">
        <f>INDEX(DurClassMapping,MATCH(M530,MappingTables!$D$4:$D$8,-1),1)</f>
        <v>3</v>
      </c>
      <c r="P530" s="73">
        <f>IF(M530=$A$1,1,$M530-INDEX(MappingTables!$E$4:$E$8,MATCH(O530,MappingTables!$B$4:$B$8,0)))</f>
        <v>3.9391984323652448</v>
      </c>
      <c r="Q530" s="71">
        <f>IF(B530="",0,INDEX(ModelParameters!$D$6:$K$10,MATCH($O530,ModelParameters!$B$6:$B$10,0),MATCH($J530,ModelParameters!$D$5:$K$5,0)))</f>
        <v>0.01</v>
      </c>
      <c r="R530" s="71">
        <f>IF(B530="",0,INDEX(ModelParameters!$D$13:$K$17,MATCH($O530,ModelParameters!$B$13:$B$17,0),MATCH($J530,ModelParameters!$D$5:$K$5,0)))</f>
        <v>0.2</v>
      </c>
      <c r="S530" s="160">
        <f>IF(B530="",0,MIN(IF($N530="Other Bond TM",ModelParameters!$N$21,1)*(P530*Q530+R530),1))</f>
        <v>0.23939198432365248</v>
      </c>
      <c r="T530" s="85">
        <f>IF(B530="",0,$S530*$K530)</f>
        <v>9365.5765433789984</v>
      </c>
      <c r="U530" s="85">
        <f>IF(B530="",0,IF(OR(H530=MappingTables!$C$34,H530=MappingTables!$C$35),T530,0))</f>
        <v>0</v>
      </c>
      <c r="V530" s="85">
        <f>IF(ISNA(IF(AND(VLOOKUP(CONCATENATE($D530,$G530),CSRFinput!$B:$E,4,0)=0,OR(H530=MappingTables!$C$34,H530=MappingTables!$C$35)),1,VLOOKUP(CONCATENATE($D530,$G530),CSRFinput!$B:$E,4,0))),0,IF(AND(VLOOKUP(CONCATENATE($D530,$G530),CSRFinput!$B:$E,4,0)=0,OR(H530=MappingTables!$C$34,H530=MappingTables!$C$35)),1,VLOOKUP(CONCATENATE($D530,$G530),CSRFinput!$B:$E,4,0)))</f>
        <v>0.054776304963434752</v>
      </c>
      <c r="W530" s="85">
        <f>IF(B530="",0,+$T530*$V530)</f>
        <v>513.01167689851912</v>
      </c>
      <c r="X530" s="85">
        <f>IF(B530="",0,IF(OR(H530=MappingTables!$C$34,H530=MappingTables!$C$35),W530,0))</f>
        <v>0</v>
      </c>
    </row>
    <row r="531" spans="2:24" s="0" customFormat="0" ht="15">
      <c r="B531" s="69">
        <v>4187635</v>
      </c>
      <c r="C531" s="70" t="s">
        <v>808</v>
      </c>
      <c r="D531" s="70" t="s">
        <v>1</v>
      </c>
      <c r="E531" s="70" t="s">
        <v>1</v>
      </c>
      <c r="F531" s="70"/>
      <c r="G531" s="70" t="s">
        <v>61</v>
      </c>
      <c r="H531" s="70" t="s">
        <v>178</v>
      </c>
      <c r="I531" s="70" t="s">
        <v>179</v>
      </c>
      <c r="J531" s="71">
        <f>IF(OR(I531=0,I531=""),"unrated",VLOOKUP(I531,MappingTables!$B$19:$C$31,2,FALSE))</f>
        <v>4</v>
      </c>
      <c r="K531" s="72">
        <v>32101.496627584412</v>
      </c>
      <c r="L531" s="70">
        <v>6.431963477185716</v>
      </c>
      <c r="M531" s="71">
        <f>IF(L531&lt;1,1,L531)</f>
        <v>6.431963477185716</v>
      </c>
      <c r="N531" s="70" t="s">
        <v>141</v>
      </c>
      <c r="O531" s="71">
        <f>INDEX(DurClassMapping,MATCH(M531,MappingTables!$D$4:$D$8,-1),1)</f>
        <v>2</v>
      </c>
      <c r="P531" s="73">
        <f>IF(M531=$A$1,1,$M531-INDEX(MappingTables!$E$4:$E$8,MATCH(O531,MappingTables!$B$4:$B$8,0)))</f>
        <v>1.4319634771857164</v>
      </c>
      <c r="Q531" s="71">
        <f>IF(B531="",0,INDEX(ModelParameters!$D$6:$K$10,MATCH($O531,ModelParameters!$B$6:$B$10,0),MATCH($J531,ModelParameters!$D$5:$K$5,0)))</f>
        <v>0.025</v>
      </c>
      <c r="R531" s="71">
        <f>IF(B531="",0,INDEX(ModelParameters!$D$13:$K$17,MATCH($O531,ModelParameters!$B$13:$B$17,0),MATCH($J531,ModelParameters!$D$5:$K$5,0)))</f>
        <v>0.225</v>
      </c>
      <c r="S531" s="160">
        <f>IF(B531="",0,MIN(IF($N531="Other Bond TM",ModelParameters!$N$21,1)*(P531*Q531+R531),1))</f>
        <v>0.26079908692964292</v>
      </c>
      <c r="T531" s="85">
        <f>IF(B531="",0,$S531*$K531)</f>
        <v>8372.0410095490256</v>
      </c>
      <c r="U531" s="85">
        <f>IF(B531="",0,IF(OR(H531=MappingTables!$C$34,H531=MappingTables!$C$35),T531,0))</f>
        <v>0</v>
      </c>
      <c r="V531" s="85">
        <f>IF(ISNA(IF(AND(VLOOKUP(CONCATENATE($D531,$G531),CSRFinput!$B:$E,4,0)=0,OR(H531=MappingTables!$C$34,H531=MappingTables!$C$35)),1,VLOOKUP(CONCATENATE($D531,$G531),CSRFinput!$B:$E,4,0))),0,IF(AND(VLOOKUP(CONCATENATE($D531,$G531),CSRFinput!$B:$E,4,0)=0,OR(H531=MappingTables!$C$34,H531=MappingTables!$C$35)),1,VLOOKUP(CONCATENATE($D531,$G531),CSRFinput!$B:$E,4,0)))</f>
        <v>0.054776304963434752</v>
      </c>
      <c r="W531" s="85">
        <f>IF(B531="",0,+$T531*$V531)</f>
        <v>458.5894715054396</v>
      </c>
      <c r="X531" s="85">
        <f>IF(B531="",0,IF(OR(H531=MappingTables!$C$34,H531=MappingTables!$C$35),W531,0))</f>
        <v>0</v>
      </c>
    </row>
    <row r="532" spans="2:24" s="0" customFormat="0" ht="15">
      <c r="B532" s="69" t="s">
        <v>809</v>
      </c>
      <c r="C532" s="70" t="s">
        <v>810</v>
      </c>
      <c r="D532" s="70" t="s">
        <v>1</v>
      </c>
      <c r="E532" s="70" t="s">
        <v>1</v>
      </c>
      <c r="F532" s="70"/>
      <c r="G532" s="70" t="s">
        <v>61</v>
      </c>
      <c r="H532" s="70" t="s">
        <v>178</v>
      </c>
      <c r="I532" s="70" t="s">
        <v>198</v>
      </c>
      <c r="J532" s="71" t="str">
        <f>IF(OR(I532=0,I532=""),"unrated",VLOOKUP(I532,MappingTables!$B$19:$C$31,2,FALSE))</f>
        <v>unrated</v>
      </c>
      <c r="K532" s="72">
        <v>54.10758282434424</v>
      </c>
      <c r="L532" s="70">
        <v>5.2381738885543424</v>
      </c>
      <c r="M532" s="71">
        <f>IF(L532&lt;1,1,L532)</f>
        <v>5.2381738885543424</v>
      </c>
      <c r="N532" s="70" t="s">
        <v>141</v>
      </c>
      <c r="O532" s="71">
        <f>INDEX(DurClassMapping,MATCH(M532,MappingTables!$D$4:$D$8,-1),1)</f>
        <v>2</v>
      </c>
      <c r="P532" s="73">
        <f>IF(M532=$A$1,1,$M532-INDEX(MappingTables!$E$4:$E$8,MATCH(O532,MappingTables!$B$4:$B$8,0)))</f>
        <v>0.23817388855434272</v>
      </c>
      <c r="Q532" s="71">
        <f>IF(B532="",0,INDEX(ModelParameters!$D$6:$K$10,MATCH($O532,ModelParameters!$B$6:$B$10,0),MATCH($J532,ModelParameters!$D$5:$K$5,0)))</f>
        <v>0.017000000000000002</v>
      </c>
      <c r="R532" s="71">
        <f>IF(B532="",0,INDEX(ModelParameters!$D$13:$K$17,MATCH($O532,ModelParameters!$B$13:$B$17,0),MATCH($J532,ModelParameters!$D$5:$K$5,0)))</f>
        <v>0.15</v>
      </c>
      <c r="S532" s="160">
        <f>IF(B532="",0,MIN(IF($N532="Other Bond TM",ModelParameters!$N$21,1)*(P532*Q532+R532),1))</f>
        <v>0.15404895610542382</v>
      </c>
      <c r="T532" s="85">
        <f>IF(B532="",0,$S532*$K532)</f>
        <v>8.3352166514779904</v>
      </c>
      <c r="U532" s="85">
        <f>IF(B532="",0,IF(OR(H532=MappingTables!$C$34,H532=MappingTables!$C$35),T532,0))</f>
        <v>0</v>
      </c>
      <c r="V532" s="85">
        <f>IF(ISNA(IF(AND(VLOOKUP(CONCATENATE($D532,$G532),CSRFinput!$B:$E,4,0)=0,OR(H532=MappingTables!$C$34,H532=MappingTables!$C$35)),1,VLOOKUP(CONCATENATE($D532,$G532),CSRFinput!$B:$E,4,0))),0,IF(AND(VLOOKUP(CONCATENATE($D532,$G532),CSRFinput!$B:$E,4,0)=0,OR(H532=MappingTables!$C$34,H532=MappingTables!$C$35)),1,VLOOKUP(CONCATENATE($D532,$G532),CSRFinput!$B:$E,4,0)))</f>
        <v>0.054776304963434752</v>
      </c>
      <c r="W532" s="85">
        <f>IF(B532="",0,+$T532*$V532)</f>
        <v>0.45657236923765784</v>
      </c>
      <c r="X532" s="85">
        <f>IF(B532="",0,IF(OR(H532=MappingTables!$C$34,H532=MappingTables!$C$35),W532,0))</f>
        <v>0</v>
      </c>
    </row>
    <row r="533" spans="2:24" s="0" customFormat="0" ht="15">
      <c r="B533" s="69">
        <v>24449320</v>
      </c>
      <c r="C533" s="70" t="s">
        <v>811</v>
      </c>
      <c r="D533" s="70" t="s">
        <v>1</v>
      </c>
      <c r="E533" s="70" t="s">
        <v>1</v>
      </c>
      <c r="F533" s="70"/>
      <c r="G533" s="70" t="s">
        <v>61</v>
      </c>
      <c r="H533" s="70" t="s">
        <v>178</v>
      </c>
      <c r="I533" s="70" t="s">
        <v>188</v>
      </c>
      <c r="J533" s="71">
        <f>IF(OR(I533=0,I533=""),"unrated",VLOOKUP(I533,MappingTables!$B$19:$C$31,2,FALSE))</f>
        <v>2</v>
      </c>
      <c r="K533" s="72">
        <v>537.52467612778104</v>
      </c>
      <c r="L533" s="70">
        <v>2.7270167941515276</v>
      </c>
      <c r="M533" s="71">
        <f>IF(L533&lt;1,1,L533)</f>
        <v>2.7270167941515276</v>
      </c>
      <c r="N533" s="70" t="s">
        <v>141</v>
      </c>
      <c r="O533" s="71">
        <f>INDEX(DurClassMapping,MATCH(M533,MappingTables!$D$4:$D$8,-1),1)</f>
        <v>1</v>
      </c>
      <c r="P533" s="73">
        <f>IF(M533=$A$1,1,$M533-INDEX(MappingTables!$E$4:$E$8,MATCH(O533,MappingTables!$B$4:$B$8,0)))</f>
        <v>2.7270167941515276</v>
      </c>
      <c r="Q533" s="71">
        <f>IF(B533="",0,INDEX(ModelParameters!$D$6:$K$10,MATCH($O533,ModelParameters!$B$6:$B$10,0),MATCH($J533,ModelParameters!$D$5:$K$5,0)))</f>
        <v>0.013999999999999998</v>
      </c>
      <c r="R533" s="71">
        <f>IF(B533="",0,INDEX(ModelParameters!$D$13:$K$17,MATCH($O533,ModelParameters!$B$13:$B$17,0),MATCH($J533,ModelParameters!$D$5:$K$5,0)))</f>
        <v>0</v>
      </c>
      <c r="S533" s="160">
        <f>IF(B533="",0,MIN(IF($N533="Other Bond TM",ModelParameters!$N$21,1)*(P533*Q533+R533),1))</f>
        <v>0.038178235118121376</v>
      </c>
      <c r="T533" s="85">
        <f>IF(B533="",0,$S533*$K533)</f>
        <v>20.521743466998468</v>
      </c>
      <c r="U533" s="85">
        <f>IF(B533="",0,IF(OR(H533=MappingTables!$C$34,H533=MappingTables!$C$35),T533,0))</f>
        <v>0</v>
      </c>
      <c r="V533" s="85">
        <f>IF(ISNA(IF(AND(VLOOKUP(CONCATENATE($D533,$G533),CSRFinput!$B:$E,4,0)=0,OR(H533=MappingTables!$C$34,H533=MappingTables!$C$35)),1,VLOOKUP(CONCATENATE($D533,$G533),CSRFinput!$B:$E,4,0))),0,IF(AND(VLOOKUP(CONCATENATE($D533,$G533),CSRFinput!$B:$E,4,0)=0,OR(H533=MappingTables!$C$34,H533=MappingTables!$C$35)),1,VLOOKUP(CONCATENATE($D533,$G533),CSRFinput!$B:$E,4,0)))</f>
        <v>0.054776304963434752</v>
      </c>
      <c r="W533" s="85">
        <f>IF(B533="",0,+$T533*$V533)</f>
        <v>1.124105278529683</v>
      </c>
      <c r="X533" s="85">
        <f>IF(B533="",0,IF(OR(H533=MappingTables!$C$34,H533=MappingTables!$C$35),W533,0))</f>
        <v>0</v>
      </c>
    </row>
    <row r="534" spans="2:24" s="0" customFormat="0" ht="15">
      <c r="B534" s="69">
        <v>12040183</v>
      </c>
      <c r="C534" s="70" t="s">
        <v>812</v>
      </c>
      <c r="D534" s="70" t="s">
        <v>1</v>
      </c>
      <c r="E534" s="70" t="s">
        <v>1</v>
      </c>
      <c r="F534" s="70"/>
      <c r="G534" s="70" t="s">
        <v>61</v>
      </c>
      <c r="H534" s="70" t="s">
        <v>178</v>
      </c>
      <c r="I534" s="70" t="s">
        <v>181</v>
      </c>
      <c r="J534" s="71">
        <f>IF(OR(I534=0,I534=""),"unrated",VLOOKUP(I534,MappingTables!$B$19:$C$31,2,FALSE))</f>
        <v>3</v>
      </c>
      <c r="K534" s="72">
        <v>545.2768824826784</v>
      </c>
      <c r="L534" s="70">
        <v>0.43013747798417952</v>
      </c>
      <c r="M534" s="71">
        <f>IF(L534&lt;1,1,L534)</f>
        <v>1</v>
      </c>
      <c r="N534" s="70" t="s">
        <v>141</v>
      </c>
      <c r="O534" s="71">
        <f>INDEX(DurClassMapping,MATCH(M534,MappingTables!$D$4:$D$8,-1),1)</f>
        <v>1</v>
      </c>
      <c r="P534" s="73">
        <f>IF(M534=$A$1,1,$M534-INDEX(MappingTables!$E$4:$E$8,MATCH(O534,MappingTables!$B$4:$B$8,0)))</f>
        <v>1</v>
      </c>
      <c r="Q534" s="71">
        <f>IF(B534="",0,INDEX(ModelParameters!$D$6:$K$10,MATCH($O534,ModelParameters!$B$6:$B$10,0),MATCH($J534,ModelParameters!$D$5:$K$5,0)))</f>
        <v>0.025</v>
      </c>
      <c r="R534" s="71">
        <f>IF(B534="",0,INDEX(ModelParameters!$D$13:$K$17,MATCH($O534,ModelParameters!$B$13:$B$17,0),MATCH($J534,ModelParameters!$D$5:$K$5,0)))</f>
        <v>0</v>
      </c>
      <c r="S534" s="160">
        <f>IF(B534="",0,MIN(IF($N534="Other Bond TM",ModelParameters!$N$21,1)*(P534*Q534+R534),1))</f>
        <v>0.025</v>
      </c>
      <c r="T534" s="85">
        <f>IF(B534="",0,$S534*$K534)</f>
        <v>13.63192206206696</v>
      </c>
      <c r="U534" s="85">
        <f>IF(B534="",0,IF(OR(H534=MappingTables!$C$34,H534=MappingTables!$C$35),T534,0))</f>
        <v>0</v>
      </c>
      <c r="V534" s="85">
        <f>IF(ISNA(IF(AND(VLOOKUP(CONCATENATE($D534,$G534),CSRFinput!$B:$E,4,0)=0,OR(H534=MappingTables!$C$34,H534=MappingTables!$C$35)),1,VLOOKUP(CONCATENATE($D534,$G534),CSRFinput!$B:$E,4,0))),0,IF(AND(VLOOKUP(CONCATENATE($D534,$G534),CSRFinput!$B:$E,4,0)=0,OR(H534=MappingTables!$C$34,H534=MappingTables!$C$35)),1,VLOOKUP(CONCATENATE($D534,$G534),CSRFinput!$B:$E,4,0)))</f>
        <v>0.054776304963434752</v>
      </c>
      <c r="W534" s="85">
        <f>IF(B534="",0,+$T534*$V534)</f>
        <v>0.74670632010955424</v>
      </c>
      <c r="X534" s="85">
        <f>IF(B534="",0,IF(OR(H534=MappingTables!$C$34,H534=MappingTables!$C$35),W534,0))</f>
        <v>0</v>
      </c>
    </row>
    <row r="535" spans="2:24" s="0" customFormat="0" ht="15">
      <c r="B535" s="69">
        <v>23513473</v>
      </c>
      <c r="C535" s="70" t="s">
        <v>813</v>
      </c>
      <c r="D535" s="70" t="s">
        <v>1</v>
      </c>
      <c r="E535" s="70" t="s">
        <v>1</v>
      </c>
      <c r="F535" s="70"/>
      <c r="G535" s="70" t="s">
        <v>61</v>
      </c>
      <c r="H535" s="70" t="s">
        <v>178</v>
      </c>
      <c r="I535" s="70" t="s">
        <v>181</v>
      </c>
      <c r="J535" s="71">
        <f>IF(OR(I535=0,I535=""),"unrated",VLOOKUP(I535,MappingTables!$B$19:$C$31,2,FALSE))</f>
        <v>3</v>
      </c>
      <c r="K535" s="72">
        <v>1212.4539121190826</v>
      </c>
      <c r="L535" s="70">
        <v>1.4107768438675672</v>
      </c>
      <c r="M535" s="71">
        <f>IF(L535&lt;1,1,L535)</f>
        <v>1.4107768438675672</v>
      </c>
      <c r="N535" s="70" t="s">
        <v>141</v>
      </c>
      <c r="O535" s="71">
        <f>INDEX(DurClassMapping,MATCH(M535,MappingTables!$D$4:$D$8,-1),1)</f>
        <v>1</v>
      </c>
      <c r="P535" s="73">
        <f>IF(M535=$A$1,1,$M535-INDEX(MappingTables!$E$4:$E$8,MATCH(O535,MappingTables!$B$4:$B$8,0)))</f>
        <v>1.4107768438675672</v>
      </c>
      <c r="Q535" s="71">
        <f>IF(B535="",0,INDEX(ModelParameters!$D$6:$K$10,MATCH($O535,ModelParameters!$B$6:$B$10,0),MATCH($J535,ModelParameters!$D$5:$K$5,0)))</f>
        <v>0.025</v>
      </c>
      <c r="R535" s="71">
        <f>IF(B535="",0,INDEX(ModelParameters!$D$13:$K$17,MATCH($O535,ModelParameters!$B$13:$B$17,0),MATCH($J535,ModelParameters!$D$5:$K$5,0)))</f>
        <v>0</v>
      </c>
      <c r="S535" s="160">
        <f>IF(B535="",0,MIN(IF($N535="Other Bond TM",ModelParameters!$N$21,1)*(P535*Q535+R535),1))</f>
        <v>0.03526942109668918</v>
      </c>
      <c r="T535" s="85">
        <f>IF(B535="",0,$S535*$K535)</f>
        <v>42.762547586856104</v>
      </c>
      <c r="U535" s="85">
        <f>IF(B535="",0,IF(OR(H535=MappingTables!$C$34,H535=MappingTables!$C$35),T535,0))</f>
        <v>0</v>
      </c>
      <c r="V535" s="85">
        <f>IF(ISNA(IF(AND(VLOOKUP(CONCATENATE($D535,$G535),CSRFinput!$B:$E,4,0)=0,OR(H535=MappingTables!$C$34,H535=MappingTables!$C$35)),1,VLOOKUP(CONCATENATE($D535,$G535),CSRFinput!$B:$E,4,0))),0,IF(AND(VLOOKUP(CONCATENATE($D535,$G535),CSRFinput!$B:$E,4,0)=0,OR(H535=MappingTables!$C$34,H535=MappingTables!$C$35)),1,VLOOKUP(CONCATENATE($D535,$G535),CSRFinput!$B:$E,4,0)))</f>
        <v>0.054776304963434752</v>
      </c>
      <c r="W535" s="85">
        <f>IF(B535="",0,+$T535*$V535)</f>
        <v>2.3423743476310208</v>
      </c>
      <c r="X535" s="85">
        <f>IF(B535="",0,IF(OR(H535=MappingTables!$C$34,H535=MappingTables!$C$35),W535,0))</f>
        <v>0</v>
      </c>
    </row>
    <row r="536" spans="2:24" s="0" customFormat="0" ht="15">
      <c r="B536" s="69">
        <v>17328098</v>
      </c>
      <c r="C536" s="70" t="s">
        <v>814</v>
      </c>
      <c r="D536" s="70" t="s">
        <v>1</v>
      </c>
      <c r="E536" s="70" t="s">
        <v>1</v>
      </c>
      <c r="F536" s="70"/>
      <c r="G536" s="70" t="s">
        <v>61</v>
      </c>
      <c r="H536" s="70" t="s">
        <v>178</v>
      </c>
      <c r="I536" s="70" t="s">
        <v>184</v>
      </c>
      <c r="J536" s="71">
        <f>IF(OR(I536=0,I536=""),"unrated",VLOOKUP(I536,MappingTables!$B$19:$C$31,2,FALSE))</f>
        <v>5</v>
      </c>
      <c r="K536" s="72">
        <v>22473.15211186832</v>
      </c>
      <c r="L536" s="70">
        <v>7.1311565246048608</v>
      </c>
      <c r="M536" s="71">
        <f>IF(L536&lt;1,1,L536)</f>
        <v>7.1311565246048608</v>
      </c>
      <c r="N536" s="70" t="s">
        <v>141</v>
      </c>
      <c r="O536" s="71">
        <f>INDEX(DurClassMapping,MATCH(M536,MappingTables!$D$4:$D$8,-1),1)</f>
        <v>2</v>
      </c>
      <c r="P536" s="73">
        <f>IF(M536=$A$1,1,$M536-INDEX(MappingTables!$E$4:$E$8,MATCH(O536,MappingTables!$B$4:$B$8,0)))</f>
        <v>2.1311565246048608</v>
      </c>
      <c r="Q536" s="71">
        <f>IF(B536="",0,INDEX(ModelParameters!$D$6:$K$10,MATCH($O536,ModelParameters!$B$6:$B$10,0),MATCH($J536,ModelParameters!$D$5:$K$5,0)))</f>
        <v>0.042</v>
      </c>
      <c r="R536" s="71">
        <f>IF(B536="",0,INDEX(ModelParameters!$D$13:$K$17,MATCH($O536,ModelParameters!$B$13:$B$17,0),MATCH($J536,ModelParameters!$D$5:$K$5,0)))</f>
        <v>0.375</v>
      </c>
      <c r="S536" s="160">
        <f>IF(B536="",0,MIN(IF($N536="Other Bond TM",ModelParameters!$N$21,1)*(P536*Q536+R536),1))</f>
        <v>0.46450857403340416</v>
      </c>
      <c r="T536" s="85">
        <f>IF(B536="",0,$S536*$K536)</f>
        <v>10438.971841519738</v>
      </c>
      <c r="U536" s="85">
        <f>IF(B536="",0,IF(OR(H536=MappingTables!$C$34,H536=MappingTables!$C$35),T536,0))</f>
        <v>0</v>
      </c>
      <c r="V536" s="85">
        <f>IF(ISNA(IF(AND(VLOOKUP(CONCATENATE($D536,$G536),CSRFinput!$B:$E,4,0)=0,OR(H536=MappingTables!$C$34,H536=MappingTables!$C$35)),1,VLOOKUP(CONCATENATE($D536,$G536),CSRFinput!$B:$E,4,0))),0,IF(AND(VLOOKUP(CONCATENATE($D536,$G536),CSRFinput!$B:$E,4,0)=0,OR(H536=MappingTables!$C$34,H536=MappingTables!$C$35)),1,VLOOKUP(CONCATENATE($D536,$G536),CSRFinput!$B:$E,4,0)))</f>
        <v>0.054776304963434752</v>
      </c>
      <c r="W536" s="85">
        <f>IF(B536="",0,+$T536*$V536)</f>
        <v>571.8083050957932</v>
      </c>
      <c r="X536" s="85">
        <f>IF(B536="",0,IF(OR(H536=MappingTables!$C$34,H536=MappingTables!$C$35),W536,0))</f>
        <v>0</v>
      </c>
    </row>
    <row r="537" spans="2:24" s="0" customFormat="0" ht="15">
      <c r="B537" s="69">
        <v>22318845</v>
      </c>
      <c r="C537" s="70" t="s">
        <v>815</v>
      </c>
      <c r="D537" s="70" t="s">
        <v>1</v>
      </c>
      <c r="E537" s="70" t="s">
        <v>1</v>
      </c>
      <c r="F537" s="70"/>
      <c r="G537" s="70" t="s">
        <v>61</v>
      </c>
      <c r="H537" s="70" t="s">
        <v>178</v>
      </c>
      <c r="I537" s="70" t="s">
        <v>181</v>
      </c>
      <c r="J537" s="71">
        <f>IF(OR(I537=0,I537=""),"unrated",VLOOKUP(I537,MappingTables!$B$19:$C$31,2,FALSE))</f>
        <v>3</v>
      </c>
      <c r="K537" s="72">
        <v>497.34316058385624</v>
      </c>
      <c r="L537" s="70">
        <v>0.13698787260473632</v>
      </c>
      <c r="M537" s="71">
        <f>IF(L537&lt;1,1,L537)</f>
        <v>1</v>
      </c>
      <c r="N537" s="70" t="s">
        <v>141</v>
      </c>
      <c r="O537" s="71">
        <f>INDEX(DurClassMapping,MATCH(M537,MappingTables!$D$4:$D$8,-1),1)</f>
        <v>1</v>
      </c>
      <c r="P537" s="73">
        <f>IF(M537=$A$1,1,$M537-INDEX(MappingTables!$E$4:$E$8,MATCH(O537,MappingTables!$B$4:$B$8,0)))</f>
        <v>1</v>
      </c>
      <c r="Q537" s="71">
        <f>IF(B537="",0,INDEX(ModelParameters!$D$6:$K$10,MATCH($O537,ModelParameters!$B$6:$B$10,0),MATCH($J537,ModelParameters!$D$5:$K$5,0)))</f>
        <v>0.025</v>
      </c>
      <c r="R537" s="71">
        <f>IF(B537="",0,INDEX(ModelParameters!$D$13:$K$17,MATCH($O537,ModelParameters!$B$13:$B$17,0),MATCH($J537,ModelParameters!$D$5:$K$5,0)))</f>
        <v>0</v>
      </c>
      <c r="S537" s="160">
        <f>IF(B537="",0,MIN(IF($N537="Other Bond TM",ModelParameters!$N$21,1)*(P537*Q537+R537),1))</f>
        <v>0.025</v>
      </c>
      <c r="T537" s="85">
        <f>IF(B537="",0,$S537*$K537)</f>
        <v>12.433579014596408</v>
      </c>
      <c r="U537" s="85">
        <f>IF(B537="",0,IF(OR(H537=MappingTables!$C$34,H537=MappingTables!$C$35),T537,0))</f>
        <v>0</v>
      </c>
      <c r="V537" s="85">
        <f>IF(ISNA(IF(AND(VLOOKUP(CONCATENATE($D537,$G537),CSRFinput!$B:$E,4,0)=0,OR(H537=MappingTables!$C$34,H537=MappingTables!$C$35)),1,VLOOKUP(CONCATENATE($D537,$G537),CSRFinput!$B:$E,4,0))),0,IF(AND(VLOOKUP(CONCATENATE($D537,$G537),CSRFinput!$B:$E,4,0)=0,OR(H537=MappingTables!$C$34,H537=MappingTables!$C$35)),1,VLOOKUP(CONCATENATE($D537,$G537),CSRFinput!$B:$E,4,0)))</f>
        <v>0.054776304963434752</v>
      </c>
      <c r="W537" s="85">
        <f>IF(B537="",0,+$T537*$V537)</f>
        <v>0.68106551589049536</v>
      </c>
      <c r="X537" s="85">
        <f>IF(B537="",0,IF(OR(H537=MappingTables!$C$34,H537=MappingTables!$C$35),W537,0))</f>
        <v>0</v>
      </c>
    </row>
    <row r="538" spans="2:24" s="0" customFormat="0" ht="15">
      <c r="B538" s="69">
        <v>11009289</v>
      </c>
      <c r="C538" s="70" t="s">
        <v>816</v>
      </c>
      <c r="D538" s="70" t="s">
        <v>1</v>
      </c>
      <c r="E538" s="70" t="s">
        <v>1</v>
      </c>
      <c r="F538" s="70"/>
      <c r="G538" s="70" t="s">
        <v>61</v>
      </c>
      <c r="H538" s="70" t="s">
        <v>178</v>
      </c>
      <c r="I538" s="70" t="s">
        <v>184</v>
      </c>
      <c r="J538" s="71">
        <f>IF(OR(I538=0,I538=""),"unrated",VLOOKUP(I538,MappingTables!$B$19:$C$31,2,FALSE))</f>
        <v>5</v>
      </c>
      <c r="K538" s="72">
        <v>4115.4077254645296</v>
      </c>
      <c r="L538" s="70">
        <v>2.4986955188895716</v>
      </c>
      <c r="M538" s="71">
        <f>IF(L538&lt;1,1,L538)</f>
        <v>2.4986955188895716</v>
      </c>
      <c r="N538" s="70" t="s">
        <v>141</v>
      </c>
      <c r="O538" s="71">
        <f>INDEX(DurClassMapping,MATCH(M538,MappingTables!$D$4:$D$8,-1),1)</f>
        <v>1</v>
      </c>
      <c r="P538" s="73">
        <f>IF(M538=$A$1,1,$M538-INDEX(MappingTables!$E$4:$E$8,MATCH(O538,MappingTables!$B$4:$B$8,0)))</f>
        <v>2.4986955188895716</v>
      </c>
      <c r="Q538" s="71">
        <f>IF(B538="",0,INDEX(ModelParameters!$D$6:$K$10,MATCH($O538,ModelParameters!$B$6:$B$10,0),MATCH($J538,ModelParameters!$D$5:$K$5,0)))</f>
        <v>0.075</v>
      </c>
      <c r="R538" s="71">
        <f>IF(B538="",0,INDEX(ModelParameters!$D$13:$K$17,MATCH($O538,ModelParameters!$B$13:$B$17,0),MATCH($J538,ModelParameters!$D$5:$K$5,0)))</f>
        <v>0</v>
      </c>
      <c r="S538" s="160">
        <f>IF(B538="",0,MIN(IF($N538="Other Bond TM",ModelParameters!$N$21,1)*(P538*Q538+R538),1))</f>
        <v>0.18740216391671784</v>
      </c>
      <c r="T538" s="85">
        <f>IF(B538="",0,$S538*$K538)</f>
        <v>771.23631315163088</v>
      </c>
      <c r="U538" s="85">
        <f>IF(B538="",0,IF(OR(H538=MappingTables!$C$34,H538=MappingTables!$C$35),T538,0))</f>
        <v>0</v>
      </c>
      <c r="V538" s="85">
        <f>IF(ISNA(IF(AND(VLOOKUP(CONCATENATE($D538,$G538),CSRFinput!$B:$E,4,0)=0,OR(H538=MappingTables!$C$34,H538=MappingTables!$C$35)),1,VLOOKUP(CONCATENATE($D538,$G538),CSRFinput!$B:$E,4,0))),0,IF(AND(VLOOKUP(CONCATENATE($D538,$G538),CSRFinput!$B:$E,4,0)=0,OR(H538=MappingTables!$C$34,H538=MappingTables!$C$35)),1,VLOOKUP(CONCATENATE($D538,$G538),CSRFinput!$B:$E,4,0)))</f>
        <v>0.054776304963434752</v>
      </c>
      <c r="W538" s="85">
        <f>IF(B538="",0,+$T538*$V538)</f>
        <v>42.2454754880688</v>
      </c>
      <c r="X538" s="85">
        <f>IF(B538="",0,IF(OR(H538=MappingTables!$C$34,H538=MappingTables!$C$35),W538,0))</f>
        <v>0</v>
      </c>
    </row>
    <row r="539" spans="2:24" s="0" customFormat="0" ht="15">
      <c r="B539" s="69">
        <v>23858823</v>
      </c>
      <c r="C539" s="70" t="s">
        <v>817</v>
      </c>
      <c r="D539" s="70" t="s">
        <v>1</v>
      </c>
      <c r="E539" s="70" t="s">
        <v>1</v>
      </c>
      <c r="F539" s="70"/>
      <c r="G539" s="70" t="s">
        <v>61</v>
      </c>
      <c r="H539" s="70" t="s">
        <v>178</v>
      </c>
      <c r="I539" s="70" t="s">
        <v>179</v>
      </c>
      <c r="J539" s="71">
        <f>IF(OR(I539=0,I539=""),"unrated",VLOOKUP(I539,MappingTables!$B$19:$C$31,2,FALSE))</f>
        <v>4</v>
      </c>
      <c r="K539" s="72">
        <v>2879.472407147506</v>
      </c>
      <c r="L539" s="70">
        <v>3.6840569900745504</v>
      </c>
      <c r="M539" s="71">
        <f>IF(L539&lt;1,1,L539)</f>
        <v>3.6840569900745504</v>
      </c>
      <c r="N539" s="70" t="s">
        <v>141</v>
      </c>
      <c r="O539" s="71">
        <f>INDEX(DurClassMapping,MATCH(M539,MappingTables!$D$4:$D$8,-1),1)</f>
        <v>1</v>
      </c>
      <c r="P539" s="73">
        <f>IF(M539=$A$1,1,$M539-INDEX(MappingTables!$E$4:$E$8,MATCH(O539,MappingTables!$B$4:$B$8,0)))</f>
        <v>3.6840569900745504</v>
      </c>
      <c r="Q539" s="71">
        <f>IF(B539="",0,INDEX(ModelParameters!$D$6:$K$10,MATCH($O539,ModelParameters!$B$6:$B$10,0),MATCH($J539,ModelParameters!$D$5:$K$5,0)))</f>
        <v>0.045</v>
      </c>
      <c r="R539" s="71">
        <f>IF(B539="",0,INDEX(ModelParameters!$D$13:$K$17,MATCH($O539,ModelParameters!$B$13:$B$17,0),MATCH($J539,ModelParameters!$D$5:$K$5,0)))</f>
        <v>0</v>
      </c>
      <c r="S539" s="160">
        <f>IF(B539="",0,MIN(IF($N539="Other Bond TM",ModelParameters!$N$21,1)*(P539*Q539+R539),1))</f>
        <v>0.16578256455335478</v>
      </c>
      <c r="T539" s="85">
        <f>IF(B539="",0,$S539*$K539)</f>
        <v>477.36632021753528</v>
      </c>
      <c r="U539" s="85">
        <f>IF(B539="",0,IF(OR(H539=MappingTables!$C$34,H539=MappingTables!$C$35),T539,0))</f>
        <v>0</v>
      </c>
      <c r="V539" s="85">
        <f>IF(ISNA(IF(AND(VLOOKUP(CONCATENATE($D539,$G539),CSRFinput!$B:$E,4,0)=0,OR(H539=MappingTables!$C$34,H539=MappingTables!$C$35)),1,VLOOKUP(CONCATENATE($D539,$G539),CSRFinput!$B:$E,4,0))),0,IF(AND(VLOOKUP(CONCATENATE($D539,$G539),CSRFinput!$B:$E,4,0)=0,OR(H539=MappingTables!$C$34,H539=MappingTables!$C$35)),1,VLOOKUP(CONCATENATE($D539,$G539),CSRFinput!$B:$E,4,0)))</f>
        <v>0.054776304963434752</v>
      </c>
      <c r="W539" s="85">
        <f>IF(B539="",0,+$T539*$V539)</f>
        <v>26.14836313550836</v>
      </c>
      <c r="X539" s="85">
        <f>IF(B539="",0,IF(OR(H539=MappingTables!$C$34,H539=MappingTables!$C$35),W539,0))</f>
        <v>0</v>
      </c>
    </row>
    <row r="540" spans="2:24" s="0" customFormat="0" ht="15">
      <c r="B540" s="69">
        <v>11396651</v>
      </c>
      <c r="C540" s="70" t="s">
        <v>818</v>
      </c>
      <c r="D540" s="70" t="s">
        <v>1</v>
      </c>
      <c r="E540" s="70" t="s">
        <v>1</v>
      </c>
      <c r="F540" s="70"/>
      <c r="G540" s="70" t="s">
        <v>61</v>
      </c>
      <c r="H540" s="70" t="s">
        <v>178</v>
      </c>
      <c r="I540" s="70" t="s">
        <v>181</v>
      </c>
      <c r="J540" s="71">
        <f>IF(OR(I540=0,I540=""),"unrated",VLOOKUP(I540,MappingTables!$B$19:$C$31,2,FALSE))</f>
        <v>3</v>
      </c>
      <c r="K540" s="72">
        <v>11.045790135073724</v>
      </c>
      <c r="L540" s="70">
        <v>0.076708732047923312</v>
      </c>
      <c r="M540" s="71">
        <f>IF(L540&lt;1,1,L540)</f>
        <v>1</v>
      </c>
      <c r="N540" s="70" t="s">
        <v>141</v>
      </c>
      <c r="O540" s="71">
        <f>INDEX(DurClassMapping,MATCH(M540,MappingTables!$D$4:$D$8,-1),1)</f>
        <v>1</v>
      </c>
      <c r="P540" s="73">
        <f>IF(M540=$A$1,1,$M540-INDEX(MappingTables!$E$4:$E$8,MATCH(O540,MappingTables!$B$4:$B$8,0)))</f>
        <v>1</v>
      </c>
      <c r="Q540" s="71">
        <f>IF(B540="",0,INDEX(ModelParameters!$D$6:$K$10,MATCH($O540,ModelParameters!$B$6:$B$10,0),MATCH($J540,ModelParameters!$D$5:$K$5,0)))</f>
        <v>0.025</v>
      </c>
      <c r="R540" s="71">
        <f>IF(B540="",0,INDEX(ModelParameters!$D$13:$K$17,MATCH($O540,ModelParameters!$B$13:$B$17,0),MATCH($J540,ModelParameters!$D$5:$K$5,0)))</f>
        <v>0</v>
      </c>
      <c r="S540" s="160">
        <f>IF(B540="",0,MIN(IF($N540="Other Bond TM",ModelParameters!$N$21,1)*(P540*Q540+R540),1))</f>
        <v>0.025</v>
      </c>
      <c r="T540" s="85">
        <f>IF(B540="",0,$S540*$K540)</f>
        <v>0.27614475337684312</v>
      </c>
      <c r="U540" s="85">
        <f>IF(B540="",0,IF(OR(H540=MappingTables!$C$34,H540=MappingTables!$C$35),T540,0))</f>
        <v>0</v>
      </c>
      <c r="V540" s="85">
        <f>IF(ISNA(IF(AND(VLOOKUP(CONCATENATE($D540,$G540),CSRFinput!$B:$E,4,0)=0,OR(H540=MappingTables!$C$34,H540=MappingTables!$C$35)),1,VLOOKUP(CONCATENATE($D540,$G540),CSRFinput!$B:$E,4,0))),0,IF(AND(VLOOKUP(CONCATENATE($D540,$G540),CSRFinput!$B:$E,4,0)=0,OR(H540=MappingTables!$C$34,H540=MappingTables!$C$35)),1,VLOOKUP(CONCATENATE($D540,$G540),CSRFinput!$B:$E,4,0)))</f>
        <v>0.054776304963434752</v>
      </c>
      <c r="W540" s="85">
        <f>IF(B540="",0,+$T540*$V540)</f>
        <v>0.015126189225022438</v>
      </c>
      <c r="X540" s="85">
        <f>IF(B540="",0,IF(OR(H540=MappingTables!$C$34,H540=MappingTables!$C$35),W540,0))</f>
        <v>0</v>
      </c>
    </row>
    <row r="541" spans="2:24" s="0" customFormat="0" ht="15">
      <c r="B541" s="69">
        <v>15481640</v>
      </c>
      <c r="C541" s="70" t="s">
        <v>819</v>
      </c>
      <c r="D541" s="70" t="s">
        <v>1</v>
      </c>
      <c r="E541" s="70" t="s">
        <v>1</v>
      </c>
      <c r="F541" s="70"/>
      <c r="G541" s="70" t="s">
        <v>61</v>
      </c>
      <c r="H541" s="70" t="s">
        <v>178</v>
      </c>
      <c r="I541" s="70" t="s">
        <v>188</v>
      </c>
      <c r="J541" s="71">
        <f>IF(OR(I541=0,I541=""),"unrated",VLOOKUP(I541,MappingTables!$B$19:$C$31,2,FALSE))</f>
        <v>2</v>
      </c>
      <c r="K541" s="72">
        <v>168.09669455918484</v>
      </c>
      <c r="L541" s="70">
        <v>1.8822735281109204</v>
      </c>
      <c r="M541" s="71">
        <f>IF(L541&lt;1,1,L541)</f>
        <v>1.8822735281109204</v>
      </c>
      <c r="N541" s="70" t="s">
        <v>141</v>
      </c>
      <c r="O541" s="71">
        <f>INDEX(DurClassMapping,MATCH(M541,MappingTables!$D$4:$D$8,-1),1)</f>
        <v>1</v>
      </c>
      <c r="P541" s="73">
        <f>IF(M541=$A$1,1,$M541-INDEX(MappingTables!$E$4:$E$8,MATCH(O541,MappingTables!$B$4:$B$8,0)))</f>
        <v>1.8822735281109204</v>
      </c>
      <c r="Q541" s="71">
        <f>IF(B541="",0,INDEX(ModelParameters!$D$6:$K$10,MATCH($O541,ModelParameters!$B$6:$B$10,0),MATCH($J541,ModelParameters!$D$5:$K$5,0)))</f>
        <v>0.013999999999999998</v>
      </c>
      <c r="R541" s="71">
        <f>IF(B541="",0,INDEX(ModelParameters!$D$13:$K$17,MATCH($O541,ModelParameters!$B$13:$B$17,0),MATCH($J541,ModelParameters!$D$5:$K$5,0)))</f>
        <v>0</v>
      </c>
      <c r="S541" s="160">
        <f>IF(B541="",0,MIN(IF($N541="Other Bond TM",ModelParameters!$N$21,1)*(P541*Q541+R541),1))</f>
        <v>0.02635182939355288</v>
      </c>
      <c r="T541" s="85">
        <f>IF(B541="",0,$S541*$K541)</f>
        <v>4.429655416643808</v>
      </c>
      <c r="U541" s="85">
        <f>IF(B541="",0,IF(OR(H541=MappingTables!$C$34,H541=MappingTables!$C$35),T541,0))</f>
        <v>0</v>
      </c>
      <c r="V541" s="85">
        <f>IF(ISNA(IF(AND(VLOOKUP(CONCATENATE($D541,$G541),CSRFinput!$B:$E,4,0)=0,OR(H541=MappingTables!$C$34,H541=MappingTables!$C$35)),1,VLOOKUP(CONCATENATE($D541,$G541),CSRFinput!$B:$E,4,0))),0,IF(AND(VLOOKUP(CONCATENATE($D541,$G541),CSRFinput!$B:$E,4,0)=0,OR(H541=MappingTables!$C$34,H541=MappingTables!$C$35)),1,VLOOKUP(CONCATENATE($D541,$G541),CSRFinput!$B:$E,4,0)))</f>
        <v>0.054776304963434752</v>
      </c>
      <c r="W541" s="85">
        <f>IF(B541="",0,+$T541*$V541)</f>
        <v>0.24264015598501184</v>
      </c>
      <c r="X541" s="85">
        <f>IF(B541="",0,IF(OR(H541=MappingTables!$C$34,H541=MappingTables!$C$35),W541,0))</f>
        <v>0</v>
      </c>
    </row>
    <row r="542" spans="2:24" s="0" customFormat="0" ht="15">
      <c r="B542" s="69" t="s">
        <v>820</v>
      </c>
      <c r="C542" s="70" t="s">
        <v>821</v>
      </c>
      <c r="D542" s="70" t="s">
        <v>1</v>
      </c>
      <c r="E542" s="70" t="s">
        <v>1</v>
      </c>
      <c r="F542" s="70"/>
      <c r="G542" s="70" t="s">
        <v>61</v>
      </c>
      <c r="H542" s="70" t="s">
        <v>178</v>
      </c>
      <c r="I542" s="70" t="s">
        <v>188</v>
      </c>
      <c r="J542" s="71">
        <f>IF(OR(I542=0,I542=""),"unrated",VLOOKUP(I542,MappingTables!$B$19:$C$31,2,FALSE))</f>
        <v>2</v>
      </c>
      <c r="K542" s="72">
        <v>6068.8908854190664</v>
      </c>
      <c r="L542" s="70">
        <v>2.6738949527133896</v>
      </c>
      <c r="M542" s="71">
        <f>IF(L542&lt;1,1,L542)</f>
        <v>2.6738949527133896</v>
      </c>
      <c r="N542" s="70" t="s">
        <v>141</v>
      </c>
      <c r="O542" s="71">
        <f>INDEX(DurClassMapping,MATCH(M542,MappingTables!$D$4:$D$8,-1),1)</f>
        <v>1</v>
      </c>
      <c r="P542" s="73">
        <f>IF(M542=$A$1,1,$M542-INDEX(MappingTables!$E$4:$E$8,MATCH(O542,MappingTables!$B$4:$B$8,0)))</f>
        <v>2.6738949527133896</v>
      </c>
      <c r="Q542" s="71">
        <f>IF(B542="",0,INDEX(ModelParameters!$D$6:$K$10,MATCH($O542,ModelParameters!$B$6:$B$10,0),MATCH($J542,ModelParameters!$D$5:$K$5,0)))</f>
        <v>0.013999999999999998</v>
      </c>
      <c r="R542" s="71">
        <f>IF(B542="",0,INDEX(ModelParameters!$D$13:$K$17,MATCH($O542,ModelParameters!$B$13:$B$17,0),MATCH($J542,ModelParameters!$D$5:$K$5,0)))</f>
        <v>0</v>
      </c>
      <c r="S542" s="160">
        <f>IF(B542="",0,MIN(IF($N542="Other Bond TM",ModelParameters!$N$21,1)*(P542*Q542+R542),1))</f>
        <v>0.037434529337987448</v>
      </c>
      <c r="T542" s="85">
        <f>IF(B542="",0,$S542*$K542)</f>
        <v>227.18607389926468</v>
      </c>
      <c r="U542" s="85">
        <f>IF(B542="",0,IF(OR(H542=MappingTables!$C$34,H542=MappingTables!$C$35),T542,0))</f>
        <v>0</v>
      </c>
      <c r="V542" s="85">
        <f>IF(ISNA(IF(AND(VLOOKUP(CONCATENATE($D542,$G542),CSRFinput!$B:$E,4,0)=0,OR(H542=MappingTables!$C$34,H542=MappingTables!$C$35)),1,VLOOKUP(CONCATENATE($D542,$G542),CSRFinput!$B:$E,4,0))),0,IF(AND(VLOOKUP(CONCATENATE($D542,$G542),CSRFinput!$B:$E,4,0)=0,OR(H542=MappingTables!$C$34,H542=MappingTables!$C$35)),1,VLOOKUP(CONCATENATE($D542,$G542),CSRFinput!$B:$E,4,0)))</f>
        <v>0.054776304963434752</v>
      </c>
      <c r="W542" s="85">
        <f>IF(B542="",0,+$T542*$V542)</f>
        <v>12.444413667351548</v>
      </c>
      <c r="X542" s="85">
        <f>IF(B542="",0,IF(OR(H542=MappingTables!$C$34,H542=MappingTables!$C$35),W542,0))</f>
        <v>0</v>
      </c>
    </row>
    <row r="543" spans="2:24" s="0" customFormat="0" ht="15">
      <c r="B543" s="69">
        <v>884301</v>
      </c>
      <c r="C543" s="70" t="s">
        <v>262</v>
      </c>
      <c r="D543" s="70" t="s">
        <v>1</v>
      </c>
      <c r="E543" s="70" t="s">
        <v>1</v>
      </c>
      <c r="F543" s="70"/>
      <c r="G543" s="70" t="s">
        <v>61</v>
      </c>
      <c r="H543" s="70" t="s">
        <v>178</v>
      </c>
      <c r="I543" s="70" t="s">
        <v>181</v>
      </c>
      <c r="J543" s="71">
        <f>IF(OR(I543=0,I543=""),"unrated",VLOOKUP(I543,MappingTables!$B$19:$C$31,2,FALSE))</f>
        <v>3</v>
      </c>
      <c r="K543" s="72">
        <v>45935.639645398288</v>
      </c>
      <c r="L543" s="70">
        <v>10.281842094003394</v>
      </c>
      <c r="M543" s="71">
        <f>IF(L543&lt;1,1,L543)</f>
        <v>10.281842094003394</v>
      </c>
      <c r="N543" s="70" t="s">
        <v>141</v>
      </c>
      <c r="O543" s="71">
        <f>INDEX(DurClassMapping,MATCH(M543,MappingTables!$D$4:$D$8,-1),1)</f>
        <v>3</v>
      </c>
      <c r="P543" s="73">
        <f>IF(M543=$A$1,1,$M543-INDEX(MappingTables!$E$4:$E$8,MATCH(O543,MappingTables!$B$4:$B$8,0)))</f>
        <v>0.28184209400339456</v>
      </c>
      <c r="Q543" s="71">
        <f>IF(B543="",0,INDEX(ModelParameters!$D$6:$K$10,MATCH($O543,ModelParameters!$B$6:$B$10,0),MATCH($J543,ModelParameters!$D$5:$K$5,0)))</f>
        <v>0.01</v>
      </c>
      <c r="R543" s="71">
        <f>IF(B543="",0,INDEX(ModelParameters!$D$13:$K$17,MATCH($O543,ModelParameters!$B$13:$B$17,0),MATCH($J543,ModelParameters!$D$5:$K$5,0)))</f>
        <v>0.2</v>
      </c>
      <c r="S543" s="160">
        <f>IF(B543="",0,MIN(IF($N543="Other Bond TM",ModelParameters!$N$21,1)*(P543*Q543+R543),1))</f>
        <v>0.20281842094003396</v>
      </c>
      <c r="T543" s="85">
        <f>IF(B543="",0,$S543*$K543)</f>
        <v>9316.5938977501024</v>
      </c>
      <c r="U543" s="85">
        <f>IF(B543="",0,IF(OR(H543=MappingTables!$C$34,H543=MappingTables!$C$35),T543,0))</f>
        <v>0</v>
      </c>
      <c r="V543" s="85">
        <f>IF(ISNA(IF(AND(VLOOKUP(CONCATENATE($D543,$G543),CSRFinput!$B:$E,4,0)=0,OR(H543=MappingTables!$C$34,H543=MappingTables!$C$35)),1,VLOOKUP(CONCATENATE($D543,$G543),CSRFinput!$B:$E,4,0))),0,IF(AND(VLOOKUP(CONCATENATE($D543,$G543),CSRFinput!$B:$E,4,0)=0,OR(H543=MappingTables!$C$34,H543=MappingTables!$C$35)),1,VLOOKUP(CONCATENATE($D543,$G543),CSRFinput!$B:$E,4,0)))</f>
        <v>0.054776304963434752</v>
      </c>
      <c r="W543" s="85">
        <f>IF(B543="",0,+$T543*$V543)</f>
        <v>510.32858856363488</v>
      </c>
      <c r="X543" s="85">
        <f>IF(B543="",0,IF(OR(H543=MappingTables!$C$34,H543=MappingTables!$C$35),W543,0))</f>
        <v>0</v>
      </c>
    </row>
    <row r="544" spans="2:24" s="0" customFormat="0" ht="15">
      <c r="B544" s="69">
        <v>14591488</v>
      </c>
      <c r="C544" s="70" t="s">
        <v>822</v>
      </c>
      <c r="D544" s="70" t="s">
        <v>1</v>
      </c>
      <c r="E544" s="70" t="s">
        <v>1</v>
      </c>
      <c r="F544" s="70"/>
      <c r="G544" s="70" t="s">
        <v>61</v>
      </c>
      <c r="H544" s="70" t="s">
        <v>178</v>
      </c>
      <c r="I544" s="70" t="s">
        <v>181</v>
      </c>
      <c r="J544" s="71">
        <f>IF(OR(I544=0,I544=""),"unrated",VLOOKUP(I544,MappingTables!$B$19:$C$31,2,FALSE))</f>
        <v>3</v>
      </c>
      <c r="K544" s="72">
        <v>412.5697723680236</v>
      </c>
      <c r="L544" s="70">
        <v>1.446671910275775</v>
      </c>
      <c r="M544" s="71">
        <f>IF(L544&lt;1,1,L544)</f>
        <v>1.446671910275775</v>
      </c>
      <c r="N544" s="70" t="s">
        <v>141</v>
      </c>
      <c r="O544" s="71">
        <f>INDEX(DurClassMapping,MATCH(M544,MappingTables!$D$4:$D$8,-1),1)</f>
        <v>1</v>
      </c>
      <c r="P544" s="73">
        <f>IF(M544=$A$1,1,$M544-INDEX(MappingTables!$E$4:$E$8,MATCH(O544,MappingTables!$B$4:$B$8,0)))</f>
        <v>1.446671910275775</v>
      </c>
      <c r="Q544" s="71">
        <f>IF(B544="",0,INDEX(ModelParameters!$D$6:$K$10,MATCH($O544,ModelParameters!$B$6:$B$10,0),MATCH($J544,ModelParameters!$D$5:$K$5,0)))</f>
        <v>0.025</v>
      </c>
      <c r="R544" s="71">
        <f>IF(B544="",0,INDEX(ModelParameters!$D$13:$K$17,MATCH($O544,ModelParameters!$B$13:$B$17,0),MATCH($J544,ModelParameters!$D$5:$K$5,0)))</f>
        <v>0</v>
      </c>
      <c r="S544" s="160">
        <f>IF(B544="",0,MIN(IF($N544="Other Bond TM",ModelParameters!$N$21,1)*(P544*Q544+R544),1))</f>
        <v>0.036166797756894376</v>
      </c>
      <c r="T544" s="85">
        <f>IF(B544="",0,$S544*$K544)</f>
        <v>14.921327517842258</v>
      </c>
      <c r="U544" s="85">
        <f>IF(B544="",0,IF(OR(H544=MappingTables!$C$34,H544=MappingTables!$C$35),T544,0))</f>
        <v>0</v>
      </c>
      <c r="V544" s="85">
        <f>IF(ISNA(IF(AND(VLOOKUP(CONCATENATE($D544,$G544),CSRFinput!$B:$E,4,0)=0,OR(H544=MappingTables!$C$34,H544=MappingTables!$C$35)),1,VLOOKUP(CONCATENATE($D544,$G544),CSRFinput!$B:$E,4,0))),0,IF(AND(VLOOKUP(CONCATENATE($D544,$G544),CSRFinput!$B:$E,4,0)=0,OR(H544=MappingTables!$C$34,H544=MappingTables!$C$35)),1,VLOOKUP(CONCATENATE($D544,$G544),CSRFinput!$B:$E,4,0)))</f>
        <v>0.054776304963434752</v>
      </c>
      <c r="W544" s="85">
        <f>IF(B544="",0,+$T544*$V544)</f>
        <v>0.8173351865766184</v>
      </c>
      <c r="X544" s="85">
        <f>IF(B544="",0,IF(OR(H544=MappingTables!$C$34,H544=MappingTables!$C$35),W544,0))</f>
        <v>0</v>
      </c>
    </row>
    <row r="545" spans="2:24" s="0" customFormat="0" ht="15">
      <c r="B545" s="69">
        <v>9513772</v>
      </c>
      <c r="C545" s="70" t="s">
        <v>493</v>
      </c>
      <c r="D545" s="70" t="s">
        <v>1</v>
      </c>
      <c r="E545" s="70" t="s">
        <v>1</v>
      </c>
      <c r="F545" s="70"/>
      <c r="G545" s="70" t="s">
        <v>61</v>
      </c>
      <c r="H545" s="70" t="s">
        <v>178</v>
      </c>
      <c r="I545" s="70" t="s">
        <v>181</v>
      </c>
      <c r="J545" s="71">
        <f>IF(OR(I545=0,I545=""),"unrated",VLOOKUP(I545,MappingTables!$B$19:$C$31,2,FALSE))</f>
        <v>3</v>
      </c>
      <c r="K545" s="72">
        <v>1330.423174166442</v>
      </c>
      <c r="L545" s="70">
        <v>3.6909597810913144</v>
      </c>
      <c r="M545" s="71">
        <f>IF(L545&lt;1,1,L545)</f>
        <v>3.6909597810913144</v>
      </c>
      <c r="N545" s="70" t="s">
        <v>141</v>
      </c>
      <c r="O545" s="71">
        <f>INDEX(DurClassMapping,MATCH(M545,MappingTables!$D$4:$D$8,-1),1)</f>
        <v>1</v>
      </c>
      <c r="P545" s="73">
        <f>IF(M545=$A$1,1,$M545-INDEX(MappingTables!$E$4:$E$8,MATCH(O545,MappingTables!$B$4:$B$8,0)))</f>
        <v>3.6909597810913144</v>
      </c>
      <c r="Q545" s="71">
        <f>IF(B545="",0,INDEX(ModelParameters!$D$6:$K$10,MATCH($O545,ModelParameters!$B$6:$B$10,0),MATCH($J545,ModelParameters!$D$5:$K$5,0)))</f>
        <v>0.025</v>
      </c>
      <c r="R545" s="71">
        <f>IF(B545="",0,INDEX(ModelParameters!$D$13:$K$17,MATCH($O545,ModelParameters!$B$13:$B$17,0),MATCH($J545,ModelParameters!$D$5:$K$5,0)))</f>
        <v>0</v>
      </c>
      <c r="S545" s="160">
        <f>IF(B545="",0,MIN(IF($N545="Other Bond TM",ModelParameters!$N$21,1)*(P545*Q545+R545),1))</f>
        <v>0.092273994527282848</v>
      </c>
      <c r="T545" s="85">
        <f>IF(B545="",0,$S545*$K545)</f>
        <v>122.76346069200456</v>
      </c>
      <c r="U545" s="85">
        <f>IF(B545="",0,IF(OR(H545=MappingTables!$C$34,H545=MappingTables!$C$35),T545,0))</f>
        <v>0</v>
      </c>
      <c r="V545" s="85">
        <f>IF(ISNA(IF(AND(VLOOKUP(CONCATENATE($D545,$G545),CSRFinput!$B:$E,4,0)=0,OR(H545=MappingTables!$C$34,H545=MappingTables!$C$35)),1,VLOOKUP(CONCATENATE($D545,$G545),CSRFinput!$B:$E,4,0))),0,IF(AND(VLOOKUP(CONCATENATE($D545,$G545),CSRFinput!$B:$E,4,0)=0,OR(H545=MappingTables!$C$34,H545=MappingTables!$C$35)),1,VLOOKUP(CONCATENATE($D545,$G545),CSRFinput!$B:$E,4,0)))</f>
        <v>0.054776304963434752</v>
      </c>
      <c r="W545" s="85">
        <f>IF(B545="",0,+$T545*$V545)</f>
        <v>6.724528761231876</v>
      </c>
      <c r="X545" s="85">
        <f>IF(B545="",0,IF(OR(H545=MappingTables!$C$34,H545=MappingTables!$C$35),W545,0))</f>
        <v>0</v>
      </c>
    </row>
    <row r="546" spans="2:24" s="0" customFormat="0" ht="15">
      <c r="B546" s="69">
        <v>23488989</v>
      </c>
      <c r="C546" s="70" t="s">
        <v>823</v>
      </c>
      <c r="D546" s="70" t="s">
        <v>1</v>
      </c>
      <c r="E546" s="70" t="s">
        <v>1</v>
      </c>
      <c r="F546" s="70"/>
      <c r="G546" s="70" t="s">
        <v>61</v>
      </c>
      <c r="H546" s="70" t="s">
        <v>178</v>
      </c>
      <c r="I546" s="70" t="s">
        <v>181</v>
      </c>
      <c r="J546" s="71">
        <f>IF(OR(I546=0,I546=""),"unrated",VLOOKUP(I546,MappingTables!$B$19:$C$31,2,FALSE))</f>
        <v>3</v>
      </c>
      <c r="K546" s="72">
        <v>600.88410992341336</v>
      </c>
      <c r="L546" s="70">
        <v>4.3517224501222144</v>
      </c>
      <c r="M546" s="71">
        <f>IF(L546&lt;1,1,L546)</f>
        <v>4.3517224501222144</v>
      </c>
      <c r="N546" s="70" t="s">
        <v>141</v>
      </c>
      <c r="O546" s="71">
        <f>INDEX(DurClassMapping,MATCH(M546,MappingTables!$D$4:$D$8,-1),1)</f>
        <v>1</v>
      </c>
      <c r="P546" s="73">
        <f>IF(M546=$A$1,1,$M546-INDEX(MappingTables!$E$4:$E$8,MATCH(O546,MappingTables!$B$4:$B$8,0)))</f>
        <v>4.3517224501222144</v>
      </c>
      <c r="Q546" s="71">
        <f>IF(B546="",0,INDEX(ModelParameters!$D$6:$K$10,MATCH($O546,ModelParameters!$B$6:$B$10,0),MATCH($J546,ModelParameters!$D$5:$K$5,0)))</f>
        <v>0.025</v>
      </c>
      <c r="R546" s="71">
        <f>IF(B546="",0,INDEX(ModelParameters!$D$13:$K$17,MATCH($O546,ModelParameters!$B$13:$B$17,0),MATCH($J546,ModelParameters!$D$5:$K$5,0)))</f>
        <v>0</v>
      </c>
      <c r="S546" s="160">
        <f>IF(B546="",0,MIN(IF($N546="Other Bond TM",ModelParameters!$N$21,1)*(P546*Q546+R546),1))</f>
        <v>0.10879306125305538</v>
      </c>
      <c r="T546" s="85">
        <f>IF(B546="",0,$S546*$K546)</f>
        <v>65.372021776885576</v>
      </c>
      <c r="U546" s="85">
        <f>IF(B546="",0,IF(OR(H546=MappingTables!$C$34,H546=MappingTables!$C$35),T546,0))</f>
        <v>0</v>
      </c>
      <c r="V546" s="85">
        <f>IF(ISNA(IF(AND(VLOOKUP(CONCATENATE($D546,$G546),CSRFinput!$B:$E,4,0)=0,OR(H546=MappingTables!$C$34,H546=MappingTables!$C$35)),1,VLOOKUP(CONCATENATE($D546,$G546),CSRFinput!$B:$E,4,0))),0,IF(AND(VLOOKUP(CONCATENATE($D546,$G546),CSRFinput!$B:$E,4,0)=0,OR(H546=MappingTables!$C$34,H546=MappingTables!$C$35)),1,VLOOKUP(CONCATENATE($D546,$G546),CSRFinput!$B:$E,4,0)))</f>
        <v>0.054776304963434752</v>
      </c>
      <c r="W546" s="85">
        <f>IF(B546="",0,+$T546*$V546)</f>
        <v>3.580837800926982</v>
      </c>
      <c r="X546" s="85">
        <f>IF(B546="",0,IF(OR(H546=MappingTables!$C$34,H546=MappingTables!$C$35),W546,0))</f>
        <v>0</v>
      </c>
    </row>
    <row r="547" spans="2:24" s="0" customFormat="0" ht="15">
      <c r="B547" s="69" t="s">
        <v>824</v>
      </c>
      <c r="C547" s="70" t="s">
        <v>825</v>
      </c>
      <c r="D547" s="70" t="s">
        <v>1</v>
      </c>
      <c r="E547" s="70" t="s">
        <v>1</v>
      </c>
      <c r="F547" s="70"/>
      <c r="G547" s="70" t="s">
        <v>61</v>
      </c>
      <c r="H547" s="70" t="s">
        <v>178</v>
      </c>
      <c r="I547" s="70" t="s">
        <v>179</v>
      </c>
      <c r="J547" s="71">
        <f>IF(OR(I547=0,I547=""),"unrated",VLOOKUP(I547,MappingTables!$B$19:$C$31,2,FALSE))</f>
        <v>4</v>
      </c>
      <c r="K547" s="72">
        <v>1025.7769027512588</v>
      </c>
      <c r="L547" s="70">
        <v>0.087672042342176128</v>
      </c>
      <c r="M547" s="71">
        <f>IF(L547&lt;1,1,L547)</f>
        <v>1</v>
      </c>
      <c r="N547" s="70" t="s">
        <v>141</v>
      </c>
      <c r="O547" s="71">
        <f>INDEX(DurClassMapping,MATCH(M547,MappingTables!$D$4:$D$8,-1),1)</f>
        <v>1</v>
      </c>
      <c r="P547" s="73">
        <f>IF(M547=$A$1,1,$M547-INDEX(MappingTables!$E$4:$E$8,MATCH(O547,MappingTables!$B$4:$B$8,0)))</f>
        <v>1</v>
      </c>
      <c r="Q547" s="71">
        <f>IF(B547="",0,INDEX(ModelParameters!$D$6:$K$10,MATCH($O547,ModelParameters!$B$6:$B$10,0),MATCH($J547,ModelParameters!$D$5:$K$5,0)))</f>
        <v>0.045</v>
      </c>
      <c r="R547" s="71">
        <f>IF(B547="",0,INDEX(ModelParameters!$D$13:$K$17,MATCH($O547,ModelParameters!$B$13:$B$17,0),MATCH($J547,ModelParameters!$D$5:$K$5,0)))</f>
        <v>0</v>
      </c>
      <c r="S547" s="160">
        <f>IF(B547="",0,MIN(IF($N547="Other Bond TM",ModelParameters!$N$21,1)*(P547*Q547+R547),1))</f>
        <v>0.045</v>
      </c>
      <c r="T547" s="85">
        <f>IF(B547="",0,$S547*$K547)</f>
        <v>46.159960623806648</v>
      </c>
      <c r="U547" s="85">
        <f>IF(B547="",0,IF(OR(H547=MappingTables!$C$34,H547=MappingTables!$C$35),T547,0))</f>
        <v>0</v>
      </c>
      <c r="V547" s="85">
        <f>IF(ISNA(IF(AND(VLOOKUP(CONCATENATE($D547,$G547),CSRFinput!$B:$E,4,0)=0,OR(H547=MappingTables!$C$34,H547=MappingTables!$C$35)),1,VLOOKUP(CONCATENATE($D547,$G547),CSRFinput!$B:$E,4,0))),0,IF(AND(VLOOKUP(CONCATENATE($D547,$G547),CSRFinput!$B:$E,4,0)=0,OR(H547=MappingTables!$C$34,H547=MappingTables!$C$35)),1,VLOOKUP(CONCATENATE($D547,$G547),CSRFinput!$B:$E,4,0)))</f>
        <v>0.054776304963434752</v>
      </c>
      <c r="W547" s="85">
        <f>IF(B547="",0,+$T547*$V547)</f>
        <v>2.5284720802297728</v>
      </c>
      <c r="X547" s="85">
        <f>IF(B547="",0,IF(OR(H547=MappingTables!$C$34,H547=MappingTables!$C$35),W547,0))</f>
        <v>0</v>
      </c>
    </row>
    <row r="548" spans="2:24" s="0" customFormat="0" ht="15">
      <c r="B548" s="69">
        <v>17470938</v>
      </c>
      <c r="C548" s="70" t="s">
        <v>652</v>
      </c>
      <c r="D548" s="70" t="s">
        <v>1</v>
      </c>
      <c r="E548" s="70" t="s">
        <v>1</v>
      </c>
      <c r="F548" s="70"/>
      <c r="G548" s="70" t="s">
        <v>61</v>
      </c>
      <c r="H548" s="70" t="s">
        <v>178</v>
      </c>
      <c r="I548" s="70" t="s">
        <v>179</v>
      </c>
      <c r="J548" s="71">
        <f>IF(OR(I548=0,I548=""),"unrated",VLOOKUP(I548,MappingTables!$B$19:$C$31,2,FALSE))</f>
        <v>4</v>
      </c>
      <c r="K548" s="72">
        <v>1342.9929416417506</v>
      </c>
      <c r="L548" s="70">
        <v>2.5607643728925944</v>
      </c>
      <c r="M548" s="71">
        <f>IF(L548&lt;1,1,L548)</f>
        <v>2.5607643728925944</v>
      </c>
      <c r="N548" s="70" t="s">
        <v>141</v>
      </c>
      <c r="O548" s="71">
        <f>INDEX(DurClassMapping,MATCH(M548,MappingTables!$D$4:$D$8,-1),1)</f>
        <v>1</v>
      </c>
      <c r="P548" s="73">
        <f>IF(M548=$A$1,1,$M548-INDEX(MappingTables!$E$4:$E$8,MATCH(O548,MappingTables!$B$4:$B$8,0)))</f>
        <v>2.5607643728925944</v>
      </c>
      <c r="Q548" s="71">
        <f>IF(B548="",0,INDEX(ModelParameters!$D$6:$K$10,MATCH($O548,ModelParameters!$B$6:$B$10,0),MATCH($J548,ModelParameters!$D$5:$K$5,0)))</f>
        <v>0.045</v>
      </c>
      <c r="R548" s="71">
        <f>IF(B548="",0,INDEX(ModelParameters!$D$13:$K$17,MATCH($O548,ModelParameters!$B$13:$B$17,0),MATCH($J548,ModelParameters!$D$5:$K$5,0)))</f>
        <v>0</v>
      </c>
      <c r="S548" s="160">
        <f>IF(B548="",0,MIN(IF($N548="Other Bond TM",ModelParameters!$N$21,1)*(P548*Q548+R548),1))</f>
        <v>0.11523439678016674</v>
      </c>
      <c r="T548" s="85">
        <f>IF(B548="",0,$S548*$K548)</f>
        <v>154.75898151010882</v>
      </c>
      <c r="U548" s="85">
        <f>IF(B548="",0,IF(OR(H548=MappingTables!$C$34,H548=MappingTables!$C$35),T548,0))</f>
        <v>0</v>
      </c>
      <c r="V548" s="85">
        <f>IF(ISNA(IF(AND(VLOOKUP(CONCATENATE($D548,$G548),CSRFinput!$B:$E,4,0)=0,OR(H548=MappingTables!$C$34,H548=MappingTables!$C$35)),1,VLOOKUP(CONCATENATE($D548,$G548),CSRFinput!$B:$E,4,0))),0,IF(AND(VLOOKUP(CONCATENATE($D548,$G548),CSRFinput!$B:$E,4,0)=0,OR(H548=MappingTables!$C$34,H548=MappingTables!$C$35)),1,VLOOKUP(CONCATENATE($D548,$G548),CSRFinput!$B:$E,4,0)))</f>
        <v>0.054776304963434752</v>
      </c>
      <c r="W548" s="85">
        <f>IF(B548="",0,+$T548*$V548)</f>
        <v>8.47712516702828</v>
      </c>
      <c r="X548" s="85">
        <f>IF(B548="",0,IF(OR(H548=MappingTables!$C$34,H548=MappingTables!$C$35),W548,0))</f>
        <v>0</v>
      </c>
    </row>
    <row r="549" spans="2:24" s="0" customFormat="0" ht="15">
      <c r="B549" s="69">
        <v>15540822</v>
      </c>
      <c r="C549" s="70" t="s">
        <v>826</v>
      </c>
      <c r="D549" s="70" t="s">
        <v>1</v>
      </c>
      <c r="E549" s="70" t="s">
        <v>1</v>
      </c>
      <c r="F549" s="70"/>
      <c r="G549" s="70" t="s">
        <v>61</v>
      </c>
      <c r="H549" s="70" t="s">
        <v>178</v>
      </c>
      <c r="I549" s="70" t="s">
        <v>188</v>
      </c>
      <c r="J549" s="71">
        <f>IF(OR(I549=0,I549=""),"unrated",VLOOKUP(I549,MappingTables!$B$19:$C$31,2,FALSE))</f>
        <v>2</v>
      </c>
      <c r="K549" s="72">
        <v>1327.9161798377104</v>
      </c>
      <c r="L549" s="70">
        <v>0.19451929730278876</v>
      </c>
      <c r="M549" s="71">
        <f>IF(L549&lt;1,1,L549)</f>
        <v>1</v>
      </c>
      <c r="N549" s="70" t="s">
        <v>141</v>
      </c>
      <c r="O549" s="71">
        <f>INDEX(DurClassMapping,MATCH(M549,MappingTables!$D$4:$D$8,-1),1)</f>
        <v>1</v>
      </c>
      <c r="P549" s="73">
        <f>IF(M549=$A$1,1,$M549-INDEX(MappingTables!$E$4:$E$8,MATCH(O549,MappingTables!$B$4:$B$8,0)))</f>
        <v>1</v>
      </c>
      <c r="Q549" s="71">
        <f>IF(B549="",0,INDEX(ModelParameters!$D$6:$K$10,MATCH($O549,ModelParameters!$B$6:$B$10,0),MATCH($J549,ModelParameters!$D$5:$K$5,0)))</f>
        <v>0.013999999999999998</v>
      </c>
      <c r="R549" s="71">
        <f>IF(B549="",0,INDEX(ModelParameters!$D$13:$K$17,MATCH($O549,ModelParameters!$B$13:$B$17,0),MATCH($J549,ModelParameters!$D$5:$K$5,0)))</f>
        <v>0</v>
      </c>
      <c r="S549" s="160">
        <f>IF(B549="",0,MIN(IF($N549="Other Bond TM",ModelParameters!$N$21,1)*(P549*Q549+R549),1))</f>
        <v>0.013999999999999998</v>
      </c>
      <c r="T549" s="85">
        <f>IF(B549="",0,$S549*$K549)</f>
        <v>18.590826517727944</v>
      </c>
      <c r="U549" s="85">
        <f>IF(B549="",0,IF(OR(H549=MappingTables!$C$34,H549=MappingTables!$C$35),T549,0))</f>
        <v>0</v>
      </c>
      <c r="V549" s="85">
        <f>IF(ISNA(IF(AND(VLOOKUP(CONCATENATE($D549,$G549),CSRFinput!$B:$E,4,0)=0,OR(H549=MappingTables!$C$34,H549=MappingTables!$C$35)),1,VLOOKUP(CONCATENATE($D549,$G549),CSRFinput!$B:$E,4,0))),0,IF(AND(VLOOKUP(CONCATENATE($D549,$G549),CSRFinput!$B:$E,4,0)=0,OR(H549=MappingTables!$C$34,H549=MappingTables!$C$35)),1,VLOOKUP(CONCATENATE($D549,$G549),CSRFinput!$B:$E,4,0)))</f>
        <v>0.054776304963434752</v>
      </c>
      <c r="W549" s="85">
        <f>IF(B549="",0,+$T549*$V549)</f>
        <v>1.0183367828573754</v>
      </c>
      <c r="X549" s="85">
        <f>IF(B549="",0,IF(OR(H549=MappingTables!$C$34,H549=MappingTables!$C$35),W549,0))</f>
        <v>0</v>
      </c>
    </row>
    <row r="550" spans="2:24" s="0" customFormat="0" ht="15">
      <c r="B550" s="69">
        <v>21272376</v>
      </c>
      <c r="C550" s="70" t="s">
        <v>527</v>
      </c>
      <c r="D550" s="70" t="s">
        <v>1</v>
      </c>
      <c r="E550" s="70" t="s">
        <v>1</v>
      </c>
      <c r="F550" s="70"/>
      <c r="G550" s="70" t="s">
        <v>61</v>
      </c>
      <c r="H550" s="70" t="s">
        <v>178</v>
      </c>
      <c r="I550" s="70" t="s">
        <v>220</v>
      </c>
      <c r="J550" s="71">
        <f>IF(OR(I550=0,I550=""),"unrated",VLOOKUP(I550,MappingTables!$B$19:$C$31,2,FALSE))</f>
        <v>1</v>
      </c>
      <c r="K550" s="72">
        <v>3162.1707073234412</v>
      </c>
      <c r="L550" s="70">
        <v>0.21370144531964308</v>
      </c>
      <c r="M550" s="71">
        <f>IF(L550&lt;1,1,L550)</f>
        <v>1</v>
      </c>
      <c r="N550" s="70" t="s">
        <v>141</v>
      </c>
      <c r="O550" s="71">
        <f>INDEX(DurClassMapping,MATCH(M550,MappingTables!$D$4:$D$8,-1),1)</f>
        <v>1</v>
      </c>
      <c r="P550" s="73">
        <f>IF(M550=$A$1,1,$M550-INDEX(MappingTables!$E$4:$E$8,MATCH(O550,MappingTables!$B$4:$B$8,0)))</f>
        <v>1</v>
      </c>
      <c r="Q550" s="71">
        <f>IF(B550="",0,INDEX(ModelParameters!$D$6:$K$10,MATCH($O550,ModelParameters!$B$6:$B$10,0),MATCH($J550,ModelParameters!$D$5:$K$5,0)))</f>
        <v>0.011000000000000002</v>
      </c>
      <c r="R550" s="71">
        <f>IF(B550="",0,INDEX(ModelParameters!$D$13:$K$17,MATCH($O550,ModelParameters!$B$13:$B$17,0),MATCH($J550,ModelParameters!$D$5:$K$5,0)))</f>
        <v>0</v>
      </c>
      <c r="S550" s="160">
        <f>IF(B550="",0,MIN(IF($N550="Other Bond TM",ModelParameters!$N$21,1)*(P550*Q550+R550),1))</f>
        <v>0.011000000000000002</v>
      </c>
      <c r="T550" s="85">
        <f>IF(B550="",0,$S550*$K550)</f>
        <v>34.78387778055786</v>
      </c>
      <c r="U550" s="85">
        <f>IF(B550="",0,IF(OR(H550=MappingTables!$C$34,H550=MappingTables!$C$35),T550,0))</f>
        <v>0</v>
      </c>
      <c r="V550" s="85">
        <f>IF(ISNA(IF(AND(VLOOKUP(CONCATENATE($D550,$G550),CSRFinput!$B:$E,4,0)=0,OR(H550=MappingTables!$C$34,H550=MappingTables!$C$35)),1,VLOOKUP(CONCATENATE($D550,$G550),CSRFinput!$B:$E,4,0))),0,IF(AND(VLOOKUP(CONCATENATE($D550,$G550),CSRFinput!$B:$E,4,0)=0,OR(H550=MappingTables!$C$34,H550=MappingTables!$C$35)),1,VLOOKUP(CONCATENATE($D550,$G550),CSRFinput!$B:$E,4,0)))</f>
        <v>0.054776304963434752</v>
      </c>
      <c r="W550" s="85">
        <f>IF(B550="",0,+$T550*$V550)</f>
        <v>1.9053322971186792</v>
      </c>
      <c r="X550" s="85">
        <f>IF(B550="",0,IF(OR(H550=MappingTables!$C$34,H550=MappingTables!$C$35),W550,0))</f>
        <v>0</v>
      </c>
    </row>
    <row r="551" spans="2:24" s="0" customFormat="0" ht="15">
      <c r="B551" s="69" t="s">
        <v>827</v>
      </c>
      <c r="C551" s="70" t="s">
        <v>828</v>
      </c>
      <c r="D551" s="70" t="s">
        <v>1</v>
      </c>
      <c r="E551" s="70" t="s">
        <v>1</v>
      </c>
      <c r="F551" s="70"/>
      <c r="G551" s="70" t="s">
        <v>61</v>
      </c>
      <c r="H551" s="70" t="s">
        <v>178</v>
      </c>
      <c r="I551" s="70" t="s">
        <v>204</v>
      </c>
      <c r="J551" s="71">
        <f>IF(OR(I551=0,I551=""),"unrated",VLOOKUP(I551,MappingTables!$B$19:$C$31,2,FALSE))</f>
        <v>6</v>
      </c>
      <c r="K551" s="72">
        <v>5540.875407433764</v>
      </c>
      <c r="L551" s="70">
        <v>4.0949329471953936</v>
      </c>
      <c r="M551" s="71">
        <f>IF(L551&lt;1,1,L551)</f>
        <v>4.0949329471953936</v>
      </c>
      <c r="N551" s="70" t="s">
        <v>141</v>
      </c>
      <c r="O551" s="71">
        <f>INDEX(DurClassMapping,MATCH(M551,MappingTables!$D$4:$D$8,-1),1)</f>
        <v>1</v>
      </c>
      <c r="P551" s="73">
        <f>IF(M551=$A$1,1,$M551-INDEX(MappingTables!$E$4:$E$8,MATCH(O551,MappingTables!$B$4:$B$8,0)))</f>
        <v>4.0949329471953936</v>
      </c>
      <c r="Q551" s="71">
        <f>IF(B551="",0,INDEX(ModelParameters!$D$6:$K$10,MATCH($O551,ModelParameters!$B$6:$B$10,0),MATCH($J551,ModelParameters!$D$5:$K$5,0)))</f>
        <v>0.075</v>
      </c>
      <c r="R551" s="71">
        <f>IF(B551="",0,INDEX(ModelParameters!$D$13:$K$17,MATCH($O551,ModelParameters!$B$13:$B$17,0),MATCH($J551,ModelParameters!$D$5:$K$5,0)))</f>
        <v>0</v>
      </c>
      <c r="S551" s="160">
        <f>IF(B551="",0,MIN(IF($N551="Other Bond TM",ModelParameters!$N$21,1)*(P551*Q551+R551),1))</f>
        <v>0.30711997103965448</v>
      </c>
      <c r="T551" s="85">
        <f>IF(B551="",0,$S551*$K551)</f>
        <v>1701.7134946653914</v>
      </c>
      <c r="U551" s="85">
        <f>IF(B551="",0,IF(OR(H551=MappingTables!$C$34,H551=MappingTables!$C$35),T551,0))</f>
        <v>0</v>
      </c>
      <c r="V551" s="85">
        <f>IF(ISNA(IF(AND(VLOOKUP(CONCATENATE($D551,$G551),CSRFinput!$B:$E,4,0)=0,OR(H551=MappingTables!$C$34,H551=MappingTables!$C$35)),1,VLOOKUP(CONCATENATE($D551,$G551),CSRFinput!$B:$E,4,0))),0,IF(AND(VLOOKUP(CONCATENATE($D551,$G551),CSRFinput!$B:$E,4,0)=0,OR(H551=MappingTables!$C$34,H551=MappingTables!$C$35)),1,VLOOKUP(CONCATENATE($D551,$G551),CSRFinput!$B:$E,4,0)))</f>
        <v>0.054776304963434752</v>
      </c>
      <c r="W551" s="85">
        <f>IF(B551="",0,+$T551*$V551)</f>
        <v>93.213577344183776</v>
      </c>
      <c r="X551" s="85">
        <f>IF(B551="",0,IF(OR(H551=MappingTables!$C$34,H551=MappingTables!$C$35),W551,0))</f>
        <v>0</v>
      </c>
    </row>
    <row r="552" spans="2:24" s="0" customFormat="0" ht="15">
      <c r="B552" s="69" t="s">
        <v>829</v>
      </c>
      <c r="C552" s="70" t="s">
        <v>830</v>
      </c>
      <c r="D552" s="70" t="s">
        <v>1</v>
      </c>
      <c r="E552" s="70" t="s">
        <v>1</v>
      </c>
      <c r="F552" s="70"/>
      <c r="G552" s="70" t="s">
        <v>61</v>
      </c>
      <c r="H552" s="70" t="s">
        <v>178</v>
      </c>
      <c r="I552" s="70" t="s">
        <v>181</v>
      </c>
      <c r="J552" s="71">
        <f>IF(OR(I552=0,I552=""),"unrated",VLOOKUP(I552,MappingTables!$B$19:$C$31,2,FALSE))</f>
        <v>3</v>
      </c>
      <c r="K552" s="72">
        <v>136.95106926506298</v>
      </c>
      <c r="L552" s="70">
        <v>4.4419887505131552</v>
      </c>
      <c r="M552" s="71">
        <f>IF(L552&lt;1,1,L552)</f>
        <v>4.4419887505131552</v>
      </c>
      <c r="N552" s="70" t="s">
        <v>141</v>
      </c>
      <c r="O552" s="71">
        <f>INDEX(DurClassMapping,MATCH(M552,MappingTables!$D$4:$D$8,-1),1)</f>
        <v>1</v>
      </c>
      <c r="P552" s="73">
        <f>IF(M552=$A$1,1,$M552-INDEX(MappingTables!$E$4:$E$8,MATCH(O552,MappingTables!$B$4:$B$8,0)))</f>
        <v>4.4419887505131552</v>
      </c>
      <c r="Q552" s="71">
        <f>IF(B552="",0,INDEX(ModelParameters!$D$6:$K$10,MATCH($O552,ModelParameters!$B$6:$B$10,0),MATCH($J552,ModelParameters!$D$5:$K$5,0)))</f>
        <v>0.025</v>
      </c>
      <c r="R552" s="71">
        <f>IF(B552="",0,INDEX(ModelParameters!$D$13:$K$17,MATCH($O552,ModelParameters!$B$13:$B$17,0),MATCH($J552,ModelParameters!$D$5:$K$5,0)))</f>
        <v>0</v>
      </c>
      <c r="S552" s="160">
        <f>IF(B552="",0,MIN(IF($N552="Other Bond TM",ModelParameters!$N$21,1)*(P552*Q552+R552),1))</f>
        <v>0.11104971876282888</v>
      </c>
      <c r="T552" s="85">
        <f>IF(B552="",0,$S552*$K552)</f>
        <v>15.208377726153942</v>
      </c>
      <c r="U552" s="85">
        <f>IF(B552="",0,IF(OR(H552=MappingTables!$C$34,H552=MappingTables!$C$35),T552,0))</f>
        <v>0</v>
      </c>
      <c r="V552" s="85">
        <f>IF(ISNA(IF(AND(VLOOKUP(CONCATENATE($D552,$G552),CSRFinput!$B:$E,4,0)=0,OR(H552=MappingTables!$C$34,H552=MappingTables!$C$35)),1,VLOOKUP(CONCATENATE($D552,$G552),CSRFinput!$B:$E,4,0))),0,IF(AND(VLOOKUP(CONCATENATE($D552,$G552),CSRFinput!$B:$E,4,0)=0,OR(H552=MappingTables!$C$34,H552=MappingTables!$C$35)),1,VLOOKUP(CONCATENATE($D552,$G552),CSRFinput!$B:$E,4,0)))</f>
        <v>0.054776304963434752</v>
      </c>
      <c r="W552" s="85">
        <f>IF(B552="",0,+$T552*$V552)</f>
        <v>0.83305873632691664</v>
      </c>
      <c r="X552" s="85">
        <f>IF(B552="",0,IF(OR(H552=MappingTables!$C$34,H552=MappingTables!$C$35),W552,0))</f>
        <v>0</v>
      </c>
    </row>
    <row r="553" spans="2:24" s="0" customFormat="0" ht="15">
      <c r="B553" s="69">
        <v>24423129</v>
      </c>
      <c r="C553" s="70" t="s">
        <v>831</v>
      </c>
      <c r="D553" s="70" t="s">
        <v>1</v>
      </c>
      <c r="E553" s="70" t="s">
        <v>1</v>
      </c>
      <c r="F553" s="70"/>
      <c r="G553" s="70" t="s">
        <v>61</v>
      </c>
      <c r="H553" s="70" t="s">
        <v>178</v>
      </c>
      <c r="I553" s="70" t="s">
        <v>181</v>
      </c>
      <c r="J553" s="71">
        <f>IF(OR(I553=0,I553=""),"unrated",VLOOKUP(I553,MappingTables!$B$19:$C$31,2,FALSE))</f>
        <v>3</v>
      </c>
      <c r="K553" s="72">
        <v>4428.1459502561</v>
      </c>
      <c r="L553" s="70">
        <v>9.5704735795667504</v>
      </c>
      <c r="M553" s="71">
        <f>IF(L553&lt;1,1,L553)</f>
        <v>9.5704735795667504</v>
      </c>
      <c r="N553" s="70" t="s">
        <v>141</v>
      </c>
      <c r="O553" s="71">
        <f>INDEX(DurClassMapping,MATCH(M553,MappingTables!$D$4:$D$8,-1),1)</f>
        <v>2</v>
      </c>
      <c r="P553" s="73">
        <f>IF(M553=$A$1,1,$M553-INDEX(MappingTables!$E$4:$E$8,MATCH(O553,MappingTables!$B$4:$B$8,0)))</f>
        <v>4.5704735795667496</v>
      </c>
      <c r="Q553" s="71">
        <f>IF(B553="",0,INDEX(ModelParameters!$D$6:$K$10,MATCH($O553,ModelParameters!$B$6:$B$10,0),MATCH($J553,ModelParameters!$D$5:$K$5,0)))</f>
        <v>0.015</v>
      </c>
      <c r="R553" s="71">
        <f>IF(B553="",0,INDEX(ModelParameters!$D$13:$K$17,MATCH($O553,ModelParameters!$B$13:$B$17,0),MATCH($J553,ModelParameters!$D$5:$K$5,0)))</f>
        <v>0.125</v>
      </c>
      <c r="S553" s="160">
        <f>IF(B553="",0,MIN(IF($N553="Other Bond TM",ModelParameters!$N$21,1)*(P553*Q553+R553),1))</f>
        <v>0.19355710369350128</v>
      </c>
      <c r="T553" s="85">
        <f>IF(B553="",0,$S553*$K553)</f>
        <v>857.0991048636776</v>
      </c>
      <c r="U553" s="85">
        <f>IF(B553="",0,IF(OR(H553=MappingTables!$C$34,H553=MappingTables!$C$35),T553,0))</f>
        <v>0</v>
      </c>
      <c r="V553" s="85">
        <f>IF(ISNA(IF(AND(VLOOKUP(CONCATENATE($D553,$G553),CSRFinput!$B:$E,4,0)=0,OR(H553=MappingTables!$C$34,H553=MappingTables!$C$35)),1,VLOOKUP(CONCATENATE($D553,$G553),CSRFinput!$B:$E,4,0))),0,IF(AND(VLOOKUP(CONCATENATE($D553,$G553),CSRFinput!$B:$E,4,0)=0,OR(H553=MappingTables!$C$34,H553=MappingTables!$C$35)),1,VLOOKUP(CONCATENATE($D553,$G553),CSRFinput!$B:$E,4,0)))</f>
        <v>0.054776304963434752</v>
      </c>
      <c r="W553" s="85">
        <f>IF(B553="",0,+$T553*$V553)</f>
        <v>46.948721951899752</v>
      </c>
      <c r="X553" s="85">
        <f>IF(B553="",0,IF(OR(H553=MappingTables!$C$34,H553=MappingTables!$C$35),W553,0))</f>
        <v>0</v>
      </c>
    </row>
    <row r="554" spans="2:24" s="0" customFormat="0" ht="15">
      <c r="B554" s="69">
        <v>12828179</v>
      </c>
      <c r="C554" s="70" t="s">
        <v>832</v>
      </c>
      <c r="D554" s="70" t="s">
        <v>1</v>
      </c>
      <c r="E554" s="70" t="s">
        <v>1</v>
      </c>
      <c r="F554" s="70"/>
      <c r="G554" s="70" t="s">
        <v>61</v>
      </c>
      <c r="H554" s="70" t="s">
        <v>178</v>
      </c>
      <c r="I554" s="70" t="s">
        <v>179</v>
      </c>
      <c r="J554" s="71">
        <f>IF(OR(I554=0,I554=""),"unrated",VLOOKUP(I554,MappingTables!$B$19:$C$31,2,FALSE))</f>
        <v>4</v>
      </c>
      <c r="K554" s="72">
        <v>196.11986230732968</v>
      </c>
      <c r="L554" s="70">
        <v>0.8367088111454496</v>
      </c>
      <c r="M554" s="71">
        <f>IF(L554&lt;1,1,L554)</f>
        <v>1</v>
      </c>
      <c r="N554" s="70" t="s">
        <v>141</v>
      </c>
      <c r="O554" s="71">
        <f>INDEX(DurClassMapping,MATCH(M554,MappingTables!$D$4:$D$8,-1),1)</f>
        <v>1</v>
      </c>
      <c r="P554" s="73">
        <f>IF(M554=$A$1,1,$M554-INDEX(MappingTables!$E$4:$E$8,MATCH(O554,MappingTables!$B$4:$B$8,0)))</f>
        <v>1</v>
      </c>
      <c r="Q554" s="71">
        <f>IF(B554="",0,INDEX(ModelParameters!$D$6:$K$10,MATCH($O554,ModelParameters!$B$6:$B$10,0),MATCH($J554,ModelParameters!$D$5:$K$5,0)))</f>
        <v>0.045</v>
      </c>
      <c r="R554" s="71">
        <f>IF(B554="",0,INDEX(ModelParameters!$D$13:$K$17,MATCH($O554,ModelParameters!$B$13:$B$17,0),MATCH($J554,ModelParameters!$D$5:$K$5,0)))</f>
        <v>0</v>
      </c>
      <c r="S554" s="160">
        <f>IF(B554="",0,MIN(IF($N554="Other Bond TM",ModelParameters!$N$21,1)*(P554*Q554+R554),1))</f>
        <v>0.045</v>
      </c>
      <c r="T554" s="85">
        <f>IF(B554="",0,$S554*$K554)</f>
        <v>8.8253938038298352</v>
      </c>
      <c r="U554" s="85">
        <f>IF(B554="",0,IF(OR(H554=MappingTables!$C$34,H554=MappingTables!$C$35),T554,0))</f>
        <v>0</v>
      </c>
      <c r="V554" s="85">
        <f>IF(ISNA(IF(AND(VLOOKUP(CONCATENATE($D554,$G554),CSRFinput!$B:$E,4,0)=0,OR(H554=MappingTables!$C$34,H554=MappingTables!$C$35)),1,VLOOKUP(CONCATENATE($D554,$G554),CSRFinput!$B:$E,4,0))),0,IF(AND(VLOOKUP(CONCATENATE($D554,$G554),CSRFinput!$B:$E,4,0)=0,OR(H554=MappingTables!$C$34,H554=MappingTables!$C$35)),1,VLOOKUP(CONCATENATE($D554,$G554),CSRFinput!$B:$E,4,0)))</f>
        <v>0.054776304963434752</v>
      </c>
      <c r="W554" s="85">
        <f>IF(B554="",0,+$T554*$V554)</f>
        <v>0.48342246242099048</v>
      </c>
      <c r="X554" s="85">
        <f>IF(B554="",0,IF(OR(H554=MappingTables!$C$34,H554=MappingTables!$C$35),W554,0))</f>
        <v>0</v>
      </c>
    </row>
    <row r="555" spans="2:24" s="0" customFormat="0" ht="15">
      <c r="B555" s="69">
        <v>12151037</v>
      </c>
      <c r="C555" s="70" t="s">
        <v>833</v>
      </c>
      <c r="D555" s="70" t="s">
        <v>1</v>
      </c>
      <c r="E555" s="70" t="s">
        <v>1</v>
      </c>
      <c r="F555" s="70"/>
      <c r="G555" s="70" t="s">
        <v>61</v>
      </c>
      <c r="H555" s="70" t="s">
        <v>178</v>
      </c>
      <c r="I555" s="70" t="s">
        <v>188</v>
      </c>
      <c r="J555" s="71">
        <f>IF(OR(I555=0,I555=""),"unrated",VLOOKUP(I555,MappingTables!$B$19:$C$31,2,FALSE))</f>
        <v>2</v>
      </c>
      <c r="K555" s="72">
        <v>76.06431318737472</v>
      </c>
      <c r="L555" s="70">
        <v>0.49041255043629272</v>
      </c>
      <c r="M555" s="71">
        <f>IF(L555&lt;1,1,L555)</f>
        <v>1</v>
      </c>
      <c r="N555" s="70" t="s">
        <v>141</v>
      </c>
      <c r="O555" s="71">
        <f>INDEX(DurClassMapping,MATCH(M555,MappingTables!$D$4:$D$8,-1),1)</f>
        <v>1</v>
      </c>
      <c r="P555" s="73">
        <f>IF(M555=$A$1,1,$M555-INDEX(MappingTables!$E$4:$E$8,MATCH(O555,MappingTables!$B$4:$B$8,0)))</f>
        <v>1</v>
      </c>
      <c r="Q555" s="71">
        <f>IF(B555="",0,INDEX(ModelParameters!$D$6:$K$10,MATCH($O555,ModelParameters!$B$6:$B$10,0),MATCH($J555,ModelParameters!$D$5:$K$5,0)))</f>
        <v>0.013999999999999998</v>
      </c>
      <c r="R555" s="71">
        <f>IF(B555="",0,INDEX(ModelParameters!$D$13:$K$17,MATCH($O555,ModelParameters!$B$13:$B$17,0),MATCH($J555,ModelParameters!$D$5:$K$5,0)))</f>
        <v>0</v>
      </c>
      <c r="S555" s="160">
        <f>IF(B555="",0,MIN(IF($N555="Other Bond TM",ModelParameters!$N$21,1)*(P555*Q555+R555),1))</f>
        <v>0.013999999999999998</v>
      </c>
      <c r="T555" s="85">
        <f>IF(B555="",0,$S555*$K555)</f>
        <v>1.064900384623246</v>
      </c>
      <c r="U555" s="85">
        <f>IF(B555="",0,IF(OR(H555=MappingTables!$C$34,H555=MappingTables!$C$35),T555,0))</f>
        <v>0</v>
      </c>
      <c r="V555" s="85">
        <f>IF(ISNA(IF(AND(VLOOKUP(CONCATENATE($D555,$G555),CSRFinput!$B:$E,4,0)=0,OR(H555=MappingTables!$C$34,H555=MappingTables!$C$35)),1,VLOOKUP(CONCATENATE($D555,$G555),CSRFinput!$B:$E,4,0))),0,IF(AND(VLOOKUP(CONCATENATE($D555,$G555),CSRFinput!$B:$E,4,0)=0,OR(H555=MappingTables!$C$34,H555=MappingTables!$C$35)),1,VLOOKUP(CONCATENATE($D555,$G555),CSRFinput!$B:$E,4,0)))</f>
        <v>0.054776304963434752</v>
      </c>
      <c r="W555" s="85">
        <f>IF(B555="",0,+$T555*$V555)</f>
        <v>0.058331308223801896</v>
      </c>
      <c r="X555" s="85">
        <f>IF(B555="",0,IF(OR(H555=MappingTables!$C$34,H555=MappingTables!$C$35),W555,0))</f>
        <v>0</v>
      </c>
    </row>
    <row r="556" spans="2:24" s="0" customFormat="0" ht="15">
      <c r="B556" s="69">
        <v>12557692</v>
      </c>
      <c r="C556" s="70" t="s">
        <v>834</v>
      </c>
      <c r="D556" s="70" t="s">
        <v>1</v>
      </c>
      <c r="E556" s="70" t="s">
        <v>1</v>
      </c>
      <c r="F556" s="70"/>
      <c r="G556" s="70" t="s">
        <v>61</v>
      </c>
      <c r="H556" s="70" t="s">
        <v>178</v>
      </c>
      <c r="I556" s="70" t="s">
        <v>184</v>
      </c>
      <c r="J556" s="71">
        <f>IF(OR(I556=0,I556=""),"unrated",VLOOKUP(I556,MappingTables!$B$19:$C$31,2,FALSE))</f>
        <v>5</v>
      </c>
      <c r="K556" s="72">
        <v>128.30451275229748</v>
      </c>
      <c r="L556" s="70">
        <v>3.5183912134520952</v>
      </c>
      <c r="M556" s="71">
        <f>IF(L556&lt;1,1,L556)</f>
        <v>3.5183912134520952</v>
      </c>
      <c r="N556" s="70" t="s">
        <v>141</v>
      </c>
      <c r="O556" s="71">
        <f>INDEX(DurClassMapping,MATCH(M556,MappingTables!$D$4:$D$8,-1),1)</f>
        <v>1</v>
      </c>
      <c r="P556" s="73">
        <f>IF(M556=$A$1,1,$M556-INDEX(MappingTables!$E$4:$E$8,MATCH(O556,MappingTables!$B$4:$B$8,0)))</f>
        <v>3.5183912134520952</v>
      </c>
      <c r="Q556" s="71">
        <f>IF(B556="",0,INDEX(ModelParameters!$D$6:$K$10,MATCH($O556,ModelParameters!$B$6:$B$10,0),MATCH($J556,ModelParameters!$D$5:$K$5,0)))</f>
        <v>0.075</v>
      </c>
      <c r="R556" s="71">
        <f>IF(B556="",0,INDEX(ModelParameters!$D$13:$K$17,MATCH($O556,ModelParameters!$B$13:$B$17,0),MATCH($J556,ModelParameters!$D$5:$K$5,0)))</f>
        <v>0</v>
      </c>
      <c r="S556" s="160">
        <f>IF(B556="",0,MIN(IF($N556="Other Bond TM",ModelParameters!$N$21,1)*(P556*Q556+R556),1))</f>
        <v>0.26387934100890716</v>
      </c>
      <c r="T556" s="85">
        <f>IF(B556="",0,$S556*$K556)</f>
        <v>33.856910273545184</v>
      </c>
      <c r="U556" s="85">
        <f>IF(B556="",0,IF(OR(H556=MappingTables!$C$34,H556=MappingTables!$C$35),T556,0))</f>
        <v>0</v>
      </c>
      <c r="V556" s="85">
        <f>IF(ISNA(IF(AND(VLOOKUP(CONCATENATE($D556,$G556),CSRFinput!$B:$E,4,0)=0,OR(H556=MappingTables!$C$34,H556=MappingTables!$C$35)),1,VLOOKUP(CONCATENATE($D556,$G556),CSRFinput!$B:$E,4,0))),0,IF(AND(VLOOKUP(CONCATENATE($D556,$G556),CSRFinput!$B:$E,4,0)=0,OR(H556=MappingTables!$C$34,H556=MappingTables!$C$35)),1,VLOOKUP(CONCATENATE($D556,$G556),CSRFinput!$B:$E,4,0)))</f>
        <v>0.054776304963434752</v>
      </c>
      <c r="W556" s="85">
        <f>IF(B556="",0,+$T556*$V556)</f>
        <v>1.854556442263358</v>
      </c>
      <c r="X556" s="85">
        <f>IF(B556="",0,IF(OR(H556=MappingTables!$C$34,H556=MappingTables!$C$35),W556,0))</f>
        <v>0</v>
      </c>
    </row>
    <row r="557" spans="2:24" s="0" customFormat="0" ht="15">
      <c r="B557" s="69" t="s">
        <v>835</v>
      </c>
      <c r="C557" s="70" t="s">
        <v>836</v>
      </c>
      <c r="D557" s="70" t="s">
        <v>1</v>
      </c>
      <c r="E557" s="70" t="s">
        <v>1</v>
      </c>
      <c r="F557" s="70"/>
      <c r="G557" s="70" t="s">
        <v>61</v>
      </c>
      <c r="H557" s="70" t="s">
        <v>178</v>
      </c>
      <c r="I557" s="70" t="s">
        <v>188</v>
      </c>
      <c r="J557" s="71">
        <f>IF(OR(I557=0,I557=""),"unrated",VLOOKUP(I557,MappingTables!$B$19:$C$31,2,FALSE))</f>
        <v>2</v>
      </c>
      <c r="K557" s="72">
        <v>0.11505569684928436</v>
      </c>
      <c r="L557" s="70">
        <v>2.7182851104716864</v>
      </c>
      <c r="M557" s="71">
        <f>IF(L557&lt;1,1,L557)</f>
        <v>2.7182851104716864</v>
      </c>
      <c r="N557" s="70" t="s">
        <v>141</v>
      </c>
      <c r="O557" s="71">
        <f>INDEX(DurClassMapping,MATCH(M557,MappingTables!$D$4:$D$8,-1),1)</f>
        <v>1</v>
      </c>
      <c r="P557" s="73">
        <f>IF(M557=$A$1,1,$M557-INDEX(MappingTables!$E$4:$E$8,MATCH(O557,MappingTables!$B$4:$B$8,0)))</f>
        <v>2.7182851104716864</v>
      </c>
      <c r="Q557" s="71">
        <f>IF(B557="",0,INDEX(ModelParameters!$D$6:$K$10,MATCH($O557,ModelParameters!$B$6:$B$10,0),MATCH($J557,ModelParameters!$D$5:$K$5,0)))</f>
        <v>0.013999999999999998</v>
      </c>
      <c r="R557" s="71">
        <f>IF(B557="",0,INDEX(ModelParameters!$D$13:$K$17,MATCH($O557,ModelParameters!$B$13:$B$17,0),MATCH($J557,ModelParameters!$D$5:$K$5,0)))</f>
        <v>0</v>
      </c>
      <c r="S557" s="160">
        <f>IF(B557="",0,MIN(IF($N557="Other Bond TM",ModelParameters!$N$21,1)*(P557*Q557+R557),1))</f>
        <v>0.038055991546603608</v>
      </c>
      <c r="T557" s="85">
        <f>IF(B557="",0,$S557*$K557)</f>
        <v>0.0043785586266849536</v>
      </c>
      <c r="U557" s="85">
        <f>IF(B557="",0,IF(OR(H557=MappingTables!$C$34,H557=MappingTables!$C$35),T557,0))</f>
        <v>0</v>
      </c>
      <c r="V557" s="85">
        <f>IF(ISNA(IF(AND(VLOOKUP(CONCATENATE($D557,$G557),CSRFinput!$B:$E,4,0)=0,OR(H557=MappingTables!$C$34,H557=MappingTables!$C$35)),1,VLOOKUP(CONCATENATE($D557,$G557),CSRFinput!$B:$E,4,0))),0,IF(AND(VLOOKUP(CONCATENATE($D557,$G557),CSRFinput!$B:$E,4,0)=0,OR(H557=MappingTables!$C$34,H557=MappingTables!$C$35)),1,VLOOKUP(CONCATENATE($D557,$G557),CSRFinput!$B:$E,4,0)))</f>
        <v>0.054776304963434752</v>
      </c>
      <c r="W557" s="85">
        <f>IF(B557="",0,+$T557*$V557)</f>
        <v>0.00023984126263557308</v>
      </c>
      <c r="X557" s="85">
        <f>IF(B557="",0,IF(OR(H557=MappingTables!$C$34,H557=MappingTables!$C$35),W557,0))</f>
        <v>0</v>
      </c>
    </row>
    <row r="558" spans="2:24" s="0" customFormat="0" ht="15">
      <c r="B558" s="69">
        <v>19695570</v>
      </c>
      <c r="C558" s="70" t="s">
        <v>837</v>
      </c>
      <c r="D558" s="70" t="s">
        <v>1</v>
      </c>
      <c r="E558" s="70" t="s">
        <v>1</v>
      </c>
      <c r="F558" s="70"/>
      <c r="G558" s="70" t="s">
        <v>61</v>
      </c>
      <c r="H558" s="70" t="s">
        <v>178</v>
      </c>
      <c r="I558" s="70" t="s">
        <v>179</v>
      </c>
      <c r="J558" s="71">
        <f>IF(OR(I558=0,I558=""),"unrated",VLOOKUP(I558,MappingTables!$B$19:$C$31,2,FALSE))</f>
        <v>4</v>
      </c>
      <c r="K558" s="72">
        <v>1677.2712814690382</v>
      </c>
      <c r="L558" s="70">
        <v>6.920903942356656</v>
      </c>
      <c r="M558" s="71">
        <f>IF(L558&lt;1,1,L558)</f>
        <v>6.920903942356656</v>
      </c>
      <c r="N558" s="70" t="s">
        <v>141</v>
      </c>
      <c r="O558" s="71">
        <f>INDEX(DurClassMapping,MATCH(M558,MappingTables!$D$4:$D$8,-1),1)</f>
        <v>2</v>
      </c>
      <c r="P558" s="73">
        <f>IF(M558=$A$1,1,$M558-INDEX(MappingTables!$E$4:$E$8,MATCH(O558,MappingTables!$B$4:$B$8,0)))</f>
        <v>1.920903942356656</v>
      </c>
      <c r="Q558" s="71">
        <f>IF(B558="",0,INDEX(ModelParameters!$D$6:$K$10,MATCH($O558,ModelParameters!$B$6:$B$10,0),MATCH($J558,ModelParameters!$D$5:$K$5,0)))</f>
        <v>0.025</v>
      </c>
      <c r="R558" s="71">
        <f>IF(B558="",0,INDEX(ModelParameters!$D$13:$K$17,MATCH($O558,ModelParameters!$B$13:$B$17,0),MATCH($J558,ModelParameters!$D$5:$K$5,0)))</f>
        <v>0.225</v>
      </c>
      <c r="S558" s="160">
        <f>IF(B558="",0,MIN(IF($N558="Other Bond TM",ModelParameters!$N$21,1)*(P558*Q558+R558),1))</f>
        <v>0.2730225985589164</v>
      </c>
      <c r="T558" s="85">
        <f>IF(B558="",0,$S558*$K558)</f>
        <v>457.93296375492056</v>
      </c>
      <c r="U558" s="85">
        <f>IF(B558="",0,IF(OR(H558=MappingTables!$C$34,H558=MappingTables!$C$35),T558,0))</f>
        <v>0</v>
      </c>
      <c r="V558" s="85">
        <f>IF(ISNA(IF(AND(VLOOKUP(CONCATENATE($D558,$G558),CSRFinput!$B:$E,4,0)=0,OR(H558=MappingTables!$C$34,H558=MappingTables!$C$35)),1,VLOOKUP(CONCATENATE($D558,$G558),CSRFinput!$B:$E,4,0))),0,IF(AND(VLOOKUP(CONCATENATE($D558,$G558),CSRFinput!$B:$E,4,0)=0,OR(H558=MappingTables!$C$34,H558=MappingTables!$C$35)),1,VLOOKUP(CONCATENATE($D558,$G558),CSRFinput!$B:$E,4,0)))</f>
        <v>0.054776304963434752</v>
      </c>
      <c r="W558" s="85">
        <f>IF(B558="",0,+$T558*$V558)</f>
        <v>25.08387567544904</v>
      </c>
      <c r="X558" s="85">
        <f>IF(B558="",0,IF(OR(H558=MappingTables!$C$34,H558=MappingTables!$C$35),W558,0))</f>
        <v>0</v>
      </c>
    </row>
    <row r="559" spans="2:24" s="0" customFormat="0" ht="15">
      <c r="B559" s="69">
        <v>20892696</v>
      </c>
      <c r="C559" s="70" t="s">
        <v>838</v>
      </c>
      <c r="D559" s="70" t="s">
        <v>1</v>
      </c>
      <c r="E559" s="70" t="s">
        <v>1</v>
      </c>
      <c r="F559" s="70"/>
      <c r="G559" s="70" t="s">
        <v>55</v>
      </c>
      <c r="H559" s="70" t="s">
        <v>178</v>
      </c>
      <c r="I559" s="70" t="s">
        <v>188</v>
      </c>
      <c r="J559" s="71">
        <f>IF(OR(I559=0,I559=""),"unrated",VLOOKUP(I559,MappingTables!$B$19:$C$31,2,FALSE))</f>
        <v>2</v>
      </c>
      <c r="K559" s="72">
        <v>1568177.0324707032</v>
      </c>
      <c r="L559" s="70">
        <v>6.455771535159608</v>
      </c>
      <c r="M559" s="71">
        <f>IF(L559&lt;1,1,L559)</f>
        <v>6.455771535159608</v>
      </c>
      <c r="N559" s="70" t="s">
        <v>141</v>
      </c>
      <c r="O559" s="71">
        <f>INDEX(DurClassMapping,MATCH(M559,MappingTables!$D$4:$D$8,-1),1)</f>
        <v>2</v>
      </c>
      <c r="P559" s="73">
        <f>IF(M559=$A$1,1,$M559-INDEX(MappingTables!$E$4:$E$8,MATCH(O559,MappingTables!$B$4:$B$8,0)))</f>
        <v>1.4557715351596076</v>
      </c>
      <c r="Q559" s="71">
        <f>IF(B559="",0,INDEX(ModelParameters!$D$6:$K$10,MATCH($O559,ModelParameters!$B$6:$B$10,0),MATCH($J559,ModelParameters!$D$5:$K$5,0)))</f>
        <v>0.0069999999999999992</v>
      </c>
      <c r="R559" s="71">
        <f>IF(B559="",0,INDEX(ModelParameters!$D$13:$K$17,MATCH($O559,ModelParameters!$B$13:$B$17,0),MATCH($J559,ModelParameters!$D$5:$K$5,0)))</f>
        <v>0.070000000000000008</v>
      </c>
      <c r="S559" s="160">
        <f>IF(B559="",0,MIN(IF($N559="Other Bond TM",ModelParameters!$N$21,1)*(P559*Q559+R559),1))</f>
        <v>0.080190400746117264</v>
      </c>
      <c r="T559" s="85">
        <f>IF(B559="",0,$S559*$K559)</f>
        <v>125752.74467468262</v>
      </c>
      <c r="U559" s="85">
        <f>IF(B559="",0,IF(OR(H559=MappingTables!$C$34,H559=MappingTables!$C$35),T559,0))</f>
        <v>0</v>
      </c>
      <c r="V559" s="85">
        <f>IF(ISNA(IF(AND(VLOOKUP(CONCATENATE($D559,$G559),CSRFinput!$B:$E,4,0)=0,OR(H559=MappingTables!$C$34,H559=MappingTables!$C$35)),1,VLOOKUP(CONCATENATE($D559,$G559),CSRFinput!$B:$E,4,0))),0,IF(AND(VLOOKUP(CONCATENATE($D559,$G559),CSRFinput!$B:$E,4,0)=0,OR(H559=MappingTables!$C$34,H559=MappingTables!$C$35)),1,VLOOKUP(CONCATENATE($D559,$G559),CSRFinput!$B:$E,4,0)))</f>
        <v>0.14144277112511686</v>
      </c>
      <c r="W559" s="85">
        <f>IF(B559="",0,+$T559*$V559)</f>
        <v>17786.81668337639</v>
      </c>
      <c r="X559" s="85">
        <f>IF(B559="",0,IF(OR(H559=MappingTables!$C$34,H559=MappingTables!$C$35),W559,0))</f>
        <v>0</v>
      </c>
    </row>
    <row r="560" spans="2:24" s="0" customFormat="0" ht="15">
      <c r="B560" s="69">
        <v>9290119</v>
      </c>
      <c r="C560" s="70" t="s">
        <v>839</v>
      </c>
      <c r="D560" s="70" t="s">
        <v>1</v>
      </c>
      <c r="E560" s="70" t="s">
        <v>1</v>
      </c>
      <c r="F560" s="70"/>
      <c r="G560" s="70" t="s">
        <v>55</v>
      </c>
      <c r="H560" s="70" t="s">
        <v>178</v>
      </c>
      <c r="I560" s="70" t="s">
        <v>181</v>
      </c>
      <c r="J560" s="71">
        <f>IF(OR(I560=0,I560=""),"unrated",VLOOKUP(I560,MappingTables!$B$19:$C$31,2,FALSE))</f>
        <v>3</v>
      </c>
      <c r="K560" s="72">
        <v>409702.02636718752</v>
      </c>
      <c r="L560" s="70">
        <v>0.9616602195467064</v>
      </c>
      <c r="M560" s="71">
        <f>IF(L560&lt;1,1,L560)</f>
        <v>1</v>
      </c>
      <c r="N560" s="70" t="s">
        <v>141</v>
      </c>
      <c r="O560" s="71">
        <f>INDEX(DurClassMapping,MATCH(M560,MappingTables!$D$4:$D$8,-1),1)</f>
        <v>1</v>
      </c>
      <c r="P560" s="73">
        <f>IF(M560=$A$1,1,$M560-INDEX(MappingTables!$E$4:$E$8,MATCH(O560,MappingTables!$B$4:$B$8,0)))</f>
        <v>1</v>
      </c>
      <c r="Q560" s="71">
        <f>IF(B560="",0,INDEX(ModelParameters!$D$6:$K$10,MATCH($O560,ModelParameters!$B$6:$B$10,0),MATCH($J560,ModelParameters!$D$5:$K$5,0)))</f>
        <v>0.025</v>
      </c>
      <c r="R560" s="71">
        <f>IF(B560="",0,INDEX(ModelParameters!$D$13:$K$17,MATCH($O560,ModelParameters!$B$13:$B$17,0),MATCH($J560,ModelParameters!$D$5:$K$5,0)))</f>
        <v>0</v>
      </c>
      <c r="S560" s="160">
        <f>IF(B560="",0,MIN(IF($N560="Other Bond TM",ModelParameters!$N$21,1)*(P560*Q560+R560),1))</f>
        <v>0.025</v>
      </c>
      <c r="T560" s="85">
        <f>IF(B560="",0,$S560*$K560)</f>
        <v>10242.550659179688</v>
      </c>
      <c r="U560" s="85">
        <f>IF(B560="",0,IF(OR(H560=MappingTables!$C$34,H560=MappingTables!$C$35),T560,0))</f>
        <v>0</v>
      </c>
      <c r="V560" s="85">
        <f>IF(ISNA(IF(AND(VLOOKUP(CONCATENATE($D560,$G560),CSRFinput!$B:$E,4,0)=0,OR(H560=MappingTables!$C$34,H560=MappingTables!$C$35)),1,VLOOKUP(CONCATENATE($D560,$G560),CSRFinput!$B:$E,4,0))),0,IF(AND(VLOOKUP(CONCATENATE($D560,$G560),CSRFinput!$B:$E,4,0)=0,OR(H560=MappingTables!$C$34,H560=MappingTables!$C$35)),1,VLOOKUP(CONCATENATE($D560,$G560),CSRFinput!$B:$E,4,0)))</f>
        <v>0.14144277112511686</v>
      </c>
      <c r="W560" s="85">
        <f>IF(B560="",0,+$T560*$V560)</f>
        <v>1448.7347486237672</v>
      </c>
      <c r="X560" s="85">
        <f>IF(B560="",0,IF(OR(H560=MappingTables!$C$34,H560=MappingTables!$C$35),W560,0))</f>
        <v>0</v>
      </c>
    </row>
    <row r="561" spans="2:24" s="0" customFormat="0" ht="15">
      <c r="B561" s="69">
        <v>20113398</v>
      </c>
      <c r="C561" s="70" t="s">
        <v>840</v>
      </c>
      <c r="D561" s="70" t="s">
        <v>1</v>
      </c>
      <c r="E561" s="70" t="s">
        <v>1</v>
      </c>
      <c r="F561" s="70"/>
      <c r="G561" s="70" t="s">
        <v>61</v>
      </c>
      <c r="H561" s="70" t="s">
        <v>178</v>
      </c>
      <c r="I561" s="70" t="s">
        <v>188</v>
      </c>
      <c r="J561" s="71">
        <f>IF(OR(I561=0,I561=""),"unrated",VLOOKUP(I561,MappingTables!$B$19:$C$31,2,FALSE))</f>
        <v>2</v>
      </c>
      <c r="K561" s="72">
        <v>7.496482714037016</v>
      </c>
      <c r="L561" s="70">
        <v>0.2219146865063196</v>
      </c>
      <c r="M561" s="71">
        <f>IF(L561&lt;1,1,L561)</f>
        <v>1</v>
      </c>
      <c r="N561" s="70" t="s">
        <v>141</v>
      </c>
      <c r="O561" s="71">
        <f>INDEX(DurClassMapping,MATCH(M561,MappingTables!$D$4:$D$8,-1),1)</f>
        <v>1</v>
      </c>
      <c r="P561" s="73">
        <f>IF(M561=$A$1,1,$M561-INDEX(MappingTables!$E$4:$E$8,MATCH(O561,MappingTables!$B$4:$B$8,0)))</f>
        <v>1</v>
      </c>
      <c r="Q561" s="71">
        <f>IF(B561="",0,INDEX(ModelParameters!$D$6:$K$10,MATCH($O561,ModelParameters!$B$6:$B$10,0),MATCH($J561,ModelParameters!$D$5:$K$5,0)))</f>
        <v>0.013999999999999998</v>
      </c>
      <c r="R561" s="71">
        <f>IF(B561="",0,INDEX(ModelParameters!$D$13:$K$17,MATCH($O561,ModelParameters!$B$13:$B$17,0),MATCH($J561,ModelParameters!$D$5:$K$5,0)))</f>
        <v>0</v>
      </c>
      <c r="S561" s="160">
        <f>IF(B561="",0,MIN(IF($N561="Other Bond TM",ModelParameters!$N$21,1)*(P561*Q561+R561),1))</f>
        <v>0.013999999999999998</v>
      </c>
      <c r="T561" s="85">
        <f>IF(B561="",0,$S561*$K561)</f>
        <v>0.10495075799651822</v>
      </c>
      <c r="U561" s="85">
        <f>IF(B561="",0,IF(OR(H561=MappingTables!$C$34,H561=MappingTables!$C$35),T561,0))</f>
        <v>0</v>
      </c>
      <c r="V561" s="85">
        <f>IF(ISNA(IF(AND(VLOOKUP(CONCATENATE($D561,$G561),CSRFinput!$B:$E,4,0)=0,OR(H561=MappingTables!$C$34,H561=MappingTables!$C$35)),1,VLOOKUP(CONCATENATE($D561,$G561),CSRFinput!$B:$E,4,0))),0,IF(AND(VLOOKUP(CONCATENATE($D561,$G561),CSRFinput!$B:$E,4,0)=0,OR(H561=MappingTables!$C$34,H561=MappingTables!$C$35)),1,VLOOKUP(CONCATENATE($D561,$G561),CSRFinput!$B:$E,4,0)))</f>
        <v>0.054776304963434752</v>
      </c>
      <c r="W561" s="85">
        <f>IF(B561="",0,+$T561*$V561)</f>
        <v>0.0057488147261609208</v>
      </c>
      <c r="X561" s="85">
        <f>IF(B561="",0,IF(OR(H561=MappingTables!$C$34,H561=MappingTables!$C$35),W561,0))</f>
        <v>0</v>
      </c>
    </row>
    <row r="562" spans="2:24" s="0" customFormat="0" ht="15">
      <c r="B562" s="69">
        <v>20435191</v>
      </c>
      <c r="C562" s="70" t="s">
        <v>841</v>
      </c>
      <c r="D562" s="70" t="s">
        <v>1</v>
      </c>
      <c r="E562" s="70" t="s">
        <v>1</v>
      </c>
      <c r="F562" s="70"/>
      <c r="G562" s="70" t="s">
        <v>55</v>
      </c>
      <c r="H562" s="70" t="s">
        <v>178</v>
      </c>
      <c r="I562" s="70" t="s">
        <v>188</v>
      </c>
      <c r="J562" s="71">
        <f>IF(OR(I562=0,I562=""),"unrated",VLOOKUP(I562,MappingTables!$B$19:$C$31,2,FALSE))</f>
        <v>2</v>
      </c>
      <c r="K562" s="72">
        <v>1107764.663696289</v>
      </c>
      <c r="L562" s="70">
        <v>9.5299363423179808</v>
      </c>
      <c r="M562" s="71">
        <f>IF(L562&lt;1,1,L562)</f>
        <v>9.5299363423179808</v>
      </c>
      <c r="N562" s="70" t="s">
        <v>141</v>
      </c>
      <c r="O562" s="71">
        <f>INDEX(DurClassMapping,MATCH(M562,MappingTables!$D$4:$D$8,-1),1)</f>
        <v>2</v>
      </c>
      <c r="P562" s="73">
        <f>IF(M562=$A$1,1,$M562-INDEX(MappingTables!$E$4:$E$8,MATCH(O562,MappingTables!$B$4:$B$8,0)))</f>
        <v>4.5299363423179816</v>
      </c>
      <c r="Q562" s="71">
        <f>IF(B562="",0,INDEX(ModelParameters!$D$6:$K$10,MATCH($O562,ModelParameters!$B$6:$B$10,0),MATCH($J562,ModelParameters!$D$5:$K$5,0)))</f>
        <v>0.0069999999999999992</v>
      </c>
      <c r="R562" s="71">
        <f>IF(B562="",0,INDEX(ModelParameters!$D$13:$K$17,MATCH($O562,ModelParameters!$B$13:$B$17,0),MATCH($J562,ModelParameters!$D$5:$K$5,0)))</f>
        <v>0.070000000000000008</v>
      </c>
      <c r="S562" s="160">
        <f>IF(B562="",0,MIN(IF($N562="Other Bond TM",ModelParameters!$N$21,1)*(P562*Q562+R562),1))</f>
        <v>0.10170955439622586</v>
      </c>
      <c r="T562" s="85">
        <f>IF(B562="",0,$S562*$K562)</f>
        <v>112670.25032043458</v>
      </c>
      <c r="U562" s="85">
        <f>IF(B562="",0,IF(OR(H562=MappingTables!$C$34,H562=MappingTables!$C$35),T562,0))</f>
        <v>0</v>
      </c>
      <c r="V562" s="85">
        <f>IF(ISNA(IF(AND(VLOOKUP(CONCATENATE($D562,$G562),CSRFinput!$B:$E,4,0)=0,OR(H562=MappingTables!$C$34,H562=MappingTables!$C$35)),1,VLOOKUP(CONCATENATE($D562,$G562),CSRFinput!$B:$E,4,0))),0,IF(AND(VLOOKUP(CONCATENATE($D562,$G562),CSRFinput!$B:$E,4,0)=0,OR(H562=MappingTables!$C$34,H562=MappingTables!$C$35)),1,VLOOKUP(CONCATENATE($D562,$G562),CSRFinput!$B:$E,4,0)))</f>
        <v>0.14144277112511686</v>
      </c>
      <c r="W562" s="85">
        <f>IF(B562="",0,+$T562*$V562)</f>
        <v>15936.392428682852</v>
      </c>
      <c r="X562" s="85">
        <f>IF(B562="",0,IF(OR(H562=MappingTables!$C$34,H562=MappingTables!$C$35),W562,0))</f>
        <v>0</v>
      </c>
    </row>
    <row r="563" spans="2:24" s="0" customFormat="0" ht="15">
      <c r="B563" s="69">
        <v>24430402</v>
      </c>
      <c r="C563" s="70" t="s">
        <v>842</v>
      </c>
      <c r="D563" s="70" t="s">
        <v>1</v>
      </c>
      <c r="E563" s="70" t="s">
        <v>1</v>
      </c>
      <c r="F563" s="70"/>
      <c r="G563" s="70" t="s">
        <v>61</v>
      </c>
      <c r="H563" s="70" t="s">
        <v>178</v>
      </c>
      <c r="I563" s="70" t="s">
        <v>181</v>
      </c>
      <c r="J563" s="71">
        <f>IF(OR(I563=0,I563=""),"unrated",VLOOKUP(I563,MappingTables!$B$19:$C$31,2,FALSE))</f>
        <v>3</v>
      </c>
      <c r="K563" s="72">
        <v>2224.4679745079184</v>
      </c>
      <c r="L563" s="70">
        <v>3.3646959996975932</v>
      </c>
      <c r="M563" s="71">
        <f>IF(L563&lt;1,1,L563)</f>
        <v>3.3646959996975932</v>
      </c>
      <c r="N563" s="70" t="s">
        <v>141</v>
      </c>
      <c r="O563" s="71">
        <f>INDEX(DurClassMapping,MATCH(M563,MappingTables!$D$4:$D$8,-1),1)</f>
        <v>1</v>
      </c>
      <c r="P563" s="73">
        <f>IF(M563=$A$1,1,$M563-INDEX(MappingTables!$E$4:$E$8,MATCH(O563,MappingTables!$B$4:$B$8,0)))</f>
        <v>3.3646959996975932</v>
      </c>
      <c r="Q563" s="71">
        <f>IF(B563="",0,INDEX(ModelParameters!$D$6:$K$10,MATCH($O563,ModelParameters!$B$6:$B$10,0),MATCH($J563,ModelParameters!$D$5:$K$5,0)))</f>
        <v>0.025</v>
      </c>
      <c r="R563" s="71">
        <f>IF(B563="",0,INDEX(ModelParameters!$D$13:$K$17,MATCH($O563,ModelParameters!$B$13:$B$17,0),MATCH($J563,ModelParameters!$D$5:$K$5,0)))</f>
        <v>0</v>
      </c>
      <c r="S563" s="160">
        <f>IF(B563="",0,MIN(IF($N563="Other Bond TM",ModelParameters!$N$21,1)*(P563*Q563+R563),1))</f>
        <v>0.08411739999243984</v>
      </c>
      <c r="T563" s="85">
        <f>IF(B563="",0,$S563*$K563)</f>
        <v>187.11646238205504</v>
      </c>
      <c r="U563" s="85">
        <f>IF(B563="",0,IF(OR(H563=MappingTables!$C$34,H563=MappingTables!$C$35),T563,0))</f>
        <v>0</v>
      </c>
      <c r="V563" s="85">
        <f>IF(ISNA(IF(AND(VLOOKUP(CONCATENATE($D563,$G563),CSRFinput!$B:$E,4,0)=0,OR(H563=MappingTables!$C$34,H563=MappingTables!$C$35)),1,VLOOKUP(CONCATENATE($D563,$G563),CSRFinput!$B:$E,4,0))),0,IF(AND(VLOOKUP(CONCATENATE($D563,$G563),CSRFinput!$B:$E,4,0)=0,OR(H563=MappingTables!$C$34,H563=MappingTables!$C$35)),1,VLOOKUP(CONCATENATE($D563,$G563),CSRFinput!$B:$E,4,0)))</f>
        <v>0.054776304963434752</v>
      </c>
      <c r="W563" s="85">
        <f>IF(B563="",0,+$T563*$V563)</f>
        <v>10.249548407118514</v>
      </c>
      <c r="X563" s="85">
        <f>IF(B563="",0,IF(OR(H563=MappingTables!$C$34,H563=MappingTables!$C$35),W563,0))</f>
        <v>0</v>
      </c>
    </row>
    <row r="564" spans="2:24" s="0" customFormat="0" ht="15">
      <c r="B564" s="69">
        <v>23182456</v>
      </c>
      <c r="C564" s="70" t="s">
        <v>843</v>
      </c>
      <c r="D564" s="70" t="s">
        <v>1</v>
      </c>
      <c r="E564" s="70" t="s">
        <v>1</v>
      </c>
      <c r="F564" s="70"/>
      <c r="G564" s="70" t="s">
        <v>61</v>
      </c>
      <c r="H564" s="70" t="s">
        <v>178</v>
      </c>
      <c r="I564" s="70" t="s">
        <v>179</v>
      </c>
      <c r="J564" s="71">
        <f>IF(OR(I564=0,I564=""),"unrated",VLOOKUP(I564,MappingTables!$B$19:$C$31,2,FALSE))</f>
        <v>4</v>
      </c>
      <c r="K564" s="72">
        <v>43803.92035248176</v>
      </c>
      <c r="L564" s="70">
        <v>5.776962645072396</v>
      </c>
      <c r="M564" s="71">
        <f>IF(L564&lt;1,1,L564)</f>
        <v>5.776962645072396</v>
      </c>
      <c r="N564" s="70" t="s">
        <v>141</v>
      </c>
      <c r="O564" s="71">
        <f>INDEX(DurClassMapping,MATCH(M564,MappingTables!$D$4:$D$8,-1),1)</f>
        <v>2</v>
      </c>
      <c r="P564" s="73">
        <f>IF(M564=$A$1,1,$M564-INDEX(MappingTables!$E$4:$E$8,MATCH(O564,MappingTables!$B$4:$B$8,0)))</f>
        <v>0.77696264507239568</v>
      </c>
      <c r="Q564" s="71">
        <f>IF(B564="",0,INDEX(ModelParameters!$D$6:$K$10,MATCH($O564,ModelParameters!$B$6:$B$10,0),MATCH($J564,ModelParameters!$D$5:$K$5,0)))</f>
        <v>0.025</v>
      </c>
      <c r="R564" s="71">
        <f>IF(B564="",0,INDEX(ModelParameters!$D$13:$K$17,MATCH($O564,ModelParameters!$B$13:$B$17,0),MATCH($J564,ModelParameters!$D$5:$K$5,0)))</f>
        <v>0.225</v>
      </c>
      <c r="S564" s="160">
        <f>IF(B564="",0,MIN(IF($N564="Other Bond TM",ModelParameters!$N$21,1)*(P564*Q564+R564),1))</f>
        <v>0.24442406612680988</v>
      </c>
      <c r="T564" s="85">
        <f>IF(B564="",0,$S564*$K564)</f>
        <v>10706.732324848516</v>
      </c>
      <c r="U564" s="85">
        <f>IF(B564="",0,IF(OR(H564=MappingTables!$C$34,H564=MappingTables!$C$35),T564,0))</f>
        <v>0</v>
      </c>
      <c r="V564" s="85">
        <f>IF(ISNA(IF(AND(VLOOKUP(CONCATENATE($D564,$G564),CSRFinput!$B:$E,4,0)=0,OR(H564=MappingTables!$C$34,H564=MappingTables!$C$35)),1,VLOOKUP(CONCATENATE($D564,$G564),CSRFinput!$B:$E,4,0))),0,IF(AND(VLOOKUP(CONCATENATE($D564,$G564),CSRFinput!$B:$E,4,0)=0,OR(H564=MappingTables!$C$34,H564=MappingTables!$C$35)),1,VLOOKUP(CONCATENATE($D564,$G564),CSRFinput!$B:$E,4,0)))</f>
        <v>0.054776304963434752</v>
      </c>
      <c r="W564" s="85">
        <f>IF(B564="",0,+$T564*$V564)</f>
        <v>586.47523498776704</v>
      </c>
      <c r="X564" s="85">
        <f>IF(B564="",0,IF(OR(H564=MappingTables!$C$34,H564=MappingTables!$C$35),W564,0))</f>
        <v>0</v>
      </c>
    </row>
    <row r="565" spans="2:24" s="0" customFormat="0" ht="15">
      <c r="B565" s="69">
        <v>15874704</v>
      </c>
      <c r="C565" s="70" t="s">
        <v>844</v>
      </c>
      <c r="D565" s="70" t="s">
        <v>1</v>
      </c>
      <c r="E565" s="70" t="s">
        <v>1</v>
      </c>
      <c r="F565" s="70"/>
      <c r="G565" s="70" t="s">
        <v>61</v>
      </c>
      <c r="H565" s="70" t="s">
        <v>178</v>
      </c>
      <c r="I565" s="70" t="s">
        <v>181</v>
      </c>
      <c r="J565" s="71">
        <f>IF(OR(I565=0,I565=""),"unrated",VLOOKUP(I565,MappingTables!$B$19:$C$31,2,FALSE))</f>
        <v>3</v>
      </c>
      <c r="K565" s="72">
        <v>478.46539945412608</v>
      </c>
      <c r="L565" s="70">
        <v>2.1483786020026732</v>
      </c>
      <c r="M565" s="71">
        <f>IF(L565&lt;1,1,L565)</f>
        <v>2.1483786020026732</v>
      </c>
      <c r="N565" s="70" t="s">
        <v>141</v>
      </c>
      <c r="O565" s="71">
        <f>INDEX(DurClassMapping,MATCH(M565,MappingTables!$D$4:$D$8,-1),1)</f>
        <v>1</v>
      </c>
      <c r="P565" s="73">
        <f>IF(M565=$A$1,1,$M565-INDEX(MappingTables!$E$4:$E$8,MATCH(O565,MappingTables!$B$4:$B$8,0)))</f>
        <v>2.1483786020026732</v>
      </c>
      <c r="Q565" s="71">
        <f>IF(B565="",0,INDEX(ModelParameters!$D$6:$K$10,MATCH($O565,ModelParameters!$B$6:$B$10,0),MATCH($J565,ModelParameters!$D$5:$K$5,0)))</f>
        <v>0.025</v>
      </c>
      <c r="R565" s="71">
        <f>IF(B565="",0,INDEX(ModelParameters!$D$13:$K$17,MATCH($O565,ModelParameters!$B$13:$B$17,0),MATCH($J565,ModelParameters!$D$5:$K$5,0)))</f>
        <v>0</v>
      </c>
      <c r="S565" s="160">
        <f>IF(B565="",0,MIN(IF($N565="Other Bond TM",ModelParameters!$N$21,1)*(P565*Q565+R565),1))</f>
        <v>0.053709465050066832</v>
      </c>
      <c r="T565" s="85">
        <f>IF(B565="",0,$S565*$K565)</f>
        <v>25.698120649647648</v>
      </c>
      <c r="U565" s="85">
        <f>IF(B565="",0,IF(OR(H565=MappingTables!$C$34,H565=MappingTables!$C$35),T565,0))</f>
        <v>0</v>
      </c>
      <c r="V565" s="85">
        <f>IF(ISNA(IF(AND(VLOOKUP(CONCATENATE($D565,$G565),CSRFinput!$B:$E,4,0)=0,OR(H565=MappingTables!$C$34,H565=MappingTables!$C$35)),1,VLOOKUP(CONCATENATE($D565,$G565),CSRFinput!$B:$E,4,0))),0,IF(AND(VLOOKUP(CONCATENATE($D565,$G565),CSRFinput!$B:$E,4,0)=0,OR(H565=MappingTables!$C$34,H565=MappingTables!$C$35)),1,VLOOKUP(CONCATENATE($D565,$G565),CSRFinput!$B:$E,4,0)))</f>
        <v>0.054776304963434752</v>
      </c>
      <c r="W565" s="85">
        <f>IF(B565="",0,+$T565*$V565)</f>
        <v>1.4076480936922396</v>
      </c>
      <c r="X565" s="85">
        <f>IF(B565="",0,IF(OR(H565=MappingTables!$C$34,H565=MappingTables!$C$35),W565,0))</f>
        <v>0</v>
      </c>
    </row>
    <row r="566" spans="2:24" s="0" customFormat="0" ht="15">
      <c r="B566" s="69">
        <v>24408435</v>
      </c>
      <c r="C566" s="70" t="s">
        <v>845</v>
      </c>
      <c r="D566" s="70" t="s">
        <v>1</v>
      </c>
      <c r="E566" s="70" t="s">
        <v>1</v>
      </c>
      <c r="F566" s="70"/>
      <c r="G566" s="70" t="s">
        <v>61</v>
      </c>
      <c r="H566" s="70" t="s">
        <v>178</v>
      </c>
      <c r="I566" s="70" t="s">
        <v>188</v>
      </c>
      <c r="J566" s="71">
        <f>IF(OR(I566=0,I566=""),"unrated",VLOOKUP(I566,MappingTables!$B$19:$C$31,2,FALSE))</f>
        <v>2</v>
      </c>
      <c r="K566" s="72">
        <v>144.24971118680444</v>
      </c>
      <c r="L566" s="70">
        <v>1.7203060330823746</v>
      </c>
      <c r="M566" s="71">
        <f>IF(L566&lt;1,1,L566)</f>
        <v>1.7203060330823746</v>
      </c>
      <c r="N566" s="70" t="s">
        <v>141</v>
      </c>
      <c r="O566" s="71">
        <f>INDEX(DurClassMapping,MATCH(M566,MappingTables!$D$4:$D$8,-1),1)</f>
        <v>1</v>
      </c>
      <c r="P566" s="73">
        <f>IF(M566=$A$1,1,$M566-INDEX(MappingTables!$E$4:$E$8,MATCH(O566,MappingTables!$B$4:$B$8,0)))</f>
        <v>1.7203060330823746</v>
      </c>
      <c r="Q566" s="71">
        <f>IF(B566="",0,INDEX(ModelParameters!$D$6:$K$10,MATCH($O566,ModelParameters!$B$6:$B$10,0),MATCH($J566,ModelParameters!$D$5:$K$5,0)))</f>
        <v>0.013999999999999998</v>
      </c>
      <c r="R566" s="71">
        <f>IF(B566="",0,INDEX(ModelParameters!$D$13:$K$17,MATCH($O566,ModelParameters!$B$13:$B$17,0),MATCH($J566,ModelParameters!$D$5:$K$5,0)))</f>
        <v>0</v>
      </c>
      <c r="S566" s="160">
        <f>IF(B566="",0,MIN(IF($N566="Other Bond TM",ModelParameters!$N$21,1)*(P566*Q566+R566),1))</f>
        <v>0.02408428446315324</v>
      </c>
      <c r="T566" s="85">
        <f>IF(B566="",0,$S566*$K566)</f>
        <v>3.474151077950696</v>
      </c>
      <c r="U566" s="85">
        <f>IF(B566="",0,IF(OR(H566=MappingTables!$C$34,H566=MappingTables!$C$35),T566,0))</f>
        <v>0</v>
      </c>
      <c r="V566" s="85">
        <f>IF(ISNA(IF(AND(VLOOKUP(CONCATENATE($D566,$G566),CSRFinput!$B:$E,4,0)=0,OR(H566=MappingTables!$C$34,H566=MappingTables!$C$35)),1,VLOOKUP(CONCATENATE($D566,$G566),CSRFinput!$B:$E,4,0))),0,IF(AND(VLOOKUP(CONCATENATE($D566,$G566),CSRFinput!$B:$E,4,0)=0,OR(H566=MappingTables!$C$34,H566=MappingTables!$C$35)),1,VLOOKUP(CONCATENATE($D566,$G566),CSRFinput!$B:$E,4,0)))</f>
        <v>0.054776304963434752</v>
      </c>
      <c r="W566" s="85">
        <f>IF(B566="",0,+$T566*$V566)</f>
        <v>0.19030115893487292</v>
      </c>
      <c r="X566" s="85">
        <f>IF(B566="",0,IF(OR(H566=MappingTables!$C$34,H566=MappingTables!$C$35),W566,0))</f>
        <v>0</v>
      </c>
    </row>
    <row r="567" spans="2:24" s="0" customFormat="0" ht="15">
      <c r="B567" s="69">
        <v>13181147</v>
      </c>
      <c r="C567" s="70" t="s">
        <v>846</v>
      </c>
      <c r="D567" s="70" t="s">
        <v>1</v>
      </c>
      <c r="E567" s="70" t="s">
        <v>1</v>
      </c>
      <c r="F567" s="70"/>
      <c r="G567" s="70" t="s">
        <v>61</v>
      </c>
      <c r="H567" s="70" t="s">
        <v>178</v>
      </c>
      <c r="I567" s="70" t="s">
        <v>181</v>
      </c>
      <c r="J567" s="71">
        <f>IF(OR(I567=0,I567=""),"unrated",VLOOKUP(I567,MappingTables!$B$19:$C$31,2,FALSE))</f>
        <v>3</v>
      </c>
      <c r="K567" s="72">
        <v>2133.8360902232848</v>
      </c>
      <c r="L567" s="70">
        <v>0.99157862115496128</v>
      </c>
      <c r="M567" s="71">
        <f>IF(L567&lt;1,1,L567)</f>
        <v>1</v>
      </c>
      <c r="N567" s="70" t="s">
        <v>141</v>
      </c>
      <c r="O567" s="71">
        <f>INDEX(DurClassMapping,MATCH(M567,MappingTables!$D$4:$D$8,-1),1)</f>
        <v>1</v>
      </c>
      <c r="P567" s="73">
        <f>IF(M567=$A$1,1,$M567-INDEX(MappingTables!$E$4:$E$8,MATCH(O567,MappingTables!$B$4:$B$8,0)))</f>
        <v>1</v>
      </c>
      <c r="Q567" s="71">
        <f>IF(B567="",0,INDEX(ModelParameters!$D$6:$K$10,MATCH($O567,ModelParameters!$B$6:$B$10,0),MATCH($J567,ModelParameters!$D$5:$K$5,0)))</f>
        <v>0.025</v>
      </c>
      <c r="R567" s="71">
        <f>IF(B567="",0,INDEX(ModelParameters!$D$13:$K$17,MATCH($O567,ModelParameters!$B$13:$B$17,0),MATCH($J567,ModelParameters!$D$5:$K$5,0)))</f>
        <v>0</v>
      </c>
      <c r="S567" s="160">
        <f>IF(B567="",0,MIN(IF($N567="Other Bond TM",ModelParameters!$N$21,1)*(P567*Q567+R567),1))</f>
        <v>0.025</v>
      </c>
      <c r="T567" s="85">
        <f>IF(B567="",0,$S567*$K567)</f>
        <v>53.345902255582128</v>
      </c>
      <c r="U567" s="85">
        <f>IF(B567="",0,IF(OR(H567=MappingTables!$C$34,H567=MappingTables!$C$35),T567,0))</f>
        <v>0</v>
      </c>
      <c r="V567" s="85">
        <f>IF(ISNA(IF(AND(VLOOKUP(CONCATENATE($D567,$G567),CSRFinput!$B:$E,4,0)=0,OR(H567=MappingTables!$C$34,H567=MappingTables!$C$35)),1,VLOOKUP(CONCATENATE($D567,$G567),CSRFinput!$B:$E,4,0))),0,IF(AND(VLOOKUP(CONCATENATE($D567,$G567),CSRFinput!$B:$E,4,0)=0,OR(H567=MappingTables!$C$34,H567=MappingTables!$C$35)),1,VLOOKUP(CONCATENATE($D567,$G567),CSRFinput!$B:$E,4,0)))</f>
        <v>0.054776304963434752</v>
      </c>
      <c r="W567" s="85">
        <f>IF(B567="",0,+$T567*$V567)</f>
        <v>2.9220914105013484</v>
      </c>
      <c r="X567" s="85">
        <f>IF(B567="",0,IF(OR(H567=MappingTables!$C$34,H567=MappingTables!$C$35),W567,0))</f>
        <v>0</v>
      </c>
    </row>
    <row r="568" spans="2:24" s="0" customFormat="0" ht="15">
      <c r="B568" s="69">
        <v>2672799</v>
      </c>
      <c r="C568" s="70" t="s">
        <v>847</v>
      </c>
      <c r="D568" s="70" t="s">
        <v>1</v>
      </c>
      <c r="E568" s="70" t="s">
        <v>1</v>
      </c>
      <c r="F568" s="70"/>
      <c r="G568" s="70" t="s">
        <v>61</v>
      </c>
      <c r="H568" s="70" t="s">
        <v>178</v>
      </c>
      <c r="I568" s="70" t="s">
        <v>220</v>
      </c>
      <c r="J568" s="71">
        <f>IF(OR(I568=0,I568=""),"unrated",VLOOKUP(I568,MappingTables!$B$19:$C$31,2,FALSE))</f>
        <v>1</v>
      </c>
      <c r="K568" s="72">
        <v>4204.1953152442648</v>
      </c>
      <c r="L568" s="70">
        <v>11.64576172577719</v>
      </c>
      <c r="M568" s="71">
        <f>IF(L568&lt;1,1,L568)</f>
        <v>11.64576172577719</v>
      </c>
      <c r="N568" s="70" t="s">
        <v>141</v>
      </c>
      <c r="O568" s="71">
        <f>INDEX(DurClassMapping,MATCH(M568,MappingTables!$D$4:$D$8,-1),1)</f>
        <v>3</v>
      </c>
      <c r="P568" s="73">
        <f>IF(M568=$A$1,1,$M568-INDEX(MappingTables!$E$4:$E$8,MATCH(O568,MappingTables!$B$4:$B$8,0)))</f>
        <v>1.6457617257771898</v>
      </c>
      <c r="Q568" s="71">
        <f>IF(B568="",0,INDEX(ModelParameters!$D$6:$K$10,MATCH($O568,ModelParameters!$B$6:$B$10,0),MATCH($J568,ModelParameters!$D$5:$K$5,0)))</f>
        <v>0.005</v>
      </c>
      <c r="R568" s="71">
        <f>IF(B568="",0,INDEX(ModelParameters!$D$13:$K$17,MATCH($O568,ModelParameters!$B$13:$B$17,0),MATCH($J568,ModelParameters!$D$5:$K$5,0)))</f>
        <v>0.085</v>
      </c>
      <c r="S568" s="160">
        <f>IF(B568="",0,MIN(IF($N568="Other Bond TM",ModelParameters!$N$21,1)*(P568*Q568+R568),1))</f>
        <v>0.093228808628885952</v>
      </c>
      <c r="T568" s="85">
        <f>IF(B568="",0,$S568*$K568)</f>
        <v>391.9521204833664</v>
      </c>
      <c r="U568" s="85">
        <f>IF(B568="",0,IF(OR(H568=MappingTables!$C$34,H568=MappingTables!$C$35),T568,0))</f>
        <v>0</v>
      </c>
      <c r="V568" s="85">
        <f>IF(ISNA(IF(AND(VLOOKUP(CONCATENATE($D568,$G568),CSRFinput!$B:$E,4,0)=0,OR(H568=MappingTables!$C$34,H568=MappingTables!$C$35)),1,VLOOKUP(CONCATENATE($D568,$G568),CSRFinput!$B:$E,4,0))),0,IF(AND(VLOOKUP(CONCATENATE($D568,$G568),CSRFinput!$B:$E,4,0)=0,OR(H568=MappingTables!$C$34,H568=MappingTables!$C$35)),1,VLOOKUP(CONCATENATE($D568,$G568),CSRFinput!$B:$E,4,0)))</f>
        <v>0.054776304963434752</v>
      </c>
      <c r="W568" s="85">
        <f>IF(B568="",0,+$T568*$V568)</f>
        <v>21.4696888826618</v>
      </c>
      <c r="X568" s="85">
        <f>IF(B568="",0,IF(OR(H568=MappingTables!$C$34,H568=MappingTables!$C$35),W568,0))</f>
        <v>0</v>
      </c>
    </row>
    <row r="569" spans="2:24" s="0" customFormat="0" ht="15">
      <c r="B569" s="69">
        <v>14271823</v>
      </c>
      <c r="C569" s="70" t="s">
        <v>848</v>
      </c>
      <c r="D569" s="70" t="s">
        <v>1</v>
      </c>
      <c r="E569" s="70" t="s">
        <v>1</v>
      </c>
      <c r="F569" s="70"/>
      <c r="G569" s="70" t="s">
        <v>61</v>
      </c>
      <c r="H569" s="70" t="s">
        <v>178</v>
      </c>
      <c r="I569" s="70" t="s">
        <v>181</v>
      </c>
      <c r="J569" s="71">
        <f>IF(OR(I569=0,I569=""),"unrated",VLOOKUP(I569,MappingTables!$B$19:$C$31,2,FALSE))</f>
        <v>3</v>
      </c>
      <c r="K569" s="72">
        <v>0.57194295598438264</v>
      </c>
      <c r="L569" s="70">
        <v>1.4381675076433504</v>
      </c>
      <c r="M569" s="71">
        <f>IF(L569&lt;1,1,L569)</f>
        <v>1.4381675076433504</v>
      </c>
      <c r="N569" s="70" t="s">
        <v>141</v>
      </c>
      <c r="O569" s="71">
        <f>INDEX(DurClassMapping,MATCH(M569,MappingTables!$D$4:$D$8,-1),1)</f>
        <v>1</v>
      </c>
      <c r="P569" s="73">
        <f>IF(M569=$A$1,1,$M569-INDEX(MappingTables!$E$4:$E$8,MATCH(O569,MappingTables!$B$4:$B$8,0)))</f>
        <v>1.4381675076433504</v>
      </c>
      <c r="Q569" s="71">
        <f>IF(B569="",0,INDEX(ModelParameters!$D$6:$K$10,MATCH($O569,ModelParameters!$B$6:$B$10,0),MATCH($J569,ModelParameters!$D$5:$K$5,0)))</f>
        <v>0.025</v>
      </c>
      <c r="R569" s="71">
        <f>IF(B569="",0,INDEX(ModelParameters!$D$13:$K$17,MATCH($O569,ModelParameters!$B$13:$B$17,0),MATCH($J569,ModelParameters!$D$5:$K$5,0)))</f>
        <v>0</v>
      </c>
      <c r="S569" s="160">
        <f>IF(B569="",0,MIN(IF($N569="Other Bond TM",ModelParameters!$N$21,1)*(P569*Q569+R569),1))</f>
        <v>0.035954187691083764</v>
      </c>
      <c r="T569" s="85">
        <f>IF(B569="",0,$S569*$K569)</f>
        <v>0.020563744388055752</v>
      </c>
      <c r="U569" s="85">
        <f>IF(B569="",0,IF(OR(H569=MappingTables!$C$34,H569=MappingTables!$C$35),T569,0))</f>
        <v>0</v>
      </c>
      <c r="V569" s="85">
        <f>IF(ISNA(IF(AND(VLOOKUP(CONCATENATE($D569,$G569),CSRFinput!$B:$E,4,0)=0,OR(H569=MappingTables!$C$34,H569=MappingTables!$C$35)),1,VLOOKUP(CONCATENATE($D569,$G569),CSRFinput!$B:$E,4,0))),0,IF(AND(VLOOKUP(CONCATENATE($D569,$G569),CSRFinput!$B:$E,4,0)=0,OR(H569=MappingTables!$C$34,H569=MappingTables!$C$35)),1,VLOOKUP(CONCATENATE($D569,$G569),CSRFinput!$B:$E,4,0)))</f>
        <v>0.054776304963434752</v>
      </c>
      <c r="W569" s="85">
        <f>IF(B569="",0,+$T569*$V569)</f>
        <v>0.001126405933790262</v>
      </c>
      <c r="X569" s="85">
        <f>IF(B569="",0,IF(OR(H569=MappingTables!$C$34,H569=MappingTables!$C$35),W569,0))</f>
        <v>0</v>
      </c>
    </row>
    <row r="570" spans="2:24" s="0" customFormat="0" ht="15">
      <c r="B570" s="69">
        <v>18931659</v>
      </c>
      <c r="C570" s="70" t="s">
        <v>849</v>
      </c>
      <c r="D570" s="70" t="s">
        <v>1</v>
      </c>
      <c r="E570" s="70" t="s">
        <v>1</v>
      </c>
      <c r="F570" s="70"/>
      <c r="G570" s="70" t="s">
        <v>61</v>
      </c>
      <c r="H570" s="70" t="s">
        <v>178</v>
      </c>
      <c r="I570" s="70" t="s">
        <v>181</v>
      </c>
      <c r="J570" s="71">
        <f>IF(OR(I570=0,I570=""),"unrated",VLOOKUP(I570,MappingTables!$B$19:$C$31,2,FALSE))</f>
        <v>3</v>
      </c>
      <c r="K570" s="72">
        <v>5463.76533466454</v>
      </c>
      <c r="L570" s="70">
        <v>15.807763471287962</v>
      </c>
      <c r="M570" s="71">
        <f>IF(L570&lt;1,1,L570)</f>
        <v>15.807763471287962</v>
      </c>
      <c r="N570" s="70" t="s">
        <v>141</v>
      </c>
      <c r="O570" s="71">
        <f>INDEX(DurClassMapping,MATCH(M570,MappingTables!$D$4:$D$8,-1),1)</f>
        <v>4</v>
      </c>
      <c r="P570" s="73">
        <f>IF(M570=$A$1,1,$M570-INDEX(MappingTables!$E$4:$E$8,MATCH(O570,MappingTables!$B$4:$B$8,0)))</f>
        <v>0.80776347128796288</v>
      </c>
      <c r="Q570" s="71">
        <f>IF(B570="",0,INDEX(ModelParameters!$D$6:$K$10,MATCH($O570,ModelParameters!$B$6:$B$10,0),MATCH($J570,ModelParameters!$D$5:$K$5,0)))</f>
        <v>0.01</v>
      </c>
      <c r="R570" s="71">
        <f>IF(B570="",0,INDEX(ModelParameters!$D$13:$K$17,MATCH($O570,ModelParameters!$B$13:$B$17,0),MATCH($J570,ModelParameters!$D$5:$K$5,0)))</f>
        <v>0.25</v>
      </c>
      <c r="S570" s="160">
        <f>IF(B570="",0,MIN(IF($N570="Other Bond TM",ModelParameters!$N$21,1)*(P570*Q570+R570),1))</f>
        <v>0.25807763471287964</v>
      </c>
      <c r="T570" s="85">
        <f>IF(B570="",0,$S570*$K570)</f>
        <v>1410.0756341964498</v>
      </c>
      <c r="U570" s="85">
        <f>IF(B570="",0,IF(OR(H570=MappingTables!$C$34,H570=MappingTables!$C$35),T570,0))</f>
        <v>0</v>
      </c>
      <c r="V570" s="85">
        <f>IF(ISNA(IF(AND(VLOOKUP(CONCATENATE($D570,$G570),CSRFinput!$B:$E,4,0)=0,OR(H570=MappingTables!$C$34,H570=MappingTables!$C$35)),1,VLOOKUP(CONCATENATE($D570,$G570),CSRFinput!$B:$E,4,0))),0,IF(AND(VLOOKUP(CONCATENATE($D570,$G570),CSRFinput!$B:$E,4,0)=0,OR(H570=MappingTables!$C$34,H570=MappingTables!$C$35)),1,VLOOKUP(CONCATENATE($D570,$G570),CSRFinput!$B:$E,4,0)))</f>
        <v>0.054776304963434752</v>
      </c>
      <c r="W570" s="85">
        <f>IF(B570="",0,+$T570*$V570)</f>
        <v>77.238732960253408</v>
      </c>
      <c r="X570" s="85">
        <f>IF(B570="",0,IF(OR(H570=MappingTables!$C$34,H570=MappingTables!$C$35),W570,0))</f>
        <v>0</v>
      </c>
    </row>
    <row r="571" spans="2:24" s="0" customFormat="0" ht="15">
      <c r="B571" s="69">
        <v>16058106</v>
      </c>
      <c r="C571" s="70" t="s">
        <v>850</v>
      </c>
      <c r="D571" s="70" t="s">
        <v>1</v>
      </c>
      <c r="E571" s="70" t="s">
        <v>1</v>
      </c>
      <c r="F571" s="70"/>
      <c r="G571" s="70" t="s">
        <v>61</v>
      </c>
      <c r="H571" s="70" t="s">
        <v>178</v>
      </c>
      <c r="I571" s="70" t="s">
        <v>188</v>
      </c>
      <c r="J571" s="71">
        <f>IF(OR(I571=0,I571=""),"unrated",VLOOKUP(I571,MappingTables!$B$19:$C$31,2,FALSE))</f>
        <v>2</v>
      </c>
      <c r="K571" s="72">
        <v>35809.40152550934</v>
      </c>
      <c r="L571" s="70">
        <v>2.172104649840864</v>
      </c>
      <c r="M571" s="71">
        <f>IF(L571&lt;1,1,L571)</f>
        <v>2.172104649840864</v>
      </c>
      <c r="N571" s="70" t="s">
        <v>141</v>
      </c>
      <c r="O571" s="71">
        <f>INDEX(DurClassMapping,MATCH(M571,MappingTables!$D$4:$D$8,-1),1)</f>
        <v>1</v>
      </c>
      <c r="P571" s="73">
        <f>IF(M571=$A$1,1,$M571-INDEX(MappingTables!$E$4:$E$8,MATCH(O571,MappingTables!$B$4:$B$8,0)))</f>
        <v>2.172104649840864</v>
      </c>
      <c r="Q571" s="71">
        <f>IF(B571="",0,INDEX(ModelParameters!$D$6:$K$10,MATCH($O571,ModelParameters!$B$6:$B$10,0),MATCH($J571,ModelParameters!$D$5:$K$5,0)))</f>
        <v>0.013999999999999998</v>
      </c>
      <c r="R571" s="71">
        <f>IF(B571="",0,INDEX(ModelParameters!$D$13:$K$17,MATCH($O571,ModelParameters!$B$13:$B$17,0),MATCH($J571,ModelParameters!$D$5:$K$5,0)))</f>
        <v>0</v>
      </c>
      <c r="S571" s="160">
        <f>IF(B571="",0,MIN(IF($N571="Other Bond TM",ModelParameters!$N$21,1)*(P571*Q571+R571),1))</f>
        <v>0.030409465097772088</v>
      </c>
      <c r="T571" s="85">
        <f>IF(B571="",0,$S571*$K571)</f>
        <v>1088.944745862083</v>
      </c>
      <c r="U571" s="85">
        <f>IF(B571="",0,IF(OR(H571=MappingTables!$C$34,H571=MappingTables!$C$35),T571,0))</f>
        <v>0</v>
      </c>
      <c r="V571" s="85">
        <f>IF(ISNA(IF(AND(VLOOKUP(CONCATENATE($D571,$G571),CSRFinput!$B:$E,4,0)=0,OR(H571=MappingTables!$C$34,H571=MappingTables!$C$35)),1,VLOOKUP(CONCATENATE($D571,$G571),CSRFinput!$B:$E,4,0))),0,IF(AND(VLOOKUP(CONCATENATE($D571,$G571),CSRFinput!$B:$E,4,0)=0,OR(H571=MappingTables!$C$34,H571=MappingTables!$C$35)),1,VLOOKUP(CONCATENATE($D571,$G571),CSRFinput!$B:$E,4,0)))</f>
        <v>0.054776304963434752</v>
      </c>
      <c r="W571" s="85">
        <f>IF(B571="",0,+$T571*$V571)</f>
        <v>59.648369487671408</v>
      </c>
      <c r="X571" s="85">
        <f>IF(B571="",0,IF(OR(H571=MappingTables!$C$34,H571=MappingTables!$C$35),W571,0))</f>
        <v>0</v>
      </c>
    </row>
    <row r="572" spans="2:24" s="0" customFormat="0" ht="15">
      <c r="B572" s="69" t="s">
        <v>851</v>
      </c>
      <c r="C572" s="70" t="s">
        <v>852</v>
      </c>
      <c r="D572" s="70" t="s">
        <v>1</v>
      </c>
      <c r="E572" s="70" t="s">
        <v>1</v>
      </c>
      <c r="F572" s="70"/>
      <c r="G572" s="70" t="s">
        <v>61</v>
      </c>
      <c r="H572" s="70" t="s">
        <v>178</v>
      </c>
      <c r="I572" s="70" t="s">
        <v>184</v>
      </c>
      <c r="J572" s="71">
        <f>IF(OR(I572=0,I572=""),"unrated",VLOOKUP(I572,MappingTables!$B$19:$C$31,2,FALSE))</f>
        <v>5</v>
      </c>
      <c r="K572" s="72">
        <v>81.249991310422512</v>
      </c>
      <c r="L572" s="70">
        <v>2.6407956740960596</v>
      </c>
      <c r="M572" s="71">
        <f>IF(L572&lt;1,1,L572)</f>
        <v>2.6407956740960596</v>
      </c>
      <c r="N572" s="70" t="s">
        <v>141</v>
      </c>
      <c r="O572" s="71">
        <f>INDEX(DurClassMapping,MATCH(M572,MappingTables!$D$4:$D$8,-1),1)</f>
        <v>1</v>
      </c>
      <c r="P572" s="73">
        <f>IF(M572=$A$1,1,$M572-INDEX(MappingTables!$E$4:$E$8,MATCH(O572,MappingTables!$B$4:$B$8,0)))</f>
        <v>2.6407956740960596</v>
      </c>
      <c r="Q572" s="71">
        <f>IF(B572="",0,INDEX(ModelParameters!$D$6:$K$10,MATCH($O572,ModelParameters!$B$6:$B$10,0),MATCH($J572,ModelParameters!$D$5:$K$5,0)))</f>
        <v>0.075</v>
      </c>
      <c r="R572" s="71">
        <f>IF(B572="",0,INDEX(ModelParameters!$D$13:$K$17,MATCH($O572,ModelParameters!$B$13:$B$17,0),MATCH($J572,ModelParameters!$D$5:$K$5,0)))</f>
        <v>0</v>
      </c>
      <c r="S572" s="160">
        <f>IF(B572="",0,MIN(IF($N572="Other Bond TM",ModelParameters!$N$21,1)*(P572*Q572+R572),1))</f>
        <v>0.19805967555720448</v>
      </c>
      <c r="T572" s="85">
        <f>IF(B572="",0,$S572*$K572)</f>
        <v>16.092346917967966</v>
      </c>
      <c r="U572" s="85">
        <f>IF(B572="",0,IF(OR(H572=MappingTables!$C$34,H572=MappingTables!$C$35),T572,0))</f>
        <v>0</v>
      </c>
      <c r="V572" s="85">
        <f>IF(ISNA(IF(AND(VLOOKUP(CONCATENATE($D572,$G572),CSRFinput!$B:$E,4,0)=0,OR(H572=MappingTables!$C$34,H572=MappingTables!$C$35)),1,VLOOKUP(CONCATENATE($D572,$G572),CSRFinput!$B:$E,4,0))),0,IF(AND(VLOOKUP(CONCATENATE($D572,$G572),CSRFinput!$B:$E,4,0)=0,OR(H572=MappingTables!$C$34,H572=MappingTables!$C$35)),1,VLOOKUP(CONCATENATE($D572,$G572),CSRFinput!$B:$E,4,0)))</f>
        <v>0.054776304963434752</v>
      </c>
      <c r="W572" s="85">
        <f>IF(B572="",0,+$T572*$V572)</f>
        <v>0.88147930235600256</v>
      </c>
      <c r="X572" s="85">
        <f>IF(B572="",0,IF(OR(H572=MappingTables!$C$34,H572=MappingTables!$C$35),W572,0))</f>
        <v>0</v>
      </c>
    </row>
    <row r="573" spans="2:24" s="0" customFormat="0" ht="15">
      <c r="B573" s="69">
        <v>11029611</v>
      </c>
      <c r="C573" s="70" t="s">
        <v>853</v>
      </c>
      <c r="D573" s="70" t="s">
        <v>1</v>
      </c>
      <c r="E573" s="70" t="s">
        <v>1</v>
      </c>
      <c r="F573" s="70"/>
      <c r="G573" s="70" t="s">
        <v>61</v>
      </c>
      <c r="H573" s="70" t="s">
        <v>178</v>
      </c>
      <c r="I573" s="70" t="s">
        <v>184</v>
      </c>
      <c r="J573" s="71">
        <f>IF(OR(I573=0,I573=""),"unrated",VLOOKUP(I573,MappingTables!$B$19:$C$31,2,FALSE))</f>
        <v>5</v>
      </c>
      <c r="K573" s="72">
        <v>260.47617562168272</v>
      </c>
      <c r="L573" s="70">
        <v>0.087671380602238496</v>
      </c>
      <c r="M573" s="71">
        <f>IF(L573&lt;1,1,L573)</f>
        <v>1</v>
      </c>
      <c r="N573" s="70" t="s">
        <v>141</v>
      </c>
      <c r="O573" s="71">
        <f>INDEX(DurClassMapping,MATCH(M573,MappingTables!$D$4:$D$8,-1),1)</f>
        <v>1</v>
      </c>
      <c r="P573" s="73">
        <f>IF(M573=$A$1,1,$M573-INDEX(MappingTables!$E$4:$E$8,MATCH(O573,MappingTables!$B$4:$B$8,0)))</f>
        <v>1</v>
      </c>
      <c r="Q573" s="71">
        <f>IF(B573="",0,INDEX(ModelParameters!$D$6:$K$10,MATCH($O573,ModelParameters!$B$6:$B$10,0),MATCH($J573,ModelParameters!$D$5:$K$5,0)))</f>
        <v>0.075</v>
      </c>
      <c r="R573" s="71">
        <f>IF(B573="",0,INDEX(ModelParameters!$D$13:$K$17,MATCH($O573,ModelParameters!$B$13:$B$17,0),MATCH($J573,ModelParameters!$D$5:$K$5,0)))</f>
        <v>0</v>
      </c>
      <c r="S573" s="160">
        <f>IF(B573="",0,MIN(IF($N573="Other Bond TM",ModelParameters!$N$21,1)*(P573*Q573+R573),1))</f>
        <v>0.075</v>
      </c>
      <c r="T573" s="85">
        <f>IF(B573="",0,$S573*$K573)</f>
        <v>19.535713171626204</v>
      </c>
      <c r="U573" s="85">
        <f>IF(B573="",0,IF(OR(H573=MappingTables!$C$34,H573=MappingTables!$C$35),T573,0))</f>
        <v>0</v>
      </c>
      <c r="V573" s="85">
        <f>IF(ISNA(IF(AND(VLOOKUP(CONCATENATE($D573,$G573),CSRFinput!$B:$E,4,0)=0,OR(H573=MappingTables!$C$34,H573=MappingTables!$C$35)),1,VLOOKUP(CONCATENATE($D573,$G573),CSRFinput!$B:$E,4,0))),0,IF(AND(VLOOKUP(CONCATENATE($D573,$G573),CSRFinput!$B:$E,4,0)=0,OR(H573=MappingTables!$C$34,H573=MappingTables!$C$35)),1,VLOOKUP(CONCATENATE($D573,$G573),CSRFinput!$B:$E,4,0)))</f>
        <v>0.054776304963434752</v>
      </c>
      <c r="W573" s="85">
        <f>IF(B573="",0,+$T573*$V573)</f>
        <v>1.0700941823671862</v>
      </c>
      <c r="X573" s="85">
        <f>IF(B573="",0,IF(OR(H573=MappingTables!$C$34,H573=MappingTables!$C$35),W573,0))</f>
        <v>0</v>
      </c>
    </row>
    <row r="574" spans="2:24" s="0" customFormat="0" ht="15">
      <c r="B574" s="69">
        <v>22387309</v>
      </c>
      <c r="C574" s="70" t="s">
        <v>242</v>
      </c>
      <c r="D574" s="70" t="s">
        <v>1</v>
      </c>
      <c r="E574" s="70" t="s">
        <v>1</v>
      </c>
      <c r="F574" s="70"/>
      <c r="G574" s="70" t="s">
        <v>61</v>
      </c>
      <c r="H574" s="70" t="s">
        <v>178</v>
      </c>
      <c r="I574" s="70" t="s">
        <v>181</v>
      </c>
      <c r="J574" s="71">
        <f>IF(OR(I574=0,I574=""),"unrated",VLOOKUP(I574,MappingTables!$B$19:$C$31,2,FALSE))</f>
        <v>3</v>
      </c>
      <c r="K574" s="72">
        <v>554.07560999319096</v>
      </c>
      <c r="L574" s="70">
        <v>16.478629253866324</v>
      </c>
      <c r="M574" s="71">
        <f>IF(L574&lt;1,1,L574)</f>
        <v>16.478629253866324</v>
      </c>
      <c r="N574" s="70" t="s">
        <v>141</v>
      </c>
      <c r="O574" s="71">
        <f>INDEX(DurClassMapping,MATCH(M574,MappingTables!$D$4:$D$8,-1),1)</f>
        <v>4</v>
      </c>
      <c r="P574" s="73">
        <f>IF(M574=$A$1,1,$M574-INDEX(MappingTables!$E$4:$E$8,MATCH(O574,MappingTables!$B$4:$B$8,0)))</f>
        <v>1.4786292538663232</v>
      </c>
      <c r="Q574" s="71">
        <f>IF(B574="",0,INDEX(ModelParameters!$D$6:$K$10,MATCH($O574,ModelParameters!$B$6:$B$10,0),MATCH($J574,ModelParameters!$D$5:$K$5,0)))</f>
        <v>0.01</v>
      </c>
      <c r="R574" s="71">
        <f>IF(B574="",0,INDEX(ModelParameters!$D$13:$K$17,MATCH($O574,ModelParameters!$B$13:$B$17,0),MATCH($J574,ModelParameters!$D$5:$K$5,0)))</f>
        <v>0.25</v>
      </c>
      <c r="S574" s="160">
        <f>IF(B574="",0,MIN(IF($N574="Other Bond TM",ModelParameters!$N$21,1)*(P574*Q574+R574),1))</f>
        <v>0.26478629253866324</v>
      </c>
      <c r="T574" s="85">
        <f>IF(B574="",0,$S574*$K574)</f>
        <v>146.71162655619534</v>
      </c>
      <c r="U574" s="85">
        <f>IF(B574="",0,IF(OR(H574=MappingTables!$C$34,H574=MappingTables!$C$35),T574,0))</f>
        <v>0</v>
      </c>
      <c r="V574" s="85">
        <f>IF(ISNA(IF(AND(VLOOKUP(CONCATENATE($D574,$G574),CSRFinput!$B:$E,4,0)=0,OR(H574=MappingTables!$C$34,H574=MappingTables!$C$35)),1,VLOOKUP(CONCATENATE($D574,$G574),CSRFinput!$B:$E,4,0))),0,IF(AND(VLOOKUP(CONCATENATE($D574,$G574),CSRFinput!$B:$E,4,0)=0,OR(H574=MappingTables!$C$34,H574=MappingTables!$C$35)),1,VLOOKUP(CONCATENATE($D574,$G574),CSRFinput!$B:$E,4,0)))</f>
        <v>0.054776304963434752</v>
      </c>
      <c r="W574" s="85">
        <f>IF(B574="",0,+$T574*$V574)</f>
        <v>8.0363207979237088</v>
      </c>
      <c r="X574" s="85">
        <f>IF(B574="",0,IF(OR(H574=MappingTables!$C$34,H574=MappingTables!$C$35),W574,0))</f>
        <v>0</v>
      </c>
    </row>
    <row r="575" spans="2:24" s="0" customFormat="0" ht="15">
      <c r="B575" s="69">
        <v>19013622</v>
      </c>
      <c r="C575" s="70" t="s">
        <v>854</v>
      </c>
      <c r="D575" s="70" t="s">
        <v>1</v>
      </c>
      <c r="E575" s="70" t="s">
        <v>1</v>
      </c>
      <c r="F575" s="70"/>
      <c r="G575" s="70" t="s">
        <v>61</v>
      </c>
      <c r="H575" s="70" t="s">
        <v>178</v>
      </c>
      <c r="I575" s="70" t="s">
        <v>179</v>
      </c>
      <c r="J575" s="71">
        <f>IF(OR(I575=0,I575=""),"unrated",VLOOKUP(I575,MappingTables!$B$19:$C$31,2,FALSE))</f>
        <v>4</v>
      </c>
      <c r="K575" s="72">
        <v>2786.5988196747368</v>
      </c>
      <c r="L575" s="70">
        <v>0.339727850704099</v>
      </c>
      <c r="M575" s="71">
        <f>IF(L575&lt;1,1,L575)</f>
        <v>1</v>
      </c>
      <c r="N575" s="70" t="s">
        <v>141</v>
      </c>
      <c r="O575" s="71">
        <f>INDEX(DurClassMapping,MATCH(M575,MappingTables!$D$4:$D$8,-1),1)</f>
        <v>1</v>
      </c>
      <c r="P575" s="73">
        <f>IF(M575=$A$1,1,$M575-INDEX(MappingTables!$E$4:$E$8,MATCH(O575,MappingTables!$B$4:$B$8,0)))</f>
        <v>1</v>
      </c>
      <c r="Q575" s="71">
        <f>IF(B575="",0,INDEX(ModelParameters!$D$6:$K$10,MATCH($O575,ModelParameters!$B$6:$B$10,0),MATCH($J575,ModelParameters!$D$5:$K$5,0)))</f>
        <v>0.045</v>
      </c>
      <c r="R575" s="71">
        <f>IF(B575="",0,INDEX(ModelParameters!$D$13:$K$17,MATCH($O575,ModelParameters!$B$13:$B$17,0),MATCH($J575,ModelParameters!$D$5:$K$5,0)))</f>
        <v>0</v>
      </c>
      <c r="S575" s="160">
        <f>IF(B575="",0,MIN(IF($N575="Other Bond TM",ModelParameters!$N$21,1)*(P575*Q575+R575),1))</f>
        <v>0.045</v>
      </c>
      <c r="T575" s="85">
        <f>IF(B575="",0,$S575*$K575)</f>
        <v>125.39694688536314</v>
      </c>
      <c r="U575" s="85">
        <f>IF(B575="",0,IF(OR(H575=MappingTables!$C$34,H575=MappingTables!$C$35),T575,0))</f>
        <v>0</v>
      </c>
      <c r="V575" s="85">
        <f>IF(ISNA(IF(AND(VLOOKUP(CONCATENATE($D575,$G575),CSRFinput!$B:$E,4,0)=0,OR(H575=MappingTables!$C$34,H575=MappingTables!$C$35)),1,VLOOKUP(CONCATENATE($D575,$G575),CSRFinput!$B:$E,4,0))),0,IF(AND(VLOOKUP(CONCATENATE($D575,$G575),CSRFinput!$B:$E,4,0)=0,OR(H575=MappingTables!$C$34,H575=MappingTables!$C$35)),1,VLOOKUP(CONCATENATE($D575,$G575),CSRFinput!$B:$E,4,0)))</f>
        <v>0.054776304963434752</v>
      </c>
      <c r="W575" s="85">
        <f>IF(B575="",0,+$T575*$V575)</f>
        <v>6.8687814040762824</v>
      </c>
      <c r="X575" s="85">
        <f>IF(B575="",0,IF(OR(H575=MappingTables!$C$34,H575=MappingTables!$C$35),W575,0))</f>
        <v>0</v>
      </c>
    </row>
    <row r="576" spans="2:24" s="0" customFormat="0" ht="15">
      <c r="B576" s="69">
        <v>19013591</v>
      </c>
      <c r="C576" s="70" t="s">
        <v>855</v>
      </c>
      <c r="D576" s="70" t="s">
        <v>1</v>
      </c>
      <c r="E576" s="70" t="s">
        <v>1</v>
      </c>
      <c r="F576" s="70"/>
      <c r="G576" s="70" t="s">
        <v>61</v>
      </c>
      <c r="H576" s="70" t="s">
        <v>178</v>
      </c>
      <c r="I576" s="70" t="s">
        <v>179</v>
      </c>
      <c r="J576" s="71">
        <f>IF(OR(I576=0,I576=""),"unrated",VLOOKUP(I576,MappingTables!$B$19:$C$31,2,FALSE))</f>
        <v>4</v>
      </c>
      <c r="K576" s="72">
        <v>253.31167594229532</v>
      </c>
      <c r="L576" s="70">
        <v>1.5338204073385872</v>
      </c>
      <c r="M576" s="71">
        <f>IF(L576&lt;1,1,L576)</f>
        <v>1.5338204073385872</v>
      </c>
      <c r="N576" s="70" t="s">
        <v>141</v>
      </c>
      <c r="O576" s="71">
        <f>INDEX(DurClassMapping,MATCH(M576,MappingTables!$D$4:$D$8,-1),1)</f>
        <v>1</v>
      </c>
      <c r="P576" s="73">
        <f>IF(M576=$A$1,1,$M576-INDEX(MappingTables!$E$4:$E$8,MATCH(O576,MappingTables!$B$4:$B$8,0)))</f>
        <v>1.5338204073385872</v>
      </c>
      <c r="Q576" s="71">
        <f>IF(B576="",0,INDEX(ModelParameters!$D$6:$K$10,MATCH($O576,ModelParameters!$B$6:$B$10,0),MATCH($J576,ModelParameters!$D$5:$K$5,0)))</f>
        <v>0.045</v>
      </c>
      <c r="R576" s="71">
        <f>IF(B576="",0,INDEX(ModelParameters!$D$13:$K$17,MATCH($O576,ModelParameters!$B$13:$B$17,0),MATCH($J576,ModelParameters!$D$5:$K$5,0)))</f>
        <v>0</v>
      </c>
      <c r="S576" s="160">
        <f>IF(B576="",0,MIN(IF($N576="Other Bond TM",ModelParameters!$N$21,1)*(P576*Q576+R576),1))</f>
        <v>0.069021918330236424</v>
      </c>
      <c r="T576" s="85">
        <f>IF(B576="",0,$S576*$K576)</f>
        <v>17.48405780898442</v>
      </c>
      <c r="U576" s="85">
        <f>IF(B576="",0,IF(OR(H576=MappingTables!$C$34,H576=MappingTables!$C$35),T576,0))</f>
        <v>0</v>
      </c>
      <c r="V576" s="85">
        <f>IF(ISNA(IF(AND(VLOOKUP(CONCATENATE($D576,$G576),CSRFinput!$B:$E,4,0)=0,OR(H576=MappingTables!$C$34,H576=MappingTables!$C$35)),1,VLOOKUP(CONCATENATE($D576,$G576),CSRFinput!$B:$E,4,0))),0,IF(AND(VLOOKUP(CONCATENATE($D576,$G576),CSRFinput!$B:$E,4,0)=0,OR(H576=MappingTables!$C$34,H576=MappingTables!$C$35)),1,VLOOKUP(CONCATENATE($D576,$G576),CSRFinput!$B:$E,4,0)))</f>
        <v>0.054776304963434752</v>
      </c>
      <c r="W576" s="85">
        <f>IF(B576="",0,+$T576*$V576)</f>
        <v>0.95771208254325344</v>
      </c>
      <c r="X576" s="85">
        <f>IF(B576="",0,IF(OR(H576=MappingTables!$C$34,H576=MappingTables!$C$35),W576,0))</f>
        <v>0</v>
      </c>
    </row>
    <row r="577" spans="2:24" s="0" customFormat="0" ht="15">
      <c r="B577" s="69">
        <v>19178595</v>
      </c>
      <c r="C577" s="70" t="s">
        <v>856</v>
      </c>
      <c r="D577" s="70" t="s">
        <v>1</v>
      </c>
      <c r="E577" s="70" t="s">
        <v>1</v>
      </c>
      <c r="F577" s="70"/>
      <c r="G577" s="70" t="s">
        <v>61</v>
      </c>
      <c r="H577" s="70" t="s">
        <v>178</v>
      </c>
      <c r="I577" s="70" t="s">
        <v>184</v>
      </c>
      <c r="J577" s="71">
        <f>IF(OR(I577=0,I577=""),"unrated",VLOOKUP(I577,MappingTables!$B$19:$C$31,2,FALSE))</f>
        <v>5</v>
      </c>
      <c r="K577" s="72">
        <v>26783.693782727624</v>
      </c>
      <c r="L577" s="70">
        <v>2.6773123939165656</v>
      </c>
      <c r="M577" s="71">
        <f>IF(L577&lt;1,1,L577)</f>
        <v>2.6773123939165656</v>
      </c>
      <c r="N577" s="70" t="s">
        <v>141</v>
      </c>
      <c r="O577" s="71">
        <f>INDEX(DurClassMapping,MATCH(M577,MappingTables!$D$4:$D$8,-1),1)</f>
        <v>1</v>
      </c>
      <c r="P577" s="73">
        <f>IF(M577=$A$1,1,$M577-INDEX(MappingTables!$E$4:$E$8,MATCH(O577,MappingTables!$B$4:$B$8,0)))</f>
        <v>2.6773123939165656</v>
      </c>
      <c r="Q577" s="71">
        <f>IF(B577="",0,INDEX(ModelParameters!$D$6:$K$10,MATCH($O577,ModelParameters!$B$6:$B$10,0),MATCH($J577,ModelParameters!$D$5:$K$5,0)))</f>
        <v>0.075</v>
      </c>
      <c r="R577" s="71">
        <f>IF(B577="",0,INDEX(ModelParameters!$D$13:$K$17,MATCH($O577,ModelParameters!$B$13:$B$17,0),MATCH($J577,ModelParameters!$D$5:$K$5,0)))</f>
        <v>0</v>
      </c>
      <c r="S577" s="160">
        <f>IF(B577="",0,MIN(IF($N577="Other Bond TM",ModelParameters!$N$21,1)*(P577*Q577+R577),1))</f>
        <v>0.2007984295437424</v>
      </c>
      <c r="T577" s="85">
        <f>IF(B577="",0,$S577*$K577)</f>
        <v>5378.123648952204</v>
      </c>
      <c r="U577" s="85">
        <f>IF(B577="",0,IF(OR(H577=MappingTables!$C$34,H577=MappingTables!$C$35),T577,0))</f>
        <v>0</v>
      </c>
      <c r="V577" s="85">
        <f>IF(ISNA(IF(AND(VLOOKUP(CONCATENATE($D577,$G577),CSRFinput!$B:$E,4,0)=0,OR(H577=MappingTables!$C$34,H577=MappingTables!$C$35)),1,VLOOKUP(CONCATENATE($D577,$G577),CSRFinput!$B:$E,4,0))),0,IF(AND(VLOOKUP(CONCATENATE($D577,$G577),CSRFinput!$B:$E,4,0)=0,OR(H577=MappingTables!$C$34,H577=MappingTables!$C$35)),1,VLOOKUP(CONCATENATE($D577,$G577),CSRFinput!$B:$E,4,0)))</f>
        <v>0.054776304963434752</v>
      </c>
      <c r="W577" s="85">
        <f>IF(B577="",0,+$T577*$V577)</f>
        <v>294.59374112606644</v>
      </c>
      <c r="X577" s="85">
        <f>IF(B577="",0,IF(OR(H577=MappingTables!$C$34,H577=MappingTables!$C$35),W577,0))</f>
        <v>0</v>
      </c>
    </row>
    <row r="578" spans="2:24" s="0" customFormat="0" ht="15">
      <c r="B578" s="69">
        <v>18189432</v>
      </c>
      <c r="C578" s="70" t="s">
        <v>857</v>
      </c>
      <c r="D578" s="70" t="s">
        <v>1</v>
      </c>
      <c r="E578" s="70" t="s">
        <v>1</v>
      </c>
      <c r="F578" s="70"/>
      <c r="G578" s="70" t="s">
        <v>61</v>
      </c>
      <c r="H578" s="70" t="s">
        <v>178</v>
      </c>
      <c r="I578" s="70" t="s">
        <v>188</v>
      </c>
      <c r="J578" s="71">
        <f>IF(OR(I578=0,I578=""),"unrated",VLOOKUP(I578,MappingTables!$B$19:$C$31,2,FALSE))</f>
        <v>2</v>
      </c>
      <c r="K578" s="72">
        <v>3446.7060530204188</v>
      </c>
      <c r="L578" s="70">
        <v>0.37743574340127072</v>
      </c>
      <c r="M578" s="71">
        <f>IF(L578&lt;1,1,L578)</f>
        <v>1</v>
      </c>
      <c r="N578" s="70" t="s">
        <v>141</v>
      </c>
      <c r="O578" s="71">
        <f>INDEX(DurClassMapping,MATCH(M578,MappingTables!$D$4:$D$8,-1),1)</f>
        <v>1</v>
      </c>
      <c r="P578" s="73">
        <f>IF(M578=$A$1,1,$M578-INDEX(MappingTables!$E$4:$E$8,MATCH(O578,MappingTables!$B$4:$B$8,0)))</f>
        <v>1</v>
      </c>
      <c r="Q578" s="71">
        <f>IF(B578="",0,INDEX(ModelParameters!$D$6:$K$10,MATCH($O578,ModelParameters!$B$6:$B$10,0),MATCH($J578,ModelParameters!$D$5:$K$5,0)))</f>
        <v>0.013999999999999998</v>
      </c>
      <c r="R578" s="71">
        <f>IF(B578="",0,INDEX(ModelParameters!$D$13:$K$17,MATCH($O578,ModelParameters!$B$13:$B$17,0),MATCH($J578,ModelParameters!$D$5:$K$5,0)))</f>
        <v>0</v>
      </c>
      <c r="S578" s="160">
        <f>IF(B578="",0,MIN(IF($N578="Other Bond TM",ModelParameters!$N$21,1)*(P578*Q578+R578),1))</f>
        <v>0.013999999999999998</v>
      </c>
      <c r="T578" s="85">
        <f>IF(B578="",0,$S578*$K578)</f>
        <v>48.253884742285864</v>
      </c>
      <c r="U578" s="85">
        <f>IF(B578="",0,IF(OR(H578=MappingTables!$C$34,H578=MappingTables!$C$35),T578,0))</f>
        <v>0</v>
      </c>
      <c r="V578" s="85">
        <f>IF(ISNA(IF(AND(VLOOKUP(CONCATENATE($D578,$G578),CSRFinput!$B:$E,4,0)=0,OR(H578=MappingTables!$C$34,H578=MappingTables!$C$35)),1,VLOOKUP(CONCATENATE($D578,$G578),CSRFinput!$B:$E,4,0))),0,IF(AND(VLOOKUP(CONCATENATE($D578,$G578),CSRFinput!$B:$E,4,0)=0,OR(H578=MappingTables!$C$34,H578=MappingTables!$C$35)),1,VLOOKUP(CONCATENATE($D578,$G578),CSRFinput!$B:$E,4,0)))</f>
        <v>0.054776304963434752</v>
      </c>
      <c r="W578" s="85">
        <f>IF(B578="",0,+$T578*$V578)</f>
        <v>2.643169506313882</v>
      </c>
      <c r="X578" s="85">
        <f>IF(B578="",0,IF(OR(H578=MappingTables!$C$34,H578=MappingTables!$C$35),W578,0))</f>
        <v>0</v>
      </c>
    </row>
    <row r="579" spans="2:24" s="0" customFormat="0" ht="15">
      <c r="B579" s="69">
        <v>21036981</v>
      </c>
      <c r="C579" s="70" t="s">
        <v>626</v>
      </c>
      <c r="D579" s="70" t="s">
        <v>1</v>
      </c>
      <c r="E579" s="70" t="s">
        <v>1</v>
      </c>
      <c r="F579" s="70"/>
      <c r="G579" s="70" t="s">
        <v>61</v>
      </c>
      <c r="H579" s="70" t="s">
        <v>178</v>
      </c>
      <c r="I579" s="70" t="s">
        <v>181</v>
      </c>
      <c r="J579" s="71">
        <f>IF(OR(I579=0,I579=""),"unrated",VLOOKUP(I579,MappingTables!$B$19:$C$31,2,FALSE))</f>
        <v>3</v>
      </c>
      <c r="K579" s="72">
        <v>11475.456590684954</v>
      </c>
      <c r="L579" s="70">
        <v>7.5416200124411312</v>
      </c>
      <c r="M579" s="71">
        <f>IF(L579&lt;1,1,L579)</f>
        <v>7.5416200124411312</v>
      </c>
      <c r="N579" s="70" t="s">
        <v>141</v>
      </c>
      <c r="O579" s="71">
        <f>INDEX(DurClassMapping,MATCH(M579,MappingTables!$D$4:$D$8,-1),1)</f>
        <v>2</v>
      </c>
      <c r="P579" s="73">
        <f>IF(M579=$A$1,1,$M579-INDEX(MappingTables!$E$4:$E$8,MATCH(O579,MappingTables!$B$4:$B$8,0)))</f>
        <v>2.5416200124411316</v>
      </c>
      <c r="Q579" s="71">
        <f>IF(B579="",0,INDEX(ModelParameters!$D$6:$K$10,MATCH($O579,ModelParameters!$B$6:$B$10,0),MATCH($J579,ModelParameters!$D$5:$K$5,0)))</f>
        <v>0.015</v>
      </c>
      <c r="R579" s="71">
        <f>IF(B579="",0,INDEX(ModelParameters!$D$13:$K$17,MATCH($O579,ModelParameters!$B$13:$B$17,0),MATCH($J579,ModelParameters!$D$5:$K$5,0)))</f>
        <v>0.125</v>
      </c>
      <c r="S579" s="160">
        <f>IF(B579="",0,MIN(IF($N579="Other Bond TM",ModelParameters!$N$21,1)*(P579*Q579+R579),1))</f>
        <v>0.16312430018661698</v>
      </c>
      <c r="T579" s="85">
        <f>IF(B579="",0,$S579*$K579)</f>
        <v>1871.9258256773848</v>
      </c>
      <c r="U579" s="85">
        <f>IF(B579="",0,IF(OR(H579=MappingTables!$C$34,H579=MappingTables!$C$35),T579,0))</f>
        <v>0</v>
      </c>
      <c r="V579" s="85">
        <f>IF(ISNA(IF(AND(VLOOKUP(CONCATENATE($D579,$G579),CSRFinput!$B:$E,4,0)=0,OR(H579=MappingTables!$C$34,H579=MappingTables!$C$35)),1,VLOOKUP(CONCATENATE($D579,$G579),CSRFinput!$B:$E,4,0))),0,IF(AND(VLOOKUP(CONCATENATE($D579,$G579),CSRFinput!$B:$E,4,0)=0,OR(H579=MappingTables!$C$34,H579=MappingTables!$C$35)),1,VLOOKUP(CONCATENATE($D579,$G579),CSRFinput!$B:$E,4,0)))</f>
        <v>0.054776304963434752</v>
      </c>
      <c r="W579" s="85">
        <f>IF(B579="",0,+$T579*$V579)</f>
        <v>102.53717989623382</v>
      </c>
      <c r="X579" s="85">
        <f>IF(B579="",0,IF(OR(H579=MappingTables!$C$34,H579=MappingTables!$C$35),W579,0))</f>
        <v>0</v>
      </c>
    </row>
    <row r="580" spans="2:24" s="0" customFormat="0" ht="15">
      <c r="B580" s="69">
        <v>17602723</v>
      </c>
      <c r="C580" s="70" t="s">
        <v>858</v>
      </c>
      <c r="D580" s="70" t="s">
        <v>1</v>
      </c>
      <c r="E580" s="70" t="s">
        <v>1</v>
      </c>
      <c r="F580" s="70"/>
      <c r="G580" s="70" t="s">
        <v>61</v>
      </c>
      <c r="H580" s="70" t="s">
        <v>178</v>
      </c>
      <c r="I580" s="70" t="s">
        <v>188</v>
      </c>
      <c r="J580" s="71">
        <f>IF(OR(I580=0,I580=""),"unrated",VLOOKUP(I580,MappingTables!$B$19:$C$31,2,FALSE))</f>
        <v>2</v>
      </c>
      <c r="K580" s="72">
        <v>895.3399280163248</v>
      </c>
      <c r="L580" s="70">
        <v>0.55205464582571904</v>
      </c>
      <c r="M580" s="71">
        <f>IF(L580&lt;1,1,L580)</f>
        <v>1</v>
      </c>
      <c r="N580" s="70" t="s">
        <v>141</v>
      </c>
      <c r="O580" s="71">
        <f>INDEX(DurClassMapping,MATCH(M580,MappingTables!$D$4:$D$8,-1),1)</f>
        <v>1</v>
      </c>
      <c r="P580" s="73">
        <f>IF(M580=$A$1,1,$M580-INDEX(MappingTables!$E$4:$E$8,MATCH(O580,MappingTables!$B$4:$B$8,0)))</f>
        <v>1</v>
      </c>
      <c r="Q580" s="71">
        <f>IF(B580="",0,INDEX(ModelParameters!$D$6:$K$10,MATCH($O580,ModelParameters!$B$6:$B$10,0),MATCH($J580,ModelParameters!$D$5:$K$5,0)))</f>
        <v>0.013999999999999998</v>
      </c>
      <c r="R580" s="71">
        <f>IF(B580="",0,INDEX(ModelParameters!$D$13:$K$17,MATCH($O580,ModelParameters!$B$13:$B$17,0),MATCH($J580,ModelParameters!$D$5:$K$5,0)))</f>
        <v>0</v>
      </c>
      <c r="S580" s="160">
        <f>IF(B580="",0,MIN(IF($N580="Other Bond TM",ModelParameters!$N$21,1)*(P580*Q580+R580),1))</f>
        <v>0.013999999999999998</v>
      </c>
      <c r="T580" s="85">
        <f>IF(B580="",0,$S580*$K580)</f>
        <v>12.534758992228544</v>
      </c>
      <c r="U580" s="85">
        <f>IF(B580="",0,IF(OR(H580=MappingTables!$C$34,H580=MappingTables!$C$35),T580,0))</f>
        <v>0</v>
      </c>
      <c r="V580" s="85">
        <f>IF(ISNA(IF(AND(VLOOKUP(CONCATENATE($D580,$G580),CSRFinput!$B:$E,4,0)=0,OR(H580=MappingTables!$C$34,H580=MappingTables!$C$35)),1,VLOOKUP(CONCATENATE($D580,$G580),CSRFinput!$B:$E,4,0))),0,IF(AND(VLOOKUP(CONCATENATE($D580,$G580),CSRFinput!$B:$E,4,0)=0,OR(H580=MappingTables!$C$34,H580=MappingTables!$C$35)),1,VLOOKUP(CONCATENATE($D580,$G580),CSRFinput!$B:$E,4,0)))</f>
        <v>0.054776304963434752</v>
      </c>
      <c r="W580" s="85">
        <f>IF(B580="",0,+$T580*$V580)</f>
        <v>0.6866077812014668</v>
      </c>
      <c r="X580" s="85">
        <f>IF(B580="",0,IF(OR(H580=MappingTables!$C$34,H580=MappingTables!$C$35),W580,0))</f>
        <v>0</v>
      </c>
    </row>
    <row r="581" spans="2:24" s="0" customFormat="0" ht="15">
      <c r="B581" s="69">
        <v>21836613</v>
      </c>
      <c r="C581" s="70" t="s">
        <v>859</v>
      </c>
      <c r="D581" s="70" t="s">
        <v>1</v>
      </c>
      <c r="E581" s="70" t="s">
        <v>1</v>
      </c>
      <c r="F581" s="70"/>
      <c r="G581" s="70" t="s">
        <v>61</v>
      </c>
      <c r="H581" s="70" t="s">
        <v>178</v>
      </c>
      <c r="I581" s="70" t="s">
        <v>188</v>
      </c>
      <c r="J581" s="71">
        <f>IF(OR(I581=0,I581=""),"unrated",VLOOKUP(I581,MappingTables!$B$19:$C$31,2,FALSE))</f>
        <v>2</v>
      </c>
      <c r="K581" s="72">
        <v>13.387540346170448</v>
      </c>
      <c r="L581" s="70">
        <v>2.0048538475401468</v>
      </c>
      <c r="M581" s="71">
        <f>IF(L581&lt;1,1,L581)</f>
        <v>2.0048538475401468</v>
      </c>
      <c r="N581" s="70" t="s">
        <v>141</v>
      </c>
      <c r="O581" s="71">
        <f>INDEX(DurClassMapping,MATCH(M581,MappingTables!$D$4:$D$8,-1),1)</f>
        <v>1</v>
      </c>
      <c r="P581" s="73">
        <f>IF(M581=$A$1,1,$M581-INDEX(MappingTables!$E$4:$E$8,MATCH(O581,MappingTables!$B$4:$B$8,0)))</f>
        <v>2.0048538475401468</v>
      </c>
      <c r="Q581" s="71">
        <f>IF(B581="",0,INDEX(ModelParameters!$D$6:$K$10,MATCH($O581,ModelParameters!$B$6:$B$10,0),MATCH($J581,ModelParameters!$D$5:$K$5,0)))</f>
        <v>0.013999999999999998</v>
      </c>
      <c r="R581" s="71">
        <f>IF(B581="",0,INDEX(ModelParameters!$D$13:$K$17,MATCH($O581,ModelParameters!$B$13:$B$17,0),MATCH($J581,ModelParameters!$D$5:$K$5,0)))</f>
        <v>0</v>
      </c>
      <c r="S581" s="160">
        <f>IF(B581="",0,MIN(IF($N581="Other Bond TM",ModelParameters!$N$21,1)*(P581*Q581+R581),1))</f>
        <v>0.028067953865562052</v>
      </c>
      <c r="T581" s="85">
        <f>IF(B581="",0,$S581*$K581)</f>
        <v>0.37576086480966272</v>
      </c>
      <c r="U581" s="85">
        <f>IF(B581="",0,IF(OR(H581=MappingTables!$C$34,H581=MappingTables!$C$35),T581,0))</f>
        <v>0</v>
      </c>
      <c r="V581" s="85">
        <f>IF(ISNA(IF(AND(VLOOKUP(CONCATENATE($D581,$G581),CSRFinput!$B:$E,4,0)=0,OR(H581=MappingTables!$C$34,H581=MappingTables!$C$35)),1,VLOOKUP(CONCATENATE($D581,$G581),CSRFinput!$B:$E,4,0))),0,IF(AND(VLOOKUP(CONCATENATE($D581,$G581),CSRFinput!$B:$E,4,0)=0,OR(H581=MappingTables!$C$34,H581=MappingTables!$C$35)),1,VLOOKUP(CONCATENATE($D581,$G581),CSRFinput!$B:$E,4,0)))</f>
        <v>0.054776304963434752</v>
      </c>
      <c r="W581" s="85">
        <f>IF(B581="",0,+$T581*$V581)</f>
        <v>0.020582791724138064</v>
      </c>
      <c r="X581" s="85">
        <f>IF(B581="",0,IF(OR(H581=MappingTables!$C$34,H581=MappingTables!$C$35),W581,0))</f>
        <v>0</v>
      </c>
    </row>
    <row r="582" spans="2:24" s="0" customFormat="0" ht="15">
      <c r="B582" s="69" t="s">
        <v>860</v>
      </c>
      <c r="C582" s="70" t="s">
        <v>861</v>
      </c>
      <c r="D582" s="70" t="s">
        <v>1</v>
      </c>
      <c r="E582" s="70" t="s">
        <v>1</v>
      </c>
      <c r="F582" s="70"/>
      <c r="G582" s="70" t="s">
        <v>61</v>
      </c>
      <c r="H582" s="70" t="s">
        <v>178</v>
      </c>
      <c r="I582" s="70" t="s">
        <v>179</v>
      </c>
      <c r="J582" s="71">
        <f>IF(OR(I582=0,I582=""),"unrated",VLOOKUP(I582,MappingTables!$B$19:$C$31,2,FALSE))</f>
        <v>4</v>
      </c>
      <c r="K582" s="72">
        <v>204.36098780004348</v>
      </c>
      <c r="L582" s="70">
        <v>1.2728999332348656</v>
      </c>
      <c r="M582" s="71">
        <f>IF(L582&lt;1,1,L582)</f>
        <v>1.2728999332348656</v>
      </c>
      <c r="N582" s="70" t="s">
        <v>141</v>
      </c>
      <c r="O582" s="71">
        <f>INDEX(DurClassMapping,MATCH(M582,MappingTables!$D$4:$D$8,-1),1)</f>
        <v>1</v>
      </c>
      <c r="P582" s="73">
        <f>IF(M582=$A$1,1,$M582-INDEX(MappingTables!$E$4:$E$8,MATCH(O582,MappingTables!$B$4:$B$8,0)))</f>
        <v>1.2728999332348656</v>
      </c>
      <c r="Q582" s="71">
        <f>IF(B582="",0,INDEX(ModelParameters!$D$6:$K$10,MATCH($O582,ModelParameters!$B$6:$B$10,0),MATCH($J582,ModelParameters!$D$5:$K$5,0)))</f>
        <v>0.045</v>
      </c>
      <c r="R582" s="71">
        <f>IF(B582="",0,INDEX(ModelParameters!$D$13:$K$17,MATCH($O582,ModelParameters!$B$13:$B$17,0),MATCH($J582,ModelParameters!$D$5:$K$5,0)))</f>
        <v>0</v>
      </c>
      <c r="S582" s="160">
        <f>IF(B582="",0,MIN(IF($N582="Other Bond TM",ModelParameters!$N$21,1)*(P582*Q582+R582),1))</f>
        <v>0.057280496995568944</v>
      </c>
      <c r="T582" s="85">
        <f>IF(B582="",0,$S582*$K582)</f>
        <v>11.705898947691892</v>
      </c>
      <c r="U582" s="85">
        <f>IF(B582="",0,IF(OR(H582=MappingTables!$C$34,H582=MappingTables!$C$35),T582,0))</f>
        <v>0</v>
      </c>
      <c r="V582" s="85">
        <f>IF(ISNA(IF(AND(VLOOKUP(CONCATENATE($D582,$G582),CSRFinput!$B:$E,4,0)=0,OR(H582=MappingTables!$C$34,H582=MappingTables!$C$35)),1,VLOOKUP(CONCATENATE($D582,$G582),CSRFinput!$B:$E,4,0))),0,IF(AND(VLOOKUP(CONCATENATE($D582,$G582),CSRFinput!$B:$E,4,0)=0,OR(H582=MappingTables!$C$34,H582=MappingTables!$C$35)),1,VLOOKUP(CONCATENATE($D582,$G582),CSRFinput!$B:$E,4,0)))</f>
        <v>0.054776304963434752</v>
      </c>
      <c r="W582" s="85">
        <f>IF(B582="",0,+$T582*$V582)</f>
        <v>0.64120589062992104</v>
      </c>
      <c r="X582" s="85">
        <f>IF(B582="",0,IF(OR(H582=MappingTables!$C$34,H582=MappingTables!$C$35),W582,0))</f>
        <v>0</v>
      </c>
    </row>
    <row r="583" spans="2:24" s="0" customFormat="0" ht="15">
      <c r="B583" s="69">
        <v>20647449</v>
      </c>
      <c r="C583" s="70" t="s">
        <v>862</v>
      </c>
      <c r="D583" s="70" t="s">
        <v>1</v>
      </c>
      <c r="E583" s="70" t="s">
        <v>1</v>
      </c>
      <c r="F583" s="70"/>
      <c r="G583" s="70" t="s">
        <v>61</v>
      </c>
      <c r="H583" s="70" t="s">
        <v>178</v>
      </c>
      <c r="I583" s="70" t="s">
        <v>181</v>
      </c>
      <c r="J583" s="71">
        <f>IF(OR(I583=0,I583=""),"unrated",VLOOKUP(I583,MappingTables!$B$19:$C$31,2,FALSE))</f>
        <v>3</v>
      </c>
      <c r="K583" s="72">
        <v>44003.836662701848</v>
      </c>
      <c r="L583" s="70">
        <v>3.953669862061112</v>
      </c>
      <c r="M583" s="71">
        <f>IF(L583&lt;1,1,L583)</f>
        <v>3.953669862061112</v>
      </c>
      <c r="N583" s="70" t="s">
        <v>141</v>
      </c>
      <c r="O583" s="71">
        <f>INDEX(DurClassMapping,MATCH(M583,MappingTables!$D$4:$D$8,-1),1)</f>
        <v>1</v>
      </c>
      <c r="P583" s="73">
        <f>IF(M583=$A$1,1,$M583-INDEX(MappingTables!$E$4:$E$8,MATCH(O583,MappingTables!$B$4:$B$8,0)))</f>
        <v>3.953669862061112</v>
      </c>
      <c r="Q583" s="71">
        <f>IF(B583="",0,INDEX(ModelParameters!$D$6:$K$10,MATCH($O583,ModelParameters!$B$6:$B$10,0),MATCH($J583,ModelParameters!$D$5:$K$5,0)))</f>
        <v>0.025</v>
      </c>
      <c r="R583" s="71">
        <f>IF(B583="",0,INDEX(ModelParameters!$D$13:$K$17,MATCH($O583,ModelParameters!$B$13:$B$17,0),MATCH($J583,ModelParameters!$D$5:$K$5,0)))</f>
        <v>0</v>
      </c>
      <c r="S583" s="160">
        <f>IF(B583="",0,MIN(IF($N583="Other Bond TM",ModelParameters!$N$21,1)*(P583*Q583+R583),1))</f>
        <v>0.098841746551527808</v>
      </c>
      <c r="T583" s="85">
        <f>IF(B583="",0,$S583*$K583)</f>
        <v>4349.4160707096032</v>
      </c>
      <c r="U583" s="85">
        <f>IF(B583="",0,IF(OR(H583=MappingTables!$C$34,H583=MappingTables!$C$35),T583,0))</f>
        <v>0</v>
      </c>
      <c r="V583" s="85">
        <f>IF(ISNA(IF(AND(VLOOKUP(CONCATENATE($D583,$G583),CSRFinput!$B:$E,4,0)=0,OR(H583=MappingTables!$C$34,H583=MappingTables!$C$35)),1,VLOOKUP(CONCATENATE($D583,$G583),CSRFinput!$B:$E,4,0))),0,IF(AND(VLOOKUP(CONCATENATE($D583,$G583),CSRFinput!$B:$E,4,0)=0,OR(H583=MappingTables!$C$34,H583=MappingTables!$C$35)),1,VLOOKUP(CONCATENATE($D583,$G583),CSRFinput!$B:$E,4,0)))</f>
        <v>0.054776304963434752</v>
      </c>
      <c r="W583" s="85">
        <f>IF(B583="",0,+$T583*$V583)</f>
        <v>238.24494110205332</v>
      </c>
      <c r="X583" s="85">
        <f>IF(B583="",0,IF(OR(H583=MappingTables!$C$34,H583=MappingTables!$C$35),W583,0))</f>
        <v>0</v>
      </c>
    </row>
    <row r="584" spans="2:24" s="0" customFormat="0" ht="15">
      <c r="B584" s="69">
        <v>15709649</v>
      </c>
      <c r="C584" s="70" t="s">
        <v>290</v>
      </c>
      <c r="D584" s="70" t="s">
        <v>1</v>
      </c>
      <c r="E584" s="70" t="s">
        <v>1</v>
      </c>
      <c r="F584" s="70"/>
      <c r="G584" s="70" t="s">
        <v>61</v>
      </c>
      <c r="H584" s="70" t="s">
        <v>178</v>
      </c>
      <c r="I584" s="70" t="s">
        <v>181</v>
      </c>
      <c r="J584" s="71">
        <f>IF(OR(I584=0,I584=""),"unrated",VLOOKUP(I584,MappingTables!$B$19:$C$31,2,FALSE))</f>
        <v>3</v>
      </c>
      <c r="K584" s="72">
        <v>62570.830558790456</v>
      </c>
      <c r="L584" s="70">
        <v>14.110141579042666</v>
      </c>
      <c r="M584" s="71">
        <f>IF(L584&lt;1,1,L584)</f>
        <v>14.110141579042666</v>
      </c>
      <c r="N584" s="70" t="s">
        <v>141</v>
      </c>
      <c r="O584" s="71">
        <f>INDEX(DurClassMapping,MATCH(M584,MappingTables!$D$4:$D$8,-1),1)</f>
        <v>3</v>
      </c>
      <c r="P584" s="73">
        <f>IF(M584=$A$1,1,$M584-INDEX(MappingTables!$E$4:$E$8,MATCH(O584,MappingTables!$B$4:$B$8,0)))</f>
        <v>4.1101415790426664</v>
      </c>
      <c r="Q584" s="71">
        <f>IF(B584="",0,INDEX(ModelParameters!$D$6:$K$10,MATCH($O584,ModelParameters!$B$6:$B$10,0),MATCH($J584,ModelParameters!$D$5:$K$5,0)))</f>
        <v>0.01</v>
      </c>
      <c r="R584" s="71">
        <f>IF(B584="",0,INDEX(ModelParameters!$D$13:$K$17,MATCH($O584,ModelParameters!$B$13:$B$17,0),MATCH($J584,ModelParameters!$D$5:$K$5,0)))</f>
        <v>0.2</v>
      </c>
      <c r="S584" s="160">
        <f>IF(B584="",0,MIN(IF($N584="Other Bond TM",ModelParameters!$N$21,1)*(P584*Q584+R584),1))</f>
        <v>0.24110141579042668</v>
      </c>
      <c r="T584" s="85">
        <f>IF(B584="",0,$S584*$K584)</f>
        <v>15085.915834907274</v>
      </c>
      <c r="U584" s="85">
        <f>IF(B584="",0,IF(OR(H584=MappingTables!$C$34,H584=MappingTables!$C$35),T584,0))</f>
        <v>0</v>
      </c>
      <c r="V584" s="85">
        <f>IF(ISNA(IF(AND(VLOOKUP(CONCATENATE($D584,$G584),CSRFinput!$B:$E,4,0)=0,OR(H584=MappingTables!$C$34,H584=MappingTables!$C$35)),1,VLOOKUP(CONCATENATE($D584,$G584),CSRFinput!$B:$E,4,0))),0,IF(AND(VLOOKUP(CONCATENATE($D584,$G584),CSRFinput!$B:$E,4,0)=0,OR(H584=MappingTables!$C$34,H584=MappingTables!$C$35)),1,VLOOKUP(CONCATENATE($D584,$G584),CSRFinput!$B:$E,4,0)))</f>
        <v>0.054776304963434752</v>
      </c>
      <c r="W584" s="85">
        <f>IF(B584="",0,+$T584*$V584)</f>
        <v>826.35072642559024</v>
      </c>
      <c r="X584" s="85">
        <f>IF(B584="",0,IF(OR(H584=MappingTables!$C$34,H584=MappingTables!$C$35),W584,0))</f>
        <v>0</v>
      </c>
    </row>
    <row r="585" spans="2:24" s="0" customFormat="0" ht="15">
      <c r="B585" s="69">
        <v>18728680</v>
      </c>
      <c r="C585" s="70" t="s">
        <v>863</v>
      </c>
      <c r="D585" s="70" t="s">
        <v>1</v>
      </c>
      <c r="E585" s="70" t="s">
        <v>1</v>
      </c>
      <c r="F585" s="70"/>
      <c r="G585" s="70" t="s">
        <v>61</v>
      </c>
      <c r="H585" s="70" t="s">
        <v>178</v>
      </c>
      <c r="I585" s="70" t="s">
        <v>181</v>
      </c>
      <c r="J585" s="71">
        <f>IF(OR(I585=0,I585=""),"unrated",VLOOKUP(I585,MappingTables!$B$19:$C$31,2,FALSE))</f>
        <v>3</v>
      </c>
      <c r="K585" s="72">
        <v>6126.0319385492496</v>
      </c>
      <c r="L585" s="70">
        <v>9.3214678171409424</v>
      </c>
      <c r="M585" s="71">
        <f>IF(L585&lt;1,1,L585)</f>
        <v>9.3214678171409424</v>
      </c>
      <c r="N585" s="70" t="s">
        <v>141</v>
      </c>
      <c r="O585" s="71">
        <f>INDEX(DurClassMapping,MATCH(M585,MappingTables!$D$4:$D$8,-1),1)</f>
        <v>2</v>
      </c>
      <c r="P585" s="73">
        <f>IF(M585=$A$1,1,$M585-INDEX(MappingTables!$E$4:$E$8,MATCH(O585,MappingTables!$B$4:$B$8,0)))</f>
        <v>4.3214678171409416</v>
      </c>
      <c r="Q585" s="71">
        <f>IF(B585="",0,INDEX(ModelParameters!$D$6:$K$10,MATCH($O585,ModelParameters!$B$6:$B$10,0),MATCH($J585,ModelParameters!$D$5:$K$5,0)))</f>
        <v>0.015</v>
      </c>
      <c r="R585" s="71">
        <f>IF(B585="",0,INDEX(ModelParameters!$D$13:$K$17,MATCH($O585,ModelParameters!$B$13:$B$17,0),MATCH($J585,ModelParameters!$D$5:$K$5,0)))</f>
        <v>0.125</v>
      </c>
      <c r="S585" s="160">
        <f>IF(B585="",0,MIN(IF($N585="Other Bond TM",ModelParameters!$N$21,1)*(P585*Q585+R585),1))</f>
        <v>0.18982201725711412</v>
      </c>
      <c r="T585" s="85">
        <f>IF(B585="",0,$S585*$K585)</f>
        <v>1162.8557403569278</v>
      </c>
      <c r="U585" s="85">
        <f>IF(B585="",0,IF(OR(H585=MappingTables!$C$34,H585=MappingTables!$C$35),T585,0))</f>
        <v>0</v>
      </c>
      <c r="V585" s="85">
        <f>IF(ISNA(IF(AND(VLOOKUP(CONCATENATE($D585,$G585),CSRFinput!$B:$E,4,0)=0,OR(H585=MappingTables!$C$34,H585=MappingTables!$C$35)),1,VLOOKUP(CONCATENATE($D585,$G585),CSRFinput!$B:$E,4,0))),0,IF(AND(VLOOKUP(CONCATENATE($D585,$G585),CSRFinput!$B:$E,4,0)=0,OR(H585=MappingTables!$C$34,H585=MappingTables!$C$35)),1,VLOOKUP(CONCATENATE($D585,$G585),CSRFinput!$B:$E,4,0)))</f>
        <v>0.054776304963434752</v>
      </c>
      <c r="W585" s="85">
        <f>IF(B585="",0,+$T585*$V585)</f>
        <v>63.696940662271776</v>
      </c>
      <c r="X585" s="85">
        <f>IF(B585="",0,IF(OR(H585=MappingTables!$C$34,H585=MappingTables!$C$35),W585,0))</f>
        <v>0</v>
      </c>
    </row>
    <row r="586" spans="2:24" s="0" customFormat="0" ht="15">
      <c r="B586" s="69" t="s">
        <v>864</v>
      </c>
      <c r="C586" s="70" t="s">
        <v>865</v>
      </c>
      <c r="D586" s="70" t="s">
        <v>1</v>
      </c>
      <c r="E586" s="70" t="s">
        <v>1</v>
      </c>
      <c r="F586" s="70"/>
      <c r="G586" s="70" t="s">
        <v>61</v>
      </c>
      <c r="H586" s="70" t="s">
        <v>178</v>
      </c>
      <c r="I586" s="70" t="s">
        <v>181</v>
      </c>
      <c r="J586" s="71">
        <f>IF(OR(I586=0,I586=""),"unrated",VLOOKUP(I586,MappingTables!$B$19:$C$31,2,FALSE))</f>
        <v>3</v>
      </c>
      <c r="K586" s="72">
        <v>4.2278213118695064</v>
      </c>
      <c r="L586" s="70">
        <v>0.39726081052851744</v>
      </c>
      <c r="M586" s="71">
        <f>IF(L586&lt;1,1,L586)</f>
        <v>1</v>
      </c>
      <c r="N586" s="70" t="s">
        <v>141</v>
      </c>
      <c r="O586" s="71">
        <f>INDEX(DurClassMapping,MATCH(M586,MappingTables!$D$4:$D$8,-1),1)</f>
        <v>1</v>
      </c>
      <c r="P586" s="73">
        <f>IF(M586=$A$1,1,$M586-INDEX(MappingTables!$E$4:$E$8,MATCH(O586,MappingTables!$B$4:$B$8,0)))</f>
        <v>1</v>
      </c>
      <c r="Q586" s="71">
        <f>IF(B586="",0,INDEX(ModelParameters!$D$6:$K$10,MATCH($O586,ModelParameters!$B$6:$B$10,0),MATCH($J586,ModelParameters!$D$5:$K$5,0)))</f>
        <v>0.025</v>
      </c>
      <c r="R586" s="71">
        <f>IF(B586="",0,INDEX(ModelParameters!$D$13:$K$17,MATCH($O586,ModelParameters!$B$13:$B$17,0),MATCH($J586,ModelParameters!$D$5:$K$5,0)))</f>
        <v>0</v>
      </c>
      <c r="S586" s="160">
        <f>IF(B586="",0,MIN(IF($N586="Other Bond TM",ModelParameters!$N$21,1)*(P586*Q586+R586),1))</f>
        <v>0.025</v>
      </c>
      <c r="T586" s="85">
        <f>IF(B586="",0,$S586*$K586)</f>
        <v>0.10569553279673768</v>
      </c>
      <c r="U586" s="85">
        <f>IF(B586="",0,IF(OR(H586=MappingTables!$C$34,H586=MappingTables!$C$35),T586,0))</f>
        <v>0</v>
      </c>
      <c r="V586" s="85">
        <f>IF(ISNA(IF(AND(VLOOKUP(CONCATENATE($D586,$G586),CSRFinput!$B:$E,4,0)=0,OR(H586=MappingTables!$C$34,H586=MappingTables!$C$35)),1,VLOOKUP(CONCATENATE($D586,$G586),CSRFinput!$B:$E,4,0))),0,IF(AND(VLOOKUP(CONCATENATE($D586,$G586),CSRFinput!$B:$E,4,0)=0,OR(H586=MappingTables!$C$34,H586=MappingTables!$C$35)),1,VLOOKUP(CONCATENATE($D586,$G586),CSRFinput!$B:$E,4,0)))</f>
        <v>0.054776304963434752</v>
      </c>
      <c r="W586" s="85">
        <f>IF(B586="",0,+$T586*$V586)</f>
        <v>0.0057896107377468224</v>
      </c>
      <c r="X586" s="85">
        <f>IF(B586="",0,IF(OR(H586=MappingTables!$C$34,H586=MappingTables!$C$35),W586,0))</f>
        <v>0</v>
      </c>
    </row>
    <row r="587" spans="2:24" s="0" customFormat="0" ht="15">
      <c r="B587" s="69" t="s">
        <v>866</v>
      </c>
      <c r="C587" s="70" t="s">
        <v>867</v>
      </c>
      <c r="D587" s="70" t="s">
        <v>1</v>
      </c>
      <c r="E587" s="70" t="s">
        <v>1</v>
      </c>
      <c r="F587" s="70"/>
      <c r="G587" s="70" t="s">
        <v>61</v>
      </c>
      <c r="H587" s="70" t="s">
        <v>178</v>
      </c>
      <c r="I587" s="70" t="s">
        <v>181</v>
      </c>
      <c r="J587" s="71">
        <f>IF(OR(I587=0,I587=""),"unrated",VLOOKUP(I587,MappingTables!$B$19:$C$31,2,FALSE))</f>
        <v>3</v>
      </c>
      <c r="K587" s="72">
        <v>4.0495888679403064</v>
      </c>
      <c r="L587" s="70">
        <v>1.430996817831901</v>
      </c>
      <c r="M587" s="71">
        <f>IF(L587&lt;1,1,L587)</f>
        <v>1.430996817831901</v>
      </c>
      <c r="N587" s="70" t="s">
        <v>141</v>
      </c>
      <c r="O587" s="71">
        <f>INDEX(DurClassMapping,MATCH(M587,MappingTables!$D$4:$D$8,-1),1)</f>
        <v>1</v>
      </c>
      <c r="P587" s="73">
        <f>IF(M587=$A$1,1,$M587-INDEX(MappingTables!$E$4:$E$8,MATCH(O587,MappingTables!$B$4:$B$8,0)))</f>
        <v>1.430996817831901</v>
      </c>
      <c r="Q587" s="71">
        <f>IF(B587="",0,INDEX(ModelParameters!$D$6:$K$10,MATCH($O587,ModelParameters!$B$6:$B$10,0),MATCH($J587,ModelParameters!$D$5:$K$5,0)))</f>
        <v>0.025</v>
      </c>
      <c r="R587" s="71">
        <f>IF(B587="",0,INDEX(ModelParameters!$D$13:$K$17,MATCH($O587,ModelParameters!$B$13:$B$17,0),MATCH($J587,ModelParameters!$D$5:$K$5,0)))</f>
        <v>0</v>
      </c>
      <c r="S587" s="160">
        <f>IF(B587="",0,MIN(IF($N587="Other Bond TM",ModelParameters!$N$21,1)*(P587*Q587+R587),1))</f>
        <v>0.035774920445797524</v>
      </c>
      <c r="T587" s="85">
        <f>IF(B587="",0,$S587*$K587)</f>
        <v>0.14487371958875172</v>
      </c>
      <c r="U587" s="85">
        <f>IF(B587="",0,IF(OR(H587=MappingTables!$C$34,H587=MappingTables!$C$35),T587,0))</f>
        <v>0</v>
      </c>
      <c r="V587" s="85">
        <f>IF(ISNA(IF(AND(VLOOKUP(CONCATENATE($D587,$G587),CSRFinput!$B:$E,4,0)=0,OR(H587=MappingTables!$C$34,H587=MappingTables!$C$35)),1,VLOOKUP(CONCATENATE($D587,$G587),CSRFinput!$B:$E,4,0))),0,IF(AND(VLOOKUP(CONCATENATE($D587,$G587),CSRFinput!$B:$E,4,0)=0,OR(H587=MappingTables!$C$34,H587=MappingTables!$C$35)),1,VLOOKUP(CONCATENATE($D587,$G587),CSRFinput!$B:$E,4,0)))</f>
        <v>0.054776304963434752</v>
      </c>
      <c r="W587" s="85">
        <f>IF(B587="",0,+$T587*$V587)</f>
        <v>0.0079356470453805952</v>
      </c>
      <c r="X587" s="85">
        <f>IF(B587="",0,IF(OR(H587=MappingTables!$C$34,H587=MappingTables!$C$35),W587,0))</f>
        <v>0</v>
      </c>
    </row>
    <row r="588" spans="2:24" s="0" customFormat="0" ht="15">
      <c r="B588" s="69" t="s">
        <v>868</v>
      </c>
      <c r="C588" s="70" t="s">
        <v>869</v>
      </c>
      <c r="D588" s="70" t="s">
        <v>1</v>
      </c>
      <c r="E588" s="70" t="s">
        <v>1</v>
      </c>
      <c r="F588" s="70"/>
      <c r="G588" s="70" t="s">
        <v>61</v>
      </c>
      <c r="H588" s="70" t="s">
        <v>178</v>
      </c>
      <c r="I588" s="70" t="s">
        <v>181</v>
      </c>
      <c r="J588" s="71">
        <f>IF(OR(I588=0,I588=""),"unrated",VLOOKUP(I588,MappingTables!$B$19:$C$31,2,FALSE))</f>
        <v>3</v>
      </c>
      <c r="K588" s="72">
        <v>3137.3232247370588</v>
      </c>
      <c r="L588" s="70">
        <v>6.1310228489710408</v>
      </c>
      <c r="M588" s="71">
        <f>IF(L588&lt;1,1,L588)</f>
        <v>6.1310228489710408</v>
      </c>
      <c r="N588" s="70" t="s">
        <v>141</v>
      </c>
      <c r="O588" s="71">
        <f>INDEX(DurClassMapping,MATCH(M588,MappingTables!$D$4:$D$8,-1),1)</f>
        <v>2</v>
      </c>
      <c r="P588" s="73">
        <f>IF(M588=$A$1,1,$M588-INDEX(MappingTables!$E$4:$E$8,MATCH(O588,MappingTables!$B$4:$B$8,0)))</f>
        <v>1.1310228489710408</v>
      </c>
      <c r="Q588" s="71">
        <f>IF(B588="",0,INDEX(ModelParameters!$D$6:$K$10,MATCH($O588,ModelParameters!$B$6:$B$10,0),MATCH($J588,ModelParameters!$D$5:$K$5,0)))</f>
        <v>0.015</v>
      </c>
      <c r="R588" s="71">
        <f>IF(B588="",0,INDEX(ModelParameters!$D$13:$K$17,MATCH($O588,ModelParameters!$B$13:$B$17,0),MATCH($J588,ModelParameters!$D$5:$K$5,0)))</f>
        <v>0.125</v>
      </c>
      <c r="S588" s="160">
        <f>IF(B588="",0,MIN(IF($N588="Other Bond TM",ModelParameters!$N$21,1)*(P588*Q588+R588),1))</f>
        <v>0.14196534273456562</v>
      </c>
      <c r="T588" s="85">
        <f>IF(B588="",0,$S588*$K588)</f>
        <v>445.3911668689092</v>
      </c>
      <c r="U588" s="85">
        <f>IF(B588="",0,IF(OR(H588=MappingTables!$C$34,H588=MappingTables!$C$35),T588,0))</f>
        <v>0</v>
      </c>
      <c r="V588" s="85">
        <f>IF(ISNA(IF(AND(VLOOKUP(CONCATENATE($D588,$G588),CSRFinput!$B:$E,4,0)=0,OR(H588=MappingTables!$C$34,H588=MappingTables!$C$35)),1,VLOOKUP(CONCATENATE($D588,$G588),CSRFinput!$B:$E,4,0))),0,IF(AND(VLOOKUP(CONCATENATE($D588,$G588),CSRFinput!$B:$E,4,0)=0,OR(H588=MappingTables!$C$34,H588=MappingTables!$C$35)),1,VLOOKUP(CONCATENATE($D588,$G588),CSRFinput!$B:$E,4,0)))</f>
        <v>0.054776304963434752</v>
      </c>
      <c r="W588" s="85">
        <f>IF(B588="",0,+$T588*$V588)</f>
        <v>24.396882384431424</v>
      </c>
      <c r="X588" s="85">
        <f>IF(B588="",0,IF(OR(H588=MappingTables!$C$34,H588=MappingTables!$C$35),W588,0))</f>
        <v>0</v>
      </c>
    </row>
    <row r="589" spans="2:24" s="0" customFormat="0" ht="15">
      <c r="B589" s="69">
        <v>24922384</v>
      </c>
      <c r="C589" s="70" t="s">
        <v>870</v>
      </c>
      <c r="D589" s="70" t="s">
        <v>1</v>
      </c>
      <c r="E589" s="70" t="s">
        <v>1</v>
      </c>
      <c r="F589" s="70"/>
      <c r="G589" s="70" t="s">
        <v>61</v>
      </c>
      <c r="H589" s="70" t="s">
        <v>178</v>
      </c>
      <c r="I589" s="70" t="s">
        <v>179</v>
      </c>
      <c r="J589" s="71">
        <f>IF(OR(I589=0,I589=""),"unrated",VLOOKUP(I589,MappingTables!$B$19:$C$31,2,FALSE))</f>
        <v>4</v>
      </c>
      <c r="K589" s="72">
        <v>9.089730147186936</v>
      </c>
      <c r="L589" s="70">
        <v>5.6409725688929144</v>
      </c>
      <c r="M589" s="71">
        <f>IF(L589&lt;1,1,L589)</f>
        <v>5.6409725688929144</v>
      </c>
      <c r="N589" s="70" t="s">
        <v>141</v>
      </c>
      <c r="O589" s="71">
        <f>INDEX(DurClassMapping,MATCH(M589,MappingTables!$D$4:$D$8,-1),1)</f>
        <v>2</v>
      </c>
      <c r="P589" s="73">
        <f>IF(M589=$A$1,1,$M589-INDEX(MappingTables!$E$4:$E$8,MATCH(O589,MappingTables!$B$4:$B$8,0)))</f>
        <v>0.64097256889291464</v>
      </c>
      <c r="Q589" s="71">
        <f>IF(B589="",0,INDEX(ModelParameters!$D$6:$K$10,MATCH($O589,ModelParameters!$B$6:$B$10,0),MATCH($J589,ModelParameters!$D$5:$K$5,0)))</f>
        <v>0.025</v>
      </c>
      <c r="R589" s="71">
        <f>IF(B589="",0,INDEX(ModelParameters!$D$13:$K$17,MATCH($O589,ModelParameters!$B$13:$B$17,0),MATCH($J589,ModelParameters!$D$5:$K$5,0)))</f>
        <v>0.225</v>
      </c>
      <c r="S589" s="160">
        <f>IF(B589="",0,MIN(IF($N589="Other Bond TM",ModelParameters!$N$21,1)*(P589*Q589+R589),1))</f>
        <v>0.24102431422232288</v>
      </c>
      <c r="T589" s="85">
        <f>IF(B589="",0,$S589*$K589)</f>
        <v>2.1908459751917052</v>
      </c>
      <c r="U589" s="85">
        <f>IF(B589="",0,IF(OR(H589=MappingTables!$C$34,H589=MappingTables!$C$35),T589,0))</f>
        <v>0</v>
      </c>
      <c r="V589" s="85">
        <f>IF(ISNA(IF(AND(VLOOKUP(CONCATENATE($D589,$G589),CSRFinput!$B:$E,4,0)=0,OR(H589=MappingTables!$C$34,H589=MappingTables!$C$35)),1,VLOOKUP(CONCATENATE($D589,$G589),CSRFinput!$B:$E,4,0))),0,IF(AND(VLOOKUP(CONCATENATE($D589,$G589),CSRFinput!$B:$E,4,0)=0,OR(H589=MappingTables!$C$34,H589=MappingTables!$C$35)),1,VLOOKUP(CONCATENATE($D589,$G589),CSRFinput!$B:$E,4,0)))</f>
        <v>0.054776304963434752</v>
      </c>
      <c r="W589" s="85">
        <f>IF(B589="",0,+$T589*$V589)</f>
        <v>0.12000644726501444</v>
      </c>
      <c r="X589" s="85">
        <f>IF(B589="",0,IF(OR(H589=MappingTables!$C$34,H589=MappingTables!$C$35),W589,0))</f>
        <v>0</v>
      </c>
    </row>
    <row r="590" spans="2:24" s="0" customFormat="0" ht="15">
      <c r="B590" s="69">
        <v>13337154</v>
      </c>
      <c r="C590" s="70" t="s">
        <v>871</v>
      </c>
      <c r="D590" s="70" t="s">
        <v>1</v>
      </c>
      <c r="E590" s="70" t="s">
        <v>1</v>
      </c>
      <c r="F590" s="70"/>
      <c r="G590" s="70" t="s">
        <v>61</v>
      </c>
      <c r="H590" s="70" t="s">
        <v>178</v>
      </c>
      <c r="I590" s="70" t="s">
        <v>181</v>
      </c>
      <c r="J590" s="71">
        <f>IF(OR(I590=0,I590=""),"unrated",VLOOKUP(I590,MappingTables!$B$19:$C$31,2,FALSE))</f>
        <v>3</v>
      </c>
      <c r="K590" s="72">
        <v>1228.3390124549484</v>
      </c>
      <c r="L590" s="70">
        <v>0.098636324670617776</v>
      </c>
      <c r="M590" s="71">
        <f>IF(L590&lt;1,1,L590)</f>
        <v>1</v>
      </c>
      <c r="N590" s="70" t="s">
        <v>141</v>
      </c>
      <c r="O590" s="71">
        <f>INDEX(DurClassMapping,MATCH(M590,MappingTables!$D$4:$D$8,-1),1)</f>
        <v>1</v>
      </c>
      <c r="P590" s="73">
        <f>IF(M590=$A$1,1,$M590-INDEX(MappingTables!$E$4:$E$8,MATCH(O590,MappingTables!$B$4:$B$8,0)))</f>
        <v>1</v>
      </c>
      <c r="Q590" s="71">
        <f>IF(B590="",0,INDEX(ModelParameters!$D$6:$K$10,MATCH($O590,ModelParameters!$B$6:$B$10,0),MATCH($J590,ModelParameters!$D$5:$K$5,0)))</f>
        <v>0.025</v>
      </c>
      <c r="R590" s="71">
        <f>IF(B590="",0,INDEX(ModelParameters!$D$13:$K$17,MATCH($O590,ModelParameters!$B$13:$B$17,0),MATCH($J590,ModelParameters!$D$5:$K$5,0)))</f>
        <v>0</v>
      </c>
      <c r="S590" s="160">
        <f>IF(B590="",0,MIN(IF($N590="Other Bond TM",ModelParameters!$N$21,1)*(P590*Q590+R590),1))</f>
        <v>0.025</v>
      </c>
      <c r="T590" s="85">
        <f>IF(B590="",0,$S590*$K590)</f>
        <v>30.708475311373716</v>
      </c>
      <c r="U590" s="85">
        <f>IF(B590="",0,IF(OR(H590=MappingTables!$C$34,H590=MappingTables!$C$35),T590,0))</f>
        <v>0</v>
      </c>
      <c r="V590" s="85">
        <f>IF(ISNA(IF(AND(VLOOKUP(CONCATENATE($D590,$G590),CSRFinput!$B:$E,4,0)=0,OR(H590=MappingTables!$C$34,H590=MappingTables!$C$35)),1,VLOOKUP(CONCATENATE($D590,$G590),CSRFinput!$B:$E,4,0))),0,IF(AND(VLOOKUP(CONCATENATE($D590,$G590),CSRFinput!$B:$E,4,0)=0,OR(H590=MappingTables!$C$34,H590=MappingTables!$C$35)),1,VLOOKUP(CONCATENATE($D590,$G590),CSRFinput!$B:$E,4,0)))</f>
        <v>0.054776304963434752</v>
      </c>
      <c r="W590" s="85">
        <f>IF(B590="",0,+$T590*$V590)</f>
        <v>1.6820968086179136</v>
      </c>
      <c r="X590" s="85">
        <f>IF(B590="",0,IF(OR(H590=MappingTables!$C$34,H590=MappingTables!$C$35),W590,0))</f>
        <v>0</v>
      </c>
    </row>
    <row r="591" spans="2:24" s="0" customFormat="0" ht="15">
      <c r="B591" s="69">
        <v>7512985</v>
      </c>
      <c r="C591" s="70" t="s">
        <v>872</v>
      </c>
      <c r="D591" s="70" t="s">
        <v>1</v>
      </c>
      <c r="E591" s="70" t="s">
        <v>1</v>
      </c>
      <c r="F591" s="70"/>
      <c r="G591" s="70" t="s">
        <v>61</v>
      </c>
      <c r="H591" s="70" t="s">
        <v>178</v>
      </c>
      <c r="I591" s="70" t="s">
        <v>181</v>
      </c>
      <c r="J591" s="71">
        <f>IF(OR(I591=0,I591=""),"unrated",VLOOKUP(I591,MappingTables!$B$19:$C$31,2,FALSE))</f>
        <v>3</v>
      </c>
      <c r="K591" s="72">
        <v>4.9044937609404808</v>
      </c>
      <c r="L591" s="70">
        <v>0.6986367972724076</v>
      </c>
      <c r="M591" s="71">
        <f>IF(L591&lt;1,1,L591)</f>
        <v>1</v>
      </c>
      <c r="N591" s="70" t="s">
        <v>141</v>
      </c>
      <c r="O591" s="71">
        <f>INDEX(DurClassMapping,MATCH(M591,MappingTables!$D$4:$D$8,-1),1)</f>
        <v>1</v>
      </c>
      <c r="P591" s="73">
        <f>IF(M591=$A$1,1,$M591-INDEX(MappingTables!$E$4:$E$8,MATCH(O591,MappingTables!$B$4:$B$8,0)))</f>
        <v>1</v>
      </c>
      <c r="Q591" s="71">
        <f>IF(B591="",0,INDEX(ModelParameters!$D$6:$K$10,MATCH($O591,ModelParameters!$B$6:$B$10,0),MATCH($J591,ModelParameters!$D$5:$K$5,0)))</f>
        <v>0.025</v>
      </c>
      <c r="R591" s="71">
        <f>IF(B591="",0,INDEX(ModelParameters!$D$13:$K$17,MATCH($O591,ModelParameters!$B$13:$B$17,0),MATCH($J591,ModelParameters!$D$5:$K$5,0)))</f>
        <v>0</v>
      </c>
      <c r="S591" s="160">
        <f>IF(B591="",0,MIN(IF($N591="Other Bond TM",ModelParameters!$N$21,1)*(P591*Q591+R591),1))</f>
        <v>0.025</v>
      </c>
      <c r="T591" s="85">
        <f>IF(B591="",0,$S591*$K591)</f>
        <v>0.12261234402351202</v>
      </c>
      <c r="U591" s="85">
        <f>IF(B591="",0,IF(OR(H591=MappingTables!$C$34,H591=MappingTables!$C$35),T591,0))</f>
        <v>0</v>
      </c>
      <c r="V591" s="85">
        <f>IF(ISNA(IF(AND(VLOOKUP(CONCATENATE($D591,$G591),CSRFinput!$B:$E,4,0)=0,OR(H591=MappingTables!$C$34,H591=MappingTables!$C$35)),1,VLOOKUP(CONCATENATE($D591,$G591),CSRFinput!$B:$E,4,0))),0,IF(AND(VLOOKUP(CONCATENATE($D591,$G591),CSRFinput!$B:$E,4,0)=0,OR(H591=MappingTables!$C$34,H591=MappingTables!$C$35)),1,VLOOKUP(CONCATENATE($D591,$G591),CSRFinput!$B:$E,4,0)))</f>
        <v>0.054776304963434752</v>
      </c>
      <c r="W591" s="85">
        <f>IF(B591="",0,+$T591*$V591)</f>
        <v>0.0067162511485134712</v>
      </c>
      <c r="X591" s="85">
        <f>IF(B591="",0,IF(OR(H591=MappingTables!$C$34,H591=MappingTables!$C$35),W591,0))</f>
        <v>0</v>
      </c>
    </row>
    <row r="592" spans="2:24" s="0" customFormat="0" ht="15">
      <c r="B592" s="69">
        <v>17795766</v>
      </c>
      <c r="C592" s="70" t="s">
        <v>873</v>
      </c>
      <c r="D592" s="70" t="s">
        <v>1</v>
      </c>
      <c r="E592" s="70" t="s">
        <v>1</v>
      </c>
      <c r="F592" s="70"/>
      <c r="G592" s="70" t="s">
        <v>61</v>
      </c>
      <c r="H592" s="70" t="s">
        <v>178</v>
      </c>
      <c r="I592" s="70" t="s">
        <v>181</v>
      </c>
      <c r="J592" s="71">
        <f>IF(OR(I592=0,I592=""),"unrated",VLOOKUP(I592,MappingTables!$B$19:$C$31,2,FALSE))</f>
        <v>3</v>
      </c>
      <c r="K592" s="72">
        <v>864.01165500764176</v>
      </c>
      <c r="L592" s="70">
        <v>4.8346011850762656</v>
      </c>
      <c r="M592" s="71">
        <f>IF(L592&lt;1,1,L592)</f>
        <v>4.8346011850762656</v>
      </c>
      <c r="N592" s="70" t="s">
        <v>141</v>
      </c>
      <c r="O592" s="71">
        <f>INDEX(DurClassMapping,MATCH(M592,MappingTables!$D$4:$D$8,-1),1)</f>
        <v>1</v>
      </c>
      <c r="P592" s="73">
        <f>IF(M592=$A$1,1,$M592-INDEX(MappingTables!$E$4:$E$8,MATCH(O592,MappingTables!$B$4:$B$8,0)))</f>
        <v>4.8346011850762656</v>
      </c>
      <c r="Q592" s="71">
        <f>IF(B592="",0,INDEX(ModelParameters!$D$6:$K$10,MATCH($O592,ModelParameters!$B$6:$B$10,0),MATCH($J592,ModelParameters!$D$5:$K$5,0)))</f>
        <v>0.025</v>
      </c>
      <c r="R592" s="71">
        <f>IF(B592="",0,INDEX(ModelParameters!$D$13:$K$17,MATCH($O592,ModelParameters!$B$13:$B$17,0),MATCH($J592,ModelParameters!$D$5:$K$5,0)))</f>
        <v>0</v>
      </c>
      <c r="S592" s="160">
        <f>IF(B592="",0,MIN(IF($N592="Other Bond TM",ModelParameters!$N$21,1)*(P592*Q592+R592),1))</f>
        <v>0.12086502962690666</v>
      </c>
      <c r="T592" s="85">
        <f>IF(B592="",0,$S592*$K592)</f>
        <v>104.42879428049126</v>
      </c>
      <c r="U592" s="85">
        <f>IF(B592="",0,IF(OR(H592=MappingTables!$C$34,H592=MappingTables!$C$35),T592,0))</f>
        <v>0</v>
      </c>
      <c r="V592" s="85">
        <f>IF(ISNA(IF(AND(VLOOKUP(CONCATENATE($D592,$G592),CSRFinput!$B:$E,4,0)=0,OR(H592=MappingTables!$C$34,H592=MappingTables!$C$35)),1,VLOOKUP(CONCATENATE($D592,$G592),CSRFinput!$B:$E,4,0))),0,IF(AND(VLOOKUP(CONCATENATE($D592,$G592),CSRFinput!$B:$E,4,0)=0,OR(H592=MappingTables!$C$34,H592=MappingTables!$C$35)),1,VLOOKUP(CONCATENATE($D592,$G592),CSRFinput!$B:$E,4,0)))</f>
        <v>0.054776304963434752</v>
      </c>
      <c r="W592" s="85">
        <f>IF(B592="",0,+$T592*$V592)</f>
        <v>5.7202234824719808</v>
      </c>
      <c r="X592" s="85">
        <f>IF(B592="",0,IF(OR(H592=MappingTables!$C$34,H592=MappingTables!$C$35),W592,0))</f>
        <v>0</v>
      </c>
    </row>
    <row r="593" spans="2:24" s="0" customFormat="0" ht="15">
      <c r="B593" s="69" t="s">
        <v>874</v>
      </c>
      <c r="C593" s="70" t="s">
        <v>875</v>
      </c>
      <c r="D593" s="70" t="s">
        <v>1</v>
      </c>
      <c r="E593" s="70" t="s">
        <v>1</v>
      </c>
      <c r="F593" s="70"/>
      <c r="G593" s="70" t="s">
        <v>61</v>
      </c>
      <c r="H593" s="70" t="s">
        <v>178</v>
      </c>
      <c r="I593" s="70" t="s">
        <v>513</v>
      </c>
      <c r="J593" s="71">
        <f>IF(OR(I593=0,I593=""),"unrated",VLOOKUP(I593,MappingTables!$B$19:$C$31,2,FALSE))</f>
        <v>6</v>
      </c>
      <c r="K593" s="72">
        <v>155.82565097222798</v>
      </c>
      <c r="L593" s="70">
        <v>28.586650781649496</v>
      </c>
      <c r="M593" s="71">
        <f>IF(L593&lt;1,1,L593)</f>
        <v>28.586650781649496</v>
      </c>
      <c r="N593" s="70" t="s">
        <v>141</v>
      </c>
      <c r="O593" s="71">
        <f>INDEX(DurClassMapping,MATCH(M593,MappingTables!$D$4:$D$8,-1),1)</f>
        <v>5</v>
      </c>
      <c r="P593" s="73">
        <f>IF(M593=$A$1,1,$M593-INDEX(MappingTables!$E$4:$E$8,MATCH(O593,MappingTables!$B$4:$B$8,0)))</f>
        <v>8.586650781649496</v>
      </c>
      <c r="Q593" s="71">
        <f>IF(B593="",0,INDEX(ModelParameters!$D$6:$K$10,MATCH($O593,ModelParameters!$B$6:$B$10,0),MATCH($J593,ModelParameters!$D$5:$K$5,0)))</f>
        <v>0.005</v>
      </c>
      <c r="R593" s="71">
        <f>IF(B593="",0,INDEX(ModelParameters!$D$13:$K$17,MATCH($O593,ModelParameters!$B$13:$B$17,0),MATCH($J593,ModelParameters!$D$5:$K$5,0)))</f>
        <v>0.635</v>
      </c>
      <c r="S593" s="160">
        <f>IF(B593="",0,MIN(IF($N593="Other Bond TM",ModelParameters!$N$21,1)*(P593*Q593+R593),1))</f>
        <v>0.67793325390824744</v>
      </c>
      <c r="T593" s="85">
        <f>IF(B593="",0,$S593*$K593)</f>
        <v>105.63939060597338</v>
      </c>
      <c r="U593" s="85">
        <f>IF(B593="",0,IF(OR(H593=MappingTables!$C$34,H593=MappingTables!$C$35),T593,0))</f>
        <v>0</v>
      </c>
      <c r="V593" s="85">
        <f>IF(ISNA(IF(AND(VLOOKUP(CONCATENATE($D593,$G593),CSRFinput!$B:$E,4,0)=0,OR(H593=MappingTables!$C$34,H593=MappingTables!$C$35)),1,VLOOKUP(CONCATENATE($D593,$G593),CSRFinput!$B:$E,4,0))),0,IF(AND(VLOOKUP(CONCATENATE($D593,$G593),CSRFinput!$B:$E,4,0)=0,OR(H593=MappingTables!$C$34,H593=MappingTables!$C$35)),1,VLOOKUP(CONCATENATE($D593,$G593),CSRFinput!$B:$E,4,0)))</f>
        <v>0.054776304963434752</v>
      </c>
      <c r="W593" s="85">
        <f>IF(B593="",0,+$T593*$V593)</f>
        <v>5.7865354759842024</v>
      </c>
      <c r="X593" s="85">
        <f>IF(B593="",0,IF(OR(H593=MappingTables!$C$34,H593=MappingTables!$C$35),W593,0))</f>
        <v>0</v>
      </c>
    </row>
    <row r="594" spans="2:24" s="0" customFormat="0" ht="15">
      <c r="B594" s="69">
        <v>4797401</v>
      </c>
      <c r="C594" s="70" t="s">
        <v>876</v>
      </c>
      <c r="D594" s="70" t="s">
        <v>1</v>
      </c>
      <c r="E594" s="70" t="s">
        <v>1</v>
      </c>
      <c r="F594" s="70"/>
      <c r="G594" s="70" t="s">
        <v>61</v>
      </c>
      <c r="H594" s="70" t="s">
        <v>178</v>
      </c>
      <c r="I594" s="70" t="s">
        <v>181</v>
      </c>
      <c r="J594" s="71">
        <f>IF(OR(I594=0,I594=""),"unrated",VLOOKUP(I594,MappingTables!$B$19:$C$31,2,FALSE))</f>
        <v>3</v>
      </c>
      <c r="K594" s="72">
        <v>528782.88269042968</v>
      </c>
      <c r="L594" s="70">
        <v>1.4479834617997786</v>
      </c>
      <c r="M594" s="71">
        <f>IF(L594&lt;1,1,L594)</f>
        <v>1.4479834617997786</v>
      </c>
      <c r="N594" s="70" t="s">
        <v>141</v>
      </c>
      <c r="O594" s="71">
        <f>INDEX(DurClassMapping,MATCH(M594,MappingTables!$D$4:$D$8,-1),1)</f>
        <v>1</v>
      </c>
      <c r="P594" s="73">
        <f>IF(M594=$A$1,1,$M594-INDEX(MappingTables!$E$4:$E$8,MATCH(O594,MappingTables!$B$4:$B$8,0)))</f>
        <v>1.4479834617997786</v>
      </c>
      <c r="Q594" s="71">
        <f>IF(B594="",0,INDEX(ModelParameters!$D$6:$K$10,MATCH($O594,ModelParameters!$B$6:$B$10,0),MATCH($J594,ModelParameters!$D$5:$K$5,0)))</f>
        <v>0.025</v>
      </c>
      <c r="R594" s="71">
        <f>IF(B594="",0,INDEX(ModelParameters!$D$13:$K$17,MATCH($O594,ModelParameters!$B$13:$B$17,0),MATCH($J594,ModelParameters!$D$5:$K$5,0)))</f>
        <v>0</v>
      </c>
      <c r="S594" s="160">
        <f>IF(B594="",0,MIN(IF($N594="Other Bond TM",ModelParameters!$N$21,1)*(P594*Q594+R594),1))</f>
        <v>0.036199586544994464</v>
      </c>
      <c r="T594" s="85">
        <f>IF(B594="",0,$S594*$K594)</f>
        <v>19141.721725463864</v>
      </c>
      <c r="U594" s="85">
        <f>IF(B594="",0,IF(OR(H594=MappingTables!$C$34,H594=MappingTables!$C$35),T594,0))</f>
        <v>0</v>
      </c>
      <c r="V594" s="85">
        <f>IF(ISNA(IF(AND(VLOOKUP(CONCATENATE($D594,$G594),CSRFinput!$B:$E,4,0)=0,OR(H594=MappingTables!$C$34,H594=MappingTables!$C$35)),1,VLOOKUP(CONCATENATE($D594,$G594),CSRFinput!$B:$E,4,0))),0,IF(AND(VLOOKUP(CONCATENATE($D594,$G594),CSRFinput!$B:$E,4,0)=0,OR(H594=MappingTables!$C$34,H594=MappingTables!$C$35)),1,VLOOKUP(CONCATENATE($D594,$G594),CSRFinput!$B:$E,4,0)))</f>
        <v>0.054776304963434752</v>
      </c>
      <c r="W594" s="85">
        <f>IF(B594="",0,+$T594*$V594)</f>
        <v>1048.512786759213</v>
      </c>
      <c r="X594" s="85">
        <f>IF(B594="",0,IF(OR(H594=MappingTables!$C$34,H594=MappingTables!$C$35),W594,0))</f>
        <v>0</v>
      </c>
    </row>
    <row r="595" spans="2:24" s="0" customFormat="0" ht="15">
      <c r="B595" s="69">
        <v>21753703</v>
      </c>
      <c r="C595" s="70" t="s">
        <v>877</v>
      </c>
      <c r="D595" s="70" t="s">
        <v>1</v>
      </c>
      <c r="E595" s="70" t="s">
        <v>1</v>
      </c>
      <c r="F595" s="70"/>
      <c r="G595" s="70" t="s">
        <v>61</v>
      </c>
      <c r="H595" s="70" t="s">
        <v>178</v>
      </c>
      <c r="I595" s="70" t="s">
        <v>188</v>
      </c>
      <c r="J595" s="71">
        <f>IF(OR(I595=0,I595=""),"unrated",VLOOKUP(I595,MappingTables!$B$19:$C$31,2,FALSE))</f>
        <v>2</v>
      </c>
      <c r="K595" s="72">
        <v>247.21279621687164</v>
      </c>
      <c r="L595" s="70">
        <v>0.087672905052265168</v>
      </c>
      <c r="M595" s="71">
        <f>IF(L595&lt;1,1,L595)</f>
        <v>1</v>
      </c>
      <c r="N595" s="70" t="s">
        <v>141</v>
      </c>
      <c r="O595" s="71">
        <f>INDEX(DurClassMapping,MATCH(M595,MappingTables!$D$4:$D$8,-1),1)</f>
        <v>1</v>
      </c>
      <c r="P595" s="73">
        <f>IF(M595=$A$1,1,$M595-INDEX(MappingTables!$E$4:$E$8,MATCH(O595,MappingTables!$B$4:$B$8,0)))</f>
        <v>1</v>
      </c>
      <c r="Q595" s="71">
        <f>IF(B595="",0,INDEX(ModelParameters!$D$6:$K$10,MATCH($O595,ModelParameters!$B$6:$B$10,0),MATCH($J595,ModelParameters!$D$5:$K$5,0)))</f>
        <v>0.013999999999999998</v>
      </c>
      <c r="R595" s="71">
        <f>IF(B595="",0,INDEX(ModelParameters!$D$13:$K$17,MATCH($O595,ModelParameters!$B$13:$B$17,0),MATCH($J595,ModelParameters!$D$5:$K$5,0)))</f>
        <v>0</v>
      </c>
      <c r="S595" s="160">
        <f>IF(B595="",0,MIN(IF($N595="Other Bond TM",ModelParameters!$N$21,1)*(P595*Q595+R595),1))</f>
        <v>0.013999999999999998</v>
      </c>
      <c r="T595" s="85">
        <f>IF(B595="",0,$S595*$K595)</f>
        <v>3.4609791470362028</v>
      </c>
      <c r="U595" s="85">
        <f>IF(B595="",0,IF(OR(H595=MappingTables!$C$34,H595=MappingTables!$C$35),T595,0))</f>
        <v>0</v>
      </c>
      <c r="V595" s="85">
        <f>IF(ISNA(IF(AND(VLOOKUP(CONCATENATE($D595,$G595),CSRFinput!$B:$E,4,0)=0,OR(H595=MappingTables!$C$34,H595=MappingTables!$C$35)),1,VLOOKUP(CONCATENATE($D595,$G595),CSRFinput!$B:$E,4,0))),0,IF(AND(VLOOKUP(CONCATENATE($D595,$G595),CSRFinput!$B:$E,4,0)=0,OR(H595=MappingTables!$C$34,H595=MappingTables!$C$35)),1,VLOOKUP(CONCATENATE($D595,$G595),CSRFinput!$B:$E,4,0)))</f>
        <v>0.054776304963434752</v>
      </c>
      <c r="W595" s="85">
        <f>IF(B595="",0,+$T595*$V595)</f>
        <v>0.18957964923014332</v>
      </c>
      <c r="X595" s="85">
        <f>IF(B595="",0,IF(OR(H595=MappingTables!$C$34,H595=MappingTables!$C$35),W595,0))</f>
        <v>0</v>
      </c>
    </row>
    <row r="596" spans="2:24" s="0" customFormat="0" ht="15">
      <c r="B596" s="69" t="s">
        <v>878</v>
      </c>
      <c r="C596" s="70" t="s">
        <v>879</v>
      </c>
      <c r="D596" s="70" t="s">
        <v>1</v>
      </c>
      <c r="E596" s="70" t="s">
        <v>1</v>
      </c>
      <c r="F596" s="70"/>
      <c r="G596" s="70" t="s">
        <v>61</v>
      </c>
      <c r="H596" s="70" t="s">
        <v>178</v>
      </c>
      <c r="I596" s="70" t="s">
        <v>204</v>
      </c>
      <c r="J596" s="71">
        <f>IF(OR(I596=0,I596=""),"unrated",VLOOKUP(I596,MappingTables!$B$19:$C$31,2,FALSE))</f>
        <v>6</v>
      </c>
      <c r="K596" s="72">
        <v>46.799565698022704</v>
      </c>
      <c r="L596" s="70">
        <v>0.04109516309083312</v>
      </c>
      <c r="M596" s="71">
        <f>IF(L596&lt;1,1,L596)</f>
        <v>1</v>
      </c>
      <c r="N596" s="70" t="s">
        <v>141</v>
      </c>
      <c r="O596" s="71">
        <f>INDEX(DurClassMapping,MATCH(M596,MappingTables!$D$4:$D$8,-1),1)</f>
        <v>1</v>
      </c>
      <c r="P596" s="73">
        <f>IF(M596=$A$1,1,$M596-INDEX(MappingTables!$E$4:$E$8,MATCH(O596,MappingTables!$B$4:$B$8,0)))</f>
        <v>1</v>
      </c>
      <c r="Q596" s="71">
        <f>IF(B596="",0,INDEX(ModelParameters!$D$6:$K$10,MATCH($O596,ModelParameters!$B$6:$B$10,0),MATCH($J596,ModelParameters!$D$5:$K$5,0)))</f>
        <v>0.075</v>
      </c>
      <c r="R596" s="71">
        <f>IF(B596="",0,INDEX(ModelParameters!$D$13:$K$17,MATCH($O596,ModelParameters!$B$13:$B$17,0),MATCH($J596,ModelParameters!$D$5:$K$5,0)))</f>
        <v>0</v>
      </c>
      <c r="S596" s="160">
        <f>IF(B596="",0,MIN(IF($N596="Other Bond TM",ModelParameters!$N$21,1)*(P596*Q596+R596),1))</f>
        <v>0.075</v>
      </c>
      <c r="T596" s="85">
        <f>IF(B596="",0,$S596*$K596)</f>
        <v>3.5099674273517024</v>
      </c>
      <c r="U596" s="85">
        <f>IF(B596="",0,IF(OR(H596=MappingTables!$C$34,H596=MappingTables!$C$35),T596,0))</f>
        <v>0</v>
      </c>
      <c r="V596" s="85">
        <f>IF(ISNA(IF(AND(VLOOKUP(CONCATENATE($D596,$G596),CSRFinput!$B:$E,4,0)=0,OR(H596=MappingTables!$C$34,H596=MappingTables!$C$35)),1,VLOOKUP(CONCATENATE($D596,$G596),CSRFinput!$B:$E,4,0))),0,IF(AND(VLOOKUP(CONCATENATE($D596,$G596),CSRFinput!$B:$E,4,0)=0,OR(H596=MappingTables!$C$34,H596=MappingTables!$C$35)),1,VLOOKUP(CONCATENATE($D596,$G596),CSRFinput!$B:$E,4,0)))</f>
        <v>0.054776304963434752</v>
      </c>
      <c r="W596" s="85">
        <f>IF(B596="",0,+$T596*$V596)</f>
        <v>0.1922630462123394</v>
      </c>
      <c r="X596" s="85">
        <f>IF(B596="",0,IF(OR(H596=MappingTables!$C$34,H596=MappingTables!$C$35),W596,0))</f>
        <v>0</v>
      </c>
    </row>
    <row r="597" spans="2:24" s="0" customFormat="0" ht="15">
      <c r="B597" s="69">
        <v>8062536</v>
      </c>
      <c r="C597" s="70" t="s">
        <v>880</v>
      </c>
      <c r="D597" s="70" t="s">
        <v>1</v>
      </c>
      <c r="E597" s="70" t="s">
        <v>1</v>
      </c>
      <c r="F597" s="70"/>
      <c r="G597" s="70" t="s">
        <v>61</v>
      </c>
      <c r="H597" s="70" t="s">
        <v>178</v>
      </c>
      <c r="I597" s="70" t="s">
        <v>179</v>
      </c>
      <c r="J597" s="71">
        <f>IF(OR(I597=0,I597=""),"unrated",VLOOKUP(I597,MappingTables!$B$19:$C$31,2,FALSE))</f>
        <v>4</v>
      </c>
      <c r="K597" s="72">
        <v>845.72898406049552</v>
      </c>
      <c r="L597" s="70">
        <v>0.27671183485176036</v>
      </c>
      <c r="M597" s="71">
        <f>IF(L597&lt;1,1,L597)</f>
        <v>1</v>
      </c>
      <c r="N597" s="70" t="s">
        <v>141</v>
      </c>
      <c r="O597" s="71">
        <f>INDEX(DurClassMapping,MATCH(M597,MappingTables!$D$4:$D$8,-1),1)</f>
        <v>1</v>
      </c>
      <c r="P597" s="73">
        <f>IF(M597=$A$1,1,$M597-INDEX(MappingTables!$E$4:$E$8,MATCH(O597,MappingTables!$B$4:$B$8,0)))</f>
        <v>1</v>
      </c>
      <c r="Q597" s="71">
        <f>IF(B597="",0,INDEX(ModelParameters!$D$6:$K$10,MATCH($O597,ModelParameters!$B$6:$B$10,0),MATCH($J597,ModelParameters!$D$5:$K$5,0)))</f>
        <v>0.045</v>
      </c>
      <c r="R597" s="71">
        <f>IF(B597="",0,INDEX(ModelParameters!$D$13:$K$17,MATCH($O597,ModelParameters!$B$13:$B$17,0),MATCH($J597,ModelParameters!$D$5:$K$5,0)))</f>
        <v>0</v>
      </c>
      <c r="S597" s="160">
        <f>IF(B597="",0,MIN(IF($N597="Other Bond TM",ModelParameters!$N$21,1)*(P597*Q597+R597),1))</f>
        <v>0.045</v>
      </c>
      <c r="T597" s="85">
        <f>IF(B597="",0,$S597*$K597)</f>
        <v>38.057804282722304</v>
      </c>
      <c r="U597" s="85">
        <f>IF(B597="",0,IF(OR(H597=MappingTables!$C$34,H597=MappingTables!$C$35),T597,0))</f>
        <v>0</v>
      </c>
      <c r="V597" s="85">
        <f>IF(ISNA(IF(AND(VLOOKUP(CONCATENATE($D597,$G597),CSRFinput!$B:$E,4,0)=0,OR(H597=MappingTables!$C$34,H597=MappingTables!$C$35)),1,VLOOKUP(CONCATENATE($D597,$G597),CSRFinput!$B:$E,4,0))),0,IF(AND(VLOOKUP(CONCATENATE($D597,$G597),CSRFinput!$B:$E,4,0)=0,OR(H597=MappingTables!$C$34,H597=MappingTables!$C$35)),1,VLOOKUP(CONCATENATE($D597,$G597),CSRFinput!$B:$E,4,0)))</f>
        <v>0.054776304963434752</v>
      </c>
      <c r="W597" s="85">
        <f>IF(B597="",0,+$T597*$V597)</f>
        <v>2.08466589362911</v>
      </c>
      <c r="X597" s="85">
        <f>IF(B597="",0,IF(OR(H597=MappingTables!$C$34,H597=MappingTables!$C$35),W597,0))</f>
        <v>0</v>
      </c>
    </row>
    <row r="598" spans="2:24" s="0" customFormat="0" ht="15">
      <c r="B598" s="69">
        <v>20993767</v>
      </c>
      <c r="C598" s="70" t="s">
        <v>177</v>
      </c>
      <c r="D598" s="70" t="s">
        <v>1</v>
      </c>
      <c r="E598" s="70" t="s">
        <v>1</v>
      </c>
      <c r="F598" s="70"/>
      <c r="G598" s="70" t="s">
        <v>61</v>
      </c>
      <c r="H598" s="70" t="s">
        <v>178</v>
      </c>
      <c r="I598" s="70" t="s">
        <v>179</v>
      </c>
      <c r="J598" s="71">
        <f>IF(OR(I598=0,I598=""),"unrated",VLOOKUP(I598,MappingTables!$B$19:$C$31,2,FALSE))</f>
        <v>4</v>
      </c>
      <c r="K598" s="72">
        <v>1614.9592789912596</v>
      </c>
      <c r="L598" s="70">
        <v>3.3103044530242552</v>
      </c>
      <c r="M598" s="71">
        <f>IF(L598&lt;1,1,L598)</f>
        <v>3.3103044530242552</v>
      </c>
      <c r="N598" s="70" t="s">
        <v>141</v>
      </c>
      <c r="O598" s="71">
        <f>INDEX(DurClassMapping,MATCH(M598,MappingTables!$D$4:$D$8,-1),1)</f>
        <v>1</v>
      </c>
      <c r="P598" s="73">
        <f>IF(M598=$A$1,1,$M598-INDEX(MappingTables!$E$4:$E$8,MATCH(O598,MappingTables!$B$4:$B$8,0)))</f>
        <v>3.3103044530242552</v>
      </c>
      <c r="Q598" s="71">
        <f>IF(B598="",0,INDEX(ModelParameters!$D$6:$K$10,MATCH($O598,ModelParameters!$B$6:$B$10,0),MATCH($J598,ModelParameters!$D$5:$K$5,0)))</f>
        <v>0.045</v>
      </c>
      <c r="R598" s="71">
        <f>IF(B598="",0,INDEX(ModelParameters!$D$13:$K$17,MATCH($O598,ModelParameters!$B$13:$B$17,0),MATCH($J598,ModelParameters!$D$5:$K$5,0)))</f>
        <v>0</v>
      </c>
      <c r="S598" s="160">
        <f>IF(B598="",0,MIN(IF($N598="Other Bond TM",ModelParameters!$N$21,1)*(P598*Q598+R598),1))</f>
        <v>0.1489637003860915</v>
      </c>
      <c r="T598" s="85">
        <f>IF(B598="",0,$S598*$K598)</f>
        <v>240.57031017139236</v>
      </c>
      <c r="U598" s="85">
        <f>IF(B598="",0,IF(OR(H598=MappingTables!$C$34,H598=MappingTables!$C$35),T598,0))</f>
        <v>0</v>
      </c>
      <c r="V598" s="85">
        <f>IF(ISNA(IF(AND(VLOOKUP(CONCATENATE($D598,$G598),CSRFinput!$B:$E,4,0)=0,OR(H598=MappingTables!$C$34,H598=MappingTables!$C$35)),1,VLOOKUP(CONCATENATE($D598,$G598),CSRFinput!$B:$E,4,0))),0,IF(AND(VLOOKUP(CONCATENATE($D598,$G598),CSRFinput!$B:$E,4,0)=0,OR(H598=MappingTables!$C$34,H598=MappingTables!$C$35)),1,VLOOKUP(CONCATENATE($D598,$G598),CSRFinput!$B:$E,4,0)))</f>
        <v>0.054776304963434752</v>
      </c>
      <c r="W598" s="85">
        <f>IF(B598="",0,+$T598*$V598)</f>
        <v>13.177552675096276</v>
      </c>
      <c r="X598" s="85">
        <f>IF(B598="",0,IF(OR(H598=MappingTables!$C$34,H598=MappingTables!$C$35),W598,0))</f>
        <v>0</v>
      </c>
    </row>
    <row r="599" spans="2:24" s="0" customFormat="0" ht="15">
      <c r="B599" s="69">
        <v>13111105</v>
      </c>
      <c r="C599" s="70" t="s">
        <v>881</v>
      </c>
      <c r="D599" s="70" t="s">
        <v>1</v>
      </c>
      <c r="E599" s="70" t="s">
        <v>1</v>
      </c>
      <c r="F599" s="70"/>
      <c r="G599" s="70" t="s">
        <v>61</v>
      </c>
      <c r="H599" s="70" t="s">
        <v>178</v>
      </c>
      <c r="I599" s="70" t="s">
        <v>184</v>
      </c>
      <c r="J599" s="71">
        <f>IF(OR(I599=0,I599=""),"unrated",VLOOKUP(I599,MappingTables!$B$19:$C$31,2,FALSE))</f>
        <v>5</v>
      </c>
      <c r="K599" s="72">
        <v>165.13635420202116</v>
      </c>
      <c r="L599" s="70">
        <v>0.030138211556016476</v>
      </c>
      <c r="M599" s="71">
        <f>IF(L599&lt;1,1,L599)</f>
        <v>1</v>
      </c>
      <c r="N599" s="70" t="s">
        <v>141</v>
      </c>
      <c r="O599" s="71">
        <f>INDEX(DurClassMapping,MATCH(M599,MappingTables!$D$4:$D$8,-1),1)</f>
        <v>1</v>
      </c>
      <c r="P599" s="73">
        <f>IF(M599=$A$1,1,$M599-INDEX(MappingTables!$E$4:$E$8,MATCH(O599,MappingTables!$B$4:$B$8,0)))</f>
        <v>1</v>
      </c>
      <c r="Q599" s="71">
        <f>IF(B599="",0,INDEX(ModelParameters!$D$6:$K$10,MATCH($O599,ModelParameters!$B$6:$B$10,0),MATCH($J599,ModelParameters!$D$5:$K$5,0)))</f>
        <v>0.075</v>
      </c>
      <c r="R599" s="71">
        <f>IF(B599="",0,INDEX(ModelParameters!$D$13:$K$17,MATCH($O599,ModelParameters!$B$13:$B$17,0),MATCH($J599,ModelParameters!$D$5:$K$5,0)))</f>
        <v>0</v>
      </c>
      <c r="S599" s="160">
        <f>IF(B599="",0,MIN(IF($N599="Other Bond TM",ModelParameters!$N$21,1)*(P599*Q599+R599),1))</f>
        <v>0.075</v>
      </c>
      <c r="T599" s="85">
        <f>IF(B599="",0,$S599*$K599)</f>
        <v>12.385226565151586</v>
      </c>
      <c r="U599" s="85">
        <f>IF(B599="",0,IF(OR(H599=MappingTables!$C$34,H599=MappingTables!$C$35),T599,0))</f>
        <v>0</v>
      </c>
      <c r="V599" s="85">
        <f>IF(ISNA(IF(AND(VLOOKUP(CONCATENATE($D599,$G599),CSRFinput!$B:$E,4,0)=0,OR(H599=MappingTables!$C$34,H599=MappingTables!$C$35)),1,VLOOKUP(CONCATENATE($D599,$G599),CSRFinput!$B:$E,4,0))),0,IF(AND(VLOOKUP(CONCATENATE($D599,$G599),CSRFinput!$B:$E,4,0)=0,OR(H599=MappingTables!$C$34,H599=MappingTables!$C$35)),1,VLOOKUP(CONCATENATE($D599,$G599),CSRFinput!$B:$E,4,0)))</f>
        <v>0.054776304963434752</v>
      </c>
      <c r="W599" s="85">
        <f>IF(B599="",0,+$T599*$V599)</f>
        <v>0.67841694737397672</v>
      </c>
      <c r="X599" s="85">
        <f>IF(B599="",0,IF(OR(H599=MappingTables!$C$34,H599=MappingTables!$C$35),W599,0))</f>
        <v>0</v>
      </c>
    </row>
    <row r="600" spans="2:24" s="0" customFormat="0" ht="15">
      <c r="B600" s="69" t="s">
        <v>882</v>
      </c>
      <c r="C600" s="70" t="s">
        <v>883</v>
      </c>
      <c r="D600" s="70" t="s">
        <v>1</v>
      </c>
      <c r="E600" s="70" t="s">
        <v>1</v>
      </c>
      <c r="F600" s="70"/>
      <c r="G600" s="70" t="s">
        <v>61</v>
      </c>
      <c r="H600" s="70" t="s">
        <v>178</v>
      </c>
      <c r="I600" s="70" t="s">
        <v>188</v>
      </c>
      <c r="J600" s="71">
        <f>IF(OR(I600=0,I600=""),"unrated",VLOOKUP(I600,MappingTables!$B$19:$C$31,2,FALSE))</f>
        <v>2</v>
      </c>
      <c r="K600" s="72">
        <v>712.00906429294864</v>
      </c>
      <c r="L600" s="70">
        <v>1.3304676688335876</v>
      </c>
      <c r="M600" s="71">
        <f>IF(L600&lt;1,1,L600)</f>
        <v>1.3304676688335876</v>
      </c>
      <c r="N600" s="70" t="s">
        <v>141</v>
      </c>
      <c r="O600" s="71">
        <f>INDEX(DurClassMapping,MATCH(M600,MappingTables!$D$4:$D$8,-1),1)</f>
        <v>1</v>
      </c>
      <c r="P600" s="73">
        <f>IF(M600=$A$1,1,$M600-INDEX(MappingTables!$E$4:$E$8,MATCH(O600,MappingTables!$B$4:$B$8,0)))</f>
        <v>1.3304676688335876</v>
      </c>
      <c r="Q600" s="71">
        <f>IF(B600="",0,INDEX(ModelParameters!$D$6:$K$10,MATCH($O600,ModelParameters!$B$6:$B$10,0),MATCH($J600,ModelParameters!$D$5:$K$5,0)))</f>
        <v>0.013999999999999998</v>
      </c>
      <c r="R600" s="71">
        <f>IF(B600="",0,INDEX(ModelParameters!$D$13:$K$17,MATCH($O600,ModelParameters!$B$13:$B$17,0),MATCH($J600,ModelParameters!$D$5:$K$5,0)))</f>
        <v>0</v>
      </c>
      <c r="S600" s="160">
        <f>IF(B600="",0,MIN(IF($N600="Other Bond TM",ModelParameters!$N$21,1)*(P600*Q600+R600),1))</f>
        <v>0.018626547363670228</v>
      </c>
      <c r="T600" s="85">
        <f>IF(B600="",0,$S600*$K600)</f>
        <v>13.262270559415126</v>
      </c>
      <c r="U600" s="85">
        <f>IF(B600="",0,IF(OR(H600=MappingTables!$C$34,H600=MappingTables!$C$35),T600,0))</f>
        <v>0</v>
      </c>
      <c r="V600" s="85">
        <f>IF(ISNA(IF(AND(VLOOKUP(CONCATENATE($D600,$G600),CSRFinput!$B:$E,4,0)=0,OR(H600=MappingTables!$C$34,H600=MappingTables!$C$35)),1,VLOOKUP(CONCATENATE($D600,$G600),CSRFinput!$B:$E,4,0))),0,IF(AND(VLOOKUP(CONCATENATE($D600,$G600),CSRFinput!$B:$E,4,0)=0,OR(H600=MappingTables!$C$34,H600=MappingTables!$C$35)),1,VLOOKUP(CONCATENATE($D600,$G600),CSRFinput!$B:$E,4,0)))</f>
        <v>0.054776304963434752</v>
      </c>
      <c r="W600" s="85">
        <f>IF(B600="",0,+$T600*$V600)</f>
        <v>0.72645817667010544</v>
      </c>
      <c r="X600" s="85">
        <f>IF(B600="",0,IF(OR(H600=MappingTables!$C$34,H600=MappingTables!$C$35),W600,0))</f>
        <v>0</v>
      </c>
    </row>
    <row r="601" spans="2:24" s="0" customFormat="0" ht="15">
      <c r="B601" s="69">
        <v>12894601</v>
      </c>
      <c r="C601" s="70" t="s">
        <v>413</v>
      </c>
      <c r="D601" s="70" t="s">
        <v>1</v>
      </c>
      <c r="E601" s="70" t="s">
        <v>1</v>
      </c>
      <c r="F601" s="70"/>
      <c r="G601" s="70" t="s">
        <v>61</v>
      </c>
      <c r="H601" s="70" t="s">
        <v>178</v>
      </c>
      <c r="I601" s="70" t="s">
        <v>181</v>
      </c>
      <c r="J601" s="71">
        <f>IF(OR(I601=0,I601=""),"unrated",VLOOKUP(I601,MappingTables!$B$19:$C$31,2,FALSE))</f>
        <v>3</v>
      </c>
      <c r="K601" s="72">
        <v>4728.60485100718</v>
      </c>
      <c r="L601" s="70">
        <v>0.88631559077732928</v>
      </c>
      <c r="M601" s="71">
        <f>IF(L601&lt;1,1,L601)</f>
        <v>1</v>
      </c>
      <c r="N601" s="70" t="s">
        <v>141</v>
      </c>
      <c r="O601" s="71">
        <f>INDEX(DurClassMapping,MATCH(M601,MappingTables!$D$4:$D$8,-1),1)</f>
        <v>1</v>
      </c>
      <c r="P601" s="73">
        <f>IF(M601=$A$1,1,$M601-INDEX(MappingTables!$E$4:$E$8,MATCH(O601,MappingTables!$B$4:$B$8,0)))</f>
        <v>1</v>
      </c>
      <c r="Q601" s="71">
        <f>IF(B601="",0,INDEX(ModelParameters!$D$6:$K$10,MATCH($O601,ModelParameters!$B$6:$B$10,0),MATCH($J601,ModelParameters!$D$5:$K$5,0)))</f>
        <v>0.025</v>
      </c>
      <c r="R601" s="71">
        <f>IF(B601="",0,INDEX(ModelParameters!$D$13:$K$17,MATCH($O601,ModelParameters!$B$13:$B$17,0),MATCH($J601,ModelParameters!$D$5:$K$5,0)))</f>
        <v>0</v>
      </c>
      <c r="S601" s="160">
        <f>IF(B601="",0,MIN(IF($N601="Other Bond TM",ModelParameters!$N$21,1)*(P601*Q601+R601),1))</f>
        <v>0.025</v>
      </c>
      <c r="T601" s="85">
        <f>IF(B601="",0,$S601*$K601)</f>
        <v>118.2151212751795</v>
      </c>
      <c r="U601" s="85">
        <f>IF(B601="",0,IF(OR(H601=MappingTables!$C$34,H601=MappingTables!$C$35),T601,0))</f>
        <v>0</v>
      </c>
      <c r="V601" s="85">
        <f>IF(ISNA(IF(AND(VLOOKUP(CONCATENATE($D601,$G601),CSRFinput!$B:$E,4,0)=0,OR(H601=MappingTables!$C$34,H601=MappingTables!$C$35)),1,VLOOKUP(CONCATENATE($D601,$G601),CSRFinput!$B:$E,4,0))),0,IF(AND(VLOOKUP(CONCATENATE($D601,$G601),CSRFinput!$B:$E,4,0)=0,OR(H601=MappingTables!$C$34,H601=MappingTables!$C$35)),1,VLOOKUP(CONCATENATE($D601,$G601),CSRFinput!$B:$E,4,0)))</f>
        <v>0.054776304963434752</v>
      </c>
      <c r="W601" s="85">
        <f>IF(B601="",0,+$T601*$V601)</f>
        <v>6.4753875342586568</v>
      </c>
      <c r="X601" s="85">
        <f>IF(B601="",0,IF(OR(H601=MappingTables!$C$34,H601=MappingTables!$C$35),W601,0))</f>
        <v>0</v>
      </c>
    </row>
    <row r="602" spans="2:24" s="0" customFormat="0" ht="15">
      <c r="B602" s="69">
        <v>19647980</v>
      </c>
      <c r="C602" s="70" t="s">
        <v>884</v>
      </c>
      <c r="D602" s="70" t="s">
        <v>1</v>
      </c>
      <c r="E602" s="70" t="s">
        <v>1</v>
      </c>
      <c r="F602" s="70"/>
      <c r="G602" s="70" t="s">
        <v>61</v>
      </c>
      <c r="H602" s="70" t="s">
        <v>178</v>
      </c>
      <c r="I602" s="70" t="s">
        <v>179</v>
      </c>
      <c r="J602" s="71">
        <f>IF(OR(I602=0,I602=""),"unrated",VLOOKUP(I602,MappingTables!$B$19:$C$31,2,FALSE))</f>
        <v>4</v>
      </c>
      <c r="K602" s="72">
        <v>4116.0843189751296</v>
      </c>
      <c r="L602" s="70">
        <v>0.37808494389253392</v>
      </c>
      <c r="M602" s="71">
        <f>IF(L602&lt;1,1,L602)</f>
        <v>1</v>
      </c>
      <c r="N602" s="70" t="s">
        <v>141</v>
      </c>
      <c r="O602" s="71">
        <f>INDEX(DurClassMapping,MATCH(M602,MappingTables!$D$4:$D$8,-1),1)</f>
        <v>1</v>
      </c>
      <c r="P602" s="73">
        <f>IF(M602=$A$1,1,$M602-INDEX(MappingTables!$E$4:$E$8,MATCH(O602,MappingTables!$B$4:$B$8,0)))</f>
        <v>1</v>
      </c>
      <c r="Q602" s="71">
        <f>IF(B602="",0,INDEX(ModelParameters!$D$6:$K$10,MATCH($O602,ModelParameters!$B$6:$B$10,0),MATCH($J602,ModelParameters!$D$5:$K$5,0)))</f>
        <v>0.045</v>
      </c>
      <c r="R602" s="71">
        <f>IF(B602="",0,INDEX(ModelParameters!$D$13:$K$17,MATCH($O602,ModelParameters!$B$13:$B$17,0),MATCH($J602,ModelParameters!$D$5:$K$5,0)))</f>
        <v>0</v>
      </c>
      <c r="S602" s="160">
        <f>IF(B602="",0,MIN(IF($N602="Other Bond TM",ModelParameters!$N$21,1)*(P602*Q602+R602),1))</f>
        <v>0.045</v>
      </c>
      <c r="T602" s="85">
        <f>IF(B602="",0,$S602*$K602)</f>
        <v>185.2237943538808</v>
      </c>
      <c r="U602" s="85">
        <f>IF(B602="",0,IF(OR(H602=MappingTables!$C$34,H602=MappingTables!$C$35),T602,0))</f>
        <v>0</v>
      </c>
      <c r="V602" s="85">
        <f>IF(ISNA(IF(AND(VLOOKUP(CONCATENATE($D602,$G602),CSRFinput!$B:$E,4,0)=0,OR(H602=MappingTables!$C$34,H602=MappingTables!$C$35)),1,VLOOKUP(CONCATENATE($D602,$G602),CSRFinput!$B:$E,4,0))),0,IF(AND(VLOOKUP(CONCATENATE($D602,$G602),CSRFinput!$B:$E,4,0)=0,OR(H602=MappingTables!$C$34,H602=MappingTables!$C$35)),1,VLOOKUP(CONCATENATE($D602,$G602),CSRFinput!$B:$E,4,0)))</f>
        <v>0.054776304963434752</v>
      </c>
      <c r="W602" s="85">
        <f>IF(B602="",0,+$T602*$V602)</f>
        <v>10.1458750460127</v>
      </c>
      <c r="X602" s="85">
        <f>IF(B602="",0,IF(OR(H602=MappingTables!$C$34,H602=MappingTables!$C$35),W602,0))</f>
        <v>0</v>
      </c>
    </row>
    <row r="603" spans="2:24" s="0" customFormat="0" ht="15">
      <c r="B603" s="69" t="s">
        <v>885</v>
      </c>
      <c r="C603" s="70" t="s">
        <v>886</v>
      </c>
      <c r="D603" s="70" t="s">
        <v>1</v>
      </c>
      <c r="E603" s="70" t="s">
        <v>1</v>
      </c>
      <c r="F603" s="70"/>
      <c r="G603" s="70" t="s">
        <v>61</v>
      </c>
      <c r="H603" s="70" t="s">
        <v>178</v>
      </c>
      <c r="I603" s="70" t="s">
        <v>181</v>
      </c>
      <c r="J603" s="71">
        <f>IF(OR(I603=0,I603=""),"unrated",VLOOKUP(I603,MappingTables!$B$19:$C$31,2,FALSE))</f>
        <v>3</v>
      </c>
      <c r="K603" s="72">
        <v>524.73350838730392</v>
      </c>
      <c r="L603" s="70">
        <v>0.2054784946693246</v>
      </c>
      <c r="M603" s="71">
        <f>IF(L603&lt;1,1,L603)</f>
        <v>1</v>
      </c>
      <c r="N603" s="70" t="s">
        <v>141</v>
      </c>
      <c r="O603" s="71">
        <f>INDEX(DurClassMapping,MATCH(M603,MappingTables!$D$4:$D$8,-1),1)</f>
        <v>1</v>
      </c>
      <c r="P603" s="73">
        <f>IF(M603=$A$1,1,$M603-INDEX(MappingTables!$E$4:$E$8,MATCH(O603,MappingTables!$B$4:$B$8,0)))</f>
        <v>1</v>
      </c>
      <c r="Q603" s="71">
        <f>IF(B603="",0,INDEX(ModelParameters!$D$6:$K$10,MATCH($O603,ModelParameters!$B$6:$B$10,0),MATCH($J603,ModelParameters!$D$5:$K$5,0)))</f>
        <v>0.025</v>
      </c>
      <c r="R603" s="71">
        <f>IF(B603="",0,INDEX(ModelParameters!$D$13:$K$17,MATCH($O603,ModelParameters!$B$13:$B$17,0),MATCH($J603,ModelParameters!$D$5:$K$5,0)))</f>
        <v>0</v>
      </c>
      <c r="S603" s="160">
        <f>IF(B603="",0,MIN(IF($N603="Other Bond TM",ModelParameters!$N$21,1)*(P603*Q603+R603),1))</f>
        <v>0.025</v>
      </c>
      <c r="T603" s="85">
        <f>IF(B603="",0,$S603*$K603)</f>
        <v>13.1183377096826</v>
      </c>
      <c r="U603" s="85">
        <f>IF(B603="",0,IF(OR(H603=MappingTables!$C$34,H603=MappingTables!$C$35),T603,0))</f>
        <v>0</v>
      </c>
      <c r="V603" s="85">
        <f>IF(ISNA(IF(AND(VLOOKUP(CONCATENATE($D603,$G603),CSRFinput!$B:$E,4,0)=0,OR(H603=MappingTables!$C$34,H603=MappingTables!$C$35)),1,VLOOKUP(CONCATENATE($D603,$G603),CSRFinput!$B:$E,4,0))),0,IF(AND(VLOOKUP(CONCATENATE($D603,$G603),CSRFinput!$B:$E,4,0)=0,OR(H603=MappingTables!$C$34,H603=MappingTables!$C$35)),1,VLOOKUP(CONCATENATE($D603,$G603),CSRFinput!$B:$E,4,0)))</f>
        <v>0.054776304963434752</v>
      </c>
      <c r="W603" s="85">
        <f>IF(B603="",0,+$T603*$V603)</f>
        <v>0.71857406699890024</v>
      </c>
      <c r="X603" s="85">
        <f>IF(B603="",0,IF(OR(H603=MappingTables!$C$34,H603=MappingTables!$C$35),W603,0))</f>
        <v>0</v>
      </c>
    </row>
    <row r="604" spans="2:24" s="0" customFormat="0" ht="15">
      <c r="B604" s="69">
        <v>23069421</v>
      </c>
      <c r="C604" s="70" t="s">
        <v>887</v>
      </c>
      <c r="D604" s="70" t="s">
        <v>1</v>
      </c>
      <c r="E604" s="70" t="s">
        <v>1</v>
      </c>
      <c r="F604" s="70"/>
      <c r="G604" s="70" t="s">
        <v>61</v>
      </c>
      <c r="H604" s="70" t="s">
        <v>178</v>
      </c>
      <c r="I604" s="70" t="s">
        <v>181</v>
      </c>
      <c r="J604" s="71">
        <f>IF(OR(I604=0,I604=""),"unrated",VLOOKUP(I604,MappingTables!$B$19:$C$31,2,FALSE))</f>
        <v>3</v>
      </c>
      <c r="K604" s="72">
        <v>5581.141938226444</v>
      </c>
      <c r="L604" s="70">
        <v>0.087673187001158752</v>
      </c>
      <c r="M604" s="71">
        <f>IF(L604&lt;1,1,L604)</f>
        <v>1</v>
      </c>
      <c r="N604" s="70" t="s">
        <v>141</v>
      </c>
      <c r="O604" s="71">
        <f>INDEX(DurClassMapping,MATCH(M604,MappingTables!$D$4:$D$8,-1),1)</f>
        <v>1</v>
      </c>
      <c r="P604" s="73">
        <f>IF(M604=$A$1,1,$M604-INDEX(MappingTables!$E$4:$E$8,MATCH(O604,MappingTables!$B$4:$B$8,0)))</f>
        <v>1</v>
      </c>
      <c r="Q604" s="71">
        <f>IF(B604="",0,INDEX(ModelParameters!$D$6:$K$10,MATCH($O604,ModelParameters!$B$6:$B$10,0),MATCH($J604,ModelParameters!$D$5:$K$5,0)))</f>
        <v>0.025</v>
      </c>
      <c r="R604" s="71">
        <f>IF(B604="",0,INDEX(ModelParameters!$D$13:$K$17,MATCH($O604,ModelParameters!$B$13:$B$17,0),MATCH($J604,ModelParameters!$D$5:$K$5,0)))</f>
        <v>0</v>
      </c>
      <c r="S604" s="160">
        <f>IF(B604="",0,MIN(IF($N604="Other Bond TM",ModelParameters!$N$21,1)*(P604*Q604+R604),1))</f>
        <v>0.025</v>
      </c>
      <c r="T604" s="85">
        <f>IF(B604="",0,$S604*$K604)</f>
        <v>139.5285484556611</v>
      </c>
      <c r="U604" s="85">
        <f>IF(B604="",0,IF(OR(H604=MappingTables!$C$34,H604=MappingTables!$C$35),T604,0))</f>
        <v>0</v>
      </c>
      <c r="V604" s="85">
        <f>IF(ISNA(IF(AND(VLOOKUP(CONCATENATE($D604,$G604),CSRFinput!$B:$E,4,0)=0,OR(H604=MappingTables!$C$34,H604=MappingTables!$C$35)),1,VLOOKUP(CONCATENATE($D604,$G604),CSRFinput!$B:$E,4,0))),0,IF(AND(VLOOKUP(CONCATENATE($D604,$G604),CSRFinput!$B:$E,4,0)=0,OR(H604=MappingTables!$C$34,H604=MappingTables!$C$35)),1,VLOOKUP(CONCATENATE($D604,$G604),CSRFinput!$B:$E,4,0)))</f>
        <v>0.054776304963434752</v>
      </c>
      <c r="W604" s="85">
        <f>IF(B604="",0,+$T604*$V604)</f>
        <v>7.6428583213126768</v>
      </c>
      <c r="X604" s="85">
        <f>IF(B604="",0,IF(OR(H604=MappingTables!$C$34,H604=MappingTables!$C$35),W604,0))</f>
        <v>0</v>
      </c>
    </row>
    <row r="605" spans="2:24" s="0" customFormat="0" ht="15">
      <c r="B605" s="69">
        <v>12057777</v>
      </c>
      <c r="C605" s="70" t="s">
        <v>888</v>
      </c>
      <c r="D605" s="70" t="s">
        <v>1</v>
      </c>
      <c r="E605" s="70" t="s">
        <v>1</v>
      </c>
      <c r="F605" s="70"/>
      <c r="G605" s="70" t="s">
        <v>61</v>
      </c>
      <c r="H605" s="70" t="s">
        <v>178</v>
      </c>
      <c r="I605" s="70" t="s">
        <v>188</v>
      </c>
      <c r="J605" s="71">
        <f>IF(OR(I605=0,I605=""),"unrated",VLOOKUP(I605,MappingTables!$B$19:$C$31,2,FALSE))</f>
        <v>2</v>
      </c>
      <c r="K605" s="72">
        <v>597.12231422691016</v>
      </c>
      <c r="L605" s="70">
        <v>0.4130309342964776</v>
      </c>
      <c r="M605" s="71">
        <f>IF(L605&lt;1,1,L605)</f>
        <v>1</v>
      </c>
      <c r="N605" s="70" t="s">
        <v>141</v>
      </c>
      <c r="O605" s="71">
        <f>INDEX(DurClassMapping,MATCH(M605,MappingTables!$D$4:$D$8,-1),1)</f>
        <v>1</v>
      </c>
      <c r="P605" s="73">
        <f>IF(M605=$A$1,1,$M605-INDEX(MappingTables!$E$4:$E$8,MATCH(O605,MappingTables!$B$4:$B$8,0)))</f>
        <v>1</v>
      </c>
      <c r="Q605" s="71">
        <f>IF(B605="",0,INDEX(ModelParameters!$D$6:$K$10,MATCH($O605,ModelParameters!$B$6:$B$10,0),MATCH($J605,ModelParameters!$D$5:$K$5,0)))</f>
        <v>0.013999999999999998</v>
      </c>
      <c r="R605" s="71">
        <f>IF(B605="",0,INDEX(ModelParameters!$D$13:$K$17,MATCH($O605,ModelParameters!$B$13:$B$17,0),MATCH($J605,ModelParameters!$D$5:$K$5,0)))</f>
        <v>0</v>
      </c>
      <c r="S605" s="160">
        <f>IF(B605="",0,MIN(IF($N605="Other Bond TM",ModelParameters!$N$21,1)*(P605*Q605+R605),1))</f>
        <v>0.013999999999999998</v>
      </c>
      <c r="T605" s="85">
        <f>IF(B605="",0,$S605*$K605)</f>
        <v>8.3597123991767408</v>
      </c>
      <c r="U605" s="85">
        <f>IF(B605="",0,IF(OR(H605=MappingTables!$C$34,H605=MappingTables!$C$35),T605,0))</f>
        <v>0</v>
      </c>
      <c r="V605" s="85">
        <f>IF(ISNA(IF(AND(VLOOKUP(CONCATENATE($D605,$G605),CSRFinput!$B:$E,4,0)=0,OR(H605=MappingTables!$C$34,H605=MappingTables!$C$35)),1,VLOOKUP(CONCATENATE($D605,$G605),CSRFinput!$B:$E,4,0))),0,IF(AND(VLOOKUP(CONCATENATE($D605,$G605),CSRFinput!$B:$E,4,0)=0,OR(H605=MappingTables!$C$34,H605=MappingTables!$C$35)),1,VLOOKUP(CONCATENATE($D605,$G605),CSRFinput!$B:$E,4,0)))</f>
        <v>0.054776304963434752</v>
      </c>
      <c r="W605" s="85">
        <f>IF(B605="",0,+$T605*$V605)</f>
        <v>0.457914155783912</v>
      </c>
      <c r="X605" s="85">
        <f>IF(B605="",0,IF(OR(H605=MappingTables!$C$34,H605=MappingTables!$C$35),W605,0))</f>
        <v>0</v>
      </c>
    </row>
    <row r="606" spans="2:24" s="0" customFormat="0" ht="15">
      <c r="B606" s="69">
        <v>23353706</v>
      </c>
      <c r="C606" s="70" t="s">
        <v>889</v>
      </c>
      <c r="D606" s="70" t="s">
        <v>1</v>
      </c>
      <c r="E606" s="70" t="s">
        <v>1</v>
      </c>
      <c r="F606" s="70"/>
      <c r="G606" s="70" t="s">
        <v>61</v>
      </c>
      <c r="H606" s="70" t="s">
        <v>178</v>
      </c>
      <c r="I606" s="70" t="s">
        <v>181</v>
      </c>
      <c r="J606" s="71">
        <f>IF(OR(I606=0,I606=""),"unrated",VLOOKUP(I606,MappingTables!$B$19:$C$31,2,FALSE))</f>
        <v>3</v>
      </c>
      <c r="K606" s="72">
        <v>16942.056816696284</v>
      </c>
      <c r="L606" s="70">
        <v>4.1537249357847304</v>
      </c>
      <c r="M606" s="71">
        <f>IF(L606&lt;1,1,L606)</f>
        <v>4.1537249357847304</v>
      </c>
      <c r="N606" s="70" t="s">
        <v>141</v>
      </c>
      <c r="O606" s="71">
        <f>INDEX(DurClassMapping,MATCH(M606,MappingTables!$D$4:$D$8,-1),1)</f>
        <v>1</v>
      </c>
      <c r="P606" s="73">
        <f>IF(M606=$A$1,1,$M606-INDEX(MappingTables!$E$4:$E$8,MATCH(O606,MappingTables!$B$4:$B$8,0)))</f>
        <v>4.1537249357847304</v>
      </c>
      <c r="Q606" s="71">
        <f>IF(B606="",0,INDEX(ModelParameters!$D$6:$K$10,MATCH($O606,ModelParameters!$B$6:$B$10,0),MATCH($J606,ModelParameters!$D$5:$K$5,0)))</f>
        <v>0.025</v>
      </c>
      <c r="R606" s="71">
        <f>IF(B606="",0,INDEX(ModelParameters!$D$13:$K$17,MATCH($O606,ModelParameters!$B$13:$B$17,0),MATCH($J606,ModelParameters!$D$5:$K$5,0)))</f>
        <v>0</v>
      </c>
      <c r="S606" s="160">
        <f>IF(B606="",0,MIN(IF($N606="Other Bond TM",ModelParameters!$N$21,1)*(P606*Q606+R606),1))</f>
        <v>0.10384312339461826</v>
      </c>
      <c r="T606" s="85">
        <f>IF(B606="",0,$S606*$K606)</f>
        <v>1759.3160965748256</v>
      </c>
      <c r="U606" s="85">
        <f>IF(B606="",0,IF(OR(H606=MappingTables!$C$34,H606=MappingTables!$C$35),T606,0))</f>
        <v>0</v>
      </c>
      <c r="V606" s="85">
        <f>IF(ISNA(IF(AND(VLOOKUP(CONCATENATE($D606,$G606),CSRFinput!$B:$E,4,0)=0,OR(H606=MappingTables!$C$34,H606=MappingTables!$C$35)),1,VLOOKUP(CONCATENATE($D606,$G606),CSRFinput!$B:$E,4,0))),0,IF(AND(VLOOKUP(CONCATENATE($D606,$G606),CSRFinput!$B:$E,4,0)=0,OR(H606=MappingTables!$C$34,H606=MappingTables!$C$35)),1,VLOOKUP(CONCATENATE($D606,$G606),CSRFinput!$B:$E,4,0)))</f>
        <v>0.054776304963434752</v>
      </c>
      <c r="W606" s="85">
        <f>IF(B606="",0,+$T606*$V606)</f>
        <v>96.368835033062288</v>
      </c>
      <c r="X606" s="85">
        <f>IF(B606="",0,IF(OR(H606=MappingTables!$C$34,H606=MappingTables!$C$35),W606,0))</f>
        <v>0</v>
      </c>
    </row>
    <row r="607" spans="2:24" s="0" customFormat="0" ht="15">
      <c r="B607" s="69">
        <v>24432571</v>
      </c>
      <c r="C607" s="70" t="s">
        <v>890</v>
      </c>
      <c r="D607" s="70" t="s">
        <v>1</v>
      </c>
      <c r="E607" s="70" t="s">
        <v>1</v>
      </c>
      <c r="F607" s="70"/>
      <c r="G607" s="70" t="s">
        <v>61</v>
      </c>
      <c r="H607" s="70" t="s">
        <v>178</v>
      </c>
      <c r="I607" s="70" t="s">
        <v>220</v>
      </c>
      <c r="J607" s="71">
        <f>IF(OR(I607=0,I607=""),"unrated",VLOOKUP(I607,MappingTables!$B$19:$C$31,2,FALSE))</f>
        <v>1</v>
      </c>
      <c r="K607" s="72">
        <v>393.14947178019304</v>
      </c>
      <c r="L607" s="70">
        <v>15.460650236827232</v>
      </c>
      <c r="M607" s="71">
        <f>IF(L607&lt;1,1,L607)</f>
        <v>15.460650236827232</v>
      </c>
      <c r="N607" s="70" t="s">
        <v>141</v>
      </c>
      <c r="O607" s="71">
        <f>INDEX(DurClassMapping,MATCH(M607,MappingTables!$D$4:$D$8,-1),1)</f>
        <v>4</v>
      </c>
      <c r="P607" s="73">
        <f>IF(M607=$A$1,1,$M607-INDEX(MappingTables!$E$4:$E$8,MATCH(O607,MappingTables!$B$4:$B$8,0)))</f>
        <v>0.46065023682723272</v>
      </c>
      <c r="Q607" s="71">
        <f>IF(B607="",0,INDEX(ModelParameters!$D$6:$K$10,MATCH($O607,ModelParameters!$B$6:$B$10,0),MATCH($J607,ModelParameters!$D$5:$K$5,0)))</f>
        <v>0.005</v>
      </c>
      <c r="R607" s="71">
        <f>IF(B607="",0,INDEX(ModelParameters!$D$13:$K$17,MATCH($O607,ModelParameters!$B$13:$B$17,0),MATCH($J607,ModelParameters!$D$5:$K$5,0)))</f>
        <v>0.11</v>
      </c>
      <c r="S607" s="160">
        <f>IF(B607="",0,MIN(IF($N607="Other Bond TM",ModelParameters!$N$21,1)*(P607*Q607+R607),1))</f>
        <v>0.11230325118413616</v>
      </c>
      <c r="T607" s="85">
        <f>IF(B607="",0,$S607*$K607)</f>
        <v>44.151963882241464</v>
      </c>
      <c r="U607" s="85">
        <f>IF(B607="",0,IF(OR(H607=MappingTables!$C$34,H607=MappingTables!$C$35),T607,0))</f>
        <v>0</v>
      </c>
      <c r="V607" s="85">
        <f>IF(ISNA(IF(AND(VLOOKUP(CONCATENATE($D607,$G607),CSRFinput!$B:$E,4,0)=0,OR(H607=MappingTables!$C$34,H607=MappingTables!$C$35)),1,VLOOKUP(CONCATENATE($D607,$G607),CSRFinput!$B:$E,4,0))),0,IF(AND(VLOOKUP(CONCATENATE($D607,$G607),CSRFinput!$B:$E,4,0)=0,OR(H607=MappingTables!$C$34,H607=MappingTables!$C$35)),1,VLOOKUP(CONCATENATE($D607,$G607),CSRFinput!$B:$E,4,0)))</f>
        <v>0.054776304963434752</v>
      </c>
      <c r="W607" s="85">
        <f>IF(B607="",0,+$T607*$V607)</f>
        <v>2.4184814383482152</v>
      </c>
      <c r="X607" s="85">
        <f>IF(B607="",0,IF(OR(H607=MappingTables!$C$34,H607=MappingTables!$C$35),W607,0))</f>
        <v>0</v>
      </c>
    </row>
    <row r="608" spans="2:24" s="0" customFormat="0" ht="15">
      <c r="B608" s="69">
        <v>21906268</v>
      </c>
      <c r="C608" s="70" t="s">
        <v>891</v>
      </c>
      <c r="D608" s="70" t="s">
        <v>1</v>
      </c>
      <c r="E608" s="70" t="s">
        <v>1</v>
      </c>
      <c r="F608" s="70"/>
      <c r="G608" s="70" t="s">
        <v>61</v>
      </c>
      <c r="H608" s="70" t="s">
        <v>178</v>
      </c>
      <c r="I608" s="70" t="s">
        <v>179</v>
      </c>
      <c r="J608" s="71">
        <f>IF(OR(I608=0,I608=""),"unrated",VLOOKUP(I608,MappingTables!$B$19:$C$31,2,FALSE))</f>
        <v>4</v>
      </c>
      <c r="K608" s="72">
        <v>3729.6799487023688</v>
      </c>
      <c r="L608" s="70">
        <v>3.6304798782820296</v>
      </c>
      <c r="M608" s="71">
        <f>IF(L608&lt;1,1,L608)</f>
        <v>3.6304798782820296</v>
      </c>
      <c r="N608" s="70" t="s">
        <v>141</v>
      </c>
      <c r="O608" s="71">
        <f>INDEX(DurClassMapping,MATCH(M608,MappingTables!$D$4:$D$8,-1),1)</f>
        <v>1</v>
      </c>
      <c r="P608" s="73">
        <f>IF(M608=$A$1,1,$M608-INDEX(MappingTables!$E$4:$E$8,MATCH(O608,MappingTables!$B$4:$B$8,0)))</f>
        <v>3.6304798782820296</v>
      </c>
      <c r="Q608" s="71">
        <f>IF(B608="",0,INDEX(ModelParameters!$D$6:$K$10,MATCH($O608,ModelParameters!$B$6:$B$10,0),MATCH($J608,ModelParameters!$D$5:$K$5,0)))</f>
        <v>0.045</v>
      </c>
      <c r="R608" s="71">
        <f>IF(B608="",0,INDEX(ModelParameters!$D$13:$K$17,MATCH($O608,ModelParameters!$B$13:$B$17,0),MATCH($J608,ModelParameters!$D$5:$K$5,0)))</f>
        <v>0</v>
      </c>
      <c r="S608" s="160">
        <f>IF(B608="",0,MIN(IF($N608="Other Bond TM",ModelParameters!$N$21,1)*(P608*Q608+R608),1))</f>
        <v>0.16337159452269132</v>
      </c>
      <c r="T608" s="85">
        <f>IF(B608="",0,$S608*$K608)</f>
        <v>609.3237602788156</v>
      </c>
      <c r="U608" s="85">
        <f>IF(B608="",0,IF(OR(H608=MappingTables!$C$34,H608=MappingTables!$C$35),T608,0))</f>
        <v>0</v>
      </c>
      <c r="V608" s="85">
        <f>IF(ISNA(IF(AND(VLOOKUP(CONCATENATE($D608,$G608),CSRFinput!$B:$E,4,0)=0,OR(H608=MappingTables!$C$34,H608=MappingTables!$C$35)),1,VLOOKUP(CONCATENATE($D608,$G608),CSRFinput!$B:$E,4,0))),0,IF(AND(VLOOKUP(CONCATENATE($D608,$G608),CSRFinput!$B:$E,4,0)=0,OR(H608=MappingTables!$C$34,H608=MappingTables!$C$35)),1,VLOOKUP(CONCATENATE($D608,$G608),CSRFinput!$B:$E,4,0)))</f>
        <v>0.054776304963434752</v>
      </c>
      <c r="W608" s="85">
        <f>IF(B608="",0,+$T608*$V608)</f>
        <v>33.376504114499212</v>
      </c>
      <c r="X608" s="85">
        <f>IF(B608="",0,IF(OR(H608=MappingTables!$C$34,H608=MappingTables!$C$35),W608,0))</f>
        <v>0</v>
      </c>
    </row>
    <row r="609" spans="2:24" s="0" customFormat="0" ht="15">
      <c r="B609" s="69">
        <v>3273888</v>
      </c>
      <c r="C609" s="70" t="s">
        <v>524</v>
      </c>
      <c r="D609" s="70" t="s">
        <v>1</v>
      </c>
      <c r="E609" s="70" t="s">
        <v>1</v>
      </c>
      <c r="F609" s="70"/>
      <c r="G609" s="70" t="s">
        <v>61</v>
      </c>
      <c r="H609" s="70" t="s">
        <v>178</v>
      </c>
      <c r="I609" s="70" t="s">
        <v>188</v>
      </c>
      <c r="J609" s="71">
        <f>IF(OR(I609=0,I609=""),"unrated",VLOOKUP(I609,MappingTables!$B$19:$C$31,2,FALSE))</f>
        <v>2</v>
      </c>
      <c r="K609" s="72">
        <v>295.32379227831984</v>
      </c>
      <c r="L609" s="70">
        <v>0.041092952727911072</v>
      </c>
      <c r="M609" s="71">
        <f>IF(L609&lt;1,1,L609)</f>
        <v>1</v>
      </c>
      <c r="N609" s="70" t="s">
        <v>141</v>
      </c>
      <c r="O609" s="71">
        <f>INDEX(DurClassMapping,MATCH(M609,MappingTables!$D$4:$D$8,-1),1)</f>
        <v>1</v>
      </c>
      <c r="P609" s="73">
        <f>IF(M609=$A$1,1,$M609-INDEX(MappingTables!$E$4:$E$8,MATCH(O609,MappingTables!$B$4:$B$8,0)))</f>
        <v>1</v>
      </c>
      <c r="Q609" s="71">
        <f>IF(B609="",0,INDEX(ModelParameters!$D$6:$K$10,MATCH($O609,ModelParameters!$B$6:$B$10,0),MATCH($J609,ModelParameters!$D$5:$K$5,0)))</f>
        <v>0.013999999999999998</v>
      </c>
      <c r="R609" s="71">
        <f>IF(B609="",0,INDEX(ModelParameters!$D$13:$K$17,MATCH($O609,ModelParameters!$B$13:$B$17,0),MATCH($J609,ModelParameters!$D$5:$K$5,0)))</f>
        <v>0</v>
      </c>
      <c r="S609" s="160">
        <f>IF(B609="",0,MIN(IF($N609="Other Bond TM",ModelParameters!$N$21,1)*(P609*Q609+R609),1))</f>
        <v>0.013999999999999998</v>
      </c>
      <c r="T609" s="85">
        <f>IF(B609="",0,$S609*$K609)</f>
        <v>4.1345330918964776</v>
      </c>
      <c r="U609" s="85">
        <f>IF(B609="",0,IF(OR(H609=MappingTables!$C$34,H609=MappingTables!$C$35),T609,0))</f>
        <v>0</v>
      </c>
      <c r="V609" s="85">
        <f>IF(ISNA(IF(AND(VLOOKUP(CONCATENATE($D609,$G609),CSRFinput!$B:$E,4,0)=0,OR(H609=MappingTables!$C$34,H609=MappingTables!$C$35)),1,VLOOKUP(CONCATENATE($D609,$G609),CSRFinput!$B:$E,4,0))),0,IF(AND(VLOOKUP(CONCATENATE($D609,$G609),CSRFinput!$B:$E,4,0)=0,OR(H609=MappingTables!$C$34,H609=MappingTables!$C$35)),1,VLOOKUP(CONCATENATE($D609,$G609),CSRFinput!$B:$E,4,0)))</f>
        <v>0.054776304963434752</v>
      </c>
      <c r="W609" s="85">
        <f>IF(B609="",0,+$T609*$V609)</f>
        <v>0.22647444552313424</v>
      </c>
      <c r="X609" s="85">
        <f>IF(B609="",0,IF(OR(H609=MappingTables!$C$34,H609=MappingTables!$C$35),W609,0))</f>
        <v>0</v>
      </c>
    </row>
    <row r="610" spans="2:24" s="0" customFormat="0" ht="15">
      <c r="B610" s="69">
        <v>20679265</v>
      </c>
      <c r="C610" s="70" t="s">
        <v>892</v>
      </c>
      <c r="D610" s="70" t="s">
        <v>1</v>
      </c>
      <c r="E610" s="70" t="s">
        <v>1</v>
      </c>
      <c r="F610" s="70"/>
      <c r="G610" s="70" t="s">
        <v>61</v>
      </c>
      <c r="H610" s="70" t="s">
        <v>178</v>
      </c>
      <c r="I610" s="70" t="s">
        <v>179</v>
      </c>
      <c r="J610" s="71">
        <f>IF(OR(I610=0,I610=""),"unrated",VLOOKUP(I610,MappingTables!$B$19:$C$31,2,FALSE))</f>
        <v>4</v>
      </c>
      <c r="K610" s="72">
        <v>414.45476374039176</v>
      </c>
      <c r="L610" s="70">
        <v>0.64371608963399752</v>
      </c>
      <c r="M610" s="71">
        <f>IF(L610&lt;1,1,L610)</f>
        <v>1</v>
      </c>
      <c r="N610" s="70" t="s">
        <v>141</v>
      </c>
      <c r="O610" s="71">
        <f>INDEX(DurClassMapping,MATCH(M610,MappingTables!$D$4:$D$8,-1),1)</f>
        <v>1</v>
      </c>
      <c r="P610" s="73">
        <f>IF(M610=$A$1,1,$M610-INDEX(MappingTables!$E$4:$E$8,MATCH(O610,MappingTables!$B$4:$B$8,0)))</f>
        <v>1</v>
      </c>
      <c r="Q610" s="71">
        <f>IF(B610="",0,INDEX(ModelParameters!$D$6:$K$10,MATCH($O610,ModelParameters!$B$6:$B$10,0),MATCH($J610,ModelParameters!$D$5:$K$5,0)))</f>
        <v>0.045</v>
      </c>
      <c r="R610" s="71">
        <f>IF(B610="",0,INDEX(ModelParameters!$D$13:$K$17,MATCH($O610,ModelParameters!$B$13:$B$17,0),MATCH($J610,ModelParameters!$D$5:$K$5,0)))</f>
        <v>0</v>
      </c>
      <c r="S610" s="160">
        <f>IF(B610="",0,MIN(IF($N610="Other Bond TM",ModelParameters!$N$21,1)*(P610*Q610+R610),1))</f>
        <v>0.045</v>
      </c>
      <c r="T610" s="85">
        <f>IF(B610="",0,$S610*$K610)</f>
        <v>18.650464368317628</v>
      </c>
      <c r="U610" s="85">
        <f>IF(B610="",0,IF(OR(H610=MappingTables!$C$34,H610=MappingTables!$C$35),T610,0))</f>
        <v>0</v>
      </c>
      <c r="V610" s="85">
        <f>IF(ISNA(IF(AND(VLOOKUP(CONCATENATE($D610,$G610),CSRFinput!$B:$E,4,0)=0,OR(H610=MappingTables!$C$34,H610=MappingTables!$C$35)),1,VLOOKUP(CONCATENATE($D610,$G610),CSRFinput!$B:$E,4,0))),0,IF(AND(VLOOKUP(CONCATENATE($D610,$G610),CSRFinput!$B:$E,4,0)=0,OR(H610=MappingTables!$C$34,H610=MappingTables!$C$35)),1,VLOOKUP(CONCATENATE($D610,$G610),CSRFinput!$B:$E,4,0)))</f>
        <v>0.054776304963434752</v>
      </c>
      <c r="W610" s="85">
        <f>IF(B610="",0,+$T610*$V610)</f>
        <v>1.0216035239486398</v>
      </c>
      <c r="X610" s="85">
        <f>IF(B610="",0,IF(OR(H610=MappingTables!$C$34,H610=MappingTables!$C$35),W610,0))</f>
        <v>0</v>
      </c>
    </row>
    <row r="611" spans="2:24" s="0" customFormat="0" ht="15">
      <c r="B611" s="69">
        <v>20612943</v>
      </c>
      <c r="C611" s="70" t="s">
        <v>893</v>
      </c>
      <c r="D611" s="70" t="s">
        <v>1</v>
      </c>
      <c r="E611" s="70" t="s">
        <v>1</v>
      </c>
      <c r="F611" s="70"/>
      <c r="G611" s="70" t="s">
        <v>61</v>
      </c>
      <c r="H611" s="70" t="s">
        <v>178</v>
      </c>
      <c r="I611" s="70" t="s">
        <v>184</v>
      </c>
      <c r="J611" s="71">
        <f>IF(OR(I611=0,I611=""),"unrated",VLOOKUP(I611,MappingTables!$B$19:$C$31,2,FALSE))</f>
        <v>5</v>
      </c>
      <c r="K611" s="72">
        <v>198.9982006353896</v>
      </c>
      <c r="L611" s="70">
        <v>0.087674118221246912</v>
      </c>
      <c r="M611" s="71">
        <f>IF(L611&lt;1,1,L611)</f>
        <v>1</v>
      </c>
      <c r="N611" s="70" t="s">
        <v>141</v>
      </c>
      <c r="O611" s="71">
        <f>INDEX(DurClassMapping,MATCH(M611,MappingTables!$D$4:$D$8,-1),1)</f>
        <v>1</v>
      </c>
      <c r="P611" s="73">
        <f>IF(M611=$A$1,1,$M611-INDEX(MappingTables!$E$4:$E$8,MATCH(O611,MappingTables!$B$4:$B$8,0)))</f>
        <v>1</v>
      </c>
      <c r="Q611" s="71">
        <f>IF(B611="",0,INDEX(ModelParameters!$D$6:$K$10,MATCH($O611,ModelParameters!$B$6:$B$10,0),MATCH($J611,ModelParameters!$D$5:$K$5,0)))</f>
        <v>0.075</v>
      </c>
      <c r="R611" s="71">
        <f>IF(B611="",0,INDEX(ModelParameters!$D$13:$K$17,MATCH($O611,ModelParameters!$B$13:$B$17,0),MATCH($J611,ModelParameters!$D$5:$K$5,0)))</f>
        <v>0</v>
      </c>
      <c r="S611" s="160">
        <f>IF(B611="",0,MIN(IF($N611="Other Bond TM",ModelParameters!$N$21,1)*(P611*Q611+R611),1))</f>
        <v>0.075</v>
      </c>
      <c r="T611" s="85">
        <f>IF(B611="",0,$S611*$K611)</f>
        <v>14.924865047654218</v>
      </c>
      <c r="U611" s="85">
        <f>IF(B611="",0,IF(OR(H611=MappingTables!$C$34,H611=MappingTables!$C$35),T611,0))</f>
        <v>0</v>
      </c>
      <c r="V611" s="85">
        <f>IF(ISNA(IF(AND(VLOOKUP(CONCATENATE($D611,$G611),CSRFinput!$B:$E,4,0)=0,OR(H611=MappingTables!$C$34,H611=MappingTables!$C$35)),1,VLOOKUP(CONCATENATE($D611,$G611),CSRFinput!$B:$E,4,0))),0,IF(AND(VLOOKUP(CONCATENATE($D611,$G611),CSRFinput!$B:$E,4,0)=0,OR(H611=MappingTables!$C$34,H611=MappingTables!$C$35)),1,VLOOKUP(CONCATENATE($D611,$G611),CSRFinput!$B:$E,4,0)))</f>
        <v>0.054776304963434752</v>
      </c>
      <c r="W611" s="85">
        <f>IF(B611="",0,+$T611*$V611)</f>
        <v>0.81752895938841568</v>
      </c>
      <c r="X611" s="85">
        <f>IF(B611="",0,IF(OR(H611=MappingTables!$C$34,H611=MappingTables!$C$35),W611,0))</f>
        <v>0</v>
      </c>
    </row>
    <row r="612" spans="2:24" s="0" customFormat="0" ht="15">
      <c r="B612" s="69" t="s">
        <v>638</v>
      </c>
      <c r="C612" s="70" t="s">
        <v>639</v>
      </c>
      <c r="D612" s="70" t="s">
        <v>1</v>
      </c>
      <c r="E612" s="70" t="s">
        <v>1</v>
      </c>
      <c r="F612" s="70"/>
      <c r="G612" s="70" t="s">
        <v>61</v>
      </c>
      <c r="H612" s="70" t="s">
        <v>178</v>
      </c>
      <c r="I612" s="70" t="s">
        <v>184</v>
      </c>
      <c r="J612" s="71">
        <f>IF(OR(I612=0,I612=""),"unrated",VLOOKUP(I612,MappingTables!$B$19:$C$31,2,FALSE))</f>
        <v>5</v>
      </c>
      <c r="K612" s="72">
        <v>168.3681832268326</v>
      </c>
      <c r="L612" s="70">
        <v>8.8637019449835504</v>
      </c>
      <c r="M612" s="71">
        <f>IF(L612&lt;1,1,L612)</f>
        <v>8.8637019449835504</v>
      </c>
      <c r="N612" s="70" t="s">
        <v>141</v>
      </c>
      <c r="O612" s="71">
        <f>INDEX(DurClassMapping,MATCH(M612,MappingTables!$D$4:$D$8,-1),1)</f>
        <v>2</v>
      </c>
      <c r="P612" s="73">
        <f>IF(M612=$A$1,1,$M612-INDEX(MappingTables!$E$4:$E$8,MATCH(O612,MappingTables!$B$4:$B$8,0)))</f>
        <v>3.8637019449835496</v>
      </c>
      <c r="Q612" s="71">
        <f>IF(B612="",0,INDEX(ModelParameters!$D$6:$K$10,MATCH($O612,ModelParameters!$B$6:$B$10,0),MATCH($J612,ModelParameters!$D$5:$K$5,0)))</f>
        <v>0.042</v>
      </c>
      <c r="R612" s="71">
        <f>IF(B612="",0,INDEX(ModelParameters!$D$13:$K$17,MATCH($O612,ModelParameters!$B$13:$B$17,0),MATCH($J612,ModelParameters!$D$5:$K$5,0)))</f>
        <v>0.375</v>
      </c>
      <c r="S612" s="160">
        <f>IF(B612="",0,MIN(IF($N612="Other Bond TM",ModelParameters!$N$21,1)*(P612*Q612+R612),1))</f>
        <v>0.53727548168930904</v>
      </c>
      <c r="T612" s="85">
        <f>IF(B612="",0,$S612*$K612)</f>
        <v>90.46009674435032</v>
      </c>
      <c r="U612" s="85">
        <f>IF(B612="",0,IF(OR(H612=MappingTables!$C$34,H612=MappingTables!$C$35),T612,0))</f>
        <v>0</v>
      </c>
      <c r="V612" s="85">
        <f>IF(ISNA(IF(AND(VLOOKUP(CONCATENATE($D612,$G612),CSRFinput!$B:$E,4,0)=0,OR(H612=MappingTables!$C$34,H612=MappingTables!$C$35)),1,VLOOKUP(CONCATENATE($D612,$G612),CSRFinput!$B:$E,4,0))),0,IF(AND(VLOOKUP(CONCATENATE($D612,$G612),CSRFinput!$B:$E,4,0)=0,OR(H612=MappingTables!$C$34,H612=MappingTables!$C$35)),1,VLOOKUP(CONCATENATE($D612,$G612),CSRFinput!$B:$E,4,0)))</f>
        <v>0.054776304963434752</v>
      </c>
      <c r="W612" s="85">
        <f>IF(B612="",0,+$T612*$V612)</f>
        <v>4.9550698462903448</v>
      </c>
      <c r="X612" s="85">
        <f>IF(B612="",0,IF(OR(H612=MappingTables!$C$34,H612=MappingTables!$C$35),W612,0))</f>
        <v>0</v>
      </c>
    </row>
    <row r="613" spans="2:24" s="0" customFormat="0" ht="15">
      <c r="B613" s="69">
        <v>16729249</v>
      </c>
      <c r="C613" s="70" t="s">
        <v>894</v>
      </c>
      <c r="D613" s="70" t="s">
        <v>1</v>
      </c>
      <c r="E613" s="70" t="s">
        <v>1</v>
      </c>
      <c r="F613" s="70"/>
      <c r="G613" s="70" t="s">
        <v>61</v>
      </c>
      <c r="H613" s="70" t="s">
        <v>178</v>
      </c>
      <c r="I613" s="70" t="s">
        <v>181</v>
      </c>
      <c r="J613" s="71">
        <f>IF(OR(I613=0,I613=""),"unrated",VLOOKUP(I613,MappingTables!$B$19:$C$31,2,FALSE))</f>
        <v>3</v>
      </c>
      <c r="K613" s="72">
        <v>745.5841901945696</v>
      </c>
      <c r="L613" s="70">
        <v>2.367288151249542</v>
      </c>
      <c r="M613" s="71">
        <f>IF(L613&lt;1,1,L613)</f>
        <v>2.367288151249542</v>
      </c>
      <c r="N613" s="70" t="s">
        <v>141</v>
      </c>
      <c r="O613" s="71">
        <f>INDEX(DurClassMapping,MATCH(M613,MappingTables!$D$4:$D$8,-1),1)</f>
        <v>1</v>
      </c>
      <c r="P613" s="73">
        <f>IF(M613=$A$1,1,$M613-INDEX(MappingTables!$E$4:$E$8,MATCH(O613,MappingTables!$B$4:$B$8,0)))</f>
        <v>2.367288151249542</v>
      </c>
      <c r="Q613" s="71">
        <f>IF(B613="",0,INDEX(ModelParameters!$D$6:$K$10,MATCH($O613,ModelParameters!$B$6:$B$10,0),MATCH($J613,ModelParameters!$D$5:$K$5,0)))</f>
        <v>0.025</v>
      </c>
      <c r="R613" s="71">
        <f>IF(B613="",0,INDEX(ModelParameters!$D$13:$K$17,MATCH($O613,ModelParameters!$B$13:$B$17,0),MATCH($J613,ModelParameters!$D$5:$K$5,0)))</f>
        <v>0</v>
      </c>
      <c r="S613" s="160">
        <f>IF(B613="",0,MIN(IF($N613="Other Bond TM",ModelParameters!$N$21,1)*(P613*Q613+R613),1))</f>
        <v>0.059182203781238552</v>
      </c>
      <c r="T613" s="85">
        <f>IF(B613="",0,$S613*$K613)</f>
        <v>44.125315480164744</v>
      </c>
      <c r="U613" s="85">
        <f>IF(B613="",0,IF(OR(H613=MappingTables!$C$34,H613=MappingTables!$C$35),T613,0))</f>
        <v>0</v>
      </c>
      <c r="V613" s="85">
        <f>IF(ISNA(IF(AND(VLOOKUP(CONCATENATE($D613,$G613),CSRFinput!$B:$E,4,0)=0,OR(H613=MappingTables!$C$34,H613=MappingTables!$C$35)),1,VLOOKUP(CONCATENATE($D613,$G613),CSRFinput!$B:$E,4,0))),0,IF(AND(VLOOKUP(CONCATENATE($D613,$G613),CSRFinput!$B:$E,4,0)=0,OR(H613=MappingTables!$C$34,H613=MappingTables!$C$35)),1,VLOOKUP(CONCATENATE($D613,$G613),CSRFinput!$B:$E,4,0)))</f>
        <v>0.054776304963434752</v>
      </c>
      <c r="W613" s="85">
        <f>IF(B613="",0,+$T613*$V613)</f>
        <v>2.4170217373492724</v>
      </c>
      <c r="X613" s="85">
        <f>IF(B613="",0,IF(OR(H613=MappingTables!$C$34,H613=MappingTables!$C$35),W613,0))</f>
        <v>0</v>
      </c>
    </row>
    <row r="614" spans="2:24" s="0" customFormat="0" ht="15">
      <c r="B614" s="69">
        <v>9530605</v>
      </c>
      <c r="C614" s="70" t="s">
        <v>895</v>
      </c>
      <c r="D614" s="70" t="s">
        <v>1</v>
      </c>
      <c r="E614" s="70" t="s">
        <v>1</v>
      </c>
      <c r="F614" s="70"/>
      <c r="G614" s="70" t="s">
        <v>61</v>
      </c>
      <c r="H614" s="70" t="s">
        <v>178</v>
      </c>
      <c r="I614" s="70" t="s">
        <v>184</v>
      </c>
      <c r="J614" s="71">
        <f>IF(OR(I614=0,I614=""),"unrated",VLOOKUP(I614,MappingTables!$B$19:$C$31,2,FALSE))</f>
        <v>5</v>
      </c>
      <c r="K614" s="72">
        <v>13514.959933608336</v>
      </c>
      <c r="L614" s="70">
        <v>0.90228389320884032</v>
      </c>
      <c r="M614" s="71">
        <f>IF(L614&lt;1,1,L614)</f>
        <v>1</v>
      </c>
      <c r="N614" s="70" t="s">
        <v>141</v>
      </c>
      <c r="O614" s="71">
        <f>INDEX(DurClassMapping,MATCH(M614,MappingTables!$D$4:$D$8,-1),1)</f>
        <v>1</v>
      </c>
      <c r="P614" s="73">
        <f>IF(M614=$A$1,1,$M614-INDEX(MappingTables!$E$4:$E$8,MATCH(O614,MappingTables!$B$4:$B$8,0)))</f>
        <v>1</v>
      </c>
      <c r="Q614" s="71">
        <f>IF(B614="",0,INDEX(ModelParameters!$D$6:$K$10,MATCH($O614,ModelParameters!$B$6:$B$10,0),MATCH($J614,ModelParameters!$D$5:$K$5,0)))</f>
        <v>0.075</v>
      </c>
      <c r="R614" s="71">
        <f>IF(B614="",0,INDEX(ModelParameters!$D$13:$K$17,MATCH($O614,ModelParameters!$B$13:$B$17,0),MATCH($J614,ModelParameters!$D$5:$K$5,0)))</f>
        <v>0</v>
      </c>
      <c r="S614" s="160">
        <f>IF(B614="",0,MIN(IF($N614="Other Bond TM",ModelParameters!$N$21,1)*(P614*Q614+R614),1))</f>
        <v>0.075</v>
      </c>
      <c r="T614" s="85">
        <f>IF(B614="",0,$S614*$K614)</f>
        <v>1013.6219950206252</v>
      </c>
      <c r="U614" s="85">
        <f>IF(B614="",0,IF(OR(H614=MappingTables!$C$34,H614=MappingTables!$C$35),T614,0))</f>
        <v>0</v>
      </c>
      <c r="V614" s="85">
        <f>IF(ISNA(IF(AND(VLOOKUP(CONCATENATE($D614,$G614),CSRFinput!$B:$E,4,0)=0,OR(H614=MappingTables!$C$34,H614=MappingTables!$C$35)),1,VLOOKUP(CONCATENATE($D614,$G614),CSRFinput!$B:$E,4,0))),0,IF(AND(VLOOKUP(CONCATENATE($D614,$G614),CSRFinput!$B:$E,4,0)=0,OR(H614=MappingTables!$C$34,H614=MappingTables!$C$35)),1,VLOOKUP(CONCATENATE($D614,$G614),CSRFinput!$B:$E,4,0)))</f>
        <v>0.054776304963434752</v>
      </c>
      <c r="W614" s="85">
        <f>IF(B614="",0,+$T614*$V614)</f>
        <v>55.522467516894904</v>
      </c>
      <c r="X614" s="85">
        <f>IF(B614="",0,IF(OR(H614=MappingTables!$C$34,H614=MappingTables!$C$35),W614,0))</f>
        <v>0</v>
      </c>
    </row>
    <row r="615" spans="2:24" s="0" customFormat="0" ht="15">
      <c r="B615" s="69" t="s">
        <v>896</v>
      </c>
      <c r="C615" s="70" t="s">
        <v>897</v>
      </c>
      <c r="D615" s="70" t="s">
        <v>1</v>
      </c>
      <c r="E615" s="70" t="s">
        <v>1</v>
      </c>
      <c r="F615" s="70"/>
      <c r="G615" s="70" t="s">
        <v>61</v>
      </c>
      <c r="H615" s="70" t="s">
        <v>178</v>
      </c>
      <c r="I615" s="70" t="s">
        <v>181</v>
      </c>
      <c r="J615" s="71">
        <f>IF(OR(I615=0,I615=""),"unrated",VLOOKUP(I615,MappingTables!$B$19:$C$31,2,FALSE))</f>
        <v>3</v>
      </c>
      <c r="K615" s="72">
        <v>647.43560585226112</v>
      </c>
      <c r="L615" s="70">
        <v>4.4717946164404392</v>
      </c>
      <c r="M615" s="71">
        <f>IF(L615&lt;1,1,L615)</f>
        <v>4.4717946164404392</v>
      </c>
      <c r="N615" s="70" t="s">
        <v>141</v>
      </c>
      <c r="O615" s="71">
        <f>INDEX(DurClassMapping,MATCH(M615,MappingTables!$D$4:$D$8,-1),1)</f>
        <v>1</v>
      </c>
      <c r="P615" s="73">
        <f>IF(M615=$A$1,1,$M615-INDEX(MappingTables!$E$4:$E$8,MATCH(O615,MappingTables!$B$4:$B$8,0)))</f>
        <v>4.4717946164404392</v>
      </c>
      <c r="Q615" s="71">
        <f>IF(B615="",0,INDEX(ModelParameters!$D$6:$K$10,MATCH($O615,ModelParameters!$B$6:$B$10,0),MATCH($J615,ModelParameters!$D$5:$K$5,0)))</f>
        <v>0.025</v>
      </c>
      <c r="R615" s="71">
        <f>IF(B615="",0,INDEX(ModelParameters!$D$13:$K$17,MATCH($O615,ModelParameters!$B$13:$B$17,0),MATCH($J615,ModelParameters!$D$5:$K$5,0)))</f>
        <v>0</v>
      </c>
      <c r="S615" s="160">
        <f>IF(B615="",0,MIN(IF($N615="Other Bond TM",ModelParameters!$N$21,1)*(P615*Q615+R615),1))</f>
        <v>0.11179486541101098</v>
      </c>
      <c r="T615" s="85">
        <f>IF(B615="",0,$S615*$K615)</f>
        <v>72.379976418549888</v>
      </c>
      <c r="U615" s="85">
        <f>IF(B615="",0,IF(OR(H615=MappingTables!$C$34,H615=MappingTables!$C$35),T615,0))</f>
        <v>0</v>
      </c>
      <c r="V615" s="85">
        <f>IF(ISNA(IF(AND(VLOOKUP(CONCATENATE($D615,$G615),CSRFinput!$B:$E,4,0)=0,OR(H615=MappingTables!$C$34,H615=MappingTables!$C$35)),1,VLOOKUP(CONCATENATE($D615,$G615),CSRFinput!$B:$E,4,0))),0,IF(AND(VLOOKUP(CONCATENATE($D615,$G615),CSRFinput!$B:$E,4,0)=0,OR(H615=MappingTables!$C$34,H615=MappingTables!$C$35)),1,VLOOKUP(CONCATENATE($D615,$G615),CSRFinput!$B:$E,4,0)))</f>
        <v>0.054776304963434752</v>
      </c>
      <c r="W615" s="85">
        <f>IF(B615="",0,+$T615*$V615)</f>
        <v>3.9647076615487048</v>
      </c>
      <c r="X615" s="85">
        <f>IF(B615="",0,IF(OR(H615=MappingTables!$C$34,H615=MappingTables!$C$35),W615,0))</f>
        <v>0</v>
      </c>
    </row>
    <row r="616" spans="2:24" s="0" customFormat="0" ht="15">
      <c r="B616" s="69">
        <v>13531124</v>
      </c>
      <c r="C616" s="70" t="s">
        <v>898</v>
      </c>
      <c r="D616" s="70" t="s">
        <v>1</v>
      </c>
      <c r="E616" s="70" t="s">
        <v>1</v>
      </c>
      <c r="F616" s="70"/>
      <c r="G616" s="70" t="s">
        <v>61</v>
      </c>
      <c r="H616" s="70" t="s">
        <v>178</v>
      </c>
      <c r="I616" s="70" t="s">
        <v>184</v>
      </c>
      <c r="J616" s="71">
        <f>IF(OR(I616=0,I616=""),"unrated",VLOOKUP(I616,MappingTables!$B$19:$C$31,2,FALSE))</f>
        <v>5</v>
      </c>
      <c r="K616" s="72">
        <v>1952.8391684064152</v>
      </c>
      <c r="L616" s="70">
        <v>0.08767621390804688</v>
      </c>
      <c r="M616" s="71">
        <f>IF(L616&lt;1,1,L616)</f>
        <v>1</v>
      </c>
      <c r="N616" s="70" t="s">
        <v>141</v>
      </c>
      <c r="O616" s="71">
        <f>INDEX(DurClassMapping,MATCH(M616,MappingTables!$D$4:$D$8,-1),1)</f>
        <v>1</v>
      </c>
      <c r="P616" s="73">
        <f>IF(M616=$A$1,1,$M616-INDEX(MappingTables!$E$4:$E$8,MATCH(O616,MappingTables!$B$4:$B$8,0)))</f>
        <v>1</v>
      </c>
      <c r="Q616" s="71">
        <f>IF(B616="",0,INDEX(ModelParameters!$D$6:$K$10,MATCH($O616,ModelParameters!$B$6:$B$10,0),MATCH($J616,ModelParameters!$D$5:$K$5,0)))</f>
        <v>0.075</v>
      </c>
      <c r="R616" s="71">
        <f>IF(B616="",0,INDEX(ModelParameters!$D$13:$K$17,MATCH($O616,ModelParameters!$B$13:$B$17,0),MATCH($J616,ModelParameters!$D$5:$K$5,0)))</f>
        <v>0</v>
      </c>
      <c r="S616" s="160">
        <f>IF(B616="",0,MIN(IF($N616="Other Bond TM",ModelParameters!$N$21,1)*(P616*Q616+R616),1))</f>
        <v>0.075</v>
      </c>
      <c r="T616" s="85">
        <f>IF(B616="",0,$S616*$K616)</f>
        <v>146.46293763048112</v>
      </c>
      <c r="U616" s="85">
        <f>IF(B616="",0,IF(OR(H616=MappingTables!$C$34,H616=MappingTables!$C$35),T616,0))</f>
        <v>0</v>
      </c>
      <c r="V616" s="85">
        <f>IF(ISNA(IF(AND(VLOOKUP(CONCATENATE($D616,$G616),CSRFinput!$B:$E,4,0)=0,OR(H616=MappingTables!$C$34,H616=MappingTables!$C$35)),1,VLOOKUP(CONCATENATE($D616,$G616),CSRFinput!$B:$E,4,0))),0,IF(AND(VLOOKUP(CONCATENATE($D616,$G616),CSRFinput!$B:$E,4,0)=0,OR(H616=MappingTables!$C$34,H616=MappingTables!$C$35)),1,VLOOKUP(CONCATENATE($D616,$G616),CSRFinput!$B:$E,4,0)))</f>
        <v>0.054776304963434752</v>
      </c>
      <c r="W616" s="85">
        <f>IF(B616="",0,+$T616*$V616)</f>
        <v>8.0226985374877568</v>
      </c>
      <c r="X616" s="85">
        <f>IF(B616="",0,IF(OR(H616=MappingTables!$C$34,H616=MappingTables!$C$35),W616,0))</f>
        <v>0</v>
      </c>
    </row>
    <row r="617" spans="2:24" s="0" customFormat="0" ht="15">
      <c r="B617" s="69">
        <v>20661511</v>
      </c>
      <c r="C617" s="70" t="s">
        <v>899</v>
      </c>
      <c r="D617" s="70" t="s">
        <v>1</v>
      </c>
      <c r="E617" s="70" t="s">
        <v>1</v>
      </c>
      <c r="F617" s="70"/>
      <c r="G617" s="70" t="s">
        <v>61</v>
      </c>
      <c r="H617" s="70" t="s">
        <v>178</v>
      </c>
      <c r="I617" s="70" t="s">
        <v>179</v>
      </c>
      <c r="J617" s="71">
        <f>IF(OR(I617=0,I617=""),"unrated",VLOOKUP(I617,MappingTables!$B$19:$C$31,2,FALSE))</f>
        <v>4</v>
      </c>
      <c r="K617" s="72">
        <v>21753.757151369188</v>
      </c>
      <c r="L617" s="70">
        <v>3.936938897661736</v>
      </c>
      <c r="M617" s="71">
        <f>IF(L617&lt;1,1,L617)</f>
        <v>3.936938897661736</v>
      </c>
      <c r="N617" s="70" t="s">
        <v>141</v>
      </c>
      <c r="O617" s="71">
        <f>INDEX(DurClassMapping,MATCH(M617,MappingTables!$D$4:$D$8,-1),1)</f>
        <v>1</v>
      </c>
      <c r="P617" s="73">
        <f>IF(M617=$A$1,1,$M617-INDEX(MappingTables!$E$4:$E$8,MATCH(O617,MappingTables!$B$4:$B$8,0)))</f>
        <v>3.936938897661736</v>
      </c>
      <c r="Q617" s="71">
        <f>IF(B617="",0,INDEX(ModelParameters!$D$6:$K$10,MATCH($O617,ModelParameters!$B$6:$B$10,0),MATCH($J617,ModelParameters!$D$5:$K$5,0)))</f>
        <v>0.045</v>
      </c>
      <c r="R617" s="71">
        <f>IF(B617="",0,INDEX(ModelParameters!$D$13:$K$17,MATCH($O617,ModelParameters!$B$13:$B$17,0),MATCH($J617,ModelParameters!$D$5:$K$5,0)))</f>
        <v>0</v>
      </c>
      <c r="S617" s="160">
        <f>IF(B617="",0,MIN(IF($N617="Other Bond TM",ModelParameters!$N$21,1)*(P617*Q617+R617),1))</f>
        <v>0.17716225039477812</v>
      </c>
      <c r="T617" s="85">
        <f>IF(B617="",0,$S617*$K617)</f>
        <v>3853.9445714780632</v>
      </c>
      <c r="U617" s="85">
        <f>IF(B617="",0,IF(OR(H617=MappingTables!$C$34,H617=MappingTables!$C$35),T617,0))</f>
        <v>0</v>
      </c>
      <c r="V617" s="85">
        <f>IF(ISNA(IF(AND(VLOOKUP(CONCATENATE($D617,$G617),CSRFinput!$B:$E,4,0)=0,OR(H617=MappingTables!$C$34,H617=MappingTables!$C$35)),1,VLOOKUP(CONCATENATE($D617,$G617),CSRFinput!$B:$E,4,0))),0,IF(AND(VLOOKUP(CONCATENATE($D617,$G617),CSRFinput!$B:$E,4,0)=0,OR(H617=MappingTables!$C$34,H617=MappingTables!$C$35)),1,VLOOKUP(CONCATENATE($D617,$G617),CSRFinput!$B:$E,4,0)))</f>
        <v>0.054776304963434752</v>
      </c>
      <c r="W617" s="85">
        <f>IF(B617="",0,+$T617*$V617)</f>
        <v>211.10484315945628</v>
      </c>
      <c r="X617" s="85">
        <f>IF(B617="",0,IF(OR(H617=MappingTables!$C$34,H617=MappingTables!$C$35),W617,0))</f>
        <v>0</v>
      </c>
    </row>
    <row r="618" spans="2:24" s="0" customFormat="0" ht="15">
      <c r="B618" s="69">
        <v>19806895</v>
      </c>
      <c r="C618" s="70" t="s">
        <v>900</v>
      </c>
      <c r="D618" s="70" t="s">
        <v>1</v>
      </c>
      <c r="E618" s="70" t="s">
        <v>1</v>
      </c>
      <c r="F618" s="70"/>
      <c r="G618" s="70" t="s">
        <v>61</v>
      </c>
      <c r="H618" s="70" t="s">
        <v>178</v>
      </c>
      <c r="I618" s="70" t="s">
        <v>179</v>
      </c>
      <c r="J618" s="71">
        <f>IF(OR(I618=0,I618=""),"unrated",VLOOKUP(I618,MappingTables!$B$19:$C$31,2,FALSE))</f>
        <v>4</v>
      </c>
      <c r="K618" s="72">
        <v>6393.5463762300944</v>
      </c>
      <c r="L618" s="70">
        <v>2.7518486369352072</v>
      </c>
      <c r="M618" s="71">
        <f>IF(L618&lt;1,1,L618)</f>
        <v>2.7518486369352072</v>
      </c>
      <c r="N618" s="70" t="s">
        <v>141</v>
      </c>
      <c r="O618" s="71">
        <f>INDEX(DurClassMapping,MATCH(M618,MappingTables!$D$4:$D$8,-1),1)</f>
        <v>1</v>
      </c>
      <c r="P618" s="73">
        <f>IF(M618=$A$1,1,$M618-INDEX(MappingTables!$E$4:$E$8,MATCH(O618,MappingTables!$B$4:$B$8,0)))</f>
        <v>2.7518486369352072</v>
      </c>
      <c r="Q618" s="71">
        <f>IF(B618="",0,INDEX(ModelParameters!$D$6:$K$10,MATCH($O618,ModelParameters!$B$6:$B$10,0),MATCH($J618,ModelParameters!$D$5:$K$5,0)))</f>
        <v>0.045</v>
      </c>
      <c r="R618" s="71">
        <f>IF(B618="",0,INDEX(ModelParameters!$D$13:$K$17,MATCH($O618,ModelParameters!$B$13:$B$17,0),MATCH($J618,ModelParameters!$D$5:$K$5,0)))</f>
        <v>0</v>
      </c>
      <c r="S618" s="160">
        <f>IF(B618="",0,MIN(IF($N618="Other Bond TM",ModelParameters!$N$21,1)*(P618*Q618+R618),1))</f>
        <v>0.12383318866208432</v>
      </c>
      <c r="T618" s="85">
        <f>IF(B618="",0,$S618*$K618)</f>
        <v>791.73323462748688</v>
      </c>
      <c r="U618" s="85">
        <f>IF(B618="",0,IF(OR(H618=MappingTables!$C$34,H618=MappingTables!$C$35),T618,0))</f>
        <v>0</v>
      </c>
      <c r="V618" s="85">
        <f>IF(ISNA(IF(AND(VLOOKUP(CONCATENATE($D618,$G618),CSRFinput!$B:$E,4,0)=0,OR(H618=MappingTables!$C$34,H618=MappingTables!$C$35)),1,VLOOKUP(CONCATENATE($D618,$G618),CSRFinput!$B:$E,4,0))),0,IF(AND(VLOOKUP(CONCATENATE($D618,$G618),CSRFinput!$B:$E,4,0)=0,OR(H618=MappingTables!$C$34,H618=MappingTables!$C$35)),1,VLOOKUP(CONCATENATE($D618,$G618),CSRFinput!$B:$E,4,0)))</f>
        <v>0.054776304963434752</v>
      </c>
      <c r="W618" s="85">
        <f>IF(B618="",0,+$T618*$V618)</f>
        <v>43.368221109641856</v>
      </c>
      <c r="X618" s="85">
        <f>IF(B618="",0,IF(OR(H618=MappingTables!$C$34,H618=MappingTables!$C$35),W618,0))</f>
        <v>0</v>
      </c>
    </row>
    <row r="619" spans="2:24" s="0" customFormat="0" ht="15">
      <c r="B619" s="69" t="s">
        <v>901</v>
      </c>
      <c r="C619" s="70" t="s">
        <v>902</v>
      </c>
      <c r="D619" s="70" t="s">
        <v>1</v>
      </c>
      <c r="E619" s="70" t="s">
        <v>1</v>
      </c>
      <c r="F619" s="70"/>
      <c r="G619" s="70" t="s">
        <v>61</v>
      </c>
      <c r="H619" s="70" t="s">
        <v>178</v>
      </c>
      <c r="I619" s="70" t="s">
        <v>179</v>
      </c>
      <c r="J619" s="71">
        <f>IF(OR(I619=0,I619=""),"unrated",VLOOKUP(I619,MappingTables!$B$19:$C$31,2,FALSE))</f>
        <v>4</v>
      </c>
      <c r="K619" s="72">
        <v>53.614071650238912</v>
      </c>
      <c r="L619" s="70">
        <v>1.467942661211303</v>
      </c>
      <c r="M619" s="71">
        <f>IF(L619&lt;1,1,L619)</f>
        <v>1.467942661211303</v>
      </c>
      <c r="N619" s="70" t="s">
        <v>141</v>
      </c>
      <c r="O619" s="71">
        <f>INDEX(DurClassMapping,MATCH(M619,MappingTables!$D$4:$D$8,-1),1)</f>
        <v>1</v>
      </c>
      <c r="P619" s="73">
        <f>IF(M619=$A$1,1,$M619-INDEX(MappingTables!$E$4:$E$8,MATCH(O619,MappingTables!$B$4:$B$8,0)))</f>
        <v>1.467942661211303</v>
      </c>
      <c r="Q619" s="71">
        <f>IF(B619="",0,INDEX(ModelParameters!$D$6:$K$10,MATCH($O619,ModelParameters!$B$6:$B$10,0),MATCH($J619,ModelParameters!$D$5:$K$5,0)))</f>
        <v>0.045</v>
      </c>
      <c r="R619" s="71">
        <f>IF(B619="",0,INDEX(ModelParameters!$D$13:$K$17,MATCH($O619,ModelParameters!$B$13:$B$17,0),MATCH($J619,ModelParameters!$D$5:$K$5,0)))</f>
        <v>0</v>
      </c>
      <c r="S619" s="160">
        <f>IF(B619="",0,MIN(IF($N619="Other Bond TM",ModelParameters!$N$21,1)*(P619*Q619+R619),1))</f>
        <v>0.066057419754508632</v>
      </c>
      <c r="T619" s="85">
        <f>IF(B619="",0,$S619*$K619)</f>
        <v>3.5416072357481328</v>
      </c>
      <c r="U619" s="85">
        <f>IF(B619="",0,IF(OR(H619=MappingTables!$C$34,H619=MappingTables!$C$35),T619,0))</f>
        <v>0</v>
      </c>
      <c r="V619" s="85">
        <f>IF(ISNA(IF(AND(VLOOKUP(CONCATENATE($D619,$G619),CSRFinput!$B:$E,4,0)=0,OR(H619=MappingTables!$C$34,H619=MappingTables!$C$35)),1,VLOOKUP(CONCATENATE($D619,$G619),CSRFinput!$B:$E,4,0))),0,IF(AND(VLOOKUP(CONCATENATE($D619,$G619),CSRFinput!$B:$E,4,0)=0,OR(H619=MappingTables!$C$34,H619=MappingTables!$C$35)),1,VLOOKUP(CONCATENATE($D619,$G619),CSRFinput!$B:$E,4,0)))</f>
        <v>0.054776304963434752</v>
      </c>
      <c r="W619" s="85">
        <f>IF(B619="",0,+$T619*$V619)</f>
        <v>0.19399615800604688</v>
      </c>
      <c r="X619" s="85">
        <f>IF(B619="",0,IF(OR(H619=MappingTables!$C$34,H619=MappingTables!$C$35),W619,0))</f>
        <v>0</v>
      </c>
    </row>
    <row r="620" spans="2:24" s="0" customFormat="0" ht="15">
      <c r="B620" s="69">
        <v>19213177</v>
      </c>
      <c r="C620" s="70" t="s">
        <v>903</v>
      </c>
      <c r="D620" s="70" t="s">
        <v>1</v>
      </c>
      <c r="E620" s="70" t="s">
        <v>1</v>
      </c>
      <c r="F620" s="70"/>
      <c r="G620" s="70" t="s">
        <v>61</v>
      </c>
      <c r="H620" s="70" t="s">
        <v>178</v>
      </c>
      <c r="I620" s="70" t="s">
        <v>181</v>
      </c>
      <c r="J620" s="71">
        <f>IF(OR(I620=0,I620=""),"unrated",VLOOKUP(I620,MappingTables!$B$19:$C$31,2,FALSE))</f>
        <v>3</v>
      </c>
      <c r="K620" s="72">
        <v>119.81647084366422</v>
      </c>
      <c r="L620" s="70">
        <v>2.9984748926111048</v>
      </c>
      <c r="M620" s="71">
        <f>IF(L620&lt;1,1,L620)</f>
        <v>2.9984748926111048</v>
      </c>
      <c r="N620" s="70" t="s">
        <v>141</v>
      </c>
      <c r="O620" s="71">
        <f>INDEX(DurClassMapping,MATCH(M620,MappingTables!$D$4:$D$8,-1),1)</f>
        <v>1</v>
      </c>
      <c r="P620" s="73">
        <f>IF(M620=$A$1,1,$M620-INDEX(MappingTables!$E$4:$E$8,MATCH(O620,MappingTables!$B$4:$B$8,0)))</f>
        <v>2.9984748926111048</v>
      </c>
      <c r="Q620" s="71">
        <f>IF(B620="",0,INDEX(ModelParameters!$D$6:$K$10,MATCH($O620,ModelParameters!$B$6:$B$10,0),MATCH($J620,ModelParameters!$D$5:$K$5,0)))</f>
        <v>0.025</v>
      </c>
      <c r="R620" s="71">
        <f>IF(B620="",0,INDEX(ModelParameters!$D$13:$K$17,MATCH($O620,ModelParameters!$B$13:$B$17,0),MATCH($J620,ModelParameters!$D$5:$K$5,0)))</f>
        <v>0</v>
      </c>
      <c r="S620" s="160">
        <f>IF(B620="",0,MIN(IF($N620="Other Bond TM",ModelParameters!$N$21,1)*(P620*Q620+R620),1))</f>
        <v>0.074961872315277616</v>
      </c>
      <c r="T620" s="85">
        <f>IF(B620="",0,$S620*$K620)</f>
        <v>8.9816669886499408</v>
      </c>
      <c r="U620" s="85">
        <f>IF(B620="",0,IF(OR(H620=MappingTables!$C$34,H620=MappingTables!$C$35),T620,0))</f>
        <v>0</v>
      </c>
      <c r="V620" s="85">
        <f>IF(ISNA(IF(AND(VLOOKUP(CONCATENATE($D620,$G620),CSRFinput!$B:$E,4,0)=0,OR(H620=MappingTables!$C$34,H620=MappingTables!$C$35)),1,VLOOKUP(CONCATENATE($D620,$G620),CSRFinput!$B:$E,4,0))),0,IF(AND(VLOOKUP(CONCATENATE($D620,$G620),CSRFinput!$B:$E,4,0)=0,OR(H620=MappingTables!$C$34,H620=MappingTables!$C$35)),1,VLOOKUP(CONCATENATE($D620,$G620),CSRFinput!$B:$E,4,0)))</f>
        <v>0.054776304963434752</v>
      </c>
      <c r="W620" s="85">
        <f>IF(B620="",0,+$T620*$V620)</f>
        <v>0.49198253005030384</v>
      </c>
      <c r="X620" s="85">
        <f>IF(B620="",0,IF(OR(H620=MappingTables!$C$34,H620=MappingTables!$C$35),W620,0))</f>
        <v>0</v>
      </c>
    </row>
    <row r="621" spans="2:24" s="0" customFormat="0" ht="15">
      <c r="B621" s="69">
        <v>17992744</v>
      </c>
      <c r="C621" s="70" t="s">
        <v>904</v>
      </c>
      <c r="D621" s="70" t="s">
        <v>1</v>
      </c>
      <c r="E621" s="70" t="s">
        <v>1</v>
      </c>
      <c r="F621" s="70"/>
      <c r="G621" s="70" t="s">
        <v>61</v>
      </c>
      <c r="H621" s="70" t="s">
        <v>178</v>
      </c>
      <c r="I621" s="70" t="s">
        <v>184</v>
      </c>
      <c r="J621" s="71">
        <f>IF(OR(I621=0,I621=""),"unrated",VLOOKUP(I621,MappingTables!$B$19:$C$31,2,FALSE))</f>
        <v>5</v>
      </c>
      <c r="K621" s="72">
        <v>12.83576175718472</v>
      </c>
      <c r="L621" s="70">
        <v>0.08767550773654472</v>
      </c>
      <c r="M621" s="71">
        <f>IF(L621&lt;1,1,L621)</f>
        <v>1</v>
      </c>
      <c r="N621" s="70" t="s">
        <v>141</v>
      </c>
      <c r="O621" s="71">
        <f>INDEX(DurClassMapping,MATCH(M621,MappingTables!$D$4:$D$8,-1),1)</f>
        <v>1</v>
      </c>
      <c r="P621" s="73">
        <f>IF(M621=$A$1,1,$M621-INDEX(MappingTables!$E$4:$E$8,MATCH(O621,MappingTables!$B$4:$B$8,0)))</f>
        <v>1</v>
      </c>
      <c r="Q621" s="71">
        <f>IF(B621="",0,INDEX(ModelParameters!$D$6:$K$10,MATCH($O621,ModelParameters!$B$6:$B$10,0),MATCH($J621,ModelParameters!$D$5:$K$5,0)))</f>
        <v>0.075</v>
      </c>
      <c r="R621" s="71">
        <f>IF(B621="",0,INDEX(ModelParameters!$D$13:$K$17,MATCH($O621,ModelParameters!$B$13:$B$17,0),MATCH($J621,ModelParameters!$D$5:$K$5,0)))</f>
        <v>0</v>
      </c>
      <c r="S621" s="160">
        <f>IF(B621="",0,MIN(IF($N621="Other Bond TM",ModelParameters!$N$21,1)*(P621*Q621+R621),1))</f>
        <v>0.075</v>
      </c>
      <c r="T621" s="85">
        <f>IF(B621="",0,$S621*$K621)</f>
        <v>0.96268213178885392</v>
      </c>
      <c r="U621" s="85">
        <f>IF(B621="",0,IF(OR(H621=MappingTables!$C$34,H621=MappingTables!$C$35),T621,0))</f>
        <v>0</v>
      </c>
      <c r="V621" s="85">
        <f>IF(ISNA(IF(AND(VLOOKUP(CONCATENATE($D621,$G621),CSRFinput!$B:$E,4,0)=0,OR(H621=MappingTables!$C$34,H621=MappingTables!$C$35)),1,VLOOKUP(CONCATENATE($D621,$G621),CSRFinput!$B:$E,4,0))),0,IF(AND(VLOOKUP(CONCATENATE($D621,$G621),CSRFinput!$B:$E,4,0)=0,OR(H621=MappingTables!$C$34,H621=MappingTables!$C$35)),1,VLOOKUP(CONCATENATE($D621,$G621),CSRFinput!$B:$E,4,0)))</f>
        <v>0.054776304963434752</v>
      </c>
      <c r="W621" s="85">
        <f>IF(B621="",0,+$T621*$V621)</f>
        <v>0.052732170033715752</v>
      </c>
      <c r="X621" s="85">
        <f>IF(B621="",0,IF(OR(H621=MappingTables!$C$34,H621=MappingTables!$C$35),W621,0))</f>
        <v>0</v>
      </c>
    </row>
    <row r="622" spans="2:24" s="0" customFormat="0" ht="15">
      <c r="B622" s="69">
        <v>13302590</v>
      </c>
      <c r="C622" s="70" t="s">
        <v>905</v>
      </c>
      <c r="D622" s="70" t="s">
        <v>1</v>
      </c>
      <c r="E622" s="70" t="s">
        <v>1</v>
      </c>
      <c r="F622" s="70"/>
      <c r="G622" s="70" t="s">
        <v>61</v>
      </c>
      <c r="H622" s="70" t="s">
        <v>178</v>
      </c>
      <c r="I622" s="70" t="s">
        <v>184</v>
      </c>
      <c r="J622" s="71">
        <f>IF(OR(I622=0,I622=""),"unrated",VLOOKUP(I622,MappingTables!$B$19:$C$31,2,FALSE))</f>
        <v>5</v>
      </c>
      <c r="K622" s="72">
        <v>74.350991806602272</v>
      </c>
      <c r="L622" s="70">
        <v>1.50544157417595</v>
      </c>
      <c r="M622" s="71">
        <f>IF(L622&lt;1,1,L622)</f>
        <v>1.50544157417595</v>
      </c>
      <c r="N622" s="70" t="s">
        <v>141</v>
      </c>
      <c r="O622" s="71">
        <f>INDEX(DurClassMapping,MATCH(M622,MappingTables!$D$4:$D$8,-1),1)</f>
        <v>1</v>
      </c>
      <c r="P622" s="73">
        <f>IF(M622=$A$1,1,$M622-INDEX(MappingTables!$E$4:$E$8,MATCH(O622,MappingTables!$B$4:$B$8,0)))</f>
        <v>1.50544157417595</v>
      </c>
      <c r="Q622" s="71">
        <f>IF(B622="",0,INDEX(ModelParameters!$D$6:$K$10,MATCH($O622,ModelParameters!$B$6:$B$10,0),MATCH($J622,ModelParameters!$D$5:$K$5,0)))</f>
        <v>0.075</v>
      </c>
      <c r="R622" s="71">
        <f>IF(B622="",0,INDEX(ModelParameters!$D$13:$K$17,MATCH($O622,ModelParameters!$B$13:$B$17,0),MATCH($J622,ModelParameters!$D$5:$K$5,0)))</f>
        <v>0</v>
      </c>
      <c r="S622" s="160">
        <f>IF(B622="",0,MIN(IF($N622="Other Bond TM",ModelParameters!$N$21,1)*(P622*Q622+R622),1))</f>
        <v>0.11290811806319624</v>
      </c>
      <c r="T622" s="85">
        <f>IF(B622="",0,$S622*$K622)</f>
        <v>8.3948305610155856</v>
      </c>
      <c r="U622" s="85">
        <f>IF(B622="",0,IF(OR(H622=MappingTables!$C$34,H622=MappingTables!$C$35),T622,0))</f>
        <v>0</v>
      </c>
      <c r="V622" s="85">
        <f>IF(ISNA(IF(AND(VLOOKUP(CONCATENATE($D622,$G622),CSRFinput!$B:$E,4,0)=0,OR(H622=MappingTables!$C$34,H622=MappingTables!$C$35)),1,VLOOKUP(CONCATENATE($D622,$G622),CSRFinput!$B:$E,4,0))),0,IF(AND(VLOOKUP(CONCATENATE($D622,$G622),CSRFinput!$B:$E,4,0)=0,OR(H622=MappingTables!$C$34,H622=MappingTables!$C$35)),1,VLOOKUP(CONCATENATE($D622,$G622),CSRFinput!$B:$E,4,0)))</f>
        <v>0.054776304963434752</v>
      </c>
      <c r="W622" s="85">
        <f>IF(B622="",0,+$T622*$V622)</f>
        <v>0.45983779892655176</v>
      </c>
      <c r="X622" s="85">
        <f>IF(B622="",0,IF(OR(H622=MappingTables!$C$34,H622=MappingTables!$C$35),W622,0))</f>
        <v>0</v>
      </c>
    </row>
    <row r="623" spans="2:24" s="0" customFormat="0" ht="15">
      <c r="B623" s="69" t="s">
        <v>331</v>
      </c>
      <c r="C623" s="70" t="s">
        <v>332</v>
      </c>
      <c r="D623" s="70" t="s">
        <v>1</v>
      </c>
      <c r="E623" s="70" t="s">
        <v>1</v>
      </c>
      <c r="F623" s="70"/>
      <c r="G623" s="70" t="s">
        <v>61</v>
      </c>
      <c r="H623" s="70" t="s">
        <v>178</v>
      </c>
      <c r="I623" s="70" t="s">
        <v>181</v>
      </c>
      <c r="J623" s="71">
        <f>IF(OR(I623=0,I623=""),"unrated",VLOOKUP(I623,MappingTables!$B$19:$C$31,2,FALSE))</f>
        <v>3</v>
      </c>
      <c r="K623" s="72">
        <v>50.520365217453328</v>
      </c>
      <c r="L623" s="70">
        <v>8.1389246965813248</v>
      </c>
      <c r="M623" s="71">
        <f>IF(L623&lt;1,1,L623)</f>
        <v>8.1389246965813248</v>
      </c>
      <c r="N623" s="70" t="s">
        <v>141</v>
      </c>
      <c r="O623" s="71">
        <f>INDEX(DurClassMapping,MATCH(M623,MappingTables!$D$4:$D$8,-1),1)</f>
        <v>2</v>
      </c>
      <c r="P623" s="73">
        <f>IF(M623=$A$1,1,$M623-INDEX(MappingTables!$E$4:$E$8,MATCH(O623,MappingTables!$B$4:$B$8,0)))</f>
        <v>3.1389246965813252</v>
      </c>
      <c r="Q623" s="71">
        <f>IF(B623="",0,INDEX(ModelParameters!$D$6:$K$10,MATCH($O623,ModelParameters!$B$6:$B$10,0),MATCH($J623,ModelParameters!$D$5:$K$5,0)))</f>
        <v>0.015</v>
      </c>
      <c r="R623" s="71">
        <f>IF(B623="",0,INDEX(ModelParameters!$D$13:$K$17,MATCH($O623,ModelParameters!$B$13:$B$17,0),MATCH($J623,ModelParameters!$D$5:$K$5,0)))</f>
        <v>0.125</v>
      </c>
      <c r="S623" s="160">
        <f>IF(B623="",0,MIN(IF($N623="Other Bond TM",ModelParameters!$N$21,1)*(P623*Q623+R623),1))</f>
        <v>0.17208387044871986</v>
      </c>
      <c r="T623" s="85">
        <f>IF(B623="",0,$S623*$K623)</f>
        <v>8.6937399831022528</v>
      </c>
      <c r="U623" s="85">
        <f>IF(B623="",0,IF(OR(H623=MappingTables!$C$34,H623=MappingTables!$C$35),T623,0))</f>
        <v>0</v>
      </c>
      <c r="V623" s="85">
        <f>IF(ISNA(IF(AND(VLOOKUP(CONCATENATE($D623,$G623),CSRFinput!$B:$E,4,0)=0,OR(H623=MappingTables!$C$34,H623=MappingTables!$C$35)),1,VLOOKUP(CONCATENATE($D623,$G623),CSRFinput!$B:$E,4,0))),0,IF(AND(VLOOKUP(CONCATENATE($D623,$G623),CSRFinput!$B:$E,4,0)=0,OR(H623=MappingTables!$C$34,H623=MappingTables!$C$35)),1,VLOOKUP(CONCATENATE($D623,$G623),CSRFinput!$B:$E,4,0)))</f>
        <v>0.054776304963434752</v>
      </c>
      <c r="W623" s="85">
        <f>IF(B623="",0,+$T623*$V623)</f>
        <v>0.47621095258721504</v>
      </c>
      <c r="X623" s="85">
        <f>IF(B623="",0,IF(OR(H623=MappingTables!$C$34,H623=MappingTables!$C$35),W623,0))</f>
        <v>0</v>
      </c>
    </row>
    <row r="624" spans="2:24" s="0" customFormat="0" ht="15">
      <c r="B624" s="69">
        <v>13718524</v>
      </c>
      <c r="C624" s="70" t="s">
        <v>906</v>
      </c>
      <c r="D624" s="70" t="s">
        <v>1</v>
      </c>
      <c r="E624" s="70" t="s">
        <v>1</v>
      </c>
      <c r="F624" s="70"/>
      <c r="G624" s="70" t="s">
        <v>61</v>
      </c>
      <c r="H624" s="70" t="s">
        <v>178</v>
      </c>
      <c r="I624" s="70" t="s">
        <v>179</v>
      </c>
      <c r="J624" s="71">
        <f>IF(OR(I624=0,I624=""),"unrated",VLOOKUP(I624,MappingTables!$B$19:$C$31,2,FALSE))</f>
        <v>4</v>
      </c>
      <c r="K624" s="72">
        <v>245.38016756308464</v>
      </c>
      <c r="L624" s="70">
        <v>0.041092594505660704</v>
      </c>
      <c r="M624" s="71">
        <f>IF(L624&lt;1,1,L624)</f>
        <v>1</v>
      </c>
      <c r="N624" s="70" t="s">
        <v>141</v>
      </c>
      <c r="O624" s="71">
        <f>INDEX(DurClassMapping,MATCH(M624,MappingTables!$D$4:$D$8,-1),1)</f>
        <v>1</v>
      </c>
      <c r="P624" s="73">
        <f>IF(M624=$A$1,1,$M624-INDEX(MappingTables!$E$4:$E$8,MATCH(O624,MappingTables!$B$4:$B$8,0)))</f>
        <v>1</v>
      </c>
      <c r="Q624" s="71">
        <f>IF(B624="",0,INDEX(ModelParameters!$D$6:$K$10,MATCH($O624,ModelParameters!$B$6:$B$10,0),MATCH($J624,ModelParameters!$D$5:$K$5,0)))</f>
        <v>0.045</v>
      </c>
      <c r="R624" s="71">
        <f>IF(B624="",0,INDEX(ModelParameters!$D$13:$K$17,MATCH($O624,ModelParameters!$B$13:$B$17,0),MATCH($J624,ModelParameters!$D$5:$K$5,0)))</f>
        <v>0</v>
      </c>
      <c r="S624" s="160">
        <f>IF(B624="",0,MIN(IF($N624="Other Bond TM",ModelParameters!$N$21,1)*(P624*Q624+R624),1))</f>
        <v>0.045</v>
      </c>
      <c r="T624" s="85">
        <f>IF(B624="",0,$S624*$K624)</f>
        <v>11.042107540338808</v>
      </c>
      <c r="U624" s="85">
        <f>IF(B624="",0,IF(OR(H624=MappingTables!$C$34,H624=MappingTables!$C$35),T624,0))</f>
        <v>0</v>
      </c>
      <c r="V624" s="85">
        <f>IF(ISNA(IF(AND(VLOOKUP(CONCATENATE($D624,$G624),CSRFinput!$B:$E,4,0)=0,OR(H624=MappingTables!$C$34,H624=MappingTables!$C$35)),1,VLOOKUP(CONCATENATE($D624,$G624),CSRFinput!$B:$E,4,0))),0,IF(AND(VLOOKUP(CONCATENATE($D624,$G624),CSRFinput!$B:$E,4,0)=0,OR(H624=MappingTables!$C$34,H624=MappingTables!$C$35)),1,VLOOKUP(CONCATENATE($D624,$G624),CSRFinput!$B:$E,4,0)))</f>
        <v>0.054776304963434752</v>
      </c>
      <c r="W624" s="85">
        <f>IF(B624="",0,+$T624*$V624)</f>
        <v>0.60484585006864096</v>
      </c>
      <c r="X624" s="85">
        <f>IF(B624="",0,IF(OR(H624=MappingTables!$C$34,H624=MappingTables!$C$35),W624,0))</f>
        <v>0</v>
      </c>
    </row>
    <row r="625" spans="2:24" s="0" customFormat="0" ht="15">
      <c r="B625" s="69">
        <v>17401113</v>
      </c>
      <c r="C625" s="70" t="s">
        <v>907</v>
      </c>
      <c r="D625" s="70" t="s">
        <v>1</v>
      </c>
      <c r="E625" s="70" t="s">
        <v>1</v>
      </c>
      <c r="F625" s="70"/>
      <c r="G625" s="70" t="s">
        <v>61</v>
      </c>
      <c r="H625" s="70" t="s">
        <v>178</v>
      </c>
      <c r="I625" s="70" t="s">
        <v>188</v>
      </c>
      <c r="J625" s="71">
        <f>IF(OR(I625=0,I625=""),"unrated",VLOOKUP(I625,MappingTables!$B$19:$C$31,2,FALSE))</f>
        <v>2</v>
      </c>
      <c r="K625" s="72">
        <v>345.0696810645638</v>
      </c>
      <c r="L625" s="70">
        <v>0.53578525754354536</v>
      </c>
      <c r="M625" s="71">
        <f>IF(L625&lt;1,1,L625)</f>
        <v>1</v>
      </c>
      <c r="N625" s="70" t="s">
        <v>141</v>
      </c>
      <c r="O625" s="71">
        <f>INDEX(DurClassMapping,MATCH(M625,MappingTables!$D$4:$D$8,-1),1)</f>
        <v>1</v>
      </c>
      <c r="P625" s="73">
        <f>IF(M625=$A$1,1,$M625-INDEX(MappingTables!$E$4:$E$8,MATCH(O625,MappingTables!$B$4:$B$8,0)))</f>
        <v>1</v>
      </c>
      <c r="Q625" s="71">
        <f>IF(B625="",0,INDEX(ModelParameters!$D$6:$K$10,MATCH($O625,ModelParameters!$B$6:$B$10,0),MATCH($J625,ModelParameters!$D$5:$K$5,0)))</f>
        <v>0.013999999999999998</v>
      </c>
      <c r="R625" s="71">
        <f>IF(B625="",0,INDEX(ModelParameters!$D$13:$K$17,MATCH($O625,ModelParameters!$B$13:$B$17,0),MATCH($J625,ModelParameters!$D$5:$K$5,0)))</f>
        <v>0</v>
      </c>
      <c r="S625" s="160">
        <f>IF(B625="",0,MIN(IF($N625="Other Bond TM",ModelParameters!$N$21,1)*(P625*Q625+R625),1))</f>
        <v>0.013999999999999998</v>
      </c>
      <c r="T625" s="85">
        <f>IF(B625="",0,$S625*$K625)</f>
        <v>4.830975534903892</v>
      </c>
      <c r="U625" s="85">
        <f>IF(B625="",0,IF(OR(H625=MappingTables!$C$34,H625=MappingTables!$C$35),T625,0))</f>
        <v>0</v>
      </c>
      <c r="V625" s="85">
        <f>IF(ISNA(IF(AND(VLOOKUP(CONCATENATE($D625,$G625),CSRFinput!$B:$E,4,0)=0,OR(H625=MappingTables!$C$34,H625=MappingTables!$C$35)),1,VLOOKUP(CONCATENATE($D625,$G625),CSRFinput!$B:$E,4,0))),0,IF(AND(VLOOKUP(CONCATENATE($D625,$G625),CSRFinput!$B:$E,4,0)=0,OR(H625=MappingTables!$C$34,H625=MappingTables!$C$35)),1,VLOOKUP(CONCATENATE($D625,$G625),CSRFinput!$B:$E,4,0)))</f>
        <v>0.054776304963434752</v>
      </c>
      <c r="W625" s="85">
        <f>IF(B625="",0,+$T625*$V625)</f>
        <v>0.26462298917078792</v>
      </c>
      <c r="X625" s="85">
        <f>IF(B625="",0,IF(OR(H625=MappingTables!$C$34,H625=MappingTables!$C$35),W625,0))</f>
        <v>0</v>
      </c>
    </row>
    <row r="626" spans="2:24" s="0" customFormat="0" ht="15">
      <c r="B626" s="69">
        <v>21669715</v>
      </c>
      <c r="C626" s="70" t="s">
        <v>908</v>
      </c>
      <c r="D626" s="70" t="s">
        <v>1</v>
      </c>
      <c r="E626" s="70" t="s">
        <v>1</v>
      </c>
      <c r="F626" s="70"/>
      <c r="G626" s="70" t="s">
        <v>61</v>
      </c>
      <c r="H626" s="70" t="s">
        <v>178</v>
      </c>
      <c r="I626" s="70" t="s">
        <v>181</v>
      </c>
      <c r="J626" s="71">
        <f>IF(OR(I626=0,I626=""),"unrated",VLOOKUP(I626,MappingTables!$B$19:$C$31,2,FALSE))</f>
        <v>3</v>
      </c>
      <c r="K626" s="72">
        <v>3822.1400452525328</v>
      </c>
      <c r="L626" s="70">
        <v>4.33918831837478</v>
      </c>
      <c r="M626" s="71">
        <f>IF(L626&lt;1,1,L626)</f>
        <v>4.33918831837478</v>
      </c>
      <c r="N626" s="70" t="s">
        <v>141</v>
      </c>
      <c r="O626" s="71">
        <f>INDEX(DurClassMapping,MATCH(M626,MappingTables!$D$4:$D$8,-1),1)</f>
        <v>1</v>
      </c>
      <c r="P626" s="73">
        <f>IF(M626=$A$1,1,$M626-INDEX(MappingTables!$E$4:$E$8,MATCH(O626,MappingTables!$B$4:$B$8,0)))</f>
        <v>4.33918831837478</v>
      </c>
      <c r="Q626" s="71">
        <f>IF(B626="",0,INDEX(ModelParameters!$D$6:$K$10,MATCH($O626,ModelParameters!$B$6:$B$10,0),MATCH($J626,ModelParameters!$D$5:$K$5,0)))</f>
        <v>0.025</v>
      </c>
      <c r="R626" s="71">
        <f>IF(B626="",0,INDEX(ModelParameters!$D$13:$K$17,MATCH($O626,ModelParameters!$B$13:$B$17,0),MATCH($J626,ModelParameters!$D$5:$K$5,0)))</f>
        <v>0</v>
      </c>
      <c r="S626" s="160">
        <f>IF(B626="",0,MIN(IF($N626="Other Bond TM",ModelParameters!$N$21,1)*(P626*Q626+R626),1))</f>
        <v>0.1084797079593695</v>
      </c>
      <c r="T626" s="85">
        <f>IF(B626="",0,$S626*$K626)</f>
        <v>414.62463588880616</v>
      </c>
      <c r="U626" s="85">
        <f>IF(B626="",0,IF(OR(H626=MappingTables!$C$34,H626=MappingTables!$C$35),T626,0))</f>
        <v>0</v>
      </c>
      <c r="V626" s="85">
        <f>IF(ISNA(IF(AND(VLOOKUP(CONCATENATE($D626,$G626),CSRFinput!$B:$E,4,0)=0,OR(H626=MappingTables!$C$34,H626=MappingTables!$C$35)),1,VLOOKUP(CONCATENATE($D626,$G626),CSRFinput!$B:$E,4,0))),0,IF(AND(VLOOKUP(CONCATENATE($D626,$G626),CSRFinput!$B:$E,4,0)=0,OR(H626=MappingTables!$C$34,H626=MappingTables!$C$35)),1,VLOOKUP(CONCATENATE($D626,$G626),CSRFinput!$B:$E,4,0)))</f>
        <v>0.054776304963434752</v>
      </c>
      <c r="W626" s="85">
        <f>IF(B626="",0,+$T626*$V626)</f>
        <v>22.71160550079834</v>
      </c>
      <c r="X626" s="85">
        <f>IF(B626="",0,IF(OR(H626=MappingTables!$C$34,H626=MappingTables!$C$35),W626,0))</f>
        <v>0</v>
      </c>
    </row>
    <row r="627" spans="2:24" s="0" customFormat="0" ht="15">
      <c r="B627" s="69" t="s">
        <v>909</v>
      </c>
      <c r="C627" s="70" t="s">
        <v>910</v>
      </c>
      <c r="D627" s="70" t="s">
        <v>1</v>
      </c>
      <c r="E627" s="70" t="s">
        <v>1</v>
      </c>
      <c r="F627" s="70"/>
      <c r="G627" s="70" t="s">
        <v>61</v>
      </c>
      <c r="H627" s="70" t="s">
        <v>178</v>
      </c>
      <c r="I627" s="70" t="s">
        <v>181</v>
      </c>
      <c r="J627" s="71">
        <f>IF(OR(I627=0,I627=""),"unrated",VLOOKUP(I627,MappingTables!$B$19:$C$31,2,FALSE))</f>
        <v>3</v>
      </c>
      <c r="K627" s="72">
        <v>23665.766289998296</v>
      </c>
      <c r="L627" s="70">
        <v>3.7930046935628104</v>
      </c>
      <c r="M627" s="71">
        <f>IF(L627&lt;1,1,L627)</f>
        <v>3.7930046935628104</v>
      </c>
      <c r="N627" s="70" t="s">
        <v>141</v>
      </c>
      <c r="O627" s="71">
        <f>INDEX(DurClassMapping,MATCH(M627,MappingTables!$D$4:$D$8,-1),1)</f>
        <v>1</v>
      </c>
      <c r="P627" s="73">
        <f>IF(M627=$A$1,1,$M627-INDEX(MappingTables!$E$4:$E$8,MATCH(O627,MappingTables!$B$4:$B$8,0)))</f>
        <v>3.7930046935628104</v>
      </c>
      <c r="Q627" s="71">
        <f>IF(B627="",0,INDEX(ModelParameters!$D$6:$K$10,MATCH($O627,ModelParameters!$B$6:$B$10,0),MATCH($J627,ModelParameters!$D$5:$K$5,0)))</f>
        <v>0.025</v>
      </c>
      <c r="R627" s="71">
        <f>IF(B627="",0,INDEX(ModelParameters!$D$13:$K$17,MATCH($O627,ModelParameters!$B$13:$B$17,0),MATCH($J627,ModelParameters!$D$5:$K$5,0)))</f>
        <v>0</v>
      </c>
      <c r="S627" s="160">
        <f>IF(B627="",0,MIN(IF($N627="Other Bond TM",ModelParameters!$N$21,1)*(P627*Q627+R627),1))</f>
        <v>0.094825117339070272</v>
      </c>
      <c r="T627" s="85">
        <f>IF(B627="",0,$S627*$K627)</f>
        <v>2244.109065368102</v>
      </c>
      <c r="U627" s="85">
        <f>IF(B627="",0,IF(OR(H627=MappingTables!$C$34,H627=MappingTables!$C$35),T627,0))</f>
        <v>0</v>
      </c>
      <c r="V627" s="85">
        <f>IF(ISNA(IF(AND(VLOOKUP(CONCATENATE($D627,$G627),CSRFinput!$B:$E,4,0)=0,OR(H627=MappingTables!$C$34,H627=MappingTables!$C$35)),1,VLOOKUP(CONCATENATE($D627,$G627),CSRFinput!$B:$E,4,0))),0,IF(AND(VLOOKUP(CONCATENATE($D627,$G627),CSRFinput!$B:$E,4,0)=0,OR(H627=MappingTables!$C$34,H627=MappingTables!$C$35)),1,VLOOKUP(CONCATENATE($D627,$G627),CSRFinput!$B:$E,4,0)))</f>
        <v>0.054776304963434752</v>
      </c>
      <c r="W627" s="85">
        <f>IF(B627="",0,+$T627*$V627)</f>
        <v>122.9240025358117</v>
      </c>
      <c r="X627" s="85">
        <f>IF(B627="",0,IF(OR(H627=MappingTables!$C$34,H627=MappingTables!$C$35),W627,0))</f>
        <v>0</v>
      </c>
    </row>
    <row r="628" spans="2:24" s="0" customFormat="0" ht="15">
      <c r="B628" s="69" t="s">
        <v>911</v>
      </c>
      <c r="C628" s="70" t="s">
        <v>912</v>
      </c>
      <c r="D628" s="70" t="s">
        <v>1</v>
      </c>
      <c r="E628" s="70" t="s">
        <v>1</v>
      </c>
      <c r="F628" s="70"/>
      <c r="G628" s="70" t="s">
        <v>61</v>
      </c>
      <c r="H628" s="70" t="s">
        <v>178</v>
      </c>
      <c r="I628" s="70" t="s">
        <v>198</v>
      </c>
      <c r="J628" s="71" t="str">
        <f>IF(OR(I628=0,I628=""),"unrated",VLOOKUP(I628,MappingTables!$B$19:$C$31,2,FALSE))</f>
        <v>unrated</v>
      </c>
      <c r="K628" s="72">
        <v>2.2496860998771968</v>
      </c>
      <c r="L628" s="70">
        <v>2.507372602639972</v>
      </c>
      <c r="M628" s="71">
        <f>IF(L628&lt;1,1,L628)</f>
        <v>2.507372602639972</v>
      </c>
      <c r="N628" s="70" t="s">
        <v>141</v>
      </c>
      <c r="O628" s="71">
        <f>INDEX(DurClassMapping,MATCH(M628,MappingTables!$D$4:$D$8,-1),1)</f>
        <v>1</v>
      </c>
      <c r="P628" s="73">
        <f>IF(M628=$A$1,1,$M628-INDEX(MappingTables!$E$4:$E$8,MATCH(O628,MappingTables!$B$4:$B$8,0)))</f>
        <v>2.507372602639972</v>
      </c>
      <c r="Q628" s="71">
        <f>IF(B628="",0,INDEX(ModelParameters!$D$6:$K$10,MATCH($O628,ModelParameters!$B$6:$B$10,0),MATCH($J628,ModelParameters!$D$5:$K$5,0)))</f>
        <v>0.03</v>
      </c>
      <c r="R628" s="71">
        <f>IF(B628="",0,INDEX(ModelParameters!$D$13:$K$17,MATCH($O628,ModelParameters!$B$13:$B$17,0),MATCH($J628,ModelParameters!$D$5:$K$5,0)))</f>
        <v>0</v>
      </c>
      <c r="S628" s="160">
        <f>IF(B628="",0,MIN(IF($N628="Other Bond TM",ModelParameters!$N$21,1)*(P628*Q628+R628),1))</f>
        <v>0.075221178079199152</v>
      </c>
      <c r="T628" s="85">
        <f>IF(B628="",0,$S628*$K628)</f>
        <v>0.16922403874116162</v>
      </c>
      <c r="U628" s="85">
        <f>IF(B628="",0,IF(OR(H628=MappingTables!$C$34,H628=MappingTables!$C$35),T628,0))</f>
        <v>0</v>
      </c>
      <c r="V628" s="85">
        <f>IF(ISNA(IF(AND(VLOOKUP(CONCATENATE($D628,$G628),CSRFinput!$B:$E,4,0)=0,OR(H628=MappingTables!$C$34,H628=MappingTables!$C$35)),1,VLOOKUP(CONCATENATE($D628,$G628),CSRFinput!$B:$E,4,0))),0,IF(AND(VLOOKUP(CONCATENATE($D628,$G628),CSRFinput!$B:$E,4,0)=0,OR(H628=MappingTables!$C$34,H628=MappingTables!$C$35)),1,VLOOKUP(CONCATENATE($D628,$G628),CSRFinput!$B:$E,4,0)))</f>
        <v>0.054776304963434752</v>
      </c>
      <c r="W628" s="85">
        <f>IF(B628="",0,+$T628*$V628)</f>
        <v>0.0092694675532299664</v>
      </c>
      <c r="X628" s="85">
        <f>IF(B628="",0,IF(OR(H628=MappingTables!$C$34,H628=MappingTables!$C$35),W628,0))</f>
        <v>0</v>
      </c>
    </row>
    <row r="629" spans="2:24" s="0" customFormat="0" ht="15">
      <c r="B629" s="69" t="s">
        <v>913</v>
      </c>
      <c r="C629" s="70" t="s">
        <v>914</v>
      </c>
      <c r="D629" s="70" t="s">
        <v>1</v>
      </c>
      <c r="E629" s="70" t="s">
        <v>1</v>
      </c>
      <c r="F629" s="70"/>
      <c r="G629" s="70" t="s">
        <v>61</v>
      </c>
      <c r="H629" s="70" t="s">
        <v>178</v>
      </c>
      <c r="I629" s="70" t="s">
        <v>188</v>
      </c>
      <c r="J629" s="71">
        <f>IF(OR(I629=0,I629=""),"unrated",VLOOKUP(I629,MappingTables!$B$19:$C$31,2,FALSE))</f>
        <v>2</v>
      </c>
      <c r="K629" s="72">
        <v>1.0646194929699142</v>
      </c>
      <c r="L629" s="70">
        <v>1.1328002433945498</v>
      </c>
      <c r="M629" s="71">
        <f>IF(L629&lt;1,1,L629)</f>
        <v>1.1328002433945498</v>
      </c>
      <c r="N629" s="70" t="s">
        <v>141</v>
      </c>
      <c r="O629" s="71">
        <f>INDEX(DurClassMapping,MATCH(M629,MappingTables!$D$4:$D$8,-1),1)</f>
        <v>1</v>
      </c>
      <c r="P629" s="73">
        <f>IF(M629=$A$1,1,$M629-INDEX(MappingTables!$E$4:$E$8,MATCH(O629,MappingTables!$B$4:$B$8,0)))</f>
        <v>1.1328002433945498</v>
      </c>
      <c r="Q629" s="71">
        <f>IF(B629="",0,INDEX(ModelParameters!$D$6:$K$10,MATCH($O629,ModelParameters!$B$6:$B$10,0),MATCH($J629,ModelParameters!$D$5:$K$5,0)))</f>
        <v>0.013999999999999998</v>
      </c>
      <c r="R629" s="71">
        <f>IF(B629="",0,INDEX(ModelParameters!$D$13:$K$17,MATCH($O629,ModelParameters!$B$13:$B$17,0),MATCH($J629,ModelParameters!$D$5:$K$5,0)))</f>
        <v>0</v>
      </c>
      <c r="S629" s="160">
        <f>IF(B629="",0,MIN(IF($N629="Other Bond TM",ModelParameters!$N$21,1)*(P629*Q629+R629),1))</f>
        <v>0.015859203407523698</v>
      </c>
      <c r="T629" s="85">
        <f>IF(B629="",0,$S629*$K629)</f>
        <v>0.016884017090624614</v>
      </c>
      <c r="U629" s="85">
        <f>IF(B629="",0,IF(OR(H629=MappingTables!$C$34,H629=MappingTables!$C$35),T629,0))</f>
        <v>0</v>
      </c>
      <c r="V629" s="85">
        <f>IF(ISNA(IF(AND(VLOOKUP(CONCATENATE($D629,$G629),CSRFinput!$B:$E,4,0)=0,OR(H629=MappingTables!$C$34,H629=MappingTables!$C$35)),1,VLOOKUP(CONCATENATE($D629,$G629),CSRFinput!$B:$E,4,0))),0,IF(AND(VLOOKUP(CONCATENATE($D629,$G629),CSRFinput!$B:$E,4,0)=0,OR(H629=MappingTables!$C$34,H629=MappingTables!$C$35)),1,VLOOKUP(CONCATENATE($D629,$G629),CSRFinput!$B:$E,4,0)))</f>
        <v>0.054776304963434752</v>
      </c>
      <c r="W629" s="85">
        <f>IF(B629="",0,+$T629*$V629)</f>
        <v>0.00092484406916389824</v>
      </c>
      <c r="X629" s="85">
        <f>IF(B629="",0,IF(OR(H629=MappingTables!$C$34,H629=MappingTables!$C$35),W629,0))</f>
        <v>0</v>
      </c>
    </row>
    <row r="630" spans="2:24" s="0" customFormat="0" ht="15">
      <c r="B630" s="69">
        <v>4272787</v>
      </c>
      <c r="C630" s="70" t="s">
        <v>915</v>
      </c>
      <c r="D630" s="70" t="s">
        <v>1</v>
      </c>
      <c r="E630" s="70" t="s">
        <v>1</v>
      </c>
      <c r="F630" s="70"/>
      <c r="G630" s="70" t="s">
        <v>61</v>
      </c>
      <c r="H630" s="70" t="s">
        <v>178</v>
      </c>
      <c r="I630" s="70" t="s">
        <v>181</v>
      </c>
      <c r="J630" s="71">
        <f>IF(OR(I630=0,I630=""),"unrated",VLOOKUP(I630,MappingTables!$B$19:$C$31,2,FALSE))</f>
        <v>3</v>
      </c>
      <c r="K630" s="72">
        <v>11336.378512817736</v>
      </c>
      <c r="L630" s="70">
        <v>1.5179443707431962</v>
      </c>
      <c r="M630" s="71">
        <f>IF(L630&lt;1,1,L630)</f>
        <v>1.5179443707431962</v>
      </c>
      <c r="N630" s="70" t="s">
        <v>141</v>
      </c>
      <c r="O630" s="71">
        <f>INDEX(DurClassMapping,MATCH(M630,MappingTables!$D$4:$D$8,-1),1)</f>
        <v>1</v>
      </c>
      <c r="P630" s="73">
        <f>IF(M630=$A$1,1,$M630-INDEX(MappingTables!$E$4:$E$8,MATCH(O630,MappingTables!$B$4:$B$8,0)))</f>
        <v>1.5179443707431962</v>
      </c>
      <c r="Q630" s="71">
        <f>IF(B630="",0,INDEX(ModelParameters!$D$6:$K$10,MATCH($O630,ModelParameters!$B$6:$B$10,0),MATCH($J630,ModelParameters!$D$5:$K$5,0)))</f>
        <v>0.025</v>
      </c>
      <c r="R630" s="71">
        <f>IF(B630="",0,INDEX(ModelParameters!$D$13:$K$17,MATCH($O630,ModelParameters!$B$13:$B$17,0),MATCH($J630,ModelParameters!$D$5:$K$5,0)))</f>
        <v>0</v>
      </c>
      <c r="S630" s="160">
        <f>IF(B630="",0,MIN(IF($N630="Other Bond TM",ModelParameters!$N$21,1)*(P630*Q630+R630),1))</f>
        <v>0.037948609268579904</v>
      </c>
      <c r="T630" s="85">
        <f>IF(B630="",0,$S630*$K630)</f>
        <v>430.1997987036452</v>
      </c>
      <c r="U630" s="85">
        <f>IF(B630="",0,IF(OR(H630=MappingTables!$C$34,H630=MappingTables!$C$35),T630,0))</f>
        <v>0</v>
      </c>
      <c r="V630" s="85">
        <f>IF(ISNA(IF(AND(VLOOKUP(CONCATENATE($D630,$G630),CSRFinput!$B:$E,4,0)=0,OR(H630=MappingTables!$C$34,H630=MappingTables!$C$35)),1,VLOOKUP(CONCATENATE($D630,$G630),CSRFinput!$B:$E,4,0))),0,IF(AND(VLOOKUP(CONCATENATE($D630,$G630),CSRFinput!$B:$E,4,0)=0,OR(H630=MappingTables!$C$34,H630=MappingTables!$C$35)),1,VLOOKUP(CONCATENATE($D630,$G630),CSRFinput!$B:$E,4,0)))</f>
        <v>0.054776304963434752</v>
      </c>
      <c r="W630" s="85">
        <f>IF(B630="",0,+$T630*$V630)</f>
        <v>23.564755368999116</v>
      </c>
      <c r="X630" s="85">
        <f>IF(B630="",0,IF(OR(H630=MappingTables!$C$34,H630=MappingTables!$C$35),W630,0))</f>
        <v>0</v>
      </c>
    </row>
    <row r="631" spans="2:24" s="0" customFormat="0" ht="15">
      <c r="B631" s="69">
        <v>20679275</v>
      </c>
      <c r="C631" s="70" t="s">
        <v>916</v>
      </c>
      <c r="D631" s="70" t="s">
        <v>1</v>
      </c>
      <c r="E631" s="70" t="s">
        <v>1</v>
      </c>
      <c r="F631" s="70"/>
      <c r="G631" s="70" t="s">
        <v>61</v>
      </c>
      <c r="H631" s="70" t="s">
        <v>178</v>
      </c>
      <c r="I631" s="70" t="s">
        <v>179</v>
      </c>
      <c r="J631" s="71">
        <f>IF(OR(I631=0,I631=""),"unrated",VLOOKUP(I631,MappingTables!$B$19:$C$31,2,FALSE))</f>
        <v>4</v>
      </c>
      <c r="K631" s="72">
        <v>17339.242314645358</v>
      </c>
      <c r="L631" s="70">
        <v>1.3454751111547372</v>
      </c>
      <c r="M631" s="71">
        <f>IF(L631&lt;1,1,L631)</f>
        <v>1.3454751111547372</v>
      </c>
      <c r="N631" s="70" t="s">
        <v>141</v>
      </c>
      <c r="O631" s="71">
        <f>INDEX(DurClassMapping,MATCH(M631,MappingTables!$D$4:$D$8,-1),1)</f>
        <v>1</v>
      </c>
      <c r="P631" s="73">
        <f>IF(M631=$A$1,1,$M631-INDEX(MappingTables!$E$4:$E$8,MATCH(O631,MappingTables!$B$4:$B$8,0)))</f>
        <v>1.3454751111547372</v>
      </c>
      <c r="Q631" s="71">
        <f>IF(B631="",0,INDEX(ModelParameters!$D$6:$K$10,MATCH($O631,ModelParameters!$B$6:$B$10,0),MATCH($J631,ModelParameters!$D$5:$K$5,0)))</f>
        <v>0.045</v>
      </c>
      <c r="R631" s="71">
        <f>IF(B631="",0,INDEX(ModelParameters!$D$13:$K$17,MATCH($O631,ModelParameters!$B$13:$B$17,0),MATCH($J631,ModelParameters!$D$5:$K$5,0)))</f>
        <v>0</v>
      </c>
      <c r="S631" s="160">
        <f>IF(B631="",0,MIN(IF($N631="Other Bond TM",ModelParameters!$N$21,1)*(P631*Q631+R631),1))</f>
        <v>0.060546380001963168</v>
      </c>
      <c r="T631" s="85">
        <f>IF(B631="",0,$S631*$K631)</f>
        <v>1049.8283541286374</v>
      </c>
      <c r="U631" s="85">
        <f>IF(B631="",0,IF(OR(H631=MappingTables!$C$34,H631=MappingTables!$C$35),T631,0))</f>
        <v>0</v>
      </c>
      <c r="V631" s="85">
        <f>IF(ISNA(IF(AND(VLOOKUP(CONCATENATE($D631,$G631),CSRFinput!$B:$E,4,0)=0,OR(H631=MappingTables!$C$34,H631=MappingTables!$C$35)),1,VLOOKUP(CONCATENATE($D631,$G631),CSRFinput!$B:$E,4,0))),0,IF(AND(VLOOKUP(CONCATENATE($D631,$G631),CSRFinput!$B:$E,4,0)=0,OR(H631=MappingTables!$C$34,H631=MappingTables!$C$35)),1,VLOOKUP(CONCATENATE($D631,$G631),CSRFinput!$B:$E,4,0)))</f>
        <v>0.054776304963434752</v>
      </c>
      <c r="W631" s="85">
        <f>IF(B631="",0,+$T631*$V631)</f>
        <v>57.505718085011008</v>
      </c>
      <c r="X631" s="85">
        <f>IF(B631="",0,IF(OR(H631=MappingTables!$C$34,H631=MappingTables!$C$35),W631,0))</f>
        <v>0</v>
      </c>
    </row>
    <row r="632" spans="2:24" s="0" customFormat="0" ht="15">
      <c r="B632" s="69" t="s">
        <v>917</v>
      </c>
      <c r="C632" s="70" t="s">
        <v>918</v>
      </c>
      <c r="D632" s="70" t="s">
        <v>1</v>
      </c>
      <c r="E632" s="70" t="s">
        <v>1</v>
      </c>
      <c r="F632" s="70"/>
      <c r="G632" s="70" t="s">
        <v>61</v>
      </c>
      <c r="H632" s="70" t="s">
        <v>178</v>
      </c>
      <c r="I632" s="70" t="s">
        <v>181</v>
      </c>
      <c r="J632" s="71">
        <f>IF(OR(I632=0,I632=""),"unrated",VLOOKUP(I632,MappingTables!$B$19:$C$31,2,FALSE))</f>
        <v>3</v>
      </c>
      <c r="K632" s="72">
        <v>21951.82664894788</v>
      </c>
      <c r="L632" s="70">
        <v>10.40791691907365</v>
      </c>
      <c r="M632" s="71">
        <f>IF(L632&lt;1,1,L632)</f>
        <v>10.40791691907365</v>
      </c>
      <c r="N632" s="70" t="s">
        <v>141</v>
      </c>
      <c r="O632" s="71">
        <f>INDEX(DurClassMapping,MATCH(M632,MappingTables!$D$4:$D$8,-1),1)</f>
        <v>3</v>
      </c>
      <c r="P632" s="73">
        <f>IF(M632=$A$1,1,$M632-INDEX(MappingTables!$E$4:$E$8,MATCH(O632,MappingTables!$B$4:$B$8,0)))</f>
        <v>0.40791691907364936</v>
      </c>
      <c r="Q632" s="71">
        <f>IF(B632="",0,INDEX(ModelParameters!$D$6:$K$10,MATCH($O632,ModelParameters!$B$6:$B$10,0),MATCH($J632,ModelParameters!$D$5:$K$5,0)))</f>
        <v>0.01</v>
      </c>
      <c r="R632" s="71">
        <f>IF(B632="",0,INDEX(ModelParameters!$D$13:$K$17,MATCH($O632,ModelParameters!$B$13:$B$17,0),MATCH($J632,ModelParameters!$D$5:$K$5,0)))</f>
        <v>0.2</v>
      </c>
      <c r="S632" s="160">
        <f>IF(B632="",0,MIN(IF($N632="Other Bond TM",ModelParameters!$N$21,1)*(P632*Q632+R632),1))</f>
        <v>0.20407916919073652</v>
      </c>
      <c r="T632" s="85">
        <f>IF(B632="",0,$S632*$K632)</f>
        <v>4479.9105447363536</v>
      </c>
      <c r="U632" s="85">
        <f>IF(B632="",0,IF(OR(H632=MappingTables!$C$34,H632=MappingTables!$C$35),T632,0))</f>
        <v>0</v>
      </c>
      <c r="V632" s="85">
        <f>IF(ISNA(IF(AND(VLOOKUP(CONCATENATE($D632,$G632),CSRFinput!$B:$E,4,0)=0,OR(H632=MappingTables!$C$34,H632=MappingTables!$C$35)),1,VLOOKUP(CONCATENATE($D632,$G632),CSRFinput!$B:$E,4,0))),0,IF(AND(VLOOKUP(CONCATENATE($D632,$G632),CSRFinput!$B:$E,4,0)=0,OR(H632=MappingTables!$C$34,H632=MappingTables!$C$35)),1,VLOOKUP(CONCATENATE($D632,$G632),CSRFinput!$B:$E,4,0)))</f>
        <v>0.054776304963434752</v>
      </c>
      <c r="W632" s="85">
        <f>IF(B632="",0,+$T632*$V632)</f>
        <v>245.39294620738564</v>
      </c>
      <c r="X632" s="85">
        <f>IF(B632="",0,IF(OR(H632=MappingTables!$C$34,H632=MappingTables!$C$35),W632,0))</f>
        <v>0</v>
      </c>
    </row>
    <row r="633" spans="2:24" s="0" customFormat="0" ht="15">
      <c r="B633" s="69" t="s">
        <v>919</v>
      </c>
      <c r="C633" s="70" t="s">
        <v>920</v>
      </c>
      <c r="D633" s="70" t="s">
        <v>1</v>
      </c>
      <c r="E633" s="70" t="s">
        <v>1</v>
      </c>
      <c r="F633" s="70"/>
      <c r="G633" s="70" t="s">
        <v>61</v>
      </c>
      <c r="H633" s="70" t="s">
        <v>178</v>
      </c>
      <c r="I633" s="70" t="s">
        <v>181</v>
      </c>
      <c r="J633" s="71">
        <f>IF(OR(I633=0,I633=""),"unrated",VLOOKUP(I633,MappingTables!$B$19:$C$31,2,FALSE))</f>
        <v>3</v>
      </c>
      <c r="K633" s="72">
        <v>55.917607836245168</v>
      </c>
      <c r="L633" s="70">
        <v>4.246103828030888</v>
      </c>
      <c r="M633" s="71">
        <f>IF(L633&lt;1,1,L633)</f>
        <v>4.246103828030888</v>
      </c>
      <c r="N633" s="70" t="s">
        <v>141</v>
      </c>
      <c r="O633" s="71">
        <f>INDEX(DurClassMapping,MATCH(M633,MappingTables!$D$4:$D$8,-1),1)</f>
        <v>1</v>
      </c>
      <c r="P633" s="73">
        <f>IF(M633=$A$1,1,$M633-INDEX(MappingTables!$E$4:$E$8,MATCH(O633,MappingTables!$B$4:$B$8,0)))</f>
        <v>4.246103828030888</v>
      </c>
      <c r="Q633" s="71">
        <f>IF(B633="",0,INDEX(ModelParameters!$D$6:$K$10,MATCH($O633,ModelParameters!$B$6:$B$10,0),MATCH($J633,ModelParameters!$D$5:$K$5,0)))</f>
        <v>0.025</v>
      </c>
      <c r="R633" s="71">
        <f>IF(B633="",0,INDEX(ModelParameters!$D$13:$K$17,MATCH($O633,ModelParameters!$B$13:$B$17,0),MATCH($J633,ModelParameters!$D$5:$K$5,0)))</f>
        <v>0</v>
      </c>
      <c r="S633" s="160">
        <f>IF(B633="",0,MIN(IF($N633="Other Bond TM",ModelParameters!$N$21,1)*(P633*Q633+R633),1))</f>
        <v>0.1061525957007722</v>
      </c>
      <c r="T633" s="85">
        <f>IF(B633="",0,$S633*$K633)</f>
        <v>5.9357992171952648</v>
      </c>
      <c r="U633" s="85">
        <f>IF(B633="",0,IF(OR(H633=MappingTables!$C$34,H633=MappingTables!$C$35),T633,0))</f>
        <v>0</v>
      </c>
      <c r="V633" s="85">
        <f>IF(ISNA(IF(AND(VLOOKUP(CONCATENATE($D633,$G633),CSRFinput!$B:$E,4,0)=0,OR(H633=MappingTables!$C$34,H633=MappingTables!$C$35)),1,VLOOKUP(CONCATENATE($D633,$G633),CSRFinput!$B:$E,4,0))),0,IF(AND(VLOOKUP(CONCATENATE($D633,$G633),CSRFinput!$B:$E,4,0)=0,OR(H633=MappingTables!$C$34,H633=MappingTables!$C$35)),1,VLOOKUP(CONCATENATE($D633,$G633),CSRFinput!$B:$E,4,0)))</f>
        <v>0.054776304963434752</v>
      </c>
      <c r="W633" s="85">
        <f>IF(B633="",0,+$T633*$V633)</f>
        <v>0.32514114812280508</v>
      </c>
      <c r="X633" s="85">
        <f>IF(B633="",0,IF(OR(H633=MappingTables!$C$34,H633=MappingTables!$C$35),W633,0))</f>
        <v>0</v>
      </c>
    </row>
    <row r="634" spans="2:24" s="0" customFormat="0" ht="15">
      <c r="B634" s="69" t="s">
        <v>921</v>
      </c>
      <c r="C634" s="70" t="s">
        <v>922</v>
      </c>
      <c r="D634" s="70" t="s">
        <v>1</v>
      </c>
      <c r="E634" s="70" t="s">
        <v>1</v>
      </c>
      <c r="F634" s="70"/>
      <c r="G634" s="70" t="s">
        <v>61</v>
      </c>
      <c r="H634" s="70" t="s">
        <v>178</v>
      </c>
      <c r="I634" s="70" t="s">
        <v>179</v>
      </c>
      <c r="J634" s="71">
        <f>IF(OR(I634=0,I634=""),"unrated",VLOOKUP(I634,MappingTables!$B$19:$C$31,2,FALSE))</f>
        <v>4</v>
      </c>
      <c r="K634" s="72">
        <v>14375.474218280916</v>
      </c>
      <c r="L634" s="70">
        <v>1.8960839612075236</v>
      </c>
      <c r="M634" s="71">
        <f>IF(L634&lt;1,1,L634)</f>
        <v>1.8960839612075236</v>
      </c>
      <c r="N634" s="70" t="s">
        <v>141</v>
      </c>
      <c r="O634" s="71">
        <f>INDEX(DurClassMapping,MATCH(M634,MappingTables!$D$4:$D$8,-1),1)</f>
        <v>1</v>
      </c>
      <c r="P634" s="73">
        <f>IF(M634=$A$1,1,$M634-INDEX(MappingTables!$E$4:$E$8,MATCH(O634,MappingTables!$B$4:$B$8,0)))</f>
        <v>1.8960839612075236</v>
      </c>
      <c r="Q634" s="71">
        <f>IF(B634="",0,INDEX(ModelParameters!$D$6:$K$10,MATCH($O634,ModelParameters!$B$6:$B$10,0),MATCH($J634,ModelParameters!$D$5:$K$5,0)))</f>
        <v>0.045</v>
      </c>
      <c r="R634" s="71">
        <f>IF(B634="",0,INDEX(ModelParameters!$D$13:$K$17,MATCH($O634,ModelParameters!$B$13:$B$17,0),MATCH($J634,ModelParameters!$D$5:$K$5,0)))</f>
        <v>0</v>
      </c>
      <c r="S634" s="160">
        <f>IF(B634="",0,MIN(IF($N634="Other Bond TM",ModelParameters!$N$21,1)*(P634*Q634+R634),1))</f>
        <v>0.08532377825433856</v>
      </c>
      <c r="T634" s="85">
        <f>IF(B634="",0,$S634*$K634)</f>
        <v>1226.5697745015618</v>
      </c>
      <c r="U634" s="85">
        <f>IF(B634="",0,IF(OR(H634=MappingTables!$C$34,H634=MappingTables!$C$35),T634,0))</f>
        <v>0</v>
      </c>
      <c r="V634" s="85">
        <f>IF(ISNA(IF(AND(VLOOKUP(CONCATENATE($D634,$G634),CSRFinput!$B:$E,4,0)=0,OR(H634=MappingTables!$C$34,H634=MappingTables!$C$35)),1,VLOOKUP(CONCATENATE($D634,$G634),CSRFinput!$B:$E,4,0))),0,IF(AND(VLOOKUP(CONCATENATE($D634,$G634),CSRFinput!$B:$E,4,0)=0,OR(H634=MappingTables!$C$34,H634=MappingTables!$C$35)),1,VLOOKUP(CONCATENATE($D634,$G634),CSRFinput!$B:$E,4,0)))</f>
        <v>0.054776304963434752</v>
      </c>
      <c r="W634" s="85">
        <f>IF(B634="",0,+$T634*$V634)</f>
        <v>67.186960027028944</v>
      </c>
      <c r="X634" s="85">
        <f>IF(B634="",0,IF(OR(H634=MappingTables!$C$34,H634=MappingTables!$C$35),W634,0))</f>
        <v>0</v>
      </c>
    </row>
    <row r="635" spans="2:24" s="0" customFormat="0" ht="15">
      <c r="B635" s="69" t="s">
        <v>923</v>
      </c>
      <c r="C635" s="70" t="s">
        <v>924</v>
      </c>
      <c r="D635" s="70" t="s">
        <v>1</v>
      </c>
      <c r="E635" s="70" t="s">
        <v>1</v>
      </c>
      <c r="F635" s="70"/>
      <c r="G635" s="70" t="s">
        <v>61</v>
      </c>
      <c r="H635" s="70" t="s">
        <v>178</v>
      </c>
      <c r="I635" s="70" t="s">
        <v>179</v>
      </c>
      <c r="J635" s="71">
        <f>IF(OR(I635=0,I635=""),"unrated",VLOOKUP(I635,MappingTables!$B$19:$C$31,2,FALSE))</f>
        <v>4</v>
      </c>
      <c r="K635" s="72">
        <v>25.6465874063053</v>
      </c>
      <c r="L635" s="70">
        <v>4.4151771261878136</v>
      </c>
      <c r="M635" s="71">
        <f>IF(L635&lt;1,1,L635)</f>
        <v>4.4151771261878136</v>
      </c>
      <c r="N635" s="70" t="s">
        <v>141</v>
      </c>
      <c r="O635" s="71">
        <f>INDEX(DurClassMapping,MATCH(M635,MappingTables!$D$4:$D$8,-1),1)</f>
        <v>1</v>
      </c>
      <c r="P635" s="73">
        <f>IF(M635=$A$1,1,$M635-INDEX(MappingTables!$E$4:$E$8,MATCH(O635,MappingTables!$B$4:$B$8,0)))</f>
        <v>4.4151771261878136</v>
      </c>
      <c r="Q635" s="71">
        <f>IF(B635="",0,INDEX(ModelParameters!$D$6:$K$10,MATCH($O635,ModelParameters!$B$6:$B$10,0),MATCH($J635,ModelParameters!$D$5:$K$5,0)))</f>
        <v>0.045</v>
      </c>
      <c r="R635" s="71">
        <f>IF(B635="",0,INDEX(ModelParameters!$D$13:$K$17,MATCH($O635,ModelParameters!$B$13:$B$17,0),MATCH($J635,ModelParameters!$D$5:$K$5,0)))</f>
        <v>0</v>
      </c>
      <c r="S635" s="160">
        <f>IF(B635="",0,MIN(IF($N635="Other Bond TM",ModelParameters!$N$21,1)*(P635*Q635+R635),1))</f>
        <v>0.1986829706784516</v>
      </c>
      <c r="T635" s="85">
        <f>IF(B635="",0,$S635*$K635)</f>
        <v>5.0955401736493024</v>
      </c>
      <c r="U635" s="85">
        <f>IF(B635="",0,IF(OR(H635=MappingTables!$C$34,H635=MappingTables!$C$35),T635,0))</f>
        <v>0</v>
      </c>
      <c r="V635" s="85">
        <f>IF(ISNA(IF(AND(VLOOKUP(CONCATENATE($D635,$G635),CSRFinput!$B:$E,4,0)=0,OR(H635=MappingTables!$C$34,H635=MappingTables!$C$35)),1,VLOOKUP(CONCATENATE($D635,$G635),CSRFinput!$B:$E,4,0))),0,IF(AND(VLOOKUP(CONCATENATE($D635,$G635),CSRFinput!$B:$E,4,0)=0,OR(H635=MappingTables!$C$34,H635=MappingTables!$C$35)),1,VLOOKUP(CONCATENATE($D635,$G635),CSRFinput!$B:$E,4,0)))</f>
        <v>0.054776304963434752</v>
      </c>
      <c r="W635" s="85">
        <f>IF(B635="",0,+$T635*$V635)</f>
        <v>0.27911486250524748</v>
      </c>
      <c r="X635" s="85">
        <f>IF(B635="",0,IF(OR(H635=MappingTables!$C$34,H635=MappingTables!$C$35),W635,0))</f>
        <v>0</v>
      </c>
    </row>
    <row r="636" spans="2:24" s="0" customFormat="0" ht="15">
      <c r="B636" s="69">
        <v>14199789</v>
      </c>
      <c r="C636" s="70" t="s">
        <v>925</v>
      </c>
      <c r="D636" s="70" t="s">
        <v>1</v>
      </c>
      <c r="E636" s="70" t="s">
        <v>1</v>
      </c>
      <c r="F636" s="70"/>
      <c r="G636" s="70" t="s">
        <v>61</v>
      </c>
      <c r="H636" s="70" t="s">
        <v>178</v>
      </c>
      <c r="I636" s="70" t="s">
        <v>179</v>
      </c>
      <c r="J636" s="71">
        <f>IF(OR(I636=0,I636=""),"unrated",VLOOKUP(I636,MappingTables!$B$19:$C$31,2,FALSE))</f>
        <v>4</v>
      </c>
      <c r="K636" s="72">
        <v>18484.885382628676</v>
      </c>
      <c r="L636" s="70">
        <v>12.683127784139184</v>
      </c>
      <c r="M636" s="71">
        <f>IF(L636&lt;1,1,L636)</f>
        <v>12.683127784139184</v>
      </c>
      <c r="N636" s="70" t="s">
        <v>141</v>
      </c>
      <c r="O636" s="71">
        <f>INDEX(DurClassMapping,MATCH(M636,MappingTables!$D$4:$D$8,-1),1)</f>
        <v>3</v>
      </c>
      <c r="P636" s="73">
        <f>IF(M636=$A$1,1,$M636-INDEX(MappingTables!$E$4:$E$8,MATCH(O636,MappingTables!$B$4:$B$8,0)))</f>
        <v>2.6831277841391844</v>
      </c>
      <c r="Q636" s="71">
        <f>IF(B636="",0,INDEX(ModelParameters!$D$6:$K$10,MATCH($O636,ModelParameters!$B$6:$B$10,0),MATCH($J636,ModelParameters!$D$5:$K$5,0)))</f>
        <v>0.018000000000000002</v>
      </c>
      <c r="R636" s="71">
        <f>IF(B636="",0,INDEX(ModelParameters!$D$13:$K$17,MATCH($O636,ModelParameters!$B$13:$B$17,0),MATCH($J636,ModelParameters!$D$5:$K$5,0)))</f>
        <v>0.34999999999999996</v>
      </c>
      <c r="S636" s="160">
        <f>IF(B636="",0,MIN(IF($N636="Other Bond TM",ModelParameters!$N$21,1)*(P636*Q636+R636),1))</f>
        <v>0.39829630011450528</v>
      </c>
      <c r="T636" s="85">
        <f>IF(B636="",0,$S636*$K636)</f>
        <v>7362.461455941704</v>
      </c>
      <c r="U636" s="85">
        <f>IF(B636="",0,IF(OR(H636=MappingTables!$C$34,H636=MappingTables!$C$35),T636,0))</f>
        <v>0</v>
      </c>
      <c r="V636" s="85">
        <f>IF(ISNA(IF(AND(VLOOKUP(CONCATENATE($D636,$G636),CSRFinput!$B:$E,4,0)=0,OR(H636=MappingTables!$C$34,H636=MappingTables!$C$35)),1,VLOOKUP(CONCATENATE($D636,$G636),CSRFinput!$B:$E,4,0))),0,IF(AND(VLOOKUP(CONCATENATE($D636,$G636),CSRFinput!$B:$E,4,0)=0,OR(H636=MappingTables!$C$34,H636=MappingTables!$C$35)),1,VLOOKUP(CONCATENATE($D636,$G636),CSRFinput!$B:$E,4,0)))</f>
        <v>0.054776304963434752</v>
      </c>
      <c r="W636" s="85">
        <f>IF(B636="",0,+$T636*$V636)</f>
        <v>403.28843399219656</v>
      </c>
      <c r="X636" s="85">
        <f>IF(B636="",0,IF(OR(H636=MappingTables!$C$34,H636=MappingTables!$C$35),W636,0))</f>
        <v>0</v>
      </c>
    </row>
    <row r="637" spans="2:24" s="0" customFormat="0" ht="15">
      <c r="B637" s="69" t="s">
        <v>926</v>
      </c>
      <c r="C637" s="70" t="s">
        <v>927</v>
      </c>
      <c r="D637" s="70" t="s">
        <v>1</v>
      </c>
      <c r="E637" s="70" t="s">
        <v>1</v>
      </c>
      <c r="F637" s="70"/>
      <c r="G637" s="70" t="s">
        <v>61</v>
      </c>
      <c r="H637" s="70" t="s">
        <v>178</v>
      </c>
      <c r="I637" s="70" t="s">
        <v>198</v>
      </c>
      <c r="J637" s="71" t="str">
        <f>IF(OR(I637=0,I637=""),"unrated",VLOOKUP(I637,MappingTables!$B$19:$C$31,2,FALSE))</f>
        <v>unrated</v>
      </c>
      <c r="K637" s="72">
        <v>15469.355699207682</v>
      </c>
      <c r="L637" s="70">
        <v>6.134747174104052</v>
      </c>
      <c r="M637" s="71">
        <f>IF(L637&lt;1,1,L637)</f>
        <v>6.134747174104052</v>
      </c>
      <c r="N637" s="70" t="s">
        <v>141</v>
      </c>
      <c r="O637" s="71">
        <f>INDEX(DurClassMapping,MATCH(M637,MappingTables!$D$4:$D$8,-1),1)</f>
        <v>2</v>
      </c>
      <c r="P637" s="73">
        <f>IF(M637=$A$1,1,$M637-INDEX(MappingTables!$E$4:$E$8,MATCH(O637,MappingTables!$B$4:$B$8,0)))</f>
        <v>1.134747174104052</v>
      </c>
      <c r="Q637" s="71">
        <f>IF(B637="",0,INDEX(ModelParameters!$D$6:$K$10,MATCH($O637,ModelParameters!$B$6:$B$10,0),MATCH($J637,ModelParameters!$D$5:$K$5,0)))</f>
        <v>0.017000000000000002</v>
      </c>
      <c r="R637" s="71">
        <f>IF(B637="",0,INDEX(ModelParameters!$D$13:$K$17,MATCH($O637,ModelParameters!$B$13:$B$17,0),MATCH($J637,ModelParameters!$D$5:$K$5,0)))</f>
        <v>0.15</v>
      </c>
      <c r="S637" s="160">
        <f>IF(B637="",0,MIN(IF($N637="Other Bond TM",ModelParameters!$N$21,1)*(P637*Q637+R637),1))</f>
        <v>0.1692907019597689</v>
      </c>
      <c r="T637" s="85">
        <f>IF(B637="",0,$S637*$K637)</f>
        <v>2618.81808518422</v>
      </c>
      <c r="U637" s="85">
        <f>IF(B637="",0,IF(OR(H637=MappingTables!$C$34,H637=MappingTables!$C$35),T637,0))</f>
        <v>0</v>
      </c>
      <c r="V637" s="85">
        <f>IF(ISNA(IF(AND(VLOOKUP(CONCATENATE($D637,$G637),CSRFinput!$B:$E,4,0)=0,OR(H637=MappingTables!$C$34,H637=MappingTables!$C$35)),1,VLOOKUP(CONCATENATE($D637,$G637),CSRFinput!$B:$E,4,0))),0,IF(AND(VLOOKUP(CONCATENATE($D637,$G637),CSRFinput!$B:$E,4,0)=0,OR(H637=MappingTables!$C$34,H637=MappingTables!$C$35)),1,VLOOKUP(CONCATENATE($D637,$G637),CSRFinput!$B:$E,4,0)))</f>
        <v>0.054776304963434752</v>
      </c>
      <c r="W637" s="85">
        <f>IF(B637="",0,+$T637*$V637)</f>
        <v>143.44917807780908</v>
      </c>
      <c r="X637" s="85">
        <f>IF(B637="",0,IF(OR(H637=MappingTables!$C$34,H637=MappingTables!$C$35),W637,0))</f>
        <v>0</v>
      </c>
    </row>
    <row r="638" spans="2:24" s="0" customFormat="0" ht="15">
      <c r="B638" s="69" t="s">
        <v>928</v>
      </c>
      <c r="C638" s="70" t="s">
        <v>929</v>
      </c>
      <c r="D638" s="70" t="s">
        <v>1</v>
      </c>
      <c r="E638" s="70" t="s">
        <v>1</v>
      </c>
      <c r="F638" s="70"/>
      <c r="G638" s="70" t="s">
        <v>61</v>
      </c>
      <c r="H638" s="70" t="s">
        <v>178</v>
      </c>
      <c r="I638" s="70" t="s">
        <v>198</v>
      </c>
      <c r="J638" s="71" t="str">
        <f>IF(OR(I638=0,I638=""),"unrated",VLOOKUP(I638,MappingTables!$B$19:$C$31,2,FALSE))</f>
        <v>unrated</v>
      </c>
      <c r="K638" s="72">
        <v>0.056803250890731808</v>
      </c>
      <c r="L638" s="70">
        <v>0.12876808986802604</v>
      </c>
      <c r="M638" s="71">
        <f>IF(L638&lt;1,1,L638)</f>
        <v>1</v>
      </c>
      <c r="N638" s="70" t="s">
        <v>141</v>
      </c>
      <c r="O638" s="71">
        <f>INDEX(DurClassMapping,MATCH(M638,MappingTables!$D$4:$D$8,-1),1)</f>
        <v>1</v>
      </c>
      <c r="P638" s="73">
        <f>IF(M638=$A$1,1,$M638-INDEX(MappingTables!$E$4:$E$8,MATCH(O638,MappingTables!$B$4:$B$8,0)))</f>
        <v>1</v>
      </c>
      <c r="Q638" s="71">
        <f>IF(B638="",0,INDEX(ModelParameters!$D$6:$K$10,MATCH($O638,ModelParameters!$B$6:$B$10,0),MATCH($J638,ModelParameters!$D$5:$K$5,0)))</f>
        <v>0.03</v>
      </c>
      <c r="R638" s="71">
        <f>IF(B638="",0,INDEX(ModelParameters!$D$13:$K$17,MATCH($O638,ModelParameters!$B$13:$B$17,0),MATCH($J638,ModelParameters!$D$5:$K$5,0)))</f>
        <v>0</v>
      </c>
      <c r="S638" s="160">
        <f>IF(B638="",0,MIN(IF($N638="Other Bond TM",ModelParameters!$N$21,1)*(P638*Q638+R638),1))</f>
        <v>0.03</v>
      </c>
      <c r="T638" s="85">
        <f>IF(B638="",0,$S638*$K638)</f>
        <v>0.0017040975267219542</v>
      </c>
      <c r="U638" s="85">
        <f>IF(B638="",0,IF(OR(H638=MappingTables!$C$34,H638=MappingTables!$C$35),T638,0))</f>
        <v>0</v>
      </c>
      <c r="V638" s="85">
        <f>IF(ISNA(IF(AND(VLOOKUP(CONCATENATE($D638,$G638),CSRFinput!$B:$E,4,0)=0,OR(H638=MappingTables!$C$34,H638=MappingTables!$C$35)),1,VLOOKUP(CONCATENATE($D638,$G638),CSRFinput!$B:$E,4,0))),0,IF(AND(VLOOKUP(CONCATENATE($D638,$G638),CSRFinput!$B:$E,4,0)=0,OR(H638=MappingTables!$C$34,H638=MappingTables!$C$35)),1,VLOOKUP(CONCATENATE($D638,$G638),CSRFinput!$B:$E,4,0)))</f>
        <v>0.054776304963434752</v>
      </c>
      <c r="W638" s="85">
        <f>IF(B638="",0,+$T638*$V638)</f>
        <v>0.000093344165811156672</v>
      </c>
      <c r="X638" s="85">
        <f>IF(B638="",0,IF(OR(H638=MappingTables!$C$34,H638=MappingTables!$C$35),W638,0))</f>
        <v>0</v>
      </c>
    </row>
    <row r="639" spans="2:24" s="0" customFormat="0" ht="15">
      <c r="B639" s="69">
        <v>13181147</v>
      </c>
      <c r="C639" s="70" t="s">
        <v>846</v>
      </c>
      <c r="D639" s="70" t="s">
        <v>1</v>
      </c>
      <c r="E639" s="70" t="s">
        <v>1</v>
      </c>
      <c r="F639" s="70"/>
      <c r="G639" s="70" t="s">
        <v>61</v>
      </c>
      <c r="H639" s="70" t="s">
        <v>178</v>
      </c>
      <c r="I639" s="70" t="s">
        <v>181</v>
      </c>
      <c r="J639" s="71">
        <f>IF(OR(I639=0,I639=""),"unrated",VLOOKUP(I639,MappingTables!$B$19:$C$31,2,FALSE))</f>
        <v>3</v>
      </c>
      <c r="K639" s="72">
        <v>4526.0115931875832</v>
      </c>
      <c r="L639" s="70">
        <v>0.99157862115495392</v>
      </c>
      <c r="M639" s="71">
        <f>IF(L639&lt;1,1,L639)</f>
        <v>1</v>
      </c>
      <c r="N639" s="70" t="s">
        <v>141</v>
      </c>
      <c r="O639" s="71">
        <f>INDEX(DurClassMapping,MATCH(M639,MappingTables!$D$4:$D$8,-1),1)</f>
        <v>1</v>
      </c>
      <c r="P639" s="73">
        <f>IF(M639=$A$1,1,$M639-INDEX(MappingTables!$E$4:$E$8,MATCH(O639,MappingTables!$B$4:$B$8,0)))</f>
        <v>1</v>
      </c>
      <c r="Q639" s="71">
        <f>IF(B639="",0,INDEX(ModelParameters!$D$6:$K$10,MATCH($O639,ModelParameters!$B$6:$B$10,0),MATCH($J639,ModelParameters!$D$5:$K$5,0)))</f>
        <v>0.025</v>
      </c>
      <c r="R639" s="71">
        <f>IF(B639="",0,INDEX(ModelParameters!$D$13:$K$17,MATCH($O639,ModelParameters!$B$13:$B$17,0),MATCH($J639,ModelParameters!$D$5:$K$5,0)))</f>
        <v>0</v>
      </c>
      <c r="S639" s="160">
        <f>IF(B639="",0,MIN(IF($N639="Other Bond TM",ModelParameters!$N$21,1)*(P639*Q639+R639),1))</f>
        <v>0.025</v>
      </c>
      <c r="T639" s="85">
        <f>IF(B639="",0,$S639*$K639)</f>
        <v>113.1502898296896</v>
      </c>
      <c r="U639" s="85">
        <f>IF(B639="",0,IF(OR(H639=MappingTables!$C$34,H639=MappingTables!$C$35),T639,0))</f>
        <v>0</v>
      </c>
      <c r="V639" s="85">
        <f>IF(ISNA(IF(AND(VLOOKUP(CONCATENATE($D639,$G639),CSRFinput!$B:$E,4,0)=0,OR(H639=MappingTables!$C$34,H639=MappingTables!$C$35)),1,VLOOKUP(CONCATENATE($D639,$G639),CSRFinput!$B:$E,4,0))),0,IF(AND(VLOOKUP(CONCATENATE($D639,$G639),CSRFinput!$B:$E,4,0)=0,OR(H639=MappingTables!$C$34,H639=MappingTables!$C$35)),1,VLOOKUP(CONCATENATE($D639,$G639),CSRFinput!$B:$E,4,0)))</f>
        <v>0.054776304963434752</v>
      </c>
      <c r="W639" s="85">
        <f>IF(B639="",0,+$T639*$V639)</f>
        <v>6.1979547824121072</v>
      </c>
      <c r="X639" s="85">
        <f>IF(B639="",0,IF(OR(H639=MappingTables!$C$34,H639=MappingTables!$C$35),W639,0))</f>
        <v>0</v>
      </c>
    </row>
    <row r="640" spans="2:24" s="0" customFormat="0" ht="15">
      <c r="B640" s="69">
        <v>24477235</v>
      </c>
      <c r="C640" s="70" t="s">
        <v>930</v>
      </c>
      <c r="D640" s="70" t="s">
        <v>1</v>
      </c>
      <c r="E640" s="70" t="s">
        <v>1</v>
      </c>
      <c r="F640" s="70"/>
      <c r="G640" s="70" t="s">
        <v>61</v>
      </c>
      <c r="H640" s="70" t="s">
        <v>178</v>
      </c>
      <c r="I640" s="70" t="s">
        <v>181</v>
      </c>
      <c r="J640" s="71">
        <f>IF(OR(I640=0,I640=""),"unrated",VLOOKUP(I640,MappingTables!$B$19:$C$31,2,FALSE))</f>
        <v>3</v>
      </c>
      <c r="K640" s="72">
        <v>784.480965520152</v>
      </c>
      <c r="L640" s="70">
        <v>16.812512653732814</v>
      </c>
      <c r="M640" s="71">
        <f>IF(L640&lt;1,1,L640)</f>
        <v>16.812512653732814</v>
      </c>
      <c r="N640" s="70" t="s">
        <v>141</v>
      </c>
      <c r="O640" s="71">
        <f>INDEX(DurClassMapping,MATCH(M640,MappingTables!$D$4:$D$8,-1),1)</f>
        <v>4</v>
      </c>
      <c r="P640" s="73">
        <f>IF(M640=$A$1,1,$M640-INDEX(MappingTables!$E$4:$E$8,MATCH(O640,MappingTables!$B$4:$B$8,0)))</f>
        <v>1.8125126537328136</v>
      </c>
      <c r="Q640" s="71">
        <f>IF(B640="",0,INDEX(ModelParameters!$D$6:$K$10,MATCH($O640,ModelParameters!$B$6:$B$10,0),MATCH($J640,ModelParameters!$D$5:$K$5,0)))</f>
        <v>0.01</v>
      </c>
      <c r="R640" s="71">
        <f>IF(B640="",0,INDEX(ModelParameters!$D$13:$K$17,MATCH($O640,ModelParameters!$B$13:$B$17,0),MATCH($J640,ModelParameters!$D$5:$K$5,0)))</f>
        <v>0.25</v>
      </c>
      <c r="S640" s="160">
        <f>IF(B640="",0,MIN(IF($N640="Other Bond TM",ModelParameters!$N$21,1)*(P640*Q640+R640),1))</f>
        <v>0.26812512653732812</v>
      </c>
      <c r="T640" s="85">
        <f>IF(B640="",0,$S640*$K640)</f>
        <v>210.33905814621612</v>
      </c>
      <c r="U640" s="85">
        <f>IF(B640="",0,IF(OR(H640=MappingTables!$C$34,H640=MappingTables!$C$35),T640,0))</f>
        <v>0</v>
      </c>
      <c r="V640" s="85">
        <f>IF(ISNA(IF(AND(VLOOKUP(CONCATENATE($D640,$G640),CSRFinput!$B:$E,4,0)=0,OR(H640=MappingTables!$C$34,H640=MappingTables!$C$35)),1,VLOOKUP(CONCATENATE($D640,$G640),CSRFinput!$B:$E,4,0))),0,IF(AND(VLOOKUP(CONCATENATE($D640,$G640),CSRFinput!$B:$E,4,0)=0,OR(H640=MappingTables!$C$34,H640=MappingTables!$C$35)),1,VLOOKUP(CONCATENATE($D640,$G640),CSRFinput!$B:$E,4,0)))</f>
        <v>0.054776304963434752</v>
      </c>
      <c r="W640" s="85">
        <f>IF(B640="",0,+$T640*$V640)</f>
        <v>11.521596394738768</v>
      </c>
      <c r="X640" s="85">
        <f>IF(B640="",0,IF(OR(H640=MappingTables!$C$34,H640=MappingTables!$C$35),W640,0))</f>
        <v>0</v>
      </c>
    </row>
    <row r="641" spans="2:24" s="0" customFormat="0" ht="15">
      <c r="B641" s="69" t="s">
        <v>931</v>
      </c>
      <c r="C641" s="70" t="s">
        <v>932</v>
      </c>
      <c r="D641" s="70" t="s">
        <v>1</v>
      </c>
      <c r="E641" s="70" t="s">
        <v>1</v>
      </c>
      <c r="F641" s="70"/>
      <c r="G641" s="70" t="s">
        <v>61</v>
      </c>
      <c r="H641" s="70" t="s">
        <v>178</v>
      </c>
      <c r="I641" s="70" t="s">
        <v>179</v>
      </c>
      <c r="J641" s="71">
        <f>IF(OR(I641=0,I641=""),"unrated",VLOOKUP(I641,MappingTables!$B$19:$C$31,2,FALSE))</f>
        <v>4</v>
      </c>
      <c r="K641" s="72">
        <v>1011.8958870463326</v>
      </c>
      <c r="L641" s="70">
        <v>0.084929085226237072</v>
      </c>
      <c r="M641" s="71">
        <f>IF(L641&lt;1,1,L641)</f>
        <v>1</v>
      </c>
      <c r="N641" s="70" t="s">
        <v>141</v>
      </c>
      <c r="O641" s="71">
        <f>INDEX(DurClassMapping,MATCH(M641,MappingTables!$D$4:$D$8,-1),1)</f>
        <v>1</v>
      </c>
      <c r="P641" s="73">
        <f>IF(M641=$A$1,1,$M641-INDEX(MappingTables!$E$4:$E$8,MATCH(O641,MappingTables!$B$4:$B$8,0)))</f>
        <v>1</v>
      </c>
      <c r="Q641" s="71">
        <f>IF(B641="",0,INDEX(ModelParameters!$D$6:$K$10,MATCH($O641,ModelParameters!$B$6:$B$10,0),MATCH($J641,ModelParameters!$D$5:$K$5,0)))</f>
        <v>0.045</v>
      </c>
      <c r="R641" s="71">
        <f>IF(B641="",0,INDEX(ModelParameters!$D$13:$K$17,MATCH($O641,ModelParameters!$B$13:$B$17,0),MATCH($J641,ModelParameters!$D$5:$K$5,0)))</f>
        <v>0</v>
      </c>
      <c r="S641" s="160">
        <f>IF(B641="",0,MIN(IF($N641="Other Bond TM",ModelParameters!$N$21,1)*(P641*Q641+R641),1))</f>
        <v>0.045</v>
      </c>
      <c r="T641" s="85">
        <f>IF(B641="",0,$S641*$K641)</f>
        <v>45.53531491708496</v>
      </c>
      <c r="U641" s="85">
        <f>IF(B641="",0,IF(OR(H641=MappingTables!$C$34,H641=MappingTables!$C$35),T641,0))</f>
        <v>0</v>
      </c>
      <c r="V641" s="85">
        <f>IF(ISNA(IF(AND(VLOOKUP(CONCATENATE($D641,$G641),CSRFinput!$B:$E,4,0)=0,OR(H641=MappingTables!$C$34,H641=MappingTables!$C$35)),1,VLOOKUP(CONCATENATE($D641,$G641),CSRFinput!$B:$E,4,0))),0,IF(AND(VLOOKUP(CONCATENATE($D641,$G641),CSRFinput!$B:$E,4,0)=0,OR(H641=MappingTables!$C$34,H641=MappingTables!$C$35)),1,VLOOKUP(CONCATENATE($D641,$G641),CSRFinput!$B:$E,4,0)))</f>
        <v>0.054776304963434752</v>
      </c>
      <c r="W641" s="85">
        <f>IF(B641="",0,+$T641*$V641)</f>
        <v>2.4942562965042856</v>
      </c>
      <c r="X641" s="85">
        <f>IF(B641="",0,IF(OR(H641=MappingTables!$C$34,H641=MappingTables!$C$35),W641,0))</f>
        <v>0</v>
      </c>
    </row>
    <row r="642" spans="2:24" s="0" customFormat="0" ht="15">
      <c r="B642" s="69">
        <v>12363288</v>
      </c>
      <c r="C642" s="70" t="s">
        <v>933</v>
      </c>
      <c r="D642" s="70" t="s">
        <v>1</v>
      </c>
      <c r="E642" s="70" t="s">
        <v>1</v>
      </c>
      <c r="F642" s="70"/>
      <c r="G642" s="70" t="s">
        <v>61</v>
      </c>
      <c r="H642" s="70" t="s">
        <v>178</v>
      </c>
      <c r="I642" s="70" t="s">
        <v>204</v>
      </c>
      <c r="J642" s="71">
        <f>IF(OR(I642=0,I642=""),"unrated",VLOOKUP(I642,MappingTables!$B$19:$C$31,2,FALSE))</f>
        <v>6</v>
      </c>
      <c r="K642" s="72">
        <v>1009.433305830042</v>
      </c>
      <c r="L642" s="70">
        <v>4.311508771174888</v>
      </c>
      <c r="M642" s="71">
        <f>IF(L642&lt;1,1,L642)</f>
        <v>4.311508771174888</v>
      </c>
      <c r="N642" s="70" t="s">
        <v>141</v>
      </c>
      <c r="O642" s="71">
        <f>INDEX(DurClassMapping,MATCH(M642,MappingTables!$D$4:$D$8,-1),1)</f>
        <v>1</v>
      </c>
      <c r="P642" s="73">
        <f>IF(M642=$A$1,1,$M642-INDEX(MappingTables!$E$4:$E$8,MATCH(O642,MappingTables!$B$4:$B$8,0)))</f>
        <v>4.311508771174888</v>
      </c>
      <c r="Q642" s="71">
        <f>IF(B642="",0,INDEX(ModelParameters!$D$6:$K$10,MATCH($O642,ModelParameters!$B$6:$B$10,0),MATCH($J642,ModelParameters!$D$5:$K$5,0)))</f>
        <v>0.075</v>
      </c>
      <c r="R642" s="71">
        <f>IF(B642="",0,INDEX(ModelParameters!$D$13:$K$17,MATCH($O642,ModelParameters!$B$13:$B$17,0),MATCH($J642,ModelParameters!$D$5:$K$5,0)))</f>
        <v>0</v>
      </c>
      <c r="S642" s="160">
        <f>IF(B642="",0,MIN(IF($N642="Other Bond TM",ModelParameters!$N$21,1)*(P642*Q642+R642),1))</f>
        <v>0.3233631578381166</v>
      </c>
      <c r="T642" s="85">
        <f>IF(B642="",0,$S642*$K642)</f>
        <v>326.41354140017164</v>
      </c>
      <c r="U642" s="85">
        <f>IF(B642="",0,IF(OR(H642=MappingTables!$C$34,H642=MappingTables!$C$35),T642,0))</f>
        <v>0</v>
      </c>
      <c r="V642" s="85">
        <f>IF(ISNA(IF(AND(VLOOKUP(CONCATENATE($D642,$G642),CSRFinput!$B:$E,4,0)=0,OR(H642=MappingTables!$C$34,H642=MappingTables!$C$35)),1,VLOOKUP(CONCATENATE($D642,$G642),CSRFinput!$B:$E,4,0))),0,IF(AND(VLOOKUP(CONCATENATE($D642,$G642),CSRFinput!$B:$E,4,0)=0,OR(H642=MappingTables!$C$34,H642=MappingTables!$C$35)),1,VLOOKUP(CONCATENATE($D642,$G642),CSRFinput!$B:$E,4,0)))</f>
        <v>0.054776304963434752</v>
      </c>
      <c r="W642" s="85">
        <f>IF(B642="",0,+$T642*$V642)</f>
        <v>17.879727687930536</v>
      </c>
      <c r="X642" s="85">
        <f>IF(B642="",0,IF(OR(H642=MappingTables!$C$34,H642=MappingTables!$C$35),W642,0))</f>
        <v>0</v>
      </c>
    </row>
    <row r="643" spans="2:24" s="0" customFormat="0" ht="15">
      <c r="B643" s="69" t="s">
        <v>934</v>
      </c>
      <c r="C643" s="70" t="s">
        <v>935</v>
      </c>
      <c r="D643" s="70" t="s">
        <v>1</v>
      </c>
      <c r="E643" s="70" t="s">
        <v>1</v>
      </c>
      <c r="F643" s="70"/>
      <c r="G643" s="70" t="s">
        <v>61</v>
      </c>
      <c r="H643" s="70" t="s">
        <v>178</v>
      </c>
      <c r="I643" s="70" t="s">
        <v>513</v>
      </c>
      <c r="J643" s="71">
        <f>IF(OR(I643=0,I643=""),"unrated",VLOOKUP(I643,MappingTables!$B$19:$C$31,2,FALSE))</f>
        <v>6</v>
      </c>
      <c r="K643" s="72">
        <v>383.70591797739008</v>
      </c>
      <c r="L643" s="70">
        <v>2.5376514304858308</v>
      </c>
      <c r="M643" s="71">
        <f>IF(L643&lt;1,1,L643)</f>
        <v>2.5376514304858308</v>
      </c>
      <c r="N643" s="70" t="s">
        <v>141</v>
      </c>
      <c r="O643" s="71">
        <f>INDEX(DurClassMapping,MATCH(M643,MappingTables!$D$4:$D$8,-1),1)</f>
        <v>1</v>
      </c>
      <c r="P643" s="73">
        <f>IF(M643=$A$1,1,$M643-INDEX(MappingTables!$E$4:$E$8,MATCH(O643,MappingTables!$B$4:$B$8,0)))</f>
        <v>2.5376514304858308</v>
      </c>
      <c r="Q643" s="71">
        <f>IF(B643="",0,INDEX(ModelParameters!$D$6:$K$10,MATCH($O643,ModelParameters!$B$6:$B$10,0),MATCH($J643,ModelParameters!$D$5:$K$5,0)))</f>
        <v>0.075</v>
      </c>
      <c r="R643" s="71">
        <f>IF(B643="",0,INDEX(ModelParameters!$D$13:$K$17,MATCH($O643,ModelParameters!$B$13:$B$17,0),MATCH($J643,ModelParameters!$D$5:$K$5,0)))</f>
        <v>0</v>
      </c>
      <c r="S643" s="160">
        <f>IF(B643="",0,MIN(IF($N643="Other Bond TM",ModelParameters!$N$21,1)*(P643*Q643+R643),1))</f>
        <v>0.19032385728643732</v>
      </c>
      <c r="T643" s="85">
        <f>IF(B643="",0,$S643*$K643)</f>
        <v>73.028390373090208</v>
      </c>
      <c r="U643" s="85">
        <f>IF(B643="",0,IF(OR(H643=MappingTables!$C$34,H643=MappingTables!$C$35),T643,0))</f>
        <v>0</v>
      </c>
      <c r="V643" s="85">
        <f>IF(ISNA(IF(AND(VLOOKUP(CONCATENATE($D643,$G643),CSRFinput!$B:$E,4,0)=0,OR(H643=MappingTables!$C$34,H643=MappingTables!$C$35)),1,VLOOKUP(CONCATENATE($D643,$G643),CSRFinput!$B:$E,4,0))),0,IF(AND(VLOOKUP(CONCATENATE($D643,$G643),CSRFinput!$B:$E,4,0)=0,OR(H643=MappingTables!$C$34,H643=MappingTables!$C$35)),1,VLOOKUP(CONCATENATE($D643,$G643),CSRFinput!$B:$E,4,0)))</f>
        <v>0.054776304963434752</v>
      </c>
      <c r="W643" s="85">
        <f>IF(B643="",0,+$T643*$V643)</f>
        <v>4.0002253820651512</v>
      </c>
      <c r="X643" s="85">
        <f>IF(B643="",0,IF(OR(H643=MappingTables!$C$34,H643=MappingTables!$C$35),W643,0))</f>
        <v>0</v>
      </c>
    </row>
    <row r="644" spans="2:24" s="0" customFormat="0" ht="15">
      <c r="B644" s="69">
        <v>23264061</v>
      </c>
      <c r="C644" s="70" t="s">
        <v>936</v>
      </c>
      <c r="D644" s="70" t="s">
        <v>1</v>
      </c>
      <c r="E644" s="70" t="s">
        <v>1</v>
      </c>
      <c r="F644" s="70"/>
      <c r="G644" s="70" t="s">
        <v>61</v>
      </c>
      <c r="H644" s="70" t="s">
        <v>178</v>
      </c>
      <c r="I644" s="70" t="s">
        <v>220</v>
      </c>
      <c r="J644" s="71">
        <f>IF(OR(I644=0,I644=""),"unrated",VLOOKUP(I644,MappingTables!$B$19:$C$31,2,FALSE))</f>
        <v>1</v>
      </c>
      <c r="K644" s="72">
        <v>3022.7554408479744</v>
      </c>
      <c r="L644" s="70">
        <v>0.15342695164701988</v>
      </c>
      <c r="M644" s="71">
        <f>IF(L644&lt;1,1,L644)</f>
        <v>1</v>
      </c>
      <c r="N644" s="70" t="s">
        <v>141</v>
      </c>
      <c r="O644" s="71">
        <f>INDEX(DurClassMapping,MATCH(M644,MappingTables!$D$4:$D$8,-1),1)</f>
        <v>1</v>
      </c>
      <c r="P644" s="73">
        <f>IF(M644=$A$1,1,$M644-INDEX(MappingTables!$E$4:$E$8,MATCH(O644,MappingTables!$B$4:$B$8,0)))</f>
        <v>1</v>
      </c>
      <c r="Q644" s="71">
        <f>IF(B644="",0,INDEX(ModelParameters!$D$6:$K$10,MATCH($O644,ModelParameters!$B$6:$B$10,0),MATCH($J644,ModelParameters!$D$5:$K$5,0)))</f>
        <v>0.011000000000000002</v>
      </c>
      <c r="R644" s="71">
        <f>IF(B644="",0,INDEX(ModelParameters!$D$13:$K$17,MATCH($O644,ModelParameters!$B$13:$B$17,0),MATCH($J644,ModelParameters!$D$5:$K$5,0)))</f>
        <v>0</v>
      </c>
      <c r="S644" s="160">
        <f>IF(B644="",0,MIN(IF($N644="Other Bond TM",ModelParameters!$N$21,1)*(P644*Q644+R644),1))</f>
        <v>0.011000000000000002</v>
      </c>
      <c r="T644" s="85">
        <f>IF(B644="",0,$S644*$K644)</f>
        <v>33.25030984932772</v>
      </c>
      <c r="U644" s="85">
        <f>IF(B644="",0,IF(OR(H644=MappingTables!$C$34,H644=MappingTables!$C$35),T644,0))</f>
        <v>0</v>
      </c>
      <c r="V644" s="85">
        <f>IF(ISNA(IF(AND(VLOOKUP(CONCATENATE($D644,$G644),CSRFinput!$B:$E,4,0)=0,OR(H644=MappingTables!$C$34,H644=MappingTables!$C$35)),1,VLOOKUP(CONCATENATE($D644,$G644),CSRFinput!$B:$E,4,0))),0,IF(AND(VLOOKUP(CONCATENATE($D644,$G644),CSRFinput!$B:$E,4,0)=0,OR(H644=MappingTables!$C$34,H644=MappingTables!$C$35)),1,VLOOKUP(CONCATENATE($D644,$G644),CSRFinput!$B:$E,4,0)))</f>
        <v>0.054776304963434752</v>
      </c>
      <c r="W644" s="85">
        <f>IF(B644="",0,+$T644*$V644)</f>
        <v>1.8213291124354736</v>
      </c>
      <c r="X644" s="85">
        <f>IF(B644="",0,IF(OR(H644=MappingTables!$C$34,H644=MappingTables!$C$35),W644,0))</f>
        <v>0</v>
      </c>
    </row>
    <row r="645" spans="2:24" s="0" customFormat="0" ht="15">
      <c r="B645" s="69">
        <v>17830015</v>
      </c>
      <c r="C645" s="70" t="s">
        <v>937</v>
      </c>
      <c r="D645" s="70" t="s">
        <v>1</v>
      </c>
      <c r="E645" s="70" t="s">
        <v>1</v>
      </c>
      <c r="F645" s="70"/>
      <c r="G645" s="70" t="s">
        <v>61</v>
      </c>
      <c r="H645" s="70" t="s">
        <v>178</v>
      </c>
      <c r="I645" s="70" t="s">
        <v>220</v>
      </c>
      <c r="J645" s="71">
        <f>IF(OR(I645=0,I645=""),"unrated",VLOOKUP(I645,MappingTables!$B$19:$C$31,2,FALSE))</f>
        <v>1</v>
      </c>
      <c r="K645" s="72">
        <v>680.72670531938696</v>
      </c>
      <c r="L645" s="70">
        <v>0.73306869676412288</v>
      </c>
      <c r="M645" s="71">
        <f>IF(L645&lt;1,1,L645)</f>
        <v>1</v>
      </c>
      <c r="N645" s="70" t="s">
        <v>141</v>
      </c>
      <c r="O645" s="71">
        <f>INDEX(DurClassMapping,MATCH(M645,MappingTables!$D$4:$D$8,-1),1)</f>
        <v>1</v>
      </c>
      <c r="P645" s="73">
        <f>IF(M645=$A$1,1,$M645-INDEX(MappingTables!$E$4:$E$8,MATCH(O645,MappingTables!$B$4:$B$8,0)))</f>
        <v>1</v>
      </c>
      <c r="Q645" s="71">
        <f>IF(B645="",0,INDEX(ModelParameters!$D$6:$K$10,MATCH($O645,ModelParameters!$B$6:$B$10,0),MATCH($J645,ModelParameters!$D$5:$K$5,0)))</f>
        <v>0.011000000000000002</v>
      </c>
      <c r="R645" s="71">
        <f>IF(B645="",0,INDEX(ModelParameters!$D$13:$K$17,MATCH($O645,ModelParameters!$B$13:$B$17,0),MATCH($J645,ModelParameters!$D$5:$K$5,0)))</f>
        <v>0</v>
      </c>
      <c r="S645" s="160">
        <f>IF(B645="",0,MIN(IF($N645="Other Bond TM",ModelParameters!$N$21,1)*(P645*Q645+R645),1))</f>
        <v>0.011000000000000002</v>
      </c>
      <c r="T645" s="85">
        <f>IF(B645="",0,$S645*$K645)</f>
        <v>7.4879937585132576</v>
      </c>
      <c r="U645" s="85">
        <f>IF(B645="",0,IF(OR(H645=MappingTables!$C$34,H645=MappingTables!$C$35),T645,0))</f>
        <v>0</v>
      </c>
      <c r="V645" s="85">
        <f>IF(ISNA(IF(AND(VLOOKUP(CONCATENATE($D645,$G645),CSRFinput!$B:$E,4,0)=0,OR(H645=MappingTables!$C$34,H645=MappingTables!$C$35)),1,VLOOKUP(CONCATENATE($D645,$G645),CSRFinput!$B:$E,4,0))),0,IF(AND(VLOOKUP(CONCATENATE($D645,$G645),CSRFinput!$B:$E,4,0)=0,OR(H645=MappingTables!$C$34,H645=MappingTables!$C$35)),1,VLOOKUP(CONCATENATE($D645,$G645),CSRFinput!$B:$E,4,0)))</f>
        <v>0.054776304963434752</v>
      </c>
      <c r="W645" s="85">
        <f>IF(B645="",0,+$T645*$V645)</f>
        <v>0.41016462968061816</v>
      </c>
      <c r="X645" s="85">
        <f>IF(B645="",0,IF(OR(H645=MappingTables!$C$34,H645=MappingTables!$C$35),W645,0))</f>
        <v>0</v>
      </c>
    </row>
    <row r="646" spans="2:24" s="0" customFormat="0" ht="15">
      <c r="B646" s="69" t="s">
        <v>938</v>
      </c>
      <c r="C646" s="70" t="s">
        <v>939</v>
      </c>
      <c r="D646" s="70" t="s">
        <v>1</v>
      </c>
      <c r="E646" s="70" t="s">
        <v>1</v>
      </c>
      <c r="F646" s="70"/>
      <c r="G646" s="70" t="s">
        <v>61</v>
      </c>
      <c r="H646" s="70" t="s">
        <v>178</v>
      </c>
      <c r="I646" s="70" t="s">
        <v>184</v>
      </c>
      <c r="J646" s="71">
        <f>IF(OR(I646=0,I646=""),"unrated",VLOOKUP(I646,MappingTables!$B$19:$C$31,2,FALSE))</f>
        <v>5</v>
      </c>
      <c r="K646" s="72">
        <v>214.8792489441262</v>
      </c>
      <c r="L646" s="70">
        <v>3.8675392695304624</v>
      </c>
      <c r="M646" s="71">
        <f>IF(L646&lt;1,1,L646)</f>
        <v>3.8675392695304624</v>
      </c>
      <c r="N646" s="70" t="s">
        <v>141</v>
      </c>
      <c r="O646" s="71">
        <f>INDEX(DurClassMapping,MATCH(M646,MappingTables!$D$4:$D$8,-1),1)</f>
        <v>1</v>
      </c>
      <c r="P646" s="73">
        <f>IF(M646=$A$1,1,$M646-INDEX(MappingTables!$E$4:$E$8,MATCH(O646,MappingTables!$B$4:$B$8,0)))</f>
        <v>3.8675392695304624</v>
      </c>
      <c r="Q646" s="71">
        <f>IF(B646="",0,INDEX(ModelParameters!$D$6:$K$10,MATCH($O646,ModelParameters!$B$6:$B$10,0),MATCH($J646,ModelParameters!$D$5:$K$5,0)))</f>
        <v>0.075</v>
      </c>
      <c r="R646" s="71">
        <f>IF(B646="",0,INDEX(ModelParameters!$D$13:$K$17,MATCH($O646,ModelParameters!$B$13:$B$17,0),MATCH($J646,ModelParameters!$D$5:$K$5,0)))</f>
        <v>0</v>
      </c>
      <c r="S646" s="160">
        <f>IF(B646="",0,MIN(IF($N646="Other Bond TM",ModelParameters!$N$21,1)*(P646*Q646+R646),1))</f>
        <v>0.29006544521478468</v>
      </c>
      <c r="T646" s="85">
        <f>IF(B646="",0,$S646*$K646)</f>
        <v>62.329045012396512</v>
      </c>
      <c r="U646" s="85">
        <f>IF(B646="",0,IF(OR(H646=MappingTables!$C$34,H646=MappingTables!$C$35),T646,0))</f>
        <v>0</v>
      </c>
      <c r="V646" s="85">
        <f>IF(ISNA(IF(AND(VLOOKUP(CONCATENATE($D646,$G646),CSRFinput!$B:$E,4,0)=0,OR(H646=MappingTables!$C$34,H646=MappingTables!$C$35)),1,VLOOKUP(CONCATENATE($D646,$G646),CSRFinput!$B:$E,4,0))),0,IF(AND(VLOOKUP(CONCATENATE($D646,$G646),CSRFinput!$B:$E,4,0)=0,OR(H646=MappingTables!$C$34,H646=MappingTables!$C$35)),1,VLOOKUP(CONCATENATE($D646,$G646),CSRFinput!$B:$E,4,0)))</f>
        <v>0.054776304963434752</v>
      </c>
      <c r="W646" s="85">
        <f>IF(B646="",0,+$T646*$V646)</f>
        <v>3.4141547776786832</v>
      </c>
      <c r="X646" s="85">
        <f>IF(B646="",0,IF(OR(H646=MappingTables!$C$34,H646=MappingTables!$C$35),W646,0))</f>
        <v>0</v>
      </c>
    </row>
    <row r="647" spans="2:24" s="0" customFormat="0" ht="15">
      <c r="B647" s="69">
        <v>12553441</v>
      </c>
      <c r="C647" s="70" t="s">
        <v>608</v>
      </c>
      <c r="D647" s="70" t="s">
        <v>1</v>
      </c>
      <c r="E647" s="70" t="s">
        <v>1</v>
      </c>
      <c r="F647" s="70"/>
      <c r="G647" s="70" t="s">
        <v>61</v>
      </c>
      <c r="H647" s="70" t="s">
        <v>178</v>
      </c>
      <c r="I647" s="70" t="s">
        <v>181</v>
      </c>
      <c r="J647" s="71">
        <f>IF(OR(I647=0,I647=""),"unrated",VLOOKUP(I647,MappingTables!$B$19:$C$31,2,FALSE))</f>
        <v>3</v>
      </c>
      <c r="K647" s="72">
        <v>67.780227762989512</v>
      </c>
      <c r="L647" s="70">
        <v>0.69348021183244712</v>
      </c>
      <c r="M647" s="71">
        <f>IF(L647&lt;1,1,L647)</f>
        <v>1</v>
      </c>
      <c r="N647" s="70" t="s">
        <v>141</v>
      </c>
      <c r="O647" s="71">
        <f>INDEX(DurClassMapping,MATCH(M647,MappingTables!$D$4:$D$8,-1),1)</f>
        <v>1</v>
      </c>
      <c r="P647" s="73">
        <f>IF(M647=$A$1,1,$M647-INDEX(MappingTables!$E$4:$E$8,MATCH(O647,MappingTables!$B$4:$B$8,0)))</f>
        <v>1</v>
      </c>
      <c r="Q647" s="71">
        <f>IF(B647="",0,INDEX(ModelParameters!$D$6:$K$10,MATCH($O647,ModelParameters!$B$6:$B$10,0),MATCH($J647,ModelParameters!$D$5:$K$5,0)))</f>
        <v>0.025</v>
      </c>
      <c r="R647" s="71">
        <f>IF(B647="",0,INDEX(ModelParameters!$D$13:$K$17,MATCH($O647,ModelParameters!$B$13:$B$17,0),MATCH($J647,ModelParameters!$D$5:$K$5,0)))</f>
        <v>0</v>
      </c>
      <c r="S647" s="160">
        <f>IF(B647="",0,MIN(IF($N647="Other Bond TM",ModelParameters!$N$21,1)*(P647*Q647+R647),1))</f>
        <v>0.025</v>
      </c>
      <c r="T647" s="85">
        <f>IF(B647="",0,$S647*$K647)</f>
        <v>1.6945056940747378</v>
      </c>
      <c r="U647" s="85">
        <f>IF(B647="",0,IF(OR(H647=MappingTables!$C$34,H647=MappingTables!$C$35),T647,0))</f>
        <v>0</v>
      </c>
      <c r="V647" s="85">
        <f>IF(ISNA(IF(AND(VLOOKUP(CONCATENATE($D647,$G647),CSRFinput!$B:$E,4,0)=0,OR(H647=MappingTables!$C$34,H647=MappingTables!$C$35)),1,VLOOKUP(CONCATENATE($D647,$G647),CSRFinput!$B:$E,4,0))),0,IF(AND(VLOOKUP(CONCATENATE($D647,$G647),CSRFinput!$B:$E,4,0)=0,OR(H647=MappingTables!$C$34,H647=MappingTables!$C$35)),1,VLOOKUP(CONCATENATE($D647,$G647),CSRFinput!$B:$E,4,0)))</f>
        <v>0.054776304963434752</v>
      </c>
      <c r="W647" s="85">
        <f>IF(B647="",0,+$T647*$V647)</f>
        <v>0.092818760660914512</v>
      </c>
      <c r="X647" s="85">
        <f>IF(B647="",0,IF(OR(H647=MappingTables!$C$34,H647=MappingTables!$C$35),W647,0))</f>
        <v>0</v>
      </c>
    </row>
    <row r="648" spans="2:24" s="0" customFormat="0" ht="15">
      <c r="B648" s="69">
        <v>4082359</v>
      </c>
      <c r="C648" s="70" t="s">
        <v>940</v>
      </c>
      <c r="D648" s="70" t="s">
        <v>1</v>
      </c>
      <c r="E648" s="70" t="s">
        <v>1</v>
      </c>
      <c r="F648" s="70"/>
      <c r="G648" s="70" t="s">
        <v>61</v>
      </c>
      <c r="H648" s="70" t="s">
        <v>178</v>
      </c>
      <c r="I648" s="70" t="s">
        <v>179</v>
      </c>
      <c r="J648" s="71">
        <f>IF(OR(I648=0,I648=""),"unrated",VLOOKUP(I648,MappingTables!$B$19:$C$31,2,FALSE))</f>
        <v>4</v>
      </c>
      <c r="K648" s="72">
        <v>3176.8993779862088</v>
      </c>
      <c r="L648" s="70">
        <v>0.86199902575676752</v>
      </c>
      <c r="M648" s="71">
        <f>IF(L648&lt;1,1,L648)</f>
        <v>1</v>
      </c>
      <c r="N648" s="70" t="s">
        <v>141</v>
      </c>
      <c r="O648" s="71">
        <f>INDEX(DurClassMapping,MATCH(M648,MappingTables!$D$4:$D$8,-1),1)</f>
        <v>1</v>
      </c>
      <c r="P648" s="73">
        <f>IF(M648=$A$1,1,$M648-INDEX(MappingTables!$E$4:$E$8,MATCH(O648,MappingTables!$B$4:$B$8,0)))</f>
        <v>1</v>
      </c>
      <c r="Q648" s="71">
        <f>IF(B648="",0,INDEX(ModelParameters!$D$6:$K$10,MATCH($O648,ModelParameters!$B$6:$B$10,0),MATCH($J648,ModelParameters!$D$5:$K$5,0)))</f>
        <v>0.045</v>
      </c>
      <c r="R648" s="71">
        <f>IF(B648="",0,INDEX(ModelParameters!$D$13:$K$17,MATCH($O648,ModelParameters!$B$13:$B$17,0),MATCH($J648,ModelParameters!$D$5:$K$5,0)))</f>
        <v>0</v>
      </c>
      <c r="S648" s="160">
        <f>IF(B648="",0,MIN(IF($N648="Other Bond TM",ModelParameters!$N$21,1)*(P648*Q648+R648),1))</f>
        <v>0.045</v>
      </c>
      <c r="T648" s="85">
        <f>IF(B648="",0,$S648*$K648)</f>
        <v>142.9604720093794</v>
      </c>
      <c r="U648" s="85">
        <f>IF(B648="",0,IF(OR(H648=MappingTables!$C$34,H648=MappingTables!$C$35),T648,0))</f>
        <v>0</v>
      </c>
      <c r="V648" s="85">
        <f>IF(ISNA(IF(AND(VLOOKUP(CONCATENATE($D648,$G648),CSRFinput!$B:$E,4,0)=0,OR(H648=MappingTables!$C$34,H648=MappingTables!$C$35)),1,VLOOKUP(CONCATENATE($D648,$G648),CSRFinput!$B:$E,4,0))),0,IF(AND(VLOOKUP(CONCATENATE($D648,$G648),CSRFinput!$B:$E,4,0)=0,OR(H648=MappingTables!$C$34,H648=MappingTables!$C$35)),1,VLOOKUP(CONCATENATE($D648,$G648),CSRFinput!$B:$E,4,0)))</f>
        <v>0.054776304963434752</v>
      </c>
      <c r="W648" s="85">
        <f>IF(B648="",0,+$T648*$V648)</f>
        <v>7.830846412502344</v>
      </c>
      <c r="X648" s="85">
        <f>IF(B648="",0,IF(OR(H648=MappingTables!$C$34,H648=MappingTables!$C$35),W648,0))</f>
        <v>0</v>
      </c>
    </row>
    <row r="649" spans="2:24" s="0" customFormat="0" ht="15">
      <c r="B649" s="69">
        <v>21917532</v>
      </c>
      <c r="C649" s="70" t="s">
        <v>941</v>
      </c>
      <c r="D649" s="70" t="s">
        <v>1</v>
      </c>
      <c r="E649" s="70" t="s">
        <v>1</v>
      </c>
      <c r="F649" s="70"/>
      <c r="G649" s="70" t="s">
        <v>61</v>
      </c>
      <c r="H649" s="70" t="s">
        <v>178</v>
      </c>
      <c r="I649" s="70" t="s">
        <v>188</v>
      </c>
      <c r="J649" s="71">
        <f>IF(OR(I649=0,I649=""),"unrated",VLOOKUP(I649,MappingTables!$B$19:$C$31,2,FALSE))</f>
        <v>2</v>
      </c>
      <c r="K649" s="72">
        <v>460.92972389174472</v>
      </c>
      <c r="L649" s="70">
        <v>1.0285937831986496</v>
      </c>
      <c r="M649" s="71">
        <f>IF(L649&lt;1,1,L649)</f>
        <v>1.0285937831986496</v>
      </c>
      <c r="N649" s="70" t="s">
        <v>141</v>
      </c>
      <c r="O649" s="71">
        <f>INDEX(DurClassMapping,MATCH(M649,MappingTables!$D$4:$D$8,-1),1)</f>
        <v>1</v>
      </c>
      <c r="P649" s="73">
        <f>IF(M649=$A$1,1,$M649-INDEX(MappingTables!$E$4:$E$8,MATCH(O649,MappingTables!$B$4:$B$8,0)))</f>
        <v>1.0285937831986496</v>
      </c>
      <c r="Q649" s="71">
        <f>IF(B649="",0,INDEX(ModelParameters!$D$6:$K$10,MATCH($O649,ModelParameters!$B$6:$B$10,0),MATCH($J649,ModelParameters!$D$5:$K$5,0)))</f>
        <v>0.013999999999999998</v>
      </c>
      <c r="R649" s="71">
        <f>IF(B649="",0,INDEX(ModelParameters!$D$13:$K$17,MATCH($O649,ModelParameters!$B$13:$B$17,0),MATCH($J649,ModelParameters!$D$5:$K$5,0)))</f>
        <v>0</v>
      </c>
      <c r="S649" s="160">
        <f>IF(B649="",0,MIN(IF($N649="Other Bond TM",ModelParameters!$N$21,1)*(P649*Q649+R649),1))</f>
        <v>0.014400312964781092</v>
      </c>
      <c r="T649" s="85">
        <f>IF(B649="",0,$S649*$K649)</f>
        <v>6.63753227881126</v>
      </c>
      <c r="U649" s="85">
        <f>IF(B649="",0,IF(OR(H649=MappingTables!$C$34,H649=MappingTables!$C$35),T649,0))</f>
        <v>0</v>
      </c>
      <c r="V649" s="85">
        <f>IF(ISNA(IF(AND(VLOOKUP(CONCATENATE($D649,$G649),CSRFinput!$B:$E,4,0)=0,OR(H649=MappingTables!$C$34,H649=MappingTables!$C$35)),1,VLOOKUP(CONCATENATE($D649,$G649),CSRFinput!$B:$E,4,0))),0,IF(AND(VLOOKUP(CONCATENATE($D649,$G649),CSRFinput!$B:$E,4,0)=0,OR(H649=MappingTables!$C$34,H649=MappingTables!$C$35)),1,VLOOKUP(CONCATENATE($D649,$G649),CSRFinput!$B:$E,4,0)))</f>
        <v>0.054776304963434752</v>
      </c>
      <c r="W649" s="85">
        <f>IF(B649="",0,+$T649*$V649)</f>
        <v>0.3635794923088076</v>
      </c>
      <c r="X649" s="85">
        <f>IF(B649="",0,IF(OR(H649=MappingTables!$C$34,H649=MappingTables!$C$35),W649,0))</f>
        <v>0</v>
      </c>
    </row>
    <row r="650" spans="2:24" s="0" customFormat="0" ht="15">
      <c r="B650" s="69">
        <v>19697125</v>
      </c>
      <c r="C650" s="70" t="s">
        <v>942</v>
      </c>
      <c r="D650" s="70" t="s">
        <v>1</v>
      </c>
      <c r="E650" s="70" t="s">
        <v>1</v>
      </c>
      <c r="F650" s="70"/>
      <c r="G650" s="70" t="s">
        <v>61</v>
      </c>
      <c r="H650" s="70" t="s">
        <v>178</v>
      </c>
      <c r="I650" s="70" t="s">
        <v>184</v>
      </c>
      <c r="J650" s="71">
        <f>IF(OR(I650=0,I650=""),"unrated",VLOOKUP(I650,MappingTables!$B$19:$C$31,2,FALSE))</f>
        <v>5</v>
      </c>
      <c r="K650" s="72">
        <v>16.044296534467918</v>
      </c>
      <c r="L650" s="70">
        <v>0.29314557267751984</v>
      </c>
      <c r="M650" s="71">
        <f>IF(L650&lt;1,1,L650)</f>
        <v>1</v>
      </c>
      <c r="N650" s="70" t="s">
        <v>141</v>
      </c>
      <c r="O650" s="71">
        <f>INDEX(DurClassMapping,MATCH(M650,MappingTables!$D$4:$D$8,-1),1)</f>
        <v>1</v>
      </c>
      <c r="P650" s="73">
        <f>IF(M650=$A$1,1,$M650-INDEX(MappingTables!$E$4:$E$8,MATCH(O650,MappingTables!$B$4:$B$8,0)))</f>
        <v>1</v>
      </c>
      <c r="Q650" s="71">
        <f>IF(B650="",0,INDEX(ModelParameters!$D$6:$K$10,MATCH($O650,ModelParameters!$B$6:$B$10,0),MATCH($J650,ModelParameters!$D$5:$K$5,0)))</f>
        <v>0.075</v>
      </c>
      <c r="R650" s="71">
        <f>IF(B650="",0,INDEX(ModelParameters!$D$13:$K$17,MATCH($O650,ModelParameters!$B$13:$B$17,0),MATCH($J650,ModelParameters!$D$5:$K$5,0)))</f>
        <v>0</v>
      </c>
      <c r="S650" s="160">
        <f>IF(B650="",0,MIN(IF($N650="Other Bond TM",ModelParameters!$N$21,1)*(P650*Q650+R650),1))</f>
        <v>0.075</v>
      </c>
      <c r="T650" s="85">
        <f>IF(B650="",0,$S650*$K650)</f>
        <v>1.2033222400850938</v>
      </c>
      <c r="U650" s="85">
        <f>IF(B650="",0,IF(OR(H650=MappingTables!$C$34,H650=MappingTables!$C$35),T650,0))</f>
        <v>0</v>
      </c>
      <c r="V650" s="85">
        <f>IF(ISNA(IF(AND(VLOOKUP(CONCATENATE($D650,$G650),CSRFinput!$B:$E,4,0)=0,OR(H650=MappingTables!$C$34,H650=MappingTables!$C$35)),1,VLOOKUP(CONCATENATE($D650,$G650),CSRFinput!$B:$E,4,0))),0,IF(AND(VLOOKUP(CONCATENATE($D650,$G650),CSRFinput!$B:$E,4,0)=0,OR(H650=MappingTables!$C$34,H650=MappingTables!$C$35)),1,VLOOKUP(CONCATENATE($D650,$G650),CSRFinput!$B:$E,4,0)))</f>
        <v>0.054776304963434752</v>
      </c>
      <c r="W650" s="85">
        <f>IF(B650="",0,+$T650*$V650)</f>
        <v>0.065913545992184544</v>
      </c>
      <c r="X650" s="85">
        <f>IF(B650="",0,IF(OR(H650=MappingTables!$C$34,H650=MappingTables!$C$35),W650,0))</f>
        <v>0</v>
      </c>
    </row>
    <row r="651" spans="2:24" s="0" customFormat="0" ht="15">
      <c r="B651" s="69">
        <v>22554255</v>
      </c>
      <c r="C651" s="70" t="s">
        <v>943</v>
      </c>
      <c r="D651" s="70" t="s">
        <v>1</v>
      </c>
      <c r="E651" s="70" t="s">
        <v>1</v>
      </c>
      <c r="F651" s="70"/>
      <c r="G651" s="70" t="s">
        <v>61</v>
      </c>
      <c r="H651" s="70" t="s">
        <v>178</v>
      </c>
      <c r="I651" s="70" t="s">
        <v>220</v>
      </c>
      <c r="J651" s="71">
        <f>IF(OR(I651=0,I651=""),"unrated",VLOOKUP(I651,MappingTables!$B$19:$C$31,2,FALSE))</f>
        <v>1</v>
      </c>
      <c r="K651" s="72">
        <v>733.09103100200576</v>
      </c>
      <c r="L651" s="70">
        <v>1.1491117651152352</v>
      </c>
      <c r="M651" s="71">
        <f>IF(L651&lt;1,1,L651)</f>
        <v>1.1491117651152352</v>
      </c>
      <c r="N651" s="70" t="s">
        <v>141</v>
      </c>
      <c r="O651" s="71">
        <f>INDEX(DurClassMapping,MATCH(M651,MappingTables!$D$4:$D$8,-1),1)</f>
        <v>1</v>
      </c>
      <c r="P651" s="73">
        <f>IF(M651=$A$1,1,$M651-INDEX(MappingTables!$E$4:$E$8,MATCH(O651,MappingTables!$B$4:$B$8,0)))</f>
        <v>1.1491117651152352</v>
      </c>
      <c r="Q651" s="71">
        <f>IF(B651="",0,INDEX(ModelParameters!$D$6:$K$10,MATCH($O651,ModelParameters!$B$6:$B$10,0),MATCH($J651,ModelParameters!$D$5:$K$5,0)))</f>
        <v>0.011000000000000002</v>
      </c>
      <c r="R651" s="71">
        <f>IF(B651="",0,INDEX(ModelParameters!$D$13:$K$17,MATCH($O651,ModelParameters!$B$13:$B$17,0),MATCH($J651,ModelParameters!$D$5:$K$5,0)))</f>
        <v>0</v>
      </c>
      <c r="S651" s="160">
        <f>IF(B651="",0,MIN(IF($N651="Other Bond TM",ModelParameters!$N$21,1)*(P651*Q651+R651),1))</f>
        <v>0.012640229416267588</v>
      </c>
      <c r="T651" s="85">
        <f>IF(B651="",0,$S651*$K651)</f>
        <v>9.266438814873488</v>
      </c>
      <c r="U651" s="85">
        <f>IF(B651="",0,IF(OR(H651=MappingTables!$C$34,H651=MappingTables!$C$35),T651,0))</f>
        <v>0</v>
      </c>
      <c r="V651" s="85">
        <f>IF(ISNA(IF(AND(VLOOKUP(CONCATENATE($D651,$G651),CSRFinput!$B:$E,4,0)=0,OR(H651=MappingTables!$C$34,H651=MappingTables!$C$35)),1,VLOOKUP(CONCATENATE($D651,$G651),CSRFinput!$B:$E,4,0))),0,IF(AND(VLOOKUP(CONCATENATE($D651,$G651),CSRFinput!$B:$E,4,0)=0,OR(H651=MappingTables!$C$34,H651=MappingTables!$C$35)),1,VLOOKUP(CONCATENATE($D651,$G651),CSRFinput!$B:$E,4,0)))</f>
        <v>0.054776304963434752</v>
      </c>
      <c r="W651" s="85">
        <f>IF(B651="",0,+$T651*$V651)</f>
        <v>0.50758127844851904</v>
      </c>
      <c r="X651" s="85">
        <f>IF(B651="",0,IF(OR(H651=MappingTables!$C$34,H651=MappingTables!$C$35),W651,0))</f>
        <v>0</v>
      </c>
    </row>
    <row r="652" spans="2:24" s="0" customFormat="0" ht="15">
      <c r="B652" s="69">
        <v>12641065</v>
      </c>
      <c r="C652" s="70" t="s">
        <v>944</v>
      </c>
      <c r="D652" s="70" t="s">
        <v>1</v>
      </c>
      <c r="E652" s="70" t="s">
        <v>1</v>
      </c>
      <c r="F652" s="70"/>
      <c r="G652" s="70" t="s">
        <v>61</v>
      </c>
      <c r="H652" s="70" t="s">
        <v>178</v>
      </c>
      <c r="I652" s="70" t="s">
        <v>181</v>
      </c>
      <c r="J652" s="71">
        <f>IF(OR(I652=0,I652=""),"unrated",VLOOKUP(I652,MappingTables!$B$19:$C$31,2,FALSE))</f>
        <v>3</v>
      </c>
      <c r="K652" s="72">
        <v>573.06828644158032</v>
      </c>
      <c r="L652" s="70">
        <v>0.65536385084432656</v>
      </c>
      <c r="M652" s="71">
        <f>IF(L652&lt;1,1,L652)</f>
        <v>1</v>
      </c>
      <c r="N652" s="70" t="s">
        <v>141</v>
      </c>
      <c r="O652" s="71">
        <f>INDEX(DurClassMapping,MATCH(M652,MappingTables!$D$4:$D$8,-1),1)</f>
        <v>1</v>
      </c>
      <c r="P652" s="73">
        <f>IF(M652=$A$1,1,$M652-INDEX(MappingTables!$E$4:$E$8,MATCH(O652,MappingTables!$B$4:$B$8,0)))</f>
        <v>1</v>
      </c>
      <c r="Q652" s="71">
        <f>IF(B652="",0,INDEX(ModelParameters!$D$6:$K$10,MATCH($O652,ModelParameters!$B$6:$B$10,0),MATCH($J652,ModelParameters!$D$5:$K$5,0)))</f>
        <v>0.025</v>
      </c>
      <c r="R652" s="71">
        <f>IF(B652="",0,INDEX(ModelParameters!$D$13:$K$17,MATCH($O652,ModelParameters!$B$13:$B$17,0),MATCH($J652,ModelParameters!$D$5:$K$5,0)))</f>
        <v>0</v>
      </c>
      <c r="S652" s="160">
        <f>IF(B652="",0,MIN(IF($N652="Other Bond TM",ModelParameters!$N$21,1)*(P652*Q652+R652),1))</f>
        <v>0.025</v>
      </c>
      <c r="T652" s="85">
        <f>IF(B652="",0,$S652*$K652)</f>
        <v>14.326707161039508</v>
      </c>
      <c r="U652" s="85">
        <f>IF(B652="",0,IF(OR(H652=MappingTables!$C$34,H652=MappingTables!$C$35),T652,0))</f>
        <v>0</v>
      </c>
      <c r="V652" s="85">
        <f>IF(ISNA(IF(AND(VLOOKUP(CONCATENATE($D652,$G652),CSRFinput!$B:$E,4,0)=0,OR(H652=MappingTables!$C$34,H652=MappingTables!$C$35)),1,VLOOKUP(CONCATENATE($D652,$G652),CSRFinput!$B:$E,4,0))),0,IF(AND(VLOOKUP(CONCATENATE($D652,$G652),CSRFinput!$B:$E,4,0)=0,OR(H652=MappingTables!$C$34,H652=MappingTables!$C$35)),1,VLOOKUP(CONCATENATE($D652,$G652),CSRFinput!$B:$E,4,0)))</f>
        <v>0.054776304963434752</v>
      </c>
      <c r="W652" s="85">
        <f>IF(B652="",0,+$T652*$V652)</f>
        <v>0.78476408057492464</v>
      </c>
      <c r="X652" s="85">
        <f>IF(B652="",0,IF(OR(H652=MappingTables!$C$34,H652=MappingTables!$C$35),W652,0))</f>
        <v>0</v>
      </c>
    </row>
    <row r="653" spans="2:24" s="0" customFormat="0" ht="15">
      <c r="B653" s="69" t="s">
        <v>945</v>
      </c>
      <c r="C653" s="70" t="s">
        <v>946</v>
      </c>
      <c r="D653" s="70" t="s">
        <v>1</v>
      </c>
      <c r="E653" s="70" t="s">
        <v>1</v>
      </c>
      <c r="F653" s="70"/>
      <c r="G653" s="70" t="s">
        <v>61</v>
      </c>
      <c r="H653" s="70" t="s">
        <v>178</v>
      </c>
      <c r="I653" s="70" t="s">
        <v>181</v>
      </c>
      <c r="J653" s="71">
        <f>IF(OR(I653=0,I653=""),"unrated",VLOOKUP(I653,MappingTables!$B$19:$C$31,2,FALSE))</f>
        <v>3</v>
      </c>
      <c r="K653" s="72">
        <v>78.387662494488048</v>
      </c>
      <c r="L653" s="70">
        <v>9.1302550920937776</v>
      </c>
      <c r="M653" s="71">
        <f>IF(L653&lt;1,1,L653)</f>
        <v>9.1302550920937776</v>
      </c>
      <c r="N653" s="70" t="s">
        <v>141</v>
      </c>
      <c r="O653" s="71">
        <f>INDEX(DurClassMapping,MATCH(M653,MappingTables!$D$4:$D$8,-1),1)</f>
        <v>2</v>
      </c>
      <c r="P653" s="73">
        <f>IF(M653=$A$1,1,$M653-INDEX(MappingTables!$E$4:$E$8,MATCH(O653,MappingTables!$B$4:$B$8,0)))</f>
        <v>4.1302550920937776</v>
      </c>
      <c r="Q653" s="71">
        <f>IF(B653="",0,INDEX(ModelParameters!$D$6:$K$10,MATCH($O653,ModelParameters!$B$6:$B$10,0),MATCH($J653,ModelParameters!$D$5:$K$5,0)))</f>
        <v>0.015</v>
      </c>
      <c r="R653" s="71">
        <f>IF(B653="",0,INDEX(ModelParameters!$D$13:$K$17,MATCH($O653,ModelParameters!$B$13:$B$17,0),MATCH($J653,ModelParameters!$D$5:$K$5,0)))</f>
        <v>0.125</v>
      </c>
      <c r="S653" s="160">
        <f>IF(B653="",0,MIN(IF($N653="Other Bond TM",ModelParameters!$N$21,1)*(P653*Q653+R653),1))</f>
        <v>0.18695382638140668</v>
      </c>
      <c r="T653" s="85">
        <f>IF(B653="",0,$S653*$K653)</f>
        <v>14.654873444438824</v>
      </c>
      <c r="U653" s="85">
        <f>IF(B653="",0,IF(OR(H653=MappingTables!$C$34,H653=MappingTables!$C$35),T653,0))</f>
        <v>0</v>
      </c>
      <c r="V653" s="85">
        <f>IF(ISNA(IF(AND(VLOOKUP(CONCATENATE($D653,$G653),CSRFinput!$B:$E,4,0)=0,OR(H653=MappingTables!$C$34,H653=MappingTables!$C$35)),1,VLOOKUP(CONCATENATE($D653,$G653),CSRFinput!$B:$E,4,0))),0,IF(AND(VLOOKUP(CONCATENATE($D653,$G653),CSRFinput!$B:$E,4,0)=0,OR(H653=MappingTables!$C$34,H653=MappingTables!$C$35)),1,VLOOKUP(CONCATENATE($D653,$G653),CSRFinput!$B:$E,4,0)))</f>
        <v>0.054776304963434752</v>
      </c>
      <c r="W653" s="85">
        <f>IF(B653="",0,+$T653*$V653)</f>
        <v>0.8027398169931224</v>
      </c>
      <c r="X653" s="85">
        <f>IF(B653="",0,IF(OR(H653=MappingTables!$C$34,H653=MappingTables!$C$35),W653,0))</f>
        <v>0</v>
      </c>
    </row>
    <row r="654" spans="2:24" s="0" customFormat="0" ht="15">
      <c r="B654" s="69" t="s">
        <v>947</v>
      </c>
      <c r="C654" s="70" t="s">
        <v>948</v>
      </c>
      <c r="D654" s="70" t="s">
        <v>1</v>
      </c>
      <c r="E654" s="70" t="s">
        <v>1</v>
      </c>
      <c r="F654" s="70"/>
      <c r="G654" s="70" t="s">
        <v>61</v>
      </c>
      <c r="H654" s="70" t="s">
        <v>178</v>
      </c>
      <c r="I654" s="70" t="s">
        <v>181</v>
      </c>
      <c r="J654" s="71">
        <f>IF(OR(I654=0,I654=""),"unrated",VLOOKUP(I654,MappingTables!$B$19:$C$31,2,FALSE))</f>
        <v>3</v>
      </c>
      <c r="K654" s="72">
        <v>13340.34761666984</v>
      </c>
      <c r="L654" s="70">
        <v>12.308745560696372</v>
      </c>
      <c r="M654" s="71">
        <f>IF(L654&lt;1,1,L654)</f>
        <v>12.308745560696372</v>
      </c>
      <c r="N654" s="70" t="s">
        <v>141</v>
      </c>
      <c r="O654" s="71">
        <f>INDEX(DurClassMapping,MATCH(M654,MappingTables!$D$4:$D$8,-1),1)</f>
        <v>3</v>
      </c>
      <c r="P654" s="73">
        <f>IF(M654=$A$1,1,$M654-INDEX(MappingTables!$E$4:$E$8,MATCH(O654,MappingTables!$B$4:$B$8,0)))</f>
        <v>2.3087455606963728</v>
      </c>
      <c r="Q654" s="71">
        <f>IF(B654="",0,INDEX(ModelParameters!$D$6:$K$10,MATCH($O654,ModelParameters!$B$6:$B$10,0),MATCH($J654,ModelParameters!$D$5:$K$5,0)))</f>
        <v>0.01</v>
      </c>
      <c r="R654" s="71">
        <f>IF(B654="",0,INDEX(ModelParameters!$D$13:$K$17,MATCH($O654,ModelParameters!$B$13:$B$17,0),MATCH($J654,ModelParameters!$D$5:$K$5,0)))</f>
        <v>0.2</v>
      </c>
      <c r="S654" s="160">
        <f>IF(B654="",0,MIN(IF($N654="Other Bond TM",ModelParameters!$N$21,1)*(P654*Q654+R654),1))</f>
        <v>0.22308745560696376</v>
      </c>
      <c r="T654" s="85">
        <f>IF(B654="",0,$S654*$K654)</f>
        <v>2976.0642067152976</v>
      </c>
      <c r="U654" s="85">
        <f>IF(B654="",0,IF(OR(H654=MappingTables!$C$34,H654=MappingTables!$C$35),T654,0))</f>
        <v>0</v>
      </c>
      <c r="V654" s="85">
        <f>IF(ISNA(IF(AND(VLOOKUP(CONCATENATE($D654,$G654),CSRFinput!$B:$E,4,0)=0,OR(H654=MappingTables!$C$34,H654=MappingTables!$C$35)),1,VLOOKUP(CONCATENATE($D654,$G654),CSRFinput!$B:$E,4,0))),0,IF(AND(VLOOKUP(CONCATENATE($D654,$G654),CSRFinput!$B:$E,4,0)=0,OR(H654=MappingTables!$C$34,H654=MappingTables!$C$35)),1,VLOOKUP(CONCATENATE($D654,$G654),CSRFinput!$B:$E,4,0)))</f>
        <v>0.054776304963434752</v>
      </c>
      <c r="W654" s="85">
        <f>IF(B654="",0,+$T654*$V654)</f>
        <v>163.01780057779968</v>
      </c>
      <c r="X654" s="85">
        <f>IF(B654="",0,IF(OR(H654=MappingTables!$C$34,H654=MappingTables!$C$35),W654,0))</f>
        <v>0</v>
      </c>
    </row>
    <row r="655" spans="2:24" s="0" customFormat="0" ht="15">
      <c r="B655" s="69">
        <v>5449277</v>
      </c>
      <c r="C655" s="70" t="s">
        <v>550</v>
      </c>
      <c r="D655" s="70" t="s">
        <v>1</v>
      </c>
      <c r="E655" s="70" t="s">
        <v>1</v>
      </c>
      <c r="F655" s="70"/>
      <c r="G655" s="70" t="s">
        <v>61</v>
      </c>
      <c r="H655" s="70" t="s">
        <v>178</v>
      </c>
      <c r="I655" s="70" t="s">
        <v>181</v>
      </c>
      <c r="J655" s="71">
        <f>IF(OR(I655=0,I655=""),"unrated",VLOOKUP(I655,MappingTables!$B$19:$C$31,2,FALSE))</f>
        <v>3</v>
      </c>
      <c r="K655" s="72">
        <v>1626.763140222811</v>
      </c>
      <c r="L655" s="70">
        <v>0.86261276699131328</v>
      </c>
      <c r="M655" s="71">
        <f>IF(L655&lt;1,1,L655)</f>
        <v>1</v>
      </c>
      <c r="N655" s="70" t="s">
        <v>141</v>
      </c>
      <c r="O655" s="71">
        <f>INDEX(DurClassMapping,MATCH(M655,MappingTables!$D$4:$D$8,-1),1)</f>
        <v>1</v>
      </c>
      <c r="P655" s="73">
        <f>IF(M655=$A$1,1,$M655-INDEX(MappingTables!$E$4:$E$8,MATCH(O655,MappingTables!$B$4:$B$8,0)))</f>
        <v>1</v>
      </c>
      <c r="Q655" s="71">
        <f>IF(B655="",0,INDEX(ModelParameters!$D$6:$K$10,MATCH($O655,ModelParameters!$B$6:$B$10,0),MATCH($J655,ModelParameters!$D$5:$K$5,0)))</f>
        <v>0.025</v>
      </c>
      <c r="R655" s="71">
        <f>IF(B655="",0,INDEX(ModelParameters!$D$13:$K$17,MATCH($O655,ModelParameters!$B$13:$B$17,0),MATCH($J655,ModelParameters!$D$5:$K$5,0)))</f>
        <v>0</v>
      </c>
      <c r="S655" s="160">
        <f>IF(B655="",0,MIN(IF($N655="Other Bond TM",ModelParameters!$N$21,1)*(P655*Q655+R655),1))</f>
        <v>0.025</v>
      </c>
      <c r="T655" s="85">
        <f>IF(B655="",0,$S655*$K655)</f>
        <v>40.66907850557028</v>
      </c>
      <c r="U655" s="85">
        <f>IF(B655="",0,IF(OR(H655=MappingTables!$C$34,H655=MappingTables!$C$35),T655,0))</f>
        <v>0</v>
      </c>
      <c r="V655" s="85">
        <f>IF(ISNA(IF(AND(VLOOKUP(CONCATENATE($D655,$G655),CSRFinput!$B:$E,4,0)=0,OR(H655=MappingTables!$C$34,H655=MappingTables!$C$35)),1,VLOOKUP(CONCATENATE($D655,$G655),CSRFinput!$B:$E,4,0))),0,IF(AND(VLOOKUP(CONCATENATE($D655,$G655),CSRFinput!$B:$E,4,0)=0,OR(H655=MappingTables!$C$34,H655=MappingTables!$C$35)),1,VLOOKUP(CONCATENATE($D655,$G655),CSRFinput!$B:$E,4,0)))</f>
        <v>0.054776304963434752</v>
      </c>
      <c r="W655" s="85">
        <f>IF(B655="",0,+$T655*$V655)</f>
        <v>2.2277018468029864</v>
      </c>
      <c r="X655" s="85">
        <f>IF(B655="",0,IF(OR(H655=MappingTables!$C$34,H655=MappingTables!$C$35),W655,0))</f>
        <v>0</v>
      </c>
    </row>
    <row r="656" spans="2:24" s="0" customFormat="0" ht="15">
      <c r="B656" s="69" t="s">
        <v>539</v>
      </c>
      <c r="C656" s="70" t="s">
        <v>540</v>
      </c>
      <c r="D656" s="70" t="s">
        <v>1</v>
      </c>
      <c r="E656" s="70" t="s">
        <v>1</v>
      </c>
      <c r="F656" s="70"/>
      <c r="G656" s="70" t="s">
        <v>61</v>
      </c>
      <c r="H656" s="70" t="s">
        <v>178</v>
      </c>
      <c r="I656" s="70" t="s">
        <v>181</v>
      </c>
      <c r="J656" s="71">
        <f>IF(OR(I656=0,I656=""),"unrated",VLOOKUP(I656,MappingTables!$B$19:$C$31,2,FALSE))</f>
        <v>3</v>
      </c>
      <c r="K656" s="72">
        <v>29176.793858236036</v>
      </c>
      <c r="L656" s="70">
        <v>1.4502561758772908</v>
      </c>
      <c r="M656" s="71">
        <f>IF(L656&lt;1,1,L656)</f>
        <v>1.4502561758772908</v>
      </c>
      <c r="N656" s="70" t="s">
        <v>141</v>
      </c>
      <c r="O656" s="71">
        <f>INDEX(DurClassMapping,MATCH(M656,MappingTables!$D$4:$D$8,-1),1)</f>
        <v>1</v>
      </c>
      <c r="P656" s="73">
        <f>IF(M656=$A$1,1,$M656-INDEX(MappingTables!$E$4:$E$8,MATCH(O656,MappingTables!$B$4:$B$8,0)))</f>
        <v>1.4502561758772908</v>
      </c>
      <c r="Q656" s="71">
        <f>IF(B656="",0,INDEX(ModelParameters!$D$6:$K$10,MATCH($O656,ModelParameters!$B$6:$B$10,0),MATCH($J656,ModelParameters!$D$5:$K$5,0)))</f>
        <v>0.025</v>
      </c>
      <c r="R656" s="71">
        <f>IF(B656="",0,INDEX(ModelParameters!$D$13:$K$17,MATCH($O656,ModelParameters!$B$13:$B$17,0),MATCH($J656,ModelParameters!$D$5:$K$5,0)))</f>
        <v>0</v>
      </c>
      <c r="S656" s="160">
        <f>IF(B656="",0,MIN(IF($N656="Other Bond TM",ModelParameters!$N$21,1)*(P656*Q656+R656),1))</f>
        <v>0.036256404396932272</v>
      </c>
      <c r="T656" s="85">
        <f>IF(B656="",0,$S656*$K656)</f>
        <v>1057.8456371301354</v>
      </c>
      <c r="U656" s="85">
        <f>IF(B656="",0,IF(OR(H656=MappingTables!$C$34,H656=MappingTables!$C$35),T656,0))</f>
        <v>0</v>
      </c>
      <c r="V656" s="85">
        <f>IF(ISNA(IF(AND(VLOOKUP(CONCATENATE($D656,$G656),CSRFinput!$B:$E,4,0)=0,OR(H656=MappingTables!$C$34,H656=MappingTables!$C$35)),1,VLOOKUP(CONCATENATE($D656,$G656),CSRFinput!$B:$E,4,0))),0,IF(AND(VLOOKUP(CONCATENATE($D656,$G656),CSRFinput!$B:$E,4,0)=0,OR(H656=MappingTables!$C$34,H656=MappingTables!$C$35)),1,VLOOKUP(CONCATENATE($D656,$G656),CSRFinput!$B:$E,4,0)))</f>
        <v>0.054776304963434752</v>
      </c>
      <c r="W656" s="85">
        <f>IF(B656="",0,+$T656*$V656)</f>
        <v>57.944875223679232</v>
      </c>
      <c r="X656" s="85">
        <f>IF(B656="",0,IF(OR(H656=MappingTables!$C$34,H656=MappingTables!$C$35),W656,0))</f>
        <v>0</v>
      </c>
    </row>
    <row r="657" spans="2:24" s="0" customFormat="0" ht="15">
      <c r="B657" s="69" t="s">
        <v>949</v>
      </c>
      <c r="C657" s="70" t="s">
        <v>950</v>
      </c>
      <c r="D657" s="70" t="s">
        <v>1</v>
      </c>
      <c r="E657" s="70" t="s">
        <v>1</v>
      </c>
      <c r="F657" s="70"/>
      <c r="G657" s="70" t="s">
        <v>61</v>
      </c>
      <c r="H657" s="70" t="s">
        <v>178</v>
      </c>
      <c r="I657" s="70" t="s">
        <v>188</v>
      </c>
      <c r="J657" s="71">
        <f>IF(OR(I657=0,I657=""),"unrated",VLOOKUP(I657,MappingTables!$B$19:$C$31,2,FALSE))</f>
        <v>2</v>
      </c>
      <c r="K657" s="72">
        <v>73.16507908317024</v>
      </c>
      <c r="L657" s="70">
        <v>2.5369341589740844</v>
      </c>
      <c r="M657" s="71">
        <f>IF(L657&lt;1,1,L657)</f>
        <v>2.5369341589740844</v>
      </c>
      <c r="N657" s="70" t="s">
        <v>141</v>
      </c>
      <c r="O657" s="71">
        <f>INDEX(DurClassMapping,MATCH(M657,MappingTables!$D$4:$D$8,-1),1)</f>
        <v>1</v>
      </c>
      <c r="P657" s="73">
        <f>IF(M657=$A$1,1,$M657-INDEX(MappingTables!$E$4:$E$8,MATCH(O657,MappingTables!$B$4:$B$8,0)))</f>
        <v>2.5369341589740844</v>
      </c>
      <c r="Q657" s="71">
        <f>IF(B657="",0,INDEX(ModelParameters!$D$6:$K$10,MATCH($O657,ModelParameters!$B$6:$B$10,0),MATCH($J657,ModelParameters!$D$5:$K$5,0)))</f>
        <v>0.013999999999999998</v>
      </c>
      <c r="R657" s="71">
        <f>IF(B657="",0,INDEX(ModelParameters!$D$13:$K$17,MATCH($O657,ModelParameters!$B$13:$B$17,0),MATCH($J657,ModelParameters!$D$5:$K$5,0)))</f>
        <v>0</v>
      </c>
      <c r="S657" s="160">
        <f>IF(B657="",0,MIN(IF($N657="Other Bond TM",ModelParameters!$N$21,1)*(P657*Q657+R657),1))</f>
        <v>0.035517078225637184</v>
      </c>
      <c r="T657" s="85">
        <f>IF(B657="",0,$S657*$K657)</f>
        <v>2.5986098371818884</v>
      </c>
      <c r="U657" s="85">
        <f>IF(B657="",0,IF(OR(H657=MappingTables!$C$34,H657=MappingTables!$C$35),T657,0))</f>
        <v>0</v>
      </c>
      <c r="V657" s="85">
        <f>IF(ISNA(IF(AND(VLOOKUP(CONCATENATE($D657,$G657),CSRFinput!$B:$E,4,0)=0,OR(H657=MappingTables!$C$34,H657=MappingTables!$C$35)),1,VLOOKUP(CONCATENATE($D657,$G657),CSRFinput!$B:$E,4,0))),0,IF(AND(VLOOKUP(CONCATENATE($D657,$G657),CSRFinput!$B:$E,4,0)=0,OR(H657=MappingTables!$C$34,H657=MappingTables!$C$35)),1,VLOOKUP(CONCATENATE($D657,$G657),CSRFinput!$B:$E,4,0)))</f>
        <v>0.054776304963434752</v>
      </c>
      <c r="W657" s="85">
        <f>IF(B657="",0,+$T657*$V657)</f>
        <v>0.14234224492245664</v>
      </c>
      <c r="X657" s="85">
        <f>IF(B657="",0,IF(OR(H657=MappingTables!$C$34,H657=MappingTables!$C$35),W657,0))</f>
        <v>0</v>
      </c>
    </row>
    <row r="658" spans="2:24" s="0" customFormat="0" ht="15">
      <c r="B658" s="69">
        <v>12819849</v>
      </c>
      <c r="C658" s="70" t="s">
        <v>951</v>
      </c>
      <c r="D658" s="70" t="s">
        <v>1</v>
      </c>
      <c r="E658" s="70" t="s">
        <v>1</v>
      </c>
      <c r="F658" s="70"/>
      <c r="G658" s="70" t="s">
        <v>61</v>
      </c>
      <c r="H658" s="70" t="s">
        <v>178</v>
      </c>
      <c r="I658" s="70" t="s">
        <v>188</v>
      </c>
      <c r="J658" s="71">
        <f>IF(OR(I658=0,I658=""),"unrated",VLOOKUP(I658,MappingTables!$B$19:$C$31,2,FALSE))</f>
        <v>2</v>
      </c>
      <c r="K658" s="72">
        <v>626.45403044219064</v>
      </c>
      <c r="L658" s="70">
        <v>0.74804759573118</v>
      </c>
      <c r="M658" s="71">
        <f>IF(L658&lt;1,1,L658)</f>
        <v>1</v>
      </c>
      <c r="N658" s="70" t="s">
        <v>141</v>
      </c>
      <c r="O658" s="71">
        <f>INDEX(DurClassMapping,MATCH(M658,MappingTables!$D$4:$D$8,-1),1)</f>
        <v>1</v>
      </c>
      <c r="P658" s="73">
        <f>IF(M658=$A$1,1,$M658-INDEX(MappingTables!$E$4:$E$8,MATCH(O658,MappingTables!$B$4:$B$8,0)))</f>
        <v>1</v>
      </c>
      <c r="Q658" s="71">
        <f>IF(B658="",0,INDEX(ModelParameters!$D$6:$K$10,MATCH($O658,ModelParameters!$B$6:$B$10,0),MATCH($J658,ModelParameters!$D$5:$K$5,0)))</f>
        <v>0.013999999999999998</v>
      </c>
      <c r="R658" s="71">
        <f>IF(B658="",0,INDEX(ModelParameters!$D$13:$K$17,MATCH($O658,ModelParameters!$B$13:$B$17,0),MATCH($J658,ModelParameters!$D$5:$K$5,0)))</f>
        <v>0</v>
      </c>
      <c r="S658" s="160">
        <f>IF(B658="",0,MIN(IF($N658="Other Bond TM",ModelParameters!$N$21,1)*(P658*Q658+R658),1))</f>
        <v>0.013999999999999998</v>
      </c>
      <c r="T658" s="85">
        <f>IF(B658="",0,$S658*$K658)</f>
        <v>8.7703564261906688</v>
      </c>
      <c r="U658" s="85">
        <f>IF(B658="",0,IF(OR(H658=MappingTables!$C$34,H658=MappingTables!$C$35),T658,0))</f>
        <v>0</v>
      </c>
      <c r="V658" s="85">
        <f>IF(ISNA(IF(AND(VLOOKUP(CONCATENATE($D658,$G658),CSRFinput!$B:$E,4,0)=0,OR(H658=MappingTables!$C$34,H658=MappingTables!$C$35)),1,VLOOKUP(CONCATENATE($D658,$G658),CSRFinput!$B:$E,4,0))),0,IF(AND(VLOOKUP(CONCATENATE($D658,$G658),CSRFinput!$B:$E,4,0)=0,OR(H658=MappingTables!$C$34,H658=MappingTables!$C$35)),1,VLOOKUP(CONCATENATE($D658,$G658),CSRFinput!$B:$E,4,0)))</f>
        <v>0.054776304963434752</v>
      </c>
      <c r="W658" s="85">
        <f>IF(B658="",0,+$T658*$V658)</f>
        <v>0.48040771823903976</v>
      </c>
      <c r="X658" s="85">
        <f>IF(B658="",0,IF(OR(H658=MappingTables!$C$34,H658=MappingTables!$C$35),W658,0))</f>
        <v>0</v>
      </c>
    </row>
    <row r="659" spans="2:24" s="0" customFormat="0" ht="15">
      <c r="B659" s="69" t="s">
        <v>952</v>
      </c>
      <c r="C659" s="70" t="s">
        <v>953</v>
      </c>
      <c r="D659" s="70" t="s">
        <v>1</v>
      </c>
      <c r="E659" s="70" t="s">
        <v>1</v>
      </c>
      <c r="F659" s="70"/>
      <c r="G659" s="70" t="s">
        <v>61</v>
      </c>
      <c r="H659" s="70" t="s">
        <v>178</v>
      </c>
      <c r="I659" s="70" t="s">
        <v>181</v>
      </c>
      <c r="J659" s="71">
        <f>IF(OR(I659=0,I659=""),"unrated",VLOOKUP(I659,MappingTables!$B$19:$C$31,2,FALSE))</f>
        <v>3</v>
      </c>
      <c r="K659" s="72">
        <v>0.00038866449097396848</v>
      </c>
      <c r="L659" s="70">
        <v>0.99882306623869856</v>
      </c>
      <c r="M659" s="71">
        <f>IF(L659&lt;1,1,L659)</f>
        <v>1</v>
      </c>
      <c r="N659" s="70" t="s">
        <v>141</v>
      </c>
      <c r="O659" s="71">
        <f>INDEX(DurClassMapping,MATCH(M659,MappingTables!$D$4:$D$8,-1),1)</f>
        <v>1</v>
      </c>
      <c r="P659" s="73">
        <f>IF(M659=$A$1,1,$M659-INDEX(MappingTables!$E$4:$E$8,MATCH(O659,MappingTables!$B$4:$B$8,0)))</f>
        <v>1</v>
      </c>
      <c r="Q659" s="71">
        <f>IF(B659="",0,INDEX(ModelParameters!$D$6:$K$10,MATCH($O659,ModelParameters!$B$6:$B$10,0),MATCH($J659,ModelParameters!$D$5:$K$5,0)))</f>
        <v>0.025</v>
      </c>
      <c r="R659" s="71">
        <f>IF(B659="",0,INDEX(ModelParameters!$D$13:$K$17,MATCH($O659,ModelParameters!$B$13:$B$17,0),MATCH($J659,ModelParameters!$D$5:$K$5,0)))</f>
        <v>0</v>
      </c>
      <c r="S659" s="160">
        <f>IF(B659="",0,MIN(IF($N659="Other Bond TM",ModelParameters!$N$21,1)*(P659*Q659+R659),1))</f>
        <v>0.025</v>
      </c>
      <c r="T659" s="85">
        <f>IF(B659="",0,$S659*$K659)</f>
        <v>0.0000097166122743492128</v>
      </c>
      <c r="U659" s="85">
        <f>IF(B659="",0,IF(OR(H659=MappingTables!$C$34,H659=MappingTables!$C$35),T659,0))</f>
        <v>0</v>
      </c>
      <c r="V659" s="85">
        <f>IF(ISNA(IF(AND(VLOOKUP(CONCATENATE($D659,$G659),CSRFinput!$B:$E,4,0)=0,OR(H659=MappingTables!$C$34,H659=MappingTables!$C$35)),1,VLOOKUP(CONCATENATE($D659,$G659),CSRFinput!$B:$E,4,0))),0,IF(AND(VLOOKUP(CONCATENATE($D659,$G659),CSRFinput!$B:$E,4,0)=0,OR(H659=MappingTables!$C$34,H659=MappingTables!$C$35)),1,VLOOKUP(CONCATENATE($D659,$G659),CSRFinput!$B:$E,4,0)))</f>
        <v>0.054776304963434752</v>
      </c>
      <c r="W659" s="85">
        <f>IF(B659="",0,+$T659*$V659)</f>
        <v>0.00000053224011715120584</v>
      </c>
      <c r="X659" s="85">
        <f>IF(B659="",0,IF(OR(H659=MappingTables!$C$34,H659=MappingTables!$C$35),W659,0))</f>
        <v>0</v>
      </c>
    </row>
    <row r="660" spans="2:24" s="0" customFormat="0" ht="15">
      <c r="B660" s="69">
        <v>17164391</v>
      </c>
      <c r="C660" s="70" t="s">
        <v>954</v>
      </c>
      <c r="D660" s="70" t="s">
        <v>1</v>
      </c>
      <c r="E660" s="70" t="s">
        <v>1</v>
      </c>
      <c r="F660" s="70"/>
      <c r="G660" s="70" t="s">
        <v>61</v>
      </c>
      <c r="H660" s="70" t="s">
        <v>178</v>
      </c>
      <c r="I660" s="70" t="s">
        <v>181</v>
      </c>
      <c r="J660" s="71">
        <f>IF(OR(I660=0,I660=""),"unrated",VLOOKUP(I660,MappingTables!$B$19:$C$31,2,FALSE))</f>
        <v>3</v>
      </c>
      <c r="K660" s="72">
        <v>3526.0540525485956</v>
      </c>
      <c r="L660" s="70">
        <v>8.138470338343088</v>
      </c>
      <c r="M660" s="71">
        <f>IF(L660&lt;1,1,L660)</f>
        <v>8.138470338343088</v>
      </c>
      <c r="N660" s="70" t="s">
        <v>141</v>
      </c>
      <c r="O660" s="71">
        <f>INDEX(DurClassMapping,MATCH(M660,MappingTables!$D$4:$D$8,-1),1)</f>
        <v>2</v>
      </c>
      <c r="P660" s="73">
        <f>IF(M660=$A$1,1,$M660-INDEX(MappingTables!$E$4:$E$8,MATCH(O660,MappingTables!$B$4:$B$8,0)))</f>
        <v>3.1384703383430884</v>
      </c>
      <c r="Q660" s="71">
        <f>IF(B660="",0,INDEX(ModelParameters!$D$6:$K$10,MATCH($O660,ModelParameters!$B$6:$B$10,0),MATCH($J660,ModelParameters!$D$5:$K$5,0)))</f>
        <v>0.015</v>
      </c>
      <c r="R660" s="71">
        <f>IF(B660="",0,INDEX(ModelParameters!$D$13:$K$17,MATCH($O660,ModelParameters!$B$13:$B$17,0),MATCH($J660,ModelParameters!$D$5:$K$5,0)))</f>
        <v>0.125</v>
      </c>
      <c r="S660" s="160">
        <f>IF(B660="",0,MIN(IF($N660="Other Bond TM",ModelParameters!$N$21,1)*(P660*Q660+R660),1))</f>
        <v>0.17207705507514632</v>
      </c>
      <c r="T660" s="85">
        <f>IF(B660="",0,$S660*$K660)</f>
        <v>606.7529973983476</v>
      </c>
      <c r="U660" s="85">
        <f>IF(B660="",0,IF(OR(H660=MappingTables!$C$34,H660=MappingTables!$C$35),T660,0))</f>
        <v>0</v>
      </c>
      <c r="V660" s="85">
        <f>IF(ISNA(IF(AND(VLOOKUP(CONCATENATE($D660,$G660),CSRFinput!$B:$E,4,0)=0,OR(H660=MappingTables!$C$34,H660=MappingTables!$C$35)),1,VLOOKUP(CONCATENATE($D660,$G660),CSRFinput!$B:$E,4,0))),0,IF(AND(VLOOKUP(CONCATENATE($D660,$G660),CSRFinput!$B:$E,4,0)=0,OR(H660=MappingTables!$C$34,H660=MappingTables!$C$35)),1,VLOOKUP(CONCATENATE($D660,$G660),CSRFinput!$B:$E,4,0)))</f>
        <v>0.054776304963434752</v>
      </c>
      <c r="W660" s="85">
        <f>IF(B660="",0,+$T660*$V660)</f>
        <v>33.23568722297002</v>
      </c>
      <c r="X660" s="85">
        <f>IF(B660="",0,IF(OR(H660=MappingTables!$C$34,H660=MappingTables!$C$35),W660,0))</f>
        <v>0</v>
      </c>
    </row>
    <row r="661" spans="2:24" s="0" customFormat="0" ht="15">
      <c r="B661" s="69">
        <v>13155802</v>
      </c>
      <c r="C661" s="70" t="s">
        <v>955</v>
      </c>
      <c r="D661" s="70" t="s">
        <v>1</v>
      </c>
      <c r="E661" s="70" t="s">
        <v>1</v>
      </c>
      <c r="F661" s="70"/>
      <c r="G661" s="70" t="s">
        <v>61</v>
      </c>
      <c r="H661" s="70" t="s">
        <v>178</v>
      </c>
      <c r="I661" s="70" t="s">
        <v>181</v>
      </c>
      <c r="J661" s="71">
        <f>IF(OR(I661=0,I661=""),"unrated",VLOOKUP(I661,MappingTables!$B$19:$C$31,2,FALSE))</f>
        <v>3</v>
      </c>
      <c r="K661" s="72">
        <v>2802.280112498984</v>
      </c>
      <c r="L661" s="70">
        <v>2.479816703229096</v>
      </c>
      <c r="M661" s="71">
        <f>IF(L661&lt;1,1,L661)</f>
        <v>2.479816703229096</v>
      </c>
      <c r="N661" s="70" t="s">
        <v>141</v>
      </c>
      <c r="O661" s="71">
        <f>INDEX(DurClassMapping,MATCH(M661,MappingTables!$D$4:$D$8,-1),1)</f>
        <v>1</v>
      </c>
      <c r="P661" s="73">
        <f>IF(M661=$A$1,1,$M661-INDEX(MappingTables!$E$4:$E$8,MATCH(O661,MappingTables!$B$4:$B$8,0)))</f>
        <v>2.479816703229096</v>
      </c>
      <c r="Q661" s="71">
        <f>IF(B661="",0,INDEX(ModelParameters!$D$6:$K$10,MATCH($O661,ModelParameters!$B$6:$B$10,0),MATCH($J661,ModelParameters!$D$5:$K$5,0)))</f>
        <v>0.025</v>
      </c>
      <c r="R661" s="71">
        <f>IF(B661="",0,INDEX(ModelParameters!$D$13:$K$17,MATCH($O661,ModelParameters!$B$13:$B$17,0),MATCH($J661,ModelParameters!$D$5:$K$5,0)))</f>
        <v>0</v>
      </c>
      <c r="S661" s="160">
        <f>IF(B661="",0,MIN(IF($N661="Other Bond TM",ModelParameters!$N$21,1)*(P661*Q661+R661),1))</f>
        <v>0.0619954175807274</v>
      </c>
      <c r="T661" s="85">
        <f>IF(B661="",0,$S661*$K661)</f>
        <v>173.72852575254228</v>
      </c>
      <c r="U661" s="85">
        <f>IF(B661="",0,IF(OR(H661=MappingTables!$C$34,H661=MappingTables!$C$35),T661,0))</f>
        <v>0</v>
      </c>
      <c r="V661" s="85">
        <f>IF(ISNA(IF(AND(VLOOKUP(CONCATENATE($D661,$G661),CSRFinput!$B:$E,4,0)=0,OR(H661=MappingTables!$C$34,H661=MappingTables!$C$35)),1,VLOOKUP(CONCATENATE($D661,$G661),CSRFinput!$B:$E,4,0))),0,IF(AND(VLOOKUP(CONCATENATE($D661,$G661),CSRFinput!$B:$E,4,0)=0,OR(H661=MappingTables!$C$34,H661=MappingTables!$C$35)),1,VLOOKUP(CONCATENATE($D661,$G661),CSRFinput!$B:$E,4,0)))</f>
        <v>0.054776304963434752</v>
      </c>
      <c r="W661" s="85">
        <f>IF(B661="",0,+$T661*$V661)</f>
        <v>9.516206707469184</v>
      </c>
      <c r="X661" s="85">
        <f>IF(B661="",0,IF(OR(H661=MappingTables!$C$34,H661=MappingTables!$C$35),W661,0))</f>
        <v>0</v>
      </c>
    </row>
    <row r="662" spans="2:24" s="0" customFormat="0" ht="15">
      <c r="B662" s="69">
        <v>20986643</v>
      </c>
      <c r="C662" s="70" t="s">
        <v>637</v>
      </c>
      <c r="D662" s="70" t="s">
        <v>1</v>
      </c>
      <c r="E662" s="70" t="s">
        <v>1</v>
      </c>
      <c r="F662" s="70"/>
      <c r="G662" s="70" t="s">
        <v>61</v>
      </c>
      <c r="H662" s="70" t="s">
        <v>178</v>
      </c>
      <c r="I662" s="70" t="s">
        <v>184</v>
      </c>
      <c r="J662" s="71">
        <f>IF(OR(I662=0,I662=""),"unrated",VLOOKUP(I662,MappingTables!$B$19:$C$31,2,FALSE))</f>
        <v>5</v>
      </c>
      <c r="K662" s="72">
        <v>10225.03015816757</v>
      </c>
      <c r="L662" s="70">
        <v>3.3591202753850604</v>
      </c>
      <c r="M662" s="71">
        <f>IF(L662&lt;1,1,L662)</f>
        <v>3.3591202753850604</v>
      </c>
      <c r="N662" s="70" t="s">
        <v>141</v>
      </c>
      <c r="O662" s="71">
        <f>INDEX(DurClassMapping,MATCH(M662,MappingTables!$D$4:$D$8,-1),1)</f>
        <v>1</v>
      </c>
      <c r="P662" s="73">
        <f>IF(M662=$A$1,1,$M662-INDEX(MappingTables!$E$4:$E$8,MATCH(O662,MappingTables!$B$4:$B$8,0)))</f>
        <v>3.3591202753850604</v>
      </c>
      <c r="Q662" s="71">
        <f>IF(B662="",0,INDEX(ModelParameters!$D$6:$K$10,MATCH($O662,ModelParameters!$B$6:$B$10,0),MATCH($J662,ModelParameters!$D$5:$K$5,0)))</f>
        <v>0.075</v>
      </c>
      <c r="R662" s="71">
        <f>IF(B662="",0,INDEX(ModelParameters!$D$13:$K$17,MATCH($O662,ModelParameters!$B$13:$B$17,0),MATCH($J662,ModelParameters!$D$5:$K$5,0)))</f>
        <v>0</v>
      </c>
      <c r="S662" s="160">
        <f>IF(B662="",0,MIN(IF($N662="Other Bond TM",ModelParameters!$N$21,1)*(P662*Q662+R662),1))</f>
        <v>0.25193402065387956</v>
      </c>
      <c r="T662" s="85">
        <f>IF(B662="",0,$S662*$K662)</f>
        <v>2576.0329590543296</v>
      </c>
      <c r="U662" s="85">
        <f>IF(B662="",0,IF(OR(H662=MappingTables!$C$34,H662=MappingTables!$C$35),T662,0))</f>
        <v>0</v>
      </c>
      <c r="V662" s="85">
        <f>IF(ISNA(IF(AND(VLOOKUP(CONCATENATE($D662,$G662),CSRFinput!$B:$E,4,0)=0,OR(H662=MappingTables!$C$34,H662=MappingTables!$C$35)),1,VLOOKUP(CONCATENATE($D662,$G662),CSRFinput!$B:$E,4,0))),0,IF(AND(VLOOKUP(CONCATENATE($D662,$G662),CSRFinput!$B:$E,4,0)=0,OR(H662=MappingTables!$C$34,H662=MappingTables!$C$35)),1,VLOOKUP(CONCATENATE($D662,$G662),CSRFinput!$B:$E,4,0)))</f>
        <v>0.054776304963434752</v>
      </c>
      <c r="W662" s="85">
        <f>IF(B662="",0,+$T662*$V662)</f>
        <v>141.1055669610192</v>
      </c>
      <c r="X662" s="85">
        <f>IF(B662="",0,IF(OR(H662=MappingTables!$C$34,H662=MappingTables!$C$35),W662,0))</f>
        <v>0</v>
      </c>
    </row>
    <row r="663" spans="2:24" s="0" customFormat="0" ht="15">
      <c r="B663" s="69">
        <v>16166347</v>
      </c>
      <c r="C663" s="70" t="s">
        <v>956</v>
      </c>
      <c r="D663" s="70" t="s">
        <v>1</v>
      </c>
      <c r="E663" s="70" t="s">
        <v>1</v>
      </c>
      <c r="F663" s="70"/>
      <c r="G663" s="70" t="s">
        <v>61</v>
      </c>
      <c r="H663" s="70" t="s">
        <v>178</v>
      </c>
      <c r="I663" s="70" t="s">
        <v>220</v>
      </c>
      <c r="J663" s="71">
        <f>IF(OR(I663=0,I663=""),"unrated",VLOOKUP(I663,MappingTables!$B$19:$C$31,2,FALSE))</f>
        <v>1</v>
      </c>
      <c r="K663" s="72">
        <v>131.30425547687156</v>
      </c>
      <c r="L663" s="70">
        <v>0.33150987126470932</v>
      </c>
      <c r="M663" s="71">
        <f>IF(L663&lt;1,1,L663)</f>
        <v>1</v>
      </c>
      <c r="N663" s="70" t="s">
        <v>141</v>
      </c>
      <c r="O663" s="71">
        <f>INDEX(DurClassMapping,MATCH(M663,MappingTables!$D$4:$D$8,-1),1)</f>
        <v>1</v>
      </c>
      <c r="P663" s="73">
        <f>IF(M663=$A$1,1,$M663-INDEX(MappingTables!$E$4:$E$8,MATCH(O663,MappingTables!$B$4:$B$8,0)))</f>
        <v>1</v>
      </c>
      <c r="Q663" s="71">
        <f>IF(B663="",0,INDEX(ModelParameters!$D$6:$K$10,MATCH($O663,ModelParameters!$B$6:$B$10,0),MATCH($J663,ModelParameters!$D$5:$K$5,0)))</f>
        <v>0.011000000000000002</v>
      </c>
      <c r="R663" s="71">
        <f>IF(B663="",0,INDEX(ModelParameters!$D$13:$K$17,MATCH($O663,ModelParameters!$B$13:$B$17,0),MATCH($J663,ModelParameters!$D$5:$K$5,0)))</f>
        <v>0</v>
      </c>
      <c r="S663" s="160">
        <f>IF(B663="",0,MIN(IF($N663="Other Bond TM",ModelParameters!$N$21,1)*(P663*Q663+R663),1))</f>
        <v>0.011000000000000002</v>
      </c>
      <c r="T663" s="85">
        <f>IF(B663="",0,$S663*$K663)</f>
        <v>1.4443468102455872</v>
      </c>
      <c r="U663" s="85">
        <f>IF(B663="",0,IF(OR(H663=MappingTables!$C$34,H663=MappingTables!$C$35),T663,0))</f>
        <v>0</v>
      </c>
      <c r="V663" s="85">
        <f>IF(ISNA(IF(AND(VLOOKUP(CONCATENATE($D663,$G663),CSRFinput!$B:$E,4,0)=0,OR(H663=MappingTables!$C$34,H663=MappingTables!$C$35)),1,VLOOKUP(CONCATENATE($D663,$G663),CSRFinput!$B:$E,4,0))),0,IF(AND(VLOOKUP(CONCATENATE($D663,$G663),CSRFinput!$B:$E,4,0)=0,OR(H663=MappingTables!$C$34,H663=MappingTables!$C$35)),1,VLOOKUP(CONCATENATE($D663,$G663),CSRFinput!$B:$E,4,0)))</f>
        <v>0.054776304963434752</v>
      </c>
      <c r="W663" s="85">
        <f>IF(B663="",0,+$T663*$V663)</f>
        <v>0.079115981350976512</v>
      </c>
      <c r="X663" s="85">
        <f>IF(B663="",0,IF(OR(H663=MappingTables!$C$34,H663=MappingTables!$C$35),W663,0))</f>
        <v>0</v>
      </c>
    </row>
    <row r="664" spans="2:24" s="0" customFormat="0" ht="15">
      <c r="B664" s="69" t="s">
        <v>957</v>
      </c>
      <c r="C664" s="70" t="s">
        <v>958</v>
      </c>
      <c r="D664" s="70" t="s">
        <v>1</v>
      </c>
      <c r="E664" s="70" t="s">
        <v>1</v>
      </c>
      <c r="F664" s="70"/>
      <c r="G664" s="70" t="s">
        <v>61</v>
      </c>
      <c r="H664" s="70" t="s">
        <v>178</v>
      </c>
      <c r="I664" s="70" t="s">
        <v>198</v>
      </c>
      <c r="J664" s="71" t="str">
        <f>IF(OR(I664=0,I664=""),"unrated",VLOOKUP(I664,MappingTables!$B$19:$C$31,2,FALSE))</f>
        <v>unrated</v>
      </c>
      <c r="K664" s="72">
        <v>1975.0903749794672</v>
      </c>
      <c r="L664" s="70">
        <v>5.7142480087783408</v>
      </c>
      <c r="M664" s="71">
        <f>IF(L664&lt;1,1,L664)</f>
        <v>5.7142480087783408</v>
      </c>
      <c r="N664" s="70" t="s">
        <v>141</v>
      </c>
      <c r="O664" s="71">
        <f>INDEX(DurClassMapping,MATCH(M664,MappingTables!$D$4:$D$8,-1),1)</f>
        <v>2</v>
      </c>
      <c r="P664" s="73">
        <f>IF(M664=$A$1,1,$M664-INDEX(MappingTables!$E$4:$E$8,MATCH(O664,MappingTables!$B$4:$B$8,0)))</f>
        <v>0.71424800877834112</v>
      </c>
      <c r="Q664" s="71">
        <f>IF(B664="",0,INDEX(ModelParameters!$D$6:$K$10,MATCH($O664,ModelParameters!$B$6:$B$10,0),MATCH($J664,ModelParameters!$D$5:$K$5,0)))</f>
        <v>0.017000000000000002</v>
      </c>
      <c r="R664" s="71">
        <f>IF(B664="",0,INDEX(ModelParameters!$D$13:$K$17,MATCH($O664,ModelParameters!$B$13:$B$17,0),MATCH($J664,ModelParameters!$D$5:$K$5,0)))</f>
        <v>0.15</v>
      </c>
      <c r="S664" s="160">
        <f>IF(B664="",0,MIN(IF($N664="Other Bond TM",ModelParameters!$N$21,1)*(P664*Q664+R664),1))</f>
        <v>0.1621422161492318</v>
      </c>
      <c r="T664" s="85">
        <f>IF(B664="",0,$S664*$K664)</f>
        <v>320.245530494188</v>
      </c>
      <c r="U664" s="85">
        <f>IF(B664="",0,IF(OR(H664=MappingTables!$C$34,H664=MappingTables!$C$35),T664,0))</f>
        <v>0</v>
      </c>
      <c r="V664" s="85">
        <f>IF(ISNA(IF(AND(VLOOKUP(CONCATENATE($D664,$G664),CSRFinput!$B:$E,4,0)=0,OR(H664=MappingTables!$C$34,H664=MappingTables!$C$35)),1,VLOOKUP(CONCATENATE($D664,$G664),CSRFinput!$B:$E,4,0))),0,IF(AND(VLOOKUP(CONCATENATE($D664,$G664),CSRFinput!$B:$E,4,0)=0,OR(H664=MappingTables!$C$34,H664=MappingTables!$C$35)),1,VLOOKUP(CONCATENATE($D664,$G664),CSRFinput!$B:$E,4,0)))</f>
        <v>0.054776304963434752</v>
      </c>
      <c r="W664" s="85">
        <f>IF(B664="",0,+$T664*$V664)</f>
        <v>17.541866841526588</v>
      </c>
      <c r="X664" s="85">
        <f>IF(B664="",0,IF(OR(H664=MappingTables!$C$34,H664=MappingTables!$C$35),W664,0))</f>
        <v>0</v>
      </c>
    </row>
    <row r="665" spans="2:24" s="0" customFormat="0" ht="15">
      <c r="B665" s="69">
        <v>19567738</v>
      </c>
      <c r="C665" s="70" t="s">
        <v>959</v>
      </c>
      <c r="D665" s="70" t="s">
        <v>1</v>
      </c>
      <c r="E665" s="70" t="s">
        <v>1</v>
      </c>
      <c r="F665" s="70"/>
      <c r="G665" s="70" t="s">
        <v>61</v>
      </c>
      <c r="H665" s="70" t="s">
        <v>178</v>
      </c>
      <c r="I665" s="70" t="s">
        <v>188</v>
      </c>
      <c r="J665" s="71">
        <f>IF(OR(I665=0,I665=""),"unrated",VLOOKUP(I665,MappingTables!$B$19:$C$31,2,FALSE))</f>
        <v>2</v>
      </c>
      <c r="K665" s="72">
        <v>0.12530443224890784</v>
      </c>
      <c r="L665" s="70">
        <v>2.345112913174016</v>
      </c>
      <c r="M665" s="71">
        <f>IF(L665&lt;1,1,L665)</f>
        <v>2.345112913174016</v>
      </c>
      <c r="N665" s="70" t="s">
        <v>141</v>
      </c>
      <c r="O665" s="71">
        <f>INDEX(DurClassMapping,MATCH(M665,MappingTables!$D$4:$D$8,-1),1)</f>
        <v>1</v>
      </c>
      <c r="P665" s="73">
        <f>IF(M665=$A$1,1,$M665-INDEX(MappingTables!$E$4:$E$8,MATCH(O665,MappingTables!$B$4:$B$8,0)))</f>
        <v>2.345112913174016</v>
      </c>
      <c r="Q665" s="71">
        <f>IF(B665="",0,INDEX(ModelParameters!$D$6:$K$10,MATCH($O665,ModelParameters!$B$6:$B$10,0),MATCH($J665,ModelParameters!$D$5:$K$5,0)))</f>
        <v>0.013999999999999998</v>
      </c>
      <c r="R665" s="71">
        <f>IF(B665="",0,INDEX(ModelParameters!$D$13:$K$17,MATCH($O665,ModelParameters!$B$13:$B$17,0),MATCH($J665,ModelParameters!$D$5:$K$5,0)))</f>
        <v>0</v>
      </c>
      <c r="S665" s="160">
        <f>IF(B665="",0,MIN(IF($N665="Other Bond TM",ModelParameters!$N$21,1)*(P665*Q665+R665),1))</f>
        <v>0.032831580784436216</v>
      </c>
      <c r="T665" s="85">
        <f>IF(B665="",0,$S665*$K665)</f>
        <v>0.0041139425900279328</v>
      </c>
      <c r="U665" s="85">
        <f>IF(B665="",0,IF(OR(H665=MappingTables!$C$34,H665=MappingTables!$C$35),T665,0))</f>
        <v>0</v>
      </c>
      <c r="V665" s="85">
        <f>IF(ISNA(IF(AND(VLOOKUP(CONCATENATE($D665,$G665),CSRFinput!$B:$E,4,0)=0,OR(H665=MappingTables!$C$34,H665=MappingTables!$C$35)),1,VLOOKUP(CONCATENATE($D665,$G665),CSRFinput!$B:$E,4,0))),0,IF(AND(VLOOKUP(CONCATENATE($D665,$G665),CSRFinput!$B:$E,4,0)=0,OR(H665=MappingTables!$C$34,H665=MappingTables!$C$35)),1,VLOOKUP(CONCATENATE($D665,$G665),CSRFinput!$B:$E,4,0)))</f>
        <v>0.054776304963434752</v>
      </c>
      <c r="W665" s="85">
        <f>IF(B665="",0,+$T665*$V665)</f>
        <v>0.00022534657391343268</v>
      </c>
      <c r="X665" s="85">
        <f>IF(B665="",0,IF(OR(H665=MappingTables!$C$34,H665=MappingTables!$C$35),W665,0))</f>
        <v>0</v>
      </c>
    </row>
    <row r="666" spans="2:24" s="0" customFormat="0" ht="15">
      <c r="B666" s="69">
        <v>8340264</v>
      </c>
      <c r="C666" s="70" t="s">
        <v>960</v>
      </c>
      <c r="D666" s="70" t="s">
        <v>1</v>
      </c>
      <c r="E666" s="70" t="s">
        <v>1</v>
      </c>
      <c r="F666" s="70"/>
      <c r="G666" s="70" t="s">
        <v>61</v>
      </c>
      <c r="H666" s="70" t="s">
        <v>178</v>
      </c>
      <c r="I666" s="70" t="s">
        <v>184</v>
      </c>
      <c r="J666" s="71">
        <f>IF(OR(I666=0,I666=""),"unrated",VLOOKUP(I666,MappingTables!$B$19:$C$31,2,FALSE))</f>
        <v>5</v>
      </c>
      <c r="K666" s="72">
        <v>912.27226275829952</v>
      </c>
      <c r="L666" s="70">
        <v>1.38842717498354</v>
      </c>
      <c r="M666" s="71">
        <f>IF(L666&lt;1,1,L666)</f>
        <v>1.38842717498354</v>
      </c>
      <c r="N666" s="70" t="s">
        <v>141</v>
      </c>
      <c r="O666" s="71">
        <f>INDEX(DurClassMapping,MATCH(M666,MappingTables!$D$4:$D$8,-1),1)</f>
        <v>1</v>
      </c>
      <c r="P666" s="73">
        <f>IF(M666=$A$1,1,$M666-INDEX(MappingTables!$E$4:$E$8,MATCH(O666,MappingTables!$B$4:$B$8,0)))</f>
        <v>1.38842717498354</v>
      </c>
      <c r="Q666" s="71">
        <f>IF(B666="",0,INDEX(ModelParameters!$D$6:$K$10,MATCH($O666,ModelParameters!$B$6:$B$10,0),MATCH($J666,ModelParameters!$D$5:$K$5,0)))</f>
        <v>0.075</v>
      </c>
      <c r="R666" s="71">
        <f>IF(B666="",0,INDEX(ModelParameters!$D$13:$K$17,MATCH($O666,ModelParameters!$B$13:$B$17,0),MATCH($J666,ModelParameters!$D$5:$K$5,0)))</f>
        <v>0</v>
      </c>
      <c r="S666" s="160">
        <f>IF(B666="",0,MIN(IF($N666="Other Bond TM",ModelParameters!$N$21,1)*(P666*Q666+R666),1))</f>
        <v>0.1041320381237655</v>
      </c>
      <c r="T666" s="85">
        <f>IF(B666="",0,$S666*$K666)</f>
        <v>94.996770044801056</v>
      </c>
      <c r="U666" s="85">
        <f>IF(B666="",0,IF(OR(H666=MappingTables!$C$34,H666=MappingTables!$C$35),T666,0))</f>
        <v>0</v>
      </c>
      <c r="V666" s="85">
        <f>IF(ISNA(IF(AND(VLOOKUP(CONCATENATE($D666,$G666),CSRFinput!$B:$E,4,0)=0,OR(H666=MappingTables!$C$34,H666=MappingTables!$C$35)),1,VLOOKUP(CONCATENATE($D666,$G666),CSRFinput!$B:$E,4,0))),0,IF(AND(VLOOKUP(CONCATENATE($D666,$G666),CSRFinput!$B:$E,4,0)=0,OR(H666=MappingTables!$C$34,H666=MappingTables!$C$35)),1,VLOOKUP(CONCATENATE($D666,$G666),CSRFinput!$B:$E,4,0)))</f>
        <v>0.054776304963434752</v>
      </c>
      <c r="W666" s="85">
        <f>IF(B666="",0,+$T666*$V666)</f>
        <v>5.2035720465153056</v>
      </c>
      <c r="X666" s="85">
        <f>IF(B666="",0,IF(OR(H666=MappingTables!$C$34,H666=MappingTables!$C$35),W666,0))</f>
        <v>0</v>
      </c>
    </row>
    <row r="667" spans="2:24" s="0" customFormat="0" ht="15">
      <c r="B667" s="69" t="s">
        <v>555</v>
      </c>
      <c r="C667" s="70" t="s">
        <v>556</v>
      </c>
      <c r="D667" s="70" t="s">
        <v>1</v>
      </c>
      <c r="E667" s="70" t="s">
        <v>1</v>
      </c>
      <c r="F667" s="70"/>
      <c r="G667" s="70" t="s">
        <v>61</v>
      </c>
      <c r="H667" s="70" t="s">
        <v>178</v>
      </c>
      <c r="I667" s="70" t="s">
        <v>188</v>
      </c>
      <c r="J667" s="71">
        <f>IF(OR(I667=0,I667=""),"unrated",VLOOKUP(I667,MappingTables!$B$19:$C$31,2,FALSE))</f>
        <v>2</v>
      </c>
      <c r="K667" s="72">
        <v>3.7056519813087464</v>
      </c>
      <c r="L667" s="70">
        <v>2.4721049828782724</v>
      </c>
      <c r="M667" s="71">
        <f>IF(L667&lt;1,1,L667)</f>
        <v>2.4721049828782724</v>
      </c>
      <c r="N667" s="70" t="s">
        <v>141</v>
      </c>
      <c r="O667" s="71">
        <f>INDEX(DurClassMapping,MATCH(M667,MappingTables!$D$4:$D$8,-1),1)</f>
        <v>1</v>
      </c>
      <c r="P667" s="73">
        <f>IF(M667=$A$1,1,$M667-INDEX(MappingTables!$E$4:$E$8,MATCH(O667,MappingTables!$B$4:$B$8,0)))</f>
        <v>2.4721049828782724</v>
      </c>
      <c r="Q667" s="71">
        <f>IF(B667="",0,INDEX(ModelParameters!$D$6:$K$10,MATCH($O667,ModelParameters!$B$6:$B$10,0),MATCH($J667,ModelParameters!$D$5:$K$5,0)))</f>
        <v>0.013999999999999998</v>
      </c>
      <c r="R667" s="71">
        <f>IF(B667="",0,INDEX(ModelParameters!$D$13:$K$17,MATCH($O667,ModelParameters!$B$13:$B$17,0),MATCH($J667,ModelParameters!$D$5:$K$5,0)))</f>
        <v>0</v>
      </c>
      <c r="S667" s="160">
        <f>IF(B667="",0,MIN(IF($N667="Other Bond TM",ModelParameters!$N$21,1)*(P667*Q667+R667),1))</f>
        <v>0.034609469760295808</v>
      </c>
      <c r="T667" s="85">
        <f>IF(B667="",0,$S667*$K667)</f>
        <v>0.1282506501892853</v>
      </c>
      <c r="U667" s="85">
        <f>IF(B667="",0,IF(OR(H667=MappingTables!$C$34,H667=MappingTables!$C$35),T667,0))</f>
        <v>0</v>
      </c>
      <c r="V667" s="85">
        <f>IF(ISNA(IF(AND(VLOOKUP(CONCATENATE($D667,$G667),CSRFinput!$B:$E,4,0)=0,OR(H667=MappingTables!$C$34,H667=MappingTables!$C$35)),1,VLOOKUP(CONCATENATE($D667,$G667),CSRFinput!$B:$E,4,0))),0,IF(AND(VLOOKUP(CONCATENATE($D667,$G667),CSRFinput!$B:$E,4,0)=0,OR(H667=MappingTables!$C$34,H667=MappingTables!$C$35)),1,VLOOKUP(CONCATENATE($D667,$G667),CSRFinput!$B:$E,4,0)))</f>
        <v>0.054776304963434752</v>
      </c>
      <c r="W667" s="85">
        <f>IF(B667="",0,+$T667*$V667)</f>
        <v>0.0070250967265270832</v>
      </c>
      <c r="X667" s="85">
        <f>IF(B667="",0,IF(OR(H667=MappingTables!$C$34,H667=MappingTables!$C$35),W667,0))</f>
        <v>0</v>
      </c>
    </row>
    <row r="668" spans="2:24" s="0" customFormat="0" ht="15">
      <c r="B668" s="69">
        <v>16992081</v>
      </c>
      <c r="C668" s="70" t="s">
        <v>961</v>
      </c>
      <c r="D668" s="70" t="s">
        <v>1</v>
      </c>
      <c r="E668" s="70" t="s">
        <v>1</v>
      </c>
      <c r="F668" s="70"/>
      <c r="G668" s="70" t="s">
        <v>61</v>
      </c>
      <c r="H668" s="70" t="s">
        <v>178</v>
      </c>
      <c r="I668" s="70" t="s">
        <v>184</v>
      </c>
      <c r="J668" s="71">
        <f>IF(OR(I668=0,I668=""),"unrated",VLOOKUP(I668,MappingTables!$B$19:$C$31,2,FALSE))</f>
        <v>5</v>
      </c>
      <c r="K668" s="72">
        <v>210.58391340654472</v>
      </c>
      <c r="L668" s="70">
        <v>0.087671521273873456</v>
      </c>
      <c r="M668" s="71">
        <f>IF(L668&lt;1,1,L668)</f>
        <v>1</v>
      </c>
      <c r="N668" s="70" t="s">
        <v>141</v>
      </c>
      <c r="O668" s="71">
        <f>INDEX(DurClassMapping,MATCH(M668,MappingTables!$D$4:$D$8,-1),1)</f>
        <v>1</v>
      </c>
      <c r="P668" s="73">
        <f>IF(M668=$A$1,1,$M668-INDEX(MappingTables!$E$4:$E$8,MATCH(O668,MappingTables!$B$4:$B$8,0)))</f>
        <v>1</v>
      </c>
      <c r="Q668" s="71">
        <f>IF(B668="",0,INDEX(ModelParameters!$D$6:$K$10,MATCH($O668,ModelParameters!$B$6:$B$10,0),MATCH($J668,ModelParameters!$D$5:$K$5,0)))</f>
        <v>0.075</v>
      </c>
      <c r="R668" s="71">
        <f>IF(B668="",0,INDEX(ModelParameters!$D$13:$K$17,MATCH($O668,ModelParameters!$B$13:$B$17,0),MATCH($J668,ModelParameters!$D$5:$K$5,0)))</f>
        <v>0</v>
      </c>
      <c r="S668" s="160">
        <f>IF(B668="",0,MIN(IF($N668="Other Bond TM",ModelParameters!$N$21,1)*(P668*Q668+R668),1))</f>
        <v>0.075</v>
      </c>
      <c r="T668" s="85">
        <f>IF(B668="",0,$S668*$K668)</f>
        <v>15.793793505490854</v>
      </c>
      <c r="U668" s="85">
        <f>IF(B668="",0,IF(OR(H668=MappingTables!$C$34,H668=MappingTables!$C$35),T668,0))</f>
        <v>0</v>
      </c>
      <c r="V668" s="85">
        <f>IF(ISNA(IF(AND(VLOOKUP(CONCATENATE($D668,$G668),CSRFinput!$B:$E,4,0)=0,OR(H668=MappingTables!$C$34,H668=MappingTables!$C$35)),1,VLOOKUP(CONCATENATE($D668,$G668),CSRFinput!$B:$E,4,0))),0,IF(AND(VLOOKUP(CONCATENATE($D668,$G668),CSRFinput!$B:$E,4,0)=0,OR(H668=MappingTables!$C$34,H668=MappingTables!$C$35)),1,VLOOKUP(CONCATENATE($D668,$G668),CSRFinput!$B:$E,4,0)))</f>
        <v>0.054776304963434752</v>
      </c>
      <c r="W668" s="85">
        <f>IF(B668="",0,+$T668*$V668)</f>
        <v>0.86512564958628224</v>
      </c>
      <c r="X668" s="85">
        <f>IF(B668="",0,IF(OR(H668=MappingTables!$C$34,H668=MappingTables!$C$35),W668,0))</f>
        <v>0</v>
      </c>
    </row>
    <row r="669" spans="2:24" s="0" customFormat="0" ht="15">
      <c r="B669" s="69">
        <v>12295257</v>
      </c>
      <c r="C669" s="70" t="s">
        <v>962</v>
      </c>
      <c r="D669" s="70" t="s">
        <v>1</v>
      </c>
      <c r="E669" s="70" t="s">
        <v>1</v>
      </c>
      <c r="F669" s="70"/>
      <c r="G669" s="70" t="s">
        <v>61</v>
      </c>
      <c r="H669" s="70" t="s">
        <v>178</v>
      </c>
      <c r="I669" s="70" t="s">
        <v>188</v>
      </c>
      <c r="J669" s="71">
        <f>IF(OR(I669=0,I669=""),"unrated",VLOOKUP(I669,MappingTables!$B$19:$C$31,2,FALSE))</f>
        <v>2</v>
      </c>
      <c r="K669" s="72">
        <v>15.544846204361018</v>
      </c>
      <c r="L669" s="70">
        <v>0.59137467736655688</v>
      </c>
      <c r="M669" s="71">
        <f>IF(L669&lt;1,1,L669)</f>
        <v>1</v>
      </c>
      <c r="N669" s="70" t="s">
        <v>141</v>
      </c>
      <c r="O669" s="71">
        <f>INDEX(DurClassMapping,MATCH(M669,MappingTables!$D$4:$D$8,-1),1)</f>
        <v>1</v>
      </c>
      <c r="P669" s="73">
        <f>IF(M669=$A$1,1,$M669-INDEX(MappingTables!$E$4:$E$8,MATCH(O669,MappingTables!$B$4:$B$8,0)))</f>
        <v>1</v>
      </c>
      <c r="Q669" s="71">
        <f>IF(B669="",0,INDEX(ModelParameters!$D$6:$K$10,MATCH($O669,ModelParameters!$B$6:$B$10,0),MATCH($J669,ModelParameters!$D$5:$K$5,0)))</f>
        <v>0.013999999999999998</v>
      </c>
      <c r="R669" s="71">
        <f>IF(B669="",0,INDEX(ModelParameters!$D$13:$K$17,MATCH($O669,ModelParameters!$B$13:$B$17,0),MATCH($J669,ModelParameters!$D$5:$K$5,0)))</f>
        <v>0</v>
      </c>
      <c r="S669" s="160">
        <f>IF(B669="",0,MIN(IF($N669="Other Bond TM",ModelParameters!$N$21,1)*(P669*Q669+R669),1))</f>
        <v>0.013999999999999998</v>
      </c>
      <c r="T669" s="85">
        <f>IF(B669="",0,$S669*$K669)</f>
        <v>0.21762784686105424</v>
      </c>
      <c r="U669" s="85">
        <f>IF(B669="",0,IF(OR(H669=MappingTables!$C$34,H669=MappingTables!$C$35),T669,0))</f>
        <v>0</v>
      </c>
      <c r="V669" s="85">
        <f>IF(ISNA(IF(AND(VLOOKUP(CONCATENATE($D669,$G669),CSRFinput!$B:$E,4,0)=0,OR(H669=MappingTables!$C$34,H669=MappingTables!$C$35)),1,VLOOKUP(CONCATENATE($D669,$G669),CSRFinput!$B:$E,4,0))),0,IF(AND(VLOOKUP(CONCATENATE($D669,$G669),CSRFinput!$B:$E,4,0)=0,OR(H669=MappingTables!$C$34,H669=MappingTables!$C$35)),1,VLOOKUP(CONCATENATE($D669,$G669),CSRFinput!$B:$E,4,0)))</f>
        <v>0.054776304963434752</v>
      </c>
      <c r="W669" s="85">
        <f>IF(B669="",0,+$T669*$V669)</f>
        <v>0.011920849308196784</v>
      </c>
      <c r="X669" s="85">
        <f>IF(B669="",0,IF(OR(H669=MappingTables!$C$34,H669=MappingTables!$C$35),W669,0))</f>
        <v>0</v>
      </c>
    </row>
    <row r="670" spans="2:24" s="0" customFormat="0" ht="15">
      <c r="B670" s="69">
        <v>21801477</v>
      </c>
      <c r="C670" s="70" t="s">
        <v>963</v>
      </c>
      <c r="D670" s="70" t="s">
        <v>1</v>
      </c>
      <c r="E670" s="70" t="s">
        <v>1</v>
      </c>
      <c r="F670" s="70"/>
      <c r="G670" s="70" t="s">
        <v>61</v>
      </c>
      <c r="H670" s="70" t="s">
        <v>178</v>
      </c>
      <c r="I670" s="70" t="s">
        <v>181</v>
      </c>
      <c r="J670" s="71">
        <f>IF(OR(I670=0,I670=""),"unrated",VLOOKUP(I670,MappingTables!$B$19:$C$31,2,FALSE))</f>
        <v>3</v>
      </c>
      <c r="K670" s="72">
        <v>12567.855996375626</v>
      </c>
      <c r="L670" s="70">
        <v>18.64736675443882</v>
      </c>
      <c r="M670" s="71">
        <f>IF(L670&lt;1,1,L670)</f>
        <v>18.64736675443882</v>
      </c>
      <c r="N670" s="70" t="s">
        <v>141</v>
      </c>
      <c r="O670" s="71">
        <f>INDEX(DurClassMapping,MATCH(M670,MappingTables!$D$4:$D$8,-1),1)</f>
        <v>4</v>
      </c>
      <c r="P670" s="73">
        <f>IF(M670=$A$1,1,$M670-INDEX(MappingTables!$E$4:$E$8,MATCH(O670,MappingTables!$B$4:$B$8,0)))</f>
        <v>3.6473667544388208</v>
      </c>
      <c r="Q670" s="71">
        <f>IF(B670="",0,INDEX(ModelParameters!$D$6:$K$10,MATCH($O670,ModelParameters!$B$6:$B$10,0),MATCH($J670,ModelParameters!$D$5:$K$5,0)))</f>
        <v>0.01</v>
      </c>
      <c r="R670" s="71">
        <f>IF(B670="",0,INDEX(ModelParameters!$D$13:$K$17,MATCH($O670,ModelParameters!$B$13:$B$17,0),MATCH($J670,ModelParameters!$D$5:$K$5,0)))</f>
        <v>0.25</v>
      </c>
      <c r="S670" s="160">
        <f>IF(B670="",0,MIN(IF($N670="Other Bond TM",ModelParameters!$N$21,1)*(P670*Q670+R670),1))</f>
        <v>0.2864736675443882</v>
      </c>
      <c r="T670" s="85">
        <f>IF(B670="",0,$S670*$K670)</f>
        <v>3600.3598004514564</v>
      </c>
      <c r="U670" s="85">
        <f>IF(B670="",0,IF(OR(H670=MappingTables!$C$34,H670=MappingTables!$C$35),T670,0))</f>
        <v>0</v>
      </c>
      <c r="V670" s="85">
        <f>IF(ISNA(IF(AND(VLOOKUP(CONCATENATE($D670,$G670),CSRFinput!$B:$E,4,0)=0,OR(H670=MappingTables!$C$34,H670=MappingTables!$C$35)),1,VLOOKUP(CONCATENATE($D670,$G670),CSRFinput!$B:$E,4,0))),0,IF(AND(VLOOKUP(CONCATENATE($D670,$G670),CSRFinput!$B:$E,4,0)=0,OR(H670=MappingTables!$C$34,H670=MappingTables!$C$35)),1,VLOOKUP(CONCATENATE($D670,$G670),CSRFinput!$B:$E,4,0)))</f>
        <v>0.054776304963434752</v>
      </c>
      <c r="W670" s="85">
        <f>IF(B670="",0,+$T670*$V670)</f>
        <v>197.21440640762008</v>
      </c>
      <c r="X670" s="85">
        <f>IF(B670="",0,IF(OR(H670=MappingTables!$C$34,H670=MappingTables!$C$35),W670,0))</f>
        <v>0</v>
      </c>
    </row>
    <row r="671" spans="2:24" s="0" customFormat="0" ht="15">
      <c r="B671" s="69">
        <v>13700564</v>
      </c>
      <c r="C671" s="70" t="s">
        <v>964</v>
      </c>
      <c r="D671" s="70" t="s">
        <v>1</v>
      </c>
      <c r="E671" s="70" t="s">
        <v>1</v>
      </c>
      <c r="F671" s="70"/>
      <c r="G671" s="70" t="s">
        <v>61</v>
      </c>
      <c r="H671" s="70" t="s">
        <v>178</v>
      </c>
      <c r="I671" s="70" t="s">
        <v>181</v>
      </c>
      <c r="J671" s="71">
        <f>IF(OR(I671=0,I671=""),"unrated",VLOOKUP(I671,MappingTables!$B$19:$C$31,2,FALSE))</f>
        <v>3</v>
      </c>
      <c r="K671" s="72">
        <v>8633.8946547935296</v>
      </c>
      <c r="L671" s="70">
        <v>5.9634663717474392</v>
      </c>
      <c r="M671" s="71">
        <f>IF(L671&lt;1,1,L671)</f>
        <v>5.9634663717474392</v>
      </c>
      <c r="N671" s="70" t="s">
        <v>141</v>
      </c>
      <c r="O671" s="71">
        <f>INDEX(DurClassMapping,MATCH(M671,MappingTables!$D$4:$D$8,-1),1)</f>
        <v>2</v>
      </c>
      <c r="P671" s="73">
        <f>IF(M671=$A$1,1,$M671-INDEX(MappingTables!$E$4:$E$8,MATCH(O671,MappingTables!$B$4:$B$8,0)))</f>
        <v>0.96346637174743936</v>
      </c>
      <c r="Q671" s="71">
        <f>IF(B671="",0,INDEX(ModelParameters!$D$6:$K$10,MATCH($O671,ModelParameters!$B$6:$B$10,0),MATCH($J671,ModelParameters!$D$5:$K$5,0)))</f>
        <v>0.015</v>
      </c>
      <c r="R671" s="71">
        <f>IF(B671="",0,INDEX(ModelParameters!$D$13:$K$17,MATCH($O671,ModelParameters!$B$13:$B$17,0),MATCH($J671,ModelParameters!$D$5:$K$5,0)))</f>
        <v>0.125</v>
      </c>
      <c r="S671" s="160">
        <f>IF(B671="",0,MIN(IF($N671="Other Bond TM",ModelParameters!$N$21,1)*(P671*Q671+R671),1))</f>
        <v>0.1394519955762116</v>
      </c>
      <c r="T671" s="85">
        <f>IF(B671="",0,$S671*$K671)</f>
        <v>1204.0138392057442</v>
      </c>
      <c r="U671" s="85">
        <f>IF(B671="",0,IF(OR(H671=MappingTables!$C$34,H671=MappingTables!$C$35),T671,0))</f>
        <v>0</v>
      </c>
      <c r="V671" s="85">
        <f>IF(ISNA(IF(AND(VLOOKUP(CONCATENATE($D671,$G671),CSRFinput!$B:$E,4,0)=0,OR(H671=MappingTables!$C$34,H671=MappingTables!$C$35)),1,VLOOKUP(CONCATENATE($D671,$G671),CSRFinput!$B:$E,4,0))),0,IF(AND(VLOOKUP(CONCATENATE($D671,$G671),CSRFinput!$B:$E,4,0)=0,OR(H671=MappingTables!$C$34,H671=MappingTables!$C$35)),1,VLOOKUP(CONCATENATE($D671,$G671),CSRFinput!$B:$E,4,0)))</f>
        <v>0.054776304963434752</v>
      </c>
      <c r="W671" s="85">
        <f>IF(B671="",0,+$T671*$V671)</f>
        <v>65.951429236529744</v>
      </c>
      <c r="X671" s="85">
        <f>IF(B671="",0,IF(OR(H671=MappingTables!$C$34,H671=MappingTables!$C$35),W671,0))</f>
        <v>0</v>
      </c>
    </row>
    <row r="672" spans="2:24" s="0" customFormat="0" ht="15">
      <c r="B672" s="69">
        <v>4104355</v>
      </c>
      <c r="C672" s="70" t="s">
        <v>965</v>
      </c>
      <c r="D672" s="70" t="s">
        <v>1</v>
      </c>
      <c r="E672" s="70" t="s">
        <v>1</v>
      </c>
      <c r="F672" s="70"/>
      <c r="G672" s="70" t="s">
        <v>61</v>
      </c>
      <c r="H672" s="70" t="s">
        <v>178</v>
      </c>
      <c r="I672" s="70" t="s">
        <v>181</v>
      </c>
      <c r="J672" s="71">
        <f>IF(OR(I672=0,I672=""),"unrated",VLOOKUP(I672,MappingTables!$B$19:$C$31,2,FALSE))</f>
        <v>3</v>
      </c>
      <c r="K672" s="72">
        <v>1547.0339846504724</v>
      </c>
      <c r="L672" s="70">
        <v>13.609342519410288</v>
      </c>
      <c r="M672" s="71">
        <f>IF(L672&lt;1,1,L672)</f>
        <v>13.609342519410288</v>
      </c>
      <c r="N672" s="70" t="s">
        <v>141</v>
      </c>
      <c r="O672" s="71">
        <f>INDEX(DurClassMapping,MATCH(M672,MappingTables!$D$4:$D$8,-1),1)</f>
        <v>3</v>
      </c>
      <c r="P672" s="73">
        <f>IF(M672=$A$1,1,$M672-INDEX(MappingTables!$E$4:$E$8,MATCH(O672,MappingTables!$B$4:$B$8,0)))</f>
        <v>3.6093425194102888</v>
      </c>
      <c r="Q672" s="71">
        <f>IF(B672="",0,INDEX(ModelParameters!$D$6:$K$10,MATCH($O672,ModelParameters!$B$6:$B$10,0),MATCH($J672,ModelParameters!$D$5:$K$5,0)))</f>
        <v>0.01</v>
      </c>
      <c r="R672" s="71">
        <f>IF(B672="",0,INDEX(ModelParameters!$D$13:$K$17,MATCH($O672,ModelParameters!$B$13:$B$17,0),MATCH($J672,ModelParameters!$D$5:$K$5,0)))</f>
        <v>0.2</v>
      </c>
      <c r="S672" s="160">
        <f>IF(B672="",0,MIN(IF($N672="Other Bond TM",ModelParameters!$N$21,1)*(P672*Q672+R672),1))</f>
        <v>0.23609342519410288</v>
      </c>
      <c r="T672" s="85">
        <f>IF(B672="",0,$S672*$K672)</f>
        <v>365.2445523278112</v>
      </c>
      <c r="U672" s="85">
        <f>IF(B672="",0,IF(OR(H672=MappingTables!$C$34,H672=MappingTables!$C$35),T672,0))</f>
        <v>0</v>
      </c>
      <c r="V672" s="85">
        <f>IF(ISNA(IF(AND(VLOOKUP(CONCATENATE($D672,$G672),CSRFinput!$B:$E,4,0)=0,OR(H672=MappingTables!$C$34,H672=MappingTables!$C$35)),1,VLOOKUP(CONCATENATE($D672,$G672),CSRFinput!$B:$E,4,0))),0,IF(AND(VLOOKUP(CONCATENATE($D672,$G672),CSRFinput!$B:$E,4,0)=0,OR(H672=MappingTables!$C$34,H672=MappingTables!$C$35)),1,VLOOKUP(CONCATENATE($D672,$G672),CSRFinput!$B:$E,4,0)))</f>
        <v>0.054776304963434752</v>
      </c>
      <c r="W672" s="85">
        <f>IF(B672="",0,+$T672*$V672)</f>
        <v>20.006746984541392</v>
      </c>
      <c r="X672" s="85">
        <f>IF(B672="",0,IF(OR(H672=MappingTables!$C$34,H672=MappingTables!$C$35),W672,0))</f>
        <v>0</v>
      </c>
    </row>
    <row r="673" spans="2:24" s="0" customFormat="0" ht="15">
      <c r="B673" s="69">
        <v>11519512</v>
      </c>
      <c r="C673" s="70" t="s">
        <v>966</v>
      </c>
      <c r="D673" s="70" t="s">
        <v>1</v>
      </c>
      <c r="E673" s="70" t="s">
        <v>1</v>
      </c>
      <c r="F673" s="70"/>
      <c r="G673" s="70" t="s">
        <v>61</v>
      </c>
      <c r="H673" s="70" t="s">
        <v>178</v>
      </c>
      <c r="I673" s="70" t="s">
        <v>181</v>
      </c>
      <c r="J673" s="71">
        <f>IF(OR(I673=0,I673=""),"unrated",VLOOKUP(I673,MappingTables!$B$19:$C$31,2,FALSE))</f>
        <v>3</v>
      </c>
      <c r="K673" s="72">
        <v>3738.0997201546464</v>
      </c>
      <c r="L673" s="70">
        <v>4.5201808160888936</v>
      </c>
      <c r="M673" s="71">
        <f>IF(L673&lt;1,1,L673)</f>
        <v>4.5201808160888936</v>
      </c>
      <c r="N673" s="70" t="s">
        <v>141</v>
      </c>
      <c r="O673" s="71">
        <f>INDEX(DurClassMapping,MATCH(M673,MappingTables!$D$4:$D$8,-1),1)</f>
        <v>1</v>
      </c>
      <c r="P673" s="73">
        <f>IF(M673=$A$1,1,$M673-INDEX(MappingTables!$E$4:$E$8,MATCH(O673,MappingTables!$B$4:$B$8,0)))</f>
        <v>4.5201808160888936</v>
      </c>
      <c r="Q673" s="71">
        <f>IF(B673="",0,INDEX(ModelParameters!$D$6:$K$10,MATCH($O673,ModelParameters!$B$6:$B$10,0),MATCH($J673,ModelParameters!$D$5:$K$5,0)))</f>
        <v>0.025</v>
      </c>
      <c r="R673" s="71">
        <f>IF(B673="",0,INDEX(ModelParameters!$D$13:$K$17,MATCH($O673,ModelParameters!$B$13:$B$17,0),MATCH($J673,ModelParameters!$D$5:$K$5,0)))</f>
        <v>0</v>
      </c>
      <c r="S673" s="160">
        <f>IF(B673="",0,MIN(IF($N673="Other Bond TM",ModelParameters!$N$21,1)*(P673*Q673+R673),1))</f>
        <v>0.11300452040222234</v>
      </c>
      <c r="T673" s="85">
        <f>IF(B673="",0,$S673*$K673)</f>
        <v>422.42216609175736</v>
      </c>
      <c r="U673" s="85">
        <f>IF(B673="",0,IF(OR(H673=MappingTables!$C$34,H673=MappingTables!$C$35),T673,0))</f>
        <v>0</v>
      </c>
      <c r="V673" s="85">
        <f>IF(ISNA(IF(AND(VLOOKUP(CONCATENATE($D673,$G673),CSRFinput!$B:$E,4,0)=0,OR(H673=MappingTables!$C$34,H673=MappingTables!$C$35)),1,VLOOKUP(CONCATENATE($D673,$G673),CSRFinput!$B:$E,4,0))),0,IF(AND(VLOOKUP(CONCATENATE($D673,$G673),CSRFinput!$B:$E,4,0)=0,OR(H673=MappingTables!$C$34,H673=MappingTables!$C$35)),1,VLOOKUP(CONCATENATE($D673,$G673),CSRFinput!$B:$E,4,0)))</f>
        <v>0.054776304963434752</v>
      </c>
      <c r="W673" s="85">
        <f>IF(B673="",0,+$T673*$V673)</f>
        <v>23.138725393156788</v>
      </c>
      <c r="X673" s="85">
        <f>IF(B673="",0,IF(OR(H673=MappingTables!$C$34,H673=MappingTables!$C$35),W673,0))</f>
        <v>0</v>
      </c>
    </row>
    <row r="674" spans="2:24" s="0" customFormat="0" ht="15">
      <c r="B674" s="69">
        <v>4601775</v>
      </c>
      <c r="C674" s="70" t="s">
        <v>967</v>
      </c>
      <c r="D674" s="70" t="s">
        <v>1</v>
      </c>
      <c r="E674" s="70" t="s">
        <v>1</v>
      </c>
      <c r="F674" s="70"/>
      <c r="G674" s="70" t="s">
        <v>61</v>
      </c>
      <c r="H674" s="70" t="s">
        <v>178</v>
      </c>
      <c r="I674" s="70" t="s">
        <v>179</v>
      </c>
      <c r="J674" s="71">
        <f>IF(OR(I674=0,I674=""),"unrated",VLOOKUP(I674,MappingTables!$B$19:$C$31,2,FALSE))</f>
        <v>4</v>
      </c>
      <c r="K674" s="72">
        <v>2119.6882602701768</v>
      </c>
      <c r="L674" s="70">
        <v>1.28162151983418</v>
      </c>
      <c r="M674" s="71">
        <f>IF(L674&lt;1,1,L674)</f>
        <v>1.28162151983418</v>
      </c>
      <c r="N674" s="70" t="s">
        <v>141</v>
      </c>
      <c r="O674" s="71">
        <f>INDEX(DurClassMapping,MATCH(M674,MappingTables!$D$4:$D$8,-1),1)</f>
        <v>1</v>
      </c>
      <c r="P674" s="73">
        <f>IF(M674=$A$1,1,$M674-INDEX(MappingTables!$E$4:$E$8,MATCH(O674,MappingTables!$B$4:$B$8,0)))</f>
        <v>1.28162151983418</v>
      </c>
      <c r="Q674" s="71">
        <f>IF(B674="",0,INDEX(ModelParameters!$D$6:$K$10,MATCH($O674,ModelParameters!$B$6:$B$10,0),MATCH($J674,ModelParameters!$D$5:$K$5,0)))</f>
        <v>0.045</v>
      </c>
      <c r="R674" s="71">
        <f>IF(B674="",0,INDEX(ModelParameters!$D$13:$K$17,MATCH($O674,ModelParameters!$B$13:$B$17,0),MATCH($J674,ModelParameters!$D$5:$K$5,0)))</f>
        <v>0</v>
      </c>
      <c r="S674" s="160">
        <f>IF(B674="",0,MIN(IF($N674="Other Bond TM",ModelParameters!$N$21,1)*(P674*Q674+R674),1))</f>
        <v>0.057672968392538096</v>
      </c>
      <c r="T674" s="85">
        <f>IF(B674="",0,$S674*$K674)</f>
        <v>122.24871403659598</v>
      </c>
      <c r="U674" s="85">
        <f>IF(B674="",0,IF(OR(H674=MappingTables!$C$34,H674=MappingTables!$C$35),T674,0))</f>
        <v>0</v>
      </c>
      <c r="V674" s="85">
        <f>IF(ISNA(IF(AND(VLOOKUP(CONCATENATE($D674,$G674),CSRFinput!$B:$E,4,0)=0,OR(H674=MappingTables!$C$34,H674=MappingTables!$C$35)),1,VLOOKUP(CONCATENATE($D674,$G674),CSRFinput!$B:$E,4,0))),0,IF(AND(VLOOKUP(CONCATENATE($D674,$G674),CSRFinput!$B:$E,4,0)=0,OR(H674=MappingTables!$C$34,H674=MappingTables!$C$35)),1,VLOOKUP(CONCATENATE($D674,$G674),CSRFinput!$B:$E,4,0)))</f>
        <v>0.054776304963434752</v>
      </c>
      <c r="W674" s="85">
        <f>IF(B674="",0,+$T674*$V674)</f>
        <v>6.6963328414563072</v>
      </c>
      <c r="X674" s="85">
        <f>IF(B674="",0,IF(OR(H674=MappingTables!$C$34,H674=MappingTables!$C$35),W674,0))</f>
        <v>0</v>
      </c>
    </row>
    <row r="675" spans="2:24" s="0" customFormat="0" ht="15">
      <c r="B675" s="69">
        <v>9542984</v>
      </c>
      <c r="C675" s="70" t="s">
        <v>968</v>
      </c>
      <c r="D675" s="70" t="s">
        <v>1</v>
      </c>
      <c r="E675" s="70" t="s">
        <v>1</v>
      </c>
      <c r="F675" s="70"/>
      <c r="G675" s="70" t="s">
        <v>61</v>
      </c>
      <c r="H675" s="70" t="s">
        <v>178</v>
      </c>
      <c r="I675" s="70" t="s">
        <v>181</v>
      </c>
      <c r="J675" s="71">
        <f>IF(OR(I675=0,I675=""),"unrated",VLOOKUP(I675,MappingTables!$B$19:$C$31,2,FALSE))</f>
        <v>3</v>
      </c>
      <c r="K675" s="72">
        <v>4.9470575336500312</v>
      </c>
      <c r="L675" s="70">
        <v>0.40000310901816848</v>
      </c>
      <c r="M675" s="71">
        <f>IF(L675&lt;1,1,L675)</f>
        <v>1</v>
      </c>
      <c r="N675" s="70" t="s">
        <v>141</v>
      </c>
      <c r="O675" s="71">
        <f>INDEX(DurClassMapping,MATCH(M675,MappingTables!$D$4:$D$8,-1),1)</f>
        <v>1</v>
      </c>
      <c r="P675" s="73">
        <f>IF(M675=$A$1,1,$M675-INDEX(MappingTables!$E$4:$E$8,MATCH(O675,MappingTables!$B$4:$B$8,0)))</f>
        <v>1</v>
      </c>
      <c r="Q675" s="71">
        <f>IF(B675="",0,INDEX(ModelParameters!$D$6:$K$10,MATCH($O675,ModelParameters!$B$6:$B$10,0),MATCH($J675,ModelParameters!$D$5:$K$5,0)))</f>
        <v>0.025</v>
      </c>
      <c r="R675" s="71">
        <f>IF(B675="",0,INDEX(ModelParameters!$D$13:$K$17,MATCH($O675,ModelParameters!$B$13:$B$17,0),MATCH($J675,ModelParameters!$D$5:$K$5,0)))</f>
        <v>0</v>
      </c>
      <c r="S675" s="160">
        <f>IF(B675="",0,MIN(IF($N675="Other Bond TM",ModelParameters!$N$21,1)*(P675*Q675+R675),1))</f>
        <v>0.025</v>
      </c>
      <c r="T675" s="85">
        <f>IF(B675="",0,$S675*$K675)</f>
        <v>0.12367643834125078</v>
      </c>
      <c r="U675" s="85">
        <f>IF(B675="",0,IF(OR(H675=MappingTables!$C$34,H675=MappingTables!$C$35),T675,0))</f>
        <v>0</v>
      </c>
      <c r="V675" s="85">
        <f>IF(ISNA(IF(AND(VLOOKUP(CONCATENATE($D675,$G675),CSRFinput!$B:$E,4,0)=0,OR(H675=MappingTables!$C$34,H675=MappingTables!$C$35)),1,VLOOKUP(CONCATENATE($D675,$G675),CSRFinput!$B:$E,4,0))),0,IF(AND(VLOOKUP(CONCATENATE($D675,$G675),CSRFinput!$B:$E,4,0)=0,OR(H675=MappingTables!$C$34,H675=MappingTables!$C$35)),1,VLOOKUP(CONCATENATE($D675,$G675),CSRFinput!$B:$E,4,0)))</f>
        <v>0.054776304963434752</v>
      </c>
      <c r="W675" s="85">
        <f>IF(B675="",0,+$T675*$V675)</f>
        <v>0.0067745383033717872</v>
      </c>
      <c r="X675" s="85">
        <f>IF(B675="",0,IF(OR(H675=MappingTables!$C$34,H675=MappingTables!$C$35),W675,0))</f>
        <v>0</v>
      </c>
    </row>
    <row r="676" spans="2:24" s="0" customFormat="0" ht="15">
      <c r="B676" s="69" t="s">
        <v>969</v>
      </c>
      <c r="C676" s="70" t="s">
        <v>970</v>
      </c>
      <c r="D676" s="70" t="s">
        <v>1</v>
      </c>
      <c r="E676" s="70" t="s">
        <v>1</v>
      </c>
      <c r="F676" s="70"/>
      <c r="G676" s="70" t="s">
        <v>61</v>
      </c>
      <c r="H676" s="70" t="s">
        <v>178</v>
      </c>
      <c r="I676" s="70" t="s">
        <v>181</v>
      </c>
      <c r="J676" s="71">
        <f>IF(OR(I676=0,I676=""),"unrated",VLOOKUP(I676,MappingTables!$B$19:$C$31,2,FALSE))</f>
        <v>3</v>
      </c>
      <c r="K676" s="72">
        <v>3468.4548192600716</v>
      </c>
      <c r="L676" s="70">
        <v>7.6990645152760368</v>
      </c>
      <c r="M676" s="71">
        <f>IF(L676&lt;1,1,L676)</f>
        <v>7.6990645152760368</v>
      </c>
      <c r="N676" s="70" t="s">
        <v>141</v>
      </c>
      <c r="O676" s="71">
        <f>INDEX(DurClassMapping,MATCH(M676,MappingTables!$D$4:$D$8,-1),1)</f>
        <v>2</v>
      </c>
      <c r="P676" s="73">
        <f>IF(M676=$A$1,1,$M676-INDEX(MappingTables!$E$4:$E$8,MATCH(O676,MappingTables!$B$4:$B$8,0)))</f>
        <v>2.6990645152760368</v>
      </c>
      <c r="Q676" s="71">
        <f>IF(B676="",0,INDEX(ModelParameters!$D$6:$K$10,MATCH($O676,ModelParameters!$B$6:$B$10,0),MATCH($J676,ModelParameters!$D$5:$K$5,0)))</f>
        <v>0.015</v>
      </c>
      <c r="R676" s="71">
        <f>IF(B676="",0,INDEX(ModelParameters!$D$13:$K$17,MATCH($O676,ModelParameters!$B$13:$B$17,0),MATCH($J676,ModelParameters!$D$5:$K$5,0)))</f>
        <v>0.125</v>
      </c>
      <c r="S676" s="160">
        <f>IF(B676="",0,MIN(IF($N676="Other Bond TM",ModelParameters!$N$21,1)*(P676*Q676+R676),1))</f>
        <v>0.16548596772914054</v>
      </c>
      <c r="T676" s="85">
        <f>IF(B676="",0,$S676*$K676)</f>
        <v>573.98060229005424</v>
      </c>
      <c r="U676" s="85">
        <f>IF(B676="",0,IF(OR(H676=MappingTables!$C$34,H676=MappingTables!$C$35),T676,0))</f>
        <v>0</v>
      </c>
      <c r="V676" s="85">
        <f>IF(ISNA(IF(AND(VLOOKUP(CONCATENATE($D676,$G676),CSRFinput!$B:$E,4,0)=0,OR(H676=MappingTables!$C$34,H676=MappingTables!$C$35)),1,VLOOKUP(CONCATENATE($D676,$G676),CSRFinput!$B:$E,4,0))),0,IF(AND(VLOOKUP(CONCATENATE($D676,$G676),CSRFinput!$B:$E,4,0)=0,OR(H676=MappingTables!$C$34,H676=MappingTables!$C$35)),1,VLOOKUP(CONCATENATE($D676,$G676),CSRFinput!$B:$E,4,0)))</f>
        <v>0.054776304963434752</v>
      </c>
      <c r="W676" s="85">
        <f>IF(B676="",0,+$T676*$V676)</f>
        <v>31.440536514135964</v>
      </c>
      <c r="X676" s="85">
        <f>IF(B676="",0,IF(OR(H676=MappingTables!$C$34,H676=MappingTables!$C$35),W676,0))</f>
        <v>0</v>
      </c>
    </row>
    <row r="677" spans="2:24" s="0" customFormat="0" ht="15">
      <c r="B677" s="69">
        <v>24779556</v>
      </c>
      <c r="C677" s="70" t="s">
        <v>971</v>
      </c>
      <c r="D677" s="70" t="s">
        <v>1</v>
      </c>
      <c r="E677" s="70" t="s">
        <v>1</v>
      </c>
      <c r="F677" s="70"/>
      <c r="G677" s="70" t="s">
        <v>61</v>
      </c>
      <c r="H677" s="70" t="s">
        <v>178</v>
      </c>
      <c r="I677" s="70" t="s">
        <v>184</v>
      </c>
      <c r="J677" s="71">
        <f>IF(OR(I677=0,I677=""),"unrated",VLOOKUP(I677,MappingTables!$B$19:$C$31,2,FALSE))</f>
        <v>5</v>
      </c>
      <c r="K677" s="72">
        <v>258.7527564194844</v>
      </c>
      <c r="L677" s="70">
        <v>1.6696699982415</v>
      </c>
      <c r="M677" s="71">
        <f>IF(L677&lt;1,1,L677)</f>
        <v>1.6696699982415</v>
      </c>
      <c r="N677" s="70" t="s">
        <v>141</v>
      </c>
      <c r="O677" s="71">
        <f>INDEX(DurClassMapping,MATCH(M677,MappingTables!$D$4:$D$8,-1),1)</f>
        <v>1</v>
      </c>
      <c r="P677" s="73">
        <f>IF(M677=$A$1,1,$M677-INDEX(MappingTables!$E$4:$E$8,MATCH(O677,MappingTables!$B$4:$B$8,0)))</f>
        <v>1.6696699982415</v>
      </c>
      <c r="Q677" s="71">
        <f>IF(B677="",0,INDEX(ModelParameters!$D$6:$K$10,MATCH($O677,ModelParameters!$B$6:$B$10,0),MATCH($J677,ModelParameters!$D$5:$K$5,0)))</f>
        <v>0.075</v>
      </c>
      <c r="R677" s="71">
        <f>IF(B677="",0,INDEX(ModelParameters!$D$13:$K$17,MATCH($O677,ModelParameters!$B$13:$B$17,0),MATCH($J677,ModelParameters!$D$5:$K$5,0)))</f>
        <v>0</v>
      </c>
      <c r="S677" s="160">
        <f>IF(B677="",0,MIN(IF($N677="Other Bond TM",ModelParameters!$N$21,1)*(P677*Q677+R677),1))</f>
        <v>0.12522524986811248</v>
      </c>
      <c r="T677" s="85">
        <f>IF(B677="",0,$S677*$K677)</f>
        <v>32.402378576692784</v>
      </c>
      <c r="U677" s="85">
        <f>IF(B677="",0,IF(OR(H677=MappingTables!$C$34,H677=MappingTables!$C$35),T677,0))</f>
        <v>0</v>
      </c>
      <c r="V677" s="85">
        <f>IF(ISNA(IF(AND(VLOOKUP(CONCATENATE($D677,$G677),CSRFinput!$B:$E,4,0)=0,OR(H677=MappingTables!$C$34,H677=MappingTables!$C$35)),1,VLOOKUP(CONCATENATE($D677,$G677),CSRFinput!$B:$E,4,0))),0,IF(AND(VLOOKUP(CONCATENATE($D677,$G677),CSRFinput!$B:$E,4,0)=0,OR(H677=MappingTables!$C$34,H677=MappingTables!$C$35)),1,VLOOKUP(CONCATENATE($D677,$G677),CSRFinput!$B:$E,4,0)))</f>
        <v>0.054776304963434752</v>
      </c>
      <c r="W677" s="85">
        <f>IF(B677="",0,+$T677*$V677)</f>
        <v>1.7748825704575888</v>
      </c>
      <c r="X677" s="85">
        <f>IF(B677="",0,IF(OR(H677=MappingTables!$C$34,H677=MappingTables!$C$35),W677,0))</f>
        <v>0</v>
      </c>
    </row>
    <row r="678" spans="2:24" s="0" customFormat="0" ht="15">
      <c r="B678" s="69" t="s">
        <v>972</v>
      </c>
      <c r="C678" s="70" t="s">
        <v>973</v>
      </c>
      <c r="D678" s="70" t="s">
        <v>1</v>
      </c>
      <c r="E678" s="70" t="s">
        <v>1</v>
      </c>
      <c r="F678" s="70"/>
      <c r="G678" s="70" t="s">
        <v>61</v>
      </c>
      <c r="H678" s="70" t="s">
        <v>178</v>
      </c>
      <c r="I678" s="70" t="s">
        <v>198</v>
      </c>
      <c r="J678" s="71" t="str">
        <f>IF(OR(I678=0,I678=""),"unrated",VLOOKUP(I678,MappingTables!$B$19:$C$31,2,FALSE))</f>
        <v>unrated</v>
      </c>
      <c r="K678" s="72">
        <v>746.40265987343008</v>
      </c>
      <c r="L678" s="70">
        <v>11.188314487565296</v>
      </c>
      <c r="M678" s="71">
        <f>IF(L678&lt;1,1,L678)</f>
        <v>11.188314487565296</v>
      </c>
      <c r="N678" s="70" t="s">
        <v>141</v>
      </c>
      <c r="O678" s="71">
        <f>INDEX(DurClassMapping,MATCH(M678,MappingTables!$D$4:$D$8,-1),1)</f>
        <v>3</v>
      </c>
      <c r="P678" s="73">
        <f>IF(M678=$A$1,1,$M678-INDEX(MappingTables!$E$4:$E$8,MATCH(O678,MappingTables!$B$4:$B$8,0)))</f>
        <v>1.1883144875652966</v>
      </c>
      <c r="Q678" s="71">
        <f>IF(B678="",0,INDEX(ModelParameters!$D$6:$K$10,MATCH($O678,ModelParameters!$B$6:$B$10,0),MATCH($J678,ModelParameters!$D$5:$K$5,0)))</f>
        <v>0.012</v>
      </c>
      <c r="R678" s="71">
        <f>IF(B678="",0,INDEX(ModelParameters!$D$13:$K$17,MATCH($O678,ModelParameters!$B$13:$B$17,0),MATCH($J678,ModelParameters!$D$5:$K$5,0)))</f>
        <v>0.235</v>
      </c>
      <c r="S678" s="160">
        <f>IF(B678="",0,MIN(IF($N678="Other Bond TM",ModelParameters!$N$21,1)*(P678*Q678+R678),1))</f>
        <v>0.24925977385078356</v>
      </c>
      <c r="T678" s="85">
        <f>IF(B678="",0,$S678*$K678)</f>
        <v>186.04815820167448</v>
      </c>
      <c r="U678" s="85">
        <f>IF(B678="",0,IF(OR(H678=MappingTables!$C$34,H678=MappingTables!$C$35),T678,0))</f>
        <v>0</v>
      </c>
      <c r="V678" s="85">
        <f>IF(ISNA(IF(AND(VLOOKUP(CONCATENATE($D678,$G678),CSRFinput!$B:$E,4,0)=0,OR(H678=MappingTables!$C$34,H678=MappingTables!$C$35)),1,VLOOKUP(CONCATENATE($D678,$G678),CSRFinput!$B:$E,4,0))),0,IF(AND(VLOOKUP(CONCATENATE($D678,$G678),CSRFinput!$B:$E,4,0)=0,OR(H678=MappingTables!$C$34,H678=MappingTables!$C$35)),1,VLOOKUP(CONCATENATE($D678,$G678),CSRFinput!$B:$E,4,0)))</f>
        <v>0.054776304963434752</v>
      </c>
      <c r="W678" s="85">
        <f>IF(B678="",0,+$T678*$V678)</f>
        <v>10.191030651540276</v>
      </c>
      <c r="X678" s="85">
        <f>IF(B678="",0,IF(OR(H678=MappingTables!$C$34,H678=MappingTables!$C$35),W678,0))</f>
        <v>0</v>
      </c>
    </row>
    <row r="679" spans="2:24" s="0" customFormat="0" ht="15">
      <c r="B679" s="69" t="s">
        <v>705</v>
      </c>
      <c r="C679" s="70" t="s">
        <v>706</v>
      </c>
      <c r="D679" s="70" t="s">
        <v>1</v>
      </c>
      <c r="E679" s="70" t="s">
        <v>1</v>
      </c>
      <c r="F679" s="70"/>
      <c r="G679" s="70" t="s">
        <v>61</v>
      </c>
      <c r="H679" s="70" t="s">
        <v>178</v>
      </c>
      <c r="I679" s="70" t="s">
        <v>188</v>
      </c>
      <c r="J679" s="71">
        <f>IF(OR(I679=0,I679=""),"unrated",VLOOKUP(I679,MappingTables!$B$19:$C$31,2,FALSE))</f>
        <v>2</v>
      </c>
      <c r="K679" s="72">
        <v>4304.2511423784896</v>
      </c>
      <c r="L679" s="70">
        <v>5.5864665777511016</v>
      </c>
      <c r="M679" s="71">
        <f>IF(L679&lt;1,1,L679)</f>
        <v>5.5864665777511016</v>
      </c>
      <c r="N679" s="70" t="s">
        <v>141</v>
      </c>
      <c r="O679" s="71">
        <f>INDEX(DurClassMapping,MATCH(M679,MappingTables!$D$4:$D$8,-1),1)</f>
        <v>2</v>
      </c>
      <c r="P679" s="73">
        <f>IF(M679=$A$1,1,$M679-INDEX(MappingTables!$E$4:$E$8,MATCH(O679,MappingTables!$B$4:$B$8,0)))</f>
        <v>0.58646657775110176</v>
      </c>
      <c r="Q679" s="71">
        <f>IF(B679="",0,INDEX(ModelParameters!$D$6:$K$10,MATCH($O679,ModelParameters!$B$6:$B$10,0),MATCH($J679,ModelParameters!$D$5:$K$5,0)))</f>
        <v>0.0069999999999999992</v>
      </c>
      <c r="R679" s="71">
        <f>IF(B679="",0,INDEX(ModelParameters!$D$13:$K$17,MATCH($O679,ModelParameters!$B$13:$B$17,0),MATCH($J679,ModelParameters!$D$5:$K$5,0)))</f>
        <v>0.070000000000000008</v>
      </c>
      <c r="S679" s="160">
        <f>IF(B679="",0,MIN(IF($N679="Other Bond TM",ModelParameters!$N$21,1)*(P679*Q679+R679),1))</f>
        <v>0.074105266044257712</v>
      </c>
      <c r="T679" s="85">
        <f>IF(B679="",0,$S679*$K679)</f>
        <v>318.96767602725816</v>
      </c>
      <c r="U679" s="85">
        <f>IF(B679="",0,IF(OR(H679=MappingTables!$C$34,H679=MappingTables!$C$35),T679,0))</f>
        <v>0</v>
      </c>
      <c r="V679" s="85">
        <f>IF(ISNA(IF(AND(VLOOKUP(CONCATENATE($D679,$G679),CSRFinput!$B:$E,4,0)=0,OR(H679=MappingTables!$C$34,H679=MappingTables!$C$35)),1,VLOOKUP(CONCATENATE($D679,$G679),CSRFinput!$B:$E,4,0))),0,IF(AND(VLOOKUP(CONCATENATE($D679,$G679),CSRFinput!$B:$E,4,0)=0,OR(H679=MappingTables!$C$34,H679=MappingTables!$C$35)),1,VLOOKUP(CONCATENATE($D679,$G679),CSRFinput!$B:$E,4,0)))</f>
        <v>0.054776304963434752</v>
      </c>
      <c r="W679" s="85">
        <f>IF(B679="",0,+$T679*$V679)</f>
        <v>17.47187069554715</v>
      </c>
      <c r="X679" s="85">
        <f>IF(B679="",0,IF(OR(H679=MappingTables!$C$34,H679=MappingTables!$C$35),W679,0))</f>
        <v>0</v>
      </c>
    </row>
    <row r="680" spans="2:24" s="0" customFormat="0" ht="15">
      <c r="B680" s="69">
        <v>13098149</v>
      </c>
      <c r="C680" s="70" t="s">
        <v>974</v>
      </c>
      <c r="D680" s="70" t="s">
        <v>1</v>
      </c>
      <c r="E680" s="70" t="s">
        <v>1</v>
      </c>
      <c r="F680" s="70"/>
      <c r="G680" s="70" t="s">
        <v>61</v>
      </c>
      <c r="H680" s="70" t="s">
        <v>178</v>
      </c>
      <c r="I680" s="70" t="s">
        <v>188</v>
      </c>
      <c r="J680" s="71">
        <f>IF(OR(I680=0,I680=""),"unrated",VLOOKUP(I680,MappingTables!$B$19:$C$31,2,FALSE))</f>
        <v>2</v>
      </c>
      <c r="K680" s="72">
        <v>654.03805050467976</v>
      </c>
      <c r="L680" s="70">
        <v>0.87846602426814544</v>
      </c>
      <c r="M680" s="71">
        <f>IF(L680&lt;1,1,L680)</f>
        <v>1</v>
      </c>
      <c r="N680" s="70" t="s">
        <v>141</v>
      </c>
      <c r="O680" s="71">
        <f>INDEX(DurClassMapping,MATCH(M680,MappingTables!$D$4:$D$8,-1),1)</f>
        <v>1</v>
      </c>
      <c r="P680" s="73">
        <f>IF(M680=$A$1,1,$M680-INDEX(MappingTables!$E$4:$E$8,MATCH(O680,MappingTables!$B$4:$B$8,0)))</f>
        <v>1</v>
      </c>
      <c r="Q680" s="71">
        <f>IF(B680="",0,INDEX(ModelParameters!$D$6:$K$10,MATCH($O680,ModelParameters!$B$6:$B$10,0),MATCH($J680,ModelParameters!$D$5:$K$5,0)))</f>
        <v>0.013999999999999998</v>
      </c>
      <c r="R680" s="71">
        <f>IF(B680="",0,INDEX(ModelParameters!$D$13:$K$17,MATCH($O680,ModelParameters!$B$13:$B$17,0),MATCH($J680,ModelParameters!$D$5:$K$5,0)))</f>
        <v>0</v>
      </c>
      <c r="S680" s="160">
        <f>IF(B680="",0,MIN(IF($N680="Other Bond TM",ModelParameters!$N$21,1)*(P680*Q680+R680),1))</f>
        <v>0.013999999999999998</v>
      </c>
      <c r="T680" s="85">
        <f>IF(B680="",0,$S680*$K680)</f>
        <v>9.1565327070655152</v>
      </c>
      <c r="U680" s="85">
        <f>IF(B680="",0,IF(OR(H680=MappingTables!$C$34,H680=MappingTables!$C$35),T680,0))</f>
        <v>0</v>
      </c>
      <c r="V680" s="85">
        <f>IF(ISNA(IF(AND(VLOOKUP(CONCATENATE($D680,$G680),CSRFinput!$B:$E,4,0)=0,OR(H680=MappingTables!$C$34,H680=MappingTables!$C$35)),1,VLOOKUP(CONCATENATE($D680,$G680),CSRFinput!$B:$E,4,0))),0,IF(AND(VLOOKUP(CONCATENATE($D680,$G680),CSRFinput!$B:$E,4,0)=0,OR(H680=MappingTables!$C$34,H680=MappingTables!$C$35)),1,VLOOKUP(CONCATENATE($D680,$G680),CSRFinput!$B:$E,4,0)))</f>
        <v>0.054776304963434752</v>
      </c>
      <c r="W680" s="85">
        <f>IF(B680="",0,+$T680*$V680)</f>
        <v>0.50156102796988544</v>
      </c>
      <c r="X680" s="85">
        <f>IF(B680="",0,IF(OR(H680=MappingTables!$C$34,H680=MappingTables!$C$35),W680,0))</f>
        <v>0</v>
      </c>
    </row>
    <row r="681" spans="2:24" s="0" customFormat="0" ht="15">
      <c r="B681" s="69">
        <v>18702634</v>
      </c>
      <c r="C681" s="70" t="s">
        <v>975</v>
      </c>
      <c r="D681" s="70" t="s">
        <v>1</v>
      </c>
      <c r="E681" s="70" t="s">
        <v>1</v>
      </c>
      <c r="F681" s="70"/>
      <c r="G681" s="70" t="s">
        <v>61</v>
      </c>
      <c r="H681" s="70" t="s">
        <v>178</v>
      </c>
      <c r="I681" s="70" t="s">
        <v>184</v>
      </c>
      <c r="J681" s="71">
        <f>IF(OR(I681=0,I681=""),"unrated",VLOOKUP(I681,MappingTables!$B$19:$C$31,2,FALSE))</f>
        <v>5</v>
      </c>
      <c r="K681" s="72">
        <v>1991.339107352974</v>
      </c>
      <c r="L681" s="70">
        <v>0.95044539312884528</v>
      </c>
      <c r="M681" s="71">
        <f>IF(L681&lt;1,1,L681)</f>
        <v>1</v>
      </c>
      <c r="N681" s="70" t="s">
        <v>141</v>
      </c>
      <c r="O681" s="71">
        <f>INDEX(DurClassMapping,MATCH(M681,MappingTables!$D$4:$D$8,-1),1)</f>
        <v>1</v>
      </c>
      <c r="P681" s="73">
        <f>IF(M681=$A$1,1,$M681-INDEX(MappingTables!$E$4:$E$8,MATCH(O681,MappingTables!$B$4:$B$8,0)))</f>
        <v>1</v>
      </c>
      <c r="Q681" s="71">
        <f>IF(B681="",0,INDEX(ModelParameters!$D$6:$K$10,MATCH($O681,ModelParameters!$B$6:$B$10,0),MATCH($J681,ModelParameters!$D$5:$K$5,0)))</f>
        <v>0.075</v>
      </c>
      <c r="R681" s="71">
        <f>IF(B681="",0,INDEX(ModelParameters!$D$13:$K$17,MATCH($O681,ModelParameters!$B$13:$B$17,0),MATCH($J681,ModelParameters!$D$5:$K$5,0)))</f>
        <v>0</v>
      </c>
      <c r="S681" s="160">
        <f>IF(B681="",0,MIN(IF($N681="Other Bond TM",ModelParameters!$N$21,1)*(P681*Q681+R681),1))</f>
        <v>0.075</v>
      </c>
      <c r="T681" s="85">
        <f>IF(B681="",0,$S681*$K681)</f>
        <v>149.35043305147304</v>
      </c>
      <c r="U681" s="85">
        <f>IF(B681="",0,IF(OR(H681=MappingTables!$C$34,H681=MappingTables!$C$35),T681,0))</f>
        <v>0</v>
      </c>
      <c r="V681" s="85">
        <f>IF(ISNA(IF(AND(VLOOKUP(CONCATENATE($D681,$G681),CSRFinput!$B:$E,4,0)=0,OR(H681=MappingTables!$C$34,H681=MappingTables!$C$35)),1,VLOOKUP(CONCATENATE($D681,$G681),CSRFinput!$B:$E,4,0))),0,IF(AND(VLOOKUP(CONCATENATE($D681,$G681),CSRFinput!$B:$E,4,0)=0,OR(H681=MappingTables!$C$34,H681=MappingTables!$C$35)),1,VLOOKUP(CONCATENATE($D681,$G681),CSRFinput!$B:$E,4,0)))</f>
        <v>0.054776304963434752</v>
      </c>
      <c r="W681" s="85">
        <f>IF(B681="",0,+$T681*$V681)</f>
        <v>8.1808648672485328</v>
      </c>
      <c r="X681" s="85">
        <f>IF(B681="",0,IF(OR(H681=MappingTables!$C$34,H681=MappingTables!$C$35),W681,0))</f>
        <v>0</v>
      </c>
    </row>
    <row r="682" spans="2:24" s="0" customFormat="0" ht="15">
      <c r="B682" s="69">
        <v>17798236</v>
      </c>
      <c r="C682" s="70" t="s">
        <v>976</v>
      </c>
      <c r="D682" s="70" t="s">
        <v>1</v>
      </c>
      <c r="E682" s="70" t="s">
        <v>1</v>
      </c>
      <c r="F682" s="70"/>
      <c r="G682" s="70" t="s">
        <v>61</v>
      </c>
      <c r="H682" s="70" t="s">
        <v>178</v>
      </c>
      <c r="I682" s="70" t="s">
        <v>184</v>
      </c>
      <c r="J682" s="71">
        <f>IF(OR(I682=0,I682=""),"unrated",VLOOKUP(I682,MappingTables!$B$19:$C$31,2,FALSE))</f>
        <v>5</v>
      </c>
      <c r="K682" s="72">
        <v>228.65782235934184</v>
      </c>
      <c r="L682" s="70">
        <v>0.70077035361536864</v>
      </c>
      <c r="M682" s="71">
        <f>IF(L682&lt;1,1,L682)</f>
        <v>1</v>
      </c>
      <c r="N682" s="70" t="s">
        <v>141</v>
      </c>
      <c r="O682" s="71">
        <f>INDEX(DurClassMapping,MATCH(M682,MappingTables!$D$4:$D$8,-1),1)</f>
        <v>1</v>
      </c>
      <c r="P682" s="73">
        <f>IF(M682=$A$1,1,$M682-INDEX(MappingTables!$E$4:$E$8,MATCH(O682,MappingTables!$B$4:$B$8,0)))</f>
        <v>1</v>
      </c>
      <c r="Q682" s="71">
        <f>IF(B682="",0,INDEX(ModelParameters!$D$6:$K$10,MATCH($O682,ModelParameters!$B$6:$B$10,0),MATCH($J682,ModelParameters!$D$5:$K$5,0)))</f>
        <v>0.075</v>
      </c>
      <c r="R682" s="71">
        <f>IF(B682="",0,INDEX(ModelParameters!$D$13:$K$17,MATCH($O682,ModelParameters!$B$13:$B$17,0),MATCH($J682,ModelParameters!$D$5:$K$5,0)))</f>
        <v>0</v>
      </c>
      <c r="S682" s="160">
        <f>IF(B682="",0,MIN(IF($N682="Other Bond TM",ModelParameters!$N$21,1)*(P682*Q682+R682),1))</f>
        <v>0.075</v>
      </c>
      <c r="T682" s="85">
        <f>IF(B682="",0,$S682*$K682)</f>
        <v>17.149336676950636</v>
      </c>
      <c r="U682" s="85">
        <f>IF(B682="",0,IF(OR(H682=MappingTables!$C$34,H682=MappingTables!$C$35),T682,0))</f>
        <v>0</v>
      </c>
      <c r="V682" s="85">
        <f>IF(ISNA(IF(AND(VLOOKUP(CONCATENATE($D682,$G682),CSRFinput!$B:$E,4,0)=0,OR(H682=MappingTables!$C$34,H682=MappingTables!$C$35)),1,VLOOKUP(CONCATENATE($D682,$G682),CSRFinput!$B:$E,4,0))),0,IF(AND(VLOOKUP(CONCATENATE($D682,$G682),CSRFinput!$B:$E,4,0)=0,OR(H682=MappingTables!$C$34,H682=MappingTables!$C$35)),1,VLOOKUP(CONCATENATE($D682,$G682),CSRFinput!$B:$E,4,0)))</f>
        <v>0.054776304963434752</v>
      </c>
      <c r="W682" s="85">
        <f>IF(B682="",0,+$T682*$V682)</f>
        <v>0.9393772957372648</v>
      </c>
      <c r="X682" s="85">
        <f>IF(B682="",0,IF(OR(H682=MappingTables!$C$34,H682=MappingTables!$C$35),W682,0))</f>
        <v>0</v>
      </c>
    </row>
    <row r="683" spans="2:24" s="0" customFormat="0" ht="15">
      <c r="B683" s="69">
        <v>8779478</v>
      </c>
      <c r="C683" s="70" t="s">
        <v>977</v>
      </c>
      <c r="D683" s="70" t="s">
        <v>1</v>
      </c>
      <c r="E683" s="70" t="s">
        <v>1</v>
      </c>
      <c r="F683" s="70"/>
      <c r="G683" s="70" t="s">
        <v>61</v>
      </c>
      <c r="H683" s="70" t="s">
        <v>178</v>
      </c>
      <c r="I683" s="70" t="s">
        <v>181</v>
      </c>
      <c r="J683" s="71">
        <f>IF(OR(I683=0,I683=""),"unrated",VLOOKUP(I683,MappingTables!$B$19:$C$31,2,FALSE))</f>
        <v>3</v>
      </c>
      <c r="K683" s="72">
        <v>615.50882072130536</v>
      </c>
      <c r="L683" s="70">
        <v>0.62179437461272632</v>
      </c>
      <c r="M683" s="71">
        <f>IF(L683&lt;1,1,L683)</f>
        <v>1</v>
      </c>
      <c r="N683" s="70" t="s">
        <v>141</v>
      </c>
      <c r="O683" s="71">
        <f>INDEX(DurClassMapping,MATCH(M683,MappingTables!$D$4:$D$8,-1),1)</f>
        <v>1</v>
      </c>
      <c r="P683" s="73">
        <f>IF(M683=$A$1,1,$M683-INDEX(MappingTables!$E$4:$E$8,MATCH(O683,MappingTables!$B$4:$B$8,0)))</f>
        <v>1</v>
      </c>
      <c r="Q683" s="71">
        <f>IF(B683="",0,INDEX(ModelParameters!$D$6:$K$10,MATCH($O683,ModelParameters!$B$6:$B$10,0),MATCH($J683,ModelParameters!$D$5:$K$5,0)))</f>
        <v>0.025</v>
      </c>
      <c r="R683" s="71">
        <f>IF(B683="",0,INDEX(ModelParameters!$D$13:$K$17,MATCH($O683,ModelParameters!$B$13:$B$17,0),MATCH($J683,ModelParameters!$D$5:$K$5,0)))</f>
        <v>0</v>
      </c>
      <c r="S683" s="160">
        <f>IF(B683="",0,MIN(IF($N683="Other Bond TM",ModelParameters!$N$21,1)*(P683*Q683+R683),1))</f>
        <v>0.025</v>
      </c>
      <c r="T683" s="85">
        <f>IF(B683="",0,$S683*$K683)</f>
        <v>15.387720518032636</v>
      </c>
      <c r="U683" s="85">
        <f>IF(B683="",0,IF(OR(H683=MappingTables!$C$34,H683=MappingTables!$C$35),T683,0))</f>
        <v>0</v>
      </c>
      <c r="V683" s="85">
        <f>IF(ISNA(IF(AND(VLOOKUP(CONCATENATE($D683,$G683),CSRFinput!$B:$E,4,0)=0,OR(H683=MappingTables!$C$34,H683=MappingTables!$C$35)),1,VLOOKUP(CONCATENATE($D683,$G683),CSRFinput!$B:$E,4,0))),0,IF(AND(VLOOKUP(CONCATENATE($D683,$G683),CSRFinput!$B:$E,4,0)=0,OR(H683=MappingTables!$C$34,H683=MappingTables!$C$35)),1,VLOOKUP(CONCATENATE($D683,$G683),CSRFinput!$B:$E,4,0)))</f>
        <v>0.054776304963434752</v>
      </c>
      <c r="W683" s="85">
        <f>IF(B683="",0,+$T683*$V683)</f>
        <v>0.84288247178785776</v>
      </c>
      <c r="X683" s="85">
        <f>IF(B683="",0,IF(OR(H683=MappingTables!$C$34,H683=MappingTables!$C$35),W683,0))</f>
        <v>0</v>
      </c>
    </row>
    <row r="684" spans="2:24" s="0" customFormat="0" ht="15">
      <c r="B684" s="69">
        <v>16080796</v>
      </c>
      <c r="C684" s="70" t="s">
        <v>978</v>
      </c>
      <c r="D684" s="70" t="s">
        <v>1</v>
      </c>
      <c r="E684" s="70" t="s">
        <v>1</v>
      </c>
      <c r="F684" s="70"/>
      <c r="G684" s="70" t="s">
        <v>61</v>
      </c>
      <c r="H684" s="70" t="s">
        <v>178</v>
      </c>
      <c r="I684" s="70" t="s">
        <v>181</v>
      </c>
      <c r="J684" s="71">
        <f>IF(OR(I684=0,I684=""),"unrated",VLOOKUP(I684,MappingTables!$B$19:$C$31,2,FALSE))</f>
        <v>3</v>
      </c>
      <c r="K684" s="72">
        <v>127.9968909751241</v>
      </c>
      <c r="L684" s="70">
        <v>2.354730609256992</v>
      </c>
      <c r="M684" s="71">
        <f>IF(L684&lt;1,1,L684)</f>
        <v>2.354730609256992</v>
      </c>
      <c r="N684" s="70" t="s">
        <v>141</v>
      </c>
      <c r="O684" s="71">
        <f>INDEX(DurClassMapping,MATCH(M684,MappingTables!$D$4:$D$8,-1),1)</f>
        <v>1</v>
      </c>
      <c r="P684" s="73">
        <f>IF(M684=$A$1,1,$M684-INDEX(MappingTables!$E$4:$E$8,MATCH(O684,MappingTables!$B$4:$B$8,0)))</f>
        <v>2.354730609256992</v>
      </c>
      <c r="Q684" s="71">
        <f>IF(B684="",0,INDEX(ModelParameters!$D$6:$K$10,MATCH($O684,ModelParameters!$B$6:$B$10,0),MATCH($J684,ModelParameters!$D$5:$K$5,0)))</f>
        <v>0.025</v>
      </c>
      <c r="R684" s="71">
        <f>IF(B684="",0,INDEX(ModelParameters!$D$13:$K$17,MATCH($O684,ModelParameters!$B$13:$B$17,0),MATCH($J684,ModelParameters!$D$5:$K$5,0)))</f>
        <v>0</v>
      </c>
      <c r="S684" s="160">
        <f>IF(B684="",0,MIN(IF($N684="Other Bond TM",ModelParameters!$N$21,1)*(P684*Q684+R684),1))</f>
        <v>0.0588682652314248</v>
      </c>
      <c r="T684" s="85">
        <f>IF(B684="",0,$S684*$K684)</f>
        <v>7.5349549267213696</v>
      </c>
      <c r="U684" s="85">
        <f>IF(B684="",0,IF(OR(H684=MappingTables!$C$34,H684=MappingTables!$C$35),T684,0))</f>
        <v>0</v>
      </c>
      <c r="V684" s="85">
        <f>IF(ISNA(IF(AND(VLOOKUP(CONCATENATE($D684,$G684),CSRFinput!$B:$E,4,0)=0,OR(H684=MappingTables!$C$34,H684=MappingTables!$C$35)),1,VLOOKUP(CONCATENATE($D684,$G684),CSRFinput!$B:$E,4,0))),0,IF(AND(VLOOKUP(CONCATENATE($D684,$G684),CSRFinput!$B:$E,4,0)=0,OR(H684=MappingTables!$C$34,H684=MappingTables!$C$35)),1,VLOOKUP(CONCATENATE($D684,$G684),CSRFinput!$B:$E,4,0)))</f>
        <v>0.054776304963434752</v>
      </c>
      <c r="W684" s="85">
        <f>IF(B684="",0,+$T684*$V684)</f>
        <v>0.41273698895182488</v>
      </c>
      <c r="X684" s="85">
        <f>IF(B684="",0,IF(OR(H684=MappingTables!$C$34,H684=MappingTables!$C$35),W684,0))</f>
        <v>0</v>
      </c>
    </row>
    <row r="685" spans="2:24" s="0" customFormat="0" ht="15">
      <c r="B685" s="69">
        <v>17884638</v>
      </c>
      <c r="C685" s="70" t="s">
        <v>979</v>
      </c>
      <c r="D685" s="70" t="s">
        <v>1</v>
      </c>
      <c r="E685" s="70" t="s">
        <v>1</v>
      </c>
      <c r="F685" s="70"/>
      <c r="G685" s="70" t="s">
        <v>61</v>
      </c>
      <c r="H685" s="70" t="s">
        <v>178</v>
      </c>
      <c r="I685" s="70" t="s">
        <v>179</v>
      </c>
      <c r="J685" s="71">
        <f>IF(OR(I685=0,I685=""),"unrated",VLOOKUP(I685,MappingTables!$B$19:$C$31,2,FALSE))</f>
        <v>4</v>
      </c>
      <c r="K685" s="72">
        <v>89.531420529072992</v>
      </c>
      <c r="L685" s="70">
        <v>2.9083742984593524</v>
      </c>
      <c r="M685" s="71">
        <f>IF(L685&lt;1,1,L685)</f>
        <v>2.9083742984593524</v>
      </c>
      <c r="N685" s="70" t="s">
        <v>141</v>
      </c>
      <c r="O685" s="71">
        <f>INDEX(DurClassMapping,MATCH(M685,MappingTables!$D$4:$D$8,-1),1)</f>
        <v>1</v>
      </c>
      <c r="P685" s="73">
        <f>IF(M685=$A$1,1,$M685-INDEX(MappingTables!$E$4:$E$8,MATCH(O685,MappingTables!$B$4:$B$8,0)))</f>
        <v>2.9083742984593524</v>
      </c>
      <c r="Q685" s="71">
        <f>IF(B685="",0,INDEX(ModelParameters!$D$6:$K$10,MATCH($O685,ModelParameters!$B$6:$B$10,0),MATCH($J685,ModelParameters!$D$5:$K$5,0)))</f>
        <v>0.045</v>
      </c>
      <c r="R685" s="71">
        <f>IF(B685="",0,INDEX(ModelParameters!$D$13:$K$17,MATCH($O685,ModelParameters!$B$13:$B$17,0),MATCH($J685,ModelParameters!$D$5:$K$5,0)))</f>
        <v>0</v>
      </c>
      <c r="S685" s="160">
        <f>IF(B685="",0,MIN(IF($N685="Other Bond TM",ModelParameters!$N$21,1)*(P685*Q685+R685),1))</f>
        <v>0.13087684343067086</v>
      </c>
      <c r="T685" s="85">
        <f>IF(B685="",0,$S685*$K685)</f>
        <v>11.717589706709036</v>
      </c>
      <c r="U685" s="85">
        <f>IF(B685="",0,IF(OR(H685=MappingTables!$C$34,H685=MappingTables!$C$35),T685,0))</f>
        <v>0</v>
      </c>
      <c r="V685" s="85">
        <f>IF(ISNA(IF(AND(VLOOKUP(CONCATENATE($D685,$G685),CSRFinput!$B:$E,4,0)=0,OR(H685=MappingTables!$C$34,H685=MappingTables!$C$35)),1,VLOOKUP(CONCATENATE($D685,$G685),CSRFinput!$B:$E,4,0))),0,IF(AND(VLOOKUP(CONCATENATE($D685,$G685),CSRFinput!$B:$E,4,0)=0,OR(H685=MappingTables!$C$34,H685=MappingTables!$C$35)),1,VLOOKUP(CONCATENATE($D685,$G685),CSRFinput!$B:$E,4,0)))</f>
        <v>0.054776304963434752</v>
      </c>
      <c r="W685" s="85">
        <f>IF(B685="",0,+$T685*$V685)</f>
        <v>0.64184626721109816</v>
      </c>
      <c r="X685" s="85">
        <f>IF(B685="",0,IF(OR(H685=MappingTables!$C$34,H685=MappingTables!$C$35),W685,0))</f>
        <v>0</v>
      </c>
    </row>
    <row r="686" spans="2:24" s="0" customFormat="0" ht="15">
      <c r="B686" s="69">
        <v>22008395</v>
      </c>
      <c r="C686" s="70" t="s">
        <v>980</v>
      </c>
      <c r="D686" s="70" t="s">
        <v>1</v>
      </c>
      <c r="E686" s="70" t="s">
        <v>1</v>
      </c>
      <c r="F686" s="70"/>
      <c r="G686" s="70" t="s">
        <v>61</v>
      </c>
      <c r="H686" s="70" t="s">
        <v>178</v>
      </c>
      <c r="I686" s="70" t="s">
        <v>216</v>
      </c>
      <c r="J686" s="71">
        <f>IF(OR(I686=0,I686=""),"unrated",VLOOKUP(I686,MappingTables!$B$19:$C$31,2,FALSE))</f>
        <v>0</v>
      </c>
      <c r="K686" s="72">
        <v>14375.664412756364</v>
      </c>
      <c r="L686" s="70">
        <v>0.07397193800560064</v>
      </c>
      <c r="M686" s="71">
        <f>IF(L686&lt;1,1,L686)</f>
        <v>1</v>
      </c>
      <c r="N686" s="70" t="s">
        <v>141</v>
      </c>
      <c r="O686" s="71">
        <f>INDEX(DurClassMapping,MATCH(M686,MappingTables!$D$4:$D$8,-1),1)</f>
        <v>1</v>
      </c>
      <c r="P686" s="73">
        <f>IF(M686=$A$1,1,$M686-INDEX(MappingTables!$E$4:$E$8,MATCH(O686,MappingTables!$B$4:$B$8,0)))</f>
        <v>1</v>
      </c>
      <c r="Q686" s="71">
        <f>IF(B686="",0,INDEX(ModelParameters!$D$6:$K$10,MATCH($O686,ModelParameters!$B$6:$B$10,0),MATCH($J686,ModelParameters!$D$5:$K$5,0)))</f>
        <v>0.0090000000000000016</v>
      </c>
      <c r="R686" s="71">
        <f>IF(B686="",0,INDEX(ModelParameters!$D$13:$K$17,MATCH($O686,ModelParameters!$B$13:$B$17,0),MATCH($J686,ModelParameters!$D$5:$K$5,0)))</f>
        <v>0</v>
      </c>
      <c r="S686" s="160">
        <f>IF(B686="",0,MIN(IF($N686="Other Bond TM",ModelParameters!$N$21,1)*(P686*Q686+R686),1))</f>
        <v>0.0090000000000000016</v>
      </c>
      <c r="T686" s="85">
        <f>IF(B686="",0,$S686*$K686)</f>
        <v>129.3809797148073</v>
      </c>
      <c r="U686" s="85">
        <f>IF(B686="",0,IF(OR(H686=MappingTables!$C$34,H686=MappingTables!$C$35),T686,0))</f>
        <v>0</v>
      </c>
      <c r="V686" s="85">
        <f>IF(ISNA(IF(AND(VLOOKUP(CONCATENATE($D686,$G686),CSRFinput!$B:$E,4,0)=0,OR(H686=MappingTables!$C$34,H686=MappingTables!$C$35)),1,VLOOKUP(CONCATENATE($D686,$G686),CSRFinput!$B:$E,4,0))),0,IF(AND(VLOOKUP(CONCATENATE($D686,$G686),CSRFinput!$B:$E,4,0)=0,OR(H686=MappingTables!$C$34,H686=MappingTables!$C$35)),1,VLOOKUP(CONCATENATE($D686,$G686),CSRFinput!$B:$E,4,0)))</f>
        <v>0.054776304963434752</v>
      </c>
      <c r="W686" s="85">
        <f>IF(B686="",0,+$T686*$V686)</f>
        <v>7.0870120013262496</v>
      </c>
      <c r="X686" s="85">
        <f>IF(B686="",0,IF(OR(H686=MappingTables!$C$34,H686=MappingTables!$C$35),W686,0))</f>
        <v>0</v>
      </c>
    </row>
    <row r="687" spans="2:24" s="0" customFormat="0" ht="15">
      <c r="B687" s="69" t="s">
        <v>981</v>
      </c>
      <c r="C687" s="70" t="s">
        <v>982</v>
      </c>
      <c r="D687" s="70" t="s">
        <v>1</v>
      </c>
      <c r="E687" s="70" t="s">
        <v>1</v>
      </c>
      <c r="F687" s="70"/>
      <c r="G687" s="70" t="s">
        <v>61</v>
      </c>
      <c r="H687" s="70" t="s">
        <v>178</v>
      </c>
      <c r="I687" s="70" t="s">
        <v>179</v>
      </c>
      <c r="J687" s="71">
        <f>IF(OR(I687=0,I687=""),"unrated",VLOOKUP(I687,MappingTables!$B$19:$C$31,2,FALSE))</f>
        <v>4</v>
      </c>
      <c r="K687" s="72">
        <v>5168.3180853739096</v>
      </c>
      <c r="L687" s="70">
        <v>3.1683806691812392</v>
      </c>
      <c r="M687" s="71">
        <f>IF(L687&lt;1,1,L687)</f>
        <v>3.1683806691812392</v>
      </c>
      <c r="N687" s="70" t="s">
        <v>141</v>
      </c>
      <c r="O687" s="71">
        <f>INDEX(DurClassMapping,MATCH(M687,MappingTables!$D$4:$D$8,-1),1)</f>
        <v>1</v>
      </c>
      <c r="P687" s="73">
        <f>IF(M687=$A$1,1,$M687-INDEX(MappingTables!$E$4:$E$8,MATCH(O687,MappingTables!$B$4:$B$8,0)))</f>
        <v>3.1683806691812392</v>
      </c>
      <c r="Q687" s="71">
        <f>IF(B687="",0,INDEX(ModelParameters!$D$6:$K$10,MATCH($O687,ModelParameters!$B$6:$B$10,0),MATCH($J687,ModelParameters!$D$5:$K$5,0)))</f>
        <v>0.045</v>
      </c>
      <c r="R687" s="71">
        <f>IF(B687="",0,INDEX(ModelParameters!$D$13:$K$17,MATCH($O687,ModelParameters!$B$13:$B$17,0),MATCH($J687,ModelParameters!$D$5:$K$5,0)))</f>
        <v>0</v>
      </c>
      <c r="S687" s="160">
        <f>IF(B687="",0,MIN(IF($N687="Other Bond TM",ModelParameters!$N$21,1)*(P687*Q687+R687),1))</f>
        <v>0.14257713011315576</v>
      </c>
      <c r="T687" s="85">
        <f>IF(B687="",0,$S687*$K687)</f>
        <v>736.883960124532</v>
      </c>
      <c r="U687" s="85">
        <f>IF(B687="",0,IF(OR(H687=MappingTables!$C$34,H687=MappingTables!$C$35),T687,0))</f>
        <v>0</v>
      </c>
      <c r="V687" s="85">
        <f>IF(ISNA(IF(AND(VLOOKUP(CONCATENATE($D687,$G687),CSRFinput!$B:$E,4,0)=0,OR(H687=MappingTables!$C$34,H687=MappingTables!$C$35)),1,VLOOKUP(CONCATENATE($D687,$G687),CSRFinput!$B:$E,4,0))),0,IF(AND(VLOOKUP(CONCATENATE($D687,$G687),CSRFinput!$B:$E,4,0)=0,OR(H687=MappingTables!$C$34,H687=MappingTables!$C$35)),1,VLOOKUP(CONCATENATE($D687,$G687),CSRFinput!$B:$E,4,0)))</f>
        <v>0.054776304963434752</v>
      </c>
      <c r="W687" s="85">
        <f>IF(B687="",0,+$T687*$V687)</f>
        <v>40.363780522444856</v>
      </c>
      <c r="X687" s="85">
        <f>IF(B687="",0,IF(OR(H687=MappingTables!$C$34,H687=MappingTables!$C$35),W687,0))</f>
        <v>0</v>
      </c>
    </row>
    <row r="688" spans="2:24" s="0" customFormat="0" ht="15">
      <c r="B688" s="69">
        <v>15646987</v>
      </c>
      <c r="C688" s="70" t="s">
        <v>983</v>
      </c>
      <c r="D688" s="70" t="s">
        <v>1</v>
      </c>
      <c r="E688" s="70" t="s">
        <v>1</v>
      </c>
      <c r="F688" s="70"/>
      <c r="G688" s="70" t="s">
        <v>61</v>
      </c>
      <c r="H688" s="70" t="s">
        <v>178</v>
      </c>
      <c r="I688" s="70" t="s">
        <v>220</v>
      </c>
      <c r="J688" s="71">
        <f>IF(OR(I688=0,I688=""),"unrated",VLOOKUP(I688,MappingTables!$B$19:$C$31,2,FALSE))</f>
        <v>1</v>
      </c>
      <c r="K688" s="72">
        <v>120.22114187603948</v>
      </c>
      <c r="L688" s="70">
        <v>0.060276641719534184</v>
      </c>
      <c r="M688" s="71">
        <f>IF(L688&lt;1,1,L688)</f>
        <v>1</v>
      </c>
      <c r="N688" s="70" t="s">
        <v>141</v>
      </c>
      <c r="O688" s="71">
        <f>INDEX(DurClassMapping,MATCH(M688,MappingTables!$D$4:$D$8,-1),1)</f>
        <v>1</v>
      </c>
      <c r="P688" s="73">
        <f>IF(M688=$A$1,1,$M688-INDEX(MappingTables!$E$4:$E$8,MATCH(O688,MappingTables!$B$4:$B$8,0)))</f>
        <v>1</v>
      </c>
      <c r="Q688" s="71">
        <f>IF(B688="",0,INDEX(ModelParameters!$D$6:$K$10,MATCH($O688,ModelParameters!$B$6:$B$10,0),MATCH($J688,ModelParameters!$D$5:$K$5,0)))</f>
        <v>0.011000000000000002</v>
      </c>
      <c r="R688" s="71">
        <f>IF(B688="",0,INDEX(ModelParameters!$D$13:$K$17,MATCH($O688,ModelParameters!$B$13:$B$17,0),MATCH($J688,ModelParameters!$D$5:$K$5,0)))</f>
        <v>0</v>
      </c>
      <c r="S688" s="160">
        <f>IF(B688="",0,MIN(IF($N688="Other Bond TM",ModelParameters!$N$21,1)*(P688*Q688+R688),1))</f>
        <v>0.011000000000000002</v>
      </c>
      <c r="T688" s="85">
        <f>IF(B688="",0,$S688*$K688)</f>
        <v>1.3224325606364344</v>
      </c>
      <c r="U688" s="85">
        <f>IF(B688="",0,IF(OR(H688=MappingTables!$C$34,H688=MappingTables!$C$35),T688,0))</f>
        <v>0</v>
      </c>
      <c r="V688" s="85">
        <f>IF(ISNA(IF(AND(VLOOKUP(CONCATENATE($D688,$G688),CSRFinput!$B:$E,4,0)=0,OR(H688=MappingTables!$C$34,H688=MappingTables!$C$35)),1,VLOOKUP(CONCATENATE($D688,$G688),CSRFinput!$B:$E,4,0))),0,IF(AND(VLOOKUP(CONCATENATE($D688,$G688),CSRFinput!$B:$E,4,0)=0,OR(H688=MappingTables!$C$34,H688=MappingTables!$C$35)),1,VLOOKUP(CONCATENATE($D688,$G688),CSRFinput!$B:$E,4,0)))</f>
        <v>0.054776304963434752</v>
      </c>
      <c r="W688" s="85">
        <f>IF(B688="",0,+$T688*$V688)</f>
        <v>0.072437969234997248</v>
      </c>
      <c r="X688" s="85">
        <f>IF(B688="",0,IF(OR(H688=MappingTables!$C$34,H688=MappingTables!$C$35),W688,0))</f>
        <v>0</v>
      </c>
    </row>
    <row r="689" spans="2:24" s="0" customFormat="0" ht="15">
      <c r="B689" s="69">
        <v>17745733</v>
      </c>
      <c r="C689" s="70" t="s">
        <v>984</v>
      </c>
      <c r="D689" s="70" t="s">
        <v>1</v>
      </c>
      <c r="E689" s="70" t="s">
        <v>1</v>
      </c>
      <c r="F689" s="70"/>
      <c r="G689" s="70" t="s">
        <v>61</v>
      </c>
      <c r="H689" s="70" t="s">
        <v>178</v>
      </c>
      <c r="I689" s="70" t="s">
        <v>188</v>
      </c>
      <c r="J689" s="71">
        <f>IF(OR(I689=0,I689=""),"unrated",VLOOKUP(I689,MappingTables!$B$19:$C$31,2,FALSE))</f>
        <v>2</v>
      </c>
      <c r="K689" s="72">
        <v>1.9370127152635428</v>
      </c>
      <c r="L689" s="70">
        <v>0.78356991485768368</v>
      </c>
      <c r="M689" s="71">
        <f>IF(L689&lt;1,1,L689)</f>
        <v>1</v>
      </c>
      <c r="N689" s="70" t="s">
        <v>141</v>
      </c>
      <c r="O689" s="71">
        <f>INDEX(DurClassMapping,MATCH(M689,MappingTables!$D$4:$D$8,-1),1)</f>
        <v>1</v>
      </c>
      <c r="P689" s="73">
        <f>IF(M689=$A$1,1,$M689-INDEX(MappingTables!$E$4:$E$8,MATCH(O689,MappingTables!$B$4:$B$8,0)))</f>
        <v>1</v>
      </c>
      <c r="Q689" s="71">
        <f>IF(B689="",0,INDEX(ModelParameters!$D$6:$K$10,MATCH($O689,ModelParameters!$B$6:$B$10,0),MATCH($J689,ModelParameters!$D$5:$K$5,0)))</f>
        <v>0.013999999999999998</v>
      </c>
      <c r="R689" s="71">
        <f>IF(B689="",0,INDEX(ModelParameters!$D$13:$K$17,MATCH($O689,ModelParameters!$B$13:$B$17,0),MATCH($J689,ModelParameters!$D$5:$K$5,0)))</f>
        <v>0</v>
      </c>
      <c r="S689" s="160">
        <f>IF(B689="",0,MIN(IF($N689="Other Bond TM",ModelParameters!$N$21,1)*(P689*Q689+R689),1))</f>
        <v>0.013999999999999998</v>
      </c>
      <c r="T689" s="85">
        <f>IF(B689="",0,$S689*$K689)</f>
        <v>0.027118178013689596</v>
      </c>
      <c r="U689" s="85">
        <f>IF(B689="",0,IF(OR(H689=MappingTables!$C$34,H689=MappingTables!$C$35),T689,0))</f>
        <v>0</v>
      </c>
      <c r="V689" s="85">
        <f>IF(ISNA(IF(AND(VLOOKUP(CONCATENATE($D689,$G689),CSRFinput!$B:$E,4,0)=0,OR(H689=MappingTables!$C$34,H689=MappingTables!$C$35)),1,VLOOKUP(CONCATENATE($D689,$G689),CSRFinput!$B:$E,4,0))),0,IF(AND(VLOOKUP(CONCATENATE($D689,$G689),CSRFinput!$B:$E,4,0)=0,OR(H689=MappingTables!$C$34,H689=MappingTables!$C$35)),1,VLOOKUP(CONCATENATE($D689,$G689),CSRFinput!$B:$E,4,0)))</f>
        <v>0.054776304963434752</v>
      </c>
      <c r="W689" s="85">
        <f>IF(B689="",0,+$T689*$V689)</f>
        <v>0.0014854335889305726</v>
      </c>
      <c r="X689" s="85">
        <f>IF(B689="",0,IF(OR(H689=MappingTables!$C$34,H689=MappingTables!$C$35),W689,0))</f>
        <v>0</v>
      </c>
    </row>
    <row r="690" spans="2:24" s="0" customFormat="0" ht="15">
      <c r="B690" s="69">
        <v>12606277</v>
      </c>
      <c r="C690" s="70" t="s">
        <v>985</v>
      </c>
      <c r="D690" s="70" t="s">
        <v>1</v>
      </c>
      <c r="E690" s="70" t="s">
        <v>1</v>
      </c>
      <c r="F690" s="70"/>
      <c r="G690" s="70" t="s">
        <v>61</v>
      </c>
      <c r="H690" s="70" t="s">
        <v>178</v>
      </c>
      <c r="I690" s="70" t="s">
        <v>188</v>
      </c>
      <c r="J690" s="71">
        <f>IF(OR(I690=0,I690=""),"unrated",VLOOKUP(I690,MappingTables!$B$19:$C$31,2,FALSE))</f>
        <v>2</v>
      </c>
      <c r="K690" s="72">
        <v>917.36302920444992</v>
      </c>
      <c r="L690" s="70">
        <v>0.738173720677656</v>
      </c>
      <c r="M690" s="71">
        <f>IF(L690&lt;1,1,L690)</f>
        <v>1</v>
      </c>
      <c r="N690" s="70" t="s">
        <v>141</v>
      </c>
      <c r="O690" s="71">
        <f>INDEX(DurClassMapping,MATCH(M690,MappingTables!$D$4:$D$8,-1),1)</f>
        <v>1</v>
      </c>
      <c r="P690" s="73">
        <f>IF(M690=$A$1,1,$M690-INDEX(MappingTables!$E$4:$E$8,MATCH(O690,MappingTables!$B$4:$B$8,0)))</f>
        <v>1</v>
      </c>
      <c r="Q690" s="71">
        <f>IF(B690="",0,INDEX(ModelParameters!$D$6:$K$10,MATCH($O690,ModelParameters!$B$6:$B$10,0),MATCH($J690,ModelParameters!$D$5:$K$5,0)))</f>
        <v>0.013999999999999998</v>
      </c>
      <c r="R690" s="71">
        <f>IF(B690="",0,INDEX(ModelParameters!$D$13:$K$17,MATCH($O690,ModelParameters!$B$13:$B$17,0),MATCH($J690,ModelParameters!$D$5:$K$5,0)))</f>
        <v>0</v>
      </c>
      <c r="S690" s="160">
        <f>IF(B690="",0,MIN(IF($N690="Other Bond TM",ModelParameters!$N$21,1)*(P690*Q690+R690),1))</f>
        <v>0.013999999999999998</v>
      </c>
      <c r="T690" s="85">
        <f>IF(B690="",0,$S690*$K690)</f>
        <v>12.843082408862298</v>
      </c>
      <c r="U690" s="85">
        <f>IF(B690="",0,IF(OR(H690=MappingTables!$C$34,H690=MappingTables!$C$35),T690,0))</f>
        <v>0</v>
      </c>
      <c r="V690" s="85">
        <f>IF(ISNA(IF(AND(VLOOKUP(CONCATENATE($D690,$G690),CSRFinput!$B:$E,4,0)=0,OR(H690=MappingTables!$C$34,H690=MappingTables!$C$35)),1,VLOOKUP(CONCATENATE($D690,$G690),CSRFinput!$B:$E,4,0))),0,IF(AND(VLOOKUP(CONCATENATE($D690,$G690),CSRFinput!$B:$E,4,0)=0,OR(H690=MappingTables!$C$34,H690=MappingTables!$C$35)),1,VLOOKUP(CONCATENATE($D690,$G690),CSRFinput!$B:$E,4,0)))</f>
        <v>0.054776304963434752</v>
      </c>
      <c r="W690" s="85">
        <f>IF(B690="",0,+$T690*$V690)</f>
        <v>0.70349659869836544</v>
      </c>
      <c r="X690" s="85">
        <f>IF(B690="",0,IF(OR(H690=MappingTables!$C$34,H690=MappingTables!$C$35),W690,0))</f>
        <v>0</v>
      </c>
    </row>
    <row r="691" spans="2:24" s="0" customFormat="0" ht="15">
      <c r="B691" s="69">
        <v>22554130</v>
      </c>
      <c r="C691" s="70" t="s">
        <v>986</v>
      </c>
      <c r="D691" s="70" t="s">
        <v>1</v>
      </c>
      <c r="E691" s="70" t="s">
        <v>1</v>
      </c>
      <c r="F691" s="70"/>
      <c r="G691" s="70" t="s">
        <v>61</v>
      </c>
      <c r="H691" s="70" t="s">
        <v>178</v>
      </c>
      <c r="I691" s="70" t="s">
        <v>198</v>
      </c>
      <c r="J691" s="71" t="str">
        <f>IF(OR(I691=0,I691=""),"unrated",VLOOKUP(I691,MappingTables!$B$19:$C$31,2,FALSE))</f>
        <v>unrated</v>
      </c>
      <c r="K691" s="72">
        <v>11.505161321486908</v>
      </c>
      <c r="L691" s="70">
        <v>25.577373421897192</v>
      </c>
      <c r="M691" s="71">
        <f>IF(L691&lt;1,1,L691)</f>
        <v>25.577373421897192</v>
      </c>
      <c r="N691" s="70" t="s">
        <v>141</v>
      </c>
      <c r="O691" s="71">
        <f>INDEX(DurClassMapping,MATCH(M691,MappingTables!$D$4:$D$8,-1),1)</f>
        <v>5</v>
      </c>
      <c r="P691" s="73">
        <f>IF(M691=$A$1,1,$M691-INDEX(MappingTables!$E$4:$E$8,MATCH(O691,MappingTables!$B$4:$B$8,0)))</f>
        <v>5.5773734218971928</v>
      </c>
      <c r="Q691" s="71">
        <f>IF(B691="",0,INDEX(ModelParameters!$D$6:$K$10,MATCH($O691,ModelParameters!$B$6:$B$10,0),MATCH($J691,ModelParameters!$D$5:$K$5,0)))</f>
        <v>0.005</v>
      </c>
      <c r="R691" s="71">
        <f>IF(B691="",0,INDEX(ModelParameters!$D$13:$K$17,MATCH($O691,ModelParameters!$B$13:$B$17,0),MATCH($J691,ModelParameters!$D$5:$K$5,0)))</f>
        <v>0.355</v>
      </c>
      <c r="S691" s="160">
        <f>IF(B691="",0,MIN(IF($N691="Other Bond TM",ModelParameters!$N$21,1)*(P691*Q691+R691),1))</f>
        <v>0.38288686710948592</v>
      </c>
      <c r="T691" s="85">
        <f>IF(B691="",0,$S691*$K691)</f>
        <v>4.4051751739733552</v>
      </c>
      <c r="U691" s="85">
        <f>IF(B691="",0,IF(OR(H691=MappingTables!$C$34,H691=MappingTables!$C$35),T691,0))</f>
        <v>0</v>
      </c>
      <c r="V691" s="85">
        <f>IF(ISNA(IF(AND(VLOOKUP(CONCATENATE($D691,$G691),CSRFinput!$B:$E,4,0)=0,OR(H691=MappingTables!$C$34,H691=MappingTables!$C$35)),1,VLOOKUP(CONCATENATE($D691,$G691),CSRFinput!$B:$E,4,0))),0,IF(AND(VLOOKUP(CONCATENATE($D691,$G691),CSRFinput!$B:$E,4,0)=0,OR(H691=MappingTables!$C$34,H691=MappingTables!$C$35)),1,VLOOKUP(CONCATENATE($D691,$G691),CSRFinput!$B:$E,4,0)))</f>
        <v>0.054776304963434752</v>
      </c>
      <c r="W691" s="85">
        <f>IF(B691="",0,+$T691*$V691)</f>
        <v>0.24129921874691628</v>
      </c>
      <c r="X691" s="85">
        <f>IF(B691="",0,IF(OR(H691=MappingTables!$C$34,H691=MappingTables!$C$35),W691,0))</f>
        <v>0</v>
      </c>
    </row>
    <row r="692" spans="2:24" s="0" customFormat="0" ht="15">
      <c r="B692" s="69">
        <v>5436128</v>
      </c>
      <c r="C692" s="70" t="s">
        <v>987</v>
      </c>
      <c r="D692" s="70" t="s">
        <v>1</v>
      </c>
      <c r="E692" s="70" t="s">
        <v>1</v>
      </c>
      <c r="F692" s="70"/>
      <c r="G692" s="70" t="s">
        <v>61</v>
      </c>
      <c r="H692" s="70" t="s">
        <v>178</v>
      </c>
      <c r="I692" s="70" t="s">
        <v>220</v>
      </c>
      <c r="J692" s="71">
        <f>IF(OR(I692=0,I692=""),"unrated",VLOOKUP(I692,MappingTables!$B$19:$C$31,2,FALSE))</f>
        <v>1</v>
      </c>
      <c r="K692" s="72">
        <v>1123885.3454589844</v>
      </c>
      <c r="L692" s="70">
        <v>3.7941339991405872</v>
      </c>
      <c r="M692" s="71">
        <f>IF(L692&lt;1,1,L692)</f>
        <v>3.7941339991405872</v>
      </c>
      <c r="N692" s="70" t="s">
        <v>141</v>
      </c>
      <c r="O692" s="71">
        <f>INDEX(DurClassMapping,MATCH(M692,MappingTables!$D$4:$D$8,-1),1)</f>
        <v>1</v>
      </c>
      <c r="P692" s="73">
        <f>IF(M692=$A$1,1,$M692-INDEX(MappingTables!$E$4:$E$8,MATCH(O692,MappingTables!$B$4:$B$8,0)))</f>
        <v>3.7941339991405872</v>
      </c>
      <c r="Q692" s="71">
        <f>IF(B692="",0,INDEX(ModelParameters!$D$6:$K$10,MATCH($O692,ModelParameters!$B$6:$B$10,0),MATCH($J692,ModelParameters!$D$5:$K$5,0)))</f>
        <v>0.011000000000000002</v>
      </c>
      <c r="R692" s="71">
        <f>IF(B692="",0,INDEX(ModelParameters!$D$13:$K$17,MATCH($O692,ModelParameters!$B$13:$B$17,0),MATCH($J692,ModelParameters!$D$5:$K$5,0)))</f>
        <v>0</v>
      </c>
      <c r="S692" s="160">
        <f>IF(B692="",0,MIN(IF($N692="Other Bond TM",ModelParameters!$N$21,1)*(P692*Q692+R692),1))</f>
        <v>0.041735473990546456</v>
      </c>
      <c r="T692" s="85">
        <f>IF(B692="",0,$S692*$K692)</f>
        <v>46905.887603759768</v>
      </c>
      <c r="U692" s="85">
        <f>IF(B692="",0,IF(OR(H692=MappingTables!$C$34,H692=MappingTables!$C$35),T692,0))</f>
        <v>0</v>
      </c>
      <c r="V692" s="85">
        <f>IF(ISNA(IF(AND(VLOOKUP(CONCATENATE($D692,$G692),CSRFinput!$B:$E,4,0)=0,OR(H692=MappingTables!$C$34,H692=MappingTables!$C$35)),1,VLOOKUP(CONCATENATE($D692,$G692),CSRFinput!$B:$E,4,0))),0,IF(AND(VLOOKUP(CONCATENATE($D692,$G692),CSRFinput!$B:$E,4,0)=0,OR(H692=MappingTables!$C$34,H692=MappingTables!$C$35)),1,VLOOKUP(CONCATENATE($D692,$G692),CSRFinput!$B:$E,4,0)))</f>
        <v>0.054776304963434752</v>
      </c>
      <c r="W692" s="85">
        <f>IF(B692="",0,+$T692*$V692)</f>
        <v>2569.3312039641388</v>
      </c>
      <c r="X692" s="85">
        <f>IF(B692="",0,IF(OR(H692=MappingTables!$C$34,H692=MappingTables!$C$35),W692,0))</f>
        <v>0</v>
      </c>
    </row>
    <row r="693" spans="2:24" s="0" customFormat="0" ht="15">
      <c r="B693" s="69">
        <v>14536858</v>
      </c>
      <c r="C693" s="70" t="s">
        <v>988</v>
      </c>
      <c r="D693" s="70" t="s">
        <v>1</v>
      </c>
      <c r="E693" s="70" t="s">
        <v>1</v>
      </c>
      <c r="F693" s="70"/>
      <c r="G693" s="70" t="s">
        <v>61</v>
      </c>
      <c r="H693" s="70" t="s">
        <v>178</v>
      </c>
      <c r="I693" s="70" t="s">
        <v>204</v>
      </c>
      <c r="J693" s="71">
        <f>IF(OR(I693=0,I693=""),"unrated",VLOOKUP(I693,MappingTables!$B$19:$C$31,2,FALSE))</f>
        <v>6</v>
      </c>
      <c r="K693" s="72">
        <v>90.12250001689368</v>
      </c>
      <c r="L693" s="70">
        <v>1.4357626596722308</v>
      </c>
      <c r="M693" s="71">
        <f>IF(L693&lt;1,1,L693)</f>
        <v>1.4357626596722308</v>
      </c>
      <c r="N693" s="70" t="s">
        <v>141</v>
      </c>
      <c r="O693" s="71">
        <f>INDEX(DurClassMapping,MATCH(M693,MappingTables!$D$4:$D$8,-1),1)</f>
        <v>1</v>
      </c>
      <c r="P693" s="73">
        <f>IF(M693=$A$1,1,$M693-INDEX(MappingTables!$E$4:$E$8,MATCH(O693,MappingTables!$B$4:$B$8,0)))</f>
        <v>1.4357626596722308</v>
      </c>
      <c r="Q693" s="71">
        <f>IF(B693="",0,INDEX(ModelParameters!$D$6:$K$10,MATCH($O693,ModelParameters!$B$6:$B$10,0),MATCH($J693,ModelParameters!$D$5:$K$5,0)))</f>
        <v>0.075</v>
      </c>
      <c r="R693" s="71">
        <f>IF(B693="",0,INDEX(ModelParameters!$D$13:$K$17,MATCH($O693,ModelParameters!$B$13:$B$17,0),MATCH($J693,ModelParameters!$D$5:$K$5,0)))</f>
        <v>0</v>
      </c>
      <c r="S693" s="160">
        <f>IF(B693="",0,MIN(IF($N693="Other Bond TM",ModelParameters!$N$21,1)*(P693*Q693+R693),1))</f>
        <v>0.1076821994754173</v>
      </c>
      <c r="T693" s="85">
        <f>IF(B693="",0,$S693*$K693)</f>
        <v>9.7045890240424448</v>
      </c>
      <c r="U693" s="85">
        <f>IF(B693="",0,IF(OR(H693=MappingTables!$C$34,H693=MappingTables!$C$35),T693,0))</f>
        <v>0</v>
      </c>
      <c r="V693" s="85">
        <f>IF(ISNA(IF(AND(VLOOKUP(CONCATENATE($D693,$G693),CSRFinput!$B:$E,4,0)=0,OR(H693=MappingTables!$C$34,H693=MappingTables!$C$35)),1,VLOOKUP(CONCATENATE($D693,$G693),CSRFinput!$B:$E,4,0))),0,IF(AND(VLOOKUP(CONCATENATE($D693,$G693),CSRFinput!$B:$E,4,0)=0,OR(H693=MappingTables!$C$34,H693=MappingTables!$C$35)),1,VLOOKUP(CONCATENATE($D693,$G693),CSRFinput!$B:$E,4,0)))</f>
        <v>0.054776304963434752</v>
      </c>
      <c r="W693" s="85">
        <f>IF(B693="",0,+$T693*$V693)</f>
        <v>0.53158152792575064</v>
      </c>
      <c r="X693" s="85">
        <f>IF(B693="",0,IF(OR(H693=MappingTables!$C$34,H693=MappingTables!$C$35),W693,0))</f>
        <v>0</v>
      </c>
    </row>
    <row r="694" spans="2:24" s="0" customFormat="0" ht="15">
      <c r="B694" s="69">
        <v>24922384</v>
      </c>
      <c r="C694" s="70" t="s">
        <v>870</v>
      </c>
      <c r="D694" s="70" t="s">
        <v>1</v>
      </c>
      <c r="E694" s="70" t="s">
        <v>1</v>
      </c>
      <c r="F694" s="70"/>
      <c r="G694" s="70" t="s">
        <v>61</v>
      </c>
      <c r="H694" s="70" t="s">
        <v>178</v>
      </c>
      <c r="I694" s="70" t="s">
        <v>179</v>
      </c>
      <c r="J694" s="71">
        <f>IF(OR(I694=0,I694=""),"unrated",VLOOKUP(I694,MappingTables!$B$19:$C$31,2,FALSE))</f>
        <v>4</v>
      </c>
      <c r="K694" s="72">
        <v>4.2854495274672976</v>
      </c>
      <c r="L694" s="70">
        <v>5.6409725688929032</v>
      </c>
      <c r="M694" s="71">
        <f>IF(L694&lt;1,1,L694)</f>
        <v>5.6409725688929032</v>
      </c>
      <c r="N694" s="70" t="s">
        <v>141</v>
      </c>
      <c r="O694" s="71">
        <f>INDEX(DurClassMapping,MATCH(M694,MappingTables!$D$4:$D$8,-1),1)</f>
        <v>2</v>
      </c>
      <c r="P694" s="73">
        <f>IF(M694=$A$1,1,$M694-INDEX(MappingTables!$E$4:$E$8,MATCH(O694,MappingTables!$B$4:$B$8,0)))</f>
        <v>0.64097256889290312</v>
      </c>
      <c r="Q694" s="71">
        <f>IF(B694="",0,INDEX(ModelParameters!$D$6:$K$10,MATCH($O694,ModelParameters!$B$6:$B$10,0),MATCH($J694,ModelParameters!$D$5:$K$5,0)))</f>
        <v>0.025</v>
      </c>
      <c r="R694" s="71">
        <f>IF(B694="",0,INDEX(ModelParameters!$D$13:$K$17,MATCH($O694,ModelParameters!$B$13:$B$17,0),MATCH($J694,ModelParameters!$D$5:$K$5,0)))</f>
        <v>0.225</v>
      </c>
      <c r="S694" s="160">
        <f>IF(B694="",0,MIN(IF($N694="Other Bond TM",ModelParameters!$N$21,1)*(P694*Q694+R694),1))</f>
        <v>0.2410243142223226</v>
      </c>
      <c r="T694" s="85">
        <f>IF(B694="",0,$S694*$K694)</f>
        <v>1.0328975334921818</v>
      </c>
      <c r="U694" s="85">
        <f>IF(B694="",0,IF(OR(H694=MappingTables!$C$34,H694=MappingTables!$C$35),T694,0))</f>
        <v>0</v>
      </c>
      <c r="V694" s="85">
        <f>IF(ISNA(IF(AND(VLOOKUP(CONCATENATE($D694,$G694),CSRFinput!$B:$E,4,0)=0,OR(H694=MappingTables!$C$34,H694=MappingTables!$C$35)),1,VLOOKUP(CONCATENATE($D694,$G694),CSRFinput!$B:$E,4,0))),0,IF(AND(VLOOKUP(CONCATENATE($D694,$G694),CSRFinput!$B:$E,4,0)=0,OR(H694=MappingTables!$C$34,H694=MappingTables!$C$35)),1,VLOOKUP(CONCATENATE($D694,$G694),CSRFinput!$B:$E,4,0)))</f>
        <v>0.054776304963434752</v>
      </c>
      <c r="W694" s="85">
        <f>IF(B694="",0,+$T694*$V694)</f>
        <v>0.056578310290547312</v>
      </c>
      <c r="X694" s="85">
        <f>IF(B694="",0,IF(OR(H694=MappingTables!$C$34,H694=MappingTables!$C$35),W694,0))</f>
        <v>0</v>
      </c>
    </row>
    <row r="695" spans="2:24" s="0" customFormat="0" ht="15">
      <c r="B695" s="69">
        <v>19748440</v>
      </c>
      <c r="C695" s="70" t="s">
        <v>989</v>
      </c>
      <c r="D695" s="70" t="s">
        <v>1</v>
      </c>
      <c r="E695" s="70" t="s">
        <v>1</v>
      </c>
      <c r="F695" s="70"/>
      <c r="G695" s="70" t="s">
        <v>61</v>
      </c>
      <c r="H695" s="70" t="s">
        <v>178</v>
      </c>
      <c r="I695" s="70" t="s">
        <v>181</v>
      </c>
      <c r="J695" s="71">
        <f>IF(OR(I695=0,I695=""),"unrated",VLOOKUP(I695,MappingTables!$B$19:$C$31,2,FALSE))</f>
        <v>3</v>
      </c>
      <c r="K695" s="72">
        <v>2195.6616200189428</v>
      </c>
      <c r="L695" s="70">
        <v>7.151005666933836</v>
      </c>
      <c r="M695" s="71">
        <f>IF(L695&lt;1,1,L695)</f>
        <v>7.151005666933836</v>
      </c>
      <c r="N695" s="70" t="s">
        <v>141</v>
      </c>
      <c r="O695" s="71">
        <f>INDEX(DurClassMapping,MATCH(M695,MappingTables!$D$4:$D$8,-1),1)</f>
        <v>2</v>
      </c>
      <c r="P695" s="73">
        <f>IF(M695=$A$1,1,$M695-INDEX(MappingTables!$E$4:$E$8,MATCH(O695,MappingTables!$B$4:$B$8,0)))</f>
        <v>2.1510056669338356</v>
      </c>
      <c r="Q695" s="71">
        <f>IF(B695="",0,INDEX(ModelParameters!$D$6:$K$10,MATCH($O695,ModelParameters!$B$6:$B$10,0),MATCH($J695,ModelParameters!$D$5:$K$5,0)))</f>
        <v>0.015</v>
      </c>
      <c r="R695" s="71">
        <f>IF(B695="",0,INDEX(ModelParameters!$D$13:$K$17,MATCH($O695,ModelParameters!$B$13:$B$17,0),MATCH($J695,ModelParameters!$D$5:$K$5,0)))</f>
        <v>0.125</v>
      </c>
      <c r="S695" s="160">
        <f>IF(B695="",0,MIN(IF($N695="Other Bond TM",ModelParameters!$N$21,1)*(P695*Q695+R695),1))</f>
        <v>0.15726508500400754</v>
      </c>
      <c r="T695" s="85">
        <f>IF(B695="",0,$S695*$K695)</f>
        <v>345.30091131231596</v>
      </c>
      <c r="U695" s="85">
        <f>IF(B695="",0,IF(OR(H695=MappingTables!$C$34,H695=MappingTables!$C$35),T695,0))</f>
        <v>0</v>
      </c>
      <c r="V695" s="85">
        <f>IF(ISNA(IF(AND(VLOOKUP(CONCATENATE($D695,$G695),CSRFinput!$B:$E,4,0)=0,OR(H695=MappingTables!$C$34,H695=MappingTables!$C$35)),1,VLOOKUP(CONCATENATE($D695,$G695),CSRFinput!$B:$E,4,0))),0,IF(AND(VLOOKUP(CONCATENATE($D695,$G695),CSRFinput!$B:$E,4,0)=0,OR(H695=MappingTables!$C$34,H695=MappingTables!$C$35)),1,VLOOKUP(CONCATENATE($D695,$G695),CSRFinput!$B:$E,4,0)))</f>
        <v>0.054776304963434752</v>
      </c>
      <c r="W695" s="85">
        <f>IF(B695="",0,+$T695*$V695)</f>
        <v>18.914308022195356</v>
      </c>
      <c r="X695" s="85">
        <f>IF(B695="",0,IF(OR(H695=MappingTables!$C$34,H695=MappingTables!$C$35),W695,0))</f>
        <v>0</v>
      </c>
    </row>
    <row r="696" spans="2:24" s="0" customFormat="0" ht="15">
      <c r="B696" s="69" t="s">
        <v>990</v>
      </c>
      <c r="C696" s="70" t="s">
        <v>991</v>
      </c>
      <c r="D696" s="70" t="s">
        <v>1</v>
      </c>
      <c r="E696" s="70" t="s">
        <v>1</v>
      </c>
      <c r="F696" s="70"/>
      <c r="G696" s="70" t="s">
        <v>61</v>
      </c>
      <c r="H696" s="70" t="s">
        <v>178</v>
      </c>
      <c r="I696" s="70" t="s">
        <v>181</v>
      </c>
      <c r="J696" s="71">
        <f>IF(OR(I696=0,I696=""),"unrated",VLOOKUP(I696,MappingTables!$B$19:$C$31,2,FALSE))</f>
        <v>3</v>
      </c>
      <c r="K696" s="72">
        <v>15.42101738465122</v>
      </c>
      <c r="L696" s="70">
        <v>0.68767852907021752</v>
      </c>
      <c r="M696" s="71">
        <f>IF(L696&lt;1,1,L696)</f>
        <v>1</v>
      </c>
      <c r="N696" s="70" t="s">
        <v>141</v>
      </c>
      <c r="O696" s="71">
        <f>INDEX(DurClassMapping,MATCH(M696,MappingTables!$D$4:$D$8,-1),1)</f>
        <v>1</v>
      </c>
      <c r="P696" s="73">
        <f>IF(M696=$A$1,1,$M696-INDEX(MappingTables!$E$4:$E$8,MATCH(O696,MappingTables!$B$4:$B$8,0)))</f>
        <v>1</v>
      </c>
      <c r="Q696" s="71">
        <f>IF(B696="",0,INDEX(ModelParameters!$D$6:$K$10,MATCH($O696,ModelParameters!$B$6:$B$10,0),MATCH($J696,ModelParameters!$D$5:$K$5,0)))</f>
        <v>0.025</v>
      </c>
      <c r="R696" s="71">
        <f>IF(B696="",0,INDEX(ModelParameters!$D$13:$K$17,MATCH($O696,ModelParameters!$B$13:$B$17,0),MATCH($J696,ModelParameters!$D$5:$K$5,0)))</f>
        <v>0</v>
      </c>
      <c r="S696" s="160">
        <f>IF(B696="",0,MIN(IF($N696="Other Bond TM",ModelParameters!$N$21,1)*(P696*Q696+R696),1))</f>
        <v>0.025</v>
      </c>
      <c r="T696" s="85">
        <f>IF(B696="",0,$S696*$K696)</f>
        <v>0.38552543461628056</v>
      </c>
      <c r="U696" s="85">
        <f>IF(B696="",0,IF(OR(H696=MappingTables!$C$34,H696=MappingTables!$C$35),T696,0))</f>
        <v>0</v>
      </c>
      <c r="V696" s="85">
        <f>IF(ISNA(IF(AND(VLOOKUP(CONCATENATE($D696,$G696),CSRFinput!$B:$E,4,0)=0,OR(H696=MappingTables!$C$34,H696=MappingTables!$C$35)),1,VLOOKUP(CONCATENATE($D696,$G696),CSRFinput!$B:$E,4,0))),0,IF(AND(VLOOKUP(CONCATENATE($D696,$G696),CSRFinput!$B:$E,4,0)=0,OR(H696=MappingTables!$C$34,H696=MappingTables!$C$35)),1,VLOOKUP(CONCATENATE($D696,$G696),CSRFinput!$B:$E,4,0)))</f>
        <v>0.054776304963434752</v>
      </c>
      <c r="W696" s="85">
        <f>IF(B696="",0,+$T696*$V696)</f>
        <v>0.021117658777702108</v>
      </c>
      <c r="X696" s="85">
        <f>IF(B696="",0,IF(OR(H696=MappingTables!$C$34,H696=MappingTables!$C$35),W696,0))</f>
        <v>0</v>
      </c>
    </row>
    <row r="697" spans="2:24" s="0" customFormat="0" ht="15">
      <c r="B697" s="69" t="s">
        <v>992</v>
      </c>
      <c r="C697" s="70" t="s">
        <v>993</v>
      </c>
      <c r="D697" s="70" t="s">
        <v>1</v>
      </c>
      <c r="E697" s="70" t="s">
        <v>1</v>
      </c>
      <c r="F697" s="70"/>
      <c r="G697" s="70" t="s">
        <v>61</v>
      </c>
      <c r="H697" s="70" t="s">
        <v>178</v>
      </c>
      <c r="I697" s="70" t="s">
        <v>188</v>
      </c>
      <c r="J697" s="71">
        <f>IF(OR(I697=0,I697=""),"unrated",VLOOKUP(I697,MappingTables!$B$19:$C$31,2,FALSE))</f>
        <v>2</v>
      </c>
      <c r="K697" s="72">
        <v>64.595918829920776</v>
      </c>
      <c r="L697" s="70">
        <v>1.0598020361198488</v>
      </c>
      <c r="M697" s="71">
        <f>IF(L697&lt;1,1,L697)</f>
        <v>1.0598020361198488</v>
      </c>
      <c r="N697" s="70" t="s">
        <v>141</v>
      </c>
      <c r="O697" s="71">
        <f>INDEX(DurClassMapping,MATCH(M697,MappingTables!$D$4:$D$8,-1),1)</f>
        <v>1</v>
      </c>
      <c r="P697" s="73">
        <f>IF(M697=$A$1,1,$M697-INDEX(MappingTables!$E$4:$E$8,MATCH(O697,MappingTables!$B$4:$B$8,0)))</f>
        <v>1.0598020361198488</v>
      </c>
      <c r="Q697" s="71">
        <f>IF(B697="",0,INDEX(ModelParameters!$D$6:$K$10,MATCH($O697,ModelParameters!$B$6:$B$10,0),MATCH($J697,ModelParameters!$D$5:$K$5,0)))</f>
        <v>0.013999999999999998</v>
      </c>
      <c r="R697" s="71">
        <f>IF(B697="",0,INDEX(ModelParameters!$D$13:$K$17,MATCH($O697,ModelParameters!$B$13:$B$17,0),MATCH($J697,ModelParameters!$D$5:$K$5,0)))</f>
        <v>0</v>
      </c>
      <c r="S697" s="160">
        <f>IF(B697="",0,MIN(IF($N697="Other Bond TM",ModelParameters!$N$21,1)*(P697*Q697+R697),1))</f>
        <v>0.014837228505677882</v>
      </c>
      <c r="T697" s="85">
        <f>IF(B697="",0,$S697*$K697)</f>
        <v>0.9584244082137552</v>
      </c>
      <c r="U697" s="85">
        <f>IF(B697="",0,IF(OR(H697=MappingTables!$C$34,H697=MappingTables!$C$35),T697,0))</f>
        <v>0</v>
      </c>
      <c r="V697" s="85">
        <f>IF(ISNA(IF(AND(VLOOKUP(CONCATENATE($D697,$G697),CSRFinput!$B:$E,4,0)=0,OR(H697=MappingTables!$C$34,H697=MappingTables!$C$35)),1,VLOOKUP(CONCATENATE($D697,$G697),CSRFinput!$B:$E,4,0))),0,IF(AND(VLOOKUP(CONCATENATE($D697,$G697),CSRFinput!$B:$E,4,0)=0,OR(H697=MappingTables!$C$34,H697=MappingTables!$C$35)),1,VLOOKUP(CONCATENATE($D697,$G697),CSRFinput!$B:$E,4,0)))</f>
        <v>0.054776304963434752</v>
      </c>
      <c r="W697" s="85">
        <f>IF(B697="",0,+$T697*$V697)</f>
        <v>0.052498947668716136</v>
      </c>
      <c r="X697" s="85">
        <f>IF(B697="",0,IF(OR(H697=MappingTables!$C$34,H697=MappingTables!$C$35),W697,0))</f>
        <v>0</v>
      </c>
    </row>
    <row r="698" spans="2:24" s="0" customFormat="0" ht="15">
      <c r="B698" s="69">
        <v>23170668</v>
      </c>
      <c r="C698" s="70" t="s">
        <v>994</v>
      </c>
      <c r="D698" s="70" t="s">
        <v>1</v>
      </c>
      <c r="E698" s="70" t="s">
        <v>1</v>
      </c>
      <c r="F698" s="70"/>
      <c r="G698" s="70" t="s">
        <v>61</v>
      </c>
      <c r="H698" s="70" t="s">
        <v>178</v>
      </c>
      <c r="I698" s="70" t="s">
        <v>188</v>
      </c>
      <c r="J698" s="71">
        <f>IF(OR(I698=0,I698=""),"unrated",VLOOKUP(I698,MappingTables!$B$19:$C$31,2,FALSE))</f>
        <v>2</v>
      </c>
      <c r="K698" s="72">
        <v>5.6066840050559464</v>
      </c>
      <c r="L698" s="70">
        <v>0.1671215818066333</v>
      </c>
      <c r="M698" s="71">
        <f>IF(L698&lt;1,1,L698)</f>
        <v>1</v>
      </c>
      <c r="N698" s="70" t="s">
        <v>141</v>
      </c>
      <c r="O698" s="71">
        <f>INDEX(DurClassMapping,MATCH(M698,MappingTables!$D$4:$D$8,-1),1)</f>
        <v>1</v>
      </c>
      <c r="P698" s="73">
        <f>IF(M698=$A$1,1,$M698-INDEX(MappingTables!$E$4:$E$8,MATCH(O698,MappingTables!$B$4:$B$8,0)))</f>
        <v>1</v>
      </c>
      <c r="Q698" s="71">
        <f>IF(B698="",0,INDEX(ModelParameters!$D$6:$K$10,MATCH($O698,ModelParameters!$B$6:$B$10,0),MATCH($J698,ModelParameters!$D$5:$K$5,0)))</f>
        <v>0.013999999999999998</v>
      </c>
      <c r="R698" s="71">
        <f>IF(B698="",0,INDEX(ModelParameters!$D$13:$K$17,MATCH($O698,ModelParameters!$B$13:$B$17,0),MATCH($J698,ModelParameters!$D$5:$K$5,0)))</f>
        <v>0</v>
      </c>
      <c r="S698" s="160">
        <f>IF(B698="",0,MIN(IF($N698="Other Bond TM",ModelParameters!$N$21,1)*(P698*Q698+R698),1))</f>
        <v>0.013999999999999998</v>
      </c>
      <c r="T698" s="85">
        <f>IF(B698="",0,$S698*$K698)</f>
        <v>0.078493576070783232</v>
      </c>
      <c r="U698" s="85">
        <f>IF(B698="",0,IF(OR(H698=MappingTables!$C$34,H698=MappingTables!$C$35),T698,0))</f>
        <v>0</v>
      </c>
      <c r="V698" s="85">
        <f>IF(ISNA(IF(AND(VLOOKUP(CONCATENATE($D698,$G698),CSRFinput!$B:$E,4,0)=0,OR(H698=MappingTables!$C$34,H698=MappingTables!$C$35)),1,VLOOKUP(CONCATENATE($D698,$G698),CSRFinput!$B:$E,4,0))),0,IF(AND(VLOOKUP(CONCATENATE($D698,$G698),CSRFinput!$B:$E,4,0)=0,OR(H698=MappingTables!$C$34,H698=MappingTables!$C$35)),1,VLOOKUP(CONCATENATE($D698,$G698),CSRFinput!$B:$E,4,0)))</f>
        <v>0.054776304963434752</v>
      </c>
      <c r="W698" s="85">
        <f>IF(B698="",0,+$T698*$V698)</f>
        <v>0.0042995880605237872</v>
      </c>
      <c r="X698" s="85">
        <f>IF(B698="",0,IF(OR(H698=MappingTables!$C$34,H698=MappingTables!$C$35),W698,0))</f>
        <v>0</v>
      </c>
    </row>
    <row r="699" spans="2:24" s="0" customFormat="0" ht="15">
      <c r="B699" s="69">
        <v>20982109</v>
      </c>
      <c r="C699" s="70" t="s">
        <v>995</v>
      </c>
      <c r="D699" s="70" t="s">
        <v>1</v>
      </c>
      <c r="E699" s="70" t="s">
        <v>1</v>
      </c>
      <c r="F699" s="70"/>
      <c r="G699" s="70" t="s">
        <v>61</v>
      </c>
      <c r="H699" s="70" t="s">
        <v>178</v>
      </c>
      <c r="I699" s="70" t="s">
        <v>181</v>
      </c>
      <c r="J699" s="71">
        <f>IF(OR(I699=0,I699=""),"unrated",VLOOKUP(I699,MappingTables!$B$19:$C$31,2,FALSE))</f>
        <v>3</v>
      </c>
      <c r="K699" s="72">
        <v>4311.227337070248</v>
      </c>
      <c r="L699" s="70">
        <v>0.47352646682205952</v>
      </c>
      <c r="M699" s="71">
        <f>IF(L699&lt;1,1,L699)</f>
        <v>1</v>
      </c>
      <c r="N699" s="70" t="s">
        <v>141</v>
      </c>
      <c r="O699" s="71">
        <f>INDEX(DurClassMapping,MATCH(M699,MappingTables!$D$4:$D$8,-1),1)</f>
        <v>1</v>
      </c>
      <c r="P699" s="73">
        <f>IF(M699=$A$1,1,$M699-INDEX(MappingTables!$E$4:$E$8,MATCH(O699,MappingTables!$B$4:$B$8,0)))</f>
        <v>1</v>
      </c>
      <c r="Q699" s="71">
        <f>IF(B699="",0,INDEX(ModelParameters!$D$6:$K$10,MATCH($O699,ModelParameters!$B$6:$B$10,0),MATCH($J699,ModelParameters!$D$5:$K$5,0)))</f>
        <v>0.025</v>
      </c>
      <c r="R699" s="71">
        <f>IF(B699="",0,INDEX(ModelParameters!$D$13:$K$17,MATCH($O699,ModelParameters!$B$13:$B$17,0),MATCH($J699,ModelParameters!$D$5:$K$5,0)))</f>
        <v>0</v>
      </c>
      <c r="S699" s="160">
        <f>IF(B699="",0,MIN(IF($N699="Other Bond TM",ModelParameters!$N$21,1)*(P699*Q699+R699),1))</f>
        <v>0.025</v>
      </c>
      <c r="T699" s="85">
        <f>IF(B699="",0,$S699*$K699)</f>
        <v>107.7806834267562</v>
      </c>
      <c r="U699" s="85">
        <f>IF(B699="",0,IF(OR(H699=MappingTables!$C$34,H699=MappingTables!$C$35),T699,0))</f>
        <v>0</v>
      </c>
      <c r="V699" s="85">
        <f>IF(ISNA(IF(AND(VLOOKUP(CONCATENATE($D699,$G699),CSRFinput!$B:$E,4,0)=0,OR(H699=MappingTables!$C$34,H699=MappingTables!$C$35)),1,VLOOKUP(CONCATENATE($D699,$G699),CSRFinput!$B:$E,4,0))),0,IF(AND(VLOOKUP(CONCATENATE($D699,$G699),CSRFinput!$B:$E,4,0)=0,OR(H699=MappingTables!$C$34,H699=MappingTables!$C$35)),1,VLOOKUP(CONCATENATE($D699,$G699),CSRFinput!$B:$E,4,0)))</f>
        <v>0.054776304963434752</v>
      </c>
      <c r="W699" s="85">
        <f>IF(B699="",0,+$T699*$V699)</f>
        <v>5.9038275845514152</v>
      </c>
      <c r="X699" s="85">
        <f>IF(B699="",0,IF(OR(H699=MappingTables!$C$34,H699=MappingTables!$C$35),W699,0))</f>
        <v>0</v>
      </c>
    </row>
    <row r="700" spans="2:24" s="0" customFormat="0" ht="15">
      <c r="B700" s="69" t="s">
        <v>996</v>
      </c>
      <c r="C700" s="70" t="s">
        <v>997</v>
      </c>
      <c r="D700" s="70" t="s">
        <v>1</v>
      </c>
      <c r="E700" s="70" t="s">
        <v>1</v>
      </c>
      <c r="F700" s="70"/>
      <c r="G700" s="70" t="s">
        <v>61</v>
      </c>
      <c r="H700" s="70" t="s">
        <v>178</v>
      </c>
      <c r="I700" s="70" t="s">
        <v>513</v>
      </c>
      <c r="J700" s="71">
        <f>IF(OR(I700=0,I700=""),"unrated",VLOOKUP(I700,MappingTables!$B$19:$C$31,2,FALSE))</f>
        <v>6</v>
      </c>
      <c r="K700" s="72">
        <v>287.87731564949196</v>
      </c>
      <c r="L700" s="70">
        <v>1.5258426096946832</v>
      </c>
      <c r="M700" s="71">
        <f>IF(L700&lt;1,1,L700)</f>
        <v>1.5258426096946832</v>
      </c>
      <c r="N700" s="70" t="s">
        <v>141</v>
      </c>
      <c r="O700" s="71">
        <f>INDEX(DurClassMapping,MATCH(M700,MappingTables!$D$4:$D$8,-1),1)</f>
        <v>1</v>
      </c>
      <c r="P700" s="73">
        <f>IF(M700=$A$1,1,$M700-INDEX(MappingTables!$E$4:$E$8,MATCH(O700,MappingTables!$B$4:$B$8,0)))</f>
        <v>1.5258426096946832</v>
      </c>
      <c r="Q700" s="71">
        <f>IF(B700="",0,INDEX(ModelParameters!$D$6:$K$10,MATCH($O700,ModelParameters!$B$6:$B$10,0),MATCH($J700,ModelParameters!$D$5:$K$5,0)))</f>
        <v>0.075</v>
      </c>
      <c r="R700" s="71">
        <f>IF(B700="",0,INDEX(ModelParameters!$D$13:$K$17,MATCH($O700,ModelParameters!$B$13:$B$17,0),MATCH($J700,ModelParameters!$D$5:$K$5,0)))</f>
        <v>0</v>
      </c>
      <c r="S700" s="160">
        <f>IF(B700="",0,MIN(IF($N700="Other Bond TM",ModelParameters!$N$21,1)*(P700*Q700+R700),1))</f>
        <v>0.11443819572710124</v>
      </c>
      <c r="T700" s="85">
        <f>IF(B700="",0,$S700*$K700)</f>
        <v>32.944160593689064</v>
      </c>
      <c r="U700" s="85">
        <f>IF(B700="",0,IF(OR(H700=MappingTables!$C$34,H700=MappingTables!$C$35),T700,0))</f>
        <v>0</v>
      </c>
      <c r="V700" s="85">
        <f>IF(ISNA(IF(AND(VLOOKUP(CONCATENATE($D700,$G700),CSRFinput!$B:$E,4,0)=0,OR(H700=MappingTables!$C$34,H700=MappingTables!$C$35)),1,VLOOKUP(CONCATENATE($D700,$G700),CSRFinput!$B:$E,4,0))),0,IF(AND(VLOOKUP(CONCATENATE($D700,$G700),CSRFinput!$B:$E,4,0)=0,OR(H700=MappingTables!$C$34,H700=MappingTables!$C$35)),1,VLOOKUP(CONCATENATE($D700,$G700),CSRFinput!$B:$E,4,0)))</f>
        <v>0.054776304963434752</v>
      </c>
      <c r="W700" s="85">
        <f>IF(B700="",0,+$T700*$V700)</f>
        <v>1.8045593874442816</v>
      </c>
      <c r="X700" s="85">
        <f>IF(B700="",0,IF(OR(H700=MappingTables!$C$34,H700=MappingTables!$C$35),W700,0))</f>
        <v>0</v>
      </c>
    </row>
    <row r="701" spans="2:24" s="0" customFormat="0" ht="15">
      <c r="B701" s="69" t="s">
        <v>998</v>
      </c>
      <c r="C701" s="70" t="s">
        <v>999</v>
      </c>
      <c r="D701" s="70" t="s">
        <v>1</v>
      </c>
      <c r="E701" s="70" t="s">
        <v>1</v>
      </c>
      <c r="F701" s="70"/>
      <c r="G701" s="70" t="s">
        <v>61</v>
      </c>
      <c r="H701" s="70" t="s">
        <v>178</v>
      </c>
      <c r="I701" s="70" t="s">
        <v>198</v>
      </c>
      <c r="J701" s="71" t="str">
        <f>IF(OR(I701=0,I701=""),"unrated",VLOOKUP(I701,MappingTables!$B$19:$C$31,2,FALSE))</f>
        <v>unrated</v>
      </c>
      <c r="K701" s="72">
        <v>0.4897147623377228</v>
      </c>
      <c r="L701" s="70">
        <v>0.13150626109455462</v>
      </c>
      <c r="M701" s="71">
        <f>IF(L701&lt;1,1,L701)</f>
        <v>1</v>
      </c>
      <c r="N701" s="70" t="s">
        <v>141</v>
      </c>
      <c r="O701" s="71">
        <f>INDEX(DurClassMapping,MATCH(M701,MappingTables!$D$4:$D$8,-1),1)</f>
        <v>1</v>
      </c>
      <c r="P701" s="73">
        <f>IF(M701=$A$1,1,$M701-INDEX(MappingTables!$E$4:$E$8,MATCH(O701,MappingTables!$B$4:$B$8,0)))</f>
        <v>1</v>
      </c>
      <c r="Q701" s="71">
        <f>IF(B701="",0,INDEX(ModelParameters!$D$6:$K$10,MATCH($O701,ModelParameters!$B$6:$B$10,0),MATCH($J701,ModelParameters!$D$5:$K$5,0)))</f>
        <v>0.03</v>
      </c>
      <c r="R701" s="71">
        <f>IF(B701="",0,INDEX(ModelParameters!$D$13:$K$17,MATCH($O701,ModelParameters!$B$13:$B$17,0),MATCH($J701,ModelParameters!$D$5:$K$5,0)))</f>
        <v>0</v>
      </c>
      <c r="S701" s="160">
        <f>IF(B701="",0,MIN(IF($N701="Other Bond TM",ModelParameters!$N$21,1)*(P701*Q701+R701),1))</f>
        <v>0.03</v>
      </c>
      <c r="T701" s="85">
        <f>IF(B701="",0,$S701*$K701)</f>
        <v>0.014691442870131682</v>
      </c>
      <c r="U701" s="85">
        <f>IF(B701="",0,IF(OR(H701=MappingTables!$C$34,H701=MappingTables!$C$35),T701,0))</f>
        <v>0</v>
      </c>
      <c r="V701" s="85">
        <f>IF(ISNA(IF(AND(VLOOKUP(CONCATENATE($D701,$G701),CSRFinput!$B:$E,4,0)=0,OR(H701=MappingTables!$C$34,H701=MappingTables!$C$35)),1,VLOOKUP(CONCATENATE($D701,$G701),CSRFinput!$B:$E,4,0))),0,IF(AND(VLOOKUP(CONCATENATE($D701,$G701),CSRFinput!$B:$E,4,0)=0,OR(H701=MappingTables!$C$34,H701=MappingTables!$C$35)),1,VLOOKUP(CONCATENATE($D701,$G701),CSRFinput!$B:$E,4,0)))</f>
        <v>0.054776304963434752</v>
      </c>
      <c r="W701" s="85">
        <f>IF(B701="",0,+$T701*$V701)</f>
        <v>0.00080474295500721216</v>
      </c>
      <c r="X701" s="85">
        <f>IF(B701="",0,IF(OR(H701=MappingTables!$C$34,H701=MappingTables!$C$35),W701,0))</f>
        <v>0</v>
      </c>
    </row>
    <row r="702" spans="2:24" s="0" customFormat="0" ht="15">
      <c r="B702" s="69">
        <v>22956030</v>
      </c>
      <c r="C702" s="70" t="s">
        <v>382</v>
      </c>
      <c r="D702" s="70" t="s">
        <v>1</v>
      </c>
      <c r="E702" s="70" t="s">
        <v>1</v>
      </c>
      <c r="F702" s="70"/>
      <c r="G702" s="70" t="s">
        <v>61</v>
      </c>
      <c r="H702" s="70" t="s">
        <v>178</v>
      </c>
      <c r="I702" s="70" t="s">
        <v>181</v>
      </c>
      <c r="J702" s="71">
        <f>IF(OR(I702=0,I702=""),"unrated",VLOOKUP(I702,MappingTables!$B$19:$C$31,2,FALSE))</f>
        <v>3</v>
      </c>
      <c r="K702" s="72">
        <v>41941.292080402584</v>
      </c>
      <c r="L702" s="70">
        <v>6.5920567519606248</v>
      </c>
      <c r="M702" s="71">
        <f>IF(L702&lt;1,1,L702)</f>
        <v>6.5920567519606248</v>
      </c>
      <c r="N702" s="70" t="s">
        <v>141</v>
      </c>
      <c r="O702" s="71">
        <f>INDEX(DurClassMapping,MATCH(M702,MappingTables!$D$4:$D$8,-1),1)</f>
        <v>2</v>
      </c>
      <c r="P702" s="73">
        <f>IF(M702=$A$1,1,$M702-INDEX(MappingTables!$E$4:$E$8,MATCH(O702,MappingTables!$B$4:$B$8,0)))</f>
        <v>1.5920567519606248</v>
      </c>
      <c r="Q702" s="71">
        <f>IF(B702="",0,INDEX(ModelParameters!$D$6:$K$10,MATCH($O702,ModelParameters!$B$6:$B$10,0),MATCH($J702,ModelParameters!$D$5:$K$5,0)))</f>
        <v>0.015</v>
      </c>
      <c r="R702" s="71">
        <f>IF(B702="",0,INDEX(ModelParameters!$D$13:$K$17,MATCH($O702,ModelParameters!$B$13:$B$17,0),MATCH($J702,ModelParameters!$D$5:$K$5,0)))</f>
        <v>0.125</v>
      </c>
      <c r="S702" s="160">
        <f>IF(B702="",0,MIN(IF($N702="Other Bond TM",ModelParameters!$N$21,1)*(P702*Q702+R702),1))</f>
        <v>0.14888085127940936</v>
      </c>
      <c r="T702" s="85">
        <f>IF(B702="",0,$S702*$K702)</f>
        <v>6244.2552686886872</v>
      </c>
      <c r="U702" s="85">
        <f>IF(B702="",0,IF(OR(H702=MappingTables!$C$34,H702=MappingTables!$C$35),T702,0))</f>
        <v>0</v>
      </c>
      <c r="V702" s="85">
        <f>IF(ISNA(IF(AND(VLOOKUP(CONCATENATE($D702,$G702),CSRFinput!$B:$E,4,0)=0,OR(H702=MappingTables!$C$34,H702=MappingTables!$C$35)),1,VLOOKUP(CONCATENATE($D702,$G702),CSRFinput!$B:$E,4,0))),0,IF(AND(VLOOKUP(CONCATENATE($D702,$G702),CSRFinput!$B:$E,4,0)=0,OR(H702=MappingTables!$C$34,H702=MappingTables!$C$35)),1,VLOOKUP(CONCATENATE($D702,$G702),CSRFinput!$B:$E,4,0)))</f>
        <v>0.054776304963434752</v>
      </c>
      <c r="W702" s="85">
        <f>IF(B702="",0,+$T702*$V702)</f>
        <v>342.0372308672258</v>
      </c>
      <c r="X702" s="85">
        <f>IF(B702="",0,IF(OR(H702=MappingTables!$C$34,H702=MappingTables!$C$35),W702,0))</f>
        <v>0</v>
      </c>
    </row>
    <row r="703" spans="2:24" s="0" customFormat="0" ht="15">
      <c r="B703" s="69" t="s">
        <v>1000</v>
      </c>
      <c r="C703" s="70" t="s">
        <v>1001</v>
      </c>
      <c r="D703" s="70" t="s">
        <v>1</v>
      </c>
      <c r="E703" s="70" t="s">
        <v>1</v>
      </c>
      <c r="F703" s="70"/>
      <c r="G703" s="70" t="s">
        <v>61</v>
      </c>
      <c r="H703" s="70" t="s">
        <v>178</v>
      </c>
      <c r="I703" s="70" t="s">
        <v>188</v>
      </c>
      <c r="J703" s="71">
        <f>IF(OR(I703=0,I703=""),"unrated",VLOOKUP(I703,MappingTables!$B$19:$C$31,2,FALSE))</f>
        <v>2</v>
      </c>
      <c r="K703" s="72">
        <v>9086.3748921184208</v>
      </c>
      <c r="L703" s="70">
        <v>8.5473243785668784</v>
      </c>
      <c r="M703" s="71">
        <f>IF(L703&lt;1,1,L703)</f>
        <v>8.5473243785668784</v>
      </c>
      <c r="N703" s="70" t="s">
        <v>141</v>
      </c>
      <c r="O703" s="71">
        <f>INDEX(DurClassMapping,MATCH(M703,MappingTables!$D$4:$D$8,-1),1)</f>
        <v>2</v>
      </c>
      <c r="P703" s="73">
        <f>IF(M703=$A$1,1,$M703-INDEX(MappingTables!$E$4:$E$8,MATCH(O703,MappingTables!$B$4:$B$8,0)))</f>
        <v>3.5473243785668788</v>
      </c>
      <c r="Q703" s="71">
        <f>IF(B703="",0,INDEX(ModelParameters!$D$6:$K$10,MATCH($O703,ModelParameters!$B$6:$B$10,0),MATCH($J703,ModelParameters!$D$5:$K$5,0)))</f>
        <v>0.0069999999999999992</v>
      </c>
      <c r="R703" s="71">
        <f>IF(B703="",0,INDEX(ModelParameters!$D$13:$K$17,MATCH($O703,ModelParameters!$B$13:$B$17,0),MATCH($J703,ModelParameters!$D$5:$K$5,0)))</f>
        <v>0.070000000000000008</v>
      </c>
      <c r="S703" s="160">
        <f>IF(B703="",0,MIN(IF($N703="Other Bond TM",ModelParameters!$N$21,1)*(P703*Q703+R703),1))</f>
        <v>0.09483127064996816</v>
      </c>
      <c r="T703" s="85">
        <f>IF(B703="",0,$S703*$K703)</f>
        <v>861.67247662155728</v>
      </c>
      <c r="U703" s="85">
        <f>IF(B703="",0,IF(OR(H703=MappingTables!$C$34,H703=MappingTables!$C$35),T703,0))</f>
        <v>0</v>
      </c>
      <c r="V703" s="85">
        <f>IF(ISNA(IF(AND(VLOOKUP(CONCATENATE($D703,$G703),CSRFinput!$B:$E,4,0)=0,OR(H703=MappingTables!$C$34,H703=MappingTables!$C$35)),1,VLOOKUP(CONCATENATE($D703,$G703),CSRFinput!$B:$E,4,0))),0,IF(AND(VLOOKUP(CONCATENATE($D703,$G703),CSRFinput!$B:$E,4,0)=0,OR(H703=MappingTables!$C$34,H703=MappingTables!$C$35)),1,VLOOKUP(CONCATENATE($D703,$G703),CSRFinput!$B:$E,4,0)))</f>
        <v>0.054776304963434752</v>
      </c>
      <c r="W703" s="85">
        <f>IF(B703="",0,+$T703*$V703)</f>
        <v>47.199234358020528</v>
      </c>
      <c r="X703" s="85">
        <f>IF(B703="",0,IF(OR(H703=MappingTables!$C$34,H703=MappingTables!$C$35),W703,0))</f>
        <v>0</v>
      </c>
    </row>
    <row r="704" spans="2:24" s="0" customFormat="0" ht="15">
      <c r="B704" s="69">
        <v>21005393</v>
      </c>
      <c r="C704" s="70" t="s">
        <v>1002</v>
      </c>
      <c r="D704" s="70" t="s">
        <v>1</v>
      </c>
      <c r="E704" s="70" t="s">
        <v>1</v>
      </c>
      <c r="F704" s="70"/>
      <c r="G704" s="70" t="s">
        <v>61</v>
      </c>
      <c r="H704" s="70" t="s">
        <v>178</v>
      </c>
      <c r="I704" s="70" t="s">
        <v>181</v>
      </c>
      <c r="J704" s="71">
        <f>IF(OR(I704=0,I704=""),"unrated",VLOOKUP(I704,MappingTables!$B$19:$C$31,2,FALSE))</f>
        <v>3</v>
      </c>
      <c r="K704" s="72">
        <v>37424.140799021096</v>
      </c>
      <c r="L704" s="70">
        <v>2.6345389759000996</v>
      </c>
      <c r="M704" s="71">
        <f>IF(L704&lt;1,1,L704)</f>
        <v>2.6345389759000996</v>
      </c>
      <c r="N704" s="70" t="s">
        <v>141</v>
      </c>
      <c r="O704" s="71">
        <f>INDEX(DurClassMapping,MATCH(M704,MappingTables!$D$4:$D$8,-1),1)</f>
        <v>1</v>
      </c>
      <c r="P704" s="73">
        <f>IF(M704=$A$1,1,$M704-INDEX(MappingTables!$E$4:$E$8,MATCH(O704,MappingTables!$B$4:$B$8,0)))</f>
        <v>2.6345389759000996</v>
      </c>
      <c r="Q704" s="71">
        <f>IF(B704="",0,INDEX(ModelParameters!$D$6:$K$10,MATCH($O704,ModelParameters!$B$6:$B$10,0),MATCH($J704,ModelParameters!$D$5:$K$5,0)))</f>
        <v>0.025</v>
      </c>
      <c r="R704" s="71">
        <f>IF(B704="",0,INDEX(ModelParameters!$D$13:$K$17,MATCH($O704,ModelParameters!$B$13:$B$17,0),MATCH($J704,ModelParameters!$D$5:$K$5,0)))</f>
        <v>0</v>
      </c>
      <c r="S704" s="160">
        <f>IF(B704="",0,MIN(IF($N704="Other Bond TM",ModelParameters!$N$21,1)*(P704*Q704+R704),1))</f>
        <v>0.065863474397502496</v>
      </c>
      <c r="T704" s="85">
        <f>IF(B704="",0,$S704*$K704)</f>
        <v>2464.8839393648544</v>
      </c>
      <c r="U704" s="85">
        <f>IF(B704="",0,IF(OR(H704=MappingTables!$C$34,H704=MappingTables!$C$35),T704,0))</f>
        <v>0</v>
      </c>
      <c r="V704" s="85">
        <f>IF(ISNA(IF(AND(VLOOKUP(CONCATENATE($D704,$G704),CSRFinput!$B:$E,4,0)=0,OR(H704=MappingTables!$C$34,H704=MappingTables!$C$35)),1,VLOOKUP(CONCATENATE($D704,$G704),CSRFinput!$B:$E,4,0))),0,IF(AND(VLOOKUP(CONCATENATE($D704,$G704),CSRFinput!$B:$E,4,0)=0,OR(H704=MappingTables!$C$34,H704=MappingTables!$C$35)),1,VLOOKUP(CONCATENATE($D704,$G704),CSRFinput!$B:$E,4,0)))</f>
        <v>0.054776304963434752</v>
      </c>
      <c r="W704" s="85">
        <f>IF(B704="",0,+$T704*$V704)</f>
        <v>135.01723436212168</v>
      </c>
      <c r="X704" s="85">
        <f>IF(B704="",0,IF(OR(H704=MappingTables!$C$34,H704=MappingTables!$C$35),W704,0))</f>
        <v>0</v>
      </c>
    </row>
    <row r="705" spans="2:24" s="0" customFormat="0" ht="15">
      <c r="B705" s="69">
        <v>22465795</v>
      </c>
      <c r="C705" s="70" t="s">
        <v>1003</v>
      </c>
      <c r="D705" s="70" t="s">
        <v>1</v>
      </c>
      <c r="E705" s="70" t="s">
        <v>1</v>
      </c>
      <c r="F705" s="70"/>
      <c r="G705" s="70" t="s">
        <v>61</v>
      </c>
      <c r="H705" s="70" t="s">
        <v>178</v>
      </c>
      <c r="I705" s="70" t="s">
        <v>179</v>
      </c>
      <c r="J705" s="71">
        <f>IF(OR(I705=0,I705=""),"unrated",VLOOKUP(I705,MappingTables!$B$19:$C$31,2,FALSE))</f>
        <v>4</v>
      </c>
      <c r="K705" s="72">
        <v>42123.883988926704</v>
      </c>
      <c r="L705" s="70">
        <v>3.6940186193471</v>
      </c>
      <c r="M705" s="71">
        <f>IF(L705&lt;1,1,L705)</f>
        <v>3.6940186193471</v>
      </c>
      <c r="N705" s="70" t="s">
        <v>141</v>
      </c>
      <c r="O705" s="71">
        <f>INDEX(DurClassMapping,MATCH(M705,MappingTables!$D$4:$D$8,-1),1)</f>
        <v>1</v>
      </c>
      <c r="P705" s="73">
        <f>IF(M705=$A$1,1,$M705-INDEX(MappingTables!$E$4:$E$8,MATCH(O705,MappingTables!$B$4:$B$8,0)))</f>
        <v>3.6940186193471</v>
      </c>
      <c r="Q705" s="71">
        <f>IF(B705="",0,INDEX(ModelParameters!$D$6:$K$10,MATCH($O705,ModelParameters!$B$6:$B$10,0),MATCH($J705,ModelParameters!$D$5:$K$5,0)))</f>
        <v>0.045</v>
      </c>
      <c r="R705" s="71">
        <f>IF(B705="",0,INDEX(ModelParameters!$D$13:$K$17,MATCH($O705,ModelParameters!$B$13:$B$17,0),MATCH($J705,ModelParameters!$D$5:$K$5,0)))</f>
        <v>0</v>
      </c>
      <c r="S705" s="160">
        <f>IF(B705="",0,MIN(IF($N705="Other Bond TM",ModelParameters!$N$21,1)*(P705*Q705+R705),1))</f>
        <v>0.16623083787061948</v>
      </c>
      <c r="T705" s="85">
        <f>IF(B705="",0,$S705*$K705)</f>
        <v>7002.2885298440584</v>
      </c>
      <c r="U705" s="85">
        <f>IF(B705="",0,IF(OR(H705=MappingTables!$C$34,H705=MappingTables!$C$35),T705,0))</f>
        <v>0</v>
      </c>
      <c r="V705" s="85">
        <f>IF(ISNA(IF(AND(VLOOKUP(CONCATENATE($D705,$G705),CSRFinput!$B:$E,4,0)=0,OR(H705=MappingTables!$C$34,H705=MappingTables!$C$35)),1,VLOOKUP(CONCATENATE($D705,$G705),CSRFinput!$B:$E,4,0))),0,IF(AND(VLOOKUP(CONCATENATE($D705,$G705),CSRFinput!$B:$E,4,0)=0,OR(H705=MappingTables!$C$34,H705=MappingTables!$C$35)),1,VLOOKUP(CONCATENATE($D705,$G705),CSRFinput!$B:$E,4,0)))</f>
        <v>0.054776304963434752</v>
      </c>
      <c r="W705" s="85">
        <f>IF(B705="",0,+$T705*$V705)</f>
        <v>383.55949195269936</v>
      </c>
      <c r="X705" s="85">
        <f>IF(B705="",0,IF(OR(H705=MappingTables!$C$34,H705=MappingTables!$C$35),W705,0))</f>
        <v>0</v>
      </c>
    </row>
    <row r="706" spans="2:24" s="0" customFormat="0" ht="15">
      <c r="B706" s="69">
        <v>18073286</v>
      </c>
      <c r="C706" s="70" t="s">
        <v>1004</v>
      </c>
      <c r="D706" s="70" t="s">
        <v>1</v>
      </c>
      <c r="E706" s="70" t="s">
        <v>1</v>
      </c>
      <c r="F706" s="70"/>
      <c r="G706" s="70" t="s">
        <v>61</v>
      </c>
      <c r="H706" s="70" t="s">
        <v>178</v>
      </c>
      <c r="I706" s="70" t="s">
        <v>179</v>
      </c>
      <c r="J706" s="71">
        <f>IF(OR(I706=0,I706=""),"unrated",VLOOKUP(I706,MappingTables!$B$19:$C$31,2,FALSE))</f>
        <v>4</v>
      </c>
      <c r="K706" s="72">
        <v>547.71510902439128</v>
      </c>
      <c r="L706" s="70">
        <v>0.78056242582610864</v>
      </c>
      <c r="M706" s="71">
        <f>IF(L706&lt;1,1,L706)</f>
        <v>1</v>
      </c>
      <c r="N706" s="70" t="s">
        <v>141</v>
      </c>
      <c r="O706" s="71">
        <f>INDEX(DurClassMapping,MATCH(M706,MappingTables!$D$4:$D$8,-1),1)</f>
        <v>1</v>
      </c>
      <c r="P706" s="73">
        <f>IF(M706=$A$1,1,$M706-INDEX(MappingTables!$E$4:$E$8,MATCH(O706,MappingTables!$B$4:$B$8,0)))</f>
        <v>1</v>
      </c>
      <c r="Q706" s="71">
        <f>IF(B706="",0,INDEX(ModelParameters!$D$6:$K$10,MATCH($O706,ModelParameters!$B$6:$B$10,0),MATCH($J706,ModelParameters!$D$5:$K$5,0)))</f>
        <v>0.045</v>
      </c>
      <c r="R706" s="71">
        <f>IF(B706="",0,INDEX(ModelParameters!$D$13:$K$17,MATCH($O706,ModelParameters!$B$13:$B$17,0),MATCH($J706,ModelParameters!$D$5:$K$5,0)))</f>
        <v>0</v>
      </c>
      <c r="S706" s="160">
        <f>IF(B706="",0,MIN(IF($N706="Other Bond TM",ModelParameters!$N$21,1)*(P706*Q706+R706),1))</f>
        <v>0.045</v>
      </c>
      <c r="T706" s="85">
        <f>IF(B706="",0,$S706*$K706)</f>
        <v>24.647179906097604</v>
      </c>
      <c r="U706" s="85">
        <f>IF(B706="",0,IF(OR(H706=MappingTables!$C$34,H706=MappingTables!$C$35),T706,0))</f>
        <v>0</v>
      </c>
      <c r="V706" s="85">
        <f>IF(ISNA(IF(AND(VLOOKUP(CONCATENATE($D706,$G706),CSRFinput!$B:$E,4,0)=0,OR(H706=MappingTables!$C$34,H706=MappingTables!$C$35)),1,VLOOKUP(CONCATENATE($D706,$G706),CSRFinput!$B:$E,4,0))),0,IF(AND(VLOOKUP(CONCATENATE($D706,$G706),CSRFinput!$B:$E,4,0)=0,OR(H706=MappingTables!$C$34,H706=MappingTables!$C$35)),1,VLOOKUP(CONCATENATE($D706,$G706),CSRFinput!$B:$E,4,0)))</f>
        <v>0.054776304963434752</v>
      </c>
      <c r="W706" s="85">
        <f>IF(B706="",0,+$T706*$V706)</f>
        <v>1.3500814430250436</v>
      </c>
      <c r="X706" s="85">
        <f>IF(B706="",0,IF(OR(H706=MappingTables!$C$34,H706=MappingTables!$C$35),W706,0))</f>
        <v>0</v>
      </c>
    </row>
    <row r="707" spans="2:24" s="0" customFormat="0" ht="15">
      <c r="B707" s="69" t="s">
        <v>1005</v>
      </c>
      <c r="C707" s="70" t="s">
        <v>1006</v>
      </c>
      <c r="D707" s="70" t="s">
        <v>1</v>
      </c>
      <c r="E707" s="70" t="s">
        <v>1</v>
      </c>
      <c r="F707" s="70"/>
      <c r="G707" s="70" t="s">
        <v>61</v>
      </c>
      <c r="H707" s="70" t="s">
        <v>178</v>
      </c>
      <c r="I707" s="70" t="s">
        <v>179</v>
      </c>
      <c r="J707" s="71">
        <f>IF(OR(I707=0,I707=""),"unrated",VLOOKUP(I707,MappingTables!$B$19:$C$31,2,FALSE))</f>
        <v>4</v>
      </c>
      <c r="K707" s="72">
        <v>575.50955378193704</v>
      </c>
      <c r="L707" s="70">
        <v>4.2635625208044464</v>
      </c>
      <c r="M707" s="71">
        <f>IF(L707&lt;1,1,L707)</f>
        <v>4.2635625208044464</v>
      </c>
      <c r="N707" s="70" t="s">
        <v>141</v>
      </c>
      <c r="O707" s="71">
        <f>INDEX(DurClassMapping,MATCH(M707,MappingTables!$D$4:$D$8,-1),1)</f>
        <v>1</v>
      </c>
      <c r="P707" s="73">
        <f>IF(M707=$A$1,1,$M707-INDEX(MappingTables!$E$4:$E$8,MATCH(O707,MappingTables!$B$4:$B$8,0)))</f>
        <v>4.2635625208044464</v>
      </c>
      <c r="Q707" s="71">
        <f>IF(B707="",0,INDEX(ModelParameters!$D$6:$K$10,MATCH($O707,ModelParameters!$B$6:$B$10,0),MATCH($J707,ModelParameters!$D$5:$K$5,0)))</f>
        <v>0.045</v>
      </c>
      <c r="R707" s="71">
        <f>IF(B707="",0,INDEX(ModelParameters!$D$13:$K$17,MATCH($O707,ModelParameters!$B$13:$B$17,0),MATCH($J707,ModelParameters!$D$5:$K$5,0)))</f>
        <v>0</v>
      </c>
      <c r="S707" s="160">
        <f>IF(B707="",0,MIN(IF($N707="Other Bond TM",ModelParameters!$N$21,1)*(P707*Q707+R707),1))</f>
        <v>0.19186031343620008</v>
      </c>
      <c r="T707" s="85">
        <f>IF(B707="",0,$S707*$K707)</f>
        <v>110.41744337413008</v>
      </c>
      <c r="U707" s="85">
        <f>IF(B707="",0,IF(OR(H707=MappingTables!$C$34,H707=MappingTables!$C$35),T707,0))</f>
        <v>0</v>
      </c>
      <c r="V707" s="85">
        <f>IF(ISNA(IF(AND(VLOOKUP(CONCATENATE($D707,$G707),CSRFinput!$B:$E,4,0)=0,OR(H707=MappingTables!$C$34,H707=MappingTables!$C$35)),1,VLOOKUP(CONCATENATE($D707,$G707),CSRFinput!$B:$E,4,0))),0,IF(AND(VLOOKUP(CONCATENATE($D707,$G707),CSRFinput!$B:$E,4,0)=0,OR(H707=MappingTables!$C$34,H707=MappingTables!$C$35)),1,VLOOKUP(CONCATENATE($D707,$G707),CSRFinput!$B:$E,4,0)))</f>
        <v>0.054776304963434752</v>
      </c>
      <c r="W707" s="85">
        <f>IF(B707="",0,+$T707*$V707)</f>
        <v>6.0482595515441376</v>
      </c>
      <c r="X707" s="85">
        <f>IF(B707="",0,IF(OR(H707=MappingTables!$C$34,H707=MappingTables!$C$35),W707,0))</f>
        <v>0</v>
      </c>
    </row>
    <row r="708" spans="2:24" s="0" customFormat="0" ht="15">
      <c r="B708" s="69">
        <v>21610162</v>
      </c>
      <c r="C708" s="70" t="s">
        <v>1007</v>
      </c>
      <c r="D708" s="70" t="s">
        <v>1</v>
      </c>
      <c r="E708" s="70" t="s">
        <v>1</v>
      </c>
      <c r="F708" s="70"/>
      <c r="G708" s="70" t="s">
        <v>61</v>
      </c>
      <c r="H708" s="70" t="s">
        <v>178</v>
      </c>
      <c r="I708" s="70" t="s">
        <v>179</v>
      </c>
      <c r="J708" s="71">
        <f>IF(OR(I708=0,I708=""),"unrated",VLOOKUP(I708,MappingTables!$B$19:$C$31,2,FALSE))</f>
        <v>4</v>
      </c>
      <c r="K708" s="72">
        <v>9158.3323481264976</v>
      </c>
      <c r="L708" s="70">
        <v>7.79391516624948</v>
      </c>
      <c r="M708" s="71">
        <f>IF(L708&lt;1,1,L708)</f>
        <v>7.79391516624948</v>
      </c>
      <c r="N708" s="70" t="s">
        <v>141</v>
      </c>
      <c r="O708" s="71">
        <f>INDEX(DurClassMapping,MATCH(M708,MappingTables!$D$4:$D$8,-1),1)</f>
        <v>2</v>
      </c>
      <c r="P708" s="73">
        <f>IF(M708=$A$1,1,$M708-INDEX(MappingTables!$E$4:$E$8,MATCH(O708,MappingTables!$B$4:$B$8,0)))</f>
        <v>2.79391516624948</v>
      </c>
      <c r="Q708" s="71">
        <f>IF(B708="",0,INDEX(ModelParameters!$D$6:$K$10,MATCH($O708,ModelParameters!$B$6:$B$10,0),MATCH($J708,ModelParameters!$D$5:$K$5,0)))</f>
        <v>0.025</v>
      </c>
      <c r="R708" s="71">
        <f>IF(B708="",0,INDEX(ModelParameters!$D$13:$K$17,MATCH($O708,ModelParameters!$B$13:$B$17,0),MATCH($J708,ModelParameters!$D$5:$K$5,0)))</f>
        <v>0.225</v>
      </c>
      <c r="S708" s="160">
        <f>IF(B708="",0,MIN(IF($N708="Other Bond TM",ModelParameters!$N$21,1)*(P708*Q708+R708),1))</f>
        <v>0.294847879156237</v>
      </c>
      <c r="T708" s="85">
        <f>IF(B708="",0,$S708*$K708)</f>
        <v>2700.3148694530576</v>
      </c>
      <c r="U708" s="85">
        <f>IF(B708="",0,IF(OR(H708=MappingTables!$C$34,H708=MappingTables!$C$35),T708,0))</f>
        <v>0</v>
      </c>
      <c r="V708" s="85">
        <f>IF(ISNA(IF(AND(VLOOKUP(CONCATENATE($D708,$G708),CSRFinput!$B:$E,4,0)=0,OR(H708=MappingTables!$C$34,H708=MappingTables!$C$35)),1,VLOOKUP(CONCATENATE($D708,$G708),CSRFinput!$B:$E,4,0))),0,IF(AND(VLOOKUP(CONCATENATE($D708,$G708),CSRFinput!$B:$E,4,0)=0,OR(H708=MappingTables!$C$34,H708=MappingTables!$C$35)),1,VLOOKUP(CONCATENATE($D708,$G708),CSRFinput!$B:$E,4,0)))</f>
        <v>0.054776304963434752</v>
      </c>
      <c r="W708" s="85">
        <f>IF(B708="",0,+$T708*$V708)</f>
        <v>147.91327078645818</v>
      </c>
      <c r="X708" s="85">
        <f>IF(B708="",0,IF(OR(H708=MappingTables!$C$34,H708=MappingTables!$C$35),W708,0))</f>
        <v>0</v>
      </c>
    </row>
    <row r="709" spans="2:24" s="0" customFormat="0" ht="15">
      <c r="B709" s="69">
        <v>13637351</v>
      </c>
      <c r="C709" s="70" t="s">
        <v>1008</v>
      </c>
      <c r="D709" s="70" t="s">
        <v>1</v>
      </c>
      <c r="E709" s="70" t="s">
        <v>1</v>
      </c>
      <c r="F709" s="70"/>
      <c r="G709" s="70" t="s">
        <v>61</v>
      </c>
      <c r="H709" s="70" t="s">
        <v>178</v>
      </c>
      <c r="I709" s="70" t="s">
        <v>184</v>
      </c>
      <c r="J709" s="71">
        <f>IF(OR(I709=0,I709=""),"unrated",VLOOKUP(I709,MappingTables!$B$19:$C$31,2,FALSE))</f>
        <v>5</v>
      </c>
      <c r="K709" s="72">
        <v>25.411535005806768</v>
      </c>
      <c r="L709" s="70">
        <v>0.08767034455611632</v>
      </c>
      <c r="M709" s="71">
        <f>IF(L709&lt;1,1,L709)</f>
        <v>1</v>
      </c>
      <c r="N709" s="70" t="s">
        <v>141</v>
      </c>
      <c r="O709" s="71">
        <f>INDEX(DurClassMapping,MATCH(M709,MappingTables!$D$4:$D$8,-1),1)</f>
        <v>1</v>
      </c>
      <c r="P709" s="73">
        <f>IF(M709=$A$1,1,$M709-INDEX(MappingTables!$E$4:$E$8,MATCH(O709,MappingTables!$B$4:$B$8,0)))</f>
        <v>1</v>
      </c>
      <c r="Q709" s="71">
        <f>IF(B709="",0,INDEX(ModelParameters!$D$6:$K$10,MATCH($O709,ModelParameters!$B$6:$B$10,0),MATCH($J709,ModelParameters!$D$5:$K$5,0)))</f>
        <v>0.075</v>
      </c>
      <c r="R709" s="71">
        <f>IF(B709="",0,INDEX(ModelParameters!$D$13:$K$17,MATCH($O709,ModelParameters!$B$13:$B$17,0),MATCH($J709,ModelParameters!$D$5:$K$5,0)))</f>
        <v>0</v>
      </c>
      <c r="S709" s="160">
        <f>IF(B709="",0,MIN(IF($N709="Other Bond TM",ModelParameters!$N$21,1)*(P709*Q709+R709),1))</f>
        <v>0.075</v>
      </c>
      <c r="T709" s="85">
        <f>IF(B709="",0,$S709*$K709)</f>
        <v>1.9058651254355076</v>
      </c>
      <c r="U709" s="85">
        <f>IF(B709="",0,IF(OR(H709=MappingTables!$C$34,H709=MappingTables!$C$35),T709,0))</f>
        <v>0</v>
      </c>
      <c r="V709" s="85">
        <f>IF(ISNA(IF(AND(VLOOKUP(CONCATENATE($D709,$G709),CSRFinput!$B:$E,4,0)=0,OR(H709=MappingTables!$C$34,H709=MappingTables!$C$35)),1,VLOOKUP(CONCATENATE($D709,$G709),CSRFinput!$B:$E,4,0))),0,IF(AND(VLOOKUP(CONCATENATE($D709,$G709),CSRFinput!$B:$E,4,0)=0,OR(H709=MappingTables!$C$34,H709=MappingTables!$C$35)),1,VLOOKUP(CONCATENATE($D709,$G709),CSRFinput!$B:$E,4,0)))</f>
        <v>0.054776304963434752</v>
      </c>
      <c r="W709" s="85">
        <f>IF(B709="",0,+$T709*$V709)</f>
        <v>0.1043962493300302</v>
      </c>
      <c r="X709" s="85">
        <f>IF(B709="",0,IF(OR(H709=MappingTables!$C$34,H709=MappingTables!$C$35),W709,0))</f>
        <v>0</v>
      </c>
    </row>
    <row r="710" spans="2:24" s="0" customFormat="0" ht="15">
      <c r="B710" s="69">
        <v>13112162</v>
      </c>
      <c r="C710" s="70" t="s">
        <v>1009</v>
      </c>
      <c r="D710" s="70" t="s">
        <v>1</v>
      </c>
      <c r="E710" s="70" t="s">
        <v>1</v>
      </c>
      <c r="F710" s="70"/>
      <c r="G710" s="70" t="s">
        <v>61</v>
      </c>
      <c r="H710" s="70" t="s">
        <v>178</v>
      </c>
      <c r="I710" s="70" t="s">
        <v>181</v>
      </c>
      <c r="J710" s="71">
        <f>IF(OR(I710=0,I710=""),"unrated",VLOOKUP(I710,MappingTables!$B$19:$C$31,2,FALSE))</f>
        <v>3</v>
      </c>
      <c r="K710" s="72">
        <v>33657.234814271548</v>
      </c>
      <c r="L710" s="70">
        <v>1.3460041122257946</v>
      </c>
      <c r="M710" s="71">
        <f>IF(L710&lt;1,1,L710)</f>
        <v>1.3460041122257946</v>
      </c>
      <c r="N710" s="70" t="s">
        <v>141</v>
      </c>
      <c r="O710" s="71">
        <f>INDEX(DurClassMapping,MATCH(M710,MappingTables!$D$4:$D$8,-1),1)</f>
        <v>1</v>
      </c>
      <c r="P710" s="73">
        <f>IF(M710=$A$1,1,$M710-INDEX(MappingTables!$E$4:$E$8,MATCH(O710,MappingTables!$B$4:$B$8,0)))</f>
        <v>1.3460041122257946</v>
      </c>
      <c r="Q710" s="71">
        <f>IF(B710="",0,INDEX(ModelParameters!$D$6:$K$10,MATCH($O710,ModelParameters!$B$6:$B$10,0),MATCH($J710,ModelParameters!$D$5:$K$5,0)))</f>
        <v>0.025</v>
      </c>
      <c r="R710" s="71">
        <f>IF(B710="",0,INDEX(ModelParameters!$D$13:$K$17,MATCH($O710,ModelParameters!$B$13:$B$17,0),MATCH($J710,ModelParameters!$D$5:$K$5,0)))</f>
        <v>0</v>
      </c>
      <c r="S710" s="160">
        <f>IF(B710="",0,MIN(IF($N710="Other Bond TM",ModelParameters!$N$21,1)*(P710*Q710+R710),1))</f>
        <v>0.033650102805644864</v>
      </c>
      <c r="T710" s="85">
        <f>IF(B710="",0,$S710*$K710)</f>
        <v>1132.5694116539672</v>
      </c>
      <c r="U710" s="85">
        <f>IF(B710="",0,IF(OR(H710=MappingTables!$C$34,H710=MappingTables!$C$35),T710,0))</f>
        <v>0</v>
      </c>
      <c r="V710" s="85">
        <f>IF(ISNA(IF(AND(VLOOKUP(CONCATENATE($D710,$G710),CSRFinput!$B:$E,4,0)=0,OR(H710=MappingTables!$C$34,H710=MappingTables!$C$35)),1,VLOOKUP(CONCATENATE($D710,$G710),CSRFinput!$B:$E,4,0))),0,IF(AND(VLOOKUP(CONCATENATE($D710,$G710),CSRFinput!$B:$E,4,0)=0,OR(H710=MappingTables!$C$34,H710=MappingTables!$C$35)),1,VLOOKUP(CONCATENATE($D710,$G710),CSRFinput!$B:$E,4,0)))</f>
        <v>0.054776304963434752</v>
      </c>
      <c r="W710" s="85">
        <f>IF(B710="",0,+$T710*$V710)</f>
        <v>62.037967485015576</v>
      </c>
      <c r="X710" s="85">
        <f>IF(B710="",0,IF(OR(H710=MappingTables!$C$34,H710=MappingTables!$C$35),W710,0))</f>
        <v>0</v>
      </c>
    </row>
    <row r="711" spans="2:24" s="0" customFormat="0" ht="15">
      <c r="B711" s="69">
        <v>14499833</v>
      </c>
      <c r="C711" s="70" t="s">
        <v>1010</v>
      </c>
      <c r="D711" s="70" t="s">
        <v>1</v>
      </c>
      <c r="E711" s="70" t="s">
        <v>1</v>
      </c>
      <c r="F711" s="70"/>
      <c r="G711" s="70" t="s">
        <v>61</v>
      </c>
      <c r="H711" s="70" t="s">
        <v>178</v>
      </c>
      <c r="I711" s="70" t="s">
        <v>181</v>
      </c>
      <c r="J711" s="71">
        <f>IF(OR(I711=0,I711=""),"unrated",VLOOKUP(I711,MappingTables!$B$19:$C$31,2,FALSE))</f>
        <v>3</v>
      </c>
      <c r="K711" s="72">
        <v>1053.042545719301</v>
      </c>
      <c r="L711" s="70">
        <v>1.5229718833656854</v>
      </c>
      <c r="M711" s="71">
        <f>IF(L711&lt;1,1,L711)</f>
        <v>1.5229718833656854</v>
      </c>
      <c r="N711" s="70" t="s">
        <v>141</v>
      </c>
      <c r="O711" s="71">
        <f>INDEX(DurClassMapping,MATCH(M711,MappingTables!$D$4:$D$8,-1),1)</f>
        <v>1</v>
      </c>
      <c r="P711" s="73">
        <f>IF(M711=$A$1,1,$M711-INDEX(MappingTables!$E$4:$E$8,MATCH(O711,MappingTables!$B$4:$B$8,0)))</f>
        <v>1.5229718833656854</v>
      </c>
      <c r="Q711" s="71">
        <f>IF(B711="",0,INDEX(ModelParameters!$D$6:$K$10,MATCH($O711,ModelParameters!$B$6:$B$10,0),MATCH($J711,ModelParameters!$D$5:$K$5,0)))</f>
        <v>0.025</v>
      </c>
      <c r="R711" s="71">
        <f>IF(B711="",0,INDEX(ModelParameters!$D$13:$K$17,MATCH($O711,ModelParameters!$B$13:$B$17,0),MATCH($J711,ModelParameters!$D$5:$K$5,0)))</f>
        <v>0</v>
      </c>
      <c r="S711" s="160">
        <f>IF(B711="",0,MIN(IF($N711="Other Bond TM",ModelParameters!$N$21,1)*(P711*Q711+R711),1))</f>
        <v>0.038074297084142136</v>
      </c>
      <c r="T711" s="85">
        <f>IF(B711="",0,$S711*$K711)</f>
        <v>40.093854727958</v>
      </c>
      <c r="U711" s="85">
        <f>IF(B711="",0,IF(OR(H711=MappingTables!$C$34,H711=MappingTables!$C$35),T711,0))</f>
        <v>0</v>
      </c>
      <c r="V711" s="85">
        <f>IF(ISNA(IF(AND(VLOOKUP(CONCATENATE($D711,$G711),CSRFinput!$B:$E,4,0)=0,OR(H711=MappingTables!$C$34,H711=MappingTables!$C$35)),1,VLOOKUP(CONCATENATE($D711,$G711),CSRFinput!$B:$E,4,0))),0,IF(AND(VLOOKUP(CONCATENATE($D711,$G711),CSRFinput!$B:$E,4,0)=0,OR(H711=MappingTables!$C$34,H711=MappingTables!$C$35)),1,VLOOKUP(CONCATENATE($D711,$G711),CSRFinput!$B:$E,4,0)))</f>
        <v>0.054776304963434752</v>
      </c>
      <c r="W711" s="85">
        <f>IF(B711="",0,+$T711*$V711)</f>
        <v>2.1961932137382772</v>
      </c>
      <c r="X711" s="85">
        <f>IF(B711="",0,IF(OR(H711=MappingTables!$C$34,H711=MappingTables!$C$35),W711,0))</f>
        <v>0</v>
      </c>
    </row>
    <row r="712" spans="2:24" s="0" customFormat="0" ht="15">
      <c r="B712" s="69">
        <v>8351094</v>
      </c>
      <c r="C712" s="70" t="s">
        <v>1011</v>
      </c>
      <c r="D712" s="70" t="s">
        <v>1</v>
      </c>
      <c r="E712" s="70" t="s">
        <v>1</v>
      </c>
      <c r="F712" s="70"/>
      <c r="G712" s="70" t="s">
        <v>61</v>
      </c>
      <c r="H712" s="70" t="s">
        <v>178</v>
      </c>
      <c r="I712" s="70" t="s">
        <v>181</v>
      </c>
      <c r="J712" s="71">
        <f>IF(OR(I712=0,I712=""),"unrated",VLOOKUP(I712,MappingTables!$B$19:$C$31,2,FALSE))</f>
        <v>3</v>
      </c>
      <c r="K712" s="72">
        <v>494.73297438254</v>
      </c>
      <c r="L712" s="70">
        <v>0.33972623439639136</v>
      </c>
      <c r="M712" s="71">
        <f>IF(L712&lt;1,1,L712)</f>
        <v>1</v>
      </c>
      <c r="N712" s="70" t="s">
        <v>141</v>
      </c>
      <c r="O712" s="71">
        <f>INDEX(DurClassMapping,MATCH(M712,MappingTables!$D$4:$D$8,-1),1)</f>
        <v>1</v>
      </c>
      <c r="P712" s="73">
        <f>IF(M712=$A$1,1,$M712-INDEX(MappingTables!$E$4:$E$8,MATCH(O712,MappingTables!$B$4:$B$8,0)))</f>
        <v>1</v>
      </c>
      <c r="Q712" s="71">
        <f>IF(B712="",0,INDEX(ModelParameters!$D$6:$K$10,MATCH($O712,ModelParameters!$B$6:$B$10,0),MATCH($J712,ModelParameters!$D$5:$K$5,0)))</f>
        <v>0.025</v>
      </c>
      <c r="R712" s="71">
        <f>IF(B712="",0,INDEX(ModelParameters!$D$13:$K$17,MATCH($O712,ModelParameters!$B$13:$B$17,0),MATCH($J712,ModelParameters!$D$5:$K$5,0)))</f>
        <v>0</v>
      </c>
      <c r="S712" s="160">
        <f>IF(B712="",0,MIN(IF($N712="Other Bond TM",ModelParameters!$N$21,1)*(P712*Q712+R712),1))</f>
        <v>0.025</v>
      </c>
      <c r="T712" s="85">
        <f>IF(B712="",0,$S712*$K712)</f>
        <v>12.3683243595635</v>
      </c>
      <c r="U712" s="85">
        <f>IF(B712="",0,IF(OR(H712=MappingTables!$C$34,H712=MappingTables!$C$35),T712,0))</f>
        <v>0</v>
      </c>
      <c r="V712" s="85">
        <f>IF(ISNA(IF(AND(VLOOKUP(CONCATENATE($D712,$G712),CSRFinput!$B:$E,4,0)=0,OR(H712=MappingTables!$C$34,H712=MappingTables!$C$35)),1,VLOOKUP(CONCATENATE($D712,$G712),CSRFinput!$B:$E,4,0))),0,IF(AND(VLOOKUP(CONCATENATE($D712,$G712),CSRFinput!$B:$E,4,0)=0,OR(H712=MappingTables!$C$34,H712=MappingTables!$C$35)),1,VLOOKUP(CONCATENATE($D712,$G712),CSRFinput!$B:$E,4,0)))</f>
        <v>0.054776304963434752</v>
      </c>
      <c r="W712" s="85">
        <f>IF(B712="",0,+$T712*$V712)</f>
        <v>0.67749110700612912</v>
      </c>
      <c r="X712" s="85">
        <f>IF(B712="",0,IF(OR(H712=MappingTables!$C$34,H712=MappingTables!$C$35),W712,0))</f>
        <v>0</v>
      </c>
    </row>
    <row r="713" spans="2:24" s="0" customFormat="0" ht="15">
      <c r="B713" s="69">
        <v>18980137</v>
      </c>
      <c r="C713" s="70" t="s">
        <v>1012</v>
      </c>
      <c r="D713" s="70" t="s">
        <v>1</v>
      </c>
      <c r="E713" s="70" t="s">
        <v>1</v>
      </c>
      <c r="F713" s="70"/>
      <c r="G713" s="70" t="s">
        <v>61</v>
      </c>
      <c r="H713" s="70" t="s">
        <v>178</v>
      </c>
      <c r="I713" s="70" t="s">
        <v>181</v>
      </c>
      <c r="J713" s="71">
        <f>IF(OR(I713=0,I713=""),"unrated",VLOOKUP(I713,MappingTables!$B$19:$C$31,2,FALSE))</f>
        <v>3</v>
      </c>
      <c r="K713" s="72">
        <v>26891.517511129324</v>
      </c>
      <c r="L713" s="70">
        <v>9.3586172943254144</v>
      </c>
      <c r="M713" s="71">
        <f>IF(L713&lt;1,1,L713)</f>
        <v>9.3586172943254144</v>
      </c>
      <c r="N713" s="70" t="s">
        <v>141</v>
      </c>
      <c r="O713" s="71">
        <f>INDEX(DurClassMapping,MATCH(M713,MappingTables!$D$4:$D$8,-1),1)</f>
        <v>2</v>
      </c>
      <c r="P713" s="73">
        <f>IF(M713=$A$1,1,$M713-INDEX(MappingTables!$E$4:$E$8,MATCH(O713,MappingTables!$B$4:$B$8,0)))</f>
        <v>4.3586172943254144</v>
      </c>
      <c r="Q713" s="71">
        <f>IF(B713="",0,INDEX(ModelParameters!$D$6:$K$10,MATCH($O713,ModelParameters!$B$6:$B$10,0),MATCH($J713,ModelParameters!$D$5:$K$5,0)))</f>
        <v>0.015</v>
      </c>
      <c r="R713" s="71">
        <f>IF(B713="",0,INDEX(ModelParameters!$D$13:$K$17,MATCH($O713,ModelParameters!$B$13:$B$17,0),MATCH($J713,ModelParameters!$D$5:$K$5,0)))</f>
        <v>0.125</v>
      </c>
      <c r="S713" s="160">
        <f>IF(B713="",0,MIN(IF($N713="Other Bond TM",ModelParameters!$N$21,1)*(P713*Q713+R713),1))</f>
        <v>0.1903792594148812</v>
      </c>
      <c r="T713" s="85">
        <f>IF(B713="",0,$S713*$K713)</f>
        <v>5119.5871883111104</v>
      </c>
      <c r="U713" s="85">
        <f>IF(B713="",0,IF(OR(H713=MappingTables!$C$34,H713=MappingTables!$C$35),T713,0))</f>
        <v>0</v>
      </c>
      <c r="V713" s="85">
        <f>IF(ISNA(IF(AND(VLOOKUP(CONCATENATE($D713,$G713),CSRFinput!$B:$E,4,0)=0,OR(H713=MappingTables!$C$34,H713=MappingTables!$C$35)),1,VLOOKUP(CONCATENATE($D713,$G713),CSRFinput!$B:$E,4,0))),0,IF(AND(VLOOKUP(CONCATENATE($D713,$G713),CSRFinput!$B:$E,4,0)=0,OR(H713=MappingTables!$C$34,H713=MappingTables!$C$35)),1,VLOOKUP(CONCATENATE($D713,$G713),CSRFinput!$B:$E,4,0)))</f>
        <v>0.054776304963434752</v>
      </c>
      <c r="W713" s="85">
        <f>IF(B713="",0,+$T713*$V713)</f>
        <v>280.43206911382288</v>
      </c>
      <c r="X713" s="85">
        <f>IF(B713="",0,IF(OR(H713=MappingTables!$C$34,H713=MappingTables!$C$35),W713,0))</f>
        <v>0</v>
      </c>
    </row>
    <row r="714" spans="2:24" s="0" customFormat="0" ht="15">
      <c r="B714" s="69">
        <v>24203931</v>
      </c>
      <c r="C714" s="70" t="s">
        <v>1013</v>
      </c>
      <c r="D714" s="70" t="s">
        <v>1</v>
      </c>
      <c r="E714" s="70" t="s">
        <v>1</v>
      </c>
      <c r="F714" s="70"/>
      <c r="G714" s="70" t="s">
        <v>61</v>
      </c>
      <c r="H714" s="70" t="s">
        <v>178</v>
      </c>
      <c r="I714" s="70" t="s">
        <v>188</v>
      </c>
      <c r="J714" s="71">
        <f>IF(OR(I714=0,I714=""),"unrated",VLOOKUP(I714,MappingTables!$B$19:$C$31,2,FALSE))</f>
        <v>2</v>
      </c>
      <c r="K714" s="72">
        <v>1141.3085072491908</v>
      </c>
      <c r="L714" s="70">
        <v>0.1561616728875961</v>
      </c>
      <c r="M714" s="71">
        <f>IF(L714&lt;1,1,L714)</f>
        <v>1</v>
      </c>
      <c r="N714" s="70" t="s">
        <v>141</v>
      </c>
      <c r="O714" s="71">
        <f>INDEX(DurClassMapping,MATCH(M714,MappingTables!$D$4:$D$8,-1),1)</f>
        <v>1</v>
      </c>
      <c r="P714" s="73">
        <f>IF(M714=$A$1,1,$M714-INDEX(MappingTables!$E$4:$E$8,MATCH(O714,MappingTables!$B$4:$B$8,0)))</f>
        <v>1</v>
      </c>
      <c r="Q714" s="71">
        <f>IF(B714="",0,INDEX(ModelParameters!$D$6:$K$10,MATCH($O714,ModelParameters!$B$6:$B$10,0),MATCH($J714,ModelParameters!$D$5:$K$5,0)))</f>
        <v>0.013999999999999998</v>
      </c>
      <c r="R714" s="71">
        <f>IF(B714="",0,INDEX(ModelParameters!$D$13:$K$17,MATCH($O714,ModelParameters!$B$13:$B$17,0),MATCH($J714,ModelParameters!$D$5:$K$5,0)))</f>
        <v>0</v>
      </c>
      <c r="S714" s="160">
        <f>IF(B714="",0,MIN(IF($N714="Other Bond TM",ModelParameters!$N$21,1)*(P714*Q714+R714),1))</f>
        <v>0.013999999999999998</v>
      </c>
      <c r="T714" s="85">
        <f>IF(B714="",0,$S714*$K714)</f>
        <v>15.97831910148867</v>
      </c>
      <c r="U714" s="85">
        <f>IF(B714="",0,IF(OR(H714=MappingTables!$C$34,H714=MappingTables!$C$35),T714,0))</f>
        <v>0</v>
      </c>
      <c r="V714" s="85">
        <f>IF(ISNA(IF(AND(VLOOKUP(CONCATENATE($D714,$G714),CSRFinput!$B:$E,4,0)=0,OR(H714=MappingTables!$C$34,H714=MappingTables!$C$35)),1,VLOOKUP(CONCATENATE($D714,$G714),CSRFinput!$B:$E,4,0))),0,IF(AND(VLOOKUP(CONCATENATE($D714,$G714),CSRFinput!$B:$E,4,0)=0,OR(H714=MappingTables!$C$34,H714=MappingTables!$C$35)),1,VLOOKUP(CONCATENATE($D714,$G714),CSRFinput!$B:$E,4,0)))</f>
        <v>0.054776304963434752</v>
      </c>
      <c r="W714" s="85">
        <f>IF(B714="",0,+$T714*$V714)</f>
        <v>0.87523327990621824</v>
      </c>
      <c r="X714" s="85">
        <f>IF(B714="",0,IF(OR(H714=MappingTables!$C$34,H714=MappingTables!$C$35),W714,0))</f>
        <v>0</v>
      </c>
    </row>
    <row r="715" spans="2:24" s="0" customFormat="0" ht="15">
      <c r="B715" s="69">
        <v>15874704</v>
      </c>
      <c r="C715" s="70" t="s">
        <v>844</v>
      </c>
      <c r="D715" s="70" t="s">
        <v>1</v>
      </c>
      <c r="E715" s="70" t="s">
        <v>1</v>
      </c>
      <c r="F715" s="70"/>
      <c r="G715" s="70" t="s">
        <v>61</v>
      </c>
      <c r="H715" s="70" t="s">
        <v>178</v>
      </c>
      <c r="I715" s="70" t="s">
        <v>181</v>
      </c>
      <c r="J715" s="71">
        <f>IF(OR(I715=0,I715=""),"unrated",VLOOKUP(I715,MappingTables!$B$19:$C$31,2,FALSE))</f>
        <v>3</v>
      </c>
      <c r="K715" s="72">
        <v>1014.8576803889852</v>
      </c>
      <c r="L715" s="70">
        <v>2.1483786020026644</v>
      </c>
      <c r="M715" s="71">
        <f>IF(L715&lt;1,1,L715)</f>
        <v>2.1483786020026644</v>
      </c>
      <c r="N715" s="70" t="s">
        <v>141</v>
      </c>
      <c r="O715" s="71">
        <f>INDEX(DurClassMapping,MATCH(M715,MappingTables!$D$4:$D$8,-1),1)</f>
        <v>1</v>
      </c>
      <c r="P715" s="73">
        <f>IF(M715=$A$1,1,$M715-INDEX(MappingTables!$E$4:$E$8,MATCH(O715,MappingTables!$B$4:$B$8,0)))</f>
        <v>2.1483786020026644</v>
      </c>
      <c r="Q715" s="71">
        <f>IF(B715="",0,INDEX(ModelParameters!$D$6:$K$10,MATCH($O715,ModelParameters!$B$6:$B$10,0),MATCH($J715,ModelParameters!$D$5:$K$5,0)))</f>
        <v>0.025</v>
      </c>
      <c r="R715" s="71">
        <f>IF(B715="",0,INDEX(ModelParameters!$D$13:$K$17,MATCH($O715,ModelParameters!$B$13:$B$17,0),MATCH($J715,ModelParameters!$D$5:$K$5,0)))</f>
        <v>0</v>
      </c>
      <c r="S715" s="160">
        <f>IF(B715="",0,MIN(IF($N715="Other Bond TM",ModelParameters!$N$21,1)*(P715*Q715+R715),1))</f>
        <v>0.053709465050066608</v>
      </c>
      <c r="T715" s="85">
        <f>IF(B715="",0,$S715*$K715)</f>
        <v>54.507463115643872</v>
      </c>
      <c r="U715" s="85">
        <f>IF(B715="",0,IF(OR(H715=MappingTables!$C$34,H715=MappingTables!$C$35),T715,0))</f>
        <v>0</v>
      </c>
      <c r="V715" s="85">
        <f>IF(ISNA(IF(AND(VLOOKUP(CONCATENATE($D715,$G715),CSRFinput!$B:$E,4,0)=0,OR(H715=MappingTables!$C$34,H715=MappingTables!$C$35)),1,VLOOKUP(CONCATENATE($D715,$G715),CSRFinput!$B:$E,4,0))),0,IF(AND(VLOOKUP(CONCATENATE($D715,$G715),CSRFinput!$B:$E,4,0)=0,OR(H715=MappingTables!$C$34,H715=MappingTables!$C$35)),1,VLOOKUP(CONCATENATE($D715,$G715),CSRFinput!$B:$E,4,0)))</f>
        <v>0.054776304963434752</v>
      </c>
      <c r="W715" s="85">
        <f>IF(B715="",0,+$T715*$V715)</f>
        <v>2.9857174224056804</v>
      </c>
      <c r="X715" s="85">
        <f>IF(B715="",0,IF(OR(H715=MappingTables!$C$34,H715=MappingTables!$C$35),W715,0))</f>
        <v>0</v>
      </c>
    </row>
    <row r="716" spans="2:24" s="0" customFormat="0" ht="15">
      <c r="B716" s="69">
        <v>19475893</v>
      </c>
      <c r="C716" s="70" t="s">
        <v>1014</v>
      </c>
      <c r="D716" s="70" t="s">
        <v>1</v>
      </c>
      <c r="E716" s="70" t="s">
        <v>1</v>
      </c>
      <c r="F716" s="70"/>
      <c r="G716" s="70" t="s">
        <v>61</v>
      </c>
      <c r="H716" s="70" t="s">
        <v>178</v>
      </c>
      <c r="I716" s="70" t="s">
        <v>184</v>
      </c>
      <c r="J716" s="71">
        <f>IF(OR(I716=0,I716=""),"unrated",VLOOKUP(I716,MappingTables!$B$19:$C$31,2,FALSE))</f>
        <v>5</v>
      </c>
      <c r="K716" s="72">
        <v>290.96809359213888</v>
      </c>
      <c r="L716" s="70">
        <v>2.063414637974846</v>
      </c>
      <c r="M716" s="71">
        <f>IF(L716&lt;1,1,L716)</f>
        <v>2.063414637974846</v>
      </c>
      <c r="N716" s="70" t="s">
        <v>141</v>
      </c>
      <c r="O716" s="71">
        <f>INDEX(DurClassMapping,MATCH(M716,MappingTables!$D$4:$D$8,-1),1)</f>
        <v>1</v>
      </c>
      <c r="P716" s="73">
        <f>IF(M716=$A$1,1,$M716-INDEX(MappingTables!$E$4:$E$8,MATCH(O716,MappingTables!$B$4:$B$8,0)))</f>
        <v>2.063414637974846</v>
      </c>
      <c r="Q716" s="71">
        <f>IF(B716="",0,INDEX(ModelParameters!$D$6:$K$10,MATCH($O716,ModelParameters!$B$6:$B$10,0),MATCH($J716,ModelParameters!$D$5:$K$5,0)))</f>
        <v>0.075</v>
      </c>
      <c r="R716" s="71">
        <f>IF(B716="",0,INDEX(ModelParameters!$D$13:$K$17,MATCH($O716,ModelParameters!$B$13:$B$17,0),MATCH($J716,ModelParameters!$D$5:$K$5,0)))</f>
        <v>0</v>
      </c>
      <c r="S716" s="160">
        <f>IF(B716="",0,MIN(IF($N716="Other Bond TM",ModelParameters!$N$21,1)*(P716*Q716+R716),1))</f>
        <v>0.15475609784811344</v>
      </c>
      <c r="T716" s="85">
        <f>IF(B716="",0,$S716*$K716)</f>
        <v>45.029086762624072</v>
      </c>
      <c r="U716" s="85">
        <f>IF(B716="",0,IF(OR(H716=MappingTables!$C$34,H716=MappingTables!$C$35),T716,0))</f>
        <v>0</v>
      </c>
      <c r="V716" s="85">
        <f>IF(ISNA(IF(AND(VLOOKUP(CONCATENATE($D716,$G716),CSRFinput!$B:$E,4,0)=0,OR(H716=MappingTables!$C$34,H716=MappingTables!$C$35)),1,VLOOKUP(CONCATENATE($D716,$G716),CSRFinput!$B:$E,4,0))),0,IF(AND(VLOOKUP(CONCATENATE($D716,$G716),CSRFinput!$B:$E,4,0)=0,OR(H716=MappingTables!$C$34,H716=MappingTables!$C$35)),1,VLOOKUP(CONCATENATE($D716,$G716),CSRFinput!$B:$E,4,0)))</f>
        <v>0.054776304963434752</v>
      </c>
      <c r="W716" s="85">
        <f>IF(B716="",0,+$T716*$V716)</f>
        <v>2.4665269887344592</v>
      </c>
      <c r="X716" s="85">
        <f>IF(B716="",0,IF(OR(H716=MappingTables!$C$34,H716=MappingTables!$C$35),W716,0))</f>
        <v>0</v>
      </c>
    </row>
    <row r="717" spans="2:24" s="0" customFormat="0" ht="15">
      <c r="B717" s="69">
        <v>14543370</v>
      </c>
      <c r="C717" s="70" t="s">
        <v>1015</v>
      </c>
      <c r="D717" s="70" t="s">
        <v>1</v>
      </c>
      <c r="E717" s="70" t="s">
        <v>1</v>
      </c>
      <c r="F717" s="70"/>
      <c r="G717" s="70" t="s">
        <v>61</v>
      </c>
      <c r="H717" s="70" t="s">
        <v>178</v>
      </c>
      <c r="I717" s="70" t="s">
        <v>204</v>
      </c>
      <c r="J717" s="71">
        <f>IF(OR(I717=0,I717=""),"unrated",VLOOKUP(I717,MappingTables!$B$19:$C$31,2,FALSE))</f>
        <v>6</v>
      </c>
      <c r="K717" s="72">
        <v>95.96610167971672</v>
      </c>
      <c r="L717" s="70">
        <v>4.6617124941289376</v>
      </c>
      <c r="M717" s="71">
        <f>IF(L717&lt;1,1,L717)</f>
        <v>4.6617124941289376</v>
      </c>
      <c r="N717" s="70" t="s">
        <v>141</v>
      </c>
      <c r="O717" s="71">
        <f>INDEX(DurClassMapping,MATCH(M717,MappingTables!$D$4:$D$8,-1),1)</f>
        <v>1</v>
      </c>
      <c r="P717" s="73">
        <f>IF(M717=$A$1,1,$M717-INDEX(MappingTables!$E$4:$E$8,MATCH(O717,MappingTables!$B$4:$B$8,0)))</f>
        <v>4.6617124941289376</v>
      </c>
      <c r="Q717" s="71">
        <f>IF(B717="",0,INDEX(ModelParameters!$D$6:$K$10,MATCH($O717,ModelParameters!$B$6:$B$10,0),MATCH($J717,ModelParameters!$D$5:$K$5,0)))</f>
        <v>0.075</v>
      </c>
      <c r="R717" s="71">
        <f>IF(B717="",0,INDEX(ModelParameters!$D$13:$K$17,MATCH($O717,ModelParameters!$B$13:$B$17,0),MATCH($J717,ModelParameters!$D$5:$K$5,0)))</f>
        <v>0</v>
      </c>
      <c r="S717" s="160">
        <f>IF(B717="",0,MIN(IF($N717="Other Bond TM",ModelParameters!$N$21,1)*(P717*Q717+R717),1))</f>
        <v>0.34962843705967028</v>
      </c>
      <c r="T717" s="85">
        <f>IF(B717="",0,$S717*$K717)</f>
        <v>33.552478140988752</v>
      </c>
      <c r="U717" s="85">
        <f>IF(B717="",0,IF(OR(H717=MappingTables!$C$34,H717=MappingTables!$C$35),T717,0))</f>
        <v>0</v>
      </c>
      <c r="V717" s="85">
        <f>IF(ISNA(IF(AND(VLOOKUP(CONCATENATE($D717,$G717),CSRFinput!$B:$E,4,0)=0,OR(H717=MappingTables!$C$34,H717=MappingTables!$C$35)),1,VLOOKUP(CONCATENATE($D717,$G717),CSRFinput!$B:$E,4,0))),0,IF(AND(VLOOKUP(CONCATENATE($D717,$G717),CSRFinput!$B:$E,4,0)=0,OR(H717=MappingTables!$C$34,H717=MappingTables!$C$35)),1,VLOOKUP(CONCATENATE($D717,$G717),CSRFinput!$B:$E,4,0)))</f>
        <v>0.054776304963434752</v>
      </c>
      <c r="W717" s="85">
        <f>IF(B717="",0,+$T717*$V717)</f>
        <v>1.8378807749297784</v>
      </c>
      <c r="X717" s="85">
        <f>IF(B717="",0,IF(OR(H717=MappingTables!$C$34,H717=MappingTables!$C$35),W717,0))</f>
        <v>0</v>
      </c>
    </row>
    <row r="718" spans="2:24" s="0" customFormat="0" ht="15">
      <c r="B718" s="69">
        <v>12187821</v>
      </c>
      <c r="C718" s="70" t="s">
        <v>1016</v>
      </c>
      <c r="D718" s="70" t="s">
        <v>1</v>
      </c>
      <c r="E718" s="70" t="s">
        <v>1</v>
      </c>
      <c r="F718" s="70"/>
      <c r="G718" s="70" t="s">
        <v>61</v>
      </c>
      <c r="H718" s="70" t="s">
        <v>178</v>
      </c>
      <c r="I718" s="70" t="s">
        <v>181</v>
      </c>
      <c r="J718" s="71">
        <f>IF(OR(I718=0,I718=""),"unrated",VLOOKUP(I718,MappingTables!$B$19:$C$31,2,FALSE))</f>
        <v>3</v>
      </c>
      <c r="K718" s="72">
        <v>512.9683534033724</v>
      </c>
      <c r="L718" s="70">
        <v>0.50479461818359032</v>
      </c>
      <c r="M718" s="71">
        <f>IF(L718&lt;1,1,L718)</f>
        <v>1</v>
      </c>
      <c r="N718" s="70" t="s">
        <v>141</v>
      </c>
      <c r="O718" s="71">
        <f>INDEX(DurClassMapping,MATCH(M718,MappingTables!$D$4:$D$8,-1),1)</f>
        <v>1</v>
      </c>
      <c r="P718" s="73">
        <f>IF(M718=$A$1,1,$M718-INDEX(MappingTables!$E$4:$E$8,MATCH(O718,MappingTables!$B$4:$B$8,0)))</f>
        <v>1</v>
      </c>
      <c r="Q718" s="71">
        <f>IF(B718="",0,INDEX(ModelParameters!$D$6:$K$10,MATCH($O718,ModelParameters!$B$6:$B$10,0),MATCH($J718,ModelParameters!$D$5:$K$5,0)))</f>
        <v>0.025</v>
      </c>
      <c r="R718" s="71">
        <f>IF(B718="",0,INDEX(ModelParameters!$D$13:$K$17,MATCH($O718,ModelParameters!$B$13:$B$17,0),MATCH($J718,ModelParameters!$D$5:$K$5,0)))</f>
        <v>0</v>
      </c>
      <c r="S718" s="160">
        <f>IF(B718="",0,MIN(IF($N718="Other Bond TM",ModelParameters!$N$21,1)*(P718*Q718+R718),1))</f>
        <v>0.025</v>
      </c>
      <c r="T718" s="85">
        <f>IF(B718="",0,$S718*$K718)</f>
        <v>12.82420883508431</v>
      </c>
      <c r="U718" s="85">
        <f>IF(B718="",0,IF(OR(H718=MappingTables!$C$34,H718=MappingTables!$C$35),T718,0))</f>
        <v>0</v>
      </c>
      <c r="V718" s="85">
        <f>IF(ISNA(IF(AND(VLOOKUP(CONCATENATE($D718,$G718),CSRFinput!$B:$E,4,0)=0,OR(H718=MappingTables!$C$34,H718=MappingTables!$C$35)),1,VLOOKUP(CONCATENATE($D718,$G718),CSRFinput!$B:$E,4,0))),0,IF(AND(VLOOKUP(CONCATENATE($D718,$G718),CSRFinput!$B:$E,4,0)=0,OR(H718=MappingTables!$C$34,H718=MappingTables!$C$35)),1,VLOOKUP(CONCATENATE($D718,$G718),CSRFinput!$B:$E,4,0)))</f>
        <v>0.054776304963434752</v>
      </c>
      <c r="W718" s="85">
        <f>IF(B718="",0,+$T718*$V718)</f>
        <v>0.70246277406535248</v>
      </c>
      <c r="X718" s="85">
        <f>IF(B718="",0,IF(OR(H718=MappingTables!$C$34,H718=MappingTables!$C$35),W718,0))</f>
        <v>0</v>
      </c>
    </row>
    <row r="719" spans="2:24" s="0" customFormat="0" ht="15">
      <c r="B719" s="69">
        <v>21802086</v>
      </c>
      <c r="C719" s="70" t="s">
        <v>1017</v>
      </c>
      <c r="D719" s="70" t="s">
        <v>1</v>
      </c>
      <c r="E719" s="70" t="s">
        <v>1</v>
      </c>
      <c r="F719" s="70"/>
      <c r="G719" s="70" t="s">
        <v>61</v>
      </c>
      <c r="H719" s="70" t="s">
        <v>178</v>
      </c>
      <c r="I719" s="70" t="s">
        <v>181</v>
      </c>
      <c r="J719" s="71">
        <f>IF(OR(I719=0,I719=""),"unrated",VLOOKUP(I719,MappingTables!$B$19:$C$31,2,FALSE))</f>
        <v>3</v>
      </c>
      <c r="K719" s="72">
        <v>68770.146483654216</v>
      </c>
      <c r="L719" s="70">
        <v>20.134596543987428</v>
      </c>
      <c r="M719" s="71">
        <f>IF(L719&lt;1,1,L719)</f>
        <v>20.134596543987428</v>
      </c>
      <c r="N719" s="70" t="s">
        <v>141</v>
      </c>
      <c r="O719" s="71">
        <f>INDEX(DurClassMapping,MATCH(M719,MappingTables!$D$4:$D$8,-1),1)</f>
        <v>5</v>
      </c>
      <c r="P719" s="73">
        <f>IF(M719=$A$1,1,$M719-INDEX(MappingTables!$E$4:$E$8,MATCH(O719,MappingTables!$B$4:$B$8,0)))</f>
        <v>0.1345965439874277</v>
      </c>
      <c r="Q719" s="71">
        <f>IF(B719="",0,INDEX(ModelParameters!$D$6:$K$10,MATCH($O719,ModelParameters!$B$6:$B$10,0),MATCH($J719,ModelParameters!$D$5:$K$5,0)))</f>
        <v>0.005</v>
      </c>
      <c r="R719" s="71">
        <f>IF(B719="",0,INDEX(ModelParameters!$D$13:$K$17,MATCH($O719,ModelParameters!$B$13:$B$17,0),MATCH($J719,ModelParameters!$D$5:$K$5,0)))</f>
        <v>0.3</v>
      </c>
      <c r="S719" s="160">
        <f>IF(B719="",0,MIN(IF($N719="Other Bond TM",ModelParameters!$N$21,1)*(P719*Q719+R719),1))</f>
        <v>0.30067298271993716</v>
      </c>
      <c r="T719" s="85">
        <f>IF(B719="",0,$S719*$K719)</f>
        <v>20677.325065327308</v>
      </c>
      <c r="U719" s="85">
        <f>IF(B719="",0,IF(OR(H719=MappingTables!$C$34,H719=MappingTables!$C$35),T719,0))</f>
        <v>0</v>
      </c>
      <c r="V719" s="85">
        <f>IF(ISNA(IF(AND(VLOOKUP(CONCATENATE($D719,$G719),CSRFinput!$B:$E,4,0)=0,OR(H719=MappingTables!$C$34,H719=MappingTables!$C$35)),1,VLOOKUP(CONCATENATE($D719,$G719),CSRFinput!$B:$E,4,0))),0,IF(AND(VLOOKUP(CONCATENATE($D719,$G719),CSRFinput!$B:$E,4,0)=0,OR(H719=MappingTables!$C$34,H719=MappingTables!$C$35)),1,VLOOKUP(CONCATENATE($D719,$G719),CSRFinput!$B:$E,4,0)))</f>
        <v>0.054776304963434752</v>
      </c>
      <c r="W719" s="85">
        <f>IF(B719="",0,+$T719*$V719)</f>
        <v>1132.6274636064422</v>
      </c>
      <c r="X719" s="85">
        <f>IF(B719="",0,IF(OR(H719=MappingTables!$C$34,H719=MappingTables!$C$35),W719,0))</f>
        <v>0</v>
      </c>
    </row>
    <row r="720" spans="2:24" s="0" customFormat="0" ht="15">
      <c r="B720" s="69">
        <v>15774248</v>
      </c>
      <c r="C720" s="70" t="s">
        <v>1018</v>
      </c>
      <c r="D720" s="70" t="s">
        <v>1</v>
      </c>
      <c r="E720" s="70" t="s">
        <v>1</v>
      </c>
      <c r="F720" s="70"/>
      <c r="G720" s="70" t="s">
        <v>61</v>
      </c>
      <c r="H720" s="70" t="s">
        <v>178</v>
      </c>
      <c r="I720" s="70" t="s">
        <v>188</v>
      </c>
      <c r="J720" s="71">
        <f>IF(OR(I720=0,I720=""),"unrated",VLOOKUP(I720,MappingTables!$B$19:$C$31,2,FALSE))</f>
        <v>2</v>
      </c>
      <c r="K720" s="72">
        <v>1223.5564957161334</v>
      </c>
      <c r="L720" s="70">
        <v>0.12603254663071922</v>
      </c>
      <c r="M720" s="71">
        <f>IF(L720&lt;1,1,L720)</f>
        <v>1</v>
      </c>
      <c r="N720" s="70" t="s">
        <v>141</v>
      </c>
      <c r="O720" s="71">
        <f>INDEX(DurClassMapping,MATCH(M720,MappingTables!$D$4:$D$8,-1),1)</f>
        <v>1</v>
      </c>
      <c r="P720" s="73">
        <f>IF(M720=$A$1,1,$M720-INDEX(MappingTables!$E$4:$E$8,MATCH(O720,MappingTables!$B$4:$B$8,0)))</f>
        <v>1</v>
      </c>
      <c r="Q720" s="71">
        <f>IF(B720="",0,INDEX(ModelParameters!$D$6:$K$10,MATCH($O720,ModelParameters!$B$6:$B$10,0),MATCH($J720,ModelParameters!$D$5:$K$5,0)))</f>
        <v>0.013999999999999998</v>
      </c>
      <c r="R720" s="71">
        <f>IF(B720="",0,INDEX(ModelParameters!$D$13:$K$17,MATCH($O720,ModelParameters!$B$13:$B$17,0),MATCH($J720,ModelParameters!$D$5:$K$5,0)))</f>
        <v>0</v>
      </c>
      <c r="S720" s="160">
        <f>IF(B720="",0,MIN(IF($N720="Other Bond TM",ModelParameters!$N$21,1)*(P720*Q720+R720),1))</f>
        <v>0.013999999999999998</v>
      </c>
      <c r="T720" s="85">
        <f>IF(B720="",0,$S720*$K720)</f>
        <v>17.129790940025866</v>
      </c>
      <c r="U720" s="85">
        <f>IF(B720="",0,IF(OR(H720=MappingTables!$C$34,H720=MappingTables!$C$35),T720,0))</f>
        <v>0</v>
      </c>
      <c r="V720" s="85">
        <f>IF(ISNA(IF(AND(VLOOKUP(CONCATENATE($D720,$G720),CSRFinput!$B:$E,4,0)=0,OR(H720=MappingTables!$C$34,H720=MappingTables!$C$35)),1,VLOOKUP(CONCATENATE($D720,$G720),CSRFinput!$B:$E,4,0))),0,IF(AND(VLOOKUP(CONCATENATE($D720,$G720),CSRFinput!$B:$E,4,0)=0,OR(H720=MappingTables!$C$34,H720=MappingTables!$C$35)),1,VLOOKUP(CONCATENATE($D720,$G720),CSRFinput!$B:$E,4,0)))</f>
        <v>0.054776304963434752</v>
      </c>
      <c r="W720" s="85">
        <f>IF(B720="",0,+$T720*$V720)</f>
        <v>0.93830665249073856</v>
      </c>
      <c r="X720" s="85">
        <f>IF(B720="",0,IF(OR(H720=MappingTables!$C$34,H720=MappingTables!$C$35),W720,0))</f>
        <v>0</v>
      </c>
    </row>
    <row r="721" spans="2:24" s="0" customFormat="0" ht="15">
      <c r="B721" s="69">
        <v>19785660</v>
      </c>
      <c r="C721" s="70" t="s">
        <v>1019</v>
      </c>
      <c r="D721" s="70" t="s">
        <v>1</v>
      </c>
      <c r="E721" s="70" t="s">
        <v>1</v>
      </c>
      <c r="F721" s="70"/>
      <c r="G721" s="70" t="s">
        <v>61</v>
      </c>
      <c r="H721" s="70" t="s">
        <v>178</v>
      </c>
      <c r="I721" s="70" t="s">
        <v>188</v>
      </c>
      <c r="J721" s="71">
        <f>IF(OR(I721=0,I721=""),"unrated",VLOOKUP(I721,MappingTables!$B$19:$C$31,2,FALSE))</f>
        <v>2</v>
      </c>
      <c r="K721" s="72">
        <v>1502562.7899169922</v>
      </c>
      <c r="L721" s="70">
        <v>8.2215032696365184</v>
      </c>
      <c r="M721" s="71">
        <f>IF(L721&lt;1,1,L721)</f>
        <v>8.2215032696365184</v>
      </c>
      <c r="N721" s="70" t="s">
        <v>141</v>
      </c>
      <c r="O721" s="71">
        <f>INDEX(DurClassMapping,MATCH(M721,MappingTables!$D$4:$D$8,-1),1)</f>
        <v>2</v>
      </c>
      <c r="P721" s="73">
        <f>IF(M721=$A$1,1,$M721-INDEX(MappingTables!$E$4:$E$8,MATCH(O721,MappingTables!$B$4:$B$8,0)))</f>
        <v>3.2215032696365176</v>
      </c>
      <c r="Q721" s="71">
        <f>IF(B721="",0,INDEX(ModelParameters!$D$6:$K$10,MATCH($O721,ModelParameters!$B$6:$B$10,0),MATCH($J721,ModelParameters!$D$5:$K$5,0)))</f>
        <v>0.0069999999999999992</v>
      </c>
      <c r="R721" s="71">
        <f>IF(B721="",0,INDEX(ModelParameters!$D$13:$K$17,MATCH($O721,ModelParameters!$B$13:$B$17,0),MATCH($J721,ModelParameters!$D$5:$K$5,0)))</f>
        <v>0.070000000000000008</v>
      </c>
      <c r="S721" s="160">
        <f>IF(B721="",0,MIN(IF($N721="Other Bond TM",ModelParameters!$N$21,1)*(P721*Q721+R721),1))</f>
        <v>0.092550522887455632</v>
      </c>
      <c r="T721" s="85">
        <f>IF(B721="",0,$S721*$K721)</f>
        <v>139062.97187805178</v>
      </c>
      <c r="U721" s="85">
        <f>IF(B721="",0,IF(OR(H721=MappingTables!$C$34,H721=MappingTables!$C$35),T721,0))</f>
        <v>0</v>
      </c>
      <c r="V721" s="85">
        <f>IF(ISNA(IF(AND(VLOOKUP(CONCATENATE($D721,$G721),CSRFinput!$B:$E,4,0)=0,OR(H721=MappingTables!$C$34,H721=MappingTables!$C$35)),1,VLOOKUP(CONCATENATE($D721,$G721),CSRFinput!$B:$E,4,0))),0,IF(AND(VLOOKUP(CONCATENATE($D721,$G721),CSRFinput!$B:$E,4,0)=0,OR(H721=MappingTables!$C$34,H721=MappingTables!$C$35)),1,VLOOKUP(CONCATENATE($D721,$G721),CSRFinput!$B:$E,4,0)))</f>
        <v>0.054776304963434752</v>
      </c>
      <c r="W721" s="85">
        <f>IF(B721="",0,+$T721*$V721)</f>
        <v>7617.3557567137152</v>
      </c>
      <c r="X721" s="85">
        <f>IF(B721="",0,IF(OR(H721=MappingTables!$C$34,H721=MappingTables!$C$35),W721,0))</f>
        <v>0</v>
      </c>
    </row>
    <row r="722" spans="2:24" s="0" customFormat="0" ht="15">
      <c r="B722" s="69">
        <v>12402301</v>
      </c>
      <c r="C722" s="70" t="s">
        <v>1020</v>
      </c>
      <c r="D722" s="70" t="s">
        <v>1</v>
      </c>
      <c r="E722" s="70" t="s">
        <v>1</v>
      </c>
      <c r="F722" s="70"/>
      <c r="G722" s="70" t="s">
        <v>61</v>
      </c>
      <c r="H722" s="70" t="s">
        <v>178</v>
      </c>
      <c r="I722" s="70" t="s">
        <v>181</v>
      </c>
      <c r="J722" s="71">
        <f>IF(OR(I722=0,I722=""),"unrated",VLOOKUP(I722,MappingTables!$B$19:$C$31,2,FALSE))</f>
        <v>3</v>
      </c>
      <c r="K722" s="72">
        <v>68.032363069820288</v>
      </c>
      <c r="L722" s="70">
        <v>14.291549918567512</v>
      </c>
      <c r="M722" s="71">
        <f>IF(L722&lt;1,1,L722)</f>
        <v>14.291549918567512</v>
      </c>
      <c r="N722" s="70" t="s">
        <v>141</v>
      </c>
      <c r="O722" s="71">
        <f>INDEX(DurClassMapping,MATCH(M722,MappingTables!$D$4:$D$8,-1),1)</f>
        <v>3</v>
      </c>
      <c r="P722" s="73">
        <f>IF(M722=$A$1,1,$M722-INDEX(MappingTables!$E$4:$E$8,MATCH(O722,MappingTables!$B$4:$B$8,0)))</f>
        <v>4.291549918567512</v>
      </c>
      <c r="Q722" s="71">
        <f>IF(B722="",0,INDEX(ModelParameters!$D$6:$K$10,MATCH($O722,ModelParameters!$B$6:$B$10,0),MATCH($J722,ModelParameters!$D$5:$K$5,0)))</f>
        <v>0.01</v>
      </c>
      <c r="R722" s="71">
        <f>IF(B722="",0,INDEX(ModelParameters!$D$13:$K$17,MATCH($O722,ModelParameters!$B$13:$B$17,0),MATCH($J722,ModelParameters!$D$5:$K$5,0)))</f>
        <v>0.2</v>
      </c>
      <c r="S722" s="160">
        <f>IF(B722="",0,MIN(IF($N722="Other Bond TM",ModelParameters!$N$21,1)*(P722*Q722+R722),1))</f>
        <v>0.24291549918567512</v>
      </c>
      <c r="T722" s="85">
        <f>IF(B722="",0,$S722*$K722)</f>
        <v>16.526115435886486</v>
      </c>
      <c r="U722" s="85">
        <f>IF(B722="",0,IF(OR(H722=MappingTables!$C$34,H722=MappingTables!$C$35),T722,0))</f>
        <v>0</v>
      </c>
      <c r="V722" s="85">
        <f>IF(ISNA(IF(AND(VLOOKUP(CONCATENATE($D722,$G722),CSRFinput!$B:$E,4,0)=0,OR(H722=MappingTables!$C$34,H722=MappingTables!$C$35)),1,VLOOKUP(CONCATENATE($D722,$G722),CSRFinput!$B:$E,4,0))),0,IF(AND(VLOOKUP(CONCATENATE($D722,$G722),CSRFinput!$B:$E,4,0)=0,OR(H722=MappingTables!$C$34,H722=MappingTables!$C$35)),1,VLOOKUP(CONCATENATE($D722,$G722),CSRFinput!$B:$E,4,0)))</f>
        <v>0.054776304963434752</v>
      </c>
      <c r="W722" s="85">
        <f>IF(B722="",0,+$T722*$V722)</f>
        <v>0.90523953897704464</v>
      </c>
      <c r="X722" s="85">
        <f>IF(B722="",0,IF(OR(H722=MappingTables!$C$34,H722=MappingTables!$C$35),W722,0))</f>
        <v>0</v>
      </c>
    </row>
    <row r="723" spans="2:24" s="0" customFormat="0" ht="15">
      <c r="B723" s="69">
        <v>17147948</v>
      </c>
      <c r="C723" s="70" t="s">
        <v>1021</v>
      </c>
      <c r="D723" s="70" t="s">
        <v>1</v>
      </c>
      <c r="E723" s="70" t="s">
        <v>1</v>
      </c>
      <c r="F723" s="70"/>
      <c r="G723" s="70" t="s">
        <v>61</v>
      </c>
      <c r="H723" s="70" t="s">
        <v>178</v>
      </c>
      <c r="I723" s="70" t="s">
        <v>188</v>
      </c>
      <c r="J723" s="71">
        <f>IF(OR(I723=0,I723=""),"unrated",VLOOKUP(I723,MappingTables!$B$19:$C$31,2,FALSE))</f>
        <v>2</v>
      </c>
      <c r="K723" s="72">
        <v>3045.9337874033636</v>
      </c>
      <c r="L723" s="70">
        <v>4.5998566079362464</v>
      </c>
      <c r="M723" s="71">
        <f>IF(L723&lt;1,1,L723)</f>
        <v>4.5998566079362464</v>
      </c>
      <c r="N723" s="70" t="s">
        <v>141</v>
      </c>
      <c r="O723" s="71">
        <f>INDEX(DurClassMapping,MATCH(M723,MappingTables!$D$4:$D$8,-1),1)</f>
        <v>1</v>
      </c>
      <c r="P723" s="73">
        <f>IF(M723=$A$1,1,$M723-INDEX(MappingTables!$E$4:$E$8,MATCH(O723,MappingTables!$B$4:$B$8,0)))</f>
        <v>4.5998566079362464</v>
      </c>
      <c r="Q723" s="71">
        <f>IF(B723="",0,INDEX(ModelParameters!$D$6:$K$10,MATCH($O723,ModelParameters!$B$6:$B$10,0),MATCH($J723,ModelParameters!$D$5:$K$5,0)))</f>
        <v>0.013999999999999998</v>
      </c>
      <c r="R723" s="71">
        <f>IF(B723="",0,INDEX(ModelParameters!$D$13:$K$17,MATCH($O723,ModelParameters!$B$13:$B$17,0),MATCH($J723,ModelParameters!$D$5:$K$5,0)))</f>
        <v>0</v>
      </c>
      <c r="S723" s="160">
        <f>IF(B723="",0,MIN(IF($N723="Other Bond TM",ModelParameters!$N$21,1)*(P723*Q723+R723),1))</f>
        <v>0.064397992511107432</v>
      </c>
      <c r="T723" s="85">
        <f>IF(B723="",0,$S723*$K723)</f>
        <v>196.15202123053092</v>
      </c>
      <c r="U723" s="85">
        <f>IF(B723="",0,IF(OR(H723=MappingTables!$C$34,H723=MappingTables!$C$35),T723,0))</f>
        <v>0</v>
      </c>
      <c r="V723" s="85">
        <f>IF(ISNA(IF(AND(VLOOKUP(CONCATENATE($D723,$G723),CSRFinput!$B:$E,4,0)=0,OR(H723=MappingTables!$C$34,H723=MappingTables!$C$35)),1,VLOOKUP(CONCATENATE($D723,$G723),CSRFinput!$B:$E,4,0))),0,IF(AND(VLOOKUP(CONCATENATE($D723,$G723),CSRFinput!$B:$E,4,0)=0,OR(H723=MappingTables!$C$34,H723=MappingTables!$C$35)),1,VLOOKUP(CONCATENATE($D723,$G723),CSRFinput!$B:$E,4,0)))</f>
        <v>0.054776304963434752</v>
      </c>
      <c r="W723" s="85">
        <f>IF(B723="",0,+$T723*$V723)</f>
        <v>10.74448293411769</v>
      </c>
      <c r="X723" s="85">
        <f>IF(B723="",0,IF(OR(H723=MappingTables!$C$34,H723=MappingTables!$C$35),W723,0))</f>
        <v>0</v>
      </c>
    </row>
    <row r="724" spans="2:24" s="0" customFormat="0" ht="15">
      <c r="B724" s="69">
        <v>18701432</v>
      </c>
      <c r="C724" s="70" t="s">
        <v>1022</v>
      </c>
      <c r="D724" s="70" t="s">
        <v>1</v>
      </c>
      <c r="E724" s="70" t="s">
        <v>1</v>
      </c>
      <c r="F724" s="70"/>
      <c r="G724" s="70" t="s">
        <v>61</v>
      </c>
      <c r="H724" s="70" t="s">
        <v>178</v>
      </c>
      <c r="I724" s="70" t="s">
        <v>184</v>
      </c>
      <c r="J724" s="71">
        <f>IF(OR(I724=0,I724=""),"unrated",VLOOKUP(I724,MappingTables!$B$19:$C$31,2,FALSE))</f>
        <v>5</v>
      </c>
      <c r="K724" s="72">
        <v>9265.7893117676496</v>
      </c>
      <c r="L724" s="70">
        <v>6.4093114441995832</v>
      </c>
      <c r="M724" s="71">
        <f>IF(L724&lt;1,1,L724)</f>
        <v>6.4093114441995832</v>
      </c>
      <c r="N724" s="70" t="s">
        <v>141</v>
      </c>
      <c r="O724" s="71">
        <f>INDEX(DurClassMapping,MATCH(M724,MappingTables!$D$4:$D$8,-1),1)</f>
        <v>2</v>
      </c>
      <c r="P724" s="73">
        <f>IF(M724=$A$1,1,$M724-INDEX(MappingTables!$E$4:$E$8,MATCH(O724,MappingTables!$B$4:$B$8,0)))</f>
        <v>1.4093114441995836</v>
      </c>
      <c r="Q724" s="71">
        <f>IF(B724="",0,INDEX(ModelParameters!$D$6:$K$10,MATCH($O724,ModelParameters!$B$6:$B$10,0),MATCH($J724,ModelParameters!$D$5:$K$5,0)))</f>
        <v>0.042</v>
      </c>
      <c r="R724" s="71">
        <f>IF(B724="",0,INDEX(ModelParameters!$D$13:$K$17,MATCH($O724,ModelParameters!$B$13:$B$17,0),MATCH($J724,ModelParameters!$D$5:$K$5,0)))</f>
        <v>0.375</v>
      </c>
      <c r="S724" s="160">
        <f>IF(B724="",0,MIN(IF($N724="Other Bond TM",ModelParameters!$N$21,1)*(P724*Q724+R724),1))</f>
        <v>0.43419108065638248</v>
      </c>
      <c r="T724" s="85">
        <f>IF(B724="",0,$S724*$K724)</f>
        <v>4023.1230744107544</v>
      </c>
      <c r="U724" s="85">
        <f>IF(B724="",0,IF(OR(H724=MappingTables!$C$34,H724=MappingTables!$C$35),T724,0))</f>
        <v>0</v>
      </c>
      <c r="V724" s="85">
        <f>IF(ISNA(IF(AND(VLOOKUP(CONCATENATE($D724,$G724),CSRFinput!$B:$E,4,0)=0,OR(H724=MappingTables!$C$34,H724=MappingTables!$C$35)),1,VLOOKUP(CONCATENATE($D724,$G724),CSRFinput!$B:$E,4,0))),0,IF(AND(VLOOKUP(CONCATENATE($D724,$G724),CSRFinput!$B:$E,4,0)=0,OR(H724=MappingTables!$C$34,H724=MappingTables!$C$35)),1,VLOOKUP(CONCATENATE($D724,$G724),CSRFinput!$B:$E,4,0)))</f>
        <v>0.054776304963434752</v>
      </c>
      <c r="W724" s="85">
        <f>IF(B724="",0,+$T724*$V724)</f>
        <v>220.37181642935472</v>
      </c>
      <c r="X724" s="85">
        <f>IF(B724="",0,IF(OR(H724=MappingTables!$C$34,H724=MappingTables!$C$35),W724,0))</f>
        <v>0</v>
      </c>
    </row>
    <row r="725" spans="2:24" s="0" customFormat="0" ht="15">
      <c r="B725" s="69">
        <v>20995748</v>
      </c>
      <c r="C725" s="70" t="s">
        <v>1023</v>
      </c>
      <c r="D725" s="70" t="s">
        <v>1</v>
      </c>
      <c r="E725" s="70" t="s">
        <v>1</v>
      </c>
      <c r="F725" s="70"/>
      <c r="G725" s="70" t="s">
        <v>61</v>
      </c>
      <c r="H725" s="70" t="s">
        <v>178</v>
      </c>
      <c r="I725" s="70" t="s">
        <v>181</v>
      </c>
      <c r="J725" s="71">
        <f>IF(OR(I725=0,I725=""),"unrated",VLOOKUP(I725,MappingTables!$B$19:$C$31,2,FALSE))</f>
        <v>3</v>
      </c>
      <c r="K725" s="72">
        <v>7338.2964876814704</v>
      </c>
      <c r="L725" s="70">
        <v>0.032872099477374496</v>
      </c>
      <c r="M725" s="71">
        <f>IF(L725&lt;1,1,L725)</f>
        <v>1</v>
      </c>
      <c r="N725" s="70" t="s">
        <v>141</v>
      </c>
      <c r="O725" s="71">
        <f>INDEX(DurClassMapping,MATCH(M725,MappingTables!$D$4:$D$8,-1),1)</f>
        <v>1</v>
      </c>
      <c r="P725" s="73">
        <f>IF(M725=$A$1,1,$M725-INDEX(MappingTables!$E$4:$E$8,MATCH(O725,MappingTables!$B$4:$B$8,0)))</f>
        <v>1</v>
      </c>
      <c r="Q725" s="71">
        <f>IF(B725="",0,INDEX(ModelParameters!$D$6:$K$10,MATCH($O725,ModelParameters!$B$6:$B$10,0),MATCH($J725,ModelParameters!$D$5:$K$5,0)))</f>
        <v>0.025</v>
      </c>
      <c r="R725" s="71">
        <f>IF(B725="",0,INDEX(ModelParameters!$D$13:$K$17,MATCH($O725,ModelParameters!$B$13:$B$17,0),MATCH($J725,ModelParameters!$D$5:$K$5,0)))</f>
        <v>0</v>
      </c>
      <c r="S725" s="160">
        <f>IF(B725="",0,MIN(IF($N725="Other Bond TM",ModelParameters!$N$21,1)*(P725*Q725+R725),1))</f>
        <v>0.025</v>
      </c>
      <c r="T725" s="85">
        <f>IF(B725="",0,$S725*$K725)</f>
        <v>183.45741219203676</v>
      </c>
      <c r="U725" s="85">
        <f>IF(B725="",0,IF(OR(H725=MappingTables!$C$34,H725=MappingTables!$C$35),T725,0))</f>
        <v>0</v>
      </c>
      <c r="V725" s="85">
        <f>IF(ISNA(IF(AND(VLOOKUP(CONCATENATE($D725,$G725),CSRFinput!$B:$E,4,0)=0,OR(H725=MappingTables!$C$34,H725=MappingTables!$C$35)),1,VLOOKUP(CONCATENATE($D725,$G725),CSRFinput!$B:$E,4,0))),0,IF(AND(VLOOKUP(CONCATENATE($D725,$G725),CSRFinput!$B:$E,4,0)=0,OR(H725=MappingTables!$C$34,H725=MappingTables!$C$35)),1,VLOOKUP(CONCATENATE($D725,$G725),CSRFinput!$B:$E,4,0)))</f>
        <v>0.054776304963434752</v>
      </c>
      <c r="W725" s="85">
        <f>IF(B725="",0,+$T725*$V725)</f>
        <v>10.049119158033558</v>
      </c>
      <c r="X725" s="85">
        <f>IF(B725="",0,IF(OR(H725=MappingTables!$C$34,H725=MappingTables!$C$35),W725,0))</f>
        <v>0</v>
      </c>
    </row>
    <row r="726" spans="2:24" s="0" customFormat="0" ht="15">
      <c r="B726" s="69">
        <v>951622</v>
      </c>
      <c r="C726" s="70" t="s">
        <v>1024</v>
      </c>
      <c r="D726" s="70" t="s">
        <v>1</v>
      </c>
      <c r="E726" s="70" t="s">
        <v>1</v>
      </c>
      <c r="F726" s="70"/>
      <c r="G726" s="70" t="s">
        <v>61</v>
      </c>
      <c r="H726" s="70" t="s">
        <v>178</v>
      </c>
      <c r="I726" s="70" t="s">
        <v>181</v>
      </c>
      <c r="J726" s="71">
        <f>IF(OR(I726=0,I726=""),"unrated",VLOOKUP(I726,MappingTables!$B$19:$C$31,2,FALSE))</f>
        <v>3</v>
      </c>
      <c r="K726" s="72">
        <v>26767.9532173808</v>
      </c>
      <c r="L726" s="70">
        <v>10.56328590436615</v>
      </c>
      <c r="M726" s="71">
        <f>IF(L726&lt;1,1,L726)</f>
        <v>10.56328590436615</v>
      </c>
      <c r="N726" s="70" t="s">
        <v>141</v>
      </c>
      <c r="O726" s="71">
        <f>INDEX(DurClassMapping,MATCH(M726,MappingTables!$D$4:$D$8,-1),1)</f>
        <v>3</v>
      </c>
      <c r="P726" s="73">
        <f>IF(M726=$A$1,1,$M726-INDEX(MappingTables!$E$4:$E$8,MATCH(O726,MappingTables!$B$4:$B$8,0)))</f>
        <v>0.56328590436615048</v>
      </c>
      <c r="Q726" s="71">
        <f>IF(B726="",0,INDEX(ModelParameters!$D$6:$K$10,MATCH($O726,ModelParameters!$B$6:$B$10,0),MATCH($J726,ModelParameters!$D$5:$K$5,0)))</f>
        <v>0.01</v>
      </c>
      <c r="R726" s="71">
        <f>IF(B726="",0,INDEX(ModelParameters!$D$13:$K$17,MATCH($O726,ModelParameters!$B$13:$B$17,0),MATCH($J726,ModelParameters!$D$5:$K$5,0)))</f>
        <v>0.2</v>
      </c>
      <c r="S726" s="160">
        <f>IF(B726="",0,MIN(IF($N726="Other Bond TM",ModelParameters!$N$21,1)*(P726*Q726+R726),1))</f>
        <v>0.20563285904366152</v>
      </c>
      <c r="T726" s="85">
        <f>IF(B726="",0,$S726*$K726)</f>
        <v>5504.370750836992</v>
      </c>
      <c r="U726" s="85">
        <f>IF(B726="",0,IF(OR(H726=MappingTables!$C$34,H726=MappingTables!$C$35),T726,0))</f>
        <v>0</v>
      </c>
      <c r="V726" s="85">
        <f>IF(ISNA(IF(AND(VLOOKUP(CONCATENATE($D726,$G726),CSRFinput!$B:$E,4,0)=0,OR(H726=MappingTables!$C$34,H726=MappingTables!$C$35)),1,VLOOKUP(CONCATENATE($D726,$G726),CSRFinput!$B:$E,4,0))),0,IF(AND(VLOOKUP(CONCATENATE($D726,$G726),CSRFinput!$B:$E,4,0)=0,OR(H726=MappingTables!$C$34,H726=MappingTables!$C$35)),1,VLOOKUP(CONCATENATE($D726,$G726),CSRFinput!$B:$E,4,0)))</f>
        <v>0.054776304963434752</v>
      </c>
      <c r="W726" s="85">
        <f>IF(B726="",0,+$T726*$V726)</f>
        <v>301.50909087965736</v>
      </c>
      <c r="X726" s="85">
        <f>IF(B726="",0,IF(OR(H726=MappingTables!$C$34,H726=MappingTables!$C$35),W726,0))</f>
        <v>0</v>
      </c>
    </row>
    <row r="727" spans="2:24" s="0" customFormat="0" ht="15">
      <c r="B727" s="69">
        <v>14256176</v>
      </c>
      <c r="C727" s="70" t="s">
        <v>392</v>
      </c>
      <c r="D727" s="70" t="s">
        <v>1</v>
      </c>
      <c r="E727" s="70" t="s">
        <v>1</v>
      </c>
      <c r="F727" s="70"/>
      <c r="G727" s="70" t="s">
        <v>61</v>
      </c>
      <c r="H727" s="70" t="s">
        <v>178</v>
      </c>
      <c r="I727" s="70" t="s">
        <v>181</v>
      </c>
      <c r="J727" s="71">
        <f>IF(OR(I727=0,I727=""),"unrated",VLOOKUP(I727,MappingTables!$B$19:$C$31,2,FALSE))</f>
        <v>3</v>
      </c>
      <c r="K727" s="72">
        <v>270.2686957422742</v>
      </c>
      <c r="L727" s="70">
        <v>5.691463338534988</v>
      </c>
      <c r="M727" s="71">
        <f>IF(L727&lt;1,1,L727)</f>
        <v>5.691463338534988</v>
      </c>
      <c r="N727" s="70" t="s">
        <v>141</v>
      </c>
      <c r="O727" s="71">
        <f>INDEX(DurClassMapping,MATCH(M727,MappingTables!$D$4:$D$8,-1),1)</f>
        <v>2</v>
      </c>
      <c r="P727" s="73">
        <f>IF(M727=$A$1,1,$M727-INDEX(MappingTables!$E$4:$E$8,MATCH(O727,MappingTables!$B$4:$B$8,0)))</f>
        <v>0.69146333853498824</v>
      </c>
      <c r="Q727" s="71">
        <f>IF(B727="",0,INDEX(ModelParameters!$D$6:$K$10,MATCH($O727,ModelParameters!$B$6:$B$10,0),MATCH($J727,ModelParameters!$D$5:$K$5,0)))</f>
        <v>0.015</v>
      </c>
      <c r="R727" s="71">
        <f>IF(B727="",0,INDEX(ModelParameters!$D$13:$K$17,MATCH($O727,ModelParameters!$B$13:$B$17,0),MATCH($J727,ModelParameters!$D$5:$K$5,0)))</f>
        <v>0.125</v>
      </c>
      <c r="S727" s="160">
        <f>IF(B727="",0,MIN(IF($N727="Other Bond TM",ModelParameters!$N$21,1)*(P727*Q727+R727),1))</f>
        <v>0.13537195007802482</v>
      </c>
      <c r="T727" s="85">
        <f>IF(B727="",0,$S727*$K727)</f>
        <v>36.586800387676024</v>
      </c>
      <c r="U727" s="85">
        <f>IF(B727="",0,IF(OR(H727=MappingTables!$C$34,H727=MappingTables!$C$35),T727,0))</f>
        <v>0</v>
      </c>
      <c r="V727" s="85">
        <f>IF(ISNA(IF(AND(VLOOKUP(CONCATENATE($D727,$G727),CSRFinput!$B:$E,4,0)=0,OR(H727=MappingTables!$C$34,H727=MappingTables!$C$35)),1,VLOOKUP(CONCATENATE($D727,$G727),CSRFinput!$B:$E,4,0))),0,IF(AND(VLOOKUP(CONCATENATE($D727,$G727),CSRFinput!$B:$E,4,0)=0,OR(H727=MappingTables!$C$34,H727=MappingTables!$C$35)),1,VLOOKUP(CONCATENATE($D727,$G727),CSRFinput!$B:$E,4,0)))</f>
        <v>0.054776304963434752</v>
      </c>
      <c r="W727" s="85">
        <f>IF(B727="",0,+$T727*$V727)</f>
        <v>2.0040897356716548</v>
      </c>
      <c r="X727" s="85">
        <f>IF(B727="",0,IF(OR(H727=MappingTables!$C$34,H727=MappingTables!$C$35),W727,0))</f>
        <v>0</v>
      </c>
    </row>
    <row r="728" spans="2:24" s="0" customFormat="0" ht="15">
      <c r="B728" s="69" t="s">
        <v>1025</v>
      </c>
      <c r="C728" s="70" t="s">
        <v>1026</v>
      </c>
      <c r="D728" s="70" t="s">
        <v>1</v>
      </c>
      <c r="E728" s="70" t="s">
        <v>1</v>
      </c>
      <c r="F728" s="70"/>
      <c r="G728" s="70" t="s">
        <v>61</v>
      </c>
      <c r="H728" s="70" t="s">
        <v>178</v>
      </c>
      <c r="I728" s="70" t="s">
        <v>179</v>
      </c>
      <c r="J728" s="71">
        <f>IF(OR(I728=0,I728=""),"unrated",VLOOKUP(I728,MappingTables!$B$19:$C$31,2,FALSE))</f>
        <v>4</v>
      </c>
      <c r="K728" s="72">
        <v>2066.4565271289184</v>
      </c>
      <c r="L728" s="70">
        <v>3.3685353789140448</v>
      </c>
      <c r="M728" s="71">
        <f>IF(L728&lt;1,1,L728)</f>
        <v>3.3685353789140448</v>
      </c>
      <c r="N728" s="70" t="s">
        <v>141</v>
      </c>
      <c r="O728" s="71">
        <f>INDEX(DurClassMapping,MATCH(M728,MappingTables!$D$4:$D$8,-1),1)</f>
        <v>1</v>
      </c>
      <c r="P728" s="73">
        <f>IF(M728=$A$1,1,$M728-INDEX(MappingTables!$E$4:$E$8,MATCH(O728,MappingTables!$B$4:$B$8,0)))</f>
        <v>3.3685353789140448</v>
      </c>
      <c r="Q728" s="71">
        <f>IF(B728="",0,INDEX(ModelParameters!$D$6:$K$10,MATCH($O728,ModelParameters!$B$6:$B$10,0),MATCH($J728,ModelParameters!$D$5:$K$5,0)))</f>
        <v>0.045</v>
      </c>
      <c r="R728" s="71">
        <f>IF(B728="",0,INDEX(ModelParameters!$D$13:$K$17,MATCH($O728,ModelParameters!$B$13:$B$17,0),MATCH($J728,ModelParameters!$D$5:$K$5,0)))</f>
        <v>0</v>
      </c>
      <c r="S728" s="160">
        <f>IF(B728="",0,MIN(IF($N728="Other Bond TM",ModelParameters!$N$21,1)*(P728*Q728+R728),1))</f>
        <v>0.151584092051132</v>
      </c>
      <c r="T728" s="85">
        <f>IF(B728="",0,$S728*$K728)</f>
        <v>313.24193642797252</v>
      </c>
      <c r="U728" s="85">
        <f>IF(B728="",0,IF(OR(H728=MappingTables!$C$34,H728=MappingTables!$C$35),T728,0))</f>
        <v>0</v>
      </c>
      <c r="V728" s="85">
        <f>IF(ISNA(IF(AND(VLOOKUP(CONCATENATE($D728,$G728),CSRFinput!$B:$E,4,0)=0,OR(H728=MappingTables!$C$34,H728=MappingTables!$C$35)),1,VLOOKUP(CONCATENATE($D728,$G728),CSRFinput!$B:$E,4,0))),0,IF(AND(VLOOKUP(CONCATENATE($D728,$G728),CSRFinput!$B:$E,4,0)=0,OR(H728=MappingTables!$C$34,H728=MappingTables!$C$35)),1,VLOOKUP(CONCATENATE($D728,$G728),CSRFinput!$B:$E,4,0)))</f>
        <v>0.054776304963434752</v>
      </c>
      <c r="W728" s="85">
        <f>IF(B728="",0,+$T728*$V728)</f>
        <v>17.158235837115466</v>
      </c>
      <c r="X728" s="85">
        <f>IF(B728="",0,IF(OR(H728=MappingTables!$C$34,H728=MappingTables!$C$35),W728,0))</f>
        <v>0</v>
      </c>
    </row>
    <row r="729" spans="2:24" s="0" customFormat="0" ht="15">
      <c r="B729" s="69" t="s">
        <v>1027</v>
      </c>
      <c r="C729" s="70" t="s">
        <v>1028</v>
      </c>
      <c r="D729" s="70" t="s">
        <v>1</v>
      </c>
      <c r="E729" s="70" t="s">
        <v>1</v>
      </c>
      <c r="F729" s="70"/>
      <c r="G729" s="70" t="s">
        <v>61</v>
      </c>
      <c r="H729" s="70" t="s">
        <v>178</v>
      </c>
      <c r="I729" s="70" t="s">
        <v>220</v>
      </c>
      <c r="J729" s="71">
        <f>IF(OR(I729=0,I729=""),"unrated",VLOOKUP(I729,MappingTables!$B$19:$C$31,2,FALSE))</f>
        <v>1</v>
      </c>
      <c r="K729" s="72">
        <v>165.73335825531948</v>
      </c>
      <c r="L729" s="70">
        <v>3.0376736746930396</v>
      </c>
      <c r="M729" s="71">
        <f>IF(L729&lt;1,1,L729)</f>
        <v>3.0376736746930396</v>
      </c>
      <c r="N729" s="70" t="s">
        <v>141</v>
      </c>
      <c r="O729" s="71">
        <f>INDEX(DurClassMapping,MATCH(M729,MappingTables!$D$4:$D$8,-1),1)</f>
        <v>1</v>
      </c>
      <c r="P729" s="73">
        <f>IF(M729=$A$1,1,$M729-INDEX(MappingTables!$E$4:$E$8,MATCH(O729,MappingTables!$B$4:$B$8,0)))</f>
        <v>3.0376736746930396</v>
      </c>
      <c r="Q729" s="71">
        <f>IF(B729="",0,INDEX(ModelParameters!$D$6:$K$10,MATCH($O729,ModelParameters!$B$6:$B$10,0),MATCH($J729,ModelParameters!$D$5:$K$5,0)))</f>
        <v>0.011000000000000002</v>
      </c>
      <c r="R729" s="71">
        <f>IF(B729="",0,INDEX(ModelParameters!$D$13:$K$17,MATCH($O729,ModelParameters!$B$13:$B$17,0),MATCH($J729,ModelParameters!$D$5:$K$5,0)))</f>
        <v>0</v>
      </c>
      <c r="S729" s="160">
        <f>IF(B729="",0,MIN(IF($N729="Other Bond TM",ModelParameters!$N$21,1)*(P729*Q729+R729),1))</f>
        <v>0.033414410421623436</v>
      </c>
      <c r="T729" s="85">
        <f>IF(B729="",0,$S729*$K729)</f>
        <v>5.5378824532971976</v>
      </c>
      <c r="U729" s="85">
        <f>IF(B729="",0,IF(OR(H729=MappingTables!$C$34,H729=MappingTables!$C$35),T729,0))</f>
        <v>0</v>
      </c>
      <c r="V729" s="85">
        <f>IF(ISNA(IF(AND(VLOOKUP(CONCATENATE($D729,$G729),CSRFinput!$B:$E,4,0)=0,OR(H729=MappingTables!$C$34,H729=MappingTables!$C$35)),1,VLOOKUP(CONCATENATE($D729,$G729),CSRFinput!$B:$E,4,0))),0,IF(AND(VLOOKUP(CONCATENATE($D729,$G729),CSRFinput!$B:$E,4,0)=0,OR(H729=MappingTables!$C$34,H729=MappingTables!$C$35)),1,VLOOKUP(CONCATENATE($D729,$G729),CSRFinput!$B:$E,4,0)))</f>
        <v>0.054776304963434752</v>
      </c>
      <c r="W729" s="85">
        <f>IF(B729="",0,+$T729*$V729)</f>
        <v>0.30334473811346152</v>
      </c>
      <c r="X729" s="85">
        <f>IF(B729="",0,IF(OR(H729=MappingTables!$C$34,H729=MappingTables!$C$35),W729,0))</f>
        <v>0</v>
      </c>
    </row>
    <row r="730" spans="2:24" s="0" customFormat="0" ht="15">
      <c r="B730" s="69">
        <v>11877040</v>
      </c>
      <c r="C730" s="70" t="s">
        <v>1029</v>
      </c>
      <c r="D730" s="70" t="s">
        <v>1</v>
      </c>
      <c r="E730" s="70" t="s">
        <v>1</v>
      </c>
      <c r="F730" s="70"/>
      <c r="G730" s="70" t="s">
        <v>61</v>
      </c>
      <c r="H730" s="70" t="s">
        <v>178</v>
      </c>
      <c r="I730" s="70" t="s">
        <v>181</v>
      </c>
      <c r="J730" s="71">
        <f>IF(OR(I730=0,I730=""),"unrated",VLOOKUP(I730,MappingTables!$B$19:$C$31,2,FALSE))</f>
        <v>3</v>
      </c>
      <c r="K730" s="72">
        <v>2013.1024645164064</v>
      </c>
      <c r="L730" s="70">
        <v>0.5613841024348888</v>
      </c>
      <c r="M730" s="71">
        <f>IF(L730&lt;1,1,L730)</f>
        <v>1</v>
      </c>
      <c r="N730" s="70" t="s">
        <v>141</v>
      </c>
      <c r="O730" s="71">
        <f>INDEX(DurClassMapping,MATCH(M730,MappingTables!$D$4:$D$8,-1),1)</f>
        <v>1</v>
      </c>
      <c r="P730" s="73">
        <f>IF(M730=$A$1,1,$M730-INDEX(MappingTables!$E$4:$E$8,MATCH(O730,MappingTables!$B$4:$B$8,0)))</f>
        <v>1</v>
      </c>
      <c r="Q730" s="71">
        <f>IF(B730="",0,INDEX(ModelParameters!$D$6:$K$10,MATCH($O730,ModelParameters!$B$6:$B$10,0),MATCH($J730,ModelParameters!$D$5:$K$5,0)))</f>
        <v>0.025</v>
      </c>
      <c r="R730" s="71">
        <f>IF(B730="",0,INDEX(ModelParameters!$D$13:$K$17,MATCH($O730,ModelParameters!$B$13:$B$17,0),MATCH($J730,ModelParameters!$D$5:$K$5,0)))</f>
        <v>0</v>
      </c>
      <c r="S730" s="160">
        <f>IF(B730="",0,MIN(IF($N730="Other Bond TM",ModelParameters!$N$21,1)*(P730*Q730+R730),1))</f>
        <v>0.025</v>
      </c>
      <c r="T730" s="85">
        <f>IF(B730="",0,$S730*$K730)</f>
        <v>50.32756161291016</v>
      </c>
      <c r="U730" s="85">
        <f>IF(B730="",0,IF(OR(H730=MappingTables!$C$34,H730=MappingTables!$C$35),T730,0))</f>
        <v>0</v>
      </c>
      <c r="V730" s="85">
        <f>IF(ISNA(IF(AND(VLOOKUP(CONCATENATE($D730,$G730),CSRFinput!$B:$E,4,0)=0,OR(H730=MappingTables!$C$34,H730=MappingTables!$C$35)),1,VLOOKUP(CONCATENATE($D730,$G730),CSRFinput!$B:$E,4,0))),0,IF(AND(VLOOKUP(CONCATENATE($D730,$G730),CSRFinput!$B:$E,4,0)=0,OR(H730=MappingTables!$C$34,H730=MappingTables!$C$35)),1,VLOOKUP(CONCATENATE($D730,$G730),CSRFinput!$B:$E,4,0)))</f>
        <v>0.054776304963434752</v>
      </c>
      <c r="W730" s="85">
        <f>IF(B730="",0,+$T730*$V730)</f>
        <v>2.7567578629748192</v>
      </c>
      <c r="X730" s="85">
        <f>IF(B730="",0,IF(OR(H730=MappingTables!$C$34,H730=MappingTables!$C$35),W730,0))</f>
        <v>0</v>
      </c>
    </row>
    <row r="731" spans="2:24" s="0" customFormat="0" ht="15">
      <c r="B731" s="69">
        <v>20173120</v>
      </c>
      <c r="C731" s="70" t="s">
        <v>378</v>
      </c>
      <c r="D731" s="70" t="s">
        <v>1</v>
      </c>
      <c r="E731" s="70" t="s">
        <v>1</v>
      </c>
      <c r="F731" s="70"/>
      <c r="G731" s="70" t="s">
        <v>61</v>
      </c>
      <c r="H731" s="70" t="s">
        <v>178</v>
      </c>
      <c r="I731" s="70" t="s">
        <v>188</v>
      </c>
      <c r="J731" s="71">
        <f>IF(OR(I731=0,I731=""),"unrated",VLOOKUP(I731,MappingTables!$B$19:$C$31,2,FALSE))</f>
        <v>2</v>
      </c>
      <c r="K731" s="72">
        <v>1027.2099929325428</v>
      </c>
      <c r="L731" s="70">
        <v>3.3193805906117996</v>
      </c>
      <c r="M731" s="71">
        <f>IF(L731&lt;1,1,L731)</f>
        <v>3.3193805906117996</v>
      </c>
      <c r="N731" s="70" t="s">
        <v>141</v>
      </c>
      <c r="O731" s="71">
        <f>INDEX(DurClassMapping,MATCH(M731,MappingTables!$D$4:$D$8,-1),1)</f>
        <v>1</v>
      </c>
      <c r="P731" s="73">
        <f>IF(M731=$A$1,1,$M731-INDEX(MappingTables!$E$4:$E$8,MATCH(O731,MappingTables!$B$4:$B$8,0)))</f>
        <v>3.3193805906117996</v>
      </c>
      <c r="Q731" s="71">
        <f>IF(B731="",0,INDEX(ModelParameters!$D$6:$K$10,MATCH($O731,ModelParameters!$B$6:$B$10,0),MATCH($J731,ModelParameters!$D$5:$K$5,0)))</f>
        <v>0.013999999999999998</v>
      </c>
      <c r="R731" s="71">
        <f>IF(B731="",0,INDEX(ModelParameters!$D$13:$K$17,MATCH($O731,ModelParameters!$B$13:$B$17,0),MATCH($J731,ModelParameters!$D$5:$K$5,0)))</f>
        <v>0</v>
      </c>
      <c r="S731" s="160">
        <f>IF(B731="",0,MIN(IF($N731="Other Bond TM",ModelParameters!$N$21,1)*(P731*Q731+R731),1))</f>
        <v>0.046471328268565192</v>
      </c>
      <c r="T731" s="85">
        <f>IF(B731="",0,$S731*$K731)</f>
        <v>47.735812782318728</v>
      </c>
      <c r="U731" s="85">
        <f>IF(B731="",0,IF(OR(H731=MappingTables!$C$34,H731=MappingTables!$C$35),T731,0))</f>
        <v>0</v>
      </c>
      <c r="V731" s="85">
        <f>IF(ISNA(IF(AND(VLOOKUP(CONCATENATE($D731,$G731),CSRFinput!$B:$E,4,0)=0,OR(H731=MappingTables!$C$34,H731=MappingTables!$C$35)),1,VLOOKUP(CONCATENATE($D731,$G731),CSRFinput!$B:$E,4,0))),0,IF(AND(VLOOKUP(CONCATENATE($D731,$G731),CSRFinput!$B:$E,4,0)=0,OR(H731=MappingTables!$C$34,H731=MappingTables!$C$35)),1,VLOOKUP(CONCATENATE($D731,$G731),CSRFinput!$B:$E,4,0)))</f>
        <v>0.054776304963434752</v>
      </c>
      <c r="W731" s="85">
        <f>IF(B731="",0,+$T731*$V731)</f>
        <v>2.6147914386417176</v>
      </c>
      <c r="X731" s="85">
        <f>IF(B731="",0,IF(OR(H731=MappingTables!$C$34,H731=MappingTables!$C$35),W731,0))</f>
        <v>0</v>
      </c>
    </row>
    <row r="732" spans="2:24" s="0" customFormat="0" ht="15">
      <c r="B732" s="69">
        <v>13412749</v>
      </c>
      <c r="C732" s="70" t="s">
        <v>1030</v>
      </c>
      <c r="D732" s="70" t="s">
        <v>1</v>
      </c>
      <c r="E732" s="70" t="s">
        <v>1</v>
      </c>
      <c r="F732" s="70"/>
      <c r="G732" s="70" t="s">
        <v>61</v>
      </c>
      <c r="H732" s="70" t="s">
        <v>178</v>
      </c>
      <c r="I732" s="70" t="s">
        <v>181</v>
      </c>
      <c r="J732" s="71">
        <f>IF(OR(I732=0,I732=""),"unrated",VLOOKUP(I732,MappingTables!$B$19:$C$31,2,FALSE))</f>
        <v>3</v>
      </c>
      <c r="K732" s="72">
        <v>324.03216622696836</v>
      </c>
      <c r="L732" s="70">
        <v>1.1883051778273106</v>
      </c>
      <c r="M732" s="71">
        <f>IF(L732&lt;1,1,L732)</f>
        <v>1.1883051778273106</v>
      </c>
      <c r="N732" s="70" t="s">
        <v>141</v>
      </c>
      <c r="O732" s="71">
        <f>INDEX(DurClassMapping,MATCH(M732,MappingTables!$D$4:$D$8,-1),1)</f>
        <v>1</v>
      </c>
      <c r="P732" s="73">
        <f>IF(M732=$A$1,1,$M732-INDEX(MappingTables!$E$4:$E$8,MATCH(O732,MappingTables!$B$4:$B$8,0)))</f>
        <v>1.1883051778273106</v>
      </c>
      <c r="Q732" s="71">
        <f>IF(B732="",0,INDEX(ModelParameters!$D$6:$K$10,MATCH($O732,ModelParameters!$B$6:$B$10,0),MATCH($J732,ModelParameters!$D$5:$K$5,0)))</f>
        <v>0.025</v>
      </c>
      <c r="R732" s="71">
        <f>IF(B732="",0,INDEX(ModelParameters!$D$13:$K$17,MATCH($O732,ModelParameters!$B$13:$B$17,0),MATCH($J732,ModelParameters!$D$5:$K$5,0)))</f>
        <v>0</v>
      </c>
      <c r="S732" s="160">
        <f>IF(B732="",0,MIN(IF($N732="Other Bond TM",ModelParameters!$N$21,1)*(P732*Q732+R732),1))</f>
        <v>0.029707629445682768</v>
      </c>
      <c r="T732" s="85">
        <f>IF(B732="",0,$S732*$K732)</f>
        <v>9.6262275227526576</v>
      </c>
      <c r="U732" s="85">
        <f>IF(B732="",0,IF(OR(H732=MappingTables!$C$34,H732=MappingTables!$C$35),T732,0))</f>
        <v>0</v>
      </c>
      <c r="V732" s="85">
        <f>IF(ISNA(IF(AND(VLOOKUP(CONCATENATE($D732,$G732),CSRFinput!$B:$E,4,0)=0,OR(H732=MappingTables!$C$34,H732=MappingTables!$C$35)),1,VLOOKUP(CONCATENATE($D732,$G732),CSRFinput!$B:$E,4,0))),0,IF(AND(VLOOKUP(CONCATENATE($D732,$G732),CSRFinput!$B:$E,4,0)=0,OR(H732=MappingTables!$C$34,H732=MappingTables!$C$35)),1,VLOOKUP(CONCATENATE($D732,$G732),CSRFinput!$B:$E,4,0)))</f>
        <v>0.054776304963434752</v>
      </c>
      <c r="W732" s="85">
        <f>IF(B732="",0,+$T732*$V732)</f>
        <v>0.52728917443370856</v>
      </c>
      <c r="X732" s="85">
        <f>IF(B732="",0,IF(OR(H732=MappingTables!$C$34,H732=MappingTables!$C$35),W732,0))</f>
        <v>0</v>
      </c>
    </row>
    <row r="733" spans="2:24" s="0" customFormat="0" ht="15">
      <c r="B733" s="69">
        <v>18916366</v>
      </c>
      <c r="C733" s="70" t="s">
        <v>1031</v>
      </c>
      <c r="D733" s="70" t="s">
        <v>1</v>
      </c>
      <c r="E733" s="70" t="s">
        <v>1</v>
      </c>
      <c r="F733" s="70"/>
      <c r="G733" s="70" t="s">
        <v>61</v>
      </c>
      <c r="H733" s="70" t="s">
        <v>178</v>
      </c>
      <c r="I733" s="70" t="s">
        <v>179</v>
      </c>
      <c r="J733" s="71">
        <f>IF(OR(I733=0,I733=""),"unrated",VLOOKUP(I733,MappingTables!$B$19:$C$31,2,FALSE))</f>
        <v>4</v>
      </c>
      <c r="K733" s="72">
        <v>2377.7475351745984</v>
      </c>
      <c r="L733" s="70">
        <v>6.8754345383071544</v>
      </c>
      <c r="M733" s="71">
        <f>IF(L733&lt;1,1,L733)</f>
        <v>6.8754345383071544</v>
      </c>
      <c r="N733" s="70" t="s">
        <v>141</v>
      </c>
      <c r="O733" s="71">
        <f>INDEX(DurClassMapping,MATCH(M733,MappingTables!$D$4:$D$8,-1),1)</f>
        <v>2</v>
      </c>
      <c r="P733" s="73">
        <f>IF(M733=$A$1,1,$M733-INDEX(MappingTables!$E$4:$E$8,MATCH(O733,MappingTables!$B$4:$B$8,0)))</f>
        <v>1.8754345383071548</v>
      </c>
      <c r="Q733" s="71">
        <f>IF(B733="",0,INDEX(ModelParameters!$D$6:$K$10,MATCH($O733,ModelParameters!$B$6:$B$10,0),MATCH($J733,ModelParameters!$D$5:$K$5,0)))</f>
        <v>0.025</v>
      </c>
      <c r="R733" s="71">
        <f>IF(B733="",0,INDEX(ModelParameters!$D$13:$K$17,MATCH($O733,ModelParameters!$B$13:$B$17,0),MATCH($J733,ModelParameters!$D$5:$K$5,0)))</f>
        <v>0.225</v>
      </c>
      <c r="S733" s="160">
        <f>IF(B733="",0,MIN(IF($N733="Other Bond TM",ModelParameters!$N$21,1)*(P733*Q733+R733),1))</f>
        <v>0.27188586345767884</v>
      </c>
      <c r="T733" s="85">
        <f>IF(B733="",0,$S733*$K733)</f>
        <v>646.47594168531328</v>
      </c>
      <c r="U733" s="85">
        <f>IF(B733="",0,IF(OR(H733=MappingTables!$C$34,H733=MappingTables!$C$35),T733,0))</f>
        <v>0</v>
      </c>
      <c r="V733" s="85">
        <f>IF(ISNA(IF(AND(VLOOKUP(CONCATENATE($D733,$G733),CSRFinput!$B:$E,4,0)=0,OR(H733=MappingTables!$C$34,H733=MappingTables!$C$35)),1,VLOOKUP(CONCATENATE($D733,$G733),CSRFinput!$B:$E,4,0))),0,IF(AND(VLOOKUP(CONCATENATE($D733,$G733),CSRFinput!$B:$E,4,0)=0,OR(H733=MappingTables!$C$34,H733=MappingTables!$C$35)),1,VLOOKUP(CONCATENATE($D733,$G733),CSRFinput!$B:$E,4,0)))</f>
        <v>0.054776304963434752</v>
      </c>
      <c r="W733" s="85">
        <f>IF(B733="",0,+$T733*$V733)</f>
        <v>35.41156333327838</v>
      </c>
      <c r="X733" s="85">
        <f>IF(B733="",0,IF(OR(H733=MappingTables!$C$34,H733=MappingTables!$C$35),W733,0))</f>
        <v>0</v>
      </c>
    </row>
    <row r="734" spans="2:24" s="0" customFormat="0" ht="15">
      <c r="B734" s="69">
        <v>12606189</v>
      </c>
      <c r="C734" s="70" t="s">
        <v>1032</v>
      </c>
      <c r="D734" s="70" t="s">
        <v>1</v>
      </c>
      <c r="E734" s="70" t="s">
        <v>1</v>
      </c>
      <c r="F734" s="70"/>
      <c r="G734" s="70" t="s">
        <v>61</v>
      </c>
      <c r="H734" s="70" t="s">
        <v>178</v>
      </c>
      <c r="I734" s="70" t="s">
        <v>198</v>
      </c>
      <c r="J734" s="71" t="str">
        <f>IF(OR(I734=0,I734=""),"unrated",VLOOKUP(I734,MappingTables!$B$19:$C$31,2,FALSE))</f>
        <v>unrated</v>
      </c>
      <c r="K734" s="72">
        <v>635.79547891229208</v>
      </c>
      <c r="L734" s="70">
        <v>0.087669643704975632</v>
      </c>
      <c r="M734" s="71">
        <f>IF(L734&lt;1,1,L734)</f>
        <v>1</v>
      </c>
      <c r="N734" s="70" t="s">
        <v>141</v>
      </c>
      <c r="O734" s="71">
        <f>INDEX(DurClassMapping,MATCH(M734,MappingTables!$D$4:$D$8,-1),1)</f>
        <v>1</v>
      </c>
      <c r="P734" s="73">
        <f>IF(M734=$A$1,1,$M734-INDEX(MappingTables!$E$4:$E$8,MATCH(O734,MappingTables!$B$4:$B$8,0)))</f>
        <v>1</v>
      </c>
      <c r="Q734" s="71">
        <f>IF(B734="",0,INDEX(ModelParameters!$D$6:$K$10,MATCH($O734,ModelParameters!$B$6:$B$10,0),MATCH($J734,ModelParameters!$D$5:$K$5,0)))</f>
        <v>0.03</v>
      </c>
      <c r="R734" s="71">
        <f>IF(B734="",0,INDEX(ModelParameters!$D$13:$K$17,MATCH($O734,ModelParameters!$B$13:$B$17,0),MATCH($J734,ModelParameters!$D$5:$K$5,0)))</f>
        <v>0</v>
      </c>
      <c r="S734" s="160">
        <f>IF(B734="",0,MIN(IF($N734="Other Bond TM",ModelParameters!$N$21,1)*(P734*Q734+R734),1))</f>
        <v>0.03</v>
      </c>
      <c r="T734" s="85">
        <f>IF(B734="",0,$S734*$K734)</f>
        <v>19.073864367368764</v>
      </c>
      <c r="U734" s="85">
        <f>IF(B734="",0,IF(OR(H734=MappingTables!$C$34,H734=MappingTables!$C$35),T734,0))</f>
        <v>0</v>
      </c>
      <c r="V734" s="85">
        <f>IF(ISNA(IF(AND(VLOOKUP(CONCATENATE($D734,$G734),CSRFinput!$B:$E,4,0)=0,OR(H734=MappingTables!$C$34,H734=MappingTables!$C$35)),1,VLOOKUP(CONCATENATE($D734,$G734),CSRFinput!$B:$E,4,0))),0,IF(AND(VLOOKUP(CONCATENATE($D734,$G734),CSRFinput!$B:$E,4,0)=0,OR(H734=MappingTables!$C$34,H734=MappingTables!$C$35)),1,VLOOKUP(CONCATENATE($D734,$G734),CSRFinput!$B:$E,4,0)))</f>
        <v>0.054776304963434752</v>
      </c>
      <c r="W734" s="85">
        <f>IF(B734="",0,+$T734*$V734)</f>
        <v>1.0447958114181828</v>
      </c>
      <c r="X734" s="85">
        <f>IF(B734="",0,IF(OR(H734=MappingTables!$C$34,H734=MappingTables!$C$35),W734,0))</f>
        <v>0</v>
      </c>
    </row>
    <row r="735" spans="2:24" s="0" customFormat="0" ht="15">
      <c r="B735" s="69">
        <v>6839913</v>
      </c>
      <c r="C735" s="70" t="s">
        <v>345</v>
      </c>
      <c r="D735" s="70" t="s">
        <v>1</v>
      </c>
      <c r="E735" s="70" t="s">
        <v>1</v>
      </c>
      <c r="F735" s="70"/>
      <c r="G735" s="70" t="s">
        <v>61</v>
      </c>
      <c r="H735" s="70" t="s">
        <v>178</v>
      </c>
      <c r="I735" s="70" t="s">
        <v>181</v>
      </c>
      <c r="J735" s="71">
        <f>IF(OR(I735=0,I735=""),"unrated",VLOOKUP(I735,MappingTables!$B$19:$C$31,2,FALSE))</f>
        <v>3</v>
      </c>
      <c r="K735" s="72">
        <v>3.5865399930022428</v>
      </c>
      <c r="L735" s="70">
        <v>0.0794533251609916</v>
      </c>
      <c r="M735" s="71">
        <f>IF(L735&lt;1,1,L735)</f>
        <v>1</v>
      </c>
      <c r="N735" s="70" t="s">
        <v>141</v>
      </c>
      <c r="O735" s="71">
        <f>INDEX(DurClassMapping,MATCH(M735,MappingTables!$D$4:$D$8,-1),1)</f>
        <v>1</v>
      </c>
      <c r="P735" s="73">
        <f>IF(M735=$A$1,1,$M735-INDEX(MappingTables!$E$4:$E$8,MATCH(O735,MappingTables!$B$4:$B$8,0)))</f>
        <v>1</v>
      </c>
      <c r="Q735" s="71">
        <f>IF(B735="",0,INDEX(ModelParameters!$D$6:$K$10,MATCH($O735,ModelParameters!$B$6:$B$10,0),MATCH($J735,ModelParameters!$D$5:$K$5,0)))</f>
        <v>0.025</v>
      </c>
      <c r="R735" s="71">
        <f>IF(B735="",0,INDEX(ModelParameters!$D$13:$K$17,MATCH($O735,ModelParameters!$B$13:$B$17,0),MATCH($J735,ModelParameters!$D$5:$K$5,0)))</f>
        <v>0</v>
      </c>
      <c r="S735" s="160">
        <f>IF(B735="",0,MIN(IF($N735="Other Bond TM",ModelParameters!$N$21,1)*(P735*Q735+R735),1))</f>
        <v>0.025</v>
      </c>
      <c r="T735" s="85">
        <f>IF(B735="",0,$S735*$K735)</f>
        <v>0.08966349982505608</v>
      </c>
      <c r="U735" s="85">
        <f>IF(B735="",0,IF(OR(H735=MappingTables!$C$34,H735=MappingTables!$C$35),T735,0))</f>
        <v>0</v>
      </c>
      <c r="V735" s="85">
        <f>IF(ISNA(IF(AND(VLOOKUP(CONCATENATE($D735,$G735),CSRFinput!$B:$E,4,0)=0,OR(H735=MappingTables!$C$34,H735=MappingTables!$C$35)),1,VLOOKUP(CONCATENATE($D735,$G735),CSRFinput!$B:$E,4,0))),0,IF(AND(VLOOKUP(CONCATENATE($D735,$G735),CSRFinput!$B:$E,4,0)=0,OR(H735=MappingTables!$C$34,H735=MappingTables!$C$35)),1,VLOOKUP(CONCATENATE($D735,$G735),CSRFinput!$B:$E,4,0)))</f>
        <v>0.054776304963434752</v>
      </c>
      <c r="W735" s="85">
        <f>IF(B735="",0,+$T735*$V735)</f>
        <v>0.0049114352105061504</v>
      </c>
      <c r="X735" s="85">
        <f>IF(B735="",0,IF(OR(H735=MappingTables!$C$34,H735=MappingTables!$C$35),W735,0))</f>
        <v>0</v>
      </c>
    </row>
    <row r="736" spans="2:24" s="0" customFormat="0" ht="15">
      <c r="B736" s="69">
        <v>7323825</v>
      </c>
      <c r="C736" s="70" t="s">
        <v>1033</v>
      </c>
      <c r="D736" s="70" t="s">
        <v>1</v>
      </c>
      <c r="E736" s="70" t="s">
        <v>1</v>
      </c>
      <c r="F736" s="70"/>
      <c r="G736" s="70" t="s">
        <v>61</v>
      </c>
      <c r="H736" s="70" t="s">
        <v>178</v>
      </c>
      <c r="I736" s="70" t="s">
        <v>181</v>
      </c>
      <c r="J736" s="71">
        <f>IF(OR(I736=0,I736=""),"unrated",VLOOKUP(I736,MappingTables!$B$19:$C$31,2,FALSE))</f>
        <v>3</v>
      </c>
      <c r="K736" s="72">
        <v>27382.0754002618</v>
      </c>
      <c r="L736" s="70">
        <v>0.73873981029914544</v>
      </c>
      <c r="M736" s="71">
        <f>IF(L736&lt;1,1,L736)</f>
        <v>1</v>
      </c>
      <c r="N736" s="70" t="s">
        <v>141</v>
      </c>
      <c r="O736" s="71">
        <f>INDEX(DurClassMapping,MATCH(M736,MappingTables!$D$4:$D$8,-1),1)</f>
        <v>1</v>
      </c>
      <c r="P736" s="73">
        <f>IF(M736=$A$1,1,$M736-INDEX(MappingTables!$E$4:$E$8,MATCH(O736,MappingTables!$B$4:$B$8,0)))</f>
        <v>1</v>
      </c>
      <c r="Q736" s="71">
        <f>IF(B736="",0,INDEX(ModelParameters!$D$6:$K$10,MATCH($O736,ModelParameters!$B$6:$B$10,0),MATCH($J736,ModelParameters!$D$5:$K$5,0)))</f>
        <v>0.025</v>
      </c>
      <c r="R736" s="71">
        <f>IF(B736="",0,INDEX(ModelParameters!$D$13:$K$17,MATCH($O736,ModelParameters!$B$13:$B$17,0),MATCH($J736,ModelParameters!$D$5:$K$5,0)))</f>
        <v>0</v>
      </c>
      <c r="S736" s="160">
        <f>IF(B736="",0,MIN(IF($N736="Other Bond TM",ModelParameters!$N$21,1)*(P736*Q736+R736),1))</f>
        <v>0.025</v>
      </c>
      <c r="T736" s="85">
        <f>IF(B736="",0,$S736*$K736)</f>
        <v>684.55188500654504</v>
      </c>
      <c r="U736" s="85">
        <f>IF(B736="",0,IF(OR(H736=MappingTables!$C$34,H736=MappingTables!$C$35),T736,0))</f>
        <v>0</v>
      </c>
      <c r="V736" s="85">
        <f>IF(ISNA(IF(AND(VLOOKUP(CONCATENATE($D736,$G736),CSRFinput!$B:$E,4,0)=0,OR(H736=MappingTables!$C$34,H736=MappingTables!$C$35)),1,VLOOKUP(CONCATENATE($D736,$G736),CSRFinput!$B:$E,4,0))),0,IF(AND(VLOOKUP(CONCATENATE($D736,$G736),CSRFinput!$B:$E,4,0)=0,OR(H736=MappingTables!$C$34,H736=MappingTables!$C$35)),1,VLOOKUP(CONCATENATE($D736,$G736),CSRFinput!$B:$E,4,0)))</f>
        <v>0.054776304963434752</v>
      </c>
      <c r="W736" s="85">
        <f>IF(B736="",0,+$T736*$V736)</f>
        <v>37.497222816412632</v>
      </c>
      <c r="X736" s="85">
        <f>IF(B736="",0,IF(OR(H736=MappingTables!$C$34,H736=MappingTables!$C$35),W736,0))</f>
        <v>0</v>
      </c>
    </row>
    <row r="737" spans="2:24" s="0" customFormat="0" ht="15">
      <c r="B737" s="69">
        <v>14683362</v>
      </c>
      <c r="C737" s="70" t="s">
        <v>1034</v>
      </c>
      <c r="D737" s="70" t="s">
        <v>1</v>
      </c>
      <c r="E737" s="70" t="s">
        <v>1</v>
      </c>
      <c r="F737" s="70"/>
      <c r="G737" s="70" t="s">
        <v>61</v>
      </c>
      <c r="H737" s="70" t="s">
        <v>178</v>
      </c>
      <c r="I737" s="70" t="s">
        <v>181</v>
      </c>
      <c r="J737" s="71">
        <f>IF(OR(I737=0,I737=""),"unrated",VLOOKUP(I737,MappingTables!$B$19:$C$31,2,FALSE))</f>
        <v>3</v>
      </c>
      <c r="K737" s="72">
        <v>3980.931629714348</v>
      </c>
      <c r="L737" s="70">
        <v>3.3778104336564576</v>
      </c>
      <c r="M737" s="71">
        <f>IF(L737&lt;1,1,L737)</f>
        <v>3.3778104336564576</v>
      </c>
      <c r="N737" s="70" t="s">
        <v>141</v>
      </c>
      <c r="O737" s="71">
        <f>INDEX(DurClassMapping,MATCH(M737,MappingTables!$D$4:$D$8,-1),1)</f>
        <v>1</v>
      </c>
      <c r="P737" s="73">
        <f>IF(M737=$A$1,1,$M737-INDEX(MappingTables!$E$4:$E$8,MATCH(O737,MappingTables!$B$4:$B$8,0)))</f>
        <v>3.3778104336564576</v>
      </c>
      <c r="Q737" s="71">
        <f>IF(B737="",0,INDEX(ModelParameters!$D$6:$K$10,MATCH($O737,ModelParameters!$B$6:$B$10,0),MATCH($J737,ModelParameters!$D$5:$K$5,0)))</f>
        <v>0.025</v>
      </c>
      <c r="R737" s="71">
        <f>IF(B737="",0,INDEX(ModelParameters!$D$13:$K$17,MATCH($O737,ModelParameters!$B$13:$B$17,0),MATCH($J737,ModelParameters!$D$5:$K$5,0)))</f>
        <v>0</v>
      </c>
      <c r="S737" s="160">
        <f>IF(B737="",0,MIN(IF($N737="Other Bond TM",ModelParameters!$N$21,1)*(P737*Q737+R737),1))</f>
        <v>0.084445260841411456</v>
      </c>
      <c r="T737" s="85">
        <f>IF(B737="",0,$S737*$K737)</f>
        <v>336.17080986305324</v>
      </c>
      <c r="U737" s="85">
        <f>IF(B737="",0,IF(OR(H737=MappingTables!$C$34,H737=MappingTables!$C$35),T737,0))</f>
        <v>0</v>
      </c>
      <c r="V737" s="85">
        <f>IF(ISNA(IF(AND(VLOOKUP(CONCATENATE($D737,$G737),CSRFinput!$B:$E,4,0)=0,OR(H737=MappingTables!$C$34,H737=MappingTables!$C$35)),1,VLOOKUP(CONCATENATE($D737,$G737),CSRFinput!$B:$E,4,0))),0,IF(AND(VLOOKUP(CONCATENATE($D737,$G737),CSRFinput!$B:$E,4,0)=0,OR(H737=MappingTables!$C$34,H737=MappingTables!$C$35)),1,VLOOKUP(CONCATENATE($D737,$G737),CSRFinput!$B:$E,4,0)))</f>
        <v>0.054776304963434752</v>
      </c>
      <c r="W737" s="85">
        <f>IF(B737="",0,+$T737*$V737)</f>
        <v>18.414194800863444</v>
      </c>
      <c r="X737" s="85">
        <f>IF(B737="",0,IF(OR(H737=MappingTables!$C$34,H737=MappingTables!$C$35),W737,0))</f>
        <v>0</v>
      </c>
    </row>
    <row r="738" spans="2:24" s="0" customFormat="0" ht="15">
      <c r="B738" s="69">
        <v>21860320</v>
      </c>
      <c r="C738" s="70" t="s">
        <v>1035</v>
      </c>
      <c r="D738" s="70" t="s">
        <v>1</v>
      </c>
      <c r="E738" s="70" t="s">
        <v>1</v>
      </c>
      <c r="F738" s="70"/>
      <c r="G738" s="70" t="s">
        <v>61</v>
      </c>
      <c r="H738" s="70" t="s">
        <v>178</v>
      </c>
      <c r="I738" s="70" t="s">
        <v>181</v>
      </c>
      <c r="J738" s="71">
        <f>IF(OR(I738=0,I738=""),"unrated",VLOOKUP(I738,MappingTables!$B$19:$C$31,2,FALSE))</f>
        <v>3</v>
      </c>
      <c r="K738" s="72">
        <v>15.882714856585382</v>
      </c>
      <c r="L738" s="70">
        <v>1.9403171800170404</v>
      </c>
      <c r="M738" s="71">
        <f>IF(L738&lt;1,1,L738)</f>
        <v>1.9403171800170404</v>
      </c>
      <c r="N738" s="70" t="s">
        <v>141</v>
      </c>
      <c r="O738" s="71">
        <f>INDEX(DurClassMapping,MATCH(M738,MappingTables!$D$4:$D$8,-1),1)</f>
        <v>1</v>
      </c>
      <c r="P738" s="73">
        <f>IF(M738=$A$1,1,$M738-INDEX(MappingTables!$E$4:$E$8,MATCH(O738,MappingTables!$B$4:$B$8,0)))</f>
        <v>1.9403171800170404</v>
      </c>
      <c r="Q738" s="71">
        <f>IF(B738="",0,INDEX(ModelParameters!$D$6:$K$10,MATCH($O738,ModelParameters!$B$6:$B$10,0),MATCH($J738,ModelParameters!$D$5:$K$5,0)))</f>
        <v>0.025</v>
      </c>
      <c r="R738" s="71">
        <f>IF(B738="",0,INDEX(ModelParameters!$D$13:$K$17,MATCH($O738,ModelParameters!$B$13:$B$17,0),MATCH($J738,ModelParameters!$D$5:$K$5,0)))</f>
        <v>0</v>
      </c>
      <c r="S738" s="160">
        <f>IF(B738="",0,MIN(IF($N738="Other Bond TM",ModelParameters!$N$21,1)*(P738*Q738+R738),1))</f>
        <v>0.048507929500426008</v>
      </c>
      <c r="T738" s="85">
        <f>IF(B738="",0,$S738*$K738)</f>
        <v>0.77043761253861248</v>
      </c>
      <c r="U738" s="85">
        <f>IF(B738="",0,IF(OR(H738=MappingTables!$C$34,H738=MappingTables!$C$35),T738,0))</f>
        <v>0</v>
      </c>
      <c r="V738" s="85">
        <f>IF(ISNA(IF(AND(VLOOKUP(CONCATENATE($D738,$G738),CSRFinput!$B:$E,4,0)=0,OR(H738=MappingTables!$C$34,H738=MappingTables!$C$35)),1,VLOOKUP(CONCATENATE($D738,$G738),CSRFinput!$B:$E,4,0))),0,IF(AND(VLOOKUP(CONCATENATE($D738,$G738),CSRFinput!$B:$E,4,0)=0,OR(H738=MappingTables!$C$34,H738=MappingTables!$C$35)),1,VLOOKUP(CONCATENATE($D738,$G738),CSRFinput!$B:$E,4,0)))</f>
        <v>0.054776304963434752</v>
      </c>
      <c r="W738" s="85">
        <f>IF(B738="",0,+$T738*$V738)</f>
        <v>0.042201725619715624</v>
      </c>
      <c r="X738" s="85">
        <f>IF(B738="",0,IF(OR(H738=MappingTables!$C$34,H738=MappingTables!$C$35),W738,0))</f>
        <v>0</v>
      </c>
    </row>
    <row r="739" spans="2:24" s="0" customFormat="0" ht="15">
      <c r="B739" s="69">
        <v>18929325</v>
      </c>
      <c r="C739" s="70" t="s">
        <v>771</v>
      </c>
      <c r="D739" s="70" t="s">
        <v>1</v>
      </c>
      <c r="E739" s="70" t="s">
        <v>1</v>
      </c>
      <c r="F739" s="70"/>
      <c r="G739" s="70" t="s">
        <v>61</v>
      </c>
      <c r="H739" s="70" t="s">
        <v>178</v>
      </c>
      <c r="I739" s="70" t="s">
        <v>181</v>
      </c>
      <c r="J739" s="71">
        <f>IF(OR(I739=0,I739=""),"unrated",VLOOKUP(I739,MappingTables!$B$19:$C$31,2,FALSE))</f>
        <v>3</v>
      </c>
      <c r="K739" s="72">
        <v>5767.5267479930232</v>
      </c>
      <c r="L739" s="70">
        <v>6.0657783121660864</v>
      </c>
      <c r="M739" s="71">
        <f>IF(L739&lt;1,1,L739)</f>
        <v>6.0657783121660864</v>
      </c>
      <c r="N739" s="70" t="s">
        <v>141</v>
      </c>
      <c r="O739" s="71">
        <f>INDEX(DurClassMapping,MATCH(M739,MappingTables!$D$4:$D$8,-1),1)</f>
        <v>2</v>
      </c>
      <c r="P739" s="73">
        <f>IF(M739=$A$1,1,$M739-INDEX(MappingTables!$E$4:$E$8,MATCH(O739,MappingTables!$B$4:$B$8,0)))</f>
        <v>1.0657783121660866</v>
      </c>
      <c r="Q739" s="71">
        <f>IF(B739="",0,INDEX(ModelParameters!$D$6:$K$10,MATCH($O739,ModelParameters!$B$6:$B$10,0),MATCH($J739,ModelParameters!$D$5:$K$5,0)))</f>
        <v>0.015</v>
      </c>
      <c r="R739" s="71">
        <f>IF(B739="",0,INDEX(ModelParameters!$D$13:$K$17,MATCH($O739,ModelParameters!$B$13:$B$17,0),MATCH($J739,ModelParameters!$D$5:$K$5,0)))</f>
        <v>0.125</v>
      </c>
      <c r="S739" s="160">
        <f>IF(B739="",0,MIN(IF($N739="Other Bond TM",ModelParameters!$N$21,1)*(P739*Q739+R739),1))</f>
        <v>0.1409866746824913</v>
      </c>
      <c r="T739" s="85">
        <f>IF(B739="",0,$S739*$K739)</f>
        <v>813.14441734185936</v>
      </c>
      <c r="U739" s="85">
        <f>IF(B739="",0,IF(OR(H739=MappingTables!$C$34,H739=MappingTables!$C$35),T739,0))</f>
        <v>0</v>
      </c>
      <c r="V739" s="85">
        <f>IF(ISNA(IF(AND(VLOOKUP(CONCATENATE($D739,$G739),CSRFinput!$B:$E,4,0)=0,OR(H739=MappingTables!$C$34,H739=MappingTables!$C$35)),1,VLOOKUP(CONCATENATE($D739,$G739),CSRFinput!$B:$E,4,0))),0,IF(AND(VLOOKUP(CONCATENATE($D739,$G739),CSRFinput!$B:$E,4,0)=0,OR(H739=MappingTables!$C$34,H739=MappingTables!$C$35)),1,VLOOKUP(CONCATENATE($D739,$G739),CSRFinput!$B:$E,4,0)))</f>
        <v>0.054776304963434752</v>
      </c>
      <c r="W739" s="85">
        <f>IF(B739="",0,+$T739*$V739)</f>
        <v>44.541046583632152</v>
      </c>
      <c r="X739" s="85">
        <f>IF(B739="",0,IF(OR(H739=MappingTables!$C$34,H739=MappingTables!$C$35),W739,0))</f>
        <v>0</v>
      </c>
    </row>
    <row r="740" spans="2:24" s="0" customFormat="0" ht="15">
      <c r="B740" s="69" t="s">
        <v>1036</v>
      </c>
      <c r="C740" s="70" t="s">
        <v>1037</v>
      </c>
      <c r="D740" s="70" t="s">
        <v>1</v>
      </c>
      <c r="E740" s="70" t="s">
        <v>1</v>
      </c>
      <c r="F740" s="70"/>
      <c r="G740" s="70" t="s">
        <v>61</v>
      </c>
      <c r="H740" s="70" t="s">
        <v>178</v>
      </c>
      <c r="I740" s="70" t="s">
        <v>188</v>
      </c>
      <c r="J740" s="71">
        <f>IF(OR(I740=0,I740=""),"unrated",VLOOKUP(I740,MappingTables!$B$19:$C$31,2,FALSE))</f>
        <v>2</v>
      </c>
      <c r="K740" s="72">
        <v>0.12345889641017322</v>
      </c>
      <c r="L740" s="70">
        <v>2.188324275872128</v>
      </c>
      <c r="M740" s="71">
        <f>IF(L740&lt;1,1,L740)</f>
        <v>2.188324275872128</v>
      </c>
      <c r="N740" s="70" t="s">
        <v>141</v>
      </c>
      <c r="O740" s="71">
        <f>INDEX(DurClassMapping,MATCH(M740,MappingTables!$D$4:$D$8,-1),1)</f>
        <v>1</v>
      </c>
      <c r="P740" s="73">
        <f>IF(M740=$A$1,1,$M740-INDEX(MappingTables!$E$4:$E$8,MATCH(O740,MappingTables!$B$4:$B$8,0)))</f>
        <v>2.188324275872128</v>
      </c>
      <c r="Q740" s="71">
        <f>IF(B740="",0,INDEX(ModelParameters!$D$6:$K$10,MATCH($O740,ModelParameters!$B$6:$B$10,0),MATCH($J740,ModelParameters!$D$5:$K$5,0)))</f>
        <v>0.013999999999999998</v>
      </c>
      <c r="R740" s="71">
        <f>IF(B740="",0,INDEX(ModelParameters!$D$13:$K$17,MATCH($O740,ModelParameters!$B$13:$B$17,0),MATCH($J740,ModelParameters!$D$5:$K$5,0)))</f>
        <v>0</v>
      </c>
      <c r="S740" s="160">
        <f>IF(B740="",0,MIN(IF($N740="Other Bond TM",ModelParameters!$N$21,1)*(P740*Q740+R740),1))</f>
        <v>0.030636539862209788</v>
      </c>
      <c r="T740" s="85">
        <f>IF(B740="",0,$S740*$K740)</f>
        <v>0.0037823534012147</v>
      </c>
      <c r="U740" s="85">
        <f>IF(B740="",0,IF(OR(H740=MappingTables!$C$34,H740=MappingTables!$C$35),T740,0))</f>
        <v>0</v>
      </c>
      <c r="V740" s="85">
        <f>IF(ISNA(IF(AND(VLOOKUP(CONCATENATE($D740,$G740),CSRFinput!$B:$E,4,0)=0,OR(H740=MappingTables!$C$34,H740=MappingTables!$C$35)),1,VLOOKUP(CONCATENATE($D740,$G740),CSRFinput!$B:$E,4,0))),0,IF(AND(VLOOKUP(CONCATENATE($D740,$G740),CSRFinput!$B:$E,4,0)=0,OR(H740=MappingTables!$C$34,H740=MappingTables!$C$35)),1,VLOOKUP(CONCATENATE($D740,$G740),CSRFinput!$B:$E,4,0)))</f>
        <v>0.054776304963434752</v>
      </c>
      <c r="W740" s="85">
        <f>IF(B740="",0,+$T740*$V740)</f>
        <v>0.00020718334338442112</v>
      </c>
      <c r="X740" s="85">
        <f>IF(B740="",0,IF(OR(H740=MappingTables!$C$34,H740=MappingTables!$C$35),W740,0))</f>
        <v>0</v>
      </c>
    </row>
    <row r="741" spans="2:24" s="0" customFormat="0" ht="15">
      <c r="B741" s="69">
        <v>17134490</v>
      </c>
      <c r="C741" s="70" t="s">
        <v>1038</v>
      </c>
      <c r="D741" s="70" t="s">
        <v>1</v>
      </c>
      <c r="E741" s="70" t="s">
        <v>1</v>
      </c>
      <c r="F741" s="70"/>
      <c r="G741" s="70" t="s">
        <v>61</v>
      </c>
      <c r="H741" s="70" t="s">
        <v>178</v>
      </c>
      <c r="I741" s="70" t="s">
        <v>179</v>
      </c>
      <c r="J741" s="71">
        <f>IF(OR(I741=0,I741=""),"unrated",VLOOKUP(I741,MappingTables!$B$19:$C$31,2,FALSE))</f>
        <v>4</v>
      </c>
      <c r="K741" s="72">
        <v>7285.0639977638</v>
      </c>
      <c r="L741" s="70">
        <v>12.748971014211498</v>
      </c>
      <c r="M741" s="71">
        <f>IF(L741&lt;1,1,L741)</f>
        <v>12.748971014211498</v>
      </c>
      <c r="N741" s="70" t="s">
        <v>141</v>
      </c>
      <c r="O741" s="71">
        <f>INDEX(DurClassMapping,MATCH(M741,MappingTables!$D$4:$D$8,-1),1)</f>
        <v>3</v>
      </c>
      <c r="P741" s="73">
        <f>IF(M741=$A$1,1,$M741-INDEX(MappingTables!$E$4:$E$8,MATCH(O741,MappingTables!$B$4:$B$8,0)))</f>
        <v>2.7489710142114988</v>
      </c>
      <c r="Q741" s="71">
        <f>IF(B741="",0,INDEX(ModelParameters!$D$6:$K$10,MATCH($O741,ModelParameters!$B$6:$B$10,0),MATCH($J741,ModelParameters!$D$5:$K$5,0)))</f>
        <v>0.018000000000000002</v>
      </c>
      <c r="R741" s="71">
        <f>IF(B741="",0,INDEX(ModelParameters!$D$13:$K$17,MATCH($O741,ModelParameters!$B$13:$B$17,0),MATCH($J741,ModelParameters!$D$5:$K$5,0)))</f>
        <v>0.34999999999999996</v>
      </c>
      <c r="S741" s="160">
        <f>IF(B741="",0,MIN(IF($N741="Other Bond TM",ModelParameters!$N$21,1)*(P741*Q741+R741),1))</f>
        <v>0.39948147825580696</v>
      </c>
      <c r="T741" s="85">
        <f>IF(B741="",0,$S741*$K741)</f>
        <v>2910.2481350148408</v>
      </c>
      <c r="U741" s="85">
        <f>IF(B741="",0,IF(OR(H741=MappingTables!$C$34,H741=MappingTables!$C$35),T741,0))</f>
        <v>0</v>
      </c>
      <c r="V741" s="85">
        <f>IF(ISNA(IF(AND(VLOOKUP(CONCATENATE($D741,$G741),CSRFinput!$B:$E,4,0)=0,OR(H741=MappingTables!$C$34,H741=MappingTables!$C$35)),1,VLOOKUP(CONCATENATE($D741,$G741),CSRFinput!$B:$E,4,0))),0,IF(AND(VLOOKUP(CONCATENATE($D741,$G741),CSRFinput!$B:$E,4,0)=0,OR(H741=MappingTables!$C$34,H741=MappingTables!$C$35)),1,VLOOKUP(CONCATENATE($D741,$G741),CSRFinput!$B:$E,4,0)))</f>
        <v>0.054776304963434752</v>
      </c>
      <c r="W741" s="85">
        <f>IF(B741="",0,+$T741*$V741)</f>
        <v>159.41263936284016</v>
      </c>
      <c r="X741" s="85">
        <f>IF(B741="",0,IF(OR(H741=MappingTables!$C$34,H741=MappingTables!$C$35),W741,0))</f>
        <v>0</v>
      </c>
    </row>
    <row r="742" spans="2:24" s="0" customFormat="0" ht="15">
      <c r="B742" s="69">
        <v>14618619</v>
      </c>
      <c r="C742" s="70" t="s">
        <v>1039</v>
      </c>
      <c r="D742" s="70" t="s">
        <v>1</v>
      </c>
      <c r="E742" s="70" t="s">
        <v>1</v>
      </c>
      <c r="F742" s="70"/>
      <c r="G742" s="70" t="s">
        <v>61</v>
      </c>
      <c r="H742" s="70" t="s">
        <v>178</v>
      </c>
      <c r="I742" s="70" t="s">
        <v>181</v>
      </c>
      <c r="J742" s="71">
        <f>IF(OR(I742=0,I742=""),"unrated",VLOOKUP(I742,MappingTables!$B$19:$C$31,2,FALSE))</f>
        <v>3</v>
      </c>
      <c r="K742" s="72">
        <v>17354.51727725485</v>
      </c>
      <c r="L742" s="70">
        <v>5.6144305569333344</v>
      </c>
      <c r="M742" s="71">
        <f>IF(L742&lt;1,1,L742)</f>
        <v>5.6144305569333344</v>
      </c>
      <c r="N742" s="70" t="s">
        <v>141</v>
      </c>
      <c r="O742" s="71">
        <f>INDEX(DurClassMapping,MATCH(M742,MappingTables!$D$4:$D$8,-1),1)</f>
        <v>2</v>
      </c>
      <c r="P742" s="73">
        <f>IF(M742=$A$1,1,$M742-INDEX(MappingTables!$E$4:$E$8,MATCH(O742,MappingTables!$B$4:$B$8,0)))</f>
        <v>0.61443055693333456</v>
      </c>
      <c r="Q742" s="71">
        <f>IF(B742="",0,INDEX(ModelParameters!$D$6:$K$10,MATCH($O742,ModelParameters!$B$6:$B$10,0),MATCH($J742,ModelParameters!$D$5:$K$5,0)))</f>
        <v>0.015</v>
      </c>
      <c r="R742" s="71">
        <f>IF(B742="",0,INDEX(ModelParameters!$D$13:$K$17,MATCH($O742,ModelParameters!$B$13:$B$17,0),MATCH($J742,ModelParameters!$D$5:$K$5,0)))</f>
        <v>0.125</v>
      </c>
      <c r="S742" s="160">
        <f>IF(B742="",0,MIN(IF($N742="Other Bond TM",ModelParameters!$N$21,1)*(P742*Q742+R742),1))</f>
        <v>0.134216458354</v>
      </c>
      <c r="T742" s="85">
        <f>IF(B742="",0,$S742*$K742)</f>
        <v>2329.2618453964492</v>
      </c>
      <c r="U742" s="85">
        <f>IF(B742="",0,IF(OR(H742=MappingTables!$C$34,H742=MappingTables!$C$35),T742,0))</f>
        <v>0</v>
      </c>
      <c r="V742" s="85">
        <f>IF(ISNA(IF(AND(VLOOKUP(CONCATENATE($D742,$G742),CSRFinput!$B:$E,4,0)=0,OR(H742=MappingTables!$C$34,H742=MappingTables!$C$35)),1,VLOOKUP(CONCATENATE($D742,$G742),CSRFinput!$B:$E,4,0))),0,IF(AND(VLOOKUP(CONCATENATE($D742,$G742),CSRFinput!$B:$E,4,0)=0,OR(H742=MappingTables!$C$34,H742=MappingTables!$C$35)),1,VLOOKUP(CONCATENATE($D742,$G742),CSRFinput!$B:$E,4,0)))</f>
        <v>0.054776304963434752</v>
      </c>
      <c r="W742" s="85">
        <f>IF(B742="",0,+$T742*$V742)</f>
        <v>127.5883571831287</v>
      </c>
      <c r="X742" s="85">
        <f>IF(B742="",0,IF(OR(H742=MappingTables!$C$34,H742=MappingTables!$C$35),W742,0))</f>
        <v>0</v>
      </c>
    </row>
    <row r="743" spans="2:24" s="0" customFormat="0" ht="15">
      <c r="B743" s="69" t="s">
        <v>269</v>
      </c>
      <c r="C743" s="70" t="s">
        <v>270</v>
      </c>
      <c r="D743" s="70" t="s">
        <v>1</v>
      </c>
      <c r="E743" s="70" t="s">
        <v>1</v>
      </c>
      <c r="F743" s="70"/>
      <c r="G743" s="70" t="s">
        <v>61</v>
      </c>
      <c r="H743" s="70" t="s">
        <v>178</v>
      </c>
      <c r="I743" s="70" t="s">
        <v>181</v>
      </c>
      <c r="J743" s="71">
        <f>IF(OR(I743=0,I743=""),"unrated",VLOOKUP(I743,MappingTables!$B$19:$C$31,2,FALSE))</f>
        <v>3</v>
      </c>
      <c r="K743" s="72">
        <v>0.63691507344031384</v>
      </c>
      <c r="L743" s="70">
        <v>2.7594897894155376</v>
      </c>
      <c r="M743" s="71">
        <f>IF(L743&lt;1,1,L743)</f>
        <v>2.7594897894155376</v>
      </c>
      <c r="N743" s="70" t="s">
        <v>141</v>
      </c>
      <c r="O743" s="71">
        <f>INDEX(DurClassMapping,MATCH(M743,MappingTables!$D$4:$D$8,-1),1)</f>
        <v>1</v>
      </c>
      <c r="P743" s="73">
        <f>IF(M743=$A$1,1,$M743-INDEX(MappingTables!$E$4:$E$8,MATCH(O743,MappingTables!$B$4:$B$8,0)))</f>
        <v>2.7594897894155376</v>
      </c>
      <c r="Q743" s="71">
        <f>IF(B743="",0,INDEX(ModelParameters!$D$6:$K$10,MATCH($O743,ModelParameters!$B$6:$B$10,0),MATCH($J743,ModelParameters!$D$5:$K$5,0)))</f>
        <v>0.025</v>
      </c>
      <c r="R743" s="71">
        <f>IF(B743="",0,INDEX(ModelParameters!$D$13:$K$17,MATCH($O743,ModelParameters!$B$13:$B$17,0),MATCH($J743,ModelParameters!$D$5:$K$5,0)))</f>
        <v>0</v>
      </c>
      <c r="S743" s="160">
        <f>IF(B743="",0,MIN(IF($N743="Other Bond TM",ModelParameters!$N$21,1)*(P743*Q743+R743),1))</f>
        <v>0.068987244735388448</v>
      </c>
      <c r="T743" s="85">
        <f>IF(B743="",0,$S743*$K743)</f>
        <v>0.04393901604708484</v>
      </c>
      <c r="U743" s="85">
        <f>IF(B743="",0,IF(OR(H743=MappingTables!$C$34,H743=MappingTables!$C$35),T743,0))</f>
        <v>0</v>
      </c>
      <c r="V743" s="85">
        <f>IF(ISNA(IF(AND(VLOOKUP(CONCATENATE($D743,$G743),CSRFinput!$B:$E,4,0)=0,OR(H743=MappingTables!$C$34,H743=MappingTables!$C$35)),1,VLOOKUP(CONCATENATE($D743,$G743),CSRFinput!$B:$E,4,0))),0,IF(AND(VLOOKUP(CONCATENATE($D743,$G743),CSRFinput!$B:$E,4,0)=0,OR(H743=MappingTables!$C$34,H743=MappingTables!$C$35)),1,VLOOKUP(CONCATENATE($D743,$G743),CSRFinput!$B:$E,4,0)))</f>
        <v>0.054776304963434752</v>
      </c>
      <c r="W743" s="85">
        <f>IF(B743="",0,+$T743*$V743)</f>
        <v>0.0024068169427883724</v>
      </c>
      <c r="X743" s="85">
        <f>IF(B743="",0,IF(OR(H743=MappingTables!$C$34,H743=MappingTables!$C$35),W743,0))</f>
        <v>0</v>
      </c>
    </row>
    <row r="744" spans="2:24" s="0" customFormat="0" ht="15">
      <c r="B744" s="69">
        <v>23207363</v>
      </c>
      <c r="C744" s="70" t="s">
        <v>703</v>
      </c>
      <c r="D744" s="70" t="s">
        <v>1</v>
      </c>
      <c r="E744" s="70" t="s">
        <v>1</v>
      </c>
      <c r="F744" s="70"/>
      <c r="G744" s="70" t="s">
        <v>61</v>
      </c>
      <c r="H744" s="70" t="s">
        <v>178</v>
      </c>
      <c r="I744" s="70" t="s">
        <v>184</v>
      </c>
      <c r="J744" s="71">
        <f>IF(OR(I744=0,I744=""),"unrated",VLOOKUP(I744,MappingTables!$B$19:$C$31,2,FALSE))</f>
        <v>5</v>
      </c>
      <c r="K744" s="72">
        <v>159.12754096612526</v>
      </c>
      <c r="L744" s="70">
        <v>1.2913750594598988</v>
      </c>
      <c r="M744" s="71">
        <f>IF(L744&lt;1,1,L744)</f>
        <v>1.2913750594598988</v>
      </c>
      <c r="N744" s="70" t="s">
        <v>141</v>
      </c>
      <c r="O744" s="71">
        <f>INDEX(DurClassMapping,MATCH(M744,MappingTables!$D$4:$D$8,-1),1)</f>
        <v>1</v>
      </c>
      <c r="P744" s="73">
        <f>IF(M744=$A$1,1,$M744-INDEX(MappingTables!$E$4:$E$8,MATCH(O744,MappingTables!$B$4:$B$8,0)))</f>
        <v>1.2913750594598988</v>
      </c>
      <c r="Q744" s="71">
        <f>IF(B744="",0,INDEX(ModelParameters!$D$6:$K$10,MATCH($O744,ModelParameters!$B$6:$B$10,0),MATCH($J744,ModelParameters!$D$5:$K$5,0)))</f>
        <v>0.075</v>
      </c>
      <c r="R744" s="71">
        <f>IF(B744="",0,INDEX(ModelParameters!$D$13:$K$17,MATCH($O744,ModelParameters!$B$13:$B$17,0),MATCH($J744,ModelParameters!$D$5:$K$5,0)))</f>
        <v>0</v>
      </c>
      <c r="S744" s="160">
        <f>IF(B744="",0,MIN(IF($N744="Other Bond TM",ModelParameters!$N$21,1)*(P744*Q744+R744),1))</f>
        <v>0.0968531294594924</v>
      </c>
      <c r="T744" s="85">
        <f>IF(B744="",0,$S744*$K744)</f>
        <v>15.41200032576281</v>
      </c>
      <c r="U744" s="85">
        <f>IF(B744="",0,IF(OR(H744=MappingTables!$C$34,H744=MappingTables!$C$35),T744,0))</f>
        <v>0</v>
      </c>
      <c r="V744" s="85">
        <f>IF(ISNA(IF(AND(VLOOKUP(CONCATENATE($D744,$G744),CSRFinput!$B:$E,4,0)=0,OR(H744=MappingTables!$C$34,H744=MappingTables!$C$35)),1,VLOOKUP(CONCATENATE($D744,$G744),CSRFinput!$B:$E,4,0))),0,IF(AND(VLOOKUP(CONCATENATE($D744,$G744),CSRFinput!$B:$E,4,0)=0,OR(H744=MappingTables!$C$34,H744=MappingTables!$C$35)),1,VLOOKUP(CONCATENATE($D744,$G744),CSRFinput!$B:$E,4,0)))</f>
        <v>0.054776304963434752</v>
      </c>
      <c r="W744" s="85">
        <f>IF(B744="",0,+$T744*$V744)</f>
        <v>0.84421242994053952</v>
      </c>
      <c r="X744" s="85">
        <f>IF(B744="",0,IF(OR(H744=MappingTables!$C$34,H744=MappingTables!$C$35),W744,0))</f>
        <v>0</v>
      </c>
    </row>
    <row r="745" spans="2:24" s="0" customFormat="0" ht="15">
      <c r="B745" s="69">
        <v>18978138</v>
      </c>
      <c r="C745" s="70" t="s">
        <v>1040</v>
      </c>
      <c r="D745" s="70" t="s">
        <v>1</v>
      </c>
      <c r="E745" s="70" t="s">
        <v>1</v>
      </c>
      <c r="F745" s="70"/>
      <c r="G745" s="70" t="s">
        <v>61</v>
      </c>
      <c r="H745" s="70" t="s">
        <v>178</v>
      </c>
      <c r="I745" s="70" t="s">
        <v>184</v>
      </c>
      <c r="J745" s="71">
        <f>IF(OR(I745=0,I745=""),"unrated",VLOOKUP(I745,MappingTables!$B$19:$C$31,2,FALSE))</f>
        <v>5</v>
      </c>
      <c r="K745" s="72">
        <v>14567.770724341014</v>
      </c>
      <c r="L745" s="70">
        <v>1.0445695303128216</v>
      </c>
      <c r="M745" s="71">
        <f>IF(L745&lt;1,1,L745)</f>
        <v>1.0445695303128216</v>
      </c>
      <c r="N745" s="70" t="s">
        <v>141</v>
      </c>
      <c r="O745" s="71">
        <f>INDEX(DurClassMapping,MATCH(M745,MappingTables!$D$4:$D$8,-1),1)</f>
        <v>1</v>
      </c>
      <c r="P745" s="73">
        <f>IF(M745=$A$1,1,$M745-INDEX(MappingTables!$E$4:$E$8,MATCH(O745,MappingTables!$B$4:$B$8,0)))</f>
        <v>1.0445695303128216</v>
      </c>
      <c r="Q745" s="71">
        <f>IF(B745="",0,INDEX(ModelParameters!$D$6:$K$10,MATCH($O745,ModelParameters!$B$6:$B$10,0),MATCH($J745,ModelParameters!$D$5:$K$5,0)))</f>
        <v>0.075</v>
      </c>
      <c r="R745" s="71">
        <f>IF(B745="",0,INDEX(ModelParameters!$D$13:$K$17,MATCH($O745,ModelParameters!$B$13:$B$17,0),MATCH($J745,ModelParameters!$D$5:$K$5,0)))</f>
        <v>0</v>
      </c>
      <c r="S745" s="160">
        <f>IF(B745="",0,MIN(IF($N745="Other Bond TM",ModelParameters!$N$21,1)*(P745*Q745+R745),1))</f>
        <v>0.078342714773461616</v>
      </c>
      <c r="T745" s="85">
        <f>IF(B745="",0,$S745*$K745)</f>
        <v>1141.2787067422324</v>
      </c>
      <c r="U745" s="85">
        <f>IF(B745="",0,IF(OR(H745=MappingTables!$C$34,H745=MappingTables!$C$35),T745,0))</f>
        <v>0</v>
      </c>
      <c r="V745" s="85">
        <f>IF(ISNA(IF(AND(VLOOKUP(CONCATENATE($D745,$G745),CSRFinput!$B:$E,4,0)=0,OR(H745=MappingTables!$C$34,H745=MappingTables!$C$35)),1,VLOOKUP(CONCATENATE($D745,$G745),CSRFinput!$B:$E,4,0))),0,IF(AND(VLOOKUP(CONCATENATE($D745,$G745),CSRFinput!$B:$E,4,0)=0,OR(H745=MappingTables!$C$34,H745=MappingTables!$C$35)),1,VLOOKUP(CONCATENATE($D745,$G745),CSRFinput!$B:$E,4,0)))</f>
        <v>0.054776304963434752</v>
      </c>
      <c r="W745" s="85">
        <f>IF(B745="",0,+$T745*$V745)</f>
        <v>62.515030488786936</v>
      </c>
      <c r="X745" s="85">
        <f>IF(B745="",0,IF(OR(H745=MappingTables!$C$34,H745=MappingTables!$C$35),W745,0))</f>
        <v>0</v>
      </c>
    </row>
    <row r="746" spans="2:24" s="0" customFormat="0" ht="15">
      <c r="B746" s="69" t="s">
        <v>1041</v>
      </c>
      <c r="C746" s="70" t="s">
        <v>1042</v>
      </c>
      <c r="D746" s="70" t="s">
        <v>1</v>
      </c>
      <c r="E746" s="70" t="s">
        <v>1</v>
      </c>
      <c r="F746" s="70"/>
      <c r="G746" s="70" t="s">
        <v>61</v>
      </c>
      <c r="H746" s="70" t="s">
        <v>178</v>
      </c>
      <c r="I746" s="70" t="s">
        <v>184</v>
      </c>
      <c r="J746" s="71">
        <f>IF(OR(I746=0,I746=""),"unrated",VLOOKUP(I746,MappingTables!$B$19:$C$31,2,FALSE))</f>
        <v>5</v>
      </c>
      <c r="K746" s="72">
        <v>181.73497997393656</v>
      </c>
      <c r="L746" s="70">
        <v>0.496551767160316</v>
      </c>
      <c r="M746" s="71">
        <f>IF(L746&lt;1,1,L746)</f>
        <v>1</v>
      </c>
      <c r="N746" s="70" t="s">
        <v>141</v>
      </c>
      <c r="O746" s="71">
        <f>INDEX(DurClassMapping,MATCH(M746,MappingTables!$D$4:$D$8,-1),1)</f>
        <v>1</v>
      </c>
      <c r="P746" s="73">
        <f>IF(M746=$A$1,1,$M746-INDEX(MappingTables!$E$4:$E$8,MATCH(O746,MappingTables!$B$4:$B$8,0)))</f>
        <v>1</v>
      </c>
      <c r="Q746" s="71">
        <f>IF(B746="",0,INDEX(ModelParameters!$D$6:$K$10,MATCH($O746,ModelParameters!$B$6:$B$10,0),MATCH($J746,ModelParameters!$D$5:$K$5,0)))</f>
        <v>0.075</v>
      </c>
      <c r="R746" s="71">
        <f>IF(B746="",0,INDEX(ModelParameters!$D$13:$K$17,MATCH($O746,ModelParameters!$B$13:$B$17,0),MATCH($J746,ModelParameters!$D$5:$K$5,0)))</f>
        <v>0</v>
      </c>
      <c r="S746" s="160">
        <f>IF(B746="",0,MIN(IF($N746="Other Bond TM",ModelParameters!$N$21,1)*(P746*Q746+R746),1))</f>
        <v>0.075</v>
      </c>
      <c r="T746" s="85">
        <f>IF(B746="",0,$S746*$K746)</f>
        <v>13.630123498045242</v>
      </c>
      <c r="U746" s="85">
        <f>IF(B746="",0,IF(OR(H746=MappingTables!$C$34,H746=MappingTables!$C$35),T746,0))</f>
        <v>0</v>
      </c>
      <c r="V746" s="85">
        <f>IF(ISNA(IF(AND(VLOOKUP(CONCATENATE($D746,$G746),CSRFinput!$B:$E,4,0)=0,OR(H746=MappingTables!$C$34,H746=MappingTables!$C$35)),1,VLOOKUP(CONCATENATE($D746,$G746),CSRFinput!$B:$E,4,0))),0,IF(AND(VLOOKUP(CONCATENATE($D746,$G746),CSRFinput!$B:$E,4,0)=0,OR(H746=MappingTables!$C$34,H746=MappingTables!$C$35)),1,VLOOKUP(CONCATENATE($D746,$G746),CSRFinput!$B:$E,4,0)))</f>
        <v>0.054776304963434752</v>
      </c>
      <c r="W746" s="85">
        <f>IF(B746="",0,+$T746*$V746)</f>
        <v>0.74660780141820432</v>
      </c>
      <c r="X746" s="85">
        <f>IF(B746="",0,IF(OR(H746=MappingTables!$C$34,H746=MappingTables!$C$35),W746,0))</f>
        <v>0</v>
      </c>
    </row>
    <row r="747" spans="2:24" s="0" customFormat="0" ht="15">
      <c r="B747" s="69">
        <v>20647448</v>
      </c>
      <c r="C747" s="70" t="s">
        <v>1043</v>
      </c>
      <c r="D747" s="70" t="s">
        <v>1</v>
      </c>
      <c r="E747" s="70" t="s">
        <v>1</v>
      </c>
      <c r="F747" s="70"/>
      <c r="G747" s="70" t="s">
        <v>61</v>
      </c>
      <c r="H747" s="70" t="s">
        <v>178</v>
      </c>
      <c r="I747" s="70" t="s">
        <v>181</v>
      </c>
      <c r="J747" s="71">
        <f>IF(OR(I747=0,I747=""),"unrated",VLOOKUP(I747,MappingTables!$B$19:$C$31,2,FALSE))</f>
        <v>3</v>
      </c>
      <c r="K747" s="72">
        <v>1263.5509047361626</v>
      </c>
      <c r="L747" s="70">
        <v>4.9746233968077672</v>
      </c>
      <c r="M747" s="71">
        <f>IF(L747&lt;1,1,L747)</f>
        <v>4.9746233968077672</v>
      </c>
      <c r="N747" s="70" t="s">
        <v>141</v>
      </c>
      <c r="O747" s="71">
        <f>INDEX(DurClassMapping,MATCH(M747,MappingTables!$D$4:$D$8,-1),1)</f>
        <v>1</v>
      </c>
      <c r="P747" s="73">
        <f>IF(M747=$A$1,1,$M747-INDEX(MappingTables!$E$4:$E$8,MATCH(O747,MappingTables!$B$4:$B$8,0)))</f>
        <v>4.9746233968077672</v>
      </c>
      <c r="Q747" s="71">
        <f>IF(B747="",0,INDEX(ModelParameters!$D$6:$K$10,MATCH($O747,ModelParameters!$B$6:$B$10,0),MATCH($J747,ModelParameters!$D$5:$K$5,0)))</f>
        <v>0.025</v>
      </c>
      <c r="R747" s="71">
        <f>IF(B747="",0,INDEX(ModelParameters!$D$13:$K$17,MATCH($O747,ModelParameters!$B$13:$B$17,0),MATCH($J747,ModelParameters!$D$5:$K$5,0)))</f>
        <v>0</v>
      </c>
      <c r="S747" s="160">
        <f>IF(B747="",0,MIN(IF($N747="Other Bond TM",ModelParameters!$N$21,1)*(P747*Q747+R747),1))</f>
        <v>0.12436558492019418</v>
      </c>
      <c r="T747" s="85">
        <f>IF(B747="",0,$S747*$K747)</f>
        <v>157.14224734395344</v>
      </c>
      <c r="U747" s="85">
        <f>IF(B747="",0,IF(OR(H747=MappingTables!$C$34,H747=MappingTables!$C$35),T747,0))</f>
        <v>0</v>
      </c>
      <c r="V747" s="85">
        <f>IF(ISNA(IF(AND(VLOOKUP(CONCATENATE($D747,$G747),CSRFinput!$B:$E,4,0)=0,OR(H747=MappingTables!$C$34,H747=MappingTables!$C$35)),1,VLOOKUP(CONCATENATE($D747,$G747),CSRFinput!$B:$E,4,0))),0,IF(AND(VLOOKUP(CONCATENATE($D747,$G747),CSRFinput!$B:$E,4,0)=0,OR(H747=MappingTables!$C$34,H747=MappingTables!$C$35)),1,VLOOKUP(CONCATENATE($D747,$G747),CSRFinput!$B:$E,4,0)))</f>
        <v>0.054776304963434752</v>
      </c>
      <c r="W747" s="85">
        <f>IF(B747="",0,+$T747*$V747)</f>
        <v>8.6076716631518896</v>
      </c>
      <c r="X747" s="85">
        <f>IF(B747="",0,IF(OR(H747=MappingTables!$C$34,H747=MappingTables!$C$35),W747,0))</f>
        <v>0</v>
      </c>
    </row>
    <row r="748" spans="2:24" s="0" customFormat="0" ht="15">
      <c r="B748" s="69" t="s">
        <v>1044</v>
      </c>
      <c r="C748" s="70" t="s">
        <v>1045</v>
      </c>
      <c r="D748" s="70" t="s">
        <v>1</v>
      </c>
      <c r="E748" s="70" t="s">
        <v>1</v>
      </c>
      <c r="F748" s="70"/>
      <c r="G748" s="70" t="s">
        <v>61</v>
      </c>
      <c r="H748" s="70" t="s">
        <v>178</v>
      </c>
      <c r="I748" s="70" t="s">
        <v>198</v>
      </c>
      <c r="J748" s="71" t="str">
        <f>IF(OR(I748=0,I748=""),"unrated",VLOOKUP(I748,MappingTables!$B$19:$C$31,2,FALSE))</f>
        <v>unrated</v>
      </c>
      <c r="K748" s="72">
        <v>274.28163800667572</v>
      </c>
      <c r="L748" s="70">
        <v>0.087671319258829664</v>
      </c>
      <c r="M748" s="71">
        <f>IF(L748&lt;1,1,L748)</f>
        <v>1</v>
      </c>
      <c r="N748" s="70" t="s">
        <v>141</v>
      </c>
      <c r="O748" s="71">
        <f>INDEX(DurClassMapping,MATCH(M748,MappingTables!$D$4:$D$8,-1),1)</f>
        <v>1</v>
      </c>
      <c r="P748" s="73">
        <f>IF(M748=$A$1,1,$M748-INDEX(MappingTables!$E$4:$E$8,MATCH(O748,MappingTables!$B$4:$B$8,0)))</f>
        <v>1</v>
      </c>
      <c r="Q748" s="71">
        <f>IF(B748="",0,INDEX(ModelParameters!$D$6:$K$10,MATCH($O748,ModelParameters!$B$6:$B$10,0),MATCH($J748,ModelParameters!$D$5:$K$5,0)))</f>
        <v>0.03</v>
      </c>
      <c r="R748" s="71">
        <f>IF(B748="",0,INDEX(ModelParameters!$D$13:$K$17,MATCH($O748,ModelParameters!$B$13:$B$17,0),MATCH($J748,ModelParameters!$D$5:$K$5,0)))</f>
        <v>0</v>
      </c>
      <c r="S748" s="160">
        <f>IF(B748="",0,MIN(IF($N748="Other Bond TM",ModelParameters!$N$21,1)*(P748*Q748+R748),1))</f>
        <v>0.03</v>
      </c>
      <c r="T748" s="85">
        <f>IF(B748="",0,$S748*$K748)</f>
        <v>8.228449140200272</v>
      </c>
      <c r="U748" s="85">
        <f>IF(B748="",0,IF(OR(H748=MappingTables!$C$34,H748=MappingTables!$C$35),T748,0))</f>
        <v>0</v>
      </c>
      <c r="V748" s="85">
        <f>IF(ISNA(IF(AND(VLOOKUP(CONCATENATE($D748,$G748),CSRFinput!$B:$E,4,0)=0,OR(H748=MappingTables!$C$34,H748=MappingTables!$C$35)),1,VLOOKUP(CONCATENATE($D748,$G748),CSRFinput!$B:$E,4,0))),0,IF(AND(VLOOKUP(CONCATENATE($D748,$G748),CSRFinput!$B:$E,4,0)=0,OR(H748=MappingTables!$C$34,H748=MappingTables!$C$35)),1,VLOOKUP(CONCATENATE($D748,$G748),CSRFinput!$B:$E,4,0)))</f>
        <v>0.054776304963434752</v>
      </c>
      <c r="W748" s="85">
        <f>IF(B748="",0,+$T748*$V748)</f>
        <v>0.45072403947972264</v>
      </c>
      <c r="X748" s="85">
        <f>IF(B748="",0,IF(OR(H748=MappingTables!$C$34,H748=MappingTables!$C$35),W748,0))</f>
        <v>0</v>
      </c>
    </row>
    <row r="749" spans="2:24" s="0" customFormat="0" ht="15">
      <c r="B749" s="69" t="s">
        <v>1046</v>
      </c>
      <c r="C749" s="70" t="s">
        <v>1047</v>
      </c>
      <c r="D749" s="70" t="s">
        <v>1</v>
      </c>
      <c r="E749" s="70" t="s">
        <v>1</v>
      </c>
      <c r="F749" s="70"/>
      <c r="G749" s="70" t="s">
        <v>61</v>
      </c>
      <c r="H749" s="70" t="s">
        <v>178</v>
      </c>
      <c r="I749" s="70" t="s">
        <v>198</v>
      </c>
      <c r="J749" s="71" t="str">
        <f>IF(OR(I749=0,I749=""),"unrated",VLOOKUP(I749,MappingTables!$B$19:$C$31,2,FALSE))</f>
        <v>unrated</v>
      </c>
      <c r="K749" s="72">
        <v>1761.4883993324866</v>
      </c>
      <c r="L749" s="70">
        <v>4.1905139637743224</v>
      </c>
      <c r="M749" s="71">
        <f>IF(L749&lt;1,1,L749)</f>
        <v>4.1905139637743224</v>
      </c>
      <c r="N749" s="70" t="s">
        <v>141</v>
      </c>
      <c r="O749" s="71">
        <f>INDEX(DurClassMapping,MATCH(M749,MappingTables!$D$4:$D$8,-1),1)</f>
        <v>1</v>
      </c>
      <c r="P749" s="73">
        <f>IF(M749=$A$1,1,$M749-INDEX(MappingTables!$E$4:$E$8,MATCH(O749,MappingTables!$B$4:$B$8,0)))</f>
        <v>4.1905139637743224</v>
      </c>
      <c r="Q749" s="71">
        <f>IF(B749="",0,INDEX(ModelParameters!$D$6:$K$10,MATCH($O749,ModelParameters!$B$6:$B$10,0),MATCH($J749,ModelParameters!$D$5:$K$5,0)))</f>
        <v>0.03</v>
      </c>
      <c r="R749" s="71">
        <f>IF(B749="",0,INDEX(ModelParameters!$D$13:$K$17,MATCH($O749,ModelParameters!$B$13:$B$17,0),MATCH($J749,ModelParameters!$D$5:$K$5,0)))</f>
        <v>0</v>
      </c>
      <c r="S749" s="160">
        <f>IF(B749="",0,MIN(IF($N749="Other Bond TM",ModelParameters!$N$21,1)*(P749*Q749+R749),1))</f>
        <v>0.12571541891322968</v>
      </c>
      <c r="T749" s="85">
        <f>IF(B749="",0,$S749*$K749)</f>
        <v>221.44625203287796</v>
      </c>
      <c r="U749" s="85">
        <f>IF(B749="",0,IF(OR(H749=MappingTables!$C$34,H749=MappingTables!$C$35),T749,0))</f>
        <v>0</v>
      </c>
      <c r="V749" s="85">
        <f>IF(ISNA(IF(AND(VLOOKUP(CONCATENATE($D749,$G749),CSRFinput!$B:$E,4,0)=0,OR(H749=MappingTables!$C$34,H749=MappingTables!$C$35)),1,VLOOKUP(CONCATENATE($D749,$G749),CSRFinput!$B:$E,4,0))),0,IF(AND(VLOOKUP(CONCATENATE($D749,$G749),CSRFinput!$B:$E,4,0)=0,OR(H749=MappingTables!$C$34,H749=MappingTables!$C$35)),1,VLOOKUP(CONCATENATE($D749,$G749),CSRFinput!$B:$E,4,0)))</f>
        <v>0.054776304963434752</v>
      </c>
      <c r="W749" s="85">
        <f>IF(B749="",0,+$T749*$V749)</f>
        <v>12.130007434362558</v>
      </c>
      <c r="X749" s="85">
        <f>IF(B749="",0,IF(OR(H749=MappingTables!$C$34,H749=MappingTables!$C$35),W749,0))</f>
        <v>0</v>
      </c>
    </row>
    <row r="750" spans="2:24" s="0" customFormat="0" ht="15">
      <c r="B750" s="69">
        <v>4876677</v>
      </c>
      <c r="C750" s="70" t="s">
        <v>1048</v>
      </c>
      <c r="D750" s="70" t="s">
        <v>1</v>
      </c>
      <c r="E750" s="70" t="s">
        <v>1</v>
      </c>
      <c r="F750" s="70"/>
      <c r="G750" s="70" t="s">
        <v>61</v>
      </c>
      <c r="H750" s="70" t="s">
        <v>178</v>
      </c>
      <c r="I750" s="70" t="s">
        <v>181</v>
      </c>
      <c r="J750" s="71">
        <f>IF(OR(I750=0,I750=""),"unrated",VLOOKUP(I750,MappingTables!$B$19:$C$31,2,FALSE))</f>
        <v>3</v>
      </c>
      <c r="K750" s="72">
        <v>52687.440854286312</v>
      </c>
      <c r="L750" s="70">
        <v>13.836757528748966</v>
      </c>
      <c r="M750" s="71">
        <f>IF(L750&lt;1,1,L750)</f>
        <v>13.836757528748966</v>
      </c>
      <c r="N750" s="70" t="s">
        <v>141</v>
      </c>
      <c r="O750" s="71">
        <f>INDEX(DurClassMapping,MATCH(M750,MappingTables!$D$4:$D$8,-1),1)</f>
        <v>3</v>
      </c>
      <c r="P750" s="73">
        <f>IF(M750=$A$1,1,$M750-INDEX(MappingTables!$E$4:$E$8,MATCH(O750,MappingTables!$B$4:$B$8,0)))</f>
        <v>3.8367575287489672</v>
      </c>
      <c r="Q750" s="71">
        <f>IF(B750="",0,INDEX(ModelParameters!$D$6:$K$10,MATCH($O750,ModelParameters!$B$6:$B$10,0),MATCH($J750,ModelParameters!$D$5:$K$5,0)))</f>
        <v>0.01</v>
      </c>
      <c r="R750" s="71">
        <f>IF(B750="",0,INDEX(ModelParameters!$D$13:$K$17,MATCH($O750,ModelParameters!$B$13:$B$17,0),MATCH($J750,ModelParameters!$D$5:$K$5,0)))</f>
        <v>0.2</v>
      </c>
      <c r="S750" s="160">
        <f>IF(B750="",0,MIN(IF($N750="Other Bond TM",ModelParameters!$N$21,1)*(P750*Q750+R750),1))</f>
        <v>0.23836757528748968</v>
      </c>
      <c r="T750" s="85">
        <f>IF(B750="",0,$S750*$K750)</f>
        <v>12558.977524539252</v>
      </c>
      <c r="U750" s="85">
        <f>IF(B750="",0,IF(OR(H750=MappingTables!$C$34,H750=MappingTables!$C$35),T750,0))</f>
        <v>0</v>
      </c>
      <c r="V750" s="85">
        <f>IF(ISNA(IF(AND(VLOOKUP(CONCATENATE($D750,$G750),CSRFinput!$B:$E,4,0)=0,OR(H750=MappingTables!$C$34,H750=MappingTables!$C$35)),1,VLOOKUP(CONCATENATE($D750,$G750),CSRFinput!$B:$E,4,0))),0,IF(AND(VLOOKUP(CONCATENATE($D750,$G750),CSRFinput!$B:$E,4,0)=0,OR(H750=MappingTables!$C$34,H750=MappingTables!$C$35)),1,VLOOKUP(CONCATENATE($D750,$G750),CSRFinput!$B:$E,4,0)))</f>
        <v>0.054776304963434752</v>
      </c>
      <c r="W750" s="85">
        <f>IF(B750="",0,+$T750*$V750)</f>
        <v>687.93438291308496</v>
      </c>
      <c r="X750" s="85">
        <f>IF(B750="",0,IF(OR(H750=MappingTables!$C$34,H750=MappingTables!$C$35),W750,0))</f>
        <v>0</v>
      </c>
    </row>
    <row r="751" spans="2:24" s="0" customFormat="0" ht="15">
      <c r="B751" s="69">
        <v>19950418</v>
      </c>
      <c r="C751" s="70" t="s">
        <v>1049</v>
      </c>
      <c r="D751" s="70" t="s">
        <v>1</v>
      </c>
      <c r="E751" s="70" t="s">
        <v>1</v>
      </c>
      <c r="F751" s="70"/>
      <c r="G751" s="70" t="s">
        <v>61</v>
      </c>
      <c r="H751" s="70" t="s">
        <v>178</v>
      </c>
      <c r="I751" s="70" t="s">
        <v>181</v>
      </c>
      <c r="J751" s="71">
        <f>IF(OR(I751=0,I751=""),"unrated",VLOOKUP(I751,MappingTables!$B$19:$C$31,2,FALSE))</f>
        <v>3</v>
      </c>
      <c r="K751" s="72">
        <v>1522646.141052246</v>
      </c>
      <c r="L751" s="70">
        <v>6.0974093739348528</v>
      </c>
      <c r="M751" s="71">
        <f>IF(L751&lt;1,1,L751)</f>
        <v>6.0974093739348528</v>
      </c>
      <c r="N751" s="70" t="s">
        <v>141</v>
      </c>
      <c r="O751" s="71">
        <f>INDEX(DurClassMapping,MATCH(M751,MappingTables!$D$4:$D$8,-1),1)</f>
        <v>2</v>
      </c>
      <c r="P751" s="73">
        <f>IF(M751=$A$1,1,$M751-INDEX(MappingTables!$E$4:$E$8,MATCH(O751,MappingTables!$B$4:$B$8,0)))</f>
        <v>1.0974093739348528</v>
      </c>
      <c r="Q751" s="71">
        <f>IF(B751="",0,INDEX(ModelParameters!$D$6:$K$10,MATCH($O751,ModelParameters!$B$6:$B$10,0),MATCH($J751,ModelParameters!$D$5:$K$5,0)))</f>
        <v>0.015</v>
      </c>
      <c r="R751" s="71">
        <f>IF(B751="",0,INDEX(ModelParameters!$D$13:$K$17,MATCH($O751,ModelParameters!$B$13:$B$17,0),MATCH($J751,ModelParameters!$D$5:$K$5,0)))</f>
        <v>0.125</v>
      </c>
      <c r="S751" s="160">
        <f>IF(B751="",0,MIN(IF($N751="Other Bond TM",ModelParameters!$N$21,1)*(P751*Q751+R751),1))</f>
        <v>0.14146114060902278</v>
      </c>
      <c r="T751" s="85">
        <f>IF(B751="",0,$S751*$K751)</f>
        <v>215395.25985717772</v>
      </c>
      <c r="U751" s="85">
        <f>IF(B751="",0,IF(OR(H751=MappingTables!$C$34,H751=MappingTables!$C$35),T751,0))</f>
        <v>0</v>
      </c>
      <c r="V751" s="85">
        <f>IF(ISNA(IF(AND(VLOOKUP(CONCATENATE($D751,$G751),CSRFinput!$B:$E,4,0)=0,OR(H751=MappingTables!$C$34,H751=MappingTables!$C$35)),1,VLOOKUP(CONCATENATE($D751,$G751),CSRFinput!$B:$E,4,0))),0,IF(AND(VLOOKUP(CONCATENATE($D751,$G751),CSRFinput!$B:$E,4,0)=0,OR(H751=MappingTables!$C$34,H751=MappingTables!$C$35)),1,VLOOKUP(CONCATENATE($D751,$G751),CSRFinput!$B:$E,4,0)))</f>
        <v>0.054776304963434752</v>
      </c>
      <c r="W751" s="85">
        <f>IF(B751="",0,+$T751*$V751)</f>
        <v>11798.556441615042</v>
      </c>
      <c r="X751" s="85">
        <f>IF(B751="",0,IF(OR(H751=MappingTables!$C$34,H751=MappingTables!$C$35),W751,0))</f>
        <v>0</v>
      </c>
    </row>
    <row r="752" spans="2:24" s="0" customFormat="0" ht="15">
      <c r="B752" s="69" t="s">
        <v>292</v>
      </c>
      <c r="C752" s="70" t="s">
        <v>293</v>
      </c>
      <c r="D752" s="70" t="s">
        <v>1</v>
      </c>
      <c r="E752" s="70" t="s">
        <v>1</v>
      </c>
      <c r="F752" s="70"/>
      <c r="G752" s="70" t="s">
        <v>61</v>
      </c>
      <c r="H752" s="70" t="s">
        <v>178</v>
      </c>
      <c r="I752" s="70" t="s">
        <v>204</v>
      </c>
      <c r="J752" s="71">
        <f>IF(OR(I752=0,I752=""),"unrated",VLOOKUP(I752,MappingTables!$B$19:$C$31,2,FALSE))</f>
        <v>6</v>
      </c>
      <c r="K752" s="72">
        <v>613.53023590992952</v>
      </c>
      <c r="L752" s="70">
        <v>3.1470257750233316</v>
      </c>
      <c r="M752" s="71">
        <f>IF(L752&lt;1,1,L752)</f>
        <v>3.1470257750233316</v>
      </c>
      <c r="N752" s="70" t="s">
        <v>141</v>
      </c>
      <c r="O752" s="71">
        <f>INDEX(DurClassMapping,MATCH(M752,MappingTables!$D$4:$D$8,-1),1)</f>
        <v>1</v>
      </c>
      <c r="P752" s="73">
        <f>IF(M752=$A$1,1,$M752-INDEX(MappingTables!$E$4:$E$8,MATCH(O752,MappingTables!$B$4:$B$8,0)))</f>
        <v>3.1470257750233316</v>
      </c>
      <c r="Q752" s="71">
        <f>IF(B752="",0,INDEX(ModelParameters!$D$6:$K$10,MATCH($O752,ModelParameters!$B$6:$B$10,0),MATCH($J752,ModelParameters!$D$5:$K$5,0)))</f>
        <v>0.075</v>
      </c>
      <c r="R752" s="71">
        <f>IF(B752="",0,INDEX(ModelParameters!$D$13:$K$17,MATCH($O752,ModelParameters!$B$13:$B$17,0),MATCH($J752,ModelParameters!$D$5:$K$5,0)))</f>
        <v>0</v>
      </c>
      <c r="S752" s="160">
        <f>IF(B752="",0,MIN(IF($N752="Other Bond TM",ModelParameters!$N$21,1)*(P752*Q752+R752),1))</f>
        <v>0.23602693312674984</v>
      </c>
      <c r="T752" s="85">
        <f>IF(B752="",0,$S752*$K752)</f>
        <v>144.80965996235198</v>
      </c>
      <c r="U752" s="85">
        <f>IF(B752="",0,IF(OR(H752=MappingTables!$C$34,H752=MappingTables!$C$35),T752,0))</f>
        <v>0</v>
      </c>
      <c r="V752" s="85">
        <f>IF(ISNA(IF(AND(VLOOKUP(CONCATENATE($D752,$G752),CSRFinput!$B:$E,4,0)=0,OR(H752=MappingTables!$C$34,H752=MappingTables!$C$35)),1,VLOOKUP(CONCATENATE($D752,$G752),CSRFinput!$B:$E,4,0))),0,IF(AND(VLOOKUP(CONCATENATE($D752,$G752),CSRFinput!$B:$E,4,0)=0,OR(H752=MappingTables!$C$34,H752=MappingTables!$C$35)),1,VLOOKUP(CONCATENATE($D752,$G752),CSRFinput!$B:$E,4,0)))</f>
        <v>0.054776304963434752</v>
      </c>
      <c r="W752" s="85">
        <f>IF(B752="",0,+$T752*$V752)</f>
        <v>7.93213809574908</v>
      </c>
      <c r="X752" s="85">
        <f>IF(B752="",0,IF(OR(H752=MappingTables!$C$34,H752=MappingTables!$C$35),W752,0))</f>
        <v>0</v>
      </c>
    </row>
    <row r="753" spans="2:24" s="0" customFormat="0" ht="15">
      <c r="B753" s="69">
        <v>17220547</v>
      </c>
      <c r="C753" s="70" t="s">
        <v>1050</v>
      </c>
      <c r="D753" s="70" t="s">
        <v>1</v>
      </c>
      <c r="E753" s="70" t="s">
        <v>1</v>
      </c>
      <c r="F753" s="70"/>
      <c r="G753" s="70" t="s">
        <v>61</v>
      </c>
      <c r="H753" s="70" t="s">
        <v>178</v>
      </c>
      <c r="I753" s="70" t="s">
        <v>181</v>
      </c>
      <c r="J753" s="71">
        <f>IF(OR(I753=0,I753=""),"unrated",VLOOKUP(I753,MappingTables!$B$19:$C$31,2,FALSE))</f>
        <v>3</v>
      </c>
      <c r="K753" s="72">
        <v>3884.8677698821608</v>
      </c>
      <c r="L753" s="70">
        <v>3.446714191286504</v>
      </c>
      <c r="M753" s="71">
        <f>IF(L753&lt;1,1,L753)</f>
        <v>3.446714191286504</v>
      </c>
      <c r="N753" s="70" t="s">
        <v>141</v>
      </c>
      <c r="O753" s="71">
        <f>INDEX(DurClassMapping,MATCH(M753,MappingTables!$D$4:$D$8,-1),1)</f>
        <v>1</v>
      </c>
      <c r="P753" s="73">
        <f>IF(M753=$A$1,1,$M753-INDEX(MappingTables!$E$4:$E$8,MATCH(O753,MappingTables!$B$4:$B$8,0)))</f>
        <v>3.446714191286504</v>
      </c>
      <c r="Q753" s="71">
        <f>IF(B753="",0,INDEX(ModelParameters!$D$6:$K$10,MATCH($O753,ModelParameters!$B$6:$B$10,0),MATCH($J753,ModelParameters!$D$5:$K$5,0)))</f>
        <v>0.025</v>
      </c>
      <c r="R753" s="71">
        <f>IF(B753="",0,INDEX(ModelParameters!$D$13:$K$17,MATCH($O753,ModelParameters!$B$13:$B$17,0),MATCH($J753,ModelParameters!$D$5:$K$5,0)))</f>
        <v>0</v>
      </c>
      <c r="S753" s="160">
        <f>IF(B753="",0,MIN(IF($N753="Other Bond TM",ModelParameters!$N$21,1)*(P753*Q753+R753),1))</f>
        <v>0.086167854782162608</v>
      </c>
      <c r="T753" s="85">
        <f>IF(B753="",0,$S753*$K753)</f>
        <v>334.75072184310988</v>
      </c>
      <c r="U753" s="85">
        <f>IF(B753="",0,IF(OR(H753=MappingTables!$C$34,H753=MappingTables!$C$35),T753,0))</f>
        <v>0</v>
      </c>
      <c r="V753" s="85">
        <f>IF(ISNA(IF(AND(VLOOKUP(CONCATENATE($D753,$G753),CSRFinput!$B:$E,4,0)=0,OR(H753=MappingTables!$C$34,H753=MappingTables!$C$35)),1,VLOOKUP(CONCATENATE($D753,$G753),CSRFinput!$B:$E,4,0))),0,IF(AND(VLOOKUP(CONCATENATE($D753,$G753),CSRFinput!$B:$E,4,0)=0,OR(H753=MappingTables!$C$34,H753=MappingTables!$C$35)),1,VLOOKUP(CONCATENATE($D753,$G753),CSRFinput!$B:$E,4,0)))</f>
        <v>0.054776304963434752</v>
      </c>
      <c r="W753" s="85">
        <f>IF(B753="",0,+$T753*$V753)</f>
        <v>18.336407626408108</v>
      </c>
      <c r="X753" s="85">
        <f>IF(B753="",0,IF(OR(H753=MappingTables!$C$34,H753=MappingTables!$C$35),W753,0))</f>
        <v>0</v>
      </c>
    </row>
    <row r="754" spans="2:24" s="0" customFormat="0" ht="15">
      <c r="B754" s="69">
        <v>18686747</v>
      </c>
      <c r="C754" s="70" t="s">
        <v>1051</v>
      </c>
      <c r="D754" s="70" t="s">
        <v>1</v>
      </c>
      <c r="E754" s="70" t="s">
        <v>1</v>
      </c>
      <c r="F754" s="70"/>
      <c r="G754" s="70" t="s">
        <v>61</v>
      </c>
      <c r="H754" s="70" t="s">
        <v>178</v>
      </c>
      <c r="I754" s="70" t="s">
        <v>179</v>
      </c>
      <c r="J754" s="71">
        <f>IF(OR(I754=0,I754=""),"unrated",VLOOKUP(I754,MappingTables!$B$19:$C$31,2,FALSE))</f>
        <v>4</v>
      </c>
      <c r="K754" s="72">
        <v>2275.83416951207</v>
      </c>
      <c r="L754" s="70">
        <v>4.3383837240829672</v>
      </c>
      <c r="M754" s="71">
        <f>IF(L754&lt;1,1,L754)</f>
        <v>4.3383837240829672</v>
      </c>
      <c r="N754" s="70" t="s">
        <v>141</v>
      </c>
      <c r="O754" s="71">
        <f>INDEX(DurClassMapping,MATCH(M754,MappingTables!$D$4:$D$8,-1),1)</f>
        <v>1</v>
      </c>
      <c r="P754" s="73">
        <f>IF(M754=$A$1,1,$M754-INDEX(MappingTables!$E$4:$E$8,MATCH(O754,MappingTables!$B$4:$B$8,0)))</f>
        <v>4.3383837240829672</v>
      </c>
      <c r="Q754" s="71">
        <f>IF(B754="",0,INDEX(ModelParameters!$D$6:$K$10,MATCH($O754,ModelParameters!$B$6:$B$10,0),MATCH($J754,ModelParameters!$D$5:$K$5,0)))</f>
        <v>0.045</v>
      </c>
      <c r="R754" s="71">
        <f>IF(B754="",0,INDEX(ModelParameters!$D$13:$K$17,MATCH($O754,ModelParameters!$B$13:$B$17,0),MATCH($J754,ModelParameters!$D$5:$K$5,0)))</f>
        <v>0</v>
      </c>
      <c r="S754" s="160">
        <f>IF(B754="",0,MIN(IF($N754="Other Bond TM",ModelParameters!$N$21,1)*(P754*Q754+R754),1))</f>
        <v>0.19522726758373352</v>
      </c>
      <c r="T754" s="85">
        <f>IF(B754="",0,$S754*$K754)</f>
        <v>444.3048863875368</v>
      </c>
      <c r="U754" s="85">
        <f>IF(B754="",0,IF(OR(H754=MappingTables!$C$34,H754=MappingTables!$C$35),T754,0))</f>
        <v>0</v>
      </c>
      <c r="V754" s="85">
        <f>IF(ISNA(IF(AND(VLOOKUP(CONCATENATE($D754,$G754),CSRFinput!$B:$E,4,0)=0,OR(H754=MappingTables!$C$34,H754=MappingTables!$C$35)),1,VLOOKUP(CONCATENATE($D754,$G754),CSRFinput!$B:$E,4,0))),0,IF(AND(VLOOKUP(CONCATENATE($D754,$G754),CSRFinput!$B:$E,4,0)=0,OR(H754=MappingTables!$C$34,H754=MappingTables!$C$35)),1,VLOOKUP(CONCATENATE($D754,$G754),CSRFinput!$B:$E,4,0)))</f>
        <v>0.054776304963434752</v>
      </c>
      <c r="W754" s="85">
        <f>IF(B754="",0,+$T754*$V754)</f>
        <v>24.337379953507944</v>
      </c>
      <c r="X754" s="85">
        <f>IF(B754="",0,IF(OR(H754=MappingTables!$C$34,H754=MappingTables!$C$35),W754,0))</f>
        <v>0</v>
      </c>
    </row>
    <row r="755" spans="2:24" s="0" customFormat="0" ht="15">
      <c r="B755" s="69">
        <v>8140507</v>
      </c>
      <c r="C755" s="70" t="s">
        <v>1052</v>
      </c>
      <c r="D755" s="70" t="s">
        <v>1</v>
      </c>
      <c r="E755" s="70" t="s">
        <v>1</v>
      </c>
      <c r="F755" s="70"/>
      <c r="G755" s="70" t="s">
        <v>61</v>
      </c>
      <c r="H755" s="70" t="s">
        <v>178</v>
      </c>
      <c r="I755" s="70" t="s">
        <v>179</v>
      </c>
      <c r="J755" s="71">
        <f>IF(OR(I755=0,I755=""),"unrated",VLOOKUP(I755,MappingTables!$B$19:$C$31,2,FALSE))</f>
        <v>4</v>
      </c>
      <c r="K755" s="72">
        <v>25154.265866562084</v>
      </c>
      <c r="L755" s="70">
        <v>11.930633820278646</v>
      </c>
      <c r="M755" s="71">
        <f>IF(L755&lt;1,1,L755)</f>
        <v>11.930633820278646</v>
      </c>
      <c r="N755" s="70" t="s">
        <v>141</v>
      </c>
      <c r="O755" s="71">
        <f>INDEX(DurClassMapping,MATCH(M755,MappingTables!$D$4:$D$8,-1),1)</f>
        <v>3</v>
      </c>
      <c r="P755" s="73">
        <f>IF(M755=$A$1,1,$M755-INDEX(MappingTables!$E$4:$E$8,MATCH(O755,MappingTables!$B$4:$B$8,0)))</f>
        <v>1.9306338202786452</v>
      </c>
      <c r="Q755" s="71">
        <f>IF(B755="",0,INDEX(ModelParameters!$D$6:$K$10,MATCH($O755,ModelParameters!$B$6:$B$10,0),MATCH($J755,ModelParameters!$D$5:$K$5,0)))</f>
        <v>0.018000000000000002</v>
      </c>
      <c r="R755" s="71">
        <f>IF(B755="",0,INDEX(ModelParameters!$D$13:$K$17,MATCH($O755,ModelParameters!$B$13:$B$17,0),MATCH($J755,ModelParameters!$D$5:$K$5,0)))</f>
        <v>0.34999999999999996</v>
      </c>
      <c r="S755" s="160">
        <f>IF(B755="",0,MIN(IF($N755="Other Bond TM",ModelParameters!$N$21,1)*(P755*Q755+R755),1))</f>
        <v>0.3847514087650156</v>
      </c>
      <c r="T755" s="85">
        <f>IF(B755="",0,$S755*$K755)</f>
        <v>9678.1392286095072</v>
      </c>
      <c r="U755" s="85">
        <f>IF(B755="",0,IF(OR(H755=MappingTables!$C$34,H755=MappingTables!$C$35),T755,0))</f>
        <v>0</v>
      </c>
      <c r="V755" s="85">
        <f>IF(ISNA(IF(AND(VLOOKUP(CONCATENATE($D755,$G755),CSRFinput!$B:$E,4,0)=0,OR(H755=MappingTables!$C$34,H755=MappingTables!$C$35)),1,VLOOKUP(CONCATENATE($D755,$G755),CSRFinput!$B:$E,4,0))),0,IF(AND(VLOOKUP(CONCATENATE($D755,$G755),CSRFinput!$B:$E,4,0)=0,OR(H755=MappingTables!$C$34,H755=MappingTables!$C$35)),1,VLOOKUP(CONCATENATE($D755,$G755),CSRFinput!$B:$E,4,0)))</f>
        <v>0.054776304963434752</v>
      </c>
      <c r="W755" s="85">
        <f>IF(B755="",0,+$T755*$V755)</f>
        <v>530.1327058648956</v>
      </c>
      <c r="X755" s="85">
        <f>IF(B755="",0,IF(OR(H755=MappingTables!$C$34,H755=MappingTables!$C$35),W755,0))</f>
        <v>0</v>
      </c>
    </row>
    <row r="756" spans="2:24" s="0" customFormat="0" ht="15">
      <c r="B756" s="69">
        <v>14122089</v>
      </c>
      <c r="C756" s="70" t="s">
        <v>1053</v>
      </c>
      <c r="D756" s="70" t="s">
        <v>1</v>
      </c>
      <c r="E756" s="70" t="s">
        <v>1</v>
      </c>
      <c r="F756" s="70"/>
      <c r="G756" s="70" t="s">
        <v>61</v>
      </c>
      <c r="H756" s="70" t="s">
        <v>178</v>
      </c>
      <c r="I756" s="70" t="s">
        <v>184</v>
      </c>
      <c r="J756" s="71">
        <f>IF(OR(I756=0,I756=""),"unrated",VLOOKUP(I756,MappingTables!$B$19:$C$31,2,FALSE))</f>
        <v>5</v>
      </c>
      <c r="K756" s="72">
        <v>139.70084651064928</v>
      </c>
      <c r="L756" s="70">
        <v>0.087668473888975728</v>
      </c>
      <c r="M756" s="71">
        <f>IF(L756&lt;1,1,L756)</f>
        <v>1</v>
      </c>
      <c r="N756" s="70" t="s">
        <v>141</v>
      </c>
      <c r="O756" s="71">
        <f>INDEX(DurClassMapping,MATCH(M756,MappingTables!$D$4:$D$8,-1),1)</f>
        <v>1</v>
      </c>
      <c r="P756" s="73">
        <f>IF(M756=$A$1,1,$M756-INDEX(MappingTables!$E$4:$E$8,MATCH(O756,MappingTables!$B$4:$B$8,0)))</f>
        <v>1</v>
      </c>
      <c r="Q756" s="71">
        <f>IF(B756="",0,INDEX(ModelParameters!$D$6:$K$10,MATCH($O756,ModelParameters!$B$6:$B$10,0),MATCH($J756,ModelParameters!$D$5:$K$5,0)))</f>
        <v>0.075</v>
      </c>
      <c r="R756" s="71">
        <f>IF(B756="",0,INDEX(ModelParameters!$D$13:$K$17,MATCH($O756,ModelParameters!$B$13:$B$17,0),MATCH($J756,ModelParameters!$D$5:$K$5,0)))</f>
        <v>0</v>
      </c>
      <c r="S756" s="160">
        <f>IF(B756="",0,MIN(IF($N756="Other Bond TM",ModelParameters!$N$21,1)*(P756*Q756+R756),1))</f>
        <v>0.075</v>
      </c>
      <c r="T756" s="85">
        <f>IF(B756="",0,$S756*$K756)</f>
        <v>10.477563488298696</v>
      </c>
      <c r="U756" s="85">
        <f>IF(B756="",0,IF(OR(H756=MappingTables!$C$34,H756=MappingTables!$C$35),T756,0))</f>
        <v>0</v>
      </c>
      <c r="V756" s="85">
        <f>IF(ISNA(IF(AND(VLOOKUP(CONCATENATE($D756,$G756),CSRFinput!$B:$E,4,0)=0,OR(H756=MappingTables!$C$34,H756=MappingTables!$C$35)),1,VLOOKUP(CONCATENATE($D756,$G756),CSRFinput!$B:$E,4,0))),0,IF(AND(VLOOKUP(CONCATENATE($D756,$G756),CSRFinput!$B:$E,4,0)=0,OR(H756=MappingTables!$C$34,H756=MappingTables!$C$35)),1,VLOOKUP(CONCATENATE($D756,$G756),CSRFinput!$B:$E,4,0)))</f>
        <v>0.054776304963434752</v>
      </c>
      <c r="W756" s="85">
        <f>IF(B756="",0,+$T756*$V756)</f>
        <v>0.57392221290879864</v>
      </c>
      <c r="X756" s="85">
        <f>IF(B756="",0,IF(OR(H756=MappingTables!$C$34,H756=MappingTables!$C$35),W756,0))</f>
        <v>0</v>
      </c>
    </row>
    <row r="757" spans="2:24" s="0" customFormat="0" ht="15">
      <c r="B757" s="69">
        <v>13452757</v>
      </c>
      <c r="C757" s="70" t="s">
        <v>1054</v>
      </c>
      <c r="D757" s="70" t="s">
        <v>1</v>
      </c>
      <c r="E757" s="70" t="s">
        <v>1</v>
      </c>
      <c r="F757" s="70"/>
      <c r="G757" s="70" t="s">
        <v>61</v>
      </c>
      <c r="H757" s="70" t="s">
        <v>178</v>
      </c>
      <c r="I757" s="70" t="s">
        <v>179</v>
      </c>
      <c r="J757" s="71">
        <f>IF(OR(I757=0,I757=""),"unrated",VLOOKUP(I757,MappingTables!$B$19:$C$31,2,FALSE))</f>
        <v>4</v>
      </c>
      <c r="K757" s="72">
        <v>20625.90367413976</v>
      </c>
      <c r="L757" s="70">
        <v>1.1370705613249854</v>
      </c>
      <c r="M757" s="71">
        <f>IF(L757&lt;1,1,L757)</f>
        <v>1.1370705613249854</v>
      </c>
      <c r="N757" s="70" t="s">
        <v>141</v>
      </c>
      <c r="O757" s="71">
        <f>INDEX(DurClassMapping,MATCH(M757,MappingTables!$D$4:$D$8,-1),1)</f>
        <v>1</v>
      </c>
      <c r="P757" s="73">
        <f>IF(M757=$A$1,1,$M757-INDEX(MappingTables!$E$4:$E$8,MATCH(O757,MappingTables!$B$4:$B$8,0)))</f>
        <v>1.1370705613249854</v>
      </c>
      <c r="Q757" s="71">
        <f>IF(B757="",0,INDEX(ModelParameters!$D$6:$K$10,MATCH($O757,ModelParameters!$B$6:$B$10,0),MATCH($J757,ModelParameters!$D$5:$K$5,0)))</f>
        <v>0.045</v>
      </c>
      <c r="R757" s="71">
        <f>IF(B757="",0,INDEX(ModelParameters!$D$13:$K$17,MATCH($O757,ModelParameters!$B$13:$B$17,0),MATCH($J757,ModelParameters!$D$5:$K$5,0)))</f>
        <v>0</v>
      </c>
      <c r="S757" s="160">
        <f>IF(B757="",0,MIN(IF($N757="Other Bond TM",ModelParameters!$N$21,1)*(P757*Q757+R757),1))</f>
        <v>0.051168175259624336</v>
      </c>
      <c r="T757" s="85">
        <f>IF(B757="",0,$S757*$K757)</f>
        <v>1055.389854086513</v>
      </c>
      <c r="U757" s="85">
        <f>IF(B757="",0,IF(OR(H757=MappingTables!$C$34,H757=MappingTables!$C$35),T757,0))</f>
        <v>0</v>
      </c>
      <c r="V757" s="85">
        <f>IF(ISNA(IF(AND(VLOOKUP(CONCATENATE($D757,$G757),CSRFinput!$B:$E,4,0)=0,OR(H757=MappingTables!$C$34,H757=MappingTables!$C$35)),1,VLOOKUP(CONCATENATE($D757,$G757),CSRFinput!$B:$E,4,0))),0,IF(AND(VLOOKUP(CONCATENATE($D757,$G757),CSRFinput!$B:$E,4,0)=0,OR(H757=MappingTables!$C$34,H757=MappingTables!$C$35)),1,VLOOKUP(CONCATENATE($D757,$G757),CSRFinput!$B:$E,4,0)))</f>
        <v>0.054776304963434752</v>
      </c>
      <c r="W757" s="85">
        <f>IF(B757="",0,+$T757*$V757)</f>
        <v>57.810356502757744</v>
      </c>
      <c r="X757" s="85">
        <f>IF(B757="",0,IF(OR(H757=MappingTables!$C$34,H757=MappingTables!$C$35),W757,0))</f>
        <v>0</v>
      </c>
    </row>
    <row r="758" spans="2:24" s="0" customFormat="0" ht="15">
      <c r="B758" s="69">
        <v>21380829</v>
      </c>
      <c r="C758" s="70" t="s">
        <v>1055</v>
      </c>
      <c r="D758" s="70" t="s">
        <v>1</v>
      </c>
      <c r="E758" s="70" t="s">
        <v>1</v>
      </c>
      <c r="F758" s="70"/>
      <c r="G758" s="70" t="s">
        <v>61</v>
      </c>
      <c r="H758" s="70" t="s">
        <v>178</v>
      </c>
      <c r="I758" s="70" t="s">
        <v>188</v>
      </c>
      <c r="J758" s="71">
        <f>IF(OR(I758=0,I758=""),"unrated",VLOOKUP(I758,MappingTables!$B$19:$C$31,2,FALSE))</f>
        <v>2</v>
      </c>
      <c r="K758" s="72">
        <v>801.64037025182896</v>
      </c>
      <c r="L758" s="70">
        <v>9.939784202759408</v>
      </c>
      <c r="M758" s="71">
        <f>IF(L758&lt;1,1,L758)</f>
        <v>9.939784202759408</v>
      </c>
      <c r="N758" s="70" t="s">
        <v>141</v>
      </c>
      <c r="O758" s="71">
        <f>INDEX(DurClassMapping,MATCH(M758,MappingTables!$D$4:$D$8,-1),1)</f>
        <v>2</v>
      </c>
      <c r="P758" s="73">
        <f>IF(M758=$A$1,1,$M758-INDEX(MappingTables!$E$4:$E$8,MATCH(O758,MappingTables!$B$4:$B$8,0)))</f>
        <v>4.9397842027594088</v>
      </c>
      <c r="Q758" s="71">
        <f>IF(B758="",0,INDEX(ModelParameters!$D$6:$K$10,MATCH($O758,ModelParameters!$B$6:$B$10,0),MATCH($J758,ModelParameters!$D$5:$K$5,0)))</f>
        <v>0.0069999999999999992</v>
      </c>
      <c r="R758" s="71">
        <f>IF(B758="",0,INDEX(ModelParameters!$D$13:$K$17,MATCH($O758,ModelParameters!$B$13:$B$17,0),MATCH($J758,ModelParameters!$D$5:$K$5,0)))</f>
        <v>0.070000000000000008</v>
      </c>
      <c r="S758" s="160">
        <f>IF(B758="",0,MIN(IF($N758="Other Bond TM",ModelParameters!$N$21,1)*(P758*Q758+R758),1))</f>
        <v>0.10457848941931586</v>
      </c>
      <c r="T758" s="85">
        <f>IF(B758="",0,$S758*$K758)</f>
        <v>83.834338978477328</v>
      </c>
      <c r="U758" s="85">
        <f>IF(B758="",0,IF(OR(H758=MappingTables!$C$34,H758=MappingTables!$C$35),T758,0))</f>
        <v>0</v>
      </c>
      <c r="V758" s="85">
        <f>IF(ISNA(IF(AND(VLOOKUP(CONCATENATE($D758,$G758),CSRFinput!$B:$E,4,0)=0,OR(H758=MappingTables!$C$34,H758=MappingTables!$C$35)),1,VLOOKUP(CONCATENATE($D758,$G758),CSRFinput!$B:$E,4,0))),0,IF(AND(VLOOKUP(CONCATENATE($D758,$G758),CSRFinput!$B:$E,4,0)=0,OR(H758=MappingTables!$C$34,H758=MappingTables!$C$35)),1,VLOOKUP(CONCATENATE($D758,$G758),CSRFinput!$B:$E,4,0)))</f>
        <v>0.054776304963434752</v>
      </c>
      <c r="W758" s="85">
        <f>IF(B758="",0,+$T758*$V758)</f>
        <v>4.59213531829304</v>
      </c>
      <c r="X758" s="85">
        <f>IF(B758="",0,IF(OR(H758=MappingTables!$C$34,H758=MappingTables!$C$35),W758,0))</f>
        <v>0</v>
      </c>
    </row>
    <row r="759" spans="2:24" s="0" customFormat="0" ht="15">
      <c r="B759" s="69">
        <v>10566104</v>
      </c>
      <c r="C759" s="70" t="s">
        <v>1056</v>
      </c>
      <c r="D759" s="70" t="s">
        <v>1</v>
      </c>
      <c r="E759" s="70" t="s">
        <v>1</v>
      </c>
      <c r="F759" s="70"/>
      <c r="G759" s="70" t="s">
        <v>61</v>
      </c>
      <c r="H759" s="70" t="s">
        <v>178</v>
      </c>
      <c r="I759" s="70" t="s">
        <v>181</v>
      </c>
      <c r="J759" s="71">
        <f>IF(OR(I759=0,I759=""),"unrated",VLOOKUP(I759,MappingTables!$B$19:$C$31,2,FALSE))</f>
        <v>3</v>
      </c>
      <c r="K759" s="72">
        <v>579.90132106238056</v>
      </c>
      <c r="L759" s="70">
        <v>0.25479602385561144</v>
      </c>
      <c r="M759" s="71">
        <f>IF(L759&lt;1,1,L759)</f>
        <v>1</v>
      </c>
      <c r="N759" s="70" t="s">
        <v>141</v>
      </c>
      <c r="O759" s="71">
        <f>INDEX(DurClassMapping,MATCH(M759,MappingTables!$D$4:$D$8,-1),1)</f>
        <v>1</v>
      </c>
      <c r="P759" s="73">
        <f>IF(M759=$A$1,1,$M759-INDEX(MappingTables!$E$4:$E$8,MATCH(O759,MappingTables!$B$4:$B$8,0)))</f>
        <v>1</v>
      </c>
      <c r="Q759" s="71">
        <f>IF(B759="",0,INDEX(ModelParameters!$D$6:$K$10,MATCH($O759,ModelParameters!$B$6:$B$10,0),MATCH($J759,ModelParameters!$D$5:$K$5,0)))</f>
        <v>0.025</v>
      </c>
      <c r="R759" s="71">
        <f>IF(B759="",0,INDEX(ModelParameters!$D$13:$K$17,MATCH($O759,ModelParameters!$B$13:$B$17,0),MATCH($J759,ModelParameters!$D$5:$K$5,0)))</f>
        <v>0</v>
      </c>
      <c r="S759" s="160">
        <f>IF(B759="",0,MIN(IF($N759="Other Bond TM",ModelParameters!$N$21,1)*(P759*Q759+R759),1))</f>
        <v>0.025</v>
      </c>
      <c r="T759" s="85">
        <f>IF(B759="",0,$S759*$K759)</f>
        <v>14.497533026559516</v>
      </c>
      <c r="U759" s="85">
        <f>IF(B759="",0,IF(OR(H759=MappingTables!$C$34,H759=MappingTables!$C$35),T759,0))</f>
        <v>0</v>
      </c>
      <c r="V759" s="85">
        <f>IF(ISNA(IF(AND(VLOOKUP(CONCATENATE($D759,$G759),CSRFinput!$B:$E,4,0)=0,OR(H759=MappingTables!$C$34,H759=MappingTables!$C$35)),1,VLOOKUP(CONCATENATE($D759,$G759),CSRFinput!$B:$E,4,0))),0,IF(AND(VLOOKUP(CONCATENATE($D759,$G759),CSRFinput!$B:$E,4,0)=0,OR(H759=MappingTables!$C$34,H759=MappingTables!$C$35)),1,VLOOKUP(CONCATENATE($D759,$G759),CSRFinput!$B:$E,4,0)))</f>
        <v>0.054776304963434752</v>
      </c>
      <c r="W759" s="85">
        <f>IF(B759="",0,+$T759*$V759)</f>
        <v>0.79412129028029136</v>
      </c>
      <c r="X759" s="85">
        <f>IF(B759="",0,IF(OR(H759=MappingTables!$C$34,H759=MappingTables!$C$35),W759,0))</f>
        <v>0</v>
      </c>
    </row>
    <row r="760" spans="2:24" s="0" customFormat="0" ht="15">
      <c r="B760" s="69">
        <v>12187816</v>
      </c>
      <c r="C760" s="70" t="s">
        <v>294</v>
      </c>
      <c r="D760" s="70" t="s">
        <v>1</v>
      </c>
      <c r="E760" s="70" t="s">
        <v>1</v>
      </c>
      <c r="F760" s="70"/>
      <c r="G760" s="70" t="s">
        <v>61</v>
      </c>
      <c r="H760" s="70" t="s">
        <v>178</v>
      </c>
      <c r="I760" s="70" t="s">
        <v>181</v>
      </c>
      <c r="J760" s="71">
        <f>IF(OR(I760=0,I760=""),"unrated",VLOOKUP(I760,MappingTables!$B$19:$C$31,2,FALSE))</f>
        <v>3</v>
      </c>
      <c r="K760" s="72">
        <v>31196.996369672052</v>
      </c>
      <c r="L760" s="70">
        <v>2.3717134205609756</v>
      </c>
      <c r="M760" s="71">
        <f>IF(L760&lt;1,1,L760)</f>
        <v>2.3717134205609756</v>
      </c>
      <c r="N760" s="70" t="s">
        <v>141</v>
      </c>
      <c r="O760" s="71">
        <f>INDEX(DurClassMapping,MATCH(M760,MappingTables!$D$4:$D$8,-1),1)</f>
        <v>1</v>
      </c>
      <c r="P760" s="73">
        <f>IF(M760=$A$1,1,$M760-INDEX(MappingTables!$E$4:$E$8,MATCH(O760,MappingTables!$B$4:$B$8,0)))</f>
        <v>2.3717134205609756</v>
      </c>
      <c r="Q760" s="71">
        <f>IF(B760="",0,INDEX(ModelParameters!$D$6:$K$10,MATCH($O760,ModelParameters!$B$6:$B$10,0),MATCH($J760,ModelParameters!$D$5:$K$5,0)))</f>
        <v>0.025</v>
      </c>
      <c r="R760" s="71">
        <f>IF(B760="",0,INDEX(ModelParameters!$D$13:$K$17,MATCH($O760,ModelParameters!$B$13:$B$17,0),MATCH($J760,ModelParameters!$D$5:$K$5,0)))</f>
        <v>0</v>
      </c>
      <c r="S760" s="160">
        <f>IF(B760="",0,MIN(IF($N760="Other Bond TM",ModelParameters!$N$21,1)*(P760*Q760+R760),1))</f>
        <v>0.059292835514024392</v>
      </c>
      <c r="T760" s="85">
        <f>IF(B760="",0,$S760*$K760)</f>
        <v>1849.7583742785812</v>
      </c>
      <c r="U760" s="85">
        <f>IF(B760="",0,IF(OR(H760=MappingTables!$C$34,H760=MappingTables!$C$35),T760,0))</f>
        <v>0</v>
      </c>
      <c r="V760" s="85">
        <f>IF(ISNA(IF(AND(VLOOKUP(CONCATENATE($D760,$G760),CSRFinput!$B:$E,4,0)=0,OR(H760=MappingTables!$C$34,H760=MappingTables!$C$35)),1,VLOOKUP(CONCATENATE($D760,$G760),CSRFinput!$B:$E,4,0))),0,IF(AND(VLOOKUP(CONCATENATE($D760,$G760),CSRFinput!$B:$E,4,0)=0,OR(H760=MappingTables!$C$34,H760=MappingTables!$C$35)),1,VLOOKUP(CONCATENATE($D760,$G760),CSRFinput!$B:$E,4,0)))</f>
        <v>0.054776304963434752</v>
      </c>
      <c r="W760" s="85">
        <f>IF(B760="",0,+$T760*$V760)</f>
        <v>101.32292881815084</v>
      </c>
      <c r="X760" s="85">
        <f>IF(B760="",0,IF(OR(H760=MappingTables!$C$34,H760=MappingTables!$C$35),W760,0))</f>
        <v>0</v>
      </c>
    </row>
    <row r="761" spans="2:24" s="0" customFormat="0" ht="15">
      <c r="B761" s="69">
        <v>14272069</v>
      </c>
      <c r="C761" s="70" t="s">
        <v>1057</v>
      </c>
      <c r="D761" s="70" t="s">
        <v>1</v>
      </c>
      <c r="E761" s="70" t="s">
        <v>1</v>
      </c>
      <c r="F761" s="70"/>
      <c r="G761" s="70" t="s">
        <v>61</v>
      </c>
      <c r="H761" s="70" t="s">
        <v>178</v>
      </c>
      <c r="I761" s="70" t="s">
        <v>188</v>
      </c>
      <c r="J761" s="71">
        <f>IF(OR(I761=0,I761=""),"unrated",VLOOKUP(I761,MappingTables!$B$19:$C$31,2,FALSE))</f>
        <v>2</v>
      </c>
      <c r="K761" s="72">
        <v>3448.1373844807032</v>
      </c>
      <c r="L761" s="70">
        <v>1.41147709050761</v>
      </c>
      <c r="M761" s="71">
        <f>IF(L761&lt;1,1,L761)</f>
        <v>1.41147709050761</v>
      </c>
      <c r="N761" s="70" t="s">
        <v>141</v>
      </c>
      <c r="O761" s="71">
        <f>INDEX(DurClassMapping,MATCH(M761,MappingTables!$D$4:$D$8,-1),1)</f>
        <v>1</v>
      </c>
      <c r="P761" s="73">
        <f>IF(M761=$A$1,1,$M761-INDEX(MappingTables!$E$4:$E$8,MATCH(O761,MappingTables!$B$4:$B$8,0)))</f>
        <v>1.41147709050761</v>
      </c>
      <c r="Q761" s="71">
        <f>IF(B761="",0,INDEX(ModelParameters!$D$6:$K$10,MATCH($O761,ModelParameters!$B$6:$B$10,0),MATCH($J761,ModelParameters!$D$5:$K$5,0)))</f>
        <v>0.013999999999999998</v>
      </c>
      <c r="R761" s="71">
        <f>IF(B761="",0,INDEX(ModelParameters!$D$13:$K$17,MATCH($O761,ModelParameters!$B$13:$B$17,0),MATCH($J761,ModelParameters!$D$5:$K$5,0)))</f>
        <v>0</v>
      </c>
      <c r="S761" s="160">
        <f>IF(B761="",0,MIN(IF($N761="Other Bond TM",ModelParameters!$N$21,1)*(P761*Q761+R761),1))</f>
        <v>0.01976067926710654</v>
      </c>
      <c r="T761" s="85">
        <f>IF(B761="",0,$S761*$K761)</f>
        <v>68.1375369236428</v>
      </c>
      <c r="U761" s="85">
        <f>IF(B761="",0,IF(OR(H761=MappingTables!$C$34,H761=MappingTables!$C$35),T761,0))</f>
        <v>0</v>
      </c>
      <c r="V761" s="85">
        <f>IF(ISNA(IF(AND(VLOOKUP(CONCATENATE($D761,$G761),CSRFinput!$B:$E,4,0)=0,OR(H761=MappingTables!$C$34,H761=MappingTables!$C$35)),1,VLOOKUP(CONCATENATE($D761,$G761),CSRFinput!$B:$E,4,0))),0,IF(AND(VLOOKUP(CONCATENATE($D761,$G761),CSRFinput!$B:$E,4,0)=0,OR(H761=MappingTables!$C$34,H761=MappingTables!$C$35)),1,VLOOKUP(CONCATENATE($D761,$G761),CSRFinput!$B:$E,4,0)))</f>
        <v>0.054776304963434752</v>
      </c>
      <c r="W761" s="85">
        <f>IF(B761="",0,+$T761*$V761)</f>
        <v>3.7323225019867536</v>
      </c>
      <c r="X761" s="85">
        <f>IF(B761="",0,IF(OR(H761=MappingTables!$C$34,H761=MappingTables!$C$35),W761,0))</f>
        <v>0</v>
      </c>
    </row>
    <row r="762" spans="2:24" s="0" customFormat="0" ht="15">
      <c r="B762" s="69">
        <v>12819849</v>
      </c>
      <c r="C762" s="70" t="s">
        <v>951</v>
      </c>
      <c r="D762" s="70" t="s">
        <v>1</v>
      </c>
      <c r="E762" s="70" t="s">
        <v>1</v>
      </c>
      <c r="F762" s="70"/>
      <c r="G762" s="70" t="s">
        <v>61</v>
      </c>
      <c r="H762" s="70" t="s">
        <v>178</v>
      </c>
      <c r="I762" s="70" t="s">
        <v>188</v>
      </c>
      <c r="J762" s="71">
        <f>IF(OR(I762=0,I762=""),"unrated",VLOOKUP(I762,MappingTables!$B$19:$C$31,2,FALSE))</f>
        <v>2</v>
      </c>
      <c r="K762" s="72">
        <v>1328.7516399953368</v>
      </c>
      <c r="L762" s="70">
        <v>0.74804759573118416</v>
      </c>
      <c r="M762" s="71">
        <f>IF(L762&lt;1,1,L762)</f>
        <v>1</v>
      </c>
      <c r="N762" s="70" t="s">
        <v>141</v>
      </c>
      <c r="O762" s="71">
        <f>INDEX(DurClassMapping,MATCH(M762,MappingTables!$D$4:$D$8,-1),1)</f>
        <v>1</v>
      </c>
      <c r="P762" s="73">
        <f>IF(M762=$A$1,1,$M762-INDEX(MappingTables!$E$4:$E$8,MATCH(O762,MappingTables!$B$4:$B$8,0)))</f>
        <v>1</v>
      </c>
      <c r="Q762" s="71">
        <f>IF(B762="",0,INDEX(ModelParameters!$D$6:$K$10,MATCH($O762,ModelParameters!$B$6:$B$10,0),MATCH($J762,ModelParameters!$D$5:$K$5,0)))</f>
        <v>0.013999999999999998</v>
      </c>
      <c r="R762" s="71">
        <f>IF(B762="",0,INDEX(ModelParameters!$D$13:$K$17,MATCH($O762,ModelParameters!$B$13:$B$17,0),MATCH($J762,ModelParameters!$D$5:$K$5,0)))</f>
        <v>0</v>
      </c>
      <c r="S762" s="160">
        <f>IF(B762="",0,MIN(IF($N762="Other Bond TM",ModelParameters!$N$21,1)*(P762*Q762+R762),1))</f>
        <v>0.013999999999999998</v>
      </c>
      <c r="T762" s="85">
        <f>IF(B762="",0,$S762*$K762)</f>
        <v>18.602522959934712</v>
      </c>
      <c r="U762" s="85">
        <f>IF(B762="",0,IF(OR(H762=MappingTables!$C$34,H762=MappingTables!$C$35),T762,0))</f>
        <v>0</v>
      </c>
      <c r="V762" s="85">
        <f>IF(ISNA(IF(AND(VLOOKUP(CONCATENATE($D762,$G762),CSRFinput!$B:$E,4,0)=0,OR(H762=MappingTables!$C$34,H762=MappingTables!$C$35)),1,VLOOKUP(CONCATENATE($D762,$G762),CSRFinput!$B:$E,4,0))),0,IF(AND(VLOOKUP(CONCATENATE($D762,$G762),CSRFinput!$B:$E,4,0)=0,OR(H762=MappingTables!$C$34,H762=MappingTables!$C$35)),1,VLOOKUP(CONCATENATE($D762,$G762),CSRFinput!$B:$E,4,0)))</f>
        <v>0.054776304963434752</v>
      </c>
      <c r="W762" s="85">
        <f>IF(B762="",0,+$T762*$V762)</f>
        <v>1.0189774707426808</v>
      </c>
      <c r="X762" s="85">
        <f>IF(B762="",0,IF(OR(H762=MappingTables!$C$34,H762=MappingTables!$C$35),W762,0))</f>
        <v>0</v>
      </c>
    </row>
    <row r="763" spans="2:24" s="0" customFormat="0" ht="15">
      <c r="B763" s="69">
        <v>14275608</v>
      </c>
      <c r="C763" s="70" t="s">
        <v>1058</v>
      </c>
      <c r="D763" s="70" t="s">
        <v>1</v>
      </c>
      <c r="E763" s="70" t="s">
        <v>1</v>
      </c>
      <c r="F763" s="70"/>
      <c r="G763" s="70" t="s">
        <v>61</v>
      </c>
      <c r="H763" s="70" t="s">
        <v>178</v>
      </c>
      <c r="I763" s="70" t="s">
        <v>181</v>
      </c>
      <c r="J763" s="71">
        <f>IF(OR(I763=0,I763=""),"unrated",VLOOKUP(I763,MappingTables!$B$19:$C$31,2,FALSE))</f>
        <v>3</v>
      </c>
      <c r="K763" s="72">
        <v>4524.3485301907704</v>
      </c>
      <c r="L763" s="70">
        <v>3.32342837973304</v>
      </c>
      <c r="M763" s="71">
        <f>IF(L763&lt;1,1,L763)</f>
        <v>3.32342837973304</v>
      </c>
      <c r="N763" s="70" t="s">
        <v>141</v>
      </c>
      <c r="O763" s="71">
        <f>INDEX(DurClassMapping,MATCH(M763,MappingTables!$D$4:$D$8,-1),1)</f>
        <v>1</v>
      </c>
      <c r="P763" s="73">
        <f>IF(M763=$A$1,1,$M763-INDEX(MappingTables!$E$4:$E$8,MATCH(O763,MappingTables!$B$4:$B$8,0)))</f>
        <v>3.32342837973304</v>
      </c>
      <c r="Q763" s="71">
        <f>IF(B763="",0,INDEX(ModelParameters!$D$6:$K$10,MATCH($O763,ModelParameters!$B$6:$B$10,0),MATCH($J763,ModelParameters!$D$5:$K$5,0)))</f>
        <v>0.025</v>
      </c>
      <c r="R763" s="71">
        <f>IF(B763="",0,INDEX(ModelParameters!$D$13:$K$17,MATCH($O763,ModelParameters!$B$13:$B$17,0),MATCH($J763,ModelParameters!$D$5:$K$5,0)))</f>
        <v>0</v>
      </c>
      <c r="S763" s="160">
        <f>IF(B763="",0,MIN(IF($N763="Other Bond TM",ModelParameters!$N$21,1)*(P763*Q763+R763),1))</f>
        <v>0.083085709493326</v>
      </c>
      <c r="T763" s="85">
        <f>IF(B763="",0,$S763*$K763)</f>
        <v>375.9087076259868</v>
      </c>
      <c r="U763" s="85">
        <f>IF(B763="",0,IF(OR(H763=MappingTables!$C$34,H763=MappingTables!$C$35),T763,0))</f>
        <v>0</v>
      </c>
      <c r="V763" s="85">
        <f>IF(ISNA(IF(AND(VLOOKUP(CONCATENATE($D763,$G763),CSRFinput!$B:$E,4,0)=0,OR(H763=MappingTables!$C$34,H763=MappingTables!$C$35)),1,VLOOKUP(CONCATENATE($D763,$G763),CSRFinput!$B:$E,4,0))),0,IF(AND(VLOOKUP(CONCATENATE($D763,$G763),CSRFinput!$B:$E,4,0)=0,OR(H763=MappingTables!$C$34,H763=MappingTables!$C$35)),1,VLOOKUP(CONCATENATE($D763,$G763),CSRFinput!$B:$E,4,0)))</f>
        <v>0.054776304963434752</v>
      </c>
      <c r="W763" s="85">
        <f>IF(B763="",0,+$T763*$V763)</f>
        <v>20.590890007331688</v>
      </c>
      <c r="X763" s="85">
        <f>IF(B763="",0,IF(OR(H763=MappingTables!$C$34,H763=MappingTables!$C$35),W763,0))</f>
        <v>0</v>
      </c>
    </row>
    <row r="764" spans="2:24" s="0" customFormat="0" ht="15">
      <c r="B764" s="69">
        <v>22063603</v>
      </c>
      <c r="C764" s="70" t="s">
        <v>1059</v>
      </c>
      <c r="D764" s="70" t="s">
        <v>1</v>
      </c>
      <c r="E764" s="70" t="s">
        <v>1</v>
      </c>
      <c r="F764" s="70"/>
      <c r="G764" s="70" t="s">
        <v>61</v>
      </c>
      <c r="H764" s="70" t="s">
        <v>178</v>
      </c>
      <c r="I764" s="70" t="s">
        <v>188</v>
      </c>
      <c r="J764" s="71">
        <f>IF(OR(I764=0,I764=""),"unrated",VLOOKUP(I764,MappingTables!$B$19:$C$31,2,FALSE))</f>
        <v>2</v>
      </c>
      <c r="K764" s="72">
        <v>214.72210793653296</v>
      </c>
      <c r="L764" s="70">
        <v>8.1434150147914912</v>
      </c>
      <c r="M764" s="71">
        <f>IF(L764&lt;1,1,L764)</f>
        <v>8.1434150147914912</v>
      </c>
      <c r="N764" s="70" t="s">
        <v>141</v>
      </c>
      <c r="O764" s="71">
        <f>INDEX(DurClassMapping,MATCH(M764,MappingTables!$D$4:$D$8,-1),1)</f>
        <v>2</v>
      </c>
      <c r="P764" s="73">
        <f>IF(M764=$A$1,1,$M764-INDEX(MappingTables!$E$4:$E$8,MATCH(O764,MappingTables!$B$4:$B$8,0)))</f>
        <v>3.1434150147914916</v>
      </c>
      <c r="Q764" s="71">
        <f>IF(B764="",0,INDEX(ModelParameters!$D$6:$K$10,MATCH($O764,ModelParameters!$B$6:$B$10,0),MATCH($J764,ModelParameters!$D$5:$K$5,0)))</f>
        <v>0.0069999999999999992</v>
      </c>
      <c r="R764" s="71">
        <f>IF(B764="",0,INDEX(ModelParameters!$D$13:$K$17,MATCH($O764,ModelParameters!$B$13:$B$17,0),MATCH($J764,ModelParameters!$D$5:$K$5,0)))</f>
        <v>0.070000000000000008</v>
      </c>
      <c r="S764" s="160">
        <f>IF(B764="",0,MIN(IF($N764="Other Bond TM",ModelParameters!$N$21,1)*(P764*Q764+R764),1))</f>
        <v>0.092003905103540448</v>
      </c>
      <c r="T764" s="85">
        <f>IF(B764="",0,$S764*$K764)</f>
        <v>19.755272442224948</v>
      </c>
      <c r="U764" s="85">
        <f>IF(B764="",0,IF(OR(H764=MappingTables!$C$34,H764=MappingTables!$C$35),T764,0))</f>
        <v>0</v>
      </c>
      <c r="V764" s="85">
        <f>IF(ISNA(IF(AND(VLOOKUP(CONCATENATE($D764,$G764),CSRFinput!$B:$E,4,0)=0,OR(H764=MappingTables!$C$34,H764=MappingTables!$C$35)),1,VLOOKUP(CONCATENATE($D764,$G764),CSRFinput!$B:$E,4,0))),0,IF(AND(VLOOKUP(CONCATENATE($D764,$G764),CSRFinput!$B:$E,4,0)=0,OR(H764=MappingTables!$C$34,H764=MappingTables!$C$35)),1,VLOOKUP(CONCATENATE($D764,$G764),CSRFinput!$B:$E,4,0)))</f>
        <v>0.054776304963434752</v>
      </c>
      <c r="W764" s="85">
        <f>IF(B764="",0,+$T764*$V764)</f>
        <v>1.0821208279310522</v>
      </c>
      <c r="X764" s="85">
        <f>IF(B764="",0,IF(OR(H764=MappingTables!$C$34,H764=MappingTables!$C$35),W764,0))</f>
        <v>0</v>
      </c>
    </row>
    <row r="765" spans="2:24" s="0" customFormat="0" ht="15">
      <c r="B765" s="69">
        <v>17240179</v>
      </c>
      <c r="C765" s="70" t="s">
        <v>1060</v>
      </c>
      <c r="D765" s="70" t="s">
        <v>1</v>
      </c>
      <c r="E765" s="70" t="s">
        <v>1</v>
      </c>
      <c r="F765" s="70"/>
      <c r="G765" s="70" t="s">
        <v>61</v>
      </c>
      <c r="H765" s="70" t="s">
        <v>178</v>
      </c>
      <c r="I765" s="70" t="s">
        <v>188</v>
      </c>
      <c r="J765" s="71">
        <f>IF(OR(I765=0,I765=""),"unrated",VLOOKUP(I765,MappingTables!$B$19:$C$31,2,FALSE))</f>
        <v>2</v>
      </c>
      <c r="K765" s="72">
        <v>11.309017948177874</v>
      </c>
      <c r="L765" s="70">
        <v>0.9885127078832712</v>
      </c>
      <c r="M765" s="71">
        <f>IF(L765&lt;1,1,L765)</f>
        <v>1</v>
      </c>
      <c r="N765" s="70" t="s">
        <v>141</v>
      </c>
      <c r="O765" s="71">
        <f>INDEX(DurClassMapping,MATCH(M765,MappingTables!$D$4:$D$8,-1),1)</f>
        <v>1</v>
      </c>
      <c r="P765" s="73">
        <f>IF(M765=$A$1,1,$M765-INDEX(MappingTables!$E$4:$E$8,MATCH(O765,MappingTables!$B$4:$B$8,0)))</f>
        <v>1</v>
      </c>
      <c r="Q765" s="71">
        <f>IF(B765="",0,INDEX(ModelParameters!$D$6:$K$10,MATCH($O765,ModelParameters!$B$6:$B$10,0),MATCH($J765,ModelParameters!$D$5:$K$5,0)))</f>
        <v>0.013999999999999998</v>
      </c>
      <c r="R765" s="71">
        <f>IF(B765="",0,INDEX(ModelParameters!$D$13:$K$17,MATCH($O765,ModelParameters!$B$13:$B$17,0),MATCH($J765,ModelParameters!$D$5:$K$5,0)))</f>
        <v>0</v>
      </c>
      <c r="S765" s="160">
        <f>IF(B765="",0,MIN(IF($N765="Other Bond TM",ModelParameters!$N$21,1)*(P765*Q765+R765),1))</f>
        <v>0.013999999999999998</v>
      </c>
      <c r="T765" s="85">
        <f>IF(B765="",0,$S765*$K765)</f>
        <v>0.15832625127449024</v>
      </c>
      <c r="U765" s="85">
        <f>IF(B765="",0,IF(OR(H765=MappingTables!$C$34,H765=MappingTables!$C$35),T765,0))</f>
        <v>0</v>
      </c>
      <c r="V765" s="85">
        <f>IF(ISNA(IF(AND(VLOOKUP(CONCATENATE($D765,$G765),CSRFinput!$B:$E,4,0)=0,OR(H765=MappingTables!$C$34,H765=MappingTables!$C$35)),1,VLOOKUP(CONCATENATE($D765,$G765),CSRFinput!$B:$E,4,0))),0,IF(AND(VLOOKUP(CONCATENATE($D765,$G765),CSRFinput!$B:$E,4,0)=0,OR(H765=MappingTables!$C$34,H765=MappingTables!$C$35)),1,VLOOKUP(CONCATENATE($D765,$G765),CSRFinput!$B:$E,4,0)))</f>
        <v>0.054776304963434752</v>
      </c>
      <c r="W765" s="85">
        <f>IF(B765="",0,+$T765*$V765)</f>
        <v>0.0086725270235288784</v>
      </c>
      <c r="X765" s="85">
        <f>IF(B765="",0,IF(OR(H765=MappingTables!$C$34,H765=MappingTables!$C$35),W765,0))</f>
        <v>0</v>
      </c>
    </row>
    <row r="766" spans="2:24" s="0" customFormat="0" ht="15">
      <c r="B766" s="69" t="s">
        <v>1061</v>
      </c>
      <c r="C766" s="70" t="s">
        <v>1062</v>
      </c>
      <c r="D766" s="70" t="s">
        <v>1</v>
      </c>
      <c r="E766" s="70" t="s">
        <v>1</v>
      </c>
      <c r="F766" s="70"/>
      <c r="G766" s="70" t="s">
        <v>61</v>
      </c>
      <c r="H766" s="70" t="s">
        <v>178</v>
      </c>
      <c r="I766" s="70" t="s">
        <v>179</v>
      </c>
      <c r="J766" s="71">
        <f>IF(OR(I766=0,I766=""),"unrated",VLOOKUP(I766,MappingTables!$B$19:$C$31,2,FALSE))</f>
        <v>4</v>
      </c>
      <c r="K766" s="72">
        <v>24745.109352524824</v>
      </c>
      <c r="L766" s="70">
        <v>7.1525450530048088</v>
      </c>
      <c r="M766" s="71">
        <f>IF(L766&lt;1,1,L766)</f>
        <v>7.1525450530048088</v>
      </c>
      <c r="N766" s="70" t="s">
        <v>141</v>
      </c>
      <c r="O766" s="71">
        <f>INDEX(DurClassMapping,MATCH(M766,MappingTables!$D$4:$D$8,-1),1)</f>
        <v>2</v>
      </c>
      <c r="P766" s="73">
        <f>IF(M766=$A$1,1,$M766-INDEX(MappingTables!$E$4:$E$8,MATCH(O766,MappingTables!$B$4:$B$8,0)))</f>
        <v>2.1525450530048084</v>
      </c>
      <c r="Q766" s="71">
        <f>IF(B766="",0,INDEX(ModelParameters!$D$6:$K$10,MATCH($O766,ModelParameters!$B$6:$B$10,0),MATCH($J766,ModelParameters!$D$5:$K$5,0)))</f>
        <v>0.025</v>
      </c>
      <c r="R766" s="71">
        <f>IF(B766="",0,INDEX(ModelParameters!$D$13:$K$17,MATCH($O766,ModelParameters!$B$13:$B$17,0),MATCH($J766,ModelParameters!$D$5:$K$5,0)))</f>
        <v>0.225</v>
      </c>
      <c r="S766" s="160">
        <f>IF(B766="",0,MIN(IF($N766="Other Bond TM",ModelParameters!$N$21,1)*(P766*Q766+R766),1))</f>
        <v>0.2788136263251202</v>
      </c>
      <c r="T766" s="85">
        <f>IF(B766="",0,$S766*$K766)</f>
        <v>6899.2736723890928</v>
      </c>
      <c r="U766" s="85">
        <f>IF(B766="",0,IF(OR(H766=MappingTables!$C$34,H766=MappingTables!$C$35),T766,0))</f>
        <v>0</v>
      </c>
      <c r="V766" s="85">
        <f>IF(ISNA(IF(AND(VLOOKUP(CONCATENATE($D766,$G766),CSRFinput!$B:$E,4,0)=0,OR(H766=MappingTables!$C$34,H766=MappingTables!$C$35)),1,VLOOKUP(CONCATENATE($D766,$G766),CSRFinput!$B:$E,4,0))),0,IF(AND(VLOOKUP(CONCATENATE($D766,$G766),CSRFinput!$B:$E,4,0)=0,OR(H766=MappingTables!$C$34,H766=MappingTables!$C$35)),1,VLOOKUP(CONCATENATE($D766,$G766),CSRFinput!$B:$E,4,0)))</f>
        <v>0.054776304963434752</v>
      </c>
      <c r="W766" s="85">
        <f>IF(B766="",0,+$T766*$V766)</f>
        <v>377.91671870498144</v>
      </c>
      <c r="X766" s="85">
        <f>IF(B766="",0,IF(OR(H766=MappingTables!$C$34,H766=MappingTables!$C$35),W766,0))</f>
        <v>0</v>
      </c>
    </row>
    <row r="767" spans="2:24" s="0" customFormat="0" ht="15">
      <c r="B767" s="69">
        <v>8421530</v>
      </c>
      <c r="C767" s="70" t="s">
        <v>355</v>
      </c>
      <c r="D767" s="70" t="s">
        <v>1</v>
      </c>
      <c r="E767" s="70" t="s">
        <v>1</v>
      </c>
      <c r="F767" s="70"/>
      <c r="G767" s="70" t="s">
        <v>61</v>
      </c>
      <c r="H767" s="70" t="s">
        <v>178</v>
      </c>
      <c r="I767" s="70" t="s">
        <v>181</v>
      </c>
      <c r="J767" s="71">
        <f>IF(OR(I767=0,I767=""),"unrated",VLOOKUP(I767,MappingTables!$B$19:$C$31,2,FALSE))</f>
        <v>3</v>
      </c>
      <c r="K767" s="72">
        <v>386.65793248097536</v>
      </c>
      <c r="L767" s="70">
        <v>3.017990507723532</v>
      </c>
      <c r="M767" s="71">
        <f>IF(L767&lt;1,1,L767)</f>
        <v>3.017990507723532</v>
      </c>
      <c r="N767" s="70" t="s">
        <v>141</v>
      </c>
      <c r="O767" s="71">
        <f>INDEX(DurClassMapping,MATCH(M767,MappingTables!$D$4:$D$8,-1),1)</f>
        <v>1</v>
      </c>
      <c r="P767" s="73">
        <f>IF(M767=$A$1,1,$M767-INDEX(MappingTables!$E$4:$E$8,MATCH(O767,MappingTables!$B$4:$B$8,0)))</f>
        <v>3.017990507723532</v>
      </c>
      <c r="Q767" s="71">
        <f>IF(B767="",0,INDEX(ModelParameters!$D$6:$K$10,MATCH($O767,ModelParameters!$B$6:$B$10,0),MATCH($J767,ModelParameters!$D$5:$K$5,0)))</f>
        <v>0.025</v>
      </c>
      <c r="R767" s="71">
        <f>IF(B767="",0,INDEX(ModelParameters!$D$13:$K$17,MATCH($O767,ModelParameters!$B$13:$B$17,0),MATCH($J767,ModelParameters!$D$5:$K$5,0)))</f>
        <v>0</v>
      </c>
      <c r="S767" s="160">
        <f>IF(B767="",0,MIN(IF($N767="Other Bond TM",ModelParameters!$N$21,1)*(P767*Q767+R767),1))</f>
        <v>0.075449762693088304</v>
      </c>
      <c r="T767" s="85">
        <f>IF(B767="",0,$S767*$K767)</f>
        <v>29.173249249089748</v>
      </c>
      <c r="U767" s="85">
        <f>IF(B767="",0,IF(OR(H767=MappingTables!$C$34,H767=MappingTables!$C$35),T767,0))</f>
        <v>0</v>
      </c>
      <c r="V767" s="85">
        <f>IF(ISNA(IF(AND(VLOOKUP(CONCATENATE($D767,$G767),CSRFinput!$B:$E,4,0)=0,OR(H767=MappingTables!$C$34,H767=MappingTables!$C$35)),1,VLOOKUP(CONCATENATE($D767,$G767),CSRFinput!$B:$E,4,0))),0,IF(AND(VLOOKUP(CONCATENATE($D767,$G767),CSRFinput!$B:$E,4,0)=0,OR(H767=MappingTables!$C$34,H767=MappingTables!$C$35)),1,VLOOKUP(CONCATENATE($D767,$G767),CSRFinput!$B:$E,4,0)))</f>
        <v>0.054776304963434752</v>
      </c>
      <c r="W767" s="85">
        <f>IF(B767="",0,+$T767*$V767)</f>
        <v>1.598002797642434</v>
      </c>
      <c r="X767" s="85">
        <f>IF(B767="",0,IF(OR(H767=MappingTables!$C$34,H767=MappingTables!$C$35),W767,0))</f>
        <v>0</v>
      </c>
    </row>
    <row r="768" spans="2:24" s="0" customFormat="0" ht="15">
      <c r="B768" s="69">
        <v>22069575</v>
      </c>
      <c r="C768" s="70" t="s">
        <v>1063</v>
      </c>
      <c r="D768" s="70" t="s">
        <v>1</v>
      </c>
      <c r="E768" s="70" t="s">
        <v>1</v>
      </c>
      <c r="F768" s="70"/>
      <c r="G768" s="70" t="s">
        <v>61</v>
      </c>
      <c r="H768" s="70" t="s">
        <v>178</v>
      </c>
      <c r="I768" s="70" t="s">
        <v>179</v>
      </c>
      <c r="J768" s="71">
        <f>IF(OR(I768=0,I768=""),"unrated",VLOOKUP(I768,MappingTables!$B$19:$C$31,2,FALSE))</f>
        <v>4</v>
      </c>
      <c r="K768" s="72">
        <v>1247.8974308983072</v>
      </c>
      <c r="L768" s="70">
        <v>1.955112476217842</v>
      </c>
      <c r="M768" s="71">
        <f>IF(L768&lt;1,1,L768)</f>
        <v>1.955112476217842</v>
      </c>
      <c r="N768" s="70" t="s">
        <v>141</v>
      </c>
      <c r="O768" s="71">
        <f>INDEX(DurClassMapping,MATCH(M768,MappingTables!$D$4:$D$8,-1),1)</f>
        <v>1</v>
      </c>
      <c r="P768" s="73">
        <f>IF(M768=$A$1,1,$M768-INDEX(MappingTables!$E$4:$E$8,MATCH(O768,MappingTables!$B$4:$B$8,0)))</f>
        <v>1.955112476217842</v>
      </c>
      <c r="Q768" s="71">
        <f>IF(B768="",0,INDEX(ModelParameters!$D$6:$K$10,MATCH($O768,ModelParameters!$B$6:$B$10,0),MATCH($J768,ModelParameters!$D$5:$K$5,0)))</f>
        <v>0.045</v>
      </c>
      <c r="R768" s="71">
        <f>IF(B768="",0,INDEX(ModelParameters!$D$13:$K$17,MATCH($O768,ModelParameters!$B$13:$B$17,0),MATCH($J768,ModelParameters!$D$5:$K$5,0)))</f>
        <v>0</v>
      </c>
      <c r="S768" s="160">
        <f>IF(B768="",0,MIN(IF($N768="Other Bond TM",ModelParameters!$N$21,1)*(P768*Q768+R768),1))</f>
        <v>0.08798006142980288</v>
      </c>
      <c r="T768" s="85">
        <f>IF(B768="",0,$S768*$K768)</f>
        <v>109.79009262852626</v>
      </c>
      <c r="U768" s="85">
        <f>IF(B768="",0,IF(OR(H768=MappingTables!$C$34,H768=MappingTables!$C$35),T768,0))</f>
        <v>0</v>
      </c>
      <c r="V768" s="85">
        <f>IF(ISNA(IF(AND(VLOOKUP(CONCATENATE($D768,$G768),CSRFinput!$B:$E,4,0)=0,OR(H768=MappingTables!$C$34,H768=MappingTables!$C$35)),1,VLOOKUP(CONCATENATE($D768,$G768),CSRFinput!$B:$E,4,0))),0,IF(AND(VLOOKUP(CONCATENATE($D768,$G768),CSRFinput!$B:$E,4,0)=0,OR(H768=MappingTables!$C$34,H768=MappingTables!$C$35)),1,VLOOKUP(CONCATENATE($D768,$G768),CSRFinput!$B:$E,4,0)))</f>
        <v>0.054776304963434752</v>
      </c>
      <c r="W768" s="85">
        <f>IF(B768="",0,+$T768*$V768)</f>
        <v>6.0138955957839048</v>
      </c>
      <c r="X768" s="85">
        <f>IF(B768="",0,IF(OR(H768=MappingTables!$C$34,H768=MappingTables!$C$35),W768,0))</f>
        <v>0</v>
      </c>
    </row>
    <row r="769" spans="2:24" s="0" customFormat="0" ht="15">
      <c r="B769" s="69" t="s">
        <v>1064</v>
      </c>
      <c r="C769" s="70" t="s">
        <v>1065</v>
      </c>
      <c r="D769" s="70" t="s">
        <v>1</v>
      </c>
      <c r="E769" s="70" t="s">
        <v>1</v>
      </c>
      <c r="F769" s="70"/>
      <c r="G769" s="70" t="s">
        <v>61</v>
      </c>
      <c r="H769" s="70" t="s">
        <v>178</v>
      </c>
      <c r="I769" s="70" t="s">
        <v>198</v>
      </c>
      <c r="J769" s="71" t="str">
        <f>IF(OR(I769=0,I769=""),"unrated",VLOOKUP(I769,MappingTables!$B$19:$C$31,2,FALSE))</f>
        <v>unrated</v>
      </c>
      <c r="K769" s="72">
        <v>0.056803250890731808</v>
      </c>
      <c r="L769" s="70">
        <v>0.22465938295692584</v>
      </c>
      <c r="M769" s="71">
        <f>IF(L769&lt;1,1,L769)</f>
        <v>1</v>
      </c>
      <c r="N769" s="70" t="s">
        <v>141</v>
      </c>
      <c r="O769" s="71">
        <f>INDEX(DurClassMapping,MATCH(M769,MappingTables!$D$4:$D$8,-1),1)</f>
        <v>1</v>
      </c>
      <c r="P769" s="73">
        <f>IF(M769=$A$1,1,$M769-INDEX(MappingTables!$E$4:$E$8,MATCH(O769,MappingTables!$B$4:$B$8,0)))</f>
        <v>1</v>
      </c>
      <c r="Q769" s="71">
        <f>IF(B769="",0,INDEX(ModelParameters!$D$6:$K$10,MATCH($O769,ModelParameters!$B$6:$B$10,0),MATCH($J769,ModelParameters!$D$5:$K$5,0)))</f>
        <v>0.03</v>
      </c>
      <c r="R769" s="71">
        <f>IF(B769="",0,INDEX(ModelParameters!$D$13:$K$17,MATCH($O769,ModelParameters!$B$13:$B$17,0),MATCH($J769,ModelParameters!$D$5:$K$5,0)))</f>
        <v>0</v>
      </c>
      <c r="S769" s="160">
        <f>IF(B769="",0,MIN(IF($N769="Other Bond TM",ModelParameters!$N$21,1)*(P769*Q769+R769),1))</f>
        <v>0.03</v>
      </c>
      <c r="T769" s="85">
        <f>IF(B769="",0,$S769*$K769)</f>
        <v>0.0017040975267219542</v>
      </c>
      <c r="U769" s="85">
        <f>IF(B769="",0,IF(OR(H769=MappingTables!$C$34,H769=MappingTables!$C$35),T769,0))</f>
        <v>0</v>
      </c>
      <c r="V769" s="85">
        <f>IF(ISNA(IF(AND(VLOOKUP(CONCATENATE($D769,$G769),CSRFinput!$B:$E,4,0)=0,OR(H769=MappingTables!$C$34,H769=MappingTables!$C$35)),1,VLOOKUP(CONCATENATE($D769,$G769),CSRFinput!$B:$E,4,0))),0,IF(AND(VLOOKUP(CONCATENATE($D769,$G769),CSRFinput!$B:$E,4,0)=0,OR(H769=MappingTables!$C$34,H769=MappingTables!$C$35)),1,VLOOKUP(CONCATENATE($D769,$G769),CSRFinput!$B:$E,4,0)))</f>
        <v>0.054776304963434752</v>
      </c>
      <c r="W769" s="85">
        <f>IF(B769="",0,+$T769*$V769)</f>
        <v>0.000093344165811156672</v>
      </c>
      <c r="X769" s="85">
        <f>IF(B769="",0,IF(OR(H769=MappingTables!$C$34,H769=MappingTables!$C$35),W769,0))</f>
        <v>0</v>
      </c>
    </row>
    <row r="770" spans="2:24" s="0" customFormat="0" ht="15">
      <c r="B770" s="69">
        <v>12412640</v>
      </c>
      <c r="C770" s="70" t="s">
        <v>1066</v>
      </c>
      <c r="D770" s="70" t="s">
        <v>1</v>
      </c>
      <c r="E770" s="70" t="s">
        <v>1</v>
      </c>
      <c r="F770" s="70"/>
      <c r="G770" s="70" t="s">
        <v>61</v>
      </c>
      <c r="H770" s="70" t="s">
        <v>178</v>
      </c>
      <c r="I770" s="70" t="s">
        <v>181</v>
      </c>
      <c r="J770" s="71">
        <f>IF(OR(I770=0,I770=""),"unrated",VLOOKUP(I770,MappingTables!$B$19:$C$31,2,FALSE))</f>
        <v>3</v>
      </c>
      <c r="K770" s="72">
        <v>11260.881444431288</v>
      </c>
      <c r="L770" s="70">
        <v>3.8161344278806696</v>
      </c>
      <c r="M770" s="71">
        <f>IF(L770&lt;1,1,L770)</f>
        <v>3.8161344278806696</v>
      </c>
      <c r="N770" s="70" t="s">
        <v>141</v>
      </c>
      <c r="O770" s="71">
        <f>INDEX(DurClassMapping,MATCH(M770,MappingTables!$D$4:$D$8,-1),1)</f>
        <v>1</v>
      </c>
      <c r="P770" s="73">
        <f>IF(M770=$A$1,1,$M770-INDEX(MappingTables!$E$4:$E$8,MATCH(O770,MappingTables!$B$4:$B$8,0)))</f>
        <v>3.8161344278806696</v>
      </c>
      <c r="Q770" s="71">
        <f>IF(B770="",0,INDEX(ModelParameters!$D$6:$K$10,MATCH($O770,ModelParameters!$B$6:$B$10,0),MATCH($J770,ModelParameters!$D$5:$K$5,0)))</f>
        <v>0.025</v>
      </c>
      <c r="R770" s="71">
        <f>IF(B770="",0,INDEX(ModelParameters!$D$13:$K$17,MATCH($O770,ModelParameters!$B$13:$B$17,0),MATCH($J770,ModelParameters!$D$5:$K$5,0)))</f>
        <v>0</v>
      </c>
      <c r="S770" s="160">
        <f>IF(B770="",0,MIN(IF($N770="Other Bond TM",ModelParameters!$N$21,1)*(P770*Q770+R770),1))</f>
        <v>0.095403360697016736</v>
      </c>
      <c r="T770" s="85">
        <f>IF(B770="",0,$S770*$K770)</f>
        <v>1074.3259342094212</v>
      </c>
      <c r="U770" s="85">
        <f>IF(B770="",0,IF(OR(H770=MappingTables!$C$34,H770=MappingTables!$C$35),T770,0))</f>
        <v>0</v>
      </c>
      <c r="V770" s="85">
        <f>IF(ISNA(IF(AND(VLOOKUP(CONCATENATE($D770,$G770),CSRFinput!$B:$E,4,0)=0,OR(H770=MappingTables!$C$34,H770=MappingTables!$C$35)),1,VLOOKUP(CONCATENATE($D770,$G770),CSRFinput!$B:$E,4,0))),0,IF(AND(VLOOKUP(CONCATENATE($D770,$G770),CSRFinput!$B:$E,4,0)=0,OR(H770=MappingTables!$C$34,H770=MappingTables!$C$35)),1,VLOOKUP(CONCATENATE($D770,$G770),CSRFinput!$B:$E,4,0)))</f>
        <v>0.054776304963434752</v>
      </c>
      <c r="W770" s="85">
        <f>IF(B770="",0,+$T770*$V770)</f>
        <v>58.847605002382192</v>
      </c>
      <c r="X770" s="85">
        <f>IF(B770="",0,IF(OR(H770=MappingTables!$C$34,H770=MappingTables!$C$35),W770,0))</f>
        <v>0</v>
      </c>
    </row>
    <row r="771" spans="2:24" s="0" customFormat="0" ht="15">
      <c r="B771" s="69" t="s">
        <v>1067</v>
      </c>
      <c r="C771" s="70" t="s">
        <v>1068</v>
      </c>
      <c r="D771" s="70" t="s">
        <v>1</v>
      </c>
      <c r="E771" s="70" t="s">
        <v>1</v>
      </c>
      <c r="F771" s="70"/>
      <c r="G771" s="70" t="s">
        <v>61</v>
      </c>
      <c r="H771" s="70" t="s">
        <v>178</v>
      </c>
      <c r="I771" s="70" t="s">
        <v>184</v>
      </c>
      <c r="J771" s="71">
        <f>IF(OR(I771=0,I771=""),"unrated",VLOOKUP(I771,MappingTables!$B$19:$C$31,2,FALSE))</f>
        <v>5</v>
      </c>
      <c r="K771" s="72">
        <v>29702.368770320276</v>
      </c>
      <c r="L771" s="70">
        <v>3.8612683922372</v>
      </c>
      <c r="M771" s="71">
        <f>IF(L771&lt;1,1,L771)</f>
        <v>3.8612683922372</v>
      </c>
      <c r="N771" s="70" t="s">
        <v>141</v>
      </c>
      <c r="O771" s="71">
        <f>INDEX(DurClassMapping,MATCH(M771,MappingTables!$D$4:$D$8,-1),1)</f>
        <v>1</v>
      </c>
      <c r="P771" s="73">
        <f>IF(M771=$A$1,1,$M771-INDEX(MappingTables!$E$4:$E$8,MATCH(O771,MappingTables!$B$4:$B$8,0)))</f>
        <v>3.8612683922372</v>
      </c>
      <c r="Q771" s="71">
        <f>IF(B771="",0,INDEX(ModelParameters!$D$6:$K$10,MATCH($O771,ModelParameters!$B$6:$B$10,0),MATCH($J771,ModelParameters!$D$5:$K$5,0)))</f>
        <v>0.075</v>
      </c>
      <c r="R771" s="71">
        <f>IF(B771="",0,INDEX(ModelParameters!$D$13:$K$17,MATCH($O771,ModelParameters!$B$13:$B$17,0),MATCH($J771,ModelParameters!$D$5:$K$5,0)))</f>
        <v>0</v>
      </c>
      <c r="S771" s="160">
        <f>IF(B771="",0,MIN(IF($N771="Other Bond TM",ModelParameters!$N$21,1)*(P771*Q771+R771),1))</f>
        <v>0.28959512941778996</v>
      </c>
      <c r="T771" s="85">
        <f>IF(B771="",0,$S771*$K771)</f>
        <v>8601.6613280558256</v>
      </c>
      <c r="U771" s="85">
        <f>IF(B771="",0,IF(OR(H771=MappingTables!$C$34,H771=MappingTables!$C$35),T771,0))</f>
        <v>0</v>
      </c>
      <c r="V771" s="85">
        <f>IF(ISNA(IF(AND(VLOOKUP(CONCATENATE($D771,$G771),CSRFinput!$B:$E,4,0)=0,OR(H771=MappingTables!$C$34,H771=MappingTables!$C$35)),1,VLOOKUP(CONCATENATE($D771,$G771),CSRFinput!$B:$E,4,0))),0,IF(AND(VLOOKUP(CONCATENATE($D771,$G771),CSRFinput!$B:$E,4,0)=0,OR(H771=MappingTables!$C$34,H771=MappingTables!$C$35)),1,VLOOKUP(CONCATENATE($D771,$G771),CSRFinput!$B:$E,4,0)))</f>
        <v>0.054776304963434752</v>
      </c>
      <c r="W771" s="85">
        <f>IF(B771="",0,+$T771*$V771)</f>
        <v>471.16722409776904</v>
      </c>
      <c r="X771" s="85">
        <f>IF(B771="",0,IF(OR(H771=MappingTables!$C$34,H771=MappingTables!$C$35),W771,0))</f>
        <v>0</v>
      </c>
    </row>
    <row r="772" spans="2:24" s="0" customFormat="0" ht="15">
      <c r="B772" s="69">
        <v>19673877</v>
      </c>
      <c r="C772" s="70" t="s">
        <v>1069</v>
      </c>
      <c r="D772" s="70" t="s">
        <v>1</v>
      </c>
      <c r="E772" s="70" t="s">
        <v>1</v>
      </c>
      <c r="F772" s="70"/>
      <c r="G772" s="70" t="s">
        <v>61</v>
      </c>
      <c r="H772" s="70" t="s">
        <v>178</v>
      </c>
      <c r="I772" s="70" t="s">
        <v>181</v>
      </c>
      <c r="J772" s="71">
        <f>IF(OR(I772=0,I772=""),"unrated",VLOOKUP(I772,MappingTables!$B$19:$C$31,2,FALSE))</f>
        <v>3</v>
      </c>
      <c r="K772" s="72">
        <v>139.85423049757072</v>
      </c>
      <c r="L772" s="70">
        <v>4.9751735564754488</v>
      </c>
      <c r="M772" s="71">
        <f>IF(L772&lt;1,1,L772)</f>
        <v>4.9751735564754488</v>
      </c>
      <c r="N772" s="70" t="s">
        <v>141</v>
      </c>
      <c r="O772" s="71">
        <f>INDEX(DurClassMapping,MATCH(M772,MappingTables!$D$4:$D$8,-1),1)</f>
        <v>1</v>
      </c>
      <c r="P772" s="73">
        <f>IF(M772=$A$1,1,$M772-INDEX(MappingTables!$E$4:$E$8,MATCH(O772,MappingTables!$B$4:$B$8,0)))</f>
        <v>4.9751735564754488</v>
      </c>
      <c r="Q772" s="71">
        <f>IF(B772="",0,INDEX(ModelParameters!$D$6:$K$10,MATCH($O772,ModelParameters!$B$6:$B$10,0),MATCH($J772,ModelParameters!$D$5:$K$5,0)))</f>
        <v>0.025</v>
      </c>
      <c r="R772" s="71">
        <f>IF(B772="",0,INDEX(ModelParameters!$D$13:$K$17,MATCH($O772,ModelParameters!$B$13:$B$17,0),MATCH($J772,ModelParameters!$D$5:$K$5,0)))</f>
        <v>0</v>
      </c>
      <c r="S772" s="160">
        <f>IF(B772="",0,MIN(IF($N772="Other Bond TM",ModelParameters!$N$21,1)*(P772*Q772+R772),1))</f>
        <v>0.12437933891188622</v>
      </c>
      <c r="T772" s="85">
        <f>IF(B772="",0,$S772*$K772)</f>
        <v>17.394976733318402</v>
      </c>
      <c r="U772" s="85">
        <f>IF(B772="",0,IF(OR(H772=MappingTables!$C$34,H772=MappingTables!$C$35),T772,0))</f>
        <v>0</v>
      </c>
      <c r="V772" s="85">
        <f>IF(ISNA(IF(AND(VLOOKUP(CONCATENATE($D772,$G772),CSRFinput!$B:$E,4,0)=0,OR(H772=MappingTables!$C$34,H772=MappingTables!$C$35)),1,VLOOKUP(CONCATENATE($D772,$G772),CSRFinput!$B:$E,4,0))),0,IF(AND(VLOOKUP(CONCATENATE($D772,$G772),CSRFinput!$B:$E,4,0)=0,OR(H772=MappingTables!$C$34,H772=MappingTables!$C$35)),1,VLOOKUP(CONCATENATE($D772,$G772),CSRFinput!$B:$E,4,0)))</f>
        <v>0.054776304963434752</v>
      </c>
      <c r="W772" s="85">
        <f>IF(B772="",0,+$T772*$V772)</f>
        <v>0.9528325503761008</v>
      </c>
      <c r="X772" s="85">
        <f>IF(B772="",0,IF(OR(H772=MappingTables!$C$34,H772=MappingTables!$C$35),W772,0))</f>
        <v>0</v>
      </c>
    </row>
    <row r="773" spans="2:24" s="0" customFormat="0" ht="15">
      <c r="B773" s="69">
        <v>19771038</v>
      </c>
      <c r="C773" s="70" t="s">
        <v>1070</v>
      </c>
      <c r="D773" s="70" t="s">
        <v>1</v>
      </c>
      <c r="E773" s="70" t="s">
        <v>1</v>
      </c>
      <c r="F773" s="70"/>
      <c r="G773" s="70" t="s">
        <v>61</v>
      </c>
      <c r="H773" s="70" t="s">
        <v>178</v>
      </c>
      <c r="I773" s="70" t="s">
        <v>184</v>
      </c>
      <c r="J773" s="71">
        <f>IF(OR(I773=0,I773=""),"unrated",VLOOKUP(I773,MappingTables!$B$19:$C$31,2,FALSE))</f>
        <v>5</v>
      </c>
      <c r="K773" s="72">
        <v>6376.47688143018</v>
      </c>
      <c r="L773" s="70">
        <v>3.2332997022247468</v>
      </c>
      <c r="M773" s="71">
        <f>IF(L773&lt;1,1,L773)</f>
        <v>3.2332997022247468</v>
      </c>
      <c r="N773" s="70" t="s">
        <v>141</v>
      </c>
      <c r="O773" s="71">
        <f>INDEX(DurClassMapping,MATCH(M773,MappingTables!$D$4:$D$8,-1),1)</f>
        <v>1</v>
      </c>
      <c r="P773" s="73">
        <f>IF(M773=$A$1,1,$M773-INDEX(MappingTables!$E$4:$E$8,MATCH(O773,MappingTables!$B$4:$B$8,0)))</f>
        <v>3.2332997022247468</v>
      </c>
      <c r="Q773" s="71">
        <f>IF(B773="",0,INDEX(ModelParameters!$D$6:$K$10,MATCH($O773,ModelParameters!$B$6:$B$10,0),MATCH($J773,ModelParameters!$D$5:$K$5,0)))</f>
        <v>0.075</v>
      </c>
      <c r="R773" s="71">
        <f>IF(B773="",0,INDEX(ModelParameters!$D$13:$K$17,MATCH($O773,ModelParameters!$B$13:$B$17,0),MATCH($J773,ModelParameters!$D$5:$K$5,0)))</f>
        <v>0</v>
      </c>
      <c r="S773" s="160">
        <f>IF(B773="",0,MIN(IF($N773="Other Bond TM",ModelParameters!$N$21,1)*(P773*Q773+R773),1))</f>
        <v>0.242497477666856</v>
      </c>
      <c r="T773" s="85">
        <f>IF(B773="",0,$S773*$K773)</f>
        <v>1546.2795601478386</v>
      </c>
      <c r="U773" s="85">
        <f>IF(B773="",0,IF(OR(H773=MappingTables!$C$34,H773=MappingTables!$C$35),T773,0))</f>
        <v>0</v>
      </c>
      <c r="V773" s="85">
        <f>IF(ISNA(IF(AND(VLOOKUP(CONCATENATE($D773,$G773),CSRFinput!$B:$E,4,0)=0,OR(H773=MappingTables!$C$34,H773=MappingTables!$C$35)),1,VLOOKUP(CONCATENATE($D773,$G773),CSRFinput!$B:$E,4,0))),0,IF(AND(VLOOKUP(CONCATENATE($D773,$G773),CSRFinput!$B:$E,4,0)=0,OR(H773=MappingTables!$C$34,H773=MappingTables!$C$35)),1,VLOOKUP(CONCATENATE($D773,$G773),CSRFinput!$B:$E,4,0)))</f>
        <v>0.054776304963434752</v>
      </c>
      <c r="W773" s="85">
        <f>IF(B773="",0,+$T773*$V773)</f>
        <v>84.69948074538376</v>
      </c>
      <c r="X773" s="85">
        <f>IF(B773="",0,IF(OR(H773=MappingTables!$C$34,H773=MappingTables!$C$35),W773,0))</f>
        <v>0</v>
      </c>
    </row>
    <row r="774" spans="2:24" s="0" customFormat="0" ht="15">
      <c r="B774" s="69" t="s">
        <v>1071</v>
      </c>
      <c r="C774" s="70" t="s">
        <v>1072</v>
      </c>
      <c r="D774" s="70" t="s">
        <v>1</v>
      </c>
      <c r="E774" s="70" t="s">
        <v>1</v>
      </c>
      <c r="F774" s="70"/>
      <c r="G774" s="70" t="s">
        <v>61</v>
      </c>
      <c r="H774" s="70" t="s">
        <v>178</v>
      </c>
      <c r="I774" s="70" t="s">
        <v>181</v>
      </c>
      <c r="J774" s="71">
        <f>IF(OR(I774=0,I774=""),"unrated",VLOOKUP(I774,MappingTables!$B$19:$C$31,2,FALSE))</f>
        <v>3</v>
      </c>
      <c r="K774" s="72">
        <v>350.84498580913864</v>
      </c>
      <c r="L774" s="70">
        <v>8.1118632123147328</v>
      </c>
      <c r="M774" s="71">
        <f>IF(L774&lt;1,1,L774)</f>
        <v>8.1118632123147328</v>
      </c>
      <c r="N774" s="70" t="s">
        <v>141</v>
      </c>
      <c r="O774" s="71">
        <f>INDEX(DurClassMapping,MATCH(M774,MappingTables!$D$4:$D$8,-1),1)</f>
        <v>2</v>
      </c>
      <c r="P774" s="73">
        <f>IF(M774=$A$1,1,$M774-INDEX(MappingTables!$E$4:$E$8,MATCH(O774,MappingTables!$B$4:$B$8,0)))</f>
        <v>3.1118632123147324</v>
      </c>
      <c r="Q774" s="71">
        <f>IF(B774="",0,INDEX(ModelParameters!$D$6:$K$10,MATCH($O774,ModelParameters!$B$6:$B$10,0),MATCH($J774,ModelParameters!$D$5:$K$5,0)))</f>
        <v>0.015</v>
      </c>
      <c r="R774" s="71">
        <f>IF(B774="",0,INDEX(ModelParameters!$D$13:$K$17,MATCH($O774,ModelParameters!$B$13:$B$17,0),MATCH($J774,ModelParameters!$D$5:$K$5,0)))</f>
        <v>0.125</v>
      </c>
      <c r="S774" s="160">
        <f>IF(B774="",0,MIN(IF($N774="Other Bond TM",ModelParameters!$N$21,1)*(P774*Q774+R774),1))</f>
        <v>0.17167794818472098</v>
      </c>
      <c r="T774" s="85">
        <f>IF(B774="",0,$S774*$K774)</f>
        <v>60.232347294610472</v>
      </c>
      <c r="U774" s="85">
        <f>IF(B774="",0,IF(OR(H774=MappingTables!$C$34,H774=MappingTables!$C$35),T774,0))</f>
        <v>0</v>
      </c>
      <c r="V774" s="85">
        <f>IF(ISNA(IF(AND(VLOOKUP(CONCATENATE($D774,$G774),CSRFinput!$B:$E,4,0)=0,OR(H774=MappingTables!$C$34,H774=MappingTables!$C$35)),1,VLOOKUP(CONCATENATE($D774,$G774),CSRFinput!$B:$E,4,0))),0,IF(AND(VLOOKUP(CONCATENATE($D774,$G774),CSRFinput!$B:$E,4,0)=0,OR(H774=MappingTables!$C$34,H774=MappingTables!$C$35)),1,VLOOKUP(CONCATENATE($D774,$G774),CSRFinput!$B:$E,4,0)))</f>
        <v>0.054776304963434752</v>
      </c>
      <c r="W774" s="85">
        <f>IF(B774="",0,+$T774*$V774)</f>
        <v>3.2993054240730976</v>
      </c>
      <c r="X774" s="85">
        <f>IF(B774="",0,IF(OR(H774=MappingTables!$C$34,H774=MappingTables!$C$35),W774,0))</f>
        <v>0</v>
      </c>
    </row>
    <row r="775" spans="2:24" s="0" customFormat="0" ht="15">
      <c r="B775" s="69">
        <v>12040183</v>
      </c>
      <c r="C775" s="70" t="s">
        <v>812</v>
      </c>
      <c r="D775" s="70" t="s">
        <v>1</v>
      </c>
      <c r="E775" s="70" t="s">
        <v>1</v>
      </c>
      <c r="F775" s="70"/>
      <c r="G775" s="70" t="s">
        <v>61</v>
      </c>
      <c r="H775" s="70" t="s">
        <v>178</v>
      </c>
      <c r="I775" s="70" t="s">
        <v>181</v>
      </c>
      <c r="J775" s="71">
        <f>IF(OR(I775=0,I775=""),"unrated",VLOOKUP(I775,MappingTables!$B$19:$C$31,2,FALSE))</f>
        <v>3</v>
      </c>
      <c r="K775" s="72">
        <v>1156.569383631175</v>
      </c>
      <c r="L775" s="70">
        <v>0.43013747798418056</v>
      </c>
      <c r="M775" s="71">
        <f>IF(L775&lt;1,1,L775)</f>
        <v>1</v>
      </c>
      <c r="N775" s="70" t="s">
        <v>141</v>
      </c>
      <c r="O775" s="71">
        <f>INDEX(DurClassMapping,MATCH(M775,MappingTables!$D$4:$D$8,-1),1)</f>
        <v>1</v>
      </c>
      <c r="P775" s="73">
        <f>IF(M775=$A$1,1,$M775-INDEX(MappingTables!$E$4:$E$8,MATCH(O775,MappingTables!$B$4:$B$8,0)))</f>
        <v>1</v>
      </c>
      <c r="Q775" s="71">
        <f>IF(B775="",0,INDEX(ModelParameters!$D$6:$K$10,MATCH($O775,ModelParameters!$B$6:$B$10,0),MATCH($J775,ModelParameters!$D$5:$K$5,0)))</f>
        <v>0.025</v>
      </c>
      <c r="R775" s="71">
        <f>IF(B775="",0,INDEX(ModelParameters!$D$13:$K$17,MATCH($O775,ModelParameters!$B$13:$B$17,0),MATCH($J775,ModelParameters!$D$5:$K$5,0)))</f>
        <v>0</v>
      </c>
      <c r="S775" s="160">
        <f>IF(B775="",0,MIN(IF($N775="Other Bond TM",ModelParameters!$N$21,1)*(P775*Q775+R775),1))</f>
        <v>0.025</v>
      </c>
      <c r="T775" s="85">
        <f>IF(B775="",0,$S775*$K775)</f>
        <v>28.914234590779376</v>
      </c>
      <c r="U775" s="85">
        <f>IF(B775="",0,IF(OR(H775=MappingTables!$C$34,H775=MappingTables!$C$35),T775,0))</f>
        <v>0</v>
      </c>
      <c r="V775" s="85">
        <f>IF(ISNA(IF(AND(VLOOKUP(CONCATENATE($D775,$G775),CSRFinput!$B:$E,4,0)=0,OR(H775=MappingTables!$C$34,H775=MappingTables!$C$35)),1,VLOOKUP(CONCATENATE($D775,$G775),CSRFinput!$B:$E,4,0))),0,IF(AND(VLOOKUP(CONCATENATE($D775,$G775),CSRFinput!$B:$E,4,0)=0,OR(H775=MappingTables!$C$34,H775=MappingTables!$C$35)),1,VLOOKUP(CONCATENATE($D775,$G775),CSRFinput!$B:$E,4,0)))</f>
        <v>0.054776304963434752</v>
      </c>
      <c r="W775" s="85">
        <f>IF(B775="",0,+$T775*$V775)</f>
        <v>1.5838149317288252</v>
      </c>
      <c r="X775" s="85">
        <f>IF(B775="",0,IF(OR(H775=MappingTables!$C$34,H775=MappingTables!$C$35),W775,0))</f>
        <v>0</v>
      </c>
    </row>
    <row r="776" spans="2:24" s="0" customFormat="0" ht="15">
      <c r="B776" s="69">
        <v>13044717</v>
      </c>
      <c r="C776" s="70" t="s">
        <v>1073</v>
      </c>
      <c r="D776" s="70" t="s">
        <v>1</v>
      </c>
      <c r="E776" s="70" t="s">
        <v>1</v>
      </c>
      <c r="F776" s="70"/>
      <c r="G776" s="70" t="s">
        <v>61</v>
      </c>
      <c r="H776" s="70" t="s">
        <v>178</v>
      </c>
      <c r="I776" s="70" t="s">
        <v>188</v>
      </c>
      <c r="J776" s="71">
        <f>IF(OR(I776=0,I776=""),"unrated",VLOOKUP(I776,MappingTables!$B$19:$C$31,2,FALSE))</f>
        <v>2</v>
      </c>
      <c r="K776" s="72">
        <v>2589.8703310117112</v>
      </c>
      <c r="L776" s="70">
        <v>0.93760428385766672</v>
      </c>
      <c r="M776" s="71">
        <f>IF(L776&lt;1,1,L776)</f>
        <v>1</v>
      </c>
      <c r="N776" s="70" t="s">
        <v>141</v>
      </c>
      <c r="O776" s="71">
        <f>INDEX(DurClassMapping,MATCH(M776,MappingTables!$D$4:$D$8,-1),1)</f>
        <v>1</v>
      </c>
      <c r="P776" s="73">
        <f>IF(M776=$A$1,1,$M776-INDEX(MappingTables!$E$4:$E$8,MATCH(O776,MappingTables!$B$4:$B$8,0)))</f>
        <v>1</v>
      </c>
      <c r="Q776" s="71">
        <f>IF(B776="",0,INDEX(ModelParameters!$D$6:$K$10,MATCH($O776,ModelParameters!$B$6:$B$10,0),MATCH($J776,ModelParameters!$D$5:$K$5,0)))</f>
        <v>0.013999999999999998</v>
      </c>
      <c r="R776" s="71">
        <f>IF(B776="",0,INDEX(ModelParameters!$D$13:$K$17,MATCH($O776,ModelParameters!$B$13:$B$17,0),MATCH($J776,ModelParameters!$D$5:$K$5,0)))</f>
        <v>0</v>
      </c>
      <c r="S776" s="160">
        <f>IF(B776="",0,MIN(IF($N776="Other Bond TM",ModelParameters!$N$21,1)*(P776*Q776+R776),1))</f>
        <v>0.013999999999999998</v>
      </c>
      <c r="T776" s="85">
        <f>IF(B776="",0,$S776*$K776)</f>
        <v>36.258184634163952</v>
      </c>
      <c r="U776" s="85">
        <f>IF(B776="",0,IF(OR(H776=MappingTables!$C$34,H776=MappingTables!$C$35),T776,0))</f>
        <v>0</v>
      </c>
      <c r="V776" s="85">
        <f>IF(ISNA(IF(AND(VLOOKUP(CONCATENATE($D776,$G776),CSRFinput!$B:$E,4,0)=0,OR(H776=MappingTables!$C$34,H776=MappingTables!$C$35)),1,VLOOKUP(CONCATENATE($D776,$G776),CSRFinput!$B:$E,4,0))),0,IF(AND(VLOOKUP(CONCATENATE($D776,$G776),CSRFinput!$B:$E,4,0)=0,OR(H776=MappingTables!$C$34,H776=MappingTables!$C$35)),1,VLOOKUP(CONCATENATE($D776,$G776),CSRFinput!$B:$E,4,0)))</f>
        <v>0.054776304963434752</v>
      </c>
      <c r="W776" s="85">
        <f>IF(B776="",0,+$T776*$V776)</f>
        <v>1.9860893789414888</v>
      </c>
      <c r="X776" s="85">
        <f>IF(B776="",0,IF(OR(H776=MappingTables!$C$34,H776=MappingTables!$C$35),W776,0))</f>
        <v>0</v>
      </c>
    </row>
    <row r="777" spans="2:24" s="0" customFormat="0" ht="15">
      <c r="B777" s="69">
        <v>22902513</v>
      </c>
      <c r="C777" s="70" t="s">
        <v>1074</v>
      </c>
      <c r="D777" s="70" t="s">
        <v>1</v>
      </c>
      <c r="E777" s="70" t="s">
        <v>1</v>
      </c>
      <c r="F777" s="70"/>
      <c r="G777" s="70" t="s">
        <v>61</v>
      </c>
      <c r="H777" s="70" t="s">
        <v>178</v>
      </c>
      <c r="I777" s="70" t="s">
        <v>181</v>
      </c>
      <c r="J777" s="71">
        <f>IF(OR(I777=0,I777=""),"unrated",VLOOKUP(I777,MappingTables!$B$19:$C$31,2,FALSE))</f>
        <v>3</v>
      </c>
      <c r="K777" s="72">
        <v>760.86220757741952</v>
      </c>
      <c r="L777" s="70">
        <v>7.775420487197152</v>
      </c>
      <c r="M777" s="71">
        <f>IF(L777&lt;1,1,L777)</f>
        <v>7.775420487197152</v>
      </c>
      <c r="N777" s="70" t="s">
        <v>141</v>
      </c>
      <c r="O777" s="71">
        <f>INDEX(DurClassMapping,MATCH(M777,MappingTables!$D$4:$D$8,-1),1)</f>
        <v>2</v>
      </c>
      <c r="P777" s="73">
        <f>IF(M777=$A$1,1,$M777-INDEX(MappingTables!$E$4:$E$8,MATCH(O777,MappingTables!$B$4:$B$8,0)))</f>
        <v>2.7754204871971524</v>
      </c>
      <c r="Q777" s="71">
        <f>IF(B777="",0,INDEX(ModelParameters!$D$6:$K$10,MATCH($O777,ModelParameters!$B$6:$B$10,0),MATCH($J777,ModelParameters!$D$5:$K$5,0)))</f>
        <v>0.015</v>
      </c>
      <c r="R777" s="71">
        <f>IF(B777="",0,INDEX(ModelParameters!$D$13:$K$17,MATCH($O777,ModelParameters!$B$13:$B$17,0),MATCH($J777,ModelParameters!$D$5:$K$5,0)))</f>
        <v>0.125</v>
      </c>
      <c r="S777" s="160">
        <f>IF(B777="",0,MIN(IF($N777="Other Bond TM",ModelParameters!$N$21,1)*(P777*Q777+R777),1))</f>
        <v>0.16663130730795728</v>
      </c>
      <c r="T777" s="85">
        <f>IF(B777="",0,$S777*$K777)</f>
        <v>126.78346432984378</v>
      </c>
      <c r="U777" s="85">
        <f>IF(B777="",0,IF(OR(H777=MappingTables!$C$34,H777=MappingTables!$C$35),T777,0))</f>
        <v>0</v>
      </c>
      <c r="V777" s="85">
        <f>IF(ISNA(IF(AND(VLOOKUP(CONCATENATE($D777,$G777),CSRFinput!$B:$E,4,0)=0,OR(H777=MappingTables!$C$34,H777=MappingTables!$C$35)),1,VLOOKUP(CONCATENATE($D777,$G777),CSRFinput!$B:$E,4,0))),0,IF(AND(VLOOKUP(CONCATENATE($D777,$G777),CSRFinput!$B:$E,4,0)=0,OR(H777=MappingTables!$C$34,H777=MappingTables!$C$35)),1,VLOOKUP(CONCATENATE($D777,$G777),CSRFinput!$B:$E,4,0)))</f>
        <v>0.054776304963434752</v>
      </c>
      <c r="W777" s="85">
        <f>IF(B777="",0,+$T777*$V777)</f>
        <v>6.9447297064522752</v>
      </c>
      <c r="X777" s="85">
        <f>IF(B777="",0,IF(OR(H777=MappingTables!$C$34,H777=MappingTables!$C$35),W777,0))</f>
        <v>0</v>
      </c>
    </row>
    <row r="778" spans="2:24" s="0" customFormat="0" ht="15">
      <c r="B778" s="69">
        <v>21774078</v>
      </c>
      <c r="C778" s="70" t="s">
        <v>1075</v>
      </c>
      <c r="D778" s="70" t="s">
        <v>1</v>
      </c>
      <c r="E778" s="70" t="s">
        <v>1</v>
      </c>
      <c r="F778" s="70"/>
      <c r="G778" s="70" t="s">
        <v>61</v>
      </c>
      <c r="H778" s="70" t="s">
        <v>178</v>
      </c>
      <c r="I778" s="70" t="s">
        <v>179</v>
      </c>
      <c r="J778" s="71">
        <f>IF(OR(I778=0,I778=""),"unrated",VLOOKUP(I778,MappingTables!$B$19:$C$31,2,FALSE))</f>
        <v>4</v>
      </c>
      <c r="K778" s="72">
        <v>48225.009548151704</v>
      </c>
      <c r="L778" s="70">
        <v>7.7626242761117168</v>
      </c>
      <c r="M778" s="71">
        <f>IF(L778&lt;1,1,L778)</f>
        <v>7.7626242761117168</v>
      </c>
      <c r="N778" s="70" t="s">
        <v>141</v>
      </c>
      <c r="O778" s="71">
        <f>INDEX(DurClassMapping,MATCH(M778,MappingTables!$D$4:$D$8,-1),1)</f>
        <v>2</v>
      </c>
      <c r="P778" s="73">
        <f>IF(M778=$A$1,1,$M778-INDEX(MappingTables!$E$4:$E$8,MATCH(O778,MappingTables!$B$4:$B$8,0)))</f>
        <v>2.7626242761117172</v>
      </c>
      <c r="Q778" s="71">
        <f>IF(B778="",0,INDEX(ModelParameters!$D$6:$K$10,MATCH($O778,ModelParameters!$B$6:$B$10,0),MATCH($J778,ModelParameters!$D$5:$K$5,0)))</f>
        <v>0.025</v>
      </c>
      <c r="R778" s="71">
        <f>IF(B778="",0,INDEX(ModelParameters!$D$13:$K$17,MATCH($O778,ModelParameters!$B$13:$B$17,0),MATCH($J778,ModelParameters!$D$5:$K$5,0)))</f>
        <v>0.225</v>
      </c>
      <c r="S778" s="160">
        <f>IF(B778="",0,MIN(IF($N778="Other Bond TM",ModelParameters!$N$21,1)*(P778*Q778+R778),1))</f>
        <v>0.29406560690279292</v>
      </c>
      <c r="T778" s="85">
        <f>IF(B778="",0,$S778*$K778)</f>
        <v>14181.316700670216</v>
      </c>
      <c r="U778" s="85">
        <f>IF(B778="",0,IF(OR(H778=MappingTables!$C$34,H778=MappingTables!$C$35),T778,0))</f>
        <v>0</v>
      </c>
      <c r="V778" s="85">
        <f>IF(ISNA(IF(AND(VLOOKUP(CONCATENATE($D778,$G778),CSRFinput!$B:$E,4,0)=0,OR(H778=MappingTables!$C$34,H778=MappingTables!$C$35)),1,VLOOKUP(CONCATENATE($D778,$G778),CSRFinput!$B:$E,4,0))),0,IF(AND(VLOOKUP(CONCATENATE($D778,$G778),CSRFinput!$B:$E,4,0)=0,OR(H778=MappingTables!$C$34,H778=MappingTables!$C$35)),1,VLOOKUP(CONCATENATE($D778,$G778),CSRFinput!$B:$E,4,0)))</f>
        <v>0.054776304963434752</v>
      </c>
      <c r="W778" s="85">
        <f>IF(B778="",0,+$T778*$V778)</f>
        <v>776.80012837896208</v>
      </c>
      <c r="X778" s="85">
        <f>IF(B778="",0,IF(OR(H778=MappingTables!$C$34,H778=MappingTables!$C$35),W778,0))</f>
        <v>0</v>
      </c>
    </row>
    <row r="779" spans="2:24" s="0" customFormat="0" ht="15">
      <c r="B779" s="69">
        <v>4329873</v>
      </c>
      <c r="C779" s="70" t="s">
        <v>1076</v>
      </c>
      <c r="D779" s="70" t="s">
        <v>1</v>
      </c>
      <c r="E779" s="70" t="s">
        <v>1</v>
      </c>
      <c r="F779" s="70"/>
      <c r="G779" s="70" t="s">
        <v>61</v>
      </c>
      <c r="H779" s="70" t="s">
        <v>178</v>
      </c>
      <c r="I779" s="70" t="s">
        <v>188</v>
      </c>
      <c r="J779" s="71">
        <f>IF(OR(I779=0,I779=""),"unrated",VLOOKUP(I779,MappingTables!$B$19:$C$31,2,FALSE))</f>
        <v>2</v>
      </c>
      <c r="K779" s="72">
        <v>902.7871162887576</v>
      </c>
      <c r="L779" s="70">
        <v>1.0833980453865298</v>
      </c>
      <c r="M779" s="71">
        <f>IF(L779&lt;1,1,L779)</f>
        <v>1.0833980453865298</v>
      </c>
      <c r="N779" s="70" t="s">
        <v>141</v>
      </c>
      <c r="O779" s="71">
        <f>INDEX(DurClassMapping,MATCH(M779,MappingTables!$D$4:$D$8,-1),1)</f>
        <v>1</v>
      </c>
      <c r="P779" s="73">
        <f>IF(M779=$A$1,1,$M779-INDEX(MappingTables!$E$4:$E$8,MATCH(O779,MappingTables!$B$4:$B$8,0)))</f>
        <v>1.0833980453865298</v>
      </c>
      <c r="Q779" s="71">
        <f>IF(B779="",0,INDEX(ModelParameters!$D$6:$K$10,MATCH($O779,ModelParameters!$B$6:$B$10,0),MATCH($J779,ModelParameters!$D$5:$K$5,0)))</f>
        <v>0.013999999999999998</v>
      </c>
      <c r="R779" s="71">
        <f>IF(B779="",0,INDEX(ModelParameters!$D$13:$K$17,MATCH($O779,ModelParameters!$B$13:$B$17,0),MATCH($J779,ModelParameters!$D$5:$K$5,0)))</f>
        <v>0</v>
      </c>
      <c r="S779" s="160">
        <f>IF(B779="",0,MIN(IF($N779="Other Bond TM",ModelParameters!$N$21,1)*(P779*Q779+R779),1))</f>
        <v>0.015167572635411416</v>
      </c>
      <c r="T779" s="85">
        <f>IF(B779="",0,$S779*$K779)</f>
        <v>13.693089160623342</v>
      </c>
      <c r="U779" s="85">
        <f>IF(B779="",0,IF(OR(H779=MappingTables!$C$34,H779=MappingTables!$C$35),T779,0))</f>
        <v>0</v>
      </c>
      <c r="V779" s="85">
        <f>IF(ISNA(IF(AND(VLOOKUP(CONCATENATE($D779,$G779),CSRFinput!$B:$E,4,0)=0,OR(H779=MappingTables!$C$34,H779=MappingTables!$C$35)),1,VLOOKUP(CONCATENATE($D779,$G779),CSRFinput!$B:$E,4,0))),0,IF(AND(VLOOKUP(CONCATENATE($D779,$G779),CSRFinput!$B:$E,4,0)=0,OR(H779=MappingTables!$C$34,H779=MappingTables!$C$35)),1,VLOOKUP(CONCATENATE($D779,$G779),CSRFinput!$B:$E,4,0)))</f>
        <v>0.054776304963434752</v>
      </c>
      <c r="W779" s="85">
        <f>IF(B779="",0,+$T779*$V779)</f>
        <v>0.75005682775380704</v>
      </c>
      <c r="X779" s="85">
        <f>IF(B779="",0,IF(OR(H779=MappingTables!$C$34,H779=MappingTables!$C$35),W779,0))</f>
        <v>0</v>
      </c>
    </row>
    <row r="780" spans="2:24" s="0" customFormat="0" ht="15">
      <c r="B780" s="69">
        <v>18152759</v>
      </c>
      <c r="C780" s="70" t="s">
        <v>1077</v>
      </c>
      <c r="D780" s="70" t="s">
        <v>1</v>
      </c>
      <c r="E780" s="70" t="s">
        <v>1</v>
      </c>
      <c r="F780" s="70"/>
      <c r="G780" s="70" t="s">
        <v>61</v>
      </c>
      <c r="H780" s="70" t="s">
        <v>178</v>
      </c>
      <c r="I780" s="70" t="s">
        <v>179</v>
      </c>
      <c r="J780" s="71">
        <f>IF(OR(I780=0,I780=""),"unrated",VLOOKUP(I780,MappingTables!$B$19:$C$31,2,FALSE))</f>
        <v>4</v>
      </c>
      <c r="K780" s="72">
        <v>3383.7994249189084</v>
      </c>
      <c r="L780" s="70">
        <v>4.3719282645487632</v>
      </c>
      <c r="M780" s="71">
        <f>IF(L780&lt;1,1,L780)</f>
        <v>4.3719282645487632</v>
      </c>
      <c r="N780" s="70" t="s">
        <v>141</v>
      </c>
      <c r="O780" s="71">
        <f>INDEX(DurClassMapping,MATCH(M780,MappingTables!$D$4:$D$8,-1),1)</f>
        <v>1</v>
      </c>
      <c r="P780" s="73">
        <f>IF(M780=$A$1,1,$M780-INDEX(MappingTables!$E$4:$E$8,MATCH(O780,MappingTables!$B$4:$B$8,0)))</f>
        <v>4.3719282645487632</v>
      </c>
      <c r="Q780" s="71">
        <f>IF(B780="",0,INDEX(ModelParameters!$D$6:$K$10,MATCH($O780,ModelParameters!$B$6:$B$10,0),MATCH($J780,ModelParameters!$D$5:$K$5,0)))</f>
        <v>0.045</v>
      </c>
      <c r="R780" s="71">
        <f>IF(B780="",0,INDEX(ModelParameters!$D$13:$K$17,MATCH($O780,ModelParameters!$B$13:$B$17,0),MATCH($J780,ModelParameters!$D$5:$K$5,0)))</f>
        <v>0</v>
      </c>
      <c r="S780" s="160">
        <f>IF(B780="",0,MIN(IF($N780="Other Bond TM",ModelParameters!$N$21,1)*(P780*Q780+R780),1))</f>
        <v>0.19673677190469432</v>
      </c>
      <c r="T780" s="85">
        <f>IF(B780="",0,$S780*$K780)</f>
        <v>665.71777563150704</v>
      </c>
      <c r="U780" s="85">
        <f>IF(B780="",0,IF(OR(H780=MappingTables!$C$34,H780=MappingTables!$C$35),T780,0))</f>
        <v>0</v>
      </c>
      <c r="V780" s="85">
        <f>IF(ISNA(IF(AND(VLOOKUP(CONCATENATE($D780,$G780),CSRFinput!$B:$E,4,0)=0,OR(H780=MappingTables!$C$34,H780=MappingTables!$C$35)),1,VLOOKUP(CONCATENATE($D780,$G780),CSRFinput!$B:$E,4,0))),0,IF(AND(VLOOKUP(CONCATENATE($D780,$G780),CSRFinput!$B:$E,4,0)=0,OR(H780=MappingTables!$C$34,H780=MappingTables!$C$35)),1,VLOOKUP(CONCATENATE($D780,$G780),CSRFinput!$B:$E,4,0)))</f>
        <v>0.054776304963434752</v>
      </c>
      <c r="W780" s="85">
        <f>IF(B780="",0,+$T780*$V780)</f>
        <v>36.465559897570864</v>
      </c>
      <c r="X780" s="85">
        <f>IF(B780="",0,IF(OR(H780=MappingTables!$C$34,H780=MappingTables!$C$35),W780,0))</f>
        <v>0</v>
      </c>
    </row>
    <row r="781" spans="2:24" s="0" customFormat="0" ht="15">
      <c r="B781" s="69" t="s">
        <v>1078</v>
      </c>
      <c r="C781" s="70" t="s">
        <v>1079</v>
      </c>
      <c r="D781" s="70" t="s">
        <v>1</v>
      </c>
      <c r="E781" s="70" t="s">
        <v>1</v>
      </c>
      <c r="F781" s="70"/>
      <c r="G781" s="70" t="s">
        <v>61</v>
      </c>
      <c r="H781" s="70" t="s">
        <v>178</v>
      </c>
      <c r="I781" s="70" t="s">
        <v>181</v>
      </c>
      <c r="J781" s="71">
        <f>IF(OR(I781=0,I781=""),"unrated",VLOOKUP(I781,MappingTables!$B$19:$C$31,2,FALSE))</f>
        <v>3</v>
      </c>
      <c r="K781" s="72">
        <v>3766.958384726432</v>
      </c>
      <c r="L781" s="70">
        <v>13.01190134917617</v>
      </c>
      <c r="M781" s="71">
        <f>IF(L781&lt;1,1,L781)</f>
        <v>13.01190134917617</v>
      </c>
      <c r="N781" s="70" t="s">
        <v>141</v>
      </c>
      <c r="O781" s="71">
        <f>INDEX(DurClassMapping,MATCH(M781,MappingTables!$D$4:$D$8,-1),1)</f>
        <v>3</v>
      </c>
      <c r="P781" s="73">
        <f>IF(M781=$A$1,1,$M781-INDEX(MappingTables!$E$4:$E$8,MATCH(O781,MappingTables!$B$4:$B$8,0)))</f>
        <v>3.0119013491761704</v>
      </c>
      <c r="Q781" s="71">
        <f>IF(B781="",0,INDEX(ModelParameters!$D$6:$K$10,MATCH($O781,ModelParameters!$B$6:$B$10,0),MATCH($J781,ModelParameters!$D$5:$K$5,0)))</f>
        <v>0.01</v>
      </c>
      <c r="R781" s="71">
        <f>IF(B781="",0,INDEX(ModelParameters!$D$13:$K$17,MATCH($O781,ModelParameters!$B$13:$B$17,0),MATCH($J781,ModelParameters!$D$5:$K$5,0)))</f>
        <v>0.2</v>
      </c>
      <c r="S781" s="160">
        <f>IF(B781="",0,MIN(IF($N781="Other Bond TM",ModelParameters!$N$21,1)*(P781*Q781+R781),1))</f>
        <v>0.23011901349176172</v>
      </c>
      <c r="T781" s="85">
        <f>IF(B781="",0,$S781*$K781)</f>
        <v>866.84874735776672</v>
      </c>
      <c r="U781" s="85">
        <f>IF(B781="",0,IF(OR(H781=MappingTables!$C$34,H781=MappingTables!$C$35),T781,0))</f>
        <v>0</v>
      </c>
      <c r="V781" s="85">
        <f>IF(ISNA(IF(AND(VLOOKUP(CONCATENATE($D781,$G781),CSRFinput!$B:$E,4,0)=0,OR(H781=MappingTables!$C$34,H781=MappingTables!$C$35)),1,VLOOKUP(CONCATENATE($D781,$G781),CSRFinput!$B:$E,4,0))),0,IF(AND(VLOOKUP(CONCATENATE($D781,$G781),CSRFinput!$B:$E,4,0)=0,OR(H781=MappingTables!$C$34,H781=MappingTables!$C$35)),1,VLOOKUP(CONCATENATE($D781,$G781),CSRFinput!$B:$E,4,0)))</f>
        <v>0.054776304963434752</v>
      </c>
      <c r="W781" s="85">
        <f>IF(B781="",0,+$T781*$V781)</f>
        <v>47.48277134244044</v>
      </c>
      <c r="X781" s="85">
        <f>IF(B781="",0,IF(OR(H781=MappingTables!$C$34,H781=MappingTables!$C$35),W781,0))</f>
        <v>0</v>
      </c>
    </row>
    <row r="782" spans="2:24" s="0" customFormat="0" ht="15">
      <c r="B782" s="69">
        <v>24747314</v>
      </c>
      <c r="C782" s="70" t="s">
        <v>1080</v>
      </c>
      <c r="D782" s="70" t="s">
        <v>1</v>
      </c>
      <c r="E782" s="70" t="s">
        <v>1</v>
      </c>
      <c r="F782" s="70"/>
      <c r="G782" s="70" t="s">
        <v>61</v>
      </c>
      <c r="H782" s="70" t="s">
        <v>178</v>
      </c>
      <c r="I782" s="70" t="s">
        <v>181</v>
      </c>
      <c r="J782" s="71">
        <f>IF(OR(I782=0,I782=""),"unrated",VLOOKUP(I782,MappingTables!$B$19:$C$31,2,FALSE))</f>
        <v>3</v>
      </c>
      <c r="K782" s="72">
        <v>1597.8211942328322</v>
      </c>
      <c r="L782" s="70">
        <v>1.8651104959455816</v>
      </c>
      <c r="M782" s="71">
        <f>IF(L782&lt;1,1,L782)</f>
        <v>1.8651104959455816</v>
      </c>
      <c r="N782" s="70" t="s">
        <v>141</v>
      </c>
      <c r="O782" s="71">
        <f>INDEX(DurClassMapping,MATCH(M782,MappingTables!$D$4:$D$8,-1),1)</f>
        <v>1</v>
      </c>
      <c r="P782" s="73">
        <f>IF(M782=$A$1,1,$M782-INDEX(MappingTables!$E$4:$E$8,MATCH(O782,MappingTables!$B$4:$B$8,0)))</f>
        <v>1.8651104959455816</v>
      </c>
      <c r="Q782" s="71">
        <f>IF(B782="",0,INDEX(ModelParameters!$D$6:$K$10,MATCH($O782,ModelParameters!$B$6:$B$10,0),MATCH($J782,ModelParameters!$D$5:$K$5,0)))</f>
        <v>0.025</v>
      </c>
      <c r="R782" s="71">
        <f>IF(B782="",0,INDEX(ModelParameters!$D$13:$K$17,MATCH($O782,ModelParameters!$B$13:$B$17,0),MATCH($J782,ModelParameters!$D$5:$K$5,0)))</f>
        <v>0</v>
      </c>
      <c r="S782" s="160">
        <f>IF(B782="",0,MIN(IF($N782="Other Bond TM",ModelParameters!$N$21,1)*(P782*Q782+R782),1))</f>
        <v>0.046627762398639552</v>
      </c>
      <c r="T782" s="85">
        <f>IF(B782="",0,$S782*$K782)</f>
        <v>74.502827000198992</v>
      </c>
      <c r="U782" s="85">
        <f>IF(B782="",0,IF(OR(H782=MappingTables!$C$34,H782=MappingTables!$C$35),T782,0))</f>
        <v>0</v>
      </c>
      <c r="V782" s="85">
        <f>IF(ISNA(IF(AND(VLOOKUP(CONCATENATE($D782,$G782),CSRFinput!$B:$E,4,0)=0,OR(H782=MappingTables!$C$34,H782=MappingTables!$C$35)),1,VLOOKUP(CONCATENATE($D782,$G782),CSRFinput!$B:$E,4,0))),0,IF(AND(VLOOKUP(CONCATENATE($D782,$G782),CSRFinput!$B:$E,4,0)=0,OR(H782=MappingTables!$C$34,H782=MappingTables!$C$35)),1,VLOOKUP(CONCATENATE($D782,$G782),CSRFinput!$B:$E,4,0)))</f>
        <v>0.054776304963434752</v>
      </c>
      <c r="W782" s="85">
        <f>IF(B782="",0,+$T782*$V782)</f>
        <v>4.0809895724009208</v>
      </c>
      <c r="X782" s="85">
        <f>IF(B782="",0,IF(OR(H782=MappingTables!$C$34,H782=MappingTables!$C$35),W782,0))</f>
        <v>0</v>
      </c>
    </row>
    <row r="783" spans="2:24" s="0" customFormat="0" ht="15">
      <c r="B783" s="69">
        <v>12365026</v>
      </c>
      <c r="C783" s="70" t="s">
        <v>1081</v>
      </c>
      <c r="D783" s="70" t="s">
        <v>1</v>
      </c>
      <c r="E783" s="70" t="s">
        <v>1</v>
      </c>
      <c r="F783" s="70"/>
      <c r="G783" s="70" t="s">
        <v>61</v>
      </c>
      <c r="H783" s="70" t="s">
        <v>178</v>
      </c>
      <c r="I783" s="70" t="s">
        <v>184</v>
      </c>
      <c r="J783" s="71">
        <f>IF(OR(I783=0,I783=""),"unrated",VLOOKUP(I783,MappingTables!$B$19:$C$31,2,FALSE))</f>
        <v>5</v>
      </c>
      <c r="K783" s="72">
        <v>839.94720757278752</v>
      </c>
      <c r="L783" s="70">
        <v>4.7261836391605808</v>
      </c>
      <c r="M783" s="71">
        <f>IF(L783&lt;1,1,L783)</f>
        <v>4.7261836391605808</v>
      </c>
      <c r="N783" s="70" t="s">
        <v>141</v>
      </c>
      <c r="O783" s="71">
        <f>INDEX(DurClassMapping,MATCH(M783,MappingTables!$D$4:$D$8,-1),1)</f>
        <v>1</v>
      </c>
      <c r="P783" s="73">
        <f>IF(M783=$A$1,1,$M783-INDEX(MappingTables!$E$4:$E$8,MATCH(O783,MappingTables!$B$4:$B$8,0)))</f>
        <v>4.7261836391605808</v>
      </c>
      <c r="Q783" s="71">
        <f>IF(B783="",0,INDEX(ModelParameters!$D$6:$K$10,MATCH($O783,ModelParameters!$B$6:$B$10,0),MATCH($J783,ModelParameters!$D$5:$K$5,0)))</f>
        <v>0.075</v>
      </c>
      <c r="R783" s="71">
        <f>IF(B783="",0,INDEX(ModelParameters!$D$13:$K$17,MATCH($O783,ModelParameters!$B$13:$B$17,0),MATCH($J783,ModelParameters!$D$5:$K$5,0)))</f>
        <v>0</v>
      </c>
      <c r="S783" s="160">
        <f>IF(B783="",0,MIN(IF($N783="Other Bond TM",ModelParameters!$N$21,1)*(P783*Q783+R783),1))</f>
        <v>0.35446377293704356</v>
      </c>
      <c r="T783" s="85">
        <f>IF(B783="",0,$S783*$K783)</f>
        <v>297.73085626418436</v>
      </c>
      <c r="U783" s="85">
        <f>IF(B783="",0,IF(OR(H783=MappingTables!$C$34,H783=MappingTables!$C$35),T783,0))</f>
        <v>0</v>
      </c>
      <c r="V783" s="85">
        <f>IF(ISNA(IF(AND(VLOOKUP(CONCATENATE($D783,$G783),CSRFinput!$B:$E,4,0)=0,OR(H783=MappingTables!$C$34,H783=MappingTables!$C$35)),1,VLOOKUP(CONCATENATE($D783,$G783),CSRFinput!$B:$E,4,0))),0,IF(AND(VLOOKUP(CONCATENATE($D783,$G783),CSRFinput!$B:$E,4,0)=0,OR(H783=MappingTables!$C$34,H783=MappingTables!$C$35)),1,VLOOKUP(CONCATENATE($D783,$G783),CSRFinput!$B:$E,4,0)))</f>
        <v>0.054776304963434752</v>
      </c>
      <c r="W783" s="85">
        <f>IF(B783="",0,+$T783*$V783)</f>
        <v>16.308596179751522</v>
      </c>
      <c r="X783" s="85">
        <f>IF(B783="",0,IF(OR(H783=MappingTables!$C$34,H783=MappingTables!$C$35),W783,0))</f>
        <v>0</v>
      </c>
    </row>
    <row r="784" spans="2:24" s="0" customFormat="0" ht="15">
      <c r="B784" s="69">
        <v>22664656</v>
      </c>
      <c r="C784" s="70" t="s">
        <v>439</v>
      </c>
      <c r="D784" s="70" t="s">
        <v>1</v>
      </c>
      <c r="E784" s="70" t="s">
        <v>1</v>
      </c>
      <c r="F784" s="70"/>
      <c r="G784" s="70" t="s">
        <v>61</v>
      </c>
      <c r="H784" s="70" t="s">
        <v>178</v>
      </c>
      <c r="I784" s="70" t="s">
        <v>181</v>
      </c>
      <c r="J784" s="71">
        <f>IF(OR(I784=0,I784=""),"unrated",VLOOKUP(I784,MappingTables!$B$19:$C$31,2,FALSE))</f>
        <v>3</v>
      </c>
      <c r="K784" s="72">
        <v>5596.4925938852992</v>
      </c>
      <c r="L784" s="70">
        <v>8.1243019720406224</v>
      </c>
      <c r="M784" s="71">
        <f>IF(L784&lt;1,1,L784)</f>
        <v>8.1243019720406224</v>
      </c>
      <c r="N784" s="70" t="s">
        <v>141</v>
      </c>
      <c r="O784" s="71">
        <f>INDEX(DurClassMapping,MATCH(M784,MappingTables!$D$4:$D$8,-1),1)</f>
        <v>2</v>
      </c>
      <c r="P784" s="73">
        <f>IF(M784=$A$1,1,$M784-INDEX(MappingTables!$E$4:$E$8,MATCH(O784,MappingTables!$B$4:$B$8,0)))</f>
        <v>3.1243019720406232</v>
      </c>
      <c r="Q784" s="71">
        <f>IF(B784="",0,INDEX(ModelParameters!$D$6:$K$10,MATCH($O784,ModelParameters!$B$6:$B$10,0),MATCH($J784,ModelParameters!$D$5:$K$5,0)))</f>
        <v>0.015</v>
      </c>
      <c r="R784" s="71">
        <f>IF(B784="",0,INDEX(ModelParameters!$D$13:$K$17,MATCH($O784,ModelParameters!$B$13:$B$17,0),MATCH($J784,ModelParameters!$D$5:$K$5,0)))</f>
        <v>0.125</v>
      </c>
      <c r="S784" s="160">
        <f>IF(B784="",0,MIN(IF($N784="Other Bond TM",ModelParameters!$N$21,1)*(P784*Q784+R784),1))</f>
        <v>0.17186452958060936</v>
      </c>
      <c r="T784" s="85">
        <f>IF(B784="",0,$S784*$K784)</f>
        <v>961.83856694946128</v>
      </c>
      <c r="U784" s="85">
        <f>IF(B784="",0,IF(OR(H784=MappingTables!$C$34,H784=MappingTables!$C$35),T784,0))</f>
        <v>0</v>
      </c>
      <c r="V784" s="85">
        <f>IF(ISNA(IF(AND(VLOOKUP(CONCATENATE($D784,$G784),CSRFinput!$B:$E,4,0)=0,OR(H784=MappingTables!$C$34,H784=MappingTables!$C$35)),1,VLOOKUP(CONCATENATE($D784,$G784),CSRFinput!$B:$E,4,0))),0,IF(AND(VLOOKUP(CONCATENATE($D784,$G784),CSRFinput!$B:$E,4,0)=0,OR(H784=MappingTables!$C$34,H784=MappingTables!$C$35)),1,VLOOKUP(CONCATENATE($D784,$G784),CSRFinput!$B:$E,4,0)))</f>
        <v>0.054776304963434752</v>
      </c>
      <c r="W784" s="85">
        <f>IF(B784="",0,+$T784*$V784)</f>
        <v>52.685962668816744</v>
      </c>
      <c r="X784" s="85">
        <f>IF(B784="",0,IF(OR(H784=MappingTables!$C$34,H784=MappingTables!$C$35),W784,0))</f>
        <v>0</v>
      </c>
    </row>
    <row r="785" spans="2:24" s="0" customFormat="0" ht="15">
      <c r="B785" s="69" t="s">
        <v>765</v>
      </c>
      <c r="C785" s="70" t="s">
        <v>766</v>
      </c>
      <c r="D785" s="70" t="s">
        <v>1</v>
      </c>
      <c r="E785" s="70" t="s">
        <v>1</v>
      </c>
      <c r="F785" s="70"/>
      <c r="G785" s="70" t="s">
        <v>61</v>
      </c>
      <c r="H785" s="70" t="s">
        <v>178</v>
      </c>
      <c r="I785" s="70" t="s">
        <v>181</v>
      </c>
      <c r="J785" s="71">
        <f>IF(OR(I785=0,I785=""),"unrated",VLOOKUP(I785,MappingTables!$B$19:$C$31,2,FALSE))</f>
        <v>3</v>
      </c>
      <c r="K785" s="72">
        <v>36289.82754948996</v>
      </c>
      <c r="L785" s="70">
        <v>5.6313724984967984</v>
      </c>
      <c r="M785" s="71">
        <f>IF(L785&lt;1,1,L785)</f>
        <v>5.6313724984967984</v>
      </c>
      <c r="N785" s="70" t="s">
        <v>141</v>
      </c>
      <c r="O785" s="71">
        <f>INDEX(DurClassMapping,MATCH(M785,MappingTables!$D$4:$D$8,-1),1)</f>
        <v>2</v>
      </c>
      <c r="P785" s="73">
        <f>IF(M785=$A$1,1,$M785-INDEX(MappingTables!$E$4:$E$8,MATCH(O785,MappingTables!$B$4:$B$8,0)))</f>
        <v>0.63137249849679832</v>
      </c>
      <c r="Q785" s="71">
        <f>IF(B785="",0,INDEX(ModelParameters!$D$6:$K$10,MATCH($O785,ModelParameters!$B$6:$B$10,0),MATCH($J785,ModelParameters!$D$5:$K$5,0)))</f>
        <v>0.015</v>
      </c>
      <c r="R785" s="71">
        <f>IF(B785="",0,INDEX(ModelParameters!$D$13:$K$17,MATCH($O785,ModelParameters!$B$13:$B$17,0),MATCH($J785,ModelParameters!$D$5:$K$5,0)))</f>
        <v>0.125</v>
      </c>
      <c r="S785" s="160">
        <f>IF(B785="",0,MIN(IF($N785="Other Bond TM",ModelParameters!$N$21,1)*(P785*Q785+R785),1))</f>
        <v>0.13447058747745196</v>
      </c>
      <c r="T785" s="85">
        <f>IF(B785="",0,$S785*$K785)</f>
        <v>4879.9144300353352</v>
      </c>
      <c r="U785" s="85">
        <f>IF(B785="",0,IF(OR(H785=MappingTables!$C$34,H785=MappingTables!$C$35),T785,0))</f>
        <v>0</v>
      </c>
      <c r="V785" s="85">
        <f>IF(ISNA(IF(AND(VLOOKUP(CONCATENATE($D785,$G785),CSRFinput!$B:$E,4,0)=0,OR(H785=MappingTables!$C$34,H785=MappingTables!$C$35)),1,VLOOKUP(CONCATENATE($D785,$G785),CSRFinput!$B:$E,4,0))),0,IF(AND(VLOOKUP(CONCATENATE($D785,$G785),CSRFinput!$B:$E,4,0)=0,OR(H785=MappingTables!$C$34,H785=MappingTables!$C$35)),1,VLOOKUP(CONCATENATE($D785,$G785),CSRFinput!$B:$E,4,0)))</f>
        <v>0.054776304963434752</v>
      </c>
      <c r="W785" s="85">
        <f>IF(B785="",0,+$T785*$V785)</f>
        <v>267.30368101508144</v>
      </c>
      <c r="X785" s="85">
        <f>IF(B785="",0,IF(OR(H785=MappingTables!$C$34,H785=MappingTables!$C$35),W785,0))</f>
        <v>0</v>
      </c>
    </row>
    <row r="786" spans="2:24" s="0" customFormat="0" ht="15">
      <c r="B786" s="69">
        <v>20538925</v>
      </c>
      <c r="C786" s="70" t="s">
        <v>1082</v>
      </c>
      <c r="D786" s="70" t="s">
        <v>1</v>
      </c>
      <c r="E786" s="70" t="s">
        <v>1</v>
      </c>
      <c r="F786" s="70"/>
      <c r="G786" s="70" t="s">
        <v>61</v>
      </c>
      <c r="H786" s="70" t="s">
        <v>178</v>
      </c>
      <c r="I786" s="70" t="s">
        <v>181</v>
      </c>
      <c r="J786" s="71">
        <f>IF(OR(I786=0,I786=""),"unrated",VLOOKUP(I786,MappingTables!$B$19:$C$31,2,FALSE))</f>
        <v>3</v>
      </c>
      <c r="K786" s="72">
        <v>1011.3534134859236</v>
      </c>
      <c r="L786" s="70">
        <v>5.024711996445796</v>
      </c>
      <c r="M786" s="71">
        <f>IF(L786&lt;1,1,L786)</f>
        <v>5.024711996445796</v>
      </c>
      <c r="N786" s="70" t="s">
        <v>141</v>
      </c>
      <c r="O786" s="71">
        <f>INDEX(DurClassMapping,MATCH(M786,MappingTables!$D$4:$D$8,-1),1)</f>
        <v>2</v>
      </c>
      <c r="P786" s="73">
        <f>IF(M786=$A$1,1,$M786-INDEX(MappingTables!$E$4:$E$8,MATCH(O786,MappingTables!$B$4:$B$8,0)))</f>
        <v>0.024711996445796024</v>
      </c>
      <c r="Q786" s="71">
        <f>IF(B786="",0,INDEX(ModelParameters!$D$6:$K$10,MATCH($O786,ModelParameters!$B$6:$B$10,0),MATCH($J786,ModelParameters!$D$5:$K$5,0)))</f>
        <v>0.015</v>
      </c>
      <c r="R786" s="71">
        <f>IF(B786="",0,INDEX(ModelParameters!$D$13:$K$17,MATCH($O786,ModelParameters!$B$13:$B$17,0),MATCH($J786,ModelParameters!$D$5:$K$5,0)))</f>
        <v>0.125</v>
      </c>
      <c r="S786" s="160">
        <f>IF(B786="",0,MIN(IF($N786="Other Bond TM",ModelParameters!$N$21,1)*(P786*Q786+R786),1))</f>
        <v>0.12537067994668694</v>
      </c>
      <c r="T786" s="85">
        <f>IF(B786="",0,$S786*$K786)</f>
        <v>126.79406511513306</v>
      </c>
      <c r="U786" s="85">
        <f>IF(B786="",0,IF(OR(H786=MappingTables!$C$34,H786=MappingTables!$C$35),T786,0))</f>
        <v>0</v>
      </c>
      <c r="V786" s="85">
        <f>IF(ISNA(IF(AND(VLOOKUP(CONCATENATE($D786,$G786),CSRFinput!$B:$E,4,0)=0,OR(H786=MappingTables!$C$34,H786=MappingTables!$C$35)),1,VLOOKUP(CONCATENATE($D786,$G786),CSRFinput!$B:$E,4,0))),0,IF(AND(VLOOKUP(CONCATENATE($D786,$G786),CSRFinput!$B:$E,4,0)=0,OR(H786=MappingTables!$C$34,H786=MappingTables!$C$35)),1,VLOOKUP(CONCATENATE($D786,$G786),CSRFinput!$B:$E,4,0)))</f>
        <v>0.054776304963434752</v>
      </c>
      <c r="W786" s="85">
        <f>IF(B786="",0,+$T786*$V786)</f>
        <v>6.945310378300132</v>
      </c>
      <c r="X786" s="85">
        <f>IF(B786="",0,IF(OR(H786=MappingTables!$C$34,H786=MappingTables!$C$35),W786,0))</f>
        <v>0</v>
      </c>
    </row>
    <row r="787" spans="2:24" s="0" customFormat="0" ht="15">
      <c r="B787" s="69">
        <v>19812482</v>
      </c>
      <c r="C787" s="70" t="s">
        <v>1083</v>
      </c>
      <c r="D787" s="70" t="s">
        <v>1</v>
      </c>
      <c r="E787" s="70" t="s">
        <v>1</v>
      </c>
      <c r="F787" s="70"/>
      <c r="G787" s="70" t="s">
        <v>61</v>
      </c>
      <c r="H787" s="70" t="s">
        <v>178</v>
      </c>
      <c r="I787" s="70" t="s">
        <v>220</v>
      </c>
      <c r="J787" s="71">
        <f>IF(OR(I787=0,I787=""),"unrated",VLOOKUP(I787,MappingTables!$B$19:$C$31,2,FALSE))</f>
        <v>1</v>
      </c>
      <c r="K787" s="72">
        <v>61.81629040945708</v>
      </c>
      <c r="L787" s="70">
        <v>1.3580281272192206</v>
      </c>
      <c r="M787" s="71">
        <f>IF(L787&lt;1,1,L787)</f>
        <v>1.3580281272192206</v>
      </c>
      <c r="N787" s="70" t="s">
        <v>141</v>
      </c>
      <c r="O787" s="71">
        <f>INDEX(DurClassMapping,MATCH(M787,MappingTables!$D$4:$D$8,-1),1)</f>
        <v>1</v>
      </c>
      <c r="P787" s="73">
        <f>IF(M787=$A$1,1,$M787-INDEX(MappingTables!$E$4:$E$8,MATCH(O787,MappingTables!$B$4:$B$8,0)))</f>
        <v>1.3580281272192206</v>
      </c>
      <c r="Q787" s="71">
        <f>IF(B787="",0,INDEX(ModelParameters!$D$6:$K$10,MATCH($O787,ModelParameters!$B$6:$B$10,0),MATCH($J787,ModelParameters!$D$5:$K$5,0)))</f>
        <v>0.011000000000000002</v>
      </c>
      <c r="R787" s="71">
        <f>IF(B787="",0,INDEX(ModelParameters!$D$13:$K$17,MATCH($O787,ModelParameters!$B$13:$B$17,0),MATCH($J787,ModelParameters!$D$5:$K$5,0)))</f>
        <v>0</v>
      </c>
      <c r="S787" s="160">
        <f>IF(B787="",0,MIN(IF($N787="Other Bond TM",ModelParameters!$N$21,1)*(P787*Q787+R787),1))</f>
        <v>0.014938309399411428</v>
      </c>
      <c r="T787" s="85">
        <f>IF(B787="",0,$S787*$K787)</f>
        <v>0.9234308720603392</v>
      </c>
      <c r="U787" s="85">
        <f>IF(B787="",0,IF(OR(H787=MappingTables!$C$34,H787=MappingTables!$C$35),T787,0))</f>
        <v>0</v>
      </c>
      <c r="V787" s="85">
        <f>IF(ISNA(IF(AND(VLOOKUP(CONCATENATE($D787,$G787),CSRFinput!$B:$E,4,0)=0,OR(H787=MappingTables!$C$34,H787=MappingTables!$C$35)),1,VLOOKUP(CONCATENATE($D787,$G787),CSRFinput!$B:$E,4,0))),0,IF(AND(VLOOKUP(CONCATENATE($D787,$G787),CSRFinput!$B:$E,4,0)=0,OR(H787=MappingTables!$C$34,H787=MappingTables!$C$35)),1,VLOOKUP(CONCATENATE($D787,$G787),CSRFinput!$B:$E,4,0)))</f>
        <v>0.054776304963434752</v>
      </c>
      <c r="W787" s="85">
        <f>IF(B787="",0,+$T787*$V787)</f>
        <v>0.050582131060627648</v>
      </c>
      <c r="X787" s="85">
        <f>IF(B787="",0,IF(OR(H787=MappingTables!$C$34,H787=MappingTables!$C$35),W787,0))</f>
        <v>0</v>
      </c>
    </row>
    <row r="788" spans="2:24" s="0" customFormat="0" ht="15">
      <c r="B788" s="69" t="s">
        <v>1084</v>
      </c>
      <c r="C788" s="70" t="s">
        <v>1085</v>
      </c>
      <c r="D788" s="70" t="s">
        <v>1</v>
      </c>
      <c r="E788" s="70" t="s">
        <v>1</v>
      </c>
      <c r="F788" s="70"/>
      <c r="G788" s="70" t="s">
        <v>61</v>
      </c>
      <c r="H788" s="70" t="s">
        <v>178</v>
      </c>
      <c r="I788" s="70" t="s">
        <v>198</v>
      </c>
      <c r="J788" s="71" t="str">
        <f>IF(OR(I788=0,I788=""),"unrated",VLOOKUP(I788,MappingTables!$B$19:$C$31,2,FALSE))</f>
        <v>unrated</v>
      </c>
      <c r="K788" s="72">
        <v>3.2953843331182496</v>
      </c>
      <c r="L788" s="70">
        <v>2.0355881176211136</v>
      </c>
      <c r="M788" s="71">
        <f>IF(L788&lt;1,1,L788)</f>
        <v>2.0355881176211136</v>
      </c>
      <c r="N788" s="70" t="s">
        <v>141</v>
      </c>
      <c r="O788" s="71">
        <f>INDEX(DurClassMapping,MATCH(M788,MappingTables!$D$4:$D$8,-1),1)</f>
        <v>1</v>
      </c>
      <c r="P788" s="73">
        <f>IF(M788=$A$1,1,$M788-INDEX(MappingTables!$E$4:$E$8,MATCH(O788,MappingTables!$B$4:$B$8,0)))</f>
        <v>2.0355881176211136</v>
      </c>
      <c r="Q788" s="71">
        <f>IF(B788="",0,INDEX(ModelParameters!$D$6:$K$10,MATCH($O788,ModelParameters!$B$6:$B$10,0),MATCH($J788,ModelParameters!$D$5:$K$5,0)))</f>
        <v>0.03</v>
      </c>
      <c r="R788" s="71">
        <f>IF(B788="",0,INDEX(ModelParameters!$D$13:$K$17,MATCH($O788,ModelParameters!$B$13:$B$17,0),MATCH($J788,ModelParameters!$D$5:$K$5,0)))</f>
        <v>0</v>
      </c>
      <c r="S788" s="160">
        <f>IF(B788="",0,MIN(IF($N788="Other Bond TM",ModelParameters!$N$21,1)*(P788*Q788+R788),1))</f>
        <v>0.0610676435286334</v>
      </c>
      <c r="T788" s="85">
        <f>IF(B788="",0,$S788*$K788)</f>
        <v>0.2012413557447086</v>
      </c>
      <c r="U788" s="85">
        <f>IF(B788="",0,IF(OR(H788=MappingTables!$C$34,H788=MappingTables!$C$35),T788,0))</f>
        <v>0</v>
      </c>
      <c r="V788" s="85">
        <f>IF(ISNA(IF(AND(VLOOKUP(CONCATENATE($D788,$G788),CSRFinput!$B:$E,4,0)=0,OR(H788=MappingTables!$C$34,H788=MappingTables!$C$35)),1,VLOOKUP(CONCATENATE($D788,$G788),CSRFinput!$B:$E,4,0))),0,IF(AND(VLOOKUP(CONCATENATE($D788,$G788),CSRFinput!$B:$E,4,0)=0,OR(H788=MappingTables!$C$34,H788=MappingTables!$C$35)),1,VLOOKUP(CONCATENATE($D788,$G788),CSRFinput!$B:$E,4,0)))</f>
        <v>0.054776304963434752</v>
      </c>
      <c r="W788" s="85">
        <f>IF(B788="",0,+$T788*$V788)</f>
        <v>0.01102325787352722</v>
      </c>
      <c r="X788" s="85">
        <f>IF(B788="",0,IF(OR(H788=MappingTables!$C$34,H788=MappingTables!$C$35),W788,0))</f>
        <v>0</v>
      </c>
    </row>
    <row r="789" spans="2:24" s="0" customFormat="0" ht="15">
      <c r="B789" s="69">
        <v>17356632</v>
      </c>
      <c r="C789" s="70" t="s">
        <v>1086</v>
      </c>
      <c r="D789" s="70" t="s">
        <v>1</v>
      </c>
      <c r="E789" s="70" t="s">
        <v>1</v>
      </c>
      <c r="F789" s="70"/>
      <c r="G789" s="70" t="s">
        <v>61</v>
      </c>
      <c r="H789" s="70" t="s">
        <v>178</v>
      </c>
      <c r="I789" s="70" t="s">
        <v>188</v>
      </c>
      <c r="J789" s="71">
        <f>IF(OR(I789=0,I789=""),"unrated",VLOOKUP(I789,MappingTables!$B$19:$C$31,2,FALSE))</f>
        <v>2</v>
      </c>
      <c r="K789" s="72">
        <v>6464.7136789439904</v>
      </c>
      <c r="L789" s="70">
        <v>2.4435764063524756</v>
      </c>
      <c r="M789" s="71">
        <f>IF(L789&lt;1,1,L789)</f>
        <v>2.4435764063524756</v>
      </c>
      <c r="N789" s="70" t="s">
        <v>141</v>
      </c>
      <c r="O789" s="71">
        <f>INDEX(DurClassMapping,MATCH(M789,MappingTables!$D$4:$D$8,-1),1)</f>
        <v>1</v>
      </c>
      <c r="P789" s="73">
        <f>IF(M789=$A$1,1,$M789-INDEX(MappingTables!$E$4:$E$8,MATCH(O789,MappingTables!$B$4:$B$8,0)))</f>
        <v>2.4435764063524756</v>
      </c>
      <c r="Q789" s="71">
        <f>IF(B789="",0,INDEX(ModelParameters!$D$6:$K$10,MATCH($O789,ModelParameters!$B$6:$B$10,0),MATCH($J789,ModelParameters!$D$5:$K$5,0)))</f>
        <v>0.013999999999999998</v>
      </c>
      <c r="R789" s="71">
        <f>IF(B789="",0,INDEX(ModelParameters!$D$13:$K$17,MATCH($O789,ModelParameters!$B$13:$B$17,0),MATCH($J789,ModelParameters!$D$5:$K$5,0)))</f>
        <v>0</v>
      </c>
      <c r="S789" s="160">
        <f>IF(B789="",0,MIN(IF($N789="Other Bond TM",ModelParameters!$N$21,1)*(P789*Q789+R789),1))</f>
        <v>0.034210069688934656</v>
      </c>
      <c r="T789" s="85">
        <f>IF(B789="",0,$S789*$K789)</f>
        <v>221.15830547568304</v>
      </c>
      <c r="U789" s="85">
        <f>IF(B789="",0,IF(OR(H789=MappingTables!$C$34,H789=MappingTables!$C$35),T789,0))</f>
        <v>0</v>
      </c>
      <c r="V789" s="85">
        <f>IF(ISNA(IF(AND(VLOOKUP(CONCATENATE($D789,$G789),CSRFinput!$B:$E,4,0)=0,OR(H789=MappingTables!$C$34,H789=MappingTables!$C$35)),1,VLOOKUP(CONCATENATE($D789,$G789),CSRFinput!$B:$E,4,0))),0,IF(AND(VLOOKUP(CONCATENATE($D789,$G789),CSRFinput!$B:$E,4,0)=0,OR(H789=MappingTables!$C$34,H789=MappingTables!$C$35)),1,VLOOKUP(CONCATENATE($D789,$G789),CSRFinput!$B:$E,4,0)))</f>
        <v>0.054776304963434752</v>
      </c>
      <c r="W789" s="85">
        <f>IF(B789="",0,+$T789*$V789)</f>
        <v>12.114234785932476</v>
      </c>
      <c r="X789" s="85">
        <f>IF(B789="",0,IF(OR(H789=MappingTables!$C$34,H789=MappingTables!$C$35),W789,0))</f>
        <v>0</v>
      </c>
    </row>
    <row r="790" spans="2:24" s="0" customFormat="0" ht="15">
      <c r="B790" s="69">
        <v>15479984</v>
      </c>
      <c r="C790" s="70" t="s">
        <v>1087</v>
      </c>
      <c r="D790" s="70" t="s">
        <v>1</v>
      </c>
      <c r="E790" s="70" t="s">
        <v>1</v>
      </c>
      <c r="F790" s="70"/>
      <c r="G790" s="70" t="s">
        <v>61</v>
      </c>
      <c r="H790" s="70" t="s">
        <v>178</v>
      </c>
      <c r="I790" s="70" t="s">
        <v>179</v>
      </c>
      <c r="J790" s="71">
        <f>IF(OR(I790=0,I790=""),"unrated",VLOOKUP(I790,MappingTables!$B$19:$C$31,2,FALSE))</f>
        <v>4</v>
      </c>
      <c r="K790" s="72">
        <v>5862.4067545201576</v>
      </c>
      <c r="L790" s="70">
        <v>2.2756839140290576</v>
      </c>
      <c r="M790" s="71">
        <f>IF(L790&lt;1,1,L790)</f>
        <v>2.2756839140290576</v>
      </c>
      <c r="N790" s="70" t="s">
        <v>141</v>
      </c>
      <c r="O790" s="71">
        <f>INDEX(DurClassMapping,MATCH(M790,MappingTables!$D$4:$D$8,-1),1)</f>
        <v>1</v>
      </c>
      <c r="P790" s="73">
        <f>IF(M790=$A$1,1,$M790-INDEX(MappingTables!$E$4:$E$8,MATCH(O790,MappingTables!$B$4:$B$8,0)))</f>
        <v>2.2756839140290576</v>
      </c>
      <c r="Q790" s="71">
        <f>IF(B790="",0,INDEX(ModelParameters!$D$6:$K$10,MATCH($O790,ModelParameters!$B$6:$B$10,0),MATCH($J790,ModelParameters!$D$5:$K$5,0)))</f>
        <v>0.045</v>
      </c>
      <c r="R790" s="71">
        <f>IF(B790="",0,INDEX(ModelParameters!$D$13:$K$17,MATCH($O790,ModelParameters!$B$13:$B$17,0),MATCH($J790,ModelParameters!$D$5:$K$5,0)))</f>
        <v>0</v>
      </c>
      <c r="S790" s="160">
        <f>IF(B790="",0,MIN(IF($N790="Other Bond TM",ModelParameters!$N$21,1)*(P790*Q790+R790),1))</f>
        <v>0.1024057761313076</v>
      </c>
      <c r="T790" s="85">
        <f>IF(B790="",0,$S790*$K790)</f>
        <v>600.3443136940568</v>
      </c>
      <c r="U790" s="85">
        <f>IF(B790="",0,IF(OR(H790=MappingTables!$C$34,H790=MappingTables!$C$35),T790,0))</f>
        <v>0</v>
      </c>
      <c r="V790" s="85">
        <f>IF(ISNA(IF(AND(VLOOKUP(CONCATENATE($D790,$G790),CSRFinput!$B:$E,4,0)=0,OR(H790=MappingTables!$C$34,H790=MappingTables!$C$35)),1,VLOOKUP(CONCATENATE($D790,$G790),CSRFinput!$B:$E,4,0))),0,IF(AND(VLOOKUP(CONCATENATE($D790,$G790),CSRFinput!$B:$E,4,0)=0,OR(H790=MappingTables!$C$34,H790=MappingTables!$C$35)),1,VLOOKUP(CONCATENATE($D790,$G790),CSRFinput!$B:$E,4,0)))</f>
        <v>0.054776304963434752</v>
      </c>
      <c r="W790" s="85">
        <f>IF(B790="",0,+$T790*$V790)</f>
        <v>32.884643209969596</v>
      </c>
      <c r="X790" s="85">
        <f>IF(B790="",0,IF(OR(H790=MappingTables!$C$34,H790=MappingTables!$C$35),W790,0))</f>
        <v>0</v>
      </c>
    </row>
    <row r="791" spans="2:24" s="0" customFormat="0" ht="15">
      <c r="B791" s="69">
        <v>12200132</v>
      </c>
      <c r="C791" s="70" t="s">
        <v>1088</v>
      </c>
      <c r="D791" s="70" t="s">
        <v>1</v>
      </c>
      <c r="E791" s="70" t="s">
        <v>1</v>
      </c>
      <c r="F791" s="70"/>
      <c r="G791" s="70" t="s">
        <v>61</v>
      </c>
      <c r="H791" s="70" t="s">
        <v>178</v>
      </c>
      <c r="I791" s="70" t="s">
        <v>220</v>
      </c>
      <c r="J791" s="71">
        <f>IF(OR(I791=0,I791=""),"unrated",VLOOKUP(I791,MappingTables!$B$19:$C$31,2,FALSE))</f>
        <v>1</v>
      </c>
      <c r="K791" s="72">
        <v>114.17204884542066</v>
      </c>
      <c r="L791" s="70">
        <v>0.45155433955863896</v>
      </c>
      <c r="M791" s="71">
        <f>IF(L791&lt;1,1,L791)</f>
        <v>1</v>
      </c>
      <c r="N791" s="70" t="s">
        <v>141</v>
      </c>
      <c r="O791" s="71">
        <f>INDEX(DurClassMapping,MATCH(M791,MappingTables!$D$4:$D$8,-1),1)</f>
        <v>1</v>
      </c>
      <c r="P791" s="73">
        <f>IF(M791=$A$1,1,$M791-INDEX(MappingTables!$E$4:$E$8,MATCH(O791,MappingTables!$B$4:$B$8,0)))</f>
        <v>1</v>
      </c>
      <c r="Q791" s="71">
        <f>IF(B791="",0,INDEX(ModelParameters!$D$6:$K$10,MATCH($O791,ModelParameters!$B$6:$B$10,0),MATCH($J791,ModelParameters!$D$5:$K$5,0)))</f>
        <v>0.011000000000000002</v>
      </c>
      <c r="R791" s="71">
        <f>IF(B791="",0,INDEX(ModelParameters!$D$13:$K$17,MATCH($O791,ModelParameters!$B$13:$B$17,0),MATCH($J791,ModelParameters!$D$5:$K$5,0)))</f>
        <v>0</v>
      </c>
      <c r="S791" s="160">
        <f>IF(B791="",0,MIN(IF($N791="Other Bond TM",ModelParameters!$N$21,1)*(P791*Q791+R791),1))</f>
        <v>0.011000000000000002</v>
      </c>
      <c r="T791" s="85">
        <f>IF(B791="",0,$S791*$K791)</f>
        <v>1.2558925372996274</v>
      </c>
      <c r="U791" s="85">
        <f>IF(B791="",0,IF(OR(H791=MappingTables!$C$34,H791=MappingTables!$C$35),T791,0))</f>
        <v>0</v>
      </c>
      <c r="V791" s="85">
        <f>IF(ISNA(IF(AND(VLOOKUP(CONCATENATE($D791,$G791),CSRFinput!$B:$E,4,0)=0,OR(H791=MappingTables!$C$34,H791=MappingTables!$C$35)),1,VLOOKUP(CONCATENATE($D791,$G791),CSRFinput!$B:$E,4,0))),0,IF(AND(VLOOKUP(CONCATENATE($D791,$G791),CSRFinput!$B:$E,4,0)=0,OR(H791=MappingTables!$C$34,H791=MappingTables!$C$35)),1,VLOOKUP(CONCATENATE($D791,$G791),CSRFinput!$B:$E,4,0)))</f>
        <v>0.054776304963434752</v>
      </c>
      <c r="W791" s="85">
        <f>IF(B791="",0,+$T791*$V791)</f>
        <v>0.068793152624426256</v>
      </c>
      <c r="X791" s="85">
        <f>IF(B791="",0,IF(OR(H791=MappingTables!$C$34,H791=MappingTables!$C$35),W791,0))</f>
        <v>0</v>
      </c>
    </row>
    <row r="792" spans="2:24" s="0" customFormat="0" ht="15">
      <c r="B792" s="69">
        <v>20788619</v>
      </c>
      <c r="C792" s="70" t="s">
        <v>1089</v>
      </c>
      <c r="D792" s="70" t="s">
        <v>1</v>
      </c>
      <c r="E792" s="70" t="s">
        <v>1</v>
      </c>
      <c r="F792" s="70"/>
      <c r="G792" s="70" t="s">
        <v>61</v>
      </c>
      <c r="H792" s="70" t="s">
        <v>178</v>
      </c>
      <c r="I792" s="70" t="s">
        <v>184</v>
      </c>
      <c r="J792" s="71">
        <f>IF(OR(I792=0,I792=""),"unrated",VLOOKUP(I792,MappingTables!$B$19:$C$31,2,FALSE))</f>
        <v>5</v>
      </c>
      <c r="K792" s="72">
        <v>36732.892590078296</v>
      </c>
      <c r="L792" s="70">
        <v>3.371863118389036</v>
      </c>
      <c r="M792" s="71">
        <f>IF(L792&lt;1,1,L792)</f>
        <v>3.371863118389036</v>
      </c>
      <c r="N792" s="70" t="s">
        <v>141</v>
      </c>
      <c r="O792" s="71">
        <f>INDEX(DurClassMapping,MATCH(M792,MappingTables!$D$4:$D$8,-1),1)</f>
        <v>1</v>
      </c>
      <c r="P792" s="73">
        <f>IF(M792=$A$1,1,$M792-INDEX(MappingTables!$E$4:$E$8,MATCH(O792,MappingTables!$B$4:$B$8,0)))</f>
        <v>3.371863118389036</v>
      </c>
      <c r="Q792" s="71">
        <f>IF(B792="",0,INDEX(ModelParameters!$D$6:$K$10,MATCH($O792,ModelParameters!$B$6:$B$10,0),MATCH($J792,ModelParameters!$D$5:$K$5,0)))</f>
        <v>0.075</v>
      </c>
      <c r="R792" s="71">
        <f>IF(B792="",0,INDEX(ModelParameters!$D$13:$K$17,MATCH($O792,ModelParameters!$B$13:$B$17,0),MATCH($J792,ModelParameters!$D$5:$K$5,0)))</f>
        <v>0</v>
      </c>
      <c r="S792" s="160">
        <f>IF(B792="",0,MIN(IF($N792="Other Bond TM",ModelParameters!$N$21,1)*(P792*Q792+R792),1))</f>
        <v>0.25288973387917768</v>
      </c>
      <c r="T792" s="85">
        <f>IF(B792="",0,$S792*$K792)</f>
        <v>9289.3714317173168</v>
      </c>
      <c r="U792" s="85">
        <f>IF(B792="",0,IF(OR(H792=MappingTables!$C$34,H792=MappingTables!$C$35),T792,0))</f>
        <v>0</v>
      </c>
      <c r="V792" s="85">
        <f>IF(ISNA(IF(AND(VLOOKUP(CONCATENATE($D792,$G792),CSRFinput!$B:$E,4,0)=0,OR(H792=MappingTables!$C$34,H792=MappingTables!$C$35)),1,VLOOKUP(CONCATENATE($D792,$G792),CSRFinput!$B:$E,4,0))),0,IF(AND(VLOOKUP(CONCATENATE($D792,$G792),CSRFinput!$B:$E,4,0)=0,OR(H792=MappingTables!$C$34,H792=MappingTables!$C$35)),1,VLOOKUP(CONCATENATE($D792,$G792),CSRFinput!$B:$E,4,0)))</f>
        <v>0.054776304963434752</v>
      </c>
      <c r="W792" s="85">
        <f>IF(B792="",0,+$T792*$V792)</f>
        <v>508.83744246236624</v>
      </c>
      <c r="X792" s="85">
        <f>IF(B792="",0,IF(OR(H792=MappingTables!$C$34,H792=MappingTables!$C$35),W792,0))</f>
        <v>0</v>
      </c>
    </row>
    <row r="793" spans="2:24" s="0" customFormat="0" ht="15">
      <c r="B793" s="69" t="s">
        <v>1090</v>
      </c>
      <c r="C793" s="70" t="s">
        <v>1091</v>
      </c>
      <c r="D793" s="70" t="s">
        <v>1</v>
      </c>
      <c r="E793" s="70" t="s">
        <v>1</v>
      </c>
      <c r="F793" s="70"/>
      <c r="G793" s="70" t="s">
        <v>61</v>
      </c>
      <c r="H793" s="70" t="s">
        <v>178</v>
      </c>
      <c r="I793" s="70" t="s">
        <v>181</v>
      </c>
      <c r="J793" s="71">
        <f>IF(OR(I793=0,I793=""),"unrated",VLOOKUP(I793,MappingTables!$B$19:$C$31,2,FALSE))</f>
        <v>3</v>
      </c>
      <c r="K793" s="72">
        <v>21.638864458497852</v>
      </c>
      <c r="L793" s="70">
        <v>0.38356139923207688</v>
      </c>
      <c r="M793" s="71">
        <f>IF(L793&lt;1,1,L793)</f>
        <v>1</v>
      </c>
      <c r="N793" s="70" t="s">
        <v>141</v>
      </c>
      <c r="O793" s="71">
        <f>INDEX(DurClassMapping,MATCH(M793,MappingTables!$D$4:$D$8,-1),1)</f>
        <v>1</v>
      </c>
      <c r="P793" s="73">
        <f>IF(M793=$A$1,1,$M793-INDEX(MappingTables!$E$4:$E$8,MATCH(O793,MappingTables!$B$4:$B$8,0)))</f>
        <v>1</v>
      </c>
      <c r="Q793" s="71">
        <f>IF(B793="",0,INDEX(ModelParameters!$D$6:$K$10,MATCH($O793,ModelParameters!$B$6:$B$10,0),MATCH($J793,ModelParameters!$D$5:$K$5,0)))</f>
        <v>0.025</v>
      </c>
      <c r="R793" s="71">
        <f>IF(B793="",0,INDEX(ModelParameters!$D$13:$K$17,MATCH($O793,ModelParameters!$B$13:$B$17,0),MATCH($J793,ModelParameters!$D$5:$K$5,0)))</f>
        <v>0</v>
      </c>
      <c r="S793" s="160">
        <f>IF(B793="",0,MIN(IF($N793="Other Bond TM",ModelParameters!$N$21,1)*(P793*Q793+R793),1))</f>
        <v>0.025</v>
      </c>
      <c r="T793" s="85">
        <f>IF(B793="",0,$S793*$K793)</f>
        <v>0.54097161146244632</v>
      </c>
      <c r="U793" s="85">
        <f>IF(B793="",0,IF(OR(H793=MappingTables!$C$34,H793=MappingTables!$C$35),T793,0))</f>
        <v>0</v>
      </c>
      <c r="V793" s="85">
        <f>IF(ISNA(IF(AND(VLOOKUP(CONCATENATE($D793,$G793),CSRFinput!$B:$E,4,0)=0,OR(H793=MappingTables!$C$34,H793=MappingTables!$C$35)),1,VLOOKUP(CONCATENATE($D793,$G793),CSRFinput!$B:$E,4,0))),0,IF(AND(VLOOKUP(CONCATENATE($D793,$G793),CSRFinput!$B:$E,4,0)=0,OR(H793=MappingTables!$C$34,H793=MappingTables!$C$35)),1,VLOOKUP(CONCATENATE($D793,$G793),CSRFinput!$B:$E,4,0)))</f>
        <v>0.054776304963434752</v>
      </c>
      <c r="W793" s="85">
        <f>IF(B793="",0,+$T793*$V793)</f>
        <v>0.029632425966027696</v>
      </c>
      <c r="X793" s="85">
        <f>IF(B793="",0,IF(OR(H793=MappingTables!$C$34,H793=MappingTables!$C$35),W793,0))</f>
        <v>0</v>
      </c>
    </row>
    <row r="794" spans="2:24" s="0" customFormat="0" ht="15">
      <c r="B794" s="69">
        <v>18724774</v>
      </c>
      <c r="C794" s="70" t="s">
        <v>1092</v>
      </c>
      <c r="D794" s="70" t="s">
        <v>1</v>
      </c>
      <c r="E794" s="70" t="s">
        <v>1</v>
      </c>
      <c r="F794" s="70"/>
      <c r="G794" s="70" t="s">
        <v>61</v>
      </c>
      <c r="H794" s="70" t="s">
        <v>178</v>
      </c>
      <c r="I794" s="70" t="s">
        <v>179</v>
      </c>
      <c r="J794" s="71">
        <f>IF(OR(I794=0,I794=""),"unrated",VLOOKUP(I794,MappingTables!$B$19:$C$31,2,FALSE))</f>
        <v>4</v>
      </c>
      <c r="K794" s="72">
        <v>266.82541727835376</v>
      </c>
      <c r="L794" s="70">
        <v>0.97018505831660496</v>
      </c>
      <c r="M794" s="71">
        <f>IF(L794&lt;1,1,L794)</f>
        <v>1</v>
      </c>
      <c r="N794" s="70" t="s">
        <v>141</v>
      </c>
      <c r="O794" s="71">
        <f>INDEX(DurClassMapping,MATCH(M794,MappingTables!$D$4:$D$8,-1),1)</f>
        <v>1</v>
      </c>
      <c r="P794" s="73">
        <f>IF(M794=$A$1,1,$M794-INDEX(MappingTables!$E$4:$E$8,MATCH(O794,MappingTables!$B$4:$B$8,0)))</f>
        <v>1</v>
      </c>
      <c r="Q794" s="71">
        <f>IF(B794="",0,INDEX(ModelParameters!$D$6:$K$10,MATCH($O794,ModelParameters!$B$6:$B$10,0),MATCH($J794,ModelParameters!$D$5:$K$5,0)))</f>
        <v>0.045</v>
      </c>
      <c r="R794" s="71">
        <f>IF(B794="",0,INDEX(ModelParameters!$D$13:$K$17,MATCH($O794,ModelParameters!$B$13:$B$17,0),MATCH($J794,ModelParameters!$D$5:$K$5,0)))</f>
        <v>0</v>
      </c>
      <c r="S794" s="160">
        <f>IF(B794="",0,MIN(IF($N794="Other Bond TM",ModelParameters!$N$21,1)*(P794*Q794+R794),1))</f>
        <v>0.045</v>
      </c>
      <c r="T794" s="85">
        <f>IF(B794="",0,$S794*$K794)</f>
        <v>12.007143777525918</v>
      </c>
      <c r="U794" s="85">
        <f>IF(B794="",0,IF(OR(H794=MappingTables!$C$34,H794=MappingTables!$C$35),T794,0))</f>
        <v>0</v>
      </c>
      <c r="V794" s="85">
        <f>IF(ISNA(IF(AND(VLOOKUP(CONCATENATE($D794,$G794),CSRFinput!$B:$E,4,0)=0,OR(H794=MappingTables!$C$34,H794=MappingTables!$C$35)),1,VLOOKUP(CONCATENATE($D794,$G794),CSRFinput!$B:$E,4,0))),0,IF(AND(VLOOKUP(CONCATENATE($D794,$G794),CSRFinput!$B:$E,4,0)=0,OR(H794=MappingTables!$C$34,H794=MappingTables!$C$35)),1,VLOOKUP(CONCATENATE($D794,$G794),CSRFinput!$B:$E,4,0)))</f>
        <v>0.054776304963434752</v>
      </c>
      <c r="W794" s="85">
        <f>IF(B794="",0,+$T794*$V794)</f>
        <v>0.65770696929756768</v>
      </c>
      <c r="X794" s="85">
        <f>IF(B794="",0,IF(OR(H794=MappingTables!$C$34,H794=MappingTables!$C$35),W794,0))</f>
        <v>0</v>
      </c>
    </row>
    <row r="795" spans="2:24" s="0" customFormat="0" ht="15">
      <c r="B795" s="69" t="s">
        <v>1093</v>
      </c>
      <c r="C795" s="70" t="s">
        <v>1094</v>
      </c>
      <c r="D795" s="70" t="s">
        <v>1</v>
      </c>
      <c r="E795" s="70" t="s">
        <v>1</v>
      </c>
      <c r="F795" s="70"/>
      <c r="G795" s="70" t="s">
        <v>61</v>
      </c>
      <c r="H795" s="70" t="s">
        <v>178</v>
      </c>
      <c r="I795" s="70" t="s">
        <v>198</v>
      </c>
      <c r="J795" s="71" t="str">
        <f>IF(OR(I795=0,I795=""),"unrated",VLOOKUP(I795,MappingTables!$B$19:$C$31,2,FALSE))</f>
        <v>unrated</v>
      </c>
      <c r="K795" s="72">
        <v>0.11347323568088456</v>
      </c>
      <c r="L795" s="70">
        <v>0.2438364290754242</v>
      </c>
      <c r="M795" s="71">
        <f>IF(L795&lt;1,1,L795)</f>
        <v>1</v>
      </c>
      <c r="N795" s="70" t="s">
        <v>141</v>
      </c>
      <c r="O795" s="71">
        <f>INDEX(DurClassMapping,MATCH(M795,MappingTables!$D$4:$D$8,-1),1)</f>
        <v>1</v>
      </c>
      <c r="P795" s="73">
        <f>IF(M795=$A$1,1,$M795-INDEX(MappingTables!$E$4:$E$8,MATCH(O795,MappingTables!$B$4:$B$8,0)))</f>
        <v>1</v>
      </c>
      <c r="Q795" s="71">
        <f>IF(B795="",0,INDEX(ModelParameters!$D$6:$K$10,MATCH($O795,ModelParameters!$B$6:$B$10,0),MATCH($J795,ModelParameters!$D$5:$K$5,0)))</f>
        <v>0.03</v>
      </c>
      <c r="R795" s="71">
        <f>IF(B795="",0,INDEX(ModelParameters!$D$13:$K$17,MATCH($O795,ModelParameters!$B$13:$B$17,0),MATCH($J795,ModelParameters!$D$5:$K$5,0)))</f>
        <v>0</v>
      </c>
      <c r="S795" s="160">
        <f>IF(B795="",0,MIN(IF($N795="Other Bond TM",ModelParameters!$N$21,1)*(P795*Q795+R795),1))</f>
        <v>0.03</v>
      </c>
      <c r="T795" s="85">
        <f>IF(B795="",0,$S795*$K795)</f>
        <v>0.0034041970704265368</v>
      </c>
      <c r="U795" s="85">
        <f>IF(B795="",0,IF(OR(H795=MappingTables!$C$34,H795=MappingTables!$C$35),T795,0))</f>
        <v>0</v>
      </c>
      <c r="V795" s="85">
        <f>IF(ISNA(IF(AND(VLOOKUP(CONCATENATE($D795,$G795),CSRFinput!$B:$E,4,0)=0,OR(H795=MappingTables!$C$34,H795=MappingTables!$C$35)),1,VLOOKUP(CONCATENATE($D795,$G795),CSRFinput!$B:$E,4,0))),0,IF(AND(VLOOKUP(CONCATENATE($D795,$G795),CSRFinput!$B:$E,4,0)=0,OR(H795=MappingTables!$C$34,H795=MappingTables!$C$35)),1,VLOOKUP(CONCATENATE($D795,$G795),CSRFinput!$B:$E,4,0)))</f>
        <v>0.054776304963434752</v>
      </c>
      <c r="W795" s="85">
        <f>IF(B795="",0,+$T795*$V795)</f>
        <v>0.00018646933688531516</v>
      </c>
      <c r="X795" s="85">
        <f>IF(B795="",0,IF(OR(H795=MappingTables!$C$34,H795=MappingTables!$C$35),W795,0))</f>
        <v>0</v>
      </c>
    </row>
    <row r="796" spans="2:24" s="0" customFormat="0" ht="15">
      <c r="B796" s="69" t="s">
        <v>1095</v>
      </c>
      <c r="C796" s="70" t="s">
        <v>1096</v>
      </c>
      <c r="D796" s="70" t="s">
        <v>1</v>
      </c>
      <c r="E796" s="70" t="s">
        <v>1</v>
      </c>
      <c r="F796" s="70"/>
      <c r="G796" s="70" t="s">
        <v>61</v>
      </c>
      <c r="H796" s="70" t="s">
        <v>178</v>
      </c>
      <c r="I796" s="70" t="s">
        <v>198</v>
      </c>
      <c r="J796" s="71" t="str">
        <f>IF(OR(I796=0,I796=""),"unrated",VLOOKUP(I796,MappingTables!$B$19:$C$31,2,FALSE))</f>
        <v>unrated</v>
      </c>
      <c r="K796" s="72">
        <v>0.32037163836645588</v>
      </c>
      <c r="L796" s="70">
        <v>0.01918070195727808</v>
      </c>
      <c r="M796" s="71">
        <f>IF(L796&lt;1,1,L796)</f>
        <v>1</v>
      </c>
      <c r="N796" s="70" t="s">
        <v>141</v>
      </c>
      <c r="O796" s="71">
        <f>INDEX(DurClassMapping,MATCH(M796,MappingTables!$D$4:$D$8,-1),1)</f>
        <v>1</v>
      </c>
      <c r="P796" s="73">
        <f>IF(M796=$A$1,1,$M796-INDEX(MappingTables!$E$4:$E$8,MATCH(O796,MappingTables!$B$4:$B$8,0)))</f>
        <v>1</v>
      </c>
      <c r="Q796" s="71">
        <f>IF(B796="",0,INDEX(ModelParameters!$D$6:$K$10,MATCH($O796,ModelParameters!$B$6:$B$10,0),MATCH($J796,ModelParameters!$D$5:$K$5,0)))</f>
        <v>0.03</v>
      </c>
      <c r="R796" s="71">
        <f>IF(B796="",0,INDEX(ModelParameters!$D$13:$K$17,MATCH($O796,ModelParameters!$B$13:$B$17,0),MATCH($J796,ModelParameters!$D$5:$K$5,0)))</f>
        <v>0</v>
      </c>
      <c r="S796" s="160">
        <f>IF(B796="",0,MIN(IF($N796="Other Bond TM",ModelParameters!$N$21,1)*(P796*Q796+R796),1))</f>
        <v>0.03</v>
      </c>
      <c r="T796" s="85">
        <f>IF(B796="",0,$S796*$K796)</f>
        <v>0.0096111491509936752</v>
      </c>
      <c r="U796" s="85">
        <f>IF(B796="",0,IF(OR(H796=MappingTables!$C$34,H796=MappingTables!$C$35),T796,0))</f>
        <v>0</v>
      </c>
      <c r="V796" s="85">
        <f>IF(ISNA(IF(AND(VLOOKUP(CONCATENATE($D796,$G796),CSRFinput!$B:$E,4,0)=0,OR(H796=MappingTables!$C$34,H796=MappingTables!$C$35)),1,VLOOKUP(CONCATENATE($D796,$G796),CSRFinput!$B:$E,4,0))),0,IF(AND(VLOOKUP(CONCATENATE($D796,$G796),CSRFinput!$B:$E,4,0)=0,OR(H796=MappingTables!$C$34,H796=MappingTables!$C$35)),1,VLOOKUP(CONCATENATE($D796,$G796),CSRFinput!$B:$E,4,0)))</f>
        <v>0.054776304963434752</v>
      </c>
      <c r="W796" s="85">
        <f>IF(B796="",0,+$T796*$V796)</f>
        <v>0.00052646323694388664</v>
      </c>
      <c r="X796" s="85">
        <f>IF(B796="",0,IF(OR(H796=MappingTables!$C$34,H796=MappingTables!$C$35),W796,0))</f>
        <v>0</v>
      </c>
    </row>
    <row r="797" spans="2:24" s="0" customFormat="0" ht="15">
      <c r="B797" s="69">
        <v>7778058</v>
      </c>
      <c r="C797" s="70" t="s">
        <v>1097</v>
      </c>
      <c r="D797" s="70" t="s">
        <v>1</v>
      </c>
      <c r="E797" s="70" t="s">
        <v>1</v>
      </c>
      <c r="F797" s="70"/>
      <c r="G797" s="70" t="s">
        <v>61</v>
      </c>
      <c r="H797" s="70" t="s">
        <v>178</v>
      </c>
      <c r="I797" s="70" t="s">
        <v>188</v>
      </c>
      <c r="J797" s="71">
        <f>IF(OR(I797=0,I797=""),"unrated",VLOOKUP(I797,MappingTables!$B$19:$C$31,2,FALSE))</f>
        <v>2</v>
      </c>
      <c r="K797" s="72">
        <v>2.2168150648634192</v>
      </c>
      <c r="L797" s="70">
        <v>0.12602585764551538</v>
      </c>
      <c r="M797" s="71">
        <f>IF(L797&lt;1,1,L797)</f>
        <v>1</v>
      </c>
      <c r="N797" s="70" t="s">
        <v>141</v>
      </c>
      <c r="O797" s="71">
        <f>INDEX(DurClassMapping,MATCH(M797,MappingTables!$D$4:$D$8,-1),1)</f>
        <v>1</v>
      </c>
      <c r="P797" s="73">
        <f>IF(M797=$A$1,1,$M797-INDEX(MappingTables!$E$4:$E$8,MATCH(O797,MappingTables!$B$4:$B$8,0)))</f>
        <v>1</v>
      </c>
      <c r="Q797" s="71">
        <f>IF(B797="",0,INDEX(ModelParameters!$D$6:$K$10,MATCH($O797,ModelParameters!$B$6:$B$10,0),MATCH($J797,ModelParameters!$D$5:$K$5,0)))</f>
        <v>0.013999999999999998</v>
      </c>
      <c r="R797" s="71">
        <f>IF(B797="",0,INDEX(ModelParameters!$D$13:$K$17,MATCH($O797,ModelParameters!$B$13:$B$17,0),MATCH($J797,ModelParameters!$D$5:$K$5,0)))</f>
        <v>0</v>
      </c>
      <c r="S797" s="160">
        <f>IF(B797="",0,MIN(IF($N797="Other Bond TM",ModelParameters!$N$21,1)*(P797*Q797+R797),1))</f>
        <v>0.013999999999999998</v>
      </c>
      <c r="T797" s="85">
        <f>IF(B797="",0,$S797*$K797)</f>
        <v>0.031035410908087864</v>
      </c>
      <c r="U797" s="85">
        <f>IF(B797="",0,IF(OR(H797=MappingTables!$C$34,H797=MappingTables!$C$35),T797,0))</f>
        <v>0</v>
      </c>
      <c r="V797" s="85">
        <f>IF(ISNA(IF(AND(VLOOKUP(CONCATENATE($D797,$G797),CSRFinput!$B:$E,4,0)=0,OR(H797=MappingTables!$C$34,H797=MappingTables!$C$35)),1,VLOOKUP(CONCATENATE($D797,$G797),CSRFinput!$B:$E,4,0))),0,IF(AND(VLOOKUP(CONCATENATE($D797,$G797),CSRFinput!$B:$E,4,0)=0,OR(H797=MappingTables!$C$34,H797=MappingTables!$C$35)),1,VLOOKUP(CONCATENATE($D797,$G797),CSRFinput!$B:$E,4,0)))</f>
        <v>0.054776304963434752</v>
      </c>
      <c r="W797" s="85">
        <f>IF(B797="",0,+$T797*$V797)</f>
        <v>0.0017000051325669304</v>
      </c>
      <c r="X797" s="85">
        <f>IF(B797="",0,IF(OR(H797=MappingTables!$C$34,H797=MappingTables!$C$35),W797,0))</f>
        <v>0</v>
      </c>
    </row>
    <row r="798" spans="2:24" s="0" customFormat="0" ht="15">
      <c r="B798" s="69">
        <v>11854063</v>
      </c>
      <c r="C798" s="70" t="s">
        <v>1098</v>
      </c>
      <c r="D798" s="70" t="s">
        <v>1</v>
      </c>
      <c r="E798" s="70" t="s">
        <v>1</v>
      </c>
      <c r="F798" s="70"/>
      <c r="G798" s="70" t="s">
        <v>61</v>
      </c>
      <c r="H798" s="70" t="s">
        <v>178</v>
      </c>
      <c r="I798" s="70" t="s">
        <v>184</v>
      </c>
      <c r="J798" s="71">
        <f>IF(OR(I798=0,I798=""),"unrated",VLOOKUP(I798,MappingTables!$B$19:$C$31,2,FALSE))</f>
        <v>5</v>
      </c>
      <c r="K798" s="72">
        <v>235.46690325241328</v>
      </c>
      <c r="L798" s="70">
        <v>4.7253665901403464</v>
      </c>
      <c r="M798" s="71">
        <f>IF(L798&lt;1,1,L798)</f>
        <v>4.7253665901403464</v>
      </c>
      <c r="N798" s="70" t="s">
        <v>141</v>
      </c>
      <c r="O798" s="71">
        <f>INDEX(DurClassMapping,MATCH(M798,MappingTables!$D$4:$D$8,-1),1)</f>
        <v>1</v>
      </c>
      <c r="P798" s="73">
        <f>IF(M798=$A$1,1,$M798-INDEX(MappingTables!$E$4:$E$8,MATCH(O798,MappingTables!$B$4:$B$8,0)))</f>
        <v>4.7253665901403464</v>
      </c>
      <c r="Q798" s="71">
        <f>IF(B798="",0,INDEX(ModelParameters!$D$6:$K$10,MATCH($O798,ModelParameters!$B$6:$B$10,0),MATCH($J798,ModelParameters!$D$5:$K$5,0)))</f>
        <v>0.075</v>
      </c>
      <c r="R798" s="71">
        <f>IF(B798="",0,INDEX(ModelParameters!$D$13:$K$17,MATCH($O798,ModelParameters!$B$13:$B$17,0),MATCH($J798,ModelParameters!$D$5:$K$5,0)))</f>
        <v>0</v>
      </c>
      <c r="S798" s="160">
        <f>IF(B798="",0,MIN(IF($N798="Other Bond TM",ModelParameters!$N$21,1)*(P798*Q798+R798),1))</f>
        <v>0.354402494260526</v>
      </c>
      <c r="T798" s="85">
        <f>IF(B798="",0,$S798*$K798)</f>
        <v>83.450057828457216</v>
      </c>
      <c r="U798" s="85">
        <f>IF(B798="",0,IF(OR(H798=MappingTables!$C$34,H798=MappingTables!$C$35),T798,0))</f>
        <v>0</v>
      </c>
      <c r="V798" s="85">
        <f>IF(ISNA(IF(AND(VLOOKUP(CONCATENATE($D798,$G798),CSRFinput!$B:$E,4,0)=0,OR(H798=MappingTables!$C$34,H798=MappingTables!$C$35)),1,VLOOKUP(CONCATENATE($D798,$G798),CSRFinput!$B:$E,4,0))),0,IF(AND(VLOOKUP(CONCATENATE($D798,$G798),CSRFinput!$B:$E,4,0)=0,OR(H798=MappingTables!$C$34,H798=MappingTables!$C$35)),1,VLOOKUP(CONCATENATE($D798,$G798),CSRFinput!$B:$E,4,0)))</f>
        <v>0.054776304963434752</v>
      </c>
      <c r="W798" s="85">
        <f>IF(B798="",0,+$T798*$V798)</f>
        <v>4.5710858168278384</v>
      </c>
      <c r="X798" s="85">
        <f>IF(B798="",0,IF(OR(H798=MappingTables!$C$34,H798=MappingTables!$C$35),W798,0))</f>
        <v>0</v>
      </c>
    </row>
    <row r="799" spans="2:24" s="0" customFormat="0" ht="15">
      <c r="B799" s="69">
        <v>10489625</v>
      </c>
      <c r="C799" s="70" t="s">
        <v>474</v>
      </c>
      <c r="D799" s="70" t="s">
        <v>1</v>
      </c>
      <c r="E799" s="70" t="s">
        <v>1</v>
      </c>
      <c r="F799" s="70"/>
      <c r="G799" s="70" t="s">
        <v>61</v>
      </c>
      <c r="H799" s="70" t="s">
        <v>178</v>
      </c>
      <c r="I799" s="70" t="s">
        <v>181</v>
      </c>
      <c r="J799" s="71">
        <f>IF(OR(I799=0,I799=""),"unrated",VLOOKUP(I799,MappingTables!$B$19:$C$31,2,FALSE))</f>
        <v>3</v>
      </c>
      <c r="K799" s="72">
        <v>4951.2555964790896</v>
      </c>
      <c r="L799" s="70">
        <v>4.9820893690878704</v>
      </c>
      <c r="M799" s="71">
        <f>IF(L799&lt;1,1,L799)</f>
        <v>4.9820893690878704</v>
      </c>
      <c r="N799" s="70" t="s">
        <v>141</v>
      </c>
      <c r="O799" s="71">
        <f>INDEX(DurClassMapping,MATCH(M799,MappingTables!$D$4:$D$8,-1),1)</f>
        <v>1</v>
      </c>
      <c r="P799" s="73">
        <f>IF(M799=$A$1,1,$M799-INDEX(MappingTables!$E$4:$E$8,MATCH(O799,MappingTables!$B$4:$B$8,0)))</f>
        <v>4.9820893690878704</v>
      </c>
      <c r="Q799" s="71">
        <f>IF(B799="",0,INDEX(ModelParameters!$D$6:$K$10,MATCH($O799,ModelParameters!$B$6:$B$10,0),MATCH($J799,ModelParameters!$D$5:$K$5,0)))</f>
        <v>0.025</v>
      </c>
      <c r="R799" s="71">
        <f>IF(B799="",0,INDEX(ModelParameters!$D$13:$K$17,MATCH($O799,ModelParameters!$B$13:$B$17,0),MATCH($J799,ModelParameters!$D$5:$K$5,0)))</f>
        <v>0</v>
      </c>
      <c r="S799" s="160">
        <f>IF(B799="",0,MIN(IF($N799="Other Bond TM",ModelParameters!$N$21,1)*(P799*Q799+R799),1))</f>
        <v>0.12455223422719678</v>
      </c>
      <c r="T799" s="85">
        <f>IF(B799="",0,$S799*$K799)</f>
        <v>616.6899467713824</v>
      </c>
      <c r="U799" s="85">
        <f>IF(B799="",0,IF(OR(H799=MappingTables!$C$34,H799=MappingTables!$C$35),T799,0))</f>
        <v>0</v>
      </c>
      <c r="V799" s="85">
        <f>IF(ISNA(IF(AND(VLOOKUP(CONCATENATE($D799,$G799),CSRFinput!$B:$E,4,0)=0,OR(H799=MappingTables!$C$34,H799=MappingTables!$C$35)),1,VLOOKUP(CONCATENATE($D799,$G799),CSRFinput!$B:$E,4,0))),0,IF(AND(VLOOKUP(CONCATENATE($D799,$G799),CSRFinput!$B:$E,4,0)=0,OR(H799=MappingTables!$C$34,H799=MappingTables!$C$35)),1,VLOOKUP(CONCATENATE($D799,$G799),CSRFinput!$B:$E,4,0)))</f>
        <v>0.054776304963434752</v>
      </c>
      <c r="W799" s="85">
        <f>IF(B799="",0,+$T799*$V799)</f>
        <v>33.779996592233588</v>
      </c>
      <c r="X799" s="85">
        <f>IF(B799="",0,IF(OR(H799=MappingTables!$C$34,H799=MappingTables!$C$35),W799,0))</f>
        <v>0</v>
      </c>
    </row>
    <row r="800" spans="2:24" s="0" customFormat="0" ht="15">
      <c r="B800" s="69" t="s">
        <v>1099</v>
      </c>
      <c r="C800" s="70" t="s">
        <v>1100</v>
      </c>
      <c r="D800" s="70" t="s">
        <v>1</v>
      </c>
      <c r="E800" s="70" t="s">
        <v>1</v>
      </c>
      <c r="F800" s="70"/>
      <c r="G800" s="70" t="s">
        <v>61</v>
      </c>
      <c r="H800" s="70" t="s">
        <v>178</v>
      </c>
      <c r="I800" s="70" t="s">
        <v>188</v>
      </c>
      <c r="J800" s="71">
        <f>IF(OR(I800=0,I800=""),"unrated",VLOOKUP(I800,MappingTables!$B$19:$C$31,2,FALSE))</f>
        <v>2</v>
      </c>
      <c r="K800" s="72">
        <v>0.0533717391056</v>
      </c>
      <c r="L800" s="70">
        <v>1.2041865235176774</v>
      </c>
      <c r="M800" s="71">
        <f>IF(L800&lt;1,1,L800)</f>
        <v>1.2041865235176774</v>
      </c>
      <c r="N800" s="70" t="s">
        <v>141</v>
      </c>
      <c r="O800" s="71">
        <f>INDEX(DurClassMapping,MATCH(M800,MappingTables!$D$4:$D$8,-1),1)</f>
        <v>1</v>
      </c>
      <c r="P800" s="73">
        <f>IF(M800=$A$1,1,$M800-INDEX(MappingTables!$E$4:$E$8,MATCH(O800,MappingTables!$B$4:$B$8,0)))</f>
        <v>1.2041865235176774</v>
      </c>
      <c r="Q800" s="71">
        <f>IF(B800="",0,INDEX(ModelParameters!$D$6:$K$10,MATCH($O800,ModelParameters!$B$6:$B$10,0),MATCH($J800,ModelParameters!$D$5:$K$5,0)))</f>
        <v>0.013999999999999998</v>
      </c>
      <c r="R800" s="71">
        <f>IF(B800="",0,INDEX(ModelParameters!$D$13:$K$17,MATCH($O800,ModelParameters!$B$13:$B$17,0),MATCH($J800,ModelParameters!$D$5:$K$5,0)))</f>
        <v>0</v>
      </c>
      <c r="S800" s="160">
        <f>IF(B800="",0,MIN(IF($N800="Other Bond TM",ModelParameters!$N$21,1)*(P800*Q800+R800),1))</f>
        <v>0.016858611329247482</v>
      </c>
      <c r="T800" s="85">
        <f>IF(B800="",0,$S800*$K800)</f>
        <v>0.00089977340554730912</v>
      </c>
      <c r="U800" s="85">
        <f>IF(B800="",0,IF(OR(H800=MappingTables!$C$34,H800=MappingTables!$C$35),T800,0))</f>
        <v>0</v>
      </c>
      <c r="V800" s="85">
        <f>IF(ISNA(IF(AND(VLOOKUP(CONCATENATE($D800,$G800),CSRFinput!$B:$E,4,0)=0,OR(H800=MappingTables!$C$34,H800=MappingTables!$C$35)),1,VLOOKUP(CONCATENATE($D800,$G800),CSRFinput!$B:$E,4,0))),0,IF(AND(VLOOKUP(CONCATENATE($D800,$G800),CSRFinput!$B:$E,4,0)=0,OR(H800=MappingTables!$C$34,H800=MappingTables!$C$35)),1,VLOOKUP(CONCATENATE($D800,$G800),CSRFinput!$B:$E,4,0)))</f>
        <v>0.054776304963434752</v>
      </c>
      <c r="W800" s="85">
        <f>IF(B800="",0,+$T800*$V800)</f>
        <v>0.000049286262460247664</v>
      </c>
      <c r="X800" s="85">
        <f>IF(B800="",0,IF(OR(H800=MappingTables!$C$34,H800=MappingTables!$C$35),W800,0))</f>
        <v>0</v>
      </c>
    </row>
    <row r="801" spans="2:24" s="0" customFormat="0" ht="15">
      <c r="B801" s="69">
        <v>20466086</v>
      </c>
      <c r="C801" s="70" t="s">
        <v>1101</v>
      </c>
      <c r="D801" s="70" t="s">
        <v>1</v>
      </c>
      <c r="E801" s="70" t="s">
        <v>1</v>
      </c>
      <c r="F801" s="70"/>
      <c r="G801" s="70" t="s">
        <v>61</v>
      </c>
      <c r="H801" s="70" t="s">
        <v>178</v>
      </c>
      <c r="I801" s="70" t="s">
        <v>220</v>
      </c>
      <c r="J801" s="71">
        <f>IF(OR(I801=0,I801=""),"unrated",VLOOKUP(I801,MappingTables!$B$19:$C$31,2,FALSE))</f>
        <v>1</v>
      </c>
      <c r="K801" s="72">
        <v>218.76163559969832</v>
      </c>
      <c r="L801" s="70">
        <v>1.55579650326804</v>
      </c>
      <c r="M801" s="71">
        <f>IF(L801&lt;1,1,L801)</f>
        <v>1.55579650326804</v>
      </c>
      <c r="N801" s="70" t="s">
        <v>141</v>
      </c>
      <c r="O801" s="71">
        <f>INDEX(DurClassMapping,MATCH(M801,MappingTables!$D$4:$D$8,-1),1)</f>
        <v>1</v>
      </c>
      <c r="P801" s="73">
        <f>IF(M801=$A$1,1,$M801-INDEX(MappingTables!$E$4:$E$8,MATCH(O801,MappingTables!$B$4:$B$8,0)))</f>
        <v>1.55579650326804</v>
      </c>
      <c r="Q801" s="71">
        <f>IF(B801="",0,INDEX(ModelParameters!$D$6:$K$10,MATCH($O801,ModelParameters!$B$6:$B$10,0),MATCH($J801,ModelParameters!$D$5:$K$5,0)))</f>
        <v>0.011000000000000002</v>
      </c>
      <c r="R801" s="71">
        <f>IF(B801="",0,INDEX(ModelParameters!$D$13:$K$17,MATCH($O801,ModelParameters!$B$13:$B$17,0),MATCH($J801,ModelParameters!$D$5:$K$5,0)))</f>
        <v>0</v>
      </c>
      <c r="S801" s="160">
        <f>IF(B801="",0,MIN(IF($N801="Other Bond TM",ModelParameters!$N$21,1)*(P801*Q801+R801),1))</f>
        <v>0.017113761535948444</v>
      </c>
      <c r="T801" s="85">
        <f>IF(B801="",0,$S801*$K801)</f>
        <v>3.7438344648672872</v>
      </c>
      <c r="U801" s="85">
        <f>IF(B801="",0,IF(OR(H801=MappingTables!$C$34,H801=MappingTables!$C$35),T801,0))</f>
        <v>0</v>
      </c>
      <c r="V801" s="85">
        <f>IF(ISNA(IF(AND(VLOOKUP(CONCATENATE($D801,$G801),CSRFinput!$B:$E,4,0)=0,OR(H801=MappingTables!$C$34,H801=MappingTables!$C$35)),1,VLOOKUP(CONCATENATE($D801,$G801),CSRFinput!$B:$E,4,0))),0,IF(AND(VLOOKUP(CONCATENATE($D801,$G801),CSRFinput!$B:$E,4,0)=0,OR(H801=MappingTables!$C$34,H801=MappingTables!$C$35)),1,VLOOKUP(CONCATENATE($D801,$G801),CSRFinput!$B:$E,4,0)))</f>
        <v>0.054776304963434752</v>
      </c>
      <c r="W801" s="85">
        <f>IF(B801="",0,+$T801*$V801)</f>
        <v>0.20507341838018804</v>
      </c>
      <c r="X801" s="85">
        <f>IF(B801="",0,IF(OR(H801=MappingTables!$C$34,H801=MappingTables!$C$35),W801,0))</f>
        <v>0</v>
      </c>
    </row>
    <row r="802" spans="2:24" s="0" customFormat="0" ht="15">
      <c r="B802" s="69" t="s">
        <v>1102</v>
      </c>
      <c r="C802" s="70" t="s">
        <v>1103</v>
      </c>
      <c r="D802" s="70" t="s">
        <v>1</v>
      </c>
      <c r="E802" s="70" t="s">
        <v>1</v>
      </c>
      <c r="F802" s="70"/>
      <c r="G802" s="70" t="s">
        <v>61</v>
      </c>
      <c r="H802" s="70" t="s">
        <v>178</v>
      </c>
      <c r="I802" s="70" t="s">
        <v>184</v>
      </c>
      <c r="J802" s="71">
        <f>IF(OR(I802=0,I802=""),"unrated",VLOOKUP(I802,MappingTables!$B$19:$C$31,2,FALSE))</f>
        <v>5</v>
      </c>
      <c r="K802" s="72">
        <v>9079.4084214106944</v>
      </c>
      <c r="L802" s="70">
        <v>5.9196785770316928</v>
      </c>
      <c r="M802" s="71">
        <f>IF(L802&lt;1,1,L802)</f>
        <v>5.9196785770316928</v>
      </c>
      <c r="N802" s="70" t="s">
        <v>141</v>
      </c>
      <c r="O802" s="71">
        <f>INDEX(DurClassMapping,MATCH(M802,MappingTables!$D$4:$D$8,-1),1)</f>
        <v>2</v>
      </c>
      <c r="P802" s="73">
        <f>IF(M802=$A$1,1,$M802-INDEX(MappingTables!$E$4:$E$8,MATCH(O802,MappingTables!$B$4:$B$8,0)))</f>
        <v>0.9196785770316928</v>
      </c>
      <c r="Q802" s="71">
        <f>IF(B802="",0,INDEX(ModelParameters!$D$6:$K$10,MATCH($O802,ModelParameters!$B$6:$B$10,0),MATCH($J802,ModelParameters!$D$5:$K$5,0)))</f>
        <v>0.042</v>
      </c>
      <c r="R802" s="71">
        <f>IF(B802="",0,INDEX(ModelParameters!$D$13:$K$17,MATCH($O802,ModelParameters!$B$13:$B$17,0),MATCH($J802,ModelParameters!$D$5:$K$5,0)))</f>
        <v>0.375</v>
      </c>
      <c r="S802" s="160">
        <f>IF(B802="",0,MIN(IF($N802="Other Bond TM",ModelParameters!$N$21,1)*(P802*Q802+R802),1))</f>
        <v>0.41362650023533112</v>
      </c>
      <c r="T802" s="85">
        <f>IF(B802="",0,$S802*$K802)</f>
        <v>3755.4839295552976</v>
      </c>
      <c r="U802" s="85">
        <f>IF(B802="",0,IF(OR(H802=MappingTables!$C$34,H802=MappingTables!$C$35),T802,0))</f>
        <v>0</v>
      </c>
      <c r="V802" s="85">
        <f>IF(ISNA(IF(AND(VLOOKUP(CONCATENATE($D802,$G802),CSRFinput!$B:$E,4,0)=0,OR(H802=MappingTables!$C$34,H802=MappingTables!$C$35)),1,VLOOKUP(CONCATENATE($D802,$G802),CSRFinput!$B:$E,4,0))),0,IF(AND(VLOOKUP(CONCATENATE($D802,$G802),CSRFinput!$B:$E,4,0)=0,OR(H802=MappingTables!$C$34,H802=MappingTables!$C$35)),1,VLOOKUP(CONCATENATE($D802,$G802),CSRFinput!$B:$E,4,0)))</f>
        <v>0.054776304963434752</v>
      </c>
      <c r="W802" s="85">
        <f>IF(B802="",0,+$T802*$V802)</f>
        <v>205.71153301059932</v>
      </c>
      <c r="X802" s="85">
        <f>IF(B802="",0,IF(OR(H802=MappingTables!$C$34,H802=MappingTables!$C$35),W802,0))</f>
        <v>0</v>
      </c>
    </row>
    <row r="803" spans="2:24" s="0" customFormat="0" ht="15">
      <c r="B803" s="69" t="s">
        <v>1104</v>
      </c>
      <c r="C803" s="70" t="s">
        <v>1105</v>
      </c>
      <c r="D803" s="70" t="s">
        <v>1</v>
      </c>
      <c r="E803" s="70" t="s">
        <v>1</v>
      </c>
      <c r="F803" s="70"/>
      <c r="G803" s="70" t="s">
        <v>61</v>
      </c>
      <c r="H803" s="70" t="s">
        <v>178</v>
      </c>
      <c r="I803" s="70" t="s">
        <v>179</v>
      </c>
      <c r="J803" s="71">
        <f>IF(OR(I803=0,I803=""),"unrated",VLOOKUP(I803,MappingTables!$B$19:$C$31,2,FALSE))</f>
        <v>4</v>
      </c>
      <c r="K803" s="72">
        <v>51334.425775097328</v>
      </c>
      <c r="L803" s="70">
        <v>11.593762759742794</v>
      </c>
      <c r="M803" s="71">
        <f>IF(L803&lt;1,1,L803)</f>
        <v>11.593762759742794</v>
      </c>
      <c r="N803" s="70" t="s">
        <v>141</v>
      </c>
      <c r="O803" s="71">
        <f>INDEX(DurClassMapping,MATCH(M803,MappingTables!$D$4:$D$8,-1),1)</f>
        <v>3</v>
      </c>
      <c r="P803" s="73">
        <f>IF(M803=$A$1,1,$M803-INDEX(MappingTables!$E$4:$E$8,MATCH(O803,MappingTables!$B$4:$B$8,0)))</f>
        <v>1.5937627597427948</v>
      </c>
      <c r="Q803" s="71">
        <f>IF(B803="",0,INDEX(ModelParameters!$D$6:$K$10,MATCH($O803,ModelParameters!$B$6:$B$10,0),MATCH($J803,ModelParameters!$D$5:$K$5,0)))</f>
        <v>0.018000000000000002</v>
      </c>
      <c r="R803" s="71">
        <f>IF(B803="",0,INDEX(ModelParameters!$D$13:$K$17,MATCH($O803,ModelParameters!$B$13:$B$17,0),MATCH($J803,ModelParameters!$D$5:$K$5,0)))</f>
        <v>0.34999999999999996</v>
      </c>
      <c r="S803" s="160">
        <f>IF(B803="",0,MIN(IF($N803="Other Bond TM",ModelParameters!$N$21,1)*(P803*Q803+R803),1))</f>
        <v>0.37868772967537032</v>
      </c>
      <c r="T803" s="85">
        <f>IF(B803="",0,$S803*$K803)</f>
        <v>19439.717150960416</v>
      </c>
      <c r="U803" s="85">
        <f>IF(B803="",0,IF(OR(H803=MappingTables!$C$34,H803=MappingTables!$C$35),T803,0))</f>
        <v>0</v>
      </c>
      <c r="V803" s="85">
        <f>IF(ISNA(IF(AND(VLOOKUP(CONCATENATE($D803,$G803),CSRFinput!$B:$E,4,0)=0,OR(H803=MappingTables!$C$34,H803=MappingTables!$C$35)),1,VLOOKUP(CONCATENATE($D803,$G803),CSRFinput!$B:$E,4,0))),0,IF(AND(VLOOKUP(CONCATENATE($D803,$G803),CSRFinput!$B:$E,4,0)=0,OR(H803=MappingTables!$C$34,H803=MappingTables!$C$35)),1,VLOOKUP(CONCATENATE($D803,$G803),CSRFinput!$B:$E,4,0)))</f>
        <v>0.054776304963434752</v>
      </c>
      <c r="W803" s="85">
        <f>IF(B803="",0,+$T803*$V803)</f>
        <v>1064.8358750639206</v>
      </c>
      <c r="X803" s="85">
        <f>IF(B803="",0,IF(OR(H803=MappingTables!$C$34,H803=MappingTables!$C$35),W803,0))</f>
        <v>0</v>
      </c>
    </row>
    <row r="804" spans="2:24" s="0" customFormat="0" ht="15">
      <c r="B804" s="69" t="s">
        <v>1106</v>
      </c>
      <c r="C804" s="70" t="s">
        <v>1107</v>
      </c>
      <c r="D804" s="70" t="s">
        <v>1</v>
      </c>
      <c r="E804" s="70" t="s">
        <v>1</v>
      </c>
      <c r="F804" s="70"/>
      <c r="G804" s="70" t="s">
        <v>61</v>
      </c>
      <c r="H804" s="70" t="s">
        <v>178</v>
      </c>
      <c r="I804" s="70" t="s">
        <v>188</v>
      </c>
      <c r="J804" s="71">
        <f>IF(OR(I804=0,I804=""),"unrated",VLOOKUP(I804,MappingTables!$B$19:$C$31,2,FALSE))</f>
        <v>2</v>
      </c>
      <c r="K804" s="72">
        <v>141.26664817056184</v>
      </c>
      <c r="L804" s="70">
        <v>2.6113756919315912</v>
      </c>
      <c r="M804" s="71">
        <f>IF(L804&lt;1,1,L804)</f>
        <v>2.6113756919315912</v>
      </c>
      <c r="N804" s="70" t="s">
        <v>141</v>
      </c>
      <c r="O804" s="71">
        <f>INDEX(DurClassMapping,MATCH(M804,MappingTables!$D$4:$D$8,-1),1)</f>
        <v>1</v>
      </c>
      <c r="P804" s="73">
        <f>IF(M804=$A$1,1,$M804-INDEX(MappingTables!$E$4:$E$8,MATCH(O804,MappingTables!$B$4:$B$8,0)))</f>
        <v>2.6113756919315912</v>
      </c>
      <c r="Q804" s="71">
        <f>IF(B804="",0,INDEX(ModelParameters!$D$6:$K$10,MATCH($O804,ModelParameters!$B$6:$B$10,0),MATCH($J804,ModelParameters!$D$5:$K$5,0)))</f>
        <v>0.013999999999999998</v>
      </c>
      <c r="R804" s="71">
        <f>IF(B804="",0,INDEX(ModelParameters!$D$13:$K$17,MATCH($O804,ModelParameters!$B$13:$B$17,0),MATCH($J804,ModelParameters!$D$5:$K$5,0)))</f>
        <v>0</v>
      </c>
      <c r="S804" s="160">
        <f>IF(B804="",0,MIN(IF($N804="Other Bond TM",ModelParameters!$N$21,1)*(P804*Q804+R804),1))</f>
        <v>0.036559259687042272</v>
      </c>
      <c r="T804" s="85">
        <f>IF(B804="",0,$S804*$K804)</f>
        <v>5.1646040755856056</v>
      </c>
      <c r="U804" s="85">
        <f>IF(B804="",0,IF(OR(H804=MappingTables!$C$34,H804=MappingTables!$C$35),T804,0))</f>
        <v>0</v>
      </c>
      <c r="V804" s="85">
        <f>IF(ISNA(IF(AND(VLOOKUP(CONCATENATE($D804,$G804),CSRFinput!$B:$E,4,0)=0,OR(H804=MappingTables!$C$34,H804=MappingTables!$C$35)),1,VLOOKUP(CONCATENATE($D804,$G804),CSRFinput!$B:$E,4,0))),0,IF(AND(VLOOKUP(CONCATENATE($D804,$G804),CSRFinput!$B:$E,4,0)=0,OR(H804=MappingTables!$C$34,H804=MappingTables!$C$35)),1,VLOOKUP(CONCATENATE($D804,$G804),CSRFinput!$B:$E,4,0)))</f>
        <v>0.054776304963434752</v>
      </c>
      <c r="W804" s="85">
        <f>IF(B804="",0,+$T804*$V804)</f>
        <v>0.28289792785967516</v>
      </c>
      <c r="X804" s="85">
        <f>IF(B804="",0,IF(OR(H804=MappingTables!$C$34,H804=MappingTables!$C$35),W804,0))</f>
        <v>0</v>
      </c>
    </row>
    <row r="805" spans="2:24" s="0" customFormat="0" ht="15">
      <c r="B805" s="69">
        <v>21834590</v>
      </c>
      <c r="C805" s="70" t="s">
        <v>1108</v>
      </c>
      <c r="D805" s="70" t="s">
        <v>1</v>
      </c>
      <c r="E805" s="70" t="s">
        <v>1</v>
      </c>
      <c r="F805" s="70"/>
      <c r="G805" s="70" t="s">
        <v>61</v>
      </c>
      <c r="H805" s="70" t="s">
        <v>178</v>
      </c>
      <c r="I805" s="70" t="s">
        <v>188</v>
      </c>
      <c r="J805" s="71">
        <f>IF(OR(I805=0,I805=""),"unrated",VLOOKUP(I805,MappingTables!$B$19:$C$31,2,FALSE))</f>
        <v>2</v>
      </c>
      <c r="K805" s="72">
        <v>13.125906019529888</v>
      </c>
      <c r="L805" s="70">
        <v>1.454846282842968</v>
      </c>
      <c r="M805" s="71">
        <f>IF(L805&lt;1,1,L805)</f>
        <v>1.454846282842968</v>
      </c>
      <c r="N805" s="70" t="s">
        <v>141</v>
      </c>
      <c r="O805" s="71">
        <f>INDEX(DurClassMapping,MATCH(M805,MappingTables!$D$4:$D$8,-1),1)</f>
        <v>1</v>
      </c>
      <c r="P805" s="73">
        <f>IF(M805=$A$1,1,$M805-INDEX(MappingTables!$E$4:$E$8,MATCH(O805,MappingTables!$B$4:$B$8,0)))</f>
        <v>1.454846282842968</v>
      </c>
      <c r="Q805" s="71">
        <f>IF(B805="",0,INDEX(ModelParameters!$D$6:$K$10,MATCH($O805,ModelParameters!$B$6:$B$10,0),MATCH($J805,ModelParameters!$D$5:$K$5,0)))</f>
        <v>0.013999999999999998</v>
      </c>
      <c r="R805" s="71">
        <f>IF(B805="",0,INDEX(ModelParameters!$D$13:$K$17,MATCH($O805,ModelParameters!$B$13:$B$17,0),MATCH($J805,ModelParameters!$D$5:$K$5,0)))</f>
        <v>0</v>
      </c>
      <c r="S805" s="160">
        <f>IF(B805="",0,MIN(IF($N805="Other Bond TM",ModelParameters!$N$21,1)*(P805*Q805+R805),1))</f>
        <v>0.020367847959801548</v>
      </c>
      <c r="T805" s="85">
        <f>IF(B805="",0,$S805*$K805)</f>
        <v>0.26734645814042868</v>
      </c>
      <c r="U805" s="85">
        <f>IF(B805="",0,IF(OR(H805=MappingTables!$C$34,H805=MappingTables!$C$35),T805,0))</f>
        <v>0</v>
      </c>
      <c r="V805" s="85">
        <f>IF(ISNA(IF(AND(VLOOKUP(CONCATENATE($D805,$G805),CSRFinput!$B:$E,4,0)=0,OR(H805=MappingTables!$C$34,H805=MappingTables!$C$35)),1,VLOOKUP(CONCATENATE($D805,$G805),CSRFinput!$B:$E,4,0))),0,IF(AND(VLOOKUP(CONCATENATE($D805,$G805),CSRFinput!$B:$E,4,0)=0,OR(H805=MappingTables!$C$34,H805=MappingTables!$C$35)),1,VLOOKUP(CONCATENATE($D805,$G805),CSRFinput!$B:$E,4,0)))</f>
        <v>0.054776304963434752</v>
      </c>
      <c r="W805" s="85">
        <f>IF(B805="",0,+$T805*$V805)</f>
        <v>0.014644251121994264</v>
      </c>
      <c r="X805" s="85">
        <f>IF(B805="",0,IF(OR(H805=MappingTables!$C$34,H805=MappingTables!$C$35),W805,0))</f>
        <v>0</v>
      </c>
    </row>
    <row r="806" spans="2:24" s="0" customFormat="0" ht="15">
      <c r="B806" s="69">
        <v>20591970</v>
      </c>
      <c r="C806" s="70" t="s">
        <v>1109</v>
      </c>
      <c r="D806" s="70" t="s">
        <v>1</v>
      </c>
      <c r="E806" s="70" t="s">
        <v>1</v>
      </c>
      <c r="F806" s="70"/>
      <c r="G806" s="70" t="s">
        <v>61</v>
      </c>
      <c r="H806" s="70" t="s">
        <v>178</v>
      </c>
      <c r="I806" s="70" t="s">
        <v>188</v>
      </c>
      <c r="J806" s="71">
        <f>IF(OR(I806=0,I806=""),"unrated",VLOOKUP(I806,MappingTables!$B$19:$C$31,2,FALSE))</f>
        <v>2</v>
      </c>
      <c r="K806" s="72">
        <v>14468.55282336845</v>
      </c>
      <c r="L806" s="70">
        <v>16.292384795727788</v>
      </c>
      <c r="M806" s="71">
        <f>IF(L806&lt;1,1,L806)</f>
        <v>16.292384795727788</v>
      </c>
      <c r="N806" s="70" t="s">
        <v>141</v>
      </c>
      <c r="O806" s="71">
        <f>INDEX(DurClassMapping,MATCH(M806,MappingTables!$D$4:$D$8,-1),1)</f>
        <v>4</v>
      </c>
      <c r="P806" s="73">
        <f>IF(M806=$A$1,1,$M806-INDEX(MappingTables!$E$4:$E$8,MATCH(O806,MappingTables!$B$4:$B$8,0)))</f>
        <v>1.2923847957277878</v>
      </c>
      <c r="Q806" s="71">
        <f>IF(B806="",0,INDEX(ModelParameters!$D$6:$K$10,MATCH($O806,ModelParameters!$B$6:$B$10,0),MATCH($J806,ModelParameters!$D$5:$K$5,0)))</f>
        <v>0.005</v>
      </c>
      <c r="R806" s="71">
        <f>IF(B806="",0,INDEX(ModelParameters!$D$13:$K$17,MATCH($O806,ModelParameters!$B$13:$B$17,0),MATCH($J806,ModelParameters!$D$5:$K$5,0)))</f>
        <v>0.13</v>
      </c>
      <c r="S806" s="160">
        <f>IF(B806="",0,MIN(IF($N806="Other Bond TM",ModelParameters!$N$21,1)*(P806*Q806+R806),1))</f>
        <v>0.13646192397863894</v>
      </c>
      <c r="T806" s="85">
        <f>IF(B806="",0,$S806*$K806)</f>
        <v>1974.4065554634272</v>
      </c>
      <c r="U806" s="85">
        <f>IF(B806="",0,IF(OR(H806=MappingTables!$C$34,H806=MappingTables!$C$35),T806,0))</f>
        <v>0</v>
      </c>
      <c r="V806" s="85">
        <f>IF(ISNA(IF(AND(VLOOKUP(CONCATENATE($D806,$G806),CSRFinput!$B:$E,4,0)=0,OR(H806=MappingTables!$C$34,H806=MappingTables!$C$35)),1,VLOOKUP(CONCATENATE($D806,$G806),CSRFinput!$B:$E,4,0))),0,IF(AND(VLOOKUP(CONCATENATE($D806,$G806),CSRFinput!$B:$E,4,0)=0,OR(H806=MappingTables!$C$34,H806=MappingTables!$C$35)),1,VLOOKUP(CONCATENATE($D806,$G806),CSRFinput!$B:$E,4,0)))</f>
        <v>0.054776304963434752</v>
      </c>
      <c r="W806" s="85">
        <f>IF(B806="",0,+$T806*$V806)</f>
        <v>108.15069560386944</v>
      </c>
      <c r="X806" s="85">
        <f>IF(B806="",0,IF(OR(H806=MappingTables!$C$34,H806=MappingTables!$C$35),W806,0))</f>
        <v>0</v>
      </c>
    </row>
    <row r="807" spans="2:24" s="0" customFormat="0" ht="15">
      <c r="B807" s="69">
        <v>22099281</v>
      </c>
      <c r="C807" s="70" t="s">
        <v>1110</v>
      </c>
      <c r="D807" s="70" t="s">
        <v>1</v>
      </c>
      <c r="E807" s="70" t="s">
        <v>1</v>
      </c>
      <c r="F807" s="70"/>
      <c r="G807" s="70" t="s">
        <v>61</v>
      </c>
      <c r="H807" s="70" t="s">
        <v>178</v>
      </c>
      <c r="I807" s="70" t="s">
        <v>188</v>
      </c>
      <c r="J807" s="71">
        <f>IF(OR(I807=0,I807=""),"unrated",VLOOKUP(I807,MappingTables!$B$19:$C$31,2,FALSE))</f>
        <v>2</v>
      </c>
      <c r="K807" s="72">
        <v>115.25466031420496</v>
      </c>
      <c r="L807" s="70">
        <v>3.9470034472116152</v>
      </c>
      <c r="M807" s="71">
        <f>IF(L807&lt;1,1,L807)</f>
        <v>3.9470034472116152</v>
      </c>
      <c r="N807" s="70" t="s">
        <v>141</v>
      </c>
      <c r="O807" s="71">
        <f>INDEX(DurClassMapping,MATCH(M807,MappingTables!$D$4:$D$8,-1),1)</f>
        <v>1</v>
      </c>
      <c r="P807" s="73">
        <f>IF(M807=$A$1,1,$M807-INDEX(MappingTables!$E$4:$E$8,MATCH(O807,MappingTables!$B$4:$B$8,0)))</f>
        <v>3.9470034472116152</v>
      </c>
      <c r="Q807" s="71">
        <f>IF(B807="",0,INDEX(ModelParameters!$D$6:$K$10,MATCH($O807,ModelParameters!$B$6:$B$10,0),MATCH($J807,ModelParameters!$D$5:$K$5,0)))</f>
        <v>0.013999999999999998</v>
      </c>
      <c r="R807" s="71">
        <f>IF(B807="",0,INDEX(ModelParameters!$D$13:$K$17,MATCH($O807,ModelParameters!$B$13:$B$17,0),MATCH($J807,ModelParameters!$D$5:$K$5,0)))</f>
        <v>0</v>
      </c>
      <c r="S807" s="160">
        <f>IF(B807="",0,MIN(IF($N807="Other Bond TM",ModelParameters!$N$21,1)*(P807*Q807+R807),1))</f>
        <v>0.055258048260962608</v>
      </c>
      <c r="T807" s="85">
        <f>IF(B807="",0,$S807*$K807)</f>
        <v>6.3687475819431904</v>
      </c>
      <c r="U807" s="85">
        <f>IF(B807="",0,IF(OR(H807=MappingTables!$C$34,H807=MappingTables!$C$35),T807,0))</f>
        <v>0</v>
      </c>
      <c r="V807" s="85">
        <f>IF(ISNA(IF(AND(VLOOKUP(CONCATENATE($D807,$G807),CSRFinput!$B:$E,4,0)=0,OR(H807=MappingTables!$C$34,H807=MappingTables!$C$35)),1,VLOOKUP(CONCATENATE($D807,$G807),CSRFinput!$B:$E,4,0))),0,IF(AND(VLOOKUP(CONCATENATE($D807,$G807),CSRFinput!$B:$E,4,0)=0,OR(H807=MappingTables!$C$34,H807=MappingTables!$C$35)),1,VLOOKUP(CONCATENATE($D807,$G807),CSRFinput!$B:$E,4,0)))</f>
        <v>0.054776304963434752</v>
      </c>
      <c r="W807" s="85">
        <f>IF(B807="",0,+$T807*$V807)</f>
        <v>0.34885645978365788</v>
      </c>
      <c r="X807" s="85">
        <f>IF(B807="",0,IF(OR(H807=MappingTables!$C$34,H807=MappingTables!$C$35),W807,0))</f>
        <v>0</v>
      </c>
    </row>
    <row r="808" spans="2:24" s="0" customFormat="0" ht="15">
      <c r="B808" s="69">
        <v>19567681</v>
      </c>
      <c r="C808" s="70" t="s">
        <v>1111</v>
      </c>
      <c r="D808" s="70" t="s">
        <v>1</v>
      </c>
      <c r="E808" s="70" t="s">
        <v>1</v>
      </c>
      <c r="F808" s="70"/>
      <c r="G808" s="70" t="s">
        <v>61</v>
      </c>
      <c r="H808" s="70" t="s">
        <v>178</v>
      </c>
      <c r="I808" s="70" t="s">
        <v>181</v>
      </c>
      <c r="J808" s="71">
        <f>IF(OR(I808=0,I808=""),"unrated",VLOOKUP(I808,MappingTables!$B$19:$C$31,2,FALSE))</f>
        <v>3</v>
      </c>
      <c r="K808" s="72">
        <v>370.3070308923656</v>
      </c>
      <c r="L808" s="70">
        <v>3.3054269568496112</v>
      </c>
      <c r="M808" s="71">
        <f>IF(L808&lt;1,1,L808)</f>
        <v>3.3054269568496112</v>
      </c>
      <c r="N808" s="70" t="s">
        <v>141</v>
      </c>
      <c r="O808" s="71">
        <f>INDEX(DurClassMapping,MATCH(M808,MappingTables!$D$4:$D$8,-1),1)</f>
        <v>1</v>
      </c>
      <c r="P808" s="73">
        <f>IF(M808=$A$1,1,$M808-INDEX(MappingTables!$E$4:$E$8,MATCH(O808,MappingTables!$B$4:$B$8,0)))</f>
        <v>3.3054269568496112</v>
      </c>
      <c r="Q808" s="71">
        <f>IF(B808="",0,INDEX(ModelParameters!$D$6:$K$10,MATCH($O808,ModelParameters!$B$6:$B$10,0),MATCH($J808,ModelParameters!$D$5:$K$5,0)))</f>
        <v>0.025</v>
      </c>
      <c r="R808" s="71">
        <f>IF(B808="",0,INDEX(ModelParameters!$D$13:$K$17,MATCH($O808,ModelParameters!$B$13:$B$17,0),MATCH($J808,ModelParameters!$D$5:$K$5,0)))</f>
        <v>0</v>
      </c>
      <c r="S808" s="160">
        <f>IF(B808="",0,MIN(IF($N808="Other Bond TM",ModelParameters!$N$21,1)*(P808*Q808+R808),1))</f>
        <v>0.082635673921240288</v>
      </c>
      <c r="T808" s="85">
        <f>IF(B808="",0,$S808*$K808)</f>
        <v>30.600571055564176</v>
      </c>
      <c r="U808" s="85">
        <f>IF(B808="",0,IF(OR(H808=MappingTables!$C$34,H808=MappingTables!$C$35),T808,0))</f>
        <v>0</v>
      </c>
      <c r="V808" s="85">
        <f>IF(ISNA(IF(AND(VLOOKUP(CONCATENATE($D808,$G808),CSRFinput!$B:$E,4,0)=0,OR(H808=MappingTables!$C$34,H808=MappingTables!$C$35)),1,VLOOKUP(CONCATENATE($D808,$G808),CSRFinput!$B:$E,4,0))),0,IF(AND(VLOOKUP(CONCATENATE($D808,$G808),CSRFinput!$B:$E,4,0)=0,OR(H808=MappingTables!$C$34,H808=MappingTables!$C$35)),1,VLOOKUP(CONCATENATE($D808,$G808),CSRFinput!$B:$E,4,0)))</f>
        <v>0.054776304963434752</v>
      </c>
      <c r="W808" s="85">
        <f>IF(B808="",0,+$T808*$V808)</f>
        <v>1.6761862121948376</v>
      </c>
      <c r="X808" s="85">
        <f>IF(B808="",0,IF(OR(H808=MappingTables!$C$34,H808=MappingTables!$C$35),W808,0))</f>
        <v>0</v>
      </c>
    </row>
    <row r="809" spans="2:24" s="0" customFormat="0" ht="15">
      <c r="B809" s="69" t="s">
        <v>1112</v>
      </c>
      <c r="C809" s="70" t="s">
        <v>1113</v>
      </c>
      <c r="D809" s="70" t="s">
        <v>1</v>
      </c>
      <c r="E809" s="70" t="s">
        <v>1</v>
      </c>
      <c r="F809" s="70"/>
      <c r="G809" s="70" t="s">
        <v>61</v>
      </c>
      <c r="H809" s="70" t="s">
        <v>178</v>
      </c>
      <c r="I809" s="70" t="s">
        <v>181</v>
      </c>
      <c r="J809" s="71">
        <f>IF(OR(I809=0,I809=""),"unrated",VLOOKUP(I809,MappingTables!$B$19:$C$31,2,FALSE))</f>
        <v>3</v>
      </c>
      <c r="K809" s="72">
        <v>3.872610195670764</v>
      </c>
      <c r="L809" s="70">
        <v>0.1095886398984674</v>
      </c>
      <c r="M809" s="71">
        <f>IF(L809&lt;1,1,L809)</f>
        <v>1</v>
      </c>
      <c r="N809" s="70" t="s">
        <v>141</v>
      </c>
      <c r="O809" s="71">
        <f>INDEX(DurClassMapping,MATCH(M809,MappingTables!$D$4:$D$8,-1),1)</f>
        <v>1</v>
      </c>
      <c r="P809" s="73">
        <f>IF(M809=$A$1,1,$M809-INDEX(MappingTables!$E$4:$E$8,MATCH(O809,MappingTables!$B$4:$B$8,0)))</f>
        <v>1</v>
      </c>
      <c r="Q809" s="71">
        <f>IF(B809="",0,INDEX(ModelParameters!$D$6:$K$10,MATCH($O809,ModelParameters!$B$6:$B$10,0),MATCH($J809,ModelParameters!$D$5:$K$5,0)))</f>
        <v>0.025</v>
      </c>
      <c r="R809" s="71">
        <f>IF(B809="",0,INDEX(ModelParameters!$D$13:$K$17,MATCH($O809,ModelParameters!$B$13:$B$17,0),MATCH($J809,ModelParameters!$D$5:$K$5,0)))</f>
        <v>0</v>
      </c>
      <c r="S809" s="160">
        <f>IF(B809="",0,MIN(IF($N809="Other Bond TM",ModelParameters!$N$21,1)*(P809*Q809+R809),1))</f>
        <v>0.025</v>
      </c>
      <c r="T809" s="85">
        <f>IF(B809="",0,$S809*$K809)</f>
        <v>0.096815254891769104</v>
      </c>
      <c r="U809" s="85">
        <f>IF(B809="",0,IF(OR(H809=MappingTables!$C$34,H809=MappingTables!$C$35),T809,0))</f>
        <v>0</v>
      </c>
      <c r="V809" s="85">
        <f>IF(ISNA(IF(AND(VLOOKUP(CONCATENATE($D809,$G809),CSRFinput!$B:$E,4,0)=0,OR(H809=MappingTables!$C$34,H809=MappingTables!$C$35)),1,VLOOKUP(CONCATENATE($D809,$G809),CSRFinput!$B:$E,4,0))),0,IF(AND(VLOOKUP(CONCATENATE($D809,$G809),CSRFinput!$B:$E,4,0)=0,OR(H809=MappingTables!$C$34,H809=MappingTables!$C$35)),1,VLOOKUP(CONCATENATE($D809,$G809),CSRFinput!$B:$E,4,0)))</f>
        <v>0.054776304963434752</v>
      </c>
      <c r="W809" s="85">
        <f>IF(B809="",0,+$T809*$V809)</f>
        <v>0.0053031819270642136</v>
      </c>
      <c r="X809" s="85">
        <f>IF(B809="",0,IF(OR(H809=MappingTables!$C$34,H809=MappingTables!$C$35),W809,0))</f>
        <v>0</v>
      </c>
    </row>
    <row r="810" spans="2:24" s="0" customFormat="0" ht="15">
      <c r="B810" s="69">
        <v>16975009</v>
      </c>
      <c r="C810" s="70" t="s">
        <v>1114</v>
      </c>
      <c r="D810" s="70" t="s">
        <v>1</v>
      </c>
      <c r="E810" s="70" t="s">
        <v>1</v>
      </c>
      <c r="F810" s="70"/>
      <c r="G810" s="70" t="s">
        <v>61</v>
      </c>
      <c r="H810" s="70" t="s">
        <v>178</v>
      </c>
      <c r="I810" s="70" t="s">
        <v>181</v>
      </c>
      <c r="J810" s="71">
        <f>IF(OR(I810=0,I810=""),"unrated",VLOOKUP(I810,MappingTables!$B$19:$C$31,2,FALSE))</f>
        <v>3</v>
      </c>
      <c r="K810" s="72">
        <v>1098.8118009211796</v>
      </c>
      <c r="L810" s="70">
        <v>0.78076631314664208</v>
      </c>
      <c r="M810" s="71">
        <f>IF(L810&lt;1,1,L810)</f>
        <v>1</v>
      </c>
      <c r="N810" s="70" t="s">
        <v>141</v>
      </c>
      <c r="O810" s="71">
        <f>INDEX(DurClassMapping,MATCH(M810,MappingTables!$D$4:$D$8,-1),1)</f>
        <v>1</v>
      </c>
      <c r="P810" s="73">
        <f>IF(M810=$A$1,1,$M810-INDEX(MappingTables!$E$4:$E$8,MATCH(O810,MappingTables!$B$4:$B$8,0)))</f>
        <v>1</v>
      </c>
      <c r="Q810" s="71">
        <f>IF(B810="",0,INDEX(ModelParameters!$D$6:$K$10,MATCH($O810,ModelParameters!$B$6:$B$10,0),MATCH($J810,ModelParameters!$D$5:$K$5,0)))</f>
        <v>0.025</v>
      </c>
      <c r="R810" s="71">
        <f>IF(B810="",0,INDEX(ModelParameters!$D$13:$K$17,MATCH($O810,ModelParameters!$B$13:$B$17,0),MATCH($J810,ModelParameters!$D$5:$K$5,0)))</f>
        <v>0</v>
      </c>
      <c r="S810" s="160">
        <f>IF(B810="",0,MIN(IF($N810="Other Bond TM",ModelParameters!$N$21,1)*(P810*Q810+R810),1))</f>
        <v>0.025</v>
      </c>
      <c r="T810" s="85">
        <f>IF(B810="",0,$S810*$K810)</f>
        <v>27.470295023029492</v>
      </c>
      <c r="U810" s="85">
        <f>IF(B810="",0,IF(OR(H810=MappingTables!$C$34,H810=MappingTables!$C$35),T810,0))</f>
        <v>0</v>
      </c>
      <c r="V810" s="85">
        <f>IF(ISNA(IF(AND(VLOOKUP(CONCATENATE($D810,$G810),CSRFinput!$B:$E,4,0)=0,OR(H810=MappingTables!$C$34,H810=MappingTables!$C$35)),1,VLOOKUP(CONCATENATE($D810,$G810),CSRFinput!$B:$E,4,0))),0,IF(AND(VLOOKUP(CONCATENATE($D810,$G810),CSRFinput!$B:$E,4,0)=0,OR(H810=MappingTables!$C$34,H810=MappingTables!$C$35)),1,VLOOKUP(CONCATENATE($D810,$G810),CSRFinput!$B:$E,4,0)))</f>
        <v>0.054776304963434752</v>
      </c>
      <c r="W810" s="85">
        <f>IF(B810="",0,+$T810*$V810)</f>
        <v>1.5047212576169874</v>
      </c>
      <c r="X810" s="85">
        <f>IF(B810="",0,IF(OR(H810=MappingTables!$C$34,H810=MappingTables!$C$35),W810,0))</f>
        <v>0</v>
      </c>
    </row>
    <row r="811" spans="2:24" s="0" customFormat="0" ht="15">
      <c r="B811" s="69">
        <v>12598390</v>
      </c>
      <c r="C811" s="70" t="s">
        <v>1115</v>
      </c>
      <c r="D811" s="70" t="s">
        <v>1</v>
      </c>
      <c r="E811" s="70" t="s">
        <v>1</v>
      </c>
      <c r="F811" s="70"/>
      <c r="G811" s="70" t="s">
        <v>61</v>
      </c>
      <c r="H811" s="70" t="s">
        <v>178</v>
      </c>
      <c r="I811" s="70" t="s">
        <v>181</v>
      </c>
      <c r="J811" s="71">
        <f>IF(OR(I811=0,I811=""),"unrated",VLOOKUP(I811,MappingTables!$B$19:$C$31,2,FALSE))</f>
        <v>3</v>
      </c>
      <c r="K811" s="72">
        <v>838.14998553127776</v>
      </c>
      <c r="L811" s="70">
        <v>2.6184916473790816</v>
      </c>
      <c r="M811" s="71">
        <f>IF(L811&lt;1,1,L811)</f>
        <v>2.6184916473790816</v>
      </c>
      <c r="N811" s="70" t="s">
        <v>141</v>
      </c>
      <c r="O811" s="71">
        <f>INDEX(DurClassMapping,MATCH(M811,MappingTables!$D$4:$D$8,-1),1)</f>
        <v>1</v>
      </c>
      <c r="P811" s="73">
        <f>IF(M811=$A$1,1,$M811-INDEX(MappingTables!$E$4:$E$8,MATCH(O811,MappingTables!$B$4:$B$8,0)))</f>
        <v>2.6184916473790816</v>
      </c>
      <c r="Q811" s="71">
        <f>IF(B811="",0,INDEX(ModelParameters!$D$6:$K$10,MATCH($O811,ModelParameters!$B$6:$B$10,0),MATCH($J811,ModelParameters!$D$5:$K$5,0)))</f>
        <v>0.025</v>
      </c>
      <c r="R811" s="71">
        <f>IF(B811="",0,INDEX(ModelParameters!$D$13:$K$17,MATCH($O811,ModelParameters!$B$13:$B$17,0),MATCH($J811,ModelParameters!$D$5:$K$5,0)))</f>
        <v>0</v>
      </c>
      <c r="S811" s="160">
        <f>IF(B811="",0,MIN(IF($N811="Other Bond TM",ModelParameters!$N$21,1)*(P811*Q811+R811),1))</f>
        <v>0.06546229118447704</v>
      </c>
      <c r="T811" s="85">
        <f>IF(B811="",0,$S811*$K811)</f>
        <v>54.86721840911372</v>
      </c>
      <c r="U811" s="85">
        <f>IF(B811="",0,IF(OR(H811=MappingTables!$C$34,H811=MappingTables!$C$35),T811,0))</f>
        <v>0</v>
      </c>
      <c r="V811" s="85">
        <f>IF(ISNA(IF(AND(VLOOKUP(CONCATENATE($D811,$G811),CSRFinput!$B:$E,4,0)=0,OR(H811=MappingTables!$C$34,H811=MappingTables!$C$35)),1,VLOOKUP(CONCATENATE($D811,$G811),CSRFinput!$B:$E,4,0))),0,IF(AND(VLOOKUP(CONCATENATE($D811,$G811),CSRFinput!$B:$E,4,0)=0,OR(H811=MappingTables!$C$34,H811=MappingTables!$C$35)),1,VLOOKUP(CONCATENATE($D811,$G811),CSRFinput!$B:$E,4,0)))</f>
        <v>0.054776304963434752</v>
      </c>
      <c r="W811" s="85">
        <f>IF(B811="",0,+$T811*$V811)</f>
        <v>3.0054234880729944</v>
      </c>
      <c r="X811" s="85">
        <f>IF(B811="",0,IF(OR(H811=MappingTables!$C$34,H811=MappingTables!$C$35),W811,0))</f>
        <v>0</v>
      </c>
    </row>
    <row r="812" spans="2:24" s="0" customFormat="0" ht="15">
      <c r="B812" s="69">
        <v>1693856</v>
      </c>
      <c r="C812" s="70" t="s">
        <v>1116</v>
      </c>
      <c r="D812" s="70" t="s">
        <v>1</v>
      </c>
      <c r="E812" s="70" t="s">
        <v>1</v>
      </c>
      <c r="F812" s="70"/>
      <c r="G812" s="70" t="s">
        <v>61</v>
      </c>
      <c r="H812" s="70" t="s">
        <v>178</v>
      </c>
      <c r="I812" s="70" t="s">
        <v>179</v>
      </c>
      <c r="J812" s="71">
        <f>IF(OR(I812=0,I812=""),"unrated",VLOOKUP(I812,MappingTables!$B$19:$C$31,2,FALSE))</f>
        <v>4</v>
      </c>
      <c r="K812" s="72">
        <v>4431.7193733578208</v>
      </c>
      <c r="L812" s="70">
        <v>9.5335247079088656</v>
      </c>
      <c r="M812" s="71">
        <f>IF(L812&lt;1,1,L812)</f>
        <v>9.5335247079088656</v>
      </c>
      <c r="N812" s="70" t="s">
        <v>141</v>
      </c>
      <c r="O812" s="71">
        <f>INDEX(DurClassMapping,MATCH(M812,MappingTables!$D$4:$D$8,-1),1)</f>
        <v>2</v>
      </c>
      <c r="P812" s="73">
        <f>IF(M812=$A$1,1,$M812-INDEX(MappingTables!$E$4:$E$8,MATCH(O812,MappingTables!$B$4:$B$8,0)))</f>
        <v>4.5335247079088656</v>
      </c>
      <c r="Q812" s="71">
        <f>IF(B812="",0,INDEX(ModelParameters!$D$6:$K$10,MATCH($O812,ModelParameters!$B$6:$B$10,0),MATCH($J812,ModelParameters!$D$5:$K$5,0)))</f>
        <v>0.025</v>
      </c>
      <c r="R812" s="71">
        <f>IF(B812="",0,INDEX(ModelParameters!$D$13:$K$17,MATCH($O812,ModelParameters!$B$13:$B$17,0),MATCH($J812,ModelParameters!$D$5:$K$5,0)))</f>
        <v>0.225</v>
      </c>
      <c r="S812" s="160">
        <f>IF(B812="",0,MIN(IF($N812="Other Bond TM",ModelParameters!$N$21,1)*(P812*Q812+R812),1))</f>
        <v>0.33833811769772164</v>
      </c>
      <c r="T812" s="85">
        <f>IF(B812="",0,$S812*$K812)</f>
        <v>1499.4195909464116</v>
      </c>
      <c r="U812" s="85">
        <f>IF(B812="",0,IF(OR(H812=MappingTables!$C$34,H812=MappingTables!$C$35),T812,0))</f>
        <v>0</v>
      </c>
      <c r="V812" s="85">
        <f>IF(ISNA(IF(AND(VLOOKUP(CONCATENATE($D812,$G812),CSRFinput!$B:$E,4,0)=0,OR(H812=MappingTables!$C$34,H812=MappingTables!$C$35)),1,VLOOKUP(CONCATENATE($D812,$G812),CSRFinput!$B:$E,4,0))),0,IF(AND(VLOOKUP(CONCATENATE($D812,$G812),CSRFinput!$B:$E,4,0)=0,OR(H812=MappingTables!$C$34,H812=MappingTables!$C$35)),1,VLOOKUP(CONCATENATE($D812,$G812),CSRFinput!$B:$E,4,0)))</f>
        <v>0.054776304963434752</v>
      </c>
      <c r="W812" s="85">
        <f>IF(B812="",0,+$T812*$V812)</f>
        <v>82.132664781829232</v>
      </c>
      <c r="X812" s="85">
        <f>IF(B812="",0,IF(OR(H812=MappingTables!$C$34,H812=MappingTables!$C$35),W812,0))</f>
        <v>0</v>
      </c>
    </row>
    <row r="813" spans="2:24" s="0" customFormat="0" ht="15">
      <c r="B813" s="69">
        <v>21555127</v>
      </c>
      <c r="C813" s="70" t="s">
        <v>1117</v>
      </c>
      <c r="D813" s="70" t="s">
        <v>1</v>
      </c>
      <c r="E813" s="70" t="s">
        <v>1</v>
      </c>
      <c r="F813" s="70"/>
      <c r="G813" s="70" t="s">
        <v>61</v>
      </c>
      <c r="H813" s="70" t="s">
        <v>178</v>
      </c>
      <c r="I813" s="70" t="s">
        <v>181</v>
      </c>
      <c r="J813" s="71">
        <f>IF(OR(I813=0,I813=""),"unrated",VLOOKUP(I813,MappingTables!$B$19:$C$31,2,FALSE))</f>
        <v>3</v>
      </c>
      <c r="K813" s="72">
        <v>5983.959226456948</v>
      </c>
      <c r="L813" s="70">
        <v>1.6968634461308936</v>
      </c>
      <c r="M813" s="71">
        <f>IF(L813&lt;1,1,L813)</f>
        <v>1.6968634461308936</v>
      </c>
      <c r="N813" s="70" t="s">
        <v>141</v>
      </c>
      <c r="O813" s="71">
        <f>INDEX(DurClassMapping,MATCH(M813,MappingTables!$D$4:$D$8,-1),1)</f>
        <v>1</v>
      </c>
      <c r="P813" s="73">
        <f>IF(M813=$A$1,1,$M813-INDEX(MappingTables!$E$4:$E$8,MATCH(O813,MappingTables!$B$4:$B$8,0)))</f>
        <v>1.6968634461308936</v>
      </c>
      <c r="Q813" s="71">
        <f>IF(B813="",0,INDEX(ModelParameters!$D$6:$K$10,MATCH($O813,ModelParameters!$B$6:$B$10,0),MATCH($J813,ModelParameters!$D$5:$K$5,0)))</f>
        <v>0.025</v>
      </c>
      <c r="R813" s="71">
        <f>IF(B813="",0,INDEX(ModelParameters!$D$13:$K$17,MATCH($O813,ModelParameters!$B$13:$B$17,0),MATCH($J813,ModelParameters!$D$5:$K$5,0)))</f>
        <v>0</v>
      </c>
      <c r="S813" s="160">
        <f>IF(B813="",0,MIN(IF($N813="Other Bond TM",ModelParameters!$N$21,1)*(P813*Q813+R813),1))</f>
        <v>0.042421586153272344</v>
      </c>
      <c r="T813" s="85">
        <f>IF(B813="",0,$S813*$K813)</f>
        <v>253.84904186281236</v>
      </c>
      <c r="U813" s="85">
        <f>IF(B813="",0,IF(OR(H813=MappingTables!$C$34,H813=MappingTables!$C$35),T813,0))</f>
        <v>0</v>
      </c>
      <c r="V813" s="85">
        <f>IF(ISNA(IF(AND(VLOOKUP(CONCATENATE($D813,$G813),CSRFinput!$B:$E,4,0)=0,OR(H813=MappingTables!$C$34,H813=MappingTables!$C$35)),1,VLOOKUP(CONCATENATE($D813,$G813),CSRFinput!$B:$E,4,0))),0,IF(AND(VLOOKUP(CONCATENATE($D813,$G813),CSRFinput!$B:$E,4,0)=0,OR(H813=MappingTables!$C$34,H813=MappingTables!$C$35)),1,VLOOKUP(CONCATENATE($D813,$G813),CSRFinput!$B:$E,4,0)))</f>
        <v>0.054776304963434752</v>
      </c>
      <c r="W813" s="85">
        <f>IF(B813="",0,+$T813*$V813)</f>
        <v>13.904912531753124</v>
      </c>
      <c r="X813" s="85">
        <f>IF(B813="",0,IF(OR(H813=MappingTables!$C$34,H813=MappingTables!$C$35),W813,0))</f>
        <v>0</v>
      </c>
    </row>
    <row r="814" spans="2:24" s="0" customFormat="0" ht="15">
      <c r="B814" s="69">
        <v>12561864</v>
      </c>
      <c r="C814" s="70" t="s">
        <v>1118</v>
      </c>
      <c r="D814" s="70" t="s">
        <v>1</v>
      </c>
      <c r="E814" s="70" t="s">
        <v>1</v>
      </c>
      <c r="F814" s="70"/>
      <c r="G814" s="70" t="s">
        <v>61</v>
      </c>
      <c r="H814" s="70" t="s">
        <v>178</v>
      </c>
      <c r="I814" s="70" t="s">
        <v>181</v>
      </c>
      <c r="J814" s="71">
        <f>IF(OR(I814=0,I814=""),"unrated",VLOOKUP(I814,MappingTables!$B$19:$C$31,2,FALSE))</f>
        <v>3</v>
      </c>
      <c r="K814" s="72">
        <v>1211.5360243629396</v>
      </c>
      <c r="L814" s="70">
        <v>0.61462699730546824</v>
      </c>
      <c r="M814" s="71">
        <f>IF(L814&lt;1,1,L814)</f>
        <v>1</v>
      </c>
      <c r="N814" s="70" t="s">
        <v>141</v>
      </c>
      <c r="O814" s="71">
        <f>INDEX(DurClassMapping,MATCH(M814,MappingTables!$D$4:$D$8,-1),1)</f>
        <v>1</v>
      </c>
      <c r="P814" s="73">
        <f>IF(M814=$A$1,1,$M814-INDEX(MappingTables!$E$4:$E$8,MATCH(O814,MappingTables!$B$4:$B$8,0)))</f>
        <v>1</v>
      </c>
      <c r="Q814" s="71">
        <f>IF(B814="",0,INDEX(ModelParameters!$D$6:$K$10,MATCH($O814,ModelParameters!$B$6:$B$10,0),MATCH($J814,ModelParameters!$D$5:$K$5,0)))</f>
        <v>0.025</v>
      </c>
      <c r="R814" s="71">
        <f>IF(B814="",0,INDEX(ModelParameters!$D$13:$K$17,MATCH($O814,ModelParameters!$B$13:$B$17,0),MATCH($J814,ModelParameters!$D$5:$K$5,0)))</f>
        <v>0</v>
      </c>
      <c r="S814" s="160">
        <f>IF(B814="",0,MIN(IF($N814="Other Bond TM",ModelParameters!$N$21,1)*(P814*Q814+R814),1))</f>
        <v>0.025</v>
      </c>
      <c r="T814" s="85">
        <f>IF(B814="",0,$S814*$K814)</f>
        <v>30.288400609073492</v>
      </c>
      <c r="U814" s="85">
        <f>IF(B814="",0,IF(OR(H814=MappingTables!$C$34,H814=MappingTables!$C$35),T814,0))</f>
        <v>0</v>
      </c>
      <c r="V814" s="85">
        <f>IF(ISNA(IF(AND(VLOOKUP(CONCATENATE($D814,$G814),CSRFinput!$B:$E,4,0)=0,OR(H814=MappingTables!$C$34,H814=MappingTables!$C$35)),1,VLOOKUP(CONCATENATE($D814,$G814),CSRFinput!$B:$E,4,0))),0,IF(AND(VLOOKUP(CONCATENATE($D814,$G814),CSRFinput!$B:$E,4,0)=0,OR(H814=MappingTables!$C$34,H814=MappingTables!$C$35)),1,VLOOKUP(CONCATENATE($D814,$G814),CSRFinput!$B:$E,4,0)))</f>
        <v>0.054776304963434752</v>
      </c>
      <c r="W814" s="85">
        <f>IF(B814="",0,+$T814*$V814)</f>
        <v>1.6590866686172924</v>
      </c>
      <c r="X814" s="85">
        <f>IF(B814="",0,IF(OR(H814=MappingTables!$C$34,H814=MappingTables!$C$35),W814,0))</f>
        <v>0</v>
      </c>
    </row>
    <row r="815" spans="2:24" s="0" customFormat="0" ht="15">
      <c r="B815" s="69" t="s">
        <v>1119</v>
      </c>
      <c r="C815" s="70" t="s">
        <v>1120</v>
      </c>
      <c r="D815" s="70" t="s">
        <v>1</v>
      </c>
      <c r="E815" s="70" t="s">
        <v>1</v>
      </c>
      <c r="F815" s="70"/>
      <c r="G815" s="70" t="s">
        <v>61</v>
      </c>
      <c r="H815" s="70" t="s">
        <v>178</v>
      </c>
      <c r="I815" s="70" t="s">
        <v>188</v>
      </c>
      <c r="J815" s="71">
        <f>IF(OR(I815=0,I815=""),"unrated",VLOOKUP(I815,MappingTables!$B$19:$C$31,2,FALSE))</f>
        <v>2</v>
      </c>
      <c r="K815" s="72">
        <v>8.7169328139721168</v>
      </c>
      <c r="L815" s="70">
        <v>1.7550537144651742</v>
      </c>
      <c r="M815" s="71">
        <f>IF(L815&lt;1,1,L815)</f>
        <v>1.7550537144651742</v>
      </c>
      <c r="N815" s="70" t="s">
        <v>141</v>
      </c>
      <c r="O815" s="71">
        <f>INDEX(DurClassMapping,MATCH(M815,MappingTables!$D$4:$D$8,-1),1)</f>
        <v>1</v>
      </c>
      <c r="P815" s="73">
        <f>IF(M815=$A$1,1,$M815-INDEX(MappingTables!$E$4:$E$8,MATCH(O815,MappingTables!$B$4:$B$8,0)))</f>
        <v>1.7550537144651742</v>
      </c>
      <c r="Q815" s="71">
        <f>IF(B815="",0,INDEX(ModelParameters!$D$6:$K$10,MATCH($O815,ModelParameters!$B$6:$B$10,0),MATCH($J815,ModelParameters!$D$5:$K$5,0)))</f>
        <v>0.013999999999999998</v>
      </c>
      <c r="R815" s="71">
        <f>IF(B815="",0,INDEX(ModelParameters!$D$13:$K$17,MATCH($O815,ModelParameters!$B$13:$B$17,0),MATCH($J815,ModelParameters!$D$5:$K$5,0)))</f>
        <v>0</v>
      </c>
      <c r="S815" s="160">
        <f>IF(B815="",0,MIN(IF($N815="Other Bond TM",ModelParameters!$N$21,1)*(P815*Q815+R815),1))</f>
        <v>0.024570752002512436</v>
      </c>
      <c r="T815" s="85">
        <f>IF(B815="",0,$S815*$K815)</f>
        <v>0.21418159439467176</v>
      </c>
      <c r="U815" s="85">
        <f>IF(B815="",0,IF(OR(H815=MappingTables!$C$34,H815=MappingTables!$C$35),T815,0))</f>
        <v>0</v>
      </c>
      <c r="V815" s="85">
        <f>IF(ISNA(IF(AND(VLOOKUP(CONCATENATE($D815,$G815),CSRFinput!$B:$E,4,0)=0,OR(H815=MappingTables!$C$34,H815=MappingTables!$C$35)),1,VLOOKUP(CONCATENATE($D815,$G815),CSRFinput!$B:$E,4,0))),0,IF(AND(VLOOKUP(CONCATENATE($D815,$G815),CSRFinput!$B:$E,4,0)=0,OR(H815=MappingTables!$C$34,H815=MappingTables!$C$35)),1,VLOOKUP(CONCATENATE($D815,$G815),CSRFinput!$B:$E,4,0)))</f>
        <v>0.054776304963434752</v>
      </c>
      <c r="W815" s="85">
        <f>IF(B815="",0,+$T815*$V815)</f>
        <v>0.011732076332117228</v>
      </c>
      <c r="X815" s="85">
        <f>IF(B815="",0,IF(OR(H815=MappingTables!$C$34,H815=MappingTables!$C$35),W815,0))</f>
        <v>0</v>
      </c>
    </row>
    <row r="816" spans="2:24" s="0" customFormat="0" ht="15">
      <c r="B816" s="69">
        <v>13155802</v>
      </c>
      <c r="C816" s="70" t="s">
        <v>955</v>
      </c>
      <c r="D816" s="70" t="s">
        <v>1</v>
      </c>
      <c r="E816" s="70" t="s">
        <v>1</v>
      </c>
      <c r="F816" s="70"/>
      <c r="G816" s="70" t="s">
        <v>61</v>
      </c>
      <c r="H816" s="70" t="s">
        <v>178</v>
      </c>
      <c r="I816" s="70" t="s">
        <v>181</v>
      </c>
      <c r="J816" s="71">
        <f>IF(OR(I816=0,I816=""),"unrated",VLOOKUP(I816,MappingTables!$B$19:$C$31,2,FALSE))</f>
        <v>3</v>
      </c>
      <c r="K816" s="72">
        <v>5943.826864042256</v>
      </c>
      <c r="L816" s="70">
        <v>2.4798167032291</v>
      </c>
      <c r="M816" s="71">
        <f>IF(L816&lt;1,1,L816)</f>
        <v>2.4798167032291</v>
      </c>
      <c r="N816" s="70" t="s">
        <v>141</v>
      </c>
      <c r="O816" s="71">
        <f>INDEX(DurClassMapping,MATCH(M816,MappingTables!$D$4:$D$8,-1),1)</f>
        <v>1</v>
      </c>
      <c r="P816" s="73">
        <f>IF(M816=$A$1,1,$M816-INDEX(MappingTables!$E$4:$E$8,MATCH(O816,MappingTables!$B$4:$B$8,0)))</f>
        <v>2.4798167032291</v>
      </c>
      <c r="Q816" s="71">
        <f>IF(B816="",0,INDEX(ModelParameters!$D$6:$K$10,MATCH($O816,ModelParameters!$B$6:$B$10,0),MATCH($J816,ModelParameters!$D$5:$K$5,0)))</f>
        <v>0.025</v>
      </c>
      <c r="R816" s="71">
        <f>IF(B816="",0,INDEX(ModelParameters!$D$13:$K$17,MATCH($O816,ModelParameters!$B$13:$B$17,0),MATCH($J816,ModelParameters!$D$5:$K$5,0)))</f>
        <v>0</v>
      </c>
      <c r="S816" s="160">
        <f>IF(B816="",0,MIN(IF($N816="Other Bond TM",ModelParameters!$N$21,1)*(P816*Q816+R816),1))</f>
        <v>0.061995417580727496</v>
      </c>
      <c r="T816" s="85">
        <f>IF(B816="",0,$S816*$K816)</f>
        <v>368.49002846384568</v>
      </c>
      <c r="U816" s="85">
        <f>IF(B816="",0,IF(OR(H816=MappingTables!$C$34,H816=MappingTables!$C$35),T816,0))</f>
        <v>0</v>
      </c>
      <c r="V816" s="85">
        <f>IF(ISNA(IF(AND(VLOOKUP(CONCATENATE($D816,$G816),CSRFinput!$B:$E,4,0)=0,OR(H816=MappingTables!$C$34,H816=MappingTables!$C$35)),1,VLOOKUP(CONCATENATE($D816,$G816),CSRFinput!$B:$E,4,0))),0,IF(AND(VLOOKUP(CONCATENATE($D816,$G816),CSRFinput!$B:$E,4,0)=0,OR(H816=MappingTables!$C$34,H816=MappingTables!$C$35)),1,VLOOKUP(CONCATENATE($D816,$G816),CSRFinput!$B:$E,4,0)))</f>
        <v>0.054776304963434752</v>
      </c>
      <c r="W816" s="85">
        <f>IF(B816="",0,+$T816*$V816)</f>
        <v>20.18452217512036</v>
      </c>
      <c r="X816" s="85">
        <f>IF(B816="",0,IF(OR(H816=MappingTables!$C$34,H816=MappingTables!$C$35),W816,0))</f>
        <v>0</v>
      </c>
    </row>
    <row r="817" spans="2:24" s="0" customFormat="0" ht="15">
      <c r="B817" s="69">
        <v>20993773</v>
      </c>
      <c r="C817" s="70" t="s">
        <v>1121</v>
      </c>
      <c r="D817" s="70" t="s">
        <v>1</v>
      </c>
      <c r="E817" s="70" t="s">
        <v>1</v>
      </c>
      <c r="F817" s="70"/>
      <c r="G817" s="70" t="s">
        <v>61</v>
      </c>
      <c r="H817" s="70" t="s">
        <v>178</v>
      </c>
      <c r="I817" s="70" t="s">
        <v>181</v>
      </c>
      <c r="J817" s="71">
        <f>IF(OR(I817=0,I817=""),"unrated",VLOOKUP(I817,MappingTables!$B$19:$C$31,2,FALSE))</f>
        <v>3</v>
      </c>
      <c r="K817" s="72">
        <v>6514.4813586650408</v>
      </c>
      <c r="L817" s="70">
        <v>7.7491547861221408</v>
      </c>
      <c r="M817" s="71">
        <f>IF(L817&lt;1,1,L817)</f>
        <v>7.7491547861221408</v>
      </c>
      <c r="N817" s="70" t="s">
        <v>141</v>
      </c>
      <c r="O817" s="71">
        <f>INDEX(DurClassMapping,MATCH(M817,MappingTables!$D$4:$D$8,-1),1)</f>
        <v>2</v>
      </c>
      <c r="P817" s="73">
        <f>IF(M817=$A$1,1,$M817-INDEX(MappingTables!$E$4:$E$8,MATCH(O817,MappingTables!$B$4:$B$8,0)))</f>
        <v>2.7491547861221416</v>
      </c>
      <c r="Q817" s="71">
        <f>IF(B817="",0,INDEX(ModelParameters!$D$6:$K$10,MATCH($O817,ModelParameters!$B$6:$B$10,0),MATCH($J817,ModelParameters!$D$5:$K$5,0)))</f>
        <v>0.015</v>
      </c>
      <c r="R817" s="71">
        <f>IF(B817="",0,INDEX(ModelParameters!$D$13:$K$17,MATCH($O817,ModelParameters!$B$13:$B$17,0),MATCH($J817,ModelParameters!$D$5:$K$5,0)))</f>
        <v>0.125</v>
      </c>
      <c r="S817" s="160">
        <f>IF(B817="",0,MIN(IF($N817="Other Bond TM",ModelParameters!$N$21,1)*(P817*Q817+R817),1))</f>
        <v>0.16623732179183212</v>
      </c>
      <c r="T817" s="85">
        <f>IF(B817="",0,$S817*$K817)</f>
        <v>1082.949933927292</v>
      </c>
      <c r="U817" s="85">
        <f>IF(B817="",0,IF(OR(H817=MappingTables!$C$34,H817=MappingTables!$C$35),T817,0))</f>
        <v>0</v>
      </c>
      <c r="V817" s="85">
        <f>IF(ISNA(IF(AND(VLOOKUP(CONCATENATE($D817,$G817),CSRFinput!$B:$E,4,0)=0,OR(H817=MappingTables!$C$34,H817=MappingTables!$C$35)),1,VLOOKUP(CONCATENATE($D817,$G817),CSRFinput!$B:$E,4,0))),0,IF(AND(VLOOKUP(CONCATENATE($D817,$G817),CSRFinput!$B:$E,4,0)=0,OR(H817=MappingTables!$C$34,H817=MappingTables!$C$35)),1,VLOOKUP(CONCATENATE($D817,$G817),CSRFinput!$B:$E,4,0)))</f>
        <v>0.054776304963434752</v>
      </c>
      <c r="W817" s="85">
        <f>IF(B817="",0,+$T817*$V817)</f>
        <v>59.319995840932864</v>
      </c>
      <c r="X817" s="85">
        <f>IF(B817="",0,IF(OR(H817=MappingTables!$C$34,H817=MappingTables!$C$35),W817,0))</f>
        <v>0</v>
      </c>
    </row>
    <row r="818" spans="2:24" s="0" customFormat="0" ht="15">
      <c r="B818" s="69">
        <v>19647980</v>
      </c>
      <c r="C818" s="70" t="s">
        <v>884</v>
      </c>
      <c r="D818" s="70" t="s">
        <v>1</v>
      </c>
      <c r="E818" s="70" t="s">
        <v>1</v>
      </c>
      <c r="F818" s="70"/>
      <c r="G818" s="70" t="s">
        <v>61</v>
      </c>
      <c r="H818" s="70" t="s">
        <v>178</v>
      </c>
      <c r="I818" s="70" t="s">
        <v>179</v>
      </c>
      <c r="J818" s="71">
        <f>IF(OR(I818=0,I818=""),"unrated",VLOOKUP(I818,MappingTables!$B$19:$C$31,2,FALSE))</f>
        <v>4</v>
      </c>
      <c r="K818" s="72">
        <v>1940.571536192136</v>
      </c>
      <c r="L818" s="70">
        <v>0.37808494389253272</v>
      </c>
      <c r="M818" s="71">
        <f>IF(L818&lt;1,1,L818)</f>
        <v>1</v>
      </c>
      <c r="N818" s="70" t="s">
        <v>141</v>
      </c>
      <c r="O818" s="71">
        <f>INDEX(DurClassMapping,MATCH(M818,MappingTables!$D$4:$D$8,-1),1)</f>
        <v>1</v>
      </c>
      <c r="P818" s="73">
        <f>IF(M818=$A$1,1,$M818-INDEX(MappingTables!$E$4:$E$8,MATCH(O818,MappingTables!$B$4:$B$8,0)))</f>
        <v>1</v>
      </c>
      <c r="Q818" s="71">
        <f>IF(B818="",0,INDEX(ModelParameters!$D$6:$K$10,MATCH($O818,ModelParameters!$B$6:$B$10,0),MATCH($J818,ModelParameters!$D$5:$K$5,0)))</f>
        <v>0.045</v>
      </c>
      <c r="R818" s="71">
        <f>IF(B818="",0,INDEX(ModelParameters!$D$13:$K$17,MATCH($O818,ModelParameters!$B$13:$B$17,0),MATCH($J818,ModelParameters!$D$5:$K$5,0)))</f>
        <v>0</v>
      </c>
      <c r="S818" s="160">
        <f>IF(B818="",0,MIN(IF($N818="Other Bond TM",ModelParameters!$N$21,1)*(P818*Q818+R818),1))</f>
        <v>0.045</v>
      </c>
      <c r="T818" s="85">
        <f>IF(B818="",0,$S818*$K818)</f>
        <v>87.325719128646128</v>
      </c>
      <c r="U818" s="85">
        <f>IF(B818="",0,IF(OR(H818=MappingTables!$C$34,H818=MappingTables!$C$35),T818,0))</f>
        <v>0</v>
      </c>
      <c r="V818" s="85">
        <f>IF(ISNA(IF(AND(VLOOKUP(CONCATENATE($D818,$G818),CSRFinput!$B:$E,4,0)=0,OR(H818=MappingTables!$C$34,H818=MappingTables!$C$35)),1,VLOOKUP(CONCATENATE($D818,$G818),CSRFinput!$B:$E,4,0))),0,IF(AND(VLOOKUP(CONCATENATE($D818,$G818),CSRFinput!$B:$E,4,0)=0,OR(H818=MappingTables!$C$34,H818=MappingTables!$C$35)),1,VLOOKUP(CONCATENATE($D818,$G818),CSRFinput!$B:$E,4,0)))</f>
        <v>0.054776304963434752</v>
      </c>
      <c r="W818" s="85">
        <f>IF(B818="",0,+$T818*$V818)</f>
        <v>4.783380222141968</v>
      </c>
      <c r="X818" s="85">
        <f>IF(B818="",0,IF(OR(H818=MappingTables!$C$34,H818=MappingTables!$C$35),W818,0))</f>
        <v>0</v>
      </c>
    </row>
    <row r="819" spans="2:24" s="0" customFormat="0" ht="15">
      <c r="B819" s="69">
        <v>21563202</v>
      </c>
      <c r="C819" s="70" t="s">
        <v>1122</v>
      </c>
      <c r="D819" s="70" t="s">
        <v>1</v>
      </c>
      <c r="E819" s="70" t="s">
        <v>1</v>
      </c>
      <c r="F819" s="70"/>
      <c r="G819" s="70" t="s">
        <v>61</v>
      </c>
      <c r="H819" s="70" t="s">
        <v>178</v>
      </c>
      <c r="I819" s="70" t="s">
        <v>184</v>
      </c>
      <c r="J819" s="71">
        <f>IF(OR(I819=0,I819=""),"unrated",VLOOKUP(I819,MappingTables!$B$19:$C$31,2,FALSE))</f>
        <v>5</v>
      </c>
      <c r="K819" s="72">
        <v>5950.7126199863352</v>
      </c>
      <c r="L819" s="70">
        <v>1.8210943147507392</v>
      </c>
      <c r="M819" s="71">
        <f>IF(L819&lt;1,1,L819)</f>
        <v>1.8210943147507392</v>
      </c>
      <c r="N819" s="70" t="s">
        <v>141</v>
      </c>
      <c r="O819" s="71">
        <f>INDEX(DurClassMapping,MATCH(M819,MappingTables!$D$4:$D$8,-1),1)</f>
        <v>1</v>
      </c>
      <c r="P819" s="73">
        <f>IF(M819=$A$1,1,$M819-INDEX(MappingTables!$E$4:$E$8,MATCH(O819,MappingTables!$B$4:$B$8,0)))</f>
        <v>1.8210943147507392</v>
      </c>
      <c r="Q819" s="71">
        <f>IF(B819="",0,INDEX(ModelParameters!$D$6:$K$10,MATCH($O819,ModelParameters!$B$6:$B$10,0),MATCH($J819,ModelParameters!$D$5:$K$5,0)))</f>
        <v>0.075</v>
      </c>
      <c r="R819" s="71">
        <f>IF(B819="",0,INDEX(ModelParameters!$D$13:$K$17,MATCH($O819,ModelParameters!$B$13:$B$17,0),MATCH($J819,ModelParameters!$D$5:$K$5,0)))</f>
        <v>0</v>
      </c>
      <c r="S819" s="160">
        <f>IF(B819="",0,MIN(IF($N819="Other Bond TM",ModelParameters!$N$21,1)*(P819*Q819+R819),1))</f>
        <v>0.13658207360630542</v>
      </c>
      <c r="T819" s="85">
        <f>IF(B819="",0,$S819*$K819)</f>
        <v>812.76066907294416</v>
      </c>
      <c r="U819" s="85">
        <f>IF(B819="",0,IF(OR(H819=MappingTables!$C$34,H819=MappingTables!$C$35),T819,0))</f>
        <v>0</v>
      </c>
      <c r="V819" s="85">
        <f>IF(ISNA(IF(AND(VLOOKUP(CONCATENATE($D819,$G819),CSRFinput!$B:$E,4,0)=0,OR(H819=MappingTables!$C$34,H819=MappingTables!$C$35)),1,VLOOKUP(CONCATENATE($D819,$G819),CSRFinput!$B:$E,4,0))),0,IF(AND(VLOOKUP(CONCATENATE($D819,$G819),CSRFinput!$B:$E,4,0)=0,OR(H819=MappingTables!$C$34,H819=MappingTables!$C$35)),1,VLOOKUP(CONCATENATE($D819,$G819),CSRFinput!$B:$E,4,0)))</f>
        <v>0.054776304963434752</v>
      </c>
      <c r="W819" s="85">
        <f>IF(B819="",0,+$T819*$V819)</f>
        <v>44.520026271424872</v>
      </c>
      <c r="X819" s="85">
        <f>IF(B819="",0,IF(OR(H819=MappingTables!$C$34,H819=MappingTables!$C$35),W819,0))</f>
        <v>0</v>
      </c>
    </row>
    <row r="820" spans="2:24" s="0" customFormat="0" ht="15">
      <c r="B820" s="69">
        <v>3515501</v>
      </c>
      <c r="C820" s="70" t="s">
        <v>1123</v>
      </c>
      <c r="D820" s="70" t="s">
        <v>1</v>
      </c>
      <c r="E820" s="70" t="s">
        <v>1</v>
      </c>
      <c r="F820" s="70"/>
      <c r="G820" s="70" t="s">
        <v>61</v>
      </c>
      <c r="H820" s="70" t="s">
        <v>178</v>
      </c>
      <c r="I820" s="70" t="s">
        <v>181</v>
      </c>
      <c r="J820" s="71">
        <f>IF(OR(I820=0,I820=""),"unrated",VLOOKUP(I820,MappingTables!$B$19:$C$31,2,FALSE))</f>
        <v>3</v>
      </c>
      <c r="K820" s="72">
        <v>46.971232540669568</v>
      </c>
      <c r="L820" s="70">
        <v>13.09978794485873</v>
      </c>
      <c r="M820" s="71">
        <f>IF(L820&lt;1,1,L820)</f>
        <v>13.09978794485873</v>
      </c>
      <c r="N820" s="70" t="s">
        <v>141</v>
      </c>
      <c r="O820" s="71">
        <f>INDEX(DurClassMapping,MATCH(M820,MappingTables!$D$4:$D$8,-1),1)</f>
        <v>3</v>
      </c>
      <c r="P820" s="73">
        <f>IF(M820=$A$1,1,$M820-INDEX(MappingTables!$E$4:$E$8,MATCH(O820,MappingTables!$B$4:$B$8,0)))</f>
        <v>3.0997879448587292</v>
      </c>
      <c r="Q820" s="71">
        <f>IF(B820="",0,INDEX(ModelParameters!$D$6:$K$10,MATCH($O820,ModelParameters!$B$6:$B$10,0),MATCH($J820,ModelParameters!$D$5:$K$5,0)))</f>
        <v>0.01</v>
      </c>
      <c r="R820" s="71">
        <f>IF(B820="",0,INDEX(ModelParameters!$D$13:$K$17,MATCH($O820,ModelParameters!$B$13:$B$17,0),MATCH($J820,ModelParameters!$D$5:$K$5,0)))</f>
        <v>0.2</v>
      </c>
      <c r="S820" s="160">
        <f>IF(B820="",0,MIN(IF($N820="Other Bond TM",ModelParameters!$N$21,1)*(P820*Q820+R820),1))</f>
        <v>0.23099787944858728</v>
      </c>
      <c r="T820" s="85">
        <f>IF(B820="",0,$S820*$K820)</f>
        <v>10.85025511198115</v>
      </c>
      <c r="U820" s="85">
        <f>IF(B820="",0,IF(OR(H820=MappingTables!$C$34,H820=MappingTables!$C$35),T820,0))</f>
        <v>0</v>
      </c>
      <c r="V820" s="85">
        <f>IF(ISNA(IF(AND(VLOOKUP(CONCATENATE($D820,$G820),CSRFinput!$B:$E,4,0)=0,OR(H820=MappingTables!$C$34,H820=MappingTables!$C$35)),1,VLOOKUP(CONCATENATE($D820,$G820),CSRFinput!$B:$E,4,0))),0,IF(AND(VLOOKUP(CONCATENATE($D820,$G820),CSRFinput!$B:$E,4,0)=0,OR(H820=MappingTables!$C$34,H820=MappingTables!$C$35)),1,VLOOKUP(CONCATENATE($D820,$G820),CSRFinput!$B:$E,4,0)))</f>
        <v>0.054776304963434752</v>
      </c>
      <c r="W820" s="85">
        <f>IF(B820="",0,+$T820*$V820)</f>
        <v>0.59433688294494632</v>
      </c>
      <c r="X820" s="85">
        <f>IF(B820="",0,IF(OR(H820=MappingTables!$C$34,H820=MappingTables!$C$35),W820,0))</f>
        <v>0</v>
      </c>
    </row>
    <row r="821" spans="2:24" s="0" customFormat="0" ht="15">
      <c r="B821" s="69">
        <v>18923344</v>
      </c>
      <c r="C821" s="70" t="s">
        <v>1124</v>
      </c>
      <c r="D821" s="70" t="s">
        <v>1</v>
      </c>
      <c r="E821" s="70" t="s">
        <v>1</v>
      </c>
      <c r="F821" s="70"/>
      <c r="G821" s="70" t="s">
        <v>61</v>
      </c>
      <c r="H821" s="70" t="s">
        <v>178</v>
      </c>
      <c r="I821" s="70" t="s">
        <v>188</v>
      </c>
      <c r="J821" s="71">
        <f>IF(OR(I821=0,I821=""),"unrated",VLOOKUP(I821,MappingTables!$B$19:$C$31,2,FALSE))</f>
        <v>2</v>
      </c>
      <c r="K821" s="72">
        <v>139.10741078173052</v>
      </c>
      <c r="L821" s="70">
        <v>4.0243317537574168</v>
      </c>
      <c r="M821" s="71">
        <f>IF(L821&lt;1,1,L821)</f>
        <v>4.0243317537574168</v>
      </c>
      <c r="N821" s="70" t="s">
        <v>141</v>
      </c>
      <c r="O821" s="71">
        <f>INDEX(DurClassMapping,MATCH(M821,MappingTables!$D$4:$D$8,-1),1)</f>
        <v>1</v>
      </c>
      <c r="P821" s="73">
        <f>IF(M821=$A$1,1,$M821-INDEX(MappingTables!$E$4:$E$8,MATCH(O821,MappingTables!$B$4:$B$8,0)))</f>
        <v>4.0243317537574168</v>
      </c>
      <c r="Q821" s="71">
        <f>IF(B821="",0,INDEX(ModelParameters!$D$6:$K$10,MATCH($O821,ModelParameters!$B$6:$B$10,0),MATCH($J821,ModelParameters!$D$5:$K$5,0)))</f>
        <v>0.013999999999999998</v>
      </c>
      <c r="R821" s="71">
        <f>IF(B821="",0,INDEX(ModelParameters!$D$13:$K$17,MATCH($O821,ModelParameters!$B$13:$B$17,0),MATCH($J821,ModelParameters!$D$5:$K$5,0)))</f>
        <v>0</v>
      </c>
      <c r="S821" s="160">
        <f>IF(B821="",0,MIN(IF($N821="Other Bond TM",ModelParameters!$N$21,1)*(P821*Q821+R821),1))</f>
        <v>0.056340644552603824</v>
      </c>
      <c r="T821" s="85">
        <f>IF(B821="",0,$S821*$K821)</f>
        <v>7.837401185486528</v>
      </c>
      <c r="U821" s="85">
        <f>IF(B821="",0,IF(OR(H821=MappingTables!$C$34,H821=MappingTables!$C$35),T821,0))</f>
        <v>0</v>
      </c>
      <c r="V821" s="85">
        <f>IF(ISNA(IF(AND(VLOOKUP(CONCATENATE($D821,$G821),CSRFinput!$B:$E,4,0)=0,OR(H821=MappingTables!$C$34,H821=MappingTables!$C$35)),1,VLOOKUP(CONCATENATE($D821,$G821),CSRFinput!$B:$E,4,0))),0,IF(AND(VLOOKUP(CONCATENATE($D821,$G821),CSRFinput!$B:$E,4,0)=0,OR(H821=MappingTables!$C$34,H821=MappingTables!$C$35)),1,VLOOKUP(CONCATENATE($D821,$G821),CSRFinput!$B:$E,4,0)))</f>
        <v>0.054776304963434752</v>
      </c>
      <c r="W821" s="85">
        <f>IF(B821="",0,+$T821*$V821)</f>
        <v>0.42930387745699512</v>
      </c>
      <c r="X821" s="85">
        <f>IF(B821="",0,IF(OR(H821=MappingTables!$C$34,H821=MappingTables!$C$35),W821,0))</f>
        <v>0</v>
      </c>
    </row>
    <row r="822" spans="2:24" s="0" customFormat="0" ht="15">
      <c r="B822" s="69" t="s">
        <v>1125</v>
      </c>
      <c r="C822" s="70" t="s">
        <v>1126</v>
      </c>
      <c r="D822" s="70" t="s">
        <v>1</v>
      </c>
      <c r="E822" s="70" t="s">
        <v>1</v>
      </c>
      <c r="F822" s="70"/>
      <c r="G822" s="70" t="s">
        <v>61</v>
      </c>
      <c r="H822" s="70" t="s">
        <v>178</v>
      </c>
      <c r="I822" s="70" t="s">
        <v>181</v>
      </c>
      <c r="J822" s="71">
        <f>IF(OR(I822=0,I822=""),"unrated",VLOOKUP(I822,MappingTables!$B$19:$C$31,2,FALSE))</f>
        <v>3</v>
      </c>
      <c r="K822" s="72">
        <v>1.7071213802333312</v>
      </c>
      <c r="L822" s="70">
        <v>0.83219195535086272</v>
      </c>
      <c r="M822" s="71">
        <f>IF(L822&lt;1,1,L822)</f>
        <v>1</v>
      </c>
      <c r="N822" s="70" t="s">
        <v>141</v>
      </c>
      <c r="O822" s="71">
        <f>INDEX(DurClassMapping,MATCH(M822,MappingTables!$D$4:$D$8,-1),1)</f>
        <v>1</v>
      </c>
      <c r="P822" s="73">
        <f>IF(M822=$A$1,1,$M822-INDEX(MappingTables!$E$4:$E$8,MATCH(O822,MappingTables!$B$4:$B$8,0)))</f>
        <v>1</v>
      </c>
      <c r="Q822" s="71">
        <f>IF(B822="",0,INDEX(ModelParameters!$D$6:$K$10,MATCH($O822,ModelParameters!$B$6:$B$10,0),MATCH($J822,ModelParameters!$D$5:$K$5,0)))</f>
        <v>0.025</v>
      </c>
      <c r="R822" s="71">
        <f>IF(B822="",0,INDEX(ModelParameters!$D$13:$K$17,MATCH($O822,ModelParameters!$B$13:$B$17,0),MATCH($J822,ModelParameters!$D$5:$K$5,0)))</f>
        <v>0</v>
      </c>
      <c r="S822" s="160">
        <f>IF(B822="",0,MIN(IF($N822="Other Bond TM",ModelParameters!$N$21,1)*(P822*Q822+R822),1))</f>
        <v>0.025</v>
      </c>
      <c r="T822" s="85">
        <f>IF(B822="",0,$S822*$K822)</f>
        <v>0.04267803450583328</v>
      </c>
      <c r="U822" s="85">
        <f>IF(B822="",0,IF(OR(H822=MappingTables!$C$34,H822=MappingTables!$C$35),T822,0))</f>
        <v>0</v>
      </c>
      <c r="V822" s="85">
        <f>IF(ISNA(IF(AND(VLOOKUP(CONCATENATE($D822,$G822),CSRFinput!$B:$E,4,0)=0,OR(H822=MappingTables!$C$34,H822=MappingTables!$C$35)),1,VLOOKUP(CONCATENATE($D822,$G822),CSRFinput!$B:$E,4,0))),0,IF(AND(VLOOKUP(CONCATENATE($D822,$G822),CSRFinput!$B:$E,4,0)=0,OR(H822=MappingTables!$C$34,H822=MappingTables!$C$35)),1,VLOOKUP(CONCATENATE($D822,$G822),CSRFinput!$B:$E,4,0)))</f>
        <v>0.054776304963434752</v>
      </c>
      <c r="W822" s="85">
        <f>IF(B822="",0,+$T822*$V822)</f>
        <v>0.0023377450333315152</v>
      </c>
      <c r="X822" s="85">
        <f>IF(B822="",0,IF(OR(H822=MappingTables!$C$34,H822=MappingTables!$C$35),W822,0))</f>
        <v>0</v>
      </c>
    </row>
    <row r="823" spans="2:24" s="0" customFormat="0" ht="15">
      <c r="B823" s="69">
        <v>5149490</v>
      </c>
      <c r="C823" s="70" t="s">
        <v>1127</v>
      </c>
      <c r="D823" s="70" t="s">
        <v>1</v>
      </c>
      <c r="E823" s="70" t="s">
        <v>1</v>
      </c>
      <c r="F823" s="70"/>
      <c r="G823" s="70" t="s">
        <v>61</v>
      </c>
      <c r="H823" s="70" t="s">
        <v>178</v>
      </c>
      <c r="I823" s="70" t="s">
        <v>181</v>
      </c>
      <c r="J823" s="71">
        <f>IF(OR(I823=0,I823=""),"unrated",VLOOKUP(I823,MappingTables!$B$19:$C$31,2,FALSE))</f>
        <v>3</v>
      </c>
      <c r="K823" s="72">
        <v>490.91764509909304</v>
      </c>
      <c r="L823" s="70">
        <v>1.6315315276172028</v>
      </c>
      <c r="M823" s="71">
        <f>IF(L823&lt;1,1,L823)</f>
        <v>1.6315315276172028</v>
      </c>
      <c r="N823" s="70" t="s">
        <v>141</v>
      </c>
      <c r="O823" s="71">
        <f>INDEX(DurClassMapping,MATCH(M823,MappingTables!$D$4:$D$8,-1),1)</f>
        <v>1</v>
      </c>
      <c r="P823" s="73">
        <f>IF(M823=$A$1,1,$M823-INDEX(MappingTables!$E$4:$E$8,MATCH(O823,MappingTables!$B$4:$B$8,0)))</f>
        <v>1.6315315276172028</v>
      </c>
      <c r="Q823" s="71">
        <f>IF(B823="",0,INDEX(ModelParameters!$D$6:$K$10,MATCH($O823,ModelParameters!$B$6:$B$10,0),MATCH($J823,ModelParameters!$D$5:$K$5,0)))</f>
        <v>0.025</v>
      </c>
      <c r="R823" s="71">
        <f>IF(B823="",0,INDEX(ModelParameters!$D$13:$K$17,MATCH($O823,ModelParameters!$B$13:$B$17,0),MATCH($J823,ModelParameters!$D$5:$K$5,0)))</f>
        <v>0</v>
      </c>
      <c r="S823" s="160">
        <f>IF(B823="",0,MIN(IF($N823="Other Bond TM",ModelParameters!$N$21,1)*(P823*Q823+R823),1))</f>
        <v>0.040788288190430072</v>
      </c>
      <c r="T823" s="85">
        <f>IF(B823="",0,$S823*$K823)</f>
        <v>20.023690386069076</v>
      </c>
      <c r="U823" s="85">
        <f>IF(B823="",0,IF(OR(H823=MappingTables!$C$34,H823=MappingTables!$C$35),T823,0))</f>
        <v>0</v>
      </c>
      <c r="V823" s="85">
        <f>IF(ISNA(IF(AND(VLOOKUP(CONCATENATE($D823,$G823),CSRFinput!$B:$E,4,0)=0,OR(H823=MappingTables!$C$34,H823=MappingTables!$C$35)),1,VLOOKUP(CONCATENATE($D823,$G823),CSRFinput!$B:$E,4,0))),0,IF(AND(VLOOKUP(CONCATENATE($D823,$G823),CSRFinput!$B:$E,4,0)=0,OR(H823=MappingTables!$C$34,H823=MappingTables!$C$35)),1,VLOOKUP(CONCATENATE($D823,$G823),CSRFinput!$B:$E,4,0)))</f>
        <v>0.054776304963434752</v>
      </c>
      <c r="W823" s="85">
        <f>IF(B823="",0,+$T823*$V823)</f>
        <v>1.0968237710807162</v>
      </c>
      <c r="X823" s="85">
        <f>IF(B823="",0,IF(OR(H823=MappingTables!$C$34,H823=MappingTables!$C$35),W823,0))</f>
        <v>0</v>
      </c>
    </row>
    <row r="824" spans="2:24" s="0" customFormat="0" ht="15">
      <c r="B824" s="69">
        <v>24892936</v>
      </c>
      <c r="C824" s="70" t="s">
        <v>1128</v>
      </c>
      <c r="D824" s="70" t="s">
        <v>1</v>
      </c>
      <c r="E824" s="70" t="s">
        <v>1</v>
      </c>
      <c r="F824" s="70"/>
      <c r="G824" s="70" t="s">
        <v>61</v>
      </c>
      <c r="H824" s="70" t="s">
        <v>178</v>
      </c>
      <c r="I824" s="70" t="s">
        <v>188</v>
      </c>
      <c r="J824" s="71">
        <f>IF(OR(I824=0,I824=""),"unrated",VLOOKUP(I824,MappingTables!$B$19:$C$31,2,FALSE))</f>
        <v>2</v>
      </c>
      <c r="K824" s="72">
        <v>677.77443538207936</v>
      </c>
      <c r="L824" s="70">
        <v>2.8107964965011392</v>
      </c>
      <c r="M824" s="71">
        <f>IF(L824&lt;1,1,L824)</f>
        <v>2.8107964965011392</v>
      </c>
      <c r="N824" s="70" t="s">
        <v>141</v>
      </c>
      <c r="O824" s="71">
        <f>INDEX(DurClassMapping,MATCH(M824,MappingTables!$D$4:$D$8,-1),1)</f>
        <v>1</v>
      </c>
      <c r="P824" s="73">
        <f>IF(M824=$A$1,1,$M824-INDEX(MappingTables!$E$4:$E$8,MATCH(O824,MappingTables!$B$4:$B$8,0)))</f>
        <v>2.8107964965011392</v>
      </c>
      <c r="Q824" s="71">
        <f>IF(B824="",0,INDEX(ModelParameters!$D$6:$K$10,MATCH($O824,ModelParameters!$B$6:$B$10,0),MATCH($J824,ModelParameters!$D$5:$K$5,0)))</f>
        <v>0.013999999999999998</v>
      </c>
      <c r="R824" s="71">
        <f>IF(B824="",0,INDEX(ModelParameters!$D$13:$K$17,MATCH($O824,ModelParameters!$B$13:$B$17,0),MATCH($J824,ModelParameters!$D$5:$K$5,0)))</f>
        <v>0</v>
      </c>
      <c r="S824" s="160">
        <f>IF(B824="",0,MIN(IF($N824="Other Bond TM",ModelParameters!$N$21,1)*(P824*Q824+R824),1))</f>
        <v>0.039351150951015944</v>
      </c>
      <c r="T824" s="85">
        <f>IF(B824="",0,$S824*$K824)</f>
        <v>26.671204117459804</v>
      </c>
      <c r="U824" s="85">
        <f>IF(B824="",0,IF(OR(H824=MappingTables!$C$34,H824=MappingTables!$C$35),T824,0))</f>
        <v>0</v>
      </c>
      <c r="V824" s="85">
        <f>IF(ISNA(IF(AND(VLOOKUP(CONCATENATE($D824,$G824),CSRFinput!$B:$E,4,0)=0,OR(H824=MappingTables!$C$34,H824=MappingTables!$C$35)),1,VLOOKUP(CONCATENATE($D824,$G824),CSRFinput!$B:$E,4,0))),0,IF(AND(VLOOKUP(CONCATENATE($D824,$G824),CSRFinput!$B:$E,4,0)=0,OR(H824=MappingTables!$C$34,H824=MappingTables!$C$35)),1,VLOOKUP(CONCATENATE($D824,$G824),CSRFinput!$B:$E,4,0)))</f>
        <v>0.054776304963434752</v>
      </c>
      <c r="W824" s="85">
        <f>IF(B824="",0,+$T824*$V824)</f>
        <v>1.4609500104799948</v>
      </c>
      <c r="X824" s="85">
        <f>IF(B824="",0,IF(OR(H824=MappingTables!$C$34,H824=MappingTables!$C$35),W824,0))</f>
        <v>0</v>
      </c>
    </row>
    <row r="825" spans="2:24" s="0" customFormat="0" ht="15">
      <c r="B825" s="69">
        <v>23457590</v>
      </c>
      <c r="C825" s="70" t="s">
        <v>1129</v>
      </c>
      <c r="D825" s="70" t="s">
        <v>1</v>
      </c>
      <c r="E825" s="70" t="s">
        <v>1</v>
      </c>
      <c r="F825" s="70"/>
      <c r="G825" s="70" t="s">
        <v>61</v>
      </c>
      <c r="H825" s="70" t="s">
        <v>178</v>
      </c>
      <c r="I825" s="70" t="s">
        <v>181</v>
      </c>
      <c r="J825" s="71">
        <f>IF(OR(I825=0,I825=""),"unrated",VLOOKUP(I825,MappingTables!$B$19:$C$31,2,FALSE))</f>
        <v>3</v>
      </c>
      <c r="K825" s="72">
        <v>1175.8105945306708</v>
      </c>
      <c r="L825" s="70">
        <v>12.876604201193992</v>
      </c>
      <c r="M825" s="71">
        <f>IF(L825&lt;1,1,L825)</f>
        <v>12.876604201193992</v>
      </c>
      <c r="N825" s="70" t="s">
        <v>141</v>
      </c>
      <c r="O825" s="71">
        <f>INDEX(DurClassMapping,MATCH(M825,MappingTables!$D$4:$D$8,-1),1)</f>
        <v>3</v>
      </c>
      <c r="P825" s="73">
        <f>IF(M825=$A$1,1,$M825-INDEX(MappingTables!$E$4:$E$8,MATCH(O825,MappingTables!$B$4:$B$8,0)))</f>
        <v>2.8766042011939916</v>
      </c>
      <c r="Q825" s="71">
        <f>IF(B825="",0,INDEX(ModelParameters!$D$6:$K$10,MATCH($O825,ModelParameters!$B$6:$B$10,0),MATCH($J825,ModelParameters!$D$5:$K$5,0)))</f>
        <v>0.01</v>
      </c>
      <c r="R825" s="71">
        <f>IF(B825="",0,INDEX(ModelParameters!$D$13:$K$17,MATCH($O825,ModelParameters!$B$13:$B$17,0),MATCH($J825,ModelParameters!$D$5:$K$5,0)))</f>
        <v>0.2</v>
      </c>
      <c r="S825" s="160">
        <f>IF(B825="",0,MIN(IF($N825="Other Bond TM",ModelParameters!$N$21,1)*(P825*Q825+R825),1))</f>
        <v>0.22876604201193992</v>
      </c>
      <c r="T825" s="85">
        <f>IF(B825="",0,$S825*$K825)</f>
        <v>268.98553586648752</v>
      </c>
      <c r="U825" s="85">
        <f>IF(B825="",0,IF(OR(H825=MappingTables!$C$34,H825=MappingTables!$C$35),T825,0))</f>
        <v>0</v>
      </c>
      <c r="V825" s="85">
        <f>IF(ISNA(IF(AND(VLOOKUP(CONCATENATE($D825,$G825),CSRFinput!$B:$E,4,0)=0,OR(H825=MappingTables!$C$34,H825=MappingTables!$C$35)),1,VLOOKUP(CONCATENATE($D825,$G825),CSRFinput!$B:$E,4,0))),0,IF(AND(VLOOKUP(CONCATENATE($D825,$G825),CSRFinput!$B:$E,4,0)=0,OR(H825=MappingTables!$C$34,H825=MappingTables!$C$35)),1,VLOOKUP(CONCATENATE($D825,$G825),CSRFinput!$B:$E,4,0)))</f>
        <v>0.054776304963434752</v>
      </c>
      <c r="W825" s="85">
        <f>IF(B825="",0,+$T825*$V825)</f>
        <v>14.734033743375636</v>
      </c>
      <c r="X825" s="85">
        <f>IF(B825="",0,IF(OR(H825=MappingTables!$C$34,H825=MappingTables!$C$35),W825,0))</f>
        <v>0</v>
      </c>
    </row>
    <row r="826" spans="2:24" s="0" customFormat="0" ht="15">
      <c r="B826" s="69">
        <v>11899224</v>
      </c>
      <c r="C826" s="70" t="s">
        <v>1130</v>
      </c>
      <c r="D826" s="70" t="s">
        <v>1</v>
      </c>
      <c r="E826" s="70" t="s">
        <v>1</v>
      </c>
      <c r="F826" s="70"/>
      <c r="G826" s="70" t="s">
        <v>61</v>
      </c>
      <c r="H826" s="70" t="s">
        <v>178</v>
      </c>
      <c r="I826" s="70" t="s">
        <v>184</v>
      </c>
      <c r="J826" s="71">
        <f>IF(OR(I826=0,I826=""),"unrated",VLOOKUP(I826,MappingTables!$B$19:$C$31,2,FALSE))</f>
        <v>5</v>
      </c>
      <c r="K826" s="72">
        <v>135.56937673439004</v>
      </c>
      <c r="L826" s="70">
        <v>0.04109636118212448</v>
      </c>
      <c r="M826" s="71">
        <f>IF(L826&lt;1,1,L826)</f>
        <v>1</v>
      </c>
      <c r="N826" s="70" t="s">
        <v>141</v>
      </c>
      <c r="O826" s="71">
        <f>INDEX(DurClassMapping,MATCH(M826,MappingTables!$D$4:$D$8,-1),1)</f>
        <v>1</v>
      </c>
      <c r="P826" s="73">
        <f>IF(M826=$A$1,1,$M826-INDEX(MappingTables!$E$4:$E$8,MATCH(O826,MappingTables!$B$4:$B$8,0)))</f>
        <v>1</v>
      </c>
      <c r="Q826" s="71">
        <f>IF(B826="",0,INDEX(ModelParameters!$D$6:$K$10,MATCH($O826,ModelParameters!$B$6:$B$10,0),MATCH($J826,ModelParameters!$D$5:$K$5,0)))</f>
        <v>0.075</v>
      </c>
      <c r="R826" s="71">
        <f>IF(B826="",0,INDEX(ModelParameters!$D$13:$K$17,MATCH($O826,ModelParameters!$B$13:$B$17,0),MATCH($J826,ModelParameters!$D$5:$K$5,0)))</f>
        <v>0</v>
      </c>
      <c r="S826" s="160">
        <f>IF(B826="",0,MIN(IF($N826="Other Bond TM",ModelParameters!$N$21,1)*(P826*Q826+R826),1))</f>
        <v>0.075</v>
      </c>
      <c r="T826" s="85">
        <f>IF(B826="",0,$S826*$K826)</f>
        <v>10.167703255079252</v>
      </c>
      <c r="U826" s="85">
        <f>IF(B826="",0,IF(OR(H826=MappingTables!$C$34,H826=MappingTables!$C$35),T826,0))</f>
        <v>0</v>
      </c>
      <c r="V826" s="85">
        <f>IF(ISNA(IF(AND(VLOOKUP(CONCATENATE($D826,$G826),CSRFinput!$B:$E,4,0)=0,OR(H826=MappingTables!$C$34,H826=MappingTables!$C$35)),1,VLOOKUP(CONCATENATE($D826,$G826),CSRFinput!$B:$E,4,0))),0,IF(AND(VLOOKUP(CONCATENATE($D826,$G826),CSRFinput!$B:$E,4,0)=0,OR(H826=MappingTables!$C$34,H826=MappingTables!$C$35)),1,VLOOKUP(CONCATENATE($D826,$G826),CSRFinput!$B:$E,4,0)))</f>
        <v>0.054776304963434752</v>
      </c>
      <c r="W826" s="85">
        <f>IF(B826="",0,+$T826*$V826)</f>
        <v>0.55694921427792928</v>
      </c>
      <c r="X826" s="85">
        <f>IF(B826="",0,IF(OR(H826=MappingTables!$C$34,H826=MappingTables!$C$35),W826,0))</f>
        <v>0</v>
      </c>
    </row>
    <row r="827" spans="2:24" s="0" customFormat="0" ht="15">
      <c r="B827" s="69" t="s">
        <v>1131</v>
      </c>
      <c r="C827" s="70" t="s">
        <v>1132</v>
      </c>
      <c r="D827" s="70" t="s">
        <v>1</v>
      </c>
      <c r="E827" s="70" t="s">
        <v>1</v>
      </c>
      <c r="F827" s="70"/>
      <c r="G827" s="70" t="s">
        <v>61</v>
      </c>
      <c r="H827" s="70" t="s">
        <v>178</v>
      </c>
      <c r="I827" s="70" t="s">
        <v>179</v>
      </c>
      <c r="J827" s="71">
        <f>IF(OR(I827=0,I827=""),"unrated",VLOOKUP(I827,MappingTables!$B$19:$C$31,2,FALSE))</f>
        <v>4</v>
      </c>
      <c r="K827" s="72">
        <v>42.964949573854632</v>
      </c>
      <c r="L827" s="70">
        <v>1.6600650693084154</v>
      </c>
      <c r="M827" s="71">
        <f>IF(L827&lt;1,1,L827)</f>
        <v>1.6600650693084154</v>
      </c>
      <c r="N827" s="70" t="s">
        <v>141</v>
      </c>
      <c r="O827" s="71">
        <f>INDEX(DurClassMapping,MATCH(M827,MappingTables!$D$4:$D$8,-1),1)</f>
        <v>1</v>
      </c>
      <c r="P827" s="73">
        <f>IF(M827=$A$1,1,$M827-INDEX(MappingTables!$E$4:$E$8,MATCH(O827,MappingTables!$B$4:$B$8,0)))</f>
        <v>1.6600650693084154</v>
      </c>
      <c r="Q827" s="71">
        <f>IF(B827="",0,INDEX(ModelParameters!$D$6:$K$10,MATCH($O827,ModelParameters!$B$6:$B$10,0),MATCH($J827,ModelParameters!$D$5:$K$5,0)))</f>
        <v>0.045</v>
      </c>
      <c r="R827" s="71">
        <f>IF(B827="",0,INDEX(ModelParameters!$D$13:$K$17,MATCH($O827,ModelParameters!$B$13:$B$17,0),MATCH($J827,ModelParameters!$D$5:$K$5,0)))</f>
        <v>0</v>
      </c>
      <c r="S827" s="160">
        <f>IF(B827="",0,MIN(IF($N827="Other Bond TM",ModelParameters!$N$21,1)*(P827*Q827+R827),1))</f>
        <v>0.074702928118878688</v>
      </c>
      <c r="T827" s="85">
        <f>IF(B827="",0,$S827*$K827)</f>
        <v>3.20960753964691</v>
      </c>
      <c r="U827" s="85">
        <f>IF(B827="",0,IF(OR(H827=MappingTables!$C$34,H827=MappingTables!$C$35),T827,0))</f>
        <v>0</v>
      </c>
      <c r="V827" s="85">
        <f>IF(ISNA(IF(AND(VLOOKUP(CONCATENATE($D827,$G827),CSRFinput!$B:$E,4,0)=0,OR(H827=MappingTables!$C$34,H827=MappingTables!$C$35)),1,VLOOKUP(CONCATENATE($D827,$G827),CSRFinput!$B:$E,4,0))),0,IF(AND(VLOOKUP(CONCATENATE($D827,$G827),CSRFinput!$B:$E,4,0)=0,OR(H827=MappingTables!$C$34,H827=MappingTables!$C$35)),1,VLOOKUP(CONCATENATE($D827,$G827),CSRFinput!$B:$E,4,0)))</f>
        <v>0.054776304963434752</v>
      </c>
      <c r="W827" s="85">
        <f>IF(B827="",0,+$T827*$V827)</f>
        <v>0.17581044140463864</v>
      </c>
      <c r="X827" s="85">
        <f>IF(B827="",0,IF(OR(H827=MappingTables!$C$34,H827=MappingTables!$C$35),W827,0))</f>
        <v>0</v>
      </c>
    </row>
    <row r="828" spans="2:24" s="0" customFormat="0" ht="15">
      <c r="B828" s="69">
        <v>4121875</v>
      </c>
      <c r="C828" s="70" t="s">
        <v>1133</v>
      </c>
      <c r="D828" s="70" t="s">
        <v>1</v>
      </c>
      <c r="E828" s="70" t="s">
        <v>1</v>
      </c>
      <c r="F828" s="70"/>
      <c r="G828" s="70" t="s">
        <v>61</v>
      </c>
      <c r="H828" s="70" t="s">
        <v>178</v>
      </c>
      <c r="I828" s="70" t="s">
        <v>181</v>
      </c>
      <c r="J828" s="71">
        <f>IF(OR(I828=0,I828=""),"unrated",VLOOKUP(I828,MappingTables!$B$19:$C$31,2,FALSE))</f>
        <v>3</v>
      </c>
      <c r="K828" s="72">
        <v>19538.950343286764</v>
      </c>
      <c r="L828" s="70">
        <v>0.86007033937051232</v>
      </c>
      <c r="M828" s="71">
        <f>IF(L828&lt;1,1,L828)</f>
        <v>1</v>
      </c>
      <c r="N828" s="70" t="s">
        <v>141</v>
      </c>
      <c r="O828" s="71">
        <f>INDEX(DurClassMapping,MATCH(M828,MappingTables!$D$4:$D$8,-1),1)</f>
        <v>1</v>
      </c>
      <c r="P828" s="73">
        <f>IF(M828=$A$1,1,$M828-INDEX(MappingTables!$E$4:$E$8,MATCH(O828,MappingTables!$B$4:$B$8,0)))</f>
        <v>1</v>
      </c>
      <c r="Q828" s="71">
        <f>IF(B828="",0,INDEX(ModelParameters!$D$6:$K$10,MATCH($O828,ModelParameters!$B$6:$B$10,0),MATCH($J828,ModelParameters!$D$5:$K$5,0)))</f>
        <v>0.025</v>
      </c>
      <c r="R828" s="71">
        <f>IF(B828="",0,INDEX(ModelParameters!$D$13:$K$17,MATCH($O828,ModelParameters!$B$13:$B$17,0),MATCH($J828,ModelParameters!$D$5:$K$5,0)))</f>
        <v>0</v>
      </c>
      <c r="S828" s="160">
        <f>IF(B828="",0,MIN(IF($N828="Other Bond TM",ModelParameters!$N$21,1)*(P828*Q828+R828),1))</f>
        <v>0.025</v>
      </c>
      <c r="T828" s="85">
        <f>IF(B828="",0,$S828*$K828)</f>
        <v>488.47375858216912</v>
      </c>
      <c r="U828" s="85">
        <f>IF(B828="",0,IF(OR(H828=MappingTables!$C$34,H828=MappingTables!$C$35),T828,0))</f>
        <v>0</v>
      </c>
      <c r="V828" s="85">
        <f>IF(ISNA(IF(AND(VLOOKUP(CONCATENATE($D828,$G828),CSRFinput!$B:$E,4,0)=0,OR(H828=MappingTables!$C$34,H828=MappingTables!$C$35)),1,VLOOKUP(CONCATENATE($D828,$G828),CSRFinput!$B:$E,4,0))),0,IF(AND(VLOOKUP(CONCATENATE($D828,$G828),CSRFinput!$B:$E,4,0)=0,OR(H828=MappingTables!$C$34,H828=MappingTables!$C$35)),1,VLOOKUP(CONCATENATE($D828,$G828),CSRFinput!$B:$E,4,0)))</f>
        <v>0.054776304963434752</v>
      </c>
      <c r="W828" s="85">
        <f>IF(B828="",0,+$T828*$V828)</f>
        <v>26.7567875667321</v>
      </c>
      <c r="X828" s="85">
        <f>IF(B828="",0,IF(OR(H828=MappingTables!$C$34,H828=MappingTables!$C$35),W828,0))</f>
        <v>0</v>
      </c>
    </row>
    <row r="829" spans="2:24" s="0" customFormat="0" ht="15">
      <c r="B829" s="69">
        <v>8939457</v>
      </c>
      <c r="C829" s="70" t="s">
        <v>1134</v>
      </c>
      <c r="D829" s="70" t="s">
        <v>1</v>
      </c>
      <c r="E829" s="70" t="s">
        <v>1</v>
      </c>
      <c r="F829" s="70"/>
      <c r="G829" s="70" t="s">
        <v>61</v>
      </c>
      <c r="H829" s="70" t="s">
        <v>178</v>
      </c>
      <c r="I829" s="70" t="s">
        <v>181</v>
      </c>
      <c r="J829" s="71">
        <f>IF(OR(I829=0,I829=""),"unrated",VLOOKUP(I829,MappingTables!$B$19:$C$31,2,FALSE))</f>
        <v>3</v>
      </c>
      <c r="K829" s="72">
        <v>646.45932271843432</v>
      </c>
      <c r="L829" s="70">
        <v>13.458322722577424</v>
      </c>
      <c r="M829" s="71">
        <f>IF(L829&lt;1,1,L829)</f>
        <v>13.458322722577424</v>
      </c>
      <c r="N829" s="70" t="s">
        <v>141</v>
      </c>
      <c r="O829" s="71">
        <f>INDEX(DurClassMapping,MATCH(M829,MappingTables!$D$4:$D$8,-1),1)</f>
        <v>3</v>
      </c>
      <c r="P829" s="73">
        <f>IF(M829=$A$1,1,$M829-INDEX(MappingTables!$E$4:$E$8,MATCH(O829,MappingTables!$B$4:$B$8,0)))</f>
        <v>3.4583227225774244</v>
      </c>
      <c r="Q829" s="71">
        <f>IF(B829="",0,INDEX(ModelParameters!$D$6:$K$10,MATCH($O829,ModelParameters!$B$6:$B$10,0),MATCH($J829,ModelParameters!$D$5:$K$5,0)))</f>
        <v>0.01</v>
      </c>
      <c r="R829" s="71">
        <f>IF(B829="",0,INDEX(ModelParameters!$D$13:$K$17,MATCH($O829,ModelParameters!$B$13:$B$17,0),MATCH($J829,ModelParameters!$D$5:$K$5,0)))</f>
        <v>0.2</v>
      </c>
      <c r="S829" s="160">
        <f>IF(B829="",0,MIN(IF($N829="Other Bond TM",ModelParameters!$N$21,1)*(P829*Q829+R829),1))</f>
        <v>0.23458322722577428</v>
      </c>
      <c r="T829" s="85">
        <f>IF(B829="",0,$S829*$K829)</f>
        <v>151.64851419347864</v>
      </c>
      <c r="U829" s="85">
        <f>IF(B829="",0,IF(OR(H829=MappingTables!$C$34,H829=MappingTables!$C$35),T829,0))</f>
        <v>0</v>
      </c>
      <c r="V829" s="85">
        <f>IF(ISNA(IF(AND(VLOOKUP(CONCATENATE($D829,$G829),CSRFinput!$B:$E,4,0)=0,OR(H829=MappingTables!$C$34,H829=MappingTables!$C$35)),1,VLOOKUP(CONCATENATE($D829,$G829),CSRFinput!$B:$E,4,0))),0,IF(AND(VLOOKUP(CONCATENATE($D829,$G829),CSRFinput!$B:$E,4,0)=0,OR(H829=MappingTables!$C$34,H829=MappingTables!$C$35)),1,VLOOKUP(CONCATENATE($D829,$G829),CSRFinput!$B:$E,4,0)))</f>
        <v>0.054776304963434752</v>
      </c>
      <c r="W829" s="85">
        <f>IF(B829="",0,+$T829*$V829)</f>
        <v>8.3067452607137488</v>
      </c>
      <c r="X829" s="85">
        <f>IF(B829="",0,IF(OR(H829=MappingTables!$C$34,H829=MappingTables!$C$35),W829,0))</f>
        <v>0</v>
      </c>
    </row>
    <row r="830" spans="2:24" s="0" customFormat="0" ht="15">
      <c r="B830" s="69">
        <v>9073220</v>
      </c>
      <c r="C830" s="70" t="s">
        <v>1135</v>
      </c>
      <c r="D830" s="70" t="s">
        <v>1</v>
      </c>
      <c r="E830" s="70" t="s">
        <v>1</v>
      </c>
      <c r="F830" s="70"/>
      <c r="G830" s="70" t="s">
        <v>61</v>
      </c>
      <c r="H830" s="70" t="s">
        <v>178</v>
      </c>
      <c r="I830" s="70" t="s">
        <v>181</v>
      </c>
      <c r="J830" s="71">
        <f>IF(OR(I830=0,I830=""),"unrated",VLOOKUP(I830,MappingTables!$B$19:$C$31,2,FALSE))</f>
        <v>3</v>
      </c>
      <c r="K830" s="72">
        <v>2985.0129198477516</v>
      </c>
      <c r="L830" s="70">
        <v>0.62929504669135472</v>
      </c>
      <c r="M830" s="71">
        <f>IF(L830&lt;1,1,L830)</f>
        <v>1</v>
      </c>
      <c r="N830" s="70" t="s">
        <v>141</v>
      </c>
      <c r="O830" s="71">
        <f>INDEX(DurClassMapping,MATCH(M830,MappingTables!$D$4:$D$8,-1),1)</f>
        <v>1</v>
      </c>
      <c r="P830" s="73">
        <f>IF(M830=$A$1,1,$M830-INDEX(MappingTables!$E$4:$E$8,MATCH(O830,MappingTables!$B$4:$B$8,0)))</f>
        <v>1</v>
      </c>
      <c r="Q830" s="71">
        <f>IF(B830="",0,INDEX(ModelParameters!$D$6:$K$10,MATCH($O830,ModelParameters!$B$6:$B$10,0),MATCH($J830,ModelParameters!$D$5:$K$5,0)))</f>
        <v>0.025</v>
      </c>
      <c r="R830" s="71">
        <f>IF(B830="",0,INDEX(ModelParameters!$D$13:$K$17,MATCH($O830,ModelParameters!$B$13:$B$17,0),MATCH($J830,ModelParameters!$D$5:$K$5,0)))</f>
        <v>0</v>
      </c>
      <c r="S830" s="160">
        <f>IF(B830="",0,MIN(IF($N830="Other Bond TM",ModelParameters!$N$21,1)*(P830*Q830+R830),1))</f>
        <v>0.025</v>
      </c>
      <c r="T830" s="85">
        <f>IF(B830="",0,$S830*$K830)</f>
        <v>74.625322996193792</v>
      </c>
      <c r="U830" s="85">
        <f>IF(B830="",0,IF(OR(H830=MappingTables!$C$34,H830=MappingTables!$C$35),T830,0))</f>
        <v>0</v>
      </c>
      <c r="V830" s="85">
        <f>IF(ISNA(IF(AND(VLOOKUP(CONCATENATE($D830,$G830),CSRFinput!$B:$E,4,0)=0,OR(H830=MappingTables!$C$34,H830=MappingTables!$C$35)),1,VLOOKUP(CONCATENATE($D830,$G830),CSRFinput!$B:$E,4,0))),0,IF(AND(VLOOKUP(CONCATENATE($D830,$G830),CSRFinput!$B:$E,4,0)=0,OR(H830=MappingTables!$C$34,H830=MappingTables!$C$35)),1,VLOOKUP(CONCATENATE($D830,$G830),CSRFinput!$B:$E,4,0)))</f>
        <v>0.054776304963434752</v>
      </c>
      <c r="W830" s="85">
        <f>IF(B830="",0,+$T830*$V830)</f>
        <v>4.0876994504343312</v>
      </c>
      <c r="X830" s="85">
        <f>IF(B830="",0,IF(OR(H830=MappingTables!$C$34,H830=MappingTables!$C$35),W830,0))</f>
        <v>0</v>
      </c>
    </row>
    <row r="831" spans="2:24" s="0" customFormat="0" ht="15">
      <c r="B831" s="69">
        <v>24828803</v>
      </c>
      <c r="C831" s="70" t="s">
        <v>1136</v>
      </c>
      <c r="D831" s="70" t="s">
        <v>1</v>
      </c>
      <c r="E831" s="70" t="s">
        <v>1</v>
      </c>
      <c r="F831" s="70"/>
      <c r="G831" s="70" t="s">
        <v>61</v>
      </c>
      <c r="H831" s="70" t="s">
        <v>178</v>
      </c>
      <c r="I831" s="70" t="s">
        <v>216</v>
      </c>
      <c r="J831" s="71">
        <f>IF(OR(I831=0,I831=""),"unrated",VLOOKUP(I831,MappingTables!$B$19:$C$31,2,FALSE))</f>
        <v>0</v>
      </c>
      <c r="K831" s="72">
        <v>328.05360129781472</v>
      </c>
      <c r="L831" s="70">
        <v>24.163171000657192</v>
      </c>
      <c r="M831" s="71">
        <f>IF(L831&lt;1,1,L831)</f>
        <v>24.163171000657192</v>
      </c>
      <c r="N831" s="70" t="s">
        <v>141</v>
      </c>
      <c r="O831" s="71">
        <f>INDEX(DurClassMapping,MATCH(M831,MappingTables!$D$4:$D$8,-1),1)</f>
        <v>5</v>
      </c>
      <c r="P831" s="73">
        <f>IF(M831=$A$1,1,$M831-INDEX(MappingTables!$E$4:$E$8,MATCH(O831,MappingTables!$B$4:$B$8,0)))</f>
        <v>4.1631710006571936</v>
      </c>
      <c r="Q831" s="71">
        <f>IF(B831="",0,INDEX(ModelParameters!$D$6:$K$10,MATCH($O831,ModelParameters!$B$6:$B$10,0),MATCH($J831,ModelParameters!$D$5:$K$5,0)))</f>
        <v>0.005</v>
      </c>
      <c r="R831" s="71">
        <f>IF(B831="",0,INDEX(ModelParameters!$D$13:$K$17,MATCH($O831,ModelParameters!$B$13:$B$17,0),MATCH($J831,ModelParameters!$D$5:$K$5,0)))</f>
        <v>0.12</v>
      </c>
      <c r="S831" s="160">
        <f>IF(B831="",0,MIN(IF($N831="Other Bond TM",ModelParameters!$N$21,1)*(P831*Q831+R831),1))</f>
        <v>0.14081585500328598</v>
      </c>
      <c r="T831" s="85">
        <f>IF(B831="",0,$S831*$K831)</f>
        <v>46.195148353658864</v>
      </c>
      <c r="U831" s="85">
        <f>IF(B831="",0,IF(OR(H831=MappingTables!$C$34,H831=MappingTables!$C$35),T831,0))</f>
        <v>0</v>
      </c>
      <c r="V831" s="85">
        <f>IF(ISNA(IF(AND(VLOOKUP(CONCATENATE($D831,$G831),CSRFinput!$B:$E,4,0)=0,OR(H831=MappingTables!$C$34,H831=MappingTables!$C$35)),1,VLOOKUP(CONCATENATE($D831,$G831),CSRFinput!$B:$E,4,0))),0,IF(AND(VLOOKUP(CONCATENATE($D831,$G831),CSRFinput!$B:$E,4,0)=0,OR(H831=MappingTables!$C$34,H831=MappingTables!$C$35)),1,VLOOKUP(CONCATENATE($D831,$G831),CSRFinput!$B:$E,4,0)))</f>
        <v>0.054776304963434752</v>
      </c>
      <c r="W831" s="85">
        <f>IF(B831="",0,+$T831*$V831)</f>
        <v>2.5303995340511288</v>
      </c>
      <c r="X831" s="85">
        <f>IF(B831="",0,IF(OR(H831=MappingTables!$C$34,H831=MappingTables!$C$35),W831,0))</f>
        <v>0</v>
      </c>
    </row>
    <row r="832" spans="2:24" s="0" customFormat="0" ht="15">
      <c r="B832" s="69" t="s">
        <v>1137</v>
      </c>
      <c r="C832" s="70" t="s">
        <v>1138</v>
      </c>
      <c r="D832" s="70" t="s">
        <v>1</v>
      </c>
      <c r="E832" s="70" t="s">
        <v>1</v>
      </c>
      <c r="F832" s="70"/>
      <c r="G832" s="70" t="s">
        <v>61</v>
      </c>
      <c r="H832" s="70" t="s">
        <v>178</v>
      </c>
      <c r="I832" s="70" t="s">
        <v>188</v>
      </c>
      <c r="J832" s="71">
        <f>IF(OR(I832=0,I832=""),"unrated",VLOOKUP(I832,MappingTables!$B$19:$C$31,2,FALSE))</f>
        <v>2</v>
      </c>
      <c r="K832" s="72">
        <v>1226.059954393279</v>
      </c>
      <c r="L832" s="70">
        <v>0.090408636513374544</v>
      </c>
      <c r="M832" s="71">
        <f>IF(L832&lt;1,1,L832)</f>
        <v>1</v>
      </c>
      <c r="N832" s="70" t="s">
        <v>141</v>
      </c>
      <c r="O832" s="71">
        <f>INDEX(DurClassMapping,MATCH(M832,MappingTables!$D$4:$D$8,-1),1)</f>
        <v>1</v>
      </c>
      <c r="P832" s="73">
        <f>IF(M832=$A$1,1,$M832-INDEX(MappingTables!$E$4:$E$8,MATCH(O832,MappingTables!$B$4:$B$8,0)))</f>
        <v>1</v>
      </c>
      <c r="Q832" s="71">
        <f>IF(B832="",0,INDEX(ModelParameters!$D$6:$K$10,MATCH($O832,ModelParameters!$B$6:$B$10,0),MATCH($J832,ModelParameters!$D$5:$K$5,0)))</f>
        <v>0.013999999999999998</v>
      </c>
      <c r="R832" s="71">
        <f>IF(B832="",0,INDEX(ModelParameters!$D$13:$K$17,MATCH($O832,ModelParameters!$B$13:$B$17,0),MATCH($J832,ModelParameters!$D$5:$K$5,0)))</f>
        <v>0</v>
      </c>
      <c r="S832" s="160">
        <f>IF(B832="",0,MIN(IF($N832="Other Bond TM",ModelParameters!$N$21,1)*(P832*Q832+R832),1))</f>
        <v>0.013999999999999998</v>
      </c>
      <c r="T832" s="85">
        <f>IF(B832="",0,$S832*$K832)</f>
        <v>17.164839361505904</v>
      </c>
      <c r="U832" s="85">
        <f>IF(B832="",0,IF(OR(H832=MappingTables!$C$34,H832=MappingTables!$C$35),T832,0))</f>
        <v>0</v>
      </c>
      <c r="V832" s="85">
        <f>IF(ISNA(IF(AND(VLOOKUP(CONCATENATE($D832,$G832),CSRFinput!$B:$E,4,0)=0,OR(H832=MappingTables!$C$34,H832=MappingTables!$C$35)),1,VLOOKUP(CONCATENATE($D832,$G832),CSRFinput!$B:$E,4,0))),0,IF(AND(VLOOKUP(CONCATENATE($D832,$G832),CSRFinput!$B:$E,4,0)=0,OR(H832=MappingTables!$C$34,H832=MappingTables!$C$35)),1,VLOOKUP(CONCATENATE($D832,$G832),CSRFinput!$B:$E,4,0)))</f>
        <v>0.054776304963434752</v>
      </c>
      <c r="W832" s="85">
        <f>IF(B832="",0,+$T832*$V832)</f>
        <v>0.94022647551421616</v>
      </c>
      <c r="X832" s="85">
        <f>IF(B832="",0,IF(OR(H832=MappingTables!$C$34,H832=MappingTables!$C$35),W832,0))</f>
        <v>0</v>
      </c>
    </row>
    <row r="833" spans="2:24" s="0" customFormat="0" ht="15">
      <c r="B833" s="69">
        <v>7512985</v>
      </c>
      <c r="C833" s="70" t="s">
        <v>872</v>
      </c>
      <c r="D833" s="70" t="s">
        <v>1</v>
      </c>
      <c r="E833" s="70" t="s">
        <v>1</v>
      </c>
      <c r="F833" s="70"/>
      <c r="G833" s="70" t="s">
        <v>61</v>
      </c>
      <c r="H833" s="70" t="s">
        <v>178</v>
      </c>
      <c r="I833" s="70" t="s">
        <v>181</v>
      </c>
      <c r="J833" s="71">
        <f>IF(OR(I833=0,I833=""),"unrated",VLOOKUP(I833,MappingTables!$B$19:$C$31,2,FALSE))</f>
        <v>3</v>
      </c>
      <c r="K833" s="72">
        <v>10.40276510657096</v>
      </c>
      <c r="L833" s="70">
        <v>0.69863679727240856</v>
      </c>
      <c r="M833" s="71">
        <f>IF(L833&lt;1,1,L833)</f>
        <v>1</v>
      </c>
      <c r="N833" s="70" t="s">
        <v>141</v>
      </c>
      <c r="O833" s="71">
        <f>INDEX(DurClassMapping,MATCH(M833,MappingTables!$D$4:$D$8,-1),1)</f>
        <v>1</v>
      </c>
      <c r="P833" s="73">
        <f>IF(M833=$A$1,1,$M833-INDEX(MappingTables!$E$4:$E$8,MATCH(O833,MappingTables!$B$4:$B$8,0)))</f>
        <v>1</v>
      </c>
      <c r="Q833" s="71">
        <f>IF(B833="",0,INDEX(ModelParameters!$D$6:$K$10,MATCH($O833,ModelParameters!$B$6:$B$10,0),MATCH($J833,ModelParameters!$D$5:$K$5,0)))</f>
        <v>0.025</v>
      </c>
      <c r="R833" s="71">
        <f>IF(B833="",0,INDEX(ModelParameters!$D$13:$K$17,MATCH($O833,ModelParameters!$B$13:$B$17,0),MATCH($J833,ModelParameters!$D$5:$K$5,0)))</f>
        <v>0</v>
      </c>
      <c r="S833" s="160">
        <f>IF(B833="",0,MIN(IF($N833="Other Bond TM",ModelParameters!$N$21,1)*(P833*Q833+R833),1))</f>
        <v>0.025</v>
      </c>
      <c r="T833" s="85">
        <f>IF(B833="",0,$S833*$K833)</f>
        <v>0.26006912766427404</v>
      </c>
      <c r="U833" s="85">
        <f>IF(B833="",0,IF(OR(H833=MappingTables!$C$34,H833=MappingTables!$C$35),T833,0))</f>
        <v>0</v>
      </c>
      <c r="V833" s="85">
        <f>IF(ISNA(IF(AND(VLOOKUP(CONCATENATE($D833,$G833),CSRFinput!$B:$E,4,0)=0,OR(H833=MappingTables!$C$34,H833=MappingTables!$C$35)),1,VLOOKUP(CONCATENATE($D833,$G833),CSRFinput!$B:$E,4,0))),0,IF(AND(VLOOKUP(CONCATENATE($D833,$G833),CSRFinput!$B:$E,4,0)=0,OR(H833=MappingTables!$C$34,H833=MappingTables!$C$35)),1,VLOOKUP(CONCATENATE($D833,$G833),CSRFinput!$B:$E,4,0)))</f>
        <v>0.054776304963434752</v>
      </c>
      <c r="W833" s="85">
        <f>IF(B833="",0,+$T833*$V833)</f>
        <v>0.01424562584851272</v>
      </c>
      <c r="X833" s="85">
        <f>IF(B833="",0,IF(OR(H833=MappingTables!$C$34,H833=MappingTables!$C$35),W833,0))</f>
        <v>0</v>
      </c>
    </row>
    <row r="834" spans="2:24" s="0" customFormat="0" ht="15">
      <c r="B834" s="69">
        <v>21237289</v>
      </c>
      <c r="C834" s="70" t="s">
        <v>1139</v>
      </c>
      <c r="D834" s="70" t="s">
        <v>1</v>
      </c>
      <c r="E834" s="70" t="s">
        <v>1</v>
      </c>
      <c r="F834" s="70"/>
      <c r="G834" s="70" t="s">
        <v>61</v>
      </c>
      <c r="H834" s="70" t="s">
        <v>178</v>
      </c>
      <c r="I834" s="70" t="s">
        <v>179</v>
      </c>
      <c r="J834" s="71">
        <f>IF(OR(I834=0,I834=""),"unrated",VLOOKUP(I834,MappingTables!$B$19:$C$31,2,FALSE))</f>
        <v>4</v>
      </c>
      <c r="K834" s="72">
        <v>34421.178899673696</v>
      </c>
      <c r="L834" s="70">
        <v>3.47511105459296</v>
      </c>
      <c r="M834" s="71">
        <f>IF(L834&lt;1,1,L834)</f>
        <v>3.47511105459296</v>
      </c>
      <c r="N834" s="70" t="s">
        <v>141</v>
      </c>
      <c r="O834" s="71">
        <f>INDEX(DurClassMapping,MATCH(M834,MappingTables!$D$4:$D$8,-1),1)</f>
        <v>1</v>
      </c>
      <c r="P834" s="73">
        <f>IF(M834=$A$1,1,$M834-INDEX(MappingTables!$E$4:$E$8,MATCH(O834,MappingTables!$B$4:$B$8,0)))</f>
        <v>3.47511105459296</v>
      </c>
      <c r="Q834" s="71">
        <f>IF(B834="",0,INDEX(ModelParameters!$D$6:$K$10,MATCH($O834,ModelParameters!$B$6:$B$10,0),MATCH($J834,ModelParameters!$D$5:$K$5,0)))</f>
        <v>0.045</v>
      </c>
      <c r="R834" s="71">
        <f>IF(B834="",0,INDEX(ModelParameters!$D$13:$K$17,MATCH($O834,ModelParameters!$B$13:$B$17,0),MATCH($J834,ModelParameters!$D$5:$K$5,0)))</f>
        <v>0</v>
      </c>
      <c r="S834" s="160">
        <f>IF(B834="",0,MIN(IF($N834="Other Bond TM",ModelParameters!$N$21,1)*(P834*Q834+R834),1))</f>
        <v>0.15637999745668318</v>
      </c>
      <c r="T834" s="85">
        <f>IF(B834="",0,$S834*$K834)</f>
        <v>5382.7838687870088</v>
      </c>
      <c r="U834" s="85">
        <f>IF(B834="",0,IF(OR(H834=MappingTables!$C$34,H834=MappingTables!$C$35),T834,0))</f>
        <v>0</v>
      </c>
      <c r="V834" s="85">
        <f>IF(ISNA(IF(AND(VLOOKUP(CONCATENATE($D834,$G834),CSRFinput!$B:$E,4,0)=0,OR(H834=MappingTables!$C$34,H834=MappingTables!$C$35)),1,VLOOKUP(CONCATENATE($D834,$G834),CSRFinput!$B:$E,4,0))),0,IF(AND(VLOOKUP(CONCATENATE($D834,$G834),CSRFinput!$B:$E,4,0)=0,OR(H834=MappingTables!$C$34,H834=MappingTables!$C$35)),1,VLOOKUP(CONCATENATE($D834,$G834),CSRFinput!$B:$E,4,0)))</f>
        <v>0.054776304963434752</v>
      </c>
      <c r="W834" s="85">
        <f>IF(B834="",0,+$T834*$V834)</f>
        <v>294.84901074893436</v>
      </c>
      <c r="X834" s="85">
        <f>IF(B834="",0,IF(OR(H834=MappingTables!$C$34,H834=MappingTables!$C$35),W834,0))</f>
        <v>0</v>
      </c>
    </row>
    <row r="835" spans="2:24" s="0" customFormat="0" ht="15">
      <c r="B835" s="69">
        <v>12775392</v>
      </c>
      <c r="C835" s="70" t="s">
        <v>1140</v>
      </c>
      <c r="D835" s="70" t="s">
        <v>1</v>
      </c>
      <c r="E835" s="70" t="s">
        <v>1</v>
      </c>
      <c r="F835" s="70"/>
      <c r="G835" s="70" t="s">
        <v>61</v>
      </c>
      <c r="H835" s="70" t="s">
        <v>178</v>
      </c>
      <c r="I835" s="70" t="s">
        <v>181</v>
      </c>
      <c r="J835" s="71">
        <f>IF(OR(I835=0,I835=""),"unrated",VLOOKUP(I835,MappingTables!$B$19:$C$31,2,FALSE))</f>
        <v>3</v>
      </c>
      <c r="K835" s="72">
        <v>240.268016225915</v>
      </c>
      <c r="L835" s="70">
        <v>5.0177054817608464</v>
      </c>
      <c r="M835" s="71">
        <f>IF(L835&lt;1,1,L835)</f>
        <v>5.0177054817608464</v>
      </c>
      <c r="N835" s="70" t="s">
        <v>141</v>
      </c>
      <c r="O835" s="71">
        <f>INDEX(DurClassMapping,MATCH(M835,MappingTables!$D$4:$D$8,-1),1)</f>
        <v>2</v>
      </c>
      <c r="P835" s="73">
        <f>IF(M835=$A$1,1,$M835-INDEX(MappingTables!$E$4:$E$8,MATCH(O835,MappingTables!$B$4:$B$8,0)))</f>
        <v>0.01770548176084663</v>
      </c>
      <c r="Q835" s="71">
        <f>IF(B835="",0,INDEX(ModelParameters!$D$6:$K$10,MATCH($O835,ModelParameters!$B$6:$B$10,0),MATCH($J835,ModelParameters!$D$5:$K$5,0)))</f>
        <v>0.015</v>
      </c>
      <c r="R835" s="71">
        <f>IF(B835="",0,INDEX(ModelParameters!$D$13:$K$17,MATCH($O835,ModelParameters!$B$13:$B$17,0),MATCH($J835,ModelParameters!$D$5:$K$5,0)))</f>
        <v>0.125</v>
      </c>
      <c r="S835" s="160">
        <f>IF(B835="",0,MIN(IF($N835="Other Bond TM",ModelParameters!$N$21,1)*(P835*Q835+R835),1))</f>
        <v>0.1252655822264127</v>
      </c>
      <c r="T835" s="85">
        <f>IF(B835="",0,$S835*$K835)</f>
        <v>30.09731294292442</v>
      </c>
      <c r="U835" s="85">
        <f>IF(B835="",0,IF(OR(H835=MappingTables!$C$34,H835=MappingTables!$C$35),T835,0))</f>
        <v>0</v>
      </c>
      <c r="V835" s="85">
        <f>IF(ISNA(IF(AND(VLOOKUP(CONCATENATE($D835,$G835),CSRFinput!$B:$E,4,0)=0,OR(H835=MappingTables!$C$34,H835=MappingTables!$C$35)),1,VLOOKUP(CONCATENATE($D835,$G835),CSRFinput!$B:$E,4,0))),0,IF(AND(VLOOKUP(CONCATENATE($D835,$G835),CSRFinput!$B:$E,4,0)=0,OR(H835=MappingTables!$C$34,H835=MappingTables!$C$35)),1,VLOOKUP(CONCATENATE($D835,$G835),CSRFinput!$B:$E,4,0)))</f>
        <v>0.054776304963434752</v>
      </c>
      <c r="W835" s="85">
        <f>IF(B835="",0,+$T835*$V835)</f>
        <v>1.6486195923415598</v>
      </c>
      <c r="X835" s="85">
        <f>IF(B835="",0,IF(OR(H835=MappingTables!$C$34,H835=MappingTables!$C$35),W835,0))</f>
        <v>0</v>
      </c>
    </row>
    <row r="836" spans="2:24" s="0" customFormat="0" ht="15">
      <c r="B836" s="69">
        <v>20925610</v>
      </c>
      <c r="C836" s="70" t="s">
        <v>1141</v>
      </c>
      <c r="D836" s="70" t="s">
        <v>1</v>
      </c>
      <c r="E836" s="70" t="s">
        <v>1</v>
      </c>
      <c r="F836" s="70"/>
      <c r="G836" s="70" t="s">
        <v>61</v>
      </c>
      <c r="H836" s="70" t="s">
        <v>178</v>
      </c>
      <c r="I836" s="70" t="s">
        <v>179</v>
      </c>
      <c r="J836" s="71">
        <f>IF(OR(I836=0,I836=""),"unrated",VLOOKUP(I836,MappingTables!$B$19:$C$31,2,FALSE))</f>
        <v>4</v>
      </c>
      <c r="K836" s="72">
        <v>13523.403554730764</v>
      </c>
      <c r="L836" s="70">
        <v>3.3827970860638868</v>
      </c>
      <c r="M836" s="71">
        <f>IF(L836&lt;1,1,L836)</f>
        <v>3.3827970860638868</v>
      </c>
      <c r="N836" s="70" t="s">
        <v>141</v>
      </c>
      <c r="O836" s="71">
        <f>INDEX(DurClassMapping,MATCH(M836,MappingTables!$D$4:$D$8,-1),1)</f>
        <v>1</v>
      </c>
      <c r="P836" s="73">
        <f>IF(M836=$A$1,1,$M836-INDEX(MappingTables!$E$4:$E$8,MATCH(O836,MappingTables!$B$4:$B$8,0)))</f>
        <v>3.3827970860638868</v>
      </c>
      <c r="Q836" s="71">
        <f>IF(B836="",0,INDEX(ModelParameters!$D$6:$K$10,MATCH($O836,ModelParameters!$B$6:$B$10,0),MATCH($J836,ModelParameters!$D$5:$K$5,0)))</f>
        <v>0.045</v>
      </c>
      <c r="R836" s="71">
        <f>IF(B836="",0,INDEX(ModelParameters!$D$13:$K$17,MATCH($O836,ModelParameters!$B$13:$B$17,0),MATCH($J836,ModelParameters!$D$5:$K$5,0)))</f>
        <v>0</v>
      </c>
      <c r="S836" s="160">
        <f>IF(B836="",0,MIN(IF($N836="Other Bond TM",ModelParameters!$N$21,1)*(P836*Q836+R836),1))</f>
        <v>0.1522258688728749</v>
      </c>
      <c r="T836" s="85">
        <f>IF(B836="",0,$S836*$K836)</f>
        <v>2058.611856237416</v>
      </c>
      <c r="U836" s="85">
        <f>IF(B836="",0,IF(OR(H836=MappingTables!$C$34,H836=MappingTables!$C$35),T836,0))</f>
        <v>0</v>
      </c>
      <c r="V836" s="85">
        <f>IF(ISNA(IF(AND(VLOOKUP(CONCATENATE($D836,$G836),CSRFinput!$B:$E,4,0)=0,OR(H836=MappingTables!$C$34,H836=MappingTables!$C$35)),1,VLOOKUP(CONCATENATE($D836,$G836),CSRFinput!$B:$E,4,0))),0,IF(AND(VLOOKUP(CONCATENATE($D836,$G836),CSRFinput!$B:$E,4,0)=0,OR(H836=MappingTables!$C$34,H836=MappingTables!$C$35)),1,VLOOKUP(CONCATENATE($D836,$G836),CSRFinput!$B:$E,4,0)))</f>
        <v>0.054776304963434752</v>
      </c>
      <c r="W836" s="85">
        <f>IF(B836="",0,+$T836*$V836)</f>
        <v>112.7631508386032</v>
      </c>
      <c r="X836" s="85">
        <f>IF(B836="",0,IF(OR(H836=MappingTables!$C$34,H836=MappingTables!$C$35),W836,0))</f>
        <v>0</v>
      </c>
    </row>
    <row r="837" spans="2:24" s="0" customFormat="0" ht="15">
      <c r="B837" s="69">
        <v>11804267</v>
      </c>
      <c r="C837" s="70" t="s">
        <v>1142</v>
      </c>
      <c r="D837" s="70" t="s">
        <v>1</v>
      </c>
      <c r="E837" s="70" t="s">
        <v>1</v>
      </c>
      <c r="F837" s="70"/>
      <c r="G837" s="70" t="s">
        <v>61</v>
      </c>
      <c r="H837" s="70" t="s">
        <v>178</v>
      </c>
      <c r="I837" s="70" t="s">
        <v>181</v>
      </c>
      <c r="J837" s="71">
        <f>IF(OR(I837=0,I837=""),"unrated",VLOOKUP(I837,MappingTables!$B$19:$C$31,2,FALSE))</f>
        <v>3</v>
      </c>
      <c r="K837" s="72">
        <v>341.43715120185452</v>
      </c>
      <c r="L837" s="70">
        <v>0.041095929604230488</v>
      </c>
      <c r="M837" s="71">
        <f>IF(L837&lt;1,1,L837)</f>
        <v>1</v>
      </c>
      <c r="N837" s="70" t="s">
        <v>141</v>
      </c>
      <c r="O837" s="71">
        <f>INDEX(DurClassMapping,MATCH(M837,MappingTables!$D$4:$D$8,-1),1)</f>
        <v>1</v>
      </c>
      <c r="P837" s="73">
        <f>IF(M837=$A$1,1,$M837-INDEX(MappingTables!$E$4:$E$8,MATCH(O837,MappingTables!$B$4:$B$8,0)))</f>
        <v>1</v>
      </c>
      <c r="Q837" s="71">
        <f>IF(B837="",0,INDEX(ModelParameters!$D$6:$K$10,MATCH($O837,ModelParameters!$B$6:$B$10,0),MATCH($J837,ModelParameters!$D$5:$K$5,0)))</f>
        <v>0.025</v>
      </c>
      <c r="R837" s="71">
        <f>IF(B837="",0,INDEX(ModelParameters!$D$13:$K$17,MATCH($O837,ModelParameters!$B$13:$B$17,0),MATCH($J837,ModelParameters!$D$5:$K$5,0)))</f>
        <v>0</v>
      </c>
      <c r="S837" s="160">
        <f>IF(B837="",0,MIN(IF($N837="Other Bond TM",ModelParameters!$N$21,1)*(P837*Q837+R837),1))</f>
        <v>0.025</v>
      </c>
      <c r="T837" s="85">
        <f>IF(B837="",0,$S837*$K837)</f>
        <v>8.5359287800463632</v>
      </c>
      <c r="U837" s="85">
        <f>IF(B837="",0,IF(OR(H837=MappingTables!$C$34,H837=MappingTables!$C$35),T837,0))</f>
        <v>0</v>
      </c>
      <c r="V837" s="85">
        <f>IF(ISNA(IF(AND(VLOOKUP(CONCATENATE($D837,$G837),CSRFinput!$B:$E,4,0)=0,OR(H837=MappingTables!$C$34,H837=MappingTables!$C$35)),1,VLOOKUP(CONCATENATE($D837,$G837),CSRFinput!$B:$E,4,0))),0,IF(AND(VLOOKUP(CONCATENATE($D837,$G837),CSRFinput!$B:$E,4,0)=0,OR(H837=MappingTables!$C$34,H837=MappingTables!$C$35)),1,VLOOKUP(CONCATENATE($D837,$G837),CSRFinput!$B:$E,4,0)))</f>
        <v>0.054776304963434752</v>
      </c>
      <c r="W837" s="85">
        <f>IF(B837="",0,+$T837*$V837)</f>
        <v>0.4675666380019792</v>
      </c>
      <c r="X837" s="85">
        <f>IF(B837="",0,IF(OR(H837=MappingTables!$C$34,H837=MappingTables!$C$35),W837,0))</f>
        <v>0</v>
      </c>
    </row>
    <row r="838" spans="2:24" s="0" customFormat="0" ht="15">
      <c r="B838" s="69">
        <v>13658441</v>
      </c>
      <c r="C838" s="70" t="s">
        <v>1143</v>
      </c>
      <c r="D838" s="70" t="s">
        <v>1</v>
      </c>
      <c r="E838" s="70" t="s">
        <v>1</v>
      </c>
      <c r="F838" s="70"/>
      <c r="G838" s="70" t="s">
        <v>61</v>
      </c>
      <c r="H838" s="70" t="s">
        <v>178</v>
      </c>
      <c r="I838" s="70" t="s">
        <v>198</v>
      </c>
      <c r="J838" s="71" t="str">
        <f>IF(OR(I838=0,I838=""),"unrated",VLOOKUP(I838,MappingTables!$B$19:$C$31,2,FALSE))</f>
        <v>unrated</v>
      </c>
      <c r="K838" s="72">
        <v>9395.5074794172336</v>
      </c>
      <c r="L838" s="70">
        <v>0.08767131788650736</v>
      </c>
      <c r="M838" s="71">
        <f>IF(L838&lt;1,1,L838)</f>
        <v>1</v>
      </c>
      <c r="N838" s="70" t="s">
        <v>141</v>
      </c>
      <c r="O838" s="71">
        <f>INDEX(DurClassMapping,MATCH(M838,MappingTables!$D$4:$D$8,-1),1)</f>
        <v>1</v>
      </c>
      <c r="P838" s="73">
        <f>IF(M838=$A$1,1,$M838-INDEX(MappingTables!$E$4:$E$8,MATCH(O838,MappingTables!$B$4:$B$8,0)))</f>
        <v>1</v>
      </c>
      <c r="Q838" s="71">
        <f>IF(B838="",0,INDEX(ModelParameters!$D$6:$K$10,MATCH($O838,ModelParameters!$B$6:$B$10,0),MATCH($J838,ModelParameters!$D$5:$K$5,0)))</f>
        <v>0.03</v>
      </c>
      <c r="R838" s="71">
        <f>IF(B838="",0,INDEX(ModelParameters!$D$13:$K$17,MATCH($O838,ModelParameters!$B$13:$B$17,0),MATCH($J838,ModelParameters!$D$5:$K$5,0)))</f>
        <v>0</v>
      </c>
      <c r="S838" s="160">
        <f>IF(B838="",0,MIN(IF($N838="Other Bond TM",ModelParameters!$N$21,1)*(P838*Q838+R838),1))</f>
        <v>0.03</v>
      </c>
      <c r="T838" s="85">
        <f>IF(B838="",0,$S838*$K838)</f>
        <v>281.865224382517</v>
      </c>
      <c r="U838" s="85">
        <f>IF(B838="",0,IF(OR(H838=MappingTables!$C$34,H838=MappingTables!$C$35),T838,0))</f>
        <v>0</v>
      </c>
      <c r="V838" s="85">
        <f>IF(ISNA(IF(AND(VLOOKUP(CONCATENATE($D838,$G838),CSRFinput!$B:$E,4,0)=0,OR(H838=MappingTables!$C$34,H838=MappingTables!$C$35)),1,VLOOKUP(CONCATENATE($D838,$G838),CSRFinput!$B:$E,4,0))),0,IF(AND(VLOOKUP(CONCATENATE($D838,$G838),CSRFinput!$B:$E,4,0)=0,OR(H838=MappingTables!$C$34,H838=MappingTables!$C$35)),1,VLOOKUP(CONCATENATE($D838,$G838),CSRFinput!$B:$E,4,0)))</f>
        <v>0.054776304963434752</v>
      </c>
      <c r="W838" s="85">
        <f>IF(B838="",0,+$T838*$V838)</f>
        <v>15.439535489363716</v>
      </c>
      <c r="X838" s="85">
        <f>IF(B838="",0,IF(OR(H838=MappingTables!$C$34,H838=MappingTables!$C$35),W838,0))</f>
        <v>0</v>
      </c>
    </row>
    <row r="839" spans="2:24" s="0" customFormat="0" ht="15">
      <c r="B839" s="69">
        <v>22681324</v>
      </c>
      <c r="C839" s="70" t="s">
        <v>1144</v>
      </c>
      <c r="D839" s="70" t="s">
        <v>1</v>
      </c>
      <c r="E839" s="70" t="s">
        <v>1</v>
      </c>
      <c r="F839" s="70"/>
      <c r="G839" s="70" t="s">
        <v>61</v>
      </c>
      <c r="H839" s="70" t="s">
        <v>178</v>
      </c>
      <c r="I839" s="70" t="s">
        <v>181</v>
      </c>
      <c r="J839" s="71">
        <f>IF(OR(I839=0,I839=""),"unrated",VLOOKUP(I839,MappingTables!$B$19:$C$31,2,FALSE))</f>
        <v>3</v>
      </c>
      <c r="K839" s="72">
        <v>24607.72400129292</v>
      </c>
      <c r="L839" s="70">
        <v>7.6660742707927136</v>
      </c>
      <c r="M839" s="71">
        <f>IF(L839&lt;1,1,L839)</f>
        <v>7.6660742707927136</v>
      </c>
      <c r="N839" s="70" t="s">
        <v>141</v>
      </c>
      <c r="O839" s="71">
        <f>INDEX(DurClassMapping,MATCH(M839,MappingTables!$D$4:$D$8,-1),1)</f>
        <v>2</v>
      </c>
      <c r="P839" s="73">
        <f>IF(M839=$A$1,1,$M839-INDEX(MappingTables!$E$4:$E$8,MATCH(O839,MappingTables!$B$4:$B$8,0)))</f>
        <v>2.6660742707927136</v>
      </c>
      <c r="Q839" s="71">
        <f>IF(B839="",0,INDEX(ModelParameters!$D$6:$K$10,MATCH($O839,ModelParameters!$B$6:$B$10,0),MATCH($J839,ModelParameters!$D$5:$K$5,0)))</f>
        <v>0.015</v>
      </c>
      <c r="R839" s="71">
        <f>IF(B839="",0,INDEX(ModelParameters!$D$13:$K$17,MATCH($O839,ModelParameters!$B$13:$B$17,0),MATCH($J839,ModelParameters!$D$5:$K$5,0)))</f>
        <v>0.125</v>
      </c>
      <c r="S839" s="160">
        <f>IF(B839="",0,MIN(IF($N839="Other Bond TM",ModelParameters!$N$21,1)*(P839*Q839+R839),1))</f>
        <v>0.1649911140618907</v>
      </c>
      <c r="T839" s="85">
        <f>IF(B839="",0,$S839*$K839)</f>
        <v>4060.0557975008456</v>
      </c>
      <c r="U839" s="85">
        <f>IF(B839="",0,IF(OR(H839=MappingTables!$C$34,H839=MappingTables!$C$35),T839,0))</f>
        <v>0</v>
      </c>
      <c r="V839" s="85">
        <f>IF(ISNA(IF(AND(VLOOKUP(CONCATENATE($D839,$G839),CSRFinput!$B:$E,4,0)=0,OR(H839=MappingTables!$C$34,H839=MappingTables!$C$35)),1,VLOOKUP(CONCATENATE($D839,$G839),CSRFinput!$B:$E,4,0))),0,IF(AND(VLOOKUP(CONCATENATE($D839,$G839),CSRFinput!$B:$E,4,0)=0,OR(H839=MappingTables!$C$34,H839=MappingTables!$C$35)),1,VLOOKUP(CONCATENATE($D839,$G839),CSRFinput!$B:$E,4,0)))</f>
        <v>0.054776304963434752</v>
      </c>
      <c r="W839" s="85">
        <f>IF(B839="",0,+$T839*$V839)</f>
        <v>222.39485453246764</v>
      </c>
      <c r="X839" s="85">
        <f>IF(B839="",0,IF(OR(H839=MappingTables!$C$34,H839=MappingTables!$C$35),W839,0))</f>
        <v>0</v>
      </c>
    </row>
    <row r="840" spans="2:24" s="0" customFormat="0" ht="15">
      <c r="B840" s="69">
        <v>4104355</v>
      </c>
      <c r="C840" s="70" t="s">
        <v>965</v>
      </c>
      <c r="D840" s="70" t="s">
        <v>1</v>
      </c>
      <c r="E840" s="70" t="s">
        <v>1</v>
      </c>
      <c r="F840" s="70"/>
      <c r="G840" s="70" t="s">
        <v>61</v>
      </c>
      <c r="H840" s="70" t="s">
        <v>178</v>
      </c>
      <c r="I840" s="70" t="s">
        <v>181</v>
      </c>
      <c r="J840" s="71">
        <f>IF(OR(I840=0,I840=""),"unrated",VLOOKUP(I840,MappingTables!$B$19:$C$31,2,FALSE))</f>
        <v>3</v>
      </c>
      <c r="K840" s="72">
        <v>729.36555315696144</v>
      </c>
      <c r="L840" s="70">
        <v>13.609342519410284</v>
      </c>
      <c r="M840" s="71">
        <f>IF(L840&lt;1,1,L840)</f>
        <v>13.609342519410284</v>
      </c>
      <c r="N840" s="70" t="s">
        <v>141</v>
      </c>
      <c r="O840" s="71">
        <f>INDEX(DurClassMapping,MATCH(M840,MappingTables!$D$4:$D$8,-1),1)</f>
        <v>3</v>
      </c>
      <c r="P840" s="73">
        <f>IF(M840=$A$1,1,$M840-INDEX(MappingTables!$E$4:$E$8,MATCH(O840,MappingTables!$B$4:$B$8,0)))</f>
        <v>3.6093425194102832</v>
      </c>
      <c r="Q840" s="71">
        <f>IF(B840="",0,INDEX(ModelParameters!$D$6:$K$10,MATCH($O840,ModelParameters!$B$6:$B$10,0),MATCH($J840,ModelParameters!$D$5:$K$5,0)))</f>
        <v>0.01</v>
      </c>
      <c r="R840" s="71">
        <f>IF(B840="",0,INDEX(ModelParameters!$D$13:$K$17,MATCH($O840,ModelParameters!$B$13:$B$17,0),MATCH($J840,ModelParameters!$D$5:$K$5,0)))</f>
        <v>0.2</v>
      </c>
      <c r="S840" s="160">
        <f>IF(B840="",0,MIN(IF($N840="Other Bond TM",ModelParameters!$N$21,1)*(P840*Q840+R840),1))</f>
        <v>0.23609342519410284</v>
      </c>
      <c r="T840" s="85">
        <f>IF(B840="",0,$S840*$K840)</f>
        <v>172.19841166341852</v>
      </c>
      <c r="U840" s="85">
        <f>IF(B840="",0,IF(OR(H840=MappingTables!$C$34,H840=MappingTables!$C$35),T840,0))</f>
        <v>0</v>
      </c>
      <c r="V840" s="85">
        <f>IF(ISNA(IF(AND(VLOOKUP(CONCATENATE($D840,$G840),CSRFinput!$B:$E,4,0)=0,OR(H840=MappingTables!$C$34,H840=MappingTables!$C$35)),1,VLOOKUP(CONCATENATE($D840,$G840),CSRFinput!$B:$E,4,0))),0,IF(AND(VLOOKUP(CONCATENATE($D840,$G840),CSRFinput!$B:$E,4,0)=0,OR(H840=MappingTables!$C$34,H840=MappingTables!$C$35)),1,VLOOKUP(CONCATENATE($D840,$G840),CSRFinput!$B:$E,4,0)))</f>
        <v>0.054776304963434752</v>
      </c>
      <c r="W840" s="85">
        <f>IF(B840="",0,+$T840*$V840)</f>
        <v>9.4323927114944912</v>
      </c>
      <c r="X840" s="85">
        <f>IF(B840="",0,IF(OR(H840=MappingTables!$C$34,H840=MappingTables!$C$35),W840,0))</f>
        <v>0</v>
      </c>
    </row>
    <row r="841" spans="2:24" s="0" customFormat="0" ht="15">
      <c r="B841" s="69">
        <v>20231386</v>
      </c>
      <c r="C841" s="70" t="s">
        <v>1145</v>
      </c>
      <c r="D841" s="70" t="s">
        <v>1</v>
      </c>
      <c r="E841" s="70" t="s">
        <v>1</v>
      </c>
      <c r="F841" s="70"/>
      <c r="G841" s="70" t="s">
        <v>61</v>
      </c>
      <c r="H841" s="70" t="s">
        <v>178</v>
      </c>
      <c r="I841" s="70" t="s">
        <v>188</v>
      </c>
      <c r="J841" s="71">
        <f>IF(OR(I841=0,I841=""),"unrated",VLOOKUP(I841,MappingTables!$B$19:$C$31,2,FALSE))</f>
        <v>2</v>
      </c>
      <c r="K841" s="72">
        <v>1856.9882731890728</v>
      </c>
      <c r="L841" s="70">
        <v>17.67557088819957</v>
      </c>
      <c r="M841" s="71">
        <f>IF(L841&lt;1,1,L841)</f>
        <v>17.67557088819957</v>
      </c>
      <c r="N841" s="70" t="s">
        <v>141</v>
      </c>
      <c r="O841" s="71">
        <f>INDEX(DurClassMapping,MATCH(M841,MappingTables!$D$4:$D$8,-1),1)</f>
        <v>4</v>
      </c>
      <c r="P841" s="73">
        <f>IF(M841=$A$1,1,$M841-INDEX(MappingTables!$E$4:$E$8,MATCH(O841,MappingTables!$B$4:$B$8,0)))</f>
        <v>2.6755708881995696</v>
      </c>
      <c r="Q841" s="71">
        <f>IF(B841="",0,INDEX(ModelParameters!$D$6:$K$10,MATCH($O841,ModelParameters!$B$6:$B$10,0),MATCH($J841,ModelParameters!$D$5:$K$5,0)))</f>
        <v>0.005</v>
      </c>
      <c r="R841" s="71">
        <f>IF(B841="",0,INDEX(ModelParameters!$D$13:$K$17,MATCH($O841,ModelParameters!$B$13:$B$17,0),MATCH($J841,ModelParameters!$D$5:$K$5,0)))</f>
        <v>0.13</v>
      </c>
      <c r="S841" s="160">
        <f>IF(B841="",0,MIN(IF($N841="Other Bond TM",ModelParameters!$N$21,1)*(P841*Q841+R841),1))</f>
        <v>0.14337785444099784</v>
      </c>
      <c r="T841" s="85">
        <f>IF(B841="",0,$S841*$K841)</f>
        <v>266.25099433194288</v>
      </c>
      <c r="U841" s="85">
        <f>IF(B841="",0,IF(OR(H841=MappingTables!$C$34,H841=MappingTables!$C$35),T841,0))</f>
        <v>0</v>
      </c>
      <c r="V841" s="85">
        <f>IF(ISNA(IF(AND(VLOOKUP(CONCATENATE($D841,$G841),CSRFinput!$B:$E,4,0)=0,OR(H841=MappingTables!$C$34,H841=MappingTables!$C$35)),1,VLOOKUP(CONCATENATE($D841,$G841),CSRFinput!$B:$E,4,0))),0,IF(AND(VLOOKUP(CONCATENATE($D841,$G841),CSRFinput!$B:$E,4,0)=0,OR(H841=MappingTables!$C$34,H841=MappingTables!$C$35)),1,VLOOKUP(CONCATENATE($D841,$G841),CSRFinput!$B:$E,4,0)))</f>
        <v>0.054776304963434752</v>
      </c>
      <c r="W841" s="85">
        <f>IF(B841="",0,+$T841*$V841)</f>
        <v>14.58424566234424</v>
      </c>
      <c r="X841" s="85">
        <f>IF(B841="",0,IF(OR(H841=MappingTables!$C$34,H841=MappingTables!$C$35),W841,0))</f>
        <v>0</v>
      </c>
    </row>
    <row r="842" spans="2:24" s="0" customFormat="0" ht="15">
      <c r="B842" s="69">
        <v>23298166</v>
      </c>
      <c r="C842" s="70" t="s">
        <v>1146</v>
      </c>
      <c r="D842" s="70" t="s">
        <v>1</v>
      </c>
      <c r="E842" s="70" t="s">
        <v>1</v>
      </c>
      <c r="F842" s="70"/>
      <c r="G842" s="70" t="s">
        <v>61</v>
      </c>
      <c r="H842" s="70" t="s">
        <v>178</v>
      </c>
      <c r="I842" s="70" t="s">
        <v>181</v>
      </c>
      <c r="J842" s="71">
        <f>IF(OR(I842=0,I842=""),"unrated",VLOOKUP(I842,MappingTables!$B$19:$C$31,2,FALSE))</f>
        <v>3</v>
      </c>
      <c r="K842" s="72">
        <v>683.56245567838616</v>
      </c>
      <c r="L842" s="70">
        <v>1.4136929559253928</v>
      </c>
      <c r="M842" s="71">
        <f>IF(L842&lt;1,1,L842)</f>
        <v>1.4136929559253928</v>
      </c>
      <c r="N842" s="70" t="s">
        <v>141</v>
      </c>
      <c r="O842" s="71">
        <f>INDEX(DurClassMapping,MATCH(M842,MappingTables!$D$4:$D$8,-1),1)</f>
        <v>1</v>
      </c>
      <c r="P842" s="73">
        <f>IF(M842=$A$1,1,$M842-INDEX(MappingTables!$E$4:$E$8,MATCH(O842,MappingTables!$B$4:$B$8,0)))</f>
        <v>1.4136929559253928</v>
      </c>
      <c r="Q842" s="71">
        <f>IF(B842="",0,INDEX(ModelParameters!$D$6:$K$10,MATCH($O842,ModelParameters!$B$6:$B$10,0),MATCH($J842,ModelParameters!$D$5:$K$5,0)))</f>
        <v>0.025</v>
      </c>
      <c r="R842" s="71">
        <f>IF(B842="",0,INDEX(ModelParameters!$D$13:$K$17,MATCH($O842,ModelParameters!$B$13:$B$17,0),MATCH($J842,ModelParameters!$D$5:$K$5,0)))</f>
        <v>0</v>
      </c>
      <c r="S842" s="160">
        <f>IF(B842="",0,MIN(IF($N842="Other Bond TM",ModelParameters!$N$21,1)*(P842*Q842+R842),1))</f>
        <v>0.03534232389813482</v>
      </c>
      <c r="T842" s="85">
        <f>IF(B842="",0,$S842*$K842)</f>
        <v>24.158685713189948</v>
      </c>
      <c r="U842" s="85">
        <f>IF(B842="",0,IF(OR(H842=MappingTables!$C$34,H842=MappingTables!$C$35),T842,0))</f>
        <v>0</v>
      </c>
      <c r="V842" s="85">
        <f>IF(ISNA(IF(AND(VLOOKUP(CONCATENATE($D842,$G842),CSRFinput!$B:$E,4,0)=0,OR(H842=MappingTables!$C$34,H842=MappingTables!$C$35)),1,VLOOKUP(CONCATENATE($D842,$G842),CSRFinput!$B:$E,4,0))),0,IF(AND(VLOOKUP(CONCATENATE($D842,$G842),CSRFinput!$B:$E,4,0)=0,OR(H842=MappingTables!$C$34,H842=MappingTables!$C$35)),1,VLOOKUP(CONCATENATE($D842,$G842),CSRFinput!$B:$E,4,0)))</f>
        <v>0.054776304963434752</v>
      </c>
      <c r="W842" s="85">
        <f>IF(B842="",0,+$T842*$V842)</f>
        <v>1.323323536141467</v>
      </c>
      <c r="X842" s="85">
        <f>IF(B842="",0,IF(OR(H842=MappingTables!$C$34,H842=MappingTables!$C$35),W842,0))</f>
        <v>0</v>
      </c>
    </row>
    <row r="843" spans="2:24" s="0" customFormat="0" ht="15">
      <c r="B843" s="69" t="s">
        <v>1147</v>
      </c>
      <c r="C843" s="70" t="s">
        <v>1148</v>
      </c>
      <c r="D843" s="70" t="s">
        <v>1</v>
      </c>
      <c r="E843" s="70" t="s">
        <v>1</v>
      </c>
      <c r="F843" s="70"/>
      <c r="G843" s="70" t="s">
        <v>61</v>
      </c>
      <c r="H843" s="70" t="s">
        <v>178</v>
      </c>
      <c r="I843" s="70" t="s">
        <v>179</v>
      </c>
      <c r="J843" s="71">
        <f>IF(OR(I843=0,I843=""),"unrated",VLOOKUP(I843,MappingTables!$B$19:$C$31,2,FALSE))</f>
        <v>4</v>
      </c>
      <c r="K843" s="72">
        <v>100583.70046503658</v>
      </c>
      <c r="L843" s="70">
        <v>8.8387969069977664</v>
      </c>
      <c r="M843" s="71">
        <f>IF(L843&lt;1,1,L843)</f>
        <v>8.8387969069977664</v>
      </c>
      <c r="N843" s="70" t="s">
        <v>141</v>
      </c>
      <c r="O843" s="71">
        <f>INDEX(DurClassMapping,MATCH(M843,MappingTables!$D$4:$D$8,-1),1)</f>
        <v>2</v>
      </c>
      <c r="P843" s="73">
        <f>IF(M843=$A$1,1,$M843-INDEX(MappingTables!$E$4:$E$8,MATCH(O843,MappingTables!$B$4:$B$8,0)))</f>
        <v>3.8387969069977664</v>
      </c>
      <c r="Q843" s="71">
        <f>IF(B843="",0,INDEX(ModelParameters!$D$6:$K$10,MATCH($O843,ModelParameters!$B$6:$B$10,0),MATCH($J843,ModelParameters!$D$5:$K$5,0)))</f>
        <v>0.025</v>
      </c>
      <c r="R843" s="71">
        <f>IF(B843="",0,INDEX(ModelParameters!$D$13:$K$17,MATCH($O843,ModelParameters!$B$13:$B$17,0),MATCH($J843,ModelParameters!$D$5:$K$5,0)))</f>
        <v>0.225</v>
      </c>
      <c r="S843" s="160">
        <f>IF(B843="",0,MIN(IF($N843="Other Bond TM",ModelParameters!$N$21,1)*(P843*Q843+R843),1))</f>
        <v>0.32096992267494416</v>
      </c>
      <c r="T843" s="85">
        <f>IF(B843="",0,$S843*$K843)</f>
        <v>32284.342560622536</v>
      </c>
      <c r="U843" s="85">
        <f>IF(B843="",0,IF(OR(H843=MappingTables!$C$34,H843=MappingTables!$C$35),T843,0))</f>
        <v>0</v>
      </c>
      <c r="V843" s="85">
        <f>IF(ISNA(IF(AND(VLOOKUP(CONCATENATE($D843,$G843),CSRFinput!$B:$E,4,0)=0,OR(H843=MappingTables!$C$34,H843=MappingTables!$C$35)),1,VLOOKUP(CONCATENATE($D843,$G843),CSRFinput!$B:$E,4,0))),0,IF(AND(VLOOKUP(CONCATENATE($D843,$G843),CSRFinput!$B:$E,4,0)=0,OR(H843=MappingTables!$C$34,H843=MappingTables!$C$35)),1,VLOOKUP(CONCATENATE($D843,$G843),CSRFinput!$B:$E,4,0)))</f>
        <v>0.054776304963434752</v>
      </c>
      <c r="W843" s="85">
        <f>IF(B843="",0,+$T843*$V843)</f>
        <v>1768.416993644656</v>
      </c>
      <c r="X843" s="85">
        <f>IF(B843="",0,IF(OR(H843=MappingTables!$C$34,H843=MappingTables!$C$35),W843,0))</f>
        <v>0</v>
      </c>
    </row>
    <row r="844" spans="2:24" s="0" customFormat="0" ht="15">
      <c r="B844" s="69">
        <v>7514613</v>
      </c>
      <c r="C844" s="70" t="s">
        <v>295</v>
      </c>
      <c r="D844" s="70" t="s">
        <v>1</v>
      </c>
      <c r="E844" s="70" t="s">
        <v>1</v>
      </c>
      <c r="F844" s="70"/>
      <c r="G844" s="70" t="s">
        <v>61</v>
      </c>
      <c r="H844" s="70" t="s">
        <v>178</v>
      </c>
      <c r="I844" s="70" t="s">
        <v>179</v>
      </c>
      <c r="J844" s="71">
        <f>IF(OR(I844=0,I844=""),"unrated",VLOOKUP(I844,MappingTables!$B$19:$C$31,2,FALSE))</f>
        <v>4</v>
      </c>
      <c r="K844" s="72">
        <v>1593.5713826995996</v>
      </c>
      <c r="L844" s="70">
        <v>2.8129913448715144</v>
      </c>
      <c r="M844" s="71">
        <f>IF(L844&lt;1,1,L844)</f>
        <v>2.8129913448715144</v>
      </c>
      <c r="N844" s="70" t="s">
        <v>141</v>
      </c>
      <c r="O844" s="71">
        <f>INDEX(DurClassMapping,MATCH(M844,MappingTables!$D$4:$D$8,-1),1)</f>
        <v>1</v>
      </c>
      <c r="P844" s="73">
        <f>IF(M844=$A$1,1,$M844-INDEX(MappingTables!$E$4:$E$8,MATCH(O844,MappingTables!$B$4:$B$8,0)))</f>
        <v>2.8129913448715144</v>
      </c>
      <c r="Q844" s="71">
        <f>IF(B844="",0,INDEX(ModelParameters!$D$6:$K$10,MATCH($O844,ModelParameters!$B$6:$B$10,0),MATCH($J844,ModelParameters!$D$5:$K$5,0)))</f>
        <v>0.045</v>
      </c>
      <c r="R844" s="71">
        <f>IF(B844="",0,INDEX(ModelParameters!$D$13:$K$17,MATCH($O844,ModelParameters!$B$13:$B$17,0),MATCH($J844,ModelParameters!$D$5:$K$5,0)))</f>
        <v>0</v>
      </c>
      <c r="S844" s="160">
        <f>IF(B844="",0,MIN(IF($N844="Other Bond TM",ModelParameters!$N$21,1)*(P844*Q844+R844),1))</f>
        <v>0.12658461051921812</v>
      </c>
      <c r="T844" s="85">
        <f>IF(B844="",0,$S844*$K844)</f>
        <v>201.72161281360072</v>
      </c>
      <c r="U844" s="85">
        <f>IF(B844="",0,IF(OR(H844=MappingTables!$C$34,H844=MappingTables!$C$35),T844,0))</f>
        <v>0</v>
      </c>
      <c r="V844" s="85">
        <f>IF(ISNA(IF(AND(VLOOKUP(CONCATENATE($D844,$G844),CSRFinput!$B:$E,4,0)=0,OR(H844=MappingTables!$C$34,H844=MappingTables!$C$35)),1,VLOOKUP(CONCATENATE($D844,$G844),CSRFinput!$B:$E,4,0))),0,IF(AND(VLOOKUP(CONCATENATE($D844,$G844),CSRFinput!$B:$E,4,0)=0,OR(H844=MappingTables!$C$34,H844=MappingTables!$C$35)),1,VLOOKUP(CONCATENATE($D844,$G844),CSRFinput!$B:$E,4,0)))</f>
        <v>0.054776304963434752</v>
      </c>
      <c r="W844" s="85">
        <f>IF(B844="",0,+$T844*$V844)</f>
        <v>11.0495645811937</v>
      </c>
      <c r="X844" s="85">
        <f>IF(B844="",0,IF(OR(H844=MappingTables!$C$34,H844=MappingTables!$C$35),W844,0))</f>
        <v>0</v>
      </c>
    </row>
    <row r="845" spans="2:24" s="0" customFormat="0" ht="15">
      <c r="B845" s="69">
        <v>11911985</v>
      </c>
      <c r="C845" s="70" t="s">
        <v>1149</v>
      </c>
      <c r="D845" s="70" t="s">
        <v>1</v>
      </c>
      <c r="E845" s="70" t="s">
        <v>1</v>
      </c>
      <c r="F845" s="70"/>
      <c r="G845" s="70" t="s">
        <v>61</v>
      </c>
      <c r="H845" s="70" t="s">
        <v>178</v>
      </c>
      <c r="I845" s="70" t="s">
        <v>188</v>
      </c>
      <c r="J845" s="71">
        <f>IF(OR(I845=0,I845=""),"unrated",VLOOKUP(I845,MappingTables!$B$19:$C$31,2,FALSE))</f>
        <v>2</v>
      </c>
      <c r="K845" s="72">
        <v>79.198633090727184</v>
      </c>
      <c r="L845" s="70">
        <v>0.27885348729290892</v>
      </c>
      <c r="M845" s="71">
        <f>IF(L845&lt;1,1,L845)</f>
        <v>1</v>
      </c>
      <c r="N845" s="70" t="s">
        <v>141</v>
      </c>
      <c r="O845" s="71">
        <f>INDEX(DurClassMapping,MATCH(M845,MappingTables!$D$4:$D$8,-1),1)</f>
        <v>1</v>
      </c>
      <c r="P845" s="73">
        <f>IF(M845=$A$1,1,$M845-INDEX(MappingTables!$E$4:$E$8,MATCH(O845,MappingTables!$B$4:$B$8,0)))</f>
        <v>1</v>
      </c>
      <c r="Q845" s="71">
        <f>IF(B845="",0,INDEX(ModelParameters!$D$6:$K$10,MATCH($O845,ModelParameters!$B$6:$B$10,0),MATCH($J845,ModelParameters!$D$5:$K$5,0)))</f>
        <v>0.013999999999999998</v>
      </c>
      <c r="R845" s="71">
        <f>IF(B845="",0,INDEX(ModelParameters!$D$13:$K$17,MATCH($O845,ModelParameters!$B$13:$B$17,0),MATCH($J845,ModelParameters!$D$5:$K$5,0)))</f>
        <v>0</v>
      </c>
      <c r="S845" s="160">
        <f>IF(B845="",0,MIN(IF($N845="Other Bond TM",ModelParameters!$N$21,1)*(P845*Q845+R845),1))</f>
        <v>0.013999999999999998</v>
      </c>
      <c r="T845" s="85">
        <f>IF(B845="",0,$S845*$K845)</f>
        <v>1.1087808632701806</v>
      </c>
      <c r="U845" s="85">
        <f>IF(B845="",0,IF(OR(H845=MappingTables!$C$34,H845=MappingTables!$C$35),T845,0))</f>
        <v>0</v>
      </c>
      <c r="V845" s="85">
        <f>IF(ISNA(IF(AND(VLOOKUP(CONCATENATE($D845,$G845),CSRFinput!$B:$E,4,0)=0,OR(H845=MappingTables!$C$34,H845=MappingTables!$C$35)),1,VLOOKUP(CONCATENATE($D845,$G845),CSRFinput!$B:$E,4,0))),0,IF(AND(VLOOKUP(CONCATENATE($D845,$G845),CSRFinput!$B:$E,4,0)=0,OR(H845=MappingTables!$C$34,H845=MappingTables!$C$35)),1,VLOOKUP(CONCATENATE($D845,$G845),CSRFinput!$B:$E,4,0)))</f>
        <v>0.054776304963434752</v>
      </c>
      <c r="W845" s="85">
        <f>IF(B845="",0,+$T845*$V845)</f>
        <v>0.060734918704107864</v>
      </c>
      <c r="X845" s="85">
        <f>IF(B845="",0,IF(OR(H845=MappingTables!$C$34,H845=MappingTables!$C$35),W845,0))</f>
        <v>0</v>
      </c>
    </row>
    <row r="846" spans="2:24" s="0" customFormat="0" ht="15">
      <c r="B846" s="69" t="s">
        <v>250</v>
      </c>
      <c r="C846" s="70" t="s">
        <v>251</v>
      </c>
      <c r="D846" s="70" t="s">
        <v>1</v>
      </c>
      <c r="E846" s="70" t="s">
        <v>1</v>
      </c>
      <c r="F846" s="70"/>
      <c r="G846" s="70" t="s">
        <v>61</v>
      </c>
      <c r="H846" s="70" t="s">
        <v>178</v>
      </c>
      <c r="I846" s="70" t="s">
        <v>181</v>
      </c>
      <c r="J846" s="71">
        <f>IF(OR(I846=0,I846=""),"unrated",VLOOKUP(I846,MappingTables!$B$19:$C$31,2,FALSE))</f>
        <v>3</v>
      </c>
      <c r="K846" s="72">
        <v>333.88069642557644</v>
      </c>
      <c r="L846" s="70">
        <v>7.9088073197943568</v>
      </c>
      <c r="M846" s="71">
        <f>IF(L846&lt;1,1,L846)</f>
        <v>7.9088073197943568</v>
      </c>
      <c r="N846" s="70" t="s">
        <v>141</v>
      </c>
      <c r="O846" s="71">
        <f>INDEX(DurClassMapping,MATCH(M846,MappingTables!$D$4:$D$8,-1),1)</f>
        <v>2</v>
      </c>
      <c r="P846" s="73">
        <f>IF(M846=$A$1,1,$M846-INDEX(MappingTables!$E$4:$E$8,MATCH(O846,MappingTables!$B$4:$B$8,0)))</f>
        <v>2.9088073197943568</v>
      </c>
      <c r="Q846" s="71">
        <f>IF(B846="",0,INDEX(ModelParameters!$D$6:$K$10,MATCH($O846,ModelParameters!$B$6:$B$10,0),MATCH($J846,ModelParameters!$D$5:$K$5,0)))</f>
        <v>0.015</v>
      </c>
      <c r="R846" s="71">
        <f>IF(B846="",0,INDEX(ModelParameters!$D$13:$K$17,MATCH($O846,ModelParameters!$B$13:$B$17,0),MATCH($J846,ModelParameters!$D$5:$K$5,0)))</f>
        <v>0.125</v>
      </c>
      <c r="S846" s="160">
        <f>IF(B846="",0,MIN(IF($N846="Other Bond TM",ModelParameters!$N$21,1)*(P846*Q846+R846),1))</f>
        <v>0.16863210979691534</v>
      </c>
      <c r="T846" s="85">
        <f>IF(B846="",0,$S846*$K846)</f>
        <v>56.303006258708368</v>
      </c>
      <c r="U846" s="85">
        <f>IF(B846="",0,IF(OR(H846=MappingTables!$C$34,H846=MappingTables!$C$35),T846,0))</f>
        <v>0</v>
      </c>
      <c r="V846" s="85">
        <f>IF(ISNA(IF(AND(VLOOKUP(CONCATENATE($D846,$G846),CSRFinput!$B:$E,4,0)=0,OR(H846=MappingTables!$C$34,H846=MappingTables!$C$35)),1,VLOOKUP(CONCATENATE($D846,$G846),CSRFinput!$B:$E,4,0))),0,IF(AND(VLOOKUP(CONCATENATE($D846,$G846),CSRFinput!$B:$E,4,0)=0,OR(H846=MappingTables!$C$34,H846=MappingTables!$C$35)),1,VLOOKUP(CONCATENATE($D846,$G846),CSRFinput!$B:$E,4,0)))</f>
        <v>0.054776304963434752</v>
      </c>
      <c r="W846" s="85">
        <f>IF(B846="",0,+$T846*$V846)</f>
        <v>3.0840706411851852</v>
      </c>
      <c r="X846" s="85">
        <f>IF(B846="",0,IF(OR(H846=MappingTables!$C$34,H846=MappingTables!$C$35),W846,0))</f>
        <v>0</v>
      </c>
    </row>
    <row r="847" spans="2:24" s="0" customFormat="0" ht="15">
      <c r="B847" s="69">
        <v>24867329</v>
      </c>
      <c r="C847" s="70" t="s">
        <v>1150</v>
      </c>
      <c r="D847" s="70" t="s">
        <v>1</v>
      </c>
      <c r="E847" s="70" t="s">
        <v>1</v>
      </c>
      <c r="F847" s="70"/>
      <c r="G847" s="70" t="s">
        <v>61</v>
      </c>
      <c r="H847" s="70" t="s">
        <v>178</v>
      </c>
      <c r="I847" s="70" t="s">
        <v>181</v>
      </c>
      <c r="J847" s="71">
        <f>IF(OR(I847=0,I847=""),"unrated",VLOOKUP(I847,MappingTables!$B$19:$C$31,2,FALSE))</f>
        <v>3</v>
      </c>
      <c r="K847" s="72">
        <v>648.87719958419776</v>
      </c>
      <c r="L847" s="70">
        <v>0.85443256570207872</v>
      </c>
      <c r="M847" s="71">
        <f>IF(L847&lt;1,1,L847)</f>
        <v>1</v>
      </c>
      <c r="N847" s="70" t="s">
        <v>141</v>
      </c>
      <c r="O847" s="71">
        <f>INDEX(DurClassMapping,MATCH(M847,MappingTables!$D$4:$D$8,-1),1)</f>
        <v>1</v>
      </c>
      <c r="P847" s="73">
        <f>IF(M847=$A$1,1,$M847-INDEX(MappingTables!$E$4:$E$8,MATCH(O847,MappingTables!$B$4:$B$8,0)))</f>
        <v>1</v>
      </c>
      <c r="Q847" s="71">
        <f>IF(B847="",0,INDEX(ModelParameters!$D$6:$K$10,MATCH($O847,ModelParameters!$B$6:$B$10,0),MATCH($J847,ModelParameters!$D$5:$K$5,0)))</f>
        <v>0.025</v>
      </c>
      <c r="R847" s="71">
        <f>IF(B847="",0,INDEX(ModelParameters!$D$13:$K$17,MATCH($O847,ModelParameters!$B$13:$B$17,0),MATCH($J847,ModelParameters!$D$5:$K$5,0)))</f>
        <v>0</v>
      </c>
      <c r="S847" s="160">
        <f>IF(B847="",0,MIN(IF($N847="Other Bond TM",ModelParameters!$N$21,1)*(P847*Q847+R847),1))</f>
        <v>0.025</v>
      </c>
      <c r="T847" s="85">
        <f>IF(B847="",0,$S847*$K847)</f>
        <v>16.221929989604944</v>
      </c>
      <c r="U847" s="85">
        <f>IF(B847="",0,IF(OR(H847=MappingTables!$C$34,H847=MappingTables!$C$35),T847,0))</f>
        <v>0</v>
      </c>
      <c r="V847" s="85">
        <f>IF(ISNA(IF(AND(VLOOKUP(CONCATENATE($D847,$G847),CSRFinput!$B:$E,4,0)=0,OR(H847=MappingTables!$C$34,H847=MappingTables!$C$35)),1,VLOOKUP(CONCATENATE($D847,$G847),CSRFinput!$B:$E,4,0))),0,IF(AND(VLOOKUP(CONCATENATE($D847,$G847),CSRFinput!$B:$E,4,0)=0,OR(H847=MappingTables!$C$34,H847=MappingTables!$C$35)),1,VLOOKUP(CONCATENATE($D847,$G847),CSRFinput!$B:$E,4,0)))</f>
        <v>0.054776304963434752</v>
      </c>
      <c r="W847" s="85">
        <f>IF(B847="",0,+$T847*$V847)</f>
        <v>0.88857738420608848</v>
      </c>
      <c r="X847" s="85">
        <f>IF(B847="",0,IF(OR(H847=MappingTables!$C$34,H847=MappingTables!$C$35),W847,0))</f>
        <v>0</v>
      </c>
    </row>
    <row r="848" spans="2:24" s="0" customFormat="0" ht="15">
      <c r="B848" s="69">
        <v>16139755</v>
      </c>
      <c r="C848" s="70" t="s">
        <v>1151</v>
      </c>
      <c r="D848" s="70" t="s">
        <v>1</v>
      </c>
      <c r="E848" s="70" t="s">
        <v>1</v>
      </c>
      <c r="F848" s="70"/>
      <c r="G848" s="70" t="s">
        <v>61</v>
      </c>
      <c r="H848" s="70" t="s">
        <v>178</v>
      </c>
      <c r="I848" s="70" t="s">
        <v>181</v>
      </c>
      <c r="J848" s="71">
        <f>IF(OR(I848=0,I848=""),"unrated",VLOOKUP(I848,MappingTables!$B$19:$C$31,2,FALSE))</f>
        <v>3</v>
      </c>
      <c r="K848" s="72">
        <v>295.48284045934444</v>
      </c>
      <c r="L848" s="70">
        <v>0.28492932659045196</v>
      </c>
      <c r="M848" s="71">
        <f>IF(L848&lt;1,1,L848)</f>
        <v>1</v>
      </c>
      <c r="N848" s="70" t="s">
        <v>141</v>
      </c>
      <c r="O848" s="71">
        <f>INDEX(DurClassMapping,MATCH(M848,MappingTables!$D$4:$D$8,-1),1)</f>
        <v>1</v>
      </c>
      <c r="P848" s="73">
        <f>IF(M848=$A$1,1,$M848-INDEX(MappingTables!$E$4:$E$8,MATCH(O848,MappingTables!$B$4:$B$8,0)))</f>
        <v>1</v>
      </c>
      <c r="Q848" s="71">
        <f>IF(B848="",0,INDEX(ModelParameters!$D$6:$K$10,MATCH($O848,ModelParameters!$B$6:$B$10,0),MATCH($J848,ModelParameters!$D$5:$K$5,0)))</f>
        <v>0.025</v>
      </c>
      <c r="R848" s="71">
        <f>IF(B848="",0,INDEX(ModelParameters!$D$13:$K$17,MATCH($O848,ModelParameters!$B$13:$B$17,0),MATCH($J848,ModelParameters!$D$5:$K$5,0)))</f>
        <v>0</v>
      </c>
      <c r="S848" s="160">
        <f>IF(B848="",0,MIN(IF($N848="Other Bond TM",ModelParameters!$N$21,1)*(P848*Q848+R848),1))</f>
        <v>0.025</v>
      </c>
      <c r="T848" s="85">
        <f>IF(B848="",0,$S848*$K848)</f>
        <v>7.3870710114836128</v>
      </c>
      <c r="U848" s="85">
        <f>IF(B848="",0,IF(OR(H848=MappingTables!$C$34,H848=MappingTables!$C$35),T848,0))</f>
        <v>0</v>
      </c>
      <c r="V848" s="85">
        <f>IF(ISNA(IF(AND(VLOOKUP(CONCATENATE($D848,$G848),CSRFinput!$B:$E,4,0)=0,OR(H848=MappingTables!$C$34,H848=MappingTables!$C$35)),1,VLOOKUP(CONCATENATE($D848,$G848),CSRFinput!$B:$E,4,0))),0,IF(AND(VLOOKUP(CONCATENATE($D848,$G848),CSRFinput!$B:$E,4,0)=0,OR(H848=MappingTables!$C$34,H848=MappingTables!$C$35)),1,VLOOKUP(CONCATENATE($D848,$G848),CSRFinput!$B:$E,4,0)))</f>
        <v>0.054776304963434752</v>
      </c>
      <c r="W848" s="85">
        <f>IF(B848="",0,+$T848*$V848)</f>
        <v>0.4046364545115748</v>
      </c>
      <c r="X848" s="85">
        <f>IF(B848="",0,IF(OR(H848=MappingTables!$C$34,H848=MappingTables!$C$35),W848,0))</f>
        <v>0</v>
      </c>
    </row>
    <row r="849" spans="2:24" s="0" customFormat="0" ht="15">
      <c r="B849" s="69">
        <v>21550423</v>
      </c>
      <c r="C849" s="70" t="s">
        <v>1152</v>
      </c>
      <c r="D849" s="70" t="s">
        <v>1</v>
      </c>
      <c r="E849" s="70" t="s">
        <v>1</v>
      </c>
      <c r="F849" s="70"/>
      <c r="G849" s="70" t="s">
        <v>61</v>
      </c>
      <c r="H849" s="70" t="s">
        <v>178</v>
      </c>
      <c r="I849" s="70" t="s">
        <v>188</v>
      </c>
      <c r="J849" s="71">
        <f>IF(OR(I849=0,I849=""),"unrated",VLOOKUP(I849,MappingTables!$B$19:$C$31,2,FALSE))</f>
        <v>2</v>
      </c>
      <c r="K849" s="72">
        <v>11.11728936292462</v>
      </c>
      <c r="L849" s="70">
        <v>0.73144164058334416</v>
      </c>
      <c r="M849" s="71">
        <f>IF(L849&lt;1,1,L849)</f>
        <v>1</v>
      </c>
      <c r="N849" s="70" t="s">
        <v>141</v>
      </c>
      <c r="O849" s="71">
        <f>INDEX(DurClassMapping,MATCH(M849,MappingTables!$D$4:$D$8,-1),1)</f>
        <v>1</v>
      </c>
      <c r="P849" s="73">
        <f>IF(M849=$A$1,1,$M849-INDEX(MappingTables!$E$4:$E$8,MATCH(O849,MappingTables!$B$4:$B$8,0)))</f>
        <v>1</v>
      </c>
      <c r="Q849" s="71">
        <f>IF(B849="",0,INDEX(ModelParameters!$D$6:$K$10,MATCH($O849,ModelParameters!$B$6:$B$10,0),MATCH($J849,ModelParameters!$D$5:$K$5,0)))</f>
        <v>0.013999999999999998</v>
      </c>
      <c r="R849" s="71">
        <f>IF(B849="",0,INDEX(ModelParameters!$D$13:$K$17,MATCH($O849,ModelParameters!$B$13:$B$17,0),MATCH($J849,ModelParameters!$D$5:$K$5,0)))</f>
        <v>0</v>
      </c>
      <c r="S849" s="160">
        <f>IF(B849="",0,MIN(IF($N849="Other Bond TM",ModelParameters!$N$21,1)*(P849*Q849+R849),1))</f>
        <v>0.013999999999999998</v>
      </c>
      <c r="T849" s="85">
        <f>IF(B849="",0,$S849*$K849)</f>
        <v>0.15564205108094468</v>
      </c>
      <c r="U849" s="85">
        <f>IF(B849="",0,IF(OR(H849=MappingTables!$C$34,H849=MappingTables!$C$35),T849,0))</f>
        <v>0</v>
      </c>
      <c r="V849" s="85">
        <f>IF(ISNA(IF(AND(VLOOKUP(CONCATENATE($D849,$G849),CSRFinput!$B:$E,4,0)=0,OR(H849=MappingTables!$C$34,H849=MappingTables!$C$35)),1,VLOOKUP(CONCATENATE($D849,$G849),CSRFinput!$B:$E,4,0))),0,IF(AND(VLOOKUP(CONCATENATE($D849,$G849),CSRFinput!$B:$E,4,0)=0,OR(H849=MappingTables!$C$34,H849=MappingTables!$C$35)),1,VLOOKUP(CONCATENATE($D849,$G849),CSRFinput!$B:$E,4,0)))</f>
        <v>0.054776304963434752</v>
      </c>
      <c r="W849" s="85">
        <f>IF(B849="",0,+$T849*$V849)</f>
        <v>0.0085254964551443152</v>
      </c>
      <c r="X849" s="85">
        <f>IF(B849="",0,IF(OR(H849=MappingTables!$C$34,H849=MappingTables!$C$35),W849,0))</f>
        <v>0</v>
      </c>
    </row>
    <row r="850" spans="2:24" s="0" customFormat="0" ht="15">
      <c r="B850" s="69" t="s">
        <v>1153</v>
      </c>
      <c r="C850" s="70" t="s">
        <v>1154</v>
      </c>
      <c r="D850" s="70" t="s">
        <v>1</v>
      </c>
      <c r="E850" s="70" t="s">
        <v>1</v>
      </c>
      <c r="F850" s="70"/>
      <c r="G850" s="70" t="s">
        <v>61</v>
      </c>
      <c r="H850" s="70" t="s">
        <v>178</v>
      </c>
      <c r="I850" s="70" t="s">
        <v>181</v>
      </c>
      <c r="J850" s="71">
        <f>IF(OR(I850=0,I850=""),"unrated",VLOOKUP(I850,MappingTables!$B$19:$C$31,2,FALSE))</f>
        <v>3</v>
      </c>
      <c r="K850" s="72">
        <v>128.69627100899658</v>
      </c>
      <c r="L850" s="70">
        <v>5.6701187873559976</v>
      </c>
      <c r="M850" s="71">
        <f>IF(L850&lt;1,1,L850)</f>
        <v>5.6701187873559976</v>
      </c>
      <c r="N850" s="70" t="s">
        <v>141</v>
      </c>
      <c r="O850" s="71">
        <f>INDEX(DurClassMapping,MATCH(M850,MappingTables!$D$4:$D$8,-1),1)</f>
        <v>2</v>
      </c>
      <c r="P850" s="73">
        <f>IF(M850=$A$1,1,$M850-INDEX(MappingTables!$E$4:$E$8,MATCH(O850,MappingTables!$B$4:$B$8,0)))</f>
        <v>0.67011878735599776</v>
      </c>
      <c r="Q850" s="71">
        <f>IF(B850="",0,INDEX(ModelParameters!$D$6:$K$10,MATCH($O850,ModelParameters!$B$6:$B$10,0),MATCH($J850,ModelParameters!$D$5:$K$5,0)))</f>
        <v>0.015</v>
      </c>
      <c r="R850" s="71">
        <f>IF(B850="",0,INDEX(ModelParameters!$D$13:$K$17,MATCH($O850,ModelParameters!$B$13:$B$17,0),MATCH($J850,ModelParameters!$D$5:$K$5,0)))</f>
        <v>0.125</v>
      </c>
      <c r="S850" s="160">
        <f>IF(B850="",0,MIN(IF($N850="Other Bond TM",ModelParameters!$N$21,1)*(P850*Q850+R850),1))</f>
        <v>0.13505178181033998</v>
      </c>
      <c r="T850" s="85">
        <f>IF(B850="",0,$S850*$K850)</f>
        <v>17.380660712111386</v>
      </c>
      <c r="U850" s="85">
        <f>IF(B850="",0,IF(OR(H850=MappingTables!$C$34,H850=MappingTables!$C$35),T850,0))</f>
        <v>0</v>
      </c>
      <c r="V850" s="85">
        <f>IF(ISNA(IF(AND(VLOOKUP(CONCATENATE($D850,$G850),CSRFinput!$B:$E,4,0)=0,OR(H850=MappingTables!$C$34,H850=MappingTables!$C$35)),1,VLOOKUP(CONCATENATE($D850,$G850),CSRFinput!$B:$E,4,0))),0,IF(AND(VLOOKUP(CONCATENATE($D850,$G850),CSRFinput!$B:$E,4,0)=0,OR(H850=MappingTables!$C$34,H850=MappingTables!$C$35)),1,VLOOKUP(CONCATENATE($D850,$G850),CSRFinput!$B:$E,4,0)))</f>
        <v>0.054776304963434752</v>
      </c>
      <c r="W850" s="85">
        <f>IF(B850="",0,+$T850*$V850)</f>
        <v>0.9520483716326024</v>
      </c>
      <c r="X850" s="85">
        <f>IF(B850="",0,IF(OR(H850=MappingTables!$C$34,H850=MappingTables!$C$35),W850,0))</f>
        <v>0</v>
      </c>
    </row>
    <row r="851" spans="2:24" s="0" customFormat="0" ht="15">
      <c r="B851" s="69" t="s">
        <v>1155</v>
      </c>
      <c r="C851" s="70" t="s">
        <v>1156</v>
      </c>
      <c r="D851" s="70" t="s">
        <v>1</v>
      </c>
      <c r="E851" s="70" t="s">
        <v>1</v>
      </c>
      <c r="F851" s="70"/>
      <c r="G851" s="70" t="s">
        <v>61</v>
      </c>
      <c r="H851" s="70" t="s">
        <v>178</v>
      </c>
      <c r="I851" s="70" t="s">
        <v>220</v>
      </c>
      <c r="J851" s="71">
        <f>IF(OR(I851=0,I851=""),"unrated",VLOOKUP(I851,MappingTables!$B$19:$C$31,2,FALSE))</f>
        <v>1</v>
      </c>
      <c r="K851" s="72">
        <v>212.47417856104568</v>
      </c>
      <c r="L851" s="70">
        <v>18.913610756303212</v>
      </c>
      <c r="M851" s="71">
        <f>IF(L851&lt;1,1,L851)</f>
        <v>18.913610756303212</v>
      </c>
      <c r="N851" s="70" t="s">
        <v>141</v>
      </c>
      <c r="O851" s="71">
        <f>INDEX(DurClassMapping,MATCH(M851,MappingTables!$D$4:$D$8,-1),1)</f>
        <v>4</v>
      </c>
      <c r="P851" s="73">
        <f>IF(M851=$A$1,1,$M851-INDEX(MappingTables!$E$4:$E$8,MATCH(O851,MappingTables!$B$4:$B$8,0)))</f>
        <v>3.9136107563032104</v>
      </c>
      <c r="Q851" s="71">
        <f>IF(B851="",0,INDEX(ModelParameters!$D$6:$K$10,MATCH($O851,ModelParameters!$B$6:$B$10,0),MATCH($J851,ModelParameters!$D$5:$K$5,0)))</f>
        <v>0.005</v>
      </c>
      <c r="R851" s="71">
        <f>IF(B851="",0,INDEX(ModelParameters!$D$13:$K$17,MATCH($O851,ModelParameters!$B$13:$B$17,0),MATCH($J851,ModelParameters!$D$5:$K$5,0)))</f>
        <v>0.11</v>
      </c>
      <c r="S851" s="160">
        <f>IF(B851="",0,MIN(IF($N851="Other Bond TM",ModelParameters!$N$21,1)*(P851*Q851+R851),1))</f>
        <v>0.12956805378151606</v>
      </c>
      <c r="T851" s="85">
        <f>IF(B851="",0,$S851*$K851)</f>
        <v>27.529865794981012</v>
      </c>
      <c r="U851" s="85">
        <f>IF(B851="",0,IF(OR(H851=MappingTables!$C$34,H851=MappingTables!$C$35),T851,0))</f>
        <v>0</v>
      </c>
      <c r="V851" s="85">
        <f>IF(ISNA(IF(AND(VLOOKUP(CONCATENATE($D851,$G851),CSRFinput!$B:$E,4,0)=0,OR(H851=MappingTables!$C$34,H851=MappingTables!$C$35)),1,VLOOKUP(CONCATENATE($D851,$G851),CSRFinput!$B:$E,4,0))),0,IF(AND(VLOOKUP(CONCATENATE($D851,$G851),CSRFinput!$B:$E,4,0)=0,OR(H851=MappingTables!$C$34,H851=MappingTables!$C$35)),1,VLOOKUP(CONCATENATE($D851,$G851),CSRFinput!$B:$E,4,0)))</f>
        <v>0.054776304963434752</v>
      </c>
      <c r="W851" s="85">
        <f>IF(B851="",0,+$T851*$V851)</f>
        <v>1.507984324388311</v>
      </c>
      <c r="X851" s="85">
        <f>IF(B851="",0,IF(OR(H851=MappingTables!$C$34,H851=MappingTables!$C$35),W851,0))</f>
        <v>0</v>
      </c>
    </row>
    <row r="852" spans="2:24" s="0" customFormat="0" ht="15">
      <c r="B852" s="69" t="s">
        <v>1157</v>
      </c>
      <c r="C852" s="70" t="s">
        <v>1158</v>
      </c>
      <c r="D852" s="70" t="s">
        <v>1</v>
      </c>
      <c r="E852" s="70" t="s">
        <v>1</v>
      </c>
      <c r="F852" s="70"/>
      <c r="G852" s="70" t="s">
        <v>61</v>
      </c>
      <c r="H852" s="70" t="s">
        <v>178</v>
      </c>
      <c r="I852" s="70" t="s">
        <v>181</v>
      </c>
      <c r="J852" s="71">
        <f>IF(OR(I852=0,I852=""),"unrated",VLOOKUP(I852,MappingTables!$B$19:$C$31,2,FALSE))</f>
        <v>3</v>
      </c>
      <c r="K852" s="72">
        <v>397.22759990705024</v>
      </c>
      <c r="L852" s="70">
        <v>21.810089242063924</v>
      </c>
      <c r="M852" s="71">
        <f>IF(L852&lt;1,1,L852)</f>
        <v>21.810089242063924</v>
      </c>
      <c r="N852" s="70" t="s">
        <v>141</v>
      </c>
      <c r="O852" s="71">
        <f>INDEX(DurClassMapping,MATCH(M852,MappingTables!$D$4:$D$8,-1),1)</f>
        <v>5</v>
      </c>
      <c r="P852" s="73">
        <f>IF(M852=$A$1,1,$M852-INDEX(MappingTables!$E$4:$E$8,MATCH(O852,MappingTables!$B$4:$B$8,0)))</f>
        <v>1.810089242063924</v>
      </c>
      <c r="Q852" s="71">
        <f>IF(B852="",0,INDEX(ModelParameters!$D$6:$K$10,MATCH($O852,ModelParameters!$B$6:$B$10,0),MATCH($J852,ModelParameters!$D$5:$K$5,0)))</f>
        <v>0.005</v>
      </c>
      <c r="R852" s="71">
        <f>IF(B852="",0,INDEX(ModelParameters!$D$13:$K$17,MATCH($O852,ModelParameters!$B$13:$B$17,0),MATCH($J852,ModelParameters!$D$5:$K$5,0)))</f>
        <v>0.3</v>
      </c>
      <c r="S852" s="160">
        <f>IF(B852="",0,MIN(IF($N852="Other Bond TM",ModelParameters!$N$21,1)*(P852*Q852+R852),1))</f>
        <v>0.30905044621031964</v>
      </c>
      <c r="T852" s="85">
        <f>IF(B852="",0,$S852*$K852)</f>
        <v>122.76336699832818</v>
      </c>
      <c r="U852" s="85">
        <f>IF(B852="",0,IF(OR(H852=MappingTables!$C$34,H852=MappingTables!$C$35),T852,0))</f>
        <v>0</v>
      </c>
      <c r="V852" s="85">
        <f>IF(ISNA(IF(AND(VLOOKUP(CONCATENATE($D852,$G852),CSRFinput!$B:$E,4,0)=0,OR(H852=MappingTables!$C$34,H852=MappingTables!$C$35)),1,VLOOKUP(CONCATENATE($D852,$G852),CSRFinput!$B:$E,4,0))),0,IF(AND(VLOOKUP(CONCATENATE($D852,$G852),CSRFinput!$B:$E,4,0)=0,OR(H852=MappingTables!$C$34,H852=MappingTables!$C$35)),1,VLOOKUP(CONCATENATE($D852,$G852),CSRFinput!$B:$E,4,0)))</f>
        <v>0.054776304963434752</v>
      </c>
      <c r="W852" s="85">
        <f>IF(B852="",0,+$T852*$V852)</f>
        <v>6.7245236290384856</v>
      </c>
      <c r="X852" s="85">
        <f>IF(B852="",0,IF(OR(H852=MappingTables!$C$34,H852=MappingTables!$C$35),W852,0))</f>
        <v>0</v>
      </c>
    </row>
    <row r="853" spans="2:24" s="0" customFormat="0" ht="15">
      <c r="B853" s="69">
        <v>12512024</v>
      </c>
      <c r="C853" s="70" t="s">
        <v>1159</v>
      </c>
      <c r="D853" s="70" t="s">
        <v>1</v>
      </c>
      <c r="E853" s="70" t="s">
        <v>1</v>
      </c>
      <c r="F853" s="70"/>
      <c r="G853" s="70" t="s">
        <v>61</v>
      </c>
      <c r="H853" s="70" t="s">
        <v>178</v>
      </c>
      <c r="I853" s="70" t="s">
        <v>220</v>
      </c>
      <c r="J853" s="71">
        <f>IF(OR(I853=0,I853=""),"unrated",VLOOKUP(I853,MappingTables!$B$19:$C$31,2,FALSE))</f>
        <v>1</v>
      </c>
      <c r="K853" s="72">
        <v>38.931286717522216</v>
      </c>
      <c r="L853" s="70">
        <v>0.63955715422244008</v>
      </c>
      <c r="M853" s="71">
        <f>IF(L853&lt;1,1,L853)</f>
        <v>1</v>
      </c>
      <c r="N853" s="70" t="s">
        <v>141</v>
      </c>
      <c r="O853" s="71">
        <f>INDEX(DurClassMapping,MATCH(M853,MappingTables!$D$4:$D$8,-1),1)</f>
        <v>1</v>
      </c>
      <c r="P853" s="73">
        <f>IF(M853=$A$1,1,$M853-INDEX(MappingTables!$E$4:$E$8,MATCH(O853,MappingTables!$B$4:$B$8,0)))</f>
        <v>1</v>
      </c>
      <c r="Q853" s="71">
        <f>IF(B853="",0,INDEX(ModelParameters!$D$6:$K$10,MATCH($O853,ModelParameters!$B$6:$B$10,0),MATCH($J853,ModelParameters!$D$5:$K$5,0)))</f>
        <v>0.011000000000000002</v>
      </c>
      <c r="R853" s="71">
        <f>IF(B853="",0,INDEX(ModelParameters!$D$13:$K$17,MATCH($O853,ModelParameters!$B$13:$B$17,0),MATCH($J853,ModelParameters!$D$5:$K$5,0)))</f>
        <v>0</v>
      </c>
      <c r="S853" s="160">
        <f>IF(B853="",0,MIN(IF($N853="Other Bond TM",ModelParameters!$N$21,1)*(P853*Q853+R853),1))</f>
        <v>0.011000000000000002</v>
      </c>
      <c r="T853" s="85">
        <f>IF(B853="",0,$S853*$K853)</f>
        <v>0.4282441538927444</v>
      </c>
      <c r="U853" s="85">
        <f>IF(B853="",0,IF(OR(H853=MappingTables!$C$34,H853=MappingTables!$C$35),T853,0))</f>
        <v>0</v>
      </c>
      <c r="V853" s="85">
        <f>IF(ISNA(IF(AND(VLOOKUP(CONCATENATE($D853,$G853),CSRFinput!$B:$E,4,0)=0,OR(H853=MappingTables!$C$34,H853=MappingTables!$C$35)),1,VLOOKUP(CONCATENATE($D853,$G853),CSRFinput!$B:$E,4,0))),0,IF(AND(VLOOKUP(CONCATENATE($D853,$G853),CSRFinput!$B:$E,4,0)=0,OR(H853=MappingTables!$C$34,H853=MappingTables!$C$35)),1,VLOOKUP(CONCATENATE($D853,$G853),CSRFinput!$B:$E,4,0)))</f>
        <v>0.054776304963434752</v>
      </c>
      <c r="W853" s="85">
        <f>IF(B853="",0,+$T853*$V853)</f>
        <v>0.023457632372437052</v>
      </c>
      <c r="X853" s="85">
        <f>IF(B853="",0,IF(OR(H853=MappingTables!$C$34,H853=MappingTables!$C$35),W853,0))</f>
        <v>0</v>
      </c>
    </row>
    <row r="854" spans="2:24" s="0" customFormat="0" ht="15">
      <c r="B854" s="69" t="s">
        <v>1160</v>
      </c>
      <c r="C854" s="70" t="s">
        <v>1161</v>
      </c>
      <c r="D854" s="70" t="s">
        <v>1</v>
      </c>
      <c r="E854" s="70" t="s">
        <v>1</v>
      </c>
      <c r="F854" s="70"/>
      <c r="G854" s="70" t="s">
        <v>61</v>
      </c>
      <c r="H854" s="70" t="s">
        <v>178</v>
      </c>
      <c r="I854" s="70" t="s">
        <v>188</v>
      </c>
      <c r="J854" s="71">
        <f>IF(OR(I854=0,I854=""),"unrated",VLOOKUP(I854,MappingTables!$B$19:$C$31,2,FALSE))</f>
        <v>2</v>
      </c>
      <c r="K854" s="72">
        <v>123.99942614860994</v>
      </c>
      <c r="L854" s="70">
        <v>3.6823964806300152</v>
      </c>
      <c r="M854" s="71">
        <f>IF(L854&lt;1,1,L854)</f>
        <v>3.6823964806300152</v>
      </c>
      <c r="N854" s="70" t="s">
        <v>141</v>
      </c>
      <c r="O854" s="71">
        <f>INDEX(DurClassMapping,MATCH(M854,MappingTables!$D$4:$D$8,-1),1)</f>
        <v>1</v>
      </c>
      <c r="P854" s="73">
        <f>IF(M854=$A$1,1,$M854-INDEX(MappingTables!$E$4:$E$8,MATCH(O854,MappingTables!$B$4:$B$8,0)))</f>
        <v>3.6823964806300152</v>
      </c>
      <c r="Q854" s="71">
        <f>IF(B854="",0,INDEX(ModelParameters!$D$6:$K$10,MATCH($O854,ModelParameters!$B$6:$B$10,0),MATCH($J854,ModelParameters!$D$5:$K$5,0)))</f>
        <v>0.013999999999999998</v>
      </c>
      <c r="R854" s="71">
        <f>IF(B854="",0,INDEX(ModelParameters!$D$13:$K$17,MATCH($O854,ModelParameters!$B$13:$B$17,0),MATCH($J854,ModelParameters!$D$5:$K$5,0)))</f>
        <v>0</v>
      </c>
      <c r="S854" s="160">
        <f>IF(B854="",0,MIN(IF($N854="Other Bond TM",ModelParameters!$N$21,1)*(P854*Q854+R854),1))</f>
        <v>0.051553550728820208</v>
      </c>
      <c r="T854" s="85">
        <f>IF(B854="",0,$S854*$K854)</f>
        <v>6.3926107062969584</v>
      </c>
      <c r="U854" s="85">
        <f>IF(B854="",0,IF(OR(H854=MappingTables!$C$34,H854=MappingTables!$C$35),T854,0))</f>
        <v>0</v>
      </c>
      <c r="V854" s="85">
        <f>IF(ISNA(IF(AND(VLOOKUP(CONCATENATE($D854,$G854),CSRFinput!$B:$E,4,0)=0,OR(H854=MappingTables!$C$34,H854=MappingTables!$C$35)),1,VLOOKUP(CONCATENATE($D854,$G854),CSRFinput!$B:$E,4,0))),0,IF(AND(VLOOKUP(CONCATENATE($D854,$G854),CSRFinput!$B:$E,4,0)=0,OR(H854=MappingTables!$C$34,H854=MappingTables!$C$35)),1,VLOOKUP(CONCATENATE($D854,$G854),CSRFinput!$B:$E,4,0)))</f>
        <v>0.054776304963434752</v>
      </c>
      <c r="W854" s="85">
        <f>IF(B854="",0,+$T854*$V854)</f>
        <v>0.3501635935606402</v>
      </c>
      <c r="X854" s="85">
        <f>IF(B854="",0,IF(OR(H854=MappingTables!$C$34,H854=MappingTables!$C$35),W854,0))</f>
        <v>0</v>
      </c>
    </row>
    <row r="855" spans="2:24" s="0" customFormat="0" ht="15">
      <c r="B855" s="69">
        <v>15869428</v>
      </c>
      <c r="C855" s="70" t="s">
        <v>590</v>
      </c>
      <c r="D855" s="70" t="s">
        <v>1</v>
      </c>
      <c r="E855" s="70" t="s">
        <v>1</v>
      </c>
      <c r="F855" s="70"/>
      <c r="G855" s="70" t="s">
        <v>61</v>
      </c>
      <c r="H855" s="70" t="s">
        <v>178</v>
      </c>
      <c r="I855" s="70" t="s">
        <v>181</v>
      </c>
      <c r="J855" s="71">
        <f>IF(OR(I855=0,I855=""),"unrated",VLOOKUP(I855,MappingTables!$B$19:$C$31,2,FALSE))</f>
        <v>3</v>
      </c>
      <c r="K855" s="72">
        <v>348.73145362110308</v>
      </c>
      <c r="L855" s="70">
        <v>0.093148301935897312</v>
      </c>
      <c r="M855" s="71">
        <f>IF(L855&lt;1,1,L855)</f>
        <v>1</v>
      </c>
      <c r="N855" s="70" t="s">
        <v>141</v>
      </c>
      <c r="O855" s="71">
        <f>INDEX(DurClassMapping,MATCH(M855,MappingTables!$D$4:$D$8,-1),1)</f>
        <v>1</v>
      </c>
      <c r="P855" s="73">
        <f>IF(M855=$A$1,1,$M855-INDEX(MappingTables!$E$4:$E$8,MATCH(O855,MappingTables!$B$4:$B$8,0)))</f>
        <v>1</v>
      </c>
      <c r="Q855" s="71">
        <f>IF(B855="",0,INDEX(ModelParameters!$D$6:$K$10,MATCH($O855,ModelParameters!$B$6:$B$10,0),MATCH($J855,ModelParameters!$D$5:$K$5,0)))</f>
        <v>0.025</v>
      </c>
      <c r="R855" s="71">
        <f>IF(B855="",0,INDEX(ModelParameters!$D$13:$K$17,MATCH($O855,ModelParameters!$B$13:$B$17,0),MATCH($J855,ModelParameters!$D$5:$K$5,0)))</f>
        <v>0</v>
      </c>
      <c r="S855" s="160">
        <f>IF(B855="",0,MIN(IF($N855="Other Bond TM",ModelParameters!$N$21,1)*(P855*Q855+R855),1))</f>
        <v>0.025</v>
      </c>
      <c r="T855" s="85">
        <f>IF(B855="",0,$S855*$K855)</f>
        <v>8.718286340527576</v>
      </c>
      <c r="U855" s="85">
        <f>IF(B855="",0,IF(OR(H855=MappingTables!$C$34,H855=MappingTables!$C$35),T855,0))</f>
        <v>0</v>
      </c>
      <c r="V855" s="85">
        <f>IF(ISNA(IF(AND(VLOOKUP(CONCATENATE($D855,$G855),CSRFinput!$B:$E,4,0)=0,OR(H855=MappingTables!$C$34,H855=MappingTables!$C$35)),1,VLOOKUP(CONCATENATE($D855,$G855),CSRFinput!$B:$E,4,0))),0,IF(AND(VLOOKUP(CONCATENATE($D855,$G855),CSRFinput!$B:$E,4,0)=0,OR(H855=MappingTables!$C$34,H855=MappingTables!$C$35)),1,VLOOKUP(CONCATENATE($D855,$G855),CSRFinput!$B:$E,4,0)))</f>
        <v>0.054776304963434752</v>
      </c>
      <c r="W855" s="85">
        <f>IF(B855="",0,+$T855*$V855)</f>
        <v>0.47755551134728616</v>
      </c>
      <c r="X855" s="85">
        <f>IF(B855="",0,IF(OR(H855=MappingTables!$C$34,H855=MappingTables!$C$35),W855,0))</f>
        <v>0</v>
      </c>
    </row>
    <row r="856" spans="2:24" s="0" customFormat="0" ht="15">
      <c r="B856" s="69" t="s">
        <v>1162</v>
      </c>
      <c r="C856" s="70" t="s">
        <v>1163</v>
      </c>
      <c r="D856" s="70" t="s">
        <v>1</v>
      </c>
      <c r="E856" s="70" t="s">
        <v>1</v>
      </c>
      <c r="F856" s="70"/>
      <c r="G856" s="70" t="s">
        <v>61</v>
      </c>
      <c r="H856" s="70" t="s">
        <v>178</v>
      </c>
      <c r="I856" s="70" t="s">
        <v>181</v>
      </c>
      <c r="J856" s="71">
        <f>IF(OR(I856=0,I856=""),"unrated",VLOOKUP(I856,MappingTables!$B$19:$C$31,2,FALSE))</f>
        <v>3</v>
      </c>
      <c r="K856" s="72">
        <v>2099.6318083391428</v>
      </c>
      <c r="L856" s="70">
        <v>9.2998864674340464</v>
      </c>
      <c r="M856" s="71">
        <f>IF(L856&lt;1,1,L856)</f>
        <v>9.2998864674340464</v>
      </c>
      <c r="N856" s="70" t="s">
        <v>141</v>
      </c>
      <c r="O856" s="71">
        <f>INDEX(DurClassMapping,MATCH(M856,MappingTables!$D$4:$D$8,-1),1)</f>
        <v>2</v>
      </c>
      <c r="P856" s="73">
        <f>IF(M856=$A$1,1,$M856-INDEX(MappingTables!$E$4:$E$8,MATCH(O856,MappingTables!$B$4:$B$8,0)))</f>
        <v>4.2998864674340464</v>
      </c>
      <c r="Q856" s="71">
        <f>IF(B856="",0,INDEX(ModelParameters!$D$6:$K$10,MATCH($O856,ModelParameters!$B$6:$B$10,0),MATCH($J856,ModelParameters!$D$5:$K$5,0)))</f>
        <v>0.015</v>
      </c>
      <c r="R856" s="71">
        <f>IF(B856="",0,INDEX(ModelParameters!$D$13:$K$17,MATCH($O856,ModelParameters!$B$13:$B$17,0),MATCH($J856,ModelParameters!$D$5:$K$5,0)))</f>
        <v>0.125</v>
      </c>
      <c r="S856" s="160">
        <f>IF(B856="",0,MIN(IF($N856="Other Bond TM",ModelParameters!$N$21,1)*(P856*Q856+R856),1))</f>
        <v>0.18949829701151068</v>
      </c>
      <c r="T856" s="85">
        <f>IF(B856="",0,$S856*$K856)</f>
        <v>397.87665203146624</v>
      </c>
      <c r="U856" s="85">
        <f>IF(B856="",0,IF(OR(H856=MappingTables!$C$34,H856=MappingTables!$C$35),T856,0))</f>
        <v>0</v>
      </c>
      <c r="V856" s="85">
        <f>IF(ISNA(IF(AND(VLOOKUP(CONCATENATE($D856,$G856),CSRFinput!$B:$E,4,0)=0,OR(H856=MappingTables!$C$34,H856=MappingTables!$C$35)),1,VLOOKUP(CONCATENATE($D856,$G856),CSRFinput!$B:$E,4,0))),0,IF(AND(VLOOKUP(CONCATENATE($D856,$G856),CSRFinput!$B:$E,4,0)=0,OR(H856=MappingTables!$C$34,H856=MappingTables!$C$35)),1,VLOOKUP(CONCATENATE($D856,$G856),CSRFinput!$B:$E,4,0)))</f>
        <v>0.054776304963434752</v>
      </c>
      <c r="W856" s="85">
        <f>IF(B856="",0,+$T856*$V856)</f>
        <v>21.794212829506004</v>
      </c>
      <c r="X856" s="85">
        <f>IF(B856="",0,IF(OR(H856=MappingTables!$C$34,H856=MappingTables!$C$35),W856,0))</f>
        <v>0</v>
      </c>
    </row>
    <row r="857" spans="2:24" s="0" customFormat="0" ht="15">
      <c r="B857" s="69">
        <v>10318069</v>
      </c>
      <c r="C857" s="70" t="s">
        <v>1164</v>
      </c>
      <c r="D857" s="70" t="s">
        <v>1</v>
      </c>
      <c r="E857" s="70" t="s">
        <v>1</v>
      </c>
      <c r="F857" s="70"/>
      <c r="G857" s="70" t="s">
        <v>61</v>
      </c>
      <c r="H857" s="70" t="s">
        <v>178</v>
      </c>
      <c r="I857" s="70" t="s">
        <v>181</v>
      </c>
      <c r="J857" s="71">
        <f>IF(OR(I857=0,I857=""),"unrated",VLOOKUP(I857,MappingTables!$B$19:$C$31,2,FALSE))</f>
        <v>3</v>
      </c>
      <c r="K857" s="72">
        <v>1269.553547163537</v>
      </c>
      <c r="L857" s="70">
        <v>1.4324929087110534</v>
      </c>
      <c r="M857" s="71">
        <f>IF(L857&lt;1,1,L857)</f>
        <v>1.4324929087110534</v>
      </c>
      <c r="N857" s="70" t="s">
        <v>141</v>
      </c>
      <c r="O857" s="71">
        <f>INDEX(DurClassMapping,MATCH(M857,MappingTables!$D$4:$D$8,-1),1)</f>
        <v>1</v>
      </c>
      <c r="P857" s="73">
        <f>IF(M857=$A$1,1,$M857-INDEX(MappingTables!$E$4:$E$8,MATCH(O857,MappingTables!$B$4:$B$8,0)))</f>
        <v>1.4324929087110534</v>
      </c>
      <c r="Q857" s="71">
        <f>IF(B857="",0,INDEX(ModelParameters!$D$6:$K$10,MATCH($O857,ModelParameters!$B$6:$B$10,0),MATCH($J857,ModelParameters!$D$5:$K$5,0)))</f>
        <v>0.025</v>
      </c>
      <c r="R857" s="71">
        <f>IF(B857="",0,INDEX(ModelParameters!$D$13:$K$17,MATCH($O857,ModelParameters!$B$13:$B$17,0),MATCH($J857,ModelParameters!$D$5:$K$5,0)))</f>
        <v>0</v>
      </c>
      <c r="S857" s="160">
        <f>IF(B857="",0,MIN(IF($N857="Other Bond TM",ModelParameters!$N$21,1)*(P857*Q857+R857),1))</f>
        <v>0.03581232271777634</v>
      </c>
      <c r="T857" s="85">
        <f>IF(B857="",0,$S857*$K857)</f>
        <v>45.465661338518264</v>
      </c>
      <c r="U857" s="85">
        <f>IF(B857="",0,IF(OR(H857=MappingTables!$C$34,H857=MappingTables!$C$35),T857,0))</f>
        <v>0</v>
      </c>
      <c r="V857" s="85">
        <f>IF(ISNA(IF(AND(VLOOKUP(CONCATENATE($D857,$G857),CSRFinput!$B:$E,4,0)=0,OR(H857=MappingTables!$C$34,H857=MappingTables!$C$35)),1,VLOOKUP(CONCATENATE($D857,$G857),CSRFinput!$B:$E,4,0))),0,IF(AND(VLOOKUP(CONCATENATE($D857,$G857),CSRFinput!$B:$E,4,0)=0,OR(H857=MappingTables!$C$34,H857=MappingTables!$C$35)),1,VLOOKUP(CONCATENATE($D857,$G857),CSRFinput!$B:$E,4,0)))</f>
        <v>0.054776304963434752</v>
      </c>
      <c r="W857" s="85">
        <f>IF(B857="",0,+$T857*$V857)</f>
        <v>2.490440930842922</v>
      </c>
      <c r="X857" s="85">
        <f>IF(B857="",0,IF(OR(H857=MappingTables!$C$34,H857=MappingTables!$C$35),W857,0))</f>
        <v>0</v>
      </c>
    </row>
    <row r="858" spans="2:24" s="0" customFormat="0" ht="15">
      <c r="B858" s="69">
        <v>21817247</v>
      </c>
      <c r="C858" s="70" t="s">
        <v>523</v>
      </c>
      <c r="D858" s="70" t="s">
        <v>1</v>
      </c>
      <c r="E858" s="70" t="s">
        <v>1</v>
      </c>
      <c r="F858" s="70"/>
      <c r="G858" s="70" t="s">
        <v>61</v>
      </c>
      <c r="H858" s="70" t="s">
        <v>178</v>
      </c>
      <c r="I858" s="70" t="s">
        <v>188</v>
      </c>
      <c r="J858" s="71">
        <f>IF(OR(I858=0,I858=""),"unrated",VLOOKUP(I858,MappingTables!$B$19:$C$31,2,FALSE))</f>
        <v>2</v>
      </c>
      <c r="K858" s="72">
        <v>45228.196599709368</v>
      </c>
      <c r="L858" s="70">
        <v>5.6974196025739072</v>
      </c>
      <c r="M858" s="71">
        <f>IF(L858&lt;1,1,L858)</f>
        <v>5.6974196025739072</v>
      </c>
      <c r="N858" s="70" t="s">
        <v>141</v>
      </c>
      <c r="O858" s="71">
        <f>INDEX(DurClassMapping,MATCH(M858,MappingTables!$D$4:$D$8,-1),1)</f>
        <v>2</v>
      </c>
      <c r="P858" s="73">
        <f>IF(M858=$A$1,1,$M858-INDEX(MappingTables!$E$4:$E$8,MATCH(O858,MappingTables!$B$4:$B$8,0)))</f>
        <v>0.6974196025739072</v>
      </c>
      <c r="Q858" s="71">
        <f>IF(B858="",0,INDEX(ModelParameters!$D$6:$K$10,MATCH($O858,ModelParameters!$B$6:$B$10,0),MATCH($J858,ModelParameters!$D$5:$K$5,0)))</f>
        <v>0.0069999999999999992</v>
      </c>
      <c r="R858" s="71">
        <f>IF(B858="",0,INDEX(ModelParameters!$D$13:$K$17,MATCH($O858,ModelParameters!$B$13:$B$17,0),MATCH($J858,ModelParameters!$D$5:$K$5,0)))</f>
        <v>0.070000000000000008</v>
      </c>
      <c r="S858" s="160">
        <f>IF(B858="",0,MIN(IF($N858="Other Bond TM",ModelParameters!$N$21,1)*(P858*Q858+R858),1))</f>
        <v>0.07488193721801736</v>
      </c>
      <c r="T858" s="85">
        <f>IF(B858="",0,$S858*$K858)</f>
        <v>3386.7749782635828</v>
      </c>
      <c r="U858" s="85">
        <f>IF(B858="",0,IF(OR(H858=MappingTables!$C$34,H858=MappingTables!$C$35),T858,0))</f>
        <v>0</v>
      </c>
      <c r="V858" s="85">
        <f>IF(ISNA(IF(AND(VLOOKUP(CONCATENATE($D858,$G858),CSRFinput!$B:$E,4,0)=0,OR(H858=MappingTables!$C$34,H858=MappingTables!$C$35)),1,VLOOKUP(CONCATENATE($D858,$G858),CSRFinput!$B:$E,4,0))),0,IF(AND(VLOOKUP(CONCATENATE($D858,$G858),CSRFinput!$B:$E,4,0)=0,OR(H858=MappingTables!$C$34,H858=MappingTables!$C$35)),1,VLOOKUP(CONCATENATE($D858,$G858),CSRFinput!$B:$E,4,0)))</f>
        <v>0.054776304963434752</v>
      </c>
      <c r="W858" s="85">
        <f>IF(B858="",0,+$T858*$V858)</f>
        <v>185.51501905189612</v>
      </c>
      <c r="X858" s="85">
        <f>IF(B858="",0,IF(OR(H858=MappingTables!$C$34,H858=MappingTables!$C$35),W858,0))</f>
        <v>0</v>
      </c>
    </row>
    <row r="859" spans="2:24" s="0" customFormat="0" ht="15">
      <c r="B859" s="69">
        <v>7936200</v>
      </c>
      <c r="C859" s="70" t="s">
        <v>1165</v>
      </c>
      <c r="D859" s="70" t="s">
        <v>1</v>
      </c>
      <c r="E859" s="70" t="s">
        <v>1</v>
      </c>
      <c r="F859" s="70"/>
      <c r="G859" s="70" t="s">
        <v>61</v>
      </c>
      <c r="H859" s="70" t="s">
        <v>178</v>
      </c>
      <c r="I859" s="70" t="s">
        <v>198</v>
      </c>
      <c r="J859" s="71" t="str">
        <f>IF(OR(I859=0,I859=""),"unrated",VLOOKUP(I859,MappingTables!$B$19:$C$31,2,FALSE))</f>
        <v>unrated</v>
      </c>
      <c r="K859" s="72">
        <v>12242.91880962313</v>
      </c>
      <c r="L859" s="70">
        <v>10.235211930242154</v>
      </c>
      <c r="M859" s="71">
        <f>IF(L859&lt;1,1,L859)</f>
        <v>10.235211930242154</v>
      </c>
      <c r="N859" s="70" t="s">
        <v>141</v>
      </c>
      <c r="O859" s="71">
        <f>INDEX(DurClassMapping,MATCH(M859,MappingTables!$D$4:$D$8,-1),1)</f>
        <v>3</v>
      </c>
      <c r="P859" s="73">
        <f>IF(M859=$A$1,1,$M859-INDEX(MappingTables!$E$4:$E$8,MATCH(O859,MappingTables!$B$4:$B$8,0)))</f>
        <v>0.23521193024215492</v>
      </c>
      <c r="Q859" s="71">
        <f>IF(B859="",0,INDEX(ModelParameters!$D$6:$K$10,MATCH($O859,ModelParameters!$B$6:$B$10,0),MATCH($J859,ModelParameters!$D$5:$K$5,0)))</f>
        <v>0.012</v>
      </c>
      <c r="R859" s="71">
        <f>IF(B859="",0,INDEX(ModelParameters!$D$13:$K$17,MATCH($O859,ModelParameters!$B$13:$B$17,0),MATCH($J859,ModelParameters!$D$5:$K$5,0)))</f>
        <v>0.235</v>
      </c>
      <c r="S859" s="160">
        <f>IF(B859="",0,MIN(IF($N859="Other Bond TM",ModelParameters!$N$21,1)*(P859*Q859+R859),1))</f>
        <v>0.23782254316290584</v>
      </c>
      <c r="T859" s="85">
        <f>IF(B859="",0,$S859*$K859)</f>
        <v>2911.6420870415488</v>
      </c>
      <c r="U859" s="85">
        <f>IF(B859="",0,IF(OR(H859=MappingTables!$C$34,H859=MappingTables!$C$35),T859,0))</f>
        <v>0</v>
      </c>
      <c r="V859" s="85">
        <f>IF(ISNA(IF(AND(VLOOKUP(CONCATENATE($D859,$G859),CSRFinput!$B:$E,4,0)=0,OR(H859=MappingTables!$C$34,H859=MappingTables!$C$35)),1,VLOOKUP(CONCATENATE($D859,$G859),CSRFinput!$B:$E,4,0))),0,IF(AND(VLOOKUP(CONCATENATE($D859,$G859),CSRFinput!$B:$E,4,0)=0,OR(H859=MappingTables!$C$34,H859=MappingTables!$C$35)),1,VLOOKUP(CONCATENATE($D859,$G859),CSRFinput!$B:$E,4,0)))</f>
        <v>0.054776304963434752</v>
      </c>
      <c r="W859" s="85">
        <f>IF(B859="",0,+$T859*$V859)</f>
        <v>159.48899490415952</v>
      </c>
      <c r="X859" s="85">
        <f>IF(B859="",0,IF(OR(H859=MappingTables!$C$34,H859=MappingTables!$C$35),W859,0))</f>
        <v>0</v>
      </c>
    </row>
    <row r="860" spans="2:24" s="0" customFormat="0" ht="15">
      <c r="B860" s="69">
        <v>24735912</v>
      </c>
      <c r="C860" s="70" t="s">
        <v>1166</v>
      </c>
      <c r="D860" s="70" t="s">
        <v>1</v>
      </c>
      <c r="E860" s="70" t="s">
        <v>1</v>
      </c>
      <c r="F860" s="70"/>
      <c r="G860" s="70" t="s">
        <v>61</v>
      </c>
      <c r="H860" s="70" t="s">
        <v>178</v>
      </c>
      <c r="I860" s="70" t="s">
        <v>181</v>
      </c>
      <c r="J860" s="71">
        <f>IF(OR(I860=0,I860=""),"unrated",VLOOKUP(I860,MappingTables!$B$19:$C$31,2,FALSE))</f>
        <v>3</v>
      </c>
      <c r="K860" s="72">
        <v>524.43707313949656</v>
      </c>
      <c r="L860" s="70">
        <v>0.87149884067193296</v>
      </c>
      <c r="M860" s="71">
        <f>IF(L860&lt;1,1,L860)</f>
        <v>1</v>
      </c>
      <c r="N860" s="70" t="s">
        <v>141</v>
      </c>
      <c r="O860" s="71">
        <f>INDEX(DurClassMapping,MATCH(M860,MappingTables!$D$4:$D$8,-1),1)</f>
        <v>1</v>
      </c>
      <c r="P860" s="73">
        <f>IF(M860=$A$1,1,$M860-INDEX(MappingTables!$E$4:$E$8,MATCH(O860,MappingTables!$B$4:$B$8,0)))</f>
        <v>1</v>
      </c>
      <c r="Q860" s="71">
        <f>IF(B860="",0,INDEX(ModelParameters!$D$6:$K$10,MATCH($O860,ModelParameters!$B$6:$B$10,0),MATCH($J860,ModelParameters!$D$5:$K$5,0)))</f>
        <v>0.025</v>
      </c>
      <c r="R860" s="71">
        <f>IF(B860="",0,INDEX(ModelParameters!$D$13:$K$17,MATCH($O860,ModelParameters!$B$13:$B$17,0),MATCH($J860,ModelParameters!$D$5:$K$5,0)))</f>
        <v>0</v>
      </c>
      <c r="S860" s="160">
        <f>IF(B860="",0,MIN(IF($N860="Other Bond TM",ModelParameters!$N$21,1)*(P860*Q860+R860),1))</f>
        <v>0.025</v>
      </c>
      <c r="T860" s="85">
        <f>IF(B860="",0,$S860*$K860)</f>
        <v>13.110926828487414</v>
      </c>
      <c r="U860" s="85">
        <f>IF(B860="",0,IF(OR(H860=MappingTables!$C$34,H860=MappingTables!$C$35),T860,0))</f>
        <v>0</v>
      </c>
      <c r="V860" s="85">
        <f>IF(ISNA(IF(AND(VLOOKUP(CONCATENATE($D860,$G860),CSRFinput!$B:$E,4,0)=0,OR(H860=MappingTables!$C$34,H860=MappingTables!$C$35)),1,VLOOKUP(CONCATENATE($D860,$G860),CSRFinput!$B:$E,4,0))),0,IF(AND(VLOOKUP(CONCATENATE($D860,$G860),CSRFinput!$B:$E,4,0)=0,OR(H860=MappingTables!$C$34,H860=MappingTables!$C$35)),1,VLOOKUP(CONCATENATE($D860,$G860),CSRFinput!$B:$E,4,0)))</f>
        <v>0.054776304963434752</v>
      </c>
      <c r="W860" s="85">
        <f>IF(B860="",0,+$T860*$V860)</f>
        <v>0.71816812631050512</v>
      </c>
      <c r="X860" s="85">
        <f>IF(B860="",0,IF(OR(H860=MappingTables!$C$34,H860=MappingTables!$C$35),W860,0))</f>
        <v>0</v>
      </c>
    </row>
    <row r="861" spans="2:24" s="0" customFormat="0" ht="15">
      <c r="B861" s="69">
        <v>19240912</v>
      </c>
      <c r="C861" s="70" t="s">
        <v>1167</v>
      </c>
      <c r="D861" s="70" t="s">
        <v>1</v>
      </c>
      <c r="E861" s="70" t="s">
        <v>1</v>
      </c>
      <c r="F861" s="70"/>
      <c r="G861" s="70" t="s">
        <v>61</v>
      </c>
      <c r="H861" s="70" t="s">
        <v>178</v>
      </c>
      <c r="I861" s="70" t="s">
        <v>220</v>
      </c>
      <c r="J861" s="71">
        <f>IF(OR(I861=0,I861=""),"unrated",VLOOKUP(I861,MappingTables!$B$19:$C$31,2,FALSE))</f>
        <v>1</v>
      </c>
      <c r="K861" s="72">
        <v>1751.9624199264982</v>
      </c>
      <c r="L861" s="70">
        <v>1.1682251607756872</v>
      </c>
      <c r="M861" s="71">
        <f>IF(L861&lt;1,1,L861)</f>
        <v>1.1682251607756872</v>
      </c>
      <c r="N861" s="70" t="s">
        <v>141</v>
      </c>
      <c r="O861" s="71">
        <f>INDEX(DurClassMapping,MATCH(M861,MappingTables!$D$4:$D$8,-1),1)</f>
        <v>1</v>
      </c>
      <c r="P861" s="73">
        <f>IF(M861=$A$1,1,$M861-INDEX(MappingTables!$E$4:$E$8,MATCH(O861,MappingTables!$B$4:$B$8,0)))</f>
        <v>1.1682251607756872</v>
      </c>
      <c r="Q861" s="71">
        <f>IF(B861="",0,INDEX(ModelParameters!$D$6:$K$10,MATCH($O861,ModelParameters!$B$6:$B$10,0),MATCH($J861,ModelParameters!$D$5:$K$5,0)))</f>
        <v>0.011000000000000002</v>
      </c>
      <c r="R861" s="71">
        <f>IF(B861="",0,INDEX(ModelParameters!$D$13:$K$17,MATCH($O861,ModelParameters!$B$13:$B$17,0),MATCH($J861,ModelParameters!$D$5:$K$5,0)))</f>
        <v>0</v>
      </c>
      <c r="S861" s="160">
        <f>IF(B861="",0,MIN(IF($N861="Other Bond TM",ModelParameters!$N$21,1)*(P861*Q861+R861),1))</f>
        <v>0.012850476768532562</v>
      </c>
      <c r="T861" s="85">
        <f>IF(B861="",0,$S861*$K861)</f>
        <v>22.513552376607552</v>
      </c>
      <c r="U861" s="85">
        <f>IF(B861="",0,IF(OR(H861=MappingTables!$C$34,H861=MappingTables!$C$35),T861,0))</f>
        <v>0</v>
      </c>
      <c r="V861" s="85">
        <f>IF(ISNA(IF(AND(VLOOKUP(CONCATENATE($D861,$G861),CSRFinput!$B:$E,4,0)=0,OR(H861=MappingTables!$C$34,H861=MappingTables!$C$35)),1,VLOOKUP(CONCATENATE($D861,$G861),CSRFinput!$B:$E,4,0))),0,IF(AND(VLOOKUP(CONCATENATE($D861,$G861),CSRFinput!$B:$E,4,0)=0,OR(H861=MappingTables!$C$34,H861=MappingTables!$C$35)),1,VLOOKUP(CONCATENATE($D861,$G861),CSRFinput!$B:$E,4,0)))</f>
        <v>0.054776304963434752</v>
      </c>
      <c r="W861" s="85">
        <f>IF(B861="",0,+$T861*$V861)</f>
        <v>1.2332092107913166</v>
      </c>
      <c r="X861" s="85">
        <f>IF(B861="",0,IF(OR(H861=MappingTables!$C$34,H861=MappingTables!$C$35),W861,0))</f>
        <v>0</v>
      </c>
    </row>
    <row r="862" spans="2:24" s="0" customFormat="0" ht="15">
      <c r="B862" s="69" t="s">
        <v>938</v>
      </c>
      <c r="C862" s="70" t="s">
        <v>939</v>
      </c>
      <c r="D862" s="70" t="s">
        <v>1</v>
      </c>
      <c r="E862" s="70" t="s">
        <v>1</v>
      </c>
      <c r="F862" s="70"/>
      <c r="G862" s="70" t="s">
        <v>61</v>
      </c>
      <c r="H862" s="70" t="s">
        <v>178</v>
      </c>
      <c r="I862" s="70" t="s">
        <v>184</v>
      </c>
      <c r="J862" s="71">
        <f>IF(OR(I862=0,I862=""),"unrated",VLOOKUP(I862,MappingTables!$B$19:$C$31,2,FALSE))</f>
        <v>5</v>
      </c>
      <c r="K862" s="72">
        <v>455.77351339623432</v>
      </c>
      <c r="L862" s="70">
        <v>3.867539269530468</v>
      </c>
      <c r="M862" s="71">
        <f>IF(L862&lt;1,1,L862)</f>
        <v>3.867539269530468</v>
      </c>
      <c r="N862" s="70" t="s">
        <v>141</v>
      </c>
      <c r="O862" s="71">
        <f>INDEX(DurClassMapping,MATCH(M862,MappingTables!$D$4:$D$8,-1),1)</f>
        <v>1</v>
      </c>
      <c r="P862" s="73">
        <f>IF(M862=$A$1,1,$M862-INDEX(MappingTables!$E$4:$E$8,MATCH(O862,MappingTables!$B$4:$B$8,0)))</f>
        <v>3.867539269530468</v>
      </c>
      <c r="Q862" s="71">
        <f>IF(B862="",0,INDEX(ModelParameters!$D$6:$K$10,MATCH($O862,ModelParameters!$B$6:$B$10,0),MATCH($J862,ModelParameters!$D$5:$K$5,0)))</f>
        <v>0.075</v>
      </c>
      <c r="R862" s="71">
        <f>IF(B862="",0,INDEX(ModelParameters!$D$13:$K$17,MATCH($O862,ModelParameters!$B$13:$B$17,0),MATCH($J862,ModelParameters!$D$5:$K$5,0)))</f>
        <v>0</v>
      </c>
      <c r="S862" s="160">
        <f>IF(B862="",0,MIN(IF($N862="Other Bond TM",ModelParameters!$N$21,1)*(P862*Q862+R862),1))</f>
        <v>0.29006544521478512</v>
      </c>
      <c r="T862" s="85">
        <f>IF(B862="",0,$S862*$K862)</f>
        <v>132.20414708038552</v>
      </c>
      <c r="U862" s="85">
        <f>IF(B862="",0,IF(OR(H862=MappingTables!$C$34,H862=MappingTables!$C$35),T862,0))</f>
        <v>0</v>
      </c>
      <c r="V862" s="85">
        <f>IF(ISNA(IF(AND(VLOOKUP(CONCATENATE($D862,$G862),CSRFinput!$B:$E,4,0)=0,OR(H862=MappingTables!$C$34,H862=MappingTables!$C$35)),1,VLOOKUP(CONCATENATE($D862,$G862),CSRFinput!$B:$E,4,0))),0,IF(AND(VLOOKUP(CONCATENATE($D862,$G862),CSRFinput!$B:$E,4,0)=0,OR(H862=MappingTables!$C$34,H862=MappingTables!$C$35)),1,VLOOKUP(CONCATENATE($D862,$G862),CSRFinput!$B:$E,4,0)))</f>
        <v>0.054776304963434752</v>
      </c>
      <c r="W862" s="85">
        <f>IF(B862="",0,+$T862*$V862)</f>
        <v>7.2416546779059792</v>
      </c>
      <c r="X862" s="85">
        <f>IF(B862="",0,IF(OR(H862=MappingTables!$C$34,H862=MappingTables!$C$35),W862,0))</f>
        <v>0</v>
      </c>
    </row>
    <row r="863" spans="2:24" s="0" customFormat="0" ht="15">
      <c r="B863" s="69">
        <v>8606912</v>
      </c>
      <c r="C863" s="70" t="s">
        <v>1168</v>
      </c>
      <c r="D863" s="70" t="s">
        <v>1</v>
      </c>
      <c r="E863" s="70" t="s">
        <v>1</v>
      </c>
      <c r="F863" s="70"/>
      <c r="G863" s="70" t="s">
        <v>61</v>
      </c>
      <c r="H863" s="70" t="s">
        <v>178</v>
      </c>
      <c r="I863" s="70" t="s">
        <v>179</v>
      </c>
      <c r="J863" s="71">
        <f>IF(OR(I863=0,I863=""),"unrated",VLOOKUP(I863,MappingTables!$B$19:$C$31,2,FALSE))</f>
        <v>4</v>
      </c>
      <c r="K863" s="72">
        <v>29338.137856132024</v>
      </c>
      <c r="L863" s="70">
        <v>3.1549332383304236</v>
      </c>
      <c r="M863" s="71">
        <f>IF(L863&lt;1,1,L863)</f>
        <v>3.1549332383304236</v>
      </c>
      <c r="N863" s="70" t="s">
        <v>141</v>
      </c>
      <c r="O863" s="71">
        <f>INDEX(DurClassMapping,MATCH(M863,MappingTables!$D$4:$D$8,-1),1)</f>
        <v>1</v>
      </c>
      <c r="P863" s="73">
        <f>IF(M863=$A$1,1,$M863-INDEX(MappingTables!$E$4:$E$8,MATCH(O863,MappingTables!$B$4:$B$8,0)))</f>
        <v>3.1549332383304236</v>
      </c>
      <c r="Q863" s="71">
        <f>IF(B863="",0,INDEX(ModelParameters!$D$6:$K$10,MATCH($O863,ModelParameters!$B$6:$B$10,0),MATCH($J863,ModelParameters!$D$5:$K$5,0)))</f>
        <v>0.045</v>
      </c>
      <c r="R863" s="71">
        <f>IF(B863="",0,INDEX(ModelParameters!$D$13:$K$17,MATCH($O863,ModelParameters!$B$13:$B$17,0),MATCH($J863,ModelParameters!$D$5:$K$5,0)))</f>
        <v>0</v>
      </c>
      <c r="S863" s="160">
        <f>IF(B863="",0,MIN(IF($N863="Other Bond TM",ModelParameters!$N$21,1)*(P863*Q863+R863),1))</f>
        <v>0.14197199572486904</v>
      </c>
      <c r="T863" s="85">
        <f>IF(B863="",0,$S863*$K863)</f>
        <v>4165.1939822863944</v>
      </c>
      <c r="U863" s="85">
        <f>IF(B863="",0,IF(OR(H863=MappingTables!$C$34,H863=MappingTables!$C$35),T863,0))</f>
        <v>0</v>
      </c>
      <c r="V863" s="85">
        <f>IF(ISNA(IF(AND(VLOOKUP(CONCATENATE($D863,$G863),CSRFinput!$B:$E,4,0)=0,OR(H863=MappingTables!$C$34,H863=MappingTables!$C$35)),1,VLOOKUP(CONCATENATE($D863,$G863),CSRFinput!$B:$E,4,0))),0,IF(AND(VLOOKUP(CONCATENATE($D863,$G863),CSRFinput!$B:$E,4,0)=0,OR(H863=MappingTables!$C$34,H863=MappingTables!$C$35)),1,VLOOKUP(CONCATENATE($D863,$G863),CSRFinput!$B:$E,4,0)))</f>
        <v>0.054776304963434752</v>
      </c>
      <c r="W863" s="85">
        <f>IF(B863="",0,+$T863*$V863)</f>
        <v>228.1539358055828</v>
      </c>
      <c r="X863" s="85">
        <f>IF(B863="",0,IF(OR(H863=MappingTables!$C$34,H863=MappingTables!$C$35),W863,0))</f>
        <v>0</v>
      </c>
    </row>
    <row r="864" spans="2:24" s="0" customFormat="0" ht="15">
      <c r="B864" s="69">
        <v>17782763</v>
      </c>
      <c r="C864" s="70" t="s">
        <v>1169</v>
      </c>
      <c r="D864" s="70" t="s">
        <v>1</v>
      </c>
      <c r="E864" s="70" t="s">
        <v>1</v>
      </c>
      <c r="F864" s="70"/>
      <c r="G864" s="70" t="s">
        <v>61</v>
      </c>
      <c r="H864" s="70" t="s">
        <v>178</v>
      </c>
      <c r="I864" s="70" t="s">
        <v>181</v>
      </c>
      <c r="J864" s="71">
        <f>IF(OR(I864=0,I864=""),"unrated",VLOOKUP(I864,MappingTables!$B$19:$C$31,2,FALSE))</f>
        <v>3</v>
      </c>
      <c r="K864" s="72">
        <v>7705.1345213209232</v>
      </c>
      <c r="L864" s="70">
        <v>4.832180804346584</v>
      </c>
      <c r="M864" s="71">
        <f>IF(L864&lt;1,1,L864)</f>
        <v>4.832180804346584</v>
      </c>
      <c r="N864" s="70" t="s">
        <v>141</v>
      </c>
      <c r="O864" s="71">
        <f>INDEX(DurClassMapping,MATCH(M864,MappingTables!$D$4:$D$8,-1),1)</f>
        <v>1</v>
      </c>
      <c r="P864" s="73">
        <f>IF(M864=$A$1,1,$M864-INDEX(MappingTables!$E$4:$E$8,MATCH(O864,MappingTables!$B$4:$B$8,0)))</f>
        <v>4.832180804346584</v>
      </c>
      <c r="Q864" s="71">
        <f>IF(B864="",0,INDEX(ModelParameters!$D$6:$K$10,MATCH($O864,ModelParameters!$B$6:$B$10,0),MATCH($J864,ModelParameters!$D$5:$K$5,0)))</f>
        <v>0.025</v>
      </c>
      <c r="R864" s="71">
        <f>IF(B864="",0,INDEX(ModelParameters!$D$13:$K$17,MATCH($O864,ModelParameters!$B$13:$B$17,0),MATCH($J864,ModelParameters!$D$5:$K$5,0)))</f>
        <v>0</v>
      </c>
      <c r="S864" s="160">
        <f>IF(B864="",0,MIN(IF($N864="Other Bond TM",ModelParameters!$N$21,1)*(P864*Q864+R864),1))</f>
        <v>0.1208045201086646</v>
      </c>
      <c r="T864" s="85">
        <f>IF(B864="",0,$S864*$K864)</f>
        <v>930.81507822087936</v>
      </c>
      <c r="U864" s="85">
        <f>IF(B864="",0,IF(OR(H864=MappingTables!$C$34,H864=MappingTables!$C$35),T864,0))</f>
        <v>0</v>
      </c>
      <c r="V864" s="85">
        <f>IF(ISNA(IF(AND(VLOOKUP(CONCATENATE($D864,$G864),CSRFinput!$B:$E,4,0)=0,OR(H864=MappingTables!$C$34,H864=MappingTables!$C$35)),1,VLOOKUP(CONCATENATE($D864,$G864),CSRFinput!$B:$E,4,0))),0,IF(AND(VLOOKUP(CONCATENATE($D864,$G864),CSRFinput!$B:$E,4,0)=0,OR(H864=MappingTables!$C$34,H864=MappingTables!$C$35)),1,VLOOKUP(CONCATENATE($D864,$G864),CSRFinput!$B:$E,4,0)))</f>
        <v>0.054776304963434752</v>
      </c>
      <c r="W864" s="85">
        <f>IF(B864="",0,+$T864*$V864)</f>
        <v>50.986610589190256</v>
      </c>
      <c r="X864" s="85">
        <f>IF(B864="",0,IF(OR(H864=MappingTables!$C$34,H864=MappingTables!$C$35),W864,0))</f>
        <v>0</v>
      </c>
    </row>
    <row r="865" spans="2:24" s="0" customFormat="0" ht="15">
      <c r="B865" s="69">
        <v>24324810</v>
      </c>
      <c r="C865" s="70" t="s">
        <v>359</v>
      </c>
      <c r="D865" s="70" t="s">
        <v>1</v>
      </c>
      <c r="E865" s="70" t="s">
        <v>1</v>
      </c>
      <c r="F865" s="70"/>
      <c r="G865" s="70" t="s">
        <v>61</v>
      </c>
      <c r="H865" s="70" t="s">
        <v>178</v>
      </c>
      <c r="I865" s="70" t="s">
        <v>179</v>
      </c>
      <c r="J865" s="71">
        <f>IF(OR(I865=0,I865=""),"unrated",VLOOKUP(I865,MappingTables!$B$19:$C$31,2,FALSE))</f>
        <v>4</v>
      </c>
      <c r="K865" s="72">
        <v>3224.5856002319448</v>
      </c>
      <c r="L865" s="70">
        <v>1.6961839099285984</v>
      </c>
      <c r="M865" s="71">
        <f>IF(L865&lt;1,1,L865)</f>
        <v>1.6961839099285984</v>
      </c>
      <c r="N865" s="70" t="s">
        <v>141</v>
      </c>
      <c r="O865" s="71">
        <f>INDEX(DurClassMapping,MATCH(M865,MappingTables!$D$4:$D$8,-1),1)</f>
        <v>1</v>
      </c>
      <c r="P865" s="73">
        <f>IF(M865=$A$1,1,$M865-INDEX(MappingTables!$E$4:$E$8,MATCH(O865,MappingTables!$B$4:$B$8,0)))</f>
        <v>1.6961839099285984</v>
      </c>
      <c r="Q865" s="71">
        <f>IF(B865="",0,INDEX(ModelParameters!$D$6:$K$10,MATCH($O865,ModelParameters!$B$6:$B$10,0),MATCH($J865,ModelParameters!$D$5:$K$5,0)))</f>
        <v>0.045</v>
      </c>
      <c r="R865" s="71">
        <f>IF(B865="",0,INDEX(ModelParameters!$D$13:$K$17,MATCH($O865,ModelParameters!$B$13:$B$17,0),MATCH($J865,ModelParameters!$D$5:$K$5,0)))</f>
        <v>0</v>
      </c>
      <c r="S865" s="160">
        <f>IF(B865="",0,MIN(IF($N865="Other Bond TM",ModelParameters!$N$21,1)*(P865*Q865+R865),1))</f>
        <v>0.076328275946786928</v>
      </c>
      <c r="T865" s="85">
        <f>IF(B865="",0,$S865*$K865)</f>
        <v>246.1270595085394</v>
      </c>
      <c r="U865" s="85">
        <f>IF(B865="",0,IF(OR(H865=MappingTables!$C$34,H865=MappingTables!$C$35),T865,0))</f>
        <v>0</v>
      </c>
      <c r="V865" s="85">
        <f>IF(ISNA(IF(AND(VLOOKUP(CONCATENATE($D865,$G865),CSRFinput!$B:$E,4,0)=0,OR(H865=MappingTables!$C$34,H865=MappingTables!$C$35)),1,VLOOKUP(CONCATENATE($D865,$G865),CSRFinput!$B:$E,4,0))),0,IF(AND(VLOOKUP(CONCATENATE($D865,$G865),CSRFinput!$B:$E,4,0)=0,OR(H865=MappingTables!$C$34,H865=MappingTables!$C$35)),1,VLOOKUP(CONCATENATE($D865,$G865),CSRFinput!$B:$E,4,0)))</f>
        <v>0.054776304963434752</v>
      </c>
      <c r="W865" s="85">
        <f>IF(B865="",0,+$T865*$V865)</f>
        <v>13.481930871393208</v>
      </c>
      <c r="X865" s="85">
        <f>IF(B865="",0,IF(OR(H865=MappingTables!$C$34,H865=MappingTables!$C$35),W865,0))</f>
        <v>0</v>
      </c>
    </row>
    <row r="866" spans="2:24" s="0" customFormat="0" ht="15">
      <c r="B866" s="69">
        <v>18676480</v>
      </c>
      <c r="C866" s="70" t="s">
        <v>1170</v>
      </c>
      <c r="D866" s="70" t="s">
        <v>1</v>
      </c>
      <c r="E866" s="70" t="s">
        <v>1</v>
      </c>
      <c r="F866" s="70"/>
      <c r="G866" s="70" t="s">
        <v>61</v>
      </c>
      <c r="H866" s="70" t="s">
        <v>178</v>
      </c>
      <c r="I866" s="70" t="s">
        <v>184</v>
      </c>
      <c r="J866" s="71">
        <f>IF(OR(I866=0,I866=""),"unrated",VLOOKUP(I866,MappingTables!$B$19:$C$31,2,FALSE))</f>
        <v>5</v>
      </c>
      <c r="K866" s="72">
        <v>311.81514827234888</v>
      </c>
      <c r="L866" s="70">
        <v>0.95121358734429216</v>
      </c>
      <c r="M866" s="71">
        <f>IF(L866&lt;1,1,L866)</f>
        <v>1</v>
      </c>
      <c r="N866" s="70" t="s">
        <v>141</v>
      </c>
      <c r="O866" s="71">
        <f>INDEX(DurClassMapping,MATCH(M866,MappingTables!$D$4:$D$8,-1),1)</f>
        <v>1</v>
      </c>
      <c r="P866" s="73">
        <f>IF(M866=$A$1,1,$M866-INDEX(MappingTables!$E$4:$E$8,MATCH(O866,MappingTables!$B$4:$B$8,0)))</f>
        <v>1</v>
      </c>
      <c r="Q866" s="71">
        <f>IF(B866="",0,INDEX(ModelParameters!$D$6:$K$10,MATCH($O866,ModelParameters!$B$6:$B$10,0),MATCH($J866,ModelParameters!$D$5:$K$5,0)))</f>
        <v>0.075</v>
      </c>
      <c r="R866" s="71">
        <f>IF(B866="",0,INDEX(ModelParameters!$D$13:$K$17,MATCH($O866,ModelParameters!$B$13:$B$17,0),MATCH($J866,ModelParameters!$D$5:$K$5,0)))</f>
        <v>0</v>
      </c>
      <c r="S866" s="160">
        <f>IF(B866="",0,MIN(IF($N866="Other Bond TM",ModelParameters!$N$21,1)*(P866*Q866+R866),1))</f>
        <v>0.075</v>
      </c>
      <c r="T866" s="85">
        <f>IF(B866="",0,$S866*$K866)</f>
        <v>23.386136120426164</v>
      </c>
      <c r="U866" s="85">
        <f>IF(B866="",0,IF(OR(H866=MappingTables!$C$34,H866=MappingTables!$C$35),T866,0))</f>
        <v>0</v>
      </c>
      <c r="V866" s="85">
        <f>IF(ISNA(IF(AND(VLOOKUP(CONCATENATE($D866,$G866),CSRFinput!$B:$E,4,0)=0,OR(H866=MappingTables!$C$34,H866=MappingTables!$C$35)),1,VLOOKUP(CONCATENATE($D866,$G866),CSRFinput!$B:$E,4,0))),0,IF(AND(VLOOKUP(CONCATENATE($D866,$G866),CSRFinput!$B:$E,4,0)=0,OR(H866=MappingTables!$C$34,H866=MappingTables!$C$35)),1,VLOOKUP(CONCATENATE($D866,$G866),CSRFinput!$B:$E,4,0)))</f>
        <v>0.054776304963434752</v>
      </c>
      <c r="W866" s="85">
        <f>IF(B866="",0,+$T866*$V866)</f>
        <v>1.2810061240488606</v>
      </c>
      <c r="X866" s="85">
        <f>IF(B866="",0,IF(OR(H866=MappingTables!$C$34,H866=MappingTables!$C$35),W866,0))</f>
        <v>0</v>
      </c>
    </row>
    <row r="867" spans="2:24" s="0" customFormat="0" ht="15">
      <c r="B867" s="69" t="s">
        <v>1171</v>
      </c>
      <c r="C867" s="70" t="s">
        <v>1172</v>
      </c>
      <c r="D867" s="70" t="s">
        <v>1</v>
      </c>
      <c r="E867" s="70" t="s">
        <v>1</v>
      </c>
      <c r="F867" s="70"/>
      <c r="G867" s="70" t="s">
        <v>61</v>
      </c>
      <c r="H867" s="70" t="s">
        <v>178</v>
      </c>
      <c r="I867" s="70" t="s">
        <v>184</v>
      </c>
      <c r="J867" s="71">
        <f>IF(OR(I867=0,I867=""),"unrated",VLOOKUP(I867,MappingTables!$B$19:$C$31,2,FALSE))</f>
        <v>5</v>
      </c>
      <c r="K867" s="72">
        <v>294.92715815794368</v>
      </c>
      <c r="L867" s="70">
        <v>4.2393826568859464</v>
      </c>
      <c r="M867" s="71">
        <f>IF(L867&lt;1,1,L867)</f>
        <v>4.2393826568859464</v>
      </c>
      <c r="N867" s="70" t="s">
        <v>141</v>
      </c>
      <c r="O867" s="71">
        <f>INDEX(DurClassMapping,MATCH(M867,MappingTables!$D$4:$D$8,-1),1)</f>
        <v>1</v>
      </c>
      <c r="P867" s="73">
        <f>IF(M867=$A$1,1,$M867-INDEX(MappingTables!$E$4:$E$8,MATCH(O867,MappingTables!$B$4:$B$8,0)))</f>
        <v>4.2393826568859464</v>
      </c>
      <c r="Q867" s="71">
        <f>IF(B867="",0,INDEX(ModelParameters!$D$6:$K$10,MATCH($O867,ModelParameters!$B$6:$B$10,0),MATCH($J867,ModelParameters!$D$5:$K$5,0)))</f>
        <v>0.075</v>
      </c>
      <c r="R867" s="71">
        <f>IF(B867="",0,INDEX(ModelParameters!$D$13:$K$17,MATCH($O867,ModelParameters!$B$13:$B$17,0),MATCH($J867,ModelParameters!$D$5:$K$5,0)))</f>
        <v>0</v>
      </c>
      <c r="S867" s="160">
        <f>IF(B867="",0,MIN(IF($N867="Other Bond TM",ModelParameters!$N$21,1)*(P867*Q867+R867),1))</f>
        <v>0.31795369926644596</v>
      </c>
      <c r="T867" s="85">
        <f>IF(B867="",0,$S867*$K867)</f>
        <v>93.773180950458368</v>
      </c>
      <c r="U867" s="85">
        <f>IF(B867="",0,IF(OR(H867=MappingTables!$C$34,H867=MappingTables!$C$35),T867,0))</f>
        <v>0</v>
      </c>
      <c r="V867" s="85">
        <f>IF(ISNA(IF(AND(VLOOKUP(CONCATENATE($D867,$G867),CSRFinput!$B:$E,4,0)=0,OR(H867=MappingTables!$C$34,H867=MappingTables!$C$35)),1,VLOOKUP(CONCATENATE($D867,$G867),CSRFinput!$B:$E,4,0))),0,IF(AND(VLOOKUP(CONCATENATE($D867,$G867),CSRFinput!$B:$E,4,0)=0,OR(H867=MappingTables!$C$34,H867=MappingTables!$C$35)),1,VLOOKUP(CONCATENATE($D867,$G867),CSRFinput!$B:$E,4,0)))</f>
        <v>0.054776304963434752</v>
      </c>
      <c r="W867" s="85">
        <f>IF(B867="",0,+$T867*$V867)</f>
        <v>5.1365483571336584</v>
      </c>
      <c r="X867" s="85">
        <f>IF(B867="",0,IF(OR(H867=MappingTables!$C$34,H867=MappingTables!$C$35),W867,0))</f>
        <v>0</v>
      </c>
    </row>
    <row r="868" spans="2:24" s="0" customFormat="0" ht="15">
      <c r="B868" s="69" t="s">
        <v>1173</v>
      </c>
      <c r="C868" s="70" t="s">
        <v>1174</v>
      </c>
      <c r="D868" s="70" t="s">
        <v>1</v>
      </c>
      <c r="E868" s="70" t="s">
        <v>1</v>
      </c>
      <c r="F868" s="70"/>
      <c r="G868" s="70" t="s">
        <v>61</v>
      </c>
      <c r="H868" s="70" t="s">
        <v>178</v>
      </c>
      <c r="I868" s="70" t="s">
        <v>188</v>
      </c>
      <c r="J868" s="71">
        <f>IF(OR(I868=0,I868=""),"unrated",VLOOKUP(I868,MappingTables!$B$19:$C$31,2,FALSE))</f>
        <v>2</v>
      </c>
      <c r="K868" s="72">
        <v>4.7341979819297784</v>
      </c>
      <c r="L868" s="70">
        <v>2.8400927177053444</v>
      </c>
      <c r="M868" s="71">
        <f>IF(L868&lt;1,1,L868)</f>
        <v>2.8400927177053444</v>
      </c>
      <c r="N868" s="70" t="s">
        <v>141</v>
      </c>
      <c r="O868" s="71">
        <f>INDEX(DurClassMapping,MATCH(M868,MappingTables!$D$4:$D$8,-1),1)</f>
        <v>1</v>
      </c>
      <c r="P868" s="73">
        <f>IF(M868=$A$1,1,$M868-INDEX(MappingTables!$E$4:$E$8,MATCH(O868,MappingTables!$B$4:$B$8,0)))</f>
        <v>2.8400927177053444</v>
      </c>
      <c r="Q868" s="71">
        <f>IF(B868="",0,INDEX(ModelParameters!$D$6:$K$10,MATCH($O868,ModelParameters!$B$6:$B$10,0),MATCH($J868,ModelParameters!$D$5:$K$5,0)))</f>
        <v>0.013999999999999998</v>
      </c>
      <c r="R868" s="71">
        <f>IF(B868="",0,INDEX(ModelParameters!$D$13:$K$17,MATCH($O868,ModelParameters!$B$13:$B$17,0),MATCH($J868,ModelParameters!$D$5:$K$5,0)))</f>
        <v>0</v>
      </c>
      <c r="S868" s="160">
        <f>IF(B868="",0,MIN(IF($N868="Other Bond TM",ModelParameters!$N$21,1)*(P868*Q868+R868),1))</f>
        <v>0.039761298047874816</v>
      </c>
      <c r="T868" s="85">
        <f>IF(B868="",0,$S868*$K868)</f>
        <v>0.1882378569771574</v>
      </c>
      <c r="U868" s="85">
        <f>IF(B868="",0,IF(OR(H868=MappingTables!$C$34,H868=MappingTables!$C$35),T868,0))</f>
        <v>0</v>
      </c>
      <c r="V868" s="85">
        <f>IF(ISNA(IF(AND(VLOOKUP(CONCATENATE($D868,$G868),CSRFinput!$B:$E,4,0)=0,OR(H868=MappingTables!$C$34,H868=MappingTables!$C$35)),1,VLOOKUP(CONCATENATE($D868,$G868),CSRFinput!$B:$E,4,0))),0,IF(AND(VLOOKUP(CONCATENATE($D868,$G868),CSRFinput!$B:$E,4,0)=0,OR(H868=MappingTables!$C$34,H868=MappingTables!$C$35)),1,VLOOKUP(CONCATENATE($D868,$G868),CSRFinput!$B:$E,4,0)))</f>
        <v>0.054776304963434752</v>
      </c>
      <c r="W868" s="85">
        <f>IF(B868="",0,+$T868*$V868)</f>
        <v>0.010310974259444188</v>
      </c>
      <c r="X868" s="85">
        <f>IF(B868="",0,IF(OR(H868=MappingTables!$C$34,H868=MappingTables!$C$35),W868,0))</f>
        <v>0</v>
      </c>
    </row>
    <row r="869" spans="2:24" s="0" customFormat="0" ht="15">
      <c r="B869" s="69">
        <v>17616141</v>
      </c>
      <c r="C869" s="70" t="s">
        <v>1175</v>
      </c>
      <c r="D869" s="70" t="s">
        <v>1</v>
      </c>
      <c r="E869" s="70" t="s">
        <v>1</v>
      </c>
      <c r="F869" s="70"/>
      <c r="G869" s="70" t="s">
        <v>61</v>
      </c>
      <c r="H869" s="70" t="s">
        <v>178</v>
      </c>
      <c r="I869" s="70" t="s">
        <v>181</v>
      </c>
      <c r="J869" s="71">
        <f>IF(OR(I869=0,I869=""),"unrated",VLOOKUP(I869,MappingTables!$B$19:$C$31,2,FALSE))</f>
        <v>3</v>
      </c>
      <c r="K869" s="72">
        <v>1054.4870977127278</v>
      </c>
      <c r="L869" s="70">
        <v>0.77750302384988704</v>
      </c>
      <c r="M869" s="71">
        <f>IF(L869&lt;1,1,L869)</f>
        <v>1</v>
      </c>
      <c r="N869" s="70" t="s">
        <v>141</v>
      </c>
      <c r="O869" s="71">
        <f>INDEX(DurClassMapping,MATCH(M869,MappingTables!$D$4:$D$8,-1),1)</f>
        <v>1</v>
      </c>
      <c r="P869" s="73">
        <f>IF(M869=$A$1,1,$M869-INDEX(MappingTables!$E$4:$E$8,MATCH(O869,MappingTables!$B$4:$B$8,0)))</f>
        <v>1</v>
      </c>
      <c r="Q869" s="71">
        <f>IF(B869="",0,INDEX(ModelParameters!$D$6:$K$10,MATCH($O869,ModelParameters!$B$6:$B$10,0),MATCH($J869,ModelParameters!$D$5:$K$5,0)))</f>
        <v>0.025</v>
      </c>
      <c r="R869" s="71">
        <f>IF(B869="",0,INDEX(ModelParameters!$D$13:$K$17,MATCH($O869,ModelParameters!$B$13:$B$17,0),MATCH($J869,ModelParameters!$D$5:$K$5,0)))</f>
        <v>0</v>
      </c>
      <c r="S869" s="160">
        <f>IF(B869="",0,MIN(IF($N869="Other Bond TM",ModelParameters!$N$21,1)*(P869*Q869+R869),1))</f>
        <v>0.025</v>
      </c>
      <c r="T869" s="85">
        <f>IF(B869="",0,$S869*$K869)</f>
        <v>26.362177442818192</v>
      </c>
      <c r="U869" s="85">
        <f>IF(B869="",0,IF(OR(H869=MappingTables!$C$34,H869=MappingTables!$C$35),T869,0))</f>
        <v>0</v>
      </c>
      <c r="V869" s="85">
        <f>IF(ISNA(IF(AND(VLOOKUP(CONCATENATE($D869,$G869),CSRFinput!$B:$E,4,0)=0,OR(H869=MappingTables!$C$34,H869=MappingTables!$C$35)),1,VLOOKUP(CONCATENATE($D869,$G869),CSRFinput!$B:$E,4,0))),0,IF(AND(VLOOKUP(CONCATENATE($D869,$G869),CSRFinput!$B:$E,4,0)=0,OR(H869=MappingTables!$C$34,H869=MappingTables!$C$35)),1,VLOOKUP(CONCATENATE($D869,$G869),CSRFinput!$B:$E,4,0)))</f>
        <v>0.054776304963434752</v>
      </c>
      <c r="W869" s="85">
        <f>IF(B869="",0,+$T869*$V869)</f>
        <v>1.44402267110799</v>
      </c>
      <c r="X869" s="85">
        <f>IF(B869="",0,IF(OR(H869=MappingTables!$C$34,H869=MappingTables!$C$35),W869,0))</f>
        <v>0</v>
      </c>
    </row>
    <row r="870" spans="2:24" s="0" customFormat="0" ht="15">
      <c r="B870" s="69">
        <v>14504602</v>
      </c>
      <c r="C870" s="70" t="s">
        <v>1176</v>
      </c>
      <c r="D870" s="70" t="s">
        <v>1</v>
      </c>
      <c r="E870" s="70" t="s">
        <v>1</v>
      </c>
      <c r="F870" s="70"/>
      <c r="G870" s="70" t="s">
        <v>61</v>
      </c>
      <c r="H870" s="70" t="s">
        <v>178</v>
      </c>
      <c r="I870" s="70" t="s">
        <v>188</v>
      </c>
      <c r="J870" s="71">
        <f>IF(OR(I870=0,I870=""),"unrated",VLOOKUP(I870,MappingTables!$B$19:$C$31,2,FALSE))</f>
        <v>2</v>
      </c>
      <c r="K870" s="72">
        <v>342.35553956987196</v>
      </c>
      <c r="L870" s="70">
        <v>0.2543036805151494</v>
      </c>
      <c r="M870" s="71">
        <f>IF(L870&lt;1,1,L870)</f>
        <v>1</v>
      </c>
      <c r="N870" s="70" t="s">
        <v>141</v>
      </c>
      <c r="O870" s="71">
        <f>INDEX(DurClassMapping,MATCH(M870,MappingTables!$D$4:$D$8,-1),1)</f>
        <v>1</v>
      </c>
      <c r="P870" s="73">
        <f>IF(M870=$A$1,1,$M870-INDEX(MappingTables!$E$4:$E$8,MATCH(O870,MappingTables!$B$4:$B$8,0)))</f>
        <v>1</v>
      </c>
      <c r="Q870" s="71">
        <f>IF(B870="",0,INDEX(ModelParameters!$D$6:$K$10,MATCH($O870,ModelParameters!$B$6:$B$10,0),MATCH($J870,ModelParameters!$D$5:$K$5,0)))</f>
        <v>0.013999999999999998</v>
      </c>
      <c r="R870" s="71">
        <f>IF(B870="",0,INDEX(ModelParameters!$D$13:$K$17,MATCH($O870,ModelParameters!$B$13:$B$17,0),MATCH($J870,ModelParameters!$D$5:$K$5,0)))</f>
        <v>0</v>
      </c>
      <c r="S870" s="160">
        <f>IF(B870="",0,MIN(IF($N870="Other Bond TM",ModelParameters!$N$21,1)*(P870*Q870+R870),1))</f>
        <v>0.013999999999999998</v>
      </c>
      <c r="T870" s="85">
        <f>IF(B870="",0,$S870*$K870)</f>
        <v>4.7929775539782072</v>
      </c>
      <c r="U870" s="85">
        <f>IF(B870="",0,IF(OR(H870=MappingTables!$C$34,H870=MappingTables!$C$35),T870,0))</f>
        <v>0</v>
      </c>
      <c r="V870" s="85">
        <f>IF(ISNA(IF(AND(VLOOKUP(CONCATENATE($D870,$G870),CSRFinput!$B:$E,4,0)=0,OR(H870=MappingTables!$C$34,H870=MappingTables!$C$35)),1,VLOOKUP(CONCATENATE($D870,$G870),CSRFinput!$B:$E,4,0))),0,IF(AND(VLOOKUP(CONCATENATE($D870,$G870),CSRFinput!$B:$E,4,0)=0,OR(H870=MappingTables!$C$34,H870=MappingTables!$C$35)),1,VLOOKUP(CONCATENATE($D870,$G870),CSRFinput!$B:$E,4,0)))</f>
        <v>0.054776304963434752</v>
      </c>
      <c r="W870" s="85">
        <f>IF(B870="",0,+$T870*$V870)</f>
        <v>0.2625416001796078</v>
      </c>
      <c r="X870" s="85">
        <f>IF(B870="",0,IF(OR(H870=MappingTables!$C$34,H870=MappingTables!$C$35),W870,0))</f>
        <v>0</v>
      </c>
    </row>
    <row r="871" spans="2:24" s="0" customFormat="0" ht="15">
      <c r="B871" s="69">
        <v>18762283</v>
      </c>
      <c r="C871" s="70" t="s">
        <v>1177</v>
      </c>
      <c r="D871" s="70" t="s">
        <v>1</v>
      </c>
      <c r="E871" s="70" t="s">
        <v>1</v>
      </c>
      <c r="F871" s="70"/>
      <c r="G871" s="70" t="s">
        <v>61</v>
      </c>
      <c r="H871" s="70" t="s">
        <v>178</v>
      </c>
      <c r="I871" s="70" t="s">
        <v>179</v>
      </c>
      <c r="J871" s="71">
        <f>IF(OR(I871=0,I871=""),"unrated",VLOOKUP(I871,MappingTables!$B$19:$C$31,2,FALSE))</f>
        <v>4</v>
      </c>
      <c r="K871" s="72">
        <v>8699.0367975727008</v>
      </c>
      <c r="L871" s="70">
        <v>0.9935245981959496</v>
      </c>
      <c r="M871" s="71">
        <f>IF(L871&lt;1,1,L871)</f>
        <v>1</v>
      </c>
      <c r="N871" s="70" t="s">
        <v>141</v>
      </c>
      <c r="O871" s="71">
        <f>INDEX(DurClassMapping,MATCH(M871,MappingTables!$D$4:$D$8,-1),1)</f>
        <v>1</v>
      </c>
      <c r="P871" s="73">
        <f>IF(M871=$A$1,1,$M871-INDEX(MappingTables!$E$4:$E$8,MATCH(O871,MappingTables!$B$4:$B$8,0)))</f>
        <v>1</v>
      </c>
      <c r="Q871" s="71">
        <f>IF(B871="",0,INDEX(ModelParameters!$D$6:$K$10,MATCH($O871,ModelParameters!$B$6:$B$10,0),MATCH($J871,ModelParameters!$D$5:$K$5,0)))</f>
        <v>0.045</v>
      </c>
      <c r="R871" s="71">
        <f>IF(B871="",0,INDEX(ModelParameters!$D$13:$K$17,MATCH($O871,ModelParameters!$B$13:$B$17,0),MATCH($J871,ModelParameters!$D$5:$K$5,0)))</f>
        <v>0</v>
      </c>
      <c r="S871" s="160">
        <f>IF(B871="",0,MIN(IF($N871="Other Bond TM",ModelParameters!$N$21,1)*(P871*Q871+R871),1))</f>
        <v>0.045</v>
      </c>
      <c r="T871" s="85">
        <f>IF(B871="",0,$S871*$K871)</f>
        <v>391.45665589077152</v>
      </c>
      <c r="U871" s="85">
        <f>IF(B871="",0,IF(OR(H871=MappingTables!$C$34,H871=MappingTables!$C$35),T871,0))</f>
        <v>0</v>
      </c>
      <c r="V871" s="85">
        <f>IF(ISNA(IF(AND(VLOOKUP(CONCATENATE($D871,$G871),CSRFinput!$B:$E,4,0)=0,OR(H871=MappingTables!$C$34,H871=MappingTables!$C$35)),1,VLOOKUP(CONCATENATE($D871,$G871),CSRFinput!$B:$E,4,0))),0,IF(AND(VLOOKUP(CONCATENATE($D871,$G871),CSRFinput!$B:$E,4,0)=0,OR(H871=MappingTables!$C$34,H871=MappingTables!$C$35)),1,VLOOKUP(CONCATENATE($D871,$G871),CSRFinput!$B:$E,4,0)))</f>
        <v>0.054776304963434752</v>
      </c>
      <c r="W871" s="85">
        <f>IF(B871="",0,+$T871*$V871)</f>
        <v>21.44254916303924</v>
      </c>
      <c r="X871" s="85">
        <f>IF(B871="",0,IF(OR(H871=MappingTables!$C$34,H871=MappingTables!$C$35),W871,0))</f>
        <v>0</v>
      </c>
    </row>
    <row r="872" spans="2:24" s="0" customFormat="0" ht="15">
      <c r="B872" s="69">
        <v>15645627</v>
      </c>
      <c r="C872" s="70" t="s">
        <v>1178</v>
      </c>
      <c r="D872" s="70" t="s">
        <v>1</v>
      </c>
      <c r="E872" s="70" t="s">
        <v>1</v>
      </c>
      <c r="F872" s="70"/>
      <c r="G872" s="70" t="s">
        <v>61</v>
      </c>
      <c r="H872" s="70" t="s">
        <v>178</v>
      </c>
      <c r="I872" s="70" t="s">
        <v>184</v>
      </c>
      <c r="J872" s="71">
        <f>IF(OR(I872=0,I872=""),"unrated",VLOOKUP(I872,MappingTables!$B$19:$C$31,2,FALSE))</f>
        <v>5</v>
      </c>
      <c r="K872" s="72">
        <v>161.89367068668912</v>
      </c>
      <c r="L872" s="70">
        <v>0.087668970911578704</v>
      </c>
      <c r="M872" s="71">
        <f>IF(L872&lt;1,1,L872)</f>
        <v>1</v>
      </c>
      <c r="N872" s="70" t="s">
        <v>141</v>
      </c>
      <c r="O872" s="71">
        <f>INDEX(DurClassMapping,MATCH(M872,MappingTables!$D$4:$D$8,-1),1)</f>
        <v>1</v>
      </c>
      <c r="P872" s="73">
        <f>IF(M872=$A$1,1,$M872-INDEX(MappingTables!$E$4:$E$8,MATCH(O872,MappingTables!$B$4:$B$8,0)))</f>
        <v>1</v>
      </c>
      <c r="Q872" s="71">
        <f>IF(B872="",0,INDEX(ModelParameters!$D$6:$K$10,MATCH($O872,ModelParameters!$B$6:$B$10,0),MATCH($J872,ModelParameters!$D$5:$K$5,0)))</f>
        <v>0.075</v>
      </c>
      <c r="R872" s="71">
        <f>IF(B872="",0,INDEX(ModelParameters!$D$13:$K$17,MATCH($O872,ModelParameters!$B$13:$B$17,0),MATCH($J872,ModelParameters!$D$5:$K$5,0)))</f>
        <v>0</v>
      </c>
      <c r="S872" s="160">
        <f>IF(B872="",0,MIN(IF($N872="Other Bond TM",ModelParameters!$N$21,1)*(P872*Q872+R872),1))</f>
        <v>0.075</v>
      </c>
      <c r="T872" s="85">
        <f>IF(B872="",0,$S872*$K872)</f>
        <v>12.142025301501684</v>
      </c>
      <c r="U872" s="85">
        <f>IF(B872="",0,IF(OR(H872=MappingTables!$C$34,H872=MappingTables!$C$35),T872,0))</f>
        <v>0</v>
      </c>
      <c r="V872" s="85">
        <f>IF(ISNA(IF(AND(VLOOKUP(CONCATENATE($D872,$G872),CSRFinput!$B:$E,4,0)=0,OR(H872=MappingTables!$C$34,H872=MappingTables!$C$35)),1,VLOOKUP(CONCATENATE($D872,$G872),CSRFinput!$B:$E,4,0))),0,IF(AND(VLOOKUP(CONCATENATE($D872,$G872),CSRFinput!$B:$E,4,0)=0,OR(H872=MappingTables!$C$34,H872=MappingTables!$C$35)),1,VLOOKUP(CONCATENATE($D872,$G872),CSRFinput!$B:$E,4,0)))</f>
        <v>0.054776304963434752</v>
      </c>
      <c r="W872" s="85">
        <f>IF(B872="",0,+$T872*$V872)</f>
        <v>0.66509528078879712</v>
      </c>
      <c r="X872" s="85">
        <f>IF(B872="",0,IF(OR(H872=MappingTables!$C$34,H872=MappingTables!$C$35),W872,0))</f>
        <v>0</v>
      </c>
    </row>
    <row r="873" spans="2:24" s="0" customFormat="0" ht="15">
      <c r="B873" s="69" t="s">
        <v>1179</v>
      </c>
      <c r="C873" s="70" t="s">
        <v>1180</v>
      </c>
      <c r="D873" s="70" t="s">
        <v>1</v>
      </c>
      <c r="E873" s="70" t="s">
        <v>1</v>
      </c>
      <c r="F873" s="70"/>
      <c r="G873" s="70" t="s">
        <v>61</v>
      </c>
      <c r="H873" s="70" t="s">
        <v>178</v>
      </c>
      <c r="I873" s="70" t="s">
        <v>181</v>
      </c>
      <c r="J873" s="71">
        <f>IF(OR(I873=0,I873=""),"unrated",VLOOKUP(I873,MappingTables!$B$19:$C$31,2,FALSE))</f>
        <v>3</v>
      </c>
      <c r="K873" s="72">
        <v>32509.805879454264</v>
      </c>
      <c r="L873" s="70">
        <v>4.567976199159936</v>
      </c>
      <c r="M873" s="71">
        <f>IF(L873&lt;1,1,L873)</f>
        <v>4.567976199159936</v>
      </c>
      <c r="N873" s="70" t="s">
        <v>141</v>
      </c>
      <c r="O873" s="71">
        <f>INDEX(DurClassMapping,MATCH(M873,MappingTables!$D$4:$D$8,-1),1)</f>
        <v>1</v>
      </c>
      <c r="P873" s="73">
        <f>IF(M873=$A$1,1,$M873-INDEX(MappingTables!$E$4:$E$8,MATCH(O873,MappingTables!$B$4:$B$8,0)))</f>
        <v>4.567976199159936</v>
      </c>
      <c r="Q873" s="71">
        <f>IF(B873="",0,INDEX(ModelParameters!$D$6:$K$10,MATCH($O873,ModelParameters!$B$6:$B$10,0),MATCH($J873,ModelParameters!$D$5:$K$5,0)))</f>
        <v>0.025</v>
      </c>
      <c r="R873" s="71">
        <f>IF(B873="",0,INDEX(ModelParameters!$D$13:$K$17,MATCH($O873,ModelParameters!$B$13:$B$17,0),MATCH($J873,ModelParameters!$D$5:$K$5,0)))</f>
        <v>0</v>
      </c>
      <c r="S873" s="160">
        <f>IF(B873="",0,MIN(IF($N873="Other Bond TM",ModelParameters!$N$21,1)*(P873*Q873+R873),1))</f>
        <v>0.11419940497899842</v>
      </c>
      <c r="T873" s="85">
        <f>IF(B873="",0,$S873*$K873)</f>
        <v>3712.6004874164208</v>
      </c>
      <c r="U873" s="85">
        <f>IF(B873="",0,IF(OR(H873=MappingTables!$C$34,H873=MappingTables!$C$35),T873,0))</f>
        <v>0</v>
      </c>
      <c r="V873" s="85">
        <f>IF(ISNA(IF(AND(VLOOKUP(CONCATENATE($D873,$G873),CSRFinput!$B:$E,4,0)=0,OR(H873=MappingTables!$C$34,H873=MappingTables!$C$35)),1,VLOOKUP(CONCATENATE($D873,$G873),CSRFinput!$B:$E,4,0))),0,IF(AND(VLOOKUP(CONCATENATE($D873,$G873),CSRFinput!$B:$E,4,0)=0,OR(H873=MappingTables!$C$34,H873=MappingTables!$C$35)),1,VLOOKUP(CONCATENATE($D873,$G873),CSRFinput!$B:$E,4,0)))</f>
        <v>0.054776304963434752</v>
      </c>
      <c r="W873" s="85">
        <f>IF(B873="",0,+$T873*$V873)</f>
        <v>203.36253650611836</v>
      </c>
      <c r="X873" s="85">
        <f>IF(B873="",0,IF(OR(H873=MappingTables!$C$34,H873=MappingTables!$C$35),W873,0))</f>
        <v>0</v>
      </c>
    </row>
    <row r="874" spans="2:24" s="0" customFormat="0" ht="15">
      <c r="B874" s="69" t="s">
        <v>1181</v>
      </c>
      <c r="C874" s="70" t="s">
        <v>1182</v>
      </c>
      <c r="D874" s="70" t="s">
        <v>1</v>
      </c>
      <c r="E874" s="70" t="s">
        <v>1</v>
      </c>
      <c r="F874" s="70"/>
      <c r="G874" s="70" t="s">
        <v>61</v>
      </c>
      <c r="H874" s="70" t="s">
        <v>178</v>
      </c>
      <c r="I874" s="70" t="s">
        <v>181</v>
      </c>
      <c r="J874" s="71">
        <f>IF(OR(I874=0,I874=""),"unrated",VLOOKUP(I874,MappingTables!$B$19:$C$31,2,FALSE))</f>
        <v>3</v>
      </c>
      <c r="K874" s="72">
        <v>0.84652954152959888</v>
      </c>
      <c r="L874" s="70">
        <v>1.8686009186794996</v>
      </c>
      <c r="M874" s="71">
        <f>IF(L874&lt;1,1,L874)</f>
        <v>1.8686009186794996</v>
      </c>
      <c r="N874" s="70" t="s">
        <v>141</v>
      </c>
      <c r="O874" s="71">
        <f>INDEX(DurClassMapping,MATCH(M874,MappingTables!$D$4:$D$8,-1),1)</f>
        <v>1</v>
      </c>
      <c r="P874" s="73">
        <f>IF(M874=$A$1,1,$M874-INDEX(MappingTables!$E$4:$E$8,MATCH(O874,MappingTables!$B$4:$B$8,0)))</f>
        <v>1.8686009186794996</v>
      </c>
      <c r="Q874" s="71">
        <f>IF(B874="",0,INDEX(ModelParameters!$D$6:$K$10,MATCH($O874,ModelParameters!$B$6:$B$10,0),MATCH($J874,ModelParameters!$D$5:$K$5,0)))</f>
        <v>0.025</v>
      </c>
      <c r="R874" s="71">
        <f>IF(B874="",0,INDEX(ModelParameters!$D$13:$K$17,MATCH($O874,ModelParameters!$B$13:$B$17,0),MATCH($J874,ModelParameters!$D$5:$K$5,0)))</f>
        <v>0</v>
      </c>
      <c r="S874" s="160">
        <f>IF(B874="",0,MIN(IF($N874="Other Bond TM",ModelParameters!$N$21,1)*(P874*Q874+R874),1))</f>
        <v>0.046715022966987488</v>
      </c>
      <c r="T874" s="85">
        <f>IF(B874="",0,$S874*$K874)</f>
        <v>0.0395456469747886</v>
      </c>
      <c r="U874" s="85">
        <f>IF(B874="",0,IF(OR(H874=MappingTables!$C$34,H874=MappingTables!$C$35),T874,0))</f>
        <v>0</v>
      </c>
      <c r="V874" s="85">
        <f>IF(ISNA(IF(AND(VLOOKUP(CONCATENATE($D874,$G874),CSRFinput!$B:$E,4,0)=0,OR(H874=MappingTables!$C$34,H874=MappingTables!$C$35)),1,VLOOKUP(CONCATENATE($D874,$G874),CSRFinput!$B:$E,4,0))),0,IF(AND(VLOOKUP(CONCATENATE($D874,$G874),CSRFinput!$B:$E,4,0)=0,OR(H874=MappingTables!$C$34,H874=MappingTables!$C$35)),1,VLOOKUP(CONCATENATE($D874,$G874),CSRFinput!$B:$E,4,0)))</f>
        <v>0.054776304963434752</v>
      </c>
      <c r="W874" s="85">
        <f>IF(B874="",0,+$T874*$V874)</f>
        <v>0.0021661644186673516</v>
      </c>
      <c r="X874" s="85">
        <f>IF(B874="",0,IF(OR(H874=MappingTables!$C$34,H874=MappingTables!$C$35),W874,0))</f>
        <v>0</v>
      </c>
    </row>
    <row r="875" spans="2:24" s="0" customFormat="0" ht="15">
      <c r="B875" s="69">
        <v>25216638</v>
      </c>
      <c r="C875" s="70" t="s">
        <v>775</v>
      </c>
      <c r="D875" s="70" t="s">
        <v>1</v>
      </c>
      <c r="E875" s="70" t="s">
        <v>1</v>
      </c>
      <c r="F875" s="70"/>
      <c r="G875" s="70" t="s">
        <v>61</v>
      </c>
      <c r="H875" s="70" t="s">
        <v>178</v>
      </c>
      <c r="I875" s="70" t="s">
        <v>188</v>
      </c>
      <c r="J875" s="71">
        <f>IF(OR(I875=0,I875=""),"unrated",VLOOKUP(I875,MappingTables!$B$19:$C$31,2,FALSE))</f>
        <v>2</v>
      </c>
      <c r="K875" s="72">
        <v>183.70638887888672</v>
      </c>
      <c r="L875" s="70">
        <v>2.8433011253037348</v>
      </c>
      <c r="M875" s="71">
        <f>IF(L875&lt;1,1,L875)</f>
        <v>2.8433011253037348</v>
      </c>
      <c r="N875" s="70" t="s">
        <v>141</v>
      </c>
      <c r="O875" s="71">
        <f>INDEX(DurClassMapping,MATCH(M875,MappingTables!$D$4:$D$8,-1),1)</f>
        <v>1</v>
      </c>
      <c r="P875" s="73">
        <f>IF(M875=$A$1,1,$M875-INDEX(MappingTables!$E$4:$E$8,MATCH(O875,MappingTables!$B$4:$B$8,0)))</f>
        <v>2.8433011253037348</v>
      </c>
      <c r="Q875" s="71">
        <f>IF(B875="",0,INDEX(ModelParameters!$D$6:$K$10,MATCH($O875,ModelParameters!$B$6:$B$10,0),MATCH($J875,ModelParameters!$D$5:$K$5,0)))</f>
        <v>0.013999999999999998</v>
      </c>
      <c r="R875" s="71">
        <f>IF(B875="",0,INDEX(ModelParameters!$D$13:$K$17,MATCH($O875,ModelParameters!$B$13:$B$17,0),MATCH($J875,ModelParameters!$D$5:$K$5,0)))</f>
        <v>0</v>
      </c>
      <c r="S875" s="160">
        <f>IF(B875="",0,MIN(IF($N875="Other Bond TM",ModelParameters!$N$21,1)*(P875*Q875+R875),1))</f>
        <v>0.039806215754252288</v>
      </c>
      <c r="T875" s="85">
        <f>IF(B875="",0,$S875*$K875)</f>
        <v>7.312656151147536</v>
      </c>
      <c r="U875" s="85">
        <f>IF(B875="",0,IF(OR(H875=MappingTables!$C$34,H875=MappingTables!$C$35),T875,0))</f>
        <v>0</v>
      </c>
      <c r="V875" s="85">
        <f>IF(ISNA(IF(AND(VLOOKUP(CONCATENATE($D875,$G875),CSRFinput!$B:$E,4,0)=0,OR(H875=MappingTables!$C$34,H875=MappingTables!$C$35)),1,VLOOKUP(CONCATENATE($D875,$G875),CSRFinput!$B:$E,4,0))),0,IF(AND(VLOOKUP(CONCATENATE($D875,$G875),CSRFinput!$B:$E,4,0)=0,OR(H875=MappingTables!$C$34,H875=MappingTables!$C$35)),1,VLOOKUP(CONCATENATE($D875,$G875),CSRFinput!$B:$E,4,0)))</f>
        <v>0.054776304963434752</v>
      </c>
      <c r="W875" s="85">
        <f>IF(B875="",0,+$T875*$V875)</f>
        <v>0.40056028342799448</v>
      </c>
      <c r="X875" s="85">
        <f>IF(B875="",0,IF(OR(H875=MappingTables!$C$34,H875=MappingTables!$C$35),W875,0))</f>
        <v>0</v>
      </c>
    </row>
    <row r="876" spans="2:24" s="0" customFormat="0" ht="15">
      <c r="B876" s="69">
        <v>21736822</v>
      </c>
      <c r="C876" s="70" t="s">
        <v>1183</v>
      </c>
      <c r="D876" s="70" t="s">
        <v>1</v>
      </c>
      <c r="E876" s="70" t="s">
        <v>1</v>
      </c>
      <c r="F876" s="70"/>
      <c r="G876" s="70" t="s">
        <v>61</v>
      </c>
      <c r="H876" s="70" t="s">
        <v>178</v>
      </c>
      <c r="I876" s="70" t="s">
        <v>181</v>
      </c>
      <c r="J876" s="71">
        <f>IF(OR(I876=0,I876=""),"unrated",VLOOKUP(I876,MappingTables!$B$19:$C$31,2,FALSE))</f>
        <v>3</v>
      </c>
      <c r="K876" s="72">
        <v>64.494514905324808</v>
      </c>
      <c r="L876" s="70">
        <v>3.7546517046675112</v>
      </c>
      <c r="M876" s="71">
        <f>IF(L876&lt;1,1,L876)</f>
        <v>3.7546517046675112</v>
      </c>
      <c r="N876" s="70" t="s">
        <v>141</v>
      </c>
      <c r="O876" s="71">
        <f>INDEX(DurClassMapping,MATCH(M876,MappingTables!$D$4:$D$8,-1),1)</f>
        <v>1</v>
      </c>
      <c r="P876" s="73">
        <f>IF(M876=$A$1,1,$M876-INDEX(MappingTables!$E$4:$E$8,MATCH(O876,MappingTables!$B$4:$B$8,0)))</f>
        <v>3.7546517046675112</v>
      </c>
      <c r="Q876" s="71">
        <f>IF(B876="",0,INDEX(ModelParameters!$D$6:$K$10,MATCH($O876,ModelParameters!$B$6:$B$10,0),MATCH($J876,ModelParameters!$D$5:$K$5,0)))</f>
        <v>0.025</v>
      </c>
      <c r="R876" s="71">
        <f>IF(B876="",0,INDEX(ModelParameters!$D$13:$K$17,MATCH($O876,ModelParameters!$B$13:$B$17,0),MATCH($J876,ModelParameters!$D$5:$K$5,0)))</f>
        <v>0</v>
      </c>
      <c r="S876" s="160">
        <f>IF(B876="",0,MIN(IF($N876="Other Bond TM",ModelParameters!$N$21,1)*(P876*Q876+R876),1))</f>
        <v>0.093866292616687792</v>
      </c>
      <c r="T876" s="85">
        <f>IF(B876="",0,$S876*$K876)</f>
        <v>6.0538610082745504</v>
      </c>
      <c r="U876" s="85">
        <f>IF(B876="",0,IF(OR(H876=MappingTables!$C$34,H876=MappingTables!$C$35),T876,0))</f>
        <v>0</v>
      </c>
      <c r="V876" s="85">
        <f>IF(ISNA(IF(AND(VLOOKUP(CONCATENATE($D876,$G876),CSRFinput!$B:$E,4,0)=0,OR(H876=MappingTables!$C$34,H876=MappingTables!$C$35)),1,VLOOKUP(CONCATENATE($D876,$G876),CSRFinput!$B:$E,4,0))),0,IF(AND(VLOOKUP(CONCATENATE($D876,$G876),CSRFinput!$B:$E,4,0)=0,OR(H876=MappingTables!$C$34,H876=MappingTables!$C$35)),1,VLOOKUP(CONCATENATE($D876,$G876),CSRFinput!$B:$E,4,0)))</f>
        <v>0.054776304963434752</v>
      </c>
      <c r="W876" s="85">
        <f>IF(B876="",0,+$T876*$V876)</f>
        <v>0.3316081367954934</v>
      </c>
      <c r="X876" s="85">
        <f>IF(B876="",0,IF(OR(H876=MappingTables!$C$34,H876=MappingTables!$C$35),W876,0))</f>
        <v>0</v>
      </c>
    </row>
    <row r="877" spans="2:24" s="0" customFormat="0" ht="15">
      <c r="B877" s="69">
        <v>15217220</v>
      </c>
      <c r="C877" s="70" t="s">
        <v>1184</v>
      </c>
      <c r="D877" s="70" t="s">
        <v>1</v>
      </c>
      <c r="E877" s="70" t="s">
        <v>1</v>
      </c>
      <c r="F877" s="70"/>
      <c r="G877" s="70" t="s">
        <v>61</v>
      </c>
      <c r="H877" s="70" t="s">
        <v>178</v>
      </c>
      <c r="I877" s="70" t="s">
        <v>179</v>
      </c>
      <c r="J877" s="71">
        <f>IF(OR(I877=0,I877=""),"unrated",VLOOKUP(I877,MappingTables!$B$19:$C$31,2,FALSE))</f>
        <v>4</v>
      </c>
      <c r="K877" s="72">
        <v>623.81931584923056</v>
      </c>
      <c r="L877" s="70">
        <v>0.032871256475114228</v>
      </c>
      <c r="M877" s="71">
        <f>IF(L877&lt;1,1,L877)</f>
        <v>1</v>
      </c>
      <c r="N877" s="70" t="s">
        <v>141</v>
      </c>
      <c r="O877" s="71">
        <f>INDEX(DurClassMapping,MATCH(M877,MappingTables!$D$4:$D$8,-1),1)</f>
        <v>1</v>
      </c>
      <c r="P877" s="73">
        <f>IF(M877=$A$1,1,$M877-INDEX(MappingTables!$E$4:$E$8,MATCH(O877,MappingTables!$B$4:$B$8,0)))</f>
        <v>1</v>
      </c>
      <c r="Q877" s="71">
        <f>IF(B877="",0,INDEX(ModelParameters!$D$6:$K$10,MATCH($O877,ModelParameters!$B$6:$B$10,0),MATCH($J877,ModelParameters!$D$5:$K$5,0)))</f>
        <v>0.045</v>
      </c>
      <c r="R877" s="71">
        <f>IF(B877="",0,INDEX(ModelParameters!$D$13:$K$17,MATCH($O877,ModelParameters!$B$13:$B$17,0),MATCH($J877,ModelParameters!$D$5:$K$5,0)))</f>
        <v>0</v>
      </c>
      <c r="S877" s="160">
        <f>IF(B877="",0,MIN(IF($N877="Other Bond TM",ModelParameters!$N$21,1)*(P877*Q877+R877),1))</f>
        <v>0.045</v>
      </c>
      <c r="T877" s="85">
        <f>IF(B877="",0,$S877*$K877)</f>
        <v>28.071869213215372</v>
      </c>
      <c r="U877" s="85">
        <f>IF(B877="",0,IF(OR(H877=MappingTables!$C$34,H877=MappingTables!$C$35),T877,0))</f>
        <v>0</v>
      </c>
      <c r="V877" s="85">
        <f>IF(ISNA(IF(AND(VLOOKUP(CONCATENATE($D877,$G877),CSRFinput!$B:$E,4,0)=0,OR(H877=MappingTables!$C$34,H877=MappingTables!$C$35)),1,VLOOKUP(CONCATENATE($D877,$G877),CSRFinput!$B:$E,4,0))),0,IF(AND(VLOOKUP(CONCATENATE($D877,$G877),CSRFinput!$B:$E,4,0)=0,OR(H877=MappingTables!$C$34,H877=MappingTables!$C$35)),1,VLOOKUP(CONCATENATE($D877,$G877),CSRFinput!$B:$E,4,0)))</f>
        <v>0.054776304963434752</v>
      </c>
      <c r="W877" s="85">
        <f>IF(B877="",0,+$T877*$V877)</f>
        <v>1.5376732689167404</v>
      </c>
      <c r="X877" s="85">
        <f>IF(B877="",0,IF(OR(H877=MappingTables!$C$34,H877=MappingTables!$C$35),W877,0))</f>
        <v>0</v>
      </c>
    </row>
    <row r="878" spans="2:24" s="0" customFormat="0" ht="15">
      <c r="B878" s="69">
        <v>23545374</v>
      </c>
      <c r="C878" s="70" t="s">
        <v>1185</v>
      </c>
      <c r="D878" s="70" t="s">
        <v>1</v>
      </c>
      <c r="E878" s="70" t="s">
        <v>1</v>
      </c>
      <c r="F878" s="70"/>
      <c r="G878" s="70" t="s">
        <v>61</v>
      </c>
      <c r="H878" s="70" t="s">
        <v>178</v>
      </c>
      <c r="I878" s="70" t="s">
        <v>184</v>
      </c>
      <c r="J878" s="71">
        <f>IF(OR(I878=0,I878=""),"unrated",VLOOKUP(I878,MappingTables!$B$19:$C$31,2,FALSE))</f>
        <v>5</v>
      </c>
      <c r="K878" s="72">
        <v>5849.4668585692144</v>
      </c>
      <c r="L878" s="70">
        <v>2.2071861522174716</v>
      </c>
      <c r="M878" s="71">
        <f>IF(L878&lt;1,1,L878)</f>
        <v>2.2071861522174716</v>
      </c>
      <c r="N878" s="70" t="s">
        <v>141</v>
      </c>
      <c r="O878" s="71">
        <f>INDEX(DurClassMapping,MATCH(M878,MappingTables!$D$4:$D$8,-1),1)</f>
        <v>1</v>
      </c>
      <c r="P878" s="73">
        <f>IF(M878=$A$1,1,$M878-INDEX(MappingTables!$E$4:$E$8,MATCH(O878,MappingTables!$B$4:$B$8,0)))</f>
        <v>2.2071861522174716</v>
      </c>
      <c r="Q878" s="71">
        <f>IF(B878="",0,INDEX(ModelParameters!$D$6:$K$10,MATCH($O878,ModelParameters!$B$6:$B$10,0),MATCH($J878,ModelParameters!$D$5:$K$5,0)))</f>
        <v>0.075</v>
      </c>
      <c r="R878" s="71">
        <f>IF(B878="",0,INDEX(ModelParameters!$D$13:$K$17,MATCH($O878,ModelParameters!$B$13:$B$17,0),MATCH($J878,ModelParameters!$D$5:$K$5,0)))</f>
        <v>0</v>
      </c>
      <c r="S878" s="160">
        <f>IF(B878="",0,MIN(IF($N878="Other Bond TM",ModelParameters!$N$21,1)*(P878*Q878+R878),1))</f>
        <v>0.16553896141631036</v>
      </c>
      <c r="T878" s="85">
        <f>IF(B878="",0,$S878*$K878)</f>
        <v>968.31466860667536</v>
      </c>
      <c r="U878" s="85">
        <f>IF(B878="",0,IF(OR(H878=MappingTables!$C$34,H878=MappingTables!$C$35),T878,0))</f>
        <v>0</v>
      </c>
      <c r="V878" s="85">
        <f>IF(ISNA(IF(AND(VLOOKUP(CONCATENATE($D878,$G878),CSRFinput!$B:$E,4,0)=0,OR(H878=MappingTables!$C$34,H878=MappingTables!$C$35)),1,VLOOKUP(CONCATENATE($D878,$G878),CSRFinput!$B:$E,4,0))),0,IF(AND(VLOOKUP(CONCATENATE($D878,$G878),CSRFinput!$B:$E,4,0)=0,OR(H878=MappingTables!$C$34,H878=MappingTables!$C$35)),1,VLOOKUP(CONCATENATE($D878,$G878),CSRFinput!$B:$E,4,0)))</f>
        <v>0.054776304963434752</v>
      </c>
      <c r="W878" s="85">
        <f>IF(B878="",0,+$T878*$V878)</f>
        <v>53.040699588166512</v>
      </c>
      <c r="X878" s="85">
        <f>IF(B878="",0,IF(OR(H878=MappingTables!$C$34,H878=MappingTables!$C$35),W878,0))</f>
        <v>0</v>
      </c>
    </row>
    <row r="879" spans="2:24" s="0" customFormat="0" ht="15">
      <c r="B879" s="69">
        <v>260991</v>
      </c>
      <c r="C879" s="70" t="s">
        <v>1186</v>
      </c>
      <c r="D879" s="70" t="s">
        <v>1</v>
      </c>
      <c r="E879" s="70" t="s">
        <v>1</v>
      </c>
      <c r="F879" s="70"/>
      <c r="G879" s="70" t="s">
        <v>61</v>
      </c>
      <c r="H879" s="70" t="s">
        <v>178</v>
      </c>
      <c r="I879" s="70" t="s">
        <v>181</v>
      </c>
      <c r="J879" s="71">
        <f>IF(OR(I879=0,I879=""),"unrated",VLOOKUP(I879,MappingTables!$B$19:$C$31,2,FALSE))</f>
        <v>3</v>
      </c>
      <c r="K879" s="72">
        <v>1164.6227190835194</v>
      </c>
      <c r="L879" s="70">
        <v>8.6361408190547296</v>
      </c>
      <c r="M879" s="71">
        <f>IF(L879&lt;1,1,L879)</f>
        <v>8.6361408190547296</v>
      </c>
      <c r="N879" s="70" t="s">
        <v>141</v>
      </c>
      <c r="O879" s="71">
        <f>INDEX(DurClassMapping,MATCH(M879,MappingTables!$D$4:$D$8,-1),1)</f>
        <v>2</v>
      </c>
      <c r="P879" s="73">
        <f>IF(M879=$A$1,1,$M879-INDEX(MappingTables!$E$4:$E$8,MATCH(O879,MappingTables!$B$4:$B$8,0)))</f>
        <v>3.6361408190547288</v>
      </c>
      <c r="Q879" s="71">
        <f>IF(B879="",0,INDEX(ModelParameters!$D$6:$K$10,MATCH($O879,ModelParameters!$B$6:$B$10,0),MATCH($J879,ModelParameters!$D$5:$K$5,0)))</f>
        <v>0.015</v>
      </c>
      <c r="R879" s="71">
        <f>IF(B879="",0,INDEX(ModelParameters!$D$13:$K$17,MATCH($O879,ModelParameters!$B$13:$B$17,0),MATCH($J879,ModelParameters!$D$5:$K$5,0)))</f>
        <v>0.125</v>
      </c>
      <c r="S879" s="160">
        <f>IF(B879="",0,MIN(IF($N879="Other Bond TM",ModelParameters!$N$21,1)*(P879*Q879+R879),1))</f>
        <v>0.17954211228582092</v>
      </c>
      <c r="T879" s="85">
        <f>IF(B879="",0,$S879*$K879)</f>
        <v>209.09882300031132</v>
      </c>
      <c r="U879" s="85">
        <f>IF(B879="",0,IF(OR(H879=MappingTables!$C$34,H879=MappingTables!$C$35),T879,0))</f>
        <v>0</v>
      </c>
      <c r="V879" s="85">
        <f>IF(ISNA(IF(AND(VLOOKUP(CONCATENATE($D879,$G879),CSRFinput!$B:$E,4,0)=0,OR(H879=MappingTables!$C$34,H879=MappingTables!$C$35)),1,VLOOKUP(CONCATENATE($D879,$G879),CSRFinput!$B:$E,4,0))),0,IF(AND(VLOOKUP(CONCATENATE($D879,$G879),CSRFinput!$B:$E,4,0)=0,OR(H879=MappingTables!$C$34,H879=MappingTables!$C$35)),1,VLOOKUP(CONCATENATE($D879,$G879),CSRFinput!$B:$E,4,0)))</f>
        <v>0.054776304963434752</v>
      </c>
      <c r="W879" s="85">
        <f>IF(B879="",0,+$T879*$V879)</f>
        <v>11.453660896160316</v>
      </c>
      <c r="X879" s="85">
        <f>IF(B879="",0,IF(OR(H879=MappingTables!$C$34,H879=MappingTables!$C$35),W879,0))</f>
        <v>0</v>
      </c>
    </row>
    <row r="880" spans="2:24" s="0" customFormat="0" ht="15">
      <c r="B880" s="69">
        <v>20993775</v>
      </c>
      <c r="C880" s="70" t="s">
        <v>1187</v>
      </c>
      <c r="D880" s="70" t="s">
        <v>1</v>
      </c>
      <c r="E880" s="70" t="s">
        <v>1</v>
      </c>
      <c r="F880" s="70"/>
      <c r="G880" s="70" t="s">
        <v>61</v>
      </c>
      <c r="H880" s="70" t="s">
        <v>178</v>
      </c>
      <c r="I880" s="70" t="s">
        <v>181</v>
      </c>
      <c r="J880" s="71">
        <f>IF(OR(I880=0,I880=""),"unrated",VLOOKUP(I880,MappingTables!$B$19:$C$31,2,FALSE))</f>
        <v>3</v>
      </c>
      <c r="K880" s="72">
        <v>1520.4318590649132</v>
      </c>
      <c r="L880" s="70">
        <v>3.4181795659792796</v>
      </c>
      <c r="M880" s="71">
        <f>IF(L880&lt;1,1,L880)</f>
        <v>3.4181795659792796</v>
      </c>
      <c r="N880" s="70" t="s">
        <v>141</v>
      </c>
      <c r="O880" s="71">
        <f>INDEX(DurClassMapping,MATCH(M880,MappingTables!$D$4:$D$8,-1),1)</f>
        <v>1</v>
      </c>
      <c r="P880" s="73">
        <f>IF(M880=$A$1,1,$M880-INDEX(MappingTables!$E$4:$E$8,MATCH(O880,MappingTables!$B$4:$B$8,0)))</f>
        <v>3.4181795659792796</v>
      </c>
      <c r="Q880" s="71">
        <f>IF(B880="",0,INDEX(ModelParameters!$D$6:$K$10,MATCH($O880,ModelParameters!$B$6:$B$10,0),MATCH($J880,ModelParameters!$D$5:$K$5,0)))</f>
        <v>0.025</v>
      </c>
      <c r="R880" s="71">
        <f>IF(B880="",0,INDEX(ModelParameters!$D$13:$K$17,MATCH($O880,ModelParameters!$B$13:$B$17,0),MATCH($J880,ModelParameters!$D$5:$K$5,0)))</f>
        <v>0</v>
      </c>
      <c r="S880" s="160">
        <f>IF(B880="",0,MIN(IF($N880="Other Bond TM",ModelParameters!$N$21,1)*(P880*Q880+R880),1))</f>
        <v>0.085454489149482</v>
      </c>
      <c r="T880" s="85">
        <f>IF(B880="",0,$S880*$K880)</f>
        <v>129.92772780298938</v>
      </c>
      <c r="U880" s="85">
        <f>IF(B880="",0,IF(OR(H880=MappingTables!$C$34,H880=MappingTables!$C$35),T880,0))</f>
        <v>0</v>
      </c>
      <c r="V880" s="85">
        <f>IF(ISNA(IF(AND(VLOOKUP(CONCATENATE($D880,$G880),CSRFinput!$B:$E,4,0)=0,OR(H880=MappingTables!$C$34,H880=MappingTables!$C$35)),1,VLOOKUP(CONCATENATE($D880,$G880),CSRFinput!$B:$E,4,0))),0,IF(AND(VLOOKUP(CONCATENATE($D880,$G880),CSRFinput!$B:$E,4,0)=0,OR(H880=MappingTables!$C$34,H880=MappingTables!$C$35)),1,VLOOKUP(CONCATENATE($D880,$G880),CSRFinput!$B:$E,4,0)))</f>
        <v>0.054776304963434752</v>
      </c>
      <c r="W880" s="85">
        <f>IF(B880="",0,+$T880*$V880)</f>
        <v>7.1169608413426872</v>
      </c>
      <c r="X880" s="85">
        <f>IF(B880="",0,IF(OR(H880=MappingTables!$C$34,H880=MappingTables!$C$35),W880,0))</f>
        <v>0</v>
      </c>
    </row>
    <row r="881" spans="2:24" s="0" customFormat="0" ht="15">
      <c r="B881" s="69" t="s">
        <v>619</v>
      </c>
      <c r="C881" s="70" t="s">
        <v>620</v>
      </c>
      <c r="D881" s="70" t="s">
        <v>1</v>
      </c>
      <c r="E881" s="70" t="s">
        <v>1</v>
      </c>
      <c r="F881" s="70"/>
      <c r="G881" s="70" t="s">
        <v>61</v>
      </c>
      <c r="H881" s="70" t="s">
        <v>178</v>
      </c>
      <c r="I881" s="70" t="s">
        <v>179</v>
      </c>
      <c r="J881" s="71">
        <f>IF(OR(I881=0,I881=""),"unrated",VLOOKUP(I881,MappingTables!$B$19:$C$31,2,FALSE))</f>
        <v>4</v>
      </c>
      <c r="K881" s="72">
        <v>93091.30724114032</v>
      </c>
      <c r="L881" s="70">
        <v>6.3053161698975104</v>
      </c>
      <c r="M881" s="71">
        <f>IF(L881&lt;1,1,L881)</f>
        <v>6.3053161698975104</v>
      </c>
      <c r="N881" s="70" t="s">
        <v>141</v>
      </c>
      <c r="O881" s="71">
        <f>INDEX(DurClassMapping,MATCH(M881,MappingTables!$D$4:$D$8,-1),1)</f>
        <v>2</v>
      </c>
      <c r="P881" s="73">
        <f>IF(M881=$A$1,1,$M881-INDEX(MappingTables!$E$4:$E$8,MATCH(O881,MappingTables!$B$4:$B$8,0)))</f>
        <v>1.3053161698975106</v>
      </c>
      <c r="Q881" s="71">
        <f>IF(B881="",0,INDEX(ModelParameters!$D$6:$K$10,MATCH($O881,ModelParameters!$B$6:$B$10,0),MATCH($J881,ModelParameters!$D$5:$K$5,0)))</f>
        <v>0.025</v>
      </c>
      <c r="R881" s="71">
        <f>IF(B881="",0,INDEX(ModelParameters!$D$13:$K$17,MATCH($O881,ModelParameters!$B$13:$B$17,0),MATCH($J881,ModelParameters!$D$5:$K$5,0)))</f>
        <v>0.225</v>
      </c>
      <c r="S881" s="160">
        <f>IF(B881="",0,MIN(IF($N881="Other Bond TM",ModelParameters!$N$21,1)*(P881*Q881+R881),1))</f>
        <v>0.2576329042474378</v>
      </c>
      <c r="T881" s="85">
        <f>IF(B881="",0,$S881*$K881)</f>
        <v>23983.38384472552</v>
      </c>
      <c r="U881" s="85">
        <f>IF(B881="",0,IF(OR(H881=MappingTables!$C$34,H881=MappingTables!$C$35),T881,0))</f>
        <v>0</v>
      </c>
      <c r="V881" s="85">
        <f>IF(ISNA(IF(AND(VLOOKUP(CONCATENATE($D881,$G881),CSRFinput!$B:$E,4,0)=0,OR(H881=MappingTables!$C$34,H881=MappingTables!$C$35)),1,VLOOKUP(CONCATENATE($D881,$G881),CSRFinput!$B:$E,4,0))),0,IF(AND(VLOOKUP(CONCATENATE($D881,$G881),CSRFinput!$B:$E,4,0)=0,OR(H881=MappingTables!$C$34,H881=MappingTables!$C$35)),1,VLOOKUP(CONCATENATE($D881,$G881),CSRFinput!$B:$E,4,0)))</f>
        <v>0.054776304963434752</v>
      </c>
      <c r="W881" s="85">
        <f>IF(B881="",0,+$T881*$V881)</f>
        <v>1313.7211475337992</v>
      </c>
      <c r="X881" s="85">
        <f>IF(B881="",0,IF(OR(H881=MappingTables!$C$34,H881=MappingTables!$C$35),W881,0))</f>
        <v>0</v>
      </c>
    </row>
    <row r="882" spans="2:24" s="0" customFormat="0" ht="15">
      <c r="B882" s="69" t="s">
        <v>1188</v>
      </c>
      <c r="C882" s="70" t="s">
        <v>1189</v>
      </c>
      <c r="D882" s="70" t="s">
        <v>1</v>
      </c>
      <c r="E882" s="70" t="s">
        <v>1</v>
      </c>
      <c r="F882" s="70"/>
      <c r="G882" s="70" t="s">
        <v>61</v>
      </c>
      <c r="H882" s="70" t="s">
        <v>178</v>
      </c>
      <c r="I882" s="70" t="s">
        <v>188</v>
      </c>
      <c r="J882" s="71">
        <f>IF(OR(I882=0,I882=""),"unrated",VLOOKUP(I882,MappingTables!$B$19:$C$31,2,FALSE))</f>
        <v>2</v>
      </c>
      <c r="K882" s="72">
        <v>105.02570800861914</v>
      </c>
      <c r="L882" s="70">
        <v>0.42134163426642352</v>
      </c>
      <c r="M882" s="71">
        <f>IF(L882&lt;1,1,L882)</f>
        <v>1</v>
      </c>
      <c r="N882" s="70" t="s">
        <v>141</v>
      </c>
      <c r="O882" s="71">
        <f>INDEX(DurClassMapping,MATCH(M882,MappingTables!$D$4:$D$8,-1),1)</f>
        <v>1</v>
      </c>
      <c r="P882" s="73">
        <f>IF(M882=$A$1,1,$M882-INDEX(MappingTables!$E$4:$E$8,MATCH(O882,MappingTables!$B$4:$B$8,0)))</f>
        <v>1</v>
      </c>
      <c r="Q882" s="71">
        <f>IF(B882="",0,INDEX(ModelParameters!$D$6:$K$10,MATCH($O882,ModelParameters!$B$6:$B$10,0),MATCH($J882,ModelParameters!$D$5:$K$5,0)))</f>
        <v>0.013999999999999998</v>
      </c>
      <c r="R882" s="71">
        <f>IF(B882="",0,INDEX(ModelParameters!$D$13:$K$17,MATCH($O882,ModelParameters!$B$13:$B$17,0),MATCH($J882,ModelParameters!$D$5:$K$5,0)))</f>
        <v>0</v>
      </c>
      <c r="S882" s="160">
        <f>IF(B882="",0,MIN(IF($N882="Other Bond TM",ModelParameters!$N$21,1)*(P882*Q882+R882),1))</f>
        <v>0.013999999999999998</v>
      </c>
      <c r="T882" s="85">
        <f>IF(B882="",0,$S882*$K882)</f>
        <v>1.4703599121206678</v>
      </c>
      <c r="U882" s="85">
        <f>IF(B882="",0,IF(OR(H882=MappingTables!$C$34,H882=MappingTables!$C$35),T882,0))</f>
        <v>0</v>
      </c>
      <c r="V882" s="85">
        <f>IF(ISNA(IF(AND(VLOOKUP(CONCATENATE($D882,$G882),CSRFinput!$B:$E,4,0)=0,OR(H882=MappingTables!$C$34,H882=MappingTables!$C$35)),1,VLOOKUP(CONCATENATE($D882,$G882),CSRFinput!$B:$E,4,0))),0,IF(AND(VLOOKUP(CONCATENATE($D882,$G882),CSRFinput!$B:$E,4,0)=0,OR(H882=MappingTables!$C$34,H882=MappingTables!$C$35)),1,VLOOKUP(CONCATENATE($D882,$G882),CSRFinput!$B:$E,4,0)))</f>
        <v>0.054776304963434752</v>
      </c>
      <c r="W882" s="85">
        <f>IF(B882="",0,+$T882*$V882)</f>
        <v>0.080540882952330832</v>
      </c>
      <c r="X882" s="85">
        <f>IF(B882="",0,IF(OR(H882=MappingTables!$C$34,H882=MappingTables!$C$35),W882,0))</f>
        <v>0</v>
      </c>
    </row>
    <row r="883" spans="2:24" s="0" customFormat="0" ht="15">
      <c r="B883" s="69">
        <v>15774249</v>
      </c>
      <c r="C883" s="70" t="s">
        <v>1190</v>
      </c>
      <c r="D883" s="70" t="s">
        <v>1</v>
      </c>
      <c r="E883" s="70" t="s">
        <v>1</v>
      </c>
      <c r="F883" s="70"/>
      <c r="G883" s="70" t="s">
        <v>61</v>
      </c>
      <c r="H883" s="70" t="s">
        <v>178</v>
      </c>
      <c r="I883" s="70" t="s">
        <v>181</v>
      </c>
      <c r="J883" s="71">
        <f>IF(OR(I883=0,I883=""),"unrated",VLOOKUP(I883,MappingTables!$B$19:$C$31,2,FALSE))</f>
        <v>3</v>
      </c>
      <c r="K883" s="72">
        <v>1736.6013780688314</v>
      </c>
      <c r="L883" s="70">
        <v>0.11780645576601532</v>
      </c>
      <c r="M883" s="71">
        <f>IF(L883&lt;1,1,L883)</f>
        <v>1</v>
      </c>
      <c r="N883" s="70" t="s">
        <v>141</v>
      </c>
      <c r="O883" s="71">
        <f>INDEX(DurClassMapping,MATCH(M883,MappingTables!$D$4:$D$8,-1),1)</f>
        <v>1</v>
      </c>
      <c r="P883" s="73">
        <f>IF(M883=$A$1,1,$M883-INDEX(MappingTables!$E$4:$E$8,MATCH(O883,MappingTables!$B$4:$B$8,0)))</f>
        <v>1</v>
      </c>
      <c r="Q883" s="71">
        <f>IF(B883="",0,INDEX(ModelParameters!$D$6:$K$10,MATCH($O883,ModelParameters!$B$6:$B$10,0),MATCH($J883,ModelParameters!$D$5:$K$5,0)))</f>
        <v>0.025</v>
      </c>
      <c r="R883" s="71">
        <f>IF(B883="",0,INDEX(ModelParameters!$D$13:$K$17,MATCH($O883,ModelParameters!$B$13:$B$17,0),MATCH($J883,ModelParameters!$D$5:$K$5,0)))</f>
        <v>0</v>
      </c>
      <c r="S883" s="160">
        <f>IF(B883="",0,MIN(IF($N883="Other Bond TM",ModelParameters!$N$21,1)*(P883*Q883+R883),1))</f>
        <v>0.025</v>
      </c>
      <c r="T883" s="85">
        <f>IF(B883="",0,$S883*$K883)</f>
        <v>43.415034451720784</v>
      </c>
      <c r="U883" s="85">
        <f>IF(B883="",0,IF(OR(H883=MappingTables!$C$34,H883=MappingTables!$C$35),T883,0))</f>
        <v>0</v>
      </c>
      <c r="V883" s="85">
        <f>IF(ISNA(IF(AND(VLOOKUP(CONCATENATE($D883,$G883),CSRFinput!$B:$E,4,0)=0,OR(H883=MappingTables!$C$34,H883=MappingTables!$C$35)),1,VLOOKUP(CONCATENATE($D883,$G883),CSRFinput!$B:$E,4,0))),0,IF(AND(VLOOKUP(CONCATENATE($D883,$G883),CSRFinput!$B:$E,4,0)=0,OR(H883=MappingTables!$C$34,H883=MappingTables!$C$35)),1,VLOOKUP(CONCATENATE($D883,$G883),CSRFinput!$B:$E,4,0)))</f>
        <v>0.054776304963434752</v>
      </c>
      <c r="W883" s="85">
        <f>IF(B883="",0,+$T883*$V883)</f>
        <v>2.378115167125484</v>
      </c>
      <c r="X883" s="85">
        <f>IF(B883="",0,IF(OR(H883=MappingTables!$C$34,H883=MappingTables!$C$35),W883,0))</f>
        <v>0</v>
      </c>
    </row>
    <row r="884" spans="2:24" s="0" customFormat="0" ht="15">
      <c r="B884" s="69">
        <v>22466874</v>
      </c>
      <c r="C884" s="70" t="s">
        <v>1191</v>
      </c>
      <c r="D884" s="70" t="s">
        <v>1</v>
      </c>
      <c r="E884" s="70" t="s">
        <v>1</v>
      </c>
      <c r="F884" s="70"/>
      <c r="G884" s="70" t="s">
        <v>61</v>
      </c>
      <c r="H884" s="70" t="s">
        <v>178</v>
      </c>
      <c r="I884" s="70" t="s">
        <v>179</v>
      </c>
      <c r="J884" s="71">
        <f>IF(OR(I884=0,I884=""),"unrated",VLOOKUP(I884,MappingTables!$B$19:$C$31,2,FALSE))</f>
        <v>4</v>
      </c>
      <c r="K884" s="72">
        <v>75159.029947443808</v>
      </c>
      <c r="L884" s="70">
        <v>3.5871499909421624</v>
      </c>
      <c r="M884" s="71">
        <f>IF(L884&lt;1,1,L884)</f>
        <v>3.5871499909421624</v>
      </c>
      <c r="N884" s="70" t="s">
        <v>141</v>
      </c>
      <c r="O884" s="71">
        <f>INDEX(DurClassMapping,MATCH(M884,MappingTables!$D$4:$D$8,-1),1)</f>
        <v>1</v>
      </c>
      <c r="P884" s="73">
        <f>IF(M884=$A$1,1,$M884-INDEX(MappingTables!$E$4:$E$8,MATCH(O884,MappingTables!$B$4:$B$8,0)))</f>
        <v>3.5871499909421624</v>
      </c>
      <c r="Q884" s="71">
        <f>IF(B884="",0,INDEX(ModelParameters!$D$6:$K$10,MATCH($O884,ModelParameters!$B$6:$B$10,0),MATCH($J884,ModelParameters!$D$5:$K$5,0)))</f>
        <v>0.045</v>
      </c>
      <c r="R884" s="71">
        <f>IF(B884="",0,INDEX(ModelParameters!$D$13:$K$17,MATCH($O884,ModelParameters!$B$13:$B$17,0),MATCH($J884,ModelParameters!$D$5:$K$5,0)))</f>
        <v>0</v>
      </c>
      <c r="S884" s="160">
        <f>IF(B884="",0,MIN(IF($N884="Other Bond TM",ModelParameters!$N$21,1)*(P884*Q884+R884),1))</f>
        <v>0.1614217495923973</v>
      </c>
      <c r="T884" s="85">
        <f>IF(B884="",0,$S884*$K884)</f>
        <v>12132.302111783764</v>
      </c>
      <c r="U884" s="85">
        <f>IF(B884="",0,IF(OR(H884=MappingTables!$C$34,H884=MappingTables!$C$35),T884,0))</f>
        <v>0</v>
      </c>
      <c r="V884" s="85">
        <f>IF(ISNA(IF(AND(VLOOKUP(CONCATENATE($D884,$G884),CSRFinput!$B:$E,4,0)=0,OR(H884=MappingTables!$C$34,H884=MappingTables!$C$35)),1,VLOOKUP(CONCATENATE($D884,$G884),CSRFinput!$B:$E,4,0))),0,IF(AND(VLOOKUP(CONCATENATE($D884,$G884),CSRFinput!$B:$E,4,0)=0,OR(H884=MappingTables!$C$34,H884=MappingTables!$C$35)),1,VLOOKUP(CONCATENATE($D884,$G884),CSRFinput!$B:$E,4,0)))</f>
        <v>0.054776304963434752</v>
      </c>
      <c r="W884" s="85">
        <f>IF(B884="",0,+$T884*$V884)</f>
        <v>664.56268038359088</v>
      </c>
      <c r="X884" s="85">
        <f>IF(B884="",0,IF(OR(H884=MappingTables!$C$34,H884=MappingTables!$C$35),W884,0))</f>
        <v>0</v>
      </c>
    </row>
    <row r="885" spans="2:24" s="0" customFormat="0" ht="15">
      <c r="B885" s="69">
        <v>17621838</v>
      </c>
      <c r="C885" s="70" t="s">
        <v>1192</v>
      </c>
      <c r="D885" s="70" t="s">
        <v>1</v>
      </c>
      <c r="E885" s="70" t="s">
        <v>1</v>
      </c>
      <c r="F885" s="70"/>
      <c r="G885" s="70" t="s">
        <v>61</v>
      </c>
      <c r="H885" s="70" t="s">
        <v>178</v>
      </c>
      <c r="I885" s="70" t="s">
        <v>188</v>
      </c>
      <c r="J885" s="71">
        <f>IF(OR(I885=0,I885=""),"unrated",VLOOKUP(I885,MappingTables!$B$19:$C$31,2,FALSE))</f>
        <v>2</v>
      </c>
      <c r="K885" s="72">
        <v>21.27235008438628</v>
      </c>
      <c r="L885" s="70">
        <v>0.65479833046523896</v>
      </c>
      <c r="M885" s="71">
        <f>IF(L885&lt;1,1,L885)</f>
        <v>1</v>
      </c>
      <c r="N885" s="70" t="s">
        <v>141</v>
      </c>
      <c r="O885" s="71">
        <f>INDEX(DurClassMapping,MATCH(M885,MappingTables!$D$4:$D$8,-1),1)</f>
        <v>1</v>
      </c>
      <c r="P885" s="73">
        <f>IF(M885=$A$1,1,$M885-INDEX(MappingTables!$E$4:$E$8,MATCH(O885,MappingTables!$B$4:$B$8,0)))</f>
        <v>1</v>
      </c>
      <c r="Q885" s="71">
        <f>IF(B885="",0,INDEX(ModelParameters!$D$6:$K$10,MATCH($O885,ModelParameters!$B$6:$B$10,0),MATCH($J885,ModelParameters!$D$5:$K$5,0)))</f>
        <v>0.013999999999999998</v>
      </c>
      <c r="R885" s="71">
        <f>IF(B885="",0,INDEX(ModelParameters!$D$13:$K$17,MATCH($O885,ModelParameters!$B$13:$B$17,0),MATCH($J885,ModelParameters!$D$5:$K$5,0)))</f>
        <v>0</v>
      </c>
      <c r="S885" s="160">
        <f>IF(B885="",0,MIN(IF($N885="Other Bond TM",ModelParameters!$N$21,1)*(P885*Q885+R885),1))</f>
        <v>0.013999999999999998</v>
      </c>
      <c r="T885" s="85">
        <f>IF(B885="",0,$S885*$K885)</f>
        <v>0.29781290118140784</v>
      </c>
      <c r="U885" s="85">
        <f>IF(B885="",0,IF(OR(H885=MappingTables!$C$34,H885=MappingTables!$C$35),T885,0))</f>
        <v>0</v>
      </c>
      <c r="V885" s="85">
        <f>IF(ISNA(IF(AND(VLOOKUP(CONCATENATE($D885,$G885),CSRFinput!$B:$E,4,0)=0,OR(H885=MappingTables!$C$34,H885=MappingTables!$C$35)),1,VLOOKUP(CONCATENATE($D885,$G885),CSRFinput!$B:$E,4,0))),0,IF(AND(VLOOKUP(CONCATENATE($D885,$G885),CSRFinput!$B:$E,4,0)=0,OR(H885=MappingTables!$C$34,H885=MappingTables!$C$35)),1,VLOOKUP(CONCATENATE($D885,$G885),CSRFinput!$B:$E,4,0)))</f>
        <v>0.054776304963434752</v>
      </c>
      <c r="W885" s="85">
        <f>IF(B885="",0,+$T885*$V885)</f>
        <v>0.016313090297158054</v>
      </c>
      <c r="X885" s="85">
        <f>IF(B885="",0,IF(OR(H885=MappingTables!$C$34,H885=MappingTables!$C$35),W885,0))</f>
        <v>0</v>
      </c>
    </row>
    <row r="886" spans="2:24" s="0" customFormat="0" ht="15">
      <c r="B886" s="69">
        <v>22214086</v>
      </c>
      <c r="C886" s="70" t="s">
        <v>214</v>
      </c>
      <c r="D886" s="70" t="s">
        <v>1</v>
      </c>
      <c r="E886" s="70" t="s">
        <v>1</v>
      </c>
      <c r="F886" s="70"/>
      <c r="G886" s="70" t="s">
        <v>61</v>
      </c>
      <c r="H886" s="70" t="s">
        <v>178</v>
      </c>
      <c r="I886" s="70" t="s">
        <v>181</v>
      </c>
      <c r="J886" s="71">
        <f>IF(OR(I886=0,I886=""),"unrated",VLOOKUP(I886,MappingTables!$B$19:$C$31,2,FALSE))</f>
        <v>3</v>
      </c>
      <c r="K886" s="72">
        <v>8447.918190338224</v>
      </c>
      <c r="L886" s="70">
        <v>3.081911036573558</v>
      </c>
      <c r="M886" s="71">
        <f>IF(L886&lt;1,1,L886)</f>
        <v>3.081911036573558</v>
      </c>
      <c r="N886" s="70" t="s">
        <v>141</v>
      </c>
      <c r="O886" s="71">
        <f>INDEX(DurClassMapping,MATCH(M886,MappingTables!$D$4:$D$8,-1),1)</f>
        <v>1</v>
      </c>
      <c r="P886" s="73">
        <f>IF(M886=$A$1,1,$M886-INDEX(MappingTables!$E$4:$E$8,MATCH(O886,MappingTables!$B$4:$B$8,0)))</f>
        <v>3.081911036573558</v>
      </c>
      <c r="Q886" s="71">
        <f>IF(B886="",0,INDEX(ModelParameters!$D$6:$K$10,MATCH($O886,ModelParameters!$B$6:$B$10,0),MATCH($J886,ModelParameters!$D$5:$K$5,0)))</f>
        <v>0.025</v>
      </c>
      <c r="R886" s="71">
        <f>IF(B886="",0,INDEX(ModelParameters!$D$13:$K$17,MATCH($O886,ModelParameters!$B$13:$B$17,0),MATCH($J886,ModelParameters!$D$5:$K$5,0)))</f>
        <v>0</v>
      </c>
      <c r="S886" s="160">
        <f>IF(B886="",0,MIN(IF($N886="Other Bond TM",ModelParameters!$N$21,1)*(P886*Q886+R886),1))</f>
        <v>0.077047775914338944</v>
      </c>
      <c r="T886" s="85">
        <f>IF(B886="",0,$S886*$K886)</f>
        <v>650.8933076718472</v>
      </c>
      <c r="U886" s="85">
        <f>IF(B886="",0,IF(OR(H886=MappingTables!$C$34,H886=MappingTables!$C$35),T886,0))</f>
        <v>0</v>
      </c>
      <c r="V886" s="85">
        <f>IF(ISNA(IF(AND(VLOOKUP(CONCATENATE($D886,$G886),CSRFinput!$B:$E,4,0)=0,OR(H886=MappingTables!$C$34,H886=MappingTables!$C$35)),1,VLOOKUP(CONCATENATE($D886,$G886),CSRFinput!$B:$E,4,0))),0,IF(AND(VLOOKUP(CONCATENATE($D886,$G886),CSRFinput!$B:$E,4,0)=0,OR(H886=MappingTables!$C$34,H886=MappingTables!$C$35)),1,VLOOKUP(CONCATENATE($D886,$G886),CSRFinput!$B:$E,4,0)))</f>
        <v>0.054776304963434752</v>
      </c>
      <c r="W886" s="85">
        <f>IF(B886="",0,+$T886*$V886)</f>
        <v>35.653530319691868</v>
      </c>
      <c r="X886" s="85">
        <f>IF(B886="",0,IF(OR(H886=MappingTables!$C$34,H886=MappingTables!$C$35),W886,0))</f>
        <v>0</v>
      </c>
    </row>
    <row r="887" spans="2:24" s="0" customFormat="0" ht="15">
      <c r="B887" s="69">
        <v>14731422</v>
      </c>
      <c r="C887" s="70" t="s">
        <v>1193</v>
      </c>
      <c r="D887" s="70" t="s">
        <v>1</v>
      </c>
      <c r="E887" s="70" t="s">
        <v>1</v>
      </c>
      <c r="F887" s="70"/>
      <c r="G887" s="70" t="s">
        <v>61</v>
      </c>
      <c r="H887" s="70" t="s">
        <v>178</v>
      </c>
      <c r="I887" s="70" t="s">
        <v>179</v>
      </c>
      <c r="J887" s="71">
        <f>IF(OR(I887=0,I887=""),"unrated",VLOOKUP(I887,MappingTables!$B$19:$C$31,2,FALSE))</f>
        <v>4</v>
      </c>
      <c r="K887" s="72">
        <v>1175.4538218155116</v>
      </c>
      <c r="L887" s="70">
        <v>3.8143318863557904</v>
      </c>
      <c r="M887" s="71">
        <f>IF(L887&lt;1,1,L887)</f>
        <v>3.8143318863557904</v>
      </c>
      <c r="N887" s="70" t="s">
        <v>141</v>
      </c>
      <c r="O887" s="71">
        <f>INDEX(DurClassMapping,MATCH(M887,MappingTables!$D$4:$D$8,-1),1)</f>
        <v>1</v>
      </c>
      <c r="P887" s="73">
        <f>IF(M887=$A$1,1,$M887-INDEX(MappingTables!$E$4:$E$8,MATCH(O887,MappingTables!$B$4:$B$8,0)))</f>
        <v>3.8143318863557904</v>
      </c>
      <c r="Q887" s="71">
        <f>IF(B887="",0,INDEX(ModelParameters!$D$6:$K$10,MATCH($O887,ModelParameters!$B$6:$B$10,0),MATCH($J887,ModelParameters!$D$5:$K$5,0)))</f>
        <v>0.045</v>
      </c>
      <c r="R887" s="71">
        <f>IF(B887="",0,INDEX(ModelParameters!$D$13:$K$17,MATCH($O887,ModelParameters!$B$13:$B$17,0),MATCH($J887,ModelParameters!$D$5:$K$5,0)))</f>
        <v>0</v>
      </c>
      <c r="S887" s="160">
        <f>IF(B887="",0,MIN(IF($N887="Other Bond TM",ModelParameters!$N$21,1)*(P887*Q887+R887),1))</f>
        <v>0.17164493488601056</v>
      </c>
      <c r="T887" s="85">
        <f>IF(B887="",0,$S887*$K887)</f>
        <v>201.7606947070358</v>
      </c>
      <c r="U887" s="85">
        <f>IF(B887="",0,IF(OR(H887=MappingTables!$C$34,H887=MappingTables!$C$35),T887,0))</f>
        <v>0</v>
      </c>
      <c r="V887" s="85">
        <f>IF(ISNA(IF(AND(VLOOKUP(CONCATENATE($D887,$G887),CSRFinput!$B:$E,4,0)=0,OR(H887=MappingTables!$C$34,H887=MappingTables!$C$35)),1,VLOOKUP(CONCATENATE($D887,$G887),CSRFinput!$B:$E,4,0))),0,IF(AND(VLOOKUP(CONCATENATE($D887,$G887),CSRFinput!$B:$E,4,0)=0,OR(H887=MappingTables!$C$34,H887=MappingTables!$C$35)),1,VLOOKUP(CONCATENATE($D887,$G887),CSRFinput!$B:$E,4,0)))</f>
        <v>0.054776304963434752</v>
      </c>
      <c r="W887" s="85">
        <f>IF(B887="",0,+$T887*$V887)</f>
        <v>11.051705342907048</v>
      </c>
      <c r="X887" s="85">
        <f>IF(B887="",0,IF(OR(H887=MappingTables!$C$34,H887=MappingTables!$C$35),W887,0))</f>
        <v>0</v>
      </c>
    </row>
    <row r="888" spans="2:24" s="0" customFormat="0" ht="15">
      <c r="B888" s="69">
        <v>23469260</v>
      </c>
      <c r="C888" s="70" t="s">
        <v>1194</v>
      </c>
      <c r="D888" s="70" t="s">
        <v>1</v>
      </c>
      <c r="E888" s="70" t="s">
        <v>1</v>
      </c>
      <c r="F888" s="70"/>
      <c r="G888" s="70" t="s">
        <v>61</v>
      </c>
      <c r="H888" s="70" t="s">
        <v>178</v>
      </c>
      <c r="I888" s="70" t="s">
        <v>179</v>
      </c>
      <c r="J888" s="71">
        <f>IF(OR(I888=0,I888=""),"unrated",VLOOKUP(I888,MappingTables!$B$19:$C$31,2,FALSE))</f>
        <v>4</v>
      </c>
      <c r="K888" s="72">
        <v>2353.30752375271</v>
      </c>
      <c r="L888" s="70">
        <v>1.4532960745014614</v>
      </c>
      <c r="M888" s="71">
        <f>IF(L888&lt;1,1,L888)</f>
        <v>1.4532960745014614</v>
      </c>
      <c r="N888" s="70" t="s">
        <v>141</v>
      </c>
      <c r="O888" s="71">
        <f>INDEX(DurClassMapping,MATCH(M888,MappingTables!$D$4:$D$8,-1),1)</f>
        <v>1</v>
      </c>
      <c r="P888" s="73">
        <f>IF(M888=$A$1,1,$M888-INDEX(MappingTables!$E$4:$E$8,MATCH(O888,MappingTables!$B$4:$B$8,0)))</f>
        <v>1.4532960745014614</v>
      </c>
      <c r="Q888" s="71">
        <f>IF(B888="",0,INDEX(ModelParameters!$D$6:$K$10,MATCH($O888,ModelParameters!$B$6:$B$10,0),MATCH($J888,ModelParameters!$D$5:$K$5,0)))</f>
        <v>0.045</v>
      </c>
      <c r="R888" s="71">
        <f>IF(B888="",0,INDEX(ModelParameters!$D$13:$K$17,MATCH($O888,ModelParameters!$B$13:$B$17,0),MATCH($J888,ModelParameters!$D$5:$K$5,0)))</f>
        <v>0</v>
      </c>
      <c r="S888" s="160">
        <f>IF(B888="",0,MIN(IF($N888="Other Bond TM",ModelParameters!$N$21,1)*(P888*Q888+R888),1))</f>
        <v>0.06539832335256576</v>
      </c>
      <c r="T888" s="85">
        <f>IF(B888="",0,$S888*$K888)</f>
        <v>153.90236638640556</v>
      </c>
      <c r="U888" s="85">
        <f>IF(B888="",0,IF(OR(H888=MappingTables!$C$34,H888=MappingTables!$C$35),T888,0))</f>
        <v>0</v>
      </c>
      <c r="V888" s="85">
        <f>IF(ISNA(IF(AND(VLOOKUP(CONCATENATE($D888,$G888),CSRFinput!$B:$E,4,0)=0,OR(H888=MappingTables!$C$34,H888=MappingTables!$C$35)),1,VLOOKUP(CONCATENATE($D888,$G888),CSRFinput!$B:$E,4,0))),0,IF(AND(VLOOKUP(CONCATENATE($D888,$G888),CSRFinput!$B:$E,4,0)=0,OR(H888=MappingTables!$C$34,H888=MappingTables!$C$35)),1,VLOOKUP(CONCATENATE($D888,$G888),CSRFinput!$B:$E,4,0)))</f>
        <v>0.054776304963434752</v>
      </c>
      <c r="W888" s="85">
        <f>IF(B888="",0,+$T888*$V888)</f>
        <v>8.4302029557760208</v>
      </c>
      <c r="X888" s="85">
        <f>IF(B888="",0,IF(OR(H888=MappingTables!$C$34,H888=MappingTables!$C$35),W888,0))</f>
        <v>0</v>
      </c>
    </row>
    <row r="889" spans="2:24" s="0" customFormat="0" ht="15">
      <c r="B889" s="69">
        <v>12339029</v>
      </c>
      <c r="C889" s="70" t="s">
        <v>1195</v>
      </c>
      <c r="D889" s="70" t="s">
        <v>1</v>
      </c>
      <c r="E889" s="70" t="s">
        <v>1</v>
      </c>
      <c r="F889" s="70"/>
      <c r="G889" s="70" t="s">
        <v>61</v>
      </c>
      <c r="H889" s="70" t="s">
        <v>178</v>
      </c>
      <c r="I889" s="70" t="s">
        <v>188</v>
      </c>
      <c r="J889" s="71">
        <f>IF(OR(I889=0,I889=""),"unrated",VLOOKUP(I889,MappingTables!$B$19:$C$31,2,FALSE))</f>
        <v>2</v>
      </c>
      <c r="K889" s="72">
        <v>214.68230473038972</v>
      </c>
      <c r="L889" s="70">
        <v>0.48153030584709232</v>
      </c>
      <c r="M889" s="71">
        <f>IF(L889&lt;1,1,L889)</f>
        <v>1</v>
      </c>
      <c r="N889" s="70" t="s">
        <v>141</v>
      </c>
      <c r="O889" s="71">
        <f>INDEX(DurClassMapping,MATCH(M889,MappingTables!$D$4:$D$8,-1),1)</f>
        <v>1</v>
      </c>
      <c r="P889" s="73">
        <f>IF(M889=$A$1,1,$M889-INDEX(MappingTables!$E$4:$E$8,MATCH(O889,MappingTables!$B$4:$B$8,0)))</f>
        <v>1</v>
      </c>
      <c r="Q889" s="71">
        <f>IF(B889="",0,INDEX(ModelParameters!$D$6:$K$10,MATCH($O889,ModelParameters!$B$6:$B$10,0),MATCH($J889,ModelParameters!$D$5:$K$5,0)))</f>
        <v>0.013999999999999998</v>
      </c>
      <c r="R889" s="71">
        <f>IF(B889="",0,INDEX(ModelParameters!$D$13:$K$17,MATCH($O889,ModelParameters!$B$13:$B$17,0),MATCH($J889,ModelParameters!$D$5:$K$5,0)))</f>
        <v>0</v>
      </c>
      <c r="S889" s="160">
        <f>IF(B889="",0,MIN(IF($N889="Other Bond TM",ModelParameters!$N$21,1)*(P889*Q889+R889),1))</f>
        <v>0.013999999999999998</v>
      </c>
      <c r="T889" s="85">
        <f>IF(B889="",0,$S889*$K889)</f>
        <v>3.0055522662254556</v>
      </c>
      <c r="U889" s="85">
        <f>IF(B889="",0,IF(OR(H889=MappingTables!$C$34,H889=MappingTables!$C$35),T889,0))</f>
        <v>0</v>
      </c>
      <c r="V889" s="85">
        <f>IF(ISNA(IF(AND(VLOOKUP(CONCATENATE($D889,$G889),CSRFinput!$B:$E,4,0)=0,OR(H889=MappingTables!$C$34,H889=MappingTables!$C$35)),1,VLOOKUP(CONCATENATE($D889,$G889),CSRFinput!$B:$E,4,0))),0,IF(AND(VLOOKUP(CONCATENATE($D889,$G889),CSRFinput!$B:$E,4,0)=0,OR(H889=MappingTables!$C$34,H889=MappingTables!$C$35)),1,VLOOKUP(CONCATENATE($D889,$G889),CSRFinput!$B:$E,4,0)))</f>
        <v>0.054776304963434752</v>
      </c>
      <c r="W889" s="85">
        <f>IF(B889="",0,+$T889*$V889)</f>
        <v>0.16463304751830802</v>
      </c>
      <c r="X889" s="85">
        <f>IF(B889="",0,IF(OR(H889=MappingTables!$C$34,H889=MappingTables!$C$35),W889,0))</f>
        <v>0</v>
      </c>
    </row>
    <row r="890" spans="2:24" s="0" customFormat="0" ht="15">
      <c r="B890" s="69">
        <v>20612943</v>
      </c>
      <c r="C890" s="70" t="s">
        <v>893</v>
      </c>
      <c r="D890" s="70" t="s">
        <v>1</v>
      </c>
      <c r="E890" s="70" t="s">
        <v>1</v>
      </c>
      <c r="F890" s="70"/>
      <c r="G890" s="70" t="s">
        <v>61</v>
      </c>
      <c r="H890" s="70" t="s">
        <v>178</v>
      </c>
      <c r="I890" s="70" t="s">
        <v>184</v>
      </c>
      <c r="J890" s="71">
        <f>IF(OR(I890=0,I890=""),"unrated",VLOOKUP(I890,MappingTables!$B$19:$C$31,2,FALSE))</f>
        <v>5</v>
      </c>
      <c r="K890" s="72">
        <v>422.08872894071808</v>
      </c>
      <c r="L890" s="70">
        <v>0.087674118221253232</v>
      </c>
      <c r="M890" s="71">
        <f>IF(L890&lt;1,1,L890)</f>
        <v>1</v>
      </c>
      <c r="N890" s="70" t="s">
        <v>141</v>
      </c>
      <c r="O890" s="71">
        <f>INDEX(DurClassMapping,MATCH(M890,MappingTables!$D$4:$D$8,-1),1)</f>
        <v>1</v>
      </c>
      <c r="P890" s="73">
        <f>IF(M890=$A$1,1,$M890-INDEX(MappingTables!$E$4:$E$8,MATCH(O890,MappingTables!$B$4:$B$8,0)))</f>
        <v>1</v>
      </c>
      <c r="Q890" s="71">
        <f>IF(B890="",0,INDEX(ModelParameters!$D$6:$K$10,MATCH($O890,ModelParameters!$B$6:$B$10,0),MATCH($J890,ModelParameters!$D$5:$K$5,0)))</f>
        <v>0.075</v>
      </c>
      <c r="R890" s="71">
        <f>IF(B890="",0,INDEX(ModelParameters!$D$13:$K$17,MATCH($O890,ModelParameters!$B$13:$B$17,0),MATCH($J890,ModelParameters!$D$5:$K$5,0)))</f>
        <v>0</v>
      </c>
      <c r="S890" s="160">
        <f>IF(B890="",0,MIN(IF($N890="Other Bond TM",ModelParameters!$N$21,1)*(P890*Q890+R890),1))</f>
        <v>0.075</v>
      </c>
      <c r="T890" s="85">
        <f>IF(B890="",0,$S890*$K890)</f>
        <v>31.656654670553852</v>
      </c>
      <c r="U890" s="85">
        <f>IF(B890="",0,IF(OR(H890=MappingTables!$C$34,H890=MappingTables!$C$35),T890,0))</f>
        <v>0</v>
      </c>
      <c r="V890" s="85">
        <f>IF(ISNA(IF(AND(VLOOKUP(CONCATENATE($D890,$G890),CSRFinput!$B:$E,4,0)=0,OR(H890=MappingTables!$C$34,H890=MappingTables!$C$35)),1,VLOOKUP(CONCATENATE($D890,$G890),CSRFinput!$B:$E,4,0))),0,IF(AND(VLOOKUP(CONCATENATE($D890,$G890),CSRFinput!$B:$E,4,0)=0,OR(H890=MappingTables!$C$34,H890=MappingTables!$C$35)),1,VLOOKUP(CONCATENATE($D890,$G890),CSRFinput!$B:$E,4,0)))</f>
        <v>0.054776304963434752</v>
      </c>
      <c r="W890" s="85">
        <f>IF(B890="",0,+$T890*$V890)</f>
        <v>1.7340345703563988</v>
      </c>
      <c r="X890" s="85">
        <f>IF(B890="",0,IF(OR(H890=MappingTables!$C$34,H890=MappingTables!$C$35),W890,0))</f>
        <v>0</v>
      </c>
    </row>
    <row r="891" spans="2:24" s="0" customFormat="0" ht="15">
      <c r="B891" s="69">
        <v>7379418</v>
      </c>
      <c r="C891" s="70" t="s">
        <v>1196</v>
      </c>
      <c r="D891" s="70" t="s">
        <v>1</v>
      </c>
      <c r="E891" s="70" t="s">
        <v>1</v>
      </c>
      <c r="F891" s="70"/>
      <c r="G891" s="70" t="s">
        <v>61</v>
      </c>
      <c r="H891" s="70" t="s">
        <v>178</v>
      </c>
      <c r="I891" s="70" t="s">
        <v>179</v>
      </c>
      <c r="J891" s="71">
        <f>IF(OR(I891=0,I891=""),"unrated",VLOOKUP(I891,MappingTables!$B$19:$C$31,2,FALSE))</f>
        <v>4</v>
      </c>
      <c r="K891" s="72">
        <v>7191.667698515232</v>
      </c>
      <c r="L891" s="70">
        <v>13.01257108650105</v>
      </c>
      <c r="M891" s="71">
        <f>IF(L891&lt;1,1,L891)</f>
        <v>13.01257108650105</v>
      </c>
      <c r="N891" s="70" t="s">
        <v>141</v>
      </c>
      <c r="O891" s="71">
        <f>INDEX(DurClassMapping,MATCH(M891,MappingTables!$D$4:$D$8,-1),1)</f>
        <v>3</v>
      </c>
      <c r="P891" s="73">
        <f>IF(M891=$A$1,1,$M891-INDEX(MappingTables!$E$4:$E$8,MATCH(O891,MappingTables!$B$4:$B$8,0)))</f>
        <v>3.0125710865010492</v>
      </c>
      <c r="Q891" s="71">
        <f>IF(B891="",0,INDEX(ModelParameters!$D$6:$K$10,MATCH($O891,ModelParameters!$B$6:$B$10,0),MATCH($J891,ModelParameters!$D$5:$K$5,0)))</f>
        <v>0.018000000000000002</v>
      </c>
      <c r="R891" s="71">
        <f>IF(B891="",0,INDEX(ModelParameters!$D$13:$K$17,MATCH($O891,ModelParameters!$B$13:$B$17,0),MATCH($J891,ModelParameters!$D$5:$K$5,0)))</f>
        <v>0.34999999999999996</v>
      </c>
      <c r="S891" s="160">
        <f>IF(B891="",0,MIN(IF($N891="Other Bond TM",ModelParameters!$N$21,1)*(P891*Q891+R891),1))</f>
        <v>0.40422627955701888</v>
      </c>
      <c r="T891" s="85">
        <f>IF(B891="",0,$S891*$K891)</f>
        <v>2907.0610775812</v>
      </c>
      <c r="U891" s="85">
        <f>IF(B891="",0,IF(OR(H891=MappingTables!$C$34,H891=MappingTables!$C$35),T891,0))</f>
        <v>0</v>
      </c>
      <c r="V891" s="85">
        <f>IF(ISNA(IF(AND(VLOOKUP(CONCATENATE($D891,$G891),CSRFinput!$B:$E,4,0)=0,OR(H891=MappingTables!$C$34,H891=MappingTables!$C$35)),1,VLOOKUP(CONCATENATE($D891,$G891),CSRFinput!$B:$E,4,0))),0,IF(AND(VLOOKUP(CONCATENATE($D891,$G891),CSRFinput!$B:$E,4,0)=0,OR(H891=MappingTables!$C$34,H891=MappingTables!$C$35)),1,VLOOKUP(CONCATENATE($D891,$G891),CSRFinput!$B:$E,4,0)))</f>
        <v>0.054776304963434752</v>
      </c>
      <c r="W891" s="85">
        <f>IF(B891="",0,+$T891*$V891)</f>
        <v>159.23806413291908</v>
      </c>
      <c r="X891" s="85">
        <f>IF(B891="",0,IF(OR(H891=MappingTables!$C$34,H891=MappingTables!$C$35),W891,0))</f>
        <v>0</v>
      </c>
    </row>
    <row r="892" spans="2:24" s="0" customFormat="0" ht="15">
      <c r="B892" s="69">
        <v>11984772</v>
      </c>
      <c r="C892" s="70" t="s">
        <v>1197</v>
      </c>
      <c r="D892" s="70" t="s">
        <v>1</v>
      </c>
      <c r="E892" s="70" t="s">
        <v>1</v>
      </c>
      <c r="F892" s="70"/>
      <c r="G892" s="70" t="s">
        <v>61</v>
      </c>
      <c r="H892" s="70" t="s">
        <v>178</v>
      </c>
      <c r="I892" s="70" t="s">
        <v>179</v>
      </c>
      <c r="J892" s="71">
        <f>IF(OR(I892=0,I892=""),"unrated",VLOOKUP(I892,MappingTables!$B$19:$C$31,2,FALSE))</f>
        <v>4</v>
      </c>
      <c r="K892" s="72">
        <v>8099.3012134743712</v>
      </c>
      <c r="L892" s="70">
        <v>2.289074259251416</v>
      </c>
      <c r="M892" s="71">
        <f>IF(L892&lt;1,1,L892)</f>
        <v>2.289074259251416</v>
      </c>
      <c r="N892" s="70" t="s">
        <v>141</v>
      </c>
      <c r="O892" s="71">
        <f>INDEX(DurClassMapping,MATCH(M892,MappingTables!$D$4:$D$8,-1),1)</f>
        <v>1</v>
      </c>
      <c r="P892" s="73">
        <f>IF(M892=$A$1,1,$M892-INDEX(MappingTables!$E$4:$E$8,MATCH(O892,MappingTables!$B$4:$B$8,0)))</f>
        <v>2.289074259251416</v>
      </c>
      <c r="Q892" s="71">
        <f>IF(B892="",0,INDEX(ModelParameters!$D$6:$K$10,MATCH($O892,ModelParameters!$B$6:$B$10,0),MATCH($J892,ModelParameters!$D$5:$K$5,0)))</f>
        <v>0.045</v>
      </c>
      <c r="R892" s="71">
        <f>IF(B892="",0,INDEX(ModelParameters!$D$13:$K$17,MATCH($O892,ModelParameters!$B$13:$B$17,0),MATCH($J892,ModelParameters!$D$5:$K$5,0)))</f>
        <v>0</v>
      </c>
      <c r="S892" s="160">
        <f>IF(B892="",0,MIN(IF($N892="Other Bond TM",ModelParameters!$N$21,1)*(P892*Q892+R892),1))</f>
        <v>0.10300834166631372</v>
      </c>
      <c r="T892" s="85">
        <f>IF(B892="",0,$S892*$K892)</f>
        <v>834.29558665595744</v>
      </c>
      <c r="U892" s="85">
        <f>IF(B892="",0,IF(OR(H892=MappingTables!$C$34,H892=MappingTables!$C$35),T892,0))</f>
        <v>0</v>
      </c>
      <c r="V892" s="85">
        <f>IF(ISNA(IF(AND(VLOOKUP(CONCATENATE($D892,$G892),CSRFinput!$B:$E,4,0)=0,OR(H892=MappingTables!$C$34,H892=MappingTables!$C$35)),1,VLOOKUP(CONCATENATE($D892,$G892),CSRFinput!$B:$E,4,0))),0,IF(AND(VLOOKUP(CONCATENATE($D892,$G892),CSRFinput!$B:$E,4,0)=0,OR(H892=MappingTables!$C$34,H892=MappingTables!$C$35)),1,VLOOKUP(CONCATENATE($D892,$G892),CSRFinput!$B:$E,4,0)))</f>
        <v>0.054776304963434752</v>
      </c>
      <c r="W892" s="85">
        <f>IF(B892="",0,+$T892*$V892)</f>
        <v>45.699629484314432</v>
      </c>
      <c r="X892" s="85">
        <f>IF(B892="",0,IF(OR(H892=MappingTables!$C$34,H892=MappingTables!$C$35),W892,0))</f>
        <v>0</v>
      </c>
    </row>
    <row r="893" spans="2:24" s="0" customFormat="0" ht="15">
      <c r="B893" s="69">
        <v>6542693</v>
      </c>
      <c r="C893" s="70" t="s">
        <v>1198</v>
      </c>
      <c r="D893" s="70" t="s">
        <v>1</v>
      </c>
      <c r="E893" s="70" t="s">
        <v>1</v>
      </c>
      <c r="F893" s="70"/>
      <c r="G893" s="70" t="s">
        <v>61</v>
      </c>
      <c r="H893" s="70" t="s">
        <v>178</v>
      </c>
      <c r="I893" s="70" t="s">
        <v>179</v>
      </c>
      <c r="J893" s="71">
        <f>IF(OR(I893=0,I893=""),"unrated",VLOOKUP(I893,MappingTables!$B$19:$C$31,2,FALSE))</f>
        <v>4</v>
      </c>
      <c r="K893" s="72">
        <v>3816.1938678333824</v>
      </c>
      <c r="L893" s="70">
        <v>12.512675050662002</v>
      </c>
      <c r="M893" s="71">
        <f>IF(L893&lt;1,1,L893)</f>
        <v>12.512675050662002</v>
      </c>
      <c r="N893" s="70" t="s">
        <v>141</v>
      </c>
      <c r="O893" s="71">
        <f>INDEX(DurClassMapping,MATCH(M893,MappingTables!$D$4:$D$8,-1),1)</f>
        <v>3</v>
      </c>
      <c r="P893" s="73">
        <f>IF(M893=$A$1,1,$M893-INDEX(MappingTables!$E$4:$E$8,MATCH(O893,MappingTables!$B$4:$B$8,0)))</f>
        <v>2.5126750506620024</v>
      </c>
      <c r="Q893" s="71">
        <f>IF(B893="",0,INDEX(ModelParameters!$D$6:$K$10,MATCH($O893,ModelParameters!$B$6:$B$10,0),MATCH($J893,ModelParameters!$D$5:$K$5,0)))</f>
        <v>0.018000000000000002</v>
      </c>
      <c r="R893" s="71">
        <f>IF(B893="",0,INDEX(ModelParameters!$D$13:$K$17,MATCH($O893,ModelParameters!$B$13:$B$17,0),MATCH($J893,ModelParameters!$D$5:$K$5,0)))</f>
        <v>0.34999999999999996</v>
      </c>
      <c r="S893" s="160">
        <f>IF(B893="",0,MIN(IF($N893="Other Bond TM",ModelParameters!$N$21,1)*(P893*Q893+R893),1))</f>
        <v>0.39522815091191608</v>
      </c>
      <c r="T893" s="85">
        <f>IF(B893="",0,$S893*$K893)</f>
        <v>1508.2672459051808</v>
      </c>
      <c r="U893" s="85">
        <f>IF(B893="",0,IF(OR(H893=MappingTables!$C$34,H893=MappingTables!$C$35),T893,0))</f>
        <v>0</v>
      </c>
      <c r="V893" s="85">
        <f>IF(ISNA(IF(AND(VLOOKUP(CONCATENATE($D893,$G893),CSRFinput!$B:$E,4,0)=0,OR(H893=MappingTables!$C$34,H893=MappingTables!$C$35)),1,VLOOKUP(CONCATENATE($D893,$G893),CSRFinput!$B:$E,4,0))),0,IF(AND(VLOOKUP(CONCATENATE($D893,$G893),CSRFinput!$B:$E,4,0)=0,OR(H893=MappingTables!$C$34,H893=MappingTables!$C$35)),1,VLOOKUP(CONCATENATE($D893,$G893),CSRFinput!$B:$E,4,0)))</f>
        <v>0.054776304963434752</v>
      </c>
      <c r="W893" s="85">
        <f>IF(B893="",0,+$T893*$V893)</f>
        <v>82.617306628062032</v>
      </c>
      <c r="X893" s="85">
        <f>IF(B893="",0,IF(OR(H893=MappingTables!$C$34,H893=MappingTables!$C$35),W893,0))</f>
        <v>0</v>
      </c>
    </row>
    <row r="894" spans="2:24" s="0" customFormat="0" ht="15">
      <c r="B894" s="69">
        <v>23353567</v>
      </c>
      <c r="C894" s="70" t="s">
        <v>1199</v>
      </c>
      <c r="D894" s="70" t="s">
        <v>1</v>
      </c>
      <c r="E894" s="70" t="s">
        <v>1</v>
      </c>
      <c r="F894" s="70"/>
      <c r="G894" s="70" t="s">
        <v>61</v>
      </c>
      <c r="H894" s="70" t="s">
        <v>178</v>
      </c>
      <c r="I894" s="70" t="s">
        <v>179</v>
      </c>
      <c r="J894" s="71">
        <f>IF(OR(I894=0,I894=""),"unrated",VLOOKUP(I894,MappingTables!$B$19:$C$31,2,FALSE))</f>
        <v>4</v>
      </c>
      <c r="K894" s="72">
        <v>13214.102436418968</v>
      </c>
      <c r="L894" s="70">
        <v>4.0894651304282368</v>
      </c>
      <c r="M894" s="71">
        <f>IF(L894&lt;1,1,L894)</f>
        <v>4.0894651304282368</v>
      </c>
      <c r="N894" s="70" t="s">
        <v>141</v>
      </c>
      <c r="O894" s="71">
        <f>INDEX(DurClassMapping,MATCH(M894,MappingTables!$D$4:$D$8,-1),1)</f>
        <v>1</v>
      </c>
      <c r="P894" s="73">
        <f>IF(M894=$A$1,1,$M894-INDEX(MappingTables!$E$4:$E$8,MATCH(O894,MappingTables!$B$4:$B$8,0)))</f>
        <v>4.0894651304282368</v>
      </c>
      <c r="Q894" s="71">
        <f>IF(B894="",0,INDEX(ModelParameters!$D$6:$K$10,MATCH($O894,ModelParameters!$B$6:$B$10,0),MATCH($J894,ModelParameters!$D$5:$K$5,0)))</f>
        <v>0.045</v>
      </c>
      <c r="R894" s="71">
        <f>IF(B894="",0,INDEX(ModelParameters!$D$13:$K$17,MATCH($O894,ModelParameters!$B$13:$B$17,0),MATCH($J894,ModelParameters!$D$5:$K$5,0)))</f>
        <v>0</v>
      </c>
      <c r="S894" s="160">
        <f>IF(B894="",0,MIN(IF($N894="Other Bond TM",ModelParameters!$N$21,1)*(P894*Q894+R894),1))</f>
        <v>0.18402593086927064</v>
      </c>
      <c r="T894" s="85">
        <f>IF(B894="",0,$S894*$K894)</f>
        <v>2431.737501463898</v>
      </c>
      <c r="U894" s="85">
        <f>IF(B894="",0,IF(OR(H894=MappingTables!$C$34,H894=MappingTables!$C$35),T894,0))</f>
        <v>0</v>
      </c>
      <c r="V894" s="85">
        <f>IF(ISNA(IF(AND(VLOOKUP(CONCATENATE($D894,$G894),CSRFinput!$B:$E,4,0)=0,OR(H894=MappingTables!$C$34,H894=MappingTables!$C$35)),1,VLOOKUP(CONCATENATE($D894,$G894),CSRFinput!$B:$E,4,0))),0,IF(AND(VLOOKUP(CONCATENATE($D894,$G894),CSRFinput!$B:$E,4,0)=0,OR(H894=MappingTables!$C$34,H894=MappingTables!$C$35)),1,VLOOKUP(CONCATENATE($D894,$G894),CSRFinput!$B:$E,4,0)))</f>
        <v>0.054776304963434752</v>
      </c>
      <c r="W894" s="85">
        <f>IF(B894="",0,+$T894*$V894)</f>
        <v>133.20159497120732</v>
      </c>
      <c r="X894" s="85">
        <f>IF(B894="",0,IF(OR(H894=MappingTables!$C$34,H894=MappingTables!$C$35),W894,0))</f>
        <v>0</v>
      </c>
    </row>
    <row r="895" spans="2:24" s="0" customFormat="0" ht="15">
      <c r="B895" s="69">
        <v>14060700</v>
      </c>
      <c r="C895" s="70" t="s">
        <v>1200</v>
      </c>
      <c r="D895" s="70" t="s">
        <v>1</v>
      </c>
      <c r="E895" s="70" t="s">
        <v>1</v>
      </c>
      <c r="F895" s="70"/>
      <c r="G895" s="70" t="s">
        <v>61</v>
      </c>
      <c r="H895" s="70" t="s">
        <v>178</v>
      </c>
      <c r="I895" s="70" t="s">
        <v>181</v>
      </c>
      <c r="J895" s="71">
        <f>IF(OR(I895=0,I895=""),"unrated",VLOOKUP(I895,MappingTables!$B$19:$C$31,2,FALSE))</f>
        <v>3</v>
      </c>
      <c r="K895" s="72">
        <v>124.37694865422642</v>
      </c>
      <c r="L895" s="70">
        <v>1.2942828918036024</v>
      </c>
      <c r="M895" s="71">
        <f>IF(L895&lt;1,1,L895)</f>
        <v>1.2942828918036024</v>
      </c>
      <c r="N895" s="70" t="s">
        <v>141</v>
      </c>
      <c r="O895" s="71">
        <f>INDEX(DurClassMapping,MATCH(M895,MappingTables!$D$4:$D$8,-1),1)</f>
        <v>1</v>
      </c>
      <c r="P895" s="73">
        <f>IF(M895=$A$1,1,$M895-INDEX(MappingTables!$E$4:$E$8,MATCH(O895,MappingTables!$B$4:$B$8,0)))</f>
        <v>1.2942828918036024</v>
      </c>
      <c r="Q895" s="71">
        <f>IF(B895="",0,INDEX(ModelParameters!$D$6:$K$10,MATCH($O895,ModelParameters!$B$6:$B$10,0),MATCH($J895,ModelParameters!$D$5:$K$5,0)))</f>
        <v>0.025</v>
      </c>
      <c r="R895" s="71">
        <f>IF(B895="",0,INDEX(ModelParameters!$D$13:$K$17,MATCH($O895,ModelParameters!$B$13:$B$17,0),MATCH($J895,ModelParameters!$D$5:$K$5,0)))</f>
        <v>0</v>
      </c>
      <c r="S895" s="160">
        <f>IF(B895="",0,MIN(IF($N895="Other Bond TM",ModelParameters!$N$21,1)*(P895*Q895+R895),1))</f>
        <v>0.032357072295090064</v>
      </c>
      <c r="T895" s="85">
        <f>IF(B895="",0,$S895*$K895)</f>
        <v>4.0244739194475088</v>
      </c>
      <c r="U895" s="85">
        <f>IF(B895="",0,IF(OR(H895=MappingTables!$C$34,H895=MappingTables!$C$35),T895,0))</f>
        <v>0</v>
      </c>
      <c r="V895" s="85">
        <f>IF(ISNA(IF(AND(VLOOKUP(CONCATENATE($D895,$G895),CSRFinput!$B:$E,4,0)=0,OR(H895=MappingTables!$C$34,H895=MappingTables!$C$35)),1,VLOOKUP(CONCATENATE($D895,$G895),CSRFinput!$B:$E,4,0))),0,IF(AND(VLOOKUP(CONCATENATE($D895,$G895),CSRFinput!$B:$E,4,0)=0,OR(H895=MappingTables!$C$34,H895=MappingTables!$C$35)),1,VLOOKUP(CONCATENATE($D895,$G895),CSRFinput!$B:$E,4,0)))</f>
        <v>0.054776304963434752</v>
      </c>
      <c r="W895" s="85">
        <f>IF(B895="",0,+$T895*$V895)</f>
        <v>0.22044581072904628</v>
      </c>
      <c r="X895" s="85">
        <f>IF(B895="",0,IF(OR(H895=MappingTables!$C$34,H895=MappingTables!$C$35),W895,0))</f>
        <v>0</v>
      </c>
    </row>
    <row r="896" spans="2:24" s="0" customFormat="0" ht="15">
      <c r="B896" s="69">
        <v>12294996</v>
      </c>
      <c r="C896" s="70" t="s">
        <v>1201</v>
      </c>
      <c r="D896" s="70" t="s">
        <v>1</v>
      </c>
      <c r="E896" s="70" t="s">
        <v>1</v>
      </c>
      <c r="F896" s="70"/>
      <c r="G896" s="70" t="s">
        <v>61</v>
      </c>
      <c r="H896" s="70" t="s">
        <v>178</v>
      </c>
      <c r="I896" s="70" t="s">
        <v>188</v>
      </c>
      <c r="J896" s="71">
        <f>IF(OR(I896=0,I896=""),"unrated",VLOOKUP(I896,MappingTables!$B$19:$C$31,2,FALSE))</f>
        <v>2</v>
      </c>
      <c r="K896" s="72">
        <v>35.492555096252964</v>
      </c>
      <c r="L896" s="70">
        <v>0.48219043407310944</v>
      </c>
      <c r="M896" s="71">
        <f>IF(L896&lt;1,1,L896)</f>
        <v>1</v>
      </c>
      <c r="N896" s="70" t="s">
        <v>141</v>
      </c>
      <c r="O896" s="71">
        <f>INDEX(DurClassMapping,MATCH(M896,MappingTables!$D$4:$D$8,-1),1)</f>
        <v>1</v>
      </c>
      <c r="P896" s="73">
        <f>IF(M896=$A$1,1,$M896-INDEX(MappingTables!$E$4:$E$8,MATCH(O896,MappingTables!$B$4:$B$8,0)))</f>
        <v>1</v>
      </c>
      <c r="Q896" s="71">
        <f>IF(B896="",0,INDEX(ModelParameters!$D$6:$K$10,MATCH($O896,ModelParameters!$B$6:$B$10,0),MATCH($J896,ModelParameters!$D$5:$K$5,0)))</f>
        <v>0.013999999999999998</v>
      </c>
      <c r="R896" s="71">
        <f>IF(B896="",0,INDEX(ModelParameters!$D$13:$K$17,MATCH($O896,ModelParameters!$B$13:$B$17,0),MATCH($J896,ModelParameters!$D$5:$K$5,0)))</f>
        <v>0</v>
      </c>
      <c r="S896" s="160">
        <f>IF(B896="",0,MIN(IF($N896="Other Bond TM",ModelParameters!$N$21,1)*(P896*Q896+R896),1))</f>
        <v>0.013999999999999998</v>
      </c>
      <c r="T896" s="85">
        <f>IF(B896="",0,$S896*$K896)</f>
        <v>0.49689577134754144</v>
      </c>
      <c r="U896" s="85">
        <f>IF(B896="",0,IF(OR(H896=MappingTables!$C$34,H896=MappingTables!$C$35),T896,0))</f>
        <v>0</v>
      </c>
      <c r="V896" s="85">
        <f>IF(ISNA(IF(AND(VLOOKUP(CONCATENATE($D896,$G896),CSRFinput!$B:$E,4,0)=0,OR(H896=MappingTables!$C$34,H896=MappingTables!$C$35)),1,VLOOKUP(CONCATENATE($D896,$G896),CSRFinput!$B:$E,4,0))),0,IF(AND(VLOOKUP(CONCATENATE($D896,$G896),CSRFinput!$B:$E,4,0)=0,OR(H896=MappingTables!$C$34,H896=MappingTables!$C$35)),1,VLOOKUP(CONCATENATE($D896,$G896),CSRFinput!$B:$E,4,0)))</f>
        <v>0.054776304963434752</v>
      </c>
      <c r="W896" s="85">
        <f>IF(B896="",0,+$T896*$V896)</f>
        <v>0.027218114306374072</v>
      </c>
      <c r="X896" s="85">
        <f>IF(B896="",0,IF(OR(H896=MappingTables!$C$34,H896=MappingTables!$C$35),W896,0))</f>
        <v>0</v>
      </c>
    </row>
    <row r="897" spans="2:24" s="0" customFormat="0" ht="15">
      <c r="B897" s="69" t="s">
        <v>1202</v>
      </c>
      <c r="C897" s="70" t="s">
        <v>1203</v>
      </c>
      <c r="D897" s="70" t="s">
        <v>1</v>
      </c>
      <c r="E897" s="70" t="s">
        <v>1</v>
      </c>
      <c r="F897" s="70"/>
      <c r="G897" s="70" t="s">
        <v>61</v>
      </c>
      <c r="H897" s="70" t="s">
        <v>178</v>
      </c>
      <c r="I897" s="70" t="s">
        <v>198</v>
      </c>
      <c r="J897" s="71" t="str">
        <f>IF(OR(I897=0,I897=""),"unrated",VLOOKUP(I897,MappingTables!$B$19:$C$31,2,FALSE))</f>
        <v>unrated</v>
      </c>
      <c r="K897" s="72">
        <v>0.056803250890731808</v>
      </c>
      <c r="L897" s="70">
        <v>0.032876796779126236</v>
      </c>
      <c r="M897" s="71">
        <f>IF(L897&lt;1,1,L897)</f>
        <v>1</v>
      </c>
      <c r="N897" s="70" t="s">
        <v>141</v>
      </c>
      <c r="O897" s="71">
        <f>INDEX(DurClassMapping,MATCH(M897,MappingTables!$D$4:$D$8,-1),1)</f>
        <v>1</v>
      </c>
      <c r="P897" s="73">
        <f>IF(M897=$A$1,1,$M897-INDEX(MappingTables!$E$4:$E$8,MATCH(O897,MappingTables!$B$4:$B$8,0)))</f>
        <v>1</v>
      </c>
      <c r="Q897" s="71">
        <f>IF(B897="",0,INDEX(ModelParameters!$D$6:$K$10,MATCH($O897,ModelParameters!$B$6:$B$10,0),MATCH($J897,ModelParameters!$D$5:$K$5,0)))</f>
        <v>0.03</v>
      </c>
      <c r="R897" s="71">
        <f>IF(B897="",0,INDEX(ModelParameters!$D$13:$K$17,MATCH($O897,ModelParameters!$B$13:$B$17,0),MATCH($J897,ModelParameters!$D$5:$K$5,0)))</f>
        <v>0</v>
      </c>
      <c r="S897" s="160">
        <f>IF(B897="",0,MIN(IF($N897="Other Bond TM",ModelParameters!$N$21,1)*(P897*Q897+R897),1))</f>
        <v>0.03</v>
      </c>
      <c r="T897" s="85">
        <f>IF(B897="",0,$S897*$K897)</f>
        <v>0.0017040975267219542</v>
      </c>
      <c r="U897" s="85">
        <f>IF(B897="",0,IF(OR(H897=MappingTables!$C$34,H897=MappingTables!$C$35),T897,0))</f>
        <v>0</v>
      </c>
      <c r="V897" s="85">
        <f>IF(ISNA(IF(AND(VLOOKUP(CONCATENATE($D897,$G897),CSRFinput!$B:$E,4,0)=0,OR(H897=MappingTables!$C$34,H897=MappingTables!$C$35)),1,VLOOKUP(CONCATENATE($D897,$G897),CSRFinput!$B:$E,4,0))),0,IF(AND(VLOOKUP(CONCATENATE($D897,$G897),CSRFinput!$B:$E,4,0)=0,OR(H897=MappingTables!$C$34,H897=MappingTables!$C$35)),1,VLOOKUP(CONCATENATE($D897,$G897),CSRFinput!$B:$E,4,0)))</f>
        <v>0.054776304963434752</v>
      </c>
      <c r="W897" s="85">
        <f>IF(B897="",0,+$T897*$V897)</f>
        <v>0.000093344165811156672</v>
      </c>
      <c r="X897" s="85">
        <f>IF(B897="",0,IF(OR(H897=MappingTables!$C$34,H897=MappingTables!$C$35),W897,0))</f>
        <v>0</v>
      </c>
    </row>
    <row r="898" spans="2:24" s="0" customFormat="0" ht="15">
      <c r="B898" s="69" t="s">
        <v>1204</v>
      </c>
      <c r="C898" s="70" t="s">
        <v>1205</v>
      </c>
      <c r="D898" s="70" t="s">
        <v>1</v>
      </c>
      <c r="E898" s="70" t="s">
        <v>1</v>
      </c>
      <c r="F898" s="70"/>
      <c r="G898" s="70" t="s">
        <v>61</v>
      </c>
      <c r="H898" s="70" t="s">
        <v>178</v>
      </c>
      <c r="I898" s="70" t="s">
        <v>216</v>
      </c>
      <c r="J898" s="71">
        <f>IF(OR(I898=0,I898=""),"unrated",VLOOKUP(I898,MappingTables!$B$19:$C$31,2,FALSE))</f>
        <v>0</v>
      </c>
      <c r="K898" s="72">
        <v>3875.563233278644</v>
      </c>
      <c r="L898" s="70">
        <v>0.6510922284063544</v>
      </c>
      <c r="M898" s="71">
        <f>IF(L898&lt;1,1,L898)</f>
        <v>1</v>
      </c>
      <c r="N898" s="70" t="s">
        <v>141</v>
      </c>
      <c r="O898" s="71">
        <f>INDEX(DurClassMapping,MATCH(M898,MappingTables!$D$4:$D$8,-1),1)</f>
        <v>1</v>
      </c>
      <c r="P898" s="73">
        <f>IF(M898=$A$1,1,$M898-INDEX(MappingTables!$E$4:$E$8,MATCH(O898,MappingTables!$B$4:$B$8,0)))</f>
        <v>1</v>
      </c>
      <c r="Q898" s="71">
        <f>IF(B898="",0,INDEX(ModelParameters!$D$6:$K$10,MATCH($O898,ModelParameters!$B$6:$B$10,0),MATCH($J898,ModelParameters!$D$5:$K$5,0)))</f>
        <v>0.0090000000000000016</v>
      </c>
      <c r="R898" s="71">
        <f>IF(B898="",0,INDEX(ModelParameters!$D$13:$K$17,MATCH($O898,ModelParameters!$B$13:$B$17,0),MATCH($J898,ModelParameters!$D$5:$K$5,0)))</f>
        <v>0</v>
      </c>
      <c r="S898" s="160">
        <f>IF(B898="",0,MIN(IF($N898="Other Bond TM",ModelParameters!$N$21,1)*(P898*Q898+R898),1))</f>
        <v>0.0090000000000000016</v>
      </c>
      <c r="T898" s="85">
        <f>IF(B898="",0,$S898*$K898)</f>
        <v>34.8800690995078</v>
      </c>
      <c r="U898" s="85">
        <f>IF(B898="",0,IF(OR(H898=MappingTables!$C$34,H898=MappingTables!$C$35),T898,0))</f>
        <v>0</v>
      </c>
      <c r="V898" s="85">
        <f>IF(ISNA(IF(AND(VLOOKUP(CONCATENATE($D898,$G898),CSRFinput!$B:$E,4,0)=0,OR(H898=MappingTables!$C$34,H898=MappingTables!$C$35)),1,VLOOKUP(CONCATENATE($D898,$G898),CSRFinput!$B:$E,4,0))),0,IF(AND(VLOOKUP(CONCATENATE($D898,$G898),CSRFinput!$B:$E,4,0)=0,OR(H898=MappingTables!$C$34,H898=MappingTables!$C$35)),1,VLOOKUP(CONCATENATE($D898,$G898),CSRFinput!$B:$E,4,0)))</f>
        <v>0.054776304963434752</v>
      </c>
      <c r="W898" s="85">
        <f>IF(B898="",0,+$T898*$V898)</f>
        <v>1.9106013021403164</v>
      </c>
      <c r="X898" s="85">
        <f>IF(B898="",0,IF(OR(H898=MappingTables!$C$34,H898=MappingTables!$C$35),W898,0))</f>
        <v>0</v>
      </c>
    </row>
    <row r="899" spans="2:24" s="0" customFormat="0" ht="15">
      <c r="B899" s="69">
        <v>22323049</v>
      </c>
      <c r="C899" s="70" t="s">
        <v>1206</v>
      </c>
      <c r="D899" s="70" t="s">
        <v>1</v>
      </c>
      <c r="E899" s="70" t="s">
        <v>1</v>
      </c>
      <c r="F899" s="70"/>
      <c r="G899" s="70" t="s">
        <v>61</v>
      </c>
      <c r="H899" s="70" t="s">
        <v>178</v>
      </c>
      <c r="I899" s="70" t="s">
        <v>181</v>
      </c>
      <c r="J899" s="71">
        <f>IF(OR(I899=0,I899=""),"unrated",VLOOKUP(I899,MappingTables!$B$19:$C$31,2,FALSE))</f>
        <v>3</v>
      </c>
      <c r="K899" s="72">
        <v>26.567063616354072</v>
      </c>
      <c r="L899" s="70">
        <v>14.656335075408048</v>
      </c>
      <c r="M899" s="71">
        <f>IF(L899&lt;1,1,L899)</f>
        <v>14.656335075408048</v>
      </c>
      <c r="N899" s="70" t="s">
        <v>141</v>
      </c>
      <c r="O899" s="71">
        <f>INDEX(DurClassMapping,MATCH(M899,MappingTables!$D$4:$D$8,-1),1)</f>
        <v>3</v>
      </c>
      <c r="P899" s="73">
        <f>IF(M899=$A$1,1,$M899-INDEX(MappingTables!$E$4:$E$8,MATCH(O899,MappingTables!$B$4:$B$8,0)))</f>
        <v>4.656335075408048</v>
      </c>
      <c r="Q899" s="71">
        <f>IF(B899="",0,INDEX(ModelParameters!$D$6:$K$10,MATCH($O899,ModelParameters!$B$6:$B$10,0),MATCH($J899,ModelParameters!$D$5:$K$5,0)))</f>
        <v>0.01</v>
      </c>
      <c r="R899" s="71">
        <f>IF(B899="",0,INDEX(ModelParameters!$D$13:$K$17,MATCH($O899,ModelParameters!$B$13:$B$17,0),MATCH($J899,ModelParameters!$D$5:$K$5,0)))</f>
        <v>0.2</v>
      </c>
      <c r="S899" s="160">
        <f>IF(B899="",0,MIN(IF($N899="Other Bond TM",ModelParameters!$N$21,1)*(P899*Q899+R899),1))</f>
        <v>0.24656335075408048</v>
      </c>
      <c r="T899" s="85">
        <f>IF(B899="",0,$S899*$K899)</f>
        <v>6.5504642249450792</v>
      </c>
      <c r="U899" s="85">
        <f>IF(B899="",0,IF(OR(H899=MappingTables!$C$34,H899=MappingTables!$C$35),T899,0))</f>
        <v>0</v>
      </c>
      <c r="V899" s="85">
        <f>IF(ISNA(IF(AND(VLOOKUP(CONCATENATE($D899,$G899),CSRFinput!$B:$E,4,0)=0,OR(H899=MappingTables!$C$34,H899=MappingTables!$C$35)),1,VLOOKUP(CONCATENATE($D899,$G899),CSRFinput!$B:$E,4,0))),0,IF(AND(VLOOKUP(CONCATENATE($D899,$G899),CSRFinput!$B:$E,4,0)=0,OR(H899=MappingTables!$C$34,H899=MappingTables!$C$35)),1,VLOOKUP(CONCATENATE($D899,$G899),CSRFinput!$B:$E,4,0)))</f>
        <v>0.054776304963434752</v>
      </c>
      <c r="W899" s="85">
        <f>IF(B899="",0,+$T899*$V899)</f>
        <v>0.35881022603766092</v>
      </c>
      <c r="X899" s="85">
        <f>IF(B899="",0,IF(OR(H899=MappingTables!$C$34,H899=MappingTables!$C$35),W899,0))</f>
        <v>0</v>
      </c>
    </row>
    <row r="900" spans="2:24" s="0" customFormat="0" ht="15">
      <c r="B900" s="69" t="s">
        <v>1207</v>
      </c>
      <c r="C900" s="70" t="s">
        <v>1208</v>
      </c>
      <c r="D900" s="70" t="s">
        <v>1</v>
      </c>
      <c r="E900" s="70" t="s">
        <v>1</v>
      </c>
      <c r="F900" s="70"/>
      <c r="G900" s="70" t="s">
        <v>61</v>
      </c>
      <c r="H900" s="70" t="s">
        <v>178</v>
      </c>
      <c r="I900" s="70" t="s">
        <v>188</v>
      </c>
      <c r="J900" s="71">
        <f>IF(OR(I900=0,I900=""),"unrated",VLOOKUP(I900,MappingTables!$B$19:$C$31,2,FALSE))</f>
        <v>2</v>
      </c>
      <c r="K900" s="72">
        <v>4.3740168321615224</v>
      </c>
      <c r="L900" s="70">
        <v>0.30136972842190236</v>
      </c>
      <c r="M900" s="71">
        <f>IF(L900&lt;1,1,L900)</f>
        <v>1</v>
      </c>
      <c r="N900" s="70" t="s">
        <v>141</v>
      </c>
      <c r="O900" s="71">
        <f>INDEX(DurClassMapping,MATCH(M900,MappingTables!$D$4:$D$8,-1),1)</f>
        <v>1</v>
      </c>
      <c r="P900" s="73">
        <f>IF(M900=$A$1,1,$M900-INDEX(MappingTables!$E$4:$E$8,MATCH(O900,MappingTables!$B$4:$B$8,0)))</f>
        <v>1</v>
      </c>
      <c r="Q900" s="71">
        <f>IF(B900="",0,INDEX(ModelParameters!$D$6:$K$10,MATCH($O900,ModelParameters!$B$6:$B$10,0),MATCH($J900,ModelParameters!$D$5:$K$5,0)))</f>
        <v>0.013999999999999998</v>
      </c>
      <c r="R900" s="71">
        <f>IF(B900="",0,INDEX(ModelParameters!$D$13:$K$17,MATCH($O900,ModelParameters!$B$13:$B$17,0),MATCH($J900,ModelParameters!$D$5:$K$5,0)))</f>
        <v>0</v>
      </c>
      <c r="S900" s="160">
        <f>IF(B900="",0,MIN(IF($N900="Other Bond TM",ModelParameters!$N$21,1)*(P900*Q900+R900),1))</f>
        <v>0.013999999999999998</v>
      </c>
      <c r="T900" s="85">
        <f>IF(B900="",0,$S900*$K900)</f>
        <v>0.061236235650261304</v>
      </c>
      <c r="U900" s="85">
        <f>IF(B900="",0,IF(OR(H900=MappingTables!$C$34,H900=MappingTables!$C$35),T900,0))</f>
        <v>0</v>
      </c>
      <c r="V900" s="85">
        <f>IF(ISNA(IF(AND(VLOOKUP(CONCATENATE($D900,$G900),CSRFinput!$B:$E,4,0)=0,OR(H900=MappingTables!$C$34,H900=MappingTables!$C$35)),1,VLOOKUP(CONCATENATE($D900,$G900),CSRFinput!$B:$E,4,0))),0,IF(AND(VLOOKUP(CONCATENATE($D900,$G900),CSRFinput!$B:$E,4,0)=0,OR(H900=MappingTables!$C$34,H900=MappingTables!$C$35)),1,VLOOKUP(CONCATENATE($D900,$G900),CSRFinput!$B:$E,4,0)))</f>
        <v>0.054776304963434752</v>
      </c>
      <c r="W900" s="85">
        <f>IF(B900="",0,+$T900*$V900)</f>
        <v>0.0033542947187914684</v>
      </c>
      <c r="X900" s="85">
        <f>IF(B900="",0,IF(OR(H900=MappingTables!$C$34,H900=MappingTables!$C$35),W900,0))</f>
        <v>0</v>
      </c>
    </row>
    <row r="901" spans="2:24" s="0" customFormat="0" ht="15">
      <c r="B901" s="69">
        <v>24176486</v>
      </c>
      <c r="C901" s="70" t="s">
        <v>1209</v>
      </c>
      <c r="D901" s="70" t="s">
        <v>1</v>
      </c>
      <c r="E901" s="70" t="s">
        <v>1</v>
      </c>
      <c r="F901" s="70"/>
      <c r="G901" s="70" t="s">
        <v>61</v>
      </c>
      <c r="H901" s="70" t="s">
        <v>178</v>
      </c>
      <c r="I901" s="70" t="s">
        <v>179</v>
      </c>
      <c r="J901" s="71">
        <f>IF(OR(I901=0,I901=""),"unrated",VLOOKUP(I901,MappingTables!$B$19:$C$31,2,FALSE))</f>
        <v>4</v>
      </c>
      <c r="K901" s="72">
        <v>1839.6832281133708</v>
      </c>
      <c r="L901" s="70">
        <v>7.9261797303743632</v>
      </c>
      <c r="M901" s="71">
        <f>IF(L901&lt;1,1,L901)</f>
        <v>7.9261797303743632</v>
      </c>
      <c r="N901" s="70" t="s">
        <v>141</v>
      </c>
      <c r="O901" s="71">
        <f>INDEX(DurClassMapping,MATCH(M901,MappingTables!$D$4:$D$8,-1),1)</f>
        <v>2</v>
      </c>
      <c r="P901" s="73">
        <f>IF(M901=$A$1,1,$M901-INDEX(MappingTables!$E$4:$E$8,MATCH(O901,MappingTables!$B$4:$B$8,0)))</f>
        <v>2.926179730374364</v>
      </c>
      <c r="Q901" s="71">
        <f>IF(B901="",0,INDEX(ModelParameters!$D$6:$K$10,MATCH($O901,ModelParameters!$B$6:$B$10,0),MATCH($J901,ModelParameters!$D$5:$K$5,0)))</f>
        <v>0.025</v>
      </c>
      <c r="R901" s="71">
        <f>IF(B901="",0,INDEX(ModelParameters!$D$13:$K$17,MATCH($O901,ModelParameters!$B$13:$B$17,0),MATCH($J901,ModelParameters!$D$5:$K$5,0)))</f>
        <v>0.225</v>
      </c>
      <c r="S901" s="160">
        <f>IF(B901="",0,MIN(IF($N901="Other Bond TM",ModelParameters!$N$21,1)*(P901*Q901+R901),1))</f>
        <v>0.29815449325935912</v>
      </c>
      <c r="T901" s="85">
        <f>IF(B901="",0,$S901*$K901)</f>
        <v>548.509820635884</v>
      </c>
      <c r="U901" s="85">
        <f>IF(B901="",0,IF(OR(H901=MappingTables!$C$34,H901=MappingTables!$C$35),T901,0))</f>
        <v>0</v>
      </c>
      <c r="V901" s="85">
        <f>IF(ISNA(IF(AND(VLOOKUP(CONCATENATE($D901,$G901),CSRFinput!$B:$E,4,0)=0,OR(H901=MappingTables!$C$34,H901=MappingTables!$C$35)),1,VLOOKUP(CONCATENATE($D901,$G901),CSRFinput!$B:$E,4,0))),0,IF(AND(VLOOKUP(CONCATENATE($D901,$G901),CSRFinput!$B:$E,4,0)=0,OR(H901=MappingTables!$C$34,H901=MappingTables!$C$35)),1,VLOOKUP(CONCATENATE($D901,$G901),CSRFinput!$B:$E,4,0)))</f>
        <v>0.054776304963434752</v>
      </c>
      <c r="W901" s="85">
        <f>IF(B901="",0,+$T901*$V901)</f>
        <v>30.04534121059008</v>
      </c>
      <c r="X901" s="85">
        <f>IF(B901="",0,IF(OR(H901=MappingTables!$C$34,H901=MappingTables!$C$35),W901,0))</f>
        <v>0</v>
      </c>
    </row>
    <row r="902" spans="2:24" s="0" customFormat="0" ht="15">
      <c r="B902" s="69">
        <v>18173009</v>
      </c>
      <c r="C902" s="70" t="s">
        <v>342</v>
      </c>
      <c r="D902" s="70" t="s">
        <v>1</v>
      </c>
      <c r="E902" s="70" t="s">
        <v>1</v>
      </c>
      <c r="F902" s="70"/>
      <c r="G902" s="70" t="s">
        <v>61</v>
      </c>
      <c r="H902" s="70" t="s">
        <v>178</v>
      </c>
      <c r="I902" s="70" t="s">
        <v>181</v>
      </c>
      <c r="J902" s="71">
        <f>IF(OR(I902=0,I902=""),"unrated",VLOOKUP(I902,MappingTables!$B$19:$C$31,2,FALSE))</f>
        <v>3</v>
      </c>
      <c r="K902" s="72">
        <v>290.88486856652084</v>
      </c>
      <c r="L902" s="70">
        <v>6.6155259526019632</v>
      </c>
      <c r="M902" s="71">
        <f>IF(L902&lt;1,1,L902)</f>
        <v>6.6155259526019632</v>
      </c>
      <c r="N902" s="70" t="s">
        <v>141</v>
      </c>
      <c r="O902" s="71">
        <f>INDEX(DurClassMapping,MATCH(M902,MappingTables!$D$4:$D$8,-1),1)</f>
        <v>2</v>
      </c>
      <c r="P902" s="73">
        <f>IF(M902=$A$1,1,$M902-INDEX(MappingTables!$E$4:$E$8,MATCH(O902,MappingTables!$B$4:$B$8,0)))</f>
        <v>1.6155259526019634</v>
      </c>
      <c r="Q902" s="71">
        <f>IF(B902="",0,INDEX(ModelParameters!$D$6:$K$10,MATCH($O902,ModelParameters!$B$6:$B$10,0),MATCH($J902,ModelParameters!$D$5:$K$5,0)))</f>
        <v>0.015</v>
      </c>
      <c r="R902" s="71">
        <f>IF(B902="",0,INDEX(ModelParameters!$D$13:$K$17,MATCH($O902,ModelParameters!$B$13:$B$17,0),MATCH($J902,ModelParameters!$D$5:$K$5,0)))</f>
        <v>0.125</v>
      </c>
      <c r="S902" s="160">
        <f>IF(B902="",0,MIN(IF($N902="Other Bond TM",ModelParameters!$N$21,1)*(P902*Q902+R902),1))</f>
        <v>0.14923288928902944</v>
      </c>
      <c r="T902" s="85">
        <f>IF(B902="",0,$S902*$K902)</f>
        <v>43.409589386641488</v>
      </c>
      <c r="U902" s="85">
        <f>IF(B902="",0,IF(OR(H902=MappingTables!$C$34,H902=MappingTables!$C$35),T902,0))</f>
        <v>0</v>
      </c>
      <c r="V902" s="85">
        <f>IF(ISNA(IF(AND(VLOOKUP(CONCATENATE($D902,$G902),CSRFinput!$B:$E,4,0)=0,OR(H902=MappingTables!$C$34,H902=MappingTables!$C$35)),1,VLOOKUP(CONCATENATE($D902,$G902),CSRFinput!$B:$E,4,0))),0,IF(AND(VLOOKUP(CONCATENATE($D902,$G902),CSRFinput!$B:$E,4,0)=0,OR(H902=MappingTables!$C$34,H902=MappingTables!$C$35)),1,VLOOKUP(CONCATENATE($D902,$G902),CSRFinput!$B:$E,4,0)))</f>
        <v>0.054776304963434752</v>
      </c>
      <c r="W902" s="85">
        <f>IF(B902="",0,+$T902*$V902)</f>
        <v>2.3778169065801548</v>
      </c>
      <c r="X902" s="85">
        <f>IF(B902="",0,IF(OR(H902=MappingTables!$C$34,H902=MappingTables!$C$35),W902,0))</f>
        <v>0</v>
      </c>
    </row>
    <row r="903" spans="2:24" s="0" customFormat="0" ht="15">
      <c r="B903" s="69">
        <v>11384399</v>
      </c>
      <c r="C903" s="70" t="s">
        <v>1210</v>
      </c>
      <c r="D903" s="70" t="s">
        <v>1</v>
      </c>
      <c r="E903" s="70" t="s">
        <v>1</v>
      </c>
      <c r="F903" s="70"/>
      <c r="G903" s="70" t="s">
        <v>61</v>
      </c>
      <c r="H903" s="70" t="s">
        <v>178</v>
      </c>
      <c r="I903" s="70" t="s">
        <v>188</v>
      </c>
      <c r="J903" s="71">
        <f>IF(OR(I903=0,I903=""),"unrated",VLOOKUP(I903,MappingTables!$B$19:$C$31,2,FALSE))</f>
        <v>2</v>
      </c>
      <c r="K903" s="72">
        <v>2625.1227275263804</v>
      </c>
      <c r="L903" s="70">
        <v>1.057593589452083</v>
      </c>
      <c r="M903" s="71">
        <f>IF(L903&lt;1,1,L903)</f>
        <v>1.057593589452083</v>
      </c>
      <c r="N903" s="70" t="s">
        <v>141</v>
      </c>
      <c r="O903" s="71">
        <f>INDEX(DurClassMapping,MATCH(M903,MappingTables!$D$4:$D$8,-1),1)</f>
        <v>1</v>
      </c>
      <c r="P903" s="73">
        <f>IF(M903=$A$1,1,$M903-INDEX(MappingTables!$E$4:$E$8,MATCH(O903,MappingTables!$B$4:$B$8,0)))</f>
        <v>1.057593589452083</v>
      </c>
      <c r="Q903" s="71">
        <f>IF(B903="",0,INDEX(ModelParameters!$D$6:$K$10,MATCH($O903,ModelParameters!$B$6:$B$10,0),MATCH($J903,ModelParameters!$D$5:$K$5,0)))</f>
        <v>0.013999999999999998</v>
      </c>
      <c r="R903" s="71">
        <f>IF(B903="",0,INDEX(ModelParameters!$D$13:$K$17,MATCH($O903,ModelParameters!$B$13:$B$17,0),MATCH($J903,ModelParameters!$D$5:$K$5,0)))</f>
        <v>0</v>
      </c>
      <c r="S903" s="160">
        <f>IF(B903="",0,MIN(IF($N903="Other Bond TM",ModelParameters!$N$21,1)*(P903*Q903+R903),1))</f>
        <v>0.014806310252329158</v>
      </c>
      <c r="T903" s="85">
        <f>IF(B903="",0,$S903*$K903)</f>
        <v>38.868381554196136</v>
      </c>
      <c r="U903" s="85">
        <f>IF(B903="",0,IF(OR(H903=MappingTables!$C$34,H903=MappingTables!$C$35),T903,0))</f>
        <v>0</v>
      </c>
      <c r="V903" s="85">
        <f>IF(ISNA(IF(AND(VLOOKUP(CONCATENATE($D903,$G903),CSRFinput!$B:$E,4,0)=0,OR(H903=MappingTables!$C$34,H903=MappingTables!$C$35)),1,VLOOKUP(CONCATENATE($D903,$G903),CSRFinput!$B:$E,4,0))),0,IF(AND(VLOOKUP(CONCATENATE($D903,$G903),CSRFinput!$B:$E,4,0)=0,OR(H903=MappingTables!$C$34,H903=MappingTables!$C$35)),1,VLOOKUP(CONCATENATE($D903,$G903),CSRFinput!$B:$E,4,0)))</f>
        <v>0.054776304963434752</v>
      </c>
      <c r="W903" s="85">
        <f>IF(B903="",0,+$T903*$V903)</f>
        <v>2.1290663214477896</v>
      </c>
      <c r="X903" s="85">
        <f>IF(B903="",0,IF(OR(H903=MappingTables!$C$34,H903=MappingTables!$C$35),W903,0))</f>
        <v>0</v>
      </c>
    </row>
    <row r="904" spans="2:24" s="0" customFormat="0" ht="15">
      <c r="B904" s="69">
        <v>23039281</v>
      </c>
      <c r="C904" s="70" t="s">
        <v>1211</v>
      </c>
      <c r="D904" s="70" t="s">
        <v>1</v>
      </c>
      <c r="E904" s="70" t="s">
        <v>1</v>
      </c>
      <c r="F904" s="70"/>
      <c r="G904" s="70" t="s">
        <v>61</v>
      </c>
      <c r="H904" s="70" t="s">
        <v>178</v>
      </c>
      <c r="I904" s="70" t="s">
        <v>181</v>
      </c>
      <c r="J904" s="71">
        <f>IF(OR(I904=0,I904=""),"unrated",VLOOKUP(I904,MappingTables!$B$19:$C$31,2,FALSE))</f>
        <v>3</v>
      </c>
      <c r="K904" s="72">
        <v>34149.42536263908</v>
      </c>
      <c r="L904" s="70">
        <v>3.8738202512124152</v>
      </c>
      <c r="M904" s="71">
        <f>IF(L904&lt;1,1,L904)</f>
        <v>3.8738202512124152</v>
      </c>
      <c r="N904" s="70" t="s">
        <v>141</v>
      </c>
      <c r="O904" s="71">
        <f>INDEX(DurClassMapping,MATCH(M904,MappingTables!$D$4:$D$8,-1),1)</f>
        <v>1</v>
      </c>
      <c r="P904" s="73">
        <f>IF(M904=$A$1,1,$M904-INDEX(MappingTables!$E$4:$E$8,MATCH(O904,MappingTables!$B$4:$B$8,0)))</f>
        <v>3.8738202512124152</v>
      </c>
      <c r="Q904" s="71">
        <f>IF(B904="",0,INDEX(ModelParameters!$D$6:$K$10,MATCH($O904,ModelParameters!$B$6:$B$10,0),MATCH($J904,ModelParameters!$D$5:$K$5,0)))</f>
        <v>0.025</v>
      </c>
      <c r="R904" s="71">
        <f>IF(B904="",0,INDEX(ModelParameters!$D$13:$K$17,MATCH($O904,ModelParameters!$B$13:$B$17,0),MATCH($J904,ModelParameters!$D$5:$K$5,0)))</f>
        <v>0</v>
      </c>
      <c r="S904" s="160">
        <f>IF(B904="",0,MIN(IF($N904="Other Bond TM",ModelParameters!$N$21,1)*(P904*Q904+R904),1))</f>
        <v>0.0968455062803104</v>
      </c>
      <c r="T904" s="85">
        <f>IF(B904="",0,$S904*$K904)</f>
        <v>3307.218388426454</v>
      </c>
      <c r="U904" s="85">
        <f>IF(B904="",0,IF(OR(H904=MappingTables!$C$34,H904=MappingTables!$C$35),T904,0))</f>
        <v>0</v>
      </c>
      <c r="V904" s="85">
        <f>IF(ISNA(IF(AND(VLOOKUP(CONCATENATE($D904,$G904),CSRFinput!$B:$E,4,0)=0,OR(H904=MappingTables!$C$34,H904=MappingTables!$C$35)),1,VLOOKUP(CONCATENATE($D904,$G904),CSRFinput!$B:$E,4,0))),0,IF(AND(VLOOKUP(CONCATENATE($D904,$G904),CSRFinput!$B:$E,4,0)=0,OR(H904=MappingTables!$C$34,H904=MappingTables!$C$35)),1,VLOOKUP(CONCATENATE($D904,$G904),CSRFinput!$B:$E,4,0)))</f>
        <v>0.054776304963434752</v>
      </c>
      <c r="W904" s="85">
        <f>IF(B904="",0,+$T904*$V904)</f>
        <v>181.15720302512668</v>
      </c>
      <c r="X904" s="85">
        <f>IF(B904="",0,IF(OR(H904=MappingTables!$C$34,H904=MappingTables!$C$35),W904,0))</f>
        <v>0</v>
      </c>
    </row>
    <row r="905" spans="2:24" s="0" customFormat="0" ht="15">
      <c r="B905" s="69">
        <v>4992247</v>
      </c>
      <c r="C905" s="70" t="s">
        <v>197</v>
      </c>
      <c r="D905" s="70" t="s">
        <v>1</v>
      </c>
      <c r="E905" s="70" t="s">
        <v>1</v>
      </c>
      <c r="F905" s="70"/>
      <c r="G905" s="70" t="s">
        <v>61</v>
      </c>
      <c r="H905" s="70" t="s">
        <v>178</v>
      </c>
      <c r="I905" s="70" t="s">
        <v>198</v>
      </c>
      <c r="J905" s="71" t="str">
        <f>IF(OR(I905=0,I905=""),"unrated",VLOOKUP(I905,MappingTables!$B$19:$C$31,2,FALSE))</f>
        <v>unrated</v>
      </c>
      <c r="K905" s="72">
        <v>1316.7652183252976</v>
      </c>
      <c r="L905" s="70">
        <v>1.406492793244878</v>
      </c>
      <c r="M905" s="71">
        <f>IF(L905&lt;1,1,L905)</f>
        <v>1.406492793244878</v>
      </c>
      <c r="N905" s="70" t="s">
        <v>141</v>
      </c>
      <c r="O905" s="71">
        <f>INDEX(DurClassMapping,MATCH(M905,MappingTables!$D$4:$D$8,-1),1)</f>
        <v>1</v>
      </c>
      <c r="P905" s="73">
        <f>IF(M905=$A$1,1,$M905-INDEX(MappingTables!$E$4:$E$8,MATCH(O905,MappingTables!$B$4:$B$8,0)))</f>
        <v>1.406492793244878</v>
      </c>
      <c r="Q905" s="71">
        <f>IF(B905="",0,INDEX(ModelParameters!$D$6:$K$10,MATCH($O905,ModelParameters!$B$6:$B$10,0),MATCH($J905,ModelParameters!$D$5:$K$5,0)))</f>
        <v>0.03</v>
      </c>
      <c r="R905" s="71">
        <f>IF(B905="",0,INDEX(ModelParameters!$D$13:$K$17,MATCH($O905,ModelParameters!$B$13:$B$17,0),MATCH($J905,ModelParameters!$D$5:$K$5,0)))</f>
        <v>0</v>
      </c>
      <c r="S905" s="160">
        <f>IF(B905="",0,MIN(IF($N905="Other Bond TM",ModelParameters!$N$21,1)*(P905*Q905+R905),1))</f>
        <v>0.042194783797346344</v>
      </c>
      <c r="T905" s="85">
        <f>IF(B905="",0,$S905*$K905)</f>
        <v>55.56062369910148</v>
      </c>
      <c r="U905" s="85">
        <f>IF(B905="",0,IF(OR(H905=MappingTables!$C$34,H905=MappingTables!$C$35),T905,0))</f>
        <v>0</v>
      </c>
      <c r="V905" s="85">
        <f>IF(ISNA(IF(AND(VLOOKUP(CONCATENATE($D905,$G905),CSRFinput!$B:$E,4,0)=0,OR(H905=MappingTables!$C$34,H905=MappingTables!$C$35)),1,VLOOKUP(CONCATENATE($D905,$G905),CSRFinput!$B:$E,4,0))),0,IF(AND(VLOOKUP(CONCATENATE($D905,$G905),CSRFinput!$B:$E,4,0)=0,OR(H905=MappingTables!$C$34,H905=MappingTables!$C$35)),1,VLOOKUP(CONCATENATE($D905,$G905),CSRFinput!$B:$E,4,0)))</f>
        <v>0.054776304963434752</v>
      </c>
      <c r="W905" s="85">
        <f>IF(B905="",0,+$T905*$V905)</f>
        <v>3.0434056677006232</v>
      </c>
      <c r="X905" s="85">
        <f>IF(B905="",0,IF(OR(H905=MappingTables!$C$34,H905=MappingTables!$C$35),W905,0))</f>
        <v>0</v>
      </c>
    </row>
    <row r="906" spans="2:24" s="0" customFormat="0" ht="15">
      <c r="B906" s="69">
        <v>17020265</v>
      </c>
      <c r="C906" s="70" t="s">
        <v>1212</v>
      </c>
      <c r="D906" s="70" t="s">
        <v>1</v>
      </c>
      <c r="E906" s="70" t="s">
        <v>1</v>
      </c>
      <c r="F906" s="70"/>
      <c r="G906" s="70" t="s">
        <v>61</v>
      </c>
      <c r="H906" s="70" t="s">
        <v>178</v>
      </c>
      <c r="I906" s="70" t="s">
        <v>181</v>
      </c>
      <c r="J906" s="71">
        <f>IF(OR(I906=0,I906=""),"unrated",VLOOKUP(I906,MappingTables!$B$19:$C$31,2,FALSE))</f>
        <v>3</v>
      </c>
      <c r="K906" s="72">
        <v>289.809834328333</v>
      </c>
      <c r="L906" s="70">
        <v>0.33972902128659744</v>
      </c>
      <c r="M906" s="71">
        <f>IF(L906&lt;1,1,L906)</f>
        <v>1</v>
      </c>
      <c r="N906" s="70" t="s">
        <v>141</v>
      </c>
      <c r="O906" s="71">
        <f>INDEX(DurClassMapping,MATCH(M906,MappingTables!$D$4:$D$8,-1),1)</f>
        <v>1</v>
      </c>
      <c r="P906" s="73">
        <f>IF(M906=$A$1,1,$M906-INDEX(MappingTables!$E$4:$E$8,MATCH(O906,MappingTables!$B$4:$B$8,0)))</f>
        <v>1</v>
      </c>
      <c r="Q906" s="71">
        <f>IF(B906="",0,INDEX(ModelParameters!$D$6:$K$10,MATCH($O906,ModelParameters!$B$6:$B$10,0),MATCH($J906,ModelParameters!$D$5:$K$5,0)))</f>
        <v>0.025</v>
      </c>
      <c r="R906" s="71">
        <f>IF(B906="",0,INDEX(ModelParameters!$D$13:$K$17,MATCH($O906,ModelParameters!$B$13:$B$17,0),MATCH($J906,ModelParameters!$D$5:$K$5,0)))</f>
        <v>0</v>
      </c>
      <c r="S906" s="160">
        <f>IF(B906="",0,MIN(IF($N906="Other Bond TM",ModelParameters!$N$21,1)*(P906*Q906+R906),1))</f>
        <v>0.025</v>
      </c>
      <c r="T906" s="85">
        <f>IF(B906="",0,$S906*$K906)</f>
        <v>7.2452458582083248</v>
      </c>
      <c r="U906" s="85">
        <f>IF(B906="",0,IF(OR(H906=MappingTables!$C$34,H906=MappingTables!$C$35),T906,0))</f>
        <v>0</v>
      </c>
      <c r="V906" s="85">
        <f>IF(ISNA(IF(AND(VLOOKUP(CONCATENATE($D906,$G906),CSRFinput!$B:$E,4,0)=0,OR(H906=MappingTables!$C$34,H906=MappingTables!$C$35)),1,VLOOKUP(CONCATENATE($D906,$G906),CSRFinput!$B:$E,4,0))),0,IF(AND(VLOOKUP(CONCATENATE($D906,$G906),CSRFinput!$B:$E,4,0)=0,OR(H906=MappingTables!$C$34,H906=MappingTables!$C$35)),1,VLOOKUP(CONCATENATE($D906,$G906),CSRFinput!$B:$E,4,0)))</f>
        <v>0.054776304963434752</v>
      </c>
      <c r="W906" s="85">
        <f>IF(B906="",0,+$T906*$V906)</f>
        <v>0.39686779666428176</v>
      </c>
      <c r="X906" s="85">
        <f>IF(B906="",0,IF(OR(H906=MappingTables!$C$34,H906=MappingTables!$C$35),W906,0))</f>
        <v>0</v>
      </c>
    </row>
    <row r="907" spans="2:24" s="0" customFormat="0" ht="15">
      <c r="B907" s="69">
        <v>21026165</v>
      </c>
      <c r="C907" s="70" t="s">
        <v>1213</v>
      </c>
      <c r="D907" s="70" t="s">
        <v>1</v>
      </c>
      <c r="E907" s="70" t="s">
        <v>1</v>
      </c>
      <c r="F907" s="70"/>
      <c r="G907" s="70" t="s">
        <v>61</v>
      </c>
      <c r="H907" s="70" t="s">
        <v>178</v>
      </c>
      <c r="I907" s="70" t="s">
        <v>184</v>
      </c>
      <c r="J907" s="71">
        <f>IF(OR(I907=0,I907=""),"unrated",VLOOKUP(I907,MappingTables!$B$19:$C$31,2,FALSE))</f>
        <v>5</v>
      </c>
      <c r="K907" s="72">
        <v>6044.505300802464</v>
      </c>
      <c r="L907" s="70">
        <v>0.73716577442484944</v>
      </c>
      <c r="M907" s="71">
        <f>IF(L907&lt;1,1,L907)</f>
        <v>1</v>
      </c>
      <c r="N907" s="70" t="s">
        <v>141</v>
      </c>
      <c r="O907" s="71">
        <f>INDEX(DurClassMapping,MATCH(M907,MappingTables!$D$4:$D$8,-1),1)</f>
        <v>1</v>
      </c>
      <c r="P907" s="73">
        <f>IF(M907=$A$1,1,$M907-INDEX(MappingTables!$E$4:$E$8,MATCH(O907,MappingTables!$B$4:$B$8,0)))</f>
        <v>1</v>
      </c>
      <c r="Q907" s="71">
        <f>IF(B907="",0,INDEX(ModelParameters!$D$6:$K$10,MATCH($O907,ModelParameters!$B$6:$B$10,0),MATCH($J907,ModelParameters!$D$5:$K$5,0)))</f>
        <v>0.075</v>
      </c>
      <c r="R907" s="71">
        <f>IF(B907="",0,INDEX(ModelParameters!$D$13:$K$17,MATCH($O907,ModelParameters!$B$13:$B$17,0),MATCH($J907,ModelParameters!$D$5:$K$5,0)))</f>
        <v>0</v>
      </c>
      <c r="S907" s="160">
        <f>IF(B907="",0,MIN(IF($N907="Other Bond TM",ModelParameters!$N$21,1)*(P907*Q907+R907),1))</f>
        <v>0.075</v>
      </c>
      <c r="T907" s="85">
        <f>IF(B907="",0,$S907*$K907)</f>
        <v>453.3378975601848</v>
      </c>
      <c r="U907" s="85">
        <f>IF(B907="",0,IF(OR(H907=MappingTables!$C$34,H907=MappingTables!$C$35),T907,0))</f>
        <v>0</v>
      </c>
      <c r="V907" s="85">
        <f>IF(ISNA(IF(AND(VLOOKUP(CONCATENATE($D907,$G907),CSRFinput!$B:$E,4,0)=0,OR(H907=MappingTables!$C$34,H907=MappingTables!$C$35)),1,VLOOKUP(CONCATENATE($D907,$G907),CSRFinput!$B:$E,4,0))),0,IF(AND(VLOOKUP(CONCATENATE($D907,$G907),CSRFinput!$B:$E,4,0)=0,OR(H907=MappingTables!$C$34,H907=MappingTables!$C$35)),1,VLOOKUP(CONCATENATE($D907,$G907),CSRFinput!$B:$E,4,0)))</f>
        <v>0.054776304963434752</v>
      </c>
      <c r="W907" s="85">
        <f>IF(B907="",0,+$T907*$V907)</f>
        <v>24.832174928239028</v>
      </c>
      <c r="X907" s="85">
        <f>IF(B907="",0,IF(OR(H907=MappingTables!$C$34,H907=MappingTables!$C$35),W907,0))</f>
        <v>0</v>
      </c>
    </row>
    <row r="908" spans="2:24" s="0" customFormat="0" ht="15">
      <c r="B908" s="69">
        <v>17876603</v>
      </c>
      <c r="C908" s="70" t="s">
        <v>1214</v>
      </c>
      <c r="D908" s="70" t="s">
        <v>1</v>
      </c>
      <c r="E908" s="70" t="s">
        <v>1</v>
      </c>
      <c r="F908" s="70"/>
      <c r="G908" s="70" t="s">
        <v>61</v>
      </c>
      <c r="H908" s="70" t="s">
        <v>178</v>
      </c>
      <c r="I908" s="70" t="s">
        <v>184</v>
      </c>
      <c r="J908" s="71">
        <f>IF(OR(I908=0,I908=""),"unrated",VLOOKUP(I908,MappingTables!$B$19:$C$31,2,FALSE))</f>
        <v>5</v>
      </c>
      <c r="K908" s="72">
        <v>211.66779686969456</v>
      </c>
      <c r="L908" s="70">
        <v>4.317069033232032</v>
      </c>
      <c r="M908" s="71">
        <f>IF(L908&lt;1,1,L908)</f>
        <v>4.317069033232032</v>
      </c>
      <c r="N908" s="70" t="s">
        <v>141</v>
      </c>
      <c r="O908" s="71">
        <f>INDEX(DurClassMapping,MATCH(M908,MappingTables!$D$4:$D$8,-1),1)</f>
        <v>1</v>
      </c>
      <c r="P908" s="73">
        <f>IF(M908=$A$1,1,$M908-INDEX(MappingTables!$E$4:$E$8,MATCH(O908,MappingTables!$B$4:$B$8,0)))</f>
        <v>4.317069033232032</v>
      </c>
      <c r="Q908" s="71">
        <f>IF(B908="",0,INDEX(ModelParameters!$D$6:$K$10,MATCH($O908,ModelParameters!$B$6:$B$10,0),MATCH($J908,ModelParameters!$D$5:$K$5,0)))</f>
        <v>0.075</v>
      </c>
      <c r="R908" s="71">
        <f>IF(B908="",0,INDEX(ModelParameters!$D$13:$K$17,MATCH($O908,ModelParameters!$B$13:$B$17,0),MATCH($J908,ModelParameters!$D$5:$K$5,0)))</f>
        <v>0</v>
      </c>
      <c r="S908" s="160">
        <f>IF(B908="",0,MIN(IF($N908="Other Bond TM",ModelParameters!$N$21,1)*(P908*Q908+R908),1))</f>
        <v>0.3237801774924024</v>
      </c>
      <c r="T908" s="85">
        <f>IF(B908="",0,$S908*$K908)</f>
        <v>68.533836839895472</v>
      </c>
      <c r="U908" s="85">
        <f>IF(B908="",0,IF(OR(H908=MappingTables!$C$34,H908=MappingTables!$C$35),T908,0))</f>
        <v>0</v>
      </c>
      <c r="V908" s="85">
        <f>IF(ISNA(IF(AND(VLOOKUP(CONCATENATE($D908,$G908),CSRFinput!$B:$E,4,0)=0,OR(H908=MappingTables!$C$34,H908=MappingTables!$C$35)),1,VLOOKUP(CONCATENATE($D908,$G908),CSRFinput!$B:$E,4,0))),0,IF(AND(VLOOKUP(CONCATENATE($D908,$G908),CSRFinput!$B:$E,4,0)=0,OR(H908=MappingTables!$C$34,H908=MappingTables!$C$35)),1,VLOOKUP(CONCATENATE($D908,$G908),CSRFinput!$B:$E,4,0)))</f>
        <v>0.054776304963434752</v>
      </c>
      <c r="W908" s="85">
        <f>IF(B908="",0,+$T908*$V908)</f>
        <v>3.7540303470563944</v>
      </c>
      <c r="X908" s="85">
        <f>IF(B908="",0,IF(OR(H908=MappingTables!$C$34,H908=MappingTables!$C$35),W908,0))</f>
        <v>0</v>
      </c>
    </row>
    <row r="909" spans="2:24" s="0" customFormat="0" ht="15">
      <c r="B909" s="69" t="s">
        <v>1027</v>
      </c>
      <c r="C909" s="70" t="s">
        <v>1028</v>
      </c>
      <c r="D909" s="70" t="s">
        <v>1</v>
      </c>
      <c r="E909" s="70" t="s">
        <v>1</v>
      </c>
      <c r="F909" s="70"/>
      <c r="G909" s="70" t="s">
        <v>61</v>
      </c>
      <c r="H909" s="70" t="s">
        <v>178</v>
      </c>
      <c r="I909" s="70" t="s">
        <v>220</v>
      </c>
      <c r="J909" s="71">
        <f>IF(OR(I909=0,I909=""),"unrated",VLOOKUP(I909,MappingTables!$B$19:$C$31,2,FALSE))</f>
        <v>1</v>
      </c>
      <c r="K909" s="72">
        <v>351.53173399376028</v>
      </c>
      <c r="L909" s="70">
        <v>3.0376736746930396</v>
      </c>
      <c r="M909" s="71">
        <f>IF(L909&lt;1,1,L909)</f>
        <v>3.0376736746930396</v>
      </c>
      <c r="N909" s="70" t="s">
        <v>141</v>
      </c>
      <c r="O909" s="71">
        <f>INDEX(DurClassMapping,MATCH(M909,MappingTables!$D$4:$D$8,-1),1)</f>
        <v>1</v>
      </c>
      <c r="P909" s="73">
        <f>IF(M909=$A$1,1,$M909-INDEX(MappingTables!$E$4:$E$8,MATCH(O909,MappingTables!$B$4:$B$8,0)))</f>
        <v>3.0376736746930396</v>
      </c>
      <c r="Q909" s="71">
        <f>IF(B909="",0,INDEX(ModelParameters!$D$6:$K$10,MATCH($O909,ModelParameters!$B$6:$B$10,0),MATCH($J909,ModelParameters!$D$5:$K$5,0)))</f>
        <v>0.011000000000000002</v>
      </c>
      <c r="R909" s="71">
        <f>IF(B909="",0,INDEX(ModelParameters!$D$13:$K$17,MATCH($O909,ModelParameters!$B$13:$B$17,0),MATCH($J909,ModelParameters!$D$5:$K$5,0)))</f>
        <v>0</v>
      </c>
      <c r="S909" s="160">
        <f>IF(B909="",0,MIN(IF($N909="Other Bond TM",ModelParameters!$N$21,1)*(P909*Q909+R909),1))</f>
        <v>0.033414410421623436</v>
      </c>
      <c r="T909" s="85">
        <f>IF(B909="",0,$S909*$K909)</f>
        <v>11.746225635892462</v>
      </c>
      <c r="U909" s="85">
        <f>IF(B909="",0,IF(OR(H909=MappingTables!$C$34,H909=MappingTables!$C$35),T909,0))</f>
        <v>0</v>
      </c>
      <c r="V909" s="85">
        <f>IF(ISNA(IF(AND(VLOOKUP(CONCATENATE($D909,$G909),CSRFinput!$B:$E,4,0)=0,OR(H909=MappingTables!$C$34,H909=MappingTables!$C$35)),1,VLOOKUP(CONCATENATE($D909,$G909),CSRFinput!$B:$E,4,0))),0,IF(AND(VLOOKUP(CONCATENATE($D909,$G909),CSRFinput!$B:$E,4,0)=0,OR(H909=MappingTables!$C$34,H909=MappingTables!$C$35)),1,VLOOKUP(CONCATENATE($D909,$G909),CSRFinput!$B:$E,4,0)))</f>
        <v>0.054776304963434752</v>
      </c>
      <c r="W909" s="85">
        <f>IF(B909="",0,+$T909*$V909)</f>
        <v>0.64341483760096072</v>
      </c>
      <c r="X909" s="85">
        <f>IF(B909="",0,IF(OR(H909=MappingTables!$C$34,H909=MappingTables!$C$35),W909,0))</f>
        <v>0</v>
      </c>
    </row>
    <row r="910" spans="2:24" s="0" customFormat="0" ht="15">
      <c r="B910" s="69">
        <v>8657585</v>
      </c>
      <c r="C910" s="70" t="s">
        <v>1215</v>
      </c>
      <c r="D910" s="70" t="s">
        <v>1</v>
      </c>
      <c r="E910" s="70" t="s">
        <v>1</v>
      </c>
      <c r="F910" s="70"/>
      <c r="G910" s="70" t="s">
        <v>61</v>
      </c>
      <c r="H910" s="70" t="s">
        <v>178</v>
      </c>
      <c r="I910" s="70" t="s">
        <v>188</v>
      </c>
      <c r="J910" s="71">
        <f>IF(OR(I910=0,I910=""),"unrated",VLOOKUP(I910,MappingTables!$B$19:$C$31,2,FALSE))</f>
        <v>2</v>
      </c>
      <c r="K910" s="72">
        <v>0.6084408612762908</v>
      </c>
      <c r="L910" s="70">
        <v>0.57534720113325784</v>
      </c>
      <c r="M910" s="71">
        <f>IF(L910&lt;1,1,L910)</f>
        <v>1</v>
      </c>
      <c r="N910" s="70" t="s">
        <v>141</v>
      </c>
      <c r="O910" s="71">
        <f>INDEX(DurClassMapping,MATCH(M910,MappingTables!$D$4:$D$8,-1),1)</f>
        <v>1</v>
      </c>
      <c r="P910" s="73">
        <f>IF(M910=$A$1,1,$M910-INDEX(MappingTables!$E$4:$E$8,MATCH(O910,MappingTables!$B$4:$B$8,0)))</f>
        <v>1</v>
      </c>
      <c r="Q910" s="71">
        <f>IF(B910="",0,INDEX(ModelParameters!$D$6:$K$10,MATCH($O910,ModelParameters!$B$6:$B$10,0),MATCH($J910,ModelParameters!$D$5:$K$5,0)))</f>
        <v>0.013999999999999998</v>
      </c>
      <c r="R910" s="71">
        <f>IF(B910="",0,INDEX(ModelParameters!$D$13:$K$17,MATCH($O910,ModelParameters!$B$13:$B$17,0),MATCH($J910,ModelParameters!$D$5:$K$5,0)))</f>
        <v>0</v>
      </c>
      <c r="S910" s="160">
        <f>IF(B910="",0,MIN(IF($N910="Other Bond TM",ModelParameters!$N$21,1)*(P910*Q910+R910),1))</f>
        <v>0.013999999999999998</v>
      </c>
      <c r="T910" s="85">
        <f>IF(B910="",0,$S910*$K910)</f>
        <v>0.0085181720578680704</v>
      </c>
      <c r="U910" s="85">
        <f>IF(B910="",0,IF(OR(H910=MappingTables!$C$34,H910=MappingTables!$C$35),T910,0))</f>
        <v>0</v>
      </c>
      <c r="V910" s="85">
        <f>IF(ISNA(IF(AND(VLOOKUP(CONCATENATE($D910,$G910),CSRFinput!$B:$E,4,0)=0,OR(H910=MappingTables!$C$34,H910=MappingTables!$C$35)),1,VLOOKUP(CONCATENATE($D910,$G910),CSRFinput!$B:$E,4,0))),0,IF(AND(VLOOKUP(CONCATENATE($D910,$G910),CSRFinput!$B:$E,4,0)=0,OR(H910=MappingTables!$C$34,H910=MappingTables!$C$35)),1,VLOOKUP(CONCATENATE($D910,$G910),CSRFinput!$B:$E,4,0)))</f>
        <v>0.054776304963434752</v>
      </c>
      <c r="W910" s="85">
        <f>IF(B910="",0,+$T910*$V910)</f>
        <v>0.00046659399037279</v>
      </c>
      <c r="X910" s="85">
        <f>IF(B910="",0,IF(OR(H910=MappingTables!$C$34,H910=MappingTables!$C$35),W910,0))</f>
        <v>0</v>
      </c>
    </row>
    <row r="911" spans="2:24" s="0" customFormat="0" ht="15">
      <c r="B911" s="69">
        <v>19612064</v>
      </c>
      <c r="C911" s="70" t="s">
        <v>1216</v>
      </c>
      <c r="D911" s="70" t="s">
        <v>1</v>
      </c>
      <c r="E911" s="70" t="s">
        <v>1</v>
      </c>
      <c r="F911" s="70"/>
      <c r="G911" s="70" t="s">
        <v>61</v>
      </c>
      <c r="H911" s="70" t="s">
        <v>178</v>
      </c>
      <c r="I911" s="70" t="s">
        <v>179</v>
      </c>
      <c r="J911" s="71">
        <f>IF(OR(I911=0,I911=""),"unrated",VLOOKUP(I911,MappingTables!$B$19:$C$31,2,FALSE))</f>
        <v>4</v>
      </c>
      <c r="K911" s="72">
        <v>9791.2468919288496</v>
      </c>
      <c r="L911" s="70">
        <v>6.9711491930286064</v>
      </c>
      <c r="M911" s="71">
        <f>IF(L911&lt;1,1,L911)</f>
        <v>6.9711491930286064</v>
      </c>
      <c r="N911" s="70" t="s">
        <v>141</v>
      </c>
      <c r="O911" s="71">
        <f>INDEX(DurClassMapping,MATCH(M911,MappingTables!$D$4:$D$8,-1),1)</f>
        <v>2</v>
      </c>
      <c r="P911" s="73">
        <f>IF(M911=$A$1,1,$M911-INDEX(MappingTables!$E$4:$E$8,MATCH(O911,MappingTables!$B$4:$B$8,0)))</f>
        <v>1.971149193028606</v>
      </c>
      <c r="Q911" s="71">
        <f>IF(B911="",0,INDEX(ModelParameters!$D$6:$K$10,MATCH($O911,ModelParameters!$B$6:$B$10,0),MATCH($J911,ModelParameters!$D$5:$K$5,0)))</f>
        <v>0.025</v>
      </c>
      <c r="R911" s="71">
        <f>IF(B911="",0,INDEX(ModelParameters!$D$13:$K$17,MATCH($O911,ModelParameters!$B$13:$B$17,0),MATCH($J911,ModelParameters!$D$5:$K$5,0)))</f>
        <v>0.225</v>
      </c>
      <c r="S911" s="160">
        <f>IF(B911="",0,MIN(IF($N911="Other Bond TM",ModelParameters!$N$21,1)*(P911*Q911+R911),1))</f>
        <v>0.27427872982571516</v>
      </c>
      <c r="T911" s="85">
        <f>IF(B911="",0,$S911*$K911)</f>
        <v>2685.5307609282264</v>
      </c>
      <c r="U911" s="85">
        <f>IF(B911="",0,IF(OR(H911=MappingTables!$C$34,H911=MappingTables!$C$35),T911,0))</f>
        <v>0</v>
      </c>
      <c r="V911" s="85">
        <f>IF(ISNA(IF(AND(VLOOKUP(CONCATENATE($D911,$G911),CSRFinput!$B:$E,4,0)=0,OR(H911=MappingTables!$C$34,H911=MappingTables!$C$35)),1,VLOOKUP(CONCATENATE($D911,$G911),CSRFinput!$B:$E,4,0))),0,IF(AND(VLOOKUP(CONCATENATE($D911,$G911),CSRFinput!$B:$E,4,0)=0,OR(H911=MappingTables!$C$34,H911=MappingTables!$C$35)),1,VLOOKUP(CONCATENATE($D911,$G911),CSRFinput!$B:$E,4,0)))</f>
        <v>0.054776304963434752</v>
      </c>
      <c r="W911" s="85">
        <f>IF(B911="",0,+$T911*$V911)</f>
        <v>147.1034519492895</v>
      </c>
      <c r="X911" s="85">
        <f>IF(B911="",0,IF(OR(H911=MappingTables!$C$34,H911=MappingTables!$C$35),W911,0))</f>
        <v>0</v>
      </c>
    </row>
    <row r="912" spans="2:24" s="0" customFormat="0" ht="15">
      <c r="B912" s="69">
        <v>16974253</v>
      </c>
      <c r="C912" s="70" t="s">
        <v>1217</v>
      </c>
      <c r="D912" s="70" t="s">
        <v>1</v>
      </c>
      <c r="E912" s="70" t="s">
        <v>1</v>
      </c>
      <c r="F912" s="70"/>
      <c r="G912" s="70" t="s">
        <v>61</v>
      </c>
      <c r="H912" s="70" t="s">
        <v>178</v>
      </c>
      <c r="I912" s="70" t="s">
        <v>181</v>
      </c>
      <c r="J912" s="71">
        <f>IF(OR(I912=0,I912=""),"unrated",VLOOKUP(I912,MappingTables!$B$19:$C$31,2,FALSE))</f>
        <v>3</v>
      </c>
      <c r="K912" s="72">
        <v>983.84239890121104</v>
      </c>
      <c r="L912" s="70">
        <v>0.99157622154847088</v>
      </c>
      <c r="M912" s="71">
        <f>IF(L912&lt;1,1,L912)</f>
        <v>1</v>
      </c>
      <c r="N912" s="70" t="s">
        <v>141</v>
      </c>
      <c r="O912" s="71">
        <f>INDEX(DurClassMapping,MATCH(M912,MappingTables!$D$4:$D$8,-1),1)</f>
        <v>1</v>
      </c>
      <c r="P912" s="73">
        <f>IF(M912=$A$1,1,$M912-INDEX(MappingTables!$E$4:$E$8,MATCH(O912,MappingTables!$B$4:$B$8,0)))</f>
        <v>1</v>
      </c>
      <c r="Q912" s="71">
        <f>IF(B912="",0,INDEX(ModelParameters!$D$6:$K$10,MATCH($O912,ModelParameters!$B$6:$B$10,0),MATCH($J912,ModelParameters!$D$5:$K$5,0)))</f>
        <v>0.025</v>
      </c>
      <c r="R912" s="71">
        <f>IF(B912="",0,INDEX(ModelParameters!$D$13:$K$17,MATCH($O912,ModelParameters!$B$13:$B$17,0),MATCH($J912,ModelParameters!$D$5:$K$5,0)))</f>
        <v>0</v>
      </c>
      <c r="S912" s="160">
        <f>IF(B912="",0,MIN(IF($N912="Other Bond TM",ModelParameters!$N$21,1)*(P912*Q912+R912),1))</f>
        <v>0.025</v>
      </c>
      <c r="T912" s="85">
        <f>IF(B912="",0,$S912*$K912)</f>
        <v>24.596059972530276</v>
      </c>
      <c r="U912" s="85">
        <f>IF(B912="",0,IF(OR(H912=MappingTables!$C$34,H912=MappingTables!$C$35),T912,0))</f>
        <v>0</v>
      </c>
      <c r="V912" s="85">
        <f>IF(ISNA(IF(AND(VLOOKUP(CONCATENATE($D912,$G912),CSRFinput!$B:$E,4,0)=0,OR(H912=MappingTables!$C$34,H912=MappingTables!$C$35)),1,VLOOKUP(CONCATENATE($D912,$G912),CSRFinput!$B:$E,4,0))),0,IF(AND(VLOOKUP(CONCATENATE($D912,$G912),CSRFinput!$B:$E,4,0)=0,OR(H912=MappingTables!$C$34,H912=MappingTables!$C$35)),1,VLOOKUP(CONCATENATE($D912,$G912),CSRFinput!$B:$E,4,0)))</f>
        <v>0.054776304963434752</v>
      </c>
      <c r="W912" s="85">
        <f>IF(B912="",0,+$T912*$V912)</f>
        <v>1.347281281954249</v>
      </c>
      <c r="X912" s="85">
        <f>IF(B912="",0,IF(OR(H912=MappingTables!$C$34,H912=MappingTables!$C$35),W912,0))</f>
        <v>0</v>
      </c>
    </row>
    <row r="913" spans="2:24" s="0" customFormat="0" ht="15">
      <c r="B913" s="69" t="s">
        <v>1119</v>
      </c>
      <c r="C913" s="70" t="s">
        <v>1120</v>
      </c>
      <c r="D913" s="70" t="s">
        <v>1</v>
      </c>
      <c r="E913" s="70" t="s">
        <v>1</v>
      </c>
      <c r="F913" s="70"/>
      <c r="G913" s="70" t="s">
        <v>61</v>
      </c>
      <c r="H913" s="70" t="s">
        <v>178</v>
      </c>
      <c r="I913" s="70" t="s">
        <v>188</v>
      </c>
      <c r="J913" s="71">
        <f>IF(OR(I913=0,I913=""),"unrated",VLOOKUP(I913,MappingTables!$B$19:$C$31,2,FALSE))</f>
        <v>2</v>
      </c>
      <c r="K913" s="72">
        <v>4.109690273908868</v>
      </c>
      <c r="L913" s="70">
        <v>1.7550537144651664</v>
      </c>
      <c r="M913" s="71">
        <f>IF(L913&lt;1,1,L913)</f>
        <v>1.7550537144651664</v>
      </c>
      <c r="N913" s="70" t="s">
        <v>141</v>
      </c>
      <c r="O913" s="71">
        <f>INDEX(DurClassMapping,MATCH(M913,MappingTables!$D$4:$D$8,-1),1)</f>
        <v>1</v>
      </c>
      <c r="P913" s="73">
        <f>IF(M913=$A$1,1,$M913-INDEX(MappingTables!$E$4:$E$8,MATCH(O913,MappingTables!$B$4:$B$8,0)))</f>
        <v>1.7550537144651664</v>
      </c>
      <c r="Q913" s="71">
        <f>IF(B913="",0,INDEX(ModelParameters!$D$6:$K$10,MATCH($O913,ModelParameters!$B$6:$B$10,0),MATCH($J913,ModelParameters!$D$5:$K$5,0)))</f>
        <v>0.013999999999999998</v>
      </c>
      <c r="R913" s="71">
        <f>IF(B913="",0,INDEX(ModelParameters!$D$13:$K$17,MATCH($O913,ModelParameters!$B$13:$B$17,0),MATCH($J913,ModelParameters!$D$5:$K$5,0)))</f>
        <v>0</v>
      </c>
      <c r="S913" s="160">
        <f>IF(B913="",0,MIN(IF($N913="Other Bond TM",ModelParameters!$N$21,1)*(P913*Q913+R913),1))</f>
        <v>0.024570752002512324</v>
      </c>
      <c r="T913" s="85">
        <f>IF(B913="",0,$S913*$K913)</f>
        <v>0.10097818052735174</v>
      </c>
      <c r="U913" s="85">
        <f>IF(B913="",0,IF(OR(H913=MappingTables!$C$34,H913=MappingTables!$C$35),T913,0))</f>
        <v>0</v>
      </c>
      <c r="V913" s="85">
        <f>IF(ISNA(IF(AND(VLOOKUP(CONCATENATE($D913,$G913),CSRFinput!$B:$E,4,0)=0,OR(H913=MappingTables!$C$34,H913=MappingTables!$C$35)),1,VLOOKUP(CONCATENATE($D913,$G913),CSRFinput!$B:$E,4,0))),0,IF(AND(VLOOKUP(CONCATENATE($D913,$G913),CSRFinput!$B:$E,4,0)=0,OR(H913=MappingTables!$C$34,H913=MappingTables!$C$35)),1,VLOOKUP(CONCATENATE($D913,$G913),CSRFinput!$B:$E,4,0)))</f>
        <v>0.054776304963434752</v>
      </c>
      <c r="W913" s="85">
        <f>IF(B913="",0,+$T913*$V913)</f>
        <v>0.0055312116112189872</v>
      </c>
      <c r="X913" s="85">
        <f>IF(B913="",0,IF(OR(H913=MappingTables!$C$34,H913=MappingTables!$C$35),W913,0))</f>
        <v>0</v>
      </c>
    </row>
    <row r="914" spans="2:24" s="0" customFormat="0" ht="15">
      <c r="B914" s="69">
        <v>12610741</v>
      </c>
      <c r="C914" s="70" t="s">
        <v>1218</v>
      </c>
      <c r="D914" s="70" t="s">
        <v>1</v>
      </c>
      <c r="E914" s="70" t="s">
        <v>1</v>
      </c>
      <c r="F914" s="70"/>
      <c r="G914" s="70" t="s">
        <v>61</v>
      </c>
      <c r="H914" s="70" t="s">
        <v>178</v>
      </c>
      <c r="I914" s="70" t="s">
        <v>188</v>
      </c>
      <c r="J914" s="71">
        <f>IF(OR(I914=0,I914=""),"unrated",VLOOKUP(I914,MappingTables!$B$19:$C$31,2,FALSE))</f>
        <v>2</v>
      </c>
      <c r="K914" s="72">
        <v>372.98126852718136</v>
      </c>
      <c r="L914" s="70">
        <v>0.730268498079284</v>
      </c>
      <c r="M914" s="71">
        <f>IF(L914&lt;1,1,L914)</f>
        <v>1</v>
      </c>
      <c r="N914" s="70" t="s">
        <v>141</v>
      </c>
      <c r="O914" s="71">
        <f>INDEX(DurClassMapping,MATCH(M914,MappingTables!$D$4:$D$8,-1),1)</f>
        <v>1</v>
      </c>
      <c r="P914" s="73">
        <f>IF(M914=$A$1,1,$M914-INDEX(MappingTables!$E$4:$E$8,MATCH(O914,MappingTables!$B$4:$B$8,0)))</f>
        <v>1</v>
      </c>
      <c r="Q914" s="71">
        <f>IF(B914="",0,INDEX(ModelParameters!$D$6:$K$10,MATCH($O914,ModelParameters!$B$6:$B$10,0),MATCH($J914,ModelParameters!$D$5:$K$5,0)))</f>
        <v>0.013999999999999998</v>
      </c>
      <c r="R914" s="71">
        <f>IF(B914="",0,INDEX(ModelParameters!$D$13:$K$17,MATCH($O914,ModelParameters!$B$13:$B$17,0),MATCH($J914,ModelParameters!$D$5:$K$5,0)))</f>
        <v>0</v>
      </c>
      <c r="S914" s="160">
        <f>IF(B914="",0,MIN(IF($N914="Other Bond TM",ModelParameters!$N$21,1)*(P914*Q914+R914),1))</f>
        <v>0.013999999999999998</v>
      </c>
      <c r="T914" s="85">
        <f>IF(B914="",0,$S914*$K914)</f>
        <v>5.2217377593805384</v>
      </c>
      <c r="U914" s="85">
        <f>IF(B914="",0,IF(OR(H914=MappingTables!$C$34,H914=MappingTables!$C$35),T914,0))</f>
        <v>0</v>
      </c>
      <c r="V914" s="85">
        <f>IF(ISNA(IF(AND(VLOOKUP(CONCATENATE($D914,$G914),CSRFinput!$B:$E,4,0)=0,OR(H914=MappingTables!$C$34,H914=MappingTables!$C$35)),1,VLOOKUP(CONCATENATE($D914,$G914),CSRFinput!$B:$E,4,0))),0,IF(AND(VLOOKUP(CONCATENATE($D914,$G914),CSRFinput!$B:$E,4,0)=0,OR(H914=MappingTables!$C$34,H914=MappingTables!$C$35)),1,VLOOKUP(CONCATENATE($D914,$G914),CSRFinput!$B:$E,4,0)))</f>
        <v>0.054776304963434752</v>
      </c>
      <c r="W914" s="85">
        <f>IF(B914="",0,+$T914*$V914)</f>
        <v>0.28602749994691084</v>
      </c>
      <c r="X914" s="85">
        <f>IF(B914="",0,IF(OR(H914=MappingTables!$C$34,H914=MappingTables!$C$35),W914,0))</f>
        <v>0</v>
      </c>
    </row>
    <row r="915" spans="2:24" s="0" customFormat="0" ht="15">
      <c r="B915" s="69">
        <v>2106487</v>
      </c>
      <c r="C915" s="70" t="s">
        <v>1219</v>
      </c>
      <c r="D915" s="70" t="s">
        <v>1</v>
      </c>
      <c r="E915" s="70" t="s">
        <v>1</v>
      </c>
      <c r="F915" s="70"/>
      <c r="G915" s="70" t="s">
        <v>61</v>
      </c>
      <c r="H915" s="70" t="s">
        <v>178</v>
      </c>
      <c r="I915" s="70" t="s">
        <v>188</v>
      </c>
      <c r="J915" s="71">
        <f>IF(OR(I915=0,I915=""),"unrated",VLOOKUP(I915,MappingTables!$B$19:$C$31,2,FALSE))</f>
        <v>2</v>
      </c>
      <c r="K915" s="72">
        <v>784.209149465036</v>
      </c>
      <c r="L915" s="70">
        <v>13.612116901493662</v>
      </c>
      <c r="M915" s="71">
        <f>IF(L915&lt;1,1,L915)</f>
        <v>13.612116901493662</v>
      </c>
      <c r="N915" s="70" t="s">
        <v>141</v>
      </c>
      <c r="O915" s="71">
        <f>INDEX(DurClassMapping,MATCH(M915,MappingTables!$D$4:$D$8,-1),1)</f>
        <v>3</v>
      </c>
      <c r="P915" s="73">
        <f>IF(M915=$A$1,1,$M915-INDEX(MappingTables!$E$4:$E$8,MATCH(O915,MappingTables!$B$4:$B$8,0)))</f>
        <v>3.6121169014936624</v>
      </c>
      <c r="Q915" s="71">
        <f>IF(B915="",0,INDEX(ModelParameters!$D$6:$K$10,MATCH($O915,ModelParameters!$B$6:$B$10,0),MATCH($J915,ModelParameters!$D$5:$K$5,0)))</f>
        <v>0.005</v>
      </c>
      <c r="R915" s="71">
        <f>IF(B915="",0,INDEX(ModelParameters!$D$13:$K$17,MATCH($O915,ModelParameters!$B$13:$B$17,0),MATCH($J915,ModelParameters!$D$5:$K$5,0)))</f>
        <v>0.105</v>
      </c>
      <c r="S915" s="160">
        <f>IF(B915="",0,MIN(IF($N915="Other Bond TM",ModelParameters!$N$21,1)*(P915*Q915+R915),1))</f>
        <v>0.1230605845074683</v>
      </c>
      <c r="T915" s="85">
        <f>IF(B915="",0,$S915*$K915)</f>
        <v>96.505236309271904</v>
      </c>
      <c r="U915" s="85">
        <f>IF(B915="",0,IF(OR(H915=MappingTables!$C$34,H915=MappingTables!$C$35),T915,0))</f>
        <v>0</v>
      </c>
      <c r="V915" s="85">
        <f>IF(ISNA(IF(AND(VLOOKUP(CONCATENATE($D915,$G915),CSRFinput!$B:$E,4,0)=0,OR(H915=MappingTables!$C$34,H915=MappingTables!$C$35)),1,VLOOKUP(CONCATENATE($D915,$G915),CSRFinput!$B:$E,4,0))),0,IF(AND(VLOOKUP(CONCATENATE($D915,$G915),CSRFinput!$B:$E,4,0)=0,OR(H915=MappingTables!$C$34,H915=MappingTables!$C$35)),1,VLOOKUP(CONCATENATE($D915,$G915),CSRFinput!$B:$E,4,0)))</f>
        <v>0.054776304963434752</v>
      </c>
      <c r="W915" s="85">
        <f>IF(B915="",0,+$T915*$V915)</f>
        <v>5.2862002546450144</v>
      </c>
      <c r="X915" s="85">
        <f>IF(B915="",0,IF(OR(H915=MappingTables!$C$34,H915=MappingTables!$C$35),W915,0))</f>
        <v>0</v>
      </c>
    </row>
    <row r="916" spans="2:24" s="0" customFormat="0" ht="15">
      <c r="B916" s="69">
        <v>14073575</v>
      </c>
      <c r="C916" s="70" t="s">
        <v>1220</v>
      </c>
      <c r="D916" s="70" t="s">
        <v>1</v>
      </c>
      <c r="E916" s="70" t="s">
        <v>1</v>
      </c>
      <c r="F916" s="70"/>
      <c r="G916" s="70" t="s">
        <v>61</v>
      </c>
      <c r="H916" s="70" t="s">
        <v>178</v>
      </c>
      <c r="I916" s="70" t="s">
        <v>179</v>
      </c>
      <c r="J916" s="71">
        <f>IF(OR(I916=0,I916=""),"unrated",VLOOKUP(I916,MappingTables!$B$19:$C$31,2,FALSE))</f>
        <v>4</v>
      </c>
      <c r="K916" s="72">
        <v>606.71138331359712</v>
      </c>
      <c r="L916" s="70">
        <v>5.4150311935803664</v>
      </c>
      <c r="M916" s="71">
        <f>IF(L916&lt;1,1,L916)</f>
        <v>5.4150311935803664</v>
      </c>
      <c r="N916" s="70" t="s">
        <v>141</v>
      </c>
      <c r="O916" s="71">
        <f>INDEX(DurClassMapping,MATCH(M916,MappingTables!$D$4:$D$8,-1),1)</f>
        <v>2</v>
      </c>
      <c r="P916" s="73">
        <f>IF(M916=$A$1,1,$M916-INDEX(MappingTables!$E$4:$E$8,MATCH(O916,MappingTables!$B$4:$B$8,0)))</f>
        <v>0.4150311935803668</v>
      </c>
      <c r="Q916" s="71">
        <f>IF(B916="",0,INDEX(ModelParameters!$D$6:$K$10,MATCH($O916,ModelParameters!$B$6:$B$10,0),MATCH($J916,ModelParameters!$D$5:$K$5,0)))</f>
        <v>0.025</v>
      </c>
      <c r="R916" s="71">
        <f>IF(B916="",0,INDEX(ModelParameters!$D$13:$K$17,MATCH($O916,ModelParameters!$B$13:$B$17,0),MATCH($J916,ModelParameters!$D$5:$K$5,0)))</f>
        <v>0.225</v>
      </c>
      <c r="S916" s="160">
        <f>IF(B916="",0,MIN(IF($N916="Other Bond TM",ModelParameters!$N$21,1)*(P916*Q916+R916),1))</f>
        <v>0.23537577983950916</v>
      </c>
      <c r="T916" s="85">
        <f>IF(B916="",0,$S916*$K916)</f>
        <v>142.8051649849453</v>
      </c>
      <c r="U916" s="85">
        <f>IF(B916="",0,IF(OR(H916=MappingTables!$C$34,H916=MappingTables!$C$35),T916,0))</f>
        <v>0</v>
      </c>
      <c r="V916" s="85">
        <f>IF(ISNA(IF(AND(VLOOKUP(CONCATENATE($D916,$G916),CSRFinput!$B:$E,4,0)=0,OR(H916=MappingTables!$C$34,H916=MappingTables!$C$35)),1,VLOOKUP(CONCATENATE($D916,$G916),CSRFinput!$B:$E,4,0))),0,IF(AND(VLOOKUP(CONCATENATE($D916,$G916),CSRFinput!$B:$E,4,0)=0,OR(H916=MappingTables!$C$34,H916=MappingTables!$C$35)),1,VLOOKUP(CONCATENATE($D916,$G916),CSRFinput!$B:$E,4,0)))</f>
        <v>0.054776304963434752</v>
      </c>
      <c r="W916" s="85">
        <f>IF(B916="",0,+$T916*$V916)</f>
        <v>7.8223392675689776</v>
      </c>
      <c r="X916" s="85">
        <f>IF(B916="",0,IF(OR(H916=MappingTables!$C$34,H916=MappingTables!$C$35),W916,0))</f>
        <v>0</v>
      </c>
    </row>
    <row r="917" spans="2:24" s="0" customFormat="0" ht="15">
      <c r="B917" s="69">
        <v>22281224</v>
      </c>
      <c r="C917" s="70" t="s">
        <v>1221</v>
      </c>
      <c r="D917" s="70" t="s">
        <v>1</v>
      </c>
      <c r="E917" s="70" t="s">
        <v>1</v>
      </c>
      <c r="F917" s="70"/>
      <c r="G917" s="70" t="s">
        <v>61</v>
      </c>
      <c r="H917" s="70" t="s">
        <v>178</v>
      </c>
      <c r="I917" s="70" t="s">
        <v>188</v>
      </c>
      <c r="J917" s="71">
        <f>IF(OR(I917=0,I917=""),"unrated",VLOOKUP(I917,MappingTables!$B$19:$C$31,2,FALSE))</f>
        <v>2</v>
      </c>
      <c r="K917" s="72">
        <v>795.12323686568224</v>
      </c>
      <c r="L917" s="70">
        <v>2.0582616291874788</v>
      </c>
      <c r="M917" s="71">
        <f>IF(L917&lt;1,1,L917)</f>
        <v>2.0582616291874788</v>
      </c>
      <c r="N917" s="70" t="s">
        <v>141</v>
      </c>
      <c r="O917" s="71">
        <f>INDEX(DurClassMapping,MATCH(M917,MappingTables!$D$4:$D$8,-1),1)</f>
        <v>1</v>
      </c>
      <c r="P917" s="73">
        <f>IF(M917=$A$1,1,$M917-INDEX(MappingTables!$E$4:$E$8,MATCH(O917,MappingTables!$B$4:$B$8,0)))</f>
        <v>2.0582616291874788</v>
      </c>
      <c r="Q917" s="71">
        <f>IF(B917="",0,INDEX(ModelParameters!$D$6:$K$10,MATCH($O917,ModelParameters!$B$6:$B$10,0),MATCH($J917,ModelParameters!$D$5:$K$5,0)))</f>
        <v>0.013999999999999998</v>
      </c>
      <c r="R917" s="71">
        <f>IF(B917="",0,INDEX(ModelParameters!$D$13:$K$17,MATCH($O917,ModelParameters!$B$13:$B$17,0),MATCH($J917,ModelParameters!$D$5:$K$5,0)))</f>
        <v>0</v>
      </c>
      <c r="S917" s="160">
        <f>IF(B917="",0,MIN(IF($N917="Other Bond TM",ModelParameters!$N$21,1)*(P917*Q917+R917),1))</f>
        <v>0.0288156628086247</v>
      </c>
      <c r="T917" s="85">
        <f>IF(B917="",0,$S917*$K917)</f>
        <v>22.912003084823732</v>
      </c>
      <c r="U917" s="85">
        <f>IF(B917="",0,IF(OR(H917=MappingTables!$C$34,H917=MappingTables!$C$35),T917,0))</f>
        <v>0</v>
      </c>
      <c r="V917" s="85">
        <f>IF(ISNA(IF(AND(VLOOKUP(CONCATENATE($D917,$G917),CSRFinput!$B:$E,4,0)=0,OR(H917=MappingTables!$C$34,H917=MappingTables!$C$35)),1,VLOOKUP(CONCATENATE($D917,$G917),CSRFinput!$B:$E,4,0))),0,IF(AND(VLOOKUP(CONCATENATE($D917,$G917),CSRFinput!$B:$E,4,0)=0,OR(H917=MappingTables!$C$34,H917=MappingTables!$C$35)),1,VLOOKUP(CONCATENATE($D917,$G917),CSRFinput!$B:$E,4,0)))</f>
        <v>0.054776304963434752</v>
      </c>
      <c r="W917" s="85">
        <f>IF(B917="",0,+$T917*$V917)</f>
        <v>1.2550348682974626</v>
      </c>
      <c r="X917" s="85">
        <f>IF(B917="",0,IF(OR(H917=MappingTables!$C$34,H917=MappingTables!$C$35),W917,0))</f>
        <v>0</v>
      </c>
    </row>
    <row r="918" spans="2:24" s="0" customFormat="0" ht="15">
      <c r="B918" s="69">
        <v>19149584</v>
      </c>
      <c r="C918" s="70" t="s">
        <v>1222</v>
      </c>
      <c r="D918" s="70" t="s">
        <v>1</v>
      </c>
      <c r="E918" s="70" t="s">
        <v>1</v>
      </c>
      <c r="F918" s="70"/>
      <c r="G918" s="70" t="s">
        <v>61</v>
      </c>
      <c r="H918" s="70" t="s">
        <v>178</v>
      </c>
      <c r="I918" s="70" t="s">
        <v>179</v>
      </c>
      <c r="J918" s="71">
        <f>IF(OR(I918=0,I918=""),"unrated",VLOOKUP(I918,MappingTables!$B$19:$C$31,2,FALSE))</f>
        <v>4</v>
      </c>
      <c r="K918" s="72">
        <v>10613.955746570996</v>
      </c>
      <c r="L918" s="70">
        <v>3.9365111474509816</v>
      </c>
      <c r="M918" s="71">
        <f>IF(L918&lt;1,1,L918)</f>
        <v>3.9365111474509816</v>
      </c>
      <c r="N918" s="70" t="s">
        <v>141</v>
      </c>
      <c r="O918" s="71">
        <f>INDEX(DurClassMapping,MATCH(M918,MappingTables!$D$4:$D$8,-1),1)</f>
        <v>1</v>
      </c>
      <c r="P918" s="73">
        <f>IF(M918=$A$1,1,$M918-INDEX(MappingTables!$E$4:$E$8,MATCH(O918,MappingTables!$B$4:$B$8,0)))</f>
        <v>3.9365111474509816</v>
      </c>
      <c r="Q918" s="71">
        <f>IF(B918="",0,INDEX(ModelParameters!$D$6:$K$10,MATCH($O918,ModelParameters!$B$6:$B$10,0),MATCH($J918,ModelParameters!$D$5:$K$5,0)))</f>
        <v>0.045</v>
      </c>
      <c r="R918" s="71">
        <f>IF(B918="",0,INDEX(ModelParameters!$D$13:$K$17,MATCH($O918,ModelParameters!$B$13:$B$17,0),MATCH($J918,ModelParameters!$D$5:$K$5,0)))</f>
        <v>0</v>
      </c>
      <c r="S918" s="160">
        <f>IF(B918="",0,MIN(IF($N918="Other Bond TM",ModelParameters!$N$21,1)*(P918*Q918+R918),1))</f>
        <v>0.17714300163529418</v>
      </c>
      <c r="T918" s="85">
        <f>IF(B918="",0,$S918*$K918)</f>
        <v>1880.187980171766</v>
      </c>
      <c r="U918" s="85">
        <f>IF(B918="",0,IF(OR(H918=MappingTables!$C$34,H918=MappingTables!$C$35),T918,0))</f>
        <v>0</v>
      </c>
      <c r="V918" s="85">
        <f>IF(ISNA(IF(AND(VLOOKUP(CONCATENATE($D918,$G918),CSRFinput!$B:$E,4,0)=0,OR(H918=MappingTables!$C$34,H918=MappingTables!$C$35)),1,VLOOKUP(CONCATENATE($D918,$G918),CSRFinput!$B:$E,4,0))),0,IF(AND(VLOOKUP(CONCATENATE($D918,$G918),CSRFinput!$B:$E,4,0)=0,OR(H918=MappingTables!$C$34,H918=MappingTables!$C$35)),1,VLOOKUP(CONCATENATE($D918,$G918),CSRFinput!$B:$E,4,0)))</f>
        <v>0.054776304963434752</v>
      </c>
      <c r="W918" s="85">
        <f>IF(B918="",0,+$T918*$V918)</f>
        <v>102.98975019047308</v>
      </c>
      <c r="X918" s="85">
        <f>IF(B918="",0,IF(OR(H918=MappingTables!$C$34,H918=MappingTables!$C$35),W918,0))</f>
        <v>0</v>
      </c>
    </row>
    <row r="919" spans="2:24" s="0" customFormat="0" ht="15">
      <c r="B919" s="69">
        <v>21990809</v>
      </c>
      <c r="C919" s="70" t="s">
        <v>1223</v>
      </c>
      <c r="D919" s="70" t="s">
        <v>1</v>
      </c>
      <c r="E919" s="70" t="s">
        <v>1</v>
      </c>
      <c r="F919" s="70"/>
      <c r="G919" s="70" t="s">
        <v>61</v>
      </c>
      <c r="H919" s="70" t="s">
        <v>178</v>
      </c>
      <c r="I919" s="70" t="s">
        <v>216</v>
      </c>
      <c r="J919" s="71">
        <f>IF(OR(I919=0,I919=""),"unrated",VLOOKUP(I919,MappingTables!$B$19:$C$31,2,FALSE))</f>
        <v>0</v>
      </c>
      <c r="K919" s="72">
        <v>683.73837724731848</v>
      </c>
      <c r="L919" s="70">
        <v>0.054792815946054112</v>
      </c>
      <c r="M919" s="71">
        <f>IF(L919&lt;1,1,L919)</f>
        <v>1</v>
      </c>
      <c r="N919" s="70" t="s">
        <v>141</v>
      </c>
      <c r="O919" s="71">
        <f>INDEX(DurClassMapping,MATCH(M919,MappingTables!$D$4:$D$8,-1),1)</f>
        <v>1</v>
      </c>
      <c r="P919" s="73">
        <f>IF(M919=$A$1,1,$M919-INDEX(MappingTables!$E$4:$E$8,MATCH(O919,MappingTables!$B$4:$B$8,0)))</f>
        <v>1</v>
      </c>
      <c r="Q919" s="71">
        <f>IF(B919="",0,INDEX(ModelParameters!$D$6:$K$10,MATCH($O919,ModelParameters!$B$6:$B$10,0),MATCH($J919,ModelParameters!$D$5:$K$5,0)))</f>
        <v>0.0090000000000000016</v>
      </c>
      <c r="R919" s="71">
        <f>IF(B919="",0,INDEX(ModelParameters!$D$13:$K$17,MATCH($O919,ModelParameters!$B$13:$B$17,0),MATCH($J919,ModelParameters!$D$5:$K$5,0)))</f>
        <v>0</v>
      </c>
      <c r="S919" s="160">
        <f>IF(B919="",0,MIN(IF($N919="Other Bond TM",ModelParameters!$N$21,1)*(P919*Q919+R919),1))</f>
        <v>0.0090000000000000016</v>
      </c>
      <c r="T919" s="85">
        <f>IF(B919="",0,$S919*$K919)</f>
        <v>6.1536453952258672</v>
      </c>
      <c r="U919" s="85">
        <f>IF(B919="",0,IF(OR(H919=MappingTables!$C$34,H919=MappingTables!$C$35),T919,0))</f>
        <v>0</v>
      </c>
      <c r="V919" s="85">
        <f>IF(ISNA(IF(AND(VLOOKUP(CONCATENATE($D919,$G919),CSRFinput!$B:$E,4,0)=0,OR(H919=MappingTables!$C$34,H919=MappingTables!$C$35)),1,VLOOKUP(CONCATENATE($D919,$G919),CSRFinput!$B:$E,4,0))),0,IF(AND(VLOOKUP(CONCATENATE($D919,$G919),CSRFinput!$B:$E,4,0)=0,OR(H919=MappingTables!$C$34,H919=MappingTables!$C$35)),1,VLOOKUP(CONCATENATE($D919,$G919),CSRFinput!$B:$E,4,0)))</f>
        <v>0.054776304963434752</v>
      </c>
      <c r="W919" s="85">
        <f>IF(B919="",0,+$T919*$V919)</f>
        <v>0.33707395680572812</v>
      </c>
      <c r="X919" s="85">
        <f>IF(B919="",0,IF(OR(H919=MappingTables!$C$34,H919=MappingTables!$C$35),W919,0))</f>
        <v>0</v>
      </c>
    </row>
    <row r="920" spans="2:24" s="0" customFormat="0" ht="15">
      <c r="B920" s="69">
        <v>21020084</v>
      </c>
      <c r="C920" s="70" t="s">
        <v>1224</v>
      </c>
      <c r="D920" s="70" t="s">
        <v>1</v>
      </c>
      <c r="E920" s="70" t="s">
        <v>1</v>
      </c>
      <c r="F920" s="70"/>
      <c r="G920" s="70" t="s">
        <v>61</v>
      </c>
      <c r="H920" s="70" t="s">
        <v>178</v>
      </c>
      <c r="I920" s="70" t="s">
        <v>181</v>
      </c>
      <c r="J920" s="71">
        <f>IF(OR(I920=0,I920=""),"unrated",VLOOKUP(I920,MappingTables!$B$19:$C$31,2,FALSE))</f>
        <v>3</v>
      </c>
      <c r="K920" s="72">
        <v>21468.967914011244</v>
      </c>
      <c r="L920" s="70">
        <v>6.6958225414802824</v>
      </c>
      <c r="M920" s="71">
        <f>IF(L920&lt;1,1,L920)</f>
        <v>6.6958225414802824</v>
      </c>
      <c r="N920" s="70" t="s">
        <v>141</v>
      </c>
      <c r="O920" s="71">
        <f>INDEX(DurClassMapping,MATCH(M920,MappingTables!$D$4:$D$8,-1),1)</f>
        <v>2</v>
      </c>
      <c r="P920" s="73">
        <f>IF(M920=$A$1,1,$M920-INDEX(MappingTables!$E$4:$E$8,MATCH(O920,MappingTables!$B$4:$B$8,0)))</f>
        <v>1.6958225414802826</v>
      </c>
      <c r="Q920" s="71">
        <f>IF(B920="",0,INDEX(ModelParameters!$D$6:$K$10,MATCH($O920,ModelParameters!$B$6:$B$10,0),MATCH($J920,ModelParameters!$D$5:$K$5,0)))</f>
        <v>0.015</v>
      </c>
      <c r="R920" s="71">
        <f>IF(B920="",0,INDEX(ModelParameters!$D$13:$K$17,MATCH($O920,ModelParameters!$B$13:$B$17,0),MATCH($J920,ModelParameters!$D$5:$K$5,0)))</f>
        <v>0.125</v>
      </c>
      <c r="S920" s="160">
        <f>IF(B920="",0,MIN(IF($N920="Other Bond TM",ModelParameters!$N$21,1)*(P920*Q920+R920),1))</f>
        <v>0.15043733812220422</v>
      </c>
      <c r="T920" s="85">
        <f>IF(B920="",0,$S920*$K920)</f>
        <v>3229.7343852148628</v>
      </c>
      <c r="U920" s="85">
        <f>IF(B920="",0,IF(OR(H920=MappingTables!$C$34,H920=MappingTables!$C$35),T920,0))</f>
        <v>0</v>
      </c>
      <c r="V920" s="85">
        <f>IF(ISNA(IF(AND(VLOOKUP(CONCATENATE($D920,$G920),CSRFinput!$B:$E,4,0)=0,OR(H920=MappingTables!$C$34,H920=MappingTables!$C$35)),1,VLOOKUP(CONCATENATE($D920,$G920),CSRFinput!$B:$E,4,0))),0,IF(AND(VLOOKUP(CONCATENATE($D920,$G920),CSRFinput!$B:$E,4,0)=0,OR(H920=MappingTables!$C$34,H920=MappingTables!$C$35)),1,VLOOKUP(CONCATENATE($D920,$G920),CSRFinput!$B:$E,4,0)))</f>
        <v>0.054776304963434752</v>
      </c>
      <c r="W920" s="85">
        <f>IF(B920="",0,+$T920*$V920)</f>
        <v>176.91291563542078</v>
      </c>
      <c r="X920" s="85">
        <f>IF(B920="",0,IF(OR(H920=MappingTables!$C$34,H920=MappingTables!$C$35),W920,0))</f>
        <v>0</v>
      </c>
    </row>
    <row r="921" spans="2:24" s="0" customFormat="0" ht="15">
      <c r="B921" s="69">
        <v>21736771</v>
      </c>
      <c r="C921" s="70" t="s">
        <v>1225</v>
      </c>
      <c r="D921" s="70" t="s">
        <v>1</v>
      </c>
      <c r="E921" s="70" t="s">
        <v>1</v>
      </c>
      <c r="F921" s="70"/>
      <c r="G921" s="70" t="s">
        <v>61</v>
      </c>
      <c r="H921" s="70" t="s">
        <v>178</v>
      </c>
      <c r="I921" s="70" t="s">
        <v>181</v>
      </c>
      <c r="J921" s="71">
        <f>IF(OR(I921=0,I921=""),"unrated",VLOOKUP(I921,MappingTables!$B$19:$C$31,2,FALSE))</f>
        <v>3</v>
      </c>
      <c r="K921" s="72">
        <v>120412.1087930368</v>
      </c>
      <c r="L921" s="70">
        <v>5.1723763083268872</v>
      </c>
      <c r="M921" s="71">
        <f>IF(L921&lt;1,1,L921)</f>
        <v>5.1723763083268872</v>
      </c>
      <c r="N921" s="70" t="s">
        <v>141</v>
      </c>
      <c r="O921" s="71">
        <f>INDEX(DurClassMapping,MATCH(M921,MappingTables!$D$4:$D$8,-1),1)</f>
        <v>2</v>
      </c>
      <c r="P921" s="73">
        <f>IF(M921=$A$1,1,$M921-INDEX(MappingTables!$E$4:$E$8,MATCH(O921,MappingTables!$B$4:$B$8,0)))</f>
        <v>0.17237630832688744</v>
      </c>
      <c r="Q921" s="71">
        <f>IF(B921="",0,INDEX(ModelParameters!$D$6:$K$10,MATCH($O921,ModelParameters!$B$6:$B$10,0),MATCH($J921,ModelParameters!$D$5:$K$5,0)))</f>
        <v>0.015</v>
      </c>
      <c r="R921" s="71">
        <f>IF(B921="",0,INDEX(ModelParameters!$D$13:$K$17,MATCH($O921,ModelParameters!$B$13:$B$17,0),MATCH($J921,ModelParameters!$D$5:$K$5,0)))</f>
        <v>0.125</v>
      </c>
      <c r="S921" s="160">
        <f>IF(B921="",0,MIN(IF($N921="Other Bond TM",ModelParameters!$N$21,1)*(P921*Q921+R921),1))</f>
        <v>0.12758564462490332</v>
      </c>
      <c r="T921" s="85">
        <f>IF(B921="",0,$S921*$K921)</f>
        <v>15362.856521003588</v>
      </c>
      <c r="U921" s="85">
        <f>IF(B921="",0,IF(OR(H921=MappingTables!$C$34,H921=MappingTables!$C$35),T921,0))</f>
        <v>0</v>
      </c>
      <c r="V921" s="85">
        <f>IF(ISNA(IF(AND(VLOOKUP(CONCATENATE($D921,$G921),CSRFinput!$B:$E,4,0)=0,OR(H921=MappingTables!$C$34,H921=MappingTables!$C$35)),1,VLOOKUP(CONCATENATE($D921,$G921),CSRFinput!$B:$E,4,0))),0,IF(AND(VLOOKUP(CONCATENATE($D921,$G921),CSRFinput!$B:$E,4,0)=0,OR(H921=MappingTables!$C$34,H921=MappingTables!$C$35)),1,VLOOKUP(CONCATENATE($D921,$G921),CSRFinput!$B:$E,4,0)))</f>
        <v>0.054776304963434752</v>
      </c>
      <c r="W921" s="85">
        <f>IF(B921="",0,+$T921*$V921)</f>
        <v>841.5205139039848</v>
      </c>
      <c r="X921" s="85">
        <f>IF(B921="",0,IF(OR(H921=MappingTables!$C$34,H921=MappingTables!$C$35),W921,0))</f>
        <v>0</v>
      </c>
    </row>
    <row r="922" spans="2:24" s="0" customFormat="0" ht="15">
      <c r="B922" s="69" t="s">
        <v>1226</v>
      </c>
      <c r="C922" s="70" t="s">
        <v>1227</v>
      </c>
      <c r="D922" s="70" t="s">
        <v>1</v>
      </c>
      <c r="E922" s="70" t="s">
        <v>1</v>
      </c>
      <c r="F922" s="70"/>
      <c r="G922" s="70" t="s">
        <v>61</v>
      </c>
      <c r="H922" s="70" t="s">
        <v>178</v>
      </c>
      <c r="I922" s="70" t="s">
        <v>179</v>
      </c>
      <c r="J922" s="71">
        <f>IF(OR(I922=0,I922=""),"unrated",VLOOKUP(I922,MappingTables!$B$19:$C$31,2,FALSE))</f>
        <v>4</v>
      </c>
      <c r="K922" s="72">
        <v>37.97236445651692</v>
      </c>
      <c r="L922" s="70">
        <v>1.7505633594966296</v>
      </c>
      <c r="M922" s="71">
        <f>IF(L922&lt;1,1,L922)</f>
        <v>1.7505633594966296</v>
      </c>
      <c r="N922" s="70" t="s">
        <v>141</v>
      </c>
      <c r="O922" s="71">
        <f>INDEX(DurClassMapping,MATCH(M922,MappingTables!$D$4:$D$8,-1),1)</f>
        <v>1</v>
      </c>
      <c r="P922" s="73">
        <f>IF(M922=$A$1,1,$M922-INDEX(MappingTables!$E$4:$E$8,MATCH(O922,MappingTables!$B$4:$B$8,0)))</f>
        <v>1.7505633594966296</v>
      </c>
      <c r="Q922" s="71">
        <f>IF(B922="",0,INDEX(ModelParameters!$D$6:$K$10,MATCH($O922,ModelParameters!$B$6:$B$10,0),MATCH($J922,ModelParameters!$D$5:$K$5,0)))</f>
        <v>0.045</v>
      </c>
      <c r="R922" s="71">
        <f>IF(B922="",0,INDEX(ModelParameters!$D$13:$K$17,MATCH($O922,ModelParameters!$B$13:$B$17,0),MATCH($J922,ModelParameters!$D$5:$K$5,0)))</f>
        <v>0</v>
      </c>
      <c r="S922" s="160">
        <f>IF(B922="",0,MIN(IF($N922="Other Bond TM",ModelParameters!$N$21,1)*(P922*Q922+R922),1))</f>
        <v>0.078775351177348336</v>
      </c>
      <c r="T922" s="85">
        <f>IF(B922="",0,$S922*$K922)</f>
        <v>2.9912863450963804</v>
      </c>
      <c r="U922" s="85">
        <f>IF(B922="",0,IF(OR(H922=MappingTables!$C$34,H922=MappingTables!$C$35),T922,0))</f>
        <v>0</v>
      </c>
      <c r="V922" s="85">
        <f>IF(ISNA(IF(AND(VLOOKUP(CONCATENATE($D922,$G922),CSRFinput!$B:$E,4,0)=0,OR(H922=MappingTables!$C$34,H922=MappingTables!$C$35)),1,VLOOKUP(CONCATENATE($D922,$G922),CSRFinput!$B:$E,4,0))),0,IF(AND(VLOOKUP(CONCATENATE($D922,$G922),CSRFinput!$B:$E,4,0)=0,OR(H922=MappingTables!$C$34,H922=MappingTables!$C$35)),1,VLOOKUP(CONCATENATE($D922,$G922),CSRFinput!$B:$E,4,0)))</f>
        <v>0.054776304963434752</v>
      </c>
      <c r="W922" s="85">
        <f>IF(B922="",0,+$T922*$V922)</f>
        <v>0.16385161307195748</v>
      </c>
      <c r="X922" s="85">
        <f>IF(B922="",0,IF(OR(H922=MappingTables!$C$34,H922=MappingTables!$C$35),W922,0))</f>
        <v>0</v>
      </c>
    </row>
    <row r="923" spans="2:24" s="0" customFormat="0" ht="15">
      <c r="B923" s="69">
        <v>15479984</v>
      </c>
      <c r="C923" s="70" t="s">
        <v>1087</v>
      </c>
      <c r="D923" s="70" t="s">
        <v>1</v>
      </c>
      <c r="E923" s="70" t="s">
        <v>1</v>
      </c>
      <c r="F923" s="70"/>
      <c r="G923" s="70" t="s">
        <v>61</v>
      </c>
      <c r="H923" s="70" t="s">
        <v>178</v>
      </c>
      <c r="I923" s="70" t="s">
        <v>179</v>
      </c>
      <c r="J923" s="71">
        <f>IF(OR(I923=0,I923=""),"unrated",VLOOKUP(I923,MappingTables!$B$19:$C$31,2,FALSE))</f>
        <v>4</v>
      </c>
      <c r="K923" s="72">
        <v>2763.8937397315072</v>
      </c>
      <c r="L923" s="70">
        <v>2.275683914029058</v>
      </c>
      <c r="M923" s="71">
        <f>IF(L923&lt;1,1,L923)</f>
        <v>2.275683914029058</v>
      </c>
      <c r="N923" s="70" t="s">
        <v>141</v>
      </c>
      <c r="O923" s="71">
        <f>INDEX(DurClassMapping,MATCH(M923,MappingTables!$D$4:$D$8,-1),1)</f>
        <v>1</v>
      </c>
      <c r="P923" s="73">
        <f>IF(M923=$A$1,1,$M923-INDEX(MappingTables!$E$4:$E$8,MATCH(O923,MappingTables!$B$4:$B$8,0)))</f>
        <v>2.275683914029058</v>
      </c>
      <c r="Q923" s="71">
        <f>IF(B923="",0,INDEX(ModelParameters!$D$6:$K$10,MATCH($O923,ModelParameters!$B$6:$B$10,0),MATCH($J923,ModelParameters!$D$5:$K$5,0)))</f>
        <v>0.045</v>
      </c>
      <c r="R923" s="71">
        <f>IF(B923="",0,INDEX(ModelParameters!$D$13:$K$17,MATCH($O923,ModelParameters!$B$13:$B$17,0),MATCH($J923,ModelParameters!$D$5:$K$5,0)))</f>
        <v>0</v>
      </c>
      <c r="S923" s="160">
        <f>IF(B923="",0,MIN(IF($N923="Other Bond TM",ModelParameters!$N$21,1)*(P923*Q923+R923),1))</f>
        <v>0.1024057761313076</v>
      </c>
      <c r="T923" s="85">
        <f>IF(B923="",0,$S923*$K923)</f>
        <v>283.03868356166732</v>
      </c>
      <c r="U923" s="85">
        <f>IF(B923="",0,IF(OR(H923=MappingTables!$C$34,H923=MappingTables!$C$35),T923,0))</f>
        <v>0</v>
      </c>
      <c r="V923" s="85">
        <f>IF(ISNA(IF(AND(VLOOKUP(CONCATENATE($D923,$G923),CSRFinput!$B:$E,4,0)=0,OR(H923=MappingTables!$C$34,H923=MappingTables!$C$35)),1,VLOOKUP(CONCATENATE($D923,$G923),CSRFinput!$B:$E,4,0))),0,IF(AND(VLOOKUP(CONCATENATE($D923,$G923),CSRFinput!$B:$E,4,0)=0,OR(H923=MappingTables!$C$34,H923=MappingTables!$C$35)),1,VLOOKUP(CONCATENATE($D923,$G923),CSRFinput!$B:$E,4,0)))</f>
        <v>0.054776304963434752</v>
      </c>
      <c r="W923" s="85">
        <f>IF(B923="",0,+$T923*$V923)</f>
        <v>15.503813247222996</v>
      </c>
      <c r="X923" s="85">
        <f>IF(B923="",0,IF(OR(H923=MappingTables!$C$34,H923=MappingTables!$C$35),W923,0))</f>
        <v>0</v>
      </c>
    </row>
    <row r="924" spans="2:24" s="0" customFormat="0" ht="15">
      <c r="B924" s="69">
        <v>23264059</v>
      </c>
      <c r="C924" s="70" t="s">
        <v>1228</v>
      </c>
      <c r="D924" s="70" t="s">
        <v>1</v>
      </c>
      <c r="E924" s="70" t="s">
        <v>1</v>
      </c>
      <c r="F924" s="70"/>
      <c r="G924" s="70" t="s">
        <v>61</v>
      </c>
      <c r="H924" s="70" t="s">
        <v>178</v>
      </c>
      <c r="I924" s="70" t="s">
        <v>220</v>
      </c>
      <c r="J924" s="71">
        <f>IF(OR(I924=0,I924=""),"unrated",VLOOKUP(I924,MappingTables!$B$19:$C$31,2,FALSE))</f>
        <v>1</v>
      </c>
      <c r="K924" s="72">
        <v>9332.0895268368944</v>
      </c>
      <c r="L924" s="70">
        <v>0.1506882556842587</v>
      </c>
      <c r="M924" s="71">
        <f>IF(L924&lt;1,1,L924)</f>
        <v>1</v>
      </c>
      <c r="N924" s="70" t="s">
        <v>141</v>
      </c>
      <c r="O924" s="71">
        <f>INDEX(DurClassMapping,MATCH(M924,MappingTables!$D$4:$D$8,-1),1)</f>
        <v>1</v>
      </c>
      <c r="P924" s="73">
        <f>IF(M924=$A$1,1,$M924-INDEX(MappingTables!$E$4:$E$8,MATCH(O924,MappingTables!$B$4:$B$8,0)))</f>
        <v>1</v>
      </c>
      <c r="Q924" s="71">
        <f>IF(B924="",0,INDEX(ModelParameters!$D$6:$K$10,MATCH($O924,ModelParameters!$B$6:$B$10,0),MATCH($J924,ModelParameters!$D$5:$K$5,0)))</f>
        <v>0.011000000000000002</v>
      </c>
      <c r="R924" s="71">
        <f>IF(B924="",0,INDEX(ModelParameters!$D$13:$K$17,MATCH($O924,ModelParameters!$B$13:$B$17,0),MATCH($J924,ModelParameters!$D$5:$K$5,0)))</f>
        <v>0</v>
      </c>
      <c r="S924" s="160">
        <f>IF(B924="",0,MIN(IF($N924="Other Bond TM",ModelParameters!$N$21,1)*(P924*Q924+R924),1))</f>
        <v>0.011000000000000002</v>
      </c>
      <c r="T924" s="85">
        <f>IF(B924="",0,$S924*$K924)</f>
        <v>102.65298479520586</v>
      </c>
      <c r="U924" s="85">
        <f>IF(B924="",0,IF(OR(H924=MappingTables!$C$34,H924=MappingTables!$C$35),T924,0))</f>
        <v>0</v>
      </c>
      <c r="V924" s="85">
        <f>IF(ISNA(IF(AND(VLOOKUP(CONCATENATE($D924,$G924),CSRFinput!$B:$E,4,0)=0,OR(H924=MappingTables!$C$34,H924=MappingTables!$C$35)),1,VLOOKUP(CONCATENATE($D924,$G924),CSRFinput!$B:$E,4,0))),0,IF(AND(VLOOKUP(CONCATENATE($D924,$G924),CSRFinput!$B:$E,4,0)=0,OR(H924=MappingTables!$C$34,H924=MappingTables!$C$35)),1,VLOOKUP(CONCATENATE($D924,$G924),CSRFinput!$B:$E,4,0)))</f>
        <v>0.054776304963434752</v>
      </c>
      <c r="W924" s="85">
        <f>IF(B924="",0,+$T924*$V924)</f>
        <v>5.6229512005490264</v>
      </c>
      <c r="X924" s="85">
        <f>IF(B924="",0,IF(OR(H924=MappingTables!$C$34,H924=MappingTables!$C$35),W924,0))</f>
        <v>0</v>
      </c>
    </row>
    <row r="925" spans="2:24" s="0" customFormat="0" ht="15">
      <c r="B925" s="69">
        <v>12299582</v>
      </c>
      <c r="C925" s="70" t="s">
        <v>1229</v>
      </c>
      <c r="D925" s="70" t="s">
        <v>1</v>
      </c>
      <c r="E925" s="70" t="s">
        <v>1</v>
      </c>
      <c r="F925" s="70"/>
      <c r="G925" s="70" t="s">
        <v>61</v>
      </c>
      <c r="H925" s="70" t="s">
        <v>178</v>
      </c>
      <c r="I925" s="70" t="s">
        <v>188</v>
      </c>
      <c r="J925" s="71">
        <f>IF(OR(I925=0,I925=""),"unrated",VLOOKUP(I925,MappingTables!$B$19:$C$31,2,FALSE))</f>
        <v>2</v>
      </c>
      <c r="K925" s="72">
        <v>811.31236613266576</v>
      </c>
      <c r="L925" s="70">
        <v>1.5856966309182064</v>
      </c>
      <c r="M925" s="71">
        <f>IF(L925&lt;1,1,L925)</f>
        <v>1.5856966309182064</v>
      </c>
      <c r="N925" s="70" t="s">
        <v>141</v>
      </c>
      <c r="O925" s="71">
        <f>INDEX(DurClassMapping,MATCH(M925,MappingTables!$D$4:$D$8,-1),1)</f>
        <v>1</v>
      </c>
      <c r="P925" s="73">
        <f>IF(M925=$A$1,1,$M925-INDEX(MappingTables!$E$4:$E$8,MATCH(O925,MappingTables!$B$4:$B$8,0)))</f>
        <v>1.5856966309182064</v>
      </c>
      <c r="Q925" s="71">
        <f>IF(B925="",0,INDEX(ModelParameters!$D$6:$K$10,MATCH($O925,ModelParameters!$B$6:$B$10,0),MATCH($J925,ModelParameters!$D$5:$K$5,0)))</f>
        <v>0.013999999999999998</v>
      </c>
      <c r="R925" s="71">
        <f>IF(B925="",0,INDEX(ModelParameters!$D$13:$K$17,MATCH($O925,ModelParameters!$B$13:$B$17,0),MATCH($J925,ModelParameters!$D$5:$K$5,0)))</f>
        <v>0</v>
      </c>
      <c r="S925" s="160">
        <f>IF(B925="",0,MIN(IF($N925="Other Bond TM",ModelParameters!$N$21,1)*(P925*Q925+R925),1))</f>
        <v>0.022199752832854884</v>
      </c>
      <c r="T925" s="85">
        <f>IF(B925="",0,$S925*$K925)</f>
        <v>18.010933998383844</v>
      </c>
      <c r="U925" s="85">
        <f>IF(B925="",0,IF(OR(H925=MappingTables!$C$34,H925=MappingTables!$C$35),T925,0))</f>
        <v>0</v>
      </c>
      <c r="V925" s="85">
        <f>IF(ISNA(IF(AND(VLOOKUP(CONCATENATE($D925,$G925),CSRFinput!$B:$E,4,0)=0,OR(H925=MappingTables!$C$34,H925=MappingTables!$C$35)),1,VLOOKUP(CONCATENATE($D925,$G925),CSRFinput!$B:$E,4,0))),0,IF(AND(VLOOKUP(CONCATENATE($D925,$G925),CSRFinput!$B:$E,4,0)=0,OR(H925=MappingTables!$C$34,H925=MappingTables!$C$35)),1,VLOOKUP(CONCATENATE($D925,$G925),CSRFinput!$B:$E,4,0)))</f>
        <v>0.054776304963434752</v>
      </c>
      <c r="W925" s="85">
        <f>IF(B925="",0,+$T925*$V925)</f>
        <v>0.98657241337176864</v>
      </c>
      <c r="X925" s="85">
        <f>IF(B925="",0,IF(OR(H925=MappingTables!$C$34,H925=MappingTables!$C$35),W925,0))</f>
        <v>0</v>
      </c>
    </row>
    <row r="926" spans="2:24" s="0" customFormat="0" ht="15">
      <c r="B926" s="69" t="s">
        <v>1230</v>
      </c>
      <c r="C926" s="70" t="s">
        <v>1231</v>
      </c>
      <c r="D926" s="70" t="s">
        <v>1</v>
      </c>
      <c r="E926" s="70" t="s">
        <v>1</v>
      </c>
      <c r="F926" s="70"/>
      <c r="G926" s="70" t="s">
        <v>61</v>
      </c>
      <c r="H926" s="70" t="s">
        <v>178</v>
      </c>
      <c r="I926" s="70" t="s">
        <v>179</v>
      </c>
      <c r="J926" s="71">
        <f>IF(OR(I926=0,I926=""),"unrated",VLOOKUP(I926,MappingTables!$B$19:$C$31,2,FALSE))</f>
        <v>4</v>
      </c>
      <c r="K926" s="72">
        <v>3505.3549107821936</v>
      </c>
      <c r="L926" s="70">
        <v>0.99960489724237824</v>
      </c>
      <c r="M926" s="71">
        <f>IF(L926&lt;1,1,L926)</f>
        <v>1</v>
      </c>
      <c r="N926" s="70" t="s">
        <v>141</v>
      </c>
      <c r="O926" s="71">
        <f>INDEX(DurClassMapping,MATCH(M926,MappingTables!$D$4:$D$8,-1),1)</f>
        <v>1</v>
      </c>
      <c r="P926" s="73">
        <f>IF(M926=$A$1,1,$M926-INDEX(MappingTables!$E$4:$E$8,MATCH(O926,MappingTables!$B$4:$B$8,0)))</f>
        <v>1</v>
      </c>
      <c r="Q926" s="71">
        <f>IF(B926="",0,INDEX(ModelParameters!$D$6:$K$10,MATCH($O926,ModelParameters!$B$6:$B$10,0),MATCH($J926,ModelParameters!$D$5:$K$5,0)))</f>
        <v>0.045</v>
      </c>
      <c r="R926" s="71">
        <f>IF(B926="",0,INDEX(ModelParameters!$D$13:$K$17,MATCH($O926,ModelParameters!$B$13:$B$17,0),MATCH($J926,ModelParameters!$D$5:$K$5,0)))</f>
        <v>0</v>
      </c>
      <c r="S926" s="160">
        <f>IF(B926="",0,MIN(IF($N926="Other Bond TM",ModelParameters!$N$21,1)*(P926*Q926+R926),1))</f>
        <v>0.045</v>
      </c>
      <c r="T926" s="85">
        <f>IF(B926="",0,$S926*$K926)</f>
        <v>157.74097098519872</v>
      </c>
      <c r="U926" s="85">
        <f>IF(B926="",0,IF(OR(H926=MappingTables!$C$34,H926=MappingTables!$C$35),T926,0))</f>
        <v>0</v>
      </c>
      <c r="V926" s="85">
        <f>IF(ISNA(IF(AND(VLOOKUP(CONCATENATE($D926,$G926),CSRFinput!$B:$E,4,0)=0,OR(H926=MappingTables!$C$34,H926=MappingTables!$C$35)),1,VLOOKUP(CONCATENATE($D926,$G926),CSRFinput!$B:$E,4,0))),0,IF(AND(VLOOKUP(CONCATENATE($D926,$G926),CSRFinput!$B:$E,4,0)=0,OR(H926=MappingTables!$C$34,H926=MappingTables!$C$35)),1,VLOOKUP(CONCATENATE($D926,$G926),CSRFinput!$B:$E,4,0)))</f>
        <v>0.054776304963434752</v>
      </c>
      <c r="W926" s="85">
        <f>IF(B926="",0,+$T926*$V926)</f>
        <v>8.6404675319135584</v>
      </c>
      <c r="X926" s="85">
        <f>IF(B926="",0,IF(OR(H926=MappingTables!$C$34,H926=MappingTables!$C$35),W926,0))</f>
        <v>0</v>
      </c>
    </row>
    <row r="927" spans="2:24" s="0" customFormat="0" ht="15">
      <c r="B927" s="69">
        <v>14579747</v>
      </c>
      <c r="C927" s="70" t="s">
        <v>1232</v>
      </c>
      <c r="D927" s="70" t="s">
        <v>1</v>
      </c>
      <c r="E927" s="70" t="s">
        <v>1</v>
      </c>
      <c r="F927" s="70"/>
      <c r="G927" s="70" t="s">
        <v>61</v>
      </c>
      <c r="H927" s="70" t="s">
        <v>178</v>
      </c>
      <c r="I927" s="70" t="s">
        <v>181</v>
      </c>
      <c r="J927" s="71">
        <f>IF(OR(I927=0,I927=""),"unrated",VLOOKUP(I927,MappingTables!$B$19:$C$31,2,FALSE))</f>
        <v>3</v>
      </c>
      <c r="K927" s="72">
        <v>4.3175369250322992</v>
      </c>
      <c r="L927" s="70">
        <v>1.5765792451928852</v>
      </c>
      <c r="M927" s="71">
        <f>IF(L927&lt;1,1,L927)</f>
        <v>1.5765792451928852</v>
      </c>
      <c r="N927" s="70" t="s">
        <v>141</v>
      </c>
      <c r="O927" s="71">
        <f>INDEX(DurClassMapping,MATCH(M927,MappingTables!$D$4:$D$8,-1),1)</f>
        <v>1</v>
      </c>
      <c r="P927" s="73">
        <f>IF(M927=$A$1,1,$M927-INDEX(MappingTables!$E$4:$E$8,MATCH(O927,MappingTables!$B$4:$B$8,0)))</f>
        <v>1.5765792451928852</v>
      </c>
      <c r="Q927" s="71">
        <f>IF(B927="",0,INDEX(ModelParameters!$D$6:$K$10,MATCH($O927,ModelParameters!$B$6:$B$10,0),MATCH($J927,ModelParameters!$D$5:$K$5,0)))</f>
        <v>0.025</v>
      </c>
      <c r="R927" s="71">
        <f>IF(B927="",0,INDEX(ModelParameters!$D$13:$K$17,MATCH($O927,ModelParameters!$B$13:$B$17,0),MATCH($J927,ModelParameters!$D$5:$K$5,0)))</f>
        <v>0</v>
      </c>
      <c r="S927" s="160">
        <f>IF(B927="",0,MIN(IF($N927="Other Bond TM",ModelParameters!$N$21,1)*(P927*Q927+R927),1))</f>
        <v>0.039414481129822136</v>
      </c>
      <c r="T927" s="85">
        <f>IF(B927="",0,$S927*$K927)</f>
        <v>0.17017347765899584</v>
      </c>
      <c r="U927" s="85">
        <f>IF(B927="",0,IF(OR(H927=MappingTables!$C$34,H927=MappingTables!$C$35),T927,0))</f>
        <v>0</v>
      </c>
      <c r="V927" s="85">
        <f>IF(ISNA(IF(AND(VLOOKUP(CONCATENATE($D927,$G927),CSRFinput!$B:$E,4,0)=0,OR(H927=MappingTables!$C$34,H927=MappingTables!$C$35)),1,VLOOKUP(CONCATENATE($D927,$G927),CSRFinput!$B:$E,4,0))),0,IF(AND(VLOOKUP(CONCATENATE($D927,$G927),CSRFinput!$B:$E,4,0)=0,OR(H927=MappingTables!$C$34,H927=MappingTables!$C$35)),1,VLOOKUP(CONCATENATE($D927,$G927),CSRFinput!$B:$E,4,0)))</f>
        <v>0.054776304963434752</v>
      </c>
      <c r="W927" s="85">
        <f>IF(B927="",0,+$T927*$V927)</f>
        <v>0.0093214743089374064</v>
      </c>
      <c r="X927" s="85">
        <f>IF(B927="",0,IF(OR(H927=MappingTables!$C$34,H927=MappingTables!$C$35),W927,0))</f>
        <v>0</v>
      </c>
    </row>
    <row r="928" spans="2:24" s="0" customFormat="0" ht="15">
      <c r="B928" s="69">
        <v>21743758</v>
      </c>
      <c r="C928" s="70" t="s">
        <v>1233</v>
      </c>
      <c r="D928" s="70" t="s">
        <v>1</v>
      </c>
      <c r="E928" s="70" t="s">
        <v>1</v>
      </c>
      <c r="F928" s="70"/>
      <c r="G928" s="70" t="s">
        <v>61</v>
      </c>
      <c r="H928" s="70" t="s">
        <v>178</v>
      </c>
      <c r="I928" s="70" t="s">
        <v>181</v>
      </c>
      <c r="J928" s="71">
        <f>IF(OR(I928=0,I928=""),"unrated",VLOOKUP(I928,MappingTables!$B$19:$C$31,2,FALSE))</f>
        <v>3</v>
      </c>
      <c r="K928" s="72">
        <v>4715.4177143546072</v>
      </c>
      <c r="L928" s="70">
        <v>5.358428045222328</v>
      </c>
      <c r="M928" s="71">
        <f>IF(L928&lt;1,1,L928)</f>
        <v>5.358428045222328</v>
      </c>
      <c r="N928" s="70" t="s">
        <v>141</v>
      </c>
      <c r="O928" s="71">
        <f>INDEX(DurClassMapping,MATCH(M928,MappingTables!$D$4:$D$8,-1),1)</f>
        <v>2</v>
      </c>
      <c r="P928" s="73">
        <f>IF(M928=$A$1,1,$M928-INDEX(MappingTables!$E$4:$E$8,MATCH(O928,MappingTables!$B$4:$B$8,0)))</f>
        <v>0.35842804522232808</v>
      </c>
      <c r="Q928" s="71">
        <f>IF(B928="",0,INDEX(ModelParameters!$D$6:$K$10,MATCH($O928,ModelParameters!$B$6:$B$10,0),MATCH($J928,ModelParameters!$D$5:$K$5,0)))</f>
        <v>0.015</v>
      </c>
      <c r="R928" s="71">
        <f>IF(B928="",0,INDEX(ModelParameters!$D$13:$K$17,MATCH($O928,ModelParameters!$B$13:$B$17,0),MATCH($J928,ModelParameters!$D$5:$K$5,0)))</f>
        <v>0.125</v>
      </c>
      <c r="S928" s="160">
        <f>IF(B928="",0,MIN(IF($N928="Other Bond TM",ModelParameters!$N$21,1)*(P928*Q928+R928),1))</f>
        <v>0.1303764206783349</v>
      </c>
      <c r="T928" s="85">
        <f>IF(B928="",0,$S928*$K928)</f>
        <v>614.77928360076888</v>
      </c>
      <c r="U928" s="85">
        <f>IF(B928="",0,IF(OR(H928=MappingTables!$C$34,H928=MappingTables!$C$35),T928,0))</f>
        <v>0</v>
      </c>
      <c r="V928" s="85">
        <f>IF(ISNA(IF(AND(VLOOKUP(CONCATENATE($D928,$G928),CSRFinput!$B:$E,4,0)=0,OR(H928=MappingTables!$C$34,H928=MappingTables!$C$35)),1,VLOOKUP(CONCATENATE($D928,$G928),CSRFinput!$B:$E,4,0))),0,IF(AND(VLOOKUP(CONCATENATE($D928,$G928),CSRFinput!$B:$E,4,0)=0,OR(H928=MappingTables!$C$34,H928=MappingTables!$C$35)),1,VLOOKUP(CONCATENATE($D928,$G928),CSRFinput!$B:$E,4,0)))</f>
        <v>0.054776304963434752</v>
      </c>
      <c r="W928" s="85">
        <f>IF(B928="",0,+$T928*$V928)</f>
        <v>33.67533752371766</v>
      </c>
      <c r="X928" s="85">
        <f>IF(B928="",0,IF(OR(H928=MappingTables!$C$34,H928=MappingTables!$C$35),W928,0))</f>
        <v>0</v>
      </c>
    </row>
    <row r="929" spans="2:24" s="0" customFormat="0" ht="15">
      <c r="B929" s="69">
        <v>14542527</v>
      </c>
      <c r="C929" s="70" t="s">
        <v>757</v>
      </c>
      <c r="D929" s="70" t="s">
        <v>1</v>
      </c>
      <c r="E929" s="70" t="s">
        <v>1</v>
      </c>
      <c r="F929" s="70"/>
      <c r="G929" s="70" t="s">
        <v>61</v>
      </c>
      <c r="H929" s="70" t="s">
        <v>178</v>
      </c>
      <c r="I929" s="70" t="s">
        <v>179</v>
      </c>
      <c r="J929" s="71">
        <f>IF(OR(I929=0,I929=""),"unrated",VLOOKUP(I929,MappingTables!$B$19:$C$31,2,FALSE))</f>
        <v>4</v>
      </c>
      <c r="K929" s="72">
        <v>243.4697723353096</v>
      </c>
      <c r="L929" s="70">
        <v>3.451378541459492</v>
      </c>
      <c r="M929" s="71">
        <f>IF(L929&lt;1,1,L929)</f>
        <v>3.451378541459492</v>
      </c>
      <c r="N929" s="70" t="s">
        <v>141</v>
      </c>
      <c r="O929" s="71">
        <f>INDEX(DurClassMapping,MATCH(M929,MappingTables!$D$4:$D$8,-1),1)</f>
        <v>1</v>
      </c>
      <c r="P929" s="73">
        <f>IF(M929=$A$1,1,$M929-INDEX(MappingTables!$E$4:$E$8,MATCH(O929,MappingTables!$B$4:$B$8,0)))</f>
        <v>3.451378541459492</v>
      </c>
      <c r="Q929" s="71">
        <f>IF(B929="",0,INDEX(ModelParameters!$D$6:$K$10,MATCH($O929,ModelParameters!$B$6:$B$10,0),MATCH($J929,ModelParameters!$D$5:$K$5,0)))</f>
        <v>0.045</v>
      </c>
      <c r="R929" s="71">
        <f>IF(B929="",0,INDEX(ModelParameters!$D$13:$K$17,MATCH($O929,ModelParameters!$B$13:$B$17,0),MATCH($J929,ModelParameters!$D$5:$K$5,0)))</f>
        <v>0</v>
      </c>
      <c r="S929" s="160">
        <f>IF(B929="",0,MIN(IF($N929="Other Bond TM",ModelParameters!$N$21,1)*(P929*Q929+R929),1))</f>
        <v>0.15531203436567714</v>
      </c>
      <c r="T929" s="85">
        <f>IF(B929="",0,$S929*$K929)</f>
        <v>37.813785647945192</v>
      </c>
      <c r="U929" s="85">
        <f>IF(B929="",0,IF(OR(H929=MappingTables!$C$34,H929=MappingTables!$C$35),T929,0))</f>
        <v>0</v>
      </c>
      <c r="V929" s="85">
        <f>IF(ISNA(IF(AND(VLOOKUP(CONCATENATE($D929,$G929),CSRFinput!$B:$E,4,0)=0,OR(H929=MappingTables!$C$34,H929=MappingTables!$C$35)),1,VLOOKUP(CONCATENATE($D929,$G929),CSRFinput!$B:$E,4,0))),0,IF(AND(VLOOKUP(CONCATENATE($D929,$G929),CSRFinput!$B:$E,4,0)=0,OR(H929=MappingTables!$C$34,H929=MappingTables!$C$35)),1,VLOOKUP(CONCATENATE($D929,$G929),CSRFinput!$B:$E,4,0)))</f>
        <v>0.054776304963434752</v>
      </c>
      <c r="W929" s="85">
        <f>IF(B929="",0,+$T929*$V929)</f>
        <v>2.0712994544737984</v>
      </c>
      <c r="X929" s="85">
        <f>IF(B929="",0,IF(OR(H929=MappingTables!$C$34,H929=MappingTables!$C$35),W929,0))</f>
        <v>0</v>
      </c>
    </row>
    <row r="930" spans="2:24" s="0" customFormat="0" ht="15">
      <c r="B930" s="69">
        <v>21365024</v>
      </c>
      <c r="C930" s="70" t="s">
        <v>1234</v>
      </c>
      <c r="D930" s="70" t="s">
        <v>1</v>
      </c>
      <c r="E930" s="70" t="s">
        <v>1</v>
      </c>
      <c r="F930" s="70"/>
      <c r="G930" s="70" t="s">
        <v>61</v>
      </c>
      <c r="H930" s="70" t="s">
        <v>178</v>
      </c>
      <c r="I930" s="70" t="s">
        <v>216</v>
      </c>
      <c r="J930" s="71">
        <f>IF(OR(I930=0,I930=""),"unrated",VLOOKUP(I930,MappingTables!$B$19:$C$31,2,FALSE))</f>
        <v>0</v>
      </c>
      <c r="K930" s="72">
        <v>4585.9559115930344</v>
      </c>
      <c r="L930" s="70">
        <v>0.082192217719227728</v>
      </c>
      <c r="M930" s="71">
        <f>IF(L930&lt;1,1,L930)</f>
        <v>1</v>
      </c>
      <c r="N930" s="70" t="s">
        <v>141</v>
      </c>
      <c r="O930" s="71">
        <f>INDEX(DurClassMapping,MATCH(M930,MappingTables!$D$4:$D$8,-1),1)</f>
        <v>1</v>
      </c>
      <c r="P930" s="73">
        <f>IF(M930=$A$1,1,$M930-INDEX(MappingTables!$E$4:$E$8,MATCH(O930,MappingTables!$B$4:$B$8,0)))</f>
        <v>1</v>
      </c>
      <c r="Q930" s="71">
        <f>IF(B930="",0,INDEX(ModelParameters!$D$6:$K$10,MATCH($O930,ModelParameters!$B$6:$B$10,0),MATCH($J930,ModelParameters!$D$5:$K$5,0)))</f>
        <v>0.0090000000000000016</v>
      </c>
      <c r="R930" s="71">
        <f>IF(B930="",0,INDEX(ModelParameters!$D$13:$K$17,MATCH($O930,ModelParameters!$B$13:$B$17,0),MATCH($J930,ModelParameters!$D$5:$K$5,0)))</f>
        <v>0</v>
      </c>
      <c r="S930" s="160">
        <f>IF(B930="",0,MIN(IF($N930="Other Bond TM",ModelParameters!$N$21,1)*(P930*Q930+R930),1))</f>
        <v>0.0090000000000000016</v>
      </c>
      <c r="T930" s="85">
        <f>IF(B930="",0,$S930*$K930)</f>
        <v>41.273603204337312</v>
      </c>
      <c r="U930" s="85">
        <f>IF(B930="",0,IF(OR(H930=MappingTables!$C$34,H930=MappingTables!$C$35),T930,0))</f>
        <v>0</v>
      </c>
      <c r="V930" s="85">
        <f>IF(ISNA(IF(AND(VLOOKUP(CONCATENATE($D930,$G930),CSRFinput!$B:$E,4,0)=0,OR(H930=MappingTables!$C$34,H930=MappingTables!$C$35)),1,VLOOKUP(CONCATENATE($D930,$G930),CSRFinput!$B:$E,4,0))),0,IF(AND(VLOOKUP(CONCATENATE($D930,$G930),CSRFinput!$B:$E,4,0)=0,OR(H930=MappingTables!$C$34,H930=MappingTables!$C$35)),1,VLOOKUP(CONCATENATE($D930,$G930),CSRFinput!$B:$E,4,0)))</f>
        <v>0.054776304963434752</v>
      </c>
      <c r="W930" s="85">
        <f>IF(B930="",0,+$T930*$V930)</f>
        <v>2.2608154760605784</v>
      </c>
      <c r="X930" s="85">
        <f>IF(B930="",0,IF(OR(H930=MappingTables!$C$34,H930=MappingTables!$C$35),W930,0))</f>
        <v>0</v>
      </c>
    </row>
    <row r="931" spans="2:24" s="0" customFormat="0" ht="15">
      <c r="B931" s="69">
        <v>17357779</v>
      </c>
      <c r="C931" s="70" t="s">
        <v>1235</v>
      </c>
      <c r="D931" s="70" t="s">
        <v>1</v>
      </c>
      <c r="E931" s="70" t="s">
        <v>1</v>
      </c>
      <c r="F931" s="70"/>
      <c r="G931" s="70" t="s">
        <v>61</v>
      </c>
      <c r="H931" s="70" t="s">
        <v>178</v>
      </c>
      <c r="I931" s="70" t="s">
        <v>184</v>
      </c>
      <c r="J931" s="71">
        <f>IF(OR(I931=0,I931=""),"unrated",VLOOKUP(I931,MappingTables!$B$19:$C$31,2,FALSE))</f>
        <v>5</v>
      </c>
      <c r="K931" s="72">
        <v>2274.5651954413308</v>
      </c>
      <c r="L931" s="70">
        <v>0.041092345606617984</v>
      </c>
      <c r="M931" s="71">
        <f>IF(L931&lt;1,1,L931)</f>
        <v>1</v>
      </c>
      <c r="N931" s="70" t="s">
        <v>141</v>
      </c>
      <c r="O931" s="71">
        <f>INDEX(DurClassMapping,MATCH(M931,MappingTables!$D$4:$D$8,-1),1)</f>
        <v>1</v>
      </c>
      <c r="P931" s="73">
        <f>IF(M931=$A$1,1,$M931-INDEX(MappingTables!$E$4:$E$8,MATCH(O931,MappingTables!$B$4:$B$8,0)))</f>
        <v>1</v>
      </c>
      <c r="Q931" s="71">
        <f>IF(B931="",0,INDEX(ModelParameters!$D$6:$K$10,MATCH($O931,ModelParameters!$B$6:$B$10,0),MATCH($J931,ModelParameters!$D$5:$K$5,0)))</f>
        <v>0.075</v>
      </c>
      <c r="R931" s="71">
        <f>IF(B931="",0,INDEX(ModelParameters!$D$13:$K$17,MATCH($O931,ModelParameters!$B$13:$B$17,0),MATCH($J931,ModelParameters!$D$5:$K$5,0)))</f>
        <v>0</v>
      </c>
      <c r="S931" s="160">
        <f>IF(B931="",0,MIN(IF($N931="Other Bond TM",ModelParameters!$N$21,1)*(P931*Q931+R931),1))</f>
        <v>0.075</v>
      </c>
      <c r="T931" s="85">
        <f>IF(B931="",0,$S931*$K931)</f>
        <v>170.5923896580998</v>
      </c>
      <c r="U931" s="85">
        <f>IF(B931="",0,IF(OR(H931=MappingTables!$C$34,H931=MappingTables!$C$35),T931,0))</f>
        <v>0</v>
      </c>
      <c r="V931" s="85">
        <f>IF(ISNA(IF(AND(VLOOKUP(CONCATENATE($D931,$G931),CSRFinput!$B:$E,4,0)=0,OR(H931=MappingTables!$C$34,H931=MappingTables!$C$35)),1,VLOOKUP(CONCATENATE($D931,$G931),CSRFinput!$B:$E,4,0))),0,IF(AND(VLOOKUP(CONCATENATE($D931,$G931),CSRFinput!$B:$E,4,0)=0,OR(H931=MappingTables!$C$34,H931=MappingTables!$C$35)),1,VLOOKUP(CONCATENATE($D931,$G931),CSRFinput!$B:$E,4,0)))</f>
        <v>0.054776304963434752</v>
      </c>
      <c r="W931" s="85">
        <f>IF(B931="",0,+$T931*$V931)</f>
        <v>9.3444207603531664</v>
      </c>
      <c r="X931" s="85">
        <f>IF(B931="",0,IF(OR(H931=MappingTables!$C$34,H931=MappingTables!$C$35),W931,0))</f>
        <v>0</v>
      </c>
    </row>
    <row r="932" spans="2:24" s="0" customFormat="0" ht="15">
      <c r="B932" s="69">
        <v>2422615</v>
      </c>
      <c r="C932" s="70" t="s">
        <v>621</v>
      </c>
      <c r="D932" s="70" t="s">
        <v>1</v>
      </c>
      <c r="E932" s="70" t="s">
        <v>1</v>
      </c>
      <c r="F932" s="70"/>
      <c r="G932" s="70" t="s">
        <v>61</v>
      </c>
      <c r="H932" s="70" t="s">
        <v>178</v>
      </c>
      <c r="I932" s="70" t="s">
        <v>181</v>
      </c>
      <c r="J932" s="71">
        <f>IF(OR(I932=0,I932=""),"unrated",VLOOKUP(I932,MappingTables!$B$19:$C$31,2,FALSE))</f>
        <v>3</v>
      </c>
      <c r="K932" s="72">
        <v>3250.835125590498</v>
      </c>
      <c r="L932" s="70">
        <v>9.1911332512707488</v>
      </c>
      <c r="M932" s="71">
        <f>IF(L932&lt;1,1,L932)</f>
        <v>9.1911332512707488</v>
      </c>
      <c r="N932" s="70" t="s">
        <v>141</v>
      </c>
      <c r="O932" s="71">
        <f>INDEX(DurClassMapping,MATCH(M932,MappingTables!$D$4:$D$8,-1),1)</f>
        <v>2</v>
      </c>
      <c r="P932" s="73">
        <f>IF(M932=$A$1,1,$M932-INDEX(MappingTables!$E$4:$E$8,MATCH(O932,MappingTables!$B$4:$B$8,0)))</f>
        <v>4.1911332512707488</v>
      </c>
      <c r="Q932" s="71">
        <f>IF(B932="",0,INDEX(ModelParameters!$D$6:$K$10,MATCH($O932,ModelParameters!$B$6:$B$10,0),MATCH($J932,ModelParameters!$D$5:$K$5,0)))</f>
        <v>0.015</v>
      </c>
      <c r="R932" s="71">
        <f>IF(B932="",0,INDEX(ModelParameters!$D$13:$K$17,MATCH($O932,ModelParameters!$B$13:$B$17,0),MATCH($J932,ModelParameters!$D$5:$K$5,0)))</f>
        <v>0.125</v>
      </c>
      <c r="S932" s="160">
        <f>IF(B932="",0,MIN(IF($N932="Other Bond TM",ModelParameters!$N$21,1)*(P932*Q932+R932),1))</f>
        <v>0.1878669987690612</v>
      </c>
      <c r="T932" s="85">
        <f>IF(B932="",0,$S932*$K932)</f>
        <v>610.72463853773104</v>
      </c>
      <c r="U932" s="85">
        <f>IF(B932="",0,IF(OR(H932=MappingTables!$C$34,H932=MappingTables!$C$35),T932,0))</f>
        <v>0</v>
      </c>
      <c r="V932" s="85">
        <f>IF(ISNA(IF(AND(VLOOKUP(CONCATENATE($D932,$G932),CSRFinput!$B:$E,4,0)=0,OR(H932=MappingTables!$C$34,H932=MappingTables!$C$35)),1,VLOOKUP(CONCATENATE($D932,$G932),CSRFinput!$B:$E,4,0))),0,IF(AND(VLOOKUP(CONCATENATE($D932,$G932),CSRFinput!$B:$E,4,0)=0,OR(H932=MappingTables!$C$34,H932=MappingTables!$C$35)),1,VLOOKUP(CONCATENATE($D932,$G932),CSRFinput!$B:$E,4,0)))</f>
        <v>0.054776304963434752</v>
      </c>
      <c r="W932" s="85">
        <f>IF(B932="",0,+$T932*$V932)</f>
        <v>33.453239049226212</v>
      </c>
      <c r="X932" s="85">
        <f>IF(B932="",0,IF(OR(H932=MappingTables!$C$34,H932=MappingTables!$C$35),W932,0))</f>
        <v>0</v>
      </c>
    </row>
    <row r="933" spans="2:24" s="0" customFormat="0" ht="15">
      <c r="B933" s="69">
        <v>12115855</v>
      </c>
      <c r="C933" s="70" t="s">
        <v>1236</v>
      </c>
      <c r="D933" s="70" t="s">
        <v>1</v>
      </c>
      <c r="E933" s="70" t="s">
        <v>1</v>
      </c>
      <c r="F933" s="70"/>
      <c r="G933" s="70" t="s">
        <v>61</v>
      </c>
      <c r="H933" s="70" t="s">
        <v>178</v>
      </c>
      <c r="I933" s="70" t="s">
        <v>184</v>
      </c>
      <c r="J933" s="71">
        <f>IF(OR(I933=0,I933=""),"unrated",VLOOKUP(I933,MappingTables!$B$19:$C$31,2,FALSE))</f>
        <v>5</v>
      </c>
      <c r="K933" s="72">
        <v>34.502954342050648</v>
      </c>
      <c r="L933" s="70">
        <v>0.087670569579283792</v>
      </c>
      <c r="M933" s="71">
        <f>IF(L933&lt;1,1,L933)</f>
        <v>1</v>
      </c>
      <c r="N933" s="70" t="s">
        <v>141</v>
      </c>
      <c r="O933" s="71">
        <f>INDEX(DurClassMapping,MATCH(M933,MappingTables!$D$4:$D$8,-1),1)</f>
        <v>1</v>
      </c>
      <c r="P933" s="73">
        <f>IF(M933=$A$1,1,$M933-INDEX(MappingTables!$E$4:$E$8,MATCH(O933,MappingTables!$B$4:$B$8,0)))</f>
        <v>1</v>
      </c>
      <c r="Q933" s="71">
        <f>IF(B933="",0,INDEX(ModelParameters!$D$6:$K$10,MATCH($O933,ModelParameters!$B$6:$B$10,0),MATCH($J933,ModelParameters!$D$5:$K$5,0)))</f>
        <v>0.075</v>
      </c>
      <c r="R933" s="71">
        <f>IF(B933="",0,INDEX(ModelParameters!$D$13:$K$17,MATCH($O933,ModelParameters!$B$13:$B$17,0),MATCH($J933,ModelParameters!$D$5:$K$5,0)))</f>
        <v>0</v>
      </c>
      <c r="S933" s="160">
        <f>IF(B933="",0,MIN(IF($N933="Other Bond TM",ModelParameters!$N$21,1)*(P933*Q933+R933),1))</f>
        <v>0.075</v>
      </c>
      <c r="T933" s="85">
        <f>IF(B933="",0,$S933*$K933)</f>
        <v>2.5877215756537984</v>
      </c>
      <c r="U933" s="85">
        <f>IF(B933="",0,IF(OR(H933=MappingTables!$C$34,H933=MappingTables!$C$35),T933,0))</f>
        <v>0</v>
      </c>
      <c r="V933" s="85">
        <f>IF(ISNA(IF(AND(VLOOKUP(CONCATENATE($D933,$G933),CSRFinput!$B:$E,4,0)=0,OR(H933=MappingTables!$C$34,H933=MappingTables!$C$35)),1,VLOOKUP(CONCATENATE($D933,$G933),CSRFinput!$B:$E,4,0))),0,IF(AND(VLOOKUP(CONCATENATE($D933,$G933),CSRFinput!$B:$E,4,0)=0,OR(H933=MappingTables!$C$34,H933=MappingTables!$C$35)),1,VLOOKUP(CONCATENATE($D933,$G933),CSRFinput!$B:$E,4,0)))</f>
        <v>0.054776304963434752</v>
      </c>
      <c r="W933" s="85">
        <f>IF(B933="",0,+$T933*$V933)</f>
        <v>0.14174582618847236</v>
      </c>
      <c r="X933" s="85">
        <f>IF(B933="",0,IF(OR(H933=MappingTables!$C$34,H933=MappingTables!$C$35),W933,0))</f>
        <v>0</v>
      </c>
    </row>
    <row r="934" spans="2:24" s="0" customFormat="0" ht="15">
      <c r="B934" s="69">
        <v>7323825</v>
      </c>
      <c r="C934" s="70" t="s">
        <v>1033</v>
      </c>
      <c r="D934" s="70" t="s">
        <v>1</v>
      </c>
      <c r="E934" s="70" t="s">
        <v>1</v>
      </c>
      <c r="F934" s="70"/>
      <c r="G934" s="70" t="s">
        <v>61</v>
      </c>
      <c r="H934" s="70" t="s">
        <v>178</v>
      </c>
      <c r="I934" s="70" t="s">
        <v>181</v>
      </c>
      <c r="J934" s="71">
        <f>IF(OR(I934=0,I934=""),"unrated",VLOOKUP(I934,MappingTables!$B$19:$C$31,2,FALSE))</f>
        <v>3</v>
      </c>
      <c r="K934" s="72">
        <v>12909.56938825353</v>
      </c>
      <c r="L934" s="70">
        <v>0.73873981029914672</v>
      </c>
      <c r="M934" s="71">
        <f>IF(L934&lt;1,1,L934)</f>
        <v>1</v>
      </c>
      <c r="N934" s="70" t="s">
        <v>141</v>
      </c>
      <c r="O934" s="71">
        <f>INDEX(DurClassMapping,MATCH(M934,MappingTables!$D$4:$D$8,-1),1)</f>
        <v>1</v>
      </c>
      <c r="P934" s="73">
        <f>IF(M934=$A$1,1,$M934-INDEX(MappingTables!$E$4:$E$8,MATCH(O934,MappingTables!$B$4:$B$8,0)))</f>
        <v>1</v>
      </c>
      <c r="Q934" s="71">
        <f>IF(B934="",0,INDEX(ModelParameters!$D$6:$K$10,MATCH($O934,ModelParameters!$B$6:$B$10,0),MATCH($J934,ModelParameters!$D$5:$K$5,0)))</f>
        <v>0.025</v>
      </c>
      <c r="R934" s="71">
        <f>IF(B934="",0,INDEX(ModelParameters!$D$13:$K$17,MATCH($O934,ModelParameters!$B$13:$B$17,0),MATCH($J934,ModelParameters!$D$5:$K$5,0)))</f>
        <v>0</v>
      </c>
      <c r="S934" s="160">
        <f>IF(B934="",0,MIN(IF($N934="Other Bond TM",ModelParameters!$N$21,1)*(P934*Q934+R934),1))</f>
        <v>0.025</v>
      </c>
      <c r="T934" s="85">
        <f>IF(B934="",0,$S934*$K934)</f>
        <v>322.73923470633828</v>
      </c>
      <c r="U934" s="85">
        <f>IF(B934="",0,IF(OR(H934=MappingTables!$C$34,H934=MappingTables!$C$35),T934,0))</f>
        <v>0</v>
      </c>
      <c r="V934" s="85">
        <f>IF(ISNA(IF(AND(VLOOKUP(CONCATENATE($D934,$G934),CSRFinput!$B:$E,4,0)=0,OR(H934=MappingTables!$C$34,H934=MappingTables!$C$35)),1,VLOOKUP(CONCATENATE($D934,$G934),CSRFinput!$B:$E,4,0))),0,IF(AND(VLOOKUP(CONCATENATE($D934,$G934),CSRFinput!$B:$E,4,0)=0,OR(H934=MappingTables!$C$34,H934=MappingTables!$C$35)),1,VLOOKUP(CONCATENATE($D934,$G934),CSRFinput!$B:$E,4,0)))</f>
        <v>0.054776304963434752</v>
      </c>
      <c r="W934" s="85">
        <f>IF(B934="",0,+$T934*$V934)</f>
        <v>17.678462743939932</v>
      </c>
      <c r="X934" s="85">
        <f>IF(B934="",0,IF(OR(H934=MappingTables!$C$34,H934=MappingTables!$C$35),W934,0))</f>
        <v>0</v>
      </c>
    </row>
    <row r="935" spans="2:24" s="0" customFormat="0" ht="15">
      <c r="B935" s="69">
        <v>7920661</v>
      </c>
      <c r="C935" s="70" t="s">
        <v>432</v>
      </c>
      <c r="D935" s="70" t="s">
        <v>1</v>
      </c>
      <c r="E935" s="70" t="s">
        <v>1</v>
      </c>
      <c r="F935" s="70"/>
      <c r="G935" s="70" t="s">
        <v>61</v>
      </c>
      <c r="H935" s="70" t="s">
        <v>178</v>
      </c>
      <c r="I935" s="70" t="s">
        <v>181</v>
      </c>
      <c r="J935" s="71">
        <f>IF(OR(I935=0,I935=""),"unrated",VLOOKUP(I935,MappingTables!$B$19:$C$31,2,FALSE))</f>
        <v>3</v>
      </c>
      <c r="K935" s="72">
        <v>13521.925702977786</v>
      </c>
      <c r="L935" s="70">
        <v>13.954325487894072</v>
      </c>
      <c r="M935" s="71">
        <f>IF(L935&lt;1,1,L935)</f>
        <v>13.954325487894072</v>
      </c>
      <c r="N935" s="70" t="s">
        <v>141</v>
      </c>
      <c r="O935" s="71">
        <f>INDEX(DurClassMapping,MATCH(M935,MappingTables!$D$4:$D$8,-1),1)</f>
        <v>3</v>
      </c>
      <c r="P935" s="73">
        <f>IF(M935=$A$1,1,$M935-INDEX(MappingTables!$E$4:$E$8,MATCH(O935,MappingTables!$B$4:$B$8,0)))</f>
        <v>3.9543254878940728</v>
      </c>
      <c r="Q935" s="71">
        <f>IF(B935="",0,INDEX(ModelParameters!$D$6:$K$10,MATCH($O935,ModelParameters!$B$6:$B$10,0),MATCH($J935,ModelParameters!$D$5:$K$5,0)))</f>
        <v>0.01</v>
      </c>
      <c r="R935" s="71">
        <f>IF(B935="",0,INDEX(ModelParameters!$D$13:$K$17,MATCH($O935,ModelParameters!$B$13:$B$17,0),MATCH($J935,ModelParameters!$D$5:$K$5,0)))</f>
        <v>0.2</v>
      </c>
      <c r="S935" s="160">
        <f>IF(B935="",0,MIN(IF($N935="Other Bond TM",ModelParameters!$N$21,1)*(P935*Q935+R935),1))</f>
        <v>0.23954325487894072</v>
      </c>
      <c r="T935" s="85">
        <f>IF(B935="",0,$S935*$K935)</f>
        <v>3239.0860951225076</v>
      </c>
      <c r="U935" s="85">
        <f>IF(B935="",0,IF(OR(H935=MappingTables!$C$34,H935=MappingTables!$C$35),T935,0))</f>
        <v>0</v>
      </c>
      <c r="V935" s="85">
        <f>IF(ISNA(IF(AND(VLOOKUP(CONCATENATE($D935,$G935),CSRFinput!$B:$E,4,0)=0,OR(H935=MappingTables!$C$34,H935=MappingTables!$C$35)),1,VLOOKUP(CONCATENATE($D935,$G935),CSRFinput!$B:$E,4,0))),0,IF(AND(VLOOKUP(CONCATENATE($D935,$G935),CSRFinput!$B:$E,4,0)=0,OR(H935=MappingTables!$C$34,H935=MappingTables!$C$35)),1,VLOOKUP(CONCATENATE($D935,$G935),CSRFinput!$B:$E,4,0)))</f>
        <v>0.054776304963434752</v>
      </c>
      <c r="W935" s="85">
        <f>IF(B935="",0,+$T935*$V935)</f>
        <v>177.4251677492515</v>
      </c>
      <c r="X935" s="85">
        <f>IF(B935="",0,IF(OR(H935=MappingTables!$C$34,H935=MappingTables!$C$35),W935,0))</f>
        <v>0</v>
      </c>
    </row>
    <row r="936" spans="2:24" s="0" customFormat="0" ht="15">
      <c r="B936" s="69">
        <v>22125349</v>
      </c>
      <c r="C936" s="70" t="s">
        <v>1237</v>
      </c>
      <c r="D936" s="70" t="s">
        <v>1</v>
      </c>
      <c r="E936" s="70" t="s">
        <v>1</v>
      </c>
      <c r="F936" s="70"/>
      <c r="G936" s="70" t="s">
        <v>61</v>
      </c>
      <c r="H936" s="70" t="s">
        <v>178</v>
      </c>
      <c r="I936" s="70" t="s">
        <v>179</v>
      </c>
      <c r="J936" s="71">
        <f>IF(OR(I936=0,I936=""),"unrated",VLOOKUP(I936,MappingTables!$B$19:$C$31,2,FALSE))</f>
        <v>4</v>
      </c>
      <c r="K936" s="72">
        <v>243.51370613019292</v>
      </c>
      <c r="L936" s="70">
        <v>3.6134397812428752</v>
      </c>
      <c r="M936" s="71">
        <f>IF(L936&lt;1,1,L936)</f>
        <v>3.6134397812428752</v>
      </c>
      <c r="N936" s="70" t="s">
        <v>141</v>
      </c>
      <c r="O936" s="71">
        <f>INDEX(DurClassMapping,MATCH(M936,MappingTables!$D$4:$D$8,-1),1)</f>
        <v>1</v>
      </c>
      <c r="P936" s="73">
        <f>IF(M936=$A$1,1,$M936-INDEX(MappingTables!$E$4:$E$8,MATCH(O936,MappingTables!$B$4:$B$8,0)))</f>
        <v>3.6134397812428752</v>
      </c>
      <c r="Q936" s="71">
        <f>IF(B936="",0,INDEX(ModelParameters!$D$6:$K$10,MATCH($O936,ModelParameters!$B$6:$B$10,0),MATCH($J936,ModelParameters!$D$5:$K$5,0)))</f>
        <v>0.045</v>
      </c>
      <c r="R936" s="71">
        <f>IF(B936="",0,INDEX(ModelParameters!$D$13:$K$17,MATCH($O936,ModelParameters!$B$13:$B$17,0),MATCH($J936,ModelParameters!$D$5:$K$5,0)))</f>
        <v>0</v>
      </c>
      <c r="S936" s="160">
        <f>IF(B936="",0,MIN(IF($N936="Other Bond TM",ModelParameters!$N$21,1)*(P936*Q936+R936),1))</f>
        <v>0.16260479015592936</v>
      </c>
      <c r="T936" s="85">
        <f>IF(B936="",0,$S936*$K936)</f>
        <v>39.596495085392672</v>
      </c>
      <c r="U936" s="85">
        <f>IF(B936="",0,IF(OR(H936=MappingTables!$C$34,H936=MappingTables!$C$35),T936,0))</f>
        <v>0</v>
      </c>
      <c r="V936" s="85">
        <f>IF(ISNA(IF(AND(VLOOKUP(CONCATENATE($D936,$G936),CSRFinput!$B:$E,4,0)=0,OR(H936=MappingTables!$C$34,H936=MappingTables!$C$35)),1,VLOOKUP(CONCATENATE($D936,$G936),CSRFinput!$B:$E,4,0))),0,IF(AND(VLOOKUP(CONCATENATE($D936,$G936),CSRFinput!$B:$E,4,0)=0,OR(H936=MappingTables!$C$34,H936=MappingTables!$C$35)),1,VLOOKUP(CONCATENATE($D936,$G936),CSRFinput!$B:$E,4,0)))</f>
        <v>0.054776304963434752</v>
      </c>
      <c r="W936" s="85">
        <f>IF(B936="",0,+$T936*$V936)</f>
        <v>2.168949690280614</v>
      </c>
      <c r="X936" s="85">
        <f>IF(B936="",0,IF(OR(H936=MappingTables!$C$34,H936=MappingTables!$C$35),W936,0))</f>
        <v>0</v>
      </c>
    </row>
    <row r="937" spans="2:24" s="0" customFormat="0" ht="15">
      <c r="B937" s="69">
        <v>11082668</v>
      </c>
      <c r="C937" s="70" t="s">
        <v>1238</v>
      </c>
      <c r="D937" s="70" t="s">
        <v>1</v>
      </c>
      <c r="E937" s="70" t="s">
        <v>1</v>
      </c>
      <c r="F937" s="70"/>
      <c r="G937" s="70" t="s">
        <v>61</v>
      </c>
      <c r="H937" s="70" t="s">
        <v>178</v>
      </c>
      <c r="I937" s="70" t="s">
        <v>179</v>
      </c>
      <c r="J937" s="71">
        <f>IF(OR(I937=0,I937=""),"unrated",VLOOKUP(I937,MappingTables!$B$19:$C$31,2,FALSE))</f>
        <v>4</v>
      </c>
      <c r="K937" s="72">
        <v>1501.9045090749324</v>
      </c>
      <c r="L937" s="70">
        <v>0.45011182496555328</v>
      </c>
      <c r="M937" s="71">
        <f>IF(L937&lt;1,1,L937)</f>
        <v>1</v>
      </c>
      <c r="N937" s="70" t="s">
        <v>141</v>
      </c>
      <c r="O937" s="71">
        <f>INDEX(DurClassMapping,MATCH(M937,MappingTables!$D$4:$D$8,-1),1)</f>
        <v>1</v>
      </c>
      <c r="P937" s="73">
        <f>IF(M937=$A$1,1,$M937-INDEX(MappingTables!$E$4:$E$8,MATCH(O937,MappingTables!$B$4:$B$8,0)))</f>
        <v>1</v>
      </c>
      <c r="Q937" s="71">
        <f>IF(B937="",0,INDEX(ModelParameters!$D$6:$K$10,MATCH($O937,ModelParameters!$B$6:$B$10,0),MATCH($J937,ModelParameters!$D$5:$K$5,0)))</f>
        <v>0.045</v>
      </c>
      <c r="R937" s="71">
        <f>IF(B937="",0,INDEX(ModelParameters!$D$13:$K$17,MATCH($O937,ModelParameters!$B$13:$B$17,0),MATCH($J937,ModelParameters!$D$5:$K$5,0)))</f>
        <v>0</v>
      </c>
      <c r="S937" s="160">
        <f>IF(B937="",0,MIN(IF($N937="Other Bond TM",ModelParameters!$N$21,1)*(P937*Q937+R937),1))</f>
        <v>0.045</v>
      </c>
      <c r="T937" s="85">
        <f>IF(B937="",0,$S937*$K937)</f>
        <v>67.58570290837196</v>
      </c>
      <c r="U937" s="85">
        <f>IF(B937="",0,IF(OR(H937=MappingTables!$C$34,H937=MappingTables!$C$35),T937,0))</f>
        <v>0</v>
      </c>
      <c r="V937" s="85">
        <f>IF(ISNA(IF(AND(VLOOKUP(CONCATENATE($D937,$G937),CSRFinput!$B:$E,4,0)=0,OR(H937=MappingTables!$C$34,H937=MappingTables!$C$35)),1,VLOOKUP(CONCATENATE($D937,$G937),CSRFinput!$B:$E,4,0))),0,IF(AND(VLOOKUP(CONCATENATE($D937,$G937),CSRFinput!$B:$E,4,0)=0,OR(H937=MappingTables!$C$34,H937=MappingTables!$C$35)),1,VLOOKUP(CONCATENATE($D937,$G937),CSRFinput!$B:$E,4,0)))</f>
        <v>0.054776304963434752</v>
      </c>
      <c r="W937" s="85">
        <f>IF(B937="",0,+$T937*$V937)</f>
        <v>3.7020950736770816</v>
      </c>
      <c r="X937" s="85">
        <f>IF(B937="",0,IF(OR(H937=MappingTables!$C$34,H937=MappingTables!$C$35),W937,0))</f>
        <v>0</v>
      </c>
    </row>
    <row r="938" spans="2:24" s="0" customFormat="0" ht="15">
      <c r="B938" s="69" t="s">
        <v>1239</v>
      </c>
      <c r="C938" s="70" t="s">
        <v>1240</v>
      </c>
      <c r="D938" s="70" t="s">
        <v>1</v>
      </c>
      <c r="E938" s="70" t="s">
        <v>1</v>
      </c>
      <c r="F938" s="70"/>
      <c r="G938" s="70" t="s">
        <v>61</v>
      </c>
      <c r="H938" s="70" t="s">
        <v>178</v>
      </c>
      <c r="I938" s="70" t="s">
        <v>181</v>
      </c>
      <c r="J938" s="71">
        <f>IF(OR(I938=0,I938=""),"unrated",VLOOKUP(I938,MappingTables!$B$19:$C$31,2,FALSE))</f>
        <v>3</v>
      </c>
      <c r="K938" s="72">
        <v>11004.362926490544</v>
      </c>
      <c r="L938" s="70">
        <v>2.5701662064311116</v>
      </c>
      <c r="M938" s="71">
        <f>IF(L938&lt;1,1,L938)</f>
        <v>2.5701662064311116</v>
      </c>
      <c r="N938" s="70" t="s">
        <v>141</v>
      </c>
      <c r="O938" s="71">
        <f>INDEX(DurClassMapping,MATCH(M938,MappingTables!$D$4:$D$8,-1),1)</f>
        <v>1</v>
      </c>
      <c r="P938" s="73">
        <f>IF(M938=$A$1,1,$M938-INDEX(MappingTables!$E$4:$E$8,MATCH(O938,MappingTables!$B$4:$B$8,0)))</f>
        <v>2.5701662064311116</v>
      </c>
      <c r="Q938" s="71">
        <f>IF(B938="",0,INDEX(ModelParameters!$D$6:$K$10,MATCH($O938,ModelParameters!$B$6:$B$10,0),MATCH($J938,ModelParameters!$D$5:$K$5,0)))</f>
        <v>0.025</v>
      </c>
      <c r="R938" s="71">
        <f>IF(B938="",0,INDEX(ModelParameters!$D$13:$K$17,MATCH($O938,ModelParameters!$B$13:$B$17,0),MATCH($J938,ModelParameters!$D$5:$K$5,0)))</f>
        <v>0</v>
      </c>
      <c r="S938" s="160">
        <f>IF(B938="",0,MIN(IF($N938="Other Bond TM",ModelParameters!$N$21,1)*(P938*Q938+R938),1))</f>
        <v>0.0642541551607778</v>
      </c>
      <c r="T938" s="85">
        <f>IF(B938="",0,$S938*$K938)</f>
        <v>707.07604292423424</v>
      </c>
      <c r="U938" s="85">
        <f>IF(B938="",0,IF(OR(H938=MappingTables!$C$34,H938=MappingTables!$C$35),T938,0))</f>
        <v>0</v>
      </c>
      <c r="V938" s="85">
        <f>IF(ISNA(IF(AND(VLOOKUP(CONCATENATE($D938,$G938),CSRFinput!$B:$E,4,0)=0,OR(H938=MappingTables!$C$34,H938=MappingTables!$C$35)),1,VLOOKUP(CONCATENATE($D938,$G938),CSRFinput!$B:$E,4,0))),0,IF(AND(VLOOKUP(CONCATENATE($D938,$G938),CSRFinput!$B:$E,4,0)=0,OR(H938=MappingTables!$C$34,H938=MappingTables!$C$35)),1,VLOOKUP(CONCATENATE($D938,$G938),CSRFinput!$B:$E,4,0)))</f>
        <v>0.054776304963434752</v>
      </c>
      <c r="W938" s="85">
        <f>IF(B938="",0,+$T938*$V938)</f>
        <v>38.731012959556536</v>
      </c>
      <c r="X938" s="85">
        <f>IF(B938="",0,IF(OR(H938=MappingTables!$C$34,H938=MappingTables!$C$35),W938,0))</f>
        <v>0</v>
      </c>
    </row>
    <row r="939" spans="2:24" s="0" customFormat="0" ht="15">
      <c r="B939" s="69" t="s">
        <v>835</v>
      </c>
      <c r="C939" s="70" t="s">
        <v>836</v>
      </c>
      <c r="D939" s="70" t="s">
        <v>1</v>
      </c>
      <c r="E939" s="70" t="s">
        <v>1</v>
      </c>
      <c r="F939" s="70"/>
      <c r="G939" s="70" t="s">
        <v>61</v>
      </c>
      <c r="H939" s="70" t="s">
        <v>178</v>
      </c>
      <c r="I939" s="70" t="s">
        <v>188</v>
      </c>
      <c r="J939" s="71">
        <f>IF(OR(I939=0,I939=""),"unrated",VLOOKUP(I939,MappingTables!$B$19:$C$31,2,FALSE))</f>
        <v>2</v>
      </c>
      <c r="K939" s="72">
        <v>0.24404096939421228</v>
      </c>
      <c r="L939" s="70">
        <v>2.718285110471684</v>
      </c>
      <c r="M939" s="71">
        <f>IF(L939&lt;1,1,L939)</f>
        <v>2.718285110471684</v>
      </c>
      <c r="N939" s="70" t="s">
        <v>141</v>
      </c>
      <c r="O939" s="71">
        <f>INDEX(DurClassMapping,MATCH(M939,MappingTables!$D$4:$D$8,-1),1)</f>
        <v>1</v>
      </c>
      <c r="P939" s="73">
        <f>IF(M939=$A$1,1,$M939-INDEX(MappingTables!$E$4:$E$8,MATCH(O939,MappingTables!$B$4:$B$8,0)))</f>
        <v>2.718285110471684</v>
      </c>
      <c r="Q939" s="71">
        <f>IF(B939="",0,INDEX(ModelParameters!$D$6:$K$10,MATCH($O939,ModelParameters!$B$6:$B$10,0),MATCH($J939,ModelParameters!$D$5:$K$5,0)))</f>
        <v>0.013999999999999998</v>
      </c>
      <c r="R939" s="71">
        <f>IF(B939="",0,INDEX(ModelParameters!$D$13:$K$17,MATCH($O939,ModelParameters!$B$13:$B$17,0),MATCH($J939,ModelParameters!$D$5:$K$5,0)))</f>
        <v>0</v>
      </c>
      <c r="S939" s="160">
        <f>IF(B939="",0,MIN(IF($N939="Other Bond TM",ModelParameters!$N$21,1)*(P939*Q939+R939),1))</f>
        <v>0.038055991546603576</v>
      </c>
      <c r="T939" s="85">
        <f>IF(B939="",0,$S939*$K939)</f>
        <v>0.0092872210682910848</v>
      </c>
      <c r="U939" s="85">
        <f>IF(B939="",0,IF(OR(H939=MappingTables!$C$34,H939=MappingTables!$C$35),T939,0))</f>
        <v>0</v>
      </c>
      <c r="V939" s="85">
        <f>IF(ISNA(IF(AND(VLOOKUP(CONCATENATE($D939,$G939),CSRFinput!$B:$E,4,0)=0,OR(H939=MappingTables!$C$34,H939=MappingTables!$C$35)),1,VLOOKUP(CONCATENATE($D939,$G939),CSRFinput!$B:$E,4,0))),0,IF(AND(VLOOKUP(CONCATENATE($D939,$G939),CSRFinput!$B:$E,4,0)=0,OR(H939=MappingTables!$C$34,H939=MappingTables!$C$35)),1,VLOOKUP(CONCATENATE($D939,$G939),CSRFinput!$B:$E,4,0)))</f>
        <v>0.054776304963434752</v>
      </c>
      <c r="W939" s="85">
        <f>IF(B939="",0,+$T939*$V939)</f>
        <v>0.0005087196534995488</v>
      </c>
      <c r="X939" s="85">
        <f>IF(B939="",0,IF(OR(H939=MappingTables!$C$34,H939=MappingTables!$C$35),W939,0))</f>
        <v>0</v>
      </c>
    </row>
    <row r="940" spans="2:24" s="0" customFormat="0" ht="15">
      <c r="B940" s="69">
        <v>24696645</v>
      </c>
      <c r="C940" s="70" t="s">
        <v>311</v>
      </c>
      <c r="D940" s="70" t="s">
        <v>1</v>
      </c>
      <c r="E940" s="70" t="s">
        <v>1</v>
      </c>
      <c r="F940" s="70"/>
      <c r="G940" s="70" t="s">
        <v>61</v>
      </c>
      <c r="H940" s="70" t="s">
        <v>178</v>
      </c>
      <c r="I940" s="70" t="s">
        <v>220</v>
      </c>
      <c r="J940" s="71">
        <f>IF(OR(I940=0,I940=""),"unrated",VLOOKUP(I940,MappingTables!$B$19:$C$31,2,FALSE))</f>
        <v>1</v>
      </c>
      <c r="K940" s="72">
        <v>5255.7972552162872</v>
      </c>
      <c r="L940" s="70">
        <v>0.073972355322286384</v>
      </c>
      <c r="M940" s="71">
        <f>IF(L940&lt;1,1,L940)</f>
        <v>1</v>
      </c>
      <c r="N940" s="70" t="s">
        <v>141</v>
      </c>
      <c r="O940" s="71">
        <f>INDEX(DurClassMapping,MATCH(M940,MappingTables!$D$4:$D$8,-1),1)</f>
        <v>1</v>
      </c>
      <c r="P940" s="73">
        <f>IF(M940=$A$1,1,$M940-INDEX(MappingTables!$E$4:$E$8,MATCH(O940,MappingTables!$B$4:$B$8,0)))</f>
        <v>1</v>
      </c>
      <c r="Q940" s="71">
        <f>IF(B940="",0,INDEX(ModelParameters!$D$6:$K$10,MATCH($O940,ModelParameters!$B$6:$B$10,0),MATCH($J940,ModelParameters!$D$5:$K$5,0)))</f>
        <v>0.011000000000000002</v>
      </c>
      <c r="R940" s="71">
        <f>IF(B940="",0,INDEX(ModelParameters!$D$13:$K$17,MATCH($O940,ModelParameters!$B$13:$B$17,0),MATCH($J940,ModelParameters!$D$5:$K$5,0)))</f>
        <v>0</v>
      </c>
      <c r="S940" s="160">
        <f>IF(B940="",0,MIN(IF($N940="Other Bond TM",ModelParameters!$N$21,1)*(P940*Q940+R940),1))</f>
        <v>0.011000000000000002</v>
      </c>
      <c r="T940" s="85">
        <f>IF(B940="",0,$S940*$K940)</f>
        <v>57.813769807379168</v>
      </c>
      <c r="U940" s="85">
        <f>IF(B940="",0,IF(OR(H940=MappingTables!$C$34,H940=MappingTables!$C$35),T940,0))</f>
        <v>0</v>
      </c>
      <c r="V940" s="85">
        <f>IF(ISNA(IF(AND(VLOOKUP(CONCATENATE($D940,$G940),CSRFinput!$B:$E,4,0)=0,OR(H940=MappingTables!$C$34,H940=MappingTables!$C$35)),1,VLOOKUP(CONCATENATE($D940,$G940),CSRFinput!$B:$E,4,0))),0,IF(AND(VLOOKUP(CONCATENATE($D940,$G940),CSRFinput!$B:$E,4,0)=0,OR(H940=MappingTables!$C$34,H940=MappingTables!$C$35)),1,VLOOKUP(CONCATENATE($D940,$G940),CSRFinput!$B:$E,4,0)))</f>
        <v>0.054776304963434752</v>
      </c>
      <c r="W940" s="85">
        <f>IF(B940="",0,+$T940*$V940)</f>
        <v>3.166824686054818</v>
      </c>
      <c r="X940" s="85">
        <f>IF(B940="",0,IF(OR(H940=MappingTables!$C$34,H940=MappingTables!$C$35),W940,0))</f>
        <v>0</v>
      </c>
    </row>
    <row r="941" spans="2:24" s="0" customFormat="0" ht="15">
      <c r="B941" s="69" t="s">
        <v>1241</v>
      </c>
      <c r="C941" s="70" t="s">
        <v>1242</v>
      </c>
      <c r="D941" s="70" t="s">
        <v>1</v>
      </c>
      <c r="E941" s="70" t="s">
        <v>1</v>
      </c>
      <c r="F941" s="70"/>
      <c r="G941" s="70" t="s">
        <v>61</v>
      </c>
      <c r="H941" s="70" t="s">
        <v>178</v>
      </c>
      <c r="I941" s="70" t="s">
        <v>198</v>
      </c>
      <c r="J941" s="71" t="str">
        <f>IF(OR(I941=0,I941=""),"unrated",VLOOKUP(I941,MappingTables!$B$19:$C$31,2,FALSE))</f>
        <v>unrated</v>
      </c>
      <c r="K941" s="72">
        <v>0.21272068065843812</v>
      </c>
      <c r="L941" s="70">
        <v>0.18630055925644968</v>
      </c>
      <c r="M941" s="71">
        <f>IF(L941&lt;1,1,L941)</f>
        <v>1</v>
      </c>
      <c r="N941" s="70" t="s">
        <v>141</v>
      </c>
      <c r="O941" s="71">
        <f>INDEX(DurClassMapping,MATCH(M941,MappingTables!$D$4:$D$8,-1),1)</f>
        <v>1</v>
      </c>
      <c r="P941" s="73">
        <f>IF(M941=$A$1,1,$M941-INDEX(MappingTables!$E$4:$E$8,MATCH(O941,MappingTables!$B$4:$B$8,0)))</f>
        <v>1</v>
      </c>
      <c r="Q941" s="71">
        <f>IF(B941="",0,INDEX(ModelParameters!$D$6:$K$10,MATCH($O941,ModelParameters!$B$6:$B$10,0),MATCH($J941,ModelParameters!$D$5:$K$5,0)))</f>
        <v>0.03</v>
      </c>
      <c r="R941" s="71">
        <f>IF(B941="",0,INDEX(ModelParameters!$D$13:$K$17,MATCH($O941,ModelParameters!$B$13:$B$17,0),MATCH($J941,ModelParameters!$D$5:$K$5,0)))</f>
        <v>0</v>
      </c>
      <c r="S941" s="160">
        <f>IF(B941="",0,MIN(IF($N941="Other Bond TM",ModelParameters!$N$21,1)*(P941*Q941+R941),1))</f>
        <v>0.03</v>
      </c>
      <c r="T941" s="85">
        <f>IF(B941="",0,$S941*$K941)</f>
        <v>0.006381620419753144</v>
      </c>
      <c r="U941" s="85">
        <f>IF(B941="",0,IF(OR(H941=MappingTables!$C$34,H941=MappingTables!$C$35),T941,0))</f>
        <v>0</v>
      </c>
      <c r="V941" s="85">
        <f>IF(ISNA(IF(AND(VLOOKUP(CONCATENATE($D941,$G941),CSRFinput!$B:$E,4,0)=0,OR(H941=MappingTables!$C$34,H941=MappingTables!$C$35)),1,VLOOKUP(CONCATENATE($D941,$G941),CSRFinput!$B:$E,4,0))),0,IF(AND(VLOOKUP(CONCATENATE($D941,$G941),CSRFinput!$B:$E,4,0)=0,OR(H941=MappingTables!$C$34,H941=MappingTables!$C$35)),1,VLOOKUP(CONCATENATE($D941,$G941),CSRFinput!$B:$E,4,0)))</f>
        <v>0.054776304963434752</v>
      </c>
      <c r="W941" s="85">
        <f>IF(B941="",0,+$T941*$V941)</f>
        <v>0.00034956158627328072</v>
      </c>
      <c r="X941" s="85">
        <f>IF(B941="",0,IF(OR(H941=MappingTables!$C$34,H941=MappingTables!$C$35),W941,0))</f>
        <v>0</v>
      </c>
    </row>
    <row r="942" spans="2:24" s="0" customFormat="0" ht="15">
      <c r="B942" s="69" t="s">
        <v>1243</v>
      </c>
      <c r="C942" s="70" t="s">
        <v>1244</v>
      </c>
      <c r="D942" s="70" t="s">
        <v>1</v>
      </c>
      <c r="E942" s="70" t="s">
        <v>1</v>
      </c>
      <c r="F942" s="70"/>
      <c r="G942" s="70" t="s">
        <v>61</v>
      </c>
      <c r="H942" s="70" t="s">
        <v>178</v>
      </c>
      <c r="I942" s="70" t="s">
        <v>513</v>
      </c>
      <c r="J942" s="71">
        <f>IF(OR(I942=0,I942=""),"unrated",VLOOKUP(I942,MappingTables!$B$19:$C$31,2,FALSE))</f>
        <v>6</v>
      </c>
      <c r="K942" s="72">
        <v>143.3395703224917</v>
      </c>
      <c r="L942" s="70">
        <v>0.087670605715798432</v>
      </c>
      <c r="M942" s="71">
        <f>IF(L942&lt;1,1,L942)</f>
        <v>1</v>
      </c>
      <c r="N942" s="70" t="s">
        <v>141</v>
      </c>
      <c r="O942" s="71">
        <f>INDEX(DurClassMapping,MATCH(M942,MappingTables!$D$4:$D$8,-1),1)</f>
        <v>1</v>
      </c>
      <c r="P942" s="73">
        <f>IF(M942=$A$1,1,$M942-INDEX(MappingTables!$E$4:$E$8,MATCH(O942,MappingTables!$B$4:$B$8,0)))</f>
        <v>1</v>
      </c>
      <c r="Q942" s="71">
        <f>IF(B942="",0,INDEX(ModelParameters!$D$6:$K$10,MATCH($O942,ModelParameters!$B$6:$B$10,0),MATCH($J942,ModelParameters!$D$5:$K$5,0)))</f>
        <v>0.075</v>
      </c>
      <c r="R942" s="71">
        <f>IF(B942="",0,INDEX(ModelParameters!$D$13:$K$17,MATCH($O942,ModelParameters!$B$13:$B$17,0),MATCH($J942,ModelParameters!$D$5:$K$5,0)))</f>
        <v>0</v>
      </c>
      <c r="S942" s="160">
        <f>IF(B942="",0,MIN(IF($N942="Other Bond TM",ModelParameters!$N$21,1)*(P942*Q942+R942),1))</f>
        <v>0.075</v>
      </c>
      <c r="T942" s="85">
        <f>IF(B942="",0,$S942*$K942)</f>
        <v>10.750467774186878</v>
      </c>
      <c r="U942" s="85">
        <f>IF(B942="",0,IF(OR(H942=MappingTables!$C$34,H942=MappingTables!$C$35),T942,0))</f>
        <v>0</v>
      </c>
      <c r="V942" s="85">
        <f>IF(ISNA(IF(AND(VLOOKUP(CONCATENATE($D942,$G942),CSRFinput!$B:$E,4,0)=0,OR(H942=MappingTables!$C$34,H942=MappingTables!$C$35)),1,VLOOKUP(CONCATENATE($D942,$G942),CSRFinput!$B:$E,4,0))),0,IF(AND(VLOOKUP(CONCATENATE($D942,$G942),CSRFinput!$B:$E,4,0)=0,OR(H942=MappingTables!$C$34,H942=MappingTables!$C$35)),1,VLOOKUP(CONCATENATE($D942,$G942),CSRFinput!$B:$E,4,0)))</f>
        <v>0.054776304963434752</v>
      </c>
      <c r="W942" s="85">
        <f>IF(B942="",0,+$T942*$V942)</f>
        <v>0.58887090129843808</v>
      </c>
      <c r="X942" s="85">
        <f>IF(B942="",0,IF(OR(H942=MappingTables!$C$34,H942=MappingTables!$C$35),W942,0))</f>
        <v>0</v>
      </c>
    </row>
    <row r="943" spans="2:24" s="0" customFormat="0" ht="15">
      <c r="B943" s="69">
        <v>11812756</v>
      </c>
      <c r="C943" s="70" t="s">
        <v>1245</v>
      </c>
      <c r="D943" s="70" t="s">
        <v>1</v>
      </c>
      <c r="E943" s="70" t="s">
        <v>1</v>
      </c>
      <c r="F943" s="70"/>
      <c r="G943" s="70" t="s">
        <v>61</v>
      </c>
      <c r="H943" s="70" t="s">
        <v>178</v>
      </c>
      <c r="I943" s="70" t="s">
        <v>181</v>
      </c>
      <c r="J943" s="71">
        <f>IF(OR(I943=0,I943=""),"unrated",VLOOKUP(I943,MappingTables!$B$19:$C$31,2,FALSE))</f>
        <v>3</v>
      </c>
      <c r="K943" s="72">
        <v>3318.0141663133112</v>
      </c>
      <c r="L943" s="70">
        <v>0.27671262543604348</v>
      </c>
      <c r="M943" s="71">
        <f>IF(L943&lt;1,1,L943)</f>
        <v>1</v>
      </c>
      <c r="N943" s="70" t="s">
        <v>141</v>
      </c>
      <c r="O943" s="71">
        <f>INDEX(DurClassMapping,MATCH(M943,MappingTables!$D$4:$D$8,-1),1)</f>
        <v>1</v>
      </c>
      <c r="P943" s="73">
        <f>IF(M943=$A$1,1,$M943-INDEX(MappingTables!$E$4:$E$8,MATCH(O943,MappingTables!$B$4:$B$8,0)))</f>
        <v>1</v>
      </c>
      <c r="Q943" s="71">
        <f>IF(B943="",0,INDEX(ModelParameters!$D$6:$K$10,MATCH($O943,ModelParameters!$B$6:$B$10,0),MATCH($J943,ModelParameters!$D$5:$K$5,0)))</f>
        <v>0.025</v>
      </c>
      <c r="R943" s="71">
        <f>IF(B943="",0,INDEX(ModelParameters!$D$13:$K$17,MATCH($O943,ModelParameters!$B$13:$B$17,0),MATCH($J943,ModelParameters!$D$5:$K$5,0)))</f>
        <v>0</v>
      </c>
      <c r="S943" s="160">
        <f>IF(B943="",0,MIN(IF($N943="Other Bond TM",ModelParameters!$N$21,1)*(P943*Q943+R943),1))</f>
        <v>0.025</v>
      </c>
      <c r="T943" s="85">
        <f>IF(B943="",0,$S943*$K943)</f>
        <v>82.950354157832784</v>
      </c>
      <c r="U943" s="85">
        <f>IF(B943="",0,IF(OR(H943=MappingTables!$C$34,H943=MappingTables!$C$35),T943,0))</f>
        <v>0</v>
      </c>
      <c r="V943" s="85">
        <f>IF(ISNA(IF(AND(VLOOKUP(CONCATENATE($D943,$G943),CSRFinput!$B:$E,4,0)=0,OR(H943=MappingTables!$C$34,H943=MappingTables!$C$35)),1,VLOOKUP(CONCATENATE($D943,$G943),CSRFinput!$B:$E,4,0))),0,IF(AND(VLOOKUP(CONCATENATE($D943,$G943),CSRFinput!$B:$E,4,0)=0,OR(H943=MappingTables!$C$34,H943=MappingTables!$C$35)),1,VLOOKUP(CONCATENATE($D943,$G943),CSRFinput!$B:$E,4,0)))</f>
        <v>0.054776304963434752</v>
      </c>
      <c r="W943" s="85">
        <f>IF(B943="",0,+$T943*$V943)</f>
        <v>4.5437138961743672</v>
      </c>
      <c r="X943" s="85">
        <f>IF(B943="",0,IF(OR(H943=MappingTables!$C$34,H943=MappingTables!$C$35),W943,0))</f>
        <v>0</v>
      </c>
    </row>
    <row r="944" spans="2:24" s="0" customFormat="0" ht="15">
      <c r="B944" s="69">
        <v>21761408</v>
      </c>
      <c r="C944" s="70" t="s">
        <v>1246</v>
      </c>
      <c r="D944" s="70" t="s">
        <v>1</v>
      </c>
      <c r="E944" s="70" t="s">
        <v>1</v>
      </c>
      <c r="F944" s="70"/>
      <c r="G944" s="70" t="s">
        <v>61</v>
      </c>
      <c r="H944" s="70" t="s">
        <v>178</v>
      </c>
      <c r="I944" s="70" t="s">
        <v>181</v>
      </c>
      <c r="J944" s="71">
        <f>IF(OR(I944=0,I944=""),"unrated",VLOOKUP(I944,MappingTables!$B$19:$C$31,2,FALSE))</f>
        <v>3</v>
      </c>
      <c r="K944" s="72">
        <v>22450.870632174804</v>
      </c>
      <c r="L944" s="70">
        <v>3.8080785717333808</v>
      </c>
      <c r="M944" s="71">
        <f>IF(L944&lt;1,1,L944)</f>
        <v>3.8080785717333808</v>
      </c>
      <c r="N944" s="70" t="s">
        <v>141</v>
      </c>
      <c r="O944" s="71">
        <f>INDEX(DurClassMapping,MATCH(M944,MappingTables!$D$4:$D$8,-1),1)</f>
        <v>1</v>
      </c>
      <c r="P944" s="73">
        <f>IF(M944=$A$1,1,$M944-INDEX(MappingTables!$E$4:$E$8,MATCH(O944,MappingTables!$B$4:$B$8,0)))</f>
        <v>3.8080785717333808</v>
      </c>
      <c r="Q944" s="71">
        <f>IF(B944="",0,INDEX(ModelParameters!$D$6:$K$10,MATCH($O944,ModelParameters!$B$6:$B$10,0),MATCH($J944,ModelParameters!$D$5:$K$5,0)))</f>
        <v>0.025</v>
      </c>
      <c r="R944" s="71">
        <f>IF(B944="",0,INDEX(ModelParameters!$D$13:$K$17,MATCH($O944,ModelParameters!$B$13:$B$17,0),MATCH($J944,ModelParameters!$D$5:$K$5,0)))</f>
        <v>0</v>
      </c>
      <c r="S944" s="160">
        <f>IF(B944="",0,MIN(IF($N944="Other Bond TM",ModelParameters!$N$21,1)*(P944*Q944+R944),1))</f>
        <v>0.095201964293334544</v>
      </c>
      <c r="T944" s="85">
        <f>IF(B944="",0,$S944*$K944)</f>
        <v>2137.3669842785784</v>
      </c>
      <c r="U944" s="85">
        <f>IF(B944="",0,IF(OR(H944=MappingTables!$C$34,H944=MappingTables!$C$35),T944,0))</f>
        <v>0</v>
      </c>
      <c r="V944" s="85">
        <f>IF(ISNA(IF(AND(VLOOKUP(CONCATENATE($D944,$G944),CSRFinput!$B:$E,4,0)=0,OR(H944=MappingTables!$C$34,H944=MappingTables!$C$35)),1,VLOOKUP(CONCATENATE($D944,$G944),CSRFinput!$B:$E,4,0))),0,IF(AND(VLOOKUP(CONCATENATE($D944,$G944),CSRFinput!$B:$E,4,0)=0,OR(H944=MappingTables!$C$34,H944=MappingTables!$C$35)),1,VLOOKUP(CONCATENATE($D944,$G944),CSRFinput!$B:$E,4,0)))</f>
        <v>0.054776304963434752</v>
      </c>
      <c r="W944" s="85">
        <f>IF(B944="",0,+$T944*$V944)</f>
        <v>117.07706574962028</v>
      </c>
      <c r="X944" s="85">
        <f>IF(B944="",0,IF(OR(H944=MappingTables!$C$34,H944=MappingTables!$C$35),W944,0))</f>
        <v>0</v>
      </c>
    </row>
    <row r="945" spans="2:24" s="0" customFormat="0" ht="15">
      <c r="B945" s="69">
        <v>17388192</v>
      </c>
      <c r="C945" s="70" t="s">
        <v>316</v>
      </c>
      <c r="D945" s="70" t="s">
        <v>1</v>
      </c>
      <c r="E945" s="70" t="s">
        <v>1</v>
      </c>
      <c r="F945" s="70"/>
      <c r="G945" s="70" t="s">
        <v>61</v>
      </c>
      <c r="H945" s="70" t="s">
        <v>178</v>
      </c>
      <c r="I945" s="70" t="s">
        <v>179</v>
      </c>
      <c r="J945" s="71">
        <f>IF(OR(I945=0,I945=""),"unrated",VLOOKUP(I945,MappingTables!$B$19:$C$31,2,FALSE))</f>
        <v>4</v>
      </c>
      <c r="K945" s="72">
        <v>144.31906843964834</v>
      </c>
      <c r="L945" s="70">
        <v>0.56527985067385224</v>
      </c>
      <c r="M945" s="71">
        <f>IF(L945&lt;1,1,L945)</f>
        <v>1</v>
      </c>
      <c r="N945" s="70" t="s">
        <v>141</v>
      </c>
      <c r="O945" s="71">
        <f>INDEX(DurClassMapping,MATCH(M945,MappingTables!$D$4:$D$8,-1),1)</f>
        <v>1</v>
      </c>
      <c r="P945" s="73">
        <f>IF(M945=$A$1,1,$M945-INDEX(MappingTables!$E$4:$E$8,MATCH(O945,MappingTables!$B$4:$B$8,0)))</f>
        <v>1</v>
      </c>
      <c r="Q945" s="71">
        <f>IF(B945="",0,INDEX(ModelParameters!$D$6:$K$10,MATCH($O945,ModelParameters!$B$6:$B$10,0),MATCH($J945,ModelParameters!$D$5:$K$5,0)))</f>
        <v>0.045</v>
      </c>
      <c r="R945" s="71">
        <f>IF(B945="",0,INDEX(ModelParameters!$D$13:$K$17,MATCH($O945,ModelParameters!$B$13:$B$17,0),MATCH($J945,ModelParameters!$D$5:$K$5,0)))</f>
        <v>0</v>
      </c>
      <c r="S945" s="160">
        <f>IF(B945="",0,MIN(IF($N945="Other Bond TM",ModelParameters!$N$21,1)*(P945*Q945+R945),1))</f>
        <v>0.045</v>
      </c>
      <c r="T945" s="85">
        <f>IF(B945="",0,$S945*$K945)</f>
        <v>6.4943580797841752</v>
      </c>
      <c r="U945" s="85">
        <f>IF(B945="",0,IF(OR(H945=MappingTables!$C$34,H945=MappingTables!$C$35),T945,0))</f>
        <v>0</v>
      </c>
      <c r="V945" s="85">
        <f>IF(ISNA(IF(AND(VLOOKUP(CONCATENATE($D945,$G945),CSRFinput!$B:$E,4,0)=0,OR(H945=MappingTables!$C$34,H945=MappingTables!$C$35)),1,VLOOKUP(CONCATENATE($D945,$G945),CSRFinput!$B:$E,4,0))),0,IF(AND(VLOOKUP(CONCATENATE($D945,$G945),CSRFinput!$B:$E,4,0)=0,OR(H945=MappingTables!$C$34,H945=MappingTables!$C$35)),1,VLOOKUP(CONCATENATE($D945,$G945),CSRFinput!$B:$E,4,0)))</f>
        <v>0.054776304963434752</v>
      </c>
      <c r="W945" s="85">
        <f>IF(B945="",0,+$T945*$V945)</f>
        <v>0.35573693872000452</v>
      </c>
      <c r="X945" s="85">
        <f>IF(B945="",0,IF(OR(H945=MappingTables!$C$34,H945=MappingTables!$C$35),W945,0))</f>
        <v>0</v>
      </c>
    </row>
    <row r="946" spans="2:24" s="0" customFormat="0" ht="15">
      <c r="B946" s="69">
        <v>22270574</v>
      </c>
      <c r="C946" s="70" t="s">
        <v>1247</v>
      </c>
      <c r="D946" s="70" t="s">
        <v>1</v>
      </c>
      <c r="E946" s="70" t="s">
        <v>1</v>
      </c>
      <c r="F946" s="70"/>
      <c r="G946" s="70" t="s">
        <v>61</v>
      </c>
      <c r="H946" s="70" t="s">
        <v>178</v>
      </c>
      <c r="I946" s="70" t="s">
        <v>181</v>
      </c>
      <c r="J946" s="71">
        <f>IF(OR(I946=0,I946=""),"unrated",VLOOKUP(I946,MappingTables!$B$19:$C$31,2,FALSE))</f>
        <v>3</v>
      </c>
      <c r="K946" s="72">
        <v>1030.2124172271924</v>
      </c>
      <c r="L946" s="70">
        <v>0.29315139004623864</v>
      </c>
      <c r="M946" s="71">
        <f>IF(L946&lt;1,1,L946)</f>
        <v>1</v>
      </c>
      <c r="N946" s="70" t="s">
        <v>141</v>
      </c>
      <c r="O946" s="71">
        <f>INDEX(DurClassMapping,MATCH(M946,MappingTables!$D$4:$D$8,-1),1)</f>
        <v>1</v>
      </c>
      <c r="P946" s="73">
        <f>IF(M946=$A$1,1,$M946-INDEX(MappingTables!$E$4:$E$8,MATCH(O946,MappingTables!$B$4:$B$8,0)))</f>
        <v>1</v>
      </c>
      <c r="Q946" s="71">
        <f>IF(B946="",0,INDEX(ModelParameters!$D$6:$K$10,MATCH($O946,ModelParameters!$B$6:$B$10,0),MATCH($J946,ModelParameters!$D$5:$K$5,0)))</f>
        <v>0.025</v>
      </c>
      <c r="R946" s="71">
        <f>IF(B946="",0,INDEX(ModelParameters!$D$13:$K$17,MATCH($O946,ModelParameters!$B$13:$B$17,0),MATCH($J946,ModelParameters!$D$5:$K$5,0)))</f>
        <v>0</v>
      </c>
      <c r="S946" s="160">
        <f>IF(B946="",0,MIN(IF($N946="Other Bond TM",ModelParameters!$N$21,1)*(P946*Q946+R946),1))</f>
        <v>0.025</v>
      </c>
      <c r="T946" s="85">
        <f>IF(B946="",0,$S946*$K946)</f>
        <v>25.755310430679812</v>
      </c>
      <c r="U946" s="85">
        <f>IF(B946="",0,IF(OR(H946=MappingTables!$C$34,H946=MappingTables!$C$35),T946,0))</f>
        <v>0</v>
      </c>
      <c r="V946" s="85">
        <f>IF(ISNA(IF(AND(VLOOKUP(CONCATENATE($D946,$G946),CSRFinput!$B:$E,4,0)=0,OR(H946=MappingTables!$C$34,H946=MappingTables!$C$35)),1,VLOOKUP(CONCATENATE($D946,$G946),CSRFinput!$B:$E,4,0))),0,IF(AND(VLOOKUP(CONCATENATE($D946,$G946),CSRFinput!$B:$E,4,0)=0,OR(H946=MappingTables!$C$34,H946=MappingTables!$C$35)),1,VLOOKUP(CONCATENATE($D946,$G946),CSRFinput!$B:$E,4,0)))</f>
        <v>0.054776304963434752</v>
      </c>
      <c r="W946" s="85">
        <f>IF(B946="",0,+$T946*$V946)</f>
        <v>1.4107807385788496</v>
      </c>
      <c r="X946" s="85">
        <f>IF(B946="",0,IF(OR(H946=MappingTables!$C$34,H946=MappingTables!$C$35),W946,0))</f>
        <v>0</v>
      </c>
    </row>
    <row r="947" spans="2:24" s="0" customFormat="0" ht="15">
      <c r="B947" s="69">
        <v>11911959</v>
      </c>
      <c r="C947" s="70" t="s">
        <v>702</v>
      </c>
      <c r="D947" s="70" t="s">
        <v>1</v>
      </c>
      <c r="E947" s="70" t="s">
        <v>1</v>
      </c>
      <c r="F947" s="70"/>
      <c r="G947" s="70" t="s">
        <v>61</v>
      </c>
      <c r="H947" s="70" t="s">
        <v>178</v>
      </c>
      <c r="I947" s="70" t="s">
        <v>188</v>
      </c>
      <c r="J947" s="71">
        <f>IF(OR(I947=0,I947=""),"unrated",VLOOKUP(I947,MappingTables!$B$19:$C$31,2,FALSE))</f>
        <v>2</v>
      </c>
      <c r="K947" s="72">
        <v>129.19735128897838</v>
      </c>
      <c r="L947" s="70">
        <v>0.30602975088276448</v>
      </c>
      <c r="M947" s="71">
        <f>IF(L947&lt;1,1,L947)</f>
        <v>1</v>
      </c>
      <c r="N947" s="70" t="s">
        <v>141</v>
      </c>
      <c r="O947" s="71">
        <f>INDEX(DurClassMapping,MATCH(M947,MappingTables!$D$4:$D$8,-1),1)</f>
        <v>1</v>
      </c>
      <c r="P947" s="73">
        <f>IF(M947=$A$1,1,$M947-INDEX(MappingTables!$E$4:$E$8,MATCH(O947,MappingTables!$B$4:$B$8,0)))</f>
        <v>1</v>
      </c>
      <c r="Q947" s="71">
        <f>IF(B947="",0,INDEX(ModelParameters!$D$6:$K$10,MATCH($O947,ModelParameters!$B$6:$B$10,0),MATCH($J947,ModelParameters!$D$5:$K$5,0)))</f>
        <v>0.013999999999999998</v>
      </c>
      <c r="R947" s="71">
        <f>IF(B947="",0,INDEX(ModelParameters!$D$13:$K$17,MATCH($O947,ModelParameters!$B$13:$B$17,0),MATCH($J947,ModelParameters!$D$5:$K$5,0)))</f>
        <v>0</v>
      </c>
      <c r="S947" s="160">
        <f>IF(B947="",0,MIN(IF($N947="Other Bond TM",ModelParameters!$N$21,1)*(P947*Q947+R947),1))</f>
        <v>0.013999999999999998</v>
      </c>
      <c r="T947" s="85">
        <f>IF(B947="",0,$S947*$K947)</f>
        <v>1.8087629180456972</v>
      </c>
      <c r="U947" s="85">
        <f>IF(B947="",0,IF(OR(H947=MappingTables!$C$34,H947=MappingTables!$C$35),T947,0))</f>
        <v>0</v>
      </c>
      <c r="V947" s="85">
        <f>IF(ISNA(IF(AND(VLOOKUP(CONCATENATE($D947,$G947),CSRFinput!$B:$E,4,0)=0,OR(H947=MappingTables!$C$34,H947=MappingTables!$C$35)),1,VLOOKUP(CONCATENATE($D947,$G947),CSRFinput!$B:$E,4,0))),0,IF(AND(VLOOKUP(CONCATENATE($D947,$G947),CSRFinput!$B:$E,4,0)=0,OR(H947=MappingTables!$C$34,H947=MappingTables!$C$35)),1,VLOOKUP(CONCATENATE($D947,$G947),CSRFinput!$B:$E,4,0)))</f>
        <v>0.054776304963434752</v>
      </c>
      <c r="W947" s="85">
        <f>IF(B947="",0,+$T947*$V947)</f>
        <v>0.099077349205423264</v>
      </c>
      <c r="X947" s="85">
        <f>IF(B947="",0,IF(OR(H947=MappingTables!$C$34,H947=MappingTables!$C$35),W947,0))</f>
        <v>0</v>
      </c>
    </row>
    <row r="948" spans="2:24" s="0" customFormat="0" ht="15">
      <c r="B948" s="69">
        <v>21322748</v>
      </c>
      <c r="C948" s="70" t="s">
        <v>1248</v>
      </c>
      <c r="D948" s="70" t="s">
        <v>1</v>
      </c>
      <c r="E948" s="70" t="s">
        <v>1</v>
      </c>
      <c r="F948" s="70"/>
      <c r="G948" s="70" t="s">
        <v>61</v>
      </c>
      <c r="H948" s="70" t="s">
        <v>178</v>
      </c>
      <c r="I948" s="70" t="s">
        <v>188</v>
      </c>
      <c r="J948" s="71">
        <f>IF(OR(I948=0,I948=""),"unrated",VLOOKUP(I948,MappingTables!$B$19:$C$31,2,FALSE))</f>
        <v>2</v>
      </c>
      <c r="K948" s="72">
        <v>13.372672753700994</v>
      </c>
      <c r="L948" s="70">
        <v>0.8082288151103048</v>
      </c>
      <c r="M948" s="71">
        <f>IF(L948&lt;1,1,L948)</f>
        <v>1</v>
      </c>
      <c r="N948" s="70" t="s">
        <v>141</v>
      </c>
      <c r="O948" s="71">
        <f>INDEX(DurClassMapping,MATCH(M948,MappingTables!$D$4:$D$8,-1),1)</f>
        <v>1</v>
      </c>
      <c r="P948" s="73">
        <f>IF(M948=$A$1,1,$M948-INDEX(MappingTables!$E$4:$E$8,MATCH(O948,MappingTables!$B$4:$B$8,0)))</f>
        <v>1</v>
      </c>
      <c r="Q948" s="71">
        <f>IF(B948="",0,INDEX(ModelParameters!$D$6:$K$10,MATCH($O948,ModelParameters!$B$6:$B$10,0),MATCH($J948,ModelParameters!$D$5:$K$5,0)))</f>
        <v>0.013999999999999998</v>
      </c>
      <c r="R948" s="71">
        <f>IF(B948="",0,INDEX(ModelParameters!$D$13:$K$17,MATCH($O948,ModelParameters!$B$13:$B$17,0),MATCH($J948,ModelParameters!$D$5:$K$5,0)))</f>
        <v>0</v>
      </c>
      <c r="S948" s="160">
        <f>IF(B948="",0,MIN(IF($N948="Other Bond TM",ModelParameters!$N$21,1)*(P948*Q948+R948),1))</f>
        <v>0.013999999999999998</v>
      </c>
      <c r="T948" s="85">
        <f>IF(B948="",0,$S948*$K948)</f>
        <v>0.18721741855181388</v>
      </c>
      <c r="U948" s="85">
        <f>IF(B948="",0,IF(OR(H948=MappingTables!$C$34,H948=MappingTables!$C$35),T948,0))</f>
        <v>0</v>
      </c>
      <c r="V948" s="85">
        <f>IF(ISNA(IF(AND(VLOOKUP(CONCATENATE($D948,$G948),CSRFinput!$B:$E,4,0)=0,OR(H948=MappingTables!$C$34,H948=MappingTables!$C$35)),1,VLOOKUP(CONCATENATE($D948,$G948),CSRFinput!$B:$E,4,0))),0,IF(AND(VLOOKUP(CONCATENATE($D948,$G948),CSRFinput!$B:$E,4,0)=0,OR(H948=MappingTables!$C$34,H948=MappingTables!$C$35)),1,VLOOKUP(CONCATENATE($D948,$G948),CSRFinput!$B:$E,4,0)))</f>
        <v>0.054776304963434752</v>
      </c>
      <c r="W948" s="85">
        <f>IF(B948="",0,+$T948*$V948)</f>
        <v>0.010255078413061166</v>
      </c>
      <c r="X948" s="85">
        <f>IF(B948="",0,IF(OR(H948=MappingTables!$C$34,H948=MappingTables!$C$35),W948,0))</f>
        <v>0</v>
      </c>
    </row>
    <row r="949" spans="2:24" s="0" customFormat="0" ht="15">
      <c r="B949" s="69" t="s">
        <v>1249</v>
      </c>
      <c r="C949" s="70" t="s">
        <v>1250</v>
      </c>
      <c r="D949" s="70" t="s">
        <v>1</v>
      </c>
      <c r="E949" s="70" t="s">
        <v>1</v>
      </c>
      <c r="F949" s="70"/>
      <c r="G949" s="70" t="s">
        <v>61</v>
      </c>
      <c r="H949" s="70" t="s">
        <v>178</v>
      </c>
      <c r="I949" s="70" t="s">
        <v>513</v>
      </c>
      <c r="J949" s="71">
        <f>IF(OR(I949=0,I949=""),"unrated",VLOOKUP(I949,MappingTables!$B$19:$C$31,2,FALSE))</f>
        <v>6</v>
      </c>
      <c r="K949" s="72">
        <v>96.418273521368976</v>
      </c>
      <c r="L949" s="70">
        <v>1.2394999971148444</v>
      </c>
      <c r="M949" s="71">
        <f>IF(L949&lt;1,1,L949)</f>
        <v>1.2394999971148444</v>
      </c>
      <c r="N949" s="70" t="s">
        <v>141</v>
      </c>
      <c r="O949" s="71">
        <f>INDEX(DurClassMapping,MATCH(M949,MappingTables!$D$4:$D$8,-1),1)</f>
        <v>1</v>
      </c>
      <c r="P949" s="73">
        <f>IF(M949=$A$1,1,$M949-INDEX(MappingTables!$E$4:$E$8,MATCH(O949,MappingTables!$B$4:$B$8,0)))</f>
        <v>1.2394999971148444</v>
      </c>
      <c r="Q949" s="71">
        <f>IF(B949="",0,INDEX(ModelParameters!$D$6:$K$10,MATCH($O949,ModelParameters!$B$6:$B$10,0),MATCH($J949,ModelParameters!$D$5:$K$5,0)))</f>
        <v>0.075</v>
      </c>
      <c r="R949" s="71">
        <f>IF(B949="",0,INDEX(ModelParameters!$D$13:$K$17,MATCH($O949,ModelParameters!$B$13:$B$17,0),MATCH($J949,ModelParameters!$D$5:$K$5,0)))</f>
        <v>0</v>
      </c>
      <c r="S949" s="160">
        <f>IF(B949="",0,MIN(IF($N949="Other Bond TM",ModelParameters!$N$21,1)*(P949*Q949+R949),1))</f>
        <v>0.092962499783613328</v>
      </c>
      <c r="T949" s="85">
        <f>IF(B949="",0,$S949*$K949)</f>
        <v>8.9632837313666336</v>
      </c>
      <c r="U949" s="85">
        <f>IF(B949="",0,IF(OR(H949=MappingTables!$C$34,H949=MappingTables!$C$35),T949,0))</f>
        <v>0</v>
      </c>
      <c r="V949" s="85">
        <f>IF(ISNA(IF(AND(VLOOKUP(CONCATENATE($D949,$G949),CSRFinput!$B:$E,4,0)=0,OR(H949=MappingTables!$C$34,H949=MappingTables!$C$35)),1,VLOOKUP(CONCATENATE($D949,$G949),CSRFinput!$B:$E,4,0))),0,IF(AND(VLOOKUP(CONCATENATE($D949,$G949),CSRFinput!$B:$E,4,0)=0,OR(H949=MappingTables!$C$34,H949=MappingTables!$C$35)),1,VLOOKUP(CONCATENATE($D949,$G949),CSRFinput!$B:$E,4,0)))</f>
        <v>0.054776304963434752</v>
      </c>
      <c r="W949" s="85">
        <f>IF(B949="",0,+$T949*$V949)</f>
        <v>0.49097556314313216</v>
      </c>
      <c r="X949" s="85">
        <f>IF(B949="",0,IF(OR(H949=MappingTables!$C$34,H949=MappingTables!$C$35),W949,0))</f>
        <v>0</v>
      </c>
    </row>
    <row r="950" spans="2:24" s="0" customFormat="0" ht="15">
      <c r="B950" s="69">
        <v>18093606</v>
      </c>
      <c r="C950" s="70" t="s">
        <v>433</v>
      </c>
      <c r="D950" s="70" t="s">
        <v>1</v>
      </c>
      <c r="E950" s="70" t="s">
        <v>1</v>
      </c>
      <c r="F950" s="70"/>
      <c r="G950" s="70" t="s">
        <v>61</v>
      </c>
      <c r="H950" s="70" t="s">
        <v>178</v>
      </c>
      <c r="I950" s="70" t="s">
        <v>179</v>
      </c>
      <c r="J950" s="71">
        <f>IF(OR(I950=0,I950=""),"unrated",VLOOKUP(I950,MappingTables!$B$19:$C$31,2,FALSE))</f>
        <v>4</v>
      </c>
      <c r="K950" s="72">
        <v>223.87823742044944</v>
      </c>
      <c r="L950" s="70">
        <v>0.42739738679712432</v>
      </c>
      <c r="M950" s="71">
        <f>IF(L950&lt;1,1,L950)</f>
        <v>1</v>
      </c>
      <c r="N950" s="70" t="s">
        <v>141</v>
      </c>
      <c r="O950" s="71">
        <f>INDEX(DurClassMapping,MATCH(M950,MappingTables!$D$4:$D$8,-1),1)</f>
        <v>1</v>
      </c>
      <c r="P950" s="73">
        <f>IF(M950=$A$1,1,$M950-INDEX(MappingTables!$E$4:$E$8,MATCH(O950,MappingTables!$B$4:$B$8,0)))</f>
        <v>1</v>
      </c>
      <c r="Q950" s="71">
        <f>IF(B950="",0,INDEX(ModelParameters!$D$6:$K$10,MATCH($O950,ModelParameters!$B$6:$B$10,0),MATCH($J950,ModelParameters!$D$5:$K$5,0)))</f>
        <v>0.045</v>
      </c>
      <c r="R950" s="71">
        <f>IF(B950="",0,INDEX(ModelParameters!$D$13:$K$17,MATCH($O950,ModelParameters!$B$13:$B$17,0),MATCH($J950,ModelParameters!$D$5:$K$5,0)))</f>
        <v>0</v>
      </c>
      <c r="S950" s="160">
        <f>IF(B950="",0,MIN(IF($N950="Other Bond TM",ModelParameters!$N$21,1)*(P950*Q950+R950),1))</f>
        <v>0.045</v>
      </c>
      <c r="T950" s="85">
        <f>IF(B950="",0,$S950*$K950)</f>
        <v>10.074520683920226</v>
      </c>
      <c r="U950" s="85">
        <f>IF(B950="",0,IF(OR(H950=MappingTables!$C$34,H950=MappingTables!$C$35),T950,0))</f>
        <v>0</v>
      </c>
      <c r="V950" s="85">
        <f>IF(ISNA(IF(AND(VLOOKUP(CONCATENATE($D950,$G950),CSRFinput!$B:$E,4,0)=0,OR(H950=MappingTables!$C$34,H950=MappingTables!$C$35)),1,VLOOKUP(CONCATENATE($D950,$G950),CSRFinput!$B:$E,4,0))),0,IF(AND(VLOOKUP(CONCATENATE($D950,$G950),CSRFinput!$B:$E,4,0)=0,OR(H950=MappingTables!$C$34,H950=MappingTables!$C$35)),1,VLOOKUP(CONCATENATE($D950,$G950),CSRFinput!$B:$E,4,0)))</f>
        <v>0.054776304963434752</v>
      </c>
      <c r="W950" s="85">
        <f>IF(B950="",0,+$T950*$V950)</f>
        <v>0.55184501734284552</v>
      </c>
      <c r="X950" s="85">
        <f>IF(B950="",0,IF(OR(H950=MappingTables!$C$34,H950=MappingTables!$C$35),W950,0))</f>
        <v>0</v>
      </c>
    </row>
    <row r="951" spans="2:24" s="0" customFormat="0" ht="15">
      <c r="B951" s="69">
        <v>20435362</v>
      </c>
      <c r="C951" s="70" t="s">
        <v>1251</v>
      </c>
      <c r="D951" s="70" t="s">
        <v>1</v>
      </c>
      <c r="E951" s="70" t="s">
        <v>1</v>
      </c>
      <c r="F951" s="70"/>
      <c r="G951" s="70" t="s">
        <v>61</v>
      </c>
      <c r="H951" s="70" t="s">
        <v>178</v>
      </c>
      <c r="I951" s="70" t="s">
        <v>188</v>
      </c>
      <c r="J951" s="71">
        <f>IF(OR(I951=0,I951=""),"unrated",VLOOKUP(I951,MappingTables!$B$19:$C$31,2,FALSE))</f>
        <v>2</v>
      </c>
      <c r="K951" s="72">
        <v>2545.1717480034628</v>
      </c>
      <c r="L951" s="70">
        <v>3.82272518749322</v>
      </c>
      <c r="M951" s="71">
        <f>IF(L951&lt;1,1,L951)</f>
        <v>3.82272518749322</v>
      </c>
      <c r="N951" s="70" t="s">
        <v>141</v>
      </c>
      <c r="O951" s="71">
        <f>INDEX(DurClassMapping,MATCH(M951,MappingTables!$D$4:$D$8,-1),1)</f>
        <v>1</v>
      </c>
      <c r="P951" s="73">
        <f>IF(M951=$A$1,1,$M951-INDEX(MappingTables!$E$4:$E$8,MATCH(O951,MappingTables!$B$4:$B$8,0)))</f>
        <v>3.82272518749322</v>
      </c>
      <c r="Q951" s="71">
        <f>IF(B951="",0,INDEX(ModelParameters!$D$6:$K$10,MATCH($O951,ModelParameters!$B$6:$B$10,0),MATCH($J951,ModelParameters!$D$5:$K$5,0)))</f>
        <v>0.013999999999999998</v>
      </c>
      <c r="R951" s="71">
        <f>IF(B951="",0,INDEX(ModelParameters!$D$13:$K$17,MATCH($O951,ModelParameters!$B$13:$B$17,0),MATCH($J951,ModelParameters!$D$5:$K$5,0)))</f>
        <v>0</v>
      </c>
      <c r="S951" s="160">
        <f>IF(B951="",0,MIN(IF($N951="Other Bond TM",ModelParameters!$N$21,1)*(P951*Q951+R951),1))</f>
        <v>0.05351815262490508</v>
      </c>
      <c r="T951" s="85">
        <f>IF(B951="",0,$S951*$K951)</f>
        <v>136.21289006624576</v>
      </c>
      <c r="U951" s="85">
        <f>IF(B951="",0,IF(OR(H951=MappingTables!$C$34,H951=MappingTables!$C$35),T951,0))</f>
        <v>0</v>
      </c>
      <c r="V951" s="85">
        <f>IF(ISNA(IF(AND(VLOOKUP(CONCATENATE($D951,$G951),CSRFinput!$B:$E,4,0)=0,OR(H951=MappingTables!$C$34,H951=MappingTables!$C$35)),1,VLOOKUP(CONCATENATE($D951,$G951),CSRFinput!$B:$E,4,0))),0,IF(AND(VLOOKUP(CONCATENATE($D951,$G951),CSRFinput!$B:$E,4,0)=0,OR(H951=MappingTables!$C$34,H951=MappingTables!$C$35)),1,VLOOKUP(CONCATENATE($D951,$G951),CSRFinput!$B:$E,4,0)))</f>
        <v>0.054776304963434752</v>
      </c>
      <c r="W951" s="85">
        <f>IF(B951="",0,+$T951*$V951)</f>
        <v>7.4612388062194896</v>
      </c>
      <c r="X951" s="85">
        <f>IF(B951="",0,IF(OR(H951=MappingTables!$C$34,H951=MappingTables!$C$35),W951,0))</f>
        <v>0</v>
      </c>
    </row>
    <row r="952" spans="2:24" s="0" customFormat="0" ht="15">
      <c r="B952" s="69">
        <v>17468382</v>
      </c>
      <c r="C952" s="70" t="s">
        <v>1252</v>
      </c>
      <c r="D952" s="70" t="s">
        <v>1</v>
      </c>
      <c r="E952" s="70" t="s">
        <v>1</v>
      </c>
      <c r="F952" s="70"/>
      <c r="G952" s="70" t="s">
        <v>61</v>
      </c>
      <c r="H952" s="70" t="s">
        <v>178</v>
      </c>
      <c r="I952" s="70" t="s">
        <v>179</v>
      </c>
      <c r="J952" s="71">
        <f>IF(OR(I952=0,I952=""),"unrated",VLOOKUP(I952,MappingTables!$B$19:$C$31,2,FALSE))</f>
        <v>4</v>
      </c>
      <c r="K952" s="72">
        <v>345.91490857606976</v>
      </c>
      <c r="L952" s="70">
        <v>4.24778817735568</v>
      </c>
      <c r="M952" s="71">
        <f>IF(L952&lt;1,1,L952)</f>
        <v>4.24778817735568</v>
      </c>
      <c r="N952" s="70" t="s">
        <v>141</v>
      </c>
      <c r="O952" s="71">
        <f>INDEX(DurClassMapping,MATCH(M952,MappingTables!$D$4:$D$8,-1),1)</f>
        <v>1</v>
      </c>
      <c r="P952" s="73">
        <f>IF(M952=$A$1,1,$M952-INDEX(MappingTables!$E$4:$E$8,MATCH(O952,MappingTables!$B$4:$B$8,0)))</f>
        <v>4.24778817735568</v>
      </c>
      <c r="Q952" s="71">
        <f>IF(B952="",0,INDEX(ModelParameters!$D$6:$K$10,MATCH($O952,ModelParameters!$B$6:$B$10,0),MATCH($J952,ModelParameters!$D$5:$K$5,0)))</f>
        <v>0.045</v>
      </c>
      <c r="R952" s="71">
        <f>IF(B952="",0,INDEX(ModelParameters!$D$13:$K$17,MATCH($O952,ModelParameters!$B$13:$B$17,0),MATCH($J952,ModelParameters!$D$5:$K$5,0)))</f>
        <v>0</v>
      </c>
      <c r="S952" s="160">
        <f>IF(B952="",0,MIN(IF($N952="Other Bond TM",ModelParameters!$N$21,1)*(P952*Q952+R952),1))</f>
        <v>0.1911504679810056</v>
      </c>
      <c r="T952" s="85">
        <f>IF(B952="",0,$S952*$K952)</f>
        <v>66.121796655922512</v>
      </c>
      <c r="U952" s="85">
        <f>IF(B952="",0,IF(OR(H952=MappingTables!$C$34,H952=MappingTables!$C$35),T952,0))</f>
        <v>0</v>
      </c>
      <c r="V952" s="85">
        <f>IF(ISNA(IF(AND(VLOOKUP(CONCATENATE($D952,$G952),CSRFinput!$B:$E,4,0)=0,OR(H952=MappingTables!$C$34,H952=MappingTables!$C$35)),1,VLOOKUP(CONCATENATE($D952,$G952),CSRFinput!$B:$E,4,0))),0,IF(AND(VLOOKUP(CONCATENATE($D952,$G952),CSRFinput!$B:$E,4,0)=0,OR(H952=MappingTables!$C$34,H952=MappingTables!$C$35)),1,VLOOKUP(CONCATENATE($D952,$G952),CSRFinput!$B:$E,4,0)))</f>
        <v>0.054776304963434752</v>
      </c>
      <c r="W952" s="85">
        <f>IF(B952="",0,+$T952*$V952)</f>
        <v>3.621907698355032</v>
      </c>
      <c r="X952" s="85">
        <f>IF(B952="",0,IF(OR(H952=MappingTables!$C$34,H952=MappingTables!$C$35),W952,0))</f>
        <v>0</v>
      </c>
    </row>
    <row r="953" spans="2:24" s="0" customFormat="0" ht="15">
      <c r="B953" s="69">
        <v>20928675</v>
      </c>
      <c r="C953" s="70" t="s">
        <v>1253</v>
      </c>
      <c r="D953" s="70" t="s">
        <v>1</v>
      </c>
      <c r="E953" s="70" t="s">
        <v>1</v>
      </c>
      <c r="F953" s="70"/>
      <c r="G953" s="70" t="s">
        <v>61</v>
      </c>
      <c r="H953" s="70" t="s">
        <v>178</v>
      </c>
      <c r="I953" s="70" t="s">
        <v>179</v>
      </c>
      <c r="J953" s="71">
        <f>IF(OR(I953=0,I953=""),"unrated",VLOOKUP(I953,MappingTables!$B$19:$C$31,2,FALSE))</f>
        <v>4</v>
      </c>
      <c r="K953" s="72">
        <v>255.17934668307108</v>
      </c>
      <c r="L953" s="70">
        <v>0.2109586462575408</v>
      </c>
      <c r="M953" s="71">
        <f>IF(L953&lt;1,1,L953)</f>
        <v>1</v>
      </c>
      <c r="N953" s="70" t="s">
        <v>141</v>
      </c>
      <c r="O953" s="71">
        <f>INDEX(DurClassMapping,MATCH(M953,MappingTables!$D$4:$D$8,-1),1)</f>
        <v>1</v>
      </c>
      <c r="P953" s="73">
        <f>IF(M953=$A$1,1,$M953-INDEX(MappingTables!$E$4:$E$8,MATCH(O953,MappingTables!$B$4:$B$8,0)))</f>
        <v>1</v>
      </c>
      <c r="Q953" s="71">
        <f>IF(B953="",0,INDEX(ModelParameters!$D$6:$K$10,MATCH($O953,ModelParameters!$B$6:$B$10,0),MATCH($J953,ModelParameters!$D$5:$K$5,0)))</f>
        <v>0.045</v>
      </c>
      <c r="R953" s="71">
        <f>IF(B953="",0,INDEX(ModelParameters!$D$13:$K$17,MATCH($O953,ModelParameters!$B$13:$B$17,0),MATCH($J953,ModelParameters!$D$5:$K$5,0)))</f>
        <v>0</v>
      </c>
      <c r="S953" s="160">
        <f>IF(B953="",0,MIN(IF($N953="Other Bond TM",ModelParameters!$N$21,1)*(P953*Q953+R953),1))</f>
        <v>0.045</v>
      </c>
      <c r="T953" s="85">
        <f>IF(B953="",0,$S953*$K953)</f>
        <v>11.483070600738198</v>
      </c>
      <c r="U953" s="85">
        <f>IF(B953="",0,IF(OR(H953=MappingTables!$C$34,H953=MappingTables!$C$35),T953,0))</f>
        <v>0</v>
      </c>
      <c r="V953" s="85">
        <f>IF(ISNA(IF(AND(VLOOKUP(CONCATENATE($D953,$G953),CSRFinput!$B:$E,4,0)=0,OR(H953=MappingTables!$C$34,H953=MappingTables!$C$35)),1,VLOOKUP(CONCATENATE($D953,$G953),CSRFinput!$B:$E,4,0))),0,IF(AND(VLOOKUP(CONCATENATE($D953,$G953),CSRFinput!$B:$E,4,0)=0,OR(H953=MappingTables!$C$34,H953=MappingTables!$C$35)),1,VLOOKUP(CONCATENATE($D953,$G953),CSRFinput!$B:$E,4,0)))</f>
        <v>0.054776304963434752</v>
      </c>
      <c r="W953" s="85">
        <f>IF(B953="",0,+$T953*$V953)</f>
        <v>0.62900017714268752</v>
      </c>
      <c r="X953" s="85">
        <f>IF(B953="",0,IF(OR(H953=MappingTables!$C$34,H953=MappingTables!$C$35),W953,0))</f>
        <v>0</v>
      </c>
    </row>
    <row r="954" spans="2:24" s="0" customFormat="0" ht="15">
      <c r="B954" s="69">
        <v>18126165</v>
      </c>
      <c r="C954" s="70" t="s">
        <v>1254</v>
      </c>
      <c r="D954" s="70" t="s">
        <v>1</v>
      </c>
      <c r="E954" s="70" t="s">
        <v>1</v>
      </c>
      <c r="F954" s="70"/>
      <c r="G954" s="70" t="s">
        <v>61</v>
      </c>
      <c r="H954" s="70" t="s">
        <v>178</v>
      </c>
      <c r="I954" s="70" t="s">
        <v>188</v>
      </c>
      <c r="J954" s="71">
        <f>IF(OR(I954=0,I954=""),"unrated",VLOOKUP(I954,MappingTables!$B$19:$C$31,2,FALSE))</f>
        <v>2</v>
      </c>
      <c r="K954" s="72">
        <v>1881.9270965646604</v>
      </c>
      <c r="L954" s="70">
        <v>0.78829234059277904</v>
      </c>
      <c r="M954" s="71">
        <f>IF(L954&lt;1,1,L954)</f>
        <v>1</v>
      </c>
      <c r="N954" s="70" t="s">
        <v>141</v>
      </c>
      <c r="O954" s="71">
        <f>INDEX(DurClassMapping,MATCH(M954,MappingTables!$D$4:$D$8,-1),1)</f>
        <v>1</v>
      </c>
      <c r="P954" s="73">
        <f>IF(M954=$A$1,1,$M954-INDEX(MappingTables!$E$4:$E$8,MATCH(O954,MappingTables!$B$4:$B$8,0)))</f>
        <v>1</v>
      </c>
      <c r="Q954" s="71">
        <f>IF(B954="",0,INDEX(ModelParameters!$D$6:$K$10,MATCH($O954,ModelParameters!$B$6:$B$10,0),MATCH($J954,ModelParameters!$D$5:$K$5,0)))</f>
        <v>0.013999999999999998</v>
      </c>
      <c r="R954" s="71">
        <f>IF(B954="",0,INDEX(ModelParameters!$D$13:$K$17,MATCH($O954,ModelParameters!$B$13:$B$17,0),MATCH($J954,ModelParameters!$D$5:$K$5,0)))</f>
        <v>0</v>
      </c>
      <c r="S954" s="160">
        <f>IF(B954="",0,MIN(IF($N954="Other Bond TM",ModelParameters!$N$21,1)*(P954*Q954+R954),1))</f>
        <v>0.013999999999999998</v>
      </c>
      <c r="T954" s="85">
        <f>IF(B954="",0,$S954*$K954)</f>
        <v>26.346979351905244</v>
      </c>
      <c r="U954" s="85">
        <f>IF(B954="",0,IF(OR(H954=MappingTables!$C$34,H954=MappingTables!$C$35),T954,0))</f>
        <v>0</v>
      </c>
      <c r="V954" s="85">
        <f>IF(ISNA(IF(AND(VLOOKUP(CONCATENATE($D954,$G954),CSRFinput!$B:$E,4,0)=0,OR(H954=MappingTables!$C$34,H954=MappingTables!$C$35)),1,VLOOKUP(CONCATENATE($D954,$G954),CSRFinput!$B:$E,4,0))),0,IF(AND(VLOOKUP(CONCATENATE($D954,$G954),CSRFinput!$B:$E,4,0)=0,OR(H954=MappingTables!$C$34,H954=MappingTables!$C$35)),1,VLOOKUP(CONCATENATE($D954,$G954),CSRFinput!$B:$E,4,0)))</f>
        <v>0.054776304963434752</v>
      </c>
      <c r="W954" s="85">
        <f>IF(B954="",0,+$T954*$V954)</f>
        <v>1.44319017584528</v>
      </c>
      <c r="X954" s="85">
        <f>IF(B954="",0,IF(OR(H954=MappingTables!$C$34,H954=MappingTables!$C$35),W954,0))</f>
        <v>0</v>
      </c>
    </row>
    <row r="955" spans="2:24" s="0" customFormat="0" ht="15">
      <c r="B955" s="69">
        <v>7333092</v>
      </c>
      <c r="C955" s="70" t="s">
        <v>1255</v>
      </c>
      <c r="D955" s="70" t="s">
        <v>1</v>
      </c>
      <c r="E955" s="70" t="s">
        <v>1</v>
      </c>
      <c r="F955" s="70"/>
      <c r="G955" s="70" t="s">
        <v>61</v>
      </c>
      <c r="H955" s="70" t="s">
        <v>178</v>
      </c>
      <c r="I955" s="70" t="s">
        <v>181</v>
      </c>
      <c r="J955" s="71">
        <f>IF(OR(I955=0,I955=""),"unrated",VLOOKUP(I955,MappingTables!$B$19:$C$31,2,FALSE))</f>
        <v>3</v>
      </c>
      <c r="K955" s="72">
        <v>2549.332573661112</v>
      </c>
      <c r="L955" s="70">
        <v>3.7102883391886824</v>
      </c>
      <c r="M955" s="71">
        <f>IF(L955&lt;1,1,L955)</f>
        <v>3.7102883391886824</v>
      </c>
      <c r="N955" s="70" t="s">
        <v>141</v>
      </c>
      <c r="O955" s="71">
        <f>INDEX(DurClassMapping,MATCH(M955,MappingTables!$D$4:$D$8,-1),1)</f>
        <v>1</v>
      </c>
      <c r="P955" s="73">
        <f>IF(M955=$A$1,1,$M955-INDEX(MappingTables!$E$4:$E$8,MATCH(O955,MappingTables!$B$4:$B$8,0)))</f>
        <v>3.7102883391886824</v>
      </c>
      <c r="Q955" s="71">
        <f>IF(B955="",0,INDEX(ModelParameters!$D$6:$K$10,MATCH($O955,ModelParameters!$B$6:$B$10,0),MATCH($J955,ModelParameters!$D$5:$K$5,0)))</f>
        <v>0.025</v>
      </c>
      <c r="R955" s="71">
        <f>IF(B955="",0,INDEX(ModelParameters!$D$13:$K$17,MATCH($O955,ModelParameters!$B$13:$B$17,0),MATCH($J955,ModelParameters!$D$5:$K$5,0)))</f>
        <v>0</v>
      </c>
      <c r="S955" s="160">
        <f>IF(B955="",0,MIN(IF($N955="Other Bond TM",ModelParameters!$N$21,1)*(P955*Q955+R955),1))</f>
        <v>0.092757208479717072</v>
      </c>
      <c r="T955" s="85">
        <f>IF(B955="",0,$S955*$K955)</f>
        <v>236.4689730192174</v>
      </c>
      <c r="U955" s="85">
        <f>IF(B955="",0,IF(OR(H955=MappingTables!$C$34,H955=MappingTables!$C$35),T955,0))</f>
        <v>0</v>
      </c>
      <c r="V955" s="85">
        <f>IF(ISNA(IF(AND(VLOOKUP(CONCATENATE($D955,$G955),CSRFinput!$B:$E,4,0)=0,OR(H955=MappingTables!$C$34,H955=MappingTables!$C$35)),1,VLOOKUP(CONCATENATE($D955,$G955),CSRFinput!$B:$E,4,0))),0,IF(AND(VLOOKUP(CONCATENATE($D955,$G955),CSRFinput!$B:$E,4,0)=0,OR(H955=MappingTables!$C$34,H955=MappingTables!$C$35)),1,VLOOKUP(CONCATENATE($D955,$G955),CSRFinput!$B:$E,4,0)))</f>
        <v>0.054776304963434752</v>
      </c>
      <c r="W955" s="85">
        <f>IF(B955="",0,+$T955*$V955)</f>
        <v>12.952896580490878</v>
      </c>
      <c r="X955" s="85">
        <f>IF(B955="",0,IF(OR(H955=MappingTables!$C$34,H955=MappingTables!$C$35),W955,0))</f>
        <v>0</v>
      </c>
    </row>
    <row r="956" spans="2:24" s="0" customFormat="0" ht="15">
      <c r="B956" s="69">
        <v>17327708</v>
      </c>
      <c r="C956" s="70" t="s">
        <v>1256</v>
      </c>
      <c r="D956" s="70" t="s">
        <v>1</v>
      </c>
      <c r="E956" s="70" t="s">
        <v>1</v>
      </c>
      <c r="F956" s="70"/>
      <c r="G956" s="70" t="s">
        <v>61</v>
      </c>
      <c r="H956" s="70" t="s">
        <v>178</v>
      </c>
      <c r="I956" s="70" t="s">
        <v>179</v>
      </c>
      <c r="J956" s="71">
        <f>IF(OR(I956=0,I956=""),"unrated",VLOOKUP(I956,MappingTables!$B$19:$C$31,2,FALSE))</f>
        <v>4</v>
      </c>
      <c r="K956" s="72">
        <v>3426.3094662600852</v>
      </c>
      <c r="L956" s="70">
        <v>6.2594568341388032</v>
      </c>
      <c r="M956" s="71">
        <f>IF(L956&lt;1,1,L956)</f>
        <v>6.2594568341388032</v>
      </c>
      <c r="N956" s="70" t="s">
        <v>141</v>
      </c>
      <c r="O956" s="71">
        <f>INDEX(DurClassMapping,MATCH(M956,MappingTables!$D$4:$D$8,-1),1)</f>
        <v>2</v>
      </c>
      <c r="P956" s="73">
        <f>IF(M956=$A$1,1,$M956-INDEX(MappingTables!$E$4:$E$8,MATCH(O956,MappingTables!$B$4:$B$8,0)))</f>
        <v>1.2594568341388034</v>
      </c>
      <c r="Q956" s="71">
        <f>IF(B956="",0,INDEX(ModelParameters!$D$6:$K$10,MATCH($O956,ModelParameters!$B$6:$B$10,0),MATCH($J956,ModelParameters!$D$5:$K$5,0)))</f>
        <v>0.025</v>
      </c>
      <c r="R956" s="71">
        <f>IF(B956="",0,INDEX(ModelParameters!$D$13:$K$17,MATCH($O956,ModelParameters!$B$13:$B$17,0),MATCH($J956,ModelParameters!$D$5:$K$5,0)))</f>
        <v>0.225</v>
      </c>
      <c r="S956" s="160">
        <f>IF(B956="",0,MIN(IF($N956="Other Bond TM",ModelParameters!$N$21,1)*(P956*Q956+R956),1))</f>
        <v>0.25648642085347008</v>
      </c>
      <c r="T956" s="85">
        <f>IF(B956="",0,$S956*$K956)</f>
        <v>878.80185173741264</v>
      </c>
      <c r="U956" s="85">
        <f>IF(B956="",0,IF(OR(H956=MappingTables!$C$34,H956=MappingTables!$C$35),T956,0))</f>
        <v>0</v>
      </c>
      <c r="V956" s="85">
        <f>IF(ISNA(IF(AND(VLOOKUP(CONCATENATE($D956,$G956),CSRFinput!$B:$E,4,0)=0,OR(H956=MappingTables!$C$34,H956=MappingTables!$C$35)),1,VLOOKUP(CONCATENATE($D956,$G956),CSRFinput!$B:$E,4,0))),0,IF(AND(VLOOKUP(CONCATENATE($D956,$G956),CSRFinput!$B:$E,4,0)=0,OR(H956=MappingTables!$C$34,H956=MappingTables!$C$35)),1,VLOOKUP(CONCATENATE($D956,$G956),CSRFinput!$B:$E,4,0)))</f>
        <v>0.054776304963434752</v>
      </c>
      <c r="W956" s="85">
        <f>IF(B956="",0,+$T956*$V956)</f>
        <v>48.137518233199688</v>
      </c>
      <c r="X956" s="85">
        <f>IF(B956="",0,IF(OR(H956=MappingTables!$C$34,H956=MappingTables!$C$35),W956,0))</f>
        <v>0</v>
      </c>
    </row>
    <row r="957" spans="2:24" s="0" customFormat="0" ht="15">
      <c r="B957" s="69" t="s">
        <v>1005</v>
      </c>
      <c r="C957" s="70" t="s">
        <v>1006</v>
      </c>
      <c r="D957" s="70" t="s">
        <v>1</v>
      </c>
      <c r="E957" s="70" t="s">
        <v>1</v>
      </c>
      <c r="F957" s="70"/>
      <c r="G957" s="70" t="s">
        <v>61</v>
      </c>
      <c r="H957" s="70" t="s">
        <v>178</v>
      </c>
      <c r="I957" s="70" t="s">
        <v>179</v>
      </c>
      <c r="J957" s="71">
        <f>IF(OR(I957=0,I957=""),"unrated",VLOOKUP(I957,MappingTables!$B$19:$C$31,2,FALSE))</f>
        <v>4</v>
      </c>
      <c r="K957" s="72">
        <v>271.33007302946284</v>
      </c>
      <c r="L957" s="70">
        <v>4.2635625208044464</v>
      </c>
      <c r="M957" s="71">
        <f>IF(L957&lt;1,1,L957)</f>
        <v>4.2635625208044464</v>
      </c>
      <c r="N957" s="70" t="s">
        <v>141</v>
      </c>
      <c r="O957" s="71">
        <f>INDEX(DurClassMapping,MATCH(M957,MappingTables!$D$4:$D$8,-1),1)</f>
        <v>1</v>
      </c>
      <c r="P957" s="73">
        <f>IF(M957=$A$1,1,$M957-INDEX(MappingTables!$E$4:$E$8,MATCH(O957,MappingTables!$B$4:$B$8,0)))</f>
        <v>4.2635625208044464</v>
      </c>
      <c r="Q957" s="71">
        <f>IF(B957="",0,INDEX(ModelParameters!$D$6:$K$10,MATCH($O957,ModelParameters!$B$6:$B$10,0),MATCH($J957,ModelParameters!$D$5:$K$5,0)))</f>
        <v>0.045</v>
      </c>
      <c r="R957" s="71">
        <f>IF(B957="",0,INDEX(ModelParameters!$D$13:$K$17,MATCH($O957,ModelParameters!$B$13:$B$17,0),MATCH($J957,ModelParameters!$D$5:$K$5,0)))</f>
        <v>0</v>
      </c>
      <c r="S957" s="160">
        <f>IF(B957="",0,MIN(IF($N957="Other Bond TM",ModelParameters!$N$21,1)*(P957*Q957+R957),1))</f>
        <v>0.19186031343620008</v>
      </c>
      <c r="T957" s="85">
        <f>IF(B957="",0,$S957*$K957)</f>
        <v>52.057472856099792</v>
      </c>
      <c r="U957" s="85">
        <f>IF(B957="",0,IF(OR(H957=MappingTables!$C$34,H957=MappingTables!$C$35),T957,0))</f>
        <v>0</v>
      </c>
      <c r="V957" s="85">
        <f>IF(ISNA(IF(AND(VLOOKUP(CONCATENATE($D957,$G957),CSRFinput!$B:$E,4,0)=0,OR(H957=MappingTables!$C$34,H957=MappingTables!$C$35)),1,VLOOKUP(CONCATENATE($D957,$G957),CSRFinput!$B:$E,4,0))),0,IF(AND(VLOOKUP(CONCATENATE($D957,$G957),CSRFinput!$B:$E,4,0)=0,OR(H957=MappingTables!$C$34,H957=MappingTables!$C$35)),1,VLOOKUP(CONCATENATE($D957,$G957),CSRFinput!$B:$E,4,0)))</f>
        <v>0.054776304963434752</v>
      </c>
      <c r="W957" s="85">
        <f>IF(B957="",0,+$T957*$V957)</f>
        <v>2.8515160087914492</v>
      </c>
      <c r="X957" s="85">
        <f>IF(B957="",0,IF(OR(H957=MappingTables!$C$34,H957=MappingTables!$C$35),W957,0))</f>
        <v>0</v>
      </c>
    </row>
    <row r="958" spans="2:24" s="0" customFormat="0" ht="15">
      <c r="B958" s="69">
        <v>9828810</v>
      </c>
      <c r="C958" s="70" t="s">
        <v>434</v>
      </c>
      <c r="D958" s="70" t="s">
        <v>1</v>
      </c>
      <c r="E958" s="70" t="s">
        <v>1</v>
      </c>
      <c r="F958" s="70"/>
      <c r="G958" s="70" t="s">
        <v>61</v>
      </c>
      <c r="H958" s="70" t="s">
        <v>178</v>
      </c>
      <c r="I958" s="70" t="s">
        <v>181</v>
      </c>
      <c r="J958" s="71">
        <f>IF(OR(I958=0,I958=""),"unrated",VLOOKUP(I958,MappingTables!$B$19:$C$31,2,FALSE))</f>
        <v>3</v>
      </c>
      <c r="K958" s="72">
        <v>37873.202838587592</v>
      </c>
      <c r="L958" s="70">
        <v>2.918045146841248</v>
      </c>
      <c r="M958" s="71">
        <f>IF(L958&lt;1,1,L958)</f>
        <v>2.918045146841248</v>
      </c>
      <c r="N958" s="70" t="s">
        <v>141</v>
      </c>
      <c r="O958" s="71">
        <f>INDEX(DurClassMapping,MATCH(M958,MappingTables!$D$4:$D$8,-1),1)</f>
        <v>1</v>
      </c>
      <c r="P958" s="73">
        <f>IF(M958=$A$1,1,$M958-INDEX(MappingTables!$E$4:$E$8,MATCH(O958,MappingTables!$B$4:$B$8,0)))</f>
        <v>2.918045146841248</v>
      </c>
      <c r="Q958" s="71">
        <f>IF(B958="",0,INDEX(ModelParameters!$D$6:$K$10,MATCH($O958,ModelParameters!$B$6:$B$10,0),MATCH($J958,ModelParameters!$D$5:$K$5,0)))</f>
        <v>0.025</v>
      </c>
      <c r="R958" s="71">
        <f>IF(B958="",0,INDEX(ModelParameters!$D$13:$K$17,MATCH($O958,ModelParameters!$B$13:$B$17,0),MATCH($J958,ModelParameters!$D$5:$K$5,0)))</f>
        <v>0</v>
      </c>
      <c r="S958" s="160">
        <f>IF(B958="",0,MIN(IF($N958="Other Bond TM",ModelParameters!$N$21,1)*(P958*Q958+R958),1))</f>
        <v>0.0729511286710312</v>
      </c>
      <c r="T958" s="85">
        <f>IF(B958="",0,$S958*$K958)</f>
        <v>2762.8928934618672</v>
      </c>
      <c r="U958" s="85">
        <f>IF(B958="",0,IF(OR(H958=MappingTables!$C$34,H958=MappingTables!$C$35),T958,0))</f>
        <v>0</v>
      </c>
      <c r="V958" s="85">
        <f>IF(ISNA(IF(AND(VLOOKUP(CONCATENATE($D958,$G958),CSRFinput!$B:$E,4,0)=0,OR(H958=MappingTables!$C$34,H958=MappingTables!$C$35)),1,VLOOKUP(CONCATENATE($D958,$G958),CSRFinput!$B:$E,4,0))),0,IF(AND(VLOOKUP(CONCATENATE($D958,$G958),CSRFinput!$B:$E,4,0)=0,OR(H958=MappingTables!$C$34,H958=MappingTables!$C$35)),1,VLOOKUP(CONCATENATE($D958,$G958),CSRFinput!$B:$E,4,0)))</f>
        <v>0.054776304963434752</v>
      </c>
      <c r="W958" s="85">
        <f>IF(B958="",0,+$T958*$V958)</f>
        <v>151.34106371357388</v>
      </c>
      <c r="X958" s="85">
        <f>IF(B958="",0,IF(OR(H958=MappingTables!$C$34,H958=MappingTables!$C$35),W958,0))</f>
        <v>0</v>
      </c>
    </row>
    <row r="959" spans="2:24" s="0" customFormat="0" ht="15">
      <c r="B959" s="69">
        <v>17394477</v>
      </c>
      <c r="C959" s="70" t="s">
        <v>625</v>
      </c>
      <c r="D959" s="70" t="s">
        <v>1</v>
      </c>
      <c r="E959" s="70" t="s">
        <v>1</v>
      </c>
      <c r="F959" s="70"/>
      <c r="G959" s="70" t="s">
        <v>61</v>
      </c>
      <c r="H959" s="70" t="s">
        <v>178</v>
      </c>
      <c r="I959" s="70" t="s">
        <v>179</v>
      </c>
      <c r="J959" s="71">
        <f>IF(OR(I959=0,I959=""),"unrated",VLOOKUP(I959,MappingTables!$B$19:$C$31,2,FALSE))</f>
        <v>4</v>
      </c>
      <c r="K959" s="72">
        <v>146.77742710936378</v>
      </c>
      <c r="L959" s="70">
        <v>1.0233294089562756</v>
      </c>
      <c r="M959" s="71">
        <f>IF(L959&lt;1,1,L959)</f>
        <v>1.0233294089562756</v>
      </c>
      <c r="N959" s="70" t="s">
        <v>141</v>
      </c>
      <c r="O959" s="71">
        <f>INDEX(DurClassMapping,MATCH(M959,MappingTables!$D$4:$D$8,-1),1)</f>
        <v>1</v>
      </c>
      <c r="P959" s="73">
        <f>IF(M959=$A$1,1,$M959-INDEX(MappingTables!$E$4:$E$8,MATCH(O959,MappingTables!$B$4:$B$8,0)))</f>
        <v>1.0233294089562756</v>
      </c>
      <c r="Q959" s="71">
        <f>IF(B959="",0,INDEX(ModelParameters!$D$6:$K$10,MATCH($O959,ModelParameters!$B$6:$B$10,0),MATCH($J959,ModelParameters!$D$5:$K$5,0)))</f>
        <v>0.045</v>
      </c>
      <c r="R959" s="71">
        <f>IF(B959="",0,INDEX(ModelParameters!$D$13:$K$17,MATCH($O959,ModelParameters!$B$13:$B$17,0),MATCH($J959,ModelParameters!$D$5:$K$5,0)))</f>
        <v>0</v>
      </c>
      <c r="S959" s="160">
        <f>IF(B959="",0,MIN(IF($N959="Other Bond TM",ModelParameters!$N$21,1)*(P959*Q959+R959),1))</f>
        <v>0.0460498234030324</v>
      </c>
      <c r="T959" s="85">
        <f>IF(B959="",0,$S959*$K959)</f>
        <v>6.7590745979376624</v>
      </c>
      <c r="U959" s="85">
        <f>IF(B959="",0,IF(OR(H959=MappingTables!$C$34,H959=MappingTables!$C$35),T959,0))</f>
        <v>0</v>
      </c>
      <c r="V959" s="85">
        <f>IF(ISNA(IF(AND(VLOOKUP(CONCATENATE($D959,$G959),CSRFinput!$B:$E,4,0)=0,OR(H959=MappingTables!$C$34,H959=MappingTables!$C$35)),1,VLOOKUP(CONCATENATE($D959,$G959),CSRFinput!$B:$E,4,0))),0,IF(AND(VLOOKUP(CONCATENATE($D959,$G959),CSRFinput!$B:$E,4,0)=0,OR(H959=MappingTables!$C$34,H959=MappingTables!$C$35)),1,VLOOKUP(CONCATENATE($D959,$G959),CSRFinput!$B:$E,4,0)))</f>
        <v>0.054776304963434752</v>
      </c>
      <c r="W959" s="85">
        <f>IF(B959="",0,+$T959*$V959)</f>
        <v>0.37023713144723856</v>
      </c>
      <c r="X959" s="85">
        <f>IF(B959="",0,IF(OR(H959=MappingTables!$C$34,H959=MappingTables!$C$35),W959,0))</f>
        <v>0</v>
      </c>
    </row>
    <row r="960" spans="2:24" s="0" customFormat="0" ht="15">
      <c r="B960" s="69">
        <v>21282228</v>
      </c>
      <c r="C960" s="70" t="s">
        <v>1257</v>
      </c>
      <c r="D960" s="70" t="s">
        <v>1</v>
      </c>
      <c r="E960" s="70" t="s">
        <v>1</v>
      </c>
      <c r="F960" s="70"/>
      <c r="G960" s="70" t="s">
        <v>61</v>
      </c>
      <c r="H960" s="70" t="s">
        <v>178</v>
      </c>
      <c r="I960" s="70" t="s">
        <v>179</v>
      </c>
      <c r="J960" s="71">
        <f>IF(OR(I960=0,I960=""),"unrated",VLOOKUP(I960,MappingTables!$B$19:$C$31,2,FALSE))</f>
        <v>4</v>
      </c>
      <c r="K960" s="72">
        <v>576.61985604613168</v>
      </c>
      <c r="L960" s="70">
        <v>1.7243879054522466</v>
      </c>
      <c r="M960" s="71">
        <f>IF(L960&lt;1,1,L960)</f>
        <v>1.7243879054522466</v>
      </c>
      <c r="N960" s="70" t="s">
        <v>141</v>
      </c>
      <c r="O960" s="71">
        <f>INDEX(DurClassMapping,MATCH(M960,MappingTables!$D$4:$D$8,-1),1)</f>
        <v>1</v>
      </c>
      <c r="P960" s="73">
        <f>IF(M960=$A$1,1,$M960-INDEX(MappingTables!$E$4:$E$8,MATCH(O960,MappingTables!$B$4:$B$8,0)))</f>
        <v>1.7243879054522466</v>
      </c>
      <c r="Q960" s="71">
        <f>IF(B960="",0,INDEX(ModelParameters!$D$6:$K$10,MATCH($O960,ModelParameters!$B$6:$B$10,0),MATCH($J960,ModelParameters!$D$5:$K$5,0)))</f>
        <v>0.045</v>
      </c>
      <c r="R960" s="71">
        <f>IF(B960="",0,INDEX(ModelParameters!$D$13:$K$17,MATCH($O960,ModelParameters!$B$13:$B$17,0),MATCH($J960,ModelParameters!$D$5:$K$5,0)))</f>
        <v>0</v>
      </c>
      <c r="S960" s="160">
        <f>IF(B960="",0,MIN(IF($N960="Other Bond TM",ModelParameters!$N$21,1)*(P960*Q960+R960),1))</f>
        <v>0.077597455745351104</v>
      </c>
      <c r="T960" s="85">
        <f>IF(B960="",0,$S960*$K960)</f>
        <v>44.744233761430424</v>
      </c>
      <c r="U960" s="85">
        <f>IF(B960="",0,IF(OR(H960=MappingTables!$C$34,H960=MappingTables!$C$35),T960,0))</f>
        <v>0</v>
      </c>
      <c r="V960" s="85">
        <f>IF(ISNA(IF(AND(VLOOKUP(CONCATENATE($D960,$G960),CSRFinput!$B:$E,4,0)=0,OR(H960=MappingTables!$C$34,H960=MappingTables!$C$35)),1,VLOOKUP(CONCATENATE($D960,$G960),CSRFinput!$B:$E,4,0))),0,IF(AND(VLOOKUP(CONCATENATE($D960,$G960),CSRFinput!$B:$E,4,0)=0,OR(H960=MappingTables!$C$34,H960=MappingTables!$C$35)),1,VLOOKUP(CONCATENATE($D960,$G960),CSRFinput!$B:$E,4,0)))</f>
        <v>0.054776304963434752</v>
      </c>
      <c r="W960" s="85">
        <f>IF(B960="",0,+$T960*$V960)</f>
        <v>2.450923793871326</v>
      </c>
      <c r="X960" s="85">
        <f>IF(B960="",0,IF(OR(H960=MappingTables!$C$34,H960=MappingTables!$C$35),W960,0))</f>
        <v>0</v>
      </c>
    </row>
    <row r="961" spans="2:24" s="0" customFormat="0" ht="15">
      <c r="B961" s="69" t="s">
        <v>1258</v>
      </c>
      <c r="C961" s="70" t="s">
        <v>1259</v>
      </c>
      <c r="D961" s="70" t="s">
        <v>1</v>
      </c>
      <c r="E961" s="70" t="s">
        <v>1</v>
      </c>
      <c r="F961" s="70"/>
      <c r="G961" s="70" t="s">
        <v>61</v>
      </c>
      <c r="H961" s="70" t="s">
        <v>178</v>
      </c>
      <c r="I961" s="70" t="s">
        <v>188</v>
      </c>
      <c r="J961" s="71">
        <f>IF(OR(I961=0,I961=""),"unrated",VLOOKUP(I961,MappingTables!$B$19:$C$31,2,FALSE))</f>
        <v>2</v>
      </c>
      <c r="K961" s="72">
        <v>110.77762415349824</v>
      </c>
      <c r="L961" s="70">
        <v>0.94203212880049552</v>
      </c>
      <c r="M961" s="71">
        <f>IF(L961&lt;1,1,L961)</f>
        <v>1</v>
      </c>
      <c r="N961" s="70" t="s">
        <v>141</v>
      </c>
      <c r="O961" s="71">
        <f>INDEX(DurClassMapping,MATCH(M961,MappingTables!$D$4:$D$8,-1),1)</f>
        <v>1</v>
      </c>
      <c r="P961" s="73">
        <f>IF(M961=$A$1,1,$M961-INDEX(MappingTables!$E$4:$E$8,MATCH(O961,MappingTables!$B$4:$B$8,0)))</f>
        <v>1</v>
      </c>
      <c r="Q961" s="71">
        <f>IF(B961="",0,INDEX(ModelParameters!$D$6:$K$10,MATCH($O961,ModelParameters!$B$6:$B$10,0),MATCH($J961,ModelParameters!$D$5:$K$5,0)))</f>
        <v>0.013999999999999998</v>
      </c>
      <c r="R961" s="71">
        <f>IF(B961="",0,INDEX(ModelParameters!$D$13:$K$17,MATCH($O961,ModelParameters!$B$13:$B$17,0),MATCH($J961,ModelParameters!$D$5:$K$5,0)))</f>
        <v>0</v>
      </c>
      <c r="S961" s="160">
        <f>IF(B961="",0,MIN(IF($N961="Other Bond TM",ModelParameters!$N$21,1)*(P961*Q961+R961),1))</f>
        <v>0.013999999999999998</v>
      </c>
      <c r="T961" s="85">
        <f>IF(B961="",0,$S961*$K961)</f>
        <v>1.5508867381489752</v>
      </c>
      <c r="U961" s="85">
        <f>IF(B961="",0,IF(OR(H961=MappingTables!$C$34,H961=MappingTables!$C$35),T961,0))</f>
        <v>0</v>
      </c>
      <c r="V961" s="85">
        <f>IF(ISNA(IF(AND(VLOOKUP(CONCATENATE($D961,$G961),CSRFinput!$B:$E,4,0)=0,OR(H961=MappingTables!$C$34,H961=MappingTables!$C$35)),1,VLOOKUP(CONCATENATE($D961,$G961),CSRFinput!$B:$E,4,0))),0,IF(AND(VLOOKUP(CONCATENATE($D961,$G961),CSRFinput!$B:$E,4,0)=0,OR(H961=MappingTables!$C$34,H961=MappingTables!$C$35)),1,VLOOKUP(CONCATENATE($D961,$G961),CSRFinput!$B:$E,4,0)))</f>
        <v>0.054776304963434752</v>
      </c>
      <c r="W961" s="85">
        <f>IF(B961="",0,+$T961*$V961)</f>
        <v>0.084951844932594848</v>
      </c>
      <c r="X961" s="85">
        <f>IF(B961="",0,IF(OR(H961=MappingTables!$C$34,H961=MappingTables!$C$35),W961,0))</f>
        <v>0</v>
      </c>
    </row>
    <row r="962" spans="2:24" s="0" customFormat="0" ht="15">
      <c r="B962" s="69">
        <v>8779478</v>
      </c>
      <c r="C962" s="70" t="s">
        <v>977</v>
      </c>
      <c r="D962" s="70" t="s">
        <v>1</v>
      </c>
      <c r="E962" s="70" t="s">
        <v>1</v>
      </c>
      <c r="F962" s="70"/>
      <c r="G962" s="70" t="s">
        <v>61</v>
      </c>
      <c r="H962" s="70" t="s">
        <v>178</v>
      </c>
      <c r="I962" s="70" t="s">
        <v>181</v>
      </c>
      <c r="J962" s="71">
        <f>IF(OR(I962=0,I962=""),"unrated",VLOOKUP(I962,MappingTables!$B$19:$C$31,2,FALSE))</f>
        <v>3</v>
      </c>
      <c r="K962" s="72">
        <v>1305.5361051585692</v>
      </c>
      <c r="L962" s="70">
        <v>0.62179437461272824</v>
      </c>
      <c r="M962" s="71">
        <f>IF(L962&lt;1,1,L962)</f>
        <v>1</v>
      </c>
      <c r="N962" s="70" t="s">
        <v>141</v>
      </c>
      <c r="O962" s="71">
        <f>INDEX(DurClassMapping,MATCH(M962,MappingTables!$D$4:$D$8,-1),1)</f>
        <v>1</v>
      </c>
      <c r="P962" s="73">
        <f>IF(M962=$A$1,1,$M962-INDEX(MappingTables!$E$4:$E$8,MATCH(O962,MappingTables!$B$4:$B$8,0)))</f>
        <v>1</v>
      </c>
      <c r="Q962" s="71">
        <f>IF(B962="",0,INDEX(ModelParameters!$D$6:$K$10,MATCH($O962,ModelParameters!$B$6:$B$10,0),MATCH($J962,ModelParameters!$D$5:$K$5,0)))</f>
        <v>0.025</v>
      </c>
      <c r="R962" s="71">
        <f>IF(B962="",0,INDEX(ModelParameters!$D$13:$K$17,MATCH($O962,ModelParameters!$B$13:$B$17,0),MATCH($J962,ModelParameters!$D$5:$K$5,0)))</f>
        <v>0</v>
      </c>
      <c r="S962" s="160">
        <f>IF(B962="",0,MIN(IF($N962="Other Bond TM",ModelParameters!$N$21,1)*(P962*Q962+R962),1))</f>
        <v>0.025</v>
      </c>
      <c r="T962" s="85">
        <f>IF(B962="",0,$S962*$K962)</f>
        <v>32.638402628964228</v>
      </c>
      <c r="U962" s="85">
        <f>IF(B962="",0,IF(OR(H962=MappingTables!$C$34,H962=MappingTables!$C$35),T962,0))</f>
        <v>0</v>
      </c>
      <c r="V962" s="85">
        <f>IF(ISNA(IF(AND(VLOOKUP(CONCATENATE($D962,$G962),CSRFinput!$B:$E,4,0)=0,OR(H962=MappingTables!$C$34,H962=MappingTables!$C$35)),1,VLOOKUP(CONCATENATE($D962,$G962),CSRFinput!$B:$E,4,0))),0,IF(AND(VLOOKUP(CONCATENATE($D962,$G962),CSRFinput!$B:$E,4,0)=0,OR(H962=MappingTables!$C$34,H962=MappingTables!$C$35)),1,VLOOKUP(CONCATENATE($D962,$G962),CSRFinput!$B:$E,4,0)))</f>
        <v>0.054776304963434752</v>
      </c>
      <c r="W962" s="85">
        <f>IF(B962="",0,+$T962*$V962)</f>
        <v>1.7878110959235152</v>
      </c>
      <c r="X962" s="85">
        <f>IF(B962="",0,IF(OR(H962=MappingTables!$C$34,H962=MappingTables!$C$35),W962,0))</f>
        <v>0</v>
      </c>
    </row>
    <row r="963" spans="2:24" s="0" customFormat="0" ht="15">
      <c r="B963" s="69">
        <v>18055745</v>
      </c>
      <c r="C963" s="70" t="s">
        <v>349</v>
      </c>
      <c r="D963" s="70" t="s">
        <v>1</v>
      </c>
      <c r="E963" s="70" t="s">
        <v>1</v>
      </c>
      <c r="F963" s="70"/>
      <c r="G963" s="70" t="s">
        <v>61</v>
      </c>
      <c r="H963" s="70" t="s">
        <v>178</v>
      </c>
      <c r="I963" s="70" t="s">
        <v>179</v>
      </c>
      <c r="J963" s="71">
        <f>IF(OR(I963=0,I963=""),"unrated",VLOOKUP(I963,MappingTables!$B$19:$C$31,2,FALSE))</f>
        <v>4</v>
      </c>
      <c r="K963" s="72">
        <v>111.76823870819554</v>
      </c>
      <c r="L963" s="70">
        <v>0.81342786357794096</v>
      </c>
      <c r="M963" s="71">
        <f>IF(L963&lt;1,1,L963)</f>
        <v>1</v>
      </c>
      <c r="N963" s="70" t="s">
        <v>141</v>
      </c>
      <c r="O963" s="71">
        <f>INDEX(DurClassMapping,MATCH(M963,MappingTables!$D$4:$D$8,-1),1)</f>
        <v>1</v>
      </c>
      <c r="P963" s="73">
        <f>IF(M963=$A$1,1,$M963-INDEX(MappingTables!$E$4:$E$8,MATCH(O963,MappingTables!$B$4:$B$8,0)))</f>
        <v>1</v>
      </c>
      <c r="Q963" s="71">
        <f>IF(B963="",0,INDEX(ModelParameters!$D$6:$K$10,MATCH($O963,ModelParameters!$B$6:$B$10,0),MATCH($J963,ModelParameters!$D$5:$K$5,0)))</f>
        <v>0.045</v>
      </c>
      <c r="R963" s="71">
        <f>IF(B963="",0,INDEX(ModelParameters!$D$13:$K$17,MATCH($O963,ModelParameters!$B$13:$B$17,0),MATCH($J963,ModelParameters!$D$5:$K$5,0)))</f>
        <v>0</v>
      </c>
      <c r="S963" s="160">
        <f>IF(B963="",0,MIN(IF($N963="Other Bond TM",ModelParameters!$N$21,1)*(P963*Q963+R963),1))</f>
        <v>0.045</v>
      </c>
      <c r="T963" s="85">
        <f>IF(B963="",0,$S963*$K963)</f>
        <v>5.0295707418687992</v>
      </c>
      <c r="U963" s="85">
        <f>IF(B963="",0,IF(OR(H963=MappingTables!$C$34,H963=MappingTables!$C$35),T963,0))</f>
        <v>0</v>
      </c>
      <c r="V963" s="85">
        <f>IF(ISNA(IF(AND(VLOOKUP(CONCATENATE($D963,$G963),CSRFinput!$B:$E,4,0)=0,OR(H963=MappingTables!$C$34,H963=MappingTables!$C$35)),1,VLOOKUP(CONCATENATE($D963,$G963),CSRFinput!$B:$E,4,0))),0,IF(AND(VLOOKUP(CONCATENATE($D963,$G963),CSRFinput!$B:$E,4,0)=0,OR(H963=MappingTables!$C$34,H963=MappingTables!$C$35)),1,VLOOKUP(CONCATENATE($D963,$G963),CSRFinput!$B:$E,4,0)))</f>
        <v>0.054776304963434752</v>
      </c>
      <c r="W963" s="85">
        <f>IF(B963="",0,+$T963*$V963)</f>
        <v>0.27550130079177408</v>
      </c>
      <c r="X963" s="85">
        <f>IF(B963="",0,IF(OR(H963=MappingTables!$C$34,H963=MappingTables!$C$35),W963,0))</f>
        <v>0</v>
      </c>
    </row>
    <row r="964" spans="2:24" s="0" customFormat="0" ht="15">
      <c r="B964" s="69">
        <v>23893620</v>
      </c>
      <c r="C964" s="70" t="s">
        <v>1260</v>
      </c>
      <c r="D964" s="70" t="s">
        <v>1</v>
      </c>
      <c r="E964" s="70" t="s">
        <v>1</v>
      </c>
      <c r="F964" s="70"/>
      <c r="G964" s="70" t="s">
        <v>61</v>
      </c>
      <c r="H964" s="70" t="s">
        <v>178</v>
      </c>
      <c r="I964" s="70" t="s">
        <v>188</v>
      </c>
      <c r="J964" s="71">
        <f>IF(OR(I964=0,I964=""),"unrated",VLOOKUP(I964,MappingTables!$B$19:$C$31,2,FALSE))</f>
        <v>2</v>
      </c>
      <c r="K964" s="72">
        <v>1269.349834325445</v>
      </c>
      <c r="L964" s="70">
        <v>1.5020086591640684</v>
      </c>
      <c r="M964" s="71">
        <f>IF(L964&lt;1,1,L964)</f>
        <v>1.5020086591640684</v>
      </c>
      <c r="N964" s="70" t="s">
        <v>141</v>
      </c>
      <c r="O964" s="71">
        <f>INDEX(DurClassMapping,MATCH(M964,MappingTables!$D$4:$D$8,-1),1)</f>
        <v>1</v>
      </c>
      <c r="P964" s="73">
        <f>IF(M964=$A$1,1,$M964-INDEX(MappingTables!$E$4:$E$8,MATCH(O964,MappingTables!$B$4:$B$8,0)))</f>
        <v>1.5020086591640684</v>
      </c>
      <c r="Q964" s="71">
        <f>IF(B964="",0,INDEX(ModelParameters!$D$6:$K$10,MATCH($O964,ModelParameters!$B$6:$B$10,0),MATCH($J964,ModelParameters!$D$5:$K$5,0)))</f>
        <v>0.013999999999999998</v>
      </c>
      <c r="R964" s="71">
        <f>IF(B964="",0,INDEX(ModelParameters!$D$13:$K$17,MATCH($O964,ModelParameters!$B$13:$B$17,0),MATCH($J964,ModelParameters!$D$5:$K$5,0)))</f>
        <v>0</v>
      </c>
      <c r="S964" s="160">
        <f>IF(B964="",0,MIN(IF($N964="Other Bond TM",ModelParameters!$N$21,1)*(P964*Q964+R964),1))</f>
        <v>0.021028121228296956</v>
      </c>
      <c r="T964" s="85">
        <f>IF(B964="",0,$S964*$K964)</f>
        <v>26.692042197314112</v>
      </c>
      <c r="U964" s="85">
        <f>IF(B964="",0,IF(OR(H964=MappingTables!$C$34,H964=MappingTables!$C$35),T964,0))</f>
        <v>0</v>
      </c>
      <c r="V964" s="85">
        <f>IF(ISNA(IF(AND(VLOOKUP(CONCATENATE($D964,$G964),CSRFinput!$B:$E,4,0)=0,OR(H964=MappingTables!$C$34,H964=MappingTables!$C$35)),1,VLOOKUP(CONCATENATE($D964,$G964),CSRFinput!$B:$E,4,0))),0,IF(AND(VLOOKUP(CONCATENATE($D964,$G964),CSRFinput!$B:$E,4,0)=0,OR(H964=MappingTables!$C$34,H964=MappingTables!$C$35)),1,VLOOKUP(CONCATENATE($D964,$G964),CSRFinput!$B:$E,4,0)))</f>
        <v>0.054776304963434752</v>
      </c>
      <c r="W964" s="85">
        <f>IF(B964="",0,+$T964*$V964)</f>
        <v>1.462091443496947</v>
      </c>
      <c r="X964" s="85">
        <f>IF(B964="",0,IF(OR(H964=MappingTables!$C$34,H964=MappingTables!$C$35),W964,0))</f>
        <v>0</v>
      </c>
    </row>
    <row r="965" spans="2:24" s="0" customFormat="0" ht="15">
      <c r="B965" s="69" t="s">
        <v>1261</v>
      </c>
      <c r="C965" s="70" t="s">
        <v>1262</v>
      </c>
      <c r="D965" s="70" t="s">
        <v>1</v>
      </c>
      <c r="E965" s="70" t="s">
        <v>1</v>
      </c>
      <c r="F965" s="70"/>
      <c r="G965" s="70" t="s">
        <v>61</v>
      </c>
      <c r="H965" s="70" t="s">
        <v>178</v>
      </c>
      <c r="I965" s="70" t="s">
        <v>181</v>
      </c>
      <c r="J965" s="71">
        <f>IF(OR(I965=0,I965=""),"unrated",VLOOKUP(I965,MappingTables!$B$19:$C$31,2,FALSE))</f>
        <v>3</v>
      </c>
      <c r="K965" s="72">
        <v>2.215554825628662</v>
      </c>
      <c r="L965" s="70">
        <v>2.190534971953456</v>
      </c>
      <c r="M965" s="71">
        <f>IF(L965&lt;1,1,L965)</f>
        <v>2.190534971953456</v>
      </c>
      <c r="N965" s="70" t="s">
        <v>141</v>
      </c>
      <c r="O965" s="71">
        <f>INDEX(DurClassMapping,MATCH(M965,MappingTables!$D$4:$D$8,-1),1)</f>
        <v>1</v>
      </c>
      <c r="P965" s="73">
        <f>IF(M965=$A$1,1,$M965-INDEX(MappingTables!$E$4:$E$8,MATCH(O965,MappingTables!$B$4:$B$8,0)))</f>
        <v>2.190534971953456</v>
      </c>
      <c r="Q965" s="71">
        <f>IF(B965="",0,INDEX(ModelParameters!$D$6:$K$10,MATCH($O965,ModelParameters!$B$6:$B$10,0),MATCH($J965,ModelParameters!$D$5:$K$5,0)))</f>
        <v>0.025</v>
      </c>
      <c r="R965" s="71">
        <f>IF(B965="",0,INDEX(ModelParameters!$D$13:$K$17,MATCH($O965,ModelParameters!$B$13:$B$17,0),MATCH($J965,ModelParameters!$D$5:$K$5,0)))</f>
        <v>0</v>
      </c>
      <c r="S965" s="160">
        <f>IF(B965="",0,MIN(IF($N965="Other Bond TM",ModelParameters!$N$21,1)*(P965*Q965+R965),1))</f>
        <v>0.0547633742988364</v>
      </c>
      <c r="T965" s="85">
        <f>IF(B965="",0,$S965*$K965)</f>
        <v>0.12133125819549564</v>
      </c>
      <c r="U965" s="85">
        <f>IF(B965="",0,IF(OR(H965=MappingTables!$C$34,H965=MappingTables!$C$35),T965,0))</f>
        <v>0</v>
      </c>
      <c r="V965" s="85">
        <f>IF(ISNA(IF(AND(VLOOKUP(CONCATENATE($D965,$G965),CSRFinput!$B:$E,4,0)=0,OR(H965=MappingTables!$C$34,H965=MappingTables!$C$35)),1,VLOOKUP(CONCATENATE($D965,$G965),CSRFinput!$B:$E,4,0))),0,IF(AND(VLOOKUP(CONCATENATE($D965,$G965),CSRFinput!$B:$E,4,0)=0,OR(H965=MappingTables!$C$34,H965=MappingTables!$C$35)),1,VLOOKUP(CONCATENATE($D965,$G965),CSRFinput!$B:$E,4,0)))</f>
        <v>0.054776304963434752</v>
      </c>
      <c r="W965" s="85">
        <f>IF(B965="",0,+$T965*$V965)</f>
        <v>0.0066460780005137112</v>
      </c>
      <c r="X965" s="85">
        <f>IF(B965="",0,IF(OR(H965=MappingTables!$C$34,H965=MappingTables!$C$35),W965,0))</f>
        <v>0</v>
      </c>
    </row>
    <row r="966" spans="2:24" s="0" customFormat="0" ht="15">
      <c r="B966" s="69">
        <v>5325710</v>
      </c>
      <c r="C966" s="70" t="s">
        <v>1263</v>
      </c>
      <c r="D966" s="70" t="s">
        <v>1</v>
      </c>
      <c r="E966" s="70" t="s">
        <v>1</v>
      </c>
      <c r="F966" s="70"/>
      <c r="G966" s="70" t="s">
        <v>61</v>
      </c>
      <c r="H966" s="70" t="s">
        <v>178</v>
      </c>
      <c r="I966" s="70" t="s">
        <v>181</v>
      </c>
      <c r="J966" s="71">
        <f>IF(OR(I966=0,I966=""),"unrated",VLOOKUP(I966,MappingTables!$B$19:$C$31,2,FALSE))</f>
        <v>3</v>
      </c>
      <c r="K966" s="72">
        <v>41869.699575353712</v>
      </c>
      <c r="L966" s="70">
        <v>1.7563041218995514</v>
      </c>
      <c r="M966" s="71">
        <f>IF(L966&lt;1,1,L966)</f>
        <v>1.7563041218995514</v>
      </c>
      <c r="N966" s="70" t="s">
        <v>141</v>
      </c>
      <c r="O966" s="71">
        <f>INDEX(DurClassMapping,MATCH(M966,MappingTables!$D$4:$D$8,-1),1)</f>
        <v>1</v>
      </c>
      <c r="P966" s="73">
        <f>IF(M966=$A$1,1,$M966-INDEX(MappingTables!$E$4:$E$8,MATCH(O966,MappingTables!$B$4:$B$8,0)))</f>
        <v>1.7563041218995514</v>
      </c>
      <c r="Q966" s="71">
        <f>IF(B966="",0,INDEX(ModelParameters!$D$6:$K$10,MATCH($O966,ModelParameters!$B$6:$B$10,0),MATCH($J966,ModelParameters!$D$5:$K$5,0)))</f>
        <v>0.025</v>
      </c>
      <c r="R966" s="71">
        <f>IF(B966="",0,INDEX(ModelParameters!$D$13:$K$17,MATCH($O966,ModelParameters!$B$13:$B$17,0),MATCH($J966,ModelParameters!$D$5:$K$5,0)))</f>
        <v>0</v>
      </c>
      <c r="S966" s="160">
        <f>IF(B966="",0,MIN(IF($N966="Other Bond TM",ModelParameters!$N$21,1)*(P966*Q966+R966),1))</f>
        <v>0.043907603047488784</v>
      </c>
      <c r="T966" s="85">
        <f>IF(B966="",0,$S966*$K966)</f>
        <v>1838.3981486722408</v>
      </c>
      <c r="U966" s="85">
        <f>IF(B966="",0,IF(OR(H966=MappingTables!$C$34,H966=MappingTables!$C$35),T966,0))</f>
        <v>0</v>
      </c>
      <c r="V966" s="85">
        <f>IF(ISNA(IF(AND(VLOOKUP(CONCATENATE($D966,$G966),CSRFinput!$B:$E,4,0)=0,OR(H966=MappingTables!$C$34,H966=MappingTables!$C$35)),1,VLOOKUP(CONCATENATE($D966,$G966),CSRFinput!$B:$E,4,0))),0,IF(AND(VLOOKUP(CONCATENATE($D966,$G966),CSRFinput!$B:$E,4,0)=0,OR(H966=MappingTables!$C$34,H966=MappingTables!$C$35)),1,VLOOKUP(CONCATENATE($D966,$G966),CSRFinput!$B:$E,4,0)))</f>
        <v>0.054776304963434752</v>
      </c>
      <c r="W966" s="85">
        <f>IF(B966="",0,+$T966*$V966)</f>
        <v>100.70065763588452</v>
      </c>
      <c r="X966" s="85">
        <f>IF(B966="",0,IF(OR(H966=MappingTables!$C$34,H966=MappingTables!$C$35),W966,0))</f>
        <v>0</v>
      </c>
    </row>
    <row r="967" spans="2:24" s="0" customFormat="0" ht="15">
      <c r="B967" s="69">
        <v>19854529</v>
      </c>
      <c r="C967" s="70" t="s">
        <v>1264</v>
      </c>
      <c r="D967" s="70" t="s">
        <v>1</v>
      </c>
      <c r="E967" s="70" t="s">
        <v>1</v>
      </c>
      <c r="F967" s="70"/>
      <c r="G967" s="70" t="s">
        <v>61</v>
      </c>
      <c r="H967" s="70" t="s">
        <v>178</v>
      </c>
      <c r="I967" s="70" t="s">
        <v>179</v>
      </c>
      <c r="J967" s="71">
        <f>IF(OR(I967=0,I967=""),"unrated",VLOOKUP(I967,MappingTables!$B$19:$C$31,2,FALSE))</f>
        <v>4</v>
      </c>
      <c r="K967" s="72">
        <v>56.701000664186768</v>
      </c>
      <c r="L967" s="70">
        <v>1.8602436695139768</v>
      </c>
      <c r="M967" s="71">
        <f>IF(L967&lt;1,1,L967)</f>
        <v>1.8602436695139768</v>
      </c>
      <c r="N967" s="70" t="s">
        <v>141</v>
      </c>
      <c r="O967" s="71">
        <f>INDEX(DurClassMapping,MATCH(M967,MappingTables!$D$4:$D$8,-1),1)</f>
        <v>1</v>
      </c>
      <c r="P967" s="73">
        <f>IF(M967=$A$1,1,$M967-INDEX(MappingTables!$E$4:$E$8,MATCH(O967,MappingTables!$B$4:$B$8,0)))</f>
        <v>1.8602436695139768</v>
      </c>
      <c r="Q967" s="71">
        <f>IF(B967="",0,INDEX(ModelParameters!$D$6:$K$10,MATCH($O967,ModelParameters!$B$6:$B$10,0),MATCH($J967,ModelParameters!$D$5:$K$5,0)))</f>
        <v>0.045</v>
      </c>
      <c r="R967" s="71">
        <f>IF(B967="",0,INDEX(ModelParameters!$D$13:$K$17,MATCH($O967,ModelParameters!$B$13:$B$17,0),MATCH($J967,ModelParameters!$D$5:$K$5,0)))</f>
        <v>0</v>
      </c>
      <c r="S967" s="160">
        <f>IF(B967="",0,MIN(IF($N967="Other Bond TM",ModelParameters!$N$21,1)*(P967*Q967+R967),1))</f>
        <v>0.083710965128128944</v>
      </c>
      <c r="T967" s="85">
        <f>IF(B967="",0,$S967*$K967)</f>
        <v>4.7464954893297552</v>
      </c>
      <c r="U967" s="85">
        <f>IF(B967="",0,IF(OR(H967=MappingTables!$C$34,H967=MappingTables!$C$35),T967,0))</f>
        <v>0</v>
      </c>
      <c r="V967" s="85">
        <f>IF(ISNA(IF(AND(VLOOKUP(CONCATENATE($D967,$G967),CSRFinput!$B:$E,4,0)=0,OR(H967=MappingTables!$C$34,H967=MappingTables!$C$35)),1,VLOOKUP(CONCATENATE($D967,$G967),CSRFinput!$B:$E,4,0))),0,IF(AND(VLOOKUP(CONCATENATE($D967,$G967),CSRFinput!$B:$E,4,0)=0,OR(H967=MappingTables!$C$34,H967=MappingTables!$C$35)),1,VLOOKUP(CONCATENATE($D967,$G967),CSRFinput!$B:$E,4,0)))</f>
        <v>0.054776304963434752</v>
      </c>
      <c r="W967" s="85">
        <f>IF(B967="",0,+$T967*$V967)</f>
        <v>0.25999548443109412</v>
      </c>
      <c r="X967" s="85">
        <f>IF(B967="",0,IF(OR(H967=MappingTables!$C$34,H967=MappingTables!$C$35),W967,0))</f>
        <v>0</v>
      </c>
    </row>
    <row r="968" spans="2:24" s="0" customFormat="0" ht="15">
      <c r="B968" s="69">
        <v>11218526</v>
      </c>
      <c r="C968" s="70" t="s">
        <v>1265</v>
      </c>
      <c r="D968" s="70" t="s">
        <v>1</v>
      </c>
      <c r="E968" s="70" t="s">
        <v>1</v>
      </c>
      <c r="F968" s="70"/>
      <c r="G968" s="70" t="s">
        <v>61</v>
      </c>
      <c r="H968" s="70" t="s">
        <v>178</v>
      </c>
      <c r="I968" s="70" t="s">
        <v>181</v>
      </c>
      <c r="J968" s="71">
        <f>IF(OR(I968=0,I968=""),"unrated",VLOOKUP(I968,MappingTables!$B$19:$C$31,2,FALSE))</f>
        <v>3</v>
      </c>
      <c r="K968" s="72">
        <v>133.42271386927738</v>
      </c>
      <c r="L968" s="70">
        <v>5.0090263618476008</v>
      </c>
      <c r="M968" s="71">
        <f>IF(L968&lt;1,1,L968)</f>
        <v>5.0090263618476008</v>
      </c>
      <c r="N968" s="70" t="s">
        <v>141</v>
      </c>
      <c r="O968" s="71">
        <f>INDEX(DurClassMapping,MATCH(M968,MappingTables!$D$4:$D$8,-1),1)</f>
        <v>2</v>
      </c>
      <c r="P968" s="73">
        <f>IF(M968=$A$1,1,$M968-INDEX(MappingTables!$E$4:$E$8,MATCH(O968,MappingTables!$B$4:$B$8,0)))</f>
        <v>0.0090263618476011936</v>
      </c>
      <c r="Q968" s="71">
        <f>IF(B968="",0,INDEX(ModelParameters!$D$6:$K$10,MATCH($O968,ModelParameters!$B$6:$B$10,0),MATCH($J968,ModelParameters!$D$5:$K$5,0)))</f>
        <v>0.015</v>
      </c>
      <c r="R968" s="71">
        <f>IF(B968="",0,INDEX(ModelParameters!$D$13:$K$17,MATCH($O968,ModelParameters!$B$13:$B$17,0),MATCH($J968,ModelParameters!$D$5:$K$5,0)))</f>
        <v>0.125</v>
      </c>
      <c r="S968" s="160">
        <f>IF(B968="",0,MIN(IF($N968="Other Bond TM",ModelParameters!$N$21,1)*(P968*Q968+R968),1))</f>
        <v>0.12513539542771402</v>
      </c>
      <c r="T968" s="85">
        <f>IF(B968="",0,$S968*$K968)</f>
        <v>16.695904059070766</v>
      </c>
      <c r="U968" s="85">
        <f>IF(B968="",0,IF(OR(H968=MappingTables!$C$34,H968=MappingTables!$C$35),T968,0))</f>
        <v>0</v>
      </c>
      <c r="V968" s="85">
        <f>IF(ISNA(IF(AND(VLOOKUP(CONCATENATE($D968,$G968),CSRFinput!$B:$E,4,0)=0,OR(H968=MappingTables!$C$34,H968=MappingTables!$C$35)),1,VLOOKUP(CONCATENATE($D968,$G968),CSRFinput!$B:$E,4,0))),0,IF(AND(VLOOKUP(CONCATENATE($D968,$G968),CSRFinput!$B:$E,4,0)=0,OR(H968=MappingTables!$C$34,H968=MappingTables!$C$35)),1,VLOOKUP(CONCATENATE($D968,$G968),CSRFinput!$B:$E,4,0)))</f>
        <v>0.054776304963434752</v>
      </c>
      <c r="W968" s="85">
        <f>IF(B968="",0,+$T968*$V968)</f>
        <v>0.91453993237990848</v>
      </c>
      <c r="X968" s="85">
        <f>IF(B968="",0,IF(OR(H968=MappingTables!$C$34,H968=MappingTables!$C$35),W968,0))</f>
        <v>0</v>
      </c>
    </row>
    <row r="969" spans="2:24" s="0" customFormat="0" ht="15">
      <c r="B969" s="69">
        <v>23595943</v>
      </c>
      <c r="C969" s="70" t="s">
        <v>682</v>
      </c>
      <c r="D969" s="70" t="s">
        <v>1</v>
      </c>
      <c r="E969" s="70" t="s">
        <v>1</v>
      </c>
      <c r="F969" s="70"/>
      <c r="G969" s="70" t="s">
        <v>61</v>
      </c>
      <c r="H969" s="70" t="s">
        <v>178</v>
      </c>
      <c r="I969" s="70" t="s">
        <v>188</v>
      </c>
      <c r="J969" s="71">
        <f>IF(OR(I969=0,I969=""),"unrated",VLOOKUP(I969,MappingTables!$B$19:$C$31,2,FALSE))</f>
        <v>2</v>
      </c>
      <c r="K969" s="72">
        <v>1060.1613596491532</v>
      </c>
      <c r="L969" s="70">
        <v>4.3514709218950088</v>
      </c>
      <c r="M969" s="71">
        <f>IF(L969&lt;1,1,L969)</f>
        <v>4.3514709218950088</v>
      </c>
      <c r="N969" s="70" t="s">
        <v>141</v>
      </c>
      <c r="O969" s="71">
        <f>INDEX(DurClassMapping,MATCH(M969,MappingTables!$D$4:$D$8,-1),1)</f>
        <v>1</v>
      </c>
      <c r="P969" s="73">
        <f>IF(M969=$A$1,1,$M969-INDEX(MappingTables!$E$4:$E$8,MATCH(O969,MappingTables!$B$4:$B$8,0)))</f>
        <v>4.3514709218950088</v>
      </c>
      <c r="Q969" s="71">
        <f>IF(B969="",0,INDEX(ModelParameters!$D$6:$K$10,MATCH($O969,ModelParameters!$B$6:$B$10,0),MATCH($J969,ModelParameters!$D$5:$K$5,0)))</f>
        <v>0.013999999999999998</v>
      </c>
      <c r="R969" s="71">
        <f>IF(B969="",0,INDEX(ModelParameters!$D$13:$K$17,MATCH($O969,ModelParameters!$B$13:$B$17,0),MATCH($J969,ModelParameters!$D$5:$K$5,0)))</f>
        <v>0</v>
      </c>
      <c r="S969" s="160">
        <f>IF(B969="",0,MIN(IF($N969="Other Bond TM",ModelParameters!$N$21,1)*(P969*Q969+R969),1))</f>
        <v>0.060920592906530128</v>
      </c>
      <c r="T969" s="85">
        <f>IF(B969="",0,$S969*$K969)</f>
        <v>64.585658606419528</v>
      </c>
      <c r="U969" s="85">
        <f>IF(B969="",0,IF(OR(H969=MappingTables!$C$34,H969=MappingTables!$C$35),T969,0))</f>
        <v>0</v>
      </c>
      <c r="V969" s="85">
        <f>IF(ISNA(IF(AND(VLOOKUP(CONCATENATE($D969,$G969),CSRFinput!$B:$E,4,0)=0,OR(H969=MappingTables!$C$34,H969=MappingTables!$C$35)),1,VLOOKUP(CONCATENATE($D969,$G969),CSRFinput!$B:$E,4,0))),0,IF(AND(VLOOKUP(CONCATENATE($D969,$G969),CSRFinput!$B:$E,4,0)=0,OR(H969=MappingTables!$C$34,H969=MappingTables!$C$35)),1,VLOOKUP(CONCATENATE($D969,$G969),CSRFinput!$B:$E,4,0)))</f>
        <v>0.054776304963434752</v>
      </c>
      <c r="W969" s="85">
        <f>IF(B969="",0,+$T969*$V969)</f>
        <v>3.5377637320895204</v>
      </c>
      <c r="X969" s="85">
        <f>IF(B969="",0,IF(OR(H969=MappingTables!$C$34,H969=MappingTables!$C$35),W969,0))</f>
        <v>0</v>
      </c>
    </row>
    <row r="970" spans="2:24" s="0" customFormat="0" ht="15">
      <c r="B970" s="69">
        <v>23431288</v>
      </c>
      <c r="C970" s="70" t="s">
        <v>1266</v>
      </c>
      <c r="D970" s="70" t="s">
        <v>1</v>
      </c>
      <c r="E970" s="70" t="s">
        <v>1</v>
      </c>
      <c r="F970" s="70"/>
      <c r="G970" s="70" t="s">
        <v>61</v>
      </c>
      <c r="H970" s="70" t="s">
        <v>178</v>
      </c>
      <c r="I970" s="70" t="s">
        <v>181</v>
      </c>
      <c r="J970" s="71">
        <f>IF(OR(I970=0,I970=""),"unrated",VLOOKUP(I970,MappingTables!$B$19:$C$31,2,FALSE))</f>
        <v>3</v>
      </c>
      <c r="K970" s="72">
        <v>224.0294764538628</v>
      </c>
      <c r="L970" s="70">
        <v>4.1893369385281424</v>
      </c>
      <c r="M970" s="71">
        <f>IF(L970&lt;1,1,L970)</f>
        <v>4.1893369385281424</v>
      </c>
      <c r="N970" s="70" t="s">
        <v>141</v>
      </c>
      <c r="O970" s="71">
        <f>INDEX(DurClassMapping,MATCH(M970,MappingTables!$D$4:$D$8,-1),1)</f>
        <v>1</v>
      </c>
      <c r="P970" s="73">
        <f>IF(M970=$A$1,1,$M970-INDEX(MappingTables!$E$4:$E$8,MATCH(O970,MappingTables!$B$4:$B$8,0)))</f>
        <v>4.1893369385281424</v>
      </c>
      <c r="Q970" s="71">
        <f>IF(B970="",0,INDEX(ModelParameters!$D$6:$K$10,MATCH($O970,ModelParameters!$B$6:$B$10,0),MATCH($J970,ModelParameters!$D$5:$K$5,0)))</f>
        <v>0.025</v>
      </c>
      <c r="R970" s="71">
        <f>IF(B970="",0,INDEX(ModelParameters!$D$13:$K$17,MATCH($O970,ModelParameters!$B$13:$B$17,0),MATCH($J970,ModelParameters!$D$5:$K$5,0)))</f>
        <v>0</v>
      </c>
      <c r="S970" s="160">
        <f>IF(B970="",0,MIN(IF($N970="Other Bond TM",ModelParameters!$N$21,1)*(P970*Q970+R970),1))</f>
        <v>0.10473342346320356</v>
      </c>
      <c r="T970" s="85">
        <f>IF(B970="",0,$S970*$K970)</f>
        <v>23.463374025682204</v>
      </c>
      <c r="U970" s="85">
        <f>IF(B970="",0,IF(OR(H970=MappingTables!$C$34,H970=MappingTables!$C$35),T970,0))</f>
        <v>0</v>
      </c>
      <c r="V970" s="85">
        <f>IF(ISNA(IF(AND(VLOOKUP(CONCATENATE($D970,$G970),CSRFinput!$B:$E,4,0)=0,OR(H970=MappingTables!$C$34,H970=MappingTables!$C$35)),1,VLOOKUP(CONCATENATE($D970,$G970),CSRFinput!$B:$E,4,0))),0,IF(AND(VLOOKUP(CONCATENATE($D970,$G970),CSRFinput!$B:$E,4,0)=0,OR(H970=MappingTables!$C$34,H970=MappingTables!$C$35)),1,VLOOKUP(CONCATENATE($D970,$G970),CSRFinput!$B:$E,4,0)))</f>
        <v>0.054776304963434752</v>
      </c>
      <c r="W970" s="85">
        <f>IF(B970="",0,+$T970*$V970)</f>
        <v>1.285236931101902</v>
      </c>
      <c r="X970" s="85">
        <f>IF(B970="",0,IF(OR(H970=MappingTables!$C$34,H970=MappingTables!$C$35),W970,0))</f>
        <v>0</v>
      </c>
    </row>
    <row r="971" spans="2:24" s="0" customFormat="0" ht="15">
      <c r="B971" s="69">
        <v>11163655</v>
      </c>
      <c r="C971" s="70" t="s">
        <v>1267</v>
      </c>
      <c r="D971" s="70" t="s">
        <v>1</v>
      </c>
      <c r="E971" s="70" t="s">
        <v>1</v>
      </c>
      <c r="F971" s="70"/>
      <c r="G971" s="70" t="s">
        <v>61</v>
      </c>
      <c r="H971" s="70" t="s">
        <v>178</v>
      </c>
      <c r="I971" s="70" t="s">
        <v>181</v>
      </c>
      <c r="J971" s="71">
        <f>IF(OR(I971=0,I971=""),"unrated",VLOOKUP(I971,MappingTables!$B$19:$C$31,2,FALSE))</f>
        <v>3</v>
      </c>
      <c r="K971" s="72">
        <v>364.65912984456192</v>
      </c>
      <c r="L971" s="70">
        <v>4.3358409682466112</v>
      </c>
      <c r="M971" s="71">
        <f>IF(L971&lt;1,1,L971)</f>
        <v>4.3358409682466112</v>
      </c>
      <c r="N971" s="70" t="s">
        <v>141</v>
      </c>
      <c r="O971" s="71">
        <f>INDEX(DurClassMapping,MATCH(M971,MappingTables!$D$4:$D$8,-1),1)</f>
        <v>1</v>
      </c>
      <c r="P971" s="73">
        <f>IF(M971=$A$1,1,$M971-INDEX(MappingTables!$E$4:$E$8,MATCH(O971,MappingTables!$B$4:$B$8,0)))</f>
        <v>4.3358409682466112</v>
      </c>
      <c r="Q971" s="71">
        <f>IF(B971="",0,INDEX(ModelParameters!$D$6:$K$10,MATCH($O971,ModelParameters!$B$6:$B$10,0),MATCH($J971,ModelParameters!$D$5:$K$5,0)))</f>
        <v>0.025</v>
      </c>
      <c r="R971" s="71">
        <f>IF(B971="",0,INDEX(ModelParameters!$D$13:$K$17,MATCH($O971,ModelParameters!$B$13:$B$17,0),MATCH($J971,ModelParameters!$D$5:$K$5,0)))</f>
        <v>0</v>
      </c>
      <c r="S971" s="160">
        <f>IF(B971="",0,MIN(IF($N971="Other Bond TM",ModelParameters!$N$21,1)*(P971*Q971+R971),1))</f>
        <v>0.10839602420616528</v>
      </c>
      <c r="T971" s="85">
        <f>IF(B971="",0,$S971*$K971)</f>
        <v>39.527599865630304</v>
      </c>
      <c r="U971" s="85">
        <f>IF(B971="",0,IF(OR(H971=MappingTables!$C$34,H971=MappingTables!$C$35),T971,0))</f>
        <v>0</v>
      </c>
      <c r="V971" s="85">
        <f>IF(ISNA(IF(AND(VLOOKUP(CONCATENATE($D971,$G971),CSRFinput!$B:$E,4,0)=0,OR(H971=MappingTables!$C$34,H971=MappingTables!$C$35)),1,VLOOKUP(CONCATENATE($D971,$G971),CSRFinput!$B:$E,4,0))),0,IF(AND(VLOOKUP(CONCATENATE($D971,$G971),CSRFinput!$B:$E,4,0)=0,OR(H971=MappingTables!$C$34,H971=MappingTables!$C$35)),1,VLOOKUP(CONCATENATE($D971,$G971),CSRFinput!$B:$E,4,0)))</f>
        <v>0.054776304963434752</v>
      </c>
      <c r="W971" s="85">
        <f>IF(B971="",0,+$T971*$V971)</f>
        <v>2.1651758647123884</v>
      </c>
      <c r="X971" s="85">
        <f>IF(B971="",0,IF(OR(H971=MappingTables!$C$34,H971=MappingTables!$C$35),W971,0))</f>
        <v>0</v>
      </c>
    </row>
    <row r="972" spans="2:24" s="0" customFormat="0" ht="15">
      <c r="B972" s="69">
        <v>14455836</v>
      </c>
      <c r="C972" s="70" t="s">
        <v>1268</v>
      </c>
      <c r="D972" s="70" t="s">
        <v>1</v>
      </c>
      <c r="E972" s="70" t="s">
        <v>1</v>
      </c>
      <c r="F972" s="70"/>
      <c r="G972" s="70" t="s">
        <v>61</v>
      </c>
      <c r="H972" s="70" t="s">
        <v>178</v>
      </c>
      <c r="I972" s="70" t="s">
        <v>204</v>
      </c>
      <c r="J972" s="71">
        <f>IF(OR(I972=0,I972=""),"unrated",VLOOKUP(I972,MappingTables!$B$19:$C$31,2,FALSE))</f>
        <v>6</v>
      </c>
      <c r="K972" s="72">
        <v>2628.1058338554944</v>
      </c>
      <c r="L972" s="70">
        <v>0.087669181819970848</v>
      </c>
      <c r="M972" s="71">
        <f>IF(L972&lt;1,1,L972)</f>
        <v>1</v>
      </c>
      <c r="N972" s="70" t="s">
        <v>141</v>
      </c>
      <c r="O972" s="71">
        <f>INDEX(DurClassMapping,MATCH(M972,MappingTables!$D$4:$D$8,-1),1)</f>
        <v>1</v>
      </c>
      <c r="P972" s="73">
        <f>IF(M972=$A$1,1,$M972-INDEX(MappingTables!$E$4:$E$8,MATCH(O972,MappingTables!$B$4:$B$8,0)))</f>
        <v>1</v>
      </c>
      <c r="Q972" s="71">
        <f>IF(B972="",0,INDEX(ModelParameters!$D$6:$K$10,MATCH($O972,ModelParameters!$B$6:$B$10,0),MATCH($J972,ModelParameters!$D$5:$K$5,0)))</f>
        <v>0.075</v>
      </c>
      <c r="R972" s="71">
        <f>IF(B972="",0,INDEX(ModelParameters!$D$13:$K$17,MATCH($O972,ModelParameters!$B$13:$B$17,0),MATCH($J972,ModelParameters!$D$5:$K$5,0)))</f>
        <v>0</v>
      </c>
      <c r="S972" s="160">
        <f>IF(B972="",0,MIN(IF($N972="Other Bond TM",ModelParameters!$N$21,1)*(P972*Q972+R972),1))</f>
        <v>0.075</v>
      </c>
      <c r="T972" s="85">
        <f>IF(B972="",0,$S972*$K972)</f>
        <v>197.10793753916208</v>
      </c>
      <c r="U972" s="85">
        <f>IF(B972="",0,IF(OR(H972=MappingTables!$C$34,H972=MappingTables!$C$35),T972,0))</f>
        <v>0</v>
      </c>
      <c r="V972" s="85">
        <f>IF(ISNA(IF(AND(VLOOKUP(CONCATENATE($D972,$G972),CSRFinput!$B:$E,4,0)=0,OR(H972=MappingTables!$C$34,H972=MappingTables!$C$35)),1,VLOOKUP(CONCATENATE($D972,$G972),CSRFinput!$B:$E,4,0))),0,IF(AND(VLOOKUP(CONCATENATE($D972,$G972),CSRFinput!$B:$E,4,0)=0,OR(H972=MappingTables!$C$34,H972=MappingTables!$C$35)),1,VLOOKUP(CONCATENATE($D972,$G972),CSRFinput!$B:$E,4,0)))</f>
        <v>0.054776304963434752</v>
      </c>
      <c r="W972" s="85">
        <f>IF(B972="",0,+$T972*$V972)</f>
        <v>10.79684449735879</v>
      </c>
      <c r="X972" s="85">
        <f>IF(B972="",0,IF(OR(H972=MappingTables!$C$34,H972=MappingTables!$C$35),W972,0))</f>
        <v>0</v>
      </c>
    </row>
    <row r="973" spans="2:24" s="0" customFormat="0" ht="15">
      <c r="B973" s="69">
        <v>18782691</v>
      </c>
      <c r="C973" s="70" t="s">
        <v>1269</v>
      </c>
      <c r="D973" s="70" t="s">
        <v>1</v>
      </c>
      <c r="E973" s="70" t="s">
        <v>1</v>
      </c>
      <c r="F973" s="70"/>
      <c r="G973" s="70" t="s">
        <v>61</v>
      </c>
      <c r="H973" s="70" t="s">
        <v>178</v>
      </c>
      <c r="I973" s="70" t="s">
        <v>179</v>
      </c>
      <c r="J973" s="71">
        <f>IF(OR(I973=0,I973=""),"unrated",VLOOKUP(I973,MappingTables!$B$19:$C$31,2,FALSE))</f>
        <v>4</v>
      </c>
      <c r="K973" s="72">
        <v>95.921929100123888</v>
      </c>
      <c r="L973" s="70">
        <v>2.8072543885268208</v>
      </c>
      <c r="M973" s="71">
        <f>IF(L973&lt;1,1,L973)</f>
        <v>2.8072543885268208</v>
      </c>
      <c r="N973" s="70" t="s">
        <v>141</v>
      </c>
      <c r="O973" s="71">
        <f>INDEX(DurClassMapping,MATCH(M973,MappingTables!$D$4:$D$8,-1),1)</f>
        <v>1</v>
      </c>
      <c r="P973" s="73">
        <f>IF(M973=$A$1,1,$M973-INDEX(MappingTables!$E$4:$E$8,MATCH(O973,MappingTables!$B$4:$B$8,0)))</f>
        <v>2.8072543885268208</v>
      </c>
      <c r="Q973" s="71">
        <f>IF(B973="",0,INDEX(ModelParameters!$D$6:$K$10,MATCH($O973,ModelParameters!$B$6:$B$10,0),MATCH($J973,ModelParameters!$D$5:$K$5,0)))</f>
        <v>0.045</v>
      </c>
      <c r="R973" s="71">
        <f>IF(B973="",0,INDEX(ModelParameters!$D$13:$K$17,MATCH($O973,ModelParameters!$B$13:$B$17,0),MATCH($J973,ModelParameters!$D$5:$K$5,0)))</f>
        <v>0</v>
      </c>
      <c r="S973" s="160">
        <f>IF(B973="",0,MIN(IF($N973="Other Bond TM",ModelParameters!$N$21,1)*(P973*Q973+R973),1))</f>
        <v>0.12632644748370694</v>
      </c>
      <c r="T973" s="85">
        <f>IF(B973="",0,$S973*$K973)</f>
        <v>12.117476539002662</v>
      </c>
      <c r="U973" s="85">
        <f>IF(B973="",0,IF(OR(H973=MappingTables!$C$34,H973=MappingTables!$C$35),T973,0))</f>
        <v>0</v>
      </c>
      <c r="V973" s="85">
        <f>IF(ISNA(IF(AND(VLOOKUP(CONCATENATE($D973,$G973),CSRFinput!$B:$E,4,0)=0,OR(H973=MappingTables!$C$34,H973=MappingTables!$C$35)),1,VLOOKUP(CONCATENATE($D973,$G973),CSRFinput!$B:$E,4,0))),0,IF(AND(VLOOKUP(CONCATENATE($D973,$G973),CSRFinput!$B:$E,4,0)=0,OR(H973=MappingTables!$C$34,H973=MappingTables!$C$35)),1,VLOOKUP(CONCATENATE($D973,$G973),CSRFinput!$B:$E,4,0)))</f>
        <v>0.054776304963434752</v>
      </c>
      <c r="W973" s="85">
        <f>IF(B973="",0,+$T973*$V973)</f>
        <v>0.66375059028767568</v>
      </c>
      <c r="X973" s="85">
        <f>IF(B973="",0,IF(OR(H973=MappingTables!$C$34,H973=MappingTables!$C$35),W973,0))</f>
        <v>0</v>
      </c>
    </row>
    <row r="974" spans="2:24" s="0" customFormat="0" ht="15">
      <c r="B974" s="69">
        <v>18154854</v>
      </c>
      <c r="C974" s="70" t="s">
        <v>1270</v>
      </c>
      <c r="D974" s="70" t="s">
        <v>1</v>
      </c>
      <c r="E974" s="70" t="s">
        <v>1</v>
      </c>
      <c r="F974" s="70"/>
      <c r="G974" s="70" t="s">
        <v>61</v>
      </c>
      <c r="H974" s="70" t="s">
        <v>178</v>
      </c>
      <c r="I974" s="70" t="s">
        <v>179</v>
      </c>
      <c r="J974" s="71">
        <f>IF(OR(I974=0,I974=""),"unrated",VLOOKUP(I974,MappingTables!$B$19:$C$31,2,FALSE))</f>
        <v>4</v>
      </c>
      <c r="K974" s="72">
        <v>234.67944632879712</v>
      </c>
      <c r="L974" s="70">
        <v>12.179233440019906</v>
      </c>
      <c r="M974" s="71">
        <f>IF(L974&lt;1,1,L974)</f>
        <v>12.179233440019906</v>
      </c>
      <c r="N974" s="70" t="s">
        <v>141</v>
      </c>
      <c r="O974" s="71">
        <f>INDEX(DurClassMapping,MATCH(M974,MappingTables!$D$4:$D$8,-1),1)</f>
        <v>3</v>
      </c>
      <c r="P974" s="73">
        <f>IF(M974=$A$1,1,$M974-INDEX(MappingTables!$E$4:$E$8,MATCH(O974,MappingTables!$B$4:$B$8,0)))</f>
        <v>2.1792334400199068</v>
      </c>
      <c r="Q974" s="71">
        <f>IF(B974="",0,INDEX(ModelParameters!$D$6:$K$10,MATCH($O974,ModelParameters!$B$6:$B$10,0),MATCH($J974,ModelParameters!$D$5:$K$5,0)))</f>
        <v>0.018000000000000002</v>
      </c>
      <c r="R974" s="71">
        <f>IF(B974="",0,INDEX(ModelParameters!$D$13:$K$17,MATCH($O974,ModelParameters!$B$13:$B$17,0),MATCH($J974,ModelParameters!$D$5:$K$5,0)))</f>
        <v>0.34999999999999996</v>
      </c>
      <c r="S974" s="160">
        <f>IF(B974="",0,MIN(IF($N974="Other Bond TM",ModelParameters!$N$21,1)*(P974*Q974+R974),1))</f>
        <v>0.38922620192035832</v>
      </c>
      <c r="T974" s="85">
        <f>IF(B974="",0,$S974*$K974)</f>
        <v>91.343389563330272</v>
      </c>
      <c r="U974" s="85">
        <f>IF(B974="",0,IF(OR(H974=MappingTables!$C$34,H974=MappingTables!$C$35),T974,0))</f>
        <v>0</v>
      </c>
      <c r="V974" s="85">
        <f>IF(ISNA(IF(AND(VLOOKUP(CONCATENATE($D974,$G974),CSRFinput!$B:$E,4,0)=0,OR(H974=MappingTables!$C$34,H974=MappingTables!$C$35)),1,VLOOKUP(CONCATENATE($D974,$G974),CSRFinput!$B:$E,4,0))),0,IF(AND(VLOOKUP(CONCATENATE($D974,$G974),CSRFinput!$B:$E,4,0)=0,OR(H974=MappingTables!$C$34,H974=MappingTables!$C$35)),1,VLOOKUP(CONCATENATE($D974,$G974),CSRFinput!$B:$E,4,0)))</f>
        <v>0.054776304963434752</v>
      </c>
      <c r="W974" s="85">
        <f>IF(B974="",0,+$T974*$V974)</f>
        <v>5.0034533631148024</v>
      </c>
      <c r="X974" s="85">
        <f>IF(B974="",0,IF(OR(H974=MappingTables!$C$34,H974=MappingTables!$C$35),W974,0))</f>
        <v>0</v>
      </c>
    </row>
    <row r="975" spans="2:24" s="0" customFormat="0" ht="15">
      <c r="B975" s="69">
        <v>22008395</v>
      </c>
      <c r="C975" s="70" t="s">
        <v>980</v>
      </c>
      <c r="D975" s="70" t="s">
        <v>1</v>
      </c>
      <c r="E975" s="70" t="s">
        <v>1</v>
      </c>
      <c r="F975" s="70"/>
      <c r="G975" s="70" t="s">
        <v>61</v>
      </c>
      <c r="H975" s="70" t="s">
        <v>178</v>
      </c>
      <c r="I975" s="70" t="s">
        <v>216</v>
      </c>
      <c r="J975" s="71">
        <f>IF(OR(I975=0,I975=""),"unrated",VLOOKUP(I975,MappingTables!$B$19:$C$31,2,FALSE))</f>
        <v>0</v>
      </c>
      <c r="K975" s="72">
        <v>6777.5592071073152</v>
      </c>
      <c r="L975" s="70">
        <v>0.073971938005600944</v>
      </c>
      <c r="M975" s="71">
        <f>IF(L975&lt;1,1,L975)</f>
        <v>1</v>
      </c>
      <c r="N975" s="70" t="s">
        <v>141</v>
      </c>
      <c r="O975" s="71">
        <f>INDEX(DurClassMapping,MATCH(M975,MappingTables!$D$4:$D$8,-1),1)</f>
        <v>1</v>
      </c>
      <c r="P975" s="73">
        <f>IF(M975=$A$1,1,$M975-INDEX(MappingTables!$E$4:$E$8,MATCH(O975,MappingTables!$B$4:$B$8,0)))</f>
        <v>1</v>
      </c>
      <c r="Q975" s="71">
        <f>IF(B975="",0,INDEX(ModelParameters!$D$6:$K$10,MATCH($O975,ModelParameters!$B$6:$B$10,0),MATCH($J975,ModelParameters!$D$5:$K$5,0)))</f>
        <v>0.0090000000000000016</v>
      </c>
      <c r="R975" s="71">
        <f>IF(B975="",0,INDEX(ModelParameters!$D$13:$K$17,MATCH($O975,ModelParameters!$B$13:$B$17,0),MATCH($J975,ModelParameters!$D$5:$K$5,0)))</f>
        <v>0</v>
      </c>
      <c r="S975" s="160">
        <f>IF(B975="",0,MIN(IF($N975="Other Bond TM",ModelParameters!$N$21,1)*(P975*Q975+R975),1))</f>
        <v>0.0090000000000000016</v>
      </c>
      <c r="T975" s="85">
        <f>IF(B975="",0,$S975*$K975)</f>
        <v>60.998032863965848</v>
      </c>
      <c r="U975" s="85">
        <f>IF(B975="",0,IF(OR(H975=MappingTables!$C$34,H975=MappingTables!$C$35),T975,0))</f>
        <v>0</v>
      </c>
      <c r="V975" s="85">
        <f>IF(ISNA(IF(AND(VLOOKUP(CONCATENATE($D975,$G975),CSRFinput!$B:$E,4,0)=0,OR(H975=MappingTables!$C$34,H975=MappingTables!$C$35)),1,VLOOKUP(CONCATENATE($D975,$G975),CSRFinput!$B:$E,4,0))),0,IF(AND(VLOOKUP(CONCATENATE($D975,$G975),CSRFinput!$B:$E,4,0)=0,OR(H975=MappingTables!$C$34,H975=MappingTables!$C$35)),1,VLOOKUP(CONCATENATE($D975,$G975),CSRFinput!$B:$E,4,0)))</f>
        <v>0.054776304963434752</v>
      </c>
      <c r="W975" s="85">
        <f>IF(B975="",0,+$T975*$V975)</f>
        <v>3.3412468503262084</v>
      </c>
      <c r="X975" s="85">
        <f>IF(B975="",0,IF(OR(H975=MappingTables!$C$34,H975=MappingTables!$C$35),W975,0))</f>
        <v>0</v>
      </c>
    </row>
    <row r="976" spans="2:24" s="0" customFormat="0" ht="15">
      <c r="B976" s="69">
        <v>21644217</v>
      </c>
      <c r="C976" s="70" t="s">
        <v>1271</v>
      </c>
      <c r="D976" s="70" t="s">
        <v>1</v>
      </c>
      <c r="E976" s="70" t="s">
        <v>1</v>
      </c>
      <c r="F976" s="70"/>
      <c r="G976" s="70" t="s">
        <v>61</v>
      </c>
      <c r="H976" s="70" t="s">
        <v>178</v>
      </c>
      <c r="I976" s="70" t="s">
        <v>184</v>
      </c>
      <c r="J976" s="71">
        <f>IF(OR(I976=0,I976=""),"unrated",VLOOKUP(I976,MappingTables!$B$19:$C$31,2,FALSE))</f>
        <v>5</v>
      </c>
      <c r="K976" s="72">
        <v>12245.100219620096</v>
      </c>
      <c r="L976" s="70">
        <v>10.67547091589505</v>
      </c>
      <c r="M976" s="71">
        <f>IF(L976&lt;1,1,L976)</f>
        <v>10.67547091589505</v>
      </c>
      <c r="N976" s="70" t="s">
        <v>141</v>
      </c>
      <c r="O976" s="71">
        <f>INDEX(DurClassMapping,MATCH(M976,MappingTables!$D$4:$D$8,-1),1)</f>
        <v>3</v>
      </c>
      <c r="P976" s="73">
        <f>IF(M976=$A$1,1,$M976-INDEX(MappingTables!$E$4:$E$8,MATCH(O976,MappingTables!$B$4:$B$8,0)))</f>
        <v>0.67547091589504936</v>
      </c>
      <c r="Q976" s="71">
        <f>IF(B976="",0,INDEX(ModelParameters!$D$6:$K$10,MATCH($O976,ModelParameters!$B$6:$B$10,0),MATCH($J976,ModelParameters!$D$5:$K$5,0)))</f>
        <v>0.005</v>
      </c>
      <c r="R976" s="71">
        <f>IF(B976="",0,INDEX(ModelParameters!$D$13:$K$17,MATCH($O976,ModelParameters!$B$13:$B$17,0),MATCH($J976,ModelParameters!$D$5:$K$5,0)))</f>
        <v>0.585</v>
      </c>
      <c r="S976" s="160">
        <f>IF(B976="",0,MIN(IF($N976="Other Bond TM",ModelParameters!$N$21,1)*(P976*Q976+R976),1))</f>
        <v>0.58837735457947528</v>
      </c>
      <c r="T976" s="85">
        <f>IF(B976="",0,$S976*$K976)</f>
        <v>7204.7396737806232</v>
      </c>
      <c r="U976" s="85">
        <f>IF(B976="",0,IF(OR(H976=MappingTables!$C$34,H976=MappingTables!$C$35),T976,0))</f>
        <v>0</v>
      </c>
      <c r="V976" s="85">
        <f>IF(ISNA(IF(AND(VLOOKUP(CONCATENATE($D976,$G976),CSRFinput!$B:$E,4,0)=0,OR(H976=MappingTables!$C$34,H976=MappingTables!$C$35)),1,VLOOKUP(CONCATENATE($D976,$G976),CSRFinput!$B:$E,4,0))),0,IF(AND(VLOOKUP(CONCATENATE($D976,$G976),CSRFinput!$B:$E,4,0)=0,OR(H976=MappingTables!$C$34,H976=MappingTables!$C$35)),1,VLOOKUP(CONCATENATE($D976,$G976),CSRFinput!$B:$E,4,0)))</f>
        <v>0.054776304963434752</v>
      </c>
      <c r="W976" s="85">
        <f>IF(B976="",0,+$T976*$V976)</f>
        <v>394.6490175531648</v>
      </c>
      <c r="X976" s="85">
        <f>IF(B976="",0,IF(OR(H976=MappingTables!$C$34,H976=MappingTables!$C$35),W976,0))</f>
        <v>0</v>
      </c>
    </row>
    <row r="977" spans="2:24" s="0" customFormat="0" ht="15">
      <c r="B977" s="69">
        <v>21007337</v>
      </c>
      <c r="C977" s="70" t="s">
        <v>1272</v>
      </c>
      <c r="D977" s="70" t="s">
        <v>1</v>
      </c>
      <c r="E977" s="70" t="s">
        <v>1</v>
      </c>
      <c r="F977" s="70"/>
      <c r="G977" s="70" t="s">
        <v>61</v>
      </c>
      <c r="H977" s="70" t="s">
        <v>178</v>
      </c>
      <c r="I977" s="70" t="s">
        <v>181</v>
      </c>
      <c r="J977" s="71">
        <f>IF(OR(I977=0,I977=""),"unrated",VLOOKUP(I977,MappingTables!$B$19:$C$31,2,FALSE))</f>
        <v>3</v>
      </c>
      <c r="K977" s="72">
        <v>348.38787081957832</v>
      </c>
      <c r="L977" s="70">
        <v>5.3318592272478368</v>
      </c>
      <c r="M977" s="71">
        <f>IF(L977&lt;1,1,L977)</f>
        <v>5.3318592272478368</v>
      </c>
      <c r="N977" s="70" t="s">
        <v>141</v>
      </c>
      <c r="O977" s="71">
        <f>INDEX(DurClassMapping,MATCH(M977,MappingTables!$D$4:$D$8,-1),1)</f>
        <v>2</v>
      </c>
      <c r="P977" s="73">
        <f>IF(M977=$A$1,1,$M977-INDEX(MappingTables!$E$4:$E$8,MATCH(O977,MappingTables!$B$4:$B$8,0)))</f>
        <v>0.33185922724783712</v>
      </c>
      <c r="Q977" s="71">
        <f>IF(B977="",0,INDEX(ModelParameters!$D$6:$K$10,MATCH($O977,ModelParameters!$B$6:$B$10,0),MATCH($J977,ModelParameters!$D$5:$K$5,0)))</f>
        <v>0.015</v>
      </c>
      <c r="R977" s="71">
        <f>IF(B977="",0,INDEX(ModelParameters!$D$13:$K$17,MATCH($O977,ModelParameters!$B$13:$B$17,0),MATCH($J977,ModelParameters!$D$5:$K$5,0)))</f>
        <v>0.125</v>
      </c>
      <c r="S977" s="160">
        <f>IF(B977="",0,MIN(IF($N977="Other Bond TM",ModelParameters!$N$21,1)*(P977*Q977+R977),1))</f>
        <v>0.12997788840871754</v>
      </c>
      <c r="T977" s="85">
        <f>IF(B977="",0,$S977*$K977)</f>
        <v>45.282719796337856</v>
      </c>
      <c r="U977" s="85">
        <f>IF(B977="",0,IF(OR(H977=MappingTables!$C$34,H977=MappingTables!$C$35),T977,0))</f>
        <v>0</v>
      </c>
      <c r="V977" s="85">
        <f>IF(ISNA(IF(AND(VLOOKUP(CONCATENATE($D977,$G977),CSRFinput!$B:$E,4,0)=0,OR(H977=MappingTables!$C$34,H977=MappingTables!$C$35)),1,VLOOKUP(CONCATENATE($D977,$G977),CSRFinput!$B:$E,4,0))),0,IF(AND(VLOOKUP(CONCATENATE($D977,$G977),CSRFinput!$B:$E,4,0)=0,OR(H977=MappingTables!$C$34,H977=MappingTables!$C$35)),1,VLOOKUP(CONCATENATE($D977,$G977),CSRFinput!$B:$E,4,0)))</f>
        <v>0.054776304963434752</v>
      </c>
      <c r="W977" s="85">
        <f>IF(B977="",0,+$T977*$V977)</f>
        <v>2.4804200691379664</v>
      </c>
      <c r="X977" s="85">
        <f>IF(B977="",0,IF(OR(H977=MappingTables!$C$34,H977=MappingTables!$C$35),W977,0))</f>
        <v>0</v>
      </c>
    </row>
    <row r="978" spans="2:24" s="0" customFormat="0" ht="15">
      <c r="B978" s="69">
        <v>21473846</v>
      </c>
      <c r="C978" s="70" t="s">
        <v>1273</v>
      </c>
      <c r="D978" s="70" t="s">
        <v>1</v>
      </c>
      <c r="E978" s="70" t="s">
        <v>1</v>
      </c>
      <c r="F978" s="70"/>
      <c r="G978" s="70" t="s">
        <v>61</v>
      </c>
      <c r="H978" s="70" t="s">
        <v>178</v>
      </c>
      <c r="I978" s="70" t="s">
        <v>179</v>
      </c>
      <c r="J978" s="71">
        <f>IF(OR(I978=0,I978=""),"unrated",VLOOKUP(I978,MappingTables!$B$19:$C$31,2,FALSE))</f>
        <v>4</v>
      </c>
      <c r="K978" s="72">
        <v>8217.9154854896576</v>
      </c>
      <c r="L978" s="70">
        <v>3.760079325838708</v>
      </c>
      <c r="M978" s="71">
        <f>IF(L978&lt;1,1,L978)</f>
        <v>3.760079325838708</v>
      </c>
      <c r="N978" s="70" t="s">
        <v>141</v>
      </c>
      <c r="O978" s="71">
        <f>INDEX(DurClassMapping,MATCH(M978,MappingTables!$D$4:$D$8,-1),1)</f>
        <v>1</v>
      </c>
      <c r="P978" s="73">
        <f>IF(M978=$A$1,1,$M978-INDEX(MappingTables!$E$4:$E$8,MATCH(O978,MappingTables!$B$4:$B$8,0)))</f>
        <v>3.760079325838708</v>
      </c>
      <c r="Q978" s="71">
        <f>IF(B978="",0,INDEX(ModelParameters!$D$6:$K$10,MATCH($O978,ModelParameters!$B$6:$B$10,0),MATCH($J978,ModelParameters!$D$5:$K$5,0)))</f>
        <v>0.045</v>
      </c>
      <c r="R978" s="71">
        <f>IF(B978="",0,INDEX(ModelParameters!$D$13:$K$17,MATCH($O978,ModelParameters!$B$13:$B$17,0),MATCH($J978,ModelParameters!$D$5:$K$5,0)))</f>
        <v>0</v>
      </c>
      <c r="S978" s="160">
        <f>IF(B978="",0,MIN(IF($N978="Other Bond TM",ModelParameters!$N$21,1)*(P978*Q978+R978),1))</f>
        <v>0.16920356966274186</v>
      </c>
      <c r="T978" s="85">
        <f>IF(B978="",0,$S978*$K978)</f>
        <v>1390.5006353315744</v>
      </c>
      <c r="U978" s="85">
        <f>IF(B978="",0,IF(OR(H978=MappingTables!$C$34,H978=MappingTables!$C$35),T978,0))</f>
        <v>0</v>
      </c>
      <c r="V978" s="85">
        <f>IF(ISNA(IF(AND(VLOOKUP(CONCATENATE($D978,$G978),CSRFinput!$B:$E,4,0)=0,OR(H978=MappingTables!$C$34,H978=MappingTables!$C$35)),1,VLOOKUP(CONCATENATE($D978,$G978),CSRFinput!$B:$E,4,0))),0,IF(AND(VLOOKUP(CONCATENATE($D978,$G978),CSRFinput!$B:$E,4,0)=0,OR(H978=MappingTables!$C$34,H978=MappingTables!$C$35)),1,VLOOKUP(CONCATENATE($D978,$G978),CSRFinput!$B:$E,4,0)))</f>
        <v>0.054776304963434752</v>
      </c>
      <c r="W978" s="85">
        <f>IF(B978="",0,+$T978*$V978)</f>
        <v>76.166486852772096</v>
      </c>
      <c r="X978" s="85">
        <f>IF(B978="",0,IF(OR(H978=MappingTables!$C$34,H978=MappingTables!$C$35),W978,0))</f>
        <v>0</v>
      </c>
    </row>
    <row r="979" spans="2:24" s="0" customFormat="0" ht="15">
      <c r="B979" s="69">
        <v>21380829</v>
      </c>
      <c r="C979" s="70" t="s">
        <v>1055</v>
      </c>
      <c r="D979" s="70" t="s">
        <v>1</v>
      </c>
      <c r="E979" s="70" t="s">
        <v>1</v>
      </c>
      <c r="F979" s="70"/>
      <c r="G979" s="70" t="s">
        <v>61</v>
      </c>
      <c r="H979" s="70" t="s">
        <v>178</v>
      </c>
      <c r="I979" s="70" t="s">
        <v>188</v>
      </c>
      <c r="J979" s="71">
        <f>IF(OR(I979=0,I979=""),"unrated",VLOOKUP(I979,MappingTables!$B$19:$C$31,2,FALSE))</f>
        <v>2</v>
      </c>
      <c r="K979" s="72">
        <v>1700.3337913059902</v>
      </c>
      <c r="L979" s="70">
        <v>9.9397842027594032</v>
      </c>
      <c r="M979" s="71">
        <f>IF(L979&lt;1,1,L979)</f>
        <v>9.9397842027594032</v>
      </c>
      <c r="N979" s="70" t="s">
        <v>141</v>
      </c>
      <c r="O979" s="71">
        <f>INDEX(DurClassMapping,MATCH(M979,MappingTables!$D$4:$D$8,-1),1)</f>
        <v>2</v>
      </c>
      <c r="P979" s="73">
        <f>IF(M979=$A$1,1,$M979-INDEX(MappingTables!$E$4:$E$8,MATCH(O979,MappingTables!$B$4:$B$8,0)))</f>
        <v>4.9397842027594032</v>
      </c>
      <c r="Q979" s="71">
        <f>IF(B979="",0,INDEX(ModelParameters!$D$6:$K$10,MATCH($O979,ModelParameters!$B$6:$B$10,0),MATCH($J979,ModelParameters!$D$5:$K$5,0)))</f>
        <v>0.0069999999999999992</v>
      </c>
      <c r="R979" s="71">
        <f>IF(B979="",0,INDEX(ModelParameters!$D$13:$K$17,MATCH($O979,ModelParameters!$B$13:$B$17,0),MATCH($J979,ModelParameters!$D$5:$K$5,0)))</f>
        <v>0.070000000000000008</v>
      </c>
      <c r="S979" s="160">
        <f>IF(B979="",0,MIN(IF($N979="Other Bond TM",ModelParameters!$N$21,1)*(P979*Q979+R979),1))</f>
        <v>0.10457848941931582</v>
      </c>
      <c r="T979" s="85">
        <f>IF(B979="",0,$S979*$K979)</f>
        <v>177.81833940339866</v>
      </c>
      <c r="U979" s="85">
        <f>IF(B979="",0,IF(OR(H979=MappingTables!$C$34,H979=MappingTables!$C$35),T979,0))</f>
        <v>0</v>
      </c>
      <c r="V979" s="85">
        <f>IF(ISNA(IF(AND(VLOOKUP(CONCATENATE($D979,$G979),CSRFinput!$B:$E,4,0)=0,OR(H979=MappingTables!$C$34,H979=MappingTables!$C$35)),1,VLOOKUP(CONCATENATE($D979,$G979),CSRFinput!$B:$E,4,0))),0,IF(AND(VLOOKUP(CONCATENATE($D979,$G979),CSRFinput!$B:$E,4,0)=0,OR(H979=MappingTables!$C$34,H979=MappingTables!$C$35)),1,VLOOKUP(CONCATENATE($D979,$G979),CSRFinput!$B:$E,4,0)))</f>
        <v>0.054776304963434752</v>
      </c>
      <c r="W979" s="85">
        <f>IF(B979="",0,+$T979*$V979)</f>
        <v>9.740231587252112</v>
      </c>
      <c r="X979" s="85">
        <f>IF(B979="",0,IF(OR(H979=MappingTables!$C$34,H979=MappingTables!$C$35),W979,0))</f>
        <v>0</v>
      </c>
    </row>
    <row r="980" spans="2:24" s="0" customFormat="0" ht="15">
      <c r="B980" s="69" t="s">
        <v>1274</v>
      </c>
      <c r="C980" s="70" t="s">
        <v>1275</v>
      </c>
      <c r="D980" s="70" t="s">
        <v>1</v>
      </c>
      <c r="E980" s="70" t="s">
        <v>1</v>
      </c>
      <c r="F980" s="70"/>
      <c r="G980" s="70" t="s">
        <v>61</v>
      </c>
      <c r="H980" s="70" t="s">
        <v>178</v>
      </c>
      <c r="I980" s="70" t="s">
        <v>216</v>
      </c>
      <c r="J980" s="71">
        <f>IF(OR(I980=0,I980=""),"unrated",VLOOKUP(I980,MappingTables!$B$19:$C$31,2,FALSE))</f>
        <v>0</v>
      </c>
      <c r="K980" s="72">
        <v>8253.4434465120672</v>
      </c>
      <c r="L980" s="70">
        <v>0.44372013362712224</v>
      </c>
      <c r="M980" s="71">
        <f>IF(L980&lt;1,1,L980)</f>
        <v>1</v>
      </c>
      <c r="N980" s="70" t="s">
        <v>141</v>
      </c>
      <c r="O980" s="71">
        <f>INDEX(DurClassMapping,MATCH(M980,MappingTables!$D$4:$D$8,-1),1)</f>
        <v>1</v>
      </c>
      <c r="P980" s="73">
        <f>IF(M980=$A$1,1,$M980-INDEX(MappingTables!$E$4:$E$8,MATCH(O980,MappingTables!$B$4:$B$8,0)))</f>
        <v>1</v>
      </c>
      <c r="Q980" s="71">
        <f>IF(B980="",0,INDEX(ModelParameters!$D$6:$K$10,MATCH($O980,ModelParameters!$B$6:$B$10,0),MATCH($J980,ModelParameters!$D$5:$K$5,0)))</f>
        <v>0.0090000000000000016</v>
      </c>
      <c r="R980" s="71">
        <f>IF(B980="",0,INDEX(ModelParameters!$D$13:$K$17,MATCH($O980,ModelParameters!$B$13:$B$17,0),MATCH($J980,ModelParameters!$D$5:$K$5,0)))</f>
        <v>0</v>
      </c>
      <c r="S980" s="160">
        <f>IF(B980="",0,MIN(IF($N980="Other Bond TM",ModelParameters!$N$21,1)*(P980*Q980+R980),1))</f>
        <v>0.0090000000000000016</v>
      </c>
      <c r="T980" s="85">
        <f>IF(B980="",0,$S980*$K980)</f>
        <v>74.280991018608608</v>
      </c>
      <c r="U980" s="85">
        <f>IF(B980="",0,IF(OR(H980=MappingTables!$C$34,H980=MappingTables!$C$35),T980,0))</f>
        <v>0</v>
      </c>
      <c r="V980" s="85">
        <f>IF(ISNA(IF(AND(VLOOKUP(CONCATENATE($D980,$G980),CSRFinput!$B:$E,4,0)=0,OR(H980=MappingTables!$C$34,H980=MappingTables!$C$35)),1,VLOOKUP(CONCATENATE($D980,$G980),CSRFinput!$B:$E,4,0))),0,IF(AND(VLOOKUP(CONCATENATE($D980,$G980),CSRFinput!$B:$E,4,0)=0,OR(H980=MappingTables!$C$34,H980=MappingTables!$C$35)),1,VLOOKUP(CONCATENATE($D980,$G980),CSRFinput!$B:$E,4,0)))</f>
        <v>0.054776304963434752</v>
      </c>
      <c r="W980" s="85">
        <f>IF(B980="",0,+$T980*$V980)</f>
        <v>4.0688382170214624</v>
      </c>
      <c r="X980" s="85">
        <f>IF(B980="",0,IF(OR(H980=MappingTables!$C$34,H980=MappingTables!$C$35),W980,0))</f>
        <v>0</v>
      </c>
    </row>
    <row r="981" spans="2:24" s="0" customFormat="0" ht="15">
      <c r="B981" s="69" t="s">
        <v>1276</v>
      </c>
      <c r="C981" s="70" t="s">
        <v>1277</v>
      </c>
      <c r="D981" s="70" t="s">
        <v>1</v>
      </c>
      <c r="E981" s="70" t="s">
        <v>1</v>
      </c>
      <c r="F981" s="70"/>
      <c r="G981" s="70" t="s">
        <v>61</v>
      </c>
      <c r="H981" s="70" t="s">
        <v>178</v>
      </c>
      <c r="I981" s="70" t="s">
        <v>181</v>
      </c>
      <c r="J981" s="71">
        <f>IF(OR(I981=0,I981=""),"unrated",VLOOKUP(I981,MappingTables!$B$19:$C$31,2,FALSE))</f>
        <v>3</v>
      </c>
      <c r="K981" s="72">
        <v>15.990394232205848</v>
      </c>
      <c r="L981" s="70">
        <v>0.720553919447766</v>
      </c>
      <c r="M981" s="71">
        <f>IF(L981&lt;1,1,L981)</f>
        <v>1</v>
      </c>
      <c r="N981" s="70" t="s">
        <v>141</v>
      </c>
      <c r="O981" s="71">
        <f>INDEX(DurClassMapping,MATCH(M981,MappingTables!$D$4:$D$8,-1),1)</f>
        <v>1</v>
      </c>
      <c r="P981" s="73">
        <f>IF(M981=$A$1,1,$M981-INDEX(MappingTables!$E$4:$E$8,MATCH(O981,MappingTables!$B$4:$B$8,0)))</f>
        <v>1</v>
      </c>
      <c r="Q981" s="71">
        <f>IF(B981="",0,INDEX(ModelParameters!$D$6:$K$10,MATCH($O981,ModelParameters!$B$6:$B$10,0),MATCH($J981,ModelParameters!$D$5:$K$5,0)))</f>
        <v>0.025</v>
      </c>
      <c r="R981" s="71">
        <f>IF(B981="",0,INDEX(ModelParameters!$D$13:$K$17,MATCH($O981,ModelParameters!$B$13:$B$17,0),MATCH($J981,ModelParameters!$D$5:$K$5,0)))</f>
        <v>0</v>
      </c>
      <c r="S981" s="160">
        <f>IF(B981="",0,MIN(IF($N981="Other Bond TM",ModelParameters!$N$21,1)*(P981*Q981+R981),1))</f>
        <v>0.025</v>
      </c>
      <c r="T981" s="85">
        <f>IF(B981="",0,$S981*$K981)</f>
        <v>0.39975985580514624</v>
      </c>
      <c r="U981" s="85">
        <f>IF(B981="",0,IF(OR(H981=MappingTables!$C$34,H981=MappingTables!$C$35),T981,0))</f>
        <v>0</v>
      </c>
      <c r="V981" s="85">
        <f>IF(ISNA(IF(AND(VLOOKUP(CONCATENATE($D981,$G981),CSRFinput!$B:$E,4,0)=0,OR(H981=MappingTables!$C$34,H981=MappingTables!$C$35)),1,VLOOKUP(CONCATENATE($D981,$G981),CSRFinput!$B:$E,4,0))),0,IF(AND(VLOOKUP(CONCATENATE($D981,$G981),CSRFinput!$B:$E,4,0)=0,OR(H981=MappingTables!$C$34,H981=MappingTables!$C$35)),1,VLOOKUP(CONCATENATE($D981,$G981),CSRFinput!$B:$E,4,0)))</f>
        <v>0.054776304963434752</v>
      </c>
      <c r="W981" s="85">
        <f>IF(B981="",0,+$T981*$V981)</f>
        <v>0.021897367773721392</v>
      </c>
      <c r="X981" s="85">
        <f>IF(B981="",0,IF(OR(H981=MappingTables!$C$34,H981=MappingTables!$C$35),W981,0))</f>
        <v>0</v>
      </c>
    </row>
    <row r="982" spans="2:24" s="0" customFormat="0" ht="15">
      <c r="B982" s="69">
        <v>16113933</v>
      </c>
      <c r="C982" s="70" t="s">
        <v>1278</v>
      </c>
      <c r="D982" s="70" t="s">
        <v>1</v>
      </c>
      <c r="E982" s="70" t="s">
        <v>1</v>
      </c>
      <c r="F982" s="70"/>
      <c r="G982" s="70" t="s">
        <v>61</v>
      </c>
      <c r="H982" s="70" t="s">
        <v>178</v>
      </c>
      <c r="I982" s="70" t="s">
        <v>181</v>
      </c>
      <c r="J982" s="71">
        <f>IF(OR(I982=0,I982=""),"unrated",VLOOKUP(I982,MappingTables!$B$19:$C$31,2,FALSE))</f>
        <v>3</v>
      </c>
      <c r="K982" s="72">
        <v>609.52300210889128</v>
      </c>
      <c r="L982" s="70">
        <v>0.12876773546208412</v>
      </c>
      <c r="M982" s="71">
        <f>IF(L982&lt;1,1,L982)</f>
        <v>1</v>
      </c>
      <c r="N982" s="70" t="s">
        <v>141</v>
      </c>
      <c r="O982" s="71">
        <f>INDEX(DurClassMapping,MATCH(M982,MappingTables!$D$4:$D$8,-1),1)</f>
        <v>1</v>
      </c>
      <c r="P982" s="73">
        <f>IF(M982=$A$1,1,$M982-INDEX(MappingTables!$E$4:$E$8,MATCH(O982,MappingTables!$B$4:$B$8,0)))</f>
        <v>1</v>
      </c>
      <c r="Q982" s="71">
        <f>IF(B982="",0,INDEX(ModelParameters!$D$6:$K$10,MATCH($O982,ModelParameters!$B$6:$B$10,0),MATCH($J982,ModelParameters!$D$5:$K$5,0)))</f>
        <v>0.025</v>
      </c>
      <c r="R982" s="71">
        <f>IF(B982="",0,INDEX(ModelParameters!$D$13:$K$17,MATCH($O982,ModelParameters!$B$13:$B$17,0),MATCH($J982,ModelParameters!$D$5:$K$5,0)))</f>
        <v>0</v>
      </c>
      <c r="S982" s="160">
        <f>IF(B982="",0,MIN(IF($N982="Other Bond TM",ModelParameters!$N$21,1)*(P982*Q982+R982),1))</f>
        <v>0.025</v>
      </c>
      <c r="T982" s="85">
        <f>IF(B982="",0,$S982*$K982)</f>
        <v>15.238075052722284</v>
      </c>
      <c r="U982" s="85">
        <f>IF(B982="",0,IF(OR(H982=MappingTables!$C$34,H982=MappingTables!$C$35),T982,0))</f>
        <v>0</v>
      </c>
      <c r="V982" s="85">
        <f>IF(ISNA(IF(AND(VLOOKUP(CONCATENATE($D982,$G982),CSRFinput!$B:$E,4,0)=0,OR(H982=MappingTables!$C$34,H982=MappingTables!$C$35)),1,VLOOKUP(CONCATENATE($D982,$G982),CSRFinput!$B:$E,4,0))),0,IF(AND(VLOOKUP(CONCATENATE($D982,$G982),CSRFinput!$B:$E,4,0)=0,OR(H982=MappingTables!$C$34,H982=MappingTables!$C$35)),1,VLOOKUP(CONCATENATE($D982,$G982),CSRFinput!$B:$E,4,0)))</f>
        <v>0.054776304963434752</v>
      </c>
      <c r="W982" s="85">
        <f>IF(B982="",0,+$T982*$V982)</f>
        <v>0.83468544614362288</v>
      </c>
      <c r="X982" s="85">
        <f>IF(B982="",0,IF(OR(H982=MappingTables!$C$34,H982=MappingTables!$C$35),W982,0))</f>
        <v>0</v>
      </c>
    </row>
    <row r="983" spans="2:24" s="0" customFormat="0" ht="15">
      <c r="B983" s="69">
        <v>22317447</v>
      </c>
      <c r="C983" s="70" t="s">
        <v>1279</v>
      </c>
      <c r="D983" s="70" t="s">
        <v>1</v>
      </c>
      <c r="E983" s="70" t="s">
        <v>1</v>
      </c>
      <c r="F983" s="70"/>
      <c r="G983" s="70" t="s">
        <v>61</v>
      </c>
      <c r="H983" s="70" t="s">
        <v>178</v>
      </c>
      <c r="I983" s="70" t="s">
        <v>220</v>
      </c>
      <c r="J983" s="71">
        <f>IF(OR(I983=0,I983=""),"unrated",VLOOKUP(I983,MappingTables!$B$19:$C$31,2,FALSE))</f>
        <v>1</v>
      </c>
      <c r="K983" s="72">
        <v>1728.3371479332714</v>
      </c>
      <c r="L983" s="70">
        <v>2.3949114000762256</v>
      </c>
      <c r="M983" s="71">
        <f>IF(L983&lt;1,1,L983)</f>
        <v>2.3949114000762256</v>
      </c>
      <c r="N983" s="70" t="s">
        <v>141</v>
      </c>
      <c r="O983" s="71">
        <f>INDEX(DurClassMapping,MATCH(M983,MappingTables!$D$4:$D$8,-1),1)</f>
        <v>1</v>
      </c>
      <c r="P983" s="73">
        <f>IF(M983=$A$1,1,$M983-INDEX(MappingTables!$E$4:$E$8,MATCH(O983,MappingTables!$B$4:$B$8,0)))</f>
        <v>2.3949114000762256</v>
      </c>
      <c r="Q983" s="71">
        <f>IF(B983="",0,INDEX(ModelParameters!$D$6:$K$10,MATCH($O983,ModelParameters!$B$6:$B$10,0),MATCH($J983,ModelParameters!$D$5:$K$5,0)))</f>
        <v>0.011000000000000002</v>
      </c>
      <c r="R983" s="71">
        <f>IF(B983="",0,INDEX(ModelParameters!$D$13:$K$17,MATCH($O983,ModelParameters!$B$13:$B$17,0),MATCH($J983,ModelParameters!$D$5:$K$5,0)))</f>
        <v>0</v>
      </c>
      <c r="S983" s="160">
        <f>IF(B983="",0,MIN(IF($N983="Other Bond TM",ModelParameters!$N$21,1)*(P983*Q983+R983),1))</f>
        <v>0.026344025400838484</v>
      </c>
      <c r="T983" s="85">
        <f>IF(B983="",0,$S983*$K983)</f>
        <v>45.53135772636684</v>
      </c>
      <c r="U983" s="85">
        <f>IF(B983="",0,IF(OR(H983=MappingTables!$C$34,H983=MappingTables!$C$35),T983,0))</f>
        <v>0</v>
      </c>
      <c r="V983" s="85">
        <f>IF(ISNA(IF(AND(VLOOKUP(CONCATENATE($D983,$G983),CSRFinput!$B:$E,4,0)=0,OR(H983=MappingTables!$C$34,H983=MappingTables!$C$35)),1,VLOOKUP(CONCATENATE($D983,$G983),CSRFinput!$B:$E,4,0))),0,IF(AND(VLOOKUP(CONCATENATE($D983,$G983),CSRFinput!$B:$E,4,0)=0,OR(H983=MappingTables!$C$34,H983=MappingTables!$C$35)),1,VLOOKUP(CONCATENATE($D983,$G983),CSRFinput!$B:$E,4,0)))</f>
        <v>0.054776304963434752</v>
      </c>
      <c r="W983" s="85">
        <f>IF(B983="",0,+$T983*$V983)</f>
        <v>2.4940395362187116</v>
      </c>
      <c r="X983" s="85">
        <f>IF(B983="",0,IF(OR(H983=MappingTables!$C$34,H983=MappingTables!$C$35),W983,0))</f>
        <v>0</v>
      </c>
    </row>
    <row r="984" spans="2:24" s="0" customFormat="0" ht="15">
      <c r="B984" s="69" t="s">
        <v>820</v>
      </c>
      <c r="C984" s="70" t="s">
        <v>821</v>
      </c>
      <c r="D984" s="70" t="s">
        <v>1</v>
      </c>
      <c r="E984" s="70" t="s">
        <v>1</v>
      </c>
      <c r="F984" s="70"/>
      <c r="G984" s="70" t="s">
        <v>61</v>
      </c>
      <c r="H984" s="70" t="s">
        <v>178</v>
      </c>
      <c r="I984" s="70" t="s">
        <v>188</v>
      </c>
      <c r="J984" s="71">
        <f>IF(OR(I984=0,I984=""),"unrated",VLOOKUP(I984,MappingTables!$B$19:$C$31,2,FALSE))</f>
        <v>2</v>
      </c>
      <c r="K984" s="72">
        <v>12872.5306648601</v>
      </c>
      <c r="L984" s="70">
        <v>2.6738949527133888</v>
      </c>
      <c r="M984" s="71">
        <f>IF(L984&lt;1,1,L984)</f>
        <v>2.6738949527133888</v>
      </c>
      <c r="N984" s="70" t="s">
        <v>141</v>
      </c>
      <c r="O984" s="71">
        <f>INDEX(DurClassMapping,MATCH(M984,MappingTables!$D$4:$D$8,-1),1)</f>
        <v>1</v>
      </c>
      <c r="P984" s="73">
        <f>IF(M984=$A$1,1,$M984-INDEX(MappingTables!$E$4:$E$8,MATCH(O984,MappingTables!$B$4:$B$8,0)))</f>
        <v>2.6738949527133888</v>
      </c>
      <c r="Q984" s="71">
        <f>IF(B984="",0,INDEX(ModelParameters!$D$6:$K$10,MATCH($O984,ModelParameters!$B$6:$B$10,0),MATCH($J984,ModelParameters!$D$5:$K$5,0)))</f>
        <v>0.013999999999999998</v>
      </c>
      <c r="R984" s="71">
        <f>IF(B984="",0,INDEX(ModelParameters!$D$13:$K$17,MATCH($O984,ModelParameters!$B$13:$B$17,0),MATCH($J984,ModelParameters!$D$5:$K$5,0)))</f>
        <v>0</v>
      </c>
      <c r="S984" s="160">
        <f>IF(B984="",0,MIN(IF($N984="Other Bond TM",ModelParameters!$N$21,1)*(P984*Q984+R984),1))</f>
        <v>0.03743452933798744</v>
      </c>
      <c r="T984" s="85">
        <f>IF(B984="",0,$S984*$K984)</f>
        <v>481.8771268278484</v>
      </c>
      <c r="U984" s="85">
        <f>IF(B984="",0,IF(OR(H984=MappingTables!$C$34,H984=MappingTables!$C$35),T984,0))</f>
        <v>0</v>
      </c>
      <c r="V984" s="85">
        <f>IF(ISNA(IF(AND(VLOOKUP(CONCATENATE($D984,$G984),CSRFinput!$B:$E,4,0)=0,OR(H984=MappingTables!$C$34,H984=MappingTables!$C$35)),1,VLOOKUP(CONCATENATE($D984,$G984),CSRFinput!$B:$E,4,0))),0,IF(AND(VLOOKUP(CONCATENATE($D984,$G984),CSRFinput!$B:$E,4,0)=0,OR(H984=MappingTables!$C$34,H984=MappingTables!$C$35)),1,VLOOKUP(CONCATENATE($D984,$G984),CSRFinput!$B:$E,4,0)))</f>
        <v>0.054776304963434752</v>
      </c>
      <c r="W984" s="85">
        <f>IF(B984="",0,+$T984*$V984)</f>
        <v>26.395448454025948</v>
      </c>
      <c r="X984" s="85">
        <f>IF(B984="",0,IF(OR(H984=MappingTables!$C$34,H984=MappingTables!$C$35),W984,0))</f>
        <v>0</v>
      </c>
    </row>
    <row r="985" spans="2:24" s="0" customFormat="0" ht="15">
      <c r="B985" s="69">
        <v>21042940</v>
      </c>
      <c r="C985" s="70" t="s">
        <v>1280</v>
      </c>
      <c r="D985" s="70" t="s">
        <v>1</v>
      </c>
      <c r="E985" s="70" t="s">
        <v>1</v>
      </c>
      <c r="F985" s="70"/>
      <c r="G985" s="70" t="s">
        <v>61</v>
      </c>
      <c r="H985" s="70" t="s">
        <v>178</v>
      </c>
      <c r="I985" s="70" t="s">
        <v>181</v>
      </c>
      <c r="J985" s="71">
        <f>IF(OR(I985=0,I985=""),"unrated",VLOOKUP(I985,MappingTables!$B$19:$C$31,2,FALSE))</f>
        <v>3</v>
      </c>
      <c r="K985" s="72">
        <v>102949.05951752662</v>
      </c>
      <c r="L985" s="70">
        <v>5.2806090313151912</v>
      </c>
      <c r="M985" s="71">
        <f>IF(L985&lt;1,1,L985)</f>
        <v>5.2806090313151912</v>
      </c>
      <c r="N985" s="70" t="s">
        <v>141</v>
      </c>
      <c r="O985" s="71">
        <f>INDEX(DurClassMapping,MATCH(M985,MappingTables!$D$4:$D$8,-1),1)</f>
        <v>2</v>
      </c>
      <c r="P985" s="73">
        <f>IF(M985=$A$1,1,$M985-INDEX(MappingTables!$E$4:$E$8,MATCH(O985,MappingTables!$B$4:$B$8,0)))</f>
        <v>0.28060903131519144</v>
      </c>
      <c r="Q985" s="71">
        <f>IF(B985="",0,INDEX(ModelParameters!$D$6:$K$10,MATCH($O985,ModelParameters!$B$6:$B$10,0),MATCH($J985,ModelParameters!$D$5:$K$5,0)))</f>
        <v>0.015</v>
      </c>
      <c r="R985" s="71">
        <f>IF(B985="",0,INDEX(ModelParameters!$D$13:$K$17,MATCH($O985,ModelParameters!$B$13:$B$17,0),MATCH($J985,ModelParameters!$D$5:$K$5,0)))</f>
        <v>0.125</v>
      </c>
      <c r="S985" s="160">
        <f>IF(B985="",0,MIN(IF($N985="Other Bond TM",ModelParameters!$N$21,1)*(P985*Q985+R985),1))</f>
        <v>0.12920913546972788</v>
      </c>
      <c r="T985" s="85">
        <f>IF(B985="",0,$S985*$K985)</f>
        <v>13301.958977681176</v>
      </c>
      <c r="U985" s="85">
        <f>IF(B985="",0,IF(OR(H985=MappingTables!$C$34,H985=MappingTables!$C$35),T985,0))</f>
        <v>0</v>
      </c>
      <c r="V985" s="85">
        <f>IF(ISNA(IF(AND(VLOOKUP(CONCATENATE($D985,$G985),CSRFinput!$B:$E,4,0)=0,OR(H985=MappingTables!$C$34,H985=MappingTables!$C$35)),1,VLOOKUP(CONCATENATE($D985,$G985),CSRFinput!$B:$E,4,0))),0,IF(AND(VLOOKUP(CONCATENATE($D985,$G985),CSRFinput!$B:$E,4,0)=0,OR(H985=MappingTables!$C$34,H985=MappingTables!$C$35)),1,VLOOKUP(CONCATENATE($D985,$G985),CSRFinput!$B:$E,4,0)))</f>
        <v>0.054776304963434752</v>
      </c>
      <c r="W985" s="85">
        <f>IF(B985="",0,+$T985*$V985)</f>
        <v>728.63216157256288</v>
      </c>
      <c r="X985" s="85">
        <f>IF(B985="",0,IF(OR(H985=MappingTables!$C$34,H985=MappingTables!$C$35),W985,0))</f>
        <v>0</v>
      </c>
    </row>
    <row r="986" spans="2:24" s="0" customFormat="0" ht="15">
      <c r="B986" s="69">
        <v>23722534</v>
      </c>
      <c r="C986" s="70" t="s">
        <v>431</v>
      </c>
      <c r="D986" s="70" t="s">
        <v>1</v>
      </c>
      <c r="E986" s="70" t="s">
        <v>1</v>
      </c>
      <c r="F986" s="70"/>
      <c r="G986" s="70" t="s">
        <v>61</v>
      </c>
      <c r="H986" s="70" t="s">
        <v>178</v>
      </c>
      <c r="I986" s="70" t="s">
        <v>179</v>
      </c>
      <c r="J986" s="71">
        <f>IF(OR(I986=0,I986=""),"unrated",VLOOKUP(I986,MappingTables!$B$19:$C$31,2,FALSE))</f>
        <v>4</v>
      </c>
      <c r="K986" s="72">
        <v>69775.377848860416</v>
      </c>
      <c r="L986" s="70">
        <v>4.292288827359284</v>
      </c>
      <c r="M986" s="71">
        <f>IF(L986&lt;1,1,L986)</f>
        <v>4.292288827359284</v>
      </c>
      <c r="N986" s="70" t="s">
        <v>141</v>
      </c>
      <c r="O986" s="71">
        <f>INDEX(DurClassMapping,MATCH(M986,MappingTables!$D$4:$D$8,-1),1)</f>
        <v>1</v>
      </c>
      <c r="P986" s="73">
        <f>IF(M986=$A$1,1,$M986-INDEX(MappingTables!$E$4:$E$8,MATCH(O986,MappingTables!$B$4:$B$8,0)))</f>
        <v>4.292288827359284</v>
      </c>
      <c r="Q986" s="71">
        <f>IF(B986="",0,INDEX(ModelParameters!$D$6:$K$10,MATCH($O986,ModelParameters!$B$6:$B$10,0),MATCH($J986,ModelParameters!$D$5:$K$5,0)))</f>
        <v>0.045</v>
      </c>
      <c r="R986" s="71">
        <f>IF(B986="",0,INDEX(ModelParameters!$D$13:$K$17,MATCH($O986,ModelParameters!$B$13:$B$17,0),MATCH($J986,ModelParameters!$D$5:$K$5,0)))</f>
        <v>0</v>
      </c>
      <c r="S986" s="160">
        <f>IF(B986="",0,MIN(IF($N986="Other Bond TM",ModelParameters!$N$21,1)*(P986*Q986+R986),1))</f>
        <v>0.1931529972311678</v>
      </c>
      <c r="T986" s="85">
        <f>IF(B986="",0,$S986*$K986)</f>
        <v>13477.323364444622</v>
      </c>
      <c r="U986" s="85">
        <f>IF(B986="",0,IF(OR(H986=MappingTables!$C$34,H986=MappingTables!$C$35),T986,0))</f>
        <v>0</v>
      </c>
      <c r="V986" s="85">
        <f>IF(ISNA(IF(AND(VLOOKUP(CONCATENATE($D986,$G986),CSRFinput!$B:$E,4,0)=0,OR(H986=MappingTables!$C$34,H986=MappingTables!$C$35)),1,VLOOKUP(CONCATENATE($D986,$G986),CSRFinput!$B:$E,4,0))),0,IF(AND(VLOOKUP(CONCATENATE($D986,$G986),CSRFinput!$B:$E,4,0)=0,OR(H986=MappingTables!$C$34,H986=MappingTables!$C$35)),1,VLOOKUP(CONCATENATE($D986,$G986),CSRFinput!$B:$E,4,0)))</f>
        <v>0.054776304963434752</v>
      </c>
      <c r="W986" s="85">
        <f>IF(B986="",0,+$T986*$V986)</f>
        <v>738.23797470164304</v>
      </c>
      <c r="X986" s="85">
        <f>IF(B986="",0,IF(OR(H986=MappingTables!$C$34,H986=MappingTables!$C$35),W986,0))</f>
        <v>0</v>
      </c>
    </row>
    <row r="987" spans="2:24" s="0" customFormat="0" ht="15">
      <c r="B987" s="69">
        <v>14256170</v>
      </c>
      <c r="C987" s="70" t="s">
        <v>1281</v>
      </c>
      <c r="D987" s="70" t="s">
        <v>1</v>
      </c>
      <c r="E987" s="70" t="s">
        <v>1</v>
      </c>
      <c r="F987" s="70"/>
      <c r="G987" s="70" t="s">
        <v>61</v>
      </c>
      <c r="H987" s="70" t="s">
        <v>178</v>
      </c>
      <c r="I987" s="70" t="s">
        <v>181</v>
      </c>
      <c r="J987" s="71">
        <f>IF(OR(I987=0,I987=""),"unrated",VLOOKUP(I987,MappingTables!$B$19:$C$31,2,FALSE))</f>
        <v>3</v>
      </c>
      <c r="K987" s="72">
        <v>228.93268854025752</v>
      </c>
      <c r="L987" s="70">
        <v>1.3986354089517596</v>
      </c>
      <c r="M987" s="71">
        <f>IF(L987&lt;1,1,L987)</f>
        <v>1.3986354089517596</v>
      </c>
      <c r="N987" s="70" t="s">
        <v>141</v>
      </c>
      <c r="O987" s="71">
        <f>INDEX(DurClassMapping,MATCH(M987,MappingTables!$D$4:$D$8,-1),1)</f>
        <v>1</v>
      </c>
      <c r="P987" s="73">
        <f>IF(M987=$A$1,1,$M987-INDEX(MappingTables!$E$4:$E$8,MATCH(O987,MappingTables!$B$4:$B$8,0)))</f>
        <v>1.3986354089517596</v>
      </c>
      <c r="Q987" s="71">
        <f>IF(B987="",0,INDEX(ModelParameters!$D$6:$K$10,MATCH($O987,ModelParameters!$B$6:$B$10,0),MATCH($J987,ModelParameters!$D$5:$K$5,0)))</f>
        <v>0.025</v>
      </c>
      <c r="R987" s="71">
        <f>IF(B987="",0,INDEX(ModelParameters!$D$13:$K$17,MATCH($O987,ModelParameters!$B$13:$B$17,0),MATCH($J987,ModelParameters!$D$5:$K$5,0)))</f>
        <v>0</v>
      </c>
      <c r="S987" s="160">
        <f>IF(B987="",0,MIN(IF($N987="Other Bond TM",ModelParameters!$N$21,1)*(P987*Q987+R987),1))</f>
        <v>0.034965885223793992</v>
      </c>
      <c r="T987" s="85">
        <f>IF(B987="",0,$S987*$K987)</f>
        <v>8.0048341114732224</v>
      </c>
      <c r="U987" s="85">
        <f>IF(B987="",0,IF(OR(H987=MappingTables!$C$34,H987=MappingTables!$C$35),T987,0))</f>
        <v>0</v>
      </c>
      <c r="V987" s="85">
        <f>IF(ISNA(IF(AND(VLOOKUP(CONCATENATE($D987,$G987),CSRFinput!$B:$E,4,0)=0,OR(H987=MappingTables!$C$34,H987=MappingTables!$C$35)),1,VLOOKUP(CONCATENATE($D987,$G987),CSRFinput!$B:$E,4,0))),0,IF(AND(VLOOKUP(CONCATENATE($D987,$G987),CSRFinput!$B:$E,4,0)=0,OR(H987=MappingTables!$C$34,H987=MappingTables!$C$35)),1,VLOOKUP(CONCATENATE($D987,$G987),CSRFinput!$B:$E,4,0)))</f>
        <v>0.054776304963434752</v>
      </c>
      <c r="W987" s="85">
        <f>IF(B987="",0,+$T987*$V987)</f>
        <v>0.43847523447176248</v>
      </c>
      <c r="X987" s="85">
        <f>IF(B987="",0,IF(OR(H987=MappingTables!$C$34,H987=MappingTables!$C$35),W987,0))</f>
        <v>0</v>
      </c>
    </row>
    <row r="988" spans="2:24" s="0" customFormat="0" ht="15">
      <c r="B988" s="69">
        <v>19612059</v>
      </c>
      <c r="C988" s="70" t="s">
        <v>1282</v>
      </c>
      <c r="D988" s="70" t="s">
        <v>1</v>
      </c>
      <c r="E988" s="70" t="s">
        <v>1</v>
      </c>
      <c r="F988" s="70"/>
      <c r="G988" s="70" t="s">
        <v>61</v>
      </c>
      <c r="H988" s="70" t="s">
        <v>178</v>
      </c>
      <c r="I988" s="70" t="s">
        <v>179</v>
      </c>
      <c r="J988" s="71">
        <f>IF(OR(I988=0,I988=""),"unrated",VLOOKUP(I988,MappingTables!$B$19:$C$31,2,FALSE))</f>
        <v>4</v>
      </c>
      <c r="K988" s="72">
        <v>2612.0030077901088</v>
      </c>
      <c r="L988" s="70">
        <v>1.296555304599792</v>
      </c>
      <c r="M988" s="71">
        <f>IF(L988&lt;1,1,L988)</f>
        <v>1.296555304599792</v>
      </c>
      <c r="N988" s="70" t="s">
        <v>141</v>
      </c>
      <c r="O988" s="71">
        <f>INDEX(DurClassMapping,MATCH(M988,MappingTables!$D$4:$D$8,-1),1)</f>
        <v>1</v>
      </c>
      <c r="P988" s="73">
        <f>IF(M988=$A$1,1,$M988-INDEX(MappingTables!$E$4:$E$8,MATCH(O988,MappingTables!$B$4:$B$8,0)))</f>
        <v>1.296555304599792</v>
      </c>
      <c r="Q988" s="71">
        <f>IF(B988="",0,INDEX(ModelParameters!$D$6:$K$10,MATCH($O988,ModelParameters!$B$6:$B$10,0),MATCH($J988,ModelParameters!$D$5:$K$5,0)))</f>
        <v>0.045</v>
      </c>
      <c r="R988" s="71">
        <f>IF(B988="",0,INDEX(ModelParameters!$D$13:$K$17,MATCH($O988,ModelParameters!$B$13:$B$17,0),MATCH($J988,ModelParameters!$D$5:$K$5,0)))</f>
        <v>0</v>
      </c>
      <c r="S988" s="160">
        <f>IF(B988="",0,MIN(IF($N988="Other Bond TM",ModelParameters!$N$21,1)*(P988*Q988+R988),1))</f>
        <v>0.058344988706990632</v>
      </c>
      <c r="T988" s="85">
        <f>IF(B988="",0,$S988*$K988)</f>
        <v>152.39728599213948</v>
      </c>
      <c r="U988" s="85">
        <f>IF(B988="",0,IF(OR(H988=MappingTables!$C$34,H988=MappingTables!$C$35),T988,0))</f>
        <v>0</v>
      </c>
      <c r="V988" s="85">
        <f>IF(ISNA(IF(AND(VLOOKUP(CONCATENATE($D988,$G988),CSRFinput!$B:$E,4,0)=0,OR(H988=MappingTables!$C$34,H988=MappingTables!$C$35)),1,VLOOKUP(CONCATENATE($D988,$G988),CSRFinput!$B:$E,4,0))),0,IF(AND(VLOOKUP(CONCATENATE($D988,$G988),CSRFinput!$B:$E,4,0)=0,OR(H988=MappingTables!$C$34,H988=MappingTables!$C$35)),1,VLOOKUP(CONCATENATE($D988,$G988),CSRFinput!$B:$E,4,0)))</f>
        <v>0.054776304963434752</v>
      </c>
      <c r="W988" s="85">
        <f>IF(B988="",0,+$T988*$V988)</f>
        <v>8.3477602131052144</v>
      </c>
      <c r="X988" s="85">
        <f>IF(B988="",0,IF(OR(H988=MappingTables!$C$34,H988=MappingTables!$C$35),W988,0))</f>
        <v>0</v>
      </c>
    </row>
    <row r="989" spans="2:24" s="0" customFormat="0" ht="15">
      <c r="B989" s="69">
        <v>21015446</v>
      </c>
      <c r="C989" s="70" t="s">
        <v>1283</v>
      </c>
      <c r="D989" s="70" t="s">
        <v>1</v>
      </c>
      <c r="E989" s="70" t="s">
        <v>1</v>
      </c>
      <c r="F989" s="70"/>
      <c r="G989" s="70" t="s">
        <v>61</v>
      </c>
      <c r="H989" s="70" t="s">
        <v>178</v>
      </c>
      <c r="I989" s="70" t="s">
        <v>198</v>
      </c>
      <c r="J989" s="71" t="str">
        <f>IF(OR(I989=0,I989=""),"unrated",VLOOKUP(I989,MappingTables!$B$19:$C$31,2,FALSE))</f>
        <v>unrated</v>
      </c>
      <c r="K989" s="72">
        <v>120.66766850924012</v>
      </c>
      <c r="L989" s="70">
        <v>7.1105138659258584</v>
      </c>
      <c r="M989" s="71">
        <f>IF(L989&lt;1,1,L989)</f>
        <v>7.1105138659258584</v>
      </c>
      <c r="N989" s="70" t="s">
        <v>141</v>
      </c>
      <c r="O989" s="71">
        <f>INDEX(DurClassMapping,MATCH(M989,MappingTables!$D$4:$D$8,-1),1)</f>
        <v>2</v>
      </c>
      <c r="P989" s="73">
        <f>IF(M989=$A$1,1,$M989-INDEX(MappingTables!$E$4:$E$8,MATCH(O989,MappingTables!$B$4:$B$8,0)))</f>
        <v>2.1105138659258584</v>
      </c>
      <c r="Q989" s="71">
        <f>IF(B989="",0,INDEX(ModelParameters!$D$6:$K$10,MATCH($O989,ModelParameters!$B$6:$B$10,0),MATCH($J989,ModelParameters!$D$5:$K$5,0)))</f>
        <v>0.017000000000000002</v>
      </c>
      <c r="R989" s="71">
        <f>IF(B989="",0,INDEX(ModelParameters!$D$13:$K$17,MATCH($O989,ModelParameters!$B$13:$B$17,0),MATCH($J989,ModelParameters!$D$5:$K$5,0)))</f>
        <v>0.15</v>
      </c>
      <c r="S989" s="160">
        <f>IF(B989="",0,MIN(IF($N989="Other Bond TM",ModelParameters!$N$21,1)*(P989*Q989+R989),1))</f>
        <v>0.1858787357207396</v>
      </c>
      <c r="T989" s="85">
        <f>IF(B989="",0,$S989*$K989)</f>
        <v>22.42955366486686</v>
      </c>
      <c r="U989" s="85">
        <f>IF(B989="",0,IF(OR(H989=MappingTables!$C$34,H989=MappingTables!$C$35),T989,0))</f>
        <v>0</v>
      </c>
      <c r="V989" s="85">
        <f>IF(ISNA(IF(AND(VLOOKUP(CONCATENATE($D989,$G989),CSRFinput!$B:$E,4,0)=0,OR(H989=MappingTables!$C$34,H989=MappingTables!$C$35)),1,VLOOKUP(CONCATENATE($D989,$G989),CSRFinput!$B:$E,4,0))),0,IF(AND(VLOOKUP(CONCATENATE($D989,$G989),CSRFinput!$B:$E,4,0)=0,OR(H989=MappingTables!$C$34,H989=MappingTables!$C$35)),1,VLOOKUP(CONCATENATE($D989,$G989),CSRFinput!$B:$E,4,0)))</f>
        <v>0.054776304963434752</v>
      </c>
      <c r="W989" s="85">
        <f>IF(B989="",0,+$T989*$V989)</f>
        <v>1.2286080717404726</v>
      </c>
      <c r="X989" s="85">
        <f>IF(B989="",0,IF(OR(H989=MappingTables!$C$34,H989=MappingTables!$C$35),W989,0))</f>
        <v>0</v>
      </c>
    </row>
    <row r="990" spans="2:24" s="0" customFormat="0" ht="15">
      <c r="B990" s="69">
        <v>17745733</v>
      </c>
      <c r="C990" s="70" t="s">
        <v>984</v>
      </c>
      <c r="D990" s="70" t="s">
        <v>1</v>
      </c>
      <c r="E990" s="70" t="s">
        <v>1</v>
      </c>
      <c r="F990" s="70"/>
      <c r="G990" s="70" t="s">
        <v>61</v>
      </c>
      <c r="H990" s="70" t="s">
        <v>178</v>
      </c>
      <c r="I990" s="70" t="s">
        <v>188</v>
      </c>
      <c r="J990" s="71">
        <f>IF(OR(I990=0,I990=""),"unrated",VLOOKUP(I990,MappingTables!$B$19:$C$31,2,FALSE))</f>
        <v>2</v>
      </c>
      <c r="K990" s="72">
        <v>0.91322515259346064</v>
      </c>
      <c r="L990" s="70">
        <v>0.78356991485768256</v>
      </c>
      <c r="M990" s="71">
        <f>IF(L990&lt;1,1,L990)</f>
        <v>1</v>
      </c>
      <c r="N990" s="70" t="s">
        <v>141</v>
      </c>
      <c r="O990" s="71">
        <f>INDEX(DurClassMapping,MATCH(M990,MappingTables!$D$4:$D$8,-1),1)</f>
        <v>1</v>
      </c>
      <c r="P990" s="73">
        <f>IF(M990=$A$1,1,$M990-INDEX(MappingTables!$E$4:$E$8,MATCH(O990,MappingTables!$B$4:$B$8,0)))</f>
        <v>1</v>
      </c>
      <c r="Q990" s="71">
        <f>IF(B990="",0,INDEX(ModelParameters!$D$6:$K$10,MATCH($O990,ModelParameters!$B$6:$B$10,0),MATCH($J990,ModelParameters!$D$5:$K$5,0)))</f>
        <v>0.013999999999999998</v>
      </c>
      <c r="R990" s="71">
        <f>IF(B990="",0,INDEX(ModelParameters!$D$13:$K$17,MATCH($O990,ModelParameters!$B$13:$B$17,0),MATCH($J990,ModelParameters!$D$5:$K$5,0)))</f>
        <v>0</v>
      </c>
      <c r="S990" s="160">
        <f>IF(B990="",0,MIN(IF($N990="Other Bond TM",ModelParameters!$N$21,1)*(P990*Q990+R990),1))</f>
        <v>0.013999999999999998</v>
      </c>
      <c r="T990" s="85">
        <f>IF(B990="",0,$S990*$K990)</f>
        <v>0.012785152136308448</v>
      </c>
      <c r="U990" s="85">
        <f>IF(B990="",0,IF(OR(H990=MappingTables!$C$34,H990=MappingTables!$C$35),T990,0))</f>
        <v>0</v>
      </c>
      <c r="V990" s="85">
        <f>IF(ISNA(IF(AND(VLOOKUP(CONCATENATE($D990,$G990),CSRFinput!$B:$E,4,0)=0,OR(H990=MappingTables!$C$34,H990=MappingTables!$C$35)),1,VLOOKUP(CONCATENATE($D990,$G990),CSRFinput!$B:$E,4,0))),0,IF(AND(VLOOKUP(CONCATENATE($D990,$G990),CSRFinput!$B:$E,4,0)=0,OR(H990=MappingTables!$C$34,H990=MappingTables!$C$35)),1,VLOOKUP(CONCATENATE($D990,$G990),CSRFinput!$B:$E,4,0)))</f>
        <v>0.054776304963434752</v>
      </c>
      <c r="W990" s="85">
        <f>IF(B990="",0,+$T990*$V990)</f>
        <v>0.00070032339242234088</v>
      </c>
      <c r="X990" s="85">
        <f>IF(B990="",0,IF(OR(H990=MappingTables!$C$34,H990=MappingTables!$C$35),W990,0))</f>
        <v>0</v>
      </c>
    </row>
    <row r="991" spans="2:24" s="0" customFormat="0" ht="15">
      <c r="B991" s="69">
        <v>13102389</v>
      </c>
      <c r="C991" s="70" t="s">
        <v>1284</v>
      </c>
      <c r="D991" s="70" t="s">
        <v>1</v>
      </c>
      <c r="E991" s="70" t="s">
        <v>1</v>
      </c>
      <c r="F991" s="70"/>
      <c r="G991" s="70" t="s">
        <v>61</v>
      </c>
      <c r="H991" s="70" t="s">
        <v>178</v>
      </c>
      <c r="I991" s="70" t="s">
        <v>188</v>
      </c>
      <c r="J991" s="71">
        <f>IF(OR(I991=0,I991=""),"unrated",VLOOKUP(I991,MappingTables!$B$19:$C$31,2,FALSE))</f>
        <v>2</v>
      </c>
      <c r="K991" s="72">
        <v>985.5371009143696</v>
      </c>
      <c r="L991" s="70">
        <v>0.878465188126408</v>
      </c>
      <c r="M991" s="71">
        <f>IF(L991&lt;1,1,L991)</f>
        <v>1</v>
      </c>
      <c r="N991" s="70" t="s">
        <v>141</v>
      </c>
      <c r="O991" s="71">
        <f>INDEX(DurClassMapping,MATCH(M991,MappingTables!$D$4:$D$8,-1),1)</f>
        <v>1</v>
      </c>
      <c r="P991" s="73">
        <f>IF(M991=$A$1,1,$M991-INDEX(MappingTables!$E$4:$E$8,MATCH(O991,MappingTables!$B$4:$B$8,0)))</f>
        <v>1</v>
      </c>
      <c r="Q991" s="71">
        <f>IF(B991="",0,INDEX(ModelParameters!$D$6:$K$10,MATCH($O991,ModelParameters!$B$6:$B$10,0),MATCH($J991,ModelParameters!$D$5:$K$5,0)))</f>
        <v>0.013999999999999998</v>
      </c>
      <c r="R991" s="71">
        <f>IF(B991="",0,INDEX(ModelParameters!$D$13:$K$17,MATCH($O991,ModelParameters!$B$13:$B$17,0),MATCH($J991,ModelParameters!$D$5:$K$5,0)))</f>
        <v>0</v>
      </c>
      <c r="S991" s="160">
        <f>IF(B991="",0,MIN(IF($N991="Other Bond TM",ModelParameters!$N$21,1)*(P991*Q991+R991),1))</f>
        <v>0.013999999999999998</v>
      </c>
      <c r="T991" s="85">
        <f>IF(B991="",0,$S991*$K991)</f>
        <v>13.797519412801172</v>
      </c>
      <c r="U991" s="85">
        <f>IF(B991="",0,IF(OR(H991=MappingTables!$C$34,H991=MappingTables!$C$35),T991,0))</f>
        <v>0</v>
      </c>
      <c r="V991" s="85">
        <f>IF(ISNA(IF(AND(VLOOKUP(CONCATENATE($D991,$G991),CSRFinput!$B:$E,4,0)=0,OR(H991=MappingTables!$C$34,H991=MappingTables!$C$35)),1,VLOOKUP(CONCATENATE($D991,$G991),CSRFinput!$B:$E,4,0))),0,IF(AND(VLOOKUP(CONCATENATE($D991,$G991),CSRFinput!$B:$E,4,0)=0,OR(H991=MappingTables!$C$34,H991=MappingTables!$C$35)),1,VLOOKUP(CONCATENATE($D991,$G991),CSRFinput!$B:$E,4,0)))</f>
        <v>0.054776304963434752</v>
      </c>
      <c r="W991" s="85">
        <f>IF(B991="",0,+$T991*$V991)</f>
        <v>0.75577713109450816</v>
      </c>
      <c r="X991" s="85">
        <f>IF(B991="",0,IF(OR(H991=MappingTables!$C$34,H991=MappingTables!$C$35),W991,0))</f>
        <v>0</v>
      </c>
    </row>
    <row r="992" spans="2:24" s="0" customFormat="0" ht="15">
      <c r="B992" s="69">
        <v>11773262</v>
      </c>
      <c r="C992" s="70" t="s">
        <v>1285</v>
      </c>
      <c r="D992" s="70" t="s">
        <v>1</v>
      </c>
      <c r="E992" s="70" t="s">
        <v>1</v>
      </c>
      <c r="F992" s="70"/>
      <c r="G992" s="70" t="s">
        <v>61</v>
      </c>
      <c r="H992" s="70" t="s">
        <v>178</v>
      </c>
      <c r="I992" s="70" t="s">
        <v>181</v>
      </c>
      <c r="J992" s="71">
        <f>IF(OR(I992=0,I992=""),"unrated",VLOOKUP(I992,MappingTables!$B$19:$C$31,2,FALSE))</f>
        <v>3</v>
      </c>
      <c r="K992" s="72">
        <v>10.567938216336894</v>
      </c>
      <c r="L992" s="70">
        <v>0.27945581163965748</v>
      </c>
      <c r="M992" s="71">
        <f>IF(L992&lt;1,1,L992)</f>
        <v>1</v>
      </c>
      <c r="N992" s="70" t="s">
        <v>141</v>
      </c>
      <c r="O992" s="71">
        <f>INDEX(DurClassMapping,MATCH(M992,MappingTables!$D$4:$D$8,-1),1)</f>
        <v>1</v>
      </c>
      <c r="P992" s="73">
        <f>IF(M992=$A$1,1,$M992-INDEX(MappingTables!$E$4:$E$8,MATCH(O992,MappingTables!$B$4:$B$8,0)))</f>
        <v>1</v>
      </c>
      <c r="Q992" s="71">
        <f>IF(B992="",0,INDEX(ModelParameters!$D$6:$K$10,MATCH($O992,ModelParameters!$B$6:$B$10,0),MATCH($J992,ModelParameters!$D$5:$K$5,0)))</f>
        <v>0.025</v>
      </c>
      <c r="R992" s="71">
        <f>IF(B992="",0,INDEX(ModelParameters!$D$13:$K$17,MATCH($O992,ModelParameters!$B$13:$B$17,0),MATCH($J992,ModelParameters!$D$5:$K$5,0)))</f>
        <v>0</v>
      </c>
      <c r="S992" s="160">
        <f>IF(B992="",0,MIN(IF($N992="Other Bond TM",ModelParameters!$N$21,1)*(P992*Q992+R992),1))</f>
        <v>0.025</v>
      </c>
      <c r="T992" s="85">
        <f>IF(B992="",0,$S992*$K992)</f>
        <v>0.26419845540842236</v>
      </c>
      <c r="U992" s="85">
        <f>IF(B992="",0,IF(OR(H992=MappingTables!$C$34,H992=MappingTables!$C$35),T992,0))</f>
        <v>0</v>
      </c>
      <c r="V992" s="85">
        <f>IF(ISNA(IF(AND(VLOOKUP(CONCATENATE($D992,$G992),CSRFinput!$B:$E,4,0)=0,OR(H992=MappingTables!$C$34,H992=MappingTables!$C$35)),1,VLOOKUP(CONCATENATE($D992,$G992),CSRFinput!$B:$E,4,0))),0,IF(AND(VLOOKUP(CONCATENATE($D992,$G992),CSRFinput!$B:$E,4,0)=0,OR(H992=MappingTables!$C$34,H992=MappingTables!$C$35)),1,VLOOKUP(CONCATENATE($D992,$G992),CSRFinput!$B:$E,4,0)))</f>
        <v>0.054776304963434752</v>
      </c>
      <c r="W992" s="85">
        <f>IF(B992="",0,+$T992*$V992)</f>
        <v>0.01447181516432016</v>
      </c>
      <c r="X992" s="85">
        <f>IF(B992="",0,IF(OR(H992=MappingTables!$C$34,H992=MappingTables!$C$35),W992,0))</f>
        <v>0</v>
      </c>
    </row>
    <row r="993" spans="2:24" s="0" customFormat="0" ht="15">
      <c r="B993" s="69">
        <v>12308376</v>
      </c>
      <c r="C993" s="70" t="s">
        <v>1286</v>
      </c>
      <c r="D993" s="70" t="s">
        <v>1</v>
      </c>
      <c r="E993" s="70" t="s">
        <v>1</v>
      </c>
      <c r="F993" s="70"/>
      <c r="G993" s="70" t="s">
        <v>61</v>
      </c>
      <c r="H993" s="70" t="s">
        <v>178</v>
      </c>
      <c r="I993" s="70" t="s">
        <v>179</v>
      </c>
      <c r="J993" s="71">
        <f>IF(OR(I993=0,I993=""),"unrated",VLOOKUP(I993,MappingTables!$B$19:$C$31,2,FALSE))</f>
        <v>4</v>
      </c>
      <c r="K993" s="72">
        <v>30485.652476385576</v>
      </c>
      <c r="L993" s="70">
        <v>4.6565937388071656</v>
      </c>
      <c r="M993" s="71">
        <f>IF(L993&lt;1,1,L993)</f>
        <v>4.6565937388071656</v>
      </c>
      <c r="N993" s="70" t="s">
        <v>141</v>
      </c>
      <c r="O993" s="71">
        <f>INDEX(DurClassMapping,MATCH(M993,MappingTables!$D$4:$D$8,-1),1)</f>
        <v>1</v>
      </c>
      <c r="P993" s="73">
        <f>IF(M993=$A$1,1,$M993-INDEX(MappingTables!$E$4:$E$8,MATCH(O993,MappingTables!$B$4:$B$8,0)))</f>
        <v>4.6565937388071656</v>
      </c>
      <c r="Q993" s="71">
        <f>IF(B993="",0,INDEX(ModelParameters!$D$6:$K$10,MATCH($O993,ModelParameters!$B$6:$B$10,0),MATCH($J993,ModelParameters!$D$5:$K$5,0)))</f>
        <v>0.045</v>
      </c>
      <c r="R993" s="71">
        <f>IF(B993="",0,INDEX(ModelParameters!$D$13:$K$17,MATCH($O993,ModelParameters!$B$13:$B$17,0),MATCH($J993,ModelParameters!$D$5:$K$5,0)))</f>
        <v>0</v>
      </c>
      <c r="S993" s="160">
        <f>IF(B993="",0,MIN(IF($N993="Other Bond TM",ModelParameters!$N$21,1)*(P993*Q993+R993),1))</f>
        <v>0.20954671824632244</v>
      </c>
      <c r="T993" s="85">
        <f>IF(B993="",0,$S993*$K993)</f>
        <v>6388.1684300244704</v>
      </c>
      <c r="U993" s="85">
        <f>IF(B993="",0,IF(OR(H993=MappingTables!$C$34,H993=MappingTables!$C$35),T993,0))</f>
        <v>0</v>
      </c>
      <c r="V993" s="85">
        <f>IF(ISNA(IF(AND(VLOOKUP(CONCATENATE($D993,$G993),CSRFinput!$B:$E,4,0)=0,OR(H993=MappingTables!$C$34,H993=MappingTables!$C$35)),1,VLOOKUP(CONCATENATE($D993,$G993),CSRFinput!$B:$E,4,0))),0,IF(AND(VLOOKUP(CONCATENATE($D993,$G993),CSRFinput!$B:$E,4,0)=0,OR(H993=MappingTables!$C$34,H993=MappingTables!$C$35)),1,VLOOKUP(CONCATENATE($D993,$G993),CSRFinput!$B:$E,4,0)))</f>
        <v>0.054776304963434752</v>
      </c>
      <c r="W993" s="85">
        <f>IF(B993="",0,+$T993*$V993)</f>
        <v>349.9202620808066</v>
      </c>
      <c r="X993" s="85">
        <f>IF(B993="",0,IF(OR(H993=MappingTables!$C$34,H993=MappingTables!$C$35),W993,0))</f>
        <v>0</v>
      </c>
    </row>
    <row r="994" spans="2:24" s="0" customFormat="0" ht="15">
      <c r="B994" s="69">
        <v>20374651</v>
      </c>
      <c r="C994" s="70" t="s">
        <v>396</v>
      </c>
      <c r="D994" s="70" t="s">
        <v>1</v>
      </c>
      <c r="E994" s="70" t="s">
        <v>1</v>
      </c>
      <c r="F994" s="70"/>
      <c r="G994" s="70" t="s">
        <v>61</v>
      </c>
      <c r="H994" s="70" t="s">
        <v>178</v>
      </c>
      <c r="I994" s="70" t="s">
        <v>181</v>
      </c>
      <c r="J994" s="71">
        <f>IF(OR(I994=0,I994=""),"unrated",VLOOKUP(I994,MappingTables!$B$19:$C$31,2,FALSE))</f>
        <v>3</v>
      </c>
      <c r="K994" s="72">
        <v>1635887.8326416016</v>
      </c>
      <c r="L994" s="70">
        <v>7.7356731623103152</v>
      </c>
      <c r="M994" s="71">
        <f>IF(L994&lt;1,1,L994)</f>
        <v>7.7356731623103152</v>
      </c>
      <c r="N994" s="70" t="s">
        <v>141</v>
      </c>
      <c r="O994" s="71">
        <f>INDEX(DurClassMapping,MATCH(M994,MappingTables!$D$4:$D$8,-1),1)</f>
        <v>2</v>
      </c>
      <c r="P994" s="73">
        <f>IF(M994=$A$1,1,$M994-INDEX(MappingTables!$E$4:$E$8,MATCH(O994,MappingTables!$B$4:$B$8,0)))</f>
        <v>2.7356731623103148</v>
      </c>
      <c r="Q994" s="71">
        <f>IF(B994="",0,INDEX(ModelParameters!$D$6:$K$10,MATCH($O994,ModelParameters!$B$6:$B$10,0),MATCH($J994,ModelParameters!$D$5:$K$5,0)))</f>
        <v>0.015</v>
      </c>
      <c r="R994" s="71">
        <f>IF(B994="",0,INDEX(ModelParameters!$D$13:$K$17,MATCH($O994,ModelParameters!$B$13:$B$17,0),MATCH($J994,ModelParameters!$D$5:$K$5,0)))</f>
        <v>0.125</v>
      </c>
      <c r="S994" s="160">
        <f>IF(B994="",0,MIN(IF($N994="Other Bond TM",ModelParameters!$N$21,1)*(P994*Q994+R994),1))</f>
        <v>0.16603509743465472</v>
      </c>
      <c r="T994" s="85">
        <f>IF(B994="",0,$S994*$K994)</f>
        <v>271614.79568481444</v>
      </c>
      <c r="U994" s="85">
        <f>IF(B994="",0,IF(OR(H994=MappingTables!$C$34,H994=MappingTables!$C$35),T994,0))</f>
        <v>0</v>
      </c>
      <c r="V994" s="85">
        <f>IF(ISNA(IF(AND(VLOOKUP(CONCATENATE($D994,$G994),CSRFinput!$B:$E,4,0)=0,OR(H994=MappingTables!$C$34,H994=MappingTables!$C$35)),1,VLOOKUP(CONCATENATE($D994,$G994),CSRFinput!$B:$E,4,0))),0,IF(AND(VLOOKUP(CONCATENATE($D994,$G994),CSRFinput!$B:$E,4,0)=0,OR(H994=MappingTables!$C$34,H994=MappingTables!$C$35)),1,VLOOKUP(CONCATENATE($D994,$G994),CSRFinput!$B:$E,4,0)))</f>
        <v>0.054776304963434752</v>
      </c>
      <c r="W994" s="85">
        <f>IF(B994="",0,+$T994*$V994)</f>
        <v>14878.054881012418</v>
      </c>
      <c r="X994" s="85">
        <f>IF(B994="",0,IF(OR(H994=MappingTables!$C$34,H994=MappingTables!$C$35),W994,0))</f>
        <v>0</v>
      </c>
    </row>
    <row r="995" spans="2:24" s="0" customFormat="0" ht="15">
      <c r="B995" s="69">
        <v>9277884</v>
      </c>
      <c r="C995" s="70" t="s">
        <v>584</v>
      </c>
      <c r="D995" s="70" t="s">
        <v>1</v>
      </c>
      <c r="E995" s="70" t="s">
        <v>1</v>
      </c>
      <c r="F995" s="70"/>
      <c r="G995" s="70" t="s">
        <v>61</v>
      </c>
      <c r="H995" s="70" t="s">
        <v>178</v>
      </c>
      <c r="I995" s="70" t="s">
        <v>188</v>
      </c>
      <c r="J995" s="71">
        <f>IF(OR(I995=0,I995=""),"unrated",VLOOKUP(I995,MappingTables!$B$19:$C$31,2,FALSE))</f>
        <v>2</v>
      </c>
      <c r="K995" s="72">
        <v>0.3687499015626984</v>
      </c>
      <c r="L995" s="70">
        <v>0.95617748879869792</v>
      </c>
      <c r="M995" s="71">
        <f>IF(L995&lt;1,1,L995)</f>
        <v>1</v>
      </c>
      <c r="N995" s="70" t="s">
        <v>141</v>
      </c>
      <c r="O995" s="71">
        <f>INDEX(DurClassMapping,MATCH(M995,MappingTables!$D$4:$D$8,-1),1)</f>
        <v>1</v>
      </c>
      <c r="P995" s="73">
        <f>IF(M995=$A$1,1,$M995-INDEX(MappingTables!$E$4:$E$8,MATCH(O995,MappingTables!$B$4:$B$8,0)))</f>
        <v>1</v>
      </c>
      <c r="Q995" s="71">
        <f>IF(B995="",0,INDEX(ModelParameters!$D$6:$K$10,MATCH($O995,ModelParameters!$B$6:$B$10,0),MATCH($J995,ModelParameters!$D$5:$K$5,0)))</f>
        <v>0.013999999999999998</v>
      </c>
      <c r="R995" s="71">
        <f>IF(B995="",0,INDEX(ModelParameters!$D$13:$K$17,MATCH($O995,ModelParameters!$B$13:$B$17,0),MATCH($J995,ModelParameters!$D$5:$K$5,0)))</f>
        <v>0</v>
      </c>
      <c r="S995" s="160">
        <f>IF(B995="",0,MIN(IF($N995="Other Bond TM",ModelParameters!$N$21,1)*(P995*Q995+R995),1))</f>
        <v>0.013999999999999998</v>
      </c>
      <c r="T995" s="85">
        <f>IF(B995="",0,$S995*$K995)</f>
        <v>0.0051624986218777768</v>
      </c>
      <c r="U995" s="85">
        <f>IF(B995="",0,IF(OR(H995=MappingTables!$C$34,H995=MappingTables!$C$35),T995,0))</f>
        <v>0</v>
      </c>
      <c r="V995" s="85">
        <f>IF(ISNA(IF(AND(VLOOKUP(CONCATENATE($D995,$G995),CSRFinput!$B:$E,4,0)=0,OR(H995=MappingTables!$C$34,H995=MappingTables!$C$35)),1,VLOOKUP(CONCATENATE($D995,$G995),CSRFinput!$B:$E,4,0))),0,IF(AND(VLOOKUP(CONCATENATE($D995,$G995),CSRFinput!$B:$E,4,0)=0,OR(H995=MappingTables!$C$34,H995=MappingTables!$C$35)),1,VLOOKUP(CONCATENATE($D995,$G995),CSRFinput!$B:$E,4,0)))</f>
        <v>0.054776304963434752</v>
      </c>
      <c r="W995" s="85">
        <f>IF(B995="",0,+$T995*$V995)</f>
        <v>0.00028278259888528872</v>
      </c>
      <c r="X995" s="85">
        <f>IF(B995="",0,IF(OR(H995=MappingTables!$C$34,H995=MappingTables!$C$35),W995,0))</f>
        <v>0</v>
      </c>
    </row>
    <row r="996" spans="2:24" s="0" customFormat="0" ht="15">
      <c r="B996" s="69">
        <v>12077048</v>
      </c>
      <c r="C996" s="70" t="s">
        <v>1287</v>
      </c>
      <c r="D996" s="70" t="s">
        <v>1</v>
      </c>
      <c r="E996" s="70" t="s">
        <v>1</v>
      </c>
      <c r="F996" s="70"/>
      <c r="G996" s="70" t="s">
        <v>61</v>
      </c>
      <c r="H996" s="70" t="s">
        <v>178</v>
      </c>
      <c r="I996" s="70" t="s">
        <v>181</v>
      </c>
      <c r="J996" s="71">
        <f>IF(OR(I996=0,I996=""),"unrated",VLOOKUP(I996,MappingTables!$B$19:$C$31,2,FALSE))</f>
        <v>3</v>
      </c>
      <c r="K996" s="72">
        <v>1920.9927663823348</v>
      </c>
      <c r="L996" s="70">
        <v>4.790889207695964</v>
      </c>
      <c r="M996" s="71">
        <f>IF(L996&lt;1,1,L996)</f>
        <v>4.790889207695964</v>
      </c>
      <c r="N996" s="70" t="s">
        <v>141</v>
      </c>
      <c r="O996" s="71">
        <f>INDEX(DurClassMapping,MATCH(M996,MappingTables!$D$4:$D$8,-1),1)</f>
        <v>1</v>
      </c>
      <c r="P996" s="73">
        <f>IF(M996=$A$1,1,$M996-INDEX(MappingTables!$E$4:$E$8,MATCH(O996,MappingTables!$B$4:$B$8,0)))</f>
        <v>4.790889207695964</v>
      </c>
      <c r="Q996" s="71">
        <f>IF(B996="",0,INDEX(ModelParameters!$D$6:$K$10,MATCH($O996,ModelParameters!$B$6:$B$10,0),MATCH($J996,ModelParameters!$D$5:$K$5,0)))</f>
        <v>0.025</v>
      </c>
      <c r="R996" s="71">
        <f>IF(B996="",0,INDEX(ModelParameters!$D$13:$K$17,MATCH($O996,ModelParameters!$B$13:$B$17,0),MATCH($J996,ModelParameters!$D$5:$K$5,0)))</f>
        <v>0</v>
      </c>
      <c r="S996" s="160">
        <f>IF(B996="",0,MIN(IF($N996="Other Bond TM",ModelParameters!$N$21,1)*(P996*Q996+R996),1))</f>
        <v>0.11977223019239912</v>
      </c>
      <c r="T996" s="85">
        <f>IF(B996="",0,$S996*$K996)</f>
        <v>230.0815878130786</v>
      </c>
      <c r="U996" s="85">
        <f>IF(B996="",0,IF(OR(H996=MappingTables!$C$34,H996=MappingTables!$C$35),T996,0))</f>
        <v>0</v>
      </c>
      <c r="V996" s="85">
        <f>IF(ISNA(IF(AND(VLOOKUP(CONCATENATE($D996,$G996),CSRFinput!$B:$E,4,0)=0,OR(H996=MappingTables!$C$34,H996=MappingTables!$C$35)),1,VLOOKUP(CONCATENATE($D996,$G996),CSRFinput!$B:$E,4,0))),0,IF(AND(VLOOKUP(CONCATENATE($D996,$G996),CSRFinput!$B:$E,4,0)=0,OR(H996=MappingTables!$C$34,H996=MappingTables!$C$35)),1,VLOOKUP(CONCATENATE($D996,$G996),CSRFinput!$B:$E,4,0)))</f>
        <v>0.054776304963434752</v>
      </c>
      <c r="W996" s="85">
        <f>IF(B996="",0,+$T996*$V996)</f>
        <v>12.603019220520486</v>
      </c>
      <c r="X996" s="85">
        <f>IF(B996="",0,IF(OR(H996=MappingTables!$C$34,H996=MappingTables!$C$35),W996,0))</f>
        <v>0</v>
      </c>
    </row>
    <row r="997" spans="2:24" s="0" customFormat="0" ht="15">
      <c r="B997" s="69">
        <v>17634084</v>
      </c>
      <c r="C997" s="70" t="s">
        <v>1288</v>
      </c>
      <c r="D997" s="70" t="s">
        <v>1</v>
      </c>
      <c r="E997" s="70" t="s">
        <v>1</v>
      </c>
      <c r="F997" s="70"/>
      <c r="G997" s="70" t="s">
        <v>61</v>
      </c>
      <c r="H997" s="70" t="s">
        <v>178</v>
      </c>
      <c r="I997" s="70" t="s">
        <v>179</v>
      </c>
      <c r="J997" s="71">
        <f>IF(OR(I997=0,I997=""),"unrated",VLOOKUP(I997,MappingTables!$B$19:$C$31,2,FALSE))</f>
        <v>4</v>
      </c>
      <c r="K997" s="72">
        <v>5059.2050372001256</v>
      </c>
      <c r="L997" s="70">
        <v>0.087674038183167408</v>
      </c>
      <c r="M997" s="71">
        <f>IF(L997&lt;1,1,L997)</f>
        <v>1</v>
      </c>
      <c r="N997" s="70" t="s">
        <v>141</v>
      </c>
      <c r="O997" s="71">
        <f>INDEX(DurClassMapping,MATCH(M997,MappingTables!$D$4:$D$8,-1),1)</f>
        <v>1</v>
      </c>
      <c r="P997" s="73">
        <f>IF(M997=$A$1,1,$M997-INDEX(MappingTables!$E$4:$E$8,MATCH(O997,MappingTables!$B$4:$B$8,0)))</f>
        <v>1</v>
      </c>
      <c r="Q997" s="71">
        <f>IF(B997="",0,INDEX(ModelParameters!$D$6:$K$10,MATCH($O997,ModelParameters!$B$6:$B$10,0),MATCH($J997,ModelParameters!$D$5:$K$5,0)))</f>
        <v>0.045</v>
      </c>
      <c r="R997" s="71">
        <f>IF(B997="",0,INDEX(ModelParameters!$D$13:$K$17,MATCH($O997,ModelParameters!$B$13:$B$17,0),MATCH($J997,ModelParameters!$D$5:$K$5,0)))</f>
        <v>0</v>
      </c>
      <c r="S997" s="160">
        <f>IF(B997="",0,MIN(IF($N997="Other Bond TM",ModelParameters!$N$21,1)*(P997*Q997+R997),1))</f>
        <v>0.045</v>
      </c>
      <c r="T997" s="85">
        <f>IF(B997="",0,$S997*$K997)</f>
        <v>227.66422667400564</v>
      </c>
      <c r="U997" s="85">
        <f>IF(B997="",0,IF(OR(H997=MappingTables!$C$34,H997=MappingTables!$C$35),T997,0))</f>
        <v>0</v>
      </c>
      <c r="V997" s="85">
        <f>IF(ISNA(IF(AND(VLOOKUP(CONCATENATE($D997,$G997),CSRFinput!$B:$E,4,0)=0,OR(H997=MappingTables!$C$34,H997=MappingTables!$C$35)),1,VLOOKUP(CONCATENATE($D997,$G997),CSRFinput!$B:$E,4,0))),0,IF(AND(VLOOKUP(CONCATENATE($D997,$G997),CSRFinput!$B:$E,4,0)=0,OR(H997=MappingTables!$C$34,H997=MappingTables!$C$35)),1,VLOOKUP(CONCATENATE($D997,$G997),CSRFinput!$B:$E,4,0)))</f>
        <v>0.054776304963434752</v>
      </c>
      <c r="W997" s="85">
        <f>IF(B997="",0,+$T997*$V997)</f>
        <v>12.47060510955987</v>
      </c>
      <c r="X997" s="85">
        <f>IF(B997="",0,IF(OR(H997=MappingTables!$C$34,H997=MappingTables!$C$35),W997,0))</f>
        <v>0</v>
      </c>
    </row>
    <row r="998" spans="2:24" s="0" customFormat="0" ht="15">
      <c r="B998" s="69">
        <v>24395138</v>
      </c>
      <c r="C998" s="70" t="s">
        <v>1289</v>
      </c>
      <c r="D998" s="70" t="s">
        <v>1</v>
      </c>
      <c r="E998" s="70" t="s">
        <v>1</v>
      </c>
      <c r="F998" s="70"/>
      <c r="G998" s="70" t="s">
        <v>61</v>
      </c>
      <c r="H998" s="70" t="s">
        <v>178</v>
      </c>
      <c r="I998" s="70" t="s">
        <v>188</v>
      </c>
      <c r="J998" s="71">
        <f>IF(OR(I998=0,I998=""),"unrated",VLOOKUP(I998,MappingTables!$B$19:$C$31,2,FALSE))</f>
        <v>2</v>
      </c>
      <c r="K998" s="72">
        <v>232.38987355974668</v>
      </c>
      <c r="L998" s="70">
        <v>0.36976003140973296</v>
      </c>
      <c r="M998" s="71">
        <f>IF(L998&lt;1,1,L998)</f>
        <v>1</v>
      </c>
      <c r="N998" s="70" t="s">
        <v>141</v>
      </c>
      <c r="O998" s="71">
        <f>INDEX(DurClassMapping,MATCH(M998,MappingTables!$D$4:$D$8,-1),1)</f>
        <v>1</v>
      </c>
      <c r="P998" s="73">
        <f>IF(M998=$A$1,1,$M998-INDEX(MappingTables!$E$4:$E$8,MATCH(O998,MappingTables!$B$4:$B$8,0)))</f>
        <v>1</v>
      </c>
      <c r="Q998" s="71">
        <f>IF(B998="",0,INDEX(ModelParameters!$D$6:$K$10,MATCH($O998,ModelParameters!$B$6:$B$10,0),MATCH($J998,ModelParameters!$D$5:$K$5,0)))</f>
        <v>0.013999999999999998</v>
      </c>
      <c r="R998" s="71">
        <f>IF(B998="",0,INDEX(ModelParameters!$D$13:$K$17,MATCH($O998,ModelParameters!$B$13:$B$17,0),MATCH($J998,ModelParameters!$D$5:$K$5,0)))</f>
        <v>0</v>
      </c>
      <c r="S998" s="160">
        <f>IF(B998="",0,MIN(IF($N998="Other Bond TM",ModelParameters!$N$21,1)*(P998*Q998+R998),1))</f>
        <v>0.013999999999999998</v>
      </c>
      <c r="T998" s="85">
        <f>IF(B998="",0,$S998*$K998)</f>
        <v>3.2534582298364532</v>
      </c>
      <c r="U998" s="85">
        <f>IF(B998="",0,IF(OR(H998=MappingTables!$C$34,H998=MappingTables!$C$35),T998,0))</f>
        <v>0</v>
      </c>
      <c r="V998" s="85">
        <f>IF(ISNA(IF(AND(VLOOKUP(CONCATENATE($D998,$G998),CSRFinput!$B:$E,4,0)=0,OR(H998=MappingTables!$C$34,H998=MappingTables!$C$35)),1,VLOOKUP(CONCATENATE($D998,$G998),CSRFinput!$B:$E,4,0))),0,IF(AND(VLOOKUP(CONCATENATE($D998,$G998),CSRFinput!$B:$E,4,0)=0,OR(H998=MappingTables!$C$34,H998=MappingTables!$C$35)),1,VLOOKUP(CONCATENATE($D998,$G998),CSRFinput!$B:$E,4,0)))</f>
        <v>0.054776304963434752</v>
      </c>
      <c r="W998" s="85">
        <f>IF(B998="",0,+$T998*$V998)</f>
        <v>0.17821242018331814</v>
      </c>
      <c r="X998" s="85">
        <f>IF(B998="",0,IF(OR(H998=MappingTables!$C$34,H998=MappingTables!$C$35),W998,0))</f>
        <v>0</v>
      </c>
    </row>
    <row r="999" spans="2:24" s="0" customFormat="0" ht="15">
      <c r="B999" s="69">
        <v>24123126</v>
      </c>
      <c r="C999" s="70" t="s">
        <v>1290</v>
      </c>
      <c r="D999" s="70" t="s">
        <v>1</v>
      </c>
      <c r="E999" s="70" t="s">
        <v>1</v>
      </c>
      <c r="F999" s="70"/>
      <c r="G999" s="70" t="s">
        <v>61</v>
      </c>
      <c r="H999" s="70" t="s">
        <v>178</v>
      </c>
      <c r="I999" s="70" t="s">
        <v>188</v>
      </c>
      <c r="J999" s="71">
        <f>IF(OR(I999=0,I999=""),"unrated",VLOOKUP(I999,MappingTables!$B$19:$C$31,2,FALSE))</f>
        <v>2</v>
      </c>
      <c r="K999" s="72">
        <v>6619.6667113943024</v>
      </c>
      <c r="L999" s="70">
        <v>8.4248190940363728</v>
      </c>
      <c r="M999" s="71">
        <f>IF(L999&lt;1,1,L999)</f>
        <v>8.4248190940363728</v>
      </c>
      <c r="N999" s="70" t="s">
        <v>141</v>
      </c>
      <c r="O999" s="71">
        <f>INDEX(DurClassMapping,MATCH(M999,MappingTables!$D$4:$D$8,-1),1)</f>
        <v>2</v>
      </c>
      <c r="P999" s="73">
        <f>IF(M999=$A$1,1,$M999-INDEX(MappingTables!$E$4:$E$8,MATCH(O999,MappingTables!$B$4:$B$8,0)))</f>
        <v>3.4248190940363728</v>
      </c>
      <c r="Q999" s="71">
        <f>IF(B999="",0,INDEX(ModelParameters!$D$6:$K$10,MATCH($O999,ModelParameters!$B$6:$B$10,0),MATCH($J999,ModelParameters!$D$5:$K$5,0)))</f>
        <v>0.0069999999999999992</v>
      </c>
      <c r="R999" s="71">
        <f>IF(B999="",0,INDEX(ModelParameters!$D$13:$K$17,MATCH($O999,ModelParameters!$B$13:$B$17,0),MATCH($J999,ModelParameters!$D$5:$K$5,0)))</f>
        <v>0.070000000000000008</v>
      </c>
      <c r="S999" s="160">
        <f>IF(B999="",0,MIN(IF($N999="Other Bond TM",ModelParameters!$N$21,1)*(P999*Q999+R999),1))</f>
        <v>0.093973733658254624</v>
      </c>
      <c r="T999" s="85">
        <f>IF(B999="",0,$S999*$K999)</f>
        <v>622.07479644298248</v>
      </c>
      <c r="U999" s="85">
        <f>IF(B999="",0,IF(OR(H999=MappingTables!$C$34,H999=MappingTables!$C$35),T999,0))</f>
        <v>0</v>
      </c>
      <c r="V999" s="85">
        <f>IF(ISNA(IF(AND(VLOOKUP(CONCATENATE($D999,$G999),CSRFinput!$B:$E,4,0)=0,OR(H999=MappingTables!$C$34,H999=MappingTables!$C$35)),1,VLOOKUP(CONCATENATE($D999,$G999),CSRFinput!$B:$E,4,0))),0,IF(AND(VLOOKUP(CONCATENATE($D999,$G999),CSRFinput!$B:$E,4,0)=0,OR(H999=MappingTables!$C$34,H999=MappingTables!$C$35)),1,VLOOKUP(CONCATENATE($D999,$G999),CSRFinput!$B:$E,4,0)))</f>
        <v>0.054776304963434752</v>
      </c>
      <c r="W999" s="85">
        <f>IF(B999="",0,+$T999*$V999)</f>
        <v>34.074958760027408</v>
      </c>
      <c r="X999" s="85">
        <f>IF(B999="",0,IF(OR(H999=MappingTables!$C$34,H999=MappingTables!$C$35),W999,0))</f>
        <v>0</v>
      </c>
    </row>
    <row r="1000" spans="2:24" s="0" customFormat="0" ht="15">
      <c r="B1000" s="69">
        <v>11583648</v>
      </c>
      <c r="C1000" s="70" t="s">
        <v>1291</v>
      </c>
      <c r="D1000" s="70" t="s">
        <v>1</v>
      </c>
      <c r="E1000" s="70" t="s">
        <v>1</v>
      </c>
      <c r="F1000" s="70"/>
      <c r="G1000" s="70" t="s">
        <v>61</v>
      </c>
      <c r="H1000" s="70" t="s">
        <v>178</v>
      </c>
      <c r="I1000" s="70" t="s">
        <v>216</v>
      </c>
      <c r="J1000" s="71">
        <f>IF(OR(I1000=0,I1000=""),"unrated",VLOOKUP(I1000,MappingTables!$B$19:$C$31,2,FALSE))</f>
        <v>0</v>
      </c>
      <c r="K1000" s="72">
        <v>309.53050199949804</v>
      </c>
      <c r="L1000" s="70">
        <v>0.18356515246696232</v>
      </c>
      <c r="M1000" s="71">
        <f>IF(L1000&lt;1,1,L1000)</f>
        <v>1</v>
      </c>
      <c r="N1000" s="70" t="s">
        <v>141</v>
      </c>
      <c r="O1000" s="71">
        <f>INDEX(DurClassMapping,MATCH(M1000,MappingTables!$D$4:$D$8,-1),1)</f>
        <v>1</v>
      </c>
      <c r="P1000" s="73">
        <f>IF(M1000=$A$1,1,$M1000-INDEX(MappingTables!$E$4:$E$8,MATCH(O1000,MappingTables!$B$4:$B$8,0)))</f>
        <v>1</v>
      </c>
      <c r="Q1000" s="71">
        <f>IF(B1000="",0,INDEX(ModelParameters!$D$6:$K$10,MATCH($O1000,ModelParameters!$B$6:$B$10,0),MATCH($J1000,ModelParameters!$D$5:$K$5,0)))</f>
        <v>0.0090000000000000016</v>
      </c>
      <c r="R1000" s="71">
        <f>IF(B1000="",0,INDEX(ModelParameters!$D$13:$K$17,MATCH($O1000,ModelParameters!$B$13:$B$17,0),MATCH($J1000,ModelParameters!$D$5:$K$5,0)))</f>
        <v>0</v>
      </c>
      <c r="S1000" s="160">
        <f>IF(B1000="",0,MIN(IF($N1000="Other Bond TM",ModelParameters!$N$21,1)*(P1000*Q1000+R1000),1))</f>
        <v>0.0090000000000000016</v>
      </c>
      <c r="T1000" s="85">
        <f>IF(B1000="",0,$S1000*$K1000)</f>
        <v>2.7857745179954824</v>
      </c>
      <c r="U1000" s="85">
        <f>IF(B1000="",0,IF(OR(H1000=MappingTables!$C$34,H1000=MappingTables!$C$35),T1000,0))</f>
        <v>0</v>
      </c>
      <c r="V1000" s="85">
        <f>IF(ISNA(IF(AND(VLOOKUP(CONCATENATE($D1000,$G1000),CSRFinput!$B:$E,4,0)=0,OR(H1000=MappingTables!$C$34,H1000=MappingTables!$C$35)),1,VLOOKUP(CONCATENATE($D1000,$G1000),CSRFinput!$B:$E,4,0))),0,IF(AND(VLOOKUP(CONCATENATE($D1000,$G1000),CSRFinput!$B:$E,4,0)=0,OR(H1000=MappingTables!$C$34,H1000=MappingTables!$C$35)),1,VLOOKUP(CONCATENATE($D1000,$G1000),CSRFinput!$B:$E,4,0)))</f>
        <v>0.054776304963434752</v>
      </c>
      <c r="W1000" s="85">
        <f>IF(B1000="",0,+$T1000*$V1000)</f>
        <v>0.15259443455708602</v>
      </c>
      <c r="X1000" s="85">
        <f>IF(B1000="",0,IF(OR(H1000=MappingTables!$C$34,H1000=MappingTables!$C$35),W1000,0))</f>
        <v>0</v>
      </c>
    </row>
    <row r="1001" spans="2:24" s="0" customFormat="0" ht="15">
      <c r="B1001" s="69" t="s">
        <v>1292</v>
      </c>
      <c r="C1001" s="70" t="s">
        <v>1293</v>
      </c>
      <c r="D1001" s="70" t="s">
        <v>1</v>
      </c>
      <c r="E1001" s="70" t="s">
        <v>1</v>
      </c>
      <c r="F1001" s="70"/>
      <c r="G1001" s="70" t="s">
        <v>61</v>
      </c>
      <c r="H1001" s="70" t="s">
        <v>178</v>
      </c>
      <c r="I1001" s="70" t="s">
        <v>198</v>
      </c>
      <c r="J1001" s="71" t="str">
        <f>IF(OR(I1001=0,I1001=""),"unrated",VLOOKUP(I1001,MappingTables!$B$19:$C$31,2,FALSE))</f>
        <v>unrated</v>
      </c>
      <c r="K1001" s="72">
        <v>6777.0292812413728</v>
      </c>
      <c r="L1001" s="70">
        <v>2.3934027885567716</v>
      </c>
      <c r="M1001" s="71">
        <f>IF(L1001&lt;1,1,L1001)</f>
        <v>2.3934027885567716</v>
      </c>
      <c r="N1001" s="70" t="s">
        <v>141</v>
      </c>
      <c r="O1001" s="71">
        <f>INDEX(DurClassMapping,MATCH(M1001,MappingTables!$D$4:$D$8,-1),1)</f>
        <v>1</v>
      </c>
      <c r="P1001" s="73">
        <f>IF(M1001=$A$1,1,$M1001-INDEX(MappingTables!$E$4:$E$8,MATCH(O1001,MappingTables!$B$4:$B$8,0)))</f>
        <v>2.3934027885567716</v>
      </c>
      <c r="Q1001" s="71">
        <f>IF(B1001="",0,INDEX(ModelParameters!$D$6:$K$10,MATCH($O1001,ModelParameters!$B$6:$B$10,0),MATCH($J1001,ModelParameters!$D$5:$K$5,0)))</f>
        <v>0.03</v>
      </c>
      <c r="R1001" s="71">
        <f>IF(B1001="",0,INDEX(ModelParameters!$D$13:$K$17,MATCH($O1001,ModelParameters!$B$13:$B$17,0),MATCH($J1001,ModelParameters!$D$5:$K$5,0)))</f>
        <v>0</v>
      </c>
      <c r="S1001" s="160">
        <f>IF(B1001="",0,MIN(IF($N1001="Other Bond TM",ModelParameters!$N$21,1)*(P1001*Q1001+R1001),1))</f>
        <v>0.071802083656703136</v>
      </c>
      <c r="T1001" s="85">
        <f>IF(B1001="",0,$S1001*$K1001)</f>
        <v>486.60482339561984</v>
      </c>
      <c r="U1001" s="85">
        <f>IF(B1001="",0,IF(OR(H1001=MappingTables!$C$34,H1001=MappingTables!$C$35),T1001,0))</f>
        <v>0</v>
      </c>
      <c r="V1001" s="85">
        <f>IF(ISNA(IF(AND(VLOOKUP(CONCATENATE($D1001,$G1001),CSRFinput!$B:$E,4,0)=0,OR(H1001=MappingTables!$C$34,H1001=MappingTables!$C$35)),1,VLOOKUP(CONCATENATE($D1001,$G1001),CSRFinput!$B:$E,4,0))),0,IF(AND(VLOOKUP(CONCATENATE($D1001,$G1001),CSRFinput!$B:$E,4,0)=0,OR(H1001=MappingTables!$C$34,H1001=MappingTables!$C$35)),1,VLOOKUP(CONCATENATE($D1001,$G1001),CSRFinput!$B:$E,4,0)))</f>
        <v>0.054776304963434752</v>
      </c>
      <c r="W1001" s="85">
        <f>IF(B1001="",0,+$T1001*$V1001)</f>
        <v>26.65441420299678</v>
      </c>
      <c r="X1001" s="85">
        <f>IF(B1001="",0,IF(OR(H1001=MappingTables!$C$34,H1001=MappingTables!$C$35),W1001,0))</f>
        <v>0</v>
      </c>
    </row>
    <row r="1002" spans="2:24" s="0" customFormat="0" ht="15">
      <c r="B1002" s="69">
        <v>12077015</v>
      </c>
      <c r="C1002" s="70" t="s">
        <v>1294</v>
      </c>
      <c r="D1002" s="70" t="s">
        <v>1</v>
      </c>
      <c r="E1002" s="70" t="s">
        <v>1</v>
      </c>
      <c r="F1002" s="70"/>
      <c r="G1002" s="70" t="s">
        <v>61</v>
      </c>
      <c r="H1002" s="70" t="s">
        <v>178</v>
      </c>
      <c r="I1002" s="70" t="s">
        <v>188</v>
      </c>
      <c r="J1002" s="71">
        <f>IF(OR(I1002=0,I1002=""),"unrated",VLOOKUP(I1002,MappingTables!$B$19:$C$31,2,FALSE))</f>
        <v>2</v>
      </c>
      <c r="K1002" s="72">
        <v>52.19900548797376</v>
      </c>
      <c r="L1002" s="70">
        <v>0.44931832315413192</v>
      </c>
      <c r="M1002" s="71">
        <f>IF(L1002&lt;1,1,L1002)</f>
        <v>1</v>
      </c>
      <c r="N1002" s="70" t="s">
        <v>141</v>
      </c>
      <c r="O1002" s="71">
        <f>INDEX(DurClassMapping,MATCH(M1002,MappingTables!$D$4:$D$8,-1),1)</f>
        <v>1</v>
      </c>
      <c r="P1002" s="73">
        <f>IF(M1002=$A$1,1,$M1002-INDEX(MappingTables!$E$4:$E$8,MATCH(O1002,MappingTables!$B$4:$B$8,0)))</f>
        <v>1</v>
      </c>
      <c r="Q1002" s="71">
        <f>IF(B1002="",0,INDEX(ModelParameters!$D$6:$K$10,MATCH($O1002,ModelParameters!$B$6:$B$10,0),MATCH($J1002,ModelParameters!$D$5:$K$5,0)))</f>
        <v>0.013999999999999998</v>
      </c>
      <c r="R1002" s="71">
        <f>IF(B1002="",0,INDEX(ModelParameters!$D$13:$K$17,MATCH($O1002,ModelParameters!$B$13:$B$17,0),MATCH($J1002,ModelParameters!$D$5:$K$5,0)))</f>
        <v>0</v>
      </c>
      <c r="S1002" s="160">
        <f>IF(B1002="",0,MIN(IF($N1002="Other Bond TM",ModelParameters!$N$21,1)*(P1002*Q1002+R1002),1))</f>
        <v>0.013999999999999998</v>
      </c>
      <c r="T1002" s="85">
        <f>IF(B1002="",0,$S1002*$K1002)</f>
        <v>0.73078607683163248</v>
      </c>
      <c r="U1002" s="85">
        <f>IF(B1002="",0,IF(OR(H1002=MappingTables!$C$34,H1002=MappingTables!$C$35),T1002,0))</f>
        <v>0</v>
      </c>
      <c r="V1002" s="85">
        <f>IF(ISNA(IF(AND(VLOOKUP(CONCATENATE($D1002,$G1002),CSRFinput!$B:$E,4,0)=0,OR(H1002=MappingTables!$C$34,H1002=MappingTables!$C$35)),1,VLOOKUP(CONCATENATE($D1002,$G1002),CSRFinput!$B:$E,4,0))),0,IF(AND(VLOOKUP(CONCATENATE($D1002,$G1002),CSRFinput!$B:$E,4,0)=0,OR(H1002=MappingTables!$C$34,H1002=MappingTables!$C$35)),1,VLOOKUP(CONCATENATE($D1002,$G1002),CSRFinput!$B:$E,4,0)))</f>
        <v>0.054776304963434752</v>
      </c>
      <c r="W1002" s="85">
        <f>IF(B1002="",0,+$T1002*$V1002)</f>
        <v>0.040029761007561568</v>
      </c>
      <c r="X1002" s="85">
        <f>IF(B1002="",0,IF(OR(H1002=MappingTables!$C$34,H1002=MappingTables!$C$35),W1002,0))</f>
        <v>0</v>
      </c>
    </row>
    <row r="1003" spans="2:24" s="0" customFormat="0" ht="15">
      <c r="B1003" s="69">
        <v>8904920</v>
      </c>
      <c r="C1003" s="70" t="s">
        <v>1295</v>
      </c>
      <c r="D1003" s="70" t="s">
        <v>1</v>
      </c>
      <c r="E1003" s="70" t="s">
        <v>1</v>
      </c>
      <c r="F1003" s="70"/>
      <c r="G1003" s="70" t="s">
        <v>61</v>
      </c>
      <c r="H1003" s="70" t="s">
        <v>178</v>
      </c>
      <c r="I1003" s="70" t="s">
        <v>181</v>
      </c>
      <c r="J1003" s="71">
        <f>IF(OR(I1003=0,I1003=""),"unrated",VLOOKUP(I1003,MappingTables!$B$19:$C$31,2,FALSE))</f>
        <v>3</v>
      </c>
      <c r="K1003" s="72">
        <v>2204.539690469688</v>
      </c>
      <c r="L1003" s="70">
        <v>3.4608204798537468</v>
      </c>
      <c r="M1003" s="71">
        <f>IF(L1003&lt;1,1,L1003)</f>
        <v>3.4608204798537468</v>
      </c>
      <c r="N1003" s="70" t="s">
        <v>141</v>
      </c>
      <c r="O1003" s="71">
        <f>INDEX(DurClassMapping,MATCH(M1003,MappingTables!$D$4:$D$8,-1),1)</f>
        <v>1</v>
      </c>
      <c r="P1003" s="73">
        <f>IF(M1003=$A$1,1,$M1003-INDEX(MappingTables!$E$4:$E$8,MATCH(O1003,MappingTables!$B$4:$B$8,0)))</f>
        <v>3.4608204798537468</v>
      </c>
      <c r="Q1003" s="71">
        <f>IF(B1003="",0,INDEX(ModelParameters!$D$6:$K$10,MATCH($O1003,ModelParameters!$B$6:$B$10,0),MATCH($J1003,ModelParameters!$D$5:$K$5,0)))</f>
        <v>0.025</v>
      </c>
      <c r="R1003" s="71">
        <f>IF(B1003="",0,INDEX(ModelParameters!$D$13:$K$17,MATCH($O1003,ModelParameters!$B$13:$B$17,0),MATCH($J1003,ModelParameters!$D$5:$K$5,0)))</f>
        <v>0</v>
      </c>
      <c r="S1003" s="160">
        <f>IF(B1003="",0,MIN(IF($N1003="Other Bond TM",ModelParameters!$N$21,1)*(P1003*Q1003+R1003),1))</f>
        <v>0.08652051199634368</v>
      </c>
      <c r="T1003" s="85">
        <f>IF(B1003="",0,$S1003*$K1003)</f>
        <v>190.73790273569844</v>
      </c>
      <c r="U1003" s="85">
        <f>IF(B1003="",0,IF(OR(H1003=MappingTables!$C$34,H1003=MappingTables!$C$35),T1003,0))</f>
        <v>0</v>
      </c>
      <c r="V1003" s="85">
        <f>IF(ISNA(IF(AND(VLOOKUP(CONCATENATE($D1003,$G1003),CSRFinput!$B:$E,4,0)=0,OR(H1003=MappingTables!$C$34,H1003=MappingTables!$C$35)),1,VLOOKUP(CONCATENATE($D1003,$G1003),CSRFinput!$B:$E,4,0))),0,IF(AND(VLOOKUP(CONCATENATE($D1003,$G1003),CSRFinput!$B:$E,4,0)=0,OR(H1003=MappingTables!$C$34,H1003=MappingTables!$C$35)),1,VLOOKUP(CONCATENATE($D1003,$G1003),CSRFinput!$B:$E,4,0)))</f>
        <v>0.054776304963434752</v>
      </c>
      <c r="W1003" s="85">
        <f>IF(B1003="",0,+$T1003*$V1003)</f>
        <v>10.447917528336574</v>
      </c>
      <c r="X1003" s="85">
        <f>IF(B1003="",0,IF(OR(H1003=MappingTables!$C$34,H1003=MappingTables!$C$35),W1003,0))</f>
        <v>0</v>
      </c>
    </row>
    <row r="1004" spans="2:24" s="0" customFormat="0" ht="15">
      <c r="B1004" s="69">
        <v>20788619</v>
      </c>
      <c r="C1004" s="70" t="s">
        <v>1089</v>
      </c>
      <c r="D1004" s="70" t="s">
        <v>1</v>
      </c>
      <c r="E1004" s="70" t="s">
        <v>1</v>
      </c>
      <c r="F1004" s="70"/>
      <c r="G1004" s="70" t="s">
        <v>61</v>
      </c>
      <c r="H1004" s="70" t="s">
        <v>178</v>
      </c>
      <c r="I1004" s="70" t="s">
        <v>184</v>
      </c>
      <c r="J1004" s="71">
        <f>IF(OR(I1004=0,I1004=""),"unrated",VLOOKUP(I1004,MappingTables!$B$19:$C$31,2,FALSE))</f>
        <v>5</v>
      </c>
      <c r="K1004" s="72">
        <v>17318.111165464336</v>
      </c>
      <c r="L1004" s="70">
        <v>3.3718631183890304</v>
      </c>
      <c r="M1004" s="71">
        <f>IF(L1004&lt;1,1,L1004)</f>
        <v>3.3718631183890304</v>
      </c>
      <c r="N1004" s="70" t="s">
        <v>141</v>
      </c>
      <c r="O1004" s="71">
        <f>INDEX(DurClassMapping,MATCH(M1004,MappingTables!$D$4:$D$8,-1),1)</f>
        <v>1</v>
      </c>
      <c r="P1004" s="73">
        <f>IF(M1004=$A$1,1,$M1004-INDEX(MappingTables!$E$4:$E$8,MATCH(O1004,MappingTables!$B$4:$B$8,0)))</f>
        <v>3.3718631183890304</v>
      </c>
      <c r="Q1004" s="71">
        <f>IF(B1004="",0,INDEX(ModelParameters!$D$6:$K$10,MATCH($O1004,ModelParameters!$B$6:$B$10,0),MATCH($J1004,ModelParameters!$D$5:$K$5,0)))</f>
        <v>0.075</v>
      </c>
      <c r="R1004" s="71">
        <f>IF(B1004="",0,INDEX(ModelParameters!$D$13:$K$17,MATCH($O1004,ModelParameters!$B$13:$B$17,0),MATCH($J1004,ModelParameters!$D$5:$K$5,0)))</f>
        <v>0</v>
      </c>
      <c r="S1004" s="160">
        <f>IF(B1004="",0,MIN(IF($N1004="Other Bond TM",ModelParameters!$N$21,1)*(P1004*Q1004+R1004),1))</f>
        <v>0.25288973387917728</v>
      </c>
      <c r="T1004" s="85">
        <f>IF(B1004="",0,$S1004*$K1004)</f>
        <v>4379.5725239242848</v>
      </c>
      <c r="U1004" s="85">
        <f>IF(B1004="",0,IF(OR(H1004=MappingTables!$C$34,H1004=MappingTables!$C$35),T1004,0))</f>
        <v>0</v>
      </c>
      <c r="V1004" s="85">
        <f>IF(ISNA(IF(AND(VLOOKUP(CONCATENATE($D1004,$G1004),CSRFinput!$B:$E,4,0)=0,OR(H1004=MappingTables!$C$34,H1004=MappingTables!$C$35)),1,VLOOKUP(CONCATENATE($D1004,$G1004),CSRFinput!$B:$E,4,0))),0,IF(AND(VLOOKUP(CONCATENATE($D1004,$G1004),CSRFinput!$B:$E,4,0)=0,OR(H1004=MappingTables!$C$34,H1004=MappingTables!$C$35)),1,VLOOKUP(CONCATENATE($D1004,$G1004),CSRFinput!$B:$E,4,0)))</f>
        <v>0.054776304963434752</v>
      </c>
      <c r="W1004" s="85">
        <f>IF(B1004="",0,+$T1004*$V1004)</f>
        <v>239.89680017995628</v>
      </c>
      <c r="X1004" s="85">
        <f>IF(B1004="",0,IF(OR(H1004=MappingTables!$C$34,H1004=MappingTables!$C$35),W1004,0))</f>
        <v>0</v>
      </c>
    </row>
    <row r="1005" spans="2:24" s="0" customFormat="0" ht="15">
      <c r="B1005" s="69" t="s">
        <v>1296</v>
      </c>
      <c r="C1005" s="70" t="s">
        <v>1297</v>
      </c>
      <c r="D1005" s="70" t="s">
        <v>1</v>
      </c>
      <c r="E1005" s="70" t="s">
        <v>1</v>
      </c>
      <c r="F1005" s="70"/>
      <c r="G1005" s="70" t="s">
        <v>61</v>
      </c>
      <c r="H1005" s="70" t="s">
        <v>178</v>
      </c>
      <c r="I1005" s="70" t="s">
        <v>181</v>
      </c>
      <c r="J1005" s="71">
        <f>IF(OR(I1005=0,I1005=""),"unrated",VLOOKUP(I1005,MappingTables!$B$19:$C$31,2,FALSE))</f>
        <v>3</v>
      </c>
      <c r="K1005" s="72">
        <v>44220.73828125</v>
      </c>
      <c r="L1005" s="70">
        <v>0.054794355978163168</v>
      </c>
      <c r="M1005" s="71">
        <f>IF(L1005&lt;1,1,L1005)</f>
        <v>1</v>
      </c>
      <c r="N1005" s="70" t="s">
        <v>141</v>
      </c>
      <c r="O1005" s="71">
        <f>INDEX(DurClassMapping,MATCH(M1005,MappingTables!$D$4:$D$8,-1),1)</f>
        <v>1</v>
      </c>
      <c r="P1005" s="73">
        <f>IF(M1005=$A$1,1,$M1005-INDEX(MappingTables!$E$4:$E$8,MATCH(O1005,MappingTables!$B$4:$B$8,0)))</f>
        <v>1</v>
      </c>
      <c r="Q1005" s="71">
        <f>IF(B1005="",0,INDEX(ModelParameters!$D$6:$K$10,MATCH($O1005,ModelParameters!$B$6:$B$10,0),MATCH($J1005,ModelParameters!$D$5:$K$5,0)))</f>
        <v>0.025</v>
      </c>
      <c r="R1005" s="71">
        <f>IF(B1005="",0,INDEX(ModelParameters!$D$13:$K$17,MATCH($O1005,ModelParameters!$B$13:$B$17,0),MATCH($J1005,ModelParameters!$D$5:$K$5,0)))</f>
        <v>0</v>
      </c>
      <c r="S1005" s="160">
        <f>IF(B1005="",0,MIN(IF($N1005="Other Bond TM",ModelParameters!$N$21,1)*(P1005*Q1005+R1005),1))</f>
        <v>0.025</v>
      </c>
      <c r="T1005" s="85">
        <f>IF(B1005="",0,$S1005*$K1005)</f>
        <v>1105.5184570312502</v>
      </c>
      <c r="U1005" s="85">
        <f>IF(B1005="",0,IF(OR(H1005=MappingTables!$C$34,H1005=MappingTables!$C$35),T1005,0))</f>
        <v>0</v>
      </c>
      <c r="V1005" s="85">
        <f>IF(ISNA(IF(AND(VLOOKUP(CONCATENATE($D1005,$G1005),CSRFinput!$B:$E,4,0)=0,OR(H1005=MappingTables!$C$34,H1005=MappingTables!$C$35)),1,VLOOKUP(CONCATENATE($D1005,$G1005),CSRFinput!$B:$E,4,0))),0,IF(AND(VLOOKUP(CONCATENATE($D1005,$G1005),CSRFinput!$B:$E,4,0)=0,OR(H1005=MappingTables!$C$34,H1005=MappingTables!$C$35)),1,VLOOKUP(CONCATENATE($D1005,$G1005),CSRFinput!$B:$E,4,0)))</f>
        <v>0.054776304963434752</v>
      </c>
      <c r="W1005" s="85">
        <f>IF(B1005="",0,+$T1005*$V1005)</f>
        <v>60.5562161450496</v>
      </c>
      <c r="X1005" s="85">
        <f>IF(B1005="",0,IF(OR(H1005=MappingTables!$C$34,H1005=MappingTables!$C$35),W1005,0))</f>
        <v>0</v>
      </c>
    </row>
    <row r="1006" spans="2:24" s="0" customFormat="0" ht="15">
      <c r="B1006" s="69" t="s">
        <v>1298</v>
      </c>
      <c r="C1006" s="70" t="s">
        <v>1299</v>
      </c>
      <c r="D1006" s="70" t="s">
        <v>1</v>
      </c>
      <c r="E1006" s="70" t="s">
        <v>1</v>
      </c>
      <c r="F1006" s="70"/>
      <c r="G1006" s="70" t="s">
        <v>61</v>
      </c>
      <c r="H1006" s="70" t="s">
        <v>178</v>
      </c>
      <c r="I1006" s="70" t="s">
        <v>184</v>
      </c>
      <c r="J1006" s="71">
        <f>IF(OR(I1006=0,I1006=""),"unrated",VLOOKUP(I1006,MappingTables!$B$19:$C$31,2,FALSE))</f>
        <v>5</v>
      </c>
      <c r="K1006" s="72">
        <v>2285.03857421875</v>
      </c>
      <c r="L1006" s="70">
        <v>1.4894623847082724</v>
      </c>
      <c r="M1006" s="71">
        <f>IF(L1006&lt;1,1,L1006)</f>
        <v>1.4894623847082724</v>
      </c>
      <c r="N1006" s="70" t="s">
        <v>141</v>
      </c>
      <c r="O1006" s="71">
        <f>INDEX(DurClassMapping,MATCH(M1006,MappingTables!$D$4:$D$8,-1),1)</f>
        <v>1</v>
      </c>
      <c r="P1006" s="73">
        <f>IF(M1006=$A$1,1,$M1006-INDEX(MappingTables!$E$4:$E$8,MATCH(O1006,MappingTables!$B$4:$B$8,0)))</f>
        <v>1.4894623847082724</v>
      </c>
      <c r="Q1006" s="71">
        <f>IF(B1006="",0,INDEX(ModelParameters!$D$6:$K$10,MATCH($O1006,ModelParameters!$B$6:$B$10,0),MATCH($J1006,ModelParameters!$D$5:$K$5,0)))</f>
        <v>0.075</v>
      </c>
      <c r="R1006" s="71">
        <f>IF(B1006="",0,INDEX(ModelParameters!$D$13:$K$17,MATCH($O1006,ModelParameters!$B$13:$B$17,0),MATCH($J1006,ModelParameters!$D$5:$K$5,0)))</f>
        <v>0</v>
      </c>
      <c r="S1006" s="160">
        <f>IF(B1006="",0,MIN(IF($N1006="Other Bond TM",ModelParameters!$N$21,1)*(P1006*Q1006+R1006),1))</f>
        <v>0.11170967885312042</v>
      </c>
      <c r="T1006" s="85">
        <f>IF(B1006="",0,$S1006*$K1006)</f>
        <v>255.26092529296876</v>
      </c>
      <c r="U1006" s="85">
        <f>IF(B1006="",0,IF(OR(H1006=MappingTables!$C$34,H1006=MappingTables!$C$35),T1006,0))</f>
        <v>0</v>
      </c>
      <c r="V1006" s="85">
        <f>IF(ISNA(IF(AND(VLOOKUP(CONCATENATE($D1006,$G1006),CSRFinput!$B:$E,4,0)=0,OR(H1006=MappingTables!$C$34,H1006=MappingTables!$C$35)),1,VLOOKUP(CONCATENATE($D1006,$G1006),CSRFinput!$B:$E,4,0))),0,IF(AND(VLOOKUP(CONCATENATE($D1006,$G1006),CSRFinput!$B:$E,4,0)=0,OR(H1006=MappingTables!$C$34,H1006=MappingTables!$C$35)),1,VLOOKUP(CONCATENATE($D1006,$G1006),CSRFinput!$B:$E,4,0)))</f>
        <v>0.054776304963434752</v>
      </c>
      <c r="W1006" s="85">
        <f>IF(B1006="",0,+$T1006*$V1006)</f>
        <v>13.982250289096192</v>
      </c>
      <c r="X1006" s="85">
        <f>IF(B1006="",0,IF(OR(H1006=MappingTables!$C$34,H1006=MappingTables!$C$35),W1006,0))</f>
        <v>0</v>
      </c>
    </row>
    <row r="1007" spans="2:24" s="0" customFormat="0" ht="15">
      <c r="B1007" s="69">
        <v>21020084</v>
      </c>
      <c r="C1007" s="70" t="s">
        <v>1224</v>
      </c>
      <c r="D1007" s="70" t="s">
        <v>1</v>
      </c>
      <c r="E1007" s="70" t="s">
        <v>1</v>
      </c>
      <c r="F1007" s="70"/>
      <c r="G1007" s="70" t="s">
        <v>61</v>
      </c>
      <c r="H1007" s="70" t="s">
        <v>178</v>
      </c>
      <c r="I1007" s="70" t="s">
        <v>181</v>
      </c>
      <c r="J1007" s="71">
        <f>IF(OR(I1007=0,I1007=""),"unrated",VLOOKUP(I1007,MappingTables!$B$19:$C$31,2,FALSE))</f>
        <v>3</v>
      </c>
      <c r="K1007" s="72">
        <v>10121.772251696962</v>
      </c>
      <c r="L1007" s="70">
        <v>6.6958225414802808</v>
      </c>
      <c r="M1007" s="71">
        <f>IF(L1007&lt;1,1,L1007)</f>
        <v>6.6958225414802808</v>
      </c>
      <c r="N1007" s="70" t="s">
        <v>141</v>
      </c>
      <c r="O1007" s="71">
        <f>INDEX(DurClassMapping,MATCH(M1007,MappingTables!$D$4:$D$8,-1),1)</f>
        <v>2</v>
      </c>
      <c r="P1007" s="73">
        <f>IF(M1007=$A$1,1,$M1007-INDEX(MappingTables!$E$4:$E$8,MATCH(O1007,MappingTables!$B$4:$B$8,0)))</f>
        <v>1.6958225414802808</v>
      </c>
      <c r="Q1007" s="71">
        <f>IF(B1007="",0,INDEX(ModelParameters!$D$6:$K$10,MATCH($O1007,ModelParameters!$B$6:$B$10,0),MATCH($J1007,ModelParameters!$D$5:$K$5,0)))</f>
        <v>0.015</v>
      </c>
      <c r="R1007" s="71">
        <f>IF(B1007="",0,INDEX(ModelParameters!$D$13:$K$17,MATCH($O1007,ModelParameters!$B$13:$B$17,0),MATCH($J1007,ModelParameters!$D$5:$K$5,0)))</f>
        <v>0.125</v>
      </c>
      <c r="S1007" s="160">
        <f>IF(B1007="",0,MIN(IF($N1007="Other Bond TM",ModelParameters!$N$21,1)*(P1007*Q1007+R1007),1))</f>
        <v>0.15043733812220422</v>
      </c>
      <c r="T1007" s="85">
        <f>IF(B1007="",0,$S1007*$K1007)</f>
        <v>1522.6924746244804</v>
      </c>
      <c r="U1007" s="85">
        <f>IF(B1007="",0,IF(OR(H1007=MappingTables!$C$34,H1007=MappingTables!$C$35),T1007,0))</f>
        <v>0</v>
      </c>
      <c r="V1007" s="85">
        <f>IF(ISNA(IF(AND(VLOOKUP(CONCATENATE($D1007,$G1007),CSRFinput!$B:$E,4,0)=0,OR(H1007=MappingTables!$C$34,H1007=MappingTables!$C$35)),1,VLOOKUP(CONCATENATE($D1007,$G1007),CSRFinput!$B:$E,4,0))),0,IF(AND(VLOOKUP(CONCATENATE($D1007,$G1007),CSRFinput!$B:$E,4,0)=0,OR(H1007=MappingTables!$C$34,H1007=MappingTables!$C$35)),1,VLOOKUP(CONCATENATE($D1007,$G1007),CSRFinput!$B:$E,4,0)))</f>
        <v>0.054776304963434752</v>
      </c>
      <c r="W1007" s="85">
        <f>IF(B1007="",0,+$T1007*$V1007)</f>
        <v>83.407467355557664</v>
      </c>
      <c r="X1007" s="85">
        <f>IF(B1007="",0,IF(OR(H1007=MappingTables!$C$34,H1007=MappingTables!$C$35),W1007,0))</f>
        <v>0</v>
      </c>
    </row>
    <row r="1008" spans="2:24" s="0" customFormat="0" ht="15">
      <c r="B1008" s="69" t="s">
        <v>1067</v>
      </c>
      <c r="C1008" s="70" t="s">
        <v>1068</v>
      </c>
      <c r="D1008" s="70" t="s">
        <v>1</v>
      </c>
      <c r="E1008" s="70" t="s">
        <v>1</v>
      </c>
      <c r="F1008" s="70"/>
      <c r="G1008" s="70" t="s">
        <v>61</v>
      </c>
      <c r="H1008" s="70" t="s">
        <v>178</v>
      </c>
      <c r="I1008" s="70" t="s">
        <v>184</v>
      </c>
      <c r="J1008" s="71">
        <f>IF(OR(I1008=0,I1008=""),"unrated",VLOOKUP(I1008,MappingTables!$B$19:$C$31,2,FALSE))</f>
        <v>5</v>
      </c>
      <c r="K1008" s="72">
        <v>14003.496266480016</v>
      </c>
      <c r="L1008" s="70">
        <v>3.8612683922372032</v>
      </c>
      <c r="M1008" s="71">
        <f>IF(L1008&lt;1,1,L1008)</f>
        <v>3.8612683922372032</v>
      </c>
      <c r="N1008" s="70" t="s">
        <v>141</v>
      </c>
      <c r="O1008" s="71">
        <f>INDEX(DurClassMapping,MATCH(M1008,MappingTables!$D$4:$D$8,-1),1)</f>
        <v>1</v>
      </c>
      <c r="P1008" s="73">
        <f>IF(M1008=$A$1,1,$M1008-INDEX(MappingTables!$E$4:$E$8,MATCH(O1008,MappingTables!$B$4:$B$8,0)))</f>
        <v>3.8612683922372032</v>
      </c>
      <c r="Q1008" s="71">
        <f>IF(B1008="",0,INDEX(ModelParameters!$D$6:$K$10,MATCH($O1008,ModelParameters!$B$6:$B$10,0),MATCH($J1008,ModelParameters!$D$5:$K$5,0)))</f>
        <v>0.075</v>
      </c>
      <c r="R1008" s="71">
        <f>IF(B1008="",0,INDEX(ModelParameters!$D$13:$K$17,MATCH($O1008,ModelParameters!$B$13:$B$17,0),MATCH($J1008,ModelParameters!$D$5:$K$5,0)))</f>
        <v>0</v>
      </c>
      <c r="S1008" s="160">
        <f>IF(B1008="",0,MIN(IF($N1008="Other Bond TM",ModelParameters!$N$21,1)*(P1008*Q1008+R1008),1))</f>
        <v>0.2895951294177902</v>
      </c>
      <c r="T1008" s="85">
        <f>IF(B1008="",0,$S1008*$K1008)</f>
        <v>4055.3443135928224</v>
      </c>
      <c r="U1008" s="85">
        <f>IF(B1008="",0,IF(OR(H1008=MappingTables!$C$34,H1008=MappingTables!$C$35),T1008,0))</f>
        <v>0</v>
      </c>
      <c r="V1008" s="85">
        <f>IF(ISNA(IF(AND(VLOOKUP(CONCATENATE($D1008,$G1008),CSRFinput!$B:$E,4,0)=0,OR(H1008=MappingTables!$C$34,H1008=MappingTables!$C$35)),1,VLOOKUP(CONCATENATE($D1008,$G1008),CSRFinput!$B:$E,4,0))),0,IF(AND(VLOOKUP(CONCATENATE($D1008,$G1008),CSRFinput!$B:$E,4,0)=0,OR(H1008=MappingTables!$C$34,H1008=MappingTables!$C$35)),1,VLOOKUP(CONCATENATE($D1008,$G1008),CSRFinput!$B:$E,4,0)))</f>
        <v>0.054776304963434752</v>
      </c>
      <c r="W1008" s="85">
        <f>IF(B1008="",0,+$T1008*$V1008)</f>
        <v>222.1367768530914</v>
      </c>
      <c r="X1008" s="85">
        <f>IF(B1008="",0,IF(OR(H1008=MappingTables!$C$34,H1008=MappingTables!$C$35),W1008,0))</f>
        <v>0</v>
      </c>
    </row>
    <row r="1009" spans="2:24" s="0" customFormat="0" ht="15">
      <c r="B1009" s="69">
        <v>20244104</v>
      </c>
      <c r="C1009" s="70" t="s">
        <v>1300</v>
      </c>
      <c r="D1009" s="70" t="s">
        <v>1</v>
      </c>
      <c r="E1009" s="70" t="s">
        <v>1</v>
      </c>
      <c r="F1009" s="70"/>
      <c r="G1009" s="70" t="s">
        <v>61</v>
      </c>
      <c r="H1009" s="70" t="s">
        <v>178</v>
      </c>
      <c r="I1009" s="70" t="s">
        <v>188</v>
      </c>
      <c r="J1009" s="71">
        <f>IF(OR(I1009=0,I1009=""),"unrated",VLOOKUP(I1009,MappingTables!$B$19:$C$31,2,FALSE))</f>
        <v>2</v>
      </c>
      <c r="K1009" s="72">
        <v>1984.39094560367</v>
      </c>
      <c r="L1009" s="70">
        <v>3.2846451196319332</v>
      </c>
      <c r="M1009" s="71">
        <f>IF(L1009&lt;1,1,L1009)</f>
        <v>3.2846451196319332</v>
      </c>
      <c r="N1009" s="70" t="s">
        <v>141</v>
      </c>
      <c r="O1009" s="71">
        <f>INDEX(DurClassMapping,MATCH(M1009,MappingTables!$D$4:$D$8,-1),1)</f>
        <v>1</v>
      </c>
      <c r="P1009" s="73">
        <f>IF(M1009=$A$1,1,$M1009-INDEX(MappingTables!$E$4:$E$8,MATCH(O1009,MappingTables!$B$4:$B$8,0)))</f>
        <v>3.2846451196319332</v>
      </c>
      <c r="Q1009" s="71">
        <f>IF(B1009="",0,INDEX(ModelParameters!$D$6:$K$10,MATCH($O1009,ModelParameters!$B$6:$B$10,0),MATCH($J1009,ModelParameters!$D$5:$K$5,0)))</f>
        <v>0.013999999999999998</v>
      </c>
      <c r="R1009" s="71">
        <f>IF(B1009="",0,INDEX(ModelParameters!$D$13:$K$17,MATCH($O1009,ModelParameters!$B$13:$B$17,0),MATCH($J1009,ModelParameters!$D$5:$K$5,0)))</f>
        <v>0</v>
      </c>
      <c r="S1009" s="160">
        <f>IF(B1009="",0,MIN(IF($N1009="Other Bond TM",ModelParameters!$N$21,1)*(P1009*Q1009+R1009),1))</f>
        <v>0.045985031674847056</v>
      </c>
      <c r="T1009" s="85">
        <f>IF(B1009="",0,$S1009*$K1009)</f>
        <v>91.252280488864464</v>
      </c>
      <c r="U1009" s="85">
        <f>IF(B1009="",0,IF(OR(H1009=MappingTables!$C$34,H1009=MappingTables!$C$35),T1009,0))</f>
        <v>0</v>
      </c>
      <c r="V1009" s="85">
        <f>IF(ISNA(IF(AND(VLOOKUP(CONCATENATE($D1009,$G1009),CSRFinput!$B:$E,4,0)=0,OR(H1009=MappingTables!$C$34,H1009=MappingTables!$C$35)),1,VLOOKUP(CONCATENATE($D1009,$G1009),CSRFinput!$B:$E,4,0))),0,IF(AND(VLOOKUP(CONCATENATE($D1009,$G1009),CSRFinput!$B:$E,4,0)=0,OR(H1009=MappingTables!$C$34,H1009=MappingTables!$C$35)),1,VLOOKUP(CONCATENATE($D1009,$G1009),CSRFinput!$B:$E,4,0)))</f>
        <v>0.054776304963434752</v>
      </c>
      <c r="W1009" s="85">
        <f>IF(B1009="",0,+$T1009*$V1009)</f>
        <v>4.9984627446669264</v>
      </c>
      <c r="X1009" s="85">
        <f>IF(B1009="",0,IF(OR(H1009=MappingTables!$C$34,H1009=MappingTables!$C$35),W1009,0))</f>
        <v>0</v>
      </c>
    </row>
    <row r="1010" spans="2:24" s="0" customFormat="0" ht="15">
      <c r="B1010" s="69">
        <v>17351106</v>
      </c>
      <c r="C1010" s="70" t="s">
        <v>1301</v>
      </c>
      <c r="D1010" s="70" t="s">
        <v>1</v>
      </c>
      <c r="E1010" s="70" t="s">
        <v>1</v>
      </c>
      <c r="F1010" s="70"/>
      <c r="G1010" s="70" t="s">
        <v>61</v>
      </c>
      <c r="H1010" s="70" t="s">
        <v>178</v>
      </c>
      <c r="I1010" s="70" t="s">
        <v>220</v>
      </c>
      <c r="J1010" s="71">
        <f>IF(OR(I1010=0,I1010=""),"unrated",VLOOKUP(I1010,MappingTables!$B$19:$C$31,2,FALSE))</f>
        <v>1</v>
      </c>
      <c r="K1010" s="72">
        <v>9123.4921986418064</v>
      </c>
      <c r="L1010" s="70">
        <v>0.45454995042172184</v>
      </c>
      <c r="M1010" s="71">
        <f>IF(L1010&lt;1,1,L1010)</f>
        <v>1</v>
      </c>
      <c r="N1010" s="70" t="s">
        <v>141</v>
      </c>
      <c r="O1010" s="71">
        <f>INDEX(DurClassMapping,MATCH(M1010,MappingTables!$D$4:$D$8,-1),1)</f>
        <v>1</v>
      </c>
      <c r="P1010" s="73">
        <f>IF(M1010=$A$1,1,$M1010-INDEX(MappingTables!$E$4:$E$8,MATCH(O1010,MappingTables!$B$4:$B$8,0)))</f>
        <v>1</v>
      </c>
      <c r="Q1010" s="71">
        <f>IF(B1010="",0,INDEX(ModelParameters!$D$6:$K$10,MATCH($O1010,ModelParameters!$B$6:$B$10,0),MATCH($J1010,ModelParameters!$D$5:$K$5,0)))</f>
        <v>0.011000000000000002</v>
      </c>
      <c r="R1010" s="71">
        <f>IF(B1010="",0,INDEX(ModelParameters!$D$13:$K$17,MATCH($O1010,ModelParameters!$B$13:$B$17,0),MATCH($J1010,ModelParameters!$D$5:$K$5,0)))</f>
        <v>0</v>
      </c>
      <c r="S1010" s="160">
        <f>IF(B1010="",0,MIN(IF($N1010="Other Bond TM",ModelParameters!$N$21,1)*(P1010*Q1010+R1010),1))</f>
        <v>0.011000000000000002</v>
      </c>
      <c r="T1010" s="85">
        <f>IF(B1010="",0,$S1010*$K1010)</f>
        <v>100.35841418505988</v>
      </c>
      <c r="U1010" s="85">
        <f>IF(B1010="",0,IF(OR(H1010=MappingTables!$C$34,H1010=MappingTables!$C$35),T1010,0))</f>
        <v>0</v>
      </c>
      <c r="V1010" s="85">
        <f>IF(ISNA(IF(AND(VLOOKUP(CONCATENATE($D1010,$G1010),CSRFinput!$B:$E,4,0)=0,OR(H1010=MappingTables!$C$34,H1010=MappingTables!$C$35)),1,VLOOKUP(CONCATENATE($D1010,$G1010),CSRFinput!$B:$E,4,0))),0,IF(AND(VLOOKUP(CONCATENATE($D1010,$G1010),CSRFinput!$B:$E,4,0)=0,OR(H1010=MappingTables!$C$34,H1010=MappingTables!$C$35)),1,VLOOKUP(CONCATENATE($D1010,$G1010),CSRFinput!$B:$E,4,0)))</f>
        <v>0.054776304963434752</v>
      </c>
      <c r="W1010" s="85">
        <f>IF(B1010="",0,+$T1010*$V1010)</f>
        <v>5.4972631010475368</v>
      </c>
      <c r="X1010" s="85">
        <f>IF(B1010="",0,IF(OR(H1010=MappingTables!$C$34,H1010=MappingTables!$C$35),W1010,0))</f>
        <v>0</v>
      </c>
    </row>
    <row r="1011" spans="2:24" s="0" customFormat="0" ht="15">
      <c r="B1011" s="69">
        <v>21771067</v>
      </c>
      <c r="C1011" s="70" t="s">
        <v>1302</v>
      </c>
      <c r="D1011" s="70" t="s">
        <v>1</v>
      </c>
      <c r="E1011" s="70" t="s">
        <v>1</v>
      </c>
      <c r="F1011" s="70"/>
      <c r="G1011" s="70" t="s">
        <v>61</v>
      </c>
      <c r="H1011" s="70" t="s">
        <v>178</v>
      </c>
      <c r="I1011" s="70" t="s">
        <v>179</v>
      </c>
      <c r="J1011" s="71">
        <f>IF(OR(I1011=0,I1011=""),"unrated",VLOOKUP(I1011,MappingTables!$B$19:$C$31,2,FALSE))</f>
        <v>4</v>
      </c>
      <c r="K1011" s="72">
        <v>184.60110697752896</v>
      </c>
      <c r="L1011" s="70">
        <v>13.597038713192844</v>
      </c>
      <c r="M1011" s="71">
        <f>IF(L1011&lt;1,1,L1011)</f>
        <v>13.597038713192844</v>
      </c>
      <c r="N1011" s="70" t="s">
        <v>141</v>
      </c>
      <c r="O1011" s="71">
        <f>INDEX(DurClassMapping,MATCH(M1011,MappingTables!$D$4:$D$8,-1),1)</f>
        <v>3</v>
      </c>
      <c r="P1011" s="73">
        <f>IF(M1011=$A$1,1,$M1011-INDEX(MappingTables!$E$4:$E$8,MATCH(O1011,MappingTables!$B$4:$B$8,0)))</f>
        <v>3.5970387131928448</v>
      </c>
      <c r="Q1011" s="71">
        <f>IF(B1011="",0,INDEX(ModelParameters!$D$6:$K$10,MATCH($O1011,ModelParameters!$B$6:$B$10,0),MATCH($J1011,ModelParameters!$D$5:$K$5,0)))</f>
        <v>0.018000000000000002</v>
      </c>
      <c r="R1011" s="71">
        <f>IF(B1011="",0,INDEX(ModelParameters!$D$13:$K$17,MATCH($O1011,ModelParameters!$B$13:$B$17,0),MATCH($J1011,ModelParameters!$D$5:$K$5,0)))</f>
        <v>0.34999999999999996</v>
      </c>
      <c r="S1011" s="160">
        <f>IF(B1011="",0,MIN(IF($N1011="Other Bond TM",ModelParameters!$N$21,1)*(P1011*Q1011+R1011),1))</f>
        <v>0.4147466968374712</v>
      </c>
      <c r="T1011" s="85">
        <f>IF(B1011="",0,$S1011*$K1011)</f>
        <v>76.562699351470784</v>
      </c>
      <c r="U1011" s="85">
        <f>IF(B1011="",0,IF(OR(H1011=MappingTables!$C$34,H1011=MappingTables!$C$35),T1011,0))</f>
        <v>0</v>
      </c>
      <c r="V1011" s="85">
        <f>IF(ISNA(IF(AND(VLOOKUP(CONCATENATE($D1011,$G1011),CSRFinput!$B:$E,4,0)=0,OR(H1011=MappingTables!$C$34,H1011=MappingTables!$C$35)),1,VLOOKUP(CONCATENATE($D1011,$G1011),CSRFinput!$B:$E,4,0))),0,IF(AND(VLOOKUP(CONCATENATE($D1011,$G1011),CSRFinput!$B:$E,4,0)=0,OR(H1011=MappingTables!$C$34,H1011=MappingTables!$C$35)),1,VLOOKUP(CONCATENATE($D1011,$G1011),CSRFinput!$B:$E,4,0)))</f>
        <v>0.054776304963434752</v>
      </c>
      <c r="W1011" s="85">
        <f>IF(B1011="",0,+$T1011*$V1011)</f>
        <v>4.193821768499932</v>
      </c>
      <c r="X1011" s="85">
        <f>IF(B1011="",0,IF(OR(H1011=MappingTables!$C$34,H1011=MappingTables!$C$35),W1011,0))</f>
        <v>0</v>
      </c>
    </row>
    <row r="1012" spans="2:24" s="0" customFormat="0" ht="15">
      <c r="B1012" s="69" t="s">
        <v>1303</v>
      </c>
      <c r="C1012" s="70" t="s">
        <v>1304</v>
      </c>
      <c r="D1012" s="70" t="s">
        <v>1</v>
      </c>
      <c r="E1012" s="70" t="s">
        <v>1</v>
      </c>
      <c r="F1012" s="70"/>
      <c r="G1012" s="70" t="s">
        <v>61</v>
      </c>
      <c r="H1012" s="70" t="s">
        <v>178</v>
      </c>
      <c r="I1012" s="70" t="s">
        <v>179</v>
      </c>
      <c r="J1012" s="71">
        <f>IF(OR(I1012=0,I1012=""),"unrated",VLOOKUP(I1012,MappingTables!$B$19:$C$31,2,FALSE))</f>
        <v>4</v>
      </c>
      <c r="K1012" s="72">
        <v>4915.175709565344</v>
      </c>
      <c r="L1012" s="70">
        <v>1.1863282780662284</v>
      </c>
      <c r="M1012" s="71">
        <f>IF(L1012&lt;1,1,L1012)</f>
        <v>1.1863282780662284</v>
      </c>
      <c r="N1012" s="70" t="s">
        <v>141</v>
      </c>
      <c r="O1012" s="71">
        <f>INDEX(DurClassMapping,MATCH(M1012,MappingTables!$D$4:$D$8,-1),1)</f>
        <v>1</v>
      </c>
      <c r="P1012" s="73">
        <f>IF(M1012=$A$1,1,$M1012-INDEX(MappingTables!$E$4:$E$8,MATCH(O1012,MappingTables!$B$4:$B$8,0)))</f>
        <v>1.1863282780662284</v>
      </c>
      <c r="Q1012" s="71">
        <f>IF(B1012="",0,INDEX(ModelParameters!$D$6:$K$10,MATCH($O1012,ModelParameters!$B$6:$B$10,0),MATCH($J1012,ModelParameters!$D$5:$K$5,0)))</f>
        <v>0.045</v>
      </c>
      <c r="R1012" s="71">
        <f>IF(B1012="",0,INDEX(ModelParameters!$D$13:$K$17,MATCH($O1012,ModelParameters!$B$13:$B$17,0),MATCH($J1012,ModelParameters!$D$5:$K$5,0)))</f>
        <v>0</v>
      </c>
      <c r="S1012" s="160">
        <f>IF(B1012="",0,MIN(IF($N1012="Other Bond TM",ModelParameters!$N$21,1)*(P1012*Q1012+R1012),1))</f>
        <v>0.053384772512980272</v>
      </c>
      <c r="T1012" s="85">
        <f>IF(B1012="",0,$S1012*$K1012)</f>
        <v>262.39553711647228</v>
      </c>
      <c r="U1012" s="85">
        <f>IF(B1012="",0,IF(OR(H1012=MappingTables!$C$34,H1012=MappingTables!$C$35),T1012,0))</f>
        <v>0</v>
      </c>
      <c r="V1012" s="85">
        <f>IF(ISNA(IF(AND(VLOOKUP(CONCATENATE($D1012,$G1012),CSRFinput!$B:$E,4,0)=0,OR(H1012=MappingTables!$C$34,H1012=MappingTables!$C$35)),1,VLOOKUP(CONCATENATE($D1012,$G1012),CSRFinput!$B:$E,4,0))),0,IF(AND(VLOOKUP(CONCATENATE($D1012,$G1012),CSRFinput!$B:$E,4,0)=0,OR(H1012=MappingTables!$C$34,H1012=MappingTables!$C$35)),1,VLOOKUP(CONCATENATE($D1012,$G1012),CSRFinput!$B:$E,4,0)))</f>
        <v>0.054776304963434752</v>
      </c>
      <c r="W1012" s="85">
        <f>IF(B1012="",0,+$T1012*$V1012)</f>
        <v>14.373057962136148</v>
      </c>
      <c r="X1012" s="85">
        <f>IF(B1012="",0,IF(OR(H1012=MappingTables!$C$34,H1012=MappingTables!$C$35),W1012,0))</f>
        <v>0</v>
      </c>
    </row>
    <row r="1013" spans="2:24" s="0" customFormat="0" ht="15">
      <c r="B1013" s="69">
        <v>20811032</v>
      </c>
      <c r="C1013" s="70" t="s">
        <v>1305</v>
      </c>
      <c r="D1013" s="70" t="s">
        <v>1</v>
      </c>
      <c r="E1013" s="70" t="s">
        <v>1</v>
      </c>
      <c r="F1013" s="70"/>
      <c r="G1013" s="70" t="s">
        <v>61</v>
      </c>
      <c r="H1013" s="70" t="s">
        <v>178</v>
      </c>
      <c r="I1013" s="70" t="s">
        <v>181</v>
      </c>
      <c r="J1013" s="71">
        <f>IF(OR(I1013=0,I1013=""),"unrated",VLOOKUP(I1013,MappingTables!$B$19:$C$31,2,FALSE))</f>
        <v>3</v>
      </c>
      <c r="K1013" s="72">
        <v>11885.986526506382</v>
      </c>
      <c r="L1013" s="70">
        <v>3.3683126751065556</v>
      </c>
      <c r="M1013" s="71">
        <f>IF(L1013&lt;1,1,L1013)</f>
        <v>3.3683126751065556</v>
      </c>
      <c r="N1013" s="70" t="s">
        <v>141</v>
      </c>
      <c r="O1013" s="71">
        <f>INDEX(DurClassMapping,MATCH(M1013,MappingTables!$D$4:$D$8,-1),1)</f>
        <v>1</v>
      </c>
      <c r="P1013" s="73">
        <f>IF(M1013=$A$1,1,$M1013-INDEX(MappingTables!$E$4:$E$8,MATCH(O1013,MappingTables!$B$4:$B$8,0)))</f>
        <v>3.3683126751065556</v>
      </c>
      <c r="Q1013" s="71">
        <f>IF(B1013="",0,INDEX(ModelParameters!$D$6:$K$10,MATCH($O1013,ModelParameters!$B$6:$B$10,0),MATCH($J1013,ModelParameters!$D$5:$K$5,0)))</f>
        <v>0.025</v>
      </c>
      <c r="R1013" s="71">
        <f>IF(B1013="",0,INDEX(ModelParameters!$D$13:$K$17,MATCH($O1013,ModelParameters!$B$13:$B$17,0),MATCH($J1013,ModelParameters!$D$5:$K$5,0)))</f>
        <v>0</v>
      </c>
      <c r="S1013" s="160">
        <f>IF(B1013="",0,MIN(IF($N1013="Other Bond TM",ModelParameters!$N$21,1)*(P1013*Q1013+R1013),1))</f>
        <v>0.084207816877663888</v>
      </c>
      <c r="T1013" s="85">
        <f>IF(B1013="",0,$S1013*$K1013)</f>
        <v>1000.8929768344296</v>
      </c>
      <c r="U1013" s="85">
        <f>IF(B1013="",0,IF(OR(H1013=MappingTables!$C$34,H1013=MappingTables!$C$35),T1013,0))</f>
        <v>0</v>
      </c>
      <c r="V1013" s="85">
        <f>IF(ISNA(IF(AND(VLOOKUP(CONCATENATE($D1013,$G1013),CSRFinput!$B:$E,4,0)=0,OR(H1013=MappingTables!$C$34,H1013=MappingTables!$C$35)),1,VLOOKUP(CONCATENATE($D1013,$G1013),CSRFinput!$B:$E,4,0))),0,IF(AND(VLOOKUP(CONCATENATE($D1013,$G1013),CSRFinput!$B:$E,4,0)=0,OR(H1013=MappingTables!$C$34,H1013=MappingTables!$C$35)),1,VLOOKUP(CONCATENATE($D1013,$G1013),CSRFinput!$B:$E,4,0)))</f>
        <v>0.054776304963434752</v>
      </c>
      <c r="W1013" s="85">
        <f>IF(B1013="",0,+$T1013*$V1013)</f>
        <v>54.825218934842752</v>
      </c>
      <c r="X1013" s="85">
        <f>IF(B1013="",0,IF(OR(H1013=MappingTables!$C$34,H1013=MappingTables!$C$35),W1013,0))</f>
        <v>0</v>
      </c>
    </row>
    <row r="1014" spans="2:24" s="0" customFormat="0" ht="15">
      <c r="B1014" s="69">
        <v>8432966</v>
      </c>
      <c r="C1014" s="70" t="s">
        <v>442</v>
      </c>
      <c r="D1014" s="70" t="s">
        <v>1</v>
      </c>
      <c r="E1014" s="70" t="s">
        <v>1</v>
      </c>
      <c r="F1014" s="70"/>
      <c r="G1014" s="70" t="s">
        <v>61</v>
      </c>
      <c r="H1014" s="70" t="s">
        <v>178</v>
      </c>
      <c r="I1014" s="70" t="s">
        <v>181</v>
      </c>
      <c r="J1014" s="71">
        <f>IF(OR(I1014=0,I1014=""),"unrated",VLOOKUP(I1014,MappingTables!$B$19:$C$31,2,FALSE))</f>
        <v>3</v>
      </c>
      <c r="K1014" s="72">
        <v>891.23544941510432</v>
      </c>
      <c r="L1014" s="70">
        <v>3.2850119192201412</v>
      </c>
      <c r="M1014" s="71">
        <f>IF(L1014&lt;1,1,L1014)</f>
        <v>3.2850119192201412</v>
      </c>
      <c r="N1014" s="70" t="s">
        <v>141</v>
      </c>
      <c r="O1014" s="71">
        <f>INDEX(DurClassMapping,MATCH(M1014,MappingTables!$D$4:$D$8,-1),1)</f>
        <v>1</v>
      </c>
      <c r="P1014" s="73">
        <f>IF(M1014=$A$1,1,$M1014-INDEX(MappingTables!$E$4:$E$8,MATCH(O1014,MappingTables!$B$4:$B$8,0)))</f>
        <v>3.2850119192201412</v>
      </c>
      <c r="Q1014" s="71">
        <f>IF(B1014="",0,INDEX(ModelParameters!$D$6:$K$10,MATCH($O1014,ModelParameters!$B$6:$B$10,0),MATCH($J1014,ModelParameters!$D$5:$K$5,0)))</f>
        <v>0.025</v>
      </c>
      <c r="R1014" s="71">
        <f>IF(B1014="",0,INDEX(ModelParameters!$D$13:$K$17,MATCH($O1014,ModelParameters!$B$13:$B$17,0),MATCH($J1014,ModelParameters!$D$5:$K$5,0)))</f>
        <v>0</v>
      </c>
      <c r="S1014" s="160">
        <f>IF(B1014="",0,MIN(IF($N1014="Other Bond TM",ModelParameters!$N$21,1)*(P1014*Q1014+R1014),1))</f>
        <v>0.082125297980503536</v>
      </c>
      <c r="T1014" s="85">
        <f>IF(B1014="",0,$S1014*$K1014)</f>
        <v>73.19297685400344</v>
      </c>
      <c r="U1014" s="85">
        <f>IF(B1014="",0,IF(OR(H1014=MappingTables!$C$34,H1014=MappingTables!$C$35),T1014,0))</f>
        <v>0</v>
      </c>
      <c r="V1014" s="85">
        <f>IF(ISNA(IF(AND(VLOOKUP(CONCATENATE($D1014,$G1014),CSRFinput!$B:$E,4,0)=0,OR(H1014=MappingTables!$C$34,H1014=MappingTables!$C$35)),1,VLOOKUP(CONCATENATE($D1014,$G1014),CSRFinput!$B:$E,4,0))),0,IF(AND(VLOOKUP(CONCATENATE($D1014,$G1014),CSRFinput!$B:$E,4,0)=0,OR(H1014=MappingTables!$C$34,H1014=MappingTables!$C$35)),1,VLOOKUP(CONCATENATE($D1014,$G1014),CSRFinput!$B:$E,4,0)))</f>
        <v>0.054776304963434752</v>
      </c>
      <c r="W1014" s="85">
        <f>IF(B1014="",0,+$T1014*$V1014)</f>
        <v>4.0092408213365136</v>
      </c>
      <c r="X1014" s="85">
        <f>IF(B1014="",0,IF(OR(H1014=MappingTables!$C$34,H1014=MappingTables!$C$35),W1014,0))</f>
        <v>0</v>
      </c>
    </row>
    <row r="1015" spans="2:24" s="0" customFormat="0" ht="15">
      <c r="B1015" s="69">
        <v>22896289</v>
      </c>
      <c r="C1015" s="70" t="s">
        <v>1306</v>
      </c>
      <c r="D1015" s="70" t="s">
        <v>1</v>
      </c>
      <c r="E1015" s="70" t="s">
        <v>1</v>
      </c>
      <c r="F1015" s="70"/>
      <c r="G1015" s="70" t="s">
        <v>61</v>
      </c>
      <c r="H1015" s="70" t="s">
        <v>178</v>
      </c>
      <c r="I1015" s="70" t="s">
        <v>184</v>
      </c>
      <c r="J1015" s="71">
        <f>IF(OR(I1015=0,I1015=""),"unrated",VLOOKUP(I1015,MappingTables!$B$19:$C$31,2,FALSE))</f>
        <v>5</v>
      </c>
      <c r="K1015" s="72">
        <v>18303.569438339112</v>
      </c>
      <c r="L1015" s="70">
        <v>3.9114919702658456</v>
      </c>
      <c r="M1015" s="71">
        <f>IF(L1015&lt;1,1,L1015)</f>
        <v>3.9114919702658456</v>
      </c>
      <c r="N1015" s="70" t="s">
        <v>141</v>
      </c>
      <c r="O1015" s="71">
        <f>INDEX(DurClassMapping,MATCH(M1015,MappingTables!$D$4:$D$8,-1),1)</f>
        <v>1</v>
      </c>
      <c r="P1015" s="73">
        <f>IF(M1015=$A$1,1,$M1015-INDEX(MappingTables!$E$4:$E$8,MATCH(O1015,MappingTables!$B$4:$B$8,0)))</f>
        <v>3.9114919702658456</v>
      </c>
      <c r="Q1015" s="71">
        <f>IF(B1015="",0,INDEX(ModelParameters!$D$6:$K$10,MATCH($O1015,ModelParameters!$B$6:$B$10,0),MATCH($J1015,ModelParameters!$D$5:$K$5,0)))</f>
        <v>0.075</v>
      </c>
      <c r="R1015" s="71">
        <f>IF(B1015="",0,INDEX(ModelParameters!$D$13:$K$17,MATCH($O1015,ModelParameters!$B$13:$B$17,0),MATCH($J1015,ModelParameters!$D$5:$K$5,0)))</f>
        <v>0</v>
      </c>
      <c r="S1015" s="160">
        <f>IF(B1015="",0,MIN(IF($N1015="Other Bond TM",ModelParameters!$N$21,1)*(P1015*Q1015+R1015),1))</f>
        <v>0.29336189776993844</v>
      </c>
      <c r="T1015" s="85">
        <f>IF(B1015="",0,$S1015*$K1015)</f>
        <v>5369.569866395008</v>
      </c>
      <c r="U1015" s="85">
        <f>IF(B1015="",0,IF(OR(H1015=MappingTables!$C$34,H1015=MappingTables!$C$35),T1015,0))</f>
        <v>0</v>
      </c>
      <c r="V1015" s="85">
        <f>IF(ISNA(IF(AND(VLOOKUP(CONCATENATE($D1015,$G1015),CSRFinput!$B:$E,4,0)=0,OR(H1015=MappingTables!$C$34,H1015=MappingTables!$C$35)),1,VLOOKUP(CONCATENATE($D1015,$G1015),CSRFinput!$B:$E,4,0))),0,IF(AND(VLOOKUP(CONCATENATE($D1015,$G1015),CSRFinput!$B:$E,4,0)=0,OR(H1015=MappingTables!$C$34,H1015=MappingTables!$C$35)),1,VLOOKUP(CONCATENATE($D1015,$G1015),CSRFinput!$B:$E,4,0)))</f>
        <v>0.054776304963434752</v>
      </c>
      <c r="W1015" s="85">
        <f>IF(B1015="",0,+$T1015*$V1015)</f>
        <v>294.12519652412256</v>
      </c>
      <c r="X1015" s="85">
        <f>IF(B1015="",0,IF(OR(H1015=MappingTables!$C$34,H1015=MappingTables!$C$35),W1015,0))</f>
        <v>0</v>
      </c>
    </row>
    <row r="1016" spans="2:24" s="0" customFormat="0" ht="15">
      <c r="B1016" s="69">
        <v>20447790</v>
      </c>
      <c r="C1016" s="70" t="s">
        <v>1307</v>
      </c>
      <c r="D1016" s="70" t="s">
        <v>1</v>
      </c>
      <c r="E1016" s="70" t="s">
        <v>1</v>
      </c>
      <c r="F1016" s="70"/>
      <c r="G1016" s="70" t="s">
        <v>61</v>
      </c>
      <c r="H1016" s="70" t="s">
        <v>178</v>
      </c>
      <c r="I1016" s="70" t="s">
        <v>181</v>
      </c>
      <c r="J1016" s="71">
        <f>IF(OR(I1016=0,I1016=""),"unrated",VLOOKUP(I1016,MappingTables!$B$19:$C$31,2,FALSE))</f>
        <v>3</v>
      </c>
      <c r="K1016" s="72">
        <v>6645.5900882301448</v>
      </c>
      <c r="L1016" s="70">
        <v>7.9487249380970016</v>
      </c>
      <c r="M1016" s="71">
        <f>IF(L1016&lt;1,1,L1016)</f>
        <v>7.9487249380970016</v>
      </c>
      <c r="N1016" s="70" t="s">
        <v>141</v>
      </c>
      <c r="O1016" s="71">
        <f>INDEX(DurClassMapping,MATCH(M1016,MappingTables!$D$4:$D$8,-1),1)</f>
        <v>2</v>
      </c>
      <c r="P1016" s="73">
        <f>IF(M1016=$A$1,1,$M1016-INDEX(MappingTables!$E$4:$E$8,MATCH(O1016,MappingTables!$B$4:$B$8,0)))</f>
        <v>2.9487249380970024</v>
      </c>
      <c r="Q1016" s="71">
        <f>IF(B1016="",0,INDEX(ModelParameters!$D$6:$K$10,MATCH($O1016,ModelParameters!$B$6:$B$10,0),MATCH($J1016,ModelParameters!$D$5:$K$5,0)))</f>
        <v>0.015</v>
      </c>
      <c r="R1016" s="71">
        <f>IF(B1016="",0,INDEX(ModelParameters!$D$13:$K$17,MATCH($O1016,ModelParameters!$B$13:$B$17,0),MATCH($J1016,ModelParameters!$D$5:$K$5,0)))</f>
        <v>0.125</v>
      </c>
      <c r="S1016" s="160">
        <f>IF(B1016="",0,MIN(IF($N1016="Other Bond TM",ModelParameters!$N$21,1)*(P1016*Q1016+R1016),1))</f>
        <v>0.16923087407145504</v>
      </c>
      <c r="T1016" s="85">
        <f>IF(B1016="",0,$S1016*$K1016)</f>
        <v>1124.6390193517854</v>
      </c>
      <c r="U1016" s="85">
        <f>IF(B1016="",0,IF(OR(H1016=MappingTables!$C$34,H1016=MappingTables!$C$35),T1016,0))</f>
        <v>0</v>
      </c>
      <c r="V1016" s="85">
        <f>IF(ISNA(IF(AND(VLOOKUP(CONCATENATE($D1016,$G1016),CSRFinput!$B:$E,4,0)=0,OR(H1016=MappingTables!$C$34,H1016=MappingTables!$C$35)),1,VLOOKUP(CONCATENATE($D1016,$G1016),CSRFinput!$B:$E,4,0))),0,IF(AND(VLOOKUP(CONCATENATE($D1016,$G1016),CSRFinput!$B:$E,4,0)=0,OR(H1016=MappingTables!$C$34,H1016=MappingTables!$C$35)),1,VLOOKUP(CONCATENATE($D1016,$G1016),CSRFinput!$B:$E,4,0)))</f>
        <v>0.054776304963434752</v>
      </c>
      <c r="W1016" s="85">
        <f>IF(B1016="",0,+$T1016*$V1016)</f>
        <v>61.6035698977916</v>
      </c>
      <c r="X1016" s="85">
        <f>IF(B1016="",0,IF(OR(H1016=MappingTables!$C$34,H1016=MappingTables!$C$35),W1016,0))</f>
        <v>0</v>
      </c>
    </row>
    <row r="1017" spans="2:24" s="0" customFormat="0" ht="15">
      <c r="B1017" s="69" t="s">
        <v>1308</v>
      </c>
      <c r="C1017" s="70" t="s">
        <v>1309</v>
      </c>
      <c r="D1017" s="70" t="s">
        <v>1</v>
      </c>
      <c r="E1017" s="70" t="s">
        <v>1</v>
      </c>
      <c r="F1017" s="70"/>
      <c r="G1017" s="70" t="s">
        <v>61</v>
      </c>
      <c r="H1017" s="70" t="s">
        <v>178</v>
      </c>
      <c r="I1017" s="70" t="s">
        <v>204</v>
      </c>
      <c r="J1017" s="71">
        <f>IF(OR(I1017=0,I1017=""),"unrated",VLOOKUP(I1017,MappingTables!$B$19:$C$31,2,FALSE))</f>
        <v>6</v>
      </c>
      <c r="K1017" s="72">
        <v>16442.314249715796</v>
      </c>
      <c r="L1017" s="70">
        <v>1.3476603429629612</v>
      </c>
      <c r="M1017" s="71">
        <f>IF(L1017&lt;1,1,L1017)</f>
        <v>1.3476603429629612</v>
      </c>
      <c r="N1017" s="70" t="s">
        <v>141</v>
      </c>
      <c r="O1017" s="71">
        <f>INDEX(DurClassMapping,MATCH(M1017,MappingTables!$D$4:$D$8,-1),1)</f>
        <v>1</v>
      </c>
      <c r="P1017" s="73">
        <f>IF(M1017=$A$1,1,$M1017-INDEX(MappingTables!$E$4:$E$8,MATCH(O1017,MappingTables!$B$4:$B$8,0)))</f>
        <v>1.3476603429629612</v>
      </c>
      <c r="Q1017" s="71">
        <f>IF(B1017="",0,INDEX(ModelParameters!$D$6:$K$10,MATCH($O1017,ModelParameters!$B$6:$B$10,0),MATCH($J1017,ModelParameters!$D$5:$K$5,0)))</f>
        <v>0.075</v>
      </c>
      <c r="R1017" s="71">
        <f>IF(B1017="",0,INDEX(ModelParameters!$D$13:$K$17,MATCH($O1017,ModelParameters!$B$13:$B$17,0),MATCH($J1017,ModelParameters!$D$5:$K$5,0)))</f>
        <v>0</v>
      </c>
      <c r="S1017" s="160">
        <f>IF(B1017="",0,MIN(IF($N1017="Other Bond TM",ModelParameters!$N$21,1)*(P1017*Q1017+R1017),1))</f>
        <v>0.10107452572222208</v>
      </c>
      <c r="T1017" s="85">
        <f>IF(B1017="",0,$S1017*$K1017)</f>
        <v>1661.899114565758</v>
      </c>
      <c r="U1017" s="85">
        <f>IF(B1017="",0,IF(OR(H1017=MappingTables!$C$34,H1017=MappingTables!$C$35),T1017,0))</f>
        <v>0</v>
      </c>
      <c r="V1017" s="85">
        <f>IF(ISNA(IF(AND(VLOOKUP(CONCATENATE($D1017,$G1017),CSRFinput!$B:$E,4,0)=0,OR(H1017=MappingTables!$C$34,H1017=MappingTables!$C$35)),1,VLOOKUP(CONCATENATE($D1017,$G1017),CSRFinput!$B:$E,4,0))),0,IF(AND(VLOOKUP(CONCATENATE($D1017,$G1017),CSRFinput!$B:$E,4,0)=0,OR(H1017=MappingTables!$C$34,H1017=MappingTables!$C$35)),1,VLOOKUP(CONCATENATE($D1017,$G1017),CSRFinput!$B:$E,4,0)))</f>
        <v>0.054776304963434752</v>
      </c>
      <c r="W1017" s="85">
        <f>IF(B1017="",0,+$T1017*$V1017)</f>
        <v>91.032692717916144</v>
      </c>
      <c r="X1017" s="85">
        <f>IF(B1017="",0,IF(OR(H1017=MappingTables!$C$34,H1017=MappingTables!$C$35),W1017,0))</f>
        <v>0</v>
      </c>
    </row>
    <row r="1018" spans="2:24" s="0" customFormat="0" ht="15">
      <c r="B1018" s="69" t="s">
        <v>917</v>
      </c>
      <c r="C1018" s="70" t="s">
        <v>918</v>
      </c>
      <c r="D1018" s="70" t="s">
        <v>1</v>
      </c>
      <c r="E1018" s="70" t="s">
        <v>1</v>
      </c>
      <c r="F1018" s="70"/>
      <c r="G1018" s="70" t="s">
        <v>61</v>
      </c>
      <c r="H1018" s="70" t="s">
        <v>178</v>
      </c>
      <c r="I1018" s="70" t="s">
        <v>181</v>
      </c>
      <c r="J1018" s="71">
        <f>IF(OR(I1018=0,I1018=""),"unrated",VLOOKUP(I1018,MappingTables!$B$19:$C$31,2,FALSE))</f>
        <v>3</v>
      </c>
      <c r="K1018" s="72">
        <v>46561.318538005984</v>
      </c>
      <c r="L1018" s="70">
        <v>10.407916919073644</v>
      </c>
      <c r="M1018" s="71">
        <f>IF(L1018&lt;1,1,L1018)</f>
        <v>10.407916919073644</v>
      </c>
      <c r="N1018" s="70" t="s">
        <v>141</v>
      </c>
      <c r="O1018" s="71">
        <f>INDEX(DurClassMapping,MATCH(M1018,MappingTables!$D$4:$D$8,-1),1)</f>
        <v>3</v>
      </c>
      <c r="P1018" s="73">
        <f>IF(M1018=$A$1,1,$M1018-INDEX(MappingTables!$E$4:$E$8,MATCH(O1018,MappingTables!$B$4:$B$8,0)))</f>
        <v>0.407916919073644</v>
      </c>
      <c r="Q1018" s="71">
        <f>IF(B1018="",0,INDEX(ModelParameters!$D$6:$K$10,MATCH($O1018,ModelParameters!$B$6:$B$10,0),MATCH($J1018,ModelParameters!$D$5:$K$5,0)))</f>
        <v>0.01</v>
      </c>
      <c r="R1018" s="71">
        <f>IF(B1018="",0,INDEX(ModelParameters!$D$13:$K$17,MATCH($O1018,ModelParameters!$B$13:$B$17,0),MATCH($J1018,ModelParameters!$D$5:$K$5,0)))</f>
        <v>0.2</v>
      </c>
      <c r="S1018" s="160">
        <f>IF(B1018="",0,MIN(IF($N1018="Other Bond TM",ModelParameters!$N$21,1)*(P1018*Q1018+R1018),1))</f>
        <v>0.20407916919073644</v>
      </c>
      <c r="T1018" s="85">
        <f>IF(B1018="",0,$S1018*$K1018)</f>
        <v>9502.1952036614992</v>
      </c>
      <c r="U1018" s="85">
        <f>IF(B1018="",0,IF(OR(H1018=MappingTables!$C$34,H1018=MappingTables!$C$35),T1018,0))</f>
        <v>0</v>
      </c>
      <c r="V1018" s="85">
        <f>IF(ISNA(IF(AND(VLOOKUP(CONCATENATE($D1018,$G1018),CSRFinput!$B:$E,4,0)=0,OR(H1018=MappingTables!$C$34,H1018=MappingTables!$C$35)),1,VLOOKUP(CONCATENATE($D1018,$G1018),CSRFinput!$B:$E,4,0))),0,IF(AND(VLOOKUP(CONCATENATE($D1018,$G1018),CSRFinput!$B:$E,4,0)=0,OR(H1018=MappingTables!$C$34,H1018=MappingTables!$C$35)),1,VLOOKUP(CONCATENATE($D1018,$G1018),CSRFinput!$B:$E,4,0)))</f>
        <v>0.054776304963434752</v>
      </c>
      <c r="W1018" s="85">
        <f>IF(B1018="",0,+$T1018*$V1018)</f>
        <v>520.49514229784928</v>
      </c>
      <c r="X1018" s="85">
        <f>IF(B1018="",0,IF(OR(H1018=MappingTables!$C$34,H1018=MappingTables!$C$35),W1018,0))</f>
        <v>0</v>
      </c>
    </row>
    <row r="1019" spans="2:24" s="0" customFormat="0" ht="15">
      <c r="B1019" s="69">
        <v>19494625</v>
      </c>
      <c r="C1019" s="70" t="s">
        <v>1310</v>
      </c>
      <c r="D1019" s="70" t="s">
        <v>1</v>
      </c>
      <c r="E1019" s="70" t="s">
        <v>1</v>
      </c>
      <c r="F1019" s="70"/>
      <c r="G1019" s="70" t="s">
        <v>61</v>
      </c>
      <c r="H1019" s="70" t="s">
        <v>178</v>
      </c>
      <c r="I1019" s="70" t="s">
        <v>181</v>
      </c>
      <c r="J1019" s="71">
        <f>IF(OR(I1019=0,I1019=""),"unrated",VLOOKUP(I1019,MappingTables!$B$19:$C$31,2,FALSE))</f>
        <v>3</v>
      </c>
      <c r="K1019" s="72">
        <v>8351.80645873228</v>
      </c>
      <c r="L1019" s="70">
        <v>6.9256369791273</v>
      </c>
      <c r="M1019" s="71">
        <f>IF(L1019&lt;1,1,L1019)</f>
        <v>6.9256369791273</v>
      </c>
      <c r="N1019" s="70" t="s">
        <v>141</v>
      </c>
      <c r="O1019" s="71">
        <f>INDEX(DurClassMapping,MATCH(M1019,MappingTables!$D$4:$D$8,-1),1)</f>
        <v>2</v>
      </c>
      <c r="P1019" s="73">
        <f>IF(M1019=$A$1,1,$M1019-INDEX(MappingTables!$E$4:$E$8,MATCH(O1019,MappingTables!$B$4:$B$8,0)))</f>
        <v>1.9256369791273</v>
      </c>
      <c r="Q1019" s="71">
        <f>IF(B1019="",0,INDEX(ModelParameters!$D$6:$K$10,MATCH($O1019,ModelParameters!$B$6:$B$10,0),MATCH($J1019,ModelParameters!$D$5:$K$5,0)))</f>
        <v>0.015</v>
      </c>
      <c r="R1019" s="71">
        <f>IF(B1019="",0,INDEX(ModelParameters!$D$13:$K$17,MATCH($O1019,ModelParameters!$B$13:$B$17,0),MATCH($J1019,ModelParameters!$D$5:$K$5,0)))</f>
        <v>0.125</v>
      </c>
      <c r="S1019" s="160">
        <f>IF(B1019="",0,MIN(IF($N1019="Other Bond TM",ModelParameters!$N$21,1)*(P1019*Q1019+R1019),1))</f>
        <v>0.1538845546869095</v>
      </c>
      <c r="T1019" s="85">
        <f>IF(B1019="",0,$S1019*$K1019)</f>
        <v>1285.2140177332718</v>
      </c>
      <c r="U1019" s="85">
        <f>IF(B1019="",0,IF(OR(H1019=MappingTables!$C$34,H1019=MappingTables!$C$35),T1019,0))</f>
        <v>0</v>
      </c>
      <c r="V1019" s="85">
        <f>IF(ISNA(IF(AND(VLOOKUP(CONCATENATE($D1019,$G1019),CSRFinput!$B:$E,4,0)=0,OR(H1019=MappingTables!$C$34,H1019=MappingTables!$C$35)),1,VLOOKUP(CONCATENATE($D1019,$G1019),CSRFinput!$B:$E,4,0))),0,IF(AND(VLOOKUP(CONCATENATE($D1019,$G1019),CSRFinput!$B:$E,4,0)=0,OR(H1019=MappingTables!$C$34,H1019=MappingTables!$C$35)),1,VLOOKUP(CONCATENATE($D1019,$G1019),CSRFinput!$B:$E,4,0)))</f>
        <v>0.054776304963434752</v>
      </c>
      <c r="W1019" s="85">
        <f>IF(B1019="",0,+$T1019*$V1019)</f>
        <v>70.399274978638928</v>
      </c>
      <c r="X1019" s="85">
        <f>IF(B1019="",0,IF(OR(H1019=MappingTables!$C$34,H1019=MappingTables!$C$35),W1019,0))</f>
        <v>0</v>
      </c>
    </row>
    <row r="1020" spans="2:24" s="0" customFormat="0" ht="15">
      <c r="B1020" s="69">
        <v>21417310</v>
      </c>
      <c r="C1020" s="70" t="s">
        <v>504</v>
      </c>
      <c r="D1020" s="70" t="s">
        <v>1</v>
      </c>
      <c r="E1020" s="70" t="s">
        <v>1</v>
      </c>
      <c r="F1020" s="70"/>
      <c r="G1020" s="70" t="s">
        <v>61</v>
      </c>
      <c r="H1020" s="70" t="s">
        <v>178</v>
      </c>
      <c r="I1020" s="70" t="s">
        <v>188</v>
      </c>
      <c r="J1020" s="71">
        <f>IF(OR(I1020=0,I1020=""),"unrated",VLOOKUP(I1020,MappingTables!$B$19:$C$31,2,FALSE))</f>
        <v>2</v>
      </c>
      <c r="K1020" s="72">
        <v>7816.5776559713088</v>
      </c>
      <c r="L1020" s="70">
        <v>6.0417317510751168</v>
      </c>
      <c r="M1020" s="71">
        <f>IF(L1020&lt;1,1,L1020)</f>
        <v>6.0417317510751168</v>
      </c>
      <c r="N1020" s="70" t="s">
        <v>141</v>
      </c>
      <c r="O1020" s="71">
        <f>INDEX(DurClassMapping,MATCH(M1020,MappingTables!$D$4:$D$8,-1),1)</f>
        <v>2</v>
      </c>
      <c r="P1020" s="73">
        <f>IF(M1020=$A$1,1,$M1020-INDEX(MappingTables!$E$4:$E$8,MATCH(O1020,MappingTables!$B$4:$B$8,0)))</f>
        <v>1.0417317510751172</v>
      </c>
      <c r="Q1020" s="71">
        <f>IF(B1020="",0,INDEX(ModelParameters!$D$6:$K$10,MATCH($O1020,ModelParameters!$B$6:$B$10,0),MATCH($J1020,ModelParameters!$D$5:$K$5,0)))</f>
        <v>0.0069999999999999992</v>
      </c>
      <c r="R1020" s="71">
        <f>IF(B1020="",0,INDEX(ModelParameters!$D$13:$K$17,MATCH($O1020,ModelParameters!$B$13:$B$17,0),MATCH($J1020,ModelParameters!$D$5:$K$5,0)))</f>
        <v>0.070000000000000008</v>
      </c>
      <c r="S1020" s="160">
        <f>IF(B1020="",0,MIN(IF($N1020="Other Bond TM",ModelParameters!$N$21,1)*(P1020*Q1020+R1020),1))</f>
        <v>0.077292122257525824</v>
      </c>
      <c r="T1020" s="85">
        <f>IF(B1020="",0,$S1020*$K1020)</f>
        <v>604.15987582077912</v>
      </c>
      <c r="U1020" s="85">
        <f>IF(B1020="",0,IF(OR(H1020=MappingTables!$C$34,H1020=MappingTables!$C$35),T1020,0))</f>
        <v>0</v>
      </c>
      <c r="V1020" s="85">
        <f>IF(ISNA(IF(AND(VLOOKUP(CONCATENATE($D1020,$G1020),CSRFinput!$B:$E,4,0)=0,OR(H1020=MappingTables!$C$34,H1020=MappingTables!$C$35)),1,VLOOKUP(CONCATENATE($D1020,$G1020),CSRFinput!$B:$E,4,0))),0,IF(AND(VLOOKUP(CONCATENATE($D1020,$G1020),CSRFinput!$B:$E,4,0)=0,OR(H1020=MappingTables!$C$34,H1020=MappingTables!$C$35)),1,VLOOKUP(CONCATENATE($D1020,$G1020),CSRFinput!$B:$E,4,0)))</f>
        <v>0.054776304963434752</v>
      </c>
      <c r="W1020" s="85">
        <f>IF(B1020="",0,+$T1020*$V1020)</f>
        <v>33.093645604629872</v>
      </c>
      <c r="X1020" s="85">
        <f>IF(B1020="",0,IF(OR(H1020=MappingTables!$C$34,H1020=MappingTables!$C$35),W1020,0))</f>
        <v>0</v>
      </c>
    </row>
    <row r="1021" spans="2:24" s="0" customFormat="0" ht="15">
      <c r="B1021" s="69">
        <v>13662077</v>
      </c>
      <c r="C1021" s="70" t="s">
        <v>729</v>
      </c>
      <c r="D1021" s="70" t="s">
        <v>1</v>
      </c>
      <c r="E1021" s="70" t="s">
        <v>1</v>
      </c>
      <c r="F1021" s="70"/>
      <c r="G1021" s="70" t="s">
        <v>61</v>
      </c>
      <c r="H1021" s="70" t="s">
        <v>178</v>
      </c>
      <c r="I1021" s="70" t="s">
        <v>198</v>
      </c>
      <c r="J1021" s="71" t="str">
        <f>IF(OR(I1021=0,I1021=""),"unrated",VLOOKUP(I1021,MappingTables!$B$19:$C$31,2,FALSE))</f>
        <v>unrated</v>
      </c>
      <c r="K1021" s="72">
        <v>0.49825795579347224</v>
      </c>
      <c r="L1021" s="70">
        <v>0.087671317886511008</v>
      </c>
      <c r="M1021" s="71">
        <f>IF(L1021&lt;1,1,L1021)</f>
        <v>1</v>
      </c>
      <c r="N1021" s="70" t="s">
        <v>141</v>
      </c>
      <c r="O1021" s="71">
        <f>INDEX(DurClassMapping,MATCH(M1021,MappingTables!$D$4:$D$8,-1),1)</f>
        <v>1</v>
      </c>
      <c r="P1021" s="73">
        <f>IF(M1021=$A$1,1,$M1021-INDEX(MappingTables!$E$4:$E$8,MATCH(O1021,MappingTables!$B$4:$B$8,0)))</f>
        <v>1</v>
      </c>
      <c r="Q1021" s="71">
        <f>IF(B1021="",0,INDEX(ModelParameters!$D$6:$K$10,MATCH($O1021,ModelParameters!$B$6:$B$10,0),MATCH($J1021,ModelParameters!$D$5:$K$5,0)))</f>
        <v>0.03</v>
      </c>
      <c r="R1021" s="71">
        <f>IF(B1021="",0,INDEX(ModelParameters!$D$13:$K$17,MATCH($O1021,ModelParameters!$B$13:$B$17,0),MATCH($J1021,ModelParameters!$D$5:$K$5,0)))</f>
        <v>0</v>
      </c>
      <c r="S1021" s="160">
        <f>IF(B1021="",0,MIN(IF($N1021="Other Bond TM",ModelParameters!$N$21,1)*(P1021*Q1021+R1021),1))</f>
        <v>0.03</v>
      </c>
      <c r="T1021" s="85">
        <f>IF(B1021="",0,$S1021*$K1021)</f>
        <v>0.014947738673804168</v>
      </c>
      <c r="U1021" s="85">
        <f>IF(B1021="",0,IF(OR(H1021=MappingTables!$C$34,H1021=MappingTables!$C$35),T1021,0))</f>
        <v>0</v>
      </c>
      <c r="V1021" s="85">
        <f>IF(ISNA(IF(AND(VLOOKUP(CONCATENATE($D1021,$G1021),CSRFinput!$B:$E,4,0)=0,OR(H1021=MappingTables!$C$34,H1021=MappingTables!$C$35)),1,VLOOKUP(CONCATENATE($D1021,$G1021),CSRFinput!$B:$E,4,0))),0,IF(AND(VLOOKUP(CONCATENATE($D1021,$G1021),CSRFinput!$B:$E,4,0)=0,OR(H1021=MappingTables!$C$34,H1021=MappingTables!$C$35)),1,VLOOKUP(CONCATENATE($D1021,$G1021),CSRFinput!$B:$E,4,0)))</f>
        <v>0.054776304963434752</v>
      </c>
      <c r="W1021" s="85">
        <f>IF(B1021="",0,+$T1021*$V1021)</f>
        <v>0.0008187818921100248</v>
      </c>
      <c r="X1021" s="85">
        <f>IF(B1021="",0,IF(OR(H1021=MappingTables!$C$34,H1021=MappingTables!$C$35),W1021,0))</f>
        <v>0</v>
      </c>
    </row>
    <row r="1022" spans="2:24" s="0" customFormat="0" ht="15">
      <c r="B1022" s="69">
        <v>5043377</v>
      </c>
      <c r="C1022" s="70" t="s">
        <v>1311</v>
      </c>
      <c r="D1022" s="70" t="s">
        <v>1</v>
      </c>
      <c r="E1022" s="70" t="s">
        <v>1</v>
      </c>
      <c r="F1022" s="70"/>
      <c r="G1022" s="70" t="s">
        <v>61</v>
      </c>
      <c r="H1022" s="70" t="s">
        <v>178</v>
      </c>
      <c r="I1022" s="70" t="s">
        <v>181</v>
      </c>
      <c r="J1022" s="71">
        <f>IF(OR(I1022=0,I1022=""),"unrated",VLOOKUP(I1022,MappingTables!$B$19:$C$31,2,FALSE))</f>
        <v>3</v>
      </c>
      <c r="K1022" s="72">
        <v>2026.6785527126696</v>
      </c>
      <c r="L1022" s="70">
        <v>1.5935976933428572</v>
      </c>
      <c r="M1022" s="71">
        <f>IF(L1022&lt;1,1,L1022)</f>
        <v>1.5935976933428572</v>
      </c>
      <c r="N1022" s="70" t="s">
        <v>141</v>
      </c>
      <c r="O1022" s="71">
        <f>INDEX(DurClassMapping,MATCH(M1022,MappingTables!$D$4:$D$8,-1),1)</f>
        <v>1</v>
      </c>
      <c r="P1022" s="73">
        <f>IF(M1022=$A$1,1,$M1022-INDEX(MappingTables!$E$4:$E$8,MATCH(O1022,MappingTables!$B$4:$B$8,0)))</f>
        <v>1.5935976933428572</v>
      </c>
      <c r="Q1022" s="71">
        <f>IF(B1022="",0,INDEX(ModelParameters!$D$6:$K$10,MATCH($O1022,ModelParameters!$B$6:$B$10,0),MATCH($J1022,ModelParameters!$D$5:$K$5,0)))</f>
        <v>0.025</v>
      </c>
      <c r="R1022" s="71">
        <f>IF(B1022="",0,INDEX(ModelParameters!$D$13:$K$17,MATCH($O1022,ModelParameters!$B$13:$B$17,0),MATCH($J1022,ModelParameters!$D$5:$K$5,0)))</f>
        <v>0</v>
      </c>
      <c r="S1022" s="160">
        <f>IF(B1022="",0,MIN(IF($N1022="Other Bond TM",ModelParameters!$N$21,1)*(P1022*Q1022+R1022),1))</f>
        <v>0.03983994233357144</v>
      </c>
      <c r="T1022" s="85">
        <f>IF(B1022="",0,$S1022*$K1022)</f>
        <v>80.742756668758784</v>
      </c>
      <c r="U1022" s="85">
        <f>IF(B1022="",0,IF(OR(H1022=MappingTables!$C$34,H1022=MappingTables!$C$35),T1022,0))</f>
        <v>0</v>
      </c>
      <c r="V1022" s="85">
        <f>IF(ISNA(IF(AND(VLOOKUP(CONCATENATE($D1022,$G1022),CSRFinput!$B:$E,4,0)=0,OR(H1022=MappingTables!$C$34,H1022=MappingTables!$C$35)),1,VLOOKUP(CONCATENATE($D1022,$G1022),CSRFinput!$B:$E,4,0))),0,IF(AND(VLOOKUP(CONCATENATE($D1022,$G1022),CSRFinput!$B:$E,4,0)=0,OR(H1022=MappingTables!$C$34,H1022=MappingTables!$C$35)),1,VLOOKUP(CONCATENATE($D1022,$G1022),CSRFinput!$B:$E,4,0)))</f>
        <v>0.054776304963434752</v>
      </c>
      <c r="W1022" s="85">
        <f>IF(B1022="",0,+$T1022*$V1022)</f>
        <v>4.4227898628763368</v>
      </c>
      <c r="X1022" s="85">
        <f>IF(B1022="",0,IF(OR(H1022=MappingTables!$C$34,H1022=MappingTables!$C$35),W1022,0))</f>
        <v>0</v>
      </c>
    </row>
    <row r="1023" spans="2:24" s="0" customFormat="0" ht="15">
      <c r="B1023" s="69" t="s">
        <v>1312</v>
      </c>
      <c r="C1023" s="70" t="s">
        <v>1313</v>
      </c>
      <c r="D1023" s="70" t="s">
        <v>1</v>
      </c>
      <c r="E1023" s="70" t="s">
        <v>1</v>
      </c>
      <c r="F1023" s="70"/>
      <c r="G1023" s="70" t="s">
        <v>61</v>
      </c>
      <c r="H1023" s="70" t="s">
        <v>178</v>
      </c>
      <c r="I1023" s="70" t="s">
        <v>184</v>
      </c>
      <c r="J1023" s="71">
        <f>IF(OR(I1023=0,I1023=""),"unrated",VLOOKUP(I1023,MappingTables!$B$19:$C$31,2,FALSE))</f>
        <v>5</v>
      </c>
      <c r="K1023" s="72">
        <v>322.62825288206444</v>
      </c>
      <c r="L1023" s="70">
        <v>0.9403260095456056</v>
      </c>
      <c r="M1023" s="71">
        <f>IF(L1023&lt;1,1,L1023)</f>
        <v>1</v>
      </c>
      <c r="N1023" s="70" t="s">
        <v>141</v>
      </c>
      <c r="O1023" s="71">
        <f>INDEX(DurClassMapping,MATCH(M1023,MappingTables!$D$4:$D$8,-1),1)</f>
        <v>1</v>
      </c>
      <c r="P1023" s="73">
        <f>IF(M1023=$A$1,1,$M1023-INDEX(MappingTables!$E$4:$E$8,MATCH(O1023,MappingTables!$B$4:$B$8,0)))</f>
        <v>1</v>
      </c>
      <c r="Q1023" s="71">
        <f>IF(B1023="",0,INDEX(ModelParameters!$D$6:$K$10,MATCH($O1023,ModelParameters!$B$6:$B$10,0),MATCH($J1023,ModelParameters!$D$5:$K$5,0)))</f>
        <v>0.075</v>
      </c>
      <c r="R1023" s="71">
        <f>IF(B1023="",0,INDEX(ModelParameters!$D$13:$K$17,MATCH($O1023,ModelParameters!$B$13:$B$17,0),MATCH($J1023,ModelParameters!$D$5:$K$5,0)))</f>
        <v>0</v>
      </c>
      <c r="S1023" s="160">
        <f>IF(B1023="",0,MIN(IF($N1023="Other Bond TM",ModelParameters!$N$21,1)*(P1023*Q1023+R1023),1))</f>
        <v>0.075</v>
      </c>
      <c r="T1023" s="85">
        <f>IF(B1023="",0,$S1023*$K1023)</f>
        <v>24.197118966154832</v>
      </c>
      <c r="U1023" s="85">
        <f>IF(B1023="",0,IF(OR(H1023=MappingTables!$C$34,H1023=MappingTables!$C$35),T1023,0))</f>
        <v>0</v>
      </c>
      <c r="V1023" s="85">
        <f>IF(ISNA(IF(AND(VLOOKUP(CONCATENATE($D1023,$G1023),CSRFinput!$B:$E,4,0)=0,OR(H1023=MappingTables!$C$34,H1023=MappingTables!$C$35)),1,VLOOKUP(CONCATENATE($D1023,$G1023),CSRFinput!$B:$E,4,0))),0,IF(AND(VLOOKUP(CONCATENATE($D1023,$G1023),CSRFinput!$B:$E,4,0)=0,OR(H1023=MappingTables!$C$34,H1023=MappingTables!$C$35)),1,VLOOKUP(CONCATENATE($D1023,$G1023),CSRFinput!$B:$E,4,0)))</f>
        <v>0.054776304963434752</v>
      </c>
      <c r="W1023" s="85">
        <f>IF(B1023="",0,+$T1023*$V1023)</f>
        <v>1.3254287677266082</v>
      </c>
      <c r="X1023" s="85">
        <f>IF(B1023="",0,IF(OR(H1023=MappingTables!$C$34,H1023=MappingTables!$C$35),W1023,0))</f>
        <v>0</v>
      </c>
    </row>
    <row r="1024" spans="2:24" s="0" customFormat="0" ht="15">
      <c r="B1024" s="69">
        <v>22698144</v>
      </c>
      <c r="C1024" s="70" t="s">
        <v>1314</v>
      </c>
      <c r="D1024" s="70" t="s">
        <v>1</v>
      </c>
      <c r="E1024" s="70" t="s">
        <v>1</v>
      </c>
      <c r="F1024" s="70"/>
      <c r="G1024" s="70" t="s">
        <v>61</v>
      </c>
      <c r="H1024" s="70" t="s">
        <v>178</v>
      </c>
      <c r="I1024" s="70" t="s">
        <v>179</v>
      </c>
      <c r="J1024" s="71">
        <f>IF(OR(I1024=0,I1024=""),"unrated",VLOOKUP(I1024,MappingTables!$B$19:$C$31,2,FALSE))</f>
        <v>4</v>
      </c>
      <c r="K1024" s="72">
        <v>14843.582590096874</v>
      </c>
      <c r="L1024" s="70">
        <v>1.7154268595194654</v>
      </c>
      <c r="M1024" s="71">
        <f>IF(L1024&lt;1,1,L1024)</f>
        <v>1.7154268595194654</v>
      </c>
      <c r="N1024" s="70" t="s">
        <v>141</v>
      </c>
      <c r="O1024" s="71">
        <f>INDEX(DurClassMapping,MATCH(M1024,MappingTables!$D$4:$D$8,-1),1)</f>
        <v>1</v>
      </c>
      <c r="P1024" s="73">
        <f>IF(M1024=$A$1,1,$M1024-INDEX(MappingTables!$E$4:$E$8,MATCH(O1024,MappingTables!$B$4:$B$8,0)))</f>
        <v>1.7154268595194654</v>
      </c>
      <c r="Q1024" s="71">
        <f>IF(B1024="",0,INDEX(ModelParameters!$D$6:$K$10,MATCH($O1024,ModelParameters!$B$6:$B$10,0),MATCH($J1024,ModelParameters!$D$5:$K$5,0)))</f>
        <v>0.045</v>
      </c>
      <c r="R1024" s="71">
        <f>IF(B1024="",0,INDEX(ModelParameters!$D$13:$K$17,MATCH($O1024,ModelParameters!$B$13:$B$17,0),MATCH($J1024,ModelParameters!$D$5:$K$5,0)))</f>
        <v>0</v>
      </c>
      <c r="S1024" s="160">
        <f>IF(B1024="",0,MIN(IF($N1024="Other Bond TM",ModelParameters!$N$21,1)*(P1024*Q1024+R1024),1))</f>
        <v>0.077194208678375936</v>
      </c>
      <c r="T1024" s="85">
        <f>IF(B1024="",0,$S1024*$K1024)</f>
        <v>1145.838611994646</v>
      </c>
      <c r="U1024" s="85">
        <f>IF(B1024="",0,IF(OR(H1024=MappingTables!$C$34,H1024=MappingTables!$C$35),T1024,0))</f>
        <v>0</v>
      </c>
      <c r="V1024" s="85">
        <f>IF(ISNA(IF(AND(VLOOKUP(CONCATENATE($D1024,$G1024),CSRFinput!$B:$E,4,0)=0,OR(H1024=MappingTables!$C$34,H1024=MappingTables!$C$35)),1,VLOOKUP(CONCATENATE($D1024,$G1024),CSRFinput!$B:$E,4,0))),0,IF(AND(VLOOKUP(CONCATENATE($D1024,$G1024),CSRFinput!$B:$E,4,0)=0,OR(H1024=MappingTables!$C$34,H1024=MappingTables!$C$35)),1,VLOOKUP(CONCATENATE($D1024,$G1024),CSRFinput!$B:$E,4,0)))</f>
        <v>0.054776304963434752</v>
      </c>
      <c r="W1024" s="85">
        <f>IF(B1024="",0,+$T1024*$V1024)</f>
        <v>62.76480524949752</v>
      </c>
      <c r="X1024" s="85">
        <f>IF(B1024="",0,IF(OR(H1024=MappingTables!$C$34,H1024=MappingTables!$C$35),W1024,0))</f>
        <v>0</v>
      </c>
    </row>
    <row r="1025" spans="2:24" s="0" customFormat="0" ht="15">
      <c r="B1025" s="69" t="s">
        <v>541</v>
      </c>
      <c r="C1025" s="70" t="s">
        <v>542</v>
      </c>
      <c r="D1025" s="70" t="s">
        <v>1</v>
      </c>
      <c r="E1025" s="70" t="s">
        <v>1</v>
      </c>
      <c r="F1025" s="70"/>
      <c r="G1025" s="70" t="s">
        <v>61</v>
      </c>
      <c r="H1025" s="70" t="s">
        <v>178</v>
      </c>
      <c r="I1025" s="70" t="s">
        <v>204</v>
      </c>
      <c r="J1025" s="71">
        <f>IF(OR(I1025=0,I1025=""),"unrated",VLOOKUP(I1025,MappingTables!$B$19:$C$31,2,FALSE))</f>
        <v>6</v>
      </c>
      <c r="K1025" s="72">
        <v>143.51677521308492</v>
      </c>
      <c r="L1025" s="70">
        <v>1.8667860598651872</v>
      </c>
      <c r="M1025" s="71">
        <f>IF(L1025&lt;1,1,L1025)</f>
        <v>1.8667860598651872</v>
      </c>
      <c r="N1025" s="70" t="s">
        <v>141</v>
      </c>
      <c r="O1025" s="71">
        <f>INDEX(DurClassMapping,MATCH(M1025,MappingTables!$D$4:$D$8,-1),1)</f>
        <v>1</v>
      </c>
      <c r="P1025" s="73">
        <f>IF(M1025=$A$1,1,$M1025-INDEX(MappingTables!$E$4:$E$8,MATCH(O1025,MappingTables!$B$4:$B$8,0)))</f>
        <v>1.8667860598651872</v>
      </c>
      <c r="Q1025" s="71">
        <f>IF(B1025="",0,INDEX(ModelParameters!$D$6:$K$10,MATCH($O1025,ModelParameters!$B$6:$B$10,0),MATCH($J1025,ModelParameters!$D$5:$K$5,0)))</f>
        <v>0.075</v>
      </c>
      <c r="R1025" s="71">
        <f>IF(B1025="",0,INDEX(ModelParameters!$D$13:$K$17,MATCH($O1025,ModelParameters!$B$13:$B$17,0),MATCH($J1025,ModelParameters!$D$5:$K$5,0)))</f>
        <v>0</v>
      </c>
      <c r="S1025" s="160">
        <f>IF(B1025="",0,MIN(IF($N1025="Other Bond TM",ModelParameters!$N$21,1)*(P1025*Q1025+R1025),1))</f>
        <v>0.14000895448988904</v>
      </c>
      <c r="T1025" s="85">
        <f>IF(B1025="",0,$S1025*$K1025)</f>
        <v>20.09363364934444</v>
      </c>
      <c r="U1025" s="85">
        <f>IF(B1025="",0,IF(OR(H1025=MappingTables!$C$34,H1025=MappingTables!$C$35),T1025,0))</f>
        <v>0</v>
      </c>
      <c r="V1025" s="85">
        <f>IF(ISNA(IF(AND(VLOOKUP(CONCATENATE($D1025,$G1025),CSRFinput!$B:$E,4,0)=0,OR(H1025=MappingTables!$C$34,H1025=MappingTables!$C$35)),1,VLOOKUP(CONCATENATE($D1025,$G1025),CSRFinput!$B:$E,4,0))),0,IF(AND(VLOOKUP(CONCATENATE($D1025,$G1025),CSRFinput!$B:$E,4,0)=0,OR(H1025=MappingTables!$C$34,H1025=MappingTables!$C$35)),1,VLOOKUP(CONCATENATE($D1025,$G1025),CSRFinput!$B:$E,4,0)))</f>
        <v>0.054776304963434752</v>
      </c>
      <c r="W1025" s="85">
        <f>IF(B1025="",0,+$T1025*$V1025)</f>
        <v>1.1006550046000254</v>
      </c>
      <c r="X1025" s="85">
        <f>IF(B1025="",0,IF(OR(H1025=MappingTables!$C$34,H1025=MappingTables!$C$35),W1025,0))</f>
        <v>0</v>
      </c>
    </row>
    <row r="1026" spans="2:24" s="0" customFormat="0" ht="15">
      <c r="B1026" s="69">
        <v>21834546</v>
      </c>
      <c r="C1026" s="70" t="s">
        <v>1315</v>
      </c>
      <c r="D1026" s="70" t="s">
        <v>1</v>
      </c>
      <c r="E1026" s="70" t="s">
        <v>1</v>
      </c>
      <c r="F1026" s="70"/>
      <c r="G1026" s="70" t="s">
        <v>61</v>
      </c>
      <c r="H1026" s="70" t="s">
        <v>178</v>
      </c>
      <c r="I1026" s="70" t="s">
        <v>181</v>
      </c>
      <c r="J1026" s="71">
        <f>IF(OR(I1026=0,I1026=""),"unrated",VLOOKUP(I1026,MappingTables!$B$19:$C$31,2,FALSE))</f>
        <v>3</v>
      </c>
      <c r="K1026" s="72">
        <v>16685.256476465776</v>
      </c>
      <c r="L1026" s="70">
        <v>3.7866670021403512</v>
      </c>
      <c r="M1026" s="71">
        <f>IF(L1026&lt;1,1,L1026)</f>
        <v>3.7866670021403512</v>
      </c>
      <c r="N1026" s="70" t="s">
        <v>141</v>
      </c>
      <c r="O1026" s="71">
        <f>INDEX(DurClassMapping,MATCH(M1026,MappingTables!$D$4:$D$8,-1),1)</f>
        <v>1</v>
      </c>
      <c r="P1026" s="73">
        <f>IF(M1026=$A$1,1,$M1026-INDEX(MappingTables!$E$4:$E$8,MATCH(O1026,MappingTables!$B$4:$B$8,0)))</f>
        <v>3.7866670021403512</v>
      </c>
      <c r="Q1026" s="71">
        <f>IF(B1026="",0,INDEX(ModelParameters!$D$6:$K$10,MATCH($O1026,ModelParameters!$B$6:$B$10,0),MATCH($J1026,ModelParameters!$D$5:$K$5,0)))</f>
        <v>0.025</v>
      </c>
      <c r="R1026" s="71">
        <f>IF(B1026="",0,INDEX(ModelParameters!$D$13:$K$17,MATCH($O1026,ModelParameters!$B$13:$B$17,0),MATCH($J1026,ModelParameters!$D$5:$K$5,0)))</f>
        <v>0</v>
      </c>
      <c r="S1026" s="160">
        <f>IF(B1026="",0,MIN(IF($N1026="Other Bond TM",ModelParameters!$N$21,1)*(P1026*Q1026+R1026),1))</f>
        <v>0.094666675053508784</v>
      </c>
      <c r="T1026" s="85">
        <f>IF(B1026="",0,$S1026*$K1026)</f>
        <v>1579.5377530420388</v>
      </c>
      <c r="U1026" s="85">
        <f>IF(B1026="",0,IF(OR(H1026=MappingTables!$C$34,H1026=MappingTables!$C$35),T1026,0))</f>
        <v>0</v>
      </c>
      <c r="V1026" s="85">
        <f>IF(ISNA(IF(AND(VLOOKUP(CONCATENATE($D1026,$G1026),CSRFinput!$B:$E,4,0)=0,OR(H1026=MappingTables!$C$34,H1026=MappingTables!$C$35)),1,VLOOKUP(CONCATENATE($D1026,$G1026),CSRFinput!$B:$E,4,0))),0,IF(AND(VLOOKUP(CONCATENATE($D1026,$G1026),CSRFinput!$B:$E,4,0)=0,OR(H1026=MappingTables!$C$34,H1026=MappingTables!$C$35)),1,VLOOKUP(CONCATENATE($D1026,$G1026),CSRFinput!$B:$E,4,0)))</f>
        <v>0.054776304963434752</v>
      </c>
      <c r="W1026" s="85">
        <f>IF(B1026="",0,+$T1026*$V1026)</f>
        <v>86.5212416618892</v>
      </c>
      <c r="X1026" s="85">
        <f>IF(B1026="",0,IF(OR(H1026=MappingTables!$C$34,H1026=MappingTables!$C$35),W1026,0))</f>
        <v>0</v>
      </c>
    </row>
    <row r="1027" spans="2:24" s="0" customFormat="0" ht="15">
      <c r="B1027" s="69">
        <v>20269102</v>
      </c>
      <c r="C1027" s="70" t="s">
        <v>1316</v>
      </c>
      <c r="D1027" s="70" t="s">
        <v>1</v>
      </c>
      <c r="E1027" s="70" t="s">
        <v>1</v>
      </c>
      <c r="F1027" s="70"/>
      <c r="G1027" s="70" t="s">
        <v>61</v>
      </c>
      <c r="H1027" s="70" t="s">
        <v>178</v>
      </c>
      <c r="I1027" s="70" t="s">
        <v>220</v>
      </c>
      <c r="J1027" s="71">
        <f>IF(OR(I1027=0,I1027=""),"unrated",VLOOKUP(I1027,MappingTables!$B$19:$C$31,2,FALSE))</f>
        <v>1</v>
      </c>
      <c r="K1027" s="72">
        <v>1088252.8686523438</v>
      </c>
      <c r="L1027" s="70">
        <v>6.236807649607248</v>
      </c>
      <c r="M1027" s="71">
        <f>IF(L1027&lt;1,1,L1027)</f>
        <v>6.236807649607248</v>
      </c>
      <c r="N1027" s="70" t="s">
        <v>141</v>
      </c>
      <c r="O1027" s="71">
        <f>INDEX(DurClassMapping,MATCH(M1027,MappingTables!$D$4:$D$8,-1),1)</f>
        <v>2</v>
      </c>
      <c r="P1027" s="73">
        <f>IF(M1027=$A$1,1,$M1027-INDEX(MappingTables!$E$4:$E$8,MATCH(O1027,MappingTables!$B$4:$B$8,0)))</f>
        <v>1.2368076496072478</v>
      </c>
      <c r="Q1027" s="71">
        <f>IF(B1027="",0,INDEX(ModelParameters!$D$6:$K$10,MATCH($O1027,ModelParameters!$B$6:$B$10,0),MATCH($J1027,ModelParameters!$D$5:$K$5,0)))</f>
        <v>0.006</v>
      </c>
      <c r="R1027" s="71">
        <f>IF(B1027="",0,INDEX(ModelParameters!$D$13:$K$17,MATCH($O1027,ModelParameters!$B$13:$B$17,0),MATCH($J1027,ModelParameters!$D$5:$K$5,0)))</f>
        <v>0.055</v>
      </c>
      <c r="S1027" s="160">
        <f>IF(B1027="",0,MIN(IF($N1027="Other Bond TM",ModelParameters!$N$21,1)*(P1027*Q1027+R1027),1))</f>
        <v>0.062420845897643488</v>
      </c>
      <c r="T1027" s="85">
        <f>IF(B1027="",0,$S1027*$K1027)</f>
        <v>67929.664611816408</v>
      </c>
      <c r="U1027" s="85">
        <f>IF(B1027="",0,IF(OR(H1027=MappingTables!$C$34,H1027=MappingTables!$C$35),T1027,0))</f>
        <v>0</v>
      </c>
      <c r="V1027" s="85">
        <f>IF(ISNA(IF(AND(VLOOKUP(CONCATENATE($D1027,$G1027),CSRFinput!$B:$E,4,0)=0,OR(H1027=MappingTables!$C$34,H1027=MappingTables!$C$35)),1,VLOOKUP(CONCATENATE($D1027,$G1027),CSRFinput!$B:$E,4,0))),0,IF(AND(VLOOKUP(CONCATENATE($D1027,$G1027),CSRFinput!$B:$E,4,0)=0,OR(H1027=MappingTables!$C$34,H1027=MappingTables!$C$35)),1,VLOOKUP(CONCATENATE($D1027,$G1027),CSRFinput!$B:$E,4,0)))</f>
        <v>0.054776304963434752</v>
      </c>
      <c r="W1027" s="85">
        <f>IF(B1027="",0,+$T1027*$V1027)</f>
        <v>3720.9360248406968</v>
      </c>
      <c r="X1027" s="85">
        <f>IF(B1027="",0,IF(OR(H1027=MappingTables!$C$34,H1027=MappingTables!$C$35),W1027,0))</f>
        <v>0</v>
      </c>
    </row>
    <row r="1028" spans="2:24" s="0" customFormat="0" ht="15">
      <c r="B1028" s="69">
        <v>16192340</v>
      </c>
      <c r="C1028" s="70" t="s">
        <v>1317</v>
      </c>
      <c r="D1028" s="70" t="s">
        <v>1</v>
      </c>
      <c r="E1028" s="70" t="s">
        <v>1</v>
      </c>
      <c r="F1028" s="70"/>
      <c r="G1028" s="70" t="s">
        <v>61</v>
      </c>
      <c r="H1028" s="70" t="s">
        <v>178</v>
      </c>
      <c r="I1028" s="70" t="s">
        <v>181</v>
      </c>
      <c r="J1028" s="71">
        <f>IF(OR(I1028=0,I1028=""),"unrated",VLOOKUP(I1028,MappingTables!$B$19:$C$31,2,FALSE))</f>
        <v>3</v>
      </c>
      <c r="K1028" s="72">
        <v>144.63066457360926</v>
      </c>
      <c r="L1028" s="70">
        <v>2.2838624881630772</v>
      </c>
      <c r="M1028" s="71">
        <f>IF(L1028&lt;1,1,L1028)</f>
        <v>2.2838624881630772</v>
      </c>
      <c r="N1028" s="70" t="s">
        <v>141</v>
      </c>
      <c r="O1028" s="71">
        <f>INDEX(DurClassMapping,MATCH(M1028,MappingTables!$D$4:$D$8,-1),1)</f>
        <v>1</v>
      </c>
      <c r="P1028" s="73">
        <f>IF(M1028=$A$1,1,$M1028-INDEX(MappingTables!$E$4:$E$8,MATCH(O1028,MappingTables!$B$4:$B$8,0)))</f>
        <v>2.2838624881630772</v>
      </c>
      <c r="Q1028" s="71">
        <f>IF(B1028="",0,INDEX(ModelParameters!$D$6:$K$10,MATCH($O1028,ModelParameters!$B$6:$B$10,0),MATCH($J1028,ModelParameters!$D$5:$K$5,0)))</f>
        <v>0.025</v>
      </c>
      <c r="R1028" s="71">
        <f>IF(B1028="",0,INDEX(ModelParameters!$D$13:$K$17,MATCH($O1028,ModelParameters!$B$13:$B$17,0),MATCH($J1028,ModelParameters!$D$5:$K$5,0)))</f>
        <v>0</v>
      </c>
      <c r="S1028" s="160">
        <f>IF(B1028="",0,MIN(IF($N1028="Other Bond TM",ModelParameters!$N$21,1)*(P1028*Q1028+R1028),1))</f>
        <v>0.057096562204076936</v>
      </c>
      <c r="T1028" s="85">
        <f>IF(B1028="",0,$S1028*$K1028)</f>
        <v>8.2579137364440672</v>
      </c>
      <c r="U1028" s="85">
        <f>IF(B1028="",0,IF(OR(H1028=MappingTables!$C$34,H1028=MappingTables!$C$35),T1028,0))</f>
        <v>0</v>
      </c>
      <c r="V1028" s="85">
        <f>IF(ISNA(IF(AND(VLOOKUP(CONCATENATE($D1028,$G1028),CSRFinput!$B:$E,4,0)=0,OR(H1028=MappingTables!$C$34,H1028=MappingTables!$C$35)),1,VLOOKUP(CONCATENATE($D1028,$G1028),CSRFinput!$B:$E,4,0))),0,IF(AND(VLOOKUP(CONCATENATE($D1028,$G1028),CSRFinput!$B:$E,4,0)=0,OR(H1028=MappingTables!$C$34,H1028=MappingTables!$C$35)),1,VLOOKUP(CONCATENATE($D1028,$G1028),CSRFinput!$B:$E,4,0)))</f>
        <v>0.054776304963434752</v>
      </c>
      <c r="W1028" s="85">
        <f>IF(B1028="",0,+$T1028*$V1028)</f>
        <v>0.45233800118919712</v>
      </c>
      <c r="X1028" s="85">
        <f>IF(B1028="",0,IF(OR(H1028=MappingTables!$C$34,H1028=MappingTables!$C$35),W1028,0))</f>
        <v>0</v>
      </c>
    </row>
    <row r="1029" spans="2:24" s="0" customFormat="0" ht="15">
      <c r="B1029" s="69">
        <v>11479489</v>
      </c>
      <c r="C1029" s="70" t="s">
        <v>1318</v>
      </c>
      <c r="D1029" s="70" t="s">
        <v>1</v>
      </c>
      <c r="E1029" s="70" t="s">
        <v>1</v>
      </c>
      <c r="F1029" s="70"/>
      <c r="G1029" s="70" t="s">
        <v>61</v>
      </c>
      <c r="H1029" s="70" t="s">
        <v>178</v>
      </c>
      <c r="I1029" s="70" t="s">
        <v>198</v>
      </c>
      <c r="J1029" s="71" t="str">
        <f>IF(OR(I1029=0,I1029=""),"unrated",VLOOKUP(I1029,MappingTables!$B$19:$C$31,2,FALSE))</f>
        <v>unrated</v>
      </c>
      <c r="K1029" s="72">
        <v>221.98071278584176</v>
      </c>
      <c r="L1029" s="70">
        <v>0.095888608263190464</v>
      </c>
      <c r="M1029" s="71">
        <f>IF(L1029&lt;1,1,L1029)</f>
        <v>1</v>
      </c>
      <c r="N1029" s="70" t="s">
        <v>141</v>
      </c>
      <c r="O1029" s="71">
        <f>INDEX(DurClassMapping,MATCH(M1029,MappingTables!$D$4:$D$8,-1),1)</f>
        <v>1</v>
      </c>
      <c r="P1029" s="73">
        <f>IF(M1029=$A$1,1,$M1029-INDEX(MappingTables!$E$4:$E$8,MATCH(O1029,MappingTables!$B$4:$B$8,0)))</f>
        <v>1</v>
      </c>
      <c r="Q1029" s="71">
        <f>IF(B1029="",0,INDEX(ModelParameters!$D$6:$K$10,MATCH($O1029,ModelParameters!$B$6:$B$10,0),MATCH($J1029,ModelParameters!$D$5:$K$5,0)))</f>
        <v>0.03</v>
      </c>
      <c r="R1029" s="71">
        <f>IF(B1029="",0,INDEX(ModelParameters!$D$13:$K$17,MATCH($O1029,ModelParameters!$B$13:$B$17,0),MATCH($J1029,ModelParameters!$D$5:$K$5,0)))</f>
        <v>0</v>
      </c>
      <c r="S1029" s="160">
        <f>IF(B1029="",0,MIN(IF($N1029="Other Bond TM",ModelParameters!$N$21,1)*(P1029*Q1029+R1029),1))</f>
        <v>0.03</v>
      </c>
      <c r="T1029" s="85">
        <f>IF(B1029="",0,$S1029*$K1029)</f>
        <v>6.6594213835752536</v>
      </c>
      <c r="U1029" s="85">
        <f>IF(B1029="",0,IF(OR(H1029=MappingTables!$C$34,H1029=MappingTables!$C$35),T1029,0))</f>
        <v>0</v>
      </c>
      <c r="V1029" s="85">
        <f>IF(ISNA(IF(AND(VLOOKUP(CONCATENATE($D1029,$G1029),CSRFinput!$B:$E,4,0)=0,OR(H1029=MappingTables!$C$34,H1029=MappingTables!$C$35)),1,VLOOKUP(CONCATENATE($D1029,$G1029),CSRFinput!$B:$E,4,0))),0,IF(AND(VLOOKUP(CONCATENATE($D1029,$G1029),CSRFinput!$B:$E,4,0)=0,OR(H1029=MappingTables!$C$34,H1029=MappingTables!$C$35)),1,VLOOKUP(CONCATENATE($D1029,$G1029),CSRFinput!$B:$E,4,0)))</f>
        <v>0.054776304963434752</v>
      </c>
      <c r="W1029" s="85">
        <f>IF(B1029="",0,+$T1029*$V1029)</f>
        <v>0.36477849658673664</v>
      </c>
      <c r="X1029" s="85">
        <f>IF(B1029="",0,IF(OR(H1029=MappingTables!$C$34,H1029=MappingTables!$C$35),W1029,0))</f>
        <v>0</v>
      </c>
    </row>
    <row r="1030" spans="2:24" s="0" customFormat="0" ht="15">
      <c r="B1030" s="69">
        <v>13111105</v>
      </c>
      <c r="C1030" s="70" t="s">
        <v>881</v>
      </c>
      <c r="D1030" s="70" t="s">
        <v>1</v>
      </c>
      <c r="E1030" s="70" t="s">
        <v>1</v>
      </c>
      <c r="F1030" s="70"/>
      <c r="G1030" s="70" t="s">
        <v>61</v>
      </c>
      <c r="H1030" s="70" t="s">
        <v>178</v>
      </c>
      <c r="I1030" s="70" t="s">
        <v>184</v>
      </c>
      <c r="J1030" s="71">
        <f>IF(OR(I1030=0,I1030=""),"unrated",VLOOKUP(I1030,MappingTables!$B$19:$C$31,2,FALSE))</f>
        <v>5</v>
      </c>
      <c r="K1030" s="72">
        <v>350.26544774789904</v>
      </c>
      <c r="L1030" s="70">
        <v>0.030138211556015928</v>
      </c>
      <c r="M1030" s="71">
        <f>IF(L1030&lt;1,1,L1030)</f>
        <v>1</v>
      </c>
      <c r="N1030" s="70" t="s">
        <v>141</v>
      </c>
      <c r="O1030" s="71">
        <f>INDEX(DurClassMapping,MATCH(M1030,MappingTables!$D$4:$D$8,-1),1)</f>
        <v>1</v>
      </c>
      <c r="P1030" s="73">
        <f>IF(M1030=$A$1,1,$M1030-INDEX(MappingTables!$E$4:$E$8,MATCH(O1030,MappingTables!$B$4:$B$8,0)))</f>
        <v>1</v>
      </c>
      <c r="Q1030" s="71">
        <f>IF(B1030="",0,INDEX(ModelParameters!$D$6:$K$10,MATCH($O1030,ModelParameters!$B$6:$B$10,0),MATCH($J1030,ModelParameters!$D$5:$K$5,0)))</f>
        <v>0.075</v>
      </c>
      <c r="R1030" s="71">
        <f>IF(B1030="",0,INDEX(ModelParameters!$D$13:$K$17,MATCH($O1030,ModelParameters!$B$13:$B$17,0),MATCH($J1030,ModelParameters!$D$5:$K$5,0)))</f>
        <v>0</v>
      </c>
      <c r="S1030" s="160">
        <f>IF(B1030="",0,MIN(IF($N1030="Other Bond TM",ModelParameters!$N$21,1)*(P1030*Q1030+R1030),1))</f>
        <v>0.075</v>
      </c>
      <c r="T1030" s="85">
        <f>IF(B1030="",0,$S1030*$K1030)</f>
        <v>26.269908581092428</v>
      </c>
      <c r="U1030" s="85">
        <f>IF(B1030="",0,IF(OR(H1030=MappingTables!$C$34,H1030=MappingTables!$C$35),T1030,0))</f>
        <v>0</v>
      </c>
      <c r="V1030" s="85">
        <f>IF(ISNA(IF(AND(VLOOKUP(CONCATENATE($D1030,$G1030),CSRFinput!$B:$E,4,0)=0,OR(H1030=MappingTables!$C$34,H1030=MappingTables!$C$35)),1,VLOOKUP(CONCATENATE($D1030,$G1030),CSRFinput!$B:$E,4,0))),0,IF(AND(VLOOKUP(CONCATENATE($D1030,$G1030),CSRFinput!$B:$E,4,0)=0,OR(H1030=MappingTables!$C$34,H1030=MappingTables!$C$35)),1,VLOOKUP(CONCATENATE($D1030,$G1030),CSRFinput!$B:$E,4,0)))</f>
        <v>0.054776304963434752</v>
      </c>
      <c r="W1030" s="85">
        <f>IF(B1030="",0,+$T1030*$V1030)</f>
        <v>1.4389685237994702</v>
      </c>
      <c r="X1030" s="85">
        <f>IF(B1030="",0,IF(OR(H1030=MappingTables!$C$34,H1030=MappingTables!$C$35),W1030,0))</f>
        <v>0</v>
      </c>
    </row>
    <row r="1031" spans="2:24" s="0" customFormat="0" ht="15">
      <c r="B1031" s="69">
        <v>7631442</v>
      </c>
      <c r="C1031" s="70" t="s">
        <v>1319</v>
      </c>
      <c r="D1031" s="70" t="s">
        <v>1</v>
      </c>
      <c r="E1031" s="70" t="s">
        <v>1</v>
      </c>
      <c r="F1031" s="70"/>
      <c r="G1031" s="70" t="s">
        <v>61</v>
      </c>
      <c r="H1031" s="70" t="s">
        <v>178</v>
      </c>
      <c r="I1031" s="70" t="s">
        <v>181</v>
      </c>
      <c r="J1031" s="71">
        <f>IF(OR(I1031=0,I1031=""),"unrated",VLOOKUP(I1031,MappingTables!$B$19:$C$31,2,FALSE))</f>
        <v>3</v>
      </c>
      <c r="K1031" s="72">
        <v>731.12158694369552</v>
      </c>
      <c r="L1031" s="70">
        <v>0.021916323216532044</v>
      </c>
      <c r="M1031" s="71">
        <f>IF(L1031&lt;1,1,L1031)</f>
        <v>1</v>
      </c>
      <c r="N1031" s="70" t="s">
        <v>141</v>
      </c>
      <c r="O1031" s="71">
        <f>INDEX(DurClassMapping,MATCH(M1031,MappingTables!$D$4:$D$8,-1),1)</f>
        <v>1</v>
      </c>
      <c r="P1031" s="73">
        <f>IF(M1031=$A$1,1,$M1031-INDEX(MappingTables!$E$4:$E$8,MATCH(O1031,MappingTables!$B$4:$B$8,0)))</f>
        <v>1</v>
      </c>
      <c r="Q1031" s="71">
        <f>IF(B1031="",0,INDEX(ModelParameters!$D$6:$K$10,MATCH($O1031,ModelParameters!$B$6:$B$10,0),MATCH($J1031,ModelParameters!$D$5:$K$5,0)))</f>
        <v>0.025</v>
      </c>
      <c r="R1031" s="71">
        <f>IF(B1031="",0,INDEX(ModelParameters!$D$13:$K$17,MATCH($O1031,ModelParameters!$B$13:$B$17,0),MATCH($J1031,ModelParameters!$D$5:$K$5,0)))</f>
        <v>0</v>
      </c>
      <c r="S1031" s="160">
        <f>IF(B1031="",0,MIN(IF($N1031="Other Bond TM",ModelParameters!$N$21,1)*(P1031*Q1031+R1031),1))</f>
        <v>0.025</v>
      </c>
      <c r="T1031" s="85">
        <f>IF(B1031="",0,$S1031*$K1031)</f>
        <v>18.278039673592388</v>
      </c>
      <c r="U1031" s="85">
        <f>IF(B1031="",0,IF(OR(H1031=MappingTables!$C$34,H1031=MappingTables!$C$35),T1031,0))</f>
        <v>0</v>
      </c>
      <c r="V1031" s="85">
        <f>IF(ISNA(IF(AND(VLOOKUP(CONCATENATE($D1031,$G1031),CSRFinput!$B:$E,4,0)=0,OR(H1031=MappingTables!$C$34,H1031=MappingTables!$C$35)),1,VLOOKUP(CONCATENATE($D1031,$G1031),CSRFinput!$B:$E,4,0))),0,IF(AND(VLOOKUP(CONCATENATE($D1031,$G1031),CSRFinput!$B:$E,4,0)=0,OR(H1031=MappingTables!$C$34,H1031=MappingTables!$C$35)),1,VLOOKUP(CONCATENATE($D1031,$G1031),CSRFinput!$B:$E,4,0)))</f>
        <v>0.054776304963434752</v>
      </c>
      <c r="W1031" s="85">
        <f>IF(B1031="",0,+$T1031*$V1031)</f>
        <v>1.001203475294456</v>
      </c>
      <c r="X1031" s="85">
        <f>IF(B1031="",0,IF(OR(H1031=MappingTables!$C$34,H1031=MappingTables!$C$35),W1031,0))</f>
        <v>0</v>
      </c>
    </row>
    <row r="1032" spans="2:24" s="0" customFormat="0" ht="15">
      <c r="B1032" s="69">
        <v>12193679</v>
      </c>
      <c r="C1032" s="70" t="s">
        <v>1320</v>
      </c>
      <c r="D1032" s="70" t="s">
        <v>1</v>
      </c>
      <c r="E1032" s="70" t="s">
        <v>1</v>
      </c>
      <c r="F1032" s="70"/>
      <c r="G1032" s="70" t="s">
        <v>61</v>
      </c>
      <c r="H1032" s="70" t="s">
        <v>178</v>
      </c>
      <c r="I1032" s="70" t="s">
        <v>188</v>
      </c>
      <c r="J1032" s="71">
        <f>IF(OR(I1032=0,I1032=""),"unrated",VLOOKUP(I1032,MappingTables!$B$19:$C$31,2,FALSE))</f>
        <v>2</v>
      </c>
      <c r="K1032" s="72">
        <v>639.93791242523888</v>
      </c>
      <c r="L1032" s="70">
        <v>0.5053301278252148</v>
      </c>
      <c r="M1032" s="71">
        <f>IF(L1032&lt;1,1,L1032)</f>
        <v>1</v>
      </c>
      <c r="N1032" s="70" t="s">
        <v>141</v>
      </c>
      <c r="O1032" s="71">
        <f>INDEX(DurClassMapping,MATCH(M1032,MappingTables!$D$4:$D$8,-1),1)</f>
        <v>1</v>
      </c>
      <c r="P1032" s="73">
        <f>IF(M1032=$A$1,1,$M1032-INDEX(MappingTables!$E$4:$E$8,MATCH(O1032,MappingTables!$B$4:$B$8,0)))</f>
        <v>1</v>
      </c>
      <c r="Q1032" s="71">
        <f>IF(B1032="",0,INDEX(ModelParameters!$D$6:$K$10,MATCH($O1032,ModelParameters!$B$6:$B$10,0),MATCH($J1032,ModelParameters!$D$5:$K$5,0)))</f>
        <v>0.013999999999999998</v>
      </c>
      <c r="R1032" s="71">
        <f>IF(B1032="",0,INDEX(ModelParameters!$D$13:$K$17,MATCH($O1032,ModelParameters!$B$13:$B$17,0),MATCH($J1032,ModelParameters!$D$5:$K$5,0)))</f>
        <v>0</v>
      </c>
      <c r="S1032" s="160">
        <f>IF(B1032="",0,MIN(IF($N1032="Other Bond TM",ModelParameters!$N$21,1)*(P1032*Q1032+R1032),1))</f>
        <v>0.013999999999999998</v>
      </c>
      <c r="T1032" s="85">
        <f>IF(B1032="",0,$S1032*$K1032)</f>
        <v>8.959130773953344</v>
      </c>
      <c r="U1032" s="85">
        <f>IF(B1032="",0,IF(OR(H1032=MappingTables!$C$34,H1032=MappingTables!$C$35),T1032,0))</f>
        <v>0</v>
      </c>
      <c r="V1032" s="85">
        <f>IF(ISNA(IF(AND(VLOOKUP(CONCATENATE($D1032,$G1032),CSRFinput!$B:$E,4,0)=0,OR(H1032=MappingTables!$C$34,H1032=MappingTables!$C$35)),1,VLOOKUP(CONCATENATE($D1032,$G1032),CSRFinput!$B:$E,4,0))),0,IF(AND(VLOOKUP(CONCATENATE($D1032,$G1032),CSRFinput!$B:$E,4,0)=0,OR(H1032=MappingTables!$C$34,H1032=MappingTables!$C$35)),1,VLOOKUP(CONCATENATE($D1032,$G1032),CSRFinput!$B:$E,4,0)))</f>
        <v>0.054776304963434752</v>
      </c>
      <c r="W1032" s="85">
        <f>IF(B1032="",0,+$T1032*$V1032)</f>
        <v>0.4907480794813616</v>
      </c>
      <c r="X1032" s="85">
        <f>IF(B1032="",0,IF(OR(H1032=MappingTables!$C$34,H1032=MappingTables!$C$35),W1032,0))</f>
        <v>0</v>
      </c>
    </row>
    <row r="1033" spans="2:24" s="0" customFormat="0" ht="15">
      <c r="B1033" s="69">
        <v>20928675</v>
      </c>
      <c r="C1033" s="70" t="s">
        <v>1253</v>
      </c>
      <c r="D1033" s="70" t="s">
        <v>1</v>
      </c>
      <c r="E1033" s="70" t="s">
        <v>1</v>
      </c>
      <c r="F1033" s="70"/>
      <c r="G1033" s="70" t="s">
        <v>61</v>
      </c>
      <c r="H1033" s="70" t="s">
        <v>178</v>
      </c>
      <c r="I1033" s="70" t="s">
        <v>179</v>
      </c>
      <c r="J1033" s="71">
        <f>IF(OR(I1033=0,I1033=""),"unrated",VLOOKUP(I1033,MappingTables!$B$19:$C$31,2,FALSE))</f>
        <v>4</v>
      </c>
      <c r="K1033" s="72">
        <v>541.25276384771336</v>
      </c>
      <c r="L1033" s="70">
        <v>0.21095864625753912</v>
      </c>
      <c r="M1033" s="71">
        <f>IF(L1033&lt;1,1,L1033)</f>
        <v>1</v>
      </c>
      <c r="N1033" s="70" t="s">
        <v>141</v>
      </c>
      <c r="O1033" s="71">
        <f>INDEX(DurClassMapping,MATCH(M1033,MappingTables!$D$4:$D$8,-1),1)</f>
        <v>1</v>
      </c>
      <c r="P1033" s="73">
        <f>IF(M1033=$A$1,1,$M1033-INDEX(MappingTables!$E$4:$E$8,MATCH(O1033,MappingTables!$B$4:$B$8,0)))</f>
        <v>1</v>
      </c>
      <c r="Q1033" s="71">
        <f>IF(B1033="",0,INDEX(ModelParameters!$D$6:$K$10,MATCH($O1033,ModelParameters!$B$6:$B$10,0),MATCH($J1033,ModelParameters!$D$5:$K$5,0)))</f>
        <v>0.045</v>
      </c>
      <c r="R1033" s="71">
        <f>IF(B1033="",0,INDEX(ModelParameters!$D$13:$K$17,MATCH($O1033,ModelParameters!$B$13:$B$17,0),MATCH($J1033,ModelParameters!$D$5:$K$5,0)))</f>
        <v>0</v>
      </c>
      <c r="S1033" s="160">
        <f>IF(B1033="",0,MIN(IF($N1033="Other Bond TM",ModelParameters!$N$21,1)*(P1033*Q1033+R1033),1))</f>
        <v>0.045</v>
      </c>
      <c r="T1033" s="85">
        <f>IF(B1033="",0,$S1033*$K1033)</f>
        <v>24.3563743731471</v>
      </c>
      <c r="U1033" s="85">
        <f>IF(B1033="",0,IF(OR(H1033=MappingTables!$C$34,H1033=MappingTables!$C$35),T1033,0))</f>
        <v>0</v>
      </c>
      <c r="V1033" s="85">
        <f>IF(ISNA(IF(AND(VLOOKUP(CONCATENATE($D1033,$G1033),CSRFinput!$B:$E,4,0)=0,OR(H1033=MappingTables!$C$34,H1033=MappingTables!$C$35)),1,VLOOKUP(CONCATENATE($D1033,$G1033),CSRFinput!$B:$E,4,0))),0,IF(AND(VLOOKUP(CONCATENATE($D1033,$G1033),CSRFinput!$B:$E,4,0)=0,OR(H1033=MappingTables!$C$34,H1033=MappingTables!$C$35)),1,VLOOKUP(CONCATENATE($D1033,$G1033),CSRFinput!$B:$E,4,0)))</f>
        <v>0.054776304963434752</v>
      </c>
      <c r="W1033" s="85">
        <f>IF(B1033="",0,+$T1033*$V1033)</f>
        <v>1.3341521904670926</v>
      </c>
      <c r="X1033" s="85">
        <f>IF(B1033="",0,IF(OR(H1033=MappingTables!$C$34,H1033=MappingTables!$C$35),W1033,0))</f>
        <v>0</v>
      </c>
    </row>
    <row r="1034" spans="2:24" s="0" customFormat="0" ht="15">
      <c r="B1034" s="69">
        <v>13394878</v>
      </c>
      <c r="C1034" s="70" t="s">
        <v>1321</v>
      </c>
      <c r="D1034" s="70" t="s">
        <v>1</v>
      </c>
      <c r="E1034" s="70" t="s">
        <v>1</v>
      </c>
      <c r="F1034" s="70"/>
      <c r="G1034" s="70" t="s">
        <v>61</v>
      </c>
      <c r="H1034" s="70" t="s">
        <v>178</v>
      </c>
      <c r="I1034" s="70" t="s">
        <v>188</v>
      </c>
      <c r="J1034" s="71">
        <f>IF(OR(I1034=0,I1034=""),"unrated",VLOOKUP(I1034,MappingTables!$B$19:$C$31,2,FALSE))</f>
        <v>2</v>
      </c>
      <c r="K1034" s="72">
        <v>857.72876911194816</v>
      </c>
      <c r="L1034" s="70">
        <v>5.526494087783776</v>
      </c>
      <c r="M1034" s="71">
        <f>IF(L1034&lt;1,1,L1034)</f>
        <v>5.526494087783776</v>
      </c>
      <c r="N1034" s="70" t="s">
        <v>141</v>
      </c>
      <c r="O1034" s="71">
        <f>INDEX(DurClassMapping,MATCH(M1034,MappingTables!$D$4:$D$8,-1),1)</f>
        <v>2</v>
      </c>
      <c r="P1034" s="73">
        <f>IF(M1034=$A$1,1,$M1034-INDEX(MappingTables!$E$4:$E$8,MATCH(O1034,MappingTables!$B$4:$B$8,0)))</f>
        <v>0.52649408778377624</v>
      </c>
      <c r="Q1034" s="71">
        <f>IF(B1034="",0,INDEX(ModelParameters!$D$6:$K$10,MATCH($O1034,ModelParameters!$B$6:$B$10,0),MATCH($J1034,ModelParameters!$D$5:$K$5,0)))</f>
        <v>0.0069999999999999992</v>
      </c>
      <c r="R1034" s="71">
        <f>IF(B1034="",0,INDEX(ModelParameters!$D$13:$K$17,MATCH($O1034,ModelParameters!$B$13:$B$17,0),MATCH($J1034,ModelParameters!$D$5:$K$5,0)))</f>
        <v>0.070000000000000008</v>
      </c>
      <c r="S1034" s="160">
        <f>IF(B1034="",0,MIN(IF($N1034="Other Bond TM",ModelParameters!$N$21,1)*(P1034*Q1034+R1034),1))</f>
        <v>0.073685458614486448</v>
      </c>
      <c r="T1034" s="85">
        <f>IF(B1034="",0,$S1034*$K1034)</f>
        <v>63.202137718852856</v>
      </c>
      <c r="U1034" s="85">
        <f>IF(B1034="",0,IF(OR(H1034=MappingTables!$C$34,H1034=MappingTables!$C$35),T1034,0))</f>
        <v>0</v>
      </c>
      <c r="V1034" s="85">
        <f>IF(ISNA(IF(AND(VLOOKUP(CONCATENATE($D1034,$G1034),CSRFinput!$B:$E,4,0)=0,OR(H1034=MappingTables!$C$34,H1034=MappingTables!$C$35)),1,VLOOKUP(CONCATENATE($D1034,$G1034),CSRFinput!$B:$E,4,0))),0,IF(AND(VLOOKUP(CONCATENATE($D1034,$G1034),CSRFinput!$B:$E,4,0)=0,OR(H1034=MappingTables!$C$34,H1034=MappingTables!$C$35)),1,VLOOKUP(CONCATENATE($D1034,$G1034),CSRFinput!$B:$E,4,0)))</f>
        <v>0.054776304963434752</v>
      </c>
      <c r="W1034" s="85">
        <f>IF(B1034="",0,+$T1034*$V1034)</f>
        <v>3.4619795700288864</v>
      </c>
      <c r="X1034" s="85">
        <f>IF(B1034="",0,IF(OR(H1034=MappingTables!$C$34,H1034=MappingTables!$C$35),W1034,0))</f>
        <v>0</v>
      </c>
    </row>
    <row r="1035" spans="2:24" s="0" customFormat="0" ht="15">
      <c r="B1035" s="69">
        <v>12308376</v>
      </c>
      <c r="C1035" s="70" t="s">
        <v>1286</v>
      </c>
      <c r="D1035" s="70" t="s">
        <v>1</v>
      </c>
      <c r="E1035" s="70" t="s">
        <v>1</v>
      </c>
      <c r="F1035" s="70"/>
      <c r="G1035" s="70" t="s">
        <v>61</v>
      </c>
      <c r="H1035" s="70" t="s">
        <v>178</v>
      </c>
      <c r="I1035" s="70" t="s">
        <v>179</v>
      </c>
      <c r="J1035" s="71">
        <f>IF(OR(I1035=0,I1035=""),"unrated",VLOOKUP(I1035,MappingTables!$B$19:$C$31,2,FALSE))</f>
        <v>4</v>
      </c>
      <c r="K1035" s="72">
        <v>14372.783663662464</v>
      </c>
      <c r="L1035" s="70">
        <v>4.6565937388071656</v>
      </c>
      <c r="M1035" s="71">
        <f>IF(L1035&lt;1,1,L1035)</f>
        <v>4.6565937388071656</v>
      </c>
      <c r="N1035" s="70" t="s">
        <v>141</v>
      </c>
      <c r="O1035" s="71">
        <f>INDEX(DurClassMapping,MATCH(M1035,MappingTables!$D$4:$D$8,-1),1)</f>
        <v>1</v>
      </c>
      <c r="P1035" s="73">
        <f>IF(M1035=$A$1,1,$M1035-INDEX(MappingTables!$E$4:$E$8,MATCH(O1035,MappingTables!$B$4:$B$8,0)))</f>
        <v>4.6565937388071656</v>
      </c>
      <c r="Q1035" s="71">
        <f>IF(B1035="",0,INDEX(ModelParameters!$D$6:$K$10,MATCH($O1035,ModelParameters!$B$6:$B$10,0),MATCH($J1035,ModelParameters!$D$5:$K$5,0)))</f>
        <v>0.045</v>
      </c>
      <c r="R1035" s="71">
        <f>IF(B1035="",0,INDEX(ModelParameters!$D$13:$K$17,MATCH($O1035,ModelParameters!$B$13:$B$17,0),MATCH($J1035,ModelParameters!$D$5:$K$5,0)))</f>
        <v>0</v>
      </c>
      <c r="S1035" s="160">
        <f>IF(B1035="",0,MIN(IF($N1035="Other Bond TM",ModelParameters!$N$21,1)*(P1035*Q1035+R1035),1))</f>
        <v>0.20954671824632244</v>
      </c>
      <c r="T1035" s="85">
        <f>IF(B1035="",0,$S1035*$K1035)</f>
        <v>3011.7696487848244</v>
      </c>
      <c r="U1035" s="85">
        <f>IF(B1035="",0,IF(OR(H1035=MappingTables!$C$34,H1035=MappingTables!$C$35),T1035,0))</f>
        <v>0</v>
      </c>
      <c r="V1035" s="85">
        <f>IF(ISNA(IF(AND(VLOOKUP(CONCATENATE($D1035,$G1035),CSRFinput!$B:$E,4,0)=0,OR(H1035=MappingTables!$C$34,H1035=MappingTables!$C$35)),1,VLOOKUP(CONCATENATE($D1035,$G1035),CSRFinput!$B:$E,4,0))),0,IF(AND(VLOOKUP(CONCATENATE($D1035,$G1035),CSRFinput!$B:$E,4,0)=0,OR(H1035=MappingTables!$C$34,H1035=MappingTables!$C$35)),1,VLOOKUP(CONCATENATE($D1035,$G1035),CSRFinput!$B:$E,4,0)))</f>
        <v>0.054776304963434752</v>
      </c>
      <c r="W1035" s="85">
        <f>IF(B1035="",0,+$T1035*$V1035)</f>
        <v>164.97361276145432</v>
      </c>
      <c r="X1035" s="85">
        <f>IF(B1035="",0,IF(OR(H1035=MappingTables!$C$34,H1035=MappingTables!$C$35),W1035,0))</f>
        <v>0</v>
      </c>
    </row>
    <row r="1036" spans="2:24" s="0" customFormat="0" ht="15">
      <c r="B1036" s="69">
        <v>17020309</v>
      </c>
      <c r="C1036" s="70" t="s">
        <v>1322</v>
      </c>
      <c r="D1036" s="70" t="s">
        <v>1</v>
      </c>
      <c r="E1036" s="70" t="s">
        <v>1</v>
      </c>
      <c r="F1036" s="70"/>
      <c r="G1036" s="70" t="s">
        <v>61</v>
      </c>
      <c r="H1036" s="70" t="s">
        <v>178</v>
      </c>
      <c r="I1036" s="70" t="s">
        <v>188</v>
      </c>
      <c r="J1036" s="71">
        <f>IF(OR(I1036=0,I1036=""),"unrated",VLOOKUP(I1036,MappingTables!$B$19:$C$31,2,FALSE))</f>
        <v>2</v>
      </c>
      <c r="K1036" s="72">
        <v>110.77665909500936</v>
      </c>
      <c r="L1036" s="70">
        <v>0.43287794769611488</v>
      </c>
      <c r="M1036" s="71">
        <f>IF(L1036&lt;1,1,L1036)</f>
        <v>1</v>
      </c>
      <c r="N1036" s="70" t="s">
        <v>141</v>
      </c>
      <c r="O1036" s="71">
        <f>INDEX(DurClassMapping,MATCH(M1036,MappingTables!$D$4:$D$8,-1),1)</f>
        <v>1</v>
      </c>
      <c r="P1036" s="73">
        <f>IF(M1036=$A$1,1,$M1036-INDEX(MappingTables!$E$4:$E$8,MATCH(O1036,MappingTables!$B$4:$B$8,0)))</f>
        <v>1</v>
      </c>
      <c r="Q1036" s="71">
        <f>IF(B1036="",0,INDEX(ModelParameters!$D$6:$K$10,MATCH($O1036,ModelParameters!$B$6:$B$10,0),MATCH($J1036,ModelParameters!$D$5:$K$5,0)))</f>
        <v>0.013999999999999998</v>
      </c>
      <c r="R1036" s="71">
        <f>IF(B1036="",0,INDEX(ModelParameters!$D$13:$K$17,MATCH($O1036,ModelParameters!$B$13:$B$17,0),MATCH($J1036,ModelParameters!$D$5:$K$5,0)))</f>
        <v>0</v>
      </c>
      <c r="S1036" s="160">
        <f>IF(B1036="",0,MIN(IF($N1036="Other Bond TM",ModelParameters!$N$21,1)*(P1036*Q1036+R1036),1))</f>
        <v>0.013999999999999998</v>
      </c>
      <c r="T1036" s="85">
        <f>IF(B1036="",0,$S1036*$K1036)</f>
        <v>1.5508732273301306</v>
      </c>
      <c r="U1036" s="85">
        <f>IF(B1036="",0,IF(OR(H1036=MappingTables!$C$34,H1036=MappingTables!$C$35),T1036,0))</f>
        <v>0</v>
      </c>
      <c r="V1036" s="85">
        <f>IF(ISNA(IF(AND(VLOOKUP(CONCATENATE($D1036,$G1036),CSRFinput!$B:$E,4,0)=0,OR(H1036=MappingTables!$C$34,H1036=MappingTables!$C$35)),1,VLOOKUP(CONCATENATE($D1036,$G1036),CSRFinput!$B:$E,4,0))),0,IF(AND(VLOOKUP(CONCATENATE($D1036,$G1036),CSRFinput!$B:$E,4,0)=0,OR(H1036=MappingTables!$C$34,H1036=MappingTables!$C$35)),1,VLOOKUP(CONCATENATE($D1036,$G1036),CSRFinput!$B:$E,4,0)))</f>
        <v>0.054776304963434752</v>
      </c>
      <c r="W1036" s="85">
        <f>IF(B1036="",0,+$T1036*$V1036)</f>
        <v>0.08495110485986152</v>
      </c>
      <c r="X1036" s="85">
        <f>IF(B1036="",0,IF(OR(H1036=MappingTables!$C$34,H1036=MappingTables!$C$35),W1036,0))</f>
        <v>0</v>
      </c>
    </row>
    <row r="1037" spans="2:24" s="0" customFormat="0" ht="15">
      <c r="B1037" s="69">
        <v>18025250</v>
      </c>
      <c r="C1037" s="70" t="s">
        <v>487</v>
      </c>
      <c r="D1037" s="70" t="s">
        <v>1</v>
      </c>
      <c r="E1037" s="70" t="s">
        <v>1</v>
      </c>
      <c r="F1037" s="70"/>
      <c r="G1037" s="70" t="s">
        <v>61</v>
      </c>
      <c r="H1037" s="70" t="s">
        <v>178</v>
      </c>
      <c r="I1037" s="70" t="s">
        <v>204</v>
      </c>
      <c r="J1037" s="71">
        <f>IF(OR(I1037=0,I1037=""),"unrated",VLOOKUP(I1037,MappingTables!$B$19:$C$31,2,FALSE))</f>
        <v>6</v>
      </c>
      <c r="K1037" s="72">
        <v>31.557058480568292</v>
      </c>
      <c r="L1037" s="70">
        <v>5.4445310256241504</v>
      </c>
      <c r="M1037" s="71">
        <f>IF(L1037&lt;1,1,L1037)</f>
        <v>5.4445310256241504</v>
      </c>
      <c r="N1037" s="70" t="s">
        <v>141</v>
      </c>
      <c r="O1037" s="71">
        <f>INDEX(DurClassMapping,MATCH(M1037,MappingTables!$D$4:$D$8,-1),1)</f>
        <v>2</v>
      </c>
      <c r="P1037" s="73">
        <f>IF(M1037=$A$1,1,$M1037-INDEX(MappingTables!$E$4:$E$8,MATCH(O1037,MappingTables!$B$4:$B$8,0)))</f>
        <v>0.4445310256241504</v>
      </c>
      <c r="Q1037" s="71">
        <f>IF(B1037="",0,INDEX(ModelParameters!$D$6:$K$10,MATCH($O1037,ModelParameters!$B$6:$B$10,0),MATCH($J1037,ModelParameters!$D$5:$K$5,0)))</f>
        <v>0.042</v>
      </c>
      <c r="R1037" s="71">
        <f>IF(B1037="",0,INDEX(ModelParameters!$D$13:$K$17,MATCH($O1037,ModelParameters!$B$13:$B$17,0),MATCH($J1037,ModelParameters!$D$5:$K$5,0)))</f>
        <v>0.375</v>
      </c>
      <c r="S1037" s="160">
        <f>IF(B1037="",0,MIN(IF($N1037="Other Bond TM",ModelParameters!$N$21,1)*(P1037*Q1037+R1037),1))</f>
        <v>0.39367030307621432</v>
      </c>
      <c r="T1037" s="85">
        <f>IF(B1037="",0,$S1037*$K1037)</f>
        <v>12.423076776239138</v>
      </c>
      <c r="U1037" s="85">
        <f>IF(B1037="",0,IF(OR(H1037=MappingTables!$C$34,H1037=MappingTables!$C$35),T1037,0))</f>
        <v>0</v>
      </c>
      <c r="V1037" s="85">
        <f>IF(ISNA(IF(AND(VLOOKUP(CONCATENATE($D1037,$G1037),CSRFinput!$B:$E,4,0)=0,OR(H1037=MappingTables!$C$34,H1037=MappingTables!$C$35)),1,VLOOKUP(CONCATENATE($D1037,$G1037),CSRFinput!$B:$E,4,0))),0,IF(AND(VLOOKUP(CONCATENATE($D1037,$G1037),CSRFinput!$B:$E,4,0)=0,OR(H1037=MappingTables!$C$34,H1037=MappingTables!$C$35)),1,VLOOKUP(CONCATENATE($D1037,$G1037),CSRFinput!$B:$E,4,0)))</f>
        <v>0.054776304963434752</v>
      </c>
      <c r="W1037" s="85">
        <f>IF(B1037="",0,+$T1037*$V1037)</f>
        <v>0.68049024207943896</v>
      </c>
      <c r="X1037" s="85">
        <f>IF(B1037="",0,IF(OR(H1037=MappingTables!$C$34,H1037=MappingTables!$C$35),W1037,0))</f>
        <v>0</v>
      </c>
    </row>
    <row r="1038" spans="2:24" s="0" customFormat="0" ht="15">
      <c r="B1038" s="69">
        <v>24176486</v>
      </c>
      <c r="C1038" s="70" t="s">
        <v>1209</v>
      </c>
      <c r="D1038" s="70" t="s">
        <v>1</v>
      </c>
      <c r="E1038" s="70" t="s">
        <v>1</v>
      </c>
      <c r="F1038" s="70"/>
      <c r="G1038" s="70" t="s">
        <v>61</v>
      </c>
      <c r="H1038" s="70" t="s">
        <v>178</v>
      </c>
      <c r="I1038" s="70" t="s">
        <v>179</v>
      </c>
      <c r="J1038" s="71">
        <f>IF(OR(I1038=0,I1038=""),"unrated",VLOOKUP(I1038,MappingTables!$B$19:$C$31,2,FALSE))</f>
        <v>4</v>
      </c>
      <c r="K1038" s="72">
        <v>867.33813776767808</v>
      </c>
      <c r="L1038" s="70">
        <v>7.9261797303743632</v>
      </c>
      <c r="M1038" s="71">
        <f>IF(L1038&lt;1,1,L1038)</f>
        <v>7.9261797303743632</v>
      </c>
      <c r="N1038" s="70" t="s">
        <v>141</v>
      </c>
      <c r="O1038" s="71">
        <f>INDEX(DurClassMapping,MATCH(M1038,MappingTables!$D$4:$D$8,-1),1)</f>
        <v>2</v>
      </c>
      <c r="P1038" s="73">
        <f>IF(M1038=$A$1,1,$M1038-INDEX(MappingTables!$E$4:$E$8,MATCH(O1038,MappingTables!$B$4:$B$8,0)))</f>
        <v>2.926179730374364</v>
      </c>
      <c r="Q1038" s="71">
        <f>IF(B1038="",0,INDEX(ModelParameters!$D$6:$K$10,MATCH($O1038,ModelParameters!$B$6:$B$10,0),MATCH($J1038,ModelParameters!$D$5:$K$5,0)))</f>
        <v>0.025</v>
      </c>
      <c r="R1038" s="71">
        <f>IF(B1038="",0,INDEX(ModelParameters!$D$13:$K$17,MATCH($O1038,ModelParameters!$B$13:$B$17,0),MATCH($J1038,ModelParameters!$D$5:$K$5,0)))</f>
        <v>0.225</v>
      </c>
      <c r="S1038" s="160">
        <f>IF(B1038="",0,MIN(IF($N1038="Other Bond TM",ModelParameters!$N$21,1)*(P1038*Q1038+R1038),1))</f>
        <v>0.29815449325935912</v>
      </c>
      <c r="T1038" s="85">
        <f>IF(B1038="",0,$S1038*$K1038)</f>
        <v>258.60076295063824</v>
      </c>
      <c r="U1038" s="85">
        <f>IF(B1038="",0,IF(OR(H1038=MappingTables!$C$34,H1038=MappingTables!$C$35),T1038,0))</f>
        <v>0</v>
      </c>
      <c r="V1038" s="85">
        <f>IF(ISNA(IF(AND(VLOOKUP(CONCATENATE($D1038,$G1038),CSRFinput!$B:$E,4,0)=0,OR(H1038=MappingTables!$C$34,H1038=MappingTables!$C$35)),1,VLOOKUP(CONCATENATE($D1038,$G1038),CSRFinput!$B:$E,4,0))),0,IF(AND(VLOOKUP(CONCATENATE($D1038,$G1038),CSRFinput!$B:$E,4,0)=0,OR(H1038=MappingTables!$C$34,H1038=MappingTables!$C$35)),1,VLOOKUP(CONCATENATE($D1038,$G1038),CSRFinput!$B:$E,4,0)))</f>
        <v>0.054776304963434752</v>
      </c>
      <c r="W1038" s="85">
        <f>IF(B1038="",0,+$T1038*$V1038)</f>
        <v>14.165194255161058</v>
      </c>
      <c r="X1038" s="85">
        <f>IF(B1038="",0,IF(OR(H1038=MappingTables!$C$34,H1038=MappingTables!$C$35),W1038,0))</f>
        <v>0</v>
      </c>
    </row>
    <row r="1039" spans="2:24" s="0" customFormat="0" ht="15">
      <c r="B1039" s="69">
        <v>18690554</v>
      </c>
      <c r="C1039" s="70" t="s">
        <v>1323</v>
      </c>
      <c r="D1039" s="70" t="s">
        <v>1</v>
      </c>
      <c r="E1039" s="70" t="s">
        <v>1</v>
      </c>
      <c r="F1039" s="70"/>
      <c r="G1039" s="70" t="s">
        <v>61</v>
      </c>
      <c r="H1039" s="70" t="s">
        <v>178</v>
      </c>
      <c r="I1039" s="70" t="s">
        <v>179</v>
      </c>
      <c r="J1039" s="71">
        <f>IF(OR(I1039=0,I1039=""),"unrated",VLOOKUP(I1039,MappingTables!$B$19:$C$31,2,FALSE))</f>
        <v>4</v>
      </c>
      <c r="K1039" s="72">
        <v>900.89349991070608</v>
      </c>
      <c r="L1039" s="70">
        <v>6.8570596242685264</v>
      </c>
      <c r="M1039" s="71">
        <f>IF(L1039&lt;1,1,L1039)</f>
        <v>6.8570596242685264</v>
      </c>
      <c r="N1039" s="70" t="s">
        <v>141</v>
      </c>
      <c r="O1039" s="71">
        <f>INDEX(DurClassMapping,MATCH(M1039,MappingTables!$D$4:$D$8,-1),1)</f>
        <v>2</v>
      </c>
      <c r="P1039" s="73">
        <f>IF(M1039=$A$1,1,$M1039-INDEX(MappingTables!$E$4:$E$8,MATCH(O1039,MappingTables!$B$4:$B$8,0)))</f>
        <v>1.8570596242685264</v>
      </c>
      <c r="Q1039" s="71">
        <f>IF(B1039="",0,INDEX(ModelParameters!$D$6:$K$10,MATCH($O1039,ModelParameters!$B$6:$B$10,0),MATCH($J1039,ModelParameters!$D$5:$K$5,0)))</f>
        <v>0.025</v>
      </c>
      <c r="R1039" s="71">
        <f>IF(B1039="",0,INDEX(ModelParameters!$D$13:$K$17,MATCH($O1039,ModelParameters!$B$13:$B$17,0),MATCH($J1039,ModelParameters!$D$5:$K$5,0)))</f>
        <v>0.225</v>
      </c>
      <c r="S1039" s="160">
        <f>IF(B1039="",0,MIN(IF($N1039="Other Bond TM",ModelParameters!$N$21,1)*(P1039*Q1039+R1039),1))</f>
        <v>0.27142649060671316</v>
      </c>
      <c r="T1039" s="85">
        <f>IF(B1039="",0,$S1039*$K1039)</f>
        <v>244.5263610911622</v>
      </c>
      <c r="U1039" s="85">
        <f>IF(B1039="",0,IF(OR(H1039=MappingTables!$C$34,H1039=MappingTables!$C$35),T1039,0))</f>
        <v>0</v>
      </c>
      <c r="V1039" s="85">
        <f>IF(ISNA(IF(AND(VLOOKUP(CONCATENATE($D1039,$G1039),CSRFinput!$B:$E,4,0)=0,OR(H1039=MappingTables!$C$34,H1039=MappingTables!$C$35)),1,VLOOKUP(CONCATENATE($D1039,$G1039),CSRFinput!$B:$E,4,0))),0,IF(AND(VLOOKUP(CONCATENATE($D1039,$G1039),CSRFinput!$B:$E,4,0)=0,OR(H1039=MappingTables!$C$34,H1039=MappingTables!$C$35)),1,VLOOKUP(CONCATENATE($D1039,$G1039),CSRFinput!$B:$E,4,0)))</f>
        <v>0.054776304963434752</v>
      </c>
      <c r="W1039" s="85">
        <f>IF(B1039="",0,+$T1039*$V1039)</f>
        <v>13.394250526728466</v>
      </c>
      <c r="X1039" s="85">
        <f>IF(B1039="",0,IF(OR(H1039=MappingTables!$C$34,H1039=MappingTables!$C$35),W1039,0))</f>
        <v>0</v>
      </c>
    </row>
    <row r="1040" spans="2:24" s="0" customFormat="0" ht="15">
      <c r="B1040" s="69">
        <v>17129704</v>
      </c>
      <c r="C1040" s="70" t="s">
        <v>645</v>
      </c>
      <c r="D1040" s="70" t="s">
        <v>1</v>
      </c>
      <c r="E1040" s="70" t="s">
        <v>1</v>
      </c>
      <c r="F1040" s="70"/>
      <c r="G1040" s="70" t="s">
        <v>61</v>
      </c>
      <c r="H1040" s="70" t="s">
        <v>178</v>
      </c>
      <c r="I1040" s="70" t="s">
        <v>179</v>
      </c>
      <c r="J1040" s="71">
        <f>IF(OR(I1040=0,I1040=""),"unrated",VLOOKUP(I1040,MappingTables!$B$19:$C$31,2,FALSE))</f>
        <v>4</v>
      </c>
      <c r="K1040" s="72">
        <v>5604.0527645728104</v>
      </c>
      <c r="L1040" s="70">
        <v>2.2592630381372016</v>
      </c>
      <c r="M1040" s="71">
        <f>IF(L1040&lt;1,1,L1040)</f>
        <v>2.2592630381372016</v>
      </c>
      <c r="N1040" s="70" t="s">
        <v>141</v>
      </c>
      <c r="O1040" s="71">
        <f>INDEX(DurClassMapping,MATCH(M1040,MappingTables!$D$4:$D$8,-1),1)</f>
        <v>1</v>
      </c>
      <c r="P1040" s="73">
        <f>IF(M1040=$A$1,1,$M1040-INDEX(MappingTables!$E$4:$E$8,MATCH(O1040,MappingTables!$B$4:$B$8,0)))</f>
        <v>2.2592630381372016</v>
      </c>
      <c r="Q1040" s="71">
        <f>IF(B1040="",0,INDEX(ModelParameters!$D$6:$K$10,MATCH($O1040,ModelParameters!$B$6:$B$10,0),MATCH($J1040,ModelParameters!$D$5:$K$5,0)))</f>
        <v>0.045</v>
      </c>
      <c r="R1040" s="71">
        <f>IF(B1040="",0,INDEX(ModelParameters!$D$13:$K$17,MATCH($O1040,ModelParameters!$B$13:$B$17,0),MATCH($J1040,ModelParameters!$D$5:$K$5,0)))</f>
        <v>0</v>
      </c>
      <c r="S1040" s="160">
        <f>IF(B1040="",0,MIN(IF($N1040="Other Bond TM",ModelParameters!$N$21,1)*(P1040*Q1040+R1040),1))</f>
        <v>0.10166683671617408</v>
      </c>
      <c r="T1040" s="85">
        <f>IF(B1040="",0,$S1040*$K1040)</f>
        <v>569.74631736464792</v>
      </c>
      <c r="U1040" s="85">
        <f>IF(B1040="",0,IF(OR(H1040=MappingTables!$C$34,H1040=MappingTables!$C$35),T1040,0))</f>
        <v>0</v>
      </c>
      <c r="V1040" s="85">
        <f>IF(ISNA(IF(AND(VLOOKUP(CONCATENATE($D1040,$G1040),CSRFinput!$B:$E,4,0)=0,OR(H1040=MappingTables!$C$34,H1040=MappingTables!$C$35)),1,VLOOKUP(CONCATENATE($D1040,$G1040),CSRFinput!$B:$E,4,0))),0,IF(AND(VLOOKUP(CONCATENATE($D1040,$G1040),CSRFinput!$B:$E,4,0)=0,OR(H1040=MappingTables!$C$34,H1040=MappingTables!$C$35)),1,VLOOKUP(CONCATENATE($D1040,$G1040),CSRFinput!$B:$E,4,0)))</f>
        <v>0.054776304963434752</v>
      </c>
      <c r="W1040" s="85">
        <f>IF(B1040="",0,+$T1040*$V1040)</f>
        <v>31.208598031759836</v>
      </c>
      <c r="X1040" s="85">
        <f>IF(B1040="",0,IF(OR(H1040=MappingTables!$C$34,H1040=MappingTables!$C$35),W1040,0))</f>
        <v>0</v>
      </c>
    </row>
    <row r="1041" spans="2:24" s="0" customFormat="0" ht="15">
      <c r="B1041" s="69">
        <v>13700564</v>
      </c>
      <c r="C1041" s="70" t="s">
        <v>964</v>
      </c>
      <c r="D1041" s="70" t="s">
        <v>1</v>
      </c>
      <c r="E1041" s="70" t="s">
        <v>1</v>
      </c>
      <c r="F1041" s="70"/>
      <c r="G1041" s="70" t="s">
        <v>61</v>
      </c>
      <c r="H1041" s="70" t="s">
        <v>178</v>
      </c>
      <c r="I1041" s="70" t="s">
        <v>181</v>
      </c>
      <c r="J1041" s="71">
        <f>IF(OR(I1041=0,I1041=""),"unrated",VLOOKUP(I1041,MappingTables!$B$19:$C$31,2,FALSE))</f>
        <v>3</v>
      </c>
      <c r="K1041" s="72">
        <v>18313.078254234512</v>
      </c>
      <c r="L1041" s="70">
        <v>5.9634663717474376</v>
      </c>
      <c r="M1041" s="71">
        <f>IF(L1041&lt;1,1,L1041)</f>
        <v>5.9634663717474376</v>
      </c>
      <c r="N1041" s="70" t="s">
        <v>141</v>
      </c>
      <c r="O1041" s="71">
        <f>INDEX(DurClassMapping,MATCH(M1041,MappingTables!$D$4:$D$8,-1),1)</f>
        <v>2</v>
      </c>
      <c r="P1041" s="73">
        <f>IF(M1041=$A$1,1,$M1041-INDEX(MappingTables!$E$4:$E$8,MATCH(O1041,MappingTables!$B$4:$B$8,0)))</f>
        <v>0.9634663717474376</v>
      </c>
      <c r="Q1041" s="71">
        <f>IF(B1041="",0,INDEX(ModelParameters!$D$6:$K$10,MATCH($O1041,ModelParameters!$B$6:$B$10,0),MATCH($J1041,ModelParameters!$D$5:$K$5,0)))</f>
        <v>0.015</v>
      </c>
      <c r="R1041" s="71">
        <f>IF(B1041="",0,INDEX(ModelParameters!$D$13:$K$17,MATCH($O1041,ModelParameters!$B$13:$B$17,0),MATCH($J1041,ModelParameters!$D$5:$K$5,0)))</f>
        <v>0.125</v>
      </c>
      <c r="S1041" s="160">
        <f>IF(B1041="",0,MIN(IF($N1041="Other Bond TM",ModelParameters!$N$21,1)*(P1041*Q1041+R1041),1))</f>
        <v>0.13945199557621158</v>
      </c>
      <c r="T1041" s="85">
        <f>IF(B1041="",0,$S1041*$K1041)</f>
        <v>2553.7953076963276</v>
      </c>
      <c r="U1041" s="85">
        <f>IF(B1041="",0,IF(OR(H1041=MappingTables!$C$34,H1041=MappingTables!$C$35),T1041,0))</f>
        <v>0</v>
      </c>
      <c r="V1041" s="85">
        <f>IF(ISNA(IF(AND(VLOOKUP(CONCATENATE($D1041,$G1041),CSRFinput!$B:$E,4,0)=0,OR(H1041=MappingTables!$C$34,H1041=MappingTables!$C$35)),1,VLOOKUP(CONCATENATE($D1041,$G1041),CSRFinput!$B:$E,4,0))),0,IF(AND(VLOOKUP(CONCATENATE($D1041,$G1041),CSRFinput!$B:$E,4,0)=0,OR(H1041=MappingTables!$C$34,H1041=MappingTables!$C$35)),1,VLOOKUP(CONCATENATE($D1041,$G1041),CSRFinput!$B:$E,4,0)))</f>
        <v>0.054776304963434752</v>
      </c>
      <c r="W1041" s="85">
        <f>IF(B1041="",0,+$T1041*$V1041)</f>
        <v>139.88747058856274</v>
      </c>
      <c r="X1041" s="85">
        <f>IF(B1041="",0,IF(OR(H1041=MappingTables!$C$34,H1041=MappingTables!$C$35),W1041,0))</f>
        <v>0</v>
      </c>
    </row>
    <row r="1042" spans="2:24" s="0" customFormat="0" ht="15">
      <c r="B1042" s="69">
        <v>18913651</v>
      </c>
      <c r="C1042" s="70" t="s">
        <v>1324</v>
      </c>
      <c r="D1042" s="70" t="s">
        <v>1</v>
      </c>
      <c r="E1042" s="70" t="s">
        <v>1</v>
      </c>
      <c r="F1042" s="70"/>
      <c r="G1042" s="70" t="s">
        <v>61</v>
      </c>
      <c r="H1042" s="70" t="s">
        <v>178</v>
      </c>
      <c r="I1042" s="70" t="s">
        <v>188</v>
      </c>
      <c r="J1042" s="71">
        <f>IF(OR(I1042=0,I1042=""),"unrated",VLOOKUP(I1042,MappingTables!$B$19:$C$31,2,FALSE))</f>
        <v>2</v>
      </c>
      <c r="K1042" s="72">
        <v>2077.6302006541644</v>
      </c>
      <c r="L1042" s="70">
        <v>0.3777190824495724</v>
      </c>
      <c r="M1042" s="71">
        <f>IF(L1042&lt;1,1,L1042)</f>
        <v>1</v>
      </c>
      <c r="N1042" s="70" t="s">
        <v>141</v>
      </c>
      <c r="O1042" s="71">
        <f>INDEX(DurClassMapping,MATCH(M1042,MappingTables!$D$4:$D$8,-1),1)</f>
        <v>1</v>
      </c>
      <c r="P1042" s="73">
        <f>IF(M1042=$A$1,1,$M1042-INDEX(MappingTables!$E$4:$E$8,MATCH(O1042,MappingTables!$B$4:$B$8,0)))</f>
        <v>1</v>
      </c>
      <c r="Q1042" s="71">
        <f>IF(B1042="",0,INDEX(ModelParameters!$D$6:$K$10,MATCH($O1042,ModelParameters!$B$6:$B$10,0),MATCH($J1042,ModelParameters!$D$5:$K$5,0)))</f>
        <v>0.013999999999999998</v>
      </c>
      <c r="R1042" s="71">
        <f>IF(B1042="",0,INDEX(ModelParameters!$D$13:$K$17,MATCH($O1042,ModelParameters!$B$13:$B$17,0),MATCH($J1042,ModelParameters!$D$5:$K$5,0)))</f>
        <v>0</v>
      </c>
      <c r="S1042" s="160">
        <f>IF(B1042="",0,MIN(IF($N1042="Other Bond TM",ModelParameters!$N$21,1)*(P1042*Q1042+R1042),1))</f>
        <v>0.013999999999999998</v>
      </c>
      <c r="T1042" s="85">
        <f>IF(B1042="",0,$S1042*$K1042)</f>
        <v>29.086822809158304</v>
      </c>
      <c r="U1042" s="85">
        <f>IF(B1042="",0,IF(OR(H1042=MappingTables!$C$34,H1042=MappingTables!$C$35),T1042,0))</f>
        <v>0</v>
      </c>
      <c r="V1042" s="85">
        <f>IF(ISNA(IF(AND(VLOOKUP(CONCATENATE($D1042,$G1042),CSRFinput!$B:$E,4,0)=0,OR(H1042=MappingTables!$C$34,H1042=MappingTables!$C$35)),1,VLOOKUP(CONCATENATE($D1042,$G1042),CSRFinput!$B:$E,4,0))),0,IF(AND(VLOOKUP(CONCATENATE($D1042,$G1042),CSRFinput!$B:$E,4,0)=0,OR(H1042=MappingTables!$C$34,H1042=MappingTables!$C$35)),1,VLOOKUP(CONCATENATE($D1042,$G1042),CSRFinput!$B:$E,4,0)))</f>
        <v>0.054776304963434752</v>
      </c>
      <c r="W1042" s="85">
        <f>IF(B1042="",0,+$T1042*$V1042)</f>
        <v>1.5932686766118452</v>
      </c>
      <c r="X1042" s="85">
        <f>IF(B1042="",0,IF(OR(H1042=MappingTables!$C$34,H1042=MappingTables!$C$35),W1042,0))</f>
        <v>0</v>
      </c>
    </row>
    <row r="1043" spans="2:24" s="0" customFormat="0" ht="15">
      <c r="B1043" s="69">
        <v>21781334</v>
      </c>
      <c r="C1043" s="70" t="s">
        <v>1325</v>
      </c>
      <c r="D1043" s="70" t="s">
        <v>1</v>
      </c>
      <c r="E1043" s="70" t="s">
        <v>1</v>
      </c>
      <c r="F1043" s="70"/>
      <c r="G1043" s="70" t="s">
        <v>61</v>
      </c>
      <c r="H1043" s="70" t="s">
        <v>178</v>
      </c>
      <c r="I1043" s="70" t="s">
        <v>179</v>
      </c>
      <c r="J1043" s="71">
        <f>IF(OR(I1043=0,I1043=""),"unrated",VLOOKUP(I1043,MappingTables!$B$19:$C$31,2,FALSE))</f>
        <v>4</v>
      </c>
      <c r="K1043" s="72">
        <v>29425.76564538136</v>
      </c>
      <c r="L1043" s="70">
        <v>8.5575692852439408</v>
      </c>
      <c r="M1043" s="71">
        <f>IF(L1043&lt;1,1,L1043)</f>
        <v>8.5575692852439408</v>
      </c>
      <c r="N1043" s="70" t="s">
        <v>141</v>
      </c>
      <c r="O1043" s="71">
        <f>INDEX(DurClassMapping,MATCH(M1043,MappingTables!$D$4:$D$8,-1),1)</f>
        <v>2</v>
      </c>
      <c r="P1043" s="73">
        <f>IF(M1043=$A$1,1,$M1043-INDEX(MappingTables!$E$4:$E$8,MATCH(O1043,MappingTables!$B$4:$B$8,0)))</f>
        <v>3.5575692852439412</v>
      </c>
      <c r="Q1043" s="71">
        <f>IF(B1043="",0,INDEX(ModelParameters!$D$6:$K$10,MATCH($O1043,ModelParameters!$B$6:$B$10,0),MATCH($J1043,ModelParameters!$D$5:$K$5,0)))</f>
        <v>0.025</v>
      </c>
      <c r="R1043" s="71">
        <f>IF(B1043="",0,INDEX(ModelParameters!$D$13:$K$17,MATCH($O1043,ModelParameters!$B$13:$B$17,0),MATCH($J1043,ModelParameters!$D$5:$K$5,0)))</f>
        <v>0.225</v>
      </c>
      <c r="S1043" s="160">
        <f>IF(B1043="",0,MIN(IF($N1043="Other Bond TM",ModelParameters!$N$21,1)*(P1043*Q1043+R1043),1))</f>
        <v>0.31393923213109852</v>
      </c>
      <c r="T1043" s="85">
        <f>IF(B1043="",0,$S1043*$K1043)</f>
        <v>9237.9022715806848</v>
      </c>
      <c r="U1043" s="85">
        <f>IF(B1043="",0,IF(OR(H1043=MappingTables!$C$34,H1043=MappingTables!$C$35),T1043,0))</f>
        <v>0</v>
      </c>
      <c r="V1043" s="85">
        <f>IF(ISNA(IF(AND(VLOOKUP(CONCATENATE($D1043,$G1043),CSRFinput!$B:$E,4,0)=0,OR(H1043=MappingTables!$C$34,H1043=MappingTables!$C$35)),1,VLOOKUP(CONCATENATE($D1043,$G1043),CSRFinput!$B:$E,4,0))),0,IF(AND(VLOOKUP(CONCATENATE($D1043,$G1043),CSRFinput!$B:$E,4,0)=0,OR(H1043=MappingTables!$C$34,H1043=MappingTables!$C$35)),1,VLOOKUP(CONCATENATE($D1043,$G1043),CSRFinput!$B:$E,4,0)))</f>
        <v>0.054776304963434752</v>
      </c>
      <c r="W1043" s="85">
        <f>IF(B1043="",0,+$T1043*$V1043)</f>
        <v>506.01815205051016</v>
      </c>
      <c r="X1043" s="85">
        <f>IF(B1043="",0,IF(OR(H1043=MappingTables!$C$34,H1043=MappingTables!$C$35),W1043,0))</f>
        <v>0</v>
      </c>
    </row>
    <row r="1044" spans="2:24" s="0" customFormat="0" ht="15">
      <c r="B1044" s="69">
        <v>20693891</v>
      </c>
      <c r="C1044" s="70" t="s">
        <v>289</v>
      </c>
      <c r="D1044" s="70" t="s">
        <v>1</v>
      </c>
      <c r="E1044" s="70" t="s">
        <v>1</v>
      </c>
      <c r="F1044" s="70"/>
      <c r="G1044" s="70" t="s">
        <v>61</v>
      </c>
      <c r="H1044" s="70" t="s">
        <v>178</v>
      </c>
      <c r="I1044" s="70" t="s">
        <v>204</v>
      </c>
      <c r="J1044" s="71">
        <f>IF(OR(I1044=0,I1044=""),"unrated",VLOOKUP(I1044,MappingTables!$B$19:$C$31,2,FALSE))</f>
        <v>6</v>
      </c>
      <c r="K1044" s="72">
        <v>9383.7400668219696</v>
      </c>
      <c r="L1044" s="70">
        <v>0.60356927076378296</v>
      </c>
      <c r="M1044" s="71">
        <f>IF(L1044&lt;1,1,L1044)</f>
        <v>1</v>
      </c>
      <c r="N1044" s="70" t="s">
        <v>141</v>
      </c>
      <c r="O1044" s="71">
        <f>INDEX(DurClassMapping,MATCH(M1044,MappingTables!$D$4:$D$8,-1),1)</f>
        <v>1</v>
      </c>
      <c r="P1044" s="73">
        <f>IF(M1044=$A$1,1,$M1044-INDEX(MappingTables!$E$4:$E$8,MATCH(O1044,MappingTables!$B$4:$B$8,0)))</f>
        <v>1</v>
      </c>
      <c r="Q1044" s="71">
        <f>IF(B1044="",0,INDEX(ModelParameters!$D$6:$K$10,MATCH($O1044,ModelParameters!$B$6:$B$10,0),MATCH($J1044,ModelParameters!$D$5:$K$5,0)))</f>
        <v>0.075</v>
      </c>
      <c r="R1044" s="71">
        <f>IF(B1044="",0,INDEX(ModelParameters!$D$13:$K$17,MATCH($O1044,ModelParameters!$B$13:$B$17,0),MATCH($J1044,ModelParameters!$D$5:$K$5,0)))</f>
        <v>0</v>
      </c>
      <c r="S1044" s="160">
        <f>IF(B1044="",0,MIN(IF($N1044="Other Bond TM",ModelParameters!$N$21,1)*(P1044*Q1044+R1044),1))</f>
        <v>0.075</v>
      </c>
      <c r="T1044" s="85">
        <f>IF(B1044="",0,$S1044*$K1044)</f>
        <v>703.7805050116476</v>
      </c>
      <c r="U1044" s="85">
        <f>IF(B1044="",0,IF(OR(H1044=MappingTables!$C$34,H1044=MappingTables!$C$35),T1044,0))</f>
        <v>0</v>
      </c>
      <c r="V1044" s="85">
        <f>IF(ISNA(IF(AND(VLOOKUP(CONCATENATE($D1044,$G1044),CSRFinput!$B:$E,4,0)=0,OR(H1044=MappingTables!$C$34,H1044=MappingTables!$C$35)),1,VLOOKUP(CONCATENATE($D1044,$G1044),CSRFinput!$B:$E,4,0))),0,IF(AND(VLOOKUP(CONCATENATE($D1044,$G1044),CSRFinput!$B:$E,4,0)=0,OR(H1044=MappingTables!$C$34,H1044=MappingTables!$C$35)),1,VLOOKUP(CONCATENATE($D1044,$G1044),CSRFinput!$B:$E,4,0)))</f>
        <v>0.054776304963434752</v>
      </c>
      <c r="W1044" s="85">
        <f>IF(B1044="",0,+$T1044*$V1044)</f>
        <v>38.550495569838136</v>
      </c>
      <c r="X1044" s="85">
        <f>IF(B1044="",0,IF(OR(H1044=MappingTables!$C$34,H1044=MappingTables!$C$35),W1044,0))</f>
        <v>0</v>
      </c>
    </row>
    <row r="1045" spans="2:24" s="0" customFormat="0" ht="15">
      <c r="B1045" s="69" t="s">
        <v>1326</v>
      </c>
      <c r="C1045" s="70" t="s">
        <v>1327</v>
      </c>
      <c r="D1045" s="70" t="s">
        <v>1</v>
      </c>
      <c r="E1045" s="70" t="s">
        <v>1</v>
      </c>
      <c r="F1045" s="70"/>
      <c r="G1045" s="70" t="s">
        <v>61</v>
      </c>
      <c r="H1045" s="70" t="s">
        <v>178</v>
      </c>
      <c r="I1045" s="70" t="s">
        <v>181</v>
      </c>
      <c r="J1045" s="71">
        <f>IF(OR(I1045=0,I1045=""),"unrated",VLOOKUP(I1045,MappingTables!$B$19:$C$31,2,FALSE))</f>
        <v>3</v>
      </c>
      <c r="K1045" s="72">
        <v>3545.257442824438</v>
      </c>
      <c r="L1045" s="70">
        <v>7.7090648039720624</v>
      </c>
      <c r="M1045" s="71">
        <f>IF(L1045&lt;1,1,L1045)</f>
        <v>7.7090648039720624</v>
      </c>
      <c r="N1045" s="70" t="s">
        <v>141</v>
      </c>
      <c r="O1045" s="71">
        <f>INDEX(DurClassMapping,MATCH(M1045,MappingTables!$D$4:$D$8,-1),1)</f>
        <v>2</v>
      </c>
      <c r="P1045" s="73">
        <f>IF(M1045=$A$1,1,$M1045-INDEX(MappingTables!$E$4:$E$8,MATCH(O1045,MappingTables!$B$4:$B$8,0)))</f>
        <v>2.709064803972062</v>
      </c>
      <c r="Q1045" s="71">
        <f>IF(B1045="",0,INDEX(ModelParameters!$D$6:$K$10,MATCH($O1045,ModelParameters!$B$6:$B$10,0),MATCH($J1045,ModelParameters!$D$5:$K$5,0)))</f>
        <v>0.015</v>
      </c>
      <c r="R1045" s="71">
        <f>IF(B1045="",0,INDEX(ModelParameters!$D$13:$K$17,MATCH($O1045,ModelParameters!$B$13:$B$17,0),MATCH($J1045,ModelParameters!$D$5:$K$5,0)))</f>
        <v>0.125</v>
      </c>
      <c r="S1045" s="160">
        <f>IF(B1045="",0,MIN(IF($N1045="Other Bond TM",ModelParameters!$N$21,1)*(P1045*Q1045+R1045),1))</f>
        <v>0.16563597205958092</v>
      </c>
      <c r="T1045" s="85">
        <f>IF(B1045="",0,$S1045*$K1045)</f>
        <v>587.22216274368984</v>
      </c>
      <c r="U1045" s="85">
        <f>IF(B1045="",0,IF(OR(H1045=MappingTables!$C$34,H1045=MappingTables!$C$35),T1045,0))</f>
        <v>0</v>
      </c>
      <c r="V1045" s="85">
        <f>IF(ISNA(IF(AND(VLOOKUP(CONCATENATE($D1045,$G1045),CSRFinput!$B:$E,4,0)=0,OR(H1045=MappingTables!$C$34,H1045=MappingTables!$C$35)),1,VLOOKUP(CONCATENATE($D1045,$G1045),CSRFinput!$B:$E,4,0))),0,IF(AND(VLOOKUP(CONCATENATE($D1045,$G1045),CSRFinput!$B:$E,4,0)=0,OR(H1045=MappingTables!$C$34,H1045=MappingTables!$C$35)),1,VLOOKUP(CONCATENATE($D1045,$G1045),CSRFinput!$B:$E,4,0)))</f>
        <v>0.054776304963434752</v>
      </c>
      <c r="W1045" s="85">
        <f>IF(B1045="",0,+$T1045*$V1045)</f>
        <v>32.165860267736072</v>
      </c>
      <c r="X1045" s="85">
        <f>IF(B1045="",0,IF(OR(H1045=MappingTables!$C$34,H1045=MappingTables!$C$35),W1045,0))</f>
        <v>0</v>
      </c>
    </row>
    <row r="1046" spans="2:24" s="0" customFormat="0" ht="15">
      <c r="B1046" s="69">
        <v>22042367</v>
      </c>
      <c r="C1046" s="70" t="s">
        <v>1328</v>
      </c>
      <c r="D1046" s="70" t="s">
        <v>1</v>
      </c>
      <c r="E1046" s="70" t="s">
        <v>1</v>
      </c>
      <c r="F1046" s="70"/>
      <c r="G1046" s="70" t="s">
        <v>61</v>
      </c>
      <c r="H1046" s="70" t="s">
        <v>178</v>
      </c>
      <c r="I1046" s="70" t="s">
        <v>179</v>
      </c>
      <c r="J1046" s="71">
        <f>IF(OR(I1046=0,I1046=""),"unrated",VLOOKUP(I1046,MappingTables!$B$19:$C$31,2,FALSE))</f>
        <v>4</v>
      </c>
      <c r="K1046" s="72">
        <v>2615.656695999132</v>
      </c>
      <c r="L1046" s="70">
        <v>4.9972459099397976</v>
      </c>
      <c r="M1046" s="71">
        <f>IF(L1046&lt;1,1,L1046)</f>
        <v>4.9972459099397976</v>
      </c>
      <c r="N1046" s="70" t="s">
        <v>141</v>
      </c>
      <c r="O1046" s="71">
        <f>INDEX(DurClassMapping,MATCH(M1046,MappingTables!$D$4:$D$8,-1),1)</f>
        <v>1</v>
      </c>
      <c r="P1046" s="73">
        <f>IF(M1046=$A$1,1,$M1046-INDEX(MappingTables!$E$4:$E$8,MATCH(O1046,MappingTables!$B$4:$B$8,0)))</f>
        <v>4.9972459099397976</v>
      </c>
      <c r="Q1046" s="71">
        <f>IF(B1046="",0,INDEX(ModelParameters!$D$6:$K$10,MATCH($O1046,ModelParameters!$B$6:$B$10,0),MATCH($J1046,ModelParameters!$D$5:$K$5,0)))</f>
        <v>0.045</v>
      </c>
      <c r="R1046" s="71">
        <f>IF(B1046="",0,INDEX(ModelParameters!$D$13:$K$17,MATCH($O1046,ModelParameters!$B$13:$B$17,0),MATCH($J1046,ModelParameters!$D$5:$K$5,0)))</f>
        <v>0</v>
      </c>
      <c r="S1046" s="160">
        <f>IF(B1046="",0,MIN(IF($N1046="Other Bond TM",ModelParameters!$N$21,1)*(P1046*Q1046+R1046),1))</f>
        <v>0.22487606594729088</v>
      </c>
      <c r="T1046" s="85">
        <f>IF(B1046="",0,$S1046*$K1046)</f>
        <v>588.19858766497384</v>
      </c>
      <c r="U1046" s="85">
        <f>IF(B1046="",0,IF(OR(H1046=MappingTables!$C$34,H1046=MappingTables!$C$35),T1046,0))</f>
        <v>0</v>
      </c>
      <c r="V1046" s="85">
        <f>IF(ISNA(IF(AND(VLOOKUP(CONCATENATE($D1046,$G1046),CSRFinput!$B:$E,4,0)=0,OR(H1046=MappingTables!$C$34,H1046=MappingTables!$C$35)),1,VLOOKUP(CONCATENATE($D1046,$G1046),CSRFinput!$B:$E,4,0))),0,IF(AND(VLOOKUP(CONCATENATE($D1046,$G1046),CSRFinput!$B:$E,4,0)=0,OR(H1046=MappingTables!$C$34,H1046=MappingTables!$C$35)),1,VLOOKUP(CONCATENATE($D1046,$G1046),CSRFinput!$B:$E,4,0)))</f>
        <v>0.054776304963434752</v>
      </c>
      <c r="W1046" s="85">
        <f>IF(B1046="",0,+$T1046*$V1046)</f>
        <v>32.21934521699822</v>
      </c>
      <c r="X1046" s="85">
        <f>IF(B1046="",0,IF(OR(H1046=MappingTables!$C$34,H1046=MappingTables!$C$35),W1046,0))</f>
        <v>0</v>
      </c>
    </row>
    <row r="1047" spans="2:24" s="0" customFormat="0" ht="15">
      <c r="B1047" s="69">
        <v>19162906</v>
      </c>
      <c r="C1047" s="70" t="s">
        <v>1329</v>
      </c>
      <c r="D1047" s="70" t="s">
        <v>1</v>
      </c>
      <c r="E1047" s="70" t="s">
        <v>1</v>
      </c>
      <c r="F1047" s="70"/>
      <c r="G1047" s="70" t="s">
        <v>61</v>
      </c>
      <c r="H1047" s="70" t="s">
        <v>178</v>
      </c>
      <c r="I1047" s="70" t="s">
        <v>179</v>
      </c>
      <c r="J1047" s="71">
        <f>IF(OR(I1047=0,I1047=""),"unrated",VLOOKUP(I1047,MappingTables!$B$19:$C$31,2,FALSE))</f>
        <v>4</v>
      </c>
      <c r="K1047" s="72">
        <v>414.41196460559568</v>
      </c>
      <c r="L1047" s="70">
        <v>2.8506316317628544</v>
      </c>
      <c r="M1047" s="71">
        <f>IF(L1047&lt;1,1,L1047)</f>
        <v>2.8506316317628544</v>
      </c>
      <c r="N1047" s="70" t="s">
        <v>141</v>
      </c>
      <c r="O1047" s="71">
        <f>INDEX(DurClassMapping,MATCH(M1047,MappingTables!$D$4:$D$8,-1),1)</f>
        <v>1</v>
      </c>
      <c r="P1047" s="73">
        <f>IF(M1047=$A$1,1,$M1047-INDEX(MappingTables!$E$4:$E$8,MATCH(O1047,MappingTables!$B$4:$B$8,0)))</f>
        <v>2.8506316317628544</v>
      </c>
      <c r="Q1047" s="71">
        <f>IF(B1047="",0,INDEX(ModelParameters!$D$6:$K$10,MATCH($O1047,ModelParameters!$B$6:$B$10,0),MATCH($J1047,ModelParameters!$D$5:$K$5,0)))</f>
        <v>0.045</v>
      </c>
      <c r="R1047" s="71">
        <f>IF(B1047="",0,INDEX(ModelParameters!$D$13:$K$17,MATCH($O1047,ModelParameters!$B$13:$B$17,0),MATCH($J1047,ModelParameters!$D$5:$K$5,0)))</f>
        <v>0</v>
      </c>
      <c r="S1047" s="160">
        <f>IF(B1047="",0,MIN(IF($N1047="Other Bond TM",ModelParameters!$N$21,1)*(P1047*Q1047+R1047),1))</f>
        <v>0.12827842342932844</v>
      </c>
      <c r="T1047" s="85">
        <f>IF(B1047="",0,$S1047*$K1047)</f>
        <v>53.16011346985648</v>
      </c>
      <c r="U1047" s="85">
        <f>IF(B1047="",0,IF(OR(H1047=MappingTables!$C$34,H1047=MappingTables!$C$35),T1047,0))</f>
        <v>0</v>
      </c>
      <c r="V1047" s="85">
        <f>IF(ISNA(IF(AND(VLOOKUP(CONCATENATE($D1047,$G1047),CSRFinput!$B:$E,4,0)=0,OR(H1047=MappingTables!$C$34,H1047=MappingTables!$C$35)),1,VLOOKUP(CONCATENATE($D1047,$G1047),CSRFinput!$B:$E,4,0))),0,IF(AND(VLOOKUP(CONCATENATE($D1047,$G1047),CSRFinput!$B:$E,4,0)=0,OR(H1047=MappingTables!$C$34,H1047=MappingTables!$C$35)),1,VLOOKUP(CONCATENATE($D1047,$G1047),CSRFinput!$B:$E,4,0)))</f>
        <v>0.054776304963434752</v>
      </c>
      <c r="W1047" s="85">
        <f>IF(B1047="",0,+$T1047*$V1047)</f>
        <v>2.9119145873156536</v>
      </c>
      <c r="X1047" s="85">
        <f>IF(B1047="",0,IF(OR(H1047=MappingTables!$C$34,H1047=MappingTables!$C$35),W1047,0))</f>
        <v>0</v>
      </c>
    </row>
    <row r="1048" spans="2:24" s="0" customFormat="0" ht="15">
      <c r="B1048" s="69">
        <v>21299666</v>
      </c>
      <c r="C1048" s="70" t="s">
        <v>1330</v>
      </c>
      <c r="D1048" s="70" t="s">
        <v>1</v>
      </c>
      <c r="E1048" s="70" t="s">
        <v>1</v>
      </c>
      <c r="F1048" s="70"/>
      <c r="G1048" s="70" t="s">
        <v>61</v>
      </c>
      <c r="H1048" s="70" t="s">
        <v>178</v>
      </c>
      <c r="I1048" s="70" t="s">
        <v>188</v>
      </c>
      <c r="J1048" s="71">
        <f>IF(OR(I1048=0,I1048=""),"unrated",VLOOKUP(I1048,MappingTables!$B$19:$C$31,2,FALSE))</f>
        <v>2</v>
      </c>
      <c r="K1048" s="72">
        <v>24.69290114875104</v>
      </c>
      <c r="L1048" s="70">
        <v>0.6183238880005912</v>
      </c>
      <c r="M1048" s="71">
        <f>IF(L1048&lt;1,1,L1048)</f>
        <v>1</v>
      </c>
      <c r="N1048" s="70" t="s">
        <v>141</v>
      </c>
      <c r="O1048" s="71">
        <f>INDEX(DurClassMapping,MATCH(M1048,MappingTables!$D$4:$D$8,-1),1)</f>
        <v>1</v>
      </c>
      <c r="P1048" s="73">
        <f>IF(M1048=$A$1,1,$M1048-INDEX(MappingTables!$E$4:$E$8,MATCH(O1048,MappingTables!$B$4:$B$8,0)))</f>
        <v>1</v>
      </c>
      <c r="Q1048" s="71">
        <f>IF(B1048="",0,INDEX(ModelParameters!$D$6:$K$10,MATCH($O1048,ModelParameters!$B$6:$B$10,0),MATCH($J1048,ModelParameters!$D$5:$K$5,0)))</f>
        <v>0.013999999999999998</v>
      </c>
      <c r="R1048" s="71">
        <f>IF(B1048="",0,INDEX(ModelParameters!$D$13:$K$17,MATCH($O1048,ModelParameters!$B$13:$B$17,0),MATCH($J1048,ModelParameters!$D$5:$K$5,0)))</f>
        <v>0</v>
      </c>
      <c r="S1048" s="160">
        <f>IF(B1048="",0,MIN(IF($N1048="Other Bond TM",ModelParameters!$N$21,1)*(P1048*Q1048+R1048),1))</f>
        <v>0.013999999999999998</v>
      </c>
      <c r="T1048" s="85">
        <f>IF(B1048="",0,$S1048*$K1048)</f>
        <v>0.34570061608251452</v>
      </c>
      <c r="U1048" s="85">
        <f>IF(B1048="",0,IF(OR(H1048=MappingTables!$C$34,H1048=MappingTables!$C$35),T1048,0))</f>
        <v>0</v>
      </c>
      <c r="V1048" s="85">
        <f>IF(ISNA(IF(AND(VLOOKUP(CONCATENATE($D1048,$G1048),CSRFinput!$B:$E,4,0)=0,OR(H1048=MappingTables!$C$34,H1048=MappingTables!$C$35)),1,VLOOKUP(CONCATENATE($D1048,$G1048),CSRFinput!$B:$E,4,0))),0,IF(AND(VLOOKUP(CONCATENATE($D1048,$G1048),CSRFinput!$B:$E,4,0)=0,OR(H1048=MappingTables!$C$34,H1048=MappingTables!$C$35)),1,VLOOKUP(CONCATENATE($D1048,$G1048),CSRFinput!$B:$E,4,0)))</f>
        <v>0.054776304963434752</v>
      </c>
      <c r="W1048" s="85">
        <f>IF(B1048="",0,+$T1048*$V1048)</f>
        <v>0.018936202372583092</v>
      </c>
      <c r="X1048" s="85">
        <f>IF(B1048="",0,IF(OR(H1048=MappingTables!$C$34,H1048=MappingTables!$C$35),W1048,0))</f>
        <v>0</v>
      </c>
    </row>
    <row r="1049" spans="2:24" s="0" customFormat="0" ht="15">
      <c r="B1049" s="69">
        <v>20113398</v>
      </c>
      <c r="C1049" s="70" t="s">
        <v>840</v>
      </c>
      <c r="D1049" s="70" t="s">
        <v>1</v>
      </c>
      <c r="E1049" s="70" t="s">
        <v>1</v>
      </c>
      <c r="F1049" s="70"/>
      <c r="G1049" s="70" t="s">
        <v>61</v>
      </c>
      <c r="H1049" s="70" t="s">
        <v>178</v>
      </c>
      <c r="I1049" s="70" t="s">
        <v>188</v>
      </c>
      <c r="J1049" s="71">
        <f>IF(OR(I1049=0,I1049=""),"unrated",VLOOKUP(I1049,MappingTables!$B$19:$C$31,2,FALSE))</f>
        <v>2</v>
      </c>
      <c r="K1049" s="72">
        <v>3.5342961535849656</v>
      </c>
      <c r="L1049" s="70">
        <v>0.22191468650632172</v>
      </c>
      <c r="M1049" s="71">
        <f>IF(L1049&lt;1,1,L1049)</f>
        <v>1</v>
      </c>
      <c r="N1049" s="70" t="s">
        <v>141</v>
      </c>
      <c r="O1049" s="71">
        <f>INDEX(DurClassMapping,MATCH(M1049,MappingTables!$D$4:$D$8,-1),1)</f>
        <v>1</v>
      </c>
      <c r="P1049" s="73">
        <f>IF(M1049=$A$1,1,$M1049-INDEX(MappingTables!$E$4:$E$8,MATCH(O1049,MappingTables!$B$4:$B$8,0)))</f>
        <v>1</v>
      </c>
      <c r="Q1049" s="71">
        <f>IF(B1049="",0,INDEX(ModelParameters!$D$6:$K$10,MATCH($O1049,ModelParameters!$B$6:$B$10,0),MATCH($J1049,ModelParameters!$D$5:$K$5,0)))</f>
        <v>0.013999999999999998</v>
      </c>
      <c r="R1049" s="71">
        <f>IF(B1049="",0,INDEX(ModelParameters!$D$13:$K$17,MATCH($O1049,ModelParameters!$B$13:$B$17,0),MATCH($J1049,ModelParameters!$D$5:$K$5,0)))</f>
        <v>0</v>
      </c>
      <c r="S1049" s="160">
        <f>IF(B1049="",0,MIN(IF($N1049="Other Bond TM",ModelParameters!$N$21,1)*(P1049*Q1049+R1049),1))</f>
        <v>0.013999999999999998</v>
      </c>
      <c r="T1049" s="85">
        <f>IF(B1049="",0,$S1049*$K1049)</f>
        <v>0.049480146150189512</v>
      </c>
      <c r="U1049" s="85">
        <f>IF(B1049="",0,IF(OR(H1049=MappingTables!$C$34,H1049=MappingTables!$C$35),T1049,0))</f>
        <v>0</v>
      </c>
      <c r="V1049" s="85">
        <f>IF(ISNA(IF(AND(VLOOKUP(CONCATENATE($D1049,$G1049),CSRFinput!$B:$E,4,0)=0,OR(H1049=MappingTables!$C$34,H1049=MappingTables!$C$35)),1,VLOOKUP(CONCATENATE($D1049,$G1049),CSRFinput!$B:$E,4,0))),0,IF(AND(VLOOKUP(CONCATENATE($D1049,$G1049),CSRFinput!$B:$E,4,0)=0,OR(H1049=MappingTables!$C$34,H1049=MappingTables!$C$35)),1,VLOOKUP(CONCATENATE($D1049,$G1049),CSRFinput!$B:$E,4,0)))</f>
        <v>0.054776304963434752</v>
      </c>
      <c r="W1049" s="85">
        <f>IF(B1049="",0,+$T1049*$V1049)</f>
        <v>0.0027103395751581024</v>
      </c>
      <c r="X1049" s="85">
        <f>IF(B1049="",0,IF(OR(H1049=MappingTables!$C$34,H1049=MappingTables!$C$35),W1049,0))</f>
        <v>0</v>
      </c>
    </row>
    <row r="1050" spans="2:24" s="0" customFormat="0" ht="15">
      <c r="B1050" s="69">
        <v>24188547</v>
      </c>
      <c r="C1050" s="70" t="s">
        <v>1331</v>
      </c>
      <c r="D1050" s="70" t="s">
        <v>1</v>
      </c>
      <c r="E1050" s="70" t="s">
        <v>1</v>
      </c>
      <c r="F1050" s="70"/>
      <c r="G1050" s="70" t="s">
        <v>61</v>
      </c>
      <c r="H1050" s="70" t="s">
        <v>178</v>
      </c>
      <c r="I1050" s="70" t="s">
        <v>181</v>
      </c>
      <c r="J1050" s="71">
        <f>IF(OR(I1050=0,I1050=""),"unrated",VLOOKUP(I1050,MappingTables!$B$19:$C$31,2,FALSE))</f>
        <v>3</v>
      </c>
      <c r="K1050" s="72">
        <v>626.820716667522</v>
      </c>
      <c r="L1050" s="70">
        <v>8.3479345442706064</v>
      </c>
      <c r="M1050" s="71">
        <f>IF(L1050&lt;1,1,L1050)</f>
        <v>8.3479345442706064</v>
      </c>
      <c r="N1050" s="70" t="s">
        <v>141</v>
      </c>
      <c r="O1050" s="71">
        <f>INDEX(DurClassMapping,MATCH(M1050,MappingTables!$D$4:$D$8,-1),1)</f>
        <v>2</v>
      </c>
      <c r="P1050" s="73">
        <f>IF(M1050=$A$1,1,$M1050-INDEX(MappingTables!$E$4:$E$8,MATCH(O1050,MappingTables!$B$4:$B$8,0)))</f>
        <v>3.347934544270606</v>
      </c>
      <c r="Q1050" s="71">
        <f>IF(B1050="",0,INDEX(ModelParameters!$D$6:$K$10,MATCH($O1050,ModelParameters!$B$6:$B$10,0),MATCH($J1050,ModelParameters!$D$5:$K$5,0)))</f>
        <v>0.015</v>
      </c>
      <c r="R1050" s="71">
        <f>IF(B1050="",0,INDEX(ModelParameters!$D$13:$K$17,MATCH($O1050,ModelParameters!$B$13:$B$17,0),MATCH($J1050,ModelParameters!$D$5:$K$5,0)))</f>
        <v>0.125</v>
      </c>
      <c r="S1050" s="160">
        <f>IF(B1050="",0,MIN(IF($N1050="Other Bond TM",ModelParameters!$N$21,1)*(P1050*Q1050+R1050),1))</f>
        <v>0.17521901816405908</v>
      </c>
      <c r="T1050" s="85">
        <f>IF(B1050="",0,$S1050*$K1050)</f>
        <v>109.83091053937506</v>
      </c>
      <c r="U1050" s="85">
        <f>IF(B1050="",0,IF(OR(H1050=MappingTables!$C$34,H1050=MappingTables!$C$35),T1050,0))</f>
        <v>0</v>
      </c>
      <c r="V1050" s="85">
        <f>IF(ISNA(IF(AND(VLOOKUP(CONCATENATE($D1050,$G1050),CSRFinput!$B:$E,4,0)=0,OR(H1050=MappingTables!$C$34,H1050=MappingTables!$C$35)),1,VLOOKUP(CONCATENATE($D1050,$G1050),CSRFinput!$B:$E,4,0))),0,IF(AND(VLOOKUP(CONCATENATE($D1050,$G1050),CSRFinput!$B:$E,4,0)=0,OR(H1050=MappingTables!$C$34,H1050=MappingTables!$C$35)),1,VLOOKUP(CONCATENATE($D1050,$G1050),CSRFinput!$B:$E,4,0)))</f>
        <v>0.054776304963434752</v>
      </c>
      <c r="W1050" s="85">
        <f>IF(B1050="",0,+$T1050*$V1050)</f>
        <v>6.0161314501165288</v>
      </c>
      <c r="X1050" s="85">
        <f>IF(B1050="",0,IF(OR(H1050=MappingTables!$C$34,H1050=MappingTables!$C$35),W1050,0))</f>
        <v>0</v>
      </c>
    </row>
    <row r="1051" spans="2:24" s="0" customFormat="0" ht="15">
      <c r="B1051" s="69">
        <v>17251676</v>
      </c>
      <c r="C1051" s="70" t="s">
        <v>747</v>
      </c>
      <c r="D1051" s="70" t="s">
        <v>1</v>
      </c>
      <c r="E1051" s="70" t="s">
        <v>1</v>
      </c>
      <c r="F1051" s="70"/>
      <c r="G1051" s="70" t="s">
        <v>61</v>
      </c>
      <c r="H1051" s="70" t="s">
        <v>178</v>
      </c>
      <c r="I1051" s="70" t="s">
        <v>179</v>
      </c>
      <c r="J1051" s="71">
        <f>IF(OR(I1051=0,I1051=""),"unrated",VLOOKUP(I1051,MappingTables!$B$19:$C$31,2,FALSE))</f>
        <v>4</v>
      </c>
      <c r="K1051" s="72">
        <v>345.901203631656</v>
      </c>
      <c r="L1051" s="70">
        <v>0.087675149958591056</v>
      </c>
      <c r="M1051" s="71">
        <f>IF(L1051&lt;1,1,L1051)</f>
        <v>1</v>
      </c>
      <c r="N1051" s="70" t="s">
        <v>141</v>
      </c>
      <c r="O1051" s="71">
        <f>INDEX(DurClassMapping,MATCH(M1051,MappingTables!$D$4:$D$8,-1),1)</f>
        <v>1</v>
      </c>
      <c r="P1051" s="73">
        <f>IF(M1051=$A$1,1,$M1051-INDEX(MappingTables!$E$4:$E$8,MATCH(O1051,MappingTables!$B$4:$B$8,0)))</f>
        <v>1</v>
      </c>
      <c r="Q1051" s="71">
        <f>IF(B1051="",0,INDEX(ModelParameters!$D$6:$K$10,MATCH($O1051,ModelParameters!$B$6:$B$10,0),MATCH($J1051,ModelParameters!$D$5:$K$5,0)))</f>
        <v>0.045</v>
      </c>
      <c r="R1051" s="71">
        <f>IF(B1051="",0,INDEX(ModelParameters!$D$13:$K$17,MATCH($O1051,ModelParameters!$B$13:$B$17,0),MATCH($J1051,ModelParameters!$D$5:$K$5,0)))</f>
        <v>0</v>
      </c>
      <c r="S1051" s="160">
        <f>IF(B1051="",0,MIN(IF($N1051="Other Bond TM",ModelParameters!$N$21,1)*(P1051*Q1051+R1051),1))</f>
        <v>0.045</v>
      </c>
      <c r="T1051" s="85">
        <f>IF(B1051="",0,$S1051*$K1051)</f>
        <v>15.56555416342452</v>
      </c>
      <c r="U1051" s="85">
        <f>IF(B1051="",0,IF(OR(H1051=MappingTables!$C$34,H1051=MappingTables!$C$35),T1051,0))</f>
        <v>0</v>
      </c>
      <c r="V1051" s="85">
        <f>IF(ISNA(IF(AND(VLOOKUP(CONCATENATE($D1051,$G1051),CSRFinput!$B:$E,4,0)=0,OR(H1051=MappingTables!$C$34,H1051=MappingTables!$C$35)),1,VLOOKUP(CONCATENATE($D1051,$G1051),CSRFinput!$B:$E,4,0))),0,IF(AND(VLOOKUP(CONCATENATE($D1051,$G1051),CSRFinput!$B:$E,4,0)=0,OR(H1051=MappingTables!$C$34,H1051=MappingTables!$C$35)),1,VLOOKUP(CONCATENATE($D1051,$G1051),CSRFinput!$B:$E,4,0)))</f>
        <v>0.054776304963434752</v>
      </c>
      <c r="W1051" s="85">
        <f>IF(B1051="",0,+$T1051*$V1051)</f>
        <v>0.85262354178060304</v>
      </c>
      <c r="X1051" s="85">
        <f>IF(B1051="",0,IF(OR(H1051=MappingTables!$C$34,H1051=MappingTables!$C$35),W1051,0))</f>
        <v>0</v>
      </c>
    </row>
    <row r="1052" spans="2:24" s="0" customFormat="0" ht="15">
      <c r="B1052" s="69">
        <v>17600993</v>
      </c>
      <c r="C1052" s="70" t="s">
        <v>1332</v>
      </c>
      <c r="D1052" s="70" t="s">
        <v>1</v>
      </c>
      <c r="E1052" s="70" t="s">
        <v>1</v>
      </c>
      <c r="F1052" s="70"/>
      <c r="G1052" s="70" t="s">
        <v>61</v>
      </c>
      <c r="H1052" s="70" t="s">
        <v>178</v>
      </c>
      <c r="I1052" s="70" t="s">
        <v>181</v>
      </c>
      <c r="J1052" s="71">
        <f>IF(OR(I1052=0,I1052=""),"unrated",VLOOKUP(I1052,MappingTables!$B$19:$C$31,2,FALSE))</f>
        <v>3</v>
      </c>
      <c r="K1052" s="72">
        <v>3258.750058432984</v>
      </c>
      <c r="L1052" s="70">
        <v>1.533983906989523</v>
      </c>
      <c r="M1052" s="71">
        <f>IF(L1052&lt;1,1,L1052)</f>
        <v>1.533983906989523</v>
      </c>
      <c r="N1052" s="70" t="s">
        <v>141</v>
      </c>
      <c r="O1052" s="71">
        <f>INDEX(DurClassMapping,MATCH(M1052,MappingTables!$D$4:$D$8,-1),1)</f>
        <v>1</v>
      </c>
      <c r="P1052" s="73">
        <f>IF(M1052=$A$1,1,$M1052-INDEX(MappingTables!$E$4:$E$8,MATCH(O1052,MappingTables!$B$4:$B$8,0)))</f>
        <v>1.533983906989523</v>
      </c>
      <c r="Q1052" s="71">
        <f>IF(B1052="",0,INDEX(ModelParameters!$D$6:$K$10,MATCH($O1052,ModelParameters!$B$6:$B$10,0),MATCH($J1052,ModelParameters!$D$5:$K$5,0)))</f>
        <v>0.025</v>
      </c>
      <c r="R1052" s="71">
        <f>IF(B1052="",0,INDEX(ModelParameters!$D$13:$K$17,MATCH($O1052,ModelParameters!$B$13:$B$17,0),MATCH($J1052,ModelParameters!$D$5:$K$5,0)))</f>
        <v>0</v>
      </c>
      <c r="S1052" s="160">
        <f>IF(B1052="",0,MIN(IF($N1052="Other Bond TM",ModelParameters!$N$21,1)*(P1052*Q1052+R1052),1))</f>
        <v>0.03834959767473808</v>
      </c>
      <c r="T1052" s="85">
        <f>IF(B1052="",0,$S1052*$K1052)</f>
        <v>124.97175366343414</v>
      </c>
      <c r="U1052" s="85">
        <f>IF(B1052="",0,IF(OR(H1052=MappingTables!$C$34,H1052=MappingTables!$C$35),T1052,0))</f>
        <v>0</v>
      </c>
      <c r="V1052" s="85">
        <f>IF(ISNA(IF(AND(VLOOKUP(CONCATENATE($D1052,$G1052),CSRFinput!$B:$E,4,0)=0,OR(H1052=MappingTables!$C$34,H1052=MappingTables!$C$35)),1,VLOOKUP(CONCATENATE($D1052,$G1052),CSRFinput!$B:$E,4,0))),0,IF(AND(VLOOKUP(CONCATENATE($D1052,$G1052),CSRFinput!$B:$E,4,0)=0,OR(H1052=MappingTables!$C$34,H1052=MappingTables!$C$35)),1,VLOOKUP(CONCATENATE($D1052,$G1052),CSRFinput!$B:$E,4,0)))</f>
        <v>0.054776304963434752</v>
      </c>
      <c r="W1052" s="85">
        <f>IF(B1052="",0,+$T1052*$V1052)</f>
        <v>6.8454908904835128</v>
      </c>
      <c r="X1052" s="85">
        <f>IF(B1052="",0,IF(OR(H1052=MappingTables!$C$34,H1052=MappingTables!$C$35),W1052,0))</f>
        <v>0</v>
      </c>
    </row>
    <row r="1053" spans="2:24" s="0" customFormat="0" ht="15">
      <c r="B1053" s="69">
        <v>19503566</v>
      </c>
      <c r="C1053" s="70" t="s">
        <v>1333</v>
      </c>
      <c r="D1053" s="70" t="s">
        <v>1</v>
      </c>
      <c r="E1053" s="70" t="s">
        <v>1</v>
      </c>
      <c r="F1053" s="70"/>
      <c r="G1053" s="70" t="s">
        <v>61</v>
      </c>
      <c r="H1053" s="70" t="s">
        <v>178</v>
      </c>
      <c r="I1053" s="70" t="s">
        <v>181</v>
      </c>
      <c r="J1053" s="71">
        <f>IF(OR(I1053=0,I1053=""),"unrated",VLOOKUP(I1053,MappingTables!$B$19:$C$31,2,FALSE))</f>
        <v>3</v>
      </c>
      <c r="K1053" s="72">
        <v>8885.2955001256288</v>
      </c>
      <c r="L1053" s="70">
        <v>3.066106277956516</v>
      </c>
      <c r="M1053" s="71">
        <f>IF(L1053&lt;1,1,L1053)</f>
        <v>3.066106277956516</v>
      </c>
      <c r="N1053" s="70" t="s">
        <v>141</v>
      </c>
      <c r="O1053" s="71">
        <f>INDEX(DurClassMapping,MATCH(M1053,MappingTables!$D$4:$D$8,-1),1)</f>
        <v>1</v>
      </c>
      <c r="P1053" s="73">
        <f>IF(M1053=$A$1,1,$M1053-INDEX(MappingTables!$E$4:$E$8,MATCH(O1053,MappingTables!$B$4:$B$8,0)))</f>
        <v>3.066106277956516</v>
      </c>
      <c r="Q1053" s="71">
        <f>IF(B1053="",0,INDEX(ModelParameters!$D$6:$K$10,MATCH($O1053,ModelParameters!$B$6:$B$10,0),MATCH($J1053,ModelParameters!$D$5:$K$5,0)))</f>
        <v>0.025</v>
      </c>
      <c r="R1053" s="71">
        <f>IF(B1053="",0,INDEX(ModelParameters!$D$13:$K$17,MATCH($O1053,ModelParameters!$B$13:$B$17,0),MATCH($J1053,ModelParameters!$D$5:$K$5,0)))</f>
        <v>0</v>
      </c>
      <c r="S1053" s="160">
        <f>IF(B1053="",0,MIN(IF($N1053="Other Bond TM",ModelParameters!$N$21,1)*(P1053*Q1053+R1053),1))</f>
        <v>0.076652656948912912</v>
      </c>
      <c r="T1053" s="85">
        <f>IF(B1053="",0,$S1053*$K1053)</f>
        <v>681.08150786084936</v>
      </c>
      <c r="U1053" s="85">
        <f>IF(B1053="",0,IF(OR(H1053=MappingTables!$C$34,H1053=MappingTables!$C$35),T1053,0))</f>
        <v>0</v>
      </c>
      <c r="V1053" s="85">
        <f>IF(ISNA(IF(AND(VLOOKUP(CONCATENATE($D1053,$G1053),CSRFinput!$B:$E,4,0)=0,OR(H1053=MappingTables!$C$34,H1053=MappingTables!$C$35)),1,VLOOKUP(CONCATENATE($D1053,$G1053),CSRFinput!$B:$E,4,0))),0,IF(AND(VLOOKUP(CONCATENATE($D1053,$G1053),CSRFinput!$B:$E,4,0)=0,OR(H1053=MappingTables!$C$34,H1053=MappingTables!$C$35)),1,VLOOKUP(CONCATENATE($D1053,$G1053),CSRFinput!$B:$E,4,0)))</f>
        <v>0.054776304963434752</v>
      </c>
      <c r="W1053" s="85">
        <f>IF(B1053="",0,+$T1053*$V1053)</f>
        <v>37.307128379541864</v>
      </c>
      <c r="X1053" s="85">
        <f>IF(B1053="",0,IF(OR(H1053=MappingTables!$C$34,H1053=MappingTables!$C$35),W1053,0))</f>
        <v>0</v>
      </c>
    </row>
    <row r="1054" spans="2:24" s="0" customFormat="0" ht="15">
      <c r="B1054" s="69">
        <v>13337154</v>
      </c>
      <c r="C1054" s="70" t="s">
        <v>871</v>
      </c>
      <c r="D1054" s="70" t="s">
        <v>1</v>
      </c>
      <c r="E1054" s="70" t="s">
        <v>1</v>
      </c>
      <c r="F1054" s="70"/>
      <c r="G1054" s="70" t="s">
        <v>61</v>
      </c>
      <c r="H1054" s="70" t="s">
        <v>178</v>
      </c>
      <c r="I1054" s="70" t="s">
        <v>181</v>
      </c>
      <c r="J1054" s="71">
        <f>IF(OR(I1054=0,I1054=""),"unrated",VLOOKUP(I1054,MappingTables!$B$19:$C$31,2,FALSE))</f>
        <v>3</v>
      </c>
      <c r="K1054" s="72">
        <v>579.11343394246944</v>
      </c>
      <c r="L1054" s="70">
        <v>0.098636324670614976</v>
      </c>
      <c r="M1054" s="71">
        <f>IF(L1054&lt;1,1,L1054)</f>
        <v>1</v>
      </c>
      <c r="N1054" s="70" t="s">
        <v>141</v>
      </c>
      <c r="O1054" s="71">
        <f>INDEX(DurClassMapping,MATCH(M1054,MappingTables!$D$4:$D$8,-1),1)</f>
        <v>1</v>
      </c>
      <c r="P1054" s="73">
        <f>IF(M1054=$A$1,1,$M1054-INDEX(MappingTables!$E$4:$E$8,MATCH(O1054,MappingTables!$B$4:$B$8,0)))</f>
        <v>1</v>
      </c>
      <c r="Q1054" s="71">
        <f>IF(B1054="",0,INDEX(ModelParameters!$D$6:$K$10,MATCH($O1054,ModelParameters!$B$6:$B$10,0),MATCH($J1054,ModelParameters!$D$5:$K$5,0)))</f>
        <v>0.025</v>
      </c>
      <c r="R1054" s="71">
        <f>IF(B1054="",0,INDEX(ModelParameters!$D$13:$K$17,MATCH($O1054,ModelParameters!$B$13:$B$17,0),MATCH($J1054,ModelParameters!$D$5:$K$5,0)))</f>
        <v>0</v>
      </c>
      <c r="S1054" s="160">
        <f>IF(B1054="",0,MIN(IF($N1054="Other Bond TM",ModelParameters!$N$21,1)*(P1054*Q1054+R1054),1))</f>
        <v>0.025</v>
      </c>
      <c r="T1054" s="85">
        <f>IF(B1054="",0,$S1054*$K1054)</f>
        <v>14.477835848561738</v>
      </c>
      <c r="U1054" s="85">
        <f>IF(B1054="",0,IF(OR(H1054=MappingTables!$C$34,H1054=MappingTables!$C$35),T1054,0))</f>
        <v>0</v>
      </c>
      <c r="V1054" s="85">
        <f>IF(ISNA(IF(AND(VLOOKUP(CONCATENATE($D1054,$G1054),CSRFinput!$B:$E,4,0)=0,OR(H1054=MappingTables!$C$34,H1054=MappingTables!$C$35)),1,VLOOKUP(CONCATENATE($D1054,$G1054),CSRFinput!$B:$E,4,0))),0,IF(AND(VLOOKUP(CONCATENATE($D1054,$G1054),CSRFinput!$B:$E,4,0)=0,OR(H1054=MappingTables!$C$34,H1054=MappingTables!$C$35)),1,VLOOKUP(CONCATENATE($D1054,$G1054),CSRFinput!$B:$E,4,0)))</f>
        <v>0.054776304963434752</v>
      </c>
      <c r="W1054" s="85">
        <f>IF(B1054="",0,+$T1054*$V1054)</f>
        <v>0.79304235165136592</v>
      </c>
      <c r="X1054" s="85">
        <f>IF(B1054="",0,IF(OR(H1054=MappingTables!$C$34,H1054=MappingTables!$C$35),W1054,0))</f>
        <v>0</v>
      </c>
    </row>
    <row r="1055" spans="2:24" s="0" customFormat="0" ht="15">
      <c r="B1055" s="69">
        <v>20861079</v>
      </c>
      <c r="C1055" s="70" t="s">
        <v>1334</v>
      </c>
      <c r="D1055" s="70" t="s">
        <v>1</v>
      </c>
      <c r="E1055" s="70" t="s">
        <v>1</v>
      </c>
      <c r="F1055" s="70"/>
      <c r="G1055" s="70" t="s">
        <v>61</v>
      </c>
      <c r="H1055" s="70" t="s">
        <v>178</v>
      </c>
      <c r="I1055" s="70" t="s">
        <v>179</v>
      </c>
      <c r="J1055" s="71">
        <f>IF(OR(I1055=0,I1055=""),"unrated",VLOOKUP(I1055,MappingTables!$B$19:$C$31,2,FALSE))</f>
        <v>4</v>
      </c>
      <c r="K1055" s="72">
        <v>5978.1909248614848</v>
      </c>
      <c r="L1055" s="70">
        <v>7.104430162517012</v>
      </c>
      <c r="M1055" s="71">
        <f>IF(L1055&lt;1,1,L1055)</f>
        <v>7.104430162517012</v>
      </c>
      <c r="N1055" s="70" t="s">
        <v>141</v>
      </c>
      <c r="O1055" s="71">
        <f>INDEX(DurClassMapping,MATCH(M1055,MappingTables!$D$4:$D$8,-1),1)</f>
        <v>2</v>
      </c>
      <c r="P1055" s="73">
        <f>IF(M1055=$A$1,1,$M1055-INDEX(MappingTables!$E$4:$E$8,MATCH(O1055,MappingTables!$B$4:$B$8,0)))</f>
        <v>2.104430162517012</v>
      </c>
      <c r="Q1055" s="71">
        <f>IF(B1055="",0,INDEX(ModelParameters!$D$6:$K$10,MATCH($O1055,ModelParameters!$B$6:$B$10,0),MATCH($J1055,ModelParameters!$D$5:$K$5,0)))</f>
        <v>0.025</v>
      </c>
      <c r="R1055" s="71">
        <f>IF(B1055="",0,INDEX(ModelParameters!$D$13:$K$17,MATCH($O1055,ModelParameters!$B$13:$B$17,0),MATCH($J1055,ModelParameters!$D$5:$K$5,0)))</f>
        <v>0.225</v>
      </c>
      <c r="S1055" s="160">
        <f>IF(B1055="",0,MIN(IF($N1055="Other Bond TM",ModelParameters!$N$21,1)*(P1055*Q1055+R1055),1))</f>
        <v>0.27761075406292528</v>
      </c>
      <c r="T1055" s="85">
        <f>IF(B1055="",0,$S1055*$K1055)</f>
        <v>1659.6100905829334</v>
      </c>
      <c r="U1055" s="85">
        <f>IF(B1055="",0,IF(OR(H1055=MappingTables!$C$34,H1055=MappingTables!$C$35),T1055,0))</f>
        <v>0</v>
      </c>
      <c r="V1055" s="85">
        <f>IF(ISNA(IF(AND(VLOOKUP(CONCATENATE($D1055,$G1055),CSRFinput!$B:$E,4,0)=0,OR(H1055=MappingTables!$C$34,H1055=MappingTables!$C$35)),1,VLOOKUP(CONCATENATE($D1055,$G1055),CSRFinput!$B:$E,4,0))),0,IF(AND(VLOOKUP(CONCATENATE($D1055,$G1055),CSRFinput!$B:$E,4,0)=0,OR(H1055=MappingTables!$C$34,H1055=MappingTables!$C$35)),1,VLOOKUP(CONCATENATE($D1055,$G1055),CSRFinput!$B:$E,4,0)))</f>
        <v>0.054776304963434752</v>
      </c>
      <c r="W1055" s="85">
        <f>IF(B1055="",0,+$T1055*$V1055)</f>
        <v>90.907308442164336</v>
      </c>
      <c r="X1055" s="85">
        <f>IF(B1055="",0,IF(OR(H1055=MappingTables!$C$34,H1055=MappingTables!$C$35),W1055,0))</f>
        <v>0</v>
      </c>
    </row>
    <row r="1056" spans="2:24" s="0" customFormat="0" ht="15">
      <c r="B1056" s="69">
        <v>24738981</v>
      </c>
      <c r="C1056" s="70" t="s">
        <v>1335</v>
      </c>
      <c r="D1056" s="70" t="s">
        <v>1</v>
      </c>
      <c r="E1056" s="70" t="s">
        <v>1</v>
      </c>
      <c r="F1056" s="70"/>
      <c r="G1056" s="70" t="s">
        <v>61</v>
      </c>
      <c r="H1056" s="70" t="s">
        <v>178</v>
      </c>
      <c r="I1056" s="70" t="s">
        <v>188</v>
      </c>
      <c r="J1056" s="71">
        <f>IF(OR(I1056=0,I1056=""),"unrated",VLOOKUP(I1056,MappingTables!$B$19:$C$31,2,FALSE))</f>
        <v>2</v>
      </c>
      <c r="K1056" s="72">
        <v>1542.2418767033932</v>
      </c>
      <c r="L1056" s="70">
        <v>11.121821626062272</v>
      </c>
      <c r="M1056" s="71">
        <f>IF(L1056&lt;1,1,L1056)</f>
        <v>11.121821626062272</v>
      </c>
      <c r="N1056" s="70" t="s">
        <v>141</v>
      </c>
      <c r="O1056" s="71">
        <f>INDEX(DurClassMapping,MATCH(M1056,MappingTables!$D$4:$D$8,-1),1)</f>
        <v>3</v>
      </c>
      <c r="P1056" s="73">
        <f>IF(M1056=$A$1,1,$M1056-INDEX(MappingTables!$E$4:$E$8,MATCH(O1056,MappingTables!$B$4:$B$8,0)))</f>
        <v>1.1218216260622728</v>
      </c>
      <c r="Q1056" s="71">
        <f>IF(B1056="",0,INDEX(ModelParameters!$D$6:$K$10,MATCH($O1056,ModelParameters!$B$6:$B$10,0),MATCH($J1056,ModelParameters!$D$5:$K$5,0)))</f>
        <v>0.005</v>
      </c>
      <c r="R1056" s="71">
        <f>IF(B1056="",0,INDEX(ModelParameters!$D$13:$K$17,MATCH($O1056,ModelParameters!$B$13:$B$17,0),MATCH($J1056,ModelParameters!$D$5:$K$5,0)))</f>
        <v>0.105</v>
      </c>
      <c r="S1056" s="160">
        <f>IF(B1056="",0,MIN(IF($N1056="Other Bond TM",ModelParameters!$N$21,1)*(P1056*Q1056+R1056),1))</f>
        <v>0.11060910813031136</v>
      </c>
      <c r="T1056" s="85">
        <f>IF(B1056="",0,$S1056*$K1056)</f>
        <v>170.58599850337992</v>
      </c>
      <c r="U1056" s="85">
        <f>IF(B1056="",0,IF(OR(H1056=MappingTables!$C$34,H1056=MappingTables!$C$35),T1056,0))</f>
        <v>0</v>
      </c>
      <c r="V1056" s="85">
        <f>IF(ISNA(IF(AND(VLOOKUP(CONCATENATE($D1056,$G1056),CSRFinput!$B:$E,4,0)=0,OR(H1056=MappingTables!$C$34,H1056=MappingTables!$C$35)),1,VLOOKUP(CONCATENATE($D1056,$G1056),CSRFinput!$B:$E,4,0))),0,IF(AND(VLOOKUP(CONCATENATE($D1056,$G1056),CSRFinput!$B:$E,4,0)=0,OR(H1056=MappingTables!$C$34,H1056=MappingTables!$C$35)),1,VLOOKUP(CONCATENATE($D1056,$G1056),CSRFinput!$B:$E,4,0)))</f>
        <v>0.054776304963434752</v>
      </c>
      <c r="W1056" s="85">
        <f>IF(B1056="",0,+$T1056*$V1056)</f>
        <v>9.3440706765131648</v>
      </c>
      <c r="X1056" s="85">
        <f>IF(B1056="",0,IF(OR(H1056=MappingTables!$C$34,H1056=MappingTables!$C$35),W1056,0))</f>
        <v>0</v>
      </c>
    </row>
    <row r="1057" spans="2:24" s="0" customFormat="0" ht="15">
      <c r="B1057" s="69">
        <v>17901009</v>
      </c>
      <c r="C1057" s="70" t="s">
        <v>1336</v>
      </c>
      <c r="D1057" s="70" t="s">
        <v>1</v>
      </c>
      <c r="E1057" s="70" t="s">
        <v>1</v>
      </c>
      <c r="F1057" s="70"/>
      <c r="G1057" s="70" t="s">
        <v>61</v>
      </c>
      <c r="H1057" s="70" t="s">
        <v>178</v>
      </c>
      <c r="I1057" s="70" t="s">
        <v>188</v>
      </c>
      <c r="J1057" s="71">
        <f>IF(OR(I1057=0,I1057=""),"unrated",VLOOKUP(I1057,MappingTables!$B$19:$C$31,2,FALSE))</f>
        <v>2</v>
      </c>
      <c r="K1057" s="72">
        <v>2252.312474858692</v>
      </c>
      <c r="L1057" s="70">
        <v>0.73852203066019936</v>
      </c>
      <c r="M1057" s="71">
        <f>IF(L1057&lt;1,1,L1057)</f>
        <v>1</v>
      </c>
      <c r="N1057" s="70" t="s">
        <v>141</v>
      </c>
      <c r="O1057" s="71">
        <f>INDEX(DurClassMapping,MATCH(M1057,MappingTables!$D$4:$D$8,-1),1)</f>
        <v>1</v>
      </c>
      <c r="P1057" s="73">
        <f>IF(M1057=$A$1,1,$M1057-INDEX(MappingTables!$E$4:$E$8,MATCH(O1057,MappingTables!$B$4:$B$8,0)))</f>
        <v>1</v>
      </c>
      <c r="Q1057" s="71">
        <f>IF(B1057="",0,INDEX(ModelParameters!$D$6:$K$10,MATCH($O1057,ModelParameters!$B$6:$B$10,0),MATCH($J1057,ModelParameters!$D$5:$K$5,0)))</f>
        <v>0.013999999999999998</v>
      </c>
      <c r="R1057" s="71">
        <f>IF(B1057="",0,INDEX(ModelParameters!$D$13:$K$17,MATCH($O1057,ModelParameters!$B$13:$B$17,0),MATCH($J1057,ModelParameters!$D$5:$K$5,0)))</f>
        <v>0</v>
      </c>
      <c r="S1057" s="160">
        <f>IF(B1057="",0,MIN(IF($N1057="Other Bond TM",ModelParameters!$N$21,1)*(P1057*Q1057+R1057),1))</f>
        <v>0.013999999999999998</v>
      </c>
      <c r="T1057" s="85">
        <f>IF(B1057="",0,$S1057*$K1057)</f>
        <v>31.532374648021684</v>
      </c>
      <c r="U1057" s="85">
        <f>IF(B1057="",0,IF(OR(H1057=MappingTables!$C$34,H1057=MappingTables!$C$35),T1057,0))</f>
        <v>0</v>
      </c>
      <c r="V1057" s="85">
        <f>IF(ISNA(IF(AND(VLOOKUP(CONCATENATE($D1057,$G1057),CSRFinput!$B:$E,4,0)=0,OR(H1057=MappingTables!$C$34,H1057=MappingTables!$C$35)),1,VLOOKUP(CONCATENATE($D1057,$G1057),CSRFinput!$B:$E,4,0))),0,IF(AND(VLOOKUP(CONCATENATE($D1057,$G1057),CSRFinput!$B:$E,4,0)=0,OR(H1057=MappingTables!$C$34,H1057=MappingTables!$C$35)),1,VLOOKUP(CONCATENATE($D1057,$G1057),CSRFinput!$B:$E,4,0)))</f>
        <v>0.054776304963434752</v>
      </c>
      <c r="W1057" s="85">
        <f>IF(B1057="",0,+$T1057*$V1057)</f>
        <v>1.7272269699413144</v>
      </c>
      <c r="X1057" s="85">
        <f>IF(B1057="",0,IF(OR(H1057=MappingTables!$C$34,H1057=MappingTables!$C$35),W1057,0))</f>
        <v>0</v>
      </c>
    </row>
    <row r="1058" spans="2:24" s="0" customFormat="0" ht="15">
      <c r="B1058" s="69">
        <v>18980137</v>
      </c>
      <c r="C1058" s="70" t="s">
        <v>1012</v>
      </c>
      <c r="D1058" s="70" t="s">
        <v>1</v>
      </c>
      <c r="E1058" s="70" t="s">
        <v>1</v>
      </c>
      <c r="F1058" s="70"/>
      <c r="G1058" s="70" t="s">
        <v>61</v>
      </c>
      <c r="H1058" s="70" t="s">
        <v>178</v>
      </c>
      <c r="I1058" s="70" t="s">
        <v>181</v>
      </c>
      <c r="J1058" s="71">
        <f>IF(OR(I1058=0,I1058=""),"unrated",VLOOKUP(I1058,MappingTables!$B$19:$C$31,2,FALSE))</f>
        <v>3</v>
      </c>
      <c r="K1058" s="72">
        <v>12678.290677051044</v>
      </c>
      <c r="L1058" s="70">
        <v>9.358617294325408</v>
      </c>
      <c r="M1058" s="71">
        <f>IF(L1058&lt;1,1,L1058)</f>
        <v>9.358617294325408</v>
      </c>
      <c r="N1058" s="70" t="s">
        <v>141</v>
      </c>
      <c r="O1058" s="71">
        <f>INDEX(DurClassMapping,MATCH(M1058,MappingTables!$D$4:$D$8,-1),1)</f>
        <v>2</v>
      </c>
      <c r="P1058" s="73">
        <f>IF(M1058=$A$1,1,$M1058-INDEX(MappingTables!$E$4:$E$8,MATCH(O1058,MappingTables!$B$4:$B$8,0)))</f>
        <v>4.3586172943254072</v>
      </c>
      <c r="Q1058" s="71">
        <f>IF(B1058="",0,INDEX(ModelParameters!$D$6:$K$10,MATCH($O1058,ModelParameters!$B$6:$B$10,0),MATCH($J1058,ModelParameters!$D$5:$K$5,0)))</f>
        <v>0.015</v>
      </c>
      <c r="R1058" s="71">
        <f>IF(B1058="",0,INDEX(ModelParameters!$D$13:$K$17,MATCH($O1058,ModelParameters!$B$13:$B$17,0),MATCH($J1058,ModelParameters!$D$5:$K$5,0)))</f>
        <v>0.125</v>
      </c>
      <c r="S1058" s="160">
        <f>IF(B1058="",0,MIN(IF($N1058="Other Bond TM",ModelParameters!$N$21,1)*(P1058*Q1058+R1058),1))</f>
        <v>0.19037925941488108</v>
      </c>
      <c r="T1058" s="85">
        <f>IF(B1058="",0,$S1058*$K1058)</f>
        <v>2413.6835897435688</v>
      </c>
      <c r="U1058" s="85">
        <f>IF(B1058="",0,IF(OR(H1058=MappingTables!$C$34,H1058=MappingTables!$C$35),T1058,0))</f>
        <v>0</v>
      </c>
      <c r="V1058" s="85">
        <f>IF(ISNA(IF(AND(VLOOKUP(CONCATENATE($D1058,$G1058),CSRFinput!$B:$E,4,0)=0,OR(H1058=MappingTables!$C$34,H1058=MappingTables!$C$35)),1,VLOOKUP(CONCATENATE($D1058,$G1058),CSRFinput!$B:$E,4,0))),0,IF(AND(VLOOKUP(CONCATENATE($D1058,$G1058),CSRFinput!$B:$E,4,0)=0,OR(H1058=MappingTables!$C$34,H1058=MappingTables!$C$35)),1,VLOOKUP(CONCATENATE($D1058,$G1058),CSRFinput!$B:$E,4,0)))</f>
        <v>0.054776304963434752</v>
      </c>
      <c r="W1058" s="85">
        <f>IF(B1058="",0,+$T1058*$V1058)</f>
        <v>132.21266839703168</v>
      </c>
      <c r="X1058" s="85">
        <f>IF(B1058="",0,IF(OR(H1058=MappingTables!$C$34,H1058=MappingTables!$C$35),W1058,0))</f>
        <v>0</v>
      </c>
    </row>
    <row r="1059" spans="2:24" s="0" customFormat="0" ht="15">
      <c r="B1059" s="69">
        <v>17447587</v>
      </c>
      <c r="C1059" s="70" t="s">
        <v>1337</v>
      </c>
      <c r="D1059" s="70" t="s">
        <v>1</v>
      </c>
      <c r="E1059" s="70" t="s">
        <v>1</v>
      </c>
      <c r="F1059" s="70"/>
      <c r="G1059" s="70" t="s">
        <v>61</v>
      </c>
      <c r="H1059" s="70" t="s">
        <v>178</v>
      </c>
      <c r="I1059" s="70" t="s">
        <v>188</v>
      </c>
      <c r="J1059" s="71">
        <f>IF(OR(I1059=0,I1059=""),"unrated",VLOOKUP(I1059,MappingTables!$B$19:$C$31,2,FALSE))</f>
        <v>2</v>
      </c>
      <c r="K1059" s="72">
        <v>0.12501318691244162</v>
      </c>
      <c r="L1059" s="70">
        <v>2.4528192474137676</v>
      </c>
      <c r="M1059" s="71">
        <f>IF(L1059&lt;1,1,L1059)</f>
        <v>2.4528192474137676</v>
      </c>
      <c r="N1059" s="70" t="s">
        <v>141</v>
      </c>
      <c r="O1059" s="71">
        <f>INDEX(DurClassMapping,MATCH(M1059,MappingTables!$D$4:$D$8,-1),1)</f>
        <v>1</v>
      </c>
      <c r="P1059" s="73">
        <f>IF(M1059=$A$1,1,$M1059-INDEX(MappingTables!$E$4:$E$8,MATCH(O1059,MappingTables!$B$4:$B$8,0)))</f>
        <v>2.4528192474137676</v>
      </c>
      <c r="Q1059" s="71">
        <f>IF(B1059="",0,INDEX(ModelParameters!$D$6:$K$10,MATCH($O1059,ModelParameters!$B$6:$B$10,0),MATCH($J1059,ModelParameters!$D$5:$K$5,0)))</f>
        <v>0.013999999999999998</v>
      </c>
      <c r="R1059" s="71">
        <f>IF(B1059="",0,INDEX(ModelParameters!$D$13:$K$17,MATCH($O1059,ModelParameters!$B$13:$B$17,0),MATCH($J1059,ModelParameters!$D$5:$K$5,0)))</f>
        <v>0</v>
      </c>
      <c r="S1059" s="160">
        <f>IF(B1059="",0,MIN(IF($N1059="Other Bond TM",ModelParameters!$N$21,1)*(P1059*Q1059+R1059),1))</f>
        <v>0.034339469463792744</v>
      </c>
      <c r="T1059" s="85">
        <f>IF(B1059="",0,$S1059*$K1059)</f>
        <v>0.004292886514551204</v>
      </c>
      <c r="U1059" s="85">
        <f>IF(B1059="",0,IF(OR(H1059=MappingTables!$C$34,H1059=MappingTables!$C$35),T1059,0))</f>
        <v>0</v>
      </c>
      <c r="V1059" s="85">
        <f>IF(ISNA(IF(AND(VLOOKUP(CONCATENATE($D1059,$G1059),CSRFinput!$B:$E,4,0)=0,OR(H1059=MappingTables!$C$34,H1059=MappingTables!$C$35)),1,VLOOKUP(CONCATENATE($D1059,$G1059),CSRFinput!$B:$E,4,0))),0,IF(AND(VLOOKUP(CONCATENATE($D1059,$G1059),CSRFinput!$B:$E,4,0)=0,OR(H1059=MappingTables!$C$34,H1059=MappingTables!$C$35)),1,VLOOKUP(CONCATENATE($D1059,$G1059),CSRFinput!$B:$E,4,0)))</f>
        <v>0.054776304963434752</v>
      </c>
      <c r="W1059" s="85">
        <f>IF(B1059="",0,+$T1059*$V1059)</f>
        <v>0.0002351484608944732</v>
      </c>
      <c r="X1059" s="85">
        <f>IF(B1059="",0,IF(OR(H1059=MappingTables!$C$34,H1059=MappingTables!$C$35),W1059,0))</f>
        <v>0</v>
      </c>
    </row>
    <row r="1060" spans="2:24" s="0" customFormat="0" ht="15">
      <c r="B1060" s="69" t="s">
        <v>1338</v>
      </c>
      <c r="C1060" s="70" t="s">
        <v>1339</v>
      </c>
      <c r="D1060" s="70" t="s">
        <v>1</v>
      </c>
      <c r="E1060" s="70" t="s">
        <v>1</v>
      </c>
      <c r="F1060" s="70"/>
      <c r="G1060" s="70" t="s">
        <v>61</v>
      </c>
      <c r="H1060" s="70" t="s">
        <v>178</v>
      </c>
      <c r="I1060" s="70" t="s">
        <v>188</v>
      </c>
      <c r="J1060" s="71">
        <f>IF(OR(I1060=0,I1060=""),"unrated",VLOOKUP(I1060,MappingTables!$B$19:$C$31,2,FALSE))</f>
        <v>2</v>
      </c>
      <c r="K1060" s="72">
        <v>10.96820859113058</v>
      </c>
      <c r="L1060" s="70">
        <v>0.70420388529741008</v>
      </c>
      <c r="M1060" s="71">
        <f>IF(L1060&lt;1,1,L1060)</f>
        <v>1</v>
      </c>
      <c r="N1060" s="70" t="s">
        <v>141</v>
      </c>
      <c r="O1060" s="71">
        <f>INDEX(DurClassMapping,MATCH(M1060,MappingTables!$D$4:$D$8,-1),1)</f>
        <v>1</v>
      </c>
      <c r="P1060" s="73">
        <f>IF(M1060=$A$1,1,$M1060-INDEX(MappingTables!$E$4:$E$8,MATCH(O1060,MappingTables!$B$4:$B$8,0)))</f>
        <v>1</v>
      </c>
      <c r="Q1060" s="71">
        <f>IF(B1060="",0,INDEX(ModelParameters!$D$6:$K$10,MATCH($O1060,ModelParameters!$B$6:$B$10,0),MATCH($J1060,ModelParameters!$D$5:$K$5,0)))</f>
        <v>0.013999999999999998</v>
      </c>
      <c r="R1060" s="71">
        <f>IF(B1060="",0,INDEX(ModelParameters!$D$13:$K$17,MATCH($O1060,ModelParameters!$B$13:$B$17,0),MATCH($J1060,ModelParameters!$D$5:$K$5,0)))</f>
        <v>0</v>
      </c>
      <c r="S1060" s="160">
        <f>IF(B1060="",0,MIN(IF($N1060="Other Bond TM",ModelParameters!$N$21,1)*(P1060*Q1060+R1060),1))</f>
        <v>0.013999999999999998</v>
      </c>
      <c r="T1060" s="85">
        <f>IF(B1060="",0,$S1060*$K1060)</f>
        <v>0.1535549202758281</v>
      </c>
      <c r="U1060" s="85">
        <f>IF(B1060="",0,IF(OR(H1060=MappingTables!$C$34,H1060=MappingTables!$C$35),T1060,0))</f>
        <v>0</v>
      </c>
      <c r="V1060" s="85">
        <f>IF(ISNA(IF(AND(VLOOKUP(CONCATENATE($D1060,$G1060),CSRFinput!$B:$E,4,0)=0,OR(H1060=MappingTables!$C$34,H1060=MappingTables!$C$35)),1,VLOOKUP(CONCATENATE($D1060,$G1060),CSRFinput!$B:$E,4,0))),0,IF(AND(VLOOKUP(CONCATENATE($D1060,$G1060),CSRFinput!$B:$E,4,0)=0,OR(H1060=MappingTables!$C$34,H1060=MappingTables!$C$35)),1,VLOOKUP(CONCATENATE($D1060,$G1060),CSRFinput!$B:$E,4,0)))</f>
        <v>0.054776304963434752</v>
      </c>
      <c r="W1060" s="85">
        <f>IF(B1060="",0,+$T1060*$V1060)</f>
        <v>0.0084111711416646704</v>
      </c>
      <c r="X1060" s="85">
        <f>IF(B1060="",0,IF(OR(H1060=MappingTables!$C$34,H1060=MappingTables!$C$35),W1060,0))</f>
        <v>0</v>
      </c>
    </row>
    <row r="1061" spans="2:24" s="0" customFormat="0" ht="15">
      <c r="B1061" s="69">
        <v>12308477</v>
      </c>
      <c r="C1061" s="70" t="s">
        <v>792</v>
      </c>
      <c r="D1061" s="70" t="s">
        <v>1</v>
      </c>
      <c r="E1061" s="70" t="s">
        <v>1</v>
      </c>
      <c r="F1061" s="70"/>
      <c r="G1061" s="70" t="s">
        <v>61</v>
      </c>
      <c r="H1061" s="70" t="s">
        <v>178</v>
      </c>
      <c r="I1061" s="70" t="s">
        <v>188</v>
      </c>
      <c r="J1061" s="71">
        <f>IF(OR(I1061=0,I1061=""),"unrated",VLOOKUP(I1061,MappingTables!$B$19:$C$31,2,FALSE))</f>
        <v>2</v>
      </c>
      <c r="K1061" s="72">
        <v>23.876101499796084</v>
      </c>
      <c r="L1061" s="70">
        <v>0.10684786894303954</v>
      </c>
      <c r="M1061" s="71">
        <f>IF(L1061&lt;1,1,L1061)</f>
        <v>1</v>
      </c>
      <c r="N1061" s="70" t="s">
        <v>141</v>
      </c>
      <c r="O1061" s="71">
        <f>INDEX(DurClassMapping,MATCH(M1061,MappingTables!$D$4:$D$8,-1),1)</f>
        <v>1</v>
      </c>
      <c r="P1061" s="73">
        <f>IF(M1061=$A$1,1,$M1061-INDEX(MappingTables!$E$4:$E$8,MATCH(O1061,MappingTables!$B$4:$B$8,0)))</f>
        <v>1</v>
      </c>
      <c r="Q1061" s="71">
        <f>IF(B1061="",0,INDEX(ModelParameters!$D$6:$K$10,MATCH($O1061,ModelParameters!$B$6:$B$10,0),MATCH($J1061,ModelParameters!$D$5:$K$5,0)))</f>
        <v>0.013999999999999998</v>
      </c>
      <c r="R1061" s="71">
        <f>IF(B1061="",0,INDEX(ModelParameters!$D$13:$K$17,MATCH($O1061,ModelParameters!$B$13:$B$17,0),MATCH($J1061,ModelParameters!$D$5:$K$5,0)))</f>
        <v>0</v>
      </c>
      <c r="S1061" s="160">
        <f>IF(B1061="",0,MIN(IF($N1061="Other Bond TM",ModelParameters!$N$21,1)*(P1061*Q1061+R1061),1))</f>
        <v>0.013999999999999998</v>
      </c>
      <c r="T1061" s="85">
        <f>IF(B1061="",0,$S1061*$K1061)</f>
        <v>0.33426542099714516</v>
      </c>
      <c r="U1061" s="85">
        <f>IF(B1061="",0,IF(OR(H1061=MappingTables!$C$34,H1061=MappingTables!$C$35),T1061,0))</f>
        <v>0</v>
      </c>
      <c r="V1061" s="85">
        <f>IF(ISNA(IF(AND(VLOOKUP(CONCATENATE($D1061,$G1061),CSRFinput!$B:$E,4,0)=0,OR(H1061=MappingTables!$C$34,H1061=MappingTables!$C$35)),1,VLOOKUP(CONCATENATE($D1061,$G1061),CSRFinput!$B:$E,4,0))),0,IF(AND(VLOOKUP(CONCATENATE($D1061,$G1061),CSRFinput!$B:$E,4,0)=0,OR(H1061=MappingTables!$C$34,H1061=MappingTables!$C$35)),1,VLOOKUP(CONCATENATE($D1061,$G1061),CSRFinput!$B:$E,4,0)))</f>
        <v>0.054776304963434752</v>
      </c>
      <c r="W1061" s="85">
        <f>IF(B1061="",0,+$T1061*$V1061)</f>
        <v>0.018309824639270532</v>
      </c>
      <c r="X1061" s="85">
        <f>IF(B1061="",0,IF(OR(H1061=MappingTables!$C$34,H1061=MappingTables!$C$35),W1061,0))</f>
        <v>0</v>
      </c>
    </row>
    <row r="1062" spans="2:24" s="0" customFormat="0" ht="15">
      <c r="B1062" s="69" t="s">
        <v>1340</v>
      </c>
      <c r="C1062" s="70" t="s">
        <v>1341</v>
      </c>
      <c r="D1062" s="70" t="s">
        <v>1</v>
      </c>
      <c r="E1062" s="70" t="s">
        <v>1</v>
      </c>
      <c r="F1062" s="70"/>
      <c r="G1062" s="70" t="s">
        <v>61</v>
      </c>
      <c r="H1062" s="70" t="s">
        <v>178</v>
      </c>
      <c r="I1062" s="70" t="s">
        <v>198</v>
      </c>
      <c r="J1062" s="71" t="str">
        <f>IF(OR(I1062=0,I1062=""),"unrated",VLOOKUP(I1062,MappingTables!$B$19:$C$31,2,FALSE))</f>
        <v>unrated</v>
      </c>
      <c r="K1062" s="72">
        <v>2021.6231896874856</v>
      </c>
      <c r="L1062" s="70">
        <v>8.0565918809598096</v>
      </c>
      <c r="M1062" s="71">
        <f>IF(L1062&lt;1,1,L1062)</f>
        <v>8.0565918809598096</v>
      </c>
      <c r="N1062" s="70" t="s">
        <v>141</v>
      </c>
      <c r="O1062" s="71">
        <f>INDEX(DurClassMapping,MATCH(M1062,MappingTables!$D$4:$D$8,-1),1)</f>
        <v>2</v>
      </c>
      <c r="P1062" s="73">
        <f>IF(M1062=$A$1,1,$M1062-INDEX(MappingTables!$E$4:$E$8,MATCH(O1062,MappingTables!$B$4:$B$8,0)))</f>
        <v>3.0565918809598092</v>
      </c>
      <c r="Q1062" s="71">
        <f>IF(B1062="",0,INDEX(ModelParameters!$D$6:$K$10,MATCH($O1062,ModelParameters!$B$6:$B$10,0),MATCH($J1062,ModelParameters!$D$5:$K$5,0)))</f>
        <v>0.017000000000000002</v>
      </c>
      <c r="R1062" s="71">
        <f>IF(B1062="",0,INDEX(ModelParameters!$D$13:$K$17,MATCH($O1062,ModelParameters!$B$13:$B$17,0),MATCH($J1062,ModelParameters!$D$5:$K$5,0)))</f>
        <v>0.15</v>
      </c>
      <c r="S1062" s="160">
        <f>IF(B1062="",0,MIN(IF($N1062="Other Bond TM",ModelParameters!$N$21,1)*(P1062*Q1062+R1062),1))</f>
        <v>0.20196206197631676</v>
      </c>
      <c r="T1062" s="85">
        <f>IF(B1062="",0,$S1062*$K1062)</f>
        <v>408.29118792842312</v>
      </c>
      <c r="U1062" s="85">
        <f>IF(B1062="",0,IF(OR(H1062=MappingTables!$C$34,H1062=MappingTables!$C$35),T1062,0))</f>
        <v>0</v>
      </c>
      <c r="V1062" s="85">
        <f>IF(ISNA(IF(AND(VLOOKUP(CONCATENATE($D1062,$G1062),CSRFinput!$B:$E,4,0)=0,OR(H1062=MappingTables!$C$34,H1062=MappingTables!$C$35)),1,VLOOKUP(CONCATENATE($D1062,$G1062),CSRFinput!$B:$E,4,0))),0,IF(AND(VLOOKUP(CONCATENATE($D1062,$G1062),CSRFinput!$B:$E,4,0)=0,OR(H1062=MappingTables!$C$34,H1062=MappingTables!$C$35)),1,VLOOKUP(CONCATENATE($D1062,$G1062),CSRFinput!$B:$E,4,0)))</f>
        <v>0.054776304963434752</v>
      </c>
      <c r="W1062" s="85">
        <f>IF(B1062="",0,+$T1062*$V1062)</f>
        <v>22.364682623850356</v>
      </c>
      <c r="X1062" s="85">
        <f>IF(B1062="",0,IF(OR(H1062=MappingTables!$C$34,H1062=MappingTables!$C$35),W1062,0))</f>
        <v>0</v>
      </c>
    </row>
    <row r="1063" spans="2:24" s="0" customFormat="0" ht="15">
      <c r="B1063" s="69">
        <v>11426623</v>
      </c>
      <c r="C1063" s="70" t="s">
        <v>1342</v>
      </c>
      <c r="D1063" s="70" t="s">
        <v>1</v>
      </c>
      <c r="E1063" s="70" t="s">
        <v>1</v>
      </c>
      <c r="F1063" s="70"/>
      <c r="G1063" s="70" t="s">
        <v>61</v>
      </c>
      <c r="H1063" s="70" t="s">
        <v>178</v>
      </c>
      <c r="I1063" s="70" t="s">
        <v>181</v>
      </c>
      <c r="J1063" s="71">
        <f>IF(OR(I1063=0,I1063=""),"unrated",VLOOKUP(I1063,MappingTables!$B$19:$C$31,2,FALSE))</f>
        <v>3</v>
      </c>
      <c r="K1063" s="72">
        <v>91.52541073886136</v>
      </c>
      <c r="L1063" s="70">
        <v>0.01095822500562335</v>
      </c>
      <c r="M1063" s="71">
        <f>IF(L1063&lt;1,1,L1063)</f>
        <v>1</v>
      </c>
      <c r="N1063" s="70" t="s">
        <v>141</v>
      </c>
      <c r="O1063" s="71">
        <f>INDEX(DurClassMapping,MATCH(M1063,MappingTables!$D$4:$D$8,-1),1)</f>
        <v>1</v>
      </c>
      <c r="P1063" s="73">
        <f>IF(M1063=$A$1,1,$M1063-INDEX(MappingTables!$E$4:$E$8,MATCH(O1063,MappingTables!$B$4:$B$8,0)))</f>
        <v>1</v>
      </c>
      <c r="Q1063" s="71">
        <f>IF(B1063="",0,INDEX(ModelParameters!$D$6:$K$10,MATCH($O1063,ModelParameters!$B$6:$B$10,0),MATCH($J1063,ModelParameters!$D$5:$K$5,0)))</f>
        <v>0.025</v>
      </c>
      <c r="R1063" s="71">
        <f>IF(B1063="",0,INDEX(ModelParameters!$D$13:$K$17,MATCH($O1063,ModelParameters!$B$13:$B$17,0),MATCH($J1063,ModelParameters!$D$5:$K$5,0)))</f>
        <v>0</v>
      </c>
      <c r="S1063" s="160">
        <f>IF(B1063="",0,MIN(IF($N1063="Other Bond TM",ModelParameters!$N$21,1)*(P1063*Q1063+R1063),1))</f>
        <v>0.025</v>
      </c>
      <c r="T1063" s="85">
        <f>IF(B1063="",0,$S1063*$K1063)</f>
        <v>2.288135268471534</v>
      </c>
      <c r="U1063" s="85">
        <f>IF(B1063="",0,IF(OR(H1063=MappingTables!$C$34,H1063=MappingTables!$C$35),T1063,0))</f>
        <v>0</v>
      </c>
      <c r="V1063" s="85">
        <f>IF(ISNA(IF(AND(VLOOKUP(CONCATENATE($D1063,$G1063),CSRFinput!$B:$E,4,0)=0,OR(H1063=MappingTables!$C$34,H1063=MappingTables!$C$35)),1,VLOOKUP(CONCATENATE($D1063,$G1063),CSRFinput!$B:$E,4,0))),0,IF(AND(VLOOKUP(CONCATENATE($D1063,$G1063),CSRFinput!$B:$E,4,0)=0,OR(H1063=MappingTables!$C$34,H1063=MappingTables!$C$35)),1,VLOOKUP(CONCATENATE($D1063,$G1063),CSRFinput!$B:$E,4,0)))</f>
        <v>0.054776304963434752</v>
      </c>
      <c r="W1063" s="85">
        <f>IF(B1063="",0,+$T1063*$V1063)</f>
        <v>0.12533559526338738</v>
      </c>
      <c r="X1063" s="85">
        <f>IF(B1063="",0,IF(OR(H1063=MappingTables!$C$34,H1063=MappingTables!$C$35),W1063,0))</f>
        <v>0</v>
      </c>
    </row>
    <row r="1064" spans="2:24" s="0" customFormat="0" ht="15">
      <c r="B1064" s="69">
        <v>5276844</v>
      </c>
      <c r="C1064" s="70" t="s">
        <v>1343</v>
      </c>
      <c r="D1064" s="70" t="s">
        <v>1</v>
      </c>
      <c r="E1064" s="70" t="s">
        <v>1</v>
      </c>
      <c r="F1064" s="70"/>
      <c r="G1064" s="70" t="s">
        <v>61</v>
      </c>
      <c r="H1064" s="70" t="s">
        <v>178</v>
      </c>
      <c r="I1064" s="70" t="s">
        <v>188</v>
      </c>
      <c r="J1064" s="71">
        <f>IF(OR(I1064=0,I1064=""),"unrated",VLOOKUP(I1064,MappingTables!$B$19:$C$31,2,FALSE))</f>
        <v>2</v>
      </c>
      <c r="K1064" s="72">
        <v>103.8420684258618</v>
      </c>
      <c r="L1064" s="70">
        <v>1.756591709765835</v>
      </c>
      <c r="M1064" s="71">
        <f>IF(L1064&lt;1,1,L1064)</f>
        <v>1.756591709765835</v>
      </c>
      <c r="N1064" s="70" t="s">
        <v>141</v>
      </c>
      <c r="O1064" s="71">
        <f>INDEX(DurClassMapping,MATCH(M1064,MappingTables!$D$4:$D$8,-1),1)</f>
        <v>1</v>
      </c>
      <c r="P1064" s="73">
        <f>IF(M1064=$A$1,1,$M1064-INDEX(MappingTables!$E$4:$E$8,MATCH(O1064,MappingTables!$B$4:$B$8,0)))</f>
        <v>1.756591709765835</v>
      </c>
      <c r="Q1064" s="71">
        <f>IF(B1064="",0,INDEX(ModelParameters!$D$6:$K$10,MATCH($O1064,ModelParameters!$B$6:$B$10,0),MATCH($J1064,ModelParameters!$D$5:$K$5,0)))</f>
        <v>0.013999999999999998</v>
      </c>
      <c r="R1064" s="71">
        <f>IF(B1064="",0,INDEX(ModelParameters!$D$13:$K$17,MATCH($O1064,ModelParameters!$B$13:$B$17,0),MATCH($J1064,ModelParameters!$D$5:$K$5,0)))</f>
        <v>0</v>
      </c>
      <c r="S1064" s="160">
        <f>IF(B1064="",0,MIN(IF($N1064="Other Bond TM",ModelParameters!$N$21,1)*(P1064*Q1064+R1064),1))</f>
        <v>0.024592283936721688</v>
      </c>
      <c r="T1064" s="85">
        <f>IF(B1064="",0,$S1064*$K1064)</f>
        <v>2.5537136313052756</v>
      </c>
      <c r="U1064" s="85">
        <f>IF(B1064="",0,IF(OR(H1064=MappingTables!$C$34,H1064=MappingTables!$C$35),T1064,0))</f>
        <v>0</v>
      </c>
      <c r="V1064" s="85">
        <f>IF(ISNA(IF(AND(VLOOKUP(CONCATENATE($D1064,$G1064),CSRFinput!$B:$E,4,0)=0,OR(H1064=MappingTables!$C$34,H1064=MappingTables!$C$35)),1,VLOOKUP(CONCATENATE($D1064,$G1064),CSRFinput!$B:$E,4,0))),0,IF(AND(VLOOKUP(CONCATENATE($D1064,$G1064),CSRFinput!$B:$E,4,0)=0,OR(H1064=MappingTables!$C$34,H1064=MappingTables!$C$35)),1,VLOOKUP(CONCATENATE($D1064,$G1064),CSRFinput!$B:$E,4,0)))</f>
        <v>0.054776304963434752</v>
      </c>
      <c r="W1064" s="85">
        <f>IF(B1064="",0,+$T1064*$V1064)</f>
        <v>0.13988299665765816</v>
      </c>
      <c r="X1064" s="85">
        <f>IF(B1064="",0,IF(OR(H1064=MappingTables!$C$34,H1064=MappingTables!$C$35),W1064,0))</f>
        <v>0</v>
      </c>
    </row>
    <row r="1065" spans="2:24" s="0" customFormat="0" ht="15">
      <c r="B1065" s="69" t="s">
        <v>1344</v>
      </c>
      <c r="C1065" s="70" t="s">
        <v>1345</v>
      </c>
      <c r="D1065" s="70" t="s">
        <v>1</v>
      </c>
      <c r="E1065" s="70" t="s">
        <v>1</v>
      </c>
      <c r="F1065" s="70"/>
      <c r="G1065" s="70" t="s">
        <v>61</v>
      </c>
      <c r="H1065" s="70" t="s">
        <v>178</v>
      </c>
      <c r="I1065" s="70" t="s">
        <v>184</v>
      </c>
      <c r="J1065" s="71">
        <f>IF(OR(I1065=0,I1065=""),"unrated",VLOOKUP(I1065,MappingTables!$B$19:$C$31,2,FALSE))</f>
        <v>5</v>
      </c>
      <c r="K1065" s="72">
        <v>262.11851781990692</v>
      </c>
      <c r="L1065" s="70">
        <v>2.2570898585361668</v>
      </c>
      <c r="M1065" s="71">
        <f>IF(L1065&lt;1,1,L1065)</f>
        <v>2.2570898585361668</v>
      </c>
      <c r="N1065" s="70" t="s">
        <v>141</v>
      </c>
      <c r="O1065" s="71">
        <f>INDEX(DurClassMapping,MATCH(M1065,MappingTables!$D$4:$D$8,-1),1)</f>
        <v>1</v>
      </c>
      <c r="P1065" s="73">
        <f>IF(M1065=$A$1,1,$M1065-INDEX(MappingTables!$E$4:$E$8,MATCH(O1065,MappingTables!$B$4:$B$8,0)))</f>
        <v>2.2570898585361668</v>
      </c>
      <c r="Q1065" s="71">
        <f>IF(B1065="",0,INDEX(ModelParameters!$D$6:$K$10,MATCH($O1065,ModelParameters!$B$6:$B$10,0),MATCH($J1065,ModelParameters!$D$5:$K$5,0)))</f>
        <v>0.075</v>
      </c>
      <c r="R1065" s="71">
        <f>IF(B1065="",0,INDEX(ModelParameters!$D$13:$K$17,MATCH($O1065,ModelParameters!$B$13:$B$17,0),MATCH($J1065,ModelParameters!$D$5:$K$5,0)))</f>
        <v>0</v>
      </c>
      <c r="S1065" s="160">
        <f>IF(B1065="",0,MIN(IF($N1065="Other Bond TM",ModelParameters!$N$21,1)*(P1065*Q1065+R1065),1))</f>
        <v>0.16928173939021248</v>
      </c>
      <c r="T1065" s="85">
        <f>IF(B1065="",0,$S1065*$K1065)</f>
        <v>44.371878622938248</v>
      </c>
      <c r="U1065" s="85">
        <f>IF(B1065="",0,IF(OR(H1065=MappingTables!$C$34,H1065=MappingTables!$C$35),T1065,0))</f>
        <v>0</v>
      </c>
      <c r="V1065" s="85">
        <f>IF(ISNA(IF(AND(VLOOKUP(CONCATENATE($D1065,$G1065),CSRFinput!$B:$E,4,0)=0,OR(H1065=MappingTables!$C$34,H1065=MappingTables!$C$35)),1,VLOOKUP(CONCATENATE($D1065,$G1065),CSRFinput!$B:$E,4,0))),0,IF(AND(VLOOKUP(CONCATENATE($D1065,$G1065),CSRFinput!$B:$E,4,0)=0,OR(H1065=MappingTables!$C$34,H1065=MappingTables!$C$35)),1,VLOOKUP(CONCATENATE($D1065,$G1065),CSRFinput!$B:$E,4,0)))</f>
        <v>0.054776304963434752</v>
      </c>
      <c r="W1065" s="85">
        <f>IF(B1065="",0,+$T1065*$V1065)</f>
        <v>2.4305275552505768</v>
      </c>
      <c r="X1065" s="85">
        <f>IF(B1065="",0,IF(OR(H1065=MappingTables!$C$34,H1065=MappingTables!$C$35),W1065,0))</f>
        <v>0</v>
      </c>
    </row>
    <row r="1066" spans="2:24" s="0" customFormat="0" ht="15">
      <c r="B1066" s="69">
        <v>22033217</v>
      </c>
      <c r="C1066" s="70" t="s">
        <v>1346</v>
      </c>
      <c r="D1066" s="70" t="s">
        <v>1</v>
      </c>
      <c r="E1066" s="70" t="s">
        <v>1</v>
      </c>
      <c r="F1066" s="70"/>
      <c r="G1066" s="70" t="s">
        <v>61</v>
      </c>
      <c r="H1066" s="70" t="s">
        <v>178</v>
      </c>
      <c r="I1066" s="70" t="s">
        <v>184</v>
      </c>
      <c r="J1066" s="71">
        <f>IF(OR(I1066=0,I1066=""),"unrated",VLOOKUP(I1066,MappingTables!$B$19:$C$31,2,FALSE))</f>
        <v>5</v>
      </c>
      <c r="K1066" s="72">
        <v>16935.12104654084</v>
      </c>
      <c r="L1066" s="70">
        <v>1.4775211635618976</v>
      </c>
      <c r="M1066" s="71">
        <f>IF(L1066&lt;1,1,L1066)</f>
        <v>1.4775211635618976</v>
      </c>
      <c r="N1066" s="70" t="s">
        <v>141</v>
      </c>
      <c r="O1066" s="71">
        <f>INDEX(DurClassMapping,MATCH(M1066,MappingTables!$D$4:$D$8,-1),1)</f>
        <v>1</v>
      </c>
      <c r="P1066" s="73">
        <f>IF(M1066=$A$1,1,$M1066-INDEX(MappingTables!$E$4:$E$8,MATCH(O1066,MappingTables!$B$4:$B$8,0)))</f>
        <v>1.4775211635618976</v>
      </c>
      <c r="Q1066" s="71">
        <f>IF(B1066="",0,INDEX(ModelParameters!$D$6:$K$10,MATCH($O1066,ModelParameters!$B$6:$B$10,0),MATCH($J1066,ModelParameters!$D$5:$K$5,0)))</f>
        <v>0.075</v>
      </c>
      <c r="R1066" s="71">
        <f>IF(B1066="",0,INDEX(ModelParameters!$D$13:$K$17,MATCH($O1066,ModelParameters!$B$13:$B$17,0),MATCH($J1066,ModelParameters!$D$5:$K$5,0)))</f>
        <v>0</v>
      </c>
      <c r="S1066" s="160">
        <f>IF(B1066="",0,MIN(IF($N1066="Other Bond TM",ModelParameters!$N$21,1)*(P1066*Q1066+R1066),1))</f>
        <v>0.11081408726714232</v>
      </c>
      <c r="T1066" s="85">
        <f>IF(B1066="",0,$S1066*$K1066)</f>
        <v>1876.6499815309952</v>
      </c>
      <c r="U1066" s="85">
        <f>IF(B1066="",0,IF(OR(H1066=MappingTables!$C$34,H1066=MappingTables!$C$35),T1066,0))</f>
        <v>0</v>
      </c>
      <c r="V1066" s="85">
        <f>IF(ISNA(IF(AND(VLOOKUP(CONCATENATE($D1066,$G1066),CSRFinput!$B:$E,4,0)=0,OR(H1066=MappingTables!$C$34,H1066=MappingTables!$C$35)),1,VLOOKUP(CONCATENATE($D1066,$G1066),CSRFinput!$B:$E,4,0))),0,IF(AND(VLOOKUP(CONCATENATE($D1066,$G1066),CSRFinput!$B:$E,4,0)=0,OR(H1066=MappingTables!$C$34,H1066=MappingTables!$C$35)),1,VLOOKUP(CONCATENATE($D1066,$G1066),CSRFinput!$B:$E,4,0)))</f>
        <v>0.054776304963434752</v>
      </c>
      <c r="W1066" s="85">
        <f>IF(B1066="",0,+$T1066*$V1066)</f>
        <v>102.795951697966</v>
      </c>
      <c r="X1066" s="85">
        <f>IF(B1066="",0,IF(OR(H1066=MappingTables!$C$34,H1066=MappingTables!$C$35),W1066,0))</f>
        <v>0</v>
      </c>
    </row>
    <row r="1067" spans="2:24" s="0" customFormat="0" ht="15">
      <c r="B1067" s="69">
        <v>16140030</v>
      </c>
      <c r="C1067" s="70" t="s">
        <v>1347</v>
      </c>
      <c r="D1067" s="70" t="s">
        <v>1</v>
      </c>
      <c r="E1067" s="70" t="s">
        <v>1</v>
      </c>
      <c r="F1067" s="70"/>
      <c r="G1067" s="70" t="s">
        <v>61</v>
      </c>
      <c r="H1067" s="70" t="s">
        <v>178</v>
      </c>
      <c r="I1067" s="70" t="s">
        <v>181</v>
      </c>
      <c r="J1067" s="71">
        <f>IF(OR(I1067=0,I1067=""),"unrated",VLOOKUP(I1067,MappingTables!$B$19:$C$31,2,FALSE))</f>
        <v>3</v>
      </c>
      <c r="K1067" s="72">
        <v>302.64546834400364</v>
      </c>
      <c r="L1067" s="70">
        <v>2.164067356285988</v>
      </c>
      <c r="M1067" s="71">
        <f>IF(L1067&lt;1,1,L1067)</f>
        <v>2.164067356285988</v>
      </c>
      <c r="N1067" s="70" t="s">
        <v>141</v>
      </c>
      <c r="O1067" s="71">
        <f>INDEX(DurClassMapping,MATCH(M1067,MappingTables!$D$4:$D$8,-1),1)</f>
        <v>1</v>
      </c>
      <c r="P1067" s="73">
        <f>IF(M1067=$A$1,1,$M1067-INDEX(MappingTables!$E$4:$E$8,MATCH(O1067,MappingTables!$B$4:$B$8,0)))</f>
        <v>2.164067356285988</v>
      </c>
      <c r="Q1067" s="71">
        <f>IF(B1067="",0,INDEX(ModelParameters!$D$6:$K$10,MATCH($O1067,ModelParameters!$B$6:$B$10,0),MATCH($J1067,ModelParameters!$D$5:$K$5,0)))</f>
        <v>0.025</v>
      </c>
      <c r="R1067" s="71">
        <f>IF(B1067="",0,INDEX(ModelParameters!$D$13:$K$17,MATCH($O1067,ModelParameters!$B$13:$B$17,0),MATCH($J1067,ModelParameters!$D$5:$K$5,0)))</f>
        <v>0</v>
      </c>
      <c r="S1067" s="160">
        <f>IF(B1067="",0,MIN(IF($N1067="Other Bond TM",ModelParameters!$N$21,1)*(P1067*Q1067+R1067),1))</f>
        <v>0.054101683907149704</v>
      </c>
      <c r="T1067" s="85">
        <f>IF(B1067="",0,$S1067*$K1067)</f>
        <v>16.373629464278566</v>
      </c>
      <c r="U1067" s="85">
        <f>IF(B1067="",0,IF(OR(H1067=MappingTables!$C$34,H1067=MappingTables!$C$35),T1067,0))</f>
        <v>0</v>
      </c>
      <c r="V1067" s="85">
        <f>IF(ISNA(IF(AND(VLOOKUP(CONCATENATE($D1067,$G1067),CSRFinput!$B:$E,4,0)=0,OR(H1067=MappingTables!$C$34,H1067=MappingTables!$C$35)),1,VLOOKUP(CONCATENATE($D1067,$G1067),CSRFinput!$B:$E,4,0))),0,IF(AND(VLOOKUP(CONCATENATE($D1067,$G1067),CSRFinput!$B:$E,4,0)=0,OR(H1067=MappingTables!$C$34,H1067=MappingTables!$C$35)),1,VLOOKUP(CONCATENATE($D1067,$G1067),CSRFinput!$B:$E,4,0)))</f>
        <v>0.054776304963434752</v>
      </c>
      <c r="W1067" s="85">
        <f>IF(B1067="",0,+$T1067*$V1067)</f>
        <v>0.89688692089360352</v>
      </c>
      <c r="X1067" s="85">
        <f>IF(B1067="",0,IF(OR(H1067=MappingTables!$C$34,H1067=MappingTables!$C$35),W1067,0))</f>
        <v>0</v>
      </c>
    </row>
    <row r="1068" spans="2:24" s="0" customFormat="0" ht="15">
      <c r="B1068" s="69">
        <v>21380827</v>
      </c>
      <c r="C1068" s="70" t="s">
        <v>420</v>
      </c>
      <c r="D1068" s="70" t="s">
        <v>1</v>
      </c>
      <c r="E1068" s="70" t="s">
        <v>1</v>
      </c>
      <c r="F1068" s="70"/>
      <c r="G1068" s="70" t="s">
        <v>61</v>
      </c>
      <c r="H1068" s="70" t="s">
        <v>178</v>
      </c>
      <c r="I1068" s="70" t="s">
        <v>179</v>
      </c>
      <c r="J1068" s="71">
        <f>IF(OR(I1068=0,I1068=""),"unrated",VLOOKUP(I1068,MappingTables!$B$19:$C$31,2,FALSE))</f>
        <v>4</v>
      </c>
      <c r="K1068" s="72">
        <v>3184.5105199146724</v>
      </c>
      <c r="L1068" s="70">
        <v>0.82288605596781104</v>
      </c>
      <c r="M1068" s="71">
        <f>IF(L1068&lt;1,1,L1068)</f>
        <v>1</v>
      </c>
      <c r="N1068" s="70" t="s">
        <v>141</v>
      </c>
      <c r="O1068" s="71">
        <f>INDEX(DurClassMapping,MATCH(M1068,MappingTables!$D$4:$D$8,-1),1)</f>
        <v>1</v>
      </c>
      <c r="P1068" s="73">
        <f>IF(M1068=$A$1,1,$M1068-INDEX(MappingTables!$E$4:$E$8,MATCH(O1068,MappingTables!$B$4:$B$8,0)))</f>
        <v>1</v>
      </c>
      <c r="Q1068" s="71">
        <f>IF(B1068="",0,INDEX(ModelParameters!$D$6:$K$10,MATCH($O1068,ModelParameters!$B$6:$B$10,0),MATCH($J1068,ModelParameters!$D$5:$K$5,0)))</f>
        <v>0.045</v>
      </c>
      <c r="R1068" s="71">
        <f>IF(B1068="",0,INDEX(ModelParameters!$D$13:$K$17,MATCH($O1068,ModelParameters!$B$13:$B$17,0),MATCH($J1068,ModelParameters!$D$5:$K$5,0)))</f>
        <v>0</v>
      </c>
      <c r="S1068" s="160">
        <f>IF(B1068="",0,MIN(IF($N1068="Other Bond TM",ModelParameters!$N$21,1)*(P1068*Q1068+R1068),1))</f>
        <v>0.045</v>
      </c>
      <c r="T1068" s="85">
        <f>IF(B1068="",0,$S1068*$K1068)</f>
        <v>143.30297339616024</v>
      </c>
      <c r="U1068" s="85">
        <f>IF(B1068="",0,IF(OR(H1068=MappingTables!$C$34,H1068=MappingTables!$C$35),T1068,0))</f>
        <v>0</v>
      </c>
      <c r="V1068" s="85">
        <f>IF(ISNA(IF(AND(VLOOKUP(CONCATENATE($D1068,$G1068),CSRFinput!$B:$E,4,0)=0,OR(H1068=MappingTables!$C$34,H1068=MappingTables!$C$35)),1,VLOOKUP(CONCATENATE($D1068,$G1068),CSRFinput!$B:$E,4,0))),0,IF(AND(VLOOKUP(CONCATENATE($D1068,$G1068),CSRFinput!$B:$E,4,0)=0,OR(H1068=MappingTables!$C$34,H1068=MappingTables!$C$35)),1,VLOOKUP(CONCATENATE($D1068,$G1068),CSRFinput!$B:$E,4,0)))</f>
        <v>0.054776304963434752</v>
      </c>
      <c r="W1068" s="85">
        <f>IF(B1068="",0,+$T1068*$V1068)</f>
        <v>7.8496073729150512</v>
      </c>
      <c r="X1068" s="85">
        <f>IF(B1068="",0,IF(OR(H1068=MappingTables!$C$34,H1068=MappingTables!$C$35),W1068,0))</f>
        <v>0</v>
      </c>
    </row>
    <row r="1069" spans="2:24" s="0" customFormat="0" ht="15">
      <c r="B1069" s="69">
        <v>13428954</v>
      </c>
      <c r="C1069" s="70" t="s">
        <v>1348</v>
      </c>
      <c r="D1069" s="70" t="s">
        <v>1</v>
      </c>
      <c r="E1069" s="70" t="s">
        <v>1</v>
      </c>
      <c r="F1069" s="70"/>
      <c r="G1069" s="70" t="s">
        <v>61</v>
      </c>
      <c r="H1069" s="70" t="s">
        <v>178</v>
      </c>
      <c r="I1069" s="70" t="s">
        <v>181</v>
      </c>
      <c r="J1069" s="71">
        <f>IF(OR(I1069=0,I1069=""),"unrated",VLOOKUP(I1069,MappingTables!$B$19:$C$31,2,FALSE))</f>
        <v>3</v>
      </c>
      <c r="K1069" s="72">
        <v>251.99979960707108</v>
      </c>
      <c r="L1069" s="70">
        <v>2.9581945970601024</v>
      </c>
      <c r="M1069" s="71">
        <f>IF(L1069&lt;1,1,L1069)</f>
        <v>2.9581945970601024</v>
      </c>
      <c r="N1069" s="70" t="s">
        <v>141</v>
      </c>
      <c r="O1069" s="71">
        <f>INDEX(DurClassMapping,MATCH(M1069,MappingTables!$D$4:$D$8,-1),1)</f>
        <v>1</v>
      </c>
      <c r="P1069" s="73">
        <f>IF(M1069=$A$1,1,$M1069-INDEX(MappingTables!$E$4:$E$8,MATCH(O1069,MappingTables!$B$4:$B$8,0)))</f>
        <v>2.9581945970601024</v>
      </c>
      <c r="Q1069" s="71">
        <f>IF(B1069="",0,INDEX(ModelParameters!$D$6:$K$10,MATCH($O1069,ModelParameters!$B$6:$B$10,0),MATCH($J1069,ModelParameters!$D$5:$K$5,0)))</f>
        <v>0.025</v>
      </c>
      <c r="R1069" s="71">
        <f>IF(B1069="",0,INDEX(ModelParameters!$D$13:$K$17,MATCH($O1069,ModelParameters!$B$13:$B$17,0),MATCH($J1069,ModelParameters!$D$5:$K$5,0)))</f>
        <v>0</v>
      </c>
      <c r="S1069" s="160">
        <f>IF(B1069="",0,MIN(IF($N1069="Other Bond TM",ModelParameters!$N$21,1)*(P1069*Q1069+R1069),1))</f>
        <v>0.07395486492650256</v>
      </c>
      <c r="T1069" s="85">
        <f>IF(B1069="",0,$S1069*$K1069)</f>
        <v>18.636611141446656</v>
      </c>
      <c r="U1069" s="85">
        <f>IF(B1069="",0,IF(OR(H1069=MappingTables!$C$34,H1069=MappingTables!$C$35),T1069,0))</f>
        <v>0</v>
      </c>
      <c r="V1069" s="85">
        <f>IF(ISNA(IF(AND(VLOOKUP(CONCATENATE($D1069,$G1069),CSRFinput!$B:$E,4,0)=0,OR(H1069=MappingTables!$C$34,H1069=MappingTables!$C$35)),1,VLOOKUP(CONCATENATE($D1069,$G1069),CSRFinput!$B:$E,4,0))),0,IF(AND(VLOOKUP(CONCATENATE($D1069,$G1069),CSRFinput!$B:$E,4,0)=0,OR(H1069=MappingTables!$C$34,H1069=MappingTables!$C$35)),1,VLOOKUP(CONCATENATE($D1069,$G1069),CSRFinput!$B:$E,4,0)))</f>
        <v>0.054776304963434752</v>
      </c>
      <c r="W1069" s="85">
        <f>IF(B1069="",0,+$T1069*$V1069)</f>
        <v>1.020844695368828</v>
      </c>
      <c r="X1069" s="85">
        <f>IF(B1069="",0,IF(OR(H1069=MappingTables!$C$34,H1069=MappingTables!$C$35),W1069,0))</f>
        <v>0</v>
      </c>
    </row>
    <row r="1070" spans="2:24" s="0" customFormat="0" ht="15">
      <c r="B1070" s="69">
        <v>22526410</v>
      </c>
      <c r="C1070" s="70" t="s">
        <v>1349</v>
      </c>
      <c r="D1070" s="70" t="s">
        <v>1</v>
      </c>
      <c r="E1070" s="70" t="s">
        <v>1</v>
      </c>
      <c r="F1070" s="70"/>
      <c r="G1070" s="70" t="s">
        <v>61</v>
      </c>
      <c r="H1070" s="70" t="s">
        <v>178</v>
      </c>
      <c r="I1070" s="70" t="s">
        <v>184</v>
      </c>
      <c r="J1070" s="71">
        <f>IF(OR(I1070=0,I1070=""),"unrated",VLOOKUP(I1070,MappingTables!$B$19:$C$31,2,FALSE))</f>
        <v>5</v>
      </c>
      <c r="K1070" s="72">
        <v>295.28702280462312</v>
      </c>
      <c r="L1070" s="70">
        <v>1.5972466170414778</v>
      </c>
      <c r="M1070" s="71">
        <f>IF(L1070&lt;1,1,L1070)</f>
        <v>1.5972466170414778</v>
      </c>
      <c r="N1070" s="70" t="s">
        <v>141</v>
      </c>
      <c r="O1070" s="71">
        <f>INDEX(DurClassMapping,MATCH(M1070,MappingTables!$D$4:$D$8,-1),1)</f>
        <v>1</v>
      </c>
      <c r="P1070" s="73">
        <f>IF(M1070=$A$1,1,$M1070-INDEX(MappingTables!$E$4:$E$8,MATCH(O1070,MappingTables!$B$4:$B$8,0)))</f>
        <v>1.5972466170414778</v>
      </c>
      <c r="Q1070" s="71">
        <f>IF(B1070="",0,INDEX(ModelParameters!$D$6:$K$10,MATCH($O1070,ModelParameters!$B$6:$B$10,0),MATCH($J1070,ModelParameters!$D$5:$K$5,0)))</f>
        <v>0.075</v>
      </c>
      <c r="R1070" s="71">
        <f>IF(B1070="",0,INDEX(ModelParameters!$D$13:$K$17,MATCH($O1070,ModelParameters!$B$13:$B$17,0),MATCH($J1070,ModelParameters!$D$5:$K$5,0)))</f>
        <v>0</v>
      </c>
      <c r="S1070" s="160">
        <f>IF(B1070="",0,MIN(IF($N1070="Other Bond TM",ModelParameters!$N$21,1)*(P1070*Q1070+R1070),1))</f>
        <v>0.11979349627811084</v>
      </c>
      <c r="T1070" s="85">
        <f>IF(B1070="",0,$S1070*$K1070)</f>
        <v>35.373464867320052</v>
      </c>
      <c r="U1070" s="85">
        <f>IF(B1070="",0,IF(OR(H1070=MappingTables!$C$34,H1070=MappingTables!$C$35),T1070,0))</f>
        <v>0</v>
      </c>
      <c r="V1070" s="85">
        <f>IF(ISNA(IF(AND(VLOOKUP(CONCATENATE($D1070,$G1070),CSRFinput!$B:$E,4,0)=0,OR(H1070=MappingTables!$C$34,H1070=MappingTables!$C$35)),1,VLOOKUP(CONCATENATE($D1070,$G1070),CSRFinput!$B:$E,4,0))),0,IF(AND(VLOOKUP(CONCATENATE($D1070,$G1070),CSRFinput!$B:$E,4,0)=0,OR(H1070=MappingTables!$C$34,H1070=MappingTables!$C$35)),1,VLOOKUP(CONCATENATE($D1070,$G1070),CSRFinput!$B:$E,4,0)))</f>
        <v>0.054776304963434752</v>
      </c>
      <c r="W1070" s="85">
        <f>IF(B1070="",0,+$T1070*$V1070)</f>
        <v>1.9376276991856684</v>
      </c>
      <c r="X1070" s="85">
        <f>IF(B1070="",0,IF(OR(H1070=MappingTables!$C$34,H1070=MappingTables!$C$35),W1070,0))</f>
        <v>0</v>
      </c>
    </row>
    <row r="1071" spans="2:24" s="0" customFormat="0" ht="15">
      <c r="B1071" s="69">
        <v>7169615</v>
      </c>
      <c r="C1071" s="70" t="s">
        <v>1350</v>
      </c>
      <c r="D1071" s="70" t="s">
        <v>1</v>
      </c>
      <c r="E1071" s="70" t="s">
        <v>1</v>
      </c>
      <c r="F1071" s="70"/>
      <c r="G1071" s="70" t="s">
        <v>61</v>
      </c>
      <c r="H1071" s="70" t="s">
        <v>178</v>
      </c>
      <c r="I1071" s="70" t="s">
        <v>179</v>
      </c>
      <c r="J1071" s="71">
        <f>IF(OR(I1071=0,I1071=""),"unrated",VLOOKUP(I1071,MappingTables!$B$19:$C$31,2,FALSE))</f>
        <v>4</v>
      </c>
      <c r="K1071" s="72">
        <v>11530.701860535676</v>
      </c>
      <c r="L1071" s="70">
        <v>1.3804289137447864</v>
      </c>
      <c r="M1071" s="71">
        <f>IF(L1071&lt;1,1,L1071)</f>
        <v>1.3804289137447864</v>
      </c>
      <c r="N1071" s="70" t="s">
        <v>141</v>
      </c>
      <c r="O1071" s="71">
        <f>INDEX(DurClassMapping,MATCH(M1071,MappingTables!$D$4:$D$8,-1),1)</f>
        <v>1</v>
      </c>
      <c r="P1071" s="73">
        <f>IF(M1071=$A$1,1,$M1071-INDEX(MappingTables!$E$4:$E$8,MATCH(O1071,MappingTables!$B$4:$B$8,0)))</f>
        <v>1.3804289137447864</v>
      </c>
      <c r="Q1071" s="71">
        <f>IF(B1071="",0,INDEX(ModelParameters!$D$6:$K$10,MATCH($O1071,ModelParameters!$B$6:$B$10,0),MATCH($J1071,ModelParameters!$D$5:$K$5,0)))</f>
        <v>0.045</v>
      </c>
      <c r="R1071" s="71">
        <f>IF(B1071="",0,INDEX(ModelParameters!$D$13:$K$17,MATCH($O1071,ModelParameters!$B$13:$B$17,0),MATCH($J1071,ModelParameters!$D$5:$K$5,0)))</f>
        <v>0</v>
      </c>
      <c r="S1071" s="160">
        <f>IF(B1071="",0,MIN(IF($N1071="Other Bond TM",ModelParameters!$N$21,1)*(P1071*Q1071+R1071),1))</f>
        <v>0.062119301118515384</v>
      </c>
      <c r="T1071" s="85">
        <f>IF(B1071="",0,$S1071*$K1071)</f>
        <v>716.27914098244128</v>
      </c>
      <c r="U1071" s="85">
        <f>IF(B1071="",0,IF(OR(H1071=MappingTables!$C$34,H1071=MappingTables!$C$35),T1071,0))</f>
        <v>0</v>
      </c>
      <c r="V1071" s="85">
        <f>IF(ISNA(IF(AND(VLOOKUP(CONCATENATE($D1071,$G1071),CSRFinput!$B:$E,4,0)=0,OR(H1071=MappingTables!$C$34,H1071=MappingTables!$C$35)),1,VLOOKUP(CONCATENATE($D1071,$G1071),CSRFinput!$B:$E,4,0))),0,IF(AND(VLOOKUP(CONCATENATE($D1071,$G1071),CSRFinput!$B:$E,4,0)=0,OR(H1071=MappingTables!$C$34,H1071=MappingTables!$C$35)),1,VLOOKUP(CONCATENATE($D1071,$G1071),CSRFinput!$B:$E,4,0)))</f>
        <v>0.054776304963434752</v>
      </c>
      <c r="W1071" s="85">
        <f>IF(B1071="",0,+$T1071*$V1071)</f>
        <v>39.23512466540128</v>
      </c>
      <c r="X1071" s="85">
        <f>IF(B1071="",0,IF(OR(H1071=MappingTables!$C$34,H1071=MappingTables!$C$35),W1071,0))</f>
        <v>0</v>
      </c>
    </row>
    <row r="1072" spans="2:24" s="0" customFormat="0" ht="15">
      <c r="B1072" s="69">
        <v>19503866</v>
      </c>
      <c r="C1072" s="70" t="s">
        <v>575</v>
      </c>
      <c r="D1072" s="70" t="s">
        <v>1</v>
      </c>
      <c r="E1072" s="70" t="s">
        <v>1</v>
      </c>
      <c r="F1072" s="70"/>
      <c r="G1072" s="70" t="s">
        <v>61</v>
      </c>
      <c r="H1072" s="70" t="s">
        <v>178</v>
      </c>
      <c r="I1072" s="70" t="s">
        <v>181</v>
      </c>
      <c r="J1072" s="71">
        <f>IF(OR(I1072=0,I1072=""),"unrated",VLOOKUP(I1072,MappingTables!$B$19:$C$31,2,FALSE))</f>
        <v>3</v>
      </c>
      <c r="K1072" s="72">
        <v>13941.61090029946</v>
      </c>
      <c r="L1072" s="70">
        <v>3.1519405053477976</v>
      </c>
      <c r="M1072" s="71">
        <f>IF(L1072&lt;1,1,L1072)</f>
        <v>3.1519405053477976</v>
      </c>
      <c r="N1072" s="70" t="s">
        <v>141</v>
      </c>
      <c r="O1072" s="71">
        <f>INDEX(DurClassMapping,MATCH(M1072,MappingTables!$D$4:$D$8,-1),1)</f>
        <v>1</v>
      </c>
      <c r="P1072" s="73">
        <f>IF(M1072=$A$1,1,$M1072-INDEX(MappingTables!$E$4:$E$8,MATCH(O1072,MappingTables!$B$4:$B$8,0)))</f>
        <v>3.1519405053477976</v>
      </c>
      <c r="Q1072" s="71">
        <f>IF(B1072="",0,INDEX(ModelParameters!$D$6:$K$10,MATCH($O1072,ModelParameters!$B$6:$B$10,0),MATCH($J1072,ModelParameters!$D$5:$K$5,0)))</f>
        <v>0.025</v>
      </c>
      <c r="R1072" s="71">
        <f>IF(B1072="",0,INDEX(ModelParameters!$D$13:$K$17,MATCH($O1072,ModelParameters!$B$13:$B$17,0),MATCH($J1072,ModelParameters!$D$5:$K$5,0)))</f>
        <v>0</v>
      </c>
      <c r="S1072" s="160">
        <f>IF(B1072="",0,MIN(IF($N1072="Other Bond TM",ModelParameters!$N$21,1)*(P1072*Q1072+R1072),1))</f>
        <v>0.078798512633694944</v>
      </c>
      <c r="T1072" s="85">
        <f>IF(B1072="",0,$S1072*$K1072)</f>
        <v>1098.5782026613062</v>
      </c>
      <c r="U1072" s="85">
        <f>IF(B1072="",0,IF(OR(H1072=MappingTables!$C$34,H1072=MappingTables!$C$35),T1072,0))</f>
        <v>0</v>
      </c>
      <c r="V1072" s="85">
        <f>IF(ISNA(IF(AND(VLOOKUP(CONCATENATE($D1072,$G1072),CSRFinput!$B:$E,4,0)=0,OR(H1072=MappingTables!$C$34,H1072=MappingTables!$C$35)),1,VLOOKUP(CONCATENATE($D1072,$G1072),CSRFinput!$B:$E,4,0))),0,IF(AND(VLOOKUP(CONCATENATE($D1072,$G1072),CSRFinput!$B:$E,4,0)=0,OR(H1072=MappingTables!$C$34,H1072=MappingTables!$C$35)),1,VLOOKUP(CONCATENATE($D1072,$G1072),CSRFinput!$B:$E,4,0)))</f>
        <v>0.054776304963434752</v>
      </c>
      <c r="W1072" s="85">
        <f>IF(B1072="",0,+$T1072*$V1072)</f>
        <v>60.176054655157744</v>
      </c>
      <c r="X1072" s="85">
        <f>IF(B1072="",0,IF(OR(H1072=MappingTables!$C$34,H1072=MappingTables!$C$35),W1072,0))</f>
        <v>0</v>
      </c>
    </row>
    <row r="1073" spans="2:24" s="0" customFormat="0" ht="15">
      <c r="B1073" s="69">
        <v>12833954</v>
      </c>
      <c r="C1073" s="70" t="s">
        <v>1351</v>
      </c>
      <c r="D1073" s="70" t="s">
        <v>1</v>
      </c>
      <c r="E1073" s="70" t="s">
        <v>1</v>
      </c>
      <c r="F1073" s="70"/>
      <c r="G1073" s="70" t="s">
        <v>61</v>
      </c>
      <c r="H1073" s="70" t="s">
        <v>178</v>
      </c>
      <c r="I1073" s="70" t="s">
        <v>188</v>
      </c>
      <c r="J1073" s="71">
        <f>IF(OR(I1073=0,I1073=""),"unrated",VLOOKUP(I1073,MappingTables!$B$19:$C$31,2,FALSE))</f>
        <v>2</v>
      </c>
      <c r="K1073" s="72">
        <v>248.27205119898784</v>
      </c>
      <c r="L1073" s="70">
        <v>0.8096269209970544</v>
      </c>
      <c r="M1073" s="71">
        <f>IF(L1073&lt;1,1,L1073)</f>
        <v>1</v>
      </c>
      <c r="N1073" s="70" t="s">
        <v>141</v>
      </c>
      <c r="O1073" s="71">
        <f>INDEX(DurClassMapping,MATCH(M1073,MappingTables!$D$4:$D$8,-1),1)</f>
        <v>1</v>
      </c>
      <c r="P1073" s="73">
        <f>IF(M1073=$A$1,1,$M1073-INDEX(MappingTables!$E$4:$E$8,MATCH(O1073,MappingTables!$B$4:$B$8,0)))</f>
        <v>1</v>
      </c>
      <c r="Q1073" s="71">
        <f>IF(B1073="",0,INDEX(ModelParameters!$D$6:$K$10,MATCH($O1073,ModelParameters!$B$6:$B$10,0),MATCH($J1073,ModelParameters!$D$5:$K$5,0)))</f>
        <v>0.013999999999999998</v>
      </c>
      <c r="R1073" s="71">
        <f>IF(B1073="",0,INDEX(ModelParameters!$D$13:$K$17,MATCH($O1073,ModelParameters!$B$13:$B$17,0),MATCH($J1073,ModelParameters!$D$5:$K$5,0)))</f>
        <v>0</v>
      </c>
      <c r="S1073" s="160">
        <f>IF(B1073="",0,MIN(IF($N1073="Other Bond TM",ModelParameters!$N$21,1)*(P1073*Q1073+R1073),1))</f>
        <v>0.013999999999999998</v>
      </c>
      <c r="T1073" s="85">
        <f>IF(B1073="",0,$S1073*$K1073)</f>
        <v>3.4758087167858296</v>
      </c>
      <c r="U1073" s="85">
        <f>IF(B1073="",0,IF(OR(H1073=MappingTables!$C$34,H1073=MappingTables!$C$35),T1073,0))</f>
        <v>0</v>
      </c>
      <c r="V1073" s="85">
        <f>IF(ISNA(IF(AND(VLOOKUP(CONCATENATE($D1073,$G1073),CSRFinput!$B:$E,4,0)=0,OR(H1073=MappingTables!$C$34,H1073=MappingTables!$C$35)),1,VLOOKUP(CONCATENATE($D1073,$G1073),CSRFinput!$B:$E,4,0))),0,IF(AND(VLOOKUP(CONCATENATE($D1073,$G1073),CSRFinput!$B:$E,4,0)=0,OR(H1073=MappingTables!$C$34,H1073=MappingTables!$C$35)),1,VLOOKUP(CONCATENATE($D1073,$G1073),CSRFinput!$B:$E,4,0)))</f>
        <v>0.054776304963434752</v>
      </c>
      <c r="W1073" s="85">
        <f>IF(B1073="",0,+$T1073*$V1073)</f>
        <v>0.19039195826522544</v>
      </c>
      <c r="X1073" s="85">
        <f>IF(B1073="",0,IF(OR(H1073=MappingTables!$C$34,H1073=MappingTables!$C$35),W1073,0))</f>
        <v>0</v>
      </c>
    </row>
    <row r="1074" spans="2:24" s="0" customFormat="0" ht="15">
      <c r="B1074" s="69">
        <v>12406019</v>
      </c>
      <c r="C1074" s="70" t="s">
        <v>1352</v>
      </c>
      <c r="D1074" s="70" t="s">
        <v>1</v>
      </c>
      <c r="E1074" s="70" t="s">
        <v>1</v>
      </c>
      <c r="F1074" s="70"/>
      <c r="G1074" s="70" t="s">
        <v>61</v>
      </c>
      <c r="H1074" s="70" t="s">
        <v>178</v>
      </c>
      <c r="I1074" s="70" t="s">
        <v>181</v>
      </c>
      <c r="J1074" s="71">
        <f>IF(OR(I1074=0,I1074=""),"unrated",VLOOKUP(I1074,MappingTables!$B$19:$C$31,2,FALSE))</f>
        <v>3</v>
      </c>
      <c r="K1074" s="72">
        <v>12651.858206466154</v>
      </c>
      <c r="L1074" s="70">
        <v>0.61901156745686488</v>
      </c>
      <c r="M1074" s="71">
        <f>IF(L1074&lt;1,1,L1074)</f>
        <v>1</v>
      </c>
      <c r="N1074" s="70" t="s">
        <v>141</v>
      </c>
      <c r="O1074" s="71">
        <f>INDEX(DurClassMapping,MATCH(M1074,MappingTables!$D$4:$D$8,-1),1)</f>
        <v>1</v>
      </c>
      <c r="P1074" s="73">
        <f>IF(M1074=$A$1,1,$M1074-INDEX(MappingTables!$E$4:$E$8,MATCH(O1074,MappingTables!$B$4:$B$8,0)))</f>
        <v>1</v>
      </c>
      <c r="Q1074" s="71">
        <f>IF(B1074="",0,INDEX(ModelParameters!$D$6:$K$10,MATCH($O1074,ModelParameters!$B$6:$B$10,0),MATCH($J1074,ModelParameters!$D$5:$K$5,0)))</f>
        <v>0.025</v>
      </c>
      <c r="R1074" s="71">
        <f>IF(B1074="",0,INDEX(ModelParameters!$D$13:$K$17,MATCH($O1074,ModelParameters!$B$13:$B$17,0),MATCH($J1074,ModelParameters!$D$5:$K$5,0)))</f>
        <v>0</v>
      </c>
      <c r="S1074" s="160">
        <f>IF(B1074="",0,MIN(IF($N1074="Other Bond TM",ModelParameters!$N$21,1)*(P1074*Q1074+R1074),1))</f>
        <v>0.025</v>
      </c>
      <c r="T1074" s="85">
        <f>IF(B1074="",0,$S1074*$K1074)</f>
        <v>316.29645516165384</v>
      </c>
      <c r="U1074" s="85">
        <f>IF(B1074="",0,IF(OR(H1074=MappingTables!$C$34,H1074=MappingTables!$C$35),T1074,0))</f>
        <v>0</v>
      </c>
      <c r="V1074" s="85">
        <f>IF(ISNA(IF(AND(VLOOKUP(CONCATENATE($D1074,$G1074),CSRFinput!$B:$E,4,0)=0,OR(H1074=MappingTables!$C$34,H1074=MappingTables!$C$35)),1,VLOOKUP(CONCATENATE($D1074,$G1074),CSRFinput!$B:$E,4,0))),0,IF(AND(VLOOKUP(CONCATENATE($D1074,$G1074),CSRFinput!$B:$E,4,0)=0,OR(H1074=MappingTables!$C$34,H1074=MappingTables!$C$35)),1,VLOOKUP(CONCATENATE($D1074,$G1074),CSRFinput!$B:$E,4,0)))</f>
        <v>0.054776304963434752</v>
      </c>
      <c r="W1074" s="85">
        <f>IF(B1074="",0,+$T1074*$V1074)</f>
        <v>17.325551086788118</v>
      </c>
      <c r="X1074" s="85">
        <f>IF(B1074="",0,IF(OR(H1074=MappingTables!$C$34,H1074=MappingTables!$C$35),W1074,0))</f>
        <v>0</v>
      </c>
    </row>
    <row r="1075" spans="2:24" s="0" customFormat="0" ht="15">
      <c r="B1075" s="69">
        <v>14185572</v>
      </c>
      <c r="C1075" s="70" t="s">
        <v>1353</v>
      </c>
      <c r="D1075" s="70" t="s">
        <v>1</v>
      </c>
      <c r="E1075" s="70" t="s">
        <v>1</v>
      </c>
      <c r="F1075" s="70"/>
      <c r="G1075" s="70" t="s">
        <v>61</v>
      </c>
      <c r="H1075" s="70" t="s">
        <v>178</v>
      </c>
      <c r="I1075" s="70" t="s">
        <v>181</v>
      </c>
      <c r="J1075" s="71">
        <f>IF(OR(I1075=0,I1075=""),"unrated",VLOOKUP(I1075,MappingTables!$B$19:$C$31,2,FALSE))</f>
        <v>3</v>
      </c>
      <c r="K1075" s="72">
        <v>983.58218917145216</v>
      </c>
      <c r="L1075" s="70">
        <v>1.2689550983810496</v>
      </c>
      <c r="M1075" s="71">
        <f>IF(L1075&lt;1,1,L1075)</f>
        <v>1.2689550983810496</v>
      </c>
      <c r="N1075" s="70" t="s">
        <v>141</v>
      </c>
      <c r="O1075" s="71">
        <f>INDEX(DurClassMapping,MATCH(M1075,MappingTables!$D$4:$D$8,-1),1)</f>
        <v>1</v>
      </c>
      <c r="P1075" s="73">
        <f>IF(M1075=$A$1,1,$M1075-INDEX(MappingTables!$E$4:$E$8,MATCH(O1075,MappingTables!$B$4:$B$8,0)))</f>
        <v>1.2689550983810496</v>
      </c>
      <c r="Q1075" s="71">
        <f>IF(B1075="",0,INDEX(ModelParameters!$D$6:$K$10,MATCH($O1075,ModelParameters!$B$6:$B$10,0),MATCH($J1075,ModelParameters!$D$5:$K$5,0)))</f>
        <v>0.025</v>
      </c>
      <c r="R1075" s="71">
        <f>IF(B1075="",0,INDEX(ModelParameters!$D$13:$K$17,MATCH($O1075,ModelParameters!$B$13:$B$17,0),MATCH($J1075,ModelParameters!$D$5:$K$5,0)))</f>
        <v>0</v>
      </c>
      <c r="S1075" s="160">
        <f>IF(B1075="",0,MIN(IF($N1075="Other Bond TM",ModelParameters!$N$21,1)*(P1075*Q1075+R1075),1))</f>
        <v>0.03172387745952624</v>
      </c>
      <c r="T1075" s="85">
        <f>IF(B1075="",0,$S1075*$K1075)</f>
        <v>31.203040840647704</v>
      </c>
      <c r="U1075" s="85">
        <f>IF(B1075="",0,IF(OR(H1075=MappingTables!$C$34,H1075=MappingTables!$C$35),T1075,0))</f>
        <v>0</v>
      </c>
      <c r="V1075" s="85">
        <f>IF(ISNA(IF(AND(VLOOKUP(CONCATENATE($D1075,$G1075),CSRFinput!$B:$E,4,0)=0,OR(H1075=MappingTables!$C$34,H1075=MappingTables!$C$35)),1,VLOOKUP(CONCATENATE($D1075,$G1075),CSRFinput!$B:$E,4,0))),0,IF(AND(VLOOKUP(CONCATENATE($D1075,$G1075),CSRFinput!$B:$E,4,0)=0,OR(H1075=MappingTables!$C$34,H1075=MappingTables!$C$35)),1,VLOOKUP(CONCATENATE($D1075,$G1075),CSRFinput!$B:$E,4,0)))</f>
        <v>0.054776304963434752</v>
      </c>
      <c r="W1075" s="85">
        <f>IF(B1075="",0,+$T1075*$V1075)</f>
        <v>1.7091872808738282</v>
      </c>
      <c r="X1075" s="85">
        <f>IF(B1075="",0,IF(OR(H1075=MappingTables!$C$34,H1075=MappingTables!$C$35),W1075,0))</f>
        <v>0</v>
      </c>
    </row>
    <row r="1076" spans="2:24" s="0" customFormat="0" ht="15">
      <c r="B1076" s="69">
        <v>17172496</v>
      </c>
      <c r="C1076" s="70" t="s">
        <v>1354</v>
      </c>
      <c r="D1076" s="70" t="s">
        <v>1</v>
      </c>
      <c r="E1076" s="70" t="s">
        <v>1</v>
      </c>
      <c r="F1076" s="70"/>
      <c r="G1076" s="70" t="s">
        <v>61</v>
      </c>
      <c r="H1076" s="70" t="s">
        <v>178</v>
      </c>
      <c r="I1076" s="70" t="s">
        <v>188</v>
      </c>
      <c r="J1076" s="71">
        <f>IF(OR(I1076=0,I1076=""),"unrated",VLOOKUP(I1076,MappingTables!$B$19:$C$31,2,FALSE))</f>
        <v>2</v>
      </c>
      <c r="K1076" s="72">
        <v>670.28064042839992</v>
      </c>
      <c r="L1076" s="70">
        <v>0.090412702876556</v>
      </c>
      <c r="M1076" s="71">
        <f>IF(L1076&lt;1,1,L1076)</f>
        <v>1</v>
      </c>
      <c r="N1076" s="70" t="s">
        <v>141</v>
      </c>
      <c r="O1076" s="71">
        <f>INDEX(DurClassMapping,MATCH(M1076,MappingTables!$D$4:$D$8,-1),1)</f>
        <v>1</v>
      </c>
      <c r="P1076" s="73">
        <f>IF(M1076=$A$1,1,$M1076-INDEX(MappingTables!$E$4:$E$8,MATCH(O1076,MappingTables!$B$4:$B$8,0)))</f>
        <v>1</v>
      </c>
      <c r="Q1076" s="71">
        <f>IF(B1076="",0,INDEX(ModelParameters!$D$6:$K$10,MATCH($O1076,ModelParameters!$B$6:$B$10,0),MATCH($J1076,ModelParameters!$D$5:$K$5,0)))</f>
        <v>0.013999999999999998</v>
      </c>
      <c r="R1076" s="71">
        <f>IF(B1076="",0,INDEX(ModelParameters!$D$13:$K$17,MATCH($O1076,ModelParameters!$B$13:$B$17,0),MATCH($J1076,ModelParameters!$D$5:$K$5,0)))</f>
        <v>0</v>
      </c>
      <c r="S1076" s="160">
        <f>IF(B1076="",0,MIN(IF($N1076="Other Bond TM",ModelParameters!$N$21,1)*(P1076*Q1076+R1076),1))</f>
        <v>0.013999999999999998</v>
      </c>
      <c r="T1076" s="85">
        <f>IF(B1076="",0,$S1076*$K1076)</f>
        <v>9.3839289659975968</v>
      </c>
      <c r="U1076" s="85">
        <f>IF(B1076="",0,IF(OR(H1076=MappingTables!$C$34,H1076=MappingTables!$C$35),T1076,0))</f>
        <v>0</v>
      </c>
      <c r="V1076" s="85">
        <f>IF(ISNA(IF(AND(VLOOKUP(CONCATENATE($D1076,$G1076),CSRFinput!$B:$E,4,0)=0,OR(H1076=MappingTables!$C$34,H1076=MappingTables!$C$35)),1,VLOOKUP(CONCATENATE($D1076,$G1076),CSRFinput!$B:$E,4,0))),0,IF(AND(VLOOKUP(CONCATENATE($D1076,$G1076),CSRFinput!$B:$E,4,0)=0,OR(H1076=MappingTables!$C$34,H1076=MappingTables!$C$35)),1,VLOOKUP(CONCATENATE($D1076,$G1076),CSRFinput!$B:$E,4,0)))</f>
        <v>0.054776304963434752</v>
      </c>
      <c r="W1076" s="85">
        <f>IF(B1076="",0,+$T1076*$V1076)</f>
        <v>0.51401695479669344</v>
      </c>
      <c r="X1076" s="85">
        <f>IF(B1076="",0,IF(OR(H1076=MappingTables!$C$34,H1076=MappingTables!$C$35),W1076,0))</f>
        <v>0</v>
      </c>
    </row>
    <row r="1077" spans="2:24" s="0" customFormat="0" ht="15">
      <c r="B1077" s="69">
        <v>222886</v>
      </c>
      <c r="C1077" s="70" t="s">
        <v>1355</v>
      </c>
      <c r="D1077" s="70" t="s">
        <v>1</v>
      </c>
      <c r="E1077" s="70" t="s">
        <v>1</v>
      </c>
      <c r="F1077" s="70"/>
      <c r="G1077" s="70" t="s">
        <v>61</v>
      </c>
      <c r="H1077" s="70" t="s">
        <v>178</v>
      </c>
      <c r="I1077" s="70" t="s">
        <v>181</v>
      </c>
      <c r="J1077" s="71">
        <f>IF(OR(I1077=0,I1077=""),"unrated",VLOOKUP(I1077,MappingTables!$B$19:$C$31,2,FALSE))</f>
        <v>3</v>
      </c>
      <c r="K1077" s="72">
        <v>5312.7652935815216</v>
      </c>
      <c r="L1077" s="70">
        <v>7.6766333907318384</v>
      </c>
      <c r="M1077" s="71">
        <f>IF(L1077&lt;1,1,L1077)</f>
        <v>7.6766333907318384</v>
      </c>
      <c r="N1077" s="70" t="s">
        <v>141</v>
      </c>
      <c r="O1077" s="71">
        <f>INDEX(DurClassMapping,MATCH(M1077,MappingTables!$D$4:$D$8,-1),1)</f>
        <v>2</v>
      </c>
      <c r="P1077" s="73">
        <f>IF(M1077=$A$1,1,$M1077-INDEX(MappingTables!$E$4:$E$8,MATCH(O1077,MappingTables!$B$4:$B$8,0)))</f>
        <v>2.676633390731838</v>
      </c>
      <c r="Q1077" s="71">
        <f>IF(B1077="",0,INDEX(ModelParameters!$D$6:$K$10,MATCH($O1077,ModelParameters!$B$6:$B$10,0),MATCH($J1077,ModelParameters!$D$5:$K$5,0)))</f>
        <v>0.015</v>
      </c>
      <c r="R1077" s="71">
        <f>IF(B1077="",0,INDEX(ModelParameters!$D$13:$K$17,MATCH($O1077,ModelParameters!$B$13:$B$17,0),MATCH($J1077,ModelParameters!$D$5:$K$5,0)))</f>
        <v>0.125</v>
      </c>
      <c r="S1077" s="160">
        <f>IF(B1077="",0,MIN(IF($N1077="Other Bond TM",ModelParameters!$N$21,1)*(P1077*Q1077+R1077),1))</f>
        <v>0.16514950086097758</v>
      </c>
      <c r="T1077" s="85">
        <f>IF(B1077="",0,$S1077*$K1077)</f>
        <v>877.40053642651328</v>
      </c>
      <c r="U1077" s="85">
        <f>IF(B1077="",0,IF(OR(H1077=MappingTables!$C$34,H1077=MappingTables!$C$35),T1077,0))</f>
        <v>0</v>
      </c>
      <c r="V1077" s="85">
        <f>IF(ISNA(IF(AND(VLOOKUP(CONCATENATE($D1077,$G1077),CSRFinput!$B:$E,4,0)=0,OR(H1077=MappingTables!$C$34,H1077=MappingTables!$C$35)),1,VLOOKUP(CONCATENATE($D1077,$G1077),CSRFinput!$B:$E,4,0))),0,IF(AND(VLOOKUP(CONCATENATE($D1077,$G1077),CSRFinput!$B:$E,4,0)=0,OR(H1077=MappingTables!$C$34,H1077=MappingTables!$C$35)),1,VLOOKUP(CONCATENATE($D1077,$G1077),CSRFinput!$B:$E,4,0)))</f>
        <v>0.054776304963434752</v>
      </c>
      <c r="W1077" s="85">
        <f>IF(B1077="",0,+$T1077*$V1077)</f>
        <v>48.060759358379936</v>
      </c>
      <c r="X1077" s="85">
        <f>IF(B1077="",0,IF(OR(H1077=MappingTables!$C$34,H1077=MappingTables!$C$35),W1077,0))</f>
        <v>0</v>
      </c>
    </row>
    <row r="1078" spans="2:24" s="0" customFormat="0" ht="15">
      <c r="B1078" s="69">
        <v>22469147</v>
      </c>
      <c r="C1078" s="70" t="s">
        <v>321</v>
      </c>
      <c r="D1078" s="70" t="s">
        <v>1</v>
      </c>
      <c r="E1078" s="70" t="s">
        <v>1</v>
      </c>
      <c r="F1078" s="70"/>
      <c r="G1078" s="70" t="s">
        <v>61</v>
      </c>
      <c r="H1078" s="70" t="s">
        <v>178</v>
      </c>
      <c r="I1078" s="70" t="s">
        <v>179</v>
      </c>
      <c r="J1078" s="71">
        <f>IF(OR(I1078=0,I1078=""),"unrated",VLOOKUP(I1078,MappingTables!$B$19:$C$31,2,FALSE))</f>
        <v>4</v>
      </c>
      <c r="K1078" s="72">
        <v>757.29149750967968</v>
      </c>
      <c r="L1078" s="70">
        <v>1.1717902146353594</v>
      </c>
      <c r="M1078" s="71">
        <f>IF(L1078&lt;1,1,L1078)</f>
        <v>1.1717902146353594</v>
      </c>
      <c r="N1078" s="70" t="s">
        <v>141</v>
      </c>
      <c r="O1078" s="71">
        <f>INDEX(DurClassMapping,MATCH(M1078,MappingTables!$D$4:$D$8,-1),1)</f>
        <v>1</v>
      </c>
      <c r="P1078" s="73">
        <f>IF(M1078=$A$1,1,$M1078-INDEX(MappingTables!$E$4:$E$8,MATCH(O1078,MappingTables!$B$4:$B$8,0)))</f>
        <v>1.1717902146353594</v>
      </c>
      <c r="Q1078" s="71">
        <f>IF(B1078="",0,INDEX(ModelParameters!$D$6:$K$10,MATCH($O1078,ModelParameters!$B$6:$B$10,0),MATCH($J1078,ModelParameters!$D$5:$K$5,0)))</f>
        <v>0.045</v>
      </c>
      <c r="R1078" s="71">
        <f>IF(B1078="",0,INDEX(ModelParameters!$D$13:$K$17,MATCH($O1078,ModelParameters!$B$13:$B$17,0),MATCH($J1078,ModelParameters!$D$5:$K$5,0)))</f>
        <v>0</v>
      </c>
      <c r="S1078" s="160">
        <f>IF(B1078="",0,MIN(IF($N1078="Other Bond TM",ModelParameters!$N$21,1)*(P1078*Q1078+R1078),1))</f>
        <v>0.052730559658591168</v>
      </c>
      <c r="T1078" s="85">
        <f>IF(B1078="",0,$S1078*$K1078)</f>
        <v>39.932404488378008</v>
      </c>
      <c r="U1078" s="85">
        <f>IF(B1078="",0,IF(OR(H1078=MappingTables!$C$34,H1078=MappingTables!$C$35),T1078,0))</f>
        <v>0</v>
      </c>
      <c r="V1078" s="85">
        <f>IF(ISNA(IF(AND(VLOOKUP(CONCATENATE($D1078,$G1078),CSRFinput!$B:$E,4,0)=0,OR(H1078=MappingTables!$C$34,H1078=MappingTables!$C$35)),1,VLOOKUP(CONCATENATE($D1078,$G1078),CSRFinput!$B:$E,4,0))),0,IF(AND(VLOOKUP(CONCATENATE($D1078,$G1078),CSRFinput!$B:$E,4,0)=0,OR(H1078=MappingTables!$C$34,H1078=MappingTables!$C$35)),1,VLOOKUP(CONCATENATE($D1078,$G1078),CSRFinput!$B:$E,4,0)))</f>
        <v>0.054776304963434752</v>
      </c>
      <c r="W1078" s="85">
        <f>IF(B1078="",0,+$T1078*$V1078)</f>
        <v>2.1873495661786248</v>
      </c>
      <c r="X1078" s="85">
        <f>IF(B1078="",0,IF(OR(H1078=MappingTables!$C$34,H1078=MappingTables!$C$35),W1078,0))</f>
        <v>0</v>
      </c>
    </row>
    <row r="1079" spans="2:24" s="0" customFormat="0" ht="15">
      <c r="B1079" s="69">
        <v>11386214</v>
      </c>
      <c r="C1079" s="70" t="s">
        <v>1356</v>
      </c>
      <c r="D1079" s="70" t="s">
        <v>1</v>
      </c>
      <c r="E1079" s="70" t="s">
        <v>1</v>
      </c>
      <c r="F1079" s="70"/>
      <c r="G1079" s="70" t="s">
        <v>61</v>
      </c>
      <c r="H1079" s="70" t="s">
        <v>178</v>
      </c>
      <c r="I1079" s="70" t="s">
        <v>188</v>
      </c>
      <c r="J1079" s="71">
        <f>IF(OR(I1079=0,I1079=""),"unrated",VLOOKUP(I1079,MappingTables!$B$19:$C$31,2,FALSE))</f>
        <v>2</v>
      </c>
      <c r="K1079" s="72">
        <v>3128.8359578684916</v>
      </c>
      <c r="L1079" s="70">
        <v>0.071229241835701552</v>
      </c>
      <c r="M1079" s="71">
        <f>IF(L1079&lt;1,1,L1079)</f>
        <v>1</v>
      </c>
      <c r="N1079" s="70" t="s">
        <v>141</v>
      </c>
      <c r="O1079" s="71">
        <f>INDEX(DurClassMapping,MATCH(M1079,MappingTables!$D$4:$D$8,-1),1)</f>
        <v>1</v>
      </c>
      <c r="P1079" s="73">
        <f>IF(M1079=$A$1,1,$M1079-INDEX(MappingTables!$E$4:$E$8,MATCH(O1079,MappingTables!$B$4:$B$8,0)))</f>
        <v>1</v>
      </c>
      <c r="Q1079" s="71">
        <f>IF(B1079="",0,INDEX(ModelParameters!$D$6:$K$10,MATCH($O1079,ModelParameters!$B$6:$B$10,0),MATCH($J1079,ModelParameters!$D$5:$K$5,0)))</f>
        <v>0.013999999999999998</v>
      </c>
      <c r="R1079" s="71">
        <f>IF(B1079="",0,INDEX(ModelParameters!$D$13:$K$17,MATCH($O1079,ModelParameters!$B$13:$B$17,0),MATCH($J1079,ModelParameters!$D$5:$K$5,0)))</f>
        <v>0</v>
      </c>
      <c r="S1079" s="160">
        <f>IF(B1079="",0,MIN(IF($N1079="Other Bond TM",ModelParameters!$N$21,1)*(P1079*Q1079+R1079),1))</f>
        <v>0.013999999999999998</v>
      </c>
      <c r="T1079" s="85">
        <f>IF(B1079="",0,$S1079*$K1079)</f>
        <v>43.80370341015888</v>
      </c>
      <c r="U1079" s="85">
        <f>IF(B1079="",0,IF(OR(H1079=MappingTables!$C$34,H1079=MappingTables!$C$35),T1079,0))</f>
        <v>0</v>
      </c>
      <c r="V1079" s="85">
        <f>IF(ISNA(IF(AND(VLOOKUP(CONCATENATE($D1079,$G1079),CSRFinput!$B:$E,4,0)=0,OR(H1079=MappingTables!$C$34,H1079=MappingTables!$C$35)),1,VLOOKUP(CONCATENATE($D1079,$G1079),CSRFinput!$B:$E,4,0))),0,IF(AND(VLOOKUP(CONCATENATE($D1079,$G1079),CSRFinput!$B:$E,4,0)=0,OR(H1079=MappingTables!$C$34,H1079=MappingTables!$C$35)),1,VLOOKUP(CONCATENATE($D1079,$G1079),CSRFinput!$B:$E,4,0)))</f>
        <v>0.054776304963434752</v>
      </c>
      <c r="W1079" s="85">
        <f>IF(B1079="",0,+$T1079*$V1079)</f>
        <v>2.3994050165227096</v>
      </c>
      <c r="X1079" s="85">
        <f>IF(B1079="",0,IF(OR(H1079=MappingTables!$C$34,H1079=MappingTables!$C$35),W1079,0))</f>
        <v>0</v>
      </c>
    </row>
    <row r="1080" spans="2:24" s="0" customFormat="0" ht="15">
      <c r="B1080" s="69">
        <v>21644219</v>
      </c>
      <c r="C1080" s="70" t="s">
        <v>1357</v>
      </c>
      <c r="D1080" s="70" t="s">
        <v>1</v>
      </c>
      <c r="E1080" s="70" t="s">
        <v>1</v>
      </c>
      <c r="F1080" s="70"/>
      <c r="G1080" s="70" t="s">
        <v>61</v>
      </c>
      <c r="H1080" s="70" t="s">
        <v>178</v>
      </c>
      <c r="I1080" s="70" t="s">
        <v>184</v>
      </c>
      <c r="J1080" s="71">
        <f>IF(OR(I1080=0,I1080=""),"unrated",VLOOKUP(I1080,MappingTables!$B$19:$C$31,2,FALSE))</f>
        <v>5</v>
      </c>
      <c r="K1080" s="72">
        <v>14661.289825957894</v>
      </c>
      <c r="L1080" s="70">
        <v>7.5331313811769008</v>
      </c>
      <c r="M1080" s="71">
        <f>IF(L1080&lt;1,1,L1080)</f>
        <v>7.5331313811769008</v>
      </c>
      <c r="N1080" s="70" t="s">
        <v>141</v>
      </c>
      <c r="O1080" s="71">
        <f>INDEX(DurClassMapping,MATCH(M1080,MappingTables!$D$4:$D$8,-1),1)</f>
        <v>2</v>
      </c>
      <c r="P1080" s="73">
        <f>IF(M1080=$A$1,1,$M1080-INDEX(MappingTables!$E$4:$E$8,MATCH(O1080,MappingTables!$B$4:$B$8,0)))</f>
        <v>2.5331313811769008</v>
      </c>
      <c r="Q1080" s="71">
        <f>IF(B1080="",0,INDEX(ModelParameters!$D$6:$K$10,MATCH($O1080,ModelParameters!$B$6:$B$10,0),MATCH($J1080,ModelParameters!$D$5:$K$5,0)))</f>
        <v>0.042</v>
      </c>
      <c r="R1080" s="71">
        <f>IF(B1080="",0,INDEX(ModelParameters!$D$13:$K$17,MATCH($O1080,ModelParameters!$B$13:$B$17,0),MATCH($J1080,ModelParameters!$D$5:$K$5,0)))</f>
        <v>0.375</v>
      </c>
      <c r="S1080" s="160">
        <f>IF(B1080="",0,MIN(IF($N1080="Other Bond TM",ModelParameters!$N$21,1)*(P1080*Q1080+R1080),1))</f>
        <v>0.48139151800942984</v>
      </c>
      <c r="T1080" s="85">
        <f>IF(B1080="",0,$S1080*$K1080)</f>
        <v>7057.82056529408</v>
      </c>
      <c r="U1080" s="85">
        <f>IF(B1080="",0,IF(OR(H1080=MappingTables!$C$34,H1080=MappingTables!$C$35),T1080,0))</f>
        <v>0</v>
      </c>
      <c r="V1080" s="85">
        <f>IF(ISNA(IF(AND(VLOOKUP(CONCATENATE($D1080,$G1080),CSRFinput!$B:$E,4,0)=0,OR(H1080=MappingTables!$C$34,H1080=MappingTables!$C$35)),1,VLOOKUP(CONCATENATE($D1080,$G1080),CSRFinput!$B:$E,4,0))),0,IF(AND(VLOOKUP(CONCATENATE($D1080,$G1080),CSRFinput!$B:$E,4,0)=0,OR(H1080=MappingTables!$C$34,H1080=MappingTables!$C$35)),1,VLOOKUP(CONCATENATE($D1080,$G1080),CSRFinput!$B:$E,4,0)))</f>
        <v>0.054776304963434752</v>
      </c>
      <c r="W1080" s="85">
        <f>IF(B1080="",0,+$T1080*$V1080)</f>
        <v>386.60133166174992</v>
      </c>
      <c r="X1080" s="85">
        <f>IF(B1080="",0,IF(OR(H1080=MappingTables!$C$34,H1080=MappingTables!$C$35),W1080,0))</f>
        <v>0</v>
      </c>
    </row>
    <row r="1081" spans="2:24" s="0" customFormat="0" ht="15">
      <c r="B1081" s="69">
        <v>13158525</v>
      </c>
      <c r="C1081" s="70" t="s">
        <v>712</v>
      </c>
      <c r="D1081" s="70" t="s">
        <v>1</v>
      </c>
      <c r="E1081" s="70" t="s">
        <v>1</v>
      </c>
      <c r="F1081" s="70"/>
      <c r="G1081" s="70" t="s">
        <v>61</v>
      </c>
      <c r="H1081" s="70" t="s">
        <v>178</v>
      </c>
      <c r="I1081" s="70" t="s">
        <v>181</v>
      </c>
      <c r="J1081" s="71">
        <f>IF(OR(I1081=0,I1081=""),"unrated",VLOOKUP(I1081,MappingTables!$B$19:$C$31,2,FALSE))</f>
        <v>3</v>
      </c>
      <c r="K1081" s="72">
        <v>2106.6260457422024</v>
      </c>
      <c r="L1081" s="70">
        <v>1.000864831065537</v>
      </c>
      <c r="M1081" s="71">
        <f>IF(L1081&lt;1,1,L1081)</f>
        <v>1.000864831065537</v>
      </c>
      <c r="N1081" s="70" t="s">
        <v>141</v>
      </c>
      <c r="O1081" s="71">
        <f>INDEX(DurClassMapping,MATCH(M1081,MappingTables!$D$4:$D$8,-1),1)</f>
        <v>1</v>
      </c>
      <c r="P1081" s="73">
        <f>IF(M1081=$A$1,1,$M1081-INDEX(MappingTables!$E$4:$E$8,MATCH(O1081,MappingTables!$B$4:$B$8,0)))</f>
        <v>1.000864831065537</v>
      </c>
      <c r="Q1081" s="71">
        <f>IF(B1081="",0,INDEX(ModelParameters!$D$6:$K$10,MATCH($O1081,ModelParameters!$B$6:$B$10,0),MATCH($J1081,ModelParameters!$D$5:$K$5,0)))</f>
        <v>0.025</v>
      </c>
      <c r="R1081" s="71">
        <f>IF(B1081="",0,INDEX(ModelParameters!$D$13:$K$17,MATCH($O1081,ModelParameters!$B$13:$B$17,0),MATCH($J1081,ModelParameters!$D$5:$K$5,0)))</f>
        <v>0</v>
      </c>
      <c r="S1081" s="160">
        <f>IF(B1081="",0,MIN(IF($N1081="Other Bond TM",ModelParameters!$N$21,1)*(P1081*Q1081+R1081),1))</f>
        <v>0.025021620776638428</v>
      </c>
      <c r="T1081" s="85">
        <f>IF(B1081="",0,$S1081*$K1081)</f>
        <v>52.711198034750744</v>
      </c>
      <c r="U1081" s="85">
        <f>IF(B1081="",0,IF(OR(H1081=MappingTables!$C$34,H1081=MappingTables!$C$35),T1081,0))</f>
        <v>0</v>
      </c>
      <c r="V1081" s="85">
        <f>IF(ISNA(IF(AND(VLOOKUP(CONCATENATE($D1081,$G1081),CSRFinput!$B:$E,4,0)=0,OR(H1081=MappingTables!$C$34,H1081=MappingTables!$C$35)),1,VLOOKUP(CONCATENATE($D1081,$G1081),CSRFinput!$B:$E,4,0))),0,IF(AND(VLOOKUP(CONCATENATE($D1081,$G1081),CSRFinput!$B:$E,4,0)=0,OR(H1081=MappingTables!$C$34,H1081=MappingTables!$C$35)),1,VLOOKUP(CONCATENATE($D1081,$G1081),CSRFinput!$B:$E,4,0)))</f>
        <v>0.054776304963434752</v>
      </c>
      <c r="W1081" s="85">
        <f>IF(B1081="",0,+$T1081*$V1081)</f>
        <v>2.8873246585395096</v>
      </c>
      <c r="X1081" s="85">
        <f>IF(B1081="",0,IF(OR(H1081=MappingTables!$C$34,H1081=MappingTables!$C$35),W1081,0))</f>
        <v>0</v>
      </c>
    </row>
    <row r="1082" spans="2:24" s="0" customFormat="0" ht="15">
      <c r="B1082" s="69">
        <v>20930569</v>
      </c>
      <c r="C1082" s="70" t="s">
        <v>1358</v>
      </c>
      <c r="D1082" s="70" t="s">
        <v>1</v>
      </c>
      <c r="E1082" s="70" t="s">
        <v>1</v>
      </c>
      <c r="F1082" s="70"/>
      <c r="G1082" s="70" t="s">
        <v>61</v>
      </c>
      <c r="H1082" s="70" t="s">
        <v>178</v>
      </c>
      <c r="I1082" s="70" t="s">
        <v>188</v>
      </c>
      <c r="J1082" s="71">
        <f>IF(OR(I1082=0,I1082=""),"unrated",VLOOKUP(I1082,MappingTables!$B$19:$C$31,2,FALSE))</f>
        <v>2</v>
      </c>
      <c r="K1082" s="72">
        <v>18936.81360975616</v>
      </c>
      <c r="L1082" s="70">
        <v>3.5837463532870572</v>
      </c>
      <c r="M1082" s="71">
        <f>IF(L1082&lt;1,1,L1082)</f>
        <v>3.5837463532870572</v>
      </c>
      <c r="N1082" s="70" t="s">
        <v>141</v>
      </c>
      <c r="O1082" s="71">
        <f>INDEX(DurClassMapping,MATCH(M1082,MappingTables!$D$4:$D$8,-1),1)</f>
        <v>1</v>
      </c>
      <c r="P1082" s="73">
        <f>IF(M1082=$A$1,1,$M1082-INDEX(MappingTables!$E$4:$E$8,MATCH(O1082,MappingTables!$B$4:$B$8,0)))</f>
        <v>3.5837463532870572</v>
      </c>
      <c r="Q1082" s="71">
        <f>IF(B1082="",0,INDEX(ModelParameters!$D$6:$K$10,MATCH($O1082,ModelParameters!$B$6:$B$10,0),MATCH($J1082,ModelParameters!$D$5:$K$5,0)))</f>
        <v>0.013999999999999998</v>
      </c>
      <c r="R1082" s="71">
        <f>IF(B1082="",0,INDEX(ModelParameters!$D$13:$K$17,MATCH($O1082,ModelParameters!$B$13:$B$17,0),MATCH($J1082,ModelParameters!$D$5:$K$5,0)))</f>
        <v>0</v>
      </c>
      <c r="S1082" s="160">
        <f>IF(B1082="",0,MIN(IF($N1082="Other Bond TM",ModelParameters!$N$21,1)*(P1082*Q1082+R1082),1))</f>
        <v>0.050172448946018792</v>
      </c>
      <c r="T1082" s="85">
        <f>IF(B1082="",0,$S1082*$K1082)</f>
        <v>950.1063140357648</v>
      </c>
      <c r="U1082" s="85">
        <f>IF(B1082="",0,IF(OR(H1082=MappingTables!$C$34,H1082=MappingTables!$C$35),T1082,0))</f>
        <v>0</v>
      </c>
      <c r="V1082" s="85">
        <f>IF(ISNA(IF(AND(VLOOKUP(CONCATENATE($D1082,$G1082),CSRFinput!$B:$E,4,0)=0,OR(H1082=MappingTables!$C$34,H1082=MappingTables!$C$35)),1,VLOOKUP(CONCATENATE($D1082,$G1082),CSRFinput!$B:$E,4,0))),0,IF(AND(VLOOKUP(CONCATENATE($D1082,$G1082),CSRFinput!$B:$E,4,0)=0,OR(H1082=MappingTables!$C$34,H1082=MappingTables!$C$35)),1,VLOOKUP(CONCATENATE($D1082,$G1082),CSRFinput!$B:$E,4,0)))</f>
        <v>0.054776304963434752</v>
      </c>
      <c r="W1082" s="85">
        <f>IF(B1082="",0,+$T1082*$V1082)</f>
        <v>52.04331320530796</v>
      </c>
      <c r="X1082" s="85">
        <f>IF(B1082="",0,IF(OR(H1082=MappingTables!$C$34,H1082=MappingTables!$C$35),W1082,0))</f>
        <v>0</v>
      </c>
    </row>
    <row r="1083" spans="2:24" s="0" customFormat="0" ht="15">
      <c r="B1083" s="69">
        <v>23170669</v>
      </c>
      <c r="C1083" s="70" t="s">
        <v>1359</v>
      </c>
      <c r="D1083" s="70" t="s">
        <v>1</v>
      </c>
      <c r="E1083" s="70" t="s">
        <v>1</v>
      </c>
      <c r="F1083" s="70"/>
      <c r="G1083" s="70" t="s">
        <v>61</v>
      </c>
      <c r="H1083" s="70" t="s">
        <v>178</v>
      </c>
      <c r="I1083" s="70" t="s">
        <v>184</v>
      </c>
      <c r="J1083" s="71">
        <f>IF(OR(I1083=0,I1083=""),"unrated",VLOOKUP(I1083,MappingTables!$B$19:$C$31,2,FALSE))</f>
        <v>5</v>
      </c>
      <c r="K1083" s="72">
        <v>52249.177517945408</v>
      </c>
      <c r="L1083" s="70">
        <v>10.769736022728078</v>
      </c>
      <c r="M1083" s="71">
        <f>IF(L1083&lt;1,1,L1083)</f>
        <v>10.769736022728078</v>
      </c>
      <c r="N1083" s="70" t="s">
        <v>141</v>
      </c>
      <c r="O1083" s="71">
        <f>INDEX(DurClassMapping,MATCH(M1083,MappingTables!$D$4:$D$8,-1),1)</f>
        <v>3</v>
      </c>
      <c r="P1083" s="73">
        <f>IF(M1083=$A$1,1,$M1083-INDEX(MappingTables!$E$4:$E$8,MATCH(O1083,MappingTables!$B$4:$B$8,0)))</f>
        <v>0.76973602272807712</v>
      </c>
      <c r="Q1083" s="71">
        <f>IF(B1083="",0,INDEX(ModelParameters!$D$6:$K$10,MATCH($O1083,ModelParameters!$B$6:$B$10,0),MATCH($J1083,ModelParameters!$D$5:$K$5,0)))</f>
        <v>0.005</v>
      </c>
      <c r="R1083" s="71">
        <f>IF(B1083="",0,INDEX(ModelParameters!$D$13:$K$17,MATCH($O1083,ModelParameters!$B$13:$B$17,0),MATCH($J1083,ModelParameters!$D$5:$K$5,0)))</f>
        <v>0.585</v>
      </c>
      <c r="S1083" s="160">
        <f>IF(B1083="",0,MIN(IF($N1083="Other Bond TM",ModelParameters!$N$21,1)*(P1083*Q1083+R1083),1))</f>
        <v>0.58884868011364032</v>
      </c>
      <c r="T1083" s="85">
        <f>IF(B1083="",0,$S1083*$K1083)</f>
        <v>30766.85921846544</v>
      </c>
      <c r="U1083" s="85">
        <f>IF(B1083="",0,IF(OR(H1083=MappingTables!$C$34,H1083=MappingTables!$C$35),T1083,0))</f>
        <v>0</v>
      </c>
      <c r="V1083" s="85">
        <f>IF(ISNA(IF(AND(VLOOKUP(CONCATENATE($D1083,$G1083),CSRFinput!$B:$E,4,0)=0,OR(H1083=MappingTables!$C$34,H1083=MappingTables!$C$35)),1,VLOOKUP(CONCATENATE($D1083,$G1083),CSRFinput!$B:$E,4,0))),0,IF(AND(VLOOKUP(CONCATENATE($D1083,$G1083),CSRFinput!$B:$E,4,0)=0,OR(H1083=MappingTables!$C$34,H1083=MappingTables!$C$35)),1,VLOOKUP(CONCATENATE($D1083,$G1083),CSRFinput!$B:$E,4,0)))</f>
        <v>0.054776304963434752</v>
      </c>
      <c r="W1083" s="85">
        <f>IF(B1083="",0,+$T1083*$V1083)</f>
        <v>1685.2948633177268</v>
      </c>
      <c r="X1083" s="85">
        <f>IF(B1083="",0,IF(OR(H1083=MappingTables!$C$34,H1083=MappingTables!$C$35),W1083,0))</f>
        <v>0</v>
      </c>
    </row>
    <row r="1084" spans="2:24" s="0" customFormat="0" ht="15">
      <c r="B1084" s="69">
        <v>23421001</v>
      </c>
      <c r="C1084" s="70" t="s">
        <v>391</v>
      </c>
      <c r="D1084" s="70" t="s">
        <v>1</v>
      </c>
      <c r="E1084" s="70" t="s">
        <v>1</v>
      </c>
      <c r="F1084" s="70"/>
      <c r="G1084" s="70" t="s">
        <v>61</v>
      </c>
      <c r="H1084" s="70" t="s">
        <v>178</v>
      </c>
      <c r="I1084" s="70" t="s">
        <v>188</v>
      </c>
      <c r="J1084" s="71">
        <f>IF(OR(I1084=0,I1084=""),"unrated",VLOOKUP(I1084,MappingTables!$B$19:$C$31,2,FALSE))</f>
        <v>2</v>
      </c>
      <c r="K1084" s="72">
        <v>984.71375424611056</v>
      </c>
      <c r="L1084" s="70">
        <v>2.4294839870391168</v>
      </c>
      <c r="M1084" s="71">
        <f>IF(L1084&lt;1,1,L1084)</f>
        <v>2.4294839870391168</v>
      </c>
      <c r="N1084" s="70" t="s">
        <v>141</v>
      </c>
      <c r="O1084" s="71">
        <f>INDEX(DurClassMapping,MATCH(M1084,MappingTables!$D$4:$D$8,-1),1)</f>
        <v>1</v>
      </c>
      <c r="P1084" s="73">
        <f>IF(M1084=$A$1,1,$M1084-INDEX(MappingTables!$E$4:$E$8,MATCH(O1084,MappingTables!$B$4:$B$8,0)))</f>
        <v>2.4294839870391168</v>
      </c>
      <c r="Q1084" s="71">
        <f>IF(B1084="",0,INDEX(ModelParameters!$D$6:$K$10,MATCH($O1084,ModelParameters!$B$6:$B$10,0),MATCH($J1084,ModelParameters!$D$5:$K$5,0)))</f>
        <v>0.013999999999999998</v>
      </c>
      <c r="R1084" s="71">
        <f>IF(B1084="",0,INDEX(ModelParameters!$D$13:$K$17,MATCH($O1084,ModelParameters!$B$13:$B$17,0),MATCH($J1084,ModelParameters!$D$5:$K$5,0)))</f>
        <v>0</v>
      </c>
      <c r="S1084" s="160">
        <f>IF(B1084="",0,MIN(IF($N1084="Other Bond TM",ModelParameters!$N$21,1)*(P1084*Q1084+R1084),1))</f>
        <v>0.034012775818547636</v>
      </c>
      <c r="T1084" s="85">
        <f>IF(B1084="",0,$S1084*$K1084)</f>
        <v>33.492848168613372</v>
      </c>
      <c r="U1084" s="85">
        <f>IF(B1084="",0,IF(OR(H1084=MappingTables!$C$34,H1084=MappingTables!$C$35),T1084,0))</f>
        <v>0</v>
      </c>
      <c r="V1084" s="85">
        <f>IF(ISNA(IF(AND(VLOOKUP(CONCATENATE($D1084,$G1084),CSRFinput!$B:$E,4,0)=0,OR(H1084=MappingTables!$C$34,H1084=MappingTables!$C$35)),1,VLOOKUP(CONCATENATE($D1084,$G1084),CSRFinput!$B:$E,4,0))),0,IF(AND(VLOOKUP(CONCATENATE($D1084,$G1084),CSRFinput!$B:$E,4,0)=0,OR(H1084=MappingTables!$C$34,H1084=MappingTables!$C$35)),1,VLOOKUP(CONCATENATE($D1084,$G1084),CSRFinput!$B:$E,4,0)))</f>
        <v>0.054776304963434752</v>
      </c>
      <c r="W1084" s="85">
        <f>IF(B1084="",0,+$T1084*$V1084)</f>
        <v>1.8346144653779832</v>
      </c>
      <c r="X1084" s="85">
        <f>IF(B1084="",0,IF(OR(H1084=MappingTables!$C$34,H1084=MappingTables!$C$35),W1084,0))</f>
        <v>0</v>
      </c>
    </row>
    <row r="1085" spans="2:24" s="0" customFormat="0" ht="15">
      <c r="B1085" s="69">
        <v>7823360</v>
      </c>
      <c r="C1085" s="70" t="s">
        <v>1360</v>
      </c>
      <c r="D1085" s="70" t="s">
        <v>1</v>
      </c>
      <c r="E1085" s="70" t="s">
        <v>1</v>
      </c>
      <c r="F1085" s="70"/>
      <c r="G1085" s="70" t="s">
        <v>61</v>
      </c>
      <c r="H1085" s="70" t="s">
        <v>178</v>
      </c>
      <c r="I1085" s="70" t="s">
        <v>179</v>
      </c>
      <c r="J1085" s="71">
        <f>IF(OR(I1085=0,I1085=""),"unrated",VLOOKUP(I1085,MappingTables!$B$19:$C$31,2,FALSE))</f>
        <v>4</v>
      </c>
      <c r="K1085" s="72">
        <v>2497.6983617802512</v>
      </c>
      <c r="L1085" s="70">
        <v>1.8548608321832436</v>
      </c>
      <c r="M1085" s="71">
        <f>IF(L1085&lt;1,1,L1085)</f>
        <v>1.8548608321832436</v>
      </c>
      <c r="N1085" s="70" t="s">
        <v>141</v>
      </c>
      <c r="O1085" s="71">
        <f>INDEX(DurClassMapping,MATCH(M1085,MappingTables!$D$4:$D$8,-1),1)</f>
        <v>1</v>
      </c>
      <c r="P1085" s="73">
        <f>IF(M1085=$A$1,1,$M1085-INDEX(MappingTables!$E$4:$E$8,MATCH(O1085,MappingTables!$B$4:$B$8,0)))</f>
        <v>1.8548608321832436</v>
      </c>
      <c r="Q1085" s="71">
        <f>IF(B1085="",0,INDEX(ModelParameters!$D$6:$K$10,MATCH($O1085,ModelParameters!$B$6:$B$10,0),MATCH($J1085,ModelParameters!$D$5:$K$5,0)))</f>
        <v>0.045</v>
      </c>
      <c r="R1085" s="71">
        <f>IF(B1085="",0,INDEX(ModelParameters!$D$13:$K$17,MATCH($O1085,ModelParameters!$B$13:$B$17,0),MATCH($J1085,ModelParameters!$D$5:$K$5,0)))</f>
        <v>0</v>
      </c>
      <c r="S1085" s="160">
        <f>IF(B1085="",0,MIN(IF($N1085="Other Bond TM",ModelParameters!$N$21,1)*(P1085*Q1085+R1085),1))</f>
        <v>0.083468737448245952</v>
      </c>
      <c r="T1085" s="85">
        <f>IF(B1085="",0,$S1085*$K1085)</f>
        <v>208.4797287843498</v>
      </c>
      <c r="U1085" s="85">
        <f>IF(B1085="",0,IF(OR(H1085=MappingTables!$C$34,H1085=MappingTables!$C$35),T1085,0))</f>
        <v>0</v>
      </c>
      <c r="V1085" s="85">
        <f>IF(ISNA(IF(AND(VLOOKUP(CONCATENATE($D1085,$G1085),CSRFinput!$B:$E,4,0)=0,OR(H1085=MappingTables!$C$34,H1085=MappingTables!$C$35)),1,VLOOKUP(CONCATENATE($D1085,$G1085),CSRFinput!$B:$E,4,0))),0,IF(AND(VLOOKUP(CONCATENATE($D1085,$G1085),CSRFinput!$B:$E,4,0)=0,OR(H1085=MappingTables!$C$34,H1085=MappingTables!$C$35)),1,VLOOKUP(CONCATENATE($D1085,$G1085),CSRFinput!$B:$E,4,0)))</f>
        <v>0.054776304963434752</v>
      </c>
      <c r="W1085" s="85">
        <f>IF(B1085="",0,+$T1085*$V1085)</f>
        <v>11.419749202585712</v>
      </c>
      <c r="X1085" s="85">
        <f>IF(B1085="",0,IF(OR(H1085=MappingTables!$C$34,H1085=MappingTables!$C$35),W1085,0))</f>
        <v>0</v>
      </c>
    </row>
    <row r="1086" spans="2:24" s="0" customFormat="0" ht="15">
      <c r="B1086" s="69" t="s">
        <v>1361</v>
      </c>
      <c r="C1086" s="70" t="s">
        <v>1362</v>
      </c>
      <c r="D1086" s="70" t="s">
        <v>1</v>
      </c>
      <c r="E1086" s="70" t="s">
        <v>1</v>
      </c>
      <c r="F1086" s="70"/>
      <c r="G1086" s="70" t="s">
        <v>61</v>
      </c>
      <c r="H1086" s="70" t="s">
        <v>178</v>
      </c>
      <c r="I1086" s="70" t="s">
        <v>179</v>
      </c>
      <c r="J1086" s="71">
        <f>IF(OR(I1086=0,I1086=""),"unrated",VLOOKUP(I1086,MappingTables!$B$19:$C$31,2,FALSE))</f>
        <v>4</v>
      </c>
      <c r="K1086" s="72">
        <v>358.53948152236568</v>
      </c>
      <c r="L1086" s="70">
        <v>5.2167093229027144</v>
      </c>
      <c r="M1086" s="71">
        <f>IF(L1086&lt;1,1,L1086)</f>
        <v>5.2167093229027144</v>
      </c>
      <c r="N1086" s="70" t="s">
        <v>141</v>
      </c>
      <c r="O1086" s="71">
        <f>INDEX(DurClassMapping,MATCH(M1086,MappingTables!$D$4:$D$8,-1),1)</f>
        <v>2</v>
      </c>
      <c r="P1086" s="73">
        <f>IF(M1086=$A$1,1,$M1086-INDEX(MappingTables!$E$4:$E$8,MATCH(O1086,MappingTables!$B$4:$B$8,0)))</f>
        <v>0.21670932290271416</v>
      </c>
      <c r="Q1086" s="71">
        <f>IF(B1086="",0,INDEX(ModelParameters!$D$6:$K$10,MATCH($O1086,ModelParameters!$B$6:$B$10,0),MATCH($J1086,ModelParameters!$D$5:$K$5,0)))</f>
        <v>0.025</v>
      </c>
      <c r="R1086" s="71">
        <f>IF(B1086="",0,INDEX(ModelParameters!$D$13:$K$17,MATCH($O1086,ModelParameters!$B$13:$B$17,0),MATCH($J1086,ModelParameters!$D$5:$K$5,0)))</f>
        <v>0.225</v>
      </c>
      <c r="S1086" s="160">
        <f>IF(B1086="",0,MIN(IF($N1086="Other Bond TM",ModelParameters!$N$21,1)*(P1086*Q1086+R1086),1))</f>
        <v>0.23041773307256784</v>
      </c>
      <c r="T1086" s="85">
        <f>IF(B1086="",0,$S1086*$K1086)</f>
        <v>82.613854549397328</v>
      </c>
      <c r="U1086" s="85">
        <f>IF(B1086="",0,IF(OR(H1086=MappingTables!$C$34,H1086=MappingTables!$C$35),T1086,0))</f>
        <v>0</v>
      </c>
      <c r="V1086" s="85">
        <f>IF(ISNA(IF(AND(VLOOKUP(CONCATENATE($D1086,$G1086),CSRFinput!$B:$E,4,0)=0,OR(H1086=MappingTables!$C$34,H1086=MappingTables!$C$35)),1,VLOOKUP(CONCATENATE($D1086,$G1086),CSRFinput!$B:$E,4,0))),0,IF(AND(VLOOKUP(CONCATENATE($D1086,$G1086),CSRFinput!$B:$E,4,0)=0,OR(H1086=MappingTables!$C$34,H1086=MappingTables!$C$35)),1,VLOOKUP(CONCATENATE($D1086,$G1086),CSRFinput!$B:$E,4,0)))</f>
        <v>0.054776304963434752</v>
      </c>
      <c r="W1086" s="85">
        <f>IF(B1086="",0,+$T1086*$V1086)</f>
        <v>4.5252816910026296</v>
      </c>
      <c r="X1086" s="85">
        <f>IF(B1086="",0,IF(OR(H1086=MappingTables!$C$34,H1086=MappingTables!$C$35),W1086,0))</f>
        <v>0</v>
      </c>
    </row>
    <row r="1087" spans="2:24" s="0" customFormat="0" ht="15">
      <c r="B1087" s="69">
        <v>24083947</v>
      </c>
      <c r="C1087" s="70" t="s">
        <v>1363</v>
      </c>
      <c r="D1087" s="70" t="s">
        <v>1</v>
      </c>
      <c r="E1087" s="70" t="s">
        <v>1</v>
      </c>
      <c r="F1087" s="70"/>
      <c r="G1087" s="70" t="s">
        <v>61</v>
      </c>
      <c r="H1087" s="70" t="s">
        <v>178</v>
      </c>
      <c r="I1087" s="70" t="s">
        <v>181</v>
      </c>
      <c r="J1087" s="71">
        <f>IF(OR(I1087=0,I1087=""),"unrated",VLOOKUP(I1087,MappingTables!$B$19:$C$31,2,FALSE))</f>
        <v>3</v>
      </c>
      <c r="K1087" s="72">
        <v>17892.932284647846</v>
      </c>
      <c r="L1087" s="70">
        <v>8.501104265867528</v>
      </c>
      <c r="M1087" s="71">
        <f>IF(L1087&lt;1,1,L1087)</f>
        <v>8.501104265867528</v>
      </c>
      <c r="N1087" s="70" t="s">
        <v>141</v>
      </c>
      <c r="O1087" s="71">
        <f>INDEX(DurClassMapping,MATCH(M1087,MappingTables!$D$4:$D$8,-1),1)</f>
        <v>2</v>
      </c>
      <c r="P1087" s="73">
        <f>IF(M1087=$A$1,1,$M1087-INDEX(MappingTables!$E$4:$E$8,MATCH(O1087,MappingTables!$B$4:$B$8,0)))</f>
        <v>3.5011042658675288</v>
      </c>
      <c r="Q1087" s="71">
        <f>IF(B1087="",0,INDEX(ModelParameters!$D$6:$K$10,MATCH($O1087,ModelParameters!$B$6:$B$10,0),MATCH($J1087,ModelParameters!$D$5:$K$5,0)))</f>
        <v>0.015</v>
      </c>
      <c r="R1087" s="71">
        <f>IF(B1087="",0,INDEX(ModelParameters!$D$13:$K$17,MATCH($O1087,ModelParameters!$B$13:$B$17,0),MATCH($J1087,ModelParameters!$D$5:$K$5,0)))</f>
        <v>0.125</v>
      </c>
      <c r="S1087" s="160">
        <f>IF(B1087="",0,MIN(IF($N1087="Other Bond TM",ModelParameters!$N$21,1)*(P1087*Q1087+R1087),1))</f>
        <v>0.17751656398801294</v>
      </c>
      <c r="T1087" s="85">
        <f>IF(B1087="",0,$S1087*$K1087)</f>
        <v>3176.291858840872</v>
      </c>
      <c r="U1087" s="85">
        <f>IF(B1087="",0,IF(OR(H1087=MappingTables!$C$34,H1087=MappingTables!$C$35),T1087,0))</f>
        <v>0</v>
      </c>
      <c r="V1087" s="85">
        <f>IF(ISNA(IF(AND(VLOOKUP(CONCATENATE($D1087,$G1087),CSRFinput!$B:$E,4,0)=0,OR(H1087=MappingTables!$C$34,H1087=MappingTables!$C$35)),1,VLOOKUP(CONCATENATE($D1087,$G1087),CSRFinput!$B:$E,4,0))),0,IF(AND(VLOOKUP(CONCATENATE($D1087,$G1087),CSRFinput!$B:$E,4,0)=0,OR(H1087=MappingTables!$C$34,H1087=MappingTables!$C$35)),1,VLOOKUP(CONCATENATE($D1087,$G1087),CSRFinput!$B:$E,4,0)))</f>
        <v>0.054776304963434752</v>
      </c>
      <c r="W1087" s="85">
        <f>IF(B1087="",0,+$T1087*$V1087)</f>
        <v>173.98553151274266</v>
      </c>
      <c r="X1087" s="85">
        <f>IF(B1087="",0,IF(OR(H1087=MappingTables!$C$34,H1087=MappingTables!$C$35),W1087,0))</f>
        <v>0</v>
      </c>
    </row>
    <row r="1088" spans="2:24" s="0" customFormat="0" ht="15">
      <c r="B1088" s="69">
        <v>20942445</v>
      </c>
      <c r="C1088" s="70" t="s">
        <v>1364</v>
      </c>
      <c r="D1088" s="70" t="s">
        <v>1</v>
      </c>
      <c r="E1088" s="70" t="s">
        <v>1</v>
      </c>
      <c r="F1088" s="70"/>
      <c r="G1088" s="70" t="s">
        <v>61</v>
      </c>
      <c r="H1088" s="70" t="s">
        <v>178</v>
      </c>
      <c r="I1088" s="70" t="s">
        <v>181</v>
      </c>
      <c r="J1088" s="71">
        <f>IF(OR(I1088=0,I1088=""),"unrated",VLOOKUP(I1088,MappingTables!$B$19:$C$31,2,FALSE))</f>
        <v>3</v>
      </c>
      <c r="K1088" s="72">
        <v>8318.4725662448768</v>
      </c>
      <c r="L1088" s="70">
        <v>3.5247791985054772</v>
      </c>
      <c r="M1088" s="71">
        <f>IF(L1088&lt;1,1,L1088)</f>
        <v>3.5247791985054772</v>
      </c>
      <c r="N1088" s="70" t="s">
        <v>141</v>
      </c>
      <c r="O1088" s="71">
        <f>INDEX(DurClassMapping,MATCH(M1088,MappingTables!$D$4:$D$8,-1),1)</f>
        <v>1</v>
      </c>
      <c r="P1088" s="73">
        <f>IF(M1088=$A$1,1,$M1088-INDEX(MappingTables!$E$4:$E$8,MATCH(O1088,MappingTables!$B$4:$B$8,0)))</f>
        <v>3.5247791985054772</v>
      </c>
      <c r="Q1088" s="71">
        <f>IF(B1088="",0,INDEX(ModelParameters!$D$6:$K$10,MATCH($O1088,ModelParameters!$B$6:$B$10,0),MATCH($J1088,ModelParameters!$D$5:$K$5,0)))</f>
        <v>0.025</v>
      </c>
      <c r="R1088" s="71">
        <f>IF(B1088="",0,INDEX(ModelParameters!$D$13:$K$17,MATCH($O1088,ModelParameters!$B$13:$B$17,0),MATCH($J1088,ModelParameters!$D$5:$K$5,0)))</f>
        <v>0</v>
      </c>
      <c r="S1088" s="160">
        <f>IF(B1088="",0,MIN(IF($N1088="Other Bond TM",ModelParameters!$N$21,1)*(P1088*Q1088+R1088),1))</f>
        <v>0.088119479962636928</v>
      </c>
      <c r="T1088" s="85">
        <f>IF(B1088="",0,$S1088*$K1088)</f>
        <v>733.01947662096048</v>
      </c>
      <c r="U1088" s="85">
        <f>IF(B1088="",0,IF(OR(H1088=MappingTables!$C$34,H1088=MappingTables!$C$35),T1088,0))</f>
        <v>0</v>
      </c>
      <c r="V1088" s="85">
        <f>IF(ISNA(IF(AND(VLOOKUP(CONCATENATE($D1088,$G1088),CSRFinput!$B:$E,4,0)=0,OR(H1088=MappingTables!$C$34,H1088=MappingTables!$C$35)),1,VLOOKUP(CONCATENATE($D1088,$G1088),CSRFinput!$B:$E,4,0))),0,IF(AND(VLOOKUP(CONCATENATE($D1088,$G1088),CSRFinput!$B:$E,4,0)=0,OR(H1088=MappingTables!$C$34,H1088=MappingTables!$C$35)),1,VLOOKUP(CONCATENATE($D1088,$G1088),CSRFinput!$B:$E,4,0)))</f>
        <v>0.054776304963434752</v>
      </c>
      <c r="W1088" s="85">
        <f>IF(B1088="",0,+$T1088*$V1088)</f>
        <v>40.152098395527056</v>
      </c>
      <c r="X1088" s="85">
        <f>IF(B1088="",0,IF(OR(H1088=MappingTables!$C$34,H1088=MappingTables!$C$35),W1088,0))</f>
        <v>0</v>
      </c>
    </row>
    <row r="1089" spans="2:24" s="0" customFormat="0" ht="15">
      <c r="B1089" s="69" t="s">
        <v>1365</v>
      </c>
      <c r="C1089" s="70" t="s">
        <v>1366</v>
      </c>
      <c r="D1089" s="70" t="s">
        <v>1</v>
      </c>
      <c r="E1089" s="70" t="s">
        <v>1</v>
      </c>
      <c r="F1089" s="70"/>
      <c r="G1089" s="70" t="s">
        <v>61</v>
      </c>
      <c r="H1089" s="70" t="s">
        <v>178</v>
      </c>
      <c r="I1089" s="70" t="s">
        <v>181</v>
      </c>
      <c r="J1089" s="71">
        <f>IF(OR(I1089=0,I1089=""),"unrated",VLOOKUP(I1089,MappingTables!$B$19:$C$31,2,FALSE))</f>
        <v>3</v>
      </c>
      <c r="K1089" s="72">
        <v>8898.75386971224</v>
      </c>
      <c r="L1089" s="70">
        <v>1.393035726516002</v>
      </c>
      <c r="M1089" s="71">
        <f>IF(L1089&lt;1,1,L1089)</f>
        <v>1.393035726516002</v>
      </c>
      <c r="N1089" s="70" t="s">
        <v>141</v>
      </c>
      <c r="O1089" s="71">
        <f>INDEX(DurClassMapping,MATCH(M1089,MappingTables!$D$4:$D$8,-1),1)</f>
        <v>1</v>
      </c>
      <c r="P1089" s="73">
        <f>IF(M1089=$A$1,1,$M1089-INDEX(MappingTables!$E$4:$E$8,MATCH(O1089,MappingTables!$B$4:$B$8,0)))</f>
        <v>1.393035726516002</v>
      </c>
      <c r="Q1089" s="71">
        <f>IF(B1089="",0,INDEX(ModelParameters!$D$6:$K$10,MATCH($O1089,ModelParameters!$B$6:$B$10,0),MATCH($J1089,ModelParameters!$D$5:$K$5,0)))</f>
        <v>0.025</v>
      </c>
      <c r="R1089" s="71">
        <f>IF(B1089="",0,INDEX(ModelParameters!$D$13:$K$17,MATCH($O1089,ModelParameters!$B$13:$B$17,0),MATCH($J1089,ModelParameters!$D$5:$K$5,0)))</f>
        <v>0</v>
      </c>
      <c r="S1089" s="160">
        <f>IF(B1089="",0,MIN(IF($N1089="Other Bond TM",ModelParameters!$N$21,1)*(P1089*Q1089+R1089),1))</f>
        <v>0.034825893162900052</v>
      </c>
      <c r="T1089" s="85">
        <f>IF(B1089="",0,$S1089*$K1089)</f>
        <v>309.90705154954184</v>
      </c>
      <c r="U1089" s="85">
        <f>IF(B1089="",0,IF(OR(H1089=MappingTables!$C$34,H1089=MappingTables!$C$35),T1089,0))</f>
        <v>0</v>
      </c>
      <c r="V1089" s="85">
        <f>IF(ISNA(IF(AND(VLOOKUP(CONCATENATE($D1089,$G1089),CSRFinput!$B:$E,4,0)=0,OR(H1089=MappingTables!$C$34,H1089=MappingTables!$C$35)),1,VLOOKUP(CONCATENATE($D1089,$G1089),CSRFinput!$B:$E,4,0))),0,IF(AND(VLOOKUP(CONCATENATE($D1089,$G1089),CSRFinput!$B:$E,4,0)=0,OR(H1089=MappingTables!$C$34,H1089=MappingTables!$C$35)),1,VLOOKUP(CONCATENATE($D1089,$G1089),CSRFinput!$B:$E,4,0)))</f>
        <v>0.054776304963434752</v>
      </c>
      <c r="W1089" s="85">
        <f>IF(B1089="",0,+$T1089*$V1089)</f>
        <v>16.9755631659966</v>
      </c>
      <c r="X1089" s="85">
        <f>IF(B1089="",0,IF(OR(H1089=MappingTables!$C$34,H1089=MappingTables!$C$35),W1089,0))</f>
        <v>0</v>
      </c>
    </row>
    <row r="1090" spans="2:24" s="0" customFormat="0" ht="15">
      <c r="B1090" s="69">
        <v>13123509</v>
      </c>
      <c r="C1090" s="70" t="s">
        <v>1367</v>
      </c>
      <c r="D1090" s="70" t="s">
        <v>1</v>
      </c>
      <c r="E1090" s="70" t="s">
        <v>1</v>
      </c>
      <c r="F1090" s="70"/>
      <c r="G1090" s="70" t="s">
        <v>61</v>
      </c>
      <c r="H1090" s="70" t="s">
        <v>178</v>
      </c>
      <c r="I1090" s="70" t="s">
        <v>179</v>
      </c>
      <c r="J1090" s="71">
        <f>IF(OR(I1090=0,I1090=""),"unrated",VLOOKUP(I1090,MappingTables!$B$19:$C$31,2,FALSE))</f>
        <v>4</v>
      </c>
      <c r="K1090" s="72">
        <v>267.8354022230706</v>
      </c>
      <c r="L1090" s="70">
        <v>0.04109679529362252</v>
      </c>
      <c r="M1090" s="71">
        <f>IF(L1090&lt;1,1,L1090)</f>
        <v>1</v>
      </c>
      <c r="N1090" s="70" t="s">
        <v>141</v>
      </c>
      <c r="O1090" s="71">
        <f>INDEX(DurClassMapping,MATCH(M1090,MappingTables!$D$4:$D$8,-1),1)</f>
        <v>1</v>
      </c>
      <c r="P1090" s="73">
        <f>IF(M1090=$A$1,1,$M1090-INDEX(MappingTables!$E$4:$E$8,MATCH(O1090,MappingTables!$B$4:$B$8,0)))</f>
        <v>1</v>
      </c>
      <c r="Q1090" s="71">
        <f>IF(B1090="",0,INDEX(ModelParameters!$D$6:$K$10,MATCH($O1090,ModelParameters!$B$6:$B$10,0),MATCH($J1090,ModelParameters!$D$5:$K$5,0)))</f>
        <v>0.045</v>
      </c>
      <c r="R1090" s="71">
        <f>IF(B1090="",0,INDEX(ModelParameters!$D$13:$K$17,MATCH($O1090,ModelParameters!$B$13:$B$17,0),MATCH($J1090,ModelParameters!$D$5:$K$5,0)))</f>
        <v>0</v>
      </c>
      <c r="S1090" s="160">
        <f>IF(B1090="",0,MIN(IF($N1090="Other Bond TM",ModelParameters!$N$21,1)*(P1090*Q1090+R1090),1))</f>
        <v>0.045</v>
      </c>
      <c r="T1090" s="85">
        <f>IF(B1090="",0,$S1090*$K1090)</f>
        <v>12.052593100038176</v>
      </c>
      <c r="U1090" s="85">
        <f>IF(B1090="",0,IF(OR(H1090=MappingTables!$C$34,H1090=MappingTables!$C$35),T1090,0))</f>
        <v>0</v>
      </c>
      <c r="V1090" s="85">
        <f>IF(ISNA(IF(AND(VLOOKUP(CONCATENATE($D1090,$G1090),CSRFinput!$B:$E,4,0)=0,OR(H1090=MappingTables!$C$34,H1090=MappingTables!$C$35)),1,VLOOKUP(CONCATENATE($D1090,$G1090),CSRFinput!$B:$E,4,0))),0,IF(AND(VLOOKUP(CONCATENATE($D1090,$G1090),CSRFinput!$B:$E,4,0)=0,OR(H1090=MappingTables!$C$34,H1090=MappingTables!$C$35)),1,VLOOKUP(CONCATENATE($D1090,$G1090),CSRFinput!$B:$E,4,0)))</f>
        <v>0.054776304963434752</v>
      </c>
      <c r="W1090" s="85">
        <f>IF(B1090="",0,+$T1090*$V1090)</f>
        <v>0.66019651524788056</v>
      </c>
      <c r="X1090" s="85">
        <f>IF(B1090="",0,IF(OR(H1090=MappingTables!$C$34,H1090=MappingTables!$C$35),W1090,0))</f>
        <v>0</v>
      </c>
    </row>
    <row r="1091" spans="2:24" s="0" customFormat="0" ht="15">
      <c r="B1091" s="69">
        <v>21714881</v>
      </c>
      <c r="C1091" s="70" t="s">
        <v>593</v>
      </c>
      <c r="D1091" s="70" t="s">
        <v>1</v>
      </c>
      <c r="E1091" s="70" t="s">
        <v>1</v>
      </c>
      <c r="F1091" s="70"/>
      <c r="G1091" s="70" t="s">
        <v>61</v>
      </c>
      <c r="H1091" s="70" t="s">
        <v>178</v>
      </c>
      <c r="I1091" s="70" t="s">
        <v>179</v>
      </c>
      <c r="J1091" s="71">
        <f>IF(OR(I1091=0,I1091=""),"unrated",VLOOKUP(I1091,MappingTables!$B$19:$C$31,2,FALSE))</f>
        <v>4</v>
      </c>
      <c r="K1091" s="72">
        <v>6928.4171874200064</v>
      </c>
      <c r="L1091" s="70">
        <v>3.781636211321728</v>
      </c>
      <c r="M1091" s="71">
        <f>IF(L1091&lt;1,1,L1091)</f>
        <v>3.781636211321728</v>
      </c>
      <c r="N1091" s="70" t="s">
        <v>141</v>
      </c>
      <c r="O1091" s="71">
        <f>INDEX(DurClassMapping,MATCH(M1091,MappingTables!$D$4:$D$8,-1),1)</f>
        <v>1</v>
      </c>
      <c r="P1091" s="73">
        <f>IF(M1091=$A$1,1,$M1091-INDEX(MappingTables!$E$4:$E$8,MATCH(O1091,MappingTables!$B$4:$B$8,0)))</f>
        <v>3.781636211321728</v>
      </c>
      <c r="Q1091" s="71">
        <f>IF(B1091="",0,INDEX(ModelParameters!$D$6:$K$10,MATCH($O1091,ModelParameters!$B$6:$B$10,0),MATCH($J1091,ModelParameters!$D$5:$K$5,0)))</f>
        <v>0.045</v>
      </c>
      <c r="R1091" s="71">
        <f>IF(B1091="",0,INDEX(ModelParameters!$D$13:$K$17,MATCH($O1091,ModelParameters!$B$13:$B$17,0),MATCH($J1091,ModelParameters!$D$5:$K$5,0)))</f>
        <v>0</v>
      </c>
      <c r="S1091" s="160">
        <f>IF(B1091="",0,MIN(IF($N1091="Other Bond TM",ModelParameters!$N$21,1)*(P1091*Q1091+R1091),1))</f>
        <v>0.17017362950947776</v>
      </c>
      <c r="T1091" s="85">
        <f>IF(B1091="",0,$S1091*$K1091)</f>
        <v>1179.03389953911</v>
      </c>
      <c r="U1091" s="85">
        <f>IF(B1091="",0,IF(OR(H1091=MappingTables!$C$34,H1091=MappingTables!$C$35),T1091,0))</f>
        <v>0</v>
      </c>
      <c r="V1091" s="85">
        <f>IF(ISNA(IF(AND(VLOOKUP(CONCATENATE($D1091,$G1091),CSRFinput!$B:$E,4,0)=0,OR(H1091=MappingTables!$C$34,H1091=MappingTables!$C$35)),1,VLOOKUP(CONCATENATE($D1091,$G1091),CSRFinput!$B:$E,4,0))),0,IF(AND(VLOOKUP(CONCATENATE($D1091,$G1091),CSRFinput!$B:$E,4,0)=0,OR(H1091=MappingTables!$C$34,H1091=MappingTables!$C$35)),1,VLOOKUP(CONCATENATE($D1091,$G1091),CSRFinput!$B:$E,4,0)))</f>
        <v>0.054776304963434752</v>
      </c>
      <c r="W1091" s="85">
        <f>IF(B1091="",0,+$T1091*$V1091)</f>
        <v>64.583120443381984</v>
      </c>
      <c r="X1091" s="85">
        <f>IF(B1091="",0,IF(OR(H1091=MappingTables!$C$34,H1091=MappingTables!$C$35),W1091,0))</f>
        <v>0</v>
      </c>
    </row>
    <row r="1092" spans="2:24" s="0" customFormat="0" ht="15">
      <c r="B1092" s="69">
        <v>17095257</v>
      </c>
      <c r="C1092" s="70" t="s">
        <v>1368</v>
      </c>
      <c r="D1092" s="70" t="s">
        <v>1</v>
      </c>
      <c r="E1092" s="70" t="s">
        <v>1</v>
      </c>
      <c r="F1092" s="70"/>
      <c r="G1092" s="70" t="s">
        <v>61</v>
      </c>
      <c r="H1092" s="70" t="s">
        <v>178</v>
      </c>
      <c r="I1092" s="70" t="s">
        <v>181</v>
      </c>
      <c r="J1092" s="71">
        <f>IF(OR(I1092=0,I1092=""),"unrated",VLOOKUP(I1092,MappingTables!$B$19:$C$31,2,FALSE))</f>
        <v>3</v>
      </c>
      <c r="K1092" s="72">
        <v>759.66185005963792</v>
      </c>
      <c r="L1092" s="70">
        <v>2.3278519499581212</v>
      </c>
      <c r="M1092" s="71">
        <f>IF(L1092&lt;1,1,L1092)</f>
        <v>2.3278519499581212</v>
      </c>
      <c r="N1092" s="70" t="s">
        <v>141</v>
      </c>
      <c r="O1092" s="71">
        <f>INDEX(DurClassMapping,MATCH(M1092,MappingTables!$D$4:$D$8,-1),1)</f>
        <v>1</v>
      </c>
      <c r="P1092" s="73">
        <f>IF(M1092=$A$1,1,$M1092-INDEX(MappingTables!$E$4:$E$8,MATCH(O1092,MappingTables!$B$4:$B$8,0)))</f>
        <v>2.3278519499581212</v>
      </c>
      <c r="Q1092" s="71">
        <f>IF(B1092="",0,INDEX(ModelParameters!$D$6:$K$10,MATCH($O1092,ModelParameters!$B$6:$B$10,0),MATCH($J1092,ModelParameters!$D$5:$K$5,0)))</f>
        <v>0.025</v>
      </c>
      <c r="R1092" s="71">
        <f>IF(B1092="",0,INDEX(ModelParameters!$D$13:$K$17,MATCH($O1092,ModelParameters!$B$13:$B$17,0),MATCH($J1092,ModelParameters!$D$5:$K$5,0)))</f>
        <v>0</v>
      </c>
      <c r="S1092" s="160">
        <f>IF(B1092="",0,MIN(IF($N1092="Other Bond TM",ModelParameters!$N$21,1)*(P1092*Q1092+R1092),1))</f>
        <v>0.05819629874895304</v>
      </c>
      <c r="T1092" s="85">
        <f>IF(B1092="",0,$S1092*$K1092)</f>
        <v>44.209507974253056</v>
      </c>
      <c r="U1092" s="85">
        <f>IF(B1092="",0,IF(OR(H1092=MappingTables!$C$34,H1092=MappingTables!$C$35),T1092,0))</f>
        <v>0</v>
      </c>
      <c r="V1092" s="85">
        <f>IF(ISNA(IF(AND(VLOOKUP(CONCATENATE($D1092,$G1092),CSRFinput!$B:$E,4,0)=0,OR(H1092=MappingTables!$C$34,H1092=MappingTables!$C$35)),1,VLOOKUP(CONCATENATE($D1092,$G1092),CSRFinput!$B:$E,4,0))),0,IF(AND(VLOOKUP(CONCATENATE($D1092,$G1092),CSRFinput!$B:$E,4,0)=0,OR(H1092=MappingTables!$C$34,H1092=MappingTables!$C$35)),1,VLOOKUP(CONCATENATE($D1092,$G1092),CSRFinput!$B:$E,4,0)))</f>
        <v>0.054776304963434752</v>
      </c>
      <c r="W1092" s="85">
        <f>IF(B1092="",0,+$T1092*$V1092)</f>
        <v>2.421633491081086</v>
      </c>
      <c r="X1092" s="85">
        <f>IF(B1092="",0,IF(OR(H1092=MappingTables!$C$34,H1092=MappingTables!$C$35),W1092,0))</f>
        <v>0</v>
      </c>
    </row>
    <row r="1093" spans="2:24" s="0" customFormat="0" ht="15">
      <c r="B1093" s="69" t="s">
        <v>1369</v>
      </c>
      <c r="C1093" s="70" t="s">
        <v>1370</v>
      </c>
      <c r="D1093" s="70" t="s">
        <v>1</v>
      </c>
      <c r="E1093" s="70" t="s">
        <v>1</v>
      </c>
      <c r="F1093" s="70"/>
      <c r="G1093" s="70" t="s">
        <v>61</v>
      </c>
      <c r="H1093" s="70" t="s">
        <v>178</v>
      </c>
      <c r="I1093" s="70" t="s">
        <v>188</v>
      </c>
      <c r="J1093" s="71">
        <f>IF(OR(I1093=0,I1093=""),"unrated",VLOOKUP(I1093,MappingTables!$B$19:$C$31,2,FALSE))</f>
        <v>2</v>
      </c>
      <c r="K1093" s="72">
        <v>136.49750875485754</v>
      </c>
      <c r="L1093" s="70">
        <v>11.845441794952622</v>
      </c>
      <c r="M1093" s="71">
        <f>IF(L1093&lt;1,1,L1093)</f>
        <v>11.845441794952622</v>
      </c>
      <c r="N1093" s="70" t="s">
        <v>141</v>
      </c>
      <c r="O1093" s="71">
        <f>INDEX(DurClassMapping,MATCH(M1093,MappingTables!$D$4:$D$8,-1),1)</f>
        <v>3</v>
      </c>
      <c r="P1093" s="73">
        <f>IF(M1093=$A$1,1,$M1093-INDEX(MappingTables!$E$4:$E$8,MATCH(O1093,MappingTables!$B$4:$B$8,0)))</f>
        <v>1.845441794952622</v>
      </c>
      <c r="Q1093" s="71">
        <f>IF(B1093="",0,INDEX(ModelParameters!$D$6:$K$10,MATCH($O1093,ModelParameters!$B$6:$B$10,0),MATCH($J1093,ModelParameters!$D$5:$K$5,0)))</f>
        <v>0.005</v>
      </c>
      <c r="R1093" s="71">
        <f>IF(B1093="",0,INDEX(ModelParameters!$D$13:$K$17,MATCH($O1093,ModelParameters!$B$13:$B$17,0),MATCH($J1093,ModelParameters!$D$5:$K$5,0)))</f>
        <v>0.105</v>
      </c>
      <c r="S1093" s="160">
        <f>IF(B1093="",0,MIN(IF($N1093="Other Bond TM",ModelParameters!$N$21,1)*(P1093*Q1093+R1093),1))</f>
        <v>0.1142272089747631</v>
      </c>
      <c r="T1093" s="85">
        <f>IF(B1093="",0,$S1093*$K1093)</f>
        <v>15.591729457075668</v>
      </c>
      <c r="U1093" s="85">
        <f>IF(B1093="",0,IF(OR(H1093=MappingTables!$C$34,H1093=MappingTables!$C$35),T1093,0))</f>
        <v>0</v>
      </c>
      <c r="V1093" s="85">
        <f>IF(ISNA(IF(AND(VLOOKUP(CONCATENATE($D1093,$G1093),CSRFinput!$B:$E,4,0)=0,OR(H1093=MappingTables!$C$34,H1093=MappingTables!$C$35)),1,VLOOKUP(CONCATENATE($D1093,$G1093),CSRFinput!$B:$E,4,0))),0,IF(AND(VLOOKUP(CONCATENATE($D1093,$G1093),CSRFinput!$B:$E,4,0)=0,OR(H1093=MappingTables!$C$34,H1093=MappingTables!$C$35)),1,VLOOKUP(CONCATENATE($D1093,$G1093),CSRFinput!$B:$E,4,0)))</f>
        <v>0.054776304963434752</v>
      </c>
      <c r="W1093" s="85">
        <f>IF(B1093="",0,+$T1093*$V1093)</f>
        <v>0.85405732764814576</v>
      </c>
      <c r="X1093" s="85">
        <f>IF(B1093="",0,IF(OR(H1093=MappingTables!$C$34,H1093=MappingTables!$C$35),W1093,0))</f>
        <v>0</v>
      </c>
    </row>
    <row r="1094" spans="2:24" s="0" customFormat="0" ht="15">
      <c r="B1094" s="69">
        <v>20229861</v>
      </c>
      <c r="C1094" s="70" t="s">
        <v>1371</v>
      </c>
      <c r="D1094" s="70" t="s">
        <v>1</v>
      </c>
      <c r="E1094" s="70" t="s">
        <v>1</v>
      </c>
      <c r="F1094" s="70"/>
      <c r="G1094" s="70" t="s">
        <v>61</v>
      </c>
      <c r="H1094" s="70" t="s">
        <v>178</v>
      </c>
      <c r="I1094" s="70" t="s">
        <v>188</v>
      </c>
      <c r="J1094" s="71">
        <f>IF(OR(I1094=0,I1094=""),"unrated",VLOOKUP(I1094,MappingTables!$B$19:$C$31,2,FALSE))</f>
        <v>2</v>
      </c>
      <c r="K1094" s="72">
        <v>1855.9589888064956</v>
      </c>
      <c r="L1094" s="70">
        <v>16.619826519944948</v>
      </c>
      <c r="M1094" s="71">
        <f>IF(L1094&lt;1,1,L1094)</f>
        <v>16.619826519944948</v>
      </c>
      <c r="N1094" s="70" t="s">
        <v>141</v>
      </c>
      <c r="O1094" s="71">
        <f>INDEX(DurClassMapping,MATCH(M1094,MappingTables!$D$4:$D$8,-1),1)</f>
        <v>4</v>
      </c>
      <c r="P1094" s="73">
        <f>IF(M1094=$A$1,1,$M1094-INDEX(MappingTables!$E$4:$E$8,MATCH(O1094,MappingTables!$B$4:$B$8,0)))</f>
        <v>1.6198265199449474</v>
      </c>
      <c r="Q1094" s="71">
        <f>IF(B1094="",0,INDEX(ModelParameters!$D$6:$K$10,MATCH($O1094,ModelParameters!$B$6:$B$10,0),MATCH($J1094,ModelParameters!$D$5:$K$5,0)))</f>
        <v>0.005</v>
      </c>
      <c r="R1094" s="71">
        <f>IF(B1094="",0,INDEX(ModelParameters!$D$13:$K$17,MATCH($O1094,ModelParameters!$B$13:$B$17,0),MATCH($J1094,ModelParameters!$D$5:$K$5,0)))</f>
        <v>0.13</v>
      </c>
      <c r="S1094" s="160">
        <f>IF(B1094="",0,MIN(IF($N1094="Other Bond TM",ModelParameters!$N$21,1)*(P1094*Q1094+R1094),1))</f>
        <v>0.13809913259972472</v>
      </c>
      <c r="T1094" s="85">
        <f>IF(B1094="",0,$S1094*$K1094)</f>
        <v>256.30632649483924</v>
      </c>
      <c r="U1094" s="85">
        <f>IF(B1094="",0,IF(OR(H1094=MappingTables!$C$34,H1094=MappingTables!$C$35),T1094,0))</f>
        <v>0</v>
      </c>
      <c r="V1094" s="85">
        <f>IF(ISNA(IF(AND(VLOOKUP(CONCATENATE($D1094,$G1094),CSRFinput!$B:$E,4,0)=0,OR(H1094=MappingTables!$C$34,H1094=MappingTables!$C$35)),1,VLOOKUP(CONCATENATE($D1094,$G1094),CSRFinput!$B:$E,4,0))),0,IF(AND(VLOOKUP(CONCATENATE($D1094,$G1094),CSRFinput!$B:$E,4,0)=0,OR(H1094=MappingTables!$C$34,H1094=MappingTables!$C$35)),1,VLOOKUP(CONCATENATE($D1094,$G1094),CSRFinput!$B:$E,4,0)))</f>
        <v>0.054776304963434752</v>
      </c>
      <c r="W1094" s="85">
        <f>IF(B1094="",0,+$T1094*$V1094)</f>
        <v>14.039513504138992</v>
      </c>
      <c r="X1094" s="85">
        <f>IF(B1094="",0,IF(OR(H1094=MappingTables!$C$34,H1094=MappingTables!$C$35),W1094,0))</f>
        <v>0</v>
      </c>
    </row>
    <row r="1095" spans="2:24" s="0" customFormat="0" ht="15">
      <c r="B1095" s="69">
        <v>6338134</v>
      </c>
      <c r="C1095" s="70" t="s">
        <v>1372</v>
      </c>
      <c r="D1095" s="70" t="s">
        <v>1</v>
      </c>
      <c r="E1095" s="70" t="s">
        <v>1</v>
      </c>
      <c r="F1095" s="70"/>
      <c r="G1095" s="70" t="s">
        <v>61</v>
      </c>
      <c r="H1095" s="70" t="s">
        <v>178</v>
      </c>
      <c r="I1095" s="70" t="s">
        <v>184</v>
      </c>
      <c r="J1095" s="71">
        <f>IF(OR(I1095=0,I1095=""),"unrated",VLOOKUP(I1095,MappingTables!$B$19:$C$31,2,FALSE))</f>
        <v>5</v>
      </c>
      <c r="K1095" s="72">
        <v>126.20861763029672</v>
      </c>
      <c r="L1095" s="70">
        <v>0.18356142336180948</v>
      </c>
      <c r="M1095" s="71">
        <f>IF(L1095&lt;1,1,L1095)</f>
        <v>1</v>
      </c>
      <c r="N1095" s="70" t="s">
        <v>141</v>
      </c>
      <c r="O1095" s="71">
        <f>INDEX(DurClassMapping,MATCH(M1095,MappingTables!$D$4:$D$8,-1),1)</f>
        <v>1</v>
      </c>
      <c r="P1095" s="73">
        <f>IF(M1095=$A$1,1,$M1095-INDEX(MappingTables!$E$4:$E$8,MATCH(O1095,MappingTables!$B$4:$B$8,0)))</f>
        <v>1</v>
      </c>
      <c r="Q1095" s="71">
        <f>IF(B1095="",0,INDEX(ModelParameters!$D$6:$K$10,MATCH($O1095,ModelParameters!$B$6:$B$10,0),MATCH($J1095,ModelParameters!$D$5:$K$5,0)))</f>
        <v>0.075</v>
      </c>
      <c r="R1095" s="71">
        <f>IF(B1095="",0,INDEX(ModelParameters!$D$13:$K$17,MATCH($O1095,ModelParameters!$B$13:$B$17,0),MATCH($J1095,ModelParameters!$D$5:$K$5,0)))</f>
        <v>0</v>
      </c>
      <c r="S1095" s="160">
        <f>IF(B1095="",0,MIN(IF($N1095="Other Bond TM",ModelParameters!$N$21,1)*(P1095*Q1095+R1095),1))</f>
        <v>0.075</v>
      </c>
      <c r="T1095" s="85">
        <f>IF(B1095="",0,$S1095*$K1095)</f>
        <v>9.4656463222722544</v>
      </c>
      <c r="U1095" s="85">
        <f>IF(B1095="",0,IF(OR(H1095=MappingTables!$C$34,H1095=MappingTables!$C$35),T1095,0))</f>
        <v>0</v>
      </c>
      <c r="V1095" s="85">
        <f>IF(ISNA(IF(AND(VLOOKUP(CONCATENATE($D1095,$G1095),CSRFinput!$B:$E,4,0)=0,OR(H1095=MappingTables!$C$34,H1095=MappingTables!$C$35)),1,VLOOKUP(CONCATENATE($D1095,$G1095),CSRFinput!$B:$E,4,0))),0,IF(AND(VLOOKUP(CONCATENATE($D1095,$G1095),CSRFinput!$B:$E,4,0)=0,OR(H1095=MappingTables!$C$34,H1095=MappingTables!$C$35)),1,VLOOKUP(CONCATENATE($D1095,$G1095),CSRFinput!$B:$E,4,0)))</f>
        <v>0.054776304963434752</v>
      </c>
      <c r="W1095" s="85">
        <f>IF(B1095="",0,+$T1095*$V1095)</f>
        <v>0.51849312962479968</v>
      </c>
      <c r="X1095" s="85">
        <f>IF(B1095="",0,IF(OR(H1095=MappingTables!$C$34,H1095=MappingTables!$C$35),W1095,0))</f>
        <v>0</v>
      </c>
    </row>
    <row r="1096" spans="2:24" s="0" customFormat="0" ht="15">
      <c r="B1096" s="69" t="s">
        <v>1137</v>
      </c>
      <c r="C1096" s="70" t="s">
        <v>1138</v>
      </c>
      <c r="D1096" s="70" t="s">
        <v>1</v>
      </c>
      <c r="E1096" s="70" t="s">
        <v>1</v>
      </c>
      <c r="F1096" s="70"/>
      <c r="G1096" s="70" t="s">
        <v>61</v>
      </c>
      <c r="H1096" s="70" t="s">
        <v>178</v>
      </c>
      <c r="I1096" s="70" t="s">
        <v>188</v>
      </c>
      <c r="J1096" s="71">
        <f>IF(OR(I1096=0,I1096=""),"unrated",VLOOKUP(I1096,MappingTables!$B$19:$C$31,2,FALSE))</f>
        <v>2</v>
      </c>
      <c r="K1096" s="72">
        <v>578.0389478857716</v>
      </c>
      <c r="L1096" s="70">
        <v>0.090408636513375952</v>
      </c>
      <c r="M1096" s="71">
        <f>IF(L1096&lt;1,1,L1096)</f>
        <v>1</v>
      </c>
      <c r="N1096" s="70" t="s">
        <v>141</v>
      </c>
      <c r="O1096" s="71">
        <f>INDEX(DurClassMapping,MATCH(M1096,MappingTables!$D$4:$D$8,-1),1)</f>
        <v>1</v>
      </c>
      <c r="P1096" s="73">
        <f>IF(M1096=$A$1,1,$M1096-INDEX(MappingTables!$E$4:$E$8,MATCH(O1096,MappingTables!$B$4:$B$8,0)))</f>
        <v>1</v>
      </c>
      <c r="Q1096" s="71">
        <f>IF(B1096="",0,INDEX(ModelParameters!$D$6:$K$10,MATCH($O1096,ModelParameters!$B$6:$B$10,0),MATCH($J1096,ModelParameters!$D$5:$K$5,0)))</f>
        <v>0.013999999999999998</v>
      </c>
      <c r="R1096" s="71">
        <f>IF(B1096="",0,INDEX(ModelParameters!$D$13:$K$17,MATCH($O1096,ModelParameters!$B$13:$B$17,0),MATCH($J1096,ModelParameters!$D$5:$K$5,0)))</f>
        <v>0</v>
      </c>
      <c r="S1096" s="160">
        <f>IF(B1096="",0,MIN(IF($N1096="Other Bond TM",ModelParameters!$N$21,1)*(P1096*Q1096+R1096),1))</f>
        <v>0.013999999999999998</v>
      </c>
      <c r="T1096" s="85">
        <f>IF(B1096="",0,$S1096*$K1096)</f>
        <v>8.0925452704008016</v>
      </c>
      <c r="U1096" s="85">
        <f>IF(B1096="",0,IF(OR(H1096=MappingTables!$C$34,H1096=MappingTables!$C$35),T1096,0))</f>
        <v>0</v>
      </c>
      <c r="V1096" s="85">
        <f>IF(ISNA(IF(AND(VLOOKUP(CONCATENATE($D1096,$G1096),CSRFinput!$B:$E,4,0)=0,OR(H1096=MappingTables!$C$34,H1096=MappingTables!$C$35)),1,VLOOKUP(CONCATENATE($D1096,$G1096),CSRFinput!$B:$E,4,0))),0,IF(AND(VLOOKUP(CONCATENATE($D1096,$G1096),CSRFinput!$B:$E,4,0)=0,OR(H1096=MappingTables!$C$34,H1096=MappingTables!$C$35)),1,VLOOKUP(CONCATENATE($D1096,$G1096),CSRFinput!$B:$E,4,0)))</f>
        <v>0.054776304963434752</v>
      </c>
      <c r="W1096" s="85">
        <f>IF(B1096="",0,+$T1096*$V1096)</f>
        <v>0.44327972766187584</v>
      </c>
      <c r="X1096" s="85">
        <f>IF(B1096="",0,IF(OR(H1096=MappingTables!$C$34,H1096=MappingTables!$C$35),W1096,0))</f>
        <v>0</v>
      </c>
    </row>
    <row r="1097" spans="2:24" s="0" customFormat="0" ht="15">
      <c r="B1097" s="69">
        <v>22827428</v>
      </c>
      <c r="C1097" s="70" t="s">
        <v>1373</v>
      </c>
      <c r="D1097" s="70" t="s">
        <v>1</v>
      </c>
      <c r="E1097" s="70" t="s">
        <v>1</v>
      </c>
      <c r="F1097" s="70"/>
      <c r="G1097" s="70" t="s">
        <v>61</v>
      </c>
      <c r="H1097" s="70" t="s">
        <v>178</v>
      </c>
      <c r="I1097" s="70" t="s">
        <v>181</v>
      </c>
      <c r="J1097" s="71">
        <f>IF(OR(I1097=0,I1097=""),"unrated",VLOOKUP(I1097,MappingTables!$B$19:$C$31,2,FALSE))</f>
        <v>3</v>
      </c>
      <c r="K1097" s="72">
        <v>10625.187950517992</v>
      </c>
      <c r="L1097" s="70">
        <v>3.2620870935908076</v>
      </c>
      <c r="M1097" s="71">
        <f>IF(L1097&lt;1,1,L1097)</f>
        <v>3.2620870935908076</v>
      </c>
      <c r="N1097" s="70" t="s">
        <v>141</v>
      </c>
      <c r="O1097" s="71">
        <f>INDEX(DurClassMapping,MATCH(M1097,MappingTables!$D$4:$D$8,-1),1)</f>
        <v>1</v>
      </c>
      <c r="P1097" s="73">
        <f>IF(M1097=$A$1,1,$M1097-INDEX(MappingTables!$E$4:$E$8,MATCH(O1097,MappingTables!$B$4:$B$8,0)))</f>
        <v>3.2620870935908076</v>
      </c>
      <c r="Q1097" s="71">
        <f>IF(B1097="",0,INDEX(ModelParameters!$D$6:$K$10,MATCH($O1097,ModelParameters!$B$6:$B$10,0),MATCH($J1097,ModelParameters!$D$5:$K$5,0)))</f>
        <v>0.025</v>
      </c>
      <c r="R1097" s="71">
        <f>IF(B1097="",0,INDEX(ModelParameters!$D$13:$K$17,MATCH($O1097,ModelParameters!$B$13:$B$17,0),MATCH($J1097,ModelParameters!$D$5:$K$5,0)))</f>
        <v>0</v>
      </c>
      <c r="S1097" s="160">
        <f>IF(B1097="",0,MIN(IF($N1097="Other Bond TM",ModelParameters!$N$21,1)*(P1097*Q1097+R1097),1))</f>
        <v>0.081552177339770208</v>
      </c>
      <c r="T1097" s="85">
        <f>IF(B1097="",0,$S1097*$K1097)</f>
        <v>866.5072120090328</v>
      </c>
      <c r="U1097" s="85">
        <f>IF(B1097="",0,IF(OR(H1097=MappingTables!$C$34,H1097=MappingTables!$C$35),T1097,0))</f>
        <v>0</v>
      </c>
      <c r="V1097" s="85">
        <f>IF(ISNA(IF(AND(VLOOKUP(CONCATENATE($D1097,$G1097),CSRFinput!$B:$E,4,0)=0,OR(H1097=MappingTables!$C$34,H1097=MappingTables!$C$35)),1,VLOOKUP(CONCATENATE($D1097,$G1097),CSRFinput!$B:$E,4,0))),0,IF(AND(VLOOKUP(CONCATENATE($D1097,$G1097),CSRFinput!$B:$E,4,0)=0,OR(H1097=MappingTables!$C$34,H1097=MappingTables!$C$35)),1,VLOOKUP(CONCATENATE($D1097,$G1097),CSRFinput!$B:$E,4,0)))</f>
        <v>0.054776304963434752</v>
      </c>
      <c r="W1097" s="85">
        <f>IF(B1097="",0,+$T1097*$V1097)</f>
        <v>47.464063298022392</v>
      </c>
      <c r="X1097" s="85">
        <f>IF(B1097="",0,IF(OR(H1097=MappingTables!$C$34,H1097=MappingTables!$C$35),W1097,0))</f>
        <v>0</v>
      </c>
    </row>
    <row r="1098" spans="2:24" s="0" customFormat="0" ht="15">
      <c r="B1098" s="69" t="s">
        <v>1374</v>
      </c>
      <c r="C1098" s="70" t="s">
        <v>1375</v>
      </c>
      <c r="D1098" s="70" t="s">
        <v>1</v>
      </c>
      <c r="E1098" s="70" t="s">
        <v>1</v>
      </c>
      <c r="F1098" s="70"/>
      <c r="G1098" s="70" t="s">
        <v>61</v>
      </c>
      <c r="H1098" s="70" t="s">
        <v>178</v>
      </c>
      <c r="I1098" s="70" t="s">
        <v>188</v>
      </c>
      <c r="J1098" s="71">
        <f>IF(OR(I1098=0,I1098=""),"unrated",VLOOKUP(I1098,MappingTables!$B$19:$C$31,2,FALSE))</f>
        <v>2</v>
      </c>
      <c r="K1098" s="72">
        <v>7.0081509881186824</v>
      </c>
      <c r="L1098" s="70">
        <v>0.61114226544420288</v>
      </c>
      <c r="M1098" s="71">
        <f>IF(L1098&lt;1,1,L1098)</f>
        <v>1</v>
      </c>
      <c r="N1098" s="70" t="s">
        <v>141</v>
      </c>
      <c r="O1098" s="71">
        <f>INDEX(DurClassMapping,MATCH(M1098,MappingTables!$D$4:$D$8,-1),1)</f>
        <v>1</v>
      </c>
      <c r="P1098" s="73">
        <f>IF(M1098=$A$1,1,$M1098-INDEX(MappingTables!$E$4:$E$8,MATCH(O1098,MappingTables!$B$4:$B$8,0)))</f>
        <v>1</v>
      </c>
      <c r="Q1098" s="71">
        <f>IF(B1098="",0,INDEX(ModelParameters!$D$6:$K$10,MATCH($O1098,ModelParameters!$B$6:$B$10,0),MATCH($J1098,ModelParameters!$D$5:$K$5,0)))</f>
        <v>0.013999999999999998</v>
      </c>
      <c r="R1098" s="71">
        <f>IF(B1098="",0,INDEX(ModelParameters!$D$13:$K$17,MATCH($O1098,ModelParameters!$B$13:$B$17,0),MATCH($J1098,ModelParameters!$D$5:$K$5,0)))</f>
        <v>0</v>
      </c>
      <c r="S1098" s="160">
        <f>IF(B1098="",0,MIN(IF($N1098="Other Bond TM",ModelParameters!$N$21,1)*(P1098*Q1098+R1098),1))</f>
        <v>0.013999999999999998</v>
      </c>
      <c r="T1098" s="85">
        <f>IF(B1098="",0,$S1098*$K1098)</f>
        <v>0.098114113833661552</v>
      </c>
      <c r="U1098" s="85">
        <f>IF(B1098="",0,IF(OR(H1098=MappingTables!$C$34,H1098=MappingTables!$C$35),T1098,0))</f>
        <v>0</v>
      </c>
      <c r="V1098" s="85">
        <f>IF(ISNA(IF(AND(VLOOKUP(CONCATENATE($D1098,$G1098),CSRFinput!$B:$E,4,0)=0,OR(H1098=MappingTables!$C$34,H1098=MappingTables!$C$35)),1,VLOOKUP(CONCATENATE($D1098,$G1098),CSRFinput!$B:$E,4,0))),0,IF(AND(VLOOKUP(CONCATENATE($D1098,$G1098),CSRFinput!$B:$E,4,0)=0,OR(H1098=MappingTables!$C$34,H1098=MappingTables!$C$35)),1,VLOOKUP(CONCATENATE($D1098,$G1098),CSRFinput!$B:$E,4,0)))</f>
        <v>0.054776304963434752</v>
      </c>
      <c r="W1098" s="85">
        <f>IF(B1098="",0,+$T1098*$V1098)</f>
        <v>0.0053743286205697976</v>
      </c>
      <c r="X1098" s="85">
        <f>IF(B1098="",0,IF(OR(H1098=MappingTables!$C$34,H1098=MappingTables!$C$35),W1098,0))</f>
        <v>0</v>
      </c>
    </row>
    <row r="1099" spans="2:24" s="0" customFormat="0" ht="15">
      <c r="B1099" s="69">
        <v>17355614</v>
      </c>
      <c r="C1099" s="70" t="s">
        <v>1376</v>
      </c>
      <c r="D1099" s="70" t="s">
        <v>1</v>
      </c>
      <c r="E1099" s="70" t="s">
        <v>1</v>
      </c>
      <c r="F1099" s="70"/>
      <c r="G1099" s="70" t="s">
        <v>61</v>
      </c>
      <c r="H1099" s="70" t="s">
        <v>178</v>
      </c>
      <c r="I1099" s="70" t="s">
        <v>179</v>
      </c>
      <c r="J1099" s="71">
        <f>IF(OR(I1099=0,I1099=""),"unrated",VLOOKUP(I1099,MappingTables!$B$19:$C$31,2,FALSE))</f>
        <v>4</v>
      </c>
      <c r="K1099" s="72">
        <v>129.61119937405394</v>
      </c>
      <c r="L1099" s="70">
        <v>3.531659263141998</v>
      </c>
      <c r="M1099" s="71">
        <f>IF(L1099&lt;1,1,L1099)</f>
        <v>3.531659263141998</v>
      </c>
      <c r="N1099" s="70" t="s">
        <v>141</v>
      </c>
      <c r="O1099" s="71">
        <f>INDEX(DurClassMapping,MATCH(M1099,MappingTables!$D$4:$D$8,-1),1)</f>
        <v>1</v>
      </c>
      <c r="P1099" s="73">
        <f>IF(M1099=$A$1,1,$M1099-INDEX(MappingTables!$E$4:$E$8,MATCH(O1099,MappingTables!$B$4:$B$8,0)))</f>
        <v>3.531659263141998</v>
      </c>
      <c r="Q1099" s="71">
        <f>IF(B1099="",0,INDEX(ModelParameters!$D$6:$K$10,MATCH($O1099,ModelParameters!$B$6:$B$10,0),MATCH($J1099,ModelParameters!$D$5:$K$5,0)))</f>
        <v>0.045</v>
      </c>
      <c r="R1099" s="71">
        <f>IF(B1099="",0,INDEX(ModelParameters!$D$13:$K$17,MATCH($O1099,ModelParameters!$B$13:$B$17,0),MATCH($J1099,ModelParameters!$D$5:$K$5,0)))</f>
        <v>0</v>
      </c>
      <c r="S1099" s="160">
        <f>IF(B1099="",0,MIN(IF($N1099="Other Bond TM",ModelParameters!$N$21,1)*(P1099*Q1099+R1099),1))</f>
        <v>0.1589246668413899</v>
      </c>
      <c r="T1099" s="85">
        <f>IF(B1099="",0,$S1099*$K1099)</f>
        <v>20.598416679434484</v>
      </c>
      <c r="U1099" s="85">
        <f>IF(B1099="",0,IF(OR(H1099=MappingTables!$C$34,H1099=MappingTables!$C$35),T1099,0))</f>
        <v>0</v>
      </c>
      <c r="V1099" s="85">
        <f>IF(ISNA(IF(AND(VLOOKUP(CONCATENATE($D1099,$G1099),CSRFinput!$B:$E,4,0)=0,OR(H1099=MappingTables!$C$34,H1099=MappingTables!$C$35)),1,VLOOKUP(CONCATENATE($D1099,$G1099),CSRFinput!$B:$E,4,0))),0,IF(AND(VLOOKUP(CONCATENATE($D1099,$G1099),CSRFinput!$B:$E,4,0)=0,OR(H1099=MappingTables!$C$34,H1099=MappingTables!$C$35)),1,VLOOKUP(CONCATENATE($D1099,$G1099),CSRFinput!$B:$E,4,0)))</f>
        <v>0.054776304963434752</v>
      </c>
      <c r="W1099" s="85">
        <f>IF(B1099="",0,+$T1099*$V1099)</f>
        <v>1.1283051537966044</v>
      </c>
      <c r="X1099" s="85">
        <f>IF(B1099="",0,IF(OR(H1099=MappingTables!$C$34,H1099=MappingTables!$C$35),W1099,0))</f>
        <v>0</v>
      </c>
    </row>
    <row r="1100" spans="2:24" s="0" customFormat="0" ht="15">
      <c r="B1100" s="69" t="s">
        <v>1377</v>
      </c>
      <c r="C1100" s="70" t="s">
        <v>1378</v>
      </c>
      <c r="D1100" s="70" t="s">
        <v>1</v>
      </c>
      <c r="E1100" s="70" t="s">
        <v>1</v>
      </c>
      <c r="F1100" s="70"/>
      <c r="G1100" s="70" t="s">
        <v>61</v>
      </c>
      <c r="H1100" s="70" t="s">
        <v>178</v>
      </c>
      <c r="I1100" s="70" t="s">
        <v>184</v>
      </c>
      <c r="J1100" s="71">
        <f>IF(OR(I1100=0,I1100=""),"unrated",VLOOKUP(I1100,MappingTables!$B$19:$C$31,2,FALSE))</f>
        <v>5</v>
      </c>
      <c r="K1100" s="72">
        <v>137.59910588567294</v>
      </c>
      <c r="L1100" s="70">
        <v>9.8227661725434384</v>
      </c>
      <c r="M1100" s="71">
        <f>IF(L1100&lt;1,1,L1100)</f>
        <v>9.8227661725434384</v>
      </c>
      <c r="N1100" s="70" t="s">
        <v>141</v>
      </c>
      <c r="O1100" s="71">
        <f>INDEX(DurClassMapping,MATCH(M1100,MappingTables!$D$4:$D$8,-1),1)</f>
        <v>2</v>
      </c>
      <c r="P1100" s="73">
        <f>IF(M1100=$A$1,1,$M1100-INDEX(MappingTables!$E$4:$E$8,MATCH(O1100,MappingTables!$B$4:$B$8,0)))</f>
        <v>4.8227661725434384</v>
      </c>
      <c r="Q1100" s="71">
        <f>IF(B1100="",0,INDEX(ModelParameters!$D$6:$K$10,MATCH($O1100,ModelParameters!$B$6:$B$10,0),MATCH($J1100,ModelParameters!$D$5:$K$5,0)))</f>
        <v>0.042</v>
      </c>
      <c r="R1100" s="71">
        <f>IF(B1100="",0,INDEX(ModelParameters!$D$13:$K$17,MATCH($O1100,ModelParameters!$B$13:$B$17,0),MATCH($J1100,ModelParameters!$D$5:$K$5,0)))</f>
        <v>0.375</v>
      </c>
      <c r="S1100" s="160">
        <f>IF(B1100="",0,MIN(IF($N1100="Other Bond TM",ModelParameters!$N$21,1)*(P1100*Q1100+R1100),1))</f>
        <v>0.57755617924682448</v>
      </c>
      <c r="T1100" s="85">
        <f>IF(B1100="",0,$S1100*$K1100)</f>
        <v>79.471213863108496</v>
      </c>
      <c r="U1100" s="85">
        <f>IF(B1100="",0,IF(OR(H1100=MappingTables!$C$34,H1100=MappingTables!$C$35),T1100,0))</f>
        <v>0</v>
      </c>
      <c r="V1100" s="85">
        <f>IF(ISNA(IF(AND(VLOOKUP(CONCATENATE($D1100,$G1100),CSRFinput!$B:$E,4,0)=0,OR(H1100=MappingTables!$C$34,H1100=MappingTables!$C$35)),1,VLOOKUP(CONCATENATE($D1100,$G1100),CSRFinput!$B:$E,4,0))),0,IF(AND(VLOOKUP(CONCATENATE($D1100,$G1100),CSRFinput!$B:$E,4,0)=0,OR(H1100=MappingTables!$C$34,H1100=MappingTables!$C$35)),1,VLOOKUP(CONCATENATE($D1100,$G1100),CSRFinput!$B:$E,4,0)))</f>
        <v>0.054776304963434752</v>
      </c>
      <c r="W1100" s="85">
        <f>IF(B1100="",0,+$T1100*$V1100)</f>
        <v>4.3531394463799752</v>
      </c>
      <c r="X1100" s="85">
        <f>IF(B1100="",0,IF(OR(H1100=MappingTables!$C$34,H1100=MappingTables!$C$35),W1100,0))</f>
        <v>0</v>
      </c>
    </row>
    <row r="1101" spans="2:24" s="0" customFormat="0" ht="15">
      <c r="B1101" s="69">
        <v>9159514</v>
      </c>
      <c r="C1101" s="70" t="s">
        <v>1379</v>
      </c>
      <c r="D1101" s="70" t="s">
        <v>1</v>
      </c>
      <c r="E1101" s="70" t="s">
        <v>1</v>
      </c>
      <c r="F1101" s="70"/>
      <c r="G1101" s="70" t="s">
        <v>61</v>
      </c>
      <c r="H1101" s="70" t="s">
        <v>178</v>
      </c>
      <c r="I1101" s="70" t="s">
        <v>179</v>
      </c>
      <c r="J1101" s="71">
        <f>IF(OR(I1101=0,I1101=""),"unrated",VLOOKUP(I1101,MappingTables!$B$19:$C$31,2,FALSE))</f>
        <v>4</v>
      </c>
      <c r="K1101" s="72">
        <v>313.69997763677968</v>
      </c>
      <c r="L1101" s="70">
        <v>3.3749176571573244</v>
      </c>
      <c r="M1101" s="71">
        <f>IF(L1101&lt;1,1,L1101)</f>
        <v>3.3749176571573244</v>
      </c>
      <c r="N1101" s="70" t="s">
        <v>141</v>
      </c>
      <c r="O1101" s="71">
        <f>INDEX(DurClassMapping,MATCH(M1101,MappingTables!$D$4:$D$8,-1),1)</f>
        <v>1</v>
      </c>
      <c r="P1101" s="73">
        <f>IF(M1101=$A$1,1,$M1101-INDEX(MappingTables!$E$4:$E$8,MATCH(O1101,MappingTables!$B$4:$B$8,0)))</f>
        <v>3.3749176571573244</v>
      </c>
      <c r="Q1101" s="71">
        <f>IF(B1101="",0,INDEX(ModelParameters!$D$6:$K$10,MATCH($O1101,ModelParameters!$B$6:$B$10,0),MATCH($J1101,ModelParameters!$D$5:$K$5,0)))</f>
        <v>0.045</v>
      </c>
      <c r="R1101" s="71">
        <f>IF(B1101="",0,INDEX(ModelParameters!$D$13:$K$17,MATCH($O1101,ModelParameters!$B$13:$B$17,0),MATCH($J1101,ModelParameters!$D$5:$K$5,0)))</f>
        <v>0</v>
      </c>
      <c r="S1101" s="160">
        <f>IF(B1101="",0,MIN(IF($N1101="Other Bond TM",ModelParameters!$N$21,1)*(P1101*Q1101+R1101),1))</f>
        <v>0.1518712945720796</v>
      </c>
      <c r="T1101" s="85">
        <f>IF(B1101="",0,$S1101*$K1101)</f>
        <v>47.642021710930152</v>
      </c>
      <c r="U1101" s="85">
        <f>IF(B1101="",0,IF(OR(H1101=MappingTables!$C$34,H1101=MappingTables!$C$35),T1101,0))</f>
        <v>0</v>
      </c>
      <c r="V1101" s="85">
        <f>IF(ISNA(IF(AND(VLOOKUP(CONCATENATE($D1101,$G1101),CSRFinput!$B:$E,4,0)=0,OR(H1101=MappingTables!$C$34,H1101=MappingTables!$C$35)),1,VLOOKUP(CONCATENATE($D1101,$G1101),CSRFinput!$B:$E,4,0))),0,IF(AND(VLOOKUP(CONCATENATE($D1101,$G1101),CSRFinput!$B:$E,4,0)=0,OR(H1101=MappingTables!$C$34,H1101=MappingTables!$C$35)),1,VLOOKUP(CONCATENATE($D1101,$G1101),CSRFinput!$B:$E,4,0)))</f>
        <v>0.054776304963434752</v>
      </c>
      <c r="W1101" s="85">
        <f>IF(B1101="",0,+$T1101*$V1101)</f>
        <v>2.6096539103124896</v>
      </c>
      <c r="X1101" s="85">
        <f>IF(B1101="",0,IF(OR(H1101=MappingTables!$C$34,H1101=MappingTables!$C$35),W1101,0))</f>
        <v>0</v>
      </c>
    </row>
    <row r="1102" spans="2:24" s="0" customFormat="0" ht="15">
      <c r="B1102" s="69">
        <v>15647467</v>
      </c>
      <c r="C1102" s="70" t="s">
        <v>1380</v>
      </c>
      <c r="D1102" s="70" t="s">
        <v>1</v>
      </c>
      <c r="E1102" s="70" t="s">
        <v>1</v>
      </c>
      <c r="F1102" s="70"/>
      <c r="G1102" s="70" t="s">
        <v>61</v>
      </c>
      <c r="H1102" s="70" t="s">
        <v>178</v>
      </c>
      <c r="I1102" s="70" t="s">
        <v>181</v>
      </c>
      <c r="J1102" s="71">
        <f>IF(OR(I1102=0,I1102=""),"unrated",VLOOKUP(I1102,MappingTables!$B$19:$C$31,2,FALSE))</f>
        <v>3</v>
      </c>
      <c r="K1102" s="72">
        <v>2.4814414263271168</v>
      </c>
      <c r="L1102" s="70">
        <v>1.8004135616633068</v>
      </c>
      <c r="M1102" s="71">
        <f>IF(L1102&lt;1,1,L1102)</f>
        <v>1.8004135616633068</v>
      </c>
      <c r="N1102" s="70" t="s">
        <v>141</v>
      </c>
      <c r="O1102" s="71">
        <f>INDEX(DurClassMapping,MATCH(M1102,MappingTables!$D$4:$D$8,-1),1)</f>
        <v>1</v>
      </c>
      <c r="P1102" s="73">
        <f>IF(M1102=$A$1,1,$M1102-INDEX(MappingTables!$E$4:$E$8,MATCH(O1102,MappingTables!$B$4:$B$8,0)))</f>
        <v>1.8004135616633068</v>
      </c>
      <c r="Q1102" s="71">
        <f>IF(B1102="",0,INDEX(ModelParameters!$D$6:$K$10,MATCH($O1102,ModelParameters!$B$6:$B$10,0),MATCH($J1102,ModelParameters!$D$5:$K$5,0)))</f>
        <v>0.025</v>
      </c>
      <c r="R1102" s="71">
        <f>IF(B1102="",0,INDEX(ModelParameters!$D$13:$K$17,MATCH($O1102,ModelParameters!$B$13:$B$17,0),MATCH($J1102,ModelParameters!$D$5:$K$5,0)))</f>
        <v>0</v>
      </c>
      <c r="S1102" s="160">
        <f>IF(B1102="",0,MIN(IF($N1102="Other Bond TM",ModelParameters!$N$21,1)*(P1102*Q1102+R1102),1))</f>
        <v>0.045010339041582672</v>
      </c>
      <c r="T1102" s="85">
        <f>IF(B1102="",0,$S1102*$K1102)</f>
        <v>0.11169051991081202</v>
      </c>
      <c r="U1102" s="85">
        <f>IF(B1102="",0,IF(OR(H1102=MappingTables!$C$34,H1102=MappingTables!$C$35),T1102,0))</f>
        <v>0</v>
      </c>
      <c r="V1102" s="85">
        <f>IF(ISNA(IF(AND(VLOOKUP(CONCATENATE($D1102,$G1102),CSRFinput!$B:$E,4,0)=0,OR(H1102=MappingTables!$C$34,H1102=MappingTables!$C$35)),1,VLOOKUP(CONCATENATE($D1102,$G1102),CSRFinput!$B:$E,4,0))),0,IF(AND(VLOOKUP(CONCATENATE($D1102,$G1102),CSRFinput!$B:$E,4,0)=0,OR(H1102=MappingTables!$C$34,H1102=MappingTables!$C$35)),1,VLOOKUP(CONCATENATE($D1102,$G1102),CSRFinput!$B:$E,4,0)))</f>
        <v>0.054776304963434752</v>
      </c>
      <c r="W1102" s="85">
        <f>IF(B1102="",0,+$T1102*$V1102)</f>
        <v>0.0061179939801592208</v>
      </c>
      <c r="X1102" s="85">
        <f>IF(B1102="",0,IF(OR(H1102=MappingTables!$C$34,H1102=MappingTables!$C$35),W1102,0))</f>
        <v>0</v>
      </c>
    </row>
    <row r="1103" spans="2:24" s="0" customFormat="0" ht="15">
      <c r="B1103" s="69" t="s">
        <v>1381</v>
      </c>
      <c r="C1103" s="70" t="s">
        <v>1382</v>
      </c>
      <c r="D1103" s="70" t="s">
        <v>1</v>
      </c>
      <c r="E1103" s="70" t="s">
        <v>1</v>
      </c>
      <c r="F1103" s="70"/>
      <c r="G1103" s="70" t="s">
        <v>61</v>
      </c>
      <c r="H1103" s="70" t="s">
        <v>178</v>
      </c>
      <c r="I1103" s="70" t="s">
        <v>204</v>
      </c>
      <c r="J1103" s="71">
        <f>IF(OR(I1103=0,I1103=""),"unrated",VLOOKUP(I1103,MappingTables!$B$19:$C$31,2,FALSE))</f>
        <v>6</v>
      </c>
      <c r="K1103" s="72">
        <v>91468.154877959616</v>
      </c>
      <c r="L1103" s="70">
        <v>0.08767055159007032</v>
      </c>
      <c r="M1103" s="71">
        <f>IF(L1103&lt;1,1,L1103)</f>
        <v>1</v>
      </c>
      <c r="N1103" s="70" t="s">
        <v>141</v>
      </c>
      <c r="O1103" s="71">
        <f>INDEX(DurClassMapping,MATCH(M1103,MappingTables!$D$4:$D$8,-1),1)</f>
        <v>1</v>
      </c>
      <c r="P1103" s="73">
        <f>IF(M1103=$A$1,1,$M1103-INDEX(MappingTables!$E$4:$E$8,MATCH(O1103,MappingTables!$B$4:$B$8,0)))</f>
        <v>1</v>
      </c>
      <c r="Q1103" s="71">
        <f>IF(B1103="",0,INDEX(ModelParameters!$D$6:$K$10,MATCH($O1103,ModelParameters!$B$6:$B$10,0),MATCH($J1103,ModelParameters!$D$5:$K$5,0)))</f>
        <v>0.075</v>
      </c>
      <c r="R1103" s="71">
        <f>IF(B1103="",0,INDEX(ModelParameters!$D$13:$K$17,MATCH($O1103,ModelParameters!$B$13:$B$17,0),MATCH($J1103,ModelParameters!$D$5:$K$5,0)))</f>
        <v>0</v>
      </c>
      <c r="S1103" s="160">
        <f>IF(B1103="",0,MIN(IF($N1103="Other Bond TM",ModelParameters!$N$21,1)*(P1103*Q1103+R1103),1))</f>
        <v>0.075</v>
      </c>
      <c r="T1103" s="85">
        <f>IF(B1103="",0,$S1103*$K1103)</f>
        <v>6860.1116158469712</v>
      </c>
      <c r="U1103" s="85">
        <f>IF(B1103="",0,IF(OR(H1103=MappingTables!$C$34,H1103=MappingTables!$C$35),T1103,0))</f>
        <v>0</v>
      </c>
      <c r="V1103" s="85">
        <f>IF(ISNA(IF(AND(VLOOKUP(CONCATENATE($D1103,$G1103),CSRFinput!$B:$E,4,0)=0,OR(H1103=MappingTables!$C$34,H1103=MappingTables!$C$35)),1,VLOOKUP(CONCATENATE($D1103,$G1103),CSRFinput!$B:$E,4,0))),0,IF(AND(VLOOKUP(CONCATENATE($D1103,$G1103),CSRFinput!$B:$E,4,0)=0,OR(H1103=MappingTables!$C$34,H1103=MappingTables!$C$35)),1,VLOOKUP(CONCATENATE($D1103,$G1103),CSRFinput!$B:$E,4,0)))</f>
        <v>0.054776304963434752</v>
      </c>
      <c r="W1103" s="85">
        <f>IF(B1103="",0,+$T1103*$V1103)</f>
        <v>375.77156595283488</v>
      </c>
      <c r="X1103" s="85">
        <f>IF(B1103="",0,IF(OR(H1103=MappingTables!$C$34,H1103=MappingTables!$C$35),W1103,0))</f>
        <v>0</v>
      </c>
    </row>
    <row r="1104" spans="2:24" s="0" customFormat="0" ht="15">
      <c r="B1104" s="69">
        <v>3196426</v>
      </c>
      <c r="C1104" s="70" t="s">
        <v>1383</v>
      </c>
      <c r="D1104" s="70" t="s">
        <v>1</v>
      </c>
      <c r="E1104" s="70" t="s">
        <v>1</v>
      </c>
      <c r="F1104" s="70"/>
      <c r="G1104" s="70" t="s">
        <v>61</v>
      </c>
      <c r="H1104" s="70" t="s">
        <v>178</v>
      </c>
      <c r="I1104" s="70" t="s">
        <v>181</v>
      </c>
      <c r="J1104" s="71">
        <f>IF(OR(I1104=0,I1104=""),"unrated",VLOOKUP(I1104,MappingTables!$B$19:$C$31,2,FALSE))</f>
        <v>3</v>
      </c>
      <c r="K1104" s="72">
        <v>260302.77252197264</v>
      </c>
      <c r="L1104" s="70">
        <v>0.47397438420699912</v>
      </c>
      <c r="M1104" s="71">
        <f>IF(L1104&lt;1,1,L1104)</f>
        <v>1</v>
      </c>
      <c r="N1104" s="70" t="s">
        <v>141</v>
      </c>
      <c r="O1104" s="71">
        <f>INDEX(DurClassMapping,MATCH(M1104,MappingTables!$D$4:$D$8,-1),1)</f>
        <v>1</v>
      </c>
      <c r="P1104" s="73">
        <f>IF(M1104=$A$1,1,$M1104-INDEX(MappingTables!$E$4:$E$8,MATCH(O1104,MappingTables!$B$4:$B$8,0)))</f>
        <v>1</v>
      </c>
      <c r="Q1104" s="71">
        <f>IF(B1104="",0,INDEX(ModelParameters!$D$6:$K$10,MATCH($O1104,ModelParameters!$B$6:$B$10,0),MATCH($J1104,ModelParameters!$D$5:$K$5,0)))</f>
        <v>0.025</v>
      </c>
      <c r="R1104" s="71">
        <f>IF(B1104="",0,INDEX(ModelParameters!$D$13:$K$17,MATCH($O1104,ModelParameters!$B$13:$B$17,0),MATCH($J1104,ModelParameters!$D$5:$K$5,0)))</f>
        <v>0</v>
      </c>
      <c r="S1104" s="160">
        <f>IF(B1104="",0,MIN(IF($N1104="Other Bond TM",ModelParameters!$N$21,1)*(P1104*Q1104+R1104),1))</f>
        <v>0.025</v>
      </c>
      <c r="T1104" s="85">
        <f>IF(B1104="",0,$S1104*$K1104)</f>
        <v>6507.5693130493168</v>
      </c>
      <c r="U1104" s="85">
        <f>IF(B1104="",0,IF(OR(H1104=MappingTables!$C$34,H1104=MappingTables!$C$35),T1104,0))</f>
        <v>0</v>
      </c>
      <c r="V1104" s="85">
        <f>IF(ISNA(IF(AND(VLOOKUP(CONCATENATE($D1104,$G1104),CSRFinput!$B:$E,4,0)=0,OR(H1104=MappingTables!$C$34,H1104=MappingTables!$C$35)),1,VLOOKUP(CONCATENATE($D1104,$G1104),CSRFinput!$B:$E,4,0))),0,IF(AND(VLOOKUP(CONCATENATE($D1104,$G1104),CSRFinput!$B:$E,4,0)=0,OR(H1104=MappingTables!$C$34,H1104=MappingTables!$C$35)),1,VLOOKUP(CONCATENATE($D1104,$G1104),CSRFinput!$B:$E,4,0)))</f>
        <v>0.054776304963434752</v>
      </c>
      <c r="W1104" s="85">
        <f>IF(B1104="",0,+$T1104*$V1104)</f>
        <v>356.46060126227896</v>
      </c>
      <c r="X1104" s="85">
        <f>IF(B1104="",0,IF(OR(H1104=MappingTables!$C$34,H1104=MappingTables!$C$35),W1104,0))</f>
        <v>0</v>
      </c>
    </row>
    <row r="1105" spans="2:24" s="0" customFormat="0" ht="15">
      <c r="B1105" s="69">
        <v>5168869</v>
      </c>
      <c r="C1105" s="70" t="s">
        <v>1384</v>
      </c>
      <c r="D1105" s="70" t="s">
        <v>1</v>
      </c>
      <c r="E1105" s="70" t="s">
        <v>1</v>
      </c>
      <c r="F1105" s="70"/>
      <c r="G1105" s="70" t="s">
        <v>61</v>
      </c>
      <c r="H1105" s="70" t="s">
        <v>178</v>
      </c>
      <c r="I1105" s="70" t="s">
        <v>181</v>
      </c>
      <c r="J1105" s="71">
        <f>IF(OR(I1105=0,I1105=""),"unrated",VLOOKUP(I1105,MappingTables!$B$19:$C$31,2,FALSE))</f>
        <v>3</v>
      </c>
      <c r="K1105" s="72">
        <v>955.06604223868528</v>
      </c>
      <c r="L1105" s="70">
        <v>1.4314040217129814</v>
      </c>
      <c r="M1105" s="71">
        <f>IF(L1105&lt;1,1,L1105)</f>
        <v>1.4314040217129814</v>
      </c>
      <c r="N1105" s="70" t="s">
        <v>141</v>
      </c>
      <c r="O1105" s="71">
        <f>INDEX(DurClassMapping,MATCH(M1105,MappingTables!$D$4:$D$8,-1),1)</f>
        <v>1</v>
      </c>
      <c r="P1105" s="73">
        <f>IF(M1105=$A$1,1,$M1105-INDEX(MappingTables!$E$4:$E$8,MATCH(O1105,MappingTables!$B$4:$B$8,0)))</f>
        <v>1.4314040217129814</v>
      </c>
      <c r="Q1105" s="71">
        <f>IF(B1105="",0,INDEX(ModelParameters!$D$6:$K$10,MATCH($O1105,ModelParameters!$B$6:$B$10,0),MATCH($J1105,ModelParameters!$D$5:$K$5,0)))</f>
        <v>0.025</v>
      </c>
      <c r="R1105" s="71">
        <f>IF(B1105="",0,INDEX(ModelParameters!$D$13:$K$17,MATCH($O1105,ModelParameters!$B$13:$B$17,0),MATCH($J1105,ModelParameters!$D$5:$K$5,0)))</f>
        <v>0</v>
      </c>
      <c r="S1105" s="160">
        <f>IF(B1105="",0,MIN(IF($N1105="Other Bond TM",ModelParameters!$N$21,1)*(P1105*Q1105+R1105),1))</f>
        <v>0.035785100542824536</v>
      </c>
      <c r="T1105" s="85">
        <f>IF(B1105="",0,$S1105*$K1105)</f>
        <v>34.177134346548856</v>
      </c>
      <c r="U1105" s="85">
        <f>IF(B1105="",0,IF(OR(H1105=MappingTables!$C$34,H1105=MappingTables!$C$35),T1105,0))</f>
        <v>0</v>
      </c>
      <c r="V1105" s="85">
        <f>IF(ISNA(IF(AND(VLOOKUP(CONCATENATE($D1105,$G1105),CSRFinput!$B:$E,4,0)=0,OR(H1105=MappingTables!$C$34,H1105=MappingTables!$C$35)),1,VLOOKUP(CONCATENATE($D1105,$G1105),CSRFinput!$B:$E,4,0))),0,IF(AND(VLOOKUP(CONCATENATE($D1105,$G1105),CSRFinput!$B:$E,4,0)=0,OR(H1105=MappingTables!$C$34,H1105=MappingTables!$C$35)),1,VLOOKUP(CONCATENATE($D1105,$G1105),CSRFinput!$B:$E,4,0)))</f>
        <v>0.054776304963434752</v>
      </c>
      <c r="W1105" s="85">
        <f>IF(B1105="",0,+$T1105*$V1105)</f>
        <v>1.8720971337428404</v>
      </c>
      <c r="X1105" s="85">
        <f>IF(B1105="",0,IF(OR(H1105=MappingTables!$C$34,H1105=MappingTables!$C$35),W1105,0))</f>
        <v>0</v>
      </c>
    </row>
    <row r="1106" spans="2:24" s="0" customFormat="0" ht="15">
      <c r="B1106" s="69">
        <v>19474497</v>
      </c>
      <c r="C1106" s="70" t="s">
        <v>1385</v>
      </c>
      <c r="D1106" s="70" t="s">
        <v>1</v>
      </c>
      <c r="E1106" s="70" t="s">
        <v>1</v>
      </c>
      <c r="F1106" s="70"/>
      <c r="G1106" s="70" t="s">
        <v>61</v>
      </c>
      <c r="H1106" s="70" t="s">
        <v>178</v>
      </c>
      <c r="I1106" s="70" t="s">
        <v>179</v>
      </c>
      <c r="J1106" s="71">
        <f>IF(OR(I1106=0,I1106=""),"unrated",VLOOKUP(I1106,MappingTables!$B$19:$C$31,2,FALSE))</f>
        <v>4</v>
      </c>
      <c r="K1106" s="72">
        <v>20.125884480356104</v>
      </c>
      <c r="L1106" s="70">
        <v>1.254151657595822</v>
      </c>
      <c r="M1106" s="71">
        <f>IF(L1106&lt;1,1,L1106)</f>
        <v>1.254151657595822</v>
      </c>
      <c r="N1106" s="70" t="s">
        <v>141</v>
      </c>
      <c r="O1106" s="71">
        <f>INDEX(DurClassMapping,MATCH(M1106,MappingTables!$D$4:$D$8,-1),1)</f>
        <v>1</v>
      </c>
      <c r="P1106" s="73">
        <f>IF(M1106=$A$1,1,$M1106-INDEX(MappingTables!$E$4:$E$8,MATCH(O1106,MappingTables!$B$4:$B$8,0)))</f>
        <v>1.254151657595822</v>
      </c>
      <c r="Q1106" s="71">
        <f>IF(B1106="",0,INDEX(ModelParameters!$D$6:$K$10,MATCH($O1106,ModelParameters!$B$6:$B$10,0),MATCH($J1106,ModelParameters!$D$5:$K$5,0)))</f>
        <v>0.045</v>
      </c>
      <c r="R1106" s="71">
        <f>IF(B1106="",0,INDEX(ModelParameters!$D$13:$K$17,MATCH($O1106,ModelParameters!$B$13:$B$17,0),MATCH($J1106,ModelParameters!$D$5:$K$5,0)))</f>
        <v>0</v>
      </c>
      <c r="S1106" s="160">
        <f>IF(B1106="",0,MIN(IF($N1106="Other Bond TM",ModelParameters!$N$21,1)*(P1106*Q1106+R1106),1))</f>
        <v>0.056436824591811992</v>
      </c>
      <c r="T1106" s="85">
        <f>IF(B1106="",0,$S1106*$K1106)</f>
        <v>1.1358410121729286</v>
      </c>
      <c r="U1106" s="85">
        <f>IF(B1106="",0,IF(OR(H1106=MappingTables!$C$34,H1106=MappingTables!$C$35),T1106,0))</f>
        <v>0</v>
      </c>
      <c r="V1106" s="85">
        <f>IF(ISNA(IF(AND(VLOOKUP(CONCATENATE($D1106,$G1106),CSRFinput!$B:$E,4,0)=0,OR(H1106=MappingTables!$C$34,H1106=MappingTables!$C$35)),1,VLOOKUP(CONCATENATE($D1106,$G1106),CSRFinput!$B:$E,4,0))),0,IF(AND(VLOOKUP(CONCATENATE($D1106,$G1106),CSRFinput!$B:$E,4,0)=0,OR(H1106=MappingTables!$C$34,H1106=MappingTables!$C$35)),1,VLOOKUP(CONCATENATE($D1106,$G1106),CSRFinput!$B:$E,4,0)))</f>
        <v>0.054776304963434752</v>
      </c>
      <c r="W1106" s="85">
        <f>IF(B1106="",0,+$T1106*$V1106)</f>
        <v>0.062217173672760736</v>
      </c>
      <c r="X1106" s="85">
        <f>IF(B1106="",0,IF(OR(H1106=MappingTables!$C$34,H1106=MappingTables!$C$35),W1106,0))</f>
        <v>0</v>
      </c>
    </row>
    <row r="1107" spans="2:24" s="0" customFormat="0" ht="15">
      <c r="B1107" s="69">
        <v>24426174</v>
      </c>
      <c r="C1107" s="70" t="s">
        <v>594</v>
      </c>
      <c r="D1107" s="70" t="s">
        <v>1</v>
      </c>
      <c r="E1107" s="70" t="s">
        <v>1</v>
      </c>
      <c r="F1107" s="70"/>
      <c r="G1107" s="70" t="s">
        <v>61</v>
      </c>
      <c r="H1107" s="70" t="s">
        <v>178</v>
      </c>
      <c r="I1107" s="70" t="s">
        <v>179</v>
      </c>
      <c r="J1107" s="71">
        <f>IF(OR(I1107=0,I1107=""),"unrated",VLOOKUP(I1107,MappingTables!$B$19:$C$31,2,FALSE))</f>
        <v>4</v>
      </c>
      <c r="K1107" s="72">
        <v>16620.817246255764</v>
      </c>
      <c r="L1107" s="70">
        <v>8.07124493473636</v>
      </c>
      <c r="M1107" s="71">
        <f>IF(L1107&lt;1,1,L1107)</f>
        <v>8.07124493473636</v>
      </c>
      <c r="N1107" s="70" t="s">
        <v>141</v>
      </c>
      <c r="O1107" s="71">
        <f>INDEX(DurClassMapping,MATCH(M1107,MappingTables!$D$4:$D$8,-1),1)</f>
        <v>2</v>
      </c>
      <c r="P1107" s="73">
        <f>IF(M1107=$A$1,1,$M1107-INDEX(MappingTables!$E$4:$E$8,MATCH(O1107,MappingTables!$B$4:$B$8,0)))</f>
        <v>3.0712449347363596</v>
      </c>
      <c r="Q1107" s="71">
        <f>IF(B1107="",0,INDEX(ModelParameters!$D$6:$K$10,MATCH($O1107,ModelParameters!$B$6:$B$10,0),MATCH($J1107,ModelParameters!$D$5:$K$5,0)))</f>
        <v>0.025</v>
      </c>
      <c r="R1107" s="71">
        <f>IF(B1107="",0,INDEX(ModelParameters!$D$13:$K$17,MATCH($O1107,ModelParameters!$B$13:$B$17,0),MATCH($J1107,ModelParameters!$D$5:$K$5,0)))</f>
        <v>0.225</v>
      </c>
      <c r="S1107" s="160">
        <f>IF(B1107="",0,MIN(IF($N1107="Other Bond TM",ModelParameters!$N$21,1)*(P1107*Q1107+R1107),1))</f>
        <v>0.301781123368409</v>
      </c>
      <c r="T1107" s="85">
        <f>IF(B1107="",0,$S1107*$K1107)</f>
        <v>5015.8488998760904</v>
      </c>
      <c r="U1107" s="85">
        <f>IF(B1107="",0,IF(OR(H1107=MappingTables!$C$34,H1107=MappingTables!$C$35),T1107,0))</f>
        <v>0</v>
      </c>
      <c r="V1107" s="85">
        <f>IF(ISNA(IF(AND(VLOOKUP(CONCATENATE($D1107,$G1107),CSRFinput!$B:$E,4,0)=0,OR(H1107=MappingTables!$C$34,H1107=MappingTables!$C$35)),1,VLOOKUP(CONCATENATE($D1107,$G1107),CSRFinput!$B:$E,4,0))),0,IF(AND(VLOOKUP(CONCATENATE($D1107,$G1107),CSRFinput!$B:$E,4,0)=0,OR(H1107=MappingTables!$C$34,H1107=MappingTables!$C$35)),1,VLOOKUP(CONCATENATE($D1107,$G1107),CSRFinput!$B:$E,4,0)))</f>
        <v>0.054776304963434752</v>
      </c>
      <c r="W1107" s="85">
        <f>IF(B1107="",0,+$T1107*$V1107)</f>
        <v>274.74966899012144</v>
      </c>
      <c r="X1107" s="85">
        <f>IF(B1107="",0,IF(OR(H1107=MappingTables!$C$34,H1107=MappingTables!$C$35),W1107,0))</f>
        <v>0</v>
      </c>
    </row>
    <row r="1108" spans="2:24" s="0" customFormat="0" ht="15">
      <c r="B1108" s="69">
        <v>15861122</v>
      </c>
      <c r="C1108" s="70" t="s">
        <v>1386</v>
      </c>
      <c r="D1108" s="70" t="s">
        <v>1</v>
      </c>
      <c r="E1108" s="70" t="s">
        <v>1</v>
      </c>
      <c r="F1108" s="70"/>
      <c r="G1108" s="70" t="s">
        <v>61</v>
      </c>
      <c r="H1108" s="70" t="s">
        <v>178</v>
      </c>
      <c r="I1108" s="70" t="s">
        <v>181</v>
      </c>
      <c r="J1108" s="71">
        <f>IF(OR(I1108=0,I1108=""),"unrated",VLOOKUP(I1108,MappingTables!$B$19:$C$31,2,FALSE))</f>
        <v>3</v>
      </c>
      <c r="K1108" s="72">
        <v>126506.24023741592</v>
      </c>
      <c r="L1108" s="70">
        <v>2.0111624735251076</v>
      </c>
      <c r="M1108" s="71">
        <f>IF(L1108&lt;1,1,L1108)</f>
        <v>2.0111624735251076</v>
      </c>
      <c r="N1108" s="70" t="s">
        <v>141</v>
      </c>
      <c r="O1108" s="71">
        <f>INDEX(DurClassMapping,MATCH(M1108,MappingTables!$D$4:$D$8,-1),1)</f>
        <v>1</v>
      </c>
      <c r="P1108" s="73">
        <f>IF(M1108=$A$1,1,$M1108-INDEX(MappingTables!$E$4:$E$8,MATCH(O1108,MappingTables!$B$4:$B$8,0)))</f>
        <v>2.0111624735251076</v>
      </c>
      <c r="Q1108" s="71">
        <f>IF(B1108="",0,INDEX(ModelParameters!$D$6:$K$10,MATCH($O1108,ModelParameters!$B$6:$B$10,0),MATCH($J1108,ModelParameters!$D$5:$K$5,0)))</f>
        <v>0.025</v>
      </c>
      <c r="R1108" s="71">
        <f>IF(B1108="",0,INDEX(ModelParameters!$D$13:$K$17,MATCH($O1108,ModelParameters!$B$13:$B$17,0),MATCH($J1108,ModelParameters!$D$5:$K$5,0)))</f>
        <v>0</v>
      </c>
      <c r="S1108" s="160">
        <f>IF(B1108="",0,MIN(IF($N1108="Other Bond TM",ModelParameters!$N$21,1)*(P1108*Q1108+R1108),1))</f>
        <v>0.050279061838127696</v>
      </c>
      <c r="T1108" s="85">
        <f>IF(B1108="",0,$S1108*$K1108)</f>
        <v>6360.615075806072</v>
      </c>
      <c r="U1108" s="85">
        <f>IF(B1108="",0,IF(OR(H1108=MappingTables!$C$34,H1108=MappingTables!$C$35),T1108,0))</f>
        <v>0</v>
      </c>
      <c r="V1108" s="85">
        <f>IF(ISNA(IF(AND(VLOOKUP(CONCATENATE($D1108,$G1108),CSRFinput!$B:$E,4,0)=0,OR(H1108=MappingTables!$C$34,H1108=MappingTables!$C$35)),1,VLOOKUP(CONCATENATE($D1108,$G1108),CSRFinput!$B:$E,4,0))),0,IF(AND(VLOOKUP(CONCATENATE($D1108,$G1108),CSRFinput!$B:$E,4,0)=0,OR(H1108=MappingTables!$C$34,H1108=MappingTables!$C$35)),1,VLOOKUP(CONCATENATE($D1108,$G1108),CSRFinput!$B:$E,4,0)))</f>
        <v>0.054776304963434752</v>
      </c>
      <c r="W1108" s="85">
        <f>IF(B1108="",0,+$T1108*$V1108)</f>
        <v>348.41099114737408</v>
      </c>
      <c r="X1108" s="85">
        <f>IF(B1108="",0,IF(OR(H1108=MappingTables!$C$34,H1108=MappingTables!$C$35),W1108,0))</f>
        <v>0</v>
      </c>
    </row>
    <row r="1109" spans="2:24" s="0" customFormat="0" ht="15">
      <c r="B1109" s="69">
        <v>19494625</v>
      </c>
      <c r="C1109" s="70" t="s">
        <v>1310</v>
      </c>
      <c r="D1109" s="70" t="s">
        <v>1</v>
      </c>
      <c r="E1109" s="70" t="s">
        <v>1</v>
      </c>
      <c r="F1109" s="70"/>
      <c r="G1109" s="70" t="s">
        <v>61</v>
      </c>
      <c r="H1109" s="70" t="s">
        <v>178</v>
      </c>
      <c r="I1109" s="70" t="s">
        <v>181</v>
      </c>
      <c r="J1109" s="71">
        <f>IF(OR(I1109=0,I1109=""),"unrated",VLOOKUP(I1109,MappingTables!$B$19:$C$31,2,FALSE))</f>
        <v>3</v>
      </c>
      <c r="K1109" s="72">
        <v>17714.749989218886</v>
      </c>
      <c r="L1109" s="70">
        <v>6.9256369791272888</v>
      </c>
      <c r="M1109" s="71">
        <f>IF(L1109&lt;1,1,L1109)</f>
        <v>6.9256369791272888</v>
      </c>
      <c r="N1109" s="70" t="s">
        <v>141</v>
      </c>
      <c r="O1109" s="71">
        <f>INDEX(DurClassMapping,MATCH(M1109,MappingTables!$D$4:$D$8,-1),1)</f>
        <v>2</v>
      </c>
      <c r="P1109" s="73">
        <f>IF(M1109=$A$1,1,$M1109-INDEX(MappingTables!$E$4:$E$8,MATCH(O1109,MappingTables!$B$4:$B$8,0)))</f>
        <v>1.9256369791272884</v>
      </c>
      <c r="Q1109" s="71">
        <f>IF(B1109="",0,INDEX(ModelParameters!$D$6:$K$10,MATCH($O1109,ModelParameters!$B$6:$B$10,0),MATCH($J1109,ModelParameters!$D$5:$K$5,0)))</f>
        <v>0.015</v>
      </c>
      <c r="R1109" s="71">
        <f>IF(B1109="",0,INDEX(ModelParameters!$D$13:$K$17,MATCH($O1109,ModelParameters!$B$13:$B$17,0),MATCH($J1109,ModelParameters!$D$5:$K$5,0)))</f>
        <v>0.125</v>
      </c>
      <c r="S1109" s="160">
        <f>IF(B1109="",0,MIN(IF($N1109="Other Bond TM",ModelParameters!$N$21,1)*(P1109*Q1109+R1109),1))</f>
        <v>0.15388455468690932</v>
      </c>
      <c r="T1109" s="85">
        <f>IF(B1109="",0,$S1109*$K1109)</f>
        <v>2726.02641348088</v>
      </c>
      <c r="U1109" s="85">
        <f>IF(B1109="",0,IF(OR(H1109=MappingTables!$C$34,H1109=MappingTables!$C$35),T1109,0))</f>
        <v>0</v>
      </c>
      <c r="V1109" s="85">
        <f>IF(ISNA(IF(AND(VLOOKUP(CONCATENATE($D1109,$G1109),CSRFinput!$B:$E,4,0)=0,OR(H1109=MappingTables!$C$34,H1109=MappingTables!$C$35)),1,VLOOKUP(CONCATENATE($D1109,$G1109),CSRFinput!$B:$E,4,0))),0,IF(AND(VLOOKUP(CONCATENATE($D1109,$G1109),CSRFinput!$B:$E,4,0)=0,OR(H1109=MappingTables!$C$34,H1109=MappingTables!$C$35)),1,VLOOKUP(CONCATENATE($D1109,$G1109),CSRFinput!$B:$E,4,0)))</f>
        <v>0.054776304963434752</v>
      </c>
      <c r="W1109" s="85">
        <f>IF(B1109="",0,+$T1109*$V1109)</f>
        <v>149.32165416320698</v>
      </c>
      <c r="X1109" s="85">
        <f>IF(B1109="",0,IF(OR(H1109=MappingTables!$C$34,H1109=MappingTables!$C$35),W1109,0))</f>
        <v>0</v>
      </c>
    </row>
    <row r="1110" spans="2:24" s="0" customFormat="0" ht="15">
      <c r="B1110" s="69" t="s">
        <v>1387</v>
      </c>
      <c r="C1110" s="70" t="s">
        <v>1388</v>
      </c>
      <c r="D1110" s="70" t="s">
        <v>1</v>
      </c>
      <c r="E1110" s="70" t="s">
        <v>1</v>
      </c>
      <c r="F1110" s="70"/>
      <c r="G1110" s="70" t="s">
        <v>61</v>
      </c>
      <c r="H1110" s="70" t="s">
        <v>178</v>
      </c>
      <c r="I1110" s="70" t="s">
        <v>184</v>
      </c>
      <c r="J1110" s="71">
        <f>IF(OR(I1110=0,I1110=""),"unrated",VLOOKUP(I1110,MappingTables!$B$19:$C$31,2,FALSE))</f>
        <v>5</v>
      </c>
      <c r="K1110" s="72">
        <v>285.73183596026928</v>
      </c>
      <c r="L1110" s="70">
        <v>3.0178062777531596</v>
      </c>
      <c r="M1110" s="71">
        <f>IF(L1110&lt;1,1,L1110)</f>
        <v>3.0178062777531596</v>
      </c>
      <c r="N1110" s="70" t="s">
        <v>141</v>
      </c>
      <c r="O1110" s="71">
        <f>INDEX(DurClassMapping,MATCH(M1110,MappingTables!$D$4:$D$8,-1),1)</f>
        <v>1</v>
      </c>
      <c r="P1110" s="73">
        <f>IF(M1110=$A$1,1,$M1110-INDEX(MappingTables!$E$4:$E$8,MATCH(O1110,MappingTables!$B$4:$B$8,0)))</f>
        <v>3.0178062777531596</v>
      </c>
      <c r="Q1110" s="71">
        <f>IF(B1110="",0,INDEX(ModelParameters!$D$6:$K$10,MATCH($O1110,ModelParameters!$B$6:$B$10,0),MATCH($J1110,ModelParameters!$D$5:$K$5,0)))</f>
        <v>0.075</v>
      </c>
      <c r="R1110" s="71">
        <f>IF(B1110="",0,INDEX(ModelParameters!$D$13:$K$17,MATCH($O1110,ModelParameters!$B$13:$B$17,0),MATCH($J1110,ModelParameters!$D$5:$K$5,0)))</f>
        <v>0</v>
      </c>
      <c r="S1110" s="160">
        <f>IF(B1110="",0,MIN(IF($N1110="Other Bond TM",ModelParameters!$N$21,1)*(P1110*Q1110+R1110),1))</f>
        <v>0.22633547083148696</v>
      </c>
      <c r="T1110" s="85">
        <f>IF(B1110="",0,$S1110*$K1110)</f>
        <v>64.671249623612752</v>
      </c>
      <c r="U1110" s="85">
        <f>IF(B1110="",0,IF(OR(H1110=MappingTables!$C$34,H1110=MappingTables!$C$35),T1110,0))</f>
        <v>0</v>
      </c>
      <c r="V1110" s="85">
        <f>IF(ISNA(IF(AND(VLOOKUP(CONCATENATE($D1110,$G1110),CSRFinput!$B:$E,4,0)=0,OR(H1110=MappingTables!$C$34,H1110=MappingTables!$C$35)),1,VLOOKUP(CONCATENATE($D1110,$G1110),CSRFinput!$B:$E,4,0))),0,IF(AND(VLOOKUP(CONCATENATE($D1110,$G1110),CSRFinput!$B:$E,4,0)=0,OR(H1110=MappingTables!$C$34,H1110=MappingTables!$C$35)),1,VLOOKUP(CONCATENATE($D1110,$G1110),CSRFinput!$B:$E,4,0)))</f>
        <v>0.054776304963434752</v>
      </c>
      <c r="W1110" s="85">
        <f>IF(B1110="",0,+$T1110*$V1110)</f>
        <v>3.5424520917494272</v>
      </c>
      <c r="X1110" s="85">
        <f>IF(B1110="",0,IF(OR(H1110=MappingTables!$C$34,H1110=MappingTables!$C$35),W1110,0))</f>
        <v>0</v>
      </c>
    </row>
    <row r="1111" spans="2:24" s="0" customFormat="0" ht="15">
      <c r="B1111" s="69" t="s">
        <v>1389</v>
      </c>
      <c r="C1111" s="70" t="s">
        <v>1390</v>
      </c>
      <c r="D1111" s="70" t="s">
        <v>1</v>
      </c>
      <c r="E1111" s="70" t="s">
        <v>1</v>
      </c>
      <c r="F1111" s="70"/>
      <c r="G1111" s="70" t="s">
        <v>61</v>
      </c>
      <c r="H1111" s="70" t="s">
        <v>178</v>
      </c>
      <c r="I1111" s="70" t="s">
        <v>179</v>
      </c>
      <c r="J1111" s="71">
        <f>IF(OR(I1111=0,I1111=""),"unrated",VLOOKUP(I1111,MappingTables!$B$19:$C$31,2,FALSE))</f>
        <v>4</v>
      </c>
      <c r="K1111" s="72">
        <v>6.4907781072845704</v>
      </c>
      <c r="L1111" s="70">
        <v>1.7286932898804866</v>
      </c>
      <c r="M1111" s="71">
        <f>IF(L1111&lt;1,1,L1111)</f>
        <v>1.7286932898804866</v>
      </c>
      <c r="N1111" s="70" t="s">
        <v>141</v>
      </c>
      <c r="O1111" s="71">
        <f>INDEX(DurClassMapping,MATCH(M1111,MappingTables!$D$4:$D$8,-1),1)</f>
        <v>1</v>
      </c>
      <c r="P1111" s="73">
        <f>IF(M1111=$A$1,1,$M1111-INDEX(MappingTables!$E$4:$E$8,MATCH(O1111,MappingTables!$B$4:$B$8,0)))</f>
        <v>1.7286932898804866</v>
      </c>
      <c r="Q1111" s="71">
        <f>IF(B1111="",0,INDEX(ModelParameters!$D$6:$K$10,MATCH($O1111,ModelParameters!$B$6:$B$10,0),MATCH($J1111,ModelParameters!$D$5:$K$5,0)))</f>
        <v>0.045</v>
      </c>
      <c r="R1111" s="71">
        <f>IF(B1111="",0,INDEX(ModelParameters!$D$13:$K$17,MATCH($O1111,ModelParameters!$B$13:$B$17,0),MATCH($J1111,ModelParameters!$D$5:$K$5,0)))</f>
        <v>0</v>
      </c>
      <c r="S1111" s="160">
        <f>IF(B1111="",0,MIN(IF($N1111="Other Bond TM",ModelParameters!$N$21,1)*(P1111*Q1111+R1111),1))</f>
        <v>0.077791198044621888</v>
      </c>
      <c r="T1111" s="85">
        <f>IF(B1111="",0,$S1111*$K1111)</f>
        <v>0.50492540520747008</v>
      </c>
      <c r="U1111" s="85">
        <f>IF(B1111="",0,IF(OR(H1111=MappingTables!$C$34,H1111=MappingTables!$C$35),T1111,0))</f>
        <v>0</v>
      </c>
      <c r="V1111" s="85">
        <f>IF(ISNA(IF(AND(VLOOKUP(CONCATENATE($D1111,$G1111),CSRFinput!$B:$E,4,0)=0,OR(H1111=MappingTables!$C$34,H1111=MappingTables!$C$35)),1,VLOOKUP(CONCATENATE($D1111,$G1111),CSRFinput!$B:$E,4,0))),0,IF(AND(VLOOKUP(CONCATENATE($D1111,$G1111),CSRFinput!$B:$E,4,0)=0,OR(H1111=MappingTables!$C$34,H1111=MappingTables!$C$35)),1,VLOOKUP(CONCATENATE($D1111,$G1111),CSRFinput!$B:$E,4,0)))</f>
        <v>0.054776304963434752</v>
      </c>
      <c r="W1111" s="85">
        <f>IF(B1111="",0,+$T1111*$V1111)</f>
        <v>0.027657947979430248</v>
      </c>
      <c r="X1111" s="85">
        <f>IF(B1111="",0,IF(OR(H1111=MappingTables!$C$34,H1111=MappingTables!$C$35),W1111,0))</f>
        <v>0</v>
      </c>
    </row>
    <row r="1112" spans="2:24" s="0" customFormat="0" ht="15">
      <c r="B1112" s="69">
        <v>18066183</v>
      </c>
      <c r="C1112" s="70" t="s">
        <v>1391</v>
      </c>
      <c r="D1112" s="70" t="s">
        <v>1</v>
      </c>
      <c r="E1112" s="70" t="s">
        <v>1</v>
      </c>
      <c r="F1112" s="70"/>
      <c r="G1112" s="70" t="s">
        <v>61</v>
      </c>
      <c r="H1112" s="70" t="s">
        <v>178</v>
      </c>
      <c r="I1112" s="70" t="s">
        <v>184</v>
      </c>
      <c r="J1112" s="71">
        <f>IF(OR(I1112=0,I1112=""),"unrated",VLOOKUP(I1112,MappingTables!$B$19:$C$31,2,FALSE))</f>
        <v>5</v>
      </c>
      <c r="K1112" s="72">
        <v>2703.599463842888</v>
      </c>
      <c r="L1112" s="70">
        <v>0.087675360881729648</v>
      </c>
      <c r="M1112" s="71">
        <f>IF(L1112&lt;1,1,L1112)</f>
        <v>1</v>
      </c>
      <c r="N1112" s="70" t="s">
        <v>141</v>
      </c>
      <c r="O1112" s="71">
        <f>INDEX(DurClassMapping,MATCH(M1112,MappingTables!$D$4:$D$8,-1),1)</f>
        <v>1</v>
      </c>
      <c r="P1112" s="73">
        <f>IF(M1112=$A$1,1,$M1112-INDEX(MappingTables!$E$4:$E$8,MATCH(O1112,MappingTables!$B$4:$B$8,0)))</f>
        <v>1</v>
      </c>
      <c r="Q1112" s="71">
        <f>IF(B1112="",0,INDEX(ModelParameters!$D$6:$K$10,MATCH($O1112,ModelParameters!$B$6:$B$10,0),MATCH($J1112,ModelParameters!$D$5:$K$5,0)))</f>
        <v>0.075</v>
      </c>
      <c r="R1112" s="71">
        <f>IF(B1112="",0,INDEX(ModelParameters!$D$13:$K$17,MATCH($O1112,ModelParameters!$B$13:$B$17,0),MATCH($J1112,ModelParameters!$D$5:$K$5,0)))</f>
        <v>0</v>
      </c>
      <c r="S1112" s="160">
        <f>IF(B1112="",0,MIN(IF($N1112="Other Bond TM",ModelParameters!$N$21,1)*(P1112*Q1112+R1112),1))</f>
        <v>0.075</v>
      </c>
      <c r="T1112" s="85">
        <f>IF(B1112="",0,$S1112*$K1112)</f>
        <v>202.7699597882166</v>
      </c>
      <c r="U1112" s="85">
        <f>IF(B1112="",0,IF(OR(H1112=MappingTables!$C$34,H1112=MappingTables!$C$35),T1112,0))</f>
        <v>0</v>
      </c>
      <c r="V1112" s="85">
        <f>IF(ISNA(IF(AND(VLOOKUP(CONCATENATE($D1112,$G1112),CSRFinput!$B:$E,4,0)=0,OR(H1112=MappingTables!$C$34,H1112=MappingTables!$C$35)),1,VLOOKUP(CONCATENATE($D1112,$G1112),CSRFinput!$B:$E,4,0))),0,IF(AND(VLOOKUP(CONCATENATE($D1112,$G1112),CSRFinput!$B:$E,4,0)=0,OR(H1112=MappingTables!$C$34,H1112=MappingTables!$C$35)),1,VLOOKUP(CONCATENATE($D1112,$G1112),CSRFinput!$B:$E,4,0)))</f>
        <v>0.054776304963434752</v>
      </c>
      <c r="W1112" s="85">
        <f>IF(B1112="",0,+$T1112*$V1112)</f>
        <v>11.106989154782754</v>
      </c>
      <c r="X1112" s="85">
        <f>IF(B1112="",0,IF(OR(H1112=MappingTables!$C$34,H1112=MappingTables!$C$35),W1112,0))</f>
        <v>0</v>
      </c>
    </row>
    <row r="1113" spans="2:24" s="0" customFormat="0" ht="15">
      <c r="B1113" s="69" t="s">
        <v>1392</v>
      </c>
      <c r="C1113" s="70" t="s">
        <v>1393</v>
      </c>
      <c r="D1113" s="70" t="s">
        <v>1</v>
      </c>
      <c r="E1113" s="70" t="s">
        <v>1</v>
      </c>
      <c r="F1113" s="70"/>
      <c r="G1113" s="70" t="s">
        <v>61</v>
      </c>
      <c r="H1113" s="70" t="s">
        <v>178</v>
      </c>
      <c r="I1113" s="70" t="s">
        <v>184</v>
      </c>
      <c r="J1113" s="71">
        <f>IF(OR(I1113=0,I1113=""),"unrated",VLOOKUP(I1113,MappingTables!$B$19:$C$31,2,FALSE))</f>
        <v>5</v>
      </c>
      <c r="K1113" s="72">
        <v>419.63750157643776</v>
      </c>
      <c r="L1113" s="70">
        <v>2.7928620174845872</v>
      </c>
      <c r="M1113" s="71">
        <f>IF(L1113&lt;1,1,L1113)</f>
        <v>2.7928620174845872</v>
      </c>
      <c r="N1113" s="70" t="s">
        <v>141</v>
      </c>
      <c r="O1113" s="71">
        <f>INDEX(DurClassMapping,MATCH(M1113,MappingTables!$D$4:$D$8,-1),1)</f>
        <v>1</v>
      </c>
      <c r="P1113" s="73">
        <f>IF(M1113=$A$1,1,$M1113-INDEX(MappingTables!$E$4:$E$8,MATCH(O1113,MappingTables!$B$4:$B$8,0)))</f>
        <v>2.7928620174845872</v>
      </c>
      <c r="Q1113" s="71">
        <f>IF(B1113="",0,INDEX(ModelParameters!$D$6:$K$10,MATCH($O1113,ModelParameters!$B$6:$B$10,0),MATCH($J1113,ModelParameters!$D$5:$K$5,0)))</f>
        <v>0.075</v>
      </c>
      <c r="R1113" s="71">
        <f>IF(B1113="",0,INDEX(ModelParameters!$D$13:$K$17,MATCH($O1113,ModelParameters!$B$13:$B$17,0),MATCH($J1113,ModelParameters!$D$5:$K$5,0)))</f>
        <v>0</v>
      </c>
      <c r="S1113" s="160">
        <f>IF(B1113="",0,MIN(IF($N1113="Other Bond TM",ModelParameters!$N$21,1)*(P1113*Q1113+R1113),1))</f>
        <v>0.20946465131134404</v>
      </c>
      <c r="T1113" s="85">
        <f>IF(B1113="",0,$S1113*$K1113)</f>
        <v>87.899222944872128</v>
      </c>
      <c r="U1113" s="85">
        <f>IF(B1113="",0,IF(OR(H1113=MappingTables!$C$34,H1113=MappingTables!$C$35),T1113,0))</f>
        <v>0</v>
      </c>
      <c r="V1113" s="85">
        <f>IF(ISNA(IF(AND(VLOOKUP(CONCATENATE($D1113,$G1113),CSRFinput!$B:$E,4,0)=0,OR(H1113=MappingTables!$C$34,H1113=MappingTables!$C$35)),1,VLOOKUP(CONCATENATE($D1113,$G1113),CSRFinput!$B:$E,4,0))),0,IF(AND(VLOOKUP(CONCATENATE($D1113,$G1113),CSRFinput!$B:$E,4,0)=0,OR(H1113=MappingTables!$C$34,H1113=MappingTables!$C$35)),1,VLOOKUP(CONCATENATE($D1113,$G1113),CSRFinput!$B:$E,4,0)))</f>
        <v>0.054776304963434752</v>
      </c>
      <c r="W1113" s="85">
        <f>IF(B1113="",0,+$T1113*$V1113)</f>
        <v>4.8147946420772568</v>
      </c>
      <c r="X1113" s="85">
        <f>IF(B1113="",0,IF(OR(H1113=MappingTables!$C$34,H1113=MappingTables!$C$35),W1113,0))</f>
        <v>0</v>
      </c>
    </row>
    <row r="1114" spans="2:24" s="0" customFormat="0" ht="15">
      <c r="B1114" s="69">
        <v>7860309</v>
      </c>
      <c r="C1114" s="70" t="s">
        <v>1394</v>
      </c>
      <c r="D1114" s="70" t="s">
        <v>1</v>
      </c>
      <c r="E1114" s="70" t="s">
        <v>1</v>
      </c>
      <c r="F1114" s="70"/>
      <c r="G1114" s="70" t="s">
        <v>61</v>
      </c>
      <c r="H1114" s="70" t="s">
        <v>178</v>
      </c>
      <c r="I1114" s="70" t="s">
        <v>179</v>
      </c>
      <c r="J1114" s="71">
        <f>IF(OR(I1114=0,I1114=""),"unrated",VLOOKUP(I1114,MappingTables!$B$19:$C$31,2,FALSE))</f>
        <v>4</v>
      </c>
      <c r="K1114" s="72">
        <v>117.94110659679874</v>
      </c>
      <c r="L1114" s="70">
        <v>2.8257719042760316</v>
      </c>
      <c r="M1114" s="71">
        <f>IF(L1114&lt;1,1,L1114)</f>
        <v>2.8257719042760316</v>
      </c>
      <c r="N1114" s="70" t="s">
        <v>141</v>
      </c>
      <c r="O1114" s="71">
        <f>INDEX(DurClassMapping,MATCH(M1114,MappingTables!$D$4:$D$8,-1),1)</f>
        <v>1</v>
      </c>
      <c r="P1114" s="73">
        <f>IF(M1114=$A$1,1,$M1114-INDEX(MappingTables!$E$4:$E$8,MATCH(O1114,MappingTables!$B$4:$B$8,0)))</f>
        <v>2.8257719042760316</v>
      </c>
      <c r="Q1114" s="71">
        <f>IF(B1114="",0,INDEX(ModelParameters!$D$6:$K$10,MATCH($O1114,ModelParameters!$B$6:$B$10,0),MATCH($J1114,ModelParameters!$D$5:$K$5,0)))</f>
        <v>0.045</v>
      </c>
      <c r="R1114" s="71">
        <f>IF(B1114="",0,INDEX(ModelParameters!$D$13:$K$17,MATCH($O1114,ModelParameters!$B$13:$B$17,0),MATCH($J1114,ModelParameters!$D$5:$K$5,0)))</f>
        <v>0</v>
      </c>
      <c r="S1114" s="160">
        <f>IF(B1114="",0,MIN(IF($N1114="Other Bond TM",ModelParameters!$N$21,1)*(P1114*Q1114+R1114),1))</f>
        <v>0.12715973569242142</v>
      </c>
      <c r="T1114" s="85">
        <f>IF(B1114="",0,$S1114*$K1114)</f>
        <v>14.997359942120628</v>
      </c>
      <c r="U1114" s="85">
        <f>IF(B1114="",0,IF(OR(H1114=MappingTables!$C$34,H1114=MappingTables!$C$35),T1114,0))</f>
        <v>0</v>
      </c>
      <c r="V1114" s="85">
        <f>IF(ISNA(IF(AND(VLOOKUP(CONCATENATE($D1114,$G1114),CSRFinput!$B:$E,4,0)=0,OR(H1114=MappingTables!$C$34,H1114=MappingTables!$C$35)),1,VLOOKUP(CONCATENATE($D1114,$G1114),CSRFinput!$B:$E,4,0))),0,IF(AND(VLOOKUP(CONCATENATE($D1114,$G1114),CSRFinput!$B:$E,4,0)=0,OR(H1114=MappingTables!$C$34,H1114=MappingTables!$C$35)),1,VLOOKUP(CONCATENATE($D1114,$G1114),CSRFinput!$B:$E,4,0)))</f>
        <v>0.054776304963434752</v>
      </c>
      <c r="W1114" s="85">
        <f>IF(B1114="",0,+$T1114*$V1114)</f>
        <v>0.82149996183599968</v>
      </c>
      <c r="X1114" s="85">
        <f>IF(B1114="",0,IF(OR(H1114=MappingTables!$C$34,H1114=MappingTables!$C$35),W1114,0))</f>
        <v>0</v>
      </c>
    </row>
    <row r="1115" spans="2:24" s="0" customFormat="0" ht="15">
      <c r="B1115" s="69">
        <v>13328830</v>
      </c>
      <c r="C1115" s="70" t="s">
        <v>1395</v>
      </c>
      <c r="D1115" s="70" t="s">
        <v>1</v>
      </c>
      <c r="E1115" s="70" t="s">
        <v>1</v>
      </c>
      <c r="F1115" s="70"/>
      <c r="G1115" s="70" t="s">
        <v>61</v>
      </c>
      <c r="H1115" s="70" t="s">
        <v>178</v>
      </c>
      <c r="I1115" s="70" t="s">
        <v>188</v>
      </c>
      <c r="J1115" s="71">
        <f>IF(OR(I1115=0,I1115=""),"unrated",VLOOKUP(I1115,MappingTables!$B$19:$C$31,2,FALSE))</f>
        <v>2</v>
      </c>
      <c r="K1115" s="72">
        <v>1952.4715644738104</v>
      </c>
      <c r="L1115" s="70">
        <v>1.0441306884951406</v>
      </c>
      <c r="M1115" s="71">
        <f>IF(L1115&lt;1,1,L1115)</f>
        <v>1.0441306884951406</v>
      </c>
      <c r="N1115" s="70" t="s">
        <v>141</v>
      </c>
      <c r="O1115" s="71">
        <f>INDEX(DurClassMapping,MATCH(M1115,MappingTables!$D$4:$D$8,-1),1)</f>
        <v>1</v>
      </c>
      <c r="P1115" s="73">
        <f>IF(M1115=$A$1,1,$M1115-INDEX(MappingTables!$E$4:$E$8,MATCH(O1115,MappingTables!$B$4:$B$8,0)))</f>
        <v>1.0441306884951406</v>
      </c>
      <c r="Q1115" s="71">
        <f>IF(B1115="",0,INDEX(ModelParameters!$D$6:$K$10,MATCH($O1115,ModelParameters!$B$6:$B$10,0),MATCH($J1115,ModelParameters!$D$5:$K$5,0)))</f>
        <v>0.013999999999999998</v>
      </c>
      <c r="R1115" s="71">
        <f>IF(B1115="",0,INDEX(ModelParameters!$D$13:$K$17,MATCH($O1115,ModelParameters!$B$13:$B$17,0),MATCH($J1115,ModelParameters!$D$5:$K$5,0)))</f>
        <v>0</v>
      </c>
      <c r="S1115" s="160">
        <f>IF(B1115="",0,MIN(IF($N1115="Other Bond TM",ModelParameters!$N$21,1)*(P1115*Q1115+R1115),1))</f>
        <v>0.014617829638931968</v>
      </c>
      <c r="T1115" s="85">
        <f>IF(B1115="",0,$S1115*$K1115)</f>
        <v>28.540896704337136</v>
      </c>
      <c r="U1115" s="85">
        <f>IF(B1115="",0,IF(OR(H1115=MappingTables!$C$34,H1115=MappingTables!$C$35),T1115,0))</f>
        <v>0</v>
      </c>
      <c r="V1115" s="85">
        <f>IF(ISNA(IF(AND(VLOOKUP(CONCATENATE($D1115,$G1115),CSRFinput!$B:$E,4,0)=0,OR(H1115=MappingTables!$C$34,H1115=MappingTables!$C$35)),1,VLOOKUP(CONCATENATE($D1115,$G1115),CSRFinput!$B:$E,4,0))),0,IF(AND(VLOOKUP(CONCATENATE($D1115,$G1115),CSRFinput!$B:$E,4,0)=0,OR(H1115=MappingTables!$C$34,H1115=MappingTables!$C$35)),1,VLOOKUP(CONCATENATE($D1115,$G1115),CSRFinput!$B:$E,4,0)))</f>
        <v>0.054776304963434752</v>
      </c>
      <c r="W1115" s="85">
        <f>IF(B1115="",0,+$T1115*$V1115)</f>
        <v>1.5633648618066608</v>
      </c>
      <c r="X1115" s="85">
        <f>IF(B1115="",0,IF(OR(H1115=MappingTables!$C$34,H1115=MappingTables!$C$35),W1115,0))</f>
        <v>0</v>
      </c>
    </row>
    <row r="1116" spans="2:24" s="0" customFormat="0" ht="15">
      <c r="B1116" s="69">
        <v>13412742</v>
      </c>
      <c r="C1116" s="70" t="s">
        <v>1396</v>
      </c>
      <c r="D1116" s="70" t="s">
        <v>1</v>
      </c>
      <c r="E1116" s="70" t="s">
        <v>1</v>
      </c>
      <c r="F1116" s="70"/>
      <c r="G1116" s="70" t="s">
        <v>61</v>
      </c>
      <c r="H1116" s="70" t="s">
        <v>178</v>
      </c>
      <c r="I1116" s="70" t="s">
        <v>181</v>
      </c>
      <c r="J1116" s="71">
        <f>IF(OR(I1116=0,I1116=""),"unrated",VLOOKUP(I1116,MappingTables!$B$19:$C$31,2,FALSE))</f>
        <v>3</v>
      </c>
      <c r="K1116" s="72">
        <v>1125.2571620176182</v>
      </c>
      <c r="L1116" s="70">
        <v>1.1208346361644692</v>
      </c>
      <c r="M1116" s="71">
        <f>IF(L1116&lt;1,1,L1116)</f>
        <v>1.1208346361644692</v>
      </c>
      <c r="N1116" s="70" t="s">
        <v>141</v>
      </c>
      <c r="O1116" s="71">
        <f>INDEX(DurClassMapping,MATCH(M1116,MappingTables!$D$4:$D$8,-1),1)</f>
        <v>1</v>
      </c>
      <c r="P1116" s="73">
        <f>IF(M1116=$A$1,1,$M1116-INDEX(MappingTables!$E$4:$E$8,MATCH(O1116,MappingTables!$B$4:$B$8,0)))</f>
        <v>1.1208346361644692</v>
      </c>
      <c r="Q1116" s="71">
        <f>IF(B1116="",0,INDEX(ModelParameters!$D$6:$K$10,MATCH($O1116,ModelParameters!$B$6:$B$10,0),MATCH($J1116,ModelParameters!$D$5:$K$5,0)))</f>
        <v>0.025</v>
      </c>
      <c r="R1116" s="71">
        <f>IF(B1116="",0,INDEX(ModelParameters!$D$13:$K$17,MATCH($O1116,ModelParameters!$B$13:$B$17,0),MATCH($J1116,ModelParameters!$D$5:$K$5,0)))</f>
        <v>0</v>
      </c>
      <c r="S1116" s="160">
        <f>IF(B1116="",0,MIN(IF($N1116="Other Bond TM",ModelParameters!$N$21,1)*(P1116*Q1116+R1116),1))</f>
        <v>0.028020865904111732</v>
      </c>
      <c r="T1116" s="85">
        <f>IF(B1116="",0,$S1116*$K1116)</f>
        <v>31.530680044537008</v>
      </c>
      <c r="U1116" s="85">
        <f>IF(B1116="",0,IF(OR(H1116=MappingTables!$C$34,H1116=MappingTables!$C$35),T1116,0))</f>
        <v>0</v>
      </c>
      <c r="V1116" s="85">
        <f>IF(ISNA(IF(AND(VLOOKUP(CONCATENATE($D1116,$G1116),CSRFinput!$B:$E,4,0)=0,OR(H1116=MappingTables!$C$34,H1116=MappingTables!$C$35)),1,VLOOKUP(CONCATENATE($D1116,$G1116),CSRFinput!$B:$E,4,0))),0,IF(AND(VLOOKUP(CONCATENATE($D1116,$G1116),CSRFinput!$B:$E,4,0)=0,OR(H1116=MappingTables!$C$34,H1116=MappingTables!$C$35)),1,VLOOKUP(CONCATENATE($D1116,$G1116),CSRFinput!$B:$E,4,0)))</f>
        <v>0.054776304963434752</v>
      </c>
      <c r="W1116" s="85">
        <f>IF(B1116="",0,+$T1116*$V1116)</f>
        <v>1.7271341458240456</v>
      </c>
      <c r="X1116" s="85">
        <f>IF(B1116="",0,IF(OR(H1116=MappingTables!$C$34,H1116=MappingTables!$C$35),W1116,0))</f>
        <v>0</v>
      </c>
    </row>
    <row r="1117" spans="2:24" s="0" customFormat="0" ht="15">
      <c r="B1117" s="69" t="s">
        <v>1397</v>
      </c>
      <c r="C1117" s="70" t="s">
        <v>1398</v>
      </c>
      <c r="D1117" s="70" t="s">
        <v>1</v>
      </c>
      <c r="E1117" s="70" t="s">
        <v>1</v>
      </c>
      <c r="F1117" s="70"/>
      <c r="G1117" s="70" t="s">
        <v>61</v>
      </c>
      <c r="H1117" s="70" t="s">
        <v>178</v>
      </c>
      <c r="I1117" s="70" t="s">
        <v>198</v>
      </c>
      <c r="J1117" s="71" t="str">
        <f>IF(OR(I1117=0,I1117=""),"unrated",VLOOKUP(I1117,MappingTables!$B$19:$C$31,2,FALSE))</f>
        <v>unrated</v>
      </c>
      <c r="K1117" s="72">
        <v>3383.5634056239484</v>
      </c>
      <c r="L1117" s="70">
        <v>2.439362734103042</v>
      </c>
      <c r="M1117" s="71">
        <f>IF(L1117&lt;1,1,L1117)</f>
        <v>2.439362734103042</v>
      </c>
      <c r="N1117" s="70" t="s">
        <v>141</v>
      </c>
      <c r="O1117" s="71">
        <f>INDEX(DurClassMapping,MATCH(M1117,MappingTables!$D$4:$D$8,-1),1)</f>
        <v>1</v>
      </c>
      <c r="P1117" s="73">
        <f>IF(M1117=$A$1,1,$M1117-INDEX(MappingTables!$E$4:$E$8,MATCH(O1117,MappingTables!$B$4:$B$8,0)))</f>
        <v>2.439362734103042</v>
      </c>
      <c r="Q1117" s="71">
        <f>IF(B1117="",0,INDEX(ModelParameters!$D$6:$K$10,MATCH($O1117,ModelParameters!$B$6:$B$10,0),MATCH($J1117,ModelParameters!$D$5:$K$5,0)))</f>
        <v>0.03</v>
      </c>
      <c r="R1117" s="71">
        <f>IF(B1117="",0,INDEX(ModelParameters!$D$13:$K$17,MATCH($O1117,ModelParameters!$B$13:$B$17,0),MATCH($J1117,ModelParameters!$D$5:$K$5,0)))</f>
        <v>0</v>
      </c>
      <c r="S1117" s="160">
        <f>IF(B1117="",0,MIN(IF($N1117="Other Bond TM",ModelParameters!$N$21,1)*(P1117*Q1117+R1117),1))</f>
        <v>0.073180882023091248</v>
      </c>
      <c r="T1117" s="85">
        <f>IF(B1117="",0,$S1117*$K1117)</f>
        <v>247.612154404615</v>
      </c>
      <c r="U1117" s="85">
        <f>IF(B1117="",0,IF(OR(H1117=MappingTables!$C$34,H1117=MappingTables!$C$35),T1117,0))</f>
        <v>0</v>
      </c>
      <c r="V1117" s="85">
        <f>IF(ISNA(IF(AND(VLOOKUP(CONCATENATE($D1117,$G1117),CSRFinput!$B:$E,4,0)=0,OR(H1117=MappingTables!$C$34,H1117=MappingTables!$C$35)),1,VLOOKUP(CONCATENATE($D1117,$G1117),CSRFinput!$B:$E,4,0))),0,IF(AND(VLOOKUP(CONCATENATE($D1117,$G1117),CSRFinput!$B:$E,4,0)=0,OR(H1117=MappingTables!$C$34,H1117=MappingTables!$C$35)),1,VLOOKUP(CONCATENATE($D1117,$G1117),CSRFinput!$B:$E,4,0)))</f>
        <v>0.054776304963434752</v>
      </c>
      <c r="W1117" s="85">
        <f>IF(B1117="",0,+$T1117*$V1117)</f>
        <v>13.563278882320286</v>
      </c>
      <c r="X1117" s="85">
        <f>IF(B1117="",0,IF(OR(H1117=MappingTables!$C$34,H1117=MappingTables!$C$35),W1117,0))</f>
        <v>0</v>
      </c>
    </row>
    <row r="1118" spans="2:24" s="0" customFormat="0" ht="15">
      <c r="B1118" s="69">
        <v>12641067</v>
      </c>
      <c r="C1118" s="70" t="s">
        <v>751</v>
      </c>
      <c r="D1118" s="70" t="s">
        <v>1</v>
      </c>
      <c r="E1118" s="70" t="s">
        <v>1</v>
      </c>
      <c r="F1118" s="70"/>
      <c r="G1118" s="70" t="s">
        <v>61</v>
      </c>
      <c r="H1118" s="70" t="s">
        <v>178</v>
      </c>
      <c r="I1118" s="70" t="s">
        <v>184</v>
      </c>
      <c r="J1118" s="71">
        <f>IF(OR(I1118=0,I1118=""),"unrated",VLOOKUP(I1118,MappingTables!$B$19:$C$31,2,FALSE))</f>
        <v>5</v>
      </c>
      <c r="K1118" s="72">
        <v>270.45215044290772</v>
      </c>
      <c r="L1118" s="70">
        <v>0.087667797296498784</v>
      </c>
      <c r="M1118" s="71">
        <f>IF(L1118&lt;1,1,L1118)</f>
        <v>1</v>
      </c>
      <c r="N1118" s="70" t="s">
        <v>141</v>
      </c>
      <c r="O1118" s="71">
        <f>INDEX(DurClassMapping,MATCH(M1118,MappingTables!$D$4:$D$8,-1),1)</f>
        <v>1</v>
      </c>
      <c r="P1118" s="73">
        <f>IF(M1118=$A$1,1,$M1118-INDEX(MappingTables!$E$4:$E$8,MATCH(O1118,MappingTables!$B$4:$B$8,0)))</f>
        <v>1</v>
      </c>
      <c r="Q1118" s="71">
        <f>IF(B1118="",0,INDEX(ModelParameters!$D$6:$K$10,MATCH($O1118,ModelParameters!$B$6:$B$10,0),MATCH($J1118,ModelParameters!$D$5:$K$5,0)))</f>
        <v>0.075</v>
      </c>
      <c r="R1118" s="71">
        <f>IF(B1118="",0,INDEX(ModelParameters!$D$13:$K$17,MATCH($O1118,ModelParameters!$B$13:$B$17,0),MATCH($J1118,ModelParameters!$D$5:$K$5,0)))</f>
        <v>0</v>
      </c>
      <c r="S1118" s="160">
        <f>IF(B1118="",0,MIN(IF($N1118="Other Bond TM",ModelParameters!$N$21,1)*(P1118*Q1118+R1118),1))</f>
        <v>0.075</v>
      </c>
      <c r="T1118" s="85">
        <f>IF(B1118="",0,$S1118*$K1118)</f>
        <v>20.28391128321808</v>
      </c>
      <c r="U1118" s="85">
        <f>IF(B1118="",0,IF(OR(H1118=MappingTables!$C$34,H1118=MappingTables!$C$35),T1118,0))</f>
        <v>0</v>
      </c>
      <c r="V1118" s="85">
        <f>IF(ISNA(IF(AND(VLOOKUP(CONCATENATE($D1118,$G1118),CSRFinput!$B:$E,4,0)=0,OR(H1118=MappingTables!$C$34,H1118=MappingTables!$C$35)),1,VLOOKUP(CONCATENATE($D1118,$G1118),CSRFinput!$B:$E,4,0))),0,IF(AND(VLOOKUP(CONCATENATE($D1118,$G1118),CSRFinput!$B:$E,4,0)=0,OR(H1118=MappingTables!$C$34,H1118=MappingTables!$C$35)),1,VLOOKUP(CONCATENATE($D1118,$G1118),CSRFinput!$B:$E,4,0)))</f>
        <v>0.054776304963434752</v>
      </c>
      <c r="W1118" s="85">
        <f>IF(B1118="",0,+$T1118*$V1118)</f>
        <v>1.1110777103008088</v>
      </c>
      <c r="X1118" s="85">
        <f>IF(B1118="",0,IF(OR(H1118=MappingTables!$C$34,H1118=MappingTables!$C$35),W1118,0))</f>
        <v>0</v>
      </c>
    </row>
    <row r="1119" spans="2:24" s="0" customFormat="0" ht="15">
      <c r="B1119" s="69" t="s">
        <v>1399</v>
      </c>
      <c r="C1119" s="70" t="s">
        <v>1400</v>
      </c>
      <c r="D1119" s="70" t="s">
        <v>1</v>
      </c>
      <c r="E1119" s="70" t="s">
        <v>1</v>
      </c>
      <c r="F1119" s="70"/>
      <c r="G1119" s="70" t="s">
        <v>61</v>
      </c>
      <c r="H1119" s="70" t="s">
        <v>178</v>
      </c>
      <c r="I1119" s="70" t="s">
        <v>188</v>
      </c>
      <c r="J1119" s="71">
        <f>IF(OR(I1119=0,I1119=""),"unrated",VLOOKUP(I1119,MappingTables!$B$19:$C$31,2,FALSE))</f>
        <v>2</v>
      </c>
      <c r="K1119" s="72">
        <v>266.19663965946512</v>
      </c>
      <c r="L1119" s="70">
        <v>1.3935380971046408</v>
      </c>
      <c r="M1119" s="71">
        <f>IF(L1119&lt;1,1,L1119)</f>
        <v>1.3935380971046408</v>
      </c>
      <c r="N1119" s="70" t="s">
        <v>141</v>
      </c>
      <c r="O1119" s="71">
        <f>INDEX(DurClassMapping,MATCH(M1119,MappingTables!$D$4:$D$8,-1),1)</f>
        <v>1</v>
      </c>
      <c r="P1119" s="73">
        <f>IF(M1119=$A$1,1,$M1119-INDEX(MappingTables!$E$4:$E$8,MATCH(O1119,MappingTables!$B$4:$B$8,0)))</f>
        <v>1.3935380971046408</v>
      </c>
      <c r="Q1119" s="71">
        <f>IF(B1119="",0,INDEX(ModelParameters!$D$6:$K$10,MATCH($O1119,ModelParameters!$B$6:$B$10,0),MATCH($J1119,ModelParameters!$D$5:$K$5,0)))</f>
        <v>0.013999999999999998</v>
      </c>
      <c r="R1119" s="71">
        <f>IF(B1119="",0,INDEX(ModelParameters!$D$13:$K$17,MATCH($O1119,ModelParameters!$B$13:$B$17,0),MATCH($J1119,ModelParameters!$D$5:$K$5,0)))</f>
        <v>0</v>
      </c>
      <c r="S1119" s="160">
        <f>IF(B1119="",0,MIN(IF($N1119="Other Bond TM",ModelParameters!$N$21,1)*(P1119*Q1119+R1119),1))</f>
        <v>0.019509533359464968</v>
      </c>
      <c r="T1119" s="85">
        <f>IF(B1119="",0,$S1119*$K1119)</f>
        <v>5.1933722216138104</v>
      </c>
      <c r="U1119" s="85">
        <f>IF(B1119="",0,IF(OR(H1119=MappingTables!$C$34,H1119=MappingTables!$C$35),T1119,0))</f>
        <v>0</v>
      </c>
      <c r="V1119" s="85">
        <f>IF(ISNA(IF(AND(VLOOKUP(CONCATENATE($D1119,$G1119),CSRFinput!$B:$E,4,0)=0,OR(H1119=MappingTables!$C$34,H1119=MappingTables!$C$35)),1,VLOOKUP(CONCATENATE($D1119,$G1119),CSRFinput!$B:$E,4,0))),0,IF(AND(VLOOKUP(CONCATENATE($D1119,$G1119),CSRFinput!$B:$E,4,0)=0,OR(H1119=MappingTables!$C$34,H1119=MappingTables!$C$35)),1,VLOOKUP(CONCATENATE($D1119,$G1119),CSRFinput!$B:$E,4,0)))</f>
        <v>0.054776304963434752</v>
      </c>
      <c r="W1119" s="85">
        <f>IF(B1119="",0,+$T1119*$V1119)</f>
        <v>0.28447374059974872</v>
      </c>
      <c r="X1119" s="85">
        <f>IF(B1119="",0,IF(OR(H1119=MappingTables!$C$34,H1119=MappingTables!$C$35),W1119,0))</f>
        <v>0</v>
      </c>
    </row>
    <row r="1120" spans="2:24" s="0" customFormat="0" ht="15">
      <c r="B1120" s="69">
        <v>4082454</v>
      </c>
      <c r="C1120" s="70" t="s">
        <v>1401</v>
      </c>
      <c r="D1120" s="70" t="s">
        <v>1</v>
      </c>
      <c r="E1120" s="70" t="s">
        <v>1</v>
      </c>
      <c r="F1120" s="70"/>
      <c r="G1120" s="70" t="s">
        <v>61</v>
      </c>
      <c r="H1120" s="70" t="s">
        <v>178</v>
      </c>
      <c r="I1120" s="70" t="s">
        <v>181</v>
      </c>
      <c r="J1120" s="71">
        <f>IF(OR(I1120=0,I1120=""),"unrated",VLOOKUP(I1120,MappingTables!$B$19:$C$31,2,FALSE))</f>
        <v>3</v>
      </c>
      <c r="K1120" s="72">
        <v>12166.16573760989</v>
      </c>
      <c r="L1120" s="70">
        <v>0.78814286752854496</v>
      </c>
      <c r="M1120" s="71">
        <f>IF(L1120&lt;1,1,L1120)</f>
        <v>1</v>
      </c>
      <c r="N1120" s="70" t="s">
        <v>141</v>
      </c>
      <c r="O1120" s="71">
        <f>INDEX(DurClassMapping,MATCH(M1120,MappingTables!$D$4:$D$8,-1),1)</f>
        <v>1</v>
      </c>
      <c r="P1120" s="73">
        <f>IF(M1120=$A$1,1,$M1120-INDEX(MappingTables!$E$4:$E$8,MATCH(O1120,MappingTables!$B$4:$B$8,0)))</f>
        <v>1</v>
      </c>
      <c r="Q1120" s="71">
        <f>IF(B1120="",0,INDEX(ModelParameters!$D$6:$K$10,MATCH($O1120,ModelParameters!$B$6:$B$10,0),MATCH($J1120,ModelParameters!$D$5:$K$5,0)))</f>
        <v>0.025</v>
      </c>
      <c r="R1120" s="71">
        <f>IF(B1120="",0,INDEX(ModelParameters!$D$13:$K$17,MATCH($O1120,ModelParameters!$B$13:$B$17,0),MATCH($J1120,ModelParameters!$D$5:$K$5,0)))</f>
        <v>0</v>
      </c>
      <c r="S1120" s="160">
        <f>IF(B1120="",0,MIN(IF($N1120="Other Bond TM",ModelParameters!$N$21,1)*(P1120*Q1120+R1120),1))</f>
        <v>0.025</v>
      </c>
      <c r="T1120" s="85">
        <f>IF(B1120="",0,$S1120*$K1120)</f>
        <v>304.15414344024724</v>
      </c>
      <c r="U1120" s="85">
        <f>IF(B1120="",0,IF(OR(H1120=MappingTables!$C$34,H1120=MappingTables!$C$35),T1120,0))</f>
        <v>0</v>
      </c>
      <c r="V1120" s="85">
        <f>IF(ISNA(IF(AND(VLOOKUP(CONCATENATE($D1120,$G1120),CSRFinput!$B:$E,4,0)=0,OR(H1120=MappingTables!$C$34,H1120=MappingTables!$C$35)),1,VLOOKUP(CONCATENATE($D1120,$G1120),CSRFinput!$B:$E,4,0))),0,IF(AND(VLOOKUP(CONCATENATE($D1120,$G1120),CSRFinput!$B:$E,4,0)=0,OR(H1120=MappingTables!$C$34,H1120=MappingTables!$C$35)),1,VLOOKUP(CONCATENATE($D1120,$G1120),CSRFinput!$B:$E,4,0)))</f>
        <v>0.054776304963434752</v>
      </c>
      <c r="W1120" s="85">
        <f>IF(B1120="",0,+$T1120*$V1120)</f>
        <v>16.660440116975262</v>
      </c>
      <c r="X1120" s="85">
        <f>IF(B1120="",0,IF(OR(H1120=MappingTables!$C$34,H1120=MappingTables!$C$35),W1120,0))</f>
        <v>0</v>
      </c>
    </row>
    <row r="1121" spans="2:24" s="0" customFormat="0" ht="15">
      <c r="B1121" s="69">
        <v>22062096</v>
      </c>
      <c r="C1121" s="70" t="s">
        <v>1402</v>
      </c>
      <c r="D1121" s="70" t="s">
        <v>1</v>
      </c>
      <c r="E1121" s="70" t="s">
        <v>1</v>
      </c>
      <c r="F1121" s="70"/>
      <c r="G1121" s="70" t="s">
        <v>61</v>
      </c>
      <c r="H1121" s="70" t="s">
        <v>178</v>
      </c>
      <c r="I1121" s="70" t="s">
        <v>188</v>
      </c>
      <c r="J1121" s="71">
        <f>IF(OR(I1121=0,I1121=""),"unrated",VLOOKUP(I1121,MappingTables!$B$19:$C$31,2,FALSE))</f>
        <v>2</v>
      </c>
      <c r="K1121" s="72">
        <v>99.02437016652848</v>
      </c>
      <c r="L1121" s="70">
        <v>1.104799948420711</v>
      </c>
      <c r="M1121" s="71">
        <f>IF(L1121&lt;1,1,L1121)</f>
        <v>1.104799948420711</v>
      </c>
      <c r="N1121" s="70" t="s">
        <v>141</v>
      </c>
      <c r="O1121" s="71">
        <f>INDEX(DurClassMapping,MATCH(M1121,MappingTables!$D$4:$D$8,-1),1)</f>
        <v>1</v>
      </c>
      <c r="P1121" s="73">
        <f>IF(M1121=$A$1,1,$M1121-INDEX(MappingTables!$E$4:$E$8,MATCH(O1121,MappingTables!$B$4:$B$8,0)))</f>
        <v>1.104799948420711</v>
      </c>
      <c r="Q1121" s="71">
        <f>IF(B1121="",0,INDEX(ModelParameters!$D$6:$K$10,MATCH($O1121,ModelParameters!$B$6:$B$10,0),MATCH($J1121,ModelParameters!$D$5:$K$5,0)))</f>
        <v>0.013999999999999998</v>
      </c>
      <c r="R1121" s="71">
        <f>IF(B1121="",0,INDEX(ModelParameters!$D$13:$K$17,MATCH($O1121,ModelParameters!$B$13:$B$17,0),MATCH($J1121,ModelParameters!$D$5:$K$5,0)))</f>
        <v>0</v>
      </c>
      <c r="S1121" s="160">
        <f>IF(B1121="",0,MIN(IF($N1121="Other Bond TM",ModelParameters!$N$21,1)*(P1121*Q1121+R1121),1))</f>
        <v>0.015467199277889952</v>
      </c>
      <c r="T1121" s="85">
        <f>IF(B1121="",0,$S1121*$K1121)</f>
        <v>1.5316296667332366</v>
      </c>
      <c r="U1121" s="85">
        <f>IF(B1121="",0,IF(OR(H1121=MappingTables!$C$34,H1121=MappingTables!$C$35),T1121,0))</f>
        <v>0</v>
      </c>
      <c r="V1121" s="85">
        <f>IF(ISNA(IF(AND(VLOOKUP(CONCATENATE($D1121,$G1121),CSRFinput!$B:$E,4,0)=0,OR(H1121=MappingTables!$C$34,H1121=MappingTables!$C$35)),1,VLOOKUP(CONCATENATE($D1121,$G1121),CSRFinput!$B:$E,4,0))),0,IF(AND(VLOOKUP(CONCATENATE($D1121,$G1121),CSRFinput!$B:$E,4,0)=0,OR(H1121=MappingTables!$C$34,H1121=MappingTables!$C$35)),1,VLOOKUP(CONCATENATE($D1121,$G1121),CSRFinput!$B:$E,4,0)))</f>
        <v>0.054776304963434752</v>
      </c>
      <c r="W1121" s="85">
        <f>IF(B1121="",0,+$T1121*$V1121)</f>
        <v>0.083897013716023712</v>
      </c>
      <c r="X1121" s="85">
        <f>IF(B1121="",0,IF(OR(H1121=MappingTables!$C$34,H1121=MappingTables!$C$35),W1121,0))</f>
        <v>0</v>
      </c>
    </row>
    <row r="1122" spans="2:24" s="0" customFormat="0" ht="15">
      <c r="B1122" s="69">
        <v>7836586</v>
      </c>
      <c r="C1122" s="70" t="s">
        <v>1403</v>
      </c>
      <c r="D1122" s="70" t="s">
        <v>1</v>
      </c>
      <c r="E1122" s="70" t="s">
        <v>1</v>
      </c>
      <c r="F1122" s="70"/>
      <c r="G1122" s="70" t="s">
        <v>61</v>
      </c>
      <c r="H1122" s="70" t="s">
        <v>178</v>
      </c>
      <c r="I1122" s="70" t="s">
        <v>181</v>
      </c>
      <c r="J1122" s="71">
        <f>IF(OR(I1122=0,I1122=""),"unrated",VLOOKUP(I1122,MappingTables!$B$19:$C$31,2,FALSE))</f>
        <v>3</v>
      </c>
      <c r="K1122" s="72">
        <v>15833.01371369413</v>
      </c>
      <c r="L1122" s="70">
        <v>2.2501254952393152</v>
      </c>
      <c r="M1122" s="71">
        <f>IF(L1122&lt;1,1,L1122)</f>
        <v>2.2501254952393152</v>
      </c>
      <c r="N1122" s="70" t="s">
        <v>141</v>
      </c>
      <c r="O1122" s="71">
        <f>INDEX(DurClassMapping,MATCH(M1122,MappingTables!$D$4:$D$8,-1),1)</f>
        <v>1</v>
      </c>
      <c r="P1122" s="73">
        <f>IF(M1122=$A$1,1,$M1122-INDEX(MappingTables!$E$4:$E$8,MATCH(O1122,MappingTables!$B$4:$B$8,0)))</f>
        <v>2.2501254952393152</v>
      </c>
      <c r="Q1122" s="71">
        <f>IF(B1122="",0,INDEX(ModelParameters!$D$6:$K$10,MATCH($O1122,ModelParameters!$B$6:$B$10,0),MATCH($J1122,ModelParameters!$D$5:$K$5,0)))</f>
        <v>0.025</v>
      </c>
      <c r="R1122" s="71">
        <f>IF(B1122="",0,INDEX(ModelParameters!$D$13:$K$17,MATCH($O1122,ModelParameters!$B$13:$B$17,0),MATCH($J1122,ModelParameters!$D$5:$K$5,0)))</f>
        <v>0</v>
      </c>
      <c r="S1122" s="160">
        <f>IF(B1122="",0,MIN(IF($N1122="Other Bond TM",ModelParameters!$N$21,1)*(P1122*Q1122+R1122),1))</f>
        <v>0.05625313738098288</v>
      </c>
      <c r="T1122" s="85">
        <f>IF(B1122="",0,$S1122*$K1122)</f>
        <v>890.65669559142176</v>
      </c>
      <c r="U1122" s="85">
        <f>IF(B1122="",0,IF(OR(H1122=MappingTables!$C$34,H1122=MappingTables!$C$35),T1122,0))</f>
        <v>0</v>
      </c>
      <c r="V1122" s="85">
        <f>IF(ISNA(IF(AND(VLOOKUP(CONCATENATE($D1122,$G1122),CSRFinput!$B:$E,4,0)=0,OR(H1122=MappingTables!$C$34,H1122=MappingTables!$C$35)),1,VLOOKUP(CONCATENATE($D1122,$G1122),CSRFinput!$B:$E,4,0))),0,IF(AND(VLOOKUP(CONCATENATE($D1122,$G1122),CSRFinput!$B:$E,4,0)=0,OR(H1122=MappingTables!$C$34,H1122=MappingTables!$C$35)),1,VLOOKUP(CONCATENATE($D1122,$G1122),CSRFinput!$B:$E,4,0)))</f>
        <v>0.054776304963434752</v>
      </c>
      <c r="W1122" s="85">
        <f>IF(B1122="",0,+$T1122*$V1122)</f>
        <v>48.786882775440792</v>
      </c>
      <c r="X1122" s="85">
        <f>IF(B1122="",0,IF(OR(H1122=MappingTables!$C$34,H1122=MappingTables!$C$35),W1122,0))</f>
        <v>0</v>
      </c>
    </row>
    <row r="1123" spans="2:24" s="0" customFormat="0" ht="15">
      <c r="B1123" s="69">
        <v>18941272</v>
      </c>
      <c r="C1123" s="70" t="s">
        <v>1404</v>
      </c>
      <c r="D1123" s="70" t="s">
        <v>1</v>
      </c>
      <c r="E1123" s="70" t="s">
        <v>1</v>
      </c>
      <c r="F1123" s="70"/>
      <c r="G1123" s="70" t="s">
        <v>61</v>
      </c>
      <c r="H1123" s="70" t="s">
        <v>178</v>
      </c>
      <c r="I1123" s="70" t="s">
        <v>181</v>
      </c>
      <c r="J1123" s="71">
        <f>IF(OR(I1123=0,I1123=""),"unrated",VLOOKUP(I1123,MappingTables!$B$19:$C$31,2,FALSE))</f>
        <v>3</v>
      </c>
      <c r="K1123" s="72">
        <v>6701.2390752672624</v>
      </c>
      <c r="L1123" s="70">
        <v>5.0907389081360376</v>
      </c>
      <c r="M1123" s="71">
        <f>IF(L1123&lt;1,1,L1123)</f>
        <v>5.0907389081360376</v>
      </c>
      <c r="N1123" s="70" t="s">
        <v>141</v>
      </c>
      <c r="O1123" s="71">
        <f>INDEX(DurClassMapping,MATCH(M1123,MappingTables!$D$4:$D$8,-1),1)</f>
        <v>2</v>
      </c>
      <c r="P1123" s="73">
        <f>IF(M1123=$A$1,1,$M1123-INDEX(MappingTables!$E$4:$E$8,MATCH(O1123,MappingTables!$B$4:$B$8,0)))</f>
        <v>0.090738908136037472</v>
      </c>
      <c r="Q1123" s="71">
        <f>IF(B1123="",0,INDEX(ModelParameters!$D$6:$K$10,MATCH($O1123,ModelParameters!$B$6:$B$10,0),MATCH($J1123,ModelParameters!$D$5:$K$5,0)))</f>
        <v>0.015</v>
      </c>
      <c r="R1123" s="71">
        <f>IF(B1123="",0,INDEX(ModelParameters!$D$13:$K$17,MATCH($O1123,ModelParameters!$B$13:$B$17,0),MATCH($J1123,ModelParameters!$D$5:$K$5,0)))</f>
        <v>0.125</v>
      </c>
      <c r="S1123" s="160">
        <f>IF(B1123="",0,MIN(IF($N1123="Other Bond TM",ModelParameters!$N$21,1)*(P1123*Q1123+R1123),1))</f>
        <v>0.12636108362204058</v>
      </c>
      <c r="T1123" s="85">
        <f>IF(B1123="",0,$S1123*$K1123)</f>
        <v>846.77583116113232</v>
      </c>
      <c r="U1123" s="85">
        <f>IF(B1123="",0,IF(OR(H1123=MappingTables!$C$34,H1123=MappingTables!$C$35),T1123,0))</f>
        <v>0</v>
      </c>
      <c r="V1123" s="85">
        <f>IF(ISNA(IF(AND(VLOOKUP(CONCATENATE($D1123,$G1123),CSRFinput!$B:$E,4,0)=0,OR(H1123=MappingTables!$C$34,H1123=MappingTables!$C$35)),1,VLOOKUP(CONCATENATE($D1123,$G1123),CSRFinput!$B:$E,4,0))),0,IF(AND(VLOOKUP(CONCATENATE($D1123,$G1123),CSRFinput!$B:$E,4,0)=0,OR(H1123=MappingTables!$C$34,H1123=MappingTables!$C$35)),1,VLOOKUP(CONCATENATE($D1123,$G1123),CSRFinput!$B:$E,4,0)))</f>
        <v>0.054776304963434752</v>
      </c>
      <c r="W1123" s="85">
        <f>IF(B1123="",0,+$T1123*$V1123)</f>
        <v>46.383251163348128</v>
      </c>
      <c r="X1123" s="85">
        <f>IF(B1123="",0,IF(OR(H1123=MappingTables!$C$34,H1123=MappingTables!$C$35),W1123,0))</f>
        <v>0</v>
      </c>
    </row>
    <row r="1124" spans="2:24" s="0" customFormat="0" ht="15">
      <c r="B1124" s="69">
        <v>24432571</v>
      </c>
      <c r="C1124" s="70" t="s">
        <v>890</v>
      </c>
      <c r="D1124" s="70" t="s">
        <v>1</v>
      </c>
      <c r="E1124" s="70" t="s">
        <v>1</v>
      </c>
      <c r="F1124" s="70"/>
      <c r="G1124" s="70" t="s">
        <v>61</v>
      </c>
      <c r="H1124" s="70" t="s">
        <v>178</v>
      </c>
      <c r="I1124" s="70" t="s">
        <v>220</v>
      </c>
      <c r="J1124" s="71">
        <f>IF(OR(I1124=0,I1124=""),"unrated",VLOOKUP(I1124,MappingTables!$B$19:$C$31,2,FALSE))</f>
        <v>1</v>
      </c>
      <c r="K1124" s="72">
        <v>185.35448142171124</v>
      </c>
      <c r="L1124" s="70">
        <v>15.46065023682724</v>
      </c>
      <c r="M1124" s="71">
        <f>IF(L1124&lt;1,1,L1124)</f>
        <v>15.46065023682724</v>
      </c>
      <c r="N1124" s="70" t="s">
        <v>141</v>
      </c>
      <c r="O1124" s="71">
        <f>INDEX(DurClassMapping,MATCH(M1124,MappingTables!$D$4:$D$8,-1),1)</f>
        <v>4</v>
      </c>
      <c r="P1124" s="73">
        <f>IF(M1124=$A$1,1,$M1124-INDEX(MappingTables!$E$4:$E$8,MATCH(O1124,MappingTables!$B$4:$B$8,0)))</f>
        <v>0.46065023682723984</v>
      </c>
      <c r="Q1124" s="71">
        <f>IF(B1124="",0,INDEX(ModelParameters!$D$6:$K$10,MATCH($O1124,ModelParameters!$B$6:$B$10,0),MATCH($J1124,ModelParameters!$D$5:$K$5,0)))</f>
        <v>0.005</v>
      </c>
      <c r="R1124" s="71">
        <f>IF(B1124="",0,INDEX(ModelParameters!$D$13:$K$17,MATCH($O1124,ModelParameters!$B$13:$B$17,0),MATCH($J1124,ModelParameters!$D$5:$K$5,0)))</f>
        <v>0.11</v>
      </c>
      <c r="S1124" s="160">
        <f>IF(B1124="",0,MIN(IF($N1124="Other Bond TM",ModelParameters!$N$21,1)*(P1124*Q1124+R1124),1))</f>
        <v>0.1123032511841362</v>
      </c>
      <c r="T1124" s="85">
        <f>IF(B1124="",0,$S1124*$K1124)</f>
        <v>20.815910885207744</v>
      </c>
      <c r="U1124" s="85">
        <f>IF(B1124="",0,IF(OR(H1124=MappingTables!$C$34,H1124=MappingTables!$C$35),T1124,0))</f>
        <v>0</v>
      </c>
      <c r="V1124" s="85">
        <f>IF(ISNA(IF(AND(VLOOKUP(CONCATENATE($D1124,$G1124),CSRFinput!$B:$E,4,0)=0,OR(H1124=MappingTables!$C$34,H1124=MappingTables!$C$35)),1,VLOOKUP(CONCATENATE($D1124,$G1124),CSRFinput!$B:$E,4,0))),0,IF(AND(VLOOKUP(CONCATENATE($D1124,$G1124),CSRFinput!$B:$E,4,0)=0,OR(H1124=MappingTables!$C$34,H1124=MappingTables!$C$35)),1,VLOOKUP(CONCATENATE($D1124,$G1124),CSRFinput!$B:$E,4,0)))</f>
        <v>0.054776304963434752</v>
      </c>
      <c r="W1124" s="85">
        <f>IF(B1124="",0,+$T1124*$V1124)</f>
        <v>1.1402186827398204</v>
      </c>
      <c r="X1124" s="85">
        <f>IF(B1124="",0,IF(OR(H1124=MappingTables!$C$34,H1124=MappingTables!$C$35),W1124,0))</f>
        <v>0</v>
      </c>
    </row>
    <row r="1125" spans="2:24" s="0" customFormat="0" ht="15">
      <c r="B1125" s="69">
        <v>19178595</v>
      </c>
      <c r="C1125" s="70" t="s">
        <v>856</v>
      </c>
      <c r="D1125" s="70" t="s">
        <v>1</v>
      </c>
      <c r="E1125" s="70" t="s">
        <v>1</v>
      </c>
      <c r="F1125" s="70"/>
      <c r="G1125" s="70" t="s">
        <v>61</v>
      </c>
      <c r="H1125" s="70" t="s">
        <v>178</v>
      </c>
      <c r="I1125" s="70" t="s">
        <v>184</v>
      </c>
      <c r="J1125" s="71">
        <f>IF(OR(I1125=0,I1125=""),"unrated",VLOOKUP(I1125,MappingTables!$B$19:$C$31,2,FALSE))</f>
        <v>5</v>
      </c>
      <c r="K1125" s="72">
        <v>56810.037623981504</v>
      </c>
      <c r="L1125" s="70">
        <v>2.677312393916568</v>
      </c>
      <c r="M1125" s="71">
        <f>IF(L1125&lt;1,1,L1125)</f>
        <v>2.677312393916568</v>
      </c>
      <c r="N1125" s="70" t="s">
        <v>141</v>
      </c>
      <c r="O1125" s="71">
        <f>INDEX(DurClassMapping,MATCH(M1125,MappingTables!$D$4:$D$8,-1),1)</f>
        <v>1</v>
      </c>
      <c r="P1125" s="73">
        <f>IF(M1125=$A$1,1,$M1125-INDEX(MappingTables!$E$4:$E$8,MATCH(O1125,MappingTables!$B$4:$B$8,0)))</f>
        <v>2.677312393916568</v>
      </c>
      <c r="Q1125" s="71">
        <f>IF(B1125="",0,INDEX(ModelParameters!$D$6:$K$10,MATCH($O1125,ModelParameters!$B$6:$B$10,0),MATCH($J1125,ModelParameters!$D$5:$K$5,0)))</f>
        <v>0.075</v>
      </c>
      <c r="R1125" s="71">
        <f>IF(B1125="",0,INDEX(ModelParameters!$D$13:$K$17,MATCH($O1125,ModelParameters!$B$13:$B$17,0),MATCH($J1125,ModelParameters!$D$5:$K$5,0)))</f>
        <v>0</v>
      </c>
      <c r="S1125" s="160">
        <f>IF(B1125="",0,MIN(IF($N1125="Other Bond TM",ModelParameters!$N$21,1)*(P1125*Q1125+R1125),1))</f>
        <v>0.20079842954374256</v>
      </c>
      <c r="T1125" s="85">
        <f>IF(B1125="",0,$S1125*$K1125)</f>
        <v>11407.366337216414</v>
      </c>
      <c r="U1125" s="85">
        <f>IF(B1125="",0,IF(OR(H1125=MappingTables!$C$34,H1125=MappingTables!$C$35),T1125,0))</f>
        <v>0</v>
      </c>
      <c r="V1125" s="85">
        <f>IF(ISNA(IF(AND(VLOOKUP(CONCATENATE($D1125,$G1125),CSRFinput!$B:$E,4,0)=0,OR(H1125=MappingTables!$C$34,H1125=MappingTables!$C$35)),1,VLOOKUP(CONCATENATE($D1125,$G1125),CSRFinput!$B:$E,4,0))),0,IF(AND(VLOOKUP(CONCATENATE($D1125,$G1125),CSRFinput!$B:$E,4,0)=0,OR(H1125=MappingTables!$C$34,H1125=MappingTables!$C$35)),1,VLOOKUP(CONCATENATE($D1125,$G1125),CSRFinput!$B:$E,4,0)))</f>
        <v>0.054776304963434752</v>
      </c>
      <c r="W1125" s="85">
        <f>IF(B1125="",0,+$T1125*$V1125)</f>
        <v>624.853377316986</v>
      </c>
      <c r="X1125" s="85">
        <f>IF(B1125="",0,IF(OR(H1125=MappingTables!$C$34,H1125=MappingTables!$C$35),W1125,0))</f>
        <v>0</v>
      </c>
    </row>
    <row r="1126" spans="2:24" s="0" customFormat="0" ht="15">
      <c r="B1126" s="69">
        <v>18782691</v>
      </c>
      <c r="C1126" s="70" t="s">
        <v>1269</v>
      </c>
      <c r="D1126" s="70" t="s">
        <v>1</v>
      </c>
      <c r="E1126" s="70" t="s">
        <v>1</v>
      </c>
      <c r="F1126" s="70"/>
      <c r="G1126" s="70" t="s">
        <v>61</v>
      </c>
      <c r="H1126" s="70" t="s">
        <v>178</v>
      </c>
      <c r="I1126" s="70" t="s">
        <v>179</v>
      </c>
      <c r="J1126" s="71">
        <f>IF(OR(I1126=0,I1126=""),"unrated",VLOOKUP(I1126,MappingTables!$B$19:$C$31,2,FALSE))</f>
        <v>4</v>
      </c>
      <c r="K1126" s="72">
        <v>203.45694083055924</v>
      </c>
      <c r="L1126" s="70">
        <v>2.8072543885268232</v>
      </c>
      <c r="M1126" s="71">
        <f>IF(L1126&lt;1,1,L1126)</f>
        <v>2.8072543885268232</v>
      </c>
      <c r="N1126" s="70" t="s">
        <v>141</v>
      </c>
      <c r="O1126" s="71">
        <f>INDEX(DurClassMapping,MATCH(M1126,MappingTables!$D$4:$D$8,-1),1)</f>
        <v>1</v>
      </c>
      <c r="P1126" s="73">
        <f>IF(M1126=$A$1,1,$M1126-INDEX(MappingTables!$E$4:$E$8,MATCH(O1126,MappingTables!$B$4:$B$8,0)))</f>
        <v>2.8072543885268232</v>
      </c>
      <c r="Q1126" s="71">
        <f>IF(B1126="",0,INDEX(ModelParameters!$D$6:$K$10,MATCH($O1126,ModelParameters!$B$6:$B$10,0),MATCH($J1126,ModelParameters!$D$5:$K$5,0)))</f>
        <v>0.045</v>
      </c>
      <c r="R1126" s="71">
        <f>IF(B1126="",0,INDEX(ModelParameters!$D$13:$K$17,MATCH($O1126,ModelParameters!$B$13:$B$17,0),MATCH($J1126,ModelParameters!$D$5:$K$5,0)))</f>
        <v>0</v>
      </c>
      <c r="S1126" s="160">
        <f>IF(B1126="",0,MIN(IF($N1126="Other Bond TM",ModelParameters!$N$21,1)*(P1126*Q1126+R1126),1))</f>
        <v>0.12632644748370702</v>
      </c>
      <c r="T1126" s="85">
        <f>IF(B1126="",0,$S1126*$K1126)</f>
        <v>25.701992551027328</v>
      </c>
      <c r="U1126" s="85">
        <f>IF(B1126="",0,IF(OR(H1126=MappingTables!$C$34,H1126=MappingTables!$C$35),T1126,0))</f>
        <v>0</v>
      </c>
      <c r="V1126" s="85">
        <f>IF(ISNA(IF(AND(VLOOKUP(CONCATENATE($D1126,$G1126),CSRFinput!$B:$E,4,0)=0,OR(H1126=MappingTables!$C$34,H1126=MappingTables!$C$35)),1,VLOOKUP(CONCATENATE($D1126,$G1126),CSRFinput!$B:$E,4,0))),0,IF(AND(VLOOKUP(CONCATENATE($D1126,$G1126),CSRFinput!$B:$E,4,0)=0,OR(H1126=MappingTables!$C$34,H1126=MappingTables!$C$35)),1,VLOOKUP(CONCATENATE($D1126,$G1126),CSRFinput!$B:$E,4,0)))</f>
        <v>0.054776304963434752</v>
      </c>
      <c r="W1126" s="85">
        <f>IF(B1126="",0,+$T1126*$V1126)</f>
        <v>1.4078601821430012</v>
      </c>
      <c r="X1126" s="85">
        <f>IF(B1126="",0,IF(OR(H1126=MappingTables!$C$34,H1126=MappingTables!$C$35),W1126,0))</f>
        <v>0</v>
      </c>
    </row>
    <row r="1127" spans="2:24" s="0" customFormat="0" ht="15">
      <c r="B1127" s="69">
        <v>24426295</v>
      </c>
      <c r="C1127" s="70" t="s">
        <v>1405</v>
      </c>
      <c r="D1127" s="70" t="s">
        <v>1</v>
      </c>
      <c r="E1127" s="70" t="s">
        <v>1</v>
      </c>
      <c r="F1127" s="70"/>
      <c r="G1127" s="70" t="s">
        <v>61</v>
      </c>
      <c r="H1127" s="70" t="s">
        <v>178</v>
      </c>
      <c r="I1127" s="70" t="s">
        <v>181</v>
      </c>
      <c r="J1127" s="71">
        <f>IF(OR(I1127=0,I1127=""),"unrated",VLOOKUP(I1127,MappingTables!$B$19:$C$31,2,FALSE))</f>
        <v>3</v>
      </c>
      <c r="K1127" s="72">
        <v>829.85307846531152</v>
      </c>
      <c r="L1127" s="70">
        <v>0.78743147875477616</v>
      </c>
      <c r="M1127" s="71">
        <f>IF(L1127&lt;1,1,L1127)</f>
        <v>1</v>
      </c>
      <c r="N1127" s="70" t="s">
        <v>141</v>
      </c>
      <c r="O1127" s="71">
        <f>INDEX(DurClassMapping,MATCH(M1127,MappingTables!$D$4:$D$8,-1),1)</f>
        <v>1</v>
      </c>
      <c r="P1127" s="73">
        <f>IF(M1127=$A$1,1,$M1127-INDEX(MappingTables!$E$4:$E$8,MATCH(O1127,MappingTables!$B$4:$B$8,0)))</f>
        <v>1</v>
      </c>
      <c r="Q1127" s="71">
        <f>IF(B1127="",0,INDEX(ModelParameters!$D$6:$K$10,MATCH($O1127,ModelParameters!$B$6:$B$10,0),MATCH($J1127,ModelParameters!$D$5:$K$5,0)))</f>
        <v>0.025</v>
      </c>
      <c r="R1127" s="71">
        <f>IF(B1127="",0,INDEX(ModelParameters!$D$13:$K$17,MATCH($O1127,ModelParameters!$B$13:$B$17,0),MATCH($J1127,ModelParameters!$D$5:$K$5,0)))</f>
        <v>0</v>
      </c>
      <c r="S1127" s="160">
        <f>IF(B1127="",0,MIN(IF($N1127="Other Bond TM",ModelParameters!$N$21,1)*(P1127*Q1127+R1127),1))</f>
        <v>0.025</v>
      </c>
      <c r="T1127" s="85">
        <f>IF(B1127="",0,$S1127*$K1127)</f>
        <v>20.746326961632788</v>
      </c>
      <c r="U1127" s="85">
        <f>IF(B1127="",0,IF(OR(H1127=MappingTables!$C$34,H1127=MappingTables!$C$35),T1127,0))</f>
        <v>0</v>
      </c>
      <c r="V1127" s="85">
        <f>IF(ISNA(IF(AND(VLOOKUP(CONCATENATE($D1127,$G1127),CSRFinput!$B:$E,4,0)=0,OR(H1127=MappingTables!$C$34,H1127=MappingTables!$C$35)),1,VLOOKUP(CONCATENATE($D1127,$G1127),CSRFinput!$B:$E,4,0))),0,IF(AND(VLOOKUP(CONCATENATE($D1127,$G1127),CSRFinput!$B:$E,4,0)=0,OR(H1127=MappingTables!$C$34,H1127=MappingTables!$C$35)),1,VLOOKUP(CONCATENATE($D1127,$G1127),CSRFinput!$B:$E,4,0)))</f>
        <v>0.054776304963434752</v>
      </c>
      <c r="W1127" s="85">
        <f>IF(B1127="",0,+$T1127*$V1127)</f>
        <v>1.1364071325215264</v>
      </c>
      <c r="X1127" s="85">
        <f>IF(B1127="",0,IF(OR(H1127=MappingTables!$C$34,H1127=MappingTables!$C$35),W1127,0))</f>
        <v>0</v>
      </c>
    </row>
    <row r="1128" spans="2:24" s="0" customFormat="0" ht="15">
      <c r="B1128" s="69">
        <v>24430402</v>
      </c>
      <c r="C1128" s="70" t="s">
        <v>842</v>
      </c>
      <c r="D1128" s="70" t="s">
        <v>1</v>
      </c>
      <c r="E1128" s="70" t="s">
        <v>1</v>
      </c>
      <c r="F1128" s="70"/>
      <c r="G1128" s="70" t="s">
        <v>61</v>
      </c>
      <c r="H1128" s="70" t="s">
        <v>178</v>
      </c>
      <c r="I1128" s="70" t="s">
        <v>181</v>
      </c>
      <c r="J1128" s="71">
        <f>IF(OR(I1128=0,I1128=""),"unrated",VLOOKUP(I1128,MappingTables!$B$19:$C$31,2,FALSE))</f>
        <v>3</v>
      </c>
      <c r="K1128" s="72">
        <v>4718.2479888893232</v>
      </c>
      <c r="L1128" s="70">
        <v>3.364695999697604</v>
      </c>
      <c r="M1128" s="71">
        <f>IF(L1128&lt;1,1,L1128)</f>
        <v>3.364695999697604</v>
      </c>
      <c r="N1128" s="70" t="s">
        <v>141</v>
      </c>
      <c r="O1128" s="71">
        <f>INDEX(DurClassMapping,MATCH(M1128,MappingTables!$D$4:$D$8,-1),1)</f>
        <v>1</v>
      </c>
      <c r="P1128" s="73">
        <f>IF(M1128=$A$1,1,$M1128-INDEX(MappingTables!$E$4:$E$8,MATCH(O1128,MappingTables!$B$4:$B$8,0)))</f>
        <v>3.364695999697604</v>
      </c>
      <c r="Q1128" s="71">
        <f>IF(B1128="",0,INDEX(ModelParameters!$D$6:$K$10,MATCH($O1128,ModelParameters!$B$6:$B$10,0),MATCH($J1128,ModelParameters!$D$5:$K$5,0)))</f>
        <v>0.025</v>
      </c>
      <c r="R1128" s="71">
        <f>IF(B1128="",0,INDEX(ModelParameters!$D$13:$K$17,MATCH($O1128,ModelParameters!$B$13:$B$17,0),MATCH($J1128,ModelParameters!$D$5:$K$5,0)))</f>
        <v>0</v>
      </c>
      <c r="S1128" s="160">
        <f>IF(B1128="",0,MIN(IF($N1128="Other Bond TM",ModelParameters!$N$21,1)*(P1128*Q1128+R1128),1))</f>
        <v>0.084117399992440112</v>
      </c>
      <c r="T1128" s="85">
        <f>IF(B1128="",0,$S1128*$K1128)</f>
        <v>396.88675334492936</v>
      </c>
      <c r="U1128" s="85">
        <f>IF(B1128="",0,IF(OR(H1128=MappingTables!$C$34,H1128=MappingTables!$C$35),T1128,0))</f>
        <v>0</v>
      </c>
      <c r="V1128" s="85">
        <f>IF(ISNA(IF(AND(VLOOKUP(CONCATENATE($D1128,$G1128),CSRFinput!$B:$E,4,0)=0,OR(H1128=MappingTables!$C$34,H1128=MappingTables!$C$35)),1,VLOOKUP(CONCATENATE($D1128,$G1128),CSRFinput!$B:$E,4,0))),0,IF(AND(VLOOKUP(CONCATENATE($D1128,$G1128),CSRFinput!$B:$E,4,0)=0,OR(H1128=MappingTables!$C$34,H1128=MappingTables!$C$35)),1,VLOOKUP(CONCATENATE($D1128,$G1128),CSRFinput!$B:$E,4,0)))</f>
        <v>0.054776304963434752</v>
      </c>
      <c r="W1128" s="85">
        <f>IF(B1128="",0,+$T1128*$V1128)</f>
        <v>21.739989837169356</v>
      </c>
      <c r="X1128" s="85">
        <f>IF(B1128="",0,IF(OR(H1128=MappingTables!$C$34,H1128=MappingTables!$C$35),W1128,0))</f>
        <v>0</v>
      </c>
    </row>
    <row r="1129" spans="2:24" s="0" customFormat="0" ht="15">
      <c r="B1129" s="69">
        <v>22554127</v>
      </c>
      <c r="C1129" s="70" t="s">
        <v>1406</v>
      </c>
      <c r="D1129" s="70" t="s">
        <v>1</v>
      </c>
      <c r="E1129" s="70" t="s">
        <v>1</v>
      </c>
      <c r="F1129" s="70"/>
      <c r="G1129" s="70" t="s">
        <v>61</v>
      </c>
      <c r="H1129" s="70" t="s">
        <v>178</v>
      </c>
      <c r="I1129" s="70" t="s">
        <v>188</v>
      </c>
      <c r="J1129" s="71">
        <f>IF(OR(I1129=0,I1129=""),"unrated",VLOOKUP(I1129,MappingTables!$B$19:$C$31,2,FALSE))</f>
        <v>2</v>
      </c>
      <c r="K1129" s="72">
        <v>628.10065004619272</v>
      </c>
      <c r="L1129" s="70">
        <v>0.16164220827310644</v>
      </c>
      <c r="M1129" s="71">
        <f>IF(L1129&lt;1,1,L1129)</f>
        <v>1</v>
      </c>
      <c r="N1129" s="70" t="s">
        <v>141</v>
      </c>
      <c r="O1129" s="71">
        <f>INDEX(DurClassMapping,MATCH(M1129,MappingTables!$D$4:$D$8,-1),1)</f>
        <v>1</v>
      </c>
      <c r="P1129" s="73">
        <f>IF(M1129=$A$1,1,$M1129-INDEX(MappingTables!$E$4:$E$8,MATCH(O1129,MappingTables!$B$4:$B$8,0)))</f>
        <v>1</v>
      </c>
      <c r="Q1129" s="71">
        <f>IF(B1129="",0,INDEX(ModelParameters!$D$6:$K$10,MATCH($O1129,ModelParameters!$B$6:$B$10,0),MATCH($J1129,ModelParameters!$D$5:$K$5,0)))</f>
        <v>0.013999999999999998</v>
      </c>
      <c r="R1129" s="71">
        <f>IF(B1129="",0,INDEX(ModelParameters!$D$13:$K$17,MATCH($O1129,ModelParameters!$B$13:$B$17,0),MATCH($J1129,ModelParameters!$D$5:$K$5,0)))</f>
        <v>0</v>
      </c>
      <c r="S1129" s="160">
        <f>IF(B1129="",0,MIN(IF($N1129="Other Bond TM",ModelParameters!$N$21,1)*(P1129*Q1129+R1129),1))</f>
        <v>0.013999999999999998</v>
      </c>
      <c r="T1129" s="85">
        <f>IF(B1129="",0,$S1129*$K1129)</f>
        <v>8.793409100646696</v>
      </c>
      <c r="U1129" s="85">
        <f>IF(B1129="",0,IF(OR(H1129=MappingTables!$C$34,H1129=MappingTables!$C$35),T1129,0))</f>
        <v>0</v>
      </c>
      <c r="V1129" s="85">
        <f>IF(ISNA(IF(AND(VLOOKUP(CONCATENATE($D1129,$G1129),CSRFinput!$B:$E,4,0)=0,OR(H1129=MappingTables!$C$34,H1129=MappingTables!$C$35)),1,VLOOKUP(CONCATENATE($D1129,$G1129),CSRFinput!$B:$E,4,0))),0,IF(AND(VLOOKUP(CONCATENATE($D1129,$G1129),CSRFinput!$B:$E,4,0)=0,OR(H1129=MappingTables!$C$34,H1129=MappingTables!$C$35)),1,VLOOKUP(CONCATENATE($D1129,$G1129),CSRFinput!$B:$E,4,0)))</f>
        <v>0.054776304963434752</v>
      </c>
      <c r="W1129" s="85">
        <f>IF(B1129="",0,+$T1129*$V1129)</f>
        <v>0.481670458565266</v>
      </c>
      <c r="X1129" s="85">
        <f>IF(B1129="",0,IF(OR(H1129=MappingTables!$C$34,H1129=MappingTables!$C$35),W1129,0))</f>
        <v>0</v>
      </c>
    </row>
    <row r="1130" spans="2:24" s="0" customFormat="0" ht="15">
      <c r="B1130" s="69">
        <v>19793892</v>
      </c>
      <c r="C1130" s="70" t="s">
        <v>660</v>
      </c>
      <c r="D1130" s="70" t="s">
        <v>1</v>
      </c>
      <c r="E1130" s="70" t="s">
        <v>1</v>
      </c>
      <c r="F1130" s="70"/>
      <c r="G1130" s="70" t="s">
        <v>61</v>
      </c>
      <c r="H1130" s="70" t="s">
        <v>178</v>
      </c>
      <c r="I1130" s="70" t="s">
        <v>179</v>
      </c>
      <c r="J1130" s="71">
        <f>IF(OR(I1130=0,I1130=""),"unrated",VLOOKUP(I1130,MappingTables!$B$19:$C$31,2,FALSE))</f>
        <v>4</v>
      </c>
      <c r="K1130" s="72">
        <v>5753.1922888318448</v>
      </c>
      <c r="L1130" s="70">
        <v>3.1404543850408868</v>
      </c>
      <c r="M1130" s="71">
        <f>IF(L1130&lt;1,1,L1130)</f>
        <v>3.1404543850408868</v>
      </c>
      <c r="N1130" s="70" t="s">
        <v>141</v>
      </c>
      <c r="O1130" s="71">
        <f>INDEX(DurClassMapping,MATCH(M1130,MappingTables!$D$4:$D$8,-1),1)</f>
        <v>1</v>
      </c>
      <c r="P1130" s="73">
        <f>IF(M1130=$A$1,1,$M1130-INDEX(MappingTables!$E$4:$E$8,MATCH(O1130,MappingTables!$B$4:$B$8,0)))</f>
        <v>3.1404543850408868</v>
      </c>
      <c r="Q1130" s="71">
        <f>IF(B1130="",0,INDEX(ModelParameters!$D$6:$K$10,MATCH($O1130,ModelParameters!$B$6:$B$10,0),MATCH($J1130,ModelParameters!$D$5:$K$5,0)))</f>
        <v>0.045</v>
      </c>
      <c r="R1130" s="71">
        <f>IF(B1130="",0,INDEX(ModelParameters!$D$13:$K$17,MATCH($O1130,ModelParameters!$B$13:$B$17,0),MATCH($J1130,ModelParameters!$D$5:$K$5,0)))</f>
        <v>0</v>
      </c>
      <c r="S1130" s="160">
        <f>IF(B1130="",0,MIN(IF($N1130="Other Bond TM",ModelParameters!$N$21,1)*(P1130*Q1130+R1130),1))</f>
        <v>0.1413204473268399</v>
      </c>
      <c r="T1130" s="85">
        <f>IF(B1130="",0,$S1130*$K1130)</f>
        <v>813.04370781504224</v>
      </c>
      <c r="U1130" s="85">
        <f>IF(B1130="",0,IF(OR(H1130=MappingTables!$C$34,H1130=MappingTables!$C$35),T1130,0))</f>
        <v>0</v>
      </c>
      <c r="V1130" s="85">
        <f>IF(ISNA(IF(AND(VLOOKUP(CONCATENATE($D1130,$G1130),CSRFinput!$B:$E,4,0)=0,OR(H1130=MappingTables!$C$34,H1130=MappingTables!$C$35)),1,VLOOKUP(CONCATENATE($D1130,$G1130),CSRFinput!$B:$E,4,0))),0,IF(AND(VLOOKUP(CONCATENATE($D1130,$G1130),CSRFinput!$B:$E,4,0)=0,OR(H1130=MappingTables!$C$34,H1130=MappingTables!$C$35)),1,VLOOKUP(CONCATENATE($D1130,$G1130),CSRFinput!$B:$E,4,0)))</f>
        <v>0.054776304963434752</v>
      </c>
      <c r="W1130" s="85">
        <f>IF(B1130="",0,+$T1130*$V1130)</f>
        <v>44.535530087878488</v>
      </c>
      <c r="X1130" s="85">
        <f>IF(B1130="",0,IF(OR(H1130=MappingTables!$C$34,H1130=MappingTables!$C$35),W1130,0))</f>
        <v>0</v>
      </c>
    </row>
    <row r="1131" spans="2:24" s="0" customFormat="0" ht="15">
      <c r="B1131" s="69">
        <v>16117364</v>
      </c>
      <c r="C1131" s="70" t="s">
        <v>1407</v>
      </c>
      <c r="D1131" s="70" t="s">
        <v>1</v>
      </c>
      <c r="E1131" s="70" t="s">
        <v>1</v>
      </c>
      <c r="F1131" s="70"/>
      <c r="G1131" s="70" t="s">
        <v>61</v>
      </c>
      <c r="H1131" s="70" t="s">
        <v>178</v>
      </c>
      <c r="I1131" s="70" t="s">
        <v>188</v>
      </c>
      <c r="J1131" s="71">
        <f>IF(OR(I1131=0,I1131=""),"unrated",VLOOKUP(I1131,MappingTables!$B$19:$C$31,2,FALSE))</f>
        <v>2</v>
      </c>
      <c r="K1131" s="72">
        <v>435.71717082733416</v>
      </c>
      <c r="L1131" s="70">
        <v>16.162183745887958</v>
      </c>
      <c r="M1131" s="71">
        <f>IF(L1131&lt;1,1,L1131)</f>
        <v>16.162183745887958</v>
      </c>
      <c r="N1131" s="70" t="s">
        <v>141</v>
      </c>
      <c r="O1131" s="71">
        <f>INDEX(DurClassMapping,MATCH(M1131,MappingTables!$D$4:$D$8,-1),1)</f>
        <v>4</v>
      </c>
      <c r="P1131" s="73">
        <f>IF(M1131=$A$1,1,$M1131-INDEX(MappingTables!$E$4:$E$8,MATCH(O1131,MappingTables!$B$4:$B$8,0)))</f>
        <v>1.1621837458879582</v>
      </c>
      <c r="Q1131" s="71">
        <f>IF(B1131="",0,INDEX(ModelParameters!$D$6:$K$10,MATCH($O1131,ModelParameters!$B$6:$B$10,0),MATCH($J1131,ModelParameters!$D$5:$K$5,0)))</f>
        <v>0.005</v>
      </c>
      <c r="R1131" s="71">
        <f>IF(B1131="",0,INDEX(ModelParameters!$D$13:$K$17,MATCH($O1131,ModelParameters!$B$13:$B$17,0),MATCH($J1131,ModelParameters!$D$5:$K$5,0)))</f>
        <v>0.13</v>
      </c>
      <c r="S1131" s="160">
        <f>IF(B1131="",0,MIN(IF($N1131="Other Bond TM",ModelParameters!$N$21,1)*(P1131*Q1131+R1131),1))</f>
        <v>0.13581091872943978</v>
      </c>
      <c r="T1131" s="85">
        <f>IF(B1131="",0,$S1131*$K1131)</f>
        <v>59.175149276252512</v>
      </c>
      <c r="U1131" s="85">
        <f>IF(B1131="",0,IF(OR(H1131=MappingTables!$C$34,H1131=MappingTables!$C$35),T1131,0))</f>
        <v>0</v>
      </c>
      <c r="V1131" s="85">
        <f>IF(ISNA(IF(AND(VLOOKUP(CONCATENATE($D1131,$G1131),CSRFinput!$B:$E,4,0)=0,OR(H1131=MappingTables!$C$34,H1131=MappingTables!$C$35)),1,VLOOKUP(CONCATENATE($D1131,$G1131),CSRFinput!$B:$E,4,0))),0,IF(AND(VLOOKUP(CONCATENATE($D1131,$G1131),CSRFinput!$B:$E,4,0)=0,OR(H1131=MappingTables!$C$34,H1131=MappingTables!$C$35)),1,VLOOKUP(CONCATENATE($D1131,$G1131),CSRFinput!$B:$E,4,0)))</f>
        <v>0.054776304963434752</v>
      </c>
      <c r="W1131" s="85">
        <f>IF(B1131="",0,+$T1131*$V1131)</f>
        <v>3.2413960230127828</v>
      </c>
      <c r="X1131" s="85">
        <f>IF(B1131="",0,IF(OR(H1131=MappingTables!$C$34,H1131=MappingTables!$C$35),W1131,0))</f>
        <v>0</v>
      </c>
    </row>
    <row r="1132" spans="2:24" s="0" customFormat="0" ht="15">
      <c r="B1132" s="69">
        <v>17418008</v>
      </c>
      <c r="C1132" s="70" t="s">
        <v>313</v>
      </c>
      <c r="D1132" s="70" t="s">
        <v>1</v>
      </c>
      <c r="E1132" s="70" t="s">
        <v>1</v>
      </c>
      <c r="F1132" s="70"/>
      <c r="G1132" s="70" t="s">
        <v>61</v>
      </c>
      <c r="H1132" s="70" t="s">
        <v>178</v>
      </c>
      <c r="I1132" s="70" t="s">
        <v>188</v>
      </c>
      <c r="J1132" s="71">
        <f>IF(OR(I1132=0,I1132=""),"unrated",VLOOKUP(I1132,MappingTables!$B$19:$C$31,2,FALSE))</f>
        <v>2</v>
      </c>
      <c r="K1132" s="72">
        <v>11.261272529898994</v>
      </c>
      <c r="L1132" s="70">
        <v>0.5298166725357908</v>
      </c>
      <c r="M1132" s="71">
        <f>IF(L1132&lt;1,1,L1132)</f>
        <v>1</v>
      </c>
      <c r="N1132" s="70" t="s">
        <v>141</v>
      </c>
      <c r="O1132" s="71">
        <f>INDEX(DurClassMapping,MATCH(M1132,MappingTables!$D$4:$D$8,-1),1)</f>
        <v>1</v>
      </c>
      <c r="P1132" s="73">
        <f>IF(M1132=$A$1,1,$M1132-INDEX(MappingTables!$E$4:$E$8,MATCH(O1132,MappingTables!$B$4:$B$8,0)))</f>
        <v>1</v>
      </c>
      <c r="Q1132" s="71">
        <f>IF(B1132="",0,INDEX(ModelParameters!$D$6:$K$10,MATCH($O1132,ModelParameters!$B$6:$B$10,0),MATCH($J1132,ModelParameters!$D$5:$K$5,0)))</f>
        <v>0.013999999999999998</v>
      </c>
      <c r="R1132" s="71">
        <f>IF(B1132="",0,INDEX(ModelParameters!$D$13:$K$17,MATCH($O1132,ModelParameters!$B$13:$B$17,0),MATCH($J1132,ModelParameters!$D$5:$K$5,0)))</f>
        <v>0</v>
      </c>
      <c r="S1132" s="160">
        <f>IF(B1132="",0,MIN(IF($N1132="Other Bond TM",ModelParameters!$N$21,1)*(P1132*Q1132+R1132),1))</f>
        <v>0.013999999999999998</v>
      </c>
      <c r="T1132" s="85">
        <f>IF(B1132="",0,$S1132*$K1132)</f>
        <v>0.1576578154185859</v>
      </c>
      <c r="U1132" s="85">
        <f>IF(B1132="",0,IF(OR(H1132=MappingTables!$C$34,H1132=MappingTables!$C$35),T1132,0))</f>
        <v>0</v>
      </c>
      <c r="V1132" s="85">
        <f>IF(ISNA(IF(AND(VLOOKUP(CONCATENATE($D1132,$G1132),CSRFinput!$B:$E,4,0)=0,OR(H1132=MappingTables!$C$34,H1132=MappingTables!$C$35)),1,VLOOKUP(CONCATENATE($D1132,$G1132),CSRFinput!$B:$E,4,0))),0,IF(AND(VLOOKUP(CONCATENATE($D1132,$G1132),CSRFinput!$B:$E,4,0)=0,OR(H1132=MappingTables!$C$34,H1132=MappingTables!$C$35)),1,VLOOKUP(CONCATENATE($D1132,$G1132),CSRFinput!$B:$E,4,0)))</f>
        <v>0.054776304963434752</v>
      </c>
      <c r="W1132" s="85">
        <f>IF(B1132="",0,+$T1132*$V1132)</f>
        <v>0.0086359125772373664</v>
      </c>
      <c r="X1132" s="85">
        <f>IF(B1132="",0,IF(OR(H1132=MappingTables!$C$34,H1132=MappingTables!$C$35),W1132,0))</f>
        <v>0</v>
      </c>
    </row>
    <row r="1133" spans="2:24" s="0" customFormat="0" ht="15">
      <c r="B1133" s="69">
        <v>24923220</v>
      </c>
      <c r="C1133" s="70" t="s">
        <v>1408</v>
      </c>
      <c r="D1133" s="70" t="s">
        <v>1</v>
      </c>
      <c r="E1133" s="70" t="s">
        <v>1</v>
      </c>
      <c r="F1133" s="70"/>
      <c r="G1133" s="70" t="s">
        <v>61</v>
      </c>
      <c r="H1133" s="70" t="s">
        <v>178</v>
      </c>
      <c r="I1133" s="70" t="s">
        <v>184</v>
      </c>
      <c r="J1133" s="71">
        <f>IF(OR(I1133=0,I1133=""),"unrated",VLOOKUP(I1133,MappingTables!$B$19:$C$31,2,FALSE))</f>
        <v>5</v>
      </c>
      <c r="K1133" s="72">
        <v>38877.273734701096</v>
      </c>
      <c r="L1133" s="70">
        <v>2.670047689453238</v>
      </c>
      <c r="M1133" s="71">
        <f>IF(L1133&lt;1,1,L1133)</f>
        <v>2.670047689453238</v>
      </c>
      <c r="N1133" s="70" t="s">
        <v>141</v>
      </c>
      <c r="O1133" s="71">
        <f>INDEX(DurClassMapping,MATCH(M1133,MappingTables!$D$4:$D$8,-1),1)</f>
        <v>1</v>
      </c>
      <c r="P1133" s="73">
        <f>IF(M1133=$A$1,1,$M1133-INDEX(MappingTables!$E$4:$E$8,MATCH(O1133,MappingTables!$B$4:$B$8,0)))</f>
        <v>2.670047689453238</v>
      </c>
      <c r="Q1133" s="71">
        <f>IF(B1133="",0,INDEX(ModelParameters!$D$6:$K$10,MATCH($O1133,ModelParameters!$B$6:$B$10,0),MATCH($J1133,ModelParameters!$D$5:$K$5,0)))</f>
        <v>0.075</v>
      </c>
      <c r="R1133" s="71">
        <f>IF(B1133="",0,INDEX(ModelParameters!$D$13:$K$17,MATCH($O1133,ModelParameters!$B$13:$B$17,0),MATCH($J1133,ModelParameters!$D$5:$K$5,0)))</f>
        <v>0</v>
      </c>
      <c r="S1133" s="160">
        <f>IF(B1133="",0,MIN(IF($N1133="Other Bond TM",ModelParameters!$N$21,1)*(P1133*Q1133+R1133),1))</f>
        <v>0.20025357670899284</v>
      </c>
      <c r="T1133" s="85">
        <f>IF(B1133="",0,$S1133*$K1133)</f>
        <v>7785.3131180684784</v>
      </c>
      <c r="U1133" s="85">
        <f>IF(B1133="",0,IF(OR(H1133=MappingTables!$C$34,H1133=MappingTables!$C$35),T1133,0))</f>
        <v>0</v>
      </c>
      <c r="V1133" s="85">
        <f>IF(ISNA(IF(AND(VLOOKUP(CONCATENATE($D1133,$G1133),CSRFinput!$B:$E,4,0)=0,OR(H1133=MappingTables!$C$34,H1133=MappingTables!$C$35)),1,VLOOKUP(CONCATENATE($D1133,$G1133),CSRFinput!$B:$E,4,0))),0,IF(AND(VLOOKUP(CONCATENATE($D1133,$G1133),CSRFinput!$B:$E,4,0)=0,OR(H1133=MappingTables!$C$34,H1133=MappingTables!$C$35)),1,VLOOKUP(CONCATENATE($D1133,$G1133),CSRFinput!$B:$E,4,0)))</f>
        <v>0.054776304963434752</v>
      </c>
      <c r="W1133" s="85">
        <f>IF(B1133="",0,+$T1133*$V1133)</f>
        <v>426.45068559114808</v>
      </c>
      <c r="X1133" s="85">
        <f>IF(B1133="",0,IF(OR(H1133=MappingTables!$C$34,H1133=MappingTables!$C$35),W1133,0))</f>
        <v>0</v>
      </c>
    </row>
    <row r="1134" spans="2:24" s="0" customFormat="0" ht="15">
      <c r="B1134" s="69">
        <v>21771039</v>
      </c>
      <c r="C1134" s="70" t="s">
        <v>1409</v>
      </c>
      <c r="D1134" s="70" t="s">
        <v>1</v>
      </c>
      <c r="E1134" s="70" t="s">
        <v>1</v>
      </c>
      <c r="F1134" s="70"/>
      <c r="G1134" s="70" t="s">
        <v>61</v>
      </c>
      <c r="H1134" s="70" t="s">
        <v>178</v>
      </c>
      <c r="I1134" s="70" t="s">
        <v>181</v>
      </c>
      <c r="J1134" s="71">
        <f>IF(OR(I1134=0,I1134=""),"unrated",VLOOKUP(I1134,MappingTables!$B$19:$C$31,2,FALSE))</f>
        <v>3</v>
      </c>
      <c r="K1134" s="72">
        <v>5212.8174881409088</v>
      </c>
      <c r="L1134" s="70">
        <v>2.5293487861431984</v>
      </c>
      <c r="M1134" s="71">
        <f>IF(L1134&lt;1,1,L1134)</f>
        <v>2.5293487861431984</v>
      </c>
      <c r="N1134" s="70" t="s">
        <v>141</v>
      </c>
      <c r="O1134" s="71">
        <f>INDEX(DurClassMapping,MATCH(M1134,MappingTables!$D$4:$D$8,-1),1)</f>
        <v>1</v>
      </c>
      <c r="P1134" s="73">
        <f>IF(M1134=$A$1,1,$M1134-INDEX(MappingTables!$E$4:$E$8,MATCH(O1134,MappingTables!$B$4:$B$8,0)))</f>
        <v>2.5293487861431984</v>
      </c>
      <c r="Q1134" s="71">
        <f>IF(B1134="",0,INDEX(ModelParameters!$D$6:$K$10,MATCH($O1134,ModelParameters!$B$6:$B$10,0),MATCH($J1134,ModelParameters!$D$5:$K$5,0)))</f>
        <v>0.025</v>
      </c>
      <c r="R1134" s="71">
        <f>IF(B1134="",0,INDEX(ModelParameters!$D$13:$K$17,MATCH($O1134,ModelParameters!$B$13:$B$17,0),MATCH($J1134,ModelParameters!$D$5:$K$5,0)))</f>
        <v>0</v>
      </c>
      <c r="S1134" s="160">
        <f>IF(B1134="",0,MIN(IF($N1134="Other Bond TM",ModelParameters!$N$21,1)*(P1134*Q1134+R1134),1))</f>
        <v>0.06323371965357996</v>
      </c>
      <c r="T1134" s="85">
        <f>IF(B1134="",0,$S1134*$K1134)</f>
        <v>329.62583965038112</v>
      </c>
      <c r="U1134" s="85">
        <f>IF(B1134="",0,IF(OR(H1134=MappingTables!$C$34,H1134=MappingTables!$C$35),T1134,0))</f>
        <v>0</v>
      </c>
      <c r="V1134" s="85">
        <f>IF(ISNA(IF(AND(VLOOKUP(CONCATENATE($D1134,$G1134),CSRFinput!$B:$E,4,0)=0,OR(H1134=MappingTables!$C$34,H1134=MappingTables!$C$35)),1,VLOOKUP(CONCATENATE($D1134,$G1134),CSRFinput!$B:$E,4,0))),0,IF(AND(VLOOKUP(CONCATENATE($D1134,$G1134),CSRFinput!$B:$E,4,0)=0,OR(H1134=MappingTables!$C$34,H1134=MappingTables!$C$35)),1,VLOOKUP(CONCATENATE($D1134,$G1134),CSRFinput!$B:$E,4,0)))</f>
        <v>0.054776304963434752</v>
      </c>
      <c r="W1134" s="85">
        <f>IF(B1134="",0,+$T1134*$V1134)</f>
        <v>18.05568551651752</v>
      </c>
      <c r="X1134" s="85">
        <f>IF(B1134="",0,IF(OR(H1134=MappingTables!$C$34,H1134=MappingTables!$C$35),W1134,0))</f>
        <v>0</v>
      </c>
    </row>
    <row r="1135" spans="2:24" s="0" customFormat="0" ht="15">
      <c r="B1135" s="69">
        <v>15524804</v>
      </c>
      <c r="C1135" s="70" t="s">
        <v>450</v>
      </c>
      <c r="D1135" s="70" t="s">
        <v>1</v>
      </c>
      <c r="E1135" s="70" t="s">
        <v>1</v>
      </c>
      <c r="F1135" s="70"/>
      <c r="G1135" s="70" t="s">
        <v>61</v>
      </c>
      <c r="H1135" s="70" t="s">
        <v>178</v>
      </c>
      <c r="I1135" s="70" t="s">
        <v>179</v>
      </c>
      <c r="J1135" s="71">
        <f>IF(OR(I1135=0,I1135=""),"unrated",VLOOKUP(I1135,MappingTables!$B$19:$C$31,2,FALSE))</f>
        <v>4</v>
      </c>
      <c r="K1135" s="72">
        <v>249.46485150250424</v>
      </c>
      <c r="L1135" s="70">
        <v>1.8484433562535928</v>
      </c>
      <c r="M1135" s="71">
        <f>IF(L1135&lt;1,1,L1135)</f>
        <v>1.8484433562535928</v>
      </c>
      <c r="N1135" s="70" t="s">
        <v>141</v>
      </c>
      <c r="O1135" s="71">
        <f>INDEX(DurClassMapping,MATCH(M1135,MappingTables!$D$4:$D$8,-1),1)</f>
        <v>1</v>
      </c>
      <c r="P1135" s="73">
        <f>IF(M1135=$A$1,1,$M1135-INDEX(MappingTables!$E$4:$E$8,MATCH(O1135,MappingTables!$B$4:$B$8,0)))</f>
        <v>1.8484433562535928</v>
      </c>
      <c r="Q1135" s="71">
        <f>IF(B1135="",0,INDEX(ModelParameters!$D$6:$K$10,MATCH($O1135,ModelParameters!$B$6:$B$10,0),MATCH($J1135,ModelParameters!$D$5:$K$5,0)))</f>
        <v>0.045</v>
      </c>
      <c r="R1135" s="71">
        <f>IF(B1135="",0,INDEX(ModelParameters!$D$13:$K$17,MATCH($O1135,ModelParameters!$B$13:$B$17,0),MATCH($J1135,ModelParameters!$D$5:$K$5,0)))</f>
        <v>0</v>
      </c>
      <c r="S1135" s="160">
        <f>IF(B1135="",0,MIN(IF($N1135="Other Bond TM",ModelParameters!$N$21,1)*(P1135*Q1135+R1135),1))</f>
        <v>0.083179951031411664</v>
      </c>
      <c r="T1135" s="85">
        <f>IF(B1135="",0,$S1135*$K1135)</f>
        <v>20.750474132036688</v>
      </c>
      <c r="U1135" s="85">
        <f>IF(B1135="",0,IF(OR(H1135=MappingTables!$C$34,H1135=MappingTables!$C$35),T1135,0))</f>
        <v>0</v>
      </c>
      <c r="V1135" s="85">
        <f>IF(ISNA(IF(AND(VLOOKUP(CONCATENATE($D1135,$G1135),CSRFinput!$B:$E,4,0)=0,OR(H1135=MappingTables!$C$34,H1135=MappingTables!$C$35)),1,VLOOKUP(CONCATENATE($D1135,$G1135),CSRFinput!$B:$E,4,0))),0,IF(AND(VLOOKUP(CONCATENATE($D1135,$G1135),CSRFinput!$B:$E,4,0)=0,OR(H1135=MappingTables!$C$34,H1135=MappingTables!$C$35)),1,VLOOKUP(CONCATENATE($D1135,$G1135),CSRFinput!$B:$E,4,0)))</f>
        <v>0.054776304963434752</v>
      </c>
      <c r="W1135" s="85">
        <f>IF(B1135="",0,+$T1135*$V1135)</f>
        <v>1.1366342991923056</v>
      </c>
      <c r="X1135" s="85">
        <f>IF(B1135="",0,IF(OR(H1135=MappingTables!$C$34,H1135=MappingTables!$C$35),W1135,0))</f>
        <v>0</v>
      </c>
    </row>
    <row r="1136" spans="2:24" s="0" customFormat="0" ht="15">
      <c r="B1136" s="69">
        <v>12363288</v>
      </c>
      <c r="C1136" s="70" t="s">
        <v>933</v>
      </c>
      <c r="D1136" s="70" t="s">
        <v>1</v>
      </c>
      <c r="E1136" s="70" t="s">
        <v>1</v>
      </c>
      <c r="F1136" s="70"/>
      <c r="G1136" s="70" t="s">
        <v>61</v>
      </c>
      <c r="H1136" s="70" t="s">
        <v>178</v>
      </c>
      <c r="I1136" s="70" t="s">
        <v>204</v>
      </c>
      <c r="J1136" s="71">
        <f>IF(OR(I1136=0,I1136=""),"unrated",VLOOKUP(I1136,MappingTables!$B$19:$C$31,2,FALSE))</f>
        <v>6</v>
      </c>
      <c r="K1136" s="72">
        <v>475.90802062776768</v>
      </c>
      <c r="L1136" s="70">
        <v>4.3115087711748912</v>
      </c>
      <c r="M1136" s="71">
        <f>IF(L1136&lt;1,1,L1136)</f>
        <v>4.3115087711748912</v>
      </c>
      <c r="N1136" s="70" t="s">
        <v>141</v>
      </c>
      <c r="O1136" s="71">
        <f>INDEX(DurClassMapping,MATCH(M1136,MappingTables!$D$4:$D$8,-1),1)</f>
        <v>1</v>
      </c>
      <c r="P1136" s="73">
        <f>IF(M1136=$A$1,1,$M1136-INDEX(MappingTables!$E$4:$E$8,MATCH(O1136,MappingTables!$B$4:$B$8,0)))</f>
        <v>4.3115087711748912</v>
      </c>
      <c r="Q1136" s="71">
        <f>IF(B1136="",0,INDEX(ModelParameters!$D$6:$K$10,MATCH($O1136,ModelParameters!$B$6:$B$10,0),MATCH($J1136,ModelParameters!$D$5:$K$5,0)))</f>
        <v>0.075</v>
      </c>
      <c r="R1136" s="71">
        <f>IF(B1136="",0,INDEX(ModelParameters!$D$13:$K$17,MATCH($O1136,ModelParameters!$B$13:$B$17,0),MATCH($J1136,ModelParameters!$D$5:$K$5,0)))</f>
        <v>0</v>
      </c>
      <c r="S1136" s="160">
        <f>IF(B1136="",0,MIN(IF($N1136="Other Bond TM",ModelParameters!$N$21,1)*(P1136*Q1136+R1136),1))</f>
        <v>0.3233631578381168</v>
      </c>
      <c r="T1136" s="85">
        <f>IF(B1136="",0,$S1136*$K1136)</f>
        <v>153.89112039068258</v>
      </c>
      <c r="U1136" s="85">
        <f>IF(B1136="",0,IF(OR(H1136=MappingTables!$C$34,H1136=MappingTables!$C$35),T1136,0))</f>
        <v>0</v>
      </c>
      <c r="V1136" s="85">
        <f>IF(ISNA(IF(AND(VLOOKUP(CONCATENATE($D1136,$G1136),CSRFinput!$B:$E,4,0)=0,OR(H1136=MappingTables!$C$34,H1136=MappingTables!$C$35)),1,VLOOKUP(CONCATENATE($D1136,$G1136),CSRFinput!$B:$E,4,0))),0,IF(AND(VLOOKUP(CONCATENATE($D1136,$G1136),CSRFinput!$B:$E,4,0)=0,OR(H1136=MappingTables!$C$34,H1136=MappingTables!$C$35)),1,VLOOKUP(CONCATENATE($D1136,$G1136),CSRFinput!$B:$E,4,0)))</f>
        <v>0.054776304963434752</v>
      </c>
      <c r="W1136" s="85">
        <f>IF(B1136="",0,+$T1136*$V1136)</f>
        <v>8.4295869416846816</v>
      </c>
      <c r="X1136" s="85">
        <f>IF(B1136="",0,IF(OR(H1136=MappingTables!$C$34,H1136=MappingTables!$C$35),W1136,0))</f>
        <v>0</v>
      </c>
    </row>
    <row r="1137" spans="2:24" s="0" customFormat="0" ht="15">
      <c r="B1137" s="69">
        <v>11773262</v>
      </c>
      <c r="C1137" s="70" t="s">
        <v>1285</v>
      </c>
      <c r="D1137" s="70" t="s">
        <v>1</v>
      </c>
      <c r="E1137" s="70" t="s">
        <v>1</v>
      </c>
      <c r="F1137" s="70"/>
      <c r="G1137" s="70" t="s">
        <v>61</v>
      </c>
      <c r="H1137" s="70" t="s">
        <v>178</v>
      </c>
      <c r="I1137" s="70" t="s">
        <v>181</v>
      </c>
      <c r="J1137" s="71">
        <f>IF(OR(I1137=0,I1137=""),"unrated",VLOOKUP(I1137,MappingTables!$B$19:$C$31,2,FALSE))</f>
        <v>3</v>
      </c>
      <c r="K1137" s="72">
        <v>4.982366377956276</v>
      </c>
      <c r="L1137" s="70">
        <v>0.27945581163965812</v>
      </c>
      <c r="M1137" s="71">
        <f>IF(L1137&lt;1,1,L1137)</f>
        <v>1</v>
      </c>
      <c r="N1137" s="70" t="s">
        <v>141</v>
      </c>
      <c r="O1137" s="71">
        <f>INDEX(DurClassMapping,MATCH(M1137,MappingTables!$D$4:$D$8,-1),1)</f>
        <v>1</v>
      </c>
      <c r="P1137" s="73">
        <f>IF(M1137=$A$1,1,$M1137-INDEX(MappingTables!$E$4:$E$8,MATCH(O1137,MappingTables!$B$4:$B$8,0)))</f>
        <v>1</v>
      </c>
      <c r="Q1137" s="71">
        <f>IF(B1137="",0,INDEX(ModelParameters!$D$6:$K$10,MATCH($O1137,ModelParameters!$B$6:$B$10,0),MATCH($J1137,ModelParameters!$D$5:$K$5,0)))</f>
        <v>0.025</v>
      </c>
      <c r="R1137" s="71">
        <f>IF(B1137="",0,INDEX(ModelParameters!$D$13:$K$17,MATCH($O1137,ModelParameters!$B$13:$B$17,0),MATCH($J1137,ModelParameters!$D$5:$K$5,0)))</f>
        <v>0</v>
      </c>
      <c r="S1137" s="160">
        <f>IF(B1137="",0,MIN(IF($N1137="Other Bond TM",ModelParameters!$N$21,1)*(P1137*Q1137+R1137),1))</f>
        <v>0.025</v>
      </c>
      <c r="T1137" s="85">
        <f>IF(B1137="",0,$S1137*$K1137)</f>
        <v>0.1245591594489069</v>
      </c>
      <c r="U1137" s="85">
        <f>IF(B1137="",0,IF(OR(H1137=MappingTables!$C$34,H1137=MappingTables!$C$35),T1137,0))</f>
        <v>0</v>
      </c>
      <c r="V1137" s="85">
        <f>IF(ISNA(IF(AND(VLOOKUP(CONCATENATE($D1137,$G1137),CSRFinput!$B:$E,4,0)=0,OR(H1137=MappingTables!$C$34,H1137=MappingTables!$C$35)),1,VLOOKUP(CONCATENATE($D1137,$G1137),CSRFinput!$B:$E,4,0))),0,IF(AND(VLOOKUP(CONCATENATE($D1137,$G1137),CSRFinput!$B:$E,4,0)=0,OR(H1137=MappingTables!$C$34,H1137=MappingTables!$C$35)),1,VLOOKUP(CONCATENATE($D1137,$G1137),CSRFinput!$B:$E,4,0)))</f>
        <v>0.054776304963434752</v>
      </c>
      <c r="W1137" s="85">
        <f>IF(B1137="",0,+$T1137*$V1137)</f>
        <v>0.00682289050396242</v>
      </c>
      <c r="X1137" s="85">
        <f>IF(B1137="",0,IF(OR(H1137=MappingTables!$C$34,H1137=MappingTables!$C$35),W1137,0))</f>
        <v>0</v>
      </c>
    </row>
    <row r="1138" spans="2:24" s="0" customFormat="0" ht="15">
      <c r="B1138" s="69">
        <v>8416920</v>
      </c>
      <c r="C1138" s="70" t="s">
        <v>1410</v>
      </c>
      <c r="D1138" s="70" t="s">
        <v>1</v>
      </c>
      <c r="E1138" s="70" t="s">
        <v>1</v>
      </c>
      <c r="F1138" s="70"/>
      <c r="G1138" s="70" t="s">
        <v>61</v>
      </c>
      <c r="H1138" s="70" t="s">
        <v>178</v>
      </c>
      <c r="I1138" s="70" t="s">
        <v>188</v>
      </c>
      <c r="J1138" s="71">
        <f>IF(OR(I1138=0,I1138=""),"unrated",VLOOKUP(I1138,MappingTables!$B$19:$C$31,2,FALSE))</f>
        <v>2</v>
      </c>
      <c r="K1138" s="72">
        <v>0.28711716171964648</v>
      </c>
      <c r="L1138" s="70">
        <v>0.44383884258192568</v>
      </c>
      <c r="M1138" s="71">
        <f>IF(L1138&lt;1,1,L1138)</f>
        <v>1</v>
      </c>
      <c r="N1138" s="70" t="s">
        <v>141</v>
      </c>
      <c r="O1138" s="71">
        <f>INDEX(DurClassMapping,MATCH(M1138,MappingTables!$D$4:$D$8,-1),1)</f>
        <v>1</v>
      </c>
      <c r="P1138" s="73">
        <f>IF(M1138=$A$1,1,$M1138-INDEX(MappingTables!$E$4:$E$8,MATCH(O1138,MappingTables!$B$4:$B$8,0)))</f>
        <v>1</v>
      </c>
      <c r="Q1138" s="71">
        <f>IF(B1138="",0,INDEX(ModelParameters!$D$6:$K$10,MATCH($O1138,ModelParameters!$B$6:$B$10,0),MATCH($J1138,ModelParameters!$D$5:$K$5,0)))</f>
        <v>0.013999999999999998</v>
      </c>
      <c r="R1138" s="71">
        <f>IF(B1138="",0,INDEX(ModelParameters!$D$13:$K$17,MATCH($O1138,ModelParameters!$B$13:$B$17,0),MATCH($J1138,ModelParameters!$D$5:$K$5,0)))</f>
        <v>0</v>
      </c>
      <c r="S1138" s="160">
        <f>IF(B1138="",0,MIN(IF($N1138="Other Bond TM",ModelParameters!$N$21,1)*(P1138*Q1138+R1138),1))</f>
        <v>0.013999999999999998</v>
      </c>
      <c r="T1138" s="85">
        <f>IF(B1138="",0,$S1138*$K1138)</f>
        <v>0.0040196402640750496</v>
      </c>
      <c r="U1138" s="85">
        <f>IF(B1138="",0,IF(OR(H1138=MappingTables!$C$34,H1138=MappingTables!$C$35),T1138,0))</f>
        <v>0</v>
      </c>
      <c r="V1138" s="85">
        <f>IF(ISNA(IF(AND(VLOOKUP(CONCATENATE($D1138,$G1138),CSRFinput!$B:$E,4,0)=0,OR(H1138=MappingTables!$C$34,H1138=MappingTables!$C$35)),1,VLOOKUP(CONCATENATE($D1138,$G1138),CSRFinput!$B:$E,4,0))),0,IF(AND(VLOOKUP(CONCATENATE($D1138,$G1138),CSRFinput!$B:$E,4,0)=0,OR(H1138=MappingTables!$C$34,H1138=MappingTables!$C$35)),1,VLOOKUP(CONCATENATE($D1138,$G1138),CSRFinput!$B:$E,4,0)))</f>
        <v>0.054776304963434752</v>
      </c>
      <c r="W1138" s="85">
        <f>IF(B1138="",0,+$T1138*$V1138)</f>
        <v>0.00022018104094827632</v>
      </c>
      <c r="X1138" s="85">
        <f>IF(B1138="",0,IF(OR(H1138=MappingTables!$C$34,H1138=MappingTables!$C$35),W1138,0))</f>
        <v>0</v>
      </c>
    </row>
    <row r="1139" spans="2:24" s="0" customFormat="0" ht="15">
      <c r="B1139" s="69">
        <v>13315410</v>
      </c>
      <c r="C1139" s="70" t="s">
        <v>1411</v>
      </c>
      <c r="D1139" s="70" t="s">
        <v>1</v>
      </c>
      <c r="E1139" s="70" t="s">
        <v>1</v>
      </c>
      <c r="F1139" s="70"/>
      <c r="G1139" s="70" t="s">
        <v>61</v>
      </c>
      <c r="H1139" s="70" t="s">
        <v>178</v>
      </c>
      <c r="I1139" s="70" t="s">
        <v>181</v>
      </c>
      <c r="J1139" s="71">
        <f>IF(OR(I1139=0,I1139=""),"unrated",VLOOKUP(I1139,MappingTables!$B$19:$C$31,2,FALSE))</f>
        <v>3</v>
      </c>
      <c r="K1139" s="72">
        <v>27765.33023270246</v>
      </c>
      <c r="L1139" s="70">
        <v>5.4418008338619688</v>
      </c>
      <c r="M1139" s="71">
        <f>IF(L1139&lt;1,1,L1139)</f>
        <v>5.4418008338619688</v>
      </c>
      <c r="N1139" s="70" t="s">
        <v>141</v>
      </c>
      <c r="O1139" s="71">
        <f>INDEX(DurClassMapping,MATCH(M1139,MappingTables!$D$4:$D$8,-1),1)</f>
        <v>2</v>
      </c>
      <c r="P1139" s="73">
        <f>IF(M1139=$A$1,1,$M1139-INDEX(MappingTables!$E$4:$E$8,MATCH(O1139,MappingTables!$B$4:$B$8,0)))</f>
        <v>0.44180083386196856</v>
      </c>
      <c r="Q1139" s="71">
        <f>IF(B1139="",0,INDEX(ModelParameters!$D$6:$K$10,MATCH($O1139,ModelParameters!$B$6:$B$10,0),MATCH($J1139,ModelParameters!$D$5:$K$5,0)))</f>
        <v>0.015</v>
      </c>
      <c r="R1139" s="71">
        <f>IF(B1139="",0,INDEX(ModelParameters!$D$13:$K$17,MATCH($O1139,ModelParameters!$B$13:$B$17,0),MATCH($J1139,ModelParameters!$D$5:$K$5,0)))</f>
        <v>0.125</v>
      </c>
      <c r="S1139" s="160">
        <f>IF(B1139="",0,MIN(IF($N1139="Other Bond TM",ModelParameters!$N$21,1)*(P1139*Q1139+R1139),1))</f>
        <v>0.13162701250792952</v>
      </c>
      <c r="T1139" s="85">
        <f>IF(B1139="",0,$S1139*$K1139)</f>
        <v>3654.6674698267208</v>
      </c>
      <c r="U1139" s="85">
        <f>IF(B1139="",0,IF(OR(H1139=MappingTables!$C$34,H1139=MappingTables!$C$35),T1139,0))</f>
        <v>0</v>
      </c>
      <c r="V1139" s="85">
        <f>IF(ISNA(IF(AND(VLOOKUP(CONCATENATE($D1139,$G1139),CSRFinput!$B:$E,4,0)=0,OR(H1139=MappingTables!$C$34,H1139=MappingTables!$C$35)),1,VLOOKUP(CONCATENATE($D1139,$G1139),CSRFinput!$B:$E,4,0))),0,IF(AND(VLOOKUP(CONCATENATE($D1139,$G1139),CSRFinput!$B:$E,4,0)=0,OR(H1139=MappingTables!$C$34,H1139=MappingTables!$C$35)),1,VLOOKUP(CONCATENATE($D1139,$G1139),CSRFinput!$B:$E,4,0)))</f>
        <v>0.054776304963434752</v>
      </c>
      <c r="W1139" s="85">
        <f>IF(B1139="",0,+$T1139*$V1139)</f>
        <v>200.18917986717292</v>
      </c>
      <c r="X1139" s="85">
        <f>IF(B1139="",0,IF(OR(H1139=MappingTables!$C$34,H1139=MappingTables!$C$35),W1139,0))</f>
        <v>0</v>
      </c>
    </row>
    <row r="1140" spans="2:24" s="0" customFormat="0" ht="15">
      <c r="B1140" s="69" t="s">
        <v>628</v>
      </c>
      <c r="C1140" s="70" t="s">
        <v>629</v>
      </c>
      <c r="D1140" s="70" t="s">
        <v>1</v>
      </c>
      <c r="E1140" s="70" t="s">
        <v>1</v>
      </c>
      <c r="F1140" s="70"/>
      <c r="G1140" s="70" t="s">
        <v>61</v>
      </c>
      <c r="H1140" s="70" t="s">
        <v>178</v>
      </c>
      <c r="I1140" s="70" t="s">
        <v>513</v>
      </c>
      <c r="J1140" s="71">
        <f>IF(OR(I1140=0,I1140=""),"unrated",VLOOKUP(I1140,MappingTables!$B$19:$C$31,2,FALSE))</f>
        <v>6</v>
      </c>
      <c r="K1140" s="72">
        <v>130.0786911704947</v>
      </c>
      <c r="L1140" s="70">
        <v>0.76226831786937776</v>
      </c>
      <c r="M1140" s="71">
        <f>IF(L1140&lt;1,1,L1140)</f>
        <v>1</v>
      </c>
      <c r="N1140" s="70" t="s">
        <v>141</v>
      </c>
      <c r="O1140" s="71">
        <f>INDEX(DurClassMapping,MATCH(M1140,MappingTables!$D$4:$D$8,-1),1)</f>
        <v>1</v>
      </c>
      <c r="P1140" s="73">
        <f>IF(M1140=$A$1,1,$M1140-INDEX(MappingTables!$E$4:$E$8,MATCH(O1140,MappingTables!$B$4:$B$8,0)))</f>
        <v>1</v>
      </c>
      <c r="Q1140" s="71">
        <f>IF(B1140="",0,INDEX(ModelParameters!$D$6:$K$10,MATCH($O1140,ModelParameters!$B$6:$B$10,0),MATCH($J1140,ModelParameters!$D$5:$K$5,0)))</f>
        <v>0.075</v>
      </c>
      <c r="R1140" s="71">
        <f>IF(B1140="",0,INDEX(ModelParameters!$D$13:$K$17,MATCH($O1140,ModelParameters!$B$13:$B$17,0),MATCH($J1140,ModelParameters!$D$5:$K$5,0)))</f>
        <v>0</v>
      </c>
      <c r="S1140" s="160">
        <f>IF(B1140="",0,MIN(IF($N1140="Other Bond TM",ModelParameters!$N$21,1)*(P1140*Q1140+R1140),1))</f>
        <v>0.075</v>
      </c>
      <c r="T1140" s="85">
        <f>IF(B1140="",0,$S1140*$K1140)</f>
        <v>9.7559018377871024</v>
      </c>
      <c r="U1140" s="85">
        <f>IF(B1140="",0,IF(OR(H1140=MappingTables!$C$34,H1140=MappingTables!$C$35),T1140,0))</f>
        <v>0</v>
      </c>
      <c r="V1140" s="85">
        <f>IF(ISNA(IF(AND(VLOOKUP(CONCATENATE($D1140,$G1140),CSRFinput!$B:$E,4,0)=0,OR(H1140=MappingTables!$C$34,H1140=MappingTables!$C$35)),1,VLOOKUP(CONCATENATE($D1140,$G1140),CSRFinput!$B:$E,4,0))),0,IF(AND(VLOOKUP(CONCATENATE($D1140,$G1140),CSRFinput!$B:$E,4,0)=0,OR(H1140=MappingTables!$C$34,H1140=MappingTables!$C$35)),1,VLOOKUP(CONCATENATE($D1140,$G1140),CSRFinput!$B:$E,4,0)))</f>
        <v>0.054776304963434752</v>
      </c>
      <c r="W1140" s="85">
        <f>IF(B1140="",0,+$T1140*$V1140)</f>
        <v>0.53439225425995984</v>
      </c>
      <c r="X1140" s="85">
        <f>IF(B1140="",0,IF(OR(H1140=MappingTables!$C$34,H1140=MappingTables!$C$35),W1140,0))</f>
        <v>0</v>
      </c>
    </row>
    <row r="1141" spans="2:24" s="0" customFormat="0" ht="15">
      <c r="B1141" s="69">
        <v>20902600</v>
      </c>
      <c r="C1141" s="70" t="s">
        <v>1412</v>
      </c>
      <c r="D1141" s="70" t="s">
        <v>1</v>
      </c>
      <c r="E1141" s="70" t="s">
        <v>1</v>
      </c>
      <c r="F1141" s="70"/>
      <c r="G1141" s="70" t="s">
        <v>61</v>
      </c>
      <c r="H1141" s="70" t="s">
        <v>178</v>
      </c>
      <c r="I1141" s="70" t="s">
        <v>184</v>
      </c>
      <c r="J1141" s="71">
        <f>IF(OR(I1141=0,I1141=""),"unrated",VLOOKUP(I1141,MappingTables!$B$19:$C$31,2,FALSE))</f>
        <v>5</v>
      </c>
      <c r="K1141" s="72">
        <v>1547.5213803608844</v>
      </c>
      <c r="L1141" s="70">
        <v>1.393557402542181</v>
      </c>
      <c r="M1141" s="71">
        <f>IF(L1141&lt;1,1,L1141)</f>
        <v>1.393557402542181</v>
      </c>
      <c r="N1141" s="70" t="s">
        <v>141</v>
      </c>
      <c r="O1141" s="71">
        <f>INDEX(DurClassMapping,MATCH(M1141,MappingTables!$D$4:$D$8,-1),1)</f>
        <v>1</v>
      </c>
      <c r="P1141" s="73">
        <f>IF(M1141=$A$1,1,$M1141-INDEX(MappingTables!$E$4:$E$8,MATCH(O1141,MappingTables!$B$4:$B$8,0)))</f>
        <v>1.393557402542181</v>
      </c>
      <c r="Q1141" s="71">
        <f>IF(B1141="",0,INDEX(ModelParameters!$D$6:$K$10,MATCH($O1141,ModelParameters!$B$6:$B$10,0),MATCH($J1141,ModelParameters!$D$5:$K$5,0)))</f>
        <v>0.075</v>
      </c>
      <c r="R1141" s="71">
        <f>IF(B1141="",0,INDEX(ModelParameters!$D$13:$K$17,MATCH($O1141,ModelParameters!$B$13:$B$17,0),MATCH($J1141,ModelParameters!$D$5:$K$5,0)))</f>
        <v>0</v>
      </c>
      <c r="S1141" s="160">
        <f>IF(B1141="",0,MIN(IF($N1141="Other Bond TM",ModelParameters!$N$21,1)*(P1141*Q1141+R1141),1))</f>
        <v>0.10451680519066358</v>
      </c>
      <c r="T1141" s="85">
        <f>IF(B1141="",0,$S1141*$K1141)</f>
        <v>161.74199063956536</v>
      </c>
      <c r="U1141" s="85">
        <f>IF(B1141="",0,IF(OR(H1141=MappingTables!$C$34,H1141=MappingTables!$C$35),T1141,0))</f>
        <v>0</v>
      </c>
      <c r="V1141" s="85">
        <f>IF(ISNA(IF(AND(VLOOKUP(CONCATENATE($D1141,$G1141),CSRFinput!$B:$E,4,0)=0,OR(H1141=MappingTables!$C$34,H1141=MappingTables!$C$35)),1,VLOOKUP(CONCATENATE($D1141,$G1141),CSRFinput!$B:$E,4,0))),0,IF(AND(VLOOKUP(CONCATENATE($D1141,$G1141),CSRFinput!$B:$E,4,0)=0,OR(H1141=MappingTables!$C$34,H1141=MappingTables!$C$35)),1,VLOOKUP(CONCATENATE($D1141,$G1141),CSRFinput!$B:$E,4,0)))</f>
        <v>0.054776304963434752</v>
      </c>
      <c r="W1141" s="85">
        <f>IF(B1141="",0,+$T1141*$V1141)</f>
        <v>8.8596286046658416</v>
      </c>
      <c r="X1141" s="85">
        <f>IF(B1141="",0,IF(OR(H1141=MappingTables!$C$34,H1141=MappingTables!$C$35),W1141,0))</f>
        <v>0</v>
      </c>
    </row>
    <row r="1142" spans="2:24" s="0" customFormat="0" ht="15">
      <c r="B1142" s="69" t="s">
        <v>1392</v>
      </c>
      <c r="C1142" s="70" t="s">
        <v>1393</v>
      </c>
      <c r="D1142" s="70" t="s">
        <v>1</v>
      </c>
      <c r="E1142" s="70" t="s">
        <v>1</v>
      </c>
      <c r="F1142" s="70"/>
      <c r="G1142" s="70" t="s">
        <v>61</v>
      </c>
      <c r="H1142" s="70" t="s">
        <v>178</v>
      </c>
      <c r="I1142" s="70" t="s">
        <v>184</v>
      </c>
      <c r="J1142" s="71">
        <f>IF(OR(I1142=0,I1142=""),"unrated",VLOOKUP(I1142,MappingTables!$B$19:$C$31,2,FALSE))</f>
        <v>5</v>
      </c>
      <c r="K1142" s="72">
        <v>197.8425435400094</v>
      </c>
      <c r="L1142" s="70">
        <v>2.7928620174845916</v>
      </c>
      <c r="M1142" s="71">
        <f>IF(L1142&lt;1,1,L1142)</f>
        <v>2.7928620174845916</v>
      </c>
      <c r="N1142" s="70" t="s">
        <v>141</v>
      </c>
      <c r="O1142" s="71">
        <f>INDEX(DurClassMapping,MATCH(M1142,MappingTables!$D$4:$D$8,-1),1)</f>
        <v>1</v>
      </c>
      <c r="P1142" s="73">
        <f>IF(M1142=$A$1,1,$M1142-INDEX(MappingTables!$E$4:$E$8,MATCH(O1142,MappingTables!$B$4:$B$8,0)))</f>
        <v>2.7928620174845916</v>
      </c>
      <c r="Q1142" s="71">
        <f>IF(B1142="",0,INDEX(ModelParameters!$D$6:$K$10,MATCH($O1142,ModelParameters!$B$6:$B$10,0),MATCH($J1142,ModelParameters!$D$5:$K$5,0)))</f>
        <v>0.075</v>
      </c>
      <c r="R1142" s="71">
        <f>IF(B1142="",0,INDEX(ModelParameters!$D$13:$K$17,MATCH($O1142,ModelParameters!$B$13:$B$17,0),MATCH($J1142,ModelParameters!$D$5:$K$5,0)))</f>
        <v>0</v>
      </c>
      <c r="S1142" s="160">
        <f>IF(B1142="",0,MIN(IF($N1142="Other Bond TM",ModelParameters!$N$21,1)*(P1142*Q1142+R1142),1))</f>
        <v>0.20946465131134436</v>
      </c>
      <c r="T1142" s="85">
        <f>IF(B1142="",0,$S1142*$K1142)</f>
        <v>41.441019397157536</v>
      </c>
      <c r="U1142" s="85">
        <f>IF(B1142="",0,IF(OR(H1142=MappingTables!$C$34,H1142=MappingTables!$C$35),T1142,0))</f>
        <v>0</v>
      </c>
      <c r="V1142" s="85">
        <f>IF(ISNA(IF(AND(VLOOKUP(CONCATENATE($D1142,$G1142),CSRFinput!$B:$E,4,0)=0,OR(H1142=MappingTables!$C$34,H1142=MappingTables!$C$35)),1,VLOOKUP(CONCATENATE($D1142,$G1142),CSRFinput!$B:$E,4,0))),0,IF(AND(VLOOKUP(CONCATENATE($D1142,$G1142),CSRFinput!$B:$E,4,0)=0,OR(H1142=MappingTables!$C$34,H1142=MappingTables!$C$35)),1,VLOOKUP(CONCATENATE($D1142,$G1142),CSRFinput!$B:$E,4,0)))</f>
        <v>0.054776304963434752</v>
      </c>
      <c r="W1142" s="85">
        <f>IF(B1142="",0,+$T1142*$V1142)</f>
        <v>2.269985916494316</v>
      </c>
      <c r="X1142" s="85">
        <f>IF(B1142="",0,IF(OR(H1142=MappingTables!$C$34,H1142=MappingTables!$C$35),W1142,0))</f>
        <v>0</v>
      </c>
    </row>
    <row r="1143" spans="2:24" s="0" customFormat="0" ht="15">
      <c r="B1143" s="69">
        <v>21521373</v>
      </c>
      <c r="C1143" s="70" t="s">
        <v>1413</v>
      </c>
      <c r="D1143" s="70" t="s">
        <v>1</v>
      </c>
      <c r="E1143" s="70" t="s">
        <v>1</v>
      </c>
      <c r="F1143" s="70"/>
      <c r="G1143" s="70" t="s">
        <v>61</v>
      </c>
      <c r="H1143" s="70" t="s">
        <v>178</v>
      </c>
      <c r="I1143" s="70" t="s">
        <v>179</v>
      </c>
      <c r="J1143" s="71">
        <f>IF(OR(I1143=0,I1143=""),"unrated",VLOOKUP(I1143,MappingTables!$B$19:$C$31,2,FALSE))</f>
        <v>4</v>
      </c>
      <c r="K1143" s="72">
        <v>162.11994950711298</v>
      </c>
      <c r="L1143" s="70">
        <v>6.741056527671288</v>
      </c>
      <c r="M1143" s="71">
        <f>IF(L1143&lt;1,1,L1143)</f>
        <v>6.741056527671288</v>
      </c>
      <c r="N1143" s="70" t="s">
        <v>141</v>
      </c>
      <c r="O1143" s="71">
        <f>INDEX(DurClassMapping,MATCH(M1143,MappingTables!$D$4:$D$8,-1),1)</f>
        <v>2</v>
      </c>
      <c r="P1143" s="73">
        <f>IF(M1143=$A$1,1,$M1143-INDEX(MappingTables!$E$4:$E$8,MATCH(O1143,MappingTables!$B$4:$B$8,0)))</f>
        <v>1.7410565276712884</v>
      </c>
      <c r="Q1143" s="71">
        <f>IF(B1143="",0,INDEX(ModelParameters!$D$6:$K$10,MATCH($O1143,ModelParameters!$B$6:$B$10,0),MATCH($J1143,ModelParameters!$D$5:$K$5,0)))</f>
        <v>0.025</v>
      </c>
      <c r="R1143" s="71">
        <f>IF(B1143="",0,INDEX(ModelParameters!$D$13:$K$17,MATCH($O1143,ModelParameters!$B$13:$B$17,0),MATCH($J1143,ModelParameters!$D$5:$K$5,0)))</f>
        <v>0.225</v>
      </c>
      <c r="S1143" s="160">
        <f>IF(B1143="",0,MIN(IF($N1143="Other Bond TM",ModelParameters!$N$21,1)*(P1143*Q1143+R1143),1))</f>
        <v>0.26852641319178224</v>
      </c>
      <c r="T1143" s="85">
        <f>IF(B1143="",0,$S1143*$K1143)</f>
        <v>43.533488547977888</v>
      </c>
      <c r="U1143" s="85">
        <f>IF(B1143="",0,IF(OR(H1143=MappingTables!$C$34,H1143=MappingTables!$C$35),T1143,0))</f>
        <v>0</v>
      </c>
      <c r="V1143" s="85">
        <f>IF(ISNA(IF(AND(VLOOKUP(CONCATENATE($D1143,$G1143),CSRFinput!$B:$E,4,0)=0,OR(H1143=MappingTables!$C$34,H1143=MappingTables!$C$35)),1,VLOOKUP(CONCATENATE($D1143,$G1143),CSRFinput!$B:$E,4,0))),0,IF(AND(VLOOKUP(CONCATENATE($D1143,$G1143),CSRFinput!$B:$E,4,0)=0,OR(H1143=MappingTables!$C$34,H1143=MappingTables!$C$35)),1,VLOOKUP(CONCATENATE($D1143,$G1143),CSRFinput!$B:$E,4,0)))</f>
        <v>0.054776304963434752</v>
      </c>
      <c r="W1143" s="85">
        <f>IF(B1143="",0,+$T1143*$V1143)</f>
        <v>2.3846036448262312</v>
      </c>
      <c r="X1143" s="85">
        <f>IF(B1143="",0,IF(OR(H1143=MappingTables!$C$34,H1143=MappingTables!$C$35),W1143,0))</f>
        <v>0</v>
      </c>
    </row>
    <row r="1144" spans="2:24" s="0" customFormat="0" ht="15">
      <c r="B1144" s="69" t="s">
        <v>1414</v>
      </c>
      <c r="C1144" s="70" t="s">
        <v>1415</v>
      </c>
      <c r="D1144" s="70" t="s">
        <v>1</v>
      </c>
      <c r="E1144" s="70" t="s">
        <v>1</v>
      </c>
      <c r="F1144" s="70"/>
      <c r="G1144" s="70" t="s">
        <v>61</v>
      </c>
      <c r="H1144" s="70" t="s">
        <v>178</v>
      </c>
      <c r="I1144" s="70" t="s">
        <v>181</v>
      </c>
      <c r="J1144" s="71">
        <f>IF(OR(I1144=0,I1144=""),"unrated",VLOOKUP(I1144,MappingTables!$B$19:$C$31,2,FALSE))</f>
        <v>3</v>
      </c>
      <c r="K1144" s="72">
        <v>9.61568111459796</v>
      </c>
      <c r="L1144" s="70">
        <v>0.16712144375068016</v>
      </c>
      <c r="M1144" s="71">
        <f>IF(L1144&lt;1,1,L1144)</f>
        <v>1</v>
      </c>
      <c r="N1144" s="70" t="s">
        <v>141</v>
      </c>
      <c r="O1144" s="71">
        <f>INDEX(DurClassMapping,MATCH(M1144,MappingTables!$D$4:$D$8,-1),1)</f>
        <v>1</v>
      </c>
      <c r="P1144" s="73">
        <f>IF(M1144=$A$1,1,$M1144-INDEX(MappingTables!$E$4:$E$8,MATCH(O1144,MappingTables!$B$4:$B$8,0)))</f>
        <v>1</v>
      </c>
      <c r="Q1144" s="71">
        <f>IF(B1144="",0,INDEX(ModelParameters!$D$6:$K$10,MATCH($O1144,ModelParameters!$B$6:$B$10,0),MATCH($J1144,ModelParameters!$D$5:$K$5,0)))</f>
        <v>0.025</v>
      </c>
      <c r="R1144" s="71">
        <f>IF(B1144="",0,INDEX(ModelParameters!$D$13:$K$17,MATCH($O1144,ModelParameters!$B$13:$B$17,0),MATCH($J1144,ModelParameters!$D$5:$K$5,0)))</f>
        <v>0</v>
      </c>
      <c r="S1144" s="160">
        <f>IF(B1144="",0,MIN(IF($N1144="Other Bond TM",ModelParameters!$N$21,1)*(P1144*Q1144+R1144),1))</f>
        <v>0.025</v>
      </c>
      <c r="T1144" s="85">
        <f>IF(B1144="",0,$S1144*$K1144)</f>
        <v>0.240392027864949</v>
      </c>
      <c r="U1144" s="85">
        <f>IF(B1144="",0,IF(OR(H1144=MappingTables!$C$34,H1144=MappingTables!$C$35),T1144,0))</f>
        <v>0</v>
      </c>
      <c r="V1144" s="85">
        <f>IF(ISNA(IF(AND(VLOOKUP(CONCATENATE($D1144,$G1144),CSRFinput!$B:$E,4,0)=0,OR(H1144=MappingTables!$C$34,H1144=MappingTables!$C$35)),1,VLOOKUP(CONCATENATE($D1144,$G1144),CSRFinput!$B:$E,4,0))),0,IF(AND(VLOOKUP(CONCATENATE($D1144,$G1144),CSRFinput!$B:$E,4,0)=0,OR(H1144=MappingTables!$C$34,H1144=MappingTables!$C$35)),1,VLOOKUP(CONCATENATE($D1144,$G1144),CSRFinput!$B:$E,4,0)))</f>
        <v>0.054776304963434752</v>
      </c>
      <c r="W1144" s="85">
        <f>IF(B1144="",0,+$T1144*$V1144)</f>
        <v>0.013167787029108952</v>
      </c>
      <c r="X1144" s="85">
        <f>IF(B1144="",0,IF(OR(H1144=MappingTables!$C$34,H1144=MappingTables!$C$35),W1144,0))</f>
        <v>0</v>
      </c>
    </row>
    <row r="1145" spans="2:24" s="0" customFormat="0" ht="15">
      <c r="B1145" s="69">
        <v>14731185</v>
      </c>
      <c r="C1145" s="70" t="s">
        <v>1416</v>
      </c>
      <c r="D1145" s="70" t="s">
        <v>1</v>
      </c>
      <c r="E1145" s="70" t="s">
        <v>1</v>
      </c>
      <c r="F1145" s="70"/>
      <c r="G1145" s="70" t="s">
        <v>61</v>
      </c>
      <c r="H1145" s="70" t="s">
        <v>178</v>
      </c>
      <c r="I1145" s="70" t="s">
        <v>181</v>
      </c>
      <c r="J1145" s="71">
        <f>IF(OR(I1145=0,I1145=""),"unrated",VLOOKUP(I1145,MappingTables!$B$19:$C$31,2,FALSE))</f>
        <v>3</v>
      </c>
      <c r="K1145" s="72">
        <v>432.5968165711328</v>
      </c>
      <c r="L1145" s="70">
        <v>15.500813423061166</v>
      </c>
      <c r="M1145" s="71">
        <f>IF(L1145&lt;1,1,L1145)</f>
        <v>15.500813423061166</v>
      </c>
      <c r="N1145" s="70" t="s">
        <v>141</v>
      </c>
      <c r="O1145" s="71">
        <f>INDEX(DurClassMapping,MATCH(M1145,MappingTables!$D$4:$D$8,-1),1)</f>
        <v>4</v>
      </c>
      <c r="P1145" s="73">
        <f>IF(M1145=$A$1,1,$M1145-INDEX(MappingTables!$E$4:$E$8,MATCH(O1145,MappingTables!$B$4:$B$8,0)))</f>
        <v>0.5008134230611656</v>
      </c>
      <c r="Q1145" s="71">
        <f>IF(B1145="",0,INDEX(ModelParameters!$D$6:$K$10,MATCH($O1145,ModelParameters!$B$6:$B$10,0),MATCH($J1145,ModelParameters!$D$5:$K$5,0)))</f>
        <v>0.01</v>
      </c>
      <c r="R1145" s="71">
        <f>IF(B1145="",0,INDEX(ModelParameters!$D$13:$K$17,MATCH($O1145,ModelParameters!$B$13:$B$17,0),MATCH($J1145,ModelParameters!$D$5:$K$5,0)))</f>
        <v>0.25</v>
      </c>
      <c r="S1145" s="160">
        <f>IF(B1145="",0,MIN(IF($N1145="Other Bond TM",ModelParameters!$N$21,1)*(P1145*Q1145+R1145),1))</f>
        <v>0.25500813423061164</v>
      </c>
      <c r="T1145" s="85">
        <f>IF(B1145="",0,$S1145*$K1145)</f>
        <v>110.3157070679067</v>
      </c>
      <c r="U1145" s="85">
        <f>IF(B1145="",0,IF(OR(H1145=MappingTables!$C$34,H1145=MappingTables!$C$35),T1145,0))</f>
        <v>0</v>
      </c>
      <c r="V1145" s="85">
        <f>IF(ISNA(IF(AND(VLOOKUP(CONCATENATE($D1145,$G1145),CSRFinput!$B:$E,4,0)=0,OR(H1145=MappingTables!$C$34,H1145=MappingTables!$C$35)),1,VLOOKUP(CONCATENATE($D1145,$G1145),CSRFinput!$B:$E,4,0))),0,IF(AND(VLOOKUP(CONCATENATE($D1145,$G1145),CSRFinput!$B:$E,4,0)=0,OR(H1145=MappingTables!$C$34,H1145=MappingTables!$C$35)),1,VLOOKUP(CONCATENATE($D1145,$G1145),CSRFinput!$B:$E,4,0)))</f>
        <v>0.054776304963434752</v>
      </c>
      <c r="W1145" s="85">
        <f>IF(B1145="",0,+$T1145*$V1145)</f>
        <v>6.042686812608592</v>
      </c>
      <c r="X1145" s="85">
        <f>IF(B1145="",0,IF(OR(H1145=MappingTables!$C$34,H1145=MappingTables!$C$35),W1145,0))</f>
        <v>0</v>
      </c>
    </row>
    <row r="1146" spans="2:24" s="0" customFormat="0" ht="15">
      <c r="B1146" s="69">
        <v>8590153</v>
      </c>
      <c r="C1146" s="70" t="s">
        <v>1417</v>
      </c>
      <c r="D1146" s="70" t="s">
        <v>1</v>
      </c>
      <c r="E1146" s="70" t="s">
        <v>1</v>
      </c>
      <c r="F1146" s="70"/>
      <c r="G1146" s="70" t="s">
        <v>61</v>
      </c>
      <c r="H1146" s="70" t="s">
        <v>178</v>
      </c>
      <c r="I1146" s="70" t="s">
        <v>181</v>
      </c>
      <c r="J1146" s="71">
        <f>IF(OR(I1146=0,I1146=""),"unrated",VLOOKUP(I1146,MappingTables!$B$19:$C$31,2,FALSE))</f>
        <v>3</v>
      </c>
      <c r="K1146" s="72">
        <v>4.0498209555458248</v>
      </c>
      <c r="L1146" s="70">
        <v>0.53698587947624808</v>
      </c>
      <c r="M1146" s="71">
        <f>IF(L1146&lt;1,1,L1146)</f>
        <v>1</v>
      </c>
      <c r="N1146" s="70" t="s">
        <v>141</v>
      </c>
      <c r="O1146" s="71">
        <f>INDEX(DurClassMapping,MATCH(M1146,MappingTables!$D$4:$D$8,-1),1)</f>
        <v>1</v>
      </c>
      <c r="P1146" s="73">
        <f>IF(M1146=$A$1,1,$M1146-INDEX(MappingTables!$E$4:$E$8,MATCH(O1146,MappingTables!$B$4:$B$8,0)))</f>
        <v>1</v>
      </c>
      <c r="Q1146" s="71">
        <f>IF(B1146="",0,INDEX(ModelParameters!$D$6:$K$10,MATCH($O1146,ModelParameters!$B$6:$B$10,0),MATCH($J1146,ModelParameters!$D$5:$K$5,0)))</f>
        <v>0.025</v>
      </c>
      <c r="R1146" s="71">
        <f>IF(B1146="",0,INDEX(ModelParameters!$D$13:$K$17,MATCH($O1146,ModelParameters!$B$13:$B$17,0),MATCH($J1146,ModelParameters!$D$5:$K$5,0)))</f>
        <v>0</v>
      </c>
      <c r="S1146" s="160">
        <f>IF(B1146="",0,MIN(IF($N1146="Other Bond TM",ModelParameters!$N$21,1)*(P1146*Q1146+R1146),1))</f>
        <v>0.025</v>
      </c>
      <c r="T1146" s="85">
        <f>IF(B1146="",0,$S1146*$K1146)</f>
        <v>0.10124552388864564</v>
      </c>
      <c r="U1146" s="85">
        <f>IF(B1146="",0,IF(OR(H1146=MappingTables!$C$34,H1146=MappingTables!$C$35),T1146,0))</f>
        <v>0</v>
      </c>
      <c r="V1146" s="85">
        <f>IF(ISNA(IF(AND(VLOOKUP(CONCATENATE($D1146,$G1146),CSRFinput!$B:$E,4,0)=0,OR(H1146=MappingTables!$C$34,H1146=MappingTables!$C$35)),1,VLOOKUP(CONCATENATE($D1146,$G1146),CSRFinput!$B:$E,4,0))),0,IF(AND(VLOOKUP(CONCATENATE($D1146,$G1146),CSRFinput!$B:$E,4,0)=0,OR(H1146=MappingTables!$C$34,H1146=MappingTables!$C$35)),1,VLOOKUP(CONCATENATE($D1146,$G1146),CSRFinput!$B:$E,4,0)))</f>
        <v>0.054776304963434752</v>
      </c>
      <c r="W1146" s="85">
        <f>IF(B1146="",0,+$T1146*$V1146)</f>
        <v>0.005545855692707172</v>
      </c>
      <c r="X1146" s="85">
        <f>IF(B1146="",0,IF(OR(H1146=MappingTables!$C$34,H1146=MappingTables!$C$35),W1146,0))</f>
        <v>0</v>
      </c>
    </row>
    <row r="1147" spans="2:24" s="0" customFormat="0" ht="15">
      <c r="B1147" s="69" t="s">
        <v>1418</v>
      </c>
      <c r="C1147" s="70" t="s">
        <v>1419</v>
      </c>
      <c r="D1147" s="70" t="s">
        <v>1</v>
      </c>
      <c r="E1147" s="70" t="s">
        <v>1</v>
      </c>
      <c r="F1147" s="70"/>
      <c r="G1147" s="70" t="s">
        <v>61</v>
      </c>
      <c r="H1147" s="70" t="s">
        <v>178</v>
      </c>
      <c r="I1147" s="70" t="s">
        <v>198</v>
      </c>
      <c r="J1147" s="71" t="str">
        <f>IF(OR(I1147=0,I1147=""),"unrated",VLOOKUP(I1147,MappingTables!$B$19:$C$31,2,FALSE))</f>
        <v>unrated</v>
      </c>
      <c r="K1147" s="72">
        <v>95.62745789901248</v>
      </c>
      <c r="L1147" s="70">
        <v>5.77949593591478</v>
      </c>
      <c r="M1147" s="71">
        <f>IF(L1147&lt;1,1,L1147)</f>
        <v>5.77949593591478</v>
      </c>
      <c r="N1147" s="70" t="s">
        <v>141</v>
      </c>
      <c r="O1147" s="71">
        <f>INDEX(DurClassMapping,MATCH(M1147,MappingTables!$D$4:$D$8,-1),1)</f>
        <v>2</v>
      </c>
      <c r="P1147" s="73">
        <f>IF(M1147=$A$1,1,$M1147-INDEX(MappingTables!$E$4:$E$8,MATCH(O1147,MappingTables!$B$4:$B$8,0)))</f>
        <v>0.77949593591478016</v>
      </c>
      <c r="Q1147" s="71">
        <f>IF(B1147="",0,INDEX(ModelParameters!$D$6:$K$10,MATCH($O1147,ModelParameters!$B$6:$B$10,0),MATCH($J1147,ModelParameters!$D$5:$K$5,0)))</f>
        <v>0.017000000000000002</v>
      </c>
      <c r="R1147" s="71">
        <f>IF(B1147="",0,INDEX(ModelParameters!$D$13:$K$17,MATCH($O1147,ModelParameters!$B$13:$B$17,0),MATCH($J1147,ModelParameters!$D$5:$K$5,0)))</f>
        <v>0.15</v>
      </c>
      <c r="S1147" s="160">
        <f>IF(B1147="",0,MIN(IF($N1147="Other Bond TM",ModelParameters!$N$21,1)*(P1147*Q1147+R1147),1))</f>
        <v>0.16325143091055124</v>
      </c>
      <c r="T1147" s="85">
        <f>IF(B1147="",0,$S1147*$K1147)</f>
        <v>15.611319336352284</v>
      </c>
      <c r="U1147" s="85">
        <f>IF(B1147="",0,IF(OR(H1147=MappingTables!$C$34,H1147=MappingTables!$C$35),T1147,0))</f>
        <v>0</v>
      </c>
      <c r="V1147" s="85">
        <f>IF(ISNA(IF(AND(VLOOKUP(CONCATENATE($D1147,$G1147),CSRFinput!$B:$E,4,0)=0,OR(H1147=MappingTables!$C$34,H1147=MappingTables!$C$35)),1,VLOOKUP(CONCATENATE($D1147,$G1147),CSRFinput!$B:$E,4,0))),0,IF(AND(VLOOKUP(CONCATENATE($D1147,$G1147),CSRFinput!$B:$E,4,0)=0,OR(H1147=MappingTables!$C$34,H1147=MappingTables!$C$35)),1,VLOOKUP(CONCATENATE($D1147,$G1147),CSRFinput!$B:$E,4,0)))</f>
        <v>0.054776304963434752</v>
      </c>
      <c r="W1147" s="85">
        <f>IF(B1147="",0,+$T1147*$V1147)</f>
        <v>0.85513038884959856</v>
      </c>
      <c r="X1147" s="85">
        <f>IF(B1147="",0,IF(OR(H1147=MappingTables!$C$34,H1147=MappingTables!$C$35),W1147,0))</f>
        <v>0</v>
      </c>
    </row>
    <row r="1148" spans="2:24" s="0" customFormat="0" ht="15">
      <c r="B1148" s="69">
        <v>24083947</v>
      </c>
      <c r="C1148" s="70" t="s">
        <v>1363</v>
      </c>
      <c r="D1148" s="70" t="s">
        <v>1</v>
      </c>
      <c r="E1148" s="70" t="s">
        <v>1</v>
      </c>
      <c r="F1148" s="70"/>
      <c r="G1148" s="70" t="s">
        <v>61</v>
      </c>
      <c r="H1148" s="70" t="s">
        <v>178</v>
      </c>
      <c r="I1148" s="70" t="s">
        <v>181</v>
      </c>
      <c r="J1148" s="71">
        <f>IF(OR(I1148=0,I1148=""),"unrated",VLOOKUP(I1148,MappingTables!$B$19:$C$31,2,FALSE))</f>
        <v>3</v>
      </c>
      <c r="K1148" s="72">
        <v>8435.8123886364768</v>
      </c>
      <c r="L1148" s="70">
        <v>8.5011042658675232</v>
      </c>
      <c r="M1148" s="71">
        <f>IF(L1148&lt;1,1,L1148)</f>
        <v>8.5011042658675232</v>
      </c>
      <c r="N1148" s="70" t="s">
        <v>141</v>
      </c>
      <c r="O1148" s="71">
        <f>INDEX(DurClassMapping,MATCH(M1148,MappingTables!$D$4:$D$8,-1),1)</f>
        <v>2</v>
      </c>
      <c r="P1148" s="73">
        <f>IF(M1148=$A$1,1,$M1148-INDEX(MappingTables!$E$4:$E$8,MATCH(O1148,MappingTables!$B$4:$B$8,0)))</f>
        <v>3.5011042658675232</v>
      </c>
      <c r="Q1148" s="71">
        <f>IF(B1148="",0,INDEX(ModelParameters!$D$6:$K$10,MATCH($O1148,ModelParameters!$B$6:$B$10,0),MATCH($J1148,ModelParameters!$D$5:$K$5,0)))</f>
        <v>0.015</v>
      </c>
      <c r="R1148" s="71">
        <f>IF(B1148="",0,INDEX(ModelParameters!$D$13:$K$17,MATCH($O1148,ModelParameters!$B$13:$B$17,0),MATCH($J1148,ModelParameters!$D$5:$K$5,0)))</f>
        <v>0.125</v>
      </c>
      <c r="S1148" s="160">
        <f>IF(B1148="",0,MIN(IF($N1148="Other Bond TM",ModelParameters!$N$21,1)*(P1148*Q1148+R1148),1))</f>
        <v>0.17751656398801286</v>
      </c>
      <c r="T1148" s="85">
        <f>IF(B1148="",0,$S1148*$K1148)</f>
        <v>1497.4964296782588</v>
      </c>
      <c r="U1148" s="85">
        <f>IF(B1148="",0,IF(OR(H1148=MappingTables!$C$34,H1148=MappingTables!$C$35),T1148,0))</f>
        <v>0</v>
      </c>
      <c r="V1148" s="85">
        <f>IF(ISNA(IF(AND(VLOOKUP(CONCATENATE($D1148,$G1148),CSRFinput!$B:$E,4,0)=0,OR(H1148=MappingTables!$C$34,H1148=MappingTables!$C$35)),1,VLOOKUP(CONCATENATE($D1148,$G1148),CSRFinput!$B:$E,4,0))),0,IF(AND(VLOOKUP(CONCATENATE($D1148,$G1148),CSRFinput!$B:$E,4,0)=0,OR(H1148=MappingTables!$C$34,H1148=MappingTables!$C$35)),1,VLOOKUP(CONCATENATE($D1148,$G1148),CSRFinput!$B:$E,4,0)))</f>
        <v>0.054776304963434752</v>
      </c>
      <c r="W1148" s="85">
        <f>IF(B1148="",0,+$T1148*$V1148)</f>
        <v>82.02732111371104</v>
      </c>
      <c r="X1148" s="85">
        <f>IF(B1148="",0,IF(OR(H1148=MappingTables!$C$34,H1148=MappingTables!$C$35),W1148,0))</f>
        <v>0</v>
      </c>
    </row>
    <row r="1149" spans="2:24" s="0" customFormat="0" ht="15">
      <c r="B1149" s="69" t="s">
        <v>1420</v>
      </c>
      <c r="C1149" s="70" t="s">
        <v>1421</v>
      </c>
      <c r="D1149" s="70" t="s">
        <v>1</v>
      </c>
      <c r="E1149" s="70" t="s">
        <v>1</v>
      </c>
      <c r="F1149" s="70"/>
      <c r="G1149" s="70" t="s">
        <v>61</v>
      </c>
      <c r="H1149" s="70" t="s">
        <v>178</v>
      </c>
      <c r="I1149" s="70" t="s">
        <v>198</v>
      </c>
      <c r="J1149" s="71" t="str">
        <f>IF(OR(I1149=0,I1149=""),"unrated",VLOOKUP(I1149,MappingTables!$B$19:$C$31,2,FALSE))</f>
        <v>unrated</v>
      </c>
      <c r="K1149" s="72">
        <v>29739.683247387872</v>
      </c>
      <c r="L1149" s="70">
        <v>5.9010972422886176</v>
      </c>
      <c r="M1149" s="71">
        <f>IF(L1149&lt;1,1,L1149)</f>
        <v>5.9010972422886176</v>
      </c>
      <c r="N1149" s="70" t="s">
        <v>141</v>
      </c>
      <c r="O1149" s="71">
        <f>INDEX(DurClassMapping,MATCH(M1149,MappingTables!$D$4:$D$8,-1),1)</f>
        <v>2</v>
      </c>
      <c r="P1149" s="73">
        <f>IF(M1149=$A$1,1,$M1149-INDEX(MappingTables!$E$4:$E$8,MATCH(O1149,MappingTables!$B$4:$B$8,0)))</f>
        <v>0.9010972422886176</v>
      </c>
      <c r="Q1149" s="71">
        <f>IF(B1149="",0,INDEX(ModelParameters!$D$6:$K$10,MATCH($O1149,ModelParameters!$B$6:$B$10,0),MATCH($J1149,ModelParameters!$D$5:$K$5,0)))</f>
        <v>0.017000000000000002</v>
      </c>
      <c r="R1149" s="71">
        <f>IF(B1149="",0,INDEX(ModelParameters!$D$13:$K$17,MATCH($O1149,ModelParameters!$B$13:$B$17,0),MATCH($J1149,ModelParameters!$D$5:$K$5,0)))</f>
        <v>0.15</v>
      </c>
      <c r="S1149" s="160">
        <f>IF(B1149="",0,MIN(IF($N1149="Other Bond TM",ModelParameters!$N$21,1)*(P1149*Q1149+R1149),1))</f>
        <v>0.1653186531189065</v>
      </c>
      <c r="T1149" s="85">
        <f>IF(B1149="",0,$S1149*$K1149)</f>
        <v>4916.5243786410704</v>
      </c>
      <c r="U1149" s="85">
        <f>IF(B1149="",0,IF(OR(H1149=MappingTables!$C$34,H1149=MappingTables!$C$35),T1149,0))</f>
        <v>0</v>
      </c>
      <c r="V1149" s="85">
        <f>IF(ISNA(IF(AND(VLOOKUP(CONCATENATE($D1149,$G1149),CSRFinput!$B:$E,4,0)=0,OR(H1149=MappingTables!$C$34,H1149=MappingTables!$C$35)),1,VLOOKUP(CONCATENATE($D1149,$G1149),CSRFinput!$B:$E,4,0))),0,IF(AND(VLOOKUP(CONCATENATE($D1149,$G1149),CSRFinput!$B:$E,4,0)=0,OR(H1149=MappingTables!$C$34,H1149=MappingTables!$C$35)),1,VLOOKUP(CONCATENATE($D1149,$G1149),CSRFinput!$B:$E,4,0)))</f>
        <v>0.054776304963434752</v>
      </c>
      <c r="W1149" s="85">
        <f>IF(B1149="",0,+$T1149*$V1149)</f>
        <v>269.3090387246048</v>
      </c>
      <c r="X1149" s="85">
        <f>IF(B1149="",0,IF(OR(H1149=MappingTables!$C$34,H1149=MappingTables!$C$35),W1149,0))</f>
        <v>0</v>
      </c>
    </row>
    <row r="1150" spans="2:24" s="0" customFormat="0" ht="15">
      <c r="B1150" s="69">
        <v>19475893</v>
      </c>
      <c r="C1150" s="70" t="s">
        <v>1014</v>
      </c>
      <c r="D1150" s="70" t="s">
        <v>1</v>
      </c>
      <c r="E1150" s="70" t="s">
        <v>1</v>
      </c>
      <c r="F1150" s="70"/>
      <c r="G1150" s="70" t="s">
        <v>61</v>
      </c>
      <c r="H1150" s="70" t="s">
        <v>178</v>
      </c>
      <c r="I1150" s="70" t="s">
        <v>184</v>
      </c>
      <c r="J1150" s="71">
        <f>IF(OR(I1150=0,I1150=""),"unrated",VLOOKUP(I1150,MappingTables!$B$19:$C$31,2,FALSE))</f>
        <v>5</v>
      </c>
      <c r="K1150" s="72">
        <v>137.17998870213148</v>
      </c>
      <c r="L1150" s="70">
        <v>2.0634146379748552</v>
      </c>
      <c r="M1150" s="71">
        <f>IF(L1150&lt;1,1,L1150)</f>
        <v>2.0634146379748552</v>
      </c>
      <c r="N1150" s="70" t="s">
        <v>141</v>
      </c>
      <c r="O1150" s="71">
        <f>INDEX(DurClassMapping,MATCH(M1150,MappingTables!$D$4:$D$8,-1),1)</f>
        <v>1</v>
      </c>
      <c r="P1150" s="73">
        <f>IF(M1150=$A$1,1,$M1150-INDEX(MappingTables!$E$4:$E$8,MATCH(O1150,MappingTables!$B$4:$B$8,0)))</f>
        <v>2.0634146379748552</v>
      </c>
      <c r="Q1150" s="71">
        <f>IF(B1150="",0,INDEX(ModelParameters!$D$6:$K$10,MATCH($O1150,ModelParameters!$B$6:$B$10,0),MATCH($J1150,ModelParameters!$D$5:$K$5,0)))</f>
        <v>0.075</v>
      </c>
      <c r="R1150" s="71">
        <f>IF(B1150="",0,INDEX(ModelParameters!$D$13:$K$17,MATCH($O1150,ModelParameters!$B$13:$B$17,0),MATCH($J1150,ModelParameters!$D$5:$K$5,0)))</f>
        <v>0</v>
      </c>
      <c r="S1150" s="160">
        <f>IF(B1150="",0,MIN(IF($N1150="Other Bond TM",ModelParameters!$N$21,1)*(P1150*Q1150+R1150),1))</f>
        <v>0.15475609784811412</v>
      </c>
      <c r="T1150" s="85">
        <f>IF(B1150="",0,$S1150*$K1150)</f>
        <v>21.229439754390248</v>
      </c>
      <c r="U1150" s="85">
        <f>IF(B1150="",0,IF(OR(H1150=MappingTables!$C$34,H1150=MappingTables!$C$35),T1150,0))</f>
        <v>0</v>
      </c>
      <c r="V1150" s="85">
        <f>IF(ISNA(IF(AND(VLOOKUP(CONCATENATE($D1150,$G1150),CSRFinput!$B:$E,4,0)=0,OR(H1150=MappingTables!$C$34,H1150=MappingTables!$C$35)),1,VLOOKUP(CONCATENATE($D1150,$G1150),CSRFinput!$B:$E,4,0))),0,IF(AND(VLOOKUP(CONCATENATE($D1150,$G1150),CSRFinput!$B:$E,4,0)=0,OR(H1150=MappingTables!$C$34,H1150=MappingTables!$C$35)),1,VLOOKUP(CONCATENATE($D1150,$G1150),CSRFinput!$B:$E,4,0)))</f>
        <v>0.054776304963434752</v>
      </c>
      <c r="W1150" s="85">
        <f>IF(B1150="",0,+$T1150*$V1150)</f>
        <v>1.1628702661893458</v>
      </c>
      <c r="X1150" s="85">
        <f>IF(B1150="",0,IF(OR(H1150=MappingTables!$C$34,H1150=MappingTables!$C$35),W1150,0))</f>
        <v>0</v>
      </c>
    </row>
    <row r="1151" spans="2:24" s="0" customFormat="0" ht="15">
      <c r="B1151" s="69">
        <v>20993772</v>
      </c>
      <c r="C1151" s="70" t="s">
        <v>1422</v>
      </c>
      <c r="D1151" s="70" t="s">
        <v>1</v>
      </c>
      <c r="E1151" s="70" t="s">
        <v>1</v>
      </c>
      <c r="F1151" s="70"/>
      <c r="G1151" s="70" t="s">
        <v>61</v>
      </c>
      <c r="H1151" s="70" t="s">
        <v>178</v>
      </c>
      <c r="I1151" s="70" t="s">
        <v>179</v>
      </c>
      <c r="J1151" s="71">
        <f>IF(OR(I1151=0,I1151=""),"unrated",VLOOKUP(I1151,MappingTables!$B$19:$C$31,2,FALSE))</f>
        <v>4</v>
      </c>
      <c r="K1151" s="72">
        <v>1090.1286889176242</v>
      </c>
      <c r="L1151" s="70">
        <v>7.4867012907216</v>
      </c>
      <c r="M1151" s="71">
        <f>IF(L1151&lt;1,1,L1151)</f>
        <v>7.4867012907216</v>
      </c>
      <c r="N1151" s="70" t="s">
        <v>141</v>
      </c>
      <c r="O1151" s="71">
        <f>INDEX(DurClassMapping,MATCH(M1151,MappingTables!$D$4:$D$8,-1),1)</f>
        <v>2</v>
      </c>
      <c r="P1151" s="73">
        <f>IF(M1151=$A$1,1,$M1151-INDEX(MappingTables!$E$4:$E$8,MATCH(O1151,MappingTables!$B$4:$B$8,0)))</f>
        <v>2.4867012907215996</v>
      </c>
      <c r="Q1151" s="71">
        <f>IF(B1151="",0,INDEX(ModelParameters!$D$6:$K$10,MATCH($O1151,ModelParameters!$B$6:$B$10,0),MATCH($J1151,ModelParameters!$D$5:$K$5,0)))</f>
        <v>0.025</v>
      </c>
      <c r="R1151" s="71">
        <f>IF(B1151="",0,INDEX(ModelParameters!$D$13:$K$17,MATCH($O1151,ModelParameters!$B$13:$B$17,0),MATCH($J1151,ModelParameters!$D$5:$K$5,0)))</f>
        <v>0.225</v>
      </c>
      <c r="S1151" s="160">
        <f>IF(B1151="",0,MIN(IF($N1151="Other Bond TM",ModelParameters!$N$21,1)*(P1151*Q1151+R1151),1))</f>
        <v>0.28716753226804</v>
      </c>
      <c r="T1151" s="85">
        <f>IF(B1151="",0,$S1151*$K1151)</f>
        <v>313.04956545106796</v>
      </c>
      <c r="U1151" s="85">
        <f>IF(B1151="",0,IF(OR(H1151=MappingTables!$C$34,H1151=MappingTables!$C$35),T1151,0))</f>
        <v>0</v>
      </c>
      <c r="V1151" s="85">
        <f>IF(ISNA(IF(AND(VLOOKUP(CONCATENATE($D1151,$G1151),CSRFinput!$B:$E,4,0)=0,OR(H1151=MappingTables!$C$34,H1151=MappingTables!$C$35)),1,VLOOKUP(CONCATENATE($D1151,$G1151),CSRFinput!$B:$E,4,0))),0,IF(AND(VLOOKUP(CONCATENATE($D1151,$G1151),CSRFinput!$B:$E,4,0)=0,OR(H1151=MappingTables!$C$34,H1151=MappingTables!$C$35)),1,VLOOKUP(CONCATENATE($D1151,$G1151),CSRFinput!$B:$E,4,0)))</f>
        <v>0.054776304963434752</v>
      </c>
      <c r="W1151" s="85">
        <f>IF(B1151="",0,+$T1151*$V1151)</f>
        <v>17.147698465818426</v>
      </c>
      <c r="X1151" s="85">
        <f>IF(B1151="",0,IF(OR(H1151=MappingTables!$C$34,H1151=MappingTables!$C$35),W1151,0))</f>
        <v>0</v>
      </c>
    </row>
    <row r="1152" spans="2:24" s="0" customFormat="0" ht="15">
      <c r="B1152" s="69">
        <v>21644219</v>
      </c>
      <c r="C1152" s="70" t="s">
        <v>1357</v>
      </c>
      <c r="D1152" s="70" t="s">
        <v>1</v>
      </c>
      <c r="E1152" s="70" t="s">
        <v>1</v>
      </c>
      <c r="F1152" s="70"/>
      <c r="G1152" s="70" t="s">
        <v>61</v>
      </c>
      <c r="H1152" s="70" t="s">
        <v>178</v>
      </c>
      <c r="I1152" s="70" t="s">
        <v>184</v>
      </c>
      <c r="J1152" s="71">
        <f>IF(OR(I1152=0,I1152=""),"unrated",VLOOKUP(I1152,MappingTables!$B$19:$C$31,2,FALSE))</f>
        <v>5</v>
      </c>
      <c r="K1152" s="72">
        <v>6912.2203325632032</v>
      </c>
      <c r="L1152" s="70">
        <v>7.5331313811768976</v>
      </c>
      <c r="M1152" s="71">
        <f>IF(L1152&lt;1,1,L1152)</f>
        <v>7.5331313811768976</v>
      </c>
      <c r="N1152" s="70" t="s">
        <v>141</v>
      </c>
      <c r="O1152" s="71">
        <f>INDEX(DurClassMapping,MATCH(M1152,MappingTables!$D$4:$D$8,-1),1)</f>
        <v>2</v>
      </c>
      <c r="P1152" s="73">
        <f>IF(M1152=$A$1,1,$M1152-INDEX(MappingTables!$E$4:$E$8,MATCH(O1152,MappingTables!$B$4:$B$8,0)))</f>
        <v>2.5331313811768972</v>
      </c>
      <c r="Q1152" s="71">
        <f>IF(B1152="",0,INDEX(ModelParameters!$D$6:$K$10,MATCH($O1152,ModelParameters!$B$6:$B$10,0),MATCH($J1152,ModelParameters!$D$5:$K$5,0)))</f>
        <v>0.042</v>
      </c>
      <c r="R1152" s="71">
        <f>IF(B1152="",0,INDEX(ModelParameters!$D$13:$K$17,MATCH($O1152,ModelParameters!$B$13:$B$17,0),MATCH($J1152,ModelParameters!$D$5:$K$5,0)))</f>
        <v>0.375</v>
      </c>
      <c r="S1152" s="160">
        <f>IF(B1152="",0,MIN(IF($N1152="Other Bond TM",ModelParameters!$N$21,1)*(P1152*Q1152+R1152),1))</f>
        <v>0.48139151800942968</v>
      </c>
      <c r="T1152" s="85">
        <f>IF(B1152="",0,$S1152*$K1152)</f>
        <v>3327.4842387082452</v>
      </c>
      <c r="U1152" s="85">
        <f>IF(B1152="",0,IF(OR(H1152=MappingTables!$C$34,H1152=MappingTables!$C$35),T1152,0))</f>
        <v>0</v>
      </c>
      <c r="V1152" s="85">
        <f>IF(ISNA(IF(AND(VLOOKUP(CONCATENATE($D1152,$G1152),CSRFinput!$B:$E,4,0)=0,OR(H1152=MappingTables!$C$34,H1152=MappingTables!$C$35)),1,VLOOKUP(CONCATENATE($D1152,$G1152),CSRFinput!$B:$E,4,0))),0,IF(AND(VLOOKUP(CONCATENATE($D1152,$G1152),CSRFinput!$B:$E,4,0)=0,OR(H1152=MappingTables!$C$34,H1152=MappingTables!$C$35)),1,VLOOKUP(CONCATENATE($D1152,$G1152),CSRFinput!$B:$E,4,0)))</f>
        <v>0.054776304963434752</v>
      </c>
      <c r="W1152" s="85">
        <f>IF(B1152="",0,+$T1152*$V1152)</f>
        <v>182.26729142050536</v>
      </c>
      <c r="X1152" s="85">
        <f>IF(B1152="",0,IF(OR(H1152=MappingTables!$C$34,H1152=MappingTables!$C$35),W1152,0))</f>
        <v>0</v>
      </c>
    </row>
    <row r="1153" spans="2:24" s="0" customFormat="0" ht="15">
      <c r="B1153" s="69">
        <v>12994167</v>
      </c>
      <c r="C1153" s="70" t="s">
        <v>1423</v>
      </c>
      <c r="D1153" s="70" t="s">
        <v>1</v>
      </c>
      <c r="E1153" s="70" t="s">
        <v>1</v>
      </c>
      <c r="F1153" s="70"/>
      <c r="G1153" s="70" t="s">
        <v>61</v>
      </c>
      <c r="H1153" s="70" t="s">
        <v>178</v>
      </c>
      <c r="I1153" s="70" t="s">
        <v>220</v>
      </c>
      <c r="J1153" s="71">
        <f>IF(OR(I1153=0,I1153=""),"unrated",VLOOKUP(I1153,MappingTables!$B$19:$C$31,2,FALSE))</f>
        <v>1</v>
      </c>
      <c r="K1153" s="72">
        <v>1556.9167162494426</v>
      </c>
      <c r="L1153" s="70">
        <v>0.81376815591368048</v>
      </c>
      <c r="M1153" s="71">
        <f>IF(L1153&lt;1,1,L1153)</f>
        <v>1</v>
      </c>
      <c r="N1153" s="70" t="s">
        <v>141</v>
      </c>
      <c r="O1153" s="71">
        <f>INDEX(DurClassMapping,MATCH(M1153,MappingTables!$D$4:$D$8,-1),1)</f>
        <v>1</v>
      </c>
      <c r="P1153" s="73">
        <f>IF(M1153=$A$1,1,$M1153-INDEX(MappingTables!$E$4:$E$8,MATCH(O1153,MappingTables!$B$4:$B$8,0)))</f>
        <v>1</v>
      </c>
      <c r="Q1153" s="71">
        <f>IF(B1153="",0,INDEX(ModelParameters!$D$6:$K$10,MATCH($O1153,ModelParameters!$B$6:$B$10,0),MATCH($J1153,ModelParameters!$D$5:$K$5,0)))</f>
        <v>0.011000000000000002</v>
      </c>
      <c r="R1153" s="71">
        <f>IF(B1153="",0,INDEX(ModelParameters!$D$13:$K$17,MATCH($O1153,ModelParameters!$B$13:$B$17,0),MATCH($J1153,ModelParameters!$D$5:$K$5,0)))</f>
        <v>0</v>
      </c>
      <c r="S1153" s="160">
        <f>IF(B1153="",0,MIN(IF($N1153="Other Bond TM",ModelParameters!$N$21,1)*(P1153*Q1153+R1153),1))</f>
        <v>0.011000000000000002</v>
      </c>
      <c r="T1153" s="85">
        <f>IF(B1153="",0,$S1153*$K1153)</f>
        <v>17.12608387874387</v>
      </c>
      <c r="U1153" s="85">
        <f>IF(B1153="",0,IF(OR(H1153=MappingTables!$C$34,H1153=MappingTables!$C$35),T1153,0))</f>
        <v>0</v>
      </c>
      <c r="V1153" s="85">
        <f>IF(ISNA(IF(AND(VLOOKUP(CONCATENATE($D1153,$G1153),CSRFinput!$B:$E,4,0)=0,OR(H1153=MappingTables!$C$34,H1153=MappingTables!$C$35)),1,VLOOKUP(CONCATENATE($D1153,$G1153),CSRFinput!$B:$E,4,0))),0,IF(AND(VLOOKUP(CONCATENATE($D1153,$G1153),CSRFinput!$B:$E,4,0)=0,OR(H1153=MappingTables!$C$34,H1153=MappingTables!$C$35)),1,VLOOKUP(CONCATENATE($D1153,$G1153),CSRFinput!$B:$E,4,0)))</f>
        <v>0.054776304963434752</v>
      </c>
      <c r="W1153" s="85">
        <f>IF(B1153="",0,+$T1153*$V1153)</f>
        <v>0.93810359337143776</v>
      </c>
      <c r="X1153" s="85">
        <f>IF(B1153="",0,IF(OR(H1153=MappingTables!$C$34,H1153=MappingTables!$C$35),W1153,0))</f>
        <v>0</v>
      </c>
    </row>
    <row r="1154" spans="2:24" s="0" customFormat="0" ht="15">
      <c r="B1154" s="69">
        <v>16168537</v>
      </c>
      <c r="C1154" s="70" t="s">
        <v>1424</v>
      </c>
      <c r="D1154" s="70" t="s">
        <v>1</v>
      </c>
      <c r="E1154" s="70" t="s">
        <v>1</v>
      </c>
      <c r="F1154" s="70"/>
      <c r="G1154" s="70" t="s">
        <v>61</v>
      </c>
      <c r="H1154" s="70" t="s">
        <v>178</v>
      </c>
      <c r="I1154" s="70" t="s">
        <v>181</v>
      </c>
      <c r="J1154" s="71">
        <f>IF(OR(I1154=0,I1154=""),"unrated",VLOOKUP(I1154,MappingTables!$B$19:$C$31,2,FALSE))</f>
        <v>3</v>
      </c>
      <c r="K1154" s="72">
        <v>5324.8640355351976</v>
      </c>
      <c r="L1154" s="70">
        <v>1.0490081581131266</v>
      </c>
      <c r="M1154" s="71">
        <f>IF(L1154&lt;1,1,L1154)</f>
        <v>1.0490081581131266</v>
      </c>
      <c r="N1154" s="70" t="s">
        <v>141</v>
      </c>
      <c r="O1154" s="71">
        <f>INDEX(DurClassMapping,MATCH(M1154,MappingTables!$D$4:$D$8,-1),1)</f>
        <v>1</v>
      </c>
      <c r="P1154" s="73">
        <f>IF(M1154=$A$1,1,$M1154-INDEX(MappingTables!$E$4:$E$8,MATCH(O1154,MappingTables!$B$4:$B$8,0)))</f>
        <v>1.0490081581131266</v>
      </c>
      <c r="Q1154" s="71">
        <f>IF(B1154="",0,INDEX(ModelParameters!$D$6:$K$10,MATCH($O1154,ModelParameters!$B$6:$B$10,0),MATCH($J1154,ModelParameters!$D$5:$K$5,0)))</f>
        <v>0.025</v>
      </c>
      <c r="R1154" s="71">
        <f>IF(B1154="",0,INDEX(ModelParameters!$D$13:$K$17,MATCH($O1154,ModelParameters!$B$13:$B$17,0),MATCH($J1154,ModelParameters!$D$5:$K$5,0)))</f>
        <v>0</v>
      </c>
      <c r="S1154" s="160">
        <f>IF(B1154="",0,MIN(IF($N1154="Other Bond TM",ModelParameters!$N$21,1)*(P1154*Q1154+R1154),1))</f>
        <v>0.026225203952828168</v>
      </c>
      <c r="T1154" s="85">
        <f>IF(B1154="",0,$S1154*$K1154)</f>
        <v>139.64564535299018</v>
      </c>
      <c r="U1154" s="85">
        <f>IF(B1154="",0,IF(OR(H1154=MappingTables!$C$34,H1154=MappingTables!$C$35),T1154,0))</f>
        <v>0</v>
      </c>
      <c r="V1154" s="85">
        <f>IF(ISNA(IF(AND(VLOOKUP(CONCATENATE($D1154,$G1154),CSRFinput!$B:$E,4,0)=0,OR(H1154=MappingTables!$C$34,H1154=MappingTables!$C$35)),1,VLOOKUP(CONCATENATE($D1154,$G1154),CSRFinput!$B:$E,4,0))),0,IF(AND(VLOOKUP(CONCATENATE($D1154,$G1154),CSRFinput!$B:$E,4,0)=0,OR(H1154=MappingTables!$C$34,H1154=MappingTables!$C$35)),1,VLOOKUP(CONCATENATE($D1154,$G1154),CSRFinput!$B:$E,4,0)))</f>
        <v>0.054776304963434752</v>
      </c>
      <c r="W1154" s="85">
        <f>IF(B1154="",0,+$T1154*$V1154)</f>
        <v>7.6492724566710464</v>
      </c>
      <c r="X1154" s="85">
        <f>IF(B1154="",0,IF(OR(H1154=MappingTables!$C$34,H1154=MappingTables!$C$35),W1154,0))</f>
        <v>0</v>
      </c>
    </row>
    <row r="1155" spans="2:24" s="0" customFormat="0" ht="15">
      <c r="B1155" s="69">
        <v>17164668</v>
      </c>
      <c r="C1155" s="70" t="s">
        <v>1425</v>
      </c>
      <c r="D1155" s="70" t="s">
        <v>1</v>
      </c>
      <c r="E1155" s="70" t="s">
        <v>1</v>
      </c>
      <c r="F1155" s="70"/>
      <c r="G1155" s="70" t="s">
        <v>61</v>
      </c>
      <c r="H1155" s="70" t="s">
        <v>178</v>
      </c>
      <c r="I1155" s="70" t="s">
        <v>179</v>
      </c>
      <c r="J1155" s="71">
        <f>IF(OR(I1155=0,I1155=""),"unrated",VLOOKUP(I1155,MappingTables!$B$19:$C$31,2,FALSE))</f>
        <v>4</v>
      </c>
      <c r="K1155" s="72">
        <v>4477.2346135208024</v>
      </c>
      <c r="L1155" s="70">
        <v>2.3443038375281356</v>
      </c>
      <c r="M1155" s="71">
        <f>IF(L1155&lt;1,1,L1155)</f>
        <v>2.3443038375281356</v>
      </c>
      <c r="N1155" s="70" t="s">
        <v>141</v>
      </c>
      <c r="O1155" s="71">
        <f>INDEX(DurClassMapping,MATCH(M1155,MappingTables!$D$4:$D$8,-1),1)</f>
        <v>1</v>
      </c>
      <c r="P1155" s="73">
        <f>IF(M1155=$A$1,1,$M1155-INDEX(MappingTables!$E$4:$E$8,MATCH(O1155,MappingTables!$B$4:$B$8,0)))</f>
        <v>2.3443038375281356</v>
      </c>
      <c r="Q1155" s="71">
        <f>IF(B1155="",0,INDEX(ModelParameters!$D$6:$K$10,MATCH($O1155,ModelParameters!$B$6:$B$10,0),MATCH($J1155,ModelParameters!$D$5:$K$5,0)))</f>
        <v>0.045</v>
      </c>
      <c r="R1155" s="71">
        <f>IF(B1155="",0,INDEX(ModelParameters!$D$13:$K$17,MATCH($O1155,ModelParameters!$B$13:$B$17,0),MATCH($J1155,ModelParameters!$D$5:$K$5,0)))</f>
        <v>0</v>
      </c>
      <c r="S1155" s="160">
        <f>IF(B1155="",0,MIN(IF($N1155="Other Bond TM",ModelParameters!$N$21,1)*(P1155*Q1155+R1155),1))</f>
        <v>0.10549367268876612</v>
      </c>
      <c r="T1155" s="85">
        <f>IF(B1155="",0,$S1155*$K1155)</f>
        <v>472.31992286957776</v>
      </c>
      <c r="U1155" s="85">
        <f>IF(B1155="",0,IF(OR(H1155=MappingTables!$C$34,H1155=MappingTables!$C$35),T1155,0))</f>
        <v>0</v>
      </c>
      <c r="V1155" s="85">
        <f>IF(ISNA(IF(AND(VLOOKUP(CONCATENATE($D1155,$G1155),CSRFinput!$B:$E,4,0)=0,OR(H1155=MappingTables!$C$34,H1155=MappingTables!$C$35)),1,VLOOKUP(CONCATENATE($D1155,$G1155),CSRFinput!$B:$E,4,0))),0,IF(AND(VLOOKUP(CONCATENATE($D1155,$G1155),CSRFinput!$B:$E,4,0)=0,OR(H1155=MappingTables!$C$34,H1155=MappingTables!$C$35)),1,VLOOKUP(CONCATENATE($D1155,$G1155),CSRFinput!$B:$E,4,0)))</f>
        <v>0.054776304963434752</v>
      </c>
      <c r="W1155" s="85">
        <f>IF(B1155="",0,+$T1155*$V1155)</f>
        <v>25.871940135409976</v>
      </c>
      <c r="X1155" s="85">
        <f>IF(B1155="",0,IF(OR(H1155=MappingTables!$C$34,H1155=MappingTables!$C$35),W1155,0))</f>
        <v>0</v>
      </c>
    </row>
    <row r="1156" spans="2:24" s="0" customFormat="0" ht="15">
      <c r="B1156" s="69">
        <v>18946098</v>
      </c>
      <c r="C1156" s="70" t="s">
        <v>1426</v>
      </c>
      <c r="D1156" s="70" t="s">
        <v>1</v>
      </c>
      <c r="E1156" s="70" t="s">
        <v>1</v>
      </c>
      <c r="F1156" s="70"/>
      <c r="G1156" s="70" t="s">
        <v>61</v>
      </c>
      <c r="H1156" s="70" t="s">
        <v>178</v>
      </c>
      <c r="I1156" s="70" t="s">
        <v>184</v>
      </c>
      <c r="J1156" s="71">
        <f>IF(OR(I1156=0,I1156=""),"unrated",VLOOKUP(I1156,MappingTables!$B$19:$C$31,2,FALSE))</f>
        <v>5</v>
      </c>
      <c r="K1156" s="72">
        <v>31.5602123624614</v>
      </c>
      <c r="L1156" s="70">
        <v>0.087670501214319904</v>
      </c>
      <c r="M1156" s="71">
        <f>IF(L1156&lt;1,1,L1156)</f>
        <v>1</v>
      </c>
      <c r="N1156" s="70" t="s">
        <v>141</v>
      </c>
      <c r="O1156" s="71">
        <f>INDEX(DurClassMapping,MATCH(M1156,MappingTables!$D$4:$D$8,-1),1)</f>
        <v>1</v>
      </c>
      <c r="P1156" s="73">
        <f>IF(M1156=$A$1,1,$M1156-INDEX(MappingTables!$E$4:$E$8,MATCH(O1156,MappingTables!$B$4:$B$8,0)))</f>
        <v>1</v>
      </c>
      <c r="Q1156" s="71">
        <f>IF(B1156="",0,INDEX(ModelParameters!$D$6:$K$10,MATCH($O1156,ModelParameters!$B$6:$B$10,0),MATCH($J1156,ModelParameters!$D$5:$K$5,0)))</f>
        <v>0.075</v>
      </c>
      <c r="R1156" s="71">
        <f>IF(B1156="",0,INDEX(ModelParameters!$D$13:$K$17,MATCH($O1156,ModelParameters!$B$13:$B$17,0),MATCH($J1156,ModelParameters!$D$5:$K$5,0)))</f>
        <v>0</v>
      </c>
      <c r="S1156" s="160">
        <f>IF(B1156="",0,MIN(IF($N1156="Other Bond TM",ModelParameters!$N$21,1)*(P1156*Q1156+R1156),1))</f>
        <v>0.075</v>
      </c>
      <c r="T1156" s="85">
        <f>IF(B1156="",0,$S1156*$K1156)</f>
        <v>2.3670159271846048</v>
      </c>
      <c r="U1156" s="85">
        <f>IF(B1156="",0,IF(OR(H1156=MappingTables!$C$34,H1156=MappingTables!$C$35),T1156,0))</f>
        <v>0</v>
      </c>
      <c r="V1156" s="85">
        <f>IF(ISNA(IF(AND(VLOOKUP(CONCATENATE($D1156,$G1156),CSRFinput!$B:$E,4,0)=0,OR(H1156=MappingTables!$C$34,H1156=MappingTables!$C$35)),1,VLOOKUP(CONCATENATE($D1156,$G1156),CSRFinput!$B:$E,4,0))),0,IF(AND(VLOOKUP(CONCATENATE($D1156,$G1156),CSRFinput!$B:$E,4,0)=0,OR(H1156=MappingTables!$C$34,H1156=MappingTables!$C$35)),1,VLOOKUP(CONCATENATE($D1156,$G1156),CSRFinput!$B:$E,4,0)))</f>
        <v>0.054776304963434752</v>
      </c>
      <c r="W1156" s="85">
        <f>IF(B1156="",0,+$T1156*$V1156)</f>
        <v>0.1296563862807712</v>
      </c>
      <c r="X1156" s="85">
        <f>IF(B1156="",0,IF(OR(H1156=MappingTables!$C$34,H1156=MappingTables!$C$35),W1156,0))</f>
        <v>0</v>
      </c>
    </row>
    <row r="1157" spans="2:24" s="0" customFormat="0" ht="15">
      <c r="B1157" s="69">
        <v>10578240</v>
      </c>
      <c r="C1157" s="70" t="s">
        <v>1427</v>
      </c>
      <c r="D1157" s="70" t="s">
        <v>1</v>
      </c>
      <c r="E1157" s="70" t="s">
        <v>1</v>
      </c>
      <c r="F1157" s="70"/>
      <c r="G1157" s="70" t="s">
        <v>61</v>
      </c>
      <c r="H1157" s="70" t="s">
        <v>178</v>
      </c>
      <c r="I1157" s="70" t="s">
        <v>181</v>
      </c>
      <c r="J1157" s="71">
        <f>IF(OR(I1157=0,I1157=""),"unrated",VLOOKUP(I1157,MappingTables!$B$19:$C$31,2,FALSE))</f>
        <v>3</v>
      </c>
      <c r="K1157" s="72">
        <v>225.23178942422728</v>
      </c>
      <c r="L1157" s="70">
        <v>1.604420247373148</v>
      </c>
      <c r="M1157" s="71">
        <f>IF(L1157&lt;1,1,L1157)</f>
        <v>1.604420247373148</v>
      </c>
      <c r="N1157" s="70" t="s">
        <v>141</v>
      </c>
      <c r="O1157" s="71">
        <f>INDEX(DurClassMapping,MATCH(M1157,MappingTables!$D$4:$D$8,-1),1)</f>
        <v>1</v>
      </c>
      <c r="P1157" s="73">
        <f>IF(M1157=$A$1,1,$M1157-INDEX(MappingTables!$E$4:$E$8,MATCH(O1157,MappingTables!$B$4:$B$8,0)))</f>
        <v>1.604420247373148</v>
      </c>
      <c r="Q1157" s="71">
        <f>IF(B1157="",0,INDEX(ModelParameters!$D$6:$K$10,MATCH($O1157,ModelParameters!$B$6:$B$10,0),MATCH($J1157,ModelParameters!$D$5:$K$5,0)))</f>
        <v>0.025</v>
      </c>
      <c r="R1157" s="71">
        <f>IF(B1157="",0,INDEX(ModelParameters!$D$13:$K$17,MATCH($O1157,ModelParameters!$B$13:$B$17,0),MATCH($J1157,ModelParameters!$D$5:$K$5,0)))</f>
        <v>0</v>
      </c>
      <c r="S1157" s="160">
        <f>IF(B1157="",0,MIN(IF($N1157="Other Bond TM",ModelParameters!$N$21,1)*(P1157*Q1157+R1157),1))</f>
        <v>0.040110506184328704</v>
      </c>
      <c r="T1157" s="85">
        <f>IF(B1157="",0,$S1157*$K1157)</f>
        <v>9.034161082607888</v>
      </c>
      <c r="U1157" s="85">
        <f>IF(B1157="",0,IF(OR(H1157=MappingTables!$C$34,H1157=MappingTables!$C$35),T1157,0))</f>
        <v>0</v>
      </c>
      <c r="V1157" s="85">
        <f>IF(ISNA(IF(AND(VLOOKUP(CONCATENATE($D1157,$G1157),CSRFinput!$B:$E,4,0)=0,OR(H1157=MappingTables!$C$34,H1157=MappingTables!$C$35)),1,VLOOKUP(CONCATENATE($D1157,$G1157),CSRFinput!$B:$E,4,0))),0,IF(AND(VLOOKUP(CONCATENATE($D1157,$G1157),CSRFinput!$B:$E,4,0)=0,OR(H1157=MappingTables!$C$34,H1157=MappingTables!$C$35)),1,VLOOKUP(CONCATENATE($D1157,$G1157),CSRFinput!$B:$E,4,0)))</f>
        <v>0.054776304963434752</v>
      </c>
      <c r="W1157" s="85">
        <f>IF(B1157="",0,+$T1157*$V1157)</f>
        <v>0.49485796254972352</v>
      </c>
      <c r="X1157" s="85">
        <f>IF(B1157="",0,IF(OR(H1157=MappingTables!$C$34,H1157=MappingTables!$C$35),W1157,0))</f>
        <v>0</v>
      </c>
    </row>
    <row r="1158" spans="2:24" s="0" customFormat="0" ht="15">
      <c r="B1158" s="69">
        <v>20285513</v>
      </c>
      <c r="C1158" s="70" t="s">
        <v>1428</v>
      </c>
      <c r="D1158" s="70" t="s">
        <v>1</v>
      </c>
      <c r="E1158" s="70" t="s">
        <v>1</v>
      </c>
      <c r="F1158" s="70"/>
      <c r="G1158" s="70" t="s">
        <v>61</v>
      </c>
      <c r="H1158" s="70" t="s">
        <v>178</v>
      </c>
      <c r="I1158" s="70" t="s">
        <v>181</v>
      </c>
      <c r="J1158" s="71">
        <f>IF(OR(I1158=0,I1158=""),"unrated",VLOOKUP(I1158,MappingTables!$B$19:$C$31,2,FALSE))</f>
        <v>3</v>
      </c>
      <c r="K1158" s="72">
        <v>3034.3932211324268</v>
      </c>
      <c r="L1158" s="70">
        <v>7.0932286666846856</v>
      </c>
      <c r="M1158" s="71">
        <f>IF(L1158&lt;1,1,L1158)</f>
        <v>7.0932286666846856</v>
      </c>
      <c r="N1158" s="70" t="s">
        <v>141</v>
      </c>
      <c r="O1158" s="71">
        <f>INDEX(DurClassMapping,MATCH(M1158,MappingTables!$D$4:$D$8,-1),1)</f>
        <v>2</v>
      </c>
      <c r="P1158" s="73">
        <f>IF(M1158=$A$1,1,$M1158-INDEX(MappingTables!$E$4:$E$8,MATCH(O1158,MappingTables!$B$4:$B$8,0)))</f>
        <v>2.093228666684686</v>
      </c>
      <c r="Q1158" s="71">
        <f>IF(B1158="",0,INDEX(ModelParameters!$D$6:$K$10,MATCH($O1158,ModelParameters!$B$6:$B$10,0),MATCH($J1158,ModelParameters!$D$5:$K$5,0)))</f>
        <v>0.015</v>
      </c>
      <c r="R1158" s="71">
        <f>IF(B1158="",0,INDEX(ModelParameters!$D$13:$K$17,MATCH($O1158,ModelParameters!$B$13:$B$17,0),MATCH($J1158,ModelParameters!$D$5:$K$5,0)))</f>
        <v>0.125</v>
      </c>
      <c r="S1158" s="160">
        <f>IF(B1158="",0,MIN(IF($N1158="Other Bond TM",ModelParameters!$N$21,1)*(P1158*Q1158+R1158),1))</f>
        <v>0.15639843000027028</v>
      </c>
      <c r="T1158" s="85">
        <f>IF(B1158="",0,$S1158*$K1158)</f>
        <v>474.57433578857456</v>
      </c>
      <c r="U1158" s="85">
        <f>IF(B1158="",0,IF(OR(H1158=MappingTables!$C$34,H1158=MappingTables!$C$35),T1158,0))</f>
        <v>0</v>
      </c>
      <c r="V1158" s="85">
        <f>IF(ISNA(IF(AND(VLOOKUP(CONCATENATE($D1158,$G1158),CSRFinput!$B:$E,4,0)=0,OR(H1158=MappingTables!$C$34,H1158=MappingTables!$C$35)),1,VLOOKUP(CONCATENATE($D1158,$G1158),CSRFinput!$B:$E,4,0))),0,IF(AND(VLOOKUP(CONCATENATE($D1158,$G1158),CSRFinput!$B:$E,4,0)=0,OR(H1158=MappingTables!$C$34,H1158=MappingTables!$C$35)),1,VLOOKUP(CONCATENATE($D1158,$G1158),CSRFinput!$B:$E,4,0)))</f>
        <v>0.054776304963434752</v>
      </c>
      <c r="W1158" s="85">
        <f>IF(B1158="",0,+$T1158*$V1158)</f>
        <v>25.995428544974448</v>
      </c>
      <c r="X1158" s="85">
        <f>IF(B1158="",0,IF(OR(H1158=MappingTables!$C$34,H1158=MappingTables!$C$35),W1158,0))</f>
        <v>0</v>
      </c>
    </row>
    <row r="1159" spans="2:24" s="0" customFormat="0" ht="15">
      <c r="B1159" s="69">
        <v>21107453</v>
      </c>
      <c r="C1159" s="70" t="s">
        <v>1429</v>
      </c>
      <c r="D1159" s="70" t="s">
        <v>1</v>
      </c>
      <c r="E1159" s="70" t="s">
        <v>1</v>
      </c>
      <c r="F1159" s="70"/>
      <c r="G1159" s="70" t="s">
        <v>61</v>
      </c>
      <c r="H1159" s="70" t="s">
        <v>178</v>
      </c>
      <c r="I1159" s="70" t="s">
        <v>184</v>
      </c>
      <c r="J1159" s="71">
        <f>IF(OR(I1159=0,I1159=""),"unrated",VLOOKUP(I1159,MappingTables!$B$19:$C$31,2,FALSE))</f>
        <v>5</v>
      </c>
      <c r="K1159" s="72">
        <v>5088.8909950440224</v>
      </c>
      <c r="L1159" s="70">
        <v>3.4492297913628032</v>
      </c>
      <c r="M1159" s="71">
        <f>IF(L1159&lt;1,1,L1159)</f>
        <v>3.4492297913628032</v>
      </c>
      <c r="N1159" s="70" t="s">
        <v>141</v>
      </c>
      <c r="O1159" s="71">
        <f>INDEX(DurClassMapping,MATCH(M1159,MappingTables!$D$4:$D$8,-1),1)</f>
        <v>1</v>
      </c>
      <c r="P1159" s="73">
        <f>IF(M1159=$A$1,1,$M1159-INDEX(MappingTables!$E$4:$E$8,MATCH(O1159,MappingTables!$B$4:$B$8,0)))</f>
        <v>3.4492297913628032</v>
      </c>
      <c r="Q1159" s="71">
        <f>IF(B1159="",0,INDEX(ModelParameters!$D$6:$K$10,MATCH($O1159,ModelParameters!$B$6:$B$10,0),MATCH($J1159,ModelParameters!$D$5:$K$5,0)))</f>
        <v>0.075</v>
      </c>
      <c r="R1159" s="71">
        <f>IF(B1159="",0,INDEX(ModelParameters!$D$13:$K$17,MATCH($O1159,ModelParameters!$B$13:$B$17,0),MATCH($J1159,ModelParameters!$D$5:$K$5,0)))</f>
        <v>0</v>
      </c>
      <c r="S1159" s="160">
        <f>IF(B1159="",0,MIN(IF($N1159="Other Bond TM",ModelParameters!$N$21,1)*(P1159*Q1159+R1159),1))</f>
        <v>0.25869223435221024</v>
      </c>
      <c r="T1159" s="85">
        <f>IF(B1159="",0,$S1159*$K1159)</f>
        <v>1316.4565818827804</v>
      </c>
      <c r="U1159" s="85">
        <f>IF(B1159="",0,IF(OR(H1159=MappingTables!$C$34,H1159=MappingTables!$C$35),T1159,0))</f>
        <v>0</v>
      </c>
      <c r="V1159" s="85">
        <f>IF(ISNA(IF(AND(VLOOKUP(CONCATENATE($D1159,$G1159),CSRFinput!$B:$E,4,0)=0,OR(H1159=MappingTables!$C$34,H1159=MappingTables!$C$35)),1,VLOOKUP(CONCATENATE($D1159,$G1159),CSRFinput!$B:$E,4,0))),0,IF(AND(VLOOKUP(CONCATENATE($D1159,$G1159),CSRFinput!$B:$E,4,0)=0,OR(H1159=MappingTables!$C$34,H1159=MappingTables!$C$35)),1,VLOOKUP(CONCATENATE($D1159,$G1159),CSRFinput!$B:$E,4,0)))</f>
        <v>0.054776304963434752</v>
      </c>
      <c r="W1159" s="85">
        <f>IF(B1159="",0,+$T1159*$V1159)</f>
        <v>72.110627200332096</v>
      </c>
      <c r="X1159" s="85">
        <f>IF(B1159="",0,IF(OR(H1159=MappingTables!$C$34,H1159=MappingTables!$C$35),W1159,0))</f>
        <v>0</v>
      </c>
    </row>
    <row r="1160" spans="2:24" s="0" customFormat="0" ht="15">
      <c r="B1160" s="69">
        <v>16989337</v>
      </c>
      <c r="C1160" s="70" t="s">
        <v>1430</v>
      </c>
      <c r="D1160" s="70" t="s">
        <v>1</v>
      </c>
      <c r="E1160" s="70" t="s">
        <v>1</v>
      </c>
      <c r="F1160" s="70"/>
      <c r="G1160" s="70" t="s">
        <v>61</v>
      </c>
      <c r="H1160" s="70" t="s">
        <v>178</v>
      </c>
      <c r="I1160" s="70" t="s">
        <v>179</v>
      </c>
      <c r="J1160" s="71">
        <f>IF(OR(I1160=0,I1160=""),"unrated",VLOOKUP(I1160,MappingTables!$B$19:$C$31,2,FALSE))</f>
        <v>4</v>
      </c>
      <c r="K1160" s="72">
        <v>141.1645239745664</v>
      </c>
      <c r="L1160" s="70">
        <v>0.041096045884690552</v>
      </c>
      <c r="M1160" s="71">
        <f>IF(L1160&lt;1,1,L1160)</f>
        <v>1</v>
      </c>
      <c r="N1160" s="70" t="s">
        <v>141</v>
      </c>
      <c r="O1160" s="71">
        <f>INDEX(DurClassMapping,MATCH(M1160,MappingTables!$D$4:$D$8,-1),1)</f>
        <v>1</v>
      </c>
      <c r="P1160" s="73">
        <f>IF(M1160=$A$1,1,$M1160-INDEX(MappingTables!$E$4:$E$8,MATCH(O1160,MappingTables!$B$4:$B$8,0)))</f>
        <v>1</v>
      </c>
      <c r="Q1160" s="71">
        <f>IF(B1160="",0,INDEX(ModelParameters!$D$6:$K$10,MATCH($O1160,ModelParameters!$B$6:$B$10,0),MATCH($J1160,ModelParameters!$D$5:$K$5,0)))</f>
        <v>0.045</v>
      </c>
      <c r="R1160" s="71">
        <f>IF(B1160="",0,INDEX(ModelParameters!$D$13:$K$17,MATCH($O1160,ModelParameters!$B$13:$B$17,0),MATCH($J1160,ModelParameters!$D$5:$K$5,0)))</f>
        <v>0</v>
      </c>
      <c r="S1160" s="160">
        <f>IF(B1160="",0,MIN(IF($N1160="Other Bond TM",ModelParameters!$N$21,1)*(P1160*Q1160+R1160),1))</f>
        <v>0.045</v>
      </c>
      <c r="T1160" s="85">
        <f>IF(B1160="",0,$S1160*$K1160)</f>
        <v>6.352403578855488</v>
      </c>
      <c r="U1160" s="85">
        <f>IF(B1160="",0,IF(OR(H1160=MappingTables!$C$34,H1160=MappingTables!$C$35),T1160,0))</f>
        <v>0</v>
      </c>
      <c r="V1160" s="85">
        <f>IF(ISNA(IF(AND(VLOOKUP(CONCATENATE($D1160,$G1160),CSRFinput!$B:$E,4,0)=0,OR(H1160=MappingTables!$C$34,H1160=MappingTables!$C$35)),1,VLOOKUP(CONCATENATE($D1160,$G1160),CSRFinput!$B:$E,4,0))),0,IF(AND(VLOOKUP(CONCATENATE($D1160,$G1160),CSRFinput!$B:$E,4,0)=0,OR(H1160=MappingTables!$C$34,H1160=MappingTables!$C$35)),1,VLOOKUP(CONCATENATE($D1160,$G1160),CSRFinput!$B:$E,4,0)))</f>
        <v>0.054776304963434752</v>
      </c>
      <c r="W1160" s="85">
        <f>IF(B1160="",0,+$T1160*$V1160)</f>
        <v>0.34796119568620256</v>
      </c>
      <c r="X1160" s="85">
        <f>IF(B1160="",0,IF(OR(H1160=MappingTables!$C$34,H1160=MappingTables!$C$35),W1160,0))</f>
        <v>0</v>
      </c>
    </row>
    <row r="1161" spans="2:24" s="0" customFormat="0" ht="15">
      <c r="B1161" s="69">
        <v>4373134</v>
      </c>
      <c r="C1161" s="70" t="s">
        <v>1431</v>
      </c>
      <c r="D1161" s="70" t="s">
        <v>1</v>
      </c>
      <c r="E1161" s="70" t="s">
        <v>1</v>
      </c>
      <c r="F1161" s="70"/>
      <c r="G1161" s="70" t="s">
        <v>61</v>
      </c>
      <c r="H1161" s="70" t="s">
        <v>178</v>
      </c>
      <c r="I1161" s="70" t="s">
        <v>188</v>
      </c>
      <c r="J1161" s="71">
        <f>IF(OR(I1161=0,I1161=""),"unrated",VLOOKUP(I1161,MappingTables!$B$19:$C$31,2,FALSE))</f>
        <v>2</v>
      </c>
      <c r="K1161" s="72">
        <v>1053048.9349365234</v>
      </c>
      <c r="L1161" s="70">
        <v>1.1379151478320304</v>
      </c>
      <c r="M1161" s="71">
        <f>IF(L1161&lt;1,1,L1161)</f>
        <v>1.1379151478320304</v>
      </c>
      <c r="N1161" s="70" t="s">
        <v>141</v>
      </c>
      <c r="O1161" s="71">
        <f>INDEX(DurClassMapping,MATCH(M1161,MappingTables!$D$4:$D$8,-1),1)</f>
        <v>1</v>
      </c>
      <c r="P1161" s="73">
        <f>IF(M1161=$A$1,1,$M1161-INDEX(MappingTables!$E$4:$E$8,MATCH(O1161,MappingTables!$B$4:$B$8,0)))</f>
        <v>1.1379151478320304</v>
      </c>
      <c r="Q1161" s="71">
        <f>IF(B1161="",0,INDEX(ModelParameters!$D$6:$K$10,MATCH($O1161,ModelParameters!$B$6:$B$10,0),MATCH($J1161,ModelParameters!$D$5:$K$5,0)))</f>
        <v>0.013999999999999998</v>
      </c>
      <c r="R1161" s="71">
        <f>IF(B1161="",0,INDEX(ModelParameters!$D$13:$K$17,MATCH($O1161,ModelParameters!$B$13:$B$17,0),MATCH($J1161,ModelParameters!$D$5:$K$5,0)))</f>
        <v>0</v>
      </c>
      <c r="S1161" s="160">
        <f>IF(B1161="",0,MIN(IF($N1161="Other Bond TM",ModelParameters!$N$21,1)*(P1161*Q1161+R1161),1))</f>
        <v>0.015930812069648424</v>
      </c>
      <c r="T1161" s="85">
        <f>IF(B1161="",0,$S1161*$K1161)</f>
        <v>16775.924682617188</v>
      </c>
      <c r="U1161" s="85">
        <f>IF(B1161="",0,IF(OR(H1161=MappingTables!$C$34,H1161=MappingTables!$C$35),T1161,0))</f>
        <v>0</v>
      </c>
      <c r="V1161" s="85">
        <f>IF(ISNA(IF(AND(VLOOKUP(CONCATENATE($D1161,$G1161),CSRFinput!$B:$E,4,0)=0,OR(H1161=MappingTables!$C$34,H1161=MappingTables!$C$35)),1,VLOOKUP(CONCATENATE($D1161,$G1161),CSRFinput!$B:$E,4,0))),0,IF(AND(VLOOKUP(CONCATENATE($D1161,$G1161),CSRFinput!$B:$E,4,0)=0,OR(H1161=MappingTables!$C$34,H1161=MappingTables!$C$35)),1,VLOOKUP(CONCATENATE($D1161,$G1161),CSRFinput!$B:$E,4,0)))</f>
        <v>0.054776304963434752</v>
      </c>
      <c r="W1161" s="85">
        <f>IF(B1161="",0,+$T1161*$V1161)</f>
        <v>918.92316645865136</v>
      </c>
      <c r="X1161" s="85">
        <f>IF(B1161="",0,IF(OR(H1161=MappingTables!$C$34,H1161=MappingTables!$C$35),W1161,0))</f>
        <v>0</v>
      </c>
    </row>
    <row r="1162" spans="2:24" s="0" customFormat="0" ht="15">
      <c r="B1162" s="69">
        <v>14691120</v>
      </c>
      <c r="C1162" s="70" t="s">
        <v>1432</v>
      </c>
      <c r="D1162" s="70" t="s">
        <v>1</v>
      </c>
      <c r="E1162" s="70" t="s">
        <v>1</v>
      </c>
      <c r="F1162" s="70"/>
      <c r="G1162" s="70" t="s">
        <v>61</v>
      </c>
      <c r="H1162" s="70" t="s">
        <v>178</v>
      </c>
      <c r="I1162" s="70" t="s">
        <v>188</v>
      </c>
      <c r="J1162" s="71">
        <f>IF(OR(I1162=0,I1162=""),"unrated",VLOOKUP(I1162,MappingTables!$B$19:$C$31,2,FALSE))</f>
        <v>2</v>
      </c>
      <c r="K1162" s="72">
        <v>194.74418220973508</v>
      </c>
      <c r="L1162" s="70">
        <v>1.613893815291292</v>
      </c>
      <c r="M1162" s="71">
        <f>IF(L1162&lt;1,1,L1162)</f>
        <v>1.613893815291292</v>
      </c>
      <c r="N1162" s="70" t="s">
        <v>141</v>
      </c>
      <c r="O1162" s="71">
        <f>INDEX(DurClassMapping,MATCH(M1162,MappingTables!$D$4:$D$8,-1),1)</f>
        <v>1</v>
      </c>
      <c r="P1162" s="73">
        <f>IF(M1162=$A$1,1,$M1162-INDEX(MappingTables!$E$4:$E$8,MATCH(O1162,MappingTables!$B$4:$B$8,0)))</f>
        <v>1.613893815291292</v>
      </c>
      <c r="Q1162" s="71">
        <f>IF(B1162="",0,INDEX(ModelParameters!$D$6:$K$10,MATCH($O1162,ModelParameters!$B$6:$B$10,0),MATCH($J1162,ModelParameters!$D$5:$K$5,0)))</f>
        <v>0.013999999999999998</v>
      </c>
      <c r="R1162" s="71">
        <f>IF(B1162="",0,INDEX(ModelParameters!$D$13:$K$17,MATCH($O1162,ModelParameters!$B$13:$B$17,0),MATCH($J1162,ModelParameters!$D$5:$K$5,0)))</f>
        <v>0</v>
      </c>
      <c r="S1162" s="160">
        <f>IF(B1162="",0,MIN(IF($N1162="Other Bond TM",ModelParameters!$N$21,1)*(P1162*Q1162+R1162),1))</f>
        <v>0.022594513414078088</v>
      </c>
      <c r="T1162" s="85">
        <f>IF(B1162="",0,$S1162*$K1162)</f>
        <v>4.4001500372515264</v>
      </c>
      <c r="U1162" s="85">
        <f>IF(B1162="",0,IF(OR(H1162=MappingTables!$C$34,H1162=MappingTables!$C$35),T1162,0))</f>
        <v>0</v>
      </c>
      <c r="V1162" s="85">
        <f>IF(ISNA(IF(AND(VLOOKUP(CONCATENATE($D1162,$G1162),CSRFinput!$B:$E,4,0)=0,OR(H1162=MappingTables!$C$34,H1162=MappingTables!$C$35)),1,VLOOKUP(CONCATENATE($D1162,$G1162),CSRFinput!$B:$E,4,0))),0,IF(AND(VLOOKUP(CONCATENATE($D1162,$G1162),CSRFinput!$B:$E,4,0)=0,OR(H1162=MappingTables!$C$34,H1162=MappingTables!$C$35)),1,VLOOKUP(CONCATENATE($D1162,$G1162),CSRFinput!$B:$E,4,0)))</f>
        <v>0.054776304963434752</v>
      </c>
      <c r="W1162" s="85">
        <f>IF(B1162="",0,+$T1162*$V1162)</f>
        <v>0.2410239603253584</v>
      </c>
      <c r="X1162" s="85">
        <f>IF(B1162="",0,IF(OR(H1162=MappingTables!$C$34,H1162=MappingTables!$C$35),W1162,0))</f>
        <v>0</v>
      </c>
    </row>
    <row r="1163" spans="2:24" s="0" customFormat="0" ht="15">
      <c r="B1163" s="69">
        <v>14496882</v>
      </c>
      <c r="C1163" s="70" t="s">
        <v>1433</v>
      </c>
      <c r="D1163" s="70" t="s">
        <v>1</v>
      </c>
      <c r="E1163" s="70" t="s">
        <v>1</v>
      </c>
      <c r="F1163" s="70"/>
      <c r="G1163" s="70" t="s">
        <v>61</v>
      </c>
      <c r="H1163" s="70" t="s">
        <v>178</v>
      </c>
      <c r="I1163" s="70" t="s">
        <v>184</v>
      </c>
      <c r="J1163" s="71">
        <f>IF(OR(I1163=0,I1163=""),"unrated",VLOOKUP(I1163,MappingTables!$B$19:$C$31,2,FALSE))</f>
        <v>5</v>
      </c>
      <c r="K1163" s="72">
        <v>119.47096143521536</v>
      </c>
      <c r="L1163" s="70">
        <v>1.26140784339566</v>
      </c>
      <c r="M1163" s="71">
        <f>IF(L1163&lt;1,1,L1163)</f>
        <v>1.26140784339566</v>
      </c>
      <c r="N1163" s="70" t="s">
        <v>141</v>
      </c>
      <c r="O1163" s="71">
        <f>INDEX(DurClassMapping,MATCH(M1163,MappingTables!$D$4:$D$8,-1),1)</f>
        <v>1</v>
      </c>
      <c r="P1163" s="73">
        <f>IF(M1163=$A$1,1,$M1163-INDEX(MappingTables!$E$4:$E$8,MATCH(O1163,MappingTables!$B$4:$B$8,0)))</f>
        <v>1.26140784339566</v>
      </c>
      <c r="Q1163" s="71">
        <f>IF(B1163="",0,INDEX(ModelParameters!$D$6:$K$10,MATCH($O1163,ModelParameters!$B$6:$B$10,0),MATCH($J1163,ModelParameters!$D$5:$K$5,0)))</f>
        <v>0.075</v>
      </c>
      <c r="R1163" s="71">
        <f>IF(B1163="",0,INDEX(ModelParameters!$D$13:$K$17,MATCH($O1163,ModelParameters!$B$13:$B$17,0),MATCH($J1163,ModelParameters!$D$5:$K$5,0)))</f>
        <v>0</v>
      </c>
      <c r="S1163" s="160">
        <f>IF(B1163="",0,MIN(IF($N1163="Other Bond TM",ModelParameters!$N$21,1)*(P1163*Q1163+R1163),1))</f>
        <v>0.094605588254674496</v>
      </c>
      <c r="T1163" s="85">
        <f>IF(B1163="",0,$S1163*$K1163)</f>
        <v>11.302620585930078</v>
      </c>
      <c r="U1163" s="85">
        <f>IF(B1163="",0,IF(OR(H1163=MappingTables!$C$34,H1163=MappingTables!$C$35),T1163,0))</f>
        <v>0</v>
      </c>
      <c r="V1163" s="85">
        <f>IF(ISNA(IF(AND(VLOOKUP(CONCATENATE($D1163,$G1163),CSRFinput!$B:$E,4,0)=0,OR(H1163=MappingTables!$C$34,H1163=MappingTables!$C$35)),1,VLOOKUP(CONCATENATE($D1163,$G1163),CSRFinput!$B:$E,4,0))),0,IF(AND(VLOOKUP(CONCATENATE($D1163,$G1163),CSRFinput!$B:$E,4,0)=0,OR(H1163=MappingTables!$C$34,H1163=MappingTables!$C$35)),1,VLOOKUP(CONCATENATE($D1163,$G1163),CSRFinput!$B:$E,4,0)))</f>
        <v>0.054776304963434752</v>
      </c>
      <c r="W1163" s="85">
        <f>IF(B1163="",0,+$T1163*$V1163)</f>
        <v>0.6191157921009016</v>
      </c>
      <c r="X1163" s="85">
        <f>IF(B1163="",0,IF(OR(H1163=MappingTables!$C$34,H1163=MappingTables!$C$35),W1163,0))</f>
        <v>0</v>
      </c>
    </row>
    <row r="1164" spans="2:24" s="0" customFormat="0" ht="15">
      <c r="B1164" s="69">
        <v>15769826</v>
      </c>
      <c r="C1164" s="70" t="s">
        <v>1434</v>
      </c>
      <c r="D1164" s="70" t="s">
        <v>1</v>
      </c>
      <c r="E1164" s="70" t="s">
        <v>1</v>
      </c>
      <c r="F1164" s="70"/>
      <c r="G1164" s="70" t="s">
        <v>61</v>
      </c>
      <c r="H1164" s="70" t="s">
        <v>178</v>
      </c>
      <c r="I1164" s="70" t="s">
        <v>181</v>
      </c>
      <c r="J1164" s="71">
        <f>IF(OR(I1164=0,I1164=""),"unrated",VLOOKUP(I1164,MappingTables!$B$19:$C$31,2,FALSE))</f>
        <v>3</v>
      </c>
      <c r="K1164" s="72">
        <v>13174.677559763592</v>
      </c>
      <c r="L1164" s="70">
        <v>6.2950959128482856</v>
      </c>
      <c r="M1164" s="71">
        <f>IF(L1164&lt;1,1,L1164)</f>
        <v>6.2950959128482856</v>
      </c>
      <c r="N1164" s="70" t="s">
        <v>141</v>
      </c>
      <c r="O1164" s="71">
        <f>INDEX(DurClassMapping,MATCH(M1164,MappingTables!$D$4:$D$8,-1),1)</f>
        <v>2</v>
      </c>
      <c r="P1164" s="73">
        <f>IF(M1164=$A$1,1,$M1164-INDEX(MappingTables!$E$4:$E$8,MATCH(O1164,MappingTables!$B$4:$B$8,0)))</f>
        <v>1.2950959128482858</v>
      </c>
      <c r="Q1164" s="71">
        <f>IF(B1164="",0,INDEX(ModelParameters!$D$6:$K$10,MATCH($O1164,ModelParameters!$B$6:$B$10,0),MATCH($J1164,ModelParameters!$D$5:$K$5,0)))</f>
        <v>0.015</v>
      </c>
      <c r="R1164" s="71">
        <f>IF(B1164="",0,INDEX(ModelParameters!$D$13:$K$17,MATCH($O1164,ModelParameters!$B$13:$B$17,0),MATCH($J1164,ModelParameters!$D$5:$K$5,0)))</f>
        <v>0.125</v>
      </c>
      <c r="S1164" s="160">
        <f>IF(B1164="",0,MIN(IF($N1164="Other Bond TM",ModelParameters!$N$21,1)*(P1164*Q1164+R1164),1))</f>
        <v>0.14442643869272428</v>
      </c>
      <c r="T1164" s="85">
        <f>IF(B1164="",0,$S1164*$K1164)</f>
        <v>1902.7717608816068</v>
      </c>
      <c r="U1164" s="85">
        <f>IF(B1164="",0,IF(OR(H1164=MappingTables!$C$34,H1164=MappingTables!$C$35),T1164,0))</f>
        <v>0</v>
      </c>
      <c r="V1164" s="85">
        <f>IF(ISNA(IF(AND(VLOOKUP(CONCATENATE($D1164,$G1164),CSRFinput!$B:$E,4,0)=0,OR(H1164=MappingTables!$C$34,H1164=MappingTables!$C$35)),1,VLOOKUP(CONCATENATE($D1164,$G1164),CSRFinput!$B:$E,4,0))),0,IF(AND(VLOOKUP(CONCATENATE($D1164,$G1164),CSRFinput!$B:$E,4,0)=0,OR(H1164=MappingTables!$C$34,H1164=MappingTables!$C$35)),1,VLOOKUP(CONCATENATE($D1164,$G1164),CSRFinput!$B:$E,4,0)))</f>
        <v>0.054776304963434752</v>
      </c>
      <c r="W1164" s="85">
        <f>IF(B1164="",0,+$T1164*$V1164)</f>
        <v>104.22680624986264</v>
      </c>
      <c r="X1164" s="85">
        <f>IF(B1164="",0,IF(OR(H1164=MappingTables!$C$34,H1164=MappingTables!$C$35),W1164,0))</f>
        <v>0</v>
      </c>
    </row>
    <row r="1165" spans="2:24" s="0" customFormat="0" ht="15">
      <c r="B1165" s="69">
        <v>24188545</v>
      </c>
      <c r="C1165" s="70" t="s">
        <v>634</v>
      </c>
      <c r="D1165" s="70" t="s">
        <v>1</v>
      </c>
      <c r="E1165" s="70" t="s">
        <v>1</v>
      </c>
      <c r="F1165" s="70"/>
      <c r="G1165" s="70" t="s">
        <v>61</v>
      </c>
      <c r="H1165" s="70" t="s">
        <v>178</v>
      </c>
      <c r="I1165" s="70" t="s">
        <v>188</v>
      </c>
      <c r="J1165" s="71">
        <f>IF(OR(I1165=0,I1165=""),"unrated",VLOOKUP(I1165,MappingTables!$B$19:$C$31,2,FALSE))</f>
        <v>2</v>
      </c>
      <c r="K1165" s="72">
        <v>154.41019892310712</v>
      </c>
      <c r="L1165" s="70">
        <v>1.6394727037968788</v>
      </c>
      <c r="M1165" s="71">
        <f>IF(L1165&lt;1,1,L1165)</f>
        <v>1.6394727037968788</v>
      </c>
      <c r="N1165" s="70" t="s">
        <v>141</v>
      </c>
      <c r="O1165" s="71">
        <f>INDEX(DurClassMapping,MATCH(M1165,MappingTables!$D$4:$D$8,-1),1)</f>
        <v>1</v>
      </c>
      <c r="P1165" s="73">
        <f>IF(M1165=$A$1,1,$M1165-INDEX(MappingTables!$E$4:$E$8,MATCH(O1165,MappingTables!$B$4:$B$8,0)))</f>
        <v>1.6394727037968788</v>
      </c>
      <c r="Q1165" s="71">
        <f>IF(B1165="",0,INDEX(ModelParameters!$D$6:$K$10,MATCH($O1165,ModelParameters!$B$6:$B$10,0),MATCH($J1165,ModelParameters!$D$5:$K$5,0)))</f>
        <v>0.013999999999999998</v>
      </c>
      <c r="R1165" s="71">
        <f>IF(B1165="",0,INDEX(ModelParameters!$D$13:$K$17,MATCH($O1165,ModelParameters!$B$13:$B$17,0),MATCH($J1165,ModelParameters!$D$5:$K$5,0)))</f>
        <v>0</v>
      </c>
      <c r="S1165" s="160">
        <f>IF(B1165="",0,MIN(IF($N1165="Other Bond TM",ModelParameters!$N$21,1)*(P1165*Q1165+R1165),1))</f>
        <v>0.0229526178531563</v>
      </c>
      <c r="T1165" s="85">
        <f>IF(B1165="",0,$S1165*$K1165)</f>
        <v>3.5441182885119244</v>
      </c>
      <c r="U1165" s="85">
        <f>IF(B1165="",0,IF(OR(H1165=MappingTables!$C$34,H1165=MappingTables!$C$35),T1165,0))</f>
        <v>0</v>
      </c>
      <c r="V1165" s="85">
        <f>IF(ISNA(IF(AND(VLOOKUP(CONCATENATE($D1165,$G1165),CSRFinput!$B:$E,4,0)=0,OR(H1165=MappingTables!$C$34,H1165=MappingTables!$C$35)),1,VLOOKUP(CONCATENATE($D1165,$G1165),CSRFinput!$B:$E,4,0))),0,IF(AND(VLOOKUP(CONCATENATE($D1165,$G1165),CSRFinput!$B:$E,4,0)=0,OR(H1165=MappingTables!$C$34,H1165=MappingTables!$C$35)),1,VLOOKUP(CONCATENATE($D1165,$G1165),CSRFinput!$B:$E,4,0)))</f>
        <v>0.054776304963434752</v>
      </c>
      <c r="W1165" s="85">
        <f>IF(B1165="",0,+$T1165*$V1165)</f>
        <v>0.1941337041980156</v>
      </c>
      <c r="X1165" s="85">
        <f>IF(B1165="",0,IF(OR(H1165=MappingTables!$C$34,H1165=MappingTables!$C$35),W1165,0))</f>
        <v>0</v>
      </c>
    </row>
    <row r="1166" spans="2:24" s="0" customFormat="0" ht="15">
      <c r="B1166" s="69" t="s">
        <v>1435</v>
      </c>
      <c r="C1166" s="70" t="s">
        <v>1436</v>
      </c>
      <c r="D1166" s="70" t="s">
        <v>1</v>
      </c>
      <c r="E1166" s="70" t="s">
        <v>1</v>
      </c>
      <c r="F1166" s="70"/>
      <c r="G1166" s="70" t="s">
        <v>61</v>
      </c>
      <c r="H1166" s="70" t="s">
        <v>178</v>
      </c>
      <c r="I1166" s="70" t="s">
        <v>179</v>
      </c>
      <c r="J1166" s="71">
        <f>IF(OR(I1166=0,I1166=""),"unrated",VLOOKUP(I1166,MappingTables!$B$19:$C$31,2,FALSE))</f>
        <v>4</v>
      </c>
      <c r="K1166" s="72">
        <v>11982.707553377354</v>
      </c>
      <c r="L1166" s="70">
        <v>3.2547551439206416</v>
      </c>
      <c r="M1166" s="71">
        <f>IF(L1166&lt;1,1,L1166)</f>
        <v>3.2547551439206416</v>
      </c>
      <c r="N1166" s="70" t="s">
        <v>141</v>
      </c>
      <c r="O1166" s="71">
        <f>INDEX(DurClassMapping,MATCH(M1166,MappingTables!$D$4:$D$8,-1),1)</f>
        <v>1</v>
      </c>
      <c r="P1166" s="73">
        <f>IF(M1166=$A$1,1,$M1166-INDEX(MappingTables!$E$4:$E$8,MATCH(O1166,MappingTables!$B$4:$B$8,0)))</f>
        <v>3.2547551439206416</v>
      </c>
      <c r="Q1166" s="71">
        <f>IF(B1166="",0,INDEX(ModelParameters!$D$6:$K$10,MATCH($O1166,ModelParameters!$B$6:$B$10,0),MATCH($J1166,ModelParameters!$D$5:$K$5,0)))</f>
        <v>0.045</v>
      </c>
      <c r="R1166" s="71">
        <f>IF(B1166="",0,INDEX(ModelParameters!$D$13:$K$17,MATCH($O1166,ModelParameters!$B$13:$B$17,0),MATCH($J1166,ModelParameters!$D$5:$K$5,0)))</f>
        <v>0</v>
      </c>
      <c r="S1166" s="160">
        <f>IF(B1166="",0,MIN(IF($N1166="Other Bond TM",ModelParameters!$N$21,1)*(P1166*Q1166+R1166),1))</f>
        <v>0.14646398147642886</v>
      </c>
      <c r="T1166" s="85">
        <f>IF(B1166="",0,$S1166*$K1166)</f>
        <v>1755.035057135325</v>
      </c>
      <c r="U1166" s="85">
        <f>IF(B1166="",0,IF(OR(H1166=MappingTables!$C$34,H1166=MappingTables!$C$35),T1166,0))</f>
        <v>0</v>
      </c>
      <c r="V1166" s="85">
        <f>IF(ISNA(IF(AND(VLOOKUP(CONCATENATE($D1166,$G1166),CSRFinput!$B:$E,4,0)=0,OR(H1166=MappingTables!$C$34,H1166=MappingTables!$C$35)),1,VLOOKUP(CONCATENATE($D1166,$G1166),CSRFinput!$B:$E,4,0))),0,IF(AND(VLOOKUP(CONCATENATE($D1166,$G1166),CSRFinput!$B:$E,4,0)=0,OR(H1166=MappingTables!$C$34,H1166=MappingTables!$C$35)),1,VLOOKUP(CONCATENATE($D1166,$G1166),CSRFinput!$B:$E,4,0)))</f>
        <v>0.054776304963434752</v>
      </c>
      <c r="W1166" s="85">
        <f>IF(B1166="",0,+$T1166*$V1166)</f>
        <v>96.134335511163696</v>
      </c>
      <c r="X1166" s="85">
        <f>IF(B1166="",0,IF(OR(H1166=MappingTables!$C$34,H1166=MappingTables!$C$35),W1166,0))</f>
        <v>0</v>
      </c>
    </row>
    <row r="1167" spans="2:24" s="0" customFormat="0" ht="15">
      <c r="B1167" s="69" t="s">
        <v>1437</v>
      </c>
      <c r="C1167" s="70" t="s">
        <v>1438</v>
      </c>
      <c r="D1167" s="70" t="s">
        <v>1</v>
      </c>
      <c r="E1167" s="70" t="s">
        <v>1</v>
      </c>
      <c r="F1167" s="70"/>
      <c r="G1167" s="70" t="s">
        <v>61</v>
      </c>
      <c r="H1167" s="70" t="s">
        <v>178</v>
      </c>
      <c r="I1167" s="70" t="s">
        <v>181</v>
      </c>
      <c r="J1167" s="71">
        <f>IF(OR(I1167=0,I1167=""),"unrated",VLOOKUP(I1167,MappingTables!$B$19:$C$31,2,FALSE))</f>
        <v>3</v>
      </c>
      <c r="K1167" s="72">
        <v>1701.078246174835</v>
      </c>
      <c r="L1167" s="70">
        <v>1.5243639007227132</v>
      </c>
      <c r="M1167" s="71">
        <f>IF(L1167&lt;1,1,L1167)</f>
        <v>1.5243639007227132</v>
      </c>
      <c r="N1167" s="70" t="s">
        <v>141</v>
      </c>
      <c r="O1167" s="71">
        <f>INDEX(DurClassMapping,MATCH(M1167,MappingTables!$D$4:$D$8,-1),1)</f>
        <v>1</v>
      </c>
      <c r="P1167" s="73">
        <f>IF(M1167=$A$1,1,$M1167-INDEX(MappingTables!$E$4:$E$8,MATCH(O1167,MappingTables!$B$4:$B$8,0)))</f>
        <v>1.5243639007227132</v>
      </c>
      <c r="Q1167" s="71">
        <f>IF(B1167="",0,INDEX(ModelParameters!$D$6:$K$10,MATCH($O1167,ModelParameters!$B$6:$B$10,0),MATCH($J1167,ModelParameters!$D$5:$K$5,0)))</f>
        <v>0.025</v>
      </c>
      <c r="R1167" s="71">
        <f>IF(B1167="",0,INDEX(ModelParameters!$D$13:$K$17,MATCH($O1167,ModelParameters!$B$13:$B$17,0),MATCH($J1167,ModelParameters!$D$5:$K$5,0)))</f>
        <v>0</v>
      </c>
      <c r="S1167" s="160">
        <f>IF(B1167="",0,MIN(IF($N1167="Other Bond TM",ModelParameters!$N$21,1)*(P1167*Q1167+R1167),1))</f>
        <v>0.038109097518067832</v>
      </c>
      <c r="T1167" s="85">
        <f>IF(B1167="",0,$S1167*$K1167)</f>
        <v>64.826556769340584</v>
      </c>
      <c r="U1167" s="85">
        <f>IF(B1167="",0,IF(OR(H1167=MappingTables!$C$34,H1167=MappingTables!$C$35),T1167,0))</f>
        <v>0</v>
      </c>
      <c r="V1167" s="85">
        <f>IF(ISNA(IF(AND(VLOOKUP(CONCATENATE($D1167,$G1167),CSRFinput!$B:$E,4,0)=0,OR(H1167=MappingTables!$C$34,H1167=MappingTables!$C$35)),1,VLOOKUP(CONCATENATE($D1167,$G1167),CSRFinput!$B:$E,4,0))),0,IF(AND(VLOOKUP(CONCATENATE($D1167,$G1167),CSRFinput!$B:$E,4,0)=0,OR(H1167=MappingTables!$C$34,H1167=MappingTables!$C$35)),1,VLOOKUP(CONCATENATE($D1167,$G1167),CSRFinput!$B:$E,4,0)))</f>
        <v>0.054776304963434752</v>
      </c>
      <c r="W1167" s="85">
        <f>IF(B1167="",0,+$T1167*$V1167)</f>
        <v>3.5509592433268152</v>
      </c>
      <c r="X1167" s="85">
        <f>IF(B1167="",0,IF(OR(H1167=MappingTables!$C$34,H1167=MappingTables!$C$35),W1167,0))</f>
        <v>0</v>
      </c>
    </row>
    <row r="1168" spans="2:24" s="0" customFormat="0" ht="15">
      <c r="B1168" s="69">
        <v>20658179</v>
      </c>
      <c r="C1168" s="70" t="s">
        <v>1439</v>
      </c>
      <c r="D1168" s="70" t="s">
        <v>1</v>
      </c>
      <c r="E1168" s="70" t="s">
        <v>1</v>
      </c>
      <c r="F1168" s="70"/>
      <c r="G1168" s="70" t="s">
        <v>61</v>
      </c>
      <c r="H1168" s="70" t="s">
        <v>178</v>
      </c>
      <c r="I1168" s="70" t="s">
        <v>179</v>
      </c>
      <c r="J1168" s="71">
        <f>IF(OR(I1168=0,I1168=""),"unrated",VLOOKUP(I1168,MappingTables!$B$19:$C$31,2,FALSE))</f>
        <v>4</v>
      </c>
      <c r="K1168" s="72">
        <v>1003.5730562577746</v>
      </c>
      <c r="L1168" s="70">
        <v>5.2049829519054296</v>
      </c>
      <c r="M1168" s="71">
        <f>IF(L1168&lt;1,1,L1168)</f>
        <v>5.2049829519054296</v>
      </c>
      <c r="N1168" s="70" t="s">
        <v>141</v>
      </c>
      <c r="O1168" s="71">
        <f>INDEX(DurClassMapping,MATCH(M1168,MappingTables!$D$4:$D$8,-1),1)</f>
        <v>2</v>
      </c>
      <c r="P1168" s="73">
        <f>IF(M1168=$A$1,1,$M1168-INDEX(MappingTables!$E$4:$E$8,MATCH(O1168,MappingTables!$B$4:$B$8,0)))</f>
        <v>0.20498295190542936</v>
      </c>
      <c r="Q1168" s="71">
        <f>IF(B1168="",0,INDEX(ModelParameters!$D$6:$K$10,MATCH($O1168,ModelParameters!$B$6:$B$10,0),MATCH($J1168,ModelParameters!$D$5:$K$5,0)))</f>
        <v>0.025</v>
      </c>
      <c r="R1168" s="71">
        <f>IF(B1168="",0,INDEX(ModelParameters!$D$13:$K$17,MATCH($O1168,ModelParameters!$B$13:$B$17,0),MATCH($J1168,ModelParameters!$D$5:$K$5,0)))</f>
        <v>0.225</v>
      </c>
      <c r="S1168" s="160">
        <f>IF(B1168="",0,MIN(IF($N1168="Other Bond TM",ModelParameters!$N$21,1)*(P1168*Q1168+R1168),1))</f>
        <v>0.23012457379763572</v>
      </c>
      <c r="T1168" s="85">
        <f>IF(B1168="",0,$S1168*$K1168)</f>
        <v>230.94682184611112</v>
      </c>
      <c r="U1168" s="85">
        <f>IF(B1168="",0,IF(OR(H1168=MappingTables!$C$34,H1168=MappingTables!$C$35),T1168,0))</f>
        <v>0</v>
      </c>
      <c r="V1168" s="85">
        <f>IF(ISNA(IF(AND(VLOOKUP(CONCATENATE($D1168,$G1168),CSRFinput!$B:$E,4,0)=0,OR(H1168=MappingTables!$C$34,H1168=MappingTables!$C$35)),1,VLOOKUP(CONCATENATE($D1168,$G1168),CSRFinput!$B:$E,4,0))),0,IF(AND(VLOOKUP(CONCATENATE($D1168,$G1168),CSRFinput!$B:$E,4,0)=0,OR(H1168=MappingTables!$C$34,H1168=MappingTables!$C$35)),1,VLOOKUP(CONCATENATE($D1168,$G1168),CSRFinput!$B:$E,4,0)))</f>
        <v>0.054776304963434752</v>
      </c>
      <c r="W1168" s="85">
        <f>IF(B1168="",0,+$T1168*$V1168)</f>
        <v>12.650413543778618</v>
      </c>
      <c r="X1168" s="85">
        <f>IF(B1168="",0,IF(OR(H1168=MappingTables!$C$34,H1168=MappingTables!$C$35),W1168,0))</f>
        <v>0</v>
      </c>
    </row>
    <row r="1169" spans="2:24" s="0" customFormat="0" ht="15">
      <c r="B1169" s="69">
        <v>21092295</v>
      </c>
      <c r="C1169" s="70" t="s">
        <v>1440</v>
      </c>
      <c r="D1169" s="70" t="s">
        <v>1</v>
      </c>
      <c r="E1169" s="70" t="s">
        <v>1</v>
      </c>
      <c r="F1169" s="70"/>
      <c r="G1169" s="70" t="s">
        <v>61</v>
      </c>
      <c r="H1169" s="70" t="s">
        <v>178</v>
      </c>
      <c r="I1169" s="70" t="s">
        <v>179</v>
      </c>
      <c r="J1169" s="71">
        <f>IF(OR(I1169=0,I1169=""),"unrated",VLOOKUP(I1169,MappingTables!$B$19:$C$31,2,FALSE))</f>
        <v>4</v>
      </c>
      <c r="K1169" s="72">
        <v>62577.681998265192</v>
      </c>
      <c r="L1169" s="70">
        <v>6.7849523634011784</v>
      </c>
      <c r="M1169" s="71">
        <f>IF(L1169&lt;1,1,L1169)</f>
        <v>6.7849523634011784</v>
      </c>
      <c r="N1169" s="70" t="s">
        <v>141</v>
      </c>
      <c r="O1169" s="71">
        <f>INDEX(DurClassMapping,MATCH(M1169,MappingTables!$D$4:$D$8,-1),1)</f>
        <v>2</v>
      </c>
      <c r="P1169" s="73">
        <f>IF(M1169=$A$1,1,$M1169-INDEX(MappingTables!$E$4:$E$8,MATCH(O1169,MappingTables!$B$4:$B$8,0)))</f>
        <v>1.7849523634011782</v>
      </c>
      <c r="Q1169" s="71">
        <f>IF(B1169="",0,INDEX(ModelParameters!$D$6:$K$10,MATCH($O1169,ModelParameters!$B$6:$B$10,0),MATCH($J1169,ModelParameters!$D$5:$K$5,0)))</f>
        <v>0.025</v>
      </c>
      <c r="R1169" s="71">
        <f>IF(B1169="",0,INDEX(ModelParameters!$D$13:$K$17,MATCH($O1169,ModelParameters!$B$13:$B$17,0),MATCH($J1169,ModelParameters!$D$5:$K$5,0)))</f>
        <v>0.225</v>
      </c>
      <c r="S1169" s="160">
        <f>IF(B1169="",0,MIN(IF($N1169="Other Bond TM",ModelParameters!$N$21,1)*(P1169*Q1169+R1169),1))</f>
        <v>0.26962380908502948</v>
      </c>
      <c r="T1169" s="85">
        <f>IF(B1169="",0,$S1169*$K1169)</f>
        <v>16872.432984083942</v>
      </c>
      <c r="U1169" s="85">
        <f>IF(B1169="",0,IF(OR(H1169=MappingTables!$C$34,H1169=MappingTables!$C$35),T1169,0))</f>
        <v>0</v>
      </c>
      <c r="V1169" s="85">
        <f>IF(ISNA(IF(AND(VLOOKUP(CONCATENATE($D1169,$G1169),CSRFinput!$B:$E,4,0)=0,OR(H1169=MappingTables!$C$34,H1169=MappingTables!$C$35)),1,VLOOKUP(CONCATENATE($D1169,$G1169),CSRFinput!$B:$E,4,0))),0,IF(AND(VLOOKUP(CONCATENATE($D1169,$G1169),CSRFinput!$B:$E,4,0)=0,OR(H1169=MappingTables!$C$34,H1169=MappingTables!$C$35)),1,VLOOKUP(CONCATENATE($D1169,$G1169),CSRFinput!$B:$E,4,0)))</f>
        <v>0.054776304963434752</v>
      </c>
      <c r="W1169" s="85">
        <f>IF(B1169="",0,+$T1169*$V1169)</f>
        <v>924.20953461129744</v>
      </c>
      <c r="X1169" s="85">
        <f>IF(B1169="",0,IF(OR(H1169=MappingTables!$C$34,H1169=MappingTables!$C$35),W1169,0))</f>
        <v>0</v>
      </c>
    </row>
    <row r="1170" spans="2:24" s="0" customFormat="0" ht="15">
      <c r="B1170" s="69">
        <v>22301296</v>
      </c>
      <c r="C1170" s="70" t="s">
        <v>1441</v>
      </c>
      <c r="D1170" s="70" t="s">
        <v>1</v>
      </c>
      <c r="E1170" s="70" t="s">
        <v>1</v>
      </c>
      <c r="F1170" s="70"/>
      <c r="G1170" s="70" t="s">
        <v>61</v>
      </c>
      <c r="H1170" s="70" t="s">
        <v>178</v>
      </c>
      <c r="I1170" s="70" t="s">
        <v>181</v>
      </c>
      <c r="J1170" s="71">
        <f>IF(OR(I1170=0,I1170=""),"unrated",VLOOKUP(I1170,MappingTables!$B$19:$C$31,2,FALSE))</f>
        <v>3</v>
      </c>
      <c r="K1170" s="72">
        <v>73767.727017195184</v>
      </c>
      <c r="L1170" s="70">
        <v>10.521663411773578</v>
      </c>
      <c r="M1170" s="71">
        <f>IF(L1170&lt;1,1,L1170)</f>
        <v>10.521663411773578</v>
      </c>
      <c r="N1170" s="70" t="s">
        <v>141</v>
      </c>
      <c r="O1170" s="71">
        <f>INDEX(DurClassMapping,MATCH(M1170,MappingTables!$D$4:$D$8,-1),1)</f>
        <v>3</v>
      </c>
      <c r="P1170" s="73">
        <f>IF(M1170=$A$1,1,$M1170-INDEX(MappingTables!$E$4:$E$8,MATCH(O1170,MappingTables!$B$4:$B$8,0)))</f>
        <v>0.5216634117735772</v>
      </c>
      <c r="Q1170" s="71">
        <f>IF(B1170="",0,INDEX(ModelParameters!$D$6:$K$10,MATCH($O1170,ModelParameters!$B$6:$B$10,0),MATCH($J1170,ModelParameters!$D$5:$K$5,0)))</f>
        <v>0.01</v>
      </c>
      <c r="R1170" s="71">
        <f>IF(B1170="",0,INDEX(ModelParameters!$D$13:$K$17,MATCH($O1170,ModelParameters!$B$13:$B$17,0),MATCH($J1170,ModelParameters!$D$5:$K$5,0)))</f>
        <v>0.2</v>
      </c>
      <c r="S1170" s="160">
        <f>IF(B1170="",0,MIN(IF($N1170="Other Bond TM",ModelParameters!$N$21,1)*(P1170*Q1170+R1170),1))</f>
        <v>0.20521663411773576</v>
      </c>
      <c r="T1170" s="85">
        <f>IF(B1170="",0,$S1170*$K1170)</f>
        <v>15138.364644984756</v>
      </c>
      <c r="U1170" s="85">
        <f>IF(B1170="",0,IF(OR(H1170=MappingTables!$C$34,H1170=MappingTables!$C$35),T1170,0))</f>
        <v>0</v>
      </c>
      <c r="V1170" s="85">
        <f>IF(ISNA(IF(AND(VLOOKUP(CONCATENATE($D1170,$G1170),CSRFinput!$B:$E,4,0)=0,OR(H1170=MappingTables!$C$34,H1170=MappingTables!$C$35)),1,VLOOKUP(CONCATENATE($D1170,$G1170),CSRFinput!$B:$E,4,0))),0,IF(AND(VLOOKUP(CONCATENATE($D1170,$G1170),CSRFinput!$B:$E,4,0)=0,OR(H1170=MappingTables!$C$34,H1170=MappingTables!$C$35)),1,VLOOKUP(CONCATENATE($D1170,$G1170),CSRFinput!$B:$E,4,0)))</f>
        <v>0.054776304963434752</v>
      </c>
      <c r="W1170" s="85">
        <f>IF(B1170="",0,+$T1170*$V1170)</f>
        <v>829.22367844136368</v>
      </c>
      <c r="X1170" s="85">
        <f>IF(B1170="",0,IF(OR(H1170=MappingTables!$C$34,H1170=MappingTables!$C$35),W1170,0))</f>
        <v>0</v>
      </c>
    </row>
    <row r="1171" spans="2:24" s="0" customFormat="0" ht="15">
      <c r="B1171" s="69">
        <v>20594292</v>
      </c>
      <c r="C1171" s="70" t="s">
        <v>1442</v>
      </c>
      <c r="D1171" s="70" t="s">
        <v>1</v>
      </c>
      <c r="E1171" s="70" t="s">
        <v>1</v>
      </c>
      <c r="F1171" s="70"/>
      <c r="G1171" s="70" t="s">
        <v>61</v>
      </c>
      <c r="H1171" s="70" t="s">
        <v>178</v>
      </c>
      <c r="I1171" s="70" t="s">
        <v>181</v>
      </c>
      <c r="J1171" s="71">
        <f>IF(OR(I1171=0,I1171=""),"unrated",VLOOKUP(I1171,MappingTables!$B$19:$C$31,2,FALSE))</f>
        <v>3</v>
      </c>
      <c r="K1171" s="72">
        <v>2.2155909971695104</v>
      </c>
      <c r="L1171" s="70">
        <v>0.59679105809098824</v>
      </c>
      <c r="M1171" s="71">
        <f>IF(L1171&lt;1,1,L1171)</f>
        <v>1</v>
      </c>
      <c r="N1171" s="70" t="s">
        <v>141</v>
      </c>
      <c r="O1171" s="71">
        <f>INDEX(DurClassMapping,MATCH(M1171,MappingTables!$D$4:$D$8,-1),1)</f>
        <v>1</v>
      </c>
      <c r="P1171" s="73">
        <f>IF(M1171=$A$1,1,$M1171-INDEX(MappingTables!$E$4:$E$8,MATCH(O1171,MappingTables!$B$4:$B$8,0)))</f>
        <v>1</v>
      </c>
      <c r="Q1171" s="71">
        <f>IF(B1171="",0,INDEX(ModelParameters!$D$6:$K$10,MATCH($O1171,ModelParameters!$B$6:$B$10,0),MATCH($J1171,ModelParameters!$D$5:$K$5,0)))</f>
        <v>0.025</v>
      </c>
      <c r="R1171" s="71">
        <f>IF(B1171="",0,INDEX(ModelParameters!$D$13:$K$17,MATCH($O1171,ModelParameters!$B$13:$B$17,0),MATCH($J1171,ModelParameters!$D$5:$K$5,0)))</f>
        <v>0</v>
      </c>
      <c r="S1171" s="160">
        <f>IF(B1171="",0,MIN(IF($N1171="Other Bond TM",ModelParameters!$N$21,1)*(P1171*Q1171+R1171),1))</f>
        <v>0.025</v>
      </c>
      <c r="T1171" s="85">
        <f>IF(B1171="",0,$S1171*$K1171)</f>
        <v>0.05538977492923776</v>
      </c>
      <c r="U1171" s="85">
        <f>IF(B1171="",0,IF(OR(H1171=MappingTables!$C$34,H1171=MappingTables!$C$35),T1171,0))</f>
        <v>0</v>
      </c>
      <c r="V1171" s="85">
        <f>IF(ISNA(IF(AND(VLOOKUP(CONCATENATE($D1171,$G1171),CSRFinput!$B:$E,4,0)=0,OR(H1171=MappingTables!$C$34,H1171=MappingTables!$C$35)),1,VLOOKUP(CONCATENATE($D1171,$G1171),CSRFinput!$B:$E,4,0))),0,IF(AND(VLOOKUP(CONCATENATE($D1171,$G1171),CSRFinput!$B:$E,4,0)=0,OR(H1171=MappingTables!$C$34,H1171=MappingTables!$C$35)),1,VLOOKUP(CONCATENATE($D1171,$G1171),CSRFinput!$B:$E,4,0)))</f>
        <v>0.054776304963434752</v>
      </c>
      <c r="W1171" s="85">
        <f>IF(B1171="",0,+$T1171*$V1171)</f>
        <v>0.0030340472033799404</v>
      </c>
      <c r="X1171" s="85">
        <f>IF(B1171="",0,IF(OR(H1171=MappingTables!$C$34,H1171=MappingTables!$C$35),W1171,0))</f>
        <v>0</v>
      </c>
    </row>
    <row r="1172" spans="2:24" s="0" customFormat="0" ht="15">
      <c r="B1172" s="69">
        <v>10497884</v>
      </c>
      <c r="C1172" s="70" t="s">
        <v>717</v>
      </c>
      <c r="D1172" s="70" t="s">
        <v>1</v>
      </c>
      <c r="E1172" s="70" t="s">
        <v>1</v>
      </c>
      <c r="F1172" s="70"/>
      <c r="G1172" s="70" t="s">
        <v>61</v>
      </c>
      <c r="H1172" s="70" t="s">
        <v>178</v>
      </c>
      <c r="I1172" s="70" t="s">
        <v>179</v>
      </c>
      <c r="J1172" s="71">
        <f>IF(OR(I1172=0,I1172=""),"unrated",VLOOKUP(I1172,MappingTables!$B$19:$C$31,2,FALSE))</f>
        <v>4</v>
      </c>
      <c r="K1172" s="72">
        <v>164.18763166772208</v>
      </c>
      <c r="L1172" s="70">
        <v>4.1404975066878496</v>
      </c>
      <c r="M1172" s="71">
        <f>IF(L1172&lt;1,1,L1172)</f>
        <v>4.1404975066878496</v>
      </c>
      <c r="N1172" s="70" t="s">
        <v>141</v>
      </c>
      <c r="O1172" s="71">
        <f>INDEX(DurClassMapping,MATCH(M1172,MappingTables!$D$4:$D$8,-1),1)</f>
        <v>1</v>
      </c>
      <c r="P1172" s="73">
        <f>IF(M1172=$A$1,1,$M1172-INDEX(MappingTables!$E$4:$E$8,MATCH(O1172,MappingTables!$B$4:$B$8,0)))</f>
        <v>4.1404975066878496</v>
      </c>
      <c r="Q1172" s="71">
        <f>IF(B1172="",0,INDEX(ModelParameters!$D$6:$K$10,MATCH($O1172,ModelParameters!$B$6:$B$10,0),MATCH($J1172,ModelParameters!$D$5:$K$5,0)))</f>
        <v>0.045</v>
      </c>
      <c r="R1172" s="71">
        <f>IF(B1172="",0,INDEX(ModelParameters!$D$13:$K$17,MATCH($O1172,ModelParameters!$B$13:$B$17,0),MATCH($J1172,ModelParameters!$D$5:$K$5,0)))</f>
        <v>0</v>
      </c>
      <c r="S1172" s="160">
        <f>IF(B1172="",0,MIN(IF($N1172="Other Bond TM",ModelParameters!$N$21,1)*(P1172*Q1172+R1172),1))</f>
        <v>0.18632238780095324</v>
      </c>
      <c r="T1172" s="85">
        <f>IF(B1172="",0,$S1172*$K1172)</f>
        <v>30.591831579713384</v>
      </c>
      <c r="U1172" s="85">
        <f>IF(B1172="",0,IF(OR(H1172=MappingTables!$C$34,H1172=MappingTables!$C$35),T1172,0))</f>
        <v>0</v>
      </c>
      <c r="V1172" s="85">
        <f>IF(ISNA(IF(AND(VLOOKUP(CONCATENATE($D1172,$G1172),CSRFinput!$B:$E,4,0)=0,OR(H1172=MappingTables!$C$34,H1172=MappingTables!$C$35)),1,VLOOKUP(CONCATENATE($D1172,$G1172),CSRFinput!$B:$E,4,0))),0,IF(AND(VLOOKUP(CONCATENATE($D1172,$G1172),CSRFinput!$B:$E,4,0)=0,OR(H1172=MappingTables!$C$34,H1172=MappingTables!$C$35)),1,VLOOKUP(CONCATENATE($D1172,$G1172),CSRFinput!$B:$E,4,0)))</f>
        <v>0.054776304963434752</v>
      </c>
      <c r="W1172" s="85">
        <f>IF(B1172="",0,+$T1172*$V1172)</f>
        <v>1.6757074960004142</v>
      </c>
      <c r="X1172" s="85">
        <f>IF(B1172="",0,IF(OR(H1172=MappingTables!$C$34,H1172=MappingTables!$C$35),W1172,0))</f>
        <v>0</v>
      </c>
    </row>
    <row r="1173" spans="2:24" s="0" customFormat="0" ht="15">
      <c r="B1173" s="69">
        <v>19666398</v>
      </c>
      <c r="C1173" s="70" t="s">
        <v>1443</v>
      </c>
      <c r="D1173" s="70" t="s">
        <v>1</v>
      </c>
      <c r="E1173" s="70" t="s">
        <v>1</v>
      </c>
      <c r="F1173" s="70"/>
      <c r="G1173" s="70" t="s">
        <v>61</v>
      </c>
      <c r="H1173" s="70" t="s">
        <v>178</v>
      </c>
      <c r="I1173" s="70" t="s">
        <v>220</v>
      </c>
      <c r="J1173" s="71">
        <f>IF(OR(I1173=0,I1173=""),"unrated",VLOOKUP(I1173,MappingTables!$B$19:$C$31,2,FALSE))</f>
        <v>1</v>
      </c>
      <c r="K1173" s="72">
        <v>1019.2744326266564</v>
      </c>
      <c r="L1173" s="70">
        <v>1.1682251607756872</v>
      </c>
      <c r="M1173" s="71">
        <f>IF(L1173&lt;1,1,L1173)</f>
        <v>1.1682251607756872</v>
      </c>
      <c r="N1173" s="70" t="s">
        <v>141</v>
      </c>
      <c r="O1173" s="71">
        <f>INDEX(DurClassMapping,MATCH(M1173,MappingTables!$D$4:$D$8,-1),1)</f>
        <v>1</v>
      </c>
      <c r="P1173" s="73">
        <f>IF(M1173=$A$1,1,$M1173-INDEX(MappingTables!$E$4:$E$8,MATCH(O1173,MappingTables!$B$4:$B$8,0)))</f>
        <v>1.1682251607756872</v>
      </c>
      <c r="Q1173" s="71">
        <f>IF(B1173="",0,INDEX(ModelParameters!$D$6:$K$10,MATCH($O1173,ModelParameters!$B$6:$B$10,0),MATCH($J1173,ModelParameters!$D$5:$K$5,0)))</f>
        <v>0.011000000000000002</v>
      </c>
      <c r="R1173" s="71">
        <f>IF(B1173="",0,INDEX(ModelParameters!$D$13:$K$17,MATCH($O1173,ModelParameters!$B$13:$B$17,0),MATCH($J1173,ModelParameters!$D$5:$K$5,0)))</f>
        <v>0</v>
      </c>
      <c r="S1173" s="160">
        <f>IF(B1173="",0,MIN(IF($N1173="Other Bond TM",ModelParameters!$N$21,1)*(P1173*Q1173+R1173),1))</f>
        <v>0.012850476768532562</v>
      </c>
      <c r="T1173" s="85">
        <f>IF(B1173="",0,$S1173*$K1173)</f>
        <v>13.098162417228056</v>
      </c>
      <c r="U1173" s="85">
        <f>IF(B1173="",0,IF(OR(H1173=MappingTables!$C$34,H1173=MappingTables!$C$35),T1173,0))</f>
        <v>0</v>
      </c>
      <c r="V1173" s="85">
        <f>IF(ISNA(IF(AND(VLOOKUP(CONCATENATE($D1173,$G1173),CSRFinput!$B:$E,4,0)=0,OR(H1173=MappingTables!$C$34,H1173=MappingTables!$C$35)),1,VLOOKUP(CONCATENATE($D1173,$G1173),CSRFinput!$B:$E,4,0))),0,IF(AND(VLOOKUP(CONCATENATE($D1173,$G1173),CSRFinput!$B:$E,4,0)=0,OR(H1173=MappingTables!$C$34,H1173=MappingTables!$C$35)),1,VLOOKUP(CONCATENATE($D1173,$G1173),CSRFinput!$B:$E,4,0)))</f>
        <v>0.054776304963434752</v>
      </c>
      <c r="W1173" s="85">
        <f>IF(B1173="",0,+$T1173*$V1173)</f>
        <v>0.7174689390266836</v>
      </c>
      <c r="X1173" s="85">
        <f>IF(B1173="",0,IF(OR(H1173=MappingTables!$C$34,H1173=MappingTables!$C$35),W1173,0))</f>
        <v>0</v>
      </c>
    </row>
    <row r="1174" spans="2:24" s="0" customFormat="0" ht="15">
      <c r="B1174" s="69" t="s">
        <v>1444</v>
      </c>
      <c r="C1174" s="70" t="s">
        <v>1445</v>
      </c>
      <c r="D1174" s="70" t="s">
        <v>1</v>
      </c>
      <c r="E1174" s="70" t="s">
        <v>1</v>
      </c>
      <c r="F1174" s="70"/>
      <c r="G1174" s="70" t="s">
        <v>61</v>
      </c>
      <c r="H1174" s="70" t="s">
        <v>178</v>
      </c>
      <c r="I1174" s="70" t="s">
        <v>188</v>
      </c>
      <c r="J1174" s="71">
        <f>IF(OR(I1174=0,I1174=""),"unrated",VLOOKUP(I1174,MappingTables!$B$19:$C$31,2,FALSE))</f>
        <v>2</v>
      </c>
      <c r="K1174" s="72">
        <v>0.48373621109286032</v>
      </c>
      <c r="L1174" s="70">
        <v>0.43013840640284272</v>
      </c>
      <c r="M1174" s="71">
        <f>IF(L1174&lt;1,1,L1174)</f>
        <v>1</v>
      </c>
      <c r="N1174" s="70" t="s">
        <v>141</v>
      </c>
      <c r="O1174" s="71">
        <f>INDEX(DurClassMapping,MATCH(M1174,MappingTables!$D$4:$D$8,-1),1)</f>
        <v>1</v>
      </c>
      <c r="P1174" s="73">
        <f>IF(M1174=$A$1,1,$M1174-INDEX(MappingTables!$E$4:$E$8,MATCH(O1174,MappingTables!$B$4:$B$8,0)))</f>
        <v>1</v>
      </c>
      <c r="Q1174" s="71">
        <f>IF(B1174="",0,INDEX(ModelParameters!$D$6:$K$10,MATCH($O1174,ModelParameters!$B$6:$B$10,0),MATCH($J1174,ModelParameters!$D$5:$K$5,0)))</f>
        <v>0.013999999999999998</v>
      </c>
      <c r="R1174" s="71">
        <f>IF(B1174="",0,INDEX(ModelParameters!$D$13:$K$17,MATCH($O1174,ModelParameters!$B$13:$B$17,0),MATCH($J1174,ModelParameters!$D$5:$K$5,0)))</f>
        <v>0</v>
      </c>
      <c r="S1174" s="160">
        <f>IF(B1174="",0,MIN(IF($N1174="Other Bond TM",ModelParameters!$N$21,1)*(P1174*Q1174+R1174),1))</f>
        <v>0.013999999999999998</v>
      </c>
      <c r="T1174" s="85">
        <f>IF(B1174="",0,$S1174*$K1174)</f>
        <v>0.0067723069553000448</v>
      </c>
      <c r="U1174" s="85">
        <f>IF(B1174="",0,IF(OR(H1174=MappingTables!$C$34,H1174=MappingTables!$C$35),T1174,0))</f>
        <v>0</v>
      </c>
      <c r="V1174" s="85">
        <f>IF(ISNA(IF(AND(VLOOKUP(CONCATENATE($D1174,$G1174),CSRFinput!$B:$E,4,0)=0,OR(H1174=MappingTables!$C$34,H1174=MappingTables!$C$35)),1,VLOOKUP(CONCATENATE($D1174,$G1174),CSRFinput!$B:$E,4,0))),0,IF(AND(VLOOKUP(CONCATENATE($D1174,$G1174),CSRFinput!$B:$E,4,0)=0,OR(H1174=MappingTables!$C$34,H1174=MappingTables!$C$35)),1,VLOOKUP(CONCATENATE($D1174,$G1174),CSRFinput!$B:$E,4,0)))</f>
        <v>0.054776304963434752</v>
      </c>
      <c r="W1174" s="85">
        <f>IF(B1174="",0,+$T1174*$V1174)</f>
        <v>0.00037096195108950552</v>
      </c>
      <c r="X1174" s="85">
        <f>IF(B1174="",0,IF(OR(H1174=MappingTables!$C$34,H1174=MappingTables!$C$35),W1174,0))</f>
        <v>0</v>
      </c>
    </row>
    <row r="1175" spans="2:24" s="0" customFormat="0" ht="15">
      <c r="B1175" s="69">
        <v>18189432</v>
      </c>
      <c r="C1175" s="70" t="s">
        <v>857</v>
      </c>
      <c r="D1175" s="70" t="s">
        <v>1</v>
      </c>
      <c r="E1175" s="70" t="s">
        <v>1</v>
      </c>
      <c r="F1175" s="70"/>
      <c r="G1175" s="70" t="s">
        <v>61</v>
      </c>
      <c r="H1175" s="70" t="s">
        <v>178</v>
      </c>
      <c r="I1175" s="70" t="s">
        <v>188</v>
      </c>
      <c r="J1175" s="71">
        <f>IF(OR(I1175=0,I1175=""),"unrated",VLOOKUP(I1175,MappingTables!$B$19:$C$31,2,FALSE))</f>
        <v>2</v>
      </c>
      <c r="K1175" s="72">
        <v>7310.6981486386336</v>
      </c>
      <c r="L1175" s="70">
        <v>0.37743574340126576</v>
      </c>
      <c r="M1175" s="71">
        <f>IF(L1175&lt;1,1,L1175)</f>
        <v>1</v>
      </c>
      <c r="N1175" s="70" t="s">
        <v>141</v>
      </c>
      <c r="O1175" s="71">
        <f>INDEX(DurClassMapping,MATCH(M1175,MappingTables!$D$4:$D$8,-1),1)</f>
        <v>1</v>
      </c>
      <c r="P1175" s="73">
        <f>IF(M1175=$A$1,1,$M1175-INDEX(MappingTables!$E$4:$E$8,MATCH(O1175,MappingTables!$B$4:$B$8,0)))</f>
        <v>1</v>
      </c>
      <c r="Q1175" s="71">
        <f>IF(B1175="",0,INDEX(ModelParameters!$D$6:$K$10,MATCH($O1175,ModelParameters!$B$6:$B$10,0),MATCH($J1175,ModelParameters!$D$5:$K$5,0)))</f>
        <v>0.013999999999999998</v>
      </c>
      <c r="R1175" s="71">
        <f>IF(B1175="",0,INDEX(ModelParameters!$D$13:$K$17,MATCH($O1175,ModelParameters!$B$13:$B$17,0),MATCH($J1175,ModelParameters!$D$5:$K$5,0)))</f>
        <v>0</v>
      </c>
      <c r="S1175" s="160">
        <f>IF(B1175="",0,MIN(IF($N1175="Other Bond TM",ModelParameters!$N$21,1)*(P1175*Q1175+R1175),1))</f>
        <v>0.013999999999999998</v>
      </c>
      <c r="T1175" s="85">
        <f>IF(B1175="",0,$S1175*$K1175)</f>
        <v>102.34977408094086</v>
      </c>
      <c r="U1175" s="85">
        <f>IF(B1175="",0,IF(OR(H1175=MappingTables!$C$34,H1175=MappingTables!$C$35),T1175,0))</f>
        <v>0</v>
      </c>
      <c r="V1175" s="85">
        <f>IF(ISNA(IF(AND(VLOOKUP(CONCATENATE($D1175,$G1175),CSRFinput!$B:$E,4,0)=0,OR(H1175=MappingTables!$C$34,H1175=MappingTables!$C$35)),1,VLOOKUP(CONCATENATE($D1175,$G1175),CSRFinput!$B:$E,4,0))),0,IF(AND(VLOOKUP(CONCATENATE($D1175,$G1175),CSRFinput!$B:$E,4,0)=0,OR(H1175=MappingTables!$C$34,H1175=MappingTables!$C$35)),1,VLOOKUP(CONCATENATE($D1175,$G1175),CSRFinput!$B:$E,4,0)))</f>
        <v>0.054776304963434752</v>
      </c>
      <c r="W1175" s="85">
        <f>IF(B1175="",0,+$T1175*$V1175)</f>
        <v>5.6063424379962664</v>
      </c>
      <c r="X1175" s="85">
        <f>IF(B1175="",0,IF(OR(H1175=MappingTables!$C$34,H1175=MappingTables!$C$35),W1175,0))</f>
        <v>0</v>
      </c>
    </row>
    <row r="1176" spans="2:24" s="0" customFormat="0" ht="15">
      <c r="B1176" s="69">
        <v>20774628</v>
      </c>
      <c r="C1176" s="70" t="s">
        <v>1446</v>
      </c>
      <c r="D1176" s="70" t="s">
        <v>1</v>
      </c>
      <c r="E1176" s="70" t="s">
        <v>1</v>
      </c>
      <c r="F1176" s="70"/>
      <c r="G1176" s="70" t="s">
        <v>61</v>
      </c>
      <c r="H1176" s="70" t="s">
        <v>178</v>
      </c>
      <c r="I1176" s="70" t="s">
        <v>181</v>
      </c>
      <c r="J1176" s="71">
        <f>IF(OR(I1176=0,I1176=""),"unrated",VLOOKUP(I1176,MappingTables!$B$19:$C$31,2,FALSE))</f>
        <v>3</v>
      </c>
      <c r="K1176" s="72">
        <v>314.3407298042198</v>
      </c>
      <c r="L1176" s="70">
        <v>5.3190904154158272</v>
      </c>
      <c r="M1176" s="71">
        <f>IF(L1176&lt;1,1,L1176)</f>
        <v>5.3190904154158272</v>
      </c>
      <c r="N1176" s="70" t="s">
        <v>141</v>
      </c>
      <c r="O1176" s="71">
        <f>INDEX(DurClassMapping,MATCH(M1176,MappingTables!$D$4:$D$8,-1),1)</f>
        <v>2</v>
      </c>
      <c r="P1176" s="73">
        <f>IF(M1176=$A$1,1,$M1176-INDEX(MappingTables!$E$4:$E$8,MATCH(O1176,MappingTables!$B$4:$B$8,0)))</f>
        <v>0.31909041541582716</v>
      </c>
      <c r="Q1176" s="71">
        <f>IF(B1176="",0,INDEX(ModelParameters!$D$6:$K$10,MATCH($O1176,ModelParameters!$B$6:$B$10,0),MATCH($J1176,ModelParameters!$D$5:$K$5,0)))</f>
        <v>0.015</v>
      </c>
      <c r="R1176" s="71">
        <f>IF(B1176="",0,INDEX(ModelParameters!$D$13:$K$17,MATCH($O1176,ModelParameters!$B$13:$B$17,0),MATCH($J1176,ModelParameters!$D$5:$K$5,0)))</f>
        <v>0.125</v>
      </c>
      <c r="S1176" s="160">
        <f>IF(B1176="",0,MIN(IF($N1176="Other Bond TM",ModelParameters!$N$21,1)*(P1176*Q1176+R1176),1))</f>
        <v>0.1297863562312374</v>
      </c>
      <c r="T1176" s="85">
        <f>IF(B1176="",0,$S1176*$K1176)</f>
        <v>40.797137936357616</v>
      </c>
      <c r="U1176" s="85">
        <f>IF(B1176="",0,IF(OR(H1176=MappingTables!$C$34,H1176=MappingTables!$C$35),T1176,0))</f>
        <v>0</v>
      </c>
      <c r="V1176" s="85">
        <f>IF(ISNA(IF(AND(VLOOKUP(CONCATENATE($D1176,$G1176),CSRFinput!$B:$E,4,0)=0,OR(H1176=MappingTables!$C$34,H1176=MappingTables!$C$35)),1,VLOOKUP(CONCATENATE($D1176,$G1176),CSRFinput!$B:$E,4,0))),0,IF(AND(VLOOKUP(CONCATENATE($D1176,$G1176),CSRFinput!$B:$E,4,0)=0,OR(H1176=MappingTables!$C$34,H1176=MappingTables!$C$35)),1,VLOOKUP(CONCATENATE($D1176,$G1176),CSRFinput!$B:$E,4,0)))</f>
        <v>0.054776304963434752</v>
      </c>
      <c r="W1176" s="85">
        <f>IF(B1176="",0,+$T1176*$V1176)</f>
        <v>2.234716469237238</v>
      </c>
      <c r="X1176" s="85">
        <f>IF(B1176="",0,IF(OR(H1176=MappingTables!$C$34,H1176=MappingTables!$C$35),W1176,0))</f>
        <v>0</v>
      </c>
    </row>
    <row r="1177" spans="2:24" s="0" customFormat="0" ht="15">
      <c r="B1177" s="69">
        <v>23394686</v>
      </c>
      <c r="C1177" s="70" t="s">
        <v>1447</v>
      </c>
      <c r="D1177" s="70" t="s">
        <v>1</v>
      </c>
      <c r="E1177" s="70" t="s">
        <v>1</v>
      </c>
      <c r="F1177" s="70"/>
      <c r="G1177" s="70" t="s">
        <v>61</v>
      </c>
      <c r="H1177" s="70" t="s">
        <v>178</v>
      </c>
      <c r="I1177" s="70" t="s">
        <v>181</v>
      </c>
      <c r="J1177" s="71">
        <f>IF(OR(I1177=0,I1177=""),"unrated",VLOOKUP(I1177,MappingTables!$B$19:$C$31,2,FALSE))</f>
        <v>3</v>
      </c>
      <c r="K1177" s="72">
        <v>268.0018786767708</v>
      </c>
      <c r="L1177" s="70">
        <v>0.4547988120192052</v>
      </c>
      <c r="M1177" s="71">
        <f>IF(L1177&lt;1,1,L1177)</f>
        <v>1</v>
      </c>
      <c r="N1177" s="70" t="s">
        <v>141</v>
      </c>
      <c r="O1177" s="71">
        <f>INDEX(DurClassMapping,MATCH(M1177,MappingTables!$D$4:$D$8,-1),1)</f>
        <v>1</v>
      </c>
      <c r="P1177" s="73">
        <f>IF(M1177=$A$1,1,$M1177-INDEX(MappingTables!$E$4:$E$8,MATCH(O1177,MappingTables!$B$4:$B$8,0)))</f>
        <v>1</v>
      </c>
      <c r="Q1177" s="71">
        <f>IF(B1177="",0,INDEX(ModelParameters!$D$6:$K$10,MATCH($O1177,ModelParameters!$B$6:$B$10,0),MATCH($J1177,ModelParameters!$D$5:$K$5,0)))</f>
        <v>0.025</v>
      </c>
      <c r="R1177" s="71">
        <f>IF(B1177="",0,INDEX(ModelParameters!$D$13:$K$17,MATCH($O1177,ModelParameters!$B$13:$B$17,0),MATCH($J1177,ModelParameters!$D$5:$K$5,0)))</f>
        <v>0</v>
      </c>
      <c r="S1177" s="160">
        <f>IF(B1177="",0,MIN(IF($N1177="Other Bond TM",ModelParameters!$N$21,1)*(P1177*Q1177+R1177),1))</f>
        <v>0.025</v>
      </c>
      <c r="T1177" s="85">
        <f>IF(B1177="",0,$S1177*$K1177)</f>
        <v>6.7000469669192704</v>
      </c>
      <c r="U1177" s="85">
        <f>IF(B1177="",0,IF(OR(H1177=MappingTables!$C$34,H1177=MappingTables!$C$35),T1177,0))</f>
        <v>0</v>
      </c>
      <c r="V1177" s="85">
        <f>IF(ISNA(IF(AND(VLOOKUP(CONCATENATE($D1177,$G1177),CSRFinput!$B:$E,4,0)=0,OR(H1177=MappingTables!$C$34,H1177=MappingTables!$C$35)),1,VLOOKUP(CONCATENATE($D1177,$G1177),CSRFinput!$B:$E,4,0))),0,IF(AND(VLOOKUP(CONCATENATE($D1177,$G1177),CSRFinput!$B:$E,4,0)=0,OR(H1177=MappingTables!$C$34,H1177=MappingTables!$C$35)),1,VLOOKUP(CONCATENATE($D1177,$G1177),CSRFinput!$B:$E,4,0)))</f>
        <v>0.054776304963434752</v>
      </c>
      <c r="W1177" s="85">
        <f>IF(B1177="",0,+$T1177*$V1177)</f>
        <v>0.367003815929306</v>
      </c>
      <c r="X1177" s="85">
        <f>IF(B1177="",0,IF(OR(H1177=MappingTables!$C$34,H1177=MappingTables!$C$35),W1177,0))</f>
        <v>0</v>
      </c>
    </row>
    <row r="1178" spans="2:24" s="0" customFormat="0" ht="15">
      <c r="B1178" s="69" t="s">
        <v>1204</v>
      </c>
      <c r="C1178" s="70" t="s">
        <v>1205</v>
      </c>
      <c r="D1178" s="70" t="s">
        <v>1</v>
      </c>
      <c r="E1178" s="70" t="s">
        <v>1</v>
      </c>
      <c r="F1178" s="70"/>
      <c r="G1178" s="70" t="s">
        <v>61</v>
      </c>
      <c r="H1178" s="70" t="s">
        <v>178</v>
      </c>
      <c r="I1178" s="70" t="s">
        <v>216</v>
      </c>
      <c r="J1178" s="71">
        <f>IF(OR(I1178=0,I1178=""),"unrated",VLOOKUP(I1178,MappingTables!$B$19:$C$31,2,FALSE))</f>
        <v>0</v>
      </c>
      <c r="K1178" s="72">
        <v>8220.3334193899808</v>
      </c>
      <c r="L1178" s="70">
        <v>0.65109222840635536</v>
      </c>
      <c r="M1178" s="71">
        <f>IF(L1178&lt;1,1,L1178)</f>
        <v>1</v>
      </c>
      <c r="N1178" s="70" t="s">
        <v>141</v>
      </c>
      <c r="O1178" s="71">
        <f>INDEX(DurClassMapping,MATCH(M1178,MappingTables!$D$4:$D$8,-1),1)</f>
        <v>1</v>
      </c>
      <c r="P1178" s="73">
        <f>IF(M1178=$A$1,1,$M1178-INDEX(MappingTables!$E$4:$E$8,MATCH(O1178,MappingTables!$B$4:$B$8,0)))</f>
        <v>1</v>
      </c>
      <c r="Q1178" s="71">
        <f>IF(B1178="",0,INDEX(ModelParameters!$D$6:$K$10,MATCH($O1178,ModelParameters!$B$6:$B$10,0),MATCH($J1178,ModelParameters!$D$5:$K$5,0)))</f>
        <v>0.0090000000000000016</v>
      </c>
      <c r="R1178" s="71">
        <f>IF(B1178="",0,INDEX(ModelParameters!$D$13:$K$17,MATCH($O1178,ModelParameters!$B$13:$B$17,0),MATCH($J1178,ModelParameters!$D$5:$K$5,0)))</f>
        <v>0</v>
      </c>
      <c r="S1178" s="160">
        <f>IF(B1178="",0,MIN(IF($N1178="Other Bond TM",ModelParameters!$N$21,1)*(P1178*Q1178+R1178),1))</f>
        <v>0.0090000000000000016</v>
      </c>
      <c r="T1178" s="85">
        <f>IF(B1178="",0,$S1178*$K1178)</f>
        <v>73.98300077450984</v>
      </c>
      <c r="U1178" s="85">
        <f>IF(B1178="",0,IF(OR(H1178=MappingTables!$C$34,H1178=MappingTables!$C$35),T1178,0))</f>
        <v>0</v>
      </c>
      <c r="V1178" s="85">
        <f>IF(ISNA(IF(AND(VLOOKUP(CONCATENATE($D1178,$G1178),CSRFinput!$B:$E,4,0)=0,OR(H1178=MappingTables!$C$34,H1178=MappingTables!$C$35)),1,VLOOKUP(CONCATENATE($D1178,$G1178),CSRFinput!$B:$E,4,0))),0,IF(AND(VLOOKUP(CONCATENATE($D1178,$G1178),CSRFinput!$B:$E,4,0)=0,OR(H1178=MappingTables!$C$34,H1178=MappingTables!$C$35)),1,VLOOKUP(CONCATENATE($D1178,$G1178),CSRFinput!$B:$E,4,0)))</f>
        <v>0.054776304963434752</v>
      </c>
      <c r="W1178" s="85">
        <f>IF(B1178="",0,+$T1178*$V1178)</f>
        <v>4.05251541253458</v>
      </c>
      <c r="X1178" s="85">
        <f>IF(B1178="",0,IF(OR(H1178=MappingTables!$C$34,H1178=MappingTables!$C$35),W1178,0))</f>
        <v>0</v>
      </c>
    </row>
    <row r="1179" spans="2:24" s="0" customFormat="0" ht="15">
      <c r="B1179" s="69">
        <v>14230544</v>
      </c>
      <c r="C1179" s="70" t="s">
        <v>1448</v>
      </c>
      <c r="D1179" s="70" t="s">
        <v>1</v>
      </c>
      <c r="E1179" s="70" t="s">
        <v>1</v>
      </c>
      <c r="F1179" s="70"/>
      <c r="G1179" s="70" t="s">
        <v>61</v>
      </c>
      <c r="H1179" s="70" t="s">
        <v>178</v>
      </c>
      <c r="I1179" s="70" t="s">
        <v>184</v>
      </c>
      <c r="J1179" s="71">
        <f>IF(OR(I1179=0,I1179=""),"unrated",VLOOKUP(I1179,MappingTables!$B$19:$C$31,2,FALSE))</f>
        <v>5</v>
      </c>
      <c r="K1179" s="72">
        <v>14327.564408291816</v>
      </c>
      <c r="L1179" s="70">
        <v>6.3534669454399768</v>
      </c>
      <c r="M1179" s="71">
        <f>IF(L1179&lt;1,1,L1179)</f>
        <v>6.3534669454399768</v>
      </c>
      <c r="N1179" s="70" t="s">
        <v>141</v>
      </c>
      <c r="O1179" s="71">
        <f>INDEX(DurClassMapping,MATCH(M1179,MappingTables!$D$4:$D$8,-1),1)</f>
        <v>2</v>
      </c>
      <c r="P1179" s="73">
        <f>IF(M1179=$A$1,1,$M1179-INDEX(MappingTables!$E$4:$E$8,MATCH(O1179,MappingTables!$B$4:$B$8,0)))</f>
        <v>1.353466945439977</v>
      </c>
      <c r="Q1179" s="71">
        <f>IF(B1179="",0,INDEX(ModelParameters!$D$6:$K$10,MATCH($O1179,ModelParameters!$B$6:$B$10,0),MATCH($J1179,ModelParameters!$D$5:$K$5,0)))</f>
        <v>0.042</v>
      </c>
      <c r="R1179" s="71">
        <f>IF(B1179="",0,INDEX(ModelParameters!$D$13:$K$17,MATCH($O1179,ModelParameters!$B$13:$B$17,0),MATCH($J1179,ModelParameters!$D$5:$K$5,0)))</f>
        <v>0.375</v>
      </c>
      <c r="S1179" s="160">
        <f>IF(B1179="",0,MIN(IF($N1179="Other Bond TM",ModelParameters!$N$21,1)*(P1179*Q1179+R1179),1))</f>
        <v>0.43184561170847904</v>
      </c>
      <c r="T1179" s="85">
        <f>IF(B1179="",0,$S1179*$K1179)</f>
        <v>6187.2958161914112</v>
      </c>
      <c r="U1179" s="85">
        <f>IF(B1179="",0,IF(OR(H1179=MappingTables!$C$34,H1179=MappingTables!$C$35),T1179,0))</f>
        <v>0</v>
      </c>
      <c r="V1179" s="85">
        <f>IF(ISNA(IF(AND(VLOOKUP(CONCATENATE($D1179,$G1179),CSRFinput!$B:$E,4,0)=0,OR(H1179=MappingTables!$C$34,H1179=MappingTables!$C$35)),1,VLOOKUP(CONCATENATE($D1179,$G1179),CSRFinput!$B:$E,4,0))),0,IF(AND(VLOOKUP(CONCATENATE($D1179,$G1179),CSRFinput!$B:$E,4,0)=0,OR(H1179=MappingTables!$C$34,H1179=MappingTables!$C$35)),1,VLOOKUP(CONCATENATE($D1179,$G1179),CSRFinput!$B:$E,4,0)))</f>
        <v>0.054776304963434752</v>
      </c>
      <c r="W1179" s="85">
        <f>IF(B1179="",0,+$T1179*$V1179)</f>
        <v>338.91720252668468</v>
      </c>
      <c r="X1179" s="85">
        <f>IF(B1179="",0,IF(OR(H1179=MappingTables!$C$34,H1179=MappingTables!$C$35),W1179,0))</f>
        <v>0</v>
      </c>
    </row>
    <row r="1180" spans="2:24" s="0" customFormat="0" ht="15">
      <c r="B1180" s="69">
        <v>18717023</v>
      </c>
      <c r="C1180" s="70" t="s">
        <v>1449</v>
      </c>
      <c r="D1180" s="70" t="s">
        <v>1</v>
      </c>
      <c r="E1180" s="70" t="s">
        <v>1</v>
      </c>
      <c r="F1180" s="70"/>
      <c r="G1180" s="70" t="s">
        <v>61</v>
      </c>
      <c r="H1180" s="70" t="s">
        <v>178</v>
      </c>
      <c r="I1180" s="70" t="s">
        <v>179</v>
      </c>
      <c r="J1180" s="71">
        <f>IF(OR(I1180=0,I1180=""),"unrated",VLOOKUP(I1180,MappingTables!$B$19:$C$31,2,FALSE))</f>
        <v>4</v>
      </c>
      <c r="K1180" s="72">
        <v>3763.8835506109752</v>
      </c>
      <c r="L1180" s="70">
        <v>3.4252175342871292</v>
      </c>
      <c r="M1180" s="71">
        <f>IF(L1180&lt;1,1,L1180)</f>
        <v>3.4252175342871292</v>
      </c>
      <c r="N1180" s="70" t="s">
        <v>141</v>
      </c>
      <c r="O1180" s="71">
        <f>INDEX(DurClassMapping,MATCH(M1180,MappingTables!$D$4:$D$8,-1),1)</f>
        <v>1</v>
      </c>
      <c r="P1180" s="73">
        <f>IF(M1180=$A$1,1,$M1180-INDEX(MappingTables!$E$4:$E$8,MATCH(O1180,MappingTables!$B$4:$B$8,0)))</f>
        <v>3.4252175342871292</v>
      </c>
      <c r="Q1180" s="71">
        <f>IF(B1180="",0,INDEX(ModelParameters!$D$6:$K$10,MATCH($O1180,ModelParameters!$B$6:$B$10,0),MATCH($J1180,ModelParameters!$D$5:$K$5,0)))</f>
        <v>0.045</v>
      </c>
      <c r="R1180" s="71">
        <f>IF(B1180="",0,INDEX(ModelParameters!$D$13:$K$17,MATCH($O1180,ModelParameters!$B$13:$B$17,0),MATCH($J1180,ModelParameters!$D$5:$K$5,0)))</f>
        <v>0</v>
      </c>
      <c r="S1180" s="160">
        <f>IF(B1180="",0,MIN(IF($N1180="Other Bond TM",ModelParameters!$N$21,1)*(P1180*Q1180+R1180),1))</f>
        <v>0.1541347890429208</v>
      </c>
      <c r="T1180" s="85">
        <f>IF(B1180="",0,$S1180*$K1180)</f>
        <v>580.14539705554224</v>
      </c>
      <c r="U1180" s="85">
        <f>IF(B1180="",0,IF(OR(H1180=MappingTables!$C$34,H1180=MappingTables!$C$35),T1180,0))</f>
        <v>0</v>
      </c>
      <c r="V1180" s="85">
        <f>IF(ISNA(IF(AND(VLOOKUP(CONCATENATE($D1180,$G1180),CSRFinput!$B:$E,4,0)=0,OR(H1180=MappingTables!$C$34,H1180=MappingTables!$C$35)),1,VLOOKUP(CONCATENATE($D1180,$G1180),CSRFinput!$B:$E,4,0))),0,IF(AND(VLOOKUP(CONCATENATE($D1180,$G1180),CSRFinput!$B:$E,4,0)=0,OR(H1180=MappingTables!$C$34,H1180=MappingTables!$C$35)),1,VLOOKUP(CONCATENATE($D1180,$G1180),CSRFinput!$B:$E,4,0)))</f>
        <v>0.054776304963434752</v>
      </c>
      <c r="W1180" s="85">
        <f>IF(B1180="",0,+$T1180*$V1180)</f>
        <v>31.778221192247324</v>
      </c>
      <c r="X1180" s="85">
        <f>IF(B1180="",0,IF(OR(H1180=MappingTables!$C$34,H1180=MappingTables!$C$35),W1180,0))</f>
        <v>0</v>
      </c>
    </row>
    <row r="1181" spans="2:24" s="0" customFormat="0" ht="15">
      <c r="B1181" s="69">
        <v>23545454</v>
      </c>
      <c r="C1181" s="70" t="s">
        <v>1450</v>
      </c>
      <c r="D1181" s="70" t="s">
        <v>1</v>
      </c>
      <c r="E1181" s="70" t="s">
        <v>1</v>
      </c>
      <c r="F1181" s="70"/>
      <c r="G1181" s="70" t="s">
        <v>61</v>
      </c>
      <c r="H1181" s="70" t="s">
        <v>178</v>
      </c>
      <c r="I1181" s="70" t="s">
        <v>181</v>
      </c>
      <c r="J1181" s="71">
        <f>IF(OR(I1181=0,I1181=""),"unrated",VLOOKUP(I1181,MappingTables!$B$19:$C$31,2,FALSE))</f>
        <v>3</v>
      </c>
      <c r="K1181" s="72">
        <v>281.76557842570368</v>
      </c>
      <c r="L1181" s="70">
        <v>0.032878356264992572</v>
      </c>
      <c r="M1181" s="71">
        <f>IF(L1181&lt;1,1,L1181)</f>
        <v>1</v>
      </c>
      <c r="N1181" s="70" t="s">
        <v>141</v>
      </c>
      <c r="O1181" s="71">
        <f>INDEX(DurClassMapping,MATCH(M1181,MappingTables!$D$4:$D$8,-1),1)</f>
        <v>1</v>
      </c>
      <c r="P1181" s="73">
        <f>IF(M1181=$A$1,1,$M1181-INDEX(MappingTables!$E$4:$E$8,MATCH(O1181,MappingTables!$B$4:$B$8,0)))</f>
        <v>1</v>
      </c>
      <c r="Q1181" s="71">
        <f>IF(B1181="",0,INDEX(ModelParameters!$D$6:$K$10,MATCH($O1181,ModelParameters!$B$6:$B$10,0),MATCH($J1181,ModelParameters!$D$5:$K$5,0)))</f>
        <v>0.025</v>
      </c>
      <c r="R1181" s="71">
        <f>IF(B1181="",0,INDEX(ModelParameters!$D$13:$K$17,MATCH($O1181,ModelParameters!$B$13:$B$17,0),MATCH($J1181,ModelParameters!$D$5:$K$5,0)))</f>
        <v>0</v>
      </c>
      <c r="S1181" s="160">
        <f>IF(B1181="",0,MIN(IF($N1181="Other Bond TM",ModelParameters!$N$21,1)*(P1181*Q1181+R1181),1))</f>
        <v>0.025</v>
      </c>
      <c r="T1181" s="85">
        <f>IF(B1181="",0,$S1181*$K1181)</f>
        <v>7.044139460642592</v>
      </c>
      <c r="U1181" s="85">
        <f>IF(B1181="",0,IF(OR(H1181=MappingTables!$C$34,H1181=MappingTables!$C$35),T1181,0))</f>
        <v>0</v>
      </c>
      <c r="V1181" s="85">
        <f>IF(ISNA(IF(AND(VLOOKUP(CONCATENATE($D1181,$G1181),CSRFinput!$B:$E,4,0)=0,OR(H1181=MappingTables!$C$34,H1181=MappingTables!$C$35)),1,VLOOKUP(CONCATENATE($D1181,$G1181),CSRFinput!$B:$E,4,0))),0,IF(AND(VLOOKUP(CONCATENATE($D1181,$G1181),CSRFinput!$B:$E,4,0)=0,OR(H1181=MappingTables!$C$34,H1181=MappingTables!$C$35)),1,VLOOKUP(CONCATENATE($D1181,$G1181),CSRFinput!$B:$E,4,0)))</f>
        <v>0.054776304963434752</v>
      </c>
      <c r="W1181" s="85">
        <f>IF(B1181="",0,+$T1181*$V1181)</f>
        <v>0.38585193130112344</v>
      </c>
      <c r="X1181" s="85">
        <f>IF(B1181="",0,IF(OR(H1181=MappingTables!$C$34,H1181=MappingTables!$C$35),W1181,0))</f>
        <v>0</v>
      </c>
    </row>
    <row r="1182" spans="2:24" s="0" customFormat="0" ht="15">
      <c r="B1182" s="69">
        <v>20755409</v>
      </c>
      <c r="C1182" s="70" t="s">
        <v>1451</v>
      </c>
      <c r="D1182" s="70" t="s">
        <v>1</v>
      </c>
      <c r="E1182" s="70" t="s">
        <v>1</v>
      </c>
      <c r="F1182" s="70"/>
      <c r="G1182" s="70" t="s">
        <v>61</v>
      </c>
      <c r="H1182" s="70" t="s">
        <v>178</v>
      </c>
      <c r="I1182" s="70" t="s">
        <v>188</v>
      </c>
      <c r="J1182" s="71">
        <f>IF(OR(I1182=0,I1182=""),"unrated",VLOOKUP(I1182,MappingTables!$B$19:$C$31,2,FALSE))</f>
        <v>2</v>
      </c>
      <c r="K1182" s="72">
        <v>1789.3172596546752</v>
      </c>
      <c r="L1182" s="70">
        <v>7.4922318290696592</v>
      </c>
      <c r="M1182" s="71">
        <f>IF(L1182&lt;1,1,L1182)</f>
        <v>7.4922318290696592</v>
      </c>
      <c r="N1182" s="70" t="s">
        <v>141</v>
      </c>
      <c r="O1182" s="71">
        <f>INDEX(DurClassMapping,MATCH(M1182,MappingTables!$D$4:$D$8,-1),1)</f>
        <v>2</v>
      </c>
      <c r="P1182" s="73">
        <f>IF(M1182=$A$1,1,$M1182-INDEX(MappingTables!$E$4:$E$8,MATCH(O1182,MappingTables!$B$4:$B$8,0)))</f>
        <v>2.4922318290696596</v>
      </c>
      <c r="Q1182" s="71">
        <f>IF(B1182="",0,INDEX(ModelParameters!$D$6:$K$10,MATCH($O1182,ModelParameters!$B$6:$B$10,0),MATCH($J1182,ModelParameters!$D$5:$K$5,0)))</f>
        <v>0.0069999999999999992</v>
      </c>
      <c r="R1182" s="71">
        <f>IF(B1182="",0,INDEX(ModelParameters!$D$13:$K$17,MATCH($O1182,ModelParameters!$B$13:$B$17,0),MATCH($J1182,ModelParameters!$D$5:$K$5,0)))</f>
        <v>0.070000000000000008</v>
      </c>
      <c r="S1182" s="160">
        <f>IF(B1182="",0,MIN(IF($N1182="Other Bond TM",ModelParameters!$N$21,1)*(P1182*Q1182+R1182),1))</f>
        <v>0.087445622803487632</v>
      </c>
      <c r="T1182" s="85">
        <f>IF(B1182="",0,$S1182*$K1182)</f>
        <v>156.46796216353284</v>
      </c>
      <c r="U1182" s="85">
        <f>IF(B1182="",0,IF(OR(H1182=MappingTables!$C$34,H1182=MappingTables!$C$35),T1182,0))</f>
        <v>0</v>
      </c>
      <c r="V1182" s="85">
        <f>IF(ISNA(IF(AND(VLOOKUP(CONCATENATE($D1182,$G1182),CSRFinput!$B:$E,4,0)=0,OR(H1182=MappingTables!$C$34,H1182=MappingTables!$C$35)),1,VLOOKUP(CONCATENATE($D1182,$G1182),CSRFinput!$B:$E,4,0))),0,IF(AND(VLOOKUP(CONCATENATE($D1182,$G1182),CSRFinput!$B:$E,4,0)=0,OR(H1182=MappingTables!$C$34,H1182=MappingTables!$C$35)),1,VLOOKUP(CONCATENATE($D1182,$G1182),CSRFinput!$B:$E,4,0)))</f>
        <v>0.054776304963434752</v>
      </c>
      <c r="W1182" s="85">
        <f>IF(B1182="",0,+$T1182*$V1182)</f>
        <v>8.5707368124768448</v>
      </c>
      <c r="X1182" s="85">
        <f>IF(B1182="",0,IF(OR(H1182=MappingTables!$C$34,H1182=MappingTables!$C$35),W1182,0))</f>
        <v>0</v>
      </c>
    </row>
    <row r="1183" spans="2:24" s="0" customFormat="0" ht="15">
      <c r="B1183" s="69">
        <v>24176488</v>
      </c>
      <c r="C1183" s="70" t="s">
        <v>1452</v>
      </c>
      <c r="D1183" s="70" t="s">
        <v>1</v>
      </c>
      <c r="E1183" s="70" t="s">
        <v>1</v>
      </c>
      <c r="F1183" s="70"/>
      <c r="G1183" s="70" t="s">
        <v>61</v>
      </c>
      <c r="H1183" s="70" t="s">
        <v>178</v>
      </c>
      <c r="I1183" s="70" t="s">
        <v>184</v>
      </c>
      <c r="J1183" s="71">
        <f>IF(OR(I1183=0,I1183=""),"unrated",VLOOKUP(I1183,MappingTables!$B$19:$C$31,2,FALSE))</f>
        <v>5</v>
      </c>
      <c r="K1183" s="72">
        <v>10560.41603452546</v>
      </c>
      <c r="L1183" s="70">
        <v>2.6281618444396004</v>
      </c>
      <c r="M1183" s="71">
        <f>IF(L1183&lt;1,1,L1183)</f>
        <v>2.6281618444396004</v>
      </c>
      <c r="N1183" s="70" t="s">
        <v>141</v>
      </c>
      <c r="O1183" s="71">
        <f>INDEX(DurClassMapping,MATCH(M1183,MappingTables!$D$4:$D$8,-1),1)</f>
        <v>1</v>
      </c>
      <c r="P1183" s="73">
        <f>IF(M1183=$A$1,1,$M1183-INDEX(MappingTables!$E$4:$E$8,MATCH(O1183,MappingTables!$B$4:$B$8,0)))</f>
        <v>2.6281618444396004</v>
      </c>
      <c r="Q1183" s="71">
        <f>IF(B1183="",0,INDEX(ModelParameters!$D$6:$K$10,MATCH($O1183,ModelParameters!$B$6:$B$10,0),MATCH($J1183,ModelParameters!$D$5:$K$5,0)))</f>
        <v>0.075</v>
      </c>
      <c r="R1183" s="71">
        <f>IF(B1183="",0,INDEX(ModelParameters!$D$13:$K$17,MATCH($O1183,ModelParameters!$B$13:$B$17,0),MATCH($J1183,ModelParameters!$D$5:$K$5,0)))</f>
        <v>0</v>
      </c>
      <c r="S1183" s="160">
        <f>IF(B1183="",0,MIN(IF($N1183="Other Bond TM",ModelParameters!$N$21,1)*(P1183*Q1183+R1183),1))</f>
        <v>0.19711213833297004</v>
      </c>
      <c r="T1183" s="85">
        <f>IF(B1183="",0,$S1183*$K1183)</f>
        <v>2081.5861862510972</v>
      </c>
      <c r="U1183" s="85">
        <f>IF(B1183="",0,IF(OR(H1183=MappingTables!$C$34,H1183=MappingTables!$C$35),T1183,0))</f>
        <v>0</v>
      </c>
      <c r="V1183" s="85">
        <f>IF(ISNA(IF(AND(VLOOKUP(CONCATENATE($D1183,$G1183),CSRFinput!$B:$E,4,0)=0,OR(H1183=MappingTables!$C$34,H1183=MappingTables!$C$35)),1,VLOOKUP(CONCATENATE($D1183,$G1183),CSRFinput!$B:$E,4,0))),0,IF(AND(VLOOKUP(CONCATENATE($D1183,$G1183),CSRFinput!$B:$E,4,0)=0,OR(H1183=MappingTables!$C$34,H1183=MappingTables!$C$35)),1,VLOOKUP(CONCATENATE($D1183,$G1183),CSRFinput!$B:$E,4,0)))</f>
        <v>0.054776304963434752</v>
      </c>
      <c r="W1183" s="85">
        <f>IF(B1183="",0,+$T1183*$V1183)</f>
        <v>114.02159974576322</v>
      </c>
      <c r="X1183" s="85">
        <f>IF(B1183="",0,IF(OR(H1183=MappingTables!$C$34,H1183=MappingTables!$C$35),W1183,0))</f>
        <v>0</v>
      </c>
    </row>
    <row r="1184" spans="2:24" s="0" customFormat="0" ht="15">
      <c r="B1184" s="69">
        <v>14211371</v>
      </c>
      <c r="C1184" s="70" t="s">
        <v>1453</v>
      </c>
      <c r="D1184" s="70" t="s">
        <v>1</v>
      </c>
      <c r="E1184" s="70" t="s">
        <v>1</v>
      </c>
      <c r="F1184" s="70"/>
      <c r="G1184" s="70" t="s">
        <v>61</v>
      </c>
      <c r="H1184" s="70" t="s">
        <v>178</v>
      </c>
      <c r="I1184" s="70" t="s">
        <v>179</v>
      </c>
      <c r="J1184" s="71">
        <f>IF(OR(I1184=0,I1184=""),"unrated",VLOOKUP(I1184,MappingTables!$B$19:$C$31,2,FALSE))</f>
        <v>4</v>
      </c>
      <c r="K1184" s="72">
        <v>20050.843386269268</v>
      </c>
      <c r="L1184" s="70">
        <v>12.683127784139182</v>
      </c>
      <c r="M1184" s="71">
        <f>IF(L1184&lt;1,1,L1184)</f>
        <v>12.683127784139182</v>
      </c>
      <c r="N1184" s="70" t="s">
        <v>141</v>
      </c>
      <c r="O1184" s="71">
        <f>INDEX(DurClassMapping,MATCH(M1184,MappingTables!$D$4:$D$8,-1),1)</f>
        <v>3</v>
      </c>
      <c r="P1184" s="73">
        <f>IF(M1184=$A$1,1,$M1184-INDEX(MappingTables!$E$4:$E$8,MATCH(O1184,MappingTables!$B$4:$B$8,0)))</f>
        <v>2.6831277841391828</v>
      </c>
      <c r="Q1184" s="71">
        <f>IF(B1184="",0,INDEX(ModelParameters!$D$6:$K$10,MATCH($O1184,ModelParameters!$B$6:$B$10,0),MATCH($J1184,ModelParameters!$D$5:$K$5,0)))</f>
        <v>0.018000000000000002</v>
      </c>
      <c r="R1184" s="71">
        <f>IF(B1184="",0,INDEX(ModelParameters!$D$13:$K$17,MATCH($O1184,ModelParameters!$B$13:$B$17,0),MATCH($J1184,ModelParameters!$D$5:$K$5,0)))</f>
        <v>0.34999999999999996</v>
      </c>
      <c r="S1184" s="160">
        <f>IF(B1184="",0,MIN(IF($N1184="Other Bond TM",ModelParameters!$N$21,1)*(P1184*Q1184+R1184),1))</f>
        <v>0.39829630011450528</v>
      </c>
      <c r="T1184" s="85">
        <f>IF(B1184="",0,$S1184*$K1184)</f>
        <v>7986.176734926448</v>
      </c>
      <c r="U1184" s="85">
        <f>IF(B1184="",0,IF(OR(H1184=MappingTables!$C$34,H1184=MappingTables!$C$35),T1184,0))</f>
        <v>0</v>
      </c>
      <c r="V1184" s="85">
        <f>IF(ISNA(IF(AND(VLOOKUP(CONCATENATE($D1184,$G1184),CSRFinput!$B:$E,4,0)=0,OR(H1184=MappingTables!$C$34,H1184=MappingTables!$C$35)),1,VLOOKUP(CONCATENATE($D1184,$G1184),CSRFinput!$B:$E,4,0))),0,IF(AND(VLOOKUP(CONCATENATE($D1184,$G1184),CSRFinput!$B:$E,4,0)=0,OR(H1184=MappingTables!$C$34,H1184=MappingTables!$C$35)),1,VLOOKUP(CONCATENATE($D1184,$G1184),CSRFinput!$B:$E,4,0)))</f>
        <v>0.054776304963434752</v>
      </c>
      <c r="W1184" s="85">
        <f>IF(B1184="",0,+$T1184*$V1184)</f>
        <v>437.45325232421872</v>
      </c>
      <c r="X1184" s="85">
        <f>IF(B1184="",0,IF(OR(H1184=MappingTables!$C$34,H1184=MappingTables!$C$35),W1184,0))</f>
        <v>0</v>
      </c>
    </row>
    <row r="1185" spans="2:24" s="0" customFormat="0" ht="15">
      <c r="B1185" s="69">
        <v>17542240</v>
      </c>
      <c r="C1185" s="70" t="s">
        <v>1454</v>
      </c>
      <c r="D1185" s="70" t="s">
        <v>1</v>
      </c>
      <c r="E1185" s="70" t="s">
        <v>1</v>
      </c>
      <c r="F1185" s="70"/>
      <c r="G1185" s="70" t="s">
        <v>61</v>
      </c>
      <c r="H1185" s="70" t="s">
        <v>178</v>
      </c>
      <c r="I1185" s="70" t="s">
        <v>181</v>
      </c>
      <c r="J1185" s="71">
        <f>IF(OR(I1185=0,I1185=""),"unrated",VLOOKUP(I1185,MappingTables!$B$19:$C$31,2,FALSE))</f>
        <v>3</v>
      </c>
      <c r="K1185" s="72">
        <v>1099.0065828959416</v>
      </c>
      <c r="L1185" s="70">
        <v>2.9426473997128876</v>
      </c>
      <c r="M1185" s="71">
        <f>IF(L1185&lt;1,1,L1185)</f>
        <v>2.9426473997128876</v>
      </c>
      <c r="N1185" s="70" t="s">
        <v>141</v>
      </c>
      <c r="O1185" s="71">
        <f>INDEX(DurClassMapping,MATCH(M1185,MappingTables!$D$4:$D$8,-1),1)</f>
        <v>1</v>
      </c>
      <c r="P1185" s="73">
        <f>IF(M1185=$A$1,1,$M1185-INDEX(MappingTables!$E$4:$E$8,MATCH(O1185,MappingTables!$B$4:$B$8,0)))</f>
        <v>2.9426473997128876</v>
      </c>
      <c r="Q1185" s="71">
        <f>IF(B1185="",0,INDEX(ModelParameters!$D$6:$K$10,MATCH($O1185,ModelParameters!$B$6:$B$10,0),MATCH($J1185,ModelParameters!$D$5:$K$5,0)))</f>
        <v>0.025</v>
      </c>
      <c r="R1185" s="71">
        <f>IF(B1185="",0,INDEX(ModelParameters!$D$13:$K$17,MATCH($O1185,ModelParameters!$B$13:$B$17,0),MATCH($J1185,ModelParameters!$D$5:$K$5,0)))</f>
        <v>0</v>
      </c>
      <c r="S1185" s="160">
        <f>IF(B1185="",0,MIN(IF($N1185="Other Bond TM",ModelParameters!$N$21,1)*(P1185*Q1185+R1185),1))</f>
        <v>0.073566184992822192</v>
      </c>
      <c r="T1185" s="85">
        <f>IF(B1185="",0,$S1185*$K1185)</f>
        <v>80.849721585652224</v>
      </c>
      <c r="U1185" s="85">
        <f>IF(B1185="",0,IF(OR(H1185=MappingTables!$C$34,H1185=MappingTables!$C$35),T1185,0))</f>
        <v>0</v>
      </c>
      <c r="V1185" s="85">
        <f>IF(ISNA(IF(AND(VLOOKUP(CONCATENATE($D1185,$G1185),CSRFinput!$B:$E,4,0)=0,OR(H1185=MappingTables!$C$34,H1185=MappingTables!$C$35)),1,VLOOKUP(CONCATENATE($D1185,$G1185),CSRFinput!$B:$E,4,0))),0,IF(AND(VLOOKUP(CONCATENATE($D1185,$G1185),CSRFinput!$B:$E,4,0)=0,OR(H1185=MappingTables!$C$34,H1185=MappingTables!$C$35)),1,VLOOKUP(CONCATENATE($D1185,$G1185),CSRFinput!$B:$E,4,0)))</f>
        <v>0.054776304963434752</v>
      </c>
      <c r="W1185" s="85">
        <f>IF(B1185="",0,+$T1185*$V1185)</f>
        <v>4.42864900578448</v>
      </c>
      <c r="X1185" s="85">
        <f>IF(B1185="",0,IF(OR(H1185=MappingTables!$C$34,H1185=MappingTables!$C$35),W1185,0))</f>
        <v>0</v>
      </c>
    </row>
    <row r="1186" spans="2:24" s="0" customFormat="0" ht="15">
      <c r="B1186" s="69">
        <v>13298084</v>
      </c>
      <c r="C1186" s="70" t="s">
        <v>1455</v>
      </c>
      <c r="D1186" s="70" t="s">
        <v>1</v>
      </c>
      <c r="E1186" s="70" t="s">
        <v>1</v>
      </c>
      <c r="F1186" s="70"/>
      <c r="G1186" s="70" t="s">
        <v>61</v>
      </c>
      <c r="H1186" s="70" t="s">
        <v>178</v>
      </c>
      <c r="I1186" s="70" t="s">
        <v>188</v>
      </c>
      <c r="J1186" s="71">
        <f>IF(OR(I1186=0,I1186=""),"unrated",VLOOKUP(I1186,MappingTables!$B$19:$C$31,2,FALSE))</f>
        <v>2</v>
      </c>
      <c r="K1186" s="72">
        <v>3175.1496086115416</v>
      </c>
      <c r="L1186" s="70">
        <v>0.084930987082641136</v>
      </c>
      <c r="M1186" s="71">
        <f>IF(L1186&lt;1,1,L1186)</f>
        <v>1</v>
      </c>
      <c r="N1186" s="70" t="s">
        <v>141</v>
      </c>
      <c r="O1186" s="71">
        <f>INDEX(DurClassMapping,MATCH(M1186,MappingTables!$D$4:$D$8,-1),1)</f>
        <v>1</v>
      </c>
      <c r="P1186" s="73">
        <f>IF(M1186=$A$1,1,$M1186-INDEX(MappingTables!$E$4:$E$8,MATCH(O1186,MappingTables!$B$4:$B$8,0)))</f>
        <v>1</v>
      </c>
      <c r="Q1186" s="71">
        <f>IF(B1186="",0,INDEX(ModelParameters!$D$6:$K$10,MATCH($O1186,ModelParameters!$B$6:$B$10,0),MATCH($J1186,ModelParameters!$D$5:$K$5,0)))</f>
        <v>0.013999999999999998</v>
      </c>
      <c r="R1186" s="71">
        <f>IF(B1186="",0,INDEX(ModelParameters!$D$13:$K$17,MATCH($O1186,ModelParameters!$B$13:$B$17,0),MATCH($J1186,ModelParameters!$D$5:$K$5,0)))</f>
        <v>0</v>
      </c>
      <c r="S1186" s="160">
        <f>IF(B1186="",0,MIN(IF($N1186="Other Bond TM",ModelParameters!$N$21,1)*(P1186*Q1186+R1186),1))</f>
        <v>0.013999999999999998</v>
      </c>
      <c r="T1186" s="85">
        <f>IF(B1186="",0,$S1186*$K1186)</f>
        <v>44.452094520561584</v>
      </c>
      <c r="U1186" s="85">
        <f>IF(B1186="",0,IF(OR(H1186=MappingTables!$C$34,H1186=MappingTables!$C$35),T1186,0))</f>
        <v>0</v>
      </c>
      <c r="V1186" s="85">
        <f>IF(ISNA(IF(AND(VLOOKUP(CONCATENATE($D1186,$G1186),CSRFinput!$B:$E,4,0)=0,OR(H1186=MappingTables!$C$34,H1186=MappingTables!$C$35)),1,VLOOKUP(CONCATENATE($D1186,$G1186),CSRFinput!$B:$E,4,0))),0,IF(AND(VLOOKUP(CONCATENATE($D1186,$G1186),CSRFinput!$B:$E,4,0)=0,OR(H1186=MappingTables!$C$34,H1186=MappingTables!$C$35)),1,VLOOKUP(CONCATENATE($D1186,$G1186),CSRFinput!$B:$E,4,0)))</f>
        <v>0.054776304963434752</v>
      </c>
      <c r="W1186" s="85">
        <f>IF(B1186="",0,+$T1186*$V1186)</f>
        <v>2.4349214857217084</v>
      </c>
      <c r="X1186" s="85">
        <f>IF(B1186="",0,IF(OR(H1186=MappingTables!$C$34,H1186=MappingTables!$C$35),W1186,0))</f>
        <v>0</v>
      </c>
    </row>
    <row r="1187" spans="2:24" s="0" customFormat="0" ht="15">
      <c r="B1187" s="69" t="s">
        <v>1456</v>
      </c>
      <c r="C1187" s="70" t="s">
        <v>1457</v>
      </c>
      <c r="D1187" s="70" t="s">
        <v>1</v>
      </c>
      <c r="E1187" s="70" t="s">
        <v>1</v>
      </c>
      <c r="F1187" s="70"/>
      <c r="G1187" s="70" t="s">
        <v>61</v>
      </c>
      <c r="H1187" s="70" t="s">
        <v>178</v>
      </c>
      <c r="I1187" s="70" t="s">
        <v>198</v>
      </c>
      <c r="J1187" s="71" t="str">
        <f>IF(OR(I1187=0,I1187=""),"unrated",VLOOKUP(I1187,MappingTables!$B$19:$C$31,2,FALSE))</f>
        <v>unrated</v>
      </c>
      <c r="K1187" s="72">
        <v>0.04896638767814636</v>
      </c>
      <c r="L1187" s="70">
        <v>0.13424624022018212</v>
      </c>
      <c r="M1187" s="71">
        <f>IF(L1187&lt;1,1,L1187)</f>
        <v>1</v>
      </c>
      <c r="N1187" s="70" t="s">
        <v>141</v>
      </c>
      <c r="O1187" s="71">
        <f>INDEX(DurClassMapping,MATCH(M1187,MappingTables!$D$4:$D$8,-1),1)</f>
        <v>1</v>
      </c>
      <c r="P1187" s="73">
        <f>IF(M1187=$A$1,1,$M1187-INDEX(MappingTables!$E$4:$E$8,MATCH(O1187,MappingTables!$B$4:$B$8,0)))</f>
        <v>1</v>
      </c>
      <c r="Q1187" s="71">
        <f>IF(B1187="",0,INDEX(ModelParameters!$D$6:$K$10,MATCH($O1187,ModelParameters!$B$6:$B$10,0),MATCH($J1187,ModelParameters!$D$5:$K$5,0)))</f>
        <v>0.03</v>
      </c>
      <c r="R1187" s="71">
        <f>IF(B1187="",0,INDEX(ModelParameters!$D$13:$K$17,MATCH($O1187,ModelParameters!$B$13:$B$17,0),MATCH($J1187,ModelParameters!$D$5:$K$5,0)))</f>
        <v>0</v>
      </c>
      <c r="S1187" s="160">
        <f>IF(B1187="",0,MIN(IF($N1187="Other Bond TM",ModelParameters!$N$21,1)*(P1187*Q1187+R1187),1))</f>
        <v>0.03</v>
      </c>
      <c r="T1187" s="85">
        <f>IF(B1187="",0,$S1187*$K1187)</f>
        <v>0.0014689916303443906</v>
      </c>
      <c r="U1187" s="85">
        <f>IF(B1187="",0,IF(OR(H1187=MappingTables!$C$34,H1187=MappingTables!$C$35),T1187,0))</f>
        <v>0</v>
      </c>
      <c r="V1187" s="85">
        <f>IF(ISNA(IF(AND(VLOOKUP(CONCATENATE($D1187,$G1187),CSRFinput!$B:$E,4,0)=0,OR(H1187=MappingTables!$C$34,H1187=MappingTables!$C$35)),1,VLOOKUP(CONCATENATE($D1187,$G1187),CSRFinput!$B:$E,4,0))),0,IF(AND(VLOOKUP(CONCATENATE($D1187,$G1187),CSRFinput!$B:$E,4,0)=0,OR(H1187=MappingTables!$C$34,H1187=MappingTables!$C$35)),1,VLOOKUP(CONCATENATE($D1187,$G1187),CSRFinput!$B:$E,4,0)))</f>
        <v>0.054776304963434752</v>
      </c>
      <c r="W1187" s="85">
        <f>IF(B1187="",0,+$T1187*$V1187)</f>
        <v>0.000080465933532477552</v>
      </c>
      <c r="X1187" s="85">
        <f>IF(B1187="",0,IF(OR(H1187=MappingTables!$C$34,H1187=MappingTables!$C$35),W1187,0))</f>
        <v>0</v>
      </c>
    </row>
    <row r="1188" spans="2:24" s="0" customFormat="0" ht="15">
      <c r="B1188" s="69">
        <v>12894599</v>
      </c>
      <c r="C1188" s="70" t="s">
        <v>1458</v>
      </c>
      <c r="D1188" s="70" t="s">
        <v>1</v>
      </c>
      <c r="E1188" s="70" t="s">
        <v>1</v>
      </c>
      <c r="F1188" s="70"/>
      <c r="G1188" s="70" t="s">
        <v>61</v>
      </c>
      <c r="H1188" s="70" t="s">
        <v>178</v>
      </c>
      <c r="I1188" s="70" t="s">
        <v>188</v>
      </c>
      <c r="J1188" s="71">
        <f>IF(OR(I1188=0,I1188=""),"unrated",VLOOKUP(I1188,MappingTables!$B$19:$C$31,2,FALSE))</f>
        <v>2</v>
      </c>
      <c r="K1188" s="72">
        <v>4733.7009117729952</v>
      </c>
      <c r="L1188" s="70">
        <v>0.87008761490953488</v>
      </c>
      <c r="M1188" s="71">
        <f>IF(L1188&lt;1,1,L1188)</f>
        <v>1</v>
      </c>
      <c r="N1188" s="70" t="s">
        <v>141</v>
      </c>
      <c r="O1188" s="71">
        <f>INDEX(DurClassMapping,MATCH(M1188,MappingTables!$D$4:$D$8,-1),1)</f>
        <v>1</v>
      </c>
      <c r="P1188" s="73">
        <f>IF(M1188=$A$1,1,$M1188-INDEX(MappingTables!$E$4:$E$8,MATCH(O1188,MappingTables!$B$4:$B$8,0)))</f>
        <v>1</v>
      </c>
      <c r="Q1188" s="71">
        <f>IF(B1188="",0,INDEX(ModelParameters!$D$6:$K$10,MATCH($O1188,ModelParameters!$B$6:$B$10,0),MATCH($J1188,ModelParameters!$D$5:$K$5,0)))</f>
        <v>0.013999999999999998</v>
      </c>
      <c r="R1188" s="71">
        <f>IF(B1188="",0,INDEX(ModelParameters!$D$13:$K$17,MATCH($O1188,ModelParameters!$B$13:$B$17,0),MATCH($J1188,ModelParameters!$D$5:$K$5,0)))</f>
        <v>0</v>
      </c>
      <c r="S1188" s="160">
        <f>IF(B1188="",0,MIN(IF($N1188="Other Bond TM",ModelParameters!$N$21,1)*(P1188*Q1188+R1188),1))</f>
        <v>0.013999999999999998</v>
      </c>
      <c r="T1188" s="85">
        <f>IF(B1188="",0,$S1188*$K1188)</f>
        <v>66.27181276482192</v>
      </c>
      <c r="U1188" s="85">
        <f>IF(B1188="",0,IF(OR(H1188=MappingTables!$C$34,H1188=MappingTables!$C$35),T1188,0))</f>
        <v>0</v>
      </c>
      <c r="V1188" s="85">
        <f>IF(ISNA(IF(AND(VLOOKUP(CONCATENATE($D1188,$G1188),CSRFinput!$B:$E,4,0)=0,OR(H1188=MappingTables!$C$34,H1188=MappingTables!$C$35)),1,VLOOKUP(CONCATENATE($D1188,$G1188),CSRFinput!$B:$E,4,0))),0,IF(AND(VLOOKUP(CONCATENATE($D1188,$G1188),CSRFinput!$B:$E,4,0)=0,OR(H1188=MappingTables!$C$34,H1188=MappingTables!$C$35)),1,VLOOKUP(CONCATENATE($D1188,$G1188),CSRFinput!$B:$E,4,0)))</f>
        <v>0.054776304963434752</v>
      </c>
      <c r="W1188" s="85">
        <f>IF(B1188="",0,+$T1188*$V1188)</f>
        <v>3.6301250264855336</v>
      </c>
      <c r="X1188" s="85">
        <f>IF(B1188="",0,IF(OR(H1188=MappingTables!$C$34,H1188=MappingTables!$C$35),W1188,0))</f>
        <v>0</v>
      </c>
    </row>
    <row r="1189" spans="2:24" s="0" customFormat="0" ht="15">
      <c r="B1189" s="69">
        <v>11998306</v>
      </c>
      <c r="C1189" s="70" t="s">
        <v>1459</v>
      </c>
      <c r="D1189" s="70" t="s">
        <v>1</v>
      </c>
      <c r="E1189" s="70" t="s">
        <v>1</v>
      </c>
      <c r="F1189" s="70"/>
      <c r="G1189" s="70" t="s">
        <v>61</v>
      </c>
      <c r="H1189" s="70" t="s">
        <v>178</v>
      </c>
      <c r="I1189" s="70" t="s">
        <v>188</v>
      </c>
      <c r="J1189" s="71">
        <f>IF(OR(I1189=0,I1189=""),"unrated",VLOOKUP(I1189,MappingTables!$B$19:$C$31,2,FALSE))</f>
        <v>2</v>
      </c>
      <c r="K1189" s="72">
        <v>47.10330036261028</v>
      </c>
      <c r="L1189" s="70">
        <v>0.39726036477187104</v>
      </c>
      <c r="M1189" s="71">
        <f>IF(L1189&lt;1,1,L1189)</f>
        <v>1</v>
      </c>
      <c r="N1189" s="70" t="s">
        <v>141</v>
      </c>
      <c r="O1189" s="71">
        <f>INDEX(DurClassMapping,MATCH(M1189,MappingTables!$D$4:$D$8,-1),1)</f>
        <v>1</v>
      </c>
      <c r="P1189" s="73">
        <f>IF(M1189=$A$1,1,$M1189-INDEX(MappingTables!$E$4:$E$8,MATCH(O1189,MappingTables!$B$4:$B$8,0)))</f>
        <v>1</v>
      </c>
      <c r="Q1189" s="71">
        <f>IF(B1189="",0,INDEX(ModelParameters!$D$6:$K$10,MATCH($O1189,ModelParameters!$B$6:$B$10,0),MATCH($J1189,ModelParameters!$D$5:$K$5,0)))</f>
        <v>0.013999999999999998</v>
      </c>
      <c r="R1189" s="71">
        <f>IF(B1189="",0,INDEX(ModelParameters!$D$13:$K$17,MATCH($O1189,ModelParameters!$B$13:$B$17,0),MATCH($J1189,ModelParameters!$D$5:$K$5,0)))</f>
        <v>0</v>
      </c>
      <c r="S1189" s="160">
        <f>IF(B1189="",0,MIN(IF($N1189="Other Bond TM",ModelParameters!$N$21,1)*(P1189*Q1189+R1189),1))</f>
        <v>0.013999999999999998</v>
      </c>
      <c r="T1189" s="85">
        <f>IF(B1189="",0,$S1189*$K1189)</f>
        <v>0.65944620507654392</v>
      </c>
      <c r="U1189" s="85">
        <f>IF(B1189="",0,IF(OR(H1189=MappingTables!$C$34,H1189=MappingTables!$C$35),T1189,0))</f>
        <v>0</v>
      </c>
      <c r="V1189" s="85">
        <f>IF(ISNA(IF(AND(VLOOKUP(CONCATENATE($D1189,$G1189),CSRFinput!$B:$E,4,0)=0,OR(H1189=MappingTables!$C$34,H1189=MappingTables!$C$35)),1,VLOOKUP(CONCATENATE($D1189,$G1189),CSRFinput!$B:$E,4,0))),0,IF(AND(VLOOKUP(CONCATENATE($D1189,$G1189),CSRFinput!$B:$E,4,0)=0,OR(H1189=MappingTables!$C$34,H1189=MappingTables!$C$35)),1,VLOOKUP(CONCATENATE($D1189,$G1189),CSRFinput!$B:$E,4,0)))</f>
        <v>0.054776304963434752</v>
      </c>
      <c r="W1189" s="85">
        <f>IF(B1189="",0,+$T1189*$V1189)</f>
        <v>0.036122026436252504</v>
      </c>
      <c r="X1189" s="85">
        <f>IF(B1189="",0,IF(OR(H1189=MappingTables!$C$34,H1189=MappingTables!$C$35),W1189,0))</f>
        <v>0</v>
      </c>
    </row>
    <row r="1190" spans="2:24" s="0" customFormat="0" ht="15">
      <c r="B1190" s="69">
        <v>24410842</v>
      </c>
      <c r="C1190" s="70" t="s">
        <v>1460</v>
      </c>
      <c r="D1190" s="70" t="s">
        <v>1</v>
      </c>
      <c r="E1190" s="70" t="s">
        <v>1</v>
      </c>
      <c r="F1190" s="70"/>
      <c r="G1190" s="70" t="s">
        <v>61</v>
      </c>
      <c r="H1190" s="70" t="s">
        <v>178</v>
      </c>
      <c r="I1190" s="70" t="s">
        <v>188</v>
      </c>
      <c r="J1190" s="71">
        <f>IF(OR(I1190=0,I1190=""),"unrated",VLOOKUP(I1190,MappingTables!$B$19:$C$31,2,FALSE))</f>
        <v>2</v>
      </c>
      <c r="K1190" s="72">
        <v>1072.1939318537716</v>
      </c>
      <c r="L1190" s="70">
        <v>0.73079594177724128</v>
      </c>
      <c r="M1190" s="71">
        <f>IF(L1190&lt;1,1,L1190)</f>
        <v>1</v>
      </c>
      <c r="N1190" s="70" t="s">
        <v>141</v>
      </c>
      <c r="O1190" s="71">
        <f>INDEX(DurClassMapping,MATCH(M1190,MappingTables!$D$4:$D$8,-1),1)</f>
        <v>1</v>
      </c>
      <c r="P1190" s="73">
        <f>IF(M1190=$A$1,1,$M1190-INDEX(MappingTables!$E$4:$E$8,MATCH(O1190,MappingTables!$B$4:$B$8,0)))</f>
        <v>1</v>
      </c>
      <c r="Q1190" s="71">
        <f>IF(B1190="",0,INDEX(ModelParameters!$D$6:$K$10,MATCH($O1190,ModelParameters!$B$6:$B$10,0),MATCH($J1190,ModelParameters!$D$5:$K$5,0)))</f>
        <v>0.013999999999999998</v>
      </c>
      <c r="R1190" s="71">
        <f>IF(B1190="",0,INDEX(ModelParameters!$D$13:$K$17,MATCH($O1190,ModelParameters!$B$13:$B$17,0),MATCH($J1190,ModelParameters!$D$5:$K$5,0)))</f>
        <v>0</v>
      </c>
      <c r="S1190" s="160">
        <f>IF(B1190="",0,MIN(IF($N1190="Other Bond TM",ModelParameters!$N$21,1)*(P1190*Q1190+R1190),1))</f>
        <v>0.013999999999999998</v>
      </c>
      <c r="T1190" s="85">
        <f>IF(B1190="",0,$S1190*$K1190)</f>
        <v>15.0107150459528</v>
      </c>
      <c r="U1190" s="85">
        <f>IF(B1190="",0,IF(OR(H1190=MappingTables!$C$34,H1190=MappingTables!$C$35),T1190,0))</f>
        <v>0</v>
      </c>
      <c r="V1190" s="85">
        <f>IF(ISNA(IF(AND(VLOOKUP(CONCATENATE($D1190,$G1190),CSRFinput!$B:$E,4,0)=0,OR(H1190=MappingTables!$C$34,H1190=MappingTables!$C$35)),1,VLOOKUP(CONCATENATE($D1190,$G1190),CSRFinput!$B:$E,4,0))),0,IF(AND(VLOOKUP(CONCATENATE($D1190,$G1190),CSRFinput!$B:$E,4,0)=0,OR(H1190=MappingTables!$C$34,H1190=MappingTables!$C$35)),1,VLOOKUP(CONCATENATE($D1190,$G1190),CSRFinput!$B:$E,4,0)))</f>
        <v>0.054776304963434752</v>
      </c>
      <c r="W1190" s="85">
        <f>IF(B1190="",0,+$T1190*$V1190)</f>
        <v>0.82223150507632912</v>
      </c>
      <c r="X1190" s="85">
        <f>IF(B1190="",0,IF(OR(H1190=MappingTables!$C$34,H1190=MappingTables!$C$35),W1190,0))</f>
        <v>0</v>
      </c>
    </row>
    <row r="1191" spans="2:24" s="0" customFormat="0" ht="15">
      <c r="B1191" s="69">
        <v>24137384</v>
      </c>
      <c r="C1191" s="70" t="s">
        <v>678</v>
      </c>
      <c r="D1191" s="70" t="s">
        <v>1</v>
      </c>
      <c r="E1191" s="70" t="s">
        <v>1</v>
      </c>
      <c r="F1191" s="70"/>
      <c r="G1191" s="70" t="s">
        <v>61</v>
      </c>
      <c r="H1191" s="70" t="s">
        <v>178</v>
      </c>
      <c r="I1191" s="70" t="s">
        <v>181</v>
      </c>
      <c r="J1191" s="71">
        <f>IF(OR(I1191=0,I1191=""),"unrated",VLOOKUP(I1191,MappingTables!$B$19:$C$31,2,FALSE))</f>
        <v>3</v>
      </c>
      <c r="K1191" s="72">
        <v>1043.543794181284</v>
      </c>
      <c r="L1191" s="70">
        <v>2.886946520704132</v>
      </c>
      <c r="M1191" s="71">
        <f>IF(L1191&lt;1,1,L1191)</f>
        <v>2.886946520704132</v>
      </c>
      <c r="N1191" s="70" t="s">
        <v>141</v>
      </c>
      <c r="O1191" s="71">
        <f>INDEX(DurClassMapping,MATCH(M1191,MappingTables!$D$4:$D$8,-1),1)</f>
        <v>1</v>
      </c>
      <c r="P1191" s="73">
        <f>IF(M1191=$A$1,1,$M1191-INDEX(MappingTables!$E$4:$E$8,MATCH(O1191,MappingTables!$B$4:$B$8,0)))</f>
        <v>2.886946520704132</v>
      </c>
      <c r="Q1191" s="71">
        <f>IF(B1191="",0,INDEX(ModelParameters!$D$6:$K$10,MATCH($O1191,ModelParameters!$B$6:$B$10,0),MATCH($J1191,ModelParameters!$D$5:$K$5,0)))</f>
        <v>0.025</v>
      </c>
      <c r="R1191" s="71">
        <f>IF(B1191="",0,INDEX(ModelParameters!$D$13:$K$17,MATCH($O1191,ModelParameters!$B$13:$B$17,0),MATCH($J1191,ModelParameters!$D$5:$K$5,0)))</f>
        <v>0</v>
      </c>
      <c r="S1191" s="160">
        <f>IF(B1191="",0,MIN(IF($N1191="Other Bond TM",ModelParameters!$N$21,1)*(P1191*Q1191+R1191),1))</f>
        <v>0.072173663017603296</v>
      </c>
      <c r="T1191" s="85">
        <f>IF(B1191="",0,$S1191*$K1191)</f>
        <v>75.316378145351168</v>
      </c>
      <c r="U1191" s="85">
        <f>IF(B1191="",0,IF(OR(H1191=MappingTables!$C$34,H1191=MappingTables!$C$35),T1191,0))</f>
        <v>0</v>
      </c>
      <c r="V1191" s="85">
        <f>IF(ISNA(IF(AND(VLOOKUP(CONCATENATE($D1191,$G1191),CSRFinput!$B:$E,4,0)=0,OR(H1191=MappingTables!$C$34,H1191=MappingTables!$C$35)),1,VLOOKUP(CONCATENATE($D1191,$G1191),CSRFinput!$B:$E,4,0))),0,IF(AND(VLOOKUP(CONCATENATE($D1191,$G1191),CSRFinput!$B:$E,4,0)=0,OR(H1191=MappingTables!$C$34,H1191=MappingTables!$C$35)),1,VLOOKUP(CONCATENATE($D1191,$G1191),CSRFinput!$B:$E,4,0)))</f>
        <v>0.054776304963434752</v>
      </c>
      <c r="W1191" s="85">
        <f>IF(B1191="",0,+$T1191*$V1191)</f>
        <v>4.1255528980311272</v>
      </c>
      <c r="X1191" s="85">
        <f>IF(B1191="",0,IF(OR(H1191=MappingTables!$C$34,H1191=MappingTables!$C$35),W1191,0))</f>
        <v>0</v>
      </c>
    </row>
    <row r="1192" spans="2:24" s="0" customFormat="0" ht="15">
      <c r="B1192" s="69">
        <v>21729563</v>
      </c>
      <c r="C1192" s="70" t="s">
        <v>643</v>
      </c>
      <c r="D1192" s="70" t="s">
        <v>1</v>
      </c>
      <c r="E1192" s="70" t="s">
        <v>1</v>
      </c>
      <c r="F1192" s="70"/>
      <c r="G1192" s="70" t="s">
        <v>61</v>
      </c>
      <c r="H1192" s="70" t="s">
        <v>178</v>
      </c>
      <c r="I1192" s="70" t="s">
        <v>188</v>
      </c>
      <c r="J1192" s="71">
        <f>IF(OR(I1192=0,I1192=""),"unrated",VLOOKUP(I1192,MappingTables!$B$19:$C$31,2,FALSE))</f>
        <v>2</v>
      </c>
      <c r="K1192" s="72">
        <v>5669.904635655228</v>
      </c>
      <c r="L1192" s="70">
        <v>6.3205378683052968</v>
      </c>
      <c r="M1192" s="71">
        <f>IF(L1192&lt;1,1,L1192)</f>
        <v>6.3205378683052968</v>
      </c>
      <c r="N1192" s="70" t="s">
        <v>141</v>
      </c>
      <c r="O1192" s="71">
        <f>INDEX(DurClassMapping,MATCH(M1192,MappingTables!$D$4:$D$8,-1),1)</f>
        <v>2</v>
      </c>
      <c r="P1192" s="73">
        <f>IF(M1192=$A$1,1,$M1192-INDEX(MappingTables!$E$4:$E$8,MATCH(O1192,MappingTables!$B$4:$B$8,0)))</f>
        <v>1.3205378683052968</v>
      </c>
      <c r="Q1192" s="71">
        <f>IF(B1192="",0,INDEX(ModelParameters!$D$6:$K$10,MATCH($O1192,ModelParameters!$B$6:$B$10,0),MATCH($J1192,ModelParameters!$D$5:$K$5,0)))</f>
        <v>0.0069999999999999992</v>
      </c>
      <c r="R1192" s="71">
        <f>IF(B1192="",0,INDEX(ModelParameters!$D$13:$K$17,MATCH($O1192,ModelParameters!$B$13:$B$17,0),MATCH($J1192,ModelParameters!$D$5:$K$5,0)))</f>
        <v>0.070000000000000008</v>
      </c>
      <c r="S1192" s="160">
        <f>IF(B1192="",0,MIN(IF($N1192="Other Bond TM",ModelParameters!$N$21,1)*(P1192*Q1192+R1192),1))</f>
        <v>0.079243765078137088</v>
      </c>
      <c r="T1192" s="85">
        <f>IF(B1192="",0,$S1192*$K1192)</f>
        <v>449.30459096330336</v>
      </c>
      <c r="U1192" s="85">
        <f>IF(B1192="",0,IF(OR(H1192=MappingTables!$C$34,H1192=MappingTables!$C$35),T1192,0))</f>
        <v>0</v>
      </c>
      <c r="V1192" s="85">
        <f>IF(ISNA(IF(AND(VLOOKUP(CONCATENATE($D1192,$G1192),CSRFinput!$B:$E,4,0)=0,OR(H1192=MappingTables!$C$34,H1192=MappingTables!$C$35)),1,VLOOKUP(CONCATENATE($D1192,$G1192),CSRFinput!$B:$E,4,0))),0,IF(AND(VLOOKUP(CONCATENATE($D1192,$G1192),CSRFinput!$B:$E,4,0)=0,OR(H1192=MappingTables!$C$34,H1192=MappingTables!$C$35)),1,VLOOKUP(CONCATENATE($D1192,$G1192),CSRFinput!$B:$E,4,0)))</f>
        <v>0.054776304963434752</v>
      </c>
      <c r="W1192" s="85">
        <f>IF(B1192="",0,+$T1192*$V1192)</f>
        <v>24.611245296077216</v>
      </c>
      <c r="X1192" s="85">
        <f>IF(B1192="",0,IF(OR(H1192=MappingTables!$C$34,H1192=MappingTables!$C$35),W1192,0))</f>
        <v>0</v>
      </c>
    </row>
    <row r="1193" spans="2:24" s="0" customFormat="0" ht="15">
      <c r="B1193" s="69">
        <v>16974005</v>
      </c>
      <c r="C1193" s="70" t="s">
        <v>1461</v>
      </c>
      <c r="D1193" s="70" t="s">
        <v>1</v>
      </c>
      <c r="E1193" s="70" t="s">
        <v>1</v>
      </c>
      <c r="F1193" s="70"/>
      <c r="G1193" s="70" t="s">
        <v>61</v>
      </c>
      <c r="H1193" s="70" t="s">
        <v>178</v>
      </c>
      <c r="I1193" s="70" t="s">
        <v>220</v>
      </c>
      <c r="J1193" s="71">
        <f>IF(OR(I1193=0,I1193=""),"unrated",VLOOKUP(I1193,MappingTables!$B$19:$C$31,2,FALSE))</f>
        <v>1</v>
      </c>
      <c r="K1193" s="72">
        <v>5880.9013850672472</v>
      </c>
      <c r="L1193" s="70">
        <v>0.13698835925908418</v>
      </c>
      <c r="M1193" s="71">
        <f>IF(L1193&lt;1,1,L1193)</f>
        <v>1</v>
      </c>
      <c r="N1193" s="70" t="s">
        <v>141</v>
      </c>
      <c r="O1193" s="71">
        <f>INDEX(DurClassMapping,MATCH(M1193,MappingTables!$D$4:$D$8,-1),1)</f>
        <v>1</v>
      </c>
      <c r="P1193" s="73">
        <f>IF(M1193=$A$1,1,$M1193-INDEX(MappingTables!$E$4:$E$8,MATCH(O1193,MappingTables!$B$4:$B$8,0)))</f>
        <v>1</v>
      </c>
      <c r="Q1193" s="71">
        <f>IF(B1193="",0,INDEX(ModelParameters!$D$6:$K$10,MATCH($O1193,ModelParameters!$B$6:$B$10,0),MATCH($J1193,ModelParameters!$D$5:$K$5,0)))</f>
        <v>0.011000000000000002</v>
      </c>
      <c r="R1193" s="71">
        <f>IF(B1193="",0,INDEX(ModelParameters!$D$13:$K$17,MATCH($O1193,ModelParameters!$B$13:$B$17,0),MATCH($J1193,ModelParameters!$D$5:$K$5,0)))</f>
        <v>0</v>
      </c>
      <c r="S1193" s="160">
        <f>IF(B1193="",0,MIN(IF($N1193="Other Bond TM",ModelParameters!$N$21,1)*(P1193*Q1193+R1193),1))</f>
        <v>0.011000000000000002</v>
      </c>
      <c r="T1193" s="85">
        <f>IF(B1193="",0,$S1193*$K1193)</f>
        <v>64.689915235739736</v>
      </c>
      <c r="U1193" s="85">
        <f>IF(B1193="",0,IF(OR(H1193=MappingTables!$C$34,H1193=MappingTables!$C$35),T1193,0))</f>
        <v>0</v>
      </c>
      <c r="V1193" s="85">
        <f>IF(ISNA(IF(AND(VLOOKUP(CONCATENATE($D1193,$G1193),CSRFinput!$B:$E,4,0)=0,OR(H1193=MappingTables!$C$34,H1193=MappingTables!$C$35)),1,VLOOKUP(CONCATENATE($D1193,$G1193),CSRFinput!$B:$E,4,0))),0,IF(AND(VLOOKUP(CONCATENATE($D1193,$G1193),CSRFinput!$B:$E,4,0)=0,OR(H1193=MappingTables!$C$34,H1193=MappingTables!$C$35)),1,VLOOKUP(CONCATENATE($D1193,$G1193),CSRFinput!$B:$E,4,0)))</f>
        <v>0.054776304963434752</v>
      </c>
      <c r="W1193" s="85">
        <f>IF(B1193="",0,+$T1193*$V1193)</f>
        <v>3.5434745250116236</v>
      </c>
      <c r="X1193" s="85">
        <f>IF(B1193="",0,IF(OR(H1193=MappingTables!$C$34,H1193=MappingTables!$C$35),W1193,0))</f>
        <v>0</v>
      </c>
    </row>
    <row r="1194" spans="2:24" s="0" customFormat="0" ht="15">
      <c r="B1194" s="69" t="s">
        <v>1462</v>
      </c>
      <c r="C1194" s="70" t="s">
        <v>1463</v>
      </c>
      <c r="D1194" s="70" t="s">
        <v>1</v>
      </c>
      <c r="E1194" s="70" t="s">
        <v>1</v>
      </c>
      <c r="F1194" s="70"/>
      <c r="G1194" s="70" t="s">
        <v>61</v>
      </c>
      <c r="H1194" s="70" t="s">
        <v>178</v>
      </c>
      <c r="I1194" s="70" t="s">
        <v>179</v>
      </c>
      <c r="J1194" s="71">
        <f>IF(OR(I1194=0,I1194=""),"unrated",VLOOKUP(I1194,MappingTables!$B$19:$C$31,2,FALSE))</f>
        <v>4</v>
      </c>
      <c r="K1194" s="72">
        <v>6298.3894065544616</v>
      </c>
      <c r="L1194" s="70">
        <v>1.3688011496538088</v>
      </c>
      <c r="M1194" s="71">
        <f>IF(L1194&lt;1,1,L1194)</f>
        <v>1.3688011496538088</v>
      </c>
      <c r="N1194" s="70" t="s">
        <v>141</v>
      </c>
      <c r="O1194" s="71">
        <f>INDEX(DurClassMapping,MATCH(M1194,MappingTables!$D$4:$D$8,-1),1)</f>
        <v>1</v>
      </c>
      <c r="P1194" s="73">
        <f>IF(M1194=$A$1,1,$M1194-INDEX(MappingTables!$E$4:$E$8,MATCH(O1194,MappingTables!$B$4:$B$8,0)))</f>
        <v>1.3688011496538088</v>
      </c>
      <c r="Q1194" s="71">
        <f>IF(B1194="",0,INDEX(ModelParameters!$D$6:$K$10,MATCH($O1194,ModelParameters!$B$6:$B$10,0),MATCH($J1194,ModelParameters!$D$5:$K$5,0)))</f>
        <v>0.045</v>
      </c>
      <c r="R1194" s="71">
        <f>IF(B1194="",0,INDEX(ModelParameters!$D$13:$K$17,MATCH($O1194,ModelParameters!$B$13:$B$17,0),MATCH($J1194,ModelParameters!$D$5:$K$5,0)))</f>
        <v>0</v>
      </c>
      <c r="S1194" s="160">
        <f>IF(B1194="",0,MIN(IF($N1194="Other Bond TM",ModelParameters!$N$21,1)*(P1194*Q1194+R1194),1))</f>
        <v>0.0615960517344214</v>
      </c>
      <c r="T1194" s="85">
        <f>IF(B1194="",0,$S1194*$K1194)</f>
        <v>387.95591972966032</v>
      </c>
      <c r="U1194" s="85">
        <f>IF(B1194="",0,IF(OR(H1194=MappingTables!$C$34,H1194=MappingTables!$C$35),T1194,0))</f>
        <v>0</v>
      </c>
      <c r="V1194" s="85">
        <f>IF(ISNA(IF(AND(VLOOKUP(CONCATENATE($D1194,$G1194),CSRFinput!$B:$E,4,0)=0,OR(H1194=MappingTables!$C$34,H1194=MappingTables!$C$35)),1,VLOOKUP(CONCATENATE($D1194,$G1194),CSRFinput!$B:$E,4,0))),0,IF(AND(VLOOKUP(CONCATENATE($D1194,$G1194),CSRFinput!$B:$E,4,0)=0,OR(H1194=MappingTables!$C$34,H1194=MappingTables!$C$35)),1,VLOOKUP(CONCATENATE($D1194,$G1194),CSRFinput!$B:$E,4,0)))</f>
        <v>0.054776304963434752</v>
      </c>
      <c r="W1194" s="85">
        <f>IF(B1194="",0,+$T1194*$V1194)</f>
        <v>21.250791771481688</v>
      </c>
      <c r="X1194" s="85">
        <f>IF(B1194="",0,IF(OR(H1194=MappingTables!$C$34,H1194=MappingTables!$C$35),W1194,0))</f>
        <v>0</v>
      </c>
    </row>
    <row r="1195" spans="2:24" s="0" customFormat="0" ht="15">
      <c r="B1195" s="69" t="s">
        <v>1464</v>
      </c>
      <c r="C1195" s="70" t="s">
        <v>1465</v>
      </c>
      <c r="D1195" s="70" t="s">
        <v>1</v>
      </c>
      <c r="E1195" s="70" t="s">
        <v>1</v>
      </c>
      <c r="F1195" s="70"/>
      <c r="G1195" s="70" t="s">
        <v>61</v>
      </c>
      <c r="H1195" s="70" t="s">
        <v>178</v>
      </c>
      <c r="I1195" s="70" t="s">
        <v>188</v>
      </c>
      <c r="J1195" s="71">
        <f>IF(OR(I1195=0,I1195=""),"unrated",VLOOKUP(I1195,MappingTables!$B$19:$C$31,2,FALSE))</f>
        <v>2</v>
      </c>
      <c r="K1195" s="72">
        <v>0.63347502722304904</v>
      </c>
      <c r="L1195" s="70">
        <v>0.68219734267947848</v>
      </c>
      <c r="M1195" s="71">
        <f>IF(L1195&lt;1,1,L1195)</f>
        <v>1</v>
      </c>
      <c r="N1195" s="70" t="s">
        <v>141</v>
      </c>
      <c r="O1195" s="71">
        <f>INDEX(DurClassMapping,MATCH(M1195,MappingTables!$D$4:$D$8,-1),1)</f>
        <v>1</v>
      </c>
      <c r="P1195" s="73">
        <f>IF(M1195=$A$1,1,$M1195-INDEX(MappingTables!$E$4:$E$8,MATCH(O1195,MappingTables!$B$4:$B$8,0)))</f>
        <v>1</v>
      </c>
      <c r="Q1195" s="71">
        <f>IF(B1195="",0,INDEX(ModelParameters!$D$6:$K$10,MATCH($O1195,ModelParameters!$B$6:$B$10,0),MATCH($J1195,ModelParameters!$D$5:$K$5,0)))</f>
        <v>0.013999999999999998</v>
      </c>
      <c r="R1195" s="71">
        <f>IF(B1195="",0,INDEX(ModelParameters!$D$13:$K$17,MATCH($O1195,ModelParameters!$B$13:$B$17,0),MATCH($J1195,ModelParameters!$D$5:$K$5,0)))</f>
        <v>0</v>
      </c>
      <c r="S1195" s="160">
        <f>IF(B1195="",0,MIN(IF($N1195="Other Bond TM",ModelParameters!$N$21,1)*(P1195*Q1195+R1195),1))</f>
        <v>0.013999999999999998</v>
      </c>
      <c r="T1195" s="85">
        <f>IF(B1195="",0,$S1195*$K1195)</f>
        <v>0.0088686503811226864</v>
      </c>
      <c r="U1195" s="85">
        <f>IF(B1195="",0,IF(OR(H1195=MappingTables!$C$34,H1195=MappingTables!$C$35),T1195,0))</f>
        <v>0</v>
      </c>
      <c r="V1195" s="85">
        <f>IF(ISNA(IF(AND(VLOOKUP(CONCATENATE($D1195,$G1195),CSRFinput!$B:$E,4,0)=0,OR(H1195=MappingTables!$C$34,H1195=MappingTables!$C$35)),1,VLOOKUP(CONCATENATE($D1195,$G1195),CSRFinput!$B:$E,4,0))),0,IF(AND(VLOOKUP(CONCATENATE($D1195,$G1195),CSRFinput!$B:$E,4,0)=0,OR(H1195=MappingTables!$C$34,H1195=MappingTables!$C$35)),1,VLOOKUP(CONCATENATE($D1195,$G1195),CSRFinput!$B:$E,4,0)))</f>
        <v>0.054776304963434752</v>
      </c>
      <c r="W1195" s="85">
        <f>IF(B1195="",0,+$T1195*$V1195)</f>
        <v>0.00048579189789045816</v>
      </c>
      <c r="X1195" s="85">
        <f>IF(B1195="",0,IF(OR(H1195=MappingTables!$C$34,H1195=MappingTables!$C$35),W1195,0))</f>
        <v>0</v>
      </c>
    </row>
    <row r="1196" spans="2:24" s="0" customFormat="0" ht="15">
      <c r="B1196" s="69">
        <v>20668560</v>
      </c>
      <c r="C1196" s="70" t="s">
        <v>1466</v>
      </c>
      <c r="D1196" s="70" t="s">
        <v>1</v>
      </c>
      <c r="E1196" s="70" t="s">
        <v>1</v>
      </c>
      <c r="F1196" s="70"/>
      <c r="G1196" s="70" t="s">
        <v>61</v>
      </c>
      <c r="H1196" s="70" t="s">
        <v>178</v>
      </c>
      <c r="I1196" s="70" t="s">
        <v>220</v>
      </c>
      <c r="J1196" s="71">
        <f>IF(OR(I1196=0,I1196=""),"unrated",VLOOKUP(I1196,MappingTables!$B$19:$C$31,2,FALSE))</f>
        <v>1</v>
      </c>
      <c r="K1196" s="72">
        <v>15360.709563688002</v>
      </c>
      <c r="L1196" s="70">
        <v>17.423186402738394</v>
      </c>
      <c r="M1196" s="71">
        <f>IF(L1196&lt;1,1,L1196)</f>
        <v>17.423186402738394</v>
      </c>
      <c r="N1196" s="70" t="s">
        <v>141</v>
      </c>
      <c r="O1196" s="71">
        <f>INDEX(DurClassMapping,MATCH(M1196,MappingTables!$D$4:$D$8,-1),1)</f>
        <v>4</v>
      </c>
      <c r="P1196" s="73">
        <f>IF(M1196=$A$1,1,$M1196-INDEX(MappingTables!$E$4:$E$8,MATCH(O1196,MappingTables!$B$4:$B$8,0)))</f>
        <v>2.4231864027383948</v>
      </c>
      <c r="Q1196" s="71">
        <f>IF(B1196="",0,INDEX(ModelParameters!$D$6:$K$10,MATCH($O1196,ModelParameters!$B$6:$B$10,0),MATCH($J1196,ModelParameters!$D$5:$K$5,0)))</f>
        <v>0.005</v>
      </c>
      <c r="R1196" s="71">
        <f>IF(B1196="",0,INDEX(ModelParameters!$D$13:$K$17,MATCH($O1196,ModelParameters!$B$13:$B$17,0),MATCH($J1196,ModelParameters!$D$5:$K$5,0)))</f>
        <v>0.11</v>
      </c>
      <c r="S1196" s="160">
        <f>IF(B1196="",0,MIN(IF($N1196="Other Bond TM",ModelParameters!$N$21,1)*(P1196*Q1196+R1196),1))</f>
        <v>0.12211593201369198</v>
      </c>
      <c r="T1196" s="85">
        <f>IF(B1196="",0,$S1196*$K1196)</f>
        <v>1875.787364761392</v>
      </c>
      <c r="U1196" s="85">
        <f>IF(B1196="",0,IF(OR(H1196=MappingTables!$C$34,H1196=MappingTables!$C$35),T1196,0))</f>
        <v>0</v>
      </c>
      <c r="V1196" s="85">
        <f>IF(ISNA(IF(AND(VLOOKUP(CONCATENATE($D1196,$G1196),CSRFinput!$B:$E,4,0)=0,OR(H1196=MappingTables!$C$34,H1196=MappingTables!$C$35)),1,VLOOKUP(CONCATENATE($D1196,$G1196),CSRFinput!$B:$E,4,0))),0,IF(AND(VLOOKUP(CONCATENATE($D1196,$G1196),CSRFinput!$B:$E,4,0)=0,OR(H1196=MappingTables!$C$34,H1196=MappingTables!$C$35)),1,VLOOKUP(CONCATENATE($D1196,$G1196),CSRFinput!$B:$E,4,0)))</f>
        <v>0.054776304963434752</v>
      </c>
      <c r="W1196" s="85">
        <f>IF(B1196="",0,+$T1196*$V1196)</f>
        <v>102.74870073872764</v>
      </c>
      <c r="X1196" s="85">
        <f>IF(B1196="",0,IF(OR(H1196=MappingTables!$C$34,H1196=MappingTables!$C$35),W1196,0))</f>
        <v>0</v>
      </c>
    </row>
    <row r="1197" spans="2:24" s="0" customFormat="0" ht="15">
      <c r="B1197" s="69">
        <v>12505494</v>
      </c>
      <c r="C1197" s="70" t="s">
        <v>1467</v>
      </c>
      <c r="D1197" s="70" t="s">
        <v>1</v>
      </c>
      <c r="E1197" s="70" t="s">
        <v>1</v>
      </c>
      <c r="F1197" s="70"/>
      <c r="G1197" s="70" t="s">
        <v>61</v>
      </c>
      <c r="H1197" s="70" t="s">
        <v>178</v>
      </c>
      <c r="I1197" s="70" t="s">
        <v>188</v>
      </c>
      <c r="J1197" s="71">
        <f>IF(OR(I1197=0,I1197=""),"unrated",VLOOKUP(I1197,MappingTables!$B$19:$C$31,2,FALSE))</f>
        <v>2</v>
      </c>
      <c r="K1197" s="72">
        <v>116.50326142877266</v>
      </c>
      <c r="L1197" s="70">
        <v>0.68156876135973008</v>
      </c>
      <c r="M1197" s="71">
        <f>IF(L1197&lt;1,1,L1197)</f>
        <v>1</v>
      </c>
      <c r="N1197" s="70" t="s">
        <v>141</v>
      </c>
      <c r="O1197" s="71">
        <f>INDEX(DurClassMapping,MATCH(M1197,MappingTables!$D$4:$D$8,-1),1)</f>
        <v>1</v>
      </c>
      <c r="P1197" s="73">
        <f>IF(M1197=$A$1,1,$M1197-INDEX(MappingTables!$E$4:$E$8,MATCH(O1197,MappingTables!$B$4:$B$8,0)))</f>
        <v>1</v>
      </c>
      <c r="Q1197" s="71">
        <f>IF(B1197="",0,INDEX(ModelParameters!$D$6:$K$10,MATCH($O1197,ModelParameters!$B$6:$B$10,0),MATCH($J1197,ModelParameters!$D$5:$K$5,0)))</f>
        <v>0.013999999999999998</v>
      </c>
      <c r="R1197" s="71">
        <f>IF(B1197="",0,INDEX(ModelParameters!$D$13:$K$17,MATCH($O1197,ModelParameters!$B$13:$B$17,0),MATCH($J1197,ModelParameters!$D$5:$K$5,0)))</f>
        <v>0</v>
      </c>
      <c r="S1197" s="160">
        <f>IF(B1197="",0,MIN(IF($N1197="Other Bond TM",ModelParameters!$N$21,1)*(P1197*Q1197+R1197),1))</f>
        <v>0.013999999999999998</v>
      </c>
      <c r="T1197" s="85">
        <f>IF(B1197="",0,$S1197*$K1197)</f>
        <v>1.6310456600028172</v>
      </c>
      <c r="U1197" s="85">
        <f>IF(B1197="",0,IF(OR(H1197=MappingTables!$C$34,H1197=MappingTables!$C$35),T1197,0))</f>
        <v>0</v>
      </c>
      <c r="V1197" s="85">
        <f>IF(ISNA(IF(AND(VLOOKUP(CONCATENATE($D1197,$G1197),CSRFinput!$B:$E,4,0)=0,OR(H1197=MappingTables!$C$34,H1197=MappingTables!$C$35)),1,VLOOKUP(CONCATENATE($D1197,$G1197),CSRFinput!$B:$E,4,0))),0,IF(AND(VLOOKUP(CONCATENATE($D1197,$G1197),CSRFinput!$B:$E,4,0)=0,OR(H1197=MappingTables!$C$34,H1197=MappingTables!$C$35)),1,VLOOKUP(CONCATENATE($D1197,$G1197),CSRFinput!$B:$E,4,0)))</f>
        <v>0.054776304963434752</v>
      </c>
      <c r="W1197" s="85">
        <f>IF(B1197="",0,+$T1197*$V1197)</f>
        <v>0.089342654481601024</v>
      </c>
      <c r="X1197" s="85">
        <f>IF(B1197="",0,IF(OR(H1197=MappingTables!$C$34,H1197=MappingTables!$C$35),W1197,0))</f>
        <v>0</v>
      </c>
    </row>
    <row r="1198" spans="2:24" s="0" customFormat="0" ht="15">
      <c r="B1198" s="69">
        <v>12398504</v>
      </c>
      <c r="C1198" s="70" t="s">
        <v>1468</v>
      </c>
      <c r="D1198" s="70" t="s">
        <v>1</v>
      </c>
      <c r="E1198" s="70" t="s">
        <v>1</v>
      </c>
      <c r="F1198" s="70"/>
      <c r="G1198" s="70" t="s">
        <v>61</v>
      </c>
      <c r="H1198" s="70" t="s">
        <v>178</v>
      </c>
      <c r="I1198" s="70" t="s">
        <v>181</v>
      </c>
      <c r="J1198" s="71">
        <f>IF(OR(I1198=0,I1198=""),"unrated",VLOOKUP(I1198,MappingTables!$B$19:$C$31,2,FALSE))</f>
        <v>3</v>
      </c>
      <c r="K1198" s="72">
        <v>12.216245761858262</v>
      </c>
      <c r="L1198" s="70">
        <v>0.62422900970245912</v>
      </c>
      <c r="M1198" s="71">
        <f>IF(L1198&lt;1,1,L1198)</f>
        <v>1</v>
      </c>
      <c r="N1198" s="70" t="s">
        <v>141</v>
      </c>
      <c r="O1198" s="71">
        <f>INDEX(DurClassMapping,MATCH(M1198,MappingTables!$D$4:$D$8,-1),1)</f>
        <v>1</v>
      </c>
      <c r="P1198" s="73">
        <f>IF(M1198=$A$1,1,$M1198-INDEX(MappingTables!$E$4:$E$8,MATCH(O1198,MappingTables!$B$4:$B$8,0)))</f>
        <v>1</v>
      </c>
      <c r="Q1198" s="71">
        <f>IF(B1198="",0,INDEX(ModelParameters!$D$6:$K$10,MATCH($O1198,ModelParameters!$B$6:$B$10,0),MATCH($J1198,ModelParameters!$D$5:$K$5,0)))</f>
        <v>0.025</v>
      </c>
      <c r="R1198" s="71">
        <f>IF(B1198="",0,INDEX(ModelParameters!$D$13:$K$17,MATCH($O1198,ModelParameters!$B$13:$B$17,0),MATCH($J1198,ModelParameters!$D$5:$K$5,0)))</f>
        <v>0</v>
      </c>
      <c r="S1198" s="160">
        <f>IF(B1198="",0,MIN(IF($N1198="Other Bond TM",ModelParameters!$N$21,1)*(P1198*Q1198+R1198),1))</f>
        <v>0.025</v>
      </c>
      <c r="T1198" s="85">
        <f>IF(B1198="",0,$S1198*$K1198)</f>
        <v>0.3054061440464566</v>
      </c>
      <c r="U1198" s="85">
        <f>IF(B1198="",0,IF(OR(H1198=MappingTables!$C$34,H1198=MappingTables!$C$35),T1198,0))</f>
        <v>0</v>
      </c>
      <c r="V1198" s="85">
        <f>IF(ISNA(IF(AND(VLOOKUP(CONCATENATE($D1198,$G1198),CSRFinput!$B:$E,4,0)=0,OR(H1198=MappingTables!$C$34,H1198=MappingTables!$C$35)),1,VLOOKUP(CONCATENATE($D1198,$G1198),CSRFinput!$B:$E,4,0))),0,IF(AND(VLOOKUP(CONCATENATE($D1198,$G1198),CSRFinput!$B:$E,4,0)=0,OR(H1198=MappingTables!$C$34,H1198=MappingTables!$C$35)),1,VLOOKUP(CONCATENATE($D1198,$G1198),CSRFinput!$B:$E,4,0)))</f>
        <v>0.054776304963434752</v>
      </c>
      <c r="W1198" s="85">
        <f>IF(B1198="",0,+$T1198*$V1198)</f>
        <v>0.016729020083995392</v>
      </c>
      <c r="X1198" s="85">
        <f>IF(B1198="",0,IF(OR(H1198=MappingTables!$C$34,H1198=MappingTables!$C$35),W1198,0))</f>
        <v>0</v>
      </c>
    </row>
    <row r="1199" spans="2:24" s="0" customFormat="0" ht="15">
      <c r="B1199" s="69">
        <v>19566679</v>
      </c>
      <c r="C1199" s="70" t="s">
        <v>1469</v>
      </c>
      <c r="D1199" s="70" t="s">
        <v>1</v>
      </c>
      <c r="E1199" s="70" t="s">
        <v>1</v>
      </c>
      <c r="F1199" s="70"/>
      <c r="G1199" s="70" t="s">
        <v>61</v>
      </c>
      <c r="H1199" s="70" t="s">
        <v>178</v>
      </c>
      <c r="I1199" s="70" t="s">
        <v>179</v>
      </c>
      <c r="J1199" s="71">
        <f>IF(OR(I1199=0,I1199=""),"unrated",VLOOKUP(I1199,MappingTables!$B$19:$C$31,2,FALSE))</f>
        <v>4</v>
      </c>
      <c r="K1199" s="72">
        <v>6838.5788147236656</v>
      </c>
      <c r="L1199" s="70">
        <v>3.9110978967677216</v>
      </c>
      <c r="M1199" s="71">
        <f>IF(L1199&lt;1,1,L1199)</f>
        <v>3.9110978967677216</v>
      </c>
      <c r="N1199" s="70" t="s">
        <v>141</v>
      </c>
      <c r="O1199" s="71">
        <f>INDEX(DurClassMapping,MATCH(M1199,MappingTables!$D$4:$D$8,-1),1)</f>
        <v>1</v>
      </c>
      <c r="P1199" s="73">
        <f>IF(M1199=$A$1,1,$M1199-INDEX(MappingTables!$E$4:$E$8,MATCH(O1199,MappingTables!$B$4:$B$8,0)))</f>
        <v>3.9110978967677216</v>
      </c>
      <c r="Q1199" s="71">
        <f>IF(B1199="",0,INDEX(ModelParameters!$D$6:$K$10,MATCH($O1199,ModelParameters!$B$6:$B$10,0),MATCH($J1199,ModelParameters!$D$5:$K$5,0)))</f>
        <v>0.045</v>
      </c>
      <c r="R1199" s="71">
        <f>IF(B1199="",0,INDEX(ModelParameters!$D$13:$K$17,MATCH($O1199,ModelParameters!$B$13:$B$17,0),MATCH($J1199,ModelParameters!$D$5:$K$5,0)))</f>
        <v>0</v>
      </c>
      <c r="S1199" s="160">
        <f>IF(B1199="",0,MIN(IF($N1199="Other Bond TM",ModelParameters!$N$21,1)*(P1199*Q1199+R1199),1))</f>
        <v>0.17599940535454744</v>
      </c>
      <c r="T1199" s="85">
        <f>IF(B1199="",0,$S1199*$K1199)</f>
        <v>1203.585804861571</v>
      </c>
      <c r="U1199" s="85">
        <f>IF(B1199="",0,IF(OR(H1199=MappingTables!$C$34,H1199=MappingTables!$C$35),T1199,0))</f>
        <v>0</v>
      </c>
      <c r="V1199" s="85">
        <f>IF(ISNA(IF(AND(VLOOKUP(CONCATENATE($D1199,$G1199),CSRFinput!$B:$E,4,0)=0,OR(H1199=MappingTables!$C$34,H1199=MappingTables!$C$35)),1,VLOOKUP(CONCATENATE($D1199,$G1199),CSRFinput!$B:$E,4,0))),0,IF(AND(VLOOKUP(CONCATENATE($D1199,$G1199),CSRFinput!$B:$E,4,0)=0,OR(H1199=MappingTables!$C$34,H1199=MappingTables!$C$35)),1,VLOOKUP(CONCATENATE($D1199,$G1199),CSRFinput!$B:$E,4,0)))</f>
        <v>0.054776304963434752</v>
      </c>
      <c r="W1199" s="85">
        <f>IF(B1199="",0,+$T1199*$V1199)</f>
        <v>65.92798309675848</v>
      </c>
      <c r="X1199" s="85">
        <f>IF(B1199="",0,IF(OR(H1199=MappingTables!$C$34,H1199=MappingTables!$C$35),W1199,0))</f>
        <v>0</v>
      </c>
    </row>
    <row r="1200" spans="2:24" s="0" customFormat="0" ht="15">
      <c r="B1200" s="69" t="s">
        <v>1188</v>
      </c>
      <c r="C1200" s="70" t="s">
        <v>1189</v>
      </c>
      <c r="D1200" s="70" t="s">
        <v>1</v>
      </c>
      <c r="E1200" s="70" t="s">
        <v>1</v>
      </c>
      <c r="F1200" s="70"/>
      <c r="G1200" s="70" t="s">
        <v>61</v>
      </c>
      <c r="H1200" s="70" t="s">
        <v>178</v>
      </c>
      <c r="I1200" s="70" t="s">
        <v>188</v>
      </c>
      <c r="J1200" s="71">
        <f>IF(OR(I1200=0,I1200=""),"unrated",VLOOKUP(I1200,MappingTables!$B$19:$C$31,2,FALSE))</f>
        <v>2</v>
      </c>
      <c r="K1200" s="72">
        <v>49.515482124150776</v>
      </c>
      <c r="L1200" s="70">
        <v>0.42134163426642664</v>
      </c>
      <c r="M1200" s="71">
        <f>IF(L1200&lt;1,1,L1200)</f>
        <v>1</v>
      </c>
      <c r="N1200" s="70" t="s">
        <v>141</v>
      </c>
      <c r="O1200" s="71">
        <f>INDEX(DurClassMapping,MATCH(M1200,MappingTables!$D$4:$D$8,-1),1)</f>
        <v>1</v>
      </c>
      <c r="P1200" s="73">
        <f>IF(M1200=$A$1,1,$M1200-INDEX(MappingTables!$E$4:$E$8,MATCH(O1200,MappingTables!$B$4:$B$8,0)))</f>
        <v>1</v>
      </c>
      <c r="Q1200" s="71">
        <f>IF(B1200="",0,INDEX(ModelParameters!$D$6:$K$10,MATCH($O1200,ModelParameters!$B$6:$B$10,0),MATCH($J1200,ModelParameters!$D$5:$K$5,0)))</f>
        <v>0.013999999999999998</v>
      </c>
      <c r="R1200" s="71">
        <f>IF(B1200="",0,INDEX(ModelParameters!$D$13:$K$17,MATCH($O1200,ModelParameters!$B$13:$B$17,0),MATCH($J1200,ModelParameters!$D$5:$K$5,0)))</f>
        <v>0</v>
      </c>
      <c r="S1200" s="160">
        <f>IF(B1200="",0,MIN(IF($N1200="Other Bond TM",ModelParameters!$N$21,1)*(P1200*Q1200+R1200),1))</f>
        <v>0.013999999999999998</v>
      </c>
      <c r="T1200" s="85">
        <f>IF(B1200="",0,$S1200*$K1200)</f>
        <v>0.69321674973811088</v>
      </c>
      <c r="U1200" s="85">
        <f>IF(B1200="",0,IF(OR(H1200=MappingTables!$C$34,H1200=MappingTables!$C$35),T1200,0))</f>
        <v>0</v>
      </c>
      <c r="V1200" s="85">
        <f>IF(ISNA(IF(AND(VLOOKUP(CONCATENATE($D1200,$G1200),CSRFinput!$B:$E,4,0)=0,OR(H1200=MappingTables!$C$34,H1200=MappingTables!$C$35)),1,VLOOKUP(CONCATENATE($D1200,$G1200),CSRFinput!$B:$E,4,0))),0,IF(AND(VLOOKUP(CONCATENATE($D1200,$G1200),CSRFinput!$B:$E,4,0)=0,OR(H1200=MappingTables!$C$34,H1200=MappingTables!$C$35)),1,VLOOKUP(CONCATENATE($D1200,$G1200),CSRFinput!$B:$E,4,0)))</f>
        <v>0.054776304963434752</v>
      </c>
      <c r="W1200" s="85">
        <f>IF(B1200="",0,+$T1200*$V1200)</f>
        <v>0.037971852089415784</v>
      </c>
      <c r="X1200" s="85">
        <f>IF(B1200="",0,IF(OR(H1200=MappingTables!$C$34,H1200=MappingTables!$C$35),W1200,0))</f>
        <v>0</v>
      </c>
    </row>
    <row r="1201" spans="2:24" s="0" customFormat="0" ht="15">
      <c r="B1201" s="69">
        <v>15774240</v>
      </c>
      <c r="C1201" s="70" t="s">
        <v>1470</v>
      </c>
      <c r="D1201" s="70" t="s">
        <v>1</v>
      </c>
      <c r="E1201" s="70" t="s">
        <v>1</v>
      </c>
      <c r="F1201" s="70"/>
      <c r="G1201" s="70" t="s">
        <v>61</v>
      </c>
      <c r="H1201" s="70" t="s">
        <v>178</v>
      </c>
      <c r="I1201" s="70" t="s">
        <v>181</v>
      </c>
      <c r="J1201" s="71">
        <f>IF(OR(I1201=0,I1201=""),"unrated",VLOOKUP(I1201,MappingTables!$B$19:$C$31,2,FALSE))</f>
        <v>3</v>
      </c>
      <c r="K1201" s="72">
        <v>2154.8952004387908</v>
      </c>
      <c r="L1201" s="70">
        <v>0.37710264243330216</v>
      </c>
      <c r="M1201" s="71">
        <f>IF(L1201&lt;1,1,L1201)</f>
        <v>1</v>
      </c>
      <c r="N1201" s="70" t="s">
        <v>141</v>
      </c>
      <c r="O1201" s="71">
        <f>INDEX(DurClassMapping,MATCH(M1201,MappingTables!$D$4:$D$8,-1),1)</f>
        <v>1</v>
      </c>
      <c r="P1201" s="73">
        <f>IF(M1201=$A$1,1,$M1201-INDEX(MappingTables!$E$4:$E$8,MATCH(O1201,MappingTables!$B$4:$B$8,0)))</f>
        <v>1</v>
      </c>
      <c r="Q1201" s="71">
        <f>IF(B1201="",0,INDEX(ModelParameters!$D$6:$K$10,MATCH($O1201,ModelParameters!$B$6:$B$10,0),MATCH($J1201,ModelParameters!$D$5:$K$5,0)))</f>
        <v>0.025</v>
      </c>
      <c r="R1201" s="71">
        <f>IF(B1201="",0,INDEX(ModelParameters!$D$13:$K$17,MATCH($O1201,ModelParameters!$B$13:$B$17,0),MATCH($J1201,ModelParameters!$D$5:$K$5,0)))</f>
        <v>0</v>
      </c>
      <c r="S1201" s="160">
        <f>IF(B1201="",0,MIN(IF($N1201="Other Bond TM",ModelParameters!$N$21,1)*(P1201*Q1201+R1201),1))</f>
        <v>0.025</v>
      </c>
      <c r="T1201" s="85">
        <f>IF(B1201="",0,$S1201*$K1201)</f>
        <v>53.872380010969768</v>
      </c>
      <c r="U1201" s="85">
        <f>IF(B1201="",0,IF(OR(H1201=MappingTables!$C$34,H1201=MappingTables!$C$35),T1201,0))</f>
        <v>0</v>
      </c>
      <c r="V1201" s="85">
        <f>IF(ISNA(IF(AND(VLOOKUP(CONCATENATE($D1201,$G1201),CSRFinput!$B:$E,4,0)=0,OR(H1201=MappingTables!$C$34,H1201=MappingTables!$C$35)),1,VLOOKUP(CONCATENATE($D1201,$G1201),CSRFinput!$B:$E,4,0))),0,IF(AND(VLOOKUP(CONCATENATE($D1201,$G1201),CSRFinput!$B:$E,4,0)=0,OR(H1201=MappingTables!$C$34,H1201=MappingTables!$C$35)),1,VLOOKUP(CONCATENATE($D1201,$G1201),CSRFinput!$B:$E,4,0)))</f>
        <v>0.054776304963434752</v>
      </c>
      <c r="W1201" s="85">
        <f>IF(B1201="",0,+$T1201*$V1201)</f>
        <v>2.9509299165869268</v>
      </c>
      <c r="X1201" s="85">
        <f>IF(B1201="",0,IF(OR(H1201=MappingTables!$C$34,H1201=MappingTables!$C$35),W1201,0))</f>
        <v>0</v>
      </c>
    </row>
    <row r="1202" spans="2:24" s="0" customFormat="0" ht="15">
      <c r="B1202" s="69" t="s">
        <v>1471</v>
      </c>
      <c r="C1202" s="70" t="s">
        <v>1472</v>
      </c>
      <c r="D1202" s="70" t="s">
        <v>1</v>
      </c>
      <c r="E1202" s="70" t="s">
        <v>1</v>
      </c>
      <c r="F1202" s="70"/>
      <c r="G1202" s="70" t="s">
        <v>61</v>
      </c>
      <c r="H1202" s="70" t="s">
        <v>178</v>
      </c>
      <c r="I1202" s="70" t="s">
        <v>181</v>
      </c>
      <c r="J1202" s="71">
        <f>IF(OR(I1202=0,I1202=""),"unrated",VLOOKUP(I1202,MappingTables!$B$19:$C$31,2,FALSE))</f>
        <v>3</v>
      </c>
      <c r="K1202" s="72">
        <v>0.18545989297262268</v>
      </c>
      <c r="L1202" s="70">
        <v>0.21370060071857812</v>
      </c>
      <c r="M1202" s="71">
        <f>IF(L1202&lt;1,1,L1202)</f>
        <v>1</v>
      </c>
      <c r="N1202" s="70" t="s">
        <v>141</v>
      </c>
      <c r="O1202" s="71">
        <f>INDEX(DurClassMapping,MATCH(M1202,MappingTables!$D$4:$D$8,-1),1)</f>
        <v>1</v>
      </c>
      <c r="P1202" s="73">
        <f>IF(M1202=$A$1,1,$M1202-INDEX(MappingTables!$E$4:$E$8,MATCH(O1202,MappingTables!$B$4:$B$8,0)))</f>
        <v>1</v>
      </c>
      <c r="Q1202" s="71">
        <f>IF(B1202="",0,INDEX(ModelParameters!$D$6:$K$10,MATCH($O1202,ModelParameters!$B$6:$B$10,0),MATCH($J1202,ModelParameters!$D$5:$K$5,0)))</f>
        <v>0.025</v>
      </c>
      <c r="R1202" s="71">
        <f>IF(B1202="",0,INDEX(ModelParameters!$D$13:$K$17,MATCH($O1202,ModelParameters!$B$13:$B$17,0),MATCH($J1202,ModelParameters!$D$5:$K$5,0)))</f>
        <v>0</v>
      </c>
      <c r="S1202" s="160">
        <f>IF(B1202="",0,MIN(IF($N1202="Other Bond TM",ModelParameters!$N$21,1)*(P1202*Q1202+R1202),1))</f>
        <v>0.025</v>
      </c>
      <c r="T1202" s="85">
        <f>IF(B1202="",0,$S1202*$K1202)</f>
        <v>0.0046364973243155672</v>
      </c>
      <c r="U1202" s="85">
        <f>IF(B1202="",0,IF(OR(H1202=MappingTables!$C$34,H1202=MappingTables!$C$35),T1202,0))</f>
        <v>0</v>
      </c>
      <c r="V1202" s="85">
        <f>IF(ISNA(IF(AND(VLOOKUP(CONCATENATE($D1202,$G1202),CSRFinput!$B:$E,4,0)=0,OR(H1202=MappingTables!$C$34,H1202=MappingTables!$C$35)),1,VLOOKUP(CONCATENATE($D1202,$G1202),CSRFinput!$B:$E,4,0))),0,IF(AND(VLOOKUP(CONCATENATE($D1202,$G1202),CSRFinput!$B:$E,4,0)=0,OR(H1202=MappingTables!$C$34,H1202=MappingTables!$C$35)),1,VLOOKUP(CONCATENATE($D1202,$G1202),CSRFinput!$B:$E,4,0)))</f>
        <v>0.054776304963434752</v>
      </c>
      <c r="W1202" s="85">
        <f>IF(B1202="",0,+$T1202*$V1202)</f>
        <v>0.00025397019139885872</v>
      </c>
      <c r="X1202" s="85">
        <f>IF(B1202="",0,IF(OR(H1202=MappingTables!$C$34,H1202=MappingTables!$C$35),W1202,0))</f>
        <v>0</v>
      </c>
    </row>
    <row r="1203" spans="2:24" s="0" customFormat="0" ht="15">
      <c r="B1203" s="69">
        <v>24964661</v>
      </c>
      <c r="C1203" s="70" t="s">
        <v>561</v>
      </c>
      <c r="D1203" s="70" t="s">
        <v>1</v>
      </c>
      <c r="E1203" s="70" t="s">
        <v>1</v>
      </c>
      <c r="F1203" s="70"/>
      <c r="G1203" s="70" t="s">
        <v>61</v>
      </c>
      <c r="H1203" s="70" t="s">
        <v>178</v>
      </c>
      <c r="I1203" s="70" t="s">
        <v>181</v>
      </c>
      <c r="J1203" s="71">
        <f>IF(OR(I1203=0,I1203=""),"unrated",VLOOKUP(I1203,MappingTables!$B$19:$C$31,2,FALSE))</f>
        <v>3</v>
      </c>
      <c r="K1203" s="72">
        <v>797.8127031652008</v>
      </c>
      <c r="L1203" s="70">
        <v>0.86178459326310448</v>
      </c>
      <c r="M1203" s="71">
        <f>IF(L1203&lt;1,1,L1203)</f>
        <v>1</v>
      </c>
      <c r="N1203" s="70" t="s">
        <v>141</v>
      </c>
      <c r="O1203" s="71">
        <f>INDEX(DurClassMapping,MATCH(M1203,MappingTables!$D$4:$D$8,-1),1)</f>
        <v>1</v>
      </c>
      <c r="P1203" s="73">
        <f>IF(M1203=$A$1,1,$M1203-INDEX(MappingTables!$E$4:$E$8,MATCH(O1203,MappingTables!$B$4:$B$8,0)))</f>
        <v>1</v>
      </c>
      <c r="Q1203" s="71">
        <f>IF(B1203="",0,INDEX(ModelParameters!$D$6:$K$10,MATCH($O1203,ModelParameters!$B$6:$B$10,0),MATCH($J1203,ModelParameters!$D$5:$K$5,0)))</f>
        <v>0.025</v>
      </c>
      <c r="R1203" s="71">
        <f>IF(B1203="",0,INDEX(ModelParameters!$D$13:$K$17,MATCH($O1203,ModelParameters!$B$13:$B$17,0),MATCH($J1203,ModelParameters!$D$5:$K$5,0)))</f>
        <v>0</v>
      </c>
      <c r="S1203" s="160">
        <f>IF(B1203="",0,MIN(IF($N1203="Other Bond TM",ModelParameters!$N$21,1)*(P1203*Q1203+R1203),1))</f>
        <v>0.025</v>
      </c>
      <c r="T1203" s="85">
        <f>IF(B1203="",0,$S1203*$K1203)</f>
        <v>19.94531757913002</v>
      </c>
      <c r="U1203" s="85">
        <f>IF(B1203="",0,IF(OR(H1203=MappingTables!$C$34,H1203=MappingTables!$C$35),T1203,0))</f>
        <v>0</v>
      </c>
      <c r="V1203" s="85">
        <f>IF(ISNA(IF(AND(VLOOKUP(CONCATENATE($D1203,$G1203),CSRFinput!$B:$E,4,0)=0,OR(H1203=MappingTables!$C$34,H1203=MappingTables!$C$35)),1,VLOOKUP(CONCATENATE($D1203,$G1203),CSRFinput!$B:$E,4,0))),0,IF(AND(VLOOKUP(CONCATENATE($D1203,$G1203),CSRFinput!$B:$E,4,0)=0,OR(H1203=MappingTables!$C$34,H1203=MappingTables!$C$35)),1,VLOOKUP(CONCATENATE($D1203,$G1203),CSRFinput!$B:$E,4,0)))</f>
        <v>0.054776304963434752</v>
      </c>
      <c r="W1203" s="85">
        <f>IF(B1203="",0,+$T1203*$V1203)</f>
        <v>1.092530798306982</v>
      </c>
      <c r="X1203" s="85">
        <f>IF(B1203="",0,IF(OR(H1203=MappingTables!$C$34,H1203=MappingTables!$C$35),W1203,0))</f>
        <v>0</v>
      </c>
    </row>
    <row r="1204" spans="2:24" s="0" customFormat="0" ht="15">
      <c r="B1204" s="69">
        <v>9791305</v>
      </c>
      <c r="C1204" s="70" t="s">
        <v>265</v>
      </c>
      <c r="D1204" s="70" t="s">
        <v>1</v>
      </c>
      <c r="E1204" s="70" t="s">
        <v>1</v>
      </c>
      <c r="F1204" s="70"/>
      <c r="G1204" s="70" t="s">
        <v>61</v>
      </c>
      <c r="H1204" s="70" t="s">
        <v>178</v>
      </c>
      <c r="I1204" s="70" t="s">
        <v>179</v>
      </c>
      <c r="J1204" s="71">
        <f>IF(OR(I1204=0,I1204=""),"unrated",VLOOKUP(I1204,MappingTables!$B$19:$C$31,2,FALSE))</f>
        <v>4</v>
      </c>
      <c r="K1204" s="72">
        <v>2286.606380006614</v>
      </c>
      <c r="L1204" s="70">
        <v>3.9203609980732424</v>
      </c>
      <c r="M1204" s="71">
        <f>IF(L1204&lt;1,1,L1204)</f>
        <v>3.9203609980732424</v>
      </c>
      <c r="N1204" s="70" t="s">
        <v>141</v>
      </c>
      <c r="O1204" s="71">
        <f>INDEX(DurClassMapping,MATCH(M1204,MappingTables!$D$4:$D$8,-1),1)</f>
        <v>1</v>
      </c>
      <c r="P1204" s="73">
        <f>IF(M1204=$A$1,1,$M1204-INDEX(MappingTables!$E$4:$E$8,MATCH(O1204,MappingTables!$B$4:$B$8,0)))</f>
        <v>3.9203609980732424</v>
      </c>
      <c r="Q1204" s="71">
        <f>IF(B1204="",0,INDEX(ModelParameters!$D$6:$K$10,MATCH($O1204,ModelParameters!$B$6:$B$10,0),MATCH($J1204,ModelParameters!$D$5:$K$5,0)))</f>
        <v>0.045</v>
      </c>
      <c r="R1204" s="71">
        <f>IF(B1204="",0,INDEX(ModelParameters!$D$13:$K$17,MATCH($O1204,ModelParameters!$B$13:$B$17,0),MATCH($J1204,ModelParameters!$D$5:$K$5,0)))</f>
        <v>0</v>
      </c>
      <c r="S1204" s="160">
        <f>IF(B1204="",0,MIN(IF($N1204="Other Bond TM",ModelParameters!$N$21,1)*(P1204*Q1204+R1204),1))</f>
        <v>0.17641624491329592</v>
      </c>
      <c r="T1204" s="85">
        <f>IF(B1204="",0,$S1204*$K1204)</f>
        <v>403.39451115555184</v>
      </c>
      <c r="U1204" s="85">
        <f>IF(B1204="",0,IF(OR(H1204=MappingTables!$C$34,H1204=MappingTables!$C$35),T1204,0))</f>
        <v>0</v>
      </c>
      <c r="V1204" s="85">
        <f>IF(ISNA(IF(AND(VLOOKUP(CONCATENATE($D1204,$G1204),CSRFinput!$B:$E,4,0)=0,OR(H1204=MappingTables!$C$34,H1204=MappingTables!$C$35)),1,VLOOKUP(CONCATENATE($D1204,$G1204),CSRFinput!$B:$E,4,0))),0,IF(AND(VLOOKUP(CONCATENATE($D1204,$G1204),CSRFinput!$B:$E,4,0)=0,OR(H1204=MappingTables!$C$34,H1204=MappingTables!$C$35)),1,VLOOKUP(CONCATENATE($D1204,$G1204),CSRFinput!$B:$E,4,0)))</f>
        <v>0.054776304963434752</v>
      </c>
      <c r="W1204" s="85">
        <f>IF(B1204="",0,+$T1204*$V1204)</f>
        <v>22.096460763632188</v>
      </c>
      <c r="X1204" s="85">
        <f>IF(B1204="",0,IF(OR(H1204=MappingTables!$C$34,H1204=MappingTables!$C$35),W1204,0))</f>
        <v>0</v>
      </c>
    </row>
    <row r="1205" spans="2:24" s="0" customFormat="0" ht="15">
      <c r="B1205" s="69">
        <v>6827074</v>
      </c>
      <c r="C1205" s="70" t="s">
        <v>552</v>
      </c>
      <c r="D1205" s="70" t="s">
        <v>1</v>
      </c>
      <c r="E1205" s="70" t="s">
        <v>1</v>
      </c>
      <c r="F1205" s="70"/>
      <c r="G1205" s="70" t="s">
        <v>61</v>
      </c>
      <c r="H1205" s="70" t="s">
        <v>178</v>
      </c>
      <c r="I1205" s="70" t="s">
        <v>188</v>
      </c>
      <c r="J1205" s="71">
        <f>IF(OR(I1205=0,I1205=""),"unrated",VLOOKUP(I1205,MappingTables!$B$19:$C$31,2,FALSE))</f>
        <v>2</v>
      </c>
      <c r="K1205" s="72">
        <v>5489.1281499347</v>
      </c>
      <c r="L1205" s="70">
        <v>13.960089558939586</v>
      </c>
      <c r="M1205" s="71">
        <f>IF(L1205&lt;1,1,L1205)</f>
        <v>13.960089558939586</v>
      </c>
      <c r="N1205" s="70" t="s">
        <v>141</v>
      </c>
      <c r="O1205" s="71">
        <f>INDEX(DurClassMapping,MATCH(M1205,MappingTables!$D$4:$D$8,-1),1)</f>
        <v>3</v>
      </c>
      <c r="P1205" s="73">
        <f>IF(M1205=$A$1,1,$M1205-INDEX(MappingTables!$E$4:$E$8,MATCH(O1205,MappingTables!$B$4:$B$8,0)))</f>
        <v>3.9600895589395864</v>
      </c>
      <c r="Q1205" s="71">
        <f>IF(B1205="",0,INDEX(ModelParameters!$D$6:$K$10,MATCH($O1205,ModelParameters!$B$6:$B$10,0),MATCH($J1205,ModelParameters!$D$5:$K$5,0)))</f>
        <v>0.005</v>
      </c>
      <c r="R1205" s="71">
        <f>IF(B1205="",0,INDEX(ModelParameters!$D$13:$K$17,MATCH($O1205,ModelParameters!$B$13:$B$17,0),MATCH($J1205,ModelParameters!$D$5:$K$5,0)))</f>
        <v>0.105</v>
      </c>
      <c r="S1205" s="160">
        <f>IF(B1205="",0,MIN(IF($N1205="Other Bond TM",ModelParameters!$N$21,1)*(P1205*Q1205+R1205),1))</f>
        <v>0.12480044779469792</v>
      </c>
      <c r="T1205" s="85">
        <f>IF(B1205="",0,$S1205*$K1205)</f>
        <v>685.04565111433224</v>
      </c>
      <c r="U1205" s="85">
        <f>IF(B1205="",0,IF(OR(H1205=MappingTables!$C$34,H1205=MappingTables!$C$35),T1205,0))</f>
        <v>0</v>
      </c>
      <c r="V1205" s="85">
        <f>IF(ISNA(IF(AND(VLOOKUP(CONCATENATE($D1205,$G1205),CSRFinput!$B:$E,4,0)=0,OR(H1205=MappingTables!$C$34,H1205=MappingTables!$C$35)),1,VLOOKUP(CONCATENATE($D1205,$G1205),CSRFinput!$B:$E,4,0))),0,IF(AND(VLOOKUP(CONCATENATE($D1205,$G1205),CSRFinput!$B:$E,4,0)=0,OR(H1205=MappingTables!$C$34,H1205=MappingTables!$C$35)),1,VLOOKUP(CONCATENATE($D1205,$G1205),CSRFinput!$B:$E,4,0)))</f>
        <v>0.054776304963434752</v>
      </c>
      <c r="W1205" s="85">
        <f>IF(B1205="",0,+$T1205*$V1205)</f>
        <v>37.524269499313392</v>
      </c>
      <c r="X1205" s="85">
        <f>IF(B1205="",0,IF(OR(H1205=MappingTables!$C$34,H1205=MappingTables!$C$35),W1205,0))</f>
        <v>0</v>
      </c>
    </row>
    <row r="1206" spans="2:24" s="0" customFormat="0" ht="15">
      <c r="B1206" s="69">
        <v>11009289</v>
      </c>
      <c r="C1206" s="70" t="s">
        <v>816</v>
      </c>
      <c r="D1206" s="70" t="s">
        <v>1</v>
      </c>
      <c r="E1206" s="70" t="s">
        <v>1</v>
      </c>
      <c r="F1206" s="70"/>
      <c r="G1206" s="70" t="s">
        <v>61</v>
      </c>
      <c r="H1206" s="70" t="s">
        <v>178</v>
      </c>
      <c r="I1206" s="70" t="s">
        <v>184</v>
      </c>
      <c r="J1206" s="71">
        <f>IF(OR(I1206=0,I1206=""),"unrated",VLOOKUP(I1206,MappingTables!$B$19:$C$31,2,FALSE))</f>
        <v>5</v>
      </c>
      <c r="K1206" s="72">
        <v>8729.059913024528</v>
      </c>
      <c r="L1206" s="70">
        <v>2.4986955188895684</v>
      </c>
      <c r="M1206" s="71">
        <f>IF(L1206&lt;1,1,L1206)</f>
        <v>2.4986955188895684</v>
      </c>
      <c r="N1206" s="70" t="s">
        <v>141</v>
      </c>
      <c r="O1206" s="71">
        <f>INDEX(DurClassMapping,MATCH(M1206,MappingTables!$D$4:$D$8,-1),1)</f>
        <v>1</v>
      </c>
      <c r="P1206" s="73">
        <f>IF(M1206=$A$1,1,$M1206-INDEX(MappingTables!$E$4:$E$8,MATCH(O1206,MappingTables!$B$4:$B$8,0)))</f>
        <v>2.4986955188895684</v>
      </c>
      <c r="Q1206" s="71">
        <f>IF(B1206="",0,INDEX(ModelParameters!$D$6:$K$10,MATCH($O1206,ModelParameters!$B$6:$B$10,0),MATCH($J1206,ModelParameters!$D$5:$K$5,0)))</f>
        <v>0.075</v>
      </c>
      <c r="R1206" s="71">
        <f>IF(B1206="",0,INDEX(ModelParameters!$D$13:$K$17,MATCH($O1206,ModelParameters!$B$13:$B$17,0),MATCH($J1206,ModelParameters!$D$5:$K$5,0)))</f>
        <v>0</v>
      </c>
      <c r="S1206" s="160">
        <f>IF(B1206="",0,MIN(IF($N1206="Other Bond TM",ModelParameters!$N$21,1)*(P1206*Q1206+R1206),1))</f>
        <v>0.18740216391671764</v>
      </c>
      <c r="T1206" s="85">
        <f>IF(B1206="",0,$S1206*$K1206)</f>
        <v>1635.8447166594714</v>
      </c>
      <c r="U1206" s="85">
        <f>IF(B1206="",0,IF(OR(H1206=MappingTables!$C$34,H1206=MappingTables!$C$35),T1206,0))</f>
        <v>0</v>
      </c>
      <c r="V1206" s="85">
        <f>IF(ISNA(IF(AND(VLOOKUP(CONCATENATE($D1206,$G1206),CSRFinput!$B:$E,4,0)=0,OR(H1206=MappingTables!$C$34,H1206=MappingTables!$C$35)),1,VLOOKUP(CONCATENATE($D1206,$G1206),CSRFinput!$B:$E,4,0))),0,IF(AND(VLOOKUP(CONCATENATE($D1206,$G1206),CSRFinput!$B:$E,4,0)=0,OR(H1206=MappingTables!$C$34,H1206=MappingTables!$C$35)),1,VLOOKUP(CONCATENATE($D1206,$G1206),CSRFinput!$B:$E,4,0)))</f>
        <v>0.054776304963434752</v>
      </c>
      <c r="W1206" s="85">
        <f>IF(B1206="",0,+$T1206*$V1206)</f>
        <v>89.605529072562736</v>
      </c>
      <c r="X1206" s="85">
        <f>IF(B1206="",0,IF(OR(H1206=MappingTables!$C$34,H1206=MappingTables!$C$35),W1206,0))</f>
        <v>0</v>
      </c>
    </row>
    <row r="1207" spans="2:24" s="0" customFormat="0" ht="15">
      <c r="B1207" s="69">
        <v>19616285</v>
      </c>
      <c r="C1207" s="70" t="s">
        <v>470</v>
      </c>
      <c r="D1207" s="70" t="s">
        <v>1</v>
      </c>
      <c r="E1207" s="70" t="s">
        <v>1</v>
      </c>
      <c r="F1207" s="70"/>
      <c r="G1207" s="70" t="s">
        <v>61</v>
      </c>
      <c r="H1207" s="70" t="s">
        <v>178</v>
      </c>
      <c r="I1207" s="70" t="s">
        <v>198</v>
      </c>
      <c r="J1207" s="71" t="str">
        <f>IF(OR(I1207=0,I1207=""),"unrated",VLOOKUP(I1207,MappingTables!$B$19:$C$31,2,FALSE))</f>
        <v>unrated</v>
      </c>
      <c r="K1207" s="72">
        <v>8.6208403278416816</v>
      </c>
      <c r="L1207" s="70">
        <v>3.12214973393354</v>
      </c>
      <c r="M1207" s="71">
        <f>IF(L1207&lt;1,1,L1207)</f>
        <v>3.12214973393354</v>
      </c>
      <c r="N1207" s="70" t="s">
        <v>141</v>
      </c>
      <c r="O1207" s="71">
        <f>INDEX(DurClassMapping,MATCH(M1207,MappingTables!$D$4:$D$8,-1),1)</f>
        <v>1</v>
      </c>
      <c r="P1207" s="73">
        <f>IF(M1207=$A$1,1,$M1207-INDEX(MappingTables!$E$4:$E$8,MATCH(O1207,MappingTables!$B$4:$B$8,0)))</f>
        <v>3.12214973393354</v>
      </c>
      <c r="Q1207" s="71">
        <f>IF(B1207="",0,INDEX(ModelParameters!$D$6:$K$10,MATCH($O1207,ModelParameters!$B$6:$B$10,0),MATCH($J1207,ModelParameters!$D$5:$K$5,0)))</f>
        <v>0.03</v>
      </c>
      <c r="R1207" s="71">
        <f>IF(B1207="",0,INDEX(ModelParameters!$D$13:$K$17,MATCH($O1207,ModelParameters!$B$13:$B$17,0),MATCH($J1207,ModelParameters!$D$5:$K$5,0)))</f>
        <v>0</v>
      </c>
      <c r="S1207" s="160">
        <f>IF(B1207="",0,MIN(IF($N1207="Other Bond TM",ModelParameters!$N$21,1)*(P1207*Q1207+R1207),1))</f>
        <v>0.093664492018006192</v>
      </c>
      <c r="T1207" s="85">
        <f>IF(B1207="",0,$S1207*$K1207)</f>
        <v>0.80746663007563312</v>
      </c>
      <c r="U1207" s="85">
        <f>IF(B1207="",0,IF(OR(H1207=MappingTables!$C$34,H1207=MappingTables!$C$35),T1207,0))</f>
        <v>0</v>
      </c>
      <c r="V1207" s="85">
        <f>IF(ISNA(IF(AND(VLOOKUP(CONCATENATE($D1207,$G1207),CSRFinput!$B:$E,4,0)=0,OR(H1207=MappingTables!$C$34,H1207=MappingTables!$C$35)),1,VLOOKUP(CONCATENATE($D1207,$G1207),CSRFinput!$B:$E,4,0))),0,IF(AND(VLOOKUP(CONCATENATE($D1207,$G1207),CSRFinput!$B:$E,4,0)=0,OR(H1207=MappingTables!$C$34,H1207=MappingTables!$C$35)),1,VLOOKUP(CONCATENATE($D1207,$G1207),CSRFinput!$B:$E,4,0)))</f>
        <v>0.054776304963434752</v>
      </c>
      <c r="W1207" s="85">
        <f>IF(B1207="",0,+$T1207*$V1207)</f>
        <v>0.04423003837681984</v>
      </c>
      <c r="X1207" s="85">
        <f>IF(B1207="",0,IF(OR(H1207=MappingTables!$C$34,H1207=MappingTables!$C$35),W1207,0))</f>
        <v>0</v>
      </c>
    </row>
    <row r="1208" spans="2:24" s="0" customFormat="0" ht="15">
      <c r="B1208" s="69">
        <v>22964845</v>
      </c>
      <c r="C1208" s="70" t="s">
        <v>1473</v>
      </c>
      <c r="D1208" s="70" t="s">
        <v>1</v>
      </c>
      <c r="E1208" s="70" t="s">
        <v>1</v>
      </c>
      <c r="F1208" s="70"/>
      <c r="G1208" s="70" t="s">
        <v>61</v>
      </c>
      <c r="H1208" s="70" t="s">
        <v>178</v>
      </c>
      <c r="I1208" s="70" t="s">
        <v>179</v>
      </c>
      <c r="J1208" s="71">
        <f>IF(OR(I1208=0,I1208=""),"unrated",VLOOKUP(I1208,MappingTables!$B$19:$C$31,2,FALSE))</f>
        <v>4</v>
      </c>
      <c r="K1208" s="72">
        <v>323.65172584435824</v>
      </c>
      <c r="L1208" s="70">
        <v>1.3082040741314434</v>
      </c>
      <c r="M1208" s="71">
        <f>IF(L1208&lt;1,1,L1208)</f>
        <v>1.3082040741314434</v>
      </c>
      <c r="N1208" s="70" t="s">
        <v>141</v>
      </c>
      <c r="O1208" s="71">
        <f>INDEX(DurClassMapping,MATCH(M1208,MappingTables!$D$4:$D$8,-1),1)</f>
        <v>1</v>
      </c>
      <c r="P1208" s="73">
        <f>IF(M1208=$A$1,1,$M1208-INDEX(MappingTables!$E$4:$E$8,MATCH(O1208,MappingTables!$B$4:$B$8,0)))</f>
        <v>1.3082040741314434</v>
      </c>
      <c r="Q1208" s="71">
        <f>IF(B1208="",0,INDEX(ModelParameters!$D$6:$K$10,MATCH($O1208,ModelParameters!$B$6:$B$10,0),MATCH($J1208,ModelParameters!$D$5:$K$5,0)))</f>
        <v>0.045</v>
      </c>
      <c r="R1208" s="71">
        <f>IF(B1208="",0,INDEX(ModelParameters!$D$13:$K$17,MATCH($O1208,ModelParameters!$B$13:$B$17,0),MATCH($J1208,ModelParameters!$D$5:$K$5,0)))</f>
        <v>0</v>
      </c>
      <c r="S1208" s="160">
        <f>IF(B1208="",0,MIN(IF($N1208="Other Bond TM",ModelParameters!$N$21,1)*(P1208*Q1208+R1208),1))</f>
        <v>0.058869183335914944</v>
      </c>
      <c r="T1208" s="85">
        <f>IF(B1208="",0,$S1208*$K1208)</f>
        <v>19.053112785716804</v>
      </c>
      <c r="U1208" s="85">
        <f>IF(B1208="",0,IF(OR(H1208=MappingTables!$C$34,H1208=MappingTables!$C$35),T1208,0))</f>
        <v>0</v>
      </c>
      <c r="V1208" s="85">
        <f>IF(ISNA(IF(AND(VLOOKUP(CONCATENATE($D1208,$G1208),CSRFinput!$B:$E,4,0)=0,OR(H1208=MappingTables!$C$34,H1208=MappingTables!$C$35)),1,VLOOKUP(CONCATENATE($D1208,$G1208),CSRFinput!$B:$E,4,0))),0,IF(AND(VLOOKUP(CONCATENATE($D1208,$G1208),CSRFinput!$B:$E,4,0)=0,OR(H1208=MappingTables!$C$34,H1208=MappingTables!$C$35)),1,VLOOKUP(CONCATENATE($D1208,$G1208),CSRFinput!$B:$E,4,0)))</f>
        <v>0.054776304963434752</v>
      </c>
      <c r="W1208" s="85">
        <f>IF(B1208="",0,+$T1208*$V1208)</f>
        <v>1.0436591164531416</v>
      </c>
      <c r="X1208" s="85">
        <f>IF(B1208="",0,IF(OR(H1208=MappingTables!$C$34,H1208=MappingTables!$C$35),W1208,0))</f>
        <v>0</v>
      </c>
    </row>
    <row r="1209" spans="2:24" s="0" customFormat="0" ht="15">
      <c r="B1209" s="69">
        <v>2807487</v>
      </c>
      <c r="C1209" s="70" t="s">
        <v>754</v>
      </c>
      <c r="D1209" s="70" t="s">
        <v>1</v>
      </c>
      <c r="E1209" s="70" t="s">
        <v>1</v>
      </c>
      <c r="F1209" s="70"/>
      <c r="G1209" s="70" t="s">
        <v>61</v>
      </c>
      <c r="H1209" s="70" t="s">
        <v>178</v>
      </c>
      <c r="I1209" s="70" t="s">
        <v>181</v>
      </c>
      <c r="J1209" s="71">
        <f>IF(OR(I1209=0,I1209=""),"unrated",VLOOKUP(I1209,MappingTables!$B$19:$C$31,2,FALSE))</f>
        <v>3</v>
      </c>
      <c r="K1209" s="72">
        <v>5943.4929722561104</v>
      </c>
      <c r="L1209" s="70">
        <v>12.263606125048946</v>
      </c>
      <c r="M1209" s="71">
        <f>IF(L1209&lt;1,1,L1209)</f>
        <v>12.263606125048946</v>
      </c>
      <c r="N1209" s="70" t="s">
        <v>141</v>
      </c>
      <c r="O1209" s="71">
        <f>INDEX(DurClassMapping,MATCH(M1209,MappingTables!$D$4:$D$8,-1),1)</f>
        <v>3</v>
      </c>
      <c r="P1209" s="73">
        <f>IF(M1209=$A$1,1,$M1209-INDEX(MappingTables!$E$4:$E$8,MATCH(O1209,MappingTables!$B$4:$B$8,0)))</f>
        <v>2.2636061250489464</v>
      </c>
      <c r="Q1209" s="71">
        <f>IF(B1209="",0,INDEX(ModelParameters!$D$6:$K$10,MATCH($O1209,ModelParameters!$B$6:$B$10,0),MATCH($J1209,ModelParameters!$D$5:$K$5,0)))</f>
        <v>0.01</v>
      </c>
      <c r="R1209" s="71">
        <f>IF(B1209="",0,INDEX(ModelParameters!$D$13:$K$17,MATCH($O1209,ModelParameters!$B$13:$B$17,0),MATCH($J1209,ModelParameters!$D$5:$K$5,0)))</f>
        <v>0.2</v>
      </c>
      <c r="S1209" s="160">
        <f>IF(B1209="",0,MIN(IF($N1209="Other Bond TM",ModelParameters!$N$21,1)*(P1209*Q1209+R1209),1))</f>
        <v>0.22263606125048948</v>
      </c>
      <c r="T1209" s="85">
        <f>IF(B1209="",0,$S1209*$K1209)</f>
        <v>1323.235865413065</v>
      </c>
      <c r="U1209" s="85">
        <f>IF(B1209="",0,IF(OR(H1209=MappingTables!$C$34,H1209=MappingTables!$C$35),T1209,0))</f>
        <v>0</v>
      </c>
      <c r="V1209" s="85">
        <f>IF(ISNA(IF(AND(VLOOKUP(CONCATENATE($D1209,$G1209),CSRFinput!$B:$E,4,0)=0,OR(H1209=MappingTables!$C$34,H1209=MappingTables!$C$35)),1,VLOOKUP(CONCATENATE($D1209,$G1209),CSRFinput!$B:$E,4,0))),0,IF(AND(VLOOKUP(CONCATENATE($D1209,$G1209),CSRFinput!$B:$E,4,0)=0,OR(H1209=MappingTables!$C$34,H1209=MappingTables!$C$35)),1,VLOOKUP(CONCATENATE($D1209,$G1209),CSRFinput!$B:$E,4,0)))</f>
        <v>0.054776304963434752</v>
      </c>
      <c r="W1209" s="85">
        <f>IF(B1209="",0,+$T1209*$V1209)</f>
        <v>72.48197130242056</v>
      </c>
      <c r="X1209" s="85">
        <f>IF(B1209="",0,IF(OR(H1209=MappingTables!$C$34,H1209=MappingTables!$C$35),W1209,0))</f>
        <v>0</v>
      </c>
    </row>
    <row r="1210" spans="2:24" s="0" customFormat="0" ht="15">
      <c r="B1210" s="69" t="s">
        <v>1474</v>
      </c>
      <c r="C1210" s="70" t="s">
        <v>1475</v>
      </c>
      <c r="D1210" s="70" t="s">
        <v>1</v>
      </c>
      <c r="E1210" s="70" t="s">
        <v>1</v>
      </c>
      <c r="F1210" s="70"/>
      <c r="G1210" s="70" t="s">
        <v>61</v>
      </c>
      <c r="H1210" s="70" t="s">
        <v>178</v>
      </c>
      <c r="I1210" s="70" t="s">
        <v>184</v>
      </c>
      <c r="J1210" s="71">
        <f>IF(OR(I1210=0,I1210=""),"unrated",VLOOKUP(I1210,MappingTables!$B$19:$C$31,2,FALSE))</f>
        <v>5</v>
      </c>
      <c r="K1210" s="72">
        <v>151.28425384609344</v>
      </c>
      <c r="L1210" s="70">
        <v>2.580379832019124</v>
      </c>
      <c r="M1210" s="71">
        <f>IF(L1210&lt;1,1,L1210)</f>
        <v>2.580379832019124</v>
      </c>
      <c r="N1210" s="70" t="s">
        <v>141</v>
      </c>
      <c r="O1210" s="71">
        <f>INDEX(DurClassMapping,MATCH(M1210,MappingTables!$D$4:$D$8,-1),1)</f>
        <v>1</v>
      </c>
      <c r="P1210" s="73">
        <f>IF(M1210=$A$1,1,$M1210-INDEX(MappingTables!$E$4:$E$8,MATCH(O1210,MappingTables!$B$4:$B$8,0)))</f>
        <v>2.580379832019124</v>
      </c>
      <c r="Q1210" s="71">
        <f>IF(B1210="",0,INDEX(ModelParameters!$D$6:$K$10,MATCH($O1210,ModelParameters!$B$6:$B$10,0),MATCH($J1210,ModelParameters!$D$5:$K$5,0)))</f>
        <v>0.075</v>
      </c>
      <c r="R1210" s="71">
        <f>IF(B1210="",0,INDEX(ModelParameters!$D$13:$K$17,MATCH($O1210,ModelParameters!$B$13:$B$17,0),MATCH($J1210,ModelParameters!$D$5:$K$5,0)))</f>
        <v>0</v>
      </c>
      <c r="S1210" s="160">
        <f>IF(B1210="",0,MIN(IF($N1210="Other Bond TM",ModelParameters!$N$21,1)*(P1210*Q1210+R1210),1))</f>
        <v>0.19352848740143432</v>
      </c>
      <c r="T1210" s="85">
        <f>IF(B1210="",0,$S1210*$K1210)</f>
        <v>29.27781281448908</v>
      </c>
      <c r="U1210" s="85">
        <f>IF(B1210="",0,IF(OR(H1210=MappingTables!$C$34,H1210=MappingTables!$C$35),T1210,0))</f>
        <v>0</v>
      </c>
      <c r="V1210" s="85">
        <f>IF(ISNA(IF(AND(VLOOKUP(CONCATENATE($D1210,$G1210),CSRFinput!$B:$E,4,0)=0,OR(H1210=MappingTables!$C$34,H1210=MappingTables!$C$35)),1,VLOOKUP(CONCATENATE($D1210,$G1210),CSRFinput!$B:$E,4,0))),0,IF(AND(VLOOKUP(CONCATENATE($D1210,$G1210),CSRFinput!$B:$E,4,0)=0,OR(H1210=MappingTables!$C$34,H1210=MappingTables!$C$35)),1,VLOOKUP(CONCATENATE($D1210,$G1210),CSRFinput!$B:$E,4,0)))</f>
        <v>0.054776304963434752</v>
      </c>
      <c r="W1210" s="85">
        <f>IF(B1210="",0,+$T1210*$V1210)</f>
        <v>1.603730403388812</v>
      </c>
      <c r="X1210" s="85">
        <f>IF(B1210="",0,IF(OR(H1210=MappingTables!$C$34,H1210=MappingTables!$C$35),W1210,0))</f>
        <v>0</v>
      </c>
    </row>
    <row r="1211" spans="2:24" s="0" customFormat="0" ht="15">
      <c r="B1211" s="69">
        <v>17568070</v>
      </c>
      <c r="C1211" s="70" t="s">
        <v>1476</v>
      </c>
      <c r="D1211" s="70" t="s">
        <v>1</v>
      </c>
      <c r="E1211" s="70" t="s">
        <v>1</v>
      </c>
      <c r="F1211" s="70"/>
      <c r="G1211" s="70" t="s">
        <v>61</v>
      </c>
      <c r="H1211" s="70" t="s">
        <v>178</v>
      </c>
      <c r="I1211" s="70" t="s">
        <v>188</v>
      </c>
      <c r="J1211" s="71">
        <f>IF(OR(I1211=0,I1211=""),"unrated",VLOOKUP(I1211,MappingTables!$B$19:$C$31,2,FALSE))</f>
        <v>2</v>
      </c>
      <c r="K1211" s="72">
        <v>1807465.41595459</v>
      </c>
      <c r="L1211" s="70">
        <v>7.0478805944787696</v>
      </c>
      <c r="M1211" s="71">
        <f>IF(L1211&lt;1,1,L1211)</f>
        <v>7.0478805944787696</v>
      </c>
      <c r="N1211" s="70" t="s">
        <v>141</v>
      </c>
      <c r="O1211" s="71">
        <f>INDEX(DurClassMapping,MATCH(M1211,MappingTables!$D$4:$D$8,-1),1)</f>
        <v>2</v>
      </c>
      <c r="P1211" s="73">
        <f>IF(M1211=$A$1,1,$M1211-INDEX(MappingTables!$E$4:$E$8,MATCH(O1211,MappingTables!$B$4:$B$8,0)))</f>
        <v>2.0478805944787696</v>
      </c>
      <c r="Q1211" s="71">
        <f>IF(B1211="",0,INDEX(ModelParameters!$D$6:$K$10,MATCH($O1211,ModelParameters!$B$6:$B$10,0),MATCH($J1211,ModelParameters!$D$5:$K$5,0)))</f>
        <v>0.0069999999999999992</v>
      </c>
      <c r="R1211" s="71">
        <f>IF(B1211="",0,INDEX(ModelParameters!$D$13:$K$17,MATCH($O1211,ModelParameters!$B$13:$B$17,0),MATCH($J1211,ModelParameters!$D$5:$K$5,0)))</f>
        <v>0.070000000000000008</v>
      </c>
      <c r="S1211" s="160">
        <f>IF(B1211="",0,MIN(IF($N1211="Other Bond TM",ModelParameters!$N$21,1)*(P1211*Q1211+R1211),1))</f>
        <v>0.084335164161351392</v>
      </c>
      <c r="T1211" s="85">
        <f>IF(B1211="",0,$S1211*$K1211)</f>
        <v>152432.8925704956</v>
      </c>
      <c r="U1211" s="85">
        <f>IF(B1211="",0,IF(OR(H1211=MappingTables!$C$34,H1211=MappingTables!$C$35),T1211,0))</f>
        <v>0</v>
      </c>
      <c r="V1211" s="85">
        <f>IF(ISNA(IF(AND(VLOOKUP(CONCATENATE($D1211,$G1211),CSRFinput!$B:$E,4,0)=0,OR(H1211=MappingTables!$C$34,H1211=MappingTables!$C$35)),1,VLOOKUP(CONCATENATE($D1211,$G1211),CSRFinput!$B:$E,4,0))),0,IF(AND(VLOOKUP(CONCATENATE($D1211,$G1211),CSRFinput!$B:$E,4,0)=0,OR(H1211=MappingTables!$C$34,H1211=MappingTables!$C$35)),1,VLOOKUP(CONCATENATE($D1211,$G1211),CSRFinput!$B:$E,4,0)))</f>
        <v>0.054776304963434752</v>
      </c>
      <c r="W1211" s="85">
        <f>IF(B1211="",0,+$T1211*$V1211)</f>
        <v>8349.7106098999552</v>
      </c>
      <c r="X1211" s="85">
        <f>IF(B1211="",0,IF(OR(H1211=MappingTables!$C$34,H1211=MappingTables!$C$35),W1211,0))</f>
        <v>0</v>
      </c>
    </row>
    <row r="1212" spans="2:24" s="0" customFormat="0" ht="15">
      <c r="B1212" s="69">
        <v>24247290</v>
      </c>
      <c r="C1212" s="70" t="s">
        <v>728</v>
      </c>
      <c r="D1212" s="70" t="s">
        <v>1</v>
      </c>
      <c r="E1212" s="70" t="s">
        <v>1</v>
      </c>
      <c r="F1212" s="70"/>
      <c r="G1212" s="70" t="s">
        <v>61</v>
      </c>
      <c r="H1212" s="70" t="s">
        <v>178</v>
      </c>
      <c r="I1212" s="70" t="s">
        <v>220</v>
      </c>
      <c r="J1212" s="71">
        <f>IF(OR(I1212=0,I1212=""),"unrated",VLOOKUP(I1212,MappingTables!$B$19:$C$31,2,FALSE))</f>
        <v>1</v>
      </c>
      <c r="K1212" s="72">
        <v>263.21135869349676</v>
      </c>
      <c r="L1212" s="70">
        <v>1.6631247716870646</v>
      </c>
      <c r="M1212" s="71">
        <f>IF(L1212&lt;1,1,L1212)</f>
        <v>1.6631247716870646</v>
      </c>
      <c r="N1212" s="70" t="s">
        <v>141</v>
      </c>
      <c r="O1212" s="71">
        <f>INDEX(DurClassMapping,MATCH(M1212,MappingTables!$D$4:$D$8,-1),1)</f>
        <v>1</v>
      </c>
      <c r="P1212" s="73">
        <f>IF(M1212=$A$1,1,$M1212-INDEX(MappingTables!$E$4:$E$8,MATCH(O1212,MappingTables!$B$4:$B$8,0)))</f>
        <v>1.6631247716870646</v>
      </c>
      <c r="Q1212" s="71">
        <f>IF(B1212="",0,INDEX(ModelParameters!$D$6:$K$10,MATCH($O1212,ModelParameters!$B$6:$B$10,0),MATCH($J1212,ModelParameters!$D$5:$K$5,0)))</f>
        <v>0.011000000000000002</v>
      </c>
      <c r="R1212" s="71">
        <f>IF(B1212="",0,INDEX(ModelParameters!$D$13:$K$17,MATCH($O1212,ModelParameters!$B$13:$B$17,0),MATCH($J1212,ModelParameters!$D$5:$K$5,0)))</f>
        <v>0</v>
      </c>
      <c r="S1212" s="160">
        <f>IF(B1212="",0,MIN(IF($N1212="Other Bond TM",ModelParameters!$N$21,1)*(P1212*Q1212+R1212),1))</f>
        <v>0.018294372488557712</v>
      </c>
      <c r="T1212" s="85">
        <f>IF(B1212="",0,$S1212*$K1212)</f>
        <v>4.8152866391582032</v>
      </c>
      <c r="U1212" s="85">
        <f>IF(B1212="",0,IF(OR(H1212=MappingTables!$C$34,H1212=MappingTables!$C$35),T1212,0))</f>
        <v>0</v>
      </c>
      <c r="V1212" s="85">
        <f>IF(ISNA(IF(AND(VLOOKUP(CONCATENATE($D1212,$G1212),CSRFinput!$B:$E,4,0)=0,OR(H1212=MappingTables!$C$34,H1212=MappingTables!$C$35)),1,VLOOKUP(CONCATENATE($D1212,$G1212),CSRFinput!$B:$E,4,0))),0,IF(AND(VLOOKUP(CONCATENATE($D1212,$G1212),CSRFinput!$B:$E,4,0)=0,OR(H1212=MappingTables!$C$34,H1212=MappingTables!$C$35)),1,VLOOKUP(CONCATENATE($D1212,$G1212),CSRFinput!$B:$E,4,0)))</f>
        <v>0.054776304963434752</v>
      </c>
      <c r="W1212" s="85">
        <f>IF(B1212="",0,+$T1212*$V1212)</f>
        <v>0.26376360943288252</v>
      </c>
      <c r="X1212" s="85">
        <f>IF(B1212="",0,IF(OR(H1212=MappingTables!$C$34,H1212=MappingTables!$C$35),W1212,0))</f>
        <v>0</v>
      </c>
    </row>
    <row r="1213" spans="2:24" s="0" customFormat="0" ht="15">
      <c r="B1213" s="69">
        <v>16711402</v>
      </c>
      <c r="C1213" s="70" t="s">
        <v>1477</v>
      </c>
      <c r="D1213" s="70" t="s">
        <v>1</v>
      </c>
      <c r="E1213" s="70" t="s">
        <v>1</v>
      </c>
      <c r="F1213" s="70"/>
      <c r="G1213" s="70" t="s">
        <v>61</v>
      </c>
      <c r="H1213" s="70" t="s">
        <v>178</v>
      </c>
      <c r="I1213" s="70" t="s">
        <v>184</v>
      </c>
      <c r="J1213" s="71">
        <f>IF(OR(I1213=0,I1213=""),"unrated",VLOOKUP(I1213,MappingTables!$B$19:$C$31,2,FALSE))</f>
        <v>5</v>
      </c>
      <c r="K1213" s="72">
        <v>58.193665103698432</v>
      </c>
      <c r="L1213" s="70">
        <v>0.087671079105130528</v>
      </c>
      <c r="M1213" s="71">
        <f>IF(L1213&lt;1,1,L1213)</f>
        <v>1</v>
      </c>
      <c r="N1213" s="70" t="s">
        <v>141</v>
      </c>
      <c r="O1213" s="71">
        <f>INDEX(DurClassMapping,MATCH(M1213,MappingTables!$D$4:$D$8,-1),1)</f>
        <v>1</v>
      </c>
      <c r="P1213" s="73">
        <f>IF(M1213=$A$1,1,$M1213-INDEX(MappingTables!$E$4:$E$8,MATCH(O1213,MappingTables!$B$4:$B$8,0)))</f>
        <v>1</v>
      </c>
      <c r="Q1213" s="71">
        <f>IF(B1213="",0,INDEX(ModelParameters!$D$6:$K$10,MATCH($O1213,ModelParameters!$B$6:$B$10,0),MATCH($J1213,ModelParameters!$D$5:$K$5,0)))</f>
        <v>0.075</v>
      </c>
      <c r="R1213" s="71">
        <f>IF(B1213="",0,INDEX(ModelParameters!$D$13:$K$17,MATCH($O1213,ModelParameters!$B$13:$B$17,0),MATCH($J1213,ModelParameters!$D$5:$K$5,0)))</f>
        <v>0</v>
      </c>
      <c r="S1213" s="160">
        <f>IF(B1213="",0,MIN(IF($N1213="Other Bond TM",ModelParameters!$N$21,1)*(P1213*Q1213+R1213),1))</f>
        <v>0.075</v>
      </c>
      <c r="T1213" s="85">
        <f>IF(B1213="",0,$S1213*$K1213)</f>
        <v>4.3645248827773824</v>
      </c>
      <c r="U1213" s="85">
        <f>IF(B1213="",0,IF(OR(H1213=MappingTables!$C$34,H1213=MappingTables!$C$35),T1213,0))</f>
        <v>0</v>
      </c>
      <c r="V1213" s="85">
        <f>IF(ISNA(IF(AND(VLOOKUP(CONCATENATE($D1213,$G1213),CSRFinput!$B:$E,4,0)=0,OR(H1213=MappingTables!$C$34,H1213=MappingTables!$C$35)),1,VLOOKUP(CONCATENATE($D1213,$G1213),CSRFinput!$B:$E,4,0))),0,IF(AND(VLOOKUP(CONCATENATE($D1213,$G1213),CSRFinput!$B:$E,4,0)=0,OR(H1213=MappingTables!$C$34,H1213=MappingTables!$C$35)),1,VLOOKUP(CONCATENATE($D1213,$G1213),CSRFinput!$B:$E,4,0)))</f>
        <v>0.054776304963434752</v>
      </c>
      <c r="W1213" s="85">
        <f>IF(B1213="",0,+$T1213*$V1213)</f>
        <v>0.2390725459995132</v>
      </c>
      <c r="X1213" s="85">
        <f>IF(B1213="",0,IF(OR(H1213=MappingTables!$C$34,H1213=MappingTables!$C$35),W1213,0))</f>
        <v>0</v>
      </c>
    </row>
    <row r="1214" spans="2:24" s="0" customFormat="0" ht="15">
      <c r="B1214" s="69" t="s">
        <v>1478</v>
      </c>
      <c r="C1214" s="70" t="s">
        <v>1479</v>
      </c>
      <c r="D1214" s="70" t="s">
        <v>1</v>
      </c>
      <c r="E1214" s="70" t="s">
        <v>1</v>
      </c>
      <c r="F1214" s="70"/>
      <c r="G1214" s="70" t="s">
        <v>61</v>
      </c>
      <c r="H1214" s="70" t="s">
        <v>178</v>
      </c>
      <c r="I1214" s="70" t="s">
        <v>181</v>
      </c>
      <c r="J1214" s="71">
        <f>IF(OR(I1214=0,I1214=""),"unrated",VLOOKUP(I1214,MappingTables!$B$19:$C$31,2,FALSE))</f>
        <v>3</v>
      </c>
      <c r="K1214" s="72">
        <v>10.068798373533782</v>
      </c>
      <c r="L1214" s="70">
        <v>2.8190141573623816</v>
      </c>
      <c r="M1214" s="71">
        <f>IF(L1214&lt;1,1,L1214)</f>
        <v>2.8190141573623816</v>
      </c>
      <c r="N1214" s="70" t="s">
        <v>141</v>
      </c>
      <c r="O1214" s="71">
        <f>INDEX(DurClassMapping,MATCH(M1214,MappingTables!$D$4:$D$8,-1),1)</f>
        <v>1</v>
      </c>
      <c r="P1214" s="73">
        <f>IF(M1214=$A$1,1,$M1214-INDEX(MappingTables!$E$4:$E$8,MATCH(O1214,MappingTables!$B$4:$B$8,0)))</f>
        <v>2.8190141573623816</v>
      </c>
      <c r="Q1214" s="71">
        <f>IF(B1214="",0,INDEX(ModelParameters!$D$6:$K$10,MATCH($O1214,ModelParameters!$B$6:$B$10,0),MATCH($J1214,ModelParameters!$D$5:$K$5,0)))</f>
        <v>0.025</v>
      </c>
      <c r="R1214" s="71">
        <f>IF(B1214="",0,INDEX(ModelParameters!$D$13:$K$17,MATCH($O1214,ModelParameters!$B$13:$B$17,0),MATCH($J1214,ModelParameters!$D$5:$K$5,0)))</f>
        <v>0</v>
      </c>
      <c r="S1214" s="160">
        <f>IF(B1214="",0,MIN(IF($N1214="Other Bond TM",ModelParameters!$N$21,1)*(P1214*Q1214+R1214),1))</f>
        <v>0.070475353934059544</v>
      </c>
      <c r="T1214" s="85">
        <f>IF(B1214="",0,$S1214*$K1214)</f>
        <v>0.7096021290654764</v>
      </c>
      <c r="U1214" s="85">
        <f>IF(B1214="",0,IF(OR(H1214=MappingTables!$C$34,H1214=MappingTables!$C$35),T1214,0))</f>
        <v>0</v>
      </c>
      <c r="V1214" s="85">
        <f>IF(ISNA(IF(AND(VLOOKUP(CONCATENATE($D1214,$G1214),CSRFinput!$B:$E,4,0)=0,OR(H1214=MappingTables!$C$34,H1214=MappingTables!$C$35)),1,VLOOKUP(CONCATENATE($D1214,$G1214),CSRFinput!$B:$E,4,0))),0,IF(AND(VLOOKUP(CONCATENATE($D1214,$G1214),CSRFinput!$B:$E,4,0)=0,OR(H1214=MappingTables!$C$34,H1214=MappingTables!$C$35)),1,VLOOKUP(CONCATENATE($D1214,$G1214),CSRFinput!$B:$E,4,0)))</f>
        <v>0.054776304963434752</v>
      </c>
      <c r="W1214" s="85">
        <f>IF(B1214="",0,+$T1214*$V1214)</f>
        <v>0.03886938262439312</v>
      </c>
      <c r="X1214" s="85">
        <f>IF(B1214="",0,IF(OR(H1214=MappingTables!$C$34,H1214=MappingTables!$C$35),W1214,0))</f>
        <v>0</v>
      </c>
    </row>
    <row r="1215" spans="2:24" s="0" customFormat="0" ht="15">
      <c r="B1215" s="69">
        <v>19834668</v>
      </c>
      <c r="C1215" s="70" t="s">
        <v>1480</v>
      </c>
      <c r="D1215" s="70" t="s">
        <v>1</v>
      </c>
      <c r="E1215" s="70" t="s">
        <v>1</v>
      </c>
      <c r="F1215" s="70"/>
      <c r="G1215" s="70" t="s">
        <v>61</v>
      </c>
      <c r="H1215" s="70" t="s">
        <v>178</v>
      </c>
      <c r="I1215" s="70" t="s">
        <v>181</v>
      </c>
      <c r="J1215" s="71">
        <f>IF(OR(I1215=0,I1215=""),"unrated",VLOOKUP(I1215,MappingTables!$B$19:$C$31,2,FALSE))</f>
        <v>3</v>
      </c>
      <c r="K1215" s="72">
        <v>723.00261554944592</v>
      </c>
      <c r="L1215" s="70">
        <v>7.3824193682256928</v>
      </c>
      <c r="M1215" s="71">
        <f>IF(L1215&lt;1,1,L1215)</f>
        <v>7.3824193682256928</v>
      </c>
      <c r="N1215" s="70" t="s">
        <v>141</v>
      </c>
      <c r="O1215" s="71">
        <f>INDEX(DurClassMapping,MATCH(M1215,MappingTables!$D$4:$D$8,-1),1)</f>
        <v>2</v>
      </c>
      <c r="P1215" s="73">
        <f>IF(M1215=$A$1,1,$M1215-INDEX(MappingTables!$E$4:$E$8,MATCH(O1215,MappingTables!$B$4:$B$8,0)))</f>
        <v>2.3824193682256924</v>
      </c>
      <c r="Q1215" s="71">
        <f>IF(B1215="",0,INDEX(ModelParameters!$D$6:$K$10,MATCH($O1215,ModelParameters!$B$6:$B$10,0),MATCH($J1215,ModelParameters!$D$5:$K$5,0)))</f>
        <v>0.015</v>
      </c>
      <c r="R1215" s="71">
        <f>IF(B1215="",0,INDEX(ModelParameters!$D$13:$K$17,MATCH($O1215,ModelParameters!$B$13:$B$17,0),MATCH($J1215,ModelParameters!$D$5:$K$5,0)))</f>
        <v>0.125</v>
      </c>
      <c r="S1215" s="160">
        <f>IF(B1215="",0,MIN(IF($N1215="Other Bond TM",ModelParameters!$N$21,1)*(P1215*Q1215+R1215),1))</f>
        <v>0.1607362905233854</v>
      </c>
      <c r="T1215" s="85">
        <f>IF(B1215="",0,$S1215*$K1215)</f>
        <v>116.21275846212324</v>
      </c>
      <c r="U1215" s="85">
        <f>IF(B1215="",0,IF(OR(H1215=MappingTables!$C$34,H1215=MappingTables!$C$35),T1215,0))</f>
        <v>0</v>
      </c>
      <c r="V1215" s="85">
        <f>IF(ISNA(IF(AND(VLOOKUP(CONCATENATE($D1215,$G1215),CSRFinput!$B:$E,4,0)=0,OR(H1215=MappingTables!$C$34,H1215=MappingTables!$C$35)),1,VLOOKUP(CONCATENATE($D1215,$G1215),CSRFinput!$B:$E,4,0))),0,IF(AND(VLOOKUP(CONCATENATE($D1215,$G1215),CSRFinput!$B:$E,4,0)=0,OR(H1215=MappingTables!$C$34,H1215=MappingTables!$C$35)),1,VLOOKUP(CONCATENATE($D1215,$G1215),CSRFinput!$B:$E,4,0)))</f>
        <v>0.054776304963434752</v>
      </c>
      <c r="W1215" s="85">
        <f>IF(B1215="",0,+$T1215*$V1215)</f>
        <v>6.3657054981632456</v>
      </c>
      <c r="X1215" s="85">
        <f>IF(B1215="",0,IF(OR(H1215=MappingTables!$C$34,H1215=MappingTables!$C$35),W1215,0))</f>
        <v>0</v>
      </c>
    </row>
    <row r="1216" spans="2:24" s="0" customFormat="0" ht="15">
      <c r="B1216" s="69">
        <v>22954813</v>
      </c>
      <c r="C1216" s="70" t="s">
        <v>1481</v>
      </c>
      <c r="D1216" s="70" t="s">
        <v>1</v>
      </c>
      <c r="E1216" s="70" t="s">
        <v>1</v>
      </c>
      <c r="F1216" s="70"/>
      <c r="G1216" s="70" t="s">
        <v>61</v>
      </c>
      <c r="H1216" s="70" t="s">
        <v>178</v>
      </c>
      <c r="I1216" s="70" t="s">
        <v>184</v>
      </c>
      <c r="J1216" s="71">
        <f>IF(OR(I1216=0,I1216=""),"unrated",VLOOKUP(I1216,MappingTables!$B$19:$C$31,2,FALSE))</f>
        <v>5</v>
      </c>
      <c r="K1216" s="72">
        <v>182.09948089523532</v>
      </c>
      <c r="L1216" s="70">
        <v>1.6435302054537688</v>
      </c>
      <c r="M1216" s="71">
        <f>IF(L1216&lt;1,1,L1216)</f>
        <v>1.6435302054537688</v>
      </c>
      <c r="N1216" s="70" t="s">
        <v>141</v>
      </c>
      <c r="O1216" s="71">
        <f>INDEX(DurClassMapping,MATCH(M1216,MappingTables!$D$4:$D$8,-1),1)</f>
        <v>1</v>
      </c>
      <c r="P1216" s="73">
        <f>IF(M1216=$A$1,1,$M1216-INDEX(MappingTables!$E$4:$E$8,MATCH(O1216,MappingTables!$B$4:$B$8,0)))</f>
        <v>1.6435302054537688</v>
      </c>
      <c r="Q1216" s="71">
        <f>IF(B1216="",0,INDEX(ModelParameters!$D$6:$K$10,MATCH($O1216,ModelParameters!$B$6:$B$10,0),MATCH($J1216,ModelParameters!$D$5:$K$5,0)))</f>
        <v>0.075</v>
      </c>
      <c r="R1216" s="71">
        <f>IF(B1216="",0,INDEX(ModelParameters!$D$13:$K$17,MATCH($O1216,ModelParameters!$B$13:$B$17,0),MATCH($J1216,ModelParameters!$D$5:$K$5,0)))</f>
        <v>0</v>
      </c>
      <c r="S1216" s="160">
        <f>IF(B1216="",0,MIN(IF($N1216="Other Bond TM",ModelParameters!$N$21,1)*(P1216*Q1216+R1216),1))</f>
        <v>0.12326476540903266</v>
      </c>
      <c r="T1216" s="85">
        <f>IF(B1216="",0,$S1216*$K1216)</f>
        <v>22.446449793657804</v>
      </c>
      <c r="U1216" s="85">
        <f>IF(B1216="",0,IF(OR(H1216=MappingTables!$C$34,H1216=MappingTables!$C$35),T1216,0))</f>
        <v>0</v>
      </c>
      <c r="V1216" s="85">
        <f>IF(ISNA(IF(AND(VLOOKUP(CONCATENATE($D1216,$G1216),CSRFinput!$B:$E,4,0)=0,OR(H1216=MappingTables!$C$34,H1216=MappingTables!$C$35)),1,VLOOKUP(CONCATENATE($D1216,$G1216),CSRFinput!$B:$E,4,0))),0,IF(AND(VLOOKUP(CONCATENATE($D1216,$G1216),CSRFinput!$B:$E,4,0)=0,OR(H1216=MappingTables!$C$34,H1216=MappingTables!$C$35)),1,VLOOKUP(CONCATENATE($D1216,$G1216),CSRFinput!$B:$E,4,0)))</f>
        <v>0.054776304963434752</v>
      </c>
      <c r="W1216" s="85">
        <f>IF(B1216="",0,+$T1216*$V1216)</f>
        <v>1.2295335792438268</v>
      </c>
      <c r="X1216" s="85">
        <f>IF(B1216="",0,IF(OR(H1216=MappingTables!$C$34,H1216=MappingTables!$C$35),W1216,0))</f>
        <v>0</v>
      </c>
    </row>
    <row r="1217" spans="2:24" s="0" customFormat="0" ht="15">
      <c r="B1217" s="69" t="s">
        <v>1420</v>
      </c>
      <c r="C1217" s="70" t="s">
        <v>1421</v>
      </c>
      <c r="D1217" s="70" t="s">
        <v>1</v>
      </c>
      <c r="E1217" s="70" t="s">
        <v>1</v>
      </c>
      <c r="F1217" s="70"/>
      <c r="G1217" s="70" t="s">
        <v>61</v>
      </c>
      <c r="H1217" s="70" t="s">
        <v>178</v>
      </c>
      <c r="I1217" s="70" t="s">
        <v>198</v>
      </c>
      <c r="J1217" s="71" t="str">
        <f>IF(OR(I1217=0,I1217=""),"unrated",VLOOKUP(I1217,MappingTables!$B$19:$C$31,2,FALSE))</f>
        <v>unrated</v>
      </c>
      <c r="K1217" s="72">
        <v>14021.088571805728</v>
      </c>
      <c r="L1217" s="70">
        <v>5.9010972422886136</v>
      </c>
      <c r="M1217" s="71">
        <f>IF(L1217&lt;1,1,L1217)</f>
        <v>5.9010972422886136</v>
      </c>
      <c r="N1217" s="70" t="s">
        <v>141</v>
      </c>
      <c r="O1217" s="71">
        <f>INDEX(DurClassMapping,MATCH(M1217,MappingTables!$D$4:$D$8,-1),1)</f>
        <v>2</v>
      </c>
      <c r="P1217" s="73">
        <f>IF(M1217=$A$1,1,$M1217-INDEX(MappingTables!$E$4:$E$8,MATCH(O1217,MappingTables!$B$4:$B$8,0)))</f>
        <v>0.90109724228861328</v>
      </c>
      <c r="Q1217" s="71">
        <f>IF(B1217="",0,INDEX(ModelParameters!$D$6:$K$10,MATCH($O1217,ModelParameters!$B$6:$B$10,0),MATCH($J1217,ModelParameters!$D$5:$K$5,0)))</f>
        <v>0.017000000000000002</v>
      </c>
      <c r="R1217" s="71">
        <f>IF(B1217="",0,INDEX(ModelParameters!$D$13:$K$17,MATCH($O1217,ModelParameters!$B$13:$B$17,0),MATCH($J1217,ModelParameters!$D$5:$K$5,0)))</f>
        <v>0.15</v>
      </c>
      <c r="S1217" s="160">
        <f>IF(B1217="",0,MIN(IF($N1217="Other Bond TM",ModelParameters!$N$21,1)*(P1217*Q1217+R1217),1))</f>
        <v>0.16531865311890642</v>
      </c>
      <c r="T1217" s="85">
        <f>IF(B1217="",0,$S1217*$K1217)</f>
        <v>2317.947477951814</v>
      </c>
      <c r="U1217" s="85">
        <f>IF(B1217="",0,IF(OR(H1217=MappingTables!$C$34,H1217=MappingTables!$C$35),T1217,0))</f>
        <v>0</v>
      </c>
      <c r="V1217" s="85">
        <f>IF(ISNA(IF(AND(VLOOKUP(CONCATENATE($D1217,$G1217),CSRFinput!$B:$E,4,0)=0,OR(H1217=MappingTables!$C$34,H1217=MappingTables!$C$35)),1,VLOOKUP(CONCATENATE($D1217,$G1217),CSRFinput!$B:$E,4,0))),0,IF(AND(VLOOKUP(CONCATENATE($D1217,$G1217),CSRFinput!$B:$E,4,0)=0,OR(H1217=MappingTables!$C$34,H1217=MappingTables!$C$35)),1,VLOOKUP(CONCATENATE($D1217,$G1217),CSRFinput!$B:$E,4,0)))</f>
        <v>0.054776304963434752</v>
      </c>
      <c r="W1217" s="85">
        <f>IF(B1217="",0,+$T1217*$V1217)</f>
        <v>126.96859794151302</v>
      </c>
      <c r="X1217" s="85">
        <f>IF(B1217="",0,IF(OR(H1217=MappingTables!$C$34,H1217=MappingTables!$C$35),W1217,0))</f>
        <v>0</v>
      </c>
    </row>
    <row r="1218" spans="2:24" s="0" customFormat="0" ht="15">
      <c r="B1218" s="69" t="s">
        <v>1482</v>
      </c>
      <c r="C1218" s="70" t="s">
        <v>1483</v>
      </c>
      <c r="D1218" s="70" t="s">
        <v>1</v>
      </c>
      <c r="E1218" s="70" t="s">
        <v>1</v>
      </c>
      <c r="F1218" s="70"/>
      <c r="G1218" s="70" t="s">
        <v>61</v>
      </c>
      <c r="H1218" s="70" t="s">
        <v>178</v>
      </c>
      <c r="I1218" s="70" t="s">
        <v>204</v>
      </c>
      <c r="J1218" s="71">
        <f>IF(OR(I1218=0,I1218=""),"unrated",VLOOKUP(I1218,MappingTables!$B$19:$C$31,2,FALSE))</f>
        <v>6</v>
      </c>
      <c r="K1218" s="72">
        <v>250.29736386966692</v>
      </c>
      <c r="L1218" s="70">
        <v>1.1624369826662012</v>
      </c>
      <c r="M1218" s="71">
        <f>IF(L1218&lt;1,1,L1218)</f>
        <v>1.1624369826662012</v>
      </c>
      <c r="N1218" s="70" t="s">
        <v>141</v>
      </c>
      <c r="O1218" s="71">
        <f>INDEX(DurClassMapping,MATCH(M1218,MappingTables!$D$4:$D$8,-1),1)</f>
        <v>1</v>
      </c>
      <c r="P1218" s="73">
        <f>IF(M1218=$A$1,1,$M1218-INDEX(MappingTables!$E$4:$E$8,MATCH(O1218,MappingTables!$B$4:$B$8,0)))</f>
        <v>1.1624369826662012</v>
      </c>
      <c r="Q1218" s="71">
        <f>IF(B1218="",0,INDEX(ModelParameters!$D$6:$K$10,MATCH($O1218,ModelParameters!$B$6:$B$10,0),MATCH($J1218,ModelParameters!$D$5:$K$5,0)))</f>
        <v>0.075</v>
      </c>
      <c r="R1218" s="71">
        <f>IF(B1218="",0,INDEX(ModelParameters!$D$13:$K$17,MATCH($O1218,ModelParameters!$B$13:$B$17,0),MATCH($J1218,ModelParameters!$D$5:$K$5,0)))</f>
        <v>0</v>
      </c>
      <c r="S1218" s="160">
        <f>IF(B1218="",0,MIN(IF($N1218="Other Bond TM",ModelParameters!$N$21,1)*(P1218*Q1218+R1218),1))</f>
        <v>0.087182773699965072</v>
      </c>
      <c r="T1218" s="85">
        <f>IF(B1218="",0,$S1218*$K1218)</f>
        <v>21.821618431946988</v>
      </c>
      <c r="U1218" s="85">
        <f>IF(B1218="",0,IF(OR(H1218=MappingTables!$C$34,H1218=MappingTables!$C$35),T1218,0))</f>
        <v>0</v>
      </c>
      <c r="V1218" s="85">
        <f>IF(ISNA(IF(AND(VLOOKUP(CONCATENATE($D1218,$G1218),CSRFinput!$B:$E,4,0)=0,OR(H1218=MappingTables!$C$34,H1218=MappingTables!$C$35)),1,VLOOKUP(CONCATENATE($D1218,$G1218),CSRFinput!$B:$E,4,0))),0,IF(AND(VLOOKUP(CONCATENATE($D1218,$G1218),CSRFinput!$B:$E,4,0)=0,OR(H1218=MappingTables!$C$34,H1218=MappingTables!$C$35)),1,VLOOKUP(CONCATENATE($D1218,$G1218),CSRFinput!$B:$E,4,0)))</f>
        <v>0.054776304963434752</v>
      </c>
      <c r="W1218" s="85">
        <f>IF(B1218="",0,+$T1218*$V1218)</f>
        <v>1.1953076260240372</v>
      </c>
      <c r="X1218" s="85">
        <f>IF(B1218="",0,IF(OR(H1218=MappingTables!$C$34,H1218=MappingTables!$C$35),W1218,0))</f>
        <v>0</v>
      </c>
    </row>
    <row r="1219" spans="2:24" s="0" customFormat="0" ht="15">
      <c r="B1219" s="69">
        <v>6463543</v>
      </c>
      <c r="C1219" s="70" t="s">
        <v>1484</v>
      </c>
      <c r="D1219" s="70" t="s">
        <v>1</v>
      </c>
      <c r="E1219" s="70" t="s">
        <v>1</v>
      </c>
      <c r="F1219" s="70"/>
      <c r="G1219" s="70" t="s">
        <v>61</v>
      </c>
      <c r="H1219" s="70" t="s">
        <v>178</v>
      </c>
      <c r="I1219" s="70" t="s">
        <v>181</v>
      </c>
      <c r="J1219" s="71">
        <f>IF(OR(I1219=0,I1219=""),"unrated",VLOOKUP(I1219,MappingTables!$B$19:$C$31,2,FALSE))</f>
        <v>3</v>
      </c>
      <c r="K1219" s="72">
        <v>1620067.1768188476</v>
      </c>
      <c r="L1219" s="70">
        <v>2.2203195834975408</v>
      </c>
      <c r="M1219" s="71">
        <f>IF(L1219&lt;1,1,L1219)</f>
        <v>2.2203195834975408</v>
      </c>
      <c r="N1219" s="70" t="s">
        <v>141</v>
      </c>
      <c r="O1219" s="71">
        <f>INDEX(DurClassMapping,MATCH(M1219,MappingTables!$D$4:$D$8,-1),1)</f>
        <v>1</v>
      </c>
      <c r="P1219" s="73">
        <f>IF(M1219=$A$1,1,$M1219-INDEX(MappingTables!$E$4:$E$8,MATCH(O1219,MappingTables!$B$4:$B$8,0)))</f>
        <v>2.2203195834975408</v>
      </c>
      <c r="Q1219" s="71">
        <f>IF(B1219="",0,INDEX(ModelParameters!$D$6:$K$10,MATCH($O1219,ModelParameters!$B$6:$B$10,0),MATCH($J1219,ModelParameters!$D$5:$K$5,0)))</f>
        <v>0.025</v>
      </c>
      <c r="R1219" s="71">
        <f>IF(B1219="",0,INDEX(ModelParameters!$D$13:$K$17,MATCH($O1219,ModelParameters!$B$13:$B$17,0),MATCH($J1219,ModelParameters!$D$5:$K$5,0)))</f>
        <v>0</v>
      </c>
      <c r="S1219" s="160">
        <f>IF(B1219="",0,MIN(IF($N1219="Other Bond TM",ModelParameters!$N$21,1)*(P1219*Q1219+R1219),1))</f>
        <v>0.05550798958743852</v>
      </c>
      <c r="T1219" s="85">
        <f>IF(B1219="",0,$S1219*$K1219)</f>
        <v>89926.67198181152</v>
      </c>
      <c r="U1219" s="85">
        <f>IF(B1219="",0,IF(OR(H1219=MappingTables!$C$34,H1219=MappingTables!$C$35),T1219,0))</f>
        <v>0</v>
      </c>
      <c r="V1219" s="85">
        <f>IF(ISNA(IF(AND(VLOOKUP(CONCATENATE($D1219,$G1219),CSRFinput!$B:$E,4,0)=0,OR(H1219=MappingTables!$C$34,H1219=MappingTables!$C$35)),1,VLOOKUP(CONCATENATE($D1219,$G1219),CSRFinput!$B:$E,4,0))),0,IF(AND(VLOOKUP(CONCATENATE($D1219,$G1219),CSRFinput!$B:$E,4,0)=0,OR(H1219=MappingTables!$C$34,H1219=MappingTables!$C$35)),1,VLOOKUP(CONCATENATE($D1219,$G1219),CSRFinput!$B:$E,4,0)))</f>
        <v>0.054776304963434752</v>
      </c>
      <c r="W1219" s="85">
        <f>IF(B1219="",0,+$T1219*$V1219)</f>
        <v>4925.850808822472</v>
      </c>
      <c r="X1219" s="85">
        <f>IF(B1219="",0,IF(OR(H1219=MappingTables!$C$34,H1219=MappingTables!$C$35),W1219,0))</f>
        <v>0</v>
      </c>
    </row>
    <row r="1220" spans="2:24" s="0" customFormat="0" ht="15">
      <c r="B1220" s="69" t="s">
        <v>1485</v>
      </c>
      <c r="C1220" s="70" t="s">
        <v>1486</v>
      </c>
      <c r="D1220" s="70" t="s">
        <v>1</v>
      </c>
      <c r="E1220" s="70" t="s">
        <v>1</v>
      </c>
      <c r="F1220" s="70"/>
      <c r="G1220" s="70" t="s">
        <v>61</v>
      </c>
      <c r="H1220" s="70" t="s">
        <v>178</v>
      </c>
      <c r="I1220" s="70" t="s">
        <v>198</v>
      </c>
      <c r="J1220" s="71" t="str">
        <f>IF(OR(I1220=0,I1220=""),"unrated",VLOOKUP(I1220,MappingTables!$B$19:$C$31,2,FALSE))</f>
        <v>unrated</v>
      </c>
      <c r="K1220" s="72">
        <v>992.62860551521264</v>
      </c>
      <c r="L1220" s="70">
        <v>1.8738529311773932</v>
      </c>
      <c r="M1220" s="71">
        <f>IF(L1220&lt;1,1,L1220)</f>
        <v>1.8738529311773932</v>
      </c>
      <c r="N1220" s="70" t="s">
        <v>141</v>
      </c>
      <c r="O1220" s="71">
        <f>INDEX(DurClassMapping,MATCH(M1220,MappingTables!$D$4:$D$8,-1),1)</f>
        <v>1</v>
      </c>
      <c r="P1220" s="73">
        <f>IF(M1220=$A$1,1,$M1220-INDEX(MappingTables!$E$4:$E$8,MATCH(O1220,MappingTables!$B$4:$B$8,0)))</f>
        <v>1.8738529311773932</v>
      </c>
      <c r="Q1220" s="71">
        <f>IF(B1220="",0,INDEX(ModelParameters!$D$6:$K$10,MATCH($O1220,ModelParameters!$B$6:$B$10,0),MATCH($J1220,ModelParameters!$D$5:$K$5,0)))</f>
        <v>0.03</v>
      </c>
      <c r="R1220" s="71">
        <f>IF(B1220="",0,INDEX(ModelParameters!$D$13:$K$17,MATCH($O1220,ModelParameters!$B$13:$B$17,0),MATCH($J1220,ModelParameters!$D$5:$K$5,0)))</f>
        <v>0</v>
      </c>
      <c r="S1220" s="160">
        <f>IF(B1220="",0,MIN(IF($N1220="Other Bond TM",ModelParameters!$N$21,1)*(P1220*Q1220+R1220),1))</f>
        <v>0.0562155879353218</v>
      </c>
      <c r="T1220" s="85">
        <f>IF(B1220="",0,$S1220*$K1220)</f>
        <v>55.80120066045628</v>
      </c>
      <c r="U1220" s="85">
        <f>IF(B1220="",0,IF(OR(H1220=MappingTables!$C$34,H1220=MappingTables!$C$35),T1220,0))</f>
        <v>0</v>
      </c>
      <c r="V1220" s="85">
        <f>IF(ISNA(IF(AND(VLOOKUP(CONCATENATE($D1220,$G1220),CSRFinput!$B:$E,4,0)=0,OR(H1220=MappingTables!$C$34,H1220=MappingTables!$C$35)),1,VLOOKUP(CONCATENATE($D1220,$G1220),CSRFinput!$B:$E,4,0))),0,IF(AND(VLOOKUP(CONCATENATE($D1220,$G1220),CSRFinput!$B:$E,4,0)=0,OR(H1220=MappingTables!$C$34,H1220=MappingTables!$C$35)),1,VLOOKUP(CONCATENATE($D1220,$G1220),CSRFinput!$B:$E,4,0)))</f>
        <v>0.054776304963434752</v>
      </c>
      <c r="W1220" s="85">
        <f>IF(B1220="",0,+$T1220*$V1220)</f>
        <v>3.05658358470297</v>
      </c>
      <c r="X1220" s="85">
        <f>IF(B1220="",0,IF(OR(H1220=MappingTables!$C$34,H1220=MappingTables!$C$35),W1220,0))</f>
        <v>0</v>
      </c>
    </row>
    <row r="1221" spans="2:24" s="0" customFormat="0" ht="15">
      <c r="B1221" s="69" t="s">
        <v>1487</v>
      </c>
      <c r="C1221" s="70" t="s">
        <v>1488</v>
      </c>
      <c r="D1221" s="70" t="s">
        <v>1</v>
      </c>
      <c r="E1221" s="70" t="s">
        <v>1</v>
      </c>
      <c r="F1221" s="70"/>
      <c r="G1221" s="70" t="s">
        <v>61</v>
      </c>
      <c r="H1221" s="70" t="s">
        <v>178</v>
      </c>
      <c r="I1221" s="70" t="s">
        <v>188</v>
      </c>
      <c r="J1221" s="71">
        <f>IF(OR(I1221=0,I1221=""),"unrated",VLOOKUP(I1221,MappingTables!$B$19:$C$31,2,FALSE))</f>
        <v>2</v>
      </c>
      <c r="K1221" s="72">
        <v>79.592800015465744</v>
      </c>
      <c r="L1221" s="70">
        <v>1.4563720416902432</v>
      </c>
      <c r="M1221" s="71">
        <f>IF(L1221&lt;1,1,L1221)</f>
        <v>1.4563720416902432</v>
      </c>
      <c r="N1221" s="70" t="s">
        <v>141</v>
      </c>
      <c r="O1221" s="71">
        <f>INDEX(DurClassMapping,MATCH(M1221,MappingTables!$D$4:$D$8,-1),1)</f>
        <v>1</v>
      </c>
      <c r="P1221" s="73">
        <f>IF(M1221=$A$1,1,$M1221-INDEX(MappingTables!$E$4:$E$8,MATCH(O1221,MappingTables!$B$4:$B$8,0)))</f>
        <v>1.4563720416902432</v>
      </c>
      <c r="Q1221" s="71">
        <f>IF(B1221="",0,INDEX(ModelParameters!$D$6:$K$10,MATCH($O1221,ModelParameters!$B$6:$B$10,0),MATCH($J1221,ModelParameters!$D$5:$K$5,0)))</f>
        <v>0.013999999999999998</v>
      </c>
      <c r="R1221" s="71">
        <f>IF(B1221="",0,INDEX(ModelParameters!$D$13:$K$17,MATCH($O1221,ModelParameters!$B$13:$B$17,0),MATCH($J1221,ModelParameters!$D$5:$K$5,0)))</f>
        <v>0</v>
      </c>
      <c r="S1221" s="160">
        <f>IF(B1221="",0,MIN(IF($N1221="Other Bond TM",ModelParameters!$N$21,1)*(P1221*Q1221+R1221),1))</f>
        <v>0.020389208583663404</v>
      </c>
      <c r="T1221" s="85">
        <f>IF(B1221="",0,$S1221*$K1221)</f>
        <v>1.622834201273139</v>
      </c>
      <c r="U1221" s="85">
        <f>IF(B1221="",0,IF(OR(H1221=MappingTables!$C$34,H1221=MappingTables!$C$35),T1221,0))</f>
        <v>0</v>
      </c>
      <c r="V1221" s="85">
        <f>IF(ISNA(IF(AND(VLOOKUP(CONCATENATE($D1221,$G1221),CSRFinput!$B:$E,4,0)=0,OR(H1221=MappingTables!$C$34,H1221=MappingTables!$C$35)),1,VLOOKUP(CONCATENATE($D1221,$G1221),CSRFinput!$B:$E,4,0))),0,IF(AND(VLOOKUP(CONCATENATE($D1221,$G1221),CSRFinput!$B:$E,4,0)=0,OR(H1221=MappingTables!$C$34,H1221=MappingTables!$C$35)),1,VLOOKUP(CONCATENATE($D1221,$G1221),CSRFinput!$B:$E,4,0)))</f>
        <v>0.054776304963434752</v>
      </c>
      <c r="W1221" s="85">
        <f>IF(B1221="",0,+$T1221*$V1221)</f>
        <v>0.088892861114029504</v>
      </c>
      <c r="X1221" s="85">
        <f>IF(B1221="",0,IF(OR(H1221=MappingTables!$C$34,H1221=MappingTables!$C$35),W1221,0))</f>
        <v>0</v>
      </c>
    </row>
    <row r="1222" spans="2:24" s="0" customFormat="0" ht="15">
      <c r="B1222" s="69">
        <v>478090</v>
      </c>
      <c r="C1222" s="70" t="s">
        <v>1489</v>
      </c>
      <c r="D1222" s="70" t="s">
        <v>1</v>
      </c>
      <c r="E1222" s="70" t="s">
        <v>1</v>
      </c>
      <c r="F1222" s="70"/>
      <c r="G1222" s="70" t="s">
        <v>61</v>
      </c>
      <c r="H1222" s="70" t="s">
        <v>178</v>
      </c>
      <c r="I1222" s="70" t="s">
        <v>181</v>
      </c>
      <c r="J1222" s="71">
        <f>IF(OR(I1222=0,I1222=""),"unrated",VLOOKUP(I1222,MappingTables!$B$19:$C$31,2,FALSE))</f>
        <v>3</v>
      </c>
      <c r="K1222" s="72">
        <v>1183.7553806835112</v>
      </c>
      <c r="L1222" s="70">
        <v>7.7017690279974592</v>
      </c>
      <c r="M1222" s="71">
        <f>IF(L1222&lt;1,1,L1222)</f>
        <v>7.7017690279974592</v>
      </c>
      <c r="N1222" s="70" t="s">
        <v>141</v>
      </c>
      <c r="O1222" s="71">
        <f>INDEX(DurClassMapping,MATCH(M1222,MappingTables!$D$4:$D$8,-1),1)</f>
        <v>2</v>
      </c>
      <c r="P1222" s="73">
        <f>IF(M1222=$A$1,1,$M1222-INDEX(MappingTables!$E$4:$E$8,MATCH(O1222,MappingTables!$B$4:$B$8,0)))</f>
        <v>2.7017690279974592</v>
      </c>
      <c r="Q1222" s="71">
        <f>IF(B1222="",0,INDEX(ModelParameters!$D$6:$K$10,MATCH($O1222,ModelParameters!$B$6:$B$10,0),MATCH($J1222,ModelParameters!$D$5:$K$5,0)))</f>
        <v>0.015</v>
      </c>
      <c r="R1222" s="71">
        <f>IF(B1222="",0,INDEX(ModelParameters!$D$13:$K$17,MATCH($O1222,ModelParameters!$B$13:$B$17,0),MATCH($J1222,ModelParameters!$D$5:$K$5,0)))</f>
        <v>0.125</v>
      </c>
      <c r="S1222" s="160">
        <f>IF(B1222="",0,MIN(IF($N1222="Other Bond TM",ModelParameters!$N$21,1)*(P1222*Q1222+R1222),1))</f>
        <v>0.16552653541996188</v>
      </c>
      <c r="T1222" s="85">
        <f>IF(B1222="",0,$S1222*$K1222)</f>
        <v>195.94292694927968</v>
      </c>
      <c r="U1222" s="85">
        <f>IF(B1222="",0,IF(OR(H1222=MappingTables!$C$34,H1222=MappingTables!$C$35),T1222,0))</f>
        <v>0</v>
      </c>
      <c r="V1222" s="85">
        <f>IF(ISNA(IF(AND(VLOOKUP(CONCATENATE($D1222,$G1222),CSRFinput!$B:$E,4,0)=0,OR(H1222=MappingTables!$C$34,H1222=MappingTables!$C$35)),1,VLOOKUP(CONCATENATE($D1222,$G1222),CSRFinput!$B:$E,4,0))),0,IF(AND(VLOOKUP(CONCATENATE($D1222,$G1222),CSRFinput!$B:$E,4,0)=0,OR(H1222=MappingTables!$C$34,H1222=MappingTables!$C$35)),1,VLOOKUP(CONCATENATE($D1222,$G1222),CSRFinput!$B:$E,4,0)))</f>
        <v>0.054776304963434752</v>
      </c>
      <c r="W1222" s="85">
        <f>IF(B1222="",0,+$T1222*$V1222)</f>
        <v>10.733029522001762</v>
      </c>
      <c r="X1222" s="85">
        <f>IF(B1222="",0,IF(OR(H1222=MappingTables!$C$34,H1222=MappingTables!$C$35),W1222,0))</f>
        <v>0</v>
      </c>
    </row>
    <row r="1223" spans="2:24" s="0" customFormat="0" ht="15">
      <c r="B1223" s="69">
        <v>6463543</v>
      </c>
      <c r="C1223" s="70" t="s">
        <v>1484</v>
      </c>
      <c r="D1223" s="70" t="s">
        <v>1</v>
      </c>
      <c r="E1223" s="70" t="s">
        <v>1</v>
      </c>
      <c r="F1223" s="70"/>
      <c r="G1223" s="70" t="s">
        <v>61</v>
      </c>
      <c r="H1223" s="70" t="s">
        <v>178</v>
      </c>
      <c r="I1223" s="70" t="s">
        <v>181</v>
      </c>
      <c r="J1223" s="71">
        <f>IF(OR(I1223=0,I1223=""),"unrated",VLOOKUP(I1223,MappingTables!$B$19:$C$31,2,FALSE))</f>
        <v>3</v>
      </c>
      <c r="K1223" s="72">
        <v>14296.734810851478</v>
      </c>
      <c r="L1223" s="70">
        <v>2.2203195834975396</v>
      </c>
      <c r="M1223" s="71">
        <f>IF(L1223&lt;1,1,L1223)</f>
        <v>2.2203195834975396</v>
      </c>
      <c r="N1223" s="70" t="s">
        <v>141</v>
      </c>
      <c r="O1223" s="71">
        <f>INDEX(DurClassMapping,MATCH(M1223,MappingTables!$D$4:$D$8,-1),1)</f>
        <v>1</v>
      </c>
      <c r="P1223" s="73">
        <f>IF(M1223=$A$1,1,$M1223-INDEX(MappingTables!$E$4:$E$8,MATCH(O1223,MappingTables!$B$4:$B$8,0)))</f>
        <v>2.2203195834975396</v>
      </c>
      <c r="Q1223" s="71">
        <f>IF(B1223="",0,INDEX(ModelParameters!$D$6:$K$10,MATCH($O1223,ModelParameters!$B$6:$B$10,0),MATCH($J1223,ModelParameters!$D$5:$K$5,0)))</f>
        <v>0.025</v>
      </c>
      <c r="R1223" s="71">
        <f>IF(B1223="",0,INDEX(ModelParameters!$D$13:$K$17,MATCH($O1223,ModelParameters!$B$13:$B$17,0),MATCH($J1223,ModelParameters!$D$5:$K$5,0)))</f>
        <v>0</v>
      </c>
      <c r="S1223" s="160">
        <f>IF(B1223="",0,MIN(IF($N1223="Other Bond TM",ModelParameters!$N$21,1)*(P1223*Q1223+R1223),1))</f>
        <v>0.055507989587438496</v>
      </c>
      <c r="T1223" s="85">
        <f>IF(B1223="",0,$S1223*$K1223)</f>
        <v>793.58300701511328</v>
      </c>
      <c r="U1223" s="85">
        <f>IF(B1223="",0,IF(OR(H1223=MappingTables!$C$34,H1223=MappingTables!$C$35),T1223,0))</f>
        <v>0</v>
      </c>
      <c r="V1223" s="85">
        <f>IF(ISNA(IF(AND(VLOOKUP(CONCATENATE($D1223,$G1223),CSRFinput!$B:$E,4,0)=0,OR(H1223=MappingTables!$C$34,H1223=MappingTables!$C$35)),1,VLOOKUP(CONCATENATE($D1223,$G1223),CSRFinput!$B:$E,4,0))),0,IF(AND(VLOOKUP(CONCATENATE($D1223,$G1223),CSRFinput!$B:$E,4,0)=0,OR(H1223=MappingTables!$C$34,H1223=MappingTables!$C$35)),1,VLOOKUP(CONCATENATE($D1223,$G1223),CSRFinput!$B:$E,4,0)))</f>
        <v>0.054776304963434752</v>
      </c>
      <c r="W1223" s="85">
        <f>IF(B1223="",0,+$T1223*$V1223)</f>
        <v>43.469544806059424</v>
      </c>
      <c r="X1223" s="85">
        <f>IF(B1223="",0,IF(OR(H1223=MappingTables!$C$34,H1223=MappingTables!$C$35),W1223,0))</f>
        <v>0</v>
      </c>
    </row>
    <row r="1224" spans="2:24" s="0" customFormat="0" ht="15">
      <c r="B1224" s="69">
        <v>19603895</v>
      </c>
      <c r="C1224" s="70" t="s">
        <v>1490</v>
      </c>
      <c r="D1224" s="70" t="s">
        <v>1</v>
      </c>
      <c r="E1224" s="70" t="s">
        <v>1</v>
      </c>
      <c r="F1224" s="70"/>
      <c r="G1224" s="70" t="s">
        <v>61</v>
      </c>
      <c r="H1224" s="70" t="s">
        <v>178</v>
      </c>
      <c r="I1224" s="70" t="s">
        <v>179</v>
      </c>
      <c r="J1224" s="71">
        <f>IF(OR(I1224=0,I1224=""),"unrated",VLOOKUP(I1224,MappingTables!$B$19:$C$31,2,FALSE))</f>
        <v>4</v>
      </c>
      <c r="K1224" s="72">
        <v>99487.136549377584</v>
      </c>
      <c r="L1224" s="70">
        <v>2.9618913211431364</v>
      </c>
      <c r="M1224" s="71">
        <f>IF(L1224&lt;1,1,L1224)</f>
        <v>2.9618913211431364</v>
      </c>
      <c r="N1224" s="70" t="s">
        <v>141</v>
      </c>
      <c r="O1224" s="71">
        <f>INDEX(DurClassMapping,MATCH(M1224,MappingTables!$D$4:$D$8,-1),1)</f>
        <v>1</v>
      </c>
      <c r="P1224" s="73">
        <f>IF(M1224=$A$1,1,$M1224-INDEX(MappingTables!$E$4:$E$8,MATCH(O1224,MappingTables!$B$4:$B$8,0)))</f>
        <v>2.9618913211431364</v>
      </c>
      <c r="Q1224" s="71">
        <f>IF(B1224="",0,INDEX(ModelParameters!$D$6:$K$10,MATCH($O1224,ModelParameters!$B$6:$B$10,0),MATCH($J1224,ModelParameters!$D$5:$K$5,0)))</f>
        <v>0.045</v>
      </c>
      <c r="R1224" s="71">
        <f>IF(B1224="",0,INDEX(ModelParameters!$D$13:$K$17,MATCH($O1224,ModelParameters!$B$13:$B$17,0),MATCH($J1224,ModelParameters!$D$5:$K$5,0)))</f>
        <v>0</v>
      </c>
      <c r="S1224" s="160">
        <f>IF(B1224="",0,MIN(IF($N1224="Other Bond TM",ModelParameters!$N$21,1)*(P1224*Q1224+R1224),1))</f>
        <v>0.13328510945144114</v>
      </c>
      <c r="T1224" s="85">
        <f>IF(B1224="",0,$S1224*$K1224)</f>
        <v>13260.153883994262</v>
      </c>
      <c r="U1224" s="85">
        <f>IF(B1224="",0,IF(OR(H1224=MappingTables!$C$34,H1224=MappingTables!$C$35),T1224,0))</f>
        <v>0</v>
      </c>
      <c r="V1224" s="85">
        <f>IF(ISNA(IF(AND(VLOOKUP(CONCATENATE($D1224,$G1224),CSRFinput!$B:$E,4,0)=0,OR(H1224=MappingTables!$C$34,H1224=MappingTables!$C$35)),1,VLOOKUP(CONCATENATE($D1224,$G1224),CSRFinput!$B:$E,4,0))),0,IF(AND(VLOOKUP(CONCATENATE($D1224,$G1224),CSRFinput!$B:$E,4,0)=0,OR(H1224=MappingTables!$C$34,H1224=MappingTables!$C$35)),1,VLOOKUP(CONCATENATE($D1224,$G1224),CSRFinput!$B:$E,4,0)))</f>
        <v>0.054776304963434752</v>
      </c>
      <c r="W1224" s="85">
        <f>IF(B1224="",0,+$T1224*$V1224)</f>
        <v>726.34223301174352</v>
      </c>
      <c r="X1224" s="85">
        <f>IF(B1224="",0,IF(OR(H1224=MappingTables!$C$34,H1224=MappingTables!$C$35),W1224,0))</f>
        <v>0</v>
      </c>
    </row>
    <row r="1225" spans="2:24" s="0" customFormat="0" ht="15">
      <c r="B1225" s="69" t="s">
        <v>1369</v>
      </c>
      <c r="C1225" s="70" t="s">
        <v>1370</v>
      </c>
      <c r="D1225" s="70" t="s">
        <v>1</v>
      </c>
      <c r="E1225" s="70" t="s">
        <v>1</v>
      </c>
      <c r="F1225" s="70"/>
      <c r="G1225" s="70" t="s">
        <v>61</v>
      </c>
      <c r="H1225" s="70" t="s">
        <v>178</v>
      </c>
      <c r="I1225" s="70" t="s">
        <v>188</v>
      </c>
      <c r="J1225" s="71">
        <f>IF(OR(I1225=0,I1225=""),"unrated",VLOOKUP(I1225,MappingTables!$B$19:$C$31,2,FALSE))</f>
        <v>2</v>
      </c>
      <c r="K1225" s="72">
        <v>64.353195835967184</v>
      </c>
      <c r="L1225" s="70">
        <v>11.84544179495263</v>
      </c>
      <c r="M1225" s="71">
        <f>IF(L1225&lt;1,1,L1225)</f>
        <v>11.84544179495263</v>
      </c>
      <c r="N1225" s="70" t="s">
        <v>141</v>
      </c>
      <c r="O1225" s="71">
        <f>INDEX(DurClassMapping,MATCH(M1225,MappingTables!$D$4:$D$8,-1),1)</f>
        <v>3</v>
      </c>
      <c r="P1225" s="73">
        <f>IF(M1225=$A$1,1,$M1225-INDEX(MappingTables!$E$4:$E$8,MATCH(O1225,MappingTables!$B$4:$B$8,0)))</f>
        <v>1.8454417949526292</v>
      </c>
      <c r="Q1225" s="71">
        <f>IF(B1225="",0,INDEX(ModelParameters!$D$6:$K$10,MATCH($O1225,ModelParameters!$B$6:$B$10,0),MATCH($J1225,ModelParameters!$D$5:$K$5,0)))</f>
        <v>0.005</v>
      </c>
      <c r="R1225" s="71">
        <f>IF(B1225="",0,INDEX(ModelParameters!$D$13:$K$17,MATCH($O1225,ModelParameters!$B$13:$B$17,0),MATCH($J1225,ModelParameters!$D$5:$K$5,0)))</f>
        <v>0.105</v>
      </c>
      <c r="S1225" s="160">
        <f>IF(B1225="",0,MIN(IF($N1225="Other Bond TM",ModelParameters!$N$21,1)*(P1225*Q1225+R1225),1))</f>
        <v>0.11422720897476314</v>
      </c>
      <c r="T1225" s="85">
        <f>IF(B1225="",0,$S1225*$K1225)</f>
        <v>7.3508859489488816</v>
      </c>
      <c r="U1225" s="85">
        <f>IF(B1225="",0,IF(OR(H1225=MappingTables!$C$34,H1225=MappingTables!$C$35),T1225,0))</f>
        <v>0</v>
      </c>
      <c r="V1225" s="85">
        <f>IF(ISNA(IF(AND(VLOOKUP(CONCATENATE($D1225,$G1225),CSRFinput!$B:$E,4,0)=0,OR(H1225=MappingTables!$C$34,H1225=MappingTables!$C$35)),1,VLOOKUP(CONCATENATE($D1225,$G1225),CSRFinput!$B:$E,4,0))),0,IF(AND(VLOOKUP(CONCATENATE($D1225,$G1225),CSRFinput!$B:$E,4,0)=0,OR(H1225=MappingTables!$C$34,H1225=MappingTables!$C$35)),1,VLOOKUP(CONCATENATE($D1225,$G1225),CSRFinput!$B:$E,4,0)))</f>
        <v>0.054776304963434752</v>
      </c>
      <c r="W1225" s="85">
        <f>IF(B1225="",0,+$T1225*$V1225)</f>
        <v>0.40265437049105144</v>
      </c>
      <c r="X1225" s="85">
        <f>IF(B1225="",0,IF(OR(H1225=MappingTables!$C$34,H1225=MappingTables!$C$35),W1225,0))</f>
        <v>0</v>
      </c>
    </row>
    <row r="1226" spans="2:24" s="0" customFormat="0" ht="15">
      <c r="B1226" s="69">
        <v>14272069</v>
      </c>
      <c r="C1226" s="70" t="s">
        <v>1057</v>
      </c>
      <c r="D1226" s="70" t="s">
        <v>1</v>
      </c>
      <c r="E1226" s="70" t="s">
        <v>1</v>
      </c>
      <c r="F1226" s="70"/>
      <c r="G1226" s="70" t="s">
        <v>61</v>
      </c>
      <c r="H1226" s="70" t="s">
        <v>178</v>
      </c>
      <c r="I1226" s="70" t="s">
        <v>188</v>
      </c>
      <c r="J1226" s="71">
        <f>IF(OR(I1226=0,I1226=""),"unrated",VLOOKUP(I1226,MappingTables!$B$19:$C$31,2,FALSE))</f>
        <v>2</v>
      </c>
      <c r="K1226" s="72">
        <v>1625.6608812368532</v>
      </c>
      <c r="L1226" s="70">
        <v>1.4114770905076118</v>
      </c>
      <c r="M1226" s="71">
        <f>IF(L1226&lt;1,1,L1226)</f>
        <v>1.4114770905076118</v>
      </c>
      <c r="N1226" s="70" t="s">
        <v>141</v>
      </c>
      <c r="O1226" s="71">
        <f>INDEX(DurClassMapping,MATCH(M1226,MappingTables!$D$4:$D$8,-1),1)</f>
        <v>1</v>
      </c>
      <c r="P1226" s="73">
        <f>IF(M1226=$A$1,1,$M1226-INDEX(MappingTables!$E$4:$E$8,MATCH(O1226,MappingTables!$B$4:$B$8,0)))</f>
        <v>1.4114770905076118</v>
      </c>
      <c r="Q1226" s="71">
        <f>IF(B1226="",0,INDEX(ModelParameters!$D$6:$K$10,MATCH($O1226,ModelParameters!$B$6:$B$10,0),MATCH($J1226,ModelParameters!$D$5:$K$5,0)))</f>
        <v>0.013999999999999998</v>
      </c>
      <c r="R1226" s="71">
        <f>IF(B1226="",0,INDEX(ModelParameters!$D$13:$K$17,MATCH($O1226,ModelParameters!$B$13:$B$17,0),MATCH($J1226,ModelParameters!$D$5:$K$5,0)))</f>
        <v>0</v>
      </c>
      <c r="S1226" s="160">
        <f>IF(B1226="",0,MIN(IF($N1226="Other Bond TM",ModelParameters!$N$21,1)*(P1226*Q1226+R1226),1))</f>
        <v>0.019760679267106564</v>
      </c>
      <c r="T1226" s="85">
        <f>IF(B1226="",0,$S1226*$K1226)</f>
        <v>32.124163271203264</v>
      </c>
      <c r="U1226" s="85">
        <f>IF(B1226="",0,IF(OR(H1226=MappingTables!$C$34,H1226=MappingTables!$C$35),T1226,0))</f>
        <v>0</v>
      </c>
      <c r="V1226" s="85">
        <f>IF(ISNA(IF(AND(VLOOKUP(CONCATENATE($D1226,$G1226),CSRFinput!$B:$E,4,0)=0,OR(H1226=MappingTables!$C$34,H1226=MappingTables!$C$35)),1,VLOOKUP(CONCATENATE($D1226,$G1226),CSRFinput!$B:$E,4,0))),0,IF(AND(VLOOKUP(CONCATENATE($D1226,$G1226),CSRFinput!$B:$E,4,0)=0,OR(H1226=MappingTables!$C$34,H1226=MappingTables!$C$35)),1,VLOOKUP(CONCATENATE($D1226,$G1226),CSRFinput!$B:$E,4,0)))</f>
        <v>0.054776304963434752</v>
      </c>
      <c r="W1226" s="85">
        <f>IF(B1226="",0,+$T1226*$V1226)</f>
        <v>1.7596429640385998</v>
      </c>
      <c r="X1226" s="85">
        <f>IF(B1226="",0,IF(OR(H1226=MappingTables!$C$34,H1226=MappingTables!$C$35),W1226,0))</f>
        <v>0</v>
      </c>
    </row>
    <row r="1227" spans="2:24" s="0" customFormat="0" ht="15">
      <c r="B1227" s="69">
        <v>12399821</v>
      </c>
      <c r="C1227" s="70" t="s">
        <v>1491</v>
      </c>
      <c r="D1227" s="70" t="s">
        <v>1</v>
      </c>
      <c r="E1227" s="70" t="s">
        <v>1</v>
      </c>
      <c r="F1227" s="70"/>
      <c r="G1227" s="70" t="s">
        <v>61</v>
      </c>
      <c r="H1227" s="70" t="s">
        <v>178</v>
      </c>
      <c r="I1227" s="70" t="s">
        <v>179</v>
      </c>
      <c r="J1227" s="71">
        <f>IF(OR(I1227=0,I1227=""),"unrated",VLOOKUP(I1227,MappingTables!$B$19:$C$31,2,FALSE))</f>
        <v>4</v>
      </c>
      <c r="K1227" s="72">
        <v>12.570929878787176</v>
      </c>
      <c r="L1227" s="70">
        <v>0.6120995101389224</v>
      </c>
      <c r="M1227" s="71">
        <f>IF(L1227&lt;1,1,L1227)</f>
        <v>1</v>
      </c>
      <c r="N1227" s="70" t="s">
        <v>141</v>
      </c>
      <c r="O1227" s="71">
        <f>INDEX(DurClassMapping,MATCH(M1227,MappingTables!$D$4:$D$8,-1),1)</f>
        <v>1</v>
      </c>
      <c r="P1227" s="73">
        <f>IF(M1227=$A$1,1,$M1227-INDEX(MappingTables!$E$4:$E$8,MATCH(O1227,MappingTables!$B$4:$B$8,0)))</f>
        <v>1</v>
      </c>
      <c r="Q1227" s="71">
        <f>IF(B1227="",0,INDEX(ModelParameters!$D$6:$K$10,MATCH($O1227,ModelParameters!$B$6:$B$10,0),MATCH($J1227,ModelParameters!$D$5:$K$5,0)))</f>
        <v>0.045</v>
      </c>
      <c r="R1227" s="71">
        <f>IF(B1227="",0,INDEX(ModelParameters!$D$13:$K$17,MATCH($O1227,ModelParameters!$B$13:$B$17,0),MATCH($J1227,ModelParameters!$D$5:$K$5,0)))</f>
        <v>0</v>
      </c>
      <c r="S1227" s="160">
        <f>IF(B1227="",0,MIN(IF($N1227="Other Bond TM",ModelParameters!$N$21,1)*(P1227*Q1227+R1227),1))</f>
        <v>0.045</v>
      </c>
      <c r="T1227" s="85">
        <f>IF(B1227="",0,$S1227*$K1227)</f>
        <v>0.56569184454542288</v>
      </c>
      <c r="U1227" s="85">
        <f>IF(B1227="",0,IF(OR(H1227=MappingTables!$C$34,H1227=MappingTables!$C$35),T1227,0))</f>
        <v>0</v>
      </c>
      <c r="V1227" s="85">
        <f>IF(ISNA(IF(AND(VLOOKUP(CONCATENATE($D1227,$G1227),CSRFinput!$B:$E,4,0)=0,OR(H1227=MappingTables!$C$34,H1227=MappingTables!$C$35)),1,VLOOKUP(CONCATENATE($D1227,$G1227),CSRFinput!$B:$E,4,0))),0,IF(AND(VLOOKUP(CONCATENATE($D1227,$G1227),CSRFinput!$B:$E,4,0)=0,OR(H1227=MappingTables!$C$34,H1227=MappingTables!$C$35)),1,VLOOKUP(CONCATENATE($D1227,$G1227),CSRFinput!$B:$E,4,0)))</f>
        <v>0.054776304963434752</v>
      </c>
      <c r="W1227" s="85">
        <f>IF(B1227="",0,+$T1227*$V1227)</f>
        <v>0.030986508992148008</v>
      </c>
      <c r="X1227" s="85">
        <f>IF(B1227="",0,IF(OR(H1227=MappingTables!$C$34,H1227=MappingTables!$C$35),W1227,0))</f>
        <v>0</v>
      </c>
    </row>
    <row r="1228" spans="2:24" s="0" customFormat="0" ht="15">
      <c r="B1228" s="69">
        <v>9189714</v>
      </c>
      <c r="C1228" s="70" t="s">
        <v>1492</v>
      </c>
      <c r="D1228" s="70" t="s">
        <v>1</v>
      </c>
      <c r="E1228" s="70" t="s">
        <v>1</v>
      </c>
      <c r="F1228" s="70"/>
      <c r="G1228" s="70" t="s">
        <v>61</v>
      </c>
      <c r="H1228" s="70" t="s">
        <v>178</v>
      </c>
      <c r="I1228" s="70" t="s">
        <v>179</v>
      </c>
      <c r="J1228" s="71">
        <f>IF(OR(I1228=0,I1228=""),"unrated",VLOOKUP(I1228,MappingTables!$B$19:$C$31,2,FALSE))</f>
        <v>4</v>
      </c>
      <c r="K1228" s="72">
        <v>3564.8480211712248</v>
      </c>
      <c r="L1228" s="70">
        <v>0.6328817062974084</v>
      </c>
      <c r="M1228" s="71">
        <f>IF(L1228&lt;1,1,L1228)</f>
        <v>1</v>
      </c>
      <c r="N1228" s="70" t="s">
        <v>141</v>
      </c>
      <c r="O1228" s="71">
        <f>INDEX(DurClassMapping,MATCH(M1228,MappingTables!$D$4:$D$8,-1),1)</f>
        <v>1</v>
      </c>
      <c r="P1228" s="73">
        <f>IF(M1228=$A$1,1,$M1228-INDEX(MappingTables!$E$4:$E$8,MATCH(O1228,MappingTables!$B$4:$B$8,0)))</f>
        <v>1</v>
      </c>
      <c r="Q1228" s="71">
        <f>IF(B1228="",0,INDEX(ModelParameters!$D$6:$K$10,MATCH($O1228,ModelParameters!$B$6:$B$10,0),MATCH($J1228,ModelParameters!$D$5:$K$5,0)))</f>
        <v>0.045</v>
      </c>
      <c r="R1228" s="71">
        <f>IF(B1228="",0,INDEX(ModelParameters!$D$13:$K$17,MATCH($O1228,ModelParameters!$B$13:$B$17,0),MATCH($J1228,ModelParameters!$D$5:$K$5,0)))</f>
        <v>0</v>
      </c>
      <c r="S1228" s="160">
        <f>IF(B1228="",0,MIN(IF($N1228="Other Bond TM",ModelParameters!$N$21,1)*(P1228*Q1228+R1228),1))</f>
        <v>0.045</v>
      </c>
      <c r="T1228" s="85">
        <f>IF(B1228="",0,$S1228*$K1228)</f>
        <v>160.4181609527051</v>
      </c>
      <c r="U1228" s="85">
        <f>IF(B1228="",0,IF(OR(H1228=MappingTables!$C$34,H1228=MappingTables!$C$35),T1228,0))</f>
        <v>0</v>
      </c>
      <c r="V1228" s="85">
        <f>IF(ISNA(IF(AND(VLOOKUP(CONCATENATE($D1228,$G1228),CSRFinput!$B:$E,4,0)=0,OR(H1228=MappingTables!$C$34,H1228=MappingTables!$C$35)),1,VLOOKUP(CONCATENATE($D1228,$G1228),CSRFinput!$B:$E,4,0))),0,IF(AND(VLOOKUP(CONCATENATE($D1228,$G1228),CSRFinput!$B:$E,4,0)=0,OR(H1228=MappingTables!$C$34,H1228=MappingTables!$C$35)),1,VLOOKUP(CONCATENATE($D1228,$G1228),CSRFinput!$B:$E,4,0)))</f>
        <v>0.054776304963434752</v>
      </c>
      <c r="W1228" s="85">
        <f>IF(B1228="",0,+$T1228*$V1228)</f>
        <v>8.787114106018736</v>
      </c>
      <c r="X1228" s="85">
        <f>IF(B1228="",0,IF(OR(H1228=MappingTables!$C$34,H1228=MappingTables!$C$35),W1228,0))</f>
        <v>0</v>
      </c>
    </row>
    <row r="1229" spans="2:24" s="0" customFormat="0" ht="15">
      <c r="B1229" s="69">
        <v>17056008</v>
      </c>
      <c r="C1229" s="70" t="s">
        <v>226</v>
      </c>
      <c r="D1229" s="70" t="s">
        <v>1</v>
      </c>
      <c r="E1229" s="70" t="s">
        <v>1</v>
      </c>
      <c r="F1229" s="70"/>
      <c r="G1229" s="70" t="s">
        <v>61</v>
      </c>
      <c r="H1229" s="70" t="s">
        <v>178</v>
      </c>
      <c r="I1229" s="70" t="s">
        <v>181</v>
      </c>
      <c r="J1229" s="71">
        <f>IF(OR(I1229=0,I1229=""),"unrated",VLOOKUP(I1229,MappingTables!$B$19:$C$31,2,FALSE))</f>
        <v>3</v>
      </c>
      <c r="K1229" s="72">
        <v>14890.71384798785</v>
      </c>
      <c r="L1229" s="70">
        <v>1.4023603622172616</v>
      </c>
      <c r="M1229" s="71">
        <f>IF(L1229&lt;1,1,L1229)</f>
        <v>1.4023603622172616</v>
      </c>
      <c r="N1229" s="70" t="s">
        <v>141</v>
      </c>
      <c r="O1229" s="71">
        <f>INDEX(DurClassMapping,MATCH(M1229,MappingTables!$D$4:$D$8,-1),1)</f>
        <v>1</v>
      </c>
      <c r="P1229" s="73">
        <f>IF(M1229=$A$1,1,$M1229-INDEX(MappingTables!$E$4:$E$8,MATCH(O1229,MappingTables!$B$4:$B$8,0)))</f>
        <v>1.4023603622172616</v>
      </c>
      <c r="Q1229" s="71">
        <f>IF(B1229="",0,INDEX(ModelParameters!$D$6:$K$10,MATCH($O1229,ModelParameters!$B$6:$B$10,0),MATCH($J1229,ModelParameters!$D$5:$K$5,0)))</f>
        <v>0.025</v>
      </c>
      <c r="R1229" s="71">
        <f>IF(B1229="",0,INDEX(ModelParameters!$D$13:$K$17,MATCH($O1229,ModelParameters!$B$13:$B$17,0),MATCH($J1229,ModelParameters!$D$5:$K$5,0)))</f>
        <v>0</v>
      </c>
      <c r="S1229" s="160">
        <f>IF(B1229="",0,MIN(IF($N1229="Other Bond TM",ModelParameters!$N$21,1)*(P1229*Q1229+R1229),1))</f>
        <v>0.035059009055431544</v>
      </c>
      <c r="T1229" s="85">
        <f>IF(B1229="",0,$S1229*$K1229)</f>
        <v>522.053671638446</v>
      </c>
      <c r="U1229" s="85">
        <f>IF(B1229="",0,IF(OR(H1229=MappingTables!$C$34,H1229=MappingTables!$C$35),T1229,0))</f>
        <v>0</v>
      </c>
      <c r="V1229" s="85">
        <f>IF(ISNA(IF(AND(VLOOKUP(CONCATENATE($D1229,$G1229),CSRFinput!$B:$E,4,0)=0,OR(H1229=MappingTables!$C$34,H1229=MappingTables!$C$35)),1,VLOOKUP(CONCATENATE($D1229,$G1229),CSRFinput!$B:$E,4,0))),0,IF(AND(VLOOKUP(CONCATENATE($D1229,$G1229),CSRFinput!$B:$E,4,0)=0,OR(H1229=MappingTables!$C$34,H1229=MappingTables!$C$35)),1,VLOOKUP(CONCATENATE($D1229,$G1229),CSRFinput!$B:$E,4,0)))</f>
        <v>0.054776304963434752</v>
      </c>
      <c r="W1229" s="85">
        <f>IF(B1229="",0,+$T1229*$V1229)</f>
        <v>28.596171124948344</v>
      </c>
      <c r="X1229" s="85">
        <f>IF(B1229="",0,IF(OR(H1229=MappingTables!$C$34,H1229=MappingTables!$C$35),W1229,0))</f>
        <v>0</v>
      </c>
    </row>
    <row r="1230" spans="2:24" s="0" customFormat="0" ht="15">
      <c r="B1230" s="69" t="s">
        <v>1493</v>
      </c>
      <c r="C1230" s="70" t="s">
        <v>1494</v>
      </c>
      <c r="D1230" s="70" t="s">
        <v>1</v>
      </c>
      <c r="E1230" s="70" t="s">
        <v>1</v>
      </c>
      <c r="F1230" s="70"/>
      <c r="G1230" s="70" t="s">
        <v>61</v>
      </c>
      <c r="H1230" s="70" t="s">
        <v>178</v>
      </c>
      <c r="I1230" s="70" t="s">
        <v>181</v>
      </c>
      <c r="J1230" s="71">
        <f>IF(OR(I1230=0,I1230=""),"unrated",VLOOKUP(I1230,MappingTables!$B$19:$C$31,2,FALSE))</f>
        <v>3</v>
      </c>
      <c r="K1230" s="72">
        <v>302.2358215203614</v>
      </c>
      <c r="L1230" s="70">
        <v>0.3753422661525976</v>
      </c>
      <c r="M1230" s="71">
        <f>IF(L1230&lt;1,1,L1230)</f>
        <v>1</v>
      </c>
      <c r="N1230" s="70" t="s">
        <v>141</v>
      </c>
      <c r="O1230" s="71">
        <f>INDEX(DurClassMapping,MATCH(M1230,MappingTables!$D$4:$D$8,-1),1)</f>
        <v>1</v>
      </c>
      <c r="P1230" s="73">
        <f>IF(M1230=$A$1,1,$M1230-INDEX(MappingTables!$E$4:$E$8,MATCH(O1230,MappingTables!$B$4:$B$8,0)))</f>
        <v>1</v>
      </c>
      <c r="Q1230" s="71">
        <f>IF(B1230="",0,INDEX(ModelParameters!$D$6:$K$10,MATCH($O1230,ModelParameters!$B$6:$B$10,0),MATCH($J1230,ModelParameters!$D$5:$K$5,0)))</f>
        <v>0.025</v>
      </c>
      <c r="R1230" s="71">
        <f>IF(B1230="",0,INDEX(ModelParameters!$D$13:$K$17,MATCH($O1230,ModelParameters!$B$13:$B$17,0),MATCH($J1230,ModelParameters!$D$5:$K$5,0)))</f>
        <v>0</v>
      </c>
      <c r="S1230" s="160">
        <f>IF(B1230="",0,MIN(IF($N1230="Other Bond TM",ModelParameters!$N$21,1)*(P1230*Q1230+R1230),1))</f>
        <v>0.025</v>
      </c>
      <c r="T1230" s="85">
        <f>IF(B1230="",0,$S1230*$K1230)</f>
        <v>7.5558955380090368</v>
      </c>
      <c r="U1230" s="85">
        <f>IF(B1230="",0,IF(OR(H1230=MappingTables!$C$34,H1230=MappingTables!$C$35),T1230,0))</f>
        <v>0</v>
      </c>
      <c r="V1230" s="85">
        <f>IF(ISNA(IF(AND(VLOOKUP(CONCATENATE($D1230,$G1230),CSRFinput!$B:$E,4,0)=0,OR(H1230=MappingTables!$C$34,H1230=MappingTables!$C$35)),1,VLOOKUP(CONCATENATE($D1230,$G1230),CSRFinput!$B:$E,4,0))),0,IF(AND(VLOOKUP(CONCATENATE($D1230,$G1230),CSRFinput!$B:$E,4,0)=0,OR(H1230=MappingTables!$C$34,H1230=MappingTables!$C$35)),1,VLOOKUP(CONCATENATE($D1230,$G1230),CSRFinput!$B:$E,4,0)))</f>
        <v>0.054776304963434752</v>
      </c>
      <c r="W1230" s="85">
        <f>IF(B1230="",0,+$T1230*$V1230)</f>
        <v>0.41388403826183888</v>
      </c>
      <c r="X1230" s="85">
        <f>IF(B1230="",0,IF(OR(H1230=MappingTables!$C$34,H1230=MappingTables!$C$35),W1230,0))</f>
        <v>0</v>
      </c>
    </row>
    <row r="1231" spans="2:24" s="0" customFormat="0" ht="15">
      <c r="B1231" s="69">
        <v>13093830</v>
      </c>
      <c r="C1231" s="70" t="s">
        <v>1495</v>
      </c>
      <c r="D1231" s="70" t="s">
        <v>1</v>
      </c>
      <c r="E1231" s="70" t="s">
        <v>1</v>
      </c>
      <c r="F1231" s="70"/>
      <c r="G1231" s="70" t="s">
        <v>61</v>
      </c>
      <c r="H1231" s="70" t="s">
        <v>178</v>
      </c>
      <c r="I1231" s="70" t="s">
        <v>188</v>
      </c>
      <c r="J1231" s="71">
        <f>IF(OR(I1231=0,I1231=""),"unrated",VLOOKUP(I1231,MappingTables!$B$19:$C$31,2,FALSE))</f>
        <v>2</v>
      </c>
      <c r="K1231" s="72">
        <v>200.54512468882216</v>
      </c>
      <c r="L1231" s="70">
        <v>0.87548166817258784</v>
      </c>
      <c r="M1231" s="71">
        <f>IF(L1231&lt;1,1,L1231)</f>
        <v>1</v>
      </c>
      <c r="N1231" s="70" t="s">
        <v>141</v>
      </c>
      <c r="O1231" s="71">
        <f>INDEX(DurClassMapping,MATCH(M1231,MappingTables!$D$4:$D$8,-1),1)</f>
        <v>1</v>
      </c>
      <c r="P1231" s="73">
        <f>IF(M1231=$A$1,1,$M1231-INDEX(MappingTables!$E$4:$E$8,MATCH(O1231,MappingTables!$B$4:$B$8,0)))</f>
        <v>1</v>
      </c>
      <c r="Q1231" s="71">
        <f>IF(B1231="",0,INDEX(ModelParameters!$D$6:$K$10,MATCH($O1231,ModelParameters!$B$6:$B$10,0),MATCH($J1231,ModelParameters!$D$5:$K$5,0)))</f>
        <v>0.013999999999999998</v>
      </c>
      <c r="R1231" s="71">
        <f>IF(B1231="",0,INDEX(ModelParameters!$D$13:$K$17,MATCH($O1231,ModelParameters!$B$13:$B$17,0),MATCH($J1231,ModelParameters!$D$5:$K$5,0)))</f>
        <v>0</v>
      </c>
      <c r="S1231" s="160">
        <f>IF(B1231="",0,MIN(IF($N1231="Other Bond TM",ModelParameters!$N$21,1)*(P1231*Q1231+R1231),1))</f>
        <v>0.013999999999999998</v>
      </c>
      <c r="T1231" s="85">
        <f>IF(B1231="",0,$S1231*$K1231)</f>
        <v>2.80763174564351</v>
      </c>
      <c r="U1231" s="85">
        <f>IF(B1231="",0,IF(OR(H1231=MappingTables!$C$34,H1231=MappingTables!$C$35),T1231,0))</f>
        <v>0</v>
      </c>
      <c r="V1231" s="85">
        <f>IF(ISNA(IF(AND(VLOOKUP(CONCATENATE($D1231,$G1231),CSRFinput!$B:$E,4,0)=0,OR(H1231=MappingTables!$C$34,H1231=MappingTables!$C$35)),1,VLOOKUP(CONCATENATE($D1231,$G1231),CSRFinput!$B:$E,4,0))),0,IF(AND(VLOOKUP(CONCATENATE($D1231,$G1231),CSRFinput!$B:$E,4,0)=0,OR(H1231=MappingTables!$C$34,H1231=MappingTables!$C$35)),1,VLOOKUP(CONCATENATE($D1231,$G1231),CSRFinput!$B:$E,4,0)))</f>
        <v>0.054776304963434752</v>
      </c>
      <c r="W1231" s="85">
        <f>IF(B1231="",0,+$T1231*$V1231)</f>
        <v>0.15379169272438956</v>
      </c>
      <c r="X1231" s="85">
        <f>IF(B1231="",0,IF(OR(H1231=MappingTables!$C$34,H1231=MappingTables!$C$35),W1231,0))</f>
        <v>0</v>
      </c>
    </row>
    <row r="1232" spans="2:24" s="0" customFormat="0" ht="15">
      <c r="B1232" s="69" t="s">
        <v>1496</v>
      </c>
      <c r="C1232" s="70" t="s">
        <v>1497</v>
      </c>
      <c r="D1232" s="70" t="s">
        <v>1</v>
      </c>
      <c r="E1232" s="70" t="s">
        <v>1</v>
      </c>
      <c r="F1232" s="70"/>
      <c r="G1232" s="70" t="s">
        <v>61</v>
      </c>
      <c r="H1232" s="70" t="s">
        <v>178</v>
      </c>
      <c r="I1232" s="70" t="s">
        <v>188</v>
      </c>
      <c r="J1232" s="71">
        <f>IF(OR(I1232=0,I1232=""),"unrated",VLOOKUP(I1232,MappingTables!$B$19:$C$31,2,FALSE))</f>
        <v>2</v>
      </c>
      <c r="K1232" s="72">
        <v>3650.5484037961648</v>
      </c>
      <c r="L1232" s="70">
        <v>1.4315647605945416</v>
      </c>
      <c r="M1232" s="71">
        <f>IF(L1232&lt;1,1,L1232)</f>
        <v>1.4315647605945416</v>
      </c>
      <c r="N1232" s="70" t="s">
        <v>141</v>
      </c>
      <c r="O1232" s="71">
        <f>INDEX(DurClassMapping,MATCH(M1232,MappingTables!$D$4:$D$8,-1),1)</f>
        <v>1</v>
      </c>
      <c r="P1232" s="73">
        <f>IF(M1232=$A$1,1,$M1232-INDEX(MappingTables!$E$4:$E$8,MATCH(O1232,MappingTables!$B$4:$B$8,0)))</f>
        <v>1.4315647605945416</v>
      </c>
      <c r="Q1232" s="71">
        <f>IF(B1232="",0,INDEX(ModelParameters!$D$6:$K$10,MATCH($O1232,ModelParameters!$B$6:$B$10,0),MATCH($J1232,ModelParameters!$D$5:$K$5,0)))</f>
        <v>0.013999999999999998</v>
      </c>
      <c r="R1232" s="71">
        <f>IF(B1232="",0,INDEX(ModelParameters!$D$13:$K$17,MATCH($O1232,ModelParameters!$B$13:$B$17,0),MATCH($J1232,ModelParameters!$D$5:$K$5,0)))</f>
        <v>0</v>
      </c>
      <c r="S1232" s="160">
        <f>IF(B1232="",0,MIN(IF($N1232="Other Bond TM",ModelParameters!$N$21,1)*(P1232*Q1232+R1232),1))</f>
        <v>0.02004190664832358</v>
      </c>
      <c r="T1232" s="85">
        <f>IF(B1232="",0,$S1232*$K1232)</f>
        <v>73.163950324069392</v>
      </c>
      <c r="U1232" s="85">
        <f>IF(B1232="",0,IF(OR(H1232=MappingTables!$C$34,H1232=MappingTables!$C$35),T1232,0))</f>
        <v>0</v>
      </c>
      <c r="V1232" s="85">
        <f>IF(ISNA(IF(AND(VLOOKUP(CONCATENATE($D1232,$G1232),CSRFinput!$B:$E,4,0)=0,OR(H1232=MappingTables!$C$34,H1232=MappingTables!$C$35)),1,VLOOKUP(CONCATENATE($D1232,$G1232),CSRFinput!$B:$E,4,0))),0,IF(AND(VLOOKUP(CONCATENATE($D1232,$G1232),CSRFinput!$B:$E,4,0)=0,OR(H1232=MappingTables!$C$34,H1232=MappingTables!$C$35)),1,VLOOKUP(CONCATENATE($D1232,$G1232),CSRFinput!$B:$E,4,0)))</f>
        <v>0.054776304963434752</v>
      </c>
      <c r="W1232" s="85">
        <f>IF(B1232="",0,+$T1232*$V1232)</f>
        <v>4.007650855280816</v>
      </c>
      <c r="X1232" s="85">
        <f>IF(B1232="",0,IF(OR(H1232=MappingTables!$C$34,H1232=MappingTables!$C$35),W1232,0))</f>
        <v>0</v>
      </c>
    </row>
    <row r="1233" spans="2:24" s="0" customFormat="0" ht="15">
      <c r="B1233" s="69">
        <v>17087433</v>
      </c>
      <c r="C1233" s="70" t="s">
        <v>1498</v>
      </c>
      <c r="D1233" s="70" t="s">
        <v>1</v>
      </c>
      <c r="E1233" s="70" t="s">
        <v>1</v>
      </c>
      <c r="F1233" s="70"/>
      <c r="G1233" s="70" t="s">
        <v>61</v>
      </c>
      <c r="H1233" s="70" t="s">
        <v>178</v>
      </c>
      <c r="I1233" s="70" t="s">
        <v>181</v>
      </c>
      <c r="J1233" s="71">
        <f>IF(OR(I1233=0,I1233=""),"unrated",VLOOKUP(I1233,MappingTables!$B$19:$C$31,2,FALSE))</f>
        <v>3</v>
      </c>
      <c r="K1233" s="72">
        <v>4659.5539920047584</v>
      </c>
      <c r="L1233" s="70">
        <v>0.4433659532198204</v>
      </c>
      <c r="M1233" s="71">
        <f>IF(L1233&lt;1,1,L1233)</f>
        <v>1</v>
      </c>
      <c r="N1233" s="70" t="s">
        <v>141</v>
      </c>
      <c r="O1233" s="71">
        <f>INDEX(DurClassMapping,MATCH(M1233,MappingTables!$D$4:$D$8,-1),1)</f>
        <v>1</v>
      </c>
      <c r="P1233" s="73">
        <f>IF(M1233=$A$1,1,$M1233-INDEX(MappingTables!$E$4:$E$8,MATCH(O1233,MappingTables!$B$4:$B$8,0)))</f>
        <v>1</v>
      </c>
      <c r="Q1233" s="71">
        <f>IF(B1233="",0,INDEX(ModelParameters!$D$6:$K$10,MATCH($O1233,ModelParameters!$B$6:$B$10,0),MATCH($J1233,ModelParameters!$D$5:$K$5,0)))</f>
        <v>0.025</v>
      </c>
      <c r="R1233" s="71">
        <f>IF(B1233="",0,INDEX(ModelParameters!$D$13:$K$17,MATCH($O1233,ModelParameters!$B$13:$B$17,0),MATCH($J1233,ModelParameters!$D$5:$K$5,0)))</f>
        <v>0</v>
      </c>
      <c r="S1233" s="160">
        <f>IF(B1233="",0,MIN(IF($N1233="Other Bond TM",ModelParameters!$N$21,1)*(P1233*Q1233+R1233),1))</f>
        <v>0.025</v>
      </c>
      <c r="T1233" s="85">
        <f>IF(B1233="",0,$S1233*$K1233)</f>
        <v>116.48884980011898</v>
      </c>
      <c r="U1233" s="85">
        <f>IF(B1233="",0,IF(OR(H1233=MappingTables!$C$34,H1233=MappingTables!$C$35),T1233,0))</f>
        <v>0</v>
      </c>
      <c r="V1233" s="85">
        <f>IF(ISNA(IF(AND(VLOOKUP(CONCATENATE($D1233,$G1233),CSRFinput!$B:$E,4,0)=0,OR(H1233=MappingTables!$C$34,H1233=MappingTables!$C$35)),1,VLOOKUP(CONCATENATE($D1233,$G1233),CSRFinput!$B:$E,4,0))),0,IF(AND(VLOOKUP(CONCATENATE($D1233,$G1233),CSRFinput!$B:$E,4,0)=0,OR(H1233=MappingTables!$C$34,H1233=MappingTables!$C$35)),1,VLOOKUP(CONCATENATE($D1233,$G1233),CSRFinput!$B:$E,4,0)))</f>
        <v>0.054776304963434752</v>
      </c>
      <c r="W1233" s="85">
        <f>IF(B1233="",0,+$T1233*$V1233)</f>
        <v>6.3808287614910624</v>
      </c>
      <c r="X1233" s="85">
        <f>IF(B1233="",0,IF(OR(H1233=MappingTables!$C$34,H1233=MappingTables!$C$35),W1233,0))</f>
        <v>0</v>
      </c>
    </row>
    <row r="1234" spans="2:24" s="0" customFormat="0" ht="15">
      <c r="B1234" s="69">
        <v>21238745</v>
      </c>
      <c r="C1234" s="70" t="s">
        <v>1499</v>
      </c>
      <c r="D1234" s="70" t="s">
        <v>1</v>
      </c>
      <c r="E1234" s="70" t="s">
        <v>1</v>
      </c>
      <c r="F1234" s="70"/>
      <c r="G1234" s="70" t="s">
        <v>61</v>
      </c>
      <c r="H1234" s="70" t="s">
        <v>178</v>
      </c>
      <c r="I1234" s="70" t="s">
        <v>216</v>
      </c>
      <c r="J1234" s="71">
        <f>IF(OR(I1234=0,I1234=""),"unrated",VLOOKUP(I1234,MappingTables!$B$19:$C$31,2,FALSE))</f>
        <v>0</v>
      </c>
      <c r="K1234" s="72">
        <v>82.189002838480448</v>
      </c>
      <c r="L1234" s="70">
        <v>0.40261027940010584</v>
      </c>
      <c r="M1234" s="71">
        <f>IF(L1234&lt;1,1,L1234)</f>
        <v>1</v>
      </c>
      <c r="N1234" s="70" t="s">
        <v>141</v>
      </c>
      <c r="O1234" s="71">
        <f>INDEX(DurClassMapping,MATCH(M1234,MappingTables!$D$4:$D$8,-1),1)</f>
        <v>1</v>
      </c>
      <c r="P1234" s="73">
        <f>IF(M1234=$A$1,1,$M1234-INDEX(MappingTables!$E$4:$E$8,MATCH(O1234,MappingTables!$B$4:$B$8,0)))</f>
        <v>1</v>
      </c>
      <c r="Q1234" s="71">
        <f>IF(B1234="",0,INDEX(ModelParameters!$D$6:$K$10,MATCH($O1234,ModelParameters!$B$6:$B$10,0),MATCH($J1234,ModelParameters!$D$5:$K$5,0)))</f>
        <v>0.0090000000000000016</v>
      </c>
      <c r="R1234" s="71">
        <f>IF(B1234="",0,INDEX(ModelParameters!$D$13:$K$17,MATCH($O1234,ModelParameters!$B$13:$B$17,0),MATCH($J1234,ModelParameters!$D$5:$K$5,0)))</f>
        <v>0</v>
      </c>
      <c r="S1234" s="160">
        <f>IF(B1234="",0,MIN(IF($N1234="Other Bond TM",ModelParameters!$N$21,1)*(P1234*Q1234+R1234),1))</f>
        <v>0.0090000000000000016</v>
      </c>
      <c r="T1234" s="85">
        <f>IF(B1234="",0,$S1234*$K1234)</f>
        <v>0.73970102554632416</v>
      </c>
      <c r="U1234" s="85">
        <f>IF(B1234="",0,IF(OR(H1234=MappingTables!$C$34,H1234=MappingTables!$C$35),T1234,0))</f>
        <v>0</v>
      </c>
      <c r="V1234" s="85">
        <f>IF(ISNA(IF(AND(VLOOKUP(CONCATENATE($D1234,$G1234),CSRFinput!$B:$E,4,0)=0,OR(H1234=MappingTables!$C$34,H1234=MappingTables!$C$35)),1,VLOOKUP(CONCATENATE($D1234,$G1234),CSRFinput!$B:$E,4,0))),0,IF(AND(VLOOKUP(CONCATENATE($D1234,$G1234),CSRFinput!$B:$E,4,0)=0,OR(H1234=MappingTables!$C$34,H1234=MappingTables!$C$35)),1,VLOOKUP(CONCATENATE($D1234,$G1234),CSRFinput!$B:$E,4,0)))</f>
        <v>0.054776304963434752</v>
      </c>
      <c r="W1234" s="85">
        <f>IF(B1234="",0,+$T1234*$V1234)</f>
        <v>0.040518088957090896</v>
      </c>
      <c r="X1234" s="85">
        <f>IF(B1234="",0,IF(OR(H1234=MappingTables!$C$34,H1234=MappingTables!$C$35),W1234,0))</f>
        <v>0</v>
      </c>
    </row>
    <row r="1235" spans="2:24" s="0" customFormat="0" ht="15">
      <c r="B1235" s="69" t="s">
        <v>1500</v>
      </c>
      <c r="C1235" s="70" t="s">
        <v>1501</v>
      </c>
      <c r="D1235" s="70" t="s">
        <v>1</v>
      </c>
      <c r="E1235" s="70" t="s">
        <v>1</v>
      </c>
      <c r="F1235" s="70"/>
      <c r="G1235" s="70" t="s">
        <v>61</v>
      </c>
      <c r="H1235" s="70" t="s">
        <v>178</v>
      </c>
      <c r="I1235" s="70" t="s">
        <v>184</v>
      </c>
      <c r="J1235" s="71">
        <f>IF(OR(I1235=0,I1235=""),"unrated",VLOOKUP(I1235,MappingTables!$B$19:$C$31,2,FALSE))</f>
        <v>5</v>
      </c>
      <c r="K1235" s="72">
        <v>1110.7898301629712</v>
      </c>
      <c r="L1235" s="70">
        <v>4.3837963374144768</v>
      </c>
      <c r="M1235" s="71">
        <f>IF(L1235&lt;1,1,L1235)</f>
        <v>4.3837963374144768</v>
      </c>
      <c r="N1235" s="70" t="s">
        <v>141</v>
      </c>
      <c r="O1235" s="71">
        <f>INDEX(DurClassMapping,MATCH(M1235,MappingTables!$D$4:$D$8,-1),1)</f>
        <v>1</v>
      </c>
      <c r="P1235" s="73">
        <f>IF(M1235=$A$1,1,$M1235-INDEX(MappingTables!$E$4:$E$8,MATCH(O1235,MappingTables!$B$4:$B$8,0)))</f>
        <v>4.3837963374144768</v>
      </c>
      <c r="Q1235" s="71">
        <f>IF(B1235="",0,INDEX(ModelParameters!$D$6:$K$10,MATCH($O1235,ModelParameters!$B$6:$B$10,0),MATCH($J1235,ModelParameters!$D$5:$K$5,0)))</f>
        <v>0.075</v>
      </c>
      <c r="R1235" s="71">
        <f>IF(B1235="",0,INDEX(ModelParameters!$D$13:$K$17,MATCH($O1235,ModelParameters!$B$13:$B$17,0),MATCH($J1235,ModelParameters!$D$5:$K$5,0)))</f>
        <v>0</v>
      </c>
      <c r="S1235" s="160">
        <f>IF(B1235="",0,MIN(IF($N1235="Other Bond TM",ModelParameters!$N$21,1)*(P1235*Q1235+R1235),1))</f>
        <v>0.32878472530608576</v>
      </c>
      <c r="T1235" s="85">
        <f>IF(B1235="",0,$S1235*$K1235)</f>
        <v>365.21072918292608</v>
      </c>
      <c r="U1235" s="85">
        <f>IF(B1235="",0,IF(OR(H1235=MappingTables!$C$34,H1235=MappingTables!$C$35),T1235,0))</f>
        <v>0</v>
      </c>
      <c r="V1235" s="85">
        <f>IF(ISNA(IF(AND(VLOOKUP(CONCATENATE($D1235,$G1235),CSRFinput!$B:$E,4,0)=0,OR(H1235=MappingTables!$C$34,H1235=MappingTables!$C$35)),1,VLOOKUP(CONCATENATE($D1235,$G1235),CSRFinput!$B:$E,4,0))),0,IF(AND(VLOOKUP(CONCATENATE($D1235,$G1235),CSRFinput!$B:$E,4,0)=0,OR(H1235=MappingTables!$C$34,H1235=MappingTables!$C$35)),1,VLOOKUP(CONCATENATE($D1235,$G1235),CSRFinput!$B:$E,4,0)))</f>
        <v>0.054776304963434752</v>
      </c>
      <c r="W1235" s="85">
        <f>IF(B1235="",0,+$T1235*$V1235)</f>
        <v>20.004894277642344</v>
      </c>
      <c r="X1235" s="85">
        <f>IF(B1235="",0,IF(OR(H1235=MappingTables!$C$34,H1235=MappingTables!$C$35),W1235,0))</f>
        <v>0</v>
      </c>
    </row>
    <row r="1236" spans="2:24" s="0" customFormat="0" ht="15">
      <c r="B1236" s="69">
        <v>21005401</v>
      </c>
      <c r="C1236" s="70" t="s">
        <v>1502</v>
      </c>
      <c r="D1236" s="70" t="s">
        <v>1</v>
      </c>
      <c r="E1236" s="70" t="s">
        <v>1</v>
      </c>
      <c r="F1236" s="70"/>
      <c r="G1236" s="70" t="s">
        <v>61</v>
      </c>
      <c r="H1236" s="70" t="s">
        <v>178</v>
      </c>
      <c r="I1236" s="70" t="s">
        <v>184</v>
      </c>
      <c r="J1236" s="71">
        <f>IF(OR(I1236=0,I1236=""),"unrated",VLOOKUP(I1236,MappingTables!$B$19:$C$31,2,FALSE))</f>
        <v>5</v>
      </c>
      <c r="K1236" s="72">
        <v>3900.1622403654408</v>
      </c>
      <c r="L1236" s="70">
        <v>3.8928084707835376</v>
      </c>
      <c r="M1236" s="71">
        <f>IF(L1236&lt;1,1,L1236)</f>
        <v>3.8928084707835376</v>
      </c>
      <c r="N1236" s="70" t="s">
        <v>141</v>
      </c>
      <c r="O1236" s="71">
        <f>INDEX(DurClassMapping,MATCH(M1236,MappingTables!$D$4:$D$8,-1),1)</f>
        <v>1</v>
      </c>
      <c r="P1236" s="73">
        <f>IF(M1236=$A$1,1,$M1236-INDEX(MappingTables!$E$4:$E$8,MATCH(O1236,MappingTables!$B$4:$B$8,0)))</f>
        <v>3.8928084707835376</v>
      </c>
      <c r="Q1236" s="71">
        <f>IF(B1236="",0,INDEX(ModelParameters!$D$6:$K$10,MATCH($O1236,ModelParameters!$B$6:$B$10,0),MATCH($J1236,ModelParameters!$D$5:$K$5,0)))</f>
        <v>0.075</v>
      </c>
      <c r="R1236" s="71">
        <f>IF(B1236="",0,INDEX(ModelParameters!$D$13:$K$17,MATCH($O1236,ModelParameters!$B$13:$B$17,0),MATCH($J1236,ModelParameters!$D$5:$K$5,0)))</f>
        <v>0</v>
      </c>
      <c r="S1236" s="160">
        <f>IF(B1236="",0,MIN(IF($N1236="Other Bond TM",ModelParameters!$N$21,1)*(P1236*Q1236+R1236),1))</f>
        <v>0.29196063530876532</v>
      </c>
      <c r="T1236" s="85">
        <f>IF(B1236="",0,$S1236*$K1236)</f>
        <v>1138.6938455043514</v>
      </c>
      <c r="U1236" s="85">
        <f>IF(B1236="",0,IF(OR(H1236=MappingTables!$C$34,H1236=MappingTables!$C$35),T1236,0))</f>
        <v>0</v>
      </c>
      <c r="V1236" s="85">
        <f>IF(ISNA(IF(AND(VLOOKUP(CONCATENATE($D1236,$G1236),CSRFinput!$B:$E,4,0)=0,OR(H1236=MappingTables!$C$34,H1236=MappingTables!$C$35)),1,VLOOKUP(CONCATENATE($D1236,$G1236),CSRFinput!$B:$E,4,0))),0,IF(AND(VLOOKUP(CONCATENATE($D1236,$G1236),CSRFinput!$B:$E,4,0)=0,OR(H1236=MappingTables!$C$34,H1236=MappingTables!$C$35)),1,VLOOKUP(CONCATENATE($D1236,$G1236),CSRFinput!$B:$E,4,0)))</f>
        <v>0.054776304963434752</v>
      </c>
      <c r="W1236" s="85">
        <f>IF(B1236="",0,+$T1236*$V1236)</f>
        <v>62.373441341332608</v>
      </c>
      <c r="X1236" s="85">
        <f>IF(B1236="",0,IF(OR(H1236=MappingTables!$C$34,H1236=MappingTables!$C$35),W1236,0))</f>
        <v>0</v>
      </c>
    </row>
    <row r="1237" spans="2:24" s="0" customFormat="0" ht="15">
      <c r="B1237" s="69">
        <v>15462936</v>
      </c>
      <c r="C1237" s="70" t="s">
        <v>1503</v>
      </c>
      <c r="D1237" s="70" t="s">
        <v>1</v>
      </c>
      <c r="E1237" s="70" t="s">
        <v>1</v>
      </c>
      <c r="F1237" s="70"/>
      <c r="G1237" s="70" t="s">
        <v>61</v>
      </c>
      <c r="H1237" s="70" t="s">
        <v>178</v>
      </c>
      <c r="I1237" s="70" t="s">
        <v>179</v>
      </c>
      <c r="J1237" s="71">
        <f>IF(OR(I1237=0,I1237=""),"unrated",VLOOKUP(I1237,MappingTables!$B$19:$C$31,2,FALSE))</f>
        <v>4</v>
      </c>
      <c r="K1237" s="72">
        <v>2641.9441850812808</v>
      </c>
      <c r="L1237" s="70">
        <v>1.889159404904</v>
      </c>
      <c r="M1237" s="71">
        <f>IF(L1237&lt;1,1,L1237)</f>
        <v>1.889159404904</v>
      </c>
      <c r="N1237" s="70" t="s">
        <v>141</v>
      </c>
      <c r="O1237" s="71">
        <f>INDEX(DurClassMapping,MATCH(M1237,MappingTables!$D$4:$D$8,-1),1)</f>
        <v>1</v>
      </c>
      <c r="P1237" s="73">
        <f>IF(M1237=$A$1,1,$M1237-INDEX(MappingTables!$E$4:$E$8,MATCH(O1237,MappingTables!$B$4:$B$8,0)))</f>
        <v>1.889159404904</v>
      </c>
      <c r="Q1237" s="71">
        <f>IF(B1237="",0,INDEX(ModelParameters!$D$6:$K$10,MATCH($O1237,ModelParameters!$B$6:$B$10,0),MATCH($J1237,ModelParameters!$D$5:$K$5,0)))</f>
        <v>0.045</v>
      </c>
      <c r="R1237" s="71">
        <f>IF(B1237="",0,INDEX(ModelParameters!$D$13:$K$17,MATCH($O1237,ModelParameters!$B$13:$B$17,0),MATCH($J1237,ModelParameters!$D$5:$K$5,0)))</f>
        <v>0</v>
      </c>
      <c r="S1237" s="160">
        <f>IF(B1237="",0,MIN(IF($N1237="Other Bond TM",ModelParameters!$N$21,1)*(P1237*Q1237+R1237),1))</f>
        <v>0.08501217322068</v>
      </c>
      <c r="T1237" s="85">
        <f>IF(B1237="",0,$S1237*$K1237)</f>
        <v>224.59741670149812</v>
      </c>
      <c r="U1237" s="85">
        <f>IF(B1237="",0,IF(OR(H1237=MappingTables!$C$34,H1237=MappingTables!$C$35),T1237,0))</f>
        <v>0</v>
      </c>
      <c r="V1237" s="85">
        <f>IF(ISNA(IF(AND(VLOOKUP(CONCATENATE($D1237,$G1237),CSRFinput!$B:$E,4,0)=0,OR(H1237=MappingTables!$C$34,H1237=MappingTables!$C$35)),1,VLOOKUP(CONCATENATE($D1237,$G1237),CSRFinput!$B:$E,4,0))),0,IF(AND(VLOOKUP(CONCATENATE($D1237,$G1237),CSRFinput!$B:$E,4,0)=0,OR(H1237=MappingTables!$C$34,H1237=MappingTables!$C$35)),1,VLOOKUP(CONCATENATE($D1237,$G1237),CSRFinput!$B:$E,4,0)))</f>
        <v>0.054776304963434752</v>
      </c>
      <c r="W1237" s="85">
        <f>IF(B1237="",0,+$T1237*$V1237)</f>
        <v>12.302616591240894</v>
      </c>
      <c r="X1237" s="85">
        <f>IF(B1237="",0,IF(OR(H1237=MappingTables!$C$34,H1237=MappingTables!$C$35),W1237,0))</f>
        <v>0</v>
      </c>
    </row>
    <row r="1238" spans="2:24" s="0" customFormat="0" ht="15">
      <c r="B1238" s="69" t="s">
        <v>1504</v>
      </c>
      <c r="C1238" s="70" t="s">
        <v>1505</v>
      </c>
      <c r="D1238" s="70" t="s">
        <v>1</v>
      </c>
      <c r="E1238" s="70" t="s">
        <v>1</v>
      </c>
      <c r="F1238" s="70"/>
      <c r="G1238" s="70" t="s">
        <v>61</v>
      </c>
      <c r="H1238" s="70" t="s">
        <v>178</v>
      </c>
      <c r="I1238" s="70" t="s">
        <v>204</v>
      </c>
      <c r="J1238" s="71">
        <f>IF(OR(I1238=0,I1238=""),"unrated",VLOOKUP(I1238,MappingTables!$B$19:$C$31,2,FALSE))</f>
        <v>6</v>
      </c>
      <c r="K1238" s="72">
        <v>673.58144277969736</v>
      </c>
      <c r="L1238" s="70">
        <v>0.21643782236299828</v>
      </c>
      <c r="M1238" s="71">
        <f>IF(L1238&lt;1,1,L1238)</f>
        <v>1</v>
      </c>
      <c r="N1238" s="70" t="s">
        <v>141</v>
      </c>
      <c r="O1238" s="71">
        <f>INDEX(DurClassMapping,MATCH(M1238,MappingTables!$D$4:$D$8,-1),1)</f>
        <v>1</v>
      </c>
      <c r="P1238" s="73">
        <f>IF(M1238=$A$1,1,$M1238-INDEX(MappingTables!$E$4:$E$8,MATCH(O1238,MappingTables!$B$4:$B$8,0)))</f>
        <v>1</v>
      </c>
      <c r="Q1238" s="71">
        <f>IF(B1238="",0,INDEX(ModelParameters!$D$6:$K$10,MATCH($O1238,ModelParameters!$B$6:$B$10,0),MATCH($J1238,ModelParameters!$D$5:$K$5,0)))</f>
        <v>0.075</v>
      </c>
      <c r="R1238" s="71">
        <f>IF(B1238="",0,INDEX(ModelParameters!$D$13:$K$17,MATCH($O1238,ModelParameters!$B$13:$B$17,0),MATCH($J1238,ModelParameters!$D$5:$K$5,0)))</f>
        <v>0</v>
      </c>
      <c r="S1238" s="160">
        <f>IF(B1238="",0,MIN(IF($N1238="Other Bond TM",ModelParameters!$N$21,1)*(P1238*Q1238+R1238),1))</f>
        <v>0.075</v>
      </c>
      <c r="T1238" s="85">
        <f>IF(B1238="",0,$S1238*$K1238)</f>
        <v>50.518608208477296</v>
      </c>
      <c r="U1238" s="85">
        <f>IF(B1238="",0,IF(OR(H1238=MappingTables!$C$34,H1238=MappingTables!$C$35),T1238,0))</f>
        <v>0</v>
      </c>
      <c r="V1238" s="85">
        <f>IF(ISNA(IF(AND(VLOOKUP(CONCATENATE($D1238,$G1238),CSRFinput!$B:$E,4,0)=0,OR(H1238=MappingTables!$C$34,H1238=MappingTables!$C$35)),1,VLOOKUP(CONCATENATE($D1238,$G1238),CSRFinput!$B:$E,4,0))),0,IF(AND(VLOOKUP(CONCATENATE($D1238,$G1238),CSRFinput!$B:$E,4,0)=0,OR(H1238=MappingTables!$C$34,H1238=MappingTables!$C$35)),1,VLOOKUP(CONCATENATE($D1238,$G1238),CSRFinput!$B:$E,4,0)))</f>
        <v>0.054776304963434752</v>
      </c>
      <c r="W1238" s="85">
        <f>IF(B1238="",0,+$T1238*$V1238)</f>
        <v>2.7672226895558304</v>
      </c>
      <c r="X1238" s="85">
        <f>IF(B1238="",0,IF(OR(H1238=MappingTables!$C$34,H1238=MappingTables!$C$35),W1238,0))</f>
        <v>0</v>
      </c>
    </row>
    <row r="1239" spans="2:24" s="0" customFormat="0" ht="15">
      <c r="B1239" s="69">
        <v>4337950</v>
      </c>
      <c r="C1239" s="70" t="s">
        <v>1506</v>
      </c>
      <c r="D1239" s="70" t="s">
        <v>1</v>
      </c>
      <c r="E1239" s="70" t="s">
        <v>1</v>
      </c>
      <c r="F1239" s="70"/>
      <c r="G1239" s="70" t="s">
        <v>61</v>
      </c>
      <c r="H1239" s="70" t="s">
        <v>178</v>
      </c>
      <c r="I1239" s="70" t="s">
        <v>179</v>
      </c>
      <c r="J1239" s="71">
        <f>IF(OR(I1239=0,I1239=""),"unrated",VLOOKUP(I1239,MappingTables!$B$19:$C$31,2,FALSE))</f>
        <v>4</v>
      </c>
      <c r="K1239" s="72">
        <v>492.89184875761848</v>
      </c>
      <c r="L1239" s="70">
        <v>1.0840816491869846</v>
      </c>
      <c r="M1239" s="71">
        <f>IF(L1239&lt;1,1,L1239)</f>
        <v>1.0840816491869846</v>
      </c>
      <c r="N1239" s="70" t="s">
        <v>141</v>
      </c>
      <c r="O1239" s="71">
        <f>INDEX(DurClassMapping,MATCH(M1239,MappingTables!$D$4:$D$8,-1),1)</f>
        <v>1</v>
      </c>
      <c r="P1239" s="73">
        <f>IF(M1239=$A$1,1,$M1239-INDEX(MappingTables!$E$4:$E$8,MATCH(O1239,MappingTables!$B$4:$B$8,0)))</f>
        <v>1.0840816491869846</v>
      </c>
      <c r="Q1239" s="71">
        <f>IF(B1239="",0,INDEX(ModelParameters!$D$6:$K$10,MATCH($O1239,ModelParameters!$B$6:$B$10,0),MATCH($J1239,ModelParameters!$D$5:$K$5,0)))</f>
        <v>0.045</v>
      </c>
      <c r="R1239" s="71">
        <f>IF(B1239="",0,INDEX(ModelParameters!$D$13:$K$17,MATCH($O1239,ModelParameters!$B$13:$B$17,0),MATCH($J1239,ModelParameters!$D$5:$K$5,0)))</f>
        <v>0</v>
      </c>
      <c r="S1239" s="160">
        <f>IF(B1239="",0,MIN(IF($N1239="Other Bond TM",ModelParameters!$N$21,1)*(P1239*Q1239+R1239),1))</f>
        <v>0.048783674213414304</v>
      </c>
      <c r="T1239" s="85">
        <f>IF(B1239="",0,$S1239*$K1239)</f>
        <v>24.04507537223914</v>
      </c>
      <c r="U1239" s="85">
        <f>IF(B1239="",0,IF(OR(H1239=MappingTables!$C$34,H1239=MappingTables!$C$35),T1239,0))</f>
        <v>0</v>
      </c>
      <c r="V1239" s="85">
        <f>IF(ISNA(IF(AND(VLOOKUP(CONCATENATE($D1239,$G1239),CSRFinput!$B:$E,4,0)=0,OR(H1239=MappingTables!$C$34,H1239=MappingTables!$C$35)),1,VLOOKUP(CONCATENATE($D1239,$G1239),CSRFinput!$B:$E,4,0))),0,IF(AND(VLOOKUP(CONCATENATE($D1239,$G1239),CSRFinput!$B:$E,4,0)=0,OR(H1239=MappingTables!$C$34,H1239=MappingTables!$C$35)),1,VLOOKUP(CONCATENATE($D1239,$G1239),CSRFinput!$B:$E,4,0)))</f>
        <v>0.054776304963434752</v>
      </c>
      <c r="W1239" s="85">
        <f>IF(B1239="",0,+$T1239*$V1239)</f>
        <v>1.3171003814585456</v>
      </c>
      <c r="X1239" s="85">
        <f>IF(B1239="",0,IF(OR(H1239=MappingTables!$C$34,H1239=MappingTables!$C$35),W1239,0))</f>
        <v>0</v>
      </c>
    </row>
    <row r="1240" spans="2:24" s="0" customFormat="0" ht="15">
      <c r="B1240" s="69">
        <v>15223787</v>
      </c>
      <c r="C1240" s="70" t="s">
        <v>1507</v>
      </c>
      <c r="D1240" s="70" t="s">
        <v>1</v>
      </c>
      <c r="E1240" s="70" t="s">
        <v>1</v>
      </c>
      <c r="F1240" s="70"/>
      <c r="G1240" s="70" t="s">
        <v>61</v>
      </c>
      <c r="H1240" s="70" t="s">
        <v>178</v>
      </c>
      <c r="I1240" s="70" t="s">
        <v>188</v>
      </c>
      <c r="J1240" s="71">
        <f>IF(OR(I1240=0,I1240=""),"unrated",VLOOKUP(I1240,MappingTables!$B$19:$C$31,2,FALSE))</f>
        <v>2</v>
      </c>
      <c r="K1240" s="72">
        <v>1404.0509243639412</v>
      </c>
      <c r="L1240" s="70">
        <v>6.0329130368833992</v>
      </c>
      <c r="M1240" s="71">
        <f>IF(L1240&lt;1,1,L1240)</f>
        <v>6.0329130368833992</v>
      </c>
      <c r="N1240" s="70" t="s">
        <v>141</v>
      </c>
      <c r="O1240" s="71">
        <f>INDEX(DurClassMapping,MATCH(M1240,MappingTables!$D$4:$D$8,-1),1)</f>
        <v>2</v>
      </c>
      <c r="P1240" s="73">
        <f>IF(M1240=$A$1,1,$M1240-INDEX(MappingTables!$E$4:$E$8,MATCH(O1240,MappingTables!$B$4:$B$8,0)))</f>
        <v>1.0329130368833992</v>
      </c>
      <c r="Q1240" s="71">
        <f>IF(B1240="",0,INDEX(ModelParameters!$D$6:$K$10,MATCH($O1240,ModelParameters!$B$6:$B$10,0),MATCH($J1240,ModelParameters!$D$5:$K$5,0)))</f>
        <v>0.0069999999999999992</v>
      </c>
      <c r="R1240" s="71">
        <f>IF(B1240="",0,INDEX(ModelParameters!$D$13:$K$17,MATCH($O1240,ModelParameters!$B$13:$B$17,0),MATCH($J1240,ModelParameters!$D$5:$K$5,0)))</f>
        <v>0.070000000000000008</v>
      </c>
      <c r="S1240" s="160">
        <f>IF(B1240="",0,MIN(IF($N1240="Other Bond TM",ModelParameters!$N$21,1)*(P1240*Q1240+R1240),1))</f>
        <v>0.077230391258183808</v>
      </c>
      <c r="T1240" s="85">
        <f>IF(B1240="",0,$S1240*$K1240)</f>
        <v>108.43540223504182</v>
      </c>
      <c r="U1240" s="85">
        <f>IF(B1240="",0,IF(OR(H1240=MappingTables!$C$34,H1240=MappingTables!$C$35),T1240,0))</f>
        <v>0</v>
      </c>
      <c r="V1240" s="85">
        <f>IF(ISNA(IF(AND(VLOOKUP(CONCATENATE($D1240,$G1240),CSRFinput!$B:$E,4,0)=0,OR(H1240=MappingTables!$C$34,H1240=MappingTables!$C$35)),1,VLOOKUP(CONCATENATE($D1240,$G1240),CSRFinput!$B:$E,4,0))),0,IF(AND(VLOOKUP(CONCATENATE($D1240,$G1240),CSRFinput!$B:$E,4,0)=0,OR(H1240=MappingTables!$C$34,H1240=MappingTables!$C$35)),1,VLOOKUP(CONCATENATE($D1240,$G1240),CSRFinput!$B:$E,4,0)))</f>
        <v>0.054776304963434752</v>
      </c>
      <c r="W1240" s="85">
        <f>IF(B1240="",0,+$T1240*$V1240)</f>
        <v>5.9396906616593656</v>
      </c>
      <c r="X1240" s="85">
        <f>IF(B1240="",0,IF(OR(H1240=MappingTables!$C$34,H1240=MappingTables!$C$35),W1240,0))</f>
        <v>0</v>
      </c>
    </row>
    <row r="1241" spans="2:24" s="0" customFormat="0" ht="15">
      <c r="B1241" s="69" t="s">
        <v>1508</v>
      </c>
      <c r="C1241" s="70" t="s">
        <v>1509</v>
      </c>
      <c r="D1241" s="70" t="s">
        <v>1</v>
      </c>
      <c r="E1241" s="70" t="s">
        <v>1</v>
      </c>
      <c r="F1241" s="70"/>
      <c r="G1241" s="70" t="s">
        <v>61</v>
      </c>
      <c r="H1241" s="70" t="s">
        <v>178</v>
      </c>
      <c r="I1241" s="70" t="s">
        <v>181</v>
      </c>
      <c r="J1241" s="71">
        <f>IF(OR(I1241=0,I1241=""),"unrated",VLOOKUP(I1241,MappingTables!$B$19:$C$31,2,FALSE))</f>
        <v>3</v>
      </c>
      <c r="K1241" s="72">
        <v>3.2931020588495484</v>
      </c>
      <c r="L1241" s="70">
        <v>2.266848263781602</v>
      </c>
      <c r="M1241" s="71">
        <f>IF(L1241&lt;1,1,L1241)</f>
        <v>2.266848263781602</v>
      </c>
      <c r="N1241" s="70" t="s">
        <v>141</v>
      </c>
      <c r="O1241" s="71">
        <f>INDEX(DurClassMapping,MATCH(M1241,MappingTables!$D$4:$D$8,-1),1)</f>
        <v>1</v>
      </c>
      <c r="P1241" s="73">
        <f>IF(M1241=$A$1,1,$M1241-INDEX(MappingTables!$E$4:$E$8,MATCH(O1241,MappingTables!$B$4:$B$8,0)))</f>
        <v>2.266848263781602</v>
      </c>
      <c r="Q1241" s="71">
        <f>IF(B1241="",0,INDEX(ModelParameters!$D$6:$K$10,MATCH($O1241,ModelParameters!$B$6:$B$10,0),MATCH($J1241,ModelParameters!$D$5:$K$5,0)))</f>
        <v>0.025</v>
      </c>
      <c r="R1241" s="71">
        <f>IF(B1241="",0,INDEX(ModelParameters!$D$13:$K$17,MATCH($O1241,ModelParameters!$B$13:$B$17,0),MATCH($J1241,ModelParameters!$D$5:$K$5,0)))</f>
        <v>0</v>
      </c>
      <c r="S1241" s="160">
        <f>IF(B1241="",0,MIN(IF($N1241="Other Bond TM",ModelParameters!$N$21,1)*(P1241*Q1241+R1241),1))</f>
        <v>0.056671206594540048</v>
      </c>
      <c r="T1241" s="85">
        <f>IF(B1241="",0,$S1241*$K1241)</f>
        <v>0.18662406711396796</v>
      </c>
      <c r="U1241" s="85">
        <f>IF(B1241="",0,IF(OR(H1241=MappingTables!$C$34,H1241=MappingTables!$C$35),T1241,0))</f>
        <v>0</v>
      </c>
      <c r="V1241" s="85">
        <f>IF(ISNA(IF(AND(VLOOKUP(CONCATENATE($D1241,$G1241),CSRFinput!$B:$E,4,0)=0,OR(H1241=MappingTables!$C$34,H1241=MappingTables!$C$35)),1,VLOOKUP(CONCATENATE($D1241,$G1241),CSRFinput!$B:$E,4,0))),0,IF(AND(VLOOKUP(CONCATENATE($D1241,$G1241),CSRFinput!$B:$E,4,0)=0,OR(H1241=MappingTables!$C$34,H1241=MappingTables!$C$35)),1,VLOOKUP(CONCATENATE($D1241,$G1241),CSRFinput!$B:$E,4,0)))</f>
        <v>0.054776304963434752</v>
      </c>
      <c r="W1241" s="85">
        <f>IF(B1241="",0,+$T1241*$V1241)</f>
        <v>0.010222576813751224</v>
      </c>
      <c r="X1241" s="85">
        <f>IF(B1241="",0,IF(OR(H1241=MappingTables!$C$34,H1241=MappingTables!$C$35),W1241,0))</f>
        <v>0</v>
      </c>
    </row>
    <row r="1242" spans="2:24" s="0" customFormat="0" ht="15">
      <c r="B1242" s="69">
        <v>7499016</v>
      </c>
      <c r="C1242" s="70" t="s">
        <v>1510</v>
      </c>
      <c r="D1242" s="70" t="s">
        <v>1</v>
      </c>
      <c r="E1242" s="70" t="s">
        <v>1</v>
      </c>
      <c r="F1242" s="70"/>
      <c r="G1242" s="70" t="s">
        <v>61</v>
      </c>
      <c r="H1242" s="70" t="s">
        <v>178</v>
      </c>
      <c r="I1242" s="70" t="s">
        <v>181</v>
      </c>
      <c r="J1242" s="71">
        <f>IF(OR(I1242=0,I1242=""),"unrated",VLOOKUP(I1242,MappingTables!$B$19:$C$31,2,FALSE))</f>
        <v>3</v>
      </c>
      <c r="K1242" s="72">
        <v>633.32612834164232</v>
      </c>
      <c r="L1242" s="70">
        <v>2.71345583645894</v>
      </c>
      <c r="M1242" s="71">
        <f>IF(L1242&lt;1,1,L1242)</f>
        <v>2.71345583645894</v>
      </c>
      <c r="N1242" s="70" t="s">
        <v>141</v>
      </c>
      <c r="O1242" s="71">
        <f>INDEX(DurClassMapping,MATCH(M1242,MappingTables!$D$4:$D$8,-1),1)</f>
        <v>1</v>
      </c>
      <c r="P1242" s="73">
        <f>IF(M1242=$A$1,1,$M1242-INDEX(MappingTables!$E$4:$E$8,MATCH(O1242,MappingTables!$B$4:$B$8,0)))</f>
        <v>2.71345583645894</v>
      </c>
      <c r="Q1242" s="71">
        <f>IF(B1242="",0,INDEX(ModelParameters!$D$6:$K$10,MATCH($O1242,ModelParameters!$B$6:$B$10,0),MATCH($J1242,ModelParameters!$D$5:$K$5,0)))</f>
        <v>0.025</v>
      </c>
      <c r="R1242" s="71">
        <f>IF(B1242="",0,INDEX(ModelParameters!$D$13:$K$17,MATCH($O1242,ModelParameters!$B$13:$B$17,0),MATCH($J1242,ModelParameters!$D$5:$K$5,0)))</f>
        <v>0</v>
      </c>
      <c r="S1242" s="160">
        <f>IF(B1242="",0,MIN(IF($N1242="Other Bond TM",ModelParameters!$N$21,1)*(P1242*Q1242+R1242),1))</f>
        <v>0.067836395911473504</v>
      </c>
      <c r="T1242" s="85">
        <f>IF(B1242="",0,$S1242*$K1242)</f>
        <v>42.96256198326432</v>
      </c>
      <c r="U1242" s="85">
        <f>IF(B1242="",0,IF(OR(H1242=MappingTables!$C$34,H1242=MappingTables!$C$35),T1242,0))</f>
        <v>0</v>
      </c>
      <c r="V1242" s="85">
        <f>IF(ISNA(IF(AND(VLOOKUP(CONCATENATE($D1242,$G1242),CSRFinput!$B:$E,4,0)=0,OR(H1242=MappingTables!$C$34,H1242=MappingTables!$C$35)),1,VLOOKUP(CONCATENATE($D1242,$G1242),CSRFinput!$B:$E,4,0))),0,IF(AND(VLOOKUP(CONCATENATE($D1242,$G1242),CSRFinput!$B:$E,4,0)=0,OR(H1242=MappingTables!$C$34,H1242=MappingTables!$C$35)),1,VLOOKUP(CONCATENATE($D1242,$G1242),CSRFinput!$B:$E,4,0)))</f>
        <v>0.054776304963434752</v>
      </c>
      <c r="W1242" s="85">
        <f>IF(B1242="",0,+$T1242*$V1242)</f>
        <v>2.3533303972057548</v>
      </c>
      <c r="X1242" s="85">
        <f>IF(B1242="",0,IF(OR(H1242=MappingTables!$C$34,H1242=MappingTables!$C$35),W1242,0))</f>
        <v>0</v>
      </c>
    </row>
    <row r="1243" spans="2:24" s="0" customFormat="0" ht="15">
      <c r="B1243" s="69" t="s">
        <v>1511</v>
      </c>
      <c r="C1243" s="70" t="s">
        <v>1512</v>
      </c>
      <c r="D1243" s="70" t="s">
        <v>1</v>
      </c>
      <c r="E1243" s="70" t="s">
        <v>1</v>
      </c>
      <c r="F1243" s="70"/>
      <c r="G1243" s="70" t="s">
        <v>61</v>
      </c>
      <c r="H1243" s="70" t="s">
        <v>178</v>
      </c>
      <c r="I1243" s="70" t="s">
        <v>179</v>
      </c>
      <c r="J1243" s="71">
        <f>IF(OR(I1243=0,I1243=""),"unrated",VLOOKUP(I1243,MappingTables!$B$19:$C$31,2,FALSE))</f>
        <v>4</v>
      </c>
      <c r="K1243" s="72">
        <v>18771.958922833068</v>
      </c>
      <c r="L1243" s="70">
        <v>2.9551150299474144</v>
      </c>
      <c r="M1243" s="71">
        <f>IF(L1243&lt;1,1,L1243)</f>
        <v>2.9551150299474144</v>
      </c>
      <c r="N1243" s="70" t="s">
        <v>141</v>
      </c>
      <c r="O1243" s="71">
        <f>INDEX(DurClassMapping,MATCH(M1243,MappingTables!$D$4:$D$8,-1),1)</f>
        <v>1</v>
      </c>
      <c r="P1243" s="73">
        <f>IF(M1243=$A$1,1,$M1243-INDEX(MappingTables!$E$4:$E$8,MATCH(O1243,MappingTables!$B$4:$B$8,0)))</f>
        <v>2.9551150299474144</v>
      </c>
      <c r="Q1243" s="71">
        <f>IF(B1243="",0,INDEX(ModelParameters!$D$6:$K$10,MATCH($O1243,ModelParameters!$B$6:$B$10,0),MATCH($J1243,ModelParameters!$D$5:$K$5,0)))</f>
        <v>0.045</v>
      </c>
      <c r="R1243" s="71">
        <f>IF(B1243="",0,INDEX(ModelParameters!$D$13:$K$17,MATCH($O1243,ModelParameters!$B$13:$B$17,0),MATCH($J1243,ModelParameters!$D$5:$K$5,0)))</f>
        <v>0</v>
      </c>
      <c r="S1243" s="160">
        <f>IF(B1243="",0,MIN(IF($N1243="Other Bond TM",ModelParameters!$N$21,1)*(P1243*Q1243+R1243),1))</f>
        <v>0.13298017634763364</v>
      </c>
      <c r="T1243" s="85">
        <f>IF(B1243="",0,$S1243*$K1243)</f>
        <v>2496.298407948876</v>
      </c>
      <c r="U1243" s="85">
        <f>IF(B1243="",0,IF(OR(H1243=MappingTables!$C$34,H1243=MappingTables!$C$35),T1243,0))</f>
        <v>0</v>
      </c>
      <c r="V1243" s="85">
        <f>IF(ISNA(IF(AND(VLOOKUP(CONCATENATE($D1243,$G1243),CSRFinput!$B:$E,4,0)=0,OR(H1243=MappingTables!$C$34,H1243=MappingTables!$C$35)),1,VLOOKUP(CONCATENATE($D1243,$G1243),CSRFinput!$B:$E,4,0))),0,IF(AND(VLOOKUP(CONCATENATE($D1243,$G1243),CSRFinput!$B:$E,4,0)=0,OR(H1243=MappingTables!$C$34,H1243=MappingTables!$C$35)),1,VLOOKUP(CONCATENATE($D1243,$G1243),CSRFinput!$B:$E,4,0)))</f>
        <v>0.054776304963434752</v>
      </c>
      <c r="W1243" s="85">
        <f>IF(B1243="",0,+$T1243*$V1243)</f>
        <v>136.7380028735443</v>
      </c>
      <c r="X1243" s="85">
        <f>IF(B1243="",0,IF(OR(H1243=MappingTables!$C$34,H1243=MappingTables!$C$35),W1243,0))</f>
        <v>0</v>
      </c>
    </row>
    <row r="1244" spans="2:24" s="0" customFormat="0" ht="15">
      <c r="B1244" s="69">
        <v>22289604</v>
      </c>
      <c r="C1244" s="70" t="s">
        <v>1513</v>
      </c>
      <c r="D1244" s="70" t="s">
        <v>1</v>
      </c>
      <c r="E1244" s="70" t="s">
        <v>1</v>
      </c>
      <c r="F1244" s="70"/>
      <c r="G1244" s="70" t="s">
        <v>61</v>
      </c>
      <c r="H1244" s="70" t="s">
        <v>178</v>
      </c>
      <c r="I1244" s="70" t="s">
        <v>181</v>
      </c>
      <c r="J1244" s="71">
        <f>IF(OR(I1244=0,I1244=""),"unrated",VLOOKUP(I1244,MappingTables!$B$19:$C$31,2,FALSE))</f>
        <v>3</v>
      </c>
      <c r="K1244" s="72">
        <v>17112.550312691296</v>
      </c>
      <c r="L1244" s="70">
        <v>4.071004907837572</v>
      </c>
      <c r="M1244" s="71">
        <f>IF(L1244&lt;1,1,L1244)</f>
        <v>4.071004907837572</v>
      </c>
      <c r="N1244" s="70" t="s">
        <v>141</v>
      </c>
      <c r="O1244" s="71">
        <f>INDEX(DurClassMapping,MATCH(M1244,MappingTables!$D$4:$D$8,-1),1)</f>
        <v>1</v>
      </c>
      <c r="P1244" s="73">
        <f>IF(M1244=$A$1,1,$M1244-INDEX(MappingTables!$E$4:$E$8,MATCH(O1244,MappingTables!$B$4:$B$8,0)))</f>
        <v>4.071004907837572</v>
      </c>
      <c r="Q1244" s="71">
        <f>IF(B1244="",0,INDEX(ModelParameters!$D$6:$K$10,MATCH($O1244,ModelParameters!$B$6:$B$10,0),MATCH($J1244,ModelParameters!$D$5:$K$5,0)))</f>
        <v>0.025</v>
      </c>
      <c r="R1244" s="71">
        <f>IF(B1244="",0,INDEX(ModelParameters!$D$13:$K$17,MATCH($O1244,ModelParameters!$B$13:$B$17,0),MATCH($J1244,ModelParameters!$D$5:$K$5,0)))</f>
        <v>0</v>
      </c>
      <c r="S1244" s="160">
        <f>IF(B1244="",0,MIN(IF($N1244="Other Bond TM",ModelParameters!$N$21,1)*(P1244*Q1244+R1244),1))</f>
        <v>0.1017751226959393</v>
      </c>
      <c r="T1244" s="85">
        <f>IF(B1244="",0,$S1244*$K1244)</f>
        <v>1741.631907714591</v>
      </c>
      <c r="U1244" s="85">
        <f>IF(B1244="",0,IF(OR(H1244=MappingTables!$C$34,H1244=MappingTables!$C$35),T1244,0))</f>
        <v>0</v>
      </c>
      <c r="V1244" s="85">
        <f>IF(ISNA(IF(AND(VLOOKUP(CONCATENATE($D1244,$G1244),CSRFinput!$B:$E,4,0)=0,OR(H1244=MappingTables!$C$34,H1244=MappingTables!$C$35)),1,VLOOKUP(CONCATENATE($D1244,$G1244),CSRFinput!$B:$E,4,0))),0,IF(AND(VLOOKUP(CONCATENATE($D1244,$G1244),CSRFinput!$B:$E,4,0)=0,OR(H1244=MappingTables!$C$34,H1244=MappingTables!$C$35)),1,VLOOKUP(CONCATENATE($D1244,$G1244),CSRFinput!$B:$E,4,0)))</f>
        <v>0.054776304963434752</v>
      </c>
      <c r="W1244" s="85">
        <f>IF(B1244="",0,+$T1244*$V1244)</f>
        <v>95.400160511023088</v>
      </c>
      <c r="X1244" s="85">
        <f>IF(B1244="",0,IF(OR(H1244=MappingTables!$C$34,H1244=MappingTables!$C$35),W1244,0))</f>
        <v>0</v>
      </c>
    </row>
    <row r="1245" spans="2:24" s="0" customFormat="0" ht="15">
      <c r="B1245" s="69" t="s">
        <v>1435</v>
      </c>
      <c r="C1245" s="70" t="s">
        <v>1436</v>
      </c>
      <c r="D1245" s="70" t="s">
        <v>1</v>
      </c>
      <c r="E1245" s="70" t="s">
        <v>1</v>
      </c>
      <c r="F1245" s="70"/>
      <c r="G1245" s="70" t="s">
        <v>61</v>
      </c>
      <c r="H1245" s="70" t="s">
        <v>178</v>
      </c>
      <c r="I1245" s="70" t="s">
        <v>179</v>
      </c>
      <c r="J1245" s="71">
        <f>IF(OR(I1245=0,I1245=""),"unrated",VLOOKUP(I1245,MappingTables!$B$19:$C$31,2,FALSE))</f>
        <v>4</v>
      </c>
      <c r="K1245" s="72">
        <v>5649.3743574297504</v>
      </c>
      <c r="L1245" s="70">
        <v>3.2547551439206372</v>
      </c>
      <c r="M1245" s="71">
        <f>IF(L1245&lt;1,1,L1245)</f>
        <v>3.2547551439206372</v>
      </c>
      <c r="N1245" s="70" t="s">
        <v>141</v>
      </c>
      <c r="O1245" s="71">
        <f>INDEX(DurClassMapping,MATCH(M1245,MappingTables!$D$4:$D$8,-1),1)</f>
        <v>1</v>
      </c>
      <c r="P1245" s="73">
        <f>IF(M1245=$A$1,1,$M1245-INDEX(MappingTables!$E$4:$E$8,MATCH(O1245,MappingTables!$B$4:$B$8,0)))</f>
        <v>3.2547551439206372</v>
      </c>
      <c r="Q1245" s="71">
        <f>IF(B1245="",0,INDEX(ModelParameters!$D$6:$K$10,MATCH($O1245,ModelParameters!$B$6:$B$10,0),MATCH($J1245,ModelParameters!$D$5:$K$5,0)))</f>
        <v>0.045</v>
      </c>
      <c r="R1245" s="71">
        <f>IF(B1245="",0,INDEX(ModelParameters!$D$13:$K$17,MATCH($O1245,ModelParameters!$B$13:$B$17,0),MATCH($J1245,ModelParameters!$D$5:$K$5,0)))</f>
        <v>0</v>
      </c>
      <c r="S1245" s="160">
        <f>IF(B1245="",0,MIN(IF($N1245="Other Bond TM",ModelParameters!$N$21,1)*(P1245*Q1245+R1245),1))</f>
        <v>0.14646398147642866</v>
      </c>
      <c r="T1245" s="85">
        <f>IF(B1245="",0,$S1245*$K1245)</f>
        <v>827.42986124000208</v>
      </c>
      <c r="U1245" s="85">
        <f>IF(B1245="",0,IF(OR(H1245=MappingTables!$C$34,H1245=MappingTables!$C$35),T1245,0))</f>
        <v>0</v>
      </c>
      <c r="V1245" s="85">
        <f>IF(ISNA(IF(AND(VLOOKUP(CONCATENATE($D1245,$G1245),CSRFinput!$B:$E,4,0)=0,OR(H1245=MappingTables!$C$34,H1245=MappingTables!$C$35)),1,VLOOKUP(CONCATENATE($D1245,$G1245),CSRFinput!$B:$E,4,0))),0,IF(AND(VLOOKUP(CONCATENATE($D1245,$G1245),CSRFinput!$B:$E,4,0)=0,OR(H1245=MappingTables!$C$34,H1245=MappingTables!$C$35)),1,VLOOKUP(CONCATENATE($D1245,$G1245),CSRFinput!$B:$E,4,0)))</f>
        <v>0.054776304963434752</v>
      </c>
      <c r="W1245" s="85">
        <f>IF(B1245="",0,+$T1245*$V1245)</f>
        <v>45.323550415134856</v>
      </c>
      <c r="X1245" s="85">
        <f>IF(B1245="",0,IF(OR(H1245=MappingTables!$C$34,H1245=MappingTables!$C$35),W1245,0))</f>
        <v>0</v>
      </c>
    </row>
    <row r="1246" spans="2:24" s="0" customFormat="0" ht="15">
      <c r="B1246" s="69">
        <v>20423716</v>
      </c>
      <c r="C1246" s="70" t="s">
        <v>1514</v>
      </c>
      <c r="D1246" s="70" t="s">
        <v>1</v>
      </c>
      <c r="E1246" s="70" t="s">
        <v>1</v>
      </c>
      <c r="F1246" s="70"/>
      <c r="G1246" s="70" t="s">
        <v>61</v>
      </c>
      <c r="H1246" s="70" t="s">
        <v>178</v>
      </c>
      <c r="I1246" s="70" t="s">
        <v>188</v>
      </c>
      <c r="J1246" s="71">
        <f>IF(OR(I1246=0,I1246=""),"unrated",VLOOKUP(I1246,MappingTables!$B$19:$C$31,2,FALSE))</f>
        <v>2</v>
      </c>
      <c r="K1246" s="72">
        <v>2054.2964517033812</v>
      </c>
      <c r="L1246" s="70">
        <v>16.7100297928034</v>
      </c>
      <c r="M1246" s="71">
        <f>IF(L1246&lt;1,1,L1246)</f>
        <v>16.7100297928034</v>
      </c>
      <c r="N1246" s="70" t="s">
        <v>141</v>
      </c>
      <c r="O1246" s="71">
        <f>INDEX(DurClassMapping,MATCH(M1246,MappingTables!$D$4:$D$8,-1),1)</f>
        <v>4</v>
      </c>
      <c r="P1246" s="73">
        <f>IF(M1246=$A$1,1,$M1246-INDEX(MappingTables!$E$4:$E$8,MATCH(O1246,MappingTables!$B$4:$B$8,0)))</f>
        <v>1.7100297928034002</v>
      </c>
      <c r="Q1246" s="71">
        <f>IF(B1246="",0,INDEX(ModelParameters!$D$6:$K$10,MATCH($O1246,ModelParameters!$B$6:$B$10,0),MATCH($J1246,ModelParameters!$D$5:$K$5,0)))</f>
        <v>0.005</v>
      </c>
      <c r="R1246" s="71">
        <f>IF(B1246="",0,INDEX(ModelParameters!$D$13:$K$17,MATCH($O1246,ModelParameters!$B$13:$B$17,0),MATCH($J1246,ModelParameters!$D$5:$K$5,0)))</f>
        <v>0.13</v>
      </c>
      <c r="S1246" s="160">
        <f>IF(B1246="",0,MIN(IF($N1246="Other Bond TM",ModelParameters!$N$21,1)*(P1246*Q1246+R1246),1))</f>
        <v>0.13855014896401702</v>
      </c>
      <c r="T1246" s="85">
        <f>IF(B1246="",0,$S1246*$K1246)</f>
        <v>284.62307939975504</v>
      </c>
      <c r="U1246" s="85">
        <f>IF(B1246="",0,IF(OR(H1246=MappingTables!$C$34,H1246=MappingTables!$C$35),T1246,0))</f>
        <v>0</v>
      </c>
      <c r="V1246" s="85">
        <f>IF(ISNA(IF(AND(VLOOKUP(CONCATENATE($D1246,$G1246),CSRFinput!$B:$E,4,0)=0,OR(H1246=MappingTables!$C$34,H1246=MappingTables!$C$35)),1,VLOOKUP(CONCATENATE($D1246,$G1246),CSRFinput!$B:$E,4,0))),0,IF(AND(VLOOKUP(CONCATENATE($D1246,$G1246),CSRFinput!$B:$E,4,0)=0,OR(H1246=MappingTables!$C$34,H1246=MappingTables!$C$35)),1,VLOOKUP(CONCATENATE($D1246,$G1246),CSRFinput!$B:$E,4,0)))</f>
        <v>0.054776304963434752</v>
      </c>
      <c r="W1246" s="85">
        <f>IF(B1246="",0,+$T1246*$V1246)</f>
        <v>15.590600596832888</v>
      </c>
      <c r="X1246" s="85">
        <f>IF(B1246="",0,IF(OR(H1246=MappingTables!$C$34,H1246=MappingTables!$C$35),W1246,0))</f>
        <v>0</v>
      </c>
    </row>
    <row r="1247" spans="2:24" s="0" customFormat="0" ht="15">
      <c r="B1247" s="69">
        <v>12051925</v>
      </c>
      <c r="C1247" s="70" t="s">
        <v>1515</v>
      </c>
      <c r="D1247" s="70" t="s">
        <v>1</v>
      </c>
      <c r="E1247" s="70" t="s">
        <v>1</v>
      </c>
      <c r="F1247" s="70"/>
      <c r="G1247" s="70" t="s">
        <v>61</v>
      </c>
      <c r="H1247" s="70" t="s">
        <v>178</v>
      </c>
      <c r="I1247" s="70" t="s">
        <v>188</v>
      </c>
      <c r="J1247" s="71">
        <f>IF(OR(I1247=0,I1247=""),"unrated",VLOOKUP(I1247,MappingTables!$B$19:$C$31,2,FALSE))</f>
        <v>2</v>
      </c>
      <c r="K1247" s="72">
        <v>7.1099100949138064</v>
      </c>
      <c r="L1247" s="70">
        <v>0.4383550792544836</v>
      </c>
      <c r="M1247" s="71">
        <f>IF(L1247&lt;1,1,L1247)</f>
        <v>1</v>
      </c>
      <c r="N1247" s="70" t="s">
        <v>141</v>
      </c>
      <c r="O1247" s="71">
        <f>INDEX(DurClassMapping,MATCH(M1247,MappingTables!$D$4:$D$8,-1),1)</f>
        <v>1</v>
      </c>
      <c r="P1247" s="73">
        <f>IF(M1247=$A$1,1,$M1247-INDEX(MappingTables!$E$4:$E$8,MATCH(O1247,MappingTables!$B$4:$B$8,0)))</f>
        <v>1</v>
      </c>
      <c r="Q1247" s="71">
        <f>IF(B1247="",0,INDEX(ModelParameters!$D$6:$K$10,MATCH($O1247,ModelParameters!$B$6:$B$10,0),MATCH($J1247,ModelParameters!$D$5:$K$5,0)))</f>
        <v>0.013999999999999998</v>
      </c>
      <c r="R1247" s="71">
        <f>IF(B1247="",0,INDEX(ModelParameters!$D$13:$K$17,MATCH($O1247,ModelParameters!$B$13:$B$17,0),MATCH($J1247,ModelParameters!$D$5:$K$5,0)))</f>
        <v>0</v>
      </c>
      <c r="S1247" s="160">
        <f>IF(B1247="",0,MIN(IF($N1247="Other Bond TM",ModelParameters!$N$21,1)*(P1247*Q1247+R1247),1))</f>
        <v>0.013999999999999998</v>
      </c>
      <c r="T1247" s="85">
        <f>IF(B1247="",0,$S1247*$K1247)</f>
        <v>0.09953874132879328</v>
      </c>
      <c r="U1247" s="85">
        <f>IF(B1247="",0,IF(OR(H1247=MappingTables!$C$34,H1247=MappingTables!$C$35),T1247,0))</f>
        <v>0</v>
      </c>
      <c r="V1247" s="85">
        <f>IF(ISNA(IF(AND(VLOOKUP(CONCATENATE($D1247,$G1247),CSRFinput!$B:$E,4,0)=0,OR(H1247=MappingTables!$C$34,H1247=MappingTables!$C$35)),1,VLOOKUP(CONCATENATE($D1247,$G1247),CSRFinput!$B:$E,4,0))),0,IF(AND(VLOOKUP(CONCATENATE($D1247,$G1247),CSRFinput!$B:$E,4,0)=0,OR(H1247=MappingTables!$C$34,H1247=MappingTables!$C$35)),1,VLOOKUP(CONCATENATE($D1247,$G1247),CSRFinput!$B:$E,4,0)))</f>
        <v>0.054776304963434752</v>
      </c>
      <c r="W1247" s="85">
        <f>IF(B1247="",0,+$T1247*$V1247)</f>
        <v>0.005452364450702428</v>
      </c>
      <c r="X1247" s="85">
        <f>IF(B1247="",0,IF(OR(H1247=MappingTables!$C$34,H1247=MappingTables!$C$35),W1247,0))</f>
        <v>0</v>
      </c>
    </row>
    <row r="1248" spans="2:24" s="0" customFormat="0" ht="15">
      <c r="B1248" s="69">
        <v>11821205</v>
      </c>
      <c r="C1248" s="70" t="s">
        <v>1516</v>
      </c>
      <c r="D1248" s="70" t="s">
        <v>1</v>
      </c>
      <c r="E1248" s="70" t="s">
        <v>1</v>
      </c>
      <c r="F1248" s="70"/>
      <c r="G1248" s="70" t="s">
        <v>61</v>
      </c>
      <c r="H1248" s="70" t="s">
        <v>178</v>
      </c>
      <c r="I1248" s="70" t="s">
        <v>181</v>
      </c>
      <c r="J1248" s="71">
        <f>IF(OR(I1248=0,I1248=""),"unrated",VLOOKUP(I1248,MappingTables!$B$19:$C$31,2,FALSE))</f>
        <v>3</v>
      </c>
      <c r="K1248" s="72">
        <v>3436.695277881188</v>
      </c>
      <c r="L1248" s="70">
        <v>2.2111333540482912</v>
      </c>
      <c r="M1248" s="71">
        <f>IF(L1248&lt;1,1,L1248)</f>
        <v>2.2111333540482912</v>
      </c>
      <c r="N1248" s="70" t="s">
        <v>141</v>
      </c>
      <c r="O1248" s="71">
        <f>INDEX(DurClassMapping,MATCH(M1248,MappingTables!$D$4:$D$8,-1),1)</f>
        <v>1</v>
      </c>
      <c r="P1248" s="73">
        <f>IF(M1248=$A$1,1,$M1248-INDEX(MappingTables!$E$4:$E$8,MATCH(O1248,MappingTables!$B$4:$B$8,0)))</f>
        <v>2.2111333540482912</v>
      </c>
      <c r="Q1248" s="71">
        <f>IF(B1248="",0,INDEX(ModelParameters!$D$6:$K$10,MATCH($O1248,ModelParameters!$B$6:$B$10,0),MATCH($J1248,ModelParameters!$D$5:$K$5,0)))</f>
        <v>0.025</v>
      </c>
      <c r="R1248" s="71">
        <f>IF(B1248="",0,INDEX(ModelParameters!$D$13:$K$17,MATCH($O1248,ModelParameters!$B$13:$B$17,0),MATCH($J1248,ModelParameters!$D$5:$K$5,0)))</f>
        <v>0</v>
      </c>
      <c r="S1248" s="160">
        <f>IF(B1248="",0,MIN(IF($N1248="Other Bond TM",ModelParameters!$N$21,1)*(P1248*Q1248+R1248),1))</f>
        <v>0.055278333851207288</v>
      </c>
      <c r="T1248" s="85">
        <f>IF(B1248="",0,$S1248*$K1248)</f>
        <v>189.97478891558392</v>
      </c>
      <c r="U1248" s="85">
        <f>IF(B1248="",0,IF(OR(H1248=MappingTables!$C$34,H1248=MappingTables!$C$35),T1248,0))</f>
        <v>0</v>
      </c>
      <c r="V1248" s="85">
        <f>IF(ISNA(IF(AND(VLOOKUP(CONCATENATE($D1248,$G1248),CSRFinput!$B:$E,4,0)=0,OR(H1248=MappingTables!$C$34,H1248=MappingTables!$C$35)),1,VLOOKUP(CONCATENATE($D1248,$G1248),CSRFinput!$B:$E,4,0))),0,IF(AND(VLOOKUP(CONCATENATE($D1248,$G1248),CSRFinput!$B:$E,4,0)=0,OR(H1248=MappingTables!$C$34,H1248=MappingTables!$C$35)),1,VLOOKUP(CONCATENATE($D1248,$G1248),CSRFinput!$B:$E,4,0)))</f>
        <v>0.054776304963434752</v>
      </c>
      <c r="W1248" s="85">
        <f>IF(B1248="",0,+$T1248*$V1248)</f>
        <v>10.406116973004168</v>
      </c>
      <c r="X1248" s="85">
        <f>IF(B1248="",0,IF(OR(H1248=MappingTables!$C$34,H1248=MappingTables!$C$35),W1248,0))</f>
        <v>0</v>
      </c>
    </row>
    <row r="1249" spans="2:24" s="0" customFormat="0" ht="15">
      <c r="B1249" s="69">
        <v>13105590</v>
      </c>
      <c r="C1249" s="70" t="s">
        <v>1517</v>
      </c>
      <c r="D1249" s="70" t="s">
        <v>1</v>
      </c>
      <c r="E1249" s="70" t="s">
        <v>1</v>
      </c>
      <c r="F1249" s="70"/>
      <c r="G1249" s="70" t="s">
        <v>61</v>
      </c>
      <c r="H1249" s="70" t="s">
        <v>178</v>
      </c>
      <c r="I1249" s="70" t="s">
        <v>184</v>
      </c>
      <c r="J1249" s="71">
        <f>IF(OR(I1249=0,I1249=""),"unrated",VLOOKUP(I1249,MappingTables!$B$19:$C$31,2,FALSE))</f>
        <v>5</v>
      </c>
      <c r="K1249" s="72">
        <v>2800.5694824752184</v>
      </c>
      <c r="L1249" s="70">
        <v>0.96156412018418512</v>
      </c>
      <c r="M1249" s="71">
        <f>IF(L1249&lt;1,1,L1249)</f>
        <v>1</v>
      </c>
      <c r="N1249" s="70" t="s">
        <v>141</v>
      </c>
      <c r="O1249" s="71">
        <f>INDEX(DurClassMapping,MATCH(M1249,MappingTables!$D$4:$D$8,-1),1)</f>
        <v>1</v>
      </c>
      <c r="P1249" s="73">
        <f>IF(M1249=$A$1,1,$M1249-INDEX(MappingTables!$E$4:$E$8,MATCH(O1249,MappingTables!$B$4:$B$8,0)))</f>
        <v>1</v>
      </c>
      <c r="Q1249" s="71">
        <f>IF(B1249="",0,INDEX(ModelParameters!$D$6:$K$10,MATCH($O1249,ModelParameters!$B$6:$B$10,0),MATCH($J1249,ModelParameters!$D$5:$K$5,0)))</f>
        <v>0.075</v>
      </c>
      <c r="R1249" s="71">
        <f>IF(B1249="",0,INDEX(ModelParameters!$D$13:$K$17,MATCH($O1249,ModelParameters!$B$13:$B$17,0),MATCH($J1249,ModelParameters!$D$5:$K$5,0)))</f>
        <v>0</v>
      </c>
      <c r="S1249" s="160">
        <f>IF(B1249="",0,MIN(IF($N1249="Other Bond TM",ModelParameters!$N$21,1)*(P1249*Q1249+R1249),1))</f>
        <v>0.075</v>
      </c>
      <c r="T1249" s="85">
        <f>IF(B1249="",0,$S1249*$K1249)</f>
        <v>210.0427111856414</v>
      </c>
      <c r="U1249" s="85">
        <f>IF(B1249="",0,IF(OR(H1249=MappingTables!$C$34,H1249=MappingTables!$C$35),T1249,0))</f>
        <v>0</v>
      </c>
      <c r="V1249" s="85">
        <f>IF(ISNA(IF(AND(VLOOKUP(CONCATENATE($D1249,$G1249),CSRFinput!$B:$E,4,0)=0,OR(H1249=MappingTables!$C$34,H1249=MappingTables!$C$35)),1,VLOOKUP(CONCATENATE($D1249,$G1249),CSRFinput!$B:$E,4,0))),0,IF(AND(VLOOKUP(CONCATENATE($D1249,$G1249),CSRFinput!$B:$E,4,0)=0,OR(H1249=MappingTables!$C$34,H1249=MappingTables!$C$35)),1,VLOOKUP(CONCATENATE($D1249,$G1249),CSRFinput!$B:$E,4,0)))</f>
        <v>0.054776304963434752</v>
      </c>
      <c r="W1249" s="85">
        <f>IF(B1249="",0,+$T1249*$V1249)</f>
        <v>11.505363603251342</v>
      </c>
      <c r="X1249" s="85">
        <f>IF(B1249="",0,IF(OR(H1249=MappingTables!$C$34,H1249=MappingTables!$C$35),W1249,0))</f>
        <v>0</v>
      </c>
    </row>
    <row r="1250" spans="2:24" s="0" customFormat="0" ht="15">
      <c r="B1250" s="69" t="s">
        <v>525</v>
      </c>
      <c r="C1250" s="70" t="s">
        <v>526</v>
      </c>
      <c r="D1250" s="70" t="s">
        <v>1</v>
      </c>
      <c r="E1250" s="70" t="s">
        <v>1</v>
      </c>
      <c r="F1250" s="70"/>
      <c r="G1250" s="70" t="s">
        <v>61</v>
      </c>
      <c r="H1250" s="70" t="s">
        <v>178</v>
      </c>
      <c r="I1250" s="70" t="s">
        <v>204</v>
      </c>
      <c r="J1250" s="71">
        <f>IF(OR(I1250=0,I1250=""),"unrated",VLOOKUP(I1250,MappingTables!$B$19:$C$31,2,FALSE))</f>
        <v>6</v>
      </c>
      <c r="K1250" s="72">
        <v>15227.017355584124</v>
      </c>
      <c r="L1250" s="70">
        <v>1.3339559350461268</v>
      </c>
      <c r="M1250" s="71">
        <f>IF(L1250&lt;1,1,L1250)</f>
        <v>1.3339559350461268</v>
      </c>
      <c r="N1250" s="70" t="s">
        <v>141</v>
      </c>
      <c r="O1250" s="71">
        <f>INDEX(DurClassMapping,MATCH(M1250,MappingTables!$D$4:$D$8,-1),1)</f>
        <v>1</v>
      </c>
      <c r="P1250" s="73">
        <f>IF(M1250=$A$1,1,$M1250-INDEX(MappingTables!$E$4:$E$8,MATCH(O1250,MappingTables!$B$4:$B$8,0)))</f>
        <v>1.3339559350461268</v>
      </c>
      <c r="Q1250" s="71">
        <f>IF(B1250="",0,INDEX(ModelParameters!$D$6:$K$10,MATCH($O1250,ModelParameters!$B$6:$B$10,0),MATCH($J1250,ModelParameters!$D$5:$K$5,0)))</f>
        <v>0.075</v>
      </c>
      <c r="R1250" s="71">
        <f>IF(B1250="",0,INDEX(ModelParameters!$D$13:$K$17,MATCH($O1250,ModelParameters!$B$13:$B$17,0),MATCH($J1250,ModelParameters!$D$5:$K$5,0)))</f>
        <v>0</v>
      </c>
      <c r="S1250" s="160">
        <f>IF(B1250="",0,MIN(IF($N1250="Other Bond TM",ModelParameters!$N$21,1)*(P1250*Q1250+R1250),1))</f>
        <v>0.1000466951284595</v>
      </c>
      <c r="T1250" s="85">
        <f>IF(B1250="",0,$S1250*$K1250)</f>
        <v>1523.4127630898866</v>
      </c>
      <c r="U1250" s="85">
        <f>IF(B1250="",0,IF(OR(H1250=MappingTables!$C$34,H1250=MappingTables!$C$35),T1250,0))</f>
        <v>0</v>
      </c>
      <c r="V1250" s="85">
        <f>IF(ISNA(IF(AND(VLOOKUP(CONCATENATE($D1250,$G1250),CSRFinput!$B:$E,4,0)=0,OR(H1250=MappingTables!$C$34,H1250=MappingTables!$C$35)),1,VLOOKUP(CONCATENATE($D1250,$G1250),CSRFinput!$B:$E,4,0))),0,IF(AND(VLOOKUP(CONCATENATE($D1250,$G1250),CSRFinput!$B:$E,4,0)=0,OR(H1250=MappingTables!$C$34,H1250=MappingTables!$C$35)),1,VLOOKUP(CONCATENATE($D1250,$G1250),CSRFinput!$B:$E,4,0)))</f>
        <v>0.054776304963434752</v>
      </c>
      <c r="W1250" s="85">
        <f>IF(B1250="",0,+$T1250*$V1250)</f>
        <v>83.446922096200416</v>
      </c>
      <c r="X1250" s="85">
        <f>IF(B1250="",0,IF(OR(H1250=MappingTables!$C$34,H1250=MappingTables!$C$35),W1250,0))</f>
        <v>0</v>
      </c>
    </row>
    <row r="1251" spans="2:24" s="0" customFormat="0" ht="15">
      <c r="B1251" s="69">
        <v>22106685</v>
      </c>
      <c r="C1251" s="70" t="s">
        <v>1518</v>
      </c>
      <c r="D1251" s="70" t="s">
        <v>1</v>
      </c>
      <c r="E1251" s="70" t="s">
        <v>1</v>
      </c>
      <c r="F1251" s="70"/>
      <c r="G1251" s="70" t="s">
        <v>61</v>
      </c>
      <c r="H1251" s="70" t="s">
        <v>178</v>
      </c>
      <c r="I1251" s="70" t="s">
        <v>179</v>
      </c>
      <c r="J1251" s="71">
        <f>IF(OR(I1251=0,I1251=""),"unrated",VLOOKUP(I1251,MappingTables!$B$19:$C$31,2,FALSE))</f>
        <v>4</v>
      </c>
      <c r="K1251" s="72">
        <v>37276.058278693664</v>
      </c>
      <c r="L1251" s="70">
        <v>6.1250532662560192</v>
      </c>
      <c r="M1251" s="71">
        <f>IF(L1251&lt;1,1,L1251)</f>
        <v>6.1250532662560192</v>
      </c>
      <c r="N1251" s="70" t="s">
        <v>141</v>
      </c>
      <c r="O1251" s="71">
        <f>INDEX(DurClassMapping,MATCH(M1251,MappingTables!$D$4:$D$8,-1),1)</f>
        <v>2</v>
      </c>
      <c r="P1251" s="73">
        <f>IF(M1251=$A$1,1,$M1251-INDEX(MappingTables!$E$4:$E$8,MATCH(O1251,MappingTables!$B$4:$B$8,0)))</f>
        <v>1.1250532662560194</v>
      </c>
      <c r="Q1251" s="71">
        <f>IF(B1251="",0,INDEX(ModelParameters!$D$6:$K$10,MATCH($O1251,ModelParameters!$B$6:$B$10,0),MATCH($J1251,ModelParameters!$D$5:$K$5,0)))</f>
        <v>0.025</v>
      </c>
      <c r="R1251" s="71">
        <f>IF(B1251="",0,INDEX(ModelParameters!$D$13:$K$17,MATCH($O1251,ModelParameters!$B$13:$B$17,0),MATCH($J1251,ModelParameters!$D$5:$K$5,0)))</f>
        <v>0.225</v>
      </c>
      <c r="S1251" s="160">
        <f>IF(B1251="",0,MIN(IF($N1251="Other Bond TM",ModelParameters!$N$21,1)*(P1251*Q1251+R1251),1))</f>
        <v>0.25312633165640048</v>
      </c>
      <c r="T1251" s="85">
        <f>IF(B1251="",0,$S1251*$K1251)</f>
        <v>9435.5518906959264</v>
      </c>
      <c r="U1251" s="85">
        <f>IF(B1251="",0,IF(OR(H1251=MappingTables!$C$34,H1251=MappingTables!$C$35),T1251,0))</f>
        <v>0</v>
      </c>
      <c r="V1251" s="85">
        <f>IF(ISNA(IF(AND(VLOOKUP(CONCATENATE($D1251,$G1251),CSRFinput!$B:$E,4,0)=0,OR(H1251=MappingTables!$C$34,H1251=MappingTables!$C$35)),1,VLOOKUP(CONCATENATE($D1251,$G1251),CSRFinput!$B:$E,4,0))),0,IF(AND(VLOOKUP(CONCATENATE($D1251,$G1251),CSRFinput!$B:$E,4,0)=0,OR(H1251=MappingTables!$C$34,H1251=MappingTables!$C$35)),1,VLOOKUP(CONCATENATE($D1251,$G1251),CSRFinput!$B:$E,4,0)))</f>
        <v>0.054776304963434752</v>
      </c>
      <c r="W1251" s="85">
        <f>IF(B1251="",0,+$T1251*$V1251)</f>
        <v>516.84466786307336</v>
      </c>
      <c r="X1251" s="85">
        <f>IF(B1251="",0,IF(OR(H1251=MappingTables!$C$34,H1251=MappingTables!$C$35),W1251,0))</f>
        <v>0</v>
      </c>
    </row>
    <row r="1252" spans="2:24" s="0" customFormat="0" ht="15">
      <c r="B1252" s="69">
        <v>16588743</v>
      </c>
      <c r="C1252" s="70" t="s">
        <v>1519</v>
      </c>
      <c r="D1252" s="70" t="s">
        <v>1</v>
      </c>
      <c r="E1252" s="70" t="s">
        <v>1</v>
      </c>
      <c r="F1252" s="70"/>
      <c r="G1252" s="70" t="s">
        <v>61</v>
      </c>
      <c r="H1252" s="70" t="s">
        <v>178</v>
      </c>
      <c r="I1252" s="70" t="s">
        <v>188</v>
      </c>
      <c r="J1252" s="71">
        <f>IF(OR(I1252=0,I1252=""),"unrated",VLOOKUP(I1252,MappingTables!$B$19:$C$31,2,FALSE))</f>
        <v>2</v>
      </c>
      <c r="K1252" s="72">
        <v>187.01672469303252</v>
      </c>
      <c r="L1252" s="70">
        <v>0.339241630550134</v>
      </c>
      <c r="M1252" s="71">
        <f>IF(L1252&lt;1,1,L1252)</f>
        <v>1</v>
      </c>
      <c r="N1252" s="70" t="s">
        <v>141</v>
      </c>
      <c r="O1252" s="71">
        <f>INDEX(DurClassMapping,MATCH(M1252,MappingTables!$D$4:$D$8,-1),1)</f>
        <v>1</v>
      </c>
      <c r="P1252" s="73">
        <f>IF(M1252=$A$1,1,$M1252-INDEX(MappingTables!$E$4:$E$8,MATCH(O1252,MappingTables!$B$4:$B$8,0)))</f>
        <v>1</v>
      </c>
      <c r="Q1252" s="71">
        <f>IF(B1252="",0,INDEX(ModelParameters!$D$6:$K$10,MATCH($O1252,ModelParameters!$B$6:$B$10,0),MATCH($J1252,ModelParameters!$D$5:$K$5,0)))</f>
        <v>0.013999999999999998</v>
      </c>
      <c r="R1252" s="71">
        <f>IF(B1252="",0,INDEX(ModelParameters!$D$13:$K$17,MATCH($O1252,ModelParameters!$B$13:$B$17,0),MATCH($J1252,ModelParameters!$D$5:$K$5,0)))</f>
        <v>0</v>
      </c>
      <c r="S1252" s="160">
        <f>IF(B1252="",0,MIN(IF($N1252="Other Bond TM",ModelParameters!$N$21,1)*(P1252*Q1252+R1252),1))</f>
        <v>0.013999999999999998</v>
      </c>
      <c r="T1252" s="85">
        <f>IF(B1252="",0,$S1252*$K1252)</f>
        <v>2.6182341457024548</v>
      </c>
      <c r="U1252" s="85">
        <f>IF(B1252="",0,IF(OR(H1252=MappingTables!$C$34,H1252=MappingTables!$C$35),T1252,0))</f>
        <v>0</v>
      </c>
      <c r="V1252" s="85">
        <f>IF(ISNA(IF(AND(VLOOKUP(CONCATENATE($D1252,$G1252),CSRFinput!$B:$E,4,0)=0,OR(H1252=MappingTables!$C$34,H1252=MappingTables!$C$35)),1,VLOOKUP(CONCATENATE($D1252,$G1252),CSRFinput!$B:$E,4,0))),0,IF(AND(VLOOKUP(CONCATENATE($D1252,$G1252),CSRFinput!$B:$E,4,0)=0,OR(H1252=MappingTables!$C$34,H1252=MappingTables!$C$35)),1,VLOOKUP(CONCATENATE($D1252,$G1252),CSRFinput!$B:$E,4,0)))</f>
        <v>0.054776304963434752</v>
      </c>
      <c r="W1252" s="85">
        <f>IF(B1252="",0,+$T1252*$V1252)</f>
        <v>0.14341719203067572</v>
      </c>
      <c r="X1252" s="85">
        <f>IF(B1252="",0,IF(OR(H1252=MappingTables!$C$34,H1252=MappingTables!$C$35),W1252,0))</f>
        <v>0</v>
      </c>
    </row>
    <row r="1253" spans="2:24" s="0" customFormat="0" ht="15">
      <c r="B1253" s="69" t="s">
        <v>384</v>
      </c>
      <c r="C1253" s="70" t="s">
        <v>385</v>
      </c>
      <c r="D1253" s="70" t="s">
        <v>1</v>
      </c>
      <c r="E1253" s="70" t="s">
        <v>1</v>
      </c>
      <c r="F1253" s="70"/>
      <c r="G1253" s="70" t="s">
        <v>61</v>
      </c>
      <c r="H1253" s="70" t="s">
        <v>178</v>
      </c>
      <c r="I1253" s="70" t="s">
        <v>184</v>
      </c>
      <c r="J1253" s="71">
        <f>IF(OR(I1253=0,I1253=""),"unrated",VLOOKUP(I1253,MappingTables!$B$19:$C$31,2,FALSE))</f>
        <v>5</v>
      </c>
      <c r="K1253" s="72">
        <v>59.981785442306976</v>
      </c>
      <c r="L1253" s="70">
        <v>5.1962451138654936</v>
      </c>
      <c r="M1253" s="71">
        <f>IF(L1253&lt;1,1,L1253)</f>
        <v>5.1962451138654936</v>
      </c>
      <c r="N1253" s="70" t="s">
        <v>141</v>
      </c>
      <c r="O1253" s="71">
        <f>INDEX(DurClassMapping,MATCH(M1253,MappingTables!$D$4:$D$8,-1),1)</f>
        <v>2</v>
      </c>
      <c r="P1253" s="73">
        <f>IF(M1253=$A$1,1,$M1253-INDEX(MappingTables!$E$4:$E$8,MATCH(O1253,MappingTables!$B$4:$B$8,0)))</f>
        <v>0.19624511386549324</v>
      </c>
      <c r="Q1253" s="71">
        <f>IF(B1253="",0,INDEX(ModelParameters!$D$6:$K$10,MATCH($O1253,ModelParameters!$B$6:$B$10,0),MATCH($J1253,ModelParameters!$D$5:$K$5,0)))</f>
        <v>0.042</v>
      </c>
      <c r="R1253" s="71">
        <f>IF(B1253="",0,INDEX(ModelParameters!$D$13:$K$17,MATCH($O1253,ModelParameters!$B$13:$B$17,0),MATCH($J1253,ModelParameters!$D$5:$K$5,0)))</f>
        <v>0.375</v>
      </c>
      <c r="S1253" s="160">
        <f>IF(B1253="",0,MIN(IF($N1253="Other Bond TM",ModelParameters!$N$21,1)*(P1253*Q1253+R1253),1))</f>
        <v>0.38324229478235072</v>
      </c>
      <c r="T1253" s="85">
        <f>IF(B1253="",0,$S1253*$K1253)</f>
        <v>22.987557098052324</v>
      </c>
      <c r="U1253" s="85">
        <f>IF(B1253="",0,IF(OR(H1253=MappingTables!$C$34,H1253=MappingTables!$C$35),T1253,0))</f>
        <v>0</v>
      </c>
      <c r="V1253" s="85">
        <f>IF(ISNA(IF(AND(VLOOKUP(CONCATENATE($D1253,$G1253),CSRFinput!$B:$E,4,0)=0,OR(H1253=MappingTables!$C$34,H1253=MappingTables!$C$35)),1,VLOOKUP(CONCATENATE($D1253,$G1253),CSRFinput!$B:$E,4,0))),0,IF(AND(VLOOKUP(CONCATENATE($D1253,$G1253),CSRFinput!$B:$E,4,0)=0,OR(H1253=MappingTables!$C$34,H1253=MappingTables!$C$35)),1,VLOOKUP(CONCATENATE($D1253,$G1253),CSRFinput!$B:$E,4,0)))</f>
        <v>0.054776304963434752</v>
      </c>
      <c r="W1253" s="85">
        <f>IF(B1253="",0,+$T1253*$V1253)</f>
        <v>1.2591734379672834</v>
      </c>
      <c r="X1253" s="85">
        <f>IF(B1253="",0,IF(OR(H1253=MappingTables!$C$34,H1253=MappingTables!$C$35),W1253,0))</f>
        <v>0</v>
      </c>
    </row>
    <row r="1254" spans="2:24" s="0" customFormat="0" ht="15">
      <c r="B1254" s="69">
        <v>21226546</v>
      </c>
      <c r="C1254" s="70" t="s">
        <v>1520</v>
      </c>
      <c r="D1254" s="70" t="s">
        <v>1</v>
      </c>
      <c r="E1254" s="70" t="s">
        <v>1</v>
      </c>
      <c r="F1254" s="70"/>
      <c r="G1254" s="70" t="s">
        <v>61</v>
      </c>
      <c r="H1254" s="70" t="s">
        <v>178</v>
      </c>
      <c r="I1254" s="70" t="s">
        <v>181</v>
      </c>
      <c r="J1254" s="71">
        <f>IF(OR(I1254=0,I1254=""),"unrated",VLOOKUP(I1254,MappingTables!$B$19:$C$31,2,FALSE))</f>
        <v>3</v>
      </c>
      <c r="K1254" s="72">
        <v>46494.895015844904</v>
      </c>
      <c r="L1254" s="70">
        <v>5.1029336045539336</v>
      </c>
      <c r="M1254" s="71">
        <f>IF(L1254&lt;1,1,L1254)</f>
        <v>5.1029336045539336</v>
      </c>
      <c r="N1254" s="70" t="s">
        <v>141</v>
      </c>
      <c r="O1254" s="71">
        <f>INDEX(DurClassMapping,MATCH(M1254,MappingTables!$D$4:$D$8,-1),1)</f>
        <v>2</v>
      </c>
      <c r="P1254" s="73">
        <f>IF(M1254=$A$1,1,$M1254-INDEX(MappingTables!$E$4:$E$8,MATCH(O1254,MappingTables!$B$4:$B$8,0)))</f>
        <v>0.1029336045539333</v>
      </c>
      <c r="Q1254" s="71">
        <f>IF(B1254="",0,INDEX(ModelParameters!$D$6:$K$10,MATCH($O1254,ModelParameters!$B$6:$B$10,0),MATCH($J1254,ModelParameters!$D$5:$K$5,0)))</f>
        <v>0.015</v>
      </c>
      <c r="R1254" s="71">
        <f>IF(B1254="",0,INDEX(ModelParameters!$D$13:$K$17,MATCH($O1254,ModelParameters!$B$13:$B$17,0),MATCH($J1254,ModelParameters!$D$5:$K$5,0)))</f>
        <v>0.125</v>
      </c>
      <c r="S1254" s="160">
        <f>IF(B1254="",0,MIN(IF($N1254="Other Bond TM",ModelParameters!$N$21,1)*(P1254*Q1254+R1254),1))</f>
        <v>0.12654400406830902</v>
      </c>
      <c r="T1254" s="85">
        <f>IF(B1254="",0,$S1254*$K1254)</f>
        <v>5883.6501840406776</v>
      </c>
      <c r="U1254" s="85">
        <f>IF(B1254="",0,IF(OR(H1254=MappingTables!$C$34,H1254=MappingTables!$C$35),T1254,0))</f>
        <v>0</v>
      </c>
      <c r="V1254" s="85">
        <f>IF(ISNA(IF(AND(VLOOKUP(CONCATENATE($D1254,$G1254),CSRFinput!$B:$E,4,0)=0,OR(H1254=MappingTables!$C$34,H1254=MappingTables!$C$35)),1,VLOOKUP(CONCATENATE($D1254,$G1254),CSRFinput!$B:$E,4,0))),0,IF(AND(VLOOKUP(CONCATENATE($D1254,$G1254),CSRFinput!$B:$E,4,0)=0,OR(H1254=MappingTables!$C$34,H1254=MappingTables!$C$35)),1,VLOOKUP(CONCATENATE($D1254,$G1254),CSRFinput!$B:$E,4,0)))</f>
        <v>0.054776304963434752</v>
      </c>
      <c r="W1254" s="85">
        <f>IF(B1254="",0,+$T1254*$V1254)</f>
        <v>322.28461677918112</v>
      </c>
      <c r="X1254" s="85">
        <f>IF(B1254="",0,IF(OR(H1254=MappingTables!$C$34,H1254=MappingTables!$C$35),W1254,0))</f>
        <v>0</v>
      </c>
    </row>
    <row r="1255" spans="2:24" s="0" customFormat="0" ht="15">
      <c r="B1255" s="69">
        <v>15552694</v>
      </c>
      <c r="C1255" s="70" t="s">
        <v>1521</v>
      </c>
      <c r="D1255" s="70" t="s">
        <v>1</v>
      </c>
      <c r="E1255" s="70" t="s">
        <v>1</v>
      </c>
      <c r="F1255" s="70"/>
      <c r="G1255" s="70" t="s">
        <v>61</v>
      </c>
      <c r="H1255" s="70" t="s">
        <v>178</v>
      </c>
      <c r="I1255" s="70" t="s">
        <v>181</v>
      </c>
      <c r="J1255" s="71">
        <f>IF(OR(I1255=0,I1255=""),"unrated",VLOOKUP(I1255,MappingTables!$B$19:$C$31,2,FALSE))</f>
        <v>3</v>
      </c>
      <c r="K1255" s="72">
        <v>35144.21490862342</v>
      </c>
      <c r="L1255" s="70">
        <v>12.63415087470462</v>
      </c>
      <c r="M1255" s="71">
        <f>IF(L1255&lt;1,1,L1255)</f>
        <v>12.63415087470462</v>
      </c>
      <c r="N1255" s="70" t="s">
        <v>141</v>
      </c>
      <c r="O1255" s="71">
        <f>INDEX(DurClassMapping,MATCH(M1255,MappingTables!$D$4:$D$8,-1),1)</f>
        <v>3</v>
      </c>
      <c r="P1255" s="73">
        <f>IF(M1255=$A$1,1,$M1255-INDEX(MappingTables!$E$4:$E$8,MATCH(O1255,MappingTables!$B$4:$B$8,0)))</f>
        <v>2.63415087470462</v>
      </c>
      <c r="Q1255" s="71">
        <f>IF(B1255="",0,INDEX(ModelParameters!$D$6:$K$10,MATCH($O1255,ModelParameters!$B$6:$B$10,0),MATCH($J1255,ModelParameters!$D$5:$K$5,0)))</f>
        <v>0.01</v>
      </c>
      <c r="R1255" s="71">
        <f>IF(B1255="",0,INDEX(ModelParameters!$D$13:$K$17,MATCH($O1255,ModelParameters!$B$13:$B$17,0),MATCH($J1255,ModelParameters!$D$5:$K$5,0)))</f>
        <v>0.2</v>
      </c>
      <c r="S1255" s="160">
        <f>IF(B1255="",0,MIN(IF($N1255="Other Bond TM",ModelParameters!$N$21,1)*(P1255*Q1255+R1255),1))</f>
        <v>0.2263415087470462</v>
      </c>
      <c r="T1255" s="85">
        <f>IF(B1255="",0,$S1255*$K1255)</f>
        <v>7954.5946261482592</v>
      </c>
      <c r="U1255" s="85">
        <f>IF(B1255="",0,IF(OR(H1255=MappingTables!$C$34,H1255=MappingTables!$C$35),T1255,0))</f>
        <v>0</v>
      </c>
      <c r="V1255" s="85">
        <f>IF(ISNA(IF(AND(VLOOKUP(CONCATENATE($D1255,$G1255),CSRFinput!$B:$E,4,0)=0,OR(H1255=MappingTables!$C$34,H1255=MappingTables!$C$35)),1,VLOOKUP(CONCATENATE($D1255,$G1255),CSRFinput!$B:$E,4,0))),0,IF(AND(VLOOKUP(CONCATENATE($D1255,$G1255),CSRFinput!$B:$E,4,0)=0,OR(H1255=MappingTables!$C$34,H1255=MappingTables!$C$35)),1,VLOOKUP(CONCATENATE($D1255,$G1255),CSRFinput!$B:$E,4,0)))</f>
        <v>0.054776304963434752</v>
      </c>
      <c r="W1255" s="85">
        <f>IF(B1255="",0,+$T1255*$V1255)</f>
        <v>435.72330110239632</v>
      </c>
      <c r="X1255" s="85">
        <f>IF(B1255="",0,IF(OR(H1255=MappingTables!$C$34,H1255=MappingTables!$C$35),W1255,0))</f>
        <v>0</v>
      </c>
    </row>
    <row r="1256" spans="2:24" s="0" customFormat="0" ht="15">
      <c r="B1256" s="69">
        <v>24107793</v>
      </c>
      <c r="C1256" s="70" t="s">
        <v>1522</v>
      </c>
      <c r="D1256" s="70" t="s">
        <v>1</v>
      </c>
      <c r="E1256" s="70" t="s">
        <v>1</v>
      </c>
      <c r="F1256" s="70"/>
      <c r="G1256" s="70" t="s">
        <v>61</v>
      </c>
      <c r="H1256" s="70" t="s">
        <v>178</v>
      </c>
      <c r="I1256" s="70" t="s">
        <v>181</v>
      </c>
      <c r="J1256" s="71">
        <f>IF(OR(I1256=0,I1256=""),"unrated",VLOOKUP(I1256,MappingTables!$B$19:$C$31,2,FALSE))</f>
        <v>3</v>
      </c>
      <c r="K1256" s="72">
        <v>62.856421088498376</v>
      </c>
      <c r="L1256" s="70">
        <v>7.1293709171137312</v>
      </c>
      <c r="M1256" s="71">
        <f>IF(L1256&lt;1,1,L1256)</f>
        <v>7.1293709171137312</v>
      </c>
      <c r="N1256" s="70" t="s">
        <v>141</v>
      </c>
      <c r="O1256" s="71">
        <f>INDEX(DurClassMapping,MATCH(M1256,MappingTables!$D$4:$D$8,-1),1)</f>
        <v>2</v>
      </c>
      <c r="P1256" s="73">
        <f>IF(M1256=$A$1,1,$M1256-INDEX(MappingTables!$E$4:$E$8,MATCH(O1256,MappingTables!$B$4:$B$8,0)))</f>
        <v>2.1293709171137312</v>
      </c>
      <c r="Q1256" s="71">
        <f>IF(B1256="",0,INDEX(ModelParameters!$D$6:$K$10,MATCH($O1256,ModelParameters!$B$6:$B$10,0),MATCH($J1256,ModelParameters!$D$5:$K$5,0)))</f>
        <v>0.015</v>
      </c>
      <c r="R1256" s="71">
        <f>IF(B1256="",0,INDEX(ModelParameters!$D$13:$K$17,MATCH($O1256,ModelParameters!$B$13:$B$17,0),MATCH($J1256,ModelParameters!$D$5:$K$5,0)))</f>
        <v>0.125</v>
      </c>
      <c r="S1256" s="160">
        <f>IF(B1256="",0,MIN(IF($N1256="Other Bond TM",ModelParameters!$N$21,1)*(P1256*Q1256+R1256),1))</f>
        <v>0.15694056375670596</v>
      </c>
      <c r="T1256" s="85">
        <f>IF(B1256="",0,$S1256*$K1256)</f>
        <v>9.8647221613578352</v>
      </c>
      <c r="U1256" s="85">
        <f>IF(B1256="",0,IF(OR(H1256=MappingTables!$C$34,H1256=MappingTables!$C$35),T1256,0))</f>
        <v>0</v>
      </c>
      <c r="V1256" s="85">
        <f>IF(ISNA(IF(AND(VLOOKUP(CONCATENATE($D1256,$G1256),CSRFinput!$B:$E,4,0)=0,OR(H1256=MappingTables!$C$34,H1256=MappingTables!$C$35)),1,VLOOKUP(CONCATENATE($D1256,$G1256),CSRFinput!$B:$E,4,0))),0,IF(AND(VLOOKUP(CONCATENATE($D1256,$G1256),CSRFinput!$B:$E,4,0)=0,OR(H1256=MappingTables!$C$34,H1256=MappingTables!$C$35)),1,VLOOKUP(CONCATENATE($D1256,$G1256),CSRFinput!$B:$E,4,0)))</f>
        <v>0.054776304963434752</v>
      </c>
      <c r="W1256" s="85">
        <f>IF(B1256="",0,+$T1256*$V1256)</f>
        <v>0.54035302949009</v>
      </c>
      <c r="X1256" s="85">
        <f>IF(B1256="",0,IF(OR(H1256=MappingTables!$C$34,H1256=MappingTables!$C$35),W1256,0))</f>
        <v>0</v>
      </c>
    </row>
    <row r="1257" spans="2:24" s="0" customFormat="0" ht="15">
      <c r="B1257" s="69">
        <v>24423125</v>
      </c>
      <c r="C1257" s="70" t="s">
        <v>1523</v>
      </c>
      <c r="D1257" s="70" t="s">
        <v>1</v>
      </c>
      <c r="E1257" s="70" t="s">
        <v>1</v>
      </c>
      <c r="F1257" s="70"/>
      <c r="G1257" s="70" t="s">
        <v>61</v>
      </c>
      <c r="H1257" s="70" t="s">
        <v>178</v>
      </c>
      <c r="I1257" s="70" t="s">
        <v>181</v>
      </c>
      <c r="J1257" s="71">
        <f>IF(OR(I1257=0,I1257=""),"unrated",VLOOKUP(I1257,MappingTables!$B$19:$C$31,2,FALSE))</f>
        <v>3</v>
      </c>
      <c r="K1257" s="72">
        <v>16394.312171258912</v>
      </c>
      <c r="L1257" s="70">
        <v>4.01004015989498</v>
      </c>
      <c r="M1257" s="71">
        <f>IF(L1257&lt;1,1,L1257)</f>
        <v>4.01004015989498</v>
      </c>
      <c r="N1257" s="70" t="s">
        <v>141</v>
      </c>
      <c r="O1257" s="71">
        <f>INDEX(DurClassMapping,MATCH(M1257,MappingTables!$D$4:$D$8,-1),1)</f>
        <v>1</v>
      </c>
      <c r="P1257" s="73">
        <f>IF(M1257=$A$1,1,$M1257-INDEX(MappingTables!$E$4:$E$8,MATCH(O1257,MappingTables!$B$4:$B$8,0)))</f>
        <v>4.01004015989498</v>
      </c>
      <c r="Q1257" s="71">
        <f>IF(B1257="",0,INDEX(ModelParameters!$D$6:$K$10,MATCH($O1257,ModelParameters!$B$6:$B$10,0),MATCH($J1257,ModelParameters!$D$5:$K$5,0)))</f>
        <v>0.025</v>
      </c>
      <c r="R1257" s="71">
        <f>IF(B1257="",0,INDEX(ModelParameters!$D$13:$K$17,MATCH($O1257,ModelParameters!$B$13:$B$17,0),MATCH($J1257,ModelParameters!$D$5:$K$5,0)))</f>
        <v>0</v>
      </c>
      <c r="S1257" s="160">
        <f>IF(B1257="",0,MIN(IF($N1257="Other Bond TM",ModelParameters!$N$21,1)*(P1257*Q1257+R1257),1))</f>
        <v>0.1002510039973745</v>
      </c>
      <c r="T1257" s="85">
        <f>IF(B1257="",0,$S1257*$K1257)</f>
        <v>1643.5462550150828</v>
      </c>
      <c r="U1257" s="85">
        <f>IF(B1257="",0,IF(OR(H1257=MappingTables!$C$34,H1257=MappingTables!$C$35),T1257,0))</f>
        <v>0</v>
      </c>
      <c r="V1257" s="85">
        <f>IF(ISNA(IF(AND(VLOOKUP(CONCATENATE($D1257,$G1257),CSRFinput!$B:$E,4,0)=0,OR(H1257=MappingTables!$C$34,H1257=MappingTables!$C$35)),1,VLOOKUP(CONCATENATE($D1257,$G1257),CSRFinput!$B:$E,4,0))),0,IF(AND(VLOOKUP(CONCATENATE($D1257,$G1257),CSRFinput!$B:$E,4,0)=0,OR(H1257=MappingTables!$C$34,H1257=MappingTables!$C$35)),1,VLOOKUP(CONCATENATE($D1257,$G1257),CSRFinput!$B:$E,4,0)))</f>
        <v>0.054776304963434752</v>
      </c>
      <c r="W1257" s="85">
        <f>IF(B1257="",0,+$T1257*$V1257)</f>
        <v>90.02739088621728</v>
      </c>
      <c r="X1257" s="85">
        <f>IF(B1257="",0,IF(OR(H1257=MappingTables!$C$34,H1257=MappingTables!$C$35),W1257,0))</f>
        <v>0</v>
      </c>
    </row>
    <row r="1258" spans="2:24" s="0" customFormat="0" ht="15">
      <c r="B1258" s="69" t="s">
        <v>1524</v>
      </c>
      <c r="C1258" s="70" t="s">
        <v>1525</v>
      </c>
      <c r="D1258" s="70" t="s">
        <v>1</v>
      </c>
      <c r="E1258" s="70" t="s">
        <v>1</v>
      </c>
      <c r="F1258" s="70"/>
      <c r="G1258" s="70" t="s">
        <v>61</v>
      </c>
      <c r="H1258" s="70" t="s">
        <v>178</v>
      </c>
      <c r="I1258" s="70" t="s">
        <v>184</v>
      </c>
      <c r="J1258" s="71">
        <f>IF(OR(I1258=0,I1258=""),"unrated",VLOOKUP(I1258,MappingTables!$B$19:$C$31,2,FALSE))</f>
        <v>5</v>
      </c>
      <c r="K1258" s="72">
        <v>682.84902432347384</v>
      </c>
      <c r="L1258" s="70">
        <v>1.0172963471171264</v>
      </c>
      <c r="M1258" s="71">
        <f>IF(L1258&lt;1,1,L1258)</f>
        <v>1.0172963471171264</v>
      </c>
      <c r="N1258" s="70" t="s">
        <v>141</v>
      </c>
      <c r="O1258" s="71">
        <f>INDEX(DurClassMapping,MATCH(M1258,MappingTables!$D$4:$D$8,-1),1)</f>
        <v>1</v>
      </c>
      <c r="P1258" s="73">
        <f>IF(M1258=$A$1,1,$M1258-INDEX(MappingTables!$E$4:$E$8,MATCH(O1258,MappingTables!$B$4:$B$8,0)))</f>
        <v>1.0172963471171264</v>
      </c>
      <c r="Q1258" s="71">
        <f>IF(B1258="",0,INDEX(ModelParameters!$D$6:$K$10,MATCH($O1258,ModelParameters!$B$6:$B$10,0),MATCH($J1258,ModelParameters!$D$5:$K$5,0)))</f>
        <v>0.075</v>
      </c>
      <c r="R1258" s="71">
        <f>IF(B1258="",0,INDEX(ModelParameters!$D$13:$K$17,MATCH($O1258,ModelParameters!$B$13:$B$17,0),MATCH($J1258,ModelParameters!$D$5:$K$5,0)))</f>
        <v>0</v>
      </c>
      <c r="S1258" s="160">
        <f>IF(B1258="",0,MIN(IF($N1258="Other Bond TM",ModelParameters!$N$21,1)*(P1258*Q1258+R1258),1))</f>
        <v>0.076297226033784464</v>
      </c>
      <c r="T1258" s="85">
        <f>IF(B1258="",0,$S1258*$K1258)</f>
        <v>52.099486355757272</v>
      </c>
      <c r="U1258" s="85">
        <f>IF(B1258="",0,IF(OR(H1258=MappingTables!$C$34,H1258=MappingTables!$C$35),T1258,0))</f>
        <v>0</v>
      </c>
      <c r="V1258" s="85">
        <f>IF(ISNA(IF(AND(VLOOKUP(CONCATENATE($D1258,$G1258),CSRFinput!$B:$E,4,0)=0,OR(H1258=MappingTables!$C$34,H1258=MappingTables!$C$35)),1,VLOOKUP(CONCATENATE($D1258,$G1258),CSRFinput!$B:$E,4,0))),0,IF(AND(VLOOKUP(CONCATENATE($D1258,$G1258),CSRFinput!$B:$E,4,0)=0,OR(H1258=MappingTables!$C$34,H1258=MappingTables!$C$35)),1,VLOOKUP(CONCATENATE($D1258,$G1258),CSRFinput!$B:$E,4,0)))</f>
        <v>0.054776304963434752</v>
      </c>
      <c r="W1258" s="85">
        <f>IF(B1258="",0,+$T1258*$V1258)</f>
        <v>2.853817353061268</v>
      </c>
      <c r="X1258" s="85">
        <f>IF(B1258="",0,IF(OR(H1258=MappingTables!$C$34,H1258=MappingTables!$C$35),W1258,0))</f>
        <v>0</v>
      </c>
    </row>
    <row r="1259" spans="2:24" s="0" customFormat="0" ht="15">
      <c r="B1259" s="69">
        <v>15469247</v>
      </c>
      <c r="C1259" s="70" t="s">
        <v>1526</v>
      </c>
      <c r="D1259" s="70" t="s">
        <v>1</v>
      </c>
      <c r="E1259" s="70" t="s">
        <v>1</v>
      </c>
      <c r="F1259" s="70"/>
      <c r="G1259" s="70" t="s">
        <v>61</v>
      </c>
      <c r="H1259" s="70" t="s">
        <v>178</v>
      </c>
      <c r="I1259" s="70" t="s">
        <v>188</v>
      </c>
      <c r="J1259" s="71">
        <f>IF(OR(I1259=0,I1259=""),"unrated",VLOOKUP(I1259,MappingTables!$B$19:$C$31,2,FALSE))</f>
        <v>2</v>
      </c>
      <c r="K1259" s="72">
        <v>9066.1648507278624</v>
      </c>
      <c r="L1259" s="70">
        <v>5.8735681200157856</v>
      </c>
      <c r="M1259" s="71">
        <f>IF(L1259&lt;1,1,L1259)</f>
        <v>5.8735681200157856</v>
      </c>
      <c r="N1259" s="70" t="s">
        <v>141</v>
      </c>
      <c r="O1259" s="71">
        <f>INDEX(DurClassMapping,MATCH(M1259,MappingTables!$D$4:$D$8,-1),1)</f>
        <v>2</v>
      </c>
      <c r="P1259" s="73">
        <f>IF(M1259=$A$1,1,$M1259-INDEX(MappingTables!$E$4:$E$8,MATCH(O1259,MappingTables!$B$4:$B$8,0)))</f>
        <v>0.87356812001578544</v>
      </c>
      <c r="Q1259" s="71">
        <f>IF(B1259="",0,INDEX(ModelParameters!$D$6:$K$10,MATCH($O1259,ModelParameters!$B$6:$B$10,0),MATCH($J1259,ModelParameters!$D$5:$K$5,0)))</f>
        <v>0.0069999999999999992</v>
      </c>
      <c r="R1259" s="71">
        <f>IF(B1259="",0,INDEX(ModelParameters!$D$13:$K$17,MATCH($O1259,ModelParameters!$B$13:$B$17,0),MATCH($J1259,ModelParameters!$D$5:$K$5,0)))</f>
        <v>0.070000000000000008</v>
      </c>
      <c r="S1259" s="160">
        <f>IF(B1259="",0,MIN(IF($N1259="Other Bond TM",ModelParameters!$N$21,1)*(P1259*Q1259+R1259),1))</f>
        <v>0.076114976840110512</v>
      </c>
      <c r="T1259" s="85">
        <f>IF(B1259="",0,$S1259*$K1259)</f>
        <v>690.07092764177528</v>
      </c>
      <c r="U1259" s="85">
        <f>IF(B1259="",0,IF(OR(H1259=MappingTables!$C$34,H1259=MappingTables!$C$35),T1259,0))</f>
        <v>0</v>
      </c>
      <c r="V1259" s="85">
        <f>IF(ISNA(IF(AND(VLOOKUP(CONCATENATE($D1259,$G1259),CSRFinput!$B:$E,4,0)=0,OR(H1259=MappingTables!$C$34,H1259=MappingTables!$C$35)),1,VLOOKUP(CONCATENATE($D1259,$G1259),CSRFinput!$B:$E,4,0))),0,IF(AND(VLOOKUP(CONCATENATE($D1259,$G1259),CSRFinput!$B:$E,4,0)=0,OR(H1259=MappingTables!$C$34,H1259=MappingTables!$C$35)),1,VLOOKUP(CONCATENATE($D1259,$G1259),CSRFinput!$B:$E,4,0)))</f>
        <v>0.054776304963434752</v>
      </c>
      <c r="W1259" s="85">
        <f>IF(B1259="",0,+$T1259*$V1259)</f>
        <v>37.7995355789062</v>
      </c>
      <c r="X1259" s="85">
        <f>IF(B1259="",0,IF(OR(H1259=MappingTables!$C$34,H1259=MappingTables!$C$35),W1259,0))</f>
        <v>0</v>
      </c>
    </row>
    <row r="1260" spans="2:24" s="0" customFormat="0" ht="15">
      <c r="B1260" s="69">
        <v>22106687</v>
      </c>
      <c r="C1260" s="70" t="s">
        <v>217</v>
      </c>
      <c r="D1260" s="70" t="s">
        <v>1</v>
      </c>
      <c r="E1260" s="70" t="s">
        <v>1</v>
      </c>
      <c r="F1260" s="70"/>
      <c r="G1260" s="70" t="s">
        <v>61</v>
      </c>
      <c r="H1260" s="70" t="s">
        <v>178</v>
      </c>
      <c r="I1260" s="70" t="s">
        <v>179</v>
      </c>
      <c r="J1260" s="71">
        <f>IF(OR(I1260=0,I1260=""),"unrated",VLOOKUP(I1260,MappingTables!$B$19:$C$31,2,FALSE))</f>
        <v>4</v>
      </c>
      <c r="K1260" s="72">
        <v>46584.506333587472</v>
      </c>
      <c r="L1260" s="70">
        <v>6.8553029682594856</v>
      </c>
      <c r="M1260" s="71">
        <f>IF(L1260&lt;1,1,L1260)</f>
        <v>6.8553029682594856</v>
      </c>
      <c r="N1260" s="70" t="s">
        <v>141</v>
      </c>
      <c r="O1260" s="71">
        <f>INDEX(DurClassMapping,MATCH(M1260,MappingTables!$D$4:$D$8,-1),1)</f>
        <v>2</v>
      </c>
      <c r="P1260" s="73">
        <f>IF(M1260=$A$1,1,$M1260-INDEX(MappingTables!$E$4:$E$8,MATCH(O1260,MappingTables!$B$4:$B$8,0)))</f>
        <v>1.855302968259486</v>
      </c>
      <c r="Q1260" s="71">
        <f>IF(B1260="",0,INDEX(ModelParameters!$D$6:$K$10,MATCH($O1260,ModelParameters!$B$6:$B$10,0),MATCH($J1260,ModelParameters!$D$5:$K$5,0)))</f>
        <v>0.025</v>
      </c>
      <c r="R1260" s="71">
        <f>IF(B1260="",0,INDEX(ModelParameters!$D$13:$K$17,MATCH($O1260,ModelParameters!$B$13:$B$17,0),MATCH($J1260,ModelParameters!$D$5:$K$5,0)))</f>
        <v>0.225</v>
      </c>
      <c r="S1260" s="160">
        <f>IF(B1260="",0,MIN(IF($N1260="Other Bond TM",ModelParameters!$N$21,1)*(P1260*Q1260+R1260),1))</f>
        <v>0.27138257420648716</v>
      </c>
      <c r="T1260" s="85">
        <f>IF(B1260="",0,$S1260*$K1260)</f>
        <v>12642.223246947372</v>
      </c>
      <c r="U1260" s="85">
        <f>IF(B1260="",0,IF(OR(H1260=MappingTables!$C$34,H1260=MappingTables!$C$35),T1260,0))</f>
        <v>0</v>
      </c>
      <c r="V1260" s="85">
        <f>IF(ISNA(IF(AND(VLOOKUP(CONCATENATE($D1260,$G1260),CSRFinput!$B:$E,4,0)=0,OR(H1260=MappingTables!$C$34,H1260=MappingTables!$C$35)),1,VLOOKUP(CONCATENATE($D1260,$G1260),CSRFinput!$B:$E,4,0))),0,IF(AND(VLOOKUP(CONCATENATE($D1260,$G1260),CSRFinput!$B:$E,4,0)=0,OR(H1260=MappingTables!$C$34,H1260=MappingTables!$C$35)),1,VLOOKUP(CONCATENATE($D1260,$G1260),CSRFinput!$B:$E,4,0)))</f>
        <v>0.054776304963434752</v>
      </c>
      <c r="W1260" s="85">
        <f>IF(B1260="",0,+$T1260*$V1260)</f>
        <v>692.4942759906136</v>
      </c>
      <c r="X1260" s="85">
        <f>IF(B1260="",0,IF(OR(H1260=MappingTables!$C$34,H1260=MappingTables!$C$35),W1260,0))</f>
        <v>0</v>
      </c>
    </row>
    <row r="1261" spans="2:24" s="0" customFormat="0" ht="15">
      <c r="B1261" s="69">
        <v>21610161</v>
      </c>
      <c r="C1261" s="70" t="s">
        <v>1527</v>
      </c>
      <c r="D1261" s="70" t="s">
        <v>1</v>
      </c>
      <c r="E1261" s="70" t="s">
        <v>1</v>
      </c>
      <c r="F1261" s="70"/>
      <c r="G1261" s="70" t="s">
        <v>61</v>
      </c>
      <c r="H1261" s="70" t="s">
        <v>178</v>
      </c>
      <c r="I1261" s="70" t="s">
        <v>220</v>
      </c>
      <c r="J1261" s="71">
        <f>IF(OR(I1261=0,I1261=""),"unrated",VLOOKUP(I1261,MappingTables!$B$19:$C$31,2,FALSE))</f>
        <v>1</v>
      </c>
      <c r="K1261" s="72">
        <v>64305.510585801008</v>
      </c>
      <c r="L1261" s="70">
        <v>26.225829203477392</v>
      </c>
      <c r="M1261" s="71">
        <f>IF(L1261&lt;1,1,L1261)</f>
        <v>26.225829203477392</v>
      </c>
      <c r="N1261" s="70" t="s">
        <v>141</v>
      </c>
      <c r="O1261" s="71">
        <f>INDEX(DurClassMapping,MATCH(M1261,MappingTables!$D$4:$D$8,-1),1)</f>
        <v>5</v>
      </c>
      <c r="P1261" s="73">
        <f>IF(M1261=$A$1,1,$M1261-INDEX(MappingTables!$E$4:$E$8,MATCH(O1261,MappingTables!$B$4:$B$8,0)))</f>
        <v>6.225829203477392</v>
      </c>
      <c r="Q1261" s="71">
        <f>IF(B1261="",0,INDEX(ModelParameters!$D$6:$K$10,MATCH($O1261,ModelParameters!$B$6:$B$10,0),MATCH($J1261,ModelParameters!$D$5:$K$5,0)))</f>
        <v>0.005</v>
      </c>
      <c r="R1261" s="71">
        <f>IF(B1261="",0,INDEX(ModelParameters!$D$13:$K$17,MATCH($O1261,ModelParameters!$B$13:$B$17,0),MATCH($J1261,ModelParameters!$D$5:$K$5,0)))</f>
        <v>0.135</v>
      </c>
      <c r="S1261" s="160">
        <f>IF(B1261="",0,MIN(IF($N1261="Other Bond TM",ModelParameters!$N$21,1)*(P1261*Q1261+R1261),1))</f>
        <v>0.16612914601738698</v>
      </c>
      <c r="T1261" s="85">
        <f>IF(B1261="",0,$S1261*$K1261)</f>
        <v>10683.01955783116</v>
      </c>
      <c r="U1261" s="85">
        <f>IF(B1261="",0,IF(OR(H1261=MappingTables!$C$34,H1261=MappingTables!$C$35),T1261,0))</f>
        <v>0</v>
      </c>
      <c r="V1261" s="85">
        <f>IF(ISNA(IF(AND(VLOOKUP(CONCATENATE($D1261,$G1261),CSRFinput!$B:$E,4,0)=0,OR(H1261=MappingTables!$C$34,H1261=MappingTables!$C$35)),1,VLOOKUP(CONCATENATE($D1261,$G1261),CSRFinput!$B:$E,4,0))),0,IF(AND(VLOOKUP(CONCATENATE($D1261,$G1261),CSRFinput!$B:$E,4,0)=0,OR(H1261=MappingTables!$C$34,H1261=MappingTables!$C$35)),1,VLOOKUP(CONCATENATE($D1261,$G1261),CSRFinput!$B:$E,4,0)))</f>
        <v>0.054776304963434752</v>
      </c>
      <c r="W1261" s="85">
        <f>IF(B1261="",0,+$T1261*$V1261)</f>
        <v>585.17633723009752</v>
      </c>
      <c r="X1261" s="85">
        <f>IF(B1261="",0,IF(OR(H1261=MappingTables!$C$34,H1261=MappingTables!$C$35),W1261,0))</f>
        <v>0</v>
      </c>
    </row>
    <row r="1262" spans="2:24" s="0" customFormat="0" ht="15">
      <c r="B1262" s="69">
        <v>16583502</v>
      </c>
      <c r="C1262" s="70" t="s">
        <v>1528</v>
      </c>
      <c r="D1262" s="70" t="s">
        <v>1</v>
      </c>
      <c r="E1262" s="70" t="s">
        <v>1</v>
      </c>
      <c r="F1262" s="70"/>
      <c r="G1262" s="70" t="s">
        <v>61</v>
      </c>
      <c r="H1262" s="70" t="s">
        <v>178</v>
      </c>
      <c r="I1262" s="70" t="s">
        <v>184</v>
      </c>
      <c r="J1262" s="71">
        <f>IF(OR(I1262=0,I1262=""),"unrated",VLOOKUP(I1262,MappingTables!$B$19:$C$31,2,FALSE))</f>
        <v>5</v>
      </c>
      <c r="K1262" s="72">
        <v>1577.903280477903</v>
      </c>
      <c r="L1262" s="70">
        <v>0.41643807994572376</v>
      </c>
      <c r="M1262" s="71">
        <f>IF(L1262&lt;1,1,L1262)</f>
        <v>1</v>
      </c>
      <c r="N1262" s="70" t="s">
        <v>141</v>
      </c>
      <c r="O1262" s="71">
        <f>INDEX(DurClassMapping,MATCH(M1262,MappingTables!$D$4:$D$8,-1),1)</f>
        <v>1</v>
      </c>
      <c r="P1262" s="73">
        <f>IF(M1262=$A$1,1,$M1262-INDEX(MappingTables!$E$4:$E$8,MATCH(O1262,MappingTables!$B$4:$B$8,0)))</f>
        <v>1</v>
      </c>
      <c r="Q1262" s="71">
        <f>IF(B1262="",0,INDEX(ModelParameters!$D$6:$K$10,MATCH($O1262,ModelParameters!$B$6:$B$10,0),MATCH($J1262,ModelParameters!$D$5:$K$5,0)))</f>
        <v>0.075</v>
      </c>
      <c r="R1262" s="71">
        <f>IF(B1262="",0,INDEX(ModelParameters!$D$13:$K$17,MATCH($O1262,ModelParameters!$B$13:$B$17,0),MATCH($J1262,ModelParameters!$D$5:$K$5,0)))</f>
        <v>0</v>
      </c>
      <c r="S1262" s="160">
        <f>IF(B1262="",0,MIN(IF($N1262="Other Bond TM",ModelParameters!$N$21,1)*(P1262*Q1262+R1262),1))</f>
        <v>0.075</v>
      </c>
      <c r="T1262" s="85">
        <f>IF(B1262="",0,$S1262*$K1262)</f>
        <v>118.34274603584272</v>
      </c>
      <c r="U1262" s="85">
        <f>IF(B1262="",0,IF(OR(H1262=MappingTables!$C$34,H1262=MappingTables!$C$35),T1262,0))</f>
        <v>0</v>
      </c>
      <c r="V1262" s="85">
        <f>IF(ISNA(IF(AND(VLOOKUP(CONCATENATE($D1262,$G1262),CSRFinput!$B:$E,4,0)=0,OR(H1262=MappingTables!$C$34,H1262=MappingTables!$C$35)),1,VLOOKUP(CONCATENATE($D1262,$G1262),CSRFinput!$B:$E,4,0))),0,IF(AND(VLOOKUP(CONCATENATE($D1262,$G1262),CSRFinput!$B:$E,4,0)=0,OR(H1262=MappingTables!$C$34,H1262=MappingTables!$C$35)),1,VLOOKUP(CONCATENATE($D1262,$G1262),CSRFinput!$B:$E,4,0)))</f>
        <v>0.054776304963434752</v>
      </c>
      <c r="W1262" s="85">
        <f>IF(B1262="",0,+$T1262*$V1262)</f>
        <v>6.4823783470696304</v>
      </c>
      <c r="X1262" s="85">
        <f>IF(B1262="",0,IF(OR(H1262=MappingTables!$C$34,H1262=MappingTables!$C$35),W1262,0))</f>
        <v>0</v>
      </c>
    </row>
    <row r="1263" spans="2:24" s="0" customFormat="0" ht="15">
      <c r="B1263" s="69">
        <v>4553018</v>
      </c>
      <c r="C1263" s="70" t="s">
        <v>1529</v>
      </c>
      <c r="D1263" s="70" t="s">
        <v>1</v>
      </c>
      <c r="E1263" s="70" t="s">
        <v>1</v>
      </c>
      <c r="F1263" s="70"/>
      <c r="G1263" s="70" t="s">
        <v>61</v>
      </c>
      <c r="H1263" s="70" t="s">
        <v>178</v>
      </c>
      <c r="I1263" s="70" t="s">
        <v>204</v>
      </c>
      <c r="J1263" s="71">
        <f>IF(OR(I1263=0,I1263=""),"unrated",VLOOKUP(I1263,MappingTables!$B$19:$C$31,2,FALSE))</f>
        <v>6</v>
      </c>
      <c r="K1263" s="72">
        <v>2102.3664229263104</v>
      </c>
      <c r="L1263" s="70">
        <v>1.2503927499239776</v>
      </c>
      <c r="M1263" s="71">
        <f>IF(L1263&lt;1,1,L1263)</f>
        <v>1.2503927499239776</v>
      </c>
      <c r="N1263" s="70" t="s">
        <v>141</v>
      </c>
      <c r="O1263" s="71">
        <f>INDEX(DurClassMapping,MATCH(M1263,MappingTables!$D$4:$D$8,-1),1)</f>
        <v>1</v>
      </c>
      <c r="P1263" s="73">
        <f>IF(M1263=$A$1,1,$M1263-INDEX(MappingTables!$E$4:$E$8,MATCH(O1263,MappingTables!$B$4:$B$8,0)))</f>
        <v>1.2503927499239776</v>
      </c>
      <c r="Q1263" s="71">
        <f>IF(B1263="",0,INDEX(ModelParameters!$D$6:$K$10,MATCH($O1263,ModelParameters!$B$6:$B$10,0),MATCH($J1263,ModelParameters!$D$5:$K$5,0)))</f>
        <v>0.075</v>
      </c>
      <c r="R1263" s="71">
        <f>IF(B1263="",0,INDEX(ModelParameters!$D$13:$K$17,MATCH($O1263,ModelParameters!$B$13:$B$17,0),MATCH($J1263,ModelParameters!$D$5:$K$5,0)))</f>
        <v>0</v>
      </c>
      <c r="S1263" s="160">
        <f>IF(B1263="",0,MIN(IF($N1263="Other Bond TM",ModelParameters!$N$21,1)*(P1263*Q1263+R1263),1))</f>
        <v>0.09377945624429832</v>
      </c>
      <c r="T1263" s="85">
        <f>IF(B1263="",0,$S1263*$K1263)</f>
        <v>197.15877996829988</v>
      </c>
      <c r="U1263" s="85">
        <f>IF(B1263="",0,IF(OR(H1263=MappingTables!$C$34,H1263=MappingTables!$C$35),T1263,0))</f>
        <v>0</v>
      </c>
      <c r="V1263" s="85">
        <f>IF(ISNA(IF(AND(VLOOKUP(CONCATENATE($D1263,$G1263),CSRFinput!$B:$E,4,0)=0,OR(H1263=MappingTables!$C$34,H1263=MappingTables!$C$35)),1,VLOOKUP(CONCATENATE($D1263,$G1263),CSRFinput!$B:$E,4,0))),0,IF(AND(VLOOKUP(CONCATENATE($D1263,$G1263),CSRFinput!$B:$E,4,0)=0,OR(H1263=MappingTables!$C$34,H1263=MappingTables!$C$35)),1,VLOOKUP(CONCATENATE($D1263,$G1263),CSRFinput!$B:$E,4,0)))</f>
        <v>0.054776304963434752</v>
      </c>
      <c r="W1263" s="85">
        <f>IF(B1263="",0,+$T1263*$V1263)</f>
        <v>10.799629457762326</v>
      </c>
      <c r="X1263" s="85">
        <f>IF(B1263="",0,IF(OR(H1263=MappingTables!$C$34,H1263=MappingTables!$C$35),W1263,0))</f>
        <v>0</v>
      </c>
    </row>
    <row r="1264" spans="2:24" s="0" customFormat="0" ht="15">
      <c r="B1264" s="69">
        <v>20993774</v>
      </c>
      <c r="C1264" s="70" t="s">
        <v>1530</v>
      </c>
      <c r="D1264" s="70" t="s">
        <v>1</v>
      </c>
      <c r="E1264" s="70" t="s">
        <v>1</v>
      </c>
      <c r="F1264" s="70"/>
      <c r="G1264" s="70" t="s">
        <v>61</v>
      </c>
      <c r="H1264" s="70" t="s">
        <v>178</v>
      </c>
      <c r="I1264" s="70" t="s">
        <v>181</v>
      </c>
      <c r="J1264" s="71">
        <f>IF(OR(I1264=0,I1264=""),"unrated",VLOOKUP(I1264,MappingTables!$B$19:$C$31,2,FALSE))</f>
        <v>3</v>
      </c>
      <c r="K1264" s="72">
        <v>5101.4304001793896</v>
      </c>
      <c r="L1264" s="70">
        <v>17.263933656061302</v>
      </c>
      <c r="M1264" s="71">
        <f>IF(L1264&lt;1,1,L1264)</f>
        <v>17.263933656061302</v>
      </c>
      <c r="N1264" s="70" t="s">
        <v>141</v>
      </c>
      <c r="O1264" s="71">
        <f>INDEX(DurClassMapping,MATCH(M1264,MappingTables!$D$4:$D$8,-1),1)</f>
        <v>4</v>
      </c>
      <c r="P1264" s="73">
        <f>IF(M1264=$A$1,1,$M1264-INDEX(MappingTables!$E$4:$E$8,MATCH(O1264,MappingTables!$B$4:$B$8,0)))</f>
        <v>2.2639336560613012</v>
      </c>
      <c r="Q1264" s="71">
        <f>IF(B1264="",0,INDEX(ModelParameters!$D$6:$K$10,MATCH($O1264,ModelParameters!$B$6:$B$10,0),MATCH($J1264,ModelParameters!$D$5:$K$5,0)))</f>
        <v>0.01</v>
      </c>
      <c r="R1264" s="71">
        <f>IF(B1264="",0,INDEX(ModelParameters!$D$13:$K$17,MATCH($O1264,ModelParameters!$B$13:$B$17,0),MATCH($J1264,ModelParameters!$D$5:$K$5,0)))</f>
        <v>0.25</v>
      </c>
      <c r="S1264" s="160">
        <f>IF(B1264="",0,MIN(IF($N1264="Other Bond TM",ModelParameters!$N$21,1)*(P1264*Q1264+R1264),1))</f>
        <v>0.272639336560613</v>
      </c>
      <c r="T1264" s="85">
        <f>IF(B1264="",0,$S1264*$K1264)</f>
        <v>1390.8505998150512</v>
      </c>
      <c r="U1264" s="85">
        <f>IF(B1264="",0,IF(OR(H1264=MappingTables!$C$34,H1264=MappingTables!$C$35),T1264,0))</f>
        <v>0</v>
      </c>
      <c r="V1264" s="85">
        <f>IF(ISNA(IF(AND(VLOOKUP(CONCATENATE($D1264,$G1264),CSRFinput!$B:$E,4,0)=0,OR(H1264=MappingTables!$C$34,H1264=MappingTables!$C$35)),1,VLOOKUP(CONCATENATE($D1264,$G1264),CSRFinput!$B:$E,4,0))),0,IF(AND(VLOOKUP(CONCATENATE($D1264,$G1264),CSRFinput!$B:$E,4,0)=0,OR(H1264=MappingTables!$C$34,H1264=MappingTables!$C$35)),1,VLOOKUP(CONCATENATE($D1264,$G1264),CSRFinput!$B:$E,4,0)))</f>
        <v>0.054776304963434752</v>
      </c>
      <c r="W1264" s="85">
        <f>IF(B1264="",0,+$T1264*$V1264)</f>
        <v>76.185656614045392</v>
      </c>
      <c r="X1264" s="85">
        <f>IF(B1264="",0,IF(OR(H1264=MappingTables!$C$34,H1264=MappingTables!$C$35),W1264,0))</f>
        <v>0</v>
      </c>
    </row>
    <row r="1265" spans="2:24" s="0" customFormat="0" ht="15">
      <c r="B1265" s="69" t="s">
        <v>1099</v>
      </c>
      <c r="C1265" s="70" t="s">
        <v>1100</v>
      </c>
      <c r="D1265" s="70" t="s">
        <v>1</v>
      </c>
      <c r="E1265" s="70" t="s">
        <v>1</v>
      </c>
      <c r="F1265" s="70"/>
      <c r="G1265" s="70" t="s">
        <v>61</v>
      </c>
      <c r="H1265" s="70" t="s">
        <v>178</v>
      </c>
      <c r="I1265" s="70" t="s">
        <v>188</v>
      </c>
      <c r="J1265" s="71">
        <f>IF(OR(I1265=0,I1265=""),"unrated",VLOOKUP(I1265,MappingTables!$B$19:$C$31,2,FALSE))</f>
        <v>2</v>
      </c>
      <c r="K1265" s="72">
        <v>0.11320509152648948</v>
      </c>
      <c r="L1265" s="70">
        <v>1.2041865235176806</v>
      </c>
      <c r="M1265" s="71">
        <f>IF(L1265&lt;1,1,L1265)</f>
        <v>1.2041865235176806</v>
      </c>
      <c r="N1265" s="70" t="s">
        <v>141</v>
      </c>
      <c r="O1265" s="71">
        <f>INDEX(DurClassMapping,MATCH(M1265,MappingTables!$D$4:$D$8,-1),1)</f>
        <v>1</v>
      </c>
      <c r="P1265" s="73">
        <f>IF(M1265=$A$1,1,$M1265-INDEX(MappingTables!$E$4:$E$8,MATCH(O1265,MappingTables!$B$4:$B$8,0)))</f>
        <v>1.2041865235176806</v>
      </c>
      <c r="Q1265" s="71">
        <f>IF(B1265="",0,INDEX(ModelParameters!$D$6:$K$10,MATCH($O1265,ModelParameters!$B$6:$B$10,0),MATCH($J1265,ModelParameters!$D$5:$K$5,0)))</f>
        <v>0.013999999999999998</v>
      </c>
      <c r="R1265" s="71">
        <f>IF(B1265="",0,INDEX(ModelParameters!$D$13:$K$17,MATCH($O1265,ModelParameters!$B$13:$B$17,0),MATCH($J1265,ModelParameters!$D$5:$K$5,0)))</f>
        <v>0</v>
      </c>
      <c r="S1265" s="160">
        <f>IF(B1265="",0,MIN(IF($N1265="Other Bond TM",ModelParameters!$N$21,1)*(P1265*Q1265+R1265),1))</f>
        <v>0.016858611329247524</v>
      </c>
      <c r="T1265" s="85">
        <f>IF(B1265="",0,$S1265*$K1265)</f>
        <v>0.0019084806385369784</v>
      </c>
      <c r="U1265" s="85">
        <f>IF(B1265="",0,IF(OR(H1265=MappingTables!$C$34,H1265=MappingTables!$C$35),T1265,0))</f>
        <v>0</v>
      </c>
      <c r="V1265" s="85">
        <f>IF(ISNA(IF(AND(VLOOKUP(CONCATENATE($D1265,$G1265),CSRFinput!$B:$E,4,0)=0,OR(H1265=MappingTables!$C$34,H1265=MappingTables!$C$35)),1,VLOOKUP(CONCATENATE($D1265,$G1265),CSRFinput!$B:$E,4,0))),0,IF(AND(VLOOKUP(CONCATENATE($D1265,$G1265),CSRFinput!$B:$E,4,0)=0,OR(H1265=MappingTables!$C$34,H1265=MappingTables!$C$35)),1,VLOOKUP(CONCATENATE($D1265,$G1265),CSRFinput!$B:$E,4,0)))</f>
        <v>0.054776304963434752</v>
      </c>
      <c r="W1265" s="85">
        <f>IF(B1265="",0,+$T1265*$V1265)</f>
        <v>0.00010453951747331222</v>
      </c>
      <c r="X1265" s="85">
        <f>IF(B1265="",0,IF(OR(H1265=MappingTables!$C$34,H1265=MappingTables!$C$35),W1265,0))</f>
        <v>0</v>
      </c>
    </row>
    <row r="1266" spans="2:24" s="0" customFormat="0" ht="15">
      <c r="B1266" s="69" t="s">
        <v>1531</v>
      </c>
      <c r="C1266" s="70" t="s">
        <v>1532</v>
      </c>
      <c r="D1266" s="70" t="s">
        <v>1</v>
      </c>
      <c r="E1266" s="70" t="s">
        <v>1</v>
      </c>
      <c r="F1266" s="70"/>
      <c r="G1266" s="70" t="s">
        <v>61</v>
      </c>
      <c r="H1266" s="70" t="s">
        <v>178</v>
      </c>
      <c r="I1266" s="70" t="s">
        <v>188</v>
      </c>
      <c r="J1266" s="71">
        <f>IF(OR(I1266=0,I1266=""),"unrated",VLOOKUP(I1266,MappingTables!$B$19:$C$31,2,FALSE))</f>
        <v>2</v>
      </c>
      <c r="K1266" s="72">
        <v>55.33683540282308</v>
      </c>
      <c r="L1266" s="70">
        <v>6.0913496784614016</v>
      </c>
      <c r="M1266" s="71">
        <f>IF(L1266&lt;1,1,L1266)</f>
        <v>6.0913496784614016</v>
      </c>
      <c r="N1266" s="70" t="s">
        <v>141</v>
      </c>
      <c r="O1266" s="71">
        <f>INDEX(DurClassMapping,MATCH(M1266,MappingTables!$D$4:$D$8,-1),1)</f>
        <v>2</v>
      </c>
      <c r="P1266" s="73">
        <f>IF(M1266=$A$1,1,$M1266-INDEX(MappingTables!$E$4:$E$8,MATCH(O1266,MappingTables!$B$4:$B$8,0)))</f>
        <v>1.0913496784614018</v>
      </c>
      <c r="Q1266" s="71">
        <f>IF(B1266="",0,INDEX(ModelParameters!$D$6:$K$10,MATCH($O1266,ModelParameters!$B$6:$B$10,0),MATCH($J1266,ModelParameters!$D$5:$K$5,0)))</f>
        <v>0.0069999999999999992</v>
      </c>
      <c r="R1266" s="71">
        <f>IF(B1266="",0,INDEX(ModelParameters!$D$13:$K$17,MATCH($O1266,ModelParameters!$B$13:$B$17,0),MATCH($J1266,ModelParameters!$D$5:$K$5,0)))</f>
        <v>0.070000000000000008</v>
      </c>
      <c r="S1266" s="160">
        <f>IF(B1266="",0,MIN(IF($N1266="Other Bond TM",ModelParameters!$N$21,1)*(P1266*Q1266+R1266),1))</f>
        <v>0.077639447749229824</v>
      </c>
      <c r="T1266" s="85">
        <f>IF(B1266="",0,$S1266*$K1266)</f>
        <v>4.2963213408652136</v>
      </c>
      <c r="U1266" s="85">
        <f>IF(B1266="",0,IF(OR(H1266=MappingTables!$C$34,H1266=MappingTables!$C$35),T1266,0))</f>
        <v>0</v>
      </c>
      <c r="V1266" s="85">
        <f>IF(ISNA(IF(AND(VLOOKUP(CONCATENATE($D1266,$G1266),CSRFinput!$B:$E,4,0)=0,OR(H1266=MappingTables!$C$34,H1266=MappingTables!$C$35)),1,VLOOKUP(CONCATENATE($D1266,$G1266),CSRFinput!$B:$E,4,0))),0,IF(AND(VLOOKUP(CONCATENATE($D1266,$G1266),CSRFinput!$B:$E,4,0)=0,OR(H1266=MappingTables!$C$34,H1266=MappingTables!$C$35)),1,VLOOKUP(CONCATENATE($D1266,$G1266),CSRFinput!$B:$E,4,0)))</f>
        <v>0.054776304963434752</v>
      </c>
      <c r="W1266" s="85">
        <f>IF(B1266="",0,+$T1266*$V1266)</f>
        <v>0.23533660798814584</v>
      </c>
      <c r="X1266" s="85">
        <f>IF(B1266="",0,IF(OR(H1266=MappingTables!$C$34,H1266=MappingTables!$C$35),W1266,0))</f>
        <v>0</v>
      </c>
    </row>
    <row r="1267" spans="2:24" s="0" customFormat="0" ht="15">
      <c r="B1267" s="69" t="s">
        <v>1533</v>
      </c>
      <c r="C1267" s="70" t="s">
        <v>1534</v>
      </c>
      <c r="D1267" s="70" t="s">
        <v>1</v>
      </c>
      <c r="E1267" s="70" t="s">
        <v>1</v>
      </c>
      <c r="F1267" s="70"/>
      <c r="G1267" s="70" t="s">
        <v>61</v>
      </c>
      <c r="H1267" s="70" t="s">
        <v>178</v>
      </c>
      <c r="I1267" s="70" t="s">
        <v>184</v>
      </c>
      <c r="J1267" s="71">
        <f>IF(OR(I1267=0,I1267=""),"unrated",VLOOKUP(I1267,MappingTables!$B$19:$C$31,2,FALSE))</f>
        <v>5</v>
      </c>
      <c r="K1267" s="72">
        <v>234.09140506828364</v>
      </c>
      <c r="L1267" s="70">
        <v>6.1176586178715416</v>
      </c>
      <c r="M1267" s="71">
        <f>IF(L1267&lt;1,1,L1267)</f>
        <v>6.1176586178715416</v>
      </c>
      <c r="N1267" s="70" t="s">
        <v>141</v>
      </c>
      <c r="O1267" s="71">
        <f>INDEX(DurClassMapping,MATCH(M1267,MappingTables!$D$4:$D$8,-1),1)</f>
        <v>2</v>
      </c>
      <c r="P1267" s="73">
        <f>IF(M1267=$A$1,1,$M1267-INDEX(MappingTables!$E$4:$E$8,MATCH(O1267,MappingTables!$B$4:$B$8,0)))</f>
        <v>1.117658617871542</v>
      </c>
      <c r="Q1267" s="71">
        <f>IF(B1267="",0,INDEX(ModelParameters!$D$6:$K$10,MATCH($O1267,ModelParameters!$B$6:$B$10,0),MATCH($J1267,ModelParameters!$D$5:$K$5,0)))</f>
        <v>0.042</v>
      </c>
      <c r="R1267" s="71">
        <f>IF(B1267="",0,INDEX(ModelParameters!$D$13:$K$17,MATCH($O1267,ModelParameters!$B$13:$B$17,0),MATCH($J1267,ModelParameters!$D$5:$K$5,0)))</f>
        <v>0.375</v>
      </c>
      <c r="S1267" s="160">
        <f>IF(B1267="",0,MIN(IF($N1267="Other Bond TM",ModelParameters!$N$21,1)*(P1267*Q1267+R1267),1))</f>
        <v>0.4219416619506048</v>
      </c>
      <c r="T1267" s="85">
        <f>IF(B1267="",0,$S1267*$K1267)</f>
        <v>98.77291650286384</v>
      </c>
      <c r="U1267" s="85">
        <f>IF(B1267="",0,IF(OR(H1267=MappingTables!$C$34,H1267=MappingTables!$C$35),T1267,0))</f>
        <v>0</v>
      </c>
      <c r="V1267" s="85">
        <f>IF(ISNA(IF(AND(VLOOKUP(CONCATENATE($D1267,$G1267),CSRFinput!$B:$E,4,0)=0,OR(H1267=MappingTables!$C$34,H1267=MappingTables!$C$35)),1,VLOOKUP(CONCATENATE($D1267,$G1267),CSRFinput!$B:$E,4,0))),0,IF(AND(VLOOKUP(CONCATENATE($D1267,$G1267),CSRFinput!$B:$E,4,0)=0,OR(H1267=MappingTables!$C$34,H1267=MappingTables!$C$35)),1,VLOOKUP(CONCATENATE($D1267,$G1267),CSRFinput!$B:$E,4,0)))</f>
        <v>0.054776304963434752</v>
      </c>
      <c r="W1267" s="85">
        <f>IF(B1267="",0,+$T1267*$V1267)</f>
        <v>5.4104153964887472</v>
      </c>
      <c r="X1267" s="85">
        <f>IF(B1267="",0,IF(OR(H1267=MappingTables!$C$34,H1267=MappingTables!$C$35),W1267,0))</f>
        <v>0</v>
      </c>
    </row>
    <row r="1268" spans="2:24" s="0" customFormat="0" ht="15">
      <c r="B1268" s="69">
        <v>15473454</v>
      </c>
      <c r="C1268" s="70" t="s">
        <v>1535</v>
      </c>
      <c r="D1268" s="70" t="s">
        <v>1</v>
      </c>
      <c r="E1268" s="70" t="s">
        <v>1</v>
      </c>
      <c r="F1268" s="70"/>
      <c r="G1268" s="70" t="s">
        <v>61</v>
      </c>
      <c r="H1268" s="70" t="s">
        <v>178</v>
      </c>
      <c r="I1268" s="70" t="s">
        <v>181</v>
      </c>
      <c r="J1268" s="71">
        <f>IF(OR(I1268=0,I1268=""),"unrated",VLOOKUP(I1268,MappingTables!$B$19:$C$31,2,FALSE))</f>
        <v>3</v>
      </c>
      <c r="K1268" s="72">
        <v>6.3662647035133976</v>
      </c>
      <c r="L1268" s="70">
        <v>1.9207610104386116</v>
      </c>
      <c r="M1268" s="71">
        <f>IF(L1268&lt;1,1,L1268)</f>
        <v>1.9207610104386116</v>
      </c>
      <c r="N1268" s="70" t="s">
        <v>141</v>
      </c>
      <c r="O1268" s="71">
        <f>INDEX(DurClassMapping,MATCH(M1268,MappingTables!$D$4:$D$8,-1),1)</f>
        <v>1</v>
      </c>
      <c r="P1268" s="73">
        <f>IF(M1268=$A$1,1,$M1268-INDEX(MappingTables!$E$4:$E$8,MATCH(O1268,MappingTables!$B$4:$B$8,0)))</f>
        <v>1.9207610104386116</v>
      </c>
      <c r="Q1268" s="71">
        <f>IF(B1268="",0,INDEX(ModelParameters!$D$6:$K$10,MATCH($O1268,ModelParameters!$B$6:$B$10,0),MATCH($J1268,ModelParameters!$D$5:$K$5,0)))</f>
        <v>0.025</v>
      </c>
      <c r="R1268" s="71">
        <f>IF(B1268="",0,INDEX(ModelParameters!$D$13:$K$17,MATCH($O1268,ModelParameters!$B$13:$B$17,0),MATCH($J1268,ModelParameters!$D$5:$K$5,0)))</f>
        <v>0</v>
      </c>
      <c r="S1268" s="160">
        <f>IF(B1268="",0,MIN(IF($N1268="Other Bond TM",ModelParameters!$N$21,1)*(P1268*Q1268+R1268),1))</f>
        <v>0.048019025260965296</v>
      </c>
      <c r="T1268" s="85">
        <f>IF(B1268="",0,$S1268*$K1268)</f>
        <v>0.30570182561600164</v>
      </c>
      <c r="U1268" s="85">
        <f>IF(B1268="",0,IF(OR(H1268=MappingTables!$C$34,H1268=MappingTables!$C$35),T1268,0))</f>
        <v>0</v>
      </c>
      <c r="V1268" s="85">
        <f>IF(ISNA(IF(AND(VLOOKUP(CONCATENATE($D1268,$G1268),CSRFinput!$B:$E,4,0)=0,OR(H1268=MappingTables!$C$34,H1268=MappingTables!$C$35)),1,VLOOKUP(CONCATENATE($D1268,$G1268),CSRFinput!$B:$E,4,0))),0,IF(AND(VLOOKUP(CONCATENATE($D1268,$G1268),CSRFinput!$B:$E,4,0)=0,OR(H1268=MappingTables!$C$34,H1268=MappingTables!$C$35)),1,VLOOKUP(CONCATENATE($D1268,$G1268),CSRFinput!$B:$E,4,0)))</f>
        <v>0.054776304963434752</v>
      </c>
      <c r="W1268" s="85">
        <f>IF(B1268="",0,+$T1268*$V1268)</f>
        <v>0.016745216427820856</v>
      </c>
      <c r="X1268" s="85">
        <f>IF(B1268="",0,IF(OR(H1268=MappingTables!$C$34,H1268=MappingTables!$C$35),W1268,0))</f>
        <v>0</v>
      </c>
    </row>
    <row r="1269" spans="2:24" s="0" customFormat="0" ht="15">
      <c r="B1269" s="69">
        <v>22827673</v>
      </c>
      <c r="C1269" s="70" t="s">
        <v>1536</v>
      </c>
      <c r="D1269" s="70" t="s">
        <v>1</v>
      </c>
      <c r="E1269" s="70" t="s">
        <v>1</v>
      </c>
      <c r="F1269" s="70"/>
      <c r="G1269" s="70" t="s">
        <v>61</v>
      </c>
      <c r="H1269" s="70" t="s">
        <v>178</v>
      </c>
      <c r="I1269" s="70" t="s">
        <v>179</v>
      </c>
      <c r="J1269" s="71">
        <f>IF(OR(I1269=0,I1269=""),"unrated",VLOOKUP(I1269,MappingTables!$B$19:$C$31,2,FALSE))</f>
        <v>4</v>
      </c>
      <c r="K1269" s="72">
        <v>9552.368598839352</v>
      </c>
      <c r="L1269" s="70">
        <v>7.8750597367091776</v>
      </c>
      <c r="M1269" s="71">
        <f>IF(L1269&lt;1,1,L1269)</f>
        <v>7.8750597367091776</v>
      </c>
      <c r="N1269" s="70" t="s">
        <v>141</v>
      </c>
      <c r="O1269" s="71">
        <f>INDEX(DurClassMapping,MATCH(M1269,MappingTables!$D$4:$D$8,-1),1)</f>
        <v>2</v>
      </c>
      <c r="P1269" s="73">
        <f>IF(M1269=$A$1,1,$M1269-INDEX(MappingTables!$E$4:$E$8,MATCH(O1269,MappingTables!$B$4:$B$8,0)))</f>
        <v>2.8750597367091784</v>
      </c>
      <c r="Q1269" s="71">
        <f>IF(B1269="",0,INDEX(ModelParameters!$D$6:$K$10,MATCH($O1269,ModelParameters!$B$6:$B$10,0),MATCH($J1269,ModelParameters!$D$5:$K$5,0)))</f>
        <v>0.025</v>
      </c>
      <c r="R1269" s="71">
        <f>IF(B1269="",0,INDEX(ModelParameters!$D$13:$K$17,MATCH($O1269,ModelParameters!$B$13:$B$17,0),MATCH($J1269,ModelParameters!$D$5:$K$5,0)))</f>
        <v>0.225</v>
      </c>
      <c r="S1269" s="160">
        <f>IF(B1269="",0,MIN(IF($N1269="Other Bond TM",ModelParameters!$N$21,1)*(P1269*Q1269+R1269),1))</f>
        <v>0.29687649341772948</v>
      </c>
      <c r="T1269" s="85">
        <f>IF(B1269="",0,$S1269*$K1269)</f>
        <v>2835.8736934570564</v>
      </c>
      <c r="U1269" s="85">
        <f>IF(B1269="",0,IF(OR(H1269=MappingTables!$C$34,H1269=MappingTables!$C$35),T1269,0))</f>
        <v>0</v>
      </c>
      <c r="V1269" s="85">
        <f>IF(ISNA(IF(AND(VLOOKUP(CONCATENATE($D1269,$G1269),CSRFinput!$B:$E,4,0)=0,OR(H1269=MappingTables!$C$34,H1269=MappingTables!$C$35)),1,VLOOKUP(CONCATENATE($D1269,$G1269),CSRFinput!$B:$E,4,0))),0,IF(AND(VLOOKUP(CONCATENATE($D1269,$G1269),CSRFinput!$B:$E,4,0)=0,OR(H1269=MappingTables!$C$34,H1269=MappingTables!$C$35)),1,VLOOKUP(CONCATENATE($D1269,$G1269),CSRFinput!$B:$E,4,0)))</f>
        <v>0.054776304963434752</v>
      </c>
      <c r="W1269" s="85">
        <f>IF(B1269="",0,+$T1269*$V1269)</f>
        <v>155.33868227058582</v>
      </c>
      <c r="X1269" s="85">
        <f>IF(B1269="",0,IF(OR(H1269=MappingTables!$C$34,H1269=MappingTables!$C$35),W1269,0))</f>
        <v>0</v>
      </c>
    </row>
    <row r="1270" spans="2:24" s="0" customFormat="0" ht="15">
      <c r="B1270" s="69" t="s">
        <v>1537</v>
      </c>
      <c r="C1270" s="70" t="s">
        <v>1538</v>
      </c>
      <c r="D1270" s="70" t="s">
        <v>1</v>
      </c>
      <c r="E1270" s="70" t="s">
        <v>1</v>
      </c>
      <c r="F1270" s="70"/>
      <c r="G1270" s="70" t="s">
        <v>61</v>
      </c>
      <c r="H1270" s="70" t="s">
        <v>178</v>
      </c>
      <c r="I1270" s="70" t="s">
        <v>181</v>
      </c>
      <c r="J1270" s="71">
        <f>IF(OR(I1270=0,I1270=""),"unrated",VLOOKUP(I1270,MappingTables!$B$19:$C$31,2,FALSE))</f>
        <v>3</v>
      </c>
      <c r="K1270" s="72">
        <v>4.684815201356232</v>
      </c>
      <c r="L1270" s="70">
        <v>0.50685133983688544</v>
      </c>
      <c r="M1270" s="71">
        <f>IF(L1270&lt;1,1,L1270)</f>
        <v>1</v>
      </c>
      <c r="N1270" s="70" t="s">
        <v>141</v>
      </c>
      <c r="O1270" s="71">
        <f>INDEX(DurClassMapping,MATCH(M1270,MappingTables!$D$4:$D$8,-1),1)</f>
        <v>1</v>
      </c>
      <c r="P1270" s="73">
        <f>IF(M1270=$A$1,1,$M1270-INDEX(MappingTables!$E$4:$E$8,MATCH(O1270,MappingTables!$B$4:$B$8,0)))</f>
        <v>1</v>
      </c>
      <c r="Q1270" s="71">
        <f>IF(B1270="",0,INDEX(ModelParameters!$D$6:$K$10,MATCH($O1270,ModelParameters!$B$6:$B$10,0),MATCH($J1270,ModelParameters!$D$5:$K$5,0)))</f>
        <v>0.025</v>
      </c>
      <c r="R1270" s="71">
        <f>IF(B1270="",0,INDEX(ModelParameters!$D$13:$K$17,MATCH($O1270,ModelParameters!$B$13:$B$17,0),MATCH($J1270,ModelParameters!$D$5:$K$5,0)))</f>
        <v>0</v>
      </c>
      <c r="S1270" s="160">
        <f>IF(B1270="",0,MIN(IF($N1270="Other Bond TM",ModelParameters!$N$21,1)*(P1270*Q1270+R1270),1))</f>
        <v>0.025</v>
      </c>
      <c r="T1270" s="85">
        <f>IF(B1270="",0,$S1270*$K1270)</f>
        <v>0.1171203800339058</v>
      </c>
      <c r="U1270" s="85">
        <f>IF(B1270="",0,IF(OR(H1270=MappingTables!$C$34,H1270=MappingTables!$C$35),T1270,0))</f>
        <v>0</v>
      </c>
      <c r="V1270" s="85">
        <f>IF(ISNA(IF(AND(VLOOKUP(CONCATENATE($D1270,$G1270),CSRFinput!$B:$E,4,0)=0,OR(H1270=MappingTables!$C$34,H1270=MappingTables!$C$35)),1,VLOOKUP(CONCATENATE($D1270,$G1270),CSRFinput!$B:$E,4,0))),0,IF(AND(VLOOKUP(CONCATENATE($D1270,$G1270),CSRFinput!$B:$E,4,0)=0,OR(H1270=MappingTables!$C$34,H1270=MappingTables!$C$35)),1,VLOOKUP(CONCATENATE($D1270,$G1270),CSRFinput!$B:$E,4,0)))</f>
        <v>0.054776304963434752</v>
      </c>
      <c r="W1270" s="85">
        <f>IF(B1270="",0,+$T1270*$V1270)</f>
        <v>0.0064154216541705984</v>
      </c>
      <c r="X1270" s="85">
        <f>IF(B1270="",0,IF(OR(H1270=MappingTables!$C$34,H1270=MappingTables!$C$35),W1270,0))</f>
        <v>0</v>
      </c>
    </row>
    <row r="1271" spans="2:24" s="0" customFormat="0" ht="15">
      <c r="B1271" s="69">
        <v>21073867</v>
      </c>
      <c r="C1271" s="70" t="s">
        <v>244</v>
      </c>
      <c r="D1271" s="70" t="s">
        <v>1</v>
      </c>
      <c r="E1271" s="70" t="s">
        <v>1</v>
      </c>
      <c r="F1271" s="70"/>
      <c r="G1271" s="70" t="s">
        <v>61</v>
      </c>
      <c r="H1271" s="70" t="s">
        <v>178</v>
      </c>
      <c r="I1271" s="70" t="s">
        <v>181</v>
      </c>
      <c r="J1271" s="71">
        <f>IF(OR(I1271=0,I1271=""),"unrated",VLOOKUP(I1271,MappingTables!$B$19:$C$31,2,FALSE))</f>
        <v>3</v>
      </c>
      <c r="K1271" s="72">
        <v>7975.5508683717696</v>
      </c>
      <c r="L1271" s="70">
        <v>1.6703779038733834</v>
      </c>
      <c r="M1271" s="71">
        <f>IF(L1271&lt;1,1,L1271)</f>
        <v>1.6703779038733834</v>
      </c>
      <c r="N1271" s="70" t="s">
        <v>141</v>
      </c>
      <c r="O1271" s="71">
        <f>INDEX(DurClassMapping,MATCH(M1271,MappingTables!$D$4:$D$8,-1),1)</f>
        <v>1</v>
      </c>
      <c r="P1271" s="73">
        <f>IF(M1271=$A$1,1,$M1271-INDEX(MappingTables!$E$4:$E$8,MATCH(O1271,MappingTables!$B$4:$B$8,0)))</f>
        <v>1.6703779038733834</v>
      </c>
      <c r="Q1271" s="71">
        <f>IF(B1271="",0,INDEX(ModelParameters!$D$6:$K$10,MATCH($O1271,ModelParameters!$B$6:$B$10,0),MATCH($J1271,ModelParameters!$D$5:$K$5,0)))</f>
        <v>0.025</v>
      </c>
      <c r="R1271" s="71">
        <f>IF(B1271="",0,INDEX(ModelParameters!$D$13:$K$17,MATCH($O1271,ModelParameters!$B$13:$B$17,0),MATCH($J1271,ModelParameters!$D$5:$K$5,0)))</f>
        <v>0</v>
      </c>
      <c r="S1271" s="160">
        <f>IF(B1271="",0,MIN(IF($N1271="Other Bond TM",ModelParameters!$N$21,1)*(P1271*Q1271+R1271),1))</f>
        <v>0.041759447596834584</v>
      </c>
      <c r="T1271" s="85">
        <f>IF(B1271="",0,$S1271*$K1271)</f>
        <v>333.05459854365948</v>
      </c>
      <c r="U1271" s="85">
        <f>IF(B1271="",0,IF(OR(H1271=MappingTables!$C$34,H1271=MappingTables!$C$35),T1271,0))</f>
        <v>0</v>
      </c>
      <c r="V1271" s="85">
        <f>IF(ISNA(IF(AND(VLOOKUP(CONCATENATE($D1271,$G1271),CSRFinput!$B:$E,4,0)=0,OR(H1271=MappingTables!$C$34,H1271=MappingTables!$C$35)),1,VLOOKUP(CONCATENATE($D1271,$G1271),CSRFinput!$B:$E,4,0))),0,IF(AND(VLOOKUP(CONCATENATE($D1271,$G1271),CSRFinput!$B:$E,4,0)=0,OR(H1271=MappingTables!$C$34,H1271=MappingTables!$C$35)),1,VLOOKUP(CONCATENATE($D1271,$G1271),CSRFinput!$B:$E,4,0)))</f>
        <v>0.054776304963434752</v>
      </c>
      <c r="W1271" s="85">
        <f>IF(B1271="",0,+$T1271*$V1271)</f>
        <v>18.243500259301824</v>
      </c>
      <c r="X1271" s="85">
        <f>IF(B1271="",0,IF(OR(H1271=MappingTables!$C$34,H1271=MappingTables!$C$35),W1271,0))</f>
        <v>0</v>
      </c>
    </row>
    <row r="1272" spans="2:24" s="0" customFormat="0" ht="15">
      <c r="B1272" s="69">
        <v>19834501</v>
      </c>
      <c r="C1272" s="70" t="s">
        <v>1539</v>
      </c>
      <c r="D1272" s="70" t="s">
        <v>1</v>
      </c>
      <c r="E1272" s="70" t="s">
        <v>1</v>
      </c>
      <c r="F1272" s="70"/>
      <c r="G1272" s="70" t="s">
        <v>61</v>
      </c>
      <c r="H1272" s="70" t="s">
        <v>178</v>
      </c>
      <c r="I1272" s="70" t="s">
        <v>181</v>
      </c>
      <c r="J1272" s="71">
        <f>IF(OR(I1272=0,I1272=""),"unrated",VLOOKUP(I1272,MappingTables!$B$19:$C$31,2,FALSE))</f>
        <v>3</v>
      </c>
      <c r="K1272" s="72">
        <v>2241.3244199017248</v>
      </c>
      <c r="L1272" s="70">
        <v>7.3768388395582928</v>
      </c>
      <c r="M1272" s="71">
        <f>IF(L1272&lt;1,1,L1272)</f>
        <v>7.3768388395582928</v>
      </c>
      <c r="N1272" s="70" t="s">
        <v>141</v>
      </c>
      <c r="O1272" s="71">
        <f>INDEX(DurClassMapping,MATCH(M1272,MappingTables!$D$4:$D$8,-1),1)</f>
        <v>2</v>
      </c>
      <c r="P1272" s="73">
        <f>IF(M1272=$A$1,1,$M1272-INDEX(MappingTables!$E$4:$E$8,MATCH(O1272,MappingTables!$B$4:$B$8,0)))</f>
        <v>2.3768388395582932</v>
      </c>
      <c r="Q1272" s="71">
        <f>IF(B1272="",0,INDEX(ModelParameters!$D$6:$K$10,MATCH($O1272,ModelParameters!$B$6:$B$10,0),MATCH($J1272,ModelParameters!$D$5:$K$5,0)))</f>
        <v>0.015</v>
      </c>
      <c r="R1272" s="71">
        <f>IF(B1272="",0,INDEX(ModelParameters!$D$13:$K$17,MATCH($O1272,ModelParameters!$B$13:$B$17,0),MATCH($J1272,ModelParameters!$D$5:$K$5,0)))</f>
        <v>0.125</v>
      </c>
      <c r="S1272" s="160">
        <f>IF(B1272="",0,MIN(IF($N1272="Other Bond TM",ModelParameters!$N$21,1)*(P1272*Q1272+R1272),1))</f>
        <v>0.1606525825933744</v>
      </c>
      <c r="T1272" s="85">
        <f>IF(B1272="",0,$S1272*$K1272)</f>
        <v>360.07455648680884</v>
      </c>
      <c r="U1272" s="85">
        <f>IF(B1272="",0,IF(OR(H1272=MappingTables!$C$34,H1272=MappingTables!$C$35),T1272,0))</f>
        <v>0</v>
      </c>
      <c r="V1272" s="85">
        <f>IF(ISNA(IF(AND(VLOOKUP(CONCATENATE($D1272,$G1272),CSRFinput!$B:$E,4,0)=0,OR(H1272=MappingTables!$C$34,H1272=MappingTables!$C$35)),1,VLOOKUP(CONCATENATE($D1272,$G1272),CSRFinput!$B:$E,4,0))),0,IF(AND(VLOOKUP(CONCATENATE($D1272,$G1272),CSRFinput!$B:$E,4,0)=0,OR(H1272=MappingTables!$C$34,H1272=MappingTables!$C$35)),1,VLOOKUP(CONCATENATE($D1272,$G1272),CSRFinput!$B:$E,4,0)))</f>
        <v>0.054776304963434752</v>
      </c>
      <c r="W1272" s="85">
        <f>IF(B1272="",0,+$T1272*$V1272)</f>
        <v>19.723553715694956</v>
      </c>
      <c r="X1272" s="85">
        <f>IF(B1272="",0,IF(OR(H1272=MappingTables!$C$34,H1272=MappingTables!$C$35),W1272,0))</f>
        <v>0</v>
      </c>
    </row>
    <row r="1273" spans="2:24" s="0" customFormat="0" ht="15">
      <c r="B1273" s="69" t="s">
        <v>1540</v>
      </c>
      <c r="C1273" s="70" t="s">
        <v>1541</v>
      </c>
      <c r="D1273" s="70" t="s">
        <v>1</v>
      </c>
      <c r="E1273" s="70" t="s">
        <v>1</v>
      </c>
      <c r="F1273" s="70"/>
      <c r="G1273" s="70" t="s">
        <v>61</v>
      </c>
      <c r="H1273" s="70" t="s">
        <v>178</v>
      </c>
      <c r="I1273" s="70" t="s">
        <v>181</v>
      </c>
      <c r="J1273" s="71">
        <f>IF(OR(I1273=0,I1273=""),"unrated",VLOOKUP(I1273,MappingTables!$B$19:$C$31,2,FALSE))</f>
        <v>3</v>
      </c>
      <c r="K1273" s="72">
        <v>700.54007897350712</v>
      </c>
      <c r="L1273" s="70">
        <v>2.4151176117457692</v>
      </c>
      <c r="M1273" s="71">
        <f>IF(L1273&lt;1,1,L1273)</f>
        <v>2.4151176117457692</v>
      </c>
      <c r="N1273" s="70" t="s">
        <v>141</v>
      </c>
      <c r="O1273" s="71">
        <f>INDEX(DurClassMapping,MATCH(M1273,MappingTables!$D$4:$D$8,-1),1)</f>
        <v>1</v>
      </c>
      <c r="P1273" s="73">
        <f>IF(M1273=$A$1,1,$M1273-INDEX(MappingTables!$E$4:$E$8,MATCH(O1273,MappingTables!$B$4:$B$8,0)))</f>
        <v>2.4151176117457692</v>
      </c>
      <c r="Q1273" s="71">
        <f>IF(B1273="",0,INDEX(ModelParameters!$D$6:$K$10,MATCH($O1273,ModelParameters!$B$6:$B$10,0),MATCH($J1273,ModelParameters!$D$5:$K$5,0)))</f>
        <v>0.025</v>
      </c>
      <c r="R1273" s="71">
        <f>IF(B1273="",0,INDEX(ModelParameters!$D$13:$K$17,MATCH($O1273,ModelParameters!$B$13:$B$17,0),MATCH($J1273,ModelParameters!$D$5:$K$5,0)))</f>
        <v>0</v>
      </c>
      <c r="S1273" s="160">
        <f>IF(B1273="",0,MIN(IF($N1273="Other Bond TM",ModelParameters!$N$21,1)*(P1273*Q1273+R1273),1))</f>
        <v>0.060377940293644232</v>
      </c>
      <c r="T1273" s="85">
        <f>IF(B1273="",0,$S1273*$K1273)</f>
        <v>42.297167061567232</v>
      </c>
      <c r="U1273" s="85">
        <f>IF(B1273="",0,IF(OR(H1273=MappingTables!$C$34,H1273=MappingTables!$C$35),T1273,0))</f>
        <v>0</v>
      </c>
      <c r="V1273" s="85">
        <f>IF(ISNA(IF(AND(VLOOKUP(CONCATENATE($D1273,$G1273),CSRFinput!$B:$E,4,0)=0,OR(H1273=MappingTables!$C$34,H1273=MappingTables!$C$35)),1,VLOOKUP(CONCATENATE($D1273,$G1273),CSRFinput!$B:$E,4,0))),0,IF(AND(VLOOKUP(CONCATENATE($D1273,$G1273),CSRFinput!$B:$E,4,0)=0,OR(H1273=MappingTables!$C$34,H1273=MappingTables!$C$35)),1,VLOOKUP(CONCATENATE($D1273,$G1273),CSRFinput!$B:$E,4,0)))</f>
        <v>0.054776304963434752</v>
      </c>
      <c r="W1273" s="85">
        <f>IF(B1273="",0,+$T1273*$V1273)</f>
        <v>2.316882522053754</v>
      </c>
      <c r="X1273" s="85">
        <f>IF(B1273="",0,IF(OR(H1273=MappingTables!$C$34,H1273=MappingTables!$C$35),W1273,0))</f>
        <v>0</v>
      </c>
    </row>
    <row r="1274" spans="2:24" s="0" customFormat="0" ht="15">
      <c r="B1274" s="69">
        <v>8947959</v>
      </c>
      <c r="C1274" s="70" t="s">
        <v>1542</v>
      </c>
      <c r="D1274" s="70" t="s">
        <v>1</v>
      </c>
      <c r="E1274" s="70" t="s">
        <v>1</v>
      </c>
      <c r="F1274" s="70"/>
      <c r="G1274" s="70" t="s">
        <v>61</v>
      </c>
      <c r="H1274" s="70" t="s">
        <v>178</v>
      </c>
      <c r="I1274" s="70" t="s">
        <v>181</v>
      </c>
      <c r="J1274" s="71">
        <f>IF(OR(I1274=0,I1274=""),"unrated",VLOOKUP(I1274,MappingTables!$B$19:$C$31,2,FALSE))</f>
        <v>3</v>
      </c>
      <c r="K1274" s="72">
        <v>1840.9607081174432</v>
      </c>
      <c r="L1274" s="70">
        <v>3.22645906688496</v>
      </c>
      <c r="M1274" s="71">
        <f>IF(L1274&lt;1,1,L1274)</f>
        <v>3.22645906688496</v>
      </c>
      <c r="N1274" s="70" t="s">
        <v>141</v>
      </c>
      <c r="O1274" s="71">
        <f>INDEX(DurClassMapping,MATCH(M1274,MappingTables!$D$4:$D$8,-1),1)</f>
        <v>1</v>
      </c>
      <c r="P1274" s="73">
        <f>IF(M1274=$A$1,1,$M1274-INDEX(MappingTables!$E$4:$E$8,MATCH(O1274,MappingTables!$B$4:$B$8,0)))</f>
        <v>3.22645906688496</v>
      </c>
      <c r="Q1274" s="71">
        <f>IF(B1274="",0,INDEX(ModelParameters!$D$6:$K$10,MATCH($O1274,ModelParameters!$B$6:$B$10,0),MATCH($J1274,ModelParameters!$D$5:$K$5,0)))</f>
        <v>0.025</v>
      </c>
      <c r="R1274" s="71">
        <f>IF(B1274="",0,INDEX(ModelParameters!$D$13:$K$17,MATCH($O1274,ModelParameters!$B$13:$B$17,0),MATCH($J1274,ModelParameters!$D$5:$K$5,0)))</f>
        <v>0</v>
      </c>
      <c r="S1274" s="160">
        <f>IF(B1274="",0,MIN(IF($N1274="Other Bond TM",ModelParameters!$N$21,1)*(P1274*Q1274+R1274),1))</f>
        <v>0.080661476672124</v>
      </c>
      <c r="T1274" s="85">
        <f>IF(B1274="",0,$S1274*$K1274)</f>
        <v>148.49460921211204</v>
      </c>
      <c r="U1274" s="85">
        <f>IF(B1274="",0,IF(OR(H1274=MappingTables!$C$34,H1274=MappingTables!$C$35),T1274,0))</f>
        <v>0</v>
      </c>
      <c r="V1274" s="85">
        <f>IF(ISNA(IF(AND(VLOOKUP(CONCATENATE($D1274,$G1274),CSRFinput!$B:$E,4,0)=0,OR(H1274=MappingTables!$C$34,H1274=MappingTables!$C$35)),1,VLOOKUP(CONCATENATE($D1274,$G1274),CSRFinput!$B:$E,4,0))),0,IF(AND(VLOOKUP(CONCATENATE($D1274,$G1274),CSRFinput!$B:$E,4,0)=0,OR(H1274=MappingTables!$C$34,H1274=MappingTables!$C$35)),1,VLOOKUP(CONCATENATE($D1274,$G1274),CSRFinput!$B:$E,4,0)))</f>
        <v>0.054776304963434752</v>
      </c>
      <c r="W1274" s="85">
        <f>IF(B1274="",0,+$T1274*$V1274)</f>
        <v>8.1339859996287168</v>
      </c>
      <c r="X1274" s="85">
        <f>IF(B1274="",0,IF(OR(H1274=MappingTables!$C$34,H1274=MappingTables!$C$35),W1274,0))</f>
        <v>0</v>
      </c>
    </row>
    <row r="1275" spans="2:24" s="0" customFormat="0" ht="15">
      <c r="B1275" s="69">
        <v>2294874</v>
      </c>
      <c r="C1275" s="70" t="s">
        <v>1543</v>
      </c>
      <c r="D1275" s="70" t="s">
        <v>1</v>
      </c>
      <c r="E1275" s="70" t="s">
        <v>1</v>
      </c>
      <c r="F1275" s="70"/>
      <c r="G1275" s="70" t="s">
        <v>61</v>
      </c>
      <c r="H1275" s="70" t="s">
        <v>178</v>
      </c>
      <c r="I1275" s="70" t="s">
        <v>181</v>
      </c>
      <c r="J1275" s="71">
        <f>IF(OR(I1275=0,I1275=""),"unrated",VLOOKUP(I1275,MappingTables!$B$19:$C$31,2,FALSE))</f>
        <v>3</v>
      </c>
      <c r="K1275" s="72">
        <v>646.05185863714688</v>
      </c>
      <c r="L1275" s="70">
        <v>9.2226065206561408</v>
      </c>
      <c r="M1275" s="71">
        <f>IF(L1275&lt;1,1,L1275)</f>
        <v>9.2226065206561408</v>
      </c>
      <c r="N1275" s="70" t="s">
        <v>141</v>
      </c>
      <c r="O1275" s="71">
        <f>INDEX(DurClassMapping,MATCH(M1275,MappingTables!$D$4:$D$8,-1),1)</f>
        <v>2</v>
      </c>
      <c r="P1275" s="73">
        <f>IF(M1275=$A$1,1,$M1275-INDEX(MappingTables!$E$4:$E$8,MATCH(O1275,MappingTables!$B$4:$B$8,0)))</f>
        <v>4.2226065206561408</v>
      </c>
      <c r="Q1275" s="71">
        <f>IF(B1275="",0,INDEX(ModelParameters!$D$6:$K$10,MATCH($O1275,ModelParameters!$B$6:$B$10,0),MATCH($J1275,ModelParameters!$D$5:$K$5,0)))</f>
        <v>0.015</v>
      </c>
      <c r="R1275" s="71">
        <f>IF(B1275="",0,INDEX(ModelParameters!$D$13:$K$17,MATCH($O1275,ModelParameters!$B$13:$B$17,0),MATCH($J1275,ModelParameters!$D$5:$K$5,0)))</f>
        <v>0.125</v>
      </c>
      <c r="S1275" s="160">
        <f>IF(B1275="",0,MIN(IF($N1275="Other Bond TM",ModelParameters!$N$21,1)*(P1275*Q1275+R1275),1))</f>
        <v>0.18833909780984212</v>
      </c>
      <c r="T1275" s="85">
        <f>IF(B1275="",0,$S1275*$K1275)</f>
        <v>121.6768241940919</v>
      </c>
      <c r="U1275" s="85">
        <f>IF(B1275="",0,IF(OR(H1275=MappingTables!$C$34,H1275=MappingTables!$C$35),T1275,0))</f>
        <v>0</v>
      </c>
      <c r="V1275" s="85">
        <f>IF(ISNA(IF(AND(VLOOKUP(CONCATENATE($D1275,$G1275),CSRFinput!$B:$E,4,0)=0,OR(H1275=MappingTables!$C$34,H1275=MappingTables!$C$35)),1,VLOOKUP(CONCATENATE($D1275,$G1275),CSRFinput!$B:$E,4,0))),0,IF(AND(VLOOKUP(CONCATENATE($D1275,$G1275),CSRFinput!$B:$E,4,0)=0,OR(H1275=MappingTables!$C$34,H1275=MappingTables!$C$35)),1,VLOOKUP(CONCATENATE($D1275,$G1275),CSRFinput!$B:$E,4,0)))</f>
        <v>0.054776304963434752</v>
      </c>
      <c r="W1275" s="85">
        <f>IF(B1275="",0,+$T1275*$V1275)</f>
        <v>6.6650068290378144</v>
      </c>
      <c r="X1275" s="85">
        <f>IF(B1275="",0,IF(OR(H1275=MappingTables!$C$34,H1275=MappingTables!$C$35),W1275,0))</f>
        <v>0</v>
      </c>
    </row>
    <row r="1276" spans="2:24" s="0" customFormat="0" ht="15">
      <c r="B1276" s="69">
        <v>12014225</v>
      </c>
      <c r="C1276" s="70" t="s">
        <v>737</v>
      </c>
      <c r="D1276" s="70" t="s">
        <v>1</v>
      </c>
      <c r="E1276" s="70" t="s">
        <v>1</v>
      </c>
      <c r="F1276" s="70"/>
      <c r="G1276" s="70" t="s">
        <v>61</v>
      </c>
      <c r="H1276" s="70" t="s">
        <v>178</v>
      </c>
      <c r="I1276" s="70" t="s">
        <v>220</v>
      </c>
      <c r="J1276" s="71">
        <f>IF(OR(I1276=0,I1276=""),"unrated",VLOOKUP(I1276,MappingTables!$B$19:$C$31,2,FALSE))</f>
        <v>1</v>
      </c>
      <c r="K1276" s="72">
        <v>249.4763405954054</v>
      </c>
      <c r="L1276" s="70">
        <v>0.41043317688968656</v>
      </c>
      <c r="M1276" s="71">
        <f>IF(L1276&lt;1,1,L1276)</f>
        <v>1</v>
      </c>
      <c r="N1276" s="70" t="s">
        <v>141</v>
      </c>
      <c r="O1276" s="71">
        <f>INDEX(DurClassMapping,MATCH(M1276,MappingTables!$D$4:$D$8,-1),1)</f>
        <v>1</v>
      </c>
      <c r="P1276" s="73">
        <f>IF(M1276=$A$1,1,$M1276-INDEX(MappingTables!$E$4:$E$8,MATCH(O1276,MappingTables!$B$4:$B$8,0)))</f>
        <v>1</v>
      </c>
      <c r="Q1276" s="71">
        <f>IF(B1276="",0,INDEX(ModelParameters!$D$6:$K$10,MATCH($O1276,ModelParameters!$B$6:$B$10,0),MATCH($J1276,ModelParameters!$D$5:$K$5,0)))</f>
        <v>0.011000000000000002</v>
      </c>
      <c r="R1276" s="71">
        <f>IF(B1276="",0,INDEX(ModelParameters!$D$13:$K$17,MATCH($O1276,ModelParameters!$B$13:$B$17,0),MATCH($J1276,ModelParameters!$D$5:$K$5,0)))</f>
        <v>0</v>
      </c>
      <c r="S1276" s="160">
        <f>IF(B1276="",0,MIN(IF($N1276="Other Bond TM",ModelParameters!$N$21,1)*(P1276*Q1276+R1276),1))</f>
        <v>0.011000000000000002</v>
      </c>
      <c r="T1276" s="85">
        <f>IF(B1276="",0,$S1276*$K1276)</f>
        <v>2.74423974654946</v>
      </c>
      <c r="U1276" s="85">
        <f>IF(B1276="",0,IF(OR(H1276=MappingTables!$C$34,H1276=MappingTables!$C$35),T1276,0))</f>
        <v>0</v>
      </c>
      <c r="V1276" s="85">
        <f>IF(ISNA(IF(AND(VLOOKUP(CONCATENATE($D1276,$G1276),CSRFinput!$B:$E,4,0)=0,OR(H1276=MappingTables!$C$34,H1276=MappingTables!$C$35)),1,VLOOKUP(CONCATENATE($D1276,$G1276),CSRFinput!$B:$E,4,0))),0,IF(AND(VLOOKUP(CONCATENATE($D1276,$G1276),CSRFinput!$B:$E,4,0)=0,OR(H1276=MappingTables!$C$34,H1276=MappingTables!$C$35)),1,VLOOKUP(CONCATENATE($D1276,$G1276),CSRFinput!$B:$E,4,0)))</f>
        <v>0.054776304963434752</v>
      </c>
      <c r="W1276" s="85">
        <f>IF(B1276="",0,+$T1276*$V1276)</f>
        <v>0.1503193132497721</v>
      </c>
      <c r="X1276" s="85">
        <f>IF(B1276="",0,IF(OR(H1276=MappingTables!$C$34,H1276=MappingTables!$C$35),W1276,0))</f>
        <v>0</v>
      </c>
    </row>
    <row r="1277" spans="2:24" s="0" customFormat="0" ht="15">
      <c r="B1277" s="69" t="s">
        <v>1544</v>
      </c>
      <c r="C1277" s="70" t="s">
        <v>1545</v>
      </c>
      <c r="D1277" s="70" t="s">
        <v>1</v>
      </c>
      <c r="E1277" s="70" t="s">
        <v>1</v>
      </c>
      <c r="F1277" s="70"/>
      <c r="G1277" s="70" t="s">
        <v>61</v>
      </c>
      <c r="H1277" s="70" t="s">
        <v>178</v>
      </c>
      <c r="I1277" s="70" t="s">
        <v>184</v>
      </c>
      <c r="J1277" s="71">
        <f>IF(OR(I1277=0,I1277=""),"unrated",VLOOKUP(I1277,MappingTables!$B$19:$C$31,2,FALSE))</f>
        <v>5</v>
      </c>
      <c r="K1277" s="72">
        <v>119.81281171439358</v>
      </c>
      <c r="L1277" s="70">
        <v>7.8405475242460512</v>
      </c>
      <c r="M1277" s="71">
        <f>IF(L1277&lt;1,1,L1277)</f>
        <v>7.8405475242460512</v>
      </c>
      <c r="N1277" s="70" t="s">
        <v>141</v>
      </c>
      <c r="O1277" s="71">
        <f>INDEX(DurClassMapping,MATCH(M1277,MappingTables!$D$4:$D$8,-1),1)</f>
        <v>2</v>
      </c>
      <c r="P1277" s="73">
        <f>IF(M1277=$A$1,1,$M1277-INDEX(MappingTables!$E$4:$E$8,MATCH(O1277,MappingTables!$B$4:$B$8,0)))</f>
        <v>2.840547524246052</v>
      </c>
      <c r="Q1277" s="71">
        <f>IF(B1277="",0,INDEX(ModelParameters!$D$6:$K$10,MATCH($O1277,ModelParameters!$B$6:$B$10,0),MATCH($J1277,ModelParameters!$D$5:$K$5,0)))</f>
        <v>0.042</v>
      </c>
      <c r="R1277" s="71">
        <f>IF(B1277="",0,INDEX(ModelParameters!$D$13:$K$17,MATCH($O1277,ModelParameters!$B$13:$B$17,0),MATCH($J1277,ModelParameters!$D$5:$K$5,0)))</f>
        <v>0.375</v>
      </c>
      <c r="S1277" s="160">
        <f>IF(B1277="",0,MIN(IF($N1277="Other Bond TM",ModelParameters!$N$21,1)*(P1277*Q1277+R1277),1))</f>
        <v>0.49430299601833416</v>
      </c>
      <c r="T1277" s="85">
        <f>IF(B1277="",0,$S1277*$K1277)</f>
        <v>59.223831791805312</v>
      </c>
      <c r="U1277" s="85">
        <f>IF(B1277="",0,IF(OR(H1277=MappingTables!$C$34,H1277=MappingTables!$C$35),T1277,0))</f>
        <v>0</v>
      </c>
      <c r="V1277" s="85">
        <f>IF(ISNA(IF(AND(VLOOKUP(CONCATENATE($D1277,$G1277),CSRFinput!$B:$E,4,0)=0,OR(H1277=MappingTables!$C$34,H1277=MappingTables!$C$35)),1,VLOOKUP(CONCATENATE($D1277,$G1277),CSRFinput!$B:$E,4,0))),0,IF(AND(VLOOKUP(CONCATENATE($D1277,$G1277),CSRFinput!$B:$E,4,0)=0,OR(H1277=MappingTables!$C$34,H1277=MappingTables!$C$35)),1,VLOOKUP(CONCATENATE($D1277,$G1277),CSRFinput!$B:$E,4,0)))</f>
        <v>0.054776304963434752</v>
      </c>
      <c r="W1277" s="85">
        <f>IF(B1277="",0,+$T1277*$V1277)</f>
        <v>3.2440626713310904</v>
      </c>
      <c r="X1277" s="85">
        <f>IF(B1277="",0,IF(OR(H1277=MappingTables!$C$34,H1277=MappingTables!$C$35),W1277,0))</f>
        <v>0</v>
      </c>
    </row>
    <row r="1278" spans="2:24" s="0" customFormat="0" ht="15">
      <c r="B1278" s="69">
        <v>4422111</v>
      </c>
      <c r="C1278" s="70" t="s">
        <v>1546</v>
      </c>
      <c r="D1278" s="70" t="s">
        <v>1</v>
      </c>
      <c r="E1278" s="70" t="s">
        <v>1</v>
      </c>
      <c r="F1278" s="70"/>
      <c r="G1278" s="70" t="s">
        <v>61</v>
      </c>
      <c r="H1278" s="70" t="s">
        <v>178</v>
      </c>
      <c r="I1278" s="70" t="s">
        <v>181</v>
      </c>
      <c r="J1278" s="71">
        <f>IF(OR(I1278=0,I1278=""),"unrated",VLOOKUP(I1278,MappingTables!$B$19:$C$31,2,FALSE))</f>
        <v>3</v>
      </c>
      <c r="K1278" s="72">
        <v>2352.9992107985268</v>
      </c>
      <c r="L1278" s="70">
        <v>13.678402181315872</v>
      </c>
      <c r="M1278" s="71">
        <f>IF(L1278&lt;1,1,L1278)</f>
        <v>13.678402181315872</v>
      </c>
      <c r="N1278" s="70" t="s">
        <v>141</v>
      </c>
      <c r="O1278" s="71">
        <f>INDEX(DurClassMapping,MATCH(M1278,MappingTables!$D$4:$D$8,-1),1)</f>
        <v>3</v>
      </c>
      <c r="P1278" s="73">
        <f>IF(M1278=$A$1,1,$M1278-INDEX(MappingTables!$E$4:$E$8,MATCH(O1278,MappingTables!$B$4:$B$8,0)))</f>
        <v>3.6784021813158728</v>
      </c>
      <c r="Q1278" s="71">
        <f>IF(B1278="",0,INDEX(ModelParameters!$D$6:$K$10,MATCH($O1278,ModelParameters!$B$6:$B$10,0),MATCH($J1278,ModelParameters!$D$5:$K$5,0)))</f>
        <v>0.01</v>
      </c>
      <c r="R1278" s="71">
        <f>IF(B1278="",0,INDEX(ModelParameters!$D$13:$K$17,MATCH($O1278,ModelParameters!$B$13:$B$17,0),MATCH($J1278,ModelParameters!$D$5:$K$5,0)))</f>
        <v>0.2</v>
      </c>
      <c r="S1278" s="160">
        <f>IF(B1278="",0,MIN(IF($N1278="Other Bond TM",ModelParameters!$N$21,1)*(P1278*Q1278+R1278),1))</f>
        <v>0.23678402181315876</v>
      </c>
      <c r="T1278" s="85">
        <f>IF(B1278="",0,$S1278*$K1278)</f>
        <v>557.15261645606368</v>
      </c>
      <c r="U1278" s="85">
        <f>IF(B1278="",0,IF(OR(H1278=MappingTables!$C$34,H1278=MappingTables!$C$35),T1278,0))</f>
        <v>0</v>
      </c>
      <c r="V1278" s="85">
        <f>IF(ISNA(IF(AND(VLOOKUP(CONCATENATE($D1278,$G1278),CSRFinput!$B:$E,4,0)=0,OR(H1278=MappingTables!$C$34,H1278=MappingTables!$C$35)),1,VLOOKUP(CONCATENATE($D1278,$G1278),CSRFinput!$B:$E,4,0))),0,IF(AND(VLOOKUP(CONCATENATE($D1278,$G1278),CSRFinput!$B:$E,4,0)=0,OR(H1278=MappingTables!$C$34,H1278=MappingTables!$C$35)),1,VLOOKUP(CONCATENATE($D1278,$G1278),CSRFinput!$B:$E,4,0)))</f>
        <v>0.054776304963434752</v>
      </c>
      <c r="W1278" s="85">
        <f>IF(B1278="",0,+$T1278*$V1278)</f>
        <v>30.518761630172944</v>
      </c>
      <c r="X1278" s="85">
        <f>IF(B1278="",0,IF(OR(H1278=MappingTables!$C$34,H1278=MappingTables!$C$35),W1278,0))</f>
        <v>0</v>
      </c>
    </row>
    <row r="1279" spans="2:24" s="0" customFormat="0" ht="15">
      <c r="B1279" s="69">
        <v>16192326</v>
      </c>
      <c r="C1279" s="70" t="s">
        <v>1547</v>
      </c>
      <c r="D1279" s="70" t="s">
        <v>1</v>
      </c>
      <c r="E1279" s="70" t="s">
        <v>1</v>
      </c>
      <c r="F1279" s="70"/>
      <c r="G1279" s="70" t="s">
        <v>61</v>
      </c>
      <c r="H1279" s="70" t="s">
        <v>178</v>
      </c>
      <c r="I1279" s="70" t="s">
        <v>181</v>
      </c>
      <c r="J1279" s="71">
        <f>IF(OR(I1279=0,I1279=""),"unrated",VLOOKUP(I1279,MappingTables!$B$19:$C$31,2,FALSE))</f>
        <v>3</v>
      </c>
      <c r="K1279" s="72">
        <v>271.27435430441148</v>
      </c>
      <c r="L1279" s="70">
        <v>5.5072315162186608</v>
      </c>
      <c r="M1279" s="71">
        <f>IF(L1279&lt;1,1,L1279)</f>
        <v>5.5072315162186608</v>
      </c>
      <c r="N1279" s="70" t="s">
        <v>141</v>
      </c>
      <c r="O1279" s="71">
        <f>INDEX(DurClassMapping,MATCH(M1279,MappingTables!$D$4:$D$8,-1),1)</f>
        <v>2</v>
      </c>
      <c r="P1279" s="73">
        <f>IF(M1279=$A$1,1,$M1279-INDEX(MappingTables!$E$4:$E$8,MATCH(O1279,MappingTables!$B$4:$B$8,0)))</f>
        <v>0.50723151621866072</v>
      </c>
      <c r="Q1279" s="71">
        <f>IF(B1279="",0,INDEX(ModelParameters!$D$6:$K$10,MATCH($O1279,ModelParameters!$B$6:$B$10,0),MATCH($J1279,ModelParameters!$D$5:$K$5,0)))</f>
        <v>0.015</v>
      </c>
      <c r="R1279" s="71">
        <f>IF(B1279="",0,INDEX(ModelParameters!$D$13:$K$17,MATCH($O1279,ModelParameters!$B$13:$B$17,0),MATCH($J1279,ModelParameters!$D$5:$K$5,0)))</f>
        <v>0.125</v>
      </c>
      <c r="S1279" s="160">
        <f>IF(B1279="",0,MIN(IF($N1279="Other Bond TM",ModelParameters!$N$21,1)*(P1279*Q1279+R1279),1))</f>
        <v>0.13260847274327992</v>
      </c>
      <c r="T1279" s="85">
        <f>IF(B1279="",0,$S1279*$K1279)</f>
        <v>35.973277818727412</v>
      </c>
      <c r="U1279" s="85">
        <f>IF(B1279="",0,IF(OR(H1279=MappingTables!$C$34,H1279=MappingTables!$C$35),T1279,0))</f>
        <v>0</v>
      </c>
      <c r="V1279" s="85">
        <f>IF(ISNA(IF(AND(VLOOKUP(CONCATENATE($D1279,$G1279),CSRFinput!$B:$E,4,0)=0,OR(H1279=MappingTables!$C$34,H1279=MappingTables!$C$35)),1,VLOOKUP(CONCATENATE($D1279,$G1279),CSRFinput!$B:$E,4,0))),0,IF(AND(VLOOKUP(CONCATENATE($D1279,$G1279),CSRFinput!$B:$E,4,0)=0,OR(H1279=MappingTables!$C$34,H1279=MappingTables!$C$35)),1,VLOOKUP(CONCATENATE($D1279,$G1279),CSRFinput!$B:$E,4,0)))</f>
        <v>0.054776304963434752</v>
      </c>
      <c r="W1279" s="85">
        <f>IF(B1279="",0,+$T1279*$V1279)</f>
        <v>1.9704832363329756</v>
      </c>
      <c r="X1279" s="85">
        <f>IF(B1279="",0,IF(OR(H1279=MappingTables!$C$34,H1279=MappingTables!$C$35),W1279,0))</f>
        <v>0</v>
      </c>
    </row>
    <row r="1280" spans="2:24" s="0" customFormat="0" ht="15">
      <c r="B1280" s="69">
        <v>18638793</v>
      </c>
      <c r="C1280" s="70" t="s">
        <v>1548</v>
      </c>
      <c r="D1280" s="70" t="s">
        <v>1</v>
      </c>
      <c r="E1280" s="70" t="s">
        <v>1</v>
      </c>
      <c r="F1280" s="70"/>
      <c r="G1280" s="70" t="s">
        <v>61</v>
      </c>
      <c r="H1280" s="70" t="s">
        <v>178</v>
      </c>
      <c r="I1280" s="70" t="s">
        <v>188</v>
      </c>
      <c r="J1280" s="71">
        <f>IF(OR(I1280=0,I1280=""),"unrated",VLOOKUP(I1280,MappingTables!$B$19:$C$31,2,FALSE))</f>
        <v>2</v>
      </c>
      <c r="K1280" s="72">
        <v>221.51763228109148</v>
      </c>
      <c r="L1280" s="70">
        <v>0.91874697134412976</v>
      </c>
      <c r="M1280" s="71">
        <f>IF(L1280&lt;1,1,L1280)</f>
        <v>1</v>
      </c>
      <c r="N1280" s="70" t="s">
        <v>141</v>
      </c>
      <c r="O1280" s="71">
        <f>INDEX(DurClassMapping,MATCH(M1280,MappingTables!$D$4:$D$8,-1),1)</f>
        <v>1</v>
      </c>
      <c r="P1280" s="73">
        <f>IF(M1280=$A$1,1,$M1280-INDEX(MappingTables!$E$4:$E$8,MATCH(O1280,MappingTables!$B$4:$B$8,0)))</f>
        <v>1</v>
      </c>
      <c r="Q1280" s="71">
        <f>IF(B1280="",0,INDEX(ModelParameters!$D$6:$K$10,MATCH($O1280,ModelParameters!$B$6:$B$10,0),MATCH($J1280,ModelParameters!$D$5:$K$5,0)))</f>
        <v>0.013999999999999998</v>
      </c>
      <c r="R1280" s="71">
        <f>IF(B1280="",0,INDEX(ModelParameters!$D$13:$K$17,MATCH($O1280,ModelParameters!$B$13:$B$17,0),MATCH($J1280,ModelParameters!$D$5:$K$5,0)))</f>
        <v>0</v>
      </c>
      <c r="S1280" s="160">
        <f>IF(B1280="",0,MIN(IF($N1280="Other Bond TM",ModelParameters!$N$21,1)*(P1280*Q1280+R1280),1))</f>
        <v>0.013999999999999998</v>
      </c>
      <c r="T1280" s="85">
        <f>IF(B1280="",0,$S1280*$K1280)</f>
        <v>3.1012468519352804</v>
      </c>
      <c r="U1280" s="85">
        <f>IF(B1280="",0,IF(OR(H1280=MappingTables!$C$34,H1280=MappingTables!$C$35),T1280,0))</f>
        <v>0</v>
      </c>
      <c r="V1280" s="85">
        <f>IF(ISNA(IF(AND(VLOOKUP(CONCATENATE($D1280,$G1280),CSRFinput!$B:$E,4,0)=0,OR(H1280=MappingTables!$C$34,H1280=MappingTables!$C$35)),1,VLOOKUP(CONCATENATE($D1280,$G1280),CSRFinput!$B:$E,4,0))),0,IF(AND(VLOOKUP(CONCATENATE($D1280,$G1280),CSRFinput!$B:$E,4,0)=0,OR(H1280=MappingTables!$C$34,H1280=MappingTables!$C$35)),1,VLOOKUP(CONCATENATE($D1280,$G1280),CSRFinput!$B:$E,4,0)))</f>
        <v>0.054776304963434752</v>
      </c>
      <c r="W1280" s="85">
        <f>IF(B1280="",0,+$T1280*$V1280)</f>
        <v>0.1698748433284989</v>
      </c>
      <c r="X1280" s="85">
        <f>IF(B1280="",0,IF(OR(H1280=MappingTables!$C$34,H1280=MappingTables!$C$35),W1280,0))</f>
        <v>0</v>
      </c>
    </row>
    <row r="1281" spans="2:24" s="0" customFormat="0" ht="15">
      <c r="B1281" s="69">
        <v>23938408</v>
      </c>
      <c r="C1281" s="70" t="s">
        <v>1549</v>
      </c>
      <c r="D1281" s="70" t="s">
        <v>1</v>
      </c>
      <c r="E1281" s="70" t="s">
        <v>1</v>
      </c>
      <c r="F1281" s="70"/>
      <c r="G1281" s="70" t="s">
        <v>61</v>
      </c>
      <c r="H1281" s="70" t="s">
        <v>178</v>
      </c>
      <c r="I1281" s="70" t="s">
        <v>181</v>
      </c>
      <c r="J1281" s="71">
        <f>IF(OR(I1281=0,I1281=""),"unrated",VLOOKUP(I1281,MappingTables!$B$19:$C$31,2,FALSE))</f>
        <v>3</v>
      </c>
      <c r="K1281" s="72">
        <v>13.933934412119462</v>
      </c>
      <c r="L1281" s="70">
        <v>7.9350206632065568</v>
      </c>
      <c r="M1281" s="71">
        <f>IF(L1281&lt;1,1,L1281)</f>
        <v>7.9350206632065568</v>
      </c>
      <c r="N1281" s="70" t="s">
        <v>141</v>
      </c>
      <c r="O1281" s="71">
        <f>INDEX(DurClassMapping,MATCH(M1281,MappingTables!$D$4:$D$8,-1),1)</f>
        <v>2</v>
      </c>
      <c r="P1281" s="73">
        <f>IF(M1281=$A$1,1,$M1281-INDEX(MappingTables!$E$4:$E$8,MATCH(O1281,MappingTables!$B$4:$B$8,0)))</f>
        <v>2.9350206632065568</v>
      </c>
      <c r="Q1281" s="71">
        <f>IF(B1281="",0,INDEX(ModelParameters!$D$6:$K$10,MATCH($O1281,ModelParameters!$B$6:$B$10,0),MATCH($J1281,ModelParameters!$D$5:$K$5,0)))</f>
        <v>0.015</v>
      </c>
      <c r="R1281" s="71">
        <f>IF(B1281="",0,INDEX(ModelParameters!$D$13:$K$17,MATCH($O1281,ModelParameters!$B$13:$B$17,0),MATCH($J1281,ModelParameters!$D$5:$K$5,0)))</f>
        <v>0.125</v>
      </c>
      <c r="S1281" s="160">
        <f>IF(B1281="",0,MIN(IF($N1281="Other Bond TM",ModelParameters!$N$21,1)*(P1281*Q1281+R1281),1))</f>
        <v>0.16902530994809836</v>
      </c>
      <c r="T1281" s="85">
        <f>IF(B1281="",0,$S1281*$K1281)</f>
        <v>2.3551875828049656</v>
      </c>
      <c r="U1281" s="85">
        <f>IF(B1281="",0,IF(OR(H1281=MappingTables!$C$34,H1281=MappingTables!$C$35),T1281,0))</f>
        <v>0</v>
      </c>
      <c r="V1281" s="85">
        <f>IF(ISNA(IF(AND(VLOOKUP(CONCATENATE($D1281,$G1281),CSRFinput!$B:$E,4,0)=0,OR(H1281=MappingTables!$C$34,H1281=MappingTables!$C$35)),1,VLOOKUP(CONCATENATE($D1281,$G1281),CSRFinput!$B:$E,4,0))),0,IF(AND(VLOOKUP(CONCATENATE($D1281,$G1281),CSRFinput!$B:$E,4,0)=0,OR(H1281=MappingTables!$C$34,H1281=MappingTables!$C$35)),1,VLOOKUP(CONCATENATE($D1281,$G1281),CSRFinput!$B:$E,4,0)))</f>
        <v>0.054776304963434752</v>
      </c>
      <c r="W1281" s="85">
        <f>IF(B1281="",0,+$T1281*$V1281)</f>
        <v>0.12900847328181952</v>
      </c>
      <c r="X1281" s="85">
        <f>IF(B1281="",0,IF(OR(H1281=MappingTables!$C$34,H1281=MappingTables!$C$35),W1281,0))</f>
        <v>0</v>
      </c>
    </row>
    <row r="1282" spans="2:24" s="0" customFormat="0" ht="15">
      <c r="B1282" s="69">
        <v>3515308</v>
      </c>
      <c r="C1282" s="70" t="s">
        <v>1550</v>
      </c>
      <c r="D1282" s="70" t="s">
        <v>1</v>
      </c>
      <c r="E1282" s="70" t="s">
        <v>1</v>
      </c>
      <c r="F1282" s="70"/>
      <c r="G1282" s="70" t="s">
        <v>61</v>
      </c>
      <c r="H1282" s="70" t="s">
        <v>178</v>
      </c>
      <c r="I1282" s="70" t="s">
        <v>188</v>
      </c>
      <c r="J1282" s="71">
        <f>IF(OR(I1282=0,I1282=""),"unrated",VLOOKUP(I1282,MappingTables!$B$19:$C$31,2,FALSE))</f>
        <v>2</v>
      </c>
      <c r="K1282" s="72">
        <v>1917.0474076661412</v>
      </c>
      <c r="L1282" s="70">
        <v>0.2876729834406546</v>
      </c>
      <c r="M1282" s="71">
        <f>IF(L1282&lt;1,1,L1282)</f>
        <v>1</v>
      </c>
      <c r="N1282" s="70" t="s">
        <v>141</v>
      </c>
      <c r="O1282" s="71">
        <f>INDEX(DurClassMapping,MATCH(M1282,MappingTables!$D$4:$D$8,-1),1)</f>
        <v>1</v>
      </c>
      <c r="P1282" s="73">
        <f>IF(M1282=$A$1,1,$M1282-INDEX(MappingTables!$E$4:$E$8,MATCH(O1282,MappingTables!$B$4:$B$8,0)))</f>
        <v>1</v>
      </c>
      <c r="Q1282" s="71">
        <f>IF(B1282="",0,INDEX(ModelParameters!$D$6:$K$10,MATCH($O1282,ModelParameters!$B$6:$B$10,0),MATCH($J1282,ModelParameters!$D$5:$K$5,0)))</f>
        <v>0.013999999999999998</v>
      </c>
      <c r="R1282" s="71">
        <f>IF(B1282="",0,INDEX(ModelParameters!$D$13:$K$17,MATCH($O1282,ModelParameters!$B$13:$B$17,0),MATCH($J1282,ModelParameters!$D$5:$K$5,0)))</f>
        <v>0</v>
      </c>
      <c r="S1282" s="160">
        <f>IF(B1282="",0,MIN(IF($N1282="Other Bond TM",ModelParameters!$N$21,1)*(P1282*Q1282+R1282),1))</f>
        <v>0.013999999999999998</v>
      </c>
      <c r="T1282" s="85">
        <f>IF(B1282="",0,$S1282*$K1282)</f>
        <v>26.838663707325976</v>
      </c>
      <c r="U1282" s="85">
        <f>IF(B1282="",0,IF(OR(H1282=MappingTables!$C$34,H1282=MappingTables!$C$35),T1282,0))</f>
        <v>0</v>
      </c>
      <c r="V1282" s="85">
        <f>IF(ISNA(IF(AND(VLOOKUP(CONCATENATE($D1282,$G1282),CSRFinput!$B:$E,4,0)=0,OR(H1282=MappingTables!$C$34,H1282=MappingTables!$C$35)),1,VLOOKUP(CONCATENATE($D1282,$G1282),CSRFinput!$B:$E,4,0))),0,IF(AND(VLOOKUP(CONCATENATE($D1282,$G1282),CSRFinput!$B:$E,4,0)=0,OR(H1282=MappingTables!$C$34,H1282=MappingTables!$C$35)),1,VLOOKUP(CONCATENATE($D1282,$G1282),CSRFinput!$B:$E,4,0)))</f>
        <v>0.054776304963434752</v>
      </c>
      <c r="W1282" s="85">
        <f>IF(B1282="",0,+$T1282*$V1282)</f>
        <v>1.4701228280435558</v>
      </c>
      <c r="X1282" s="85">
        <f>IF(B1282="",0,IF(OR(H1282=MappingTables!$C$34,H1282=MappingTables!$C$35),W1282,0))</f>
        <v>0</v>
      </c>
    </row>
    <row r="1283" spans="2:24" s="0" customFormat="0" ht="15">
      <c r="B1283" s="69">
        <v>13700915</v>
      </c>
      <c r="C1283" s="70" t="s">
        <v>1551</v>
      </c>
      <c r="D1283" s="70" t="s">
        <v>1</v>
      </c>
      <c r="E1283" s="70" t="s">
        <v>1</v>
      </c>
      <c r="F1283" s="70"/>
      <c r="G1283" s="70" t="s">
        <v>61</v>
      </c>
      <c r="H1283" s="70" t="s">
        <v>178</v>
      </c>
      <c r="I1283" s="70" t="s">
        <v>184</v>
      </c>
      <c r="J1283" s="71">
        <f>IF(OR(I1283=0,I1283=""),"unrated",VLOOKUP(I1283,MappingTables!$B$19:$C$31,2,FALSE))</f>
        <v>5</v>
      </c>
      <c r="K1283" s="72">
        <v>20759.90171749966</v>
      </c>
      <c r="L1283" s="70">
        <v>5.4310098464576168</v>
      </c>
      <c r="M1283" s="71">
        <f>IF(L1283&lt;1,1,L1283)</f>
        <v>5.4310098464576168</v>
      </c>
      <c r="N1283" s="70" t="s">
        <v>141</v>
      </c>
      <c r="O1283" s="71">
        <f>INDEX(DurClassMapping,MATCH(M1283,MappingTables!$D$4:$D$8,-1),1)</f>
        <v>2</v>
      </c>
      <c r="P1283" s="73">
        <f>IF(M1283=$A$1,1,$M1283-INDEX(MappingTables!$E$4:$E$8,MATCH(O1283,MappingTables!$B$4:$B$8,0)))</f>
        <v>0.4310098464576164</v>
      </c>
      <c r="Q1283" s="71">
        <f>IF(B1283="",0,INDEX(ModelParameters!$D$6:$K$10,MATCH($O1283,ModelParameters!$B$6:$B$10,0),MATCH($J1283,ModelParameters!$D$5:$K$5,0)))</f>
        <v>0.042</v>
      </c>
      <c r="R1283" s="71">
        <f>IF(B1283="",0,INDEX(ModelParameters!$D$13:$K$17,MATCH($O1283,ModelParameters!$B$13:$B$17,0),MATCH($J1283,ModelParameters!$D$5:$K$5,0)))</f>
        <v>0.375</v>
      </c>
      <c r="S1283" s="160">
        <f>IF(B1283="",0,MIN(IF($N1283="Other Bond TM",ModelParameters!$N$21,1)*(P1283*Q1283+R1283),1))</f>
        <v>0.39310241355121992</v>
      </c>
      <c r="T1283" s="85">
        <f>IF(B1283="",0,$S1283*$K1283)</f>
        <v>8160.7674702352304</v>
      </c>
      <c r="U1283" s="85">
        <f>IF(B1283="",0,IF(OR(H1283=MappingTables!$C$34,H1283=MappingTables!$C$35),T1283,0))</f>
        <v>0</v>
      </c>
      <c r="V1283" s="85">
        <f>IF(ISNA(IF(AND(VLOOKUP(CONCATENATE($D1283,$G1283),CSRFinput!$B:$E,4,0)=0,OR(H1283=MappingTables!$C$34,H1283=MappingTables!$C$35)),1,VLOOKUP(CONCATENATE($D1283,$G1283),CSRFinput!$B:$E,4,0))),0,IF(AND(VLOOKUP(CONCATENATE($D1283,$G1283),CSRFinput!$B:$E,4,0)=0,OR(H1283=MappingTables!$C$34,H1283=MappingTables!$C$35)),1,VLOOKUP(CONCATENATE($D1283,$G1283),CSRFinput!$B:$E,4,0)))</f>
        <v>0.054776304963434752</v>
      </c>
      <c r="W1283" s="85">
        <f>IF(B1283="",0,+$T1283*$V1283)</f>
        <v>447.01668768528296</v>
      </c>
      <c r="X1283" s="85">
        <f>IF(B1283="",0,IF(OR(H1283=MappingTables!$C$34,H1283=MappingTables!$C$35),W1283,0))</f>
        <v>0</v>
      </c>
    </row>
    <row r="1284" spans="2:24" s="0" customFormat="0" ht="15">
      <c r="B1284" s="69">
        <v>9159514</v>
      </c>
      <c r="C1284" s="70" t="s">
        <v>1379</v>
      </c>
      <c r="D1284" s="70" t="s">
        <v>1</v>
      </c>
      <c r="E1284" s="70" t="s">
        <v>1</v>
      </c>
      <c r="F1284" s="70"/>
      <c r="G1284" s="70" t="s">
        <v>61</v>
      </c>
      <c r="H1284" s="70" t="s">
        <v>178</v>
      </c>
      <c r="I1284" s="70" t="s">
        <v>179</v>
      </c>
      <c r="J1284" s="71">
        <f>IF(OR(I1284=0,I1284=""),"unrated",VLOOKUP(I1284,MappingTables!$B$19:$C$31,2,FALSE))</f>
        <v>4</v>
      </c>
      <c r="K1284" s="72">
        <v>147.89717613689882</v>
      </c>
      <c r="L1284" s="70">
        <v>3.3749176571573248</v>
      </c>
      <c r="M1284" s="71">
        <f>IF(L1284&lt;1,1,L1284)</f>
        <v>3.3749176571573248</v>
      </c>
      <c r="N1284" s="70" t="s">
        <v>141</v>
      </c>
      <c r="O1284" s="71">
        <f>INDEX(DurClassMapping,MATCH(M1284,MappingTables!$D$4:$D$8,-1),1)</f>
        <v>1</v>
      </c>
      <c r="P1284" s="73">
        <f>IF(M1284=$A$1,1,$M1284-INDEX(MappingTables!$E$4:$E$8,MATCH(O1284,MappingTables!$B$4:$B$8,0)))</f>
        <v>3.3749176571573248</v>
      </c>
      <c r="Q1284" s="71">
        <f>IF(B1284="",0,INDEX(ModelParameters!$D$6:$K$10,MATCH($O1284,ModelParameters!$B$6:$B$10,0),MATCH($J1284,ModelParameters!$D$5:$K$5,0)))</f>
        <v>0.045</v>
      </c>
      <c r="R1284" s="71">
        <f>IF(B1284="",0,INDEX(ModelParameters!$D$13:$K$17,MATCH($O1284,ModelParameters!$B$13:$B$17,0),MATCH($J1284,ModelParameters!$D$5:$K$5,0)))</f>
        <v>0</v>
      </c>
      <c r="S1284" s="160">
        <f>IF(B1284="",0,MIN(IF($N1284="Other Bond TM",ModelParameters!$N$21,1)*(P1284*Q1284+R1284),1))</f>
        <v>0.15187129457207962</v>
      </c>
      <c r="T1284" s="85">
        <f>IF(B1284="",0,$S1284*$K1284)</f>
        <v>22.461335603465704</v>
      </c>
      <c r="U1284" s="85">
        <f>IF(B1284="",0,IF(OR(H1284=MappingTables!$C$34,H1284=MappingTables!$C$35),T1284,0))</f>
        <v>0</v>
      </c>
      <c r="V1284" s="85">
        <f>IF(ISNA(IF(AND(VLOOKUP(CONCATENATE($D1284,$G1284),CSRFinput!$B:$E,4,0)=0,OR(H1284=MappingTables!$C$34,H1284=MappingTables!$C$35)),1,VLOOKUP(CONCATENATE($D1284,$G1284),CSRFinput!$B:$E,4,0))),0,IF(AND(VLOOKUP(CONCATENATE($D1284,$G1284),CSRFinput!$B:$E,4,0)=0,OR(H1284=MappingTables!$C$34,H1284=MappingTables!$C$35)),1,VLOOKUP(CONCATENATE($D1284,$G1284),CSRFinput!$B:$E,4,0)))</f>
        <v>0.054776304963434752</v>
      </c>
      <c r="W1284" s="85">
        <f>IF(B1284="",0,+$T1284*$V1284)</f>
        <v>1.2303489689014924</v>
      </c>
      <c r="X1284" s="85">
        <f>IF(B1284="",0,IF(OR(H1284=MappingTables!$C$34,H1284=MappingTables!$C$35),W1284,0))</f>
        <v>0</v>
      </c>
    </row>
    <row r="1285" spans="2:24" s="0" customFormat="0" ht="15">
      <c r="B1285" s="69" t="s">
        <v>755</v>
      </c>
      <c r="C1285" s="70" t="s">
        <v>756</v>
      </c>
      <c r="D1285" s="70" t="s">
        <v>1</v>
      </c>
      <c r="E1285" s="70" t="s">
        <v>1</v>
      </c>
      <c r="F1285" s="70"/>
      <c r="G1285" s="70" t="s">
        <v>61</v>
      </c>
      <c r="H1285" s="70" t="s">
        <v>178</v>
      </c>
      <c r="I1285" s="70" t="s">
        <v>184</v>
      </c>
      <c r="J1285" s="71">
        <f>IF(OR(I1285=0,I1285=""),"unrated",VLOOKUP(I1285,MappingTables!$B$19:$C$31,2,FALSE))</f>
        <v>5</v>
      </c>
      <c r="K1285" s="72">
        <v>8789.6603449460192</v>
      </c>
      <c r="L1285" s="70">
        <v>6.6988820970524544</v>
      </c>
      <c r="M1285" s="71">
        <f>IF(L1285&lt;1,1,L1285)</f>
        <v>6.6988820970524544</v>
      </c>
      <c r="N1285" s="70" t="s">
        <v>141</v>
      </c>
      <c r="O1285" s="71">
        <f>INDEX(DurClassMapping,MATCH(M1285,MappingTables!$D$4:$D$8,-1),1)</f>
        <v>2</v>
      </c>
      <c r="P1285" s="73">
        <f>IF(M1285=$A$1,1,$M1285-INDEX(MappingTables!$E$4:$E$8,MATCH(O1285,MappingTables!$B$4:$B$8,0)))</f>
        <v>1.6988820970524542</v>
      </c>
      <c r="Q1285" s="71">
        <f>IF(B1285="",0,INDEX(ModelParameters!$D$6:$K$10,MATCH($O1285,ModelParameters!$B$6:$B$10,0),MATCH($J1285,ModelParameters!$D$5:$K$5,0)))</f>
        <v>0.042</v>
      </c>
      <c r="R1285" s="71">
        <f>IF(B1285="",0,INDEX(ModelParameters!$D$13:$K$17,MATCH($O1285,ModelParameters!$B$13:$B$17,0),MATCH($J1285,ModelParameters!$D$5:$K$5,0)))</f>
        <v>0.375</v>
      </c>
      <c r="S1285" s="160">
        <f>IF(B1285="",0,MIN(IF($N1285="Other Bond TM",ModelParameters!$N$21,1)*(P1285*Q1285+R1285),1))</f>
        <v>0.44635304807620304</v>
      </c>
      <c r="T1285" s="85">
        <f>IF(B1285="",0,$S1285*$K1285)</f>
        <v>3923.2916865211864</v>
      </c>
      <c r="U1285" s="85">
        <f>IF(B1285="",0,IF(OR(H1285=MappingTables!$C$34,H1285=MappingTables!$C$35),T1285,0))</f>
        <v>0</v>
      </c>
      <c r="V1285" s="85">
        <f>IF(ISNA(IF(AND(VLOOKUP(CONCATENATE($D1285,$G1285),CSRFinput!$B:$E,4,0)=0,OR(H1285=MappingTables!$C$34,H1285=MappingTables!$C$35)),1,VLOOKUP(CONCATENATE($D1285,$G1285),CSRFinput!$B:$E,4,0))),0,IF(AND(VLOOKUP(CONCATENATE($D1285,$G1285),CSRFinput!$B:$E,4,0)=0,OR(H1285=MappingTables!$C$34,H1285=MappingTables!$C$35)),1,VLOOKUP(CONCATENATE($D1285,$G1285),CSRFinput!$B:$E,4,0)))</f>
        <v>0.054776304963434752</v>
      </c>
      <c r="W1285" s="85">
        <f>IF(B1285="",0,+$T1285*$V1285)</f>
        <v>214.90342188139276</v>
      </c>
      <c r="X1285" s="85">
        <f>IF(B1285="",0,IF(OR(H1285=MappingTables!$C$34,H1285=MappingTables!$C$35),W1285,0))</f>
        <v>0</v>
      </c>
    </row>
    <row r="1286" spans="2:24" s="0" customFormat="0" ht="15">
      <c r="B1286" s="69">
        <v>23061858</v>
      </c>
      <c r="C1286" s="70" t="s">
        <v>1552</v>
      </c>
      <c r="D1286" s="70" t="s">
        <v>1</v>
      </c>
      <c r="E1286" s="70" t="s">
        <v>1</v>
      </c>
      <c r="F1286" s="70"/>
      <c r="G1286" s="70" t="s">
        <v>61</v>
      </c>
      <c r="H1286" s="70" t="s">
        <v>178</v>
      </c>
      <c r="I1286" s="70" t="s">
        <v>181</v>
      </c>
      <c r="J1286" s="71">
        <f>IF(OR(I1286=0,I1286=""),"unrated",VLOOKUP(I1286,MappingTables!$B$19:$C$31,2,FALSE))</f>
        <v>3</v>
      </c>
      <c r="K1286" s="72">
        <v>463.30632701897344</v>
      </c>
      <c r="L1286" s="70">
        <v>0.36438336539370992</v>
      </c>
      <c r="M1286" s="71">
        <f>IF(L1286&lt;1,1,L1286)</f>
        <v>1</v>
      </c>
      <c r="N1286" s="70" t="s">
        <v>141</v>
      </c>
      <c r="O1286" s="71">
        <f>INDEX(DurClassMapping,MATCH(M1286,MappingTables!$D$4:$D$8,-1),1)</f>
        <v>1</v>
      </c>
      <c r="P1286" s="73">
        <f>IF(M1286=$A$1,1,$M1286-INDEX(MappingTables!$E$4:$E$8,MATCH(O1286,MappingTables!$B$4:$B$8,0)))</f>
        <v>1</v>
      </c>
      <c r="Q1286" s="71">
        <f>IF(B1286="",0,INDEX(ModelParameters!$D$6:$K$10,MATCH($O1286,ModelParameters!$B$6:$B$10,0),MATCH($J1286,ModelParameters!$D$5:$K$5,0)))</f>
        <v>0.025</v>
      </c>
      <c r="R1286" s="71">
        <f>IF(B1286="",0,INDEX(ModelParameters!$D$13:$K$17,MATCH($O1286,ModelParameters!$B$13:$B$17,0),MATCH($J1286,ModelParameters!$D$5:$K$5,0)))</f>
        <v>0</v>
      </c>
      <c r="S1286" s="160">
        <f>IF(B1286="",0,MIN(IF($N1286="Other Bond TM",ModelParameters!$N$21,1)*(P1286*Q1286+R1286),1))</f>
        <v>0.025</v>
      </c>
      <c r="T1286" s="85">
        <f>IF(B1286="",0,$S1286*$K1286)</f>
        <v>11.582658175474336</v>
      </c>
      <c r="U1286" s="85">
        <f>IF(B1286="",0,IF(OR(H1286=MappingTables!$C$34,H1286=MappingTables!$C$35),T1286,0))</f>
        <v>0</v>
      </c>
      <c r="V1286" s="85">
        <f>IF(ISNA(IF(AND(VLOOKUP(CONCATENATE($D1286,$G1286),CSRFinput!$B:$E,4,0)=0,OR(H1286=MappingTables!$C$34,H1286=MappingTables!$C$35)),1,VLOOKUP(CONCATENATE($D1286,$G1286),CSRFinput!$B:$E,4,0))),0,IF(AND(VLOOKUP(CONCATENATE($D1286,$G1286),CSRFinput!$B:$E,4,0)=0,OR(H1286=MappingTables!$C$34,H1286=MappingTables!$C$35)),1,VLOOKUP(CONCATENATE($D1286,$G1286),CSRFinput!$B:$E,4,0)))</f>
        <v>0.054776304963434752</v>
      </c>
      <c r="W1286" s="85">
        <f>IF(B1286="",0,+$T1286*$V1286)</f>
        <v>0.63445521650700296</v>
      </c>
      <c r="X1286" s="85">
        <f>IF(B1286="",0,IF(OR(H1286=MappingTables!$C$34,H1286=MappingTables!$C$35),W1286,0))</f>
        <v>0</v>
      </c>
    </row>
    <row r="1287" spans="2:24" s="0" customFormat="0" ht="15">
      <c r="B1287" s="69">
        <v>23394686</v>
      </c>
      <c r="C1287" s="70" t="s">
        <v>1447</v>
      </c>
      <c r="D1287" s="70" t="s">
        <v>1</v>
      </c>
      <c r="E1287" s="70" t="s">
        <v>1</v>
      </c>
      <c r="F1287" s="70"/>
      <c r="G1287" s="70" t="s">
        <v>61</v>
      </c>
      <c r="H1287" s="70" t="s">
        <v>178</v>
      </c>
      <c r="I1287" s="70" t="s">
        <v>181</v>
      </c>
      <c r="J1287" s="71">
        <f>IF(OR(I1287=0,I1287=""),"unrated",VLOOKUP(I1287,MappingTables!$B$19:$C$31,2,FALSE))</f>
        <v>3</v>
      </c>
      <c r="K1287" s="72">
        <v>568.45022701384504</v>
      </c>
      <c r="L1287" s="70">
        <v>0.45479881201920904</v>
      </c>
      <c r="M1287" s="71">
        <f>IF(L1287&lt;1,1,L1287)</f>
        <v>1</v>
      </c>
      <c r="N1287" s="70" t="s">
        <v>141</v>
      </c>
      <c r="O1287" s="71">
        <f>INDEX(DurClassMapping,MATCH(M1287,MappingTables!$D$4:$D$8,-1),1)</f>
        <v>1</v>
      </c>
      <c r="P1287" s="73">
        <f>IF(M1287=$A$1,1,$M1287-INDEX(MappingTables!$E$4:$E$8,MATCH(O1287,MappingTables!$B$4:$B$8,0)))</f>
        <v>1</v>
      </c>
      <c r="Q1287" s="71">
        <f>IF(B1287="",0,INDEX(ModelParameters!$D$6:$K$10,MATCH($O1287,ModelParameters!$B$6:$B$10,0),MATCH($J1287,ModelParameters!$D$5:$K$5,0)))</f>
        <v>0.025</v>
      </c>
      <c r="R1287" s="71">
        <f>IF(B1287="",0,INDEX(ModelParameters!$D$13:$K$17,MATCH($O1287,ModelParameters!$B$13:$B$17,0),MATCH($J1287,ModelParameters!$D$5:$K$5,0)))</f>
        <v>0</v>
      </c>
      <c r="S1287" s="160">
        <f>IF(B1287="",0,MIN(IF($N1287="Other Bond TM",ModelParameters!$N$21,1)*(P1287*Q1287+R1287),1))</f>
        <v>0.025</v>
      </c>
      <c r="T1287" s="85">
        <f>IF(B1287="",0,$S1287*$K1287)</f>
        <v>14.211255675346126</v>
      </c>
      <c r="U1287" s="85">
        <f>IF(B1287="",0,IF(OR(H1287=MappingTables!$C$34,H1287=MappingTables!$C$35),T1287,0))</f>
        <v>0</v>
      </c>
      <c r="V1287" s="85">
        <f>IF(ISNA(IF(AND(VLOOKUP(CONCATENATE($D1287,$G1287),CSRFinput!$B:$E,4,0)=0,OR(H1287=MappingTables!$C$34,H1287=MappingTables!$C$35)),1,VLOOKUP(CONCATENATE($D1287,$G1287),CSRFinput!$B:$E,4,0))),0,IF(AND(VLOOKUP(CONCATENATE($D1287,$G1287),CSRFinput!$B:$E,4,0)=0,OR(H1287=MappingTables!$C$34,H1287=MappingTables!$C$35)),1,VLOOKUP(CONCATENATE($D1287,$G1287),CSRFinput!$B:$E,4,0)))</f>
        <v>0.054776304963434752</v>
      </c>
      <c r="W1287" s="85">
        <f>IF(B1287="",0,+$T1287*$V1287)</f>
        <v>0.7784400747861024</v>
      </c>
      <c r="X1287" s="85">
        <f>IF(B1287="",0,IF(OR(H1287=MappingTables!$C$34,H1287=MappingTables!$C$35),W1287,0))</f>
        <v>0</v>
      </c>
    </row>
    <row r="1288" spans="2:24" s="0" customFormat="0" ht="15">
      <c r="B1288" s="69">
        <v>15505727</v>
      </c>
      <c r="C1288" s="70" t="s">
        <v>1553</v>
      </c>
      <c r="D1288" s="70" t="s">
        <v>1</v>
      </c>
      <c r="E1288" s="70" t="s">
        <v>1</v>
      </c>
      <c r="F1288" s="70"/>
      <c r="G1288" s="70" t="s">
        <v>61</v>
      </c>
      <c r="H1288" s="70" t="s">
        <v>178</v>
      </c>
      <c r="I1288" s="70" t="s">
        <v>179</v>
      </c>
      <c r="J1288" s="71">
        <f>IF(OR(I1288=0,I1288=""),"unrated",VLOOKUP(I1288,MappingTables!$B$19:$C$31,2,FALSE))</f>
        <v>4</v>
      </c>
      <c r="K1288" s="72">
        <v>3338.4621908293516</v>
      </c>
      <c r="L1288" s="70">
        <v>0.04109699310935704</v>
      </c>
      <c r="M1288" s="71">
        <f>IF(L1288&lt;1,1,L1288)</f>
        <v>1</v>
      </c>
      <c r="N1288" s="70" t="s">
        <v>141</v>
      </c>
      <c r="O1288" s="71">
        <f>INDEX(DurClassMapping,MATCH(M1288,MappingTables!$D$4:$D$8,-1),1)</f>
        <v>1</v>
      </c>
      <c r="P1288" s="73">
        <f>IF(M1288=$A$1,1,$M1288-INDEX(MappingTables!$E$4:$E$8,MATCH(O1288,MappingTables!$B$4:$B$8,0)))</f>
        <v>1</v>
      </c>
      <c r="Q1288" s="71">
        <f>IF(B1288="",0,INDEX(ModelParameters!$D$6:$K$10,MATCH($O1288,ModelParameters!$B$6:$B$10,0),MATCH($J1288,ModelParameters!$D$5:$K$5,0)))</f>
        <v>0.045</v>
      </c>
      <c r="R1288" s="71">
        <f>IF(B1288="",0,INDEX(ModelParameters!$D$13:$K$17,MATCH($O1288,ModelParameters!$B$13:$B$17,0),MATCH($J1288,ModelParameters!$D$5:$K$5,0)))</f>
        <v>0</v>
      </c>
      <c r="S1288" s="160">
        <f>IF(B1288="",0,MIN(IF($N1288="Other Bond TM",ModelParameters!$N$21,1)*(P1288*Q1288+R1288),1))</f>
        <v>0.045</v>
      </c>
      <c r="T1288" s="85">
        <f>IF(B1288="",0,$S1288*$K1288)</f>
        <v>150.2307985873208</v>
      </c>
      <c r="U1288" s="85">
        <f>IF(B1288="",0,IF(OR(H1288=MappingTables!$C$34,H1288=MappingTables!$C$35),T1288,0))</f>
        <v>0</v>
      </c>
      <c r="V1288" s="85">
        <f>IF(ISNA(IF(AND(VLOOKUP(CONCATENATE($D1288,$G1288),CSRFinput!$B:$E,4,0)=0,OR(H1288=MappingTables!$C$34,H1288=MappingTables!$C$35)),1,VLOOKUP(CONCATENATE($D1288,$G1288),CSRFinput!$B:$E,4,0))),0,IF(AND(VLOOKUP(CONCATENATE($D1288,$G1288),CSRFinput!$B:$E,4,0)=0,OR(H1288=MappingTables!$C$34,H1288=MappingTables!$C$35)),1,VLOOKUP(CONCATENATE($D1288,$G1288),CSRFinput!$B:$E,4,0)))</f>
        <v>0.054776304963434752</v>
      </c>
      <c r="W1288" s="85">
        <f>IF(B1288="",0,+$T1288*$V1288)</f>
        <v>8.2290880383194272</v>
      </c>
      <c r="X1288" s="85">
        <f>IF(B1288="",0,IF(OR(H1288=MappingTables!$C$34,H1288=MappingTables!$C$35),W1288,0))</f>
        <v>0</v>
      </c>
    </row>
    <row r="1289" spans="2:24" s="0" customFormat="0" ht="15">
      <c r="B1289" s="69">
        <v>15137351</v>
      </c>
      <c r="C1289" s="70" t="s">
        <v>1554</v>
      </c>
      <c r="D1289" s="70" t="s">
        <v>1</v>
      </c>
      <c r="E1289" s="70" t="s">
        <v>1</v>
      </c>
      <c r="F1289" s="70"/>
      <c r="G1289" s="70" t="s">
        <v>61</v>
      </c>
      <c r="H1289" s="70" t="s">
        <v>178</v>
      </c>
      <c r="I1289" s="70" t="s">
        <v>188</v>
      </c>
      <c r="J1289" s="71">
        <f>IF(OR(I1289=0,I1289=""),"unrated",VLOOKUP(I1289,MappingTables!$B$19:$C$31,2,FALSE))</f>
        <v>2</v>
      </c>
      <c r="K1289" s="72">
        <v>446.39180162802416</v>
      </c>
      <c r="L1289" s="70">
        <v>1.6491892872260814</v>
      </c>
      <c r="M1289" s="71">
        <f>IF(L1289&lt;1,1,L1289)</f>
        <v>1.6491892872260814</v>
      </c>
      <c r="N1289" s="70" t="s">
        <v>141</v>
      </c>
      <c r="O1289" s="71">
        <f>INDEX(DurClassMapping,MATCH(M1289,MappingTables!$D$4:$D$8,-1),1)</f>
        <v>1</v>
      </c>
      <c r="P1289" s="73">
        <f>IF(M1289=$A$1,1,$M1289-INDEX(MappingTables!$E$4:$E$8,MATCH(O1289,MappingTables!$B$4:$B$8,0)))</f>
        <v>1.6491892872260814</v>
      </c>
      <c r="Q1289" s="71">
        <f>IF(B1289="",0,INDEX(ModelParameters!$D$6:$K$10,MATCH($O1289,ModelParameters!$B$6:$B$10,0),MATCH($J1289,ModelParameters!$D$5:$K$5,0)))</f>
        <v>0.013999999999999998</v>
      </c>
      <c r="R1289" s="71">
        <f>IF(B1289="",0,INDEX(ModelParameters!$D$13:$K$17,MATCH($O1289,ModelParameters!$B$13:$B$17,0),MATCH($J1289,ModelParameters!$D$5:$K$5,0)))</f>
        <v>0</v>
      </c>
      <c r="S1289" s="160">
        <f>IF(B1289="",0,MIN(IF($N1289="Other Bond TM",ModelParameters!$N$21,1)*(P1289*Q1289+R1289),1))</f>
        <v>0.023088650021165136</v>
      </c>
      <c r="T1289" s="85">
        <f>IF(B1289="",0,$S1289*$K1289)</f>
        <v>10.306584080106824</v>
      </c>
      <c r="U1289" s="85">
        <f>IF(B1289="",0,IF(OR(H1289=MappingTables!$C$34,H1289=MappingTables!$C$35),T1289,0))</f>
        <v>0</v>
      </c>
      <c r="V1289" s="85">
        <f>IF(ISNA(IF(AND(VLOOKUP(CONCATENATE($D1289,$G1289),CSRFinput!$B:$E,4,0)=0,OR(H1289=MappingTables!$C$34,H1289=MappingTables!$C$35)),1,VLOOKUP(CONCATENATE($D1289,$G1289),CSRFinput!$B:$E,4,0))),0,IF(AND(VLOOKUP(CONCATENATE($D1289,$G1289),CSRFinput!$B:$E,4,0)=0,OR(H1289=MappingTables!$C$34,H1289=MappingTables!$C$35)),1,VLOOKUP(CONCATENATE($D1289,$G1289),CSRFinput!$B:$E,4,0)))</f>
        <v>0.054776304963434752</v>
      </c>
      <c r="W1289" s="85">
        <f>IF(B1289="",0,+$T1289*$V1289)</f>
        <v>0.56455659270321304</v>
      </c>
      <c r="X1289" s="85">
        <f>IF(B1289="",0,IF(OR(H1289=MappingTables!$C$34,H1289=MappingTables!$C$35),W1289,0))</f>
        <v>0</v>
      </c>
    </row>
    <row r="1290" spans="2:24" s="0" customFormat="0" ht="15">
      <c r="B1290" s="69">
        <v>8657585</v>
      </c>
      <c r="C1290" s="70" t="s">
        <v>1215</v>
      </c>
      <c r="D1290" s="70" t="s">
        <v>1</v>
      </c>
      <c r="E1290" s="70" t="s">
        <v>1</v>
      </c>
      <c r="F1290" s="70"/>
      <c r="G1290" s="70" t="s">
        <v>61</v>
      </c>
      <c r="H1290" s="70" t="s">
        <v>178</v>
      </c>
      <c r="I1290" s="70" t="s">
        <v>188</v>
      </c>
      <c r="J1290" s="71">
        <f>IF(OR(I1290=0,I1290=""),"unrated",VLOOKUP(I1290,MappingTables!$B$19:$C$31,2,FALSE))</f>
        <v>2</v>
      </c>
      <c r="K1290" s="72">
        <v>0.28685588862144468</v>
      </c>
      <c r="L1290" s="70">
        <v>0.57534720113325952</v>
      </c>
      <c r="M1290" s="71">
        <f>IF(L1290&lt;1,1,L1290)</f>
        <v>1</v>
      </c>
      <c r="N1290" s="70" t="s">
        <v>141</v>
      </c>
      <c r="O1290" s="71">
        <f>INDEX(DurClassMapping,MATCH(M1290,MappingTables!$D$4:$D$8,-1),1)</f>
        <v>1</v>
      </c>
      <c r="P1290" s="73">
        <f>IF(M1290=$A$1,1,$M1290-INDEX(MappingTables!$E$4:$E$8,MATCH(O1290,MappingTables!$B$4:$B$8,0)))</f>
        <v>1</v>
      </c>
      <c r="Q1290" s="71">
        <f>IF(B1290="",0,INDEX(ModelParameters!$D$6:$K$10,MATCH($O1290,ModelParameters!$B$6:$B$10,0),MATCH($J1290,ModelParameters!$D$5:$K$5,0)))</f>
        <v>0.013999999999999998</v>
      </c>
      <c r="R1290" s="71">
        <f>IF(B1290="",0,INDEX(ModelParameters!$D$13:$K$17,MATCH($O1290,ModelParameters!$B$13:$B$17,0),MATCH($J1290,ModelParameters!$D$5:$K$5,0)))</f>
        <v>0</v>
      </c>
      <c r="S1290" s="160">
        <f>IF(B1290="",0,MIN(IF($N1290="Other Bond TM",ModelParameters!$N$21,1)*(P1290*Q1290+R1290),1))</f>
        <v>0.013999999999999998</v>
      </c>
      <c r="T1290" s="85">
        <f>IF(B1290="",0,$S1290*$K1290)</f>
        <v>0.0040159824407002248</v>
      </c>
      <c r="U1290" s="85">
        <f>IF(B1290="",0,IF(OR(H1290=MappingTables!$C$34,H1290=MappingTables!$C$35),T1290,0))</f>
        <v>0</v>
      </c>
      <c r="V1290" s="85">
        <f>IF(ISNA(IF(AND(VLOOKUP(CONCATENATE($D1290,$G1290),CSRFinput!$B:$E,4,0)=0,OR(H1290=MappingTables!$C$34,H1290=MappingTables!$C$35)),1,VLOOKUP(CONCATENATE($D1290,$G1290),CSRFinput!$B:$E,4,0))),0,IF(AND(VLOOKUP(CONCATENATE($D1290,$G1290),CSRFinput!$B:$E,4,0)=0,OR(H1290=MappingTables!$C$34,H1290=MappingTables!$C$35)),1,VLOOKUP(CONCATENATE($D1290,$G1290),CSRFinput!$B:$E,4,0)))</f>
        <v>0.054776304963434752</v>
      </c>
      <c r="W1290" s="85">
        <f>IF(B1290="",0,+$T1290*$V1290)</f>
        <v>0.00021998067889959456</v>
      </c>
      <c r="X1290" s="85">
        <f>IF(B1290="",0,IF(OR(H1290=MappingTables!$C$34,H1290=MappingTables!$C$35),W1290,0))</f>
        <v>0</v>
      </c>
    </row>
    <row r="1291" spans="2:24" s="0" customFormat="0" ht="15">
      <c r="B1291" s="69" t="s">
        <v>1555</v>
      </c>
      <c r="C1291" s="70" t="s">
        <v>1556</v>
      </c>
      <c r="D1291" s="70" t="s">
        <v>1</v>
      </c>
      <c r="E1291" s="70" t="s">
        <v>1</v>
      </c>
      <c r="F1291" s="70"/>
      <c r="G1291" s="70" t="s">
        <v>61</v>
      </c>
      <c r="H1291" s="70" t="s">
        <v>178</v>
      </c>
      <c r="I1291" s="70" t="s">
        <v>188</v>
      </c>
      <c r="J1291" s="71">
        <f>IF(OR(I1291=0,I1291=""),"unrated",VLOOKUP(I1291,MappingTables!$B$19:$C$31,2,FALSE))</f>
        <v>2</v>
      </c>
      <c r="K1291" s="72">
        <v>718.39733588963224</v>
      </c>
      <c r="L1291" s="70">
        <v>1.4271266826699484</v>
      </c>
      <c r="M1291" s="71">
        <f>IF(L1291&lt;1,1,L1291)</f>
        <v>1.4271266826699484</v>
      </c>
      <c r="N1291" s="70" t="s">
        <v>141</v>
      </c>
      <c r="O1291" s="71">
        <f>INDEX(DurClassMapping,MATCH(M1291,MappingTables!$D$4:$D$8,-1),1)</f>
        <v>1</v>
      </c>
      <c r="P1291" s="73">
        <f>IF(M1291=$A$1,1,$M1291-INDEX(MappingTables!$E$4:$E$8,MATCH(O1291,MappingTables!$B$4:$B$8,0)))</f>
        <v>1.4271266826699484</v>
      </c>
      <c r="Q1291" s="71">
        <f>IF(B1291="",0,INDEX(ModelParameters!$D$6:$K$10,MATCH($O1291,ModelParameters!$B$6:$B$10,0),MATCH($J1291,ModelParameters!$D$5:$K$5,0)))</f>
        <v>0.013999999999999998</v>
      </c>
      <c r="R1291" s="71">
        <f>IF(B1291="",0,INDEX(ModelParameters!$D$13:$K$17,MATCH($O1291,ModelParameters!$B$13:$B$17,0),MATCH($J1291,ModelParameters!$D$5:$K$5,0)))</f>
        <v>0</v>
      </c>
      <c r="S1291" s="160">
        <f>IF(B1291="",0,MIN(IF($N1291="Other Bond TM",ModelParameters!$N$21,1)*(P1291*Q1291+R1291),1))</f>
        <v>0.019979773557379276</v>
      </c>
      <c r="T1291" s="85">
        <f>IF(B1291="",0,$S1291*$K1291)</f>
        <v>14.353416095299392</v>
      </c>
      <c r="U1291" s="85">
        <f>IF(B1291="",0,IF(OR(H1291=MappingTables!$C$34,H1291=MappingTables!$C$35),T1291,0))</f>
        <v>0</v>
      </c>
      <c r="V1291" s="85">
        <f>IF(ISNA(IF(AND(VLOOKUP(CONCATENATE($D1291,$G1291),CSRFinput!$B:$E,4,0)=0,OR(H1291=MappingTables!$C$34,H1291=MappingTables!$C$35)),1,VLOOKUP(CONCATENATE($D1291,$G1291),CSRFinput!$B:$E,4,0))),0,IF(AND(VLOOKUP(CONCATENATE($D1291,$G1291),CSRFinput!$B:$E,4,0)=0,OR(H1291=MappingTables!$C$34,H1291=MappingTables!$C$35)),1,VLOOKUP(CONCATENATE($D1291,$G1291),CSRFinput!$B:$E,4,0)))</f>
        <v>0.054776304963434752</v>
      </c>
      <c r="W1291" s="85">
        <f>IF(B1291="",0,+$T1291*$V1291)</f>
        <v>0.78622709730319248</v>
      </c>
      <c r="X1291" s="85">
        <f>IF(B1291="",0,IF(OR(H1291=MappingTables!$C$34,H1291=MappingTables!$C$35),W1291,0))</f>
        <v>0</v>
      </c>
    </row>
    <row r="1292" spans="2:24" s="0" customFormat="0" ht="15">
      <c r="B1292" s="69">
        <v>12641065</v>
      </c>
      <c r="C1292" s="70" t="s">
        <v>944</v>
      </c>
      <c r="D1292" s="70" t="s">
        <v>1</v>
      </c>
      <c r="E1292" s="70" t="s">
        <v>1</v>
      </c>
      <c r="F1292" s="70"/>
      <c r="G1292" s="70" t="s">
        <v>61</v>
      </c>
      <c r="H1292" s="70" t="s">
        <v>178</v>
      </c>
      <c r="I1292" s="70" t="s">
        <v>181</v>
      </c>
      <c r="J1292" s="71">
        <f>IF(OR(I1292=0,I1292=""),"unrated",VLOOKUP(I1292,MappingTables!$B$19:$C$31,2,FALSE))</f>
        <v>3</v>
      </c>
      <c r="K1292" s="72">
        <v>1215.5168431190334</v>
      </c>
      <c r="L1292" s="70">
        <v>0.65536385084430984</v>
      </c>
      <c r="M1292" s="71">
        <f>IF(L1292&lt;1,1,L1292)</f>
        <v>1</v>
      </c>
      <c r="N1292" s="70" t="s">
        <v>141</v>
      </c>
      <c r="O1292" s="71">
        <f>INDEX(DurClassMapping,MATCH(M1292,MappingTables!$D$4:$D$8,-1),1)</f>
        <v>1</v>
      </c>
      <c r="P1292" s="73">
        <f>IF(M1292=$A$1,1,$M1292-INDEX(MappingTables!$E$4:$E$8,MATCH(O1292,MappingTables!$B$4:$B$8,0)))</f>
        <v>1</v>
      </c>
      <c r="Q1292" s="71">
        <f>IF(B1292="",0,INDEX(ModelParameters!$D$6:$K$10,MATCH($O1292,ModelParameters!$B$6:$B$10,0),MATCH($J1292,ModelParameters!$D$5:$K$5,0)))</f>
        <v>0.025</v>
      </c>
      <c r="R1292" s="71">
        <f>IF(B1292="",0,INDEX(ModelParameters!$D$13:$K$17,MATCH($O1292,ModelParameters!$B$13:$B$17,0),MATCH($J1292,ModelParameters!$D$5:$K$5,0)))</f>
        <v>0</v>
      </c>
      <c r="S1292" s="160">
        <f>IF(B1292="",0,MIN(IF($N1292="Other Bond TM",ModelParameters!$N$21,1)*(P1292*Q1292+R1292),1))</f>
        <v>0.025</v>
      </c>
      <c r="T1292" s="85">
        <f>IF(B1292="",0,$S1292*$K1292)</f>
        <v>30.387921077975836</v>
      </c>
      <c r="U1292" s="85">
        <f>IF(B1292="",0,IF(OR(H1292=MappingTables!$C$34,H1292=MappingTables!$C$35),T1292,0))</f>
        <v>0</v>
      </c>
      <c r="V1292" s="85">
        <f>IF(ISNA(IF(AND(VLOOKUP(CONCATENATE($D1292,$G1292),CSRFinput!$B:$E,4,0)=0,OR(H1292=MappingTables!$C$34,H1292=MappingTables!$C$35)),1,VLOOKUP(CONCATENATE($D1292,$G1292),CSRFinput!$B:$E,4,0))),0,IF(AND(VLOOKUP(CONCATENATE($D1292,$G1292),CSRFinput!$B:$E,4,0)=0,OR(H1292=MappingTables!$C$34,H1292=MappingTables!$C$35)),1,VLOOKUP(CONCATENATE($D1292,$G1292),CSRFinput!$B:$E,4,0)))</f>
        <v>0.054776304963434752</v>
      </c>
      <c r="W1292" s="85">
        <f>IF(B1292="",0,+$T1292*$V1292)</f>
        <v>1.6645380321719914</v>
      </c>
      <c r="X1292" s="85">
        <f>IF(B1292="",0,IF(OR(H1292=MappingTables!$C$34,H1292=MappingTables!$C$35),W1292,0))</f>
        <v>0</v>
      </c>
    </row>
    <row r="1293" spans="2:24" s="0" customFormat="0" ht="15">
      <c r="B1293" s="69" t="s">
        <v>1557</v>
      </c>
      <c r="C1293" s="70" t="s">
        <v>1558</v>
      </c>
      <c r="D1293" s="70" t="s">
        <v>1</v>
      </c>
      <c r="E1293" s="70" t="s">
        <v>1</v>
      </c>
      <c r="F1293" s="70"/>
      <c r="G1293" s="70" t="s">
        <v>61</v>
      </c>
      <c r="H1293" s="70" t="s">
        <v>178</v>
      </c>
      <c r="I1293" s="70" t="s">
        <v>181</v>
      </c>
      <c r="J1293" s="71">
        <f>IF(OR(I1293=0,I1293=""),"unrated",VLOOKUP(I1293,MappingTables!$B$19:$C$31,2,FALSE))</f>
        <v>3</v>
      </c>
      <c r="K1293" s="72">
        <v>212.88837902488892</v>
      </c>
      <c r="L1293" s="70">
        <v>16.59220233342808</v>
      </c>
      <c r="M1293" s="71">
        <f>IF(L1293&lt;1,1,L1293)</f>
        <v>16.59220233342808</v>
      </c>
      <c r="N1293" s="70" t="s">
        <v>141</v>
      </c>
      <c r="O1293" s="71">
        <f>INDEX(DurClassMapping,MATCH(M1293,MappingTables!$D$4:$D$8,-1),1)</f>
        <v>4</v>
      </c>
      <c r="P1293" s="73">
        <f>IF(M1293=$A$1,1,$M1293-INDEX(MappingTables!$E$4:$E$8,MATCH(O1293,MappingTables!$B$4:$B$8,0)))</f>
        <v>1.5922023334280802</v>
      </c>
      <c r="Q1293" s="71">
        <f>IF(B1293="",0,INDEX(ModelParameters!$D$6:$K$10,MATCH($O1293,ModelParameters!$B$6:$B$10,0),MATCH($J1293,ModelParameters!$D$5:$K$5,0)))</f>
        <v>0.01</v>
      </c>
      <c r="R1293" s="71">
        <f>IF(B1293="",0,INDEX(ModelParameters!$D$13:$K$17,MATCH($O1293,ModelParameters!$B$13:$B$17,0),MATCH($J1293,ModelParameters!$D$5:$K$5,0)))</f>
        <v>0.25</v>
      </c>
      <c r="S1293" s="160">
        <f>IF(B1293="",0,MIN(IF($N1293="Other Bond TM",ModelParameters!$N$21,1)*(P1293*Q1293+R1293),1))</f>
        <v>0.26592202333428076</v>
      </c>
      <c r="T1293" s="85">
        <f>IF(B1293="",0,$S1293*$K1293)</f>
        <v>56.61170849465372</v>
      </c>
      <c r="U1293" s="85">
        <f>IF(B1293="",0,IF(OR(H1293=MappingTables!$C$34,H1293=MappingTables!$C$35),T1293,0))</f>
        <v>0</v>
      </c>
      <c r="V1293" s="85">
        <f>IF(ISNA(IF(AND(VLOOKUP(CONCATENATE($D1293,$G1293),CSRFinput!$B:$E,4,0)=0,OR(H1293=MappingTables!$C$34,H1293=MappingTables!$C$35)),1,VLOOKUP(CONCATENATE($D1293,$G1293),CSRFinput!$B:$E,4,0))),0,IF(AND(VLOOKUP(CONCATENATE($D1293,$G1293),CSRFinput!$B:$E,4,0)=0,OR(H1293=MappingTables!$C$34,H1293=MappingTables!$C$35)),1,VLOOKUP(CONCATENATE($D1293,$G1293),CSRFinput!$B:$E,4,0)))</f>
        <v>0.054776304963434752</v>
      </c>
      <c r="W1293" s="85">
        <f>IF(B1293="",0,+$T1293*$V1293)</f>
        <v>3.1009802090042216</v>
      </c>
      <c r="X1293" s="85">
        <f>IF(B1293="",0,IF(OR(H1293=MappingTables!$C$34,H1293=MappingTables!$C$35),W1293,0))</f>
        <v>0</v>
      </c>
    </row>
    <row r="1294" spans="2:24" s="0" customFormat="0" ht="15">
      <c r="B1294" s="69">
        <v>11828354</v>
      </c>
      <c r="C1294" s="70" t="s">
        <v>1559</v>
      </c>
      <c r="D1294" s="70" t="s">
        <v>1</v>
      </c>
      <c r="E1294" s="70" t="s">
        <v>1</v>
      </c>
      <c r="F1294" s="70"/>
      <c r="G1294" s="70" t="s">
        <v>61</v>
      </c>
      <c r="H1294" s="70" t="s">
        <v>178</v>
      </c>
      <c r="I1294" s="70" t="s">
        <v>181</v>
      </c>
      <c r="J1294" s="71">
        <f>IF(OR(I1294=0,I1294=""),"unrated",VLOOKUP(I1294,MappingTables!$B$19:$C$31,2,FALSE))</f>
        <v>3</v>
      </c>
      <c r="K1294" s="72">
        <v>959.14895897671312</v>
      </c>
      <c r="L1294" s="70">
        <v>0.20547805190992256</v>
      </c>
      <c r="M1294" s="71">
        <f>IF(L1294&lt;1,1,L1294)</f>
        <v>1</v>
      </c>
      <c r="N1294" s="70" t="s">
        <v>141</v>
      </c>
      <c r="O1294" s="71">
        <f>INDEX(DurClassMapping,MATCH(M1294,MappingTables!$D$4:$D$8,-1),1)</f>
        <v>1</v>
      </c>
      <c r="P1294" s="73">
        <f>IF(M1294=$A$1,1,$M1294-INDEX(MappingTables!$E$4:$E$8,MATCH(O1294,MappingTables!$B$4:$B$8,0)))</f>
        <v>1</v>
      </c>
      <c r="Q1294" s="71">
        <f>IF(B1294="",0,INDEX(ModelParameters!$D$6:$K$10,MATCH($O1294,ModelParameters!$B$6:$B$10,0),MATCH($J1294,ModelParameters!$D$5:$K$5,0)))</f>
        <v>0.025</v>
      </c>
      <c r="R1294" s="71">
        <f>IF(B1294="",0,INDEX(ModelParameters!$D$13:$K$17,MATCH($O1294,ModelParameters!$B$13:$B$17,0),MATCH($J1294,ModelParameters!$D$5:$K$5,0)))</f>
        <v>0</v>
      </c>
      <c r="S1294" s="160">
        <f>IF(B1294="",0,MIN(IF($N1294="Other Bond TM",ModelParameters!$N$21,1)*(P1294*Q1294+R1294),1))</f>
        <v>0.025</v>
      </c>
      <c r="T1294" s="85">
        <f>IF(B1294="",0,$S1294*$K1294)</f>
        <v>23.978723974417828</v>
      </c>
      <c r="U1294" s="85">
        <f>IF(B1294="",0,IF(OR(H1294=MappingTables!$C$34,H1294=MappingTables!$C$35),T1294,0))</f>
        <v>0</v>
      </c>
      <c r="V1294" s="85">
        <f>IF(ISNA(IF(AND(VLOOKUP(CONCATENATE($D1294,$G1294),CSRFinput!$B:$E,4,0)=0,OR(H1294=MappingTables!$C$34,H1294=MappingTables!$C$35)),1,VLOOKUP(CONCATENATE($D1294,$G1294),CSRFinput!$B:$E,4,0))),0,IF(AND(VLOOKUP(CONCATENATE($D1294,$G1294),CSRFinput!$B:$E,4,0)=0,OR(H1294=MappingTables!$C$34,H1294=MappingTables!$C$35)),1,VLOOKUP(CONCATENATE($D1294,$G1294),CSRFinput!$B:$E,4,0)))</f>
        <v>0.054776304963434752</v>
      </c>
      <c r="W1294" s="85">
        <f>IF(B1294="",0,+$T1294*$V1294)</f>
        <v>1.3134658970567352</v>
      </c>
      <c r="X1294" s="85">
        <f>IF(B1294="",0,IF(OR(H1294=MappingTables!$C$34,H1294=MappingTables!$C$35),W1294,0))</f>
        <v>0</v>
      </c>
    </row>
    <row r="1295" spans="2:24" s="0" customFormat="0" ht="15">
      <c r="B1295" s="69">
        <v>18714148</v>
      </c>
      <c r="C1295" s="70" t="s">
        <v>1560</v>
      </c>
      <c r="D1295" s="70" t="s">
        <v>1</v>
      </c>
      <c r="E1295" s="70" t="s">
        <v>1</v>
      </c>
      <c r="F1295" s="70"/>
      <c r="G1295" s="70" t="s">
        <v>61</v>
      </c>
      <c r="H1295" s="70" t="s">
        <v>178</v>
      </c>
      <c r="I1295" s="70" t="s">
        <v>181</v>
      </c>
      <c r="J1295" s="71">
        <f>IF(OR(I1295=0,I1295=""),"unrated",VLOOKUP(I1295,MappingTables!$B$19:$C$31,2,FALSE))</f>
        <v>3</v>
      </c>
      <c r="K1295" s="72">
        <v>3643.5569307307184</v>
      </c>
      <c r="L1295" s="70">
        <v>0.9652247697486552</v>
      </c>
      <c r="M1295" s="71">
        <f>IF(L1295&lt;1,1,L1295)</f>
        <v>1</v>
      </c>
      <c r="N1295" s="70" t="s">
        <v>141</v>
      </c>
      <c r="O1295" s="71">
        <f>INDEX(DurClassMapping,MATCH(M1295,MappingTables!$D$4:$D$8,-1),1)</f>
        <v>1</v>
      </c>
      <c r="P1295" s="73">
        <f>IF(M1295=$A$1,1,$M1295-INDEX(MappingTables!$E$4:$E$8,MATCH(O1295,MappingTables!$B$4:$B$8,0)))</f>
        <v>1</v>
      </c>
      <c r="Q1295" s="71">
        <f>IF(B1295="",0,INDEX(ModelParameters!$D$6:$K$10,MATCH($O1295,ModelParameters!$B$6:$B$10,0),MATCH($J1295,ModelParameters!$D$5:$K$5,0)))</f>
        <v>0.025</v>
      </c>
      <c r="R1295" s="71">
        <f>IF(B1295="",0,INDEX(ModelParameters!$D$13:$K$17,MATCH($O1295,ModelParameters!$B$13:$B$17,0),MATCH($J1295,ModelParameters!$D$5:$K$5,0)))</f>
        <v>0</v>
      </c>
      <c r="S1295" s="160">
        <f>IF(B1295="",0,MIN(IF($N1295="Other Bond TM",ModelParameters!$N$21,1)*(P1295*Q1295+R1295),1))</f>
        <v>0.025</v>
      </c>
      <c r="T1295" s="85">
        <f>IF(B1295="",0,$S1295*$K1295)</f>
        <v>91.088923268267968</v>
      </c>
      <c r="U1295" s="85">
        <f>IF(B1295="",0,IF(OR(H1295=MappingTables!$C$34,H1295=MappingTables!$C$35),T1295,0))</f>
        <v>0</v>
      </c>
      <c r="V1295" s="85">
        <f>IF(ISNA(IF(AND(VLOOKUP(CONCATENATE($D1295,$G1295),CSRFinput!$B:$E,4,0)=0,OR(H1295=MappingTables!$C$34,H1295=MappingTables!$C$35)),1,VLOOKUP(CONCATENATE($D1295,$G1295),CSRFinput!$B:$E,4,0))),0,IF(AND(VLOOKUP(CONCATENATE($D1295,$G1295),CSRFinput!$B:$E,4,0)=0,OR(H1295=MappingTables!$C$34,H1295=MappingTables!$C$35)),1,VLOOKUP(CONCATENATE($D1295,$G1295),CSRFinput!$B:$E,4,0)))</f>
        <v>0.054776304963434752</v>
      </c>
      <c r="W1295" s="85">
        <f>IF(B1295="",0,+$T1295*$V1295)</f>
        <v>4.9895146397335536</v>
      </c>
      <c r="X1295" s="85">
        <f>IF(B1295="",0,IF(OR(H1295=MappingTables!$C$34,H1295=MappingTables!$C$35),W1295,0))</f>
        <v>0</v>
      </c>
    </row>
    <row r="1296" spans="2:24" s="0" customFormat="0" ht="15">
      <c r="B1296" s="69">
        <v>18807689</v>
      </c>
      <c r="C1296" s="70" t="s">
        <v>1561</v>
      </c>
      <c r="D1296" s="70" t="s">
        <v>1</v>
      </c>
      <c r="E1296" s="70" t="s">
        <v>1</v>
      </c>
      <c r="F1296" s="70"/>
      <c r="G1296" s="70" t="s">
        <v>61</v>
      </c>
      <c r="H1296" s="70" t="s">
        <v>178</v>
      </c>
      <c r="I1296" s="70" t="s">
        <v>179</v>
      </c>
      <c r="J1296" s="71">
        <f>IF(OR(I1296=0,I1296=""),"unrated",VLOOKUP(I1296,MappingTables!$B$19:$C$31,2,FALSE))</f>
        <v>4</v>
      </c>
      <c r="K1296" s="72">
        <v>22717.40099724756</v>
      </c>
      <c r="L1296" s="70">
        <v>2.8332999833791764</v>
      </c>
      <c r="M1296" s="71">
        <f>IF(L1296&lt;1,1,L1296)</f>
        <v>2.8332999833791764</v>
      </c>
      <c r="N1296" s="70" t="s">
        <v>141</v>
      </c>
      <c r="O1296" s="71">
        <f>INDEX(DurClassMapping,MATCH(M1296,MappingTables!$D$4:$D$8,-1),1)</f>
        <v>1</v>
      </c>
      <c r="P1296" s="73">
        <f>IF(M1296=$A$1,1,$M1296-INDEX(MappingTables!$E$4:$E$8,MATCH(O1296,MappingTables!$B$4:$B$8,0)))</f>
        <v>2.8332999833791764</v>
      </c>
      <c r="Q1296" s="71">
        <f>IF(B1296="",0,INDEX(ModelParameters!$D$6:$K$10,MATCH($O1296,ModelParameters!$B$6:$B$10,0),MATCH($J1296,ModelParameters!$D$5:$K$5,0)))</f>
        <v>0.045</v>
      </c>
      <c r="R1296" s="71">
        <f>IF(B1296="",0,INDEX(ModelParameters!$D$13:$K$17,MATCH($O1296,ModelParameters!$B$13:$B$17,0),MATCH($J1296,ModelParameters!$D$5:$K$5,0)))</f>
        <v>0</v>
      </c>
      <c r="S1296" s="160">
        <f>IF(B1296="",0,MIN(IF($N1296="Other Bond TM",ModelParameters!$N$21,1)*(P1296*Q1296+R1296),1))</f>
        <v>0.12749849925206294</v>
      </c>
      <c r="T1296" s="85">
        <f>IF(B1296="",0,$S1296*$K1296)</f>
        <v>2896.4345340563824</v>
      </c>
      <c r="U1296" s="85">
        <f>IF(B1296="",0,IF(OR(H1296=MappingTables!$C$34,H1296=MappingTables!$C$35),T1296,0))</f>
        <v>0</v>
      </c>
      <c r="V1296" s="85">
        <f>IF(ISNA(IF(AND(VLOOKUP(CONCATENATE($D1296,$G1296),CSRFinput!$B:$E,4,0)=0,OR(H1296=MappingTables!$C$34,H1296=MappingTables!$C$35)),1,VLOOKUP(CONCATENATE($D1296,$G1296),CSRFinput!$B:$E,4,0))),0,IF(AND(VLOOKUP(CONCATENATE($D1296,$G1296),CSRFinput!$B:$E,4,0)=0,OR(H1296=MappingTables!$C$34,H1296=MappingTables!$C$35)),1,VLOOKUP(CONCATENATE($D1296,$G1296),CSRFinput!$B:$E,4,0)))</f>
        <v>0.054776304963434752</v>
      </c>
      <c r="W1296" s="85">
        <f>IF(B1296="",0,+$T1296*$V1296)</f>
        <v>158.65598134409644</v>
      </c>
      <c r="X1296" s="85">
        <f>IF(B1296="",0,IF(OR(H1296=MappingTables!$C$34,H1296=MappingTables!$C$35),W1296,0))</f>
        <v>0</v>
      </c>
    </row>
    <row r="1297" spans="2:24" s="0" customFormat="0" ht="15">
      <c r="B1297" s="69">
        <v>23297632</v>
      </c>
      <c r="C1297" s="70" t="s">
        <v>1562</v>
      </c>
      <c r="D1297" s="70" t="s">
        <v>1</v>
      </c>
      <c r="E1297" s="70" t="s">
        <v>1</v>
      </c>
      <c r="F1297" s="70"/>
      <c r="G1297" s="70" t="s">
        <v>61</v>
      </c>
      <c r="H1297" s="70" t="s">
        <v>178</v>
      </c>
      <c r="I1297" s="70" t="s">
        <v>220</v>
      </c>
      <c r="J1297" s="71">
        <f>IF(OR(I1297=0,I1297=""),"unrated",VLOOKUP(I1297,MappingTables!$B$19:$C$31,2,FALSE))</f>
        <v>1</v>
      </c>
      <c r="K1297" s="72">
        <v>3830.9144611229512</v>
      </c>
      <c r="L1297" s="70">
        <v>0.06301513237283368</v>
      </c>
      <c r="M1297" s="71">
        <f>IF(L1297&lt;1,1,L1297)</f>
        <v>1</v>
      </c>
      <c r="N1297" s="70" t="s">
        <v>141</v>
      </c>
      <c r="O1297" s="71">
        <f>INDEX(DurClassMapping,MATCH(M1297,MappingTables!$D$4:$D$8,-1),1)</f>
        <v>1</v>
      </c>
      <c r="P1297" s="73">
        <f>IF(M1297=$A$1,1,$M1297-INDEX(MappingTables!$E$4:$E$8,MATCH(O1297,MappingTables!$B$4:$B$8,0)))</f>
        <v>1</v>
      </c>
      <c r="Q1297" s="71">
        <f>IF(B1297="",0,INDEX(ModelParameters!$D$6:$K$10,MATCH($O1297,ModelParameters!$B$6:$B$10,0),MATCH($J1297,ModelParameters!$D$5:$K$5,0)))</f>
        <v>0.011000000000000002</v>
      </c>
      <c r="R1297" s="71">
        <f>IF(B1297="",0,INDEX(ModelParameters!$D$13:$K$17,MATCH($O1297,ModelParameters!$B$13:$B$17,0),MATCH($J1297,ModelParameters!$D$5:$K$5,0)))</f>
        <v>0</v>
      </c>
      <c r="S1297" s="160">
        <f>IF(B1297="",0,MIN(IF($N1297="Other Bond TM",ModelParameters!$N$21,1)*(P1297*Q1297+R1297),1))</f>
        <v>0.011000000000000002</v>
      </c>
      <c r="T1297" s="85">
        <f>IF(B1297="",0,$S1297*$K1297)</f>
        <v>42.140059072352472</v>
      </c>
      <c r="U1297" s="85">
        <f>IF(B1297="",0,IF(OR(H1297=MappingTables!$C$34,H1297=MappingTables!$C$35),T1297,0))</f>
        <v>0</v>
      </c>
      <c r="V1297" s="85">
        <f>IF(ISNA(IF(AND(VLOOKUP(CONCATENATE($D1297,$G1297),CSRFinput!$B:$E,4,0)=0,OR(H1297=MappingTables!$C$34,H1297=MappingTables!$C$35)),1,VLOOKUP(CONCATENATE($D1297,$G1297),CSRFinput!$B:$E,4,0))),0,IF(AND(VLOOKUP(CONCATENATE($D1297,$G1297),CSRFinput!$B:$E,4,0)=0,OR(H1297=MappingTables!$C$34,H1297=MappingTables!$C$35)),1,VLOOKUP(CONCATENATE($D1297,$G1297),CSRFinput!$B:$E,4,0)))</f>
        <v>0.054776304963434752</v>
      </c>
      <c r="W1297" s="85">
        <f>IF(B1297="",0,+$T1297*$V1297)</f>
        <v>2.3082767269243344</v>
      </c>
      <c r="X1297" s="85">
        <f>IF(B1297="",0,IF(OR(H1297=MappingTables!$C$34,H1297=MappingTables!$C$35),W1297,0))</f>
        <v>0</v>
      </c>
    </row>
    <row r="1298" spans="2:24" s="0" customFormat="0" ht="15">
      <c r="B1298" s="69">
        <v>22698143</v>
      </c>
      <c r="C1298" s="70" t="s">
        <v>1563</v>
      </c>
      <c r="D1298" s="70" t="s">
        <v>1</v>
      </c>
      <c r="E1298" s="70" t="s">
        <v>1</v>
      </c>
      <c r="F1298" s="70"/>
      <c r="G1298" s="70" t="s">
        <v>61</v>
      </c>
      <c r="H1298" s="70" t="s">
        <v>178</v>
      </c>
      <c r="I1298" s="70" t="s">
        <v>179</v>
      </c>
      <c r="J1298" s="71">
        <f>IF(OR(I1298=0,I1298=""),"unrated",VLOOKUP(I1298,MappingTables!$B$19:$C$31,2,FALSE))</f>
        <v>4</v>
      </c>
      <c r="K1298" s="72">
        <v>87.65476845295352</v>
      </c>
      <c r="L1298" s="70">
        <v>2.3465338609374224</v>
      </c>
      <c r="M1298" s="71">
        <f>IF(L1298&lt;1,1,L1298)</f>
        <v>2.3465338609374224</v>
      </c>
      <c r="N1298" s="70" t="s">
        <v>141</v>
      </c>
      <c r="O1298" s="71">
        <f>INDEX(DurClassMapping,MATCH(M1298,MappingTables!$D$4:$D$8,-1),1)</f>
        <v>1</v>
      </c>
      <c r="P1298" s="73">
        <f>IF(M1298=$A$1,1,$M1298-INDEX(MappingTables!$E$4:$E$8,MATCH(O1298,MappingTables!$B$4:$B$8,0)))</f>
        <v>2.3465338609374224</v>
      </c>
      <c r="Q1298" s="71">
        <f>IF(B1298="",0,INDEX(ModelParameters!$D$6:$K$10,MATCH($O1298,ModelParameters!$B$6:$B$10,0),MATCH($J1298,ModelParameters!$D$5:$K$5,0)))</f>
        <v>0.045</v>
      </c>
      <c r="R1298" s="71">
        <f>IF(B1298="",0,INDEX(ModelParameters!$D$13:$K$17,MATCH($O1298,ModelParameters!$B$13:$B$17,0),MATCH($J1298,ModelParameters!$D$5:$K$5,0)))</f>
        <v>0</v>
      </c>
      <c r="S1298" s="160">
        <f>IF(B1298="",0,MIN(IF($N1298="Other Bond TM",ModelParameters!$N$21,1)*(P1298*Q1298+R1298),1))</f>
        <v>0.105594023742184</v>
      </c>
      <c r="T1298" s="85">
        <f>IF(B1298="",0,$S1298*$K1298)</f>
        <v>9.2558197011368128</v>
      </c>
      <c r="U1298" s="85">
        <f>IF(B1298="",0,IF(OR(H1298=MappingTables!$C$34,H1298=MappingTables!$C$35),T1298,0))</f>
        <v>0</v>
      </c>
      <c r="V1298" s="85">
        <f>IF(ISNA(IF(AND(VLOOKUP(CONCATENATE($D1298,$G1298),CSRFinput!$B:$E,4,0)=0,OR(H1298=MappingTables!$C$34,H1298=MappingTables!$C$35)),1,VLOOKUP(CONCATENATE($D1298,$G1298),CSRFinput!$B:$E,4,0))),0,IF(AND(VLOOKUP(CONCATENATE($D1298,$G1298),CSRFinput!$B:$E,4,0)=0,OR(H1298=MappingTables!$C$34,H1298=MappingTables!$C$35)),1,VLOOKUP(CONCATENATE($D1298,$G1298),CSRFinput!$B:$E,4,0)))</f>
        <v>0.054776304963434752</v>
      </c>
      <c r="W1298" s="85">
        <f>IF(B1298="",0,+$T1298*$V1298)</f>
        <v>0.5069996026360376</v>
      </c>
      <c r="X1298" s="85">
        <f>IF(B1298="",0,IF(OR(H1298=MappingTables!$C$34,H1298=MappingTables!$C$35),W1298,0))</f>
        <v>0</v>
      </c>
    </row>
    <row r="1299" spans="2:24" s="0" customFormat="0" ht="15">
      <c r="B1299" s="69">
        <v>2628622</v>
      </c>
      <c r="C1299" s="70" t="s">
        <v>1564</v>
      </c>
      <c r="D1299" s="70" t="s">
        <v>1</v>
      </c>
      <c r="E1299" s="70" t="s">
        <v>1</v>
      </c>
      <c r="F1299" s="70"/>
      <c r="G1299" s="70" t="s">
        <v>61</v>
      </c>
      <c r="H1299" s="70" t="s">
        <v>178</v>
      </c>
      <c r="I1299" s="70" t="s">
        <v>181</v>
      </c>
      <c r="J1299" s="71">
        <f>IF(OR(I1299=0,I1299=""),"unrated",VLOOKUP(I1299,MappingTables!$B$19:$C$31,2,FALSE))</f>
        <v>3</v>
      </c>
      <c r="K1299" s="72">
        <v>17698.28941681877</v>
      </c>
      <c r="L1299" s="70">
        <v>11.9517254021135</v>
      </c>
      <c r="M1299" s="71">
        <f>IF(L1299&lt;1,1,L1299)</f>
        <v>11.9517254021135</v>
      </c>
      <c r="N1299" s="70" t="s">
        <v>141</v>
      </c>
      <c r="O1299" s="71">
        <f>INDEX(DurClassMapping,MATCH(M1299,MappingTables!$D$4:$D$8,-1),1)</f>
        <v>3</v>
      </c>
      <c r="P1299" s="73">
        <f>IF(M1299=$A$1,1,$M1299-INDEX(MappingTables!$E$4:$E$8,MATCH(O1299,MappingTables!$B$4:$B$8,0)))</f>
        <v>1.9517254021134996</v>
      </c>
      <c r="Q1299" s="71">
        <f>IF(B1299="",0,INDEX(ModelParameters!$D$6:$K$10,MATCH($O1299,ModelParameters!$B$6:$B$10,0),MATCH($J1299,ModelParameters!$D$5:$K$5,0)))</f>
        <v>0.01</v>
      </c>
      <c r="R1299" s="71">
        <f>IF(B1299="",0,INDEX(ModelParameters!$D$13:$K$17,MATCH($O1299,ModelParameters!$B$13:$B$17,0),MATCH($J1299,ModelParameters!$D$5:$K$5,0)))</f>
        <v>0.2</v>
      </c>
      <c r="S1299" s="160">
        <f>IF(B1299="",0,MIN(IF($N1299="Other Bond TM",ModelParameters!$N$21,1)*(P1299*Q1299+R1299),1))</f>
        <v>0.219517254021135</v>
      </c>
      <c r="T1299" s="85">
        <f>IF(B1299="",0,$S1299*$K1299)</f>
        <v>3885.0798936513712</v>
      </c>
      <c r="U1299" s="85">
        <f>IF(B1299="",0,IF(OR(H1299=MappingTables!$C$34,H1299=MappingTables!$C$35),T1299,0))</f>
        <v>0</v>
      </c>
      <c r="V1299" s="85">
        <f>IF(ISNA(IF(AND(VLOOKUP(CONCATENATE($D1299,$G1299),CSRFinput!$B:$E,4,0)=0,OR(H1299=MappingTables!$C$34,H1299=MappingTables!$C$35)),1,VLOOKUP(CONCATENATE($D1299,$G1299),CSRFinput!$B:$E,4,0))),0,IF(AND(VLOOKUP(CONCATENATE($D1299,$G1299),CSRFinput!$B:$E,4,0)=0,OR(H1299=MappingTables!$C$34,H1299=MappingTables!$C$35)),1,VLOOKUP(CONCATENATE($D1299,$G1299),CSRFinput!$B:$E,4,0)))</f>
        <v>0.054776304963434752</v>
      </c>
      <c r="W1299" s="85">
        <f>IF(B1299="",0,+$T1299*$V1299)</f>
        <v>212.8103210619562</v>
      </c>
      <c r="X1299" s="85">
        <f>IF(B1299="",0,IF(OR(H1299=MappingTables!$C$34,H1299=MappingTables!$C$35),W1299,0))</f>
        <v>0</v>
      </c>
    </row>
    <row r="1300" spans="2:24" s="0" customFormat="0" ht="15">
      <c r="B1300" s="69" t="s">
        <v>1565</v>
      </c>
      <c r="C1300" s="70" t="s">
        <v>1566</v>
      </c>
      <c r="D1300" s="70" t="s">
        <v>1</v>
      </c>
      <c r="E1300" s="70" t="s">
        <v>1</v>
      </c>
      <c r="F1300" s="70"/>
      <c r="G1300" s="70" t="s">
        <v>61</v>
      </c>
      <c r="H1300" s="70" t="s">
        <v>178</v>
      </c>
      <c r="I1300" s="70" t="s">
        <v>188</v>
      </c>
      <c r="J1300" s="71">
        <f>IF(OR(I1300=0,I1300=""),"unrated",VLOOKUP(I1300,MappingTables!$B$19:$C$31,2,FALSE))</f>
        <v>2</v>
      </c>
      <c r="K1300" s="72">
        <v>14.297847688819694</v>
      </c>
      <c r="L1300" s="70">
        <v>1.849730496164146</v>
      </c>
      <c r="M1300" s="71">
        <f>IF(L1300&lt;1,1,L1300)</f>
        <v>1.849730496164146</v>
      </c>
      <c r="N1300" s="70" t="s">
        <v>141</v>
      </c>
      <c r="O1300" s="71">
        <f>INDEX(DurClassMapping,MATCH(M1300,MappingTables!$D$4:$D$8,-1),1)</f>
        <v>1</v>
      </c>
      <c r="P1300" s="73">
        <f>IF(M1300=$A$1,1,$M1300-INDEX(MappingTables!$E$4:$E$8,MATCH(O1300,MappingTables!$B$4:$B$8,0)))</f>
        <v>1.849730496164146</v>
      </c>
      <c r="Q1300" s="71">
        <f>IF(B1300="",0,INDEX(ModelParameters!$D$6:$K$10,MATCH($O1300,ModelParameters!$B$6:$B$10,0),MATCH($J1300,ModelParameters!$D$5:$K$5,0)))</f>
        <v>0.013999999999999998</v>
      </c>
      <c r="R1300" s="71">
        <f>IF(B1300="",0,INDEX(ModelParameters!$D$13:$K$17,MATCH($O1300,ModelParameters!$B$13:$B$17,0),MATCH($J1300,ModelParameters!$D$5:$K$5,0)))</f>
        <v>0</v>
      </c>
      <c r="S1300" s="160">
        <f>IF(B1300="",0,MIN(IF($N1300="Other Bond TM",ModelParameters!$N$21,1)*(P1300*Q1300+R1300),1))</f>
        <v>0.025896226946298036</v>
      </c>
      <c r="T1300" s="85">
        <f>IF(B1300="",0,$S1300*$K1300)</f>
        <v>0.37026030859327768</v>
      </c>
      <c r="U1300" s="85">
        <f>IF(B1300="",0,IF(OR(H1300=MappingTables!$C$34,H1300=MappingTables!$C$35),T1300,0))</f>
        <v>0</v>
      </c>
      <c r="V1300" s="85">
        <f>IF(ISNA(IF(AND(VLOOKUP(CONCATENATE($D1300,$G1300),CSRFinput!$B:$E,4,0)=0,OR(H1300=MappingTables!$C$34,H1300=MappingTables!$C$35)),1,VLOOKUP(CONCATENATE($D1300,$G1300),CSRFinput!$B:$E,4,0))),0,IF(AND(VLOOKUP(CONCATENATE($D1300,$G1300),CSRFinput!$B:$E,4,0)=0,OR(H1300=MappingTables!$C$34,H1300=MappingTables!$C$35)),1,VLOOKUP(CONCATENATE($D1300,$G1300),CSRFinput!$B:$E,4,0)))</f>
        <v>0.054776304963434752</v>
      </c>
      <c r="W1300" s="85">
        <f>IF(B1300="",0,+$T1300*$V1300)</f>
        <v>0.02028149157936084</v>
      </c>
      <c r="X1300" s="85">
        <f>IF(B1300="",0,IF(OR(H1300=MappingTables!$C$34,H1300=MappingTables!$C$35),W1300,0))</f>
        <v>0</v>
      </c>
    </row>
    <row r="1301" spans="2:24" s="0" customFormat="0" ht="15">
      <c r="B1301" s="69">
        <v>17241065</v>
      </c>
      <c r="C1301" s="70" t="s">
        <v>770</v>
      </c>
      <c r="D1301" s="70" t="s">
        <v>1</v>
      </c>
      <c r="E1301" s="70" t="s">
        <v>1</v>
      </c>
      <c r="F1301" s="70"/>
      <c r="G1301" s="70" t="s">
        <v>61</v>
      </c>
      <c r="H1301" s="70" t="s">
        <v>178</v>
      </c>
      <c r="I1301" s="70" t="s">
        <v>179</v>
      </c>
      <c r="J1301" s="71">
        <f>IF(OR(I1301=0,I1301=""),"unrated",VLOOKUP(I1301,MappingTables!$B$19:$C$31,2,FALSE))</f>
        <v>4</v>
      </c>
      <c r="K1301" s="72">
        <v>110126.044411178</v>
      </c>
      <c r="L1301" s="70">
        <v>0.087669273793637152</v>
      </c>
      <c r="M1301" s="71">
        <f>IF(L1301&lt;1,1,L1301)</f>
        <v>1</v>
      </c>
      <c r="N1301" s="70" t="s">
        <v>141</v>
      </c>
      <c r="O1301" s="71">
        <f>INDEX(DurClassMapping,MATCH(M1301,MappingTables!$D$4:$D$8,-1),1)</f>
        <v>1</v>
      </c>
      <c r="P1301" s="73">
        <f>IF(M1301=$A$1,1,$M1301-INDEX(MappingTables!$E$4:$E$8,MATCH(O1301,MappingTables!$B$4:$B$8,0)))</f>
        <v>1</v>
      </c>
      <c r="Q1301" s="71">
        <f>IF(B1301="",0,INDEX(ModelParameters!$D$6:$K$10,MATCH($O1301,ModelParameters!$B$6:$B$10,0),MATCH($J1301,ModelParameters!$D$5:$K$5,0)))</f>
        <v>0.045</v>
      </c>
      <c r="R1301" s="71">
        <f>IF(B1301="",0,INDEX(ModelParameters!$D$13:$K$17,MATCH($O1301,ModelParameters!$B$13:$B$17,0),MATCH($J1301,ModelParameters!$D$5:$K$5,0)))</f>
        <v>0</v>
      </c>
      <c r="S1301" s="160">
        <f>IF(B1301="",0,MIN(IF($N1301="Other Bond TM",ModelParameters!$N$21,1)*(P1301*Q1301+R1301),1))</f>
        <v>0.045</v>
      </c>
      <c r="T1301" s="85">
        <f>IF(B1301="",0,$S1301*$K1301)</f>
        <v>4955.6719985030096</v>
      </c>
      <c r="U1301" s="85">
        <f>IF(B1301="",0,IF(OR(H1301=MappingTables!$C$34,H1301=MappingTables!$C$35),T1301,0))</f>
        <v>0</v>
      </c>
      <c r="V1301" s="85">
        <f>IF(ISNA(IF(AND(VLOOKUP(CONCATENATE($D1301,$G1301),CSRFinput!$B:$E,4,0)=0,OR(H1301=MappingTables!$C$34,H1301=MappingTables!$C$35)),1,VLOOKUP(CONCATENATE($D1301,$G1301),CSRFinput!$B:$E,4,0))),0,IF(AND(VLOOKUP(CONCATENATE($D1301,$G1301),CSRFinput!$B:$E,4,0)=0,OR(H1301=MappingTables!$C$34,H1301=MappingTables!$C$35)),1,VLOOKUP(CONCATENATE($D1301,$G1301),CSRFinput!$B:$E,4,0)))</f>
        <v>0.054776304963434752</v>
      </c>
      <c r="W1301" s="85">
        <f>IF(B1301="",0,+$T1301*$V1301)</f>
        <v>271.45340068875504</v>
      </c>
      <c r="X1301" s="85">
        <f>IF(B1301="",0,IF(OR(H1301=MappingTables!$C$34,H1301=MappingTables!$C$35),W1301,0))</f>
        <v>0</v>
      </c>
    </row>
    <row r="1302" spans="2:24" s="0" customFormat="0" ht="15">
      <c r="B1302" s="69">
        <v>24956618</v>
      </c>
      <c r="C1302" s="70" t="s">
        <v>1567</v>
      </c>
      <c r="D1302" s="70" t="s">
        <v>1</v>
      </c>
      <c r="E1302" s="70" t="s">
        <v>1</v>
      </c>
      <c r="F1302" s="70"/>
      <c r="G1302" s="70" t="s">
        <v>61</v>
      </c>
      <c r="H1302" s="70" t="s">
        <v>178</v>
      </c>
      <c r="I1302" s="70" t="s">
        <v>184</v>
      </c>
      <c r="J1302" s="71">
        <f>IF(OR(I1302=0,I1302=""),"unrated",VLOOKUP(I1302,MappingTables!$B$19:$C$31,2,FALSE))</f>
        <v>5</v>
      </c>
      <c r="K1302" s="72">
        <v>17418.211569702464</v>
      </c>
      <c r="L1302" s="70">
        <v>2.7548590691793788</v>
      </c>
      <c r="M1302" s="71">
        <f>IF(L1302&lt;1,1,L1302)</f>
        <v>2.7548590691793788</v>
      </c>
      <c r="N1302" s="70" t="s">
        <v>141</v>
      </c>
      <c r="O1302" s="71">
        <f>INDEX(DurClassMapping,MATCH(M1302,MappingTables!$D$4:$D$8,-1),1)</f>
        <v>1</v>
      </c>
      <c r="P1302" s="73">
        <f>IF(M1302=$A$1,1,$M1302-INDEX(MappingTables!$E$4:$E$8,MATCH(O1302,MappingTables!$B$4:$B$8,0)))</f>
        <v>2.7548590691793788</v>
      </c>
      <c r="Q1302" s="71">
        <f>IF(B1302="",0,INDEX(ModelParameters!$D$6:$K$10,MATCH($O1302,ModelParameters!$B$6:$B$10,0),MATCH($J1302,ModelParameters!$D$5:$K$5,0)))</f>
        <v>0.075</v>
      </c>
      <c r="R1302" s="71">
        <f>IF(B1302="",0,INDEX(ModelParameters!$D$13:$K$17,MATCH($O1302,ModelParameters!$B$13:$B$17,0),MATCH($J1302,ModelParameters!$D$5:$K$5,0)))</f>
        <v>0</v>
      </c>
      <c r="S1302" s="160">
        <f>IF(B1302="",0,MIN(IF($N1302="Other Bond TM",ModelParameters!$N$21,1)*(P1302*Q1302+R1302),1))</f>
        <v>0.2066144301884534</v>
      </c>
      <c r="T1302" s="85">
        <f>IF(B1302="",0,$S1302*$K1302)</f>
        <v>3598.8538583760008</v>
      </c>
      <c r="U1302" s="85">
        <f>IF(B1302="",0,IF(OR(H1302=MappingTables!$C$34,H1302=MappingTables!$C$35),T1302,0))</f>
        <v>0</v>
      </c>
      <c r="V1302" s="85">
        <f>IF(ISNA(IF(AND(VLOOKUP(CONCATENATE($D1302,$G1302),CSRFinput!$B:$E,4,0)=0,OR(H1302=MappingTables!$C$34,H1302=MappingTables!$C$35)),1,VLOOKUP(CONCATENATE($D1302,$G1302),CSRFinput!$B:$E,4,0))),0,IF(AND(VLOOKUP(CONCATENATE($D1302,$G1302),CSRFinput!$B:$E,4,0)=0,OR(H1302=MappingTables!$C$34,H1302=MappingTables!$C$35)),1,VLOOKUP(CONCATENATE($D1302,$G1302),CSRFinput!$B:$E,4,0)))</f>
        <v>0.054776304963434752</v>
      </c>
      <c r="W1302" s="85">
        <f>IF(B1302="",0,+$T1302*$V1302)</f>
        <v>197.13191646523764</v>
      </c>
      <c r="X1302" s="85">
        <f>IF(B1302="",0,IF(OR(H1302=MappingTables!$C$34,H1302=MappingTables!$C$35),W1302,0))</f>
        <v>0</v>
      </c>
    </row>
    <row r="1303" spans="2:24" s="0" customFormat="0" ht="15">
      <c r="B1303" s="69">
        <v>17327948</v>
      </c>
      <c r="C1303" s="70" t="s">
        <v>1568</v>
      </c>
      <c r="D1303" s="70" t="s">
        <v>1</v>
      </c>
      <c r="E1303" s="70" t="s">
        <v>1</v>
      </c>
      <c r="F1303" s="70"/>
      <c r="G1303" s="70" t="s">
        <v>61</v>
      </c>
      <c r="H1303" s="70" t="s">
        <v>178</v>
      </c>
      <c r="I1303" s="70" t="s">
        <v>184</v>
      </c>
      <c r="J1303" s="71">
        <f>IF(OR(I1303=0,I1303=""),"unrated",VLOOKUP(I1303,MappingTables!$B$19:$C$31,2,FALSE))</f>
        <v>5</v>
      </c>
      <c r="K1303" s="72">
        <v>24459.087901875472</v>
      </c>
      <c r="L1303" s="70">
        <v>3.2678435357803928</v>
      </c>
      <c r="M1303" s="71">
        <f>IF(L1303&lt;1,1,L1303)</f>
        <v>3.2678435357803928</v>
      </c>
      <c r="N1303" s="70" t="s">
        <v>141</v>
      </c>
      <c r="O1303" s="71">
        <f>INDEX(DurClassMapping,MATCH(M1303,MappingTables!$D$4:$D$8,-1),1)</f>
        <v>1</v>
      </c>
      <c r="P1303" s="73">
        <f>IF(M1303=$A$1,1,$M1303-INDEX(MappingTables!$E$4:$E$8,MATCH(O1303,MappingTables!$B$4:$B$8,0)))</f>
        <v>3.2678435357803928</v>
      </c>
      <c r="Q1303" s="71">
        <f>IF(B1303="",0,INDEX(ModelParameters!$D$6:$K$10,MATCH($O1303,ModelParameters!$B$6:$B$10,0),MATCH($J1303,ModelParameters!$D$5:$K$5,0)))</f>
        <v>0.075</v>
      </c>
      <c r="R1303" s="71">
        <f>IF(B1303="",0,INDEX(ModelParameters!$D$13:$K$17,MATCH($O1303,ModelParameters!$B$13:$B$17,0),MATCH($J1303,ModelParameters!$D$5:$K$5,0)))</f>
        <v>0</v>
      </c>
      <c r="S1303" s="160">
        <f>IF(B1303="",0,MIN(IF($N1303="Other Bond TM",ModelParameters!$N$21,1)*(P1303*Q1303+R1303),1))</f>
        <v>0.24508826518352948</v>
      </c>
      <c r="T1303" s="85">
        <f>IF(B1303="",0,$S1303*$K1303)</f>
        <v>5994.6354218421128</v>
      </c>
      <c r="U1303" s="85">
        <f>IF(B1303="",0,IF(OR(H1303=MappingTables!$C$34,H1303=MappingTables!$C$35),T1303,0))</f>
        <v>0</v>
      </c>
      <c r="V1303" s="85">
        <f>IF(ISNA(IF(AND(VLOOKUP(CONCATENATE($D1303,$G1303),CSRFinput!$B:$E,4,0)=0,OR(H1303=MappingTables!$C$34,H1303=MappingTables!$C$35)),1,VLOOKUP(CONCATENATE($D1303,$G1303),CSRFinput!$B:$E,4,0))),0,IF(AND(VLOOKUP(CONCATENATE($D1303,$G1303),CSRFinput!$B:$E,4,0)=0,OR(H1303=MappingTables!$C$34,H1303=MappingTables!$C$35)),1,VLOOKUP(CONCATENATE($D1303,$G1303),CSRFinput!$B:$E,4,0)))</f>
        <v>0.054776304963434752</v>
      </c>
      <c r="W1303" s="85">
        <f>IF(B1303="",0,+$T1303*$V1303)</f>
        <v>328.36397801143192</v>
      </c>
      <c r="X1303" s="85">
        <f>IF(B1303="",0,IF(OR(H1303=MappingTables!$C$34,H1303=MappingTables!$C$35),W1303,0))</f>
        <v>0</v>
      </c>
    </row>
    <row r="1304" spans="2:24" s="0" customFormat="0" ht="15">
      <c r="B1304" s="69" t="s">
        <v>1569</v>
      </c>
      <c r="C1304" s="70" t="s">
        <v>1570</v>
      </c>
      <c r="D1304" s="70" t="s">
        <v>1</v>
      </c>
      <c r="E1304" s="70" t="s">
        <v>1</v>
      </c>
      <c r="F1304" s="70"/>
      <c r="G1304" s="70" t="s">
        <v>61</v>
      </c>
      <c r="H1304" s="70" t="s">
        <v>178</v>
      </c>
      <c r="I1304" s="70" t="s">
        <v>179</v>
      </c>
      <c r="J1304" s="71">
        <f>IF(OR(I1304=0,I1304=""),"unrated",VLOOKUP(I1304,MappingTables!$B$19:$C$31,2,FALSE))</f>
        <v>4</v>
      </c>
      <c r="K1304" s="72">
        <v>195.80005826610936</v>
      </c>
      <c r="L1304" s="70">
        <v>2.6785875914170552</v>
      </c>
      <c r="M1304" s="71">
        <f>IF(L1304&lt;1,1,L1304)</f>
        <v>2.6785875914170552</v>
      </c>
      <c r="N1304" s="70" t="s">
        <v>141</v>
      </c>
      <c r="O1304" s="71">
        <f>INDEX(DurClassMapping,MATCH(M1304,MappingTables!$D$4:$D$8,-1),1)</f>
        <v>1</v>
      </c>
      <c r="P1304" s="73">
        <f>IF(M1304=$A$1,1,$M1304-INDEX(MappingTables!$E$4:$E$8,MATCH(O1304,MappingTables!$B$4:$B$8,0)))</f>
        <v>2.6785875914170552</v>
      </c>
      <c r="Q1304" s="71">
        <f>IF(B1304="",0,INDEX(ModelParameters!$D$6:$K$10,MATCH($O1304,ModelParameters!$B$6:$B$10,0),MATCH($J1304,ModelParameters!$D$5:$K$5,0)))</f>
        <v>0.045</v>
      </c>
      <c r="R1304" s="71">
        <f>IF(B1304="",0,INDEX(ModelParameters!$D$13:$K$17,MATCH($O1304,ModelParameters!$B$13:$B$17,0),MATCH($J1304,ModelParameters!$D$5:$K$5,0)))</f>
        <v>0</v>
      </c>
      <c r="S1304" s="160">
        <f>IF(B1304="",0,MIN(IF($N1304="Other Bond TM",ModelParameters!$N$21,1)*(P1304*Q1304+R1304),1))</f>
        <v>0.12053644161376748</v>
      </c>
      <c r="T1304" s="85">
        <f>IF(B1304="",0,$S1304*$K1304)</f>
        <v>23.601042291165156</v>
      </c>
      <c r="U1304" s="85">
        <f>IF(B1304="",0,IF(OR(H1304=MappingTables!$C$34,H1304=MappingTables!$C$35),T1304,0))</f>
        <v>0</v>
      </c>
      <c r="V1304" s="85">
        <f>IF(ISNA(IF(AND(VLOOKUP(CONCATENATE($D1304,$G1304),CSRFinput!$B:$E,4,0)=0,OR(H1304=MappingTables!$C$34,H1304=MappingTables!$C$35)),1,VLOOKUP(CONCATENATE($D1304,$G1304),CSRFinput!$B:$E,4,0))),0,IF(AND(VLOOKUP(CONCATENATE($D1304,$G1304),CSRFinput!$B:$E,4,0)=0,OR(H1304=MappingTables!$C$34,H1304=MappingTables!$C$35)),1,VLOOKUP(CONCATENATE($D1304,$G1304),CSRFinput!$B:$E,4,0)))</f>
        <v>0.054776304963434752</v>
      </c>
      <c r="W1304" s="85">
        <f>IF(B1304="",0,+$T1304*$V1304)</f>
        <v>1.2927778899957836</v>
      </c>
      <c r="X1304" s="85">
        <f>IF(B1304="",0,IF(OR(H1304=MappingTables!$C$34,H1304=MappingTables!$C$35),W1304,0))</f>
        <v>0</v>
      </c>
    </row>
    <row r="1305" spans="2:24" s="0" customFormat="0" ht="15">
      <c r="B1305" s="69" t="s">
        <v>1571</v>
      </c>
      <c r="C1305" s="70" t="s">
        <v>1572</v>
      </c>
      <c r="D1305" s="70" t="s">
        <v>1</v>
      </c>
      <c r="E1305" s="70" t="s">
        <v>1</v>
      </c>
      <c r="F1305" s="70"/>
      <c r="G1305" s="70" t="s">
        <v>61</v>
      </c>
      <c r="H1305" s="70" t="s">
        <v>178</v>
      </c>
      <c r="I1305" s="70" t="s">
        <v>181</v>
      </c>
      <c r="J1305" s="71">
        <f>IF(OR(I1305=0,I1305=""),"unrated",VLOOKUP(I1305,MappingTables!$B$19:$C$31,2,FALSE))</f>
        <v>3</v>
      </c>
      <c r="K1305" s="72">
        <v>1610.1496823215594</v>
      </c>
      <c r="L1305" s="70">
        <v>5.6906700136761624</v>
      </c>
      <c r="M1305" s="71">
        <f>IF(L1305&lt;1,1,L1305)</f>
        <v>5.6906700136761624</v>
      </c>
      <c r="N1305" s="70" t="s">
        <v>141</v>
      </c>
      <c r="O1305" s="71">
        <f>INDEX(DurClassMapping,MATCH(M1305,MappingTables!$D$4:$D$8,-1),1)</f>
        <v>2</v>
      </c>
      <c r="P1305" s="73">
        <f>IF(M1305=$A$1,1,$M1305-INDEX(MappingTables!$E$4:$E$8,MATCH(O1305,MappingTables!$B$4:$B$8,0)))</f>
        <v>0.69067001367616232</v>
      </c>
      <c r="Q1305" s="71">
        <f>IF(B1305="",0,INDEX(ModelParameters!$D$6:$K$10,MATCH($O1305,ModelParameters!$B$6:$B$10,0),MATCH($J1305,ModelParameters!$D$5:$K$5,0)))</f>
        <v>0.015</v>
      </c>
      <c r="R1305" s="71">
        <f>IF(B1305="",0,INDEX(ModelParameters!$D$13:$K$17,MATCH($O1305,ModelParameters!$B$13:$B$17,0),MATCH($J1305,ModelParameters!$D$5:$K$5,0)))</f>
        <v>0.125</v>
      </c>
      <c r="S1305" s="160">
        <f>IF(B1305="",0,MIN(IF($N1305="Other Bond TM",ModelParameters!$N$21,1)*(P1305*Q1305+R1305),1))</f>
        <v>0.13536005020514244</v>
      </c>
      <c r="T1305" s="85">
        <f>IF(B1305="",0,$S1305*$K1305)</f>
        <v>217.94994183684044</v>
      </c>
      <c r="U1305" s="85">
        <f>IF(B1305="",0,IF(OR(H1305=MappingTables!$C$34,H1305=MappingTables!$C$35),T1305,0))</f>
        <v>0</v>
      </c>
      <c r="V1305" s="85">
        <f>IF(ISNA(IF(AND(VLOOKUP(CONCATENATE($D1305,$G1305),CSRFinput!$B:$E,4,0)=0,OR(H1305=MappingTables!$C$34,H1305=MappingTables!$C$35)),1,VLOOKUP(CONCATENATE($D1305,$G1305),CSRFinput!$B:$E,4,0))),0,IF(AND(VLOOKUP(CONCATENATE($D1305,$G1305),CSRFinput!$B:$E,4,0)=0,OR(H1305=MappingTables!$C$34,H1305=MappingTables!$C$35)),1,VLOOKUP(CONCATENATE($D1305,$G1305),CSRFinput!$B:$E,4,0)))</f>
        <v>0.054776304963434752</v>
      </c>
      <c r="W1305" s="85">
        <f>IF(B1305="",0,+$T1305*$V1305)</f>
        <v>11.938492480817638</v>
      </c>
      <c r="X1305" s="85">
        <f>IF(B1305="",0,IF(OR(H1305=MappingTables!$C$34,H1305=MappingTables!$C$35),W1305,0))</f>
        <v>0</v>
      </c>
    </row>
    <row r="1306" spans="2:24" s="0" customFormat="0" ht="15">
      <c r="B1306" s="69">
        <v>19639660</v>
      </c>
      <c r="C1306" s="70" t="s">
        <v>530</v>
      </c>
      <c r="D1306" s="70" t="s">
        <v>1</v>
      </c>
      <c r="E1306" s="70" t="s">
        <v>1</v>
      </c>
      <c r="F1306" s="70"/>
      <c r="G1306" s="70" t="s">
        <v>61</v>
      </c>
      <c r="H1306" s="70" t="s">
        <v>178</v>
      </c>
      <c r="I1306" s="70" t="s">
        <v>181</v>
      </c>
      <c r="J1306" s="71">
        <f>IF(OR(I1306=0,I1306=""),"unrated",VLOOKUP(I1306,MappingTables!$B$19:$C$31,2,FALSE))</f>
        <v>3</v>
      </c>
      <c r="K1306" s="72">
        <v>0.56717533411479944</v>
      </c>
      <c r="L1306" s="70">
        <v>1.3452458375274606</v>
      </c>
      <c r="M1306" s="71">
        <f>IF(L1306&lt;1,1,L1306)</f>
        <v>1.3452458375274606</v>
      </c>
      <c r="N1306" s="70" t="s">
        <v>141</v>
      </c>
      <c r="O1306" s="71">
        <f>INDEX(DurClassMapping,MATCH(M1306,MappingTables!$D$4:$D$8,-1),1)</f>
        <v>1</v>
      </c>
      <c r="P1306" s="73">
        <f>IF(M1306=$A$1,1,$M1306-INDEX(MappingTables!$E$4:$E$8,MATCH(O1306,MappingTables!$B$4:$B$8,0)))</f>
        <v>1.3452458375274606</v>
      </c>
      <c r="Q1306" s="71">
        <f>IF(B1306="",0,INDEX(ModelParameters!$D$6:$K$10,MATCH($O1306,ModelParameters!$B$6:$B$10,0),MATCH($J1306,ModelParameters!$D$5:$K$5,0)))</f>
        <v>0.025</v>
      </c>
      <c r="R1306" s="71">
        <f>IF(B1306="",0,INDEX(ModelParameters!$D$13:$K$17,MATCH($O1306,ModelParameters!$B$13:$B$17,0),MATCH($J1306,ModelParameters!$D$5:$K$5,0)))</f>
        <v>0</v>
      </c>
      <c r="S1306" s="160">
        <f>IF(B1306="",0,MIN(IF($N1306="Other Bond TM",ModelParameters!$N$21,1)*(P1306*Q1306+R1306),1))</f>
        <v>0.033631145938186516</v>
      </c>
      <c r="T1306" s="85">
        <f>IF(B1306="",0,$S1306*$K1306)</f>
        <v>0.01907475643415452</v>
      </c>
      <c r="U1306" s="85">
        <f>IF(B1306="",0,IF(OR(H1306=MappingTables!$C$34,H1306=MappingTables!$C$35),T1306,0))</f>
        <v>0</v>
      </c>
      <c r="V1306" s="85">
        <f>IF(ISNA(IF(AND(VLOOKUP(CONCATENATE($D1306,$G1306),CSRFinput!$B:$E,4,0)=0,OR(H1306=MappingTables!$C$34,H1306=MappingTables!$C$35)),1,VLOOKUP(CONCATENATE($D1306,$G1306),CSRFinput!$B:$E,4,0))),0,IF(AND(VLOOKUP(CONCATENATE($D1306,$G1306),CSRFinput!$B:$E,4,0)=0,OR(H1306=MappingTables!$C$34,H1306=MappingTables!$C$35)),1,VLOOKUP(CONCATENATE($D1306,$G1306),CSRFinput!$B:$E,4,0)))</f>
        <v>0.054776304963434752</v>
      </c>
      <c r="W1306" s="85">
        <f>IF(B1306="",0,+$T1306*$V1306)</f>
        <v>0.0010448446755404872</v>
      </c>
      <c r="X1306" s="85">
        <f>IF(B1306="",0,IF(OR(H1306=MappingTables!$C$34,H1306=MappingTables!$C$35),W1306,0))</f>
        <v>0</v>
      </c>
    </row>
    <row r="1307" spans="2:24" s="0" customFormat="0" ht="15">
      <c r="B1307" s="69">
        <v>12610741</v>
      </c>
      <c r="C1307" s="70" t="s">
        <v>1218</v>
      </c>
      <c r="D1307" s="70" t="s">
        <v>1</v>
      </c>
      <c r="E1307" s="70" t="s">
        <v>1</v>
      </c>
      <c r="F1307" s="70"/>
      <c r="G1307" s="70" t="s">
        <v>61</v>
      </c>
      <c r="H1307" s="70" t="s">
        <v>178</v>
      </c>
      <c r="I1307" s="70" t="s">
        <v>188</v>
      </c>
      <c r="J1307" s="71">
        <f>IF(OR(I1307=0,I1307=""),"unrated",VLOOKUP(I1307,MappingTables!$B$19:$C$31,2,FALSE))</f>
        <v>2</v>
      </c>
      <c r="K1307" s="72">
        <v>175.84596843611528</v>
      </c>
      <c r="L1307" s="70">
        <v>0.73026849807928624</v>
      </c>
      <c r="M1307" s="71">
        <f>IF(L1307&lt;1,1,L1307)</f>
        <v>1</v>
      </c>
      <c r="N1307" s="70" t="s">
        <v>141</v>
      </c>
      <c r="O1307" s="71">
        <f>INDEX(DurClassMapping,MATCH(M1307,MappingTables!$D$4:$D$8,-1),1)</f>
        <v>1</v>
      </c>
      <c r="P1307" s="73">
        <f>IF(M1307=$A$1,1,$M1307-INDEX(MappingTables!$E$4:$E$8,MATCH(O1307,MappingTables!$B$4:$B$8,0)))</f>
        <v>1</v>
      </c>
      <c r="Q1307" s="71">
        <f>IF(B1307="",0,INDEX(ModelParameters!$D$6:$K$10,MATCH($O1307,ModelParameters!$B$6:$B$10,0),MATCH($J1307,ModelParameters!$D$5:$K$5,0)))</f>
        <v>0.013999999999999998</v>
      </c>
      <c r="R1307" s="71">
        <f>IF(B1307="",0,INDEX(ModelParameters!$D$13:$K$17,MATCH($O1307,ModelParameters!$B$13:$B$17,0),MATCH($J1307,ModelParameters!$D$5:$K$5,0)))</f>
        <v>0</v>
      </c>
      <c r="S1307" s="160">
        <f>IF(B1307="",0,MIN(IF($N1307="Other Bond TM",ModelParameters!$N$21,1)*(P1307*Q1307+R1307),1))</f>
        <v>0.013999999999999998</v>
      </c>
      <c r="T1307" s="85">
        <f>IF(B1307="",0,$S1307*$K1307)</f>
        <v>2.4618435581056136</v>
      </c>
      <c r="U1307" s="85">
        <f>IF(B1307="",0,IF(OR(H1307=MappingTables!$C$34,H1307=MappingTables!$C$35),T1307,0))</f>
        <v>0</v>
      </c>
      <c r="V1307" s="85">
        <f>IF(ISNA(IF(AND(VLOOKUP(CONCATENATE($D1307,$G1307),CSRFinput!$B:$E,4,0)=0,OR(H1307=MappingTables!$C$34,H1307=MappingTables!$C$35)),1,VLOOKUP(CONCATENATE($D1307,$G1307),CSRFinput!$B:$E,4,0))),0,IF(AND(VLOOKUP(CONCATENATE($D1307,$G1307),CSRFinput!$B:$E,4,0)=0,OR(H1307=MappingTables!$C$34,H1307=MappingTables!$C$35)),1,VLOOKUP(CONCATENATE($D1307,$G1307),CSRFinput!$B:$E,4,0)))</f>
        <v>0.054776304963434752</v>
      </c>
      <c r="W1307" s="85">
        <f>IF(B1307="",0,+$T1307*$V1307)</f>
        <v>0.1348506935110604</v>
      </c>
      <c r="X1307" s="85">
        <f>IF(B1307="",0,IF(OR(H1307=MappingTables!$C$34,H1307=MappingTables!$C$35),W1307,0))</f>
        <v>0</v>
      </c>
    </row>
    <row r="1308" spans="2:24" s="0" customFormat="0" ht="15">
      <c r="B1308" s="69" t="s">
        <v>1573</v>
      </c>
      <c r="C1308" s="70" t="s">
        <v>1574</v>
      </c>
      <c r="D1308" s="70" t="s">
        <v>1</v>
      </c>
      <c r="E1308" s="70" t="s">
        <v>1</v>
      </c>
      <c r="F1308" s="70"/>
      <c r="G1308" s="70" t="s">
        <v>61</v>
      </c>
      <c r="H1308" s="70" t="s">
        <v>178</v>
      </c>
      <c r="I1308" s="70" t="s">
        <v>181</v>
      </c>
      <c r="J1308" s="71">
        <f>IF(OR(I1308=0,I1308=""),"unrated",VLOOKUP(I1308,MappingTables!$B$19:$C$31,2,FALSE))</f>
        <v>3</v>
      </c>
      <c r="K1308" s="72">
        <v>761.40907629945856</v>
      </c>
      <c r="L1308" s="70">
        <v>0.31780830858656688</v>
      </c>
      <c r="M1308" s="71">
        <f>IF(L1308&lt;1,1,L1308)</f>
        <v>1</v>
      </c>
      <c r="N1308" s="70" t="s">
        <v>141</v>
      </c>
      <c r="O1308" s="71">
        <f>INDEX(DurClassMapping,MATCH(M1308,MappingTables!$D$4:$D$8,-1),1)</f>
        <v>1</v>
      </c>
      <c r="P1308" s="73">
        <f>IF(M1308=$A$1,1,$M1308-INDEX(MappingTables!$E$4:$E$8,MATCH(O1308,MappingTables!$B$4:$B$8,0)))</f>
        <v>1</v>
      </c>
      <c r="Q1308" s="71">
        <f>IF(B1308="",0,INDEX(ModelParameters!$D$6:$K$10,MATCH($O1308,ModelParameters!$B$6:$B$10,0),MATCH($J1308,ModelParameters!$D$5:$K$5,0)))</f>
        <v>0.025</v>
      </c>
      <c r="R1308" s="71">
        <f>IF(B1308="",0,INDEX(ModelParameters!$D$13:$K$17,MATCH($O1308,ModelParameters!$B$13:$B$17,0),MATCH($J1308,ModelParameters!$D$5:$K$5,0)))</f>
        <v>0</v>
      </c>
      <c r="S1308" s="160">
        <f>IF(B1308="",0,MIN(IF($N1308="Other Bond TM",ModelParameters!$N$21,1)*(P1308*Q1308+R1308),1))</f>
        <v>0.025</v>
      </c>
      <c r="T1308" s="85">
        <f>IF(B1308="",0,$S1308*$K1308)</f>
        <v>19.035226907486464</v>
      </c>
      <c r="U1308" s="85">
        <f>IF(B1308="",0,IF(OR(H1308=MappingTables!$C$34,H1308=MappingTables!$C$35),T1308,0))</f>
        <v>0</v>
      </c>
      <c r="V1308" s="85">
        <f>IF(ISNA(IF(AND(VLOOKUP(CONCATENATE($D1308,$G1308),CSRFinput!$B:$E,4,0)=0,OR(H1308=MappingTables!$C$34,H1308=MappingTables!$C$35)),1,VLOOKUP(CONCATENATE($D1308,$G1308),CSRFinput!$B:$E,4,0))),0,IF(AND(VLOOKUP(CONCATENATE($D1308,$G1308),CSRFinput!$B:$E,4,0)=0,OR(H1308=MappingTables!$C$34,H1308=MappingTables!$C$35)),1,VLOOKUP(CONCATENATE($D1308,$G1308),CSRFinput!$B:$E,4,0)))</f>
        <v>0.054776304963434752</v>
      </c>
      <c r="W1308" s="85">
        <f>IF(B1308="",0,+$T1308*$V1308)</f>
        <v>1.0426793941326576</v>
      </c>
      <c r="X1308" s="85">
        <f>IF(B1308="",0,IF(OR(H1308=MappingTables!$C$34,H1308=MappingTables!$C$35),W1308,0))</f>
        <v>0</v>
      </c>
    </row>
    <row r="1309" spans="2:24" s="0" customFormat="0" ht="15">
      <c r="B1309" s="69">
        <v>24077275</v>
      </c>
      <c r="C1309" s="70" t="s">
        <v>1575</v>
      </c>
      <c r="D1309" s="70" t="s">
        <v>1</v>
      </c>
      <c r="E1309" s="70" t="s">
        <v>1</v>
      </c>
      <c r="F1309" s="70"/>
      <c r="G1309" s="70" t="s">
        <v>61</v>
      </c>
      <c r="H1309" s="70" t="s">
        <v>178</v>
      </c>
      <c r="I1309" s="70" t="s">
        <v>181</v>
      </c>
      <c r="J1309" s="71">
        <f>IF(OR(I1309=0,I1309=""),"unrated",VLOOKUP(I1309,MappingTables!$B$19:$C$31,2,FALSE))</f>
        <v>3</v>
      </c>
      <c r="K1309" s="72">
        <v>1463.0491530604968</v>
      </c>
      <c r="L1309" s="70">
        <v>1.6138424845396558</v>
      </c>
      <c r="M1309" s="71">
        <f>IF(L1309&lt;1,1,L1309)</f>
        <v>1.6138424845396558</v>
      </c>
      <c r="N1309" s="70" t="s">
        <v>141</v>
      </c>
      <c r="O1309" s="71">
        <f>INDEX(DurClassMapping,MATCH(M1309,MappingTables!$D$4:$D$8,-1),1)</f>
        <v>1</v>
      </c>
      <c r="P1309" s="73">
        <f>IF(M1309=$A$1,1,$M1309-INDEX(MappingTables!$E$4:$E$8,MATCH(O1309,MappingTables!$B$4:$B$8,0)))</f>
        <v>1.6138424845396558</v>
      </c>
      <c r="Q1309" s="71">
        <f>IF(B1309="",0,INDEX(ModelParameters!$D$6:$K$10,MATCH($O1309,ModelParameters!$B$6:$B$10,0),MATCH($J1309,ModelParameters!$D$5:$K$5,0)))</f>
        <v>0.025</v>
      </c>
      <c r="R1309" s="71">
        <f>IF(B1309="",0,INDEX(ModelParameters!$D$13:$K$17,MATCH($O1309,ModelParameters!$B$13:$B$17,0),MATCH($J1309,ModelParameters!$D$5:$K$5,0)))</f>
        <v>0</v>
      </c>
      <c r="S1309" s="160">
        <f>IF(B1309="",0,MIN(IF($N1309="Other Bond TM",ModelParameters!$N$21,1)*(P1309*Q1309+R1309),1))</f>
        <v>0.0403460621134914</v>
      </c>
      <c r="T1309" s="85">
        <f>IF(B1309="",0,$S1309*$K1309)</f>
        <v>59.028272004469792</v>
      </c>
      <c r="U1309" s="85">
        <f>IF(B1309="",0,IF(OR(H1309=MappingTables!$C$34,H1309=MappingTables!$C$35),T1309,0))</f>
        <v>0</v>
      </c>
      <c r="V1309" s="85">
        <f>IF(ISNA(IF(AND(VLOOKUP(CONCATENATE($D1309,$G1309),CSRFinput!$B:$E,4,0)=0,OR(H1309=MappingTables!$C$34,H1309=MappingTables!$C$35)),1,VLOOKUP(CONCATENATE($D1309,$G1309),CSRFinput!$B:$E,4,0))),0,IF(AND(VLOOKUP(CONCATENATE($D1309,$G1309),CSRFinput!$B:$E,4,0)=0,OR(H1309=MappingTables!$C$34,H1309=MappingTables!$C$35)),1,VLOOKUP(CONCATENATE($D1309,$G1309),CSRFinput!$B:$E,4,0)))</f>
        <v>0.054776304963434752</v>
      </c>
      <c r="W1309" s="85">
        <f>IF(B1309="",0,+$T1309*$V1309)</f>
        <v>3.2333506287814152</v>
      </c>
      <c r="X1309" s="85">
        <f>IF(B1309="",0,IF(OR(H1309=MappingTables!$C$34,H1309=MappingTables!$C$35),W1309,0))</f>
        <v>0</v>
      </c>
    </row>
    <row r="1310" spans="2:24" s="0" customFormat="0" ht="15">
      <c r="B1310" s="69">
        <v>20370878</v>
      </c>
      <c r="C1310" s="70" t="s">
        <v>1576</v>
      </c>
      <c r="D1310" s="70" t="s">
        <v>1</v>
      </c>
      <c r="E1310" s="70" t="s">
        <v>1</v>
      </c>
      <c r="F1310" s="70"/>
      <c r="G1310" s="70" t="s">
        <v>61</v>
      </c>
      <c r="H1310" s="70" t="s">
        <v>178</v>
      </c>
      <c r="I1310" s="70" t="s">
        <v>181</v>
      </c>
      <c r="J1310" s="71">
        <f>IF(OR(I1310=0,I1310=""),"unrated",VLOOKUP(I1310,MappingTables!$B$19:$C$31,2,FALSE))</f>
        <v>3</v>
      </c>
      <c r="K1310" s="72">
        <v>18610.425230471892</v>
      </c>
      <c r="L1310" s="70">
        <v>3.266902338202646</v>
      </c>
      <c r="M1310" s="71">
        <f>IF(L1310&lt;1,1,L1310)</f>
        <v>3.266902338202646</v>
      </c>
      <c r="N1310" s="70" t="s">
        <v>141</v>
      </c>
      <c r="O1310" s="71">
        <f>INDEX(DurClassMapping,MATCH(M1310,MappingTables!$D$4:$D$8,-1),1)</f>
        <v>1</v>
      </c>
      <c r="P1310" s="73">
        <f>IF(M1310=$A$1,1,$M1310-INDEX(MappingTables!$E$4:$E$8,MATCH(O1310,MappingTables!$B$4:$B$8,0)))</f>
        <v>3.266902338202646</v>
      </c>
      <c r="Q1310" s="71">
        <f>IF(B1310="",0,INDEX(ModelParameters!$D$6:$K$10,MATCH($O1310,ModelParameters!$B$6:$B$10,0),MATCH($J1310,ModelParameters!$D$5:$K$5,0)))</f>
        <v>0.025</v>
      </c>
      <c r="R1310" s="71">
        <f>IF(B1310="",0,INDEX(ModelParameters!$D$13:$K$17,MATCH($O1310,ModelParameters!$B$13:$B$17,0),MATCH($J1310,ModelParameters!$D$5:$K$5,0)))</f>
        <v>0</v>
      </c>
      <c r="S1310" s="160">
        <f>IF(B1310="",0,MIN(IF($N1310="Other Bond TM",ModelParameters!$N$21,1)*(P1310*Q1310+R1310),1))</f>
        <v>0.08167255845506616</v>
      </c>
      <c r="T1310" s="85">
        <f>IF(B1310="",0,$S1310*$K1310)</f>
        <v>1519.9610425093536</v>
      </c>
      <c r="U1310" s="85">
        <f>IF(B1310="",0,IF(OR(H1310=MappingTables!$C$34,H1310=MappingTables!$C$35),T1310,0))</f>
        <v>0</v>
      </c>
      <c r="V1310" s="85">
        <f>IF(ISNA(IF(AND(VLOOKUP(CONCATENATE($D1310,$G1310),CSRFinput!$B:$E,4,0)=0,OR(H1310=MappingTables!$C$34,H1310=MappingTables!$C$35)),1,VLOOKUP(CONCATENATE($D1310,$G1310),CSRFinput!$B:$E,4,0))),0,IF(AND(VLOOKUP(CONCATENATE($D1310,$G1310),CSRFinput!$B:$E,4,0)=0,OR(H1310=MappingTables!$C$34,H1310=MappingTables!$C$35)),1,VLOOKUP(CONCATENATE($D1310,$G1310),CSRFinput!$B:$E,4,0)))</f>
        <v>0.054776304963434752</v>
      </c>
      <c r="W1310" s="85">
        <f>IF(B1310="",0,+$T1310*$V1310)</f>
        <v>83.25784959703256</v>
      </c>
      <c r="X1310" s="85">
        <f>IF(B1310="",0,IF(OR(H1310=MappingTables!$C$34,H1310=MappingTables!$C$35),W1310,0))</f>
        <v>0</v>
      </c>
    </row>
    <row r="1311" spans="2:24" s="0" customFormat="0" ht="15">
      <c r="B1311" s="69">
        <v>3625061</v>
      </c>
      <c r="C1311" s="70" t="s">
        <v>1577</v>
      </c>
      <c r="D1311" s="70" t="s">
        <v>1</v>
      </c>
      <c r="E1311" s="70" t="s">
        <v>1</v>
      </c>
      <c r="F1311" s="70"/>
      <c r="G1311" s="70" t="s">
        <v>61</v>
      </c>
      <c r="H1311" s="70" t="s">
        <v>178</v>
      </c>
      <c r="I1311" s="70" t="s">
        <v>181</v>
      </c>
      <c r="J1311" s="71">
        <f>IF(OR(I1311=0,I1311=""),"unrated",VLOOKUP(I1311,MappingTables!$B$19:$C$31,2,FALSE))</f>
        <v>3</v>
      </c>
      <c r="K1311" s="72">
        <v>31.825874798713984</v>
      </c>
      <c r="L1311" s="70">
        <v>11.129810604136468</v>
      </c>
      <c r="M1311" s="71">
        <f>IF(L1311&lt;1,1,L1311)</f>
        <v>11.129810604136468</v>
      </c>
      <c r="N1311" s="70" t="s">
        <v>141</v>
      </c>
      <c r="O1311" s="71">
        <f>INDEX(DurClassMapping,MATCH(M1311,MappingTables!$D$4:$D$8,-1),1)</f>
        <v>3</v>
      </c>
      <c r="P1311" s="73">
        <f>IF(M1311=$A$1,1,$M1311-INDEX(MappingTables!$E$4:$E$8,MATCH(O1311,MappingTables!$B$4:$B$8,0)))</f>
        <v>1.129810604136468</v>
      </c>
      <c r="Q1311" s="71">
        <f>IF(B1311="",0,INDEX(ModelParameters!$D$6:$K$10,MATCH($O1311,ModelParameters!$B$6:$B$10,0),MATCH($J1311,ModelParameters!$D$5:$K$5,0)))</f>
        <v>0.01</v>
      </c>
      <c r="R1311" s="71">
        <f>IF(B1311="",0,INDEX(ModelParameters!$D$13:$K$17,MATCH($O1311,ModelParameters!$B$13:$B$17,0),MATCH($J1311,ModelParameters!$D$5:$K$5,0)))</f>
        <v>0.2</v>
      </c>
      <c r="S1311" s="160">
        <f>IF(B1311="",0,MIN(IF($N1311="Other Bond TM",ModelParameters!$N$21,1)*(P1311*Q1311+R1311),1))</f>
        <v>0.21129810604136472</v>
      </c>
      <c r="T1311" s="85">
        <f>IF(B1311="",0,$S1311*$K1311)</f>
        <v>6.724747068077864</v>
      </c>
      <c r="U1311" s="85">
        <f>IF(B1311="",0,IF(OR(H1311=MappingTables!$C$34,H1311=MappingTables!$C$35),T1311,0))</f>
        <v>0</v>
      </c>
      <c r="V1311" s="85">
        <f>IF(ISNA(IF(AND(VLOOKUP(CONCATENATE($D1311,$G1311),CSRFinput!$B:$E,4,0)=0,OR(H1311=MappingTables!$C$34,H1311=MappingTables!$C$35)),1,VLOOKUP(CONCATENATE($D1311,$G1311),CSRFinput!$B:$E,4,0))),0,IF(AND(VLOOKUP(CONCATENATE($D1311,$G1311),CSRFinput!$B:$E,4,0)=0,OR(H1311=MappingTables!$C$34,H1311=MappingTables!$C$35)),1,VLOOKUP(CONCATENATE($D1311,$G1311),CSRFinput!$B:$E,4,0)))</f>
        <v>0.054776304963434752</v>
      </c>
      <c r="W1311" s="85">
        <f>IF(B1311="",0,+$T1311*$V1311)</f>
        <v>0.3683567962029968</v>
      </c>
      <c r="X1311" s="85">
        <f>IF(B1311="",0,IF(OR(H1311=MappingTables!$C$34,H1311=MappingTables!$C$35),W1311,0))</f>
        <v>0</v>
      </c>
    </row>
    <row r="1312" spans="2:24" s="0" customFormat="0" ht="15">
      <c r="B1312" s="69">
        <v>20392661</v>
      </c>
      <c r="C1312" s="70" t="s">
        <v>1578</v>
      </c>
      <c r="D1312" s="70" t="s">
        <v>1</v>
      </c>
      <c r="E1312" s="70" t="s">
        <v>1</v>
      </c>
      <c r="F1312" s="70"/>
      <c r="G1312" s="70" t="s">
        <v>61</v>
      </c>
      <c r="H1312" s="70" t="s">
        <v>178</v>
      </c>
      <c r="I1312" s="70" t="s">
        <v>220</v>
      </c>
      <c r="J1312" s="71">
        <f>IF(OR(I1312=0,I1312=""),"unrated",VLOOKUP(I1312,MappingTables!$B$19:$C$31,2,FALSE))</f>
        <v>1</v>
      </c>
      <c r="K1312" s="72">
        <v>18915.713604093812</v>
      </c>
      <c r="L1312" s="70">
        <v>17.689296318005728</v>
      </c>
      <c r="M1312" s="71">
        <f>IF(L1312&lt;1,1,L1312)</f>
        <v>17.689296318005728</v>
      </c>
      <c r="N1312" s="70" t="s">
        <v>141</v>
      </c>
      <c r="O1312" s="71">
        <f>INDEX(DurClassMapping,MATCH(M1312,MappingTables!$D$4:$D$8,-1),1)</f>
        <v>4</v>
      </c>
      <c r="P1312" s="73">
        <f>IF(M1312=$A$1,1,$M1312-INDEX(MappingTables!$E$4:$E$8,MATCH(O1312,MappingTables!$B$4:$B$8,0)))</f>
        <v>2.6892963180057272</v>
      </c>
      <c r="Q1312" s="71">
        <f>IF(B1312="",0,INDEX(ModelParameters!$D$6:$K$10,MATCH($O1312,ModelParameters!$B$6:$B$10,0),MATCH($J1312,ModelParameters!$D$5:$K$5,0)))</f>
        <v>0.005</v>
      </c>
      <c r="R1312" s="71">
        <f>IF(B1312="",0,INDEX(ModelParameters!$D$13:$K$17,MATCH($O1312,ModelParameters!$B$13:$B$17,0),MATCH($J1312,ModelParameters!$D$5:$K$5,0)))</f>
        <v>0.11</v>
      </c>
      <c r="S1312" s="160">
        <f>IF(B1312="",0,MIN(IF($N1312="Other Bond TM",ModelParameters!$N$21,1)*(P1312*Q1312+R1312),1))</f>
        <v>0.12344648159002864</v>
      </c>
      <c r="T1312" s="85">
        <f>IF(B1312="",0,$S1312*$K1312)</f>
        <v>2335.0782911900208</v>
      </c>
      <c r="U1312" s="85">
        <f>IF(B1312="",0,IF(OR(H1312=MappingTables!$C$34,H1312=MappingTables!$C$35),T1312,0))</f>
        <v>0</v>
      </c>
      <c r="V1312" s="85">
        <f>IF(ISNA(IF(AND(VLOOKUP(CONCATENATE($D1312,$G1312),CSRFinput!$B:$E,4,0)=0,OR(H1312=MappingTables!$C$34,H1312=MappingTables!$C$35)),1,VLOOKUP(CONCATENATE($D1312,$G1312),CSRFinput!$B:$E,4,0))),0,IF(AND(VLOOKUP(CONCATENATE($D1312,$G1312),CSRFinput!$B:$E,4,0)=0,OR(H1312=MappingTables!$C$34,H1312=MappingTables!$C$35)),1,VLOOKUP(CONCATENATE($D1312,$G1312),CSRFinput!$B:$E,4,0)))</f>
        <v>0.054776304963434752</v>
      </c>
      <c r="W1312" s="85">
        <f>IF(B1312="",0,+$T1312*$V1312)</f>
        <v>127.90696059172068</v>
      </c>
      <c r="X1312" s="85">
        <f>IF(B1312="",0,IF(OR(H1312=MappingTables!$C$34,H1312=MappingTables!$C$35),W1312,0))</f>
        <v>0</v>
      </c>
    </row>
    <row r="1313" spans="2:24" s="0" customFormat="0" ht="15">
      <c r="B1313" s="69">
        <v>10875059</v>
      </c>
      <c r="C1313" s="70" t="s">
        <v>1579</v>
      </c>
      <c r="D1313" s="70" t="s">
        <v>1</v>
      </c>
      <c r="E1313" s="70" t="s">
        <v>1</v>
      </c>
      <c r="F1313" s="70"/>
      <c r="G1313" s="70" t="s">
        <v>61</v>
      </c>
      <c r="H1313" s="70" t="s">
        <v>178</v>
      </c>
      <c r="I1313" s="70" t="s">
        <v>204</v>
      </c>
      <c r="J1313" s="71">
        <f>IF(OR(I1313=0,I1313=""),"unrated",VLOOKUP(I1313,MappingTables!$B$19:$C$31,2,FALSE))</f>
        <v>6</v>
      </c>
      <c r="K1313" s="72">
        <v>94.486640379748176</v>
      </c>
      <c r="L1313" s="70">
        <v>0.30137351815950692</v>
      </c>
      <c r="M1313" s="71">
        <f>IF(L1313&lt;1,1,L1313)</f>
        <v>1</v>
      </c>
      <c r="N1313" s="70" t="s">
        <v>141</v>
      </c>
      <c r="O1313" s="71">
        <f>INDEX(DurClassMapping,MATCH(M1313,MappingTables!$D$4:$D$8,-1),1)</f>
        <v>1</v>
      </c>
      <c r="P1313" s="73">
        <f>IF(M1313=$A$1,1,$M1313-INDEX(MappingTables!$E$4:$E$8,MATCH(O1313,MappingTables!$B$4:$B$8,0)))</f>
        <v>1</v>
      </c>
      <c r="Q1313" s="71">
        <f>IF(B1313="",0,INDEX(ModelParameters!$D$6:$K$10,MATCH($O1313,ModelParameters!$B$6:$B$10,0),MATCH($J1313,ModelParameters!$D$5:$K$5,0)))</f>
        <v>0.075</v>
      </c>
      <c r="R1313" s="71">
        <f>IF(B1313="",0,INDEX(ModelParameters!$D$13:$K$17,MATCH($O1313,ModelParameters!$B$13:$B$17,0),MATCH($J1313,ModelParameters!$D$5:$K$5,0)))</f>
        <v>0</v>
      </c>
      <c r="S1313" s="160">
        <f>IF(B1313="",0,MIN(IF($N1313="Other Bond TM",ModelParameters!$N$21,1)*(P1313*Q1313+R1313),1))</f>
        <v>0.075</v>
      </c>
      <c r="T1313" s="85">
        <f>IF(B1313="",0,$S1313*$K1313)</f>
        <v>7.0864980284811136</v>
      </c>
      <c r="U1313" s="85">
        <f>IF(B1313="",0,IF(OR(H1313=MappingTables!$C$34,H1313=MappingTables!$C$35),T1313,0))</f>
        <v>0</v>
      </c>
      <c r="V1313" s="85">
        <f>IF(ISNA(IF(AND(VLOOKUP(CONCATENATE($D1313,$G1313),CSRFinput!$B:$E,4,0)=0,OR(H1313=MappingTables!$C$34,H1313=MappingTables!$C$35)),1,VLOOKUP(CONCATENATE($D1313,$G1313),CSRFinput!$B:$E,4,0))),0,IF(AND(VLOOKUP(CONCATENATE($D1313,$G1313),CSRFinput!$B:$E,4,0)=0,OR(H1313=MappingTables!$C$34,H1313=MappingTables!$C$35)),1,VLOOKUP(CONCATENATE($D1313,$G1313),CSRFinput!$B:$E,4,0)))</f>
        <v>0.054776304963434752</v>
      </c>
      <c r="W1313" s="85">
        <f>IF(B1313="",0,+$T1313*$V1313)</f>
        <v>0.38817217713086064</v>
      </c>
      <c r="X1313" s="85">
        <f>IF(B1313="",0,IF(OR(H1313=MappingTables!$C$34,H1313=MappingTables!$C$35),W1313,0))</f>
        <v>0</v>
      </c>
    </row>
    <row r="1314" spans="2:24" s="0" customFormat="0" ht="15">
      <c r="B1314" s="69" t="s">
        <v>1580</v>
      </c>
      <c r="C1314" s="70" t="s">
        <v>1581</v>
      </c>
      <c r="D1314" s="70" t="s">
        <v>1</v>
      </c>
      <c r="E1314" s="70" t="s">
        <v>1</v>
      </c>
      <c r="F1314" s="70"/>
      <c r="G1314" s="70" t="s">
        <v>61</v>
      </c>
      <c r="H1314" s="70" t="s">
        <v>178</v>
      </c>
      <c r="I1314" s="70" t="s">
        <v>181</v>
      </c>
      <c r="J1314" s="71">
        <f>IF(OR(I1314=0,I1314=""),"unrated",VLOOKUP(I1314,MappingTables!$B$19:$C$31,2,FALSE))</f>
        <v>3</v>
      </c>
      <c r="K1314" s="72">
        <v>144.7058604992564</v>
      </c>
      <c r="L1314" s="70">
        <v>8.491973526822408</v>
      </c>
      <c r="M1314" s="71">
        <f>IF(L1314&lt;1,1,L1314)</f>
        <v>8.491973526822408</v>
      </c>
      <c r="N1314" s="70" t="s">
        <v>141</v>
      </c>
      <c r="O1314" s="71">
        <f>INDEX(DurClassMapping,MATCH(M1314,MappingTables!$D$4:$D$8,-1),1)</f>
        <v>2</v>
      </c>
      <c r="P1314" s="73">
        <f>IF(M1314=$A$1,1,$M1314-INDEX(MappingTables!$E$4:$E$8,MATCH(O1314,MappingTables!$B$4:$B$8,0)))</f>
        <v>3.4919735268224076</v>
      </c>
      <c r="Q1314" s="71">
        <f>IF(B1314="",0,INDEX(ModelParameters!$D$6:$K$10,MATCH($O1314,ModelParameters!$B$6:$B$10,0),MATCH($J1314,ModelParameters!$D$5:$K$5,0)))</f>
        <v>0.015</v>
      </c>
      <c r="R1314" s="71">
        <f>IF(B1314="",0,INDEX(ModelParameters!$D$13:$K$17,MATCH($O1314,ModelParameters!$B$13:$B$17,0),MATCH($J1314,ModelParameters!$D$5:$K$5,0)))</f>
        <v>0.125</v>
      </c>
      <c r="S1314" s="160">
        <f>IF(B1314="",0,MIN(IF($N1314="Other Bond TM",ModelParameters!$N$21,1)*(P1314*Q1314+R1314),1))</f>
        <v>0.17737960290233612</v>
      </c>
      <c r="T1314" s="85">
        <f>IF(B1314="",0,$S1314*$K1314)</f>
        <v>25.667868072998944</v>
      </c>
      <c r="U1314" s="85">
        <f>IF(B1314="",0,IF(OR(H1314=MappingTables!$C$34,H1314=MappingTables!$C$35),T1314,0))</f>
        <v>0</v>
      </c>
      <c r="V1314" s="85">
        <f>IF(ISNA(IF(AND(VLOOKUP(CONCATENATE($D1314,$G1314),CSRFinput!$B:$E,4,0)=0,OR(H1314=MappingTables!$C$34,H1314=MappingTables!$C$35)),1,VLOOKUP(CONCATENATE($D1314,$G1314),CSRFinput!$B:$E,4,0))),0,IF(AND(VLOOKUP(CONCATENATE($D1314,$G1314),CSRFinput!$B:$E,4,0)=0,OR(H1314=MappingTables!$C$34,H1314=MappingTables!$C$35)),1,VLOOKUP(CONCATENATE($D1314,$G1314),CSRFinput!$B:$E,4,0)))</f>
        <v>0.054776304963434752</v>
      </c>
      <c r="W1314" s="85">
        <f>IF(B1314="",0,+$T1314*$V1314)</f>
        <v>1.4059909693278006</v>
      </c>
      <c r="X1314" s="85">
        <f>IF(B1314="",0,IF(OR(H1314=MappingTables!$C$34,H1314=MappingTables!$C$35),W1314,0))</f>
        <v>0</v>
      </c>
    </row>
    <row r="1315" spans="2:24" s="0" customFormat="0" ht="15">
      <c r="B1315" s="69">
        <v>18109196</v>
      </c>
      <c r="C1315" s="70" t="s">
        <v>1582</v>
      </c>
      <c r="D1315" s="70" t="s">
        <v>1</v>
      </c>
      <c r="E1315" s="70" t="s">
        <v>1</v>
      </c>
      <c r="F1315" s="70"/>
      <c r="G1315" s="70" t="s">
        <v>61</v>
      </c>
      <c r="H1315" s="70" t="s">
        <v>178</v>
      </c>
      <c r="I1315" s="70" t="s">
        <v>198</v>
      </c>
      <c r="J1315" s="71" t="str">
        <f>IF(OR(I1315=0,I1315=""),"unrated",VLOOKUP(I1315,MappingTables!$B$19:$C$31,2,FALSE))</f>
        <v>unrated</v>
      </c>
      <c r="K1315" s="72">
        <v>365.14427132112608</v>
      </c>
      <c r="L1315" s="70">
        <v>0.85480547818846368</v>
      </c>
      <c r="M1315" s="71">
        <f>IF(L1315&lt;1,1,L1315)</f>
        <v>1</v>
      </c>
      <c r="N1315" s="70" t="s">
        <v>141</v>
      </c>
      <c r="O1315" s="71">
        <f>INDEX(DurClassMapping,MATCH(M1315,MappingTables!$D$4:$D$8,-1),1)</f>
        <v>1</v>
      </c>
      <c r="P1315" s="73">
        <f>IF(M1315=$A$1,1,$M1315-INDEX(MappingTables!$E$4:$E$8,MATCH(O1315,MappingTables!$B$4:$B$8,0)))</f>
        <v>1</v>
      </c>
      <c r="Q1315" s="71">
        <f>IF(B1315="",0,INDEX(ModelParameters!$D$6:$K$10,MATCH($O1315,ModelParameters!$B$6:$B$10,0),MATCH($J1315,ModelParameters!$D$5:$K$5,0)))</f>
        <v>0.03</v>
      </c>
      <c r="R1315" s="71">
        <f>IF(B1315="",0,INDEX(ModelParameters!$D$13:$K$17,MATCH($O1315,ModelParameters!$B$13:$B$17,0),MATCH($J1315,ModelParameters!$D$5:$K$5,0)))</f>
        <v>0</v>
      </c>
      <c r="S1315" s="160">
        <f>IF(B1315="",0,MIN(IF($N1315="Other Bond TM",ModelParameters!$N$21,1)*(P1315*Q1315+R1315),1))</f>
        <v>0.03</v>
      </c>
      <c r="T1315" s="85">
        <f>IF(B1315="",0,$S1315*$K1315)</f>
        <v>10.95432813963378</v>
      </c>
      <c r="U1315" s="85">
        <f>IF(B1315="",0,IF(OR(H1315=MappingTables!$C$34,H1315=MappingTables!$C$35),T1315,0))</f>
        <v>0</v>
      </c>
      <c r="V1315" s="85">
        <f>IF(ISNA(IF(AND(VLOOKUP(CONCATENATE($D1315,$G1315),CSRFinput!$B:$E,4,0)=0,OR(H1315=MappingTables!$C$34,H1315=MappingTables!$C$35)),1,VLOOKUP(CONCATENATE($D1315,$G1315),CSRFinput!$B:$E,4,0))),0,IF(AND(VLOOKUP(CONCATENATE($D1315,$G1315),CSRFinput!$B:$E,4,0)=0,OR(H1315=MappingTables!$C$34,H1315=MappingTables!$C$35)),1,VLOOKUP(CONCATENATE($D1315,$G1315),CSRFinput!$B:$E,4,0)))</f>
        <v>0.054776304963434752</v>
      </c>
      <c r="W1315" s="85">
        <f>IF(B1315="",0,+$T1315*$V1315)</f>
        <v>0.6000376188461148</v>
      </c>
      <c r="X1315" s="85">
        <f>IF(B1315="",0,IF(OR(H1315=MappingTables!$C$34,H1315=MappingTables!$C$35),W1315,0))</f>
        <v>0</v>
      </c>
    </row>
    <row r="1316" spans="2:24" s="0" customFormat="0" ht="15">
      <c r="B1316" s="69">
        <v>22859504</v>
      </c>
      <c r="C1316" s="70" t="s">
        <v>1583</v>
      </c>
      <c r="D1316" s="70" t="s">
        <v>1</v>
      </c>
      <c r="E1316" s="70" t="s">
        <v>1</v>
      </c>
      <c r="F1316" s="70"/>
      <c r="G1316" s="70" t="s">
        <v>61</v>
      </c>
      <c r="H1316" s="70" t="s">
        <v>178</v>
      </c>
      <c r="I1316" s="70" t="s">
        <v>188</v>
      </c>
      <c r="J1316" s="71">
        <f>IF(OR(I1316=0,I1316=""),"unrated",VLOOKUP(I1316,MappingTables!$B$19:$C$31,2,FALSE))</f>
        <v>2</v>
      </c>
      <c r="K1316" s="72">
        <v>119.9473436673159</v>
      </c>
      <c r="L1316" s="70">
        <v>4.072583476196696</v>
      </c>
      <c r="M1316" s="71">
        <f>IF(L1316&lt;1,1,L1316)</f>
        <v>4.072583476196696</v>
      </c>
      <c r="N1316" s="70" t="s">
        <v>141</v>
      </c>
      <c r="O1316" s="71">
        <f>INDEX(DurClassMapping,MATCH(M1316,MappingTables!$D$4:$D$8,-1),1)</f>
        <v>1</v>
      </c>
      <c r="P1316" s="73">
        <f>IF(M1316=$A$1,1,$M1316-INDEX(MappingTables!$E$4:$E$8,MATCH(O1316,MappingTables!$B$4:$B$8,0)))</f>
        <v>4.072583476196696</v>
      </c>
      <c r="Q1316" s="71">
        <f>IF(B1316="",0,INDEX(ModelParameters!$D$6:$K$10,MATCH($O1316,ModelParameters!$B$6:$B$10,0),MATCH($J1316,ModelParameters!$D$5:$K$5,0)))</f>
        <v>0.013999999999999998</v>
      </c>
      <c r="R1316" s="71">
        <f>IF(B1316="",0,INDEX(ModelParameters!$D$13:$K$17,MATCH($O1316,ModelParameters!$B$13:$B$17,0),MATCH($J1316,ModelParameters!$D$5:$K$5,0)))</f>
        <v>0</v>
      </c>
      <c r="S1316" s="160">
        <f>IF(B1316="",0,MIN(IF($N1316="Other Bond TM",ModelParameters!$N$21,1)*(P1316*Q1316+R1316),1))</f>
        <v>0.057016168666753744</v>
      </c>
      <c r="T1316" s="85">
        <f>IF(B1316="",0,$S1316*$K1316)</f>
        <v>6.8389379776647592</v>
      </c>
      <c r="U1316" s="85">
        <f>IF(B1316="",0,IF(OR(H1316=MappingTables!$C$34,H1316=MappingTables!$C$35),T1316,0))</f>
        <v>0</v>
      </c>
      <c r="V1316" s="85">
        <f>IF(ISNA(IF(AND(VLOOKUP(CONCATENATE($D1316,$G1316),CSRFinput!$B:$E,4,0)=0,OR(H1316=MappingTables!$C$34,H1316=MappingTables!$C$35)),1,VLOOKUP(CONCATENATE($D1316,$G1316),CSRFinput!$B:$E,4,0))),0,IF(AND(VLOOKUP(CONCATENATE($D1316,$G1316),CSRFinput!$B:$E,4,0)=0,OR(H1316=MappingTables!$C$34,H1316=MappingTables!$C$35)),1,VLOOKUP(CONCATENATE($D1316,$G1316),CSRFinput!$B:$E,4,0)))</f>
        <v>0.054776304963434752</v>
      </c>
      <c r="W1316" s="85">
        <f>IF(B1316="",0,+$T1316*$V1316)</f>
        <v>0.37461175229058056</v>
      </c>
      <c r="X1316" s="85">
        <f>IF(B1316="",0,IF(OR(H1316=MappingTables!$C$34,H1316=MappingTables!$C$35),W1316,0))</f>
        <v>0</v>
      </c>
    </row>
    <row r="1317" spans="2:24" s="0" customFormat="0" ht="15">
      <c r="B1317" s="69" t="s">
        <v>1584</v>
      </c>
      <c r="C1317" s="70" t="s">
        <v>1585</v>
      </c>
      <c r="D1317" s="70" t="s">
        <v>1</v>
      </c>
      <c r="E1317" s="70" t="s">
        <v>1</v>
      </c>
      <c r="F1317" s="70"/>
      <c r="G1317" s="70" t="s">
        <v>61</v>
      </c>
      <c r="H1317" s="70" t="s">
        <v>178</v>
      </c>
      <c r="I1317" s="70" t="s">
        <v>198</v>
      </c>
      <c r="J1317" s="71" t="str">
        <f>IF(OR(I1317=0,I1317=""),"unrated",VLOOKUP(I1317,MappingTables!$B$19:$C$31,2,FALSE))</f>
        <v>unrated</v>
      </c>
      <c r="K1317" s="72">
        <v>179.48781648235496</v>
      </c>
      <c r="L1317" s="70">
        <v>5.3635099700044816</v>
      </c>
      <c r="M1317" s="71">
        <f>IF(L1317&lt;1,1,L1317)</f>
        <v>5.3635099700044816</v>
      </c>
      <c r="N1317" s="70" t="s">
        <v>141</v>
      </c>
      <c r="O1317" s="71">
        <f>INDEX(DurClassMapping,MATCH(M1317,MappingTables!$D$4:$D$8,-1),1)</f>
        <v>2</v>
      </c>
      <c r="P1317" s="73">
        <f>IF(M1317=$A$1,1,$M1317-INDEX(MappingTables!$E$4:$E$8,MATCH(O1317,MappingTables!$B$4:$B$8,0)))</f>
        <v>0.36350997000448168</v>
      </c>
      <c r="Q1317" s="71">
        <f>IF(B1317="",0,INDEX(ModelParameters!$D$6:$K$10,MATCH($O1317,ModelParameters!$B$6:$B$10,0),MATCH($J1317,ModelParameters!$D$5:$K$5,0)))</f>
        <v>0.017000000000000002</v>
      </c>
      <c r="R1317" s="71">
        <f>IF(B1317="",0,INDEX(ModelParameters!$D$13:$K$17,MATCH($O1317,ModelParameters!$B$13:$B$17,0),MATCH($J1317,ModelParameters!$D$5:$K$5,0)))</f>
        <v>0.15</v>
      </c>
      <c r="S1317" s="160">
        <f>IF(B1317="",0,MIN(IF($N1317="Other Bond TM",ModelParameters!$N$21,1)*(P1317*Q1317+R1317),1))</f>
        <v>0.1561796694900762</v>
      </c>
      <c r="T1317" s="85">
        <f>IF(B1317="",0,$S1317*$K1317)</f>
        <v>28.032347855709648</v>
      </c>
      <c r="U1317" s="85">
        <f>IF(B1317="",0,IF(OR(H1317=MappingTables!$C$34,H1317=MappingTables!$C$35),T1317,0))</f>
        <v>0</v>
      </c>
      <c r="V1317" s="85">
        <f>IF(ISNA(IF(AND(VLOOKUP(CONCATENATE($D1317,$G1317),CSRFinput!$B:$E,4,0)=0,OR(H1317=MappingTables!$C$34,H1317=MappingTables!$C$35)),1,VLOOKUP(CONCATENATE($D1317,$G1317),CSRFinput!$B:$E,4,0))),0,IF(AND(VLOOKUP(CONCATENATE($D1317,$G1317),CSRFinput!$B:$E,4,0)=0,OR(H1317=MappingTables!$C$34,H1317=MappingTables!$C$35)),1,VLOOKUP(CONCATENATE($D1317,$G1317),CSRFinput!$B:$E,4,0)))</f>
        <v>0.054776304963434752</v>
      </c>
      <c r="W1317" s="85">
        <f>IF(B1317="",0,+$T1317*$V1317)</f>
        <v>1.535508434985438</v>
      </c>
      <c r="X1317" s="85">
        <f>IF(B1317="",0,IF(OR(H1317=MappingTables!$C$34,H1317=MappingTables!$C$35),W1317,0))</f>
        <v>0</v>
      </c>
    </row>
    <row r="1318" spans="2:24" s="0" customFormat="0" ht="15">
      <c r="B1318" s="69" t="s">
        <v>1586</v>
      </c>
      <c r="C1318" s="70" t="s">
        <v>1587</v>
      </c>
      <c r="D1318" s="70" t="s">
        <v>1</v>
      </c>
      <c r="E1318" s="70" t="s">
        <v>1</v>
      </c>
      <c r="F1318" s="70"/>
      <c r="G1318" s="70" t="s">
        <v>61</v>
      </c>
      <c r="H1318" s="70" t="s">
        <v>178</v>
      </c>
      <c r="I1318" s="70" t="s">
        <v>179</v>
      </c>
      <c r="J1318" s="71">
        <f>IF(OR(I1318=0,I1318=""),"unrated",VLOOKUP(I1318,MappingTables!$B$19:$C$31,2,FALSE))</f>
        <v>4</v>
      </c>
      <c r="K1318" s="72">
        <v>20.048544920079508</v>
      </c>
      <c r="L1318" s="70">
        <v>0.97462282739592192</v>
      </c>
      <c r="M1318" s="71">
        <f>IF(L1318&lt;1,1,L1318)</f>
        <v>1</v>
      </c>
      <c r="N1318" s="70" t="s">
        <v>141</v>
      </c>
      <c r="O1318" s="71">
        <f>INDEX(DurClassMapping,MATCH(M1318,MappingTables!$D$4:$D$8,-1),1)</f>
        <v>1</v>
      </c>
      <c r="P1318" s="73">
        <f>IF(M1318=$A$1,1,$M1318-INDEX(MappingTables!$E$4:$E$8,MATCH(O1318,MappingTables!$B$4:$B$8,0)))</f>
        <v>1</v>
      </c>
      <c r="Q1318" s="71">
        <f>IF(B1318="",0,INDEX(ModelParameters!$D$6:$K$10,MATCH($O1318,ModelParameters!$B$6:$B$10,0),MATCH($J1318,ModelParameters!$D$5:$K$5,0)))</f>
        <v>0.045</v>
      </c>
      <c r="R1318" s="71">
        <f>IF(B1318="",0,INDEX(ModelParameters!$D$13:$K$17,MATCH($O1318,ModelParameters!$B$13:$B$17,0),MATCH($J1318,ModelParameters!$D$5:$K$5,0)))</f>
        <v>0</v>
      </c>
      <c r="S1318" s="160">
        <f>IF(B1318="",0,MIN(IF($N1318="Other Bond TM",ModelParameters!$N$21,1)*(P1318*Q1318+R1318),1))</f>
        <v>0.045</v>
      </c>
      <c r="T1318" s="85">
        <f>IF(B1318="",0,$S1318*$K1318)</f>
        <v>0.90218452140357776</v>
      </c>
      <c r="U1318" s="85">
        <f>IF(B1318="",0,IF(OR(H1318=MappingTables!$C$34,H1318=MappingTables!$C$35),T1318,0))</f>
        <v>0</v>
      </c>
      <c r="V1318" s="85">
        <f>IF(ISNA(IF(AND(VLOOKUP(CONCATENATE($D1318,$G1318),CSRFinput!$B:$E,4,0)=0,OR(H1318=MappingTables!$C$34,H1318=MappingTables!$C$35)),1,VLOOKUP(CONCATENATE($D1318,$G1318),CSRFinput!$B:$E,4,0))),0,IF(AND(VLOOKUP(CONCATENATE($D1318,$G1318),CSRFinput!$B:$E,4,0)=0,OR(H1318=MappingTables!$C$34,H1318=MappingTables!$C$35)),1,VLOOKUP(CONCATENATE($D1318,$G1318),CSRFinput!$B:$E,4,0)))</f>
        <v>0.054776304963434752</v>
      </c>
      <c r="W1318" s="85">
        <f>IF(B1318="",0,+$T1318*$V1318)</f>
        <v>0.0494183344776928</v>
      </c>
      <c r="X1318" s="85">
        <f>IF(B1318="",0,IF(OR(H1318=MappingTables!$C$34,H1318=MappingTables!$C$35),W1318,0))</f>
        <v>0</v>
      </c>
    </row>
    <row r="1319" spans="2:24" s="0" customFormat="0" ht="15">
      <c r="B1319" s="69">
        <v>23673166</v>
      </c>
      <c r="C1319" s="70" t="s">
        <v>1588</v>
      </c>
      <c r="D1319" s="70" t="s">
        <v>1</v>
      </c>
      <c r="E1319" s="70" t="s">
        <v>1</v>
      </c>
      <c r="F1319" s="70"/>
      <c r="G1319" s="70" t="s">
        <v>61</v>
      </c>
      <c r="H1319" s="70" t="s">
        <v>178</v>
      </c>
      <c r="I1319" s="70" t="s">
        <v>181</v>
      </c>
      <c r="J1319" s="71">
        <f>IF(OR(I1319=0,I1319=""),"unrated",VLOOKUP(I1319,MappingTables!$B$19:$C$31,2,FALSE))</f>
        <v>3</v>
      </c>
      <c r="K1319" s="72">
        <v>1646.7180903609622</v>
      </c>
      <c r="L1319" s="70">
        <v>2.457473994369086</v>
      </c>
      <c r="M1319" s="71">
        <f>IF(L1319&lt;1,1,L1319)</f>
        <v>2.457473994369086</v>
      </c>
      <c r="N1319" s="70" t="s">
        <v>141</v>
      </c>
      <c r="O1319" s="71">
        <f>INDEX(DurClassMapping,MATCH(M1319,MappingTables!$D$4:$D$8,-1),1)</f>
        <v>1</v>
      </c>
      <c r="P1319" s="73">
        <f>IF(M1319=$A$1,1,$M1319-INDEX(MappingTables!$E$4:$E$8,MATCH(O1319,MappingTables!$B$4:$B$8,0)))</f>
        <v>2.457473994369086</v>
      </c>
      <c r="Q1319" s="71">
        <f>IF(B1319="",0,INDEX(ModelParameters!$D$6:$K$10,MATCH($O1319,ModelParameters!$B$6:$B$10,0),MATCH($J1319,ModelParameters!$D$5:$K$5,0)))</f>
        <v>0.025</v>
      </c>
      <c r="R1319" s="71">
        <f>IF(B1319="",0,INDEX(ModelParameters!$D$13:$K$17,MATCH($O1319,ModelParameters!$B$13:$B$17,0),MATCH($J1319,ModelParameters!$D$5:$K$5,0)))</f>
        <v>0</v>
      </c>
      <c r="S1319" s="160">
        <f>IF(B1319="",0,MIN(IF($N1319="Other Bond TM",ModelParameters!$N$21,1)*(P1319*Q1319+R1319),1))</f>
        <v>0.061436849859227152</v>
      </c>
      <c r="T1319" s="85">
        <f>IF(B1319="",0,$S1319*$K1319)</f>
        <v>101.16917207797968</v>
      </c>
      <c r="U1319" s="85">
        <f>IF(B1319="",0,IF(OR(H1319=MappingTables!$C$34,H1319=MappingTables!$C$35),T1319,0))</f>
        <v>0</v>
      </c>
      <c r="V1319" s="85">
        <f>IF(ISNA(IF(AND(VLOOKUP(CONCATENATE($D1319,$G1319),CSRFinput!$B:$E,4,0)=0,OR(H1319=MappingTables!$C$34,H1319=MappingTables!$C$35)),1,VLOOKUP(CONCATENATE($D1319,$G1319),CSRFinput!$B:$E,4,0))),0,IF(AND(VLOOKUP(CONCATENATE($D1319,$G1319),CSRFinput!$B:$E,4,0)=0,OR(H1319=MappingTables!$C$34,H1319=MappingTables!$C$35)),1,VLOOKUP(CONCATENATE($D1319,$G1319),CSRFinput!$B:$E,4,0)))</f>
        <v>0.054776304963434752</v>
      </c>
      <c r="W1319" s="85">
        <f>IF(B1319="",0,+$T1319*$V1319)</f>
        <v>5.5416734226416232</v>
      </c>
      <c r="X1319" s="85">
        <f>IF(B1319="",0,IF(OR(H1319=MappingTables!$C$34,H1319=MappingTables!$C$35),W1319,0))</f>
        <v>0</v>
      </c>
    </row>
    <row r="1320" spans="2:24" s="0" customFormat="0" ht="15">
      <c r="B1320" s="69">
        <v>6494877</v>
      </c>
      <c r="C1320" s="70" t="s">
        <v>1589</v>
      </c>
      <c r="D1320" s="70" t="s">
        <v>1</v>
      </c>
      <c r="E1320" s="70" t="s">
        <v>1</v>
      </c>
      <c r="F1320" s="70"/>
      <c r="G1320" s="70" t="s">
        <v>61</v>
      </c>
      <c r="H1320" s="70" t="s">
        <v>178</v>
      </c>
      <c r="I1320" s="70" t="s">
        <v>179</v>
      </c>
      <c r="J1320" s="71">
        <f>IF(OR(I1320=0,I1320=""),"unrated",VLOOKUP(I1320,MappingTables!$B$19:$C$31,2,FALSE))</f>
        <v>4</v>
      </c>
      <c r="K1320" s="72">
        <v>8555.553570572128</v>
      </c>
      <c r="L1320" s="70">
        <v>8.5872646577922752</v>
      </c>
      <c r="M1320" s="71">
        <f>IF(L1320&lt;1,1,L1320)</f>
        <v>8.5872646577922752</v>
      </c>
      <c r="N1320" s="70" t="s">
        <v>141</v>
      </c>
      <c r="O1320" s="71">
        <f>INDEX(DurClassMapping,MATCH(M1320,MappingTables!$D$4:$D$8,-1),1)</f>
        <v>2</v>
      </c>
      <c r="P1320" s="73">
        <f>IF(M1320=$A$1,1,$M1320-INDEX(MappingTables!$E$4:$E$8,MATCH(O1320,MappingTables!$B$4:$B$8,0)))</f>
        <v>3.5872646577922752</v>
      </c>
      <c r="Q1320" s="71">
        <f>IF(B1320="",0,INDEX(ModelParameters!$D$6:$K$10,MATCH($O1320,ModelParameters!$B$6:$B$10,0),MATCH($J1320,ModelParameters!$D$5:$K$5,0)))</f>
        <v>0.025</v>
      </c>
      <c r="R1320" s="71">
        <f>IF(B1320="",0,INDEX(ModelParameters!$D$13:$K$17,MATCH($O1320,ModelParameters!$B$13:$B$17,0),MATCH($J1320,ModelParameters!$D$5:$K$5,0)))</f>
        <v>0.225</v>
      </c>
      <c r="S1320" s="160">
        <f>IF(B1320="",0,MIN(IF($N1320="Other Bond TM",ModelParameters!$N$21,1)*(P1320*Q1320+R1320),1))</f>
        <v>0.31468161644480684</v>
      </c>
      <c r="T1320" s="85">
        <f>IF(B1320="",0,$S1320*$K1320)</f>
        <v>2692.2754271677764</v>
      </c>
      <c r="U1320" s="85">
        <f>IF(B1320="",0,IF(OR(H1320=MappingTables!$C$34,H1320=MappingTables!$C$35),T1320,0))</f>
        <v>0</v>
      </c>
      <c r="V1320" s="85">
        <f>IF(ISNA(IF(AND(VLOOKUP(CONCATENATE($D1320,$G1320),CSRFinput!$B:$E,4,0)=0,OR(H1320=MappingTables!$C$34,H1320=MappingTables!$C$35)),1,VLOOKUP(CONCATENATE($D1320,$G1320),CSRFinput!$B:$E,4,0))),0,IF(AND(VLOOKUP(CONCATENATE($D1320,$G1320),CSRFinput!$B:$E,4,0)=0,OR(H1320=MappingTables!$C$34,H1320=MappingTables!$C$35)),1,VLOOKUP(CONCATENATE($D1320,$G1320),CSRFinput!$B:$E,4,0)))</f>
        <v>0.054776304963434752</v>
      </c>
      <c r="W1320" s="85">
        <f>IF(B1320="",0,+$T1320*$V1320)</f>
        <v>147.4728998441037</v>
      </c>
      <c r="X1320" s="85">
        <f>IF(B1320="",0,IF(OR(H1320=MappingTables!$C$34,H1320=MappingTables!$C$35),W1320,0))</f>
        <v>0</v>
      </c>
    </row>
    <row r="1321" spans="2:24" s="0" customFormat="0" ht="15">
      <c r="B1321" s="69">
        <v>13036774</v>
      </c>
      <c r="C1321" s="70" t="s">
        <v>1590</v>
      </c>
      <c r="D1321" s="70" t="s">
        <v>1</v>
      </c>
      <c r="E1321" s="70" t="s">
        <v>1</v>
      </c>
      <c r="F1321" s="70"/>
      <c r="G1321" s="70" t="s">
        <v>61</v>
      </c>
      <c r="H1321" s="70" t="s">
        <v>178</v>
      </c>
      <c r="I1321" s="70" t="s">
        <v>188</v>
      </c>
      <c r="J1321" s="71">
        <f>IF(OR(I1321=0,I1321=""),"unrated",VLOOKUP(I1321,MappingTables!$B$19:$C$31,2,FALSE))</f>
        <v>2</v>
      </c>
      <c r="K1321" s="72">
        <v>147.92455542761186</v>
      </c>
      <c r="L1321" s="70">
        <v>0.94433662079473296</v>
      </c>
      <c r="M1321" s="71">
        <f>IF(L1321&lt;1,1,L1321)</f>
        <v>1</v>
      </c>
      <c r="N1321" s="70" t="s">
        <v>141</v>
      </c>
      <c r="O1321" s="71">
        <f>INDEX(DurClassMapping,MATCH(M1321,MappingTables!$D$4:$D$8,-1),1)</f>
        <v>1</v>
      </c>
      <c r="P1321" s="73">
        <f>IF(M1321=$A$1,1,$M1321-INDEX(MappingTables!$E$4:$E$8,MATCH(O1321,MappingTables!$B$4:$B$8,0)))</f>
        <v>1</v>
      </c>
      <c r="Q1321" s="71">
        <f>IF(B1321="",0,INDEX(ModelParameters!$D$6:$K$10,MATCH($O1321,ModelParameters!$B$6:$B$10,0),MATCH($J1321,ModelParameters!$D$5:$K$5,0)))</f>
        <v>0.013999999999999998</v>
      </c>
      <c r="R1321" s="71">
        <f>IF(B1321="",0,INDEX(ModelParameters!$D$13:$K$17,MATCH($O1321,ModelParameters!$B$13:$B$17,0),MATCH($J1321,ModelParameters!$D$5:$K$5,0)))</f>
        <v>0</v>
      </c>
      <c r="S1321" s="160">
        <f>IF(B1321="",0,MIN(IF($N1321="Other Bond TM",ModelParameters!$N$21,1)*(P1321*Q1321+R1321),1))</f>
        <v>0.013999999999999998</v>
      </c>
      <c r="T1321" s="85">
        <f>IF(B1321="",0,$S1321*$K1321)</f>
        <v>2.070943775986566</v>
      </c>
      <c r="U1321" s="85">
        <f>IF(B1321="",0,IF(OR(H1321=MappingTables!$C$34,H1321=MappingTables!$C$35),T1321,0))</f>
        <v>0</v>
      </c>
      <c r="V1321" s="85">
        <f>IF(ISNA(IF(AND(VLOOKUP(CONCATENATE($D1321,$G1321),CSRFinput!$B:$E,4,0)=0,OR(H1321=MappingTables!$C$34,H1321=MappingTables!$C$35)),1,VLOOKUP(CONCATENATE($D1321,$G1321),CSRFinput!$B:$E,4,0))),0,IF(AND(VLOOKUP(CONCATENATE($D1321,$G1321),CSRFinput!$B:$E,4,0)=0,OR(H1321=MappingTables!$C$34,H1321=MappingTables!$C$35)),1,VLOOKUP(CONCATENATE($D1321,$G1321),CSRFinput!$B:$E,4,0)))</f>
        <v>0.054776304963434752</v>
      </c>
      <c r="W1321" s="85">
        <f>IF(B1321="",0,+$T1321*$V1321)</f>
        <v>0.11343864783556724</v>
      </c>
      <c r="X1321" s="85">
        <f>IF(B1321="",0,IF(OR(H1321=MappingTables!$C$34,H1321=MappingTables!$C$35),W1321,0))</f>
        <v>0</v>
      </c>
    </row>
    <row r="1322" spans="2:24" s="0" customFormat="0" ht="15">
      <c r="B1322" s="69">
        <v>12151037</v>
      </c>
      <c r="C1322" s="70" t="s">
        <v>833</v>
      </c>
      <c r="D1322" s="70" t="s">
        <v>1</v>
      </c>
      <c r="E1322" s="70" t="s">
        <v>1</v>
      </c>
      <c r="F1322" s="70"/>
      <c r="G1322" s="70" t="s">
        <v>61</v>
      </c>
      <c r="H1322" s="70" t="s">
        <v>178</v>
      </c>
      <c r="I1322" s="70" t="s">
        <v>188</v>
      </c>
      <c r="J1322" s="71">
        <f>IF(OR(I1322=0,I1322=""),"unrated",VLOOKUP(I1322,MappingTables!$B$19:$C$31,2,FALSE))</f>
        <v>2</v>
      </c>
      <c r="K1322" s="72">
        <v>161.33758581271806</v>
      </c>
      <c r="L1322" s="70">
        <v>0.49041255043628288</v>
      </c>
      <c r="M1322" s="71">
        <f>IF(L1322&lt;1,1,L1322)</f>
        <v>1</v>
      </c>
      <c r="N1322" s="70" t="s">
        <v>141</v>
      </c>
      <c r="O1322" s="71">
        <f>INDEX(DurClassMapping,MATCH(M1322,MappingTables!$D$4:$D$8,-1),1)</f>
        <v>1</v>
      </c>
      <c r="P1322" s="73">
        <f>IF(M1322=$A$1,1,$M1322-INDEX(MappingTables!$E$4:$E$8,MATCH(O1322,MappingTables!$B$4:$B$8,0)))</f>
        <v>1</v>
      </c>
      <c r="Q1322" s="71">
        <f>IF(B1322="",0,INDEX(ModelParameters!$D$6:$K$10,MATCH($O1322,ModelParameters!$B$6:$B$10,0),MATCH($J1322,ModelParameters!$D$5:$K$5,0)))</f>
        <v>0.013999999999999998</v>
      </c>
      <c r="R1322" s="71">
        <f>IF(B1322="",0,INDEX(ModelParameters!$D$13:$K$17,MATCH($O1322,ModelParameters!$B$13:$B$17,0),MATCH($J1322,ModelParameters!$D$5:$K$5,0)))</f>
        <v>0</v>
      </c>
      <c r="S1322" s="160">
        <f>IF(B1322="",0,MIN(IF($N1322="Other Bond TM",ModelParameters!$N$21,1)*(P1322*Q1322+R1322),1))</f>
        <v>0.013999999999999998</v>
      </c>
      <c r="T1322" s="85">
        <f>IF(B1322="",0,$S1322*$K1322)</f>
        <v>2.2587262013780528</v>
      </c>
      <c r="U1322" s="85">
        <f>IF(B1322="",0,IF(OR(H1322=MappingTables!$C$34,H1322=MappingTables!$C$35),T1322,0))</f>
        <v>0</v>
      </c>
      <c r="V1322" s="85">
        <f>IF(ISNA(IF(AND(VLOOKUP(CONCATENATE($D1322,$G1322),CSRFinput!$B:$E,4,0)=0,OR(H1322=MappingTables!$C$34,H1322=MappingTables!$C$35)),1,VLOOKUP(CONCATENATE($D1322,$G1322),CSRFinput!$B:$E,4,0))),0,IF(AND(VLOOKUP(CONCATENATE($D1322,$G1322),CSRFinput!$B:$E,4,0)=0,OR(H1322=MappingTables!$C$34,H1322=MappingTables!$C$35)),1,VLOOKUP(CONCATENATE($D1322,$G1322),CSRFinput!$B:$E,4,0)))</f>
        <v>0.054776304963434752</v>
      </c>
      <c r="W1322" s="85">
        <f>IF(B1322="",0,+$T1322*$V1322)</f>
        <v>0.12372467523558476</v>
      </c>
      <c r="X1322" s="85">
        <f>IF(B1322="",0,IF(OR(H1322=MappingTables!$C$34,H1322=MappingTables!$C$35),W1322,0))</f>
        <v>0</v>
      </c>
    </row>
    <row r="1323" spans="2:24" s="0" customFormat="0" ht="15">
      <c r="B1323" s="69">
        <v>19486469</v>
      </c>
      <c r="C1323" s="70" t="s">
        <v>1591</v>
      </c>
      <c r="D1323" s="70" t="s">
        <v>1</v>
      </c>
      <c r="E1323" s="70" t="s">
        <v>1</v>
      </c>
      <c r="F1323" s="70"/>
      <c r="G1323" s="70" t="s">
        <v>61</v>
      </c>
      <c r="H1323" s="70" t="s">
        <v>178</v>
      </c>
      <c r="I1323" s="70" t="s">
        <v>188</v>
      </c>
      <c r="J1323" s="71">
        <f>IF(OR(I1323=0,I1323=""),"unrated",VLOOKUP(I1323,MappingTables!$B$19:$C$31,2,FALSE))</f>
        <v>2</v>
      </c>
      <c r="K1323" s="72">
        <v>5413.5891654246616</v>
      </c>
      <c r="L1323" s="70">
        <v>3.1879577689984084</v>
      </c>
      <c r="M1323" s="71">
        <f>IF(L1323&lt;1,1,L1323)</f>
        <v>3.1879577689984084</v>
      </c>
      <c r="N1323" s="70" t="s">
        <v>141</v>
      </c>
      <c r="O1323" s="71">
        <f>INDEX(DurClassMapping,MATCH(M1323,MappingTables!$D$4:$D$8,-1),1)</f>
        <v>1</v>
      </c>
      <c r="P1323" s="73">
        <f>IF(M1323=$A$1,1,$M1323-INDEX(MappingTables!$E$4:$E$8,MATCH(O1323,MappingTables!$B$4:$B$8,0)))</f>
        <v>3.1879577689984084</v>
      </c>
      <c r="Q1323" s="71">
        <f>IF(B1323="",0,INDEX(ModelParameters!$D$6:$K$10,MATCH($O1323,ModelParameters!$B$6:$B$10,0),MATCH($J1323,ModelParameters!$D$5:$K$5,0)))</f>
        <v>0.013999999999999998</v>
      </c>
      <c r="R1323" s="71">
        <f>IF(B1323="",0,INDEX(ModelParameters!$D$13:$K$17,MATCH($O1323,ModelParameters!$B$13:$B$17,0),MATCH($J1323,ModelParameters!$D$5:$K$5,0)))</f>
        <v>0</v>
      </c>
      <c r="S1323" s="160">
        <f>IF(B1323="",0,MIN(IF($N1323="Other Bond TM",ModelParameters!$N$21,1)*(P1323*Q1323+R1323),1))</f>
        <v>0.04463140876597772</v>
      </c>
      <c r="T1323" s="85">
        <f>IF(B1323="",0,$S1323*$K1323)</f>
        <v>241.61611093313624</v>
      </c>
      <c r="U1323" s="85">
        <f>IF(B1323="",0,IF(OR(H1323=MappingTables!$C$34,H1323=MappingTables!$C$35),T1323,0))</f>
        <v>0</v>
      </c>
      <c r="V1323" s="85">
        <f>IF(ISNA(IF(AND(VLOOKUP(CONCATENATE($D1323,$G1323),CSRFinput!$B:$E,4,0)=0,OR(H1323=MappingTables!$C$34,H1323=MappingTables!$C$35)),1,VLOOKUP(CONCATENATE($D1323,$G1323),CSRFinput!$B:$E,4,0))),0,IF(AND(VLOOKUP(CONCATENATE($D1323,$G1323),CSRFinput!$B:$E,4,0)=0,OR(H1323=MappingTables!$C$34,H1323=MappingTables!$C$35)),1,VLOOKUP(CONCATENATE($D1323,$G1323),CSRFinput!$B:$E,4,0)))</f>
        <v>0.054776304963434752</v>
      </c>
      <c r="W1323" s="85">
        <f>IF(B1323="",0,+$T1323*$V1323)</f>
        <v>13.234837776552552</v>
      </c>
      <c r="X1323" s="85">
        <f>IF(B1323="",0,IF(OR(H1323=MappingTables!$C$34,H1323=MappingTables!$C$35),W1323,0))</f>
        <v>0</v>
      </c>
    </row>
    <row r="1324" spans="2:24" s="0" customFormat="0" ht="15">
      <c r="B1324" s="69">
        <v>22554064</v>
      </c>
      <c r="C1324" s="70" t="s">
        <v>1592</v>
      </c>
      <c r="D1324" s="70" t="s">
        <v>1</v>
      </c>
      <c r="E1324" s="70" t="s">
        <v>1</v>
      </c>
      <c r="F1324" s="70"/>
      <c r="G1324" s="70" t="s">
        <v>61</v>
      </c>
      <c r="H1324" s="70" t="s">
        <v>178</v>
      </c>
      <c r="I1324" s="70" t="s">
        <v>184</v>
      </c>
      <c r="J1324" s="71">
        <f>IF(OR(I1324=0,I1324=""),"unrated",VLOOKUP(I1324,MappingTables!$B$19:$C$31,2,FALSE))</f>
        <v>5</v>
      </c>
      <c r="K1324" s="72">
        <v>2116.1375045510008</v>
      </c>
      <c r="L1324" s="70">
        <v>1.3507518639573764</v>
      </c>
      <c r="M1324" s="71">
        <f>IF(L1324&lt;1,1,L1324)</f>
        <v>1.3507518639573764</v>
      </c>
      <c r="N1324" s="70" t="s">
        <v>141</v>
      </c>
      <c r="O1324" s="71">
        <f>INDEX(DurClassMapping,MATCH(M1324,MappingTables!$D$4:$D$8,-1),1)</f>
        <v>1</v>
      </c>
      <c r="P1324" s="73">
        <f>IF(M1324=$A$1,1,$M1324-INDEX(MappingTables!$E$4:$E$8,MATCH(O1324,MappingTables!$B$4:$B$8,0)))</f>
        <v>1.3507518639573764</v>
      </c>
      <c r="Q1324" s="71">
        <f>IF(B1324="",0,INDEX(ModelParameters!$D$6:$K$10,MATCH($O1324,ModelParameters!$B$6:$B$10,0),MATCH($J1324,ModelParameters!$D$5:$K$5,0)))</f>
        <v>0.075</v>
      </c>
      <c r="R1324" s="71">
        <f>IF(B1324="",0,INDEX(ModelParameters!$D$13:$K$17,MATCH($O1324,ModelParameters!$B$13:$B$17,0),MATCH($J1324,ModelParameters!$D$5:$K$5,0)))</f>
        <v>0</v>
      </c>
      <c r="S1324" s="160">
        <f>IF(B1324="",0,MIN(IF($N1324="Other Bond TM",ModelParameters!$N$21,1)*(P1324*Q1324+R1324),1))</f>
        <v>0.10130638979680322</v>
      </c>
      <c r="T1324" s="85">
        <f>IF(B1324="",0,$S1324*$K1324)</f>
        <v>214.37825089967812</v>
      </c>
      <c r="U1324" s="85">
        <f>IF(B1324="",0,IF(OR(H1324=MappingTables!$C$34,H1324=MappingTables!$C$35),T1324,0))</f>
        <v>0</v>
      </c>
      <c r="V1324" s="85">
        <f>IF(ISNA(IF(AND(VLOOKUP(CONCATENATE($D1324,$G1324),CSRFinput!$B:$E,4,0)=0,OR(H1324=MappingTables!$C$34,H1324=MappingTables!$C$35)),1,VLOOKUP(CONCATENATE($D1324,$G1324),CSRFinput!$B:$E,4,0))),0,IF(AND(VLOOKUP(CONCATENATE($D1324,$G1324),CSRFinput!$B:$E,4,0)=0,OR(H1324=MappingTables!$C$34,H1324=MappingTables!$C$35)),1,VLOOKUP(CONCATENATE($D1324,$G1324),CSRFinput!$B:$E,4,0)))</f>
        <v>0.054776304963434752</v>
      </c>
      <c r="W1324" s="85">
        <f>IF(B1324="",0,+$T1324*$V1324)</f>
        <v>11.7428484488085</v>
      </c>
      <c r="X1324" s="85">
        <f>IF(B1324="",0,IF(OR(H1324=MappingTables!$C$34,H1324=MappingTables!$C$35),W1324,0))</f>
        <v>0</v>
      </c>
    </row>
    <row r="1325" spans="2:24" s="0" customFormat="0" ht="15">
      <c r="B1325" s="69">
        <v>19697125</v>
      </c>
      <c r="C1325" s="70" t="s">
        <v>942</v>
      </c>
      <c r="D1325" s="70" t="s">
        <v>1</v>
      </c>
      <c r="E1325" s="70" t="s">
        <v>1</v>
      </c>
      <c r="F1325" s="70"/>
      <c r="G1325" s="70" t="s">
        <v>61</v>
      </c>
      <c r="H1325" s="70" t="s">
        <v>178</v>
      </c>
      <c r="I1325" s="70" t="s">
        <v>184</v>
      </c>
      <c r="J1325" s="71">
        <f>IF(OR(I1325=0,I1325=""),"unrated",VLOOKUP(I1325,MappingTables!$B$19:$C$31,2,FALSE))</f>
        <v>5</v>
      </c>
      <c r="K1325" s="72">
        <v>34.031045051728504</v>
      </c>
      <c r="L1325" s="70">
        <v>0.29314557267752108</v>
      </c>
      <c r="M1325" s="71">
        <f>IF(L1325&lt;1,1,L1325)</f>
        <v>1</v>
      </c>
      <c r="N1325" s="70" t="s">
        <v>141</v>
      </c>
      <c r="O1325" s="71">
        <f>INDEX(DurClassMapping,MATCH(M1325,MappingTables!$D$4:$D$8,-1),1)</f>
        <v>1</v>
      </c>
      <c r="P1325" s="73">
        <f>IF(M1325=$A$1,1,$M1325-INDEX(MappingTables!$E$4:$E$8,MATCH(O1325,MappingTables!$B$4:$B$8,0)))</f>
        <v>1</v>
      </c>
      <c r="Q1325" s="71">
        <f>IF(B1325="",0,INDEX(ModelParameters!$D$6:$K$10,MATCH($O1325,ModelParameters!$B$6:$B$10,0),MATCH($J1325,ModelParameters!$D$5:$K$5,0)))</f>
        <v>0.075</v>
      </c>
      <c r="R1325" s="71">
        <f>IF(B1325="",0,INDEX(ModelParameters!$D$13:$K$17,MATCH($O1325,ModelParameters!$B$13:$B$17,0),MATCH($J1325,ModelParameters!$D$5:$K$5,0)))</f>
        <v>0</v>
      </c>
      <c r="S1325" s="160">
        <f>IF(B1325="",0,MIN(IF($N1325="Other Bond TM",ModelParameters!$N$21,1)*(P1325*Q1325+R1325),1))</f>
        <v>0.075</v>
      </c>
      <c r="T1325" s="85">
        <f>IF(B1325="",0,$S1325*$K1325)</f>
        <v>2.5523283788796376</v>
      </c>
      <c r="U1325" s="85">
        <f>IF(B1325="",0,IF(OR(H1325=MappingTables!$C$34,H1325=MappingTables!$C$35),T1325,0))</f>
        <v>0</v>
      </c>
      <c r="V1325" s="85">
        <f>IF(ISNA(IF(AND(VLOOKUP(CONCATENATE($D1325,$G1325),CSRFinput!$B:$E,4,0)=0,OR(H1325=MappingTables!$C$34,H1325=MappingTables!$C$35)),1,VLOOKUP(CONCATENATE($D1325,$G1325),CSRFinput!$B:$E,4,0))),0,IF(AND(VLOOKUP(CONCATENATE($D1325,$G1325),CSRFinput!$B:$E,4,0)=0,OR(H1325=MappingTables!$C$34,H1325=MappingTables!$C$35)),1,VLOOKUP(CONCATENATE($D1325,$G1325),CSRFinput!$B:$E,4,0)))</f>
        <v>0.054776304963434752</v>
      </c>
      <c r="W1325" s="85">
        <f>IF(B1325="",0,+$T1325*$V1325)</f>
        <v>0.13980711764834008</v>
      </c>
      <c r="X1325" s="85">
        <f>IF(B1325="",0,IF(OR(H1325=MappingTables!$C$34,H1325=MappingTables!$C$35),W1325,0))</f>
        <v>0</v>
      </c>
    </row>
    <row r="1326" spans="2:24" s="0" customFormat="0" ht="15">
      <c r="B1326" s="69">
        <v>21042940</v>
      </c>
      <c r="C1326" s="70" t="s">
        <v>1280</v>
      </c>
      <c r="D1326" s="70" t="s">
        <v>1</v>
      </c>
      <c r="E1326" s="70" t="s">
        <v>1</v>
      </c>
      <c r="F1326" s="70"/>
      <c r="G1326" s="70" t="s">
        <v>61</v>
      </c>
      <c r="H1326" s="70" t="s">
        <v>178</v>
      </c>
      <c r="I1326" s="70" t="s">
        <v>181</v>
      </c>
      <c r="J1326" s="71">
        <f>IF(OR(I1326=0,I1326=""),"unrated",VLOOKUP(I1326,MappingTables!$B$19:$C$31,2,FALSE))</f>
        <v>3</v>
      </c>
      <c r="K1326" s="72">
        <v>48536.424207062992</v>
      </c>
      <c r="L1326" s="70">
        <v>5.2806090313151888</v>
      </c>
      <c r="M1326" s="71">
        <f>IF(L1326&lt;1,1,L1326)</f>
        <v>5.2806090313151888</v>
      </c>
      <c r="N1326" s="70" t="s">
        <v>141</v>
      </c>
      <c r="O1326" s="71">
        <f>INDEX(DurClassMapping,MATCH(M1326,MappingTables!$D$4:$D$8,-1),1)</f>
        <v>2</v>
      </c>
      <c r="P1326" s="73">
        <f>IF(M1326=$A$1,1,$M1326-INDEX(MappingTables!$E$4:$E$8,MATCH(O1326,MappingTables!$B$4:$B$8,0)))</f>
        <v>0.28060903131518876</v>
      </c>
      <c r="Q1326" s="71">
        <f>IF(B1326="",0,INDEX(ModelParameters!$D$6:$K$10,MATCH($O1326,ModelParameters!$B$6:$B$10,0),MATCH($J1326,ModelParameters!$D$5:$K$5,0)))</f>
        <v>0.015</v>
      </c>
      <c r="R1326" s="71">
        <f>IF(B1326="",0,INDEX(ModelParameters!$D$13:$K$17,MATCH($O1326,ModelParameters!$B$13:$B$17,0),MATCH($J1326,ModelParameters!$D$5:$K$5,0)))</f>
        <v>0.125</v>
      </c>
      <c r="S1326" s="160">
        <f>IF(B1326="",0,MIN(IF($N1326="Other Bond TM",ModelParameters!$N$21,1)*(P1326*Q1326+R1326),1))</f>
        <v>0.12920913546972784</v>
      </c>
      <c r="T1326" s="85">
        <f>IF(B1326="",0,$S1326*$K1326)</f>
        <v>6271.34941058658</v>
      </c>
      <c r="U1326" s="85">
        <f>IF(B1326="",0,IF(OR(H1326=MappingTables!$C$34,H1326=MappingTables!$C$35),T1326,0))</f>
        <v>0</v>
      </c>
      <c r="V1326" s="85">
        <f>IF(ISNA(IF(AND(VLOOKUP(CONCATENATE($D1326,$G1326),CSRFinput!$B:$E,4,0)=0,OR(H1326=MappingTables!$C$34,H1326=MappingTables!$C$35)),1,VLOOKUP(CONCATENATE($D1326,$G1326),CSRFinput!$B:$E,4,0))),0,IF(AND(VLOOKUP(CONCATENATE($D1326,$G1326),CSRFinput!$B:$E,4,0)=0,OR(H1326=MappingTables!$C$34,H1326=MappingTables!$C$35)),1,VLOOKUP(CONCATENATE($D1326,$G1326),CSRFinput!$B:$E,4,0)))</f>
        <v>0.054776304963434752</v>
      </c>
      <c r="W1326" s="85">
        <f>IF(B1326="",0,+$T1326*$V1326)</f>
        <v>343.52134784654732</v>
      </c>
      <c r="X1326" s="85">
        <f>IF(B1326="",0,IF(OR(H1326=MappingTables!$C$34,H1326=MappingTables!$C$35),W1326,0))</f>
        <v>0</v>
      </c>
    </row>
    <row r="1327" spans="2:24" s="0" customFormat="0" ht="15">
      <c r="B1327" s="69">
        <v>14921124</v>
      </c>
      <c r="C1327" s="70" t="s">
        <v>1593</v>
      </c>
      <c r="D1327" s="70" t="s">
        <v>1</v>
      </c>
      <c r="E1327" s="70" t="s">
        <v>1</v>
      </c>
      <c r="F1327" s="70"/>
      <c r="G1327" s="70" t="s">
        <v>61</v>
      </c>
      <c r="H1327" s="70" t="s">
        <v>178</v>
      </c>
      <c r="I1327" s="70" t="s">
        <v>181</v>
      </c>
      <c r="J1327" s="71">
        <f>IF(OR(I1327=0,I1327=""),"unrated",VLOOKUP(I1327,MappingTables!$B$19:$C$31,2,FALSE))</f>
        <v>3</v>
      </c>
      <c r="K1327" s="72">
        <v>1206.4468067616486</v>
      </c>
      <c r="L1327" s="70">
        <v>1.7128419428338704</v>
      </c>
      <c r="M1327" s="71">
        <f>IF(L1327&lt;1,1,L1327)</f>
        <v>1.7128419428338704</v>
      </c>
      <c r="N1327" s="70" t="s">
        <v>141</v>
      </c>
      <c r="O1327" s="71">
        <f>INDEX(DurClassMapping,MATCH(M1327,MappingTables!$D$4:$D$8,-1),1)</f>
        <v>1</v>
      </c>
      <c r="P1327" s="73">
        <f>IF(M1327=$A$1,1,$M1327-INDEX(MappingTables!$E$4:$E$8,MATCH(O1327,MappingTables!$B$4:$B$8,0)))</f>
        <v>1.7128419428338704</v>
      </c>
      <c r="Q1327" s="71">
        <f>IF(B1327="",0,INDEX(ModelParameters!$D$6:$K$10,MATCH($O1327,ModelParameters!$B$6:$B$10,0),MATCH($J1327,ModelParameters!$D$5:$K$5,0)))</f>
        <v>0.025</v>
      </c>
      <c r="R1327" s="71">
        <f>IF(B1327="",0,INDEX(ModelParameters!$D$13:$K$17,MATCH($O1327,ModelParameters!$B$13:$B$17,0),MATCH($J1327,ModelParameters!$D$5:$K$5,0)))</f>
        <v>0</v>
      </c>
      <c r="S1327" s="160">
        <f>IF(B1327="",0,MIN(IF($N1327="Other Bond TM",ModelParameters!$N$21,1)*(P1327*Q1327+R1327),1))</f>
        <v>0.04282104857084676</v>
      </c>
      <c r="T1327" s="85">
        <f>IF(B1327="",0,$S1327*$K1327)</f>
        <v>51.661317310483528</v>
      </c>
      <c r="U1327" s="85">
        <f>IF(B1327="",0,IF(OR(H1327=MappingTables!$C$34,H1327=MappingTables!$C$35),T1327,0))</f>
        <v>0</v>
      </c>
      <c r="V1327" s="85">
        <f>IF(ISNA(IF(AND(VLOOKUP(CONCATENATE($D1327,$G1327),CSRFinput!$B:$E,4,0)=0,OR(H1327=MappingTables!$C$34,H1327=MappingTables!$C$35)),1,VLOOKUP(CONCATENATE($D1327,$G1327),CSRFinput!$B:$E,4,0))),0,IF(AND(VLOOKUP(CONCATENATE($D1327,$G1327),CSRFinput!$B:$E,4,0)=0,OR(H1327=MappingTables!$C$34,H1327=MappingTables!$C$35)),1,VLOOKUP(CONCATENATE($D1327,$G1327),CSRFinput!$B:$E,4,0)))</f>
        <v>0.054776304963434752</v>
      </c>
      <c r="W1327" s="85">
        <f>IF(B1327="",0,+$T1327*$V1327)</f>
        <v>2.8298160718118168</v>
      </c>
      <c r="X1327" s="85">
        <f>IF(B1327="",0,IF(OR(H1327=MappingTables!$C$34,H1327=MappingTables!$C$35),W1327,0))</f>
        <v>0</v>
      </c>
    </row>
    <row r="1328" spans="2:24" s="0" customFormat="0" ht="15">
      <c r="B1328" s="69">
        <v>11384399</v>
      </c>
      <c r="C1328" s="70" t="s">
        <v>1210</v>
      </c>
      <c r="D1328" s="70" t="s">
        <v>1</v>
      </c>
      <c r="E1328" s="70" t="s">
        <v>1</v>
      </c>
      <c r="F1328" s="70"/>
      <c r="G1328" s="70" t="s">
        <v>61</v>
      </c>
      <c r="H1328" s="70" t="s">
        <v>178</v>
      </c>
      <c r="I1328" s="70" t="s">
        <v>188</v>
      </c>
      <c r="J1328" s="71">
        <f>IF(OR(I1328=0,I1328=""),"unrated",VLOOKUP(I1328,MappingTables!$B$19:$C$31,2,FALSE))</f>
        <v>2</v>
      </c>
      <c r="K1328" s="72">
        <v>5568.0639917676496</v>
      </c>
      <c r="L1328" s="70">
        <v>1.0575935894520856</v>
      </c>
      <c r="M1328" s="71">
        <f>IF(L1328&lt;1,1,L1328)</f>
        <v>1.0575935894520856</v>
      </c>
      <c r="N1328" s="70" t="s">
        <v>141</v>
      </c>
      <c r="O1328" s="71">
        <f>INDEX(DurClassMapping,MATCH(M1328,MappingTables!$D$4:$D$8,-1),1)</f>
        <v>1</v>
      </c>
      <c r="P1328" s="73">
        <f>IF(M1328=$A$1,1,$M1328-INDEX(MappingTables!$E$4:$E$8,MATCH(O1328,MappingTables!$B$4:$B$8,0)))</f>
        <v>1.0575935894520856</v>
      </c>
      <c r="Q1328" s="71">
        <f>IF(B1328="",0,INDEX(ModelParameters!$D$6:$K$10,MATCH($O1328,ModelParameters!$B$6:$B$10,0),MATCH($J1328,ModelParameters!$D$5:$K$5,0)))</f>
        <v>0.013999999999999998</v>
      </c>
      <c r="R1328" s="71">
        <f>IF(B1328="",0,INDEX(ModelParameters!$D$13:$K$17,MATCH($O1328,ModelParameters!$B$13:$B$17,0),MATCH($J1328,ModelParameters!$D$5:$K$5,0)))</f>
        <v>0</v>
      </c>
      <c r="S1328" s="160">
        <f>IF(B1328="",0,MIN(IF($N1328="Other Bond TM",ModelParameters!$N$21,1)*(P1328*Q1328+R1328),1))</f>
        <v>0.014806310252329198</v>
      </c>
      <c r="T1328" s="85">
        <f>IF(B1328="",0,$S1328*$K1328)</f>
        <v>82.4424829669344</v>
      </c>
      <c r="U1328" s="85">
        <f>IF(B1328="",0,IF(OR(H1328=MappingTables!$C$34,H1328=MappingTables!$C$35),T1328,0))</f>
        <v>0</v>
      </c>
      <c r="V1328" s="85">
        <f>IF(ISNA(IF(AND(VLOOKUP(CONCATENATE($D1328,$G1328),CSRFinput!$B:$E,4,0)=0,OR(H1328=MappingTables!$C$34,H1328=MappingTables!$C$35)),1,VLOOKUP(CONCATENATE($D1328,$G1328),CSRFinput!$B:$E,4,0))),0,IF(AND(VLOOKUP(CONCATENATE($D1328,$G1328),CSRFinput!$B:$E,4,0)=0,OR(H1328=MappingTables!$C$34,H1328=MappingTables!$C$35)),1,VLOOKUP(CONCATENATE($D1328,$G1328),CSRFinput!$B:$E,4,0)))</f>
        <v>0.054776304963434752</v>
      </c>
      <c r="W1328" s="85">
        <f>IF(B1328="",0,+$T1328*$V1328)</f>
        <v>4.5158945889395736</v>
      </c>
      <c r="X1328" s="85">
        <f>IF(B1328="",0,IF(OR(H1328=MappingTables!$C$34,H1328=MappingTables!$C$35),W1328,0))</f>
        <v>0</v>
      </c>
    </row>
    <row r="1329" spans="2:24" s="0" customFormat="0" ht="15">
      <c r="B1329" s="69" t="s">
        <v>1594</v>
      </c>
      <c r="C1329" s="70" t="s">
        <v>1595</v>
      </c>
      <c r="D1329" s="70" t="s">
        <v>1</v>
      </c>
      <c r="E1329" s="70" t="s">
        <v>1</v>
      </c>
      <c r="F1329" s="70"/>
      <c r="G1329" s="70" t="s">
        <v>61</v>
      </c>
      <c r="H1329" s="70" t="s">
        <v>178</v>
      </c>
      <c r="I1329" s="70" t="s">
        <v>181</v>
      </c>
      <c r="J1329" s="71">
        <f>IF(OR(I1329=0,I1329=""),"unrated",VLOOKUP(I1329,MappingTables!$B$19:$C$31,2,FALSE))</f>
        <v>3</v>
      </c>
      <c r="K1329" s="72">
        <v>2343.3110297567888</v>
      </c>
      <c r="L1329" s="70">
        <v>0.13698399046257362</v>
      </c>
      <c r="M1329" s="71">
        <f>IF(L1329&lt;1,1,L1329)</f>
        <v>1</v>
      </c>
      <c r="N1329" s="70" t="s">
        <v>141</v>
      </c>
      <c r="O1329" s="71">
        <f>INDEX(DurClassMapping,MATCH(M1329,MappingTables!$D$4:$D$8,-1),1)</f>
        <v>1</v>
      </c>
      <c r="P1329" s="73">
        <f>IF(M1329=$A$1,1,$M1329-INDEX(MappingTables!$E$4:$E$8,MATCH(O1329,MappingTables!$B$4:$B$8,0)))</f>
        <v>1</v>
      </c>
      <c r="Q1329" s="71">
        <f>IF(B1329="",0,INDEX(ModelParameters!$D$6:$K$10,MATCH($O1329,ModelParameters!$B$6:$B$10,0),MATCH($J1329,ModelParameters!$D$5:$K$5,0)))</f>
        <v>0.025</v>
      </c>
      <c r="R1329" s="71">
        <f>IF(B1329="",0,INDEX(ModelParameters!$D$13:$K$17,MATCH($O1329,ModelParameters!$B$13:$B$17,0),MATCH($J1329,ModelParameters!$D$5:$K$5,0)))</f>
        <v>0</v>
      </c>
      <c r="S1329" s="160">
        <f>IF(B1329="",0,MIN(IF($N1329="Other Bond TM",ModelParameters!$N$21,1)*(P1329*Q1329+R1329),1))</f>
        <v>0.025</v>
      </c>
      <c r="T1329" s="85">
        <f>IF(B1329="",0,$S1329*$K1329)</f>
        <v>58.58277574391972</v>
      </c>
      <c r="U1329" s="85">
        <f>IF(B1329="",0,IF(OR(H1329=MappingTables!$C$34,H1329=MappingTables!$C$35),T1329,0))</f>
        <v>0</v>
      </c>
      <c r="V1329" s="85">
        <f>IF(ISNA(IF(AND(VLOOKUP(CONCATENATE($D1329,$G1329),CSRFinput!$B:$E,4,0)=0,OR(H1329=MappingTables!$C$34,H1329=MappingTables!$C$35)),1,VLOOKUP(CONCATENATE($D1329,$G1329),CSRFinput!$B:$E,4,0))),0,IF(AND(VLOOKUP(CONCATENATE($D1329,$G1329),CSRFinput!$B:$E,4,0)=0,OR(H1329=MappingTables!$C$34,H1329=MappingTables!$C$35)),1,VLOOKUP(CONCATENATE($D1329,$G1329),CSRFinput!$B:$E,4,0)))</f>
        <v>0.054776304963434752</v>
      </c>
      <c r="W1329" s="85">
        <f>IF(B1329="",0,+$T1329*$V1329)</f>
        <v>3.2089479897534548</v>
      </c>
      <c r="X1329" s="85">
        <f>IF(B1329="",0,IF(OR(H1329=MappingTables!$C$34,H1329=MappingTables!$C$35),W1329,0))</f>
        <v>0</v>
      </c>
    </row>
    <row r="1330" spans="2:24" s="0" customFormat="0" ht="15">
      <c r="B1330" s="69">
        <v>10596345</v>
      </c>
      <c r="C1330" s="70" t="s">
        <v>1596</v>
      </c>
      <c r="D1330" s="70" t="s">
        <v>1</v>
      </c>
      <c r="E1330" s="70" t="s">
        <v>1</v>
      </c>
      <c r="F1330" s="70"/>
      <c r="G1330" s="70" t="s">
        <v>61</v>
      </c>
      <c r="H1330" s="70" t="s">
        <v>178</v>
      </c>
      <c r="I1330" s="70" t="s">
        <v>220</v>
      </c>
      <c r="J1330" s="71">
        <f>IF(OR(I1330=0,I1330=""),"unrated",VLOOKUP(I1330,MappingTables!$B$19:$C$31,2,FALSE))</f>
        <v>1</v>
      </c>
      <c r="K1330" s="72">
        <v>328.5070660885948</v>
      </c>
      <c r="L1330" s="70">
        <v>15.584451028010388</v>
      </c>
      <c r="M1330" s="71">
        <f>IF(L1330&lt;1,1,L1330)</f>
        <v>15.584451028010388</v>
      </c>
      <c r="N1330" s="70" t="s">
        <v>141</v>
      </c>
      <c r="O1330" s="71">
        <f>INDEX(DurClassMapping,MATCH(M1330,MappingTables!$D$4:$D$8,-1),1)</f>
        <v>4</v>
      </c>
      <c r="P1330" s="73">
        <f>IF(M1330=$A$1,1,$M1330-INDEX(MappingTables!$E$4:$E$8,MATCH(O1330,MappingTables!$B$4:$B$8,0)))</f>
        <v>0.58445102801038832</v>
      </c>
      <c r="Q1330" s="71">
        <f>IF(B1330="",0,INDEX(ModelParameters!$D$6:$K$10,MATCH($O1330,ModelParameters!$B$6:$B$10,0),MATCH($J1330,ModelParameters!$D$5:$K$5,0)))</f>
        <v>0.005</v>
      </c>
      <c r="R1330" s="71">
        <f>IF(B1330="",0,INDEX(ModelParameters!$D$13:$K$17,MATCH($O1330,ModelParameters!$B$13:$B$17,0),MATCH($J1330,ModelParameters!$D$5:$K$5,0)))</f>
        <v>0.11</v>
      </c>
      <c r="S1330" s="160">
        <f>IF(B1330="",0,MIN(IF($N1330="Other Bond TM",ModelParameters!$N$21,1)*(P1330*Q1330+R1330),1))</f>
        <v>0.11292225514005194</v>
      </c>
      <c r="T1330" s="85">
        <f>IF(B1330="",0,$S1330*$K1330)</f>
        <v>37.0957587321662</v>
      </c>
      <c r="U1330" s="85">
        <f>IF(B1330="",0,IF(OR(H1330=MappingTables!$C$34,H1330=MappingTables!$C$35),T1330,0))</f>
        <v>0</v>
      </c>
      <c r="V1330" s="85">
        <f>IF(ISNA(IF(AND(VLOOKUP(CONCATENATE($D1330,$G1330),CSRFinput!$B:$E,4,0)=0,OR(H1330=MappingTables!$C$34,H1330=MappingTables!$C$35)),1,VLOOKUP(CONCATENATE($D1330,$G1330),CSRFinput!$B:$E,4,0))),0,IF(AND(VLOOKUP(CONCATENATE($D1330,$G1330),CSRFinput!$B:$E,4,0)=0,OR(H1330=MappingTables!$C$34,H1330=MappingTables!$C$35)),1,VLOOKUP(CONCATENATE($D1330,$G1330),CSRFinput!$B:$E,4,0)))</f>
        <v>0.054776304963434752</v>
      </c>
      <c r="W1330" s="85">
        <f>IF(B1330="",0,+$T1330*$V1330)</f>
        <v>2.0319685931631336</v>
      </c>
      <c r="X1330" s="85">
        <f>IF(B1330="",0,IF(OR(H1330=MappingTables!$C$34,H1330=MappingTables!$C$35),W1330,0))</f>
        <v>0</v>
      </c>
    </row>
    <row r="1331" spans="2:24" s="0" customFormat="0" ht="15">
      <c r="B1331" s="69" t="s">
        <v>788</v>
      </c>
      <c r="C1331" s="70" t="s">
        <v>789</v>
      </c>
      <c r="D1331" s="70" t="s">
        <v>1</v>
      </c>
      <c r="E1331" s="70" t="s">
        <v>1</v>
      </c>
      <c r="F1331" s="70"/>
      <c r="G1331" s="70" t="s">
        <v>61</v>
      </c>
      <c r="H1331" s="70" t="s">
        <v>178</v>
      </c>
      <c r="I1331" s="70" t="s">
        <v>181</v>
      </c>
      <c r="J1331" s="71">
        <f>IF(OR(I1331=0,I1331=""),"unrated",VLOOKUP(I1331,MappingTables!$B$19:$C$31,2,FALSE))</f>
        <v>3</v>
      </c>
      <c r="K1331" s="72">
        <v>65058.328145655048</v>
      </c>
      <c r="L1331" s="70">
        <v>4.0572999675778104</v>
      </c>
      <c r="M1331" s="71">
        <f>IF(L1331&lt;1,1,L1331)</f>
        <v>4.0572999675778104</v>
      </c>
      <c r="N1331" s="70" t="s">
        <v>141</v>
      </c>
      <c r="O1331" s="71">
        <f>INDEX(DurClassMapping,MATCH(M1331,MappingTables!$D$4:$D$8,-1),1)</f>
        <v>1</v>
      </c>
      <c r="P1331" s="73">
        <f>IF(M1331=$A$1,1,$M1331-INDEX(MappingTables!$E$4:$E$8,MATCH(O1331,MappingTables!$B$4:$B$8,0)))</f>
        <v>4.0572999675778104</v>
      </c>
      <c r="Q1331" s="71">
        <f>IF(B1331="",0,INDEX(ModelParameters!$D$6:$K$10,MATCH($O1331,ModelParameters!$B$6:$B$10,0),MATCH($J1331,ModelParameters!$D$5:$K$5,0)))</f>
        <v>0.025</v>
      </c>
      <c r="R1331" s="71">
        <f>IF(B1331="",0,INDEX(ModelParameters!$D$13:$K$17,MATCH($O1331,ModelParameters!$B$13:$B$17,0),MATCH($J1331,ModelParameters!$D$5:$K$5,0)))</f>
        <v>0</v>
      </c>
      <c r="S1331" s="160">
        <f>IF(B1331="",0,MIN(IF($N1331="Other Bond TM",ModelParameters!$N$21,1)*(P1331*Q1331+R1331),1))</f>
        <v>0.10143249918944526</v>
      </c>
      <c r="T1331" s="85">
        <f>IF(B1331="",0,$S1331*$K1331)</f>
        <v>6599.0288169008192</v>
      </c>
      <c r="U1331" s="85">
        <f>IF(B1331="",0,IF(OR(H1331=MappingTables!$C$34,H1331=MappingTables!$C$35),T1331,0))</f>
        <v>0</v>
      </c>
      <c r="V1331" s="85">
        <f>IF(ISNA(IF(AND(VLOOKUP(CONCATENATE($D1331,$G1331),CSRFinput!$B:$E,4,0)=0,OR(H1331=MappingTables!$C$34,H1331=MappingTables!$C$35)),1,VLOOKUP(CONCATENATE($D1331,$G1331),CSRFinput!$B:$E,4,0))),0,IF(AND(VLOOKUP(CONCATENATE($D1331,$G1331),CSRFinput!$B:$E,4,0)=0,OR(H1331=MappingTables!$C$34,H1331=MappingTables!$C$35)),1,VLOOKUP(CONCATENATE($D1331,$G1331),CSRFinput!$B:$E,4,0)))</f>
        <v>0.054776304963434752</v>
      </c>
      <c r="W1331" s="85">
        <f>IF(B1331="",0,+$T1331*$V1331)</f>
        <v>361.47041493705328</v>
      </c>
      <c r="X1331" s="85">
        <f>IF(B1331="",0,IF(OR(H1331=MappingTables!$C$34,H1331=MappingTables!$C$35),W1331,0))</f>
        <v>0</v>
      </c>
    </row>
    <row r="1332" spans="2:24" s="0" customFormat="0" ht="15">
      <c r="B1332" s="69">
        <v>21811316</v>
      </c>
      <c r="C1332" s="70" t="s">
        <v>1597</v>
      </c>
      <c r="D1332" s="70" t="s">
        <v>1</v>
      </c>
      <c r="E1332" s="70" t="s">
        <v>1</v>
      </c>
      <c r="F1332" s="70"/>
      <c r="G1332" s="70" t="s">
        <v>61</v>
      </c>
      <c r="H1332" s="70" t="s">
        <v>178</v>
      </c>
      <c r="I1332" s="70" t="s">
        <v>181</v>
      </c>
      <c r="J1332" s="71">
        <f>IF(OR(I1332=0,I1332=""),"unrated",VLOOKUP(I1332,MappingTables!$B$19:$C$31,2,FALSE))</f>
        <v>3</v>
      </c>
      <c r="K1332" s="72">
        <v>132.48586341825446</v>
      </c>
      <c r="L1332" s="70">
        <v>3.6467491322595096</v>
      </c>
      <c r="M1332" s="71">
        <f>IF(L1332&lt;1,1,L1332)</f>
        <v>3.6467491322595096</v>
      </c>
      <c r="N1332" s="70" t="s">
        <v>141</v>
      </c>
      <c r="O1332" s="71">
        <f>INDEX(DurClassMapping,MATCH(M1332,MappingTables!$D$4:$D$8,-1),1)</f>
        <v>1</v>
      </c>
      <c r="P1332" s="73">
        <f>IF(M1332=$A$1,1,$M1332-INDEX(MappingTables!$E$4:$E$8,MATCH(O1332,MappingTables!$B$4:$B$8,0)))</f>
        <v>3.6467491322595096</v>
      </c>
      <c r="Q1332" s="71">
        <f>IF(B1332="",0,INDEX(ModelParameters!$D$6:$K$10,MATCH($O1332,ModelParameters!$B$6:$B$10,0),MATCH($J1332,ModelParameters!$D$5:$K$5,0)))</f>
        <v>0.025</v>
      </c>
      <c r="R1332" s="71">
        <f>IF(B1332="",0,INDEX(ModelParameters!$D$13:$K$17,MATCH($O1332,ModelParameters!$B$13:$B$17,0),MATCH($J1332,ModelParameters!$D$5:$K$5,0)))</f>
        <v>0</v>
      </c>
      <c r="S1332" s="160">
        <f>IF(B1332="",0,MIN(IF($N1332="Other Bond TM",ModelParameters!$N$21,1)*(P1332*Q1332+R1332),1))</f>
        <v>0.091168728306487744</v>
      </c>
      <c r="T1332" s="85">
        <f>IF(B1332="",0,$S1332*$K1332)</f>
        <v>12.078567686429284</v>
      </c>
      <c r="U1332" s="85">
        <f>IF(B1332="",0,IF(OR(H1332=MappingTables!$C$34,H1332=MappingTables!$C$35),T1332,0))</f>
        <v>0</v>
      </c>
      <c r="V1332" s="85">
        <f>IF(ISNA(IF(AND(VLOOKUP(CONCATENATE($D1332,$G1332),CSRFinput!$B:$E,4,0)=0,OR(H1332=MappingTables!$C$34,H1332=MappingTables!$C$35)),1,VLOOKUP(CONCATENATE($D1332,$G1332),CSRFinput!$B:$E,4,0))),0,IF(AND(VLOOKUP(CONCATENATE($D1332,$G1332),CSRFinput!$B:$E,4,0)=0,OR(H1332=MappingTables!$C$34,H1332=MappingTables!$C$35)),1,VLOOKUP(CONCATENATE($D1332,$G1332),CSRFinput!$B:$E,4,0)))</f>
        <v>0.054776304963434752</v>
      </c>
      <c r="W1332" s="85">
        <f>IF(B1332="",0,+$T1332*$V1332)</f>
        <v>0.66161930711333904</v>
      </c>
      <c r="X1332" s="85">
        <f>IF(B1332="",0,IF(OR(H1332=MappingTables!$C$34,H1332=MappingTables!$C$35),W1332,0))</f>
        <v>0</v>
      </c>
    </row>
    <row r="1333" spans="2:24" s="0" customFormat="0" ht="15">
      <c r="B1333" s="69">
        <v>18154855</v>
      </c>
      <c r="C1333" s="70" t="s">
        <v>274</v>
      </c>
      <c r="D1333" s="70" t="s">
        <v>1</v>
      </c>
      <c r="E1333" s="70" t="s">
        <v>1</v>
      </c>
      <c r="F1333" s="70"/>
      <c r="G1333" s="70" t="s">
        <v>61</v>
      </c>
      <c r="H1333" s="70" t="s">
        <v>178</v>
      </c>
      <c r="I1333" s="70" t="s">
        <v>179</v>
      </c>
      <c r="J1333" s="71">
        <f>IF(OR(I1333=0,I1333=""),"unrated",VLOOKUP(I1333,MappingTables!$B$19:$C$31,2,FALSE))</f>
        <v>4</v>
      </c>
      <c r="K1333" s="72">
        <v>109.95970241867354</v>
      </c>
      <c r="L1333" s="70">
        <v>15.629907223047022</v>
      </c>
      <c r="M1333" s="71">
        <f>IF(L1333&lt;1,1,L1333)</f>
        <v>15.629907223047022</v>
      </c>
      <c r="N1333" s="70" t="s">
        <v>141</v>
      </c>
      <c r="O1333" s="71">
        <f>INDEX(DurClassMapping,MATCH(M1333,MappingTables!$D$4:$D$8,-1),1)</f>
        <v>4</v>
      </c>
      <c r="P1333" s="73">
        <f>IF(M1333=$A$1,1,$M1333-INDEX(MappingTables!$E$4:$E$8,MATCH(O1333,MappingTables!$B$4:$B$8,0)))</f>
        <v>0.62990722304702192</v>
      </c>
      <c r="Q1333" s="71">
        <f>IF(B1333="",0,INDEX(ModelParameters!$D$6:$K$10,MATCH($O1333,ModelParameters!$B$6:$B$10,0),MATCH($J1333,ModelParameters!$D$5:$K$5,0)))</f>
        <v>0.005</v>
      </c>
      <c r="R1333" s="71">
        <f>IF(B1333="",0,INDEX(ModelParameters!$D$13:$K$17,MATCH($O1333,ModelParameters!$B$13:$B$17,0),MATCH($J1333,ModelParameters!$D$5:$K$5,0)))</f>
        <v>0.44</v>
      </c>
      <c r="S1333" s="160">
        <f>IF(B1333="",0,MIN(IF($N1333="Other Bond TM",ModelParameters!$N$21,1)*(P1333*Q1333+R1333),1))</f>
        <v>0.44314953611523512</v>
      </c>
      <c r="T1333" s="85">
        <f>IF(B1333="",0,$S1333*$K1333)</f>
        <v>48.72859111820448</v>
      </c>
      <c r="U1333" s="85">
        <f>IF(B1333="",0,IF(OR(H1333=MappingTables!$C$34,H1333=MappingTables!$C$35),T1333,0))</f>
        <v>0</v>
      </c>
      <c r="V1333" s="85">
        <f>IF(ISNA(IF(AND(VLOOKUP(CONCATENATE($D1333,$G1333),CSRFinput!$B:$E,4,0)=0,OR(H1333=MappingTables!$C$34,H1333=MappingTables!$C$35)),1,VLOOKUP(CONCATENATE($D1333,$G1333),CSRFinput!$B:$E,4,0))),0,IF(AND(VLOOKUP(CONCATENATE($D1333,$G1333),CSRFinput!$B:$E,4,0)=0,OR(H1333=MappingTables!$C$34,H1333=MappingTables!$C$35)),1,VLOOKUP(CONCATENATE($D1333,$G1333),CSRFinput!$B:$E,4,0)))</f>
        <v>0.054776304963434752</v>
      </c>
      <c r="W1333" s="85">
        <f>IF(B1333="",0,+$T1333*$V1333)</f>
        <v>2.6691721675292864</v>
      </c>
      <c r="X1333" s="85">
        <f>IF(B1333="",0,IF(OR(H1333=MappingTables!$C$34,H1333=MappingTables!$C$35),W1333,0))</f>
        <v>0</v>
      </c>
    </row>
    <row r="1334" spans="2:24" s="0" customFormat="0" ht="15">
      <c r="B1334" s="69">
        <v>5211003</v>
      </c>
      <c r="C1334" s="70" t="s">
        <v>1598</v>
      </c>
      <c r="D1334" s="70" t="s">
        <v>1</v>
      </c>
      <c r="E1334" s="70" t="s">
        <v>1</v>
      </c>
      <c r="F1334" s="70"/>
      <c r="G1334" s="70" t="s">
        <v>61</v>
      </c>
      <c r="H1334" s="70" t="s">
        <v>178</v>
      </c>
      <c r="I1334" s="70" t="s">
        <v>181</v>
      </c>
      <c r="J1334" s="71">
        <f>IF(OR(I1334=0,I1334=""),"unrated",VLOOKUP(I1334,MappingTables!$B$19:$C$31,2,FALSE))</f>
        <v>3</v>
      </c>
      <c r="K1334" s="72">
        <v>562905.2734375</v>
      </c>
      <c r="L1334" s="70">
        <v>3.6114421955101792</v>
      </c>
      <c r="M1334" s="71">
        <f>IF(L1334&lt;1,1,L1334)</f>
        <v>3.6114421955101792</v>
      </c>
      <c r="N1334" s="70" t="s">
        <v>141</v>
      </c>
      <c r="O1334" s="71">
        <f>INDEX(DurClassMapping,MATCH(M1334,MappingTables!$D$4:$D$8,-1),1)</f>
        <v>1</v>
      </c>
      <c r="P1334" s="73">
        <f>IF(M1334=$A$1,1,$M1334-INDEX(MappingTables!$E$4:$E$8,MATCH(O1334,MappingTables!$B$4:$B$8,0)))</f>
        <v>3.6114421955101792</v>
      </c>
      <c r="Q1334" s="71">
        <f>IF(B1334="",0,INDEX(ModelParameters!$D$6:$K$10,MATCH($O1334,ModelParameters!$B$6:$B$10,0),MATCH($J1334,ModelParameters!$D$5:$K$5,0)))</f>
        <v>0.025</v>
      </c>
      <c r="R1334" s="71">
        <f>IF(B1334="",0,INDEX(ModelParameters!$D$13:$K$17,MATCH($O1334,ModelParameters!$B$13:$B$17,0),MATCH($J1334,ModelParameters!$D$5:$K$5,0)))</f>
        <v>0</v>
      </c>
      <c r="S1334" s="160">
        <f>IF(B1334="",0,MIN(IF($N1334="Other Bond TM",ModelParameters!$N$21,1)*(P1334*Q1334+R1334),1))</f>
        <v>0.09028605488775448</v>
      </c>
      <c r="T1334" s="85">
        <f>IF(B1334="",0,$S1334*$K1334)</f>
        <v>50822.496414184568</v>
      </c>
      <c r="U1334" s="85">
        <f>IF(B1334="",0,IF(OR(H1334=MappingTables!$C$34,H1334=MappingTables!$C$35),T1334,0))</f>
        <v>0</v>
      </c>
      <c r="V1334" s="85">
        <f>IF(ISNA(IF(AND(VLOOKUP(CONCATENATE($D1334,$G1334),CSRFinput!$B:$E,4,0)=0,OR(H1334=MappingTables!$C$34,H1334=MappingTables!$C$35)),1,VLOOKUP(CONCATENATE($D1334,$G1334),CSRFinput!$B:$E,4,0))),0,IF(AND(VLOOKUP(CONCATENATE($D1334,$G1334),CSRFinput!$B:$E,4,0)=0,OR(H1334=MappingTables!$C$34,H1334=MappingTables!$C$35)),1,VLOOKUP(CONCATENATE($D1334,$G1334),CSRFinput!$B:$E,4,0)))</f>
        <v>0.054776304963434752</v>
      </c>
      <c r="W1334" s="85">
        <f>IF(B1334="",0,+$T1334*$V1334)</f>
        <v>2783.8685625864432</v>
      </c>
      <c r="X1334" s="85">
        <f>IF(B1334="",0,IF(OR(H1334=MappingTables!$C$34,H1334=MappingTables!$C$35),W1334,0))</f>
        <v>0</v>
      </c>
    </row>
    <row r="1335" spans="2:24" s="0" customFormat="0" ht="15">
      <c r="B1335" s="69">
        <v>19863537</v>
      </c>
      <c r="C1335" s="70" t="s">
        <v>1599</v>
      </c>
      <c r="D1335" s="70" t="s">
        <v>1</v>
      </c>
      <c r="E1335" s="70" t="s">
        <v>1</v>
      </c>
      <c r="F1335" s="70"/>
      <c r="G1335" s="70" t="s">
        <v>61</v>
      </c>
      <c r="H1335" s="70" t="s">
        <v>178</v>
      </c>
      <c r="I1335" s="70" t="s">
        <v>220</v>
      </c>
      <c r="J1335" s="71">
        <f>IF(OR(I1335=0,I1335=""),"unrated",VLOOKUP(I1335,MappingTables!$B$19:$C$31,2,FALSE))</f>
        <v>1</v>
      </c>
      <c r="K1335" s="72">
        <v>1599.8580458224828</v>
      </c>
      <c r="L1335" s="70">
        <v>1.2928872292503804</v>
      </c>
      <c r="M1335" s="71">
        <f>IF(L1335&lt;1,1,L1335)</f>
        <v>1.2928872292503804</v>
      </c>
      <c r="N1335" s="70" t="s">
        <v>141</v>
      </c>
      <c r="O1335" s="71">
        <f>INDEX(DurClassMapping,MATCH(M1335,MappingTables!$D$4:$D$8,-1),1)</f>
        <v>1</v>
      </c>
      <c r="P1335" s="73">
        <f>IF(M1335=$A$1,1,$M1335-INDEX(MappingTables!$E$4:$E$8,MATCH(O1335,MappingTables!$B$4:$B$8,0)))</f>
        <v>1.2928872292503804</v>
      </c>
      <c r="Q1335" s="71">
        <f>IF(B1335="",0,INDEX(ModelParameters!$D$6:$K$10,MATCH($O1335,ModelParameters!$B$6:$B$10,0),MATCH($J1335,ModelParameters!$D$5:$K$5,0)))</f>
        <v>0.011000000000000002</v>
      </c>
      <c r="R1335" s="71">
        <f>IF(B1335="",0,INDEX(ModelParameters!$D$13:$K$17,MATCH($O1335,ModelParameters!$B$13:$B$17,0),MATCH($J1335,ModelParameters!$D$5:$K$5,0)))</f>
        <v>0</v>
      </c>
      <c r="S1335" s="160">
        <f>IF(B1335="",0,MIN(IF($N1335="Other Bond TM",ModelParameters!$N$21,1)*(P1335*Q1335+R1335),1))</f>
        <v>0.014221759521754186</v>
      </c>
      <c r="T1335" s="85">
        <f>IF(B1335="",0,$S1335*$K1335)</f>
        <v>22.752796396630936</v>
      </c>
      <c r="U1335" s="85">
        <f>IF(B1335="",0,IF(OR(H1335=MappingTables!$C$34,H1335=MappingTables!$C$35),T1335,0))</f>
        <v>0</v>
      </c>
      <c r="V1335" s="85">
        <f>IF(ISNA(IF(AND(VLOOKUP(CONCATENATE($D1335,$G1335),CSRFinput!$B:$E,4,0)=0,OR(H1335=MappingTables!$C$34,H1335=MappingTables!$C$35)),1,VLOOKUP(CONCATENATE($D1335,$G1335),CSRFinput!$B:$E,4,0))),0,IF(AND(VLOOKUP(CONCATENATE($D1335,$G1335),CSRFinput!$B:$E,4,0)=0,OR(H1335=MappingTables!$C$34,H1335=MappingTables!$C$35)),1,VLOOKUP(CONCATENATE($D1335,$G1335),CSRFinput!$B:$E,4,0)))</f>
        <v>0.054776304963434752</v>
      </c>
      <c r="W1335" s="85">
        <f>IF(B1335="",0,+$T1335*$V1335)</f>
        <v>1.2463141141927956</v>
      </c>
      <c r="X1335" s="85">
        <f>IF(B1335="",0,IF(OR(H1335=MappingTables!$C$34,H1335=MappingTables!$C$35),W1335,0))</f>
        <v>0</v>
      </c>
    </row>
    <row r="1336" spans="2:24" s="0" customFormat="0" ht="15">
      <c r="B1336" s="69">
        <v>24911926</v>
      </c>
      <c r="C1336" s="70" t="s">
        <v>1600</v>
      </c>
      <c r="D1336" s="70" t="s">
        <v>1</v>
      </c>
      <c r="E1336" s="70" t="s">
        <v>1</v>
      </c>
      <c r="F1336" s="70"/>
      <c r="G1336" s="70" t="s">
        <v>61</v>
      </c>
      <c r="H1336" s="70" t="s">
        <v>178</v>
      </c>
      <c r="I1336" s="70" t="s">
        <v>220</v>
      </c>
      <c r="J1336" s="71">
        <f>IF(OR(I1336=0,I1336=""),"unrated",VLOOKUP(I1336,MappingTables!$B$19:$C$31,2,FALSE))</f>
        <v>1</v>
      </c>
      <c r="K1336" s="72">
        <v>2702.7057893050228</v>
      </c>
      <c r="L1336" s="70">
        <v>2.8323192014867896</v>
      </c>
      <c r="M1336" s="71">
        <f>IF(L1336&lt;1,1,L1336)</f>
        <v>2.8323192014867896</v>
      </c>
      <c r="N1336" s="70" t="s">
        <v>141</v>
      </c>
      <c r="O1336" s="71">
        <f>INDEX(DurClassMapping,MATCH(M1336,MappingTables!$D$4:$D$8,-1),1)</f>
        <v>1</v>
      </c>
      <c r="P1336" s="73">
        <f>IF(M1336=$A$1,1,$M1336-INDEX(MappingTables!$E$4:$E$8,MATCH(O1336,MappingTables!$B$4:$B$8,0)))</f>
        <v>2.8323192014867896</v>
      </c>
      <c r="Q1336" s="71">
        <f>IF(B1336="",0,INDEX(ModelParameters!$D$6:$K$10,MATCH($O1336,ModelParameters!$B$6:$B$10,0),MATCH($J1336,ModelParameters!$D$5:$K$5,0)))</f>
        <v>0.011000000000000002</v>
      </c>
      <c r="R1336" s="71">
        <f>IF(B1336="",0,INDEX(ModelParameters!$D$13:$K$17,MATCH($O1336,ModelParameters!$B$13:$B$17,0),MATCH($J1336,ModelParameters!$D$5:$K$5,0)))</f>
        <v>0</v>
      </c>
      <c r="S1336" s="160">
        <f>IF(B1336="",0,MIN(IF($N1336="Other Bond TM",ModelParameters!$N$21,1)*(P1336*Q1336+R1336),1))</f>
        <v>0.031155511216354688</v>
      </c>
      <c r="T1336" s="85">
        <f>IF(B1336="",0,$S1336*$K1336)</f>
        <v>84.204180533199392</v>
      </c>
      <c r="U1336" s="85">
        <f>IF(B1336="",0,IF(OR(H1336=MappingTables!$C$34,H1336=MappingTables!$C$35),T1336,0))</f>
        <v>0</v>
      </c>
      <c r="V1336" s="85">
        <f>IF(ISNA(IF(AND(VLOOKUP(CONCATENATE($D1336,$G1336),CSRFinput!$B:$E,4,0)=0,OR(H1336=MappingTables!$C$34,H1336=MappingTables!$C$35)),1,VLOOKUP(CONCATENATE($D1336,$G1336),CSRFinput!$B:$E,4,0))),0,IF(AND(VLOOKUP(CONCATENATE($D1336,$G1336),CSRFinput!$B:$E,4,0)=0,OR(H1336=MappingTables!$C$34,H1336=MappingTables!$C$35)),1,VLOOKUP(CONCATENATE($D1336,$G1336),CSRFinput!$B:$E,4,0)))</f>
        <v>0.054776304963434752</v>
      </c>
      <c r="W1336" s="85">
        <f>IF(B1336="",0,+$T1336*$V1336)</f>
        <v>4.6123938720826464</v>
      </c>
      <c r="X1336" s="85">
        <f>IF(B1336="",0,IF(OR(H1336=MappingTables!$C$34,H1336=MappingTables!$C$35),W1336,0))</f>
        <v>0</v>
      </c>
    </row>
    <row r="1337" spans="2:24" s="0" customFormat="0" ht="15">
      <c r="B1337" s="69">
        <v>11882841</v>
      </c>
      <c r="C1337" s="70" t="s">
        <v>1601</v>
      </c>
      <c r="D1337" s="70" t="s">
        <v>1</v>
      </c>
      <c r="E1337" s="70" t="s">
        <v>1</v>
      </c>
      <c r="F1337" s="70"/>
      <c r="G1337" s="70" t="s">
        <v>61</v>
      </c>
      <c r="H1337" s="70" t="s">
        <v>178</v>
      </c>
      <c r="I1337" s="70" t="s">
        <v>179</v>
      </c>
      <c r="J1337" s="71">
        <f>IF(OR(I1337=0,I1337=""),"unrated",VLOOKUP(I1337,MappingTables!$B$19:$C$31,2,FALSE))</f>
        <v>4</v>
      </c>
      <c r="K1337" s="72">
        <v>1984.9832937734976</v>
      </c>
      <c r="L1337" s="70">
        <v>0.81057952924093536</v>
      </c>
      <c r="M1337" s="71">
        <f>IF(L1337&lt;1,1,L1337)</f>
        <v>1</v>
      </c>
      <c r="N1337" s="70" t="s">
        <v>141</v>
      </c>
      <c r="O1337" s="71">
        <f>INDEX(DurClassMapping,MATCH(M1337,MappingTables!$D$4:$D$8,-1),1)</f>
        <v>1</v>
      </c>
      <c r="P1337" s="73">
        <f>IF(M1337=$A$1,1,$M1337-INDEX(MappingTables!$E$4:$E$8,MATCH(O1337,MappingTables!$B$4:$B$8,0)))</f>
        <v>1</v>
      </c>
      <c r="Q1337" s="71">
        <f>IF(B1337="",0,INDEX(ModelParameters!$D$6:$K$10,MATCH($O1337,ModelParameters!$B$6:$B$10,0),MATCH($J1337,ModelParameters!$D$5:$K$5,0)))</f>
        <v>0.045</v>
      </c>
      <c r="R1337" s="71">
        <f>IF(B1337="",0,INDEX(ModelParameters!$D$13:$K$17,MATCH($O1337,ModelParameters!$B$13:$B$17,0),MATCH($J1337,ModelParameters!$D$5:$K$5,0)))</f>
        <v>0</v>
      </c>
      <c r="S1337" s="160">
        <f>IF(B1337="",0,MIN(IF($N1337="Other Bond TM",ModelParameters!$N$21,1)*(P1337*Q1337+R1337),1))</f>
        <v>0.045</v>
      </c>
      <c r="T1337" s="85">
        <f>IF(B1337="",0,$S1337*$K1337)</f>
        <v>89.324248219807392</v>
      </c>
      <c r="U1337" s="85">
        <f>IF(B1337="",0,IF(OR(H1337=MappingTables!$C$34,H1337=MappingTables!$C$35),T1337,0))</f>
        <v>0</v>
      </c>
      <c r="V1337" s="85">
        <f>IF(ISNA(IF(AND(VLOOKUP(CONCATENATE($D1337,$G1337),CSRFinput!$B:$E,4,0)=0,OR(H1337=MappingTables!$C$34,H1337=MappingTables!$C$35)),1,VLOOKUP(CONCATENATE($D1337,$G1337),CSRFinput!$B:$E,4,0))),0,IF(AND(VLOOKUP(CONCATENATE($D1337,$G1337),CSRFinput!$B:$E,4,0)=0,OR(H1337=MappingTables!$C$34,H1337=MappingTables!$C$35)),1,VLOOKUP(CONCATENATE($D1337,$G1337),CSRFinput!$B:$E,4,0)))</f>
        <v>0.054776304963434752</v>
      </c>
      <c r="W1337" s="85">
        <f>IF(B1337="",0,+$T1337*$V1337)</f>
        <v>4.8928522611177136</v>
      </c>
      <c r="X1337" s="85">
        <f>IF(B1337="",0,IF(OR(H1337=MappingTables!$C$34,H1337=MappingTables!$C$35),W1337,0))</f>
        <v>0</v>
      </c>
    </row>
    <row r="1338" spans="2:24" s="0" customFormat="0" ht="15">
      <c r="B1338" s="69">
        <v>11841694</v>
      </c>
      <c r="C1338" s="70" t="s">
        <v>1602</v>
      </c>
      <c r="D1338" s="70" t="s">
        <v>1</v>
      </c>
      <c r="E1338" s="70" t="s">
        <v>1</v>
      </c>
      <c r="F1338" s="70"/>
      <c r="G1338" s="70" t="s">
        <v>61</v>
      </c>
      <c r="H1338" s="70" t="s">
        <v>178</v>
      </c>
      <c r="I1338" s="70" t="s">
        <v>188</v>
      </c>
      <c r="J1338" s="71">
        <f>IF(OR(I1338=0,I1338=""),"unrated",VLOOKUP(I1338,MappingTables!$B$19:$C$31,2,FALSE))</f>
        <v>2</v>
      </c>
      <c r="K1338" s="72">
        <v>624.25956252538368</v>
      </c>
      <c r="L1338" s="70">
        <v>0.304105999451664</v>
      </c>
      <c r="M1338" s="71">
        <f>IF(L1338&lt;1,1,L1338)</f>
        <v>1</v>
      </c>
      <c r="N1338" s="70" t="s">
        <v>141</v>
      </c>
      <c r="O1338" s="71">
        <f>INDEX(DurClassMapping,MATCH(M1338,MappingTables!$D$4:$D$8,-1),1)</f>
        <v>1</v>
      </c>
      <c r="P1338" s="73">
        <f>IF(M1338=$A$1,1,$M1338-INDEX(MappingTables!$E$4:$E$8,MATCH(O1338,MappingTables!$B$4:$B$8,0)))</f>
        <v>1</v>
      </c>
      <c r="Q1338" s="71">
        <f>IF(B1338="",0,INDEX(ModelParameters!$D$6:$K$10,MATCH($O1338,ModelParameters!$B$6:$B$10,0),MATCH($J1338,ModelParameters!$D$5:$K$5,0)))</f>
        <v>0.013999999999999998</v>
      </c>
      <c r="R1338" s="71">
        <f>IF(B1338="",0,INDEX(ModelParameters!$D$13:$K$17,MATCH($O1338,ModelParameters!$B$13:$B$17,0),MATCH($J1338,ModelParameters!$D$5:$K$5,0)))</f>
        <v>0</v>
      </c>
      <c r="S1338" s="160">
        <f>IF(B1338="",0,MIN(IF($N1338="Other Bond TM",ModelParameters!$N$21,1)*(P1338*Q1338+R1338),1))</f>
        <v>0.013999999999999998</v>
      </c>
      <c r="T1338" s="85">
        <f>IF(B1338="",0,$S1338*$K1338)</f>
        <v>8.7396338753553696</v>
      </c>
      <c r="U1338" s="85">
        <f>IF(B1338="",0,IF(OR(H1338=MappingTables!$C$34,H1338=MappingTables!$C$35),T1338,0))</f>
        <v>0</v>
      </c>
      <c r="V1338" s="85">
        <f>IF(ISNA(IF(AND(VLOOKUP(CONCATENATE($D1338,$G1338),CSRFinput!$B:$E,4,0)=0,OR(H1338=MappingTables!$C$34,H1338=MappingTables!$C$35)),1,VLOOKUP(CONCATENATE($D1338,$G1338),CSRFinput!$B:$E,4,0))),0,IF(AND(VLOOKUP(CONCATENATE($D1338,$G1338),CSRFinput!$B:$E,4,0)=0,OR(H1338=MappingTables!$C$34,H1338=MappingTables!$C$35)),1,VLOOKUP(CONCATENATE($D1338,$G1338),CSRFinput!$B:$E,4,0)))</f>
        <v>0.054776304963434752</v>
      </c>
      <c r="W1338" s="85">
        <f>IF(B1338="",0,+$T1338*$V1338)</f>
        <v>0.47872485042523088</v>
      </c>
      <c r="X1338" s="85">
        <f>IF(B1338="",0,IF(OR(H1338=MappingTables!$C$34,H1338=MappingTables!$C$35),W1338,0))</f>
        <v>0</v>
      </c>
    </row>
    <row r="1339" spans="2:24" s="0" customFormat="0" ht="15">
      <c r="B1339" s="69" t="s">
        <v>1603</v>
      </c>
      <c r="C1339" s="70" t="s">
        <v>1604</v>
      </c>
      <c r="D1339" s="70" t="s">
        <v>1</v>
      </c>
      <c r="E1339" s="70" t="s">
        <v>1</v>
      </c>
      <c r="F1339" s="70"/>
      <c r="G1339" s="70" t="s">
        <v>61</v>
      </c>
      <c r="H1339" s="70" t="s">
        <v>178</v>
      </c>
      <c r="I1339" s="70" t="s">
        <v>181</v>
      </c>
      <c r="J1339" s="71">
        <f>IF(OR(I1339=0,I1339=""),"unrated",VLOOKUP(I1339,MappingTables!$B$19:$C$31,2,FALSE))</f>
        <v>3</v>
      </c>
      <c r="K1339" s="72">
        <v>353.70535530673544</v>
      </c>
      <c r="L1339" s="70">
        <v>2.4029411139217956</v>
      </c>
      <c r="M1339" s="71">
        <f>IF(L1339&lt;1,1,L1339)</f>
        <v>2.4029411139217956</v>
      </c>
      <c r="N1339" s="70" t="s">
        <v>141</v>
      </c>
      <c r="O1339" s="71">
        <f>INDEX(DurClassMapping,MATCH(M1339,MappingTables!$D$4:$D$8,-1),1)</f>
        <v>1</v>
      </c>
      <c r="P1339" s="73">
        <f>IF(M1339=$A$1,1,$M1339-INDEX(MappingTables!$E$4:$E$8,MATCH(O1339,MappingTables!$B$4:$B$8,0)))</f>
        <v>2.4029411139217956</v>
      </c>
      <c r="Q1339" s="71">
        <f>IF(B1339="",0,INDEX(ModelParameters!$D$6:$K$10,MATCH($O1339,ModelParameters!$B$6:$B$10,0),MATCH($J1339,ModelParameters!$D$5:$K$5,0)))</f>
        <v>0.025</v>
      </c>
      <c r="R1339" s="71">
        <f>IF(B1339="",0,INDEX(ModelParameters!$D$13:$K$17,MATCH($O1339,ModelParameters!$B$13:$B$17,0),MATCH($J1339,ModelParameters!$D$5:$K$5,0)))</f>
        <v>0</v>
      </c>
      <c r="S1339" s="160">
        <f>IF(B1339="",0,MIN(IF($N1339="Other Bond TM",ModelParameters!$N$21,1)*(P1339*Q1339+R1339),1))</f>
        <v>0.060073527848044896</v>
      </c>
      <c r="T1339" s="85">
        <f>IF(B1339="",0,$S1339*$K1339)</f>
        <v>21.248328512021784</v>
      </c>
      <c r="U1339" s="85">
        <f>IF(B1339="",0,IF(OR(H1339=MappingTables!$C$34,H1339=MappingTables!$C$35),T1339,0))</f>
        <v>0</v>
      </c>
      <c r="V1339" s="85">
        <f>IF(ISNA(IF(AND(VLOOKUP(CONCATENATE($D1339,$G1339),CSRFinput!$B:$E,4,0)=0,OR(H1339=MappingTables!$C$34,H1339=MappingTables!$C$35)),1,VLOOKUP(CONCATENATE($D1339,$G1339),CSRFinput!$B:$E,4,0))),0,IF(AND(VLOOKUP(CONCATENATE($D1339,$G1339),CSRFinput!$B:$E,4,0)=0,OR(H1339=MappingTables!$C$34,H1339=MappingTables!$C$35)),1,VLOOKUP(CONCATENATE($D1339,$G1339),CSRFinput!$B:$E,4,0)))</f>
        <v>0.054776304963434752</v>
      </c>
      <c r="W1339" s="85">
        <f>IF(B1339="",0,+$T1339*$V1339)</f>
        <v>1.1639049225377512</v>
      </c>
      <c r="X1339" s="85">
        <f>IF(B1339="",0,IF(OR(H1339=MappingTables!$C$34,H1339=MappingTables!$C$35),W1339,0))</f>
        <v>0</v>
      </c>
    </row>
    <row r="1340" spans="2:24" s="0" customFormat="0" ht="15">
      <c r="B1340" s="69">
        <v>20244089</v>
      </c>
      <c r="C1340" s="70" t="s">
        <v>1605</v>
      </c>
      <c r="D1340" s="70" t="s">
        <v>1</v>
      </c>
      <c r="E1340" s="70" t="s">
        <v>1</v>
      </c>
      <c r="F1340" s="70"/>
      <c r="G1340" s="70" t="s">
        <v>61</v>
      </c>
      <c r="H1340" s="70" t="s">
        <v>178</v>
      </c>
      <c r="I1340" s="70" t="s">
        <v>188</v>
      </c>
      <c r="J1340" s="71">
        <f>IF(OR(I1340=0,I1340=""),"unrated",VLOOKUP(I1340,MappingTables!$B$19:$C$31,2,FALSE))</f>
        <v>2</v>
      </c>
      <c r="K1340" s="72">
        <v>1514.0821725767318</v>
      </c>
      <c r="L1340" s="70">
        <v>7.2429878098016016</v>
      </c>
      <c r="M1340" s="71">
        <f>IF(L1340&lt;1,1,L1340)</f>
        <v>7.2429878098016016</v>
      </c>
      <c r="N1340" s="70" t="s">
        <v>141</v>
      </c>
      <c r="O1340" s="71">
        <f>INDEX(DurClassMapping,MATCH(M1340,MappingTables!$D$4:$D$8,-1),1)</f>
        <v>2</v>
      </c>
      <c r="P1340" s="73">
        <f>IF(M1340=$A$1,1,$M1340-INDEX(MappingTables!$E$4:$E$8,MATCH(O1340,MappingTables!$B$4:$B$8,0)))</f>
        <v>2.242987809801602</v>
      </c>
      <c r="Q1340" s="71">
        <f>IF(B1340="",0,INDEX(ModelParameters!$D$6:$K$10,MATCH($O1340,ModelParameters!$B$6:$B$10,0),MATCH($J1340,ModelParameters!$D$5:$K$5,0)))</f>
        <v>0.0069999999999999992</v>
      </c>
      <c r="R1340" s="71">
        <f>IF(B1340="",0,INDEX(ModelParameters!$D$13:$K$17,MATCH($O1340,ModelParameters!$B$13:$B$17,0),MATCH($J1340,ModelParameters!$D$5:$K$5,0)))</f>
        <v>0.070000000000000008</v>
      </c>
      <c r="S1340" s="160">
        <f>IF(B1340="",0,MIN(IF($N1340="Other Bond TM",ModelParameters!$N$21,1)*(P1340*Q1340+R1340),1))</f>
        <v>0.085700914668611216</v>
      </c>
      <c r="T1340" s="85">
        <f>IF(B1340="",0,$S1340*$K1340)</f>
        <v>129.75822707326398</v>
      </c>
      <c r="U1340" s="85">
        <f>IF(B1340="",0,IF(OR(H1340=MappingTables!$C$34,H1340=MappingTables!$C$35),T1340,0))</f>
        <v>0</v>
      </c>
      <c r="V1340" s="85">
        <f>IF(ISNA(IF(AND(VLOOKUP(CONCATENATE($D1340,$G1340),CSRFinput!$B:$E,4,0)=0,OR(H1340=MappingTables!$C$34,H1340=MappingTables!$C$35)),1,VLOOKUP(CONCATENATE($D1340,$G1340),CSRFinput!$B:$E,4,0))),0,IF(AND(VLOOKUP(CONCATENATE($D1340,$G1340),CSRFinput!$B:$E,4,0)=0,OR(H1340=MappingTables!$C$34,H1340=MappingTables!$C$35)),1,VLOOKUP(CONCATENATE($D1340,$G1340),CSRFinput!$B:$E,4,0)))</f>
        <v>0.054776304963434752</v>
      </c>
      <c r="W1340" s="85">
        <f>IF(B1340="",0,+$T1340*$V1340)</f>
        <v>7.107676217679724</v>
      </c>
      <c r="X1340" s="85">
        <f>IF(B1340="",0,IF(OR(H1340=MappingTables!$C$34,H1340=MappingTables!$C$35),W1340,0))</f>
        <v>0</v>
      </c>
    </row>
    <row r="1341" spans="2:24" s="0" customFormat="0" ht="15">
      <c r="B1341" s="69">
        <v>20942443</v>
      </c>
      <c r="C1341" s="70" t="s">
        <v>1606</v>
      </c>
      <c r="D1341" s="70" t="s">
        <v>1</v>
      </c>
      <c r="E1341" s="70" t="s">
        <v>1</v>
      </c>
      <c r="F1341" s="70"/>
      <c r="G1341" s="70" t="s">
        <v>61</v>
      </c>
      <c r="H1341" s="70" t="s">
        <v>178</v>
      </c>
      <c r="I1341" s="70" t="s">
        <v>179</v>
      </c>
      <c r="J1341" s="71">
        <f>IF(OR(I1341=0,I1341=""),"unrated",VLOOKUP(I1341,MappingTables!$B$19:$C$31,2,FALSE))</f>
        <v>4</v>
      </c>
      <c r="K1341" s="72">
        <v>8740.3382059650336</v>
      </c>
      <c r="L1341" s="70">
        <v>4.9245013327084672</v>
      </c>
      <c r="M1341" s="71">
        <f>IF(L1341&lt;1,1,L1341)</f>
        <v>4.9245013327084672</v>
      </c>
      <c r="N1341" s="70" t="s">
        <v>141</v>
      </c>
      <c r="O1341" s="71">
        <f>INDEX(DurClassMapping,MATCH(M1341,MappingTables!$D$4:$D$8,-1),1)</f>
        <v>1</v>
      </c>
      <c r="P1341" s="73">
        <f>IF(M1341=$A$1,1,$M1341-INDEX(MappingTables!$E$4:$E$8,MATCH(O1341,MappingTables!$B$4:$B$8,0)))</f>
        <v>4.9245013327084672</v>
      </c>
      <c r="Q1341" s="71">
        <f>IF(B1341="",0,INDEX(ModelParameters!$D$6:$K$10,MATCH($O1341,ModelParameters!$B$6:$B$10,0),MATCH($J1341,ModelParameters!$D$5:$K$5,0)))</f>
        <v>0.045</v>
      </c>
      <c r="R1341" s="71">
        <f>IF(B1341="",0,INDEX(ModelParameters!$D$13:$K$17,MATCH($O1341,ModelParameters!$B$13:$B$17,0),MATCH($J1341,ModelParameters!$D$5:$K$5,0)))</f>
        <v>0</v>
      </c>
      <c r="S1341" s="160">
        <f>IF(B1341="",0,MIN(IF($N1341="Other Bond TM",ModelParameters!$N$21,1)*(P1341*Q1341+R1341),1))</f>
        <v>0.22160255997188104</v>
      </c>
      <c r="T1341" s="85">
        <f>IF(B1341="",0,$S1341*$K1341)</f>
        <v>1936.8813214618896</v>
      </c>
      <c r="U1341" s="85">
        <f>IF(B1341="",0,IF(OR(H1341=MappingTables!$C$34,H1341=MappingTables!$C$35),T1341,0))</f>
        <v>0</v>
      </c>
      <c r="V1341" s="85">
        <f>IF(ISNA(IF(AND(VLOOKUP(CONCATENATE($D1341,$G1341),CSRFinput!$B:$E,4,0)=0,OR(H1341=MappingTables!$C$34,H1341=MappingTables!$C$35)),1,VLOOKUP(CONCATENATE($D1341,$G1341),CSRFinput!$B:$E,4,0))),0,IF(AND(VLOOKUP(CONCATENATE($D1341,$G1341),CSRFinput!$B:$E,4,0)=0,OR(H1341=MappingTables!$C$34,H1341=MappingTables!$C$35)),1,VLOOKUP(CONCATENATE($D1341,$G1341),CSRFinput!$B:$E,4,0)))</f>
        <v>0.054776304963434752</v>
      </c>
      <c r="W1341" s="85">
        <f>IF(B1341="",0,+$T1341*$V1341)</f>
        <v>106.09520194237696</v>
      </c>
      <c r="X1341" s="85">
        <f>IF(B1341="",0,IF(OR(H1341=MappingTables!$C$34,H1341=MappingTables!$C$35),W1341,0))</f>
        <v>0</v>
      </c>
    </row>
    <row r="1342" spans="2:24" s="0" customFormat="0" ht="15">
      <c r="B1342" s="69">
        <v>14619690</v>
      </c>
      <c r="C1342" s="70" t="s">
        <v>1607</v>
      </c>
      <c r="D1342" s="70" t="s">
        <v>1</v>
      </c>
      <c r="E1342" s="70" t="s">
        <v>1</v>
      </c>
      <c r="F1342" s="70"/>
      <c r="G1342" s="70" t="s">
        <v>61</v>
      </c>
      <c r="H1342" s="70" t="s">
        <v>178</v>
      </c>
      <c r="I1342" s="70" t="s">
        <v>188</v>
      </c>
      <c r="J1342" s="71">
        <f>IF(OR(I1342=0,I1342=""),"unrated",VLOOKUP(I1342,MappingTables!$B$19:$C$31,2,FALSE))</f>
        <v>2</v>
      </c>
      <c r="K1342" s="72">
        <v>22343.717941738052</v>
      </c>
      <c r="L1342" s="70">
        <v>3.3314749023911688</v>
      </c>
      <c r="M1342" s="71">
        <f>IF(L1342&lt;1,1,L1342)</f>
        <v>3.3314749023911688</v>
      </c>
      <c r="N1342" s="70" t="s">
        <v>141</v>
      </c>
      <c r="O1342" s="71">
        <f>INDEX(DurClassMapping,MATCH(M1342,MappingTables!$D$4:$D$8,-1),1)</f>
        <v>1</v>
      </c>
      <c r="P1342" s="73">
        <f>IF(M1342=$A$1,1,$M1342-INDEX(MappingTables!$E$4:$E$8,MATCH(O1342,MappingTables!$B$4:$B$8,0)))</f>
        <v>3.3314749023911688</v>
      </c>
      <c r="Q1342" s="71">
        <f>IF(B1342="",0,INDEX(ModelParameters!$D$6:$K$10,MATCH($O1342,ModelParameters!$B$6:$B$10,0),MATCH($J1342,ModelParameters!$D$5:$K$5,0)))</f>
        <v>0.013999999999999998</v>
      </c>
      <c r="R1342" s="71">
        <f>IF(B1342="",0,INDEX(ModelParameters!$D$13:$K$17,MATCH($O1342,ModelParameters!$B$13:$B$17,0),MATCH($J1342,ModelParameters!$D$5:$K$5,0)))</f>
        <v>0</v>
      </c>
      <c r="S1342" s="160">
        <f>IF(B1342="",0,MIN(IF($N1342="Other Bond TM",ModelParameters!$N$21,1)*(P1342*Q1342+R1342),1))</f>
        <v>0.04664064863347636</v>
      </c>
      <c r="T1342" s="85">
        <f>IF(B1342="",0,$S1342*$K1342)</f>
        <v>1042.1254976861062</v>
      </c>
      <c r="U1342" s="85">
        <f>IF(B1342="",0,IF(OR(H1342=MappingTables!$C$34,H1342=MappingTables!$C$35),T1342,0))</f>
        <v>0</v>
      </c>
      <c r="V1342" s="85">
        <f>IF(ISNA(IF(AND(VLOOKUP(CONCATENATE($D1342,$G1342),CSRFinput!$B:$E,4,0)=0,OR(H1342=MappingTables!$C$34,H1342=MappingTables!$C$35)),1,VLOOKUP(CONCATENATE($D1342,$G1342),CSRFinput!$B:$E,4,0))),0,IF(AND(VLOOKUP(CONCATENATE($D1342,$G1342),CSRFinput!$B:$E,4,0)=0,OR(H1342=MappingTables!$C$34,H1342=MappingTables!$C$35)),1,VLOOKUP(CONCATENATE($D1342,$G1342),CSRFinput!$B:$E,4,0)))</f>
        <v>0.054776304963434752</v>
      </c>
      <c r="W1342" s="85">
        <f>IF(B1342="",0,+$T1342*$V1342)</f>
        <v>57.083784071425368</v>
      </c>
      <c r="X1342" s="85">
        <f>IF(B1342="",0,IF(OR(H1342=MappingTables!$C$34,H1342=MappingTables!$C$35),W1342,0))</f>
        <v>0</v>
      </c>
    </row>
    <row r="1343" spans="2:24" s="0" customFormat="0" ht="15">
      <c r="B1343" s="69">
        <v>13483958</v>
      </c>
      <c r="C1343" s="70" t="s">
        <v>260</v>
      </c>
      <c r="D1343" s="70" t="s">
        <v>1</v>
      </c>
      <c r="E1343" s="70" t="s">
        <v>1</v>
      </c>
      <c r="F1343" s="70"/>
      <c r="G1343" s="70" t="s">
        <v>61</v>
      </c>
      <c r="H1343" s="70" t="s">
        <v>178</v>
      </c>
      <c r="I1343" s="70" t="s">
        <v>220</v>
      </c>
      <c r="J1343" s="71">
        <f>IF(OR(I1343=0,I1343=""),"unrated",VLOOKUP(I1343,MappingTables!$B$19:$C$31,2,FALSE))</f>
        <v>1</v>
      </c>
      <c r="K1343" s="72">
        <v>896.53504486978736</v>
      </c>
      <c r="L1343" s="70">
        <v>1.0766572156642364</v>
      </c>
      <c r="M1343" s="71">
        <f>IF(L1343&lt;1,1,L1343)</f>
        <v>1.0766572156642364</v>
      </c>
      <c r="N1343" s="70" t="s">
        <v>141</v>
      </c>
      <c r="O1343" s="71">
        <f>INDEX(DurClassMapping,MATCH(M1343,MappingTables!$D$4:$D$8,-1),1)</f>
        <v>1</v>
      </c>
      <c r="P1343" s="73">
        <f>IF(M1343=$A$1,1,$M1343-INDEX(MappingTables!$E$4:$E$8,MATCH(O1343,MappingTables!$B$4:$B$8,0)))</f>
        <v>1.0766572156642364</v>
      </c>
      <c r="Q1343" s="71">
        <f>IF(B1343="",0,INDEX(ModelParameters!$D$6:$K$10,MATCH($O1343,ModelParameters!$B$6:$B$10,0),MATCH($J1343,ModelParameters!$D$5:$K$5,0)))</f>
        <v>0.011000000000000002</v>
      </c>
      <c r="R1343" s="71">
        <f>IF(B1343="",0,INDEX(ModelParameters!$D$13:$K$17,MATCH($O1343,ModelParameters!$B$13:$B$17,0),MATCH($J1343,ModelParameters!$D$5:$K$5,0)))</f>
        <v>0</v>
      </c>
      <c r="S1343" s="160">
        <f>IF(B1343="",0,MIN(IF($N1343="Other Bond TM",ModelParameters!$N$21,1)*(P1343*Q1343+R1343),1))</f>
        <v>0.011843229372306602</v>
      </c>
      <c r="T1343" s="85">
        <f>IF(B1343="",0,$S1343*$K1343)</f>
        <v>10.617870176704084</v>
      </c>
      <c r="U1343" s="85">
        <f>IF(B1343="",0,IF(OR(H1343=MappingTables!$C$34,H1343=MappingTables!$C$35),T1343,0))</f>
        <v>0</v>
      </c>
      <c r="V1343" s="85">
        <f>IF(ISNA(IF(AND(VLOOKUP(CONCATENATE($D1343,$G1343),CSRFinput!$B:$E,4,0)=0,OR(H1343=MappingTables!$C$34,H1343=MappingTables!$C$35)),1,VLOOKUP(CONCATENATE($D1343,$G1343),CSRFinput!$B:$E,4,0))),0,IF(AND(VLOOKUP(CONCATENATE($D1343,$G1343),CSRFinput!$B:$E,4,0)=0,OR(H1343=MappingTables!$C$34,H1343=MappingTables!$C$35)),1,VLOOKUP(CONCATENATE($D1343,$G1343),CSRFinput!$B:$E,4,0)))</f>
        <v>0.054776304963434752</v>
      </c>
      <c r="W1343" s="85">
        <f>IF(B1343="",0,+$T1343*$V1343)</f>
        <v>0.58160769486130184</v>
      </c>
      <c r="X1343" s="85">
        <f>IF(B1343="",0,IF(OR(H1343=MappingTables!$C$34,H1343=MappingTables!$C$35),W1343,0))</f>
        <v>0</v>
      </c>
    </row>
    <row r="1344" spans="2:24" s="0" customFormat="0" ht="15">
      <c r="B1344" s="69">
        <v>12115855</v>
      </c>
      <c r="C1344" s="70" t="s">
        <v>1236</v>
      </c>
      <c r="D1344" s="70" t="s">
        <v>1</v>
      </c>
      <c r="E1344" s="70" t="s">
        <v>1</v>
      </c>
      <c r="F1344" s="70"/>
      <c r="G1344" s="70" t="s">
        <v>61</v>
      </c>
      <c r="H1344" s="70" t="s">
        <v>178</v>
      </c>
      <c r="I1344" s="70" t="s">
        <v>184</v>
      </c>
      <c r="J1344" s="71">
        <f>IF(OR(I1344=0,I1344=""),"unrated",VLOOKUP(I1344,MappingTables!$B$19:$C$31,2,FALSE))</f>
        <v>5</v>
      </c>
      <c r="K1344" s="72">
        <v>73.183114715310688</v>
      </c>
      <c r="L1344" s="70">
        <v>0.087670569579286096</v>
      </c>
      <c r="M1344" s="71">
        <f>IF(L1344&lt;1,1,L1344)</f>
        <v>1</v>
      </c>
      <c r="N1344" s="70" t="s">
        <v>141</v>
      </c>
      <c r="O1344" s="71">
        <f>INDEX(DurClassMapping,MATCH(M1344,MappingTables!$D$4:$D$8,-1),1)</f>
        <v>1</v>
      </c>
      <c r="P1344" s="73">
        <f>IF(M1344=$A$1,1,$M1344-INDEX(MappingTables!$E$4:$E$8,MATCH(O1344,MappingTables!$B$4:$B$8,0)))</f>
        <v>1</v>
      </c>
      <c r="Q1344" s="71">
        <f>IF(B1344="",0,INDEX(ModelParameters!$D$6:$K$10,MATCH($O1344,ModelParameters!$B$6:$B$10,0),MATCH($J1344,ModelParameters!$D$5:$K$5,0)))</f>
        <v>0.075</v>
      </c>
      <c r="R1344" s="71">
        <f>IF(B1344="",0,INDEX(ModelParameters!$D$13:$K$17,MATCH($O1344,ModelParameters!$B$13:$B$17,0),MATCH($J1344,ModelParameters!$D$5:$K$5,0)))</f>
        <v>0</v>
      </c>
      <c r="S1344" s="160">
        <f>IF(B1344="",0,MIN(IF($N1344="Other Bond TM",ModelParameters!$N$21,1)*(P1344*Q1344+R1344),1))</f>
        <v>0.075</v>
      </c>
      <c r="T1344" s="85">
        <f>IF(B1344="",0,$S1344*$K1344)</f>
        <v>5.4887336036483016</v>
      </c>
      <c r="U1344" s="85">
        <f>IF(B1344="",0,IF(OR(H1344=MappingTables!$C$34,H1344=MappingTables!$C$35),T1344,0))</f>
        <v>0</v>
      </c>
      <c r="V1344" s="85">
        <f>IF(ISNA(IF(AND(VLOOKUP(CONCATENATE($D1344,$G1344),CSRFinput!$B:$E,4,0)=0,OR(H1344=MappingTables!$C$34,H1344=MappingTables!$C$35)),1,VLOOKUP(CONCATENATE($D1344,$G1344),CSRFinput!$B:$E,4,0))),0,IF(AND(VLOOKUP(CONCATENATE($D1344,$G1344),CSRFinput!$B:$E,4,0)=0,OR(H1344=MappingTables!$C$34,H1344=MappingTables!$C$35)),1,VLOOKUP(CONCATENATE($D1344,$G1344),CSRFinput!$B:$E,4,0)))</f>
        <v>0.054776304963434752</v>
      </c>
      <c r="W1344" s="85">
        <f>IF(B1344="",0,+$T1344*$V1344)</f>
        <v>0.3006525457364916</v>
      </c>
      <c r="X1344" s="85">
        <f>IF(B1344="",0,IF(OR(H1344=MappingTables!$C$34,H1344=MappingTables!$C$35),W1344,0))</f>
        <v>0</v>
      </c>
    </row>
    <row r="1345" spans="2:24" s="0" customFormat="0" ht="15">
      <c r="B1345" s="69" t="s">
        <v>1608</v>
      </c>
      <c r="C1345" s="70" t="s">
        <v>1609</v>
      </c>
      <c r="D1345" s="70" t="s">
        <v>1</v>
      </c>
      <c r="E1345" s="70" t="s">
        <v>1</v>
      </c>
      <c r="F1345" s="70"/>
      <c r="G1345" s="70" t="s">
        <v>61</v>
      </c>
      <c r="H1345" s="70" t="s">
        <v>178</v>
      </c>
      <c r="I1345" s="70" t="s">
        <v>188</v>
      </c>
      <c r="J1345" s="71">
        <f>IF(OR(I1345=0,I1345=""),"unrated",VLOOKUP(I1345,MappingTables!$B$19:$C$31,2,FALSE))</f>
        <v>2</v>
      </c>
      <c r="K1345" s="72">
        <v>285.14109614970736</v>
      </c>
      <c r="L1345" s="70">
        <v>2.3304099010916676</v>
      </c>
      <c r="M1345" s="71">
        <f>IF(L1345&lt;1,1,L1345)</f>
        <v>2.3304099010916676</v>
      </c>
      <c r="N1345" s="70" t="s">
        <v>141</v>
      </c>
      <c r="O1345" s="71">
        <f>INDEX(DurClassMapping,MATCH(M1345,MappingTables!$D$4:$D$8,-1),1)</f>
        <v>1</v>
      </c>
      <c r="P1345" s="73">
        <f>IF(M1345=$A$1,1,$M1345-INDEX(MappingTables!$E$4:$E$8,MATCH(O1345,MappingTables!$B$4:$B$8,0)))</f>
        <v>2.3304099010916676</v>
      </c>
      <c r="Q1345" s="71">
        <f>IF(B1345="",0,INDEX(ModelParameters!$D$6:$K$10,MATCH($O1345,ModelParameters!$B$6:$B$10,0),MATCH($J1345,ModelParameters!$D$5:$K$5,0)))</f>
        <v>0.013999999999999998</v>
      </c>
      <c r="R1345" s="71">
        <f>IF(B1345="",0,INDEX(ModelParameters!$D$13:$K$17,MATCH($O1345,ModelParameters!$B$13:$B$17,0),MATCH($J1345,ModelParameters!$D$5:$K$5,0)))</f>
        <v>0</v>
      </c>
      <c r="S1345" s="160">
        <f>IF(B1345="",0,MIN(IF($N1345="Other Bond TM",ModelParameters!$N$21,1)*(P1345*Q1345+R1345),1))</f>
        <v>0.03262573861528334</v>
      </c>
      <c r="T1345" s="85">
        <f>IF(B1345="",0,$S1345*$K1345)</f>
        <v>9.302938871455728</v>
      </c>
      <c r="U1345" s="85">
        <f>IF(B1345="",0,IF(OR(H1345=MappingTables!$C$34,H1345=MappingTables!$C$35),T1345,0))</f>
        <v>0</v>
      </c>
      <c r="V1345" s="85">
        <f>IF(ISNA(IF(AND(VLOOKUP(CONCATENATE($D1345,$G1345),CSRFinput!$B:$E,4,0)=0,OR(H1345=MappingTables!$C$34,H1345=MappingTables!$C$35)),1,VLOOKUP(CONCATENATE($D1345,$G1345),CSRFinput!$B:$E,4,0))),0,IF(AND(VLOOKUP(CONCATENATE($D1345,$G1345),CSRFinput!$B:$E,4,0)=0,OR(H1345=MappingTables!$C$34,H1345=MappingTables!$C$35)),1,VLOOKUP(CONCATENATE($D1345,$G1345),CSRFinput!$B:$E,4,0)))</f>
        <v>0.054776304963434752</v>
      </c>
      <c r="W1345" s="85">
        <f>IF(B1345="",0,+$T1345*$V1345)</f>
        <v>0.50958061667905056</v>
      </c>
      <c r="X1345" s="85">
        <f>IF(B1345="",0,IF(OR(H1345=MappingTables!$C$34,H1345=MappingTables!$C$35),W1345,0))</f>
        <v>0</v>
      </c>
    </row>
    <row r="1346" spans="2:24" s="0" customFormat="0" ht="15">
      <c r="B1346" s="69">
        <v>20244104</v>
      </c>
      <c r="C1346" s="70" t="s">
        <v>1300</v>
      </c>
      <c r="D1346" s="70" t="s">
        <v>1</v>
      </c>
      <c r="E1346" s="70" t="s">
        <v>1</v>
      </c>
      <c r="F1346" s="70"/>
      <c r="G1346" s="70" t="s">
        <v>61</v>
      </c>
      <c r="H1346" s="70" t="s">
        <v>178</v>
      </c>
      <c r="I1346" s="70" t="s">
        <v>188</v>
      </c>
      <c r="J1346" s="71">
        <f>IF(OR(I1346=0,I1346=""),"unrated",VLOOKUP(I1346,MappingTables!$B$19:$C$31,2,FALSE))</f>
        <v>2</v>
      </c>
      <c r="K1346" s="72">
        <v>935.5621234383848</v>
      </c>
      <c r="L1346" s="70">
        <v>3.28464511963193</v>
      </c>
      <c r="M1346" s="71">
        <f>IF(L1346&lt;1,1,L1346)</f>
        <v>3.28464511963193</v>
      </c>
      <c r="N1346" s="70" t="s">
        <v>141</v>
      </c>
      <c r="O1346" s="71">
        <f>INDEX(DurClassMapping,MATCH(M1346,MappingTables!$D$4:$D$8,-1),1)</f>
        <v>1</v>
      </c>
      <c r="P1346" s="73">
        <f>IF(M1346=$A$1,1,$M1346-INDEX(MappingTables!$E$4:$E$8,MATCH(O1346,MappingTables!$B$4:$B$8,0)))</f>
        <v>3.28464511963193</v>
      </c>
      <c r="Q1346" s="71">
        <f>IF(B1346="",0,INDEX(ModelParameters!$D$6:$K$10,MATCH($O1346,ModelParameters!$B$6:$B$10,0),MATCH($J1346,ModelParameters!$D$5:$K$5,0)))</f>
        <v>0.013999999999999998</v>
      </c>
      <c r="R1346" s="71">
        <f>IF(B1346="",0,INDEX(ModelParameters!$D$13:$K$17,MATCH($O1346,ModelParameters!$B$13:$B$17,0),MATCH($J1346,ModelParameters!$D$5:$K$5,0)))</f>
        <v>0</v>
      </c>
      <c r="S1346" s="160">
        <f>IF(B1346="",0,MIN(IF($N1346="Other Bond TM",ModelParameters!$N$21,1)*(P1346*Q1346+R1346),1))</f>
        <v>0.045985031674847016</v>
      </c>
      <c r="T1346" s="85">
        <f>IF(B1346="",0,$S1346*$K1346)</f>
        <v>43.021853880101256</v>
      </c>
      <c r="U1346" s="85">
        <f>IF(B1346="",0,IF(OR(H1346=MappingTables!$C$34,H1346=MappingTables!$C$35),T1346,0))</f>
        <v>0</v>
      </c>
      <c r="V1346" s="85">
        <f>IF(ISNA(IF(AND(VLOOKUP(CONCATENATE($D1346,$G1346),CSRFinput!$B:$E,4,0)=0,OR(H1346=MappingTables!$C$34,H1346=MappingTables!$C$35)),1,VLOOKUP(CONCATENATE($D1346,$G1346),CSRFinput!$B:$E,4,0))),0,IF(AND(VLOOKUP(CONCATENATE($D1346,$G1346),CSRFinput!$B:$E,4,0)=0,OR(H1346=MappingTables!$C$34,H1346=MappingTables!$C$35)),1,VLOOKUP(CONCATENATE($D1346,$G1346),CSRFinput!$B:$E,4,0)))</f>
        <v>0.054776304963434752</v>
      </c>
      <c r="W1346" s="85">
        <f>IF(B1346="",0,+$T1346*$V1346)</f>
        <v>2.3565781882287552</v>
      </c>
      <c r="X1346" s="85">
        <f>IF(B1346="",0,IF(OR(H1346=MappingTables!$C$34,H1346=MappingTables!$C$35),W1346,0))</f>
        <v>0</v>
      </c>
    </row>
    <row r="1347" spans="2:24" s="0" customFormat="0" ht="15">
      <c r="B1347" s="69" t="s">
        <v>1610</v>
      </c>
      <c r="C1347" s="70" t="s">
        <v>1611</v>
      </c>
      <c r="D1347" s="70" t="s">
        <v>1</v>
      </c>
      <c r="E1347" s="70" t="s">
        <v>1</v>
      </c>
      <c r="F1347" s="70"/>
      <c r="G1347" s="70" t="s">
        <v>61</v>
      </c>
      <c r="H1347" s="70" t="s">
        <v>178</v>
      </c>
      <c r="I1347" s="70" t="s">
        <v>188</v>
      </c>
      <c r="J1347" s="71">
        <f>IF(OR(I1347=0,I1347=""),"unrated",VLOOKUP(I1347,MappingTables!$B$19:$C$31,2,FALSE))</f>
        <v>2</v>
      </c>
      <c r="K1347" s="72">
        <v>30.936575415127564</v>
      </c>
      <c r="L1347" s="70">
        <v>0.7798993694404928</v>
      </c>
      <c r="M1347" s="71">
        <f>IF(L1347&lt;1,1,L1347)</f>
        <v>1</v>
      </c>
      <c r="N1347" s="70" t="s">
        <v>141</v>
      </c>
      <c r="O1347" s="71">
        <f>INDEX(DurClassMapping,MATCH(M1347,MappingTables!$D$4:$D$8,-1),1)</f>
        <v>1</v>
      </c>
      <c r="P1347" s="73">
        <f>IF(M1347=$A$1,1,$M1347-INDEX(MappingTables!$E$4:$E$8,MATCH(O1347,MappingTables!$B$4:$B$8,0)))</f>
        <v>1</v>
      </c>
      <c r="Q1347" s="71">
        <f>IF(B1347="",0,INDEX(ModelParameters!$D$6:$K$10,MATCH($O1347,ModelParameters!$B$6:$B$10,0),MATCH($J1347,ModelParameters!$D$5:$K$5,0)))</f>
        <v>0.013999999999999998</v>
      </c>
      <c r="R1347" s="71">
        <f>IF(B1347="",0,INDEX(ModelParameters!$D$13:$K$17,MATCH($O1347,ModelParameters!$B$13:$B$17,0),MATCH($J1347,ModelParameters!$D$5:$K$5,0)))</f>
        <v>0</v>
      </c>
      <c r="S1347" s="160">
        <f>IF(B1347="",0,MIN(IF($N1347="Other Bond TM",ModelParameters!$N$21,1)*(P1347*Q1347+R1347),1))</f>
        <v>0.013999999999999998</v>
      </c>
      <c r="T1347" s="85">
        <f>IF(B1347="",0,$S1347*$K1347)</f>
        <v>0.43311205581178584</v>
      </c>
      <c r="U1347" s="85">
        <f>IF(B1347="",0,IF(OR(H1347=MappingTables!$C$34,H1347=MappingTables!$C$35),T1347,0))</f>
        <v>0</v>
      </c>
      <c r="V1347" s="85">
        <f>IF(ISNA(IF(AND(VLOOKUP(CONCATENATE($D1347,$G1347),CSRFinput!$B:$E,4,0)=0,OR(H1347=MappingTables!$C$34,H1347=MappingTables!$C$35)),1,VLOOKUP(CONCATENATE($D1347,$G1347),CSRFinput!$B:$E,4,0))),0,IF(AND(VLOOKUP(CONCATENATE($D1347,$G1347),CSRFinput!$B:$E,4,0)=0,OR(H1347=MappingTables!$C$34,H1347=MappingTables!$C$35)),1,VLOOKUP(CONCATENATE($D1347,$G1347),CSRFinput!$B:$E,4,0)))</f>
        <v>0.054776304963434752</v>
      </c>
      <c r="W1347" s="85">
        <f>IF(B1347="",0,+$T1347*$V1347)</f>
        <v>0.023724278052486556</v>
      </c>
      <c r="X1347" s="85">
        <f>IF(B1347="",0,IF(OR(H1347=MappingTables!$C$34,H1347=MappingTables!$C$35),W1347,0))</f>
        <v>0</v>
      </c>
    </row>
    <row r="1348" spans="2:24" s="0" customFormat="0" ht="15">
      <c r="B1348" s="69">
        <v>22237859</v>
      </c>
      <c r="C1348" s="70" t="s">
        <v>1612</v>
      </c>
      <c r="D1348" s="70" t="s">
        <v>1</v>
      </c>
      <c r="E1348" s="70" t="s">
        <v>1</v>
      </c>
      <c r="F1348" s="70"/>
      <c r="G1348" s="70" t="s">
        <v>61</v>
      </c>
      <c r="H1348" s="70" t="s">
        <v>178</v>
      </c>
      <c r="I1348" s="70" t="s">
        <v>184</v>
      </c>
      <c r="J1348" s="71">
        <f>IF(OR(I1348=0,I1348=""),"unrated",VLOOKUP(I1348,MappingTables!$B$19:$C$31,2,FALSE))</f>
        <v>5</v>
      </c>
      <c r="K1348" s="72">
        <v>118.78305372065466</v>
      </c>
      <c r="L1348" s="70">
        <v>1.031669259168943</v>
      </c>
      <c r="M1348" s="71">
        <f>IF(L1348&lt;1,1,L1348)</f>
        <v>1.031669259168943</v>
      </c>
      <c r="N1348" s="70" t="s">
        <v>141</v>
      </c>
      <c r="O1348" s="71">
        <f>INDEX(DurClassMapping,MATCH(M1348,MappingTables!$D$4:$D$8,-1),1)</f>
        <v>1</v>
      </c>
      <c r="P1348" s="73">
        <f>IF(M1348=$A$1,1,$M1348-INDEX(MappingTables!$E$4:$E$8,MATCH(O1348,MappingTables!$B$4:$B$8,0)))</f>
        <v>1.031669259168943</v>
      </c>
      <c r="Q1348" s="71">
        <f>IF(B1348="",0,INDEX(ModelParameters!$D$6:$K$10,MATCH($O1348,ModelParameters!$B$6:$B$10,0),MATCH($J1348,ModelParameters!$D$5:$K$5,0)))</f>
        <v>0.075</v>
      </c>
      <c r="R1348" s="71">
        <f>IF(B1348="",0,INDEX(ModelParameters!$D$13:$K$17,MATCH($O1348,ModelParameters!$B$13:$B$17,0),MATCH($J1348,ModelParameters!$D$5:$K$5,0)))</f>
        <v>0</v>
      </c>
      <c r="S1348" s="160">
        <f>IF(B1348="",0,MIN(IF($N1348="Other Bond TM",ModelParameters!$N$21,1)*(P1348*Q1348+R1348),1))</f>
        <v>0.07737519443767072</v>
      </c>
      <c r="T1348" s="85">
        <f>IF(B1348="",0,$S1348*$K1348)</f>
        <v>9.1908618775359408</v>
      </c>
      <c r="U1348" s="85">
        <f>IF(B1348="",0,IF(OR(H1348=MappingTables!$C$34,H1348=MappingTables!$C$35),T1348,0))</f>
        <v>0</v>
      </c>
      <c r="V1348" s="85">
        <f>IF(ISNA(IF(AND(VLOOKUP(CONCATENATE($D1348,$G1348),CSRFinput!$B:$E,4,0)=0,OR(H1348=MappingTables!$C$34,H1348=MappingTables!$C$35)),1,VLOOKUP(CONCATENATE($D1348,$G1348),CSRFinput!$B:$E,4,0))),0,IF(AND(VLOOKUP(CONCATENATE($D1348,$G1348),CSRFinput!$B:$E,4,0)=0,OR(H1348=MappingTables!$C$34,H1348=MappingTables!$C$35)),1,VLOOKUP(CONCATENATE($D1348,$G1348),CSRFinput!$B:$E,4,0)))</f>
        <v>0.054776304963434752</v>
      </c>
      <c r="W1348" s="85">
        <f>IF(B1348="",0,+$T1348*$V1348)</f>
        <v>0.5034414530807152</v>
      </c>
      <c r="X1348" s="85">
        <f>IF(B1348="",0,IF(OR(H1348=MappingTables!$C$34,H1348=MappingTables!$C$35),W1348,0))</f>
        <v>0</v>
      </c>
    </row>
    <row r="1349" spans="2:24" s="0" customFormat="0" ht="15">
      <c r="B1349" s="69">
        <v>3610277</v>
      </c>
      <c r="C1349" s="70" t="s">
        <v>1613</v>
      </c>
      <c r="D1349" s="70" t="s">
        <v>1</v>
      </c>
      <c r="E1349" s="70" t="s">
        <v>1</v>
      </c>
      <c r="F1349" s="70"/>
      <c r="G1349" s="70" t="s">
        <v>61</v>
      </c>
      <c r="H1349" s="70" t="s">
        <v>178</v>
      </c>
      <c r="I1349" s="70" t="s">
        <v>188</v>
      </c>
      <c r="J1349" s="71">
        <f>IF(OR(I1349=0,I1349=""),"unrated",VLOOKUP(I1349,MappingTables!$B$19:$C$31,2,FALSE))</f>
        <v>2</v>
      </c>
      <c r="K1349" s="72">
        <v>35.782277964174008</v>
      </c>
      <c r="L1349" s="70">
        <v>0.31781070282155348</v>
      </c>
      <c r="M1349" s="71">
        <f>IF(L1349&lt;1,1,L1349)</f>
        <v>1</v>
      </c>
      <c r="N1349" s="70" t="s">
        <v>141</v>
      </c>
      <c r="O1349" s="71">
        <f>INDEX(DurClassMapping,MATCH(M1349,MappingTables!$D$4:$D$8,-1),1)</f>
        <v>1</v>
      </c>
      <c r="P1349" s="73">
        <f>IF(M1349=$A$1,1,$M1349-INDEX(MappingTables!$E$4:$E$8,MATCH(O1349,MappingTables!$B$4:$B$8,0)))</f>
        <v>1</v>
      </c>
      <c r="Q1349" s="71">
        <f>IF(B1349="",0,INDEX(ModelParameters!$D$6:$K$10,MATCH($O1349,ModelParameters!$B$6:$B$10,0),MATCH($J1349,ModelParameters!$D$5:$K$5,0)))</f>
        <v>0.013999999999999998</v>
      </c>
      <c r="R1349" s="71">
        <f>IF(B1349="",0,INDEX(ModelParameters!$D$13:$K$17,MATCH($O1349,ModelParameters!$B$13:$B$17,0),MATCH($J1349,ModelParameters!$D$5:$K$5,0)))</f>
        <v>0</v>
      </c>
      <c r="S1349" s="160">
        <f>IF(B1349="",0,MIN(IF($N1349="Other Bond TM",ModelParameters!$N$21,1)*(P1349*Q1349+R1349),1))</f>
        <v>0.013999999999999998</v>
      </c>
      <c r="T1349" s="85">
        <f>IF(B1349="",0,$S1349*$K1349)</f>
        <v>0.500951891498436</v>
      </c>
      <c r="U1349" s="85">
        <f>IF(B1349="",0,IF(OR(H1349=MappingTables!$C$34,H1349=MappingTables!$C$35),T1349,0))</f>
        <v>0</v>
      </c>
      <c r="V1349" s="85">
        <f>IF(ISNA(IF(AND(VLOOKUP(CONCATENATE($D1349,$G1349),CSRFinput!$B:$E,4,0)=0,OR(H1349=MappingTables!$C$34,H1349=MappingTables!$C$35)),1,VLOOKUP(CONCATENATE($D1349,$G1349),CSRFinput!$B:$E,4,0))),0,IF(AND(VLOOKUP(CONCATENATE($D1349,$G1349),CSRFinput!$B:$E,4,0)=0,OR(H1349=MappingTables!$C$34,H1349=MappingTables!$C$35)),1,VLOOKUP(CONCATENATE($D1349,$G1349),CSRFinput!$B:$E,4,0)))</f>
        <v>0.054776304963434752</v>
      </c>
      <c r="W1349" s="85">
        <f>IF(B1349="",0,+$T1349*$V1349)</f>
        <v>0.027440293580727808</v>
      </c>
      <c r="X1349" s="85">
        <f>IF(B1349="",0,IF(OR(H1349=MappingTables!$C$34,H1349=MappingTables!$C$35),W1349,0))</f>
        <v>0</v>
      </c>
    </row>
    <row r="1350" spans="2:24" s="0" customFormat="0" ht="15">
      <c r="B1350" s="69">
        <v>2605746</v>
      </c>
      <c r="C1350" s="70" t="s">
        <v>1614</v>
      </c>
      <c r="D1350" s="70" t="s">
        <v>1</v>
      </c>
      <c r="E1350" s="70" t="s">
        <v>1</v>
      </c>
      <c r="F1350" s="70"/>
      <c r="G1350" s="70" t="s">
        <v>61</v>
      </c>
      <c r="H1350" s="70" t="s">
        <v>178</v>
      </c>
      <c r="I1350" s="70" t="s">
        <v>188</v>
      </c>
      <c r="J1350" s="71">
        <f>IF(OR(I1350=0,I1350=""),"unrated",VLOOKUP(I1350,MappingTables!$B$19:$C$31,2,FALSE))</f>
        <v>2</v>
      </c>
      <c r="K1350" s="72">
        <v>1440225.2197265624</v>
      </c>
      <c r="L1350" s="70">
        <v>3.7871096108981568</v>
      </c>
      <c r="M1350" s="71">
        <f>IF(L1350&lt;1,1,L1350)</f>
        <v>3.7871096108981568</v>
      </c>
      <c r="N1350" s="70" t="s">
        <v>141</v>
      </c>
      <c r="O1350" s="71">
        <f>INDEX(DurClassMapping,MATCH(M1350,MappingTables!$D$4:$D$8,-1),1)</f>
        <v>1</v>
      </c>
      <c r="P1350" s="73">
        <f>IF(M1350=$A$1,1,$M1350-INDEX(MappingTables!$E$4:$E$8,MATCH(O1350,MappingTables!$B$4:$B$8,0)))</f>
        <v>3.7871096108981568</v>
      </c>
      <c r="Q1350" s="71">
        <f>IF(B1350="",0,INDEX(ModelParameters!$D$6:$K$10,MATCH($O1350,ModelParameters!$B$6:$B$10,0),MATCH($J1350,ModelParameters!$D$5:$K$5,0)))</f>
        <v>0.013999999999999998</v>
      </c>
      <c r="R1350" s="71">
        <f>IF(B1350="",0,INDEX(ModelParameters!$D$13:$K$17,MATCH($O1350,ModelParameters!$B$13:$B$17,0),MATCH($J1350,ModelParameters!$D$5:$K$5,0)))</f>
        <v>0</v>
      </c>
      <c r="S1350" s="160">
        <f>IF(B1350="",0,MIN(IF($N1350="Other Bond TM",ModelParameters!$N$21,1)*(P1350*Q1350+R1350),1))</f>
        <v>0.053019534552574192</v>
      </c>
      <c r="T1350" s="85">
        <f>IF(B1350="",0,$S1350*$K1350)</f>
        <v>76360.070800781232</v>
      </c>
      <c r="U1350" s="85">
        <f>IF(B1350="",0,IF(OR(H1350=MappingTables!$C$34,H1350=MappingTables!$C$35),T1350,0))</f>
        <v>0</v>
      </c>
      <c r="V1350" s="85">
        <f>IF(ISNA(IF(AND(VLOOKUP(CONCATENATE($D1350,$G1350),CSRFinput!$B:$E,4,0)=0,OR(H1350=MappingTables!$C$34,H1350=MappingTables!$C$35)),1,VLOOKUP(CONCATENATE($D1350,$G1350),CSRFinput!$B:$E,4,0))),0,IF(AND(VLOOKUP(CONCATENATE($D1350,$G1350),CSRFinput!$B:$E,4,0)=0,OR(H1350=MappingTables!$C$34,H1350=MappingTables!$C$35)),1,VLOOKUP(CONCATENATE($D1350,$G1350),CSRFinput!$B:$E,4,0)))</f>
        <v>0.054776304963434752</v>
      </c>
      <c r="W1350" s="85">
        <f>IF(B1350="",0,+$T1350*$V1350)</f>
        <v>4182.7225252130616</v>
      </c>
      <c r="X1350" s="85">
        <f>IF(B1350="",0,IF(OR(H1350=MappingTables!$C$34,H1350=MappingTables!$C$35),W1350,0))</f>
        <v>0</v>
      </c>
    </row>
    <row r="1351" spans="2:24" s="0" customFormat="0" ht="15">
      <c r="B1351" s="69">
        <v>14903820</v>
      </c>
      <c r="C1351" s="70" t="s">
        <v>587</v>
      </c>
      <c r="D1351" s="70" t="s">
        <v>1</v>
      </c>
      <c r="E1351" s="70" t="s">
        <v>1</v>
      </c>
      <c r="F1351" s="70"/>
      <c r="G1351" s="70" t="s">
        <v>61</v>
      </c>
      <c r="H1351" s="70" t="s">
        <v>178</v>
      </c>
      <c r="I1351" s="70" t="s">
        <v>181</v>
      </c>
      <c r="J1351" s="71">
        <f>IF(OR(I1351=0,I1351=""),"unrated",VLOOKUP(I1351,MappingTables!$B$19:$C$31,2,FALSE))</f>
        <v>3</v>
      </c>
      <c r="K1351" s="72">
        <v>2077.729336624116</v>
      </c>
      <c r="L1351" s="70">
        <v>2.100262666457232</v>
      </c>
      <c r="M1351" s="71">
        <f>IF(L1351&lt;1,1,L1351)</f>
        <v>2.100262666457232</v>
      </c>
      <c r="N1351" s="70" t="s">
        <v>141</v>
      </c>
      <c r="O1351" s="71">
        <f>INDEX(DurClassMapping,MATCH(M1351,MappingTables!$D$4:$D$8,-1),1)</f>
        <v>1</v>
      </c>
      <c r="P1351" s="73">
        <f>IF(M1351=$A$1,1,$M1351-INDEX(MappingTables!$E$4:$E$8,MATCH(O1351,MappingTables!$B$4:$B$8,0)))</f>
        <v>2.100262666457232</v>
      </c>
      <c r="Q1351" s="71">
        <f>IF(B1351="",0,INDEX(ModelParameters!$D$6:$K$10,MATCH($O1351,ModelParameters!$B$6:$B$10,0),MATCH($J1351,ModelParameters!$D$5:$K$5,0)))</f>
        <v>0.025</v>
      </c>
      <c r="R1351" s="71">
        <f>IF(B1351="",0,INDEX(ModelParameters!$D$13:$K$17,MATCH($O1351,ModelParameters!$B$13:$B$17,0),MATCH($J1351,ModelParameters!$D$5:$K$5,0)))</f>
        <v>0</v>
      </c>
      <c r="S1351" s="160">
        <f>IF(B1351="",0,MIN(IF($N1351="Other Bond TM",ModelParameters!$N$21,1)*(P1351*Q1351+R1351),1))</f>
        <v>0.0525065666614308</v>
      </c>
      <c r="T1351" s="85">
        <f>IF(B1351="",0,$S1351*$K1351)</f>
        <v>109.09443391786454</v>
      </c>
      <c r="U1351" s="85">
        <f>IF(B1351="",0,IF(OR(H1351=MappingTables!$C$34,H1351=MappingTables!$C$35),T1351,0))</f>
        <v>0</v>
      </c>
      <c r="V1351" s="85">
        <f>IF(ISNA(IF(AND(VLOOKUP(CONCATENATE($D1351,$G1351),CSRFinput!$B:$E,4,0)=0,OR(H1351=MappingTables!$C$34,H1351=MappingTables!$C$35)),1,VLOOKUP(CONCATENATE($D1351,$G1351),CSRFinput!$B:$E,4,0))),0,IF(AND(VLOOKUP(CONCATENATE($D1351,$G1351),CSRFinput!$B:$E,4,0)=0,OR(H1351=MappingTables!$C$34,H1351=MappingTables!$C$35)),1,VLOOKUP(CONCATENATE($D1351,$G1351),CSRFinput!$B:$E,4,0)))</f>
        <v>0.054776304963434752</v>
      </c>
      <c r="W1351" s="85">
        <f>IF(B1351="",0,+$T1351*$V1351)</f>
        <v>5.975789982098228</v>
      </c>
      <c r="X1351" s="85">
        <f>IF(B1351="",0,IF(OR(H1351=MappingTables!$C$34,H1351=MappingTables!$C$35),W1351,0))</f>
        <v>0</v>
      </c>
    </row>
    <row r="1352" spans="2:24" s="0" customFormat="0" ht="15">
      <c r="B1352" s="69" t="s">
        <v>1615</v>
      </c>
      <c r="C1352" s="70" t="s">
        <v>1616</v>
      </c>
      <c r="D1352" s="70" t="s">
        <v>1</v>
      </c>
      <c r="E1352" s="70" t="s">
        <v>1</v>
      </c>
      <c r="F1352" s="70"/>
      <c r="G1352" s="70" t="s">
        <v>61</v>
      </c>
      <c r="H1352" s="70" t="s">
        <v>178</v>
      </c>
      <c r="I1352" s="70" t="s">
        <v>184</v>
      </c>
      <c r="J1352" s="71">
        <f>IF(OR(I1352=0,I1352=""),"unrated",VLOOKUP(I1352,MappingTables!$B$19:$C$31,2,FALSE))</f>
        <v>5</v>
      </c>
      <c r="K1352" s="72">
        <v>1340.724086938829</v>
      </c>
      <c r="L1352" s="70">
        <v>0.83758685831208752</v>
      </c>
      <c r="M1352" s="71">
        <f>IF(L1352&lt;1,1,L1352)</f>
        <v>1</v>
      </c>
      <c r="N1352" s="70" t="s">
        <v>141</v>
      </c>
      <c r="O1352" s="71">
        <f>INDEX(DurClassMapping,MATCH(M1352,MappingTables!$D$4:$D$8,-1),1)</f>
        <v>1</v>
      </c>
      <c r="P1352" s="73">
        <f>IF(M1352=$A$1,1,$M1352-INDEX(MappingTables!$E$4:$E$8,MATCH(O1352,MappingTables!$B$4:$B$8,0)))</f>
        <v>1</v>
      </c>
      <c r="Q1352" s="71">
        <f>IF(B1352="",0,INDEX(ModelParameters!$D$6:$K$10,MATCH($O1352,ModelParameters!$B$6:$B$10,0),MATCH($J1352,ModelParameters!$D$5:$K$5,0)))</f>
        <v>0.075</v>
      </c>
      <c r="R1352" s="71">
        <f>IF(B1352="",0,INDEX(ModelParameters!$D$13:$K$17,MATCH($O1352,ModelParameters!$B$13:$B$17,0),MATCH($J1352,ModelParameters!$D$5:$K$5,0)))</f>
        <v>0</v>
      </c>
      <c r="S1352" s="160">
        <f>IF(B1352="",0,MIN(IF($N1352="Other Bond TM",ModelParameters!$N$21,1)*(P1352*Q1352+R1352),1))</f>
        <v>0.075</v>
      </c>
      <c r="T1352" s="85">
        <f>IF(B1352="",0,$S1352*$K1352)</f>
        <v>100.55430652041216</v>
      </c>
      <c r="U1352" s="85">
        <f>IF(B1352="",0,IF(OR(H1352=MappingTables!$C$34,H1352=MappingTables!$C$35),T1352,0))</f>
        <v>0</v>
      </c>
      <c r="V1352" s="85">
        <f>IF(ISNA(IF(AND(VLOOKUP(CONCATENATE($D1352,$G1352),CSRFinput!$B:$E,4,0)=0,OR(H1352=MappingTables!$C$34,H1352=MappingTables!$C$35)),1,VLOOKUP(CONCATENATE($D1352,$G1352),CSRFinput!$B:$E,4,0))),0,IF(AND(VLOOKUP(CONCATENATE($D1352,$G1352),CSRFinput!$B:$E,4,0)=0,OR(H1352=MappingTables!$C$34,H1352=MappingTables!$C$35)),1,VLOOKUP(CONCATENATE($D1352,$G1352),CSRFinput!$B:$E,4,0)))</f>
        <v>0.054776304963434752</v>
      </c>
      <c r="W1352" s="85">
        <f>IF(B1352="",0,+$T1352*$V1352)</f>
        <v>5.5079933593487928</v>
      </c>
      <c r="X1352" s="85">
        <f>IF(B1352="",0,IF(OR(H1352=MappingTables!$C$34,H1352=MappingTables!$C$35),W1352,0))</f>
        <v>0</v>
      </c>
    </row>
    <row r="1353" spans="2:24" s="0" customFormat="0" ht="15">
      <c r="B1353" s="69">
        <v>12570444</v>
      </c>
      <c r="C1353" s="70" t="s">
        <v>1617</v>
      </c>
      <c r="D1353" s="70" t="s">
        <v>1</v>
      </c>
      <c r="E1353" s="70" t="s">
        <v>1</v>
      </c>
      <c r="F1353" s="70"/>
      <c r="G1353" s="70" t="s">
        <v>61</v>
      </c>
      <c r="H1353" s="70" t="s">
        <v>178</v>
      </c>
      <c r="I1353" s="70" t="s">
        <v>181</v>
      </c>
      <c r="J1353" s="71">
        <f>IF(OR(I1353=0,I1353=""),"unrated",VLOOKUP(I1353,MappingTables!$B$19:$C$31,2,FALSE))</f>
        <v>3</v>
      </c>
      <c r="K1353" s="72">
        <v>6335.7646136973768</v>
      </c>
      <c r="L1353" s="70">
        <v>0.72055137379597264</v>
      </c>
      <c r="M1353" s="71">
        <f>IF(L1353&lt;1,1,L1353)</f>
        <v>1</v>
      </c>
      <c r="N1353" s="70" t="s">
        <v>141</v>
      </c>
      <c r="O1353" s="71">
        <f>INDEX(DurClassMapping,MATCH(M1353,MappingTables!$D$4:$D$8,-1),1)</f>
        <v>1</v>
      </c>
      <c r="P1353" s="73">
        <f>IF(M1353=$A$1,1,$M1353-INDEX(MappingTables!$E$4:$E$8,MATCH(O1353,MappingTables!$B$4:$B$8,0)))</f>
        <v>1</v>
      </c>
      <c r="Q1353" s="71">
        <f>IF(B1353="",0,INDEX(ModelParameters!$D$6:$K$10,MATCH($O1353,ModelParameters!$B$6:$B$10,0),MATCH($J1353,ModelParameters!$D$5:$K$5,0)))</f>
        <v>0.025</v>
      </c>
      <c r="R1353" s="71">
        <f>IF(B1353="",0,INDEX(ModelParameters!$D$13:$K$17,MATCH($O1353,ModelParameters!$B$13:$B$17,0),MATCH($J1353,ModelParameters!$D$5:$K$5,0)))</f>
        <v>0</v>
      </c>
      <c r="S1353" s="160">
        <f>IF(B1353="",0,MIN(IF($N1353="Other Bond TM",ModelParameters!$N$21,1)*(P1353*Q1353+R1353),1))</f>
        <v>0.025</v>
      </c>
      <c r="T1353" s="85">
        <f>IF(B1353="",0,$S1353*$K1353)</f>
        <v>158.39411534243444</v>
      </c>
      <c r="U1353" s="85">
        <f>IF(B1353="",0,IF(OR(H1353=MappingTables!$C$34,H1353=MappingTables!$C$35),T1353,0))</f>
        <v>0</v>
      </c>
      <c r="V1353" s="85">
        <f>IF(ISNA(IF(AND(VLOOKUP(CONCATENATE($D1353,$G1353),CSRFinput!$B:$E,4,0)=0,OR(H1353=MappingTables!$C$34,H1353=MappingTables!$C$35)),1,VLOOKUP(CONCATENATE($D1353,$G1353),CSRFinput!$B:$E,4,0))),0,IF(AND(VLOOKUP(CONCATENATE($D1353,$G1353),CSRFinput!$B:$E,4,0)=0,OR(H1353=MappingTables!$C$34,H1353=MappingTables!$C$35)),1,VLOOKUP(CONCATENATE($D1353,$G1353),CSRFinput!$B:$E,4,0)))</f>
        <v>0.054776304963434752</v>
      </c>
      <c r="W1353" s="85">
        <f>IF(B1353="",0,+$T1353*$V1353)</f>
        <v>8.676244366410648</v>
      </c>
      <c r="X1353" s="85">
        <f>IF(B1353="",0,IF(OR(H1353=MappingTables!$C$34,H1353=MappingTables!$C$35),W1353,0))</f>
        <v>0</v>
      </c>
    </row>
    <row r="1354" spans="2:24" s="0" customFormat="0" ht="15">
      <c r="B1354" s="69">
        <v>12402301</v>
      </c>
      <c r="C1354" s="70" t="s">
        <v>1020</v>
      </c>
      <c r="D1354" s="70" t="s">
        <v>1</v>
      </c>
      <c r="E1354" s="70" t="s">
        <v>1</v>
      </c>
      <c r="F1354" s="70"/>
      <c r="G1354" s="70" t="s">
        <v>61</v>
      </c>
      <c r="H1354" s="70" t="s">
        <v>178</v>
      </c>
      <c r="I1354" s="70" t="s">
        <v>181</v>
      </c>
      <c r="J1354" s="71">
        <f>IF(OR(I1354=0,I1354=""),"unrated",VLOOKUP(I1354,MappingTables!$B$19:$C$31,2,FALSE))</f>
        <v>3</v>
      </c>
      <c r="K1354" s="72">
        <v>144.30127289104002</v>
      </c>
      <c r="L1354" s="70">
        <v>14.29154991856751</v>
      </c>
      <c r="M1354" s="71">
        <f>IF(L1354&lt;1,1,L1354)</f>
        <v>14.29154991856751</v>
      </c>
      <c r="N1354" s="70" t="s">
        <v>141</v>
      </c>
      <c r="O1354" s="71">
        <f>INDEX(DurClassMapping,MATCH(M1354,MappingTables!$D$4:$D$8,-1),1)</f>
        <v>3</v>
      </c>
      <c r="P1354" s="73">
        <f>IF(M1354=$A$1,1,$M1354-INDEX(MappingTables!$E$4:$E$8,MATCH(O1354,MappingTables!$B$4:$B$8,0)))</f>
        <v>4.2915499185675096</v>
      </c>
      <c r="Q1354" s="71">
        <f>IF(B1354="",0,INDEX(ModelParameters!$D$6:$K$10,MATCH($O1354,ModelParameters!$B$6:$B$10,0),MATCH($J1354,ModelParameters!$D$5:$K$5,0)))</f>
        <v>0.01</v>
      </c>
      <c r="R1354" s="71">
        <f>IF(B1354="",0,INDEX(ModelParameters!$D$13:$K$17,MATCH($O1354,ModelParameters!$B$13:$B$17,0),MATCH($J1354,ModelParameters!$D$5:$K$5,0)))</f>
        <v>0.2</v>
      </c>
      <c r="S1354" s="160">
        <f>IF(B1354="",0,MIN(IF($N1354="Other Bond TM",ModelParameters!$N$21,1)*(P1354*Q1354+R1354),1))</f>
        <v>0.24291549918567512</v>
      </c>
      <c r="T1354" s="85">
        <f>IF(B1354="",0,$S1354*$K1354)</f>
        <v>35.053015737455312</v>
      </c>
      <c r="U1354" s="85">
        <f>IF(B1354="",0,IF(OR(H1354=MappingTables!$C$34,H1354=MappingTables!$C$35),T1354,0))</f>
        <v>0</v>
      </c>
      <c r="V1354" s="85">
        <f>IF(ISNA(IF(AND(VLOOKUP(CONCATENATE($D1354,$G1354),CSRFinput!$B:$E,4,0)=0,OR(H1354=MappingTables!$C$34,H1354=MappingTables!$C$35)),1,VLOOKUP(CONCATENATE($D1354,$G1354),CSRFinput!$B:$E,4,0))),0,IF(AND(VLOOKUP(CONCATENATE($D1354,$G1354),CSRFinput!$B:$E,4,0)=0,OR(H1354=MappingTables!$C$34,H1354=MappingTables!$C$35)),1,VLOOKUP(CONCATENATE($D1354,$G1354),CSRFinput!$B:$E,4,0)))</f>
        <v>0.054776304963434752</v>
      </c>
      <c r="W1354" s="85">
        <f>IF(B1354="",0,+$T1354*$V1354)</f>
        <v>1.9200746799229296</v>
      </c>
      <c r="X1354" s="85">
        <f>IF(B1354="",0,IF(OR(H1354=MappingTables!$C$34,H1354=MappingTables!$C$35),W1354,0))</f>
        <v>0</v>
      </c>
    </row>
    <row r="1355" spans="2:24" s="0" customFormat="0" ht="15">
      <c r="B1355" s="69" t="s">
        <v>1618</v>
      </c>
      <c r="C1355" s="70" t="s">
        <v>1619</v>
      </c>
      <c r="D1355" s="70" t="s">
        <v>1</v>
      </c>
      <c r="E1355" s="70" t="s">
        <v>1</v>
      </c>
      <c r="F1355" s="70"/>
      <c r="G1355" s="70" t="s">
        <v>61</v>
      </c>
      <c r="H1355" s="70" t="s">
        <v>178</v>
      </c>
      <c r="I1355" s="70" t="s">
        <v>181</v>
      </c>
      <c r="J1355" s="71">
        <f>IF(OR(I1355=0,I1355=""),"unrated",VLOOKUP(I1355,MappingTables!$B$19:$C$31,2,FALSE))</f>
        <v>3</v>
      </c>
      <c r="K1355" s="72">
        <v>38138.841718222064</v>
      </c>
      <c r="L1355" s="70">
        <v>6.062472269313928</v>
      </c>
      <c r="M1355" s="71">
        <f>IF(L1355&lt;1,1,L1355)</f>
        <v>6.062472269313928</v>
      </c>
      <c r="N1355" s="70" t="s">
        <v>141</v>
      </c>
      <c r="O1355" s="71">
        <f>INDEX(DurClassMapping,MATCH(M1355,MappingTables!$D$4:$D$8,-1),1)</f>
        <v>2</v>
      </c>
      <c r="P1355" s="73">
        <f>IF(M1355=$A$1,1,$M1355-INDEX(MappingTables!$E$4:$E$8,MATCH(O1355,MappingTables!$B$4:$B$8,0)))</f>
        <v>1.0624722693139282</v>
      </c>
      <c r="Q1355" s="71">
        <f>IF(B1355="",0,INDEX(ModelParameters!$D$6:$K$10,MATCH($O1355,ModelParameters!$B$6:$B$10,0),MATCH($J1355,ModelParameters!$D$5:$K$5,0)))</f>
        <v>0.015</v>
      </c>
      <c r="R1355" s="71">
        <f>IF(B1355="",0,INDEX(ModelParameters!$D$13:$K$17,MATCH($O1355,ModelParameters!$B$13:$B$17,0),MATCH($J1355,ModelParameters!$D$5:$K$5,0)))</f>
        <v>0.125</v>
      </c>
      <c r="S1355" s="160">
        <f>IF(B1355="",0,MIN(IF($N1355="Other Bond TM",ModelParameters!$N$21,1)*(P1355*Q1355+R1355),1))</f>
        <v>0.14093708403970892</v>
      </c>
      <c r="T1355" s="85">
        <f>IF(B1355="",0,$S1355*$K1355)</f>
        <v>5375.17714041822</v>
      </c>
      <c r="U1355" s="85">
        <f>IF(B1355="",0,IF(OR(H1355=MappingTables!$C$34,H1355=MappingTables!$C$35),T1355,0))</f>
        <v>0</v>
      </c>
      <c r="V1355" s="85">
        <f>IF(ISNA(IF(AND(VLOOKUP(CONCATENATE($D1355,$G1355),CSRFinput!$B:$E,4,0)=0,OR(H1355=MappingTables!$C$34,H1355=MappingTables!$C$35)),1,VLOOKUP(CONCATENATE($D1355,$G1355),CSRFinput!$B:$E,4,0))),0,IF(AND(VLOOKUP(CONCATENATE($D1355,$G1355),CSRFinput!$B:$E,4,0)=0,OR(H1355=MappingTables!$C$34,H1355=MappingTables!$C$35)),1,VLOOKUP(CONCATENATE($D1355,$G1355),CSRFinput!$B:$E,4,0)))</f>
        <v>0.054776304963434752</v>
      </c>
      <c r="W1355" s="85">
        <f>IF(B1355="",0,+$T1355*$V1355)</f>
        <v>294.4323422760316</v>
      </c>
      <c r="X1355" s="85">
        <f>IF(B1355="",0,IF(OR(H1355=MappingTables!$C$34,H1355=MappingTables!$C$35),W1355,0))</f>
        <v>0</v>
      </c>
    </row>
    <row r="1356" spans="2:24" s="0" customFormat="0" ht="15">
      <c r="B1356" s="69">
        <v>20930569</v>
      </c>
      <c r="C1356" s="70" t="s">
        <v>1358</v>
      </c>
      <c r="D1356" s="70" t="s">
        <v>1</v>
      </c>
      <c r="E1356" s="70" t="s">
        <v>1</v>
      </c>
      <c r="F1356" s="70"/>
      <c r="G1356" s="70" t="s">
        <v>61</v>
      </c>
      <c r="H1356" s="70" t="s">
        <v>178</v>
      </c>
      <c r="I1356" s="70" t="s">
        <v>188</v>
      </c>
      <c r="J1356" s="71">
        <f>IF(OR(I1356=0,I1356=""),"unrated",VLOOKUP(I1356,MappingTables!$B$19:$C$31,2,FALSE))</f>
        <v>2</v>
      </c>
      <c r="K1356" s="72">
        <v>8927.9612927070848</v>
      </c>
      <c r="L1356" s="70">
        <v>3.5837463532870496</v>
      </c>
      <c r="M1356" s="71">
        <f>IF(L1356&lt;1,1,L1356)</f>
        <v>3.5837463532870496</v>
      </c>
      <c r="N1356" s="70" t="s">
        <v>141</v>
      </c>
      <c r="O1356" s="71">
        <f>INDEX(DurClassMapping,MATCH(M1356,MappingTables!$D$4:$D$8,-1),1)</f>
        <v>1</v>
      </c>
      <c r="P1356" s="73">
        <f>IF(M1356=$A$1,1,$M1356-INDEX(MappingTables!$E$4:$E$8,MATCH(O1356,MappingTables!$B$4:$B$8,0)))</f>
        <v>3.5837463532870496</v>
      </c>
      <c r="Q1356" s="71">
        <f>IF(B1356="",0,INDEX(ModelParameters!$D$6:$K$10,MATCH($O1356,ModelParameters!$B$6:$B$10,0),MATCH($J1356,ModelParameters!$D$5:$K$5,0)))</f>
        <v>0.013999999999999998</v>
      </c>
      <c r="R1356" s="71">
        <f>IF(B1356="",0,INDEX(ModelParameters!$D$13:$K$17,MATCH($O1356,ModelParameters!$B$13:$B$17,0),MATCH($J1356,ModelParameters!$D$5:$K$5,0)))</f>
        <v>0</v>
      </c>
      <c r="S1356" s="160">
        <f>IF(B1356="",0,MIN(IF($N1356="Other Bond TM",ModelParameters!$N$21,1)*(P1356*Q1356+R1356),1))</f>
        <v>0.050172448946018688</v>
      </c>
      <c r="T1356" s="85">
        <f>IF(B1356="",0,$S1356*$K1356)</f>
        <v>447.9376821503772</v>
      </c>
      <c r="U1356" s="85">
        <f>IF(B1356="",0,IF(OR(H1356=MappingTables!$C$34,H1356=MappingTables!$C$35),T1356,0))</f>
        <v>0</v>
      </c>
      <c r="V1356" s="85">
        <f>IF(ISNA(IF(AND(VLOOKUP(CONCATENATE($D1356,$G1356),CSRFinput!$B:$E,4,0)=0,OR(H1356=MappingTables!$C$34,H1356=MappingTables!$C$35)),1,VLOOKUP(CONCATENATE($D1356,$G1356),CSRFinput!$B:$E,4,0))),0,IF(AND(VLOOKUP(CONCATENATE($D1356,$G1356),CSRFinput!$B:$E,4,0)=0,OR(H1356=MappingTables!$C$34,H1356=MappingTables!$C$35)),1,VLOOKUP(CONCATENATE($D1356,$G1356),CSRFinput!$B:$E,4,0)))</f>
        <v>0.054776304963434752</v>
      </c>
      <c r="W1356" s="85">
        <f>IF(B1356="",0,+$T1356*$V1356)</f>
        <v>24.536371082083168</v>
      </c>
      <c r="X1356" s="85">
        <f>IF(B1356="",0,IF(OR(H1356=MappingTables!$C$34,H1356=MappingTables!$C$35),W1356,0))</f>
        <v>0</v>
      </c>
    </row>
    <row r="1357" spans="2:24" s="0" customFormat="0" ht="15">
      <c r="B1357" s="69" t="s">
        <v>326</v>
      </c>
      <c r="C1357" s="70" t="s">
        <v>327</v>
      </c>
      <c r="D1357" s="70" t="s">
        <v>1</v>
      </c>
      <c r="E1357" s="70" t="s">
        <v>1</v>
      </c>
      <c r="F1357" s="70"/>
      <c r="G1357" s="70" t="s">
        <v>61</v>
      </c>
      <c r="H1357" s="70" t="s">
        <v>178</v>
      </c>
      <c r="I1357" s="70" t="s">
        <v>181</v>
      </c>
      <c r="J1357" s="71">
        <f>IF(OR(I1357=0,I1357=""),"unrated",VLOOKUP(I1357,MappingTables!$B$19:$C$31,2,FALSE))</f>
        <v>3</v>
      </c>
      <c r="K1357" s="72">
        <v>1.9422880584610748</v>
      </c>
      <c r="L1357" s="70">
        <v>0.62739790649121464</v>
      </c>
      <c r="M1357" s="71">
        <f>IF(L1357&lt;1,1,L1357)</f>
        <v>1</v>
      </c>
      <c r="N1357" s="70" t="s">
        <v>141</v>
      </c>
      <c r="O1357" s="71">
        <f>INDEX(DurClassMapping,MATCH(M1357,MappingTables!$D$4:$D$8,-1),1)</f>
        <v>1</v>
      </c>
      <c r="P1357" s="73">
        <f>IF(M1357=$A$1,1,$M1357-INDEX(MappingTables!$E$4:$E$8,MATCH(O1357,MappingTables!$B$4:$B$8,0)))</f>
        <v>1</v>
      </c>
      <c r="Q1357" s="71">
        <f>IF(B1357="",0,INDEX(ModelParameters!$D$6:$K$10,MATCH($O1357,ModelParameters!$B$6:$B$10,0),MATCH($J1357,ModelParameters!$D$5:$K$5,0)))</f>
        <v>0.025</v>
      </c>
      <c r="R1357" s="71">
        <f>IF(B1357="",0,INDEX(ModelParameters!$D$13:$K$17,MATCH($O1357,ModelParameters!$B$13:$B$17,0),MATCH($J1357,ModelParameters!$D$5:$K$5,0)))</f>
        <v>0</v>
      </c>
      <c r="S1357" s="160">
        <f>IF(B1357="",0,MIN(IF($N1357="Other Bond TM",ModelParameters!$N$21,1)*(P1357*Q1357+R1357),1))</f>
        <v>0.025</v>
      </c>
      <c r="T1357" s="85">
        <f>IF(B1357="",0,$S1357*$K1357)</f>
        <v>0.048557201461526864</v>
      </c>
      <c r="U1357" s="85">
        <f>IF(B1357="",0,IF(OR(H1357=MappingTables!$C$34,H1357=MappingTables!$C$35),T1357,0))</f>
        <v>0</v>
      </c>
      <c r="V1357" s="85">
        <f>IF(ISNA(IF(AND(VLOOKUP(CONCATENATE($D1357,$G1357),CSRFinput!$B:$E,4,0)=0,OR(H1357=MappingTables!$C$34,H1357=MappingTables!$C$35)),1,VLOOKUP(CONCATENATE($D1357,$G1357),CSRFinput!$B:$E,4,0))),0,IF(AND(VLOOKUP(CONCATENATE($D1357,$G1357),CSRFinput!$B:$E,4,0)=0,OR(H1357=MappingTables!$C$34,H1357=MappingTables!$C$35)),1,VLOOKUP(CONCATENATE($D1357,$G1357),CSRFinput!$B:$E,4,0)))</f>
        <v>0.054776304963434752</v>
      </c>
      <c r="W1357" s="85">
        <f>IF(B1357="",0,+$T1357*$V1357)</f>
        <v>0.0026597840754275356</v>
      </c>
      <c r="X1357" s="85">
        <f>IF(B1357="",0,IF(OR(H1357=MappingTables!$C$34,H1357=MappingTables!$C$35),W1357,0))</f>
        <v>0</v>
      </c>
    </row>
    <row r="1358" spans="2:24" s="0" customFormat="0" ht="15">
      <c r="B1358" s="69">
        <v>14542520</v>
      </c>
      <c r="C1358" s="70" t="s">
        <v>1620</v>
      </c>
      <c r="D1358" s="70" t="s">
        <v>1</v>
      </c>
      <c r="E1358" s="70" t="s">
        <v>1</v>
      </c>
      <c r="F1358" s="70"/>
      <c r="G1358" s="70" t="s">
        <v>61</v>
      </c>
      <c r="H1358" s="70" t="s">
        <v>178</v>
      </c>
      <c r="I1358" s="70" t="s">
        <v>220</v>
      </c>
      <c r="J1358" s="71">
        <f>IF(OR(I1358=0,I1358=""),"unrated",VLOOKUP(I1358,MappingTables!$B$19:$C$31,2,FALSE))</f>
        <v>1</v>
      </c>
      <c r="K1358" s="72">
        <v>9247.5218855067232</v>
      </c>
      <c r="L1358" s="70">
        <v>5.7227238804940608</v>
      </c>
      <c r="M1358" s="71">
        <f>IF(L1358&lt;1,1,L1358)</f>
        <v>5.7227238804940608</v>
      </c>
      <c r="N1358" s="70" t="s">
        <v>141</v>
      </c>
      <c r="O1358" s="71">
        <f>INDEX(DurClassMapping,MATCH(M1358,MappingTables!$D$4:$D$8,-1),1)</f>
        <v>2</v>
      </c>
      <c r="P1358" s="73">
        <f>IF(M1358=$A$1,1,$M1358-INDEX(MappingTables!$E$4:$E$8,MATCH(O1358,MappingTables!$B$4:$B$8,0)))</f>
        <v>0.72272388049406096</v>
      </c>
      <c r="Q1358" s="71">
        <f>IF(B1358="",0,INDEX(ModelParameters!$D$6:$K$10,MATCH($O1358,ModelParameters!$B$6:$B$10,0),MATCH($J1358,ModelParameters!$D$5:$K$5,0)))</f>
        <v>0.006</v>
      </c>
      <c r="R1358" s="71">
        <f>IF(B1358="",0,INDEX(ModelParameters!$D$13:$K$17,MATCH($O1358,ModelParameters!$B$13:$B$17,0),MATCH($J1358,ModelParameters!$D$5:$K$5,0)))</f>
        <v>0.055</v>
      </c>
      <c r="S1358" s="160">
        <f>IF(B1358="",0,MIN(IF($N1358="Other Bond TM",ModelParameters!$N$21,1)*(P1358*Q1358+R1358),1))</f>
        <v>0.059336343282964368</v>
      </c>
      <c r="T1358" s="85">
        <f>IF(B1358="",0,$S1358*$K1358)</f>
        <v>548.71413311515288</v>
      </c>
      <c r="U1358" s="85">
        <f>IF(B1358="",0,IF(OR(H1358=MappingTables!$C$34,H1358=MappingTables!$C$35),T1358,0))</f>
        <v>0</v>
      </c>
      <c r="V1358" s="85">
        <f>IF(ISNA(IF(AND(VLOOKUP(CONCATENATE($D1358,$G1358),CSRFinput!$B:$E,4,0)=0,OR(H1358=MappingTables!$C$34,H1358=MappingTables!$C$35)),1,VLOOKUP(CONCATENATE($D1358,$G1358),CSRFinput!$B:$E,4,0))),0,IF(AND(VLOOKUP(CONCATENATE($D1358,$G1358),CSRFinput!$B:$E,4,0)=0,OR(H1358=MappingTables!$C$34,H1358=MappingTables!$C$35)),1,VLOOKUP(CONCATENATE($D1358,$G1358),CSRFinput!$B:$E,4,0)))</f>
        <v>0.054776304963434752</v>
      </c>
      <c r="W1358" s="85">
        <f>IF(B1358="",0,+$T1358*$V1358)</f>
        <v>30.056532693262348</v>
      </c>
      <c r="X1358" s="85">
        <f>IF(B1358="",0,IF(OR(H1358=MappingTables!$C$34,H1358=MappingTables!$C$35),W1358,0))</f>
        <v>0</v>
      </c>
    </row>
    <row r="1359" spans="2:24" s="0" customFormat="0" ht="15">
      <c r="B1359" s="69">
        <v>14731284</v>
      </c>
      <c r="C1359" s="70" t="s">
        <v>1621</v>
      </c>
      <c r="D1359" s="70" t="s">
        <v>1</v>
      </c>
      <c r="E1359" s="70" t="s">
        <v>1</v>
      </c>
      <c r="F1359" s="70"/>
      <c r="G1359" s="70" t="s">
        <v>61</v>
      </c>
      <c r="H1359" s="70" t="s">
        <v>178</v>
      </c>
      <c r="I1359" s="70" t="s">
        <v>188</v>
      </c>
      <c r="J1359" s="71">
        <f>IF(OR(I1359=0,I1359=""),"unrated",VLOOKUP(I1359,MappingTables!$B$19:$C$31,2,FALSE))</f>
        <v>2</v>
      </c>
      <c r="K1359" s="72">
        <v>3.8879608764424288</v>
      </c>
      <c r="L1359" s="70">
        <v>1.6405651219606308</v>
      </c>
      <c r="M1359" s="71">
        <f>IF(L1359&lt;1,1,L1359)</f>
        <v>1.6405651219606308</v>
      </c>
      <c r="N1359" s="70" t="s">
        <v>141</v>
      </c>
      <c r="O1359" s="71">
        <f>INDEX(DurClassMapping,MATCH(M1359,MappingTables!$D$4:$D$8,-1),1)</f>
        <v>1</v>
      </c>
      <c r="P1359" s="73">
        <f>IF(M1359=$A$1,1,$M1359-INDEX(MappingTables!$E$4:$E$8,MATCH(O1359,MappingTables!$B$4:$B$8,0)))</f>
        <v>1.6405651219606308</v>
      </c>
      <c r="Q1359" s="71">
        <f>IF(B1359="",0,INDEX(ModelParameters!$D$6:$K$10,MATCH($O1359,ModelParameters!$B$6:$B$10,0),MATCH($J1359,ModelParameters!$D$5:$K$5,0)))</f>
        <v>0.013999999999999998</v>
      </c>
      <c r="R1359" s="71">
        <f>IF(B1359="",0,INDEX(ModelParameters!$D$13:$K$17,MATCH($O1359,ModelParameters!$B$13:$B$17,0),MATCH($J1359,ModelParameters!$D$5:$K$5,0)))</f>
        <v>0</v>
      </c>
      <c r="S1359" s="160">
        <f>IF(B1359="",0,MIN(IF($N1359="Other Bond TM",ModelParameters!$N$21,1)*(P1359*Q1359+R1359),1))</f>
        <v>0.022967911707448828</v>
      </c>
      <c r="T1359" s="85">
        <f>IF(B1359="",0,$S1359*$K1359)</f>
        <v>0.089298342132145056</v>
      </c>
      <c r="U1359" s="85">
        <f>IF(B1359="",0,IF(OR(H1359=MappingTables!$C$34,H1359=MappingTables!$C$35),T1359,0))</f>
        <v>0</v>
      </c>
      <c r="V1359" s="85">
        <f>IF(ISNA(IF(AND(VLOOKUP(CONCATENATE($D1359,$G1359),CSRFinput!$B:$E,4,0)=0,OR(H1359=MappingTables!$C$34,H1359=MappingTables!$C$35)),1,VLOOKUP(CONCATENATE($D1359,$G1359),CSRFinput!$B:$E,4,0))),0,IF(AND(VLOOKUP(CONCATENATE($D1359,$G1359),CSRFinput!$B:$E,4,0)=0,OR(H1359=MappingTables!$C$34,H1359=MappingTables!$C$35)),1,VLOOKUP(CONCATENATE($D1359,$G1359),CSRFinput!$B:$E,4,0)))</f>
        <v>0.054776304963434752</v>
      </c>
      <c r="W1359" s="85">
        <f>IF(B1359="",0,+$T1359*$V1359)</f>
        <v>0.004891433221359512</v>
      </c>
      <c r="X1359" s="85">
        <f>IF(B1359="",0,IF(OR(H1359=MappingTables!$C$34,H1359=MappingTables!$C$35),W1359,0))</f>
        <v>0</v>
      </c>
    </row>
    <row r="1360" spans="2:24" s="0" customFormat="0" ht="15">
      <c r="B1360" s="69">
        <v>18762285</v>
      </c>
      <c r="C1360" s="70" t="s">
        <v>1622</v>
      </c>
      <c r="D1360" s="70" t="s">
        <v>1</v>
      </c>
      <c r="E1360" s="70" t="s">
        <v>1</v>
      </c>
      <c r="F1360" s="70"/>
      <c r="G1360" s="70" t="s">
        <v>61</v>
      </c>
      <c r="H1360" s="70" t="s">
        <v>178</v>
      </c>
      <c r="I1360" s="70" t="s">
        <v>179</v>
      </c>
      <c r="J1360" s="71">
        <f>IF(OR(I1360=0,I1360=""),"unrated",VLOOKUP(I1360,MappingTables!$B$19:$C$31,2,FALSE))</f>
        <v>4</v>
      </c>
      <c r="K1360" s="72">
        <v>69124.278830323064</v>
      </c>
      <c r="L1360" s="70">
        <v>13.251384074823206</v>
      </c>
      <c r="M1360" s="71">
        <f>IF(L1360&lt;1,1,L1360)</f>
        <v>13.251384074823206</v>
      </c>
      <c r="N1360" s="70" t="s">
        <v>141</v>
      </c>
      <c r="O1360" s="71">
        <f>INDEX(DurClassMapping,MATCH(M1360,MappingTables!$D$4:$D$8,-1),1)</f>
        <v>3</v>
      </c>
      <c r="P1360" s="73">
        <f>IF(M1360=$A$1,1,$M1360-INDEX(MappingTables!$E$4:$E$8,MATCH(O1360,MappingTables!$B$4:$B$8,0)))</f>
        <v>3.2513840748232052</v>
      </c>
      <c r="Q1360" s="71">
        <f>IF(B1360="",0,INDEX(ModelParameters!$D$6:$K$10,MATCH($O1360,ModelParameters!$B$6:$B$10,0),MATCH($J1360,ModelParameters!$D$5:$K$5,0)))</f>
        <v>0.018000000000000002</v>
      </c>
      <c r="R1360" s="71">
        <f>IF(B1360="",0,INDEX(ModelParameters!$D$13:$K$17,MATCH($O1360,ModelParameters!$B$13:$B$17,0),MATCH($J1360,ModelParameters!$D$5:$K$5,0)))</f>
        <v>0.34999999999999996</v>
      </c>
      <c r="S1360" s="160">
        <f>IF(B1360="",0,MIN(IF($N1360="Other Bond TM",ModelParameters!$N$21,1)*(P1360*Q1360+R1360),1))</f>
        <v>0.40852491334681768</v>
      </c>
      <c r="T1360" s="85">
        <f>IF(B1360="",0,$S1360*$K1360)</f>
        <v>28238.990019318992</v>
      </c>
      <c r="U1360" s="85">
        <f>IF(B1360="",0,IF(OR(H1360=MappingTables!$C$34,H1360=MappingTables!$C$35),T1360,0))</f>
        <v>0</v>
      </c>
      <c r="V1360" s="85">
        <f>IF(ISNA(IF(AND(VLOOKUP(CONCATENATE($D1360,$G1360),CSRFinput!$B:$E,4,0)=0,OR(H1360=MappingTables!$C$34,H1360=MappingTables!$C$35)),1,VLOOKUP(CONCATENATE($D1360,$G1360),CSRFinput!$B:$E,4,0))),0,IF(AND(VLOOKUP(CONCATENATE($D1360,$G1360),CSRFinput!$B:$E,4,0)=0,OR(H1360=MappingTables!$C$34,H1360=MappingTables!$C$35)),1,VLOOKUP(CONCATENATE($D1360,$G1360),CSRFinput!$B:$E,4,0)))</f>
        <v>0.054776304963434752</v>
      </c>
      <c r="W1360" s="85">
        <f>IF(B1360="",0,+$T1360*$V1360)</f>
        <v>1546.8275291576074</v>
      </c>
      <c r="X1360" s="85">
        <f>IF(B1360="",0,IF(OR(H1360=MappingTables!$C$34,H1360=MappingTables!$C$35),W1360,0))</f>
        <v>0</v>
      </c>
    </row>
    <row r="1361" spans="2:24" s="0" customFormat="0" ht="15">
      <c r="B1361" s="69" t="s">
        <v>1623</v>
      </c>
      <c r="C1361" s="70" t="s">
        <v>1624</v>
      </c>
      <c r="D1361" s="70" t="s">
        <v>1</v>
      </c>
      <c r="E1361" s="70" t="s">
        <v>1</v>
      </c>
      <c r="F1361" s="70"/>
      <c r="G1361" s="70" t="s">
        <v>61</v>
      </c>
      <c r="H1361" s="70" t="s">
        <v>178</v>
      </c>
      <c r="I1361" s="70" t="s">
        <v>188</v>
      </c>
      <c r="J1361" s="71">
        <f>IF(OR(I1361=0,I1361=""),"unrated",VLOOKUP(I1361,MappingTables!$B$19:$C$31,2,FALSE))</f>
        <v>2</v>
      </c>
      <c r="K1361" s="72">
        <v>424.59113277398264</v>
      </c>
      <c r="L1361" s="70">
        <v>7.1883584835875008</v>
      </c>
      <c r="M1361" s="71">
        <f>IF(L1361&lt;1,1,L1361)</f>
        <v>7.1883584835875008</v>
      </c>
      <c r="N1361" s="70" t="s">
        <v>141</v>
      </c>
      <c r="O1361" s="71">
        <f>INDEX(DurClassMapping,MATCH(M1361,MappingTables!$D$4:$D$8,-1),1)</f>
        <v>2</v>
      </c>
      <c r="P1361" s="73">
        <f>IF(M1361=$A$1,1,$M1361-INDEX(MappingTables!$E$4:$E$8,MATCH(O1361,MappingTables!$B$4:$B$8,0)))</f>
        <v>2.1883584835875008</v>
      </c>
      <c r="Q1361" s="71">
        <f>IF(B1361="",0,INDEX(ModelParameters!$D$6:$K$10,MATCH($O1361,ModelParameters!$B$6:$B$10,0),MATCH($J1361,ModelParameters!$D$5:$K$5,0)))</f>
        <v>0.0069999999999999992</v>
      </c>
      <c r="R1361" s="71">
        <f>IF(B1361="",0,INDEX(ModelParameters!$D$13:$K$17,MATCH($O1361,ModelParameters!$B$13:$B$17,0),MATCH($J1361,ModelParameters!$D$5:$K$5,0)))</f>
        <v>0.070000000000000008</v>
      </c>
      <c r="S1361" s="160">
        <f>IF(B1361="",0,MIN(IF($N1361="Other Bond TM",ModelParameters!$N$21,1)*(P1361*Q1361+R1361),1))</f>
        <v>0.085318509385112512</v>
      </c>
      <c r="T1361" s="85">
        <f>IF(B1361="",0,$S1361*$K1361)</f>
        <v>36.225482546412584</v>
      </c>
      <c r="U1361" s="85">
        <f>IF(B1361="",0,IF(OR(H1361=MappingTables!$C$34,H1361=MappingTables!$C$35),T1361,0))</f>
        <v>0</v>
      </c>
      <c r="V1361" s="85">
        <f>IF(ISNA(IF(AND(VLOOKUP(CONCATENATE($D1361,$G1361),CSRFinput!$B:$E,4,0)=0,OR(H1361=MappingTables!$C$34,H1361=MappingTables!$C$35)),1,VLOOKUP(CONCATENATE($D1361,$G1361),CSRFinput!$B:$E,4,0))),0,IF(AND(VLOOKUP(CONCATENATE($D1361,$G1361),CSRFinput!$B:$E,4,0)=0,OR(H1361=MappingTables!$C$34,H1361=MappingTables!$C$35)),1,VLOOKUP(CONCATENATE($D1361,$G1361),CSRFinput!$B:$E,4,0)))</f>
        <v>0.054776304963434752</v>
      </c>
      <c r="W1361" s="85">
        <f>IF(B1361="",0,+$T1361*$V1361)</f>
        <v>1.9842980794098788</v>
      </c>
      <c r="X1361" s="85">
        <f>IF(B1361="",0,IF(OR(H1361=MappingTables!$C$34,H1361=MappingTables!$C$35),W1361,0))</f>
        <v>0</v>
      </c>
    </row>
    <row r="1362" spans="2:24" s="0" customFormat="0" ht="15">
      <c r="B1362" s="69" t="s">
        <v>1625</v>
      </c>
      <c r="C1362" s="70" t="s">
        <v>1626</v>
      </c>
      <c r="D1362" s="70" t="s">
        <v>1</v>
      </c>
      <c r="E1362" s="70" t="s">
        <v>1</v>
      </c>
      <c r="F1362" s="70"/>
      <c r="G1362" s="70" t="s">
        <v>61</v>
      </c>
      <c r="H1362" s="70" t="s">
        <v>178</v>
      </c>
      <c r="I1362" s="70" t="s">
        <v>181</v>
      </c>
      <c r="J1362" s="71">
        <f>IF(OR(I1362=0,I1362=""),"unrated",VLOOKUP(I1362,MappingTables!$B$19:$C$31,2,FALSE))</f>
        <v>3</v>
      </c>
      <c r="K1362" s="72">
        <v>4501.2143067983792</v>
      </c>
      <c r="L1362" s="70">
        <v>12.453859132051622</v>
      </c>
      <c r="M1362" s="71">
        <f>IF(L1362&lt;1,1,L1362)</f>
        <v>12.453859132051622</v>
      </c>
      <c r="N1362" s="70" t="s">
        <v>141</v>
      </c>
      <c r="O1362" s="71">
        <f>INDEX(DurClassMapping,MATCH(M1362,MappingTables!$D$4:$D$8,-1),1)</f>
        <v>3</v>
      </c>
      <c r="P1362" s="73">
        <f>IF(M1362=$A$1,1,$M1362-INDEX(MappingTables!$E$4:$E$8,MATCH(O1362,MappingTables!$B$4:$B$8,0)))</f>
        <v>2.4538591320516224</v>
      </c>
      <c r="Q1362" s="71">
        <f>IF(B1362="",0,INDEX(ModelParameters!$D$6:$K$10,MATCH($O1362,ModelParameters!$B$6:$B$10,0),MATCH($J1362,ModelParameters!$D$5:$K$5,0)))</f>
        <v>0.01</v>
      </c>
      <c r="R1362" s="71">
        <f>IF(B1362="",0,INDEX(ModelParameters!$D$13:$K$17,MATCH($O1362,ModelParameters!$B$13:$B$17,0),MATCH($J1362,ModelParameters!$D$5:$K$5,0)))</f>
        <v>0.2</v>
      </c>
      <c r="S1362" s="160">
        <f>IF(B1362="",0,MIN(IF($N1362="Other Bond TM",ModelParameters!$N$21,1)*(P1362*Q1362+R1362),1))</f>
        <v>0.22453859132051624</v>
      </c>
      <c r="T1362" s="85">
        <f>IF(B1362="",0,$S1362*$K1362)</f>
        <v>1010.696319680262</v>
      </c>
      <c r="U1362" s="85">
        <f>IF(B1362="",0,IF(OR(H1362=MappingTables!$C$34,H1362=MappingTables!$C$35),T1362,0))</f>
        <v>0</v>
      </c>
      <c r="V1362" s="85">
        <f>IF(ISNA(IF(AND(VLOOKUP(CONCATENATE($D1362,$G1362),CSRFinput!$B:$E,4,0)=0,OR(H1362=MappingTables!$C$34,H1362=MappingTables!$C$35)),1,VLOOKUP(CONCATENATE($D1362,$G1362),CSRFinput!$B:$E,4,0))),0,IF(AND(VLOOKUP(CONCATENATE($D1362,$G1362),CSRFinput!$B:$E,4,0)=0,OR(H1362=MappingTables!$C$34,H1362=MappingTables!$C$35)),1,VLOOKUP(CONCATENATE($D1362,$G1362),CSRFinput!$B:$E,4,0)))</f>
        <v>0.054776304963434752</v>
      </c>
      <c r="W1362" s="85">
        <f>IF(B1362="",0,+$T1362*$V1362)</f>
        <v>55.362209832227176</v>
      </c>
      <c r="X1362" s="85">
        <f>IF(B1362="",0,IF(OR(H1362=MappingTables!$C$34,H1362=MappingTables!$C$35),W1362,0))</f>
        <v>0</v>
      </c>
    </row>
    <row r="1363" spans="2:24" s="0" customFormat="0" ht="15">
      <c r="B1363" s="69">
        <v>22554255</v>
      </c>
      <c r="C1363" s="70" t="s">
        <v>943</v>
      </c>
      <c r="D1363" s="70" t="s">
        <v>1</v>
      </c>
      <c r="E1363" s="70" t="s">
        <v>1</v>
      </c>
      <c r="F1363" s="70"/>
      <c r="G1363" s="70" t="s">
        <v>61</v>
      </c>
      <c r="H1363" s="70" t="s">
        <v>178</v>
      </c>
      <c r="I1363" s="70" t="s">
        <v>220</v>
      </c>
      <c r="J1363" s="71">
        <f>IF(OR(I1363=0,I1363=""),"unrated",VLOOKUP(I1363,MappingTables!$B$19:$C$31,2,FALSE))</f>
        <v>1</v>
      </c>
      <c r="K1363" s="72">
        <v>1554.935976754605</v>
      </c>
      <c r="L1363" s="70">
        <v>1.1491117651152374</v>
      </c>
      <c r="M1363" s="71">
        <f>IF(L1363&lt;1,1,L1363)</f>
        <v>1.1491117651152374</v>
      </c>
      <c r="N1363" s="70" t="s">
        <v>141</v>
      </c>
      <c r="O1363" s="71">
        <f>INDEX(DurClassMapping,MATCH(M1363,MappingTables!$D$4:$D$8,-1),1)</f>
        <v>1</v>
      </c>
      <c r="P1363" s="73">
        <f>IF(M1363=$A$1,1,$M1363-INDEX(MappingTables!$E$4:$E$8,MATCH(O1363,MappingTables!$B$4:$B$8,0)))</f>
        <v>1.1491117651152374</v>
      </c>
      <c r="Q1363" s="71">
        <f>IF(B1363="",0,INDEX(ModelParameters!$D$6:$K$10,MATCH($O1363,ModelParameters!$B$6:$B$10,0),MATCH($J1363,ModelParameters!$D$5:$K$5,0)))</f>
        <v>0.011000000000000002</v>
      </c>
      <c r="R1363" s="71">
        <f>IF(B1363="",0,INDEX(ModelParameters!$D$13:$K$17,MATCH($O1363,ModelParameters!$B$13:$B$17,0),MATCH($J1363,ModelParameters!$D$5:$K$5,0)))</f>
        <v>0</v>
      </c>
      <c r="S1363" s="160">
        <f>IF(B1363="",0,MIN(IF($N1363="Other Bond TM",ModelParameters!$N$21,1)*(P1363*Q1363+R1363),1))</f>
        <v>0.012640229416267612</v>
      </c>
      <c r="T1363" s="85">
        <f>IF(B1363="",0,$S1363*$K1363)</f>
        <v>19.654747473786368</v>
      </c>
      <c r="U1363" s="85">
        <f>IF(B1363="",0,IF(OR(H1363=MappingTables!$C$34,H1363=MappingTables!$C$35),T1363,0))</f>
        <v>0</v>
      </c>
      <c r="V1363" s="85">
        <f>IF(ISNA(IF(AND(VLOOKUP(CONCATENATE($D1363,$G1363),CSRFinput!$B:$E,4,0)=0,OR(H1363=MappingTables!$C$34,H1363=MappingTables!$C$35)),1,VLOOKUP(CONCATENATE($D1363,$G1363),CSRFinput!$B:$E,4,0))),0,IF(AND(VLOOKUP(CONCATENATE($D1363,$G1363),CSRFinput!$B:$E,4,0)=0,OR(H1363=MappingTables!$C$34,H1363=MappingTables!$C$35)),1,VLOOKUP(CONCATENATE($D1363,$G1363),CSRFinput!$B:$E,4,0)))</f>
        <v>0.054776304963434752</v>
      </c>
      <c r="W1363" s="85">
        <f>IF(B1363="",0,+$T1363*$V1363)</f>
        <v>1.076614441603421</v>
      </c>
      <c r="X1363" s="85">
        <f>IF(B1363="",0,IF(OR(H1363=MappingTables!$C$34,H1363=MappingTables!$C$35),W1363,0))</f>
        <v>0</v>
      </c>
    </row>
    <row r="1364" spans="2:24" s="0" customFormat="0" ht="15">
      <c r="B1364" s="69">
        <v>19013591</v>
      </c>
      <c r="C1364" s="70" t="s">
        <v>855</v>
      </c>
      <c r="D1364" s="70" t="s">
        <v>1</v>
      </c>
      <c r="E1364" s="70" t="s">
        <v>1</v>
      </c>
      <c r="F1364" s="70"/>
      <c r="G1364" s="70" t="s">
        <v>61</v>
      </c>
      <c r="H1364" s="70" t="s">
        <v>178</v>
      </c>
      <c r="I1364" s="70" t="s">
        <v>179</v>
      </c>
      <c r="J1364" s="71">
        <f>IF(OR(I1364=0,I1364=""),"unrated",VLOOKUP(I1364,MappingTables!$B$19:$C$31,2,FALSE))</f>
        <v>4</v>
      </c>
      <c r="K1364" s="72">
        <v>537.29130708141608</v>
      </c>
      <c r="L1364" s="70">
        <v>1.533820407338582</v>
      </c>
      <c r="M1364" s="71">
        <f>IF(L1364&lt;1,1,L1364)</f>
        <v>1.533820407338582</v>
      </c>
      <c r="N1364" s="70" t="s">
        <v>141</v>
      </c>
      <c r="O1364" s="71">
        <f>INDEX(DurClassMapping,MATCH(M1364,MappingTables!$D$4:$D$8,-1),1)</f>
        <v>1</v>
      </c>
      <c r="P1364" s="73">
        <f>IF(M1364=$A$1,1,$M1364-INDEX(MappingTables!$E$4:$E$8,MATCH(O1364,MappingTables!$B$4:$B$8,0)))</f>
        <v>1.533820407338582</v>
      </c>
      <c r="Q1364" s="71">
        <f>IF(B1364="",0,INDEX(ModelParameters!$D$6:$K$10,MATCH($O1364,ModelParameters!$B$6:$B$10,0),MATCH($J1364,ModelParameters!$D$5:$K$5,0)))</f>
        <v>0.045</v>
      </c>
      <c r="R1364" s="71">
        <f>IF(B1364="",0,INDEX(ModelParameters!$D$13:$K$17,MATCH($O1364,ModelParameters!$B$13:$B$17,0),MATCH($J1364,ModelParameters!$D$5:$K$5,0)))</f>
        <v>0</v>
      </c>
      <c r="S1364" s="160">
        <f>IF(B1364="",0,MIN(IF($N1364="Other Bond TM",ModelParameters!$N$21,1)*(P1364*Q1364+R1364),1))</f>
        <v>0.069021918330236184</v>
      </c>
      <c r="T1364" s="85">
        <f>IF(B1364="",0,$S1364*$K1364)</f>
        <v>37.084876716919352</v>
      </c>
      <c r="U1364" s="85">
        <f>IF(B1364="",0,IF(OR(H1364=MappingTables!$C$34,H1364=MappingTables!$C$35),T1364,0))</f>
        <v>0</v>
      </c>
      <c r="V1364" s="85">
        <f>IF(ISNA(IF(AND(VLOOKUP(CONCATENATE($D1364,$G1364),CSRFinput!$B:$E,4,0)=0,OR(H1364=MappingTables!$C$34,H1364=MappingTables!$C$35)),1,VLOOKUP(CONCATENATE($D1364,$G1364),CSRFinput!$B:$E,4,0))),0,IF(AND(VLOOKUP(CONCATENATE($D1364,$G1364),CSRFinput!$B:$E,4,0)=0,OR(H1364=MappingTables!$C$34,H1364=MappingTables!$C$35)),1,VLOOKUP(CONCATENATE($D1364,$G1364),CSRFinput!$B:$E,4,0)))</f>
        <v>0.054776304963434752</v>
      </c>
      <c r="W1364" s="85">
        <f>IF(B1364="",0,+$T1364*$V1364)</f>
        <v>2.0313725165773556</v>
      </c>
      <c r="X1364" s="85">
        <f>IF(B1364="",0,IF(OR(H1364=MappingTables!$C$34,H1364=MappingTables!$C$35),W1364,0))</f>
        <v>0</v>
      </c>
    </row>
    <row r="1365" spans="2:24" s="0" customFormat="0" ht="15">
      <c r="B1365" s="69">
        <v>21004748</v>
      </c>
      <c r="C1365" s="70" t="s">
        <v>1627</v>
      </c>
      <c r="D1365" s="70" t="s">
        <v>1</v>
      </c>
      <c r="E1365" s="70" t="s">
        <v>1</v>
      </c>
      <c r="F1365" s="70"/>
      <c r="G1365" s="70" t="s">
        <v>61</v>
      </c>
      <c r="H1365" s="70" t="s">
        <v>178</v>
      </c>
      <c r="I1365" s="70" t="s">
        <v>181</v>
      </c>
      <c r="J1365" s="71">
        <f>IF(OR(I1365=0,I1365=""),"unrated",VLOOKUP(I1365,MappingTables!$B$19:$C$31,2,FALSE))</f>
        <v>3</v>
      </c>
      <c r="K1365" s="72">
        <v>39963.892280975104</v>
      </c>
      <c r="L1365" s="70">
        <v>3.5785840100411604</v>
      </c>
      <c r="M1365" s="71">
        <f>IF(L1365&lt;1,1,L1365)</f>
        <v>3.5785840100411604</v>
      </c>
      <c r="N1365" s="70" t="s">
        <v>141</v>
      </c>
      <c r="O1365" s="71">
        <f>INDEX(DurClassMapping,MATCH(M1365,MappingTables!$D$4:$D$8,-1),1)</f>
        <v>1</v>
      </c>
      <c r="P1365" s="73">
        <f>IF(M1365=$A$1,1,$M1365-INDEX(MappingTables!$E$4:$E$8,MATCH(O1365,MappingTables!$B$4:$B$8,0)))</f>
        <v>3.5785840100411604</v>
      </c>
      <c r="Q1365" s="71">
        <f>IF(B1365="",0,INDEX(ModelParameters!$D$6:$K$10,MATCH($O1365,ModelParameters!$B$6:$B$10,0),MATCH($J1365,ModelParameters!$D$5:$K$5,0)))</f>
        <v>0.025</v>
      </c>
      <c r="R1365" s="71">
        <f>IF(B1365="",0,INDEX(ModelParameters!$D$13:$K$17,MATCH($O1365,ModelParameters!$B$13:$B$17,0),MATCH($J1365,ModelParameters!$D$5:$K$5,0)))</f>
        <v>0</v>
      </c>
      <c r="S1365" s="160">
        <f>IF(B1365="",0,MIN(IF($N1365="Other Bond TM",ModelParameters!$N$21,1)*(P1365*Q1365+R1365),1))</f>
        <v>0.089464600251029024</v>
      </c>
      <c r="T1365" s="85">
        <f>IF(B1365="",0,$S1365*$K1365)</f>
        <v>3575.353647392622</v>
      </c>
      <c r="U1365" s="85">
        <f>IF(B1365="",0,IF(OR(H1365=MappingTables!$C$34,H1365=MappingTables!$C$35),T1365,0))</f>
        <v>0</v>
      </c>
      <c r="V1365" s="85">
        <f>IF(ISNA(IF(AND(VLOOKUP(CONCATENATE($D1365,$G1365),CSRFinput!$B:$E,4,0)=0,OR(H1365=MappingTables!$C$34,H1365=MappingTables!$C$35)),1,VLOOKUP(CONCATENATE($D1365,$G1365),CSRFinput!$B:$E,4,0))),0,IF(AND(VLOOKUP(CONCATENATE($D1365,$G1365),CSRFinput!$B:$E,4,0)=0,OR(H1365=MappingTables!$C$34,H1365=MappingTables!$C$35)),1,VLOOKUP(CONCATENATE($D1365,$G1365),CSRFinput!$B:$E,4,0)))</f>
        <v>0.054776304963434752</v>
      </c>
      <c r="W1365" s="85">
        <f>IF(B1365="",0,+$T1365*$V1365)</f>
        <v>195.84466174170704</v>
      </c>
      <c r="X1365" s="85">
        <f>IF(B1365="",0,IF(OR(H1365=MappingTables!$C$34,H1365=MappingTables!$C$35),W1365,0))</f>
        <v>0</v>
      </c>
    </row>
    <row r="1366" spans="2:24" s="0" customFormat="0" ht="15">
      <c r="B1366" s="69">
        <v>17121464</v>
      </c>
      <c r="C1366" s="70" t="s">
        <v>1628</v>
      </c>
      <c r="D1366" s="70" t="s">
        <v>1</v>
      </c>
      <c r="E1366" s="70" t="s">
        <v>1</v>
      </c>
      <c r="F1366" s="70"/>
      <c r="G1366" s="70" t="s">
        <v>61</v>
      </c>
      <c r="H1366" s="70" t="s">
        <v>178</v>
      </c>
      <c r="I1366" s="70" t="s">
        <v>184</v>
      </c>
      <c r="J1366" s="71">
        <f>IF(OR(I1366=0,I1366=""),"unrated",VLOOKUP(I1366,MappingTables!$B$19:$C$31,2,FALSE))</f>
        <v>5</v>
      </c>
      <c r="K1366" s="72">
        <v>10508.938511840992</v>
      </c>
      <c r="L1366" s="70">
        <v>4.0074739311217208</v>
      </c>
      <c r="M1366" s="71">
        <f>IF(L1366&lt;1,1,L1366)</f>
        <v>4.0074739311217208</v>
      </c>
      <c r="N1366" s="70" t="s">
        <v>141</v>
      </c>
      <c r="O1366" s="71">
        <f>INDEX(DurClassMapping,MATCH(M1366,MappingTables!$D$4:$D$8,-1),1)</f>
        <v>1</v>
      </c>
      <c r="P1366" s="73">
        <f>IF(M1366=$A$1,1,$M1366-INDEX(MappingTables!$E$4:$E$8,MATCH(O1366,MappingTables!$B$4:$B$8,0)))</f>
        <v>4.0074739311217208</v>
      </c>
      <c r="Q1366" s="71">
        <f>IF(B1366="",0,INDEX(ModelParameters!$D$6:$K$10,MATCH($O1366,ModelParameters!$B$6:$B$10,0),MATCH($J1366,ModelParameters!$D$5:$K$5,0)))</f>
        <v>0.075</v>
      </c>
      <c r="R1366" s="71">
        <f>IF(B1366="",0,INDEX(ModelParameters!$D$13:$K$17,MATCH($O1366,ModelParameters!$B$13:$B$17,0),MATCH($J1366,ModelParameters!$D$5:$K$5,0)))</f>
        <v>0</v>
      </c>
      <c r="S1366" s="160">
        <f>IF(B1366="",0,MIN(IF($N1366="Other Bond TM",ModelParameters!$N$21,1)*(P1366*Q1366+R1366),1))</f>
        <v>0.30056054483412908</v>
      </c>
      <c r="T1366" s="85">
        <f>IF(B1366="",0,$S1366*$K1366)</f>
        <v>3158.5722847472904</v>
      </c>
      <c r="U1366" s="85">
        <f>IF(B1366="",0,IF(OR(H1366=MappingTables!$C$34,H1366=MappingTables!$C$35),T1366,0))</f>
        <v>0</v>
      </c>
      <c r="V1366" s="85">
        <f>IF(ISNA(IF(AND(VLOOKUP(CONCATENATE($D1366,$G1366),CSRFinput!$B:$E,4,0)=0,OR(H1366=MappingTables!$C$34,H1366=MappingTables!$C$35)),1,VLOOKUP(CONCATENATE($D1366,$G1366),CSRFinput!$B:$E,4,0))),0,IF(AND(VLOOKUP(CONCATENATE($D1366,$G1366),CSRFinput!$B:$E,4,0)=0,OR(H1366=MappingTables!$C$34,H1366=MappingTables!$C$35)),1,VLOOKUP(CONCATENATE($D1366,$G1366),CSRFinput!$B:$E,4,0)))</f>
        <v>0.054776304963434752</v>
      </c>
      <c r="W1366" s="85">
        <f>IF(B1366="",0,+$T1366*$V1366)</f>
        <v>173.01491871837044</v>
      </c>
      <c r="X1366" s="85">
        <f>IF(B1366="",0,IF(OR(H1366=MappingTables!$C$34,H1366=MappingTables!$C$35),W1366,0))</f>
        <v>0</v>
      </c>
    </row>
    <row r="1367" spans="2:24" s="0" customFormat="0" ht="15">
      <c r="B1367" s="69">
        <v>21006783</v>
      </c>
      <c r="C1367" s="70" t="s">
        <v>1629</v>
      </c>
      <c r="D1367" s="70" t="s">
        <v>1</v>
      </c>
      <c r="E1367" s="70" t="s">
        <v>1</v>
      </c>
      <c r="F1367" s="70"/>
      <c r="G1367" s="70" t="s">
        <v>61</v>
      </c>
      <c r="H1367" s="70" t="s">
        <v>178</v>
      </c>
      <c r="I1367" s="70" t="s">
        <v>181</v>
      </c>
      <c r="J1367" s="71">
        <f>IF(OR(I1367=0,I1367=""),"unrated",VLOOKUP(I1367,MappingTables!$B$19:$C$31,2,FALSE))</f>
        <v>3</v>
      </c>
      <c r="K1367" s="72">
        <v>477.11783495904976</v>
      </c>
      <c r="L1367" s="70">
        <v>1.4369857148442744</v>
      </c>
      <c r="M1367" s="71">
        <f>IF(L1367&lt;1,1,L1367)</f>
        <v>1.4369857148442744</v>
      </c>
      <c r="N1367" s="70" t="s">
        <v>141</v>
      </c>
      <c r="O1367" s="71">
        <f>INDEX(DurClassMapping,MATCH(M1367,MappingTables!$D$4:$D$8,-1),1)</f>
        <v>1</v>
      </c>
      <c r="P1367" s="73">
        <f>IF(M1367=$A$1,1,$M1367-INDEX(MappingTables!$E$4:$E$8,MATCH(O1367,MappingTables!$B$4:$B$8,0)))</f>
        <v>1.4369857148442744</v>
      </c>
      <c r="Q1367" s="71">
        <f>IF(B1367="",0,INDEX(ModelParameters!$D$6:$K$10,MATCH($O1367,ModelParameters!$B$6:$B$10,0),MATCH($J1367,ModelParameters!$D$5:$K$5,0)))</f>
        <v>0.025</v>
      </c>
      <c r="R1367" s="71">
        <f>IF(B1367="",0,INDEX(ModelParameters!$D$13:$K$17,MATCH($O1367,ModelParameters!$B$13:$B$17,0),MATCH($J1367,ModelParameters!$D$5:$K$5,0)))</f>
        <v>0</v>
      </c>
      <c r="S1367" s="160">
        <f>IF(B1367="",0,MIN(IF($N1367="Other Bond TM",ModelParameters!$N$21,1)*(P1367*Q1367+R1367),1))</f>
        <v>0.03592464287110686</v>
      </c>
      <c r="T1367" s="85">
        <f>IF(B1367="",0,$S1367*$K1367)</f>
        <v>17.140287828339566</v>
      </c>
      <c r="U1367" s="85">
        <f>IF(B1367="",0,IF(OR(H1367=MappingTables!$C$34,H1367=MappingTables!$C$35),T1367,0))</f>
        <v>0</v>
      </c>
      <c r="V1367" s="85">
        <f>IF(ISNA(IF(AND(VLOOKUP(CONCATENATE($D1367,$G1367),CSRFinput!$B:$E,4,0)=0,OR(H1367=MappingTables!$C$34,H1367=MappingTables!$C$35)),1,VLOOKUP(CONCATENATE($D1367,$G1367),CSRFinput!$B:$E,4,0))),0,IF(AND(VLOOKUP(CONCATENATE($D1367,$G1367),CSRFinput!$B:$E,4,0)=0,OR(H1367=MappingTables!$C$34,H1367=MappingTables!$C$35)),1,VLOOKUP(CONCATENATE($D1367,$G1367),CSRFinput!$B:$E,4,0)))</f>
        <v>0.054776304963434752</v>
      </c>
      <c r="W1367" s="85">
        <f>IF(B1367="",0,+$T1367*$V1367)</f>
        <v>0.93888163324617696</v>
      </c>
      <c r="X1367" s="85">
        <f>IF(B1367="",0,IF(OR(H1367=MappingTables!$C$34,H1367=MappingTables!$C$35),W1367,0))</f>
        <v>0</v>
      </c>
    </row>
    <row r="1368" spans="2:24" s="0" customFormat="0" ht="15">
      <c r="B1368" s="69" t="s">
        <v>1630</v>
      </c>
      <c r="C1368" s="70" t="s">
        <v>1631</v>
      </c>
      <c r="D1368" s="70" t="s">
        <v>1</v>
      </c>
      <c r="E1368" s="70" t="s">
        <v>1</v>
      </c>
      <c r="F1368" s="70"/>
      <c r="G1368" s="70" t="s">
        <v>61</v>
      </c>
      <c r="H1368" s="70" t="s">
        <v>178</v>
      </c>
      <c r="I1368" s="70" t="s">
        <v>179</v>
      </c>
      <c r="J1368" s="71">
        <f>IF(OR(I1368=0,I1368=""),"unrated",VLOOKUP(I1368,MappingTables!$B$19:$C$31,2,FALSE))</f>
        <v>4</v>
      </c>
      <c r="K1368" s="72">
        <v>7004.9814725198064</v>
      </c>
      <c r="L1368" s="70">
        <v>4.4016035605943784</v>
      </c>
      <c r="M1368" s="71">
        <f>IF(L1368&lt;1,1,L1368)</f>
        <v>4.4016035605943784</v>
      </c>
      <c r="N1368" s="70" t="s">
        <v>141</v>
      </c>
      <c r="O1368" s="71">
        <f>INDEX(DurClassMapping,MATCH(M1368,MappingTables!$D$4:$D$8,-1),1)</f>
        <v>1</v>
      </c>
      <c r="P1368" s="73">
        <f>IF(M1368=$A$1,1,$M1368-INDEX(MappingTables!$E$4:$E$8,MATCH(O1368,MappingTables!$B$4:$B$8,0)))</f>
        <v>4.4016035605943784</v>
      </c>
      <c r="Q1368" s="71">
        <f>IF(B1368="",0,INDEX(ModelParameters!$D$6:$K$10,MATCH($O1368,ModelParameters!$B$6:$B$10,0),MATCH($J1368,ModelParameters!$D$5:$K$5,0)))</f>
        <v>0.045</v>
      </c>
      <c r="R1368" s="71">
        <f>IF(B1368="",0,INDEX(ModelParameters!$D$13:$K$17,MATCH($O1368,ModelParameters!$B$13:$B$17,0),MATCH($J1368,ModelParameters!$D$5:$K$5,0)))</f>
        <v>0</v>
      </c>
      <c r="S1368" s="160">
        <f>IF(B1368="",0,MIN(IF($N1368="Other Bond TM",ModelParameters!$N$21,1)*(P1368*Q1368+R1368),1))</f>
        <v>0.19807216022674704</v>
      </c>
      <c r="T1368" s="85">
        <f>IF(B1368="",0,$S1368*$K1368)</f>
        <v>1387.4918126103376</v>
      </c>
      <c r="U1368" s="85">
        <f>IF(B1368="",0,IF(OR(H1368=MappingTables!$C$34,H1368=MappingTables!$C$35),T1368,0))</f>
        <v>0</v>
      </c>
      <c r="V1368" s="85">
        <f>IF(ISNA(IF(AND(VLOOKUP(CONCATENATE($D1368,$G1368),CSRFinput!$B:$E,4,0)=0,OR(H1368=MappingTables!$C$34,H1368=MappingTables!$C$35)),1,VLOOKUP(CONCATENATE($D1368,$G1368),CSRFinput!$B:$E,4,0))),0,IF(AND(VLOOKUP(CONCATENATE($D1368,$G1368),CSRFinput!$B:$E,4,0)=0,OR(H1368=MappingTables!$C$34,H1368=MappingTables!$C$35)),1,VLOOKUP(CONCATENATE($D1368,$G1368),CSRFinput!$B:$E,4,0)))</f>
        <v>0.054776304963434752</v>
      </c>
      <c r="W1368" s="85">
        <f>IF(B1368="",0,+$T1368*$V1368)</f>
        <v>76.00167466181272</v>
      </c>
      <c r="X1368" s="85">
        <f>IF(B1368="",0,IF(OR(H1368=MappingTables!$C$34,H1368=MappingTables!$C$35),W1368,0))</f>
        <v>0</v>
      </c>
    </row>
    <row r="1369" spans="2:24" s="0" customFormat="0" ht="15">
      <c r="B1369" s="69" t="s">
        <v>1632</v>
      </c>
      <c r="C1369" s="70" t="s">
        <v>1633</v>
      </c>
      <c r="D1369" s="70" t="s">
        <v>1</v>
      </c>
      <c r="E1369" s="70" t="s">
        <v>1</v>
      </c>
      <c r="F1369" s="70"/>
      <c r="G1369" s="70" t="s">
        <v>61</v>
      </c>
      <c r="H1369" s="70" t="s">
        <v>178</v>
      </c>
      <c r="I1369" s="70" t="s">
        <v>188</v>
      </c>
      <c r="J1369" s="71">
        <f>IF(OR(I1369=0,I1369=""),"unrated",VLOOKUP(I1369,MappingTables!$B$19:$C$31,2,FALSE))</f>
        <v>2</v>
      </c>
      <c r="K1369" s="72">
        <v>233.39956989849392</v>
      </c>
      <c r="L1369" s="70">
        <v>3.4557883660939096</v>
      </c>
      <c r="M1369" s="71">
        <f>IF(L1369&lt;1,1,L1369)</f>
        <v>3.4557883660939096</v>
      </c>
      <c r="N1369" s="70" t="s">
        <v>141</v>
      </c>
      <c r="O1369" s="71">
        <f>INDEX(DurClassMapping,MATCH(M1369,MappingTables!$D$4:$D$8,-1),1)</f>
        <v>1</v>
      </c>
      <c r="P1369" s="73">
        <f>IF(M1369=$A$1,1,$M1369-INDEX(MappingTables!$E$4:$E$8,MATCH(O1369,MappingTables!$B$4:$B$8,0)))</f>
        <v>3.4557883660939096</v>
      </c>
      <c r="Q1369" s="71">
        <f>IF(B1369="",0,INDEX(ModelParameters!$D$6:$K$10,MATCH($O1369,ModelParameters!$B$6:$B$10,0),MATCH($J1369,ModelParameters!$D$5:$K$5,0)))</f>
        <v>0.013999999999999998</v>
      </c>
      <c r="R1369" s="71">
        <f>IF(B1369="",0,INDEX(ModelParameters!$D$13:$K$17,MATCH($O1369,ModelParameters!$B$13:$B$17,0),MATCH($J1369,ModelParameters!$D$5:$K$5,0)))</f>
        <v>0</v>
      </c>
      <c r="S1369" s="160">
        <f>IF(B1369="",0,MIN(IF($N1369="Other Bond TM",ModelParameters!$N$21,1)*(P1369*Q1369+R1369),1))</f>
        <v>0.048381037125314728</v>
      </c>
      <c r="T1369" s="85">
        <f>IF(B1369="",0,$S1369*$K1369)</f>
        <v>11.292113256291524</v>
      </c>
      <c r="U1369" s="85">
        <f>IF(B1369="",0,IF(OR(H1369=MappingTables!$C$34,H1369=MappingTables!$C$35),T1369,0))</f>
        <v>0</v>
      </c>
      <c r="V1369" s="85">
        <f>IF(ISNA(IF(AND(VLOOKUP(CONCATENATE($D1369,$G1369),CSRFinput!$B:$E,4,0)=0,OR(H1369=MappingTables!$C$34,H1369=MappingTables!$C$35)),1,VLOOKUP(CONCATENATE($D1369,$G1369),CSRFinput!$B:$E,4,0))),0,IF(AND(VLOOKUP(CONCATENATE($D1369,$G1369),CSRFinput!$B:$E,4,0)=0,OR(H1369=MappingTables!$C$34,H1369=MappingTables!$C$35)),1,VLOOKUP(CONCATENATE($D1369,$G1369),CSRFinput!$B:$E,4,0)))</f>
        <v>0.054776304963434752</v>
      </c>
      <c r="W1369" s="85">
        <f>IF(B1369="",0,+$T1369*$V1369)</f>
        <v>0.61854023940826872</v>
      </c>
      <c r="X1369" s="85">
        <f>IF(B1369="",0,IF(OR(H1369=MappingTables!$C$34,H1369=MappingTables!$C$35),W1369,0))</f>
        <v>0</v>
      </c>
    </row>
    <row r="1370" spans="2:24" s="0" customFormat="0" ht="15">
      <c r="B1370" s="69">
        <v>24189706</v>
      </c>
      <c r="C1370" s="70" t="s">
        <v>1634</v>
      </c>
      <c r="D1370" s="70" t="s">
        <v>1</v>
      </c>
      <c r="E1370" s="70" t="s">
        <v>1</v>
      </c>
      <c r="F1370" s="70"/>
      <c r="G1370" s="70" t="s">
        <v>61</v>
      </c>
      <c r="H1370" s="70" t="s">
        <v>178</v>
      </c>
      <c r="I1370" s="70" t="s">
        <v>181</v>
      </c>
      <c r="J1370" s="71">
        <f>IF(OR(I1370=0,I1370=""),"unrated",VLOOKUP(I1370,MappingTables!$B$19:$C$31,2,FALSE))</f>
        <v>3</v>
      </c>
      <c r="K1370" s="72">
        <v>432.69095493885456</v>
      </c>
      <c r="L1370" s="70">
        <v>0.15616684393346336</v>
      </c>
      <c r="M1370" s="71">
        <f>IF(L1370&lt;1,1,L1370)</f>
        <v>1</v>
      </c>
      <c r="N1370" s="70" t="s">
        <v>141</v>
      </c>
      <c r="O1370" s="71">
        <f>INDEX(DurClassMapping,MATCH(M1370,MappingTables!$D$4:$D$8,-1),1)</f>
        <v>1</v>
      </c>
      <c r="P1370" s="73">
        <f>IF(M1370=$A$1,1,$M1370-INDEX(MappingTables!$E$4:$E$8,MATCH(O1370,MappingTables!$B$4:$B$8,0)))</f>
        <v>1</v>
      </c>
      <c r="Q1370" s="71">
        <f>IF(B1370="",0,INDEX(ModelParameters!$D$6:$K$10,MATCH($O1370,ModelParameters!$B$6:$B$10,0),MATCH($J1370,ModelParameters!$D$5:$K$5,0)))</f>
        <v>0.025</v>
      </c>
      <c r="R1370" s="71">
        <f>IF(B1370="",0,INDEX(ModelParameters!$D$13:$K$17,MATCH($O1370,ModelParameters!$B$13:$B$17,0),MATCH($J1370,ModelParameters!$D$5:$K$5,0)))</f>
        <v>0</v>
      </c>
      <c r="S1370" s="160">
        <f>IF(B1370="",0,MIN(IF($N1370="Other Bond TM",ModelParameters!$N$21,1)*(P1370*Q1370+R1370),1))</f>
        <v>0.025</v>
      </c>
      <c r="T1370" s="85">
        <f>IF(B1370="",0,$S1370*$K1370)</f>
        <v>10.817273873471364</v>
      </c>
      <c r="U1370" s="85">
        <f>IF(B1370="",0,IF(OR(H1370=MappingTables!$C$34,H1370=MappingTables!$C$35),T1370,0))</f>
        <v>0</v>
      </c>
      <c r="V1370" s="85">
        <f>IF(ISNA(IF(AND(VLOOKUP(CONCATENATE($D1370,$G1370),CSRFinput!$B:$E,4,0)=0,OR(H1370=MappingTables!$C$34,H1370=MappingTables!$C$35)),1,VLOOKUP(CONCATENATE($D1370,$G1370),CSRFinput!$B:$E,4,0))),0,IF(AND(VLOOKUP(CONCATENATE($D1370,$G1370),CSRFinput!$B:$E,4,0)=0,OR(H1370=MappingTables!$C$34,H1370=MappingTables!$C$35)),1,VLOOKUP(CONCATENATE($D1370,$G1370),CSRFinput!$B:$E,4,0)))</f>
        <v>0.054776304963434752</v>
      </c>
      <c r="W1370" s="85">
        <f>IF(B1370="",0,+$T1370*$V1370)</f>
        <v>0.59253029256626256</v>
      </c>
      <c r="X1370" s="85">
        <f>IF(B1370="",0,IF(OR(H1370=MappingTables!$C$34,H1370=MappingTables!$C$35),W1370,0))</f>
        <v>0</v>
      </c>
    </row>
    <row r="1371" spans="2:24" s="0" customFormat="0" ht="15">
      <c r="B1371" s="69" t="s">
        <v>1635</v>
      </c>
      <c r="C1371" s="70" t="s">
        <v>1636</v>
      </c>
      <c r="D1371" s="70" t="s">
        <v>1</v>
      </c>
      <c r="E1371" s="70" t="s">
        <v>1</v>
      </c>
      <c r="F1371" s="70"/>
      <c r="G1371" s="70" t="s">
        <v>61</v>
      </c>
      <c r="H1371" s="70" t="s">
        <v>178</v>
      </c>
      <c r="I1371" s="70" t="s">
        <v>188</v>
      </c>
      <c r="J1371" s="71">
        <f>IF(OR(I1371=0,I1371=""),"unrated",VLOOKUP(I1371,MappingTables!$B$19:$C$31,2,FALSE))</f>
        <v>2</v>
      </c>
      <c r="K1371" s="72">
        <v>0.2876976530321312</v>
      </c>
      <c r="L1371" s="70">
        <v>1.4292184404873736</v>
      </c>
      <c r="M1371" s="71">
        <f>IF(L1371&lt;1,1,L1371)</f>
        <v>1.4292184404873736</v>
      </c>
      <c r="N1371" s="70" t="s">
        <v>141</v>
      </c>
      <c r="O1371" s="71">
        <f>INDEX(DurClassMapping,MATCH(M1371,MappingTables!$D$4:$D$8,-1),1)</f>
        <v>1</v>
      </c>
      <c r="P1371" s="73">
        <f>IF(M1371=$A$1,1,$M1371-INDEX(MappingTables!$E$4:$E$8,MATCH(O1371,MappingTables!$B$4:$B$8,0)))</f>
        <v>1.4292184404873736</v>
      </c>
      <c r="Q1371" s="71">
        <f>IF(B1371="",0,INDEX(ModelParameters!$D$6:$K$10,MATCH($O1371,ModelParameters!$B$6:$B$10,0),MATCH($J1371,ModelParameters!$D$5:$K$5,0)))</f>
        <v>0.013999999999999998</v>
      </c>
      <c r="R1371" s="71">
        <f>IF(B1371="",0,INDEX(ModelParameters!$D$13:$K$17,MATCH($O1371,ModelParameters!$B$13:$B$17,0),MATCH($J1371,ModelParameters!$D$5:$K$5,0)))</f>
        <v>0</v>
      </c>
      <c r="S1371" s="160">
        <f>IF(B1371="",0,MIN(IF($N1371="Other Bond TM",ModelParameters!$N$21,1)*(P1371*Q1371+R1371),1))</f>
        <v>0.020009058166823228</v>
      </c>
      <c r="T1371" s="85">
        <f>IF(B1371="",0,$S1371*$K1371)</f>
        <v>0.00575655907397844</v>
      </c>
      <c r="U1371" s="85">
        <f>IF(B1371="",0,IF(OR(H1371=MappingTables!$C$34,H1371=MappingTables!$C$35),T1371,0))</f>
        <v>0</v>
      </c>
      <c r="V1371" s="85">
        <f>IF(ISNA(IF(AND(VLOOKUP(CONCATENATE($D1371,$G1371),CSRFinput!$B:$E,4,0)=0,OR(H1371=MappingTables!$C$34,H1371=MappingTables!$C$35)),1,VLOOKUP(CONCATENATE($D1371,$G1371),CSRFinput!$B:$E,4,0))),0,IF(AND(VLOOKUP(CONCATENATE($D1371,$G1371),CSRFinput!$B:$E,4,0)=0,OR(H1371=MappingTables!$C$34,H1371=MappingTables!$C$35)),1,VLOOKUP(CONCATENATE($D1371,$G1371),CSRFinput!$B:$E,4,0)))</f>
        <v>0.054776304963434752</v>
      </c>
      <c r="W1371" s="85">
        <f>IF(B1371="",0,+$T1371*$V1371)</f>
        <v>0.0003153230353762706</v>
      </c>
      <c r="X1371" s="85">
        <f>IF(B1371="",0,IF(OR(H1371=MappingTables!$C$34,H1371=MappingTables!$C$35),W1371,0))</f>
        <v>0</v>
      </c>
    </row>
    <row r="1372" spans="2:24" s="0" customFormat="0" ht="15">
      <c r="B1372" s="69">
        <v>546831</v>
      </c>
      <c r="C1372" s="70" t="s">
        <v>1637</v>
      </c>
      <c r="D1372" s="70" t="s">
        <v>1</v>
      </c>
      <c r="E1372" s="70" t="s">
        <v>1</v>
      </c>
      <c r="F1372" s="70"/>
      <c r="G1372" s="70" t="s">
        <v>61</v>
      </c>
      <c r="H1372" s="70" t="s">
        <v>178</v>
      </c>
      <c r="I1372" s="70" t="s">
        <v>179</v>
      </c>
      <c r="J1372" s="71">
        <f>IF(OR(I1372=0,I1372=""),"unrated",VLOOKUP(I1372,MappingTables!$B$19:$C$31,2,FALSE))</f>
        <v>4</v>
      </c>
      <c r="K1372" s="72">
        <v>68.240740431696512</v>
      </c>
      <c r="L1372" s="70">
        <v>9.9837510805300464</v>
      </c>
      <c r="M1372" s="71">
        <f>IF(L1372&lt;1,1,L1372)</f>
        <v>9.9837510805300464</v>
      </c>
      <c r="N1372" s="70" t="s">
        <v>141</v>
      </c>
      <c r="O1372" s="71">
        <f>INDEX(DurClassMapping,MATCH(M1372,MappingTables!$D$4:$D$8,-1),1)</f>
        <v>2</v>
      </c>
      <c r="P1372" s="73">
        <f>IF(M1372=$A$1,1,$M1372-INDEX(MappingTables!$E$4:$E$8,MATCH(O1372,MappingTables!$B$4:$B$8,0)))</f>
        <v>4.9837510805300464</v>
      </c>
      <c r="Q1372" s="71">
        <f>IF(B1372="",0,INDEX(ModelParameters!$D$6:$K$10,MATCH($O1372,ModelParameters!$B$6:$B$10,0),MATCH($J1372,ModelParameters!$D$5:$K$5,0)))</f>
        <v>0.025</v>
      </c>
      <c r="R1372" s="71">
        <f>IF(B1372="",0,INDEX(ModelParameters!$D$13:$K$17,MATCH($O1372,ModelParameters!$B$13:$B$17,0),MATCH($J1372,ModelParameters!$D$5:$K$5,0)))</f>
        <v>0.225</v>
      </c>
      <c r="S1372" s="160">
        <f>IF(B1372="",0,MIN(IF($N1372="Other Bond TM",ModelParameters!$N$21,1)*(P1372*Q1372+R1372),1))</f>
        <v>0.34959377701325116</v>
      </c>
      <c r="T1372" s="85">
        <f>IF(B1372="",0,$S1372*$K1372)</f>
        <v>23.856538193697664</v>
      </c>
      <c r="U1372" s="85">
        <f>IF(B1372="",0,IF(OR(H1372=MappingTables!$C$34,H1372=MappingTables!$C$35),T1372,0))</f>
        <v>0</v>
      </c>
      <c r="V1372" s="85">
        <f>IF(ISNA(IF(AND(VLOOKUP(CONCATENATE($D1372,$G1372),CSRFinput!$B:$E,4,0)=0,OR(H1372=MappingTables!$C$34,H1372=MappingTables!$C$35)),1,VLOOKUP(CONCATENATE($D1372,$G1372),CSRFinput!$B:$E,4,0))),0,IF(AND(VLOOKUP(CONCATENATE($D1372,$G1372),CSRFinput!$B:$E,4,0)=0,OR(H1372=MappingTables!$C$34,H1372=MappingTables!$C$35)),1,VLOOKUP(CONCATENATE($D1372,$G1372),CSRFinput!$B:$E,4,0)))</f>
        <v>0.054776304963434752</v>
      </c>
      <c r="W1372" s="85">
        <f>IF(B1372="",0,+$T1372*$V1372)</f>
        <v>1.306773011469812</v>
      </c>
      <c r="X1372" s="85">
        <f>IF(B1372="",0,IF(OR(H1372=MappingTables!$C$34,H1372=MappingTables!$C$35),W1372,0))</f>
        <v>0</v>
      </c>
    </row>
    <row r="1373" spans="2:24" s="0" customFormat="0" ht="15">
      <c r="B1373" s="69" t="s">
        <v>1078</v>
      </c>
      <c r="C1373" s="70" t="s">
        <v>1079</v>
      </c>
      <c r="D1373" s="70" t="s">
        <v>1</v>
      </c>
      <c r="E1373" s="70" t="s">
        <v>1</v>
      </c>
      <c r="F1373" s="70"/>
      <c r="G1373" s="70" t="s">
        <v>61</v>
      </c>
      <c r="H1373" s="70" t="s">
        <v>178</v>
      </c>
      <c r="I1373" s="70" t="s">
        <v>181</v>
      </c>
      <c r="J1373" s="71">
        <f>IF(OR(I1373=0,I1373=""),"unrated",VLOOKUP(I1373,MappingTables!$B$19:$C$31,2,FALSE))</f>
        <v>3</v>
      </c>
      <c r="K1373" s="72">
        <v>7989.9751430891856</v>
      </c>
      <c r="L1373" s="70">
        <v>13.01190134917616</v>
      </c>
      <c r="M1373" s="71">
        <f>IF(L1373&lt;1,1,L1373)</f>
        <v>13.01190134917616</v>
      </c>
      <c r="N1373" s="70" t="s">
        <v>141</v>
      </c>
      <c r="O1373" s="71">
        <f>INDEX(DurClassMapping,MATCH(M1373,MappingTables!$D$4:$D$8,-1),1)</f>
        <v>3</v>
      </c>
      <c r="P1373" s="73">
        <f>IF(M1373=$A$1,1,$M1373-INDEX(MappingTables!$E$4:$E$8,MATCH(O1373,MappingTables!$B$4:$B$8,0)))</f>
        <v>3.01190134917616</v>
      </c>
      <c r="Q1373" s="71">
        <f>IF(B1373="",0,INDEX(ModelParameters!$D$6:$K$10,MATCH($O1373,ModelParameters!$B$6:$B$10,0),MATCH($J1373,ModelParameters!$D$5:$K$5,0)))</f>
        <v>0.01</v>
      </c>
      <c r="R1373" s="71">
        <f>IF(B1373="",0,INDEX(ModelParameters!$D$13:$K$17,MATCH($O1373,ModelParameters!$B$13:$B$17,0),MATCH($J1373,ModelParameters!$D$5:$K$5,0)))</f>
        <v>0.2</v>
      </c>
      <c r="S1373" s="160">
        <f>IF(B1373="",0,MIN(IF($N1373="Other Bond TM",ModelParameters!$N$21,1)*(P1373*Q1373+R1373),1))</f>
        <v>0.2301190134917616</v>
      </c>
      <c r="T1373" s="85">
        <f>IF(B1373="",0,$S1373*$K1373)</f>
        <v>1838.6451977513804</v>
      </c>
      <c r="U1373" s="85">
        <f>IF(B1373="",0,IF(OR(H1373=MappingTables!$C$34,H1373=MappingTables!$C$35),T1373,0))</f>
        <v>0</v>
      </c>
      <c r="V1373" s="85">
        <f>IF(ISNA(IF(AND(VLOOKUP(CONCATENATE($D1373,$G1373),CSRFinput!$B:$E,4,0)=0,OR(H1373=MappingTables!$C$34,H1373=MappingTables!$C$35)),1,VLOOKUP(CONCATENATE($D1373,$G1373),CSRFinput!$B:$E,4,0))),0,IF(AND(VLOOKUP(CONCATENATE($D1373,$G1373),CSRFinput!$B:$E,4,0)=0,OR(H1373=MappingTables!$C$34,H1373=MappingTables!$C$35)),1,VLOOKUP(CONCATENATE($D1373,$G1373),CSRFinput!$B:$E,4,0)))</f>
        <v>0.054776304963434752</v>
      </c>
      <c r="W1373" s="85">
        <f>IF(B1373="",0,+$T1373*$V1373)</f>
        <v>100.7141900715844</v>
      </c>
      <c r="X1373" s="85">
        <f>IF(B1373="",0,IF(OR(H1373=MappingTables!$C$34,H1373=MappingTables!$C$35),W1373,0))</f>
        <v>0</v>
      </c>
    </row>
    <row r="1374" spans="2:24" s="0" customFormat="0" ht="15">
      <c r="B1374" s="69">
        <v>11357846</v>
      </c>
      <c r="C1374" s="70" t="s">
        <v>1638</v>
      </c>
      <c r="D1374" s="70" t="s">
        <v>1</v>
      </c>
      <c r="E1374" s="70" t="s">
        <v>1</v>
      </c>
      <c r="F1374" s="70"/>
      <c r="G1374" s="70" t="s">
        <v>61</v>
      </c>
      <c r="H1374" s="70" t="s">
        <v>178</v>
      </c>
      <c r="I1374" s="70" t="s">
        <v>181</v>
      </c>
      <c r="J1374" s="71">
        <f>IF(OR(I1374=0,I1374=""),"unrated",VLOOKUP(I1374,MappingTables!$B$19:$C$31,2,FALSE))</f>
        <v>3</v>
      </c>
      <c r="K1374" s="72">
        <v>1.1782079700603484</v>
      </c>
      <c r="L1374" s="70">
        <v>1.0367347239056108</v>
      </c>
      <c r="M1374" s="71">
        <f>IF(L1374&lt;1,1,L1374)</f>
        <v>1.0367347239056108</v>
      </c>
      <c r="N1374" s="70" t="s">
        <v>141</v>
      </c>
      <c r="O1374" s="71">
        <f>INDEX(DurClassMapping,MATCH(M1374,MappingTables!$D$4:$D$8,-1),1)</f>
        <v>1</v>
      </c>
      <c r="P1374" s="73">
        <f>IF(M1374=$A$1,1,$M1374-INDEX(MappingTables!$E$4:$E$8,MATCH(O1374,MappingTables!$B$4:$B$8,0)))</f>
        <v>1.0367347239056108</v>
      </c>
      <c r="Q1374" s="71">
        <f>IF(B1374="",0,INDEX(ModelParameters!$D$6:$K$10,MATCH($O1374,ModelParameters!$B$6:$B$10,0),MATCH($J1374,ModelParameters!$D$5:$K$5,0)))</f>
        <v>0.025</v>
      </c>
      <c r="R1374" s="71">
        <f>IF(B1374="",0,INDEX(ModelParameters!$D$13:$K$17,MATCH($O1374,ModelParameters!$B$13:$B$17,0),MATCH($J1374,ModelParameters!$D$5:$K$5,0)))</f>
        <v>0</v>
      </c>
      <c r="S1374" s="160">
        <f>IF(B1374="",0,MIN(IF($N1374="Other Bond TM",ModelParameters!$N$21,1)*(P1374*Q1374+R1374),1))</f>
        <v>0.025918368097640272</v>
      </c>
      <c r="T1374" s="85">
        <f>IF(B1374="",0,$S1374*$K1374)</f>
        <v>0.03053722786359764</v>
      </c>
      <c r="U1374" s="85">
        <f>IF(B1374="",0,IF(OR(H1374=MappingTables!$C$34,H1374=MappingTables!$C$35),T1374,0))</f>
        <v>0</v>
      </c>
      <c r="V1374" s="85">
        <f>IF(ISNA(IF(AND(VLOOKUP(CONCATENATE($D1374,$G1374),CSRFinput!$B:$E,4,0)=0,OR(H1374=MappingTables!$C$34,H1374=MappingTables!$C$35)),1,VLOOKUP(CONCATENATE($D1374,$G1374),CSRFinput!$B:$E,4,0))),0,IF(AND(VLOOKUP(CONCATENATE($D1374,$G1374),CSRFinput!$B:$E,4,0)=0,OR(H1374=MappingTables!$C$34,H1374=MappingTables!$C$35)),1,VLOOKUP(CONCATENATE($D1374,$G1374),CSRFinput!$B:$E,4,0)))</f>
        <v>0.054776304963434752</v>
      </c>
      <c r="W1374" s="85">
        <f>IF(B1374="",0,+$T1374*$V1374)</f>
        <v>0.0016727165061943216</v>
      </c>
      <c r="X1374" s="85">
        <f>IF(B1374="",0,IF(OR(H1374=MappingTables!$C$34,H1374=MappingTables!$C$35),W1374,0))</f>
        <v>0</v>
      </c>
    </row>
    <row r="1375" spans="2:24" s="0" customFormat="0" ht="15">
      <c r="B1375" s="69">
        <v>19863493</v>
      </c>
      <c r="C1375" s="70" t="s">
        <v>1639</v>
      </c>
      <c r="D1375" s="70" t="s">
        <v>1</v>
      </c>
      <c r="E1375" s="70" t="s">
        <v>1</v>
      </c>
      <c r="F1375" s="70"/>
      <c r="G1375" s="70" t="s">
        <v>61</v>
      </c>
      <c r="H1375" s="70" t="s">
        <v>178</v>
      </c>
      <c r="I1375" s="70" t="s">
        <v>188</v>
      </c>
      <c r="J1375" s="71">
        <f>IF(OR(I1375=0,I1375=""),"unrated",VLOOKUP(I1375,MappingTables!$B$19:$C$31,2,FALSE))</f>
        <v>2</v>
      </c>
      <c r="K1375" s="72">
        <v>1092.751699081061</v>
      </c>
      <c r="L1375" s="70">
        <v>0.3476257939257922</v>
      </c>
      <c r="M1375" s="71">
        <f>IF(L1375&lt;1,1,L1375)</f>
        <v>1</v>
      </c>
      <c r="N1375" s="70" t="s">
        <v>141</v>
      </c>
      <c r="O1375" s="71">
        <f>INDEX(DurClassMapping,MATCH(M1375,MappingTables!$D$4:$D$8,-1),1)</f>
        <v>1</v>
      </c>
      <c r="P1375" s="73">
        <f>IF(M1375=$A$1,1,$M1375-INDEX(MappingTables!$E$4:$E$8,MATCH(O1375,MappingTables!$B$4:$B$8,0)))</f>
        <v>1</v>
      </c>
      <c r="Q1375" s="71">
        <f>IF(B1375="",0,INDEX(ModelParameters!$D$6:$K$10,MATCH($O1375,ModelParameters!$B$6:$B$10,0),MATCH($J1375,ModelParameters!$D$5:$K$5,0)))</f>
        <v>0.013999999999999998</v>
      </c>
      <c r="R1375" s="71">
        <f>IF(B1375="",0,INDEX(ModelParameters!$D$13:$K$17,MATCH($O1375,ModelParameters!$B$13:$B$17,0),MATCH($J1375,ModelParameters!$D$5:$K$5,0)))</f>
        <v>0</v>
      </c>
      <c r="S1375" s="160">
        <f>IF(B1375="",0,MIN(IF($N1375="Other Bond TM",ModelParameters!$N$21,1)*(P1375*Q1375+R1375),1))</f>
        <v>0.013999999999999998</v>
      </c>
      <c r="T1375" s="85">
        <f>IF(B1375="",0,$S1375*$K1375)</f>
        <v>15.29852378713485</v>
      </c>
      <c r="U1375" s="85">
        <f>IF(B1375="",0,IF(OR(H1375=MappingTables!$C$34,H1375=MappingTables!$C$35),T1375,0))</f>
        <v>0</v>
      </c>
      <c r="V1375" s="85">
        <f>IF(ISNA(IF(AND(VLOOKUP(CONCATENATE($D1375,$G1375),CSRFinput!$B:$E,4,0)=0,OR(H1375=MappingTables!$C$34,H1375=MappingTables!$C$35)),1,VLOOKUP(CONCATENATE($D1375,$G1375),CSRFinput!$B:$E,4,0))),0,IF(AND(VLOOKUP(CONCATENATE($D1375,$G1375),CSRFinput!$B:$E,4,0)=0,OR(H1375=MappingTables!$C$34,H1375=MappingTables!$C$35)),1,VLOOKUP(CONCATENATE($D1375,$G1375),CSRFinput!$B:$E,4,0)))</f>
        <v>0.054776304963434752</v>
      </c>
      <c r="W1375" s="85">
        <f>IF(B1375="",0,+$T1375*$V1375)</f>
        <v>0.83799660445445936</v>
      </c>
      <c r="X1375" s="85">
        <f>IF(B1375="",0,IF(OR(H1375=MappingTables!$C$34,H1375=MappingTables!$C$35),W1375,0))</f>
        <v>0</v>
      </c>
    </row>
    <row r="1376" spans="2:24" s="0" customFormat="0" ht="15">
      <c r="B1376" s="69">
        <v>19673877</v>
      </c>
      <c r="C1376" s="70" t="s">
        <v>1069</v>
      </c>
      <c r="D1376" s="70" t="s">
        <v>1</v>
      </c>
      <c r="E1376" s="70" t="s">
        <v>1</v>
      </c>
      <c r="F1376" s="70"/>
      <c r="G1376" s="70" t="s">
        <v>61</v>
      </c>
      <c r="H1376" s="70" t="s">
        <v>178</v>
      </c>
      <c r="I1376" s="70" t="s">
        <v>181</v>
      </c>
      <c r="J1376" s="71">
        <f>IF(OR(I1376=0,I1376=""),"unrated",VLOOKUP(I1376,MappingTables!$B$19:$C$31,2,FALSE))</f>
        <v>3</v>
      </c>
      <c r="K1376" s="72">
        <v>65.935757849785728</v>
      </c>
      <c r="L1376" s="70">
        <v>4.9751735564754552</v>
      </c>
      <c r="M1376" s="71">
        <f>IF(L1376&lt;1,1,L1376)</f>
        <v>4.9751735564754552</v>
      </c>
      <c r="N1376" s="70" t="s">
        <v>141</v>
      </c>
      <c r="O1376" s="71">
        <f>INDEX(DurClassMapping,MATCH(M1376,MappingTables!$D$4:$D$8,-1),1)</f>
        <v>1</v>
      </c>
      <c r="P1376" s="73">
        <f>IF(M1376=$A$1,1,$M1376-INDEX(MappingTables!$E$4:$E$8,MATCH(O1376,MappingTables!$B$4:$B$8,0)))</f>
        <v>4.9751735564754552</v>
      </c>
      <c r="Q1376" s="71">
        <f>IF(B1376="",0,INDEX(ModelParameters!$D$6:$K$10,MATCH($O1376,ModelParameters!$B$6:$B$10,0),MATCH($J1376,ModelParameters!$D$5:$K$5,0)))</f>
        <v>0.025</v>
      </c>
      <c r="R1376" s="71">
        <f>IF(B1376="",0,INDEX(ModelParameters!$D$13:$K$17,MATCH($O1376,ModelParameters!$B$13:$B$17,0),MATCH($J1376,ModelParameters!$D$5:$K$5,0)))</f>
        <v>0</v>
      </c>
      <c r="S1376" s="160">
        <f>IF(B1376="",0,MIN(IF($N1376="Other Bond TM",ModelParameters!$N$21,1)*(P1376*Q1376+R1376),1))</f>
        <v>0.12437933891188638</v>
      </c>
      <c r="T1376" s="85">
        <f>IF(B1376="",0,$S1376*$K1376)</f>
        <v>8.2010459720105728</v>
      </c>
      <c r="U1376" s="85">
        <f>IF(B1376="",0,IF(OR(H1376=MappingTables!$C$34,H1376=MappingTables!$C$35),T1376,0))</f>
        <v>0</v>
      </c>
      <c r="V1376" s="85">
        <f>IF(ISNA(IF(AND(VLOOKUP(CONCATENATE($D1376,$G1376),CSRFinput!$B:$E,4,0)=0,OR(H1376=MappingTables!$C$34,H1376=MappingTables!$C$35)),1,VLOOKUP(CONCATENATE($D1376,$G1376),CSRFinput!$B:$E,4,0))),0,IF(AND(VLOOKUP(CONCATENATE($D1376,$G1376),CSRFinput!$B:$E,4,0)=0,OR(H1376=MappingTables!$C$34,H1376=MappingTables!$C$35)),1,VLOOKUP(CONCATENATE($D1376,$G1376),CSRFinput!$B:$E,4,0)))</f>
        <v>0.054776304963434752</v>
      </c>
      <c r="W1376" s="85">
        <f>IF(B1376="",0,+$T1376*$V1376)</f>
        <v>0.44922299518199928</v>
      </c>
      <c r="X1376" s="85">
        <f>IF(B1376="",0,IF(OR(H1376=MappingTables!$C$34,H1376=MappingTables!$C$35),W1376,0))</f>
        <v>0</v>
      </c>
    </row>
    <row r="1377" spans="2:24" s="0" customFormat="0" ht="15">
      <c r="B1377" s="69">
        <v>23437205</v>
      </c>
      <c r="C1377" s="70" t="s">
        <v>1640</v>
      </c>
      <c r="D1377" s="70" t="s">
        <v>1</v>
      </c>
      <c r="E1377" s="70" t="s">
        <v>1</v>
      </c>
      <c r="F1377" s="70"/>
      <c r="G1377" s="70" t="s">
        <v>61</v>
      </c>
      <c r="H1377" s="70" t="s">
        <v>178</v>
      </c>
      <c r="I1377" s="70" t="s">
        <v>188</v>
      </c>
      <c r="J1377" s="71">
        <f>IF(OR(I1377=0,I1377=""),"unrated",VLOOKUP(I1377,MappingTables!$B$19:$C$31,2,FALSE))</f>
        <v>2</v>
      </c>
      <c r="K1377" s="72">
        <v>1996.1107386812848</v>
      </c>
      <c r="L1377" s="70">
        <v>0.049313051773814672</v>
      </c>
      <c r="M1377" s="71">
        <f>IF(L1377&lt;1,1,L1377)</f>
        <v>1</v>
      </c>
      <c r="N1377" s="70" t="s">
        <v>141</v>
      </c>
      <c r="O1377" s="71">
        <f>INDEX(DurClassMapping,MATCH(M1377,MappingTables!$D$4:$D$8,-1),1)</f>
        <v>1</v>
      </c>
      <c r="P1377" s="73">
        <f>IF(M1377=$A$1,1,$M1377-INDEX(MappingTables!$E$4:$E$8,MATCH(O1377,MappingTables!$B$4:$B$8,0)))</f>
        <v>1</v>
      </c>
      <c r="Q1377" s="71">
        <f>IF(B1377="",0,INDEX(ModelParameters!$D$6:$K$10,MATCH($O1377,ModelParameters!$B$6:$B$10,0),MATCH($J1377,ModelParameters!$D$5:$K$5,0)))</f>
        <v>0.013999999999999998</v>
      </c>
      <c r="R1377" s="71">
        <f>IF(B1377="",0,INDEX(ModelParameters!$D$13:$K$17,MATCH($O1377,ModelParameters!$B$13:$B$17,0),MATCH($J1377,ModelParameters!$D$5:$K$5,0)))</f>
        <v>0</v>
      </c>
      <c r="S1377" s="160">
        <f>IF(B1377="",0,MIN(IF($N1377="Other Bond TM",ModelParameters!$N$21,1)*(P1377*Q1377+R1377),1))</f>
        <v>0.013999999999999998</v>
      </c>
      <c r="T1377" s="85">
        <f>IF(B1377="",0,$S1377*$K1377)</f>
        <v>27.945550341537984</v>
      </c>
      <c r="U1377" s="85">
        <f>IF(B1377="",0,IF(OR(H1377=MappingTables!$C$34,H1377=MappingTables!$C$35),T1377,0))</f>
        <v>0</v>
      </c>
      <c r="V1377" s="85">
        <f>IF(ISNA(IF(AND(VLOOKUP(CONCATENATE($D1377,$G1377),CSRFinput!$B:$E,4,0)=0,OR(H1377=MappingTables!$C$34,H1377=MappingTables!$C$35)),1,VLOOKUP(CONCATENATE($D1377,$G1377),CSRFinput!$B:$E,4,0))),0,IF(AND(VLOOKUP(CONCATENATE($D1377,$G1377),CSRFinput!$B:$E,4,0)=0,OR(H1377=MappingTables!$C$34,H1377=MappingTables!$C$35)),1,VLOOKUP(CONCATENATE($D1377,$G1377),CSRFinput!$B:$E,4,0)))</f>
        <v>0.054776304963434752</v>
      </c>
      <c r="W1377" s="85">
        <f>IF(B1377="",0,+$T1377*$V1377)</f>
        <v>1.5307539878791028</v>
      </c>
      <c r="X1377" s="85">
        <f>IF(B1377="",0,IF(OR(H1377=MappingTables!$C$34,H1377=MappingTables!$C$35),W1377,0))</f>
        <v>0</v>
      </c>
    </row>
    <row r="1378" spans="2:24" s="0" customFormat="0" ht="15">
      <c r="B1378" s="69" t="s">
        <v>1641</v>
      </c>
      <c r="C1378" s="70" t="s">
        <v>1642</v>
      </c>
      <c r="D1378" s="70" t="s">
        <v>1</v>
      </c>
      <c r="E1378" s="70" t="s">
        <v>1</v>
      </c>
      <c r="F1378" s="70"/>
      <c r="G1378" s="70" t="s">
        <v>61</v>
      </c>
      <c r="H1378" s="70" t="s">
        <v>178</v>
      </c>
      <c r="I1378" s="70" t="s">
        <v>181</v>
      </c>
      <c r="J1378" s="71">
        <f>IF(OR(I1378=0,I1378=""),"unrated",VLOOKUP(I1378,MappingTables!$B$19:$C$31,2,FALSE))</f>
        <v>3</v>
      </c>
      <c r="K1378" s="72">
        <v>7986.3816394269504</v>
      </c>
      <c r="L1378" s="70">
        <v>3.3133008548339252</v>
      </c>
      <c r="M1378" s="71">
        <f>IF(L1378&lt;1,1,L1378)</f>
        <v>3.3133008548339252</v>
      </c>
      <c r="N1378" s="70" t="s">
        <v>141</v>
      </c>
      <c r="O1378" s="71">
        <f>INDEX(DurClassMapping,MATCH(M1378,MappingTables!$D$4:$D$8,-1),1)</f>
        <v>1</v>
      </c>
      <c r="P1378" s="73">
        <f>IF(M1378=$A$1,1,$M1378-INDEX(MappingTables!$E$4:$E$8,MATCH(O1378,MappingTables!$B$4:$B$8,0)))</f>
        <v>3.3133008548339252</v>
      </c>
      <c r="Q1378" s="71">
        <f>IF(B1378="",0,INDEX(ModelParameters!$D$6:$K$10,MATCH($O1378,ModelParameters!$B$6:$B$10,0),MATCH($J1378,ModelParameters!$D$5:$K$5,0)))</f>
        <v>0.025</v>
      </c>
      <c r="R1378" s="71">
        <f>IF(B1378="",0,INDEX(ModelParameters!$D$13:$K$17,MATCH($O1378,ModelParameters!$B$13:$B$17,0),MATCH($J1378,ModelParameters!$D$5:$K$5,0)))</f>
        <v>0</v>
      </c>
      <c r="S1378" s="160">
        <f>IF(B1378="",0,MIN(IF($N1378="Other Bond TM",ModelParameters!$N$21,1)*(P1378*Q1378+R1378),1))</f>
        <v>0.082832521370848144</v>
      </c>
      <c r="T1378" s="85">
        <f>IF(B1378="",0,$S1378*$K1378)</f>
        <v>661.53212782358192</v>
      </c>
      <c r="U1378" s="85">
        <f>IF(B1378="",0,IF(OR(H1378=MappingTables!$C$34,H1378=MappingTables!$C$35),T1378,0))</f>
        <v>0</v>
      </c>
      <c r="V1378" s="85">
        <f>IF(ISNA(IF(AND(VLOOKUP(CONCATENATE($D1378,$G1378),CSRFinput!$B:$E,4,0)=0,OR(H1378=MappingTables!$C$34,H1378=MappingTables!$C$35)),1,VLOOKUP(CONCATENATE($D1378,$G1378),CSRFinput!$B:$E,4,0))),0,IF(AND(VLOOKUP(CONCATENATE($D1378,$G1378),CSRFinput!$B:$E,4,0)=0,OR(H1378=MappingTables!$C$34,H1378=MappingTables!$C$35)),1,VLOOKUP(CONCATENATE($D1378,$G1378),CSRFinput!$B:$E,4,0)))</f>
        <v>0.054776304963434752</v>
      </c>
      <c r="W1378" s="85">
        <f>IF(B1378="",0,+$T1378*$V1378)</f>
        <v>36.236285576774424</v>
      </c>
      <c r="X1378" s="85">
        <f>IF(B1378="",0,IF(OR(H1378=MappingTables!$C$34,H1378=MappingTables!$C$35),W1378,0))</f>
        <v>0</v>
      </c>
    </row>
    <row r="1379" spans="2:24" s="0" customFormat="0" ht="15">
      <c r="B1379" s="69">
        <v>20466086</v>
      </c>
      <c r="C1379" s="70" t="s">
        <v>1101</v>
      </c>
      <c r="D1379" s="70" t="s">
        <v>1</v>
      </c>
      <c r="E1379" s="70" t="s">
        <v>1</v>
      </c>
      <c r="F1379" s="70"/>
      <c r="G1379" s="70" t="s">
        <v>61</v>
      </c>
      <c r="H1379" s="70" t="s">
        <v>178</v>
      </c>
      <c r="I1379" s="70" t="s">
        <v>220</v>
      </c>
      <c r="J1379" s="71">
        <f>IF(OR(I1379=0,I1379=""),"unrated",VLOOKUP(I1379,MappingTables!$B$19:$C$31,2,FALSE))</f>
        <v>1</v>
      </c>
      <c r="K1379" s="72">
        <v>103.1374895078092</v>
      </c>
      <c r="L1379" s="70">
        <v>1.555796503268043</v>
      </c>
      <c r="M1379" s="71">
        <f>IF(L1379&lt;1,1,L1379)</f>
        <v>1.555796503268043</v>
      </c>
      <c r="N1379" s="70" t="s">
        <v>141</v>
      </c>
      <c r="O1379" s="71">
        <f>INDEX(DurClassMapping,MATCH(M1379,MappingTables!$D$4:$D$8,-1),1)</f>
        <v>1</v>
      </c>
      <c r="P1379" s="73">
        <f>IF(M1379=$A$1,1,$M1379-INDEX(MappingTables!$E$4:$E$8,MATCH(O1379,MappingTables!$B$4:$B$8,0)))</f>
        <v>1.555796503268043</v>
      </c>
      <c r="Q1379" s="71">
        <f>IF(B1379="",0,INDEX(ModelParameters!$D$6:$K$10,MATCH($O1379,ModelParameters!$B$6:$B$10,0),MATCH($J1379,ModelParameters!$D$5:$K$5,0)))</f>
        <v>0.011000000000000002</v>
      </c>
      <c r="R1379" s="71">
        <f>IF(B1379="",0,INDEX(ModelParameters!$D$13:$K$17,MATCH($O1379,ModelParameters!$B$13:$B$17,0),MATCH($J1379,ModelParameters!$D$5:$K$5,0)))</f>
        <v>0</v>
      </c>
      <c r="S1379" s="160">
        <f>IF(B1379="",0,MIN(IF($N1379="Other Bond TM",ModelParameters!$N$21,1)*(P1379*Q1379+R1379),1))</f>
        <v>0.017113761535948474</v>
      </c>
      <c r="T1379" s="85">
        <f>IF(B1379="",0,$S1379*$K1379)</f>
        <v>1.7650704008530342</v>
      </c>
      <c r="U1379" s="85">
        <f>IF(B1379="",0,IF(OR(H1379=MappingTables!$C$34,H1379=MappingTables!$C$35),T1379,0))</f>
        <v>0</v>
      </c>
      <c r="V1379" s="85">
        <f>IF(ISNA(IF(AND(VLOOKUP(CONCATENATE($D1379,$G1379),CSRFinput!$B:$E,4,0)=0,OR(H1379=MappingTables!$C$34,H1379=MappingTables!$C$35)),1,VLOOKUP(CONCATENATE($D1379,$G1379),CSRFinput!$B:$E,4,0))),0,IF(AND(VLOOKUP(CONCATENATE($D1379,$G1379),CSRFinput!$B:$E,4,0)=0,OR(H1379=MappingTables!$C$34,H1379=MappingTables!$C$35)),1,VLOOKUP(CONCATENATE($D1379,$G1379),CSRFinput!$B:$E,4,0)))</f>
        <v>0.054776304963434752</v>
      </c>
      <c r="W1379" s="85">
        <f>IF(B1379="",0,+$T1379*$V1379)</f>
        <v>0.096684034559057824</v>
      </c>
      <c r="X1379" s="85">
        <f>IF(B1379="",0,IF(OR(H1379=MappingTables!$C$34,H1379=MappingTables!$C$35),W1379,0))</f>
        <v>0</v>
      </c>
    </row>
    <row r="1380" spans="2:24" s="0" customFormat="0" ht="15">
      <c r="B1380" s="69">
        <v>13220916</v>
      </c>
      <c r="C1380" s="70" t="s">
        <v>1643</v>
      </c>
      <c r="D1380" s="70" t="s">
        <v>1</v>
      </c>
      <c r="E1380" s="70" t="s">
        <v>1</v>
      </c>
      <c r="F1380" s="70"/>
      <c r="G1380" s="70" t="s">
        <v>61</v>
      </c>
      <c r="H1380" s="70" t="s">
        <v>178</v>
      </c>
      <c r="I1380" s="70" t="s">
        <v>179</v>
      </c>
      <c r="J1380" s="71">
        <f>IF(OR(I1380=0,I1380=""),"unrated",VLOOKUP(I1380,MappingTables!$B$19:$C$31,2,FALSE))</f>
        <v>4</v>
      </c>
      <c r="K1380" s="72">
        <v>284.66053684681328</v>
      </c>
      <c r="L1380" s="70">
        <v>5.4484066381256024</v>
      </c>
      <c r="M1380" s="71">
        <f>IF(L1380&lt;1,1,L1380)</f>
        <v>5.4484066381256024</v>
      </c>
      <c r="N1380" s="70" t="s">
        <v>141</v>
      </c>
      <c r="O1380" s="71">
        <f>INDEX(DurClassMapping,MATCH(M1380,MappingTables!$D$4:$D$8,-1),1)</f>
        <v>2</v>
      </c>
      <c r="P1380" s="73">
        <f>IF(M1380=$A$1,1,$M1380-INDEX(MappingTables!$E$4:$E$8,MATCH(O1380,MappingTables!$B$4:$B$8,0)))</f>
        <v>0.44840663812560248</v>
      </c>
      <c r="Q1380" s="71">
        <f>IF(B1380="",0,INDEX(ModelParameters!$D$6:$K$10,MATCH($O1380,ModelParameters!$B$6:$B$10,0),MATCH($J1380,ModelParameters!$D$5:$K$5,0)))</f>
        <v>0.025</v>
      </c>
      <c r="R1380" s="71">
        <f>IF(B1380="",0,INDEX(ModelParameters!$D$13:$K$17,MATCH($O1380,ModelParameters!$B$13:$B$17,0),MATCH($J1380,ModelParameters!$D$5:$K$5,0)))</f>
        <v>0.225</v>
      </c>
      <c r="S1380" s="160">
        <f>IF(B1380="",0,MIN(IF($N1380="Other Bond TM",ModelParameters!$N$21,1)*(P1380*Q1380+R1380),1))</f>
        <v>0.23621016595314008</v>
      </c>
      <c r="T1380" s="85">
        <f>IF(B1380="",0,$S1380*$K1380)</f>
        <v>67.239712648895704</v>
      </c>
      <c r="U1380" s="85">
        <f>IF(B1380="",0,IF(OR(H1380=MappingTables!$C$34,H1380=MappingTables!$C$35),T1380,0))</f>
        <v>0</v>
      </c>
      <c r="V1380" s="85">
        <f>IF(ISNA(IF(AND(VLOOKUP(CONCATENATE($D1380,$G1380),CSRFinput!$B:$E,4,0)=0,OR(H1380=MappingTables!$C$34,H1380=MappingTables!$C$35)),1,VLOOKUP(CONCATENATE($D1380,$G1380),CSRFinput!$B:$E,4,0))),0,IF(AND(VLOOKUP(CONCATENATE($D1380,$G1380),CSRFinput!$B:$E,4,0)=0,OR(H1380=MappingTables!$C$34,H1380=MappingTables!$C$35)),1,VLOOKUP(CONCATENATE($D1380,$G1380),CSRFinput!$B:$E,4,0)))</f>
        <v>0.054776304963434752</v>
      </c>
      <c r="W1380" s="85">
        <f>IF(B1380="",0,+$T1380*$V1380)</f>
        <v>3.683143005709632</v>
      </c>
      <c r="X1380" s="85">
        <f>IF(B1380="",0,IF(OR(H1380=MappingTables!$C$34,H1380=MappingTables!$C$35),W1380,0))</f>
        <v>0</v>
      </c>
    </row>
    <row r="1381" spans="2:24" s="0" customFormat="0" ht="15">
      <c r="B1381" s="69" t="s">
        <v>521</v>
      </c>
      <c r="C1381" s="70" t="s">
        <v>522</v>
      </c>
      <c r="D1381" s="70" t="s">
        <v>1</v>
      </c>
      <c r="E1381" s="70" t="s">
        <v>1</v>
      </c>
      <c r="F1381" s="70"/>
      <c r="G1381" s="70" t="s">
        <v>61</v>
      </c>
      <c r="H1381" s="70" t="s">
        <v>178</v>
      </c>
      <c r="I1381" s="70" t="s">
        <v>181</v>
      </c>
      <c r="J1381" s="71">
        <f>IF(OR(I1381=0,I1381=""),"unrated",VLOOKUP(I1381,MappingTables!$B$19:$C$31,2,FALSE))</f>
        <v>3</v>
      </c>
      <c r="K1381" s="72">
        <v>0.6139715184055328</v>
      </c>
      <c r="L1381" s="70">
        <v>1.0392352091271808</v>
      </c>
      <c r="M1381" s="71">
        <f>IF(L1381&lt;1,1,L1381)</f>
        <v>1.0392352091271808</v>
      </c>
      <c r="N1381" s="70" t="s">
        <v>141</v>
      </c>
      <c r="O1381" s="71">
        <f>INDEX(DurClassMapping,MATCH(M1381,MappingTables!$D$4:$D$8,-1),1)</f>
        <v>1</v>
      </c>
      <c r="P1381" s="73">
        <f>IF(M1381=$A$1,1,$M1381-INDEX(MappingTables!$E$4:$E$8,MATCH(O1381,MappingTables!$B$4:$B$8,0)))</f>
        <v>1.0392352091271808</v>
      </c>
      <c r="Q1381" s="71">
        <f>IF(B1381="",0,INDEX(ModelParameters!$D$6:$K$10,MATCH($O1381,ModelParameters!$B$6:$B$10,0),MATCH($J1381,ModelParameters!$D$5:$K$5,0)))</f>
        <v>0.025</v>
      </c>
      <c r="R1381" s="71">
        <f>IF(B1381="",0,INDEX(ModelParameters!$D$13:$K$17,MATCH($O1381,ModelParameters!$B$13:$B$17,0),MATCH($J1381,ModelParameters!$D$5:$K$5,0)))</f>
        <v>0</v>
      </c>
      <c r="S1381" s="160">
        <f>IF(B1381="",0,MIN(IF($N1381="Other Bond TM",ModelParameters!$N$21,1)*(P1381*Q1381+R1381),1))</f>
        <v>0.02598088022817952</v>
      </c>
      <c r="T1381" s="85">
        <f>IF(B1381="",0,$S1381*$K1381)</f>
        <v>0.015951520483207666</v>
      </c>
      <c r="U1381" s="85">
        <f>IF(B1381="",0,IF(OR(H1381=MappingTables!$C$34,H1381=MappingTables!$C$35),T1381,0))</f>
        <v>0</v>
      </c>
      <c r="V1381" s="85">
        <f>IF(ISNA(IF(AND(VLOOKUP(CONCATENATE($D1381,$G1381),CSRFinput!$B:$E,4,0)=0,OR(H1381=MappingTables!$C$34,H1381=MappingTables!$C$35)),1,VLOOKUP(CONCATENATE($D1381,$G1381),CSRFinput!$B:$E,4,0))),0,IF(AND(VLOOKUP(CONCATENATE($D1381,$G1381),CSRFinput!$B:$E,4,0)=0,OR(H1381=MappingTables!$C$34,H1381=MappingTables!$C$35)),1,VLOOKUP(CONCATENATE($D1381,$G1381),CSRFinput!$B:$E,4,0)))</f>
        <v>0.054776304963434752</v>
      </c>
      <c r="W1381" s="85">
        <f>IF(B1381="",0,+$T1381*$V1381)</f>
        <v>0.0008737653506186592</v>
      </c>
      <c r="X1381" s="85">
        <f>IF(B1381="",0,IF(OR(H1381=MappingTables!$C$34,H1381=MappingTables!$C$35),W1381,0))</f>
        <v>0</v>
      </c>
    </row>
    <row r="1382" spans="2:24" s="0" customFormat="0" ht="15">
      <c r="B1382" s="69">
        <v>19485210</v>
      </c>
      <c r="C1382" s="70" t="s">
        <v>612</v>
      </c>
      <c r="D1382" s="70" t="s">
        <v>1</v>
      </c>
      <c r="E1382" s="70" t="s">
        <v>1</v>
      </c>
      <c r="F1382" s="70"/>
      <c r="G1382" s="70" t="s">
        <v>61</v>
      </c>
      <c r="H1382" s="70" t="s">
        <v>178</v>
      </c>
      <c r="I1382" s="70" t="s">
        <v>181</v>
      </c>
      <c r="J1382" s="71">
        <f>IF(OR(I1382=0,I1382=""),"unrated",VLOOKUP(I1382,MappingTables!$B$19:$C$31,2,FALSE))</f>
        <v>3</v>
      </c>
      <c r="K1382" s="72">
        <v>106.19622678284704</v>
      </c>
      <c r="L1382" s="70">
        <v>16.3816656908905</v>
      </c>
      <c r="M1382" s="71">
        <f>IF(L1382&lt;1,1,L1382)</f>
        <v>16.3816656908905</v>
      </c>
      <c r="N1382" s="70" t="s">
        <v>141</v>
      </c>
      <c r="O1382" s="71">
        <f>INDEX(DurClassMapping,MATCH(M1382,MappingTables!$D$4:$D$8,-1),1)</f>
        <v>4</v>
      </c>
      <c r="P1382" s="73">
        <f>IF(M1382=$A$1,1,$M1382-INDEX(MappingTables!$E$4:$E$8,MATCH(O1382,MappingTables!$B$4:$B$8,0)))</f>
        <v>1.3816656908905002</v>
      </c>
      <c r="Q1382" s="71">
        <f>IF(B1382="",0,INDEX(ModelParameters!$D$6:$K$10,MATCH($O1382,ModelParameters!$B$6:$B$10,0),MATCH($J1382,ModelParameters!$D$5:$K$5,0)))</f>
        <v>0.01</v>
      </c>
      <c r="R1382" s="71">
        <f>IF(B1382="",0,INDEX(ModelParameters!$D$13:$K$17,MATCH($O1382,ModelParameters!$B$13:$B$17,0),MATCH($J1382,ModelParameters!$D$5:$K$5,0)))</f>
        <v>0.25</v>
      </c>
      <c r="S1382" s="160">
        <f>IF(B1382="",0,MIN(IF($N1382="Other Bond TM",ModelParameters!$N$21,1)*(P1382*Q1382+R1382),1))</f>
        <v>0.263816656908905</v>
      </c>
      <c r="T1382" s="85">
        <f>IF(B1382="",0,$S1382*$K1382)</f>
        <v>28.016333526190628</v>
      </c>
      <c r="U1382" s="85">
        <f>IF(B1382="",0,IF(OR(H1382=MappingTables!$C$34,H1382=MappingTables!$C$35),T1382,0))</f>
        <v>0</v>
      </c>
      <c r="V1382" s="85">
        <f>IF(ISNA(IF(AND(VLOOKUP(CONCATENATE($D1382,$G1382),CSRFinput!$B:$E,4,0)=0,OR(H1382=MappingTables!$C$34,H1382=MappingTables!$C$35)),1,VLOOKUP(CONCATENATE($D1382,$G1382),CSRFinput!$B:$E,4,0))),0,IF(AND(VLOOKUP(CONCATENATE($D1382,$G1382),CSRFinput!$B:$E,4,0)=0,OR(H1382=MappingTables!$C$34,H1382=MappingTables!$C$35)),1,VLOOKUP(CONCATENATE($D1382,$G1382),CSRFinput!$B:$E,4,0)))</f>
        <v>0.054776304963434752</v>
      </c>
      <c r="W1382" s="85">
        <f>IF(B1382="",0,+$T1382*$V1382)</f>
        <v>1.5346312291879192</v>
      </c>
      <c r="X1382" s="85">
        <f>IF(B1382="",0,IF(OR(H1382=MappingTables!$C$34,H1382=MappingTables!$C$35),W1382,0))</f>
        <v>0</v>
      </c>
    </row>
    <row r="1383" spans="2:24" s="0" customFormat="0" ht="15">
      <c r="B1383" s="69">
        <v>19834668</v>
      </c>
      <c r="C1383" s="70" t="s">
        <v>1480</v>
      </c>
      <c r="D1383" s="70" t="s">
        <v>1</v>
      </c>
      <c r="E1383" s="70" t="s">
        <v>1</v>
      </c>
      <c r="F1383" s="70"/>
      <c r="G1383" s="70" t="s">
        <v>61</v>
      </c>
      <c r="H1383" s="70" t="s">
        <v>178</v>
      </c>
      <c r="I1383" s="70" t="s">
        <v>181</v>
      </c>
      <c r="J1383" s="71">
        <f>IF(OR(I1383=0,I1383=""),"unrated",VLOOKUP(I1383,MappingTables!$B$19:$C$31,2,FALSE))</f>
        <v>3</v>
      </c>
      <c r="K1383" s="72">
        <v>1533.5377608892872</v>
      </c>
      <c r="L1383" s="70">
        <v>7.3824193682256944</v>
      </c>
      <c r="M1383" s="71">
        <f>IF(L1383&lt;1,1,L1383)</f>
        <v>7.3824193682256944</v>
      </c>
      <c r="N1383" s="70" t="s">
        <v>141</v>
      </c>
      <c r="O1383" s="71">
        <f>INDEX(DurClassMapping,MATCH(M1383,MappingTables!$D$4:$D$8,-1),1)</f>
        <v>2</v>
      </c>
      <c r="P1383" s="73">
        <f>IF(M1383=$A$1,1,$M1383-INDEX(MappingTables!$E$4:$E$8,MATCH(O1383,MappingTables!$B$4:$B$8,0)))</f>
        <v>2.3824193682256948</v>
      </c>
      <c r="Q1383" s="71">
        <f>IF(B1383="",0,INDEX(ModelParameters!$D$6:$K$10,MATCH($O1383,ModelParameters!$B$6:$B$10,0),MATCH($J1383,ModelParameters!$D$5:$K$5,0)))</f>
        <v>0.015</v>
      </c>
      <c r="R1383" s="71">
        <f>IF(B1383="",0,INDEX(ModelParameters!$D$13:$K$17,MATCH($O1383,ModelParameters!$B$13:$B$17,0),MATCH($J1383,ModelParameters!$D$5:$K$5,0)))</f>
        <v>0.125</v>
      </c>
      <c r="S1383" s="160">
        <f>IF(B1383="",0,MIN(IF($N1383="Other Bond TM",ModelParameters!$N$21,1)*(P1383*Q1383+R1383),1))</f>
        <v>0.16073629052338542</v>
      </c>
      <c r="T1383" s="85">
        <f>IF(B1383="",0,$S1383*$K1383)</f>
        <v>246.49517106288244</v>
      </c>
      <c r="U1383" s="85">
        <f>IF(B1383="",0,IF(OR(H1383=MappingTables!$C$34,H1383=MappingTables!$C$35),T1383,0))</f>
        <v>0</v>
      </c>
      <c r="V1383" s="85">
        <f>IF(ISNA(IF(AND(VLOOKUP(CONCATENATE($D1383,$G1383),CSRFinput!$B:$E,4,0)=0,OR(H1383=MappingTables!$C$34,H1383=MappingTables!$C$35)),1,VLOOKUP(CONCATENATE($D1383,$G1383),CSRFinput!$B:$E,4,0))),0,IF(AND(VLOOKUP(CONCATENATE($D1383,$G1383),CSRFinput!$B:$E,4,0)=0,OR(H1383=MappingTables!$C$34,H1383=MappingTables!$C$35)),1,VLOOKUP(CONCATENATE($D1383,$G1383),CSRFinput!$B:$E,4,0)))</f>
        <v>0.054776304963434752</v>
      </c>
      <c r="W1383" s="85">
        <f>IF(B1383="",0,+$T1383*$V1383)</f>
        <v>13.502094662154466</v>
      </c>
      <c r="X1383" s="85">
        <f>IF(B1383="",0,IF(OR(H1383=MappingTables!$C$34,H1383=MappingTables!$C$35),W1383,0))</f>
        <v>0</v>
      </c>
    </row>
    <row r="1384" spans="2:24" s="0" customFormat="0" ht="15">
      <c r="B1384" s="69">
        <v>21467920</v>
      </c>
      <c r="C1384" s="70" t="s">
        <v>1644</v>
      </c>
      <c r="D1384" s="70" t="s">
        <v>1</v>
      </c>
      <c r="E1384" s="70" t="s">
        <v>1</v>
      </c>
      <c r="F1384" s="70"/>
      <c r="G1384" s="70" t="s">
        <v>61</v>
      </c>
      <c r="H1384" s="70" t="s">
        <v>178</v>
      </c>
      <c r="I1384" s="70" t="s">
        <v>179</v>
      </c>
      <c r="J1384" s="71">
        <f>IF(OR(I1384=0,I1384=""),"unrated",VLOOKUP(I1384,MappingTables!$B$19:$C$31,2,FALSE))</f>
        <v>4</v>
      </c>
      <c r="K1384" s="72">
        <v>3236.7938261806376</v>
      </c>
      <c r="L1384" s="70">
        <v>4.7265222701119296</v>
      </c>
      <c r="M1384" s="71">
        <f>IF(L1384&lt;1,1,L1384)</f>
        <v>4.7265222701119296</v>
      </c>
      <c r="N1384" s="70" t="s">
        <v>141</v>
      </c>
      <c r="O1384" s="71">
        <f>INDEX(DurClassMapping,MATCH(M1384,MappingTables!$D$4:$D$8,-1),1)</f>
        <v>1</v>
      </c>
      <c r="P1384" s="73">
        <f>IF(M1384=$A$1,1,$M1384-INDEX(MappingTables!$E$4:$E$8,MATCH(O1384,MappingTables!$B$4:$B$8,0)))</f>
        <v>4.7265222701119296</v>
      </c>
      <c r="Q1384" s="71">
        <f>IF(B1384="",0,INDEX(ModelParameters!$D$6:$K$10,MATCH($O1384,ModelParameters!$B$6:$B$10,0),MATCH($J1384,ModelParameters!$D$5:$K$5,0)))</f>
        <v>0.045</v>
      </c>
      <c r="R1384" s="71">
        <f>IF(B1384="",0,INDEX(ModelParameters!$D$13:$K$17,MATCH($O1384,ModelParameters!$B$13:$B$17,0),MATCH($J1384,ModelParameters!$D$5:$K$5,0)))</f>
        <v>0</v>
      </c>
      <c r="S1384" s="160">
        <f>IF(B1384="",0,MIN(IF($N1384="Other Bond TM",ModelParameters!$N$21,1)*(P1384*Q1384+R1384),1))</f>
        <v>0.21269350215503684</v>
      </c>
      <c r="T1384" s="85">
        <f>IF(B1384="",0,$S1384*$K1384)</f>
        <v>688.44501464416136</v>
      </c>
      <c r="U1384" s="85">
        <f>IF(B1384="",0,IF(OR(H1384=MappingTables!$C$34,H1384=MappingTables!$C$35),T1384,0))</f>
        <v>0</v>
      </c>
      <c r="V1384" s="85">
        <f>IF(ISNA(IF(AND(VLOOKUP(CONCATENATE($D1384,$G1384),CSRFinput!$B:$E,4,0)=0,OR(H1384=MappingTables!$C$34,H1384=MappingTables!$C$35)),1,VLOOKUP(CONCATENATE($D1384,$G1384),CSRFinput!$B:$E,4,0))),0,IF(AND(VLOOKUP(CONCATENATE($D1384,$G1384),CSRFinput!$B:$E,4,0)=0,OR(H1384=MappingTables!$C$34,H1384=MappingTables!$C$35)),1,VLOOKUP(CONCATENATE($D1384,$G1384),CSRFinput!$B:$E,4,0)))</f>
        <v>0.054776304963434752</v>
      </c>
      <c r="W1384" s="85">
        <f>IF(B1384="",0,+$T1384*$V1384)</f>
        <v>37.71047407270488</v>
      </c>
      <c r="X1384" s="85">
        <f>IF(B1384="",0,IF(OR(H1384=MappingTables!$C$34,H1384=MappingTables!$C$35),W1384,0))</f>
        <v>0</v>
      </c>
    </row>
    <row r="1385" spans="2:24" s="0" customFormat="0" ht="15">
      <c r="B1385" s="69" t="s">
        <v>1645</v>
      </c>
      <c r="C1385" s="70" t="s">
        <v>1646</v>
      </c>
      <c r="D1385" s="70" t="s">
        <v>1</v>
      </c>
      <c r="E1385" s="70" t="s">
        <v>1</v>
      </c>
      <c r="F1385" s="70"/>
      <c r="G1385" s="70" t="s">
        <v>61</v>
      </c>
      <c r="H1385" s="70" t="s">
        <v>178</v>
      </c>
      <c r="I1385" s="70" t="s">
        <v>188</v>
      </c>
      <c r="J1385" s="71">
        <f>IF(OR(I1385=0,I1385=""),"unrated",VLOOKUP(I1385,MappingTables!$B$19:$C$31,2,FALSE))</f>
        <v>2</v>
      </c>
      <c r="K1385" s="72">
        <v>197.14637461892424</v>
      </c>
      <c r="L1385" s="70">
        <v>6.7115139108105416</v>
      </c>
      <c r="M1385" s="71">
        <f>IF(L1385&lt;1,1,L1385)</f>
        <v>6.7115139108105416</v>
      </c>
      <c r="N1385" s="70" t="s">
        <v>141</v>
      </c>
      <c r="O1385" s="71">
        <f>INDEX(DurClassMapping,MATCH(M1385,MappingTables!$D$4:$D$8,-1),1)</f>
        <v>2</v>
      </c>
      <c r="P1385" s="73">
        <f>IF(M1385=$A$1,1,$M1385-INDEX(MappingTables!$E$4:$E$8,MATCH(O1385,MappingTables!$B$4:$B$8,0)))</f>
        <v>1.7115139108105418</v>
      </c>
      <c r="Q1385" s="71">
        <f>IF(B1385="",0,INDEX(ModelParameters!$D$6:$K$10,MATCH($O1385,ModelParameters!$B$6:$B$10,0),MATCH($J1385,ModelParameters!$D$5:$K$5,0)))</f>
        <v>0.0069999999999999992</v>
      </c>
      <c r="R1385" s="71">
        <f>IF(B1385="",0,INDEX(ModelParameters!$D$13:$K$17,MATCH($O1385,ModelParameters!$B$13:$B$17,0),MATCH($J1385,ModelParameters!$D$5:$K$5,0)))</f>
        <v>0.070000000000000008</v>
      </c>
      <c r="S1385" s="160">
        <f>IF(B1385="",0,MIN(IF($N1385="Other Bond TM",ModelParameters!$N$21,1)*(P1385*Q1385+R1385),1))</f>
        <v>0.081980597375673792</v>
      </c>
      <c r="T1385" s="85">
        <f>IF(B1385="",0,$S1385*$K1385)</f>
        <v>16.162177561707782</v>
      </c>
      <c r="U1385" s="85">
        <f>IF(B1385="",0,IF(OR(H1385=MappingTables!$C$34,H1385=MappingTables!$C$35),T1385,0))</f>
        <v>0</v>
      </c>
      <c r="V1385" s="85">
        <f>IF(ISNA(IF(AND(VLOOKUP(CONCATENATE($D1385,$G1385),CSRFinput!$B:$E,4,0)=0,OR(H1385=MappingTables!$C$34,H1385=MappingTables!$C$35)),1,VLOOKUP(CONCATENATE($D1385,$G1385),CSRFinput!$B:$E,4,0))),0,IF(AND(VLOOKUP(CONCATENATE($D1385,$G1385),CSRFinput!$B:$E,4,0)=0,OR(H1385=MappingTables!$C$34,H1385=MappingTables!$C$35)),1,VLOOKUP(CONCATENATE($D1385,$G1385),CSRFinput!$B:$E,4,0)))</f>
        <v>0.054776304963434752</v>
      </c>
      <c r="W1385" s="85">
        <f>IF(B1385="",0,+$T1385*$V1385)</f>
        <v>0.88530436699328784</v>
      </c>
      <c r="X1385" s="85">
        <f>IF(B1385="",0,IF(OR(H1385=MappingTables!$C$34,H1385=MappingTables!$C$35),W1385,0))</f>
        <v>0</v>
      </c>
    </row>
    <row r="1386" spans="2:24" s="0" customFormat="0" ht="15">
      <c r="B1386" s="69">
        <v>19485230</v>
      </c>
      <c r="C1386" s="70" t="s">
        <v>1647</v>
      </c>
      <c r="D1386" s="70" t="s">
        <v>1</v>
      </c>
      <c r="E1386" s="70" t="s">
        <v>1</v>
      </c>
      <c r="F1386" s="70"/>
      <c r="G1386" s="70" t="s">
        <v>61</v>
      </c>
      <c r="H1386" s="70" t="s">
        <v>178</v>
      </c>
      <c r="I1386" s="70" t="s">
        <v>181</v>
      </c>
      <c r="J1386" s="71">
        <f>IF(OR(I1386=0,I1386=""),"unrated",VLOOKUP(I1386,MappingTables!$B$19:$C$31,2,FALSE))</f>
        <v>3</v>
      </c>
      <c r="K1386" s="72">
        <v>877.57110732797648</v>
      </c>
      <c r="L1386" s="70">
        <v>3.3533107568027532</v>
      </c>
      <c r="M1386" s="71">
        <f>IF(L1386&lt;1,1,L1386)</f>
        <v>3.3533107568027532</v>
      </c>
      <c r="N1386" s="70" t="s">
        <v>141</v>
      </c>
      <c r="O1386" s="71">
        <f>INDEX(DurClassMapping,MATCH(M1386,MappingTables!$D$4:$D$8,-1),1)</f>
        <v>1</v>
      </c>
      <c r="P1386" s="73">
        <f>IF(M1386=$A$1,1,$M1386-INDEX(MappingTables!$E$4:$E$8,MATCH(O1386,MappingTables!$B$4:$B$8,0)))</f>
        <v>3.3533107568027532</v>
      </c>
      <c r="Q1386" s="71">
        <f>IF(B1386="",0,INDEX(ModelParameters!$D$6:$K$10,MATCH($O1386,ModelParameters!$B$6:$B$10,0),MATCH($J1386,ModelParameters!$D$5:$K$5,0)))</f>
        <v>0.025</v>
      </c>
      <c r="R1386" s="71">
        <f>IF(B1386="",0,INDEX(ModelParameters!$D$13:$K$17,MATCH($O1386,ModelParameters!$B$13:$B$17,0),MATCH($J1386,ModelParameters!$D$5:$K$5,0)))</f>
        <v>0</v>
      </c>
      <c r="S1386" s="160">
        <f>IF(B1386="",0,MIN(IF($N1386="Other Bond TM",ModelParameters!$N$21,1)*(P1386*Q1386+R1386),1))</f>
        <v>0.083832768920068848</v>
      </c>
      <c r="T1386" s="85">
        <f>IF(B1386="",0,$S1386*$K1386)</f>
        <v>73.569215851555184</v>
      </c>
      <c r="U1386" s="85">
        <f>IF(B1386="",0,IF(OR(H1386=MappingTables!$C$34,H1386=MappingTables!$C$35),T1386,0))</f>
        <v>0</v>
      </c>
      <c r="V1386" s="85">
        <f>IF(ISNA(IF(AND(VLOOKUP(CONCATENATE($D1386,$G1386),CSRFinput!$B:$E,4,0)=0,OR(H1386=MappingTables!$C$34,H1386=MappingTables!$C$35)),1,VLOOKUP(CONCATENATE($D1386,$G1386),CSRFinput!$B:$E,4,0))),0,IF(AND(VLOOKUP(CONCATENATE($D1386,$G1386),CSRFinput!$B:$E,4,0)=0,OR(H1386=MappingTables!$C$34,H1386=MappingTables!$C$35)),1,VLOOKUP(CONCATENATE($D1386,$G1386),CSRFinput!$B:$E,4,0)))</f>
        <v>0.054776304963434752</v>
      </c>
      <c r="W1386" s="85">
        <f>IF(B1386="",0,+$T1386*$V1386)</f>
        <v>4.0298498034055456</v>
      </c>
      <c r="X1386" s="85">
        <f>IF(B1386="",0,IF(OR(H1386=MappingTables!$C$34,H1386=MappingTables!$C$35),W1386,0))</f>
        <v>0</v>
      </c>
    </row>
    <row r="1387" spans="2:24" s="0" customFormat="0" ht="15">
      <c r="B1387" s="69" t="s">
        <v>1648</v>
      </c>
      <c r="C1387" s="70" t="s">
        <v>1649</v>
      </c>
      <c r="D1387" s="70" t="s">
        <v>1</v>
      </c>
      <c r="E1387" s="70" t="s">
        <v>1</v>
      </c>
      <c r="F1387" s="70"/>
      <c r="G1387" s="70" t="s">
        <v>61</v>
      </c>
      <c r="H1387" s="70" t="s">
        <v>178</v>
      </c>
      <c r="I1387" s="70" t="s">
        <v>181</v>
      </c>
      <c r="J1387" s="71">
        <f>IF(OR(I1387=0,I1387=""),"unrated",VLOOKUP(I1387,MappingTables!$B$19:$C$31,2,FALSE))</f>
        <v>3</v>
      </c>
      <c r="K1387" s="72">
        <v>3.8766921837934496</v>
      </c>
      <c r="L1387" s="70">
        <v>2.0374525867097676</v>
      </c>
      <c r="M1387" s="71">
        <f>IF(L1387&lt;1,1,L1387)</f>
        <v>2.0374525867097676</v>
      </c>
      <c r="N1387" s="70" t="s">
        <v>141</v>
      </c>
      <c r="O1387" s="71">
        <f>INDEX(DurClassMapping,MATCH(M1387,MappingTables!$D$4:$D$8,-1),1)</f>
        <v>1</v>
      </c>
      <c r="P1387" s="73">
        <f>IF(M1387=$A$1,1,$M1387-INDEX(MappingTables!$E$4:$E$8,MATCH(O1387,MappingTables!$B$4:$B$8,0)))</f>
        <v>2.0374525867097676</v>
      </c>
      <c r="Q1387" s="71">
        <f>IF(B1387="",0,INDEX(ModelParameters!$D$6:$K$10,MATCH($O1387,ModelParameters!$B$6:$B$10,0),MATCH($J1387,ModelParameters!$D$5:$K$5,0)))</f>
        <v>0.025</v>
      </c>
      <c r="R1387" s="71">
        <f>IF(B1387="",0,INDEX(ModelParameters!$D$13:$K$17,MATCH($O1387,ModelParameters!$B$13:$B$17,0),MATCH($J1387,ModelParameters!$D$5:$K$5,0)))</f>
        <v>0</v>
      </c>
      <c r="S1387" s="160">
        <f>IF(B1387="",0,MIN(IF($N1387="Other Bond TM",ModelParameters!$N$21,1)*(P1387*Q1387+R1387),1))</f>
        <v>0.050936314667744192</v>
      </c>
      <c r="T1387" s="85">
        <f>IF(B1387="",0,$S1387*$K1387)</f>
        <v>0.19746441294368756</v>
      </c>
      <c r="U1387" s="85">
        <f>IF(B1387="",0,IF(OR(H1387=MappingTables!$C$34,H1387=MappingTables!$C$35),T1387,0))</f>
        <v>0</v>
      </c>
      <c r="V1387" s="85">
        <f>IF(ISNA(IF(AND(VLOOKUP(CONCATENATE($D1387,$G1387),CSRFinput!$B:$E,4,0)=0,OR(H1387=MappingTables!$C$34,H1387=MappingTables!$C$35)),1,VLOOKUP(CONCATENATE($D1387,$G1387),CSRFinput!$B:$E,4,0))),0,IF(AND(VLOOKUP(CONCATENATE($D1387,$G1387),CSRFinput!$B:$E,4,0)=0,OR(H1387=MappingTables!$C$34,H1387=MappingTables!$C$35)),1,VLOOKUP(CONCATENATE($D1387,$G1387),CSRFinput!$B:$E,4,0)))</f>
        <v>0.054776304963434752</v>
      </c>
      <c r="W1387" s="85">
        <f>IF(B1387="",0,+$T1387*$V1387)</f>
        <v>0.010816370902829042</v>
      </c>
      <c r="X1387" s="85">
        <f>IF(B1387="",0,IF(OR(H1387=MappingTables!$C$34,H1387=MappingTables!$C$35),W1387,0))</f>
        <v>0</v>
      </c>
    </row>
    <row r="1388" spans="2:24" s="0" customFormat="0" ht="15">
      <c r="B1388" s="69">
        <v>19116941</v>
      </c>
      <c r="C1388" s="70" t="s">
        <v>1650</v>
      </c>
      <c r="D1388" s="70" t="s">
        <v>1</v>
      </c>
      <c r="E1388" s="70" t="s">
        <v>1</v>
      </c>
      <c r="F1388" s="70"/>
      <c r="G1388" s="70" t="s">
        <v>61</v>
      </c>
      <c r="H1388" s="70" t="s">
        <v>178</v>
      </c>
      <c r="I1388" s="70" t="s">
        <v>179</v>
      </c>
      <c r="J1388" s="71">
        <f>IF(OR(I1388=0,I1388=""),"unrated",VLOOKUP(I1388,MappingTables!$B$19:$C$31,2,FALSE))</f>
        <v>4</v>
      </c>
      <c r="K1388" s="72">
        <v>19546.052635799572</v>
      </c>
      <c r="L1388" s="70">
        <v>6.5368552528466784</v>
      </c>
      <c r="M1388" s="71">
        <f>IF(L1388&lt;1,1,L1388)</f>
        <v>6.5368552528466784</v>
      </c>
      <c r="N1388" s="70" t="s">
        <v>141</v>
      </c>
      <c r="O1388" s="71">
        <f>INDEX(DurClassMapping,MATCH(M1388,MappingTables!$D$4:$D$8,-1),1)</f>
        <v>2</v>
      </c>
      <c r="P1388" s="73">
        <f>IF(M1388=$A$1,1,$M1388-INDEX(MappingTables!$E$4:$E$8,MATCH(O1388,MappingTables!$B$4:$B$8,0)))</f>
        <v>1.5368552528466788</v>
      </c>
      <c r="Q1388" s="71">
        <f>IF(B1388="",0,INDEX(ModelParameters!$D$6:$K$10,MATCH($O1388,ModelParameters!$B$6:$B$10,0),MATCH($J1388,ModelParameters!$D$5:$K$5,0)))</f>
        <v>0.025</v>
      </c>
      <c r="R1388" s="71">
        <f>IF(B1388="",0,INDEX(ModelParameters!$D$13:$K$17,MATCH($O1388,ModelParameters!$B$13:$B$17,0),MATCH($J1388,ModelParameters!$D$5:$K$5,0)))</f>
        <v>0.225</v>
      </c>
      <c r="S1388" s="160">
        <f>IF(B1388="",0,MIN(IF($N1388="Other Bond TM",ModelParameters!$N$21,1)*(P1388*Q1388+R1388),1))</f>
        <v>0.263421381321167</v>
      </c>
      <c r="T1388" s="85">
        <f>IF(B1388="",0,$S1388*$K1388)</f>
        <v>5148.8481846985608</v>
      </c>
      <c r="U1388" s="85">
        <f>IF(B1388="",0,IF(OR(H1388=MappingTables!$C$34,H1388=MappingTables!$C$35),T1388,0))</f>
        <v>0</v>
      </c>
      <c r="V1388" s="85">
        <f>IF(ISNA(IF(AND(VLOOKUP(CONCATENATE($D1388,$G1388),CSRFinput!$B:$E,4,0)=0,OR(H1388=MappingTables!$C$34,H1388=MappingTables!$C$35)),1,VLOOKUP(CONCATENATE($D1388,$G1388),CSRFinput!$B:$E,4,0))),0,IF(AND(VLOOKUP(CONCATENATE($D1388,$G1388),CSRFinput!$B:$E,4,0)=0,OR(H1388=MappingTables!$C$34,H1388=MappingTables!$C$35)),1,VLOOKUP(CONCATENATE($D1388,$G1388),CSRFinput!$B:$E,4,0)))</f>
        <v>0.054776304963434752</v>
      </c>
      <c r="W1388" s="85">
        <f>IF(B1388="",0,+$T1388*$V1388)</f>
        <v>282.0348783754758</v>
      </c>
      <c r="X1388" s="85">
        <f>IF(B1388="",0,IF(OR(H1388=MappingTables!$C$34,H1388=MappingTables!$C$35),W1388,0))</f>
        <v>0</v>
      </c>
    </row>
    <row r="1389" spans="2:24" s="0" customFormat="0" ht="15">
      <c r="B1389" s="69">
        <v>23425036</v>
      </c>
      <c r="C1389" s="70" t="s">
        <v>1651</v>
      </c>
      <c r="D1389" s="70" t="s">
        <v>1</v>
      </c>
      <c r="E1389" s="70" t="s">
        <v>1</v>
      </c>
      <c r="F1389" s="70"/>
      <c r="G1389" s="70" t="s">
        <v>61</v>
      </c>
      <c r="H1389" s="70" t="s">
        <v>178</v>
      </c>
      <c r="I1389" s="70" t="s">
        <v>188</v>
      </c>
      <c r="J1389" s="71">
        <f>IF(OR(I1389=0,I1389=""),"unrated",VLOOKUP(I1389,MappingTables!$B$19:$C$31,2,FALSE))</f>
        <v>2</v>
      </c>
      <c r="K1389" s="72">
        <v>142.59391901065056</v>
      </c>
      <c r="L1389" s="70">
        <v>1.4409099011503342</v>
      </c>
      <c r="M1389" s="71">
        <f>IF(L1389&lt;1,1,L1389)</f>
        <v>1.4409099011503342</v>
      </c>
      <c r="N1389" s="70" t="s">
        <v>141</v>
      </c>
      <c r="O1389" s="71">
        <f>INDEX(DurClassMapping,MATCH(M1389,MappingTables!$D$4:$D$8,-1),1)</f>
        <v>1</v>
      </c>
      <c r="P1389" s="73">
        <f>IF(M1389=$A$1,1,$M1389-INDEX(MappingTables!$E$4:$E$8,MATCH(O1389,MappingTables!$B$4:$B$8,0)))</f>
        <v>1.4409099011503342</v>
      </c>
      <c r="Q1389" s="71">
        <f>IF(B1389="",0,INDEX(ModelParameters!$D$6:$K$10,MATCH($O1389,ModelParameters!$B$6:$B$10,0),MATCH($J1389,ModelParameters!$D$5:$K$5,0)))</f>
        <v>0.013999999999999998</v>
      </c>
      <c r="R1389" s="71">
        <f>IF(B1389="",0,INDEX(ModelParameters!$D$13:$K$17,MATCH($O1389,ModelParameters!$B$13:$B$17,0),MATCH($J1389,ModelParameters!$D$5:$K$5,0)))</f>
        <v>0</v>
      </c>
      <c r="S1389" s="160">
        <f>IF(B1389="",0,MIN(IF($N1389="Other Bond TM",ModelParameters!$N$21,1)*(P1389*Q1389+R1389),1))</f>
        <v>0.020172738616104676</v>
      </c>
      <c r="T1389" s="85">
        <f>IF(B1389="",0,$S1389*$K1389)</f>
        <v>2.8765098564478532</v>
      </c>
      <c r="U1389" s="85">
        <f>IF(B1389="",0,IF(OR(H1389=MappingTables!$C$34,H1389=MappingTables!$C$35),T1389,0))</f>
        <v>0</v>
      </c>
      <c r="V1389" s="85">
        <f>IF(ISNA(IF(AND(VLOOKUP(CONCATENATE($D1389,$G1389),CSRFinput!$B:$E,4,0)=0,OR(H1389=MappingTables!$C$34,H1389=MappingTables!$C$35)),1,VLOOKUP(CONCATENATE($D1389,$G1389),CSRFinput!$B:$E,4,0))),0,IF(AND(VLOOKUP(CONCATENATE($D1389,$G1389),CSRFinput!$B:$E,4,0)=0,OR(H1389=MappingTables!$C$34,H1389=MappingTables!$C$35)),1,VLOOKUP(CONCATENATE($D1389,$G1389),CSRFinput!$B:$E,4,0)))</f>
        <v>0.054776304963434752</v>
      </c>
      <c r="W1389" s="85">
        <f>IF(B1389="",0,+$T1389*$V1389)</f>
        <v>0.15756458112711352</v>
      </c>
      <c r="X1389" s="85">
        <f>IF(B1389="",0,IF(OR(H1389=MappingTables!$C$34,H1389=MappingTables!$C$35),W1389,0))</f>
        <v>0</v>
      </c>
    </row>
    <row r="1390" spans="2:24" s="0" customFormat="0" ht="15">
      <c r="B1390" s="69">
        <v>6837218</v>
      </c>
      <c r="C1390" s="70" t="s">
        <v>560</v>
      </c>
      <c r="D1390" s="70" t="s">
        <v>1</v>
      </c>
      <c r="E1390" s="70" t="s">
        <v>1</v>
      </c>
      <c r="F1390" s="70"/>
      <c r="G1390" s="70" t="s">
        <v>61</v>
      </c>
      <c r="H1390" s="70" t="s">
        <v>178</v>
      </c>
      <c r="I1390" s="70" t="s">
        <v>181</v>
      </c>
      <c r="J1390" s="71">
        <f>IF(OR(I1390=0,I1390=""),"unrated",VLOOKUP(I1390,MappingTables!$B$19:$C$31,2,FALSE))</f>
        <v>3</v>
      </c>
      <c r="K1390" s="72">
        <v>147.92660477416428</v>
      </c>
      <c r="L1390" s="70">
        <v>6.09716612190452</v>
      </c>
      <c r="M1390" s="71">
        <f>IF(L1390&lt;1,1,L1390)</f>
        <v>6.09716612190452</v>
      </c>
      <c r="N1390" s="70" t="s">
        <v>141</v>
      </c>
      <c r="O1390" s="71">
        <f>INDEX(DurClassMapping,MATCH(M1390,MappingTables!$D$4:$D$8,-1),1)</f>
        <v>2</v>
      </c>
      <c r="P1390" s="73">
        <f>IF(M1390=$A$1,1,$M1390-INDEX(MappingTables!$E$4:$E$8,MATCH(O1390,MappingTables!$B$4:$B$8,0)))</f>
        <v>1.0971661219045198</v>
      </c>
      <c r="Q1390" s="71">
        <f>IF(B1390="",0,INDEX(ModelParameters!$D$6:$K$10,MATCH($O1390,ModelParameters!$B$6:$B$10,0),MATCH($J1390,ModelParameters!$D$5:$K$5,0)))</f>
        <v>0.015</v>
      </c>
      <c r="R1390" s="71">
        <f>IF(B1390="",0,INDEX(ModelParameters!$D$13:$K$17,MATCH($O1390,ModelParameters!$B$13:$B$17,0),MATCH($J1390,ModelParameters!$D$5:$K$5,0)))</f>
        <v>0.125</v>
      </c>
      <c r="S1390" s="160">
        <f>IF(B1390="",0,MIN(IF($N1390="Other Bond TM",ModelParameters!$N$21,1)*(P1390*Q1390+R1390),1))</f>
        <v>0.14145749182856778</v>
      </c>
      <c r="T1390" s="85">
        <f>IF(B1390="",0,$S1390*$K1390)</f>
        <v>20.92532648606912</v>
      </c>
      <c r="U1390" s="85">
        <f>IF(B1390="",0,IF(OR(H1390=MappingTables!$C$34,H1390=MappingTables!$C$35),T1390,0))</f>
        <v>0</v>
      </c>
      <c r="V1390" s="85">
        <f>IF(ISNA(IF(AND(VLOOKUP(CONCATENATE($D1390,$G1390),CSRFinput!$B:$E,4,0)=0,OR(H1390=MappingTables!$C$34,H1390=MappingTables!$C$35)),1,VLOOKUP(CONCATENATE($D1390,$G1390),CSRFinput!$B:$E,4,0))),0,IF(AND(VLOOKUP(CONCATENATE($D1390,$G1390),CSRFinput!$B:$E,4,0)=0,OR(H1390=MappingTables!$C$34,H1390=MappingTables!$C$35)),1,VLOOKUP(CONCATENATE($D1390,$G1390),CSRFinput!$B:$E,4,0)))</f>
        <v>0.054776304963434752</v>
      </c>
      <c r="W1390" s="85">
        <f>IF(B1390="",0,+$T1390*$V1390)</f>
        <v>1.1462120650603606</v>
      </c>
      <c r="X1390" s="85">
        <f>IF(B1390="",0,IF(OR(H1390=MappingTables!$C$34,H1390=MappingTables!$C$35),W1390,0))</f>
        <v>0</v>
      </c>
    </row>
    <row r="1391" spans="2:24" s="0" customFormat="0" ht="15">
      <c r="B1391" s="69" t="s">
        <v>1652</v>
      </c>
      <c r="C1391" s="70" t="s">
        <v>1653</v>
      </c>
      <c r="D1391" s="70" t="s">
        <v>1</v>
      </c>
      <c r="E1391" s="70" t="s">
        <v>1</v>
      </c>
      <c r="F1391" s="70"/>
      <c r="G1391" s="70" t="s">
        <v>61</v>
      </c>
      <c r="H1391" s="70" t="s">
        <v>178</v>
      </c>
      <c r="I1391" s="70" t="s">
        <v>513</v>
      </c>
      <c r="J1391" s="71">
        <f>IF(OR(I1391=0,I1391=""),"unrated",VLOOKUP(I1391,MappingTables!$B$19:$C$31,2,FALSE))</f>
        <v>6</v>
      </c>
      <c r="K1391" s="72">
        <v>66.713796983866256</v>
      </c>
      <c r="L1391" s="70">
        <v>0.08767332684947864</v>
      </c>
      <c r="M1391" s="71">
        <f>IF(L1391&lt;1,1,L1391)</f>
        <v>1</v>
      </c>
      <c r="N1391" s="70" t="s">
        <v>141</v>
      </c>
      <c r="O1391" s="71">
        <f>INDEX(DurClassMapping,MATCH(M1391,MappingTables!$D$4:$D$8,-1),1)</f>
        <v>1</v>
      </c>
      <c r="P1391" s="73">
        <f>IF(M1391=$A$1,1,$M1391-INDEX(MappingTables!$E$4:$E$8,MATCH(O1391,MappingTables!$B$4:$B$8,0)))</f>
        <v>1</v>
      </c>
      <c r="Q1391" s="71">
        <f>IF(B1391="",0,INDEX(ModelParameters!$D$6:$K$10,MATCH($O1391,ModelParameters!$B$6:$B$10,0),MATCH($J1391,ModelParameters!$D$5:$K$5,0)))</f>
        <v>0.075</v>
      </c>
      <c r="R1391" s="71">
        <f>IF(B1391="",0,INDEX(ModelParameters!$D$13:$K$17,MATCH($O1391,ModelParameters!$B$13:$B$17,0),MATCH($J1391,ModelParameters!$D$5:$K$5,0)))</f>
        <v>0</v>
      </c>
      <c r="S1391" s="160">
        <f>IF(B1391="",0,MIN(IF($N1391="Other Bond TM",ModelParameters!$N$21,1)*(P1391*Q1391+R1391),1))</f>
        <v>0.075</v>
      </c>
      <c r="T1391" s="85">
        <f>IF(B1391="",0,$S1391*$K1391)</f>
        <v>5.0035347737899688</v>
      </c>
      <c r="U1391" s="85">
        <f>IF(B1391="",0,IF(OR(H1391=MappingTables!$C$34,H1391=MappingTables!$C$35),T1391,0))</f>
        <v>0</v>
      </c>
      <c r="V1391" s="85">
        <f>IF(ISNA(IF(AND(VLOOKUP(CONCATENATE($D1391,$G1391),CSRFinput!$B:$E,4,0)=0,OR(H1391=MappingTables!$C$34,H1391=MappingTables!$C$35)),1,VLOOKUP(CONCATENATE($D1391,$G1391),CSRFinput!$B:$E,4,0))),0,IF(AND(VLOOKUP(CONCATENATE($D1391,$G1391),CSRFinput!$B:$E,4,0)=0,OR(H1391=MappingTables!$C$34,H1391=MappingTables!$C$35)),1,VLOOKUP(CONCATENATE($D1391,$G1391),CSRFinput!$B:$E,4,0)))</f>
        <v>0.054776304963434752</v>
      </c>
      <c r="W1391" s="85">
        <f>IF(B1391="",0,+$T1391*$V1391)</f>
        <v>0.27407514666426984</v>
      </c>
      <c r="X1391" s="85">
        <f>IF(B1391="",0,IF(OR(H1391=MappingTables!$C$34,H1391=MappingTables!$C$35),W1391,0))</f>
        <v>0</v>
      </c>
    </row>
    <row r="1392" spans="2:24" s="0" customFormat="0" ht="15">
      <c r="B1392" s="69" t="s">
        <v>511</v>
      </c>
      <c r="C1392" s="70" t="s">
        <v>512</v>
      </c>
      <c r="D1392" s="70" t="s">
        <v>1</v>
      </c>
      <c r="E1392" s="70" t="s">
        <v>1</v>
      </c>
      <c r="F1392" s="70"/>
      <c r="G1392" s="70" t="s">
        <v>61</v>
      </c>
      <c r="H1392" s="70" t="s">
        <v>178</v>
      </c>
      <c r="I1392" s="70" t="s">
        <v>513</v>
      </c>
      <c r="J1392" s="71">
        <f>IF(OR(I1392=0,I1392=""),"unrated",VLOOKUP(I1392,MappingTables!$B$19:$C$31,2,FALSE))</f>
        <v>6</v>
      </c>
      <c r="K1392" s="72">
        <v>51.689170150698736</v>
      </c>
      <c r="L1392" s="70">
        <v>0.065755002918986272</v>
      </c>
      <c r="M1392" s="71">
        <f>IF(L1392&lt;1,1,L1392)</f>
        <v>1</v>
      </c>
      <c r="N1392" s="70" t="s">
        <v>141</v>
      </c>
      <c r="O1392" s="71">
        <f>INDEX(DurClassMapping,MATCH(M1392,MappingTables!$D$4:$D$8,-1),1)</f>
        <v>1</v>
      </c>
      <c r="P1392" s="73">
        <f>IF(M1392=$A$1,1,$M1392-INDEX(MappingTables!$E$4:$E$8,MATCH(O1392,MappingTables!$B$4:$B$8,0)))</f>
        <v>1</v>
      </c>
      <c r="Q1392" s="71">
        <f>IF(B1392="",0,INDEX(ModelParameters!$D$6:$K$10,MATCH($O1392,ModelParameters!$B$6:$B$10,0),MATCH($J1392,ModelParameters!$D$5:$K$5,0)))</f>
        <v>0.075</v>
      </c>
      <c r="R1392" s="71">
        <f>IF(B1392="",0,INDEX(ModelParameters!$D$13:$K$17,MATCH($O1392,ModelParameters!$B$13:$B$17,0),MATCH($J1392,ModelParameters!$D$5:$K$5,0)))</f>
        <v>0</v>
      </c>
      <c r="S1392" s="160">
        <f>IF(B1392="",0,MIN(IF($N1392="Other Bond TM",ModelParameters!$N$21,1)*(P1392*Q1392+R1392),1))</f>
        <v>0.075</v>
      </c>
      <c r="T1392" s="85">
        <f>IF(B1392="",0,$S1392*$K1392)</f>
        <v>3.8766877613024048</v>
      </c>
      <c r="U1392" s="85">
        <f>IF(B1392="",0,IF(OR(H1392=MappingTables!$C$34,H1392=MappingTables!$C$35),T1392,0))</f>
        <v>0</v>
      </c>
      <c r="V1392" s="85">
        <f>IF(ISNA(IF(AND(VLOOKUP(CONCATENATE($D1392,$G1392),CSRFinput!$B:$E,4,0)=0,OR(H1392=MappingTables!$C$34,H1392=MappingTables!$C$35)),1,VLOOKUP(CONCATENATE($D1392,$G1392),CSRFinput!$B:$E,4,0))),0,IF(AND(VLOOKUP(CONCATENATE($D1392,$G1392),CSRFinput!$B:$E,4,0)=0,OR(H1392=MappingTables!$C$34,H1392=MappingTables!$C$35)),1,VLOOKUP(CONCATENATE($D1392,$G1392),CSRFinput!$B:$E,4,0)))</f>
        <v>0.054776304963434752</v>
      </c>
      <c r="W1392" s="85">
        <f>IF(B1392="",0,+$T1392*$V1392)</f>
        <v>0.21235063106111572</v>
      </c>
      <c r="X1392" s="85">
        <f>IF(B1392="",0,IF(OR(H1392=MappingTables!$C$34,H1392=MappingTables!$C$35),W1392,0))</f>
        <v>0</v>
      </c>
    </row>
    <row r="1393" spans="2:24" s="0" customFormat="0" ht="15">
      <c r="B1393" s="69" t="s">
        <v>1654</v>
      </c>
      <c r="C1393" s="70" t="s">
        <v>1655</v>
      </c>
      <c r="D1393" s="70" t="s">
        <v>1</v>
      </c>
      <c r="E1393" s="70" t="s">
        <v>1</v>
      </c>
      <c r="F1393" s="70"/>
      <c r="G1393" s="70" t="s">
        <v>61</v>
      </c>
      <c r="H1393" s="70" t="s">
        <v>178</v>
      </c>
      <c r="I1393" s="70" t="s">
        <v>198</v>
      </c>
      <c r="J1393" s="71" t="str">
        <f>IF(OR(I1393=0,I1393=""),"unrated",VLOOKUP(I1393,MappingTables!$B$19:$C$31,2,FALSE))</f>
        <v>unrated</v>
      </c>
      <c r="K1393" s="72">
        <v>125.47675736246654</v>
      </c>
      <c r="L1393" s="70">
        <v>4.101821450408304</v>
      </c>
      <c r="M1393" s="71">
        <f>IF(L1393&lt;1,1,L1393)</f>
        <v>4.101821450408304</v>
      </c>
      <c r="N1393" s="70" t="s">
        <v>141</v>
      </c>
      <c r="O1393" s="71">
        <f>INDEX(DurClassMapping,MATCH(M1393,MappingTables!$D$4:$D$8,-1),1)</f>
        <v>1</v>
      </c>
      <c r="P1393" s="73">
        <f>IF(M1393=$A$1,1,$M1393-INDEX(MappingTables!$E$4:$E$8,MATCH(O1393,MappingTables!$B$4:$B$8,0)))</f>
        <v>4.101821450408304</v>
      </c>
      <c r="Q1393" s="71">
        <f>IF(B1393="",0,INDEX(ModelParameters!$D$6:$K$10,MATCH($O1393,ModelParameters!$B$6:$B$10,0),MATCH($J1393,ModelParameters!$D$5:$K$5,0)))</f>
        <v>0.03</v>
      </c>
      <c r="R1393" s="71">
        <f>IF(B1393="",0,INDEX(ModelParameters!$D$13:$K$17,MATCH($O1393,ModelParameters!$B$13:$B$17,0),MATCH($J1393,ModelParameters!$D$5:$K$5,0)))</f>
        <v>0</v>
      </c>
      <c r="S1393" s="160">
        <f>IF(B1393="",0,MIN(IF($N1393="Other Bond TM",ModelParameters!$N$21,1)*(P1393*Q1393+R1393),1))</f>
        <v>0.1230546435122491</v>
      </c>
      <c r="T1393" s="85">
        <f>IF(B1393="",0,$S1393*$K1393)</f>
        <v>15.440497646311298</v>
      </c>
      <c r="U1393" s="85">
        <f>IF(B1393="",0,IF(OR(H1393=MappingTables!$C$34,H1393=MappingTables!$C$35),T1393,0))</f>
        <v>0</v>
      </c>
      <c r="V1393" s="85">
        <f>IF(ISNA(IF(AND(VLOOKUP(CONCATENATE($D1393,$G1393),CSRFinput!$B:$E,4,0)=0,OR(H1393=MappingTables!$C$34,H1393=MappingTables!$C$35)),1,VLOOKUP(CONCATENATE($D1393,$G1393),CSRFinput!$B:$E,4,0))),0,IF(AND(VLOOKUP(CONCATENATE($D1393,$G1393),CSRFinput!$B:$E,4,0)=0,OR(H1393=MappingTables!$C$34,H1393=MappingTables!$C$35)),1,VLOOKUP(CONCATENATE($D1393,$G1393),CSRFinput!$B:$E,4,0)))</f>
        <v>0.054776304963434752</v>
      </c>
      <c r="W1393" s="85">
        <f>IF(B1393="",0,+$T1393*$V1393)</f>
        <v>0.84577340786154416</v>
      </c>
      <c r="X1393" s="85">
        <f>IF(B1393="",0,IF(OR(H1393=MappingTables!$C$34,H1393=MappingTables!$C$35),W1393,0))</f>
        <v>0</v>
      </c>
    </row>
    <row r="1394" spans="2:24" s="0" customFormat="0" ht="15">
      <c r="B1394" s="69">
        <v>21467920</v>
      </c>
      <c r="C1394" s="70" t="s">
        <v>1644</v>
      </c>
      <c r="D1394" s="70" t="s">
        <v>1</v>
      </c>
      <c r="E1394" s="70" t="s">
        <v>1</v>
      </c>
      <c r="F1394" s="70"/>
      <c r="G1394" s="70" t="s">
        <v>61</v>
      </c>
      <c r="H1394" s="70" t="s">
        <v>178</v>
      </c>
      <c r="I1394" s="70" t="s">
        <v>179</v>
      </c>
      <c r="J1394" s="71">
        <f>IF(OR(I1394=0,I1394=""),"unrated",VLOOKUP(I1394,MappingTables!$B$19:$C$31,2,FALSE))</f>
        <v>4</v>
      </c>
      <c r="K1394" s="72">
        <v>1526.0207228195928</v>
      </c>
      <c r="L1394" s="70">
        <v>4.726522270111928</v>
      </c>
      <c r="M1394" s="71">
        <f>IF(L1394&lt;1,1,L1394)</f>
        <v>4.726522270111928</v>
      </c>
      <c r="N1394" s="70" t="s">
        <v>141</v>
      </c>
      <c r="O1394" s="71">
        <f>INDEX(DurClassMapping,MATCH(M1394,MappingTables!$D$4:$D$8,-1),1)</f>
        <v>1</v>
      </c>
      <c r="P1394" s="73">
        <f>IF(M1394=$A$1,1,$M1394-INDEX(MappingTables!$E$4:$E$8,MATCH(O1394,MappingTables!$B$4:$B$8,0)))</f>
        <v>4.726522270111928</v>
      </c>
      <c r="Q1394" s="71">
        <f>IF(B1394="",0,INDEX(ModelParameters!$D$6:$K$10,MATCH($O1394,ModelParameters!$B$6:$B$10,0),MATCH($J1394,ModelParameters!$D$5:$K$5,0)))</f>
        <v>0.045</v>
      </c>
      <c r="R1394" s="71">
        <f>IF(B1394="",0,INDEX(ModelParameters!$D$13:$K$17,MATCH($O1394,ModelParameters!$B$13:$B$17,0),MATCH($J1394,ModelParameters!$D$5:$K$5,0)))</f>
        <v>0</v>
      </c>
      <c r="S1394" s="160">
        <f>IF(B1394="",0,MIN(IF($N1394="Other Bond TM",ModelParameters!$N$21,1)*(P1394*Q1394+R1394),1))</f>
        <v>0.21269350215503672</v>
      </c>
      <c r="T1394" s="85">
        <f>IF(B1394="",0,$S1394*$K1394)</f>
        <v>324.57469189765976</v>
      </c>
      <c r="U1394" s="85">
        <f>IF(B1394="",0,IF(OR(H1394=MappingTables!$C$34,H1394=MappingTables!$C$35),T1394,0))</f>
        <v>0</v>
      </c>
      <c r="V1394" s="85">
        <f>IF(ISNA(IF(AND(VLOOKUP(CONCATENATE($D1394,$G1394),CSRFinput!$B:$E,4,0)=0,OR(H1394=MappingTables!$C$34,H1394=MappingTables!$C$35)),1,VLOOKUP(CONCATENATE($D1394,$G1394),CSRFinput!$B:$E,4,0))),0,IF(AND(VLOOKUP(CONCATENATE($D1394,$G1394),CSRFinput!$B:$E,4,0)=0,OR(H1394=MappingTables!$C$34,H1394=MappingTables!$C$35)),1,VLOOKUP(CONCATENATE($D1394,$G1394),CSRFinput!$B:$E,4,0)))</f>
        <v>0.054776304963434752</v>
      </c>
      <c r="W1394" s="85">
        <f>IF(B1394="",0,+$T1394*$V1394)</f>
        <v>17.779002306799086</v>
      </c>
      <c r="X1394" s="85">
        <f>IF(B1394="",0,IF(OR(H1394=MappingTables!$C$34,H1394=MappingTables!$C$35),W1394,0))</f>
        <v>0</v>
      </c>
    </row>
    <row r="1395" spans="2:24" s="0" customFormat="0" ht="15">
      <c r="B1395" s="69">
        <v>22465795</v>
      </c>
      <c r="C1395" s="70" t="s">
        <v>1003</v>
      </c>
      <c r="D1395" s="70" t="s">
        <v>1</v>
      </c>
      <c r="E1395" s="70" t="s">
        <v>1</v>
      </c>
      <c r="F1395" s="70"/>
      <c r="G1395" s="70" t="s">
        <v>61</v>
      </c>
      <c r="H1395" s="70" t="s">
        <v>178</v>
      </c>
      <c r="I1395" s="70" t="s">
        <v>179</v>
      </c>
      <c r="J1395" s="71">
        <f>IF(OR(I1395=0,I1395=""),"unrated",VLOOKUP(I1395,MappingTables!$B$19:$C$31,2,FALSE))</f>
        <v>4</v>
      </c>
      <c r="K1395" s="72">
        <v>19859.751144085484</v>
      </c>
      <c r="L1395" s="70">
        <v>3.694018619347096</v>
      </c>
      <c r="M1395" s="71">
        <f>IF(L1395&lt;1,1,L1395)</f>
        <v>3.694018619347096</v>
      </c>
      <c r="N1395" s="70" t="s">
        <v>141</v>
      </c>
      <c r="O1395" s="71">
        <f>INDEX(DurClassMapping,MATCH(M1395,MappingTables!$D$4:$D$8,-1),1)</f>
        <v>1</v>
      </c>
      <c r="P1395" s="73">
        <f>IF(M1395=$A$1,1,$M1395-INDEX(MappingTables!$E$4:$E$8,MATCH(O1395,MappingTables!$B$4:$B$8,0)))</f>
        <v>3.694018619347096</v>
      </c>
      <c r="Q1395" s="71">
        <f>IF(B1395="",0,INDEX(ModelParameters!$D$6:$K$10,MATCH($O1395,ModelParameters!$B$6:$B$10,0),MATCH($J1395,ModelParameters!$D$5:$K$5,0)))</f>
        <v>0.045</v>
      </c>
      <c r="R1395" s="71">
        <f>IF(B1395="",0,INDEX(ModelParameters!$D$13:$K$17,MATCH($O1395,ModelParameters!$B$13:$B$17,0),MATCH($J1395,ModelParameters!$D$5:$K$5,0)))</f>
        <v>0</v>
      </c>
      <c r="S1395" s="160">
        <f>IF(B1395="",0,MIN(IF($N1395="Other Bond TM",ModelParameters!$N$21,1)*(P1395*Q1395+R1395),1))</f>
        <v>0.1662308378706193</v>
      </c>
      <c r="T1395" s="85">
        <f>IF(B1395="",0,$S1395*$K1395)</f>
        <v>3301.30307258332</v>
      </c>
      <c r="U1395" s="85">
        <f>IF(B1395="",0,IF(OR(H1395=MappingTables!$C$34,H1395=MappingTables!$C$35),T1395,0))</f>
        <v>0</v>
      </c>
      <c r="V1395" s="85">
        <f>IF(ISNA(IF(AND(VLOOKUP(CONCATENATE($D1395,$G1395),CSRFinput!$B:$E,4,0)=0,OR(H1395=MappingTables!$C$34,H1395=MappingTables!$C$35)),1,VLOOKUP(CONCATENATE($D1395,$G1395),CSRFinput!$B:$E,4,0))),0,IF(AND(VLOOKUP(CONCATENATE($D1395,$G1395),CSRFinput!$B:$E,4,0)=0,OR(H1395=MappingTables!$C$34,H1395=MappingTables!$C$35)),1,VLOOKUP(CONCATENATE($D1395,$G1395),CSRFinput!$B:$E,4,0)))</f>
        <v>0.054776304963434752</v>
      </c>
      <c r="W1395" s="85">
        <f>IF(B1395="",0,+$T1395*$V1395)</f>
        <v>180.83318388054812</v>
      </c>
      <c r="X1395" s="85">
        <f>IF(B1395="",0,IF(OR(H1395=MappingTables!$C$34,H1395=MappingTables!$C$35),W1395,0))</f>
        <v>0</v>
      </c>
    </row>
    <row r="1396" spans="2:24" s="0" customFormat="0" ht="15">
      <c r="B1396" s="69" t="s">
        <v>1656</v>
      </c>
      <c r="C1396" s="70" t="s">
        <v>1657</v>
      </c>
      <c r="D1396" s="70" t="s">
        <v>1</v>
      </c>
      <c r="E1396" s="70" t="s">
        <v>1</v>
      </c>
      <c r="F1396" s="70"/>
      <c r="G1396" s="70" t="s">
        <v>61</v>
      </c>
      <c r="H1396" s="70" t="s">
        <v>178</v>
      </c>
      <c r="I1396" s="70" t="s">
        <v>188</v>
      </c>
      <c r="J1396" s="71">
        <f>IF(OR(I1396=0,I1396=""),"unrated",VLOOKUP(I1396,MappingTables!$B$19:$C$31,2,FALSE))</f>
        <v>2</v>
      </c>
      <c r="K1396" s="72">
        <v>90.500366221316192</v>
      </c>
      <c r="L1396" s="70">
        <v>4.609306354837576</v>
      </c>
      <c r="M1396" s="71">
        <f>IF(L1396&lt;1,1,L1396)</f>
        <v>4.609306354837576</v>
      </c>
      <c r="N1396" s="70" t="s">
        <v>141</v>
      </c>
      <c r="O1396" s="71">
        <f>INDEX(DurClassMapping,MATCH(M1396,MappingTables!$D$4:$D$8,-1),1)</f>
        <v>1</v>
      </c>
      <c r="P1396" s="73">
        <f>IF(M1396=$A$1,1,$M1396-INDEX(MappingTables!$E$4:$E$8,MATCH(O1396,MappingTables!$B$4:$B$8,0)))</f>
        <v>4.609306354837576</v>
      </c>
      <c r="Q1396" s="71">
        <f>IF(B1396="",0,INDEX(ModelParameters!$D$6:$K$10,MATCH($O1396,ModelParameters!$B$6:$B$10,0),MATCH($J1396,ModelParameters!$D$5:$K$5,0)))</f>
        <v>0.013999999999999998</v>
      </c>
      <c r="R1396" s="71">
        <f>IF(B1396="",0,INDEX(ModelParameters!$D$13:$K$17,MATCH($O1396,ModelParameters!$B$13:$B$17,0),MATCH($J1396,ModelParameters!$D$5:$K$5,0)))</f>
        <v>0</v>
      </c>
      <c r="S1396" s="160">
        <f>IF(B1396="",0,MIN(IF($N1396="Other Bond TM",ModelParameters!$N$21,1)*(P1396*Q1396+R1396),1))</f>
        <v>0.064530288967726056</v>
      </c>
      <c r="T1396" s="85">
        <f>IF(B1396="",0,$S1396*$K1396)</f>
        <v>5.8400147839465688</v>
      </c>
      <c r="U1396" s="85">
        <f>IF(B1396="",0,IF(OR(H1396=MappingTables!$C$34,H1396=MappingTables!$C$35),T1396,0))</f>
        <v>0</v>
      </c>
      <c r="V1396" s="85">
        <f>IF(ISNA(IF(AND(VLOOKUP(CONCATENATE($D1396,$G1396),CSRFinput!$B:$E,4,0)=0,OR(H1396=MappingTables!$C$34,H1396=MappingTables!$C$35)),1,VLOOKUP(CONCATENATE($D1396,$G1396),CSRFinput!$B:$E,4,0))),0,IF(AND(VLOOKUP(CONCATENATE($D1396,$G1396),CSRFinput!$B:$E,4,0)=0,OR(H1396=MappingTables!$C$34,H1396=MappingTables!$C$35)),1,VLOOKUP(CONCATENATE($D1396,$G1396),CSRFinput!$B:$E,4,0)))</f>
        <v>0.054776304963434752</v>
      </c>
      <c r="W1396" s="85">
        <f>IF(B1396="",0,+$T1396*$V1396)</f>
        <v>0.31989443079642476</v>
      </c>
      <c r="X1396" s="85">
        <f>IF(B1396="",0,IF(OR(H1396=MappingTables!$C$34,H1396=MappingTables!$C$35),W1396,0))</f>
        <v>0</v>
      </c>
    </row>
    <row r="1397" spans="2:24" s="0" customFormat="0" ht="15">
      <c r="B1397" s="69">
        <v>24010289</v>
      </c>
      <c r="C1397" s="70" t="s">
        <v>1658</v>
      </c>
      <c r="D1397" s="70" t="s">
        <v>1</v>
      </c>
      <c r="E1397" s="70" t="s">
        <v>1</v>
      </c>
      <c r="F1397" s="70"/>
      <c r="G1397" s="70" t="s">
        <v>61</v>
      </c>
      <c r="H1397" s="70" t="s">
        <v>178</v>
      </c>
      <c r="I1397" s="70" t="s">
        <v>188</v>
      </c>
      <c r="J1397" s="71">
        <f>IF(OR(I1397=0,I1397=""),"unrated",VLOOKUP(I1397,MappingTables!$B$19:$C$31,2,FALSE))</f>
        <v>2</v>
      </c>
      <c r="K1397" s="72">
        <v>1030.7481239233766</v>
      </c>
      <c r="L1397" s="70">
        <v>2.5318616145552036</v>
      </c>
      <c r="M1397" s="71">
        <f>IF(L1397&lt;1,1,L1397)</f>
        <v>2.5318616145552036</v>
      </c>
      <c r="N1397" s="70" t="s">
        <v>141</v>
      </c>
      <c r="O1397" s="71">
        <f>INDEX(DurClassMapping,MATCH(M1397,MappingTables!$D$4:$D$8,-1),1)</f>
        <v>1</v>
      </c>
      <c r="P1397" s="73">
        <f>IF(M1397=$A$1,1,$M1397-INDEX(MappingTables!$E$4:$E$8,MATCH(O1397,MappingTables!$B$4:$B$8,0)))</f>
        <v>2.5318616145552036</v>
      </c>
      <c r="Q1397" s="71">
        <f>IF(B1397="",0,INDEX(ModelParameters!$D$6:$K$10,MATCH($O1397,ModelParameters!$B$6:$B$10,0),MATCH($J1397,ModelParameters!$D$5:$K$5,0)))</f>
        <v>0.013999999999999998</v>
      </c>
      <c r="R1397" s="71">
        <f>IF(B1397="",0,INDEX(ModelParameters!$D$13:$K$17,MATCH($O1397,ModelParameters!$B$13:$B$17,0),MATCH($J1397,ModelParameters!$D$5:$K$5,0)))</f>
        <v>0</v>
      </c>
      <c r="S1397" s="160">
        <f>IF(B1397="",0,MIN(IF($N1397="Other Bond TM",ModelParameters!$N$21,1)*(P1397*Q1397+R1397),1))</f>
        <v>0.035446062603772852</v>
      </c>
      <c r="T1397" s="85">
        <f>IF(B1397="",0,$S1397*$K1397)</f>
        <v>36.535962529309424</v>
      </c>
      <c r="U1397" s="85">
        <f>IF(B1397="",0,IF(OR(H1397=MappingTables!$C$34,H1397=MappingTables!$C$35),T1397,0))</f>
        <v>0</v>
      </c>
      <c r="V1397" s="85">
        <f>IF(ISNA(IF(AND(VLOOKUP(CONCATENATE($D1397,$G1397),CSRFinput!$B:$E,4,0)=0,OR(H1397=MappingTables!$C$34,H1397=MappingTables!$C$35)),1,VLOOKUP(CONCATENATE($D1397,$G1397),CSRFinput!$B:$E,4,0))),0,IF(AND(VLOOKUP(CONCATENATE($D1397,$G1397),CSRFinput!$B:$E,4,0)=0,OR(H1397=MappingTables!$C$34,H1397=MappingTables!$C$35)),1,VLOOKUP(CONCATENATE($D1397,$G1397),CSRFinput!$B:$E,4,0)))</f>
        <v>0.054776304963434752</v>
      </c>
      <c r="W1397" s="85">
        <f>IF(B1397="",0,+$T1397*$V1397)</f>
        <v>2.0013050256380776</v>
      </c>
      <c r="X1397" s="85">
        <f>IF(B1397="",0,IF(OR(H1397=MappingTables!$C$34,H1397=MappingTables!$C$35),W1397,0))</f>
        <v>0</v>
      </c>
    </row>
    <row r="1398" spans="2:24" s="0" customFormat="0" ht="15">
      <c r="B1398" s="69" t="s">
        <v>1659</v>
      </c>
      <c r="C1398" s="70" t="s">
        <v>1660</v>
      </c>
      <c r="D1398" s="70" t="s">
        <v>1</v>
      </c>
      <c r="E1398" s="70" t="s">
        <v>1</v>
      </c>
      <c r="F1398" s="70"/>
      <c r="G1398" s="70" t="s">
        <v>61</v>
      </c>
      <c r="H1398" s="70" t="s">
        <v>178</v>
      </c>
      <c r="I1398" s="70" t="s">
        <v>188</v>
      </c>
      <c r="J1398" s="71">
        <f>IF(OR(I1398=0,I1398=""),"unrated",VLOOKUP(I1398,MappingTables!$B$19:$C$31,2,FALSE))</f>
        <v>2</v>
      </c>
      <c r="K1398" s="72">
        <v>735.79285473087696</v>
      </c>
      <c r="L1398" s="70">
        <v>1.4408837790776586</v>
      </c>
      <c r="M1398" s="71">
        <f>IF(L1398&lt;1,1,L1398)</f>
        <v>1.4408837790776586</v>
      </c>
      <c r="N1398" s="70" t="s">
        <v>141</v>
      </c>
      <c r="O1398" s="71">
        <f>INDEX(DurClassMapping,MATCH(M1398,MappingTables!$D$4:$D$8,-1),1)</f>
        <v>1</v>
      </c>
      <c r="P1398" s="73">
        <f>IF(M1398=$A$1,1,$M1398-INDEX(MappingTables!$E$4:$E$8,MATCH(O1398,MappingTables!$B$4:$B$8,0)))</f>
        <v>1.4408837790776586</v>
      </c>
      <c r="Q1398" s="71">
        <f>IF(B1398="",0,INDEX(ModelParameters!$D$6:$K$10,MATCH($O1398,ModelParameters!$B$6:$B$10,0),MATCH($J1398,ModelParameters!$D$5:$K$5,0)))</f>
        <v>0.013999999999999998</v>
      </c>
      <c r="R1398" s="71">
        <f>IF(B1398="",0,INDEX(ModelParameters!$D$13:$K$17,MATCH($O1398,ModelParameters!$B$13:$B$17,0),MATCH($J1398,ModelParameters!$D$5:$K$5,0)))</f>
        <v>0</v>
      </c>
      <c r="S1398" s="160">
        <f>IF(B1398="",0,MIN(IF($N1398="Other Bond TM",ModelParameters!$N$21,1)*(P1398*Q1398+R1398),1))</f>
        <v>0.02017237290708722</v>
      </c>
      <c r="T1398" s="85">
        <f>IF(B1398="",0,$S1398*$K1398)</f>
        <v>14.842687848001504</v>
      </c>
      <c r="U1398" s="85">
        <f>IF(B1398="",0,IF(OR(H1398=MappingTables!$C$34,H1398=MappingTables!$C$35),T1398,0))</f>
        <v>0</v>
      </c>
      <c r="V1398" s="85">
        <f>IF(ISNA(IF(AND(VLOOKUP(CONCATENATE($D1398,$G1398),CSRFinput!$B:$E,4,0)=0,OR(H1398=MappingTables!$C$34,H1398=MappingTables!$C$35)),1,VLOOKUP(CONCATENATE($D1398,$G1398),CSRFinput!$B:$E,4,0))),0,IF(AND(VLOOKUP(CONCATENATE($D1398,$G1398),CSRFinput!$B:$E,4,0)=0,OR(H1398=MappingTables!$C$34,H1398=MappingTables!$C$35)),1,VLOOKUP(CONCATENATE($D1398,$G1398),CSRFinput!$B:$E,4,0)))</f>
        <v>0.054776304963434752</v>
      </c>
      <c r="W1398" s="85">
        <f>IF(B1398="",0,+$T1398*$V1398)</f>
        <v>0.81302759603919744</v>
      </c>
      <c r="X1398" s="85">
        <f>IF(B1398="",0,IF(OR(H1398=MappingTables!$C$34,H1398=MappingTables!$C$35),W1398,0))</f>
        <v>0</v>
      </c>
    </row>
    <row r="1399" spans="2:24" s="0" customFormat="0" ht="15">
      <c r="B1399" s="69">
        <v>10657982</v>
      </c>
      <c r="C1399" s="70" t="s">
        <v>1661</v>
      </c>
      <c r="D1399" s="70" t="s">
        <v>1</v>
      </c>
      <c r="E1399" s="70" t="s">
        <v>1</v>
      </c>
      <c r="F1399" s="70"/>
      <c r="G1399" s="70" t="s">
        <v>61</v>
      </c>
      <c r="H1399" s="70" t="s">
        <v>178</v>
      </c>
      <c r="I1399" s="70" t="s">
        <v>188</v>
      </c>
      <c r="J1399" s="71">
        <f>IF(OR(I1399=0,I1399=""),"unrated",VLOOKUP(I1399,MappingTables!$B$19:$C$31,2,FALSE))</f>
        <v>2</v>
      </c>
      <c r="K1399" s="72">
        <v>976.47093121275776</v>
      </c>
      <c r="L1399" s="70">
        <v>4.8463846755467704</v>
      </c>
      <c r="M1399" s="71">
        <f>IF(L1399&lt;1,1,L1399)</f>
        <v>4.8463846755467704</v>
      </c>
      <c r="N1399" s="70" t="s">
        <v>141</v>
      </c>
      <c r="O1399" s="71">
        <f>INDEX(DurClassMapping,MATCH(M1399,MappingTables!$D$4:$D$8,-1),1)</f>
        <v>1</v>
      </c>
      <c r="P1399" s="73">
        <f>IF(M1399=$A$1,1,$M1399-INDEX(MappingTables!$E$4:$E$8,MATCH(O1399,MappingTables!$B$4:$B$8,0)))</f>
        <v>4.8463846755467704</v>
      </c>
      <c r="Q1399" s="71">
        <f>IF(B1399="",0,INDEX(ModelParameters!$D$6:$K$10,MATCH($O1399,ModelParameters!$B$6:$B$10,0),MATCH($J1399,ModelParameters!$D$5:$K$5,0)))</f>
        <v>0.013999999999999998</v>
      </c>
      <c r="R1399" s="71">
        <f>IF(B1399="",0,INDEX(ModelParameters!$D$13:$K$17,MATCH($O1399,ModelParameters!$B$13:$B$17,0),MATCH($J1399,ModelParameters!$D$5:$K$5,0)))</f>
        <v>0</v>
      </c>
      <c r="S1399" s="160">
        <f>IF(B1399="",0,MIN(IF($N1399="Other Bond TM",ModelParameters!$N$21,1)*(P1399*Q1399+R1399),1))</f>
        <v>0.067849385457654776</v>
      </c>
      <c r="T1399" s="85">
        <f>IF(B1399="",0,$S1399*$K1399)</f>
        <v>66.252952600049496</v>
      </c>
      <c r="U1399" s="85">
        <f>IF(B1399="",0,IF(OR(H1399=MappingTables!$C$34,H1399=MappingTables!$C$35),T1399,0))</f>
        <v>0</v>
      </c>
      <c r="V1399" s="85">
        <f>IF(ISNA(IF(AND(VLOOKUP(CONCATENATE($D1399,$G1399),CSRFinput!$B:$E,4,0)=0,OR(H1399=MappingTables!$C$34,H1399=MappingTables!$C$35)),1,VLOOKUP(CONCATENATE($D1399,$G1399),CSRFinput!$B:$E,4,0))),0,IF(AND(VLOOKUP(CONCATENATE($D1399,$G1399),CSRFinput!$B:$E,4,0)=0,OR(H1399=MappingTables!$C$34,H1399=MappingTables!$C$35)),1,VLOOKUP(CONCATENATE($D1399,$G1399),CSRFinput!$B:$E,4,0)))</f>
        <v>0.054776304963434752</v>
      </c>
      <c r="W1399" s="85">
        <f>IF(B1399="",0,+$T1399*$V1399)</f>
        <v>3.6290919363482984</v>
      </c>
      <c r="X1399" s="85">
        <f>IF(B1399="",0,IF(OR(H1399=MappingTables!$C$34,H1399=MappingTables!$C$35),W1399,0))</f>
        <v>0</v>
      </c>
    </row>
    <row r="1400" spans="2:24" s="0" customFormat="0" ht="15">
      <c r="B1400" s="69">
        <v>18775820</v>
      </c>
      <c r="C1400" s="70" t="s">
        <v>1662</v>
      </c>
      <c r="D1400" s="70" t="s">
        <v>1</v>
      </c>
      <c r="E1400" s="70" t="s">
        <v>1</v>
      </c>
      <c r="F1400" s="70"/>
      <c r="G1400" s="70" t="s">
        <v>61</v>
      </c>
      <c r="H1400" s="70" t="s">
        <v>178</v>
      </c>
      <c r="I1400" s="70" t="s">
        <v>179</v>
      </c>
      <c r="J1400" s="71">
        <f>IF(OR(I1400=0,I1400=""),"unrated",VLOOKUP(I1400,MappingTables!$B$19:$C$31,2,FALSE))</f>
        <v>4</v>
      </c>
      <c r="K1400" s="72">
        <v>38.403780742189848</v>
      </c>
      <c r="L1400" s="70">
        <v>0.98378890329887312</v>
      </c>
      <c r="M1400" s="71">
        <f>IF(L1400&lt;1,1,L1400)</f>
        <v>1</v>
      </c>
      <c r="N1400" s="70" t="s">
        <v>141</v>
      </c>
      <c r="O1400" s="71">
        <f>INDEX(DurClassMapping,MATCH(M1400,MappingTables!$D$4:$D$8,-1),1)</f>
        <v>1</v>
      </c>
      <c r="P1400" s="73">
        <f>IF(M1400=$A$1,1,$M1400-INDEX(MappingTables!$E$4:$E$8,MATCH(O1400,MappingTables!$B$4:$B$8,0)))</f>
        <v>1</v>
      </c>
      <c r="Q1400" s="71">
        <f>IF(B1400="",0,INDEX(ModelParameters!$D$6:$K$10,MATCH($O1400,ModelParameters!$B$6:$B$10,0),MATCH($J1400,ModelParameters!$D$5:$K$5,0)))</f>
        <v>0.045</v>
      </c>
      <c r="R1400" s="71">
        <f>IF(B1400="",0,INDEX(ModelParameters!$D$13:$K$17,MATCH($O1400,ModelParameters!$B$13:$B$17,0),MATCH($J1400,ModelParameters!$D$5:$K$5,0)))</f>
        <v>0</v>
      </c>
      <c r="S1400" s="160">
        <f>IF(B1400="",0,MIN(IF($N1400="Other Bond TM",ModelParameters!$N$21,1)*(P1400*Q1400+R1400),1))</f>
        <v>0.045</v>
      </c>
      <c r="T1400" s="85">
        <f>IF(B1400="",0,$S1400*$K1400)</f>
        <v>1.7281701333985428</v>
      </c>
      <c r="U1400" s="85">
        <f>IF(B1400="",0,IF(OR(H1400=MappingTables!$C$34,H1400=MappingTables!$C$35),T1400,0))</f>
        <v>0</v>
      </c>
      <c r="V1400" s="85">
        <f>IF(ISNA(IF(AND(VLOOKUP(CONCATENATE($D1400,$G1400),CSRFinput!$B:$E,4,0)=0,OR(H1400=MappingTables!$C$34,H1400=MappingTables!$C$35)),1,VLOOKUP(CONCATENATE($D1400,$G1400),CSRFinput!$B:$E,4,0))),0,IF(AND(VLOOKUP(CONCATENATE($D1400,$G1400),CSRFinput!$B:$E,4,0)=0,OR(H1400=MappingTables!$C$34,H1400=MappingTables!$C$35)),1,VLOOKUP(CONCATENATE($D1400,$G1400),CSRFinput!$B:$E,4,0)))</f>
        <v>0.054776304963434752</v>
      </c>
      <c r="W1400" s="85">
        <f>IF(B1400="",0,+$T1400*$V1400)</f>
        <v>0.094662774255738304</v>
      </c>
      <c r="X1400" s="85">
        <f>IF(B1400="",0,IF(OR(H1400=MappingTables!$C$34,H1400=MappingTables!$C$35),W1400,0))</f>
        <v>0</v>
      </c>
    </row>
    <row r="1401" spans="2:24" s="0" customFormat="0" ht="15">
      <c r="B1401" s="69">
        <v>2047099</v>
      </c>
      <c r="C1401" s="70" t="s">
        <v>1663</v>
      </c>
      <c r="D1401" s="70" t="s">
        <v>1</v>
      </c>
      <c r="E1401" s="70" t="s">
        <v>1</v>
      </c>
      <c r="F1401" s="70"/>
      <c r="G1401" s="70" t="s">
        <v>61</v>
      </c>
      <c r="H1401" s="70" t="s">
        <v>178</v>
      </c>
      <c r="I1401" s="70" t="s">
        <v>181</v>
      </c>
      <c r="J1401" s="71">
        <f>IF(OR(I1401=0,I1401=""),"unrated",VLOOKUP(I1401,MappingTables!$B$19:$C$31,2,FALSE))</f>
        <v>3</v>
      </c>
      <c r="K1401" s="72">
        <v>525453.22418212888</v>
      </c>
      <c r="L1401" s="70">
        <v>0.090410202490249872</v>
      </c>
      <c r="M1401" s="71">
        <f>IF(L1401&lt;1,1,L1401)</f>
        <v>1</v>
      </c>
      <c r="N1401" s="70" t="s">
        <v>141</v>
      </c>
      <c r="O1401" s="71">
        <f>INDEX(DurClassMapping,MATCH(M1401,MappingTables!$D$4:$D$8,-1),1)</f>
        <v>1</v>
      </c>
      <c r="P1401" s="73">
        <f>IF(M1401=$A$1,1,$M1401-INDEX(MappingTables!$E$4:$E$8,MATCH(O1401,MappingTables!$B$4:$B$8,0)))</f>
        <v>1</v>
      </c>
      <c r="Q1401" s="71">
        <f>IF(B1401="",0,INDEX(ModelParameters!$D$6:$K$10,MATCH($O1401,ModelParameters!$B$6:$B$10,0),MATCH($J1401,ModelParameters!$D$5:$K$5,0)))</f>
        <v>0.025</v>
      </c>
      <c r="R1401" s="71">
        <f>IF(B1401="",0,INDEX(ModelParameters!$D$13:$K$17,MATCH($O1401,ModelParameters!$B$13:$B$17,0),MATCH($J1401,ModelParameters!$D$5:$K$5,0)))</f>
        <v>0</v>
      </c>
      <c r="S1401" s="160">
        <f>IF(B1401="",0,MIN(IF($N1401="Other Bond TM",ModelParameters!$N$21,1)*(P1401*Q1401+R1401),1))</f>
        <v>0.025</v>
      </c>
      <c r="T1401" s="85">
        <f>IF(B1401="",0,$S1401*$K1401)</f>
        <v>13136.330604553222</v>
      </c>
      <c r="U1401" s="85">
        <f>IF(B1401="",0,IF(OR(H1401=MappingTables!$C$34,H1401=MappingTables!$C$35),T1401,0))</f>
        <v>0</v>
      </c>
      <c r="V1401" s="85">
        <f>IF(ISNA(IF(AND(VLOOKUP(CONCATENATE($D1401,$G1401),CSRFinput!$B:$E,4,0)=0,OR(H1401=MappingTables!$C$34,H1401=MappingTables!$C$35)),1,VLOOKUP(CONCATENATE($D1401,$G1401),CSRFinput!$B:$E,4,0))),0,IF(AND(VLOOKUP(CONCATENATE($D1401,$G1401),CSRFinput!$B:$E,4,0)=0,OR(H1401=MappingTables!$C$34,H1401=MappingTables!$C$35)),1,VLOOKUP(CONCATENATE($D1401,$G1401),CSRFinput!$B:$E,4,0)))</f>
        <v>0.054776304963434752</v>
      </c>
      <c r="W1401" s="85">
        <f>IF(B1401="",0,+$T1401*$V1401)</f>
        <v>719.55965129550848</v>
      </c>
      <c r="X1401" s="85">
        <f>IF(B1401="",0,IF(OR(H1401=MappingTables!$C$34,H1401=MappingTables!$C$35),W1401,0))</f>
        <v>0</v>
      </c>
    </row>
    <row r="1402" spans="2:24" s="0" customFormat="0" ht="15">
      <c r="B1402" s="69">
        <v>21694766</v>
      </c>
      <c r="C1402" s="70" t="s">
        <v>1664</v>
      </c>
      <c r="D1402" s="70" t="s">
        <v>1</v>
      </c>
      <c r="E1402" s="70" t="s">
        <v>1</v>
      </c>
      <c r="F1402" s="70"/>
      <c r="G1402" s="70" t="s">
        <v>61</v>
      </c>
      <c r="H1402" s="70" t="s">
        <v>178</v>
      </c>
      <c r="I1402" s="70" t="s">
        <v>188</v>
      </c>
      <c r="J1402" s="71">
        <f>IF(OR(I1402=0,I1402=""),"unrated",VLOOKUP(I1402,MappingTables!$B$19:$C$31,2,FALSE))</f>
        <v>2</v>
      </c>
      <c r="K1402" s="72">
        <v>2101.5866425017808</v>
      </c>
      <c r="L1402" s="70">
        <v>1.9267297621716964</v>
      </c>
      <c r="M1402" s="71">
        <f>IF(L1402&lt;1,1,L1402)</f>
        <v>1.9267297621716964</v>
      </c>
      <c r="N1402" s="70" t="s">
        <v>141</v>
      </c>
      <c r="O1402" s="71">
        <f>INDEX(DurClassMapping,MATCH(M1402,MappingTables!$D$4:$D$8,-1),1)</f>
        <v>1</v>
      </c>
      <c r="P1402" s="73">
        <f>IF(M1402=$A$1,1,$M1402-INDEX(MappingTables!$E$4:$E$8,MATCH(O1402,MappingTables!$B$4:$B$8,0)))</f>
        <v>1.9267297621716964</v>
      </c>
      <c r="Q1402" s="71">
        <f>IF(B1402="",0,INDEX(ModelParameters!$D$6:$K$10,MATCH($O1402,ModelParameters!$B$6:$B$10,0),MATCH($J1402,ModelParameters!$D$5:$K$5,0)))</f>
        <v>0.013999999999999998</v>
      </c>
      <c r="R1402" s="71">
        <f>IF(B1402="",0,INDEX(ModelParameters!$D$13:$K$17,MATCH($O1402,ModelParameters!$B$13:$B$17,0),MATCH($J1402,ModelParameters!$D$5:$K$5,0)))</f>
        <v>0</v>
      </c>
      <c r="S1402" s="160">
        <f>IF(B1402="",0,MIN(IF($N1402="Other Bond TM",ModelParameters!$N$21,1)*(P1402*Q1402+R1402),1))</f>
        <v>0.026974216670403744</v>
      </c>
      <c r="T1402" s="85">
        <f>IF(B1402="",0,$S1402*$K1402)</f>
        <v>56.688653446469368</v>
      </c>
      <c r="U1402" s="85">
        <f>IF(B1402="",0,IF(OR(H1402=MappingTables!$C$34,H1402=MappingTables!$C$35),T1402,0))</f>
        <v>0</v>
      </c>
      <c r="V1402" s="85">
        <f>IF(ISNA(IF(AND(VLOOKUP(CONCATENATE($D1402,$G1402),CSRFinput!$B:$E,4,0)=0,OR(H1402=MappingTables!$C$34,H1402=MappingTables!$C$35)),1,VLOOKUP(CONCATENATE($D1402,$G1402),CSRFinput!$B:$E,4,0))),0,IF(AND(VLOOKUP(CONCATENATE($D1402,$G1402),CSRFinput!$B:$E,4,0)=0,OR(H1402=MappingTables!$C$34,H1402=MappingTables!$C$35)),1,VLOOKUP(CONCATENATE($D1402,$G1402),CSRFinput!$B:$E,4,0)))</f>
        <v>0.054776304963434752</v>
      </c>
      <c r="W1402" s="85">
        <f>IF(B1402="",0,+$T1402*$V1402)</f>
        <v>3.1051949691502724</v>
      </c>
      <c r="X1402" s="85">
        <f>IF(B1402="",0,IF(OR(H1402=MappingTables!$C$34,H1402=MappingTables!$C$35),W1402,0))</f>
        <v>0</v>
      </c>
    </row>
    <row r="1403" spans="2:24" s="0" customFormat="0" ht="15">
      <c r="B1403" s="69" t="s">
        <v>1665</v>
      </c>
      <c r="C1403" s="70" t="s">
        <v>1666</v>
      </c>
      <c r="D1403" s="70" t="s">
        <v>1</v>
      </c>
      <c r="E1403" s="70" t="s">
        <v>1</v>
      </c>
      <c r="F1403" s="70"/>
      <c r="G1403" s="70" t="s">
        <v>61</v>
      </c>
      <c r="H1403" s="70" t="s">
        <v>178</v>
      </c>
      <c r="I1403" s="70" t="s">
        <v>181</v>
      </c>
      <c r="J1403" s="71">
        <f>IF(OR(I1403=0,I1403=""),"unrated",VLOOKUP(I1403,MappingTables!$B$19:$C$31,2,FALSE))</f>
        <v>3</v>
      </c>
      <c r="K1403" s="72">
        <v>93.45254903769056</v>
      </c>
      <c r="L1403" s="70">
        <v>0.79638781640705392</v>
      </c>
      <c r="M1403" s="71">
        <f>IF(L1403&lt;1,1,L1403)</f>
        <v>1</v>
      </c>
      <c r="N1403" s="70" t="s">
        <v>141</v>
      </c>
      <c r="O1403" s="71">
        <f>INDEX(DurClassMapping,MATCH(M1403,MappingTables!$D$4:$D$8,-1),1)</f>
        <v>1</v>
      </c>
      <c r="P1403" s="73">
        <f>IF(M1403=$A$1,1,$M1403-INDEX(MappingTables!$E$4:$E$8,MATCH(O1403,MappingTables!$B$4:$B$8,0)))</f>
        <v>1</v>
      </c>
      <c r="Q1403" s="71">
        <f>IF(B1403="",0,INDEX(ModelParameters!$D$6:$K$10,MATCH($O1403,ModelParameters!$B$6:$B$10,0),MATCH($J1403,ModelParameters!$D$5:$K$5,0)))</f>
        <v>0.025</v>
      </c>
      <c r="R1403" s="71">
        <f>IF(B1403="",0,INDEX(ModelParameters!$D$13:$K$17,MATCH($O1403,ModelParameters!$B$13:$B$17,0),MATCH($J1403,ModelParameters!$D$5:$K$5,0)))</f>
        <v>0</v>
      </c>
      <c r="S1403" s="160">
        <f>IF(B1403="",0,MIN(IF($N1403="Other Bond TM",ModelParameters!$N$21,1)*(P1403*Q1403+R1403),1))</f>
        <v>0.025</v>
      </c>
      <c r="T1403" s="85">
        <f>IF(B1403="",0,$S1403*$K1403)</f>
        <v>2.336313725942264</v>
      </c>
      <c r="U1403" s="85">
        <f>IF(B1403="",0,IF(OR(H1403=MappingTables!$C$34,H1403=MappingTables!$C$35),T1403,0))</f>
        <v>0</v>
      </c>
      <c r="V1403" s="85">
        <f>IF(ISNA(IF(AND(VLOOKUP(CONCATENATE($D1403,$G1403),CSRFinput!$B:$E,4,0)=0,OR(H1403=MappingTables!$C$34,H1403=MappingTables!$C$35)),1,VLOOKUP(CONCATENATE($D1403,$G1403),CSRFinput!$B:$E,4,0))),0,IF(AND(VLOOKUP(CONCATENATE($D1403,$G1403),CSRFinput!$B:$E,4,0)=0,OR(H1403=MappingTables!$C$34,H1403=MappingTables!$C$35)),1,VLOOKUP(CONCATENATE($D1403,$G1403),CSRFinput!$B:$E,4,0)))</f>
        <v>0.054776304963434752</v>
      </c>
      <c r="W1403" s="85">
        <f>IF(B1403="",0,+$T1403*$V1403)</f>
        <v>0.12797463314247198</v>
      </c>
      <c r="X1403" s="85">
        <f>IF(B1403="",0,IF(OR(H1403=MappingTables!$C$34,H1403=MappingTables!$C$35),W1403,0))</f>
        <v>0</v>
      </c>
    </row>
    <row r="1404" spans="2:24" s="0" customFormat="0" ht="15">
      <c r="B1404" s="69">
        <v>19599196</v>
      </c>
      <c r="C1404" s="70" t="s">
        <v>1667</v>
      </c>
      <c r="D1404" s="70" t="s">
        <v>1</v>
      </c>
      <c r="E1404" s="70" t="s">
        <v>1</v>
      </c>
      <c r="F1404" s="70"/>
      <c r="G1404" s="70" t="s">
        <v>61</v>
      </c>
      <c r="H1404" s="70" t="s">
        <v>178</v>
      </c>
      <c r="I1404" s="70" t="s">
        <v>181</v>
      </c>
      <c r="J1404" s="71">
        <f>IF(OR(I1404=0,I1404=""),"unrated",VLOOKUP(I1404,MappingTables!$B$19:$C$31,2,FALSE))</f>
        <v>3</v>
      </c>
      <c r="K1404" s="72">
        <v>7780.131843576232</v>
      </c>
      <c r="L1404" s="70">
        <v>5.5276749394684976</v>
      </c>
      <c r="M1404" s="71">
        <f>IF(L1404&lt;1,1,L1404)</f>
        <v>5.5276749394684976</v>
      </c>
      <c r="N1404" s="70" t="s">
        <v>141</v>
      </c>
      <c r="O1404" s="71">
        <f>INDEX(DurClassMapping,MATCH(M1404,MappingTables!$D$4:$D$8,-1),1)</f>
        <v>2</v>
      </c>
      <c r="P1404" s="73">
        <f>IF(M1404=$A$1,1,$M1404-INDEX(MappingTables!$E$4:$E$8,MATCH(O1404,MappingTables!$B$4:$B$8,0)))</f>
        <v>0.52767493946849784</v>
      </c>
      <c r="Q1404" s="71">
        <f>IF(B1404="",0,INDEX(ModelParameters!$D$6:$K$10,MATCH($O1404,ModelParameters!$B$6:$B$10,0),MATCH($J1404,ModelParameters!$D$5:$K$5,0)))</f>
        <v>0.015</v>
      </c>
      <c r="R1404" s="71">
        <f>IF(B1404="",0,INDEX(ModelParameters!$D$13:$K$17,MATCH($O1404,ModelParameters!$B$13:$B$17,0),MATCH($J1404,ModelParameters!$D$5:$K$5,0)))</f>
        <v>0.125</v>
      </c>
      <c r="S1404" s="160">
        <f>IF(B1404="",0,MIN(IF($N1404="Other Bond TM",ModelParameters!$N$21,1)*(P1404*Q1404+R1404),1))</f>
        <v>0.13291512409202746</v>
      </c>
      <c r="T1404" s="85">
        <f>IF(B1404="",0,$S1404*$K1404)</f>
        <v>1034.0971894412694</v>
      </c>
      <c r="U1404" s="85">
        <f>IF(B1404="",0,IF(OR(H1404=MappingTables!$C$34,H1404=MappingTables!$C$35),T1404,0))</f>
        <v>0</v>
      </c>
      <c r="V1404" s="85">
        <f>IF(ISNA(IF(AND(VLOOKUP(CONCATENATE($D1404,$G1404),CSRFinput!$B:$E,4,0)=0,OR(H1404=MappingTables!$C$34,H1404=MappingTables!$C$35)),1,VLOOKUP(CONCATENATE($D1404,$G1404),CSRFinput!$B:$E,4,0))),0,IF(AND(VLOOKUP(CONCATENATE($D1404,$G1404),CSRFinput!$B:$E,4,0)=0,OR(H1404=MappingTables!$C$34,H1404=MappingTables!$C$35)),1,VLOOKUP(CONCATENATE($D1404,$G1404),CSRFinput!$B:$E,4,0)))</f>
        <v>0.054776304963434752</v>
      </c>
      <c r="W1404" s="85">
        <f>IF(B1404="",0,+$T1404*$V1404)</f>
        <v>56.644023010665736</v>
      </c>
      <c r="X1404" s="85">
        <f>IF(B1404="",0,IF(OR(H1404=MappingTables!$C$34,H1404=MappingTables!$C$35),W1404,0))</f>
        <v>0</v>
      </c>
    </row>
    <row r="1405" spans="2:24" s="0" customFormat="0" ht="15">
      <c r="B1405" s="69">
        <v>15769826</v>
      </c>
      <c r="C1405" s="70" t="s">
        <v>1434</v>
      </c>
      <c r="D1405" s="70" t="s">
        <v>1</v>
      </c>
      <c r="E1405" s="70" t="s">
        <v>1</v>
      </c>
      <c r="F1405" s="70"/>
      <c r="G1405" s="70" t="s">
        <v>61</v>
      </c>
      <c r="H1405" s="70" t="s">
        <v>178</v>
      </c>
      <c r="I1405" s="70" t="s">
        <v>181</v>
      </c>
      <c r="J1405" s="71">
        <f>IF(OR(I1405=0,I1405=""),"unrated",VLOOKUP(I1405,MappingTables!$B$19:$C$31,2,FALSE))</f>
        <v>3</v>
      </c>
      <c r="K1405" s="72">
        <v>27944.387877386248</v>
      </c>
      <c r="L1405" s="70">
        <v>6.2950959128482872</v>
      </c>
      <c r="M1405" s="71">
        <f>IF(L1405&lt;1,1,L1405)</f>
        <v>6.2950959128482872</v>
      </c>
      <c r="N1405" s="70" t="s">
        <v>141</v>
      </c>
      <c r="O1405" s="71">
        <f>INDEX(DurClassMapping,MATCH(M1405,MappingTables!$D$4:$D$8,-1),1)</f>
        <v>2</v>
      </c>
      <c r="P1405" s="73">
        <f>IF(M1405=$A$1,1,$M1405-INDEX(MappingTables!$E$4:$E$8,MATCH(O1405,MappingTables!$B$4:$B$8,0)))</f>
        <v>1.2950959128482876</v>
      </c>
      <c r="Q1405" s="71">
        <f>IF(B1405="",0,INDEX(ModelParameters!$D$6:$K$10,MATCH($O1405,ModelParameters!$B$6:$B$10,0),MATCH($J1405,ModelParameters!$D$5:$K$5,0)))</f>
        <v>0.015</v>
      </c>
      <c r="R1405" s="71">
        <f>IF(B1405="",0,INDEX(ModelParameters!$D$13:$K$17,MATCH($O1405,ModelParameters!$B$13:$B$17,0),MATCH($J1405,ModelParameters!$D$5:$K$5,0)))</f>
        <v>0.125</v>
      </c>
      <c r="S1405" s="160">
        <f>IF(B1405="",0,MIN(IF($N1405="Other Bond TM",ModelParameters!$N$21,1)*(P1405*Q1405+R1405),1))</f>
        <v>0.14442643869272432</v>
      </c>
      <c r="T1405" s="85">
        <f>IF(B1405="",0,$S1405*$K1405)</f>
        <v>4035.9084225790336</v>
      </c>
      <c r="U1405" s="85">
        <f>IF(B1405="",0,IF(OR(H1405=MappingTables!$C$34,H1405=MappingTables!$C$35),T1405,0))</f>
        <v>0</v>
      </c>
      <c r="V1405" s="85">
        <f>IF(ISNA(IF(AND(VLOOKUP(CONCATENATE($D1405,$G1405),CSRFinput!$B:$E,4,0)=0,OR(H1405=MappingTables!$C$34,H1405=MappingTables!$C$35)),1,VLOOKUP(CONCATENATE($D1405,$G1405),CSRFinput!$B:$E,4,0))),0,IF(AND(VLOOKUP(CONCATENATE($D1405,$G1405),CSRFinput!$B:$E,4,0)=0,OR(H1405=MappingTables!$C$34,H1405=MappingTables!$C$35)),1,VLOOKUP(CONCATENATE($D1405,$G1405),CSRFinput!$B:$E,4,0)))</f>
        <v>0.054776304963434752</v>
      </c>
      <c r="W1405" s="85">
        <f>IF(B1405="",0,+$T1405*$V1405)</f>
        <v>221.07215055968404</v>
      </c>
      <c r="X1405" s="85">
        <f>IF(B1405="",0,IF(OR(H1405=MappingTables!$C$34,H1405=MappingTables!$C$35),W1405,0))</f>
        <v>0</v>
      </c>
    </row>
    <row r="1406" spans="2:24" s="0" customFormat="0" ht="15">
      <c r="B1406" s="69" t="s">
        <v>1668</v>
      </c>
      <c r="C1406" s="70" t="s">
        <v>1669</v>
      </c>
      <c r="D1406" s="70" t="s">
        <v>1</v>
      </c>
      <c r="E1406" s="70" t="s">
        <v>1</v>
      </c>
      <c r="F1406" s="70"/>
      <c r="G1406" s="70" t="s">
        <v>61</v>
      </c>
      <c r="H1406" s="70" t="s">
        <v>178</v>
      </c>
      <c r="I1406" s="70" t="s">
        <v>188</v>
      </c>
      <c r="J1406" s="71">
        <f>IF(OR(I1406=0,I1406=""),"unrated",VLOOKUP(I1406,MappingTables!$B$19:$C$31,2,FALSE))</f>
        <v>2</v>
      </c>
      <c r="K1406" s="72">
        <v>79.118941003179184</v>
      </c>
      <c r="L1406" s="70">
        <v>2.451373590163624</v>
      </c>
      <c r="M1406" s="71">
        <f>IF(L1406&lt;1,1,L1406)</f>
        <v>2.451373590163624</v>
      </c>
      <c r="N1406" s="70" t="s">
        <v>141</v>
      </c>
      <c r="O1406" s="71">
        <f>INDEX(DurClassMapping,MATCH(M1406,MappingTables!$D$4:$D$8,-1),1)</f>
        <v>1</v>
      </c>
      <c r="P1406" s="73">
        <f>IF(M1406=$A$1,1,$M1406-INDEX(MappingTables!$E$4:$E$8,MATCH(O1406,MappingTables!$B$4:$B$8,0)))</f>
        <v>2.451373590163624</v>
      </c>
      <c r="Q1406" s="71">
        <f>IF(B1406="",0,INDEX(ModelParameters!$D$6:$K$10,MATCH($O1406,ModelParameters!$B$6:$B$10,0),MATCH($J1406,ModelParameters!$D$5:$K$5,0)))</f>
        <v>0.013999999999999998</v>
      </c>
      <c r="R1406" s="71">
        <f>IF(B1406="",0,INDEX(ModelParameters!$D$13:$K$17,MATCH($O1406,ModelParameters!$B$13:$B$17,0),MATCH($J1406,ModelParameters!$D$5:$K$5,0)))</f>
        <v>0</v>
      </c>
      <c r="S1406" s="160">
        <f>IF(B1406="",0,MIN(IF($N1406="Other Bond TM",ModelParameters!$N$21,1)*(P1406*Q1406+R1406),1))</f>
        <v>0.034319230262290728</v>
      </c>
      <c r="T1406" s="85">
        <f>IF(B1406="",0,$S1406*$K1406)</f>
        <v>2.7153011543967024</v>
      </c>
      <c r="U1406" s="85">
        <f>IF(B1406="",0,IF(OR(H1406=MappingTables!$C$34,H1406=MappingTables!$C$35),T1406,0))</f>
        <v>0</v>
      </c>
      <c r="V1406" s="85">
        <f>IF(ISNA(IF(AND(VLOOKUP(CONCATENATE($D1406,$G1406),CSRFinput!$B:$E,4,0)=0,OR(H1406=MappingTables!$C$34,H1406=MappingTables!$C$35)),1,VLOOKUP(CONCATENATE($D1406,$G1406),CSRFinput!$B:$E,4,0))),0,IF(AND(VLOOKUP(CONCATENATE($D1406,$G1406),CSRFinput!$B:$E,4,0)=0,OR(H1406=MappingTables!$C$34,H1406=MappingTables!$C$35)),1,VLOOKUP(CONCATENATE($D1406,$G1406),CSRFinput!$B:$E,4,0)))</f>
        <v>0.054776304963434752</v>
      </c>
      <c r="W1406" s="85">
        <f>IF(B1406="",0,+$T1406*$V1406)</f>
        <v>0.1487341641008002</v>
      </c>
      <c r="X1406" s="85">
        <f>IF(B1406="",0,IF(OR(H1406=MappingTables!$C$34,H1406=MappingTables!$C$35),W1406,0))</f>
        <v>0</v>
      </c>
    </row>
    <row r="1407" spans="2:24" s="0" customFormat="0" ht="15">
      <c r="B1407" s="69">
        <v>17252299</v>
      </c>
      <c r="C1407" s="70" t="s">
        <v>1670</v>
      </c>
      <c r="D1407" s="70" t="s">
        <v>1</v>
      </c>
      <c r="E1407" s="70" t="s">
        <v>1</v>
      </c>
      <c r="F1407" s="70"/>
      <c r="G1407" s="70" t="s">
        <v>61</v>
      </c>
      <c r="H1407" s="70" t="s">
        <v>178</v>
      </c>
      <c r="I1407" s="70" t="s">
        <v>179</v>
      </c>
      <c r="J1407" s="71">
        <f>IF(OR(I1407=0,I1407=""),"unrated",VLOOKUP(I1407,MappingTables!$B$19:$C$31,2,FALSE))</f>
        <v>4</v>
      </c>
      <c r="K1407" s="72">
        <v>37239.684908104984</v>
      </c>
      <c r="L1407" s="70">
        <v>5.8824694904335304</v>
      </c>
      <c r="M1407" s="71">
        <f>IF(L1407&lt;1,1,L1407)</f>
        <v>5.8824694904335304</v>
      </c>
      <c r="N1407" s="70" t="s">
        <v>141</v>
      </c>
      <c r="O1407" s="71">
        <f>INDEX(DurClassMapping,MATCH(M1407,MappingTables!$D$4:$D$8,-1),1)</f>
        <v>2</v>
      </c>
      <c r="P1407" s="73">
        <f>IF(M1407=$A$1,1,$M1407-INDEX(MappingTables!$E$4:$E$8,MATCH(O1407,MappingTables!$B$4:$B$8,0)))</f>
        <v>0.88246949043353056</v>
      </c>
      <c r="Q1407" s="71">
        <f>IF(B1407="",0,INDEX(ModelParameters!$D$6:$K$10,MATCH($O1407,ModelParameters!$B$6:$B$10,0),MATCH($J1407,ModelParameters!$D$5:$K$5,0)))</f>
        <v>0.025</v>
      </c>
      <c r="R1407" s="71">
        <f>IF(B1407="",0,INDEX(ModelParameters!$D$13:$K$17,MATCH($O1407,ModelParameters!$B$13:$B$17,0),MATCH($J1407,ModelParameters!$D$5:$K$5,0)))</f>
        <v>0.225</v>
      </c>
      <c r="S1407" s="160">
        <f>IF(B1407="",0,MIN(IF($N1407="Other Bond TM",ModelParameters!$N$21,1)*(P1407*Q1407+R1407),1))</f>
        <v>0.24706173726083828</v>
      </c>
      <c r="T1407" s="85">
        <f>IF(B1407="",0,$S1407*$K1407)</f>
        <v>9200.5012484426384</v>
      </c>
      <c r="U1407" s="85">
        <f>IF(B1407="",0,IF(OR(H1407=MappingTables!$C$34,H1407=MappingTables!$C$35),T1407,0))</f>
        <v>0</v>
      </c>
      <c r="V1407" s="85">
        <f>IF(ISNA(IF(AND(VLOOKUP(CONCATENATE($D1407,$G1407),CSRFinput!$B:$E,4,0)=0,OR(H1407=MappingTables!$C$34,H1407=MappingTables!$C$35)),1,VLOOKUP(CONCATENATE($D1407,$G1407),CSRFinput!$B:$E,4,0))),0,IF(AND(VLOOKUP(CONCATENATE($D1407,$G1407),CSRFinput!$B:$E,4,0)=0,OR(H1407=MappingTables!$C$34,H1407=MappingTables!$C$35)),1,VLOOKUP(CONCATENATE($D1407,$G1407),CSRFinput!$B:$E,4,0)))</f>
        <v>0.054776304963434752</v>
      </c>
      <c r="W1407" s="85">
        <f>IF(B1407="",0,+$T1407*$V1407)</f>
        <v>503.96946220115616</v>
      </c>
      <c r="X1407" s="85">
        <f>IF(B1407="",0,IF(OR(H1407=MappingTables!$C$34,H1407=MappingTables!$C$35),W1407,0))</f>
        <v>0</v>
      </c>
    </row>
    <row r="1408" spans="2:24" s="0" customFormat="0" ht="15">
      <c r="B1408" s="69">
        <v>11583646</v>
      </c>
      <c r="C1408" s="70" t="s">
        <v>1671</v>
      </c>
      <c r="D1408" s="70" t="s">
        <v>1</v>
      </c>
      <c r="E1408" s="70" t="s">
        <v>1</v>
      </c>
      <c r="F1408" s="70"/>
      <c r="G1408" s="70" t="s">
        <v>61</v>
      </c>
      <c r="H1408" s="70" t="s">
        <v>178</v>
      </c>
      <c r="I1408" s="70" t="s">
        <v>181</v>
      </c>
      <c r="J1408" s="71">
        <f>IF(OR(I1408=0,I1408=""),"unrated",VLOOKUP(I1408,MappingTables!$B$19:$C$31,2,FALSE))</f>
        <v>3</v>
      </c>
      <c r="K1408" s="72">
        <v>2875.7124551853844</v>
      </c>
      <c r="L1408" s="70">
        <v>4.5669056680606376</v>
      </c>
      <c r="M1408" s="71">
        <f>IF(L1408&lt;1,1,L1408)</f>
        <v>4.5669056680606376</v>
      </c>
      <c r="N1408" s="70" t="s">
        <v>141</v>
      </c>
      <c r="O1408" s="71">
        <f>INDEX(DurClassMapping,MATCH(M1408,MappingTables!$D$4:$D$8,-1),1)</f>
        <v>1</v>
      </c>
      <c r="P1408" s="73">
        <f>IF(M1408=$A$1,1,$M1408-INDEX(MappingTables!$E$4:$E$8,MATCH(O1408,MappingTables!$B$4:$B$8,0)))</f>
        <v>4.5669056680606376</v>
      </c>
      <c r="Q1408" s="71">
        <f>IF(B1408="",0,INDEX(ModelParameters!$D$6:$K$10,MATCH($O1408,ModelParameters!$B$6:$B$10,0),MATCH($J1408,ModelParameters!$D$5:$K$5,0)))</f>
        <v>0.025</v>
      </c>
      <c r="R1408" s="71">
        <f>IF(B1408="",0,INDEX(ModelParameters!$D$13:$K$17,MATCH($O1408,ModelParameters!$B$13:$B$17,0),MATCH($J1408,ModelParameters!$D$5:$K$5,0)))</f>
        <v>0</v>
      </c>
      <c r="S1408" s="160">
        <f>IF(B1408="",0,MIN(IF($N1408="Other Bond TM",ModelParameters!$N$21,1)*(P1408*Q1408+R1408),1))</f>
        <v>0.11417264170151594</v>
      </c>
      <c r="T1408" s="85">
        <f>IF(B1408="",0,$S1408*$K1408)</f>
        <v>328.3276877824676</v>
      </c>
      <c r="U1408" s="85">
        <f>IF(B1408="",0,IF(OR(H1408=MappingTables!$C$34,H1408=MappingTables!$C$35),T1408,0))</f>
        <v>0</v>
      </c>
      <c r="V1408" s="85">
        <f>IF(ISNA(IF(AND(VLOOKUP(CONCATENATE($D1408,$G1408),CSRFinput!$B:$E,4,0)=0,OR(H1408=MappingTables!$C$34,H1408=MappingTables!$C$35)),1,VLOOKUP(CONCATENATE($D1408,$G1408),CSRFinput!$B:$E,4,0))),0,IF(AND(VLOOKUP(CONCATENATE($D1408,$G1408),CSRFinput!$B:$E,4,0)=0,OR(H1408=MappingTables!$C$34,H1408=MappingTables!$C$35)),1,VLOOKUP(CONCATENATE($D1408,$G1408),CSRFinput!$B:$E,4,0)))</f>
        <v>0.054776304963434752</v>
      </c>
      <c r="W1408" s="85">
        <f>IF(B1408="",0,+$T1408*$V1408)</f>
        <v>17.984577553911838</v>
      </c>
      <c r="X1408" s="85">
        <f>IF(B1408="",0,IF(OR(H1408=MappingTables!$C$34,H1408=MappingTables!$C$35),W1408,0))</f>
        <v>0</v>
      </c>
    </row>
    <row r="1409" spans="2:24" s="0" customFormat="0" ht="15">
      <c r="B1409" s="69">
        <v>11522747</v>
      </c>
      <c r="C1409" s="70" t="s">
        <v>1672</v>
      </c>
      <c r="D1409" s="70" t="s">
        <v>1</v>
      </c>
      <c r="E1409" s="70" t="s">
        <v>1</v>
      </c>
      <c r="F1409" s="70"/>
      <c r="G1409" s="70" t="s">
        <v>61</v>
      </c>
      <c r="H1409" s="70" t="s">
        <v>178</v>
      </c>
      <c r="I1409" s="70" t="s">
        <v>188</v>
      </c>
      <c r="J1409" s="71">
        <f>IF(OR(I1409=0,I1409=""),"unrated",VLOOKUP(I1409,MappingTables!$B$19:$C$31,2,FALSE))</f>
        <v>2</v>
      </c>
      <c r="K1409" s="72">
        <v>11.09062548739459</v>
      </c>
      <c r="L1409" s="70">
        <v>0.13150483072109398</v>
      </c>
      <c r="M1409" s="71">
        <f>IF(L1409&lt;1,1,L1409)</f>
        <v>1</v>
      </c>
      <c r="N1409" s="70" t="s">
        <v>141</v>
      </c>
      <c r="O1409" s="71">
        <f>INDEX(DurClassMapping,MATCH(M1409,MappingTables!$D$4:$D$8,-1),1)</f>
        <v>1</v>
      </c>
      <c r="P1409" s="73">
        <f>IF(M1409=$A$1,1,$M1409-INDEX(MappingTables!$E$4:$E$8,MATCH(O1409,MappingTables!$B$4:$B$8,0)))</f>
        <v>1</v>
      </c>
      <c r="Q1409" s="71">
        <f>IF(B1409="",0,INDEX(ModelParameters!$D$6:$K$10,MATCH($O1409,ModelParameters!$B$6:$B$10,0),MATCH($J1409,ModelParameters!$D$5:$K$5,0)))</f>
        <v>0.013999999999999998</v>
      </c>
      <c r="R1409" s="71">
        <f>IF(B1409="",0,INDEX(ModelParameters!$D$13:$K$17,MATCH($O1409,ModelParameters!$B$13:$B$17,0),MATCH($J1409,ModelParameters!$D$5:$K$5,0)))</f>
        <v>0</v>
      </c>
      <c r="S1409" s="160">
        <f>IF(B1409="",0,MIN(IF($N1409="Other Bond TM",ModelParameters!$N$21,1)*(P1409*Q1409+R1409),1))</f>
        <v>0.013999999999999998</v>
      </c>
      <c r="T1409" s="85">
        <f>IF(B1409="",0,$S1409*$K1409)</f>
        <v>0.15526875682352422</v>
      </c>
      <c r="U1409" s="85">
        <f>IF(B1409="",0,IF(OR(H1409=MappingTables!$C$34,H1409=MappingTables!$C$35),T1409,0))</f>
        <v>0</v>
      </c>
      <c r="V1409" s="85">
        <f>IF(ISNA(IF(AND(VLOOKUP(CONCATENATE($D1409,$G1409),CSRFinput!$B:$E,4,0)=0,OR(H1409=MappingTables!$C$34,H1409=MappingTables!$C$35)),1,VLOOKUP(CONCATENATE($D1409,$G1409),CSRFinput!$B:$E,4,0))),0,IF(AND(VLOOKUP(CONCATENATE($D1409,$G1409),CSRFinput!$B:$E,4,0)=0,OR(H1409=MappingTables!$C$34,H1409=MappingTables!$C$35)),1,VLOOKUP(CONCATENATE($D1409,$G1409),CSRFinput!$B:$E,4,0)))</f>
        <v>0.054776304963434752</v>
      </c>
      <c r="W1409" s="85">
        <f>IF(B1409="",0,+$T1409*$V1409)</f>
        <v>0.0085050487750587552</v>
      </c>
      <c r="X1409" s="85">
        <f>IF(B1409="",0,IF(OR(H1409=MappingTables!$C$34,H1409=MappingTables!$C$35),W1409,0))</f>
        <v>0</v>
      </c>
    </row>
    <row r="1410" spans="2:24" s="0" customFormat="0" ht="15">
      <c r="B1410" s="69">
        <v>22273928</v>
      </c>
      <c r="C1410" s="70" t="s">
        <v>1673</v>
      </c>
      <c r="D1410" s="70" t="s">
        <v>1</v>
      </c>
      <c r="E1410" s="70" t="s">
        <v>1</v>
      </c>
      <c r="F1410" s="70"/>
      <c r="G1410" s="70" t="s">
        <v>61</v>
      </c>
      <c r="H1410" s="70" t="s">
        <v>178</v>
      </c>
      <c r="I1410" s="70" t="s">
        <v>181</v>
      </c>
      <c r="J1410" s="71">
        <f>IF(OR(I1410=0,I1410=""),"unrated",VLOOKUP(I1410,MappingTables!$B$19:$C$31,2,FALSE))</f>
        <v>3</v>
      </c>
      <c r="K1410" s="72">
        <v>871.23173827631264</v>
      </c>
      <c r="L1410" s="70">
        <v>0.1369836163533436</v>
      </c>
      <c r="M1410" s="71">
        <f>IF(L1410&lt;1,1,L1410)</f>
        <v>1</v>
      </c>
      <c r="N1410" s="70" t="s">
        <v>141</v>
      </c>
      <c r="O1410" s="71">
        <f>INDEX(DurClassMapping,MATCH(M1410,MappingTables!$D$4:$D$8,-1),1)</f>
        <v>1</v>
      </c>
      <c r="P1410" s="73">
        <f>IF(M1410=$A$1,1,$M1410-INDEX(MappingTables!$E$4:$E$8,MATCH(O1410,MappingTables!$B$4:$B$8,0)))</f>
        <v>1</v>
      </c>
      <c r="Q1410" s="71">
        <f>IF(B1410="",0,INDEX(ModelParameters!$D$6:$K$10,MATCH($O1410,ModelParameters!$B$6:$B$10,0),MATCH($J1410,ModelParameters!$D$5:$K$5,0)))</f>
        <v>0.025</v>
      </c>
      <c r="R1410" s="71">
        <f>IF(B1410="",0,INDEX(ModelParameters!$D$13:$K$17,MATCH($O1410,ModelParameters!$B$13:$B$17,0),MATCH($J1410,ModelParameters!$D$5:$K$5,0)))</f>
        <v>0</v>
      </c>
      <c r="S1410" s="160">
        <f>IF(B1410="",0,MIN(IF($N1410="Other Bond TM",ModelParameters!$N$21,1)*(P1410*Q1410+R1410),1))</f>
        <v>0.025</v>
      </c>
      <c r="T1410" s="85">
        <f>IF(B1410="",0,$S1410*$K1410)</f>
        <v>21.780793456907816</v>
      </c>
      <c r="U1410" s="85">
        <f>IF(B1410="",0,IF(OR(H1410=MappingTables!$C$34,H1410=MappingTables!$C$35),T1410,0))</f>
        <v>0</v>
      </c>
      <c r="V1410" s="85">
        <f>IF(ISNA(IF(AND(VLOOKUP(CONCATENATE($D1410,$G1410),CSRFinput!$B:$E,4,0)=0,OR(H1410=MappingTables!$C$34,H1410=MappingTables!$C$35)),1,VLOOKUP(CONCATENATE($D1410,$G1410),CSRFinput!$B:$E,4,0))),0,IF(AND(VLOOKUP(CONCATENATE($D1410,$G1410),CSRFinput!$B:$E,4,0)=0,OR(H1410=MappingTables!$C$34,H1410=MappingTables!$C$35)),1,VLOOKUP(CONCATENATE($D1410,$G1410),CSRFinput!$B:$E,4,0)))</f>
        <v>0.054776304963434752</v>
      </c>
      <c r="W1410" s="85">
        <f>IF(B1410="",0,+$T1410*$V1410)</f>
        <v>1.1930713847411666</v>
      </c>
      <c r="X1410" s="85">
        <f>IF(B1410="",0,IF(OR(H1410=MappingTables!$C$34,H1410=MappingTables!$C$35),W1410,0))</f>
        <v>0</v>
      </c>
    </row>
    <row r="1411" spans="2:24" s="0" customFormat="0" ht="15">
      <c r="B1411" s="69">
        <v>19843127</v>
      </c>
      <c r="C1411" s="70" t="s">
        <v>1674</v>
      </c>
      <c r="D1411" s="70" t="s">
        <v>1</v>
      </c>
      <c r="E1411" s="70" t="s">
        <v>1</v>
      </c>
      <c r="F1411" s="70"/>
      <c r="G1411" s="70" t="s">
        <v>61</v>
      </c>
      <c r="H1411" s="70" t="s">
        <v>178</v>
      </c>
      <c r="I1411" s="70" t="s">
        <v>188</v>
      </c>
      <c r="J1411" s="71">
        <f>IF(OR(I1411=0,I1411=""),"unrated",VLOOKUP(I1411,MappingTables!$B$19:$C$31,2,FALSE))</f>
        <v>2</v>
      </c>
      <c r="K1411" s="72">
        <v>5907.8043915606504</v>
      </c>
      <c r="L1411" s="70">
        <v>1.6396800922393394</v>
      </c>
      <c r="M1411" s="71">
        <f>IF(L1411&lt;1,1,L1411)</f>
        <v>1.6396800922393394</v>
      </c>
      <c r="N1411" s="70" t="s">
        <v>141</v>
      </c>
      <c r="O1411" s="71">
        <f>INDEX(DurClassMapping,MATCH(M1411,MappingTables!$D$4:$D$8,-1),1)</f>
        <v>1</v>
      </c>
      <c r="P1411" s="73">
        <f>IF(M1411=$A$1,1,$M1411-INDEX(MappingTables!$E$4:$E$8,MATCH(O1411,MappingTables!$B$4:$B$8,0)))</f>
        <v>1.6396800922393394</v>
      </c>
      <c r="Q1411" s="71">
        <f>IF(B1411="",0,INDEX(ModelParameters!$D$6:$K$10,MATCH($O1411,ModelParameters!$B$6:$B$10,0),MATCH($J1411,ModelParameters!$D$5:$K$5,0)))</f>
        <v>0.013999999999999998</v>
      </c>
      <c r="R1411" s="71">
        <f>IF(B1411="",0,INDEX(ModelParameters!$D$13:$K$17,MATCH($O1411,ModelParameters!$B$13:$B$17,0),MATCH($J1411,ModelParameters!$D$5:$K$5,0)))</f>
        <v>0</v>
      </c>
      <c r="S1411" s="160">
        <f>IF(B1411="",0,MIN(IF($N1411="Other Bond TM",ModelParameters!$N$21,1)*(P1411*Q1411+R1411),1))</f>
        <v>0.022955521291350748</v>
      </c>
      <c r="T1411" s="85">
        <f>IF(B1411="",0,$S1411*$K1411)</f>
        <v>135.61672949560596</v>
      </c>
      <c r="U1411" s="85">
        <f>IF(B1411="",0,IF(OR(H1411=MappingTables!$C$34,H1411=MappingTables!$C$35),T1411,0))</f>
        <v>0</v>
      </c>
      <c r="V1411" s="85">
        <f>IF(ISNA(IF(AND(VLOOKUP(CONCATENATE($D1411,$G1411),CSRFinput!$B:$E,4,0)=0,OR(H1411=MappingTables!$C$34,H1411=MappingTables!$C$35)),1,VLOOKUP(CONCATENATE($D1411,$G1411),CSRFinput!$B:$E,4,0))),0,IF(AND(VLOOKUP(CONCATENATE($D1411,$G1411),CSRFinput!$B:$E,4,0)=0,OR(H1411=MappingTables!$C$34,H1411=MappingTables!$C$35)),1,VLOOKUP(CONCATENATE($D1411,$G1411),CSRFinput!$B:$E,4,0)))</f>
        <v>0.054776304963434752</v>
      </c>
      <c r="W1411" s="85">
        <f>IF(B1411="",0,+$T1411*$V1411)</f>
        <v>7.4285833329949488</v>
      </c>
      <c r="X1411" s="85">
        <f>IF(B1411="",0,IF(OR(H1411=MappingTables!$C$34,H1411=MappingTables!$C$35),W1411,0))</f>
        <v>0</v>
      </c>
    </row>
    <row r="1412" spans="2:24" s="0" customFormat="0" ht="15">
      <c r="B1412" s="69">
        <v>14693195</v>
      </c>
      <c r="C1412" s="70" t="s">
        <v>1675</v>
      </c>
      <c r="D1412" s="70" t="s">
        <v>1</v>
      </c>
      <c r="E1412" s="70" t="s">
        <v>1</v>
      </c>
      <c r="F1412" s="70"/>
      <c r="G1412" s="70" t="s">
        <v>61</v>
      </c>
      <c r="H1412" s="70" t="s">
        <v>178</v>
      </c>
      <c r="I1412" s="70" t="s">
        <v>188</v>
      </c>
      <c r="J1412" s="71">
        <f>IF(OR(I1412=0,I1412=""),"unrated",VLOOKUP(I1412,MappingTables!$B$19:$C$31,2,FALSE))</f>
        <v>2</v>
      </c>
      <c r="K1412" s="72">
        <v>13693.700776546986</v>
      </c>
      <c r="L1412" s="70">
        <v>1.6158206205478722</v>
      </c>
      <c r="M1412" s="71">
        <f>IF(L1412&lt;1,1,L1412)</f>
        <v>1.6158206205478722</v>
      </c>
      <c r="N1412" s="70" t="s">
        <v>141</v>
      </c>
      <c r="O1412" s="71">
        <f>INDEX(DurClassMapping,MATCH(M1412,MappingTables!$D$4:$D$8,-1),1)</f>
        <v>1</v>
      </c>
      <c r="P1412" s="73">
        <f>IF(M1412=$A$1,1,$M1412-INDEX(MappingTables!$E$4:$E$8,MATCH(O1412,MappingTables!$B$4:$B$8,0)))</f>
        <v>1.6158206205478722</v>
      </c>
      <c r="Q1412" s="71">
        <f>IF(B1412="",0,INDEX(ModelParameters!$D$6:$K$10,MATCH($O1412,ModelParameters!$B$6:$B$10,0),MATCH($J1412,ModelParameters!$D$5:$K$5,0)))</f>
        <v>0.013999999999999998</v>
      </c>
      <c r="R1412" s="71">
        <f>IF(B1412="",0,INDEX(ModelParameters!$D$13:$K$17,MATCH($O1412,ModelParameters!$B$13:$B$17,0),MATCH($J1412,ModelParameters!$D$5:$K$5,0)))</f>
        <v>0</v>
      </c>
      <c r="S1412" s="160">
        <f>IF(B1412="",0,MIN(IF($N1412="Other Bond TM",ModelParameters!$N$21,1)*(P1412*Q1412+R1412),1))</f>
        <v>0.022621488687670208</v>
      </c>
      <c r="T1412" s="85">
        <f>IF(B1412="",0,$S1412*$K1412)</f>
        <v>309.7718972089984</v>
      </c>
      <c r="U1412" s="85">
        <f>IF(B1412="",0,IF(OR(H1412=MappingTables!$C$34,H1412=MappingTables!$C$35),T1412,0))</f>
        <v>0</v>
      </c>
      <c r="V1412" s="85">
        <f>IF(ISNA(IF(AND(VLOOKUP(CONCATENATE($D1412,$G1412),CSRFinput!$B:$E,4,0)=0,OR(H1412=MappingTables!$C$34,H1412=MappingTables!$C$35)),1,VLOOKUP(CONCATENATE($D1412,$G1412),CSRFinput!$B:$E,4,0))),0,IF(AND(VLOOKUP(CONCATENATE($D1412,$G1412),CSRFinput!$B:$E,4,0)=0,OR(H1412=MappingTables!$C$34,H1412=MappingTables!$C$35)),1,VLOOKUP(CONCATENATE($D1412,$G1412),CSRFinput!$B:$E,4,0)))</f>
        <v>0.054776304963434752</v>
      </c>
      <c r="W1412" s="85">
        <f>IF(B1412="",0,+$T1412*$V1412)</f>
        <v>16.968159910621858</v>
      </c>
      <c r="X1412" s="85">
        <f>IF(B1412="",0,IF(OR(H1412=MappingTables!$C$34,H1412=MappingTables!$C$35),W1412,0))</f>
        <v>0</v>
      </c>
    </row>
    <row r="1413" spans="2:24" s="0" customFormat="0" ht="15">
      <c r="B1413" s="69">
        <v>18745959</v>
      </c>
      <c r="C1413" s="70" t="s">
        <v>1676</v>
      </c>
      <c r="D1413" s="70" t="s">
        <v>1</v>
      </c>
      <c r="E1413" s="70" t="s">
        <v>1</v>
      </c>
      <c r="F1413" s="70"/>
      <c r="G1413" s="70" t="s">
        <v>61</v>
      </c>
      <c r="H1413" s="70" t="s">
        <v>178</v>
      </c>
      <c r="I1413" s="70" t="s">
        <v>188</v>
      </c>
      <c r="J1413" s="71">
        <f>IF(OR(I1413=0,I1413=""),"unrated",VLOOKUP(I1413,MappingTables!$B$19:$C$31,2,FALSE))</f>
        <v>2</v>
      </c>
      <c r="K1413" s="72">
        <v>1817.9485519221696</v>
      </c>
      <c r="L1413" s="70">
        <v>0.9499298800540536</v>
      </c>
      <c r="M1413" s="71">
        <f>IF(L1413&lt;1,1,L1413)</f>
        <v>1</v>
      </c>
      <c r="N1413" s="70" t="s">
        <v>141</v>
      </c>
      <c r="O1413" s="71">
        <f>INDEX(DurClassMapping,MATCH(M1413,MappingTables!$D$4:$D$8,-1),1)</f>
        <v>1</v>
      </c>
      <c r="P1413" s="73">
        <f>IF(M1413=$A$1,1,$M1413-INDEX(MappingTables!$E$4:$E$8,MATCH(O1413,MappingTables!$B$4:$B$8,0)))</f>
        <v>1</v>
      </c>
      <c r="Q1413" s="71">
        <f>IF(B1413="",0,INDEX(ModelParameters!$D$6:$K$10,MATCH($O1413,ModelParameters!$B$6:$B$10,0),MATCH($J1413,ModelParameters!$D$5:$K$5,0)))</f>
        <v>0.013999999999999998</v>
      </c>
      <c r="R1413" s="71">
        <f>IF(B1413="",0,INDEX(ModelParameters!$D$13:$K$17,MATCH($O1413,ModelParameters!$B$13:$B$17,0),MATCH($J1413,ModelParameters!$D$5:$K$5,0)))</f>
        <v>0</v>
      </c>
      <c r="S1413" s="160">
        <f>IF(B1413="",0,MIN(IF($N1413="Other Bond TM",ModelParameters!$N$21,1)*(P1413*Q1413+R1413),1))</f>
        <v>0.013999999999999998</v>
      </c>
      <c r="T1413" s="85">
        <f>IF(B1413="",0,$S1413*$K1413)</f>
        <v>25.451279726910372</v>
      </c>
      <c r="U1413" s="85">
        <f>IF(B1413="",0,IF(OR(H1413=MappingTables!$C$34,H1413=MappingTables!$C$35),T1413,0))</f>
        <v>0</v>
      </c>
      <c r="V1413" s="85">
        <f>IF(ISNA(IF(AND(VLOOKUP(CONCATENATE($D1413,$G1413),CSRFinput!$B:$E,4,0)=0,OR(H1413=MappingTables!$C$34,H1413=MappingTables!$C$35)),1,VLOOKUP(CONCATENATE($D1413,$G1413),CSRFinput!$B:$E,4,0))),0,IF(AND(VLOOKUP(CONCATENATE($D1413,$G1413),CSRFinput!$B:$E,4,0)=0,OR(H1413=MappingTables!$C$34,H1413=MappingTables!$C$35)),1,VLOOKUP(CONCATENATE($D1413,$G1413),CSRFinput!$B:$E,4,0)))</f>
        <v>0.054776304963434752</v>
      </c>
      <c r="W1413" s="85">
        <f>IF(B1413="",0,+$T1413*$V1413)</f>
        <v>1.3941270600309268</v>
      </c>
      <c r="X1413" s="85">
        <f>IF(B1413="",0,IF(OR(H1413=MappingTables!$C$34,H1413=MappingTables!$C$35),W1413,0))</f>
        <v>0</v>
      </c>
    </row>
    <row r="1414" spans="2:24" s="0" customFormat="0" ht="15">
      <c r="B1414" s="69">
        <v>20784521</v>
      </c>
      <c r="C1414" s="70" t="s">
        <v>713</v>
      </c>
      <c r="D1414" s="70" t="s">
        <v>1</v>
      </c>
      <c r="E1414" s="70" t="s">
        <v>1</v>
      </c>
      <c r="F1414" s="70"/>
      <c r="G1414" s="70" t="s">
        <v>61</v>
      </c>
      <c r="H1414" s="70" t="s">
        <v>178</v>
      </c>
      <c r="I1414" s="70" t="s">
        <v>188</v>
      </c>
      <c r="J1414" s="71">
        <f>IF(OR(I1414=0,I1414=""),"unrated",VLOOKUP(I1414,MappingTables!$B$19:$C$31,2,FALSE))</f>
        <v>2</v>
      </c>
      <c r="K1414" s="72">
        <v>4571.673884592588</v>
      </c>
      <c r="L1414" s="70">
        <v>7.7658826478729312</v>
      </c>
      <c r="M1414" s="71">
        <f>IF(L1414&lt;1,1,L1414)</f>
        <v>7.7658826478729312</v>
      </c>
      <c r="N1414" s="70" t="s">
        <v>141</v>
      </c>
      <c r="O1414" s="71">
        <f>INDEX(DurClassMapping,MATCH(M1414,MappingTables!$D$4:$D$8,-1),1)</f>
        <v>2</v>
      </c>
      <c r="P1414" s="73">
        <f>IF(M1414=$A$1,1,$M1414-INDEX(MappingTables!$E$4:$E$8,MATCH(O1414,MappingTables!$B$4:$B$8,0)))</f>
        <v>2.7658826478729316</v>
      </c>
      <c r="Q1414" s="71">
        <f>IF(B1414="",0,INDEX(ModelParameters!$D$6:$K$10,MATCH($O1414,ModelParameters!$B$6:$B$10,0),MATCH($J1414,ModelParameters!$D$5:$K$5,0)))</f>
        <v>0.0069999999999999992</v>
      </c>
      <c r="R1414" s="71">
        <f>IF(B1414="",0,INDEX(ModelParameters!$D$13:$K$17,MATCH($O1414,ModelParameters!$B$13:$B$17,0),MATCH($J1414,ModelParameters!$D$5:$K$5,0)))</f>
        <v>0.070000000000000008</v>
      </c>
      <c r="S1414" s="160">
        <f>IF(B1414="",0,MIN(IF($N1414="Other Bond TM",ModelParameters!$N$21,1)*(P1414*Q1414+R1414),1))</f>
        <v>0.089361178535110528</v>
      </c>
      <c r="T1414" s="85">
        <f>IF(B1414="",0,$S1414*$K1414)</f>
        <v>408.53016620538056</v>
      </c>
      <c r="U1414" s="85">
        <f>IF(B1414="",0,IF(OR(H1414=MappingTables!$C$34,H1414=MappingTables!$C$35),T1414,0))</f>
        <v>0</v>
      </c>
      <c r="V1414" s="85">
        <f>IF(ISNA(IF(AND(VLOOKUP(CONCATENATE($D1414,$G1414),CSRFinput!$B:$E,4,0)=0,OR(H1414=MappingTables!$C$34,H1414=MappingTables!$C$35)),1,VLOOKUP(CONCATENATE($D1414,$G1414),CSRFinput!$B:$E,4,0))),0,IF(AND(VLOOKUP(CONCATENATE($D1414,$G1414),CSRFinput!$B:$E,4,0)=0,OR(H1414=MappingTables!$C$34,H1414=MappingTables!$C$35)),1,VLOOKUP(CONCATENATE($D1414,$G1414),CSRFinput!$B:$E,4,0)))</f>
        <v>0.054776304963434752</v>
      </c>
      <c r="W1414" s="85">
        <f>IF(B1414="",0,+$T1414*$V1414)</f>
        <v>22.377772970828612</v>
      </c>
      <c r="X1414" s="85">
        <f>IF(B1414="",0,IF(OR(H1414=MappingTables!$C$34,H1414=MappingTables!$C$35),W1414,0))</f>
        <v>0</v>
      </c>
    </row>
    <row r="1415" spans="2:24" s="0" customFormat="0" ht="15">
      <c r="B1415" s="69">
        <v>18913651</v>
      </c>
      <c r="C1415" s="70" t="s">
        <v>1324</v>
      </c>
      <c r="D1415" s="70" t="s">
        <v>1</v>
      </c>
      <c r="E1415" s="70" t="s">
        <v>1</v>
      </c>
      <c r="F1415" s="70"/>
      <c r="G1415" s="70" t="s">
        <v>61</v>
      </c>
      <c r="H1415" s="70" t="s">
        <v>178</v>
      </c>
      <c r="I1415" s="70" t="s">
        <v>188</v>
      </c>
      <c r="J1415" s="71">
        <f>IF(OR(I1415=0,I1415=""),"unrated",VLOOKUP(I1415,MappingTables!$B$19:$C$31,2,FALSE))</f>
        <v>2</v>
      </c>
      <c r="K1415" s="72">
        <v>979.5207575181824</v>
      </c>
      <c r="L1415" s="70">
        <v>0.37771908244956568</v>
      </c>
      <c r="M1415" s="71">
        <f>IF(L1415&lt;1,1,L1415)</f>
        <v>1</v>
      </c>
      <c r="N1415" s="70" t="s">
        <v>141</v>
      </c>
      <c r="O1415" s="71">
        <f>INDEX(DurClassMapping,MATCH(M1415,MappingTables!$D$4:$D$8,-1),1)</f>
        <v>1</v>
      </c>
      <c r="P1415" s="73">
        <f>IF(M1415=$A$1,1,$M1415-INDEX(MappingTables!$E$4:$E$8,MATCH(O1415,MappingTables!$B$4:$B$8,0)))</f>
        <v>1</v>
      </c>
      <c r="Q1415" s="71">
        <f>IF(B1415="",0,INDEX(ModelParameters!$D$6:$K$10,MATCH($O1415,ModelParameters!$B$6:$B$10,0),MATCH($J1415,ModelParameters!$D$5:$K$5,0)))</f>
        <v>0.013999999999999998</v>
      </c>
      <c r="R1415" s="71">
        <f>IF(B1415="",0,INDEX(ModelParameters!$D$13:$K$17,MATCH($O1415,ModelParameters!$B$13:$B$17,0),MATCH($J1415,ModelParameters!$D$5:$K$5,0)))</f>
        <v>0</v>
      </c>
      <c r="S1415" s="160">
        <f>IF(B1415="",0,MIN(IF($N1415="Other Bond TM",ModelParameters!$N$21,1)*(P1415*Q1415+R1415),1))</f>
        <v>0.013999999999999998</v>
      </c>
      <c r="T1415" s="85">
        <f>IF(B1415="",0,$S1415*$K1415)</f>
        <v>13.713290605254552</v>
      </c>
      <c r="U1415" s="85">
        <f>IF(B1415="",0,IF(OR(H1415=MappingTables!$C$34,H1415=MappingTables!$C$35),T1415,0))</f>
        <v>0</v>
      </c>
      <c r="V1415" s="85">
        <f>IF(ISNA(IF(AND(VLOOKUP(CONCATENATE($D1415,$G1415),CSRFinput!$B:$E,4,0)=0,OR(H1415=MappingTables!$C$34,H1415=MappingTables!$C$35)),1,VLOOKUP(CONCATENATE($D1415,$G1415),CSRFinput!$B:$E,4,0))),0,IF(AND(VLOOKUP(CONCATENATE($D1415,$G1415),CSRFinput!$B:$E,4,0)=0,OR(H1415=MappingTables!$C$34,H1415=MappingTables!$C$35)),1,VLOOKUP(CONCATENATE($D1415,$G1415),CSRFinput!$B:$E,4,0)))</f>
        <v>0.054776304963434752</v>
      </c>
      <c r="W1415" s="85">
        <f>IF(B1415="",0,+$T1415*$V1415)</f>
        <v>0.75116338824562816</v>
      </c>
      <c r="X1415" s="85">
        <f>IF(B1415="",0,IF(OR(H1415=MappingTables!$C$34,H1415=MappingTables!$C$35),W1415,0))</f>
        <v>0</v>
      </c>
    </row>
    <row r="1416" spans="2:24" s="0" customFormat="0" ht="15">
      <c r="B1416" s="69">
        <v>13488998</v>
      </c>
      <c r="C1416" s="70" t="s">
        <v>1677</v>
      </c>
      <c r="D1416" s="70" t="s">
        <v>1</v>
      </c>
      <c r="E1416" s="70" t="s">
        <v>1</v>
      </c>
      <c r="F1416" s="70"/>
      <c r="G1416" s="70" t="s">
        <v>61</v>
      </c>
      <c r="H1416" s="70" t="s">
        <v>178</v>
      </c>
      <c r="I1416" s="70" t="s">
        <v>184</v>
      </c>
      <c r="J1416" s="71">
        <f>IF(OR(I1416=0,I1416=""),"unrated",VLOOKUP(I1416,MappingTables!$B$19:$C$31,2,FALSE))</f>
        <v>5</v>
      </c>
      <c r="K1416" s="72">
        <v>31.2864304760519</v>
      </c>
      <c r="L1416" s="70">
        <v>1.1405654968342758</v>
      </c>
      <c r="M1416" s="71">
        <f>IF(L1416&lt;1,1,L1416)</f>
        <v>1.1405654968342758</v>
      </c>
      <c r="N1416" s="70" t="s">
        <v>141</v>
      </c>
      <c r="O1416" s="71">
        <f>INDEX(DurClassMapping,MATCH(M1416,MappingTables!$D$4:$D$8,-1),1)</f>
        <v>1</v>
      </c>
      <c r="P1416" s="73">
        <f>IF(M1416=$A$1,1,$M1416-INDEX(MappingTables!$E$4:$E$8,MATCH(O1416,MappingTables!$B$4:$B$8,0)))</f>
        <v>1.1405654968342758</v>
      </c>
      <c r="Q1416" s="71">
        <f>IF(B1416="",0,INDEX(ModelParameters!$D$6:$K$10,MATCH($O1416,ModelParameters!$B$6:$B$10,0),MATCH($J1416,ModelParameters!$D$5:$K$5,0)))</f>
        <v>0.075</v>
      </c>
      <c r="R1416" s="71">
        <f>IF(B1416="",0,INDEX(ModelParameters!$D$13:$K$17,MATCH($O1416,ModelParameters!$B$13:$B$17,0),MATCH($J1416,ModelParameters!$D$5:$K$5,0)))</f>
        <v>0</v>
      </c>
      <c r="S1416" s="160">
        <f>IF(B1416="",0,MIN(IF($N1416="Other Bond TM",ModelParameters!$N$21,1)*(P1416*Q1416+R1416),1))</f>
        <v>0.085542412262570688</v>
      </c>
      <c r="T1416" s="85">
        <f>IF(B1416="",0,$S1416*$K1416)</f>
        <v>2.6763167340066872</v>
      </c>
      <c r="U1416" s="85">
        <f>IF(B1416="",0,IF(OR(H1416=MappingTables!$C$34,H1416=MappingTables!$C$35),T1416,0))</f>
        <v>0</v>
      </c>
      <c r="V1416" s="85">
        <f>IF(ISNA(IF(AND(VLOOKUP(CONCATENATE($D1416,$G1416),CSRFinput!$B:$E,4,0)=0,OR(H1416=MappingTables!$C$34,H1416=MappingTables!$C$35)),1,VLOOKUP(CONCATENATE($D1416,$G1416),CSRFinput!$B:$E,4,0))),0,IF(AND(VLOOKUP(CONCATENATE($D1416,$G1416),CSRFinput!$B:$E,4,0)=0,OR(H1416=MappingTables!$C$34,H1416=MappingTables!$C$35)),1,VLOOKUP(CONCATENATE($D1416,$G1416),CSRFinput!$B:$E,4,0)))</f>
        <v>0.054776304963434752</v>
      </c>
      <c r="W1416" s="85">
        <f>IF(B1416="",0,+$T1416*$V1416)</f>
        <v>0.146598741600694</v>
      </c>
      <c r="X1416" s="85">
        <f>IF(B1416="",0,IF(OR(H1416=MappingTables!$C$34,H1416=MappingTables!$C$35),W1416,0))</f>
        <v>0</v>
      </c>
    </row>
    <row r="1417" spans="2:24" s="0" customFormat="0" ht="15">
      <c r="B1417" s="69">
        <v>23207407</v>
      </c>
      <c r="C1417" s="70" t="s">
        <v>1678</v>
      </c>
      <c r="D1417" s="70" t="s">
        <v>1</v>
      </c>
      <c r="E1417" s="70" t="s">
        <v>1</v>
      </c>
      <c r="F1417" s="70"/>
      <c r="G1417" s="70" t="s">
        <v>61</v>
      </c>
      <c r="H1417" s="70" t="s">
        <v>178</v>
      </c>
      <c r="I1417" s="70" t="s">
        <v>188</v>
      </c>
      <c r="J1417" s="71">
        <f>IF(OR(I1417=0,I1417=""),"unrated",VLOOKUP(I1417,MappingTables!$B$19:$C$31,2,FALSE))</f>
        <v>2</v>
      </c>
      <c r="K1417" s="72">
        <v>754.24051500302576</v>
      </c>
      <c r="L1417" s="70">
        <v>2.2687723667320844</v>
      </c>
      <c r="M1417" s="71">
        <f>IF(L1417&lt;1,1,L1417)</f>
        <v>2.2687723667320844</v>
      </c>
      <c r="N1417" s="70" t="s">
        <v>141</v>
      </c>
      <c r="O1417" s="71">
        <f>INDEX(DurClassMapping,MATCH(M1417,MappingTables!$D$4:$D$8,-1),1)</f>
        <v>1</v>
      </c>
      <c r="P1417" s="73">
        <f>IF(M1417=$A$1,1,$M1417-INDEX(MappingTables!$E$4:$E$8,MATCH(O1417,MappingTables!$B$4:$B$8,0)))</f>
        <v>2.2687723667320844</v>
      </c>
      <c r="Q1417" s="71">
        <f>IF(B1417="",0,INDEX(ModelParameters!$D$6:$K$10,MATCH($O1417,ModelParameters!$B$6:$B$10,0),MATCH($J1417,ModelParameters!$D$5:$K$5,0)))</f>
        <v>0.013999999999999998</v>
      </c>
      <c r="R1417" s="71">
        <f>IF(B1417="",0,INDEX(ModelParameters!$D$13:$K$17,MATCH($O1417,ModelParameters!$B$13:$B$17,0),MATCH($J1417,ModelParameters!$D$5:$K$5,0)))</f>
        <v>0</v>
      </c>
      <c r="S1417" s="160">
        <f>IF(B1417="",0,MIN(IF($N1417="Other Bond TM",ModelParameters!$N$21,1)*(P1417*Q1417+R1417),1))</f>
        <v>0.031762813134249184</v>
      </c>
      <c r="T1417" s="85">
        <f>IF(B1417="",0,$S1417*$K1417)</f>
        <v>23.956800536320972</v>
      </c>
      <c r="U1417" s="85">
        <f>IF(B1417="",0,IF(OR(H1417=MappingTables!$C$34,H1417=MappingTables!$C$35),T1417,0))</f>
        <v>0</v>
      </c>
      <c r="V1417" s="85">
        <f>IF(ISNA(IF(AND(VLOOKUP(CONCATENATE($D1417,$G1417),CSRFinput!$B:$E,4,0)=0,OR(H1417=MappingTables!$C$34,H1417=MappingTables!$C$35)),1,VLOOKUP(CONCATENATE($D1417,$G1417),CSRFinput!$B:$E,4,0))),0,IF(AND(VLOOKUP(CONCATENATE($D1417,$G1417),CSRFinput!$B:$E,4,0)=0,OR(H1417=MappingTables!$C$34,H1417=MappingTables!$C$35)),1,VLOOKUP(CONCATENATE($D1417,$G1417),CSRFinput!$B:$E,4,0)))</f>
        <v>0.054776304963434752</v>
      </c>
      <c r="W1417" s="85">
        <f>IF(B1417="",0,+$T1417*$V1417)</f>
        <v>1.312265012125695</v>
      </c>
      <c r="X1417" s="85">
        <f>IF(B1417="",0,IF(OR(H1417=MappingTables!$C$34,H1417=MappingTables!$C$35),W1417,0))</f>
        <v>0</v>
      </c>
    </row>
    <row r="1418" spans="2:24" s="0" customFormat="0" ht="15">
      <c r="B1418" s="69">
        <v>12339031</v>
      </c>
      <c r="C1418" s="70" t="s">
        <v>1679</v>
      </c>
      <c r="D1418" s="70" t="s">
        <v>1</v>
      </c>
      <c r="E1418" s="70" t="s">
        <v>1</v>
      </c>
      <c r="F1418" s="70"/>
      <c r="G1418" s="70" t="s">
        <v>61</v>
      </c>
      <c r="H1418" s="70" t="s">
        <v>178</v>
      </c>
      <c r="I1418" s="70" t="s">
        <v>188</v>
      </c>
      <c r="J1418" s="71">
        <f>IF(OR(I1418=0,I1418=""),"unrated",VLOOKUP(I1418,MappingTables!$B$19:$C$31,2,FALSE))</f>
        <v>2</v>
      </c>
      <c r="K1418" s="72">
        <v>162.26754522729428</v>
      </c>
      <c r="L1418" s="70">
        <v>0.56232180545540856</v>
      </c>
      <c r="M1418" s="71">
        <f>IF(L1418&lt;1,1,L1418)</f>
        <v>1</v>
      </c>
      <c r="N1418" s="70" t="s">
        <v>141</v>
      </c>
      <c r="O1418" s="71">
        <f>INDEX(DurClassMapping,MATCH(M1418,MappingTables!$D$4:$D$8,-1),1)</f>
        <v>1</v>
      </c>
      <c r="P1418" s="73">
        <f>IF(M1418=$A$1,1,$M1418-INDEX(MappingTables!$E$4:$E$8,MATCH(O1418,MappingTables!$B$4:$B$8,0)))</f>
        <v>1</v>
      </c>
      <c r="Q1418" s="71">
        <f>IF(B1418="",0,INDEX(ModelParameters!$D$6:$K$10,MATCH($O1418,ModelParameters!$B$6:$B$10,0),MATCH($J1418,ModelParameters!$D$5:$K$5,0)))</f>
        <v>0.013999999999999998</v>
      </c>
      <c r="R1418" s="71">
        <f>IF(B1418="",0,INDEX(ModelParameters!$D$13:$K$17,MATCH($O1418,ModelParameters!$B$13:$B$17,0),MATCH($J1418,ModelParameters!$D$5:$K$5,0)))</f>
        <v>0</v>
      </c>
      <c r="S1418" s="160">
        <f>IF(B1418="",0,MIN(IF($N1418="Other Bond TM",ModelParameters!$N$21,1)*(P1418*Q1418+R1418),1))</f>
        <v>0.013999999999999998</v>
      </c>
      <c r="T1418" s="85">
        <f>IF(B1418="",0,$S1418*$K1418)</f>
        <v>2.2717456331821196</v>
      </c>
      <c r="U1418" s="85">
        <f>IF(B1418="",0,IF(OR(H1418=MappingTables!$C$34,H1418=MappingTables!$C$35),T1418,0))</f>
        <v>0</v>
      </c>
      <c r="V1418" s="85">
        <f>IF(ISNA(IF(AND(VLOOKUP(CONCATENATE($D1418,$G1418),CSRFinput!$B:$E,4,0)=0,OR(H1418=MappingTables!$C$34,H1418=MappingTables!$C$35)),1,VLOOKUP(CONCATENATE($D1418,$G1418),CSRFinput!$B:$E,4,0))),0,IF(AND(VLOOKUP(CONCATENATE($D1418,$G1418),CSRFinput!$B:$E,4,0)=0,OR(H1418=MappingTables!$C$34,H1418=MappingTables!$C$35)),1,VLOOKUP(CONCATENATE($D1418,$G1418),CSRFinput!$B:$E,4,0)))</f>
        <v>0.054776304963434752</v>
      </c>
      <c r="W1418" s="85">
        <f>IF(B1418="",0,+$T1418*$V1418)</f>
        <v>0.12443783160253498</v>
      </c>
      <c r="X1418" s="85">
        <f>IF(B1418="",0,IF(OR(H1418=MappingTables!$C$34,H1418=MappingTables!$C$35),W1418,0))</f>
        <v>0</v>
      </c>
    </row>
    <row r="1419" spans="2:24" s="0" customFormat="0" ht="15">
      <c r="B1419" s="69" t="s">
        <v>1680</v>
      </c>
      <c r="C1419" s="70" t="s">
        <v>1681</v>
      </c>
      <c r="D1419" s="70" t="s">
        <v>1</v>
      </c>
      <c r="E1419" s="70" t="s">
        <v>1</v>
      </c>
      <c r="F1419" s="70"/>
      <c r="G1419" s="70" t="s">
        <v>61</v>
      </c>
      <c r="H1419" s="70" t="s">
        <v>178</v>
      </c>
      <c r="I1419" s="70" t="s">
        <v>179</v>
      </c>
      <c r="J1419" s="71">
        <f>IF(OR(I1419=0,I1419=""),"unrated",VLOOKUP(I1419,MappingTables!$B$19:$C$31,2,FALSE))</f>
        <v>4</v>
      </c>
      <c r="K1419" s="72">
        <v>9461.732843562272</v>
      </c>
      <c r="L1419" s="70">
        <v>5.2448286569162248</v>
      </c>
      <c r="M1419" s="71">
        <f>IF(L1419&lt;1,1,L1419)</f>
        <v>5.2448286569162248</v>
      </c>
      <c r="N1419" s="70" t="s">
        <v>141</v>
      </c>
      <c r="O1419" s="71">
        <f>INDEX(DurClassMapping,MATCH(M1419,MappingTables!$D$4:$D$8,-1),1)</f>
        <v>2</v>
      </c>
      <c r="P1419" s="73">
        <f>IF(M1419=$A$1,1,$M1419-INDEX(MappingTables!$E$4:$E$8,MATCH(O1419,MappingTables!$B$4:$B$8,0)))</f>
        <v>0.24482865691622456</v>
      </c>
      <c r="Q1419" s="71">
        <f>IF(B1419="",0,INDEX(ModelParameters!$D$6:$K$10,MATCH($O1419,ModelParameters!$B$6:$B$10,0),MATCH($J1419,ModelParameters!$D$5:$K$5,0)))</f>
        <v>0.025</v>
      </c>
      <c r="R1419" s="71">
        <f>IF(B1419="",0,INDEX(ModelParameters!$D$13:$K$17,MATCH($O1419,ModelParameters!$B$13:$B$17,0),MATCH($J1419,ModelParameters!$D$5:$K$5,0)))</f>
        <v>0.225</v>
      </c>
      <c r="S1419" s="160">
        <f>IF(B1419="",0,MIN(IF($N1419="Other Bond TM",ModelParameters!$N$21,1)*(P1419*Q1419+R1419),1))</f>
        <v>0.23112071642290564</v>
      </c>
      <c r="T1419" s="85">
        <f>IF(B1419="",0,$S1419*$K1419)</f>
        <v>2186.8024734062484</v>
      </c>
      <c r="U1419" s="85">
        <f>IF(B1419="",0,IF(OR(H1419=MappingTables!$C$34,H1419=MappingTables!$C$35),T1419,0))</f>
        <v>0</v>
      </c>
      <c r="V1419" s="85">
        <f>IF(ISNA(IF(AND(VLOOKUP(CONCATENATE($D1419,$G1419),CSRFinput!$B:$E,4,0)=0,OR(H1419=MappingTables!$C$34,H1419=MappingTables!$C$35)),1,VLOOKUP(CONCATENATE($D1419,$G1419),CSRFinput!$B:$E,4,0))),0,IF(AND(VLOOKUP(CONCATENATE($D1419,$G1419),CSRFinput!$B:$E,4,0)=0,OR(H1419=MappingTables!$C$34,H1419=MappingTables!$C$35)),1,VLOOKUP(CONCATENATE($D1419,$G1419),CSRFinput!$B:$E,4,0)))</f>
        <v>0.054776304963434752</v>
      </c>
      <c r="W1419" s="85">
        <f>IF(B1419="",0,+$T1419*$V1419)</f>
        <v>119.78495917809406</v>
      </c>
      <c r="X1419" s="85">
        <f>IF(B1419="",0,IF(OR(H1419=MappingTables!$C$34,H1419=MappingTables!$C$35),W1419,0))</f>
        <v>0</v>
      </c>
    </row>
    <row r="1420" spans="2:24" s="0" customFormat="0" ht="15">
      <c r="B1420" s="69" t="s">
        <v>1682</v>
      </c>
      <c r="C1420" s="70" t="s">
        <v>1683</v>
      </c>
      <c r="D1420" s="70" t="s">
        <v>1</v>
      </c>
      <c r="E1420" s="70" t="s">
        <v>1</v>
      </c>
      <c r="F1420" s="70"/>
      <c r="G1420" s="70" t="s">
        <v>61</v>
      </c>
      <c r="H1420" s="70" t="s">
        <v>178</v>
      </c>
      <c r="I1420" s="70" t="s">
        <v>181</v>
      </c>
      <c r="J1420" s="71">
        <f>IF(OR(I1420=0,I1420=""),"unrated",VLOOKUP(I1420,MappingTables!$B$19:$C$31,2,FALSE))</f>
        <v>3</v>
      </c>
      <c r="K1420" s="72">
        <v>0.67616369039821768</v>
      </c>
      <c r="L1420" s="70">
        <v>0.4328791326435616</v>
      </c>
      <c r="M1420" s="71">
        <f>IF(L1420&lt;1,1,L1420)</f>
        <v>1</v>
      </c>
      <c r="N1420" s="70" t="s">
        <v>141</v>
      </c>
      <c r="O1420" s="71">
        <f>INDEX(DurClassMapping,MATCH(M1420,MappingTables!$D$4:$D$8,-1),1)</f>
        <v>1</v>
      </c>
      <c r="P1420" s="73">
        <f>IF(M1420=$A$1,1,$M1420-INDEX(MappingTables!$E$4:$E$8,MATCH(O1420,MappingTables!$B$4:$B$8,0)))</f>
        <v>1</v>
      </c>
      <c r="Q1420" s="71">
        <f>IF(B1420="",0,INDEX(ModelParameters!$D$6:$K$10,MATCH($O1420,ModelParameters!$B$6:$B$10,0),MATCH($J1420,ModelParameters!$D$5:$K$5,0)))</f>
        <v>0.025</v>
      </c>
      <c r="R1420" s="71">
        <f>IF(B1420="",0,INDEX(ModelParameters!$D$13:$K$17,MATCH($O1420,ModelParameters!$B$13:$B$17,0),MATCH($J1420,ModelParameters!$D$5:$K$5,0)))</f>
        <v>0</v>
      </c>
      <c r="S1420" s="160">
        <f>IF(B1420="",0,MIN(IF($N1420="Other Bond TM",ModelParameters!$N$21,1)*(P1420*Q1420+R1420),1))</f>
        <v>0.025</v>
      </c>
      <c r="T1420" s="85">
        <f>IF(B1420="",0,$S1420*$K1420)</f>
        <v>0.016904092259955442</v>
      </c>
      <c r="U1420" s="85">
        <f>IF(B1420="",0,IF(OR(H1420=MappingTables!$C$34,H1420=MappingTables!$C$35),T1420,0))</f>
        <v>0</v>
      </c>
      <c r="V1420" s="85">
        <f>IF(ISNA(IF(AND(VLOOKUP(CONCATENATE($D1420,$G1420),CSRFinput!$B:$E,4,0)=0,OR(H1420=MappingTables!$C$34,H1420=MappingTables!$C$35)),1,VLOOKUP(CONCATENATE($D1420,$G1420),CSRFinput!$B:$E,4,0))),0,IF(AND(VLOOKUP(CONCATENATE($D1420,$G1420),CSRFinput!$B:$E,4,0)=0,OR(H1420=MappingTables!$C$34,H1420=MappingTables!$C$35)),1,VLOOKUP(CONCATENATE($D1420,$G1420),CSRFinput!$B:$E,4,0)))</f>
        <v>0.054776304963434752</v>
      </c>
      <c r="W1420" s="85">
        <f>IF(B1420="",0,+$T1420*$V1420)</f>
        <v>0.00092594371276135632</v>
      </c>
      <c r="X1420" s="85">
        <f>IF(B1420="",0,IF(OR(H1420=MappingTables!$C$34,H1420=MappingTables!$C$35),W1420,0))</f>
        <v>0</v>
      </c>
    </row>
    <row r="1421" spans="2:24" s="0" customFormat="0" ht="15">
      <c r="B1421" s="69">
        <v>21046345</v>
      </c>
      <c r="C1421" s="70" t="s">
        <v>1684</v>
      </c>
      <c r="D1421" s="70" t="s">
        <v>1</v>
      </c>
      <c r="E1421" s="70" t="s">
        <v>1</v>
      </c>
      <c r="F1421" s="70"/>
      <c r="G1421" s="70" t="s">
        <v>61</v>
      </c>
      <c r="H1421" s="70" t="s">
        <v>178</v>
      </c>
      <c r="I1421" s="70" t="s">
        <v>181</v>
      </c>
      <c r="J1421" s="71">
        <f>IF(OR(I1421=0,I1421=""),"unrated",VLOOKUP(I1421,MappingTables!$B$19:$C$31,2,FALSE))</f>
        <v>3</v>
      </c>
      <c r="K1421" s="72">
        <v>1352.4272894068226</v>
      </c>
      <c r="L1421" s="70">
        <v>3.34167940829035</v>
      </c>
      <c r="M1421" s="71">
        <f>IF(L1421&lt;1,1,L1421)</f>
        <v>3.34167940829035</v>
      </c>
      <c r="N1421" s="70" t="s">
        <v>141</v>
      </c>
      <c r="O1421" s="71">
        <f>INDEX(DurClassMapping,MATCH(M1421,MappingTables!$D$4:$D$8,-1),1)</f>
        <v>1</v>
      </c>
      <c r="P1421" s="73">
        <f>IF(M1421=$A$1,1,$M1421-INDEX(MappingTables!$E$4:$E$8,MATCH(O1421,MappingTables!$B$4:$B$8,0)))</f>
        <v>3.34167940829035</v>
      </c>
      <c r="Q1421" s="71">
        <f>IF(B1421="",0,INDEX(ModelParameters!$D$6:$K$10,MATCH($O1421,ModelParameters!$B$6:$B$10,0),MATCH($J1421,ModelParameters!$D$5:$K$5,0)))</f>
        <v>0.025</v>
      </c>
      <c r="R1421" s="71">
        <f>IF(B1421="",0,INDEX(ModelParameters!$D$13:$K$17,MATCH($O1421,ModelParameters!$B$13:$B$17,0),MATCH($J1421,ModelParameters!$D$5:$K$5,0)))</f>
        <v>0</v>
      </c>
      <c r="S1421" s="160">
        <f>IF(B1421="",0,MIN(IF($N1421="Other Bond TM",ModelParameters!$N$21,1)*(P1421*Q1421+R1421),1))</f>
        <v>0.083541985207258752</v>
      </c>
      <c r="T1421" s="85">
        <f>IF(B1421="",0,$S1421*$K1421)</f>
        <v>112.98446060551782</v>
      </c>
      <c r="U1421" s="85">
        <f>IF(B1421="",0,IF(OR(H1421=MappingTables!$C$34,H1421=MappingTables!$C$35),T1421,0))</f>
        <v>0</v>
      </c>
      <c r="V1421" s="85">
        <f>IF(ISNA(IF(AND(VLOOKUP(CONCATENATE($D1421,$G1421),CSRFinput!$B:$E,4,0)=0,OR(H1421=MappingTables!$C$34,H1421=MappingTables!$C$35)),1,VLOOKUP(CONCATENATE($D1421,$G1421),CSRFinput!$B:$E,4,0))),0,IF(AND(VLOOKUP(CONCATENATE($D1421,$G1421),CSRFinput!$B:$E,4,0)=0,OR(H1421=MappingTables!$C$34,H1421=MappingTables!$C$35)),1,VLOOKUP(CONCATENATE($D1421,$G1421),CSRFinput!$B:$E,4,0)))</f>
        <v>0.054776304963434752</v>
      </c>
      <c r="W1421" s="85">
        <f>IF(B1421="",0,+$T1421*$V1421)</f>
        <v>6.1888712702570248</v>
      </c>
      <c r="X1421" s="85">
        <f>IF(B1421="",0,IF(OR(H1421=MappingTables!$C$34,H1421=MappingTables!$C$35),W1421,0))</f>
        <v>0</v>
      </c>
    </row>
    <row r="1422" spans="2:24" s="0" customFormat="0" ht="15">
      <c r="B1422" s="69">
        <v>20579161</v>
      </c>
      <c r="C1422" s="70" t="s">
        <v>1685</v>
      </c>
      <c r="D1422" s="70" t="s">
        <v>1</v>
      </c>
      <c r="E1422" s="70" t="s">
        <v>1</v>
      </c>
      <c r="F1422" s="70"/>
      <c r="G1422" s="70" t="s">
        <v>61</v>
      </c>
      <c r="H1422" s="70" t="s">
        <v>178</v>
      </c>
      <c r="I1422" s="70" t="s">
        <v>181</v>
      </c>
      <c r="J1422" s="71">
        <f>IF(OR(I1422=0,I1422=""),"unrated",VLOOKUP(I1422,MappingTables!$B$19:$C$31,2,FALSE))</f>
        <v>3</v>
      </c>
      <c r="K1422" s="72">
        <v>11997.564939744374</v>
      </c>
      <c r="L1422" s="70">
        <v>1.4388362089039812</v>
      </c>
      <c r="M1422" s="71">
        <f>IF(L1422&lt;1,1,L1422)</f>
        <v>1.4388362089039812</v>
      </c>
      <c r="N1422" s="70" t="s">
        <v>141</v>
      </c>
      <c r="O1422" s="71">
        <f>INDEX(DurClassMapping,MATCH(M1422,MappingTables!$D$4:$D$8,-1),1)</f>
        <v>1</v>
      </c>
      <c r="P1422" s="73">
        <f>IF(M1422=$A$1,1,$M1422-INDEX(MappingTables!$E$4:$E$8,MATCH(O1422,MappingTables!$B$4:$B$8,0)))</f>
        <v>1.4388362089039812</v>
      </c>
      <c r="Q1422" s="71">
        <f>IF(B1422="",0,INDEX(ModelParameters!$D$6:$K$10,MATCH($O1422,ModelParameters!$B$6:$B$10,0),MATCH($J1422,ModelParameters!$D$5:$K$5,0)))</f>
        <v>0.025</v>
      </c>
      <c r="R1422" s="71">
        <f>IF(B1422="",0,INDEX(ModelParameters!$D$13:$K$17,MATCH($O1422,ModelParameters!$B$13:$B$17,0),MATCH($J1422,ModelParameters!$D$5:$K$5,0)))</f>
        <v>0</v>
      </c>
      <c r="S1422" s="160">
        <f>IF(B1422="",0,MIN(IF($N1422="Other Bond TM",ModelParameters!$N$21,1)*(P1422*Q1422+R1422),1))</f>
        <v>0.035970905222599532</v>
      </c>
      <c r="T1422" s="85">
        <f>IF(B1422="",0,$S1422*$K1422)</f>
        <v>431.56327134952792</v>
      </c>
      <c r="U1422" s="85">
        <f>IF(B1422="",0,IF(OR(H1422=MappingTables!$C$34,H1422=MappingTables!$C$35),T1422,0))</f>
        <v>0</v>
      </c>
      <c r="V1422" s="85">
        <f>IF(ISNA(IF(AND(VLOOKUP(CONCATENATE($D1422,$G1422),CSRFinput!$B:$E,4,0)=0,OR(H1422=MappingTables!$C$34,H1422=MappingTables!$C$35)),1,VLOOKUP(CONCATENATE($D1422,$G1422),CSRFinput!$B:$E,4,0))),0,IF(AND(VLOOKUP(CONCATENATE($D1422,$G1422),CSRFinput!$B:$E,4,0)=0,OR(H1422=MappingTables!$C$34,H1422=MappingTables!$C$35)),1,VLOOKUP(CONCATENATE($D1422,$G1422),CSRFinput!$B:$E,4,0)))</f>
        <v>0.054776304963434752</v>
      </c>
      <c r="W1422" s="85">
        <f>IF(B1422="",0,+$T1422*$V1422)</f>
        <v>23.639441362459288</v>
      </c>
      <c r="X1422" s="85">
        <f>IF(B1422="",0,IF(OR(H1422=MappingTables!$C$34,H1422=MappingTables!$C$35),W1422,0))</f>
        <v>0</v>
      </c>
    </row>
    <row r="1423" spans="2:24" s="0" customFormat="0" ht="15">
      <c r="B1423" s="69">
        <v>17798236</v>
      </c>
      <c r="C1423" s="70" t="s">
        <v>976</v>
      </c>
      <c r="D1423" s="70" t="s">
        <v>1</v>
      </c>
      <c r="E1423" s="70" t="s">
        <v>1</v>
      </c>
      <c r="F1423" s="70"/>
      <c r="G1423" s="70" t="s">
        <v>61</v>
      </c>
      <c r="H1423" s="70" t="s">
        <v>178</v>
      </c>
      <c r="I1423" s="70" t="s">
        <v>184</v>
      </c>
      <c r="J1423" s="71">
        <f>IF(OR(I1423=0,I1423=""),"unrated",VLOOKUP(I1423,MappingTables!$B$19:$C$31,2,FALSE))</f>
        <v>5</v>
      </c>
      <c r="K1423" s="72">
        <v>107.80315153834606</v>
      </c>
      <c r="L1423" s="70">
        <v>0.70077035361536192</v>
      </c>
      <c r="M1423" s="71">
        <f>IF(L1423&lt;1,1,L1423)</f>
        <v>1</v>
      </c>
      <c r="N1423" s="70" t="s">
        <v>141</v>
      </c>
      <c r="O1423" s="71">
        <f>INDEX(DurClassMapping,MATCH(M1423,MappingTables!$D$4:$D$8,-1),1)</f>
        <v>1</v>
      </c>
      <c r="P1423" s="73">
        <f>IF(M1423=$A$1,1,$M1423-INDEX(MappingTables!$E$4:$E$8,MATCH(O1423,MappingTables!$B$4:$B$8,0)))</f>
        <v>1</v>
      </c>
      <c r="Q1423" s="71">
        <f>IF(B1423="",0,INDEX(ModelParameters!$D$6:$K$10,MATCH($O1423,ModelParameters!$B$6:$B$10,0),MATCH($J1423,ModelParameters!$D$5:$K$5,0)))</f>
        <v>0.075</v>
      </c>
      <c r="R1423" s="71">
        <f>IF(B1423="",0,INDEX(ModelParameters!$D$13:$K$17,MATCH($O1423,ModelParameters!$B$13:$B$17,0),MATCH($J1423,ModelParameters!$D$5:$K$5,0)))</f>
        <v>0</v>
      </c>
      <c r="S1423" s="160">
        <f>IF(B1423="",0,MIN(IF($N1423="Other Bond TM",ModelParameters!$N$21,1)*(P1423*Q1423+R1423),1))</f>
        <v>0.075</v>
      </c>
      <c r="T1423" s="85">
        <f>IF(B1423="",0,$S1423*$K1423)</f>
        <v>8.0852363653759536</v>
      </c>
      <c r="U1423" s="85">
        <f>IF(B1423="",0,IF(OR(H1423=MappingTables!$C$34,H1423=MappingTables!$C$35),T1423,0))</f>
        <v>0</v>
      </c>
      <c r="V1423" s="85">
        <f>IF(ISNA(IF(AND(VLOOKUP(CONCATENATE($D1423,$G1423),CSRFinput!$B:$E,4,0)=0,OR(H1423=MappingTables!$C$34,H1423=MappingTables!$C$35)),1,VLOOKUP(CONCATENATE($D1423,$G1423),CSRFinput!$B:$E,4,0))),0,IF(AND(VLOOKUP(CONCATENATE($D1423,$G1423),CSRFinput!$B:$E,4,0)=0,OR(H1423=MappingTables!$C$34,H1423=MappingTables!$C$35)),1,VLOOKUP(CONCATENATE($D1423,$G1423),CSRFinput!$B:$E,4,0)))</f>
        <v>0.054776304963434752</v>
      </c>
      <c r="W1423" s="85">
        <f>IF(B1423="",0,+$T1423*$V1423)</f>
        <v>0.442879372851286</v>
      </c>
      <c r="X1423" s="85">
        <f>IF(B1423="",0,IF(OR(H1423=MappingTables!$C$34,H1423=MappingTables!$C$35),W1423,0))</f>
        <v>0</v>
      </c>
    </row>
    <row r="1424" spans="2:24" s="0" customFormat="0" ht="15">
      <c r="B1424" s="69">
        <v>8543726</v>
      </c>
      <c r="C1424" s="70" t="s">
        <v>1686</v>
      </c>
      <c r="D1424" s="70" t="s">
        <v>1</v>
      </c>
      <c r="E1424" s="70" t="s">
        <v>1</v>
      </c>
      <c r="F1424" s="70"/>
      <c r="G1424" s="70" t="s">
        <v>61</v>
      </c>
      <c r="H1424" s="70" t="s">
        <v>178</v>
      </c>
      <c r="I1424" s="70" t="s">
        <v>188</v>
      </c>
      <c r="J1424" s="71">
        <f>IF(OR(I1424=0,I1424=""),"unrated",VLOOKUP(I1424,MappingTables!$B$19:$C$31,2,FALSE))</f>
        <v>2</v>
      </c>
      <c r="K1424" s="72">
        <v>16.06790081481353</v>
      </c>
      <c r="L1424" s="70">
        <v>3.0438898458083452</v>
      </c>
      <c r="M1424" s="71">
        <f>IF(L1424&lt;1,1,L1424)</f>
        <v>3.0438898458083452</v>
      </c>
      <c r="N1424" s="70" t="s">
        <v>141</v>
      </c>
      <c r="O1424" s="71">
        <f>INDEX(DurClassMapping,MATCH(M1424,MappingTables!$D$4:$D$8,-1),1)</f>
        <v>1</v>
      </c>
      <c r="P1424" s="73">
        <f>IF(M1424=$A$1,1,$M1424-INDEX(MappingTables!$E$4:$E$8,MATCH(O1424,MappingTables!$B$4:$B$8,0)))</f>
        <v>3.0438898458083452</v>
      </c>
      <c r="Q1424" s="71">
        <f>IF(B1424="",0,INDEX(ModelParameters!$D$6:$K$10,MATCH($O1424,ModelParameters!$B$6:$B$10,0),MATCH($J1424,ModelParameters!$D$5:$K$5,0)))</f>
        <v>0.013999999999999998</v>
      </c>
      <c r="R1424" s="71">
        <f>IF(B1424="",0,INDEX(ModelParameters!$D$13:$K$17,MATCH($O1424,ModelParameters!$B$13:$B$17,0),MATCH($J1424,ModelParameters!$D$5:$K$5,0)))</f>
        <v>0</v>
      </c>
      <c r="S1424" s="160">
        <f>IF(B1424="",0,MIN(IF($N1424="Other Bond TM",ModelParameters!$N$21,1)*(P1424*Q1424+R1424),1))</f>
        <v>0.042614457841316832</v>
      </c>
      <c r="T1424" s="85">
        <f>IF(B1424="",0,$S1424*$K1424)</f>
        <v>0.68472488187133152</v>
      </c>
      <c r="U1424" s="85">
        <f>IF(B1424="",0,IF(OR(H1424=MappingTables!$C$34,H1424=MappingTables!$C$35),T1424,0))</f>
        <v>0</v>
      </c>
      <c r="V1424" s="85">
        <f>IF(ISNA(IF(AND(VLOOKUP(CONCATENATE($D1424,$G1424),CSRFinput!$B:$E,4,0)=0,OR(H1424=MappingTables!$C$34,H1424=MappingTables!$C$35)),1,VLOOKUP(CONCATENATE($D1424,$G1424),CSRFinput!$B:$E,4,0))),0,IF(AND(VLOOKUP(CONCATENATE($D1424,$G1424),CSRFinput!$B:$E,4,0)=0,OR(H1424=MappingTables!$C$34,H1424=MappingTables!$C$35)),1,VLOOKUP(CONCATENATE($D1424,$G1424),CSRFinput!$B:$E,4,0)))</f>
        <v>0.054776304963434752</v>
      </c>
      <c r="W1424" s="85">
        <f>IF(B1424="",0,+$T1424*$V1424)</f>
        <v>0.037506698945435896</v>
      </c>
      <c r="X1424" s="85">
        <f>IF(B1424="",0,IF(OR(H1424=MappingTables!$C$34,H1424=MappingTables!$C$35),W1424,0))</f>
        <v>0</v>
      </c>
    </row>
    <row r="1425" spans="2:24" s="0" customFormat="0" ht="15">
      <c r="B1425" s="69" t="s">
        <v>1493</v>
      </c>
      <c r="C1425" s="70" t="s">
        <v>1494</v>
      </c>
      <c r="D1425" s="70" t="s">
        <v>1</v>
      </c>
      <c r="E1425" s="70" t="s">
        <v>1</v>
      </c>
      <c r="F1425" s="70"/>
      <c r="G1425" s="70" t="s">
        <v>61</v>
      </c>
      <c r="H1425" s="70" t="s">
        <v>178</v>
      </c>
      <c r="I1425" s="70" t="s">
        <v>181</v>
      </c>
      <c r="J1425" s="71">
        <f>IF(OR(I1425=0,I1425=""),"unrated",VLOOKUP(I1425,MappingTables!$B$19:$C$31,2,FALSE))</f>
        <v>3</v>
      </c>
      <c r="K1425" s="72">
        <v>641.06275000801336</v>
      </c>
      <c r="L1425" s="70">
        <v>0.37534226615259168</v>
      </c>
      <c r="M1425" s="71">
        <f>IF(L1425&lt;1,1,L1425)</f>
        <v>1</v>
      </c>
      <c r="N1425" s="70" t="s">
        <v>141</v>
      </c>
      <c r="O1425" s="71">
        <f>INDEX(DurClassMapping,MATCH(M1425,MappingTables!$D$4:$D$8,-1),1)</f>
        <v>1</v>
      </c>
      <c r="P1425" s="73">
        <f>IF(M1425=$A$1,1,$M1425-INDEX(MappingTables!$E$4:$E$8,MATCH(O1425,MappingTables!$B$4:$B$8,0)))</f>
        <v>1</v>
      </c>
      <c r="Q1425" s="71">
        <f>IF(B1425="",0,INDEX(ModelParameters!$D$6:$K$10,MATCH($O1425,ModelParameters!$B$6:$B$10,0),MATCH($J1425,ModelParameters!$D$5:$K$5,0)))</f>
        <v>0.025</v>
      </c>
      <c r="R1425" s="71">
        <f>IF(B1425="",0,INDEX(ModelParameters!$D$13:$K$17,MATCH($O1425,ModelParameters!$B$13:$B$17,0),MATCH($J1425,ModelParameters!$D$5:$K$5,0)))</f>
        <v>0</v>
      </c>
      <c r="S1425" s="160">
        <f>IF(B1425="",0,MIN(IF($N1425="Other Bond TM",ModelParameters!$N$21,1)*(P1425*Q1425+R1425),1))</f>
        <v>0.025</v>
      </c>
      <c r="T1425" s="85">
        <f>IF(B1425="",0,$S1425*$K1425)</f>
        <v>16.026568750200336</v>
      </c>
      <c r="U1425" s="85">
        <f>IF(B1425="",0,IF(OR(H1425=MappingTables!$C$34,H1425=MappingTables!$C$35),T1425,0))</f>
        <v>0</v>
      </c>
      <c r="V1425" s="85">
        <f>IF(ISNA(IF(AND(VLOOKUP(CONCATENATE($D1425,$G1425),CSRFinput!$B:$E,4,0)=0,OR(H1425=MappingTables!$C$34,H1425=MappingTables!$C$35)),1,VLOOKUP(CONCATENATE($D1425,$G1425),CSRFinput!$B:$E,4,0))),0,IF(AND(VLOOKUP(CONCATENATE($D1425,$G1425),CSRFinput!$B:$E,4,0)=0,OR(H1425=MappingTables!$C$34,H1425=MappingTables!$C$35)),1,VLOOKUP(CONCATENATE($D1425,$G1425),CSRFinput!$B:$E,4,0)))</f>
        <v>0.054776304963434752</v>
      </c>
      <c r="W1425" s="85">
        <f>IF(B1425="",0,+$T1425*$V1425)</f>
        <v>0.87787621737842704</v>
      </c>
      <c r="X1425" s="85">
        <f>IF(B1425="",0,IF(OR(H1425=MappingTables!$C$34,H1425=MappingTables!$C$35),W1425,0))</f>
        <v>0</v>
      </c>
    </row>
    <row r="1426" spans="2:24" s="0" customFormat="0" ht="15">
      <c r="B1426" s="69">
        <v>19005883</v>
      </c>
      <c r="C1426" s="70" t="s">
        <v>1687</v>
      </c>
      <c r="D1426" s="70" t="s">
        <v>1</v>
      </c>
      <c r="E1426" s="70" t="s">
        <v>1</v>
      </c>
      <c r="F1426" s="70"/>
      <c r="G1426" s="70" t="s">
        <v>61</v>
      </c>
      <c r="H1426" s="70" t="s">
        <v>178</v>
      </c>
      <c r="I1426" s="70" t="s">
        <v>181</v>
      </c>
      <c r="J1426" s="71">
        <f>IF(OR(I1426=0,I1426=""),"unrated",VLOOKUP(I1426,MappingTables!$B$19:$C$31,2,FALSE))</f>
        <v>3</v>
      </c>
      <c r="K1426" s="72">
        <v>80.069423430855824</v>
      </c>
      <c r="L1426" s="70">
        <v>1.0669650474052</v>
      </c>
      <c r="M1426" s="71">
        <f>IF(L1426&lt;1,1,L1426)</f>
        <v>1.0669650474052</v>
      </c>
      <c r="N1426" s="70" t="s">
        <v>141</v>
      </c>
      <c r="O1426" s="71">
        <f>INDEX(DurClassMapping,MATCH(M1426,MappingTables!$D$4:$D$8,-1),1)</f>
        <v>1</v>
      </c>
      <c r="P1426" s="73">
        <f>IF(M1426=$A$1,1,$M1426-INDEX(MappingTables!$E$4:$E$8,MATCH(O1426,MappingTables!$B$4:$B$8,0)))</f>
        <v>1.0669650474052</v>
      </c>
      <c r="Q1426" s="71">
        <f>IF(B1426="",0,INDEX(ModelParameters!$D$6:$K$10,MATCH($O1426,ModelParameters!$B$6:$B$10,0),MATCH($J1426,ModelParameters!$D$5:$K$5,0)))</f>
        <v>0.025</v>
      </c>
      <c r="R1426" s="71">
        <f>IF(B1426="",0,INDEX(ModelParameters!$D$13:$K$17,MATCH($O1426,ModelParameters!$B$13:$B$17,0),MATCH($J1426,ModelParameters!$D$5:$K$5,0)))</f>
        <v>0</v>
      </c>
      <c r="S1426" s="160">
        <f>IF(B1426="",0,MIN(IF($N1426="Other Bond TM",ModelParameters!$N$21,1)*(P1426*Q1426+R1426),1))</f>
        <v>0.02667412618513</v>
      </c>
      <c r="T1426" s="85">
        <f>IF(B1426="",0,$S1426*$K1426)</f>
        <v>2.1357819041652532</v>
      </c>
      <c r="U1426" s="85">
        <f>IF(B1426="",0,IF(OR(H1426=MappingTables!$C$34,H1426=MappingTables!$C$35),T1426,0))</f>
        <v>0</v>
      </c>
      <c r="V1426" s="85">
        <f>IF(ISNA(IF(AND(VLOOKUP(CONCATENATE($D1426,$G1426),CSRFinput!$B:$E,4,0)=0,OR(H1426=MappingTables!$C$34,H1426=MappingTables!$C$35)),1,VLOOKUP(CONCATENATE($D1426,$G1426),CSRFinput!$B:$E,4,0))),0,IF(AND(VLOOKUP(CONCATENATE($D1426,$G1426),CSRFinput!$B:$E,4,0)=0,OR(H1426=MappingTables!$C$34,H1426=MappingTables!$C$35)),1,VLOOKUP(CONCATENATE($D1426,$G1426),CSRFinput!$B:$E,4,0)))</f>
        <v>0.054776304963434752</v>
      </c>
      <c r="W1426" s="85">
        <f>IF(B1426="",0,+$T1426*$V1426)</f>
        <v>0.11699024091794128</v>
      </c>
      <c r="X1426" s="85">
        <f>IF(B1426="",0,IF(OR(H1426=MappingTables!$C$34,H1426=MappingTables!$C$35),W1426,0))</f>
        <v>0</v>
      </c>
    </row>
    <row r="1427" spans="2:24" s="0" customFormat="0" ht="15">
      <c r="B1427" s="69">
        <v>12557692</v>
      </c>
      <c r="C1427" s="70" t="s">
        <v>834</v>
      </c>
      <c r="D1427" s="70" t="s">
        <v>1</v>
      </c>
      <c r="E1427" s="70" t="s">
        <v>1</v>
      </c>
      <c r="F1427" s="70"/>
      <c r="G1427" s="70" t="s">
        <v>61</v>
      </c>
      <c r="H1427" s="70" t="s">
        <v>178</v>
      </c>
      <c r="I1427" s="70" t="s">
        <v>184</v>
      </c>
      <c r="J1427" s="71">
        <f>IF(OR(I1427=0,I1427=""),"unrated",VLOOKUP(I1427,MappingTables!$B$19:$C$31,2,FALSE))</f>
        <v>5</v>
      </c>
      <c r="K1427" s="72">
        <v>272.14260497714388</v>
      </c>
      <c r="L1427" s="70">
        <v>3.518391213452104</v>
      </c>
      <c r="M1427" s="71">
        <f>IF(L1427&lt;1,1,L1427)</f>
        <v>3.518391213452104</v>
      </c>
      <c r="N1427" s="70" t="s">
        <v>141</v>
      </c>
      <c r="O1427" s="71">
        <f>INDEX(DurClassMapping,MATCH(M1427,MappingTables!$D$4:$D$8,-1),1)</f>
        <v>1</v>
      </c>
      <c r="P1427" s="73">
        <f>IF(M1427=$A$1,1,$M1427-INDEX(MappingTables!$E$4:$E$8,MATCH(O1427,MappingTables!$B$4:$B$8,0)))</f>
        <v>3.518391213452104</v>
      </c>
      <c r="Q1427" s="71">
        <f>IF(B1427="",0,INDEX(ModelParameters!$D$6:$K$10,MATCH($O1427,ModelParameters!$B$6:$B$10,0),MATCH($J1427,ModelParameters!$D$5:$K$5,0)))</f>
        <v>0.075</v>
      </c>
      <c r="R1427" s="71">
        <f>IF(B1427="",0,INDEX(ModelParameters!$D$13:$K$17,MATCH($O1427,ModelParameters!$B$13:$B$17,0),MATCH($J1427,ModelParameters!$D$5:$K$5,0)))</f>
        <v>0</v>
      </c>
      <c r="S1427" s="160">
        <f>IF(B1427="",0,MIN(IF($N1427="Other Bond TM",ModelParameters!$N$21,1)*(P1427*Q1427+R1427),1))</f>
        <v>0.26387934100890776</v>
      </c>
      <c r="T1427" s="85">
        <f>IF(B1427="",0,$S1427*$K1427)</f>
        <v>71.812811261816224</v>
      </c>
      <c r="U1427" s="85">
        <f>IF(B1427="",0,IF(OR(H1427=MappingTables!$C$34,H1427=MappingTables!$C$35),T1427,0))</f>
        <v>0</v>
      </c>
      <c r="V1427" s="85">
        <f>IF(ISNA(IF(AND(VLOOKUP(CONCATENATE($D1427,$G1427),CSRFinput!$B:$E,4,0)=0,OR(H1427=MappingTables!$C$34,H1427=MappingTables!$C$35)),1,VLOOKUP(CONCATENATE($D1427,$G1427),CSRFinput!$B:$E,4,0))),0,IF(AND(VLOOKUP(CONCATENATE($D1427,$G1427),CSRFinput!$B:$E,4,0)=0,OR(H1427=MappingTables!$C$34,H1427=MappingTables!$C$35)),1,VLOOKUP(CONCATENATE($D1427,$G1427),CSRFinput!$B:$E,4,0)))</f>
        <v>0.054776304963434752</v>
      </c>
      <c r="W1427" s="85">
        <f>IF(B1427="",0,+$T1427*$V1427)</f>
        <v>3.9336404499588272</v>
      </c>
      <c r="X1427" s="85">
        <f>IF(B1427="",0,IF(OR(H1427=MappingTables!$C$34,H1427=MappingTables!$C$35),W1427,0))</f>
        <v>0</v>
      </c>
    </row>
    <row r="1428" spans="2:24" s="0" customFormat="0" ht="15">
      <c r="B1428" s="69">
        <v>15887208</v>
      </c>
      <c r="C1428" s="70" t="s">
        <v>1688</v>
      </c>
      <c r="D1428" s="70" t="s">
        <v>1</v>
      </c>
      <c r="E1428" s="70" t="s">
        <v>1</v>
      </c>
      <c r="F1428" s="70"/>
      <c r="G1428" s="70" t="s">
        <v>61</v>
      </c>
      <c r="H1428" s="70" t="s">
        <v>178</v>
      </c>
      <c r="I1428" s="70" t="s">
        <v>188</v>
      </c>
      <c r="J1428" s="71">
        <f>IF(OR(I1428=0,I1428=""),"unrated",VLOOKUP(I1428,MappingTables!$B$19:$C$31,2,FALSE))</f>
        <v>2</v>
      </c>
      <c r="K1428" s="72">
        <v>5728.7344064475672</v>
      </c>
      <c r="L1428" s="70">
        <v>0.0986317764664156</v>
      </c>
      <c r="M1428" s="71">
        <f>IF(L1428&lt;1,1,L1428)</f>
        <v>1</v>
      </c>
      <c r="N1428" s="70" t="s">
        <v>141</v>
      </c>
      <c r="O1428" s="71">
        <f>INDEX(DurClassMapping,MATCH(M1428,MappingTables!$D$4:$D$8,-1),1)</f>
        <v>1</v>
      </c>
      <c r="P1428" s="73">
        <f>IF(M1428=$A$1,1,$M1428-INDEX(MappingTables!$E$4:$E$8,MATCH(O1428,MappingTables!$B$4:$B$8,0)))</f>
        <v>1</v>
      </c>
      <c r="Q1428" s="71">
        <f>IF(B1428="",0,INDEX(ModelParameters!$D$6:$K$10,MATCH($O1428,ModelParameters!$B$6:$B$10,0),MATCH($J1428,ModelParameters!$D$5:$K$5,0)))</f>
        <v>0.013999999999999998</v>
      </c>
      <c r="R1428" s="71">
        <f>IF(B1428="",0,INDEX(ModelParameters!$D$13:$K$17,MATCH($O1428,ModelParameters!$B$13:$B$17,0),MATCH($J1428,ModelParameters!$D$5:$K$5,0)))</f>
        <v>0</v>
      </c>
      <c r="S1428" s="160">
        <f>IF(B1428="",0,MIN(IF($N1428="Other Bond TM",ModelParameters!$N$21,1)*(P1428*Q1428+R1428),1))</f>
        <v>0.013999999999999998</v>
      </c>
      <c r="T1428" s="85">
        <f>IF(B1428="",0,$S1428*$K1428)</f>
        <v>80.202281690265936</v>
      </c>
      <c r="U1428" s="85">
        <f>IF(B1428="",0,IF(OR(H1428=MappingTables!$C$34,H1428=MappingTables!$C$35),T1428,0))</f>
        <v>0</v>
      </c>
      <c r="V1428" s="85">
        <f>IF(ISNA(IF(AND(VLOOKUP(CONCATENATE($D1428,$G1428),CSRFinput!$B:$E,4,0)=0,OR(H1428=MappingTables!$C$34,H1428=MappingTables!$C$35)),1,VLOOKUP(CONCATENATE($D1428,$G1428),CSRFinput!$B:$E,4,0))),0,IF(AND(VLOOKUP(CONCATENATE($D1428,$G1428),CSRFinput!$B:$E,4,0)=0,OR(H1428=MappingTables!$C$34,H1428=MappingTables!$C$35)),1,VLOOKUP(CONCATENATE($D1428,$G1428),CSRFinput!$B:$E,4,0)))</f>
        <v>0.054776304963434752</v>
      </c>
      <c r="W1428" s="85">
        <f>IF(B1428="",0,+$T1428*$V1428)</f>
        <v>4.3931846406293056</v>
      </c>
      <c r="X1428" s="85">
        <f>IF(B1428="",0,IF(OR(H1428=MappingTables!$C$34,H1428=MappingTables!$C$35),W1428,0))</f>
        <v>0</v>
      </c>
    </row>
    <row r="1429" spans="2:24" s="0" customFormat="0" ht="15">
      <c r="B1429" s="69" t="s">
        <v>1181</v>
      </c>
      <c r="C1429" s="70" t="s">
        <v>1182</v>
      </c>
      <c r="D1429" s="70" t="s">
        <v>1</v>
      </c>
      <c r="E1429" s="70" t="s">
        <v>1</v>
      </c>
      <c r="F1429" s="70"/>
      <c r="G1429" s="70" t="s">
        <v>61</v>
      </c>
      <c r="H1429" s="70" t="s">
        <v>178</v>
      </c>
      <c r="I1429" s="70" t="s">
        <v>181</v>
      </c>
      <c r="J1429" s="71">
        <f>IF(OR(I1429=0,I1429=""),"unrated",VLOOKUP(I1429,MappingTables!$B$19:$C$31,2,FALSE))</f>
        <v>3</v>
      </c>
      <c r="K1429" s="72">
        <v>0.3991053207656616</v>
      </c>
      <c r="L1429" s="70">
        <v>1.868600918679502</v>
      </c>
      <c r="M1429" s="71">
        <f>IF(L1429&lt;1,1,L1429)</f>
        <v>1.868600918679502</v>
      </c>
      <c r="N1429" s="70" t="s">
        <v>141</v>
      </c>
      <c r="O1429" s="71">
        <f>INDEX(DurClassMapping,MATCH(M1429,MappingTables!$D$4:$D$8,-1),1)</f>
        <v>1</v>
      </c>
      <c r="P1429" s="73">
        <f>IF(M1429=$A$1,1,$M1429-INDEX(MappingTables!$E$4:$E$8,MATCH(O1429,MappingTables!$B$4:$B$8,0)))</f>
        <v>1.868600918679502</v>
      </c>
      <c r="Q1429" s="71">
        <f>IF(B1429="",0,INDEX(ModelParameters!$D$6:$K$10,MATCH($O1429,ModelParameters!$B$6:$B$10,0),MATCH($J1429,ModelParameters!$D$5:$K$5,0)))</f>
        <v>0.025</v>
      </c>
      <c r="R1429" s="71">
        <f>IF(B1429="",0,INDEX(ModelParameters!$D$13:$K$17,MATCH($O1429,ModelParameters!$B$13:$B$17,0),MATCH($J1429,ModelParameters!$D$5:$K$5,0)))</f>
        <v>0</v>
      </c>
      <c r="S1429" s="160">
        <f>IF(B1429="",0,MIN(IF($N1429="Other Bond TM",ModelParameters!$N$21,1)*(P1429*Q1429+R1429),1))</f>
        <v>0.046715022966987552</v>
      </c>
      <c r="T1429" s="85">
        <f>IF(B1429="",0,$S1429*$K1429)</f>
        <v>0.018644214225814816</v>
      </c>
      <c r="U1429" s="85">
        <f>IF(B1429="",0,IF(OR(H1429=MappingTables!$C$34,H1429=MappingTables!$C$35),T1429,0))</f>
        <v>0</v>
      </c>
      <c r="V1429" s="85">
        <f>IF(ISNA(IF(AND(VLOOKUP(CONCATENATE($D1429,$G1429),CSRFinput!$B:$E,4,0)=0,OR(H1429=MappingTables!$C$34,H1429=MappingTables!$C$35)),1,VLOOKUP(CONCATENATE($D1429,$G1429),CSRFinput!$B:$E,4,0))),0,IF(AND(VLOOKUP(CONCATENATE($D1429,$G1429),CSRFinput!$B:$E,4,0)=0,OR(H1429=MappingTables!$C$34,H1429=MappingTables!$C$35)),1,VLOOKUP(CONCATENATE($D1429,$G1429),CSRFinput!$B:$E,4,0)))</f>
        <v>0.054776304963434752</v>
      </c>
      <c r="W1429" s="85">
        <f>IF(B1429="",0,+$T1429*$V1429)</f>
        <v>0.001021261164236841</v>
      </c>
      <c r="X1429" s="85">
        <f>IF(B1429="",0,IF(OR(H1429=MappingTables!$C$34,H1429=MappingTables!$C$35),W1429,0))</f>
        <v>0</v>
      </c>
    </row>
    <row r="1430" spans="2:24" s="0" customFormat="0" ht="15">
      <c r="B1430" s="69" t="s">
        <v>779</v>
      </c>
      <c r="C1430" s="70" t="s">
        <v>780</v>
      </c>
      <c r="D1430" s="70" t="s">
        <v>1</v>
      </c>
      <c r="E1430" s="70" t="s">
        <v>1</v>
      </c>
      <c r="F1430" s="70"/>
      <c r="G1430" s="70" t="s">
        <v>61</v>
      </c>
      <c r="H1430" s="70" t="s">
        <v>178</v>
      </c>
      <c r="I1430" s="70" t="s">
        <v>184</v>
      </c>
      <c r="J1430" s="71">
        <f>IF(OR(I1430=0,I1430=""),"unrated",VLOOKUP(I1430,MappingTables!$B$19:$C$31,2,FALSE))</f>
        <v>5</v>
      </c>
      <c r="K1430" s="72">
        <v>169.52955210666962</v>
      </c>
      <c r="L1430" s="70">
        <v>5.7253055673395704</v>
      </c>
      <c r="M1430" s="71">
        <f>IF(L1430&lt;1,1,L1430)</f>
        <v>5.7253055673395704</v>
      </c>
      <c r="N1430" s="70" t="s">
        <v>141</v>
      </c>
      <c r="O1430" s="71">
        <f>INDEX(DurClassMapping,MATCH(M1430,MappingTables!$D$4:$D$8,-1),1)</f>
        <v>2</v>
      </c>
      <c r="P1430" s="73">
        <f>IF(M1430=$A$1,1,$M1430-INDEX(MappingTables!$E$4:$E$8,MATCH(O1430,MappingTables!$B$4:$B$8,0)))</f>
        <v>0.72530556733957056</v>
      </c>
      <c r="Q1430" s="71">
        <f>IF(B1430="",0,INDEX(ModelParameters!$D$6:$K$10,MATCH($O1430,ModelParameters!$B$6:$B$10,0),MATCH($J1430,ModelParameters!$D$5:$K$5,0)))</f>
        <v>0.042</v>
      </c>
      <c r="R1430" s="71">
        <f>IF(B1430="",0,INDEX(ModelParameters!$D$13:$K$17,MATCH($O1430,ModelParameters!$B$13:$B$17,0),MATCH($J1430,ModelParameters!$D$5:$K$5,0)))</f>
        <v>0.375</v>
      </c>
      <c r="S1430" s="160">
        <f>IF(B1430="",0,MIN(IF($N1430="Other Bond TM",ModelParameters!$N$21,1)*(P1430*Q1430+R1430),1))</f>
        <v>0.405462833828262</v>
      </c>
      <c r="T1430" s="85">
        <f>IF(B1430="",0,$S1430*$K1430)</f>
        <v>68.737932614806272</v>
      </c>
      <c r="U1430" s="85">
        <f>IF(B1430="",0,IF(OR(H1430=MappingTables!$C$34,H1430=MappingTables!$C$35),T1430,0))</f>
        <v>0</v>
      </c>
      <c r="V1430" s="85">
        <f>IF(ISNA(IF(AND(VLOOKUP(CONCATENATE($D1430,$G1430),CSRFinput!$B:$E,4,0)=0,OR(H1430=MappingTables!$C$34,H1430=MappingTables!$C$35)),1,VLOOKUP(CONCATENATE($D1430,$G1430),CSRFinput!$B:$E,4,0))),0,IF(AND(VLOOKUP(CONCATENATE($D1430,$G1430),CSRFinput!$B:$E,4,0)=0,OR(H1430=MappingTables!$C$34,H1430=MappingTables!$C$35)),1,VLOOKUP(CONCATENATE($D1430,$G1430),CSRFinput!$B:$E,4,0)))</f>
        <v>0.054776304963434752</v>
      </c>
      <c r="W1430" s="85">
        <f>IF(B1430="",0,+$T1430*$V1430)</f>
        <v>3.765209959464656</v>
      </c>
      <c r="X1430" s="85">
        <f>IF(B1430="",0,IF(OR(H1430=MappingTables!$C$34,H1430=MappingTables!$C$35),W1430,0))</f>
        <v>0</v>
      </c>
    </row>
    <row r="1431" spans="2:24" s="0" customFormat="0" ht="15">
      <c r="B1431" s="69">
        <v>2251474</v>
      </c>
      <c r="C1431" s="70" t="s">
        <v>1689</v>
      </c>
      <c r="D1431" s="70" t="s">
        <v>1</v>
      </c>
      <c r="E1431" s="70" t="s">
        <v>1</v>
      </c>
      <c r="F1431" s="70"/>
      <c r="G1431" s="70" t="s">
        <v>61</v>
      </c>
      <c r="H1431" s="70" t="s">
        <v>178</v>
      </c>
      <c r="I1431" s="70" t="s">
        <v>188</v>
      </c>
      <c r="J1431" s="71">
        <f>IF(OR(I1431=0,I1431=""),"unrated",VLOOKUP(I1431,MappingTables!$B$19:$C$31,2,FALSE))</f>
        <v>2</v>
      </c>
      <c r="K1431" s="72">
        <v>3892.406949722672</v>
      </c>
      <c r="L1431" s="70">
        <v>16.944140278781986</v>
      </c>
      <c r="M1431" s="71">
        <f>IF(L1431&lt;1,1,L1431)</f>
        <v>16.944140278781986</v>
      </c>
      <c r="N1431" s="70" t="s">
        <v>141</v>
      </c>
      <c r="O1431" s="71">
        <f>INDEX(DurClassMapping,MATCH(M1431,MappingTables!$D$4:$D$8,-1),1)</f>
        <v>4</v>
      </c>
      <c r="P1431" s="73">
        <f>IF(M1431=$A$1,1,$M1431-INDEX(MappingTables!$E$4:$E$8,MATCH(O1431,MappingTables!$B$4:$B$8,0)))</f>
        <v>1.9441402787819868</v>
      </c>
      <c r="Q1431" s="71">
        <f>IF(B1431="",0,INDEX(ModelParameters!$D$6:$K$10,MATCH($O1431,ModelParameters!$B$6:$B$10,0),MATCH($J1431,ModelParameters!$D$5:$K$5,0)))</f>
        <v>0.005</v>
      </c>
      <c r="R1431" s="71">
        <f>IF(B1431="",0,INDEX(ModelParameters!$D$13:$K$17,MATCH($O1431,ModelParameters!$B$13:$B$17,0),MATCH($J1431,ModelParameters!$D$5:$K$5,0)))</f>
        <v>0.13</v>
      </c>
      <c r="S1431" s="160">
        <f>IF(B1431="",0,MIN(IF($N1431="Other Bond TM",ModelParameters!$N$21,1)*(P1431*Q1431+R1431),1))</f>
        <v>0.13972070139390994</v>
      </c>
      <c r="T1431" s="85">
        <f>IF(B1431="",0,$S1431*$K1431)</f>
        <v>543.84982912578128</v>
      </c>
      <c r="U1431" s="85">
        <f>IF(B1431="",0,IF(OR(H1431=MappingTables!$C$34,H1431=MappingTables!$C$35),T1431,0))</f>
        <v>0</v>
      </c>
      <c r="V1431" s="85">
        <f>IF(ISNA(IF(AND(VLOOKUP(CONCATENATE($D1431,$G1431),CSRFinput!$B:$E,4,0)=0,OR(H1431=MappingTables!$C$34,H1431=MappingTables!$C$35)),1,VLOOKUP(CONCATENATE($D1431,$G1431),CSRFinput!$B:$E,4,0))),0,IF(AND(VLOOKUP(CONCATENATE($D1431,$G1431),CSRFinput!$B:$E,4,0)=0,OR(H1431=MappingTables!$C$34,H1431=MappingTables!$C$35)),1,VLOOKUP(CONCATENATE($D1431,$G1431),CSRFinput!$B:$E,4,0)))</f>
        <v>0.054776304963434752</v>
      </c>
      <c r="W1431" s="85">
        <f>IF(B1431="",0,+$T1431*$V1431)</f>
        <v>29.790084094505676</v>
      </c>
      <c r="X1431" s="85">
        <f>IF(B1431="",0,IF(OR(H1431=MappingTables!$C$34,H1431=MappingTables!$C$35),W1431,0))</f>
        <v>0</v>
      </c>
    </row>
    <row r="1432" spans="2:24" s="0" customFormat="0" ht="15">
      <c r="B1432" s="69">
        <v>17807209</v>
      </c>
      <c r="C1432" s="70" t="s">
        <v>1690</v>
      </c>
      <c r="D1432" s="70" t="s">
        <v>1</v>
      </c>
      <c r="E1432" s="70" t="s">
        <v>1</v>
      </c>
      <c r="F1432" s="70"/>
      <c r="G1432" s="70" t="s">
        <v>61</v>
      </c>
      <c r="H1432" s="70" t="s">
        <v>178</v>
      </c>
      <c r="I1432" s="70" t="s">
        <v>184</v>
      </c>
      <c r="J1432" s="71">
        <f>IF(OR(I1432=0,I1432=""),"unrated",VLOOKUP(I1432,MappingTables!$B$19:$C$31,2,FALSE))</f>
        <v>5</v>
      </c>
      <c r="K1432" s="72">
        <v>10415.755203148258</v>
      </c>
      <c r="L1432" s="70">
        <v>4.149171090588012</v>
      </c>
      <c r="M1432" s="71">
        <f>IF(L1432&lt;1,1,L1432)</f>
        <v>4.149171090588012</v>
      </c>
      <c r="N1432" s="70" t="s">
        <v>141</v>
      </c>
      <c r="O1432" s="71">
        <f>INDEX(DurClassMapping,MATCH(M1432,MappingTables!$D$4:$D$8,-1),1)</f>
        <v>1</v>
      </c>
      <c r="P1432" s="73">
        <f>IF(M1432=$A$1,1,$M1432-INDEX(MappingTables!$E$4:$E$8,MATCH(O1432,MappingTables!$B$4:$B$8,0)))</f>
        <v>4.149171090588012</v>
      </c>
      <c r="Q1432" s="71">
        <f>IF(B1432="",0,INDEX(ModelParameters!$D$6:$K$10,MATCH($O1432,ModelParameters!$B$6:$B$10,0),MATCH($J1432,ModelParameters!$D$5:$K$5,0)))</f>
        <v>0.075</v>
      </c>
      <c r="R1432" s="71">
        <f>IF(B1432="",0,INDEX(ModelParameters!$D$13:$K$17,MATCH($O1432,ModelParameters!$B$13:$B$17,0),MATCH($J1432,ModelParameters!$D$5:$K$5,0)))</f>
        <v>0</v>
      </c>
      <c r="S1432" s="160">
        <f>IF(B1432="",0,MIN(IF($N1432="Other Bond TM",ModelParameters!$N$21,1)*(P1432*Q1432+R1432),1))</f>
        <v>0.31118783179410088</v>
      </c>
      <c r="T1432" s="85">
        <f>IF(B1432="",0,$S1432*$K1432)</f>
        <v>3241.2562781658308</v>
      </c>
      <c r="U1432" s="85">
        <f>IF(B1432="",0,IF(OR(H1432=MappingTables!$C$34,H1432=MappingTables!$C$35),T1432,0))</f>
        <v>0</v>
      </c>
      <c r="V1432" s="85">
        <f>IF(ISNA(IF(AND(VLOOKUP(CONCATENATE($D1432,$G1432),CSRFinput!$B:$E,4,0)=0,OR(H1432=MappingTables!$C$34,H1432=MappingTables!$C$35)),1,VLOOKUP(CONCATENATE($D1432,$G1432),CSRFinput!$B:$E,4,0))),0,IF(AND(VLOOKUP(CONCATENATE($D1432,$G1432),CSRFinput!$B:$E,4,0)=0,OR(H1432=MappingTables!$C$34,H1432=MappingTables!$C$35)),1,VLOOKUP(CONCATENATE($D1432,$G1432),CSRFinput!$B:$E,4,0)))</f>
        <v>0.054776304963434752</v>
      </c>
      <c r="W1432" s="85">
        <f>IF(B1432="",0,+$T1432*$V1432)</f>
        <v>177.54404235745906</v>
      </c>
      <c r="X1432" s="85">
        <f>IF(B1432="",0,IF(OR(H1432=MappingTables!$C$34,H1432=MappingTables!$C$35),W1432,0))</f>
        <v>0</v>
      </c>
    </row>
    <row r="1433" spans="2:24" s="0" customFormat="0" ht="15">
      <c r="B1433" s="69">
        <v>18156063</v>
      </c>
      <c r="C1433" s="70" t="s">
        <v>1691</v>
      </c>
      <c r="D1433" s="70" t="s">
        <v>1</v>
      </c>
      <c r="E1433" s="70" t="s">
        <v>1</v>
      </c>
      <c r="F1433" s="70"/>
      <c r="G1433" s="70" t="s">
        <v>61</v>
      </c>
      <c r="H1433" s="70" t="s">
        <v>178</v>
      </c>
      <c r="I1433" s="70" t="s">
        <v>179</v>
      </c>
      <c r="J1433" s="71">
        <f>IF(OR(I1433=0,I1433=""),"unrated",VLOOKUP(I1433,MappingTables!$B$19:$C$31,2,FALSE))</f>
        <v>4</v>
      </c>
      <c r="K1433" s="72">
        <v>4875.9507252675096</v>
      </c>
      <c r="L1433" s="70">
        <v>0.12602769526808522</v>
      </c>
      <c r="M1433" s="71">
        <f>IF(L1433&lt;1,1,L1433)</f>
        <v>1</v>
      </c>
      <c r="N1433" s="70" t="s">
        <v>141</v>
      </c>
      <c r="O1433" s="71">
        <f>INDEX(DurClassMapping,MATCH(M1433,MappingTables!$D$4:$D$8,-1),1)</f>
        <v>1</v>
      </c>
      <c r="P1433" s="73">
        <f>IF(M1433=$A$1,1,$M1433-INDEX(MappingTables!$E$4:$E$8,MATCH(O1433,MappingTables!$B$4:$B$8,0)))</f>
        <v>1</v>
      </c>
      <c r="Q1433" s="71">
        <f>IF(B1433="",0,INDEX(ModelParameters!$D$6:$K$10,MATCH($O1433,ModelParameters!$B$6:$B$10,0),MATCH($J1433,ModelParameters!$D$5:$K$5,0)))</f>
        <v>0.045</v>
      </c>
      <c r="R1433" s="71">
        <f>IF(B1433="",0,INDEX(ModelParameters!$D$13:$K$17,MATCH($O1433,ModelParameters!$B$13:$B$17,0),MATCH($J1433,ModelParameters!$D$5:$K$5,0)))</f>
        <v>0</v>
      </c>
      <c r="S1433" s="160">
        <f>IF(B1433="",0,MIN(IF($N1433="Other Bond TM",ModelParameters!$N$21,1)*(P1433*Q1433+R1433),1))</f>
        <v>0.045</v>
      </c>
      <c r="T1433" s="85">
        <f>IF(B1433="",0,$S1433*$K1433)</f>
        <v>219.41778263703792</v>
      </c>
      <c r="U1433" s="85">
        <f>IF(B1433="",0,IF(OR(H1433=MappingTables!$C$34,H1433=MappingTables!$C$35),T1433,0))</f>
        <v>0</v>
      </c>
      <c r="V1433" s="85">
        <f>IF(ISNA(IF(AND(VLOOKUP(CONCATENATE($D1433,$G1433),CSRFinput!$B:$E,4,0)=0,OR(H1433=MappingTables!$C$34,H1433=MappingTables!$C$35)),1,VLOOKUP(CONCATENATE($D1433,$G1433),CSRFinput!$B:$E,4,0))),0,IF(AND(VLOOKUP(CONCATENATE($D1433,$G1433),CSRFinput!$B:$E,4,0)=0,OR(H1433=MappingTables!$C$34,H1433=MappingTables!$C$35)),1,VLOOKUP(CONCATENATE($D1433,$G1433),CSRFinput!$B:$E,4,0)))</f>
        <v>0.054776304963434752</v>
      </c>
      <c r="W1433" s="85">
        <f>IF(B1433="",0,+$T1433*$V1433)</f>
        <v>12.018895376127026</v>
      </c>
      <c r="X1433" s="85">
        <f>IF(B1433="",0,IF(OR(H1433=MappingTables!$C$34,H1433=MappingTables!$C$35),W1433,0))</f>
        <v>0</v>
      </c>
    </row>
    <row r="1434" spans="2:24" s="0" customFormat="0" ht="15">
      <c r="B1434" s="69">
        <v>6088170</v>
      </c>
      <c r="C1434" s="70" t="s">
        <v>1692</v>
      </c>
      <c r="D1434" s="70" t="s">
        <v>1</v>
      </c>
      <c r="E1434" s="70" t="s">
        <v>1</v>
      </c>
      <c r="F1434" s="70"/>
      <c r="G1434" s="70" t="s">
        <v>61</v>
      </c>
      <c r="H1434" s="70" t="s">
        <v>178</v>
      </c>
      <c r="I1434" s="70" t="s">
        <v>181</v>
      </c>
      <c r="J1434" s="71">
        <f>IF(OR(I1434=0,I1434=""),"unrated",VLOOKUP(I1434,MappingTables!$B$19:$C$31,2,FALSE))</f>
        <v>3</v>
      </c>
      <c r="K1434" s="72">
        <v>295.06748646299564</v>
      </c>
      <c r="L1434" s="70">
        <v>12.651992354442578</v>
      </c>
      <c r="M1434" s="71">
        <f>IF(L1434&lt;1,1,L1434)</f>
        <v>12.651992354442578</v>
      </c>
      <c r="N1434" s="70" t="s">
        <v>141</v>
      </c>
      <c r="O1434" s="71">
        <f>INDEX(DurClassMapping,MATCH(M1434,MappingTables!$D$4:$D$8,-1),1)</f>
        <v>3</v>
      </c>
      <c r="P1434" s="73">
        <f>IF(M1434=$A$1,1,$M1434-INDEX(MappingTables!$E$4:$E$8,MATCH(O1434,MappingTables!$B$4:$B$8,0)))</f>
        <v>2.6519923544425784</v>
      </c>
      <c r="Q1434" s="71">
        <f>IF(B1434="",0,INDEX(ModelParameters!$D$6:$K$10,MATCH($O1434,ModelParameters!$B$6:$B$10,0),MATCH($J1434,ModelParameters!$D$5:$K$5,0)))</f>
        <v>0.01</v>
      </c>
      <c r="R1434" s="71">
        <f>IF(B1434="",0,INDEX(ModelParameters!$D$13:$K$17,MATCH($O1434,ModelParameters!$B$13:$B$17,0),MATCH($J1434,ModelParameters!$D$5:$K$5,0)))</f>
        <v>0.2</v>
      </c>
      <c r="S1434" s="160">
        <f>IF(B1434="",0,MIN(IF($N1434="Other Bond TM",ModelParameters!$N$21,1)*(P1434*Q1434+R1434),1))</f>
        <v>0.2265199235444258</v>
      </c>
      <c r="T1434" s="85">
        <f>IF(B1434="",0,$S1434*$K1434)</f>
        <v>66.838664474043664</v>
      </c>
      <c r="U1434" s="85">
        <f>IF(B1434="",0,IF(OR(H1434=MappingTables!$C$34,H1434=MappingTables!$C$35),T1434,0))</f>
        <v>0</v>
      </c>
      <c r="V1434" s="85">
        <f>IF(ISNA(IF(AND(VLOOKUP(CONCATENATE($D1434,$G1434),CSRFinput!$B:$E,4,0)=0,OR(H1434=MappingTables!$C$34,H1434=MappingTables!$C$35)),1,VLOOKUP(CONCATENATE($D1434,$G1434),CSRFinput!$B:$E,4,0))),0,IF(AND(VLOOKUP(CONCATENATE($D1434,$G1434),CSRFinput!$B:$E,4,0)=0,OR(H1434=MappingTables!$C$34,H1434=MappingTables!$C$35)),1,VLOOKUP(CONCATENATE($D1434,$G1434),CSRFinput!$B:$E,4,0)))</f>
        <v>0.054776304963434752</v>
      </c>
      <c r="W1434" s="85">
        <f>IF(B1434="",0,+$T1434*$V1434)</f>
        <v>3.661175068578908</v>
      </c>
      <c r="X1434" s="85">
        <f>IF(B1434="",0,IF(OR(H1434=MappingTables!$C$34,H1434=MappingTables!$C$35),W1434,0))</f>
        <v>0</v>
      </c>
    </row>
    <row r="1435" spans="2:24" s="0" customFormat="0" ht="15">
      <c r="B1435" s="69">
        <v>20622079</v>
      </c>
      <c r="C1435" s="70" t="s">
        <v>1693</v>
      </c>
      <c r="D1435" s="70" t="s">
        <v>1</v>
      </c>
      <c r="E1435" s="70" t="s">
        <v>1</v>
      </c>
      <c r="F1435" s="70"/>
      <c r="G1435" s="70" t="s">
        <v>61</v>
      </c>
      <c r="H1435" s="70" t="s">
        <v>178</v>
      </c>
      <c r="I1435" s="70" t="s">
        <v>181</v>
      </c>
      <c r="J1435" s="71">
        <f>IF(OR(I1435=0,I1435=""),"unrated",VLOOKUP(I1435,MappingTables!$B$19:$C$31,2,FALSE))</f>
        <v>3</v>
      </c>
      <c r="K1435" s="72">
        <v>36338.268568522216</v>
      </c>
      <c r="L1435" s="70">
        <v>4.1269451223392936</v>
      </c>
      <c r="M1435" s="71">
        <f>IF(L1435&lt;1,1,L1435)</f>
        <v>4.1269451223392936</v>
      </c>
      <c r="N1435" s="70" t="s">
        <v>141</v>
      </c>
      <c r="O1435" s="71">
        <f>INDEX(DurClassMapping,MATCH(M1435,MappingTables!$D$4:$D$8,-1),1)</f>
        <v>1</v>
      </c>
      <c r="P1435" s="73">
        <f>IF(M1435=$A$1,1,$M1435-INDEX(MappingTables!$E$4:$E$8,MATCH(O1435,MappingTables!$B$4:$B$8,0)))</f>
        <v>4.1269451223392936</v>
      </c>
      <c r="Q1435" s="71">
        <f>IF(B1435="",0,INDEX(ModelParameters!$D$6:$K$10,MATCH($O1435,ModelParameters!$B$6:$B$10,0),MATCH($J1435,ModelParameters!$D$5:$K$5,0)))</f>
        <v>0.025</v>
      </c>
      <c r="R1435" s="71">
        <f>IF(B1435="",0,INDEX(ModelParameters!$D$13:$K$17,MATCH($O1435,ModelParameters!$B$13:$B$17,0),MATCH($J1435,ModelParameters!$D$5:$K$5,0)))</f>
        <v>0</v>
      </c>
      <c r="S1435" s="160">
        <f>IF(B1435="",0,MIN(IF($N1435="Other Bond TM",ModelParameters!$N$21,1)*(P1435*Q1435+R1435),1))</f>
        <v>0.10317362805848234</v>
      </c>
      <c r="T1435" s="85">
        <f>IF(B1435="",0,$S1435*$K1435)</f>
        <v>3749.1510055779512</v>
      </c>
      <c r="U1435" s="85">
        <f>IF(B1435="",0,IF(OR(H1435=MappingTables!$C$34,H1435=MappingTables!$C$35),T1435,0))</f>
        <v>0</v>
      </c>
      <c r="V1435" s="85">
        <f>IF(ISNA(IF(AND(VLOOKUP(CONCATENATE($D1435,$G1435),CSRFinput!$B:$E,4,0)=0,OR(H1435=MappingTables!$C$34,H1435=MappingTables!$C$35)),1,VLOOKUP(CONCATENATE($D1435,$G1435),CSRFinput!$B:$E,4,0))),0,IF(AND(VLOOKUP(CONCATENATE($D1435,$G1435),CSRFinput!$B:$E,4,0)=0,OR(H1435=MappingTables!$C$34,H1435=MappingTables!$C$35)),1,VLOOKUP(CONCATENATE($D1435,$G1435),CSRFinput!$B:$E,4,0)))</f>
        <v>0.054776304963434752</v>
      </c>
      <c r="W1435" s="85">
        <f>IF(B1435="",0,+$T1435*$V1435)</f>
        <v>205.36463883550592</v>
      </c>
      <c r="X1435" s="85">
        <f>IF(B1435="",0,IF(OR(H1435=MappingTables!$C$34,H1435=MappingTables!$C$35),W1435,0))</f>
        <v>0</v>
      </c>
    </row>
    <row r="1436" spans="2:24" s="0" customFormat="0" ht="15">
      <c r="B1436" s="69" t="s">
        <v>1694</v>
      </c>
      <c r="C1436" s="70" t="s">
        <v>1695</v>
      </c>
      <c r="D1436" s="70" t="s">
        <v>1</v>
      </c>
      <c r="E1436" s="70" t="s">
        <v>1</v>
      </c>
      <c r="F1436" s="70"/>
      <c r="G1436" s="70" t="s">
        <v>61</v>
      </c>
      <c r="H1436" s="70" t="s">
        <v>178</v>
      </c>
      <c r="I1436" s="70" t="s">
        <v>220</v>
      </c>
      <c r="J1436" s="71">
        <f>IF(OR(I1436=0,I1436=""),"unrated",VLOOKUP(I1436,MappingTables!$B$19:$C$31,2,FALSE))</f>
        <v>1</v>
      </c>
      <c r="K1436" s="72">
        <v>1289.4447583044544</v>
      </c>
      <c r="L1436" s="70">
        <v>1.1491036220208564</v>
      </c>
      <c r="M1436" s="71">
        <f>IF(L1436&lt;1,1,L1436)</f>
        <v>1.1491036220208564</v>
      </c>
      <c r="N1436" s="70" t="s">
        <v>141</v>
      </c>
      <c r="O1436" s="71">
        <f>INDEX(DurClassMapping,MATCH(M1436,MappingTables!$D$4:$D$8,-1),1)</f>
        <v>1</v>
      </c>
      <c r="P1436" s="73">
        <f>IF(M1436=$A$1,1,$M1436-INDEX(MappingTables!$E$4:$E$8,MATCH(O1436,MappingTables!$B$4:$B$8,0)))</f>
        <v>1.1491036220208564</v>
      </c>
      <c r="Q1436" s="71">
        <f>IF(B1436="",0,INDEX(ModelParameters!$D$6:$K$10,MATCH($O1436,ModelParameters!$B$6:$B$10,0),MATCH($J1436,ModelParameters!$D$5:$K$5,0)))</f>
        <v>0.011000000000000002</v>
      </c>
      <c r="R1436" s="71">
        <f>IF(B1436="",0,INDEX(ModelParameters!$D$13:$K$17,MATCH($O1436,ModelParameters!$B$13:$B$17,0),MATCH($J1436,ModelParameters!$D$5:$K$5,0)))</f>
        <v>0</v>
      </c>
      <c r="S1436" s="160">
        <f>IF(B1436="",0,MIN(IF($N1436="Other Bond TM",ModelParameters!$N$21,1)*(P1436*Q1436+R1436),1))</f>
        <v>0.012640139842229422</v>
      </c>
      <c r="T1436" s="85">
        <f>IF(B1436="",0,$S1436*$K1436)</f>
        <v>16.29876206379802</v>
      </c>
      <c r="U1436" s="85">
        <f>IF(B1436="",0,IF(OR(H1436=MappingTables!$C$34,H1436=MappingTables!$C$35),T1436,0))</f>
        <v>0</v>
      </c>
      <c r="V1436" s="85">
        <f>IF(ISNA(IF(AND(VLOOKUP(CONCATENATE($D1436,$G1436),CSRFinput!$B:$E,4,0)=0,OR(H1436=MappingTables!$C$34,H1436=MappingTables!$C$35)),1,VLOOKUP(CONCATENATE($D1436,$G1436),CSRFinput!$B:$E,4,0))),0,IF(AND(VLOOKUP(CONCATENATE($D1436,$G1436),CSRFinput!$B:$E,4,0)=0,OR(H1436=MappingTables!$C$34,H1436=MappingTables!$C$35)),1,VLOOKUP(CONCATENATE($D1436,$G1436),CSRFinput!$B:$E,4,0)))</f>
        <v>0.054776304963434752</v>
      </c>
      <c r="W1436" s="85">
        <f>IF(B1436="",0,+$T1436*$V1436)</f>
        <v>0.8927859613330616</v>
      </c>
      <c r="X1436" s="85">
        <f>IF(B1436="",0,IF(OR(H1436=MappingTables!$C$34,H1436=MappingTables!$C$35),W1436,0))</f>
        <v>0</v>
      </c>
    </row>
    <row r="1437" spans="2:24" s="0" customFormat="0" ht="15">
      <c r="B1437" s="69">
        <v>4992301</v>
      </c>
      <c r="C1437" s="70" t="s">
        <v>1696</v>
      </c>
      <c r="D1437" s="70" t="s">
        <v>1</v>
      </c>
      <c r="E1437" s="70" t="s">
        <v>1</v>
      </c>
      <c r="F1437" s="70"/>
      <c r="G1437" s="70" t="s">
        <v>61</v>
      </c>
      <c r="H1437" s="70" t="s">
        <v>178</v>
      </c>
      <c r="I1437" s="70" t="s">
        <v>181</v>
      </c>
      <c r="J1437" s="71">
        <f>IF(OR(I1437=0,I1437=""),"unrated",VLOOKUP(I1437,MappingTables!$B$19:$C$31,2,FALSE))</f>
        <v>3</v>
      </c>
      <c r="K1437" s="72">
        <v>436.01606223817336</v>
      </c>
      <c r="L1437" s="70">
        <v>1.5753973808496288</v>
      </c>
      <c r="M1437" s="71">
        <f>IF(L1437&lt;1,1,L1437)</f>
        <v>1.5753973808496288</v>
      </c>
      <c r="N1437" s="70" t="s">
        <v>141</v>
      </c>
      <c r="O1437" s="71">
        <f>INDEX(DurClassMapping,MATCH(M1437,MappingTables!$D$4:$D$8,-1),1)</f>
        <v>1</v>
      </c>
      <c r="P1437" s="73">
        <f>IF(M1437=$A$1,1,$M1437-INDEX(MappingTables!$E$4:$E$8,MATCH(O1437,MappingTables!$B$4:$B$8,0)))</f>
        <v>1.5753973808496288</v>
      </c>
      <c r="Q1437" s="71">
        <f>IF(B1437="",0,INDEX(ModelParameters!$D$6:$K$10,MATCH($O1437,ModelParameters!$B$6:$B$10,0),MATCH($J1437,ModelParameters!$D$5:$K$5,0)))</f>
        <v>0.025</v>
      </c>
      <c r="R1437" s="71">
        <f>IF(B1437="",0,INDEX(ModelParameters!$D$13:$K$17,MATCH($O1437,ModelParameters!$B$13:$B$17,0),MATCH($J1437,ModelParameters!$D$5:$K$5,0)))</f>
        <v>0</v>
      </c>
      <c r="S1437" s="160">
        <f>IF(B1437="",0,MIN(IF($N1437="Other Bond TM",ModelParameters!$N$21,1)*(P1437*Q1437+R1437),1))</f>
        <v>0.039384934521240728</v>
      </c>
      <c r="T1437" s="85">
        <f>IF(B1437="",0,$S1437*$K1437)</f>
        <v>17.172464061459682</v>
      </c>
      <c r="U1437" s="85">
        <f>IF(B1437="",0,IF(OR(H1437=MappingTables!$C$34,H1437=MappingTables!$C$35),T1437,0))</f>
        <v>0</v>
      </c>
      <c r="V1437" s="85">
        <f>IF(ISNA(IF(AND(VLOOKUP(CONCATENATE($D1437,$G1437),CSRFinput!$B:$E,4,0)=0,OR(H1437=MappingTables!$C$34,H1437=MappingTables!$C$35)),1,VLOOKUP(CONCATENATE($D1437,$G1437),CSRFinput!$B:$E,4,0))),0,IF(AND(VLOOKUP(CONCATENATE($D1437,$G1437),CSRFinput!$B:$E,4,0)=0,OR(H1437=MappingTables!$C$34,H1437=MappingTables!$C$35)),1,VLOOKUP(CONCATENATE($D1437,$G1437),CSRFinput!$B:$E,4,0)))</f>
        <v>0.054776304963434752</v>
      </c>
      <c r="W1437" s="85">
        <f>IF(B1437="",0,+$T1437*$V1437)</f>
        <v>0.94064412840413888</v>
      </c>
      <c r="X1437" s="85">
        <f>IF(B1437="",0,IF(OR(H1437=MappingTables!$C$34,H1437=MappingTables!$C$35),W1437,0))</f>
        <v>0</v>
      </c>
    </row>
    <row r="1438" spans="2:24" s="0" customFormat="0" ht="15">
      <c r="B1438" s="69">
        <v>14832156</v>
      </c>
      <c r="C1438" s="70" t="s">
        <v>1697</v>
      </c>
      <c r="D1438" s="70" t="s">
        <v>1</v>
      </c>
      <c r="E1438" s="70" t="s">
        <v>1</v>
      </c>
      <c r="F1438" s="70"/>
      <c r="G1438" s="70" t="s">
        <v>61</v>
      </c>
      <c r="H1438" s="70" t="s">
        <v>178</v>
      </c>
      <c r="I1438" s="70" t="s">
        <v>181</v>
      </c>
      <c r="J1438" s="71">
        <f>IF(OR(I1438=0,I1438=""),"unrated",VLOOKUP(I1438,MappingTables!$B$19:$C$31,2,FALSE))</f>
        <v>3</v>
      </c>
      <c r="K1438" s="72">
        <v>18308.451715000252</v>
      </c>
      <c r="L1438" s="70">
        <v>2.5377208168085116</v>
      </c>
      <c r="M1438" s="71">
        <f>IF(L1438&lt;1,1,L1438)</f>
        <v>2.5377208168085116</v>
      </c>
      <c r="N1438" s="70" t="s">
        <v>141</v>
      </c>
      <c r="O1438" s="71">
        <f>INDEX(DurClassMapping,MATCH(M1438,MappingTables!$D$4:$D$8,-1),1)</f>
        <v>1</v>
      </c>
      <c r="P1438" s="73">
        <f>IF(M1438=$A$1,1,$M1438-INDEX(MappingTables!$E$4:$E$8,MATCH(O1438,MappingTables!$B$4:$B$8,0)))</f>
        <v>2.5377208168085116</v>
      </c>
      <c r="Q1438" s="71">
        <f>IF(B1438="",0,INDEX(ModelParameters!$D$6:$K$10,MATCH($O1438,ModelParameters!$B$6:$B$10,0),MATCH($J1438,ModelParameters!$D$5:$K$5,0)))</f>
        <v>0.025</v>
      </c>
      <c r="R1438" s="71">
        <f>IF(B1438="",0,INDEX(ModelParameters!$D$13:$K$17,MATCH($O1438,ModelParameters!$B$13:$B$17,0),MATCH($J1438,ModelParameters!$D$5:$K$5,0)))</f>
        <v>0</v>
      </c>
      <c r="S1438" s="160">
        <f>IF(B1438="",0,MIN(IF($N1438="Other Bond TM",ModelParameters!$N$21,1)*(P1438*Q1438+R1438),1))</f>
        <v>0.0634430204202128</v>
      </c>
      <c r="T1438" s="85">
        <f>IF(B1438="",0,$S1438*$K1438)</f>
        <v>1161.5434760172412</v>
      </c>
      <c r="U1438" s="85">
        <f>IF(B1438="",0,IF(OR(H1438=MappingTables!$C$34,H1438=MappingTables!$C$35),T1438,0))</f>
        <v>0</v>
      </c>
      <c r="V1438" s="85">
        <f>IF(ISNA(IF(AND(VLOOKUP(CONCATENATE($D1438,$G1438),CSRFinput!$B:$E,4,0)=0,OR(H1438=MappingTables!$C$34,H1438=MappingTables!$C$35)),1,VLOOKUP(CONCATENATE($D1438,$G1438),CSRFinput!$B:$E,4,0))),0,IF(AND(VLOOKUP(CONCATENATE($D1438,$G1438),CSRFinput!$B:$E,4,0)=0,OR(H1438=MappingTables!$C$34,H1438=MappingTables!$C$35)),1,VLOOKUP(CONCATENATE($D1438,$G1438),CSRFinput!$B:$E,4,0)))</f>
        <v>0.054776304963434752</v>
      </c>
      <c r="W1438" s="85">
        <f>IF(B1438="",0,+$T1438*$V1438)</f>
        <v>63.625059670608456</v>
      </c>
      <c r="X1438" s="85">
        <f>IF(B1438="",0,IF(OR(H1438=MappingTables!$C$34,H1438=MappingTables!$C$35),W1438,0))</f>
        <v>0</v>
      </c>
    </row>
    <row r="1439" spans="2:24" s="0" customFormat="0" ht="15">
      <c r="B1439" s="69" t="s">
        <v>1157</v>
      </c>
      <c r="C1439" s="70" t="s">
        <v>1158</v>
      </c>
      <c r="D1439" s="70" t="s">
        <v>1</v>
      </c>
      <c r="E1439" s="70" t="s">
        <v>1</v>
      </c>
      <c r="F1439" s="70"/>
      <c r="G1439" s="70" t="s">
        <v>61</v>
      </c>
      <c r="H1439" s="70" t="s">
        <v>178</v>
      </c>
      <c r="I1439" s="70" t="s">
        <v>181</v>
      </c>
      <c r="J1439" s="71">
        <f>IF(OR(I1439=0,I1439=""),"unrated",VLOOKUP(I1439,MappingTables!$B$19:$C$31,2,FALSE))</f>
        <v>3</v>
      </c>
      <c r="K1439" s="72">
        <v>842.5467778562768</v>
      </c>
      <c r="L1439" s="70">
        <v>21.810089242063924</v>
      </c>
      <c r="M1439" s="71">
        <f>IF(L1439&lt;1,1,L1439)</f>
        <v>21.810089242063924</v>
      </c>
      <c r="N1439" s="70" t="s">
        <v>141</v>
      </c>
      <c r="O1439" s="71">
        <f>INDEX(DurClassMapping,MATCH(M1439,MappingTables!$D$4:$D$8,-1),1)</f>
        <v>5</v>
      </c>
      <c r="P1439" s="73">
        <f>IF(M1439=$A$1,1,$M1439-INDEX(MappingTables!$E$4:$E$8,MATCH(O1439,MappingTables!$B$4:$B$8,0)))</f>
        <v>1.810089242063924</v>
      </c>
      <c r="Q1439" s="71">
        <f>IF(B1439="",0,INDEX(ModelParameters!$D$6:$K$10,MATCH($O1439,ModelParameters!$B$6:$B$10,0),MATCH($J1439,ModelParameters!$D$5:$K$5,0)))</f>
        <v>0.005</v>
      </c>
      <c r="R1439" s="71">
        <f>IF(B1439="",0,INDEX(ModelParameters!$D$13:$K$17,MATCH($O1439,ModelParameters!$B$13:$B$17,0),MATCH($J1439,ModelParameters!$D$5:$K$5,0)))</f>
        <v>0.3</v>
      </c>
      <c r="S1439" s="160">
        <f>IF(B1439="",0,MIN(IF($N1439="Other Bond TM",ModelParameters!$N$21,1)*(P1439*Q1439+R1439),1))</f>
        <v>0.30905044621031964</v>
      </c>
      <c r="T1439" s="85">
        <f>IF(B1439="",0,$S1439*$K1439)</f>
        <v>260.3894576495494</v>
      </c>
      <c r="U1439" s="85">
        <f>IF(B1439="",0,IF(OR(H1439=MappingTables!$C$34,H1439=MappingTables!$C$35),T1439,0))</f>
        <v>0</v>
      </c>
      <c r="V1439" s="85">
        <f>IF(ISNA(IF(AND(VLOOKUP(CONCATENATE($D1439,$G1439),CSRFinput!$B:$E,4,0)=0,OR(H1439=MappingTables!$C$34,H1439=MappingTables!$C$35)),1,VLOOKUP(CONCATENATE($D1439,$G1439),CSRFinput!$B:$E,4,0))),0,IF(AND(VLOOKUP(CONCATENATE($D1439,$G1439),CSRFinput!$B:$E,4,0)=0,OR(H1439=MappingTables!$C$34,H1439=MappingTables!$C$35)),1,VLOOKUP(CONCATENATE($D1439,$G1439),CSRFinput!$B:$E,4,0)))</f>
        <v>0.054776304963434752</v>
      </c>
      <c r="W1439" s="85">
        <f>IF(B1439="",0,+$T1439*$V1439)</f>
        <v>14.263172341475096</v>
      </c>
      <c r="X1439" s="85">
        <f>IF(B1439="",0,IF(OR(H1439=MappingTables!$C$34,H1439=MappingTables!$C$35),W1439,0))</f>
        <v>0</v>
      </c>
    </row>
    <row r="1440" spans="2:24" s="0" customFormat="0" ht="15">
      <c r="B1440" s="69">
        <v>23510510</v>
      </c>
      <c r="C1440" s="70" t="s">
        <v>1698</v>
      </c>
      <c r="D1440" s="70" t="s">
        <v>1</v>
      </c>
      <c r="E1440" s="70" t="s">
        <v>1</v>
      </c>
      <c r="F1440" s="70"/>
      <c r="G1440" s="70" t="s">
        <v>61</v>
      </c>
      <c r="H1440" s="70" t="s">
        <v>178</v>
      </c>
      <c r="I1440" s="70" t="s">
        <v>181</v>
      </c>
      <c r="J1440" s="71">
        <f>IF(OR(I1440=0,I1440=""),"unrated",VLOOKUP(I1440,MappingTables!$B$19:$C$31,2,FALSE))</f>
        <v>3</v>
      </c>
      <c r="K1440" s="72">
        <v>2207.8304133308052</v>
      </c>
      <c r="L1440" s="70">
        <v>1.411659900136402</v>
      </c>
      <c r="M1440" s="71">
        <f>IF(L1440&lt;1,1,L1440)</f>
        <v>1.411659900136402</v>
      </c>
      <c r="N1440" s="70" t="s">
        <v>141</v>
      </c>
      <c r="O1440" s="71">
        <f>INDEX(DurClassMapping,MATCH(M1440,MappingTables!$D$4:$D$8,-1),1)</f>
        <v>1</v>
      </c>
      <c r="P1440" s="73">
        <f>IF(M1440=$A$1,1,$M1440-INDEX(MappingTables!$E$4:$E$8,MATCH(O1440,MappingTables!$B$4:$B$8,0)))</f>
        <v>1.411659900136402</v>
      </c>
      <c r="Q1440" s="71">
        <f>IF(B1440="",0,INDEX(ModelParameters!$D$6:$K$10,MATCH($O1440,ModelParameters!$B$6:$B$10,0),MATCH($J1440,ModelParameters!$D$5:$K$5,0)))</f>
        <v>0.025</v>
      </c>
      <c r="R1440" s="71">
        <f>IF(B1440="",0,INDEX(ModelParameters!$D$13:$K$17,MATCH($O1440,ModelParameters!$B$13:$B$17,0),MATCH($J1440,ModelParameters!$D$5:$K$5,0)))</f>
        <v>0</v>
      </c>
      <c r="S1440" s="160">
        <f>IF(B1440="",0,MIN(IF($N1440="Other Bond TM",ModelParameters!$N$21,1)*(P1440*Q1440+R1440),1))</f>
        <v>0.035291497503410056</v>
      </c>
      <c r="T1440" s="85">
        <f>IF(B1440="",0,$S1440*$K1440)</f>
        <v>77.917641520016896</v>
      </c>
      <c r="U1440" s="85">
        <f>IF(B1440="",0,IF(OR(H1440=MappingTables!$C$34,H1440=MappingTables!$C$35),T1440,0))</f>
        <v>0</v>
      </c>
      <c r="V1440" s="85">
        <f>IF(ISNA(IF(AND(VLOOKUP(CONCATENATE($D1440,$G1440),CSRFinput!$B:$E,4,0)=0,OR(H1440=MappingTables!$C$34,H1440=MappingTables!$C$35)),1,VLOOKUP(CONCATENATE($D1440,$G1440),CSRFinput!$B:$E,4,0))),0,IF(AND(VLOOKUP(CONCATENATE($D1440,$G1440),CSRFinput!$B:$E,4,0)=0,OR(H1440=MappingTables!$C$34,H1440=MappingTables!$C$35)),1,VLOOKUP(CONCATENATE($D1440,$G1440),CSRFinput!$B:$E,4,0)))</f>
        <v>0.054776304963434752</v>
      </c>
      <c r="W1440" s="85">
        <f>IF(B1440="",0,+$T1440*$V1440)</f>
        <v>4.2680404939320312</v>
      </c>
      <c r="X1440" s="85">
        <f>IF(B1440="",0,IF(OR(H1440=MappingTables!$C$34,H1440=MappingTables!$C$35),W1440,0))</f>
        <v>0</v>
      </c>
    </row>
    <row r="1441" spans="2:24" s="0" customFormat="0" ht="15">
      <c r="B1441" s="69">
        <v>22063603</v>
      </c>
      <c r="C1441" s="70" t="s">
        <v>1059</v>
      </c>
      <c r="D1441" s="70" t="s">
        <v>1</v>
      </c>
      <c r="E1441" s="70" t="s">
        <v>1</v>
      </c>
      <c r="F1441" s="70"/>
      <c r="G1441" s="70" t="s">
        <v>61</v>
      </c>
      <c r="H1441" s="70" t="s">
        <v>178</v>
      </c>
      <c r="I1441" s="70" t="s">
        <v>188</v>
      </c>
      <c r="J1441" s="71">
        <f>IF(OR(I1441=0,I1441=""),"unrated",VLOOKUP(I1441,MappingTables!$B$19:$C$31,2,FALSE))</f>
        <v>2</v>
      </c>
      <c r="K1441" s="72">
        <v>101.2330114176279</v>
      </c>
      <c r="L1441" s="70">
        <v>8.1434150147914912</v>
      </c>
      <c r="M1441" s="71">
        <f>IF(L1441&lt;1,1,L1441)</f>
        <v>8.1434150147914912</v>
      </c>
      <c r="N1441" s="70" t="s">
        <v>141</v>
      </c>
      <c r="O1441" s="71">
        <f>INDEX(DurClassMapping,MATCH(M1441,MappingTables!$D$4:$D$8,-1),1)</f>
        <v>2</v>
      </c>
      <c r="P1441" s="73">
        <f>IF(M1441=$A$1,1,$M1441-INDEX(MappingTables!$E$4:$E$8,MATCH(O1441,MappingTables!$B$4:$B$8,0)))</f>
        <v>3.1434150147914916</v>
      </c>
      <c r="Q1441" s="71">
        <f>IF(B1441="",0,INDEX(ModelParameters!$D$6:$K$10,MATCH($O1441,ModelParameters!$B$6:$B$10,0),MATCH($J1441,ModelParameters!$D$5:$K$5,0)))</f>
        <v>0.0069999999999999992</v>
      </c>
      <c r="R1441" s="71">
        <f>IF(B1441="",0,INDEX(ModelParameters!$D$13:$K$17,MATCH($O1441,ModelParameters!$B$13:$B$17,0),MATCH($J1441,ModelParameters!$D$5:$K$5,0)))</f>
        <v>0.070000000000000008</v>
      </c>
      <c r="S1441" s="160">
        <f>IF(B1441="",0,MIN(IF($N1441="Other Bond TM",ModelParameters!$N$21,1)*(P1441*Q1441+R1441),1))</f>
        <v>0.092003905103540448</v>
      </c>
      <c r="T1441" s="85">
        <f>IF(B1441="",0,$S1441*$K1441)</f>
        <v>9.313832375813064</v>
      </c>
      <c r="U1441" s="85">
        <f>IF(B1441="",0,IF(OR(H1441=MappingTables!$C$34,H1441=MappingTables!$C$35),T1441,0))</f>
        <v>0</v>
      </c>
      <c r="V1441" s="85">
        <f>IF(ISNA(IF(AND(VLOOKUP(CONCATENATE($D1441,$G1441),CSRFinput!$B:$E,4,0)=0,OR(H1441=MappingTables!$C$34,H1441=MappingTables!$C$35)),1,VLOOKUP(CONCATENATE($D1441,$G1441),CSRFinput!$B:$E,4,0))),0,IF(AND(VLOOKUP(CONCATENATE($D1441,$G1441),CSRFinput!$B:$E,4,0)=0,OR(H1441=MappingTables!$C$34,H1441=MappingTables!$C$35)),1,VLOOKUP(CONCATENATE($D1441,$G1441),CSRFinput!$B:$E,4,0)))</f>
        <v>0.054776304963434752</v>
      </c>
      <c r="W1441" s="85">
        <f>IF(B1441="",0,+$T1441*$V1441)</f>
        <v>0.51017732259584848</v>
      </c>
      <c r="X1441" s="85">
        <f>IF(B1441="",0,IF(OR(H1441=MappingTables!$C$34,H1441=MappingTables!$C$35),W1441,0))</f>
        <v>0</v>
      </c>
    </row>
    <row r="1442" spans="2:24" s="0" customFormat="0" ht="15">
      <c r="B1442" s="69" t="s">
        <v>1699</v>
      </c>
      <c r="C1442" s="70" t="s">
        <v>1700</v>
      </c>
      <c r="D1442" s="70" t="s">
        <v>1</v>
      </c>
      <c r="E1442" s="70" t="s">
        <v>1</v>
      </c>
      <c r="F1442" s="70"/>
      <c r="G1442" s="70" t="s">
        <v>61</v>
      </c>
      <c r="H1442" s="70" t="s">
        <v>178</v>
      </c>
      <c r="I1442" s="70" t="s">
        <v>181</v>
      </c>
      <c r="J1442" s="71">
        <f>IF(OR(I1442=0,I1442=""),"unrated",VLOOKUP(I1442,MappingTables!$B$19:$C$31,2,FALSE))</f>
        <v>3</v>
      </c>
      <c r="K1442" s="72">
        <v>2539.0980624189092</v>
      </c>
      <c r="L1442" s="70">
        <v>9.1219539334594416</v>
      </c>
      <c r="M1442" s="71">
        <f>IF(L1442&lt;1,1,L1442)</f>
        <v>9.1219539334594416</v>
      </c>
      <c r="N1442" s="70" t="s">
        <v>141</v>
      </c>
      <c r="O1442" s="71">
        <f>INDEX(DurClassMapping,MATCH(M1442,MappingTables!$D$4:$D$8,-1),1)</f>
        <v>2</v>
      </c>
      <c r="P1442" s="73">
        <f>IF(M1442=$A$1,1,$M1442-INDEX(MappingTables!$E$4:$E$8,MATCH(O1442,MappingTables!$B$4:$B$8,0)))</f>
        <v>4.1219539334594408</v>
      </c>
      <c r="Q1442" s="71">
        <f>IF(B1442="",0,INDEX(ModelParameters!$D$6:$K$10,MATCH($O1442,ModelParameters!$B$6:$B$10,0),MATCH($J1442,ModelParameters!$D$5:$K$5,0)))</f>
        <v>0.015</v>
      </c>
      <c r="R1442" s="71">
        <f>IF(B1442="",0,INDEX(ModelParameters!$D$13:$K$17,MATCH($O1442,ModelParameters!$B$13:$B$17,0),MATCH($J1442,ModelParameters!$D$5:$K$5,0)))</f>
        <v>0.125</v>
      </c>
      <c r="S1442" s="160">
        <f>IF(B1442="",0,MIN(IF($N1442="Other Bond TM",ModelParameters!$N$21,1)*(P1442*Q1442+R1442),1))</f>
        <v>0.1868293090018916</v>
      </c>
      <c r="T1442" s="85">
        <f>IF(B1442="",0,$S1442*$K1442)</f>
        <v>474.37793648976664</v>
      </c>
      <c r="U1442" s="85">
        <f>IF(B1442="",0,IF(OR(H1442=MappingTables!$C$34,H1442=MappingTables!$C$35),T1442,0))</f>
        <v>0</v>
      </c>
      <c r="V1442" s="85">
        <f>IF(ISNA(IF(AND(VLOOKUP(CONCATENATE($D1442,$G1442),CSRFinput!$B:$E,4,0)=0,OR(H1442=MappingTables!$C$34,H1442=MappingTables!$C$35)),1,VLOOKUP(CONCATENATE($D1442,$G1442),CSRFinput!$B:$E,4,0))),0,IF(AND(VLOOKUP(CONCATENATE($D1442,$G1442),CSRFinput!$B:$E,4,0)=0,OR(H1442=MappingTables!$C$34,H1442=MappingTables!$C$35)),1,VLOOKUP(CONCATENATE($D1442,$G1442),CSRFinput!$B:$E,4,0)))</f>
        <v>0.054776304963434752</v>
      </c>
      <c r="W1442" s="85">
        <f>IF(B1442="",0,+$T1442*$V1442)</f>
        <v>25.98467051708834</v>
      </c>
      <c r="X1442" s="85">
        <f>IF(B1442="",0,IF(OR(H1442=MappingTables!$C$34,H1442=MappingTables!$C$35),W1442,0))</f>
        <v>0</v>
      </c>
    </row>
    <row r="1443" spans="2:24" s="0" customFormat="0" ht="15">
      <c r="B1443" s="69">
        <v>3260336</v>
      </c>
      <c r="C1443" s="70" t="s">
        <v>1701</v>
      </c>
      <c r="D1443" s="70" t="s">
        <v>1</v>
      </c>
      <c r="E1443" s="70" t="s">
        <v>1</v>
      </c>
      <c r="F1443" s="70"/>
      <c r="G1443" s="70" t="s">
        <v>61</v>
      </c>
      <c r="H1443" s="70" t="s">
        <v>178</v>
      </c>
      <c r="I1443" s="70" t="s">
        <v>181</v>
      </c>
      <c r="J1443" s="71">
        <f>IF(OR(I1443=0,I1443=""),"unrated",VLOOKUP(I1443,MappingTables!$B$19:$C$31,2,FALSE))</f>
        <v>3</v>
      </c>
      <c r="K1443" s="72">
        <v>4.2612689760352272</v>
      </c>
      <c r="L1443" s="70">
        <v>1.8841534772875072</v>
      </c>
      <c r="M1443" s="71">
        <f>IF(L1443&lt;1,1,L1443)</f>
        <v>1.8841534772875072</v>
      </c>
      <c r="N1443" s="70" t="s">
        <v>141</v>
      </c>
      <c r="O1443" s="71">
        <f>INDEX(DurClassMapping,MATCH(M1443,MappingTables!$D$4:$D$8,-1),1)</f>
        <v>1</v>
      </c>
      <c r="P1443" s="73">
        <f>IF(M1443=$A$1,1,$M1443-INDEX(MappingTables!$E$4:$E$8,MATCH(O1443,MappingTables!$B$4:$B$8,0)))</f>
        <v>1.8841534772875072</v>
      </c>
      <c r="Q1443" s="71">
        <f>IF(B1443="",0,INDEX(ModelParameters!$D$6:$K$10,MATCH($O1443,ModelParameters!$B$6:$B$10,0),MATCH($J1443,ModelParameters!$D$5:$K$5,0)))</f>
        <v>0.025</v>
      </c>
      <c r="R1443" s="71">
        <f>IF(B1443="",0,INDEX(ModelParameters!$D$13:$K$17,MATCH($O1443,ModelParameters!$B$13:$B$17,0),MATCH($J1443,ModelParameters!$D$5:$K$5,0)))</f>
        <v>0</v>
      </c>
      <c r="S1443" s="160">
        <f>IF(B1443="",0,MIN(IF($N1443="Other Bond TM",ModelParameters!$N$21,1)*(P1443*Q1443+R1443),1))</f>
        <v>0.047103836932187688</v>
      </c>
      <c r="T1443" s="85">
        <f>IF(B1443="",0,$S1443*$K1443)</f>
        <v>0.20072211897135372</v>
      </c>
      <c r="U1443" s="85">
        <f>IF(B1443="",0,IF(OR(H1443=MappingTables!$C$34,H1443=MappingTables!$C$35),T1443,0))</f>
        <v>0</v>
      </c>
      <c r="V1443" s="85">
        <f>IF(ISNA(IF(AND(VLOOKUP(CONCATENATE($D1443,$G1443),CSRFinput!$B:$E,4,0)=0,OR(H1443=MappingTables!$C$34,H1443=MappingTables!$C$35)),1,VLOOKUP(CONCATENATE($D1443,$G1443),CSRFinput!$B:$E,4,0))),0,IF(AND(VLOOKUP(CONCATENATE($D1443,$G1443),CSRFinput!$B:$E,4,0)=0,OR(H1443=MappingTables!$C$34,H1443=MappingTables!$C$35)),1,VLOOKUP(CONCATENATE($D1443,$G1443),CSRFinput!$B:$E,4,0)))</f>
        <v>0.054776304963434752</v>
      </c>
      <c r="W1443" s="85">
        <f>IF(B1443="",0,+$T1443*$V1443)</f>
        <v>0.010994816001681704</v>
      </c>
      <c r="X1443" s="85">
        <f>IF(B1443="",0,IF(OR(H1443=MappingTables!$C$34,H1443=MappingTables!$C$35),W1443,0))</f>
        <v>0</v>
      </c>
    </row>
    <row r="1444" spans="2:24" s="0" customFormat="0" ht="15">
      <c r="B1444" s="69">
        <v>19834226</v>
      </c>
      <c r="C1444" s="70" t="s">
        <v>1702</v>
      </c>
      <c r="D1444" s="70" t="s">
        <v>1</v>
      </c>
      <c r="E1444" s="70" t="s">
        <v>1</v>
      </c>
      <c r="F1444" s="70"/>
      <c r="G1444" s="70" t="s">
        <v>61</v>
      </c>
      <c r="H1444" s="70" t="s">
        <v>178</v>
      </c>
      <c r="I1444" s="70" t="s">
        <v>181</v>
      </c>
      <c r="J1444" s="71">
        <f>IF(OR(I1444=0,I1444=""),"unrated",VLOOKUP(I1444,MappingTables!$B$19:$C$31,2,FALSE))</f>
        <v>3</v>
      </c>
      <c r="K1444" s="72">
        <v>4442.8797923967856</v>
      </c>
      <c r="L1444" s="70">
        <v>0.38590699527577296</v>
      </c>
      <c r="M1444" s="71">
        <f>IF(L1444&lt;1,1,L1444)</f>
        <v>1</v>
      </c>
      <c r="N1444" s="70" t="s">
        <v>141</v>
      </c>
      <c r="O1444" s="71">
        <f>INDEX(DurClassMapping,MATCH(M1444,MappingTables!$D$4:$D$8,-1),1)</f>
        <v>1</v>
      </c>
      <c r="P1444" s="73">
        <f>IF(M1444=$A$1,1,$M1444-INDEX(MappingTables!$E$4:$E$8,MATCH(O1444,MappingTables!$B$4:$B$8,0)))</f>
        <v>1</v>
      </c>
      <c r="Q1444" s="71">
        <f>IF(B1444="",0,INDEX(ModelParameters!$D$6:$K$10,MATCH($O1444,ModelParameters!$B$6:$B$10,0),MATCH($J1444,ModelParameters!$D$5:$K$5,0)))</f>
        <v>0.025</v>
      </c>
      <c r="R1444" s="71">
        <f>IF(B1444="",0,INDEX(ModelParameters!$D$13:$K$17,MATCH($O1444,ModelParameters!$B$13:$B$17,0),MATCH($J1444,ModelParameters!$D$5:$K$5,0)))</f>
        <v>0</v>
      </c>
      <c r="S1444" s="160">
        <f>IF(B1444="",0,MIN(IF($N1444="Other Bond TM",ModelParameters!$N$21,1)*(P1444*Q1444+R1444),1))</f>
        <v>0.025</v>
      </c>
      <c r="T1444" s="85">
        <f>IF(B1444="",0,$S1444*$K1444)</f>
        <v>111.07199480991966</v>
      </c>
      <c r="U1444" s="85">
        <f>IF(B1444="",0,IF(OR(H1444=MappingTables!$C$34,H1444=MappingTables!$C$35),T1444,0))</f>
        <v>0</v>
      </c>
      <c r="V1444" s="85">
        <f>IF(ISNA(IF(AND(VLOOKUP(CONCATENATE($D1444,$G1444),CSRFinput!$B:$E,4,0)=0,OR(H1444=MappingTables!$C$34,H1444=MappingTables!$C$35)),1,VLOOKUP(CONCATENATE($D1444,$G1444),CSRFinput!$B:$E,4,0))),0,IF(AND(VLOOKUP(CONCATENATE($D1444,$G1444),CSRFinput!$B:$E,4,0)=0,OR(H1444=MappingTables!$C$34,H1444=MappingTables!$C$35)),1,VLOOKUP(CONCATENATE($D1444,$G1444),CSRFinput!$B:$E,4,0)))</f>
        <v>0.054776304963434752</v>
      </c>
      <c r="W1444" s="85">
        <f>IF(B1444="",0,+$T1444*$V1444)</f>
        <v>6.0841134606052016</v>
      </c>
      <c r="X1444" s="85">
        <f>IF(B1444="",0,IF(OR(H1444=MappingTables!$C$34,H1444=MappingTables!$C$35),W1444,0))</f>
        <v>0</v>
      </c>
    </row>
    <row r="1445" spans="2:24" s="0" customFormat="0" ht="15">
      <c r="B1445" s="69">
        <v>21738090</v>
      </c>
      <c r="C1445" s="70" t="s">
        <v>1703</v>
      </c>
      <c r="D1445" s="70" t="s">
        <v>1</v>
      </c>
      <c r="E1445" s="70" t="s">
        <v>1</v>
      </c>
      <c r="F1445" s="70"/>
      <c r="G1445" s="70" t="s">
        <v>61</v>
      </c>
      <c r="H1445" s="70" t="s">
        <v>178</v>
      </c>
      <c r="I1445" s="70" t="s">
        <v>179</v>
      </c>
      <c r="J1445" s="71">
        <f>IF(OR(I1445=0,I1445=""),"unrated",VLOOKUP(I1445,MappingTables!$B$19:$C$31,2,FALSE))</f>
        <v>4</v>
      </c>
      <c r="K1445" s="72">
        <v>26.238212289856208</v>
      </c>
      <c r="L1445" s="70">
        <v>3.9779903768712288</v>
      </c>
      <c r="M1445" s="71">
        <f>IF(L1445&lt;1,1,L1445)</f>
        <v>3.9779903768712288</v>
      </c>
      <c r="N1445" s="70" t="s">
        <v>141</v>
      </c>
      <c r="O1445" s="71">
        <f>INDEX(DurClassMapping,MATCH(M1445,MappingTables!$D$4:$D$8,-1),1)</f>
        <v>1</v>
      </c>
      <c r="P1445" s="73">
        <f>IF(M1445=$A$1,1,$M1445-INDEX(MappingTables!$E$4:$E$8,MATCH(O1445,MappingTables!$B$4:$B$8,0)))</f>
        <v>3.9779903768712288</v>
      </c>
      <c r="Q1445" s="71">
        <f>IF(B1445="",0,INDEX(ModelParameters!$D$6:$K$10,MATCH($O1445,ModelParameters!$B$6:$B$10,0),MATCH($J1445,ModelParameters!$D$5:$K$5,0)))</f>
        <v>0.045</v>
      </c>
      <c r="R1445" s="71">
        <f>IF(B1445="",0,INDEX(ModelParameters!$D$13:$K$17,MATCH($O1445,ModelParameters!$B$13:$B$17,0),MATCH($J1445,ModelParameters!$D$5:$K$5,0)))</f>
        <v>0</v>
      </c>
      <c r="S1445" s="160">
        <f>IF(B1445="",0,MIN(IF($N1445="Other Bond TM",ModelParameters!$N$21,1)*(P1445*Q1445+R1445),1))</f>
        <v>0.1790095669592053</v>
      </c>
      <c r="T1445" s="85">
        <f>IF(B1445="",0,$S1445*$K1445)</f>
        <v>4.6968910197908584</v>
      </c>
      <c r="U1445" s="85">
        <f>IF(B1445="",0,IF(OR(H1445=MappingTables!$C$34,H1445=MappingTables!$C$35),T1445,0))</f>
        <v>0</v>
      </c>
      <c r="V1445" s="85">
        <f>IF(ISNA(IF(AND(VLOOKUP(CONCATENATE($D1445,$G1445),CSRFinput!$B:$E,4,0)=0,OR(H1445=MappingTables!$C$34,H1445=MappingTables!$C$35)),1,VLOOKUP(CONCATENATE($D1445,$G1445),CSRFinput!$B:$E,4,0))),0,IF(AND(VLOOKUP(CONCATENATE($D1445,$G1445),CSRFinput!$B:$E,4,0)=0,OR(H1445=MappingTables!$C$34,H1445=MappingTables!$C$35)),1,VLOOKUP(CONCATENATE($D1445,$G1445),CSRFinput!$B:$E,4,0)))</f>
        <v>0.054776304963434752</v>
      </c>
      <c r="W1445" s="85">
        <f>IF(B1445="",0,+$T1445*$V1445)</f>
        <v>0.25727833488008212</v>
      </c>
      <c r="X1445" s="85">
        <f>IF(B1445="",0,IF(OR(H1445=MappingTables!$C$34,H1445=MappingTables!$C$35),W1445,0))</f>
        <v>0</v>
      </c>
    </row>
    <row r="1446" spans="2:24" s="0" customFormat="0" ht="15">
      <c r="B1446" s="69">
        <v>3613168</v>
      </c>
      <c r="C1446" s="70" t="s">
        <v>1704</v>
      </c>
      <c r="D1446" s="70" t="s">
        <v>1</v>
      </c>
      <c r="E1446" s="70" t="s">
        <v>1</v>
      </c>
      <c r="F1446" s="70"/>
      <c r="G1446" s="70" t="s">
        <v>61</v>
      </c>
      <c r="H1446" s="70" t="s">
        <v>178</v>
      </c>
      <c r="I1446" s="70" t="s">
        <v>216</v>
      </c>
      <c r="J1446" s="71">
        <f>IF(OR(I1446=0,I1446=""),"unrated",VLOOKUP(I1446,MappingTables!$B$19:$C$31,2,FALSE))</f>
        <v>0</v>
      </c>
      <c r="K1446" s="72">
        <v>579.654005689986</v>
      </c>
      <c r="L1446" s="70">
        <v>0.32054556889884972</v>
      </c>
      <c r="M1446" s="71">
        <f>IF(L1446&lt;1,1,L1446)</f>
        <v>1</v>
      </c>
      <c r="N1446" s="70" t="s">
        <v>141</v>
      </c>
      <c r="O1446" s="71">
        <f>INDEX(DurClassMapping,MATCH(M1446,MappingTables!$D$4:$D$8,-1),1)</f>
        <v>1</v>
      </c>
      <c r="P1446" s="73">
        <f>IF(M1446=$A$1,1,$M1446-INDEX(MappingTables!$E$4:$E$8,MATCH(O1446,MappingTables!$B$4:$B$8,0)))</f>
        <v>1</v>
      </c>
      <c r="Q1446" s="71">
        <f>IF(B1446="",0,INDEX(ModelParameters!$D$6:$K$10,MATCH($O1446,ModelParameters!$B$6:$B$10,0),MATCH($J1446,ModelParameters!$D$5:$K$5,0)))</f>
        <v>0.0090000000000000016</v>
      </c>
      <c r="R1446" s="71">
        <f>IF(B1446="",0,INDEX(ModelParameters!$D$13:$K$17,MATCH($O1446,ModelParameters!$B$13:$B$17,0),MATCH($J1446,ModelParameters!$D$5:$K$5,0)))</f>
        <v>0</v>
      </c>
      <c r="S1446" s="160">
        <f>IF(B1446="",0,MIN(IF($N1446="Other Bond TM",ModelParameters!$N$21,1)*(P1446*Q1446+R1446),1))</f>
        <v>0.0090000000000000016</v>
      </c>
      <c r="T1446" s="85">
        <f>IF(B1446="",0,$S1446*$K1446)</f>
        <v>5.2168860512098744</v>
      </c>
      <c r="U1446" s="85">
        <f>IF(B1446="",0,IF(OR(H1446=MappingTables!$C$34,H1446=MappingTables!$C$35),T1446,0))</f>
        <v>0</v>
      </c>
      <c r="V1446" s="85">
        <f>IF(ISNA(IF(AND(VLOOKUP(CONCATENATE($D1446,$G1446),CSRFinput!$B:$E,4,0)=0,OR(H1446=MappingTables!$C$34,H1446=MappingTables!$C$35)),1,VLOOKUP(CONCATENATE($D1446,$G1446),CSRFinput!$B:$E,4,0))),0,IF(AND(VLOOKUP(CONCATENATE($D1446,$G1446),CSRFinput!$B:$E,4,0)=0,OR(H1446=MappingTables!$C$34,H1446=MappingTables!$C$35)),1,VLOOKUP(CONCATENATE($D1446,$G1446),CSRFinput!$B:$E,4,0)))</f>
        <v>0.054776304963434752</v>
      </c>
      <c r="W1446" s="85">
        <f>IF(B1446="",0,+$T1446*$V1446)</f>
        <v>0.28576174130056096</v>
      </c>
      <c r="X1446" s="85">
        <f>IF(B1446="",0,IF(OR(H1446=MappingTables!$C$34,H1446=MappingTables!$C$35),W1446,0))</f>
        <v>0</v>
      </c>
    </row>
    <row r="1447" spans="2:24" s="0" customFormat="0" ht="15">
      <c r="B1447" s="69">
        <v>19074346</v>
      </c>
      <c r="C1447" s="70" t="s">
        <v>1705</v>
      </c>
      <c r="D1447" s="70" t="s">
        <v>1</v>
      </c>
      <c r="E1447" s="70" t="s">
        <v>1</v>
      </c>
      <c r="F1447" s="70"/>
      <c r="G1447" s="70" t="s">
        <v>61</v>
      </c>
      <c r="H1447" s="70" t="s">
        <v>178</v>
      </c>
      <c r="I1447" s="70" t="s">
        <v>184</v>
      </c>
      <c r="J1447" s="71">
        <f>IF(OR(I1447=0,I1447=""),"unrated",VLOOKUP(I1447,MappingTables!$B$19:$C$31,2,FALSE))</f>
        <v>5</v>
      </c>
      <c r="K1447" s="72">
        <v>12127.356689621534</v>
      </c>
      <c r="L1447" s="70">
        <v>2.8501647021634124</v>
      </c>
      <c r="M1447" s="71">
        <f>IF(L1447&lt;1,1,L1447)</f>
        <v>2.8501647021634124</v>
      </c>
      <c r="N1447" s="70" t="s">
        <v>141</v>
      </c>
      <c r="O1447" s="71">
        <f>INDEX(DurClassMapping,MATCH(M1447,MappingTables!$D$4:$D$8,-1),1)</f>
        <v>1</v>
      </c>
      <c r="P1447" s="73">
        <f>IF(M1447=$A$1,1,$M1447-INDEX(MappingTables!$E$4:$E$8,MATCH(O1447,MappingTables!$B$4:$B$8,0)))</f>
        <v>2.8501647021634124</v>
      </c>
      <c r="Q1447" s="71">
        <f>IF(B1447="",0,INDEX(ModelParameters!$D$6:$K$10,MATCH($O1447,ModelParameters!$B$6:$B$10,0),MATCH($J1447,ModelParameters!$D$5:$K$5,0)))</f>
        <v>0.075</v>
      </c>
      <c r="R1447" s="71">
        <f>IF(B1447="",0,INDEX(ModelParameters!$D$13:$K$17,MATCH($O1447,ModelParameters!$B$13:$B$17,0),MATCH($J1447,ModelParameters!$D$5:$K$5,0)))</f>
        <v>0</v>
      </c>
      <c r="S1447" s="160">
        <f>IF(B1447="",0,MIN(IF($N1447="Other Bond TM",ModelParameters!$N$21,1)*(P1447*Q1447+R1447),1))</f>
        <v>0.21376235266225592</v>
      </c>
      <c r="T1447" s="85">
        <f>IF(B1447="",0,$S1447*$K1447)</f>
        <v>2592.3722975478468</v>
      </c>
      <c r="U1447" s="85">
        <f>IF(B1447="",0,IF(OR(H1447=MappingTables!$C$34,H1447=MappingTables!$C$35),T1447,0))</f>
        <v>0</v>
      </c>
      <c r="V1447" s="85">
        <f>IF(ISNA(IF(AND(VLOOKUP(CONCATENATE($D1447,$G1447),CSRFinput!$B:$E,4,0)=0,OR(H1447=MappingTables!$C$34,H1447=MappingTables!$C$35)),1,VLOOKUP(CONCATENATE($D1447,$G1447),CSRFinput!$B:$E,4,0))),0,IF(AND(VLOOKUP(CONCATENATE($D1447,$G1447),CSRFinput!$B:$E,4,0)=0,OR(H1447=MappingTables!$C$34,H1447=MappingTables!$C$35)),1,VLOOKUP(CONCATENATE($D1447,$G1447),CSRFinput!$B:$E,4,0)))</f>
        <v>0.054776304963434752</v>
      </c>
      <c r="W1447" s="85">
        <f>IF(B1447="",0,+$T1447*$V1447)</f>
        <v>142.00057554924086</v>
      </c>
      <c r="X1447" s="85">
        <f>IF(B1447="",0,IF(OR(H1447=MappingTables!$C$34,H1447=MappingTables!$C$35),W1447,0))</f>
        <v>0</v>
      </c>
    </row>
    <row r="1448" spans="2:24" s="0" customFormat="0" ht="15">
      <c r="B1448" s="69">
        <v>12830227</v>
      </c>
      <c r="C1448" s="70" t="s">
        <v>1706</v>
      </c>
      <c r="D1448" s="70" t="s">
        <v>1</v>
      </c>
      <c r="E1448" s="70" t="s">
        <v>1</v>
      </c>
      <c r="F1448" s="70"/>
      <c r="G1448" s="70" t="s">
        <v>61</v>
      </c>
      <c r="H1448" s="70" t="s">
        <v>178</v>
      </c>
      <c r="I1448" s="70" t="s">
        <v>188</v>
      </c>
      <c r="J1448" s="71">
        <f>IF(OR(I1448=0,I1448=""),"unrated",VLOOKUP(I1448,MappingTables!$B$19:$C$31,2,FALSE))</f>
        <v>2</v>
      </c>
      <c r="K1448" s="72">
        <v>1095.1714975196494</v>
      </c>
      <c r="L1448" s="70">
        <v>0.77757010559402272</v>
      </c>
      <c r="M1448" s="71">
        <f>IF(L1448&lt;1,1,L1448)</f>
        <v>1</v>
      </c>
      <c r="N1448" s="70" t="s">
        <v>141</v>
      </c>
      <c r="O1448" s="71">
        <f>INDEX(DurClassMapping,MATCH(M1448,MappingTables!$D$4:$D$8,-1),1)</f>
        <v>1</v>
      </c>
      <c r="P1448" s="73">
        <f>IF(M1448=$A$1,1,$M1448-INDEX(MappingTables!$E$4:$E$8,MATCH(O1448,MappingTables!$B$4:$B$8,0)))</f>
        <v>1</v>
      </c>
      <c r="Q1448" s="71">
        <f>IF(B1448="",0,INDEX(ModelParameters!$D$6:$K$10,MATCH($O1448,ModelParameters!$B$6:$B$10,0),MATCH($J1448,ModelParameters!$D$5:$K$5,0)))</f>
        <v>0.013999999999999998</v>
      </c>
      <c r="R1448" s="71">
        <f>IF(B1448="",0,INDEX(ModelParameters!$D$13:$K$17,MATCH($O1448,ModelParameters!$B$13:$B$17,0),MATCH($J1448,ModelParameters!$D$5:$K$5,0)))</f>
        <v>0</v>
      </c>
      <c r="S1448" s="160">
        <f>IF(B1448="",0,MIN(IF($N1448="Other Bond TM",ModelParameters!$N$21,1)*(P1448*Q1448+R1448),1))</f>
        <v>0.013999999999999998</v>
      </c>
      <c r="T1448" s="85">
        <f>IF(B1448="",0,$S1448*$K1448)</f>
        <v>15.33240096527509</v>
      </c>
      <c r="U1448" s="85">
        <f>IF(B1448="",0,IF(OR(H1448=MappingTables!$C$34,H1448=MappingTables!$C$35),T1448,0))</f>
        <v>0</v>
      </c>
      <c r="V1448" s="85">
        <f>IF(ISNA(IF(AND(VLOOKUP(CONCATENATE($D1448,$G1448),CSRFinput!$B:$E,4,0)=0,OR(H1448=MappingTables!$C$34,H1448=MappingTables!$C$35)),1,VLOOKUP(CONCATENATE($D1448,$G1448),CSRFinput!$B:$E,4,0))),0,IF(AND(VLOOKUP(CONCATENATE($D1448,$G1448),CSRFinput!$B:$E,4,0)=0,OR(H1448=MappingTables!$C$34,H1448=MappingTables!$C$35)),1,VLOOKUP(CONCATENATE($D1448,$G1448),CSRFinput!$B:$E,4,0)))</f>
        <v>0.054776304963434752</v>
      </c>
      <c r="W1448" s="85">
        <f>IF(B1448="",0,+$T1448*$V1448)</f>
        <v>0.83985227109556976</v>
      </c>
      <c r="X1448" s="85">
        <f>IF(B1448="",0,IF(OR(H1448=MappingTables!$C$34,H1448=MappingTables!$C$35),W1448,0))</f>
        <v>0</v>
      </c>
    </row>
    <row r="1449" spans="2:24" s="0" customFormat="0" ht="15">
      <c r="B1449" s="69">
        <v>21365024</v>
      </c>
      <c r="C1449" s="70" t="s">
        <v>1234</v>
      </c>
      <c r="D1449" s="70" t="s">
        <v>1</v>
      </c>
      <c r="E1449" s="70" t="s">
        <v>1</v>
      </c>
      <c r="F1449" s="70"/>
      <c r="G1449" s="70" t="s">
        <v>61</v>
      </c>
      <c r="H1449" s="70" t="s">
        <v>178</v>
      </c>
      <c r="I1449" s="70" t="s">
        <v>216</v>
      </c>
      <c r="J1449" s="71">
        <f>IF(OR(I1449=0,I1449=""),"unrated",VLOOKUP(I1449,MappingTables!$B$19:$C$31,2,FALSE))</f>
        <v>0</v>
      </c>
      <c r="K1449" s="72">
        <v>2162.0974738647252</v>
      </c>
      <c r="L1449" s="70">
        <v>0.08219221771922944</v>
      </c>
      <c r="M1449" s="71">
        <f>IF(L1449&lt;1,1,L1449)</f>
        <v>1</v>
      </c>
      <c r="N1449" s="70" t="s">
        <v>141</v>
      </c>
      <c r="O1449" s="71">
        <f>INDEX(DurClassMapping,MATCH(M1449,MappingTables!$D$4:$D$8,-1),1)</f>
        <v>1</v>
      </c>
      <c r="P1449" s="73">
        <f>IF(M1449=$A$1,1,$M1449-INDEX(MappingTables!$E$4:$E$8,MATCH(O1449,MappingTables!$B$4:$B$8,0)))</f>
        <v>1</v>
      </c>
      <c r="Q1449" s="71">
        <f>IF(B1449="",0,INDEX(ModelParameters!$D$6:$K$10,MATCH($O1449,ModelParameters!$B$6:$B$10,0),MATCH($J1449,ModelParameters!$D$5:$K$5,0)))</f>
        <v>0.0090000000000000016</v>
      </c>
      <c r="R1449" s="71">
        <f>IF(B1449="",0,INDEX(ModelParameters!$D$13:$K$17,MATCH($O1449,ModelParameters!$B$13:$B$17,0),MATCH($J1449,ModelParameters!$D$5:$K$5,0)))</f>
        <v>0</v>
      </c>
      <c r="S1449" s="160">
        <f>IF(B1449="",0,MIN(IF($N1449="Other Bond TM",ModelParameters!$N$21,1)*(P1449*Q1449+R1449),1))</f>
        <v>0.0090000000000000016</v>
      </c>
      <c r="T1449" s="85">
        <f>IF(B1449="",0,$S1449*$K1449)</f>
        <v>19.458877264782528</v>
      </c>
      <c r="U1449" s="85">
        <f>IF(B1449="",0,IF(OR(H1449=MappingTables!$C$34,H1449=MappingTables!$C$35),T1449,0))</f>
        <v>0</v>
      </c>
      <c r="V1449" s="85">
        <f>IF(ISNA(IF(AND(VLOOKUP(CONCATENATE($D1449,$G1449),CSRFinput!$B:$E,4,0)=0,OR(H1449=MappingTables!$C$34,H1449=MappingTables!$C$35)),1,VLOOKUP(CONCATENATE($D1449,$G1449),CSRFinput!$B:$E,4,0))),0,IF(AND(VLOOKUP(CONCATENATE($D1449,$G1449),CSRFinput!$B:$E,4,0)=0,OR(H1449=MappingTables!$C$34,H1449=MappingTables!$C$35)),1,VLOOKUP(CONCATENATE($D1449,$G1449),CSRFinput!$B:$E,4,0)))</f>
        <v>0.054776304963434752</v>
      </c>
      <c r="W1449" s="85">
        <f>IF(B1449="",0,+$T1449*$V1449)</f>
        <v>1.0658853953017748</v>
      </c>
      <c r="X1449" s="85">
        <f>IF(B1449="",0,IF(OR(H1449=MappingTables!$C$34,H1449=MappingTables!$C$35),W1449,0))</f>
        <v>0</v>
      </c>
    </row>
    <row r="1450" spans="2:24" s="0" customFormat="0" ht="15">
      <c r="B1450" s="69">
        <v>21792759</v>
      </c>
      <c r="C1450" s="70" t="s">
        <v>246</v>
      </c>
      <c r="D1450" s="70" t="s">
        <v>1</v>
      </c>
      <c r="E1450" s="70" t="s">
        <v>1</v>
      </c>
      <c r="F1450" s="70"/>
      <c r="G1450" s="70" t="s">
        <v>61</v>
      </c>
      <c r="H1450" s="70" t="s">
        <v>178</v>
      </c>
      <c r="I1450" s="70" t="s">
        <v>184</v>
      </c>
      <c r="J1450" s="71">
        <f>IF(OR(I1450=0,I1450=""),"unrated",VLOOKUP(I1450,MappingTables!$B$19:$C$31,2,FALSE))</f>
        <v>5</v>
      </c>
      <c r="K1450" s="72">
        <v>153.89267346102546</v>
      </c>
      <c r="L1450" s="70">
        <v>1.8206385112287416</v>
      </c>
      <c r="M1450" s="71">
        <f>IF(L1450&lt;1,1,L1450)</f>
        <v>1.8206385112287416</v>
      </c>
      <c r="N1450" s="70" t="s">
        <v>141</v>
      </c>
      <c r="O1450" s="71">
        <f>INDEX(DurClassMapping,MATCH(M1450,MappingTables!$D$4:$D$8,-1),1)</f>
        <v>1</v>
      </c>
      <c r="P1450" s="73">
        <f>IF(M1450=$A$1,1,$M1450-INDEX(MappingTables!$E$4:$E$8,MATCH(O1450,MappingTables!$B$4:$B$8,0)))</f>
        <v>1.8206385112287416</v>
      </c>
      <c r="Q1450" s="71">
        <f>IF(B1450="",0,INDEX(ModelParameters!$D$6:$K$10,MATCH($O1450,ModelParameters!$B$6:$B$10,0),MATCH($J1450,ModelParameters!$D$5:$K$5,0)))</f>
        <v>0.075</v>
      </c>
      <c r="R1450" s="71">
        <f>IF(B1450="",0,INDEX(ModelParameters!$D$13:$K$17,MATCH($O1450,ModelParameters!$B$13:$B$17,0),MATCH($J1450,ModelParameters!$D$5:$K$5,0)))</f>
        <v>0</v>
      </c>
      <c r="S1450" s="160">
        <f>IF(B1450="",0,MIN(IF($N1450="Other Bond TM",ModelParameters!$N$21,1)*(P1450*Q1450+R1450),1))</f>
        <v>0.13654788834215562</v>
      </c>
      <c r="T1450" s="85">
        <f>IF(B1450="",0,$S1450*$K1450)</f>
        <v>21.01371959243192</v>
      </c>
      <c r="U1450" s="85">
        <f>IF(B1450="",0,IF(OR(H1450=MappingTables!$C$34,H1450=MappingTables!$C$35),T1450,0))</f>
        <v>0</v>
      </c>
      <c r="V1450" s="85">
        <f>IF(ISNA(IF(AND(VLOOKUP(CONCATENATE($D1450,$G1450),CSRFinput!$B:$E,4,0)=0,OR(H1450=MappingTables!$C$34,H1450=MappingTables!$C$35)),1,VLOOKUP(CONCATENATE($D1450,$G1450),CSRFinput!$B:$E,4,0))),0,IF(AND(VLOOKUP(CONCATENATE($D1450,$G1450),CSRFinput!$B:$E,4,0)=0,OR(H1450=MappingTables!$C$34,H1450=MappingTables!$C$35)),1,VLOOKUP(CONCATENATE($D1450,$G1450),CSRFinput!$B:$E,4,0)))</f>
        <v>0.054776304963434752</v>
      </c>
      <c r="W1450" s="85">
        <f>IF(B1450="",0,+$T1450*$V1450)</f>
        <v>1.1510539128111546</v>
      </c>
      <c r="X1450" s="85">
        <f>IF(B1450="",0,IF(OR(H1450=MappingTables!$C$34,H1450=MappingTables!$C$35),W1450,0))</f>
        <v>0</v>
      </c>
    </row>
    <row r="1451" spans="2:24" s="0" customFormat="0" ht="15">
      <c r="B1451" s="69">
        <v>23061859</v>
      </c>
      <c r="C1451" s="70" t="s">
        <v>323</v>
      </c>
      <c r="D1451" s="70" t="s">
        <v>1</v>
      </c>
      <c r="E1451" s="70" t="s">
        <v>1</v>
      </c>
      <c r="F1451" s="70"/>
      <c r="G1451" s="70" t="s">
        <v>61</v>
      </c>
      <c r="H1451" s="70" t="s">
        <v>178</v>
      </c>
      <c r="I1451" s="70" t="s">
        <v>181</v>
      </c>
      <c r="J1451" s="71">
        <f>IF(OR(I1451=0,I1451=""),"unrated",VLOOKUP(I1451,MappingTables!$B$19:$C$31,2,FALSE))</f>
        <v>3</v>
      </c>
      <c r="K1451" s="72">
        <v>981.74966234859376</v>
      </c>
      <c r="L1451" s="70">
        <v>0.36438402743414232</v>
      </c>
      <c r="M1451" s="71">
        <f>IF(L1451&lt;1,1,L1451)</f>
        <v>1</v>
      </c>
      <c r="N1451" s="70" t="s">
        <v>141</v>
      </c>
      <c r="O1451" s="71">
        <f>INDEX(DurClassMapping,MATCH(M1451,MappingTables!$D$4:$D$8,-1),1)</f>
        <v>1</v>
      </c>
      <c r="P1451" s="73">
        <f>IF(M1451=$A$1,1,$M1451-INDEX(MappingTables!$E$4:$E$8,MATCH(O1451,MappingTables!$B$4:$B$8,0)))</f>
        <v>1</v>
      </c>
      <c r="Q1451" s="71">
        <f>IF(B1451="",0,INDEX(ModelParameters!$D$6:$K$10,MATCH($O1451,ModelParameters!$B$6:$B$10,0),MATCH($J1451,ModelParameters!$D$5:$K$5,0)))</f>
        <v>0.025</v>
      </c>
      <c r="R1451" s="71">
        <f>IF(B1451="",0,INDEX(ModelParameters!$D$13:$K$17,MATCH($O1451,ModelParameters!$B$13:$B$17,0),MATCH($J1451,ModelParameters!$D$5:$K$5,0)))</f>
        <v>0</v>
      </c>
      <c r="S1451" s="160">
        <f>IF(B1451="",0,MIN(IF($N1451="Other Bond TM",ModelParameters!$N$21,1)*(P1451*Q1451+R1451),1))</f>
        <v>0.025</v>
      </c>
      <c r="T1451" s="85">
        <f>IF(B1451="",0,$S1451*$K1451)</f>
        <v>24.543741558714844</v>
      </c>
      <c r="U1451" s="85">
        <f>IF(B1451="",0,IF(OR(H1451=MappingTables!$C$34,H1451=MappingTables!$C$35),T1451,0))</f>
        <v>0</v>
      </c>
      <c r="V1451" s="85">
        <f>IF(ISNA(IF(AND(VLOOKUP(CONCATENATE($D1451,$G1451),CSRFinput!$B:$E,4,0)=0,OR(H1451=MappingTables!$C$34,H1451=MappingTables!$C$35)),1,VLOOKUP(CONCATENATE($D1451,$G1451),CSRFinput!$B:$E,4,0))),0,IF(AND(VLOOKUP(CONCATENATE($D1451,$G1451),CSRFinput!$B:$E,4,0)=0,OR(H1451=MappingTables!$C$34,H1451=MappingTables!$C$35)),1,VLOOKUP(CONCATENATE($D1451,$G1451),CSRFinput!$B:$E,4,0)))</f>
        <v>0.054776304963434752</v>
      </c>
      <c r="W1451" s="85">
        <f>IF(B1451="",0,+$T1451*$V1451)</f>
        <v>1.344415472563892</v>
      </c>
      <c r="X1451" s="85">
        <f>IF(B1451="",0,IF(OR(H1451=MappingTables!$C$34,H1451=MappingTables!$C$35),W1451,0))</f>
        <v>0</v>
      </c>
    </row>
    <row r="1452" spans="2:24" s="0" customFormat="0" ht="15">
      <c r="B1452" s="69" t="s">
        <v>866</v>
      </c>
      <c r="C1452" s="70" t="s">
        <v>867</v>
      </c>
      <c r="D1452" s="70" t="s">
        <v>1</v>
      </c>
      <c r="E1452" s="70" t="s">
        <v>1</v>
      </c>
      <c r="F1452" s="70"/>
      <c r="G1452" s="70" t="s">
        <v>61</v>
      </c>
      <c r="H1452" s="70" t="s">
        <v>178</v>
      </c>
      <c r="I1452" s="70" t="s">
        <v>181</v>
      </c>
      <c r="J1452" s="71">
        <f>IF(OR(I1452=0,I1452=""),"unrated",VLOOKUP(I1452,MappingTables!$B$19:$C$31,2,FALSE))</f>
        <v>3</v>
      </c>
      <c r="K1452" s="72">
        <v>8.5894536345195232</v>
      </c>
      <c r="L1452" s="70">
        <v>1.4309968178318982</v>
      </c>
      <c r="M1452" s="71">
        <f>IF(L1452&lt;1,1,L1452)</f>
        <v>1.4309968178318982</v>
      </c>
      <c r="N1452" s="70" t="s">
        <v>141</v>
      </c>
      <c r="O1452" s="71">
        <f>INDEX(DurClassMapping,MATCH(M1452,MappingTables!$D$4:$D$8,-1),1)</f>
        <v>1</v>
      </c>
      <c r="P1452" s="73">
        <f>IF(M1452=$A$1,1,$M1452-INDEX(MappingTables!$E$4:$E$8,MATCH(O1452,MappingTables!$B$4:$B$8,0)))</f>
        <v>1.4309968178318982</v>
      </c>
      <c r="Q1452" s="71">
        <f>IF(B1452="",0,INDEX(ModelParameters!$D$6:$K$10,MATCH($O1452,ModelParameters!$B$6:$B$10,0),MATCH($J1452,ModelParameters!$D$5:$K$5,0)))</f>
        <v>0.025</v>
      </c>
      <c r="R1452" s="71">
        <f>IF(B1452="",0,INDEX(ModelParameters!$D$13:$K$17,MATCH($O1452,ModelParameters!$B$13:$B$17,0),MATCH($J1452,ModelParameters!$D$5:$K$5,0)))</f>
        <v>0</v>
      </c>
      <c r="S1452" s="160">
        <f>IF(B1452="",0,MIN(IF($N1452="Other Bond TM",ModelParameters!$N$21,1)*(P1452*Q1452+R1452),1))</f>
        <v>0.035774920445797456</v>
      </c>
      <c r="T1452" s="85">
        <f>IF(B1452="",0,$S1452*$K1452)</f>
        <v>0.30728702044780176</v>
      </c>
      <c r="U1452" s="85">
        <f>IF(B1452="",0,IF(OR(H1452=MappingTables!$C$34,H1452=MappingTables!$C$35),T1452,0))</f>
        <v>0</v>
      </c>
      <c r="V1452" s="85">
        <f>IF(ISNA(IF(AND(VLOOKUP(CONCATENATE($D1452,$G1452),CSRFinput!$B:$E,4,0)=0,OR(H1452=MappingTables!$C$34,H1452=MappingTables!$C$35)),1,VLOOKUP(CONCATENATE($D1452,$G1452),CSRFinput!$B:$E,4,0))),0,IF(AND(VLOOKUP(CONCATENATE($D1452,$G1452),CSRFinput!$B:$E,4,0)=0,OR(H1452=MappingTables!$C$34,H1452=MappingTables!$C$35)),1,VLOOKUP(CONCATENATE($D1452,$G1452),CSRFinput!$B:$E,4,0)))</f>
        <v>0.054776304963434752</v>
      </c>
      <c r="W1452" s="85">
        <f>IF(B1452="",0,+$T1452*$V1452)</f>
        <v>0.016832047543354</v>
      </c>
      <c r="X1452" s="85">
        <f>IF(B1452="",0,IF(OR(H1452=MappingTables!$C$34,H1452=MappingTables!$C$35),W1452,0))</f>
        <v>0</v>
      </c>
    </row>
    <row r="1453" spans="2:24" s="0" customFormat="0" ht="15">
      <c r="B1453" s="69" t="s">
        <v>1707</v>
      </c>
      <c r="C1453" s="70" t="s">
        <v>1708</v>
      </c>
      <c r="D1453" s="70" t="s">
        <v>1</v>
      </c>
      <c r="E1453" s="70" t="s">
        <v>1</v>
      </c>
      <c r="F1453" s="70"/>
      <c r="G1453" s="70" t="s">
        <v>61</v>
      </c>
      <c r="H1453" s="70" t="s">
        <v>178</v>
      </c>
      <c r="I1453" s="70" t="s">
        <v>179</v>
      </c>
      <c r="J1453" s="71">
        <f>IF(OR(I1453=0,I1453=""),"unrated",VLOOKUP(I1453,MappingTables!$B$19:$C$31,2,FALSE))</f>
        <v>4</v>
      </c>
      <c r="K1453" s="72">
        <v>67.23345107820428</v>
      </c>
      <c r="L1453" s="70">
        <v>1.4966870556589816</v>
      </c>
      <c r="M1453" s="71">
        <f>IF(L1453&lt;1,1,L1453)</f>
        <v>1.4966870556589816</v>
      </c>
      <c r="N1453" s="70" t="s">
        <v>141</v>
      </c>
      <c r="O1453" s="71">
        <f>INDEX(DurClassMapping,MATCH(M1453,MappingTables!$D$4:$D$8,-1),1)</f>
        <v>1</v>
      </c>
      <c r="P1453" s="73">
        <f>IF(M1453=$A$1,1,$M1453-INDEX(MappingTables!$E$4:$E$8,MATCH(O1453,MappingTables!$B$4:$B$8,0)))</f>
        <v>1.4966870556589816</v>
      </c>
      <c r="Q1453" s="71">
        <f>IF(B1453="",0,INDEX(ModelParameters!$D$6:$K$10,MATCH($O1453,ModelParameters!$B$6:$B$10,0),MATCH($J1453,ModelParameters!$D$5:$K$5,0)))</f>
        <v>0.045</v>
      </c>
      <c r="R1453" s="71">
        <f>IF(B1453="",0,INDEX(ModelParameters!$D$13:$K$17,MATCH($O1453,ModelParameters!$B$13:$B$17,0),MATCH($J1453,ModelParameters!$D$5:$K$5,0)))</f>
        <v>0</v>
      </c>
      <c r="S1453" s="160">
        <f>IF(B1453="",0,MIN(IF($N1453="Other Bond TM",ModelParameters!$N$21,1)*(P1453*Q1453+R1453),1))</f>
        <v>0.06735091750465416</v>
      </c>
      <c r="T1453" s="85">
        <f>IF(B1453="",0,$S1453*$K1453)</f>
        <v>4.5282346171213384</v>
      </c>
      <c r="U1453" s="85">
        <f>IF(B1453="",0,IF(OR(H1453=MappingTables!$C$34,H1453=MappingTables!$C$35),T1453,0))</f>
        <v>0</v>
      </c>
      <c r="V1453" s="85">
        <f>IF(ISNA(IF(AND(VLOOKUP(CONCATENATE($D1453,$G1453),CSRFinput!$B:$E,4,0)=0,OR(H1453=MappingTables!$C$34,H1453=MappingTables!$C$35)),1,VLOOKUP(CONCATENATE($D1453,$G1453),CSRFinput!$B:$E,4,0))),0,IF(AND(VLOOKUP(CONCATENATE($D1453,$G1453),CSRFinput!$B:$E,4,0)=0,OR(H1453=MappingTables!$C$34,H1453=MappingTables!$C$35)),1,VLOOKUP(CONCATENATE($D1453,$G1453),CSRFinput!$B:$E,4,0)))</f>
        <v>0.054776304963434752</v>
      </c>
      <c r="W1453" s="85">
        <f>IF(B1453="",0,+$T1453*$V1453)</f>
        <v>0.24803996033342064</v>
      </c>
      <c r="X1453" s="85">
        <f>IF(B1453="",0,IF(OR(H1453=MappingTables!$C$34,H1453=MappingTables!$C$35),W1453,0))</f>
        <v>0</v>
      </c>
    </row>
    <row r="1454" spans="2:24" s="0" customFormat="0" ht="15">
      <c r="B1454" s="69">
        <v>7631442</v>
      </c>
      <c r="C1454" s="70" t="s">
        <v>1319</v>
      </c>
      <c r="D1454" s="70" t="s">
        <v>1</v>
      </c>
      <c r="E1454" s="70" t="s">
        <v>1</v>
      </c>
      <c r="F1454" s="70"/>
      <c r="G1454" s="70" t="s">
        <v>61</v>
      </c>
      <c r="H1454" s="70" t="s">
        <v>178</v>
      </c>
      <c r="I1454" s="70" t="s">
        <v>181</v>
      </c>
      <c r="J1454" s="71">
        <f>IF(OR(I1454=0,I1454=""),"unrated",VLOOKUP(I1454,MappingTables!$B$19:$C$31,2,FALSE))</f>
        <v>3</v>
      </c>
      <c r="K1454" s="72">
        <v>344.69501379747904</v>
      </c>
      <c r="L1454" s="70">
        <v>0.021916323216532924</v>
      </c>
      <c r="M1454" s="71">
        <f>IF(L1454&lt;1,1,L1454)</f>
        <v>1</v>
      </c>
      <c r="N1454" s="70" t="s">
        <v>141</v>
      </c>
      <c r="O1454" s="71">
        <f>INDEX(DurClassMapping,MATCH(M1454,MappingTables!$D$4:$D$8,-1),1)</f>
        <v>1</v>
      </c>
      <c r="P1454" s="73">
        <f>IF(M1454=$A$1,1,$M1454-INDEX(MappingTables!$E$4:$E$8,MATCH(O1454,MappingTables!$B$4:$B$8,0)))</f>
        <v>1</v>
      </c>
      <c r="Q1454" s="71">
        <f>IF(B1454="",0,INDEX(ModelParameters!$D$6:$K$10,MATCH($O1454,ModelParameters!$B$6:$B$10,0),MATCH($J1454,ModelParameters!$D$5:$K$5,0)))</f>
        <v>0.025</v>
      </c>
      <c r="R1454" s="71">
        <f>IF(B1454="",0,INDEX(ModelParameters!$D$13:$K$17,MATCH($O1454,ModelParameters!$B$13:$B$17,0),MATCH($J1454,ModelParameters!$D$5:$K$5,0)))</f>
        <v>0</v>
      </c>
      <c r="S1454" s="160">
        <f>IF(B1454="",0,MIN(IF($N1454="Other Bond TM",ModelParameters!$N$21,1)*(P1454*Q1454+R1454),1))</f>
        <v>0.025</v>
      </c>
      <c r="T1454" s="85">
        <f>IF(B1454="",0,$S1454*$K1454)</f>
        <v>8.617375344936976</v>
      </c>
      <c r="U1454" s="85">
        <f>IF(B1454="",0,IF(OR(H1454=MappingTables!$C$34,H1454=MappingTables!$C$35),T1454,0))</f>
        <v>0</v>
      </c>
      <c r="V1454" s="85">
        <f>IF(ISNA(IF(AND(VLOOKUP(CONCATENATE($D1454,$G1454),CSRFinput!$B:$E,4,0)=0,OR(H1454=MappingTables!$C$34,H1454=MappingTables!$C$35)),1,VLOOKUP(CONCATENATE($D1454,$G1454),CSRFinput!$B:$E,4,0))),0,IF(AND(VLOOKUP(CONCATENATE($D1454,$G1454),CSRFinput!$B:$E,4,0)=0,OR(H1454=MappingTables!$C$34,H1454=MappingTables!$C$35)),1,VLOOKUP(CONCATENATE($D1454,$G1454),CSRFinput!$B:$E,4,0)))</f>
        <v>0.054776304963434752</v>
      </c>
      <c r="W1454" s="85">
        <f>IF(B1454="",0,+$T1454*$V1454)</f>
        <v>0.47202797987865152</v>
      </c>
      <c r="X1454" s="85">
        <f>IF(B1454="",0,IF(OR(H1454=MappingTables!$C$34,H1454=MappingTables!$C$35),W1454,0))</f>
        <v>0</v>
      </c>
    </row>
    <row r="1455" spans="2:24" s="0" customFormat="0" ht="15">
      <c r="B1455" s="69">
        <v>24190973</v>
      </c>
      <c r="C1455" s="70" t="s">
        <v>1709</v>
      </c>
      <c r="D1455" s="70" t="s">
        <v>1</v>
      </c>
      <c r="E1455" s="70" t="s">
        <v>1</v>
      </c>
      <c r="F1455" s="70"/>
      <c r="G1455" s="70" t="s">
        <v>61</v>
      </c>
      <c r="H1455" s="70" t="s">
        <v>178</v>
      </c>
      <c r="I1455" s="70" t="s">
        <v>188</v>
      </c>
      <c r="J1455" s="71">
        <f>IF(OR(I1455=0,I1455=""),"unrated",VLOOKUP(I1455,MappingTables!$B$19:$C$31,2,FALSE))</f>
        <v>2</v>
      </c>
      <c r="K1455" s="72">
        <v>543.98533079142384</v>
      </c>
      <c r="L1455" s="70">
        <v>2.6270411495754396</v>
      </c>
      <c r="M1455" s="71">
        <f>IF(L1455&lt;1,1,L1455)</f>
        <v>2.6270411495754396</v>
      </c>
      <c r="N1455" s="70" t="s">
        <v>141</v>
      </c>
      <c r="O1455" s="71">
        <f>INDEX(DurClassMapping,MATCH(M1455,MappingTables!$D$4:$D$8,-1),1)</f>
        <v>1</v>
      </c>
      <c r="P1455" s="73">
        <f>IF(M1455=$A$1,1,$M1455-INDEX(MappingTables!$E$4:$E$8,MATCH(O1455,MappingTables!$B$4:$B$8,0)))</f>
        <v>2.6270411495754396</v>
      </c>
      <c r="Q1455" s="71">
        <f>IF(B1455="",0,INDEX(ModelParameters!$D$6:$K$10,MATCH($O1455,ModelParameters!$B$6:$B$10,0),MATCH($J1455,ModelParameters!$D$5:$K$5,0)))</f>
        <v>0.013999999999999998</v>
      </c>
      <c r="R1455" s="71">
        <f>IF(B1455="",0,INDEX(ModelParameters!$D$13:$K$17,MATCH($O1455,ModelParameters!$B$13:$B$17,0),MATCH($J1455,ModelParameters!$D$5:$K$5,0)))</f>
        <v>0</v>
      </c>
      <c r="S1455" s="160">
        <f>IF(B1455="",0,MIN(IF($N1455="Other Bond TM",ModelParameters!$N$21,1)*(P1455*Q1455+R1455),1))</f>
        <v>0.036778576094056152</v>
      </c>
      <c r="T1455" s="85">
        <f>IF(B1455="",0,$S1455*$K1455)</f>
        <v>20.007005882562692</v>
      </c>
      <c r="U1455" s="85">
        <f>IF(B1455="",0,IF(OR(H1455=MappingTables!$C$34,H1455=MappingTables!$C$35),T1455,0))</f>
        <v>0</v>
      </c>
      <c r="V1455" s="85">
        <f>IF(ISNA(IF(AND(VLOOKUP(CONCATENATE($D1455,$G1455),CSRFinput!$B:$E,4,0)=0,OR(H1455=MappingTables!$C$34,H1455=MappingTables!$C$35)),1,VLOOKUP(CONCATENATE($D1455,$G1455),CSRFinput!$B:$E,4,0))),0,IF(AND(VLOOKUP(CONCATENATE($D1455,$G1455),CSRFinput!$B:$E,4,0)=0,OR(H1455=MappingTables!$C$34,H1455=MappingTables!$C$35)),1,VLOOKUP(CONCATENATE($D1455,$G1455),CSRFinput!$B:$E,4,0)))</f>
        <v>0.054776304963434752</v>
      </c>
      <c r="W1455" s="85">
        <f>IF(B1455="",0,+$T1455*$V1455)</f>
        <v>1.095909855628487</v>
      </c>
      <c r="X1455" s="85">
        <f>IF(B1455="",0,IF(OR(H1455=MappingTables!$C$34,H1455=MappingTables!$C$35),W1455,0))</f>
        <v>0</v>
      </c>
    </row>
    <row r="1456" spans="2:24" s="0" customFormat="0" ht="15">
      <c r="B1456" s="69">
        <v>7499016</v>
      </c>
      <c r="C1456" s="70" t="s">
        <v>1510</v>
      </c>
      <c r="D1456" s="70" t="s">
        <v>1</v>
      </c>
      <c r="E1456" s="70" t="s">
        <v>1</v>
      </c>
      <c r="F1456" s="70"/>
      <c r="G1456" s="70" t="s">
        <v>61</v>
      </c>
      <c r="H1456" s="70" t="s">
        <v>178</v>
      </c>
      <c r="I1456" s="70" t="s">
        <v>181</v>
      </c>
      <c r="J1456" s="71">
        <f>IF(OR(I1456=0,I1456=""),"unrated",VLOOKUP(I1456,MappingTables!$B$19:$C$31,2,FALSE))</f>
        <v>3</v>
      </c>
      <c r="K1456" s="72">
        <v>298.58830931250088</v>
      </c>
      <c r="L1456" s="70">
        <v>2.7134558364589368</v>
      </c>
      <c r="M1456" s="71">
        <f>IF(L1456&lt;1,1,L1456)</f>
        <v>2.7134558364589368</v>
      </c>
      <c r="N1456" s="70" t="s">
        <v>141</v>
      </c>
      <c r="O1456" s="71">
        <f>INDEX(DurClassMapping,MATCH(M1456,MappingTables!$D$4:$D$8,-1),1)</f>
        <v>1</v>
      </c>
      <c r="P1456" s="73">
        <f>IF(M1456=$A$1,1,$M1456-INDEX(MappingTables!$E$4:$E$8,MATCH(O1456,MappingTables!$B$4:$B$8,0)))</f>
        <v>2.7134558364589368</v>
      </c>
      <c r="Q1456" s="71">
        <f>IF(B1456="",0,INDEX(ModelParameters!$D$6:$K$10,MATCH($O1456,ModelParameters!$B$6:$B$10,0),MATCH($J1456,ModelParameters!$D$5:$K$5,0)))</f>
        <v>0.025</v>
      </c>
      <c r="R1456" s="71">
        <f>IF(B1456="",0,INDEX(ModelParameters!$D$13:$K$17,MATCH($O1456,ModelParameters!$B$13:$B$17,0),MATCH($J1456,ModelParameters!$D$5:$K$5,0)))</f>
        <v>0</v>
      </c>
      <c r="S1456" s="160">
        <f>IF(B1456="",0,MIN(IF($N1456="Other Bond TM",ModelParameters!$N$21,1)*(P1456*Q1456+R1456),1))</f>
        <v>0.067836395911473432</v>
      </c>
      <c r="T1456" s="85">
        <f>IF(B1456="",0,$S1456*$K1456)</f>
        <v>20.2551547650603</v>
      </c>
      <c r="U1456" s="85">
        <f>IF(B1456="",0,IF(OR(H1456=MappingTables!$C$34,H1456=MappingTables!$C$35),T1456,0))</f>
        <v>0</v>
      </c>
      <c r="V1456" s="85">
        <f>IF(ISNA(IF(AND(VLOOKUP(CONCATENATE($D1456,$G1456),CSRFinput!$B:$E,4,0)=0,OR(H1456=MappingTables!$C$34,H1456=MappingTables!$C$35)),1,VLOOKUP(CONCATENATE($D1456,$G1456),CSRFinput!$B:$E,4,0))),0,IF(AND(VLOOKUP(CONCATENATE($D1456,$G1456),CSRFinput!$B:$E,4,0)=0,OR(H1456=MappingTables!$C$34,H1456=MappingTables!$C$35)),1,VLOOKUP(CONCATENATE($D1456,$G1456),CSRFinput!$B:$E,4,0)))</f>
        <v>0.054776304963434752</v>
      </c>
      <c r="W1456" s="85">
        <f>IF(B1456="",0,+$T1456*$V1456)</f>
        <v>1.1095025344925116</v>
      </c>
      <c r="X1456" s="85">
        <f>IF(B1456="",0,IF(OR(H1456=MappingTables!$C$34,H1456=MappingTables!$C$35),W1456,0))</f>
        <v>0</v>
      </c>
    </row>
    <row r="1457" spans="2:24" s="0" customFormat="0" ht="15">
      <c r="B1457" s="69">
        <v>13534483</v>
      </c>
      <c r="C1457" s="70" t="s">
        <v>495</v>
      </c>
      <c r="D1457" s="70" t="s">
        <v>1</v>
      </c>
      <c r="E1457" s="70" t="s">
        <v>1</v>
      </c>
      <c r="F1457" s="70"/>
      <c r="G1457" s="70" t="s">
        <v>61</v>
      </c>
      <c r="H1457" s="70" t="s">
        <v>178</v>
      </c>
      <c r="I1457" s="70" t="s">
        <v>181</v>
      </c>
      <c r="J1457" s="71">
        <f>IF(OR(I1457=0,I1457=""),"unrated",VLOOKUP(I1457,MappingTables!$B$19:$C$31,2,FALSE))</f>
        <v>3</v>
      </c>
      <c r="K1457" s="72">
        <v>0.40427902915860904</v>
      </c>
      <c r="L1457" s="70">
        <v>1.6995460208025824</v>
      </c>
      <c r="M1457" s="71">
        <f>IF(L1457&lt;1,1,L1457)</f>
        <v>1.6995460208025824</v>
      </c>
      <c r="N1457" s="70" t="s">
        <v>141</v>
      </c>
      <c r="O1457" s="71">
        <f>INDEX(DurClassMapping,MATCH(M1457,MappingTables!$D$4:$D$8,-1),1)</f>
        <v>1</v>
      </c>
      <c r="P1457" s="73">
        <f>IF(M1457=$A$1,1,$M1457-INDEX(MappingTables!$E$4:$E$8,MATCH(O1457,MappingTables!$B$4:$B$8,0)))</f>
        <v>1.6995460208025824</v>
      </c>
      <c r="Q1457" s="71">
        <f>IF(B1457="",0,INDEX(ModelParameters!$D$6:$K$10,MATCH($O1457,ModelParameters!$B$6:$B$10,0),MATCH($J1457,ModelParameters!$D$5:$K$5,0)))</f>
        <v>0.025</v>
      </c>
      <c r="R1457" s="71">
        <f>IF(B1457="",0,INDEX(ModelParameters!$D$13:$K$17,MATCH($O1457,ModelParameters!$B$13:$B$17,0),MATCH($J1457,ModelParameters!$D$5:$K$5,0)))</f>
        <v>0</v>
      </c>
      <c r="S1457" s="160">
        <f>IF(B1457="",0,MIN(IF($N1457="Other Bond TM",ModelParameters!$N$21,1)*(P1457*Q1457+R1457),1))</f>
        <v>0.04248865052006456</v>
      </c>
      <c r="T1457" s="85">
        <f>IF(B1457="",0,$S1457*$K1457)</f>
        <v>0.017177270382511132</v>
      </c>
      <c r="U1457" s="85">
        <f>IF(B1457="",0,IF(OR(H1457=MappingTables!$C$34,H1457=MappingTables!$C$35),T1457,0))</f>
        <v>0</v>
      </c>
      <c r="V1457" s="85">
        <f>IF(ISNA(IF(AND(VLOOKUP(CONCATENATE($D1457,$G1457),CSRFinput!$B:$E,4,0)=0,OR(H1457=MappingTables!$C$34,H1457=MappingTables!$C$35)),1,VLOOKUP(CONCATENATE($D1457,$G1457),CSRFinput!$B:$E,4,0))),0,IF(AND(VLOOKUP(CONCATENATE($D1457,$G1457),CSRFinput!$B:$E,4,0)=0,OR(H1457=MappingTables!$C$34,H1457=MappingTables!$C$35)),1,VLOOKUP(CONCATENATE($D1457,$G1457),CSRFinput!$B:$E,4,0)))</f>
        <v>0.054776304963434752</v>
      </c>
      <c r="W1457" s="85">
        <f>IF(B1457="",0,+$T1457*$V1457)</f>
        <v>0.00094090740091180528</v>
      </c>
      <c r="X1457" s="85">
        <f>IF(B1457="",0,IF(OR(H1457=MappingTables!$C$34,H1457=MappingTables!$C$35),W1457,0))</f>
        <v>0</v>
      </c>
    </row>
    <row r="1458" spans="2:24" s="0" customFormat="0" ht="15">
      <c r="B1458" s="69">
        <v>20993772</v>
      </c>
      <c r="C1458" s="70" t="s">
        <v>1422</v>
      </c>
      <c r="D1458" s="70" t="s">
        <v>1</v>
      </c>
      <c r="E1458" s="70" t="s">
        <v>1</v>
      </c>
      <c r="F1458" s="70"/>
      <c r="G1458" s="70" t="s">
        <v>61</v>
      </c>
      <c r="H1458" s="70" t="s">
        <v>178</v>
      </c>
      <c r="I1458" s="70" t="s">
        <v>179</v>
      </c>
      <c r="J1458" s="71">
        <f>IF(OR(I1458=0,I1458=""),"unrated",VLOOKUP(I1458,MappingTables!$B$19:$C$31,2,FALSE))</f>
        <v>4</v>
      </c>
      <c r="K1458" s="72">
        <v>2312.2371520064672</v>
      </c>
      <c r="L1458" s="70">
        <v>7.4867012907215904</v>
      </c>
      <c r="M1458" s="71">
        <f>IF(L1458&lt;1,1,L1458)</f>
        <v>7.4867012907215904</v>
      </c>
      <c r="N1458" s="70" t="s">
        <v>141</v>
      </c>
      <c r="O1458" s="71">
        <f>INDEX(DurClassMapping,MATCH(M1458,MappingTables!$D$4:$D$8,-1),1)</f>
        <v>2</v>
      </c>
      <c r="P1458" s="73">
        <f>IF(M1458=$A$1,1,$M1458-INDEX(MappingTables!$E$4:$E$8,MATCH(O1458,MappingTables!$B$4:$B$8,0)))</f>
        <v>2.4867012907215908</v>
      </c>
      <c r="Q1458" s="71">
        <f>IF(B1458="",0,INDEX(ModelParameters!$D$6:$K$10,MATCH($O1458,ModelParameters!$B$6:$B$10,0),MATCH($J1458,ModelParameters!$D$5:$K$5,0)))</f>
        <v>0.025</v>
      </c>
      <c r="R1458" s="71">
        <f>IF(B1458="",0,INDEX(ModelParameters!$D$13:$K$17,MATCH($O1458,ModelParameters!$B$13:$B$17,0),MATCH($J1458,ModelParameters!$D$5:$K$5,0)))</f>
        <v>0.225</v>
      </c>
      <c r="S1458" s="160">
        <f>IF(B1458="",0,MIN(IF($N1458="Other Bond TM",ModelParameters!$N$21,1)*(P1458*Q1458+R1458),1))</f>
        <v>0.28716753226803976</v>
      </c>
      <c r="T1458" s="85">
        <f>IF(B1458="",0,$S1458*$K1458)</f>
        <v>663.99943696017752</v>
      </c>
      <c r="U1458" s="85">
        <f>IF(B1458="",0,IF(OR(H1458=MappingTables!$C$34,H1458=MappingTables!$C$35),T1458,0))</f>
        <v>0</v>
      </c>
      <c r="V1458" s="85">
        <f>IF(ISNA(IF(AND(VLOOKUP(CONCATENATE($D1458,$G1458),CSRFinput!$B:$E,4,0)=0,OR(H1458=MappingTables!$C$34,H1458=MappingTables!$C$35)),1,VLOOKUP(CONCATENATE($D1458,$G1458),CSRFinput!$B:$E,4,0))),0,IF(AND(VLOOKUP(CONCATENATE($D1458,$G1458),CSRFinput!$B:$E,4,0)=0,OR(H1458=MappingTables!$C$34,H1458=MappingTables!$C$35)),1,VLOOKUP(CONCATENATE($D1458,$G1458),CSRFinput!$B:$E,4,0)))</f>
        <v>0.054776304963434752</v>
      </c>
      <c r="W1458" s="85">
        <f>IF(B1458="",0,+$T1458*$V1458)</f>
        <v>36.371435654479656</v>
      </c>
      <c r="X1458" s="85">
        <f>IF(B1458="",0,IF(OR(H1458=MappingTables!$C$34,H1458=MappingTables!$C$35),W1458,0))</f>
        <v>0</v>
      </c>
    </row>
    <row r="1459" spans="2:24" s="0" customFormat="0" ht="15">
      <c r="B1459" s="69" t="s">
        <v>1710</v>
      </c>
      <c r="C1459" s="70" t="s">
        <v>1711</v>
      </c>
      <c r="D1459" s="70" t="s">
        <v>1</v>
      </c>
      <c r="E1459" s="70" t="s">
        <v>1</v>
      </c>
      <c r="F1459" s="70"/>
      <c r="G1459" s="70" t="s">
        <v>61</v>
      </c>
      <c r="H1459" s="70" t="s">
        <v>178</v>
      </c>
      <c r="I1459" s="70" t="s">
        <v>198</v>
      </c>
      <c r="J1459" s="71" t="str">
        <f>IF(OR(I1459=0,I1459=""),"unrated",VLOOKUP(I1459,MappingTables!$B$19:$C$31,2,FALSE))</f>
        <v>unrated</v>
      </c>
      <c r="K1459" s="72">
        <v>0.28591524479240416</v>
      </c>
      <c r="L1459" s="70">
        <v>1.5138814403095222</v>
      </c>
      <c r="M1459" s="71">
        <f>IF(L1459&lt;1,1,L1459)</f>
        <v>1.5138814403095222</v>
      </c>
      <c r="N1459" s="70" t="s">
        <v>141</v>
      </c>
      <c r="O1459" s="71">
        <f>INDEX(DurClassMapping,MATCH(M1459,MappingTables!$D$4:$D$8,-1),1)</f>
        <v>1</v>
      </c>
      <c r="P1459" s="73">
        <f>IF(M1459=$A$1,1,$M1459-INDEX(MappingTables!$E$4:$E$8,MATCH(O1459,MappingTables!$B$4:$B$8,0)))</f>
        <v>1.5138814403095222</v>
      </c>
      <c r="Q1459" s="71">
        <f>IF(B1459="",0,INDEX(ModelParameters!$D$6:$K$10,MATCH($O1459,ModelParameters!$B$6:$B$10,0),MATCH($J1459,ModelParameters!$D$5:$K$5,0)))</f>
        <v>0.03</v>
      </c>
      <c r="R1459" s="71">
        <f>IF(B1459="",0,INDEX(ModelParameters!$D$13:$K$17,MATCH($O1459,ModelParameters!$B$13:$B$17,0),MATCH($J1459,ModelParameters!$D$5:$K$5,0)))</f>
        <v>0</v>
      </c>
      <c r="S1459" s="160">
        <f>IF(B1459="",0,MIN(IF($N1459="Other Bond TM",ModelParameters!$N$21,1)*(P1459*Q1459+R1459),1))</f>
        <v>0.045416443209285664</v>
      </c>
      <c r="T1459" s="85">
        <f>IF(B1459="",0,$S1459*$K1459)</f>
        <v>0.012985253477783232</v>
      </c>
      <c r="U1459" s="85">
        <f>IF(B1459="",0,IF(OR(H1459=MappingTables!$C$34,H1459=MappingTables!$C$35),T1459,0))</f>
        <v>0</v>
      </c>
      <c r="V1459" s="85">
        <f>IF(ISNA(IF(AND(VLOOKUP(CONCATENATE($D1459,$G1459),CSRFinput!$B:$E,4,0)=0,OR(H1459=MappingTables!$C$34,H1459=MappingTables!$C$35)),1,VLOOKUP(CONCATENATE($D1459,$G1459),CSRFinput!$B:$E,4,0))),0,IF(AND(VLOOKUP(CONCATENATE($D1459,$G1459),CSRFinput!$B:$E,4,0)=0,OR(H1459=MappingTables!$C$34,H1459=MappingTables!$C$35)),1,VLOOKUP(CONCATENATE($D1459,$G1459),CSRFinput!$B:$E,4,0)))</f>
        <v>0.054776304963434752</v>
      </c>
      <c r="W1459" s="85">
        <f>IF(B1459="",0,+$T1459*$V1459)</f>
        <v>0.000711284204526556</v>
      </c>
      <c r="X1459" s="85">
        <f>IF(B1459="",0,IF(OR(H1459=MappingTables!$C$34,H1459=MappingTables!$C$35),W1459,0))</f>
        <v>0</v>
      </c>
    </row>
    <row r="1460" spans="2:24" s="0" customFormat="0" ht="15">
      <c r="B1460" s="69">
        <v>22927558</v>
      </c>
      <c r="C1460" s="70" t="s">
        <v>1712</v>
      </c>
      <c r="D1460" s="70" t="s">
        <v>1</v>
      </c>
      <c r="E1460" s="70" t="s">
        <v>1</v>
      </c>
      <c r="F1460" s="70"/>
      <c r="G1460" s="70" t="s">
        <v>61</v>
      </c>
      <c r="H1460" s="70" t="s">
        <v>178</v>
      </c>
      <c r="I1460" s="70" t="s">
        <v>188</v>
      </c>
      <c r="J1460" s="71">
        <f>IF(OR(I1460=0,I1460=""),"unrated",VLOOKUP(I1460,MappingTables!$B$19:$C$31,2,FALSE))</f>
        <v>2</v>
      </c>
      <c r="K1460" s="72">
        <v>999.20182247204336</v>
      </c>
      <c r="L1460" s="70">
        <v>0.2026811295196866</v>
      </c>
      <c r="M1460" s="71">
        <f>IF(L1460&lt;1,1,L1460)</f>
        <v>1</v>
      </c>
      <c r="N1460" s="70" t="s">
        <v>141</v>
      </c>
      <c r="O1460" s="71">
        <f>INDEX(DurClassMapping,MATCH(M1460,MappingTables!$D$4:$D$8,-1),1)</f>
        <v>1</v>
      </c>
      <c r="P1460" s="73">
        <f>IF(M1460=$A$1,1,$M1460-INDEX(MappingTables!$E$4:$E$8,MATCH(O1460,MappingTables!$B$4:$B$8,0)))</f>
        <v>1</v>
      </c>
      <c r="Q1460" s="71">
        <f>IF(B1460="",0,INDEX(ModelParameters!$D$6:$K$10,MATCH($O1460,ModelParameters!$B$6:$B$10,0),MATCH($J1460,ModelParameters!$D$5:$K$5,0)))</f>
        <v>0.013999999999999998</v>
      </c>
      <c r="R1460" s="71">
        <f>IF(B1460="",0,INDEX(ModelParameters!$D$13:$K$17,MATCH($O1460,ModelParameters!$B$13:$B$17,0),MATCH($J1460,ModelParameters!$D$5:$K$5,0)))</f>
        <v>0</v>
      </c>
      <c r="S1460" s="160">
        <f>IF(B1460="",0,MIN(IF($N1460="Other Bond TM",ModelParameters!$N$21,1)*(P1460*Q1460+R1460),1))</f>
        <v>0.013999999999999998</v>
      </c>
      <c r="T1460" s="85">
        <f>IF(B1460="",0,$S1460*$K1460)</f>
        <v>13.988825514608606</v>
      </c>
      <c r="U1460" s="85">
        <f>IF(B1460="",0,IF(OR(H1460=MappingTables!$C$34,H1460=MappingTables!$C$35),T1460,0))</f>
        <v>0</v>
      </c>
      <c r="V1460" s="85">
        <f>IF(ISNA(IF(AND(VLOOKUP(CONCATENATE($D1460,$G1460),CSRFinput!$B:$E,4,0)=0,OR(H1460=MappingTables!$C$34,H1460=MappingTables!$C$35)),1,VLOOKUP(CONCATENATE($D1460,$G1460),CSRFinput!$B:$E,4,0))),0,IF(AND(VLOOKUP(CONCATENATE($D1460,$G1460),CSRFinput!$B:$E,4,0)=0,OR(H1460=MappingTables!$C$34,H1460=MappingTables!$C$35)),1,VLOOKUP(CONCATENATE($D1460,$G1460),CSRFinput!$B:$E,4,0)))</f>
        <v>0.054776304963434752</v>
      </c>
      <c r="W1460" s="85">
        <f>IF(B1460="",0,+$T1460*$V1460)</f>
        <v>0.76625617246847808</v>
      </c>
      <c r="X1460" s="85">
        <f>IF(B1460="",0,IF(OR(H1460=MappingTables!$C$34,H1460=MappingTables!$C$35),W1460,0))</f>
        <v>0</v>
      </c>
    </row>
    <row r="1461" spans="2:24" s="0" customFormat="0" ht="15">
      <c r="B1461" s="69" t="s">
        <v>1713</v>
      </c>
      <c r="C1461" s="70" t="s">
        <v>1714</v>
      </c>
      <c r="D1461" s="70" t="s">
        <v>1</v>
      </c>
      <c r="E1461" s="70" t="s">
        <v>1</v>
      </c>
      <c r="F1461" s="70"/>
      <c r="G1461" s="70" t="s">
        <v>61</v>
      </c>
      <c r="H1461" s="70" t="s">
        <v>178</v>
      </c>
      <c r="I1461" s="70" t="s">
        <v>179</v>
      </c>
      <c r="J1461" s="71">
        <f>IF(OR(I1461=0,I1461=""),"unrated",VLOOKUP(I1461,MappingTables!$B$19:$C$31,2,FALSE))</f>
        <v>4</v>
      </c>
      <c r="K1461" s="72">
        <v>5990.8972481130656</v>
      </c>
      <c r="L1461" s="70">
        <v>0.11232590139355436</v>
      </c>
      <c r="M1461" s="71">
        <f>IF(L1461&lt;1,1,L1461)</f>
        <v>1</v>
      </c>
      <c r="N1461" s="70" t="s">
        <v>141</v>
      </c>
      <c r="O1461" s="71">
        <f>INDEX(DurClassMapping,MATCH(M1461,MappingTables!$D$4:$D$8,-1),1)</f>
        <v>1</v>
      </c>
      <c r="P1461" s="73">
        <f>IF(M1461=$A$1,1,$M1461-INDEX(MappingTables!$E$4:$E$8,MATCH(O1461,MappingTables!$B$4:$B$8,0)))</f>
        <v>1</v>
      </c>
      <c r="Q1461" s="71">
        <f>IF(B1461="",0,INDEX(ModelParameters!$D$6:$K$10,MATCH($O1461,ModelParameters!$B$6:$B$10,0),MATCH($J1461,ModelParameters!$D$5:$K$5,0)))</f>
        <v>0.045</v>
      </c>
      <c r="R1461" s="71">
        <f>IF(B1461="",0,INDEX(ModelParameters!$D$13:$K$17,MATCH($O1461,ModelParameters!$B$13:$B$17,0),MATCH($J1461,ModelParameters!$D$5:$K$5,0)))</f>
        <v>0</v>
      </c>
      <c r="S1461" s="160">
        <f>IF(B1461="",0,MIN(IF($N1461="Other Bond TM",ModelParameters!$N$21,1)*(P1461*Q1461+R1461),1))</f>
        <v>0.045</v>
      </c>
      <c r="T1461" s="85">
        <f>IF(B1461="",0,$S1461*$K1461)</f>
        <v>269.59037616508796</v>
      </c>
      <c r="U1461" s="85">
        <f>IF(B1461="",0,IF(OR(H1461=MappingTables!$C$34,H1461=MappingTables!$C$35),T1461,0))</f>
        <v>0</v>
      </c>
      <c r="V1461" s="85">
        <f>IF(ISNA(IF(AND(VLOOKUP(CONCATENATE($D1461,$G1461),CSRFinput!$B:$E,4,0)=0,OR(H1461=MappingTables!$C$34,H1461=MappingTables!$C$35)),1,VLOOKUP(CONCATENATE($D1461,$G1461),CSRFinput!$B:$E,4,0))),0,IF(AND(VLOOKUP(CONCATENATE($D1461,$G1461),CSRFinput!$B:$E,4,0)=0,OR(H1461=MappingTables!$C$34,H1461=MappingTables!$C$35)),1,VLOOKUP(CONCATENATE($D1461,$G1461),CSRFinput!$B:$E,4,0)))</f>
        <v>0.054776304963434752</v>
      </c>
      <c r="W1461" s="85">
        <f>IF(B1461="",0,+$T1461*$V1461)</f>
        <v>14.76716466002595</v>
      </c>
      <c r="X1461" s="85">
        <f>IF(B1461="",0,IF(OR(H1461=MappingTables!$C$34,H1461=MappingTables!$C$35),W1461,0))</f>
        <v>0</v>
      </c>
    </row>
    <row r="1462" spans="2:24" s="0" customFormat="0" ht="15">
      <c r="B1462" s="69">
        <v>24189706</v>
      </c>
      <c r="C1462" s="70" t="s">
        <v>1634</v>
      </c>
      <c r="D1462" s="70" t="s">
        <v>1</v>
      </c>
      <c r="E1462" s="70" t="s">
        <v>1</v>
      </c>
      <c r="F1462" s="70"/>
      <c r="G1462" s="70" t="s">
        <v>61</v>
      </c>
      <c r="H1462" s="70" t="s">
        <v>178</v>
      </c>
      <c r="I1462" s="70" t="s">
        <v>181</v>
      </c>
      <c r="J1462" s="71">
        <f>IF(OR(I1462=0,I1462=""),"unrated",VLOOKUP(I1462,MappingTables!$B$19:$C$31,2,FALSE))</f>
        <v>3</v>
      </c>
      <c r="K1462" s="72">
        <v>917.76696779909328</v>
      </c>
      <c r="L1462" s="70">
        <v>0.15616684393347088</v>
      </c>
      <c r="M1462" s="71">
        <f>IF(L1462&lt;1,1,L1462)</f>
        <v>1</v>
      </c>
      <c r="N1462" s="70" t="s">
        <v>141</v>
      </c>
      <c r="O1462" s="71">
        <f>INDEX(DurClassMapping,MATCH(M1462,MappingTables!$D$4:$D$8,-1),1)</f>
        <v>1</v>
      </c>
      <c r="P1462" s="73">
        <f>IF(M1462=$A$1,1,$M1462-INDEX(MappingTables!$E$4:$E$8,MATCH(O1462,MappingTables!$B$4:$B$8,0)))</f>
        <v>1</v>
      </c>
      <c r="Q1462" s="71">
        <f>IF(B1462="",0,INDEX(ModelParameters!$D$6:$K$10,MATCH($O1462,ModelParameters!$B$6:$B$10,0),MATCH($J1462,ModelParameters!$D$5:$K$5,0)))</f>
        <v>0.025</v>
      </c>
      <c r="R1462" s="71">
        <f>IF(B1462="",0,INDEX(ModelParameters!$D$13:$K$17,MATCH($O1462,ModelParameters!$B$13:$B$17,0),MATCH($J1462,ModelParameters!$D$5:$K$5,0)))</f>
        <v>0</v>
      </c>
      <c r="S1462" s="160">
        <f>IF(B1462="",0,MIN(IF($N1462="Other Bond TM",ModelParameters!$N$21,1)*(P1462*Q1462+R1462),1))</f>
        <v>0.025</v>
      </c>
      <c r="T1462" s="85">
        <f>IF(B1462="",0,$S1462*$K1462)</f>
        <v>22.944174194977332</v>
      </c>
      <c r="U1462" s="85">
        <f>IF(B1462="",0,IF(OR(H1462=MappingTables!$C$34,H1462=MappingTables!$C$35),T1462,0))</f>
        <v>0</v>
      </c>
      <c r="V1462" s="85">
        <f>IF(ISNA(IF(AND(VLOOKUP(CONCATENATE($D1462,$G1462),CSRFinput!$B:$E,4,0)=0,OR(H1462=MappingTables!$C$34,H1462=MappingTables!$C$35)),1,VLOOKUP(CONCATENATE($D1462,$G1462),CSRFinput!$B:$E,4,0))),0,IF(AND(VLOOKUP(CONCATENATE($D1462,$G1462),CSRFinput!$B:$E,4,0)=0,OR(H1462=MappingTables!$C$34,H1462=MappingTables!$C$35)),1,VLOOKUP(CONCATENATE($D1462,$G1462),CSRFinput!$B:$E,4,0)))</f>
        <v>0.054776304963434752</v>
      </c>
      <c r="W1462" s="85">
        <f>IF(B1462="",0,+$T1462*$V1462)</f>
        <v>1.2567970828382484</v>
      </c>
      <c r="X1462" s="85">
        <f>IF(B1462="",0,IF(OR(H1462=MappingTables!$C$34,H1462=MappingTables!$C$35),W1462,0))</f>
        <v>0</v>
      </c>
    </row>
    <row r="1463" spans="2:24" s="0" customFormat="0" ht="15">
      <c r="B1463" s="69">
        <v>18006396</v>
      </c>
      <c r="C1463" s="70" t="s">
        <v>1715</v>
      </c>
      <c r="D1463" s="70" t="s">
        <v>1</v>
      </c>
      <c r="E1463" s="70" t="s">
        <v>1</v>
      </c>
      <c r="F1463" s="70"/>
      <c r="G1463" s="70" t="s">
        <v>61</v>
      </c>
      <c r="H1463" s="70" t="s">
        <v>178</v>
      </c>
      <c r="I1463" s="70" t="s">
        <v>179</v>
      </c>
      <c r="J1463" s="71">
        <f>IF(OR(I1463=0,I1463=""),"unrated",VLOOKUP(I1463,MappingTables!$B$19:$C$31,2,FALSE))</f>
        <v>4</v>
      </c>
      <c r="K1463" s="72">
        <v>53.72721625250344</v>
      </c>
      <c r="L1463" s="70">
        <v>0.78097942025212832</v>
      </c>
      <c r="M1463" s="71">
        <f>IF(L1463&lt;1,1,L1463)</f>
        <v>1</v>
      </c>
      <c r="N1463" s="70" t="s">
        <v>141</v>
      </c>
      <c r="O1463" s="71">
        <f>INDEX(DurClassMapping,MATCH(M1463,MappingTables!$D$4:$D$8,-1),1)</f>
        <v>1</v>
      </c>
      <c r="P1463" s="73">
        <f>IF(M1463=$A$1,1,$M1463-INDEX(MappingTables!$E$4:$E$8,MATCH(O1463,MappingTables!$B$4:$B$8,0)))</f>
        <v>1</v>
      </c>
      <c r="Q1463" s="71">
        <f>IF(B1463="",0,INDEX(ModelParameters!$D$6:$K$10,MATCH($O1463,ModelParameters!$B$6:$B$10,0),MATCH($J1463,ModelParameters!$D$5:$K$5,0)))</f>
        <v>0.045</v>
      </c>
      <c r="R1463" s="71">
        <f>IF(B1463="",0,INDEX(ModelParameters!$D$13:$K$17,MATCH($O1463,ModelParameters!$B$13:$B$17,0),MATCH($J1463,ModelParameters!$D$5:$K$5,0)))</f>
        <v>0</v>
      </c>
      <c r="S1463" s="160">
        <f>IF(B1463="",0,MIN(IF($N1463="Other Bond TM",ModelParameters!$N$21,1)*(P1463*Q1463+R1463),1))</f>
        <v>0.045</v>
      </c>
      <c r="T1463" s="85">
        <f>IF(B1463="",0,$S1463*$K1463)</f>
        <v>2.4177247313626548</v>
      </c>
      <c r="U1463" s="85">
        <f>IF(B1463="",0,IF(OR(H1463=MappingTables!$C$34,H1463=MappingTables!$C$35),T1463,0))</f>
        <v>0</v>
      </c>
      <c r="V1463" s="85">
        <f>IF(ISNA(IF(AND(VLOOKUP(CONCATENATE($D1463,$G1463),CSRFinput!$B:$E,4,0)=0,OR(H1463=MappingTables!$C$34,H1463=MappingTables!$C$35)),1,VLOOKUP(CONCATENATE($D1463,$G1463),CSRFinput!$B:$E,4,0))),0,IF(AND(VLOOKUP(CONCATENATE($D1463,$G1463),CSRFinput!$B:$E,4,0)=0,OR(H1463=MappingTables!$C$34,H1463=MappingTables!$C$35)),1,VLOOKUP(CONCATENATE($D1463,$G1463),CSRFinput!$B:$E,4,0)))</f>
        <v>0.054776304963434752</v>
      </c>
      <c r="W1463" s="85">
        <f>IF(B1463="",0,+$T1463*$V1463)</f>
        <v>0.13243402720275912</v>
      </c>
      <c r="X1463" s="85">
        <f>IF(B1463="",0,IF(OR(H1463=MappingTables!$C$34,H1463=MappingTables!$C$35),W1463,0))</f>
        <v>0</v>
      </c>
    </row>
    <row r="1464" spans="2:24" s="0" customFormat="0" ht="15">
      <c r="B1464" s="69">
        <v>4876675</v>
      </c>
      <c r="C1464" s="70" t="s">
        <v>1716</v>
      </c>
      <c r="D1464" s="70" t="s">
        <v>1</v>
      </c>
      <c r="E1464" s="70" t="s">
        <v>1</v>
      </c>
      <c r="F1464" s="70"/>
      <c r="G1464" s="70" t="s">
        <v>61</v>
      </c>
      <c r="H1464" s="70" t="s">
        <v>178</v>
      </c>
      <c r="I1464" s="70" t="s">
        <v>184</v>
      </c>
      <c r="J1464" s="71">
        <f>IF(OR(I1464=0,I1464=""),"unrated",VLOOKUP(I1464,MappingTables!$B$19:$C$31,2,FALSE))</f>
        <v>5</v>
      </c>
      <c r="K1464" s="72">
        <v>35116.878815803284</v>
      </c>
      <c r="L1464" s="70">
        <v>11.507647620516658</v>
      </c>
      <c r="M1464" s="71">
        <f>IF(L1464&lt;1,1,L1464)</f>
        <v>11.507647620516658</v>
      </c>
      <c r="N1464" s="70" t="s">
        <v>141</v>
      </c>
      <c r="O1464" s="71">
        <f>INDEX(DurClassMapping,MATCH(M1464,MappingTables!$D$4:$D$8,-1),1)</f>
        <v>3</v>
      </c>
      <c r="P1464" s="73">
        <f>IF(M1464=$A$1,1,$M1464-INDEX(MappingTables!$E$4:$E$8,MATCH(O1464,MappingTables!$B$4:$B$8,0)))</f>
        <v>1.5076476205166572</v>
      </c>
      <c r="Q1464" s="71">
        <f>IF(B1464="",0,INDEX(ModelParameters!$D$6:$K$10,MATCH($O1464,ModelParameters!$B$6:$B$10,0),MATCH($J1464,ModelParameters!$D$5:$K$5,0)))</f>
        <v>0.005</v>
      </c>
      <c r="R1464" s="71">
        <f>IF(B1464="",0,INDEX(ModelParameters!$D$13:$K$17,MATCH($O1464,ModelParameters!$B$13:$B$17,0),MATCH($J1464,ModelParameters!$D$5:$K$5,0)))</f>
        <v>0.585</v>
      </c>
      <c r="S1464" s="160">
        <f>IF(B1464="",0,MIN(IF($N1464="Other Bond TM",ModelParameters!$N$21,1)*(P1464*Q1464+R1464),1))</f>
        <v>0.5925382381025832</v>
      </c>
      <c r="T1464" s="85">
        <f>IF(B1464="",0,$S1464*$K1464)</f>
        <v>20808.093501178004</v>
      </c>
      <c r="U1464" s="85">
        <f>IF(B1464="",0,IF(OR(H1464=MappingTables!$C$34,H1464=MappingTables!$C$35),T1464,0))</f>
        <v>0</v>
      </c>
      <c r="V1464" s="85">
        <f>IF(ISNA(IF(AND(VLOOKUP(CONCATENATE($D1464,$G1464),CSRFinput!$B:$E,4,0)=0,OR(H1464=MappingTables!$C$34,H1464=MappingTables!$C$35)),1,VLOOKUP(CONCATENATE($D1464,$G1464),CSRFinput!$B:$E,4,0))),0,IF(AND(VLOOKUP(CONCATENATE($D1464,$G1464),CSRFinput!$B:$E,4,0)=0,OR(H1464=MappingTables!$C$34,H1464=MappingTables!$C$35)),1,VLOOKUP(CONCATENATE($D1464,$G1464),CSRFinput!$B:$E,4,0)))</f>
        <v>0.054776304963434752</v>
      </c>
      <c r="W1464" s="85">
        <f>IF(B1464="",0,+$T1464*$V1464)</f>
        <v>1139.7904753281912</v>
      </c>
      <c r="X1464" s="85">
        <f>IF(B1464="",0,IF(OR(H1464=MappingTables!$C$34,H1464=MappingTables!$C$35),W1464,0))</f>
        <v>0</v>
      </c>
    </row>
    <row r="1465" spans="2:24" s="0" customFormat="0" ht="15">
      <c r="B1465" s="69" t="s">
        <v>1717</v>
      </c>
      <c r="C1465" s="70" t="s">
        <v>1718</v>
      </c>
      <c r="D1465" s="70" t="s">
        <v>1</v>
      </c>
      <c r="E1465" s="70" t="s">
        <v>1</v>
      </c>
      <c r="F1465" s="70"/>
      <c r="G1465" s="70" t="s">
        <v>61</v>
      </c>
      <c r="H1465" s="70" t="s">
        <v>178</v>
      </c>
      <c r="I1465" s="70" t="s">
        <v>181</v>
      </c>
      <c r="J1465" s="71">
        <f>IF(OR(I1465=0,I1465=""),"unrated",VLOOKUP(I1465,MappingTables!$B$19:$C$31,2,FALSE))</f>
        <v>3</v>
      </c>
      <c r="K1465" s="72">
        <v>1402.0484928512404</v>
      </c>
      <c r="L1465" s="70">
        <v>3.5799100107273452</v>
      </c>
      <c r="M1465" s="71">
        <f>IF(L1465&lt;1,1,L1465)</f>
        <v>3.5799100107273452</v>
      </c>
      <c r="N1465" s="70" t="s">
        <v>141</v>
      </c>
      <c r="O1465" s="71">
        <f>INDEX(DurClassMapping,MATCH(M1465,MappingTables!$D$4:$D$8,-1),1)</f>
        <v>1</v>
      </c>
      <c r="P1465" s="73">
        <f>IF(M1465=$A$1,1,$M1465-INDEX(MappingTables!$E$4:$E$8,MATCH(O1465,MappingTables!$B$4:$B$8,0)))</f>
        <v>3.5799100107273452</v>
      </c>
      <c r="Q1465" s="71">
        <f>IF(B1465="",0,INDEX(ModelParameters!$D$6:$K$10,MATCH($O1465,ModelParameters!$B$6:$B$10,0),MATCH($J1465,ModelParameters!$D$5:$K$5,0)))</f>
        <v>0.025</v>
      </c>
      <c r="R1465" s="71">
        <f>IF(B1465="",0,INDEX(ModelParameters!$D$13:$K$17,MATCH($O1465,ModelParameters!$B$13:$B$17,0),MATCH($J1465,ModelParameters!$D$5:$K$5,0)))</f>
        <v>0</v>
      </c>
      <c r="S1465" s="160">
        <f>IF(B1465="",0,MIN(IF($N1465="Other Bond TM",ModelParameters!$N$21,1)*(P1465*Q1465+R1465),1))</f>
        <v>0.089497750268183632</v>
      </c>
      <c r="T1465" s="85">
        <f>IF(B1465="",0,$S1465*$K1465)</f>
        <v>125.48018587708354</v>
      </c>
      <c r="U1465" s="85">
        <f>IF(B1465="",0,IF(OR(H1465=MappingTables!$C$34,H1465=MappingTables!$C$35),T1465,0))</f>
        <v>0</v>
      </c>
      <c r="V1465" s="85">
        <f>IF(ISNA(IF(AND(VLOOKUP(CONCATENATE($D1465,$G1465),CSRFinput!$B:$E,4,0)=0,OR(H1465=MappingTables!$C$34,H1465=MappingTables!$C$35)),1,VLOOKUP(CONCATENATE($D1465,$G1465),CSRFinput!$B:$E,4,0))),0,IF(AND(VLOOKUP(CONCATENATE($D1465,$G1465),CSRFinput!$B:$E,4,0)=0,OR(H1465=MappingTables!$C$34,H1465=MappingTables!$C$35)),1,VLOOKUP(CONCATENATE($D1465,$G1465),CSRFinput!$B:$E,4,0)))</f>
        <v>0.054776304963434752</v>
      </c>
      <c r="W1465" s="85">
        <f>IF(B1465="",0,+$T1465*$V1465)</f>
        <v>6.8733409284716072</v>
      </c>
      <c r="X1465" s="85">
        <f>IF(B1465="",0,IF(OR(H1465=MappingTables!$C$34,H1465=MappingTables!$C$35),W1465,0))</f>
        <v>0</v>
      </c>
    </row>
    <row r="1466" spans="2:24" s="0" customFormat="0" ht="15">
      <c r="B1466" s="69" t="s">
        <v>1719</v>
      </c>
      <c r="C1466" s="70" t="s">
        <v>1720</v>
      </c>
      <c r="D1466" s="70" t="s">
        <v>1</v>
      </c>
      <c r="E1466" s="70" t="s">
        <v>1</v>
      </c>
      <c r="F1466" s="70"/>
      <c r="G1466" s="70" t="s">
        <v>61</v>
      </c>
      <c r="H1466" s="70" t="s">
        <v>178</v>
      </c>
      <c r="I1466" s="70" t="s">
        <v>179</v>
      </c>
      <c r="J1466" s="71">
        <f>IF(OR(I1466=0,I1466=""),"unrated",VLOOKUP(I1466,MappingTables!$B$19:$C$31,2,FALSE))</f>
        <v>4</v>
      </c>
      <c r="K1466" s="72">
        <v>621.3601115721556</v>
      </c>
      <c r="L1466" s="70">
        <v>1.9853907846970788</v>
      </c>
      <c r="M1466" s="71">
        <f>IF(L1466&lt;1,1,L1466)</f>
        <v>1.9853907846970788</v>
      </c>
      <c r="N1466" s="70" t="s">
        <v>141</v>
      </c>
      <c r="O1466" s="71">
        <f>INDEX(DurClassMapping,MATCH(M1466,MappingTables!$D$4:$D$8,-1),1)</f>
        <v>1</v>
      </c>
      <c r="P1466" s="73">
        <f>IF(M1466=$A$1,1,$M1466-INDEX(MappingTables!$E$4:$E$8,MATCH(O1466,MappingTables!$B$4:$B$8,0)))</f>
        <v>1.9853907846970788</v>
      </c>
      <c r="Q1466" s="71">
        <f>IF(B1466="",0,INDEX(ModelParameters!$D$6:$K$10,MATCH($O1466,ModelParameters!$B$6:$B$10,0),MATCH($J1466,ModelParameters!$D$5:$K$5,0)))</f>
        <v>0.045</v>
      </c>
      <c r="R1466" s="71">
        <f>IF(B1466="",0,INDEX(ModelParameters!$D$13:$K$17,MATCH($O1466,ModelParameters!$B$13:$B$17,0),MATCH($J1466,ModelParameters!$D$5:$K$5,0)))</f>
        <v>0</v>
      </c>
      <c r="S1466" s="160">
        <f>IF(B1466="",0,MIN(IF($N1466="Other Bond TM",ModelParameters!$N$21,1)*(P1466*Q1466+R1466),1))</f>
        <v>0.089342585311368544</v>
      </c>
      <c r="T1466" s="85">
        <f>IF(B1466="",0,$S1466*$K1466)</f>
        <v>55.513918777216784</v>
      </c>
      <c r="U1466" s="85">
        <f>IF(B1466="",0,IF(OR(H1466=MappingTables!$C$34,H1466=MappingTables!$C$35),T1466,0))</f>
        <v>0</v>
      </c>
      <c r="V1466" s="85">
        <f>IF(ISNA(IF(AND(VLOOKUP(CONCATENATE($D1466,$G1466),CSRFinput!$B:$E,4,0)=0,OR(H1466=MappingTables!$C$34,H1466=MappingTables!$C$35)),1,VLOOKUP(CONCATENATE($D1466,$G1466),CSRFinput!$B:$E,4,0))),0,IF(AND(VLOOKUP(CONCATENATE($D1466,$G1466),CSRFinput!$B:$E,4,0)=0,OR(H1466=MappingTables!$C$34,H1466=MappingTables!$C$35)),1,VLOOKUP(CONCATENATE($D1466,$G1466),CSRFinput!$B:$E,4,0)))</f>
        <v>0.054776304963434752</v>
      </c>
      <c r="W1466" s="85">
        <f>IF(B1466="",0,+$T1466*$V1466)</f>
        <v>3.0408473446561736</v>
      </c>
      <c r="X1466" s="85">
        <f>IF(B1466="",0,IF(OR(H1466=MappingTables!$C$34,H1466=MappingTables!$C$35),W1466,0))</f>
        <v>0</v>
      </c>
    </row>
    <row r="1467" spans="2:24" s="0" customFormat="0" ht="15">
      <c r="B1467" s="69">
        <v>21085220</v>
      </c>
      <c r="C1467" s="70" t="s">
        <v>1721</v>
      </c>
      <c r="D1467" s="70" t="s">
        <v>1</v>
      </c>
      <c r="E1467" s="70" t="s">
        <v>1</v>
      </c>
      <c r="F1467" s="70"/>
      <c r="G1467" s="70" t="s">
        <v>61</v>
      </c>
      <c r="H1467" s="70" t="s">
        <v>178</v>
      </c>
      <c r="I1467" s="70" t="s">
        <v>181</v>
      </c>
      <c r="J1467" s="71">
        <f>IF(OR(I1467=0,I1467=""),"unrated",VLOOKUP(I1467,MappingTables!$B$19:$C$31,2,FALSE))</f>
        <v>3</v>
      </c>
      <c r="K1467" s="72">
        <v>9890.4338805314176</v>
      </c>
      <c r="L1467" s="70">
        <v>4.954045306212488</v>
      </c>
      <c r="M1467" s="71">
        <f>IF(L1467&lt;1,1,L1467)</f>
        <v>4.954045306212488</v>
      </c>
      <c r="N1467" s="70" t="s">
        <v>141</v>
      </c>
      <c r="O1467" s="71">
        <f>INDEX(DurClassMapping,MATCH(M1467,MappingTables!$D$4:$D$8,-1),1)</f>
        <v>1</v>
      </c>
      <c r="P1467" s="73">
        <f>IF(M1467=$A$1,1,$M1467-INDEX(MappingTables!$E$4:$E$8,MATCH(O1467,MappingTables!$B$4:$B$8,0)))</f>
        <v>4.954045306212488</v>
      </c>
      <c r="Q1467" s="71">
        <f>IF(B1467="",0,INDEX(ModelParameters!$D$6:$K$10,MATCH($O1467,ModelParameters!$B$6:$B$10,0),MATCH($J1467,ModelParameters!$D$5:$K$5,0)))</f>
        <v>0.025</v>
      </c>
      <c r="R1467" s="71">
        <f>IF(B1467="",0,INDEX(ModelParameters!$D$13:$K$17,MATCH($O1467,ModelParameters!$B$13:$B$17,0),MATCH($J1467,ModelParameters!$D$5:$K$5,0)))</f>
        <v>0</v>
      </c>
      <c r="S1467" s="160">
        <f>IF(B1467="",0,MIN(IF($N1467="Other Bond TM",ModelParameters!$N$21,1)*(P1467*Q1467+R1467),1))</f>
        <v>0.1238511326553122</v>
      </c>
      <c r="T1467" s="85">
        <f>IF(B1467="",0,$S1467*$K1467)</f>
        <v>1224.941438556291</v>
      </c>
      <c r="U1467" s="85">
        <f>IF(B1467="",0,IF(OR(H1467=MappingTables!$C$34,H1467=MappingTables!$C$35),T1467,0))</f>
        <v>0</v>
      </c>
      <c r="V1467" s="85">
        <f>IF(ISNA(IF(AND(VLOOKUP(CONCATENATE($D1467,$G1467),CSRFinput!$B:$E,4,0)=0,OR(H1467=MappingTables!$C$34,H1467=MappingTables!$C$35)),1,VLOOKUP(CONCATENATE($D1467,$G1467),CSRFinput!$B:$E,4,0))),0,IF(AND(VLOOKUP(CONCATENATE($D1467,$G1467),CSRFinput!$B:$E,4,0)=0,OR(H1467=MappingTables!$C$34,H1467=MappingTables!$C$35)),1,VLOOKUP(CONCATENATE($D1467,$G1467),CSRFinput!$B:$E,4,0)))</f>
        <v>0.054776304963434752</v>
      </c>
      <c r="W1467" s="85">
        <f>IF(B1467="",0,+$T1467*$V1467)</f>
        <v>67.097765800707864</v>
      </c>
      <c r="X1467" s="85">
        <f>IF(B1467="",0,IF(OR(H1467=MappingTables!$C$34,H1467=MappingTables!$C$35),W1467,0))</f>
        <v>0</v>
      </c>
    </row>
    <row r="1468" spans="2:24" s="0" customFormat="0" ht="15">
      <c r="B1468" s="69" t="s">
        <v>1308</v>
      </c>
      <c r="C1468" s="70" t="s">
        <v>1309</v>
      </c>
      <c r="D1468" s="70" t="s">
        <v>1</v>
      </c>
      <c r="E1468" s="70" t="s">
        <v>1</v>
      </c>
      <c r="F1468" s="70"/>
      <c r="G1468" s="70" t="s">
        <v>61</v>
      </c>
      <c r="H1468" s="70" t="s">
        <v>178</v>
      </c>
      <c r="I1468" s="70" t="s">
        <v>204</v>
      </c>
      <c r="J1468" s="71">
        <f>IF(OR(I1468=0,I1468=""),"unrated",VLOOKUP(I1468,MappingTables!$B$19:$C$31,2,FALSE))</f>
        <v>6</v>
      </c>
      <c r="K1468" s="72">
        <v>7751.9031558897632</v>
      </c>
      <c r="L1468" s="70">
        <v>1.3476603429629644</v>
      </c>
      <c r="M1468" s="71">
        <f>IF(L1468&lt;1,1,L1468)</f>
        <v>1.3476603429629644</v>
      </c>
      <c r="N1468" s="70" t="s">
        <v>141</v>
      </c>
      <c r="O1468" s="71">
        <f>INDEX(DurClassMapping,MATCH(M1468,MappingTables!$D$4:$D$8,-1),1)</f>
        <v>1</v>
      </c>
      <c r="P1468" s="73">
        <f>IF(M1468=$A$1,1,$M1468-INDEX(MappingTables!$E$4:$E$8,MATCH(O1468,MappingTables!$B$4:$B$8,0)))</f>
        <v>1.3476603429629644</v>
      </c>
      <c r="Q1468" s="71">
        <f>IF(B1468="",0,INDEX(ModelParameters!$D$6:$K$10,MATCH($O1468,ModelParameters!$B$6:$B$10,0),MATCH($J1468,ModelParameters!$D$5:$K$5,0)))</f>
        <v>0.075</v>
      </c>
      <c r="R1468" s="71">
        <f>IF(B1468="",0,INDEX(ModelParameters!$D$13:$K$17,MATCH($O1468,ModelParameters!$B$13:$B$17,0),MATCH($J1468,ModelParameters!$D$5:$K$5,0)))</f>
        <v>0</v>
      </c>
      <c r="S1468" s="160">
        <f>IF(B1468="",0,MIN(IF($N1468="Other Bond TM",ModelParameters!$N$21,1)*(P1468*Q1468+R1468),1))</f>
        <v>0.10107452572222232</v>
      </c>
      <c r="T1468" s="85">
        <f>IF(B1468="",0,$S1468*$K1468)</f>
        <v>783.51993492615616</v>
      </c>
      <c r="U1468" s="85">
        <f>IF(B1468="",0,IF(OR(H1468=MappingTables!$C$34,H1468=MappingTables!$C$35),T1468,0))</f>
        <v>0</v>
      </c>
      <c r="V1468" s="85">
        <f>IF(ISNA(IF(AND(VLOOKUP(CONCATENATE($D1468,$G1468),CSRFinput!$B:$E,4,0)=0,OR(H1468=MappingTables!$C$34,H1468=MappingTables!$C$35)),1,VLOOKUP(CONCATENATE($D1468,$G1468),CSRFinput!$B:$E,4,0))),0,IF(AND(VLOOKUP(CONCATENATE($D1468,$G1468),CSRFinput!$B:$E,4,0)=0,OR(H1468=MappingTables!$C$34,H1468=MappingTables!$C$35)),1,VLOOKUP(CONCATENATE($D1468,$G1468),CSRFinput!$B:$E,4,0)))</f>
        <v>0.054776304963434752</v>
      </c>
      <c r="W1468" s="85">
        <f>IF(B1468="",0,+$T1468*$V1468)</f>
        <v>42.918326900445688</v>
      </c>
      <c r="X1468" s="85">
        <f>IF(B1468="",0,IF(OR(H1468=MappingTables!$C$34,H1468=MappingTables!$C$35),W1468,0))</f>
        <v>0</v>
      </c>
    </row>
    <row r="1469" spans="2:24" s="0" customFormat="0" ht="15">
      <c r="B1469" s="69">
        <v>20813003</v>
      </c>
      <c r="C1469" s="70" t="s">
        <v>272</v>
      </c>
      <c r="D1469" s="70" t="s">
        <v>1</v>
      </c>
      <c r="E1469" s="70" t="s">
        <v>1</v>
      </c>
      <c r="F1469" s="70"/>
      <c r="G1469" s="70" t="s">
        <v>61</v>
      </c>
      <c r="H1469" s="70" t="s">
        <v>178</v>
      </c>
      <c r="I1469" s="70" t="s">
        <v>188</v>
      </c>
      <c r="J1469" s="71">
        <f>IF(OR(I1469=0,I1469=""),"unrated",VLOOKUP(I1469,MappingTables!$B$19:$C$31,2,FALSE))</f>
        <v>2</v>
      </c>
      <c r="K1469" s="72">
        <v>4130.1990454593096</v>
      </c>
      <c r="L1469" s="70">
        <v>3.53852480866603</v>
      </c>
      <c r="M1469" s="71">
        <f>IF(L1469&lt;1,1,L1469)</f>
        <v>3.53852480866603</v>
      </c>
      <c r="N1469" s="70" t="s">
        <v>141</v>
      </c>
      <c r="O1469" s="71">
        <f>INDEX(DurClassMapping,MATCH(M1469,MappingTables!$D$4:$D$8,-1),1)</f>
        <v>1</v>
      </c>
      <c r="P1469" s="73">
        <f>IF(M1469=$A$1,1,$M1469-INDEX(MappingTables!$E$4:$E$8,MATCH(O1469,MappingTables!$B$4:$B$8,0)))</f>
        <v>3.53852480866603</v>
      </c>
      <c r="Q1469" s="71">
        <f>IF(B1469="",0,INDEX(ModelParameters!$D$6:$K$10,MATCH($O1469,ModelParameters!$B$6:$B$10,0),MATCH($J1469,ModelParameters!$D$5:$K$5,0)))</f>
        <v>0.013999999999999998</v>
      </c>
      <c r="R1469" s="71">
        <f>IF(B1469="",0,INDEX(ModelParameters!$D$13:$K$17,MATCH($O1469,ModelParameters!$B$13:$B$17,0),MATCH($J1469,ModelParameters!$D$5:$K$5,0)))</f>
        <v>0</v>
      </c>
      <c r="S1469" s="160">
        <f>IF(B1469="",0,MIN(IF($N1469="Other Bond TM",ModelParameters!$N$21,1)*(P1469*Q1469+R1469),1))</f>
        <v>0.049539347321324416</v>
      </c>
      <c r="T1469" s="85">
        <f>IF(B1469="",0,$S1469*$K1469)</f>
        <v>204.60736501921132</v>
      </c>
      <c r="U1469" s="85">
        <f>IF(B1469="",0,IF(OR(H1469=MappingTables!$C$34,H1469=MappingTables!$C$35),T1469,0))</f>
        <v>0</v>
      </c>
      <c r="V1469" s="85">
        <f>IF(ISNA(IF(AND(VLOOKUP(CONCATENATE($D1469,$G1469),CSRFinput!$B:$E,4,0)=0,OR(H1469=MappingTables!$C$34,H1469=MappingTables!$C$35)),1,VLOOKUP(CONCATENATE($D1469,$G1469),CSRFinput!$B:$E,4,0))),0,IF(AND(VLOOKUP(CONCATENATE($D1469,$G1469),CSRFinput!$B:$E,4,0)=0,OR(H1469=MappingTables!$C$34,H1469=MappingTables!$C$35)),1,VLOOKUP(CONCATENATE($D1469,$G1469),CSRFinput!$B:$E,4,0)))</f>
        <v>0.054776304963434752</v>
      </c>
      <c r="W1469" s="85">
        <f>IF(B1469="",0,+$T1469*$V1469)</f>
        <v>11.20763542405713</v>
      </c>
      <c r="X1469" s="85">
        <f>IF(B1469="",0,IF(OR(H1469=MappingTables!$C$34,H1469=MappingTables!$C$35),W1469,0))</f>
        <v>0</v>
      </c>
    </row>
    <row r="1470" spans="2:24" s="0" customFormat="0" ht="15">
      <c r="B1470" s="69" t="s">
        <v>230</v>
      </c>
      <c r="C1470" s="70" t="s">
        <v>231</v>
      </c>
      <c r="D1470" s="70" t="s">
        <v>1</v>
      </c>
      <c r="E1470" s="70" t="s">
        <v>1</v>
      </c>
      <c r="F1470" s="70"/>
      <c r="G1470" s="70" t="s">
        <v>61</v>
      </c>
      <c r="H1470" s="70" t="s">
        <v>178</v>
      </c>
      <c r="I1470" s="70" t="s">
        <v>220</v>
      </c>
      <c r="J1470" s="71">
        <f>IF(OR(I1470=0,I1470=""),"unrated",VLOOKUP(I1470,MappingTables!$B$19:$C$31,2,FALSE))</f>
        <v>1</v>
      </c>
      <c r="K1470" s="72">
        <v>25345.279716249404</v>
      </c>
      <c r="L1470" s="70">
        <v>2.4879963678827292</v>
      </c>
      <c r="M1470" s="71">
        <f>IF(L1470&lt;1,1,L1470)</f>
        <v>2.4879963678827292</v>
      </c>
      <c r="N1470" s="70" t="s">
        <v>141</v>
      </c>
      <c r="O1470" s="71">
        <f>INDEX(DurClassMapping,MATCH(M1470,MappingTables!$D$4:$D$8,-1),1)</f>
        <v>1</v>
      </c>
      <c r="P1470" s="73">
        <f>IF(M1470=$A$1,1,$M1470-INDEX(MappingTables!$E$4:$E$8,MATCH(O1470,MappingTables!$B$4:$B$8,0)))</f>
        <v>2.4879963678827292</v>
      </c>
      <c r="Q1470" s="71">
        <f>IF(B1470="",0,INDEX(ModelParameters!$D$6:$K$10,MATCH($O1470,ModelParameters!$B$6:$B$10,0),MATCH($J1470,ModelParameters!$D$5:$K$5,0)))</f>
        <v>0.011000000000000002</v>
      </c>
      <c r="R1470" s="71">
        <f>IF(B1470="",0,INDEX(ModelParameters!$D$13:$K$17,MATCH($O1470,ModelParameters!$B$13:$B$17,0),MATCH($J1470,ModelParameters!$D$5:$K$5,0)))</f>
        <v>0</v>
      </c>
      <c r="S1470" s="160">
        <f>IF(B1470="",0,MIN(IF($N1470="Other Bond TM",ModelParameters!$N$21,1)*(P1470*Q1470+R1470),1))</f>
        <v>0.02736796004671002</v>
      </c>
      <c r="T1470" s="85">
        <f>IF(B1470="",0,$S1470*$K1470)</f>
        <v>693.6486026470036</v>
      </c>
      <c r="U1470" s="85">
        <f>IF(B1470="",0,IF(OR(H1470=MappingTables!$C$34,H1470=MappingTables!$C$35),T1470,0))</f>
        <v>0</v>
      </c>
      <c r="V1470" s="85">
        <f>IF(ISNA(IF(AND(VLOOKUP(CONCATENATE($D1470,$G1470),CSRFinput!$B:$E,4,0)=0,OR(H1470=MappingTables!$C$34,H1470=MappingTables!$C$35)),1,VLOOKUP(CONCATENATE($D1470,$G1470),CSRFinput!$B:$E,4,0))),0,IF(AND(VLOOKUP(CONCATENATE($D1470,$G1470),CSRFinput!$B:$E,4,0)=0,OR(H1470=MappingTables!$C$34,H1470=MappingTables!$C$35)),1,VLOOKUP(CONCATENATE($D1470,$G1470),CSRFinput!$B:$E,4,0)))</f>
        <v>0.054776304963434752</v>
      </c>
      <c r="W1470" s="85">
        <f>IF(B1470="",0,+$T1470*$V1470)</f>
        <v>37.995507396052648</v>
      </c>
      <c r="X1470" s="85">
        <f>IF(B1470="",0,IF(OR(H1470=MappingTables!$C$34,H1470=MappingTables!$C$35),W1470,0))</f>
        <v>0</v>
      </c>
    </row>
    <row r="1471" spans="2:24" s="0" customFormat="0" ht="15">
      <c r="B1471" s="69">
        <v>15929001</v>
      </c>
      <c r="C1471" s="70" t="s">
        <v>1722</v>
      </c>
      <c r="D1471" s="70" t="s">
        <v>1</v>
      </c>
      <c r="E1471" s="70" t="s">
        <v>1</v>
      </c>
      <c r="F1471" s="70"/>
      <c r="G1471" s="70" t="s">
        <v>61</v>
      </c>
      <c r="H1471" s="70" t="s">
        <v>178</v>
      </c>
      <c r="I1471" s="70" t="s">
        <v>188</v>
      </c>
      <c r="J1471" s="71">
        <f>IF(OR(I1471=0,I1471=""),"unrated",VLOOKUP(I1471,MappingTables!$B$19:$C$31,2,FALSE))</f>
        <v>2</v>
      </c>
      <c r="K1471" s="72">
        <v>2396.2939871514964</v>
      </c>
      <c r="L1471" s="70">
        <v>0.098631776466413104</v>
      </c>
      <c r="M1471" s="71">
        <f>IF(L1471&lt;1,1,L1471)</f>
        <v>1</v>
      </c>
      <c r="N1471" s="70" t="s">
        <v>141</v>
      </c>
      <c r="O1471" s="71">
        <f>INDEX(DurClassMapping,MATCH(M1471,MappingTables!$D$4:$D$8,-1),1)</f>
        <v>1</v>
      </c>
      <c r="P1471" s="73">
        <f>IF(M1471=$A$1,1,$M1471-INDEX(MappingTables!$E$4:$E$8,MATCH(O1471,MappingTables!$B$4:$B$8,0)))</f>
        <v>1</v>
      </c>
      <c r="Q1471" s="71">
        <f>IF(B1471="",0,INDEX(ModelParameters!$D$6:$K$10,MATCH($O1471,ModelParameters!$B$6:$B$10,0),MATCH($J1471,ModelParameters!$D$5:$K$5,0)))</f>
        <v>0.013999999999999998</v>
      </c>
      <c r="R1471" s="71">
        <f>IF(B1471="",0,INDEX(ModelParameters!$D$13:$K$17,MATCH($O1471,ModelParameters!$B$13:$B$17,0),MATCH($J1471,ModelParameters!$D$5:$K$5,0)))</f>
        <v>0</v>
      </c>
      <c r="S1471" s="160">
        <f>IF(B1471="",0,MIN(IF($N1471="Other Bond TM",ModelParameters!$N$21,1)*(P1471*Q1471+R1471),1))</f>
        <v>0.013999999999999998</v>
      </c>
      <c r="T1471" s="85">
        <f>IF(B1471="",0,$S1471*$K1471)</f>
        <v>33.548115820120948</v>
      </c>
      <c r="U1471" s="85">
        <f>IF(B1471="",0,IF(OR(H1471=MappingTables!$C$34,H1471=MappingTables!$C$35),T1471,0))</f>
        <v>0</v>
      </c>
      <c r="V1471" s="85">
        <f>IF(ISNA(IF(AND(VLOOKUP(CONCATENATE($D1471,$G1471),CSRFinput!$B:$E,4,0)=0,OR(H1471=MappingTables!$C$34,H1471=MappingTables!$C$35)),1,VLOOKUP(CONCATENATE($D1471,$G1471),CSRFinput!$B:$E,4,0))),0,IF(AND(VLOOKUP(CONCATENATE($D1471,$G1471),CSRFinput!$B:$E,4,0)=0,OR(H1471=MappingTables!$C$34,H1471=MappingTables!$C$35)),1,VLOOKUP(CONCATENATE($D1471,$G1471),CSRFinput!$B:$E,4,0)))</f>
        <v>0.054776304963434752</v>
      </c>
      <c r="W1471" s="85">
        <f>IF(B1471="",0,+$T1471*$V1471)</f>
        <v>1.8376418231115748</v>
      </c>
      <c r="X1471" s="85">
        <f>IF(B1471="",0,IF(OR(H1471=MappingTables!$C$34,H1471=MappingTables!$C$35),W1471,0))</f>
        <v>0</v>
      </c>
    </row>
    <row r="1472" spans="2:24" s="0" customFormat="0" ht="15">
      <c r="B1472" s="69">
        <v>6031524</v>
      </c>
      <c r="C1472" s="70" t="s">
        <v>1723</v>
      </c>
      <c r="D1472" s="70" t="s">
        <v>1</v>
      </c>
      <c r="E1472" s="70" t="s">
        <v>1</v>
      </c>
      <c r="F1472" s="70"/>
      <c r="G1472" s="70" t="s">
        <v>61</v>
      </c>
      <c r="H1472" s="70" t="s">
        <v>178</v>
      </c>
      <c r="I1472" s="70" t="s">
        <v>181</v>
      </c>
      <c r="J1472" s="71">
        <f>IF(OR(I1472=0,I1472=""),"unrated",VLOOKUP(I1472,MappingTables!$B$19:$C$31,2,FALSE))</f>
        <v>3</v>
      </c>
      <c r="K1472" s="72">
        <v>116.49015533880044</v>
      </c>
      <c r="L1472" s="70">
        <v>1.8921116274731968</v>
      </c>
      <c r="M1472" s="71">
        <f>IF(L1472&lt;1,1,L1472)</f>
        <v>1.8921116274731968</v>
      </c>
      <c r="N1472" s="70" t="s">
        <v>141</v>
      </c>
      <c r="O1472" s="71">
        <f>INDEX(DurClassMapping,MATCH(M1472,MappingTables!$D$4:$D$8,-1),1)</f>
        <v>1</v>
      </c>
      <c r="P1472" s="73">
        <f>IF(M1472=$A$1,1,$M1472-INDEX(MappingTables!$E$4:$E$8,MATCH(O1472,MappingTables!$B$4:$B$8,0)))</f>
        <v>1.8921116274731968</v>
      </c>
      <c r="Q1472" s="71">
        <f>IF(B1472="",0,INDEX(ModelParameters!$D$6:$K$10,MATCH($O1472,ModelParameters!$B$6:$B$10,0),MATCH($J1472,ModelParameters!$D$5:$K$5,0)))</f>
        <v>0.025</v>
      </c>
      <c r="R1472" s="71">
        <f>IF(B1472="",0,INDEX(ModelParameters!$D$13:$K$17,MATCH($O1472,ModelParameters!$B$13:$B$17,0),MATCH($J1472,ModelParameters!$D$5:$K$5,0)))</f>
        <v>0</v>
      </c>
      <c r="S1472" s="160">
        <f>IF(B1472="",0,MIN(IF($N1472="Other Bond TM",ModelParameters!$N$21,1)*(P1472*Q1472+R1472),1))</f>
        <v>0.04730279068682992</v>
      </c>
      <c r="T1472" s="85">
        <f>IF(B1472="",0,$S1472*$K1472)</f>
        <v>5.51030943506758</v>
      </c>
      <c r="U1472" s="85">
        <f>IF(B1472="",0,IF(OR(H1472=MappingTables!$C$34,H1472=MappingTables!$C$35),T1472,0))</f>
        <v>0</v>
      </c>
      <c r="V1472" s="85">
        <f>IF(ISNA(IF(AND(VLOOKUP(CONCATENATE($D1472,$G1472),CSRFinput!$B:$E,4,0)=0,OR(H1472=MappingTables!$C$34,H1472=MappingTables!$C$35)),1,VLOOKUP(CONCATENATE($D1472,$G1472),CSRFinput!$B:$E,4,0))),0,IF(AND(VLOOKUP(CONCATENATE($D1472,$G1472),CSRFinput!$B:$E,4,0)=0,OR(H1472=MappingTables!$C$34,H1472=MappingTables!$C$35)),1,VLOOKUP(CONCATENATE($D1472,$G1472),CSRFinput!$B:$E,4,0)))</f>
        <v>0.054776304963434752</v>
      </c>
      <c r="W1472" s="85">
        <f>IF(B1472="",0,+$T1472*$V1472)</f>
        <v>0.3018343900581536</v>
      </c>
      <c r="X1472" s="85">
        <f>IF(B1472="",0,IF(OR(H1472=MappingTables!$C$34,H1472=MappingTables!$C$35),W1472,0))</f>
        <v>0</v>
      </c>
    </row>
    <row r="1473" spans="2:24" s="0" customFormat="0" ht="15">
      <c r="B1473" s="69">
        <v>21781334</v>
      </c>
      <c r="C1473" s="70" t="s">
        <v>1325</v>
      </c>
      <c r="D1473" s="70" t="s">
        <v>1</v>
      </c>
      <c r="E1473" s="70" t="s">
        <v>1</v>
      </c>
      <c r="F1473" s="70"/>
      <c r="G1473" s="70" t="s">
        <v>61</v>
      </c>
      <c r="H1473" s="70" t="s">
        <v>178</v>
      </c>
      <c r="I1473" s="70" t="s">
        <v>179</v>
      </c>
      <c r="J1473" s="71">
        <f>IF(OR(I1473=0,I1473=""),"unrated",VLOOKUP(I1473,MappingTables!$B$19:$C$31,2,FALSE))</f>
        <v>4</v>
      </c>
      <c r="K1473" s="72">
        <v>13873.088794356266</v>
      </c>
      <c r="L1473" s="70">
        <v>8.5575692852439408</v>
      </c>
      <c r="M1473" s="71">
        <f>IF(L1473&lt;1,1,L1473)</f>
        <v>8.5575692852439408</v>
      </c>
      <c r="N1473" s="70" t="s">
        <v>141</v>
      </c>
      <c r="O1473" s="71">
        <f>INDEX(DurClassMapping,MATCH(M1473,MappingTables!$D$4:$D$8,-1),1)</f>
        <v>2</v>
      </c>
      <c r="P1473" s="73">
        <f>IF(M1473=$A$1,1,$M1473-INDEX(MappingTables!$E$4:$E$8,MATCH(O1473,MappingTables!$B$4:$B$8,0)))</f>
        <v>3.5575692852439412</v>
      </c>
      <c r="Q1473" s="71">
        <f>IF(B1473="",0,INDEX(ModelParameters!$D$6:$K$10,MATCH($O1473,ModelParameters!$B$6:$B$10,0),MATCH($J1473,ModelParameters!$D$5:$K$5,0)))</f>
        <v>0.025</v>
      </c>
      <c r="R1473" s="71">
        <f>IF(B1473="",0,INDEX(ModelParameters!$D$13:$K$17,MATCH($O1473,ModelParameters!$B$13:$B$17,0),MATCH($J1473,ModelParameters!$D$5:$K$5,0)))</f>
        <v>0.225</v>
      </c>
      <c r="S1473" s="160">
        <f>IF(B1473="",0,MIN(IF($N1473="Other Bond TM",ModelParameters!$N$21,1)*(P1473*Q1473+R1473),1))</f>
        <v>0.31393923213109852</v>
      </c>
      <c r="T1473" s="85">
        <f>IF(B1473="",0,$S1473*$K1473)</f>
        <v>4355.3068433867536</v>
      </c>
      <c r="U1473" s="85">
        <f>IF(B1473="",0,IF(OR(H1473=MappingTables!$C$34,H1473=MappingTables!$C$35),T1473,0))</f>
        <v>0</v>
      </c>
      <c r="V1473" s="85">
        <f>IF(ISNA(IF(AND(VLOOKUP(CONCATENATE($D1473,$G1473),CSRFinput!$B:$E,4,0)=0,OR(H1473=MappingTables!$C$34,H1473=MappingTables!$C$35)),1,VLOOKUP(CONCATENATE($D1473,$G1473),CSRFinput!$B:$E,4,0))),0,IF(AND(VLOOKUP(CONCATENATE($D1473,$G1473),CSRFinput!$B:$E,4,0)=0,OR(H1473=MappingTables!$C$34,H1473=MappingTables!$C$35)),1,VLOOKUP(CONCATENATE($D1473,$G1473),CSRFinput!$B:$E,4,0)))</f>
        <v>0.054776304963434752</v>
      </c>
      <c r="W1473" s="85">
        <f>IF(B1473="",0,+$T1473*$V1473)</f>
        <v>238.5676158626872</v>
      </c>
      <c r="X1473" s="85">
        <f>IF(B1473="",0,IF(OR(H1473=MappingTables!$C$34,H1473=MappingTables!$C$35),W1473,0))</f>
        <v>0</v>
      </c>
    </row>
    <row r="1474" spans="2:24" s="0" customFormat="0" ht="15">
      <c r="B1474" s="69">
        <v>14288288</v>
      </c>
      <c r="C1474" s="70" t="s">
        <v>502</v>
      </c>
      <c r="D1474" s="70" t="s">
        <v>1</v>
      </c>
      <c r="E1474" s="70" t="s">
        <v>1</v>
      </c>
      <c r="F1474" s="70"/>
      <c r="G1474" s="70" t="s">
        <v>61</v>
      </c>
      <c r="H1474" s="70" t="s">
        <v>178</v>
      </c>
      <c r="I1474" s="70" t="s">
        <v>181</v>
      </c>
      <c r="J1474" s="71">
        <f>IF(OR(I1474=0,I1474=""),"unrated",VLOOKUP(I1474,MappingTables!$B$19:$C$31,2,FALSE))</f>
        <v>3</v>
      </c>
      <c r="K1474" s="72">
        <v>283.77729911904208</v>
      </c>
      <c r="L1474" s="70">
        <v>1.1696880646818904</v>
      </c>
      <c r="M1474" s="71">
        <f>IF(L1474&lt;1,1,L1474)</f>
        <v>1.1696880646818904</v>
      </c>
      <c r="N1474" s="70" t="s">
        <v>141</v>
      </c>
      <c r="O1474" s="71">
        <f>INDEX(DurClassMapping,MATCH(M1474,MappingTables!$D$4:$D$8,-1),1)</f>
        <v>1</v>
      </c>
      <c r="P1474" s="73">
        <f>IF(M1474=$A$1,1,$M1474-INDEX(MappingTables!$E$4:$E$8,MATCH(O1474,MappingTables!$B$4:$B$8,0)))</f>
        <v>1.1696880646818904</v>
      </c>
      <c r="Q1474" s="71">
        <f>IF(B1474="",0,INDEX(ModelParameters!$D$6:$K$10,MATCH($O1474,ModelParameters!$B$6:$B$10,0),MATCH($J1474,ModelParameters!$D$5:$K$5,0)))</f>
        <v>0.025</v>
      </c>
      <c r="R1474" s="71">
        <f>IF(B1474="",0,INDEX(ModelParameters!$D$13:$K$17,MATCH($O1474,ModelParameters!$B$13:$B$17,0),MATCH($J1474,ModelParameters!$D$5:$K$5,0)))</f>
        <v>0</v>
      </c>
      <c r="S1474" s="160">
        <f>IF(B1474="",0,MIN(IF($N1474="Other Bond TM",ModelParameters!$N$21,1)*(P1474*Q1474+R1474),1))</f>
        <v>0.02924220161704726</v>
      </c>
      <c r="T1474" s="85">
        <f>IF(B1474="",0,$S1474*$K1474)</f>
        <v>8.2982729951801552</v>
      </c>
      <c r="U1474" s="85">
        <f>IF(B1474="",0,IF(OR(H1474=MappingTables!$C$34,H1474=MappingTables!$C$35),T1474,0))</f>
        <v>0</v>
      </c>
      <c r="V1474" s="85">
        <f>IF(ISNA(IF(AND(VLOOKUP(CONCATENATE($D1474,$G1474),CSRFinput!$B:$E,4,0)=0,OR(H1474=MappingTables!$C$34,H1474=MappingTables!$C$35)),1,VLOOKUP(CONCATENATE($D1474,$G1474),CSRFinput!$B:$E,4,0))),0,IF(AND(VLOOKUP(CONCATENATE($D1474,$G1474),CSRFinput!$B:$E,4,0)=0,OR(H1474=MappingTables!$C$34,H1474=MappingTables!$C$35)),1,VLOOKUP(CONCATENATE($D1474,$G1474),CSRFinput!$B:$E,4,0)))</f>
        <v>0.054776304963434752</v>
      </c>
      <c r="W1474" s="85">
        <f>IF(B1474="",0,+$T1474*$V1474)</f>
        <v>0.45454873225382336</v>
      </c>
      <c r="X1474" s="85">
        <f>IF(B1474="",0,IF(OR(H1474=MappingTables!$C$34,H1474=MappingTables!$C$35),W1474,0))</f>
        <v>0</v>
      </c>
    </row>
    <row r="1475" spans="2:24" s="0" customFormat="0" ht="15">
      <c r="B1475" s="69">
        <v>17997877</v>
      </c>
      <c r="C1475" s="70" t="s">
        <v>1724</v>
      </c>
      <c r="D1475" s="70" t="s">
        <v>1</v>
      </c>
      <c r="E1475" s="70" t="s">
        <v>1</v>
      </c>
      <c r="F1475" s="70"/>
      <c r="G1475" s="70" t="s">
        <v>61</v>
      </c>
      <c r="H1475" s="70" t="s">
        <v>178</v>
      </c>
      <c r="I1475" s="70" t="s">
        <v>184</v>
      </c>
      <c r="J1475" s="71">
        <f>IF(OR(I1475=0,I1475=""),"unrated",VLOOKUP(I1475,MappingTables!$B$19:$C$31,2,FALSE))</f>
        <v>5</v>
      </c>
      <c r="K1475" s="72">
        <v>697.22451685087448</v>
      </c>
      <c r="L1475" s="70">
        <v>4.1556190362803488</v>
      </c>
      <c r="M1475" s="71">
        <f>IF(L1475&lt;1,1,L1475)</f>
        <v>4.1556190362803488</v>
      </c>
      <c r="N1475" s="70" t="s">
        <v>141</v>
      </c>
      <c r="O1475" s="71">
        <f>INDEX(DurClassMapping,MATCH(M1475,MappingTables!$D$4:$D$8,-1),1)</f>
        <v>1</v>
      </c>
      <c r="P1475" s="73">
        <f>IF(M1475=$A$1,1,$M1475-INDEX(MappingTables!$E$4:$E$8,MATCH(O1475,MappingTables!$B$4:$B$8,0)))</f>
        <v>4.1556190362803488</v>
      </c>
      <c r="Q1475" s="71">
        <f>IF(B1475="",0,INDEX(ModelParameters!$D$6:$K$10,MATCH($O1475,ModelParameters!$B$6:$B$10,0),MATCH($J1475,ModelParameters!$D$5:$K$5,0)))</f>
        <v>0.075</v>
      </c>
      <c r="R1475" s="71">
        <f>IF(B1475="",0,INDEX(ModelParameters!$D$13:$K$17,MATCH($O1475,ModelParameters!$B$13:$B$17,0),MATCH($J1475,ModelParameters!$D$5:$K$5,0)))</f>
        <v>0</v>
      </c>
      <c r="S1475" s="160">
        <f>IF(B1475="",0,MIN(IF($N1475="Other Bond TM",ModelParameters!$N$21,1)*(P1475*Q1475+R1475),1))</f>
        <v>0.3116714277210262</v>
      </c>
      <c r="T1475" s="85">
        <f>IF(B1475="",0,$S1475*$K1475)</f>
        <v>217.30496060901472</v>
      </c>
      <c r="U1475" s="85">
        <f>IF(B1475="",0,IF(OR(H1475=MappingTables!$C$34,H1475=MappingTables!$C$35),T1475,0))</f>
        <v>0</v>
      </c>
      <c r="V1475" s="85">
        <f>IF(ISNA(IF(AND(VLOOKUP(CONCATENATE($D1475,$G1475),CSRFinput!$B:$E,4,0)=0,OR(H1475=MappingTables!$C$34,H1475=MappingTables!$C$35)),1,VLOOKUP(CONCATENATE($D1475,$G1475),CSRFinput!$B:$E,4,0))),0,IF(AND(VLOOKUP(CONCATENATE($D1475,$G1475),CSRFinput!$B:$E,4,0)=0,OR(H1475=MappingTables!$C$34,H1475=MappingTables!$C$35)),1,VLOOKUP(CONCATENATE($D1475,$G1475),CSRFinput!$B:$E,4,0)))</f>
        <v>0.054776304963434752</v>
      </c>
      <c r="W1475" s="85">
        <f>IF(B1475="",0,+$T1475*$V1475)</f>
        <v>11.903162792386568</v>
      </c>
      <c r="X1475" s="85">
        <f>IF(B1475="",0,IF(OR(H1475=MappingTables!$C$34,H1475=MappingTables!$C$35),W1475,0))</f>
        <v>0</v>
      </c>
    </row>
    <row r="1476" spans="2:24" s="0" customFormat="0" ht="15">
      <c r="B1476" s="69">
        <v>24247289</v>
      </c>
      <c r="C1476" s="70" t="s">
        <v>1725</v>
      </c>
      <c r="D1476" s="70" t="s">
        <v>1</v>
      </c>
      <c r="E1476" s="70" t="s">
        <v>1</v>
      </c>
      <c r="F1476" s="70"/>
      <c r="G1476" s="70" t="s">
        <v>61</v>
      </c>
      <c r="H1476" s="70" t="s">
        <v>178</v>
      </c>
      <c r="I1476" s="70" t="s">
        <v>188</v>
      </c>
      <c r="J1476" s="71">
        <f>IF(OR(I1476=0,I1476=""),"unrated",VLOOKUP(I1476,MappingTables!$B$19:$C$31,2,FALSE))</f>
        <v>2</v>
      </c>
      <c r="K1476" s="72">
        <v>551.5636304580664</v>
      </c>
      <c r="L1476" s="70">
        <v>4.4328723613222616</v>
      </c>
      <c r="M1476" s="71">
        <f>IF(L1476&lt;1,1,L1476)</f>
        <v>4.4328723613222616</v>
      </c>
      <c r="N1476" s="70" t="s">
        <v>141</v>
      </c>
      <c r="O1476" s="71">
        <f>INDEX(DurClassMapping,MATCH(M1476,MappingTables!$D$4:$D$8,-1),1)</f>
        <v>1</v>
      </c>
      <c r="P1476" s="73">
        <f>IF(M1476=$A$1,1,$M1476-INDEX(MappingTables!$E$4:$E$8,MATCH(O1476,MappingTables!$B$4:$B$8,0)))</f>
        <v>4.4328723613222616</v>
      </c>
      <c r="Q1476" s="71">
        <f>IF(B1476="",0,INDEX(ModelParameters!$D$6:$K$10,MATCH($O1476,ModelParameters!$B$6:$B$10,0),MATCH($J1476,ModelParameters!$D$5:$K$5,0)))</f>
        <v>0.013999999999999998</v>
      </c>
      <c r="R1476" s="71">
        <f>IF(B1476="",0,INDEX(ModelParameters!$D$13:$K$17,MATCH($O1476,ModelParameters!$B$13:$B$17,0),MATCH($J1476,ModelParameters!$D$5:$K$5,0)))</f>
        <v>0</v>
      </c>
      <c r="S1476" s="160">
        <f>IF(B1476="",0,MIN(IF($N1476="Other Bond TM",ModelParameters!$N$21,1)*(P1476*Q1476+R1476),1))</f>
        <v>0.062060213058511656</v>
      </c>
      <c r="T1476" s="85">
        <f>IF(B1476="",0,$S1476*$K1476)</f>
        <v>34.230156421553792</v>
      </c>
      <c r="U1476" s="85">
        <f>IF(B1476="",0,IF(OR(H1476=MappingTables!$C$34,H1476=MappingTables!$C$35),T1476,0))</f>
        <v>0</v>
      </c>
      <c r="V1476" s="85">
        <f>IF(ISNA(IF(AND(VLOOKUP(CONCATENATE($D1476,$G1476),CSRFinput!$B:$E,4,0)=0,OR(H1476=MappingTables!$C$34,H1476=MappingTables!$C$35)),1,VLOOKUP(CONCATENATE($D1476,$G1476),CSRFinput!$B:$E,4,0))),0,IF(AND(VLOOKUP(CONCATENATE($D1476,$G1476),CSRFinput!$B:$E,4,0)=0,OR(H1476=MappingTables!$C$34,H1476=MappingTables!$C$35)),1,VLOOKUP(CONCATENATE($D1476,$G1476),CSRFinput!$B:$E,4,0)))</f>
        <v>0.054776304963434752</v>
      </c>
      <c r="W1476" s="85">
        <f>IF(B1476="",0,+$T1476*$V1476)</f>
        <v>1.8750014870931052</v>
      </c>
      <c r="X1476" s="85">
        <f>IF(B1476="",0,IF(OR(H1476=MappingTables!$C$34,H1476=MappingTables!$C$35),W1476,0))</f>
        <v>0</v>
      </c>
    </row>
    <row r="1477" spans="2:24" s="0" customFormat="0" ht="15">
      <c r="B1477" s="69">
        <v>23069421</v>
      </c>
      <c r="C1477" s="70" t="s">
        <v>887</v>
      </c>
      <c r="D1477" s="70" t="s">
        <v>1</v>
      </c>
      <c r="E1477" s="70" t="s">
        <v>1</v>
      </c>
      <c r="F1477" s="70"/>
      <c r="G1477" s="70" t="s">
        <v>61</v>
      </c>
      <c r="H1477" s="70" t="s">
        <v>178</v>
      </c>
      <c r="I1477" s="70" t="s">
        <v>181</v>
      </c>
      <c r="J1477" s="71">
        <f>IF(OR(I1477=0,I1477=""),"unrated",VLOOKUP(I1477,MappingTables!$B$19:$C$31,2,FALSE))</f>
        <v>3</v>
      </c>
      <c r="K1477" s="72">
        <v>2631.288463858532</v>
      </c>
      <c r="L1477" s="70">
        <v>0.087673187001155824</v>
      </c>
      <c r="M1477" s="71">
        <f>IF(L1477&lt;1,1,L1477)</f>
        <v>1</v>
      </c>
      <c r="N1477" s="70" t="s">
        <v>141</v>
      </c>
      <c r="O1477" s="71">
        <f>INDEX(DurClassMapping,MATCH(M1477,MappingTables!$D$4:$D$8,-1),1)</f>
        <v>1</v>
      </c>
      <c r="P1477" s="73">
        <f>IF(M1477=$A$1,1,$M1477-INDEX(MappingTables!$E$4:$E$8,MATCH(O1477,MappingTables!$B$4:$B$8,0)))</f>
        <v>1</v>
      </c>
      <c r="Q1477" s="71">
        <f>IF(B1477="",0,INDEX(ModelParameters!$D$6:$K$10,MATCH($O1477,ModelParameters!$B$6:$B$10,0),MATCH($J1477,ModelParameters!$D$5:$K$5,0)))</f>
        <v>0.025</v>
      </c>
      <c r="R1477" s="71">
        <f>IF(B1477="",0,INDEX(ModelParameters!$D$13:$K$17,MATCH($O1477,ModelParameters!$B$13:$B$17,0),MATCH($J1477,ModelParameters!$D$5:$K$5,0)))</f>
        <v>0</v>
      </c>
      <c r="S1477" s="160">
        <f>IF(B1477="",0,MIN(IF($N1477="Other Bond TM",ModelParameters!$N$21,1)*(P1477*Q1477+R1477),1))</f>
        <v>0.025</v>
      </c>
      <c r="T1477" s="85">
        <f>IF(B1477="",0,$S1477*$K1477)</f>
        <v>65.782211596463296</v>
      </c>
      <c r="U1477" s="85">
        <f>IF(B1477="",0,IF(OR(H1477=MappingTables!$C$34,H1477=MappingTables!$C$35),T1477,0))</f>
        <v>0</v>
      </c>
      <c r="V1477" s="85">
        <f>IF(ISNA(IF(AND(VLOOKUP(CONCATENATE($D1477,$G1477),CSRFinput!$B:$E,4,0)=0,OR(H1477=MappingTables!$C$34,H1477=MappingTables!$C$35)),1,VLOOKUP(CONCATENATE($D1477,$G1477),CSRFinput!$B:$E,4,0))),0,IF(AND(VLOOKUP(CONCATENATE($D1477,$G1477),CSRFinput!$B:$E,4,0)=0,OR(H1477=MappingTables!$C$34,H1477=MappingTables!$C$35)),1,VLOOKUP(CONCATENATE($D1477,$G1477),CSRFinput!$B:$E,4,0)))</f>
        <v>0.054776304963434752</v>
      </c>
      <c r="W1477" s="85">
        <f>IF(B1477="",0,+$T1477*$V1477)</f>
        <v>3.603306483577068</v>
      </c>
      <c r="X1477" s="85">
        <f>IF(B1477="",0,IF(OR(H1477=MappingTables!$C$34,H1477=MappingTables!$C$35),W1477,0))</f>
        <v>0</v>
      </c>
    </row>
    <row r="1478" spans="2:24" s="0" customFormat="0" ht="15">
      <c r="B1478" s="69">
        <v>14689143</v>
      </c>
      <c r="C1478" s="70" t="s">
        <v>1726</v>
      </c>
      <c r="D1478" s="70" t="s">
        <v>1</v>
      </c>
      <c r="E1478" s="70" t="s">
        <v>1</v>
      </c>
      <c r="F1478" s="70"/>
      <c r="G1478" s="70" t="s">
        <v>61</v>
      </c>
      <c r="H1478" s="70" t="s">
        <v>178</v>
      </c>
      <c r="I1478" s="70" t="s">
        <v>181</v>
      </c>
      <c r="J1478" s="71">
        <f>IF(OR(I1478=0,I1478=""),"unrated",VLOOKUP(I1478,MappingTables!$B$19:$C$31,2,FALSE))</f>
        <v>3</v>
      </c>
      <c r="K1478" s="72">
        <v>2474.6736834242816</v>
      </c>
      <c r="L1478" s="70">
        <v>1.5642185133613436</v>
      </c>
      <c r="M1478" s="71">
        <f>IF(L1478&lt;1,1,L1478)</f>
        <v>1.5642185133613436</v>
      </c>
      <c r="N1478" s="70" t="s">
        <v>141</v>
      </c>
      <c r="O1478" s="71">
        <f>INDEX(DurClassMapping,MATCH(M1478,MappingTables!$D$4:$D$8,-1),1)</f>
        <v>1</v>
      </c>
      <c r="P1478" s="73">
        <f>IF(M1478=$A$1,1,$M1478-INDEX(MappingTables!$E$4:$E$8,MATCH(O1478,MappingTables!$B$4:$B$8,0)))</f>
        <v>1.5642185133613436</v>
      </c>
      <c r="Q1478" s="71">
        <f>IF(B1478="",0,INDEX(ModelParameters!$D$6:$K$10,MATCH($O1478,ModelParameters!$B$6:$B$10,0),MATCH($J1478,ModelParameters!$D$5:$K$5,0)))</f>
        <v>0.025</v>
      </c>
      <c r="R1478" s="71">
        <f>IF(B1478="",0,INDEX(ModelParameters!$D$13:$K$17,MATCH($O1478,ModelParameters!$B$13:$B$17,0),MATCH($J1478,ModelParameters!$D$5:$K$5,0)))</f>
        <v>0</v>
      </c>
      <c r="S1478" s="160">
        <f>IF(B1478="",0,MIN(IF($N1478="Other Bond TM",ModelParameters!$N$21,1)*(P1478*Q1478+R1478),1))</f>
        <v>0.039105462834033592</v>
      </c>
      <c r="T1478" s="85">
        <f>IF(B1478="",0,$S1478*$K1478)</f>
        <v>96.773259753509248</v>
      </c>
      <c r="U1478" s="85">
        <f>IF(B1478="",0,IF(OR(H1478=MappingTables!$C$34,H1478=MappingTables!$C$35),T1478,0))</f>
        <v>0</v>
      </c>
      <c r="V1478" s="85">
        <f>IF(ISNA(IF(AND(VLOOKUP(CONCATENATE($D1478,$G1478),CSRFinput!$B:$E,4,0)=0,OR(H1478=MappingTables!$C$34,H1478=MappingTables!$C$35)),1,VLOOKUP(CONCATENATE($D1478,$G1478),CSRFinput!$B:$E,4,0))),0,IF(AND(VLOOKUP(CONCATENATE($D1478,$G1478),CSRFinput!$B:$E,4,0)=0,OR(H1478=MappingTables!$C$34,H1478=MappingTables!$C$35)),1,VLOOKUP(CONCATENATE($D1478,$G1478),CSRFinput!$B:$E,4,0)))</f>
        <v>0.054776304963434752</v>
      </c>
      <c r="W1478" s="85">
        <f>IF(B1478="",0,+$T1478*$V1478)</f>
        <v>5.3008815885639088</v>
      </c>
      <c r="X1478" s="85">
        <f>IF(B1478="",0,IF(OR(H1478=MappingTables!$C$34,H1478=MappingTables!$C$35),W1478,0))</f>
        <v>0</v>
      </c>
    </row>
    <row r="1479" spans="2:24" s="0" customFormat="0" ht="15">
      <c r="B1479" s="69">
        <v>9308929</v>
      </c>
      <c r="C1479" s="70" t="s">
        <v>1727</v>
      </c>
      <c r="D1479" s="70" t="s">
        <v>1</v>
      </c>
      <c r="E1479" s="70" t="s">
        <v>1</v>
      </c>
      <c r="F1479" s="70"/>
      <c r="G1479" s="70" t="s">
        <v>61</v>
      </c>
      <c r="H1479" s="70" t="s">
        <v>178</v>
      </c>
      <c r="I1479" s="70" t="s">
        <v>181</v>
      </c>
      <c r="J1479" s="71">
        <f>IF(OR(I1479=0,I1479=""),"unrated",VLOOKUP(I1479,MappingTables!$B$19:$C$31,2,FALSE))</f>
        <v>3</v>
      </c>
      <c r="K1479" s="72">
        <v>371.02491000409408</v>
      </c>
      <c r="L1479" s="70">
        <v>3.4520589546756636</v>
      </c>
      <c r="M1479" s="71">
        <f>IF(L1479&lt;1,1,L1479)</f>
        <v>3.4520589546756636</v>
      </c>
      <c r="N1479" s="70" t="s">
        <v>141</v>
      </c>
      <c r="O1479" s="71">
        <f>INDEX(DurClassMapping,MATCH(M1479,MappingTables!$D$4:$D$8,-1),1)</f>
        <v>1</v>
      </c>
      <c r="P1479" s="73">
        <f>IF(M1479=$A$1,1,$M1479-INDEX(MappingTables!$E$4:$E$8,MATCH(O1479,MappingTables!$B$4:$B$8,0)))</f>
        <v>3.4520589546756636</v>
      </c>
      <c r="Q1479" s="71">
        <f>IF(B1479="",0,INDEX(ModelParameters!$D$6:$K$10,MATCH($O1479,ModelParameters!$B$6:$B$10,0),MATCH($J1479,ModelParameters!$D$5:$K$5,0)))</f>
        <v>0.025</v>
      </c>
      <c r="R1479" s="71">
        <f>IF(B1479="",0,INDEX(ModelParameters!$D$13:$K$17,MATCH($O1479,ModelParameters!$B$13:$B$17,0),MATCH($J1479,ModelParameters!$D$5:$K$5,0)))</f>
        <v>0</v>
      </c>
      <c r="S1479" s="160">
        <f>IF(B1479="",0,MIN(IF($N1479="Other Bond TM",ModelParameters!$N$21,1)*(P1479*Q1479+R1479),1))</f>
        <v>0.086301473866891584</v>
      </c>
      <c r="T1479" s="85">
        <f>IF(B1479="",0,$S1479*$K1479)</f>
        <v>32.019996574684128</v>
      </c>
      <c r="U1479" s="85">
        <f>IF(B1479="",0,IF(OR(H1479=MappingTables!$C$34,H1479=MappingTables!$C$35),T1479,0))</f>
        <v>0</v>
      </c>
      <c r="V1479" s="85">
        <f>IF(ISNA(IF(AND(VLOOKUP(CONCATENATE($D1479,$G1479),CSRFinput!$B:$E,4,0)=0,OR(H1479=MappingTables!$C$34,H1479=MappingTables!$C$35)),1,VLOOKUP(CONCATENATE($D1479,$G1479),CSRFinput!$B:$E,4,0))),0,IF(AND(VLOOKUP(CONCATENATE($D1479,$G1479),CSRFinput!$B:$E,4,0)=0,OR(H1479=MappingTables!$C$34,H1479=MappingTables!$C$35)),1,VLOOKUP(CONCATENATE($D1479,$G1479),CSRFinput!$B:$E,4,0)))</f>
        <v>0.054776304963434752</v>
      </c>
      <c r="W1479" s="85">
        <f>IF(B1479="",0,+$T1479*$V1479)</f>
        <v>1.753937097303034</v>
      </c>
      <c r="X1479" s="85">
        <f>IF(B1479="",0,IF(OR(H1479=MappingTables!$C$34,H1479=MappingTables!$C$35),W1479,0))</f>
        <v>0</v>
      </c>
    </row>
    <row r="1480" spans="2:24" s="0" customFormat="0" ht="15">
      <c r="B1480" s="69">
        <v>13328830</v>
      </c>
      <c r="C1480" s="70" t="s">
        <v>1395</v>
      </c>
      <c r="D1480" s="70" t="s">
        <v>1</v>
      </c>
      <c r="E1480" s="70" t="s">
        <v>1</v>
      </c>
      <c r="F1480" s="70"/>
      <c r="G1480" s="70" t="s">
        <v>61</v>
      </c>
      <c r="H1480" s="70" t="s">
        <v>178</v>
      </c>
      <c r="I1480" s="70" t="s">
        <v>188</v>
      </c>
      <c r="J1480" s="71">
        <f>IF(OR(I1480=0,I1480=""),"unrated",VLOOKUP(I1480,MappingTables!$B$19:$C$31,2,FALSE))</f>
        <v>2</v>
      </c>
      <c r="K1480" s="72">
        <v>920.51339322330448</v>
      </c>
      <c r="L1480" s="70">
        <v>1.0441306884951444</v>
      </c>
      <c r="M1480" s="71">
        <f>IF(L1480&lt;1,1,L1480)</f>
        <v>1.0441306884951444</v>
      </c>
      <c r="N1480" s="70" t="s">
        <v>141</v>
      </c>
      <c r="O1480" s="71">
        <f>INDEX(DurClassMapping,MATCH(M1480,MappingTables!$D$4:$D$8,-1),1)</f>
        <v>1</v>
      </c>
      <c r="P1480" s="73">
        <f>IF(M1480=$A$1,1,$M1480-INDEX(MappingTables!$E$4:$E$8,MATCH(O1480,MappingTables!$B$4:$B$8,0)))</f>
        <v>1.0441306884951444</v>
      </c>
      <c r="Q1480" s="71">
        <f>IF(B1480="",0,INDEX(ModelParameters!$D$6:$K$10,MATCH($O1480,ModelParameters!$B$6:$B$10,0),MATCH($J1480,ModelParameters!$D$5:$K$5,0)))</f>
        <v>0.013999999999999998</v>
      </c>
      <c r="R1480" s="71">
        <f>IF(B1480="",0,INDEX(ModelParameters!$D$13:$K$17,MATCH($O1480,ModelParameters!$B$13:$B$17,0),MATCH($J1480,ModelParameters!$D$5:$K$5,0)))</f>
        <v>0</v>
      </c>
      <c r="S1480" s="160">
        <f>IF(B1480="",0,MIN(IF($N1480="Other Bond TM",ModelParameters!$N$21,1)*(P1480*Q1480+R1480),1))</f>
        <v>0.01461782963893202</v>
      </c>
      <c r="T1480" s="85">
        <f>IF(B1480="",0,$S1480*$K1480)</f>
        <v>13.455907962493506</v>
      </c>
      <c r="U1480" s="85">
        <f>IF(B1480="",0,IF(OR(H1480=MappingTables!$C$34,H1480=MappingTables!$C$35),T1480,0))</f>
        <v>0</v>
      </c>
      <c r="V1480" s="85">
        <f>IF(ISNA(IF(AND(VLOOKUP(CONCATENATE($D1480,$G1480),CSRFinput!$B:$E,4,0)=0,OR(H1480=MappingTables!$C$34,H1480=MappingTables!$C$35)),1,VLOOKUP(CONCATENATE($D1480,$G1480),CSRFinput!$B:$E,4,0))),0,IF(AND(VLOOKUP(CONCATENATE($D1480,$G1480),CSRFinput!$B:$E,4,0)=0,OR(H1480=MappingTables!$C$34,H1480=MappingTables!$C$35)),1,VLOOKUP(CONCATENATE($D1480,$G1480),CSRFinput!$B:$E,4,0)))</f>
        <v>0.054776304963434752</v>
      </c>
      <c r="W1480" s="85">
        <f>IF(B1480="",0,+$T1480*$V1480)</f>
        <v>0.73706491811345424</v>
      </c>
      <c r="X1480" s="85">
        <f>IF(B1480="",0,IF(OR(H1480=MappingTables!$C$34,H1480=MappingTables!$C$35),W1480,0))</f>
        <v>0</v>
      </c>
    </row>
    <row r="1481" spans="2:24" s="0" customFormat="0" ht="15">
      <c r="B1481" s="69">
        <v>19863541</v>
      </c>
      <c r="C1481" s="70" t="s">
        <v>1728</v>
      </c>
      <c r="D1481" s="70" t="s">
        <v>1</v>
      </c>
      <c r="E1481" s="70" t="s">
        <v>1</v>
      </c>
      <c r="F1481" s="70"/>
      <c r="G1481" s="70" t="s">
        <v>61</v>
      </c>
      <c r="H1481" s="70" t="s">
        <v>178</v>
      </c>
      <c r="I1481" s="70" t="s">
        <v>188</v>
      </c>
      <c r="J1481" s="71">
        <f>IF(OR(I1481=0,I1481=""),"unrated",VLOOKUP(I1481,MappingTables!$B$19:$C$31,2,FALSE))</f>
        <v>2</v>
      </c>
      <c r="K1481" s="72">
        <v>279.9538213524752</v>
      </c>
      <c r="L1481" s="70">
        <v>1.3209177841344706</v>
      </c>
      <c r="M1481" s="71">
        <f>IF(L1481&lt;1,1,L1481)</f>
        <v>1.3209177841344706</v>
      </c>
      <c r="N1481" s="70" t="s">
        <v>141</v>
      </c>
      <c r="O1481" s="71">
        <f>INDEX(DurClassMapping,MATCH(M1481,MappingTables!$D$4:$D$8,-1),1)</f>
        <v>1</v>
      </c>
      <c r="P1481" s="73">
        <f>IF(M1481=$A$1,1,$M1481-INDEX(MappingTables!$E$4:$E$8,MATCH(O1481,MappingTables!$B$4:$B$8,0)))</f>
        <v>1.3209177841344706</v>
      </c>
      <c r="Q1481" s="71">
        <f>IF(B1481="",0,INDEX(ModelParameters!$D$6:$K$10,MATCH($O1481,ModelParameters!$B$6:$B$10,0),MATCH($J1481,ModelParameters!$D$5:$K$5,0)))</f>
        <v>0.013999999999999998</v>
      </c>
      <c r="R1481" s="71">
        <f>IF(B1481="",0,INDEX(ModelParameters!$D$13:$K$17,MATCH($O1481,ModelParameters!$B$13:$B$17,0),MATCH($J1481,ModelParameters!$D$5:$K$5,0)))</f>
        <v>0</v>
      </c>
      <c r="S1481" s="160">
        <f>IF(B1481="",0,MIN(IF($N1481="Other Bond TM",ModelParameters!$N$21,1)*(P1481*Q1481+R1481),1))</f>
        <v>0.018492848977882588</v>
      </c>
      <c r="T1481" s="85">
        <f>IF(B1481="",0,$S1481*$K1481)</f>
        <v>5.1771437390524448</v>
      </c>
      <c r="U1481" s="85">
        <f>IF(B1481="",0,IF(OR(H1481=MappingTables!$C$34,H1481=MappingTables!$C$35),T1481,0))</f>
        <v>0</v>
      </c>
      <c r="V1481" s="85">
        <f>IF(ISNA(IF(AND(VLOOKUP(CONCATENATE($D1481,$G1481),CSRFinput!$B:$E,4,0)=0,OR(H1481=MappingTables!$C$34,H1481=MappingTables!$C$35)),1,VLOOKUP(CONCATENATE($D1481,$G1481),CSRFinput!$B:$E,4,0))),0,IF(AND(VLOOKUP(CONCATENATE($D1481,$G1481),CSRFinput!$B:$E,4,0)=0,OR(H1481=MappingTables!$C$34,H1481=MappingTables!$C$35)),1,VLOOKUP(CONCATENATE($D1481,$G1481),CSRFinput!$B:$E,4,0)))</f>
        <v>0.054776304963434752</v>
      </c>
      <c r="W1481" s="85">
        <f>IF(B1481="",0,+$T1481*$V1481)</f>
        <v>0.2835848042898736</v>
      </c>
      <c r="X1481" s="85">
        <f>IF(B1481="",0,IF(OR(H1481=MappingTables!$C$34,H1481=MappingTables!$C$35),W1481,0))</f>
        <v>0</v>
      </c>
    </row>
    <row r="1482" spans="2:24" s="0" customFormat="0" ht="15">
      <c r="B1482" s="69">
        <v>741531</v>
      </c>
      <c r="C1482" s="70" t="s">
        <v>1729</v>
      </c>
      <c r="D1482" s="70" t="s">
        <v>1</v>
      </c>
      <c r="E1482" s="70" t="s">
        <v>1</v>
      </c>
      <c r="F1482" s="70"/>
      <c r="G1482" s="70" t="s">
        <v>61</v>
      </c>
      <c r="H1482" s="70" t="s">
        <v>178</v>
      </c>
      <c r="I1482" s="70" t="s">
        <v>181</v>
      </c>
      <c r="J1482" s="71">
        <f>IF(OR(I1482=0,I1482=""),"unrated",VLOOKUP(I1482,MappingTables!$B$19:$C$31,2,FALSE))</f>
        <v>3</v>
      </c>
      <c r="K1482" s="72">
        <v>9376.0547393175312</v>
      </c>
      <c r="L1482" s="70">
        <v>10.76973264066752</v>
      </c>
      <c r="M1482" s="71">
        <f>IF(L1482&lt;1,1,L1482)</f>
        <v>10.76973264066752</v>
      </c>
      <c r="N1482" s="70" t="s">
        <v>141</v>
      </c>
      <c r="O1482" s="71">
        <f>INDEX(DurClassMapping,MATCH(M1482,MappingTables!$D$4:$D$8,-1),1)</f>
        <v>3</v>
      </c>
      <c r="P1482" s="73">
        <f>IF(M1482=$A$1,1,$M1482-INDEX(MappingTables!$E$4:$E$8,MATCH(O1482,MappingTables!$B$4:$B$8,0)))</f>
        <v>0.76973264066752016</v>
      </c>
      <c r="Q1482" s="71">
        <f>IF(B1482="",0,INDEX(ModelParameters!$D$6:$K$10,MATCH($O1482,ModelParameters!$B$6:$B$10,0),MATCH($J1482,ModelParameters!$D$5:$K$5,0)))</f>
        <v>0.01</v>
      </c>
      <c r="R1482" s="71">
        <f>IF(B1482="",0,INDEX(ModelParameters!$D$13:$K$17,MATCH($O1482,ModelParameters!$B$13:$B$17,0),MATCH($J1482,ModelParameters!$D$5:$K$5,0)))</f>
        <v>0.2</v>
      </c>
      <c r="S1482" s="160">
        <f>IF(B1482="",0,MIN(IF($N1482="Other Bond TM",ModelParameters!$N$21,1)*(P1482*Q1482+R1482),1))</f>
        <v>0.2076973264066752</v>
      </c>
      <c r="T1482" s="85">
        <f>IF(B1482="",0,$S1482*$K1482)</f>
        <v>1947.3815015988872</v>
      </c>
      <c r="U1482" s="85">
        <f>IF(B1482="",0,IF(OR(H1482=MappingTables!$C$34,H1482=MappingTables!$C$35),T1482,0))</f>
        <v>0</v>
      </c>
      <c r="V1482" s="85">
        <f>IF(ISNA(IF(AND(VLOOKUP(CONCATENATE($D1482,$G1482),CSRFinput!$B:$E,4,0)=0,OR(H1482=MappingTables!$C$34,H1482=MappingTables!$C$35)),1,VLOOKUP(CONCATENATE($D1482,$G1482),CSRFinput!$B:$E,4,0))),0,IF(AND(VLOOKUP(CONCATENATE($D1482,$G1482),CSRFinput!$B:$E,4,0)=0,OR(H1482=MappingTables!$C$34,H1482=MappingTables!$C$35)),1,VLOOKUP(CONCATENATE($D1482,$G1482),CSRFinput!$B:$E,4,0)))</f>
        <v>0.054776304963434752</v>
      </c>
      <c r="W1482" s="85">
        <f>IF(B1482="",0,+$T1482*$V1482)</f>
        <v>106.67036301173214</v>
      </c>
      <c r="X1482" s="85">
        <f>IF(B1482="",0,IF(OR(H1482=MappingTables!$C$34,H1482=MappingTables!$C$35),W1482,0))</f>
        <v>0</v>
      </c>
    </row>
    <row r="1483" spans="2:24" s="0" customFormat="0" ht="15">
      <c r="B1483" s="69" t="s">
        <v>1730</v>
      </c>
      <c r="C1483" s="70" t="s">
        <v>1731</v>
      </c>
      <c r="D1483" s="70" t="s">
        <v>1</v>
      </c>
      <c r="E1483" s="70" t="s">
        <v>1</v>
      </c>
      <c r="F1483" s="70"/>
      <c r="G1483" s="70" t="s">
        <v>61</v>
      </c>
      <c r="H1483" s="70" t="s">
        <v>178</v>
      </c>
      <c r="I1483" s="70" t="s">
        <v>181</v>
      </c>
      <c r="J1483" s="71">
        <f>IF(OR(I1483=0,I1483=""),"unrated",VLOOKUP(I1483,MappingTables!$B$19:$C$31,2,FALSE))</f>
        <v>3</v>
      </c>
      <c r="K1483" s="72">
        <v>3.1416629805974364</v>
      </c>
      <c r="L1483" s="70">
        <v>1.1253931370245312</v>
      </c>
      <c r="M1483" s="71">
        <f>IF(L1483&lt;1,1,L1483)</f>
        <v>1.1253931370245312</v>
      </c>
      <c r="N1483" s="70" t="s">
        <v>141</v>
      </c>
      <c r="O1483" s="71">
        <f>INDEX(DurClassMapping,MATCH(M1483,MappingTables!$D$4:$D$8,-1),1)</f>
        <v>1</v>
      </c>
      <c r="P1483" s="73">
        <f>IF(M1483=$A$1,1,$M1483-INDEX(MappingTables!$E$4:$E$8,MATCH(O1483,MappingTables!$B$4:$B$8,0)))</f>
        <v>1.1253931370245312</v>
      </c>
      <c r="Q1483" s="71">
        <f>IF(B1483="",0,INDEX(ModelParameters!$D$6:$K$10,MATCH($O1483,ModelParameters!$B$6:$B$10,0),MATCH($J1483,ModelParameters!$D$5:$K$5,0)))</f>
        <v>0.025</v>
      </c>
      <c r="R1483" s="71">
        <f>IF(B1483="",0,INDEX(ModelParameters!$D$13:$K$17,MATCH($O1483,ModelParameters!$B$13:$B$17,0),MATCH($J1483,ModelParameters!$D$5:$K$5,0)))</f>
        <v>0</v>
      </c>
      <c r="S1483" s="160">
        <f>IF(B1483="",0,MIN(IF($N1483="Other Bond TM",ModelParameters!$N$21,1)*(P1483*Q1483+R1483),1))</f>
        <v>0.02813482842561328</v>
      </c>
      <c r="T1483" s="85">
        <f>IF(B1483="",0,$S1483*$K1483)</f>
        <v>0.088390148930209696</v>
      </c>
      <c r="U1483" s="85">
        <f>IF(B1483="",0,IF(OR(H1483=MappingTables!$C$34,H1483=MappingTables!$C$35),T1483,0))</f>
        <v>0</v>
      </c>
      <c r="V1483" s="85">
        <f>IF(ISNA(IF(AND(VLOOKUP(CONCATENATE($D1483,$G1483),CSRFinput!$B:$E,4,0)=0,OR(H1483=MappingTables!$C$34,H1483=MappingTables!$C$35)),1,VLOOKUP(CONCATENATE($D1483,$G1483),CSRFinput!$B:$E,4,0))),0,IF(AND(VLOOKUP(CONCATENATE($D1483,$G1483),CSRFinput!$B:$E,4,0)=0,OR(H1483=MappingTables!$C$34,H1483=MappingTables!$C$35)),1,VLOOKUP(CONCATENATE($D1483,$G1483),CSRFinput!$B:$E,4,0)))</f>
        <v>0.054776304963434752</v>
      </c>
      <c r="W1483" s="85">
        <f>IF(B1483="",0,+$T1483*$V1483)</f>
        <v>0.0048416857535645832</v>
      </c>
      <c r="X1483" s="85">
        <f>IF(B1483="",0,IF(OR(H1483=MappingTables!$C$34,H1483=MappingTables!$C$35),W1483,0))</f>
        <v>0</v>
      </c>
    </row>
    <row r="1484" spans="2:24" s="0" customFormat="0" ht="15">
      <c r="B1484" s="69">
        <v>7823360</v>
      </c>
      <c r="C1484" s="70" t="s">
        <v>1360</v>
      </c>
      <c r="D1484" s="70" t="s">
        <v>1</v>
      </c>
      <c r="E1484" s="70" t="s">
        <v>1</v>
      </c>
      <c r="F1484" s="70"/>
      <c r="G1484" s="70" t="s">
        <v>61</v>
      </c>
      <c r="H1484" s="70" t="s">
        <v>178</v>
      </c>
      <c r="I1484" s="70" t="s">
        <v>179</v>
      </c>
      <c r="J1484" s="71">
        <f>IF(OR(I1484=0,I1484=""),"unrated",VLOOKUP(I1484,MappingTables!$B$19:$C$31,2,FALSE))</f>
        <v>4</v>
      </c>
      <c r="K1484" s="72">
        <v>5297.7882385101656</v>
      </c>
      <c r="L1484" s="70">
        <v>1.8548608321832312</v>
      </c>
      <c r="M1484" s="71">
        <f>IF(L1484&lt;1,1,L1484)</f>
        <v>1.8548608321832312</v>
      </c>
      <c r="N1484" s="70" t="s">
        <v>141</v>
      </c>
      <c r="O1484" s="71">
        <f>INDEX(DurClassMapping,MATCH(M1484,MappingTables!$D$4:$D$8,-1),1)</f>
        <v>1</v>
      </c>
      <c r="P1484" s="73">
        <f>IF(M1484=$A$1,1,$M1484-INDEX(MappingTables!$E$4:$E$8,MATCH(O1484,MappingTables!$B$4:$B$8,0)))</f>
        <v>1.8548608321832312</v>
      </c>
      <c r="Q1484" s="71">
        <f>IF(B1484="",0,INDEX(ModelParameters!$D$6:$K$10,MATCH($O1484,ModelParameters!$B$6:$B$10,0),MATCH($J1484,ModelParameters!$D$5:$K$5,0)))</f>
        <v>0.045</v>
      </c>
      <c r="R1484" s="71">
        <f>IF(B1484="",0,INDEX(ModelParameters!$D$13:$K$17,MATCH($O1484,ModelParameters!$B$13:$B$17,0),MATCH($J1484,ModelParameters!$D$5:$K$5,0)))</f>
        <v>0</v>
      </c>
      <c r="S1484" s="160">
        <f>IF(B1484="",0,MIN(IF($N1484="Other Bond TM",ModelParameters!$N$21,1)*(P1484*Q1484+R1484),1))</f>
        <v>0.083468737448245408</v>
      </c>
      <c r="T1484" s="85">
        <f>IF(B1484="",0,$S1484*$K1484)</f>
        <v>442.1996955366076</v>
      </c>
      <c r="U1484" s="85">
        <f>IF(B1484="",0,IF(OR(H1484=MappingTables!$C$34,H1484=MappingTables!$C$35),T1484,0))</f>
        <v>0</v>
      </c>
      <c r="V1484" s="85">
        <f>IF(ISNA(IF(AND(VLOOKUP(CONCATENATE($D1484,$G1484),CSRFinput!$B:$E,4,0)=0,OR(H1484=MappingTables!$C$34,H1484=MappingTables!$C$35)),1,VLOOKUP(CONCATENATE($D1484,$G1484),CSRFinput!$B:$E,4,0))),0,IF(AND(VLOOKUP(CONCATENATE($D1484,$G1484),CSRFinput!$B:$E,4,0)=0,OR(H1484=MappingTables!$C$34,H1484=MappingTables!$C$35)),1,VLOOKUP(CONCATENATE($D1484,$G1484),CSRFinput!$B:$E,4,0)))</f>
        <v>0.054776304963434752</v>
      </c>
      <c r="W1484" s="85">
        <f>IF(B1484="",0,+$T1484*$V1484)</f>
        <v>24.222065377451216</v>
      </c>
      <c r="X1484" s="85">
        <f>IF(B1484="",0,IF(OR(H1484=MappingTables!$C$34,H1484=MappingTables!$C$35),W1484,0))</f>
        <v>0</v>
      </c>
    </row>
    <row r="1485" spans="2:24" s="0" customFormat="0" ht="15">
      <c r="B1485" s="69" t="s">
        <v>913</v>
      </c>
      <c r="C1485" s="70" t="s">
        <v>914</v>
      </c>
      <c r="D1485" s="70" t="s">
        <v>1</v>
      </c>
      <c r="E1485" s="70" t="s">
        <v>1</v>
      </c>
      <c r="F1485" s="70"/>
      <c r="G1485" s="70" t="s">
        <v>61</v>
      </c>
      <c r="H1485" s="70" t="s">
        <v>178</v>
      </c>
      <c r="I1485" s="70" t="s">
        <v>188</v>
      </c>
      <c r="J1485" s="71">
        <f>IF(OR(I1485=0,I1485=""),"unrated",VLOOKUP(I1485,MappingTables!$B$19:$C$31,2,FALSE))</f>
        <v>2</v>
      </c>
      <c r="K1485" s="72">
        <v>2.2581303993161132</v>
      </c>
      <c r="L1485" s="70">
        <v>1.1328002433945422</v>
      </c>
      <c r="M1485" s="71">
        <f>IF(L1485&lt;1,1,L1485)</f>
        <v>1.1328002433945422</v>
      </c>
      <c r="N1485" s="70" t="s">
        <v>141</v>
      </c>
      <c r="O1485" s="71">
        <f>INDEX(DurClassMapping,MATCH(M1485,MappingTables!$D$4:$D$8,-1),1)</f>
        <v>1</v>
      </c>
      <c r="P1485" s="73">
        <f>IF(M1485=$A$1,1,$M1485-INDEX(MappingTables!$E$4:$E$8,MATCH(O1485,MappingTables!$B$4:$B$8,0)))</f>
        <v>1.1328002433945422</v>
      </c>
      <c r="Q1485" s="71">
        <f>IF(B1485="",0,INDEX(ModelParameters!$D$6:$K$10,MATCH($O1485,ModelParameters!$B$6:$B$10,0),MATCH($J1485,ModelParameters!$D$5:$K$5,0)))</f>
        <v>0.013999999999999998</v>
      </c>
      <c r="R1485" s="71">
        <f>IF(B1485="",0,INDEX(ModelParameters!$D$13:$K$17,MATCH($O1485,ModelParameters!$B$13:$B$17,0),MATCH($J1485,ModelParameters!$D$5:$K$5,0)))</f>
        <v>0</v>
      </c>
      <c r="S1485" s="160">
        <f>IF(B1485="",0,MIN(IF($N1485="Other Bond TM",ModelParameters!$N$21,1)*(P1485*Q1485+R1485),1))</f>
        <v>0.015859203407523586</v>
      </c>
      <c r="T1485" s="85">
        <f>IF(B1485="",0,$S1485*$K1485)</f>
        <v>0.0358121493234667</v>
      </c>
      <c r="U1485" s="85">
        <f>IF(B1485="",0,IF(OR(H1485=MappingTables!$C$34,H1485=MappingTables!$C$35),T1485,0))</f>
        <v>0</v>
      </c>
      <c r="V1485" s="85">
        <f>IF(ISNA(IF(AND(VLOOKUP(CONCATENATE($D1485,$G1485),CSRFinput!$B:$E,4,0)=0,OR(H1485=MappingTables!$C$34,H1485=MappingTables!$C$35)),1,VLOOKUP(CONCATENATE($D1485,$G1485),CSRFinput!$B:$E,4,0))),0,IF(AND(VLOOKUP(CONCATENATE($D1485,$G1485),CSRFinput!$B:$E,4,0)=0,OR(H1485=MappingTables!$C$34,H1485=MappingTables!$C$35)),1,VLOOKUP(CONCATENATE($D1485,$G1485),CSRFinput!$B:$E,4,0)))</f>
        <v>0.054776304963434752</v>
      </c>
      <c r="W1485" s="85">
        <f>IF(B1485="",0,+$T1485*$V1485)</f>
        <v>0.0019616572127382756</v>
      </c>
      <c r="X1485" s="85">
        <f>IF(B1485="",0,IF(OR(H1485=MappingTables!$C$34,H1485=MappingTables!$C$35),W1485,0))</f>
        <v>0</v>
      </c>
    </row>
    <row r="1486" spans="2:24" s="0" customFormat="0" ht="15">
      <c r="B1486" s="69">
        <v>12775392</v>
      </c>
      <c r="C1486" s="70" t="s">
        <v>1140</v>
      </c>
      <c r="D1486" s="70" t="s">
        <v>1</v>
      </c>
      <c r="E1486" s="70" t="s">
        <v>1</v>
      </c>
      <c r="F1486" s="70"/>
      <c r="G1486" s="70" t="s">
        <v>61</v>
      </c>
      <c r="H1486" s="70" t="s">
        <v>178</v>
      </c>
      <c r="I1486" s="70" t="s">
        <v>181</v>
      </c>
      <c r="J1486" s="71">
        <f>IF(OR(I1486=0,I1486=""),"unrated",VLOOKUP(I1486,MappingTables!$B$19:$C$31,2,FALSE))</f>
        <v>3</v>
      </c>
      <c r="K1486" s="72">
        <v>509.62481696534704</v>
      </c>
      <c r="L1486" s="70">
        <v>5.0177054817608456</v>
      </c>
      <c r="M1486" s="71">
        <f>IF(L1486&lt;1,1,L1486)</f>
        <v>5.0177054817608456</v>
      </c>
      <c r="N1486" s="70" t="s">
        <v>141</v>
      </c>
      <c r="O1486" s="71">
        <f>INDEX(DurClassMapping,MATCH(M1486,MappingTables!$D$4:$D$8,-1),1)</f>
        <v>2</v>
      </c>
      <c r="P1486" s="73">
        <f>IF(M1486=$A$1,1,$M1486-INDEX(MappingTables!$E$4:$E$8,MATCH(O1486,MappingTables!$B$4:$B$8,0)))</f>
        <v>0.017705481760845742</v>
      </c>
      <c r="Q1486" s="71">
        <f>IF(B1486="",0,INDEX(ModelParameters!$D$6:$K$10,MATCH($O1486,ModelParameters!$B$6:$B$10,0),MATCH($J1486,ModelParameters!$D$5:$K$5,0)))</f>
        <v>0.015</v>
      </c>
      <c r="R1486" s="71">
        <f>IF(B1486="",0,INDEX(ModelParameters!$D$13:$K$17,MATCH($O1486,ModelParameters!$B$13:$B$17,0),MATCH($J1486,ModelParameters!$D$5:$K$5,0)))</f>
        <v>0.125</v>
      </c>
      <c r="S1486" s="160">
        <f>IF(B1486="",0,MIN(IF($N1486="Other Bond TM",ModelParameters!$N$21,1)*(P1486*Q1486+R1486),1))</f>
        <v>0.12526558222641268</v>
      </c>
      <c r="T1486" s="85">
        <f>IF(B1486="",0,$S1486*$K1486)</f>
        <v>63.838449414193184</v>
      </c>
      <c r="U1486" s="85">
        <f>IF(B1486="",0,IF(OR(H1486=MappingTables!$C$34,H1486=MappingTables!$C$35),T1486,0))</f>
        <v>0</v>
      </c>
      <c r="V1486" s="85">
        <f>IF(ISNA(IF(AND(VLOOKUP(CONCATENATE($D1486,$G1486),CSRFinput!$B:$E,4,0)=0,OR(H1486=MappingTables!$C$34,H1486=MappingTables!$C$35)),1,VLOOKUP(CONCATENATE($D1486,$G1486),CSRFinput!$B:$E,4,0))),0,IF(AND(VLOOKUP(CONCATENATE($D1486,$G1486),CSRFinput!$B:$E,4,0)=0,OR(H1486=MappingTables!$C$34,H1486=MappingTables!$C$35)),1,VLOOKUP(CONCATENATE($D1486,$G1486),CSRFinput!$B:$E,4,0)))</f>
        <v>0.054776304963434752</v>
      </c>
      <c r="W1486" s="85">
        <f>IF(B1486="",0,+$T1486*$V1486)</f>
        <v>3.4968343735046488</v>
      </c>
      <c r="X1486" s="85">
        <f>IF(B1486="",0,IF(OR(H1486=MappingTables!$C$34,H1486=MappingTables!$C$35),W1486,0))</f>
        <v>0</v>
      </c>
    </row>
    <row r="1487" spans="2:24" s="0" customFormat="0" ht="15">
      <c r="B1487" s="69">
        <v>22273778</v>
      </c>
      <c r="C1487" s="70" t="s">
        <v>473</v>
      </c>
      <c r="D1487" s="70" t="s">
        <v>1</v>
      </c>
      <c r="E1487" s="70" t="s">
        <v>1</v>
      </c>
      <c r="F1487" s="70"/>
      <c r="G1487" s="70" t="s">
        <v>61</v>
      </c>
      <c r="H1487" s="70" t="s">
        <v>178</v>
      </c>
      <c r="I1487" s="70" t="s">
        <v>188</v>
      </c>
      <c r="J1487" s="71">
        <f>IF(OR(I1487=0,I1487=""),"unrated",VLOOKUP(I1487,MappingTables!$B$19:$C$31,2,FALSE))</f>
        <v>2</v>
      </c>
      <c r="K1487" s="72">
        <v>462.74135281292032</v>
      </c>
      <c r="L1487" s="70">
        <v>3.9255616041503056</v>
      </c>
      <c r="M1487" s="71">
        <f>IF(L1487&lt;1,1,L1487)</f>
        <v>3.9255616041503056</v>
      </c>
      <c r="N1487" s="70" t="s">
        <v>141</v>
      </c>
      <c r="O1487" s="71">
        <f>INDEX(DurClassMapping,MATCH(M1487,MappingTables!$D$4:$D$8,-1),1)</f>
        <v>1</v>
      </c>
      <c r="P1487" s="73">
        <f>IF(M1487=$A$1,1,$M1487-INDEX(MappingTables!$E$4:$E$8,MATCH(O1487,MappingTables!$B$4:$B$8,0)))</f>
        <v>3.9255616041503056</v>
      </c>
      <c r="Q1487" s="71">
        <f>IF(B1487="",0,INDEX(ModelParameters!$D$6:$K$10,MATCH($O1487,ModelParameters!$B$6:$B$10,0),MATCH($J1487,ModelParameters!$D$5:$K$5,0)))</f>
        <v>0.013999999999999998</v>
      </c>
      <c r="R1487" s="71">
        <f>IF(B1487="",0,INDEX(ModelParameters!$D$13:$K$17,MATCH($O1487,ModelParameters!$B$13:$B$17,0),MATCH($J1487,ModelParameters!$D$5:$K$5,0)))</f>
        <v>0</v>
      </c>
      <c r="S1487" s="160">
        <f>IF(B1487="",0,MIN(IF($N1487="Other Bond TM",ModelParameters!$N$21,1)*(P1487*Q1487+R1487),1))</f>
        <v>0.054957862458104272</v>
      </c>
      <c r="T1487" s="85">
        <f>IF(B1487="",0,$S1487*$K1487)</f>
        <v>25.431275621569576</v>
      </c>
      <c r="U1487" s="85">
        <f>IF(B1487="",0,IF(OR(H1487=MappingTables!$C$34,H1487=MappingTables!$C$35),T1487,0))</f>
        <v>0</v>
      </c>
      <c r="V1487" s="85">
        <f>IF(ISNA(IF(AND(VLOOKUP(CONCATENATE($D1487,$G1487),CSRFinput!$B:$E,4,0)=0,OR(H1487=MappingTables!$C$34,H1487=MappingTables!$C$35)),1,VLOOKUP(CONCATENATE($D1487,$G1487),CSRFinput!$B:$E,4,0))),0,IF(AND(VLOOKUP(CONCATENATE($D1487,$G1487),CSRFinput!$B:$E,4,0)=0,OR(H1487=MappingTables!$C$34,H1487=MappingTables!$C$35)),1,VLOOKUP(CONCATENATE($D1487,$G1487),CSRFinput!$B:$E,4,0)))</f>
        <v>0.054776304963434752</v>
      </c>
      <c r="W1487" s="85">
        <f>IF(B1487="",0,+$T1487*$V1487)</f>
        <v>1.3930313090562588</v>
      </c>
      <c r="X1487" s="85">
        <f>IF(B1487="",0,IF(OR(H1487=MappingTables!$C$34,H1487=MappingTables!$C$35),W1487,0))</f>
        <v>0</v>
      </c>
    </row>
    <row r="1488" spans="2:24" s="0" customFormat="0" ht="15">
      <c r="B1488" s="69">
        <v>12635400</v>
      </c>
      <c r="C1488" s="70" t="s">
        <v>1732</v>
      </c>
      <c r="D1488" s="70" t="s">
        <v>1</v>
      </c>
      <c r="E1488" s="70" t="s">
        <v>1</v>
      </c>
      <c r="F1488" s="70"/>
      <c r="G1488" s="70" t="s">
        <v>61</v>
      </c>
      <c r="H1488" s="70" t="s">
        <v>178</v>
      </c>
      <c r="I1488" s="70" t="s">
        <v>181</v>
      </c>
      <c r="J1488" s="71">
        <f>IF(OR(I1488=0,I1488=""),"unrated",VLOOKUP(I1488,MappingTables!$B$19:$C$31,2,FALSE))</f>
        <v>3</v>
      </c>
      <c r="K1488" s="72">
        <v>742.02826170276544</v>
      </c>
      <c r="L1488" s="70">
        <v>0.7453956492192312</v>
      </c>
      <c r="M1488" s="71">
        <f>IF(L1488&lt;1,1,L1488)</f>
        <v>1</v>
      </c>
      <c r="N1488" s="70" t="s">
        <v>141</v>
      </c>
      <c r="O1488" s="71">
        <f>INDEX(DurClassMapping,MATCH(M1488,MappingTables!$D$4:$D$8,-1),1)</f>
        <v>1</v>
      </c>
      <c r="P1488" s="73">
        <f>IF(M1488=$A$1,1,$M1488-INDEX(MappingTables!$E$4:$E$8,MATCH(O1488,MappingTables!$B$4:$B$8,0)))</f>
        <v>1</v>
      </c>
      <c r="Q1488" s="71">
        <f>IF(B1488="",0,INDEX(ModelParameters!$D$6:$K$10,MATCH($O1488,ModelParameters!$B$6:$B$10,0),MATCH($J1488,ModelParameters!$D$5:$K$5,0)))</f>
        <v>0.025</v>
      </c>
      <c r="R1488" s="71">
        <f>IF(B1488="",0,INDEX(ModelParameters!$D$13:$K$17,MATCH($O1488,ModelParameters!$B$13:$B$17,0),MATCH($J1488,ModelParameters!$D$5:$K$5,0)))</f>
        <v>0</v>
      </c>
      <c r="S1488" s="160">
        <f>IF(B1488="",0,MIN(IF($N1488="Other Bond TM",ModelParameters!$N$21,1)*(P1488*Q1488+R1488),1))</f>
        <v>0.025</v>
      </c>
      <c r="T1488" s="85">
        <f>IF(B1488="",0,$S1488*$K1488)</f>
        <v>18.550706542569136</v>
      </c>
      <c r="U1488" s="85">
        <f>IF(B1488="",0,IF(OR(H1488=MappingTables!$C$34,H1488=MappingTables!$C$35),T1488,0))</f>
        <v>0</v>
      </c>
      <c r="V1488" s="85">
        <f>IF(ISNA(IF(AND(VLOOKUP(CONCATENATE($D1488,$G1488),CSRFinput!$B:$E,4,0)=0,OR(H1488=MappingTables!$C$34,H1488=MappingTables!$C$35)),1,VLOOKUP(CONCATENATE($D1488,$G1488),CSRFinput!$B:$E,4,0))),0,IF(AND(VLOOKUP(CONCATENATE($D1488,$G1488),CSRFinput!$B:$E,4,0)=0,OR(H1488=MappingTables!$C$34,H1488=MappingTables!$C$35)),1,VLOOKUP(CONCATENATE($D1488,$G1488),CSRFinput!$B:$E,4,0)))</f>
        <v>0.054776304963434752</v>
      </c>
      <c r="W1488" s="85">
        <f>IF(B1488="",0,+$T1488*$V1488)</f>
        <v>1.0161391588629514</v>
      </c>
      <c r="X1488" s="85">
        <f>IF(B1488="",0,IF(OR(H1488=MappingTables!$C$34,H1488=MappingTables!$C$35),W1488,0))</f>
        <v>0</v>
      </c>
    </row>
    <row r="1489" spans="2:24" s="0" customFormat="0" ht="15">
      <c r="B1489" s="69" t="s">
        <v>926</v>
      </c>
      <c r="C1489" s="70" t="s">
        <v>927</v>
      </c>
      <c r="D1489" s="70" t="s">
        <v>1</v>
      </c>
      <c r="E1489" s="70" t="s">
        <v>1</v>
      </c>
      <c r="F1489" s="70"/>
      <c r="G1489" s="70" t="s">
        <v>61</v>
      </c>
      <c r="H1489" s="70" t="s">
        <v>178</v>
      </c>
      <c r="I1489" s="70" t="s">
        <v>198</v>
      </c>
      <c r="J1489" s="71" t="str">
        <f>IF(OR(I1489=0,I1489=""),"unrated",VLOOKUP(I1489,MappingTables!$B$19:$C$31,2,FALSE))</f>
        <v>unrated</v>
      </c>
      <c r="K1489" s="72">
        <v>32811.556405161376</v>
      </c>
      <c r="L1489" s="70">
        <v>6.1347471741040464</v>
      </c>
      <c r="M1489" s="71">
        <f>IF(L1489&lt;1,1,L1489)</f>
        <v>6.1347471741040464</v>
      </c>
      <c r="N1489" s="70" t="s">
        <v>141</v>
      </c>
      <c r="O1489" s="71">
        <f>INDEX(DurClassMapping,MATCH(M1489,MappingTables!$D$4:$D$8,-1),1)</f>
        <v>2</v>
      </c>
      <c r="P1489" s="73">
        <f>IF(M1489=$A$1,1,$M1489-INDEX(MappingTables!$E$4:$E$8,MATCH(O1489,MappingTables!$B$4:$B$8,0)))</f>
        <v>1.1347471741040466</v>
      </c>
      <c r="Q1489" s="71">
        <f>IF(B1489="",0,INDEX(ModelParameters!$D$6:$K$10,MATCH($O1489,ModelParameters!$B$6:$B$10,0),MATCH($J1489,ModelParameters!$D$5:$K$5,0)))</f>
        <v>0.017000000000000002</v>
      </c>
      <c r="R1489" s="71">
        <f>IF(B1489="",0,INDEX(ModelParameters!$D$13:$K$17,MATCH($O1489,ModelParameters!$B$13:$B$17,0),MATCH($J1489,ModelParameters!$D$5:$K$5,0)))</f>
        <v>0.15</v>
      </c>
      <c r="S1489" s="160">
        <f>IF(B1489="",0,MIN(IF($N1489="Other Bond TM",ModelParameters!$N$21,1)*(P1489*Q1489+R1489),1))</f>
        <v>0.16929070195976878</v>
      </c>
      <c r="T1489" s="85">
        <f>IF(B1489="",0,$S1489*$K1489)</f>
        <v>5554.6914162223168</v>
      </c>
      <c r="U1489" s="85">
        <f>IF(B1489="",0,IF(OR(H1489=MappingTables!$C$34,H1489=MappingTables!$C$35),T1489,0))</f>
        <v>0</v>
      </c>
      <c r="V1489" s="85">
        <f>IF(ISNA(IF(AND(VLOOKUP(CONCATENATE($D1489,$G1489),CSRFinput!$B:$E,4,0)=0,OR(H1489=MappingTables!$C$34,H1489=MappingTables!$C$35)),1,VLOOKUP(CONCATENATE($D1489,$G1489),CSRFinput!$B:$E,4,0))),0,IF(AND(VLOOKUP(CONCATENATE($D1489,$G1489),CSRFinput!$B:$E,4,0)=0,OR(H1489=MappingTables!$C$34,H1489=MappingTables!$C$35)),1,VLOOKUP(CONCATENATE($D1489,$G1489),CSRFinput!$B:$E,4,0)))</f>
        <v>0.054776304963434752</v>
      </c>
      <c r="W1489" s="85">
        <f>IF(B1489="",0,+$T1489*$V1489)</f>
        <v>304.26547099276688</v>
      </c>
      <c r="X1489" s="85">
        <f>IF(B1489="",0,IF(OR(H1489=MappingTables!$C$34,H1489=MappingTables!$C$35),W1489,0))</f>
        <v>0</v>
      </c>
    </row>
    <row r="1490" spans="2:24" s="0" customFormat="0" ht="15">
      <c r="B1490" s="69">
        <v>22463789</v>
      </c>
      <c r="C1490" s="70" t="s">
        <v>1733</v>
      </c>
      <c r="D1490" s="70" t="s">
        <v>1</v>
      </c>
      <c r="E1490" s="70" t="s">
        <v>1</v>
      </c>
      <c r="F1490" s="70"/>
      <c r="G1490" s="70" t="s">
        <v>61</v>
      </c>
      <c r="H1490" s="70" t="s">
        <v>178</v>
      </c>
      <c r="I1490" s="70" t="s">
        <v>179</v>
      </c>
      <c r="J1490" s="71">
        <f>IF(OR(I1490=0,I1490=""),"unrated",VLOOKUP(I1490,MappingTables!$B$19:$C$31,2,FALSE))</f>
        <v>4</v>
      </c>
      <c r="K1490" s="72">
        <v>8726.0684749950064</v>
      </c>
      <c r="L1490" s="70">
        <v>16.091513516501376</v>
      </c>
      <c r="M1490" s="71">
        <f>IF(L1490&lt;1,1,L1490)</f>
        <v>16.091513516501376</v>
      </c>
      <c r="N1490" s="70" t="s">
        <v>141</v>
      </c>
      <c r="O1490" s="71">
        <f>INDEX(DurClassMapping,MATCH(M1490,MappingTables!$D$4:$D$8,-1),1)</f>
        <v>4</v>
      </c>
      <c r="P1490" s="73">
        <f>IF(M1490=$A$1,1,$M1490-INDEX(MappingTables!$E$4:$E$8,MATCH(O1490,MappingTables!$B$4:$B$8,0)))</f>
        <v>1.0915135165013758</v>
      </c>
      <c r="Q1490" s="71">
        <f>IF(B1490="",0,INDEX(ModelParameters!$D$6:$K$10,MATCH($O1490,ModelParameters!$B$6:$B$10,0),MATCH($J1490,ModelParameters!$D$5:$K$5,0)))</f>
        <v>0.005</v>
      </c>
      <c r="R1490" s="71">
        <f>IF(B1490="",0,INDEX(ModelParameters!$D$13:$K$17,MATCH($O1490,ModelParameters!$B$13:$B$17,0),MATCH($J1490,ModelParameters!$D$5:$K$5,0)))</f>
        <v>0.44</v>
      </c>
      <c r="S1490" s="160">
        <f>IF(B1490="",0,MIN(IF($N1490="Other Bond TM",ModelParameters!$N$21,1)*(P1490*Q1490+R1490),1))</f>
        <v>0.44545756758250688</v>
      </c>
      <c r="T1490" s="85">
        <f>IF(B1490="",0,$S1490*$K1490)</f>
        <v>3887.0932374296712</v>
      </c>
      <c r="U1490" s="85">
        <f>IF(B1490="",0,IF(OR(H1490=MappingTables!$C$34,H1490=MappingTables!$C$35),T1490,0))</f>
        <v>0</v>
      </c>
      <c r="V1490" s="85">
        <f>IF(ISNA(IF(AND(VLOOKUP(CONCATENATE($D1490,$G1490),CSRFinput!$B:$E,4,0)=0,OR(H1490=MappingTables!$C$34,H1490=MappingTables!$C$35)),1,VLOOKUP(CONCATENATE($D1490,$G1490),CSRFinput!$B:$E,4,0))),0,IF(AND(VLOOKUP(CONCATENATE($D1490,$G1490),CSRFinput!$B:$E,4,0)=0,OR(H1490=MappingTables!$C$34,H1490=MappingTables!$C$35)),1,VLOOKUP(CONCATENATE($D1490,$G1490),CSRFinput!$B:$E,4,0)))</f>
        <v>0.054776304963434752</v>
      </c>
      <c r="W1490" s="85">
        <f>IF(B1490="",0,+$T1490*$V1490)</f>
        <v>212.92060459475256</v>
      </c>
      <c r="X1490" s="85">
        <f>IF(B1490="",0,IF(OR(H1490=MappingTables!$C$34,H1490=MappingTables!$C$35),W1490,0))</f>
        <v>0</v>
      </c>
    </row>
    <row r="1491" spans="2:24" s="0" customFormat="0" ht="15">
      <c r="B1491" s="69">
        <v>11828354</v>
      </c>
      <c r="C1491" s="70" t="s">
        <v>1559</v>
      </c>
      <c r="D1491" s="70" t="s">
        <v>1</v>
      </c>
      <c r="E1491" s="70" t="s">
        <v>1</v>
      </c>
      <c r="F1491" s="70"/>
      <c r="G1491" s="70" t="s">
        <v>61</v>
      </c>
      <c r="H1491" s="70" t="s">
        <v>178</v>
      </c>
      <c r="I1491" s="70" t="s">
        <v>181</v>
      </c>
      <c r="J1491" s="71">
        <f>IF(OR(I1491=0,I1491=""),"unrated",VLOOKUP(I1491,MappingTables!$B$19:$C$31,2,FALSE))</f>
        <v>3</v>
      </c>
      <c r="K1491" s="72">
        <v>452.20093285387056</v>
      </c>
      <c r="L1491" s="70">
        <v>0.20547805190992684</v>
      </c>
      <c r="M1491" s="71">
        <f>IF(L1491&lt;1,1,L1491)</f>
        <v>1</v>
      </c>
      <c r="N1491" s="70" t="s">
        <v>141</v>
      </c>
      <c r="O1491" s="71">
        <f>INDEX(DurClassMapping,MATCH(M1491,MappingTables!$D$4:$D$8,-1),1)</f>
        <v>1</v>
      </c>
      <c r="P1491" s="73">
        <f>IF(M1491=$A$1,1,$M1491-INDEX(MappingTables!$E$4:$E$8,MATCH(O1491,MappingTables!$B$4:$B$8,0)))</f>
        <v>1</v>
      </c>
      <c r="Q1491" s="71">
        <f>IF(B1491="",0,INDEX(ModelParameters!$D$6:$K$10,MATCH($O1491,ModelParameters!$B$6:$B$10,0),MATCH($J1491,ModelParameters!$D$5:$K$5,0)))</f>
        <v>0.025</v>
      </c>
      <c r="R1491" s="71">
        <f>IF(B1491="",0,INDEX(ModelParameters!$D$13:$K$17,MATCH($O1491,ModelParameters!$B$13:$B$17,0),MATCH($J1491,ModelParameters!$D$5:$K$5,0)))</f>
        <v>0</v>
      </c>
      <c r="S1491" s="160">
        <f>IF(B1491="",0,MIN(IF($N1491="Other Bond TM",ModelParameters!$N$21,1)*(P1491*Q1491+R1491),1))</f>
        <v>0.025</v>
      </c>
      <c r="T1491" s="85">
        <f>IF(B1491="",0,$S1491*$K1491)</f>
        <v>11.305023321346766</v>
      </c>
      <c r="U1491" s="85">
        <f>IF(B1491="",0,IF(OR(H1491=MappingTables!$C$34,H1491=MappingTables!$C$35),T1491,0))</f>
        <v>0</v>
      </c>
      <c r="V1491" s="85">
        <f>IF(ISNA(IF(AND(VLOOKUP(CONCATENATE($D1491,$G1491),CSRFinput!$B:$E,4,0)=0,OR(H1491=MappingTables!$C$34,H1491=MappingTables!$C$35)),1,VLOOKUP(CONCATENATE($D1491,$G1491),CSRFinput!$B:$E,4,0))),0,IF(AND(VLOOKUP(CONCATENATE($D1491,$G1491),CSRFinput!$B:$E,4,0)=0,OR(H1491=MappingTables!$C$34,H1491=MappingTables!$C$35)),1,VLOOKUP(CONCATENATE($D1491,$G1491),CSRFinput!$B:$E,4,0)))</f>
        <v>0.054776304963434752</v>
      </c>
      <c r="W1491" s="85">
        <f>IF(B1491="",0,+$T1491*$V1491)</f>
        <v>0.61924740506883248</v>
      </c>
      <c r="X1491" s="85">
        <f>IF(B1491="",0,IF(OR(H1491=MappingTables!$C$34,H1491=MappingTables!$C$35),W1491,0))</f>
        <v>0</v>
      </c>
    </row>
    <row r="1492" spans="2:24" s="0" customFormat="0" ht="15">
      <c r="B1492" s="69">
        <v>16058095</v>
      </c>
      <c r="C1492" s="70" t="s">
        <v>1734</v>
      </c>
      <c r="D1492" s="70" t="s">
        <v>1</v>
      </c>
      <c r="E1492" s="70" t="s">
        <v>1</v>
      </c>
      <c r="F1492" s="70"/>
      <c r="G1492" s="70" t="s">
        <v>61</v>
      </c>
      <c r="H1492" s="70" t="s">
        <v>178</v>
      </c>
      <c r="I1492" s="70" t="s">
        <v>179</v>
      </c>
      <c r="J1492" s="71">
        <f>IF(OR(I1492=0,I1492=""),"unrated",VLOOKUP(I1492,MappingTables!$B$19:$C$31,2,FALSE))</f>
        <v>4</v>
      </c>
      <c r="K1492" s="72">
        <v>1851.4035908810976</v>
      </c>
      <c r="L1492" s="70">
        <v>0.26917387019724552</v>
      </c>
      <c r="M1492" s="71">
        <f>IF(L1492&lt;1,1,L1492)</f>
        <v>1</v>
      </c>
      <c r="N1492" s="70" t="s">
        <v>141</v>
      </c>
      <c r="O1492" s="71">
        <f>INDEX(DurClassMapping,MATCH(M1492,MappingTables!$D$4:$D$8,-1),1)</f>
        <v>1</v>
      </c>
      <c r="P1492" s="73">
        <f>IF(M1492=$A$1,1,$M1492-INDEX(MappingTables!$E$4:$E$8,MATCH(O1492,MappingTables!$B$4:$B$8,0)))</f>
        <v>1</v>
      </c>
      <c r="Q1492" s="71">
        <f>IF(B1492="",0,INDEX(ModelParameters!$D$6:$K$10,MATCH($O1492,ModelParameters!$B$6:$B$10,0),MATCH($J1492,ModelParameters!$D$5:$K$5,0)))</f>
        <v>0.045</v>
      </c>
      <c r="R1492" s="71">
        <f>IF(B1492="",0,INDEX(ModelParameters!$D$13:$K$17,MATCH($O1492,ModelParameters!$B$13:$B$17,0),MATCH($J1492,ModelParameters!$D$5:$K$5,0)))</f>
        <v>0</v>
      </c>
      <c r="S1492" s="160">
        <f>IF(B1492="",0,MIN(IF($N1492="Other Bond TM",ModelParameters!$N$21,1)*(P1492*Q1492+R1492),1))</f>
        <v>0.045</v>
      </c>
      <c r="T1492" s="85">
        <f>IF(B1492="",0,$S1492*$K1492)</f>
        <v>83.313161589649376</v>
      </c>
      <c r="U1492" s="85">
        <f>IF(B1492="",0,IF(OR(H1492=MappingTables!$C$34,H1492=MappingTables!$C$35),T1492,0))</f>
        <v>0</v>
      </c>
      <c r="V1492" s="85">
        <f>IF(ISNA(IF(AND(VLOOKUP(CONCATENATE($D1492,$G1492),CSRFinput!$B:$E,4,0)=0,OR(H1492=MappingTables!$C$34,H1492=MappingTables!$C$35)),1,VLOOKUP(CONCATENATE($D1492,$G1492),CSRFinput!$B:$E,4,0))),0,IF(AND(VLOOKUP(CONCATENATE($D1492,$G1492),CSRFinput!$B:$E,4,0)=0,OR(H1492=MappingTables!$C$34,H1492=MappingTables!$C$35)),1,VLOOKUP(CONCATENATE($D1492,$G1492),CSRFinput!$B:$E,4,0)))</f>
        <v>0.054776304963434752</v>
      </c>
      <c r="W1492" s="85">
        <f>IF(B1492="",0,+$T1492*$V1492)</f>
        <v>4.5635871467025536</v>
      </c>
      <c r="X1492" s="85">
        <f>IF(B1492="",0,IF(OR(H1492=MappingTables!$C$34,H1492=MappingTables!$C$35),W1492,0))</f>
        <v>0</v>
      </c>
    </row>
    <row r="1493" spans="2:24" s="0" customFormat="0" ht="15">
      <c r="B1493" s="69">
        <v>20952390</v>
      </c>
      <c r="C1493" s="70" t="s">
        <v>1735</v>
      </c>
      <c r="D1493" s="70" t="s">
        <v>1</v>
      </c>
      <c r="E1493" s="70" t="s">
        <v>1</v>
      </c>
      <c r="F1493" s="70"/>
      <c r="G1493" s="70" t="s">
        <v>61</v>
      </c>
      <c r="H1493" s="70" t="s">
        <v>178</v>
      </c>
      <c r="I1493" s="70" t="s">
        <v>181</v>
      </c>
      <c r="J1493" s="71">
        <f>IF(OR(I1493=0,I1493=""),"unrated",VLOOKUP(I1493,MappingTables!$B$19:$C$31,2,FALSE))</f>
        <v>3</v>
      </c>
      <c r="K1493" s="72">
        <v>119.67928982445944</v>
      </c>
      <c r="L1493" s="70">
        <v>7.4397965271671248</v>
      </c>
      <c r="M1493" s="71">
        <f>IF(L1493&lt;1,1,L1493)</f>
        <v>7.4397965271671248</v>
      </c>
      <c r="N1493" s="70" t="s">
        <v>141</v>
      </c>
      <c r="O1493" s="71">
        <f>INDEX(DurClassMapping,MATCH(M1493,MappingTables!$D$4:$D$8,-1),1)</f>
        <v>2</v>
      </c>
      <c r="P1493" s="73">
        <f>IF(M1493=$A$1,1,$M1493-INDEX(MappingTables!$E$4:$E$8,MATCH(O1493,MappingTables!$B$4:$B$8,0)))</f>
        <v>2.4397965271671252</v>
      </c>
      <c r="Q1493" s="71">
        <f>IF(B1493="",0,INDEX(ModelParameters!$D$6:$K$10,MATCH($O1493,ModelParameters!$B$6:$B$10,0),MATCH($J1493,ModelParameters!$D$5:$K$5,0)))</f>
        <v>0.015</v>
      </c>
      <c r="R1493" s="71">
        <f>IF(B1493="",0,INDEX(ModelParameters!$D$13:$K$17,MATCH($O1493,ModelParameters!$B$13:$B$17,0),MATCH($J1493,ModelParameters!$D$5:$K$5,0)))</f>
        <v>0.125</v>
      </c>
      <c r="S1493" s="160">
        <f>IF(B1493="",0,MIN(IF($N1493="Other Bond TM",ModelParameters!$N$21,1)*(P1493*Q1493+R1493),1))</f>
        <v>0.1615969479075069</v>
      </c>
      <c r="T1493" s="85">
        <f>IF(B1493="",0,$S1493*$K1493)</f>
        <v>19.339807963370588</v>
      </c>
      <c r="U1493" s="85">
        <f>IF(B1493="",0,IF(OR(H1493=MappingTables!$C$34,H1493=MappingTables!$C$35),T1493,0))</f>
        <v>0</v>
      </c>
      <c r="V1493" s="85">
        <f>IF(ISNA(IF(AND(VLOOKUP(CONCATENATE($D1493,$G1493),CSRFinput!$B:$E,4,0)=0,OR(H1493=MappingTables!$C$34,H1493=MappingTables!$C$35)),1,VLOOKUP(CONCATENATE($D1493,$G1493),CSRFinput!$B:$E,4,0))),0,IF(AND(VLOOKUP(CONCATENATE($D1493,$G1493),CSRFinput!$B:$E,4,0)=0,OR(H1493=MappingTables!$C$34,H1493=MappingTables!$C$35)),1,VLOOKUP(CONCATENATE($D1493,$G1493),CSRFinput!$B:$E,4,0)))</f>
        <v>0.054776304963434752</v>
      </c>
      <c r="W1493" s="85">
        <f>IF(B1493="",0,+$T1493*$V1493)</f>
        <v>1.0593632189358512</v>
      </c>
      <c r="X1493" s="85">
        <f>IF(B1493="",0,IF(OR(H1493=MappingTables!$C$34,H1493=MappingTables!$C$35),W1493,0))</f>
        <v>0</v>
      </c>
    </row>
    <row r="1494" spans="2:24" s="0" customFormat="0" ht="15">
      <c r="B1494" s="69">
        <v>18903817</v>
      </c>
      <c r="C1494" s="70" t="s">
        <v>1736</v>
      </c>
      <c r="D1494" s="70" t="s">
        <v>1</v>
      </c>
      <c r="E1494" s="70" t="s">
        <v>1</v>
      </c>
      <c r="F1494" s="70"/>
      <c r="G1494" s="70" t="s">
        <v>61</v>
      </c>
      <c r="H1494" s="70" t="s">
        <v>178</v>
      </c>
      <c r="I1494" s="70" t="s">
        <v>179</v>
      </c>
      <c r="J1494" s="71">
        <f>IF(OR(I1494=0,I1494=""),"unrated",VLOOKUP(I1494,MappingTables!$B$19:$C$31,2,FALSE))</f>
        <v>4</v>
      </c>
      <c r="K1494" s="72">
        <v>27.53870315563754</v>
      </c>
      <c r="L1494" s="70">
        <v>3.0290647318039916</v>
      </c>
      <c r="M1494" s="71">
        <f>IF(L1494&lt;1,1,L1494)</f>
        <v>3.0290647318039916</v>
      </c>
      <c r="N1494" s="70" t="s">
        <v>141</v>
      </c>
      <c r="O1494" s="71">
        <f>INDEX(DurClassMapping,MATCH(M1494,MappingTables!$D$4:$D$8,-1),1)</f>
        <v>1</v>
      </c>
      <c r="P1494" s="73">
        <f>IF(M1494=$A$1,1,$M1494-INDEX(MappingTables!$E$4:$E$8,MATCH(O1494,MappingTables!$B$4:$B$8,0)))</f>
        <v>3.0290647318039916</v>
      </c>
      <c r="Q1494" s="71">
        <f>IF(B1494="",0,INDEX(ModelParameters!$D$6:$K$10,MATCH($O1494,ModelParameters!$B$6:$B$10,0),MATCH($J1494,ModelParameters!$D$5:$K$5,0)))</f>
        <v>0.045</v>
      </c>
      <c r="R1494" s="71">
        <f>IF(B1494="",0,INDEX(ModelParameters!$D$13:$K$17,MATCH($O1494,ModelParameters!$B$13:$B$17,0),MATCH($J1494,ModelParameters!$D$5:$K$5,0)))</f>
        <v>0</v>
      </c>
      <c r="S1494" s="160">
        <f>IF(B1494="",0,MIN(IF($N1494="Other Bond TM",ModelParameters!$N$21,1)*(P1494*Q1494+R1494),1))</f>
        <v>0.1363079129311796</v>
      </c>
      <c r="T1494" s="85">
        <f>IF(B1494="",0,$S1494*$K1494)</f>
        <v>3.7537431519762424</v>
      </c>
      <c r="U1494" s="85">
        <f>IF(B1494="",0,IF(OR(H1494=MappingTables!$C$34,H1494=MappingTables!$C$35),T1494,0))</f>
        <v>0</v>
      </c>
      <c r="V1494" s="85">
        <f>IF(ISNA(IF(AND(VLOOKUP(CONCATENATE($D1494,$G1494),CSRFinput!$B:$E,4,0)=0,OR(H1494=MappingTables!$C$34,H1494=MappingTables!$C$35)),1,VLOOKUP(CONCATENATE($D1494,$G1494),CSRFinput!$B:$E,4,0))),0,IF(AND(VLOOKUP(CONCATENATE($D1494,$G1494),CSRFinput!$B:$E,4,0)=0,OR(H1494=MappingTables!$C$34,H1494=MappingTables!$C$35)),1,VLOOKUP(CONCATENATE($D1494,$G1494),CSRFinput!$B:$E,4,0)))</f>
        <v>0.054776304963434752</v>
      </c>
      <c r="W1494" s="85">
        <f>IF(B1494="",0,+$T1494*$V1494)</f>
        <v>0.20561617964705548</v>
      </c>
      <c r="X1494" s="85">
        <f>IF(B1494="",0,IF(OR(H1494=MappingTables!$C$34,H1494=MappingTables!$C$35),W1494,0))</f>
        <v>0</v>
      </c>
    </row>
    <row r="1495" spans="2:24" s="0" customFormat="0" ht="15">
      <c r="B1495" s="69">
        <v>14674577</v>
      </c>
      <c r="C1495" s="70" t="s">
        <v>1737</v>
      </c>
      <c r="D1495" s="70" t="s">
        <v>1</v>
      </c>
      <c r="E1495" s="70" t="s">
        <v>1</v>
      </c>
      <c r="F1495" s="70"/>
      <c r="G1495" s="70" t="s">
        <v>61</v>
      </c>
      <c r="H1495" s="70" t="s">
        <v>178</v>
      </c>
      <c r="I1495" s="70" t="s">
        <v>181</v>
      </c>
      <c r="J1495" s="71">
        <f>IF(OR(I1495=0,I1495=""),"unrated",VLOOKUP(I1495,MappingTables!$B$19:$C$31,2,FALSE))</f>
        <v>3</v>
      </c>
      <c r="K1495" s="72">
        <v>23306.854959183036</v>
      </c>
      <c r="L1495" s="70">
        <v>5.5640133385653696</v>
      </c>
      <c r="M1495" s="71">
        <f>IF(L1495&lt;1,1,L1495)</f>
        <v>5.5640133385653696</v>
      </c>
      <c r="N1495" s="70" t="s">
        <v>141</v>
      </c>
      <c r="O1495" s="71">
        <f>INDEX(DurClassMapping,MATCH(M1495,MappingTables!$D$4:$D$8,-1),1)</f>
        <v>2</v>
      </c>
      <c r="P1495" s="73">
        <f>IF(M1495=$A$1,1,$M1495-INDEX(MappingTables!$E$4:$E$8,MATCH(O1495,MappingTables!$B$4:$B$8,0)))</f>
        <v>0.5640133385653696</v>
      </c>
      <c r="Q1495" s="71">
        <f>IF(B1495="",0,INDEX(ModelParameters!$D$6:$K$10,MATCH($O1495,ModelParameters!$B$6:$B$10,0),MATCH($J1495,ModelParameters!$D$5:$K$5,0)))</f>
        <v>0.015</v>
      </c>
      <c r="R1495" s="71">
        <f>IF(B1495="",0,INDEX(ModelParameters!$D$13:$K$17,MATCH($O1495,ModelParameters!$B$13:$B$17,0),MATCH($J1495,ModelParameters!$D$5:$K$5,0)))</f>
        <v>0.125</v>
      </c>
      <c r="S1495" s="160">
        <f>IF(B1495="",0,MIN(IF($N1495="Other Bond TM",ModelParameters!$N$21,1)*(P1495*Q1495+R1495),1))</f>
        <v>0.13346020007848056</v>
      </c>
      <c r="T1495" s="85">
        <f>IF(B1495="",0,$S1495*$K1495)</f>
        <v>3110.5375260526944</v>
      </c>
      <c r="U1495" s="85">
        <f>IF(B1495="",0,IF(OR(H1495=MappingTables!$C$34,H1495=MappingTables!$C$35),T1495,0))</f>
        <v>0</v>
      </c>
      <c r="V1495" s="85">
        <f>IF(ISNA(IF(AND(VLOOKUP(CONCATENATE($D1495,$G1495),CSRFinput!$B:$E,4,0)=0,OR(H1495=MappingTables!$C$34,H1495=MappingTables!$C$35)),1,VLOOKUP(CONCATENATE($D1495,$G1495),CSRFinput!$B:$E,4,0))),0,IF(AND(VLOOKUP(CONCATENATE($D1495,$G1495),CSRFinput!$B:$E,4,0)=0,OR(H1495=MappingTables!$C$34,H1495=MappingTables!$C$35)),1,VLOOKUP(CONCATENATE($D1495,$G1495),CSRFinput!$B:$E,4,0)))</f>
        <v>0.054776304963434752</v>
      </c>
      <c r="W1495" s="85">
        <f>IF(B1495="",0,+$T1495*$V1495)</f>
        <v>170.38375212727028</v>
      </c>
      <c r="X1495" s="85">
        <f>IF(B1495="",0,IF(OR(H1495=MappingTables!$C$34,H1495=MappingTables!$C$35),W1495,0))</f>
        <v>0</v>
      </c>
    </row>
    <row r="1496" spans="2:24" s="0" customFormat="0" ht="15">
      <c r="B1496" s="69">
        <v>12853219</v>
      </c>
      <c r="C1496" s="70" t="s">
        <v>1738</v>
      </c>
      <c r="D1496" s="70" t="s">
        <v>1</v>
      </c>
      <c r="E1496" s="70" t="s">
        <v>1</v>
      </c>
      <c r="F1496" s="70"/>
      <c r="G1496" s="70" t="s">
        <v>61</v>
      </c>
      <c r="H1496" s="70" t="s">
        <v>178</v>
      </c>
      <c r="I1496" s="70" t="s">
        <v>181</v>
      </c>
      <c r="J1496" s="71">
        <f>IF(OR(I1496=0,I1496=""),"unrated",VLOOKUP(I1496,MappingTables!$B$19:$C$31,2,FALSE))</f>
        <v>3</v>
      </c>
      <c r="K1496" s="72">
        <v>32.984411034870008</v>
      </c>
      <c r="L1496" s="70">
        <v>1.280449348628975</v>
      </c>
      <c r="M1496" s="71">
        <f>IF(L1496&lt;1,1,L1496)</f>
        <v>1.280449348628975</v>
      </c>
      <c r="N1496" s="70" t="s">
        <v>141</v>
      </c>
      <c r="O1496" s="71">
        <f>INDEX(DurClassMapping,MATCH(M1496,MappingTables!$D$4:$D$8,-1),1)</f>
        <v>1</v>
      </c>
      <c r="P1496" s="73">
        <f>IF(M1496=$A$1,1,$M1496-INDEX(MappingTables!$E$4:$E$8,MATCH(O1496,MappingTables!$B$4:$B$8,0)))</f>
        <v>1.280449348628975</v>
      </c>
      <c r="Q1496" s="71">
        <f>IF(B1496="",0,INDEX(ModelParameters!$D$6:$K$10,MATCH($O1496,ModelParameters!$B$6:$B$10,0),MATCH($J1496,ModelParameters!$D$5:$K$5,0)))</f>
        <v>0.025</v>
      </c>
      <c r="R1496" s="71">
        <f>IF(B1496="",0,INDEX(ModelParameters!$D$13:$K$17,MATCH($O1496,ModelParameters!$B$13:$B$17,0),MATCH($J1496,ModelParameters!$D$5:$K$5,0)))</f>
        <v>0</v>
      </c>
      <c r="S1496" s="160">
        <f>IF(B1496="",0,MIN(IF($N1496="Other Bond TM",ModelParameters!$N$21,1)*(P1496*Q1496+R1496),1))</f>
        <v>0.032011233715724376</v>
      </c>
      <c r="T1496" s="85">
        <f>IF(B1496="",0,$S1496*$K1496)</f>
        <v>1.0558716906127418</v>
      </c>
      <c r="U1496" s="85">
        <f>IF(B1496="",0,IF(OR(H1496=MappingTables!$C$34,H1496=MappingTables!$C$35),T1496,0))</f>
        <v>0</v>
      </c>
      <c r="V1496" s="85">
        <f>IF(ISNA(IF(AND(VLOOKUP(CONCATENATE($D1496,$G1496),CSRFinput!$B:$E,4,0)=0,OR(H1496=MappingTables!$C$34,H1496=MappingTables!$C$35)),1,VLOOKUP(CONCATENATE($D1496,$G1496),CSRFinput!$B:$E,4,0))),0,IF(AND(VLOOKUP(CONCATENATE($D1496,$G1496),CSRFinput!$B:$E,4,0)=0,OR(H1496=MappingTables!$C$34,H1496=MappingTables!$C$35)),1,VLOOKUP(CONCATENATE($D1496,$G1496),CSRFinput!$B:$E,4,0)))</f>
        <v>0.054776304963434752</v>
      </c>
      <c r="W1496" s="85">
        <f>IF(B1496="",0,+$T1496*$V1496)</f>
        <v>0.057836749727260984</v>
      </c>
      <c r="X1496" s="85">
        <f>IF(B1496="",0,IF(OR(H1496=MappingTables!$C$34,H1496=MappingTables!$C$35),W1496,0))</f>
        <v>0</v>
      </c>
    </row>
    <row r="1497" spans="2:24" s="0" customFormat="0" ht="15">
      <c r="B1497" s="69">
        <v>11426623</v>
      </c>
      <c r="C1497" s="70" t="s">
        <v>1342</v>
      </c>
      <c r="D1497" s="70" t="s">
        <v>1</v>
      </c>
      <c r="E1497" s="70" t="s">
        <v>1</v>
      </c>
      <c r="F1497" s="70"/>
      <c r="G1497" s="70" t="s">
        <v>61</v>
      </c>
      <c r="H1497" s="70" t="s">
        <v>178</v>
      </c>
      <c r="I1497" s="70" t="s">
        <v>181</v>
      </c>
      <c r="J1497" s="71">
        <f>IF(OR(I1497=0,I1497=""),"unrated",VLOOKUP(I1497,MappingTables!$B$19:$C$31,2,FALSE))</f>
        <v>3</v>
      </c>
      <c r="K1497" s="72">
        <v>43.150624033073104</v>
      </c>
      <c r="L1497" s="70">
        <v>0.010958225005625294</v>
      </c>
      <c r="M1497" s="71">
        <f>IF(L1497&lt;1,1,L1497)</f>
        <v>1</v>
      </c>
      <c r="N1497" s="70" t="s">
        <v>141</v>
      </c>
      <c r="O1497" s="71">
        <f>INDEX(DurClassMapping,MATCH(M1497,MappingTables!$D$4:$D$8,-1),1)</f>
        <v>1</v>
      </c>
      <c r="P1497" s="73">
        <f>IF(M1497=$A$1,1,$M1497-INDEX(MappingTables!$E$4:$E$8,MATCH(O1497,MappingTables!$B$4:$B$8,0)))</f>
        <v>1</v>
      </c>
      <c r="Q1497" s="71">
        <f>IF(B1497="",0,INDEX(ModelParameters!$D$6:$K$10,MATCH($O1497,ModelParameters!$B$6:$B$10,0),MATCH($J1497,ModelParameters!$D$5:$K$5,0)))</f>
        <v>0.025</v>
      </c>
      <c r="R1497" s="71">
        <f>IF(B1497="",0,INDEX(ModelParameters!$D$13:$K$17,MATCH($O1497,ModelParameters!$B$13:$B$17,0),MATCH($J1497,ModelParameters!$D$5:$K$5,0)))</f>
        <v>0</v>
      </c>
      <c r="S1497" s="160">
        <f>IF(B1497="",0,MIN(IF($N1497="Other Bond TM",ModelParameters!$N$21,1)*(P1497*Q1497+R1497),1))</f>
        <v>0.025</v>
      </c>
      <c r="T1497" s="85">
        <f>IF(B1497="",0,$S1497*$K1497)</f>
        <v>1.0787656008268276</v>
      </c>
      <c r="U1497" s="85">
        <f>IF(B1497="",0,IF(OR(H1497=MappingTables!$C$34,H1497=MappingTables!$C$35),T1497,0))</f>
        <v>0</v>
      </c>
      <c r="V1497" s="85">
        <f>IF(ISNA(IF(AND(VLOOKUP(CONCATENATE($D1497,$G1497),CSRFinput!$B:$E,4,0)=0,OR(H1497=MappingTables!$C$34,H1497=MappingTables!$C$35)),1,VLOOKUP(CONCATENATE($D1497,$G1497),CSRFinput!$B:$E,4,0))),0,IF(AND(VLOOKUP(CONCATENATE($D1497,$G1497),CSRFinput!$B:$E,4,0)=0,OR(H1497=MappingTables!$C$34,H1497=MappingTables!$C$35)),1,VLOOKUP(CONCATENATE($D1497,$G1497),CSRFinput!$B:$E,4,0)))</f>
        <v>0.054776304963434752</v>
      </c>
      <c r="W1497" s="85">
        <f>IF(B1497="",0,+$T1497*$V1497)</f>
        <v>0.059090793534953232</v>
      </c>
      <c r="X1497" s="85">
        <f>IF(B1497="",0,IF(OR(H1497=MappingTables!$C$34,H1497=MappingTables!$C$35),W1497,0))</f>
        <v>0</v>
      </c>
    </row>
    <row r="1498" spans="2:24" s="0" customFormat="0" ht="15">
      <c r="B1498" s="69" t="s">
        <v>1739</v>
      </c>
      <c r="C1498" s="70" t="s">
        <v>1740</v>
      </c>
      <c r="D1498" s="70" t="s">
        <v>1</v>
      </c>
      <c r="E1498" s="70" t="s">
        <v>1</v>
      </c>
      <c r="F1498" s="70"/>
      <c r="G1498" s="70" t="s">
        <v>61</v>
      </c>
      <c r="H1498" s="70" t="s">
        <v>178</v>
      </c>
      <c r="I1498" s="70" t="s">
        <v>184</v>
      </c>
      <c r="J1498" s="71">
        <f>IF(OR(I1498=0,I1498=""),"unrated",VLOOKUP(I1498,MappingTables!$B$19:$C$31,2,FALSE))</f>
        <v>5</v>
      </c>
      <c r="K1498" s="72">
        <v>1045.6132067012916</v>
      </c>
      <c r="L1498" s="70">
        <v>3.031364273266232</v>
      </c>
      <c r="M1498" s="71">
        <f>IF(L1498&lt;1,1,L1498)</f>
        <v>3.031364273266232</v>
      </c>
      <c r="N1498" s="70" t="s">
        <v>141</v>
      </c>
      <c r="O1498" s="71">
        <f>INDEX(DurClassMapping,MATCH(M1498,MappingTables!$D$4:$D$8,-1),1)</f>
        <v>1</v>
      </c>
      <c r="P1498" s="73">
        <f>IF(M1498=$A$1,1,$M1498-INDEX(MappingTables!$E$4:$E$8,MATCH(O1498,MappingTables!$B$4:$B$8,0)))</f>
        <v>3.031364273266232</v>
      </c>
      <c r="Q1498" s="71">
        <f>IF(B1498="",0,INDEX(ModelParameters!$D$6:$K$10,MATCH($O1498,ModelParameters!$B$6:$B$10,0),MATCH($J1498,ModelParameters!$D$5:$K$5,0)))</f>
        <v>0.075</v>
      </c>
      <c r="R1498" s="71">
        <f>IF(B1498="",0,INDEX(ModelParameters!$D$13:$K$17,MATCH($O1498,ModelParameters!$B$13:$B$17,0),MATCH($J1498,ModelParameters!$D$5:$K$5,0)))</f>
        <v>0</v>
      </c>
      <c r="S1498" s="160">
        <f>IF(B1498="",0,MIN(IF($N1498="Other Bond TM",ModelParameters!$N$21,1)*(P1498*Q1498+R1498),1))</f>
        <v>0.22735232049496736</v>
      </c>
      <c r="T1498" s="85">
        <f>IF(B1498="",0,$S1498*$K1498)</f>
        <v>237.7225888837226</v>
      </c>
      <c r="U1498" s="85">
        <f>IF(B1498="",0,IF(OR(H1498=MappingTables!$C$34,H1498=MappingTables!$C$35),T1498,0))</f>
        <v>0</v>
      </c>
      <c r="V1498" s="85">
        <f>IF(ISNA(IF(AND(VLOOKUP(CONCATENATE($D1498,$G1498),CSRFinput!$B:$E,4,0)=0,OR(H1498=MappingTables!$C$34,H1498=MappingTables!$C$35)),1,VLOOKUP(CONCATENATE($D1498,$G1498),CSRFinput!$B:$E,4,0))),0,IF(AND(VLOOKUP(CONCATENATE($D1498,$G1498),CSRFinput!$B:$E,4,0)=0,OR(H1498=MappingTables!$C$34,H1498=MappingTables!$C$35)),1,VLOOKUP(CONCATENATE($D1498,$G1498),CSRFinput!$B:$E,4,0)))</f>
        <v>0.054776304963434752</v>
      </c>
      <c r="W1498" s="85">
        <f>IF(B1498="",0,+$T1498*$V1498)</f>
        <v>13.021565025392014</v>
      </c>
      <c r="X1498" s="85">
        <f>IF(B1498="",0,IF(OR(H1498=MappingTables!$C$34,H1498=MappingTables!$C$35),W1498,0))</f>
        <v>0</v>
      </c>
    </row>
    <row r="1499" spans="2:24" s="0" customFormat="0" ht="15">
      <c r="B1499" s="69" t="s">
        <v>1741</v>
      </c>
      <c r="C1499" s="70" t="s">
        <v>1742</v>
      </c>
      <c r="D1499" s="70" t="s">
        <v>1</v>
      </c>
      <c r="E1499" s="70" t="s">
        <v>1</v>
      </c>
      <c r="F1499" s="70"/>
      <c r="G1499" s="70" t="s">
        <v>61</v>
      </c>
      <c r="H1499" s="70" t="s">
        <v>178</v>
      </c>
      <c r="I1499" s="70" t="s">
        <v>198</v>
      </c>
      <c r="J1499" s="71" t="str">
        <f>IF(OR(I1499=0,I1499=""),"unrated",VLOOKUP(I1499,MappingTables!$B$19:$C$31,2,FALSE))</f>
        <v>unrated</v>
      </c>
      <c r="K1499" s="72">
        <v>97.659215923448208</v>
      </c>
      <c r="L1499" s="70">
        <v>4.1477442778946832</v>
      </c>
      <c r="M1499" s="71">
        <f>IF(L1499&lt;1,1,L1499)</f>
        <v>4.1477442778946832</v>
      </c>
      <c r="N1499" s="70" t="s">
        <v>141</v>
      </c>
      <c r="O1499" s="71">
        <f>INDEX(DurClassMapping,MATCH(M1499,MappingTables!$D$4:$D$8,-1),1)</f>
        <v>1</v>
      </c>
      <c r="P1499" s="73">
        <f>IF(M1499=$A$1,1,$M1499-INDEX(MappingTables!$E$4:$E$8,MATCH(O1499,MappingTables!$B$4:$B$8,0)))</f>
        <v>4.1477442778946832</v>
      </c>
      <c r="Q1499" s="71">
        <f>IF(B1499="",0,INDEX(ModelParameters!$D$6:$K$10,MATCH($O1499,ModelParameters!$B$6:$B$10,0),MATCH($J1499,ModelParameters!$D$5:$K$5,0)))</f>
        <v>0.03</v>
      </c>
      <c r="R1499" s="71">
        <f>IF(B1499="",0,INDEX(ModelParameters!$D$13:$K$17,MATCH($O1499,ModelParameters!$B$13:$B$17,0),MATCH($J1499,ModelParameters!$D$5:$K$5,0)))</f>
        <v>0</v>
      </c>
      <c r="S1499" s="160">
        <f>IF(B1499="",0,MIN(IF($N1499="Other Bond TM",ModelParameters!$N$21,1)*(P1499*Q1499+R1499),1))</f>
        <v>0.1244323283368405</v>
      </c>
      <c r="T1499" s="85">
        <f>IF(B1499="",0,$S1499*$K1499)</f>
        <v>12.15196362090491</v>
      </c>
      <c r="U1499" s="85">
        <f>IF(B1499="",0,IF(OR(H1499=MappingTables!$C$34,H1499=MappingTables!$C$35),T1499,0))</f>
        <v>0</v>
      </c>
      <c r="V1499" s="85">
        <f>IF(ISNA(IF(AND(VLOOKUP(CONCATENATE($D1499,$G1499),CSRFinput!$B:$E,4,0)=0,OR(H1499=MappingTables!$C$34,H1499=MappingTables!$C$35)),1,VLOOKUP(CONCATENATE($D1499,$G1499),CSRFinput!$B:$E,4,0))),0,IF(AND(VLOOKUP(CONCATENATE($D1499,$G1499),CSRFinput!$B:$E,4,0)=0,OR(H1499=MappingTables!$C$34,H1499=MappingTables!$C$35)),1,VLOOKUP(CONCATENATE($D1499,$G1499),CSRFinput!$B:$E,4,0)))</f>
        <v>0.054776304963434752</v>
      </c>
      <c r="W1499" s="85">
        <f>IF(B1499="",0,+$T1499*$V1499)</f>
        <v>0.66563966520325216</v>
      </c>
      <c r="X1499" s="85">
        <f>IF(B1499="",0,IF(OR(H1499=MappingTables!$C$34,H1499=MappingTables!$C$35),W1499,0))</f>
        <v>0</v>
      </c>
    </row>
    <row r="1500" spans="2:24" s="0" customFormat="0" ht="15">
      <c r="B1500" s="69">
        <v>18728680</v>
      </c>
      <c r="C1500" s="70" t="s">
        <v>863</v>
      </c>
      <c r="D1500" s="70" t="s">
        <v>1</v>
      </c>
      <c r="E1500" s="70" t="s">
        <v>1</v>
      </c>
      <c r="F1500" s="70"/>
      <c r="G1500" s="70" t="s">
        <v>61</v>
      </c>
      <c r="H1500" s="70" t="s">
        <v>178</v>
      </c>
      <c r="I1500" s="70" t="s">
        <v>181</v>
      </c>
      <c r="J1500" s="71">
        <f>IF(OR(I1500=0,I1500=""),"unrated",VLOOKUP(I1500,MappingTables!$B$19:$C$31,2,FALSE))</f>
        <v>3</v>
      </c>
      <c r="K1500" s="72">
        <v>12993.730728033332</v>
      </c>
      <c r="L1500" s="70">
        <v>9.3214678171409424</v>
      </c>
      <c r="M1500" s="71">
        <f>IF(L1500&lt;1,1,L1500)</f>
        <v>9.3214678171409424</v>
      </c>
      <c r="N1500" s="70" t="s">
        <v>141</v>
      </c>
      <c r="O1500" s="71">
        <f>INDEX(DurClassMapping,MATCH(M1500,MappingTables!$D$4:$D$8,-1),1)</f>
        <v>2</v>
      </c>
      <c r="P1500" s="73">
        <f>IF(M1500=$A$1,1,$M1500-INDEX(MappingTables!$E$4:$E$8,MATCH(O1500,MappingTables!$B$4:$B$8,0)))</f>
        <v>4.3214678171409416</v>
      </c>
      <c r="Q1500" s="71">
        <f>IF(B1500="",0,INDEX(ModelParameters!$D$6:$K$10,MATCH($O1500,ModelParameters!$B$6:$B$10,0),MATCH($J1500,ModelParameters!$D$5:$K$5,0)))</f>
        <v>0.015</v>
      </c>
      <c r="R1500" s="71">
        <f>IF(B1500="",0,INDEX(ModelParameters!$D$13:$K$17,MATCH($O1500,ModelParameters!$B$13:$B$17,0),MATCH($J1500,ModelParameters!$D$5:$K$5,0)))</f>
        <v>0.125</v>
      </c>
      <c r="S1500" s="160">
        <f>IF(B1500="",0,MIN(IF($N1500="Other Bond TM",ModelParameters!$N$21,1)*(P1500*Q1500+R1500),1))</f>
        <v>0.18982201725711412</v>
      </c>
      <c r="T1500" s="85">
        <f>IF(B1500="",0,$S1500*$K1500)</f>
        <v>2466.4961784910368</v>
      </c>
      <c r="U1500" s="85">
        <f>IF(B1500="",0,IF(OR(H1500=MappingTables!$C$34,H1500=MappingTables!$C$35),T1500,0))</f>
        <v>0</v>
      </c>
      <c r="V1500" s="85">
        <f>IF(ISNA(IF(AND(VLOOKUP(CONCATENATE($D1500,$G1500),CSRFinput!$B:$E,4,0)=0,OR(H1500=MappingTables!$C$34,H1500=MappingTables!$C$35)),1,VLOOKUP(CONCATENATE($D1500,$G1500),CSRFinput!$B:$E,4,0))),0,IF(AND(VLOOKUP(CONCATENATE($D1500,$G1500),CSRFinput!$B:$E,4,0)=0,OR(H1500=MappingTables!$C$34,H1500=MappingTables!$C$35)),1,VLOOKUP(CONCATENATE($D1500,$G1500),CSRFinput!$B:$E,4,0)))</f>
        <v>0.054776304963434752</v>
      </c>
      <c r="W1500" s="85">
        <f>IF(B1500="",0,+$T1500*$V1500)</f>
        <v>135.10554686417142</v>
      </c>
      <c r="X1500" s="85">
        <f>IF(B1500="",0,IF(OR(H1500=MappingTables!$C$34,H1500=MappingTables!$C$35),W1500,0))</f>
        <v>0</v>
      </c>
    </row>
    <row r="1501" spans="2:24" s="0" customFormat="0" ht="15">
      <c r="B1501" s="69">
        <v>4446147</v>
      </c>
      <c r="C1501" s="70" t="s">
        <v>1743</v>
      </c>
      <c r="D1501" s="70" t="s">
        <v>1</v>
      </c>
      <c r="E1501" s="70" t="s">
        <v>1</v>
      </c>
      <c r="F1501" s="70"/>
      <c r="G1501" s="70" t="s">
        <v>61</v>
      </c>
      <c r="H1501" s="70" t="s">
        <v>178</v>
      </c>
      <c r="I1501" s="70" t="s">
        <v>179</v>
      </c>
      <c r="J1501" s="71">
        <f>IF(OR(I1501=0,I1501=""),"unrated",VLOOKUP(I1501,MappingTables!$B$19:$C$31,2,FALSE))</f>
        <v>4</v>
      </c>
      <c r="K1501" s="72">
        <v>13424.916718507486</v>
      </c>
      <c r="L1501" s="70">
        <v>3.3795899840700324</v>
      </c>
      <c r="M1501" s="71">
        <f>IF(L1501&lt;1,1,L1501)</f>
        <v>3.3795899840700324</v>
      </c>
      <c r="N1501" s="70" t="s">
        <v>141</v>
      </c>
      <c r="O1501" s="71">
        <f>INDEX(DurClassMapping,MATCH(M1501,MappingTables!$D$4:$D$8,-1),1)</f>
        <v>1</v>
      </c>
      <c r="P1501" s="73">
        <f>IF(M1501=$A$1,1,$M1501-INDEX(MappingTables!$E$4:$E$8,MATCH(O1501,MappingTables!$B$4:$B$8,0)))</f>
        <v>3.3795899840700324</v>
      </c>
      <c r="Q1501" s="71">
        <f>IF(B1501="",0,INDEX(ModelParameters!$D$6:$K$10,MATCH($O1501,ModelParameters!$B$6:$B$10,0),MATCH($J1501,ModelParameters!$D$5:$K$5,0)))</f>
        <v>0.045</v>
      </c>
      <c r="R1501" s="71">
        <f>IF(B1501="",0,INDEX(ModelParameters!$D$13:$K$17,MATCH($O1501,ModelParameters!$B$13:$B$17,0),MATCH($J1501,ModelParameters!$D$5:$K$5,0)))</f>
        <v>0</v>
      </c>
      <c r="S1501" s="160">
        <f>IF(B1501="",0,MIN(IF($N1501="Other Bond TM",ModelParameters!$N$21,1)*(P1501*Q1501+R1501),1))</f>
        <v>0.15208154928315146</v>
      </c>
      <c r="T1501" s="85">
        <f>IF(B1501="",0,$S1501*$K1501)</f>
        <v>2041.6821335479</v>
      </c>
      <c r="U1501" s="85">
        <f>IF(B1501="",0,IF(OR(H1501=MappingTables!$C$34,H1501=MappingTables!$C$35),T1501,0))</f>
        <v>0</v>
      </c>
      <c r="V1501" s="85">
        <f>IF(ISNA(IF(AND(VLOOKUP(CONCATENATE($D1501,$G1501),CSRFinput!$B:$E,4,0)=0,OR(H1501=MappingTables!$C$34,H1501=MappingTables!$C$35)),1,VLOOKUP(CONCATENATE($D1501,$G1501),CSRFinput!$B:$E,4,0))),0,IF(AND(VLOOKUP(CONCATENATE($D1501,$G1501),CSRFinput!$B:$E,4,0)=0,OR(H1501=MappingTables!$C$34,H1501=MappingTables!$C$35)),1,VLOOKUP(CONCATENATE($D1501,$G1501),CSRFinput!$B:$E,4,0)))</f>
        <v>0.054776304963434752</v>
      </c>
      <c r="W1501" s="85">
        <f>IF(B1501="",0,+$T1501*$V1501)</f>
        <v>111.8358031856159</v>
      </c>
      <c r="X1501" s="85">
        <f>IF(B1501="",0,IF(OR(H1501=MappingTables!$C$34,H1501=MappingTables!$C$35),W1501,0))</f>
        <v>0</v>
      </c>
    </row>
    <row r="1502" spans="2:24" s="0" customFormat="0" ht="15">
      <c r="B1502" s="69">
        <v>20186857</v>
      </c>
      <c r="C1502" s="70" t="s">
        <v>1744</v>
      </c>
      <c r="D1502" s="70" t="s">
        <v>1</v>
      </c>
      <c r="E1502" s="70" t="s">
        <v>1</v>
      </c>
      <c r="F1502" s="70"/>
      <c r="G1502" s="70" t="s">
        <v>61</v>
      </c>
      <c r="H1502" s="70" t="s">
        <v>178</v>
      </c>
      <c r="I1502" s="70" t="s">
        <v>216</v>
      </c>
      <c r="J1502" s="71">
        <f>IF(OR(I1502=0,I1502=""),"unrated",VLOOKUP(I1502,MappingTables!$B$19:$C$31,2,FALSE))</f>
        <v>0</v>
      </c>
      <c r="K1502" s="72">
        <v>2673.0313335957624</v>
      </c>
      <c r="L1502" s="70">
        <v>0.40260664361495448</v>
      </c>
      <c r="M1502" s="71">
        <f>IF(L1502&lt;1,1,L1502)</f>
        <v>1</v>
      </c>
      <c r="N1502" s="70" t="s">
        <v>141</v>
      </c>
      <c r="O1502" s="71">
        <f>INDEX(DurClassMapping,MATCH(M1502,MappingTables!$D$4:$D$8,-1),1)</f>
        <v>1</v>
      </c>
      <c r="P1502" s="73">
        <f>IF(M1502=$A$1,1,$M1502-INDEX(MappingTables!$E$4:$E$8,MATCH(O1502,MappingTables!$B$4:$B$8,0)))</f>
        <v>1</v>
      </c>
      <c r="Q1502" s="71">
        <f>IF(B1502="",0,INDEX(ModelParameters!$D$6:$K$10,MATCH($O1502,ModelParameters!$B$6:$B$10,0),MATCH($J1502,ModelParameters!$D$5:$K$5,0)))</f>
        <v>0.0090000000000000016</v>
      </c>
      <c r="R1502" s="71">
        <f>IF(B1502="",0,INDEX(ModelParameters!$D$13:$K$17,MATCH($O1502,ModelParameters!$B$13:$B$17,0),MATCH($J1502,ModelParameters!$D$5:$K$5,0)))</f>
        <v>0</v>
      </c>
      <c r="S1502" s="160">
        <f>IF(B1502="",0,MIN(IF($N1502="Other Bond TM",ModelParameters!$N$21,1)*(P1502*Q1502+R1502),1))</f>
        <v>0.0090000000000000016</v>
      </c>
      <c r="T1502" s="85">
        <f>IF(B1502="",0,$S1502*$K1502)</f>
        <v>24.057282002361868</v>
      </c>
      <c r="U1502" s="85">
        <f>IF(B1502="",0,IF(OR(H1502=MappingTables!$C$34,H1502=MappingTables!$C$35),T1502,0))</f>
        <v>0</v>
      </c>
      <c r="V1502" s="85">
        <f>IF(ISNA(IF(AND(VLOOKUP(CONCATENATE($D1502,$G1502),CSRFinput!$B:$E,4,0)=0,OR(H1502=MappingTables!$C$34,H1502=MappingTables!$C$35)),1,VLOOKUP(CONCATENATE($D1502,$G1502),CSRFinput!$B:$E,4,0))),0,IF(AND(VLOOKUP(CONCATENATE($D1502,$G1502),CSRFinput!$B:$E,4,0)=0,OR(H1502=MappingTables!$C$34,H1502=MappingTables!$C$35)),1,VLOOKUP(CONCATENATE($D1502,$G1502),CSRFinput!$B:$E,4,0)))</f>
        <v>0.054776304963434752</v>
      </c>
      <c r="W1502" s="85">
        <f>IF(B1502="",0,+$T1502*$V1502)</f>
        <v>1.3177690155527238</v>
      </c>
      <c r="X1502" s="85">
        <f>IF(B1502="",0,IF(OR(H1502=MappingTables!$C$34,H1502=MappingTables!$C$35),W1502,0))</f>
        <v>0</v>
      </c>
    </row>
    <row r="1503" spans="2:24" s="0" customFormat="0" ht="15">
      <c r="B1503" s="69">
        <v>4876675</v>
      </c>
      <c r="C1503" s="70" t="s">
        <v>1716</v>
      </c>
      <c r="D1503" s="70" t="s">
        <v>1</v>
      </c>
      <c r="E1503" s="70" t="s">
        <v>1</v>
      </c>
      <c r="F1503" s="70"/>
      <c r="G1503" s="70" t="s">
        <v>61</v>
      </c>
      <c r="H1503" s="70" t="s">
        <v>178</v>
      </c>
      <c r="I1503" s="70" t="s">
        <v>184</v>
      </c>
      <c r="J1503" s="71">
        <f>IF(OR(I1503=0,I1503=""),"unrated",VLOOKUP(I1503,MappingTables!$B$19:$C$31,2,FALSE))</f>
        <v>5</v>
      </c>
      <c r="K1503" s="72">
        <v>16556.22436008726</v>
      </c>
      <c r="L1503" s="70">
        <v>11.50764762051666</v>
      </c>
      <c r="M1503" s="71">
        <f>IF(L1503&lt;1,1,L1503)</f>
        <v>11.50764762051666</v>
      </c>
      <c r="N1503" s="70" t="s">
        <v>141</v>
      </c>
      <c r="O1503" s="71">
        <f>INDEX(DurClassMapping,MATCH(M1503,MappingTables!$D$4:$D$8,-1),1)</f>
        <v>3</v>
      </c>
      <c r="P1503" s="73">
        <f>IF(M1503=$A$1,1,$M1503-INDEX(MappingTables!$E$4:$E$8,MATCH(O1503,MappingTables!$B$4:$B$8,0)))</f>
        <v>1.5076476205166606</v>
      </c>
      <c r="Q1503" s="71">
        <f>IF(B1503="",0,INDEX(ModelParameters!$D$6:$K$10,MATCH($O1503,ModelParameters!$B$6:$B$10,0),MATCH($J1503,ModelParameters!$D$5:$K$5,0)))</f>
        <v>0.005</v>
      </c>
      <c r="R1503" s="71">
        <f>IF(B1503="",0,INDEX(ModelParameters!$D$13:$K$17,MATCH($O1503,ModelParameters!$B$13:$B$17,0),MATCH($J1503,ModelParameters!$D$5:$K$5,0)))</f>
        <v>0.585</v>
      </c>
      <c r="S1503" s="160">
        <f>IF(B1503="",0,MIN(IF($N1503="Other Bond TM",ModelParameters!$N$21,1)*(P1503*Q1503+R1503),1))</f>
        <v>0.5925382381025832</v>
      </c>
      <c r="T1503" s="85">
        <f>IF(B1503="",0,$S1503*$K1503)</f>
        <v>9810.1960119571744</v>
      </c>
      <c r="U1503" s="85">
        <f>IF(B1503="",0,IF(OR(H1503=MappingTables!$C$34,H1503=MappingTables!$C$35),T1503,0))</f>
        <v>0</v>
      </c>
      <c r="V1503" s="85">
        <f>IF(ISNA(IF(AND(VLOOKUP(CONCATENATE($D1503,$G1503),CSRFinput!$B:$E,4,0)=0,OR(H1503=MappingTables!$C$34,H1503=MappingTables!$C$35)),1,VLOOKUP(CONCATENATE($D1503,$G1503),CSRFinput!$B:$E,4,0))),0,IF(AND(VLOOKUP(CONCATENATE($D1503,$G1503),CSRFinput!$B:$E,4,0)=0,OR(H1503=MappingTables!$C$34,H1503=MappingTables!$C$35)),1,VLOOKUP(CONCATENATE($D1503,$G1503),CSRFinput!$B:$E,4,0)))</f>
        <v>0.054776304963434752</v>
      </c>
      <c r="W1503" s="85">
        <f>IF(B1503="",0,+$T1503*$V1503)</f>
        <v>537.3662885020376</v>
      </c>
      <c r="X1503" s="85">
        <f>IF(B1503="",0,IF(OR(H1503=MappingTables!$C$34,H1503=MappingTables!$C$35),W1503,0))</f>
        <v>0</v>
      </c>
    </row>
    <row r="1504" spans="2:24" s="0" customFormat="0" ht="15">
      <c r="B1504" s="69" t="s">
        <v>1745</v>
      </c>
      <c r="C1504" s="70" t="s">
        <v>1746</v>
      </c>
      <c r="D1504" s="70" t="s">
        <v>1</v>
      </c>
      <c r="E1504" s="70" t="s">
        <v>1</v>
      </c>
      <c r="F1504" s="70"/>
      <c r="G1504" s="70" t="s">
        <v>61</v>
      </c>
      <c r="H1504" s="70" t="s">
        <v>178</v>
      </c>
      <c r="I1504" s="70" t="s">
        <v>198</v>
      </c>
      <c r="J1504" s="71" t="str">
        <f>IF(OR(I1504=0,I1504=""),"unrated",VLOOKUP(I1504,MappingTables!$B$19:$C$31,2,FALSE))</f>
        <v>unrated</v>
      </c>
      <c r="K1504" s="72">
        <v>788.46167849664464</v>
      </c>
      <c r="L1504" s="70">
        <v>0.041096190892774184</v>
      </c>
      <c r="M1504" s="71">
        <f>IF(L1504&lt;1,1,L1504)</f>
        <v>1</v>
      </c>
      <c r="N1504" s="70" t="s">
        <v>141</v>
      </c>
      <c r="O1504" s="71">
        <f>INDEX(DurClassMapping,MATCH(M1504,MappingTables!$D$4:$D$8,-1),1)</f>
        <v>1</v>
      </c>
      <c r="P1504" s="73">
        <f>IF(M1504=$A$1,1,$M1504-INDEX(MappingTables!$E$4:$E$8,MATCH(O1504,MappingTables!$B$4:$B$8,0)))</f>
        <v>1</v>
      </c>
      <c r="Q1504" s="71">
        <f>IF(B1504="",0,INDEX(ModelParameters!$D$6:$K$10,MATCH($O1504,ModelParameters!$B$6:$B$10,0),MATCH($J1504,ModelParameters!$D$5:$K$5,0)))</f>
        <v>0.03</v>
      </c>
      <c r="R1504" s="71">
        <f>IF(B1504="",0,INDEX(ModelParameters!$D$13:$K$17,MATCH($O1504,ModelParameters!$B$13:$B$17,0),MATCH($J1504,ModelParameters!$D$5:$K$5,0)))</f>
        <v>0</v>
      </c>
      <c r="S1504" s="160">
        <f>IF(B1504="",0,MIN(IF($N1504="Other Bond TM",ModelParameters!$N$21,1)*(P1504*Q1504+R1504),1))</f>
        <v>0.03</v>
      </c>
      <c r="T1504" s="85">
        <f>IF(B1504="",0,$S1504*$K1504)</f>
        <v>23.653850354899336</v>
      </c>
      <c r="U1504" s="85">
        <f>IF(B1504="",0,IF(OR(H1504=MappingTables!$C$34,H1504=MappingTables!$C$35),T1504,0))</f>
        <v>0</v>
      </c>
      <c r="V1504" s="85">
        <f>IF(ISNA(IF(AND(VLOOKUP(CONCATENATE($D1504,$G1504),CSRFinput!$B:$E,4,0)=0,OR(H1504=MappingTables!$C$34,H1504=MappingTables!$C$35)),1,VLOOKUP(CONCATENATE($D1504,$G1504),CSRFinput!$B:$E,4,0))),0,IF(AND(VLOOKUP(CONCATENATE($D1504,$G1504),CSRFinput!$B:$E,4,0)=0,OR(H1504=MappingTables!$C$34,H1504=MappingTables!$C$35)),1,VLOOKUP(CONCATENATE($D1504,$G1504),CSRFinput!$B:$E,4,0)))</f>
        <v>0.054776304963434752</v>
      </c>
      <c r="W1504" s="85">
        <f>IF(B1504="",0,+$T1504*$V1504)</f>
        <v>1.2956705205994154</v>
      </c>
      <c r="X1504" s="85">
        <f>IF(B1504="",0,IF(OR(H1504=MappingTables!$C$34,H1504=MappingTables!$C$35),W1504,0))</f>
        <v>0</v>
      </c>
    </row>
    <row r="1505" spans="2:24" s="0" customFormat="0" ht="15">
      <c r="B1505" s="69">
        <v>18714525</v>
      </c>
      <c r="C1505" s="70" t="s">
        <v>1747</v>
      </c>
      <c r="D1505" s="70" t="s">
        <v>1</v>
      </c>
      <c r="E1505" s="70" t="s">
        <v>1</v>
      </c>
      <c r="F1505" s="70"/>
      <c r="G1505" s="70" t="s">
        <v>61</v>
      </c>
      <c r="H1505" s="70" t="s">
        <v>178</v>
      </c>
      <c r="I1505" s="70" t="s">
        <v>181</v>
      </c>
      <c r="J1505" s="71">
        <f>IF(OR(I1505=0,I1505=""),"unrated",VLOOKUP(I1505,MappingTables!$B$19:$C$31,2,FALSE))</f>
        <v>3</v>
      </c>
      <c r="K1505" s="72">
        <v>7307.6649338810704</v>
      </c>
      <c r="L1505" s="70">
        <v>6.9495694659032648</v>
      </c>
      <c r="M1505" s="71">
        <f>IF(L1505&lt;1,1,L1505)</f>
        <v>6.9495694659032648</v>
      </c>
      <c r="N1505" s="70" t="s">
        <v>141</v>
      </c>
      <c r="O1505" s="71">
        <f>INDEX(DurClassMapping,MATCH(M1505,MappingTables!$D$4:$D$8,-1),1)</f>
        <v>2</v>
      </c>
      <c r="P1505" s="73">
        <f>IF(M1505=$A$1,1,$M1505-INDEX(MappingTables!$E$4:$E$8,MATCH(O1505,MappingTables!$B$4:$B$8,0)))</f>
        <v>1.9495694659032648</v>
      </c>
      <c r="Q1505" s="71">
        <f>IF(B1505="",0,INDEX(ModelParameters!$D$6:$K$10,MATCH($O1505,ModelParameters!$B$6:$B$10,0),MATCH($J1505,ModelParameters!$D$5:$K$5,0)))</f>
        <v>0.015</v>
      </c>
      <c r="R1505" s="71">
        <f>IF(B1505="",0,INDEX(ModelParameters!$D$13:$K$17,MATCH($O1505,ModelParameters!$B$13:$B$17,0),MATCH($J1505,ModelParameters!$D$5:$K$5,0)))</f>
        <v>0.125</v>
      </c>
      <c r="S1505" s="160">
        <f>IF(B1505="",0,MIN(IF($N1505="Other Bond TM",ModelParameters!$N$21,1)*(P1505*Q1505+R1505),1))</f>
        <v>0.15424354198854898</v>
      </c>
      <c r="T1505" s="85">
        <f>IF(B1505="",0,$S1505*$K1505)</f>
        <v>1127.160123067332</v>
      </c>
      <c r="U1505" s="85">
        <f>IF(B1505="",0,IF(OR(H1505=MappingTables!$C$34,H1505=MappingTables!$C$35),T1505,0))</f>
        <v>0</v>
      </c>
      <c r="V1505" s="85">
        <f>IF(ISNA(IF(AND(VLOOKUP(CONCATENATE($D1505,$G1505),CSRFinput!$B:$E,4,0)=0,OR(H1505=MappingTables!$C$34,H1505=MappingTables!$C$35)),1,VLOOKUP(CONCATENATE($D1505,$G1505),CSRFinput!$B:$E,4,0))),0,IF(AND(VLOOKUP(CONCATENATE($D1505,$G1505),CSRFinput!$B:$E,4,0)=0,OR(H1505=MappingTables!$C$34,H1505=MappingTables!$C$35)),1,VLOOKUP(CONCATENATE($D1505,$G1505),CSRFinput!$B:$E,4,0)))</f>
        <v>0.054776304963434752</v>
      </c>
      <c r="W1505" s="85">
        <f>IF(B1505="",0,+$T1505*$V1505)</f>
        <v>61.741666643758824</v>
      </c>
      <c r="X1505" s="85">
        <f>IF(B1505="",0,IF(OR(H1505=MappingTables!$C$34,H1505=MappingTables!$C$35),W1505,0))</f>
        <v>0</v>
      </c>
    </row>
    <row r="1506" spans="2:24" s="0" customFormat="0" ht="15">
      <c r="B1506" s="69">
        <v>21644217</v>
      </c>
      <c r="C1506" s="70" t="s">
        <v>1271</v>
      </c>
      <c r="D1506" s="70" t="s">
        <v>1</v>
      </c>
      <c r="E1506" s="70" t="s">
        <v>1</v>
      </c>
      <c r="F1506" s="70"/>
      <c r="G1506" s="70" t="s">
        <v>61</v>
      </c>
      <c r="H1506" s="70" t="s">
        <v>178</v>
      </c>
      <c r="I1506" s="70" t="s">
        <v>184</v>
      </c>
      <c r="J1506" s="71">
        <f>IF(OR(I1506=0,I1506=""),"unrated",VLOOKUP(I1506,MappingTables!$B$19:$C$31,2,FALSE))</f>
        <v>5</v>
      </c>
      <c r="K1506" s="72">
        <v>25972.691064537904</v>
      </c>
      <c r="L1506" s="70">
        <v>10.67547091589505</v>
      </c>
      <c r="M1506" s="71">
        <f>IF(L1506&lt;1,1,L1506)</f>
        <v>10.67547091589505</v>
      </c>
      <c r="N1506" s="70" t="s">
        <v>141</v>
      </c>
      <c r="O1506" s="71">
        <f>INDEX(DurClassMapping,MATCH(M1506,MappingTables!$D$4:$D$8,-1),1)</f>
        <v>3</v>
      </c>
      <c r="P1506" s="73">
        <f>IF(M1506=$A$1,1,$M1506-INDEX(MappingTables!$E$4:$E$8,MATCH(O1506,MappingTables!$B$4:$B$8,0)))</f>
        <v>0.67547091589504936</v>
      </c>
      <c r="Q1506" s="71">
        <f>IF(B1506="",0,INDEX(ModelParameters!$D$6:$K$10,MATCH($O1506,ModelParameters!$B$6:$B$10,0),MATCH($J1506,ModelParameters!$D$5:$K$5,0)))</f>
        <v>0.005</v>
      </c>
      <c r="R1506" s="71">
        <f>IF(B1506="",0,INDEX(ModelParameters!$D$13:$K$17,MATCH($O1506,ModelParameters!$B$13:$B$17,0),MATCH($J1506,ModelParameters!$D$5:$K$5,0)))</f>
        <v>0.585</v>
      </c>
      <c r="S1506" s="160">
        <f>IF(B1506="",0,MIN(IF($N1506="Other Bond TM",ModelParameters!$N$21,1)*(P1506*Q1506+R1506),1))</f>
        <v>0.58837735457947528</v>
      </c>
      <c r="T1506" s="85">
        <f>IF(B1506="",0,$S1506*$K1506)</f>
        <v>15281.743259862788</v>
      </c>
      <c r="U1506" s="85">
        <f>IF(B1506="",0,IF(OR(H1506=MappingTables!$C$34,H1506=MappingTables!$C$35),T1506,0))</f>
        <v>0</v>
      </c>
      <c r="V1506" s="85">
        <f>IF(ISNA(IF(AND(VLOOKUP(CONCATENATE($D1506,$G1506),CSRFinput!$B:$E,4,0)=0,OR(H1506=MappingTables!$C$34,H1506=MappingTables!$C$35)),1,VLOOKUP(CONCATENATE($D1506,$G1506),CSRFinput!$B:$E,4,0))),0,IF(AND(VLOOKUP(CONCATENATE($D1506,$G1506),CSRFinput!$B:$E,4,0)=0,OR(H1506=MappingTables!$C$34,H1506=MappingTables!$C$35)),1,VLOOKUP(CONCATENATE($D1506,$G1506),CSRFinput!$B:$E,4,0)))</f>
        <v>0.054776304963434752</v>
      </c>
      <c r="W1506" s="85">
        <f>IF(B1506="",0,+$T1506*$V1506)</f>
        <v>837.0774291751576</v>
      </c>
      <c r="X1506" s="85">
        <f>IF(B1506="",0,IF(OR(H1506=MappingTables!$C$34,H1506=MappingTables!$C$35),W1506,0))</f>
        <v>0</v>
      </c>
    </row>
    <row r="1507" spans="2:24" s="0" customFormat="0" ht="15">
      <c r="B1507" s="69">
        <v>13113069</v>
      </c>
      <c r="C1507" s="70" t="s">
        <v>1748</v>
      </c>
      <c r="D1507" s="70" t="s">
        <v>1</v>
      </c>
      <c r="E1507" s="70" t="s">
        <v>1</v>
      </c>
      <c r="F1507" s="70"/>
      <c r="G1507" s="70" t="s">
        <v>61</v>
      </c>
      <c r="H1507" s="70" t="s">
        <v>178</v>
      </c>
      <c r="I1507" s="70" t="s">
        <v>188</v>
      </c>
      <c r="J1507" s="71">
        <f>IF(OR(I1507=0,I1507=""),"unrated",VLOOKUP(I1507,MappingTables!$B$19:$C$31,2,FALSE))</f>
        <v>2</v>
      </c>
      <c r="K1507" s="72">
        <v>37.08203717543496</v>
      </c>
      <c r="L1507" s="70">
        <v>0.96708955583957456</v>
      </c>
      <c r="M1507" s="71">
        <f>IF(L1507&lt;1,1,L1507)</f>
        <v>1</v>
      </c>
      <c r="N1507" s="70" t="s">
        <v>141</v>
      </c>
      <c r="O1507" s="71">
        <f>INDEX(DurClassMapping,MATCH(M1507,MappingTables!$D$4:$D$8,-1),1)</f>
        <v>1</v>
      </c>
      <c r="P1507" s="73">
        <f>IF(M1507=$A$1,1,$M1507-INDEX(MappingTables!$E$4:$E$8,MATCH(O1507,MappingTables!$B$4:$B$8,0)))</f>
        <v>1</v>
      </c>
      <c r="Q1507" s="71">
        <f>IF(B1507="",0,INDEX(ModelParameters!$D$6:$K$10,MATCH($O1507,ModelParameters!$B$6:$B$10,0),MATCH($J1507,ModelParameters!$D$5:$K$5,0)))</f>
        <v>0.013999999999999998</v>
      </c>
      <c r="R1507" s="71">
        <f>IF(B1507="",0,INDEX(ModelParameters!$D$13:$K$17,MATCH($O1507,ModelParameters!$B$13:$B$17,0),MATCH($J1507,ModelParameters!$D$5:$K$5,0)))</f>
        <v>0</v>
      </c>
      <c r="S1507" s="160">
        <f>IF(B1507="",0,MIN(IF($N1507="Other Bond TM",ModelParameters!$N$21,1)*(P1507*Q1507+R1507),1))</f>
        <v>0.013999999999999998</v>
      </c>
      <c r="T1507" s="85">
        <f>IF(B1507="",0,$S1507*$K1507)</f>
        <v>0.51914852045608936</v>
      </c>
      <c r="U1507" s="85">
        <f>IF(B1507="",0,IF(OR(H1507=MappingTables!$C$34,H1507=MappingTables!$C$35),T1507,0))</f>
        <v>0</v>
      </c>
      <c r="V1507" s="85">
        <f>IF(ISNA(IF(AND(VLOOKUP(CONCATENATE($D1507,$G1507),CSRFinput!$B:$E,4,0)=0,OR(H1507=MappingTables!$C$34,H1507=MappingTables!$C$35)),1,VLOOKUP(CONCATENATE($D1507,$G1507),CSRFinput!$B:$E,4,0))),0,IF(AND(VLOOKUP(CONCATENATE($D1507,$G1507),CSRFinput!$B:$E,4,0)=0,OR(H1507=MappingTables!$C$34,H1507=MappingTables!$C$35)),1,VLOOKUP(CONCATENATE($D1507,$G1507),CSRFinput!$B:$E,4,0)))</f>
        <v>0.054776304963434752</v>
      </c>
      <c r="W1507" s="85">
        <f>IF(B1507="",0,+$T1507*$V1507)</f>
        <v>0.0284370376778187</v>
      </c>
      <c r="X1507" s="85">
        <f>IF(B1507="",0,IF(OR(H1507=MappingTables!$C$34,H1507=MappingTables!$C$35),W1507,0))</f>
        <v>0</v>
      </c>
    </row>
    <row r="1508" spans="2:24" s="0" customFormat="0" ht="15">
      <c r="B1508" s="69">
        <v>21610162</v>
      </c>
      <c r="C1508" s="70" t="s">
        <v>1007</v>
      </c>
      <c r="D1508" s="70" t="s">
        <v>1</v>
      </c>
      <c r="E1508" s="70" t="s">
        <v>1</v>
      </c>
      <c r="F1508" s="70"/>
      <c r="G1508" s="70" t="s">
        <v>61</v>
      </c>
      <c r="H1508" s="70" t="s">
        <v>178</v>
      </c>
      <c r="I1508" s="70" t="s">
        <v>179</v>
      </c>
      <c r="J1508" s="71">
        <f>IF(OR(I1508=0,I1508=""),"unrated",VLOOKUP(I1508,MappingTables!$B$19:$C$31,2,FALSE))</f>
        <v>4</v>
      </c>
      <c r="K1508" s="72">
        <v>19425.44629918502</v>
      </c>
      <c r="L1508" s="70">
        <v>7.7939151662494736</v>
      </c>
      <c r="M1508" s="71">
        <f>IF(L1508&lt;1,1,L1508)</f>
        <v>7.7939151662494736</v>
      </c>
      <c r="N1508" s="70" t="s">
        <v>141</v>
      </c>
      <c r="O1508" s="71">
        <f>INDEX(DurClassMapping,MATCH(M1508,MappingTables!$D$4:$D$8,-1),1)</f>
        <v>2</v>
      </c>
      <c r="P1508" s="73">
        <f>IF(M1508=$A$1,1,$M1508-INDEX(MappingTables!$E$4:$E$8,MATCH(O1508,MappingTables!$B$4:$B$8,0)))</f>
        <v>2.793915166249474</v>
      </c>
      <c r="Q1508" s="71">
        <f>IF(B1508="",0,INDEX(ModelParameters!$D$6:$K$10,MATCH($O1508,ModelParameters!$B$6:$B$10,0),MATCH($J1508,ModelParameters!$D$5:$K$5,0)))</f>
        <v>0.025</v>
      </c>
      <c r="R1508" s="71">
        <f>IF(B1508="",0,INDEX(ModelParameters!$D$13:$K$17,MATCH($O1508,ModelParameters!$B$13:$B$17,0),MATCH($J1508,ModelParameters!$D$5:$K$5,0)))</f>
        <v>0.225</v>
      </c>
      <c r="S1508" s="160">
        <f>IF(B1508="",0,MIN(IF($N1508="Other Bond TM",ModelParameters!$N$21,1)*(P1508*Q1508+R1508),1))</f>
        <v>0.29484787915623684</v>
      </c>
      <c r="T1508" s="85">
        <f>IF(B1508="",0,$S1508*$K1508)</f>
        <v>5727.5516429780728</v>
      </c>
      <c r="U1508" s="85">
        <f>IF(B1508="",0,IF(OR(H1508=MappingTables!$C$34,H1508=MappingTables!$C$35),T1508,0))</f>
        <v>0</v>
      </c>
      <c r="V1508" s="85">
        <f>IF(ISNA(IF(AND(VLOOKUP(CONCATENATE($D1508,$G1508),CSRFinput!$B:$E,4,0)=0,OR(H1508=MappingTables!$C$34,H1508=MappingTables!$C$35)),1,VLOOKUP(CONCATENATE($D1508,$G1508),CSRFinput!$B:$E,4,0))),0,IF(AND(VLOOKUP(CONCATENATE($D1508,$G1508),CSRFinput!$B:$E,4,0)=0,OR(H1508=MappingTables!$C$34,H1508=MappingTables!$C$35)),1,VLOOKUP(CONCATENATE($D1508,$G1508),CSRFinput!$B:$E,4,0)))</f>
        <v>0.054776304963434752</v>
      </c>
      <c r="W1508" s="85">
        <f>IF(B1508="",0,+$T1508*$V1508)</f>
        <v>313.73411548958872</v>
      </c>
      <c r="X1508" s="85">
        <f>IF(B1508="",0,IF(OR(H1508=MappingTables!$C$34,H1508=MappingTables!$C$35),W1508,0))</f>
        <v>0</v>
      </c>
    </row>
    <row r="1509" spans="2:24" s="0" customFormat="0" ht="15">
      <c r="B1509" s="69">
        <v>20811032</v>
      </c>
      <c r="C1509" s="70" t="s">
        <v>1305</v>
      </c>
      <c r="D1509" s="70" t="s">
        <v>1</v>
      </c>
      <c r="E1509" s="70" t="s">
        <v>1</v>
      </c>
      <c r="F1509" s="70"/>
      <c r="G1509" s="70" t="s">
        <v>61</v>
      </c>
      <c r="H1509" s="70" t="s">
        <v>178</v>
      </c>
      <c r="I1509" s="70" t="s">
        <v>181</v>
      </c>
      <c r="J1509" s="71">
        <f>IF(OR(I1509=0,I1509=""),"unrated",VLOOKUP(I1509,MappingTables!$B$19:$C$31,2,FALSE))</f>
        <v>3</v>
      </c>
      <c r="K1509" s="72">
        <v>5603.7742051602224</v>
      </c>
      <c r="L1509" s="70">
        <v>3.3683126751065568</v>
      </c>
      <c r="M1509" s="71">
        <f>IF(L1509&lt;1,1,L1509)</f>
        <v>3.3683126751065568</v>
      </c>
      <c r="N1509" s="70" t="s">
        <v>141</v>
      </c>
      <c r="O1509" s="71">
        <f>INDEX(DurClassMapping,MATCH(M1509,MappingTables!$D$4:$D$8,-1),1)</f>
        <v>1</v>
      </c>
      <c r="P1509" s="73">
        <f>IF(M1509=$A$1,1,$M1509-INDEX(MappingTables!$E$4:$E$8,MATCH(O1509,MappingTables!$B$4:$B$8,0)))</f>
        <v>3.3683126751065568</v>
      </c>
      <c r="Q1509" s="71">
        <f>IF(B1509="",0,INDEX(ModelParameters!$D$6:$K$10,MATCH($O1509,ModelParameters!$B$6:$B$10,0),MATCH($J1509,ModelParameters!$D$5:$K$5,0)))</f>
        <v>0.025</v>
      </c>
      <c r="R1509" s="71">
        <f>IF(B1509="",0,INDEX(ModelParameters!$D$13:$K$17,MATCH($O1509,ModelParameters!$B$13:$B$17,0),MATCH($J1509,ModelParameters!$D$5:$K$5,0)))</f>
        <v>0</v>
      </c>
      <c r="S1509" s="160">
        <f>IF(B1509="",0,MIN(IF($N1509="Other Bond TM",ModelParameters!$N$21,1)*(P1509*Q1509+R1509),1))</f>
        <v>0.084207816877663936</v>
      </c>
      <c r="T1509" s="85">
        <f>IF(B1509="",0,$S1509*$K1509)</f>
        <v>471.8815920919088</v>
      </c>
      <c r="U1509" s="85">
        <f>IF(B1509="",0,IF(OR(H1509=MappingTables!$C$34,H1509=MappingTables!$C$35),T1509,0))</f>
        <v>0</v>
      </c>
      <c r="V1509" s="85">
        <f>IF(ISNA(IF(AND(VLOOKUP(CONCATENATE($D1509,$G1509),CSRFinput!$B:$E,4,0)=0,OR(H1509=MappingTables!$C$34,H1509=MappingTables!$C$35)),1,VLOOKUP(CONCATENATE($D1509,$G1509),CSRFinput!$B:$E,4,0))),0,IF(AND(VLOOKUP(CONCATENATE($D1509,$G1509),CSRFinput!$B:$E,4,0)=0,OR(H1509=MappingTables!$C$34,H1509=MappingTables!$C$35)),1,VLOOKUP(CONCATENATE($D1509,$G1509),CSRFinput!$B:$E,4,0)))</f>
        <v>0.054776304963434752</v>
      </c>
      <c r="W1509" s="85">
        <f>IF(B1509="",0,+$T1509*$V1509)</f>
        <v>25.847929995057516</v>
      </c>
      <c r="X1509" s="85">
        <f>IF(B1509="",0,IF(OR(H1509=MappingTables!$C$34,H1509=MappingTables!$C$35),W1509,0))</f>
        <v>0</v>
      </c>
    </row>
    <row r="1510" spans="2:24" s="0" customFormat="0" ht="15">
      <c r="B1510" s="69" t="s">
        <v>1749</v>
      </c>
      <c r="C1510" s="70" t="s">
        <v>1750</v>
      </c>
      <c r="D1510" s="70" t="s">
        <v>1</v>
      </c>
      <c r="E1510" s="70" t="s">
        <v>1</v>
      </c>
      <c r="F1510" s="70"/>
      <c r="G1510" s="70" t="s">
        <v>61</v>
      </c>
      <c r="H1510" s="70" t="s">
        <v>178</v>
      </c>
      <c r="I1510" s="70" t="s">
        <v>198</v>
      </c>
      <c r="J1510" s="71" t="str">
        <f>IF(OR(I1510=0,I1510=""),"unrated",VLOOKUP(I1510,MappingTables!$B$19:$C$31,2,FALSE))</f>
        <v>unrated</v>
      </c>
      <c r="K1510" s="72">
        <v>6.0344950400959808</v>
      </c>
      <c r="L1510" s="70">
        <v>1.7034722733178508</v>
      </c>
      <c r="M1510" s="71">
        <f>IF(L1510&lt;1,1,L1510)</f>
        <v>1.7034722733178508</v>
      </c>
      <c r="N1510" s="70" t="s">
        <v>141</v>
      </c>
      <c r="O1510" s="71">
        <f>INDEX(DurClassMapping,MATCH(M1510,MappingTables!$D$4:$D$8,-1),1)</f>
        <v>1</v>
      </c>
      <c r="P1510" s="73">
        <f>IF(M1510=$A$1,1,$M1510-INDEX(MappingTables!$E$4:$E$8,MATCH(O1510,MappingTables!$B$4:$B$8,0)))</f>
        <v>1.7034722733178508</v>
      </c>
      <c r="Q1510" s="71">
        <f>IF(B1510="",0,INDEX(ModelParameters!$D$6:$K$10,MATCH($O1510,ModelParameters!$B$6:$B$10,0),MATCH($J1510,ModelParameters!$D$5:$K$5,0)))</f>
        <v>0.03</v>
      </c>
      <c r="R1510" s="71">
        <f>IF(B1510="",0,INDEX(ModelParameters!$D$13:$K$17,MATCH($O1510,ModelParameters!$B$13:$B$17,0),MATCH($J1510,ModelParameters!$D$5:$K$5,0)))</f>
        <v>0</v>
      </c>
      <c r="S1510" s="160">
        <f>IF(B1510="",0,MIN(IF($N1510="Other Bond TM",ModelParameters!$N$21,1)*(P1510*Q1510+R1510),1))</f>
        <v>0.051104168199535528</v>
      </c>
      <c r="T1510" s="85">
        <f>IF(B1510="",0,$S1510*$K1510)</f>
        <v>0.30838784952832788</v>
      </c>
      <c r="U1510" s="85">
        <f>IF(B1510="",0,IF(OR(H1510=MappingTables!$C$34,H1510=MappingTables!$C$35),T1510,0))</f>
        <v>0</v>
      </c>
      <c r="V1510" s="85">
        <f>IF(ISNA(IF(AND(VLOOKUP(CONCATENATE($D1510,$G1510),CSRFinput!$B:$E,4,0)=0,OR(H1510=MappingTables!$C$34,H1510=MappingTables!$C$35)),1,VLOOKUP(CONCATENATE($D1510,$G1510),CSRFinput!$B:$E,4,0))),0,IF(AND(VLOOKUP(CONCATENATE($D1510,$G1510),CSRFinput!$B:$E,4,0)=0,OR(H1510=MappingTables!$C$34,H1510=MappingTables!$C$35)),1,VLOOKUP(CONCATENATE($D1510,$G1510),CSRFinput!$B:$E,4,0)))</f>
        <v>0.054776304963434752</v>
      </c>
      <c r="W1510" s="85">
        <f>IF(B1510="",0,+$T1510*$V1510)</f>
        <v>0.016892346892781514</v>
      </c>
      <c r="X1510" s="85">
        <f>IF(B1510="",0,IF(OR(H1510=MappingTables!$C$34,H1510=MappingTables!$C$35),W1510,0))</f>
        <v>0</v>
      </c>
    </row>
    <row r="1511" spans="2:24" s="0" customFormat="0" ht="15">
      <c r="B1511" s="69">
        <v>13555241</v>
      </c>
      <c r="C1511" s="70" t="s">
        <v>1751</v>
      </c>
      <c r="D1511" s="70" t="s">
        <v>1</v>
      </c>
      <c r="E1511" s="70" t="s">
        <v>1</v>
      </c>
      <c r="F1511" s="70"/>
      <c r="G1511" s="70" t="s">
        <v>61</v>
      </c>
      <c r="H1511" s="70" t="s">
        <v>178</v>
      </c>
      <c r="I1511" s="70" t="s">
        <v>204</v>
      </c>
      <c r="J1511" s="71">
        <f>IF(OR(I1511=0,I1511=""),"unrated",VLOOKUP(I1511,MappingTables!$B$19:$C$31,2,FALSE))</f>
        <v>6</v>
      </c>
      <c r="K1511" s="72">
        <v>238.97334199439764</v>
      </c>
      <c r="L1511" s="70">
        <v>0.03013518965896086</v>
      </c>
      <c r="M1511" s="71">
        <f>IF(L1511&lt;1,1,L1511)</f>
        <v>1</v>
      </c>
      <c r="N1511" s="70" t="s">
        <v>141</v>
      </c>
      <c r="O1511" s="71">
        <f>INDEX(DurClassMapping,MATCH(M1511,MappingTables!$D$4:$D$8,-1),1)</f>
        <v>1</v>
      </c>
      <c r="P1511" s="73">
        <f>IF(M1511=$A$1,1,$M1511-INDEX(MappingTables!$E$4:$E$8,MATCH(O1511,MappingTables!$B$4:$B$8,0)))</f>
        <v>1</v>
      </c>
      <c r="Q1511" s="71">
        <f>IF(B1511="",0,INDEX(ModelParameters!$D$6:$K$10,MATCH($O1511,ModelParameters!$B$6:$B$10,0),MATCH($J1511,ModelParameters!$D$5:$K$5,0)))</f>
        <v>0.075</v>
      </c>
      <c r="R1511" s="71">
        <f>IF(B1511="",0,INDEX(ModelParameters!$D$13:$K$17,MATCH($O1511,ModelParameters!$B$13:$B$17,0),MATCH($J1511,ModelParameters!$D$5:$K$5,0)))</f>
        <v>0</v>
      </c>
      <c r="S1511" s="160">
        <f>IF(B1511="",0,MIN(IF($N1511="Other Bond TM",ModelParameters!$N$21,1)*(P1511*Q1511+R1511),1))</f>
        <v>0.075</v>
      </c>
      <c r="T1511" s="85">
        <f>IF(B1511="",0,$S1511*$K1511)</f>
        <v>17.923000649579822</v>
      </c>
      <c r="U1511" s="85">
        <f>IF(B1511="",0,IF(OR(H1511=MappingTables!$C$34,H1511=MappingTables!$C$35),T1511,0))</f>
        <v>0</v>
      </c>
      <c r="V1511" s="85">
        <f>IF(ISNA(IF(AND(VLOOKUP(CONCATENATE($D1511,$G1511),CSRFinput!$B:$E,4,0)=0,OR(H1511=MappingTables!$C$34,H1511=MappingTables!$C$35)),1,VLOOKUP(CONCATENATE($D1511,$G1511),CSRFinput!$B:$E,4,0))),0,IF(AND(VLOOKUP(CONCATENATE($D1511,$G1511),CSRFinput!$B:$E,4,0)=0,OR(H1511=MappingTables!$C$34,H1511=MappingTables!$C$35)),1,VLOOKUP(CONCATENATE($D1511,$G1511),CSRFinput!$B:$E,4,0)))</f>
        <v>0.054776304963434752</v>
      </c>
      <c r="W1511" s="85">
        <f>IF(B1511="",0,+$T1511*$V1511)</f>
        <v>0.98175574944122352</v>
      </c>
      <c r="X1511" s="85">
        <f>IF(B1511="",0,IF(OR(H1511=MappingTables!$C$34,H1511=MappingTables!$C$35),W1511,0))</f>
        <v>0</v>
      </c>
    </row>
    <row r="1512" spans="2:24" s="0" customFormat="0" ht="15">
      <c r="B1512" s="69" t="s">
        <v>1752</v>
      </c>
      <c r="C1512" s="70" t="s">
        <v>1753</v>
      </c>
      <c r="D1512" s="70" t="s">
        <v>1</v>
      </c>
      <c r="E1512" s="70" t="s">
        <v>1</v>
      </c>
      <c r="F1512" s="70"/>
      <c r="G1512" s="70" t="s">
        <v>61</v>
      </c>
      <c r="H1512" s="70" t="s">
        <v>178</v>
      </c>
      <c r="I1512" s="70" t="s">
        <v>188</v>
      </c>
      <c r="J1512" s="71">
        <f>IF(OR(I1512=0,I1512=""),"unrated",VLOOKUP(I1512,MappingTables!$B$19:$C$31,2,FALSE))</f>
        <v>2</v>
      </c>
      <c r="K1512" s="72">
        <v>101.16684110340438</v>
      </c>
      <c r="L1512" s="70">
        <v>5.5711557764243312</v>
      </c>
      <c r="M1512" s="71">
        <f>IF(L1512&lt;1,1,L1512)</f>
        <v>5.5711557764243312</v>
      </c>
      <c r="N1512" s="70" t="s">
        <v>141</v>
      </c>
      <c r="O1512" s="71">
        <f>INDEX(DurClassMapping,MATCH(M1512,MappingTables!$D$4:$D$8,-1),1)</f>
        <v>2</v>
      </c>
      <c r="P1512" s="73">
        <f>IF(M1512=$A$1,1,$M1512-INDEX(MappingTables!$E$4:$E$8,MATCH(O1512,MappingTables!$B$4:$B$8,0)))</f>
        <v>0.57115577642433112</v>
      </c>
      <c r="Q1512" s="71">
        <f>IF(B1512="",0,INDEX(ModelParameters!$D$6:$K$10,MATCH($O1512,ModelParameters!$B$6:$B$10,0),MATCH($J1512,ModelParameters!$D$5:$K$5,0)))</f>
        <v>0.0069999999999999992</v>
      </c>
      <c r="R1512" s="71">
        <f>IF(B1512="",0,INDEX(ModelParameters!$D$13:$K$17,MATCH($O1512,ModelParameters!$B$13:$B$17,0),MATCH($J1512,ModelParameters!$D$5:$K$5,0)))</f>
        <v>0.070000000000000008</v>
      </c>
      <c r="S1512" s="160">
        <f>IF(B1512="",0,MIN(IF($N1512="Other Bond TM",ModelParameters!$N$21,1)*(P1512*Q1512+R1512),1))</f>
        <v>0.07399809043497032</v>
      </c>
      <c r="T1512" s="85">
        <f>IF(B1512="",0,$S1512*$K1512)</f>
        <v>7.4861530569899904</v>
      </c>
      <c r="U1512" s="85">
        <f>IF(B1512="",0,IF(OR(H1512=MappingTables!$C$34,H1512=MappingTables!$C$35),T1512,0))</f>
        <v>0</v>
      </c>
      <c r="V1512" s="85">
        <f>IF(ISNA(IF(AND(VLOOKUP(CONCATENATE($D1512,$G1512),CSRFinput!$B:$E,4,0)=0,OR(H1512=MappingTables!$C$34,H1512=MappingTables!$C$35)),1,VLOOKUP(CONCATENATE($D1512,$G1512),CSRFinput!$B:$E,4,0))),0,IF(AND(VLOOKUP(CONCATENATE($D1512,$G1512),CSRFinput!$B:$E,4,0)=0,OR(H1512=MappingTables!$C$34,H1512=MappingTables!$C$35)),1,VLOOKUP(CONCATENATE($D1512,$G1512),CSRFinput!$B:$E,4,0)))</f>
        <v>0.054776304963434752</v>
      </c>
      <c r="W1512" s="85">
        <f>IF(B1512="",0,+$T1512*$V1512)</f>
        <v>0.41006380285263304</v>
      </c>
      <c r="X1512" s="85">
        <f>IF(B1512="",0,IF(OR(H1512=MappingTables!$C$34,H1512=MappingTables!$C$35),W1512,0))</f>
        <v>0</v>
      </c>
    </row>
    <row r="1513" spans="2:24" s="0" customFormat="0" ht="15">
      <c r="B1513" s="69">
        <v>23207299</v>
      </c>
      <c r="C1513" s="70" t="s">
        <v>1754</v>
      </c>
      <c r="D1513" s="70" t="s">
        <v>1</v>
      </c>
      <c r="E1513" s="70" t="s">
        <v>1</v>
      </c>
      <c r="F1513" s="70"/>
      <c r="G1513" s="70" t="s">
        <v>61</v>
      </c>
      <c r="H1513" s="70" t="s">
        <v>178</v>
      </c>
      <c r="I1513" s="70" t="s">
        <v>188</v>
      </c>
      <c r="J1513" s="71">
        <f>IF(OR(I1513=0,I1513=""),"unrated",VLOOKUP(I1513,MappingTables!$B$19:$C$31,2,FALSE))</f>
        <v>2</v>
      </c>
      <c r="K1513" s="72">
        <v>2374.9050188749776</v>
      </c>
      <c r="L1513" s="70">
        <v>2.2913972652039448</v>
      </c>
      <c r="M1513" s="71">
        <f>IF(L1513&lt;1,1,L1513)</f>
        <v>2.2913972652039448</v>
      </c>
      <c r="N1513" s="70" t="s">
        <v>141</v>
      </c>
      <c r="O1513" s="71">
        <f>INDEX(DurClassMapping,MATCH(M1513,MappingTables!$D$4:$D$8,-1),1)</f>
        <v>1</v>
      </c>
      <c r="P1513" s="73">
        <f>IF(M1513=$A$1,1,$M1513-INDEX(MappingTables!$E$4:$E$8,MATCH(O1513,MappingTables!$B$4:$B$8,0)))</f>
        <v>2.2913972652039448</v>
      </c>
      <c r="Q1513" s="71">
        <f>IF(B1513="",0,INDEX(ModelParameters!$D$6:$K$10,MATCH($O1513,ModelParameters!$B$6:$B$10,0),MATCH($J1513,ModelParameters!$D$5:$K$5,0)))</f>
        <v>0.013999999999999998</v>
      </c>
      <c r="R1513" s="71">
        <f>IF(B1513="",0,INDEX(ModelParameters!$D$13:$K$17,MATCH($O1513,ModelParameters!$B$13:$B$17,0),MATCH($J1513,ModelParameters!$D$5:$K$5,0)))</f>
        <v>0</v>
      </c>
      <c r="S1513" s="160">
        <f>IF(B1513="",0,MIN(IF($N1513="Other Bond TM",ModelParameters!$N$21,1)*(P1513*Q1513+R1513),1))</f>
        <v>0.032079561712855224</v>
      </c>
      <c r="T1513" s="85">
        <f>IF(B1513="",0,$S1513*$K1513)</f>
        <v>76.18591211516944</v>
      </c>
      <c r="U1513" s="85">
        <f>IF(B1513="",0,IF(OR(H1513=MappingTables!$C$34,H1513=MappingTables!$C$35),T1513,0))</f>
        <v>0</v>
      </c>
      <c r="V1513" s="85">
        <f>IF(ISNA(IF(AND(VLOOKUP(CONCATENATE($D1513,$G1513),CSRFinput!$B:$E,4,0)=0,OR(H1513=MappingTables!$C$34,H1513=MappingTables!$C$35)),1,VLOOKUP(CONCATENATE($D1513,$G1513),CSRFinput!$B:$E,4,0))),0,IF(AND(VLOOKUP(CONCATENATE($D1513,$G1513),CSRFinput!$B:$E,4,0)=0,OR(H1513=MappingTables!$C$34,H1513=MappingTables!$C$35)),1,VLOOKUP(CONCATENATE($D1513,$G1513),CSRFinput!$B:$E,4,0)))</f>
        <v>0.054776304963434752</v>
      </c>
      <c r="W1513" s="85">
        <f>IF(B1513="",0,+$T1513*$V1513)</f>
        <v>4.17318275593796</v>
      </c>
      <c r="X1513" s="85">
        <f>IF(B1513="",0,IF(OR(H1513=MappingTables!$C$34,H1513=MappingTables!$C$35),W1513,0))</f>
        <v>0</v>
      </c>
    </row>
    <row r="1514" spans="2:24" s="0" customFormat="0" ht="15">
      <c r="B1514" s="69" t="s">
        <v>1755</v>
      </c>
      <c r="C1514" s="70" t="s">
        <v>1756</v>
      </c>
      <c r="D1514" s="70" t="s">
        <v>1</v>
      </c>
      <c r="E1514" s="70" t="s">
        <v>1</v>
      </c>
      <c r="F1514" s="70"/>
      <c r="G1514" s="70" t="s">
        <v>61</v>
      </c>
      <c r="H1514" s="70" t="s">
        <v>178</v>
      </c>
      <c r="I1514" s="70" t="s">
        <v>181</v>
      </c>
      <c r="J1514" s="71">
        <f>IF(OR(I1514=0,I1514=""),"unrated",VLOOKUP(I1514,MappingTables!$B$19:$C$31,2,FALSE))</f>
        <v>3</v>
      </c>
      <c r="K1514" s="72">
        <v>3395.4414016553724</v>
      </c>
      <c r="L1514" s="70">
        <v>1.2642790627056478</v>
      </c>
      <c r="M1514" s="71">
        <f>IF(L1514&lt;1,1,L1514)</f>
        <v>1.2642790627056478</v>
      </c>
      <c r="N1514" s="70" t="s">
        <v>141</v>
      </c>
      <c r="O1514" s="71">
        <f>INDEX(DurClassMapping,MATCH(M1514,MappingTables!$D$4:$D$8,-1),1)</f>
        <v>1</v>
      </c>
      <c r="P1514" s="73">
        <f>IF(M1514=$A$1,1,$M1514-INDEX(MappingTables!$E$4:$E$8,MATCH(O1514,MappingTables!$B$4:$B$8,0)))</f>
        <v>1.2642790627056478</v>
      </c>
      <c r="Q1514" s="71">
        <f>IF(B1514="",0,INDEX(ModelParameters!$D$6:$K$10,MATCH($O1514,ModelParameters!$B$6:$B$10,0),MATCH($J1514,ModelParameters!$D$5:$K$5,0)))</f>
        <v>0.025</v>
      </c>
      <c r="R1514" s="71">
        <f>IF(B1514="",0,INDEX(ModelParameters!$D$13:$K$17,MATCH($O1514,ModelParameters!$B$13:$B$17,0),MATCH($J1514,ModelParameters!$D$5:$K$5,0)))</f>
        <v>0</v>
      </c>
      <c r="S1514" s="160">
        <f>IF(B1514="",0,MIN(IF($N1514="Other Bond TM",ModelParameters!$N$21,1)*(P1514*Q1514+R1514),1))</f>
        <v>0.031606976567641192</v>
      </c>
      <c r="T1514" s="85">
        <f>IF(B1514="",0,$S1514*$K1514)</f>
        <v>107.31963681892012</v>
      </c>
      <c r="U1514" s="85">
        <f>IF(B1514="",0,IF(OR(H1514=MappingTables!$C$34,H1514=MappingTables!$C$35),T1514,0))</f>
        <v>0</v>
      </c>
      <c r="V1514" s="85">
        <f>IF(ISNA(IF(AND(VLOOKUP(CONCATENATE($D1514,$G1514),CSRFinput!$B:$E,4,0)=0,OR(H1514=MappingTables!$C$34,H1514=MappingTables!$C$35)),1,VLOOKUP(CONCATENATE($D1514,$G1514),CSRFinput!$B:$E,4,0))),0,IF(AND(VLOOKUP(CONCATENATE($D1514,$G1514),CSRFinput!$B:$E,4,0)=0,OR(H1514=MappingTables!$C$34,H1514=MappingTables!$C$35)),1,VLOOKUP(CONCATENATE($D1514,$G1514),CSRFinput!$B:$E,4,0)))</f>
        <v>0.054776304963434752</v>
      </c>
      <c r="W1514" s="85">
        <f>IF(B1514="",0,+$T1514*$V1514)</f>
        <v>5.8785731549582288</v>
      </c>
      <c r="X1514" s="85">
        <f>IF(B1514="",0,IF(OR(H1514=MappingTables!$C$34,H1514=MappingTables!$C$35),W1514,0))</f>
        <v>0</v>
      </c>
    </row>
    <row r="1515" spans="2:24" s="0" customFormat="0" ht="15">
      <c r="B1515" s="69">
        <v>16139752</v>
      </c>
      <c r="C1515" s="70" t="s">
        <v>1757</v>
      </c>
      <c r="D1515" s="70" t="s">
        <v>1</v>
      </c>
      <c r="E1515" s="70" t="s">
        <v>1</v>
      </c>
      <c r="F1515" s="70"/>
      <c r="G1515" s="70" t="s">
        <v>61</v>
      </c>
      <c r="H1515" s="70" t="s">
        <v>178</v>
      </c>
      <c r="I1515" s="70" t="s">
        <v>181</v>
      </c>
      <c r="J1515" s="71">
        <f>IF(OR(I1515=0,I1515=""),"unrated",VLOOKUP(I1515,MappingTables!$B$19:$C$31,2,FALSE))</f>
        <v>3</v>
      </c>
      <c r="K1515" s="72">
        <v>39.232620779239016</v>
      </c>
      <c r="L1515" s="70">
        <v>0.28493102497420884</v>
      </c>
      <c r="M1515" s="71">
        <f>IF(L1515&lt;1,1,L1515)</f>
        <v>1</v>
      </c>
      <c r="N1515" s="70" t="s">
        <v>141</v>
      </c>
      <c r="O1515" s="71">
        <f>INDEX(DurClassMapping,MATCH(M1515,MappingTables!$D$4:$D$8,-1),1)</f>
        <v>1</v>
      </c>
      <c r="P1515" s="73">
        <f>IF(M1515=$A$1,1,$M1515-INDEX(MappingTables!$E$4:$E$8,MATCH(O1515,MappingTables!$B$4:$B$8,0)))</f>
        <v>1</v>
      </c>
      <c r="Q1515" s="71">
        <f>IF(B1515="",0,INDEX(ModelParameters!$D$6:$K$10,MATCH($O1515,ModelParameters!$B$6:$B$10,0),MATCH($J1515,ModelParameters!$D$5:$K$5,0)))</f>
        <v>0.025</v>
      </c>
      <c r="R1515" s="71">
        <f>IF(B1515="",0,INDEX(ModelParameters!$D$13:$K$17,MATCH($O1515,ModelParameters!$B$13:$B$17,0),MATCH($J1515,ModelParameters!$D$5:$K$5,0)))</f>
        <v>0</v>
      </c>
      <c r="S1515" s="160">
        <f>IF(B1515="",0,MIN(IF($N1515="Other Bond TM",ModelParameters!$N$21,1)*(P1515*Q1515+R1515),1))</f>
        <v>0.025</v>
      </c>
      <c r="T1515" s="85">
        <f>IF(B1515="",0,$S1515*$K1515)</f>
        <v>0.98081551948097536</v>
      </c>
      <c r="U1515" s="85">
        <f>IF(B1515="",0,IF(OR(H1515=MappingTables!$C$34,H1515=MappingTables!$C$35),T1515,0))</f>
        <v>0</v>
      </c>
      <c r="V1515" s="85">
        <f>IF(ISNA(IF(AND(VLOOKUP(CONCATENATE($D1515,$G1515),CSRFinput!$B:$E,4,0)=0,OR(H1515=MappingTables!$C$34,H1515=MappingTables!$C$35)),1,VLOOKUP(CONCATENATE($D1515,$G1515),CSRFinput!$B:$E,4,0))),0,IF(AND(VLOOKUP(CONCATENATE($D1515,$G1515),CSRFinput!$B:$E,4,0)=0,OR(H1515=MappingTables!$C$34,H1515=MappingTables!$C$35)),1,VLOOKUP(CONCATENATE($D1515,$G1515),CSRFinput!$B:$E,4,0)))</f>
        <v>0.054776304963434752</v>
      </c>
      <c r="W1515" s="85">
        <f>IF(B1515="",0,+$T1515*$V1515)</f>
        <v>0.053725450007959584</v>
      </c>
      <c r="X1515" s="85">
        <f>IF(B1515="",0,IF(OR(H1515=MappingTables!$C$34,H1515=MappingTables!$C$35),W1515,0))</f>
        <v>0</v>
      </c>
    </row>
    <row r="1516" spans="2:24" s="0" customFormat="0" ht="15">
      <c r="B1516" s="69">
        <v>23297632</v>
      </c>
      <c r="C1516" s="70" t="s">
        <v>1562</v>
      </c>
      <c r="D1516" s="70" t="s">
        <v>1</v>
      </c>
      <c r="E1516" s="70" t="s">
        <v>1</v>
      </c>
      <c r="F1516" s="70"/>
      <c r="G1516" s="70" t="s">
        <v>61</v>
      </c>
      <c r="H1516" s="70" t="s">
        <v>178</v>
      </c>
      <c r="I1516" s="70" t="s">
        <v>220</v>
      </c>
      <c r="J1516" s="71">
        <f>IF(OR(I1516=0,I1516=""),"unrated",VLOOKUP(I1516,MappingTables!$B$19:$C$31,2,FALSE))</f>
        <v>1</v>
      </c>
      <c r="K1516" s="72">
        <v>1806.1251871291228</v>
      </c>
      <c r="L1516" s="70">
        <v>0.06301513237283336</v>
      </c>
      <c r="M1516" s="71">
        <f>IF(L1516&lt;1,1,L1516)</f>
        <v>1</v>
      </c>
      <c r="N1516" s="70" t="s">
        <v>141</v>
      </c>
      <c r="O1516" s="71">
        <f>INDEX(DurClassMapping,MATCH(M1516,MappingTables!$D$4:$D$8,-1),1)</f>
        <v>1</v>
      </c>
      <c r="P1516" s="73">
        <f>IF(M1516=$A$1,1,$M1516-INDEX(MappingTables!$E$4:$E$8,MATCH(O1516,MappingTables!$B$4:$B$8,0)))</f>
        <v>1</v>
      </c>
      <c r="Q1516" s="71">
        <f>IF(B1516="",0,INDEX(ModelParameters!$D$6:$K$10,MATCH($O1516,ModelParameters!$B$6:$B$10,0),MATCH($J1516,ModelParameters!$D$5:$K$5,0)))</f>
        <v>0.011000000000000002</v>
      </c>
      <c r="R1516" s="71">
        <f>IF(B1516="",0,INDEX(ModelParameters!$D$13:$K$17,MATCH($O1516,ModelParameters!$B$13:$B$17,0),MATCH($J1516,ModelParameters!$D$5:$K$5,0)))</f>
        <v>0</v>
      </c>
      <c r="S1516" s="160">
        <f>IF(B1516="",0,MIN(IF($N1516="Other Bond TM",ModelParameters!$N$21,1)*(P1516*Q1516+R1516),1))</f>
        <v>0.011000000000000002</v>
      </c>
      <c r="T1516" s="85">
        <f>IF(B1516="",0,$S1516*$K1516)</f>
        <v>19.867377058420352</v>
      </c>
      <c r="U1516" s="85">
        <f>IF(B1516="",0,IF(OR(H1516=MappingTables!$C$34,H1516=MappingTables!$C$35),T1516,0))</f>
        <v>0</v>
      </c>
      <c r="V1516" s="85">
        <f>IF(ISNA(IF(AND(VLOOKUP(CONCATENATE($D1516,$G1516),CSRFinput!$B:$E,4,0)=0,OR(H1516=MappingTables!$C$34,H1516=MappingTables!$C$35)),1,VLOOKUP(CONCATENATE($D1516,$G1516),CSRFinput!$B:$E,4,0))),0,IF(AND(VLOOKUP(CONCATENATE($D1516,$G1516),CSRFinput!$B:$E,4,0)=0,OR(H1516=MappingTables!$C$34,H1516=MappingTables!$C$35)),1,VLOOKUP(CONCATENATE($D1516,$G1516),CSRFinput!$B:$E,4,0)))</f>
        <v>0.054776304963434752</v>
      </c>
      <c r="W1516" s="85">
        <f>IF(B1516="",0,+$T1516*$V1516)</f>
        <v>1.0882615045755806</v>
      </c>
      <c r="X1516" s="85">
        <f>IF(B1516="",0,IF(OR(H1516=MappingTables!$C$34,H1516=MappingTables!$C$35),W1516,0))</f>
        <v>0</v>
      </c>
    </row>
    <row r="1517" spans="2:24" s="0" customFormat="0" ht="15">
      <c r="B1517" s="69">
        <v>22029360</v>
      </c>
      <c r="C1517" s="70" t="s">
        <v>1758</v>
      </c>
      <c r="D1517" s="70" t="s">
        <v>1</v>
      </c>
      <c r="E1517" s="70" t="s">
        <v>1</v>
      </c>
      <c r="F1517" s="70"/>
      <c r="G1517" s="70" t="s">
        <v>61</v>
      </c>
      <c r="H1517" s="70" t="s">
        <v>178</v>
      </c>
      <c r="I1517" s="70" t="s">
        <v>179</v>
      </c>
      <c r="J1517" s="71">
        <f>IF(OR(I1517=0,I1517=""),"unrated",VLOOKUP(I1517,MappingTables!$B$19:$C$31,2,FALSE))</f>
        <v>4</v>
      </c>
      <c r="K1517" s="72">
        <v>3692.3830062797736</v>
      </c>
      <c r="L1517" s="70">
        <v>4.9913986418491088</v>
      </c>
      <c r="M1517" s="71">
        <f>IF(L1517&lt;1,1,L1517)</f>
        <v>4.9913986418491088</v>
      </c>
      <c r="N1517" s="70" t="s">
        <v>141</v>
      </c>
      <c r="O1517" s="71">
        <f>INDEX(DurClassMapping,MATCH(M1517,MappingTables!$D$4:$D$8,-1),1)</f>
        <v>1</v>
      </c>
      <c r="P1517" s="73">
        <f>IF(M1517=$A$1,1,$M1517-INDEX(MappingTables!$E$4:$E$8,MATCH(O1517,MappingTables!$B$4:$B$8,0)))</f>
        <v>4.9913986418491088</v>
      </c>
      <c r="Q1517" s="71">
        <f>IF(B1517="",0,INDEX(ModelParameters!$D$6:$K$10,MATCH($O1517,ModelParameters!$B$6:$B$10,0),MATCH($J1517,ModelParameters!$D$5:$K$5,0)))</f>
        <v>0.045</v>
      </c>
      <c r="R1517" s="71">
        <f>IF(B1517="",0,INDEX(ModelParameters!$D$13:$K$17,MATCH($O1517,ModelParameters!$B$13:$B$17,0),MATCH($J1517,ModelParameters!$D$5:$K$5,0)))</f>
        <v>0</v>
      </c>
      <c r="S1517" s="160">
        <f>IF(B1517="",0,MIN(IF($N1517="Other Bond TM",ModelParameters!$N$21,1)*(P1517*Q1517+R1517),1))</f>
        <v>0.22461293888320992</v>
      </c>
      <c r="T1517" s="85">
        <f>IF(B1517="",0,$S1517*$K1517)</f>
        <v>829.3569985229216</v>
      </c>
      <c r="U1517" s="85">
        <f>IF(B1517="",0,IF(OR(H1517=MappingTables!$C$34,H1517=MappingTables!$C$35),T1517,0))</f>
        <v>0</v>
      </c>
      <c r="V1517" s="85">
        <f>IF(ISNA(IF(AND(VLOOKUP(CONCATENATE($D1517,$G1517),CSRFinput!$B:$E,4,0)=0,OR(H1517=MappingTables!$C$34,H1517=MappingTables!$C$35)),1,VLOOKUP(CONCATENATE($D1517,$G1517),CSRFinput!$B:$E,4,0))),0,IF(AND(VLOOKUP(CONCATENATE($D1517,$G1517),CSRFinput!$B:$E,4,0)=0,OR(H1517=MappingTables!$C$34,H1517=MappingTables!$C$35)),1,VLOOKUP(CONCATENATE($D1517,$G1517),CSRFinput!$B:$E,4,0)))</f>
        <v>0.054776304963434752</v>
      </c>
      <c r="W1517" s="85">
        <f>IF(B1517="",0,+$T1517*$V1517)</f>
        <v>45.429111874650456</v>
      </c>
      <c r="X1517" s="85">
        <f>IF(B1517="",0,IF(OR(H1517=MappingTables!$C$34,H1517=MappingTables!$C$35),W1517,0))</f>
        <v>0</v>
      </c>
    </row>
    <row r="1518" spans="2:24" s="0" customFormat="0" ht="15">
      <c r="B1518" s="69">
        <v>15449869</v>
      </c>
      <c r="C1518" s="70" t="s">
        <v>1759</v>
      </c>
      <c r="D1518" s="70" t="s">
        <v>1</v>
      </c>
      <c r="E1518" s="70" t="s">
        <v>1</v>
      </c>
      <c r="F1518" s="70"/>
      <c r="G1518" s="70" t="s">
        <v>61</v>
      </c>
      <c r="H1518" s="70" t="s">
        <v>178</v>
      </c>
      <c r="I1518" s="70" t="s">
        <v>181</v>
      </c>
      <c r="J1518" s="71">
        <f>IF(OR(I1518=0,I1518=""),"unrated",VLOOKUP(I1518,MappingTables!$B$19:$C$31,2,FALSE))</f>
        <v>3</v>
      </c>
      <c r="K1518" s="72">
        <v>648.03717665848424</v>
      </c>
      <c r="L1518" s="70">
        <v>0.12328932364587382</v>
      </c>
      <c r="M1518" s="71">
        <f>IF(L1518&lt;1,1,L1518)</f>
        <v>1</v>
      </c>
      <c r="N1518" s="70" t="s">
        <v>141</v>
      </c>
      <c r="O1518" s="71">
        <f>INDEX(DurClassMapping,MATCH(M1518,MappingTables!$D$4:$D$8,-1),1)</f>
        <v>1</v>
      </c>
      <c r="P1518" s="73">
        <f>IF(M1518=$A$1,1,$M1518-INDEX(MappingTables!$E$4:$E$8,MATCH(O1518,MappingTables!$B$4:$B$8,0)))</f>
        <v>1</v>
      </c>
      <c r="Q1518" s="71">
        <f>IF(B1518="",0,INDEX(ModelParameters!$D$6:$K$10,MATCH($O1518,ModelParameters!$B$6:$B$10,0),MATCH($J1518,ModelParameters!$D$5:$K$5,0)))</f>
        <v>0.025</v>
      </c>
      <c r="R1518" s="71">
        <f>IF(B1518="",0,INDEX(ModelParameters!$D$13:$K$17,MATCH($O1518,ModelParameters!$B$13:$B$17,0),MATCH($J1518,ModelParameters!$D$5:$K$5,0)))</f>
        <v>0</v>
      </c>
      <c r="S1518" s="160">
        <f>IF(B1518="",0,MIN(IF($N1518="Other Bond TM",ModelParameters!$N$21,1)*(P1518*Q1518+R1518),1))</f>
        <v>0.025</v>
      </c>
      <c r="T1518" s="85">
        <f>IF(B1518="",0,$S1518*$K1518)</f>
        <v>16.200929416462106</v>
      </c>
      <c r="U1518" s="85">
        <f>IF(B1518="",0,IF(OR(H1518=MappingTables!$C$34,H1518=MappingTables!$C$35),T1518,0))</f>
        <v>0</v>
      </c>
      <c r="V1518" s="85">
        <f>IF(ISNA(IF(AND(VLOOKUP(CONCATENATE($D1518,$G1518),CSRFinput!$B:$E,4,0)=0,OR(H1518=MappingTables!$C$34,H1518=MappingTables!$C$35)),1,VLOOKUP(CONCATENATE($D1518,$G1518),CSRFinput!$B:$E,4,0))),0,IF(AND(VLOOKUP(CONCATENATE($D1518,$G1518),CSRFinput!$B:$E,4,0)=0,OR(H1518=MappingTables!$C$34,H1518=MappingTables!$C$35)),1,VLOOKUP(CONCATENATE($D1518,$G1518),CSRFinput!$B:$E,4,0)))</f>
        <v>0.054776304963434752</v>
      </c>
      <c r="W1518" s="85">
        <f>IF(B1518="",0,+$T1518*$V1518)</f>
        <v>0.88742705040720944</v>
      </c>
      <c r="X1518" s="85">
        <f>IF(B1518="",0,IF(OR(H1518=MappingTables!$C$34,H1518=MappingTables!$C$35),W1518,0))</f>
        <v>0</v>
      </c>
    </row>
    <row r="1519" spans="2:24" s="0" customFormat="0" ht="15">
      <c r="B1519" s="69" t="s">
        <v>1760</v>
      </c>
      <c r="C1519" s="70" t="s">
        <v>1761</v>
      </c>
      <c r="D1519" s="70" t="s">
        <v>1</v>
      </c>
      <c r="E1519" s="70" t="s">
        <v>1</v>
      </c>
      <c r="F1519" s="70"/>
      <c r="G1519" s="70" t="s">
        <v>61</v>
      </c>
      <c r="H1519" s="70" t="s">
        <v>178</v>
      </c>
      <c r="I1519" s="70" t="s">
        <v>188</v>
      </c>
      <c r="J1519" s="71">
        <f>IF(OR(I1519=0,I1519=""),"unrated",VLOOKUP(I1519,MappingTables!$B$19:$C$31,2,FALSE))</f>
        <v>2</v>
      </c>
      <c r="K1519" s="72">
        <v>24945.553705026788</v>
      </c>
      <c r="L1519" s="70">
        <v>3.802697260175684</v>
      </c>
      <c r="M1519" s="71">
        <f>IF(L1519&lt;1,1,L1519)</f>
        <v>3.802697260175684</v>
      </c>
      <c r="N1519" s="70" t="s">
        <v>141</v>
      </c>
      <c r="O1519" s="71">
        <f>INDEX(DurClassMapping,MATCH(M1519,MappingTables!$D$4:$D$8,-1),1)</f>
        <v>1</v>
      </c>
      <c r="P1519" s="73">
        <f>IF(M1519=$A$1,1,$M1519-INDEX(MappingTables!$E$4:$E$8,MATCH(O1519,MappingTables!$B$4:$B$8,0)))</f>
        <v>3.802697260175684</v>
      </c>
      <c r="Q1519" s="71">
        <f>IF(B1519="",0,INDEX(ModelParameters!$D$6:$K$10,MATCH($O1519,ModelParameters!$B$6:$B$10,0),MATCH($J1519,ModelParameters!$D$5:$K$5,0)))</f>
        <v>0.013999999999999998</v>
      </c>
      <c r="R1519" s="71">
        <f>IF(B1519="",0,INDEX(ModelParameters!$D$13:$K$17,MATCH($O1519,ModelParameters!$B$13:$B$17,0),MATCH($J1519,ModelParameters!$D$5:$K$5,0)))</f>
        <v>0</v>
      </c>
      <c r="S1519" s="160">
        <f>IF(B1519="",0,MIN(IF($N1519="Other Bond TM",ModelParameters!$N$21,1)*(P1519*Q1519+R1519),1))</f>
        <v>0.053237761642459568</v>
      </c>
      <c r="T1519" s="85">
        <f>IF(B1519="",0,$S1519*$K1519)</f>
        <v>1328.0454421873904</v>
      </c>
      <c r="U1519" s="85">
        <f>IF(B1519="",0,IF(OR(H1519=MappingTables!$C$34,H1519=MappingTables!$C$35),T1519,0))</f>
        <v>0</v>
      </c>
      <c r="V1519" s="85">
        <f>IF(ISNA(IF(AND(VLOOKUP(CONCATENATE($D1519,$G1519),CSRFinput!$B:$E,4,0)=0,OR(H1519=MappingTables!$C$34,H1519=MappingTables!$C$35)),1,VLOOKUP(CONCATENATE($D1519,$G1519),CSRFinput!$B:$E,4,0))),0,IF(AND(VLOOKUP(CONCATENATE($D1519,$G1519),CSRFinput!$B:$E,4,0)=0,OR(H1519=MappingTables!$C$34,H1519=MappingTables!$C$35)),1,VLOOKUP(CONCATENATE($D1519,$G1519),CSRFinput!$B:$E,4,0)))</f>
        <v>0.054776304963434752</v>
      </c>
      <c r="W1519" s="85">
        <f>IF(B1519="",0,+$T1519*$V1519)</f>
        <v>72.745422146556048</v>
      </c>
      <c r="X1519" s="85">
        <f>IF(B1519="",0,IF(OR(H1519=MappingTables!$C$34,H1519=MappingTables!$C$35),W1519,0))</f>
        <v>0</v>
      </c>
    </row>
    <row r="1520" spans="2:24" s="0" customFormat="0" ht="15">
      <c r="B1520" s="69" t="s">
        <v>1762</v>
      </c>
      <c r="C1520" s="70" t="s">
        <v>1763</v>
      </c>
      <c r="D1520" s="70" t="s">
        <v>1</v>
      </c>
      <c r="E1520" s="70" t="s">
        <v>1</v>
      </c>
      <c r="F1520" s="70"/>
      <c r="G1520" s="70" t="s">
        <v>61</v>
      </c>
      <c r="H1520" s="70" t="s">
        <v>178</v>
      </c>
      <c r="I1520" s="70" t="s">
        <v>188</v>
      </c>
      <c r="J1520" s="71">
        <f>IF(OR(I1520=0,I1520=""),"unrated",VLOOKUP(I1520,MappingTables!$B$19:$C$31,2,FALSE))</f>
        <v>2</v>
      </c>
      <c r="K1520" s="72">
        <v>0.37869289303536376</v>
      </c>
      <c r="L1520" s="70">
        <v>0.03287635838456618</v>
      </c>
      <c r="M1520" s="71">
        <f>IF(L1520&lt;1,1,L1520)</f>
        <v>1</v>
      </c>
      <c r="N1520" s="70" t="s">
        <v>141</v>
      </c>
      <c r="O1520" s="71">
        <f>INDEX(DurClassMapping,MATCH(M1520,MappingTables!$D$4:$D$8,-1),1)</f>
        <v>1</v>
      </c>
      <c r="P1520" s="73">
        <f>IF(M1520=$A$1,1,$M1520-INDEX(MappingTables!$E$4:$E$8,MATCH(O1520,MappingTables!$B$4:$B$8,0)))</f>
        <v>1</v>
      </c>
      <c r="Q1520" s="71">
        <f>IF(B1520="",0,INDEX(ModelParameters!$D$6:$K$10,MATCH($O1520,ModelParameters!$B$6:$B$10,0),MATCH($J1520,ModelParameters!$D$5:$K$5,0)))</f>
        <v>0.013999999999999998</v>
      </c>
      <c r="R1520" s="71">
        <f>IF(B1520="",0,INDEX(ModelParameters!$D$13:$K$17,MATCH($O1520,ModelParameters!$B$13:$B$17,0),MATCH($J1520,ModelParameters!$D$5:$K$5,0)))</f>
        <v>0</v>
      </c>
      <c r="S1520" s="160">
        <f>IF(B1520="",0,MIN(IF($N1520="Other Bond TM",ModelParameters!$N$21,1)*(P1520*Q1520+R1520),1))</f>
        <v>0.013999999999999998</v>
      </c>
      <c r="T1520" s="85">
        <f>IF(B1520="",0,$S1520*$K1520)</f>
        <v>0.0053017005024950928</v>
      </c>
      <c r="U1520" s="85">
        <f>IF(B1520="",0,IF(OR(H1520=MappingTables!$C$34,H1520=MappingTables!$C$35),T1520,0))</f>
        <v>0</v>
      </c>
      <c r="V1520" s="85">
        <f>IF(ISNA(IF(AND(VLOOKUP(CONCATENATE($D1520,$G1520),CSRFinput!$B:$E,4,0)=0,OR(H1520=MappingTables!$C$34,H1520=MappingTables!$C$35)),1,VLOOKUP(CONCATENATE($D1520,$G1520),CSRFinput!$B:$E,4,0))),0,IF(AND(VLOOKUP(CONCATENATE($D1520,$G1520),CSRFinput!$B:$E,4,0)=0,OR(H1520=MappingTables!$C$34,H1520=MappingTables!$C$35)),1,VLOOKUP(CONCATENATE($D1520,$G1520),CSRFinput!$B:$E,4,0)))</f>
        <v>0.054776304963434752</v>
      </c>
      <c r="W1520" s="85">
        <f>IF(B1520="",0,+$T1520*$V1520)</f>
        <v>0.00029040756354946648</v>
      </c>
      <c r="X1520" s="85">
        <f>IF(B1520="",0,IF(OR(H1520=MappingTables!$C$34,H1520=MappingTables!$C$35),W1520,0))</f>
        <v>0</v>
      </c>
    </row>
    <row r="1521" spans="2:24" s="0" customFormat="0" ht="15">
      <c r="B1521" s="69">
        <v>12588128</v>
      </c>
      <c r="C1521" s="70" t="s">
        <v>1764</v>
      </c>
      <c r="D1521" s="70" t="s">
        <v>1</v>
      </c>
      <c r="E1521" s="70" t="s">
        <v>1</v>
      </c>
      <c r="F1521" s="70"/>
      <c r="G1521" s="70" t="s">
        <v>61</v>
      </c>
      <c r="H1521" s="70" t="s">
        <v>178</v>
      </c>
      <c r="I1521" s="70" t="s">
        <v>181</v>
      </c>
      <c r="J1521" s="71">
        <f>IF(OR(I1521=0,I1521=""),"unrated",VLOOKUP(I1521,MappingTables!$B$19:$C$31,2,FALSE))</f>
        <v>3</v>
      </c>
      <c r="K1521" s="72">
        <v>6.2148272366391184</v>
      </c>
      <c r="L1521" s="70">
        <v>0.739733385032428</v>
      </c>
      <c r="M1521" s="71">
        <f>IF(L1521&lt;1,1,L1521)</f>
        <v>1</v>
      </c>
      <c r="N1521" s="70" t="s">
        <v>141</v>
      </c>
      <c r="O1521" s="71">
        <f>INDEX(DurClassMapping,MATCH(M1521,MappingTables!$D$4:$D$8,-1),1)</f>
        <v>1</v>
      </c>
      <c r="P1521" s="73">
        <f>IF(M1521=$A$1,1,$M1521-INDEX(MappingTables!$E$4:$E$8,MATCH(O1521,MappingTables!$B$4:$B$8,0)))</f>
        <v>1</v>
      </c>
      <c r="Q1521" s="71">
        <f>IF(B1521="",0,INDEX(ModelParameters!$D$6:$K$10,MATCH($O1521,ModelParameters!$B$6:$B$10,0),MATCH($J1521,ModelParameters!$D$5:$K$5,0)))</f>
        <v>0.025</v>
      </c>
      <c r="R1521" s="71">
        <f>IF(B1521="",0,INDEX(ModelParameters!$D$13:$K$17,MATCH($O1521,ModelParameters!$B$13:$B$17,0),MATCH($J1521,ModelParameters!$D$5:$K$5,0)))</f>
        <v>0</v>
      </c>
      <c r="S1521" s="160">
        <f>IF(B1521="",0,MIN(IF($N1521="Other Bond TM",ModelParameters!$N$21,1)*(P1521*Q1521+R1521),1))</f>
        <v>0.025</v>
      </c>
      <c r="T1521" s="85">
        <f>IF(B1521="",0,$S1521*$K1521)</f>
        <v>0.15537068091597798</v>
      </c>
      <c r="U1521" s="85">
        <f>IF(B1521="",0,IF(OR(H1521=MappingTables!$C$34,H1521=MappingTables!$C$35),T1521,0))</f>
        <v>0</v>
      </c>
      <c r="V1521" s="85">
        <f>IF(ISNA(IF(AND(VLOOKUP(CONCATENATE($D1521,$G1521),CSRFinput!$B:$E,4,0)=0,OR(H1521=MappingTables!$C$34,H1521=MappingTables!$C$35)),1,VLOOKUP(CONCATENATE($D1521,$G1521),CSRFinput!$B:$E,4,0))),0,IF(AND(VLOOKUP(CONCATENATE($D1521,$G1521),CSRFinput!$B:$E,4,0)=0,OR(H1521=MappingTables!$C$34,H1521=MappingTables!$C$35)),1,VLOOKUP(CONCATENATE($D1521,$G1521),CSRFinput!$B:$E,4,0)))</f>
        <v>0.054776304963434752</v>
      </c>
      <c r="W1521" s="85">
        <f>IF(B1521="",0,+$T1521*$V1521)</f>
        <v>0.0085106318002301216</v>
      </c>
      <c r="X1521" s="85">
        <f>IF(B1521="",0,IF(OR(H1521=MappingTables!$C$34,H1521=MappingTables!$C$35),W1521,0))</f>
        <v>0</v>
      </c>
    </row>
    <row r="1522" spans="2:24" s="0" customFormat="0" ht="15">
      <c r="B1522" s="69">
        <v>10567183</v>
      </c>
      <c r="C1522" s="70" t="s">
        <v>1765</v>
      </c>
      <c r="D1522" s="70" t="s">
        <v>1</v>
      </c>
      <c r="E1522" s="70" t="s">
        <v>1</v>
      </c>
      <c r="F1522" s="70"/>
      <c r="G1522" s="70" t="s">
        <v>61</v>
      </c>
      <c r="H1522" s="70" t="s">
        <v>178</v>
      </c>
      <c r="I1522" s="70" t="s">
        <v>181</v>
      </c>
      <c r="J1522" s="71">
        <f>IF(OR(I1522=0,I1522=""),"unrated",VLOOKUP(I1522,MappingTables!$B$19:$C$31,2,FALSE))</f>
        <v>3</v>
      </c>
      <c r="K1522" s="72">
        <v>333.23562812054264</v>
      </c>
      <c r="L1522" s="70">
        <v>1.5124173837768514</v>
      </c>
      <c r="M1522" s="71">
        <f>IF(L1522&lt;1,1,L1522)</f>
        <v>1.5124173837768514</v>
      </c>
      <c r="N1522" s="70" t="s">
        <v>141</v>
      </c>
      <c r="O1522" s="71">
        <f>INDEX(DurClassMapping,MATCH(M1522,MappingTables!$D$4:$D$8,-1),1)</f>
        <v>1</v>
      </c>
      <c r="P1522" s="73">
        <f>IF(M1522=$A$1,1,$M1522-INDEX(MappingTables!$E$4:$E$8,MATCH(O1522,MappingTables!$B$4:$B$8,0)))</f>
        <v>1.5124173837768514</v>
      </c>
      <c r="Q1522" s="71">
        <f>IF(B1522="",0,INDEX(ModelParameters!$D$6:$K$10,MATCH($O1522,ModelParameters!$B$6:$B$10,0),MATCH($J1522,ModelParameters!$D$5:$K$5,0)))</f>
        <v>0.025</v>
      </c>
      <c r="R1522" s="71">
        <f>IF(B1522="",0,INDEX(ModelParameters!$D$13:$K$17,MATCH($O1522,ModelParameters!$B$13:$B$17,0),MATCH($J1522,ModelParameters!$D$5:$K$5,0)))</f>
        <v>0</v>
      </c>
      <c r="S1522" s="160">
        <f>IF(B1522="",0,MIN(IF($N1522="Other Bond TM",ModelParameters!$N$21,1)*(P1522*Q1522+R1522),1))</f>
        <v>0.037810434594421288</v>
      </c>
      <c r="T1522" s="85">
        <f>IF(B1522="",0,$S1522*$K1522)</f>
        <v>12.599783921582672</v>
      </c>
      <c r="U1522" s="85">
        <f>IF(B1522="",0,IF(OR(H1522=MappingTables!$C$34,H1522=MappingTables!$C$35),T1522,0))</f>
        <v>0</v>
      </c>
      <c r="V1522" s="85">
        <f>IF(ISNA(IF(AND(VLOOKUP(CONCATENATE($D1522,$G1522),CSRFinput!$B:$E,4,0)=0,OR(H1522=MappingTables!$C$34,H1522=MappingTables!$C$35)),1,VLOOKUP(CONCATENATE($D1522,$G1522),CSRFinput!$B:$E,4,0))),0,IF(AND(VLOOKUP(CONCATENATE($D1522,$G1522),CSRFinput!$B:$E,4,0)=0,OR(H1522=MappingTables!$C$34,H1522=MappingTables!$C$35)),1,VLOOKUP(CONCATENATE($D1522,$G1522),CSRFinput!$B:$E,4,0)))</f>
        <v>0.054776304963434752</v>
      </c>
      <c r="W1522" s="85">
        <f>IF(B1522="",0,+$T1522*$V1522)</f>
        <v>0.69016960656199432</v>
      </c>
      <c r="X1522" s="85">
        <f>IF(B1522="",0,IF(OR(H1522=MappingTables!$C$34,H1522=MappingTables!$C$35),W1522,0))</f>
        <v>0</v>
      </c>
    </row>
    <row r="1523" spans="2:24" s="0" customFormat="0" ht="15">
      <c r="B1523" s="69">
        <v>913920</v>
      </c>
      <c r="C1523" s="70" t="s">
        <v>1766</v>
      </c>
      <c r="D1523" s="70" t="s">
        <v>1</v>
      </c>
      <c r="E1523" s="70" t="s">
        <v>1</v>
      </c>
      <c r="F1523" s="70"/>
      <c r="G1523" s="70" t="s">
        <v>61</v>
      </c>
      <c r="H1523" s="70" t="s">
        <v>178</v>
      </c>
      <c r="I1523" s="70" t="s">
        <v>181</v>
      </c>
      <c r="J1523" s="71">
        <f>IF(OR(I1523=0,I1523=""),"unrated",VLOOKUP(I1523,MappingTables!$B$19:$C$31,2,FALSE))</f>
        <v>3</v>
      </c>
      <c r="K1523" s="72">
        <v>100.62228653769794</v>
      </c>
      <c r="L1523" s="70">
        <v>11.656925726774862</v>
      </c>
      <c r="M1523" s="71">
        <f>IF(L1523&lt;1,1,L1523)</f>
        <v>11.656925726774862</v>
      </c>
      <c r="N1523" s="70" t="s">
        <v>141</v>
      </c>
      <c r="O1523" s="71">
        <f>INDEX(DurClassMapping,MATCH(M1523,MappingTables!$D$4:$D$8,-1),1)</f>
        <v>3</v>
      </c>
      <c r="P1523" s="73">
        <f>IF(M1523=$A$1,1,$M1523-INDEX(MappingTables!$E$4:$E$8,MATCH(O1523,MappingTables!$B$4:$B$8,0)))</f>
        <v>1.6569257267748618</v>
      </c>
      <c r="Q1523" s="71">
        <f>IF(B1523="",0,INDEX(ModelParameters!$D$6:$K$10,MATCH($O1523,ModelParameters!$B$6:$B$10,0),MATCH($J1523,ModelParameters!$D$5:$K$5,0)))</f>
        <v>0.01</v>
      </c>
      <c r="R1523" s="71">
        <f>IF(B1523="",0,INDEX(ModelParameters!$D$13:$K$17,MATCH($O1523,ModelParameters!$B$13:$B$17,0),MATCH($J1523,ModelParameters!$D$5:$K$5,0)))</f>
        <v>0.2</v>
      </c>
      <c r="S1523" s="160">
        <f>IF(B1523="",0,MIN(IF($N1523="Other Bond TM",ModelParameters!$N$21,1)*(P1523*Q1523+R1523),1))</f>
        <v>0.2165692572677486</v>
      </c>
      <c r="T1523" s="85">
        <f>IF(B1523="",0,$S1523*$K1523)</f>
        <v>21.791693860051824</v>
      </c>
      <c r="U1523" s="85">
        <f>IF(B1523="",0,IF(OR(H1523=MappingTables!$C$34,H1523=MappingTables!$C$35),T1523,0))</f>
        <v>0</v>
      </c>
      <c r="V1523" s="85">
        <f>IF(ISNA(IF(AND(VLOOKUP(CONCATENATE($D1523,$G1523),CSRFinput!$B:$E,4,0)=0,OR(H1523=MappingTables!$C$34,H1523=MappingTables!$C$35)),1,VLOOKUP(CONCATENATE($D1523,$G1523),CSRFinput!$B:$E,4,0))),0,IF(AND(VLOOKUP(CONCATENATE($D1523,$G1523),CSRFinput!$B:$E,4,0)=0,OR(H1523=MappingTables!$C$34,H1523=MappingTables!$C$35)),1,VLOOKUP(CONCATENATE($D1523,$G1523),CSRFinput!$B:$E,4,0)))</f>
        <v>0.054776304963434752</v>
      </c>
      <c r="W1523" s="85">
        <f>IF(B1523="",0,+$T1523*$V1523)</f>
        <v>1.1936684685480074</v>
      </c>
      <c r="X1523" s="85">
        <f>IF(B1523="",0,IF(OR(H1523=MappingTables!$C$34,H1523=MappingTables!$C$35),W1523,0))</f>
        <v>0</v>
      </c>
    </row>
    <row r="1524" spans="2:24" s="0" customFormat="0" ht="15">
      <c r="B1524" s="69">
        <v>15462933</v>
      </c>
      <c r="C1524" s="70" t="s">
        <v>1767</v>
      </c>
      <c r="D1524" s="70" t="s">
        <v>1</v>
      </c>
      <c r="E1524" s="70" t="s">
        <v>1</v>
      </c>
      <c r="F1524" s="70"/>
      <c r="G1524" s="70" t="s">
        <v>61</v>
      </c>
      <c r="H1524" s="70" t="s">
        <v>178</v>
      </c>
      <c r="I1524" s="70" t="s">
        <v>181</v>
      </c>
      <c r="J1524" s="71">
        <f>IF(OR(I1524=0,I1524=""),"unrated",VLOOKUP(I1524,MappingTables!$B$19:$C$31,2,FALSE))</f>
        <v>3</v>
      </c>
      <c r="K1524" s="72">
        <v>8490.7906826835808</v>
      </c>
      <c r="L1524" s="70">
        <v>3.7367223385520592</v>
      </c>
      <c r="M1524" s="71">
        <f>IF(L1524&lt;1,1,L1524)</f>
        <v>3.7367223385520592</v>
      </c>
      <c r="N1524" s="70" t="s">
        <v>141</v>
      </c>
      <c r="O1524" s="71">
        <f>INDEX(DurClassMapping,MATCH(M1524,MappingTables!$D$4:$D$8,-1),1)</f>
        <v>1</v>
      </c>
      <c r="P1524" s="73">
        <f>IF(M1524=$A$1,1,$M1524-INDEX(MappingTables!$E$4:$E$8,MATCH(O1524,MappingTables!$B$4:$B$8,0)))</f>
        <v>3.7367223385520592</v>
      </c>
      <c r="Q1524" s="71">
        <f>IF(B1524="",0,INDEX(ModelParameters!$D$6:$K$10,MATCH($O1524,ModelParameters!$B$6:$B$10,0),MATCH($J1524,ModelParameters!$D$5:$K$5,0)))</f>
        <v>0.025</v>
      </c>
      <c r="R1524" s="71">
        <f>IF(B1524="",0,INDEX(ModelParameters!$D$13:$K$17,MATCH($O1524,ModelParameters!$B$13:$B$17,0),MATCH($J1524,ModelParameters!$D$5:$K$5,0)))</f>
        <v>0</v>
      </c>
      <c r="S1524" s="160">
        <f>IF(B1524="",0,MIN(IF($N1524="Other Bond TM",ModelParameters!$N$21,1)*(P1524*Q1524+R1524),1))</f>
        <v>0.093418058463801488</v>
      </c>
      <c r="T1524" s="85">
        <f>IF(B1524="",0,$S1524*$K1524)</f>
        <v>793.19318039883552</v>
      </c>
      <c r="U1524" s="85">
        <f>IF(B1524="",0,IF(OR(H1524=MappingTables!$C$34,H1524=MappingTables!$C$35),T1524,0))</f>
        <v>0</v>
      </c>
      <c r="V1524" s="85">
        <f>IF(ISNA(IF(AND(VLOOKUP(CONCATENATE($D1524,$G1524),CSRFinput!$B:$E,4,0)=0,OR(H1524=MappingTables!$C$34,H1524=MappingTables!$C$35)),1,VLOOKUP(CONCATENATE($D1524,$G1524),CSRFinput!$B:$E,4,0))),0,IF(AND(VLOOKUP(CONCATENATE($D1524,$G1524),CSRFinput!$B:$E,4,0)=0,OR(H1524=MappingTables!$C$34,H1524=MappingTables!$C$35)),1,VLOOKUP(CONCATENATE($D1524,$G1524),CSRFinput!$B:$E,4,0)))</f>
        <v>0.054776304963434752</v>
      </c>
      <c r="W1524" s="85">
        <f>IF(B1524="",0,+$T1524*$V1524)</f>
        <v>43.448191544443336</v>
      </c>
      <c r="X1524" s="85">
        <f>IF(B1524="",0,IF(OR(H1524=MappingTables!$C$34,H1524=MappingTables!$C$35),W1524,0))</f>
        <v>0</v>
      </c>
    </row>
    <row r="1525" spans="2:24" s="0" customFormat="0" ht="15">
      <c r="B1525" s="69">
        <v>261329</v>
      </c>
      <c r="C1525" s="70" t="s">
        <v>1768</v>
      </c>
      <c r="D1525" s="70" t="s">
        <v>1</v>
      </c>
      <c r="E1525" s="70" t="s">
        <v>1</v>
      </c>
      <c r="F1525" s="70"/>
      <c r="G1525" s="70" t="s">
        <v>61</v>
      </c>
      <c r="H1525" s="70" t="s">
        <v>178</v>
      </c>
      <c r="I1525" s="70" t="s">
        <v>179</v>
      </c>
      <c r="J1525" s="71">
        <f>IF(OR(I1525=0,I1525=""),"unrated",VLOOKUP(I1525,MappingTables!$B$19:$C$31,2,FALSE))</f>
        <v>4</v>
      </c>
      <c r="K1525" s="72">
        <v>777.12768883361808</v>
      </c>
      <c r="L1525" s="70">
        <v>7.460204929302384</v>
      </c>
      <c r="M1525" s="71">
        <f>IF(L1525&lt;1,1,L1525)</f>
        <v>7.460204929302384</v>
      </c>
      <c r="N1525" s="70" t="s">
        <v>141</v>
      </c>
      <c r="O1525" s="71">
        <f>INDEX(DurClassMapping,MATCH(M1525,MappingTables!$D$4:$D$8,-1),1)</f>
        <v>2</v>
      </c>
      <c r="P1525" s="73">
        <f>IF(M1525=$A$1,1,$M1525-INDEX(MappingTables!$E$4:$E$8,MATCH(O1525,MappingTables!$B$4:$B$8,0)))</f>
        <v>2.4602049293023844</v>
      </c>
      <c r="Q1525" s="71">
        <f>IF(B1525="",0,INDEX(ModelParameters!$D$6:$K$10,MATCH($O1525,ModelParameters!$B$6:$B$10,0),MATCH($J1525,ModelParameters!$D$5:$K$5,0)))</f>
        <v>0.025</v>
      </c>
      <c r="R1525" s="71">
        <f>IF(B1525="",0,INDEX(ModelParameters!$D$13:$K$17,MATCH($O1525,ModelParameters!$B$13:$B$17,0),MATCH($J1525,ModelParameters!$D$5:$K$5,0)))</f>
        <v>0.225</v>
      </c>
      <c r="S1525" s="160">
        <f>IF(B1525="",0,MIN(IF($N1525="Other Bond TM",ModelParameters!$N$21,1)*(P1525*Q1525+R1525),1))</f>
        <v>0.2865051232325596</v>
      </c>
      <c r="T1525" s="85">
        <f>IF(B1525="",0,$S1525*$K1525)</f>
        <v>222.65106425671</v>
      </c>
      <c r="U1525" s="85">
        <f>IF(B1525="",0,IF(OR(H1525=MappingTables!$C$34,H1525=MappingTables!$C$35),T1525,0))</f>
        <v>0</v>
      </c>
      <c r="V1525" s="85">
        <f>IF(ISNA(IF(AND(VLOOKUP(CONCATENATE($D1525,$G1525),CSRFinput!$B:$E,4,0)=0,OR(H1525=MappingTables!$C$34,H1525=MappingTables!$C$35)),1,VLOOKUP(CONCATENATE($D1525,$G1525),CSRFinput!$B:$E,4,0))),0,IF(AND(VLOOKUP(CONCATENATE($D1525,$G1525),CSRFinput!$B:$E,4,0)=0,OR(H1525=MappingTables!$C$34,H1525=MappingTables!$C$35)),1,VLOOKUP(CONCATENATE($D1525,$G1525),CSRFinput!$B:$E,4,0)))</f>
        <v>0.054776304963434752</v>
      </c>
      <c r="W1525" s="85">
        <f>IF(B1525="",0,+$T1525*$V1525)</f>
        <v>12.196002596158854</v>
      </c>
      <c r="X1525" s="85">
        <f>IF(B1525="",0,IF(OR(H1525=MappingTables!$C$34,H1525=MappingTables!$C$35),W1525,0))</f>
        <v>0</v>
      </c>
    </row>
    <row r="1526" spans="2:24" s="0" customFormat="0" ht="15">
      <c r="B1526" s="69" t="s">
        <v>1769</v>
      </c>
      <c r="C1526" s="70" t="s">
        <v>1770</v>
      </c>
      <c r="D1526" s="70" t="s">
        <v>1</v>
      </c>
      <c r="E1526" s="70" t="s">
        <v>1</v>
      </c>
      <c r="F1526" s="70"/>
      <c r="G1526" s="70" t="s">
        <v>61</v>
      </c>
      <c r="H1526" s="70" t="s">
        <v>178</v>
      </c>
      <c r="I1526" s="70" t="s">
        <v>181</v>
      </c>
      <c r="J1526" s="71">
        <f>IF(OR(I1526=0,I1526=""),"unrated",VLOOKUP(I1526,MappingTables!$B$19:$C$31,2,FALSE))</f>
        <v>3</v>
      </c>
      <c r="K1526" s="72">
        <v>6.8616953842288704</v>
      </c>
      <c r="L1526" s="70">
        <v>1.5133321556538864</v>
      </c>
      <c r="M1526" s="71">
        <f>IF(L1526&lt;1,1,L1526)</f>
        <v>1.5133321556538864</v>
      </c>
      <c r="N1526" s="70" t="s">
        <v>141</v>
      </c>
      <c r="O1526" s="71">
        <f>INDEX(DurClassMapping,MATCH(M1526,MappingTables!$D$4:$D$8,-1),1)</f>
        <v>1</v>
      </c>
      <c r="P1526" s="73">
        <f>IF(M1526=$A$1,1,$M1526-INDEX(MappingTables!$E$4:$E$8,MATCH(O1526,MappingTables!$B$4:$B$8,0)))</f>
        <v>1.5133321556538864</v>
      </c>
      <c r="Q1526" s="71">
        <f>IF(B1526="",0,INDEX(ModelParameters!$D$6:$K$10,MATCH($O1526,ModelParameters!$B$6:$B$10,0),MATCH($J1526,ModelParameters!$D$5:$K$5,0)))</f>
        <v>0.025</v>
      </c>
      <c r="R1526" s="71">
        <f>IF(B1526="",0,INDEX(ModelParameters!$D$13:$K$17,MATCH($O1526,ModelParameters!$B$13:$B$17,0),MATCH($J1526,ModelParameters!$D$5:$K$5,0)))</f>
        <v>0</v>
      </c>
      <c r="S1526" s="160">
        <f>IF(B1526="",0,MIN(IF($N1526="Other Bond TM",ModelParameters!$N$21,1)*(P1526*Q1526+R1526),1))</f>
        <v>0.03783330389134716</v>
      </c>
      <c r="T1526" s="85">
        <f>IF(B1526="",0,$S1526*$K1526)</f>
        <v>0.25960060668138496</v>
      </c>
      <c r="U1526" s="85">
        <f>IF(B1526="",0,IF(OR(H1526=MappingTables!$C$34,H1526=MappingTables!$C$35),T1526,0))</f>
        <v>0</v>
      </c>
      <c r="V1526" s="85">
        <f>IF(ISNA(IF(AND(VLOOKUP(CONCATENATE($D1526,$G1526),CSRFinput!$B:$E,4,0)=0,OR(H1526=MappingTables!$C$34,H1526=MappingTables!$C$35)),1,VLOOKUP(CONCATENATE($D1526,$G1526),CSRFinput!$B:$E,4,0))),0,IF(AND(VLOOKUP(CONCATENATE($D1526,$G1526),CSRFinput!$B:$E,4,0)=0,OR(H1526=MappingTables!$C$34,H1526=MappingTables!$C$35)),1,VLOOKUP(CONCATENATE($D1526,$G1526),CSRFinput!$B:$E,4,0)))</f>
        <v>0.054776304963434752</v>
      </c>
      <c r="W1526" s="85">
        <f>IF(B1526="",0,+$T1526*$V1526)</f>
        <v>0.01421996200027222</v>
      </c>
      <c r="X1526" s="85">
        <f>IF(B1526="",0,IF(OR(H1526=MappingTables!$C$34,H1526=MappingTables!$C$35),W1526,0))</f>
        <v>0</v>
      </c>
    </row>
    <row r="1527" spans="2:24" s="0" customFormat="0" ht="15">
      <c r="B1527" s="69" t="s">
        <v>1610</v>
      </c>
      <c r="C1527" s="70" t="s">
        <v>1611</v>
      </c>
      <c r="D1527" s="70" t="s">
        <v>1</v>
      </c>
      <c r="E1527" s="70" t="s">
        <v>1</v>
      </c>
      <c r="F1527" s="70"/>
      <c r="G1527" s="70" t="s">
        <v>61</v>
      </c>
      <c r="H1527" s="70" t="s">
        <v>178</v>
      </c>
      <c r="I1527" s="70" t="s">
        <v>188</v>
      </c>
      <c r="J1527" s="71">
        <f>IF(OR(I1527=0,I1527=""),"unrated",VLOOKUP(I1527,MappingTables!$B$19:$C$31,2,FALSE))</f>
        <v>2</v>
      </c>
      <c r="K1527" s="72">
        <v>65.61858223953776</v>
      </c>
      <c r="L1527" s="70">
        <v>0.77989936944048992</v>
      </c>
      <c r="M1527" s="71">
        <f>IF(L1527&lt;1,1,L1527)</f>
        <v>1</v>
      </c>
      <c r="N1527" s="70" t="s">
        <v>141</v>
      </c>
      <c r="O1527" s="71">
        <f>INDEX(DurClassMapping,MATCH(M1527,MappingTables!$D$4:$D$8,-1),1)</f>
        <v>1</v>
      </c>
      <c r="P1527" s="73">
        <f>IF(M1527=$A$1,1,$M1527-INDEX(MappingTables!$E$4:$E$8,MATCH(O1527,MappingTables!$B$4:$B$8,0)))</f>
        <v>1</v>
      </c>
      <c r="Q1527" s="71">
        <f>IF(B1527="",0,INDEX(ModelParameters!$D$6:$K$10,MATCH($O1527,ModelParameters!$B$6:$B$10,0),MATCH($J1527,ModelParameters!$D$5:$K$5,0)))</f>
        <v>0.013999999999999998</v>
      </c>
      <c r="R1527" s="71">
        <f>IF(B1527="",0,INDEX(ModelParameters!$D$13:$K$17,MATCH($O1527,ModelParameters!$B$13:$B$17,0),MATCH($J1527,ModelParameters!$D$5:$K$5,0)))</f>
        <v>0</v>
      </c>
      <c r="S1527" s="160">
        <f>IF(B1527="",0,MIN(IF($N1527="Other Bond TM",ModelParameters!$N$21,1)*(P1527*Q1527+R1527),1))</f>
        <v>0.013999999999999998</v>
      </c>
      <c r="T1527" s="85">
        <f>IF(B1527="",0,$S1527*$K1527)</f>
        <v>0.91866015135352848</v>
      </c>
      <c r="U1527" s="85">
        <f>IF(B1527="",0,IF(OR(H1527=MappingTables!$C$34,H1527=MappingTables!$C$35),T1527,0))</f>
        <v>0</v>
      </c>
      <c r="V1527" s="85">
        <f>IF(ISNA(IF(AND(VLOOKUP(CONCATENATE($D1527,$G1527),CSRFinput!$B:$E,4,0)=0,OR(H1527=MappingTables!$C$34,H1527=MappingTables!$C$35)),1,VLOOKUP(CONCATENATE($D1527,$G1527),CSRFinput!$B:$E,4,0))),0,IF(AND(VLOOKUP(CONCATENATE($D1527,$G1527),CSRFinput!$B:$E,4,0)=0,OR(H1527=MappingTables!$C$34,H1527=MappingTables!$C$35)),1,VLOOKUP(CONCATENATE($D1527,$G1527),CSRFinput!$B:$E,4,0)))</f>
        <v>0.054776304963434752</v>
      </c>
      <c r="W1527" s="85">
        <f>IF(B1527="",0,+$T1527*$V1527)</f>
        <v>0.050320808608296008</v>
      </c>
      <c r="X1527" s="85">
        <f>IF(B1527="",0,IF(OR(H1527=MappingTables!$C$34,H1527=MappingTables!$C$35),W1527,0))</f>
        <v>0</v>
      </c>
    </row>
    <row r="1528" spans="2:24" s="0" customFormat="0" ht="15">
      <c r="B1528" s="69">
        <v>17351582</v>
      </c>
      <c r="C1528" s="70" t="s">
        <v>1771</v>
      </c>
      <c r="D1528" s="70" t="s">
        <v>1</v>
      </c>
      <c r="E1528" s="70" t="s">
        <v>1</v>
      </c>
      <c r="F1528" s="70"/>
      <c r="G1528" s="70" t="s">
        <v>61</v>
      </c>
      <c r="H1528" s="70" t="s">
        <v>178</v>
      </c>
      <c r="I1528" s="70" t="s">
        <v>188</v>
      </c>
      <c r="J1528" s="71">
        <f>IF(OR(I1528=0,I1528=""),"unrated",VLOOKUP(I1528,MappingTables!$B$19:$C$31,2,FALSE))</f>
        <v>2</v>
      </c>
      <c r="K1528" s="72">
        <v>725.22574639640192</v>
      </c>
      <c r="L1528" s="70">
        <v>0.9670895558395776</v>
      </c>
      <c r="M1528" s="71">
        <f>IF(L1528&lt;1,1,L1528)</f>
        <v>1</v>
      </c>
      <c r="N1528" s="70" t="s">
        <v>141</v>
      </c>
      <c r="O1528" s="71">
        <f>INDEX(DurClassMapping,MATCH(M1528,MappingTables!$D$4:$D$8,-1),1)</f>
        <v>1</v>
      </c>
      <c r="P1528" s="73">
        <f>IF(M1528=$A$1,1,$M1528-INDEX(MappingTables!$E$4:$E$8,MATCH(O1528,MappingTables!$B$4:$B$8,0)))</f>
        <v>1</v>
      </c>
      <c r="Q1528" s="71">
        <f>IF(B1528="",0,INDEX(ModelParameters!$D$6:$K$10,MATCH($O1528,ModelParameters!$B$6:$B$10,0),MATCH($J1528,ModelParameters!$D$5:$K$5,0)))</f>
        <v>0.013999999999999998</v>
      </c>
      <c r="R1528" s="71">
        <f>IF(B1528="",0,INDEX(ModelParameters!$D$13:$K$17,MATCH($O1528,ModelParameters!$B$13:$B$17,0),MATCH($J1528,ModelParameters!$D$5:$K$5,0)))</f>
        <v>0</v>
      </c>
      <c r="S1528" s="160">
        <f>IF(B1528="",0,MIN(IF($N1528="Other Bond TM",ModelParameters!$N$21,1)*(P1528*Q1528+R1528),1))</f>
        <v>0.013999999999999998</v>
      </c>
      <c r="T1528" s="85">
        <f>IF(B1528="",0,$S1528*$K1528)</f>
        <v>10.153160449549626</v>
      </c>
      <c r="U1528" s="85">
        <f>IF(B1528="",0,IF(OR(H1528=MappingTables!$C$34,H1528=MappingTables!$C$35),T1528,0))</f>
        <v>0</v>
      </c>
      <c r="V1528" s="85">
        <f>IF(ISNA(IF(AND(VLOOKUP(CONCATENATE($D1528,$G1528),CSRFinput!$B:$E,4,0)=0,OR(H1528=MappingTables!$C$34,H1528=MappingTables!$C$35)),1,VLOOKUP(CONCATENATE($D1528,$G1528),CSRFinput!$B:$E,4,0))),0,IF(AND(VLOOKUP(CONCATENATE($D1528,$G1528),CSRFinput!$B:$E,4,0)=0,OR(H1528=MappingTables!$C$34,H1528=MappingTables!$C$35)),1,VLOOKUP(CONCATENATE($D1528,$G1528),CSRFinput!$B:$E,4,0)))</f>
        <v>0.054776304963434752</v>
      </c>
      <c r="W1528" s="85">
        <f>IF(B1528="",0,+$T1528*$V1528)</f>
        <v>0.55615261312721464</v>
      </c>
      <c r="X1528" s="85">
        <f>IF(B1528="",0,IF(OR(H1528=MappingTables!$C$34,H1528=MappingTables!$C$35),W1528,0))</f>
        <v>0</v>
      </c>
    </row>
    <row r="1529" spans="2:24" s="0" customFormat="0" ht="15">
      <c r="B1529" s="69">
        <v>22954813</v>
      </c>
      <c r="C1529" s="70" t="s">
        <v>1481</v>
      </c>
      <c r="D1529" s="70" t="s">
        <v>1</v>
      </c>
      <c r="E1529" s="70" t="s">
        <v>1</v>
      </c>
      <c r="F1529" s="70"/>
      <c r="G1529" s="70" t="s">
        <v>61</v>
      </c>
      <c r="H1529" s="70" t="s">
        <v>178</v>
      </c>
      <c r="I1529" s="70" t="s">
        <v>184</v>
      </c>
      <c r="J1529" s="71">
        <f>IF(OR(I1529=0,I1529=""),"unrated",VLOOKUP(I1529,MappingTables!$B$19:$C$31,2,FALSE))</f>
        <v>5</v>
      </c>
      <c r="K1529" s="72">
        <v>85.85272846354016</v>
      </c>
      <c r="L1529" s="70">
        <v>1.643530205453774</v>
      </c>
      <c r="M1529" s="71">
        <f>IF(L1529&lt;1,1,L1529)</f>
        <v>1.643530205453774</v>
      </c>
      <c r="N1529" s="70" t="s">
        <v>141</v>
      </c>
      <c r="O1529" s="71">
        <f>INDEX(DurClassMapping,MATCH(M1529,MappingTables!$D$4:$D$8,-1),1)</f>
        <v>1</v>
      </c>
      <c r="P1529" s="73">
        <f>IF(M1529=$A$1,1,$M1529-INDEX(MappingTables!$E$4:$E$8,MATCH(O1529,MappingTables!$B$4:$B$8,0)))</f>
        <v>1.643530205453774</v>
      </c>
      <c r="Q1529" s="71">
        <f>IF(B1529="",0,INDEX(ModelParameters!$D$6:$K$10,MATCH($O1529,ModelParameters!$B$6:$B$10,0),MATCH($J1529,ModelParameters!$D$5:$K$5,0)))</f>
        <v>0.075</v>
      </c>
      <c r="R1529" s="71">
        <f>IF(B1529="",0,INDEX(ModelParameters!$D$13:$K$17,MATCH($O1529,ModelParameters!$B$13:$B$17,0),MATCH($J1529,ModelParameters!$D$5:$K$5,0)))</f>
        <v>0</v>
      </c>
      <c r="S1529" s="160">
        <f>IF(B1529="",0,MIN(IF($N1529="Other Bond TM",ModelParameters!$N$21,1)*(P1529*Q1529+R1529),1))</f>
        <v>0.12326476540903304</v>
      </c>
      <c r="T1529" s="85">
        <f>IF(B1529="",0,$S1529*$K1529)</f>
        <v>10.582616433783692</v>
      </c>
      <c r="U1529" s="85">
        <f>IF(B1529="",0,IF(OR(H1529=MappingTables!$C$34,H1529=MappingTables!$C$35),T1529,0))</f>
        <v>0</v>
      </c>
      <c r="V1529" s="85">
        <f>IF(ISNA(IF(AND(VLOOKUP(CONCATENATE($D1529,$G1529),CSRFinput!$B:$E,4,0)=0,OR(H1529=MappingTables!$C$34,H1529=MappingTables!$C$35)),1,VLOOKUP(CONCATENATE($D1529,$G1529),CSRFinput!$B:$E,4,0))),0,IF(AND(VLOOKUP(CONCATENATE($D1529,$G1529),CSRFinput!$B:$E,4,0)=0,OR(H1529=MappingTables!$C$34,H1529=MappingTables!$C$35)),1,VLOOKUP(CONCATENATE($D1529,$G1529),CSRFinput!$B:$E,4,0)))</f>
        <v>0.054776304963434752</v>
      </c>
      <c r="W1529" s="85">
        <f>IF(B1529="",0,+$T1529*$V1529)</f>
        <v>0.57967662508799176</v>
      </c>
      <c r="X1529" s="85">
        <f>IF(B1529="",0,IF(OR(H1529=MappingTables!$C$34,H1529=MappingTables!$C$35),W1529,0))</f>
        <v>0</v>
      </c>
    </row>
    <row r="1530" spans="2:24" s="0" customFormat="0" ht="15">
      <c r="B1530" s="69">
        <v>14199789</v>
      </c>
      <c r="C1530" s="70" t="s">
        <v>925</v>
      </c>
      <c r="D1530" s="70" t="s">
        <v>1</v>
      </c>
      <c r="E1530" s="70" t="s">
        <v>1</v>
      </c>
      <c r="F1530" s="70"/>
      <c r="G1530" s="70" t="s">
        <v>61</v>
      </c>
      <c r="H1530" s="70" t="s">
        <v>178</v>
      </c>
      <c r="I1530" s="70" t="s">
        <v>179</v>
      </c>
      <c r="J1530" s="71">
        <f>IF(OR(I1530=0,I1530=""),"unrated",VLOOKUP(I1530,MappingTables!$B$19:$C$31,2,FALSE))</f>
        <v>4</v>
      </c>
      <c r="K1530" s="72">
        <v>39207.70012458872</v>
      </c>
      <c r="L1530" s="70">
        <v>12.683127784139182</v>
      </c>
      <c r="M1530" s="71">
        <f>IF(L1530&lt;1,1,L1530)</f>
        <v>12.683127784139182</v>
      </c>
      <c r="N1530" s="70" t="s">
        <v>141</v>
      </c>
      <c r="O1530" s="71">
        <f>INDEX(DurClassMapping,MATCH(M1530,MappingTables!$D$4:$D$8,-1),1)</f>
        <v>3</v>
      </c>
      <c r="P1530" s="73">
        <f>IF(M1530=$A$1,1,$M1530-INDEX(MappingTables!$E$4:$E$8,MATCH(O1530,MappingTables!$B$4:$B$8,0)))</f>
        <v>2.6831277841391828</v>
      </c>
      <c r="Q1530" s="71">
        <f>IF(B1530="",0,INDEX(ModelParameters!$D$6:$K$10,MATCH($O1530,ModelParameters!$B$6:$B$10,0),MATCH($J1530,ModelParameters!$D$5:$K$5,0)))</f>
        <v>0.018000000000000002</v>
      </c>
      <c r="R1530" s="71">
        <f>IF(B1530="",0,INDEX(ModelParameters!$D$13:$K$17,MATCH($O1530,ModelParameters!$B$13:$B$17,0),MATCH($J1530,ModelParameters!$D$5:$K$5,0)))</f>
        <v>0.34999999999999996</v>
      </c>
      <c r="S1530" s="160">
        <f>IF(B1530="",0,MIN(IF($N1530="Other Bond TM",ModelParameters!$N$21,1)*(P1530*Q1530+R1530),1))</f>
        <v>0.39829630011450528</v>
      </c>
      <c r="T1530" s="85">
        <f>IF(B1530="",0,$S1530*$K1530)</f>
        <v>15616.281895622716</v>
      </c>
      <c r="U1530" s="85">
        <f>IF(B1530="",0,IF(OR(H1530=MappingTables!$C$34,H1530=MappingTables!$C$35),T1530,0))</f>
        <v>0</v>
      </c>
      <c r="V1530" s="85">
        <f>IF(ISNA(IF(AND(VLOOKUP(CONCATENATE($D1530,$G1530),CSRFinput!$B:$E,4,0)=0,OR(H1530=MappingTables!$C$34,H1530=MappingTables!$C$35)),1,VLOOKUP(CONCATENATE($D1530,$G1530),CSRFinput!$B:$E,4,0))),0,IF(AND(VLOOKUP(CONCATENATE($D1530,$G1530),CSRFinput!$B:$E,4,0)=0,OR(H1530=MappingTables!$C$34,H1530=MappingTables!$C$35)),1,VLOOKUP(CONCATENATE($D1530,$G1530),CSRFinput!$B:$E,4,0)))</f>
        <v>0.054776304963434752</v>
      </c>
      <c r="W1530" s="85">
        <f>IF(B1530="",0,+$T1530*$V1530)</f>
        <v>855.40221950959488</v>
      </c>
      <c r="X1530" s="85">
        <f>IF(B1530="",0,IF(OR(H1530=MappingTables!$C$34,H1530=MappingTables!$C$35),W1530,0))</f>
        <v>0</v>
      </c>
    </row>
    <row r="1531" spans="2:24" s="0" customFormat="0" ht="15">
      <c r="B1531" s="69" t="s">
        <v>1772</v>
      </c>
      <c r="C1531" s="70" t="s">
        <v>1773</v>
      </c>
      <c r="D1531" s="70" t="s">
        <v>1</v>
      </c>
      <c r="E1531" s="70" t="s">
        <v>1</v>
      </c>
      <c r="F1531" s="70"/>
      <c r="G1531" s="70" t="s">
        <v>61</v>
      </c>
      <c r="H1531" s="70" t="s">
        <v>178</v>
      </c>
      <c r="I1531" s="70" t="s">
        <v>220</v>
      </c>
      <c r="J1531" s="71">
        <f>IF(OR(I1531=0,I1531=""),"unrated",VLOOKUP(I1531,MappingTables!$B$19:$C$31,2,FALSE))</f>
        <v>1</v>
      </c>
      <c r="K1531" s="72">
        <v>297.43749466995884</v>
      </c>
      <c r="L1531" s="70">
        <v>4.5604125495199272</v>
      </c>
      <c r="M1531" s="71">
        <f>IF(L1531&lt;1,1,L1531)</f>
        <v>4.5604125495199272</v>
      </c>
      <c r="N1531" s="70" t="s">
        <v>141</v>
      </c>
      <c r="O1531" s="71">
        <f>INDEX(DurClassMapping,MATCH(M1531,MappingTables!$D$4:$D$8,-1),1)</f>
        <v>1</v>
      </c>
      <c r="P1531" s="73">
        <f>IF(M1531=$A$1,1,$M1531-INDEX(MappingTables!$E$4:$E$8,MATCH(O1531,MappingTables!$B$4:$B$8,0)))</f>
        <v>4.5604125495199272</v>
      </c>
      <c r="Q1531" s="71">
        <f>IF(B1531="",0,INDEX(ModelParameters!$D$6:$K$10,MATCH($O1531,ModelParameters!$B$6:$B$10,0),MATCH($J1531,ModelParameters!$D$5:$K$5,0)))</f>
        <v>0.011000000000000002</v>
      </c>
      <c r="R1531" s="71">
        <f>IF(B1531="",0,INDEX(ModelParameters!$D$13:$K$17,MATCH($O1531,ModelParameters!$B$13:$B$17,0),MATCH($J1531,ModelParameters!$D$5:$K$5,0)))</f>
        <v>0</v>
      </c>
      <c r="S1531" s="160">
        <f>IF(B1531="",0,MIN(IF($N1531="Other Bond TM",ModelParameters!$N$21,1)*(P1531*Q1531+R1531),1))</f>
        <v>0.0501645380447192</v>
      </c>
      <c r="T1531" s="85">
        <f>IF(B1531="",0,$S1531*$K1531)</f>
        <v>14.920814517297114</v>
      </c>
      <c r="U1531" s="85">
        <f>IF(B1531="",0,IF(OR(H1531=MappingTables!$C$34,H1531=MappingTables!$C$35),T1531,0))</f>
        <v>0</v>
      </c>
      <c r="V1531" s="85">
        <f>IF(ISNA(IF(AND(VLOOKUP(CONCATENATE($D1531,$G1531),CSRFinput!$B:$E,4,0)=0,OR(H1531=MappingTables!$C$34,H1531=MappingTables!$C$35)),1,VLOOKUP(CONCATENATE($D1531,$G1531),CSRFinput!$B:$E,4,0))),0,IF(AND(VLOOKUP(CONCATENATE($D1531,$G1531),CSRFinput!$B:$E,4,0)=0,OR(H1531=MappingTables!$C$34,H1531=MappingTables!$C$35)),1,VLOOKUP(CONCATENATE($D1531,$G1531),CSRFinput!$B:$E,4,0)))</f>
        <v>0.054776304963434752</v>
      </c>
      <c r="W1531" s="85">
        <f>IF(B1531="",0,+$T1531*$V1531)</f>
        <v>0.8173070863023112</v>
      </c>
      <c r="X1531" s="85">
        <f>IF(B1531="",0,IF(OR(H1531=MappingTables!$C$34,H1531=MappingTables!$C$35),W1531,0))</f>
        <v>0</v>
      </c>
    </row>
    <row r="1532" spans="2:24" s="0" customFormat="0" ht="15">
      <c r="B1532" s="69">
        <v>17830018</v>
      </c>
      <c r="C1532" s="70" t="s">
        <v>1774</v>
      </c>
      <c r="D1532" s="70" t="s">
        <v>1</v>
      </c>
      <c r="E1532" s="70" t="s">
        <v>1</v>
      </c>
      <c r="F1532" s="70"/>
      <c r="G1532" s="70" t="s">
        <v>61</v>
      </c>
      <c r="H1532" s="70" t="s">
        <v>178</v>
      </c>
      <c r="I1532" s="70" t="s">
        <v>181</v>
      </c>
      <c r="J1532" s="71">
        <f>IF(OR(I1532=0,I1532=""),"unrated",VLOOKUP(I1532,MappingTables!$B$19:$C$31,2,FALSE))</f>
        <v>3</v>
      </c>
      <c r="K1532" s="72">
        <v>183.76182912713672</v>
      </c>
      <c r="L1532" s="70">
        <v>0.71325162454298056</v>
      </c>
      <c r="M1532" s="71">
        <f>IF(L1532&lt;1,1,L1532)</f>
        <v>1</v>
      </c>
      <c r="N1532" s="70" t="s">
        <v>141</v>
      </c>
      <c r="O1532" s="71">
        <f>INDEX(DurClassMapping,MATCH(M1532,MappingTables!$D$4:$D$8,-1),1)</f>
        <v>1</v>
      </c>
      <c r="P1532" s="73">
        <f>IF(M1532=$A$1,1,$M1532-INDEX(MappingTables!$E$4:$E$8,MATCH(O1532,MappingTables!$B$4:$B$8,0)))</f>
        <v>1</v>
      </c>
      <c r="Q1532" s="71">
        <f>IF(B1532="",0,INDEX(ModelParameters!$D$6:$K$10,MATCH($O1532,ModelParameters!$B$6:$B$10,0),MATCH($J1532,ModelParameters!$D$5:$K$5,0)))</f>
        <v>0.025</v>
      </c>
      <c r="R1532" s="71">
        <f>IF(B1532="",0,INDEX(ModelParameters!$D$13:$K$17,MATCH($O1532,ModelParameters!$B$13:$B$17,0),MATCH($J1532,ModelParameters!$D$5:$K$5,0)))</f>
        <v>0</v>
      </c>
      <c r="S1532" s="160">
        <f>IF(B1532="",0,MIN(IF($N1532="Other Bond TM",ModelParameters!$N$21,1)*(P1532*Q1532+R1532),1))</f>
        <v>0.025</v>
      </c>
      <c r="T1532" s="85">
        <f>IF(B1532="",0,$S1532*$K1532)</f>
        <v>4.5940457281784184</v>
      </c>
      <c r="U1532" s="85">
        <f>IF(B1532="",0,IF(OR(H1532=MappingTables!$C$34,H1532=MappingTables!$C$35),T1532,0))</f>
        <v>0</v>
      </c>
      <c r="V1532" s="85">
        <f>IF(ISNA(IF(AND(VLOOKUP(CONCATENATE($D1532,$G1532),CSRFinput!$B:$E,4,0)=0,OR(H1532=MappingTables!$C$34,H1532=MappingTables!$C$35)),1,VLOOKUP(CONCATENATE($D1532,$G1532),CSRFinput!$B:$E,4,0))),0,IF(AND(VLOOKUP(CONCATENATE($D1532,$G1532),CSRFinput!$B:$E,4,0)=0,OR(H1532=MappingTables!$C$34,H1532=MappingTables!$C$35)),1,VLOOKUP(CONCATENATE($D1532,$G1532),CSRFinput!$B:$E,4,0)))</f>
        <v>0.054776304963434752</v>
      </c>
      <c r="W1532" s="85">
        <f>IF(B1532="",0,+$T1532*$V1532)</f>
        <v>0.25164484982266572</v>
      </c>
      <c r="X1532" s="85">
        <f>IF(B1532="",0,IF(OR(H1532=MappingTables!$C$34,H1532=MappingTables!$C$35),W1532,0))</f>
        <v>0</v>
      </c>
    </row>
    <row r="1533" spans="2:24" s="0" customFormat="0" ht="15">
      <c r="B1533" s="69">
        <v>14265324</v>
      </c>
      <c r="C1533" s="70" t="s">
        <v>1775</v>
      </c>
      <c r="D1533" s="70" t="s">
        <v>1</v>
      </c>
      <c r="E1533" s="70" t="s">
        <v>1</v>
      </c>
      <c r="F1533" s="70"/>
      <c r="G1533" s="70" t="s">
        <v>61</v>
      </c>
      <c r="H1533" s="70" t="s">
        <v>178</v>
      </c>
      <c r="I1533" s="70" t="s">
        <v>188</v>
      </c>
      <c r="J1533" s="71">
        <f>IF(OR(I1533=0,I1533=""),"unrated",VLOOKUP(I1533,MappingTables!$B$19:$C$31,2,FALSE))</f>
        <v>2</v>
      </c>
      <c r="K1533" s="72">
        <v>1.430197218336583</v>
      </c>
      <c r="L1533" s="70">
        <v>1.429973279336951</v>
      </c>
      <c r="M1533" s="71">
        <f>IF(L1533&lt;1,1,L1533)</f>
        <v>1.429973279336951</v>
      </c>
      <c r="N1533" s="70" t="s">
        <v>141</v>
      </c>
      <c r="O1533" s="71">
        <f>INDEX(DurClassMapping,MATCH(M1533,MappingTables!$D$4:$D$8,-1),1)</f>
        <v>1</v>
      </c>
      <c r="P1533" s="73">
        <f>IF(M1533=$A$1,1,$M1533-INDEX(MappingTables!$E$4:$E$8,MATCH(O1533,MappingTables!$B$4:$B$8,0)))</f>
        <v>1.429973279336951</v>
      </c>
      <c r="Q1533" s="71">
        <f>IF(B1533="",0,INDEX(ModelParameters!$D$6:$K$10,MATCH($O1533,ModelParameters!$B$6:$B$10,0),MATCH($J1533,ModelParameters!$D$5:$K$5,0)))</f>
        <v>0.013999999999999998</v>
      </c>
      <c r="R1533" s="71">
        <f>IF(B1533="",0,INDEX(ModelParameters!$D$13:$K$17,MATCH($O1533,ModelParameters!$B$13:$B$17,0),MATCH($J1533,ModelParameters!$D$5:$K$5,0)))</f>
        <v>0</v>
      </c>
      <c r="S1533" s="160">
        <f>IF(B1533="",0,MIN(IF($N1533="Other Bond TM",ModelParameters!$N$21,1)*(P1533*Q1533+R1533),1))</f>
        <v>0.020019625910717312</v>
      </c>
      <c r="T1533" s="85">
        <f>IF(B1533="",0,$S1533*$K1533)</f>
        <v>0.028632013289646884</v>
      </c>
      <c r="U1533" s="85">
        <f>IF(B1533="",0,IF(OR(H1533=MappingTables!$C$34,H1533=MappingTables!$C$35),T1533,0))</f>
        <v>0</v>
      </c>
      <c r="V1533" s="85">
        <f>IF(ISNA(IF(AND(VLOOKUP(CONCATENATE($D1533,$G1533),CSRFinput!$B:$E,4,0)=0,OR(H1533=MappingTables!$C$34,H1533=MappingTables!$C$35)),1,VLOOKUP(CONCATENATE($D1533,$G1533),CSRFinput!$B:$E,4,0))),0,IF(AND(VLOOKUP(CONCATENATE($D1533,$G1533),CSRFinput!$B:$E,4,0)=0,OR(H1533=MappingTables!$C$34,H1533=MappingTables!$C$35)),1,VLOOKUP(CONCATENATE($D1533,$G1533),CSRFinput!$B:$E,4,0)))</f>
        <v>0.054776304963434752</v>
      </c>
      <c r="W1533" s="85">
        <f>IF(B1533="",0,+$T1533*$V1533)</f>
        <v>0.0015683558916708144</v>
      </c>
      <c r="X1533" s="85">
        <f>IF(B1533="",0,IF(OR(H1533=MappingTables!$C$34,H1533=MappingTables!$C$35),W1533,0))</f>
        <v>0</v>
      </c>
    </row>
    <row r="1534" spans="2:24" s="0" customFormat="0" ht="15">
      <c r="B1534" s="69">
        <v>21237415</v>
      </c>
      <c r="C1534" s="70" t="s">
        <v>687</v>
      </c>
      <c r="D1534" s="70" t="s">
        <v>1</v>
      </c>
      <c r="E1534" s="70" t="s">
        <v>1</v>
      </c>
      <c r="F1534" s="70"/>
      <c r="G1534" s="70" t="s">
        <v>61</v>
      </c>
      <c r="H1534" s="70" t="s">
        <v>178</v>
      </c>
      <c r="I1534" s="70" t="s">
        <v>181</v>
      </c>
      <c r="J1534" s="71">
        <f>IF(OR(I1534=0,I1534=""),"unrated",VLOOKUP(I1534,MappingTables!$B$19:$C$31,2,FALSE))</f>
        <v>3</v>
      </c>
      <c r="K1534" s="72">
        <v>6754.105777156804</v>
      </c>
      <c r="L1534" s="70">
        <v>2.8778517025682384</v>
      </c>
      <c r="M1534" s="71">
        <f>IF(L1534&lt;1,1,L1534)</f>
        <v>2.8778517025682384</v>
      </c>
      <c r="N1534" s="70" t="s">
        <v>141</v>
      </c>
      <c r="O1534" s="71">
        <f>INDEX(DurClassMapping,MATCH(M1534,MappingTables!$D$4:$D$8,-1),1)</f>
        <v>1</v>
      </c>
      <c r="P1534" s="73">
        <f>IF(M1534=$A$1,1,$M1534-INDEX(MappingTables!$E$4:$E$8,MATCH(O1534,MappingTables!$B$4:$B$8,0)))</f>
        <v>2.8778517025682384</v>
      </c>
      <c r="Q1534" s="71">
        <f>IF(B1534="",0,INDEX(ModelParameters!$D$6:$K$10,MATCH($O1534,ModelParameters!$B$6:$B$10,0),MATCH($J1534,ModelParameters!$D$5:$K$5,0)))</f>
        <v>0.025</v>
      </c>
      <c r="R1534" s="71">
        <f>IF(B1534="",0,INDEX(ModelParameters!$D$13:$K$17,MATCH($O1534,ModelParameters!$B$13:$B$17,0),MATCH($J1534,ModelParameters!$D$5:$K$5,0)))</f>
        <v>0</v>
      </c>
      <c r="S1534" s="160">
        <f>IF(B1534="",0,MIN(IF($N1534="Other Bond TM",ModelParameters!$N$21,1)*(P1534*Q1534+R1534),1))</f>
        <v>0.071946292564205968</v>
      </c>
      <c r="T1534" s="85">
        <f>IF(B1534="",0,$S1534*$K1534)</f>
        <v>485.93287025291712</v>
      </c>
      <c r="U1534" s="85">
        <f>IF(B1534="",0,IF(OR(H1534=MappingTables!$C$34,H1534=MappingTables!$C$35),T1534,0))</f>
        <v>0</v>
      </c>
      <c r="V1534" s="85">
        <f>IF(ISNA(IF(AND(VLOOKUP(CONCATENATE($D1534,$G1534),CSRFinput!$B:$E,4,0)=0,OR(H1534=MappingTables!$C$34,H1534=MappingTables!$C$35)),1,VLOOKUP(CONCATENATE($D1534,$G1534),CSRFinput!$B:$E,4,0))),0,IF(AND(VLOOKUP(CONCATENATE($D1534,$G1534),CSRFinput!$B:$E,4,0)=0,OR(H1534=MappingTables!$C$34,H1534=MappingTables!$C$35)),1,VLOOKUP(CONCATENATE($D1534,$G1534),CSRFinput!$B:$E,4,0)))</f>
        <v>0.054776304963434752</v>
      </c>
      <c r="W1534" s="85">
        <f>IF(B1534="",0,+$T1534*$V1534)</f>
        <v>26.61760709273096</v>
      </c>
      <c r="X1534" s="85">
        <f>IF(B1534="",0,IF(OR(H1534=MappingTables!$C$34,H1534=MappingTables!$C$35),W1534,0))</f>
        <v>0</v>
      </c>
    </row>
    <row r="1535" spans="2:24" s="0" customFormat="0" ht="15">
      <c r="B1535" s="69">
        <v>14284409</v>
      </c>
      <c r="C1535" s="70" t="s">
        <v>1776</v>
      </c>
      <c r="D1535" s="70" t="s">
        <v>1</v>
      </c>
      <c r="E1535" s="70" t="s">
        <v>1</v>
      </c>
      <c r="F1535" s="70"/>
      <c r="G1535" s="70" t="s">
        <v>61</v>
      </c>
      <c r="H1535" s="70" t="s">
        <v>178</v>
      </c>
      <c r="I1535" s="70" t="s">
        <v>188</v>
      </c>
      <c r="J1535" s="71">
        <f>IF(OR(I1535=0,I1535=""),"unrated",VLOOKUP(I1535,MappingTables!$B$19:$C$31,2,FALSE))</f>
        <v>2</v>
      </c>
      <c r="K1535" s="72">
        <v>2049.4685403577888</v>
      </c>
      <c r="L1535" s="70">
        <v>1.419247234308332</v>
      </c>
      <c r="M1535" s="71">
        <f>IF(L1535&lt;1,1,L1535)</f>
        <v>1.419247234308332</v>
      </c>
      <c r="N1535" s="70" t="s">
        <v>141</v>
      </c>
      <c r="O1535" s="71">
        <f>INDEX(DurClassMapping,MATCH(M1535,MappingTables!$D$4:$D$8,-1),1)</f>
        <v>1</v>
      </c>
      <c r="P1535" s="73">
        <f>IF(M1535=$A$1,1,$M1535-INDEX(MappingTables!$E$4:$E$8,MATCH(O1535,MappingTables!$B$4:$B$8,0)))</f>
        <v>1.419247234308332</v>
      </c>
      <c r="Q1535" s="71">
        <f>IF(B1535="",0,INDEX(ModelParameters!$D$6:$K$10,MATCH($O1535,ModelParameters!$B$6:$B$10,0),MATCH($J1535,ModelParameters!$D$5:$K$5,0)))</f>
        <v>0.013999999999999998</v>
      </c>
      <c r="R1535" s="71">
        <f>IF(B1535="",0,INDEX(ModelParameters!$D$13:$K$17,MATCH($O1535,ModelParameters!$B$13:$B$17,0),MATCH($J1535,ModelParameters!$D$5:$K$5,0)))</f>
        <v>0</v>
      </c>
      <c r="S1535" s="160">
        <f>IF(B1535="",0,MIN(IF($N1535="Other Bond TM",ModelParameters!$N$21,1)*(P1535*Q1535+R1535),1))</f>
        <v>0.019869461280316648</v>
      </c>
      <c r="T1535" s="85">
        <f>IF(B1535="",0,$S1535*$K1535)</f>
        <v>40.72183580786616</v>
      </c>
      <c r="U1535" s="85">
        <f>IF(B1535="",0,IF(OR(H1535=MappingTables!$C$34,H1535=MappingTables!$C$35),T1535,0))</f>
        <v>0</v>
      </c>
      <c r="V1535" s="85">
        <f>IF(ISNA(IF(AND(VLOOKUP(CONCATENATE($D1535,$G1535),CSRFinput!$B:$E,4,0)=0,OR(H1535=MappingTables!$C$34,H1535=MappingTables!$C$35)),1,VLOOKUP(CONCATENATE($D1535,$G1535),CSRFinput!$B:$E,4,0))),0,IF(AND(VLOOKUP(CONCATENATE($D1535,$G1535),CSRFinput!$B:$E,4,0)=0,OR(H1535=MappingTables!$C$34,H1535=MappingTables!$C$35)),1,VLOOKUP(CONCATENATE($D1535,$G1535),CSRFinput!$B:$E,4,0)))</f>
        <v>0.054776304963434752</v>
      </c>
      <c r="W1535" s="85">
        <f>IF(B1535="",0,+$T1535*$V1535)</f>
        <v>2.230591696882594</v>
      </c>
      <c r="X1535" s="85">
        <f>IF(B1535="",0,IF(OR(H1535=MappingTables!$C$34,H1535=MappingTables!$C$35),W1535,0))</f>
        <v>0</v>
      </c>
    </row>
    <row r="1536" spans="2:24" s="0" customFormat="0" ht="15">
      <c r="B1536" s="69">
        <v>20668560</v>
      </c>
      <c r="C1536" s="70" t="s">
        <v>1466</v>
      </c>
      <c r="D1536" s="70" t="s">
        <v>1</v>
      </c>
      <c r="E1536" s="70" t="s">
        <v>1</v>
      </c>
      <c r="F1536" s="70"/>
      <c r="G1536" s="70" t="s">
        <v>61</v>
      </c>
      <c r="H1536" s="70" t="s">
        <v>178</v>
      </c>
      <c r="I1536" s="70" t="s">
        <v>220</v>
      </c>
      <c r="J1536" s="71">
        <f>IF(OR(I1536=0,I1536=""),"unrated",VLOOKUP(I1536,MappingTables!$B$19:$C$31,2,FALSE))</f>
        <v>1</v>
      </c>
      <c r="K1536" s="72">
        <v>7241.9691738730912</v>
      </c>
      <c r="L1536" s="70">
        <v>17.423186402738392</v>
      </c>
      <c r="M1536" s="71">
        <f>IF(L1536&lt;1,1,L1536)</f>
        <v>17.423186402738392</v>
      </c>
      <c r="N1536" s="70" t="s">
        <v>141</v>
      </c>
      <c r="O1536" s="71">
        <f>INDEX(DurClassMapping,MATCH(M1536,MappingTables!$D$4:$D$8,-1),1)</f>
        <v>4</v>
      </c>
      <c r="P1536" s="73">
        <f>IF(M1536=$A$1,1,$M1536-INDEX(MappingTables!$E$4:$E$8,MATCH(O1536,MappingTables!$B$4:$B$8,0)))</f>
        <v>2.4231864027383912</v>
      </c>
      <c r="Q1536" s="71">
        <f>IF(B1536="",0,INDEX(ModelParameters!$D$6:$K$10,MATCH($O1536,ModelParameters!$B$6:$B$10,0),MATCH($J1536,ModelParameters!$D$5:$K$5,0)))</f>
        <v>0.005</v>
      </c>
      <c r="R1536" s="71">
        <f>IF(B1536="",0,INDEX(ModelParameters!$D$13:$K$17,MATCH($O1536,ModelParameters!$B$13:$B$17,0),MATCH($J1536,ModelParameters!$D$5:$K$5,0)))</f>
        <v>0.11</v>
      </c>
      <c r="S1536" s="160">
        <f>IF(B1536="",0,MIN(IF($N1536="Other Bond TM",ModelParameters!$N$21,1)*(P1536*Q1536+R1536),1))</f>
        <v>0.12211593201369196</v>
      </c>
      <c r="T1536" s="85">
        <f>IF(B1536="",0,$S1536*$K1536)</f>
        <v>884.35981528193936</v>
      </c>
      <c r="U1536" s="85">
        <f>IF(B1536="",0,IF(OR(H1536=MappingTables!$C$34,H1536=MappingTables!$C$35),T1536,0))</f>
        <v>0</v>
      </c>
      <c r="V1536" s="85">
        <f>IF(ISNA(IF(AND(VLOOKUP(CONCATENATE($D1536,$G1536),CSRFinput!$B:$E,4,0)=0,OR(H1536=MappingTables!$C$34,H1536=MappingTables!$C$35)),1,VLOOKUP(CONCATENATE($D1536,$G1536),CSRFinput!$B:$E,4,0))),0,IF(AND(VLOOKUP(CONCATENATE($D1536,$G1536),CSRFinput!$B:$E,4,0)=0,OR(H1536=MappingTables!$C$34,H1536=MappingTables!$C$35)),1,VLOOKUP(CONCATENATE($D1536,$G1536),CSRFinput!$B:$E,4,0)))</f>
        <v>0.054776304963434752</v>
      </c>
      <c r="W1536" s="85">
        <f>IF(B1536="",0,+$T1536*$V1536)</f>
        <v>48.441962939290344</v>
      </c>
      <c r="X1536" s="85">
        <f>IF(B1536="",0,IF(OR(H1536=MappingTables!$C$34,H1536=MappingTables!$C$35),W1536,0))</f>
        <v>0</v>
      </c>
    </row>
    <row r="1537" spans="2:24" s="0" customFormat="0" ht="15">
      <c r="B1537" s="69">
        <v>18594112</v>
      </c>
      <c r="C1537" s="70" t="s">
        <v>1777</v>
      </c>
      <c r="D1537" s="70" t="s">
        <v>1</v>
      </c>
      <c r="E1537" s="70" t="s">
        <v>1</v>
      </c>
      <c r="F1537" s="70"/>
      <c r="G1537" s="70" t="s">
        <v>61</v>
      </c>
      <c r="H1537" s="70" t="s">
        <v>178</v>
      </c>
      <c r="I1537" s="70" t="s">
        <v>179</v>
      </c>
      <c r="J1537" s="71">
        <f>IF(OR(I1537=0,I1537=""),"unrated",VLOOKUP(I1537,MappingTables!$B$19:$C$31,2,FALSE))</f>
        <v>4</v>
      </c>
      <c r="K1537" s="72">
        <v>6616.5136809820032</v>
      </c>
      <c r="L1537" s="70">
        <v>4.4566294014814008</v>
      </c>
      <c r="M1537" s="71">
        <f>IF(L1537&lt;1,1,L1537)</f>
        <v>4.4566294014814008</v>
      </c>
      <c r="N1537" s="70" t="s">
        <v>141</v>
      </c>
      <c r="O1537" s="71">
        <f>INDEX(DurClassMapping,MATCH(M1537,MappingTables!$D$4:$D$8,-1),1)</f>
        <v>1</v>
      </c>
      <c r="P1537" s="73">
        <f>IF(M1537=$A$1,1,$M1537-INDEX(MappingTables!$E$4:$E$8,MATCH(O1537,MappingTables!$B$4:$B$8,0)))</f>
        <v>4.4566294014814008</v>
      </c>
      <c r="Q1537" s="71">
        <f>IF(B1537="",0,INDEX(ModelParameters!$D$6:$K$10,MATCH($O1537,ModelParameters!$B$6:$B$10,0),MATCH($J1537,ModelParameters!$D$5:$K$5,0)))</f>
        <v>0.045</v>
      </c>
      <c r="R1537" s="71">
        <f>IF(B1537="",0,INDEX(ModelParameters!$D$13:$K$17,MATCH($O1537,ModelParameters!$B$13:$B$17,0),MATCH($J1537,ModelParameters!$D$5:$K$5,0)))</f>
        <v>0</v>
      </c>
      <c r="S1537" s="160">
        <f>IF(B1537="",0,MIN(IF($N1537="Other Bond TM",ModelParameters!$N$21,1)*(P1537*Q1537+R1537),1))</f>
        <v>0.200548323066663</v>
      </c>
      <c r="T1537" s="85">
        <f>IF(B1537="",0,$S1537*$K1537)</f>
        <v>1326.9307232685744</v>
      </c>
      <c r="U1537" s="85">
        <f>IF(B1537="",0,IF(OR(H1537=MappingTables!$C$34,H1537=MappingTables!$C$35),T1537,0))</f>
        <v>0</v>
      </c>
      <c r="V1537" s="85">
        <f>IF(ISNA(IF(AND(VLOOKUP(CONCATENATE($D1537,$G1537),CSRFinput!$B:$E,4,0)=0,OR(H1537=MappingTables!$C$34,H1537=MappingTables!$C$35)),1,VLOOKUP(CONCATENATE($D1537,$G1537),CSRFinput!$B:$E,4,0))),0,IF(AND(VLOOKUP(CONCATENATE($D1537,$G1537),CSRFinput!$B:$E,4,0)=0,OR(H1537=MappingTables!$C$34,H1537=MappingTables!$C$35)),1,VLOOKUP(CONCATENATE($D1537,$G1537),CSRFinput!$B:$E,4,0)))</f>
        <v>0.054776304963434752</v>
      </c>
      <c r="W1537" s="85">
        <f>IF(B1537="",0,+$T1537*$V1537)</f>
        <v>72.68436196311048</v>
      </c>
      <c r="X1537" s="85">
        <f>IF(B1537="",0,IF(OR(H1537=MappingTables!$C$34,H1537=MappingTables!$C$35),W1537,0))</f>
        <v>0</v>
      </c>
    </row>
    <row r="1538" spans="2:24" s="0" customFormat="0" ht="15">
      <c r="B1538" s="69">
        <v>10572264</v>
      </c>
      <c r="C1538" s="70" t="s">
        <v>1778</v>
      </c>
      <c r="D1538" s="70" t="s">
        <v>1</v>
      </c>
      <c r="E1538" s="70" t="s">
        <v>1</v>
      </c>
      <c r="F1538" s="70"/>
      <c r="G1538" s="70" t="s">
        <v>61</v>
      </c>
      <c r="H1538" s="70" t="s">
        <v>178</v>
      </c>
      <c r="I1538" s="70" t="s">
        <v>188</v>
      </c>
      <c r="J1538" s="71">
        <f>IF(OR(I1538=0,I1538=""),"unrated",VLOOKUP(I1538,MappingTables!$B$19:$C$31,2,FALSE))</f>
        <v>2</v>
      </c>
      <c r="K1538" s="72">
        <v>21668.912568080332</v>
      </c>
      <c r="L1538" s="70">
        <v>4.2645483241659424</v>
      </c>
      <c r="M1538" s="71">
        <f>IF(L1538&lt;1,1,L1538)</f>
        <v>4.2645483241659424</v>
      </c>
      <c r="N1538" s="70" t="s">
        <v>141</v>
      </c>
      <c r="O1538" s="71">
        <f>INDEX(DurClassMapping,MATCH(M1538,MappingTables!$D$4:$D$8,-1),1)</f>
        <v>1</v>
      </c>
      <c r="P1538" s="73">
        <f>IF(M1538=$A$1,1,$M1538-INDEX(MappingTables!$E$4:$E$8,MATCH(O1538,MappingTables!$B$4:$B$8,0)))</f>
        <v>4.2645483241659424</v>
      </c>
      <c r="Q1538" s="71">
        <f>IF(B1538="",0,INDEX(ModelParameters!$D$6:$K$10,MATCH($O1538,ModelParameters!$B$6:$B$10,0),MATCH($J1538,ModelParameters!$D$5:$K$5,0)))</f>
        <v>0.013999999999999998</v>
      </c>
      <c r="R1538" s="71">
        <f>IF(B1538="",0,INDEX(ModelParameters!$D$13:$K$17,MATCH($O1538,ModelParameters!$B$13:$B$17,0),MATCH($J1538,ModelParameters!$D$5:$K$5,0)))</f>
        <v>0</v>
      </c>
      <c r="S1538" s="160">
        <f>IF(B1538="",0,MIN(IF($N1538="Other Bond TM",ModelParameters!$N$21,1)*(P1538*Q1538+R1538),1))</f>
        <v>0.059703676538323192</v>
      </c>
      <c r="T1538" s="85">
        <f>IF(B1538="",0,$S1538*$K1538)</f>
        <v>1293.7137469018744</v>
      </c>
      <c r="U1538" s="85">
        <f>IF(B1538="",0,IF(OR(H1538=MappingTables!$C$34,H1538=MappingTables!$C$35),T1538,0))</f>
        <v>0</v>
      </c>
      <c r="V1538" s="85">
        <f>IF(ISNA(IF(AND(VLOOKUP(CONCATENATE($D1538,$G1538),CSRFinput!$B:$E,4,0)=0,OR(H1538=MappingTables!$C$34,H1538=MappingTables!$C$35)),1,VLOOKUP(CONCATENATE($D1538,$G1538),CSRFinput!$B:$E,4,0))),0,IF(AND(VLOOKUP(CONCATENATE($D1538,$G1538),CSRFinput!$B:$E,4,0)=0,OR(H1538=MappingTables!$C$34,H1538=MappingTables!$C$35)),1,VLOOKUP(CONCATENATE($D1538,$G1538),CSRFinput!$B:$E,4,0)))</f>
        <v>0.054776304963434752</v>
      </c>
      <c r="W1538" s="85">
        <f>IF(B1538="",0,+$T1538*$V1538)</f>
        <v>70.86485873568492</v>
      </c>
      <c r="X1538" s="85">
        <f>IF(B1538="",0,IF(OR(H1538=MappingTables!$C$34,H1538=MappingTables!$C$35),W1538,0))</f>
        <v>0</v>
      </c>
    </row>
    <row r="1539" spans="2:24" s="0" customFormat="0" ht="15">
      <c r="B1539" s="69" t="s">
        <v>387</v>
      </c>
      <c r="C1539" s="70" t="s">
        <v>388</v>
      </c>
      <c r="D1539" s="70" t="s">
        <v>1</v>
      </c>
      <c r="E1539" s="70" t="s">
        <v>1</v>
      </c>
      <c r="F1539" s="70"/>
      <c r="G1539" s="70" t="s">
        <v>61</v>
      </c>
      <c r="H1539" s="70" t="s">
        <v>178</v>
      </c>
      <c r="I1539" s="70" t="s">
        <v>179</v>
      </c>
      <c r="J1539" s="71">
        <f>IF(OR(I1539=0,I1539=""),"unrated",VLOOKUP(I1539,MappingTables!$B$19:$C$31,2,FALSE))</f>
        <v>4</v>
      </c>
      <c r="K1539" s="72">
        <v>1348.384242527108</v>
      </c>
      <c r="L1539" s="70">
        <v>0.0082199791872487184</v>
      </c>
      <c r="M1539" s="71">
        <f>IF(L1539&lt;1,1,L1539)</f>
        <v>1</v>
      </c>
      <c r="N1539" s="70" t="s">
        <v>141</v>
      </c>
      <c r="O1539" s="71">
        <f>INDEX(DurClassMapping,MATCH(M1539,MappingTables!$D$4:$D$8,-1),1)</f>
        <v>1</v>
      </c>
      <c r="P1539" s="73">
        <f>IF(M1539=$A$1,1,$M1539-INDEX(MappingTables!$E$4:$E$8,MATCH(O1539,MappingTables!$B$4:$B$8,0)))</f>
        <v>1</v>
      </c>
      <c r="Q1539" s="71">
        <f>IF(B1539="",0,INDEX(ModelParameters!$D$6:$K$10,MATCH($O1539,ModelParameters!$B$6:$B$10,0),MATCH($J1539,ModelParameters!$D$5:$K$5,0)))</f>
        <v>0.045</v>
      </c>
      <c r="R1539" s="71">
        <f>IF(B1539="",0,INDEX(ModelParameters!$D$13:$K$17,MATCH($O1539,ModelParameters!$B$13:$B$17,0),MATCH($J1539,ModelParameters!$D$5:$K$5,0)))</f>
        <v>0</v>
      </c>
      <c r="S1539" s="160">
        <f>IF(B1539="",0,MIN(IF($N1539="Other Bond TM",ModelParameters!$N$21,1)*(P1539*Q1539+R1539),1))</f>
        <v>0.045</v>
      </c>
      <c r="T1539" s="85">
        <f>IF(B1539="",0,$S1539*$K1539)</f>
        <v>60.677290913719856</v>
      </c>
      <c r="U1539" s="85">
        <f>IF(B1539="",0,IF(OR(H1539=MappingTables!$C$34,H1539=MappingTables!$C$35),T1539,0))</f>
        <v>0</v>
      </c>
      <c r="V1539" s="85">
        <f>IF(ISNA(IF(AND(VLOOKUP(CONCATENATE($D1539,$G1539),CSRFinput!$B:$E,4,0)=0,OR(H1539=MappingTables!$C$34,H1539=MappingTables!$C$35)),1,VLOOKUP(CONCATENATE($D1539,$G1539),CSRFinput!$B:$E,4,0))),0,IF(AND(VLOOKUP(CONCATENATE($D1539,$G1539),CSRFinput!$B:$E,4,0)=0,OR(H1539=MappingTables!$C$34,H1539=MappingTables!$C$35)),1,VLOOKUP(CONCATENATE($D1539,$G1539),CSRFinput!$B:$E,4,0)))</f>
        <v>0.054776304963434752</v>
      </c>
      <c r="W1539" s="85">
        <f>IF(B1539="",0,+$T1539*$V1539)</f>
        <v>3.3236777914449672</v>
      </c>
      <c r="X1539" s="85">
        <f>IF(B1539="",0,IF(OR(H1539=MappingTables!$C$34,H1539=MappingTables!$C$35),W1539,0))</f>
        <v>0</v>
      </c>
    </row>
    <row r="1540" spans="2:24" s="0" customFormat="0" ht="15">
      <c r="B1540" s="69">
        <v>10331465</v>
      </c>
      <c r="C1540" s="70" t="s">
        <v>1779</v>
      </c>
      <c r="D1540" s="70" t="s">
        <v>1</v>
      </c>
      <c r="E1540" s="70" t="s">
        <v>1</v>
      </c>
      <c r="F1540" s="70"/>
      <c r="G1540" s="70" t="s">
        <v>61</v>
      </c>
      <c r="H1540" s="70" t="s">
        <v>178</v>
      </c>
      <c r="I1540" s="70" t="s">
        <v>179</v>
      </c>
      <c r="J1540" s="71">
        <f>IF(OR(I1540=0,I1540=""),"unrated",VLOOKUP(I1540,MappingTables!$B$19:$C$31,2,FALSE))</f>
        <v>4</v>
      </c>
      <c r="K1540" s="72">
        <v>5060.7114177400072</v>
      </c>
      <c r="L1540" s="70">
        <v>4.0087785861298792</v>
      </c>
      <c r="M1540" s="71">
        <f>IF(L1540&lt;1,1,L1540)</f>
        <v>4.0087785861298792</v>
      </c>
      <c r="N1540" s="70" t="s">
        <v>141</v>
      </c>
      <c r="O1540" s="71">
        <f>INDEX(DurClassMapping,MATCH(M1540,MappingTables!$D$4:$D$8,-1),1)</f>
        <v>1</v>
      </c>
      <c r="P1540" s="73">
        <f>IF(M1540=$A$1,1,$M1540-INDEX(MappingTables!$E$4:$E$8,MATCH(O1540,MappingTables!$B$4:$B$8,0)))</f>
        <v>4.0087785861298792</v>
      </c>
      <c r="Q1540" s="71">
        <f>IF(B1540="",0,INDEX(ModelParameters!$D$6:$K$10,MATCH($O1540,ModelParameters!$B$6:$B$10,0),MATCH($J1540,ModelParameters!$D$5:$K$5,0)))</f>
        <v>0.045</v>
      </c>
      <c r="R1540" s="71">
        <f>IF(B1540="",0,INDEX(ModelParameters!$D$13:$K$17,MATCH($O1540,ModelParameters!$B$13:$B$17,0),MATCH($J1540,ModelParameters!$D$5:$K$5,0)))</f>
        <v>0</v>
      </c>
      <c r="S1540" s="160">
        <f>IF(B1540="",0,MIN(IF($N1540="Other Bond TM",ModelParameters!$N$21,1)*(P1540*Q1540+R1540),1))</f>
        <v>0.18039503637584456</v>
      </c>
      <c r="T1540" s="85">
        <f>IF(B1540="",0,$S1540*$K1540)</f>
        <v>912.92722029086048</v>
      </c>
      <c r="U1540" s="85">
        <f>IF(B1540="",0,IF(OR(H1540=MappingTables!$C$34,H1540=MappingTables!$C$35),T1540,0))</f>
        <v>0</v>
      </c>
      <c r="V1540" s="85">
        <f>IF(ISNA(IF(AND(VLOOKUP(CONCATENATE($D1540,$G1540),CSRFinput!$B:$E,4,0)=0,OR(H1540=MappingTables!$C$34,H1540=MappingTables!$C$35)),1,VLOOKUP(CONCATENATE($D1540,$G1540),CSRFinput!$B:$E,4,0))),0,IF(AND(VLOOKUP(CONCATENATE($D1540,$G1540),CSRFinput!$B:$E,4,0)=0,OR(H1540=MappingTables!$C$34,H1540=MappingTables!$C$35)),1,VLOOKUP(CONCATENATE($D1540,$G1540),CSRFinput!$B:$E,4,0)))</f>
        <v>0.054776304963434752</v>
      </c>
      <c r="W1540" s="85">
        <f>IF(B1540="",0,+$T1540*$V1540)</f>
        <v>50.00677982807296</v>
      </c>
      <c r="X1540" s="85">
        <f>IF(B1540="",0,IF(OR(H1540=MappingTables!$C$34,H1540=MappingTables!$C$35),W1540,0))</f>
        <v>0</v>
      </c>
    </row>
    <row r="1541" spans="2:24" s="0" customFormat="0" ht="15">
      <c r="B1541" s="69">
        <v>24222203</v>
      </c>
      <c r="C1541" s="70" t="s">
        <v>1780</v>
      </c>
      <c r="D1541" s="70" t="s">
        <v>1</v>
      </c>
      <c r="E1541" s="70" t="s">
        <v>1</v>
      </c>
      <c r="F1541" s="70"/>
      <c r="G1541" s="70" t="s">
        <v>61</v>
      </c>
      <c r="H1541" s="70" t="s">
        <v>178</v>
      </c>
      <c r="I1541" s="70" t="s">
        <v>220</v>
      </c>
      <c r="J1541" s="71">
        <f>IF(OR(I1541=0,I1541=""),"unrated",VLOOKUP(I1541,MappingTables!$B$19:$C$31,2,FALSE))</f>
        <v>1</v>
      </c>
      <c r="K1541" s="72">
        <v>2685.9728814039992</v>
      </c>
      <c r="L1541" s="70">
        <v>0.0246608535996521</v>
      </c>
      <c r="M1541" s="71">
        <f>IF(L1541&lt;1,1,L1541)</f>
        <v>1</v>
      </c>
      <c r="N1541" s="70" t="s">
        <v>141</v>
      </c>
      <c r="O1541" s="71">
        <f>INDEX(DurClassMapping,MATCH(M1541,MappingTables!$D$4:$D$8,-1),1)</f>
        <v>1</v>
      </c>
      <c r="P1541" s="73">
        <f>IF(M1541=$A$1,1,$M1541-INDEX(MappingTables!$E$4:$E$8,MATCH(O1541,MappingTables!$B$4:$B$8,0)))</f>
        <v>1</v>
      </c>
      <c r="Q1541" s="71">
        <f>IF(B1541="",0,INDEX(ModelParameters!$D$6:$K$10,MATCH($O1541,ModelParameters!$B$6:$B$10,0),MATCH($J1541,ModelParameters!$D$5:$K$5,0)))</f>
        <v>0.011000000000000002</v>
      </c>
      <c r="R1541" s="71">
        <f>IF(B1541="",0,INDEX(ModelParameters!$D$13:$K$17,MATCH($O1541,ModelParameters!$B$13:$B$17,0),MATCH($J1541,ModelParameters!$D$5:$K$5,0)))</f>
        <v>0</v>
      </c>
      <c r="S1541" s="160">
        <f>IF(B1541="",0,MIN(IF($N1541="Other Bond TM",ModelParameters!$N$21,1)*(P1541*Q1541+R1541),1))</f>
        <v>0.011000000000000002</v>
      </c>
      <c r="T1541" s="85">
        <f>IF(B1541="",0,$S1541*$K1541)</f>
        <v>29.545701695443992</v>
      </c>
      <c r="U1541" s="85">
        <f>IF(B1541="",0,IF(OR(H1541=MappingTables!$C$34,H1541=MappingTables!$C$35),T1541,0))</f>
        <v>0</v>
      </c>
      <c r="V1541" s="85">
        <f>IF(ISNA(IF(AND(VLOOKUP(CONCATENATE($D1541,$G1541),CSRFinput!$B:$E,4,0)=0,OR(H1541=MappingTables!$C$34,H1541=MappingTables!$C$35)),1,VLOOKUP(CONCATENATE($D1541,$G1541),CSRFinput!$B:$E,4,0))),0,IF(AND(VLOOKUP(CONCATENATE($D1541,$G1541),CSRFinput!$B:$E,4,0)=0,OR(H1541=MappingTables!$C$34,H1541=MappingTables!$C$35)),1,VLOOKUP(CONCATENATE($D1541,$G1541),CSRFinput!$B:$E,4,0)))</f>
        <v>0.054776304963434752</v>
      </c>
      <c r="W1541" s="85">
        <f>IF(B1541="",0,+$T1541*$V1541)</f>
        <v>1.6184043664283114</v>
      </c>
      <c r="X1541" s="85">
        <f>IF(B1541="",0,IF(OR(H1541=MappingTables!$C$34,H1541=MappingTables!$C$35),W1541,0))</f>
        <v>0</v>
      </c>
    </row>
    <row r="1542" spans="2:24" s="0" customFormat="0" ht="15">
      <c r="B1542" s="69">
        <v>23892301</v>
      </c>
      <c r="C1542" s="70" t="s">
        <v>1781</v>
      </c>
      <c r="D1542" s="70" t="s">
        <v>1</v>
      </c>
      <c r="E1542" s="70" t="s">
        <v>1</v>
      </c>
      <c r="F1542" s="70"/>
      <c r="G1542" s="70" t="s">
        <v>61</v>
      </c>
      <c r="H1542" s="70" t="s">
        <v>178</v>
      </c>
      <c r="I1542" s="70" t="s">
        <v>179</v>
      </c>
      <c r="J1542" s="71">
        <f>IF(OR(I1542=0,I1542=""),"unrated",VLOOKUP(I1542,MappingTables!$B$19:$C$31,2,FALSE))</f>
        <v>4</v>
      </c>
      <c r="K1542" s="72">
        <v>7794.8668789900464</v>
      </c>
      <c r="L1542" s="70">
        <v>4.9973328351432032</v>
      </c>
      <c r="M1542" s="71">
        <f>IF(L1542&lt;1,1,L1542)</f>
        <v>4.9973328351432032</v>
      </c>
      <c r="N1542" s="70" t="s">
        <v>141</v>
      </c>
      <c r="O1542" s="71">
        <f>INDEX(DurClassMapping,MATCH(M1542,MappingTables!$D$4:$D$8,-1),1)</f>
        <v>1</v>
      </c>
      <c r="P1542" s="73">
        <f>IF(M1542=$A$1,1,$M1542-INDEX(MappingTables!$E$4:$E$8,MATCH(O1542,MappingTables!$B$4:$B$8,0)))</f>
        <v>4.9973328351432032</v>
      </c>
      <c r="Q1542" s="71">
        <f>IF(B1542="",0,INDEX(ModelParameters!$D$6:$K$10,MATCH($O1542,ModelParameters!$B$6:$B$10,0),MATCH($J1542,ModelParameters!$D$5:$K$5,0)))</f>
        <v>0.045</v>
      </c>
      <c r="R1542" s="71">
        <f>IF(B1542="",0,INDEX(ModelParameters!$D$13:$K$17,MATCH($O1542,ModelParameters!$B$13:$B$17,0),MATCH($J1542,ModelParameters!$D$5:$K$5,0)))</f>
        <v>0</v>
      </c>
      <c r="S1542" s="160">
        <f>IF(B1542="",0,MIN(IF($N1542="Other Bond TM",ModelParameters!$N$21,1)*(P1542*Q1542+R1542),1))</f>
        <v>0.22487997758144416</v>
      </c>
      <c r="T1542" s="85">
        <f>IF(B1542="",0,$S1542*$K1542)</f>
        <v>1752.9094889976232</v>
      </c>
      <c r="U1542" s="85">
        <f>IF(B1542="",0,IF(OR(H1542=MappingTables!$C$34,H1542=MappingTables!$C$35),T1542,0))</f>
        <v>0</v>
      </c>
      <c r="V1542" s="85">
        <f>IF(ISNA(IF(AND(VLOOKUP(CONCATENATE($D1542,$G1542),CSRFinput!$B:$E,4,0)=0,OR(H1542=MappingTables!$C$34,H1542=MappingTables!$C$35)),1,VLOOKUP(CONCATENATE($D1542,$G1542),CSRFinput!$B:$E,4,0))),0,IF(AND(VLOOKUP(CONCATENATE($D1542,$G1542),CSRFinput!$B:$E,4,0)=0,OR(H1542=MappingTables!$C$34,H1542=MappingTables!$C$35)),1,VLOOKUP(CONCATENATE($D1542,$G1542),CSRFinput!$B:$E,4,0)))</f>
        <v>0.054776304963434752</v>
      </c>
      <c r="W1542" s="85">
        <f>IF(B1542="",0,+$T1542*$V1542)</f>
        <v>96.017904742632384</v>
      </c>
      <c r="X1542" s="85">
        <f>IF(B1542="",0,IF(OR(H1542=MappingTables!$C$34,H1542=MappingTables!$C$35),W1542,0))</f>
        <v>0</v>
      </c>
    </row>
    <row r="1543" spans="2:24" s="0" customFormat="0" ht="15">
      <c r="B1543" s="69" t="s">
        <v>1782</v>
      </c>
      <c r="C1543" s="70" t="s">
        <v>1783</v>
      </c>
      <c r="D1543" s="70" t="s">
        <v>1</v>
      </c>
      <c r="E1543" s="70" t="s">
        <v>1</v>
      </c>
      <c r="F1543" s="70"/>
      <c r="G1543" s="70" t="s">
        <v>61</v>
      </c>
      <c r="H1543" s="70" t="s">
        <v>178</v>
      </c>
      <c r="I1543" s="70" t="s">
        <v>181</v>
      </c>
      <c r="J1543" s="71">
        <f>IF(OR(I1543=0,I1543=""),"unrated",VLOOKUP(I1543,MappingTables!$B$19:$C$31,2,FALSE))</f>
        <v>3</v>
      </c>
      <c r="K1543" s="72">
        <v>2066.721447792988</v>
      </c>
      <c r="L1543" s="70">
        <v>10.306999648408266</v>
      </c>
      <c r="M1543" s="71">
        <f>IF(L1543&lt;1,1,L1543)</f>
        <v>10.306999648408266</v>
      </c>
      <c r="N1543" s="70" t="s">
        <v>141</v>
      </c>
      <c r="O1543" s="71">
        <f>INDEX(DurClassMapping,MATCH(M1543,MappingTables!$D$4:$D$8,-1),1)</f>
        <v>3</v>
      </c>
      <c r="P1543" s="73">
        <f>IF(M1543=$A$1,1,$M1543-INDEX(MappingTables!$E$4:$E$8,MATCH(O1543,MappingTables!$B$4:$B$8,0)))</f>
        <v>0.30699964840826688</v>
      </c>
      <c r="Q1543" s="71">
        <f>IF(B1543="",0,INDEX(ModelParameters!$D$6:$K$10,MATCH($O1543,ModelParameters!$B$6:$B$10,0),MATCH($J1543,ModelParameters!$D$5:$K$5,0)))</f>
        <v>0.01</v>
      </c>
      <c r="R1543" s="71">
        <f>IF(B1543="",0,INDEX(ModelParameters!$D$13:$K$17,MATCH($O1543,ModelParameters!$B$13:$B$17,0),MATCH($J1543,ModelParameters!$D$5:$K$5,0)))</f>
        <v>0.2</v>
      </c>
      <c r="S1543" s="160">
        <f>IF(B1543="",0,MIN(IF($N1543="Other Bond TM",ModelParameters!$N$21,1)*(P1543*Q1543+R1543),1))</f>
        <v>0.20306999648408268</v>
      </c>
      <c r="T1543" s="85">
        <f>IF(B1543="",0,$S1543*$K1543)</f>
        <v>419.68911713690032</v>
      </c>
      <c r="U1543" s="85">
        <f>IF(B1543="",0,IF(OR(H1543=MappingTables!$C$34,H1543=MappingTables!$C$35),T1543,0))</f>
        <v>0</v>
      </c>
      <c r="V1543" s="85">
        <f>IF(ISNA(IF(AND(VLOOKUP(CONCATENATE($D1543,$G1543),CSRFinput!$B:$E,4,0)=0,OR(H1543=MappingTables!$C$34,H1543=MappingTables!$C$35)),1,VLOOKUP(CONCATENATE($D1543,$G1543),CSRFinput!$B:$E,4,0))),0,IF(AND(VLOOKUP(CONCATENATE($D1543,$G1543),CSRFinput!$B:$E,4,0)=0,OR(H1543=MappingTables!$C$34,H1543=MappingTables!$C$35)),1,VLOOKUP(CONCATENATE($D1543,$G1543),CSRFinput!$B:$E,4,0)))</f>
        <v>0.054776304963434752</v>
      </c>
      <c r="W1543" s="85">
        <f>IF(B1543="",0,+$T1543*$V1543)</f>
        <v>22.989019070125544</v>
      </c>
      <c r="X1543" s="85">
        <f>IF(B1543="",0,IF(OR(H1543=MappingTables!$C$34,H1543=MappingTables!$C$35),W1543,0))</f>
        <v>0</v>
      </c>
    </row>
    <row r="1544" spans="2:24" s="0" customFormat="0" ht="15">
      <c r="B1544" s="69">
        <v>21834590</v>
      </c>
      <c r="C1544" s="70" t="s">
        <v>1108</v>
      </c>
      <c r="D1544" s="70" t="s">
        <v>1</v>
      </c>
      <c r="E1544" s="70" t="s">
        <v>1</v>
      </c>
      <c r="F1544" s="70"/>
      <c r="G1544" s="70" t="s">
        <v>61</v>
      </c>
      <c r="H1544" s="70" t="s">
        <v>178</v>
      </c>
      <c r="I1544" s="70" t="s">
        <v>188</v>
      </c>
      <c r="J1544" s="71">
        <f>IF(OR(I1544=0,I1544=""),"unrated",VLOOKUP(I1544,MappingTables!$B$19:$C$31,2,FALSE))</f>
        <v>2</v>
      </c>
      <c r="K1544" s="72">
        <v>27.840940122743688</v>
      </c>
      <c r="L1544" s="70">
        <v>1.4548462828429716</v>
      </c>
      <c r="M1544" s="71">
        <f>IF(L1544&lt;1,1,L1544)</f>
        <v>1.4548462828429716</v>
      </c>
      <c r="N1544" s="70" t="s">
        <v>141</v>
      </c>
      <c r="O1544" s="71">
        <f>INDEX(DurClassMapping,MATCH(M1544,MappingTables!$D$4:$D$8,-1),1)</f>
        <v>1</v>
      </c>
      <c r="P1544" s="73">
        <f>IF(M1544=$A$1,1,$M1544-INDEX(MappingTables!$E$4:$E$8,MATCH(O1544,MappingTables!$B$4:$B$8,0)))</f>
        <v>1.4548462828429716</v>
      </c>
      <c r="Q1544" s="71">
        <f>IF(B1544="",0,INDEX(ModelParameters!$D$6:$K$10,MATCH($O1544,ModelParameters!$B$6:$B$10,0),MATCH($J1544,ModelParameters!$D$5:$K$5,0)))</f>
        <v>0.013999999999999998</v>
      </c>
      <c r="R1544" s="71">
        <f>IF(B1544="",0,INDEX(ModelParameters!$D$13:$K$17,MATCH($O1544,ModelParameters!$B$13:$B$17,0),MATCH($J1544,ModelParameters!$D$5:$K$5,0)))</f>
        <v>0</v>
      </c>
      <c r="S1544" s="160">
        <f>IF(B1544="",0,MIN(IF($N1544="Other Bond TM",ModelParameters!$N$21,1)*(P1544*Q1544+R1544),1))</f>
        <v>0.0203678479598016</v>
      </c>
      <c r="T1544" s="85">
        <f>IF(B1544="",0,$S1544*$K1544)</f>
        <v>0.56706003547798352</v>
      </c>
      <c r="U1544" s="85">
        <f>IF(B1544="",0,IF(OR(H1544=MappingTables!$C$34,H1544=MappingTables!$C$35),T1544,0))</f>
        <v>0</v>
      </c>
      <c r="V1544" s="85">
        <f>IF(ISNA(IF(AND(VLOOKUP(CONCATENATE($D1544,$G1544),CSRFinput!$B:$E,4,0)=0,OR(H1544=MappingTables!$C$34,H1544=MappingTables!$C$35)),1,VLOOKUP(CONCATENATE($D1544,$G1544),CSRFinput!$B:$E,4,0))),0,IF(AND(VLOOKUP(CONCATENATE($D1544,$G1544),CSRFinput!$B:$E,4,0)=0,OR(H1544=MappingTables!$C$34,H1544=MappingTables!$C$35)),1,VLOOKUP(CONCATENATE($D1544,$G1544),CSRFinput!$B:$E,4,0)))</f>
        <v>0.054776304963434752</v>
      </c>
      <c r="W1544" s="85">
        <f>IF(B1544="",0,+$T1544*$V1544)</f>
        <v>0.03106145343591816</v>
      </c>
      <c r="X1544" s="85">
        <f>IF(B1544="",0,IF(OR(H1544=MappingTables!$C$34,H1544=MappingTables!$C$35),W1544,0))</f>
        <v>0</v>
      </c>
    </row>
    <row r="1545" spans="2:24" s="0" customFormat="0" ht="15">
      <c r="B1545" s="69" t="s">
        <v>786</v>
      </c>
      <c r="C1545" s="70" t="s">
        <v>787</v>
      </c>
      <c r="D1545" s="70" t="s">
        <v>1</v>
      </c>
      <c r="E1545" s="70" t="s">
        <v>1</v>
      </c>
      <c r="F1545" s="70"/>
      <c r="G1545" s="70" t="s">
        <v>61</v>
      </c>
      <c r="H1545" s="70" t="s">
        <v>178</v>
      </c>
      <c r="I1545" s="70" t="s">
        <v>188</v>
      </c>
      <c r="J1545" s="71">
        <f>IF(OR(I1545=0,I1545=""),"unrated",VLOOKUP(I1545,MappingTables!$B$19:$C$31,2,FALSE))</f>
        <v>2</v>
      </c>
      <c r="K1545" s="72">
        <v>253.440335584636</v>
      </c>
      <c r="L1545" s="70">
        <v>2.0359714051383636</v>
      </c>
      <c r="M1545" s="71">
        <f>IF(L1545&lt;1,1,L1545)</f>
        <v>2.0359714051383636</v>
      </c>
      <c r="N1545" s="70" t="s">
        <v>141</v>
      </c>
      <c r="O1545" s="71">
        <f>INDEX(DurClassMapping,MATCH(M1545,MappingTables!$D$4:$D$8,-1),1)</f>
        <v>1</v>
      </c>
      <c r="P1545" s="73">
        <f>IF(M1545=$A$1,1,$M1545-INDEX(MappingTables!$E$4:$E$8,MATCH(O1545,MappingTables!$B$4:$B$8,0)))</f>
        <v>2.0359714051383636</v>
      </c>
      <c r="Q1545" s="71">
        <f>IF(B1545="",0,INDEX(ModelParameters!$D$6:$K$10,MATCH($O1545,ModelParameters!$B$6:$B$10,0),MATCH($J1545,ModelParameters!$D$5:$K$5,0)))</f>
        <v>0.013999999999999998</v>
      </c>
      <c r="R1545" s="71">
        <f>IF(B1545="",0,INDEX(ModelParameters!$D$13:$K$17,MATCH($O1545,ModelParameters!$B$13:$B$17,0),MATCH($J1545,ModelParameters!$D$5:$K$5,0)))</f>
        <v>0</v>
      </c>
      <c r="S1545" s="160">
        <f>IF(B1545="",0,MIN(IF($N1545="Other Bond TM",ModelParameters!$N$21,1)*(P1545*Q1545+R1545),1))</f>
        <v>0.028503599671937092</v>
      </c>
      <c r="T1545" s="85">
        <f>IF(B1545="",0,$S1545*$K1545)</f>
        <v>7.2239618662258576</v>
      </c>
      <c r="U1545" s="85">
        <f>IF(B1545="",0,IF(OR(H1545=MappingTables!$C$34,H1545=MappingTables!$C$35),T1545,0))</f>
        <v>0</v>
      </c>
      <c r="V1545" s="85">
        <f>IF(ISNA(IF(AND(VLOOKUP(CONCATENATE($D1545,$G1545),CSRFinput!$B:$E,4,0)=0,OR(H1545=MappingTables!$C$34,H1545=MappingTables!$C$35)),1,VLOOKUP(CONCATENATE($D1545,$G1545),CSRFinput!$B:$E,4,0))),0,IF(AND(VLOOKUP(CONCATENATE($D1545,$G1545),CSRFinput!$B:$E,4,0)=0,OR(H1545=MappingTables!$C$34,H1545=MappingTables!$C$35)),1,VLOOKUP(CONCATENATE($D1545,$G1545),CSRFinput!$B:$E,4,0)))</f>
        <v>0.054776304963434752</v>
      </c>
      <c r="W1545" s="85">
        <f>IF(B1545="",0,+$T1545*$V1545)</f>
        <v>0.3957019382286108</v>
      </c>
      <c r="X1545" s="85">
        <f>IF(B1545="",0,IF(OR(H1545=MappingTables!$C$34,H1545=MappingTables!$C$35),W1545,0))</f>
        <v>0</v>
      </c>
    </row>
    <row r="1546" spans="2:24" s="0" customFormat="0" ht="15">
      <c r="B1546" s="69" t="s">
        <v>1784</v>
      </c>
      <c r="C1546" s="70" t="s">
        <v>1785</v>
      </c>
      <c r="D1546" s="70" t="s">
        <v>1</v>
      </c>
      <c r="E1546" s="70" t="s">
        <v>1</v>
      </c>
      <c r="F1546" s="70"/>
      <c r="G1546" s="70" t="s">
        <v>61</v>
      </c>
      <c r="H1546" s="70" t="s">
        <v>178</v>
      </c>
      <c r="I1546" s="70" t="s">
        <v>181</v>
      </c>
      <c r="J1546" s="71">
        <f>IF(OR(I1546=0,I1546=""),"unrated",VLOOKUP(I1546,MappingTables!$B$19:$C$31,2,FALSE))</f>
        <v>3</v>
      </c>
      <c r="K1546" s="72">
        <v>18593.954551267088</v>
      </c>
      <c r="L1546" s="70">
        <v>9.9680561431189456</v>
      </c>
      <c r="M1546" s="71">
        <f>IF(L1546&lt;1,1,L1546)</f>
        <v>9.9680561431189456</v>
      </c>
      <c r="N1546" s="70" t="s">
        <v>141</v>
      </c>
      <c r="O1546" s="71">
        <f>INDEX(DurClassMapping,MATCH(M1546,MappingTables!$D$4:$D$8,-1),1)</f>
        <v>2</v>
      </c>
      <c r="P1546" s="73">
        <f>IF(M1546=$A$1,1,$M1546-INDEX(MappingTables!$E$4:$E$8,MATCH(O1546,MappingTables!$B$4:$B$8,0)))</f>
        <v>4.9680561431189448</v>
      </c>
      <c r="Q1546" s="71">
        <f>IF(B1546="",0,INDEX(ModelParameters!$D$6:$K$10,MATCH($O1546,ModelParameters!$B$6:$B$10,0),MATCH($J1546,ModelParameters!$D$5:$K$5,0)))</f>
        <v>0.015</v>
      </c>
      <c r="R1546" s="71">
        <f>IF(B1546="",0,INDEX(ModelParameters!$D$13:$K$17,MATCH($O1546,ModelParameters!$B$13:$B$17,0),MATCH($J1546,ModelParameters!$D$5:$K$5,0)))</f>
        <v>0.125</v>
      </c>
      <c r="S1546" s="160">
        <f>IF(B1546="",0,MIN(IF($N1546="Other Bond TM",ModelParameters!$N$21,1)*(P1546*Q1546+R1546),1))</f>
        <v>0.19952084214678416</v>
      </c>
      <c r="T1546" s="85">
        <f>IF(B1546="",0,$S1546*$K1546)</f>
        <v>3709.88147090784</v>
      </c>
      <c r="U1546" s="85">
        <f>IF(B1546="",0,IF(OR(H1546=MappingTables!$C$34,H1546=MappingTables!$C$35),T1546,0))</f>
        <v>0</v>
      </c>
      <c r="V1546" s="85">
        <f>IF(ISNA(IF(AND(VLOOKUP(CONCATENATE($D1546,$G1546),CSRFinput!$B:$E,4,0)=0,OR(H1546=MappingTables!$C$34,H1546=MappingTables!$C$35)),1,VLOOKUP(CONCATENATE($D1546,$G1546),CSRFinput!$B:$E,4,0))),0,IF(AND(VLOOKUP(CONCATENATE($D1546,$G1546),CSRFinput!$B:$E,4,0)=0,OR(H1546=MappingTables!$C$34,H1546=MappingTables!$C$35)),1,VLOOKUP(CONCATENATE($D1546,$G1546),CSRFinput!$B:$E,4,0)))</f>
        <v>0.054776304963434752</v>
      </c>
      <c r="W1546" s="85">
        <f>IF(B1546="",0,+$T1546*$V1546)</f>
        <v>203.21359882864372</v>
      </c>
      <c r="X1546" s="85">
        <f>IF(B1546="",0,IF(OR(H1546=MappingTables!$C$34,H1546=MappingTables!$C$35),W1546,0))</f>
        <v>0</v>
      </c>
    </row>
    <row r="1547" spans="2:24" s="0" customFormat="0" ht="15">
      <c r="B1547" s="69" t="s">
        <v>1786</v>
      </c>
      <c r="C1547" s="70" t="s">
        <v>1787</v>
      </c>
      <c r="D1547" s="70" t="s">
        <v>1</v>
      </c>
      <c r="E1547" s="70" t="s">
        <v>1</v>
      </c>
      <c r="F1547" s="70"/>
      <c r="G1547" s="70" t="s">
        <v>61</v>
      </c>
      <c r="H1547" s="70" t="s">
        <v>178</v>
      </c>
      <c r="I1547" s="70" t="s">
        <v>198</v>
      </c>
      <c r="J1547" s="71" t="str">
        <f>IF(OR(I1547=0,I1547=""),"unrated",VLOOKUP(I1547,MappingTables!$B$19:$C$31,2,FALSE))</f>
        <v>unrated</v>
      </c>
      <c r="K1547" s="72">
        <v>27656.12280259108</v>
      </c>
      <c r="L1547" s="70">
        <v>4.2803129715412016</v>
      </c>
      <c r="M1547" s="71">
        <f>IF(L1547&lt;1,1,L1547)</f>
        <v>4.2803129715412016</v>
      </c>
      <c r="N1547" s="70" t="s">
        <v>141</v>
      </c>
      <c r="O1547" s="71">
        <f>INDEX(DurClassMapping,MATCH(M1547,MappingTables!$D$4:$D$8,-1),1)</f>
        <v>1</v>
      </c>
      <c r="P1547" s="73">
        <f>IF(M1547=$A$1,1,$M1547-INDEX(MappingTables!$E$4:$E$8,MATCH(O1547,MappingTables!$B$4:$B$8,0)))</f>
        <v>4.2803129715412016</v>
      </c>
      <c r="Q1547" s="71">
        <f>IF(B1547="",0,INDEX(ModelParameters!$D$6:$K$10,MATCH($O1547,ModelParameters!$B$6:$B$10,0),MATCH($J1547,ModelParameters!$D$5:$K$5,0)))</f>
        <v>0.03</v>
      </c>
      <c r="R1547" s="71">
        <f>IF(B1547="",0,INDEX(ModelParameters!$D$13:$K$17,MATCH($O1547,ModelParameters!$B$13:$B$17,0),MATCH($J1547,ModelParameters!$D$5:$K$5,0)))</f>
        <v>0</v>
      </c>
      <c r="S1547" s="160">
        <f>IF(B1547="",0,MIN(IF($N1547="Other Bond TM",ModelParameters!$N$21,1)*(P1547*Q1547+R1547),1))</f>
        <v>0.12840938914623604</v>
      </c>
      <c r="T1547" s="85">
        <f>IF(B1547="",0,$S1547*$K1547)</f>
        <v>3551.30583523401</v>
      </c>
      <c r="U1547" s="85">
        <f>IF(B1547="",0,IF(OR(H1547=MappingTables!$C$34,H1547=MappingTables!$C$35),T1547,0))</f>
        <v>0</v>
      </c>
      <c r="V1547" s="85">
        <f>IF(ISNA(IF(AND(VLOOKUP(CONCATENATE($D1547,$G1547),CSRFinput!$B:$E,4,0)=0,OR(H1547=MappingTables!$C$34,H1547=MappingTables!$C$35)),1,VLOOKUP(CONCATENATE($D1547,$G1547),CSRFinput!$B:$E,4,0))),0,IF(AND(VLOOKUP(CONCATENATE($D1547,$G1547),CSRFinput!$B:$E,4,0)=0,OR(H1547=MappingTables!$C$34,H1547=MappingTables!$C$35)),1,VLOOKUP(CONCATENATE($D1547,$G1547),CSRFinput!$B:$E,4,0)))</f>
        <v>0.054776304963434752</v>
      </c>
      <c r="W1547" s="85">
        <f>IF(B1547="",0,+$T1547*$V1547)</f>
        <v>194.52741144920348</v>
      </c>
      <c r="X1547" s="85">
        <f>IF(B1547="",0,IF(OR(H1547=MappingTables!$C$34,H1547=MappingTables!$C$35),W1547,0))</f>
        <v>0</v>
      </c>
    </row>
    <row r="1548" spans="2:24" s="0" customFormat="0" ht="15">
      <c r="B1548" s="69">
        <v>8947959</v>
      </c>
      <c r="C1548" s="70" t="s">
        <v>1542</v>
      </c>
      <c r="D1548" s="70" t="s">
        <v>1</v>
      </c>
      <c r="E1548" s="70" t="s">
        <v>1</v>
      </c>
      <c r="F1548" s="70"/>
      <c r="G1548" s="70" t="s">
        <v>61</v>
      </c>
      <c r="H1548" s="70" t="s">
        <v>178</v>
      </c>
      <c r="I1548" s="70" t="s">
        <v>181</v>
      </c>
      <c r="J1548" s="71">
        <f>IF(OR(I1548=0,I1548=""),"unrated",VLOOKUP(I1548,MappingTables!$B$19:$C$31,2,FALSE))</f>
        <v>3</v>
      </c>
      <c r="K1548" s="72">
        <v>3904.8029723146704</v>
      </c>
      <c r="L1548" s="70">
        <v>3.2264590668849544</v>
      </c>
      <c r="M1548" s="71">
        <f>IF(L1548&lt;1,1,L1548)</f>
        <v>3.2264590668849544</v>
      </c>
      <c r="N1548" s="70" t="s">
        <v>141</v>
      </c>
      <c r="O1548" s="71">
        <f>INDEX(DurClassMapping,MATCH(M1548,MappingTables!$D$4:$D$8,-1),1)</f>
        <v>1</v>
      </c>
      <c r="P1548" s="73">
        <f>IF(M1548=$A$1,1,$M1548-INDEX(MappingTables!$E$4:$E$8,MATCH(O1548,MappingTables!$B$4:$B$8,0)))</f>
        <v>3.2264590668849544</v>
      </c>
      <c r="Q1548" s="71">
        <f>IF(B1548="",0,INDEX(ModelParameters!$D$6:$K$10,MATCH($O1548,ModelParameters!$B$6:$B$10,0),MATCH($J1548,ModelParameters!$D$5:$K$5,0)))</f>
        <v>0.025</v>
      </c>
      <c r="R1548" s="71">
        <f>IF(B1548="",0,INDEX(ModelParameters!$D$13:$K$17,MATCH($O1548,ModelParameters!$B$13:$B$17,0),MATCH($J1548,ModelParameters!$D$5:$K$5,0)))</f>
        <v>0</v>
      </c>
      <c r="S1548" s="160">
        <f>IF(B1548="",0,MIN(IF($N1548="Other Bond TM",ModelParameters!$N$21,1)*(P1548*Q1548+R1548),1))</f>
        <v>0.080661476672123872</v>
      </c>
      <c r="T1548" s="85">
        <f>IF(B1548="",0,$S1548*$K1548)</f>
        <v>314.96717386059976</v>
      </c>
      <c r="U1548" s="85">
        <f>IF(B1548="",0,IF(OR(H1548=MappingTables!$C$34,H1548=MappingTables!$C$35),T1548,0))</f>
        <v>0</v>
      </c>
      <c r="V1548" s="85">
        <f>IF(ISNA(IF(AND(VLOOKUP(CONCATENATE($D1548,$G1548),CSRFinput!$B:$E,4,0)=0,OR(H1548=MappingTables!$C$34,H1548=MappingTables!$C$35)),1,VLOOKUP(CONCATENATE($D1548,$G1548),CSRFinput!$B:$E,4,0))),0,IF(AND(VLOOKUP(CONCATENATE($D1548,$G1548),CSRFinput!$B:$E,4,0)=0,OR(H1548=MappingTables!$C$34,H1548=MappingTables!$C$35)),1,VLOOKUP(CONCATENATE($D1548,$G1548),CSRFinput!$B:$E,4,0)))</f>
        <v>0.054776304963434752</v>
      </c>
      <c r="W1548" s="85">
        <f>IF(B1548="",0,+$T1548*$V1548)</f>
        <v>17.252737968859388</v>
      </c>
      <c r="X1548" s="85">
        <f>IF(B1548="",0,IF(OR(H1548=MappingTables!$C$34,H1548=MappingTables!$C$35),W1548,0))</f>
        <v>0</v>
      </c>
    </row>
    <row r="1549" spans="2:24" s="0" customFormat="0" ht="15">
      <c r="B1549" s="69" t="s">
        <v>1788</v>
      </c>
      <c r="C1549" s="70" t="s">
        <v>1789</v>
      </c>
      <c r="D1549" s="70" t="s">
        <v>1</v>
      </c>
      <c r="E1549" s="70" t="s">
        <v>1</v>
      </c>
      <c r="F1549" s="70"/>
      <c r="G1549" s="70" t="s">
        <v>61</v>
      </c>
      <c r="H1549" s="70" t="s">
        <v>178</v>
      </c>
      <c r="I1549" s="70" t="s">
        <v>181</v>
      </c>
      <c r="J1549" s="71">
        <f>IF(OR(I1549=0,I1549=""),"unrated",VLOOKUP(I1549,MappingTables!$B$19:$C$31,2,FALSE))</f>
        <v>3</v>
      </c>
      <c r="K1549" s="72">
        <v>33637.798876315836</v>
      </c>
      <c r="L1549" s="70">
        <v>4.488273586019296</v>
      </c>
      <c r="M1549" s="71">
        <f>IF(L1549&lt;1,1,L1549)</f>
        <v>4.488273586019296</v>
      </c>
      <c r="N1549" s="70" t="s">
        <v>141</v>
      </c>
      <c r="O1549" s="71">
        <f>INDEX(DurClassMapping,MATCH(M1549,MappingTables!$D$4:$D$8,-1),1)</f>
        <v>1</v>
      </c>
      <c r="P1549" s="73">
        <f>IF(M1549=$A$1,1,$M1549-INDEX(MappingTables!$E$4:$E$8,MATCH(O1549,MappingTables!$B$4:$B$8,0)))</f>
        <v>4.488273586019296</v>
      </c>
      <c r="Q1549" s="71">
        <f>IF(B1549="",0,INDEX(ModelParameters!$D$6:$K$10,MATCH($O1549,ModelParameters!$B$6:$B$10,0),MATCH($J1549,ModelParameters!$D$5:$K$5,0)))</f>
        <v>0.025</v>
      </c>
      <c r="R1549" s="71">
        <f>IF(B1549="",0,INDEX(ModelParameters!$D$13:$K$17,MATCH($O1549,ModelParameters!$B$13:$B$17,0),MATCH($J1549,ModelParameters!$D$5:$K$5,0)))</f>
        <v>0</v>
      </c>
      <c r="S1549" s="160">
        <f>IF(B1549="",0,MIN(IF($N1549="Other Bond TM",ModelParameters!$N$21,1)*(P1549*Q1549+R1549),1))</f>
        <v>0.1122068396504824</v>
      </c>
      <c r="T1549" s="85">
        <f>IF(B1549="",0,$S1549*$K1549)</f>
        <v>3774.391104709948</v>
      </c>
      <c r="U1549" s="85">
        <f>IF(B1549="",0,IF(OR(H1549=MappingTables!$C$34,H1549=MappingTables!$C$35),T1549,0))</f>
        <v>0</v>
      </c>
      <c r="V1549" s="85">
        <f>IF(ISNA(IF(AND(VLOOKUP(CONCATENATE($D1549,$G1549),CSRFinput!$B:$E,4,0)=0,OR(H1549=MappingTables!$C$34,H1549=MappingTables!$C$35)),1,VLOOKUP(CONCATENATE($D1549,$G1549),CSRFinput!$B:$E,4,0))),0,IF(AND(VLOOKUP(CONCATENATE($D1549,$G1549),CSRFinput!$B:$E,4,0)=0,OR(H1549=MappingTables!$C$34,H1549=MappingTables!$C$35)),1,VLOOKUP(CONCATENATE($D1549,$G1549),CSRFinput!$B:$E,4,0)))</f>
        <v>0.054776304963434752</v>
      </c>
      <c r="W1549" s="85">
        <f>IF(B1549="",0,+$T1549*$V1549)</f>
        <v>206.74719820286748</v>
      </c>
      <c r="X1549" s="85">
        <f>IF(B1549="",0,IF(OR(H1549=MappingTables!$C$34,H1549=MappingTables!$C$35),W1549,0))</f>
        <v>0</v>
      </c>
    </row>
    <row r="1550" spans="2:24" s="0" customFormat="0" ht="15">
      <c r="B1550" s="69">
        <v>21007337</v>
      </c>
      <c r="C1550" s="70" t="s">
        <v>1272</v>
      </c>
      <c r="D1550" s="70" t="s">
        <v>1</v>
      </c>
      <c r="E1550" s="70" t="s">
        <v>1</v>
      </c>
      <c r="F1550" s="70"/>
      <c r="G1550" s="70" t="s">
        <v>61</v>
      </c>
      <c r="H1550" s="70" t="s">
        <v>178</v>
      </c>
      <c r="I1550" s="70" t="s">
        <v>181</v>
      </c>
      <c r="J1550" s="71">
        <f>IF(OR(I1550=0,I1550=""),"unrated",VLOOKUP(I1550,MappingTables!$B$19:$C$31,2,FALSE))</f>
        <v>3</v>
      </c>
      <c r="K1550" s="72">
        <v>164.25115067803592</v>
      </c>
      <c r="L1550" s="70">
        <v>5.3318592272478384</v>
      </c>
      <c r="M1550" s="71">
        <f>IF(L1550&lt;1,1,L1550)</f>
        <v>5.3318592272478384</v>
      </c>
      <c r="N1550" s="70" t="s">
        <v>141</v>
      </c>
      <c r="O1550" s="71">
        <f>INDEX(DurClassMapping,MATCH(M1550,MappingTables!$D$4:$D$8,-1),1)</f>
        <v>2</v>
      </c>
      <c r="P1550" s="73">
        <f>IF(M1550=$A$1,1,$M1550-INDEX(MappingTables!$E$4:$E$8,MATCH(O1550,MappingTables!$B$4:$B$8,0)))</f>
        <v>0.331859227247838</v>
      </c>
      <c r="Q1550" s="71">
        <f>IF(B1550="",0,INDEX(ModelParameters!$D$6:$K$10,MATCH($O1550,ModelParameters!$B$6:$B$10,0),MATCH($J1550,ModelParameters!$D$5:$K$5,0)))</f>
        <v>0.015</v>
      </c>
      <c r="R1550" s="71">
        <f>IF(B1550="",0,INDEX(ModelParameters!$D$13:$K$17,MATCH($O1550,ModelParameters!$B$13:$B$17,0),MATCH($J1550,ModelParameters!$D$5:$K$5,0)))</f>
        <v>0.125</v>
      </c>
      <c r="S1550" s="160">
        <f>IF(B1550="",0,MIN(IF($N1550="Other Bond TM",ModelParameters!$N$21,1)*(P1550*Q1550+R1550),1))</f>
        <v>0.12997788840871758</v>
      </c>
      <c r="T1550" s="85">
        <f>IF(B1550="",0,$S1550*$K1550)</f>
        <v>21.349017733833208</v>
      </c>
      <c r="U1550" s="85">
        <f>IF(B1550="",0,IF(OR(H1550=MappingTables!$C$34,H1550=MappingTables!$C$35),T1550,0))</f>
        <v>0</v>
      </c>
      <c r="V1550" s="85">
        <f>IF(ISNA(IF(AND(VLOOKUP(CONCATENATE($D1550,$G1550),CSRFinput!$B:$E,4,0)=0,OR(H1550=MappingTables!$C$34,H1550=MappingTables!$C$35)),1,VLOOKUP(CONCATENATE($D1550,$G1550),CSRFinput!$B:$E,4,0))),0,IF(AND(VLOOKUP(CONCATENATE($D1550,$G1550),CSRFinput!$B:$E,4,0)=0,OR(H1550=MappingTables!$C$34,H1550=MappingTables!$C$35)),1,VLOOKUP(CONCATENATE($D1550,$G1550),CSRFinput!$B:$E,4,0)))</f>
        <v>0.054776304963434752</v>
      </c>
      <c r="W1550" s="85">
        <f>IF(B1550="",0,+$T1550*$V1550)</f>
        <v>1.1694203060582244</v>
      </c>
      <c r="X1550" s="85">
        <f>IF(B1550="",0,IF(OR(H1550=MappingTables!$C$34,H1550=MappingTables!$C$35),W1550,0))</f>
        <v>0</v>
      </c>
    </row>
    <row r="1551" spans="2:24" s="0" customFormat="0" ht="15">
      <c r="B1551" s="69" t="s">
        <v>1790</v>
      </c>
      <c r="C1551" s="70" t="s">
        <v>1791</v>
      </c>
      <c r="D1551" s="70" t="s">
        <v>1</v>
      </c>
      <c r="E1551" s="70" t="s">
        <v>1</v>
      </c>
      <c r="F1551" s="70"/>
      <c r="G1551" s="70" t="s">
        <v>61</v>
      </c>
      <c r="H1551" s="70" t="s">
        <v>178</v>
      </c>
      <c r="I1551" s="70" t="s">
        <v>188</v>
      </c>
      <c r="J1551" s="71">
        <f>IF(OR(I1551=0,I1551=""),"unrated",VLOOKUP(I1551,MappingTables!$B$19:$C$31,2,FALSE))</f>
        <v>2</v>
      </c>
      <c r="K1551" s="72">
        <v>13.384557453231654</v>
      </c>
      <c r="L1551" s="70">
        <v>2.8031064868508136</v>
      </c>
      <c r="M1551" s="71">
        <f>IF(L1551&lt;1,1,L1551)</f>
        <v>2.8031064868508136</v>
      </c>
      <c r="N1551" s="70" t="s">
        <v>141</v>
      </c>
      <c r="O1551" s="71">
        <f>INDEX(DurClassMapping,MATCH(M1551,MappingTables!$D$4:$D$8,-1),1)</f>
        <v>1</v>
      </c>
      <c r="P1551" s="73">
        <f>IF(M1551=$A$1,1,$M1551-INDEX(MappingTables!$E$4:$E$8,MATCH(O1551,MappingTables!$B$4:$B$8,0)))</f>
        <v>2.8031064868508136</v>
      </c>
      <c r="Q1551" s="71">
        <f>IF(B1551="",0,INDEX(ModelParameters!$D$6:$K$10,MATCH($O1551,ModelParameters!$B$6:$B$10,0),MATCH($J1551,ModelParameters!$D$5:$K$5,0)))</f>
        <v>0.013999999999999998</v>
      </c>
      <c r="R1551" s="71">
        <f>IF(B1551="",0,INDEX(ModelParameters!$D$13:$K$17,MATCH($O1551,ModelParameters!$B$13:$B$17,0),MATCH($J1551,ModelParameters!$D$5:$K$5,0)))</f>
        <v>0</v>
      </c>
      <c r="S1551" s="160">
        <f>IF(B1551="",0,MIN(IF($N1551="Other Bond TM",ModelParameters!$N$21,1)*(P1551*Q1551+R1551),1))</f>
        <v>0.039243490815911384</v>
      </c>
      <c r="T1551" s="85">
        <f>IF(B1551="",0,$S1551*$K1551)</f>
        <v>0.52525675749093472</v>
      </c>
      <c r="U1551" s="85">
        <f>IF(B1551="",0,IF(OR(H1551=MappingTables!$C$34,H1551=MappingTables!$C$35),T1551,0))</f>
        <v>0</v>
      </c>
      <c r="V1551" s="85">
        <f>IF(ISNA(IF(AND(VLOOKUP(CONCATENATE($D1551,$G1551),CSRFinput!$B:$E,4,0)=0,OR(H1551=MappingTables!$C$34,H1551=MappingTables!$C$35)),1,VLOOKUP(CONCATENATE($D1551,$G1551),CSRFinput!$B:$E,4,0))),0,IF(AND(VLOOKUP(CONCATENATE($D1551,$G1551),CSRFinput!$B:$E,4,0)=0,OR(H1551=MappingTables!$C$34,H1551=MappingTables!$C$35)),1,VLOOKUP(CONCATENATE($D1551,$G1551),CSRFinput!$B:$E,4,0)))</f>
        <v>0.054776304963434752</v>
      </c>
      <c r="W1551" s="85">
        <f>IF(B1551="",0,+$T1551*$V1551)</f>
        <v>0.028771624332428332</v>
      </c>
      <c r="X1551" s="85">
        <f>IF(B1551="",0,IF(OR(H1551=MappingTables!$C$34,H1551=MappingTables!$C$35),W1551,0))</f>
        <v>0</v>
      </c>
    </row>
    <row r="1552" spans="2:24" s="0" customFormat="0" ht="15">
      <c r="B1552" s="69">
        <v>12749535</v>
      </c>
      <c r="C1552" s="70" t="s">
        <v>1792</v>
      </c>
      <c r="D1552" s="70" t="s">
        <v>1</v>
      </c>
      <c r="E1552" s="70" t="s">
        <v>1</v>
      </c>
      <c r="F1552" s="70"/>
      <c r="G1552" s="70" t="s">
        <v>61</v>
      </c>
      <c r="H1552" s="70" t="s">
        <v>178</v>
      </c>
      <c r="I1552" s="70" t="s">
        <v>188</v>
      </c>
      <c r="J1552" s="71">
        <f>IF(OR(I1552=0,I1552=""),"unrated",VLOOKUP(I1552,MappingTables!$B$19:$C$31,2,FALSE))</f>
        <v>2</v>
      </c>
      <c r="K1552" s="72">
        <v>5010.987915822588</v>
      </c>
      <c r="L1552" s="70">
        <v>0.79020809515011744</v>
      </c>
      <c r="M1552" s="71">
        <f>IF(L1552&lt;1,1,L1552)</f>
        <v>1</v>
      </c>
      <c r="N1552" s="70" t="s">
        <v>141</v>
      </c>
      <c r="O1552" s="71">
        <f>INDEX(DurClassMapping,MATCH(M1552,MappingTables!$D$4:$D$8,-1),1)</f>
        <v>1</v>
      </c>
      <c r="P1552" s="73">
        <f>IF(M1552=$A$1,1,$M1552-INDEX(MappingTables!$E$4:$E$8,MATCH(O1552,MappingTables!$B$4:$B$8,0)))</f>
        <v>1</v>
      </c>
      <c r="Q1552" s="71">
        <f>IF(B1552="",0,INDEX(ModelParameters!$D$6:$K$10,MATCH($O1552,ModelParameters!$B$6:$B$10,0),MATCH($J1552,ModelParameters!$D$5:$K$5,0)))</f>
        <v>0.013999999999999998</v>
      </c>
      <c r="R1552" s="71">
        <f>IF(B1552="",0,INDEX(ModelParameters!$D$13:$K$17,MATCH($O1552,ModelParameters!$B$13:$B$17,0),MATCH($J1552,ModelParameters!$D$5:$K$5,0)))</f>
        <v>0</v>
      </c>
      <c r="S1552" s="160">
        <f>IF(B1552="",0,MIN(IF($N1552="Other Bond TM",ModelParameters!$N$21,1)*(P1552*Q1552+R1552),1))</f>
        <v>0.013999999999999998</v>
      </c>
      <c r="T1552" s="85">
        <f>IF(B1552="",0,$S1552*$K1552)</f>
        <v>70.153830821516224</v>
      </c>
      <c r="U1552" s="85">
        <f>IF(B1552="",0,IF(OR(H1552=MappingTables!$C$34,H1552=MappingTables!$C$35),T1552,0))</f>
        <v>0</v>
      </c>
      <c r="V1552" s="85">
        <f>IF(ISNA(IF(AND(VLOOKUP(CONCATENATE($D1552,$G1552),CSRFinput!$B:$E,4,0)=0,OR(H1552=MappingTables!$C$34,H1552=MappingTables!$C$35)),1,VLOOKUP(CONCATENATE($D1552,$G1552),CSRFinput!$B:$E,4,0))),0,IF(AND(VLOOKUP(CONCATENATE($D1552,$G1552),CSRFinput!$B:$E,4,0)=0,OR(H1552=MappingTables!$C$34,H1552=MappingTables!$C$35)),1,VLOOKUP(CONCATENATE($D1552,$G1552),CSRFinput!$B:$E,4,0)))</f>
        <v>0.054776304963434752</v>
      </c>
      <c r="W1552" s="85">
        <f>IF(B1552="",0,+$T1552*$V1552)</f>
        <v>3.8427676314325808</v>
      </c>
      <c r="X1552" s="85">
        <f>IF(B1552="",0,IF(OR(H1552=MappingTables!$C$34,H1552=MappingTables!$C$35),W1552,0))</f>
        <v>0</v>
      </c>
    </row>
    <row r="1553" spans="2:24" s="0" customFormat="0" ht="15">
      <c r="B1553" s="69">
        <v>23936141</v>
      </c>
      <c r="C1553" s="70" t="s">
        <v>320</v>
      </c>
      <c r="D1553" s="70" t="s">
        <v>1</v>
      </c>
      <c r="E1553" s="70" t="s">
        <v>1</v>
      </c>
      <c r="F1553" s="70"/>
      <c r="G1553" s="70" t="s">
        <v>61</v>
      </c>
      <c r="H1553" s="70" t="s">
        <v>178</v>
      </c>
      <c r="I1553" s="70" t="s">
        <v>188</v>
      </c>
      <c r="J1553" s="71">
        <f>IF(OR(I1553=0,I1553=""),"unrated",VLOOKUP(I1553,MappingTables!$B$19:$C$31,2,FALSE))</f>
        <v>2</v>
      </c>
      <c r="K1553" s="72">
        <v>298.13064175862444</v>
      </c>
      <c r="L1553" s="70">
        <v>2.4562302384125</v>
      </c>
      <c r="M1553" s="71">
        <f>IF(L1553&lt;1,1,L1553)</f>
        <v>2.4562302384125</v>
      </c>
      <c r="N1553" s="70" t="s">
        <v>141</v>
      </c>
      <c r="O1553" s="71">
        <f>INDEX(DurClassMapping,MATCH(M1553,MappingTables!$D$4:$D$8,-1),1)</f>
        <v>1</v>
      </c>
      <c r="P1553" s="73">
        <f>IF(M1553=$A$1,1,$M1553-INDEX(MappingTables!$E$4:$E$8,MATCH(O1553,MappingTables!$B$4:$B$8,0)))</f>
        <v>2.4562302384125</v>
      </c>
      <c r="Q1553" s="71">
        <f>IF(B1553="",0,INDEX(ModelParameters!$D$6:$K$10,MATCH($O1553,ModelParameters!$B$6:$B$10,0),MATCH($J1553,ModelParameters!$D$5:$K$5,0)))</f>
        <v>0.013999999999999998</v>
      </c>
      <c r="R1553" s="71">
        <f>IF(B1553="",0,INDEX(ModelParameters!$D$13:$K$17,MATCH($O1553,ModelParameters!$B$13:$B$17,0),MATCH($J1553,ModelParameters!$D$5:$K$5,0)))</f>
        <v>0</v>
      </c>
      <c r="S1553" s="160">
        <f>IF(B1553="",0,MIN(IF($N1553="Other Bond TM",ModelParameters!$N$21,1)*(P1553*Q1553+R1553),1))</f>
        <v>0.034387223337774996</v>
      </c>
      <c r="T1553" s="85">
        <f>IF(B1553="",0,$S1553*$K1553)</f>
        <v>10.251884961988008</v>
      </c>
      <c r="U1553" s="85">
        <f>IF(B1553="",0,IF(OR(H1553=MappingTables!$C$34,H1553=MappingTables!$C$35),T1553,0))</f>
        <v>0</v>
      </c>
      <c r="V1553" s="85">
        <f>IF(ISNA(IF(AND(VLOOKUP(CONCATENATE($D1553,$G1553),CSRFinput!$B:$E,4,0)=0,OR(H1553=MappingTables!$C$34,H1553=MappingTables!$C$35)),1,VLOOKUP(CONCATENATE($D1553,$G1553),CSRFinput!$B:$E,4,0))),0,IF(AND(VLOOKUP(CONCATENATE($D1553,$G1553),CSRFinput!$B:$E,4,0)=0,OR(H1553=MappingTables!$C$34,H1553=MappingTables!$C$35)),1,VLOOKUP(CONCATENATE($D1553,$G1553),CSRFinput!$B:$E,4,0)))</f>
        <v>0.054776304963434752</v>
      </c>
      <c r="W1553" s="85">
        <f>IF(B1553="",0,+$T1553*$V1553)</f>
        <v>0.56156037712790584</v>
      </c>
      <c r="X1553" s="85">
        <f>IF(B1553="",0,IF(OR(H1553=MappingTables!$C$34,H1553=MappingTables!$C$35),W1553,0))</f>
        <v>0</v>
      </c>
    </row>
    <row r="1554" spans="2:24" s="0" customFormat="0" ht="15">
      <c r="B1554" s="69">
        <v>11262381</v>
      </c>
      <c r="C1554" s="70" t="s">
        <v>1793</v>
      </c>
      <c r="D1554" s="70" t="s">
        <v>1</v>
      </c>
      <c r="E1554" s="70" t="s">
        <v>1</v>
      </c>
      <c r="F1554" s="70"/>
      <c r="G1554" s="70" t="s">
        <v>61</v>
      </c>
      <c r="H1554" s="70" t="s">
        <v>178</v>
      </c>
      <c r="I1554" s="70" t="s">
        <v>179</v>
      </c>
      <c r="J1554" s="71">
        <f>IF(OR(I1554=0,I1554=""),"unrated",VLOOKUP(I1554,MappingTables!$B$19:$C$31,2,FALSE))</f>
        <v>4</v>
      </c>
      <c r="K1554" s="72">
        <v>9509.8083030054656</v>
      </c>
      <c r="L1554" s="70">
        <v>12.961691473533644</v>
      </c>
      <c r="M1554" s="71">
        <f>IF(L1554&lt;1,1,L1554)</f>
        <v>12.961691473533644</v>
      </c>
      <c r="N1554" s="70" t="s">
        <v>141</v>
      </c>
      <c r="O1554" s="71">
        <f>INDEX(DurClassMapping,MATCH(M1554,MappingTables!$D$4:$D$8,-1),1)</f>
        <v>3</v>
      </c>
      <c r="P1554" s="73">
        <f>IF(M1554=$A$1,1,$M1554-INDEX(MappingTables!$E$4:$E$8,MATCH(O1554,MappingTables!$B$4:$B$8,0)))</f>
        <v>2.9616914735336444</v>
      </c>
      <c r="Q1554" s="71">
        <f>IF(B1554="",0,INDEX(ModelParameters!$D$6:$K$10,MATCH($O1554,ModelParameters!$B$6:$B$10,0),MATCH($J1554,ModelParameters!$D$5:$K$5,0)))</f>
        <v>0.018000000000000002</v>
      </c>
      <c r="R1554" s="71">
        <f>IF(B1554="",0,INDEX(ModelParameters!$D$13:$K$17,MATCH($O1554,ModelParameters!$B$13:$B$17,0),MATCH($J1554,ModelParameters!$D$5:$K$5,0)))</f>
        <v>0.34999999999999996</v>
      </c>
      <c r="S1554" s="160">
        <f>IF(B1554="",0,MIN(IF($N1554="Other Bond TM",ModelParameters!$N$21,1)*(P1554*Q1554+R1554),1))</f>
        <v>0.4033104465236056</v>
      </c>
      <c r="T1554" s="85">
        <f>IF(B1554="",0,$S1554*$K1554)</f>
        <v>3835.4050330390264</v>
      </c>
      <c r="U1554" s="85">
        <f>IF(B1554="",0,IF(OR(H1554=MappingTables!$C$34,H1554=MappingTables!$C$35),T1554,0))</f>
        <v>0</v>
      </c>
      <c r="V1554" s="85">
        <f>IF(ISNA(IF(AND(VLOOKUP(CONCATENATE($D1554,$G1554),CSRFinput!$B:$E,4,0)=0,OR(H1554=MappingTables!$C$34,H1554=MappingTables!$C$35)),1,VLOOKUP(CONCATENATE($D1554,$G1554),CSRFinput!$B:$E,4,0))),0,IF(AND(VLOOKUP(CONCATENATE($D1554,$G1554),CSRFinput!$B:$E,4,0)=0,OR(H1554=MappingTables!$C$34,H1554=MappingTables!$C$35)),1,VLOOKUP(CONCATENATE($D1554,$G1554),CSRFinput!$B:$E,4,0)))</f>
        <v>0.054776304963434752</v>
      </c>
      <c r="W1554" s="85">
        <f>IF(B1554="",0,+$T1554*$V1554)</f>
        <v>210.08931574803824</v>
      </c>
      <c r="X1554" s="85">
        <f>IF(B1554="",0,IF(OR(H1554=MappingTables!$C$34,H1554=MappingTables!$C$35),W1554,0))</f>
        <v>0</v>
      </c>
    </row>
    <row r="1555" spans="2:24" s="0" customFormat="0" ht="15">
      <c r="B1555" s="69">
        <v>24423125</v>
      </c>
      <c r="C1555" s="70" t="s">
        <v>1523</v>
      </c>
      <c r="D1555" s="70" t="s">
        <v>1</v>
      </c>
      <c r="E1555" s="70" t="s">
        <v>1</v>
      </c>
      <c r="F1555" s="70"/>
      <c r="G1555" s="70" t="s">
        <v>61</v>
      </c>
      <c r="H1555" s="70" t="s">
        <v>178</v>
      </c>
      <c r="I1555" s="70" t="s">
        <v>181</v>
      </c>
      <c r="J1555" s="71">
        <f>IF(OR(I1555=0,I1555=""),"unrated",VLOOKUP(I1555,MappingTables!$B$19:$C$31,2,FALSE))</f>
        <v>3</v>
      </c>
      <c r="K1555" s="72">
        <v>34773.452042274568</v>
      </c>
      <c r="L1555" s="70">
        <v>4.0100401598949784</v>
      </c>
      <c r="M1555" s="71">
        <f>IF(L1555&lt;1,1,L1555)</f>
        <v>4.0100401598949784</v>
      </c>
      <c r="N1555" s="70" t="s">
        <v>141</v>
      </c>
      <c r="O1555" s="71">
        <f>INDEX(DurClassMapping,MATCH(M1555,MappingTables!$D$4:$D$8,-1),1)</f>
        <v>1</v>
      </c>
      <c r="P1555" s="73">
        <f>IF(M1555=$A$1,1,$M1555-INDEX(MappingTables!$E$4:$E$8,MATCH(O1555,MappingTables!$B$4:$B$8,0)))</f>
        <v>4.0100401598949784</v>
      </c>
      <c r="Q1555" s="71">
        <f>IF(B1555="",0,INDEX(ModelParameters!$D$6:$K$10,MATCH($O1555,ModelParameters!$B$6:$B$10,0),MATCH($J1555,ModelParameters!$D$5:$K$5,0)))</f>
        <v>0.025</v>
      </c>
      <c r="R1555" s="71">
        <f>IF(B1555="",0,INDEX(ModelParameters!$D$13:$K$17,MATCH($O1555,ModelParameters!$B$13:$B$17,0),MATCH($J1555,ModelParameters!$D$5:$K$5,0)))</f>
        <v>0</v>
      </c>
      <c r="S1555" s="160">
        <f>IF(B1555="",0,MIN(IF($N1555="Other Bond TM",ModelParameters!$N$21,1)*(P1555*Q1555+R1555),1))</f>
        <v>0.10025100399737446</v>
      </c>
      <c r="T1555" s="85">
        <f>IF(B1555="",0,$S1555*$K1555)</f>
        <v>3486.0734796925772</v>
      </c>
      <c r="U1555" s="85">
        <f>IF(B1555="",0,IF(OR(H1555=MappingTables!$C$34,H1555=MappingTables!$C$35),T1555,0))</f>
        <v>0</v>
      </c>
      <c r="V1555" s="85">
        <f>IF(ISNA(IF(AND(VLOOKUP(CONCATENATE($D1555,$G1555),CSRFinput!$B:$E,4,0)=0,OR(H1555=MappingTables!$C$34,H1555=MappingTables!$C$35)),1,VLOOKUP(CONCATENATE($D1555,$G1555),CSRFinput!$B:$E,4,0))),0,IF(AND(VLOOKUP(CONCATENATE($D1555,$G1555),CSRFinput!$B:$E,4,0)=0,OR(H1555=MappingTables!$C$34,H1555=MappingTables!$C$35)),1,VLOOKUP(CONCATENATE($D1555,$G1555),CSRFinput!$B:$E,4,0)))</f>
        <v>0.054776304963434752</v>
      </c>
      <c r="W1555" s="85">
        <f>IF(B1555="",0,+$T1555*$V1555)</f>
        <v>190.95422404858276</v>
      </c>
      <c r="X1555" s="85">
        <f>IF(B1555="",0,IF(OR(H1555=MappingTables!$C$34,H1555=MappingTables!$C$35),W1555,0))</f>
        <v>0</v>
      </c>
    </row>
    <row r="1556" spans="2:24" s="0" customFormat="0" ht="15">
      <c r="B1556" s="69" t="s">
        <v>578</v>
      </c>
      <c r="C1556" s="70" t="s">
        <v>579</v>
      </c>
      <c r="D1556" s="70" t="s">
        <v>1</v>
      </c>
      <c r="E1556" s="70" t="s">
        <v>1</v>
      </c>
      <c r="F1556" s="70"/>
      <c r="G1556" s="70" t="s">
        <v>61</v>
      </c>
      <c r="H1556" s="70" t="s">
        <v>178</v>
      </c>
      <c r="I1556" s="70" t="s">
        <v>198</v>
      </c>
      <c r="J1556" s="71" t="str">
        <f>IF(OR(I1556=0,I1556=""),"unrated",VLOOKUP(I1556,MappingTables!$B$19:$C$31,2,FALSE))</f>
        <v>unrated</v>
      </c>
      <c r="K1556" s="72">
        <v>0.41980514489984136</v>
      </c>
      <c r="L1556" s="70">
        <v>0.39726011199197</v>
      </c>
      <c r="M1556" s="71">
        <f>IF(L1556&lt;1,1,L1556)</f>
        <v>1</v>
      </c>
      <c r="N1556" s="70" t="s">
        <v>141</v>
      </c>
      <c r="O1556" s="71">
        <f>INDEX(DurClassMapping,MATCH(M1556,MappingTables!$D$4:$D$8,-1),1)</f>
        <v>1</v>
      </c>
      <c r="P1556" s="73">
        <f>IF(M1556=$A$1,1,$M1556-INDEX(MappingTables!$E$4:$E$8,MATCH(O1556,MappingTables!$B$4:$B$8,0)))</f>
        <v>1</v>
      </c>
      <c r="Q1556" s="71">
        <f>IF(B1556="",0,INDEX(ModelParameters!$D$6:$K$10,MATCH($O1556,ModelParameters!$B$6:$B$10,0),MATCH($J1556,ModelParameters!$D$5:$K$5,0)))</f>
        <v>0.03</v>
      </c>
      <c r="R1556" s="71">
        <f>IF(B1556="",0,INDEX(ModelParameters!$D$13:$K$17,MATCH($O1556,ModelParameters!$B$13:$B$17,0),MATCH($J1556,ModelParameters!$D$5:$K$5,0)))</f>
        <v>0</v>
      </c>
      <c r="S1556" s="160">
        <f>IF(B1556="",0,MIN(IF($N1556="Other Bond TM",ModelParameters!$N$21,1)*(P1556*Q1556+R1556),1))</f>
        <v>0.03</v>
      </c>
      <c r="T1556" s="85">
        <f>IF(B1556="",0,$S1556*$K1556)</f>
        <v>0.01259415434699524</v>
      </c>
      <c r="U1556" s="85">
        <f>IF(B1556="",0,IF(OR(H1556=MappingTables!$C$34,H1556=MappingTables!$C$35),T1556,0))</f>
        <v>0</v>
      </c>
      <c r="V1556" s="85">
        <f>IF(ISNA(IF(AND(VLOOKUP(CONCATENATE($D1556,$G1556),CSRFinput!$B:$E,4,0)=0,OR(H1556=MappingTables!$C$34,H1556=MappingTables!$C$35)),1,VLOOKUP(CONCATENATE($D1556,$G1556),CSRFinput!$B:$E,4,0))),0,IF(AND(VLOOKUP(CONCATENATE($D1556,$G1556),CSRFinput!$B:$E,4,0)=0,OR(H1556=MappingTables!$C$34,H1556=MappingTables!$C$35)),1,VLOOKUP(CONCATENATE($D1556,$G1556),CSRFinput!$B:$E,4,0)))</f>
        <v>0.054776304963434752</v>
      </c>
      <c r="W1556" s="85">
        <f>IF(B1556="",0,+$T1556*$V1556)</f>
        <v>0.00068986123926757864</v>
      </c>
      <c r="X1556" s="85">
        <f>IF(B1556="",0,IF(OR(H1556=MappingTables!$C$34,H1556=MappingTables!$C$35),W1556,0))</f>
        <v>0</v>
      </c>
    </row>
    <row r="1557" spans="2:24" s="0" customFormat="0" ht="15">
      <c r="B1557" s="69">
        <v>20996856</v>
      </c>
      <c r="C1557" s="70" t="s">
        <v>1794</v>
      </c>
      <c r="D1557" s="70" t="s">
        <v>1</v>
      </c>
      <c r="E1557" s="70" t="s">
        <v>1</v>
      </c>
      <c r="F1557" s="70"/>
      <c r="G1557" s="70" t="s">
        <v>61</v>
      </c>
      <c r="H1557" s="70" t="s">
        <v>178</v>
      </c>
      <c r="I1557" s="70" t="s">
        <v>181</v>
      </c>
      <c r="J1557" s="71">
        <f>IF(OR(I1557=0,I1557=""),"unrated",VLOOKUP(I1557,MappingTables!$B$19:$C$31,2,FALSE))</f>
        <v>3</v>
      </c>
      <c r="K1557" s="72">
        <v>9768.1992300305744</v>
      </c>
      <c r="L1557" s="70">
        <v>0.74521192626811904</v>
      </c>
      <c r="M1557" s="71">
        <f>IF(L1557&lt;1,1,L1557)</f>
        <v>1</v>
      </c>
      <c r="N1557" s="70" t="s">
        <v>141</v>
      </c>
      <c r="O1557" s="71">
        <f>INDEX(DurClassMapping,MATCH(M1557,MappingTables!$D$4:$D$8,-1),1)</f>
        <v>1</v>
      </c>
      <c r="P1557" s="73">
        <f>IF(M1557=$A$1,1,$M1557-INDEX(MappingTables!$E$4:$E$8,MATCH(O1557,MappingTables!$B$4:$B$8,0)))</f>
        <v>1</v>
      </c>
      <c r="Q1557" s="71">
        <f>IF(B1557="",0,INDEX(ModelParameters!$D$6:$K$10,MATCH($O1557,ModelParameters!$B$6:$B$10,0),MATCH($J1557,ModelParameters!$D$5:$K$5,0)))</f>
        <v>0.025</v>
      </c>
      <c r="R1557" s="71">
        <f>IF(B1557="",0,INDEX(ModelParameters!$D$13:$K$17,MATCH($O1557,ModelParameters!$B$13:$B$17,0),MATCH($J1557,ModelParameters!$D$5:$K$5,0)))</f>
        <v>0</v>
      </c>
      <c r="S1557" s="160">
        <f>IF(B1557="",0,MIN(IF($N1557="Other Bond TM",ModelParameters!$N$21,1)*(P1557*Q1557+R1557),1))</f>
        <v>0.025</v>
      </c>
      <c r="T1557" s="85">
        <f>IF(B1557="",0,$S1557*$K1557)</f>
        <v>244.20498075076436</v>
      </c>
      <c r="U1557" s="85">
        <f>IF(B1557="",0,IF(OR(H1557=MappingTables!$C$34,H1557=MappingTables!$C$35),T1557,0))</f>
        <v>0</v>
      </c>
      <c r="V1557" s="85">
        <f>IF(ISNA(IF(AND(VLOOKUP(CONCATENATE($D1557,$G1557),CSRFinput!$B:$E,4,0)=0,OR(H1557=MappingTables!$C$34,H1557=MappingTables!$C$35)),1,VLOOKUP(CONCATENATE($D1557,$G1557),CSRFinput!$B:$E,4,0))),0,IF(AND(VLOOKUP(CONCATENATE($D1557,$G1557),CSRFinput!$B:$E,4,0)=0,OR(H1557=MappingTables!$C$34,H1557=MappingTables!$C$35)),1,VLOOKUP(CONCATENATE($D1557,$G1557),CSRFinput!$B:$E,4,0)))</f>
        <v>0.054776304963434752</v>
      </c>
      <c r="W1557" s="85">
        <f>IF(B1557="",0,+$T1557*$V1557)</f>
        <v>13.376646499193582</v>
      </c>
      <c r="X1557" s="85">
        <f>IF(B1557="",0,IF(OR(H1557=MappingTables!$C$34,H1557=MappingTables!$C$35),W1557,0))</f>
        <v>0</v>
      </c>
    </row>
    <row r="1558" spans="2:24" s="0" customFormat="0" ht="15">
      <c r="B1558" s="69">
        <v>23146109</v>
      </c>
      <c r="C1558" s="70" t="s">
        <v>1795</v>
      </c>
      <c r="D1558" s="70" t="s">
        <v>1</v>
      </c>
      <c r="E1558" s="70" t="s">
        <v>1</v>
      </c>
      <c r="F1558" s="70"/>
      <c r="G1558" s="70" t="s">
        <v>61</v>
      </c>
      <c r="H1558" s="70" t="s">
        <v>178</v>
      </c>
      <c r="I1558" s="70" t="s">
        <v>220</v>
      </c>
      <c r="J1558" s="71">
        <f>IF(OR(I1558=0,I1558=""),"unrated",VLOOKUP(I1558,MappingTables!$B$19:$C$31,2,FALSE))</f>
        <v>1</v>
      </c>
      <c r="K1558" s="72">
        <v>6890.5152483071712</v>
      </c>
      <c r="L1558" s="70">
        <v>0.13150695459629366</v>
      </c>
      <c r="M1558" s="71">
        <f>IF(L1558&lt;1,1,L1558)</f>
        <v>1</v>
      </c>
      <c r="N1558" s="70" t="s">
        <v>141</v>
      </c>
      <c r="O1558" s="71">
        <f>INDEX(DurClassMapping,MATCH(M1558,MappingTables!$D$4:$D$8,-1),1)</f>
        <v>1</v>
      </c>
      <c r="P1558" s="73">
        <f>IF(M1558=$A$1,1,$M1558-INDEX(MappingTables!$E$4:$E$8,MATCH(O1558,MappingTables!$B$4:$B$8,0)))</f>
        <v>1</v>
      </c>
      <c r="Q1558" s="71">
        <f>IF(B1558="",0,INDEX(ModelParameters!$D$6:$K$10,MATCH($O1558,ModelParameters!$B$6:$B$10,0),MATCH($J1558,ModelParameters!$D$5:$K$5,0)))</f>
        <v>0.011000000000000002</v>
      </c>
      <c r="R1558" s="71">
        <f>IF(B1558="",0,INDEX(ModelParameters!$D$13:$K$17,MATCH($O1558,ModelParameters!$B$13:$B$17,0),MATCH($J1558,ModelParameters!$D$5:$K$5,0)))</f>
        <v>0</v>
      </c>
      <c r="S1558" s="160">
        <f>IF(B1558="",0,MIN(IF($N1558="Other Bond TM",ModelParameters!$N$21,1)*(P1558*Q1558+R1558),1))</f>
        <v>0.011000000000000002</v>
      </c>
      <c r="T1558" s="85">
        <f>IF(B1558="",0,$S1558*$K1558)</f>
        <v>75.795667731378896</v>
      </c>
      <c r="U1558" s="85">
        <f>IF(B1558="",0,IF(OR(H1558=MappingTables!$C$34,H1558=MappingTables!$C$35),T1558,0))</f>
        <v>0</v>
      </c>
      <c r="V1558" s="85">
        <f>IF(ISNA(IF(AND(VLOOKUP(CONCATENATE($D1558,$G1558),CSRFinput!$B:$E,4,0)=0,OR(H1558=MappingTables!$C$34,H1558=MappingTables!$C$35)),1,VLOOKUP(CONCATENATE($D1558,$G1558),CSRFinput!$B:$E,4,0))),0,IF(AND(VLOOKUP(CONCATENATE($D1558,$G1558),CSRFinput!$B:$E,4,0)=0,OR(H1558=MappingTables!$C$34,H1558=MappingTables!$C$35)),1,VLOOKUP(CONCATENATE($D1558,$G1558),CSRFinput!$B:$E,4,0)))</f>
        <v>0.054776304963434752</v>
      </c>
      <c r="W1558" s="85">
        <f>IF(B1558="",0,+$T1558*$V1558)</f>
        <v>4.1518066105611816</v>
      </c>
      <c r="X1558" s="85">
        <f>IF(B1558="",0,IF(OR(H1558=MappingTables!$C$34,H1558=MappingTables!$C$35),W1558,0))</f>
        <v>0</v>
      </c>
    </row>
    <row r="1559" spans="2:24" s="0" customFormat="0" ht="15">
      <c r="B1559" s="69">
        <v>19614467</v>
      </c>
      <c r="C1559" s="70" t="s">
        <v>1796</v>
      </c>
      <c r="D1559" s="70" t="s">
        <v>1</v>
      </c>
      <c r="E1559" s="70" t="s">
        <v>1</v>
      </c>
      <c r="F1559" s="70"/>
      <c r="G1559" s="70" t="s">
        <v>61</v>
      </c>
      <c r="H1559" s="70" t="s">
        <v>178</v>
      </c>
      <c r="I1559" s="70" t="s">
        <v>204</v>
      </c>
      <c r="J1559" s="71">
        <f>IF(OR(I1559=0,I1559=""),"unrated",VLOOKUP(I1559,MappingTables!$B$19:$C$31,2,FALSE))</f>
        <v>6</v>
      </c>
      <c r="K1559" s="72">
        <v>19329.972958332132</v>
      </c>
      <c r="L1559" s="70">
        <v>2.8137870492617188</v>
      </c>
      <c r="M1559" s="71">
        <f>IF(L1559&lt;1,1,L1559)</f>
        <v>2.8137870492617188</v>
      </c>
      <c r="N1559" s="70" t="s">
        <v>141</v>
      </c>
      <c r="O1559" s="71">
        <f>INDEX(DurClassMapping,MATCH(M1559,MappingTables!$D$4:$D$8,-1),1)</f>
        <v>1</v>
      </c>
      <c r="P1559" s="73">
        <f>IF(M1559=$A$1,1,$M1559-INDEX(MappingTables!$E$4:$E$8,MATCH(O1559,MappingTables!$B$4:$B$8,0)))</f>
        <v>2.8137870492617188</v>
      </c>
      <c r="Q1559" s="71">
        <f>IF(B1559="",0,INDEX(ModelParameters!$D$6:$K$10,MATCH($O1559,ModelParameters!$B$6:$B$10,0),MATCH($J1559,ModelParameters!$D$5:$K$5,0)))</f>
        <v>0.075</v>
      </c>
      <c r="R1559" s="71">
        <f>IF(B1559="",0,INDEX(ModelParameters!$D$13:$K$17,MATCH($O1559,ModelParameters!$B$13:$B$17,0),MATCH($J1559,ModelParameters!$D$5:$K$5,0)))</f>
        <v>0</v>
      </c>
      <c r="S1559" s="160">
        <f>IF(B1559="",0,MIN(IF($N1559="Other Bond TM",ModelParameters!$N$21,1)*(P1559*Q1559+R1559),1))</f>
        <v>0.21103402869462888</v>
      </c>
      <c r="T1559" s="85">
        <f>IF(B1559="",0,$S1559*$K1559)</f>
        <v>4079.282067955064</v>
      </c>
      <c r="U1559" s="85">
        <f>IF(B1559="",0,IF(OR(H1559=MappingTables!$C$34,H1559=MappingTables!$C$35),T1559,0))</f>
        <v>0</v>
      </c>
      <c r="V1559" s="85">
        <f>IF(ISNA(IF(AND(VLOOKUP(CONCATENATE($D1559,$G1559),CSRFinput!$B:$E,4,0)=0,OR(H1559=MappingTables!$C$34,H1559=MappingTables!$C$35)),1,VLOOKUP(CONCATENATE($D1559,$G1559),CSRFinput!$B:$E,4,0))),0,IF(AND(VLOOKUP(CONCATENATE($D1559,$G1559),CSRFinput!$B:$E,4,0)=0,OR(H1559=MappingTables!$C$34,H1559=MappingTables!$C$35)),1,VLOOKUP(CONCATENATE($D1559,$G1559),CSRFinput!$B:$E,4,0)))</f>
        <v>0.054776304963434752</v>
      </c>
      <c r="W1559" s="85">
        <f>IF(B1559="",0,+$T1559*$V1559)</f>
        <v>223.44799858617732</v>
      </c>
      <c r="X1559" s="85">
        <f>IF(B1559="",0,IF(OR(H1559=MappingTables!$C$34,H1559=MappingTables!$C$35),W1559,0))</f>
        <v>0</v>
      </c>
    </row>
    <row r="1560" spans="2:24" s="0" customFormat="0" ht="15">
      <c r="B1560" s="69">
        <v>16682604</v>
      </c>
      <c r="C1560" s="70" t="s">
        <v>1797</v>
      </c>
      <c r="D1560" s="70" t="s">
        <v>1</v>
      </c>
      <c r="E1560" s="70" t="s">
        <v>1</v>
      </c>
      <c r="F1560" s="70"/>
      <c r="G1560" s="70" t="s">
        <v>61</v>
      </c>
      <c r="H1560" s="70" t="s">
        <v>178</v>
      </c>
      <c r="I1560" s="70" t="s">
        <v>181</v>
      </c>
      <c r="J1560" s="71">
        <f>IF(OR(I1560=0,I1560=""),"unrated",VLOOKUP(I1560,MappingTables!$B$19:$C$31,2,FALSE))</f>
        <v>3</v>
      </c>
      <c r="K1560" s="72">
        <v>582.36770227837584</v>
      </c>
      <c r="L1560" s="70">
        <v>0.37534672099947176</v>
      </c>
      <c r="M1560" s="71">
        <f>IF(L1560&lt;1,1,L1560)</f>
        <v>1</v>
      </c>
      <c r="N1560" s="70" t="s">
        <v>141</v>
      </c>
      <c r="O1560" s="71">
        <f>INDEX(DurClassMapping,MATCH(M1560,MappingTables!$D$4:$D$8,-1),1)</f>
        <v>1</v>
      </c>
      <c r="P1560" s="73">
        <f>IF(M1560=$A$1,1,$M1560-INDEX(MappingTables!$E$4:$E$8,MATCH(O1560,MappingTables!$B$4:$B$8,0)))</f>
        <v>1</v>
      </c>
      <c r="Q1560" s="71">
        <f>IF(B1560="",0,INDEX(ModelParameters!$D$6:$K$10,MATCH($O1560,ModelParameters!$B$6:$B$10,0),MATCH($J1560,ModelParameters!$D$5:$K$5,0)))</f>
        <v>0.025</v>
      </c>
      <c r="R1560" s="71">
        <f>IF(B1560="",0,INDEX(ModelParameters!$D$13:$K$17,MATCH($O1560,ModelParameters!$B$13:$B$17,0),MATCH($J1560,ModelParameters!$D$5:$K$5,0)))</f>
        <v>0</v>
      </c>
      <c r="S1560" s="160">
        <f>IF(B1560="",0,MIN(IF($N1560="Other Bond TM",ModelParameters!$N$21,1)*(P1560*Q1560+R1560),1))</f>
        <v>0.025</v>
      </c>
      <c r="T1560" s="85">
        <f>IF(B1560="",0,$S1560*$K1560)</f>
        <v>14.559192556959398</v>
      </c>
      <c r="U1560" s="85">
        <f>IF(B1560="",0,IF(OR(H1560=MappingTables!$C$34,H1560=MappingTables!$C$35),T1560,0))</f>
        <v>0</v>
      </c>
      <c r="V1560" s="85">
        <f>IF(ISNA(IF(AND(VLOOKUP(CONCATENATE($D1560,$G1560),CSRFinput!$B:$E,4,0)=0,OR(H1560=MappingTables!$C$34,H1560=MappingTables!$C$35)),1,VLOOKUP(CONCATENATE($D1560,$G1560),CSRFinput!$B:$E,4,0))),0,IF(AND(VLOOKUP(CONCATENATE($D1560,$G1560),CSRFinput!$B:$E,4,0)=0,OR(H1560=MappingTables!$C$34,H1560=MappingTables!$C$35)),1,VLOOKUP(CONCATENATE($D1560,$G1560),CSRFinput!$B:$E,4,0)))</f>
        <v>0.054776304963434752</v>
      </c>
      <c r="W1560" s="85">
        <f>IF(B1560="",0,+$T1560*$V1560)</f>
        <v>0.79749877152137744</v>
      </c>
      <c r="X1560" s="85">
        <f>IF(B1560="",0,IF(OR(H1560=MappingTables!$C$34,H1560=MappingTables!$C$35),W1560,0))</f>
        <v>0</v>
      </c>
    </row>
    <row r="1561" spans="2:24" s="0" customFormat="0" ht="15">
      <c r="B1561" s="69">
        <v>8513859</v>
      </c>
      <c r="C1561" s="70" t="s">
        <v>1798</v>
      </c>
      <c r="D1561" s="70" t="s">
        <v>1</v>
      </c>
      <c r="E1561" s="70" t="s">
        <v>1</v>
      </c>
      <c r="F1561" s="70"/>
      <c r="G1561" s="70" t="s">
        <v>61</v>
      </c>
      <c r="H1561" s="70" t="s">
        <v>178</v>
      </c>
      <c r="I1561" s="70" t="s">
        <v>179</v>
      </c>
      <c r="J1561" s="71">
        <f>IF(OR(I1561=0,I1561=""),"unrated",VLOOKUP(I1561,MappingTables!$B$19:$C$31,2,FALSE))</f>
        <v>4</v>
      </c>
      <c r="K1561" s="72">
        <v>10035.297129675164</v>
      </c>
      <c r="L1561" s="70">
        <v>1.2395602242795876</v>
      </c>
      <c r="M1561" s="71">
        <f>IF(L1561&lt;1,1,L1561)</f>
        <v>1.2395602242795876</v>
      </c>
      <c r="N1561" s="70" t="s">
        <v>141</v>
      </c>
      <c r="O1561" s="71">
        <f>INDEX(DurClassMapping,MATCH(M1561,MappingTables!$D$4:$D$8,-1),1)</f>
        <v>1</v>
      </c>
      <c r="P1561" s="73">
        <f>IF(M1561=$A$1,1,$M1561-INDEX(MappingTables!$E$4:$E$8,MATCH(O1561,MappingTables!$B$4:$B$8,0)))</f>
        <v>1.2395602242795876</v>
      </c>
      <c r="Q1561" s="71">
        <f>IF(B1561="",0,INDEX(ModelParameters!$D$6:$K$10,MATCH($O1561,ModelParameters!$B$6:$B$10,0),MATCH($J1561,ModelParameters!$D$5:$K$5,0)))</f>
        <v>0.045</v>
      </c>
      <c r="R1561" s="71">
        <f>IF(B1561="",0,INDEX(ModelParameters!$D$13:$K$17,MATCH($O1561,ModelParameters!$B$13:$B$17,0),MATCH($J1561,ModelParameters!$D$5:$K$5,0)))</f>
        <v>0</v>
      </c>
      <c r="S1561" s="160">
        <f>IF(B1561="",0,MIN(IF($N1561="Other Bond TM",ModelParameters!$N$21,1)*(P1561*Q1561+R1561),1))</f>
        <v>0.05578021009258144</v>
      </c>
      <c r="T1561" s="85">
        <f>IF(B1561="",0,$S1561*$K1561)</f>
        <v>559.77098223476016</v>
      </c>
      <c r="U1561" s="85">
        <f>IF(B1561="",0,IF(OR(H1561=MappingTables!$C$34,H1561=MappingTables!$C$35),T1561,0))</f>
        <v>0</v>
      </c>
      <c r="V1561" s="85">
        <f>IF(ISNA(IF(AND(VLOOKUP(CONCATENATE($D1561,$G1561),CSRFinput!$B:$E,4,0)=0,OR(H1561=MappingTables!$C$34,H1561=MappingTables!$C$35)),1,VLOOKUP(CONCATENATE($D1561,$G1561),CSRFinput!$B:$E,4,0))),0,IF(AND(VLOOKUP(CONCATENATE($D1561,$G1561),CSRFinput!$B:$E,4,0)=0,OR(H1561=MappingTables!$C$34,H1561=MappingTables!$C$35)),1,VLOOKUP(CONCATENATE($D1561,$G1561),CSRFinput!$B:$E,4,0)))</f>
        <v>0.054776304963434752</v>
      </c>
      <c r="W1561" s="85">
        <f>IF(B1561="",0,+$T1561*$V1561)</f>
        <v>30.66218603257264</v>
      </c>
      <c r="X1561" s="85">
        <f>IF(B1561="",0,IF(OR(H1561=MappingTables!$C$34,H1561=MappingTables!$C$35),W1561,0))</f>
        <v>0</v>
      </c>
    </row>
    <row r="1562" spans="2:24" s="0" customFormat="0" ht="15">
      <c r="B1562" s="69">
        <v>19906434</v>
      </c>
      <c r="C1562" s="70" t="s">
        <v>1799</v>
      </c>
      <c r="D1562" s="70" t="s">
        <v>1</v>
      </c>
      <c r="E1562" s="70" t="s">
        <v>1</v>
      </c>
      <c r="F1562" s="70"/>
      <c r="G1562" s="70" t="s">
        <v>61</v>
      </c>
      <c r="H1562" s="70" t="s">
        <v>178</v>
      </c>
      <c r="I1562" s="70" t="s">
        <v>181</v>
      </c>
      <c r="J1562" s="71">
        <f>IF(OR(I1562=0,I1562=""),"unrated",VLOOKUP(I1562,MappingTables!$B$19:$C$31,2,FALSE))</f>
        <v>3</v>
      </c>
      <c r="K1562" s="72">
        <v>106.84724397782022</v>
      </c>
      <c r="L1562" s="70">
        <v>1.3470033576699504</v>
      </c>
      <c r="M1562" s="71">
        <f>IF(L1562&lt;1,1,L1562)</f>
        <v>1.3470033576699504</v>
      </c>
      <c r="N1562" s="70" t="s">
        <v>141</v>
      </c>
      <c r="O1562" s="71">
        <f>INDEX(DurClassMapping,MATCH(M1562,MappingTables!$D$4:$D$8,-1),1)</f>
        <v>1</v>
      </c>
      <c r="P1562" s="73">
        <f>IF(M1562=$A$1,1,$M1562-INDEX(MappingTables!$E$4:$E$8,MATCH(O1562,MappingTables!$B$4:$B$8,0)))</f>
        <v>1.3470033576699504</v>
      </c>
      <c r="Q1562" s="71">
        <f>IF(B1562="",0,INDEX(ModelParameters!$D$6:$K$10,MATCH($O1562,ModelParameters!$B$6:$B$10,0),MATCH($J1562,ModelParameters!$D$5:$K$5,0)))</f>
        <v>0.025</v>
      </c>
      <c r="R1562" s="71">
        <f>IF(B1562="",0,INDEX(ModelParameters!$D$13:$K$17,MATCH($O1562,ModelParameters!$B$13:$B$17,0),MATCH($J1562,ModelParameters!$D$5:$K$5,0)))</f>
        <v>0</v>
      </c>
      <c r="S1562" s="160">
        <f>IF(B1562="",0,MIN(IF($N1562="Other Bond TM",ModelParameters!$N$21,1)*(P1562*Q1562+R1562),1))</f>
        <v>0.033675083941748764</v>
      </c>
      <c r="T1562" s="85">
        <f>IF(B1562="",0,$S1562*$K1562)</f>
        <v>3.598089909897606</v>
      </c>
      <c r="U1562" s="85">
        <f>IF(B1562="",0,IF(OR(H1562=MappingTables!$C$34,H1562=MappingTables!$C$35),T1562,0))</f>
        <v>0</v>
      </c>
      <c r="V1562" s="85">
        <f>IF(ISNA(IF(AND(VLOOKUP(CONCATENATE($D1562,$G1562),CSRFinput!$B:$E,4,0)=0,OR(H1562=MappingTables!$C$34,H1562=MappingTables!$C$35)),1,VLOOKUP(CONCATENATE($D1562,$G1562),CSRFinput!$B:$E,4,0))),0,IF(AND(VLOOKUP(CONCATENATE($D1562,$G1562),CSRFinput!$B:$E,4,0)=0,OR(H1562=MappingTables!$C$34,H1562=MappingTables!$C$35)),1,VLOOKUP(CONCATENATE($D1562,$G1562),CSRFinput!$B:$E,4,0)))</f>
        <v>0.054776304963434752</v>
      </c>
      <c r="W1562" s="85">
        <f>IF(B1562="",0,+$T1562*$V1562)</f>
        <v>0.19709007019040876</v>
      </c>
      <c r="X1562" s="85">
        <f>IF(B1562="",0,IF(OR(H1562=MappingTables!$C$34,H1562=MappingTables!$C$35),W1562,0))</f>
        <v>0</v>
      </c>
    </row>
    <row r="1563" spans="2:24" s="0" customFormat="0" ht="15">
      <c r="B1563" s="69">
        <v>216727</v>
      </c>
      <c r="C1563" s="70" t="s">
        <v>1800</v>
      </c>
      <c r="D1563" s="70" t="s">
        <v>1</v>
      </c>
      <c r="E1563" s="70" t="s">
        <v>1</v>
      </c>
      <c r="F1563" s="70"/>
      <c r="G1563" s="70" t="s">
        <v>61</v>
      </c>
      <c r="H1563" s="70" t="s">
        <v>178</v>
      </c>
      <c r="I1563" s="70" t="s">
        <v>181</v>
      </c>
      <c r="J1563" s="71">
        <f>IF(OR(I1563=0,I1563=""),"unrated",VLOOKUP(I1563,MappingTables!$B$19:$C$31,2,FALSE))</f>
        <v>3</v>
      </c>
      <c r="K1563" s="72">
        <v>1292.0975988291618</v>
      </c>
      <c r="L1563" s="70">
        <v>7.4088379435027904</v>
      </c>
      <c r="M1563" s="71">
        <f>IF(L1563&lt;1,1,L1563)</f>
        <v>7.4088379435027904</v>
      </c>
      <c r="N1563" s="70" t="s">
        <v>141</v>
      </c>
      <c r="O1563" s="71">
        <f>INDEX(DurClassMapping,MATCH(M1563,MappingTables!$D$4:$D$8,-1),1)</f>
        <v>2</v>
      </c>
      <c r="P1563" s="73">
        <f>IF(M1563=$A$1,1,$M1563-INDEX(MappingTables!$E$4:$E$8,MATCH(O1563,MappingTables!$B$4:$B$8,0)))</f>
        <v>2.4088379435027896</v>
      </c>
      <c r="Q1563" s="71">
        <f>IF(B1563="",0,INDEX(ModelParameters!$D$6:$K$10,MATCH($O1563,ModelParameters!$B$6:$B$10,0),MATCH($J1563,ModelParameters!$D$5:$K$5,0)))</f>
        <v>0.015</v>
      </c>
      <c r="R1563" s="71">
        <f>IF(B1563="",0,INDEX(ModelParameters!$D$13:$K$17,MATCH($O1563,ModelParameters!$B$13:$B$17,0),MATCH($J1563,ModelParameters!$D$5:$K$5,0)))</f>
        <v>0.125</v>
      </c>
      <c r="S1563" s="160">
        <f>IF(B1563="",0,MIN(IF($N1563="Other Bond TM",ModelParameters!$N$21,1)*(P1563*Q1563+R1563),1))</f>
        <v>0.16113256915254184</v>
      </c>
      <c r="T1563" s="85">
        <f>IF(B1563="",0,$S1563*$K1563)</f>
        <v>208.1990056951732</v>
      </c>
      <c r="U1563" s="85">
        <f>IF(B1563="",0,IF(OR(H1563=MappingTables!$C$34,H1563=MappingTables!$C$35),T1563,0))</f>
        <v>0</v>
      </c>
      <c r="V1563" s="85">
        <f>IF(ISNA(IF(AND(VLOOKUP(CONCATENATE($D1563,$G1563),CSRFinput!$B:$E,4,0)=0,OR(H1563=MappingTables!$C$34,H1563=MappingTables!$C$35)),1,VLOOKUP(CONCATENATE($D1563,$G1563),CSRFinput!$B:$E,4,0))),0,IF(AND(VLOOKUP(CONCATENATE($D1563,$G1563),CSRFinput!$B:$E,4,0)=0,OR(H1563=MappingTables!$C$34,H1563=MappingTables!$C$35)),1,VLOOKUP(CONCATENATE($D1563,$G1563),CSRFinput!$B:$E,4,0)))</f>
        <v>0.054776304963434752</v>
      </c>
      <c r="W1563" s="85">
        <f>IF(B1563="",0,+$T1563*$V1563)</f>
        <v>11.404372229042694</v>
      </c>
      <c r="X1563" s="85">
        <f>IF(B1563="",0,IF(OR(H1563=MappingTables!$C$34,H1563=MappingTables!$C$35),W1563,0))</f>
        <v>0</v>
      </c>
    </row>
    <row r="1564" spans="2:24" s="0" customFormat="0" ht="15">
      <c r="B1564" s="69">
        <v>7820431</v>
      </c>
      <c r="C1564" s="70" t="s">
        <v>1801</v>
      </c>
      <c r="D1564" s="70" t="s">
        <v>1</v>
      </c>
      <c r="E1564" s="70" t="s">
        <v>1</v>
      </c>
      <c r="F1564" s="70"/>
      <c r="G1564" s="70" t="s">
        <v>61</v>
      </c>
      <c r="H1564" s="70" t="s">
        <v>178</v>
      </c>
      <c r="I1564" s="70" t="s">
        <v>181</v>
      </c>
      <c r="J1564" s="71">
        <f>IF(OR(I1564=0,I1564=""),"unrated",VLOOKUP(I1564,MappingTables!$B$19:$C$31,2,FALSE))</f>
        <v>3</v>
      </c>
      <c r="K1564" s="72">
        <v>7383.0138375122928</v>
      </c>
      <c r="L1564" s="70">
        <v>13.674115923428422</v>
      </c>
      <c r="M1564" s="71">
        <f>IF(L1564&lt;1,1,L1564)</f>
        <v>13.674115923428422</v>
      </c>
      <c r="N1564" s="70" t="s">
        <v>141</v>
      </c>
      <c r="O1564" s="71">
        <f>INDEX(DurClassMapping,MATCH(M1564,MappingTables!$D$4:$D$8,-1),1)</f>
        <v>3</v>
      </c>
      <c r="P1564" s="73">
        <f>IF(M1564=$A$1,1,$M1564-INDEX(MappingTables!$E$4:$E$8,MATCH(O1564,MappingTables!$B$4:$B$8,0)))</f>
        <v>3.6741159234284224</v>
      </c>
      <c r="Q1564" s="71">
        <f>IF(B1564="",0,INDEX(ModelParameters!$D$6:$K$10,MATCH($O1564,ModelParameters!$B$6:$B$10,0),MATCH($J1564,ModelParameters!$D$5:$K$5,0)))</f>
        <v>0.01</v>
      </c>
      <c r="R1564" s="71">
        <f>IF(B1564="",0,INDEX(ModelParameters!$D$13:$K$17,MATCH($O1564,ModelParameters!$B$13:$B$17,0),MATCH($J1564,ModelParameters!$D$5:$K$5,0)))</f>
        <v>0.2</v>
      </c>
      <c r="S1564" s="160">
        <f>IF(B1564="",0,MIN(IF($N1564="Other Bond TM",ModelParameters!$N$21,1)*(P1564*Q1564+R1564),1))</f>
        <v>0.23674115923428424</v>
      </c>
      <c r="T1564" s="85">
        <f>IF(B1564="",0,$S1564*$K1564)</f>
        <v>1747.8632545354216</v>
      </c>
      <c r="U1564" s="85">
        <f>IF(B1564="",0,IF(OR(H1564=MappingTables!$C$34,H1564=MappingTables!$C$35),T1564,0))</f>
        <v>0</v>
      </c>
      <c r="V1564" s="85">
        <f>IF(ISNA(IF(AND(VLOOKUP(CONCATENATE($D1564,$G1564),CSRFinput!$B:$E,4,0)=0,OR(H1564=MappingTables!$C$34,H1564=MappingTables!$C$35)),1,VLOOKUP(CONCATENATE($D1564,$G1564),CSRFinput!$B:$E,4,0))),0,IF(AND(VLOOKUP(CONCATENATE($D1564,$G1564),CSRFinput!$B:$E,4,0)=0,OR(H1564=MappingTables!$C$34,H1564=MappingTables!$C$35)),1,VLOOKUP(CONCATENATE($D1564,$G1564),CSRFinput!$B:$E,4,0)))</f>
        <v>0.054776304963434752</v>
      </c>
      <c r="W1564" s="85">
        <f>IF(B1564="",0,+$T1564*$V1564)</f>
        <v>95.74149066481384</v>
      </c>
      <c r="X1564" s="85">
        <f>IF(B1564="",0,IF(OR(H1564=MappingTables!$C$34,H1564=MappingTables!$C$35),W1564,0))</f>
        <v>0</v>
      </c>
    </row>
    <row r="1565" spans="2:24" s="0" customFormat="0" ht="15">
      <c r="B1565" s="69">
        <v>14211371</v>
      </c>
      <c r="C1565" s="70" t="s">
        <v>1453</v>
      </c>
      <c r="D1565" s="70" t="s">
        <v>1</v>
      </c>
      <c r="E1565" s="70" t="s">
        <v>1</v>
      </c>
      <c r="F1565" s="70"/>
      <c r="G1565" s="70" t="s">
        <v>61</v>
      </c>
      <c r="H1565" s="70" t="s">
        <v>178</v>
      </c>
      <c r="I1565" s="70" t="s">
        <v>179</v>
      </c>
      <c r="J1565" s="71">
        <f>IF(OR(I1565=0,I1565=""),"unrated",VLOOKUP(I1565,MappingTables!$B$19:$C$31,2,FALSE))</f>
        <v>4</v>
      </c>
      <c r="K1565" s="72">
        <v>9453.1824269829952</v>
      </c>
      <c r="L1565" s="70">
        <v>12.68312778413918</v>
      </c>
      <c r="M1565" s="71">
        <f>IF(L1565&lt;1,1,L1565)</f>
        <v>12.68312778413918</v>
      </c>
      <c r="N1565" s="70" t="s">
        <v>141</v>
      </c>
      <c r="O1565" s="71">
        <f>INDEX(DurClassMapping,MATCH(M1565,MappingTables!$D$4:$D$8,-1),1)</f>
        <v>3</v>
      </c>
      <c r="P1565" s="73">
        <f>IF(M1565=$A$1,1,$M1565-INDEX(MappingTables!$E$4:$E$8,MATCH(O1565,MappingTables!$B$4:$B$8,0)))</f>
        <v>2.6831277841391808</v>
      </c>
      <c r="Q1565" s="71">
        <f>IF(B1565="",0,INDEX(ModelParameters!$D$6:$K$10,MATCH($O1565,ModelParameters!$B$6:$B$10,0),MATCH($J1565,ModelParameters!$D$5:$K$5,0)))</f>
        <v>0.018000000000000002</v>
      </c>
      <c r="R1565" s="71">
        <f>IF(B1565="",0,INDEX(ModelParameters!$D$13:$K$17,MATCH($O1565,ModelParameters!$B$13:$B$17,0),MATCH($J1565,ModelParameters!$D$5:$K$5,0)))</f>
        <v>0.34999999999999996</v>
      </c>
      <c r="S1565" s="160">
        <f>IF(B1565="",0,MIN(IF($N1565="Other Bond TM",ModelParameters!$N$21,1)*(P1565*Q1565+R1565),1))</f>
        <v>0.3982963001145052</v>
      </c>
      <c r="T1565" s="85">
        <f>IF(B1565="",0,$S1565*$K1565)</f>
        <v>3765.1675849747864</v>
      </c>
      <c r="U1565" s="85">
        <f>IF(B1565="",0,IF(OR(H1565=MappingTables!$C$34,H1565=MappingTables!$C$35),T1565,0))</f>
        <v>0</v>
      </c>
      <c r="V1565" s="85">
        <f>IF(ISNA(IF(AND(VLOOKUP(CONCATENATE($D1565,$G1565),CSRFinput!$B:$E,4,0)=0,OR(H1565=MappingTables!$C$34,H1565=MappingTables!$C$35)),1,VLOOKUP(CONCATENATE($D1565,$G1565),CSRFinput!$B:$E,4,0))),0,IF(AND(VLOOKUP(CONCATENATE($D1565,$G1565),CSRFinput!$B:$E,4,0)=0,OR(H1565=MappingTables!$C$34,H1565=MappingTables!$C$35)),1,VLOOKUP(CONCATENATE($D1565,$G1565),CSRFinput!$B:$E,4,0)))</f>
        <v>0.054776304963434752</v>
      </c>
      <c r="W1565" s="85">
        <f>IF(B1565="",0,+$T1565*$V1565)</f>
        <v>206.241967873018</v>
      </c>
      <c r="X1565" s="85">
        <f>IF(B1565="",0,IF(OR(H1565=MappingTables!$C$34,H1565=MappingTables!$C$35),W1565,0))</f>
        <v>0</v>
      </c>
    </row>
    <row r="1566" spans="2:24" s="0" customFormat="0" ht="15">
      <c r="B1566" s="69">
        <v>6031524</v>
      </c>
      <c r="C1566" s="70" t="s">
        <v>1723</v>
      </c>
      <c r="D1566" s="70" t="s">
        <v>1</v>
      </c>
      <c r="E1566" s="70" t="s">
        <v>1</v>
      </c>
      <c r="F1566" s="70"/>
      <c r="G1566" s="70" t="s">
        <v>61</v>
      </c>
      <c r="H1566" s="70" t="s">
        <v>178</v>
      </c>
      <c r="I1566" s="70" t="s">
        <v>181</v>
      </c>
      <c r="J1566" s="71">
        <f>IF(OR(I1566=0,I1566=""),"unrated",VLOOKUP(I1566,MappingTables!$B$19:$C$31,2,FALSE))</f>
        <v>3</v>
      </c>
      <c r="K1566" s="72">
        <v>247.0835487104592</v>
      </c>
      <c r="L1566" s="70">
        <v>1.892111627473206</v>
      </c>
      <c r="M1566" s="71">
        <f>IF(L1566&lt;1,1,L1566)</f>
        <v>1.892111627473206</v>
      </c>
      <c r="N1566" s="70" t="s">
        <v>141</v>
      </c>
      <c r="O1566" s="71">
        <f>INDEX(DurClassMapping,MATCH(M1566,MappingTables!$D$4:$D$8,-1),1)</f>
        <v>1</v>
      </c>
      <c r="P1566" s="73">
        <f>IF(M1566=$A$1,1,$M1566-INDEX(MappingTables!$E$4:$E$8,MATCH(O1566,MappingTables!$B$4:$B$8,0)))</f>
        <v>1.892111627473206</v>
      </c>
      <c r="Q1566" s="71">
        <f>IF(B1566="",0,INDEX(ModelParameters!$D$6:$K$10,MATCH($O1566,ModelParameters!$B$6:$B$10,0),MATCH($J1566,ModelParameters!$D$5:$K$5,0)))</f>
        <v>0.025</v>
      </c>
      <c r="R1566" s="71">
        <f>IF(B1566="",0,INDEX(ModelParameters!$D$13:$K$17,MATCH($O1566,ModelParameters!$B$13:$B$17,0),MATCH($J1566,ModelParameters!$D$5:$K$5,0)))</f>
        <v>0</v>
      </c>
      <c r="S1566" s="160">
        <f>IF(B1566="",0,MIN(IF($N1566="Other Bond TM",ModelParameters!$N$21,1)*(P1566*Q1566+R1566),1))</f>
        <v>0.04730279068683016</v>
      </c>
      <c r="T1566" s="85">
        <f>IF(B1566="",0,$S1566*$K1566)</f>
        <v>11.687741386810056</v>
      </c>
      <c r="U1566" s="85">
        <f>IF(B1566="",0,IF(OR(H1566=MappingTables!$C$34,H1566=MappingTables!$C$35),T1566,0))</f>
        <v>0</v>
      </c>
      <c r="V1566" s="85">
        <f>IF(ISNA(IF(AND(VLOOKUP(CONCATENATE($D1566,$G1566),CSRFinput!$B:$E,4,0)=0,OR(H1566=MappingTables!$C$34,H1566=MappingTables!$C$35)),1,VLOOKUP(CONCATENATE($D1566,$G1566),CSRFinput!$B:$E,4,0))),0,IF(AND(VLOOKUP(CONCATENATE($D1566,$G1566),CSRFinput!$B:$E,4,0)=0,OR(H1566=MappingTables!$C$34,H1566=MappingTables!$C$35)),1,VLOOKUP(CONCATENATE($D1566,$G1566),CSRFinput!$B:$E,4,0)))</f>
        <v>0.054776304963434752</v>
      </c>
      <c r="W1566" s="85">
        <f>IF(B1566="",0,+$T1566*$V1566)</f>
        <v>0.64021128653766544</v>
      </c>
      <c r="X1566" s="85">
        <f>IF(B1566="",0,IF(OR(H1566=MappingTables!$C$34,H1566=MappingTables!$C$35),W1566,0))</f>
        <v>0</v>
      </c>
    </row>
    <row r="1567" spans="2:24" s="0" customFormat="0" ht="15">
      <c r="B1567" s="69">
        <v>17146019</v>
      </c>
      <c r="C1567" s="70" t="s">
        <v>1802</v>
      </c>
      <c r="D1567" s="70" t="s">
        <v>1</v>
      </c>
      <c r="E1567" s="70" t="s">
        <v>1</v>
      </c>
      <c r="F1567" s="70"/>
      <c r="G1567" s="70" t="s">
        <v>61</v>
      </c>
      <c r="H1567" s="70" t="s">
        <v>178</v>
      </c>
      <c r="I1567" s="70" t="s">
        <v>181</v>
      </c>
      <c r="J1567" s="71">
        <f>IF(OR(I1567=0,I1567=""),"unrated",VLOOKUP(I1567,MappingTables!$B$19:$C$31,2,FALSE))</f>
        <v>3</v>
      </c>
      <c r="K1567" s="72">
        <v>29498.256440514448</v>
      </c>
      <c r="L1567" s="70">
        <v>6.0955795132937704</v>
      </c>
      <c r="M1567" s="71">
        <f>IF(L1567&lt;1,1,L1567)</f>
        <v>6.0955795132937704</v>
      </c>
      <c r="N1567" s="70" t="s">
        <v>141</v>
      </c>
      <c r="O1567" s="71">
        <f>INDEX(DurClassMapping,MATCH(M1567,MappingTables!$D$4:$D$8,-1),1)</f>
        <v>2</v>
      </c>
      <c r="P1567" s="73">
        <f>IF(M1567=$A$1,1,$M1567-INDEX(MappingTables!$E$4:$E$8,MATCH(O1567,MappingTables!$B$4:$B$8,0)))</f>
        <v>1.09557951329377</v>
      </c>
      <c r="Q1567" s="71">
        <f>IF(B1567="",0,INDEX(ModelParameters!$D$6:$K$10,MATCH($O1567,ModelParameters!$B$6:$B$10,0),MATCH($J1567,ModelParameters!$D$5:$K$5,0)))</f>
        <v>0.015</v>
      </c>
      <c r="R1567" s="71">
        <f>IF(B1567="",0,INDEX(ModelParameters!$D$13:$K$17,MATCH($O1567,ModelParameters!$B$13:$B$17,0),MATCH($J1567,ModelParameters!$D$5:$K$5,0)))</f>
        <v>0.125</v>
      </c>
      <c r="S1567" s="160">
        <f>IF(B1567="",0,MIN(IF($N1567="Other Bond TM",ModelParameters!$N$21,1)*(P1567*Q1567+R1567),1))</f>
        <v>0.14143369269940656</v>
      </c>
      <c r="T1567" s="85">
        <f>IF(B1567="",0,$S1567*$K1567)</f>
        <v>4172.0473365760112</v>
      </c>
      <c r="U1567" s="85">
        <f>IF(B1567="",0,IF(OR(H1567=MappingTables!$C$34,H1567=MappingTables!$C$35),T1567,0))</f>
        <v>0</v>
      </c>
      <c r="V1567" s="85">
        <f>IF(ISNA(IF(AND(VLOOKUP(CONCATENATE($D1567,$G1567),CSRFinput!$B:$E,4,0)=0,OR(H1567=MappingTables!$C$34,H1567=MappingTables!$C$35)),1,VLOOKUP(CONCATENATE($D1567,$G1567),CSRFinput!$B:$E,4,0))),0,IF(AND(VLOOKUP(CONCATENATE($D1567,$G1567),CSRFinput!$B:$E,4,0)=0,OR(H1567=MappingTables!$C$34,H1567=MappingTables!$C$35)),1,VLOOKUP(CONCATENATE($D1567,$G1567),CSRFinput!$B:$E,4,0)))</f>
        <v>0.054776304963434752</v>
      </c>
      <c r="W1567" s="85">
        <f>IF(B1567="",0,+$T1567*$V1567)</f>
        <v>228.52933723017328</v>
      </c>
      <c r="X1567" s="85">
        <f>IF(B1567="",0,IF(OR(H1567=MappingTables!$C$34,H1567=MappingTables!$C$35),W1567,0))</f>
        <v>0</v>
      </c>
    </row>
    <row r="1568" spans="2:24" s="0" customFormat="0" ht="15">
      <c r="B1568" s="69">
        <v>17356632</v>
      </c>
      <c r="C1568" s="70" t="s">
        <v>1086</v>
      </c>
      <c r="D1568" s="70" t="s">
        <v>1</v>
      </c>
      <c r="E1568" s="70" t="s">
        <v>1</v>
      </c>
      <c r="F1568" s="70"/>
      <c r="G1568" s="70" t="s">
        <v>61</v>
      </c>
      <c r="H1568" s="70" t="s">
        <v>178</v>
      </c>
      <c r="I1568" s="70" t="s">
        <v>188</v>
      </c>
      <c r="J1568" s="71">
        <f>IF(OR(I1568=0,I1568=""),"unrated",VLOOKUP(I1568,MappingTables!$B$19:$C$31,2,FALSE))</f>
        <v>2</v>
      </c>
      <c r="K1568" s="72">
        <v>13712.097752771092</v>
      </c>
      <c r="L1568" s="70">
        <v>2.4435764063524768</v>
      </c>
      <c r="M1568" s="71">
        <f>IF(L1568&lt;1,1,L1568)</f>
        <v>2.4435764063524768</v>
      </c>
      <c r="N1568" s="70" t="s">
        <v>141</v>
      </c>
      <c r="O1568" s="71">
        <f>INDEX(DurClassMapping,MATCH(M1568,MappingTables!$D$4:$D$8,-1),1)</f>
        <v>1</v>
      </c>
      <c r="P1568" s="73">
        <f>IF(M1568=$A$1,1,$M1568-INDEX(MappingTables!$E$4:$E$8,MATCH(O1568,MappingTables!$B$4:$B$8,0)))</f>
        <v>2.4435764063524768</v>
      </c>
      <c r="Q1568" s="71">
        <f>IF(B1568="",0,INDEX(ModelParameters!$D$6:$K$10,MATCH($O1568,ModelParameters!$B$6:$B$10,0),MATCH($J1568,ModelParameters!$D$5:$K$5,0)))</f>
        <v>0.013999999999999998</v>
      </c>
      <c r="R1568" s="71">
        <f>IF(B1568="",0,INDEX(ModelParameters!$D$13:$K$17,MATCH($O1568,ModelParameters!$B$13:$B$17,0),MATCH($J1568,ModelParameters!$D$5:$K$5,0)))</f>
        <v>0</v>
      </c>
      <c r="S1568" s="160">
        <f>IF(B1568="",0,MIN(IF($N1568="Other Bond TM",ModelParameters!$N$21,1)*(P1568*Q1568+R1568),1))</f>
        <v>0.034210069688934668</v>
      </c>
      <c r="T1568" s="85">
        <f>IF(B1568="",0,$S1568*$K1568)</f>
        <v>469.09181970378344</v>
      </c>
      <c r="U1568" s="85">
        <f>IF(B1568="",0,IF(OR(H1568=MappingTables!$C$34,H1568=MappingTables!$C$35),T1568,0))</f>
        <v>0</v>
      </c>
      <c r="V1568" s="85">
        <f>IF(ISNA(IF(AND(VLOOKUP(CONCATENATE($D1568,$G1568),CSRFinput!$B:$E,4,0)=0,OR(H1568=MappingTables!$C$34,H1568=MappingTables!$C$35)),1,VLOOKUP(CONCATENATE($D1568,$G1568),CSRFinput!$B:$E,4,0))),0,IF(AND(VLOOKUP(CONCATENATE($D1568,$G1568),CSRFinput!$B:$E,4,0)=0,OR(H1568=MappingTables!$C$34,H1568=MappingTables!$C$35)),1,VLOOKUP(CONCATENATE($D1568,$G1568),CSRFinput!$B:$E,4,0)))</f>
        <v>0.054776304963434752</v>
      </c>
      <c r="W1568" s="85">
        <f>IF(B1568="",0,+$T1568*$V1568)</f>
        <v>25.695116571946992</v>
      </c>
      <c r="X1568" s="85">
        <f>IF(B1568="",0,IF(OR(H1568=MappingTables!$C$34,H1568=MappingTables!$C$35),W1568,0))</f>
        <v>0</v>
      </c>
    </row>
    <row r="1569" spans="2:24" s="0" customFormat="0" ht="15">
      <c r="B1569" s="69">
        <v>14617072</v>
      </c>
      <c r="C1569" s="70" t="s">
        <v>1803</v>
      </c>
      <c r="D1569" s="70" t="s">
        <v>1</v>
      </c>
      <c r="E1569" s="70" t="s">
        <v>1</v>
      </c>
      <c r="F1569" s="70"/>
      <c r="G1569" s="70" t="s">
        <v>61</v>
      </c>
      <c r="H1569" s="70" t="s">
        <v>178</v>
      </c>
      <c r="I1569" s="70" t="s">
        <v>179</v>
      </c>
      <c r="J1569" s="71">
        <f>IF(OR(I1569=0,I1569=""),"unrated",VLOOKUP(I1569,MappingTables!$B$19:$C$31,2,FALSE))</f>
        <v>4</v>
      </c>
      <c r="K1569" s="72">
        <v>1612.209233819624</v>
      </c>
      <c r="L1569" s="70">
        <v>1.365621262102838</v>
      </c>
      <c r="M1569" s="71">
        <f>IF(L1569&lt;1,1,L1569)</f>
        <v>1.365621262102838</v>
      </c>
      <c r="N1569" s="70" t="s">
        <v>141</v>
      </c>
      <c r="O1569" s="71">
        <f>INDEX(DurClassMapping,MATCH(M1569,MappingTables!$D$4:$D$8,-1),1)</f>
        <v>1</v>
      </c>
      <c r="P1569" s="73">
        <f>IF(M1569=$A$1,1,$M1569-INDEX(MappingTables!$E$4:$E$8,MATCH(O1569,MappingTables!$B$4:$B$8,0)))</f>
        <v>1.365621262102838</v>
      </c>
      <c r="Q1569" s="71">
        <f>IF(B1569="",0,INDEX(ModelParameters!$D$6:$K$10,MATCH($O1569,ModelParameters!$B$6:$B$10,0),MATCH($J1569,ModelParameters!$D$5:$K$5,0)))</f>
        <v>0.045</v>
      </c>
      <c r="R1569" s="71">
        <f>IF(B1569="",0,INDEX(ModelParameters!$D$13:$K$17,MATCH($O1569,ModelParameters!$B$13:$B$17,0),MATCH($J1569,ModelParameters!$D$5:$K$5,0)))</f>
        <v>0</v>
      </c>
      <c r="S1569" s="160">
        <f>IF(B1569="",0,MIN(IF($N1569="Other Bond TM",ModelParameters!$N$21,1)*(P1569*Q1569+R1569),1))</f>
        <v>0.061452956794627712</v>
      </c>
      <c r="T1569" s="85">
        <f>IF(B1569="",0,$S1569*$K1569)</f>
        <v>99.0750243898172</v>
      </c>
      <c r="U1569" s="85">
        <f>IF(B1569="",0,IF(OR(H1569=MappingTables!$C$34,H1569=MappingTables!$C$35),T1569,0))</f>
        <v>0</v>
      </c>
      <c r="V1569" s="85">
        <f>IF(ISNA(IF(AND(VLOOKUP(CONCATENATE($D1569,$G1569),CSRFinput!$B:$E,4,0)=0,OR(H1569=MappingTables!$C$34,H1569=MappingTables!$C$35)),1,VLOOKUP(CONCATENATE($D1569,$G1569),CSRFinput!$B:$E,4,0))),0,IF(AND(VLOOKUP(CONCATENATE($D1569,$G1569),CSRFinput!$B:$E,4,0)=0,OR(H1569=MappingTables!$C$34,H1569=MappingTables!$C$35)),1,VLOOKUP(CONCATENATE($D1569,$G1569),CSRFinput!$B:$E,4,0)))</f>
        <v>0.054776304963434752</v>
      </c>
      <c r="W1569" s="85">
        <f>IF(B1569="",0,+$T1569*$V1569)</f>
        <v>5.4269637502363632</v>
      </c>
      <c r="X1569" s="85">
        <f>IF(B1569="",0,IF(OR(H1569=MappingTables!$C$34,H1569=MappingTables!$C$35),W1569,0))</f>
        <v>0</v>
      </c>
    </row>
    <row r="1570" spans="2:24" s="0" customFormat="0" ht="15">
      <c r="B1570" s="69">
        <v>21681682</v>
      </c>
      <c r="C1570" s="70" t="s">
        <v>472</v>
      </c>
      <c r="D1570" s="70" t="s">
        <v>1</v>
      </c>
      <c r="E1570" s="70" t="s">
        <v>1</v>
      </c>
      <c r="F1570" s="70"/>
      <c r="G1570" s="70" t="s">
        <v>61</v>
      </c>
      <c r="H1570" s="70" t="s">
        <v>178</v>
      </c>
      <c r="I1570" s="70" t="s">
        <v>204</v>
      </c>
      <c r="J1570" s="71">
        <f>IF(OR(I1570=0,I1570=""),"unrated",VLOOKUP(I1570,MappingTables!$B$19:$C$31,2,FALSE))</f>
        <v>6</v>
      </c>
      <c r="K1570" s="72">
        <v>19670.84063577478</v>
      </c>
      <c r="L1570" s="70">
        <v>3.4248491244273064</v>
      </c>
      <c r="M1570" s="71">
        <f>IF(L1570&lt;1,1,L1570)</f>
        <v>3.4248491244273064</v>
      </c>
      <c r="N1570" s="70" t="s">
        <v>141</v>
      </c>
      <c r="O1570" s="71">
        <f>INDEX(DurClassMapping,MATCH(M1570,MappingTables!$D$4:$D$8,-1),1)</f>
        <v>1</v>
      </c>
      <c r="P1570" s="73">
        <f>IF(M1570=$A$1,1,$M1570-INDEX(MappingTables!$E$4:$E$8,MATCH(O1570,MappingTables!$B$4:$B$8,0)))</f>
        <v>3.4248491244273064</v>
      </c>
      <c r="Q1570" s="71">
        <f>IF(B1570="",0,INDEX(ModelParameters!$D$6:$K$10,MATCH($O1570,ModelParameters!$B$6:$B$10,0),MATCH($J1570,ModelParameters!$D$5:$K$5,0)))</f>
        <v>0.075</v>
      </c>
      <c r="R1570" s="71">
        <f>IF(B1570="",0,INDEX(ModelParameters!$D$13:$K$17,MATCH($O1570,ModelParameters!$B$13:$B$17,0),MATCH($J1570,ModelParameters!$D$5:$K$5,0)))</f>
        <v>0</v>
      </c>
      <c r="S1570" s="160">
        <f>IF(B1570="",0,MIN(IF($N1570="Other Bond TM",ModelParameters!$N$21,1)*(P1570*Q1570+R1570),1))</f>
        <v>0.256863684332048</v>
      </c>
      <c r="T1570" s="85">
        <f>IF(B1570="",0,$S1570*$K1570)</f>
        <v>5052.7245996136752</v>
      </c>
      <c r="U1570" s="85">
        <f>IF(B1570="",0,IF(OR(H1570=MappingTables!$C$34,H1570=MappingTables!$C$35),T1570,0))</f>
        <v>0</v>
      </c>
      <c r="V1570" s="85">
        <f>IF(ISNA(IF(AND(VLOOKUP(CONCATENATE($D1570,$G1570),CSRFinput!$B:$E,4,0)=0,OR(H1570=MappingTables!$C$34,H1570=MappingTables!$C$35)),1,VLOOKUP(CONCATENATE($D1570,$G1570),CSRFinput!$B:$E,4,0))),0,IF(AND(VLOOKUP(CONCATENATE($D1570,$G1570),CSRFinput!$B:$E,4,0)=0,OR(H1570=MappingTables!$C$34,H1570=MappingTables!$C$35)),1,VLOOKUP(CONCATENATE($D1570,$G1570),CSRFinput!$B:$E,4,0)))</f>
        <v>0.054776304963434752</v>
      </c>
      <c r="W1570" s="85">
        <f>IF(B1570="",0,+$T1570*$V1570)</f>
        <v>276.76958356468744</v>
      </c>
      <c r="X1570" s="85">
        <f>IF(B1570="",0,IF(OR(H1570=MappingTables!$C$34,H1570=MappingTables!$C$35),W1570,0))</f>
        <v>0</v>
      </c>
    </row>
    <row r="1571" spans="2:24" s="0" customFormat="0" ht="15">
      <c r="B1571" s="69" t="s">
        <v>1804</v>
      </c>
      <c r="C1571" s="70" t="s">
        <v>1805</v>
      </c>
      <c r="D1571" s="70" t="s">
        <v>1</v>
      </c>
      <c r="E1571" s="70" t="s">
        <v>1</v>
      </c>
      <c r="F1571" s="70"/>
      <c r="G1571" s="70" t="s">
        <v>61</v>
      </c>
      <c r="H1571" s="70" t="s">
        <v>178</v>
      </c>
      <c r="I1571" s="70" t="s">
        <v>188</v>
      </c>
      <c r="J1571" s="71">
        <f>IF(OR(I1571=0,I1571=""),"unrated",VLOOKUP(I1571,MappingTables!$B$19:$C$31,2,FALSE))</f>
        <v>2</v>
      </c>
      <c r="K1571" s="72">
        <v>0.5141220715778396</v>
      </c>
      <c r="L1571" s="70">
        <v>0.94927390753914768</v>
      </c>
      <c r="M1571" s="71">
        <f>IF(L1571&lt;1,1,L1571)</f>
        <v>1</v>
      </c>
      <c r="N1571" s="70" t="s">
        <v>141</v>
      </c>
      <c r="O1571" s="71">
        <f>INDEX(DurClassMapping,MATCH(M1571,MappingTables!$D$4:$D$8,-1),1)</f>
        <v>1</v>
      </c>
      <c r="P1571" s="73">
        <f>IF(M1571=$A$1,1,$M1571-INDEX(MappingTables!$E$4:$E$8,MATCH(O1571,MappingTables!$B$4:$B$8,0)))</f>
        <v>1</v>
      </c>
      <c r="Q1571" s="71">
        <f>IF(B1571="",0,INDEX(ModelParameters!$D$6:$K$10,MATCH($O1571,ModelParameters!$B$6:$B$10,0),MATCH($J1571,ModelParameters!$D$5:$K$5,0)))</f>
        <v>0.013999999999999998</v>
      </c>
      <c r="R1571" s="71">
        <f>IF(B1571="",0,INDEX(ModelParameters!$D$13:$K$17,MATCH($O1571,ModelParameters!$B$13:$B$17,0),MATCH($J1571,ModelParameters!$D$5:$K$5,0)))</f>
        <v>0</v>
      </c>
      <c r="S1571" s="160">
        <f>IF(B1571="",0,MIN(IF($N1571="Other Bond TM",ModelParameters!$N$21,1)*(P1571*Q1571+R1571),1))</f>
        <v>0.013999999999999998</v>
      </c>
      <c r="T1571" s="85">
        <f>IF(B1571="",0,$S1571*$K1571)</f>
        <v>0.0071977090020897536</v>
      </c>
      <c r="U1571" s="85">
        <f>IF(B1571="",0,IF(OR(H1571=MappingTables!$C$34,H1571=MappingTables!$C$35),T1571,0))</f>
        <v>0</v>
      </c>
      <c r="V1571" s="85">
        <f>IF(ISNA(IF(AND(VLOOKUP(CONCATENATE($D1571,$G1571),CSRFinput!$B:$E,4,0)=0,OR(H1571=MappingTables!$C$34,H1571=MappingTables!$C$35)),1,VLOOKUP(CONCATENATE($D1571,$G1571),CSRFinput!$B:$E,4,0))),0,IF(AND(VLOOKUP(CONCATENATE($D1571,$G1571),CSRFinput!$B:$E,4,0)=0,OR(H1571=MappingTables!$C$34,H1571=MappingTables!$C$35)),1,VLOOKUP(CONCATENATE($D1571,$G1571),CSRFinput!$B:$E,4,0)))</f>
        <v>0.054776304963434752</v>
      </c>
      <c r="W1571" s="85">
        <f>IF(B1571="",0,+$T1571*$V1571)</f>
        <v>0.000394263903336528</v>
      </c>
      <c r="X1571" s="85">
        <f>IF(B1571="",0,IF(OR(H1571=MappingTables!$C$34,H1571=MappingTables!$C$35),W1571,0))</f>
        <v>0</v>
      </c>
    </row>
    <row r="1572" spans="2:24" s="0" customFormat="0" ht="15">
      <c r="B1572" s="69" t="s">
        <v>1806</v>
      </c>
      <c r="C1572" s="70" t="s">
        <v>1807</v>
      </c>
      <c r="D1572" s="70" t="s">
        <v>1</v>
      </c>
      <c r="E1572" s="70" t="s">
        <v>1</v>
      </c>
      <c r="F1572" s="70"/>
      <c r="G1572" s="70" t="s">
        <v>61</v>
      </c>
      <c r="H1572" s="70" t="s">
        <v>178</v>
      </c>
      <c r="I1572" s="70" t="s">
        <v>216</v>
      </c>
      <c r="J1572" s="71">
        <f>IF(OR(I1572=0,I1572=""),"unrated",VLOOKUP(I1572,MappingTables!$B$19:$C$31,2,FALSE))</f>
        <v>0</v>
      </c>
      <c r="K1572" s="72">
        <v>1442.5318754111136</v>
      </c>
      <c r="L1572" s="70">
        <v>0.53238365776518624</v>
      </c>
      <c r="M1572" s="71">
        <f>IF(L1572&lt;1,1,L1572)</f>
        <v>1</v>
      </c>
      <c r="N1572" s="70" t="s">
        <v>141</v>
      </c>
      <c r="O1572" s="71">
        <f>INDEX(DurClassMapping,MATCH(M1572,MappingTables!$D$4:$D$8,-1),1)</f>
        <v>1</v>
      </c>
      <c r="P1572" s="73">
        <f>IF(M1572=$A$1,1,$M1572-INDEX(MappingTables!$E$4:$E$8,MATCH(O1572,MappingTables!$B$4:$B$8,0)))</f>
        <v>1</v>
      </c>
      <c r="Q1572" s="71">
        <f>IF(B1572="",0,INDEX(ModelParameters!$D$6:$K$10,MATCH($O1572,ModelParameters!$B$6:$B$10,0),MATCH($J1572,ModelParameters!$D$5:$K$5,0)))</f>
        <v>0.0090000000000000016</v>
      </c>
      <c r="R1572" s="71">
        <f>IF(B1572="",0,INDEX(ModelParameters!$D$13:$K$17,MATCH($O1572,ModelParameters!$B$13:$B$17,0),MATCH($J1572,ModelParameters!$D$5:$K$5,0)))</f>
        <v>0</v>
      </c>
      <c r="S1572" s="160">
        <f>IF(B1572="",0,MIN(IF($N1572="Other Bond TM",ModelParameters!$N$21,1)*(P1572*Q1572+R1572),1))</f>
        <v>0.0090000000000000016</v>
      </c>
      <c r="T1572" s="85">
        <f>IF(B1572="",0,$S1572*$K1572)</f>
        <v>12.982786878700024</v>
      </c>
      <c r="U1572" s="85">
        <f>IF(B1572="",0,IF(OR(H1572=MappingTables!$C$34,H1572=MappingTables!$C$35),T1572,0))</f>
        <v>0</v>
      </c>
      <c r="V1572" s="85">
        <f>IF(ISNA(IF(AND(VLOOKUP(CONCATENATE($D1572,$G1572),CSRFinput!$B:$E,4,0)=0,OR(H1572=MappingTables!$C$34,H1572=MappingTables!$C$35)),1,VLOOKUP(CONCATENATE($D1572,$G1572),CSRFinput!$B:$E,4,0))),0,IF(AND(VLOOKUP(CONCATENATE($D1572,$G1572),CSRFinput!$B:$E,4,0)=0,OR(H1572=MappingTables!$C$34,H1572=MappingTables!$C$35)),1,VLOOKUP(CONCATENATE($D1572,$G1572),CSRFinput!$B:$E,4,0)))</f>
        <v>0.054776304963434752</v>
      </c>
      <c r="W1572" s="85">
        <f>IF(B1572="",0,+$T1572*$V1572)</f>
        <v>0.71114909334295176</v>
      </c>
      <c r="X1572" s="85">
        <f>IF(B1572="",0,IF(OR(H1572=MappingTables!$C$34,H1572=MappingTables!$C$35),W1572,0))</f>
        <v>0</v>
      </c>
    </row>
    <row r="1573" spans="2:24" s="0" customFormat="0" ht="15">
      <c r="B1573" s="69" t="s">
        <v>1808</v>
      </c>
      <c r="C1573" s="70" t="s">
        <v>1809</v>
      </c>
      <c r="D1573" s="70" t="s">
        <v>1</v>
      </c>
      <c r="E1573" s="70" t="s">
        <v>1</v>
      </c>
      <c r="F1573" s="70"/>
      <c r="G1573" s="70" t="s">
        <v>61</v>
      </c>
      <c r="H1573" s="70" t="s">
        <v>178</v>
      </c>
      <c r="I1573" s="70" t="s">
        <v>184</v>
      </c>
      <c r="J1573" s="71">
        <f>IF(OR(I1573=0,I1573=""),"unrated",VLOOKUP(I1573,MappingTables!$B$19:$C$31,2,FALSE))</f>
        <v>5</v>
      </c>
      <c r="K1573" s="72">
        <v>271.10316556849456</v>
      </c>
      <c r="L1573" s="70">
        <v>3.9248254199023448</v>
      </c>
      <c r="M1573" s="71">
        <f>IF(L1573&lt;1,1,L1573)</f>
        <v>3.9248254199023448</v>
      </c>
      <c r="N1573" s="70" t="s">
        <v>141</v>
      </c>
      <c r="O1573" s="71">
        <f>INDEX(DurClassMapping,MATCH(M1573,MappingTables!$D$4:$D$8,-1),1)</f>
        <v>1</v>
      </c>
      <c r="P1573" s="73">
        <f>IF(M1573=$A$1,1,$M1573-INDEX(MappingTables!$E$4:$E$8,MATCH(O1573,MappingTables!$B$4:$B$8,0)))</f>
        <v>3.9248254199023448</v>
      </c>
      <c r="Q1573" s="71">
        <f>IF(B1573="",0,INDEX(ModelParameters!$D$6:$K$10,MATCH($O1573,ModelParameters!$B$6:$B$10,0),MATCH($J1573,ModelParameters!$D$5:$K$5,0)))</f>
        <v>0.075</v>
      </c>
      <c r="R1573" s="71">
        <f>IF(B1573="",0,INDEX(ModelParameters!$D$13:$K$17,MATCH($O1573,ModelParameters!$B$13:$B$17,0),MATCH($J1573,ModelParameters!$D$5:$K$5,0)))</f>
        <v>0</v>
      </c>
      <c r="S1573" s="160">
        <f>IF(B1573="",0,MIN(IF($N1573="Other Bond TM",ModelParameters!$N$21,1)*(P1573*Q1573+R1573),1))</f>
        <v>0.29436190649267584</v>
      </c>
      <c r="T1573" s="85">
        <f>IF(B1573="",0,$S1573*$K1573)</f>
        <v>79.8024446729416</v>
      </c>
      <c r="U1573" s="85">
        <f>IF(B1573="",0,IF(OR(H1573=MappingTables!$C$34,H1573=MappingTables!$C$35),T1573,0))</f>
        <v>0</v>
      </c>
      <c r="V1573" s="85">
        <f>IF(ISNA(IF(AND(VLOOKUP(CONCATENATE($D1573,$G1573),CSRFinput!$B:$E,4,0)=0,OR(H1573=MappingTables!$C$34,H1573=MappingTables!$C$35)),1,VLOOKUP(CONCATENATE($D1573,$G1573),CSRFinput!$B:$E,4,0))),0,IF(AND(VLOOKUP(CONCATENATE($D1573,$G1573),CSRFinput!$B:$E,4,0)=0,OR(H1573=MappingTables!$C$34,H1573=MappingTables!$C$35)),1,VLOOKUP(CONCATENATE($D1573,$G1573),CSRFinput!$B:$E,4,0)))</f>
        <v>0.054776304963434752</v>
      </c>
      <c r="W1573" s="85">
        <f>IF(B1573="",0,+$T1573*$V1573)</f>
        <v>4.3712830462326784</v>
      </c>
      <c r="X1573" s="85">
        <f>IF(B1573="",0,IF(OR(H1573=MappingTables!$C$34,H1573=MappingTables!$C$35),W1573,0))</f>
        <v>0</v>
      </c>
    </row>
    <row r="1574" spans="2:24" s="0" customFormat="0" ht="15">
      <c r="B1574" s="69">
        <v>20459285</v>
      </c>
      <c r="C1574" s="70" t="s">
        <v>1810</v>
      </c>
      <c r="D1574" s="70" t="s">
        <v>1</v>
      </c>
      <c r="E1574" s="70" t="s">
        <v>1</v>
      </c>
      <c r="F1574" s="70"/>
      <c r="G1574" s="70" t="s">
        <v>61</v>
      </c>
      <c r="H1574" s="70" t="s">
        <v>178</v>
      </c>
      <c r="I1574" s="70" t="s">
        <v>181</v>
      </c>
      <c r="J1574" s="71">
        <f>IF(OR(I1574=0,I1574=""),"unrated",VLOOKUP(I1574,MappingTables!$B$19:$C$31,2,FALSE))</f>
        <v>3</v>
      </c>
      <c r="K1574" s="72">
        <v>2117.3475327049224</v>
      </c>
      <c r="L1574" s="70">
        <v>3.2161269160281516</v>
      </c>
      <c r="M1574" s="71">
        <f>IF(L1574&lt;1,1,L1574)</f>
        <v>3.2161269160281516</v>
      </c>
      <c r="N1574" s="70" t="s">
        <v>141</v>
      </c>
      <c r="O1574" s="71">
        <f>INDEX(DurClassMapping,MATCH(M1574,MappingTables!$D$4:$D$8,-1),1)</f>
        <v>1</v>
      </c>
      <c r="P1574" s="73">
        <f>IF(M1574=$A$1,1,$M1574-INDEX(MappingTables!$E$4:$E$8,MATCH(O1574,MappingTables!$B$4:$B$8,0)))</f>
        <v>3.2161269160281516</v>
      </c>
      <c r="Q1574" s="71">
        <f>IF(B1574="",0,INDEX(ModelParameters!$D$6:$K$10,MATCH($O1574,ModelParameters!$B$6:$B$10,0),MATCH($J1574,ModelParameters!$D$5:$K$5,0)))</f>
        <v>0.025</v>
      </c>
      <c r="R1574" s="71">
        <f>IF(B1574="",0,INDEX(ModelParameters!$D$13:$K$17,MATCH($O1574,ModelParameters!$B$13:$B$17,0),MATCH($J1574,ModelParameters!$D$5:$K$5,0)))</f>
        <v>0</v>
      </c>
      <c r="S1574" s="160">
        <f>IF(B1574="",0,MIN(IF($N1574="Other Bond TM",ModelParameters!$N$21,1)*(P1574*Q1574+R1574),1))</f>
        <v>0.080403172900703792</v>
      </c>
      <c r="T1574" s="85">
        <f>IF(B1574="",0,$S1574*$K1574)</f>
        <v>170.24145976295244</v>
      </c>
      <c r="U1574" s="85">
        <f>IF(B1574="",0,IF(OR(H1574=MappingTables!$C$34,H1574=MappingTables!$C$35),T1574,0))</f>
        <v>0</v>
      </c>
      <c r="V1574" s="85">
        <f>IF(ISNA(IF(AND(VLOOKUP(CONCATENATE($D1574,$G1574),CSRFinput!$B:$E,4,0)=0,OR(H1574=MappingTables!$C$34,H1574=MappingTables!$C$35)),1,VLOOKUP(CONCATENATE($D1574,$G1574),CSRFinput!$B:$E,4,0))),0,IF(AND(VLOOKUP(CONCATENATE($D1574,$G1574),CSRFinput!$B:$E,4,0)=0,OR(H1574=MappingTables!$C$34,H1574=MappingTables!$C$35)),1,VLOOKUP(CONCATENATE($D1574,$G1574),CSRFinput!$B:$E,4,0)))</f>
        <v>0.054776304963434752</v>
      </c>
      <c r="W1574" s="85">
        <f>IF(B1574="",0,+$T1574*$V1574)</f>
        <v>9.3251981173957888</v>
      </c>
      <c r="X1574" s="85">
        <f>IF(B1574="",0,IF(OR(H1574=MappingTables!$C$34,H1574=MappingTables!$C$35),W1574,0))</f>
        <v>0</v>
      </c>
    </row>
    <row r="1575" spans="2:24" s="0" customFormat="0" ht="15">
      <c r="B1575" s="69">
        <v>7379418</v>
      </c>
      <c r="C1575" s="70" t="s">
        <v>1196</v>
      </c>
      <c r="D1575" s="70" t="s">
        <v>1</v>
      </c>
      <c r="E1575" s="70" t="s">
        <v>1</v>
      </c>
      <c r="F1575" s="70"/>
      <c r="G1575" s="70" t="s">
        <v>61</v>
      </c>
      <c r="H1575" s="70" t="s">
        <v>178</v>
      </c>
      <c r="I1575" s="70" t="s">
        <v>179</v>
      </c>
      <c r="J1575" s="71">
        <f>IF(OR(I1575=0,I1575=""),"unrated",VLOOKUP(I1575,MappingTables!$B$19:$C$31,2,FALSE))</f>
        <v>4</v>
      </c>
      <c r="K1575" s="72">
        <v>3390.5878869372844</v>
      </c>
      <c r="L1575" s="70">
        <v>13.012571086501046</v>
      </c>
      <c r="M1575" s="71">
        <f>IF(L1575&lt;1,1,L1575)</f>
        <v>13.012571086501046</v>
      </c>
      <c r="N1575" s="70" t="s">
        <v>141</v>
      </c>
      <c r="O1575" s="71">
        <f>INDEX(DurClassMapping,MATCH(M1575,MappingTables!$D$4:$D$8,-1),1)</f>
        <v>3</v>
      </c>
      <c r="P1575" s="73">
        <f>IF(M1575=$A$1,1,$M1575-INDEX(MappingTables!$E$4:$E$8,MATCH(O1575,MappingTables!$B$4:$B$8,0)))</f>
        <v>3.0125710865010456</v>
      </c>
      <c r="Q1575" s="71">
        <f>IF(B1575="",0,INDEX(ModelParameters!$D$6:$K$10,MATCH($O1575,ModelParameters!$B$6:$B$10,0),MATCH($J1575,ModelParameters!$D$5:$K$5,0)))</f>
        <v>0.018000000000000002</v>
      </c>
      <c r="R1575" s="71">
        <f>IF(B1575="",0,INDEX(ModelParameters!$D$13:$K$17,MATCH($O1575,ModelParameters!$B$13:$B$17,0),MATCH($J1575,ModelParameters!$D$5:$K$5,0)))</f>
        <v>0.34999999999999996</v>
      </c>
      <c r="S1575" s="160">
        <f>IF(B1575="",0,MIN(IF($N1575="Other Bond TM",ModelParameters!$N$21,1)*(P1575*Q1575+R1575),1))</f>
        <v>0.4042262795570188</v>
      </c>
      <c r="T1575" s="85">
        <f>IF(B1575="",0,$S1575*$K1575)</f>
        <v>1370.5647270477522</v>
      </c>
      <c r="U1575" s="85">
        <f>IF(B1575="",0,IF(OR(H1575=MappingTables!$C$34,H1575=MappingTables!$C$35),T1575,0))</f>
        <v>0</v>
      </c>
      <c r="V1575" s="85">
        <f>IF(ISNA(IF(AND(VLOOKUP(CONCATENATE($D1575,$G1575),CSRFinput!$B:$E,4,0)=0,OR(H1575=MappingTables!$C$34,H1575=MappingTables!$C$35)),1,VLOOKUP(CONCATENATE($D1575,$G1575),CSRFinput!$B:$E,4,0))),0,IF(AND(VLOOKUP(CONCATENATE($D1575,$G1575),CSRFinput!$B:$E,4,0)=0,OR(H1575=MappingTables!$C$34,H1575=MappingTables!$C$35)),1,VLOOKUP(CONCATENATE($D1575,$G1575),CSRFinput!$B:$E,4,0)))</f>
        <v>0.054776304963434752</v>
      </c>
      <c r="W1575" s="85">
        <f>IF(B1575="",0,+$T1575*$V1575)</f>
        <v>75.074471460894384</v>
      </c>
      <c r="X1575" s="85">
        <f>IF(B1575="",0,IF(OR(H1575=MappingTables!$C$34,H1575=MappingTables!$C$35),W1575,0))</f>
        <v>0</v>
      </c>
    </row>
    <row r="1576" spans="2:24" s="0" customFormat="0" ht="15">
      <c r="B1576" s="69" t="s">
        <v>1811</v>
      </c>
      <c r="C1576" s="70" t="s">
        <v>1812</v>
      </c>
      <c r="D1576" s="70" t="s">
        <v>1</v>
      </c>
      <c r="E1576" s="70" t="s">
        <v>1</v>
      </c>
      <c r="F1576" s="70"/>
      <c r="G1576" s="70" t="s">
        <v>61</v>
      </c>
      <c r="H1576" s="70" t="s">
        <v>178</v>
      </c>
      <c r="I1576" s="70" t="s">
        <v>181</v>
      </c>
      <c r="J1576" s="71">
        <f>IF(OR(I1576=0,I1576=""),"unrated",VLOOKUP(I1576,MappingTables!$B$19:$C$31,2,FALSE))</f>
        <v>3</v>
      </c>
      <c r="K1576" s="72">
        <v>0.60460840563759224</v>
      </c>
      <c r="L1576" s="70">
        <v>0.89042343995157328</v>
      </c>
      <c r="M1576" s="71">
        <f>IF(L1576&lt;1,1,L1576)</f>
        <v>1</v>
      </c>
      <c r="N1576" s="70" t="s">
        <v>141</v>
      </c>
      <c r="O1576" s="71">
        <f>INDEX(DurClassMapping,MATCH(M1576,MappingTables!$D$4:$D$8,-1),1)</f>
        <v>1</v>
      </c>
      <c r="P1576" s="73">
        <f>IF(M1576=$A$1,1,$M1576-INDEX(MappingTables!$E$4:$E$8,MATCH(O1576,MappingTables!$B$4:$B$8,0)))</f>
        <v>1</v>
      </c>
      <c r="Q1576" s="71">
        <f>IF(B1576="",0,INDEX(ModelParameters!$D$6:$K$10,MATCH($O1576,ModelParameters!$B$6:$B$10,0),MATCH($J1576,ModelParameters!$D$5:$K$5,0)))</f>
        <v>0.025</v>
      </c>
      <c r="R1576" s="71">
        <f>IF(B1576="",0,INDEX(ModelParameters!$D$13:$K$17,MATCH($O1576,ModelParameters!$B$13:$B$17,0),MATCH($J1576,ModelParameters!$D$5:$K$5,0)))</f>
        <v>0</v>
      </c>
      <c r="S1576" s="160">
        <f>IF(B1576="",0,MIN(IF($N1576="Other Bond TM",ModelParameters!$N$21,1)*(P1576*Q1576+R1576),1))</f>
        <v>0.025</v>
      </c>
      <c r="T1576" s="85">
        <f>IF(B1576="",0,$S1576*$K1576)</f>
        <v>0.015115210140939806</v>
      </c>
      <c r="U1576" s="85">
        <f>IF(B1576="",0,IF(OR(H1576=MappingTables!$C$34,H1576=MappingTables!$C$35),T1576,0))</f>
        <v>0</v>
      </c>
      <c r="V1576" s="85">
        <f>IF(ISNA(IF(AND(VLOOKUP(CONCATENATE($D1576,$G1576),CSRFinput!$B:$E,4,0)=0,OR(H1576=MappingTables!$C$34,H1576=MappingTables!$C$35)),1,VLOOKUP(CONCATENATE($D1576,$G1576),CSRFinput!$B:$E,4,0))),0,IF(AND(VLOOKUP(CONCATENATE($D1576,$G1576),CSRFinput!$B:$E,4,0)=0,OR(H1576=MappingTables!$C$34,H1576=MappingTables!$C$35)),1,VLOOKUP(CONCATENATE($D1576,$G1576),CSRFinput!$B:$E,4,0)))</f>
        <v>0.054776304963434752</v>
      </c>
      <c r="W1576" s="85">
        <f>IF(B1576="",0,+$T1576*$V1576)</f>
        <v>0.00082795536026652048</v>
      </c>
      <c r="X1576" s="85">
        <f>IF(B1576="",0,IF(OR(H1576=MappingTables!$C$34,H1576=MappingTables!$C$35),W1576,0))</f>
        <v>0</v>
      </c>
    </row>
    <row r="1577" spans="2:24" s="0" customFormat="0" ht="15">
      <c r="B1577" s="69" t="s">
        <v>267</v>
      </c>
      <c r="C1577" s="70" t="s">
        <v>268</v>
      </c>
      <c r="D1577" s="70" t="s">
        <v>1</v>
      </c>
      <c r="E1577" s="70" t="s">
        <v>1</v>
      </c>
      <c r="F1577" s="70"/>
      <c r="G1577" s="70" t="s">
        <v>61</v>
      </c>
      <c r="H1577" s="70" t="s">
        <v>178</v>
      </c>
      <c r="I1577" s="70" t="s">
        <v>198</v>
      </c>
      <c r="J1577" s="71" t="str">
        <f>IF(OR(I1577=0,I1577=""),"unrated",VLOOKUP(I1577,MappingTables!$B$19:$C$31,2,FALSE))</f>
        <v>unrated</v>
      </c>
      <c r="K1577" s="72">
        <v>9144.367630461496</v>
      </c>
      <c r="L1577" s="70">
        <v>2.0257113059998904</v>
      </c>
      <c r="M1577" s="71">
        <f>IF(L1577&lt;1,1,L1577)</f>
        <v>2.0257113059998904</v>
      </c>
      <c r="N1577" s="70" t="s">
        <v>141</v>
      </c>
      <c r="O1577" s="71">
        <f>INDEX(DurClassMapping,MATCH(M1577,MappingTables!$D$4:$D$8,-1),1)</f>
        <v>1</v>
      </c>
      <c r="P1577" s="73">
        <f>IF(M1577=$A$1,1,$M1577-INDEX(MappingTables!$E$4:$E$8,MATCH(O1577,MappingTables!$B$4:$B$8,0)))</f>
        <v>2.0257113059998904</v>
      </c>
      <c r="Q1577" s="71">
        <f>IF(B1577="",0,INDEX(ModelParameters!$D$6:$K$10,MATCH($O1577,ModelParameters!$B$6:$B$10,0),MATCH($J1577,ModelParameters!$D$5:$K$5,0)))</f>
        <v>0.03</v>
      </c>
      <c r="R1577" s="71">
        <f>IF(B1577="",0,INDEX(ModelParameters!$D$13:$K$17,MATCH($O1577,ModelParameters!$B$13:$B$17,0),MATCH($J1577,ModelParameters!$D$5:$K$5,0)))</f>
        <v>0</v>
      </c>
      <c r="S1577" s="160">
        <f>IF(B1577="",0,MIN(IF($N1577="Other Bond TM",ModelParameters!$N$21,1)*(P1577*Q1577+R1577),1))</f>
        <v>0.060771339179996712</v>
      </c>
      <c r="T1577" s="85">
        <f>IF(B1577="",0,$S1577*$K1577)</f>
        <v>555.71546685735848</v>
      </c>
      <c r="U1577" s="85">
        <f>IF(B1577="",0,IF(OR(H1577=MappingTables!$C$34,H1577=MappingTables!$C$35),T1577,0))</f>
        <v>0</v>
      </c>
      <c r="V1577" s="85">
        <f>IF(ISNA(IF(AND(VLOOKUP(CONCATENATE($D1577,$G1577),CSRFinput!$B:$E,4,0)=0,OR(H1577=MappingTables!$C$34,H1577=MappingTables!$C$35)),1,VLOOKUP(CONCATENATE($D1577,$G1577),CSRFinput!$B:$E,4,0))),0,IF(AND(VLOOKUP(CONCATENATE($D1577,$G1577),CSRFinput!$B:$E,4,0)=0,OR(H1577=MappingTables!$C$34,H1577=MappingTables!$C$35)),1,VLOOKUP(CONCATENATE($D1577,$G1577),CSRFinput!$B:$E,4,0)))</f>
        <v>0.054776304963434752</v>
      </c>
      <c r="W1577" s="85">
        <f>IF(B1577="",0,+$T1577*$V1577)</f>
        <v>30.440039885476184</v>
      </c>
      <c r="X1577" s="85">
        <f>IF(B1577="",0,IF(OR(H1577=MappingTables!$C$34,H1577=MappingTables!$C$35),W1577,0))</f>
        <v>0</v>
      </c>
    </row>
    <row r="1578" spans="2:24" s="0" customFormat="0" ht="15">
      <c r="B1578" s="69">
        <v>16952847</v>
      </c>
      <c r="C1578" s="70" t="s">
        <v>1813</v>
      </c>
      <c r="D1578" s="70" t="s">
        <v>1</v>
      </c>
      <c r="E1578" s="70" t="s">
        <v>1</v>
      </c>
      <c r="F1578" s="70"/>
      <c r="G1578" s="70" t="s">
        <v>61</v>
      </c>
      <c r="H1578" s="70" t="s">
        <v>178</v>
      </c>
      <c r="I1578" s="70" t="s">
        <v>181</v>
      </c>
      <c r="J1578" s="71">
        <f>IF(OR(I1578=0,I1578=""),"unrated",VLOOKUP(I1578,MappingTables!$B$19:$C$31,2,FALSE))</f>
        <v>3</v>
      </c>
      <c r="K1578" s="72">
        <v>8.9629171982437008</v>
      </c>
      <c r="L1578" s="70">
        <v>0.4054780554101196</v>
      </c>
      <c r="M1578" s="71">
        <f>IF(L1578&lt;1,1,L1578)</f>
        <v>1</v>
      </c>
      <c r="N1578" s="70" t="s">
        <v>141</v>
      </c>
      <c r="O1578" s="71">
        <f>INDEX(DurClassMapping,MATCH(M1578,MappingTables!$D$4:$D$8,-1),1)</f>
        <v>1</v>
      </c>
      <c r="P1578" s="73">
        <f>IF(M1578=$A$1,1,$M1578-INDEX(MappingTables!$E$4:$E$8,MATCH(O1578,MappingTables!$B$4:$B$8,0)))</f>
        <v>1</v>
      </c>
      <c r="Q1578" s="71">
        <f>IF(B1578="",0,INDEX(ModelParameters!$D$6:$K$10,MATCH($O1578,ModelParameters!$B$6:$B$10,0),MATCH($J1578,ModelParameters!$D$5:$K$5,0)))</f>
        <v>0.025</v>
      </c>
      <c r="R1578" s="71">
        <f>IF(B1578="",0,INDEX(ModelParameters!$D$13:$K$17,MATCH($O1578,ModelParameters!$B$13:$B$17,0),MATCH($J1578,ModelParameters!$D$5:$K$5,0)))</f>
        <v>0</v>
      </c>
      <c r="S1578" s="160">
        <f>IF(B1578="",0,MIN(IF($N1578="Other Bond TM",ModelParameters!$N$21,1)*(P1578*Q1578+R1578),1))</f>
        <v>0.025</v>
      </c>
      <c r="T1578" s="85">
        <f>IF(B1578="",0,$S1578*$K1578)</f>
        <v>0.22407292995609256</v>
      </c>
      <c r="U1578" s="85">
        <f>IF(B1578="",0,IF(OR(H1578=MappingTables!$C$34,H1578=MappingTables!$C$35),T1578,0))</f>
        <v>0</v>
      </c>
      <c r="V1578" s="85">
        <f>IF(ISNA(IF(AND(VLOOKUP(CONCATENATE($D1578,$G1578),CSRFinput!$B:$E,4,0)=0,OR(H1578=MappingTables!$C$34,H1578=MappingTables!$C$35)),1,VLOOKUP(CONCATENATE($D1578,$G1578),CSRFinput!$B:$E,4,0))),0,IF(AND(VLOOKUP(CONCATENATE($D1578,$G1578),CSRFinput!$B:$E,4,0)=0,OR(H1578=MappingTables!$C$34,H1578=MappingTables!$C$35)),1,VLOOKUP(CONCATENATE($D1578,$G1578),CSRFinput!$B:$E,4,0)))</f>
        <v>0.054776304963434752</v>
      </c>
      <c r="W1578" s="85">
        <f>IF(B1578="",0,+$T1578*$V1578)</f>
        <v>0.01227388714532528</v>
      </c>
      <c r="X1578" s="85">
        <f>IF(B1578="",0,IF(OR(H1578=MappingTables!$C$34,H1578=MappingTables!$C$35),W1578,0))</f>
        <v>0</v>
      </c>
    </row>
    <row r="1579" spans="2:24" s="0" customFormat="0" ht="15">
      <c r="B1579" s="69">
        <v>16117364</v>
      </c>
      <c r="C1579" s="70" t="s">
        <v>1407</v>
      </c>
      <c r="D1579" s="70" t="s">
        <v>1</v>
      </c>
      <c r="E1579" s="70" t="s">
        <v>1</v>
      </c>
      <c r="F1579" s="70"/>
      <c r="G1579" s="70" t="s">
        <v>61</v>
      </c>
      <c r="H1579" s="70" t="s">
        <v>178</v>
      </c>
      <c r="I1579" s="70" t="s">
        <v>188</v>
      </c>
      <c r="J1579" s="71">
        <f>IF(OR(I1579=0,I1579=""),"unrated",VLOOKUP(I1579,MappingTables!$B$19:$C$31,2,FALSE))</f>
        <v>2</v>
      </c>
      <c r="K1579" s="72">
        <v>924.18577770294096</v>
      </c>
      <c r="L1579" s="70">
        <v>16.162183745887948</v>
      </c>
      <c r="M1579" s="71">
        <f>IF(L1579&lt;1,1,L1579)</f>
        <v>16.162183745887948</v>
      </c>
      <c r="N1579" s="70" t="s">
        <v>141</v>
      </c>
      <c r="O1579" s="71">
        <f>INDEX(DurClassMapping,MATCH(M1579,MappingTables!$D$4:$D$8,-1),1)</f>
        <v>4</v>
      </c>
      <c r="P1579" s="73">
        <f>IF(M1579=$A$1,1,$M1579-INDEX(MappingTables!$E$4:$E$8,MATCH(O1579,MappingTables!$B$4:$B$8,0)))</f>
        <v>1.1621837458879476</v>
      </c>
      <c r="Q1579" s="71">
        <f>IF(B1579="",0,INDEX(ModelParameters!$D$6:$K$10,MATCH($O1579,ModelParameters!$B$6:$B$10,0),MATCH($J1579,ModelParameters!$D$5:$K$5,0)))</f>
        <v>0.005</v>
      </c>
      <c r="R1579" s="71">
        <f>IF(B1579="",0,INDEX(ModelParameters!$D$13:$K$17,MATCH($O1579,ModelParameters!$B$13:$B$17,0),MATCH($J1579,ModelParameters!$D$5:$K$5,0)))</f>
        <v>0.13</v>
      </c>
      <c r="S1579" s="160">
        <f>IF(B1579="",0,MIN(IF($N1579="Other Bond TM",ModelParameters!$N$21,1)*(P1579*Q1579+R1579),1))</f>
        <v>0.13581091872943974</v>
      </c>
      <c r="T1579" s="85">
        <f>IF(B1579="",0,$S1579*$K1579)</f>
        <v>125.51451954651818</v>
      </c>
      <c r="U1579" s="85">
        <f>IF(B1579="",0,IF(OR(H1579=MappingTables!$C$34,H1579=MappingTables!$C$35),T1579,0))</f>
        <v>0</v>
      </c>
      <c r="V1579" s="85">
        <f>IF(ISNA(IF(AND(VLOOKUP(CONCATENATE($D1579,$G1579),CSRFinput!$B:$E,4,0)=0,OR(H1579=MappingTables!$C$34,H1579=MappingTables!$C$35)),1,VLOOKUP(CONCATENATE($D1579,$G1579),CSRFinput!$B:$E,4,0))),0,IF(AND(VLOOKUP(CONCATENATE($D1579,$G1579),CSRFinput!$B:$E,4,0)=0,OR(H1579=MappingTables!$C$34,H1579=MappingTables!$C$35)),1,VLOOKUP(CONCATENATE($D1579,$G1579),CSRFinput!$B:$E,4,0)))</f>
        <v>0.054776304963434752</v>
      </c>
      <c r="W1579" s="85">
        <f>IF(B1579="",0,+$T1579*$V1579)</f>
        <v>6.8752216000190712</v>
      </c>
      <c r="X1579" s="85">
        <f>IF(B1579="",0,IF(OR(H1579=MappingTables!$C$34,H1579=MappingTables!$C$35),W1579,0))</f>
        <v>0</v>
      </c>
    </row>
    <row r="1580" spans="2:24" s="0" customFormat="0" ht="15">
      <c r="B1580" s="69">
        <v>14957856</v>
      </c>
      <c r="C1580" s="70" t="s">
        <v>1814</v>
      </c>
      <c r="D1580" s="70" t="s">
        <v>1</v>
      </c>
      <c r="E1580" s="70" t="s">
        <v>1</v>
      </c>
      <c r="F1580" s="70"/>
      <c r="G1580" s="70" t="s">
        <v>61</v>
      </c>
      <c r="H1580" s="70" t="s">
        <v>178</v>
      </c>
      <c r="I1580" s="70" t="s">
        <v>184</v>
      </c>
      <c r="J1580" s="71">
        <f>IF(OR(I1580=0,I1580=""),"unrated",VLOOKUP(I1580,MappingTables!$B$19:$C$31,2,FALSE))</f>
        <v>5</v>
      </c>
      <c r="K1580" s="72">
        <v>279.18980163002584</v>
      </c>
      <c r="L1580" s="70">
        <v>0.087671414899016032</v>
      </c>
      <c r="M1580" s="71">
        <f>IF(L1580&lt;1,1,L1580)</f>
        <v>1</v>
      </c>
      <c r="N1580" s="70" t="s">
        <v>141</v>
      </c>
      <c r="O1580" s="71">
        <f>INDEX(DurClassMapping,MATCH(M1580,MappingTables!$D$4:$D$8,-1),1)</f>
        <v>1</v>
      </c>
      <c r="P1580" s="73">
        <f>IF(M1580=$A$1,1,$M1580-INDEX(MappingTables!$E$4:$E$8,MATCH(O1580,MappingTables!$B$4:$B$8,0)))</f>
        <v>1</v>
      </c>
      <c r="Q1580" s="71">
        <f>IF(B1580="",0,INDEX(ModelParameters!$D$6:$K$10,MATCH($O1580,ModelParameters!$B$6:$B$10,0),MATCH($J1580,ModelParameters!$D$5:$K$5,0)))</f>
        <v>0.075</v>
      </c>
      <c r="R1580" s="71">
        <f>IF(B1580="",0,INDEX(ModelParameters!$D$13:$K$17,MATCH($O1580,ModelParameters!$B$13:$B$17,0),MATCH($J1580,ModelParameters!$D$5:$K$5,0)))</f>
        <v>0</v>
      </c>
      <c r="S1580" s="160">
        <f>IF(B1580="",0,MIN(IF($N1580="Other Bond TM",ModelParameters!$N$21,1)*(P1580*Q1580+R1580),1))</f>
        <v>0.075</v>
      </c>
      <c r="T1580" s="85">
        <f>IF(B1580="",0,$S1580*$K1580)</f>
        <v>20.939235122251936</v>
      </c>
      <c r="U1580" s="85">
        <f>IF(B1580="",0,IF(OR(H1580=MappingTables!$C$34,H1580=MappingTables!$C$35),T1580,0))</f>
        <v>0</v>
      </c>
      <c r="V1580" s="85">
        <f>IF(ISNA(IF(AND(VLOOKUP(CONCATENATE($D1580,$G1580),CSRFinput!$B:$E,4,0)=0,OR(H1580=MappingTables!$C$34,H1580=MappingTables!$C$35)),1,VLOOKUP(CONCATENATE($D1580,$G1580),CSRFinput!$B:$E,4,0))),0,IF(AND(VLOOKUP(CONCATENATE($D1580,$G1580),CSRFinput!$B:$E,4,0)=0,OR(H1580=MappingTables!$C$34,H1580=MappingTables!$C$35)),1,VLOOKUP(CONCATENATE($D1580,$G1580),CSRFinput!$B:$E,4,0)))</f>
        <v>0.054776304963434752</v>
      </c>
      <c r="W1580" s="85">
        <f>IF(B1580="",0,+$T1580*$V1580)</f>
        <v>1.146973928757536</v>
      </c>
      <c r="X1580" s="85">
        <f>IF(B1580="",0,IF(OR(H1580=MappingTables!$C$34,H1580=MappingTables!$C$35),W1580,0))</f>
        <v>0</v>
      </c>
    </row>
    <row r="1581" spans="2:24" s="0" customFormat="0" ht="15">
      <c r="B1581" s="69">
        <v>18542337</v>
      </c>
      <c r="C1581" s="70" t="s">
        <v>1815</v>
      </c>
      <c r="D1581" s="70" t="s">
        <v>1</v>
      </c>
      <c r="E1581" s="70" t="s">
        <v>1</v>
      </c>
      <c r="F1581" s="70"/>
      <c r="G1581" s="70" t="s">
        <v>61</v>
      </c>
      <c r="H1581" s="70" t="s">
        <v>178</v>
      </c>
      <c r="I1581" s="70" t="s">
        <v>181</v>
      </c>
      <c r="J1581" s="71">
        <f>IF(OR(I1581=0,I1581=""),"unrated",VLOOKUP(I1581,MappingTables!$B$19:$C$31,2,FALSE))</f>
        <v>3</v>
      </c>
      <c r="K1581" s="72">
        <v>1315.0629589669274</v>
      </c>
      <c r="L1581" s="70">
        <v>1.6938319091254222</v>
      </c>
      <c r="M1581" s="71">
        <f>IF(L1581&lt;1,1,L1581)</f>
        <v>1.6938319091254222</v>
      </c>
      <c r="N1581" s="70" t="s">
        <v>141</v>
      </c>
      <c r="O1581" s="71">
        <f>INDEX(DurClassMapping,MATCH(M1581,MappingTables!$D$4:$D$8,-1),1)</f>
        <v>1</v>
      </c>
      <c r="P1581" s="73">
        <f>IF(M1581=$A$1,1,$M1581-INDEX(MappingTables!$E$4:$E$8,MATCH(O1581,MappingTables!$B$4:$B$8,0)))</f>
        <v>1.6938319091254222</v>
      </c>
      <c r="Q1581" s="71">
        <f>IF(B1581="",0,INDEX(ModelParameters!$D$6:$K$10,MATCH($O1581,ModelParameters!$B$6:$B$10,0),MATCH($J1581,ModelParameters!$D$5:$K$5,0)))</f>
        <v>0.025</v>
      </c>
      <c r="R1581" s="71">
        <f>IF(B1581="",0,INDEX(ModelParameters!$D$13:$K$17,MATCH($O1581,ModelParameters!$B$13:$B$17,0),MATCH($J1581,ModelParameters!$D$5:$K$5,0)))</f>
        <v>0</v>
      </c>
      <c r="S1581" s="160">
        <f>IF(B1581="",0,MIN(IF($N1581="Other Bond TM",ModelParameters!$N$21,1)*(P1581*Q1581+R1581),1))</f>
        <v>0.04234579772813556</v>
      </c>
      <c r="T1581" s="85">
        <f>IF(B1581="",0,$S1581*$K1581)</f>
        <v>55.687390060176936</v>
      </c>
      <c r="U1581" s="85">
        <f>IF(B1581="",0,IF(OR(H1581=MappingTables!$C$34,H1581=MappingTables!$C$35),T1581,0))</f>
        <v>0</v>
      </c>
      <c r="V1581" s="85">
        <f>IF(ISNA(IF(AND(VLOOKUP(CONCATENATE($D1581,$G1581),CSRFinput!$B:$E,4,0)=0,OR(H1581=MappingTables!$C$34,H1581=MappingTables!$C$35)),1,VLOOKUP(CONCATENATE($D1581,$G1581),CSRFinput!$B:$E,4,0))),0,IF(AND(VLOOKUP(CONCATENATE($D1581,$G1581),CSRFinput!$B:$E,4,0)=0,OR(H1581=MappingTables!$C$34,H1581=MappingTables!$C$35)),1,VLOOKUP(CONCATENATE($D1581,$G1581),CSRFinput!$B:$E,4,0)))</f>
        <v>0.054776304963434752</v>
      </c>
      <c r="W1581" s="85">
        <f>IF(B1581="",0,+$T1581*$V1581)</f>
        <v>3.0503494605539972</v>
      </c>
      <c r="X1581" s="85">
        <f>IF(B1581="",0,IF(OR(H1581=MappingTables!$C$34,H1581=MappingTables!$C$35),W1581,0))</f>
        <v>0</v>
      </c>
    </row>
    <row r="1582" spans="2:24" s="0" customFormat="0" ht="15">
      <c r="B1582" s="69">
        <v>16209303</v>
      </c>
      <c r="C1582" s="70" t="s">
        <v>1816</v>
      </c>
      <c r="D1582" s="70" t="s">
        <v>1</v>
      </c>
      <c r="E1582" s="70" t="s">
        <v>1</v>
      </c>
      <c r="F1582" s="70"/>
      <c r="G1582" s="70" t="s">
        <v>61</v>
      </c>
      <c r="H1582" s="70" t="s">
        <v>178</v>
      </c>
      <c r="I1582" s="70" t="s">
        <v>181</v>
      </c>
      <c r="J1582" s="71">
        <f>IF(OR(I1582=0,I1582=""),"unrated",VLOOKUP(I1582,MappingTables!$B$19:$C$31,2,FALSE))</f>
        <v>3</v>
      </c>
      <c r="K1582" s="72">
        <v>2627.6141410323772</v>
      </c>
      <c r="L1582" s="70">
        <v>1.7034161672722918</v>
      </c>
      <c r="M1582" s="71">
        <f>IF(L1582&lt;1,1,L1582)</f>
        <v>1.7034161672722918</v>
      </c>
      <c r="N1582" s="70" t="s">
        <v>141</v>
      </c>
      <c r="O1582" s="71">
        <f>INDEX(DurClassMapping,MATCH(M1582,MappingTables!$D$4:$D$8,-1),1)</f>
        <v>1</v>
      </c>
      <c r="P1582" s="73">
        <f>IF(M1582=$A$1,1,$M1582-INDEX(MappingTables!$E$4:$E$8,MATCH(O1582,MappingTables!$B$4:$B$8,0)))</f>
        <v>1.7034161672722918</v>
      </c>
      <c r="Q1582" s="71">
        <f>IF(B1582="",0,INDEX(ModelParameters!$D$6:$K$10,MATCH($O1582,ModelParameters!$B$6:$B$10,0),MATCH($J1582,ModelParameters!$D$5:$K$5,0)))</f>
        <v>0.025</v>
      </c>
      <c r="R1582" s="71">
        <f>IF(B1582="",0,INDEX(ModelParameters!$D$13:$K$17,MATCH($O1582,ModelParameters!$B$13:$B$17,0),MATCH($J1582,ModelParameters!$D$5:$K$5,0)))</f>
        <v>0</v>
      </c>
      <c r="S1582" s="160">
        <f>IF(B1582="",0,MIN(IF($N1582="Other Bond TM",ModelParameters!$N$21,1)*(P1582*Q1582+R1582),1))</f>
        <v>0.042585404181807296</v>
      </c>
      <c r="T1582" s="85">
        <f>IF(B1582="",0,$S1582*$K1582)</f>
        <v>111.89801022969618</v>
      </c>
      <c r="U1582" s="85">
        <f>IF(B1582="",0,IF(OR(H1582=MappingTables!$C$34,H1582=MappingTables!$C$35),T1582,0))</f>
        <v>0</v>
      </c>
      <c r="V1582" s="85">
        <f>IF(ISNA(IF(AND(VLOOKUP(CONCATENATE($D1582,$G1582),CSRFinput!$B:$E,4,0)=0,OR(H1582=MappingTables!$C$34,H1582=MappingTables!$C$35)),1,VLOOKUP(CONCATENATE($D1582,$G1582),CSRFinput!$B:$E,4,0))),0,IF(AND(VLOOKUP(CONCATENATE($D1582,$G1582),CSRFinput!$B:$E,4,0)=0,OR(H1582=MappingTables!$C$34,H1582=MappingTables!$C$35)),1,VLOOKUP(CONCATENATE($D1582,$G1582),CSRFinput!$B:$E,4,0)))</f>
        <v>0.054776304963434752</v>
      </c>
      <c r="W1582" s="85">
        <f>IF(B1582="",0,+$T1582*$V1582)</f>
        <v>6.12935953314338</v>
      </c>
      <c r="X1582" s="85">
        <f>IF(B1582="",0,IF(OR(H1582=MappingTables!$C$34,H1582=MappingTables!$C$35),W1582,0))</f>
        <v>0</v>
      </c>
    </row>
    <row r="1583" spans="2:24" s="0" customFormat="0" ht="15">
      <c r="B1583" s="69">
        <v>17267347</v>
      </c>
      <c r="C1583" s="70" t="s">
        <v>1817</v>
      </c>
      <c r="D1583" s="70" t="s">
        <v>1</v>
      </c>
      <c r="E1583" s="70" t="s">
        <v>1</v>
      </c>
      <c r="F1583" s="70"/>
      <c r="G1583" s="70" t="s">
        <v>61</v>
      </c>
      <c r="H1583" s="70" t="s">
        <v>178</v>
      </c>
      <c r="I1583" s="70" t="s">
        <v>188</v>
      </c>
      <c r="J1583" s="71">
        <f>IF(OR(I1583=0,I1583=""),"unrated",VLOOKUP(I1583,MappingTables!$B$19:$C$31,2,FALSE))</f>
        <v>2</v>
      </c>
      <c r="K1583" s="72">
        <v>222.25805551834404</v>
      </c>
      <c r="L1583" s="70">
        <v>0.990916684204132</v>
      </c>
      <c r="M1583" s="71">
        <f>IF(L1583&lt;1,1,L1583)</f>
        <v>1</v>
      </c>
      <c r="N1583" s="70" t="s">
        <v>141</v>
      </c>
      <c r="O1583" s="71">
        <f>INDEX(DurClassMapping,MATCH(M1583,MappingTables!$D$4:$D$8,-1),1)</f>
        <v>1</v>
      </c>
      <c r="P1583" s="73">
        <f>IF(M1583=$A$1,1,$M1583-INDEX(MappingTables!$E$4:$E$8,MATCH(O1583,MappingTables!$B$4:$B$8,0)))</f>
        <v>1</v>
      </c>
      <c r="Q1583" s="71">
        <f>IF(B1583="",0,INDEX(ModelParameters!$D$6:$K$10,MATCH($O1583,ModelParameters!$B$6:$B$10,0),MATCH($J1583,ModelParameters!$D$5:$K$5,0)))</f>
        <v>0.013999999999999998</v>
      </c>
      <c r="R1583" s="71">
        <f>IF(B1583="",0,INDEX(ModelParameters!$D$13:$K$17,MATCH($O1583,ModelParameters!$B$13:$B$17,0),MATCH($J1583,ModelParameters!$D$5:$K$5,0)))</f>
        <v>0</v>
      </c>
      <c r="S1583" s="160">
        <f>IF(B1583="",0,MIN(IF($N1583="Other Bond TM",ModelParameters!$N$21,1)*(P1583*Q1583+R1583),1))</f>
        <v>0.013999999999999998</v>
      </c>
      <c r="T1583" s="85">
        <f>IF(B1583="",0,$S1583*$K1583)</f>
        <v>3.1116127772568164</v>
      </c>
      <c r="U1583" s="85">
        <f>IF(B1583="",0,IF(OR(H1583=MappingTables!$C$34,H1583=MappingTables!$C$35),T1583,0))</f>
        <v>0</v>
      </c>
      <c r="V1583" s="85">
        <f>IF(ISNA(IF(AND(VLOOKUP(CONCATENATE($D1583,$G1583),CSRFinput!$B:$E,4,0)=0,OR(H1583=MappingTables!$C$34,H1583=MappingTables!$C$35)),1,VLOOKUP(CONCATENATE($D1583,$G1583),CSRFinput!$B:$E,4,0))),0,IF(AND(VLOOKUP(CONCATENATE($D1583,$G1583),CSRFinput!$B:$E,4,0)=0,OR(H1583=MappingTables!$C$34,H1583=MappingTables!$C$35)),1,VLOOKUP(CONCATENATE($D1583,$G1583),CSRFinput!$B:$E,4,0)))</f>
        <v>0.054776304963434752</v>
      </c>
      <c r="W1583" s="85">
        <f>IF(B1583="",0,+$T1583*$V1583)</f>
        <v>0.17044265041513954</v>
      </c>
      <c r="X1583" s="85">
        <f>IF(B1583="",0,IF(OR(H1583=MappingTables!$C$34,H1583=MappingTables!$C$35),W1583,0))</f>
        <v>0</v>
      </c>
    </row>
    <row r="1584" spans="2:24" s="0" customFormat="0" ht="15">
      <c r="B1584" s="69">
        <v>13709736</v>
      </c>
      <c r="C1584" s="70" t="s">
        <v>1818</v>
      </c>
      <c r="D1584" s="70" t="s">
        <v>1</v>
      </c>
      <c r="E1584" s="70" t="s">
        <v>1</v>
      </c>
      <c r="F1584" s="70"/>
      <c r="G1584" s="70" t="s">
        <v>61</v>
      </c>
      <c r="H1584" s="70" t="s">
        <v>178</v>
      </c>
      <c r="I1584" s="70" t="s">
        <v>188</v>
      </c>
      <c r="J1584" s="71">
        <f>IF(OR(I1584=0,I1584=""),"unrated",VLOOKUP(I1584,MappingTables!$B$19:$C$31,2,FALSE))</f>
        <v>2</v>
      </c>
      <c r="K1584" s="72">
        <v>1333.877248695522</v>
      </c>
      <c r="L1584" s="70">
        <v>1.2908746236231806</v>
      </c>
      <c r="M1584" s="71">
        <f>IF(L1584&lt;1,1,L1584)</f>
        <v>1.2908746236231806</v>
      </c>
      <c r="N1584" s="70" t="s">
        <v>141</v>
      </c>
      <c r="O1584" s="71">
        <f>INDEX(DurClassMapping,MATCH(M1584,MappingTables!$D$4:$D$8,-1),1)</f>
        <v>1</v>
      </c>
      <c r="P1584" s="73">
        <f>IF(M1584=$A$1,1,$M1584-INDEX(MappingTables!$E$4:$E$8,MATCH(O1584,MappingTables!$B$4:$B$8,0)))</f>
        <v>1.2908746236231806</v>
      </c>
      <c r="Q1584" s="71">
        <f>IF(B1584="",0,INDEX(ModelParameters!$D$6:$K$10,MATCH($O1584,ModelParameters!$B$6:$B$10,0),MATCH($J1584,ModelParameters!$D$5:$K$5,0)))</f>
        <v>0.013999999999999998</v>
      </c>
      <c r="R1584" s="71">
        <f>IF(B1584="",0,INDEX(ModelParameters!$D$13:$K$17,MATCH($O1584,ModelParameters!$B$13:$B$17,0),MATCH($J1584,ModelParameters!$D$5:$K$5,0)))</f>
        <v>0</v>
      </c>
      <c r="S1584" s="160">
        <f>IF(B1584="",0,MIN(IF($N1584="Other Bond TM",ModelParameters!$N$21,1)*(P1584*Q1584+R1584),1))</f>
        <v>0.018072244730724524</v>
      </c>
      <c r="T1584" s="85">
        <f>IF(B1584="",0,$S1584*$K1584)</f>
        <v>24.106156079170972</v>
      </c>
      <c r="U1584" s="85">
        <f>IF(B1584="",0,IF(OR(H1584=MappingTables!$C$34,H1584=MappingTables!$C$35),T1584,0))</f>
        <v>0</v>
      </c>
      <c r="V1584" s="85">
        <f>IF(ISNA(IF(AND(VLOOKUP(CONCATENATE($D1584,$G1584),CSRFinput!$B:$E,4,0)=0,OR(H1584=MappingTables!$C$34,H1584=MappingTables!$C$35)),1,VLOOKUP(CONCATENATE($D1584,$G1584),CSRFinput!$B:$E,4,0))),0,IF(AND(VLOOKUP(CONCATENATE($D1584,$G1584),CSRFinput!$B:$E,4,0)=0,OR(H1584=MappingTables!$C$34,H1584=MappingTables!$C$35)),1,VLOOKUP(CONCATENATE($D1584,$G1584),CSRFinput!$B:$E,4,0)))</f>
        <v>0.054776304963434752</v>
      </c>
      <c r="W1584" s="85">
        <f>IF(B1584="",0,+$T1584*$V1584)</f>
        <v>1.3204461568888258</v>
      </c>
      <c r="X1584" s="85">
        <f>IF(B1584="",0,IF(OR(H1584=MappingTables!$C$34,H1584=MappingTables!$C$35),W1584,0))</f>
        <v>0</v>
      </c>
    </row>
    <row r="1585" spans="2:24" s="0" customFormat="0" ht="15">
      <c r="B1585" s="69">
        <v>13533865</v>
      </c>
      <c r="C1585" s="70" t="s">
        <v>492</v>
      </c>
      <c r="D1585" s="70" t="s">
        <v>1</v>
      </c>
      <c r="E1585" s="70" t="s">
        <v>1</v>
      </c>
      <c r="F1585" s="70"/>
      <c r="G1585" s="70" t="s">
        <v>61</v>
      </c>
      <c r="H1585" s="70" t="s">
        <v>178</v>
      </c>
      <c r="I1585" s="70" t="s">
        <v>179</v>
      </c>
      <c r="J1585" s="71">
        <f>IF(OR(I1585=0,I1585=""),"unrated",VLOOKUP(I1585,MappingTables!$B$19:$C$31,2,FALSE))</f>
        <v>4</v>
      </c>
      <c r="K1585" s="72">
        <v>351.78084107427652</v>
      </c>
      <c r="L1585" s="70">
        <v>1.4154365844229306</v>
      </c>
      <c r="M1585" s="71">
        <f>IF(L1585&lt;1,1,L1585)</f>
        <v>1.4154365844229306</v>
      </c>
      <c r="N1585" s="70" t="s">
        <v>141</v>
      </c>
      <c r="O1585" s="71">
        <f>INDEX(DurClassMapping,MATCH(M1585,MappingTables!$D$4:$D$8,-1),1)</f>
        <v>1</v>
      </c>
      <c r="P1585" s="73">
        <f>IF(M1585=$A$1,1,$M1585-INDEX(MappingTables!$E$4:$E$8,MATCH(O1585,MappingTables!$B$4:$B$8,0)))</f>
        <v>1.4154365844229306</v>
      </c>
      <c r="Q1585" s="71">
        <f>IF(B1585="",0,INDEX(ModelParameters!$D$6:$K$10,MATCH($O1585,ModelParameters!$B$6:$B$10,0),MATCH($J1585,ModelParameters!$D$5:$K$5,0)))</f>
        <v>0.045</v>
      </c>
      <c r="R1585" s="71">
        <f>IF(B1585="",0,INDEX(ModelParameters!$D$13:$K$17,MATCH($O1585,ModelParameters!$B$13:$B$17,0),MATCH($J1585,ModelParameters!$D$5:$K$5,0)))</f>
        <v>0</v>
      </c>
      <c r="S1585" s="160">
        <f>IF(B1585="",0,MIN(IF($N1585="Other Bond TM",ModelParameters!$N$21,1)*(P1585*Q1585+R1585),1))</f>
        <v>0.06369464629903188</v>
      </c>
      <c r="T1585" s="85">
        <f>IF(B1585="",0,$S1585*$K1585)</f>
        <v>22.406556247001988</v>
      </c>
      <c r="U1585" s="85">
        <f>IF(B1585="",0,IF(OR(H1585=MappingTables!$C$34,H1585=MappingTables!$C$35),T1585,0))</f>
        <v>0</v>
      </c>
      <c r="V1585" s="85">
        <f>IF(ISNA(IF(AND(VLOOKUP(CONCATENATE($D1585,$G1585),CSRFinput!$B:$E,4,0)=0,OR(H1585=MappingTables!$C$34,H1585=MappingTables!$C$35)),1,VLOOKUP(CONCATENATE($D1585,$G1585),CSRFinput!$B:$E,4,0))),0,IF(AND(VLOOKUP(CONCATENATE($D1585,$G1585),CSRFinput!$B:$E,4,0)=0,OR(H1585=MappingTables!$C$34,H1585=MappingTables!$C$35)),1,VLOOKUP(CONCATENATE($D1585,$G1585),CSRFinput!$B:$E,4,0)))</f>
        <v>0.054776304963434752</v>
      </c>
      <c r="W1585" s="85">
        <f>IF(B1585="",0,+$T1585*$V1585)</f>
        <v>1.2273483581661348</v>
      </c>
      <c r="X1585" s="85">
        <f>IF(B1585="",0,IF(OR(H1585=MappingTables!$C$34,H1585=MappingTables!$C$35),W1585,0))</f>
        <v>0</v>
      </c>
    </row>
    <row r="1586" spans="2:24" s="0" customFormat="0" ht="15">
      <c r="B1586" s="69" t="s">
        <v>1819</v>
      </c>
      <c r="C1586" s="70" t="s">
        <v>1820</v>
      </c>
      <c r="D1586" s="70" t="s">
        <v>1</v>
      </c>
      <c r="E1586" s="70" t="s">
        <v>1</v>
      </c>
      <c r="F1586" s="70"/>
      <c r="G1586" s="70" t="s">
        <v>61</v>
      </c>
      <c r="H1586" s="70" t="s">
        <v>178</v>
      </c>
      <c r="I1586" s="70" t="s">
        <v>181</v>
      </c>
      <c r="J1586" s="71">
        <f>IF(OR(I1586=0,I1586=""),"unrated",VLOOKUP(I1586,MappingTables!$B$19:$C$31,2,FALSE))</f>
        <v>3</v>
      </c>
      <c r="K1586" s="72">
        <v>1.5027585715146486</v>
      </c>
      <c r="L1586" s="70">
        <v>0.97535772255552288</v>
      </c>
      <c r="M1586" s="71">
        <f>IF(L1586&lt;1,1,L1586)</f>
        <v>1</v>
      </c>
      <c r="N1586" s="70" t="s">
        <v>141</v>
      </c>
      <c r="O1586" s="71">
        <f>INDEX(DurClassMapping,MATCH(M1586,MappingTables!$D$4:$D$8,-1),1)</f>
        <v>1</v>
      </c>
      <c r="P1586" s="73">
        <f>IF(M1586=$A$1,1,$M1586-INDEX(MappingTables!$E$4:$E$8,MATCH(O1586,MappingTables!$B$4:$B$8,0)))</f>
        <v>1</v>
      </c>
      <c r="Q1586" s="71">
        <f>IF(B1586="",0,INDEX(ModelParameters!$D$6:$K$10,MATCH($O1586,ModelParameters!$B$6:$B$10,0),MATCH($J1586,ModelParameters!$D$5:$K$5,0)))</f>
        <v>0.025</v>
      </c>
      <c r="R1586" s="71">
        <f>IF(B1586="",0,INDEX(ModelParameters!$D$13:$K$17,MATCH($O1586,ModelParameters!$B$13:$B$17,0),MATCH($J1586,ModelParameters!$D$5:$K$5,0)))</f>
        <v>0</v>
      </c>
      <c r="S1586" s="160">
        <f>IF(B1586="",0,MIN(IF($N1586="Other Bond TM",ModelParameters!$N$21,1)*(P1586*Q1586+R1586),1))</f>
        <v>0.025</v>
      </c>
      <c r="T1586" s="85">
        <f>IF(B1586="",0,$S1586*$K1586)</f>
        <v>0.037568964287866216</v>
      </c>
      <c r="U1586" s="85">
        <f>IF(B1586="",0,IF(OR(H1586=MappingTables!$C$34,H1586=MappingTables!$C$35),T1586,0))</f>
        <v>0</v>
      </c>
      <c r="V1586" s="85">
        <f>IF(ISNA(IF(AND(VLOOKUP(CONCATENATE($D1586,$G1586),CSRFinput!$B:$E,4,0)=0,OR(H1586=MappingTables!$C$34,H1586=MappingTables!$C$35)),1,VLOOKUP(CONCATENATE($D1586,$G1586),CSRFinput!$B:$E,4,0))),0,IF(AND(VLOOKUP(CONCATENATE($D1586,$G1586),CSRFinput!$B:$E,4,0)=0,OR(H1586=MappingTables!$C$34,H1586=MappingTables!$C$35)),1,VLOOKUP(CONCATENATE($D1586,$G1586),CSRFinput!$B:$E,4,0)))</f>
        <v>0.054776304963434752</v>
      </c>
      <c r="W1586" s="85">
        <f>IF(B1586="",0,+$T1586*$V1586)</f>
        <v>0.0020578890449925488</v>
      </c>
      <c r="X1586" s="85">
        <f>IF(B1586="",0,IF(OR(H1586=MappingTables!$C$34,H1586=MappingTables!$C$35),W1586,0))</f>
        <v>0</v>
      </c>
    </row>
    <row r="1587" spans="2:24" s="0" customFormat="0" ht="15">
      <c r="B1587" s="69">
        <v>22522718</v>
      </c>
      <c r="C1587" s="70" t="s">
        <v>1821</v>
      </c>
      <c r="D1587" s="70" t="s">
        <v>1</v>
      </c>
      <c r="E1587" s="70" t="s">
        <v>1</v>
      </c>
      <c r="F1587" s="70"/>
      <c r="G1587" s="70" t="s">
        <v>61</v>
      </c>
      <c r="H1587" s="70" t="s">
        <v>178</v>
      </c>
      <c r="I1587" s="70" t="s">
        <v>179</v>
      </c>
      <c r="J1587" s="71">
        <f>IF(OR(I1587=0,I1587=""),"unrated",VLOOKUP(I1587,MappingTables!$B$19:$C$31,2,FALSE))</f>
        <v>4</v>
      </c>
      <c r="K1587" s="72">
        <v>5012.7665169737048</v>
      </c>
      <c r="L1587" s="70">
        <v>3.7678763247531048</v>
      </c>
      <c r="M1587" s="71">
        <f>IF(L1587&lt;1,1,L1587)</f>
        <v>3.7678763247531048</v>
      </c>
      <c r="N1587" s="70" t="s">
        <v>141</v>
      </c>
      <c r="O1587" s="71">
        <f>INDEX(DurClassMapping,MATCH(M1587,MappingTables!$D$4:$D$8,-1),1)</f>
        <v>1</v>
      </c>
      <c r="P1587" s="73">
        <f>IF(M1587=$A$1,1,$M1587-INDEX(MappingTables!$E$4:$E$8,MATCH(O1587,MappingTables!$B$4:$B$8,0)))</f>
        <v>3.7678763247531048</v>
      </c>
      <c r="Q1587" s="71">
        <f>IF(B1587="",0,INDEX(ModelParameters!$D$6:$K$10,MATCH($O1587,ModelParameters!$B$6:$B$10,0),MATCH($J1587,ModelParameters!$D$5:$K$5,0)))</f>
        <v>0.045</v>
      </c>
      <c r="R1587" s="71">
        <f>IF(B1587="",0,INDEX(ModelParameters!$D$13:$K$17,MATCH($O1587,ModelParameters!$B$13:$B$17,0),MATCH($J1587,ModelParameters!$D$5:$K$5,0)))</f>
        <v>0</v>
      </c>
      <c r="S1587" s="160">
        <f>IF(B1587="",0,MIN(IF($N1587="Other Bond TM",ModelParameters!$N$21,1)*(P1587*Q1587+R1587),1))</f>
        <v>0.16955443461388972</v>
      </c>
      <c r="T1587" s="85">
        <f>IF(B1587="",0,$S1587*$K1587)</f>
        <v>849.93679263691376</v>
      </c>
      <c r="U1587" s="85">
        <f>IF(B1587="",0,IF(OR(H1587=MappingTables!$C$34,H1587=MappingTables!$C$35),T1587,0))</f>
        <v>0</v>
      </c>
      <c r="V1587" s="85">
        <f>IF(ISNA(IF(AND(VLOOKUP(CONCATENATE($D1587,$G1587),CSRFinput!$B:$E,4,0)=0,OR(H1587=MappingTables!$C$34,H1587=MappingTables!$C$35)),1,VLOOKUP(CONCATENATE($D1587,$G1587),CSRFinput!$B:$E,4,0))),0,IF(AND(VLOOKUP(CONCATENATE($D1587,$G1587),CSRFinput!$B:$E,4,0)=0,OR(H1587=MappingTables!$C$34,H1587=MappingTables!$C$35)),1,VLOOKUP(CONCATENATE($D1587,$G1587),CSRFinput!$B:$E,4,0)))</f>
        <v>0.054776304963434752</v>
      </c>
      <c r="W1587" s="85">
        <f>IF(B1587="",0,+$T1587*$V1587)</f>
        <v>46.5563969531232</v>
      </c>
      <c r="X1587" s="85">
        <f>IF(B1587="",0,IF(OR(H1587=MappingTables!$C$34,H1587=MappingTables!$C$35),W1587,0))</f>
        <v>0</v>
      </c>
    </row>
    <row r="1588" spans="2:24" s="0" customFormat="0" ht="15">
      <c r="B1588" s="69">
        <v>23039281</v>
      </c>
      <c r="C1588" s="70" t="s">
        <v>1211</v>
      </c>
      <c r="D1588" s="70" t="s">
        <v>1</v>
      </c>
      <c r="E1588" s="70" t="s">
        <v>1</v>
      </c>
      <c r="F1588" s="70"/>
      <c r="G1588" s="70" t="s">
        <v>61</v>
      </c>
      <c r="H1588" s="70" t="s">
        <v>178</v>
      </c>
      <c r="I1588" s="70" t="s">
        <v>181</v>
      </c>
      <c r="J1588" s="71">
        <f>IF(OR(I1588=0,I1588=""),"unrated",VLOOKUP(I1588,MappingTables!$B$19:$C$31,2,FALSE))</f>
        <v>3</v>
      </c>
      <c r="K1588" s="72">
        <v>72433.255675148896</v>
      </c>
      <c r="L1588" s="70">
        <v>3.8738202512124104</v>
      </c>
      <c r="M1588" s="71">
        <f>IF(L1588&lt;1,1,L1588)</f>
        <v>3.8738202512124104</v>
      </c>
      <c r="N1588" s="70" t="s">
        <v>141</v>
      </c>
      <c r="O1588" s="71">
        <f>INDEX(DurClassMapping,MATCH(M1588,MappingTables!$D$4:$D$8,-1),1)</f>
        <v>1</v>
      </c>
      <c r="P1588" s="73">
        <f>IF(M1588=$A$1,1,$M1588-INDEX(MappingTables!$E$4:$E$8,MATCH(O1588,MappingTables!$B$4:$B$8,0)))</f>
        <v>3.8738202512124104</v>
      </c>
      <c r="Q1588" s="71">
        <f>IF(B1588="",0,INDEX(ModelParameters!$D$6:$K$10,MATCH($O1588,ModelParameters!$B$6:$B$10,0),MATCH($J1588,ModelParameters!$D$5:$K$5,0)))</f>
        <v>0.025</v>
      </c>
      <c r="R1588" s="71">
        <f>IF(B1588="",0,INDEX(ModelParameters!$D$13:$K$17,MATCH($O1588,ModelParameters!$B$13:$B$17,0),MATCH($J1588,ModelParameters!$D$5:$K$5,0)))</f>
        <v>0</v>
      </c>
      <c r="S1588" s="160">
        <f>IF(B1588="",0,MIN(IF($N1588="Other Bond TM",ModelParameters!$N$21,1)*(P1588*Q1588+R1588),1))</f>
        <v>0.096845506280310256</v>
      </c>
      <c r="T1588" s="85">
        <f>IF(B1588="",0,$S1588*$K1588)</f>
        <v>7014.835317390952</v>
      </c>
      <c r="U1588" s="85">
        <f>IF(B1588="",0,IF(OR(H1588=MappingTables!$C$34,H1588=MappingTables!$C$35),T1588,0))</f>
        <v>0</v>
      </c>
      <c r="V1588" s="85">
        <f>IF(ISNA(IF(AND(VLOOKUP(CONCATENATE($D1588,$G1588),CSRFinput!$B:$E,4,0)=0,OR(H1588=MappingTables!$C$34,H1588=MappingTables!$C$35)),1,VLOOKUP(CONCATENATE($D1588,$G1588),CSRFinput!$B:$E,4,0))),0,IF(AND(VLOOKUP(CONCATENATE($D1588,$G1588),CSRFinput!$B:$E,4,0)=0,OR(H1588=MappingTables!$C$34,H1588=MappingTables!$C$35)),1,VLOOKUP(CONCATENATE($D1588,$G1588),CSRFinput!$B:$E,4,0)))</f>
        <v>0.054776304963434752</v>
      </c>
      <c r="W1588" s="85">
        <f>IF(B1588="",0,+$T1588*$V1588)</f>
        <v>384.24675861367936</v>
      </c>
      <c r="X1588" s="85">
        <f>IF(B1588="",0,IF(OR(H1588=MappingTables!$C$34,H1588=MappingTables!$C$35),W1588,0))</f>
        <v>0</v>
      </c>
    </row>
    <row r="1589" spans="2:24" s="0" customFormat="0" ht="15">
      <c r="B1589" s="69" t="s">
        <v>1822</v>
      </c>
      <c r="C1589" s="70" t="s">
        <v>1823</v>
      </c>
      <c r="D1589" s="70" t="s">
        <v>1</v>
      </c>
      <c r="E1589" s="70" t="s">
        <v>1</v>
      </c>
      <c r="F1589" s="70"/>
      <c r="G1589" s="70" t="s">
        <v>61</v>
      </c>
      <c r="H1589" s="70" t="s">
        <v>178</v>
      </c>
      <c r="I1589" s="70" t="s">
        <v>179</v>
      </c>
      <c r="J1589" s="71">
        <f>IF(OR(I1589=0,I1589=""),"unrated",VLOOKUP(I1589,MappingTables!$B$19:$C$31,2,FALSE))</f>
        <v>4</v>
      </c>
      <c r="K1589" s="72">
        <v>259.7187121962502</v>
      </c>
      <c r="L1589" s="70">
        <v>1.956717415767228</v>
      </c>
      <c r="M1589" s="71">
        <f>IF(L1589&lt;1,1,L1589)</f>
        <v>1.956717415767228</v>
      </c>
      <c r="N1589" s="70" t="s">
        <v>141</v>
      </c>
      <c r="O1589" s="71">
        <f>INDEX(DurClassMapping,MATCH(M1589,MappingTables!$D$4:$D$8,-1),1)</f>
        <v>1</v>
      </c>
      <c r="P1589" s="73">
        <f>IF(M1589=$A$1,1,$M1589-INDEX(MappingTables!$E$4:$E$8,MATCH(O1589,MappingTables!$B$4:$B$8,0)))</f>
        <v>1.956717415767228</v>
      </c>
      <c r="Q1589" s="71">
        <f>IF(B1589="",0,INDEX(ModelParameters!$D$6:$K$10,MATCH($O1589,ModelParameters!$B$6:$B$10,0),MATCH($J1589,ModelParameters!$D$5:$K$5,0)))</f>
        <v>0.045</v>
      </c>
      <c r="R1589" s="71">
        <f>IF(B1589="",0,INDEX(ModelParameters!$D$13:$K$17,MATCH($O1589,ModelParameters!$B$13:$B$17,0),MATCH($J1589,ModelParameters!$D$5:$K$5,0)))</f>
        <v>0</v>
      </c>
      <c r="S1589" s="160">
        <f>IF(B1589="",0,MIN(IF($N1589="Other Bond TM",ModelParameters!$N$21,1)*(P1589*Q1589+R1589),1))</f>
        <v>0.088052283709525248</v>
      </c>
      <c r="T1589" s="85">
        <f>IF(B1589="",0,$S1589*$K1589)</f>
        <v>22.868825730976756</v>
      </c>
      <c r="U1589" s="85">
        <f>IF(B1589="",0,IF(OR(H1589=MappingTables!$C$34,H1589=MappingTables!$C$35),T1589,0))</f>
        <v>0</v>
      </c>
      <c r="V1589" s="85">
        <f>IF(ISNA(IF(AND(VLOOKUP(CONCATENATE($D1589,$G1589),CSRFinput!$B:$E,4,0)=0,OR(H1589=MappingTables!$C$34,H1589=MappingTables!$C$35)),1,VLOOKUP(CONCATENATE($D1589,$G1589),CSRFinput!$B:$E,4,0))),0,IF(AND(VLOOKUP(CONCATENATE($D1589,$G1589),CSRFinput!$B:$E,4,0)=0,OR(H1589=MappingTables!$C$34,H1589=MappingTables!$C$35)),1,VLOOKUP(CONCATENATE($D1589,$G1589),CSRFinput!$B:$E,4,0)))</f>
        <v>0.054776304963434752</v>
      </c>
      <c r="W1589" s="85">
        <f>IF(B1589="",0,+$T1589*$V1589)</f>
        <v>1.2526697723956264</v>
      </c>
      <c r="X1589" s="85">
        <f>IF(B1589="",0,IF(OR(H1589=MappingTables!$C$34,H1589=MappingTables!$C$35),W1589,0))</f>
        <v>0</v>
      </c>
    </row>
    <row r="1590" spans="2:24" s="0" customFormat="0" ht="15">
      <c r="B1590" s="69" t="s">
        <v>1824</v>
      </c>
      <c r="C1590" s="70" t="s">
        <v>1825</v>
      </c>
      <c r="D1590" s="70" t="s">
        <v>1</v>
      </c>
      <c r="E1590" s="70" t="s">
        <v>1</v>
      </c>
      <c r="F1590" s="70"/>
      <c r="G1590" s="70" t="s">
        <v>61</v>
      </c>
      <c r="H1590" s="70" t="s">
        <v>178</v>
      </c>
      <c r="I1590" s="70" t="s">
        <v>204</v>
      </c>
      <c r="J1590" s="71">
        <f>IF(OR(I1590=0,I1590=""),"unrated",VLOOKUP(I1590,MappingTables!$B$19:$C$31,2,FALSE))</f>
        <v>6</v>
      </c>
      <c r="K1590" s="72">
        <v>92.258713158576032</v>
      </c>
      <c r="L1590" s="70">
        <v>0.21370149452615004</v>
      </c>
      <c r="M1590" s="71">
        <f>IF(L1590&lt;1,1,L1590)</f>
        <v>1</v>
      </c>
      <c r="N1590" s="70" t="s">
        <v>141</v>
      </c>
      <c r="O1590" s="71">
        <f>INDEX(DurClassMapping,MATCH(M1590,MappingTables!$D$4:$D$8,-1),1)</f>
        <v>1</v>
      </c>
      <c r="P1590" s="73">
        <f>IF(M1590=$A$1,1,$M1590-INDEX(MappingTables!$E$4:$E$8,MATCH(O1590,MappingTables!$B$4:$B$8,0)))</f>
        <v>1</v>
      </c>
      <c r="Q1590" s="71">
        <f>IF(B1590="",0,INDEX(ModelParameters!$D$6:$K$10,MATCH($O1590,ModelParameters!$B$6:$B$10,0),MATCH($J1590,ModelParameters!$D$5:$K$5,0)))</f>
        <v>0.075</v>
      </c>
      <c r="R1590" s="71">
        <f>IF(B1590="",0,INDEX(ModelParameters!$D$13:$K$17,MATCH($O1590,ModelParameters!$B$13:$B$17,0),MATCH($J1590,ModelParameters!$D$5:$K$5,0)))</f>
        <v>0</v>
      </c>
      <c r="S1590" s="160">
        <f>IF(B1590="",0,MIN(IF($N1590="Other Bond TM",ModelParameters!$N$21,1)*(P1590*Q1590+R1590),1))</f>
        <v>0.075</v>
      </c>
      <c r="T1590" s="85">
        <f>IF(B1590="",0,$S1590*$K1590)</f>
        <v>6.9194034868932024</v>
      </c>
      <c r="U1590" s="85">
        <f>IF(B1590="",0,IF(OR(H1590=MappingTables!$C$34,H1590=MappingTables!$C$35),T1590,0))</f>
        <v>0</v>
      </c>
      <c r="V1590" s="85">
        <f>IF(ISNA(IF(AND(VLOOKUP(CONCATENATE($D1590,$G1590),CSRFinput!$B:$E,4,0)=0,OR(H1590=MappingTables!$C$34,H1590=MappingTables!$C$35)),1,VLOOKUP(CONCATENATE($D1590,$G1590),CSRFinput!$B:$E,4,0))),0,IF(AND(VLOOKUP(CONCATENATE($D1590,$G1590),CSRFinput!$B:$E,4,0)=0,OR(H1590=MappingTables!$C$34,H1590=MappingTables!$C$35)),1,VLOOKUP(CONCATENATE($D1590,$G1590),CSRFinput!$B:$E,4,0)))</f>
        <v>0.054776304963434752</v>
      </c>
      <c r="W1590" s="85">
        <f>IF(B1590="",0,+$T1590*$V1590)</f>
        <v>0.37901935556311584</v>
      </c>
      <c r="X1590" s="85">
        <f>IF(B1590="",0,IF(OR(H1590=MappingTables!$C$34,H1590=MappingTables!$C$35),W1590,0))</f>
        <v>0</v>
      </c>
    </row>
    <row r="1591" spans="2:24" s="0" customFormat="0" ht="15">
      <c r="B1591" s="69">
        <v>4318141</v>
      </c>
      <c r="C1591" s="70" t="s">
        <v>1826</v>
      </c>
      <c r="D1591" s="70" t="s">
        <v>1</v>
      </c>
      <c r="E1591" s="70" t="s">
        <v>1</v>
      </c>
      <c r="F1591" s="70"/>
      <c r="G1591" s="70" t="s">
        <v>61</v>
      </c>
      <c r="H1591" s="70" t="s">
        <v>178</v>
      </c>
      <c r="I1591" s="70" t="s">
        <v>181</v>
      </c>
      <c r="J1591" s="71">
        <f>IF(OR(I1591=0,I1591=""),"unrated",VLOOKUP(I1591,MappingTables!$B$19:$C$31,2,FALSE))</f>
        <v>3</v>
      </c>
      <c r="K1591" s="72">
        <v>1.2903216470989288</v>
      </c>
      <c r="L1591" s="70">
        <v>1.0813569586375848</v>
      </c>
      <c r="M1591" s="71">
        <f>IF(L1591&lt;1,1,L1591)</f>
        <v>1.0813569586375848</v>
      </c>
      <c r="N1591" s="70" t="s">
        <v>141</v>
      </c>
      <c r="O1591" s="71">
        <f>INDEX(DurClassMapping,MATCH(M1591,MappingTables!$D$4:$D$8,-1),1)</f>
        <v>1</v>
      </c>
      <c r="P1591" s="73">
        <f>IF(M1591=$A$1,1,$M1591-INDEX(MappingTables!$E$4:$E$8,MATCH(O1591,MappingTables!$B$4:$B$8,0)))</f>
        <v>1.0813569586375848</v>
      </c>
      <c r="Q1591" s="71">
        <f>IF(B1591="",0,INDEX(ModelParameters!$D$6:$K$10,MATCH($O1591,ModelParameters!$B$6:$B$10,0),MATCH($J1591,ModelParameters!$D$5:$K$5,0)))</f>
        <v>0.025</v>
      </c>
      <c r="R1591" s="71">
        <f>IF(B1591="",0,INDEX(ModelParameters!$D$13:$K$17,MATCH($O1591,ModelParameters!$B$13:$B$17,0),MATCH($J1591,ModelParameters!$D$5:$K$5,0)))</f>
        <v>0</v>
      </c>
      <c r="S1591" s="160">
        <f>IF(B1591="",0,MIN(IF($N1591="Other Bond TM",ModelParameters!$N$21,1)*(P1591*Q1591+R1591),1))</f>
        <v>0.02703392396593962</v>
      </c>
      <c r="T1591" s="85">
        <f>IF(B1591="",0,$S1591*$K1591)</f>
        <v>0.034882457299278412</v>
      </c>
      <c r="U1591" s="85">
        <f>IF(B1591="",0,IF(OR(H1591=MappingTables!$C$34,H1591=MappingTables!$C$35),T1591,0))</f>
        <v>0</v>
      </c>
      <c r="V1591" s="85">
        <f>IF(ISNA(IF(AND(VLOOKUP(CONCATENATE($D1591,$G1591),CSRFinput!$B:$E,4,0)=0,OR(H1591=MappingTables!$C$34,H1591=MappingTables!$C$35)),1,VLOOKUP(CONCATENATE($D1591,$G1591),CSRFinput!$B:$E,4,0))),0,IF(AND(VLOOKUP(CONCATENATE($D1591,$G1591),CSRFinput!$B:$E,4,0)=0,OR(H1591=MappingTables!$C$34,H1591=MappingTables!$C$35)),1,VLOOKUP(CONCATENATE($D1591,$G1591),CSRFinput!$B:$E,4,0)))</f>
        <v>0.054776304963434752</v>
      </c>
      <c r="W1591" s="85">
        <f>IF(B1591="",0,+$T1591*$V1591)</f>
        <v>0.0019107321188992652</v>
      </c>
      <c r="X1591" s="85">
        <f>IF(B1591="",0,IF(OR(H1591=MappingTables!$C$34,H1591=MappingTables!$C$35),W1591,0))</f>
        <v>0</v>
      </c>
    </row>
    <row r="1592" spans="2:24" s="0" customFormat="0" ht="15">
      <c r="B1592" s="69" t="s">
        <v>317</v>
      </c>
      <c r="C1592" s="70" t="s">
        <v>318</v>
      </c>
      <c r="D1592" s="70" t="s">
        <v>1</v>
      </c>
      <c r="E1592" s="70" t="s">
        <v>1</v>
      </c>
      <c r="F1592" s="70"/>
      <c r="G1592" s="70" t="s">
        <v>61</v>
      </c>
      <c r="H1592" s="70" t="s">
        <v>178</v>
      </c>
      <c r="I1592" s="70" t="s">
        <v>179</v>
      </c>
      <c r="J1592" s="71">
        <f>IF(OR(I1592=0,I1592=""),"unrated",VLOOKUP(I1592,MappingTables!$B$19:$C$31,2,FALSE))</f>
        <v>4</v>
      </c>
      <c r="K1592" s="72">
        <v>255.28484323007376</v>
      </c>
      <c r="L1592" s="70">
        <v>4.463965757696428</v>
      </c>
      <c r="M1592" s="71">
        <f>IF(L1592&lt;1,1,L1592)</f>
        <v>4.463965757696428</v>
      </c>
      <c r="N1592" s="70" t="s">
        <v>141</v>
      </c>
      <c r="O1592" s="71">
        <f>INDEX(DurClassMapping,MATCH(M1592,MappingTables!$D$4:$D$8,-1),1)</f>
        <v>1</v>
      </c>
      <c r="P1592" s="73">
        <f>IF(M1592=$A$1,1,$M1592-INDEX(MappingTables!$E$4:$E$8,MATCH(O1592,MappingTables!$B$4:$B$8,0)))</f>
        <v>4.463965757696428</v>
      </c>
      <c r="Q1592" s="71">
        <f>IF(B1592="",0,INDEX(ModelParameters!$D$6:$K$10,MATCH($O1592,ModelParameters!$B$6:$B$10,0),MATCH($J1592,ModelParameters!$D$5:$K$5,0)))</f>
        <v>0.045</v>
      </c>
      <c r="R1592" s="71">
        <f>IF(B1592="",0,INDEX(ModelParameters!$D$13:$K$17,MATCH($O1592,ModelParameters!$B$13:$B$17,0),MATCH($J1592,ModelParameters!$D$5:$K$5,0)))</f>
        <v>0</v>
      </c>
      <c r="S1592" s="160">
        <f>IF(B1592="",0,MIN(IF($N1592="Other Bond TM",ModelParameters!$N$21,1)*(P1592*Q1592+R1592),1))</f>
        <v>0.20087845909633924</v>
      </c>
      <c r="T1592" s="85">
        <f>IF(B1592="",0,$S1592*$K1592)</f>
        <v>51.281225938707752</v>
      </c>
      <c r="U1592" s="85">
        <f>IF(B1592="",0,IF(OR(H1592=MappingTables!$C$34,H1592=MappingTables!$C$35),T1592,0))</f>
        <v>0</v>
      </c>
      <c r="V1592" s="85">
        <f>IF(ISNA(IF(AND(VLOOKUP(CONCATENATE($D1592,$G1592),CSRFinput!$B:$E,4,0)=0,OR(H1592=MappingTables!$C$34,H1592=MappingTables!$C$35)),1,VLOOKUP(CONCATENATE($D1592,$G1592),CSRFinput!$B:$E,4,0))),0,IF(AND(VLOOKUP(CONCATENATE($D1592,$G1592),CSRFinput!$B:$E,4,0)=0,OR(H1592=MappingTables!$C$34,H1592=MappingTables!$C$35)),1,VLOOKUP(CONCATENATE($D1592,$G1592),CSRFinput!$B:$E,4,0)))</f>
        <v>0.054776304963434752</v>
      </c>
      <c r="W1592" s="85">
        <f>IF(B1592="",0,+$T1592*$V1592)</f>
        <v>2.8089960709174564</v>
      </c>
      <c r="X1592" s="85">
        <f>IF(B1592="",0,IF(OR(H1592=MappingTables!$C$34,H1592=MappingTables!$C$35),W1592,0))</f>
        <v>0</v>
      </c>
    </row>
    <row r="1593" spans="2:24" s="0" customFormat="0" ht="15">
      <c r="B1593" s="69">
        <v>19486457</v>
      </c>
      <c r="C1593" s="70" t="s">
        <v>1827</v>
      </c>
      <c r="D1593" s="70" t="s">
        <v>1</v>
      </c>
      <c r="E1593" s="70" t="s">
        <v>1</v>
      </c>
      <c r="F1593" s="70"/>
      <c r="G1593" s="70" t="s">
        <v>61</v>
      </c>
      <c r="H1593" s="70" t="s">
        <v>178</v>
      </c>
      <c r="I1593" s="70" t="s">
        <v>181</v>
      </c>
      <c r="J1593" s="71">
        <f>IF(OR(I1593=0,I1593=""),"unrated",VLOOKUP(I1593,MappingTables!$B$19:$C$31,2,FALSE))</f>
        <v>3</v>
      </c>
      <c r="K1593" s="72">
        <v>4.2738018292755984</v>
      </c>
      <c r="L1593" s="70">
        <v>0.95891899777026944</v>
      </c>
      <c r="M1593" s="71">
        <f>IF(L1593&lt;1,1,L1593)</f>
        <v>1</v>
      </c>
      <c r="N1593" s="70" t="s">
        <v>141</v>
      </c>
      <c r="O1593" s="71">
        <f>INDEX(DurClassMapping,MATCH(M1593,MappingTables!$D$4:$D$8,-1),1)</f>
        <v>1</v>
      </c>
      <c r="P1593" s="73">
        <f>IF(M1593=$A$1,1,$M1593-INDEX(MappingTables!$E$4:$E$8,MATCH(O1593,MappingTables!$B$4:$B$8,0)))</f>
        <v>1</v>
      </c>
      <c r="Q1593" s="71">
        <f>IF(B1593="",0,INDEX(ModelParameters!$D$6:$K$10,MATCH($O1593,ModelParameters!$B$6:$B$10,0),MATCH($J1593,ModelParameters!$D$5:$K$5,0)))</f>
        <v>0.025</v>
      </c>
      <c r="R1593" s="71">
        <f>IF(B1593="",0,INDEX(ModelParameters!$D$13:$K$17,MATCH($O1593,ModelParameters!$B$13:$B$17,0),MATCH($J1593,ModelParameters!$D$5:$K$5,0)))</f>
        <v>0</v>
      </c>
      <c r="S1593" s="160">
        <f>IF(B1593="",0,MIN(IF($N1593="Other Bond TM",ModelParameters!$N$21,1)*(P1593*Q1593+R1593),1))</f>
        <v>0.025</v>
      </c>
      <c r="T1593" s="85">
        <f>IF(B1593="",0,$S1593*$K1593)</f>
        <v>0.10684504573188996</v>
      </c>
      <c r="U1593" s="85">
        <f>IF(B1593="",0,IF(OR(H1593=MappingTables!$C$34,H1593=MappingTables!$C$35),T1593,0))</f>
        <v>0</v>
      </c>
      <c r="V1593" s="85">
        <f>IF(ISNA(IF(AND(VLOOKUP(CONCATENATE($D1593,$G1593),CSRFinput!$B:$E,4,0)=0,OR(H1593=MappingTables!$C$34,H1593=MappingTables!$C$35)),1,VLOOKUP(CONCATENATE($D1593,$G1593),CSRFinput!$B:$E,4,0))),0,IF(AND(VLOOKUP(CONCATENATE($D1593,$G1593),CSRFinput!$B:$E,4,0)=0,OR(H1593=MappingTables!$C$34,H1593=MappingTables!$C$35)),1,VLOOKUP(CONCATENATE($D1593,$G1593),CSRFinput!$B:$E,4,0)))</f>
        <v>0.054776304963434752</v>
      </c>
      <c r="W1593" s="85">
        <f>IF(B1593="",0,+$T1593*$V1593)</f>
        <v>0.0058525768088421376</v>
      </c>
      <c r="X1593" s="85">
        <f>IF(B1593="",0,IF(OR(H1593=MappingTables!$C$34,H1593=MappingTables!$C$35),W1593,0))</f>
        <v>0</v>
      </c>
    </row>
    <row r="1594" spans="2:24" s="0" customFormat="0" ht="15">
      <c r="B1594" s="69" t="s">
        <v>1828</v>
      </c>
      <c r="C1594" s="70" t="s">
        <v>1829</v>
      </c>
      <c r="D1594" s="70" t="s">
        <v>1</v>
      </c>
      <c r="E1594" s="70" t="s">
        <v>1</v>
      </c>
      <c r="F1594" s="70"/>
      <c r="G1594" s="70" t="s">
        <v>61</v>
      </c>
      <c r="H1594" s="70" t="s">
        <v>178</v>
      </c>
      <c r="I1594" s="70" t="s">
        <v>188</v>
      </c>
      <c r="J1594" s="71">
        <f>IF(OR(I1594=0,I1594=""),"unrated",VLOOKUP(I1594,MappingTables!$B$19:$C$31,2,FALSE))</f>
        <v>2</v>
      </c>
      <c r="K1594" s="72">
        <v>156.6670349367358</v>
      </c>
      <c r="L1594" s="70">
        <v>5.7342969998922976</v>
      </c>
      <c r="M1594" s="71">
        <f>IF(L1594&lt;1,1,L1594)</f>
        <v>5.7342969998922976</v>
      </c>
      <c r="N1594" s="70" t="s">
        <v>141</v>
      </c>
      <c r="O1594" s="71">
        <f>INDEX(DurClassMapping,MATCH(M1594,MappingTables!$D$4:$D$8,-1),1)</f>
        <v>2</v>
      </c>
      <c r="P1594" s="73">
        <f>IF(M1594=$A$1,1,$M1594-INDEX(MappingTables!$E$4:$E$8,MATCH(O1594,MappingTables!$B$4:$B$8,0)))</f>
        <v>0.73429699989229744</v>
      </c>
      <c r="Q1594" s="71">
        <f>IF(B1594="",0,INDEX(ModelParameters!$D$6:$K$10,MATCH($O1594,ModelParameters!$B$6:$B$10,0),MATCH($J1594,ModelParameters!$D$5:$K$5,0)))</f>
        <v>0.0069999999999999992</v>
      </c>
      <c r="R1594" s="71">
        <f>IF(B1594="",0,INDEX(ModelParameters!$D$13:$K$17,MATCH($O1594,ModelParameters!$B$13:$B$17,0),MATCH($J1594,ModelParameters!$D$5:$K$5,0)))</f>
        <v>0.070000000000000008</v>
      </c>
      <c r="S1594" s="160">
        <f>IF(B1594="",0,MIN(IF($N1594="Other Bond TM",ModelParameters!$N$21,1)*(P1594*Q1594+R1594),1))</f>
        <v>0.07514007899924608</v>
      </c>
      <c r="T1594" s="85">
        <f>IF(B1594="",0,$S1594*$K1594)</f>
        <v>11.771973381723974</v>
      </c>
      <c r="U1594" s="85">
        <f>IF(B1594="",0,IF(OR(H1594=MappingTables!$C$34,H1594=MappingTables!$C$35),T1594,0))</f>
        <v>0</v>
      </c>
      <c r="V1594" s="85">
        <f>IF(ISNA(IF(AND(VLOOKUP(CONCATENATE($D1594,$G1594),CSRFinput!$B:$E,4,0)=0,OR(H1594=MappingTables!$C$34,H1594=MappingTables!$C$35)),1,VLOOKUP(CONCATENATE($D1594,$G1594),CSRFinput!$B:$E,4,0))),0,IF(AND(VLOOKUP(CONCATENATE($D1594,$G1594),CSRFinput!$B:$E,4,0)=0,OR(H1594=MappingTables!$C$34,H1594=MappingTables!$C$35)),1,VLOOKUP(CONCATENATE($D1594,$G1594),CSRFinput!$B:$E,4,0)))</f>
        <v>0.054776304963434752</v>
      </c>
      <c r="W1594" s="85">
        <f>IF(B1594="",0,+$T1594*$V1594)</f>
        <v>0.6448252039787488</v>
      </c>
      <c r="X1594" s="85">
        <f>IF(B1594="",0,IF(OR(H1594=MappingTables!$C$34,H1594=MappingTables!$C$35),W1594,0))</f>
        <v>0</v>
      </c>
    </row>
    <row r="1595" spans="2:24" s="0" customFormat="0" ht="15">
      <c r="B1595" s="69">
        <v>16139755</v>
      </c>
      <c r="C1595" s="70" t="s">
        <v>1151</v>
      </c>
      <c r="D1595" s="70" t="s">
        <v>1</v>
      </c>
      <c r="E1595" s="70" t="s">
        <v>1</v>
      </c>
      <c r="F1595" s="70"/>
      <c r="G1595" s="70" t="s">
        <v>61</v>
      </c>
      <c r="H1595" s="70" t="s">
        <v>178</v>
      </c>
      <c r="I1595" s="70" t="s">
        <v>181</v>
      </c>
      <c r="J1595" s="71">
        <f>IF(OR(I1595=0,I1595=""),"unrated",VLOOKUP(I1595,MappingTables!$B$19:$C$31,2,FALSE))</f>
        <v>3</v>
      </c>
      <c r="K1595" s="72">
        <v>139.30851392115602</v>
      </c>
      <c r="L1595" s="70">
        <v>0.2849293265904434</v>
      </c>
      <c r="M1595" s="71">
        <f>IF(L1595&lt;1,1,L1595)</f>
        <v>1</v>
      </c>
      <c r="N1595" s="70" t="s">
        <v>141</v>
      </c>
      <c r="O1595" s="71">
        <f>INDEX(DurClassMapping,MATCH(M1595,MappingTables!$D$4:$D$8,-1),1)</f>
        <v>1</v>
      </c>
      <c r="P1595" s="73">
        <f>IF(M1595=$A$1,1,$M1595-INDEX(MappingTables!$E$4:$E$8,MATCH(O1595,MappingTables!$B$4:$B$8,0)))</f>
        <v>1</v>
      </c>
      <c r="Q1595" s="71">
        <f>IF(B1595="",0,INDEX(ModelParameters!$D$6:$K$10,MATCH($O1595,ModelParameters!$B$6:$B$10,0),MATCH($J1595,ModelParameters!$D$5:$K$5,0)))</f>
        <v>0.025</v>
      </c>
      <c r="R1595" s="71">
        <f>IF(B1595="",0,INDEX(ModelParameters!$D$13:$K$17,MATCH($O1595,ModelParameters!$B$13:$B$17,0),MATCH($J1595,ModelParameters!$D$5:$K$5,0)))</f>
        <v>0</v>
      </c>
      <c r="S1595" s="160">
        <f>IF(B1595="",0,MIN(IF($N1595="Other Bond TM",ModelParameters!$N$21,1)*(P1595*Q1595+R1595),1))</f>
        <v>0.025</v>
      </c>
      <c r="T1595" s="85">
        <f>IF(B1595="",0,$S1595*$K1595)</f>
        <v>3.4827128480289008</v>
      </c>
      <c r="U1595" s="85">
        <f>IF(B1595="",0,IF(OR(H1595=MappingTables!$C$34,H1595=MappingTables!$C$35),T1595,0))</f>
        <v>0</v>
      </c>
      <c r="V1595" s="85">
        <f>IF(ISNA(IF(AND(VLOOKUP(CONCATENATE($D1595,$G1595),CSRFinput!$B:$E,4,0)=0,OR(H1595=MappingTables!$C$34,H1595=MappingTables!$C$35)),1,VLOOKUP(CONCATENATE($D1595,$G1595),CSRFinput!$B:$E,4,0))),0,IF(AND(VLOOKUP(CONCATENATE($D1595,$G1595),CSRFinput!$B:$E,4,0)=0,OR(H1595=MappingTables!$C$34,H1595=MappingTables!$C$35)),1,VLOOKUP(CONCATENATE($D1595,$G1595),CSRFinput!$B:$E,4,0)))</f>
        <v>0.054776304963434752</v>
      </c>
      <c r="W1595" s="85">
        <f>IF(B1595="",0,+$T1595*$V1595)</f>
        <v>0.19077014106370348</v>
      </c>
      <c r="X1595" s="85">
        <f>IF(B1595="",0,IF(OR(H1595=MappingTables!$C$34,H1595=MappingTables!$C$35),W1595,0))</f>
        <v>0</v>
      </c>
    </row>
    <row r="1596" spans="2:24" s="0" customFormat="0" ht="15">
      <c r="B1596" s="69" t="s">
        <v>370</v>
      </c>
      <c r="C1596" s="70" t="s">
        <v>371</v>
      </c>
      <c r="D1596" s="70" t="s">
        <v>1</v>
      </c>
      <c r="E1596" s="70" t="s">
        <v>1</v>
      </c>
      <c r="F1596" s="70"/>
      <c r="G1596" s="70" t="s">
        <v>61</v>
      </c>
      <c r="H1596" s="70" t="s">
        <v>178</v>
      </c>
      <c r="I1596" s="70" t="s">
        <v>179</v>
      </c>
      <c r="J1596" s="71">
        <f>IF(OR(I1596=0,I1596=""),"unrated",VLOOKUP(I1596,MappingTables!$B$19:$C$31,2,FALSE))</f>
        <v>4</v>
      </c>
      <c r="K1596" s="72">
        <v>101018.06296468626</v>
      </c>
      <c r="L1596" s="70">
        <v>4.5359887160074592</v>
      </c>
      <c r="M1596" s="71">
        <f>IF(L1596&lt;1,1,L1596)</f>
        <v>4.5359887160074592</v>
      </c>
      <c r="N1596" s="70" t="s">
        <v>141</v>
      </c>
      <c r="O1596" s="71">
        <f>INDEX(DurClassMapping,MATCH(M1596,MappingTables!$D$4:$D$8,-1),1)</f>
        <v>1</v>
      </c>
      <c r="P1596" s="73">
        <f>IF(M1596=$A$1,1,$M1596-INDEX(MappingTables!$E$4:$E$8,MATCH(O1596,MappingTables!$B$4:$B$8,0)))</f>
        <v>4.5359887160074592</v>
      </c>
      <c r="Q1596" s="71">
        <f>IF(B1596="",0,INDEX(ModelParameters!$D$6:$K$10,MATCH($O1596,ModelParameters!$B$6:$B$10,0),MATCH($J1596,ModelParameters!$D$5:$K$5,0)))</f>
        <v>0.045</v>
      </c>
      <c r="R1596" s="71">
        <f>IF(B1596="",0,INDEX(ModelParameters!$D$13:$K$17,MATCH($O1596,ModelParameters!$B$13:$B$17,0),MATCH($J1596,ModelParameters!$D$5:$K$5,0)))</f>
        <v>0</v>
      </c>
      <c r="S1596" s="160">
        <f>IF(B1596="",0,MIN(IF($N1596="Other Bond TM",ModelParameters!$N$21,1)*(P1596*Q1596+R1596),1))</f>
        <v>0.20411949222033564</v>
      </c>
      <c r="T1596" s="85">
        <f>IF(B1596="",0,$S1596*$K1596)</f>
        <v>20619.755717433656</v>
      </c>
      <c r="U1596" s="85">
        <f>IF(B1596="",0,IF(OR(H1596=MappingTables!$C$34,H1596=MappingTables!$C$35),T1596,0))</f>
        <v>0</v>
      </c>
      <c r="V1596" s="85">
        <f>IF(ISNA(IF(AND(VLOOKUP(CONCATENATE($D1596,$G1596),CSRFinput!$B:$E,4,0)=0,OR(H1596=MappingTables!$C$34,H1596=MappingTables!$C$35)),1,VLOOKUP(CONCATENATE($D1596,$G1596),CSRFinput!$B:$E,4,0))),0,IF(AND(VLOOKUP(CONCATENATE($D1596,$G1596),CSRFinput!$B:$E,4,0)=0,OR(H1596=MappingTables!$C$34,H1596=MappingTables!$C$35)),1,VLOOKUP(CONCATENATE($D1596,$G1596),CSRFinput!$B:$E,4,0)))</f>
        <v>0.054776304963434752</v>
      </c>
      <c r="W1596" s="85">
        <f>IF(B1596="",0,+$T1596*$V1596)</f>
        <v>1129.4740274496732</v>
      </c>
      <c r="X1596" s="85">
        <f>IF(B1596="",0,IF(OR(H1596=MappingTables!$C$34,H1596=MappingTables!$C$35),W1596,0))</f>
        <v>0</v>
      </c>
    </row>
    <row r="1597" spans="2:24" s="0" customFormat="0" ht="15">
      <c r="B1597" s="69">
        <v>18527302</v>
      </c>
      <c r="C1597" s="70" t="s">
        <v>1830</v>
      </c>
      <c r="D1597" s="70" t="s">
        <v>1</v>
      </c>
      <c r="E1597" s="70" t="s">
        <v>1</v>
      </c>
      <c r="F1597" s="70"/>
      <c r="G1597" s="70" t="s">
        <v>61</v>
      </c>
      <c r="H1597" s="70" t="s">
        <v>178</v>
      </c>
      <c r="I1597" s="70" t="s">
        <v>181</v>
      </c>
      <c r="J1597" s="71">
        <f>IF(OR(I1597=0,I1597=""),"unrated",VLOOKUP(I1597,MappingTables!$B$19:$C$31,2,FALSE))</f>
        <v>3</v>
      </c>
      <c r="K1597" s="72">
        <v>5973.7011641168848</v>
      </c>
      <c r="L1597" s="70">
        <v>4.5316415003974152</v>
      </c>
      <c r="M1597" s="71">
        <f>IF(L1597&lt;1,1,L1597)</f>
        <v>4.5316415003974152</v>
      </c>
      <c r="N1597" s="70" t="s">
        <v>141</v>
      </c>
      <c r="O1597" s="71">
        <f>INDEX(DurClassMapping,MATCH(M1597,MappingTables!$D$4:$D$8,-1),1)</f>
        <v>1</v>
      </c>
      <c r="P1597" s="73">
        <f>IF(M1597=$A$1,1,$M1597-INDEX(MappingTables!$E$4:$E$8,MATCH(O1597,MappingTables!$B$4:$B$8,0)))</f>
        <v>4.5316415003974152</v>
      </c>
      <c r="Q1597" s="71">
        <f>IF(B1597="",0,INDEX(ModelParameters!$D$6:$K$10,MATCH($O1597,ModelParameters!$B$6:$B$10,0),MATCH($J1597,ModelParameters!$D$5:$K$5,0)))</f>
        <v>0.025</v>
      </c>
      <c r="R1597" s="71">
        <f>IF(B1597="",0,INDEX(ModelParameters!$D$13:$K$17,MATCH($O1597,ModelParameters!$B$13:$B$17,0),MATCH($J1597,ModelParameters!$D$5:$K$5,0)))</f>
        <v>0</v>
      </c>
      <c r="S1597" s="160">
        <f>IF(B1597="",0,MIN(IF($N1597="Other Bond TM",ModelParameters!$N$21,1)*(P1597*Q1597+R1597),1))</f>
        <v>0.1132910375099354</v>
      </c>
      <c r="T1597" s="85">
        <f>IF(B1597="",0,$S1597*$K1597)</f>
        <v>676.76680265711072</v>
      </c>
      <c r="U1597" s="85">
        <f>IF(B1597="",0,IF(OR(H1597=MappingTables!$C$34,H1597=MappingTables!$C$35),T1597,0))</f>
        <v>0</v>
      </c>
      <c r="V1597" s="85">
        <f>IF(ISNA(IF(AND(VLOOKUP(CONCATENATE($D1597,$G1597),CSRFinput!$B:$E,4,0)=0,OR(H1597=MappingTables!$C$34,H1597=MappingTables!$C$35)),1,VLOOKUP(CONCATENATE($D1597,$G1597),CSRFinput!$B:$E,4,0))),0,IF(AND(VLOOKUP(CONCATENATE($D1597,$G1597),CSRFinput!$B:$E,4,0)=0,OR(H1597=MappingTables!$C$34,H1597=MappingTables!$C$35)),1,VLOOKUP(CONCATENATE($D1597,$G1597),CSRFinput!$B:$E,4,0)))</f>
        <v>0.054776304963434752</v>
      </c>
      <c r="W1597" s="85">
        <f>IF(B1597="",0,+$T1597*$V1597)</f>
        <v>37.07078477147456</v>
      </c>
      <c r="X1597" s="85">
        <f>IF(B1597="",0,IF(OR(H1597=MappingTables!$C$34,H1597=MappingTables!$C$35),W1597,0))</f>
        <v>0</v>
      </c>
    </row>
    <row r="1598" spans="2:24" s="0" customFormat="0" ht="15">
      <c r="B1598" s="69" t="s">
        <v>1831</v>
      </c>
      <c r="C1598" s="70" t="s">
        <v>1832</v>
      </c>
      <c r="D1598" s="70" t="s">
        <v>1</v>
      </c>
      <c r="E1598" s="70" t="s">
        <v>1</v>
      </c>
      <c r="F1598" s="70"/>
      <c r="G1598" s="70" t="s">
        <v>61</v>
      </c>
      <c r="H1598" s="70" t="s">
        <v>178</v>
      </c>
      <c r="I1598" s="70" t="s">
        <v>198</v>
      </c>
      <c r="J1598" s="71" t="str">
        <f>IF(OR(I1598=0,I1598=""),"unrated",VLOOKUP(I1598,MappingTables!$B$19:$C$31,2,FALSE))</f>
        <v>unrated</v>
      </c>
      <c r="K1598" s="72">
        <v>0.24096711670923076</v>
      </c>
      <c r="L1598" s="70">
        <v>0.21095977599558108</v>
      </c>
      <c r="M1598" s="71">
        <f>IF(L1598&lt;1,1,L1598)</f>
        <v>1</v>
      </c>
      <c r="N1598" s="70" t="s">
        <v>141</v>
      </c>
      <c r="O1598" s="71">
        <f>INDEX(DurClassMapping,MATCH(M1598,MappingTables!$D$4:$D$8,-1),1)</f>
        <v>1</v>
      </c>
      <c r="P1598" s="73">
        <f>IF(M1598=$A$1,1,$M1598-INDEX(MappingTables!$E$4:$E$8,MATCH(O1598,MappingTables!$B$4:$B$8,0)))</f>
        <v>1</v>
      </c>
      <c r="Q1598" s="71">
        <f>IF(B1598="",0,INDEX(ModelParameters!$D$6:$K$10,MATCH($O1598,ModelParameters!$B$6:$B$10,0),MATCH($J1598,ModelParameters!$D$5:$K$5,0)))</f>
        <v>0.03</v>
      </c>
      <c r="R1598" s="71">
        <f>IF(B1598="",0,INDEX(ModelParameters!$D$13:$K$17,MATCH($O1598,ModelParameters!$B$13:$B$17,0),MATCH($J1598,ModelParameters!$D$5:$K$5,0)))</f>
        <v>0</v>
      </c>
      <c r="S1598" s="160">
        <f>IF(B1598="",0,MIN(IF($N1598="Other Bond TM",ModelParameters!$N$21,1)*(P1598*Q1598+R1598),1))</f>
        <v>0.03</v>
      </c>
      <c r="T1598" s="85">
        <f>IF(B1598="",0,$S1598*$K1598)</f>
        <v>0.0072290135012769232</v>
      </c>
      <c r="U1598" s="85">
        <f>IF(B1598="",0,IF(OR(H1598=MappingTables!$C$34,H1598=MappingTables!$C$35),T1598,0))</f>
        <v>0</v>
      </c>
      <c r="V1598" s="85">
        <f>IF(ISNA(IF(AND(VLOOKUP(CONCATENATE($D1598,$G1598),CSRFinput!$B:$E,4,0)=0,OR(H1598=MappingTables!$C$34,H1598=MappingTables!$C$35)),1,VLOOKUP(CONCATENATE($D1598,$G1598),CSRFinput!$B:$E,4,0))),0,IF(AND(VLOOKUP(CONCATENATE($D1598,$G1598),CSRFinput!$B:$E,4,0)=0,OR(H1598=MappingTables!$C$34,H1598=MappingTables!$C$35)),1,VLOOKUP(CONCATENATE($D1598,$G1598),CSRFinput!$B:$E,4,0)))</f>
        <v>0.054776304963434752</v>
      </c>
      <c r="W1598" s="85">
        <f>IF(B1598="",0,+$T1598*$V1598)</f>
        <v>0.000395978648130732</v>
      </c>
      <c r="X1598" s="85">
        <f>IF(B1598="",0,IF(OR(H1598=MappingTables!$C$34,H1598=MappingTables!$C$35),W1598,0))</f>
        <v>0</v>
      </c>
    </row>
    <row r="1599" spans="2:24" s="0" customFormat="0" ht="15">
      <c r="B1599" s="69">
        <v>14543370</v>
      </c>
      <c r="C1599" s="70" t="s">
        <v>1015</v>
      </c>
      <c r="D1599" s="70" t="s">
        <v>1</v>
      </c>
      <c r="E1599" s="70" t="s">
        <v>1</v>
      </c>
      <c r="F1599" s="70"/>
      <c r="G1599" s="70" t="s">
        <v>61</v>
      </c>
      <c r="H1599" s="70" t="s">
        <v>178</v>
      </c>
      <c r="I1599" s="70" t="s">
        <v>204</v>
      </c>
      <c r="J1599" s="71">
        <f>IF(OR(I1599=0,I1599=""),"unrated",VLOOKUP(I1599,MappingTables!$B$19:$C$31,2,FALSE))</f>
        <v>6</v>
      </c>
      <c r="K1599" s="72">
        <v>203.55063387252016</v>
      </c>
      <c r="L1599" s="70">
        <v>4.6617124941289392</v>
      </c>
      <c r="M1599" s="71">
        <f>IF(L1599&lt;1,1,L1599)</f>
        <v>4.6617124941289392</v>
      </c>
      <c r="N1599" s="70" t="s">
        <v>141</v>
      </c>
      <c r="O1599" s="71">
        <f>INDEX(DurClassMapping,MATCH(M1599,MappingTables!$D$4:$D$8,-1),1)</f>
        <v>1</v>
      </c>
      <c r="P1599" s="73">
        <f>IF(M1599=$A$1,1,$M1599-INDEX(MappingTables!$E$4:$E$8,MATCH(O1599,MappingTables!$B$4:$B$8,0)))</f>
        <v>4.6617124941289392</v>
      </c>
      <c r="Q1599" s="71">
        <f>IF(B1599="",0,INDEX(ModelParameters!$D$6:$K$10,MATCH($O1599,ModelParameters!$B$6:$B$10,0),MATCH($J1599,ModelParameters!$D$5:$K$5,0)))</f>
        <v>0.075</v>
      </c>
      <c r="R1599" s="71">
        <f>IF(B1599="",0,INDEX(ModelParameters!$D$13:$K$17,MATCH($O1599,ModelParameters!$B$13:$B$17,0),MATCH($J1599,ModelParameters!$D$5:$K$5,0)))</f>
        <v>0</v>
      </c>
      <c r="S1599" s="160">
        <f>IF(B1599="",0,MIN(IF($N1599="Other Bond TM",ModelParameters!$N$21,1)*(P1599*Q1599+R1599),1))</f>
        <v>0.34962843705967044</v>
      </c>
      <c r="T1599" s="85">
        <f>IF(B1599="",0,$S1599*$K1599)</f>
        <v>71.16708998335444</v>
      </c>
      <c r="U1599" s="85">
        <f>IF(B1599="",0,IF(OR(H1599=MappingTables!$C$34,H1599=MappingTables!$C$35),T1599,0))</f>
        <v>0</v>
      </c>
      <c r="V1599" s="85">
        <f>IF(ISNA(IF(AND(VLOOKUP(CONCATENATE($D1599,$G1599),CSRFinput!$B:$E,4,0)=0,OR(H1599=MappingTables!$C$34,H1599=MappingTables!$C$35)),1,VLOOKUP(CONCATENATE($D1599,$G1599),CSRFinput!$B:$E,4,0))),0,IF(AND(VLOOKUP(CONCATENATE($D1599,$G1599),CSRFinput!$B:$E,4,0)=0,OR(H1599=MappingTables!$C$34,H1599=MappingTables!$C$35)),1,VLOOKUP(CONCATENATE($D1599,$G1599),CSRFinput!$B:$E,4,0)))</f>
        <v>0.054776304963434752</v>
      </c>
      <c r="W1599" s="85">
        <f>IF(B1599="",0,+$T1599*$V1599)</f>
        <v>3.8982702242884256</v>
      </c>
      <c r="X1599" s="85">
        <f>IF(B1599="",0,IF(OR(H1599=MappingTables!$C$34,H1599=MappingTables!$C$35),W1599,0))</f>
        <v>0</v>
      </c>
    </row>
    <row r="1600" spans="2:24" s="0" customFormat="0" ht="15">
      <c r="B1600" s="69">
        <v>11911985</v>
      </c>
      <c r="C1600" s="70" t="s">
        <v>1149</v>
      </c>
      <c r="D1600" s="70" t="s">
        <v>1</v>
      </c>
      <c r="E1600" s="70" t="s">
        <v>1</v>
      </c>
      <c r="F1600" s="70"/>
      <c r="G1600" s="70" t="s">
        <v>61</v>
      </c>
      <c r="H1600" s="70" t="s">
        <v>178</v>
      </c>
      <c r="I1600" s="70" t="s">
        <v>188</v>
      </c>
      <c r="J1600" s="71">
        <f>IF(OR(I1600=0,I1600=""),"unrated",VLOOKUP(I1600,MappingTables!$B$19:$C$31,2,FALSE))</f>
        <v>2</v>
      </c>
      <c r="K1600" s="72">
        <v>167.98569166523438</v>
      </c>
      <c r="L1600" s="70">
        <v>0.2788534872929</v>
      </c>
      <c r="M1600" s="71">
        <f>IF(L1600&lt;1,1,L1600)</f>
        <v>1</v>
      </c>
      <c r="N1600" s="70" t="s">
        <v>141</v>
      </c>
      <c r="O1600" s="71">
        <f>INDEX(DurClassMapping,MATCH(M1600,MappingTables!$D$4:$D$8,-1),1)</f>
        <v>1</v>
      </c>
      <c r="P1600" s="73">
        <f>IF(M1600=$A$1,1,$M1600-INDEX(MappingTables!$E$4:$E$8,MATCH(O1600,MappingTables!$B$4:$B$8,0)))</f>
        <v>1</v>
      </c>
      <c r="Q1600" s="71">
        <f>IF(B1600="",0,INDEX(ModelParameters!$D$6:$K$10,MATCH($O1600,ModelParameters!$B$6:$B$10,0),MATCH($J1600,ModelParameters!$D$5:$K$5,0)))</f>
        <v>0.013999999999999998</v>
      </c>
      <c r="R1600" s="71">
        <f>IF(B1600="",0,INDEX(ModelParameters!$D$13:$K$17,MATCH($O1600,ModelParameters!$B$13:$B$17,0),MATCH($J1600,ModelParameters!$D$5:$K$5,0)))</f>
        <v>0</v>
      </c>
      <c r="S1600" s="160">
        <f>IF(B1600="",0,MIN(IF($N1600="Other Bond TM",ModelParameters!$N$21,1)*(P1600*Q1600+R1600),1))</f>
        <v>0.013999999999999998</v>
      </c>
      <c r="T1600" s="85">
        <f>IF(B1600="",0,$S1600*$K1600)</f>
        <v>2.3517996833132812</v>
      </c>
      <c r="U1600" s="85">
        <f>IF(B1600="",0,IF(OR(H1600=MappingTables!$C$34,H1600=MappingTables!$C$35),T1600,0))</f>
        <v>0</v>
      </c>
      <c r="V1600" s="85">
        <f>IF(ISNA(IF(AND(VLOOKUP(CONCATENATE($D1600,$G1600),CSRFinput!$B:$E,4,0)=0,OR(H1600=MappingTables!$C$34,H1600=MappingTables!$C$35)),1,VLOOKUP(CONCATENATE($D1600,$G1600),CSRFinput!$B:$E,4,0))),0,IF(AND(VLOOKUP(CONCATENATE($D1600,$G1600),CSRFinput!$B:$E,4,0)=0,OR(H1600=MappingTables!$C$34,H1600=MappingTables!$C$35)),1,VLOOKUP(CONCATENATE($D1600,$G1600),CSRFinput!$B:$E,4,0)))</f>
        <v>0.054776304963434752</v>
      </c>
      <c r="W1600" s="85">
        <f>IF(B1600="",0,+$T1600*$V1600)</f>
        <v>0.12882289666607758</v>
      </c>
      <c r="X1600" s="85">
        <f>IF(B1600="",0,IF(OR(H1600=MappingTables!$C$34,H1600=MappingTables!$C$35),W1600,0))</f>
        <v>0</v>
      </c>
    </row>
    <row r="1601" spans="2:24" s="0" customFormat="0" ht="15">
      <c r="B1601" s="69">
        <v>19216264</v>
      </c>
      <c r="C1601" s="70" t="s">
        <v>1833</v>
      </c>
      <c r="D1601" s="70" t="s">
        <v>1</v>
      </c>
      <c r="E1601" s="70" t="s">
        <v>1</v>
      </c>
      <c r="F1601" s="70"/>
      <c r="G1601" s="70" t="s">
        <v>61</v>
      </c>
      <c r="H1601" s="70" t="s">
        <v>178</v>
      </c>
      <c r="I1601" s="70" t="s">
        <v>188</v>
      </c>
      <c r="J1601" s="71">
        <f>IF(OR(I1601=0,I1601=""),"unrated",VLOOKUP(I1601,MappingTables!$B$19:$C$31,2,FALSE))</f>
        <v>2</v>
      </c>
      <c r="K1601" s="72">
        <v>81.470246677077632</v>
      </c>
      <c r="L1601" s="70">
        <v>0.095889633692154912</v>
      </c>
      <c r="M1601" s="71">
        <f>IF(L1601&lt;1,1,L1601)</f>
        <v>1</v>
      </c>
      <c r="N1601" s="70" t="s">
        <v>141</v>
      </c>
      <c r="O1601" s="71">
        <f>INDEX(DurClassMapping,MATCH(M1601,MappingTables!$D$4:$D$8,-1),1)</f>
        <v>1</v>
      </c>
      <c r="P1601" s="73">
        <f>IF(M1601=$A$1,1,$M1601-INDEX(MappingTables!$E$4:$E$8,MATCH(O1601,MappingTables!$B$4:$B$8,0)))</f>
        <v>1</v>
      </c>
      <c r="Q1601" s="71">
        <f>IF(B1601="",0,INDEX(ModelParameters!$D$6:$K$10,MATCH($O1601,ModelParameters!$B$6:$B$10,0),MATCH($J1601,ModelParameters!$D$5:$K$5,0)))</f>
        <v>0.013999999999999998</v>
      </c>
      <c r="R1601" s="71">
        <f>IF(B1601="",0,INDEX(ModelParameters!$D$13:$K$17,MATCH($O1601,ModelParameters!$B$13:$B$17,0),MATCH($J1601,ModelParameters!$D$5:$K$5,0)))</f>
        <v>0</v>
      </c>
      <c r="S1601" s="160">
        <f>IF(B1601="",0,MIN(IF($N1601="Other Bond TM",ModelParameters!$N$21,1)*(P1601*Q1601+R1601),1))</f>
        <v>0.013999999999999998</v>
      </c>
      <c r="T1601" s="85">
        <f>IF(B1601="",0,$S1601*$K1601)</f>
        <v>1.1405834534790868</v>
      </c>
      <c r="U1601" s="85">
        <f>IF(B1601="",0,IF(OR(H1601=MappingTables!$C$34,H1601=MappingTables!$C$35),T1601,0))</f>
        <v>0</v>
      </c>
      <c r="V1601" s="85">
        <f>IF(ISNA(IF(AND(VLOOKUP(CONCATENATE($D1601,$G1601),CSRFinput!$B:$E,4,0)=0,OR(H1601=MappingTables!$C$34,H1601=MappingTables!$C$35)),1,VLOOKUP(CONCATENATE($D1601,$G1601),CSRFinput!$B:$E,4,0))),0,IF(AND(VLOOKUP(CONCATENATE($D1601,$G1601),CSRFinput!$B:$E,4,0)=0,OR(H1601=MappingTables!$C$34,H1601=MappingTables!$C$35)),1,VLOOKUP(CONCATENATE($D1601,$G1601),CSRFinput!$B:$E,4,0)))</f>
        <v>0.054776304963434752</v>
      </c>
      <c r="W1601" s="85">
        <f>IF(B1601="",0,+$T1601*$V1601)</f>
        <v>0.062476947084018056</v>
      </c>
      <c r="X1601" s="85">
        <f>IF(B1601="",0,IF(OR(H1601=MappingTables!$C$34,H1601=MappingTables!$C$35),W1601,0))</f>
        <v>0</v>
      </c>
    </row>
    <row r="1602" spans="2:24" s="0" customFormat="0" ht="15">
      <c r="B1602" s="69">
        <v>19761710</v>
      </c>
      <c r="C1602" s="70" t="s">
        <v>1834</v>
      </c>
      <c r="D1602" s="70" t="s">
        <v>1</v>
      </c>
      <c r="E1602" s="70" t="s">
        <v>1</v>
      </c>
      <c r="F1602" s="70"/>
      <c r="G1602" s="70" t="s">
        <v>61</v>
      </c>
      <c r="H1602" s="70" t="s">
        <v>178</v>
      </c>
      <c r="I1602" s="70" t="s">
        <v>181</v>
      </c>
      <c r="J1602" s="71">
        <f>IF(OR(I1602=0,I1602=""),"unrated",VLOOKUP(I1602,MappingTables!$B$19:$C$31,2,FALSE))</f>
        <v>3</v>
      </c>
      <c r="K1602" s="72">
        <v>701.96205918641336</v>
      </c>
      <c r="L1602" s="70">
        <v>0.36438694618000504</v>
      </c>
      <c r="M1602" s="71">
        <f>IF(L1602&lt;1,1,L1602)</f>
        <v>1</v>
      </c>
      <c r="N1602" s="70" t="s">
        <v>141</v>
      </c>
      <c r="O1602" s="71">
        <f>INDEX(DurClassMapping,MATCH(M1602,MappingTables!$D$4:$D$8,-1),1)</f>
        <v>1</v>
      </c>
      <c r="P1602" s="73">
        <f>IF(M1602=$A$1,1,$M1602-INDEX(MappingTables!$E$4:$E$8,MATCH(O1602,MappingTables!$B$4:$B$8,0)))</f>
        <v>1</v>
      </c>
      <c r="Q1602" s="71">
        <f>IF(B1602="",0,INDEX(ModelParameters!$D$6:$K$10,MATCH($O1602,ModelParameters!$B$6:$B$10,0),MATCH($J1602,ModelParameters!$D$5:$K$5,0)))</f>
        <v>0.025</v>
      </c>
      <c r="R1602" s="71">
        <f>IF(B1602="",0,INDEX(ModelParameters!$D$13:$K$17,MATCH($O1602,ModelParameters!$B$13:$B$17,0),MATCH($J1602,ModelParameters!$D$5:$K$5,0)))</f>
        <v>0</v>
      </c>
      <c r="S1602" s="160">
        <f>IF(B1602="",0,MIN(IF($N1602="Other Bond TM",ModelParameters!$N$21,1)*(P1602*Q1602+R1602),1))</f>
        <v>0.025</v>
      </c>
      <c r="T1602" s="85">
        <f>IF(B1602="",0,$S1602*$K1602)</f>
        <v>17.549051479660334</v>
      </c>
      <c r="U1602" s="85">
        <f>IF(B1602="",0,IF(OR(H1602=MappingTables!$C$34,H1602=MappingTables!$C$35),T1602,0))</f>
        <v>0</v>
      </c>
      <c r="V1602" s="85">
        <f>IF(ISNA(IF(AND(VLOOKUP(CONCATENATE($D1602,$G1602),CSRFinput!$B:$E,4,0)=0,OR(H1602=MappingTables!$C$34,H1602=MappingTables!$C$35)),1,VLOOKUP(CONCATENATE($D1602,$G1602),CSRFinput!$B:$E,4,0))),0,IF(AND(VLOOKUP(CONCATENATE($D1602,$G1602),CSRFinput!$B:$E,4,0)=0,OR(H1602=MappingTables!$C$34,H1602=MappingTables!$C$35)),1,VLOOKUP(CONCATENATE($D1602,$G1602),CSRFinput!$B:$E,4,0)))</f>
        <v>0.054776304963434752</v>
      </c>
      <c r="W1602" s="85">
        <f>IF(B1602="",0,+$T1602*$V1602)</f>
        <v>0.9612721956688904</v>
      </c>
      <c r="X1602" s="85">
        <f>IF(B1602="",0,IF(OR(H1602=MappingTables!$C$34,H1602=MappingTables!$C$35),W1602,0))</f>
        <v>0</v>
      </c>
    </row>
    <row r="1603" spans="2:24" s="0" customFormat="0" ht="15">
      <c r="B1603" s="69">
        <v>22943429</v>
      </c>
      <c r="C1603" s="70" t="s">
        <v>1835</v>
      </c>
      <c r="D1603" s="70" t="s">
        <v>1</v>
      </c>
      <c r="E1603" s="70" t="s">
        <v>1</v>
      </c>
      <c r="F1603" s="70"/>
      <c r="G1603" s="70" t="s">
        <v>61</v>
      </c>
      <c r="H1603" s="70" t="s">
        <v>178</v>
      </c>
      <c r="I1603" s="70" t="s">
        <v>179</v>
      </c>
      <c r="J1603" s="71">
        <f>IF(OR(I1603=0,I1603=""),"unrated",VLOOKUP(I1603,MappingTables!$B$19:$C$31,2,FALSE))</f>
        <v>4</v>
      </c>
      <c r="K1603" s="72">
        <v>537.96884197669</v>
      </c>
      <c r="L1603" s="70">
        <v>1.2684422069925912</v>
      </c>
      <c r="M1603" s="71">
        <f>IF(L1603&lt;1,1,L1603)</f>
        <v>1.2684422069925912</v>
      </c>
      <c r="N1603" s="70" t="s">
        <v>141</v>
      </c>
      <c r="O1603" s="71">
        <f>INDEX(DurClassMapping,MATCH(M1603,MappingTables!$D$4:$D$8,-1),1)</f>
        <v>1</v>
      </c>
      <c r="P1603" s="73">
        <f>IF(M1603=$A$1,1,$M1603-INDEX(MappingTables!$E$4:$E$8,MATCH(O1603,MappingTables!$B$4:$B$8,0)))</f>
        <v>1.2684422069925912</v>
      </c>
      <c r="Q1603" s="71">
        <f>IF(B1603="",0,INDEX(ModelParameters!$D$6:$K$10,MATCH($O1603,ModelParameters!$B$6:$B$10,0),MATCH($J1603,ModelParameters!$D$5:$K$5,0)))</f>
        <v>0.045</v>
      </c>
      <c r="R1603" s="71">
        <f>IF(B1603="",0,INDEX(ModelParameters!$D$13:$K$17,MATCH($O1603,ModelParameters!$B$13:$B$17,0),MATCH($J1603,ModelParameters!$D$5:$K$5,0)))</f>
        <v>0</v>
      </c>
      <c r="S1603" s="160">
        <f>IF(B1603="",0,MIN(IF($N1603="Other Bond TM",ModelParameters!$N$21,1)*(P1603*Q1603+R1603),1))</f>
        <v>0.0570798993146666</v>
      </c>
      <c r="T1603" s="85">
        <f>IF(B1603="",0,$S1603*$K1603)</f>
        <v>30.707207334457252</v>
      </c>
      <c r="U1603" s="85">
        <f>IF(B1603="",0,IF(OR(H1603=MappingTables!$C$34,H1603=MappingTables!$C$35),T1603,0))</f>
        <v>0</v>
      </c>
      <c r="V1603" s="85">
        <f>IF(ISNA(IF(AND(VLOOKUP(CONCATENATE($D1603,$G1603),CSRFinput!$B:$E,4,0)=0,OR(H1603=MappingTables!$C$34,H1603=MappingTables!$C$35)),1,VLOOKUP(CONCATENATE($D1603,$G1603),CSRFinput!$B:$E,4,0))),0,IF(AND(VLOOKUP(CONCATENATE($D1603,$G1603),CSRFinput!$B:$E,4,0)=0,OR(H1603=MappingTables!$C$34,H1603=MappingTables!$C$35)),1,VLOOKUP(CONCATENATE($D1603,$G1603),CSRFinput!$B:$E,4,0)))</f>
        <v>0.054776304963434752</v>
      </c>
      <c r="W1603" s="85">
        <f>IF(B1603="",0,+$T1603*$V1603)</f>
        <v>1.6820273535276508</v>
      </c>
      <c r="X1603" s="85">
        <f>IF(B1603="",0,IF(OR(H1603=MappingTables!$C$34,H1603=MappingTables!$C$35),W1603,0))</f>
        <v>0</v>
      </c>
    </row>
    <row r="1604" spans="2:24" s="0" customFormat="0" ht="15">
      <c r="B1604" s="69" t="s">
        <v>1836</v>
      </c>
      <c r="C1604" s="70" t="s">
        <v>1837</v>
      </c>
      <c r="D1604" s="70" t="s">
        <v>1</v>
      </c>
      <c r="E1604" s="70" t="s">
        <v>1</v>
      </c>
      <c r="F1604" s="70"/>
      <c r="G1604" s="70" t="s">
        <v>61</v>
      </c>
      <c r="H1604" s="70" t="s">
        <v>178</v>
      </c>
      <c r="I1604" s="70" t="s">
        <v>181</v>
      </c>
      <c r="J1604" s="71">
        <f>IF(OR(I1604=0,I1604=""),"unrated",VLOOKUP(I1604,MappingTables!$B$19:$C$31,2,FALSE))</f>
        <v>3</v>
      </c>
      <c r="K1604" s="72">
        <v>0.75841047054898064</v>
      </c>
      <c r="L1604" s="70">
        <v>1.2814892442581328</v>
      </c>
      <c r="M1604" s="71">
        <f>IF(L1604&lt;1,1,L1604)</f>
        <v>1.2814892442581328</v>
      </c>
      <c r="N1604" s="70" t="s">
        <v>141</v>
      </c>
      <c r="O1604" s="71">
        <f>INDEX(DurClassMapping,MATCH(M1604,MappingTables!$D$4:$D$8,-1),1)</f>
        <v>1</v>
      </c>
      <c r="P1604" s="73">
        <f>IF(M1604=$A$1,1,$M1604-INDEX(MappingTables!$E$4:$E$8,MATCH(O1604,MappingTables!$B$4:$B$8,0)))</f>
        <v>1.2814892442581328</v>
      </c>
      <c r="Q1604" s="71">
        <f>IF(B1604="",0,INDEX(ModelParameters!$D$6:$K$10,MATCH($O1604,ModelParameters!$B$6:$B$10,0),MATCH($J1604,ModelParameters!$D$5:$K$5,0)))</f>
        <v>0.025</v>
      </c>
      <c r="R1604" s="71">
        <f>IF(B1604="",0,INDEX(ModelParameters!$D$13:$K$17,MATCH($O1604,ModelParameters!$B$13:$B$17,0),MATCH($J1604,ModelParameters!$D$5:$K$5,0)))</f>
        <v>0</v>
      </c>
      <c r="S1604" s="160">
        <f>IF(B1604="",0,MIN(IF($N1604="Other Bond TM",ModelParameters!$N$21,1)*(P1604*Q1604+R1604),1))</f>
        <v>0.032037231106453316</v>
      </c>
      <c r="T1604" s="85">
        <f>IF(B1604="",0,$S1604*$K1604)</f>
        <v>0.0242973715185317</v>
      </c>
      <c r="U1604" s="85">
        <f>IF(B1604="",0,IF(OR(H1604=MappingTables!$C$34,H1604=MappingTables!$C$35),T1604,0))</f>
        <v>0</v>
      </c>
      <c r="V1604" s="85">
        <f>IF(ISNA(IF(AND(VLOOKUP(CONCATENATE($D1604,$G1604),CSRFinput!$B:$E,4,0)=0,OR(H1604=MappingTables!$C$34,H1604=MappingTables!$C$35)),1,VLOOKUP(CONCATENATE($D1604,$G1604),CSRFinput!$B:$E,4,0))),0,IF(AND(VLOOKUP(CONCATENATE($D1604,$G1604),CSRFinput!$B:$E,4,0)=0,OR(H1604=MappingTables!$C$34,H1604=MappingTables!$C$35)),1,VLOOKUP(CONCATENATE($D1604,$G1604),CSRFinput!$B:$E,4,0)))</f>
        <v>0.054776304963434752</v>
      </c>
      <c r="W1604" s="85">
        <f>IF(B1604="",0,+$T1604*$V1604)</f>
        <v>0.0013309202321089664</v>
      </c>
      <c r="X1604" s="85">
        <f>IF(B1604="",0,IF(OR(H1604=MappingTables!$C$34,H1604=MappingTables!$C$35),W1604,0))</f>
        <v>0</v>
      </c>
    </row>
    <row r="1605" spans="2:24" s="0" customFormat="0" ht="15">
      <c r="B1605" s="69" t="s">
        <v>1838</v>
      </c>
      <c r="C1605" s="70" t="s">
        <v>1839</v>
      </c>
      <c r="D1605" s="70" t="s">
        <v>1</v>
      </c>
      <c r="E1605" s="70" t="s">
        <v>1</v>
      </c>
      <c r="F1605" s="70"/>
      <c r="G1605" s="70" t="s">
        <v>61</v>
      </c>
      <c r="H1605" s="70" t="s">
        <v>178</v>
      </c>
      <c r="I1605" s="70" t="s">
        <v>181</v>
      </c>
      <c r="J1605" s="71">
        <f>IF(OR(I1605=0,I1605=""),"unrated",VLOOKUP(I1605,MappingTables!$B$19:$C$31,2,FALSE))</f>
        <v>3</v>
      </c>
      <c r="K1605" s="72">
        <v>4.2087113460217464</v>
      </c>
      <c r="L1605" s="70">
        <v>2.200971349183272</v>
      </c>
      <c r="M1605" s="71">
        <f>IF(L1605&lt;1,1,L1605)</f>
        <v>2.200971349183272</v>
      </c>
      <c r="N1605" s="70" t="s">
        <v>141</v>
      </c>
      <c r="O1605" s="71">
        <f>INDEX(DurClassMapping,MATCH(M1605,MappingTables!$D$4:$D$8,-1),1)</f>
        <v>1</v>
      </c>
      <c r="P1605" s="73">
        <f>IF(M1605=$A$1,1,$M1605-INDEX(MappingTables!$E$4:$E$8,MATCH(O1605,MappingTables!$B$4:$B$8,0)))</f>
        <v>2.200971349183272</v>
      </c>
      <c r="Q1605" s="71">
        <f>IF(B1605="",0,INDEX(ModelParameters!$D$6:$K$10,MATCH($O1605,ModelParameters!$B$6:$B$10,0),MATCH($J1605,ModelParameters!$D$5:$K$5,0)))</f>
        <v>0.025</v>
      </c>
      <c r="R1605" s="71">
        <f>IF(B1605="",0,INDEX(ModelParameters!$D$13:$K$17,MATCH($O1605,ModelParameters!$B$13:$B$17,0),MATCH($J1605,ModelParameters!$D$5:$K$5,0)))</f>
        <v>0</v>
      </c>
      <c r="S1605" s="160">
        <f>IF(B1605="",0,MIN(IF($N1605="Other Bond TM",ModelParameters!$N$21,1)*(P1605*Q1605+R1605),1))</f>
        <v>0.055024283729581808</v>
      </c>
      <c r="T1605" s="85">
        <f>IF(B1605="",0,$S1605*$K1605)</f>
        <v>0.23158132723941072</v>
      </c>
      <c r="U1605" s="85">
        <f>IF(B1605="",0,IF(OR(H1605=MappingTables!$C$34,H1605=MappingTables!$C$35),T1605,0))</f>
        <v>0</v>
      </c>
      <c r="V1605" s="85">
        <f>IF(ISNA(IF(AND(VLOOKUP(CONCATENATE($D1605,$G1605),CSRFinput!$B:$E,4,0)=0,OR(H1605=MappingTables!$C$34,H1605=MappingTables!$C$35)),1,VLOOKUP(CONCATENATE($D1605,$G1605),CSRFinput!$B:$E,4,0))),0,IF(AND(VLOOKUP(CONCATENATE($D1605,$G1605),CSRFinput!$B:$E,4,0)=0,OR(H1605=MappingTables!$C$34,H1605=MappingTables!$C$35)),1,VLOOKUP(CONCATENATE($D1605,$G1605),CSRFinput!$B:$E,4,0)))</f>
        <v>0.054776304963434752</v>
      </c>
      <c r="W1605" s="85">
        <f>IF(B1605="",0,+$T1605*$V1605)</f>
        <v>0.01268516940470294</v>
      </c>
      <c r="X1605" s="85">
        <f>IF(B1605="",0,IF(OR(H1605=MappingTables!$C$34,H1605=MappingTables!$C$35),W1605,0))</f>
        <v>0</v>
      </c>
    </row>
    <row r="1606" spans="2:24" s="0" customFormat="0" ht="15">
      <c r="B1606" s="69" t="s">
        <v>1840</v>
      </c>
      <c r="C1606" s="70" t="s">
        <v>1841</v>
      </c>
      <c r="D1606" s="70" t="s">
        <v>1</v>
      </c>
      <c r="E1606" s="70" t="s">
        <v>1</v>
      </c>
      <c r="F1606" s="70"/>
      <c r="G1606" s="70" t="s">
        <v>61</v>
      </c>
      <c r="H1606" s="70" t="s">
        <v>178</v>
      </c>
      <c r="I1606" s="70" t="s">
        <v>181</v>
      </c>
      <c r="J1606" s="71">
        <f>IF(OR(I1606=0,I1606=""),"unrated",VLOOKUP(I1606,MappingTables!$B$19:$C$31,2,FALSE))</f>
        <v>3</v>
      </c>
      <c r="K1606" s="72">
        <v>144.57670552021196</v>
      </c>
      <c r="L1606" s="70">
        <v>6.5828292523003016</v>
      </c>
      <c r="M1606" s="71">
        <f>IF(L1606&lt;1,1,L1606)</f>
        <v>6.5828292523003016</v>
      </c>
      <c r="N1606" s="70" t="s">
        <v>141</v>
      </c>
      <c r="O1606" s="71">
        <f>INDEX(DurClassMapping,MATCH(M1606,MappingTables!$D$4:$D$8,-1),1)</f>
        <v>2</v>
      </c>
      <c r="P1606" s="73">
        <f>IF(M1606=$A$1,1,$M1606-INDEX(MappingTables!$E$4:$E$8,MATCH(O1606,MappingTables!$B$4:$B$8,0)))</f>
        <v>1.5828292523003018</v>
      </c>
      <c r="Q1606" s="71">
        <f>IF(B1606="",0,INDEX(ModelParameters!$D$6:$K$10,MATCH($O1606,ModelParameters!$B$6:$B$10,0),MATCH($J1606,ModelParameters!$D$5:$K$5,0)))</f>
        <v>0.015</v>
      </c>
      <c r="R1606" s="71">
        <f>IF(B1606="",0,INDEX(ModelParameters!$D$13:$K$17,MATCH($O1606,ModelParameters!$B$13:$B$17,0),MATCH($J1606,ModelParameters!$D$5:$K$5,0)))</f>
        <v>0.125</v>
      </c>
      <c r="S1606" s="160">
        <f>IF(B1606="",0,MIN(IF($N1606="Other Bond TM",ModelParameters!$N$21,1)*(P1606*Q1606+R1606),1))</f>
        <v>0.14874243878450452</v>
      </c>
      <c r="T1606" s="85">
        <f>IF(B1606="",0,$S1606*$K1606)</f>
        <v>21.504691770505464</v>
      </c>
      <c r="U1606" s="85">
        <f>IF(B1606="",0,IF(OR(H1606=MappingTables!$C$34,H1606=MappingTables!$C$35),T1606,0))</f>
        <v>0</v>
      </c>
      <c r="V1606" s="85">
        <f>IF(ISNA(IF(AND(VLOOKUP(CONCATENATE($D1606,$G1606),CSRFinput!$B:$E,4,0)=0,OR(H1606=MappingTables!$C$34,H1606=MappingTables!$C$35)),1,VLOOKUP(CONCATENATE($D1606,$G1606),CSRFinput!$B:$E,4,0))),0,IF(AND(VLOOKUP(CONCATENATE($D1606,$G1606),CSRFinput!$B:$E,4,0)=0,OR(H1606=MappingTables!$C$34,H1606=MappingTables!$C$35)),1,VLOOKUP(CONCATENATE($D1606,$G1606),CSRFinput!$B:$E,4,0)))</f>
        <v>0.054776304963434752</v>
      </c>
      <c r="W1606" s="85">
        <f>IF(B1606="",0,+$T1606*$V1606)</f>
        <v>1.1779475545658728</v>
      </c>
      <c r="X1606" s="85">
        <f>IF(B1606="",0,IF(OR(H1606=MappingTables!$C$34,H1606=MappingTables!$C$35),W1606,0))</f>
        <v>0</v>
      </c>
    </row>
    <row r="1607" spans="2:24" s="0" customFormat="0" ht="15">
      <c r="B1607" s="69" t="s">
        <v>1842</v>
      </c>
      <c r="C1607" s="70" t="s">
        <v>1843</v>
      </c>
      <c r="D1607" s="70" t="s">
        <v>1</v>
      </c>
      <c r="E1607" s="70" t="s">
        <v>1</v>
      </c>
      <c r="F1607" s="70"/>
      <c r="G1607" s="70" t="s">
        <v>61</v>
      </c>
      <c r="H1607" s="70" t="s">
        <v>178</v>
      </c>
      <c r="I1607" s="70" t="s">
        <v>188</v>
      </c>
      <c r="J1607" s="71">
        <f>IF(OR(I1607=0,I1607=""),"unrated",VLOOKUP(I1607,MappingTables!$B$19:$C$31,2,FALSE))</f>
        <v>2</v>
      </c>
      <c r="K1607" s="72">
        <v>526.29746559040856</v>
      </c>
      <c r="L1607" s="70">
        <v>4.2328291234501752</v>
      </c>
      <c r="M1607" s="71">
        <f>IF(L1607&lt;1,1,L1607)</f>
        <v>4.2328291234501752</v>
      </c>
      <c r="N1607" s="70" t="s">
        <v>141</v>
      </c>
      <c r="O1607" s="71">
        <f>INDEX(DurClassMapping,MATCH(M1607,MappingTables!$D$4:$D$8,-1),1)</f>
        <v>1</v>
      </c>
      <c r="P1607" s="73">
        <f>IF(M1607=$A$1,1,$M1607-INDEX(MappingTables!$E$4:$E$8,MATCH(O1607,MappingTables!$B$4:$B$8,0)))</f>
        <v>4.2328291234501752</v>
      </c>
      <c r="Q1607" s="71">
        <f>IF(B1607="",0,INDEX(ModelParameters!$D$6:$K$10,MATCH($O1607,ModelParameters!$B$6:$B$10,0),MATCH($J1607,ModelParameters!$D$5:$K$5,0)))</f>
        <v>0.013999999999999998</v>
      </c>
      <c r="R1607" s="71">
        <f>IF(B1607="",0,INDEX(ModelParameters!$D$13:$K$17,MATCH($O1607,ModelParameters!$B$13:$B$17,0),MATCH($J1607,ModelParameters!$D$5:$K$5,0)))</f>
        <v>0</v>
      </c>
      <c r="S1607" s="160">
        <f>IF(B1607="",0,MIN(IF($N1607="Other Bond TM",ModelParameters!$N$21,1)*(P1607*Q1607+R1607),1))</f>
        <v>0.059259607728302448</v>
      </c>
      <c r="T1607" s="85">
        <f>IF(B1607="",0,$S1607*$K1607)</f>
        <v>31.188181359287368</v>
      </c>
      <c r="U1607" s="85">
        <f>IF(B1607="",0,IF(OR(H1607=MappingTables!$C$34,H1607=MappingTables!$C$35),T1607,0))</f>
        <v>0</v>
      </c>
      <c r="V1607" s="85">
        <f>IF(ISNA(IF(AND(VLOOKUP(CONCATENATE($D1607,$G1607),CSRFinput!$B:$E,4,0)=0,OR(H1607=MappingTables!$C$34,H1607=MappingTables!$C$35)),1,VLOOKUP(CONCATENATE($D1607,$G1607),CSRFinput!$B:$E,4,0))),0,IF(AND(VLOOKUP(CONCATENATE($D1607,$G1607),CSRFinput!$B:$E,4,0)=0,OR(H1607=MappingTables!$C$34,H1607=MappingTables!$C$35)),1,VLOOKUP(CONCATENATE($D1607,$G1607),CSRFinput!$B:$E,4,0)))</f>
        <v>0.054776304963434752</v>
      </c>
      <c r="W1607" s="85">
        <f>IF(B1607="",0,+$T1607*$V1607)</f>
        <v>1.7083733333912358</v>
      </c>
      <c r="X1607" s="85">
        <f>IF(B1607="",0,IF(OR(H1607=MappingTables!$C$34,H1607=MappingTables!$C$35),W1607,0))</f>
        <v>0</v>
      </c>
    </row>
    <row r="1608" spans="2:24" s="0" customFormat="0" ht="15">
      <c r="B1608" s="69">
        <v>23531229</v>
      </c>
      <c r="C1608" s="70" t="s">
        <v>417</v>
      </c>
      <c r="D1608" s="70" t="s">
        <v>1</v>
      </c>
      <c r="E1608" s="70" t="s">
        <v>1</v>
      </c>
      <c r="F1608" s="70"/>
      <c r="G1608" s="70" t="s">
        <v>61</v>
      </c>
      <c r="H1608" s="70" t="s">
        <v>178</v>
      </c>
      <c r="I1608" s="70" t="s">
        <v>179</v>
      </c>
      <c r="J1608" s="71">
        <f>IF(OR(I1608=0,I1608=""),"unrated",VLOOKUP(I1608,MappingTables!$B$19:$C$31,2,FALSE))</f>
        <v>4</v>
      </c>
      <c r="K1608" s="72">
        <v>96.731081821938512</v>
      </c>
      <c r="L1608" s="70">
        <v>1.6280312223480722</v>
      </c>
      <c r="M1608" s="71">
        <f>IF(L1608&lt;1,1,L1608)</f>
        <v>1.6280312223480722</v>
      </c>
      <c r="N1608" s="70" t="s">
        <v>141</v>
      </c>
      <c r="O1608" s="71">
        <f>INDEX(DurClassMapping,MATCH(M1608,MappingTables!$D$4:$D$8,-1),1)</f>
        <v>1</v>
      </c>
      <c r="P1608" s="73">
        <f>IF(M1608=$A$1,1,$M1608-INDEX(MappingTables!$E$4:$E$8,MATCH(O1608,MappingTables!$B$4:$B$8,0)))</f>
        <v>1.6280312223480722</v>
      </c>
      <c r="Q1608" s="71">
        <f>IF(B1608="",0,INDEX(ModelParameters!$D$6:$K$10,MATCH($O1608,ModelParameters!$B$6:$B$10,0),MATCH($J1608,ModelParameters!$D$5:$K$5,0)))</f>
        <v>0.045</v>
      </c>
      <c r="R1608" s="71">
        <f>IF(B1608="",0,INDEX(ModelParameters!$D$13:$K$17,MATCH($O1608,ModelParameters!$B$13:$B$17,0),MATCH($J1608,ModelParameters!$D$5:$K$5,0)))</f>
        <v>0</v>
      </c>
      <c r="S1608" s="160">
        <f>IF(B1608="",0,MIN(IF($N1608="Other Bond TM",ModelParameters!$N$21,1)*(P1608*Q1608+R1608),1))</f>
        <v>0.073261405005663248</v>
      </c>
      <c r="T1608" s="85">
        <f>IF(B1608="",0,$S1608*$K1608)</f>
        <v>7.086654961992988</v>
      </c>
      <c r="U1608" s="85">
        <f>IF(B1608="",0,IF(OR(H1608=MappingTables!$C$34,H1608=MappingTables!$C$35),T1608,0))</f>
        <v>0</v>
      </c>
      <c r="V1608" s="85">
        <f>IF(ISNA(IF(AND(VLOOKUP(CONCATENATE($D1608,$G1608),CSRFinput!$B:$E,4,0)=0,OR(H1608=MappingTables!$C$34,H1608=MappingTables!$C$35)),1,VLOOKUP(CONCATENATE($D1608,$G1608),CSRFinput!$B:$E,4,0))),0,IF(AND(VLOOKUP(CONCATENATE($D1608,$G1608),CSRFinput!$B:$E,4,0)=0,OR(H1608=MappingTables!$C$34,H1608=MappingTables!$C$35)),1,VLOOKUP(CONCATENATE($D1608,$G1608),CSRFinput!$B:$E,4,0)))</f>
        <v>0.054776304963434752</v>
      </c>
      <c r="W1608" s="85">
        <f>IF(B1608="",0,+$T1608*$V1608)</f>
        <v>0.388180773368766</v>
      </c>
      <c r="X1608" s="85">
        <f>IF(B1608="",0,IF(OR(H1608=MappingTables!$C$34,H1608=MappingTables!$C$35),W1608,0))</f>
        <v>0</v>
      </c>
    </row>
    <row r="1609" spans="2:24" s="0" customFormat="0" ht="15">
      <c r="B1609" s="69">
        <v>20784315</v>
      </c>
      <c r="C1609" s="70" t="s">
        <v>407</v>
      </c>
      <c r="D1609" s="70" t="s">
        <v>1</v>
      </c>
      <c r="E1609" s="70" t="s">
        <v>1</v>
      </c>
      <c r="F1609" s="70"/>
      <c r="G1609" s="70" t="s">
        <v>61</v>
      </c>
      <c r="H1609" s="70" t="s">
        <v>178</v>
      </c>
      <c r="I1609" s="70" t="s">
        <v>188</v>
      </c>
      <c r="J1609" s="71">
        <f>IF(OR(I1609=0,I1609=""),"unrated",VLOOKUP(I1609,MappingTables!$B$19:$C$31,2,FALSE))</f>
        <v>2</v>
      </c>
      <c r="K1609" s="72">
        <v>2098370.6665039064</v>
      </c>
      <c r="L1609" s="70">
        <v>8.2628581309816352</v>
      </c>
      <c r="M1609" s="71">
        <f>IF(L1609&lt;1,1,L1609)</f>
        <v>8.2628581309816352</v>
      </c>
      <c r="N1609" s="70" t="s">
        <v>141</v>
      </c>
      <c r="O1609" s="71">
        <f>INDEX(DurClassMapping,MATCH(M1609,MappingTables!$D$4:$D$8,-1),1)</f>
        <v>2</v>
      </c>
      <c r="P1609" s="73">
        <f>IF(M1609=$A$1,1,$M1609-INDEX(MappingTables!$E$4:$E$8,MATCH(O1609,MappingTables!$B$4:$B$8,0)))</f>
        <v>3.2628581309816356</v>
      </c>
      <c r="Q1609" s="71">
        <f>IF(B1609="",0,INDEX(ModelParameters!$D$6:$K$10,MATCH($O1609,ModelParameters!$B$6:$B$10,0),MATCH($J1609,ModelParameters!$D$5:$K$5,0)))</f>
        <v>0.0069999999999999992</v>
      </c>
      <c r="R1609" s="71">
        <f>IF(B1609="",0,INDEX(ModelParameters!$D$13:$K$17,MATCH($O1609,ModelParameters!$B$13:$B$17,0),MATCH($J1609,ModelParameters!$D$5:$K$5,0)))</f>
        <v>0.070000000000000008</v>
      </c>
      <c r="S1609" s="160">
        <f>IF(B1609="",0,MIN(IF($N1609="Other Bond TM",ModelParameters!$N$21,1)*(P1609*Q1609+R1609),1))</f>
        <v>0.092840006916871456</v>
      </c>
      <c r="T1609" s="85">
        <f>IF(B1609="",0,$S1609*$K1609)</f>
        <v>194812.7471923828</v>
      </c>
      <c r="U1609" s="85">
        <f>IF(B1609="",0,IF(OR(H1609=MappingTables!$C$34,H1609=MappingTables!$C$35),T1609,0))</f>
        <v>0</v>
      </c>
      <c r="V1609" s="85">
        <f>IF(ISNA(IF(AND(VLOOKUP(CONCATENATE($D1609,$G1609),CSRFinput!$B:$E,4,0)=0,OR(H1609=MappingTables!$C$34,H1609=MappingTables!$C$35)),1,VLOOKUP(CONCATENATE($D1609,$G1609),CSRFinput!$B:$E,4,0))),0,IF(AND(VLOOKUP(CONCATENATE($D1609,$G1609),CSRFinput!$B:$E,4,0)=0,OR(H1609=MappingTables!$C$34,H1609=MappingTables!$C$35)),1,VLOOKUP(CONCATENATE($D1609,$G1609),CSRFinput!$B:$E,4,0)))</f>
        <v>0.054776304963434752</v>
      </c>
      <c r="W1609" s="85">
        <f>IF(B1609="",0,+$T1609*$V1609)</f>
        <v>10671.122450974478</v>
      </c>
      <c r="X1609" s="85">
        <f>IF(B1609="",0,IF(OR(H1609=MappingTables!$C$34,H1609=MappingTables!$C$35),W1609,0))</f>
        <v>0</v>
      </c>
    </row>
    <row r="1610" spans="2:24" s="0" customFormat="0" ht="15">
      <c r="B1610" s="69" t="s">
        <v>945</v>
      </c>
      <c r="C1610" s="70" t="s">
        <v>946</v>
      </c>
      <c r="D1610" s="70" t="s">
        <v>1</v>
      </c>
      <c r="E1610" s="70" t="s">
        <v>1</v>
      </c>
      <c r="F1610" s="70"/>
      <c r="G1610" s="70" t="s">
        <v>61</v>
      </c>
      <c r="H1610" s="70" t="s">
        <v>178</v>
      </c>
      <c r="I1610" s="70" t="s">
        <v>181</v>
      </c>
      <c r="J1610" s="71">
        <f>IF(OR(I1610=0,I1610=""),"unrated",VLOOKUP(I1610,MappingTables!$B$19:$C$31,2,FALSE))</f>
        <v>3</v>
      </c>
      <c r="K1610" s="72">
        <v>36.956693508486096</v>
      </c>
      <c r="L1610" s="70">
        <v>9.1302550920937808</v>
      </c>
      <c r="M1610" s="71">
        <f>IF(L1610&lt;1,1,L1610)</f>
        <v>9.1302550920937808</v>
      </c>
      <c r="N1610" s="70" t="s">
        <v>141</v>
      </c>
      <c r="O1610" s="71">
        <f>INDEX(DurClassMapping,MATCH(M1610,MappingTables!$D$4:$D$8,-1),1)</f>
        <v>2</v>
      </c>
      <c r="P1610" s="73">
        <f>IF(M1610=$A$1,1,$M1610-INDEX(MappingTables!$E$4:$E$8,MATCH(O1610,MappingTables!$B$4:$B$8,0)))</f>
        <v>4.1302550920937816</v>
      </c>
      <c r="Q1610" s="71">
        <f>IF(B1610="",0,INDEX(ModelParameters!$D$6:$K$10,MATCH($O1610,ModelParameters!$B$6:$B$10,0),MATCH($J1610,ModelParameters!$D$5:$K$5,0)))</f>
        <v>0.015</v>
      </c>
      <c r="R1610" s="71">
        <f>IF(B1610="",0,INDEX(ModelParameters!$D$13:$K$17,MATCH($O1610,ModelParameters!$B$13:$B$17,0),MATCH($J1610,ModelParameters!$D$5:$K$5,0)))</f>
        <v>0.125</v>
      </c>
      <c r="S1610" s="160">
        <f>IF(B1610="",0,MIN(IF($N1610="Other Bond TM",ModelParameters!$N$21,1)*(P1610*Q1610+R1610),1))</f>
        <v>0.18695382638140672</v>
      </c>
      <c r="T1610" s="85">
        <f>IF(B1610="",0,$S1610*$K1610)</f>
        <v>6.9091952618163704</v>
      </c>
      <c r="U1610" s="85">
        <f>IF(B1610="",0,IF(OR(H1610=MappingTables!$C$34,H1610=MappingTables!$C$35),T1610,0))</f>
        <v>0</v>
      </c>
      <c r="V1610" s="85">
        <f>IF(ISNA(IF(AND(VLOOKUP(CONCATENATE($D1610,$G1610),CSRFinput!$B:$E,4,0)=0,OR(H1610=MappingTables!$C$34,H1610=MappingTables!$C$35)),1,VLOOKUP(CONCATENATE($D1610,$G1610),CSRFinput!$B:$E,4,0))),0,IF(AND(VLOOKUP(CONCATENATE($D1610,$G1610),CSRFinput!$B:$E,4,0)=0,OR(H1610=MappingTables!$C$34,H1610=MappingTables!$C$35)),1,VLOOKUP(CONCATENATE($D1610,$G1610),CSRFinput!$B:$E,4,0)))</f>
        <v>0.054776304963434752</v>
      </c>
      <c r="W1610" s="85">
        <f>IF(B1610="",0,+$T1610*$V1610)</f>
        <v>0.37846018671317192</v>
      </c>
      <c r="X1610" s="85">
        <f>IF(B1610="",0,IF(OR(H1610=MappingTables!$C$34,H1610=MappingTables!$C$35),W1610,0))</f>
        <v>0</v>
      </c>
    </row>
    <row r="1611" spans="2:24" s="0" customFormat="0" ht="15">
      <c r="B1611" s="69">
        <v>22048320</v>
      </c>
      <c r="C1611" s="70" t="s">
        <v>1844</v>
      </c>
      <c r="D1611" s="70" t="s">
        <v>1</v>
      </c>
      <c r="E1611" s="70" t="s">
        <v>1</v>
      </c>
      <c r="F1611" s="70"/>
      <c r="G1611" s="70" t="s">
        <v>61</v>
      </c>
      <c r="H1611" s="70" t="s">
        <v>178</v>
      </c>
      <c r="I1611" s="70" t="s">
        <v>179</v>
      </c>
      <c r="J1611" s="71">
        <f>IF(OR(I1611=0,I1611=""),"unrated",VLOOKUP(I1611,MappingTables!$B$19:$C$31,2,FALSE))</f>
        <v>4</v>
      </c>
      <c r="K1611" s="72">
        <v>342.90207642806956</v>
      </c>
      <c r="L1611" s="70">
        <v>1.003249849180444</v>
      </c>
      <c r="M1611" s="71">
        <f>IF(L1611&lt;1,1,L1611)</f>
        <v>1.003249849180444</v>
      </c>
      <c r="N1611" s="70" t="s">
        <v>141</v>
      </c>
      <c r="O1611" s="71">
        <f>INDEX(DurClassMapping,MATCH(M1611,MappingTables!$D$4:$D$8,-1),1)</f>
        <v>1</v>
      </c>
      <c r="P1611" s="73">
        <f>IF(M1611=$A$1,1,$M1611-INDEX(MappingTables!$E$4:$E$8,MATCH(O1611,MappingTables!$B$4:$B$8,0)))</f>
        <v>1.003249849180444</v>
      </c>
      <c r="Q1611" s="71">
        <f>IF(B1611="",0,INDEX(ModelParameters!$D$6:$K$10,MATCH($O1611,ModelParameters!$B$6:$B$10,0),MATCH($J1611,ModelParameters!$D$5:$K$5,0)))</f>
        <v>0.045</v>
      </c>
      <c r="R1611" s="71">
        <f>IF(B1611="",0,INDEX(ModelParameters!$D$13:$K$17,MATCH($O1611,ModelParameters!$B$13:$B$17,0),MATCH($J1611,ModelParameters!$D$5:$K$5,0)))</f>
        <v>0</v>
      </c>
      <c r="S1611" s="160">
        <f>IF(B1611="",0,MIN(IF($N1611="Other Bond TM",ModelParameters!$N$21,1)*(P1611*Q1611+R1611),1))</f>
        <v>0.045146243213119984</v>
      </c>
      <c r="T1611" s="85">
        <f>IF(B1611="",0,$S1611*$K1611)</f>
        <v>15.480740540705484</v>
      </c>
      <c r="U1611" s="85">
        <f>IF(B1611="",0,IF(OR(H1611=MappingTables!$C$34,H1611=MappingTables!$C$35),T1611,0))</f>
        <v>0</v>
      </c>
      <c r="V1611" s="85">
        <f>IF(ISNA(IF(AND(VLOOKUP(CONCATENATE($D1611,$G1611),CSRFinput!$B:$E,4,0)=0,OR(H1611=MappingTables!$C$34,H1611=MappingTables!$C$35)),1,VLOOKUP(CONCATENATE($D1611,$G1611),CSRFinput!$B:$E,4,0))),0,IF(AND(VLOOKUP(CONCATENATE($D1611,$G1611),CSRFinput!$B:$E,4,0)=0,OR(H1611=MappingTables!$C$34,H1611=MappingTables!$C$35)),1,VLOOKUP(CONCATENATE($D1611,$G1611),CSRFinput!$B:$E,4,0)))</f>
        <v>0.054776304963434752</v>
      </c>
      <c r="W1611" s="85">
        <f>IF(B1611="",0,+$T1611*$V1611)</f>
        <v>0.84797776491749136</v>
      </c>
      <c r="X1611" s="85">
        <f>IF(B1611="",0,IF(OR(H1611=MappingTables!$C$34,H1611=MappingTables!$C$35),W1611,0))</f>
        <v>0</v>
      </c>
    </row>
    <row r="1612" spans="2:24" s="0" customFormat="0" ht="15">
      <c r="B1612" s="69" t="s">
        <v>1845</v>
      </c>
      <c r="C1612" s="70" t="s">
        <v>1846</v>
      </c>
      <c r="D1612" s="70" t="s">
        <v>1</v>
      </c>
      <c r="E1612" s="70" t="s">
        <v>1</v>
      </c>
      <c r="F1612" s="70"/>
      <c r="G1612" s="70" t="s">
        <v>61</v>
      </c>
      <c r="H1612" s="70" t="s">
        <v>178</v>
      </c>
      <c r="I1612" s="70" t="s">
        <v>198</v>
      </c>
      <c r="J1612" s="71" t="str">
        <f>IF(OR(I1612=0,I1612=""),"unrated",VLOOKUP(I1612,MappingTables!$B$19:$C$31,2,FALSE))</f>
        <v>unrated</v>
      </c>
      <c r="K1612" s="72">
        <v>6564.793576007464</v>
      </c>
      <c r="L1612" s="70">
        <v>5.7221853873239296</v>
      </c>
      <c r="M1612" s="71">
        <f>IF(L1612&lt;1,1,L1612)</f>
        <v>5.7221853873239296</v>
      </c>
      <c r="N1612" s="70" t="s">
        <v>141</v>
      </c>
      <c r="O1612" s="71">
        <f>INDEX(DurClassMapping,MATCH(M1612,MappingTables!$D$4:$D$8,-1),1)</f>
        <v>2</v>
      </c>
      <c r="P1612" s="73">
        <f>IF(M1612=$A$1,1,$M1612-INDEX(MappingTables!$E$4:$E$8,MATCH(O1612,MappingTables!$B$4:$B$8,0)))</f>
        <v>0.72218538732392992</v>
      </c>
      <c r="Q1612" s="71">
        <f>IF(B1612="",0,INDEX(ModelParameters!$D$6:$K$10,MATCH($O1612,ModelParameters!$B$6:$B$10,0),MATCH($J1612,ModelParameters!$D$5:$K$5,0)))</f>
        <v>0.017000000000000002</v>
      </c>
      <c r="R1612" s="71">
        <f>IF(B1612="",0,INDEX(ModelParameters!$D$13:$K$17,MATCH($O1612,ModelParameters!$B$13:$B$17,0),MATCH($J1612,ModelParameters!$D$5:$K$5,0)))</f>
        <v>0.15</v>
      </c>
      <c r="S1612" s="160">
        <f>IF(B1612="",0,MIN(IF($N1612="Other Bond TM",ModelParameters!$N$21,1)*(P1612*Q1612+R1612),1))</f>
        <v>0.16227715158450682</v>
      </c>
      <c r="T1612" s="85">
        <f>IF(B1612="",0,$S1612*$K1612)</f>
        <v>1065.3160022547598</v>
      </c>
      <c r="U1612" s="85">
        <f>IF(B1612="",0,IF(OR(H1612=MappingTables!$C$34,H1612=MappingTables!$C$35),T1612,0))</f>
        <v>0</v>
      </c>
      <c r="V1612" s="85">
        <f>IF(ISNA(IF(AND(VLOOKUP(CONCATENATE($D1612,$G1612),CSRFinput!$B:$E,4,0)=0,OR(H1612=MappingTables!$C$34,H1612=MappingTables!$C$35)),1,VLOOKUP(CONCATENATE($D1612,$G1612),CSRFinput!$B:$E,4,0))),0,IF(AND(VLOOKUP(CONCATENATE($D1612,$G1612),CSRFinput!$B:$E,4,0)=0,OR(H1612=MappingTables!$C$34,H1612=MappingTables!$C$35)),1,VLOOKUP(CONCATENATE($D1612,$G1612),CSRFinput!$B:$E,4,0)))</f>
        <v>0.054776304963434752</v>
      </c>
      <c r="W1612" s="85">
        <f>IF(B1612="",0,+$T1612*$V1612)</f>
        <v>58.354074221933864</v>
      </c>
      <c r="X1612" s="85">
        <f>IF(B1612="",0,IF(OR(H1612=MappingTables!$C$34,H1612=MappingTables!$C$35),W1612,0))</f>
        <v>0</v>
      </c>
    </row>
    <row r="1613" spans="2:24" s="0" customFormat="0" ht="15">
      <c r="B1613" s="69">
        <v>14923621</v>
      </c>
      <c r="C1613" s="70" t="s">
        <v>1847</v>
      </c>
      <c r="D1613" s="70" t="s">
        <v>1</v>
      </c>
      <c r="E1613" s="70" t="s">
        <v>1</v>
      </c>
      <c r="F1613" s="70"/>
      <c r="G1613" s="70" t="s">
        <v>61</v>
      </c>
      <c r="H1613" s="70" t="s">
        <v>178</v>
      </c>
      <c r="I1613" s="70" t="s">
        <v>204</v>
      </c>
      <c r="J1613" s="71">
        <f>IF(OR(I1613=0,I1613=""),"unrated",VLOOKUP(I1613,MappingTables!$B$19:$C$31,2,FALSE))</f>
        <v>6</v>
      </c>
      <c r="K1613" s="72">
        <v>337.68708684791596</v>
      </c>
      <c r="L1613" s="70">
        <v>0.087669208314429008</v>
      </c>
      <c r="M1613" s="71">
        <f>IF(L1613&lt;1,1,L1613)</f>
        <v>1</v>
      </c>
      <c r="N1613" s="70" t="s">
        <v>141</v>
      </c>
      <c r="O1613" s="71">
        <f>INDEX(DurClassMapping,MATCH(M1613,MappingTables!$D$4:$D$8,-1),1)</f>
        <v>1</v>
      </c>
      <c r="P1613" s="73">
        <f>IF(M1613=$A$1,1,$M1613-INDEX(MappingTables!$E$4:$E$8,MATCH(O1613,MappingTables!$B$4:$B$8,0)))</f>
        <v>1</v>
      </c>
      <c r="Q1613" s="71">
        <f>IF(B1613="",0,INDEX(ModelParameters!$D$6:$K$10,MATCH($O1613,ModelParameters!$B$6:$B$10,0),MATCH($J1613,ModelParameters!$D$5:$K$5,0)))</f>
        <v>0.075</v>
      </c>
      <c r="R1613" s="71">
        <f>IF(B1613="",0,INDEX(ModelParameters!$D$13:$K$17,MATCH($O1613,ModelParameters!$B$13:$B$17,0),MATCH($J1613,ModelParameters!$D$5:$K$5,0)))</f>
        <v>0</v>
      </c>
      <c r="S1613" s="160">
        <f>IF(B1613="",0,MIN(IF($N1613="Other Bond TM",ModelParameters!$N$21,1)*(P1613*Q1613+R1613),1))</f>
        <v>0.075</v>
      </c>
      <c r="T1613" s="85">
        <f>IF(B1613="",0,$S1613*$K1613)</f>
        <v>25.326531513593696</v>
      </c>
      <c r="U1613" s="85">
        <f>IF(B1613="",0,IF(OR(H1613=MappingTables!$C$34,H1613=MappingTables!$C$35),T1613,0))</f>
        <v>0</v>
      </c>
      <c r="V1613" s="85">
        <f>IF(ISNA(IF(AND(VLOOKUP(CONCATENATE($D1613,$G1613),CSRFinput!$B:$E,4,0)=0,OR(H1613=MappingTables!$C$34,H1613=MappingTables!$C$35)),1,VLOOKUP(CONCATENATE($D1613,$G1613),CSRFinput!$B:$E,4,0))),0,IF(AND(VLOOKUP(CONCATENATE($D1613,$G1613),CSRFinput!$B:$E,4,0)=0,OR(H1613=MappingTables!$C$34,H1613=MappingTables!$C$35)),1,VLOOKUP(CONCATENATE($D1613,$G1613),CSRFinput!$B:$E,4,0)))</f>
        <v>0.054776304963434752</v>
      </c>
      <c r="W1613" s="85">
        <f>IF(B1613="",0,+$T1613*$V1613)</f>
        <v>1.3872938138546492</v>
      </c>
      <c r="X1613" s="85">
        <f>IF(B1613="",0,IF(OR(H1613=MappingTables!$C$34,H1613=MappingTables!$C$35),W1613,0))</f>
        <v>0</v>
      </c>
    </row>
    <row r="1614" spans="2:24" s="0" customFormat="0" ht="15">
      <c r="B1614" s="69">
        <v>24430401</v>
      </c>
      <c r="C1614" s="70" t="s">
        <v>1848</v>
      </c>
      <c r="D1614" s="70" t="s">
        <v>1</v>
      </c>
      <c r="E1614" s="70" t="s">
        <v>1</v>
      </c>
      <c r="F1614" s="70"/>
      <c r="G1614" s="70" t="s">
        <v>61</v>
      </c>
      <c r="H1614" s="70" t="s">
        <v>178</v>
      </c>
      <c r="I1614" s="70" t="s">
        <v>181</v>
      </c>
      <c r="J1614" s="71">
        <f>IF(OR(I1614=0,I1614=""),"unrated",VLOOKUP(I1614,MappingTables!$B$19:$C$31,2,FALSE))</f>
        <v>3</v>
      </c>
      <c r="K1614" s="72">
        <v>14754.728394955238</v>
      </c>
      <c r="L1614" s="70">
        <v>1.4773559656833198</v>
      </c>
      <c r="M1614" s="71">
        <f>IF(L1614&lt;1,1,L1614)</f>
        <v>1.4773559656833198</v>
      </c>
      <c r="N1614" s="70" t="s">
        <v>141</v>
      </c>
      <c r="O1614" s="71">
        <f>INDEX(DurClassMapping,MATCH(M1614,MappingTables!$D$4:$D$8,-1),1)</f>
        <v>1</v>
      </c>
      <c r="P1614" s="73">
        <f>IF(M1614=$A$1,1,$M1614-INDEX(MappingTables!$E$4:$E$8,MATCH(O1614,MappingTables!$B$4:$B$8,0)))</f>
        <v>1.4773559656833198</v>
      </c>
      <c r="Q1614" s="71">
        <f>IF(B1614="",0,INDEX(ModelParameters!$D$6:$K$10,MATCH($O1614,ModelParameters!$B$6:$B$10,0),MATCH($J1614,ModelParameters!$D$5:$K$5,0)))</f>
        <v>0.025</v>
      </c>
      <c r="R1614" s="71">
        <f>IF(B1614="",0,INDEX(ModelParameters!$D$13:$K$17,MATCH($O1614,ModelParameters!$B$13:$B$17,0),MATCH($J1614,ModelParameters!$D$5:$K$5,0)))</f>
        <v>0</v>
      </c>
      <c r="S1614" s="160">
        <f>IF(B1614="",0,MIN(IF($N1614="Other Bond TM",ModelParameters!$N$21,1)*(P1614*Q1614+R1614),1))</f>
        <v>0.036933899142083</v>
      </c>
      <c r="T1614" s="85">
        <f>IF(B1614="",0,$S1614*$K1614)</f>
        <v>544.94965040810496</v>
      </c>
      <c r="U1614" s="85">
        <f>IF(B1614="",0,IF(OR(H1614=MappingTables!$C$34,H1614=MappingTables!$C$35),T1614,0))</f>
        <v>0</v>
      </c>
      <c r="V1614" s="85">
        <f>IF(ISNA(IF(AND(VLOOKUP(CONCATENATE($D1614,$G1614),CSRFinput!$B:$E,4,0)=0,OR(H1614=MappingTables!$C$34,H1614=MappingTables!$C$35)),1,VLOOKUP(CONCATENATE($D1614,$G1614),CSRFinput!$B:$E,4,0))),0,IF(AND(VLOOKUP(CONCATENATE($D1614,$G1614),CSRFinput!$B:$E,4,0)=0,OR(H1614=MappingTables!$C$34,H1614=MappingTables!$C$35)),1,VLOOKUP(CONCATENATE($D1614,$G1614),CSRFinput!$B:$E,4,0)))</f>
        <v>0.054776304963434752</v>
      </c>
      <c r="W1614" s="85">
        <f>IF(B1614="",0,+$T1614*$V1614)</f>
        <v>29.850328240471512</v>
      </c>
      <c r="X1614" s="85">
        <f>IF(B1614="",0,IF(OR(H1614=MappingTables!$C$34,H1614=MappingTables!$C$35),W1614,0))</f>
        <v>0</v>
      </c>
    </row>
    <row r="1615" spans="2:24" s="0" customFormat="0" ht="15">
      <c r="B1615" s="69" t="s">
        <v>1849</v>
      </c>
      <c r="C1615" s="70" t="s">
        <v>1850</v>
      </c>
      <c r="D1615" s="70" t="s">
        <v>1</v>
      </c>
      <c r="E1615" s="70" t="s">
        <v>1</v>
      </c>
      <c r="F1615" s="70"/>
      <c r="G1615" s="70" t="s">
        <v>61</v>
      </c>
      <c r="H1615" s="70" t="s">
        <v>178</v>
      </c>
      <c r="I1615" s="70" t="s">
        <v>198</v>
      </c>
      <c r="J1615" s="71" t="str">
        <f>IF(OR(I1615=0,I1615=""),"unrated",VLOOKUP(I1615,MappingTables!$B$19:$C$31,2,FALSE))</f>
        <v>unrated</v>
      </c>
      <c r="K1615" s="72">
        <v>6022.2739746678456</v>
      </c>
      <c r="L1615" s="70">
        <v>0.087672116468023344</v>
      </c>
      <c r="M1615" s="71">
        <f>IF(L1615&lt;1,1,L1615)</f>
        <v>1</v>
      </c>
      <c r="N1615" s="70" t="s">
        <v>141</v>
      </c>
      <c r="O1615" s="71">
        <f>INDEX(DurClassMapping,MATCH(M1615,MappingTables!$D$4:$D$8,-1),1)</f>
        <v>1</v>
      </c>
      <c r="P1615" s="73">
        <f>IF(M1615=$A$1,1,$M1615-INDEX(MappingTables!$E$4:$E$8,MATCH(O1615,MappingTables!$B$4:$B$8,0)))</f>
        <v>1</v>
      </c>
      <c r="Q1615" s="71">
        <f>IF(B1615="",0,INDEX(ModelParameters!$D$6:$K$10,MATCH($O1615,ModelParameters!$B$6:$B$10,0),MATCH($J1615,ModelParameters!$D$5:$K$5,0)))</f>
        <v>0.03</v>
      </c>
      <c r="R1615" s="71">
        <f>IF(B1615="",0,INDEX(ModelParameters!$D$13:$K$17,MATCH($O1615,ModelParameters!$B$13:$B$17,0),MATCH($J1615,ModelParameters!$D$5:$K$5,0)))</f>
        <v>0</v>
      </c>
      <c r="S1615" s="160">
        <f>IF(B1615="",0,MIN(IF($N1615="Other Bond TM",ModelParameters!$N$21,1)*(P1615*Q1615+R1615),1))</f>
        <v>0.03</v>
      </c>
      <c r="T1615" s="85">
        <f>IF(B1615="",0,$S1615*$K1615)</f>
        <v>180.66821924003536</v>
      </c>
      <c r="U1615" s="85">
        <f>IF(B1615="",0,IF(OR(H1615=MappingTables!$C$34,H1615=MappingTables!$C$35),T1615,0))</f>
        <v>0</v>
      </c>
      <c r="V1615" s="85">
        <f>IF(ISNA(IF(AND(VLOOKUP(CONCATENATE($D1615,$G1615),CSRFinput!$B:$E,4,0)=0,OR(H1615=MappingTables!$C$34,H1615=MappingTables!$C$35)),1,VLOOKUP(CONCATENATE($D1615,$G1615),CSRFinput!$B:$E,4,0))),0,IF(AND(VLOOKUP(CONCATENATE($D1615,$G1615),CSRFinput!$B:$E,4,0)=0,OR(H1615=MappingTables!$C$34,H1615=MappingTables!$C$35)),1,VLOOKUP(CONCATENATE($D1615,$G1615),CSRFinput!$B:$E,4,0)))</f>
        <v>0.054776304963434752</v>
      </c>
      <c r="W1615" s="85">
        <f>IF(B1615="",0,+$T1615*$V1615)</f>
        <v>9.8963374742928656</v>
      </c>
      <c r="X1615" s="85">
        <f>IF(B1615="",0,IF(OR(H1615=MappingTables!$C$34,H1615=MappingTables!$C$35),W1615,0))</f>
        <v>0</v>
      </c>
    </row>
    <row r="1616" spans="2:24" s="0" customFormat="0" ht="15">
      <c r="B1616" s="69">
        <v>23353706</v>
      </c>
      <c r="C1616" s="70" t="s">
        <v>889</v>
      </c>
      <c r="D1616" s="70" t="s">
        <v>1</v>
      </c>
      <c r="E1616" s="70" t="s">
        <v>1</v>
      </c>
      <c r="F1616" s="70"/>
      <c r="G1616" s="70" t="s">
        <v>61</v>
      </c>
      <c r="H1616" s="70" t="s">
        <v>178</v>
      </c>
      <c r="I1616" s="70" t="s">
        <v>181</v>
      </c>
      <c r="J1616" s="71">
        <f>IF(OR(I1616=0,I1616=""),"unrated",VLOOKUP(I1616,MappingTables!$B$19:$C$31,2,FALSE))</f>
        <v>3</v>
      </c>
      <c r="K1616" s="72">
        <v>7987.5120807189936</v>
      </c>
      <c r="L1616" s="70">
        <v>4.153724935784736</v>
      </c>
      <c r="M1616" s="71">
        <f>IF(L1616&lt;1,1,L1616)</f>
        <v>4.153724935784736</v>
      </c>
      <c r="N1616" s="70" t="s">
        <v>141</v>
      </c>
      <c r="O1616" s="71">
        <f>INDEX(DurClassMapping,MATCH(M1616,MappingTables!$D$4:$D$8,-1),1)</f>
        <v>1</v>
      </c>
      <c r="P1616" s="73">
        <f>IF(M1616=$A$1,1,$M1616-INDEX(MappingTables!$E$4:$E$8,MATCH(O1616,MappingTables!$B$4:$B$8,0)))</f>
        <v>4.153724935784736</v>
      </c>
      <c r="Q1616" s="71">
        <f>IF(B1616="",0,INDEX(ModelParameters!$D$6:$K$10,MATCH($O1616,ModelParameters!$B$6:$B$10,0),MATCH($J1616,ModelParameters!$D$5:$K$5,0)))</f>
        <v>0.025</v>
      </c>
      <c r="R1616" s="71">
        <f>IF(B1616="",0,INDEX(ModelParameters!$D$13:$K$17,MATCH($O1616,ModelParameters!$B$13:$B$17,0),MATCH($J1616,ModelParameters!$D$5:$K$5,0)))</f>
        <v>0</v>
      </c>
      <c r="S1616" s="160">
        <f>IF(B1616="",0,MIN(IF($N1616="Other Bond TM",ModelParameters!$N$21,1)*(P1616*Q1616+R1616),1))</f>
        <v>0.10384312339461842</v>
      </c>
      <c r="T1616" s="85">
        <f>IF(B1616="",0,$S1616*$K1616)</f>
        <v>829.44820261410784</v>
      </c>
      <c r="U1616" s="85">
        <f>IF(B1616="",0,IF(OR(H1616=MappingTables!$C$34,H1616=MappingTables!$C$35),T1616,0))</f>
        <v>0</v>
      </c>
      <c r="V1616" s="85">
        <f>IF(ISNA(IF(AND(VLOOKUP(CONCATENATE($D1616,$G1616),CSRFinput!$B:$E,4,0)=0,OR(H1616=MappingTables!$C$34,H1616=MappingTables!$C$35)),1,VLOOKUP(CONCATENATE($D1616,$G1616),CSRFinput!$B:$E,4,0))),0,IF(AND(VLOOKUP(CONCATENATE($D1616,$G1616),CSRFinput!$B:$E,4,0)=0,OR(H1616=MappingTables!$C$34,H1616=MappingTables!$C$35)),1,VLOOKUP(CONCATENATE($D1616,$G1616),CSRFinput!$B:$E,4,0)))</f>
        <v>0.054776304963434752</v>
      </c>
      <c r="W1616" s="85">
        <f>IF(B1616="",0,+$T1616*$V1616)</f>
        <v>45.434107697763192</v>
      </c>
      <c r="X1616" s="85">
        <f>IF(B1616="",0,IF(OR(H1616=MappingTables!$C$34,H1616=MappingTables!$C$35),W1616,0))</f>
        <v>0</v>
      </c>
    </row>
    <row r="1617" spans="2:24" s="0" customFormat="0" ht="15">
      <c r="B1617" s="69" t="s">
        <v>1851</v>
      </c>
      <c r="C1617" s="70" t="s">
        <v>1852</v>
      </c>
      <c r="D1617" s="70" t="s">
        <v>1</v>
      </c>
      <c r="E1617" s="70" t="s">
        <v>1</v>
      </c>
      <c r="F1617" s="70"/>
      <c r="G1617" s="70" t="s">
        <v>61</v>
      </c>
      <c r="H1617" s="70" t="s">
        <v>178</v>
      </c>
      <c r="I1617" s="70" t="s">
        <v>220</v>
      </c>
      <c r="J1617" s="71">
        <f>IF(OR(I1617=0,I1617=""),"unrated",VLOOKUP(I1617,MappingTables!$B$19:$C$31,2,FALSE))</f>
        <v>1</v>
      </c>
      <c r="K1617" s="72">
        <v>0.24541901937387692</v>
      </c>
      <c r="L1617" s="70">
        <v>1.4502116764873662</v>
      </c>
      <c r="M1617" s="71">
        <f>IF(L1617&lt;1,1,L1617)</f>
        <v>1.4502116764873662</v>
      </c>
      <c r="N1617" s="70" t="s">
        <v>141</v>
      </c>
      <c r="O1617" s="71">
        <f>INDEX(DurClassMapping,MATCH(M1617,MappingTables!$D$4:$D$8,-1),1)</f>
        <v>1</v>
      </c>
      <c r="P1617" s="73">
        <f>IF(M1617=$A$1,1,$M1617-INDEX(MappingTables!$E$4:$E$8,MATCH(O1617,MappingTables!$B$4:$B$8,0)))</f>
        <v>1.4502116764873662</v>
      </c>
      <c r="Q1617" s="71">
        <f>IF(B1617="",0,INDEX(ModelParameters!$D$6:$K$10,MATCH($O1617,ModelParameters!$B$6:$B$10,0),MATCH($J1617,ModelParameters!$D$5:$K$5,0)))</f>
        <v>0.011000000000000002</v>
      </c>
      <c r="R1617" s="71">
        <f>IF(B1617="",0,INDEX(ModelParameters!$D$13:$K$17,MATCH($O1617,ModelParameters!$B$13:$B$17,0),MATCH($J1617,ModelParameters!$D$5:$K$5,0)))</f>
        <v>0</v>
      </c>
      <c r="S1617" s="160">
        <f>IF(B1617="",0,MIN(IF($N1617="Other Bond TM",ModelParameters!$N$21,1)*(P1617*Q1617+R1617),1))</f>
        <v>0.01595232844136103</v>
      </c>
      <c r="T1617" s="85">
        <f>IF(B1617="",0,$S1617*$K1617)</f>
        <v>0.0039150048028088304</v>
      </c>
      <c r="U1617" s="85">
        <f>IF(B1617="",0,IF(OR(H1617=MappingTables!$C$34,H1617=MappingTables!$C$35),T1617,0))</f>
        <v>0</v>
      </c>
      <c r="V1617" s="85">
        <f>IF(ISNA(IF(AND(VLOOKUP(CONCATENATE($D1617,$G1617),CSRFinput!$B:$E,4,0)=0,OR(H1617=MappingTables!$C$34,H1617=MappingTables!$C$35)),1,VLOOKUP(CONCATENATE($D1617,$G1617),CSRFinput!$B:$E,4,0))),0,IF(AND(VLOOKUP(CONCATENATE($D1617,$G1617),CSRFinput!$B:$E,4,0)=0,OR(H1617=MappingTables!$C$34,H1617=MappingTables!$C$35)),1,VLOOKUP(CONCATENATE($D1617,$G1617),CSRFinput!$B:$E,4,0)))</f>
        <v>0.054776304963434752</v>
      </c>
      <c r="W1617" s="85">
        <f>IF(B1617="",0,+$T1617*$V1617)</f>
        <v>0.00021444949701196824</v>
      </c>
      <c r="X1617" s="85">
        <f>IF(B1617="",0,IF(OR(H1617=MappingTables!$C$34,H1617=MappingTables!$C$35),W1617,0))</f>
        <v>0</v>
      </c>
    </row>
    <row r="1618" spans="2:24" s="0" customFormat="0" ht="15">
      <c r="B1618" s="69" t="s">
        <v>468</v>
      </c>
      <c r="C1618" s="70" t="s">
        <v>469</v>
      </c>
      <c r="D1618" s="70" t="s">
        <v>1</v>
      </c>
      <c r="E1618" s="70" t="s">
        <v>1</v>
      </c>
      <c r="F1618" s="70"/>
      <c r="G1618" s="70" t="s">
        <v>61</v>
      </c>
      <c r="H1618" s="70" t="s">
        <v>178</v>
      </c>
      <c r="I1618" s="70" t="s">
        <v>181</v>
      </c>
      <c r="J1618" s="71">
        <f>IF(OR(I1618=0,I1618=""),"unrated",VLOOKUP(I1618,MappingTables!$B$19:$C$31,2,FALSE))</f>
        <v>3</v>
      </c>
      <c r="K1618" s="72">
        <v>2.1715000764916376</v>
      </c>
      <c r="L1618" s="70">
        <v>1.7354700724817822</v>
      </c>
      <c r="M1618" s="71">
        <f>IF(L1618&lt;1,1,L1618)</f>
        <v>1.7354700724817822</v>
      </c>
      <c r="N1618" s="70" t="s">
        <v>141</v>
      </c>
      <c r="O1618" s="71">
        <f>INDEX(DurClassMapping,MATCH(M1618,MappingTables!$D$4:$D$8,-1),1)</f>
        <v>1</v>
      </c>
      <c r="P1618" s="73">
        <f>IF(M1618=$A$1,1,$M1618-INDEX(MappingTables!$E$4:$E$8,MATCH(O1618,MappingTables!$B$4:$B$8,0)))</f>
        <v>1.7354700724817822</v>
      </c>
      <c r="Q1618" s="71">
        <f>IF(B1618="",0,INDEX(ModelParameters!$D$6:$K$10,MATCH($O1618,ModelParameters!$B$6:$B$10,0),MATCH($J1618,ModelParameters!$D$5:$K$5,0)))</f>
        <v>0.025</v>
      </c>
      <c r="R1618" s="71">
        <f>IF(B1618="",0,INDEX(ModelParameters!$D$13:$K$17,MATCH($O1618,ModelParameters!$B$13:$B$17,0),MATCH($J1618,ModelParameters!$D$5:$K$5,0)))</f>
        <v>0</v>
      </c>
      <c r="S1618" s="160">
        <f>IF(B1618="",0,MIN(IF($N1618="Other Bond TM",ModelParameters!$N$21,1)*(P1618*Q1618+R1618),1))</f>
        <v>0.04338675181204456</v>
      </c>
      <c r="T1618" s="85">
        <f>IF(B1618="",0,$S1618*$K1618)</f>
        <v>0.094214334878578448</v>
      </c>
      <c r="U1618" s="85">
        <f>IF(B1618="",0,IF(OR(H1618=MappingTables!$C$34,H1618=MappingTables!$C$35),T1618,0))</f>
        <v>0</v>
      </c>
      <c r="V1618" s="85">
        <f>IF(ISNA(IF(AND(VLOOKUP(CONCATENATE($D1618,$G1618),CSRFinput!$B:$E,4,0)=0,OR(H1618=MappingTables!$C$34,H1618=MappingTables!$C$35)),1,VLOOKUP(CONCATENATE($D1618,$G1618),CSRFinput!$B:$E,4,0))),0,IF(AND(VLOOKUP(CONCATENATE($D1618,$G1618),CSRFinput!$B:$E,4,0)=0,OR(H1618=MappingTables!$C$34,H1618=MappingTables!$C$35)),1,VLOOKUP(CONCATENATE($D1618,$G1618),CSRFinput!$B:$E,4,0)))</f>
        <v>0.054776304963434752</v>
      </c>
      <c r="W1618" s="85">
        <f>IF(B1618="",0,+$T1618*$V1618)</f>
        <v>0.0051607131392361808</v>
      </c>
      <c r="X1618" s="85">
        <f>IF(B1618="",0,IF(OR(H1618=MappingTables!$C$34,H1618=MappingTables!$C$35),W1618,0))</f>
        <v>0</v>
      </c>
    </row>
    <row r="1619" spans="2:24" s="0" customFormat="0" ht="15">
      <c r="B1619" s="69" t="s">
        <v>1853</v>
      </c>
      <c r="C1619" s="70" t="s">
        <v>1854</v>
      </c>
      <c r="D1619" s="70" t="s">
        <v>1</v>
      </c>
      <c r="E1619" s="70" t="s">
        <v>1</v>
      </c>
      <c r="F1619" s="70"/>
      <c r="G1619" s="70" t="s">
        <v>61</v>
      </c>
      <c r="H1619" s="70" t="s">
        <v>178</v>
      </c>
      <c r="I1619" s="70" t="s">
        <v>181</v>
      </c>
      <c r="J1619" s="71">
        <f>IF(OR(I1619=0,I1619=""),"unrated",VLOOKUP(I1619,MappingTables!$B$19:$C$31,2,FALSE))</f>
        <v>3</v>
      </c>
      <c r="K1619" s="72">
        <v>181.7851467688724</v>
      </c>
      <c r="L1619" s="70">
        <v>0.6527235282981444</v>
      </c>
      <c r="M1619" s="71">
        <f>IF(L1619&lt;1,1,L1619)</f>
        <v>1</v>
      </c>
      <c r="N1619" s="70" t="s">
        <v>141</v>
      </c>
      <c r="O1619" s="71">
        <f>INDEX(DurClassMapping,MATCH(M1619,MappingTables!$D$4:$D$8,-1),1)</f>
        <v>1</v>
      </c>
      <c r="P1619" s="73">
        <f>IF(M1619=$A$1,1,$M1619-INDEX(MappingTables!$E$4:$E$8,MATCH(O1619,MappingTables!$B$4:$B$8,0)))</f>
        <v>1</v>
      </c>
      <c r="Q1619" s="71">
        <f>IF(B1619="",0,INDEX(ModelParameters!$D$6:$K$10,MATCH($O1619,ModelParameters!$B$6:$B$10,0),MATCH($J1619,ModelParameters!$D$5:$K$5,0)))</f>
        <v>0.025</v>
      </c>
      <c r="R1619" s="71">
        <f>IF(B1619="",0,INDEX(ModelParameters!$D$13:$K$17,MATCH($O1619,ModelParameters!$B$13:$B$17,0),MATCH($J1619,ModelParameters!$D$5:$K$5,0)))</f>
        <v>0</v>
      </c>
      <c r="S1619" s="160">
        <f>IF(B1619="",0,MIN(IF($N1619="Other Bond TM",ModelParameters!$N$21,1)*(P1619*Q1619+R1619),1))</f>
        <v>0.025</v>
      </c>
      <c r="T1619" s="85">
        <f>IF(B1619="",0,$S1619*$K1619)</f>
        <v>4.5446286692218096</v>
      </c>
      <c r="U1619" s="85">
        <f>IF(B1619="",0,IF(OR(H1619=MappingTables!$C$34,H1619=MappingTables!$C$35),T1619,0))</f>
        <v>0</v>
      </c>
      <c r="V1619" s="85">
        <f>IF(ISNA(IF(AND(VLOOKUP(CONCATENATE($D1619,$G1619),CSRFinput!$B:$E,4,0)=0,OR(H1619=MappingTables!$C$34,H1619=MappingTables!$C$35)),1,VLOOKUP(CONCATENATE($D1619,$G1619),CSRFinput!$B:$E,4,0))),0,IF(AND(VLOOKUP(CONCATENATE($D1619,$G1619),CSRFinput!$B:$E,4,0)=0,OR(H1619=MappingTables!$C$34,H1619=MappingTables!$C$35)),1,VLOOKUP(CONCATENATE($D1619,$G1619),CSRFinput!$B:$E,4,0)))</f>
        <v>0.054776304963434752</v>
      </c>
      <c r="W1619" s="85">
        <f>IF(B1619="",0,+$T1619*$V1619)</f>
        <v>0.24893796593086252</v>
      </c>
      <c r="X1619" s="85">
        <f>IF(B1619="",0,IF(OR(H1619=MappingTables!$C$34,H1619=MappingTables!$C$35),W1619,0))</f>
        <v>0</v>
      </c>
    </row>
    <row r="1620" spans="2:24" s="0" customFormat="0" ht="15">
      <c r="B1620" s="69">
        <v>17561283</v>
      </c>
      <c r="C1620" s="70" t="s">
        <v>1855</v>
      </c>
      <c r="D1620" s="70" t="s">
        <v>1</v>
      </c>
      <c r="E1620" s="70" t="s">
        <v>1</v>
      </c>
      <c r="F1620" s="70"/>
      <c r="G1620" s="70" t="s">
        <v>61</v>
      </c>
      <c r="H1620" s="70" t="s">
        <v>178</v>
      </c>
      <c r="I1620" s="70" t="s">
        <v>184</v>
      </c>
      <c r="J1620" s="71">
        <f>IF(OR(I1620=0,I1620=""),"unrated",VLOOKUP(I1620,MappingTables!$B$19:$C$31,2,FALSE))</f>
        <v>5</v>
      </c>
      <c r="K1620" s="72">
        <v>40.646469011791816</v>
      </c>
      <c r="L1620" s="70">
        <v>0.030134508792172772</v>
      </c>
      <c r="M1620" s="71">
        <f>IF(L1620&lt;1,1,L1620)</f>
        <v>1</v>
      </c>
      <c r="N1620" s="70" t="s">
        <v>141</v>
      </c>
      <c r="O1620" s="71">
        <f>INDEX(DurClassMapping,MATCH(M1620,MappingTables!$D$4:$D$8,-1),1)</f>
        <v>1</v>
      </c>
      <c r="P1620" s="73">
        <f>IF(M1620=$A$1,1,$M1620-INDEX(MappingTables!$E$4:$E$8,MATCH(O1620,MappingTables!$B$4:$B$8,0)))</f>
        <v>1</v>
      </c>
      <c r="Q1620" s="71">
        <f>IF(B1620="",0,INDEX(ModelParameters!$D$6:$K$10,MATCH($O1620,ModelParameters!$B$6:$B$10,0),MATCH($J1620,ModelParameters!$D$5:$K$5,0)))</f>
        <v>0.075</v>
      </c>
      <c r="R1620" s="71">
        <f>IF(B1620="",0,INDEX(ModelParameters!$D$13:$K$17,MATCH($O1620,ModelParameters!$B$13:$B$17,0),MATCH($J1620,ModelParameters!$D$5:$K$5,0)))</f>
        <v>0</v>
      </c>
      <c r="S1620" s="160">
        <f>IF(B1620="",0,MIN(IF($N1620="Other Bond TM",ModelParameters!$N$21,1)*(P1620*Q1620+R1620),1))</f>
        <v>0.075</v>
      </c>
      <c r="T1620" s="85">
        <f>IF(B1620="",0,$S1620*$K1620)</f>
        <v>3.048485175884386</v>
      </c>
      <c r="U1620" s="85">
        <f>IF(B1620="",0,IF(OR(H1620=MappingTables!$C$34,H1620=MappingTables!$C$35),T1620,0))</f>
        <v>0</v>
      </c>
      <c r="V1620" s="85">
        <f>IF(ISNA(IF(AND(VLOOKUP(CONCATENATE($D1620,$G1620),CSRFinput!$B:$E,4,0)=0,OR(H1620=MappingTables!$C$34,H1620=MappingTables!$C$35)),1,VLOOKUP(CONCATENATE($D1620,$G1620),CSRFinput!$B:$E,4,0))),0,IF(AND(VLOOKUP(CONCATENATE($D1620,$G1620),CSRFinput!$B:$E,4,0)=0,OR(H1620=MappingTables!$C$34,H1620=MappingTables!$C$35)),1,VLOOKUP(CONCATENATE($D1620,$G1620),CSRFinput!$B:$E,4,0)))</f>
        <v>0.054776304963434752</v>
      </c>
      <c r="W1620" s="85">
        <f>IF(B1620="",0,+$T1620*$V1620)</f>
        <v>0.16698475367075316</v>
      </c>
      <c r="X1620" s="85">
        <f>IF(B1620="",0,IF(OR(H1620=MappingTables!$C$34,H1620=MappingTables!$C$35),W1620,0))</f>
        <v>0</v>
      </c>
    </row>
    <row r="1621" spans="2:24" s="0" customFormat="0" ht="15">
      <c r="B1621" s="69" t="s">
        <v>1856</v>
      </c>
      <c r="C1621" s="70" t="s">
        <v>1857</v>
      </c>
      <c r="D1621" s="70" t="s">
        <v>1</v>
      </c>
      <c r="E1621" s="70" t="s">
        <v>1</v>
      </c>
      <c r="F1621" s="70"/>
      <c r="G1621" s="70" t="s">
        <v>61</v>
      </c>
      <c r="H1621" s="70" t="s">
        <v>178</v>
      </c>
      <c r="I1621" s="70" t="s">
        <v>179</v>
      </c>
      <c r="J1621" s="71">
        <f>IF(OR(I1621=0,I1621=""),"unrated",VLOOKUP(I1621,MappingTables!$B$19:$C$31,2,FALSE))</f>
        <v>4</v>
      </c>
      <c r="K1621" s="72">
        <v>950.02465826839984</v>
      </c>
      <c r="L1621" s="70">
        <v>5.6046506328375224</v>
      </c>
      <c r="M1621" s="71">
        <f>IF(L1621&lt;1,1,L1621)</f>
        <v>5.6046506328375224</v>
      </c>
      <c r="N1621" s="70" t="s">
        <v>141</v>
      </c>
      <c r="O1621" s="71">
        <f>INDEX(DurClassMapping,MATCH(M1621,MappingTables!$D$4:$D$8,-1),1)</f>
        <v>2</v>
      </c>
      <c r="P1621" s="73">
        <f>IF(M1621=$A$1,1,$M1621-INDEX(MappingTables!$E$4:$E$8,MATCH(O1621,MappingTables!$B$4:$B$8,0)))</f>
        <v>0.60465063283752232</v>
      </c>
      <c r="Q1621" s="71">
        <f>IF(B1621="",0,INDEX(ModelParameters!$D$6:$K$10,MATCH($O1621,ModelParameters!$B$6:$B$10,0),MATCH($J1621,ModelParameters!$D$5:$K$5,0)))</f>
        <v>0.025</v>
      </c>
      <c r="R1621" s="71">
        <f>IF(B1621="",0,INDEX(ModelParameters!$D$13:$K$17,MATCH($O1621,ModelParameters!$B$13:$B$17,0),MATCH($J1621,ModelParameters!$D$5:$K$5,0)))</f>
        <v>0.225</v>
      </c>
      <c r="S1621" s="160">
        <f>IF(B1621="",0,MIN(IF($N1621="Other Bond TM",ModelParameters!$N$21,1)*(P1621*Q1621+R1621),1))</f>
        <v>0.24011626582093808</v>
      </c>
      <c r="T1621" s="85">
        <f>IF(B1621="",0,$S1621*$K1621)</f>
        <v>228.11637338122092</v>
      </c>
      <c r="U1621" s="85">
        <f>IF(B1621="",0,IF(OR(H1621=MappingTables!$C$34,H1621=MappingTables!$C$35),T1621,0))</f>
        <v>0</v>
      </c>
      <c r="V1621" s="85">
        <f>IF(ISNA(IF(AND(VLOOKUP(CONCATENATE($D1621,$G1621),CSRFinput!$B:$E,4,0)=0,OR(H1621=MappingTables!$C$34,H1621=MappingTables!$C$35)),1,VLOOKUP(CONCATENATE($D1621,$G1621),CSRFinput!$B:$E,4,0))),0,IF(AND(VLOOKUP(CONCATENATE($D1621,$G1621),CSRFinput!$B:$E,4,0)=0,OR(H1621=MappingTables!$C$34,H1621=MappingTables!$C$35)),1,VLOOKUP(CONCATENATE($D1621,$G1621),CSRFinput!$B:$E,4,0)))</f>
        <v>0.054776304963434752</v>
      </c>
      <c r="W1621" s="85">
        <f>IF(B1621="",0,+$T1621*$V1621)</f>
        <v>12.495372035482508</v>
      </c>
      <c r="X1621" s="85">
        <f>IF(B1621="",0,IF(OR(H1621=MappingTables!$C$34,H1621=MappingTables!$C$35),W1621,0))</f>
        <v>0</v>
      </c>
    </row>
    <row r="1622" spans="2:24" s="0" customFormat="0" ht="15">
      <c r="B1622" s="69">
        <v>21618000</v>
      </c>
      <c r="C1622" s="70" t="s">
        <v>653</v>
      </c>
      <c r="D1622" s="70" t="s">
        <v>1</v>
      </c>
      <c r="E1622" s="70" t="s">
        <v>1</v>
      </c>
      <c r="F1622" s="70"/>
      <c r="G1622" s="70" t="s">
        <v>61</v>
      </c>
      <c r="H1622" s="70" t="s">
        <v>178</v>
      </c>
      <c r="I1622" s="70" t="s">
        <v>220</v>
      </c>
      <c r="J1622" s="71">
        <f>IF(OR(I1622=0,I1622=""),"unrated",VLOOKUP(I1622,MappingTables!$B$19:$C$31,2,FALSE))</f>
        <v>1</v>
      </c>
      <c r="K1622" s="72">
        <v>247.1033563420766</v>
      </c>
      <c r="L1622" s="70">
        <v>1.91263010551184</v>
      </c>
      <c r="M1622" s="71">
        <f>IF(L1622&lt;1,1,L1622)</f>
        <v>1.91263010551184</v>
      </c>
      <c r="N1622" s="70" t="s">
        <v>141</v>
      </c>
      <c r="O1622" s="71">
        <f>INDEX(DurClassMapping,MATCH(M1622,MappingTables!$D$4:$D$8,-1),1)</f>
        <v>1</v>
      </c>
      <c r="P1622" s="73">
        <f>IF(M1622=$A$1,1,$M1622-INDEX(MappingTables!$E$4:$E$8,MATCH(O1622,MappingTables!$B$4:$B$8,0)))</f>
        <v>1.91263010551184</v>
      </c>
      <c r="Q1622" s="71">
        <f>IF(B1622="",0,INDEX(ModelParameters!$D$6:$K$10,MATCH($O1622,ModelParameters!$B$6:$B$10,0),MATCH($J1622,ModelParameters!$D$5:$K$5,0)))</f>
        <v>0.011000000000000002</v>
      </c>
      <c r="R1622" s="71">
        <f>IF(B1622="",0,INDEX(ModelParameters!$D$13:$K$17,MATCH($O1622,ModelParameters!$B$13:$B$17,0),MATCH($J1622,ModelParameters!$D$5:$K$5,0)))</f>
        <v>0</v>
      </c>
      <c r="S1622" s="160">
        <f>IF(B1622="",0,MIN(IF($N1622="Other Bond TM",ModelParameters!$N$21,1)*(P1622*Q1622+R1622),1))</f>
        <v>0.021038931160630244</v>
      </c>
      <c r="T1622" s="85">
        <f>IF(B1622="",0,$S1622*$K1622)</f>
        <v>5.1987905036416336</v>
      </c>
      <c r="U1622" s="85">
        <f>IF(B1622="",0,IF(OR(H1622=MappingTables!$C$34,H1622=MappingTables!$C$35),T1622,0))</f>
        <v>0</v>
      </c>
      <c r="V1622" s="85">
        <f>IF(ISNA(IF(AND(VLOOKUP(CONCATENATE($D1622,$G1622),CSRFinput!$B:$E,4,0)=0,OR(H1622=MappingTables!$C$34,H1622=MappingTables!$C$35)),1,VLOOKUP(CONCATENATE($D1622,$G1622),CSRFinput!$B:$E,4,0))),0,IF(AND(VLOOKUP(CONCATENATE($D1622,$G1622),CSRFinput!$B:$E,4,0)=0,OR(H1622=MappingTables!$C$34,H1622=MappingTables!$C$35)),1,VLOOKUP(CONCATENATE($D1622,$G1622),CSRFinput!$B:$E,4,0)))</f>
        <v>0.054776304963434752</v>
      </c>
      <c r="W1622" s="85">
        <f>IF(B1622="",0,+$T1622*$V1622)</f>
        <v>0.28477053406848268</v>
      </c>
      <c r="X1622" s="85">
        <f>IF(B1622="",0,IF(OR(H1622=MappingTables!$C$34,H1622=MappingTables!$C$35),W1622,0))</f>
        <v>0</v>
      </c>
    </row>
    <row r="1623" spans="2:24" s="0" customFormat="0" ht="15">
      <c r="B1623" s="69">
        <v>5408779</v>
      </c>
      <c r="C1623" s="70" t="s">
        <v>1858</v>
      </c>
      <c r="D1623" s="70" t="s">
        <v>1</v>
      </c>
      <c r="E1623" s="70" t="s">
        <v>1</v>
      </c>
      <c r="F1623" s="70"/>
      <c r="G1623" s="70" t="s">
        <v>61</v>
      </c>
      <c r="H1623" s="70" t="s">
        <v>178</v>
      </c>
      <c r="I1623" s="70" t="s">
        <v>179</v>
      </c>
      <c r="J1623" s="71">
        <f>IF(OR(I1623=0,I1623=""),"unrated",VLOOKUP(I1623,MappingTables!$B$19:$C$31,2,FALSE))</f>
        <v>4</v>
      </c>
      <c r="K1623" s="72">
        <v>4769.8955450801752</v>
      </c>
      <c r="L1623" s="70">
        <v>1.4238387297715616</v>
      </c>
      <c r="M1623" s="71">
        <f>IF(L1623&lt;1,1,L1623)</f>
        <v>1.4238387297715616</v>
      </c>
      <c r="N1623" s="70" t="s">
        <v>141</v>
      </c>
      <c r="O1623" s="71">
        <f>INDEX(DurClassMapping,MATCH(M1623,MappingTables!$D$4:$D$8,-1),1)</f>
        <v>1</v>
      </c>
      <c r="P1623" s="73">
        <f>IF(M1623=$A$1,1,$M1623-INDEX(MappingTables!$E$4:$E$8,MATCH(O1623,MappingTables!$B$4:$B$8,0)))</f>
        <v>1.4238387297715616</v>
      </c>
      <c r="Q1623" s="71">
        <f>IF(B1623="",0,INDEX(ModelParameters!$D$6:$K$10,MATCH($O1623,ModelParameters!$B$6:$B$10,0),MATCH($J1623,ModelParameters!$D$5:$K$5,0)))</f>
        <v>0.045</v>
      </c>
      <c r="R1623" s="71">
        <f>IF(B1623="",0,INDEX(ModelParameters!$D$13:$K$17,MATCH($O1623,ModelParameters!$B$13:$B$17,0),MATCH($J1623,ModelParameters!$D$5:$K$5,0)))</f>
        <v>0</v>
      </c>
      <c r="S1623" s="160">
        <f>IF(B1623="",0,MIN(IF($N1623="Other Bond TM",ModelParameters!$N$21,1)*(P1623*Q1623+R1623),1))</f>
        <v>0.064072742839720264</v>
      </c>
      <c r="T1623" s="85">
        <f>IF(B1623="",0,$S1623*$K1623)</f>
        <v>305.6202906322494</v>
      </c>
      <c r="U1623" s="85">
        <f>IF(B1623="",0,IF(OR(H1623=MappingTables!$C$34,H1623=MappingTables!$C$35),T1623,0))</f>
        <v>0</v>
      </c>
      <c r="V1623" s="85">
        <f>IF(ISNA(IF(AND(VLOOKUP(CONCATENATE($D1623,$G1623),CSRFinput!$B:$E,4,0)=0,OR(H1623=MappingTables!$C$34,H1623=MappingTables!$C$35)),1,VLOOKUP(CONCATENATE($D1623,$G1623),CSRFinput!$B:$E,4,0))),0,IF(AND(VLOOKUP(CONCATENATE($D1623,$G1623),CSRFinput!$B:$E,4,0)=0,OR(H1623=MappingTables!$C$34,H1623=MappingTables!$C$35)),1,VLOOKUP(CONCATENATE($D1623,$G1623),CSRFinput!$B:$E,4,0)))</f>
        <v>0.054776304963434752</v>
      </c>
      <c r="W1623" s="85">
        <f>IF(B1623="",0,+$T1623*$V1623)</f>
        <v>16.740750242685656</v>
      </c>
      <c r="X1623" s="85">
        <f>IF(B1623="",0,IF(OR(H1623=MappingTables!$C$34,H1623=MappingTables!$C$35),W1623,0))</f>
        <v>0</v>
      </c>
    </row>
    <row r="1624" spans="2:24" s="0" customFormat="0" ht="15">
      <c r="B1624" s="69">
        <v>14685397</v>
      </c>
      <c r="C1624" s="70" t="s">
        <v>1859</v>
      </c>
      <c r="D1624" s="70" t="s">
        <v>1</v>
      </c>
      <c r="E1624" s="70" t="s">
        <v>1</v>
      </c>
      <c r="F1624" s="70"/>
      <c r="G1624" s="70" t="s">
        <v>61</v>
      </c>
      <c r="H1624" s="70" t="s">
        <v>178</v>
      </c>
      <c r="I1624" s="70" t="s">
        <v>179</v>
      </c>
      <c r="J1624" s="71">
        <f>IF(OR(I1624=0,I1624=""),"unrated",VLOOKUP(I1624,MappingTables!$B$19:$C$31,2,FALSE))</f>
        <v>4</v>
      </c>
      <c r="K1624" s="72">
        <v>702.02150618383408</v>
      </c>
      <c r="L1624" s="70">
        <v>2.122338566348884</v>
      </c>
      <c r="M1624" s="71">
        <f>IF(L1624&lt;1,1,L1624)</f>
        <v>2.122338566348884</v>
      </c>
      <c r="N1624" s="70" t="s">
        <v>141</v>
      </c>
      <c r="O1624" s="71">
        <f>INDEX(DurClassMapping,MATCH(M1624,MappingTables!$D$4:$D$8,-1),1)</f>
        <v>1</v>
      </c>
      <c r="P1624" s="73">
        <f>IF(M1624=$A$1,1,$M1624-INDEX(MappingTables!$E$4:$E$8,MATCH(O1624,MappingTables!$B$4:$B$8,0)))</f>
        <v>2.122338566348884</v>
      </c>
      <c r="Q1624" s="71">
        <f>IF(B1624="",0,INDEX(ModelParameters!$D$6:$K$10,MATCH($O1624,ModelParameters!$B$6:$B$10,0),MATCH($J1624,ModelParameters!$D$5:$K$5,0)))</f>
        <v>0.045</v>
      </c>
      <c r="R1624" s="71">
        <f>IF(B1624="",0,INDEX(ModelParameters!$D$13:$K$17,MATCH($O1624,ModelParameters!$B$13:$B$17,0),MATCH($J1624,ModelParameters!$D$5:$K$5,0)))</f>
        <v>0</v>
      </c>
      <c r="S1624" s="160">
        <f>IF(B1624="",0,MIN(IF($N1624="Other Bond TM",ModelParameters!$N$21,1)*(P1624*Q1624+R1624),1))</f>
        <v>0.09550523548569976</v>
      </c>
      <c r="T1624" s="85">
        <f>IF(B1624="",0,$S1624*$K1624)</f>
        <v>67.046729264112696</v>
      </c>
      <c r="U1624" s="85">
        <f>IF(B1624="",0,IF(OR(H1624=MappingTables!$C$34,H1624=MappingTables!$C$35),T1624,0))</f>
        <v>0</v>
      </c>
      <c r="V1624" s="85">
        <f>IF(ISNA(IF(AND(VLOOKUP(CONCATENATE($D1624,$G1624),CSRFinput!$B:$E,4,0)=0,OR(H1624=MappingTables!$C$34,H1624=MappingTables!$C$35)),1,VLOOKUP(CONCATENATE($D1624,$G1624),CSRFinput!$B:$E,4,0))),0,IF(AND(VLOOKUP(CONCATENATE($D1624,$G1624),CSRFinput!$B:$E,4,0)=0,OR(H1624=MappingTables!$C$34,H1624=MappingTables!$C$35)),1,VLOOKUP(CONCATENATE($D1624,$G1624),CSRFinput!$B:$E,4,0)))</f>
        <v>0.054776304963434752</v>
      </c>
      <c r="W1624" s="85">
        <f>IF(B1624="",0,+$T1624*$V1624)</f>
        <v>3.6725720889718824</v>
      </c>
      <c r="X1624" s="85">
        <f>IF(B1624="",0,IF(OR(H1624=MappingTables!$C$34,H1624=MappingTables!$C$35),W1624,0))</f>
        <v>0</v>
      </c>
    </row>
    <row r="1625" spans="2:24" s="0" customFormat="0" ht="15">
      <c r="B1625" s="69">
        <v>22387301</v>
      </c>
      <c r="C1625" s="70" t="s">
        <v>1860</v>
      </c>
      <c r="D1625" s="70" t="s">
        <v>1</v>
      </c>
      <c r="E1625" s="70" t="s">
        <v>1</v>
      </c>
      <c r="F1625" s="70"/>
      <c r="G1625" s="70" t="s">
        <v>61</v>
      </c>
      <c r="H1625" s="70" t="s">
        <v>178</v>
      </c>
      <c r="I1625" s="70" t="s">
        <v>181</v>
      </c>
      <c r="J1625" s="71">
        <f>IF(OR(I1625=0,I1625=""),"unrated",VLOOKUP(I1625,MappingTables!$B$19:$C$31,2,FALSE))</f>
        <v>3</v>
      </c>
      <c r="K1625" s="72">
        <v>46.70430330532052</v>
      </c>
      <c r="L1625" s="70">
        <v>16.476389087649424</v>
      </c>
      <c r="M1625" s="71">
        <f>IF(L1625&lt;1,1,L1625)</f>
        <v>16.476389087649424</v>
      </c>
      <c r="N1625" s="70" t="s">
        <v>141</v>
      </c>
      <c r="O1625" s="71">
        <f>INDEX(DurClassMapping,MATCH(M1625,MappingTables!$D$4:$D$8,-1),1)</f>
        <v>4</v>
      </c>
      <c r="P1625" s="73">
        <f>IF(M1625=$A$1,1,$M1625-INDEX(MappingTables!$E$4:$E$8,MATCH(O1625,MappingTables!$B$4:$B$8,0)))</f>
        <v>1.476389087649423</v>
      </c>
      <c r="Q1625" s="71">
        <f>IF(B1625="",0,INDEX(ModelParameters!$D$6:$K$10,MATCH($O1625,ModelParameters!$B$6:$B$10,0),MATCH($J1625,ModelParameters!$D$5:$K$5,0)))</f>
        <v>0.01</v>
      </c>
      <c r="R1625" s="71">
        <f>IF(B1625="",0,INDEX(ModelParameters!$D$13:$K$17,MATCH($O1625,ModelParameters!$B$13:$B$17,0),MATCH($J1625,ModelParameters!$D$5:$K$5,0)))</f>
        <v>0.25</v>
      </c>
      <c r="S1625" s="160">
        <f>IF(B1625="",0,MIN(IF($N1625="Other Bond TM",ModelParameters!$N$21,1)*(P1625*Q1625+R1625),1))</f>
        <v>0.2647638908764942</v>
      </c>
      <c r="T1625" s="85">
        <f>IF(B1625="",0,$S1625*$K1625)</f>
        <v>12.36561306379257</v>
      </c>
      <c r="U1625" s="85">
        <f>IF(B1625="",0,IF(OR(H1625=MappingTables!$C$34,H1625=MappingTables!$C$35),T1625,0))</f>
        <v>0</v>
      </c>
      <c r="V1625" s="85">
        <f>IF(ISNA(IF(AND(VLOOKUP(CONCATENATE($D1625,$G1625),CSRFinput!$B:$E,4,0)=0,OR(H1625=MappingTables!$C$34,H1625=MappingTables!$C$35)),1,VLOOKUP(CONCATENATE($D1625,$G1625),CSRFinput!$B:$E,4,0))),0,IF(AND(VLOOKUP(CONCATENATE($D1625,$G1625),CSRFinput!$B:$E,4,0)=0,OR(H1625=MappingTables!$C$34,H1625=MappingTables!$C$35)),1,VLOOKUP(CONCATENATE($D1625,$G1625),CSRFinput!$B:$E,4,0)))</f>
        <v>0.054776304963434752</v>
      </c>
      <c r="W1625" s="85">
        <f>IF(B1625="",0,+$T1625*$V1625)</f>
        <v>0.67734259224213464</v>
      </c>
      <c r="X1625" s="85">
        <f>IF(B1625="",0,IF(OR(H1625=MappingTables!$C$34,H1625=MappingTables!$C$35),W1625,0))</f>
        <v>0</v>
      </c>
    </row>
    <row r="1626" spans="2:24" s="0" customFormat="0" ht="15">
      <c r="B1626" s="69">
        <v>21764314</v>
      </c>
      <c r="C1626" s="70" t="s">
        <v>1861</v>
      </c>
      <c r="D1626" s="70" t="s">
        <v>1</v>
      </c>
      <c r="E1626" s="70" t="s">
        <v>1</v>
      </c>
      <c r="F1626" s="70"/>
      <c r="G1626" s="70" t="s">
        <v>61</v>
      </c>
      <c r="H1626" s="70" t="s">
        <v>178</v>
      </c>
      <c r="I1626" s="70" t="s">
        <v>181</v>
      </c>
      <c r="J1626" s="71">
        <f>IF(OR(I1626=0,I1626=""),"unrated",VLOOKUP(I1626,MappingTables!$B$19:$C$31,2,FALSE))</f>
        <v>3</v>
      </c>
      <c r="K1626" s="72">
        <v>53.334334131722008</v>
      </c>
      <c r="L1626" s="70">
        <v>1.9487457259122604</v>
      </c>
      <c r="M1626" s="71">
        <f>IF(L1626&lt;1,1,L1626)</f>
        <v>1.9487457259122604</v>
      </c>
      <c r="N1626" s="70" t="s">
        <v>141</v>
      </c>
      <c r="O1626" s="71">
        <f>INDEX(DurClassMapping,MATCH(M1626,MappingTables!$D$4:$D$8,-1),1)</f>
        <v>1</v>
      </c>
      <c r="P1626" s="73">
        <f>IF(M1626=$A$1,1,$M1626-INDEX(MappingTables!$E$4:$E$8,MATCH(O1626,MappingTables!$B$4:$B$8,0)))</f>
        <v>1.9487457259122604</v>
      </c>
      <c r="Q1626" s="71">
        <f>IF(B1626="",0,INDEX(ModelParameters!$D$6:$K$10,MATCH($O1626,ModelParameters!$B$6:$B$10,0),MATCH($J1626,ModelParameters!$D$5:$K$5,0)))</f>
        <v>0.025</v>
      </c>
      <c r="R1626" s="71">
        <f>IF(B1626="",0,INDEX(ModelParameters!$D$13:$K$17,MATCH($O1626,ModelParameters!$B$13:$B$17,0),MATCH($J1626,ModelParameters!$D$5:$K$5,0)))</f>
        <v>0</v>
      </c>
      <c r="S1626" s="160">
        <f>IF(B1626="",0,MIN(IF($N1626="Other Bond TM",ModelParameters!$N$21,1)*(P1626*Q1626+R1626),1))</f>
        <v>0.048718643147806512</v>
      </c>
      <c r="T1626" s="85">
        <f>IF(B1626="",0,$S1626*$K1626)</f>
        <v>2.5983763920892412</v>
      </c>
      <c r="U1626" s="85">
        <f>IF(B1626="",0,IF(OR(H1626=MappingTables!$C$34,H1626=MappingTables!$C$35),T1626,0))</f>
        <v>0</v>
      </c>
      <c r="V1626" s="85">
        <f>IF(ISNA(IF(AND(VLOOKUP(CONCATENATE($D1626,$G1626),CSRFinput!$B:$E,4,0)=0,OR(H1626=MappingTables!$C$34,H1626=MappingTables!$C$35)),1,VLOOKUP(CONCATENATE($D1626,$G1626),CSRFinput!$B:$E,4,0))),0,IF(AND(VLOOKUP(CONCATENATE($D1626,$G1626),CSRFinput!$B:$E,4,0)=0,OR(H1626=MappingTables!$C$34,H1626=MappingTables!$C$35)),1,VLOOKUP(CONCATENATE($D1626,$G1626),CSRFinput!$B:$E,4,0)))</f>
        <v>0.054776304963434752</v>
      </c>
      <c r="W1626" s="85">
        <f>IF(B1626="",0,+$T1626*$V1626)</f>
        <v>0.14232945766286958</v>
      </c>
      <c r="X1626" s="85">
        <f>IF(B1626="",0,IF(OR(H1626=MappingTables!$C$34,H1626=MappingTables!$C$35),W1626,0))</f>
        <v>0</v>
      </c>
    </row>
    <row r="1627" spans="2:24" s="0" customFormat="0" ht="15">
      <c r="B1627" s="69" t="s">
        <v>1862</v>
      </c>
      <c r="C1627" s="70" t="s">
        <v>1863</v>
      </c>
      <c r="D1627" s="70" t="s">
        <v>1</v>
      </c>
      <c r="E1627" s="70" t="s">
        <v>1</v>
      </c>
      <c r="F1627" s="70"/>
      <c r="G1627" s="70" t="s">
        <v>61</v>
      </c>
      <c r="H1627" s="70" t="s">
        <v>178</v>
      </c>
      <c r="I1627" s="70" t="s">
        <v>179</v>
      </c>
      <c r="J1627" s="71">
        <f>IF(OR(I1627=0,I1627=""),"unrated",VLOOKUP(I1627,MappingTables!$B$19:$C$31,2,FALSE))</f>
        <v>4</v>
      </c>
      <c r="K1627" s="72">
        <v>15176.112252315514</v>
      </c>
      <c r="L1627" s="70">
        <v>4.4534488777832352</v>
      </c>
      <c r="M1627" s="71">
        <f>IF(L1627&lt;1,1,L1627)</f>
        <v>4.4534488777832352</v>
      </c>
      <c r="N1627" s="70" t="s">
        <v>141</v>
      </c>
      <c r="O1627" s="71">
        <f>INDEX(DurClassMapping,MATCH(M1627,MappingTables!$D$4:$D$8,-1),1)</f>
        <v>1</v>
      </c>
      <c r="P1627" s="73">
        <f>IF(M1627=$A$1,1,$M1627-INDEX(MappingTables!$E$4:$E$8,MATCH(O1627,MappingTables!$B$4:$B$8,0)))</f>
        <v>4.4534488777832352</v>
      </c>
      <c r="Q1627" s="71">
        <f>IF(B1627="",0,INDEX(ModelParameters!$D$6:$K$10,MATCH($O1627,ModelParameters!$B$6:$B$10,0),MATCH($J1627,ModelParameters!$D$5:$K$5,0)))</f>
        <v>0.045</v>
      </c>
      <c r="R1627" s="71">
        <f>IF(B1627="",0,INDEX(ModelParameters!$D$13:$K$17,MATCH($O1627,ModelParameters!$B$13:$B$17,0),MATCH($J1627,ModelParameters!$D$5:$K$5,0)))</f>
        <v>0</v>
      </c>
      <c r="S1627" s="160">
        <f>IF(B1627="",0,MIN(IF($N1627="Other Bond TM",ModelParameters!$N$21,1)*(P1627*Q1627+R1627),1))</f>
        <v>0.20040519950024556</v>
      </c>
      <c r="T1627" s="85">
        <f>IF(B1627="",0,$S1627*$K1627)</f>
        <v>3041.3718035634116</v>
      </c>
      <c r="U1627" s="85">
        <f>IF(B1627="",0,IF(OR(H1627=MappingTables!$C$34,H1627=MappingTables!$C$35),T1627,0))</f>
        <v>0</v>
      </c>
      <c r="V1627" s="85">
        <f>IF(ISNA(IF(AND(VLOOKUP(CONCATENATE($D1627,$G1627),CSRFinput!$B:$E,4,0)=0,OR(H1627=MappingTables!$C$34,H1627=MappingTables!$C$35)),1,VLOOKUP(CONCATENATE($D1627,$G1627),CSRFinput!$B:$E,4,0))),0,IF(AND(VLOOKUP(CONCATENATE($D1627,$G1627),CSRFinput!$B:$E,4,0)=0,OR(H1627=MappingTables!$C$34,H1627=MappingTables!$C$35)),1,VLOOKUP(CONCATENATE($D1627,$G1627),CSRFinput!$B:$E,4,0)))</f>
        <v>0.054776304963434752</v>
      </c>
      <c r="W1627" s="85">
        <f>IF(B1627="",0,+$T1627*$V1627)</f>
        <v>166.595109419181</v>
      </c>
      <c r="X1627" s="85">
        <f>IF(B1627="",0,IF(OR(H1627=MappingTables!$C$34,H1627=MappingTables!$C$35),W1627,0))</f>
        <v>0</v>
      </c>
    </row>
    <row r="1628" spans="2:24" s="0" customFormat="0" ht="15">
      <c r="B1628" s="69">
        <v>17921546</v>
      </c>
      <c r="C1628" s="70" t="s">
        <v>344</v>
      </c>
      <c r="D1628" s="70" t="s">
        <v>1</v>
      </c>
      <c r="E1628" s="70" t="s">
        <v>1</v>
      </c>
      <c r="F1628" s="70"/>
      <c r="G1628" s="70" t="s">
        <v>61</v>
      </c>
      <c r="H1628" s="70" t="s">
        <v>178</v>
      </c>
      <c r="I1628" s="70" t="s">
        <v>181</v>
      </c>
      <c r="J1628" s="71">
        <f>IF(OR(I1628=0,I1628=""),"unrated",VLOOKUP(I1628,MappingTables!$B$19:$C$31,2,FALSE))</f>
        <v>3</v>
      </c>
      <c r="K1628" s="72">
        <v>1708.8853164530146</v>
      </c>
      <c r="L1628" s="70">
        <v>7.1262083093848584</v>
      </c>
      <c r="M1628" s="71">
        <f>IF(L1628&lt;1,1,L1628)</f>
        <v>7.1262083093848584</v>
      </c>
      <c r="N1628" s="70" t="s">
        <v>141</v>
      </c>
      <c r="O1628" s="71">
        <f>INDEX(DurClassMapping,MATCH(M1628,MappingTables!$D$4:$D$8,-1),1)</f>
        <v>2</v>
      </c>
      <c r="P1628" s="73">
        <f>IF(M1628=$A$1,1,$M1628-INDEX(MappingTables!$E$4:$E$8,MATCH(O1628,MappingTables!$B$4:$B$8,0)))</f>
        <v>2.1262083093848584</v>
      </c>
      <c r="Q1628" s="71">
        <f>IF(B1628="",0,INDEX(ModelParameters!$D$6:$K$10,MATCH($O1628,ModelParameters!$B$6:$B$10,0),MATCH($J1628,ModelParameters!$D$5:$K$5,0)))</f>
        <v>0.015</v>
      </c>
      <c r="R1628" s="71">
        <f>IF(B1628="",0,INDEX(ModelParameters!$D$13:$K$17,MATCH($O1628,ModelParameters!$B$13:$B$17,0),MATCH($J1628,ModelParameters!$D$5:$K$5,0)))</f>
        <v>0.125</v>
      </c>
      <c r="S1628" s="160">
        <f>IF(B1628="",0,MIN(IF($N1628="Other Bond TM",ModelParameters!$N$21,1)*(P1628*Q1628+R1628),1))</f>
        <v>0.15689312464077288</v>
      </c>
      <c r="T1628" s="85">
        <f>IF(B1628="",0,$S1628*$K1628)</f>
        <v>268.11235695104944</v>
      </c>
      <c r="U1628" s="85">
        <f>IF(B1628="",0,IF(OR(H1628=MappingTables!$C$34,H1628=MappingTables!$C$35),T1628,0))</f>
        <v>0</v>
      </c>
      <c r="V1628" s="85">
        <f>IF(ISNA(IF(AND(VLOOKUP(CONCATENATE($D1628,$G1628),CSRFinput!$B:$E,4,0)=0,OR(H1628=MappingTables!$C$34,H1628=MappingTables!$C$35)),1,VLOOKUP(CONCATENATE($D1628,$G1628),CSRFinput!$B:$E,4,0))),0,IF(AND(VLOOKUP(CONCATENATE($D1628,$G1628),CSRFinput!$B:$E,4,0)=0,OR(H1628=MappingTables!$C$34,H1628=MappingTables!$C$35)),1,VLOOKUP(CONCATENATE($D1628,$G1628),CSRFinput!$B:$E,4,0)))</f>
        <v>0.054776304963434752</v>
      </c>
      <c r="W1628" s="85">
        <f>IF(B1628="",0,+$T1628*$V1628)</f>
        <v>14.68620422881596</v>
      </c>
      <c r="X1628" s="85">
        <f>IF(B1628="",0,IF(OR(H1628=MappingTables!$C$34,H1628=MappingTables!$C$35),W1628,0))</f>
        <v>0</v>
      </c>
    </row>
    <row r="1629" spans="2:24" s="0" customFormat="0" ht="15">
      <c r="B1629" s="69">
        <v>14536858</v>
      </c>
      <c r="C1629" s="70" t="s">
        <v>988</v>
      </c>
      <c r="D1629" s="70" t="s">
        <v>1</v>
      </c>
      <c r="E1629" s="70" t="s">
        <v>1</v>
      </c>
      <c r="F1629" s="70"/>
      <c r="G1629" s="70" t="s">
        <v>61</v>
      </c>
      <c r="H1629" s="70" t="s">
        <v>178</v>
      </c>
      <c r="I1629" s="70" t="s">
        <v>204</v>
      </c>
      <c r="J1629" s="71">
        <f>IF(OR(I1629=0,I1629=""),"unrated",VLOOKUP(I1629,MappingTables!$B$19:$C$31,2,FALSE))</f>
        <v>6</v>
      </c>
      <c r="K1629" s="72">
        <v>191.15595698622916</v>
      </c>
      <c r="L1629" s="70">
        <v>1.435762659672227</v>
      </c>
      <c r="M1629" s="71">
        <f>IF(L1629&lt;1,1,L1629)</f>
        <v>1.435762659672227</v>
      </c>
      <c r="N1629" s="70" t="s">
        <v>141</v>
      </c>
      <c r="O1629" s="71">
        <f>INDEX(DurClassMapping,MATCH(M1629,MappingTables!$D$4:$D$8,-1),1)</f>
        <v>1</v>
      </c>
      <c r="P1629" s="73">
        <f>IF(M1629=$A$1,1,$M1629-INDEX(MappingTables!$E$4:$E$8,MATCH(O1629,MappingTables!$B$4:$B$8,0)))</f>
        <v>1.435762659672227</v>
      </c>
      <c r="Q1629" s="71">
        <f>IF(B1629="",0,INDEX(ModelParameters!$D$6:$K$10,MATCH($O1629,ModelParameters!$B$6:$B$10,0),MATCH($J1629,ModelParameters!$D$5:$K$5,0)))</f>
        <v>0.075</v>
      </c>
      <c r="R1629" s="71">
        <f>IF(B1629="",0,INDEX(ModelParameters!$D$13:$K$17,MATCH($O1629,ModelParameters!$B$13:$B$17,0),MATCH($J1629,ModelParameters!$D$5:$K$5,0)))</f>
        <v>0</v>
      </c>
      <c r="S1629" s="160">
        <f>IF(B1629="",0,MIN(IF($N1629="Other Bond TM",ModelParameters!$N$21,1)*(P1629*Q1629+R1629),1))</f>
        <v>0.10768219947541704</v>
      </c>
      <c r="T1629" s="85">
        <f>IF(B1629="",0,$S1629*$K1629)</f>
        <v>20.584093891105368</v>
      </c>
      <c r="U1629" s="85">
        <f>IF(B1629="",0,IF(OR(H1629=MappingTables!$C$34,H1629=MappingTables!$C$35),T1629,0))</f>
        <v>0</v>
      </c>
      <c r="V1629" s="85">
        <f>IF(ISNA(IF(AND(VLOOKUP(CONCATENATE($D1629,$G1629),CSRFinput!$B:$E,4,0)=0,OR(H1629=MappingTables!$C$34,H1629=MappingTables!$C$35)),1,VLOOKUP(CONCATENATE($D1629,$G1629),CSRFinput!$B:$E,4,0))),0,IF(AND(VLOOKUP(CONCATENATE($D1629,$G1629),CSRFinput!$B:$E,4,0)=0,OR(H1629=MappingTables!$C$34,H1629=MappingTables!$C$35)),1,VLOOKUP(CONCATENATE($D1629,$G1629),CSRFinput!$B:$E,4,0)))</f>
        <v>0.054776304963434752</v>
      </c>
      <c r="W1629" s="85">
        <f>IF(B1629="",0,+$T1629*$V1629)</f>
        <v>1.127520604375162</v>
      </c>
      <c r="X1629" s="85">
        <f>IF(B1629="",0,IF(OR(H1629=MappingTables!$C$34,H1629=MappingTables!$C$35),W1629,0))</f>
        <v>0</v>
      </c>
    </row>
    <row r="1630" spans="2:24" s="0" customFormat="0" ht="15">
      <c r="B1630" s="69" t="s">
        <v>947</v>
      </c>
      <c r="C1630" s="70" t="s">
        <v>948</v>
      </c>
      <c r="D1630" s="70" t="s">
        <v>1</v>
      </c>
      <c r="E1630" s="70" t="s">
        <v>1</v>
      </c>
      <c r="F1630" s="70"/>
      <c r="G1630" s="70" t="s">
        <v>61</v>
      </c>
      <c r="H1630" s="70" t="s">
        <v>178</v>
      </c>
      <c r="I1630" s="70" t="s">
        <v>181</v>
      </c>
      <c r="J1630" s="71">
        <f>IF(OR(I1630=0,I1630=""),"unrated",VLOOKUP(I1630,MappingTables!$B$19:$C$31,2,FALSE))</f>
        <v>3</v>
      </c>
      <c r="K1630" s="72">
        <v>6289.4481409295176</v>
      </c>
      <c r="L1630" s="70">
        <v>12.308745560696372</v>
      </c>
      <c r="M1630" s="71">
        <f>IF(L1630&lt;1,1,L1630)</f>
        <v>12.308745560696372</v>
      </c>
      <c r="N1630" s="70" t="s">
        <v>141</v>
      </c>
      <c r="O1630" s="71">
        <f>INDEX(DurClassMapping,MATCH(M1630,MappingTables!$D$4:$D$8,-1),1)</f>
        <v>3</v>
      </c>
      <c r="P1630" s="73">
        <f>IF(M1630=$A$1,1,$M1630-INDEX(MappingTables!$E$4:$E$8,MATCH(O1630,MappingTables!$B$4:$B$8,0)))</f>
        <v>2.3087455606963728</v>
      </c>
      <c r="Q1630" s="71">
        <f>IF(B1630="",0,INDEX(ModelParameters!$D$6:$K$10,MATCH($O1630,ModelParameters!$B$6:$B$10,0),MATCH($J1630,ModelParameters!$D$5:$K$5,0)))</f>
        <v>0.01</v>
      </c>
      <c r="R1630" s="71">
        <f>IF(B1630="",0,INDEX(ModelParameters!$D$13:$K$17,MATCH($O1630,ModelParameters!$B$13:$B$17,0),MATCH($J1630,ModelParameters!$D$5:$K$5,0)))</f>
        <v>0.2</v>
      </c>
      <c r="S1630" s="160">
        <f>IF(B1630="",0,MIN(IF($N1630="Other Bond TM",ModelParameters!$N$21,1)*(P1630*Q1630+R1630),1))</f>
        <v>0.22308745560696376</v>
      </c>
      <c r="T1630" s="85">
        <f>IF(B1630="",0,$S1630*$K1630)</f>
        <v>1403.0969829319144</v>
      </c>
      <c r="U1630" s="85">
        <f>IF(B1630="",0,IF(OR(H1630=MappingTables!$C$34,H1630=MappingTables!$C$35),T1630,0))</f>
        <v>0</v>
      </c>
      <c r="V1630" s="85">
        <f>IF(ISNA(IF(AND(VLOOKUP(CONCATENATE($D1630,$G1630),CSRFinput!$B:$E,4,0)=0,OR(H1630=MappingTables!$C$34,H1630=MappingTables!$C$35)),1,VLOOKUP(CONCATENATE($D1630,$G1630),CSRFinput!$B:$E,4,0))),0,IF(AND(VLOOKUP(CONCATENATE($D1630,$G1630),CSRFinput!$B:$E,4,0)=0,OR(H1630=MappingTables!$C$34,H1630=MappingTables!$C$35)),1,VLOOKUP(CONCATENATE($D1630,$G1630),CSRFinput!$B:$E,4,0)))</f>
        <v>0.054776304963434752</v>
      </c>
      <c r="W1630" s="85">
        <f>IF(B1630="",0,+$T1630*$V1630)</f>
        <v>76.85646823035376</v>
      </c>
      <c r="X1630" s="85">
        <f>IF(B1630="",0,IF(OR(H1630=MappingTables!$C$34,H1630=MappingTables!$C$35),W1630,0))</f>
        <v>0</v>
      </c>
    </row>
    <row r="1631" spans="2:24" s="0" customFormat="0" ht="15">
      <c r="B1631" s="69" t="s">
        <v>1864</v>
      </c>
      <c r="C1631" s="70" t="s">
        <v>1865</v>
      </c>
      <c r="D1631" s="70" t="s">
        <v>1</v>
      </c>
      <c r="E1631" s="70" t="s">
        <v>1</v>
      </c>
      <c r="F1631" s="70"/>
      <c r="G1631" s="70" t="s">
        <v>61</v>
      </c>
      <c r="H1631" s="70" t="s">
        <v>178</v>
      </c>
      <c r="I1631" s="70" t="s">
        <v>188</v>
      </c>
      <c r="J1631" s="71">
        <f>IF(OR(I1631=0,I1631=""),"unrated",VLOOKUP(I1631,MappingTables!$B$19:$C$31,2,FALSE))</f>
        <v>2</v>
      </c>
      <c r="K1631" s="72">
        <v>327.35277483001</v>
      </c>
      <c r="L1631" s="70">
        <v>8.334268426255536</v>
      </c>
      <c r="M1631" s="71">
        <f>IF(L1631&lt;1,1,L1631)</f>
        <v>8.334268426255536</v>
      </c>
      <c r="N1631" s="70" t="s">
        <v>141</v>
      </c>
      <c r="O1631" s="71">
        <f>INDEX(DurClassMapping,MATCH(M1631,MappingTables!$D$4:$D$8,-1),1)</f>
        <v>2</v>
      </c>
      <c r="P1631" s="73">
        <f>IF(M1631=$A$1,1,$M1631-INDEX(MappingTables!$E$4:$E$8,MATCH(O1631,MappingTables!$B$4:$B$8,0)))</f>
        <v>3.3342684262555356</v>
      </c>
      <c r="Q1631" s="71">
        <f>IF(B1631="",0,INDEX(ModelParameters!$D$6:$K$10,MATCH($O1631,ModelParameters!$B$6:$B$10,0),MATCH($J1631,ModelParameters!$D$5:$K$5,0)))</f>
        <v>0.0069999999999999992</v>
      </c>
      <c r="R1631" s="71">
        <f>IF(B1631="",0,INDEX(ModelParameters!$D$13:$K$17,MATCH($O1631,ModelParameters!$B$13:$B$17,0),MATCH($J1631,ModelParameters!$D$5:$K$5,0)))</f>
        <v>0.070000000000000008</v>
      </c>
      <c r="S1631" s="160">
        <f>IF(B1631="",0,MIN(IF($N1631="Other Bond TM",ModelParameters!$N$21,1)*(P1631*Q1631+R1631),1))</f>
        <v>0.093339878983788752</v>
      </c>
      <c r="T1631" s="85">
        <f>IF(B1631="",0,$S1631*$K1631)</f>
        <v>30.555068387640584</v>
      </c>
      <c r="U1631" s="85">
        <f>IF(B1631="",0,IF(OR(H1631=MappingTables!$C$34,H1631=MappingTables!$C$35),T1631,0))</f>
        <v>0</v>
      </c>
      <c r="V1631" s="85">
        <f>IF(ISNA(IF(AND(VLOOKUP(CONCATENATE($D1631,$G1631),CSRFinput!$B:$E,4,0)=0,OR(H1631=MappingTables!$C$34,H1631=MappingTables!$C$35)),1,VLOOKUP(CONCATENATE($D1631,$G1631),CSRFinput!$B:$E,4,0))),0,IF(AND(VLOOKUP(CONCATENATE($D1631,$G1631),CSRFinput!$B:$E,4,0)=0,OR(H1631=MappingTables!$C$34,H1631=MappingTables!$C$35)),1,VLOOKUP(CONCATENATE($D1631,$G1631),CSRFinput!$B:$E,4,0)))</f>
        <v>0.054776304963434752</v>
      </c>
      <c r="W1631" s="85">
        <f>IF(B1631="",0,+$T1631*$V1631)</f>
        <v>1.6736937441800052</v>
      </c>
      <c r="X1631" s="85">
        <f>IF(B1631="",0,IF(OR(H1631=MappingTables!$C$34,H1631=MappingTables!$C$35),W1631,0))</f>
        <v>0</v>
      </c>
    </row>
    <row r="1632" spans="2:24" s="0" customFormat="0" ht="15">
      <c r="B1632" s="69">
        <v>13109400</v>
      </c>
      <c r="C1632" s="70" t="s">
        <v>1866</v>
      </c>
      <c r="D1632" s="70" t="s">
        <v>1</v>
      </c>
      <c r="E1632" s="70" t="s">
        <v>1</v>
      </c>
      <c r="F1632" s="70"/>
      <c r="G1632" s="70" t="s">
        <v>61</v>
      </c>
      <c r="H1632" s="70" t="s">
        <v>178</v>
      </c>
      <c r="I1632" s="70" t="s">
        <v>184</v>
      </c>
      <c r="J1632" s="71">
        <f>IF(OR(I1632=0,I1632=""),"unrated",VLOOKUP(I1632,MappingTables!$B$19:$C$31,2,FALSE))</f>
        <v>5</v>
      </c>
      <c r="K1632" s="72">
        <v>2174.9410474438992</v>
      </c>
      <c r="L1632" s="70">
        <v>0.96156412018418576</v>
      </c>
      <c r="M1632" s="71">
        <f>IF(L1632&lt;1,1,L1632)</f>
        <v>1</v>
      </c>
      <c r="N1632" s="70" t="s">
        <v>141</v>
      </c>
      <c r="O1632" s="71">
        <f>INDEX(DurClassMapping,MATCH(M1632,MappingTables!$D$4:$D$8,-1),1)</f>
        <v>1</v>
      </c>
      <c r="P1632" s="73">
        <f>IF(M1632=$A$1,1,$M1632-INDEX(MappingTables!$E$4:$E$8,MATCH(O1632,MappingTables!$B$4:$B$8,0)))</f>
        <v>1</v>
      </c>
      <c r="Q1632" s="71">
        <f>IF(B1632="",0,INDEX(ModelParameters!$D$6:$K$10,MATCH($O1632,ModelParameters!$B$6:$B$10,0),MATCH($J1632,ModelParameters!$D$5:$K$5,0)))</f>
        <v>0.075</v>
      </c>
      <c r="R1632" s="71">
        <f>IF(B1632="",0,INDEX(ModelParameters!$D$13:$K$17,MATCH($O1632,ModelParameters!$B$13:$B$17,0),MATCH($J1632,ModelParameters!$D$5:$K$5,0)))</f>
        <v>0</v>
      </c>
      <c r="S1632" s="160">
        <f>IF(B1632="",0,MIN(IF($N1632="Other Bond TM",ModelParameters!$N$21,1)*(P1632*Q1632+R1632),1))</f>
        <v>0.075</v>
      </c>
      <c r="T1632" s="85">
        <f>IF(B1632="",0,$S1632*$K1632)</f>
        <v>163.12057855829244</v>
      </c>
      <c r="U1632" s="85">
        <f>IF(B1632="",0,IF(OR(H1632=MappingTables!$C$34,H1632=MappingTables!$C$35),T1632,0))</f>
        <v>0</v>
      </c>
      <c r="V1632" s="85">
        <f>IF(ISNA(IF(AND(VLOOKUP(CONCATENATE($D1632,$G1632),CSRFinput!$B:$E,4,0)=0,OR(H1632=MappingTables!$C$34,H1632=MappingTables!$C$35)),1,VLOOKUP(CONCATENATE($D1632,$G1632),CSRFinput!$B:$E,4,0))),0,IF(AND(VLOOKUP(CONCATENATE($D1632,$G1632),CSRFinput!$B:$E,4,0)=0,OR(H1632=MappingTables!$C$34,H1632=MappingTables!$C$35)),1,VLOOKUP(CONCATENATE($D1632,$G1632),CSRFinput!$B:$E,4,0)))</f>
        <v>0.054776304963434752</v>
      </c>
      <c r="W1632" s="85">
        <f>IF(B1632="",0,+$T1632*$V1632)</f>
        <v>8.9351425569209424</v>
      </c>
      <c r="X1632" s="85">
        <f>IF(B1632="",0,IF(OR(H1632=MappingTables!$C$34,H1632=MappingTables!$C$35),W1632,0))</f>
        <v>0</v>
      </c>
    </row>
    <row r="1633" spans="2:24" s="0" customFormat="0" ht="15">
      <c r="B1633" s="69" t="s">
        <v>851</v>
      </c>
      <c r="C1633" s="70" t="s">
        <v>852</v>
      </c>
      <c r="D1633" s="70" t="s">
        <v>1</v>
      </c>
      <c r="E1633" s="70" t="s">
        <v>1</v>
      </c>
      <c r="F1633" s="70"/>
      <c r="G1633" s="70" t="s">
        <v>61</v>
      </c>
      <c r="H1633" s="70" t="s">
        <v>178</v>
      </c>
      <c r="I1633" s="70" t="s">
        <v>184</v>
      </c>
      <c r="J1633" s="71">
        <f>IF(OR(I1633=0,I1633=""),"unrated",VLOOKUP(I1633,MappingTables!$B$19:$C$31,2,FALSE))</f>
        <v>5</v>
      </c>
      <c r="K1633" s="72">
        <v>38.306168732903288</v>
      </c>
      <c r="L1633" s="70">
        <v>2.6407956740960688</v>
      </c>
      <c r="M1633" s="71">
        <f>IF(L1633&lt;1,1,L1633)</f>
        <v>2.6407956740960688</v>
      </c>
      <c r="N1633" s="70" t="s">
        <v>141</v>
      </c>
      <c r="O1633" s="71">
        <f>INDEX(DurClassMapping,MATCH(M1633,MappingTables!$D$4:$D$8,-1),1)</f>
        <v>1</v>
      </c>
      <c r="P1633" s="73">
        <f>IF(M1633=$A$1,1,$M1633-INDEX(MappingTables!$E$4:$E$8,MATCH(O1633,MappingTables!$B$4:$B$8,0)))</f>
        <v>2.6407956740960688</v>
      </c>
      <c r="Q1633" s="71">
        <f>IF(B1633="",0,INDEX(ModelParameters!$D$6:$K$10,MATCH($O1633,ModelParameters!$B$6:$B$10,0),MATCH($J1633,ModelParameters!$D$5:$K$5,0)))</f>
        <v>0.075</v>
      </c>
      <c r="R1633" s="71">
        <f>IF(B1633="",0,INDEX(ModelParameters!$D$13:$K$17,MATCH($O1633,ModelParameters!$B$13:$B$17,0),MATCH($J1633,ModelParameters!$D$5:$K$5,0)))</f>
        <v>0</v>
      </c>
      <c r="S1633" s="160">
        <f>IF(B1633="",0,MIN(IF($N1633="Other Bond TM",ModelParameters!$N$21,1)*(P1633*Q1633+R1633),1))</f>
        <v>0.19805967555720516</v>
      </c>
      <c r="T1633" s="85">
        <f>IF(B1633="",0,$S1633*$K1633)</f>
        <v>7.5869073510783808</v>
      </c>
      <c r="U1633" s="85">
        <f>IF(B1633="",0,IF(OR(H1633=MappingTables!$C$34,H1633=MappingTables!$C$35),T1633,0))</f>
        <v>0</v>
      </c>
      <c r="V1633" s="85">
        <f>IF(ISNA(IF(AND(VLOOKUP(CONCATENATE($D1633,$G1633),CSRFinput!$B:$E,4,0)=0,OR(H1633=MappingTables!$C$34,H1633=MappingTables!$C$35)),1,VLOOKUP(CONCATENATE($D1633,$G1633),CSRFinput!$B:$E,4,0))),0,IF(AND(VLOOKUP(CONCATENATE($D1633,$G1633),CSRFinput!$B:$E,4,0)=0,OR(H1633=MappingTables!$C$34,H1633=MappingTables!$C$35)),1,VLOOKUP(CONCATENATE($D1633,$G1633),CSRFinput!$B:$E,4,0)))</f>
        <v>0.054776304963434752</v>
      </c>
      <c r="W1633" s="85">
        <f>IF(B1633="",0,+$T1633*$V1633)</f>
        <v>0.41558275079199432</v>
      </c>
      <c r="X1633" s="85">
        <f>IF(B1633="",0,IF(OR(H1633=MappingTables!$C$34,H1633=MappingTables!$C$35),W1633,0))</f>
        <v>0</v>
      </c>
    </row>
    <row r="1634" spans="2:24" s="0" customFormat="0" ht="15">
      <c r="B1634" s="69">
        <v>8584154</v>
      </c>
      <c r="C1634" s="70" t="s">
        <v>1867</v>
      </c>
      <c r="D1634" s="70" t="s">
        <v>1</v>
      </c>
      <c r="E1634" s="70" t="s">
        <v>1</v>
      </c>
      <c r="F1634" s="70"/>
      <c r="G1634" s="70" t="s">
        <v>61</v>
      </c>
      <c r="H1634" s="70" t="s">
        <v>178</v>
      </c>
      <c r="I1634" s="70" t="s">
        <v>181</v>
      </c>
      <c r="J1634" s="71">
        <f>IF(OR(I1634=0,I1634=""),"unrated",VLOOKUP(I1634,MappingTables!$B$19:$C$31,2,FALSE))</f>
        <v>3</v>
      </c>
      <c r="K1634" s="72">
        <v>620.43224058901912</v>
      </c>
      <c r="L1634" s="70">
        <v>0.36438318305629448</v>
      </c>
      <c r="M1634" s="71">
        <f>IF(L1634&lt;1,1,L1634)</f>
        <v>1</v>
      </c>
      <c r="N1634" s="70" t="s">
        <v>141</v>
      </c>
      <c r="O1634" s="71">
        <f>INDEX(DurClassMapping,MATCH(M1634,MappingTables!$D$4:$D$8,-1),1)</f>
        <v>1</v>
      </c>
      <c r="P1634" s="73">
        <f>IF(M1634=$A$1,1,$M1634-INDEX(MappingTables!$E$4:$E$8,MATCH(O1634,MappingTables!$B$4:$B$8,0)))</f>
        <v>1</v>
      </c>
      <c r="Q1634" s="71">
        <f>IF(B1634="",0,INDEX(ModelParameters!$D$6:$K$10,MATCH($O1634,ModelParameters!$B$6:$B$10,0),MATCH($J1634,ModelParameters!$D$5:$K$5,0)))</f>
        <v>0.025</v>
      </c>
      <c r="R1634" s="71">
        <f>IF(B1634="",0,INDEX(ModelParameters!$D$13:$K$17,MATCH($O1634,ModelParameters!$B$13:$B$17,0),MATCH($J1634,ModelParameters!$D$5:$K$5,0)))</f>
        <v>0</v>
      </c>
      <c r="S1634" s="160">
        <f>IF(B1634="",0,MIN(IF($N1634="Other Bond TM",ModelParameters!$N$21,1)*(P1634*Q1634+R1634),1))</f>
        <v>0.025</v>
      </c>
      <c r="T1634" s="85">
        <f>IF(B1634="",0,$S1634*$K1634)</f>
        <v>15.510806014725478</v>
      </c>
      <c r="U1634" s="85">
        <f>IF(B1634="",0,IF(OR(H1634=MappingTables!$C$34,H1634=MappingTables!$C$35),T1634,0))</f>
        <v>0</v>
      </c>
      <c r="V1634" s="85">
        <f>IF(ISNA(IF(AND(VLOOKUP(CONCATENATE($D1634,$G1634),CSRFinput!$B:$E,4,0)=0,OR(H1634=MappingTables!$C$34,H1634=MappingTables!$C$35)),1,VLOOKUP(CONCATENATE($D1634,$G1634),CSRFinput!$B:$E,4,0))),0,IF(AND(VLOOKUP(CONCATENATE($D1634,$G1634),CSRFinput!$B:$E,4,0)=0,OR(H1634=MappingTables!$C$34,H1634=MappingTables!$C$35)),1,VLOOKUP(CONCATENATE($D1634,$G1634),CSRFinput!$B:$E,4,0)))</f>
        <v>0.054776304963434752</v>
      </c>
      <c r="W1634" s="85">
        <f>IF(B1634="",0,+$T1634*$V1634)</f>
        <v>0.8496246404912808</v>
      </c>
      <c r="X1634" s="85">
        <f>IF(B1634="",0,IF(OR(H1634=MappingTables!$C$34,H1634=MappingTables!$C$35),W1634,0))</f>
        <v>0</v>
      </c>
    </row>
    <row r="1635" spans="2:24" s="0" customFormat="0" ht="15">
      <c r="B1635" s="69">
        <v>17776713</v>
      </c>
      <c r="C1635" s="70" t="s">
        <v>1868</v>
      </c>
      <c r="D1635" s="70" t="s">
        <v>1</v>
      </c>
      <c r="E1635" s="70" t="s">
        <v>1</v>
      </c>
      <c r="F1635" s="70"/>
      <c r="G1635" s="70" t="s">
        <v>61</v>
      </c>
      <c r="H1635" s="70" t="s">
        <v>178</v>
      </c>
      <c r="I1635" s="70" t="s">
        <v>179</v>
      </c>
      <c r="J1635" s="71">
        <f>IF(OR(I1635=0,I1635=""),"unrated",VLOOKUP(I1635,MappingTables!$B$19:$C$31,2,FALSE))</f>
        <v>4</v>
      </c>
      <c r="K1635" s="72">
        <v>18538.898456020712</v>
      </c>
      <c r="L1635" s="70">
        <v>0.087673246338628272</v>
      </c>
      <c r="M1635" s="71">
        <f>IF(L1635&lt;1,1,L1635)</f>
        <v>1</v>
      </c>
      <c r="N1635" s="70" t="s">
        <v>141</v>
      </c>
      <c r="O1635" s="71">
        <f>INDEX(DurClassMapping,MATCH(M1635,MappingTables!$D$4:$D$8,-1),1)</f>
        <v>1</v>
      </c>
      <c r="P1635" s="73">
        <f>IF(M1635=$A$1,1,$M1635-INDEX(MappingTables!$E$4:$E$8,MATCH(O1635,MappingTables!$B$4:$B$8,0)))</f>
        <v>1</v>
      </c>
      <c r="Q1635" s="71">
        <f>IF(B1635="",0,INDEX(ModelParameters!$D$6:$K$10,MATCH($O1635,ModelParameters!$B$6:$B$10,0),MATCH($J1635,ModelParameters!$D$5:$K$5,0)))</f>
        <v>0.045</v>
      </c>
      <c r="R1635" s="71">
        <f>IF(B1635="",0,INDEX(ModelParameters!$D$13:$K$17,MATCH($O1635,ModelParameters!$B$13:$B$17,0),MATCH($J1635,ModelParameters!$D$5:$K$5,0)))</f>
        <v>0</v>
      </c>
      <c r="S1635" s="160">
        <f>IF(B1635="",0,MIN(IF($N1635="Other Bond TM",ModelParameters!$N$21,1)*(P1635*Q1635+R1635),1))</f>
        <v>0.045</v>
      </c>
      <c r="T1635" s="85">
        <f>IF(B1635="",0,$S1635*$K1635)</f>
        <v>834.25043052093216</v>
      </c>
      <c r="U1635" s="85">
        <f>IF(B1635="",0,IF(OR(H1635=MappingTables!$C$34,H1635=MappingTables!$C$35),T1635,0))</f>
        <v>0</v>
      </c>
      <c r="V1635" s="85">
        <f>IF(ISNA(IF(AND(VLOOKUP(CONCATENATE($D1635,$G1635),CSRFinput!$B:$E,4,0)=0,OR(H1635=MappingTables!$C$34,H1635=MappingTables!$C$35)),1,VLOOKUP(CONCATENATE($D1635,$G1635),CSRFinput!$B:$E,4,0))),0,IF(AND(VLOOKUP(CONCATENATE($D1635,$G1635),CSRFinput!$B:$E,4,0)=0,OR(H1635=MappingTables!$C$34,H1635=MappingTables!$C$35)),1,VLOOKUP(CONCATENATE($D1635,$G1635),CSRFinput!$B:$E,4,0)))</f>
        <v>0.054776304963434752</v>
      </c>
      <c r="W1635" s="85">
        <f>IF(B1635="",0,+$T1635*$V1635)</f>
        <v>45.697155998091312</v>
      </c>
      <c r="X1635" s="85">
        <f>IF(B1635="",0,IF(OR(H1635=MappingTables!$C$34,H1635=MappingTables!$C$35),W1635,0))</f>
        <v>0</v>
      </c>
    </row>
    <row r="1636" spans="2:24" s="0" customFormat="0" ht="15">
      <c r="B1636" s="69" t="s">
        <v>1782</v>
      </c>
      <c r="C1636" s="70" t="s">
        <v>1783</v>
      </c>
      <c r="D1636" s="70" t="s">
        <v>1</v>
      </c>
      <c r="E1636" s="70" t="s">
        <v>1</v>
      </c>
      <c r="F1636" s="70"/>
      <c r="G1636" s="70" t="s">
        <v>61</v>
      </c>
      <c r="H1636" s="70" t="s">
        <v>178</v>
      </c>
      <c r="I1636" s="70" t="s">
        <v>181</v>
      </c>
      <c r="J1636" s="71">
        <f>IF(OR(I1636=0,I1636=""),"unrated",VLOOKUP(I1636,MappingTables!$B$19:$C$31,2,FALSE))</f>
        <v>3</v>
      </c>
      <c r="K1636" s="72">
        <v>974.3777104776776</v>
      </c>
      <c r="L1636" s="70">
        <v>10.306999648408274</v>
      </c>
      <c r="M1636" s="71">
        <f>IF(L1636&lt;1,1,L1636)</f>
        <v>10.306999648408274</v>
      </c>
      <c r="N1636" s="70" t="s">
        <v>141</v>
      </c>
      <c r="O1636" s="71">
        <f>INDEX(DurClassMapping,MATCH(M1636,MappingTables!$D$4:$D$8,-1),1)</f>
        <v>3</v>
      </c>
      <c r="P1636" s="73">
        <f>IF(M1636=$A$1,1,$M1636-INDEX(MappingTables!$E$4:$E$8,MATCH(O1636,MappingTables!$B$4:$B$8,0)))</f>
        <v>0.306999648408274</v>
      </c>
      <c r="Q1636" s="71">
        <f>IF(B1636="",0,INDEX(ModelParameters!$D$6:$K$10,MATCH($O1636,ModelParameters!$B$6:$B$10,0),MATCH($J1636,ModelParameters!$D$5:$K$5,0)))</f>
        <v>0.01</v>
      </c>
      <c r="R1636" s="71">
        <f>IF(B1636="",0,INDEX(ModelParameters!$D$13:$K$17,MATCH($O1636,ModelParameters!$B$13:$B$17,0),MATCH($J1636,ModelParameters!$D$5:$K$5,0)))</f>
        <v>0.2</v>
      </c>
      <c r="S1636" s="160">
        <f>IF(B1636="",0,MIN(IF($N1636="Other Bond TM",ModelParameters!$N$21,1)*(P1636*Q1636+R1636),1))</f>
        <v>0.20306999648408276</v>
      </c>
      <c r="T1636" s="85">
        <f>IF(B1636="",0,$S1636*$K1636)</f>
        <v>197.8668782408706</v>
      </c>
      <c r="U1636" s="85">
        <f>IF(B1636="",0,IF(OR(H1636=MappingTables!$C$34,H1636=MappingTables!$C$35),T1636,0))</f>
        <v>0</v>
      </c>
      <c r="V1636" s="85">
        <f>IF(ISNA(IF(AND(VLOOKUP(CONCATENATE($D1636,$G1636),CSRFinput!$B:$E,4,0)=0,OR(H1636=MappingTables!$C$34,H1636=MappingTables!$C$35)),1,VLOOKUP(CONCATENATE($D1636,$G1636),CSRFinput!$B:$E,4,0))),0,IF(AND(VLOOKUP(CONCATENATE($D1636,$G1636),CSRFinput!$B:$E,4,0)=0,OR(H1636=MappingTables!$C$34,H1636=MappingTables!$C$35)),1,VLOOKUP(CONCATENATE($D1636,$G1636),CSRFinput!$B:$E,4,0)))</f>
        <v>0.054776304963434752</v>
      </c>
      <c r="W1636" s="85">
        <f>IF(B1636="",0,+$T1636*$V1636)</f>
        <v>10.83841646468474</v>
      </c>
      <c r="X1636" s="85">
        <f>IF(B1636="",0,IF(OR(H1636=MappingTables!$C$34,H1636=MappingTables!$C$35),W1636,0))</f>
        <v>0</v>
      </c>
    </row>
    <row r="1637" spans="2:24" s="0" customFormat="0" ht="15">
      <c r="B1637" s="69">
        <v>15124171</v>
      </c>
      <c r="C1637" s="70" t="s">
        <v>1869</v>
      </c>
      <c r="D1637" s="70" t="s">
        <v>1</v>
      </c>
      <c r="E1637" s="70" t="s">
        <v>1</v>
      </c>
      <c r="F1637" s="70"/>
      <c r="G1637" s="70" t="s">
        <v>61</v>
      </c>
      <c r="H1637" s="70" t="s">
        <v>178</v>
      </c>
      <c r="I1637" s="70" t="s">
        <v>184</v>
      </c>
      <c r="J1637" s="71">
        <f>IF(OR(I1637=0,I1637=""),"unrated",VLOOKUP(I1637,MappingTables!$B$19:$C$31,2,FALSE))</f>
        <v>5</v>
      </c>
      <c r="K1637" s="72">
        <v>513.88164023414864</v>
      </c>
      <c r="L1637" s="70">
        <v>0.33972826781406788</v>
      </c>
      <c r="M1637" s="71">
        <f>IF(L1637&lt;1,1,L1637)</f>
        <v>1</v>
      </c>
      <c r="N1637" s="70" t="s">
        <v>141</v>
      </c>
      <c r="O1637" s="71">
        <f>INDEX(DurClassMapping,MATCH(M1637,MappingTables!$D$4:$D$8,-1),1)</f>
        <v>1</v>
      </c>
      <c r="P1637" s="73">
        <f>IF(M1637=$A$1,1,$M1637-INDEX(MappingTables!$E$4:$E$8,MATCH(O1637,MappingTables!$B$4:$B$8,0)))</f>
        <v>1</v>
      </c>
      <c r="Q1637" s="71">
        <f>IF(B1637="",0,INDEX(ModelParameters!$D$6:$K$10,MATCH($O1637,ModelParameters!$B$6:$B$10,0),MATCH($J1637,ModelParameters!$D$5:$K$5,0)))</f>
        <v>0.075</v>
      </c>
      <c r="R1637" s="71">
        <f>IF(B1637="",0,INDEX(ModelParameters!$D$13:$K$17,MATCH($O1637,ModelParameters!$B$13:$B$17,0),MATCH($J1637,ModelParameters!$D$5:$K$5,0)))</f>
        <v>0</v>
      </c>
      <c r="S1637" s="160">
        <f>IF(B1637="",0,MIN(IF($N1637="Other Bond TM",ModelParameters!$N$21,1)*(P1637*Q1637+R1637),1))</f>
        <v>0.075</v>
      </c>
      <c r="T1637" s="85">
        <f>IF(B1637="",0,$S1637*$K1637)</f>
        <v>38.541123017561144</v>
      </c>
      <c r="U1637" s="85">
        <f>IF(B1637="",0,IF(OR(H1637=MappingTables!$C$34,H1637=MappingTables!$C$35),T1637,0))</f>
        <v>0</v>
      </c>
      <c r="V1637" s="85">
        <f>IF(ISNA(IF(AND(VLOOKUP(CONCATENATE($D1637,$G1637),CSRFinput!$B:$E,4,0)=0,OR(H1637=MappingTables!$C$34,H1637=MappingTables!$C$35)),1,VLOOKUP(CONCATENATE($D1637,$G1637),CSRFinput!$B:$E,4,0))),0,IF(AND(VLOOKUP(CONCATENATE($D1637,$G1637),CSRFinput!$B:$E,4,0)=0,OR(H1637=MappingTables!$C$34,H1637=MappingTables!$C$35)),1,VLOOKUP(CONCATENATE($D1637,$G1637),CSRFinput!$B:$E,4,0)))</f>
        <v>0.054776304963434752</v>
      </c>
      <c r="W1637" s="85">
        <f>IF(B1637="",0,+$T1637*$V1637)</f>
        <v>2.111140308043184</v>
      </c>
      <c r="X1637" s="85">
        <f>IF(B1637="",0,IF(OR(H1637=MappingTables!$C$34,H1637=MappingTables!$C$35),W1637,0))</f>
        <v>0</v>
      </c>
    </row>
    <row r="1638" spans="2:24" s="0" customFormat="0" ht="15">
      <c r="B1638" s="69" t="s">
        <v>1870</v>
      </c>
      <c r="C1638" s="70" t="s">
        <v>1871</v>
      </c>
      <c r="D1638" s="70" t="s">
        <v>1</v>
      </c>
      <c r="E1638" s="70" t="s">
        <v>1</v>
      </c>
      <c r="F1638" s="70"/>
      <c r="G1638" s="70" t="s">
        <v>61</v>
      </c>
      <c r="H1638" s="70" t="s">
        <v>178</v>
      </c>
      <c r="I1638" s="70" t="s">
        <v>188</v>
      </c>
      <c r="J1638" s="71">
        <f>IF(OR(I1638=0,I1638=""),"unrated",VLOOKUP(I1638,MappingTables!$B$19:$C$31,2,FALSE))</f>
        <v>2</v>
      </c>
      <c r="K1638" s="72">
        <v>1569.4869143793042</v>
      </c>
      <c r="L1638" s="70">
        <v>6.5986802719349272</v>
      </c>
      <c r="M1638" s="71">
        <f>IF(L1638&lt;1,1,L1638)</f>
        <v>6.5986802719349272</v>
      </c>
      <c r="N1638" s="70" t="s">
        <v>141</v>
      </c>
      <c r="O1638" s="71">
        <f>INDEX(DurClassMapping,MATCH(M1638,MappingTables!$D$4:$D$8,-1),1)</f>
        <v>2</v>
      </c>
      <c r="P1638" s="73">
        <f>IF(M1638=$A$1,1,$M1638-INDEX(MappingTables!$E$4:$E$8,MATCH(O1638,MappingTables!$B$4:$B$8,0)))</f>
        <v>1.5986802719349268</v>
      </c>
      <c r="Q1638" s="71">
        <f>IF(B1638="",0,INDEX(ModelParameters!$D$6:$K$10,MATCH($O1638,ModelParameters!$B$6:$B$10,0),MATCH($J1638,ModelParameters!$D$5:$K$5,0)))</f>
        <v>0.0069999999999999992</v>
      </c>
      <c r="R1638" s="71">
        <f>IF(B1638="",0,INDEX(ModelParameters!$D$13:$K$17,MATCH($O1638,ModelParameters!$B$13:$B$17,0),MATCH($J1638,ModelParameters!$D$5:$K$5,0)))</f>
        <v>0.070000000000000008</v>
      </c>
      <c r="S1638" s="160">
        <f>IF(B1638="",0,MIN(IF($N1638="Other Bond TM",ModelParameters!$N$21,1)*(P1638*Q1638+R1638),1))</f>
        <v>0.081190761903544496</v>
      </c>
      <c r="T1638" s="85">
        <f>IF(B1638="",0,$S1638*$K1638)</f>
        <v>127.4278383760988</v>
      </c>
      <c r="U1638" s="85">
        <f>IF(B1638="",0,IF(OR(H1638=MappingTables!$C$34,H1638=MappingTables!$C$35),T1638,0))</f>
        <v>0</v>
      </c>
      <c r="V1638" s="85">
        <f>IF(ISNA(IF(AND(VLOOKUP(CONCATENATE($D1638,$G1638),CSRFinput!$B:$E,4,0)=0,OR(H1638=MappingTables!$C$34,H1638=MappingTables!$C$35)),1,VLOOKUP(CONCATENATE($D1638,$G1638),CSRFinput!$B:$E,4,0))),0,IF(AND(VLOOKUP(CONCATENATE($D1638,$G1638),CSRFinput!$B:$E,4,0)=0,OR(H1638=MappingTables!$C$34,H1638=MappingTables!$C$35)),1,VLOOKUP(CONCATENATE($D1638,$G1638),CSRFinput!$B:$E,4,0)))</f>
        <v>0.054776304963434752</v>
      </c>
      <c r="W1638" s="85">
        <f>IF(B1638="",0,+$T1638*$V1638)</f>
        <v>6.9800261357204632</v>
      </c>
      <c r="X1638" s="85">
        <f>IF(B1638="",0,IF(OR(H1638=MappingTables!$C$34,H1638=MappingTables!$C$35),W1638,0))</f>
        <v>0</v>
      </c>
    </row>
    <row r="1639" spans="2:24" s="0" customFormat="0" ht="15">
      <c r="B1639" s="69">
        <v>19149584</v>
      </c>
      <c r="C1639" s="70" t="s">
        <v>1222</v>
      </c>
      <c r="D1639" s="70" t="s">
        <v>1</v>
      </c>
      <c r="E1639" s="70" t="s">
        <v>1</v>
      </c>
      <c r="F1639" s="70"/>
      <c r="G1639" s="70" t="s">
        <v>61</v>
      </c>
      <c r="H1639" s="70" t="s">
        <v>178</v>
      </c>
      <c r="I1639" s="70" t="s">
        <v>179</v>
      </c>
      <c r="J1639" s="71">
        <f>IF(OR(I1639=0,I1639=""),"unrated",VLOOKUP(I1639,MappingTables!$B$19:$C$31,2,FALSE))</f>
        <v>4</v>
      </c>
      <c r="K1639" s="72">
        <v>22512.922608562132</v>
      </c>
      <c r="L1639" s="70">
        <v>3.9365111474509856</v>
      </c>
      <c r="M1639" s="71">
        <f>IF(L1639&lt;1,1,L1639)</f>
        <v>3.9365111474509856</v>
      </c>
      <c r="N1639" s="70" t="s">
        <v>141</v>
      </c>
      <c r="O1639" s="71">
        <f>INDEX(DurClassMapping,MATCH(M1639,MappingTables!$D$4:$D$8,-1),1)</f>
        <v>1</v>
      </c>
      <c r="P1639" s="73">
        <f>IF(M1639=$A$1,1,$M1639-INDEX(MappingTables!$E$4:$E$8,MATCH(O1639,MappingTables!$B$4:$B$8,0)))</f>
        <v>3.9365111474509856</v>
      </c>
      <c r="Q1639" s="71">
        <f>IF(B1639="",0,INDEX(ModelParameters!$D$6:$K$10,MATCH($O1639,ModelParameters!$B$6:$B$10,0),MATCH($J1639,ModelParameters!$D$5:$K$5,0)))</f>
        <v>0.045</v>
      </c>
      <c r="R1639" s="71">
        <f>IF(B1639="",0,INDEX(ModelParameters!$D$13:$K$17,MATCH($O1639,ModelParameters!$B$13:$B$17,0),MATCH($J1639,ModelParameters!$D$5:$K$5,0)))</f>
        <v>0</v>
      </c>
      <c r="S1639" s="160">
        <f>IF(B1639="",0,MIN(IF($N1639="Other Bond TM",ModelParameters!$N$21,1)*(P1639*Q1639+R1639),1))</f>
        <v>0.17714300163529436</v>
      </c>
      <c r="T1639" s="85">
        <f>IF(B1639="",0,$S1639*$K1639)</f>
        <v>3988.0066864637776</v>
      </c>
      <c r="U1639" s="85">
        <f>IF(B1639="",0,IF(OR(H1639=MappingTables!$C$34,H1639=MappingTables!$C$35),T1639,0))</f>
        <v>0</v>
      </c>
      <c r="V1639" s="85">
        <f>IF(ISNA(IF(AND(VLOOKUP(CONCATENATE($D1639,$G1639),CSRFinput!$B:$E,4,0)=0,OR(H1639=MappingTables!$C$34,H1639=MappingTables!$C$35)),1,VLOOKUP(CONCATENATE($D1639,$G1639),CSRFinput!$B:$E,4,0))),0,IF(AND(VLOOKUP(CONCATENATE($D1639,$G1639),CSRFinput!$B:$E,4,0)=0,OR(H1639=MappingTables!$C$34,H1639=MappingTables!$C$35)),1,VLOOKUP(CONCATENATE($D1639,$G1639),CSRFinput!$B:$E,4,0)))</f>
        <v>0.054776304963434752</v>
      </c>
      <c r="W1639" s="85">
        <f>IF(B1639="",0,+$T1639*$V1639)</f>
        <v>218.4482704539568</v>
      </c>
      <c r="X1639" s="85">
        <f>IF(B1639="",0,IF(OR(H1639=MappingTables!$C$34,H1639=MappingTables!$C$35),W1639,0))</f>
        <v>0</v>
      </c>
    </row>
    <row r="1640" spans="2:24" s="0" customFormat="0" ht="15">
      <c r="B1640" s="69">
        <v>23162552</v>
      </c>
      <c r="C1640" s="70" t="s">
        <v>1872</v>
      </c>
      <c r="D1640" s="70" t="s">
        <v>1</v>
      </c>
      <c r="E1640" s="70" t="s">
        <v>1</v>
      </c>
      <c r="F1640" s="70"/>
      <c r="G1640" s="70" t="s">
        <v>61</v>
      </c>
      <c r="H1640" s="70" t="s">
        <v>178</v>
      </c>
      <c r="I1640" s="70" t="s">
        <v>181</v>
      </c>
      <c r="J1640" s="71">
        <f>IF(OR(I1640=0,I1640=""),"unrated",VLOOKUP(I1640,MappingTables!$B$19:$C$31,2,FALSE))</f>
        <v>3</v>
      </c>
      <c r="K1640" s="72">
        <v>6654.666047177244</v>
      </c>
      <c r="L1640" s="70">
        <v>4.3136823073837512</v>
      </c>
      <c r="M1640" s="71">
        <f>IF(L1640&lt;1,1,L1640)</f>
        <v>4.3136823073837512</v>
      </c>
      <c r="N1640" s="70" t="s">
        <v>141</v>
      </c>
      <c r="O1640" s="71">
        <f>INDEX(DurClassMapping,MATCH(M1640,MappingTables!$D$4:$D$8,-1),1)</f>
        <v>1</v>
      </c>
      <c r="P1640" s="73">
        <f>IF(M1640=$A$1,1,$M1640-INDEX(MappingTables!$E$4:$E$8,MATCH(O1640,MappingTables!$B$4:$B$8,0)))</f>
        <v>4.3136823073837512</v>
      </c>
      <c r="Q1640" s="71">
        <f>IF(B1640="",0,INDEX(ModelParameters!$D$6:$K$10,MATCH($O1640,ModelParameters!$B$6:$B$10,0),MATCH($J1640,ModelParameters!$D$5:$K$5,0)))</f>
        <v>0.025</v>
      </c>
      <c r="R1640" s="71">
        <f>IF(B1640="",0,INDEX(ModelParameters!$D$13:$K$17,MATCH($O1640,ModelParameters!$B$13:$B$17,0),MATCH($J1640,ModelParameters!$D$5:$K$5,0)))</f>
        <v>0</v>
      </c>
      <c r="S1640" s="160">
        <f>IF(B1640="",0,MIN(IF($N1640="Other Bond TM",ModelParameters!$N$21,1)*(P1640*Q1640+R1640),1))</f>
        <v>0.10784205768459378</v>
      </c>
      <c r="T1640" s="85">
        <f>IF(B1640="",0,$S1640*$K1640)</f>
        <v>717.65287973139608</v>
      </c>
      <c r="U1640" s="85">
        <f>IF(B1640="",0,IF(OR(H1640=MappingTables!$C$34,H1640=MappingTables!$C$35),T1640,0))</f>
        <v>0</v>
      </c>
      <c r="V1640" s="85">
        <f>IF(ISNA(IF(AND(VLOOKUP(CONCATENATE($D1640,$G1640),CSRFinput!$B:$E,4,0)=0,OR(H1640=MappingTables!$C$34,H1640=MappingTables!$C$35)),1,VLOOKUP(CONCATENATE($D1640,$G1640),CSRFinput!$B:$E,4,0))),0,IF(AND(VLOOKUP(CONCATENATE($D1640,$G1640),CSRFinput!$B:$E,4,0)=0,OR(H1640=MappingTables!$C$34,H1640=MappingTables!$C$35)),1,VLOOKUP(CONCATENATE($D1640,$G1640),CSRFinput!$B:$E,4,0)))</f>
        <v>0.054776304963434752</v>
      </c>
      <c r="W1640" s="85">
        <f>IF(B1640="",0,+$T1640*$V1640)</f>
        <v>39.310372998054112</v>
      </c>
      <c r="X1640" s="85">
        <f>IF(B1640="",0,IF(OR(H1640=MappingTables!$C$34,H1640=MappingTables!$C$35),W1640,0))</f>
        <v>0</v>
      </c>
    </row>
    <row r="1641" spans="2:24" s="0" customFormat="0" ht="15">
      <c r="B1641" s="69">
        <v>22213236</v>
      </c>
      <c r="C1641" s="70" t="s">
        <v>1873</v>
      </c>
      <c r="D1641" s="70" t="s">
        <v>1</v>
      </c>
      <c r="E1641" s="70" t="s">
        <v>1</v>
      </c>
      <c r="F1641" s="70"/>
      <c r="G1641" s="70" t="s">
        <v>61</v>
      </c>
      <c r="H1641" s="70" t="s">
        <v>178</v>
      </c>
      <c r="I1641" s="70" t="s">
        <v>179</v>
      </c>
      <c r="J1641" s="71">
        <f>IF(OR(I1641=0,I1641=""),"unrated",VLOOKUP(I1641,MappingTables!$B$19:$C$31,2,FALSE))</f>
        <v>4</v>
      </c>
      <c r="K1641" s="72">
        <v>246.5114455943198</v>
      </c>
      <c r="L1641" s="70">
        <v>1.9935097583774744</v>
      </c>
      <c r="M1641" s="71">
        <f>IF(L1641&lt;1,1,L1641)</f>
        <v>1.9935097583774744</v>
      </c>
      <c r="N1641" s="70" t="s">
        <v>141</v>
      </c>
      <c r="O1641" s="71">
        <f>INDEX(DurClassMapping,MATCH(M1641,MappingTables!$D$4:$D$8,-1),1)</f>
        <v>1</v>
      </c>
      <c r="P1641" s="73">
        <f>IF(M1641=$A$1,1,$M1641-INDEX(MappingTables!$E$4:$E$8,MATCH(O1641,MappingTables!$B$4:$B$8,0)))</f>
        <v>1.9935097583774744</v>
      </c>
      <c r="Q1641" s="71">
        <f>IF(B1641="",0,INDEX(ModelParameters!$D$6:$K$10,MATCH($O1641,ModelParameters!$B$6:$B$10,0),MATCH($J1641,ModelParameters!$D$5:$K$5,0)))</f>
        <v>0.045</v>
      </c>
      <c r="R1641" s="71">
        <f>IF(B1641="",0,INDEX(ModelParameters!$D$13:$K$17,MATCH($O1641,ModelParameters!$B$13:$B$17,0),MATCH($J1641,ModelParameters!$D$5:$K$5,0)))</f>
        <v>0</v>
      </c>
      <c r="S1641" s="160">
        <f>IF(B1641="",0,MIN(IF($N1641="Other Bond TM",ModelParameters!$N$21,1)*(P1641*Q1641+R1641),1))</f>
        <v>0.089707939126986336</v>
      </c>
      <c r="T1641" s="85">
        <f>IF(B1641="",0,$S1641*$K1641)</f>
        <v>22.114033755480648</v>
      </c>
      <c r="U1641" s="85">
        <f>IF(B1641="",0,IF(OR(H1641=MappingTables!$C$34,H1641=MappingTables!$C$35),T1641,0))</f>
        <v>0</v>
      </c>
      <c r="V1641" s="85">
        <f>IF(ISNA(IF(AND(VLOOKUP(CONCATENATE($D1641,$G1641),CSRFinput!$B:$E,4,0)=0,OR(H1641=MappingTables!$C$34,H1641=MappingTables!$C$35)),1,VLOOKUP(CONCATENATE($D1641,$G1641),CSRFinput!$B:$E,4,0))),0,IF(AND(VLOOKUP(CONCATENATE($D1641,$G1641),CSRFinput!$B:$E,4,0)=0,OR(H1641=MappingTables!$C$34,H1641=MappingTables!$C$35)),1,VLOOKUP(CONCATENATE($D1641,$G1641),CSRFinput!$B:$E,4,0)))</f>
        <v>0.054776304963434752</v>
      </c>
      <c r="W1641" s="85">
        <f>IF(B1641="",0,+$T1641*$V1641)</f>
        <v>1.2113250569618982</v>
      </c>
      <c r="X1641" s="85">
        <f>IF(B1641="",0,IF(OR(H1641=MappingTables!$C$34,H1641=MappingTables!$C$35),W1641,0))</f>
        <v>0</v>
      </c>
    </row>
    <row r="1642" spans="2:24" s="0" customFormat="0" ht="15">
      <c r="B1642" s="69" t="s">
        <v>1874</v>
      </c>
      <c r="C1642" s="70" t="s">
        <v>1875</v>
      </c>
      <c r="D1642" s="70" t="s">
        <v>1</v>
      </c>
      <c r="E1642" s="70" t="s">
        <v>1</v>
      </c>
      <c r="F1642" s="70"/>
      <c r="G1642" s="70" t="s">
        <v>61</v>
      </c>
      <c r="H1642" s="70" t="s">
        <v>178</v>
      </c>
      <c r="I1642" s="70" t="s">
        <v>179</v>
      </c>
      <c r="J1642" s="71">
        <f>IF(OR(I1642=0,I1642=""),"unrated",VLOOKUP(I1642,MappingTables!$B$19:$C$31,2,FALSE))</f>
        <v>4</v>
      </c>
      <c r="K1642" s="72">
        <v>379.24511770016344</v>
      </c>
      <c r="L1642" s="70">
        <v>2.4757390274854428</v>
      </c>
      <c r="M1642" s="71">
        <f>IF(L1642&lt;1,1,L1642)</f>
        <v>2.4757390274854428</v>
      </c>
      <c r="N1642" s="70" t="s">
        <v>141</v>
      </c>
      <c r="O1642" s="71">
        <f>INDEX(DurClassMapping,MATCH(M1642,MappingTables!$D$4:$D$8,-1),1)</f>
        <v>1</v>
      </c>
      <c r="P1642" s="73">
        <f>IF(M1642=$A$1,1,$M1642-INDEX(MappingTables!$E$4:$E$8,MATCH(O1642,MappingTables!$B$4:$B$8,0)))</f>
        <v>2.4757390274854428</v>
      </c>
      <c r="Q1642" s="71">
        <f>IF(B1642="",0,INDEX(ModelParameters!$D$6:$K$10,MATCH($O1642,ModelParameters!$B$6:$B$10,0),MATCH($J1642,ModelParameters!$D$5:$K$5,0)))</f>
        <v>0.045</v>
      </c>
      <c r="R1642" s="71">
        <f>IF(B1642="",0,INDEX(ModelParameters!$D$13:$K$17,MATCH($O1642,ModelParameters!$B$13:$B$17,0),MATCH($J1642,ModelParameters!$D$5:$K$5,0)))</f>
        <v>0</v>
      </c>
      <c r="S1642" s="160">
        <f>IF(B1642="",0,MIN(IF($N1642="Other Bond TM",ModelParameters!$N$21,1)*(P1642*Q1642+R1642),1))</f>
        <v>0.11140825623684492</v>
      </c>
      <c r="T1642" s="85">
        <f>IF(B1642="",0,$S1642*$K1642)</f>
        <v>42.251037249312208</v>
      </c>
      <c r="U1642" s="85">
        <f>IF(B1642="",0,IF(OR(H1642=MappingTables!$C$34,H1642=MappingTables!$C$35),T1642,0))</f>
        <v>0</v>
      </c>
      <c r="V1642" s="85">
        <f>IF(ISNA(IF(AND(VLOOKUP(CONCATENATE($D1642,$G1642),CSRFinput!$B:$E,4,0)=0,OR(H1642=MappingTables!$C$34,H1642=MappingTables!$C$35)),1,VLOOKUP(CONCATENATE($D1642,$G1642),CSRFinput!$B:$E,4,0))),0,IF(AND(VLOOKUP(CONCATENATE($D1642,$G1642),CSRFinput!$B:$E,4,0)=0,OR(H1642=MappingTables!$C$34,H1642=MappingTables!$C$35)),1,VLOOKUP(CONCATENATE($D1642,$G1642),CSRFinput!$B:$E,4,0)))</f>
        <v>0.054776304963434752</v>
      </c>
      <c r="W1642" s="85">
        <f>IF(B1642="",0,+$T1642*$V1642)</f>
        <v>2.3143557013897672</v>
      </c>
      <c r="X1642" s="85">
        <f>IF(B1642="",0,IF(OR(H1642=MappingTables!$C$34,H1642=MappingTables!$C$35),W1642,0))</f>
        <v>0</v>
      </c>
    </row>
    <row r="1643" spans="2:24" s="0" customFormat="0" ht="15">
      <c r="B1643" s="69">
        <v>22827428</v>
      </c>
      <c r="C1643" s="70" t="s">
        <v>1373</v>
      </c>
      <c r="D1643" s="70" t="s">
        <v>1</v>
      </c>
      <c r="E1643" s="70" t="s">
        <v>1</v>
      </c>
      <c r="F1643" s="70"/>
      <c r="G1643" s="70" t="s">
        <v>61</v>
      </c>
      <c r="H1643" s="70" t="s">
        <v>178</v>
      </c>
      <c r="I1643" s="70" t="s">
        <v>181</v>
      </c>
      <c r="J1643" s="71">
        <f>IF(OR(I1643=0,I1643=""),"unrated",VLOOKUP(I1643,MappingTables!$B$19:$C$31,2,FALSE))</f>
        <v>3</v>
      </c>
      <c r="K1643" s="72">
        <v>5009.3573662822552</v>
      </c>
      <c r="L1643" s="70">
        <v>3.2620870935908076</v>
      </c>
      <c r="M1643" s="71">
        <f>IF(L1643&lt;1,1,L1643)</f>
        <v>3.2620870935908076</v>
      </c>
      <c r="N1643" s="70" t="s">
        <v>141</v>
      </c>
      <c r="O1643" s="71">
        <f>INDEX(DurClassMapping,MATCH(M1643,MappingTables!$D$4:$D$8,-1),1)</f>
        <v>1</v>
      </c>
      <c r="P1643" s="73">
        <f>IF(M1643=$A$1,1,$M1643-INDEX(MappingTables!$E$4:$E$8,MATCH(O1643,MappingTables!$B$4:$B$8,0)))</f>
        <v>3.2620870935908076</v>
      </c>
      <c r="Q1643" s="71">
        <f>IF(B1643="",0,INDEX(ModelParameters!$D$6:$K$10,MATCH($O1643,ModelParameters!$B$6:$B$10,0),MATCH($J1643,ModelParameters!$D$5:$K$5,0)))</f>
        <v>0.025</v>
      </c>
      <c r="R1643" s="71">
        <f>IF(B1643="",0,INDEX(ModelParameters!$D$13:$K$17,MATCH($O1643,ModelParameters!$B$13:$B$17,0),MATCH($J1643,ModelParameters!$D$5:$K$5,0)))</f>
        <v>0</v>
      </c>
      <c r="S1643" s="160">
        <f>IF(B1643="",0,MIN(IF($N1643="Other Bond TM",ModelParameters!$N$21,1)*(P1643*Q1643+R1643),1))</f>
        <v>0.081552177339770208</v>
      </c>
      <c r="T1643" s="85">
        <f>IF(B1643="",0,$S1643*$K1643)</f>
        <v>408.52400029333472</v>
      </c>
      <c r="U1643" s="85">
        <f>IF(B1643="",0,IF(OR(H1643=MappingTables!$C$34,H1643=MappingTables!$C$35),T1643,0))</f>
        <v>0</v>
      </c>
      <c r="V1643" s="85">
        <f>IF(ISNA(IF(AND(VLOOKUP(CONCATENATE($D1643,$G1643),CSRFinput!$B:$E,4,0)=0,OR(H1643=MappingTables!$C$34,H1643=MappingTables!$C$35)),1,VLOOKUP(CONCATENATE($D1643,$G1643),CSRFinput!$B:$E,4,0))),0,IF(AND(VLOOKUP(CONCATENATE($D1643,$G1643),CSRFinput!$B:$E,4,0)=0,OR(H1643=MappingTables!$C$34,H1643=MappingTables!$C$35)),1,VLOOKUP(CONCATENATE($D1643,$G1643),CSRFinput!$B:$E,4,0)))</f>
        <v>0.054776304963434752</v>
      </c>
      <c r="W1643" s="85">
        <f>IF(B1643="",0,+$T1643*$V1643)</f>
        <v>22.377435224950012</v>
      </c>
      <c r="X1643" s="85">
        <f>IF(B1643="",0,IF(OR(H1643=MappingTables!$C$34,H1643=MappingTables!$C$35),W1643,0))</f>
        <v>0</v>
      </c>
    </row>
    <row r="1644" spans="2:24" s="0" customFormat="0" ht="15">
      <c r="B1644" s="69">
        <v>16642340</v>
      </c>
      <c r="C1644" s="70" t="s">
        <v>1876</v>
      </c>
      <c r="D1644" s="70" t="s">
        <v>1</v>
      </c>
      <c r="E1644" s="70" t="s">
        <v>1</v>
      </c>
      <c r="F1644" s="70"/>
      <c r="G1644" s="70" t="s">
        <v>61</v>
      </c>
      <c r="H1644" s="70" t="s">
        <v>178</v>
      </c>
      <c r="I1644" s="70" t="s">
        <v>181</v>
      </c>
      <c r="J1644" s="71">
        <f>IF(OR(I1644=0,I1644=""),"unrated",VLOOKUP(I1644,MappingTables!$B$19:$C$31,2,FALSE))</f>
        <v>3</v>
      </c>
      <c r="K1644" s="72">
        <v>7259.7960008716</v>
      </c>
      <c r="L1644" s="70">
        <v>3.9658747357000496</v>
      </c>
      <c r="M1644" s="71">
        <f>IF(L1644&lt;1,1,L1644)</f>
        <v>3.9658747357000496</v>
      </c>
      <c r="N1644" s="70" t="s">
        <v>141</v>
      </c>
      <c r="O1644" s="71">
        <f>INDEX(DurClassMapping,MATCH(M1644,MappingTables!$D$4:$D$8,-1),1)</f>
        <v>1</v>
      </c>
      <c r="P1644" s="73">
        <f>IF(M1644=$A$1,1,$M1644-INDEX(MappingTables!$E$4:$E$8,MATCH(O1644,MappingTables!$B$4:$B$8,0)))</f>
        <v>3.9658747357000496</v>
      </c>
      <c r="Q1644" s="71">
        <f>IF(B1644="",0,INDEX(ModelParameters!$D$6:$K$10,MATCH($O1644,ModelParameters!$B$6:$B$10,0),MATCH($J1644,ModelParameters!$D$5:$K$5,0)))</f>
        <v>0.025</v>
      </c>
      <c r="R1644" s="71">
        <f>IF(B1644="",0,INDEX(ModelParameters!$D$13:$K$17,MATCH($O1644,ModelParameters!$B$13:$B$17,0),MATCH($J1644,ModelParameters!$D$5:$K$5,0)))</f>
        <v>0</v>
      </c>
      <c r="S1644" s="160">
        <f>IF(B1644="",0,MIN(IF($N1644="Other Bond TM",ModelParameters!$N$21,1)*(P1644*Q1644+R1644),1))</f>
        <v>0.099146868392501248</v>
      </c>
      <c r="T1644" s="85">
        <f>IF(B1644="",0,$S1644*$K1644)</f>
        <v>719.78603865482344</v>
      </c>
      <c r="U1644" s="85">
        <f>IF(B1644="",0,IF(OR(H1644=MappingTables!$C$34,H1644=MappingTables!$C$35),T1644,0))</f>
        <v>0</v>
      </c>
      <c r="V1644" s="85">
        <f>IF(ISNA(IF(AND(VLOOKUP(CONCATENATE($D1644,$G1644),CSRFinput!$B:$E,4,0)=0,OR(H1644=MappingTables!$C$34,H1644=MappingTables!$C$35)),1,VLOOKUP(CONCATENATE($D1644,$G1644),CSRFinput!$B:$E,4,0))),0,IF(AND(VLOOKUP(CONCATENATE($D1644,$G1644),CSRFinput!$B:$E,4,0)=0,OR(H1644=MappingTables!$C$34,H1644=MappingTables!$C$35)),1,VLOOKUP(CONCATENATE($D1644,$G1644),CSRFinput!$B:$E,4,0)))</f>
        <v>0.054776304963434752</v>
      </c>
      <c r="W1644" s="85">
        <f>IF(B1644="",0,+$T1644*$V1644)</f>
        <v>39.427219561779248</v>
      </c>
      <c r="X1644" s="85">
        <f>IF(B1644="",0,IF(OR(H1644=MappingTables!$C$34,H1644=MappingTables!$C$35),W1644,0))</f>
        <v>0</v>
      </c>
    </row>
    <row r="1645" spans="2:24" s="0" customFormat="0" ht="15">
      <c r="B1645" s="69">
        <v>19714559</v>
      </c>
      <c r="C1645" s="70" t="s">
        <v>1877</v>
      </c>
      <c r="D1645" s="70" t="s">
        <v>1</v>
      </c>
      <c r="E1645" s="70" t="s">
        <v>1</v>
      </c>
      <c r="F1645" s="70"/>
      <c r="G1645" s="70" t="s">
        <v>61</v>
      </c>
      <c r="H1645" s="70" t="s">
        <v>178</v>
      </c>
      <c r="I1645" s="70" t="s">
        <v>188</v>
      </c>
      <c r="J1645" s="71">
        <f>IF(OR(I1645=0,I1645=""),"unrated",VLOOKUP(I1645,MappingTables!$B$19:$C$31,2,FALSE))</f>
        <v>2</v>
      </c>
      <c r="K1645" s="72">
        <v>980.22532516666416</v>
      </c>
      <c r="L1645" s="70">
        <v>1.2943798517595874</v>
      </c>
      <c r="M1645" s="71">
        <f>IF(L1645&lt;1,1,L1645)</f>
        <v>1.2943798517595874</v>
      </c>
      <c r="N1645" s="70" t="s">
        <v>141</v>
      </c>
      <c r="O1645" s="71">
        <f>INDEX(DurClassMapping,MATCH(M1645,MappingTables!$D$4:$D$8,-1),1)</f>
        <v>1</v>
      </c>
      <c r="P1645" s="73">
        <f>IF(M1645=$A$1,1,$M1645-INDEX(MappingTables!$E$4:$E$8,MATCH(O1645,MappingTables!$B$4:$B$8,0)))</f>
        <v>1.2943798517595874</v>
      </c>
      <c r="Q1645" s="71">
        <f>IF(B1645="",0,INDEX(ModelParameters!$D$6:$K$10,MATCH($O1645,ModelParameters!$B$6:$B$10,0),MATCH($J1645,ModelParameters!$D$5:$K$5,0)))</f>
        <v>0.013999999999999998</v>
      </c>
      <c r="R1645" s="71">
        <f>IF(B1645="",0,INDEX(ModelParameters!$D$13:$K$17,MATCH($O1645,ModelParameters!$B$13:$B$17,0),MATCH($J1645,ModelParameters!$D$5:$K$5,0)))</f>
        <v>0</v>
      </c>
      <c r="S1645" s="160">
        <f>IF(B1645="",0,MIN(IF($N1645="Other Bond TM",ModelParameters!$N$21,1)*(P1645*Q1645+R1645),1))</f>
        <v>0.01812131792463422</v>
      </c>
      <c r="T1645" s="85">
        <f>IF(B1645="",0,$S1645*$K1645)</f>
        <v>17.762974755123078</v>
      </c>
      <c r="U1645" s="85">
        <f>IF(B1645="",0,IF(OR(H1645=MappingTables!$C$34,H1645=MappingTables!$C$35),T1645,0))</f>
        <v>0</v>
      </c>
      <c r="V1645" s="85">
        <f>IF(ISNA(IF(AND(VLOOKUP(CONCATENATE($D1645,$G1645),CSRFinput!$B:$E,4,0)=0,OR(H1645=MappingTables!$C$34,H1645=MappingTables!$C$35)),1,VLOOKUP(CONCATENATE($D1645,$G1645),CSRFinput!$B:$E,4,0))),0,IF(AND(VLOOKUP(CONCATENATE($D1645,$G1645),CSRFinput!$B:$E,4,0)=0,OR(H1645=MappingTables!$C$34,H1645=MappingTables!$C$35)),1,VLOOKUP(CONCATENATE($D1645,$G1645),CSRFinput!$B:$E,4,0)))</f>
        <v>0.054776304963434752</v>
      </c>
      <c r="W1645" s="85">
        <f>IF(B1645="",0,+$T1645*$V1645)</f>
        <v>0.97299012224441456</v>
      </c>
      <c r="X1645" s="85">
        <f>IF(B1645="",0,IF(OR(H1645=MappingTables!$C$34,H1645=MappingTables!$C$35),W1645,0))</f>
        <v>0</v>
      </c>
    </row>
    <row r="1646" spans="2:24" s="0" customFormat="0" ht="15">
      <c r="B1646" s="69">
        <v>11821209</v>
      </c>
      <c r="C1646" s="70" t="s">
        <v>1878</v>
      </c>
      <c r="D1646" s="70" t="s">
        <v>1</v>
      </c>
      <c r="E1646" s="70" t="s">
        <v>1</v>
      </c>
      <c r="F1646" s="70"/>
      <c r="G1646" s="70" t="s">
        <v>61</v>
      </c>
      <c r="H1646" s="70" t="s">
        <v>178</v>
      </c>
      <c r="I1646" s="70" t="s">
        <v>181</v>
      </c>
      <c r="J1646" s="71">
        <f>IF(OR(I1646=0,I1646=""),"unrated",VLOOKUP(I1646,MappingTables!$B$19:$C$31,2,FALSE))</f>
        <v>3</v>
      </c>
      <c r="K1646" s="72">
        <v>1435.3879169250214</v>
      </c>
      <c r="L1646" s="70">
        <v>0.2870284549833188</v>
      </c>
      <c r="M1646" s="71">
        <f>IF(L1646&lt;1,1,L1646)</f>
        <v>1</v>
      </c>
      <c r="N1646" s="70" t="s">
        <v>141</v>
      </c>
      <c r="O1646" s="71">
        <f>INDEX(DurClassMapping,MATCH(M1646,MappingTables!$D$4:$D$8,-1),1)</f>
        <v>1</v>
      </c>
      <c r="P1646" s="73">
        <f>IF(M1646=$A$1,1,$M1646-INDEX(MappingTables!$E$4:$E$8,MATCH(O1646,MappingTables!$B$4:$B$8,0)))</f>
        <v>1</v>
      </c>
      <c r="Q1646" s="71">
        <f>IF(B1646="",0,INDEX(ModelParameters!$D$6:$K$10,MATCH($O1646,ModelParameters!$B$6:$B$10,0),MATCH($J1646,ModelParameters!$D$5:$K$5,0)))</f>
        <v>0.025</v>
      </c>
      <c r="R1646" s="71">
        <f>IF(B1646="",0,INDEX(ModelParameters!$D$13:$K$17,MATCH($O1646,ModelParameters!$B$13:$B$17,0),MATCH($J1646,ModelParameters!$D$5:$K$5,0)))</f>
        <v>0</v>
      </c>
      <c r="S1646" s="160">
        <f>IF(B1646="",0,MIN(IF($N1646="Other Bond TM",ModelParameters!$N$21,1)*(P1646*Q1646+R1646),1))</f>
        <v>0.025</v>
      </c>
      <c r="T1646" s="85">
        <f>IF(B1646="",0,$S1646*$K1646)</f>
        <v>35.884697923125536</v>
      </c>
      <c r="U1646" s="85">
        <f>IF(B1646="",0,IF(OR(H1646=MappingTables!$C$34,H1646=MappingTables!$C$35),T1646,0))</f>
        <v>0</v>
      </c>
      <c r="V1646" s="85">
        <f>IF(ISNA(IF(AND(VLOOKUP(CONCATENATE($D1646,$G1646),CSRFinput!$B:$E,4,0)=0,OR(H1646=MappingTables!$C$34,H1646=MappingTables!$C$35)),1,VLOOKUP(CONCATENATE($D1646,$G1646),CSRFinput!$B:$E,4,0))),0,IF(AND(VLOOKUP(CONCATENATE($D1646,$G1646),CSRFinput!$B:$E,4,0)=0,OR(H1646=MappingTables!$C$34,H1646=MappingTables!$C$35)),1,VLOOKUP(CONCATENATE($D1646,$G1646),CSRFinput!$B:$E,4,0)))</f>
        <v>0.054776304963434752</v>
      </c>
      <c r="W1646" s="85">
        <f>IF(B1646="",0,+$T1646*$V1646)</f>
        <v>1.965631156957858</v>
      </c>
      <c r="X1646" s="85">
        <f>IF(B1646="",0,IF(OR(H1646=MappingTables!$C$34,H1646=MappingTables!$C$35),W1646,0))</f>
        <v>0</v>
      </c>
    </row>
    <row r="1647" spans="2:24" s="0" customFormat="0" ht="15">
      <c r="B1647" s="69" t="s">
        <v>498</v>
      </c>
      <c r="C1647" s="70" t="s">
        <v>499</v>
      </c>
      <c r="D1647" s="70" t="s">
        <v>1</v>
      </c>
      <c r="E1647" s="70" t="s">
        <v>1</v>
      </c>
      <c r="F1647" s="70"/>
      <c r="G1647" s="70" t="s">
        <v>61</v>
      </c>
      <c r="H1647" s="70" t="s">
        <v>178</v>
      </c>
      <c r="I1647" s="70" t="s">
        <v>198</v>
      </c>
      <c r="J1647" s="71" t="str">
        <f>IF(OR(I1647=0,I1647=""),"unrated",VLOOKUP(I1647,MappingTables!$B$19:$C$31,2,FALSE))</f>
        <v>unrated</v>
      </c>
      <c r="K1647" s="72">
        <v>0.066062524019241328</v>
      </c>
      <c r="L1647" s="70">
        <v>0.016437109147127662</v>
      </c>
      <c r="M1647" s="71">
        <f>IF(L1647&lt;1,1,L1647)</f>
        <v>1</v>
      </c>
      <c r="N1647" s="70" t="s">
        <v>141</v>
      </c>
      <c r="O1647" s="71">
        <f>INDEX(DurClassMapping,MATCH(M1647,MappingTables!$D$4:$D$8,-1),1)</f>
        <v>1</v>
      </c>
      <c r="P1647" s="73">
        <f>IF(M1647=$A$1,1,$M1647-INDEX(MappingTables!$E$4:$E$8,MATCH(O1647,MappingTables!$B$4:$B$8,0)))</f>
        <v>1</v>
      </c>
      <c r="Q1647" s="71">
        <f>IF(B1647="",0,INDEX(ModelParameters!$D$6:$K$10,MATCH($O1647,ModelParameters!$B$6:$B$10,0),MATCH($J1647,ModelParameters!$D$5:$K$5,0)))</f>
        <v>0.03</v>
      </c>
      <c r="R1647" s="71">
        <f>IF(B1647="",0,INDEX(ModelParameters!$D$13:$K$17,MATCH($O1647,ModelParameters!$B$13:$B$17,0),MATCH($J1647,ModelParameters!$D$5:$K$5,0)))</f>
        <v>0</v>
      </c>
      <c r="S1647" s="160">
        <f>IF(B1647="",0,MIN(IF($N1647="Other Bond TM",ModelParameters!$N$21,1)*(P1647*Q1647+R1647),1))</f>
        <v>0.03</v>
      </c>
      <c r="T1647" s="85">
        <f>IF(B1647="",0,$S1647*$K1647)</f>
        <v>0.00198187572057724</v>
      </c>
      <c r="U1647" s="85">
        <f>IF(B1647="",0,IF(OR(H1647=MappingTables!$C$34,H1647=MappingTables!$C$35),T1647,0))</f>
        <v>0</v>
      </c>
      <c r="V1647" s="85">
        <f>IF(ISNA(IF(AND(VLOOKUP(CONCATENATE($D1647,$G1647),CSRFinput!$B:$E,4,0)=0,OR(H1647=MappingTables!$C$34,H1647=MappingTables!$C$35)),1,VLOOKUP(CONCATENATE($D1647,$G1647),CSRFinput!$B:$E,4,0))),0,IF(AND(VLOOKUP(CONCATENATE($D1647,$G1647),CSRFinput!$B:$E,4,0)=0,OR(H1647=MappingTables!$C$34,H1647=MappingTables!$C$35)),1,VLOOKUP(CONCATENATE($D1647,$G1647),CSRFinput!$B:$E,4,0)))</f>
        <v>0.054776304963434752</v>
      </c>
      <c r="W1647" s="85">
        <f>IF(B1647="",0,+$T1647*$V1647)</f>
        <v>0.0001085598288699659</v>
      </c>
      <c r="X1647" s="85">
        <f>IF(B1647="",0,IF(OR(H1647=MappingTables!$C$34,H1647=MappingTables!$C$35),W1647,0))</f>
        <v>0</v>
      </c>
    </row>
    <row r="1648" spans="2:24" s="0" customFormat="0" ht="15">
      <c r="B1648" s="69">
        <v>13488998</v>
      </c>
      <c r="C1648" s="70" t="s">
        <v>1677</v>
      </c>
      <c r="D1648" s="70" t="s">
        <v>1</v>
      </c>
      <c r="E1648" s="70" t="s">
        <v>1</v>
      </c>
      <c r="F1648" s="70"/>
      <c r="G1648" s="70" t="s">
        <v>61</v>
      </c>
      <c r="H1648" s="70" t="s">
        <v>178</v>
      </c>
      <c r="I1648" s="70" t="s">
        <v>184</v>
      </c>
      <c r="J1648" s="71">
        <f>IF(OR(I1648=0,I1648=""),"unrated",VLOOKUP(I1648,MappingTables!$B$19:$C$31,2,FALSE))</f>
        <v>5</v>
      </c>
      <c r="K1648" s="72">
        <v>66.360648636786664</v>
      </c>
      <c r="L1648" s="70">
        <v>1.1405654968342848</v>
      </c>
      <c r="M1648" s="71">
        <f>IF(L1648&lt;1,1,L1648)</f>
        <v>1.1405654968342848</v>
      </c>
      <c r="N1648" s="70" t="s">
        <v>141</v>
      </c>
      <c r="O1648" s="71">
        <f>INDEX(DurClassMapping,MATCH(M1648,MappingTables!$D$4:$D$8,-1),1)</f>
        <v>1</v>
      </c>
      <c r="P1648" s="73">
        <f>IF(M1648=$A$1,1,$M1648-INDEX(MappingTables!$E$4:$E$8,MATCH(O1648,MappingTables!$B$4:$B$8,0)))</f>
        <v>1.1405654968342848</v>
      </c>
      <c r="Q1648" s="71">
        <f>IF(B1648="",0,INDEX(ModelParameters!$D$6:$K$10,MATCH($O1648,ModelParameters!$B$6:$B$10,0),MATCH($J1648,ModelParameters!$D$5:$K$5,0)))</f>
        <v>0.075</v>
      </c>
      <c r="R1648" s="71">
        <f>IF(B1648="",0,INDEX(ModelParameters!$D$13:$K$17,MATCH($O1648,ModelParameters!$B$13:$B$17,0),MATCH($J1648,ModelParameters!$D$5:$K$5,0)))</f>
        <v>0</v>
      </c>
      <c r="S1648" s="160">
        <f>IF(B1648="",0,MIN(IF($N1648="Other Bond TM",ModelParameters!$N$21,1)*(P1648*Q1648+R1648),1))</f>
        <v>0.08554241226257136</v>
      </c>
      <c r="T1648" s="85">
        <f>IF(B1648="",0,$S1648*$K1648)</f>
        <v>5.6766499636996496</v>
      </c>
      <c r="U1648" s="85">
        <f>IF(B1648="",0,IF(OR(H1648=MappingTables!$C$34,H1648=MappingTables!$C$35),T1648,0))</f>
        <v>0</v>
      </c>
      <c r="V1648" s="85">
        <f>IF(ISNA(IF(AND(VLOOKUP(CONCATENATE($D1648,$G1648),CSRFinput!$B:$E,4,0)=0,OR(H1648=MappingTables!$C$34,H1648=MappingTables!$C$35)),1,VLOOKUP(CONCATENATE($D1648,$G1648),CSRFinput!$B:$E,4,0))),0,IF(AND(VLOOKUP(CONCATENATE($D1648,$G1648),CSRFinput!$B:$E,4,0)=0,OR(H1648=MappingTables!$C$34,H1648=MappingTables!$C$35)),1,VLOOKUP(CONCATENATE($D1648,$G1648),CSRFinput!$B:$E,4,0)))</f>
        <v>0.054776304963434752</v>
      </c>
      <c r="W1648" s="85">
        <f>IF(B1648="",0,+$T1648*$V1648)</f>
        <v>0.3109459095822828</v>
      </c>
      <c r="X1648" s="85">
        <f>IF(B1648="",0,IF(OR(H1648=MappingTables!$C$34,H1648=MappingTables!$C$35),W1648,0))</f>
        <v>0</v>
      </c>
    </row>
    <row r="1649" spans="2:24" s="0" customFormat="0" ht="15">
      <c r="B1649" s="69">
        <v>19005970</v>
      </c>
      <c r="C1649" s="70" t="s">
        <v>1879</v>
      </c>
      <c r="D1649" s="70" t="s">
        <v>1</v>
      </c>
      <c r="E1649" s="70" t="s">
        <v>1</v>
      </c>
      <c r="F1649" s="70"/>
      <c r="G1649" s="70" t="s">
        <v>61</v>
      </c>
      <c r="H1649" s="70" t="s">
        <v>178</v>
      </c>
      <c r="I1649" s="70" t="s">
        <v>179</v>
      </c>
      <c r="J1649" s="71">
        <f>IF(OR(I1649=0,I1649=""),"unrated",VLOOKUP(I1649,MappingTables!$B$19:$C$31,2,FALSE))</f>
        <v>4</v>
      </c>
      <c r="K1649" s="72">
        <v>23193.358777941832</v>
      </c>
      <c r="L1649" s="70">
        <v>2.8091676634817308</v>
      </c>
      <c r="M1649" s="71">
        <f>IF(L1649&lt;1,1,L1649)</f>
        <v>2.8091676634817308</v>
      </c>
      <c r="N1649" s="70" t="s">
        <v>141</v>
      </c>
      <c r="O1649" s="71">
        <f>INDEX(DurClassMapping,MATCH(M1649,MappingTables!$D$4:$D$8,-1),1)</f>
        <v>1</v>
      </c>
      <c r="P1649" s="73">
        <f>IF(M1649=$A$1,1,$M1649-INDEX(MappingTables!$E$4:$E$8,MATCH(O1649,MappingTables!$B$4:$B$8,0)))</f>
        <v>2.8091676634817308</v>
      </c>
      <c r="Q1649" s="71">
        <f>IF(B1649="",0,INDEX(ModelParameters!$D$6:$K$10,MATCH($O1649,ModelParameters!$B$6:$B$10,0),MATCH($J1649,ModelParameters!$D$5:$K$5,0)))</f>
        <v>0.045</v>
      </c>
      <c r="R1649" s="71">
        <f>IF(B1649="",0,INDEX(ModelParameters!$D$13:$K$17,MATCH($O1649,ModelParameters!$B$13:$B$17,0),MATCH($J1649,ModelParameters!$D$5:$K$5,0)))</f>
        <v>0</v>
      </c>
      <c r="S1649" s="160">
        <f>IF(B1649="",0,MIN(IF($N1649="Other Bond TM",ModelParameters!$N$21,1)*(P1649*Q1649+R1649),1))</f>
        <v>0.12641254485667788</v>
      </c>
      <c r="T1649" s="85">
        <f>IF(B1649="",0,$S1649*$K1649)</f>
        <v>2931.9315068935956</v>
      </c>
      <c r="U1649" s="85">
        <f>IF(B1649="",0,IF(OR(H1649=MappingTables!$C$34,H1649=MappingTables!$C$35),T1649,0))</f>
        <v>0</v>
      </c>
      <c r="V1649" s="85">
        <f>IF(ISNA(IF(AND(VLOOKUP(CONCATENATE($D1649,$G1649),CSRFinput!$B:$E,4,0)=0,OR(H1649=MappingTables!$C$34,H1649=MappingTables!$C$35)),1,VLOOKUP(CONCATENATE($D1649,$G1649),CSRFinput!$B:$E,4,0))),0,IF(AND(VLOOKUP(CONCATENATE($D1649,$G1649),CSRFinput!$B:$E,4,0)=0,OR(H1649=MappingTables!$C$34,H1649=MappingTables!$C$35)),1,VLOOKUP(CONCATENATE($D1649,$G1649),CSRFinput!$B:$E,4,0)))</f>
        <v>0.054776304963434752</v>
      </c>
      <c r="W1649" s="85">
        <f>IF(B1649="",0,+$T1649*$V1649)</f>
        <v>160.6003743535064</v>
      </c>
      <c r="X1649" s="85">
        <f>IF(B1649="",0,IF(OR(H1649=MappingTables!$C$34,H1649=MappingTables!$C$35),W1649,0))</f>
        <v>0</v>
      </c>
    </row>
    <row r="1650" spans="2:24" s="0" customFormat="0" ht="15">
      <c r="B1650" s="69">
        <v>23415378</v>
      </c>
      <c r="C1650" s="70" t="s">
        <v>1880</v>
      </c>
      <c r="D1650" s="70" t="s">
        <v>1</v>
      </c>
      <c r="E1650" s="70" t="s">
        <v>1</v>
      </c>
      <c r="F1650" s="70"/>
      <c r="G1650" s="70" t="s">
        <v>61</v>
      </c>
      <c r="H1650" s="70" t="s">
        <v>178</v>
      </c>
      <c r="I1650" s="70" t="s">
        <v>181</v>
      </c>
      <c r="J1650" s="71">
        <f>IF(OR(I1650=0,I1650=""),"unrated",VLOOKUP(I1650,MappingTables!$B$19:$C$31,2,FALSE))</f>
        <v>3</v>
      </c>
      <c r="K1650" s="72">
        <v>2204.0106739640224</v>
      </c>
      <c r="L1650" s="70">
        <v>4.1005726974652464</v>
      </c>
      <c r="M1650" s="71">
        <f>IF(L1650&lt;1,1,L1650)</f>
        <v>4.1005726974652464</v>
      </c>
      <c r="N1650" s="70" t="s">
        <v>141</v>
      </c>
      <c r="O1650" s="71">
        <f>INDEX(DurClassMapping,MATCH(M1650,MappingTables!$D$4:$D$8,-1),1)</f>
        <v>1</v>
      </c>
      <c r="P1650" s="73">
        <f>IF(M1650=$A$1,1,$M1650-INDEX(MappingTables!$E$4:$E$8,MATCH(O1650,MappingTables!$B$4:$B$8,0)))</f>
        <v>4.1005726974652464</v>
      </c>
      <c r="Q1650" s="71">
        <f>IF(B1650="",0,INDEX(ModelParameters!$D$6:$K$10,MATCH($O1650,ModelParameters!$B$6:$B$10,0),MATCH($J1650,ModelParameters!$D$5:$K$5,0)))</f>
        <v>0.025</v>
      </c>
      <c r="R1650" s="71">
        <f>IF(B1650="",0,INDEX(ModelParameters!$D$13:$K$17,MATCH($O1650,ModelParameters!$B$13:$B$17,0),MATCH($J1650,ModelParameters!$D$5:$K$5,0)))</f>
        <v>0</v>
      </c>
      <c r="S1650" s="160">
        <f>IF(B1650="",0,MIN(IF($N1650="Other Bond TM",ModelParameters!$N$21,1)*(P1650*Q1650+R1650),1))</f>
        <v>0.10251431743663116</v>
      </c>
      <c r="T1650" s="85">
        <f>IF(B1650="",0,$S1650*$K1650)</f>
        <v>225.94264986447116</v>
      </c>
      <c r="U1650" s="85">
        <f>IF(B1650="",0,IF(OR(H1650=MappingTables!$C$34,H1650=MappingTables!$C$35),T1650,0))</f>
        <v>0</v>
      </c>
      <c r="V1650" s="85">
        <f>IF(ISNA(IF(AND(VLOOKUP(CONCATENATE($D1650,$G1650),CSRFinput!$B:$E,4,0)=0,OR(H1650=MappingTables!$C$34,H1650=MappingTables!$C$35)),1,VLOOKUP(CONCATENATE($D1650,$G1650),CSRFinput!$B:$E,4,0))),0,IF(AND(VLOOKUP(CONCATENATE($D1650,$G1650),CSRFinput!$B:$E,4,0)=0,OR(H1650=MappingTables!$C$34,H1650=MappingTables!$C$35)),1,VLOOKUP(CONCATENATE($D1650,$G1650),CSRFinput!$B:$E,4,0)))</f>
        <v>0.054776304963434752</v>
      </c>
      <c r="W1650" s="85">
        <f>IF(B1650="",0,+$T1650*$V1650)</f>
        <v>12.376303493222832</v>
      </c>
      <c r="X1650" s="85">
        <f>IF(B1650="",0,IF(OR(H1650=MappingTables!$C$34,H1650=MappingTables!$C$35),W1650,0))</f>
        <v>0</v>
      </c>
    </row>
    <row r="1651" spans="2:24" s="0" customFormat="0" ht="15">
      <c r="B1651" s="69" t="s">
        <v>1344</v>
      </c>
      <c r="C1651" s="70" t="s">
        <v>1345</v>
      </c>
      <c r="D1651" s="70" t="s">
        <v>1</v>
      </c>
      <c r="E1651" s="70" t="s">
        <v>1</v>
      </c>
      <c r="F1651" s="70"/>
      <c r="G1651" s="70" t="s">
        <v>61</v>
      </c>
      <c r="H1651" s="70" t="s">
        <v>178</v>
      </c>
      <c r="I1651" s="70" t="s">
        <v>184</v>
      </c>
      <c r="J1651" s="71">
        <f>IF(OR(I1651=0,I1651=""),"unrated",VLOOKUP(I1651,MappingTables!$B$19:$C$31,2,FALSE))</f>
        <v>5</v>
      </c>
      <c r="K1651" s="72">
        <v>555.9712181682164</v>
      </c>
      <c r="L1651" s="70">
        <v>2.2570898585361568</v>
      </c>
      <c r="M1651" s="71">
        <f>IF(L1651&lt;1,1,L1651)</f>
        <v>2.2570898585361568</v>
      </c>
      <c r="N1651" s="70" t="s">
        <v>141</v>
      </c>
      <c r="O1651" s="71">
        <f>INDEX(DurClassMapping,MATCH(M1651,MappingTables!$D$4:$D$8,-1),1)</f>
        <v>1</v>
      </c>
      <c r="P1651" s="73">
        <f>IF(M1651=$A$1,1,$M1651-INDEX(MappingTables!$E$4:$E$8,MATCH(O1651,MappingTables!$B$4:$B$8,0)))</f>
        <v>2.2570898585361568</v>
      </c>
      <c r="Q1651" s="71">
        <f>IF(B1651="",0,INDEX(ModelParameters!$D$6:$K$10,MATCH($O1651,ModelParameters!$B$6:$B$10,0),MATCH($J1651,ModelParameters!$D$5:$K$5,0)))</f>
        <v>0.075</v>
      </c>
      <c r="R1651" s="71">
        <f>IF(B1651="",0,INDEX(ModelParameters!$D$13:$K$17,MATCH($O1651,ModelParameters!$B$13:$B$17,0),MATCH($J1651,ModelParameters!$D$5:$K$5,0)))</f>
        <v>0</v>
      </c>
      <c r="S1651" s="160">
        <f>IF(B1651="",0,MIN(IF($N1651="Other Bond TM",ModelParameters!$N$21,1)*(P1651*Q1651+R1651),1))</f>
        <v>0.16928173939021176</v>
      </c>
      <c r="T1651" s="85">
        <f>IF(B1651="",0,$S1651*$K1651)</f>
        <v>94.115774862410576</v>
      </c>
      <c r="U1651" s="85">
        <f>IF(B1651="",0,IF(OR(H1651=MappingTables!$C$34,H1651=MappingTables!$C$35),T1651,0))</f>
        <v>0</v>
      </c>
      <c r="V1651" s="85">
        <f>IF(ISNA(IF(AND(VLOOKUP(CONCATENATE($D1651,$G1651),CSRFinput!$B:$E,4,0)=0,OR(H1651=MappingTables!$C$34,H1651=MappingTables!$C$35)),1,VLOOKUP(CONCATENATE($D1651,$G1651),CSRFinput!$B:$E,4,0))),0,IF(AND(VLOOKUP(CONCATENATE($D1651,$G1651),CSRFinput!$B:$E,4,0)=0,OR(H1651=MappingTables!$C$34,H1651=MappingTables!$C$35)),1,VLOOKUP(CONCATENATE($D1651,$G1651),CSRFinput!$B:$E,4,0)))</f>
        <v>0.054776304963434752</v>
      </c>
      <c r="W1651" s="85">
        <f>IF(B1651="",0,+$T1651*$V1651)</f>
        <v>5.1553143857333688</v>
      </c>
      <c r="X1651" s="85">
        <f>IF(B1651="",0,IF(OR(H1651=MappingTables!$C$34,H1651=MappingTables!$C$35),W1651,0))</f>
        <v>0</v>
      </c>
    </row>
    <row r="1652" spans="2:24" s="0" customFormat="0" ht="15">
      <c r="B1652" s="69">
        <v>21565411</v>
      </c>
      <c r="C1652" s="70" t="s">
        <v>1881</v>
      </c>
      <c r="D1652" s="70" t="s">
        <v>1</v>
      </c>
      <c r="E1652" s="70" t="s">
        <v>1</v>
      </c>
      <c r="F1652" s="70"/>
      <c r="G1652" s="70" t="s">
        <v>61</v>
      </c>
      <c r="H1652" s="70" t="s">
        <v>178</v>
      </c>
      <c r="I1652" s="70" t="s">
        <v>198</v>
      </c>
      <c r="J1652" s="71" t="str">
        <f>IF(OR(I1652=0,I1652=""),"unrated",VLOOKUP(I1652,MappingTables!$B$19:$C$31,2,FALSE))</f>
        <v>unrated</v>
      </c>
      <c r="K1652" s="72">
        <v>248.47275892232756</v>
      </c>
      <c r="L1652" s="70">
        <v>1.7250473117842716</v>
      </c>
      <c r="M1652" s="71">
        <f>IF(L1652&lt;1,1,L1652)</f>
        <v>1.7250473117842716</v>
      </c>
      <c r="N1652" s="70" t="s">
        <v>141</v>
      </c>
      <c r="O1652" s="71">
        <f>INDEX(DurClassMapping,MATCH(M1652,MappingTables!$D$4:$D$8,-1),1)</f>
        <v>1</v>
      </c>
      <c r="P1652" s="73">
        <f>IF(M1652=$A$1,1,$M1652-INDEX(MappingTables!$E$4:$E$8,MATCH(O1652,MappingTables!$B$4:$B$8,0)))</f>
        <v>1.7250473117842716</v>
      </c>
      <c r="Q1652" s="71">
        <f>IF(B1652="",0,INDEX(ModelParameters!$D$6:$K$10,MATCH($O1652,ModelParameters!$B$6:$B$10,0),MATCH($J1652,ModelParameters!$D$5:$K$5,0)))</f>
        <v>0.03</v>
      </c>
      <c r="R1652" s="71">
        <f>IF(B1652="",0,INDEX(ModelParameters!$D$13:$K$17,MATCH($O1652,ModelParameters!$B$13:$B$17,0),MATCH($J1652,ModelParameters!$D$5:$K$5,0)))</f>
        <v>0</v>
      </c>
      <c r="S1652" s="160">
        <f>IF(B1652="",0,MIN(IF($N1652="Other Bond TM",ModelParameters!$N$21,1)*(P1652*Q1652+R1652),1))</f>
        <v>0.051751419353528144</v>
      </c>
      <c r="T1652" s="85">
        <f>IF(B1652="",0,$S1652*$K1652)</f>
        <v>12.858817944917476</v>
      </c>
      <c r="U1652" s="85">
        <f>IF(B1652="",0,IF(OR(H1652=MappingTables!$C$34,H1652=MappingTables!$C$35),T1652,0))</f>
        <v>0</v>
      </c>
      <c r="V1652" s="85">
        <f>IF(ISNA(IF(AND(VLOOKUP(CONCATENATE($D1652,$G1652),CSRFinput!$B:$E,4,0)=0,OR(H1652=MappingTables!$C$34,H1652=MappingTables!$C$35)),1,VLOOKUP(CONCATENATE($D1652,$G1652),CSRFinput!$B:$E,4,0))),0,IF(AND(VLOOKUP(CONCATENATE($D1652,$G1652),CSRFinput!$B:$E,4,0)=0,OR(H1652=MappingTables!$C$34,H1652=MappingTables!$C$35)),1,VLOOKUP(CONCATENATE($D1652,$G1652),CSRFinput!$B:$E,4,0)))</f>
        <v>0.054776304963434752</v>
      </c>
      <c r="W1652" s="85">
        <f>IF(B1652="",0,+$T1652*$V1652)</f>
        <v>0.70435853322008704</v>
      </c>
      <c r="X1652" s="85">
        <f>IF(B1652="",0,IF(OR(H1652=MappingTables!$C$34,H1652=MappingTables!$C$35),W1652,0))</f>
        <v>0</v>
      </c>
    </row>
    <row r="1653" spans="2:24" s="0" customFormat="0" ht="15">
      <c r="B1653" s="69" t="s">
        <v>207</v>
      </c>
      <c r="C1653" s="70" t="s">
        <v>208</v>
      </c>
      <c r="D1653" s="70" t="s">
        <v>1</v>
      </c>
      <c r="E1653" s="70" t="s">
        <v>1</v>
      </c>
      <c r="F1653" s="70"/>
      <c r="G1653" s="70" t="s">
        <v>61</v>
      </c>
      <c r="H1653" s="70" t="s">
        <v>178</v>
      </c>
      <c r="I1653" s="70" t="s">
        <v>181</v>
      </c>
      <c r="J1653" s="71">
        <f>IF(OR(I1653=0,I1653=""),"unrated",VLOOKUP(I1653,MappingTables!$B$19:$C$31,2,FALSE))</f>
        <v>3</v>
      </c>
      <c r="K1653" s="72">
        <v>13157.799969659664</v>
      </c>
      <c r="L1653" s="70">
        <v>6.0802272108124352</v>
      </c>
      <c r="M1653" s="71">
        <f>IF(L1653&lt;1,1,L1653)</f>
        <v>6.0802272108124352</v>
      </c>
      <c r="N1653" s="70" t="s">
        <v>141</v>
      </c>
      <c r="O1653" s="71">
        <f>INDEX(DurClassMapping,MATCH(M1653,MappingTables!$D$4:$D$8,-1),1)</f>
        <v>2</v>
      </c>
      <c r="P1653" s="73">
        <f>IF(M1653=$A$1,1,$M1653-INDEX(MappingTables!$E$4:$E$8,MATCH(O1653,MappingTables!$B$4:$B$8,0)))</f>
        <v>1.0802272108124348</v>
      </c>
      <c r="Q1653" s="71">
        <f>IF(B1653="",0,INDEX(ModelParameters!$D$6:$K$10,MATCH($O1653,ModelParameters!$B$6:$B$10,0),MATCH($J1653,ModelParameters!$D$5:$K$5,0)))</f>
        <v>0.015</v>
      </c>
      <c r="R1653" s="71">
        <f>IF(B1653="",0,INDEX(ModelParameters!$D$13:$K$17,MATCH($O1653,ModelParameters!$B$13:$B$17,0),MATCH($J1653,ModelParameters!$D$5:$K$5,0)))</f>
        <v>0.125</v>
      </c>
      <c r="S1653" s="160">
        <f>IF(B1653="",0,MIN(IF($N1653="Other Bond TM",ModelParameters!$N$21,1)*(P1653*Q1653+R1653),1))</f>
        <v>0.14120340816218652</v>
      </c>
      <c r="T1653" s="85">
        <f>IF(B1653="",0,$S1653*$K1653)</f>
        <v>1857.9261996322588</v>
      </c>
      <c r="U1653" s="85">
        <f>IF(B1653="",0,IF(OR(H1653=MappingTables!$C$34,H1653=MappingTables!$C$35),T1653,0))</f>
        <v>0</v>
      </c>
      <c r="V1653" s="85">
        <f>IF(ISNA(IF(AND(VLOOKUP(CONCATENATE($D1653,$G1653),CSRFinput!$B:$E,4,0)=0,OR(H1653=MappingTables!$C$34,H1653=MappingTables!$C$35)),1,VLOOKUP(CONCATENATE($D1653,$G1653),CSRFinput!$B:$E,4,0))),0,IF(AND(VLOOKUP(CONCATENATE($D1653,$G1653),CSRFinput!$B:$E,4,0)=0,OR(H1653=MappingTables!$C$34,H1653=MappingTables!$C$35)),1,VLOOKUP(CONCATENATE($D1653,$G1653),CSRFinput!$B:$E,4,0)))</f>
        <v>0.054776304963434752</v>
      </c>
      <c r="W1653" s="85">
        <f>IF(B1653="",0,+$T1653*$V1653)</f>
        <v>101.77033211061198</v>
      </c>
      <c r="X1653" s="85">
        <f>IF(B1653="",0,IF(OR(H1653=MappingTables!$C$34,H1653=MappingTables!$C$35),W1653,0))</f>
        <v>0</v>
      </c>
    </row>
    <row r="1654" spans="2:24" s="0" customFormat="0" ht="15">
      <c r="B1654" s="69">
        <v>17236825</v>
      </c>
      <c r="C1654" s="70" t="s">
        <v>1882</v>
      </c>
      <c r="D1654" s="70" t="s">
        <v>1</v>
      </c>
      <c r="E1654" s="70" t="s">
        <v>1</v>
      </c>
      <c r="F1654" s="70"/>
      <c r="G1654" s="70" t="s">
        <v>61</v>
      </c>
      <c r="H1654" s="70" t="s">
        <v>178</v>
      </c>
      <c r="I1654" s="70" t="s">
        <v>181</v>
      </c>
      <c r="J1654" s="71">
        <f>IF(OR(I1654=0,I1654=""),"unrated",VLOOKUP(I1654,MappingTables!$B$19:$C$31,2,FALSE))</f>
        <v>3</v>
      </c>
      <c r="K1654" s="72">
        <v>3700.978409831932</v>
      </c>
      <c r="L1654" s="70">
        <v>3.9916119161075656</v>
      </c>
      <c r="M1654" s="71">
        <f>IF(L1654&lt;1,1,L1654)</f>
        <v>3.9916119161075656</v>
      </c>
      <c r="N1654" s="70" t="s">
        <v>141</v>
      </c>
      <c r="O1654" s="71">
        <f>INDEX(DurClassMapping,MATCH(M1654,MappingTables!$D$4:$D$8,-1),1)</f>
        <v>1</v>
      </c>
      <c r="P1654" s="73">
        <f>IF(M1654=$A$1,1,$M1654-INDEX(MappingTables!$E$4:$E$8,MATCH(O1654,MappingTables!$B$4:$B$8,0)))</f>
        <v>3.9916119161075656</v>
      </c>
      <c r="Q1654" s="71">
        <f>IF(B1654="",0,INDEX(ModelParameters!$D$6:$K$10,MATCH($O1654,ModelParameters!$B$6:$B$10,0),MATCH($J1654,ModelParameters!$D$5:$K$5,0)))</f>
        <v>0.025</v>
      </c>
      <c r="R1654" s="71">
        <f>IF(B1654="",0,INDEX(ModelParameters!$D$13:$K$17,MATCH($O1654,ModelParameters!$B$13:$B$17,0),MATCH($J1654,ModelParameters!$D$5:$K$5,0)))</f>
        <v>0</v>
      </c>
      <c r="S1654" s="160">
        <f>IF(B1654="",0,MIN(IF($N1654="Other Bond TM",ModelParameters!$N$21,1)*(P1654*Q1654+R1654),1))</f>
        <v>0.099790297902689152</v>
      </c>
      <c r="T1654" s="85">
        <f>IF(B1654="",0,$S1654*$K1654)</f>
        <v>369.32173804854928</v>
      </c>
      <c r="U1654" s="85">
        <f>IF(B1654="",0,IF(OR(H1654=MappingTables!$C$34,H1654=MappingTables!$C$35),T1654,0))</f>
        <v>0</v>
      </c>
      <c r="V1654" s="85">
        <f>IF(ISNA(IF(AND(VLOOKUP(CONCATENATE($D1654,$G1654),CSRFinput!$B:$E,4,0)=0,OR(H1654=MappingTables!$C$34,H1654=MappingTables!$C$35)),1,VLOOKUP(CONCATENATE($D1654,$G1654),CSRFinput!$B:$E,4,0))),0,IF(AND(VLOOKUP(CONCATENATE($D1654,$G1654),CSRFinput!$B:$E,4,0)=0,OR(H1654=MappingTables!$C$34,H1654=MappingTables!$C$35)),1,VLOOKUP(CONCATENATE($D1654,$G1654),CSRFinput!$B:$E,4,0)))</f>
        <v>0.054776304963434752</v>
      </c>
      <c r="W1654" s="85">
        <f>IF(B1654="",0,+$T1654*$V1654)</f>
        <v>20.2300801529731</v>
      </c>
      <c r="X1654" s="85">
        <f>IF(B1654="",0,IF(OR(H1654=MappingTables!$C$34,H1654=MappingTables!$C$35),W1654,0))</f>
        <v>0</v>
      </c>
    </row>
    <row r="1655" spans="2:24" s="0" customFormat="0" ht="15">
      <c r="B1655" s="69">
        <v>14346856</v>
      </c>
      <c r="C1655" s="70" t="s">
        <v>573</v>
      </c>
      <c r="D1655" s="70" t="s">
        <v>1</v>
      </c>
      <c r="E1655" s="70" t="s">
        <v>1</v>
      </c>
      <c r="F1655" s="70"/>
      <c r="G1655" s="70" t="s">
        <v>61</v>
      </c>
      <c r="H1655" s="70" t="s">
        <v>178</v>
      </c>
      <c r="I1655" s="70" t="s">
        <v>179</v>
      </c>
      <c r="J1655" s="71">
        <f>IF(OR(I1655=0,I1655=""),"unrated",VLOOKUP(I1655,MappingTables!$B$19:$C$31,2,FALSE))</f>
        <v>4</v>
      </c>
      <c r="K1655" s="72">
        <v>5546.724396122808</v>
      </c>
      <c r="L1655" s="70">
        <v>14.369812920461124</v>
      </c>
      <c r="M1655" s="71">
        <f>IF(L1655&lt;1,1,L1655)</f>
        <v>14.369812920461124</v>
      </c>
      <c r="N1655" s="70" t="s">
        <v>141</v>
      </c>
      <c r="O1655" s="71">
        <f>INDEX(DurClassMapping,MATCH(M1655,MappingTables!$D$4:$D$8,-1),1)</f>
        <v>3</v>
      </c>
      <c r="P1655" s="73">
        <f>IF(M1655=$A$1,1,$M1655-INDEX(MappingTables!$E$4:$E$8,MATCH(O1655,MappingTables!$B$4:$B$8,0)))</f>
        <v>4.369812920461124</v>
      </c>
      <c r="Q1655" s="71">
        <f>IF(B1655="",0,INDEX(ModelParameters!$D$6:$K$10,MATCH($O1655,ModelParameters!$B$6:$B$10,0),MATCH($J1655,ModelParameters!$D$5:$K$5,0)))</f>
        <v>0.018000000000000002</v>
      </c>
      <c r="R1655" s="71">
        <f>IF(B1655="",0,INDEX(ModelParameters!$D$13:$K$17,MATCH($O1655,ModelParameters!$B$13:$B$17,0),MATCH($J1655,ModelParameters!$D$5:$K$5,0)))</f>
        <v>0.34999999999999996</v>
      </c>
      <c r="S1655" s="160">
        <f>IF(B1655="",0,MIN(IF($N1655="Other Bond TM",ModelParameters!$N$21,1)*(P1655*Q1655+R1655),1))</f>
        <v>0.42865663256830024</v>
      </c>
      <c r="T1655" s="85">
        <f>IF(B1655="",0,$S1655*$K1655)</f>
        <v>2377.6402014264412</v>
      </c>
      <c r="U1655" s="85">
        <f>IF(B1655="",0,IF(OR(H1655=MappingTables!$C$34,H1655=MappingTables!$C$35),T1655,0))</f>
        <v>0</v>
      </c>
      <c r="V1655" s="85">
        <f>IF(ISNA(IF(AND(VLOOKUP(CONCATENATE($D1655,$G1655),CSRFinput!$B:$E,4,0)=0,OR(H1655=MappingTables!$C$34,H1655=MappingTables!$C$35)),1,VLOOKUP(CONCATENATE($D1655,$G1655),CSRFinput!$B:$E,4,0))),0,IF(AND(VLOOKUP(CONCATENATE($D1655,$G1655),CSRFinput!$B:$E,4,0)=0,OR(H1655=MappingTables!$C$34,H1655=MappingTables!$C$35)),1,VLOOKUP(CONCATENATE($D1655,$G1655),CSRFinput!$B:$E,4,0)))</f>
        <v>0.054776304963434752</v>
      </c>
      <c r="W1655" s="85">
        <f>IF(B1655="",0,+$T1655*$V1655)</f>
        <v>130.23834476665718</v>
      </c>
      <c r="X1655" s="85">
        <f>IF(B1655="",0,IF(OR(H1655=MappingTables!$C$34,H1655=MappingTables!$C$35),W1655,0))</f>
        <v>0</v>
      </c>
    </row>
    <row r="1656" spans="2:24" s="0" customFormat="0" ht="15">
      <c r="B1656" s="69">
        <v>5276844</v>
      </c>
      <c r="C1656" s="70" t="s">
        <v>1343</v>
      </c>
      <c r="D1656" s="70" t="s">
        <v>1</v>
      </c>
      <c r="E1656" s="70" t="s">
        <v>1</v>
      </c>
      <c r="F1656" s="70"/>
      <c r="G1656" s="70" t="s">
        <v>61</v>
      </c>
      <c r="H1656" s="70" t="s">
        <v>178</v>
      </c>
      <c r="I1656" s="70" t="s">
        <v>188</v>
      </c>
      <c r="J1656" s="71">
        <f>IF(OR(I1656=0,I1656=""),"unrated",VLOOKUP(I1656,MappingTables!$B$19:$C$31,2,FALSE))</f>
        <v>2</v>
      </c>
      <c r="K1656" s="72">
        <v>220.25609543895796</v>
      </c>
      <c r="L1656" s="70">
        <v>1.7565917097658328</v>
      </c>
      <c r="M1656" s="71">
        <f>IF(L1656&lt;1,1,L1656)</f>
        <v>1.7565917097658328</v>
      </c>
      <c r="N1656" s="70" t="s">
        <v>141</v>
      </c>
      <c r="O1656" s="71">
        <f>INDEX(DurClassMapping,MATCH(M1656,MappingTables!$D$4:$D$8,-1),1)</f>
        <v>1</v>
      </c>
      <c r="P1656" s="73">
        <f>IF(M1656=$A$1,1,$M1656-INDEX(MappingTables!$E$4:$E$8,MATCH(O1656,MappingTables!$B$4:$B$8,0)))</f>
        <v>1.7565917097658328</v>
      </c>
      <c r="Q1656" s="71">
        <f>IF(B1656="",0,INDEX(ModelParameters!$D$6:$K$10,MATCH($O1656,ModelParameters!$B$6:$B$10,0),MATCH($J1656,ModelParameters!$D$5:$K$5,0)))</f>
        <v>0.013999999999999998</v>
      </c>
      <c r="R1656" s="71">
        <f>IF(B1656="",0,INDEX(ModelParameters!$D$13:$K$17,MATCH($O1656,ModelParameters!$B$13:$B$17,0),MATCH($J1656,ModelParameters!$D$5:$K$5,0)))</f>
        <v>0</v>
      </c>
      <c r="S1656" s="160">
        <f>IF(B1656="",0,MIN(IF($N1656="Other Bond TM",ModelParameters!$N$21,1)*(P1656*Q1656+R1656),1))</f>
        <v>0.02459228393672166</v>
      </c>
      <c r="T1656" s="85">
        <f>IF(B1656="",0,$S1656*$K1656)</f>
        <v>5.4166004378285184</v>
      </c>
      <c r="U1656" s="85">
        <f>IF(B1656="",0,IF(OR(H1656=MappingTables!$C$34,H1656=MappingTables!$C$35),T1656,0))</f>
        <v>0</v>
      </c>
      <c r="V1656" s="85">
        <f>IF(ISNA(IF(AND(VLOOKUP(CONCATENATE($D1656,$G1656),CSRFinput!$B:$E,4,0)=0,OR(H1656=MappingTables!$C$34,H1656=MappingTables!$C$35)),1,VLOOKUP(CONCATENATE($D1656,$G1656),CSRFinput!$B:$E,4,0))),0,IF(AND(VLOOKUP(CONCATENATE($D1656,$G1656),CSRFinput!$B:$E,4,0)=0,OR(H1656=MappingTables!$C$34,H1656=MappingTables!$C$35)),1,VLOOKUP(CONCATENATE($D1656,$G1656),CSRFinput!$B:$E,4,0)))</f>
        <v>0.054776304963434752</v>
      </c>
      <c r="W1656" s="85">
        <f>IF(B1656="",0,+$T1656*$V1656)</f>
        <v>0.29670135744756916</v>
      </c>
      <c r="X1656" s="85">
        <f>IF(B1656="",0,IF(OR(H1656=MappingTables!$C$34,H1656=MappingTables!$C$35),W1656,0))</f>
        <v>0</v>
      </c>
    </row>
    <row r="1657" spans="2:24" s="0" customFormat="0" ht="15">
      <c r="B1657" s="69" t="s">
        <v>1374</v>
      </c>
      <c r="C1657" s="70" t="s">
        <v>1375</v>
      </c>
      <c r="D1657" s="70" t="s">
        <v>1</v>
      </c>
      <c r="E1657" s="70" t="s">
        <v>1</v>
      </c>
      <c r="F1657" s="70"/>
      <c r="G1657" s="70" t="s">
        <v>61</v>
      </c>
      <c r="H1657" s="70" t="s">
        <v>178</v>
      </c>
      <c r="I1657" s="70" t="s">
        <v>188</v>
      </c>
      <c r="J1657" s="71">
        <f>IF(OR(I1657=0,I1657=""),"unrated",VLOOKUP(I1657,MappingTables!$B$19:$C$31,2,FALSE))</f>
        <v>2</v>
      </c>
      <c r="K1657" s="72">
        <v>3.3040669924013896</v>
      </c>
      <c r="L1657" s="70">
        <v>0.6111422654441956</v>
      </c>
      <c r="M1657" s="71">
        <f>IF(L1657&lt;1,1,L1657)</f>
        <v>1</v>
      </c>
      <c r="N1657" s="70" t="s">
        <v>141</v>
      </c>
      <c r="O1657" s="71">
        <f>INDEX(DurClassMapping,MATCH(M1657,MappingTables!$D$4:$D$8,-1),1)</f>
        <v>1</v>
      </c>
      <c r="P1657" s="73">
        <f>IF(M1657=$A$1,1,$M1657-INDEX(MappingTables!$E$4:$E$8,MATCH(O1657,MappingTables!$B$4:$B$8,0)))</f>
        <v>1</v>
      </c>
      <c r="Q1657" s="71">
        <f>IF(B1657="",0,INDEX(ModelParameters!$D$6:$K$10,MATCH($O1657,ModelParameters!$B$6:$B$10,0),MATCH($J1657,ModelParameters!$D$5:$K$5,0)))</f>
        <v>0.013999999999999998</v>
      </c>
      <c r="R1657" s="71">
        <f>IF(B1657="",0,INDEX(ModelParameters!$D$13:$K$17,MATCH($O1657,ModelParameters!$B$13:$B$17,0),MATCH($J1657,ModelParameters!$D$5:$K$5,0)))</f>
        <v>0</v>
      </c>
      <c r="S1657" s="160">
        <f>IF(B1657="",0,MIN(IF($N1657="Other Bond TM",ModelParameters!$N$21,1)*(P1657*Q1657+R1657),1))</f>
        <v>0.013999999999999998</v>
      </c>
      <c r="T1657" s="85">
        <f>IF(B1657="",0,$S1657*$K1657)</f>
        <v>0.046256937893619456</v>
      </c>
      <c r="U1657" s="85">
        <f>IF(B1657="",0,IF(OR(H1657=MappingTables!$C$34,H1657=MappingTables!$C$35),T1657,0))</f>
        <v>0</v>
      </c>
      <c r="V1657" s="85">
        <f>IF(ISNA(IF(AND(VLOOKUP(CONCATENATE($D1657,$G1657),CSRFinput!$B:$E,4,0)=0,OR(H1657=MappingTables!$C$34,H1657=MappingTables!$C$35)),1,VLOOKUP(CONCATENATE($D1657,$G1657),CSRFinput!$B:$E,4,0))),0,IF(AND(VLOOKUP(CONCATENATE($D1657,$G1657),CSRFinput!$B:$E,4,0)=0,OR(H1657=MappingTables!$C$34,H1657=MappingTables!$C$35)),1,VLOOKUP(CONCATENATE($D1657,$G1657),CSRFinput!$B:$E,4,0)))</f>
        <v>0.054776304963434752</v>
      </c>
      <c r="W1657" s="85">
        <f>IF(B1657="",0,+$T1657*$V1657)</f>
        <v>0.0025337841367355604</v>
      </c>
      <c r="X1657" s="85">
        <f>IF(B1657="",0,IF(OR(H1657=MappingTables!$C$34,H1657=MappingTables!$C$35),W1657,0))</f>
        <v>0</v>
      </c>
    </row>
    <row r="1658" spans="2:24" s="0" customFormat="0" ht="15">
      <c r="B1658" s="69" t="s">
        <v>1036</v>
      </c>
      <c r="C1658" s="70" t="s">
        <v>1037</v>
      </c>
      <c r="D1658" s="70" t="s">
        <v>1</v>
      </c>
      <c r="E1658" s="70" t="s">
        <v>1</v>
      </c>
      <c r="F1658" s="70"/>
      <c r="G1658" s="70" t="s">
        <v>61</v>
      </c>
      <c r="H1658" s="70" t="s">
        <v>178</v>
      </c>
      <c r="I1658" s="70" t="s">
        <v>188</v>
      </c>
      <c r="J1658" s="71">
        <f>IF(OR(I1658=0,I1658=""),"unrated",VLOOKUP(I1658,MappingTables!$B$19:$C$31,2,FALSE))</f>
        <v>2</v>
      </c>
      <c r="K1658" s="72">
        <v>0.05820600400533324</v>
      </c>
      <c r="L1658" s="70">
        <v>2.188324275872138</v>
      </c>
      <c r="M1658" s="71">
        <f>IF(L1658&lt;1,1,L1658)</f>
        <v>2.188324275872138</v>
      </c>
      <c r="N1658" s="70" t="s">
        <v>141</v>
      </c>
      <c r="O1658" s="71">
        <f>INDEX(DurClassMapping,MATCH(M1658,MappingTables!$D$4:$D$8,-1),1)</f>
        <v>1</v>
      </c>
      <c r="P1658" s="73">
        <f>IF(M1658=$A$1,1,$M1658-INDEX(MappingTables!$E$4:$E$8,MATCH(O1658,MappingTables!$B$4:$B$8,0)))</f>
        <v>2.188324275872138</v>
      </c>
      <c r="Q1658" s="71">
        <f>IF(B1658="",0,INDEX(ModelParameters!$D$6:$K$10,MATCH($O1658,ModelParameters!$B$6:$B$10,0),MATCH($J1658,ModelParameters!$D$5:$K$5,0)))</f>
        <v>0.013999999999999998</v>
      </c>
      <c r="R1658" s="71">
        <f>IF(B1658="",0,INDEX(ModelParameters!$D$13:$K$17,MATCH($O1658,ModelParameters!$B$13:$B$17,0),MATCH($J1658,ModelParameters!$D$5:$K$5,0)))</f>
        <v>0</v>
      </c>
      <c r="S1658" s="160">
        <f>IF(B1658="",0,MIN(IF($N1658="Other Bond TM",ModelParameters!$N$21,1)*(P1658*Q1658+R1658),1))</f>
        <v>0.030636539862209932</v>
      </c>
      <c r="T1658" s="85">
        <f>IF(B1658="",0,$S1658*$K1658)</f>
        <v>0.0017832305619293426</v>
      </c>
      <c r="U1658" s="85">
        <f>IF(B1658="",0,IF(OR(H1658=MappingTables!$C$34,H1658=MappingTables!$C$35),T1658,0))</f>
        <v>0</v>
      </c>
      <c r="V1658" s="85">
        <f>IF(ISNA(IF(AND(VLOOKUP(CONCATENATE($D1658,$G1658),CSRFinput!$B:$E,4,0)=0,OR(H1658=MappingTables!$C$34,H1658=MappingTables!$C$35)),1,VLOOKUP(CONCATENATE($D1658,$G1658),CSRFinput!$B:$E,4,0))),0,IF(AND(VLOOKUP(CONCATENATE($D1658,$G1658),CSRFinput!$B:$E,4,0)=0,OR(H1658=MappingTables!$C$34,H1658=MappingTables!$C$35)),1,VLOOKUP(CONCATENATE($D1658,$G1658),CSRFinput!$B:$E,4,0)))</f>
        <v>0.054776304963434752</v>
      </c>
      <c r="W1658" s="85">
        <f>IF(B1658="",0,+$T1658*$V1658)</f>
        <v>0.0000976787810803588</v>
      </c>
      <c r="X1658" s="85">
        <f>IF(B1658="",0,IF(OR(H1658=MappingTables!$C$34,H1658=MappingTables!$C$35),W1658,0))</f>
        <v>0</v>
      </c>
    </row>
    <row r="1659" spans="2:24" s="0" customFormat="0" ht="15">
      <c r="B1659" s="69">
        <v>22273928</v>
      </c>
      <c r="C1659" s="70" t="s">
        <v>1673</v>
      </c>
      <c r="D1659" s="70" t="s">
        <v>1</v>
      </c>
      <c r="E1659" s="70" t="s">
        <v>1</v>
      </c>
      <c r="F1659" s="70"/>
      <c r="G1659" s="70" t="s">
        <v>61</v>
      </c>
      <c r="H1659" s="70" t="s">
        <v>178</v>
      </c>
      <c r="I1659" s="70" t="s">
        <v>181</v>
      </c>
      <c r="J1659" s="71">
        <f>IF(OR(I1659=0,I1659=""),"unrated",VLOOKUP(I1659,MappingTables!$B$19:$C$31,2,FALSE))</f>
        <v>3</v>
      </c>
      <c r="K1659" s="72">
        <v>1847.9418198299352</v>
      </c>
      <c r="L1659" s="70">
        <v>0.13698361635334668</v>
      </c>
      <c r="M1659" s="71">
        <f>IF(L1659&lt;1,1,L1659)</f>
        <v>1</v>
      </c>
      <c r="N1659" s="70" t="s">
        <v>141</v>
      </c>
      <c r="O1659" s="71">
        <f>INDEX(DurClassMapping,MATCH(M1659,MappingTables!$D$4:$D$8,-1),1)</f>
        <v>1</v>
      </c>
      <c r="P1659" s="73">
        <f>IF(M1659=$A$1,1,$M1659-INDEX(MappingTables!$E$4:$E$8,MATCH(O1659,MappingTables!$B$4:$B$8,0)))</f>
        <v>1</v>
      </c>
      <c r="Q1659" s="71">
        <f>IF(B1659="",0,INDEX(ModelParameters!$D$6:$K$10,MATCH($O1659,ModelParameters!$B$6:$B$10,0),MATCH($J1659,ModelParameters!$D$5:$K$5,0)))</f>
        <v>0.025</v>
      </c>
      <c r="R1659" s="71">
        <f>IF(B1659="",0,INDEX(ModelParameters!$D$13:$K$17,MATCH($O1659,ModelParameters!$B$13:$B$17,0),MATCH($J1659,ModelParameters!$D$5:$K$5,0)))</f>
        <v>0</v>
      </c>
      <c r="S1659" s="160">
        <f>IF(B1659="",0,MIN(IF($N1659="Other Bond TM",ModelParameters!$N$21,1)*(P1659*Q1659+R1659),1))</f>
        <v>0.025</v>
      </c>
      <c r="T1659" s="85">
        <f>IF(B1659="",0,$S1659*$K1659)</f>
        <v>46.198545495748384</v>
      </c>
      <c r="U1659" s="85">
        <f>IF(B1659="",0,IF(OR(H1659=MappingTables!$C$34,H1659=MappingTables!$C$35),T1659,0))</f>
        <v>0</v>
      </c>
      <c r="V1659" s="85">
        <f>IF(ISNA(IF(AND(VLOOKUP(CONCATENATE($D1659,$G1659),CSRFinput!$B:$E,4,0)=0,OR(H1659=MappingTables!$C$34,H1659=MappingTables!$C$35)),1,VLOOKUP(CONCATENATE($D1659,$G1659),CSRFinput!$B:$E,4,0))),0,IF(AND(VLOOKUP(CONCATENATE($D1659,$G1659),CSRFinput!$B:$E,4,0)=0,OR(H1659=MappingTables!$C$34,H1659=MappingTables!$C$35)),1,VLOOKUP(CONCATENATE($D1659,$G1659),CSRFinput!$B:$E,4,0)))</f>
        <v>0.054776304963434752</v>
      </c>
      <c r="W1659" s="85">
        <f>IF(B1659="",0,+$T1659*$V1659)</f>
        <v>2.5305856169422284</v>
      </c>
      <c r="X1659" s="85">
        <f>IF(B1659="",0,IF(OR(H1659=MappingTables!$C$34,H1659=MappingTables!$C$35),W1659,0))</f>
        <v>0</v>
      </c>
    </row>
    <row r="1660" spans="2:24" s="0" customFormat="0" ht="15">
      <c r="B1660" s="69">
        <v>19854528</v>
      </c>
      <c r="C1660" s="70" t="s">
        <v>304</v>
      </c>
      <c r="D1660" s="70" t="s">
        <v>1</v>
      </c>
      <c r="E1660" s="70" t="s">
        <v>1</v>
      </c>
      <c r="F1660" s="70"/>
      <c r="G1660" s="70" t="s">
        <v>61</v>
      </c>
      <c r="H1660" s="70" t="s">
        <v>178</v>
      </c>
      <c r="I1660" s="70" t="s">
        <v>179</v>
      </c>
      <c r="J1660" s="71">
        <f>IF(OR(I1660=0,I1660=""),"unrated",VLOOKUP(I1660,MappingTables!$B$19:$C$31,2,FALSE))</f>
        <v>4</v>
      </c>
      <c r="K1660" s="72">
        <v>41.435346622951328</v>
      </c>
      <c r="L1660" s="70">
        <v>1.8602436695139824</v>
      </c>
      <c r="M1660" s="71">
        <f>IF(L1660&lt;1,1,L1660)</f>
        <v>1.8602436695139824</v>
      </c>
      <c r="N1660" s="70" t="s">
        <v>141</v>
      </c>
      <c r="O1660" s="71">
        <f>INDEX(DurClassMapping,MATCH(M1660,MappingTables!$D$4:$D$8,-1),1)</f>
        <v>1</v>
      </c>
      <c r="P1660" s="73">
        <f>IF(M1660=$A$1,1,$M1660-INDEX(MappingTables!$E$4:$E$8,MATCH(O1660,MappingTables!$B$4:$B$8,0)))</f>
        <v>1.8602436695139824</v>
      </c>
      <c r="Q1660" s="71">
        <f>IF(B1660="",0,INDEX(ModelParameters!$D$6:$K$10,MATCH($O1660,ModelParameters!$B$6:$B$10,0),MATCH($J1660,ModelParameters!$D$5:$K$5,0)))</f>
        <v>0.045</v>
      </c>
      <c r="R1660" s="71">
        <f>IF(B1660="",0,INDEX(ModelParameters!$D$13:$K$17,MATCH($O1660,ModelParameters!$B$13:$B$17,0),MATCH($J1660,ModelParameters!$D$5:$K$5,0)))</f>
        <v>0</v>
      </c>
      <c r="S1660" s="160">
        <f>IF(B1660="",0,MIN(IF($N1660="Other Bond TM",ModelParameters!$N$21,1)*(P1660*Q1660+R1660),1))</f>
        <v>0.083710965128129216</v>
      </c>
      <c r="T1660" s="85">
        <f>IF(B1660="",0,$S1660*$K1660)</f>
        <v>3.4685928562258256</v>
      </c>
      <c r="U1660" s="85">
        <f>IF(B1660="",0,IF(OR(H1660=MappingTables!$C$34,H1660=MappingTables!$C$35),T1660,0))</f>
        <v>0</v>
      </c>
      <c r="V1660" s="85">
        <f>IF(ISNA(IF(AND(VLOOKUP(CONCATENATE($D1660,$G1660),CSRFinput!$B:$E,4,0)=0,OR(H1660=MappingTables!$C$34,H1660=MappingTables!$C$35)),1,VLOOKUP(CONCATENATE($D1660,$G1660),CSRFinput!$B:$E,4,0))),0,IF(AND(VLOOKUP(CONCATENATE($D1660,$G1660),CSRFinput!$B:$E,4,0)=0,OR(H1660=MappingTables!$C$34,H1660=MappingTables!$C$35)),1,VLOOKUP(CONCATENATE($D1660,$G1660),CSRFinput!$B:$E,4,0)))</f>
        <v>0.054776304963434752</v>
      </c>
      <c r="W1660" s="85">
        <f>IF(B1660="",0,+$T1660*$V1660)</f>
        <v>0.189996700086617</v>
      </c>
      <c r="X1660" s="85">
        <f>IF(B1660="",0,IF(OR(H1660=MappingTables!$C$34,H1660=MappingTables!$C$35),W1660,0))</f>
        <v>0</v>
      </c>
    </row>
    <row r="1661" spans="2:24" s="0" customFormat="0" ht="15">
      <c r="B1661" s="69">
        <v>9476265</v>
      </c>
      <c r="C1661" s="70" t="s">
        <v>1883</v>
      </c>
      <c r="D1661" s="70" t="s">
        <v>1</v>
      </c>
      <c r="E1661" s="70" t="s">
        <v>1</v>
      </c>
      <c r="F1661" s="70"/>
      <c r="G1661" s="70" t="s">
        <v>61</v>
      </c>
      <c r="H1661" s="70" t="s">
        <v>178</v>
      </c>
      <c r="I1661" s="70" t="s">
        <v>181</v>
      </c>
      <c r="J1661" s="71">
        <f>IF(OR(I1661=0,I1661=""),"unrated",VLOOKUP(I1661,MappingTables!$B$19:$C$31,2,FALSE))</f>
        <v>3</v>
      </c>
      <c r="K1661" s="72">
        <v>1047.7087517562722</v>
      </c>
      <c r="L1661" s="70">
        <v>14.79496188591038</v>
      </c>
      <c r="M1661" s="71">
        <f>IF(L1661&lt;1,1,L1661)</f>
        <v>14.79496188591038</v>
      </c>
      <c r="N1661" s="70" t="s">
        <v>141</v>
      </c>
      <c r="O1661" s="71">
        <f>INDEX(DurClassMapping,MATCH(M1661,MappingTables!$D$4:$D$8,-1),1)</f>
        <v>3</v>
      </c>
      <c r="P1661" s="73">
        <f>IF(M1661=$A$1,1,$M1661-INDEX(MappingTables!$E$4:$E$8,MATCH(O1661,MappingTables!$B$4:$B$8,0)))</f>
        <v>4.7949618859103808</v>
      </c>
      <c r="Q1661" s="71">
        <f>IF(B1661="",0,INDEX(ModelParameters!$D$6:$K$10,MATCH($O1661,ModelParameters!$B$6:$B$10,0),MATCH($J1661,ModelParameters!$D$5:$K$5,0)))</f>
        <v>0.01</v>
      </c>
      <c r="R1661" s="71">
        <f>IF(B1661="",0,INDEX(ModelParameters!$D$13:$K$17,MATCH($O1661,ModelParameters!$B$13:$B$17,0),MATCH($J1661,ModelParameters!$D$5:$K$5,0)))</f>
        <v>0.2</v>
      </c>
      <c r="S1661" s="160">
        <f>IF(B1661="",0,MIN(IF($N1661="Other Bond TM",ModelParameters!$N$21,1)*(P1661*Q1661+R1661),1))</f>
        <v>0.24794961885910384</v>
      </c>
      <c r="T1661" s="85">
        <f>IF(B1661="",0,$S1661*$K1661)</f>
        <v>259.77898567331512</v>
      </c>
      <c r="U1661" s="85">
        <f>IF(B1661="",0,IF(OR(H1661=MappingTables!$C$34,H1661=MappingTables!$C$35),T1661,0))</f>
        <v>0</v>
      </c>
      <c r="V1661" s="85">
        <f>IF(ISNA(IF(AND(VLOOKUP(CONCATENATE($D1661,$G1661),CSRFinput!$B:$E,4,0)=0,OR(H1661=MappingTables!$C$34,H1661=MappingTables!$C$35)),1,VLOOKUP(CONCATENATE($D1661,$G1661),CSRFinput!$B:$E,4,0))),0,IF(AND(VLOOKUP(CONCATENATE($D1661,$G1661),CSRFinput!$B:$E,4,0)=0,OR(H1661=MappingTables!$C$34,H1661=MappingTables!$C$35)),1,VLOOKUP(CONCATENATE($D1661,$G1661),CSRFinput!$B:$E,4,0)))</f>
        <v>0.054776304963434752</v>
      </c>
      <c r="W1661" s="85">
        <f>IF(B1661="",0,+$T1661*$V1661)</f>
        <v>14.229732942333256</v>
      </c>
      <c r="X1661" s="85">
        <f>IF(B1661="",0,IF(OR(H1661=MappingTables!$C$34,H1661=MappingTables!$C$35),W1661,0))</f>
        <v>0</v>
      </c>
    </row>
    <row r="1662" spans="2:24" s="0" customFormat="0" ht="15">
      <c r="B1662" s="69">
        <v>12412639</v>
      </c>
      <c r="C1662" s="70" t="s">
        <v>714</v>
      </c>
      <c r="D1662" s="70" t="s">
        <v>1</v>
      </c>
      <c r="E1662" s="70" t="s">
        <v>1</v>
      </c>
      <c r="F1662" s="70"/>
      <c r="G1662" s="70" t="s">
        <v>61</v>
      </c>
      <c r="H1662" s="70" t="s">
        <v>178</v>
      </c>
      <c r="I1662" s="70" t="s">
        <v>181</v>
      </c>
      <c r="J1662" s="71">
        <f>IF(OR(I1662=0,I1662=""),"unrated",VLOOKUP(I1662,MappingTables!$B$19:$C$31,2,FALSE))</f>
        <v>3</v>
      </c>
      <c r="K1662" s="72">
        <v>3143.5438430655892</v>
      </c>
      <c r="L1662" s="70">
        <v>4.4836014898291328</v>
      </c>
      <c r="M1662" s="71">
        <f>IF(L1662&lt;1,1,L1662)</f>
        <v>4.4836014898291328</v>
      </c>
      <c r="N1662" s="70" t="s">
        <v>141</v>
      </c>
      <c r="O1662" s="71">
        <f>INDEX(DurClassMapping,MATCH(M1662,MappingTables!$D$4:$D$8,-1),1)</f>
        <v>1</v>
      </c>
      <c r="P1662" s="73">
        <f>IF(M1662=$A$1,1,$M1662-INDEX(MappingTables!$E$4:$E$8,MATCH(O1662,MappingTables!$B$4:$B$8,0)))</f>
        <v>4.4836014898291328</v>
      </c>
      <c r="Q1662" s="71">
        <f>IF(B1662="",0,INDEX(ModelParameters!$D$6:$K$10,MATCH($O1662,ModelParameters!$B$6:$B$10,0),MATCH($J1662,ModelParameters!$D$5:$K$5,0)))</f>
        <v>0.025</v>
      </c>
      <c r="R1662" s="71">
        <f>IF(B1662="",0,INDEX(ModelParameters!$D$13:$K$17,MATCH($O1662,ModelParameters!$B$13:$B$17,0),MATCH($J1662,ModelParameters!$D$5:$K$5,0)))</f>
        <v>0</v>
      </c>
      <c r="S1662" s="160">
        <f>IF(B1662="",0,MIN(IF($N1662="Other Bond TM",ModelParameters!$N$21,1)*(P1662*Q1662+R1662),1))</f>
        <v>0.11209003724572834</v>
      </c>
      <c r="T1662" s="85">
        <f>IF(B1662="",0,$S1662*$K1662)</f>
        <v>352.35994645280188</v>
      </c>
      <c r="U1662" s="85">
        <f>IF(B1662="",0,IF(OR(H1662=MappingTables!$C$34,H1662=MappingTables!$C$35),T1662,0))</f>
        <v>0</v>
      </c>
      <c r="V1662" s="85">
        <f>IF(ISNA(IF(AND(VLOOKUP(CONCATENATE($D1662,$G1662),CSRFinput!$B:$E,4,0)=0,OR(H1662=MappingTables!$C$34,H1662=MappingTables!$C$35)),1,VLOOKUP(CONCATENATE($D1662,$G1662),CSRFinput!$B:$E,4,0))),0,IF(AND(VLOOKUP(CONCATENATE($D1662,$G1662),CSRFinput!$B:$E,4,0)=0,OR(H1662=MappingTables!$C$34,H1662=MappingTables!$C$35)),1,VLOOKUP(CONCATENATE($D1662,$G1662),CSRFinput!$B:$E,4,0)))</f>
        <v>0.054776304963434752</v>
      </c>
      <c r="W1662" s="85">
        <f>IF(B1662="",0,+$T1662*$V1662)</f>
        <v>19.300975883798216</v>
      </c>
      <c r="X1662" s="85">
        <f>IF(B1662="",0,IF(OR(H1662=MappingTables!$C$34,H1662=MappingTables!$C$35),W1662,0))</f>
        <v>0</v>
      </c>
    </row>
    <row r="1663" spans="2:24" s="0" customFormat="0" ht="15">
      <c r="B1663" s="69">
        <v>9818321</v>
      </c>
      <c r="C1663" s="70" t="s">
        <v>1884</v>
      </c>
      <c r="D1663" s="70" t="s">
        <v>1</v>
      </c>
      <c r="E1663" s="70" t="s">
        <v>1</v>
      </c>
      <c r="F1663" s="70"/>
      <c r="G1663" s="70" t="s">
        <v>61</v>
      </c>
      <c r="H1663" s="70" t="s">
        <v>178</v>
      </c>
      <c r="I1663" s="70" t="s">
        <v>181</v>
      </c>
      <c r="J1663" s="71">
        <f>IF(OR(I1663=0,I1663=""),"unrated",VLOOKUP(I1663,MappingTables!$B$19:$C$31,2,FALSE))</f>
        <v>3</v>
      </c>
      <c r="K1663" s="72">
        <v>2992.8002982062532</v>
      </c>
      <c r="L1663" s="70">
        <v>4.6183279922314536</v>
      </c>
      <c r="M1663" s="71">
        <f>IF(L1663&lt;1,1,L1663)</f>
        <v>4.6183279922314536</v>
      </c>
      <c r="N1663" s="70" t="s">
        <v>141</v>
      </c>
      <c r="O1663" s="71">
        <f>INDEX(DurClassMapping,MATCH(M1663,MappingTables!$D$4:$D$8,-1),1)</f>
        <v>1</v>
      </c>
      <c r="P1663" s="73">
        <f>IF(M1663=$A$1,1,$M1663-INDEX(MappingTables!$E$4:$E$8,MATCH(O1663,MappingTables!$B$4:$B$8,0)))</f>
        <v>4.6183279922314536</v>
      </c>
      <c r="Q1663" s="71">
        <f>IF(B1663="",0,INDEX(ModelParameters!$D$6:$K$10,MATCH($O1663,ModelParameters!$B$6:$B$10,0),MATCH($J1663,ModelParameters!$D$5:$K$5,0)))</f>
        <v>0.025</v>
      </c>
      <c r="R1663" s="71">
        <f>IF(B1663="",0,INDEX(ModelParameters!$D$13:$K$17,MATCH($O1663,ModelParameters!$B$13:$B$17,0),MATCH($J1663,ModelParameters!$D$5:$K$5,0)))</f>
        <v>0</v>
      </c>
      <c r="S1663" s="160">
        <f>IF(B1663="",0,MIN(IF($N1663="Other Bond TM",ModelParameters!$N$21,1)*(P1663*Q1663+R1663),1))</f>
        <v>0.11545819980578634</v>
      </c>
      <c r="T1663" s="85">
        <f>IF(B1663="",0,$S1663*$K1663)</f>
        <v>345.54333480911452</v>
      </c>
      <c r="U1663" s="85">
        <f>IF(B1663="",0,IF(OR(H1663=MappingTables!$C$34,H1663=MappingTables!$C$35),T1663,0))</f>
        <v>0</v>
      </c>
      <c r="V1663" s="85">
        <f>IF(ISNA(IF(AND(VLOOKUP(CONCATENATE($D1663,$G1663),CSRFinput!$B:$E,4,0)=0,OR(H1663=MappingTables!$C$34,H1663=MappingTables!$C$35)),1,VLOOKUP(CONCATENATE($D1663,$G1663),CSRFinput!$B:$E,4,0))),0,IF(AND(VLOOKUP(CONCATENATE($D1663,$G1663),CSRFinput!$B:$E,4,0)=0,OR(H1663=MappingTables!$C$34,H1663=MappingTables!$C$35)),1,VLOOKUP(CONCATENATE($D1663,$G1663),CSRFinput!$B:$E,4,0)))</f>
        <v>0.054776304963434752</v>
      </c>
      <c r="W1663" s="85">
        <f>IF(B1663="",0,+$T1663*$V1663)</f>
        <v>18.927587085586296</v>
      </c>
      <c r="X1663" s="85">
        <f>IF(B1663="",0,IF(OR(H1663=MappingTables!$C$34,H1663=MappingTables!$C$35),W1663,0))</f>
        <v>0</v>
      </c>
    </row>
    <row r="1664" spans="2:24" s="0" customFormat="0" ht="15">
      <c r="B1664" s="69">
        <v>14384096</v>
      </c>
      <c r="C1664" s="70" t="s">
        <v>1885</v>
      </c>
      <c r="D1664" s="70" t="s">
        <v>1</v>
      </c>
      <c r="E1664" s="70" t="s">
        <v>1</v>
      </c>
      <c r="F1664" s="70"/>
      <c r="G1664" s="70" t="s">
        <v>61</v>
      </c>
      <c r="H1664" s="70" t="s">
        <v>178</v>
      </c>
      <c r="I1664" s="70" t="s">
        <v>188</v>
      </c>
      <c r="J1664" s="71">
        <f>IF(OR(I1664=0,I1664=""),"unrated",VLOOKUP(I1664,MappingTables!$B$19:$C$31,2,FALSE))</f>
        <v>2</v>
      </c>
      <c r="K1664" s="72">
        <v>2635.927221380066</v>
      </c>
      <c r="L1664" s="70">
        <v>1.4192390600203662</v>
      </c>
      <c r="M1664" s="71">
        <f>IF(L1664&lt;1,1,L1664)</f>
        <v>1.4192390600203662</v>
      </c>
      <c r="N1664" s="70" t="s">
        <v>141</v>
      </c>
      <c r="O1664" s="71">
        <f>INDEX(DurClassMapping,MATCH(M1664,MappingTables!$D$4:$D$8,-1),1)</f>
        <v>1</v>
      </c>
      <c r="P1664" s="73">
        <f>IF(M1664=$A$1,1,$M1664-INDEX(MappingTables!$E$4:$E$8,MATCH(O1664,MappingTables!$B$4:$B$8,0)))</f>
        <v>1.4192390600203662</v>
      </c>
      <c r="Q1664" s="71">
        <f>IF(B1664="",0,INDEX(ModelParameters!$D$6:$K$10,MATCH($O1664,ModelParameters!$B$6:$B$10,0),MATCH($J1664,ModelParameters!$D$5:$K$5,0)))</f>
        <v>0.013999999999999998</v>
      </c>
      <c r="R1664" s="71">
        <f>IF(B1664="",0,INDEX(ModelParameters!$D$13:$K$17,MATCH($O1664,ModelParameters!$B$13:$B$17,0),MATCH($J1664,ModelParameters!$D$5:$K$5,0)))</f>
        <v>0</v>
      </c>
      <c r="S1664" s="160">
        <f>IF(B1664="",0,MIN(IF($N1664="Other Bond TM",ModelParameters!$N$21,1)*(P1664*Q1664+R1664),1))</f>
        <v>0.019869346840285124</v>
      </c>
      <c r="T1664" s="85">
        <f>IF(B1664="",0,$S1664*$K1664)</f>
        <v>52.374152207349568</v>
      </c>
      <c r="U1664" s="85">
        <f>IF(B1664="",0,IF(OR(H1664=MappingTables!$C$34,H1664=MappingTables!$C$35),T1664,0))</f>
        <v>0</v>
      </c>
      <c r="V1664" s="85">
        <f>IF(ISNA(IF(AND(VLOOKUP(CONCATENATE($D1664,$G1664),CSRFinput!$B:$E,4,0)=0,OR(H1664=MappingTables!$C$34,H1664=MappingTables!$C$35)),1,VLOOKUP(CONCATENATE($D1664,$G1664),CSRFinput!$B:$E,4,0))),0,IF(AND(VLOOKUP(CONCATENATE($D1664,$G1664),CSRFinput!$B:$E,4,0)=0,OR(H1664=MappingTables!$C$34,H1664=MappingTables!$C$35)),1,VLOOKUP(CONCATENATE($D1664,$G1664),CSRFinput!$B:$E,4,0)))</f>
        <v>0.054776304963434752</v>
      </c>
      <c r="W1664" s="85">
        <f>IF(B1664="",0,+$T1664*$V1664)</f>
        <v>2.8688625335111296</v>
      </c>
      <c r="X1664" s="85">
        <f>IF(B1664="",0,IF(OR(H1664=MappingTables!$C$34,H1664=MappingTables!$C$35),W1664,0))</f>
        <v>0</v>
      </c>
    </row>
    <row r="1665" spans="2:24" s="0" customFormat="0" ht="15">
      <c r="B1665" s="69">
        <v>22424958</v>
      </c>
      <c r="C1665" s="70" t="s">
        <v>1886</v>
      </c>
      <c r="D1665" s="70" t="s">
        <v>1</v>
      </c>
      <c r="E1665" s="70" t="s">
        <v>1</v>
      </c>
      <c r="F1665" s="70"/>
      <c r="G1665" s="70" t="s">
        <v>61</v>
      </c>
      <c r="H1665" s="70" t="s">
        <v>178</v>
      </c>
      <c r="I1665" s="70" t="s">
        <v>188</v>
      </c>
      <c r="J1665" s="71">
        <f>IF(OR(I1665=0,I1665=""),"unrated",VLOOKUP(I1665,MappingTables!$B$19:$C$31,2,FALSE))</f>
        <v>2</v>
      </c>
      <c r="K1665" s="72">
        <v>132.75384546939612</v>
      </c>
      <c r="L1665" s="70">
        <v>3.933753503714448</v>
      </c>
      <c r="M1665" s="71">
        <f>IF(L1665&lt;1,1,L1665)</f>
        <v>3.933753503714448</v>
      </c>
      <c r="N1665" s="70" t="s">
        <v>141</v>
      </c>
      <c r="O1665" s="71">
        <f>INDEX(DurClassMapping,MATCH(M1665,MappingTables!$D$4:$D$8,-1),1)</f>
        <v>1</v>
      </c>
      <c r="P1665" s="73">
        <f>IF(M1665=$A$1,1,$M1665-INDEX(MappingTables!$E$4:$E$8,MATCH(O1665,MappingTables!$B$4:$B$8,0)))</f>
        <v>3.933753503714448</v>
      </c>
      <c r="Q1665" s="71">
        <f>IF(B1665="",0,INDEX(ModelParameters!$D$6:$K$10,MATCH($O1665,ModelParameters!$B$6:$B$10,0),MATCH($J1665,ModelParameters!$D$5:$K$5,0)))</f>
        <v>0.013999999999999998</v>
      </c>
      <c r="R1665" s="71">
        <f>IF(B1665="",0,INDEX(ModelParameters!$D$13:$K$17,MATCH($O1665,ModelParameters!$B$13:$B$17,0),MATCH($J1665,ModelParameters!$D$5:$K$5,0)))</f>
        <v>0</v>
      </c>
      <c r="S1665" s="160">
        <f>IF(B1665="",0,MIN(IF($N1665="Other Bond TM",ModelParameters!$N$21,1)*(P1665*Q1665+R1665),1))</f>
        <v>0.055072549052002272</v>
      </c>
      <c r="T1665" s="85">
        <f>IF(B1665="",0,$S1665*$K1665)</f>
        <v>7.3110926664552464</v>
      </c>
      <c r="U1665" s="85">
        <f>IF(B1665="",0,IF(OR(H1665=MappingTables!$C$34,H1665=MappingTables!$C$35),T1665,0))</f>
        <v>0</v>
      </c>
      <c r="V1665" s="85">
        <f>IF(ISNA(IF(AND(VLOOKUP(CONCATENATE($D1665,$G1665),CSRFinput!$B:$E,4,0)=0,OR(H1665=MappingTables!$C$34,H1665=MappingTables!$C$35)),1,VLOOKUP(CONCATENATE($D1665,$G1665),CSRFinput!$B:$E,4,0))),0,IF(AND(VLOOKUP(CONCATENATE($D1665,$G1665),CSRFinput!$B:$E,4,0)=0,OR(H1665=MappingTables!$C$34,H1665=MappingTables!$C$35)),1,VLOOKUP(CONCATENATE($D1665,$G1665),CSRFinput!$B:$E,4,0)))</f>
        <v>0.054776304963434752</v>
      </c>
      <c r="W1665" s="85">
        <f>IF(B1665="",0,+$T1665*$V1665)</f>
        <v>0.40047464151368392</v>
      </c>
      <c r="X1665" s="85">
        <f>IF(B1665="",0,IF(OR(H1665=MappingTables!$C$34,H1665=MappingTables!$C$35),W1665,0))</f>
        <v>0</v>
      </c>
    </row>
    <row r="1666" spans="2:24" s="0" customFormat="0" ht="15">
      <c r="B1666" s="69">
        <v>12847675</v>
      </c>
      <c r="C1666" s="70" t="s">
        <v>1887</v>
      </c>
      <c r="D1666" s="70" t="s">
        <v>1</v>
      </c>
      <c r="E1666" s="70" t="s">
        <v>1</v>
      </c>
      <c r="F1666" s="70"/>
      <c r="G1666" s="70" t="s">
        <v>61</v>
      </c>
      <c r="H1666" s="70" t="s">
        <v>178</v>
      </c>
      <c r="I1666" s="70" t="s">
        <v>188</v>
      </c>
      <c r="J1666" s="71">
        <f>IF(OR(I1666=0,I1666=""),"unrated",VLOOKUP(I1666,MappingTables!$B$19:$C$31,2,FALSE))</f>
        <v>2</v>
      </c>
      <c r="K1666" s="72">
        <v>790.1660338563184</v>
      </c>
      <c r="L1666" s="70">
        <v>0.84564933294342272</v>
      </c>
      <c r="M1666" s="71">
        <f>IF(L1666&lt;1,1,L1666)</f>
        <v>1</v>
      </c>
      <c r="N1666" s="70" t="s">
        <v>141</v>
      </c>
      <c r="O1666" s="71">
        <f>INDEX(DurClassMapping,MATCH(M1666,MappingTables!$D$4:$D$8,-1),1)</f>
        <v>1</v>
      </c>
      <c r="P1666" s="73">
        <f>IF(M1666=$A$1,1,$M1666-INDEX(MappingTables!$E$4:$E$8,MATCH(O1666,MappingTables!$B$4:$B$8,0)))</f>
        <v>1</v>
      </c>
      <c r="Q1666" s="71">
        <f>IF(B1666="",0,INDEX(ModelParameters!$D$6:$K$10,MATCH($O1666,ModelParameters!$B$6:$B$10,0),MATCH($J1666,ModelParameters!$D$5:$K$5,0)))</f>
        <v>0.013999999999999998</v>
      </c>
      <c r="R1666" s="71">
        <f>IF(B1666="",0,INDEX(ModelParameters!$D$13:$K$17,MATCH($O1666,ModelParameters!$B$13:$B$17,0),MATCH($J1666,ModelParameters!$D$5:$K$5,0)))</f>
        <v>0</v>
      </c>
      <c r="S1666" s="160">
        <f>IF(B1666="",0,MIN(IF($N1666="Other Bond TM",ModelParameters!$N$21,1)*(P1666*Q1666+R1666),1))</f>
        <v>0.013999999999999998</v>
      </c>
      <c r="T1666" s="85">
        <f>IF(B1666="",0,$S1666*$K1666)</f>
        <v>11.062324473988458</v>
      </c>
      <c r="U1666" s="85">
        <f>IF(B1666="",0,IF(OR(H1666=MappingTables!$C$34,H1666=MappingTables!$C$35),T1666,0))</f>
        <v>0</v>
      </c>
      <c r="V1666" s="85">
        <f>IF(ISNA(IF(AND(VLOOKUP(CONCATENATE($D1666,$G1666),CSRFinput!$B:$E,4,0)=0,OR(H1666=MappingTables!$C$34,H1666=MappingTables!$C$35)),1,VLOOKUP(CONCATENATE($D1666,$G1666),CSRFinput!$B:$E,4,0))),0,IF(AND(VLOOKUP(CONCATENATE($D1666,$G1666),CSRFinput!$B:$E,4,0)=0,OR(H1666=MappingTables!$C$34,H1666=MappingTables!$C$35)),1,VLOOKUP(CONCATENATE($D1666,$G1666),CSRFinput!$B:$E,4,0)))</f>
        <v>0.054776304963434752</v>
      </c>
      <c r="W1666" s="85">
        <f>IF(B1666="",0,+$T1666*$V1666)</f>
        <v>0.60595325899165976</v>
      </c>
      <c r="X1666" s="85">
        <f>IF(B1666="",0,IF(OR(H1666=MappingTables!$C$34,H1666=MappingTables!$C$35),W1666,0))</f>
        <v>0</v>
      </c>
    </row>
    <row r="1667" spans="2:24" s="0" customFormat="0" ht="15">
      <c r="B1667" s="69">
        <v>20996854</v>
      </c>
      <c r="C1667" s="70" t="s">
        <v>1888</v>
      </c>
      <c r="D1667" s="70" t="s">
        <v>1</v>
      </c>
      <c r="E1667" s="70" t="s">
        <v>1</v>
      </c>
      <c r="F1667" s="70"/>
      <c r="G1667" s="70" t="s">
        <v>61</v>
      </c>
      <c r="H1667" s="70" t="s">
        <v>178</v>
      </c>
      <c r="I1667" s="70" t="s">
        <v>181</v>
      </c>
      <c r="J1667" s="71">
        <f>IF(OR(I1667=0,I1667=""),"unrated",VLOOKUP(I1667,MappingTables!$B$19:$C$31,2,FALSE))</f>
        <v>3</v>
      </c>
      <c r="K1667" s="72">
        <v>2804.7280597477032</v>
      </c>
      <c r="L1667" s="70">
        <v>2.7045482914029712</v>
      </c>
      <c r="M1667" s="71">
        <f>IF(L1667&lt;1,1,L1667)</f>
        <v>2.7045482914029712</v>
      </c>
      <c r="N1667" s="70" t="s">
        <v>141</v>
      </c>
      <c r="O1667" s="71">
        <f>INDEX(DurClassMapping,MATCH(M1667,MappingTables!$D$4:$D$8,-1),1)</f>
        <v>1</v>
      </c>
      <c r="P1667" s="73">
        <f>IF(M1667=$A$1,1,$M1667-INDEX(MappingTables!$E$4:$E$8,MATCH(O1667,MappingTables!$B$4:$B$8,0)))</f>
        <v>2.7045482914029712</v>
      </c>
      <c r="Q1667" s="71">
        <f>IF(B1667="",0,INDEX(ModelParameters!$D$6:$K$10,MATCH($O1667,ModelParameters!$B$6:$B$10,0),MATCH($J1667,ModelParameters!$D$5:$K$5,0)))</f>
        <v>0.025</v>
      </c>
      <c r="R1667" s="71">
        <f>IF(B1667="",0,INDEX(ModelParameters!$D$13:$K$17,MATCH($O1667,ModelParameters!$B$13:$B$17,0),MATCH($J1667,ModelParameters!$D$5:$K$5,0)))</f>
        <v>0</v>
      </c>
      <c r="S1667" s="160">
        <f>IF(B1667="",0,MIN(IF($N1667="Other Bond TM",ModelParameters!$N$21,1)*(P1667*Q1667+R1667),1))</f>
        <v>0.06761370728507428</v>
      </c>
      <c r="T1667" s="85">
        <f>IF(B1667="",0,$S1667*$K1667)</f>
        <v>189.63806204601552</v>
      </c>
      <c r="U1667" s="85">
        <f>IF(B1667="",0,IF(OR(H1667=MappingTables!$C$34,H1667=MappingTables!$C$35),T1667,0))</f>
        <v>0</v>
      </c>
      <c r="V1667" s="85">
        <f>IF(ISNA(IF(AND(VLOOKUP(CONCATENATE($D1667,$G1667),CSRFinput!$B:$E,4,0)=0,OR(H1667=MappingTables!$C$34,H1667=MappingTables!$C$35)),1,VLOOKUP(CONCATENATE($D1667,$G1667),CSRFinput!$B:$E,4,0))),0,IF(AND(VLOOKUP(CONCATENATE($D1667,$G1667),CSRFinput!$B:$E,4,0)=0,OR(H1667=MappingTables!$C$34,H1667=MappingTables!$C$35)),1,VLOOKUP(CONCATENATE($D1667,$G1667),CSRFinput!$B:$E,4,0)))</f>
        <v>0.054776304963434752</v>
      </c>
      <c r="W1667" s="85">
        <f>IF(B1667="",0,+$T1667*$V1667)</f>
        <v>10.387672319307308</v>
      </c>
      <c r="X1667" s="85">
        <f>IF(B1667="",0,IF(OR(H1667=MappingTables!$C$34,H1667=MappingTables!$C$35),W1667,0))</f>
        <v>0</v>
      </c>
    </row>
    <row r="1668" spans="2:24" s="0" customFormat="0" ht="15">
      <c r="B1668" s="69" t="s">
        <v>1889</v>
      </c>
      <c r="C1668" s="70" t="s">
        <v>1890</v>
      </c>
      <c r="D1668" s="70" t="s">
        <v>1</v>
      </c>
      <c r="E1668" s="70" t="s">
        <v>1</v>
      </c>
      <c r="F1668" s="70"/>
      <c r="G1668" s="70" t="s">
        <v>61</v>
      </c>
      <c r="H1668" s="70" t="s">
        <v>178</v>
      </c>
      <c r="I1668" s="70" t="s">
        <v>188</v>
      </c>
      <c r="J1668" s="71">
        <f>IF(OR(I1668=0,I1668=""),"unrated",VLOOKUP(I1668,MappingTables!$B$19:$C$31,2,FALSE))</f>
        <v>2</v>
      </c>
      <c r="K1668" s="72">
        <v>925.72145576062944</v>
      </c>
      <c r="L1668" s="70">
        <v>0.54637573619682936</v>
      </c>
      <c r="M1668" s="71">
        <f>IF(L1668&lt;1,1,L1668)</f>
        <v>1</v>
      </c>
      <c r="N1668" s="70" t="s">
        <v>141</v>
      </c>
      <c r="O1668" s="71">
        <f>INDEX(DurClassMapping,MATCH(M1668,MappingTables!$D$4:$D$8,-1),1)</f>
        <v>1</v>
      </c>
      <c r="P1668" s="73">
        <f>IF(M1668=$A$1,1,$M1668-INDEX(MappingTables!$E$4:$E$8,MATCH(O1668,MappingTables!$B$4:$B$8,0)))</f>
        <v>1</v>
      </c>
      <c r="Q1668" s="71">
        <f>IF(B1668="",0,INDEX(ModelParameters!$D$6:$K$10,MATCH($O1668,ModelParameters!$B$6:$B$10,0),MATCH($J1668,ModelParameters!$D$5:$K$5,0)))</f>
        <v>0.013999999999999998</v>
      </c>
      <c r="R1668" s="71">
        <f>IF(B1668="",0,INDEX(ModelParameters!$D$13:$K$17,MATCH($O1668,ModelParameters!$B$13:$B$17,0),MATCH($J1668,ModelParameters!$D$5:$K$5,0)))</f>
        <v>0</v>
      </c>
      <c r="S1668" s="160">
        <f>IF(B1668="",0,MIN(IF($N1668="Other Bond TM",ModelParameters!$N$21,1)*(P1668*Q1668+R1668),1))</f>
        <v>0.013999999999999998</v>
      </c>
      <c r="T1668" s="85">
        <f>IF(B1668="",0,$S1668*$K1668)</f>
        <v>12.960100380648812</v>
      </c>
      <c r="U1668" s="85">
        <f>IF(B1668="",0,IF(OR(H1668=MappingTables!$C$34,H1668=MappingTables!$C$35),T1668,0))</f>
        <v>0</v>
      </c>
      <c r="V1668" s="85">
        <f>IF(ISNA(IF(AND(VLOOKUP(CONCATENATE($D1668,$G1668),CSRFinput!$B:$E,4,0)=0,OR(H1668=MappingTables!$C$34,H1668=MappingTables!$C$35)),1,VLOOKUP(CONCATENATE($D1668,$G1668),CSRFinput!$B:$E,4,0))),0,IF(AND(VLOOKUP(CONCATENATE($D1668,$G1668),CSRFinput!$B:$E,4,0)=0,OR(H1668=MappingTables!$C$34,H1668=MappingTables!$C$35)),1,VLOOKUP(CONCATENATE($D1668,$G1668),CSRFinput!$B:$E,4,0)))</f>
        <v>0.054776304963434752</v>
      </c>
      <c r="W1668" s="85">
        <f>IF(B1668="",0,+$T1668*$V1668)</f>
        <v>0.70990641080714624</v>
      </c>
      <c r="X1668" s="85">
        <f>IF(B1668="",0,IF(OR(H1668=MappingTables!$C$34,H1668=MappingTables!$C$35),W1668,0))</f>
        <v>0</v>
      </c>
    </row>
    <row r="1669" spans="2:24" s="0" customFormat="0" ht="15">
      <c r="B1669" s="69">
        <v>3092976</v>
      </c>
      <c r="C1669" s="70" t="s">
        <v>278</v>
      </c>
      <c r="D1669" s="70" t="s">
        <v>1</v>
      </c>
      <c r="E1669" s="70" t="s">
        <v>1</v>
      </c>
      <c r="F1669" s="70"/>
      <c r="G1669" s="70" t="s">
        <v>61</v>
      </c>
      <c r="H1669" s="70" t="s">
        <v>178</v>
      </c>
      <c r="I1669" s="70" t="s">
        <v>181</v>
      </c>
      <c r="J1669" s="71">
        <f>IF(OR(I1669=0,I1669=""),"unrated",VLOOKUP(I1669,MappingTables!$B$19:$C$31,2,FALSE))</f>
        <v>3</v>
      </c>
      <c r="K1669" s="72">
        <v>1181.9424972710834</v>
      </c>
      <c r="L1669" s="70">
        <v>12.464197576967114</v>
      </c>
      <c r="M1669" s="71">
        <f>IF(L1669&lt;1,1,L1669)</f>
        <v>12.464197576967114</v>
      </c>
      <c r="N1669" s="70" t="s">
        <v>141</v>
      </c>
      <c r="O1669" s="71">
        <f>INDEX(DurClassMapping,MATCH(M1669,MappingTables!$D$4:$D$8,-1),1)</f>
        <v>3</v>
      </c>
      <c r="P1669" s="73">
        <f>IF(M1669=$A$1,1,$M1669-INDEX(MappingTables!$E$4:$E$8,MATCH(O1669,MappingTables!$B$4:$B$8,0)))</f>
        <v>2.4641975769671144</v>
      </c>
      <c r="Q1669" s="71">
        <f>IF(B1669="",0,INDEX(ModelParameters!$D$6:$K$10,MATCH($O1669,ModelParameters!$B$6:$B$10,0),MATCH($J1669,ModelParameters!$D$5:$K$5,0)))</f>
        <v>0.01</v>
      </c>
      <c r="R1669" s="71">
        <f>IF(B1669="",0,INDEX(ModelParameters!$D$13:$K$17,MATCH($O1669,ModelParameters!$B$13:$B$17,0),MATCH($J1669,ModelParameters!$D$5:$K$5,0)))</f>
        <v>0.2</v>
      </c>
      <c r="S1669" s="160">
        <f>IF(B1669="",0,MIN(IF($N1669="Other Bond TM",ModelParameters!$N$21,1)*(P1669*Q1669+R1669),1))</f>
        <v>0.22464197576967116</v>
      </c>
      <c r="T1669" s="85">
        <f>IF(B1669="",0,$S1669*$K1669)</f>
        <v>265.51389783311532</v>
      </c>
      <c r="U1669" s="85">
        <f>IF(B1669="",0,IF(OR(H1669=MappingTables!$C$34,H1669=MappingTables!$C$35),T1669,0))</f>
        <v>0</v>
      </c>
      <c r="V1669" s="85">
        <f>IF(ISNA(IF(AND(VLOOKUP(CONCATENATE($D1669,$G1669),CSRFinput!$B:$E,4,0)=0,OR(H1669=MappingTables!$C$34,H1669=MappingTables!$C$35)),1,VLOOKUP(CONCATENATE($D1669,$G1669),CSRFinput!$B:$E,4,0))),0,IF(AND(VLOOKUP(CONCATENATE($D1669,$G1669),CSRFinput!$B:$E,4,0)=0,OR(H1669=MappingTables!$C$34,H1669=MappingTables!$C$35)),1,VLOOKUP(CONCATENATE($D1669,$G1669),CSRFinput!$B:$E,4,0)))</f>
        <v>0.054776304963434752</v>
      </c>
      <c r="W1669" s="85">
        <f>IF(B1669="",0,+$T1669*$V1669)</f>
        <v>14.543870239736982</v>
      </c>
      <c r="X1669" s="85">
        <f>IF(B1669="",0,IF(OR(H1669=MappingTables!$C$34,H1669=MappingTables!$C$35),W1669,0))</f>
        <v>0</v>
      </c>
    </row>
    <row r="1670" spans="2:24" s="0" customFormat="0" ht="15">
      <c r="B1670" s="69">
        <v>19498823</v>
      </c>
      <c r="C1670" s="70" t="s">
        <v>1891</v>
      </c>
      <c r="D1670" s="70" t="s">
        <v>1</v>
      </c>
      <c r="E1670" s="70" t="s">
        <v>1</v>
      </c>
      <c r="F1670" s="70"/>
      <c r="G1670" s="70" t="s">
        <v>61</v>
      </c>
      <c r="H1670" s="70" t="s">
        <v>178</v>
      </c>
      <c r="I1670" s="70" t="s">
        <v>188</v>
      </c>
      <c r="J1670" s="71">
        <f>IF(OR(I1670=0,I1670=""),"unrated",VLOOKUP(I1670,MappingTables!$B$19:$C$31,2,FALSE))</f>
        <v>2</v>
      </c>
      <c r="K1670" s="72">
        <v>3.6224991018232432</v>
      </c>
      <c r="L1670" s="70">
        <v>1.2946810680329018</v>
      </c>
      <c r="M1670" s="71">
        <f>IF(L1670&lt;1,1,L1670)</f>
        <v>1.2946810680329018</v>
      </c>
      <c r="N1670" s="70" t="s">
        <v>141</v>
      </c>
      <c r="O1670" s="71">
        <f>INDEX(DurClassMapping,MATCH(M1670,MappingTables!$D$4:$D$8,-1),1)</f>
        <v>1</v>
      </c>
      <c r="P1670" s="73">
        <f>IF(M1670=$A$1,1,$M1670-INDEX(MappingTables!$E$4:$E$8,MATCH(O1670,MappingTables!$B$4:$B$8,0)))</f>
        <v>1.2946810680329018</v>
      </c>
      <c r="Q1670" s="71">
        <f>IF(B1670="",0,INDEX(ModelParameters!$D$6:$K$10,MATCH($O1670,ModelParameters!$B$6:$B$10,0),MATCH($J1670,ModelParameters!$D$5:$K$5,0)))</f>
        <v>0.013999999999999998</v>
      </c>
      <c r="R1670" s="71">
        <f>IF(B1670="",0,INDEX(ModelParameters!$D$13:$K$17,MATCH($O1670,ModelParameters!$B$13:$B$17,0),MATCH($J1670,ModelParameters!$D$5:$K$5,0)))</f>
        <v>0</v>
      </c>
      <c r="S1670" s="160">
        <f>IF(B1670="",0,MIN(IF($N1670="Other Bond TM",ModelParameters!$N$21,1)*(P1670*Q1670+R1670),1))</f>
        <v>0.018125534952460624</v>
      </c>
      <c r="T1670" s="85">
        <f>IF(B1670="",0,$S1670*$K1670)</f>
        <v>0.0656597340853544</v>
      </c>
      <c r="U1670" s="85">
        <f>IF(B1670="",0,IF(OR(H1670=MappingTables!$C$34,H1670=MappingTables!$C$35),T1670,0))</f>
        <v>0</v>
      </c>
      <c r="V1670" s="85">
        <f>IF(ISNA(IF(AND(VLOOKUP(CONCATENATE($D1670,$G1670),CSRFinput!$B:$E,4,0)=0,OR(H1670=MappingTables!$C$34,H1670=MappingTables!$C$35)),1,VLOOKUP(CONCATENATE($D1670,$G1670),CSRFinput!$B:$E,4,0))),0,IF(AND(VLOOKUP(CONCATENATE($D1670,$G1670),CSRFinput!$B:$E,4,0)=0,OR(H1670=MappingTables!$C$34,H1670=MappingTables!$C$35)),1,VLOOKUP(CONCATENATE($D1670,$G1670),CSRFinput!$B:$E,4,0)))</f>
        <v>0.054776304963434752</v>
      </c>
      <c r="W1670" s="85">
        <f>IF(B1670="",0,+$T1670*$V1670)</f>
        <v>0.0035965976180774044</v>
      </c>
      <c r="X1670" s="85">
        <f>IF(B1670="",0,IF(OR(H1670=MappingTables!$C$34,H1670=MappingTables!$C$35),W1670,0))</f>
        <v>0</v>
      </c>
    </row>
    <row r="1671" spans="2:24" s="0" customFormat="0" ht="15">
      <c r="B1671" s="69">
        <v>24176489</v>
      </c>
      <c r="C1671" s="70" t="s">
        <v>1892</v>
      </c>
      <c r="D1671" s="70" t="s">
        <v>1</v>
      </c>
      <c r="E1671" s="70" t="s">
        <v>1</v>
      </c>
      <c r="F1671" s="70"/>
      <c r="G1671" s="70" t="s">
        <v>61</v>
      </c>
      <c r="H1671" s="70" t="s">
        <v>178</v>
      </c>
      <c r="I1671" s="70" t="s">
        <v>184</v>
      </c>
      <c r="J1671" s="71">
        <f>IF(OR(I1671=0,I1671=""),"unrated",VLOOKUP(I1671,MappingTables!$B$19:$C$31,2,FALSE))</f>
        <v>5</v>
      </c>
      <c r="K1671" s="72">
        <v>13915.575116995562</v>
      </c>
      <c r="L1671" s="70">
        <v>4.288513700914948</v>
      </c>
      <c r="M1671" s="71">
        <f>IF(L1671&lt;1,1,L1671)</f>
        <v>4.288513700914948</v>
      </c>
      <c r="N1671" s="70" t="s">
        <v>141</v>
      </c>
      <c r="O1671" s="71">
        <f>INDEX(DurClassMapping,MATCH(M1671,MappingTables!$D$4:$D$8,-1),1)</f>
        <v>1</v>
      </c>
      <c r="P1671" s="73">
        <f>IF(M1671=$A$1,1,$M1671-INDEX(MappingTables!$E$4:$E$8,MATCH(O1671,MappingTables!$B$4:$B$8,0)))</f>
        <v>4.288513700914948</v>
      </c>
      <c r="Q1671" s="71">
        <f>IF(B1671="",0,INDEX(ModelParameters!$D$6:$K$10,MATCH($O1671,ModelParameters!$B$6:$B$10,0),MATCH($J1671,ModelParameters!$D$5:$K$5,0)))</f>
        <v>0.075</v>
      </c>
      <c r="R1671" s="71">
        <f>IF(B1671="",0,INDEX(ModelParameters!$D$13:$K$17,MATCH($O1671,ModelParameters!$B$13:$B$17,0),MATCH($J1671,ModelParameters!$D$5:$K$5,0)))</f>
        <v>0</v>
      </c>
      <c r="S1671" s="160">
        <f>IF(B1671="",0,MIN(IF($N1671="Other Bond TM",ModelParameters!$N$21,1)*(P1671*Q1671+R1671),1))</f>
        <v>0.32163852756862112</v>
      </c>
      <c r="T1671" s="85">
        <f>IF(B1671="",0,$S1671*$K1671)</f>
        <v>4475.7850909009952</v>
      </c>
      <c r="U1671" s="85">
        <f>IF(B1671="",0,IF(OR(H1671=MappingTables!$C$34,H1671=MappingTables!$C$35),T1671,0))</f>
        <v>0</v>
      </c>
      <c r="V1671" s="85">
        <f>IF(ISNA(IF(AND(VLOOKUP(CONCATENATE($D1671,$G1671),CSRFinput!$B:$E,4,0)=0,OR(H1671=MappingTables!$C$34,H1671=MappingTables!$C$35)),1,VLOOKUP(CONCATENATE($D1671,$G1671),CSRFinput!$B:$E,4,0))),0,IF(AND(VLOOKUP(CONCATENATE($D1671,$G1671),CSRFinput!$B:$E,4,0)=0,OR(H1671=MappingTables!$C$34,H1671=MappingTables!$C$35)),1,VLOOKUP(CONCATENATE($D1671,$G1671),CSRFinput!$B:$E,4,0)))</f>
        <v>0.054776304963434752</v>
      </c>
      <c r="W1671" s="85">
        <f>IF(B1671="",0,+$T1671*$V1671)</f>
        <v>245.16696908998744</v>
      </c>
      <c r="X1671" s="85">
        <f>IF(B1671="",0,IF(OR(H1671=MappingTables!$C$34,H1671=MappingTables!$C$35),W1671,0))</f>
        <v>0</v>
      </c>
    </row>
    <row r="1672" spans="2:24" s="0" customFormat="0" ht="15">
      <c r="B1672" s="69" t="s">
        <v>1893</v>
      </c>
      <c r="C1672" s="70" t="s">
        <v>1894</v>
      </c>
      <c r="D1672" s="70" t="s">
        <v>1</v>
      </c>
      <c r="E1672" s="70" t="s">
        <v>1</v>
      </c>
      <c r="F1672" s="70"/>
      <c r="G1672" s="70" t="s">
        <v>61</v>
      </c>
      <c r="H1672" s="70" t="s">
        <v>178</v>
      </c>
      <c r="I1672" s="70" t="s">
        <v>184</v>
      </c>
      <c r="J1672" s="71">
        <f>IF(OR(I1672=0,I1672=""),"unrated",VLOOKUP(I1672,MappingTables!$B$19:$C$31,2,FALSE))</f>
        <v>5</v>
      </c>
      <c r="K1672" s="72">
        <v>228.57493245336232</v>
      </c>
      <c r="L1672" s="70">
        <v>3.6150576394363216</v>
      </c>
      <c r="M1672" s="71">
        <f>IF(L1672&lt;1,1,L1672)</f>
        <v>3.6150576394363216</v>
      </c>
      <c r="N1672" s="70" t="s">
        <v>141</v>
      </c>
      <c r="O1672" s="71">
        <f>INDEX(DurClassMapping,MATCH(M1672,MappingTables!$D$4:$D$8,-1),1)</f>
        <v>1</v>
      </c>
      <c r="P1672" s="73">
        <f>IF(M1672=$A$1,1,$M1672-INDEX(MappingTables!$E$4:$E$8,MATCH(O1672,MappingTables!$B$4:$B$8,0)))</f>
        <v>3.6150576394363216</v>
      </c>
      <c r="Q1672" s="71">
        <f>IF(B1672="",0,INDEX(ModelParameters!$D$6:$K$10,MATCH($O1672,ModelParameters!$B$6:$B$10,0),MATCH($J1672,ModelParameters!$D$5:$K$5,0)))</f>
        <v>0.075</v>
      </c>
      <c r="R1672" s="71">
        <f>IF(B1672="",0,INDEX(ModelParameters!$D$13:$K$17,MATCH($O1672,ModelParameters!$B$13:$B$17,0),MATCH($J1672,ModelParameters!$D$5:$K$5,0)))</f>
        <v>0</v>
      </c>
      <c r="S1672" s="160">
        <f>IF(B1672="",0,MIN(IF($N1672="Other Bond TM",ModelParameters!$N$21,1)*(P1672*Q1672+R1672),1))</f>
        <v>0.27112932295772412</v>
      </c>
      <c r="T1672" s="85">
        <f>IF(B1672="",0,$S1672*$K1672)</f>
        <v>61.973366681187648</v>
      </c>
      <c r="U1672" s="85">
        <f>IF(B1672="",0,IF(OR(H1672=MappingTables!$C$34,H1672=MappingTables!$C$35),T1672,0))</f>
        <v>0</v>
      </c>
      <c r="V1672" s="85">
        <f>IF(ISNA(IF(AND(VLOOKUP(CONCATENATE($D1672,$G1672),CSRFinput!$B:$E,4,0)=0,OR(H1672=MappingTables!$C$34,H1672=MappingTables!$C$35)),1,VLOOKUP(CONCATENATE($D1672,$G1672),CSRFinput!$B:$E,4,0))),0,IF(AND(VLOOKUP(CONCATENATE($D1672,$G1672),CSRFinput!$B:$E,4,0)=0,OR(H1672=MappingTables!$C$34,H1672=MappingTables!$C$35)),1,VLOOKUP(CONCATENATE($D1672,$G1672),CSRFinput!$B:$E,4,0)))</f>
        <v>0.054776304963434752</v>
      </c>
      <c r="W1672" s="85">
        <f>IF(B1672="",0,+$T1672*$V1672)</f>
        <v>3.3946720329395008</v>
      </c>
      <c r="X1672" s="85">
        <f>IF(B1672="",0,IF(OR(H1672=MappingTables!$C$34,H1672=MappingTables!$C$35),W1672,0))</f>
        <v>0</v>
      </c>
    </row>
    <row r="1673" spans="2:24" s="0" customFormat="0" ht="15">
      <c r="B1673" s="69">
        <v>21226546</v>
      </c>
      <c r="C1673" s="70" t="s">
        <v>1520</v>
      </c>
      <c r="D1673" s="70" t="s">
        <v>1</v>
      </c>
      <c r="E1673" s="70" t="s">
        <v>1</v>
      </c>
      <c r="F1673" s="70"/>
      <c r="G1673" s="70" t="s">
        <v>61</v>
      </c>
      <c r="H1673" s="70" t="s">
        <v>178</v>
      </c>
      <c r="I1673" s="70" t="s">
        <v>181</v>
      </c>
      <c r="J1673" s="71">
        <f>IF(OR(I1673=0,I1673=""),"unrated",VLOOKUP(I1673,MappingTables!$B$19:$C$31,2,FALSE))</f>
        <v>3</v>
      </c>
      <c r="K1673" s="72">
        <v>21920.510576088196</v>
      </c>
      <c r="L1673" s="70">
        <v>5.1029336045539264</v>
      </c>
      <c r="M1673" s="71">
        <f>IF(L1673&lt;1,1,L1673)</f>
        <v>5.1029336045539264</v>
      </c>
      <c r="N1673" s="70" t="s">
        <v>141</v>
      </c>
      <c r="O1673" s="71">
        <f>INDEX(DurClassMapping,MATCH(M1673,MappingTables!$D$4:$D$8,-1),1)</f>
        <v>2</v>
      </c>
      <c r="P1673" s="73">
        <f>IF(M1673=$A$1,1,$M1673-INDEX(MappingTables!$E$4:$E$8,MATCH(O1673,MappingTables!$B$4:$B$8,0)))</f>
        <v>0.1029336045539262</v>
      </c>
      <c r="Q1673" s="71">
        <f>IF(B1673="",0,INDEX(ModelParameters!$D$6:$K$10,MATCH($O1673,ModelParameters!$B$6:$B$10,0),MATCH($J1673,ModelParameters!$D$5:$K$5,0)))</f>
        <v>0.015</v>
      </c>
      <c r="R1673" s="71">
        <f>IF(B1673="",0,INDEX(ModelParameters!$D$13:$K$17,MATCH($O1673,ModelParameters!$B$13:$B$17,0),MATCH($J1673,ModelParameters!$D$5:$K$5,0)))</f>
        <v>0.125</v>
      </c>
      <c r="S1673" s="160">
        <f>IF(B1673="",0,MIN(IF($N1673="Other Bond TM",ModelParameters!$N$21,1)*(P1673*Q1673+R1673),1))</f>
        <v>0.1265440040683089</v>
      </c>
      <c r="T1673" s="85">
        <f>IF(B1673="",0,$S1673*$K1673)</f>
        <v>2773.9091795199128</v>
      </c>
      <c r="U1673" s="85">
        <f>IF(B1673="",0,IF(OR(H1673=MappingTables!$C$34,H1673=MappingTables!$C$35),T1673,0))</f>
        <v>0</v>
      </c>
      <c r="V1673" s="85">
        <f>IF(ISNA(IF(AND(VLOOKUP(CONCATENATE($D1673,$G1673),CSRFinput!$B:$E,4,0)=0,OR(H1673=MappingTables!$C$34,H1673=MappingTables!$C$35)),1,VLOOKUP(CONCATENATE($D1673,$G1673),CSRFinput!$B:$E,4,0))),0,IF(AND(VLOOKUP(CONCATENATE($D1673,$G1673),CSRFinput!$B:$E,4,0)=0,OR(H1673=MappingTables!$C$34,H1673=MappingTables!$C$35)),1,VLOOKUP(CONCATENATE($D1673,$G1673),CSRFinput!$B:$E,4,0)))</f>
        <v>0.054776304963434752</v>
      </c>
      <c r="W1673" s="85">
        <f>IF(B1673="",0,+$T1673*$V1673)</f>
        <v>151.94449515825382</v>
      </c>
      <c r="X1673" s="85">
        <f>IF(B1673="",0,IF(OR(H1673=MappingTables!$C$34,H1673=MappingTables!$C$35),W1673,0))</f>
        <v>0</v>
      </c>
    </row>
    <row r="1674" spans="2:24" s="0" customFormat="0" ht="15">
      <c r="B1674" s="69" t="s">
        <v>1895</v>
      </c>
      <c r="C1674" s="70" t="s">
        <v>1896</v>
      </c>
      <c r="D1674" s="70" t="s">
        <v>1</v>
      </c>
      <c r="E1674" s="70" t="s">
        <v>1</v>
      </c>
      <c r="F1674" s="70"/>
      <c r="G1674" s="70" t="s">
        <v>61</v>
      </c>
      <c r="H1674" s="70" t="s">
        <v>178</v>
      </c>
      <c r="I1674" s="70" t="s">
        <v>188</v>
      </c>
      <c r="J1674" s="71">
        <f>IF(OR(I1674=0,I1674=""),"unrated",VLOOKUP(I1674,MappingTables!$B$19:$C$31,2,FALSE))</f>
        <v>2</v>
      </c>
      <c r="K1674" s="72">
        <v>4661.1405285907616</v>
      </c>
      <c r="L1674" s="70">
        <v>0.6237258520729996</v>
      </c>
      <c r="M1674" s="71">
        <f>IF(L1674&lt;1,1,L1674)</f>
        <v>1</v>
      </c>
      <c r="N1674" s="70" t="s">
        <v>141</v>
      </c>
      <c r="O1674" s="71">
        <f>INDEX(DurClassMapping,MATCH(M1674,MappingTables!$D$4:$D$8,-1),1)</f>
        <v>1</v>
      </c>
      <c r="P1674" s="73">
        <f>IF(M1674=$A$1,1,$M1674-INDEX(MappingTables!$E$4:$E$8,MATCH(O1674,MappingTables!$B$4:$B$8,0)))</f>
        <v>1</v>
      </c>
      <c r="Q1674" s="71">
        <f>IF(B1674="",0,INDEX(ModelParameters!$D$6:$K$10,MATCH($O1674,ModelParameters!$B$6:$B$10,0),MATCH($J1674,ModelParameters!$D$5:$K$5,0)))</f>
        <v>0.013999999999999998</v>
      </c>
      <c r="R1674" s="71">
        <f>IF(B1674="",0,INDEX(ModelParameters!$D$13:$K$17,MATCH($O1674,ModelParameters!$B$13:$B$17,0),MATCH($J1674,ModelParameters!$D$5:$K$5,0)))</f>
        <v>0</v>
      </c>
      <c r="S1674" s="160">
        <f>IF(B1674="",0,MIN(IF($N1674="Other Bond TM",ModelParameters!$N$21,1)*(P1674*Q1674+R1674),1))</f>
        <v>0.013999999999999998</v>
      </c>
      <c r="T1674" s="85">
        <f>IF(B1674="",0,$S1674*$K1674)</f>
        <v>65.255967400270648</v>
      </c>
      <c r="U1674" s="85">
        <f>IF(B1674="",0,IF(OR(H1674=MappingTables!$C$34,H1674=MappingTables!$C$35),T1674,0))</f>
        <v>0</v>
      </c>
      <c r="V1674" s="85">
        <f>IF(ISNA(IF(AND(VLOOKUP(CONCATENATE($D1674,$G1674),CSRFinput!$B:$E,4,0)=0,OR(H1674=MappingTables!$C$34,H1674=MappingTables!$C$35)),1,VLOOKUP(CONCATENATE($D1674,$G1674),CSRFinput!$B:$E,4,0))),0,IF(AND(VLOOKUP(CONCATENATE($D1674,$G1674),CSRFinput!$B:$E,4,0)=0,OR(H1674=MappingTables!$C$34,H1674=MappingTables!$C$35)),1,VLOOKUP(CONCATENATE($D1674,$G1674),CSRFinput!$B:$E,4,0)))</f>
        <v>0.054776304963434752</v>
      </c>
      <c r="W1674" s="85">
        <f>IF(B1674="",0,+$T1674*$V1674)</f>
        <v>3.5744807710011816</v>
      </c>
      <c r="X1674" s="85">
        <f>IF(B1674="",0,IF(OR(H1674=MappingTables!$C$34,H1674=MappingTables!$C$35),W1674,0))</f>
        <v>0</v>
      </c>
    </row>
    <row r="1675" spans="2:24" s="0" customFormat="0" ht="15">
      <c r="B1675" s="69">
        <v>11642979</v>
      </c>
      <c r="C1675" s="70" t="s">
        <v>1897</v>
      </c>
      <c r="D1675" s="70" t="s">
        <v>1</v>
      </c>
      <c r="E1675" s="70" t="s">
        <v>1</v>
      </c>
      <c r="F1675" s="70"/>
      <c r="G1675" s="70" t="s">
        <v>61</v>
      </c>
      <c r="H1675" s="70" t="s">
        <v>178</v>
      </c>
      <c r="I1675" s="70" t="s">
        <v>181</v>
      </c>
      <c r="J1675" s="71">
        <f>IF(OR(I1675=0,I1675=""),"unrated",VLOOKUP(I1675,MappingTables!$B$19:$C$31,2,FALSE))</f>
        <v>3</v>
      </c>
      <c r="K1675" s="72">
        <v>112.74300208124862</v>
      </c>
      <c r="L1675" s="70">
        <v>3.266927849659172</v>
      </c>
      <c r="M1675" s="71">
        <f>IF(L1675&lt;1,1,L1675)</f>
        <v>3.266927849659172</v>
      </c>
      <c r="N1675" s="70" t="s">
        <v>141</v>
      </c>
      <c r="O1675" s="71">
        <f>INDEX(DurClassMapping,MATCH(M1675,MappingTables!$D$4:$D$8,-1),1)</f>
        <v>1</v>
      </c>
      <c r="P1675" s="73">
        <f>IF(M1675=$A$1,1,$M1675-INDEX(MappingTables!$E$4:$E$8,MATCH(O1675,MappingTables!$B$4:$B$8,0)))</f>
        <v>3.266927849659172</v>
      </c>
      <c r="Q1675" s="71">
        <f>IF(B1675="",0,INDEX(ModelParameters!$D$6:$K$10,MATCH($O1675,ModelParameters!$B$6:$B$10,0),MATCH($J1675,ModelParameters!$D$5:$K$5,0)))</f>
        <v>0.025</v>
      </c>
      <c r="R1675" s="71">
        <f>IF(B1675="",0,INDEX(ModelParameters!$D$13:$K$17,MATCH($O1675,ModelParameters!$B$13:$B$17,0),MATCH($J1675,ModelParameters!$D$5:$K$5,0)))</f>
        <v>0</v>
      </c>
      <c r="S1675" s="160">
        <f>IF(B1675="",0,MIN(IF($N1675="Other Bond TM",ModelParameters!$N$21,1)*(P1675*Q1675+R1675),1))</f>
        <v>0.081673196241479296</v>
      </c>
      <c r="T1675" s="85">
        <f>IF(B1675="",0,$S1675*$K1675)</f>
        <v>9.208081333835328</v>
      </c>
      <c r="U1675" s="85">
        <f>IF(B1675="",0,IF(OR(H1675=MappingTables!$C$34,H1675=MappingTables!$C$35),T1675,0))</f>
        <v>0</v>
      </c>
      <c r="V1675" s="85">
        <f>IF(ISNA(IF(AND(VLOOKUP(CONCATENATE($D1675,$G1675),CSRFinput!$B:$E,4,0)=0,OR(H1675=MappingTables!$C$34,H1675=MappingTables!$C$35)),1,VLOOKUP(CONCATENATE($D1675,$G1675),CSRFinput!$B:$E,4,0))),0,IF(AND(VLOOKUP(CONCATENATE($D1675,$G1675),CSRFinput!$B:$E,4,0)=0,OR(H1675=MappingTables!$C$34,H1675=MappingTables!$C$35)),1,VLOOKUP(CONCATENATE($D1675,$G1675),CSRFinput!$B:$E,4,0)))</f>
        <v>0.054776304963434752</v>
      </c>
      <c r="W1675" s="85">
        <f>IF(B1675="",0,+$T1675*$V1675)</f>
        <v>0.50438467127027496</v>
      </c>
      <c r="X1675" s="85">
        <f>IF(B1675="",0,IF(OR(H1675=MappingTables!$C$34,H1675=MappingTables!$C$35),W1675,0))</f>
        <v>0</v>
      </c>
    </row>
    <row r="1676" spans="2:24" s="0" customFormat="0" ht="15">
      <c r="B1676" s="69">
        <v>18905403</v>
      </c>
      <c r="C1676" s="70" t="s">
        <v>1898</v>
      </c>
      <c r="D1676" s="70" t="s">
        <v>1</v>
      </c>
      <c r="E1676" s="70" t="s">
        <v>1</v>
      </c>
      <c r="F1676" s="70"/>
      <c r="G1676" s="70" t="s">
        <v>61</v>
      </c>
      <c r="H1676" s="70" t="s">
        <v>178</v>
      </c>
      <c r="I1676" s="70" t="s">
        <v>181</v>
      </c>
      <c r="J1676" s="71">
        <f>IF(OR(I1676=0,I1676=""),"unrated",VLOOKUP(I1676,MappingTables!$B$19:$C$31,2,FALSE))</f>
        <v>3</v>
      </c>
      <c r="K1676" s="72">
        <v>5.7340839254080584</v>
      </c>
      <c r="L1676" s="70">
        <v>0.964398896404568</v>
      </c>
      <c r="M1676" s="71">
        <f>IF(L1676&lt;1,1,L1676)</f>
        <v>1</v>
      </c>
      <c r="N1676" s="70" t="s">
        <v>141</v>
      </c>
      <c r="O1676" s="71">
        <f>INDEX(DurClassMapping,MATCH(M1676,MappingTables!$D$4:$D$8,-1),1)</f>
        <v>1</v>
      </c>
      <c r="P1676" s="73">
        <f>IF(M1676=$A$1,1,$M1676-INDEX(MappingTables!$E$4:$E$8,MATCH(O1676,MappingTables!$B$4:$B$8,0)))</f>
        <v>1</v>
      </c>
      <c r="Q1676" s="71">
        <f>IF(B1676="",0,INDEX(ModelParameters!$D$6:$K$10,MATCH($O1676,ModelParameters!$B$6:$B$10,0),MATCH($J1676,ModelParameters!$D$5:$K$5,0)))</f>
        <v>0.025</v>
      </c>
      <c r="R1676" s="71">
        <f>IF(B1676="",0,INDEX(ModelParameters!$D$13:$K$17,MATCH($O1676,ModelParameters!$B$13:$B$17,0),MATCH($J1676,ModelParameters!$D$5:$K$5,0)))</f>
        <v>0</v>
      </c>
      <c r="S1676" s="160">
        <f>IF(B1676="",0,MIN(IF($N1676="Other Bond TM",ModelParameters!$N$21,1)*(P1676*Q1676+R1676),1))</f>
        <v>0.025</v>
      </c>
      <c r="T1676" s="85">
        <f>IF(B1676="",0,$S1676*$K1676)</f>
        <v>0.14335209813520148</v>
      </c>
      <c r="U1676" s="85">
        <f>IF(B1676="",0,IF(OR(H1676=MappingTables!$C$34,H1676=MappingTables!$C$35),T1676,0))</f>
        <v>0</v>
      </c>
      <c r="V1676" s="85">
        <f>IF(ISNA(IF(AND(VLOOKUP(CONCATENATE($D1676,$G1676),CSRFinput!$B:$E,4,0)=0,OR(H1676=MappingTables!$C$34,H1676=MappingTables!$C$35)),1,VLOOKUP(CONCATENATE($D1676,$G1676),CSRFinput!$B:$E,4,0))),0,IF(AND(VLOOKUP(CONCATENATE($D1676,$G1676),CSRFinput!$B:$E,4,0)=0,OR(H1676=MappingTables!$C$34,H1676=MappingTables!$C$35)),1,VLOOKUP(CONCATENATE($D1676,$G1676),CSRFinput!$B:$E,4,0)))</f>
        <v>0.054776304963434752</v>
      </c>
      <c r="W1676" s="85">
        <f>IF(B1676="",0,+$T1676*$V1676)</f>
        <v>0.0078522982446020208</v>
      </c>
      <c r="X1676" s="85">
        <f>IF(B1676="",0,IF(OR(H1676=MappingTables!$C$34,H1676=MappingTables!$C$35),W1676,0))</f>
        <v>0</v>
      </c>
    </row>
    <row r="1677" spans="2:24" s="0" customFormat="0" ht="15">
      <c r="B1677" s="69" t="s">
        <v>1899</v>
      </c>
      <c r="C1677" s="70" t="s">
        <v>1900</v>
      </c>
      <c r="D1677" s="70" t="s">
        <v>1</v>
      </c>
      <c r="E1677" s="70" t="s">
        <v>1</v>
      </c>
      <c r="F1677" s="70"/>
      <c r="G1677" s="70" t="s">
        <v>61</v>
      </c>
      <c r="H1677" s="70" t="s">
        <v>178</v>
      </c>
      <c r="I1677" s="70" t="s">
        <v>181</v>
      </c>
      <c r="J1677" s="71">
        <f>IF(OR(I1677=0,I1677=""),"unrated",VLOOKUP(I1677,MappingTables!$B$19:$C$31,2,FALSE))</f>
        <v>3</v>
      </c>
      <c r="K1677" s="72">
        <v>1.7772381741680144</v>
      </c>
      <c r="L1677" s="70">
        <v>2.8428151193076068</v>
      </c>
      <c r="M1677" s="71">
        <f>IF(L1677&lt;1,1,L1677)</f>
        <v>2.8428151193076068</v>
      </c>
      <c r="N1677" s="70" t="s">
        <v>141</v>
      </c>
      <c r="O1677" s="71">
        <f>INDEX(DurClassMapping,MATCH(M1677,MappingTables!$D$4:$D$8,-1),1)</f>
        <v>1</v>
      </c>
      <c r="P1677" s="73">
        <f>IF(M1677=$A$1,1,$M1677-INDEX(MappingTables!$E$4:$E$8,MATCH(O1677,MappingTables!$B$4:$B$8,0)))</f>
        <v>2.8428151193076068</v>
      </c>
      <c r="Q1677" s="71">
        <f>IF(B1677="",0,INDEX(ModelParameters!$D$6:$K$10,MATCH($O1677,ModelParameters!$B$6:$B$10,0),MATCH($J1677,ModelParameters!$D$5:$K$5,0)))</f>
        <v>0.025</v>
      </c>
      <c r="R1677" s="71">
        <f>IF(B1677="",0,INDEX(ModelParameters!$D$13:$K$17,MATCH($O1677,ModelParameters!$B$13:$B$17,0),MATCH($J1677,ModelParameters!$D$5:$K$5,0)))</f>
        <v>0</v>
      </c>
      <c r="S1677" s="160">
        <f>IF(B1677="",0,MIN(IF($N1677="Other Bond TM",ModelParameters!$N$21,1)*(P1677*Q1677+R1677),1))</f>
        <v>0.071070377982690168</v>
      </c>
      <c r="T1677" s="85">
        <f>IF(B1677="",0,$S1677*$K1677)</f>
        <v>0.12630898880338692</v>
      </c>
      <c r="U1677" s="85">
        <f>IF(B1677="",0,IF(OR(H1677=MappingTables!$C$34,H1677=MappingTables!$C$35),T1677,0))</f>
        <v>0</v>
      </c>
      <c r="V1677" s="85">
        <f>IF(ISNA(IF(AND(VLOOKUP(CONCATENATE($D1677,$G1677),CSRFinput!$B:$E,4,0)=0,OR(H1677=MappingTables!$C$34,H1677=MappingTables!$C$35)),1,VLOOKUP(CONCATENATE($D1677,$G1677),CSRFinput!$B:$E,4,0))),0,IF(AND(VLOOKUP(CONCATENATE($D1677,$G1677),CSRFinput!$B:$E,4,0)=0,OR(H1677=MappingTables!$C$34,H1677=MappingTables!$C$35)),1,VLOOKUP(CONCATENATE($D1677,$G1677),CSRFinput!$B:$E,4,0)))</f>
        <v>0.054776304963434752</v>
      </c>
      <c r="W1677" s="85">
        <f>IF(B1677="",0,+$T1677*$V1677)</f>
        <v>0.0069187396903173872</v>
      </c>
      <c r="X1677" s="85">
        <f>IF(B1677="",0,IF(OR(H1677=MappingTables!$C$34,H1677=MappingTables!$C$35),W1677,0))</f>
        <v>0</v>
      </c>
    </row>
    <row r="1678" spans="2:24" s="0" customFormat="0" ht="15">
      <c r="B1678" s="69" t="s">
        <v>931</v>
      </c>
      <c r="C1678" s="70" t="s">
        <v>932</v>
      </c>
      <c r="D1678" s="70" t="s">
        <v>1</v>
      </c>
      <c r="E1678" s="70" t="s">
        <v>1</v>
      </c>
      <c r="F1678" s="70"/>
      <c r="G1678" s="70" t="s">
        <v>61</v>
      </c>
      <c r="H1678" s="70" t="s">
        <v>178</v>
      </c>
      <c r="I1678" s="70" t="s">
        <v>179</v>
      </c>
      <c r="J1678" s="71">
        <f>IF(OR(I1678=0,I1678=""),"unrated",VLOOKUP(I1678,MappingTables!$B$19:$C$31,2,FALSE))</f>
        <v>4</v>
      </c>
      <c r="K1678" s="72">
        <v>477.06903061508448</v>
      </c>
      <c r="L1678" s="70">
        <v>0.084929085226231312</v>
      </c>
      <c r="M1678" s="71">
        <f>IF(L1678&lt;1,1,L1678)</f>
        <v>1</v>
      </c>
      <c r="N1678" s="70" t="s">
        <v>141</v>
      </c>
      <c r="O1678" s="71">
        <f>INDEX(DurClassMapping,MATCH(M1678,MappingTables!$D$4:$D$8,-1),1)</f>
        <v>1</v>
      </c>
      <c r="P1678" s="73">
        <f>IF(M1678=$A$1,1,$M1678-INDEX(MappingTables!$E$4:$E$8,MATCH(O1678,MappingTables!$B$4:$B$8,0)))</f>
        <v>1</v>
      </c>
      <c r="Q1678" s="71">
        <f>IF(B1678="",0,INDEX(ModelParameters!$D$6:$K$10,MATCH($O1678,ModelParameters!$B$6:$B$10,0),MATCH($J1678,ModelParameters!$D$5:$K$5,0)))</f>
        <v>0.045</v>
      </c>
      <c r="R1678" s="71">
        <f>IF(B1678="",0,INDEX(ModelParameters!$D$13:$K$17,MATCH($O1678,ModelParameters!$B$13:$B$17,0),MATCH($J1678,ModelParameters!$D$5:$K$5,0)))</f>
        <v>0</v>
      </c>
      <c r="S1678" s="160">
        <f>IF(B1678="",0,MIN(IF($N1678="Other Bond TM",ModelParameters!$N$21,1)*(P1678*Q1678+R1678),1))</f>
        <v>0.045</v>
      </c>
      <c r="T1678" s="85">
        <f>IF(B1678="",0,$S1678*$K1678)</f>
        <v>21.4681063776788</v>
      </c>
      <c r="U1678" s="85">
        <f>IF(B1678="",0,IF(OR(H1678=MappingTables!$C$34,H1678=MappingTables!$C$35),T1678,0))</f>
        <v>0</v>
      </c>
      <c r="V1678" s="85">
        <f>IF(ISNA(IF(AND(VLOOKUP(CONCATENATE($D1678,$G1678),CSRFinput!$B:$E,4,0)=0,OR(H1678=MappingTables!$C$34,H1678=MappingTables!$C$35)),1,VLOOKUP(CONCATENATE($D1678,$G1678),CSRFinput!$B:$E,4,0))),0,IF(AND(VLOOKUP(CONCATENATE($D1678,$G1678),CSRFinput!$B:$E,4,0)=0,OR(H1678=MappingTables!$C$34,H1678=MappingTables!$C$35)),1,VLOOKUP(CONCATENATE($D1678,$G1678),CSRFinput!$B:$E,4,0)))</f>
        <v>0.054776304963434752</v>
      </c>
      <c r="W1678" s="85">
        <f>IF(B1678="",0,+$T1678*$V1678)</f>
        <v>1.1759435419311926</v>
      </c>
      <c r="X1678" s="85">
        <f>IF(B1678="",0,IF(OR(H1678=MappingTables!$C$34,H1678=MappingTables!$C$35),W1678,0))</f>
        <v>0</v>
      </c>
    </row>
    <row r="1679" spans="2:24" s="0" customFormat="0" ht="15">
      <c r="B1679" s="69" t="s">
        <v>1901</v>
      </c>
      <c r="C1679" s="70" t="s">
        <v>1902</v>
      </c>
      <c r="D1679" s="70" t="s">
        <v>1</v>
      </c>
      <c r="E1679" s="70" t="s">
        <v>1</v>
      </c>
      <c r="F1679" s="70"/>
      <c r="G1679" s="70" t="s">
        <v>61</v>
      </c>
      <c r="H1679" s="70" t="s">
        <v>178</v>
      </c>
      <c r="I1679" s="70" t="s">
        <v>220</v>
      </c>
      <c r="J1679" s="71">
        <f>IF(OR(I1679=0,I1679=""),"unrated",VLOOKUP(I1679,MappingTables!$B$19:$C$31,2,FALSE))</f>
        <v>1</v>
      </c>
      <c r="K1679" s="72">
        <v>2214.1656625257856</v>
      </c>
      <c r="L1679" s="70">
        <v>1.3821327611637708</v>
      </c>
      <c r="M1679" s="71">
        <f>IF(L1679&lt;1,1,L1679)</f>
        <v>1.3821327611637708</v>
      </c>
      <c r="N1679" s="70" t="s">
        <v>141</v>
      </c>
      <c r="O1679" s="71">
        <f>INDEX(DurClassMapping,MATCH(M1679,MappingTables!$D$4:$D$8,-1),1)</f>
        <v>1</v>
      </c>
      <c r="P1679" s="73">
        <f>IF(M1679=$A$1,1,$M1679-INDEX(MappingTables!$E$4:$E$8,MATCH(O1679,MappingTables!$B$4:$B$8,0)))</f>
        <v>1.3821327611637708</v>
      </c>
      <c r="Q1679" s="71">
        <f>IF(B1679="",0,INDEX(ModelParameters!$D$6:$K$10,MATCH($O1679,ModelParameters!$B$6:$B$10,0),MATCH($J1679,ModelParameters!$D$5:$K$5,0)))</f>
        <v>0.011000000000000002</v>
      </c>
      <c r="R1679" s="71">
        <f>IF(B1679="",0,INDEX(ModelParameters!$D$13:$K$17,MATCH($O1679,ModelParameters!$B$13:$B$17,0),MATCH($J1679,ModelParameters!$D$5:$K$5,0)))</f>
        <v>0</v>
      </c>
      <c r="S1679" s="160">
        <f>IF(B1679="",0,MIN(IF($N1679="Other Bond TM",ModelParameters!$N$21,1)*(P1679*Q1679+R1679),1))</f>
        <v>0.01520346037280148</v>
      </c>
      <c r="T1679" s="85">
        <f>IF(B1679="",0,$S1679*$K1679)</f>
        <v>33.662979909028516</v>
      </c>
      <c r="U1679" s="85">
        <f>IF(B1679="",0,IF(OR(H1679=MappingTables!$C$34,H1679=MappingTables!$C$35),T1679,0))</f>
        <v>0</v>
      </c>
      <c r="V1679" s="85">
        <f>IF(ISNA(IF(AND(VLOOKUP(CONCATENATE($D1679,$G1679),CSRFinput!$B:$E,4,0)=0,OR(H1679=MappingTables!$C$34,H1679=MappingTables!$C$35)),1,VLOOKUP(CONCATENATE($D1679,$G1679),CSRFinput!$B:$E,4,0))),0,IF(AND(VLOOKUP(CONCATENATE($D1679,$G1679),CSRFinput!$B:$E,4,0)=0,OR(H1679=MappingTables!$C$34,H1679=MappingTables!$C$35)),1,VLOOKUP(CONCATENATE($D1679,$G1679),CSRFinput!$B:$E,4,0)))</f>
        <v>0.054776304963434752</v>
      </c>
      <c r="W1679" s="85">
        <f>IF(B1679="",0,+$T1679*$V1679)</f>
        <v>1.8439336534749232</v>
      </c>
      <c r="X1679" s="85">
        <f>IF(B1679="",0,IF(OR(H1679=MappingTables!$C$34,H1679=MappingTables!$C$35),W1679,0))</f>
        <v>0</v>
      </c>
    </row>
    <row r="1680" spans="2:24" s="0" customFormat="0" ht="15">
      <c r="B1680" s="69" t="s">
        <v>1903</v>
      </c>
      <c r="C1680" s="70" t="s">
        <v>1904</v>
      </c>
      <c r="D1680" s="70" t="s">
        <v>1</v>
      </c>
      <c r="E1680" s="70" t="s">
        <v>1</v>
      </c>
      <c r="F1680" s="70"/>
      <c r="G1680" s="70" t="s">
        <v>61</v>
      </c>
      <c r="H1680" s="70" t="s">
        <v>178</v>
      </c>
      <c r="I1680" s="70" t="s">
        <v>181</v>
      </c>
      <c r="J1680" s="71">
        <f>IF(OR(I1680=0,I1680=""),"unrated",VLOOKUP(I1680,MappingTables!$B$19:$C$31,2,FALSE))</f>
        <v>3</v>
      </c>
      <c r="K1680" s="72">
        <v>9.576112721973</v>
      </c>
      <c r="L1680" s="70">
        <v>0.76439202148805008</v>
      </c>
      <c r="M1680" s="71">
        <f>IF(L1680&lt;1,1,L1680)</f>
        <v>1</v>
      </c>
      <c r="N1680" s="70" t="s">
        <v>141</v>
      </c>
      <c r="O1680" s="71">
        <f>INDEX(DurClassMapping,MATCH(M1680,MappingTables!$D$4:$D$8,-1),1)</f>
        <v>1</v>
      </c>
      <c r="P1680" s="73">
        <f>IF(M1680=$A$1,1,$M1680-INDEX(MappingTables!$E$4:$E$8,MATCH(O1680,MappingTables!$B$4:$B$8,0)))</f>
        <v>1</v>
      </c>
      <c r="Q1680" s="71">
        <f>IF(B1680="",0,INDEX(ModelParameters!$D$6:$K$10,MATCH($O1680,ModelParameters!$B$6:$B$10,0),MATCH($J1680,ModelParameters!$D$5:$K$5,0)))</f>
        <v>0.025</v>
      </c>
      <c r="R1680" s="71">
        <f>IF(B1680="",0,INDEX(ModelParameters!$D$13:$K$17,MATCH($O1680,ModelParameters!$B$13:$B$17,0),MATCH($J1680,ModelParameters!$D$5:$K$5,0)))</f>
        <v>0</v>
      </c>
      <c r="S1680" s="160">
        <f>IF(B1680="",0,MIN(IF($N1680="Other Bond TM",ModelParameters!$N$21,1)*(P1680*Q1680+R1680),1))</f>
        <v>0.025</v>
      </c>
      <c r="T1680" s="85">
        <f>IF(B1680="",0,$S1680*$K1680)</f>
        <v>0.23940281804932504</v>
      </c>
      <c r="U1680" s="85">
        <f>IF(B1680="",0,IF(OR(H1680=MappingTables!$C$34,H1680=MappingTables!$C$35),T1680,0))</f>
        <v>0</v>
      </c>
      <c r="V1680" s="85">
        <f>IF(ISNA(IF(AND(VLOOKUP(CONCATENATE($D1680,$G1680),CSRFinput!$B:$E,4,0)=0,OR(H1680=MappingTables!$C$34,H1680=MappingTables!$C$35)),1,VLOOKUP(CONCATENATE($D1680,$G1680),CSRFinput!$B:$E,4,0))),0,IF(AND(VLOOKUP(CONCATENATE($D1680,$G1680),CSRFinput!$B:$E,4,0)=0,OR(H1680=MappingTables!$C$34,H1680=MappingTables!$C$35)),1,VLOOKUP(CONCATENATE($D1680,$G1680),CSRFinput!$B:$E,4,0)))</f>
        <v>0.054776304963434752</v>
      </c>
      <c r="W1680" s="85">
        <f>IF(B1680="",0,+$T1680*$V1680)</f>
        <v>0.01311360177057551</v>
      </c>
      <c r="X1680" s="85">
        <f>IF(B1680="",0,IF(OR(H1680=MappingTables!$C$34,H1680=MappingTables!$C$35),W1680,0))</f>
        <v>0</v>
      </c>
    </row>
    <row r="1681" spans="2:24" s="0" customFormat="0" ht="15">
      <c r="B1681" s="69">
        <v>15774240</v>
      </c>
      <c r="C1681" s="70" t="s">
        <v>1470</v>
      </c>
      <c r="D1681" s="70" t="s">
        <v>1</v>
      </c>
      <c r="E1681" s="70" t="s">
        <v>1</v>
      </c>
      <c r="F1681" s="70"/>
      <c r="G1681" s="70" t="s">
        <v>61</v>
      </c>
      <c r="H1681" s="70" t="s">
        <v>178</v>
      </c>
      <c r="I1681" s="70" t="s">
        <v>181</v>
      </c>
      <c r="J1681" s="71">
        <f>IF(OR(I1681=0,I1681=""),"unrated",VLOOKUP(I1681,MappingTables!$B$19:$C$31,2,FALSE))</f>
        <v>3</v>
      </c>
      <c r="K1681" s="72">
        <v>4570.6793993963296</v>
      </c>
      <c r="L1681" s="70">
        <v>0.3771026424333004</v>
      </c>
      <c r="M1681" s="71">
        <f>IF(L1681&lt;1,1,L1681)</f>
        <v>1</v>
      </c>
      <c r="N1681" s="70" t="s">
        <v>141</v>
      </c>
      <c r="O1681" s="71">
        <f>INDEX(DurClassMapping,MATCH(M1681,MappingTables!$D$4:$D$8,-1),1)</f>
        <v>1</v>
      </c>
      <c r="P1681" s="73">
        <f>IF(M1681=$A$1,1,$M1681-INDEX(MappingTables!$E$4:$E$8,MATCH(O1681,MappingTables!$B$4:$B$8,0)))</f>
        <v>1</v>
      </c>
      <c r="Q1681" s="71">
        <f>IF(B1681="",0,INDEX(ModelParameters!$D$6:$K$10,MATCH($O1681,ModelParameters!$B$6:$B$10,0),MATCH($J1681,ModelParameters!$D$5:$K$5,0)))</f>
        <v>0.025</v>
      </c>
      <c r="R1681" s="71">
        <f>IF(B1681="",0,INDEX(ModelParameters!$D$13:$K$17,MATCH($O1681,ModelParameters!$B$13:$B$17,0),MATCH($J1681,ModelParameters!$D$5:$K$5,0)))</f>
        <v>0</v>
      </c>
      <c r="S1681" s="160">
        <f>IF(B1681="",0,MIN(IF($N1681="Other Bond TM",ModelParameters!$N$21,1)*(P1681*Q1681+R1681),1))</f>
        <v>0.025</v>
      </c>
      <c r="T1681" s="85">
        <f>IF(B1681="",0,$S1681*$K1681)</f>
        <v>114.26698498490824</v>
      </c>
      <c r="U1681" s="85">
        <f>IF(B1681="",0,IF(OR(H1681=MappingTables!$C$34,H1681=MappingTables!$C$35),T1681,0))</f>
        <v>0</v>
      </c>
      <c r="V1681" s="85">
        <f>IF(ISNA(IF(AND(VLOOKUP(CONCATENATE($D1681,$G1681),CSRFinput!$B:$E,4,0)=0,OR(H1681=MappingTables!$C$34,H1681=MappingTables!$C$35)),1,VLOOKUP(CONCATENATE($D1681,$G1681),CSRFinput!$B:$E,4,0))),0,IF(AND(VLOOKUP(CONCATENATE($D1681,$G1681),CSRFinput!$B:$E,4,0)=0,OR(H1681=MappingTables!$C$34,H1681=MappingTables!$C$35)),1,VLOOKUP(CONCATENATE($D1681,$G1681),CSRFinput!$B:$E,4,0)))</f>
        <v>0.054776304963434752</v>
      </c>
      <c r="W1681" s="85">
        <f>IF(B1681="",0,+$T1681*$V1681)</f>
        <v>6.2591232167855536</v>
      </c>
      <c r="X1681" s="85">
        <f>IF(B1681="",0,IF(OR(H1681=MappingTables!$C$34,H1681=MappingTables!$C$35),W1681,0))</f>
        <v>0</v>
      </c>
    </row>
    <row r="1682" spans="2:24" s="0" customFormat="0" ht="15">
      <c r="B1682" s="69">
        <v>23305251</v>
      </c>
      <c r="C1682" s="70" t="s">
        <v>1905</v>
      </c>
      <c r="D1682" s="70" t="s">
        <v>1</v>
      </c>
      <c r="E1682" s="70" t="s">
        <v>1</v>
      </c>
      <c r="F1682" s="70"/>
      <c r="G1682" s="70" t="s">
        <v>61</v>
      </c>
      <c r="H1682" s="70" t="s">
        <v>178</v>
      </c>
      <c r="I1682" s="70" t="s">
        <v>179</v>
      </c>
      <c r="J1682" s="71">
        <f>IF(OR(I1682=0,I1682=""),"unrated",VLOOKUP(I1682,MappingTables!$B$19:$C$31,2,FALSE))</f>
        <v>4</v>
      </c>
      <c r="K1682" s="72">
        <v>6430.4943812664912</v>
      </c>
      <c r="L1682" s="70">
        <v>10.34703498674213</v>
      </c>
      <c r="M1682" s="71">
        <f>IF(L1682&lt;1,1,L1682)</f>
        <v>10.34703498674213</v>
      </c>
      <c r="N1682" s="70" t="s">
        <v>141</v>
      </c>
      <c r="O1682" s="71">
        <f>INDEX(DurClassMapping,MATCH(M1682,MappingTables!$D$4:$D$8,-1),1)</f>
        <v>3</v>
      </c>
      <c r="P1682" s="73">
        <f>IF(M1682=$A$1,1,$M1682-INDEX(MappingTables!$E$4:$E$8,MATCH(O1682,MappingTables!$B$4:$B$8,0)))</f>
        <v>0.34703498674213052</v>
      </c>
      <c r="Q1682" s="71">
        <f>IF(B1682="",0,INDEX(ModelParameters!$D$6:$K$10,MATCH($O1682,ModelParameters!$B$6:$B$10,0),MATCH($J1682,ModelParameters!$D$5:$K$5,0)))</f>
        <v>0.018000000000000002</v>
      </c>
      <c r="R1682" s="71">
        <f>IF(B1682="",0,INDEX(ModelParameters!$D$13:$K$17,MATCH($O1682,ModelParameters!$B$13:$B$17,0),MATCH($J1682,ModelParameters!$D$5:$K$5,0)))</f>
        <v>0.34999999999999996</v>
      </c>
      <c r="S1682" s="160">
        <f>IF(B1682="",0,MIN(IF($N1682="Other Bond TM",ModelParameters!$N$21,1)*(P1682*Q1682+R1682),1))</f>
        <v>0.35624662976135836</v>
      </c>
      <c r="T1682" s="85">
        <f>IF(B1682="",0,$S1682*$K1682)</f>
        <v>2290.8419510255388</v>
      </c>
      <c r="U1682" s="85">
        <f>IF(B1682="",0,IF(OR(H1682=MappingTables!$C$34,H1682=MappingTables!$C$35),T1682,0))</f>
        <v>0</v>
      </c>
      <c r="V1682" s="85">
        <f>IF(ISNA(IF(AND(VLOOKUP(CONCATENATE($D1682,$G1682),CSRFinput!$B:$E,4,0)=0,OR(H1682=MappingTables!$C$34,H1682=MappingTables!$C$35)),1,VLOOKUP(CONCATENATE($D1682,$G1682),CSRFinput!$B:$E,4,0))),0,IF(AND(VLOOKUP(CONCATENATE($D1682,$G1682),CSRFinput!$B:$E,4,0)=0,OR(H1682=MappingTables!$C$34,H1682=MappingTables!$C$35)),1,VLOOKUP(CONCATENATE($D1682,$G1682),CSRFinput!$B:$E,4,0)))</f>
        <v>0.054776304963434752</v>
      </c>
      <c r="W1682" s="85">
        <f>IF(B1682="",0,+$T1682*$V1682)</f>
        <v>125.48385733240478</v>
      </c>
      <c r="X1682" s="85">
        <f>IF(B1682="",0,IF(OR(H1682=MappingTables!$C$34,H1682=MappingTables!$C$35),W1682,0))</f>
        <v>0</v>
      </c>
    </row>
    <row r="1683" spans="2:24" s="0" customFormat="0" ht="15">
      <c r="B1683" s="69" t="s">
        <v>1906</v>
      </c>
      <c r="C1683" s="70" t="s">
        <v>1907</v>
      </c>
      <c r="D1683" s="70" t="s">
        <v>1</v>
      </c>
      <c r="E1683" s="70" t="s">
        <v>1</v>
      </c>
      <c r="F1683" s="70"/>
      <c r="G1683" s="70" t="s">
        <v>61</v>
      </c>
      <c r="H1683" s="70" t="s">
        <v>178</v>
      </c>
      <c r="I1683" s="70" t="s">
        <v>198</v>
      </c>
      <c r="J1683" s="71" t="str">
        <f>IF(OR(I1683=0,I1683=""),"unrated",VLOOKUP(I1683,MappingTables!$B$19:$C$31,2,FALSE))</f>
        <v>unrated</v>
      </c>
      <c r="K1683" s="72">
        <v>692.42321527138392</v>
      </c>
      <c r="L1683" s="70">
        <v>0.34794802849886152</v>
      </c>
      <c r="M1683" s="71">
        <f>IF(L1683&lt;1,1,L1683)</f>
        <v>1</v>
      </c>
      <c r="N1683" s="70" t="s">
        <v>141</v>
      </c>
      <c r="O1683" s="71">
        <f>INDEX(DurClassMapping,MATCH(M1683,MappingTables!$D$4:$D$8,-1),1)</f>
        <v>1</v>
      </c>
      <c r="P1683" s="73">
        <f>IF(M1683=$A$1,1,$M1683-INDEX(MappingTables!$E$4:$E$8,MATCH(O1683,MappingTables!$B$4:$B$8,0)))</f>
        <v>1</v>
      </c>
      <c r="Q1683" s="71">
        <f>IF(B1683="",0,INDEX(ModelParameters!$D$6:$K$10,MATCH($O1683,ModelParameters!$B$6:$B$10,0),MATCH($J1683,ModelParameters!$D$5:$K$5,0)))</f>
        <v>0.03</v>
      </c>
      <c r="R1683" s="71">
        <f>IF(B1683="",0,INDEX(ModelParameters!$D$13:$K$17,MATCH($O1683,ModelParameters!$B$13:$B$17,0),MATCH($J1683,ModelParameters!$D$5:$K$5,0)))</f>
        <v>0</v>
      </c>
      <c r="S1683" s="160">
        <f>IF(B1683="",0,MIN(IF($N1683="Other Bond TM",ModelParameters!$N$21,1)*(P1683*Q1683+R1683),1))</f>
        <v>0.03</v>
      </c>
      <c r="T1683" s="85">
        <f>IF(B1683="",0,$S1683*$K1683)</f>
        <v>20.772696458141516</v>
      </c>
      <c r="U1683" s="85">
        <f>IF(B1683="",0,IF(OR(H1683=MappingTables!$C$34,H1683=MappingTables!$C$35),T1683,0))</f>
        <v>0</v>
      </c>
      <c r="V1683" s="85">
        <f>IF(ISNA(IF(AND(VLOOKUP(CONCATENATE($D1683,$G1683),CSRFinput!$B:$E,4,0)=0,OR(H1683=MappingTables!$C$34,H1683=MappingTables!$C$35)),1,VLOOKUP(CONCATENATE($D1683,$G1683),CSRFinput!$B:$E,4,0))),0,IF(AND(VLOOKUP(CONCATENATE($D1683,$G1683),CSRFinput!$B:$E,4,0)=0,OR(H1683=MappingTables!$C$34,H1683=MappingTables!$C$35)),1,VLOOKUP(CONCATENATE($D1683,$G1683),CSRFinput!$B:$E,4,0)))</f>
        <v>0.054776304963434752</v>
      </c>
      <c r="W1683" s="85">
        <f>IF(B1683="",0,+$T1683*$V1683)</f>
        <v>1.1378515561040208</v>
      </c>
      <c r="X1683" s="85">
        <f>IF(B1683="",0,IF(OR(H1683=MappingTables!$C$34,H1683=MappingTables!$C$35),W1683,0))</f>
        <v>0</v>
      </c>
    </row>
    <row r="1684" spans="2:24" s="0" customFormat="0" ht="15">
      <c r="B1684" s="69">
        <v>21151212</v>
      </c>
      <c r="C1684" s="70" t="s">
        <v>1908</v>
      </c>
      <c r="D1684" s="70" t="s">
        <v>1</v>
      </c>
      <c r="E1684" s="70" t="s">
        <v>1</v>
      </c>
      <c r="F1684" s="70"/>
      <c r="G1684" s="70" t="s">
        <v>61</v>
      </c>
      <c r="H1684" s="70" t="s">
        <v>178</v>
      </c>
      <c r="I1684" s="70" t="s">
        <v>181</v>
      </c>
      <c r="J1684" s="71">
        <f>IF(OR(I1684=0,I1684=""),"unrated",VLOOKUP(I1684,MappingTables!$B$19:$C$31,2,FALSE))</f>
        <v>3</v>
      </c>
      <c r="K1684" s="72">
        <v>4181.2788633423328</v>
      </c>
      <c r="L1684" s="70">
        <v>6.9372568272506168</v>
      </c>
      <c r="M1684" s="71">
        <f>IF(L1684&lt;1,1,L1684)</f>
        <v>6.9372568272506168</v>
      </c>
      <c r="N1684" s="70" t="s">
        <v>141</v>
      </c>
      <c r="O1684" s="71">
        <f>INDEX(DurClassMapping,MATCH(M1684,MappingTables!$D$4:$D$8,-1),1)</f>
        <v>2</v>
      </c>
      <c r="P1684" s="73">
        <f>IF(M1684=$A$1,1,$M1684-INDEX(MappingTables!$E$4:$E$8,MATCH(O1684,MappingTables!$B$4:$B$8,0)))</f>
        <v>1.9372568272506168</v>
      </c>
      <c r="Q1684" s="71">
        <f>IF(B1684="",0,INDEX(ModelParameters!$D$6:$K$10,MATCH($O1684,ModelParameters!$B$6:$B$10,0),MATCH($J1684,ModelParameters!$D$5:$K$5,0)))</f>
        <v>0.015</v>
      </c>
      <c r="R1684" s="71">
        <f>IF(B1684="",0,INDEX(ModelParameters!$D$13:$K$17,MATCH($O1684,ModelParameters!$B$13:$B$17,0),MATCH($J1684,ModelParameters!$D$5:$K$5,0)))</f>
        <v>0.125</v>
      </c>
      <c r="S1684" s="160">
        <f>IF(B1684="",0,MIN(IF($N1684="Other Bond TM",ModelParameters!$N$21,1)*(P1684*Q1684+R1684),1))</f>
        <v>0.15405885240875924</v>
      </c>
      <c r="T1684" s="85">
        <f>IF(B1684="",0,$S1684*$K1684)</f>
        <v>644.16302328752104</v>
      </c>
      <c r="U1684" s="85">
        <f>IF(B1684="",0,IF(OR(H1684=MappingTables!$C$34,H1684=MappingTables!$C$35),T1684,0))</f>
        <v>0</v>
      </c>
      <c r="V1684" s="85">
        <f>IF(ISNA(IF(AND(VLOOKUP(CONCATENATE($D1684,$G1684),CSRFinput!$B:$E,4,0)=0,OR(H1684=MappingTables!$C$34,H1684=MappingTables!$C$35)),1,VLOOKUP(CONCATENATE($D1684,$G1684),CSRFinput!$B:$E,4,0))),0,IF(AND(VLOOKUP(CONCATENATE($D1684,$G1684),CSRFinput!$B:$E,4,0)=0,OR(H1684=MappingTables!$C$34,H1684=MappingTables!$C$35)),1,VLOOKUP(CONCATENATE($D1684,$G1684),CSRFinput!$B:$E,4,0)))</f>
        <v>0.054776304963434752</v>
      </c>
      <c r="W1684" s="85">
        <f>IF(B1684="",0,+$T1684*$V1684)</f>
        <v>35.284870209765372</v>
      </c>
      <c r="X1684" s="85">
        <f>IF(B1684="",0,IF(OR(H1684=MappingTables!$C$34,H1684=MappingTables!$C$35),W1684,0))</f>
        <v>0</v>
      </c>
    </row>
    <row r="1685" spans="2:24" s="0" customFormat="0" ht="15">
      <c r="B1685" s="69">
        <v>21772341</v>
      </c>
      <c r="C1685" s="70" t="s">
        <v>1909</v>
      </c>
      <c r="D1685" s="70" t="s">
        <v>1</v>
      </c>
      <c r="E1685" s="70" t="s">
        <v>1</v>
      </c>
      <c r="F1685" s="70"/>
      <c r="G1685" s="70" t="s">
        <v>61</v>
      </c>
      <c r="H1685" s="70" t="s">
        <v>178</v>
      </c>
      <c r="I1685" s="70" t="s">
        <v>181</v>
      </c>
      <c r="J1685" s="71">
        <f>IF(OR(I1685=0,I1685=""),"unrated",VLOOKUP(I1685,MappingTables!$B$19:$C$31,2,FALSE))</f>
        <v>3</v>
      </c>
      <c r="K1685" s="72">
        <v>69.47637612758608</v>
      </c>
      <c r="L1685" s="70">
        <v>1.9487301489553172</v>
      </c>
      <c r="M1685" s="71">
        <f>IF(L1685&lt;1,1,L1685)</f>
        <v>1.9487301489553172</v>
      </c>
      <c r="N1685" s="70" t="s">
        <v>141</v>
      </c>
      <c r="O1685" s="71">
        <f>INDEX(DurClassMapping,MATCH(M1685,MappingTables!$D$4:$D$8,-1),1)</f>
        <v>1</v>
      </c>
      <c r="P1685" s="73">
        <f>IF(M1685=$A$1,1,$M1685-INDEX(MappingTables!$E$4:$E$8,MATCH(O1685,MappingTables!$B$4:$B$8,0)))</f>
        <v>1.9487301489553172</v>
      </c>
      <c r="Q1685" s="71">
        <f>IF(B1685="",0,INDEX(ModelParameters!$D$6:$K$10,MATCH($O1685,ModelParameters!$B$6:$B$10,0),MATCH($J1685,ModelParameters!$D$5:$K$5,0)))</f>
        <v>0.025</v>
      </c>
      <c r="R1685" s="71">
        <f>IF(B1685="",0,INDEX(ModelParameters!$D$13:$K$17,MATCH($O1685,ModelParameters!$B$13:$B$17,0),MATCH($J1685,ModelParameters!$D$5:$K$5,0)))</f>
        <v>0</v>
      </c>
      <c r="S1685" s="160">
        <f>IF(B1685="",0,MIN(IF($N1685="Other Bond TM",ModelParameters!$N$21,1)*(P1685*Q1685+R1685),1))</f>
        <v>0.048718253723882936</v>
      </c>
      <c r="T1685" s="85">
        <f>IF(B1685="",0,$S1685*$K1685)</f>
        <v>3.384767719999662</v>
      </c>
      <c r="U1685" s="85">
        <f>IF(B1685="",0,IF(OR(H1685=MappingTables!$C$34,H1685=MappingTables!$C$35),T1685,0))</f>
        <v>0</v>
      </c>
      <c r="V1685" s="85">
        <f>IF(ISNA(IF(AND(VLOOKUP(CONCATENATE($D1685,$G1685),CSRFinput!$B:$E,4,0)=0,OR(H1685=MappingTables!$C$34,H1685=MappingTables!$C$35)),1,VLOOKUP(CONCATENATE($D1685,$G1685),CSRFinput!$B:$E,4,0))),0,IF(AND(VLOOKUP(CONCATENATE($D1685,$G1685),CSRFinput!$B:$E,4,0)=0,OR(H1685=MappingTables!$C$34,H1685=MappingTables!$C$35)),1,VLOOKUP(CONCATENATE($D1685,$G1685),CSRFinput!$B:$E,4,0)))</f>
        <v>0.054776304963434752</v>
      </c>
      <c r="W1685" s="85">
        <f>IF(B1685="",0,+$T1685*$V1685)</f>
        <v>0.18540506886109124</v>
      </c>
      <c r="X1685" s="85">
        <f>IF(B1685="",0,IF(OR(H1685=MappingTables!$C$34,H1685=MappingTables!$C$35),W1685,0))</f>
        <v>0</v>
      </c>
    </row>
    <row r="1686" spans="2:24" s="0" customFormat="0" ht="15">
      <c r="B1686" s="69" t="s">
        <v>1831</v>
      </c>
      <c r="C1686" s="70" t="s">
        <v>1832</v>
      </c>
      <c r="D1686" s="70" t="s">
        <v>1</v>
      </c>
      <c r="E1686" s="70" t="s">
        <v>1</v>
      </c>
      <c r="F1686" s="70"/>
      <c r="G1686" s="70" t="s">
        <v>61</v>
      </c>
      <c r="H1686" s="70" t="s">
        <v>178</v>
      </c>
      <c r="I1686" s="70" t="s">
        <v>198</v>
      </c>
      <c r="J1686" s="71" t="str">
        <f>IF(OR(I1686=0,I1686=""),"unrated",VLOOKUP(I1686,MappingTables!$B$19:$C$31,2,FALSE))</f>
        <v>unrated</v>
      </c>
      <c r="K1686" s="72">
        <v>0.1136064964811638</v>
      </c>
      <c r="L1686" s="70">
        <v>0.21095977599557692</v>
      </c>
      <c r="M1686" s="71">
        <f>IF(L1686&lt;1,1,L1686)</f>
        <v>1</v>
      </c>
      <c r="N1686" s="70" t="s">
        <v>141</v>
      </c>
      <c r="O1686" s="71">
        <f>INDEX(DurClassMapping,MATCH(M1686,MappingTables!$D$4:$D$8,-1),1)</f>
        <v>1</v>
      </c>
      <c r="P1686" s="73">
        <f>IF(M1686=$A$1,1,$M1686-INDEX(MappingTables!$E$4:$E$8,MATCH(O1686,MappingTables!$B$4:$B$8,0)))</f>
        <v>1</v>
      </c>
      <c r="Q1686" s="71">
        <f>IF(B1686="",0,INDEX(ModelParameters!$D$6:$K$10,MATCH($O1686,ModelParameters!$B$6:$B$10,0),MATCH($J1686,ModelParameters!$D$5:$K$5,0)))</f>
        <v>0.03</v>
      </c>
      <c r="R1686" s="71">
        <f>IF(B1686="",0,INDEX(ModelParameters!$D$13:$K$17,MATCH($O1686,ModelParameters!$B$13:$B$17,0),MATCH($J1686,ModelParameters!$D$5:$K$5,0)))</f>
        <v>0</v>
      </c>
      <c r="S1686" s="160">
        <f>IF(B1686="",0,MIN(IF($N1686="Other Bond TM",ModelParameters!$N$21,1)*(P1686*Q1686+R1686),1))</f>
        <v>0.03</v>
      </c>
      <c r="T1686" s="85">
        <f>IF(B1686="",0,$S1686*$K1686)</f>
        <v>0.0034081948944349136</v>
      </c>
      <c r="U1686" s="85">
        <f>IF(B1686="",0,IF(OR(H1686=MappingTables!$C$34,H1686=MappingTables!$C$35),T1686,0))</f>
        <v>0</v>
      </c>
      <c r="V1686" s="85">
        <f>IF(ISNA(IF(AND(VLOOKUP(CONCATENATE($D1686,$G1686),CSRFinput!$B:$E,4,0)=0,OR(H1686=MappingTables!$C$34,H1686=MappingTables!$C$35)),1,VLOOKUP(CONCATENATE($D1686,$G1686),CSRFinput!$B:$E,4,0))),0,IF(AND(VLOOKUP(CONCATENATE($D1686,$G1686),CSRFinput!$B:$E,4,0)=0,OR(H1686=MappingTables!$C$34,H1686=MappingTables!$C$35)),1,VLOOKUP(CONCATENATE($D1686,$G1686),CSRFinput!$B:$E,4,0)))</f>
        <v>0.054776304963434752</v>
      </c>
      <c r="W1686" s="85">
        <f>IF(B1686="",0,+$T1686*$V1686)</f>
        <v>0.00018668832291238812</v>
      </c>
      <c r="X1686" s="85">
        <f>IF(B1686="",0,IF(OR(H1686=MappingTables!$C$34,H1686=MappingTables!$C$35),W1686,0))</f>
        <v>0</v>
      </c>
    </row>
    <row r="1687" spans="2:24" s="0" customFormat="0" ht="15">
      <c r="B1687" s="69">
        <v>23432952</v>
      </c>
      <c r="C1687" s="70" t="s">
        <v>453</v>
      </c>
      <c r="D1687" s="70" t="s">
        <v>1</v>
      </c>
      <c r="E1687" s="70" t="s">
        <v>1</v>
      </c>
      <c r="F1687" s="70"/>
      <c r="G1687" s="70" t="s">
        <v>61</v>
      </c>
      <c r="H1687" s="70" t="s">
        <v>178</v>
      </c>
      <c r="I1687" s="70" t="s">
        <v>188</v>
      </c>
      <c r="J1687" s="71">
        <f>IF(OR(I1687=0,I1687=""),"unrated",VLOOKUP(I1687,MappingTables!$B$19:$C$31,2,FALSE))</f>
        <v>2</v>
      </c>
      <c r="K1687" s="72">
        <v>6498.8130548600968</v>
      </c>
      <c r="L1687" s="70">
        <v>0.087672108962518704</v>
      </c>
      <c r="M1687" s="71">
        <f>IF(L1687&lt;1,1,L1687)</f>
        <v>1</v>
      </c>
      <c r="N1687" s="70" t="s">
        <v>141</v>
      </c>
      <c r="O1687" s="71">
        <f>INDEX(DurClassMapping,MATCH(M1687,MappingTables!$D$4:$D$8,-1),1)</f>
        <v>1</v>
      </c>
      <c r="P1687" s="73">
        <f>IF(M1687=$A$1,1,$M1687-INDEX(MappingTables!$E$4:$E$8,MATCH(O1687,MappingTables!$B$4:$B$8,0)))</f>
        <v>1</v>
      </c>
      <c r="Q1687" s="71">
        <f>IF(B1687="",0,INDEX(ModelParameters!$D$6:$K$10,MATCH($O1687,ModelParameters!$B$6:$B$10,0),MATCH($J1687,ModelParameters!$D$5:$K$5,0)))</f>
        <v>0.013999999999999998</v>
      </c>
      <c r="R1687" s="71">
        <f>IF(B1687="",0,INDEX(ModelParameters!$D$13:$K$17,MATCH($O1687,ModelParameters!$B$13:$B$17,0),MATCH($J1687,ModelParameters!$D$5:$K$5,0)))</f>
        <v>0</v>
      </c>
      <c r="S1687" s="160">
        <f>IF(B1687="",0,MIN(IF($N1687="Other Bond TM",ModelParameters!$N$21,1)*(P1687*Q1687+R1687),1))</f>
        <v>0.013999999999999998</v>
      </c>
      <c r="T1687" s="85">
        <f>IF(B1687="",0,$S1687*$K1687)</f>
        <v>90.983382768041344</v>
      </c>
      <c r="U1687" s="85">
        <f>IF(B1687="",0,IF(OR(H1687=MappingTables!$C$34,H1687=MappingTables!$C$35),T1687,0))</f>
        <v>0</v>
      </c>
      <c r="V1687" s="85">
        <f>IF(ISNA(IF(AND(VLOOKUP(CONCATENATE($D1687,$G1687),CSRFinput!$B:$E,4,0)=0,OR(H1687=MappingTables!$C$34,H1687=MappingTables!$C$35)),1,VLOOKUP(CONCATENATE($D1687,$G1687),CSRFinput!$B:$E,4,0))),0,IF(AND(VLOOKUP(CONCATENATE($D1687,$G1687),CSRFinput!$B:$E,4,0)=0,OR(H1687=MappingTables!$C$34,H1687=MappingTables!$C$35)),1,VLOOKUP(CONCATENATE($D1687,$G1687),CSRFinput!$B:$E,4,0)))</f>
        <v>0.054776304963434752</v>
      </c>
      <c r="W1687" s="85">
        <f>IF(B1687="",0,+$T1687*$V1687)</f>
        <v>4.9837335211071464</v>
      </c>
      <c r="X1687" s="85">
        <f>IF(B1687="",0,IF(OR(H1687=MappingTables!$C$34,H1687=MappingTables!$C$35),W1687,0))</f>
        <v>0</v>
      </c>
    </row>
    <row r="1688" spans="2:24" s="0" customFormat="0" ht="15">
      <c r="B1688" s="69" t="s">
        <v>1910</v>
      </c>
      <c r="C1688" s="70" t="s">
        <v>1911</v>
      </c>
      <c r="D1688" s="70" t="s">
        <v>1</v>
      </c>
      <c r="E1688" s="70" t="s">
        <v>1</v>
      </c>
      <c r="F1688" s="70"/>
      <c r="G1688" s="70" t="s">
        <v>61</v>
      </c>
      <c r="H1688" s="70" t="s">
        <v>178</v>
      </c>
      <c r="I1688" s="70" t="s">
        <v>188</v>
      </c>
      <c r="J1688" s="71">
        <f>IF(OR(I1688=0,I1688=""),"unrated",VLOOKUP(I1688,MappingTables!$B$19:$C$31,2,FALSE))</f>
        <v>2</v>
      </c>
      <c r="K1688" s="72">
        <v>15.16994089593049</v>
      </c>
      <c r="L1688" s="70">
        <v>0.49589270089104944</v>
      </c>
      <c r="M1688" s="71">
        <f>IF(L1688&lt;1,1,L1688)</f>
        <v>1</v>
      </c>
      <c r="N1688" s="70" t="s">
        <v>141</v>
      </c>
      <c r="O1688" s="71">
        <f>INDEX(DurClassMapping,MATCH(M1688,MappingTables!$D$4:$D$8,-1),1)</f>
        <v>1</v>
      </c>
      <c r="P1688" s="73">
        <f>IF(M1688=$A$1,1,$M1688-INDEX(MappingTables!$E$4:$E$8,MATCH(O1688,MappingTables!$B$4:$B$8,0)))</f>
        <v>1</v>
      </c>
      <c r="Q1688" s="71">
        <f>IF(B1688="",0,INDEX(ModelParameters!$D$6:$K$10,MATCH($O1688,ModelParameters!$B$6:$B$10,0),MATCH($J1688,ModelParameters!$D$5:$K$5,0)))</f>
        <v>0.013999999999999998</v>
      </c>
      <c r="R1688" s="71">
        <f>IF(B1688="",0,INDEX(ModelParameters!$D$13:$K$17,MATCH($O1688,ModelParameters!$B$13:$B$17,0),MATCH($J1688,ModelParameters!$D$5:$K$5,0)))</f>
        <v>0</v>
      </c>
      <c r="S1688" s="160">
        <f>IF(B1688="",0,MIN(IF($N1688="Other Bond TM",ModelParameters!$N$21,1)*(P1688*Q1688+R1688),1))</f>
        <v>0.013999999999999998</v>
      </c>
      <c r="T1688" s="85">
        <f>IF(B1688="",0,$S1688*$K1688)</f>
        <v>0.21237917254302684</v>
      </c>
      <c r="U1688" s="85">
        <f>IF(B1688="",0,IF(OR(H1688=MappingTables!$C$34,H1688=MappingTables!$C$35),T1688,0))</f>
        <v>0</v>
      </c>
      <c r="V1688" s="85">
        <f>IF(ISNA(IF(AND(VLOOKUP(CONCATENATE($D1688,$G1688),CSRFinput!$B:$E,4,0)=0,OR(H1688=MappingTables!$C$34,H1688=MappingTables!$C$35)),1,VLOOKUP(CONCATENATE($D1688,$G1688),CSRFinput!$B:$E,4,0))),0,IF(AND(VLOOKUP(CONCATENATE($D1688,$G1688),CSRFinput!$B:$E,4,0)=0,OR(H1688=MappingTables!$C$34,H1688=MappingTables!$C$35)),1,VLOOKUP(CONCATENATE($D1688,$G1688),CSRFinput!$B:$E,4,0)))</f>
        <v>0.054776304963434752</v>
      </c>
      <c r="W1688" s="85">
        <f>IF(B1688="",0,+$T1688*$V1688)</f>
        <v>0.011633346323098766</v>
      </c>
      <c r="X1688" s="85">
        <f>IF(B1688="",0,IF(OR(H1688=MappingTables!$C$34,H1688=MappingTables!$C$35),W1688,0))</f>
        <v>0</v>
      </c>
    </row>
    <row r="1689" spans="2:24" s="0" customFormat="0" ht="15">
      <c r="B1689" s="69" t="s">
        <v>1912</v>
      </c>
      <c r="C1689" s="70" t="s">
        <v>1913</v>
      </c>
      <c r="D1689" s="70" t="s">
        <v>1</v>
      </c>
      <c r="E1689" s="70" t="s">
        <v>1</v>
      </c>
      <c r="F1689" s="70"/>
      <c r="G1689" s="70" t="s">
        <v>61</v>
      </c>
      <c r="H1689" s="70" t="s">
        <v>178</v>
      </c>
      <c r="I1689" s="70" t="s">
        <v>188</v>
      </c>
      <c r="J1689" s="71">
        <f>IF(OR(I1689=0,I1689=""),"unrated",VLOOKUP(I1689,MappingTables!$B$19:$C$31,2,FALSE))</f>
        <v>2</v>
      </c>
      <c r="K1689" s="72">
        <v>70.28595919383912</v>
      </c>
      <c r="L1689" s="70">
        <v>1.6264428995690548</v>
      </c>
      <c r="M1689" s="71">
        <f>IF(L1689&lt;1,1,L1689)</f>
        <v>1.6264428995690548</v>
      </c>
      <c r="N1689" s="70" t="s">
        <v>141</v>
      </c>
      <c r="O1689" s="71">
        <f>INDEX(DurClassMapping,MATCH(M1689,MappingTables!$D$4:$D$8,-1),1)</f>
        <v>1</v>
      </c>
      <c r="P1689" s="73">
        <f>IF(M1689=$A$1,1,$M1689-INDEX(MappingTables!$E$4:$E$8,MATCH(O1689,MappingTables!$B$4:$B$8,0)))</f>
        <v>1.6264428995690548</v>
      </c>
      <c r="Q1689" s="71">
        <f>IF(B1689="",0,INDEX(ModelParameters!$D$6:$K$10,MATCH($O1689,ModelParameters!$B$6:$B$10,0),MATCH($J1689,ModelParameters!$D$5:$K$5,0)))</f>
        <v>0.013999999999999998</v>
      </c>
      <c r="R1689" s="71">
        <f>IF(B1689="",0,INDEX(ModelParameters!$D$13:$K$17,MATCH($O1689,ModelParameters!$B$13:$B$17,0),MATCH($J1689,ModelParameters!$D$5:$K$5,0)))</f>
        <v>0</v>
      </c>
      <c r="S1689" s="160">
        <f>IF(B1689="",0,MIN(IF($N1689="Other Bond TM",ModelParameters!$N$21,1)*(P1689*Q1689+R1689),1))</f>
        <v>0.022770200593966764</v>
      </c>
      <c r="T1689" s="85">
        <f>IF(B1689="",0,$S1689*$K1689)</f>
        <v>1.6004253897830794</v>
      </c>
      <c r="U1689" s="85">
        <f>IF(B1689="",0,IF(OR(H1689=MappingTables!$C$34,H1689=MappingTables!$C$35),T1689,0))</f>
        <v>0</v>
      </c>
      <c r="V1689" s="85">
        <f>IF(ISNA(IF(AND(VLOOKUP(CONCATENATE($D1689,$G1689),CSRFinput!$B:$E,4,0)=0,OR(H1689=MappingTables!$C$34,H1689=MappingTables!$C$35)),1,VLOOKUP(CONCATENATE($D1689,$G1689),CSRFinput!$B:$E,4,0))),0,IF(AND(VLOOKUP(CONCATENATE($D1689,$G1689),CSRFinput!$B:$E,4,0)=0,OR(H1689=MappingTables!$C$34,H1689=MappingTables!$C$35)),1,VLOOKUP(CONCATENATE($D1689,$G1689),CSRFinput!$B:$E,4,0)))</f>
        <v>0.054776304963434752</v>
      </c>
      <c r="W1689" s="85">
        <f>IF(B1689="",0,+$T1689*$V1689)</f>
        <v>0.087665389221981888</v>
      </c>
      <c r="X1689" s="85">
        <f>IF(B1689="",0,IF(OR(H1689=MappingTables!$C$34,H1689=MappingTables!$C$35),W1689,0))</f>
        <v>0</v>
      </c>
    </row>
    <row r="1690" spans="2:24" s="0" customFormat="0" ht="15">
      <c r="B1690" s="69">
        <v>19616258</v>
      </c>
      <c r="C1690" s="70" t="s">
        <v>1914</v>
      </c>
      <c r="D1690" s="70" t="s">
        <v>1</v>
      </c>
      <c r="E1690" s="70" t="s">
        <v>1</v>
      </c>
      <c r="F1690" s="70"/>
      <c r="G1690" s="70" t="s">
        <v>61</v>
      </c>
      <c r="H1690" s="70" t="s">
        <v>178</v>
      </c>
      <c r="I1690" s="70" t="s">
        <v>188</v>
      </c>
      <c r="J1690" s="71">
        <f>IF(OR(I1690=0,I1690=""),"unrated",VLOOKUP(I1690,MappingTables!$B$19:$C$31,2,FALSE))</f>
        <v>2</v>
      </c>
      <c r="K1690" s="72">
        <v>6.384799750106212</v>
      </c>
      <c r="L1690" s="70">
        <v>1.3079787474591102</v>
      </c>
      <c r="M1690" s="71">
        <f>IF(L1690&lt;1,1,L1690)</f>
        <v>1.3079787474591102</v>
      </c>
      <c r="N1690" s="70" t="s">
        <v>141</v>
      </c>
      <c r="O1690" s="71">
        <f>INDEX(DurClassMapping,MATCH(M1690,MappingTables!$D$4:$D$8,-1),1)</f>
        <v>1</v>
      </c>
      <c r="P1690" s="73">
        <f>IF(M1690=$A$1,1,$M1690-INDEX(MappingTables!$E$4:$E$8,MATCH(O1690,MappingTables!$B$4:$B$8,0)))</f>
        <v>1.3079787474591102</v>
      </c>
      <c r="Q1690" s="71">
        <f>IF(B1690="",0,INDEX(ModelParameters!$D$6:$K$10,MATCH($O1690,ModelParameters!$B$6:$B$10,0),MATCH($J1690,ModelParameters!$D$5:$K$5,0)))</f>
        <v>0.013999999999999998</v>
      </c>
      <c r="R1690" s="71">
        <f>IF(B1690="",0,INDEX(ModelParameters!$D$13:$K$17,MATCH($O1690,ModelParameters!$B$13:$B$17,0),MATCH($J1690,ModelParameters!$D$5:$K$5,0)))</f>
        <v>0</v>
      </c>
      <c r="S1690" s="160">
        <f>IF(B1690="",0,MIN(IF($N1690="Other Bond TM",ModelParameters!$N$21,1)*(P1690*Q1690+R1690),1))</f>
        <v>0.01831170246442754</v>
      </c>
      <c r="T1690" s="85">
        <f>IF(B1690="",0,$S1690*$K1690)</f>
        <v>0.11691655331889626</v>
      </c>
      <c r="U1690" s="85">
        <f>IF(B1690="",0,IF(OR(H1690=MappingTables!$C$34,H1690=MappingTables!$C$35),T1690,0))</f>
        <v>0</v>
      </c>
      <c r="V1690" s="85">
        <f>IF(ISNA(IF(AND(VLOOKUP(CONCATENATE($D1690,$G1690),CSRFinput!$B:$E,4,0)=0,OR(H1690=MappingTables!$C$34,H1690=MappingTables!$C$35)),1,VLOOKUP(CONCATENATE($D1690,$G1690),CSRFinput!$B:$E,4,0))),0,IF(AND(VLOOKUP(CONCATENATE($D1690,$G1690),CSRFinput!$B:$E,4,0)=0,OR(H1690=MappingTables!$C$34,H1690=MappingTables!$C$35)),1,VLOOKUP(CONCATENATE($D1690,$G1690),CSRFinput!$B:$E,4,0)))</f>
        <v>0.054776304963434752</v>
      </c>
      <c r="W1690" s="85">
        <f>IF(B1690="",0,+$T1690*$V1690)</f>
        <v>0.0064042567798695408</v>
      </c>
      <c r="X1690" s="85">
        <f>IF(B1690="",0,IF(OR(H1690=MappingTables!$C$34,H1690=MappingTables!$C$35),W1690,0))</f>
        <v>0</v>
      </c>
    </row>
    <row r="1691" spans="2:24" s="0" customFormat="0" ht="15">
      <c r="B1691" s="69">
        <v>19216281</v>
      </c>
      <c r="C1691" s="70" t="s">
        <v>1915</v>
      </c>
      <c r="D1691" s="70" t="s">
        <v>1</v>
      </c>
      <c r="E1691" s="70" t="s">
        <v>1</v>
      </c>
      <c r="F1691" s="70"/>
      <c r="G1691" s="70" t="s">
        <v>61</v>
      </c>
      <c r="H1691" s="70" t="s">
        <v>178</v>
      </c>
      <c r="I1691" s="70" t="s">
        <v>181</v>
      </c>
      <c r="J1691" s="71">
        <f>IF(OR(I1691=0,I1691=""),"unrated",VLOOKUP(I1691,MappingTables!$B$19:$C$31,2,FALSE))</f>
        <v>3</v>
      </c>
      <c r="K1691" s="72">
        <v>228.34138629727196</v>
      </c>
      <c r="L1691" s="70">
        <v>0.11780924728933196</v>
      </c>
      <c r="M1691" s="71">
        <f>IF(L1691&lt;1,1,L1691)</f>
        <v>1</v>
      </c>
      <c r="N1691" s="70" t="s">
        <v>141</v>
      </c>
      <c r="O1691" s="71">
        <f>INDEX(DurClassMapping,MATCH(M1691,MappingTables!$D$4:$D$8,-1),1)</f>
        <v>1</v>
      </c>
      <c r="P1691" s="73">
        <f>IF(M1691=$A$1,1,$M1691-INDEX(MappingTables!$E$4:$E$8,MATCH(O1691,MappingTables!$B$4:$B$8,0)))</f>
        <v>1</v>
      </c>
      <c r="Q1691" s="71">
        <f>IF(B1691="",0,INDEX(ModelParameters!$D$6:$K$10,MATCH($O1691,ModelParameters!$B$6:$B$10,0),MATCH($J1691,ModelParameters!$D$5:$K$5,0)))</f>
        <v>0.025</v>
      </c>
      <c r="R1691" s="71">
        <f>IF(B1691="",0,INDEX(ModelParameters!$D$13:$K$17,MATCH($O1691,ModelParameters!$B$13:$B$17,0),MATCH($J1691,ModelParameters!$D$5:$K$5,0)))</f>
        <v>0</v>
      </c>
      <c r="S1691" s="160">
        <f>IF(B1691="",0,MIN(IF($N1691="Other Bond TM",ModelParameters!$N$21,1)*(P1691*Q1691+R1691),1))</f>
        <v>0.025</v>
      </c>
      <c r="T1691" s="85">
        <f>IF(B1691="",0,$S1691*$K1691)</f>
        <v>5.7085346574317992</v>
      </c>
      <c r="U1691" s="85">
        <f>IF(B1691="",0,IF(OR(H1691=MappingTables!$C$34,H1691=MappingTables!$C$35),T1691,0))</f>
        <v>0</v>
      </c>
      <c r="V1691" s="85">
        <f>IF(ISNA(IF(AND(VLOOKUP(CONCATENATE($D1691,$G1691),CSRFinput!$B:$E,4,0)=0,OR(H1691=MappingTables!$C$34,H1691=MappingTables!$C$35)),1,VLOOKUP(CONCATENATE($D1691,$G1691),CSRFinput!$B:$E,4,0))),0,IF(AND(VLOOKUP(CONCATENATE($D1691,$G1691),CSRFinput!$B:$E,4,0)=0,OR(H1691=MappingTables!$C$34,H1691=MappingTables!$C$35)),1,VLOOKUP(CONCATENATE($D1691,$G1691),CSRFinput!$B:$E,4,0)))</f>
        <v>0.054776304963434752</v>
      </c>
      <c r="W1691" s="85">
        <f>IF(B1691="",0,+$T1691*$V1691)</f>
        <v>0.31269243528982076</v>
      </c>
      <c r="X1691" s="85">
        <f>IF(B1691="",0,IF(OR(H1691=MappingTables!$C$34,H1691=MappingTables!$C$35),W1691,0))</f>
        <v>0</v>
      </c>
    </row>
    <row r="1692" spans="2:24" s="0" customFormat="0" ht="15">
      <c r="B1692" s="69">
        <v>23207299</v>
      </c>
      <c r="C1692" s="70" t="s">
        <v>1754</v>
      </c>
      <c r="D1692" s="70" t="s">
        <v>1</v>
      </c>
      <c r="E1692" s="70" t="s">
        <v>1</v>
      </c>
      <c r="F1692" s="70"/>
      <c r="G1692" s="70" t="s">
        <v>61</v>
      </c>
      <c r="H1692" s="70" t="s">
        <v>178</v>
      </c>
      <c r="I1692" s="70" t="s">
        <v>188</v>
      </c>
      <c r="J1692" s="71">
        <f>IF(OR(I1692=0,I1692=""),"unrated",VLOOKUP(I1692,MappingTables!$B$19:$C$31,2,FALSE))</f>
        <v>2</v>
      </c>
      <c r="K1692" s="72">
        <v>1119.6741183277566</v>
      </c>
      <c r="L1692" s="70">
        <v>2.291397265203948</v>
      </c>
      <c r="M1692" s="71">
        <f>IF(L1692&lt;1,1,L1692)</f>
        <v>2.291397265203948</v>
      </c>
      <c r="N1692" s="70" t="s">
        <v>141</v>
      </c>
      <c r="O1692" s="71">
        <f>INDEX(DurClassMapping,MATCH(M1692,MappingTables!$D$4:$D$8,-1),1)</f>
        <v>1</v>
      </c>
      <c r="P1692" s="73">
        <f>IF(M1692=$A$1,1,$M1692-INDEX(MappingTables!$E$4:$E$8,MATCH(O1692,MappingTables!$B$4:$B$8,0)))</f>
        <v>2.291397265203948</v>
      </c>
      <c r="Q1692" s="71">
        <f>IF(B1692="",0,INDEX(ModelParameters!$D$6:$K$10,MATCH($O1692,ModelParameters!$B$6:$B$10,0),MATCH($J1692,ModelParameters!$D$5:$K$5,0)))</f>
        <v>0.013999999999999998</v>
      </c>
      <c r="R1692" s="71">
        <f>IF(B1692="",0,INDEX(ModelParameters!$D$13:$K$17,MATCH($O1692,ModelParameters!$B$13:$B$17,0),MATCH($J1692,ModelParameters!$D$5:$K$5,0)))</f>
        <v>0</v>
      </c>
      <c r="S1692" s="160">
        <f>IF(B1692="",0,MIN(IF($N1692="Other Bond TM",ModelParameters!$N$21,1)*(P1692*Q1692+R1692),1))</f>
        <v>0.032079561712855268</v>
      </c>
      <c r="T1692" s="85">
        <f>IF(B1692="",0,$S1692*$K1692)</f>
        <v>35.91865497718208</v>
      </c>
      <c r="U1692" s="85">
        <f>IF(B1692="",0,IF(OR(H1692=MappingTables!$C$34,H1692=MappingTables!$C$35),T1692,0))</f>
        <v>0</v>
      </c>
      <c r="V1692" s="85">
        <f>IF(ISNA(IF(AND(VLOOKUP(CONCATENATE($D1692,$G1692),CSRFinput!$B:$E,4,0)=0,OR(H1692=MappingTables!$C$34,H1692=MappingTables!$C$35)),1,VLOOKUP(CONCATENATE($D1692,$G1692),CSRFinput!$B:$E,4,0))),0,IF(AND(VLOOKUP(CONCATENATE($D1692,$G1692),CSRFinput!$B:$E,4,0)=0,OR(H1692=MappingTables!$C$34,H1692=MappingTables!$C$35)),1,VLOOKUP(CONCATENATE($D1692,$G1692),CSRFinput!$B:$E,4,0)))</f>
        <v>0.054776304963434752</v>
      </c>
      <c r="W1692" s="85">
        <f>IF(B1692="",0,+$T1692*$V1692)</f>
        <v>1.9674911989065192</v>
      </c>
      <c r="X1692" s="85">
        <f>IF(B1692="",0,IF(OR(H1692=MappingTables!$C$34,H1692=MappingTables!$C$35),W1692,0))</f>
        <v>0</v>
      </c>
    </row>
    <row r="1693" spans="2:24" s="0" customFormat="0" ht="15">
      <c r="B1693" s="69">
        <v>16974253</v>
      </c>
      <c r="C1693" s="70" t="s">
        <v>1217</v>
      </c>
      <c r="D1693" s="70" t="s">
        <v>1</v>
      </c>
      <c r="E1693" s="70" t="s">
        <v>1</v>
      </c>
      <c r="F1693" s="70"/>
      <c r="G1693" s="70" t="s">
        <v>61</v>
      </c>
      <c r="H1693" s="70" t="s">
        <v>178</v>
      </c>
      <c r="I1693" s="70" t="s">
        <v>181</v>
      </c>
      <c r="J1693" s="71">
        <f>IF(OR(I1693=0,I1693=""),"unrated",VLOOKUP(I1693,MappingTables!$B$19:$C$31,2,FALSE))</f>
        <v>3</v>
      </c>
      <c r="K1693" s="72">
        <v>463.84291657993672</v>
      </c>
      <c r="L1693" s="70">
        <v>0.99157622154846672</v>
      </c>
      <c r="M1693" s="71">
        <f>IF(L1693&lt;1,1,L1693)</f>
        <v>1</v>
      </c>
      <c r="N1693" s="70" t="s">
        <v>141</v>
      </c>
      <c r="O1693" s="71">
        <f>INDEX(DurClassMapping,MATCH(M1693,MappingTables!$D$4:$D$8,-1),1)</f>
        <v>1</v>
      </c>
      <c r="P1693" s="73">
        <f>IF(M1693=$A$1,1,$M1693-INDEX(MappingTables!$E$4:$E$8,MATCH(O1693,MappingTables!$B$4:$B$8,0)))</f>
        <v>1</v>
      </c>
      <c r="Q1693" s="71">
        <f>IF(B1693="",0,INDEX(ModelParameters!$D$6:$K$10,MATCH($O1693,ModelParameters!$B$6:$B$10,0),MATCH($J1693,ModelParameters!$D$5:$K$5,0)))</f>
        <v>0.025</v>
      </c>
      <c r="R1693" s="71">
        <f>IF(B1693="",0,INDEX(ModelParameters!$D$13:$K$17,MATCH($O1693,ModelParameters!$B$13:$B$17,0),MATCH($J1693,ModelParameters!$D$5:$K$5,0)))</f>
        <v>0</v>
      </c>
      <c r="S1693" s="160">
        <f>IF(B1693="",0,MIN(IF($N1693="Other Bond TM",ModelParameters!$N$21,1)*(P1693*Q1693+R1693),1))</f>
        <v>0.025</v>
      </c>
      <c r="T1693" s="85">
        <f>IF(B1693="",0,$S1693*$K1693)</f>
        <v>11.596072914498418</v>
      </c>
      <c r="U1693" s="85">
        <f>IF(B1693="",0,IF(OR(H1693=MappingTables!$C$34,H1693=MappingTables!$C$35),T1693,0))</f>
        <v>0</v>
      </c>
      <c r="V1693" s="85">
        <f>IF(ISNA(IF(AND(VLOOKUP(CONCATENATE($D1693,$G1693),CSRFinput!$B:$E,4,0)=0,OR(H1693=MappingTables!$C$34,H1693=MappingTables!$C$35)),1,VLOOKUP(CONCATENATE($D1693,$G1693),CSRFinput!$B:$E,4,0))),0,IF(AND(VLOOKUP(CONCATENATE($D1693,$G1693),CSRFinput!$B:$E,4,0)=0,OR(H1693=MappingTables!$C$34,H1693=MappingTables!$C$35)),1,VLOOKUP(CONCATENATE($D1693,$G1693),CSRFinput!$B:$E,4,0)))</f>
        <v>0.054776304963434752</v>
      </c>
      <c r="W1693" s="85">
        <f>IF(B1693="",0,+$T1693*$V1693)</f>
        <v>0.63519002634279096</v>
      </c>
      <c r="X1693" s="85">
        <f>IF(B1693="",0,IF(OR(H1693=MappingTables!$C$34,H1693=MappingTables!$C$35),W1693,0))</f>
        <v>0</v>
      </c>
    </row>
    <row r="1694" spans="2:24" s="0" customFormat="0" ht="15">
      <c r="B1694" s="69">
        <v>14593298</v>
      </c>
      <c r="C1694" s="70" t="s">
        <v>1916</v>
      </c>
      <c r="D1694" s="70" t="s">
        <v>1</v>
      </c>
      <c r="E1694" s="70" t="s">
        <v>1</v>
      </c>
      <c r="F1694" s="70"/>
      <c r="G1694" s="70" t="s">
        <v>61</v>
      </c>
      <c r="H1694" s="70" t="s">
        <v>178</v>
      </c>
      <c r="I1694" s="70" t="s">
        <v>204</v>
      </c>
      <c r="J1694" s="71">
        <f>IF(OR(I1694=0,I1694=""),"unrated",VLOOKUP(I1694,MappingTables!$B$19:$C$31,2,FALSE))</f>
        <v>6</v>
      </c>
      <c r="K1694" s="72">
        <v>253.10874903985964</v>
      </c>
      <c r="L1694" s="70">
        <v>0.030135094848330184</v>
      </c>
      <c r="M1694" s="71">
        <f>IF(L1694&lt;1,1,L1694)</f>
        <v>1</v>
      </c>
      <c r="N1694" s="70" t="s">
        <v>141</v>
      </c>
      <c r="O1694" s="71">
        <f>INDEX(DurClassMapping,MATCH(M1694,MappingTables!$D$4:$D$8,-1),1)</f>
        <v>1</v>
      </c>
      <c r="P1694" s="73">
        <f>IF(M1694=$A$1,1,$M1694-INDEX(MappingTables!$E$4:$E$8,MATCH(O1694,MappingTables!$B$4:$B$8,0)))</f>
        <v>1</v>
      </c>
      <c r="Q1694" s="71">
        <f>IF(B1694="",0,INDEX(ModelParameters!$D$6:$K$10,MATCH($O1694,ModelParameters!$B$6:$B$10,0),MATCH($J1694,ModelParameters!$D$5:$K$5,0)))</f>
        <v>0.075</v>
      </c>
      <c r="R1694" s="71">
        <f>IF(B1694="",0,INDEX(ModelParameters!$D$13:$K$17,MATCH($O1694,ModelParameters!$B$13:$B$17,0),MATCH($J1694,ModelParameters!$D$5:$K$5,0)))</f>
        <v>0</v>
      </c>
      <c r="S1694" s="160">
        <f>IF(B1694="",0,MIN(IF($N1694="Other Bond TM",ModelParameters!$N$21,1)*(P1694*Q1694+R1694),1))</f>
        <v>0.075</v>
      </c>
      <c r="T1694" s="85">
        <f>IF(B1694="",0,$S1694*$K1694)</f>
        <v>18.983156177989472</v>
      </c>
      <c r="U1694" s="85">
        <f>IF(B1694="",0,IF(OR(H1694=MappingTables!$C$34,H1694=MappingTables!$C$35),T1694,0))</f>
        <v>0</v>
      </c>
      <c r="V1694" s="85">
        <f>IF(ISNA(IF(AND(VLOOKUP(CONCATENATE($D1694,$G1694),CSRFinput!$B:$E,4,0)=0,OR(H1694=MappingTables!$C$34,H1694=MappingTables!$C$35)),1,VLOOKUP(CONCATENATE($D1694,$G1694),CSRFinput!$B:$E,4,0))),0,IF(AND(VLOOKUP(CONCATENATE($D1694,$G1694),CSRFinput!$B:$E,4,0)=0,OR(H1694=MappingTables!$C$34,H1694=MappingTables!$C$35)),1,VLOOKUP(CONCATENATE($D1694,$G1694),CSRFinput!$B:$E,4,0)))</f>
        <v>0.054776304963434752</v>
      </c>
      <c r="W1694" s="85">
        <f>IF(B1694="",0,+$T1694*$V1694)</f>
        <v>1.0398271519740618</v>
      </c>
      <c r="X1694" s="85">
        <f>IF(B1694="",0,IF(OR(H1694=MappingTables!$C$34,H1694=MappingTables!$C$35),W1694,0))</f>
        <v>0</v>
      </c>
    </row>
    <row r="1695" spans="2:24" s="0" customFormat="0" ht="15">
      <c r="B1695" s="69" t="s">
        <v>1917</v>
      </c>
      <c r="C1695" s="70" t="s">
        <v>1918</v>
      </c>
      <c r="D1695" s="70" t="s">
        <v>1</v>
      </c>
      <c r="E1695" s="70" t="s">
        <v>1</v>
      </c>
      <c r="F1695" s="70"/>
      <c r="G1695" s="70" t="s">
        <v>61</v>
      </c>
      <c r="H1695" s="70" t="s">
        <v>178</v>
      </c>
      <c r="I1695" s="70" t="s">
        <v>198</v>
      </c>
      <c r="J1695" s="71" t="str">
        <f>IF(OR(I1695=0,I1695=""),"unrated",VLOOKUP(I1695,MappingTables!$B$19:$C$31,2,FALSE))</f>
        <v>unrated</v>
      </c>
      <c r="K1695" s="72">
        <v>0.1980712113949402</v>
      </c>
      <c r="L1695" s="70">
        <v>0.20548406501550624</v>
      </c>
      <c r="M1695" s="71">
        <f>IF(L1695&lt;1,1,L1695)</f>
        <v>1</v>
      </c>
      <c r="N1695" s="70" t="s">
        <v>141</v>
      </c>
      <c r="O1695" s="71">
        <f>INDEX(DurClassMapping,MATCH(M1695,MappingTables!$D$4:$D$8,-1),1)</f>
        <v>1</v>
      </c>
      <c r="P1695" s="73">
        <f>IF(M1695=$A$1,1,$M1695-INDEX(MappingTables!$E$4:$E$8,MATCH(O1695,MappingTables!$B$4:$B$8,0)))</f>
        <v>1</v>
      </c>
      <c r="Q1695" s="71">
        <f>IF(B1695="",0,INDEX(ModelParameters!$D$6:$K$10,MATCH($O1695,ModelParameters!$B$6:$B$10,0),MATCH($J1695,ModelParameters!$D$5:$K$5,0)))</f>
        <v>0.03</v>
      </c>
      <c r="R1695" s="71">
        <f>IF(B1695="",0,INDEX(ModelParameters!$D$13:$K$17,MATCH($O1695,ModelParameters!$B$13:$B$17,0),MATCH($J1695,ModelParameters!$D$5:$K$5,0)))</f>
        <v>0</v>
      </c>
      <c r="S1695" s="160">
        <f>IF(B1695="",0,MIN(IF($N1695="Other Bond TM",ModelParameters!$N$21,1)*(P1695*Q1695+R1695),1))</f>
        <v>0.03</v>
      </c>
      <c r="T1695" s="85">
        <f>IF(B1695="",0,$S1695*$K1695)</f>
        <v>0.0059421363418482056</v>
      </c>
      <c r="U1695" s="85">
        <f>IF(B1695="",0,IF(OR(H1695=MappingTables!$C$34,H1695=MappingTables!$C$35),T1695,0))</f>
        <v>0</v>
      </c>
      <c r="V1695" s="85">
        <f>IF(ISNA(IF(AND(VLOOKUP(CONCATENATE($D1695,$G1695),CSRFinput!$B:$E,4,0)=0,OR(H1695=MappingTables!$C$34,H1695=MappingTables!$C$35)),1,VLOOKUP(CONCATENATE($D1695,$G1695),CSRFinput!$B:$E,4,0))),0,IF(AND(VLOOKUP(CONCATENATE($D1695,$G1695),CSRFinput!$B:$E,4,0)=0,OR(H1695=MappingTables!$C$34,H1695=MappingTables!$C$35)),1,VLOOKUP(CONCATENATE($D1695,$G1695),CSRFinput!$B:$E,4,0)))</f>
        <v>0.054776304963434752</v>
      </c>
      <c r="W1695" s="85">
        <f>IF(B1695="",0,+$T1695*$V1695)</f>
        <v>0.00032548827239538588</v>
      </c>
      <c r="X1695" s="85">
        <f>IF(B1695="",0,IF(OR(H1695=MappingTables!$C$34,H1695=MappingTables!$C$35),W1695,0))</f>
        <v>0</v>
      </c>
    </row>
    <row r="1696" spans="2:24" s="0" customFormat="0" ht="15">
      <c r="B1696" s="69">
        <v>12012728</v>
      </c>
      <c r="C1696" s="70" t="s">
        <v>1919</v>
      </c>
      <c r="D1696" s="70" t="s">
        <v>1</v>
      </c>
      <c r="E1696" s="70" t="s">
        <v>1</v>
      </c>
      <c r="F1696" s="70"/>
      <c r="G1696" s="70" t="s">
        <v>61</v>
      </c>
      <c r="H1696" s="70" t="s">
        <v>178</v>
      </c>
      <c r="I1696" s="70" t="s">
        <v>188</v>
      </c>
      <c r="J1696" s="71">
        <f>IF(OR(I1696=0,I1696=""),"unrated",VLOOKUP(I1696,MappingTables!$B$19:$C$31,2,FALSE))</f>
        <v>2</v>
      </c>
      <c r="K1696" s="72">
        <v>0.22857534203438108</v>
      </c>
      <c r="L1696" s="70">
        <v>0.41643939012425392</v>
      </c>
      <c r="M1696" s="71">
        <f>IF(L1696&lt;1,1,L1696)</f>
        <v>1</v>
      </c>
      <c r="N1696" s="70" t="s">
        <v>141</v>
      </c>
      <c r="O1696" s="71">
        <f>INDEX(DurClassMapping,MATCH(M1696,MappingTables!$D$4:$D$8,-1),1)</f>
        <v>1</v>
      </c>
      <c r="P1696" s="73">
        <f>IF(M1696=$A$1,1,$M1696-INDEX(MappingTables!$E$4:$E$8,MATCH(O1696,MappingTables!$B$4:$B$8,0)))</f>
        <v>1</v>
      </c>
      <c r="Q1696" s="71">
        <f>IF(B1696="",0,INDEX(ModelParameters!$D$6:$K$10,MATCH($O1696,ModelParameters!$B$6:$B$10,0),MATCH($J1696,ModelParameters!$D$5:$K$5,0)))</f>
        <v>0.013999999999999998</v>
      </c>
      <c r="R1696" s="71">
        <f>IF(B1696="",0,INDEX(ModelParameters!$D$13:$K$17,MATCH($O1696,ModelParameters!$B$13:$B$17,0),MATCH($J1696,ModelParameters!$D$5:$K$5,0)))</f>
        <v>0</v>
      </c>
      <c r="S1696" s="160">
        <f>IF(B1696="",0,MIN(IF($N1696="Other Bond TM",ModelParameters!$N$21,1)*(P1696*Q1696+R1696),1))</f>
        <v>0.013999999999999998</v>
      </c>
      <c r="T1696" s="85">
        <f>IF(B1696="",0,$S1696*$K1696)</f>
        <v>0.0032000547884813348</v>
      </c>
      <c r="U1696" s="85">
        <f>IF(B1696="",0,IF(OR(H1696=MappingTables!$C$34,H1696=MappingTables!$C$35),T1696,0))</f>
        <v>0</v>
      </c>
      <c r="V1696" s="85">
        <f>IF(ISNA(IF(AND(VLOOKUP(CONCATENATE($D1696,$G1696),CSRFinput!$B:$E,4,0)=0,OR(H1696=MappingTables!$C$34,H1696=MappingTables!$C$35)),1,VLOOKUP(CONCATENATE($D1696,$G1696),CSRFinput!$B:$E,4,0))),0,IF(AND(VLOOKUP(CONCATENATE($D1696,$G1696),CSRFinput!$B:$E,4,0)=0,OR(H1696=MappingTables!$C$34,H1696=MappingTables!$C$35)),1,VLOOKUP(CONCATENATE($D1696,$G1696),CSRFinput!$B:$E,4,0)))</f>
        <v>0.054776304963434752</v>
      </c>
      <c r="W1696" s="85">
        <f>IF(B1696="",0,+$T1696*$V1696)</f>
        <v>0.0001752871769935533</v>
      </c>
      <c r="X1696" s="85">
        <f>IF(B1696="",0,IF(OR(H1696=MappingTables!$C$34,H1696=MappingTables!$C$35),W1696,0))</f>
        <v>0</v>
      </c>
    </row>
    <row r="1697" spans="2:24" s="0" customFormat="0" ht="15">
      <c r="B1697" s="69" t="s">
        <v>595</v>
      </c>
      <c r="C1697" s="70" t="s">
        <v>596</v>
      </c>
      <c r="D1697" s="70" t="s">
        <v>1</v>
      </c>
      <c r="E1697" s="70" t="s">
        <v>1</v>
      </c>
      <c r="F1697" s="70"/>
      <c r="G1697" s="70" t="s">
        <v>61</v>
      </c>
      <c r="H1697" s="70" t="s">
        <v>178</v>
      </c>
      <c r="I1697" s="70" t="s">
        <v>179</v>
      </c>
      <c r="J1697" s="71">
        <f>IF(OR(I1697=0,I1697=""),"unrated",VLOOKUP(I1697,MappingTables!$B$19:$C$31,2,FALSE))</f>
        <v>4</v>
      </c>
      <c r="K1697" s="72">
        <v>3239.6399563157368</v>
      </c>
      <c r="L1697" s="70">
        <v>3.1052018772224348</v>
      </c>
      <c r="M1697" s="71">
        <f>IF(L1697&lt;1,1,L1697)</f>
        <v>3.1052018772224348</v>
      </c>
      <c r="N1697" s="70" t="s">
        <v>141</v>
      </c>
      <c r="O1697" s="71">
        <f>INDEX(DurClassMapping,MATCH(M1697,MappingTables!$D$4:$D$8,-1),1)</f>
        <v>1</v>
      </c>
      <c r="P1697" s="73">
        <f>IF(M1697=$A$1,1,$M1697-INDEX(MappingTables!$E$4:$E$8,MATCH(O1697,MappingTables!$B$4:$B$8,0)))</f>
        <v>3.1052018772224348</v>
      </c>
      <c r="Q1697" s="71">
        <f>IF(B1697="",0,INDEX(ModelParameters!$D$6:$K$10,MATCH($O1697,ModelParameters!$B$6:$B$10,0),MATCH($J1697,ModelParameters!$D$5:$K$5,0)))</f>
        <v>0.045</v>
      </c>
      <c r="R1697" s="71">
        <f>IF(B1697="",0,INDEX(ModelParameters!$D$13:$K$17,MATCH($O1697,ModelParameters!$B$13:$B$17,0),MATCH($J1697,ModelParameters!$D$5:$K$5,0)))</f>
        <v>0</v>
      </c>
      <c r="S1697" s="160">
        <f>IF(B1697="",0,MIN(IF($N1697="Other Bond TM",ModelParameters!$N$21,1)*(P1697*Q1697+R1697),1))</f>
        <v>0.13973408447500956</v>
      </c>
      <c r="T1697" s="85">
        <f>IF(B1697="",0,$S1697*$K1697)</f>
        <v>452.68812332443952</v>
      </c>
      <c r="U1697" s="85">
        <f>IF(B1697="",0,IF(OR(H1697=MappingTables!$C$34,H1697=MappingTables!$C$35),T1697,0))</f>
        <v>0</v>
      </c>
      <c r="V1697" s="85">
        <f>IF(ISNA(IF(AND(VLOOKUP(CONCATENATE($D1697,$G1697),CSRFinput!$B:$E,4,0)=0,OR(H1697=MappingTables!$C$34,H1697=MappingTables!$C$35)),1,VLOOKUP(CONCATENATE($D1697,$G1697),CSRFinput!$B:$E,4,0))),0,IF(AND(VLOOKUP(CONCATENATE($D1697,$G1697),CSRFinput!$B:$E,4,0)=0,OR(H1697=MappingTables!$C$34,H1697=MappingTables!$C$35)),1,VLOOKUP(CONCATENATE($D1697,$G1697),CSRFinput!$B:$E,4,0)))</f>
        <v>0.054776304963434752</v>
      </c>
      <c r="W1697" s="85">
        <f>IF(B1697="",0,+$T1697*$V1697)</f>
        <v>24.79658269654446</v>
      </c>
      <c r="X1697" s="85">
        <f>IF(B1697="",0,IF(OR(H1697=MappingTables!$C$34,H1697=MappingTables!$C$35),W1697,0))</f>
        <v>0</v>
      </c>
    </row>
    <row r="1698" spans="2:24" s="0" customFormat="0" ht="15">
      <c r="B1698" s="69">
        <v>24423126</v>
      </c>
      <c r="C1698" s="70" t="s">
        <v>1920</v>
      </c>
      <c r="D1698" s="70" t="s">
        <v>1</v>
      </c>
      <c r="E1698" s="70" t="s">
        <v>1</v>
      </c>
      <c r="F1698" s="70"/>
      <c r="G1698" s="70" t="s">
        <v>61</v>
      </c>
      <c r="H1698" s="70" t="s">
        <v>178</v>
      </c>
      <c r="I1698" s="70" t="s">
        <v>181</v>
      </c>
      <c r="J1698" s="71">
        <f>IF(OR(I1698=0,I1698=""),"unrated",VLOOKUP(I1698,MappingTables!$B$19:$C$31,2,FALSE))</f>
        <v>3</v>
      </c>
      <c r="K1698" s="72">
        <v>9576.1819554970864</v>
      </c>
      <c r="L1698" s="70">
        <v>4.369422539133488</v>
      </c>
      <c r="M1698" s="71">
        <f>IF(L1698&lt;1,1,L1698)</f>
        <v>4.369422539133488</v>
      </c>
      <c r="N1698" s="70" t="s">
        <v>141</v>
      </c>
      <c r="O1698" s="71">
        <f>INDEX(DurClassMapping,MATCH(M1698,MappingTables!$D$4:$D$8,-1),1)</f>
        <v>1</v>
      </c>
      <c r="P1698" s="73">
        <f>IF(M1698=$A$1,1,$M1698-INDEX(MappingTables!$E$4:$E$8,MATCH(O1698,MappingTables!$B$4:$B$8,0)))</f>
        <v>4.369422539133488</v>
      </c>
      <c r="Q1698" s="71">
        <f>IF(B1698="",0,INDEX(ModelParameters!$D$6:$K$10,MATCH($O1698,ModelParameters!$B$6:$B$10,0),MATCH($J1698,ModelParameters!$D$5:$K$5,0)))</f>
        <v>0.025</v>
      </c>
      <c r="R1698" s="71">
        <f>IF(B1698="",0,INDEX(ModelParameters!$D$13:$K$17,MATCH($O1698,ModelParameters!$B$13:$B$17,0),MATCH($J1698,ModelParameters!$D$5:$K$5,0)))</f>
        <v>0</v>
      </c>
      <c r="S1698" s="160">
        <f>IF(B1698="",0,MIN(IF($N1698="Other Bond TM",ModelParameters!$N$21,1)*(P1698*Q1698+R1698),1))</f>
        <v>0.10923556347833722</v>
      </c>
      <c r="T1698" s="85">
        <f>IF(B1698="",0,$S1698*$K1698)</f>
        <v>1046.0596318798094</v>
      </c>
      <c r="U1698" s="85">
        <f>IF(B1698="",0,IF(OR(H1698=MappingTables!$C$34,H1698=MappingTables!$C$35),T1698,0))</f>
        <v>0</v>
      </c>
      <c r="V1698" s="85">
        <f>IF(ISNA(IF(AND(VLOOKUP(CONCATENATE($D1698,$G1698),CSRFinput!$B:$E,4,0)=0,OR(H1698=MappingTables!$C$34,H1698=MappingTables!$C$35)),1,VLOOKUP(CONCATENATE($D1698,$G1698),CSRFinput!$B:$E,4,0))),0,IF(AND(VLOOKUP(CONCATENATE($D1698,$G1698),CSRFinput!$B:$E,4,0)=0,OR(H1698=MappingTables!$C$34,H1698=MappingTables!$C$35)),1,VLOOKUP(CONCATENATE($D1698,$G1698),CSRFinput!$B:$E,4,0)))</f>
        <v>0.054776304963434752</v>
      </c>
      <c r="W1698" s="85">
        <f>IF(B1698="",0,+$T1698*$V1698)</f>
        <v>57.299281405786728</v>
      </c>
      <c r="X1698" s="85">
        <f>IF(B1698="",0,IF(OR(H1698=MappingTables!$C$34,H1698=MappingTables!$C$35),W1698,0))</f>
        <v>0</v>
      </c>
    </row>
    <row r="1699" spans="2:24" s="0" customFormat="0" ht="15">
      <c r="B1699" s="69">
        <v>17561283</v>
      </c>
      <c r="C1699" s="70" t="s">
        <v>1855</v>
      </c>
      <c r="D1699" s="70" t="s">
        <v>1</v>
      </c>
      <c r="E1699" s="70" t="s">
        <v>1</v>
      </c>
      <c r="F1699" s="70"/>
      <c r="G1699" s="70" t="s">
        <v>61</v>
      </c>
      <c r="H1699" s="70" t="s">
        <v>178</v>
      </c>
      <c r="I1699" s="70" t="s">
        <v>184</v>
      </c>
      <c r="J1699" s="71">
        <f>IF(OR(I1699=0,I1699=""),"unrated",VLOOKUP(I1699,MappingTables!$B$19:$C$31,2,FALSE))</f>
        <v>5</v>
      </c>
      <c r="K1699" s="72">
        <v>19.163208212751584</v>
      </c>
      <c r="L1699" s="70">
        <v>0.03013450879216994</v>
      </c>
      <c r="M1699" s="71">
        <f>IF(L1699&lt;1,1,L1699)</f>
        <v>1</v>
      </c>
      <c r="N1699" s="70" t="s">
        <v>141</v>
      </c>
      <c r="O1699" s="71">
        <f>INDEX(DurClassMapping,MATCH(M1699,MappingTables!$D$4:$D$8,-1),1)</f>
        <v>1</v>
      </c>
      <c r="P1699" s="73">
        <f>IF(M1699=$A$1,1,$M1699-INDEX(MappingTables!$E$4:$E$8,MATCH(O1699,MappingTables!$B$4:$B$8,0)))</f>
        <v>1</v>
      </c>
      <c r="Q1699" s="71">
        <f>IF(B1699="",0,INDEX(ModelParameters!$D$6:$K$10,MATCH($O1699,ModelParameters!$B$6:$B$10,0),MATCH($J1699,ModelParameters!$D$5:$K$5,0)))</f>
        <v>0.075</v>
      </c>
      <c r="R1699" s="71">
        <f>IF(B1699="",0,INDEX(ModelParameters!$D$13:$K$17,MATCH($O1699,ModelParameters!$B$13:$B$17,0),MATCH($J1699,ModelParameters!$D$5:$K$5,0)))</f>
        <v>0</v>
      </c>
      <c r="S1699" s="160">
        <f>IF(B1699="",0,MIN(IF($N1699="Other Bond TM",ModelParameters!$N$21,1)*(P1699*Q1699+R1699),1))</f>
        <v>0.075</v>
      </c>
      <c r="T1699" s="85">
        <f>IF(B1699="",0,$S1699*$K1699)</f>
        <v>1.4372406159563688</v>
      </c>
      <c r="U1699" s="85">
        <f>IF(B1699="",0,IF(OR(H1699=MappingTables!$C$34,H1699=MappingTables!$C$35),T1699,0))</f>
        <v>0</v>
      </c>
      <c r="V1699" s="85">
        <f>IF(ISNA(IF(AND(VLOOKUP(CONCATENATE($D1699,$G1699),CSRFinput!$B:$E,4,0)=0,OR(H1699=MappingTables!$C$34,H1699=MappingTables!$C$35)),1,VLOOKUP(CONCATENATE($D1699,$G1699),CSRFinput!$B:$E,4,0))),0,IF(AND(VLOOKUP(CONCATENATE($D1699,$G1699),CSRFinput!$B:$E,4,0)=0,OR(H1699=MappingTables!$C$34,H1699=MappingTables!$C$35)),1,VLOOKUP(CONCATENATE($D1699,$G1699),CSRFinput!$B:$E,4,0)))</f>
        <v>0.054776304963434752</v>
      </c>
      <c r="W1699" s="85">
        <f>IF(B1699="",0,+$T1699*$V1699)</f>
        <v>0.078726730285460864</v>
      </c>
      <c r="X1699" s="85">
        <f>IF(B1699="",0,IF(OR(H1699=MappingTables!$C$34,H1699=MappingTables!$C$35),W1699,0))</f>
        <v>0</v>
      </c>
    </row>
    <row r="1700" spans="2:24" s="0" customFormat="0" ht="15">
      <c r="B1700" s="69">
        <v>23437205</v>
      </c>
      <c r="C1700" s="70" t="s">
        <v>1640</v>
      </c>
      <c r="D1700" s="70" t="s">
        <v>1</v>
      </c>
      <c r="E1700" s="70" t="s">
        <v>1</v>
      </c>
      <c r="F1700" s="70"/>
      <c r="G1700" s="70" t="s">
        <v>61</v>
      </c>
      <c r="H1700" s="70" t="s">
        <v>178</v>
      </c>
      <c r="I1700" s="70" t="s">
        <v>188</v>
      </c>
      <c r="J1700" s="71">
        <f>IF(OR(I1700=0,I1700=""),"unrated",VLOOKUP(I1700,MappingTables!$B$19:$C$31,2,FALSE))</f>
        <v>2</v>
      </c>
      <c r="K1700" s="72">
        <v>941.0875439895352</v>
      </c>
      <c r="L1700" s="70">
        <v>0.049313051773810544</v>
      </c>
      <c r="M1700" s="71">
        <f>IF(L1700&lt;1,1,L1700)</f>
        <v>1</v>
      </c>
      <c r="N1700" s="70" t="s">
        <v>141</v>
      </c>
      <c r="O1700" s="71">
        <f>INDEX(DurClassMapping,MATCH(M1700,MappingTables!$D$4:$D$8,-1),1)</f>
        <v>1</v>
      </c>
      <c r="P1700" s="73">
        <f>IF(M1700=$A$1,1,$M1700-INDEX(MappingTables!$E$4:$E$8,MATCH(O1700,MappingTables!$B$4:$B$8,0)))</f>
        <v>1</v>
      </c>
      <c r="Q1700" s="71">
        <f>IF(B1700="",0,INDEX(ModelParameters!$D$6:$K$10,MATCH($O1700,ModelParameters!$B$6:$B$10,0),MATCH($J1700,ModelParameters!$D$5:$K$5,0)))</f>
        <v>0.013999999999999998</v>
      </c>
      <c r="R1700" s="71">
        <f>IF(B1700="",0,INDEX(ModelParameters!$D$13:$K$17,MATCH($O1700,ModelParameters!$B$13:$B$17,0),MATCH($J1700,ModelParameters!$D$5:$K$5,0)))</f>
        <v>0</v>
      </c>
      <c r="S1700" s="160">
        <f>IF(B1700="",0,MIN(IF($N1700="Other Bond TM",ModelParameters!$N$21,1)*(P1700*Q1700+R1700),1))</f>
        <v>0.013999999999999998</v>
      </c>
      <c r="T1700" s="85">
        <f>IF(B1700="",0,$S1700*$K1700)</f>
        <v>13.175225615853492</v>
      </c>
      <c r="U1700" s="85">
        <f>IF(B1700="",0,IF(OR(H1700=MappingTables!$C$34,H1700=MappingTables!$C$35),T1700,0))</f>
        <v>0</v>
      </c>
      <c r="V1700" s="85">
        <f>IF(ISNA(IF(AND(VLOOKUP(CONCATENATE($D1700,$G1700),CSRFinput!$B:$E,4,0)=0,OR(H1700=MappingTables!$C$34,H1700=MappingTables!$C$35)),1,VLOOKUP(CONCATENATE($D1700,$G1700),CSRFinput!$B:$E,4,0))),0,IF(AND(VLOOKUP(CONCATENATE($D1700,$G1700),CSRFinput!$B:$E,4,0)=0,OR(H1700=MappingTables!$C$34,H1700=MappingTables!$C$35)),1,VLOOKUP(CONCATENATE($D1700,$G1700),CSRFinput!$B:$E,4,0)))</f>
        <v>0.054776304963434752</v>
      </c>
      <c r="W1700" s="85">
        <f>IF(B1700="",0,+$T1700*$V1700)</f>
        <v>0.72169017629604832</v>
      </c>
      <c r="X1700" s="85">
        <f>IF(B1700="",0,IF(OR(H1700=MappingTables!$C$34,H1700=MappingTables!$C$35),W1700,0))</f>
        <v>0</v>
      </c>
    </row>
    <row r="1701" spans="2:24" s="0" customFormat="0" ht="15">
      <c r="B1701" s="69">
        <v>15462936</v>
      </c>
      <c r="C1701" s="70" t="s">
        <v>1503</v>
      </c>
      <c r="D1701" s="70" t="s">
        <v>1</v>
      </c>
      <c r="E1701" s="70" t="s">
        <v>1</v>
      </c>
      <c r="F1701" s="70"/>
      <c r="G1701" s="70" t="s">
        <v>61</v>
      </c>
      <c r="H1701" s="70" t="s">
        <v>178</v>
      </c>
      <c r="I1701" s="70" t="s">
        <v>179</v>
      </c>
      <c r="J1701" s="71">
        <f>IF(OR(I1701=0,I1701=""),"unrated",VLOOKUP(I1701,MappingTables!$B$19:$C$31,2,FALSE))</f>
        <v>4</v>
      </c>
      <c r="K1701" s="72">
        <v>1245.5725608309286</v>
      </c>
      <c r="L1701" s="70">
        <v>1.8891594049040016</v>
      </c>
      <c r="M1701" s="71">
        <f>IF(L1701&lt;1,1,L1701)</f>
        <v>1.8891594049040016</v>
      </c>
      <c r="N1701" s="70" t="s">
        <v>141</v>
      </c>
      <c r="O1701" s="71">
        <f>INDEX(DurClassMapping,MATCH(M1701,MappingTables!$D$4:$D$8,-1),1)</f>
        <v>1</v>
      </c>
      <c r="P1701" s="73">
        <f>IF(M1701=$A$1,1,$M1701-INDEX(MappingTables!$E$4:$E$8,MATCH(O1701,MappingTables!$B$4:$B$8,0)))</f>
        <v>1.8891594049040016</v>
      </c>
      <c r="Q1701" s="71">
        <f>IF(B1701="",0,INDEX(ModelParameters!$D$6:$K$10,MATCH($O1701,ModelParameters!$B$6:$B$10,0),MATCH($J1701,ModelParameters!$D$5:$K$5,0)))</f>
        <v>0.045</v>
      </c>
      <c r="R1701" s="71">
        <f>IF(B1701="",0,INDEX(ModelParameters!$D$13:$K$17,MATCH($O1701,ModelParameters!$B$13:$B$17,0),MATCH($J1701,ModelParameters!$D$5:$K$5,0)))</f>
        <v>0</v>
      </c>
      <c r="S1701" s="160">
        <f>IF(B1701="",0,MIN(IF($N1701="Other Bond TM",ModelParameters!$N$21,1)*(P1701*Q1701+R1701),1))</f>
        <v>0.085012173220680064</v>
      </c>
      <c r="T1701" s="85">
        <f>IF(B1701="",0,$S1701*$K1701)</f>
        <v>105.88883030028496</v>
      </c>
      <c r="U1701" s="85">
        <f>IF(B1701="",0,IF(OR(H1701=MappingTables!$C$34,H1701=MappingTables!$C$35),T1701,0))</f>
        <v>0</v>
      </c>
      <c r="V1701" s="85">
        <f>IF(ISNA(IF(AND(VLOOKUP(CONCATENATE($D1701,$G1701),CSRFinput!$B:$E,4,0)=0,OR(H1701=MappingTables!$C$34,H1701=MappingTables!$C$35)),1,VLOOKUP(CONCATENATE($D1701,$G1701),CSRFinput!$B:$E,4,0))),0,IF(AND(VLOOKUP(CONCATENATE($D1701,$G1701),CSRFinput!$B:$E,4,0)=0,OR(H1701=MappingTables!$C$34,H1701=MappingTables!$C$35)),1,VLOOKUP(CONCATENATE($D1701,$G1701),CSRFinput!$B:$E,4,0)))</f>
        <v>0.054776304963434752</v>
      </c>
      <c r="W1701" s="85">
        <f>IF(B1701="",0,+$T1701*$V1701)</f>
        <v>5.8001988607497984</v>
      </c>
      <c r="X1701" s="85">
        <f>IF(B1701="",0,IF(OR(H1701=MappingTables!$C$34,H1701=MappingTables!$C$35),W1701,0))</f>
        <v>0</v>
      </c>
    </row>
    <row r="1702" spans="2:24" s="0" customFormat="0" ht="15">
      <c r="B1702" s="69">
        <v>21245626</v>
      </c>
      <c r="C1702" s="70" t="s">
        <v>1921</v>
      </c>
      <c r="D1702" s="70" t="s">
        <v>1</v>
      </c>
      <c r="E1702" s="70" t="s">
        <v>1</v>
      </c>
      <c r="F1702" s="70"/>
      <c r="G1702" s="70" t="s">
        <v>61</v>
      </c>
      <c r="H1702" s="70" t="s">
        <v>178</v>
      </c>
      <c r="I1702" s="70" t="s">
        <v>181</v>
      </c>
      <c r="J1702" s="71">
        <f>IF(OR(I1702=0,I1702=""),"unrated",VLOOKUP(I1702,MappingTables!$B$19:$C$31,2,FALSE))</f>
        <v>3</v>
      </c>
      <c r="K1702" s="72">
        <v>489.08162776840264</v>
      </c>
      <c r="L1702" s="70">
        <v>3.3339990885989392</v>
      </c>
      <c r="M1702" s="71">
        <f>IF(L1702&lt;1,1,L1702)</f>
        <v>3.3339990885989392</v>
      </c>
      <c r="N1702" s="70" t="s">
        <v>141</v>
      </c>
      <c r="O1702" s="71">
        <f>INDEX(DurClassMapping,MATCH(M1702,MappingTables!$D$4:$D$8,-1),1)</f>
        <v>1</v>
      </c>
      <c r="P1702" s="73">
        <f>IF(M1702=$A$1,1,$M1702-INDEX(MappingTables!$E$4:$E$8,MATCH(O1702,MappingTables!$B$4:$B$8,0)))</f>
        <v>3.3339990885989392</v>
      </c>
      <c r="Q1702" s="71">
        <f>IF(B1702="",0,INDEX(ModelParameters!$D$6:$K$10,MATCH($O1702,ModelParameters!$B$6:$B$10,0),MATCH($J1702,ModelParameters!$D$5:$K$5,0)))</f>
        <v>0.025</v>
      </c>
      <c r="R1702" s="71">
        <f>IF(B1702="",0,INDEX(ModelParameters!$D$13:$K$17,MATCH($O1702,ModelParameters!$B$13:$B$17,0),MATCH($J1702,ModelParameters!$D$5:$K$5,0)))</f>
        <v>0</v>
      </c>
      <c r="S1702" s="160">
        <f>IF(B1702="",0,MIN(IF($N1702="Other Bond TM",ModelParameters!$N$21,1)*(P1702*Q1702+R1702),1))</f>
        <v>0.083349977214973488</v>
      </c>
      <c r="T1702" s="85">
        <f>IF(B1702="",0,$S1702*$K1702)</f>
        <v>40.764942530758504</v>
      </c>
      <c r="U1702" s="85">
        <f>IF(B1702="",0,IF(OR(H1702=MappingTables!$C$34,H1702=MappingTables!$C$35),T1702,0))</f>
        <v>0</v>
      </c>
      <c r="V1702" s="85">
        <f>IF(ISNA(IF(AND(VLOOKUP(CONCATENATE($D1702,$G1702),CSRFinput!$B:$E,4,0)=0,OR(H1702=MappingTables!$C$34,H1702=MappingTables!$C$35)),1,VLOOKUP(CONCATENATE($D1702,$G1702),CSRFinput!$B:$E,4,0))),0,IF(AND(VLOOKUP(CONCATENATE($D1702,$G1702),CSRFinput!$B:$E,4,0)=0,OR(H1702=MappingTables!$C$34,H1702=MappingTables!$C$35)),1,VLOOKUP(CONCATENATE($D1702,$G1702),CSRFinput!$B:$E,4,0)))</f>
        <v>0.054776304963434752</v>
      </c>
      <c r="W1702" s="85">
        <f>IF(B1702="",0,+$T1702*$V1702)</f>
        <v>2.2329529238817196</v>
      </c>
      <c r="X1702" s="85">
        <f>IF(B1702="",0,IF(OR(H1702=MappingTables!$C$34,H1702=MappingTables!$C$35),W1702,0))</f>
        <v>0</v>
      </c>
    </row>
    <row r="1703" spans="2:24" s="0" customFormat="0" ht="15">
      <c r="B1703" s="69">
        <v>12414185</v>
      </c>
      <c r="C1703" s="70" t="s">
        <v>1922</v>
      </c>
      <c r="D1703" s="70" t="s">
        <v>1</v>
      </c>
      <c r="E1703" s="70" t="s">
        <v>1</v>
      </c>
      <c r="F1703" s="70"/>
      <c r="G1703" s="70" t="s">
        <v>61</v>
      </c>
      <c r="H1703" s="70" t="s">
        <v>178</v>
      </c>
      <c r="I1703" s="70" t="s">
        <v>188</v>
      </c>
      <c r="J1703" s="71">
        <f>IF(OR(I1703=0,I1703=""),"unrated",VLOOKUP(I1703,MappingTables!$B$19:$C$31,2,FALSE))</f>
        <v>2</v>
      </c>
      <c r="K1703" s="72">
        <v>2922.3093704045112</v>
      </c>
      <c r="L1703" s="70">
        <v>1.6118010984470248</v>
      </c>
      <c r="M1703" s="71">
        <f>IF(L1703&lt;1,1,L1703)</f>
        <v>1.6118010984470248</v>
      </c>
      <c r="N1703" s="70" t="s">
        <v>141</v>
      </c>
      <c r="O1703" s="71">
        <f>INDEX(DurClassMapping,MATCH(M1703,MappingTables!$D$4:$D$8,-1),1)</f>
        <v>1</v>
      </c>
      <c r="P1703" s="73">
        <f>IF(M1703=$A$1,1,$M1703-INDEX(MappingTables!$E$4:$E$8,MATCH(O1703,MappingTables!$B$4:$B$8,0)))</f>
        <v>1.6118010984470248</v>
      </c>
      <c r="Q1703" s="71">
        <f>IF(B1703="",0,INDEX(ModelParameters!$D$6:$K$10,MATCH($O1703,ModelParameters!$B$6:$B$10,0),MATCH($J1703,ModelParameters!$D$5:$K$5,0)))</f>
        <v>0.013999999999999998</v>
      </c>
      <c r="R1703" s="71">
        <f>IF(B1703="",0,INDEX(ModelParameters!$D$13:$K$17,MATCH($O1703,ModelParameters!$B$13:$B$17,0),MATCH($J1703,ModelParameters!$D$5:$K$5,0)))</f>
        <v>0</v>
      </c>
      <c r="S1703" s="160">
        <f>IF(B1703="",0,MIN(IF($N1703="Other Bond TM",ModelParameters!$N$21,1)*(P1703*Q1703+R1703),1))</f>
        <v>0.022565215378258344</v>
      </c>
      <c r="T1703" s="85">
        <f>IF(B1703="",0,$S1703*$K1703)</f>
        <v>65.942540345080344</v>
      </c>
      <c r="U1703" s="85">
        <f>IF(B1703="",0,IF(OR(H1703=MappingTables!$C$34,H1703=MappingTables!$C$35),T1703,0))</f>
        <v>0</v>
      </c>
      <c r="V1703" s="85">
        <f>IF(ISNA(IF(AND(VLOOKUP(CONCATENATE($D1703,$G1703),CSRFinput!$B:$E,4,0)=0,OR(H1703=MappingTables!$C$34,H1703=MappingTables!$C$35)),1,VLOOKUP(CONCATENATE($D1703,$G1703),CSRFinput!$B:$E,4,0))),0,IF(AND(VLOOKUP(CONCATENATE($D1703,$G1703),CSRFinput!$B:$E,4,0)=0,OR(H1703=MappingTables!$C$34,H1703=MappingTables!$C$35)),1,VLOOKUP(CONCATENATE($D1703,$G1703),CSRFinput!$B:$E,4,0)))</f>
        <v>0.054776304963434752</v>
      </c>
      <c r="W1703" s="85">
        <f>IF(B1703="",0,+$T1703*$V1703)</f>
        <v>3.6120887000057208</v>
      </c>
      <c r="X1703" s="85">
        <f>IF(B1703="",0,IF(OR(H1703=MappingTables!$C$34,H1703=MappingTables!$C$35),W1703,0))</f>
        <v>0</v>
      </c>
    </row>
    <row r="1704" spans="2:24" s="0" customFormat="0" ht="15">
      <c r="B1704" s="69" t="s">
        <v>287</v>
      </c>
      <c r="C1704" s="70" t="s">
        <v>288</v>
      </c>
      <c r="D1704" s="70" t="s">
        <v>1</v>
      </c>
      <c r="E1704" s="70" t="s">
        <v>1</v>
      </c>
      <c r="F1704" s="70"/>
      <c r="G1704" s="70" t="s">
        <v>61</v>
      </c>
      <c r="H1704" s="70" t="s">
        <v>178</v>
      </c>
      <c r="I1704" s="70" t="s">
        <v>184</v>
      </c>
      <c r="J1704" s="71">
        <f>IF(OR(I1704=0,I1704=""),"unrated",VLOOKUP(I1704,MappingTables!$B$19:$C$31,2,FALSE))</f>
        <v>5</v>
      </c>
      <c r="K1704" s="72">
        <v>239.46875333459668</v>
      </c>
      <c r="L1704" s="70">
        <v>5.2159688239847728</v>
      </c>
      <c r="M1704" s="71">
        <f>IF(L1704&lt;1,1,L1704)</f>
        <v>5.2159688239847728</v>
      </c>
      <c r="N1704" s="70" t="s">
        <v>141</v>
      </c>
      <c r="O1704" s="71">
        <f>INDEX(DurClassMapping,MATCH(M1704,MappingTables!$D$4:$D$8,-1),1)</f>
        <v>2</v>
      </c>
      <c r="P1704" s="73">
        <f>IF(M1704=$A$1,1,$M1704-INDEX(MappingTables!$E$4:$E$8,MATCH(O1704,MappingTables!$B$4:$B$8,0)))</f>
        <v>0.215968823984773</v>
      </c>
      <c r="Q1704" s="71">
        <f>IF(B1704="",0,INDEX(ModelParameters!$D$6:$K$10,MATCH($O1704,ModelParameters!$B$6:$B$10,0),MATCH($J1704,ModelParameters!$D$5:$K$5,0)))</f>
        <v>0.042</v>
      </c>
      <c r="R1704" s="71">
        <f>IF(B1704="",0,INDEX(ModelParameters!$D$13:$K$17,MATCH($O1704,ModelParameters!$B$13:$B$17,0),MATCH($J1704,ModelParameters!$D$5:$K$5,0)))</f>
        <v>0.375</v>
      </c>
      <c r="S1704" s="160">
        <f>IF(B1704="",0,MIN(IF($N1704="Other Bond TM",ModelParameters!$N$21,1)*(P1704*Q1704+R1704),1))</f>
        <v>0.38407069060736048</v>
      </c>
      <c r="T1704" s="85">
        <f>IF(B1704="",0,$S1704*$K1704)</f>
        <v>91.972929472102208</v>
      </c>
      <c r="U1704" s="85">
        <f>IF(B1704="",0,IF(OR(H1704=MappingTables!$C$34,H1704=MappingTables!$C$35),T1704,0))</f>
        <v>0</v>
      </c>
      <c r="V1704" s="85">
        <f>IF(ISNA(IF(AND(VLOOKUP(CONCATENATE($D1704,$G1704),CSRFinput!$B:$E,4,0)=0,OR(H1704=MappingTables!$C$34,H1704=MappingTables!$C$35)),1,VLOOKUP(CONCATENATE($D1704,$G1704),CSRFinput!$B:$E,4,0))),0,IF(AND(VLOOKUP(CONCATENATE($D1704,$G1704),CSRFinput!$B:$E,4,0)=0,OR(H1704=MappingTables!$C$34,H1704=MappingTables!$C$35)),1,VLOOKUP(CONCATENATE($D1704,$G1704),CSRFinput!$B:$E,4,0)))</f>
        <v>0.054776304963434752</v>
      </c>
      <c r="W1704" s="85">
        <f>IF(B1704="",0,+$T1704*$V1704)</f>
        <v>5.0379372331443472</v>
      </c>
      <c r="X1704" s="85">
        <f>IF(B1704="",0,IF(OR(H1704=MappingTables!$C$34,H1704=MappingTables!$C$35),W1704,0))</f>
        <v>0</v>
      </c>
    </row>
    <row r="1705" spans="2:24" s="0" customFormat="0" ht="15">
      <c r="B1705" s="69">
        <v>21771039</v>
      </c>
      <c r="C1705" s="70" t="s">
        <v>1409</v>
      </c>
      <c r="D1705" s="70" t="s">
        <v>1</v>
      </c>
      <c r="E1705" s="70" t="s">
        <v>1</v>
      </c>
      <c r="F1705" s="70"/>
      <c r="G1705" s="70" t="s">
        <v>61</v>
      </c>
      <c r="H1705" s="70" t="s">
        <v>178</v>
      </c>
      <c r="I1705" s="70" t="s">
        <v>181</v>
      </c>
      <c r="J1705" s="71">
        <f>IF(OR(I1705=0,I1705=""),"unrated",VLOOKUP(I1705,MappingTables!$B$19:$C$31,2,FALSE))</f>
        <v>3</v>
      </c>
      <c r="K1705" s="72">
        <v>2457.6380017892892</v>
      </c>
      <c r="L1705" s="70">
        <v>2.5293487861431964</v>
      </c>
      <c r="M1705" s="71">
        <f>IF(L1705&lt;1,1,L1705)</f>
        <v>2.5293487861431964</v>
      </c>
      <c r="N1705" s="70" t="s">
        <v>141</v>
      </c>
      <c r="O1705" s="71">
        <f>INDEX(DurClassMapping,MATCH(M1705,MappingTables!$D$4:$D$8,-1),1)</f>
        <v>1</v>
      </c>
      <c r="P1705" s="73">
        <f>IF(M1705=$A$1,1,$M1705-INDEX(MappingTables!$E$4:$E$8,MATCH(O1705,MappingTables!$B$4:$B$8,0)))</f>
        <v>2.5293487861431964</v>
      </c>
      <c r="Q1705" s="71">
        <f>IF(B1705="",0,INDEX(ModelParameters!$D$6:$K$10,MATCH($O1705,ModelParameters!$B$6:$B$10,0),MATCH($J1705,ModelParameters!$D$5:$K$5,0)))</f>
        <v>0.025</v>
      </c>
      <c r="R1705" s="71">
        <f>IF(B1705="",0,INDEX(ModelParameters!$D$13:$K$17,MATCH($O1705,ModelParameters!$B$13:$B$17,0),MATCH($J1705,ModelParameters!$D$5:$K$5,0)))</f>
        <v>0</v>
      </c>
      <c r="S1705" s="160">
        <f>IF(B1705="",0,MIN(IF($N1705="Other Bond TM",ModelParameters!$N$21,1)*(P1705*Q1705+R1705),1))</f>
        <v>0.06323371965357992</v>
      </c>
      <c r="T1705" s="85">
        <f>IF(B1705="",0,$S1705*$K1705)</f>
        <v>155.40559241512826</v>
      </c>
      <c r="U1705" s="85">
        <f>IF(B1705="",0,IF(OR(H1705=MappingTables!$C$34,H1705=MappingTables!$C$35),T1705,0))</f>
        <v>0</v>
      </c>
      <c r="V1705" s="85">
        <f>IF(ISNA(IF(AND(VLOOKUP(CONCATENATE($D1705,$G1705),CSRFinput!$B:$E,4,0)=0,OR(H1705=MappingTables!$C$34,H1705=MappingTables!$C$35)),1,VLOOKUP(CONCATENATE($D1705,$G1705),CSRFinput!$B:$E,4,0))),0,IF(AND(VLOOKUP(CONCATENATE($D1705,$G1705),CSRFinput!$B:$E,4,0)=0,OR(H1705=MappingTables!$C$34,H1705=MappingTables!$C$35)),1,VLOOKUP(CONCATENATE($D1705,$G1705),CSRFinput!$B:$E,4,0)))</f>
        <v>0.054776304963434752</v>
      </c>
      <c r="W1705" s="85">
        <f>IF(B1705="",0,+$T1705*$V1705)</f>
        <v>8.5125441231543088</v>
      </c>
      <c r="X1705" s="85">
        <f>IF(B1705="",0,IF(OR(H1705=MappingTables!$C$34,H1705=MappingTables!$C$35),W1705,0))</f>
        <v>0</v>
      </c>
    </row>
    <row r="1706" spans="2:24" s="0" customFormat="0" ht="15">
      <c r="B1706" s="69">
        <v>21363927</v>
      </c>
      <c r="C1706" s="70" t="s">
        <v>1923</v>
      </c>
      <c r="D1706" s="70" t="s">
        <v>1</v>
      </c>
      <c r="E1706" s="70" t="s">
        <v>1</v>
      </c>
      <c r="F1706" s="70"/>
      <c r="G1706" s="70" t="s">
        <v>61</v>
      </c>
      <c r="H1706" s="70" t="s">
        <v>178</v>
      </c>
      <c r="I1706" s="70" t="s">
        <v>181</v>
      </c>
      <c r="J1706" s="71">
        <f>IF(OR(I1706=0,I1706=""),"unrated",VLOOKUP(I1706,MappingTables!$B$19:$C$31,2,FALSE))</f>
        <v>3</v>
      </c>
      <c r="K1706" s="72">
        <v>6858.103411629784</v>
      </c>
      <c r="L1706" s="70">
        <v>15.084517588835046</v>
      </c>
      <c r="M1706" s="71">
        <f>IF(L1706&lt;1,1,L1706)</f>
        <v>15.084517588835046</v>
      </c>
      <c r="N1706" s="70" t="s">
        <v>141</v>
      </c>
      <c r="O1706" s="71">
        <f>INDEX(DurClassMapping,MATCH(M1706,MappingTables!$D$4:$D$8,-1),1)</f>
        <v>4</v>
      </c>
      <c r="P1706" s="73">
        <f>IF(M1706=$A$1,1,$M1706-INDEX(MappingTables!$E$4:$E$8,MATCH(O1706,MappingTables!$B$4:$B$8,0)))</f>
        <v>0.084517588835046448</v>
      </c>
      <c r="Q1706" s="71">
        <f>IF(B1706="",0,INDEX(ModelParameters!$D$6:$K$10,MATCH($O1706,ModelParameters!$B$6:$B$10,0),MATCH($J1706,ModelParameters!$D$5:$K$5,0)))</f>
        <v>0.01</v>
      </c>
      <c r="R1706" s="71">
        <f>IF(B1706="",0,INDEX(ModelParameters!$D$13:$K$17,MATCH($O1706,ModelParameters!$B$13:$B$17,0),MATCH($J1706,ModelParameters!$D$5:$K$5,0)))</f>
        <v>0.25</v>
      </c>
      <c r="S1706" s="160">
        <f>IF(B1706="",0,MIN(IF($N1706="Other Bond TM",ModelParameters!$N$21,1)*(P1706*Q1706+R1706),1))</f>
        <v>0.25084517588835048</v>
      </c>
      <c r="T1706" s="85">
        <f>IF(B1706="",0,$S1706*$K1706)</f>
        <v>1720.3221565507698</v>
      </c>
      <c r="U1706" s="85">
        <f>IF(B1706="",0,IF(OR(H1706=MappingTables!$C$34,H1706=MappingTables!$C$35),T1706,0))</f>
        <v>0</v>
      </c>
      <c r="V1706" s="85">
        <f>IF(ISNA(IF(AND(VLOOKUP(CONCATENATE($D1706,$G1706),CSRFinput!$B:$E,4,0)=0,OR(H1706=MappingTables!$C$34,H1706=MappingTables!$C$35)),1,VLOOKUP(CONCATENATE($D1706,$G1706),CSRFinput!$B:$E,4,0))),0,IF(AND(VLOOKUP(CONCATENATE($D1706,$G1706),CSRFinput!$B:$E,4,0)=0,OR(H1706=MappingTables!$C$34,H1706=MappingTables!$C$35)),1,VLOOKUP(CONCATENATE($D1706,$G1706),CSRFinput!$B:$E,4,0)))</f>
        <v>0.054776304963434752</v>
      </c>
      <c r="W1706" s="85">
        <f>IF(B1706="",0,+$T1706*$V1706)</f>
        <v>94.232891082578704</v>
      </c>
      <c r="X1706" s="85">
        <f>IF(B1706="",0,IF(OR(H1706=MappingTables!$C$34,H1706=MappingTables!$C$35),W1706,0))</f>
        <v>0</v>
      </c>
    </row>
    <row r="1707" spans="2:24" s="0" customFormat="0" ht="15">
      <c r="B1707" s="69">
        <v>21740949</v>
      </c>
      <c r="C1707" s="70" t="s">
        <v>1924</v>
      </c>
      <c r="D1707" s="70" t="s">
        <v>1</v>
      </c>
      <c r="E1707" s="70" t="s">
        <v>1</v>
      </c>
      <c r="F1707" s="70"/>
      <c r="G1707" s="70" t="s">
        <v>61</v>
      </c>
      <c r="H1707" s="70" t="s">
        <v>178</v>
      </c>
      <c r="I1707" s="70" t="s">
        <v>181</v>
      </c>
      <c r="J1707" s="71">
        <f>IF(OR(I1707=0,I1707=""),"unrated",VLOOKUP(I1707,MappingTables!$B$19:$C$31,2,FALSE))</f>
        <v>3</v>
      </c>
      <c r="K1707" s="72">
        <v>2770.2151427984768</v>
      </c>
      <c r="L1707" s="70">
        <v>4.1475426879386256</v>
      </c>
      <c r="M1707" s="71">
        <f>IF(L1707&lt;1,1,L1707)</f>
        <v>4.1475426879386256</v>
      </c>
      <c r="N1707" s="70" t="s">
        <v>141</v>
      </c>
      <c r="O1707" s="71">
        <f>INDEX(DurClassMapping,MATCH(M1707,MappingTables!$D$4:$D$8,-1),1)</f>
        <v>1</v>
      </c>
      <c r="P1707" s="73">
        <f>IF(M1707=$A$1,1,$M1707-INDEX(MappingTables!$E$4:$E$8,MATCH(O1707,MappingTables!$B$4:$B$8,0)))</f>
        <v>4.1475426879386256</v>
      </c>
      <c r="Q1707" s="71">
        <f>IF(B1707="",0,INDEX(ModelParameters!$D$6:$K$10,MATCH($O1707,ModelParameters!$B$6:$B$10,0),MATCH($J1707,ModelParameters!$D$5:$K$5,0)))</f>
        <v>0.025</v>
      </c>
      <c r="R1707" s="71">
        <f>IF(B1707="",0,INDEX(ModelParameters!$D$13:$K$17,MATCH($O1707,ModelParameters!$B$13:$B$17,0),MATCH($J1707,ModelParameters!$D$5:$K$5,0)))</f>
        <v>0</v>
      </c>
      <c r="S1707" s="160">
        <f>IF(B1707="",0,MIN(IF($N1707="Other Bond TM",ModelParameters!$N$21,1)*(P1707*Q1707+R1707),1))</f>
        <v>0.10368856719846564</v>
      </c>
      <c r="T1707" s="85">
        <f>IF(B1707="",0,$S1707*$K1707)</f>
        <v>287.23963898826696</v>
      </c>
      <c r="U1707" s="85">
        <f>IF(B1707="",0,IF(OR(H1707=MappingTables!$C$34,H1707=MappingTables!$C$35),T1707,0))</f>
        <v>0</v>
      </c>
      <c r="V1707" s="85">
        <f>IF(ISNA(IF(AND(VLOOKUP(CONCATENATE($D1707,$G1707),CSRFinput!$B:$E,4,0)=0,OR(H1707=MappingTables!$C$34,H1707=MappingTables!$C$35)),1,VLOOKUP(CONCATENATE($D1707,$G1707),CSRFinput!$B:$E,4,0))),0,IF(AND(VLOOKUP(CONCATENATE($D1707,$G1707),CSRFinput!$B:$E,4,0)=0,OR(H1707=MappingTables!$C$34,H1707=MappingTables!$C$35)),1,VLOOKUP(CONCATENATE($D1707,$G1707),CSRFinput!$B:$E,4,0)))</f>
        <v>0.054776304963434752</v>
      </c>
      <c r="W1707" s="85">
        <f>IF(B1707="",0,+$T1707*$V1707)</f>
        <v>15.733926062808214</v>
      </c>
      <c r="X1707" s="85">
        <f>IF(B1707="",0,IF(OR(H1707=MappingTables!$C$34,H1707=MappingTables!$C$35),W1707,0))</f>
        <v>0</v>
      </c>
    </row>
    <row r="1708" spans="2:24" s="0" customFormat="0" ht="15">
      <c r="B1708" s="69">
        <v>18916406</v>
      </c>
      <c r="C1708" s="70" t="s">
        <v>1925</v>
      </c>
      <c r="D1708" s="70" t="s">
        <v>1</v>
      </c>
      <c r="E1708" s="70" t="s">
        <v>1</v>
      </c>
      <c r="F1708" s="70"/>
      <c r="G1708" s="70" t="s">
        <v>61</v>
      </c>
      <c r="H1708" s="70" t="s">
        <v>178</v>
      </c>
      <c r="I1708" s="70" t="s">
        <v>179</v>
      </c>
      <c r="J1708" s="71">
        <f>IF(OR(I1708=0,I1708=""),"unrated",VLOOKUP(I1708,MappingTables!$B$19:$C$31,2,FALSE))</f>
        <v>4</v>
      </c>
      <c r="K1708" s="72">
        <v>5426.963096725504</v>
      </c>
      <c r="L1708" s="70">
        <v>10.136259049752942</v>
      </c>
      <c r="M1708" s="71">
        <f>IF(L1708&lt;1,1,L1708)</f>
        <v>10.136259049752942</v>
      </c>
      <c r="N1708" s="70" t="s">
        <v>141</v>
      </c>
      <c r="O1708" s="71">
        <f>INDEX(DurClassMapping,MATCH(M1708,MappingTables!$D$4:$D$8,-1),1)</f>
        <v>3</v>
      </c>
      <c r="P1708" s="73">
        <f>IF(M1708=$A$1,1,$M1708-INDEX(MappingTables!$E$4:$E$8,MATCH(O1708,MappingTables!$B$4:$B$8,0)))</f>
        <v>0.13625904975294212</v>
      </c>
      <c r="Q1708" s="71">
        <f>IF(B1708="",0,INDEX(ModelParameters!$D$6:$K$10,MATCH($O1708,ModelParameters!$B$6:$B$10,0),MATCH($J1708,ModelParameters!$D$5:$K$5,0)))</f>
        <v>0.018000000000000002</v>
      </c>
      <c r="R1708" s="71">
        <f>IF(B1708="",0,INDEX(ModelParameters!$D$13:$K$17,MATCH($O1708,ModelParameters!$B$13:$B$17,0),MATCH($J1708,ModelParameters!$D$5:$K$5,0)))</f>
        <v>0.34999999999999996</v>
      </c>
      <c r="S1708" s="160">
        <f>IF(B1708="",0,MIN(IF($N1708="Other Bond TM",ModelParameters!$N$21,1)*(P1708*Q1708+R1708),1))</f>
        <v>0.35245266289555292</v>
      </c>
      <c r="T1708" s="85">
        <f>IF(B1708="",0,$S1708*$K1708)</f>
        <v>1912.7475948768</v>
      </c>
      <c r="U1708" s="85">
        <f>IF(B1708="",0,IF(OR(H1708=MappingTables!$C$34,H1708=MappingTables!$C$35),T1708,0))</f>
        <v>0</v>
      </c>
      <c r="V1708" s="85">
        <f>IF(ISNA(IF(AND(VLOOKUP(CONCATENATE($D1708,$G1708),CSRFinput!$B:$E,4,0)=0,OR(H1708=MappingTables!$C$34,H1708=MappingTables!$C$35)),1,VLOOKUP(CONCATENATE($D1708,$G1708),CSRFinput!$B:$E,4,0))),0,IF(AND(VLOOKUP(CONCATENATE($D1708,$G1708),CSRFinput!$B:$E,4,0)=0,OR(H1708=MappingTables!$C$34,H1708=MappingTables!$C$35)),1,VLOOKUP(CONCATENATE($D1708,$G1708),CSRFinput!$B:$E,4,0)))</f>
        <v>0.054776304963434752</v>
      </c>
      <c r="W1708" s="85">
        <f>IF(B1708="",0,+$T1708*$V1708)</f>
        <v>104.77324557504796</v>
      </c>
      <c r="X1708" s="85">
        <f>IF(B1708="",0,IF(OR(H1708=MappingTables!$C$34,H1708=MappingTables!$C$35),W1708,0))</f>
        <v>0</v>
      </c>
    </row>
    <row r="1709" spans="2:24" s="0" customFormat="0" ht="15">
      <c r="B1709" s="69">
        <v>6568192</v>
      </c>
      <c r="C1709" s="70" t="s">
        <v>1926</v>
      </c>
      <c r="D1709" s="70" t="s">
        <v>1</v>
      </c>
      <c r="E1709" s="70" t="s">
        <v>1</v>
      </c>
      <c r="F1709" s="70"/>
      <c r="G1709" s="70" t="s">
        <v>61</v>
      </c>
      <c r="H1709" s="70" t="s">
        <v>178</v>
      </c>
      <c r="I1709" s="70" t="s">
        <v>184</v>
      </c>
      <c r="J1709" s="71">
        <f>IF(OR(I1709=0,I1709=""),"unrated",VLOOKUP(I1709,MappingTables!$B$19:$C$31,2,FALSE))</f>
        <v>5</v>
      </c>
      <c r="K1709" s="72">
        <v>38.165540336694992</v>
      </c>
      <c r="L1709" s="70">
        <v>0.37808565887121152</v>
      </c>
      <c r="M1709" s="71">
        <f>IF(L1709&lt;1,1,L1709)</f>
        <v>1</v>
      </c>
      <c r="N1709" s="70" t="s">
        <v>141</v>
      </c>
      <c r="O1709" s="71">
        <f>INDEX(DurClassMapping,MATCH(M1709,MappingTables!$D$4:$D$8,-1),1)</f>
        <v>1</v>
      </c>
      <c r="P1709" s="73">
        <f>IF(M1709=$A$1,1,$M1709-INDEX(MappingTables!$E$4:$E$8,MATCH(O1709,MappingTables!$B$4:$B$8,0)))</f>
        <v>1</v>
      </c>
      <c r="Q1709" s="71">
        <f>IF(B1709="",0,INDEX(ModelParameters!$D$6:$K$10,MATCH($O1709,ModelParameters!$B$6:$B$10,0),MATCH($J1709,ModelParameters!$D$5:$K$5,0)))</f>
        <v>0.075</v>
      </c>
      <c r="R1709" s="71">
        <f>IF(B1709="",0,INDEX(ModelParameters!$D$13:$K$17,MATCH($O1709,ModelParameters!$B$13:$B$17,0),MATCH($J1709,ModelParameters!$D$5:$K$5,0)))</f>
        <v>0</v>
      </c>
      <c r="S1709" s="160">
        <f>IF(B1709="",0,MIN(IF($N1709="Other Bond TM",ModelParameters!$N$21,1)*(P1709*Q1709+R1709),1))</f>
        <v>0.075</v>
      </c>
      <c r="T1709" s="85">
        <f>IF(B1709="",0,$S1709*$K1709)</f>
        <v>2.8624155252521244</v>
      </c>
      <c r="U1709" s="85">
        <f>IF(B1709="",0,IF(OR(H1709=MappingTables!$C$34,H1709=MappingTables!$C$35),T1709,0))</f>
        <v>0</v>
      </c>
      <c r="V1709" s="85">
        <f>IF(ISNA(IF(AND(VLOOKUP(CONCATENATE($D1709,$G1709),CSRFinput!$B:$E,4,0)=0,OR(H1709=MappingTables!$C$34,H1709=MappingTables!$C$35)),1,VLOOKUP(CONCATENATE($D1709,$G1709),CSRFinput!$B:$E,4,0))),0,IF(AND(VLOOKUP(CONCATENATE($D1709,$G1709),CSRFinput!$B:$E,4,0)=0,OR(H1709=MappingTables!$C$34,H1709=MappingTables!$C$35)),1,VLOOKUP(CONCATENATE($D1709,$G1709),CSRFinput!$B:$E,4,0)))</f>
        <v>0.054776304963434752</v>
      </c>
      <c r="W1709" s="85">
        <f>IF(B1709="",0,+$T1709*$V1709)</f>
        <v>0.15679254574328064</v>
      </c>
      <c r="X1709" s="85">
        <f>IF(B1709="",0,IF(OR(H1709=MappingTables!$C$34,H1709=MappingTables!$C$35),W1709,0))</f>
        <v>0</v>
      </c>
    </row>
    <row r="1710" spans="2:24" s="0" customFormat="0" ht="15">
      <c r="B1710" s="69">
        <v>22859854</v>
      </c>
      <c r="C1710" s="70" t="s">
        <v>1927</v>
      </c>
      <c r="D1710" s="70" t="s">
        <v>1</v>
      </c>
      <c r="E1710" s="70" t="s">
        <v>1</v>
      </c>
      <c r="F1710" s="70"/>
      <c r="G1710" s="70" t="s">
        <v>61</v>
      </c>
      <c r="H1710" s="70" t="s">
        <v>178</v>
      </c>
      <c r="I1710" s="70" t="s">
        <v>184</v>
      </c>
      <c r="J1710" s="71">
        <f>IF(OR(I1710=0,I1710=""),"unrated",VLOOKUP(I1710,MappingTables!$B$19:$C$31,2,FALSE))</f>
        <v>5</v>
      </c>
      <c r="K1710" s="72">
        <v>553.39396665756736</v>
      </c>
      <c r="L1710" s="70">
        <v>1.3541701086667636</v>
      </c>
      <c r="M1710" s="71">
        <f>IF(L1710&lt;1,1,L1710)</f>
        <v>1.3541701086667636</v>
      </c>
      <c r="N1710" s="70" t="s">
        <v>141</v>
      </c>
      <c r="O1710" s="71">
        <f>INDEX(DurClassMapping,MATCH(M1710,MappingTables!$D$4:$D$8,-1),1)</f>
        <v>1</v>
      </c>
      <c r="P1710" s="73">
        <f>IF(M1710=$A$1,1,$M1710-INDEX(MappingTables!$E$4:$E$8,MATCH(O1710,MappingTables!$B$4:$B$8,0)))</f>
        <v>1.3541701086667636</v>
      </c>
      <c r="Q1710" s="71">
        <f>IF(B1710="",0,INDEX(ModelParameters!$D$6:$K$10,MATCH($O1710,ModelParameters!$B$6:$B$10,0),MATCH($J1710,ModelParameters!$D$5:$K$5,0)))</f>
        <v>0.075</v>
      </c>
      <c r="R1710" s="71">
        <f>IF(B1710="",0,INDEX(ModelParameters!$D$13:$K$17,MATCH($O1710,ModelParameters!$B$13:$B$17,0),MATCH($J1710,ModelParameters!$D$5:$K$5,0)))</f>
        <v>0</v>
      </c>
      <c r="S1710" s="160">
        <f>IF(B1710="",0,MIN(IF($N1710="Other Bond TM",ModelParameters!$N$21,1)*(P1710*Q1710+R1710),1))</f>
        <v>0.10156275815000728</v>
      </c>
      <c r="T1710" s="85">
        <f>IF(B1710="",0,$S1710*$K1710)</f>
        <v>56.204217597315704</v>
      </c>
      <c r="U1710" s="85">
        <f>IF(B1710="",0,IF(OR(H1710=MappingTables!$C$34,H1710=MappingTables!$C$35),T1710,0))</f>
        <v>0</v>
      </c>
      <c r="V1710" s="85">
        <f>IF(ISNA(IF(AND(VLOOKUP(CONCATENATE($D1710,$G1710),CSRFinput!$B:$E,4,0)=0,OR(H1710=MappingTables!$C$34,H1710=MappingTables!$C$35)),1,VLOOKUP(CONCATENATE($D1710,$G1710),CSRFinput!$B:$E,4,0))),0,IF(AND(VLOOKUP(CONCATENATE($D1710,$G1710),CSRFinput!$B:$E,4,0)=0,OR(H1710=MappingTables!$C$34,H1710=MappingTables!$C$35)),1,VLOOKUP(CONCATENATE($D1710,$G1710),CSRFinput!$B:$E,4,0)))</f>
        <v>0.054776304963434752</v>
      </c>
      <c r="W1710" s="85">
        <f>IF(B1710="",0,+$T1710*$V1710)</f>
        <v>3.0786593633418112</v>
      </c>
      <c r="X1710" s="85">
        <f>IF(B1710="",0,IF(OR(H1710=MappingTables!$C$34,H1710=MappingTables!$C$35),W1710,0))</f>
        <v>0</v>
      </c>
    </row>
    <row r="1711" spans="2:24" s="0" customFormat="0" ht="15">
      <c r="B1711" s="69">
        <v>8917854</v>
      </c>
      <c r="C1711" s="70" t="s">
        <v>1928</v>
      </c>
      <c r="D1711" s="70" t="s">
        <v>1</v>
      </c>
      <c r="E1711" s="70" t="s">
        <v>1</v>
      </c>
      <c r="F1711" s="70"/>
      <c r="G1711" s="70" t="s">
        <v>61</v>
      </c>
      <c r="H1711" s="70" t="s">
        <v>178</v>
      </c>
      <c r="I1711" s="70" t="s">
        <v>181</v>
      </c>
      <c r="J1711" s="71">
        <f>IF(OR(I1711=0,I1711=""),"unrated",VLOOKUP(I1711,MappingTables!$B$19:$C$31,2,FALSE))</f>
        <v>3</v>
      </c>
      <c r="K1711" s="72">
        <v>1676.4704545786026</v>
      </c>
      <c r="L1711" s="70">
        <v>0.69700689986842216</v>
      </c>
      <c r="M1711" s="71">
        <f>IF(L1711&lt;1,1,L1711)</f>
        <v>1</v>
      </c>
      <c r="N1711" s="70" t="s">
        <v>141</v>
      </c>
      <c r="O1711" s="71">
        <f>INDEX(DurClassMapping,MATCH(M1711,MappingTables!$D$4:$D$8,-1),1)</f>
        <v>1</v>
      </c>
      <c r="P1711" s="73">
        <f>IF(M1711=$A$1,1,$M1711-INDEX(MappingTables!$E$4:$E$8,MATCH(O1711,MappingTables!$B$4:$B$8,0)))</f>
        <v>1</v>
      </c>
      <c r="Q1711" s="71">
        <f>IF(B1711="",0,INDEX(ModelParameters!$D$6:$K$10,MATCH($O1711,ModelParameters!$B$6:$B$10,0),MATCH($J1711,ModelParameters!$D$5:$K$5,0)))</f>
        <v>0.025</v>
      </c>
      <c r="R1711" s="71">
        <f>IF(B1711="",0,INDEX(ModelParameters!$D$13:$K$17,MATCH($O1711,ModelParameters!$B$13:$B$17,0),MATCH($J1711,ModelParameters!$D$5:$K$5,0)))</f>
        <v>0</v>
      </c>
      <c r="S1711" s="160">
        <f>IF(B1711="",0,MIN(IF($N1711="Other Bond TM",ModelParameters!$N$21,1)*(P1711*Q1711+R1711),1))</f>
        <v>0.025</v>
      </c>
      <c r="T1711" s="85">
        <f>IF(B1711="",0,$S1711*$K1711)</f>
        <v>41.911761364465064</v>
      </c>
      <c r="U1711" s="85">
        <f>IF(B1711="",0,IF(OR(H1711=MappingTables!$C$34,H1711=MappingTables!$C$35),T1711,0))</f>
        <v>0</v>
      </c>
      <c r="V1711" s="85">
        <f>IF(ISNA(IF(AND(VLOOKUP(CONCATENATE($D1711,$G1711),CSRFinput!$B:$E,4,0)=0,OR(H1711=MappingTables!$C$34,H1711=MappingTables!$C$35)),1,VLOOKUP(CONCATENATE($D1711,$G1711),CSRFinput!$B:$E,4,0))),0,IF(AND(VLOOKUP(CONCATENATE($D1711,$G1711),CSRFinput!$B:$E,4,0)=0,OR(H1711=MappingTables!$C$34,H1711=MappingTables!$C$35)),1,VLOOKUP(CONCATENATE($D1711,$G1711),CSRFinput!$B:$E,4,0)))</f>
        <v>0.054776304963434752</v>
      </c>
      <c r="W1711" s="85">
        <f>IF(B1711="",0,+$T1711*$V1711)</f>
        <v>2.2957714220546408</v>
      </c>
      <c r="X1711" s="85">
        <f>IF(B1711="",0,IF(OR(H1711=MappingTables!$C$34,H1711=MappingTables!$C$35),W1711,0))</f>
        <v>0</v>
      </c>
    </row>
    <row r="1712" spans="2:24" s="0" customFormat="0" ht="15">
      <c r="B1712" s="69">
        <v>11396651</v>
      </c>
      <c r="C1712" s="70" t="s">
        <v>818</v>
      </c>
      <c r="D1712" s="70" t="s">
        <v>1</v>
      </c>
      <c r="E1712" s="70" t="s">
        <v>1</v>
      </c>
      <c r="F1712" s="70"/>
      <c r="G1712" s="70" t="s">
        <v>61</v>
      </c>
      <c r="H1712" s="70" t="s">
        <v>178</v>
      </c>
      <c r="I1712" s="70" t="s">
        <v>181</v>
      </c>
      <c r="J1712" s="71">
        <f>IF(OR(I1712=0,I1712=""),"unrated",VLOOKUP(I1712,MappingTables!$B$19:$C$31,2,FALSE))</f>
        <v>3</v>
      </c>
      <c r="K1712" s="72">
        <v>23.428872741624424</v>
      </c>
      <c r="L1712" s="70">
        <v>0.07670873204792072</v>
      </c>
      <c r="M1712" s="71">
        <f>IF(L1712&lt;1,1,L1712)</f>
        <v>1</v>
      </c>
      <c r="N1712" s="70" t="s">
        <v>141</v>
      </c>
      <c r="O1712" s="71">
        <f>INDEX(DurClassMapping,MATCH(M1712,MappingTables!$D$4:$D$8,-1),1)</f>
        <v>1</v>
      </c>
      <c r="P1712" s="73">
        <f>IF(M1712=$A$1,1,$M1712-INDEX(MappingTables!$E$4:$E$8,MATCH(O1712,MappingTables!$B$4:$B$8,0)))</f>
        <v>1</v>
      </c>
      <c r="Q1712" s="71">
        <f>IF(B1712="",0,INDEX(ModelParameters!$D$6:$K$10,MATCH($O1712,ModelParameters!$B$6:$B$10,0),MATCH($J1712,ModelParameters!$D$5:$K$5,0)))</f>
        <v>0.025</v>
      </c>
      <c r="R1712" s="71">
        <f>IF(B1712="",0,INDEX(ModelParameters!$D$13:$K$17,MATCH($O1712,ModelParameters!$B$13:$B$17,0),MATCH($J1712,ModelParameters!$D$5:$K$5,0)))</f>
        <v>0</v>
      </c>
      <c r="S1712" s="160">
        <f>IF(B1712="",0,MIN(IF($N1712="Other Bond TM",ModelParameters!$N$21,1)*(P1712*Q1712+R1712),1))</f>
        <v>0.025</v>
      </c>
      <c r="T1712" s="85">
        <f>IF(B1712="",0,$S1712*$K1712)</f>
        <v>0.58572181854061064</v>
      </c>
      <c r="U1712" s="85">
        <f>IF(B1712="",0,IF(OR(H1712=MappingTables!$C$34,H1712=MappingTables!$C$35),T1712,0))</f>
        <v>0</v>
      </c>
      <c r="V1712" s="85">
        <f>IF(ISNA(IF(AND(VLOOKUP(CONCATENATE($D1712,$G1712),CSRFinput!$B:$E,4,0)=0,OR(H1712=MappingTables!$C$34,H1712=MappingTables!$C$35)),1,VLOOKUP(CONCATENATE($D1712,$G1712),CSRFinput!$B:$E,4,0))),0,IF(AND(VLOOKUP(CONCATENATE($D1712,$G1712),CSRFinput!$B:$E,4,0)=0,OR(H1712=MappingTables!$C$34,H1712=MappingTables!$C$35)),1,VLOOKUP(CONCATENATE($D1712,$G1712),CSRFinput!$B:$E,4,0)))</f>
        <v>0.054776304963434752</v>
      </c>
      <c r="W1712" s="85">
        <f>IF(B1712="",0,+$T1712*$V1712)</f>
        <v>0.03208367695611808</v>
      </c>
      <c r="X1712" s="85">
        <f>IF(B1712="",0,IF(OR(H1712=MappingTables!$C$34,H1712=MappingTables!$C$35),W1712,0))</f>
        <v>0</v>
      </c>
    </row>
    <row r="1713" spans="2:24" s="0" customFormat="0" ht="15">
      <c r="B1713" s="69">
        <v>16196303</v>
      </c>
      <c r="C1713" s="70" t="s">
        <v>1929</v>
      </c>
      <c r="D1713" s="70" t="s">
        <v>1</v>
      </c>
      <c r="E1713" s="70" t="s">
        <v>1</v>
      </c>
      <c r="F1713" s="70"/>
      <c r="G1713" s="70" t="s">
        <v>61</v>
      </c>
      <c r="H1713" s="70" t="s">
        <v>178</v>
      </c>
      <c r="I1713" s="70" t="s">
        <v>179</v>
      </c>
      <c r="J1713" s="71">
        <f>IF(OR(I1713=0,I1713=""),"unrated",VLOOKUP(I1713,MappingTables!$B$19:$C$31,2,FALSE))</f>
        <v>4</v>
      </c>
      <c r="K1713" s="72">
        <v>52.38668975480792</v>
      </c>
      <c r="L1713" s="70">
        <v>0.35890652473379288</v>
      </c>
      <c r="M1713" s="71">
        <f>IF(L1713&lt;1,1,L1713)</f>
        <v>1</v>
      </c>
      <c r="N1713" s="70" t="s">
        <v>141</v>
      </c>
      <c r="O1713" s="71">
        <f>INDEX(DurClassMapping,MATCH(M1713,MappingTables!$D$4:$D$8,-1),1)</f>
        <v>1</v>
      </c>
      <c r="P1713" s="73">
        <f>IF(M1713=$A$1,1,$M1713-INDEX(MappingTables!$E$4:$E$8,MATCH(O1713,MappingTables!$B$4:$B$8,0)))</f>
        <v>1</v>
      </c>
      <c r="Q1713" s="71">
        <f>IF(B1713="",0,INDEX(ModelParameters!$D$6:$K$10,MATCH($O1713,ModelParameters!$B$6:$B$10,0),MATCH($J1713,ModelParameters!$D$5:$K$5,0)))</f>
        <v>0.045</v>
      </c>
      <c r="R1713" s="71">
        <f>IF(B1713="",0,INDEX(ModelParameters!$D$13:$K$17,MATCH($O1713,ModelParameters!$B$13:$B$17,0),MATCH($J1713,ModelParameters!$D$5:$K$5,0)))</f>
        <v>0</v>
      </c>
      <c r="S1713" s="160">
        <f>IF(B1713="",0,MIN(IF($N1713="Other Bond TM",ModelParameters!$N$21,1)*(P1713*Q1713+R1713),1))</f>
        <v>0.045</v>
      </c>
      <c r="T1713" s="85">
        <f>IF(B1713="",0,$S1713*$K1713)</f>
        <v>2.3574010389663564</v>
      </c>
      <c r="U1713" s="85">
        <f>IF(B1713="",0,IF(OR(H1713=MappingTables!$C$34,H1713=MappingTables!$C$35),T1713,0))</f>
        <v>0</v>
      </c>
      <c r="V1713" s="85">
        <f>IF(ISNA(IF(AND(VLOOKUP(CONCATENATE($D1713,$G1713),CSRFinput!$B:$E,4,0)=0,OR(H1713=MappingTables!$C$34,H1713=MappingTables!$C$35)),1,VLOOKUP(CONCATENATE($D1713,$G1713),CSRFinput!$B:$E,4,0))),0,IF(AND(VLOOKUP(CONCATENATE($D1713,$G1713),CSRFinput!$B:$E,4,0)=0,OR(H1713=MappingTables!$C$34,H1713=MappingTables!$C$35)),1,VLOOKUP(CONCATENATE($D1713,$G1713),CSRFinput!$B:$E,4,0)))</f>
        <v>0.054776304963434752</v>
      </c>
      <c r="W1713" s="85">
        <f>IF(B1713="",0,+$T1713*$V1713)</f>
        <v>0.12912971823153908</v>
      </c>
      <c r="X1713" s="85">
        <f>IF(B1713="",0,IF(OR(H1713=MappingTables!$C$34,H1713=MappingTables!$C$35),W1713,0))</f>
        <v>0</v>
      </c>
    </row>
    <row r="1714" spans="2:24" s="0" customFormat="0" ht="15">
      <c r="B1714" s="69">
        <v>20868124</v>
      </c>
      <c r="C1714" s="70" t="s">
        <v>1930</v>
      </c>
      <c r="D1714" s="70" t="s">
        <v>1</v>
      </c>
      <c r="E1714" s="70" t="s">
        <v>1</v>
      </c>
      <c r="F1714" s="70"/>
      <c r="G1714" s="70" t="s">
        <v>61</v>
      </c>
      <c r="H1714" s="70" t="s">
        <v>178</v>
      </c>
      <c r="I1714" s="70" t="s">
        <v>188</v>
      </c>
      <c r="J1714" s="71">
        <f>IF(OR(I1714=0,I1714=""),"unrated",VLOOKUP(I1714,MappingTables!$B$19:$C$31,2,FALSE))</f>
        <v>2</v>
      </c>
      <c r="K1714" s="72">
        <v>957.46781562337408</v>
      </c>
      <c r="L1714" s="70">
        <v>1.5797931336982948</v>
      </c>
      <c r="M1714" s="71">
        <f>IF(L1714&lt;1,1,L1714)</f>
        <v>1.5797931336982948</v>
      </c>
      <c r="N1714" s="70" t="s">
        <v>141</v>
      </c>
      <c r="O1714" s="71">
        <f>INDEX(DurClassMapping,MATCH(M1714,MappingTables!$D$4:$D$8,-1),1)</f>
        <v>1</v>
      </c>
      <c r="P1714" s="73">
        <f>IF(M1714=$A$1,1,$M1714-INDEX(MappingTables!$E$4:$E$8,MATCH(O1714,MappingTables!$B$4:$B$8,0)))</f>
        <v>1.5797931336982948</v>
      </c>
      <c r="Q1714" s="71">
        <f>IF(B1714="",0,INDEX(ModelParameters!$D$6:$K$10,MATCH($O1714,ModelParameters!$B$6:$B$10,0),MATCH($J1714,ModelParameters!$D$5:$K$5,0)))</f>
        <v>0.013999999999999998</v>
      </c>
      <c r="R1714" s="71">
        <f>IF(B1714="",0,INDEX(ModelParameters!$D$13:$K$17,MATCH($O1714,ModelParameters!$B$13:$B$17,0),MATCH($J1714,ModelParameters!$D$5:$K$5,0)))</f>
        <v>0</v>
      </c>
      <c r="S1714" s="160">
        <f>IF(B1714="",0,MIN(IF($N1714="Other Bond TM",ModelParameters!$N$21,1)*(P1714*Q1714+R1714),1))</f>
        <v>0.022117103871776128</v>
      </c>
      <c r="T1714" s="85">
        <f>IF(B1714="",0,$S1714*$K1714)</f>
        <v>21.176415132024756</v>
      </c>
      <c r="U1714" s="85">
        <f>IF(B1714="",0,IF(OR(H1714=MappingTables!$C$34,H1714=MappingTables!$C$35),T1714,0))</f>
        <v>0</v>
      </c>
      <c r="V1714" s="85">
        <f>IF(ISNA(IF(AND(VLOOKUP(CONCATENATE($D1714,$G1714),CSRFinput!$B:$E,4,0)=0,OR(H1714=MappingTables!$C$34,H1714=MappingTables!$C$35)),1,VLOOKUP(CONCATENATE($D1714,$G1714),CSRFinput!$B:$E,4,0))),0,IF(AND(VLOOKUP(CONCATENATE($D1714,$G1714),CSRFinput!$B:$E,4,0)=0,OR(H1714=MappingTables!$C$34,H1714=MappingTables!$C$35)),1,VLOOKUP(CONCATENATE($D1714,$G1714),CSRFinput!$B:$E,4,0)))</f>
        <v>0.054776304963434752</v>
      </c>
      <c r="W1714" s="85">
        <f>IF(B1714="",0,+$T1714*$V1714)</f>
        <v>1.1599657733040824</v>
      </c>
      <c r="X1714" s="85">
        <f>IF(B1714="",0,IF(OR(H1714=MappingTables!$C$34,H1714=MappingTables!$C$35),W1714,0))</f>
        <v>0</v>
      </c>
    </row>
    <row r="1715" spans="2:24" s="0" customFormat="0" ht="15">
      <c r="B1715" s="69" t="s">
        <v>1931</v>
      </c>
      <c r="C1715" s="70" t="s">
        <v>1932</v>
      </c>
      <c r="D1715" s="70" t="s">
        <v>1</v>
      </c>
      <c r="E1715" s="70" t="s">
        <v>1</v>
      </c>
      <c r="F1715" s="70"/>
      <c r="G1715" s="70" t="s">
        <v>61</v>
      </c>
      <c r="H1715" s="70" t="s">
        <v>178</v>
      </c>
      <c r="I1715" s="70" t="s">
        <v>181</v>
      </c>
      <c r="J1715" s="71">
        <f>IF(OR(I1715=0,I1715=""),"unrated",VLOOKUP(I1715,MappingTables!$B$19:$C$31,2,FALSE))</f>
        <v>3</v>
      </c>
      <c r="K1715" s="72">
        <v>579.26902793821128</v>
      </c>
      <c r="L1715" s="70">
        <v>8.6002888244992864</v>
      </c>
      <c r="M1715" s="71">
        <f>IF(L1715&lt;1,1,L1715)</f>
        <v>8.6002888244992864</v>
      </c>
      <c r="N1715" s="70" t="s">
        <v>141</v>
      </c>
      <c r="O1715" s="71">
        <f>INDEX(DurClassMapping,MATCH(M1715,MappingTables!$D$4:$D$8,-1),1)</f>
        <v>2</v>
      </c>
      <c r="P1715" s="73">
        <f>IF(M1715=$A$1,1,$M1715-INDEX(MappingTables!$E$4:$E$8,MATCH(O1715,MappingTables!$B$4:$B$8,0)))</f>
        <v>3.6002888244992856</v>
      </c>
      <c r="Q1715" s="71">
        <f>IF(B1715="",0,INDEX(ModelParameters!$D$6:$K$10,MATCH($O1715,ModelParameters!$B$6:$B$10,0),MATCH($J1715,ModelParameters!$D$5:$K$5,0)))</f>
        <v>0.015</v>
      </c>
      <c r="R1715" s="71">
        <f>IF(B1715="",0,INDEX(ModelParameters!$D$13:$K$17,MATCH($O1715,ModelParameters!$B$13:$B$17,0),MATCH($J1715,ModelParameters!$D$5:$K$5,0)))</f>
        <v>0.125</v>
      </c>
      <c r="S1715" s="160">
        <f>IF(B1715="",0,MIN(IF($N1715="Other Bond TM",ModelParameters!$N$21,1)*(P1715*Q1715+R1715),1))</f>
        <v>0.17900433236748928</v>
      </c>
      <c r="T1715" s="85">
        <f>IF(B1715="",0,$S1715*$K1715)</f>
        <v>103.691665607244</v>
      </c>
      <c r="U1715" s="85">
        <f>IF(B1715="",0,IF(OR(H1715=MappingTables!$C$34,H1715=MappingTables!$C$35),T1715,0))</f>
        <v>0</v>
      </c>
      <c r="V1715" s="85">
        <f>IF(ISNA(IF(AND(VLOOKUP(CONCATENATE($D1715,$G1715),CSRFinput!$B:$E,4,0)=0,OR(H1715=MappingTables!$C$34,H1715=MappingTables!$C$35)),1,VLOOKUP(CONCATENATE($D1715,$G1715),CSRFinput!$B:$E,4,0))),0,IF(AND(VLOOKUP(CONCATENATE($D1715,$G1715),CSRFinput!$B:$E,4,0)=0,OR(H1715=MappingTables!$C$34,H1715=MappingTables!$C$35)),1,VLOOKUP(CONCATENATE($D1715,$G1715),CSRFinput!$B:$E,4,0)))</f>
        <v>0.054776304963434752</v>
      </c>
      <c r="W1715" s="85">
        <f>IF(B1715="",0,+$T1715*$V1715)</f>
        <v>5.679846297468896</v>
      </c>
      <c r="X1715" s="85">
        <f>IF(B1715="",0,IF(OR(H1715=MappingTables!$C$34,H1715=MappingTables!$C$35),W1715,0))</f>
        <v>0</v>
      </c>
    </row>
    <row r="1716" spans="2:24" s="0" customFormat="0" ht="15">
      <c r="B1716" s="69" t="s">
        <v>1862</v>
      </c>
      <c r="C1716" s="70" t="s">
        <v>1863</v>
      </c>
      <c r="D1716" s="70" t="s">
        <v>1</v>
      </c>
      <c r="E1716" s="70" t="s">
        <v>1</v>
      </c>
      <c r="F1716" s="70"/>
      <c r="G1716" s="70" t="s">
        <v>61</v>
      </c>
      <c r="H1716" s="70" t="s">
        <v>178</v>
      </c>
      <c r="I1716" s="70" t="s">
        <v>179</v>
      </c>
      <c r="J1716" s="71">
        <f>IF(OR(I1716=0,I1716=""),"unrated",VLOOKUP(I1716,MappingTables!$B$19:$C$31,2,FALSE))</f>
        <v>4</v>
      </c>
      <c r="K1716" s="72">
        <v>7154.9388167812712</v>
      </c>
      <c r="L1716" s="70">
        <v>4.4534488777832328</v>
      </c>
      <c r="M1716" s="71">
        <f>IF(L1716&lt;1,1,L1716)</f>
        <v>4.4534488777832328</v>
      </c>
      <c r="N1716" s="70" t="s">
        <v>141</v>
      </c>
      <c r="O1716" s="71">
        <f>INDEX(DurClassMapping,MATCH(M1716,MappingTables!$D$4:$D$8,-1),1)</f>
        <v>1</v>
      </c>
      <c r="P1716" s="73">
        <f>IF(M1716=$A$1,1,$M1716-INDEX(MappingTables!$E$4:$E$8,MATCH(O1716,MappingTables!$B$4:$B$8,0)))</f>
        <v>4.4534488777832328</v>
      </c>
      <c r="Q1716" s="71">
        <f>IF(B1716="",0,INDEX(ModelParameters!$D$6:$K$10,MATCH($O1716,ModelParameters!$B$6:$B$10,0),MATCH($J1716,ModelParameters!$D$5:$K$5,0)))</f>
        <v>0.045</v>
      </c>
      <c r="R1716" s="71">
        <f>IF(B1716="",0,INDEX(ModelParameters!$D$13:$K$17,MATCH($O1716,ModelParameters!$B$13:$B$17,0),MATCH($J1716,ModelParameters!$D$5:$K$5,0)))</f>
        <v>0</v>
      </c>
      <c r="S1716" s="160">
        <f>IF(B1716="",0,MIN(IF($N1716="Other Bond TM",ModelParameters!$N$21,1)*(P1716*Q1716+R1716),1))</f>
        <v>0.20040519950024548</v>
      </c>
      <c r="T1716" s="85">
        <f>IF(B1716="",0,$S1716*$K1716)</f>
        <v>1433.8869409891008</v>
      </c>
      <c r="U1716" s="85">
        <f>IF(B1716="",0,IF(OR(H1716=MappingTables!$C$34,H1716=MappingTables!$C$35),T1716,0))</f>
        <v>0</v>
      </c>
      <c r="V1716" s="85">
        <f>IF(ISNA(IF(AND(VLOOKUP(CONCATENATE($D1716,$G1716),CSRFinput!$B:$E,4,0)=0,OR(H1716=MappingTables!$C$34,H1716=MappingTables!$C$35)),1,VLOOKUP(CONCATENATE($D1716,$G1716),CSRFinput!$B:$E,4,0))),0,IF(AND(VLOOKUP(CONCATENATE($D1716,$G1716),CSRFinput!$B:$E,4,0)=0,OR(H1716=MappingTables!$C$34,H1716=MappingTables!$C$35)),1,VLOOKUP(CONCATENATE($D1716,$G1716),CSRFinput!$B:$E,4,0)))</f>
        <v>0.054776304963434752</v>
      </c>
      <c r="W1716" s="85">
        <f>IF(B1716="",0,+$T1716*$V1716)</f>
        <v>78.543028362705552</v>
      </c>
      <c r="X1716" s="85">
        <f>IF(B1716="",0,IF(OR(H1716=MappingTables!$C$34,H1716=MappingTables!$C$35),W1716,0))</f>
        <v>0</v>
      </c>
    </row>
    <row r="1717" spans="2:24" s="0" customFormat="0" ht="15">
      <c r="B1717" s="69">
        <v>22301292</v>
      </c>
      <c r="C1717" s="70" t="s">
        <v>1933</v>
      </c>
      <c r="D1717" s="70" t="s">
        <v>1</v>
      </c>
      <c r="E1717" s="70" t="s">
        <v>1</v>
      </c>
      <c r="F1717" s="70"/>
      <c r="G1717" s="70" t="s">
        <v>61</v>
      </c>
      <c r="H1717" s="70" t="s">
        <v>178</v>
      </c>
      <c r="I1717" s="70" t="s">
        <v>181</v>
      </c>
      <c r="J1717" s="71">
        <f>IF(OR(I1717=0,I1717=""),"unrated",VLOOKUP(I1717,MappingTables!$B$19:$C$31,2,FALSE))</f>
        <v>3</v>
      </c>
      <c r="K1717" s="72">
        <v>1076.3571624187254</v>
      </c>
      <c r="L1717" s="70">
        <v>1.1423534861883466</v>
      </c>
      <c r="M1717" s="71">
        <f>IF(L1717&lt;1,1,L1717)</f>
        <v>1.1423534861883466</v>
      </c>
      <c r="N1717" s="70" t="s">
        <v>141</v>
      </c>
      <c r="O1717" s="71">
        <f>INDEX(DurClassMapping,MATCH(M1717,MappingTables!$D$4:$D$8,-1),1)</f>
        <v>1</v>
      </c>
      <c r="P1717" s="73">
        <f>IF(M1717=$A$1,1,$M1717-INDEX(MappingTables!$E$4:$E$8,MATCH(O1717,MappingTables!$B$4:$B$8,0)))</f>
        <v>1.1423534861883466</v>
      </c>
      <c r="Q1717" s="71">
        <f>IF(B1717="",0,INDEX(ModelParameters!$D$6:$K$10,MATCH($O1717,ModelParameters!$B$6:$B$10,0),MATCH($J1717,ModelParameters!$D$5:$K$5,0)))</f>
        <v>0.025</v>
      </c>
      <c r="R1717" s="71">
        <f>IF(B1717="",0,INDEX(ModelParameters!$D$13:$K$17,MATCH($O1717,ModelParameters!$B$13:$B$17,0),MATCH($J1717,ModelParameters!$D$5:$K$5,0)))</f>
        <v>0</v>
      </c>
      <c r="S1717" s="160">
        <f>IF(B1717="",0,MIN(IF($N1717="Other Bond TM",ModelParameters!$N$21,1)*(P1717*Q1717+R1717),1))</f>
        <v>0.028558837154708668</v>
      </c>
      <c r="T1717" s="85">
        <f>IF(B1717="",0,$S1717*$K1717)</f>
        <v>30.739508921820688</v>
      </c>
      <c r="U1717" s="85">
        <f>IF(B1717="",0,IF(OR(H1717=MappingTables!$C$34,H1717=MappingTables!$C$35),T1717,0))</f>
        <v>0</v>
      </c>
      <c r="V1717" s="85">
        <f>IF(ISNA(IF(AND(VLOOKUP(CONCATENATE($D1717,$G1717),CSRFinput!$B:$E,4,0)=0,OR(H1717=MappingTables!$C$34,H1717=MappingTables!$C$35)),1,VLOOKUP(CONCATENATE($D1717,$G1717),CSRFinput!$B:$E,4,0))),0,IF(AND(VLOOKUP(CONCATENATE($D1717,$G1717),CSRFinput!$B:$E,4,0)=0,OR(H1717=MappingTables!$C$34,H1717=MappingTables!$C$35)),1,VLOOKUP(CONCATENATE($D1717,$G1717),CSRFinput!$B:$E,4,0)))</f>
        <v>0.054776304963434752</v>
      </c>
      <c r="W1717" s="85">
        <f>IF(B1717="",0,+$T1717*$V1717)</f>
        <v>1.6837967151278734</v>
      </c>
      <c r="X1717" s="85">
        <f>IF(B1717="",0,IF(OR(H1717=MappingTables!$C$34,H1717=MappingTables!$C$35),W1717,0))</f>
        <v>0</v>
      </c>
    </row>
    <row r="1718" spans="2:24" s="0" customFormat="0" ht="15">
      <c r="B1718" s="69">
        <v>12754691</v>
      </c>
      <c r="C1718" s="70" t="s">
        <v>1934</v>
      </c>
      <c r="D1718" s="70" t="s">
        <v>1</v>
      </c>
      <c r="E1718" s="70" t="s">
        <v>1</v>
      </c>
      <c r="F1718" s="70"/>
      <c r="G1718" s="70" t="s">
        <v>61</v>
      </c>
      <c r="H1718" s="70" t="s">
        <v>178</v>
      </c>
      <c r="I1718" s="70" t="s">
        <v>181</v>
      </c>
      <c r="J1718" s="71">
        <f>IF(OR(I1718=0,I1718=""),"unrated",VLOOKUP(I1718,MappingTables!$B$19:$C$31,2,FALSE))</f>
        <v>3</v>
      </c>
      <c r="K1718" s="72">
        <v>826.74179281005952</v>
      </c>
      <c r="L1718" s="70">
        <v>0.77709098239383616</v>
      </c>
      <c r="M1718" s="71">
        <f>IF(L1718&lt;1,1,L1718)</f>
        <v>1</v>
      </c>
      <c r="N1718" s="70" t="s">
        <v>141</v>
      </c>
      <c r="O1718" s="71">
        <f>INDEX(DurClassMapping,MATCH(M1718,MappingTables!$D$4:$D$8,-1),1)</f>
        <v>1</v>
      </c>
      <c r="P1718" s="73">
        <f>IF(M1718=$A$1,1,$M1718-INDEX(MappingTables!$E$4:$E$8,MATCH(O1718,MappingTables!$B$4:$B$8,0)))</f>
        <v>1</v>
      </c>
      <c r="Q1718" s="71">
        <f>IF(B1718="",0,INDEX(ModelParameters!$D$6:$K$10,MATCH($O1718,ModelParameters!$B$6:$B$10,0),MATCH($J1718,ModelParameters!$D$5:$K$5,0)))</f>
        <v>0.025</v>
      </c>
      <c r="R1718" s="71">
        <f>IF(B1718="",0,INDEX(ModelParameters!$D$13:$K$17,MATCH($O1718,ModelParameters!$B$13:$B$17,0),MATCH($J1718,ModelParameters!$D$5:$K$5,0)))</f>
        <v>0</v>
      </c>
      <c r="S1718" s="160">
        <f>IF(B1718="",0,MIN(IF($N1718="Other Bond TM",ModelParameters!$N$21,1)*(P1718*Q1718+R1718),1))</f>
        <v>0.025</v>
      </c>
      <c r="T1718" s="85">
        <f>IF(B1718="",0,$S1718*$K1718)</f>
        <v>20.668544820251488</v>
      </c>
      <c r="U1718" s="85">
        <f>IF(B1718="",0,IF(OR(H1718=MappingTables!$C$34,H1718=MappingTables!$C$35),T1718,0))</f>
        <v>0</v>
      </c>
      <c r="V1718" s="85">
        <f>IF(ISNA(IF(AND(VLOOKUP(CONCATENATE($D1718,$G1718),CSRFinput!$B:$E,4,0)=0,OR(H1718=MappingTables!$C$34,H1718=MappingTables!$C$35)),1,VLOOKUP(CONCATENATE($D1718,$G1718),CSRFinput!$B:$E,4,0))),0,IF(AND(VLOOKUP(CONCATENATE($D1718,$G1718),CSRFinput!$B:$E,4,0)=0,OR(H1718=MappingTables!$C$34,H1718=MappingTables!$C$35)),1,VLOOKUP(CONCATENATE($D1718,$G1718),CSRFinput!$B:$E,4,0)))</f>
        <v>0.054776304963434752</v>
      </c>
      <c r="W1718" s="85">
        <f>IF(B1718="",0,+$T1718*$V1718)</f>
        <v>1.1321465142245152</v>
      </c>
      <c r="X1718" s="85">
        <f>IF(B1718="",0,IF(OR(H1718=MappingTables!$C$34,H1718=MappingTables!$C$35),W1718,0))</f>
        <v>0</v>
      </c>
    </row>
    <row r="1719" spans="2:24" s="0" customFormat="0" ht="15">
      <c r="B1719" s="69">
        <v>20952390</v>
      </c>
      <c r="C1719" s="70" t="s">
        <v>1735</v>
      </c>
      <c r="D1719" s="70" t="s">
        <v>1</v>
      </c>
      <c r="E1719" s="70" t="s">
        <v>1</v>
      </c>
      <c r="F1719" s="70"/>
      <c r="G1719" s="70" t="s">
        <v>61</v>
      </c>
      <c r="H1719" s="70" t="s">
        <v>178</v>
      </c>
      <c r="I1719" s="70" t="s">
        <v>181</v>
      </c>
      <c r="J1719" s="71">
        <f>IF(OR(I1719=0,I1719=""),"unrated",VLOOKUP(I1719,MappingTables!$B$19:$C$31,2,FALSE))</f>
        <v>3</v>
      </c>
      <c r="K1719" s="72">
        <v>253.84792004566312</v>
      </c>
      <c r="L1719" s="70">
        <v>7.4397965271671264</v>
      </c>
      <c r="M1719" s="71">
        <f>IF(L1719&lt;1,1,L1719)</f>
        <v>7.4397965271671264</v>
      </c>
      <c r="N1719" s="70" t="s">
        <v>141</v>
      </c>
      <c r="O1719" s="71">
        <f>INDEX(DurClassMapping,MATCH(M1719,MappingTables!$D$4:$D$8,-1),1)</f>
        <v>2</v>
      </c>
      <c r="P1719" s="73">
        <f>IF(M1719=$A$1,1,$M1719-INDEX(MappingTables!$E$4:$E$8,MATCH(O1719,MappingTables!$B$4:$B$8,0)))</f>
        <v>2.4397965271671272</v>
      </c>
      <c r="Q1719" s="71">
        <f>IF(B1719="",0,INDEX(ModelParameters!$D$6:$K$10,MATCH($O1719,ModelParameters!$B$6:$B$10,0),MATCH($J1719,ModelParameters!$D$5:$K$5,0)))</f>
        <v>0.015</v>
      </c>
      <c r="R1719" s="71">
        <f>IF(B1719="",0,INDEX(ModelParameters!$D$13:$K$17,MATCH($O1719,ModelParameters!$B$13:$B$17,0),MATCH($J1719,ModelParameters!$D$5:$K$5,0)))</f>
        <v>0.125</v>
      </c>
      <c r="S1719" s="160">
        <f>IF(B1719="",0,MIN(IF($N1719="Other Bond TM",ModelParameters!$N$21,1)*(P1719*Q1719+R1719),1))</f>
        <v>0.1615969479075069</v>
      </c>
      <c r="T1719" s="85">
        <f>IF(B1719="",0,$S1719*$K1719)</f>
        <v>41.021049112048</v>
      </c>
      <c r="U1719" s="85">
        <f>IF(B1719="",0,IF(OR(H1719=MappingTables!$C$34,H1719=MappingTables!$C$35),T1719,0))</f>
        <v>0</v>
      </c>
      <c r="V1719" s="85">
        <f>IF(ISNA(IF(AND(VLOOKUP(CONCATENATE($D1719,$G1719),CSRFinput!$B:$E,4,0)=0,OR(H1719=MappingTables!$C$34,H1719=MappingTables!$C$35)),1,VLOOKUP(CONCATENATE($D1719,$G1719),CSRFinput!$B:$E,4,0))),0,IF(AND(VLOOKUP(CONCATENATE($D1719,$G1719),CSRFinput!$B:$E,4,0)=0,OR(H1719=MappingTables!$C$34,H1719=MappingTables!$C$35)),1,VLOOKUP(CONCATENATE($D1719,$G1719),CSRFinput!$B:$E,4,0)))</f>
        <v>0.054776304963434752</v>
      </c>
      <c r="W1719" s="85">
        <f>IF(B1719="",0,+$T1719*$V1719)</f>
        <v>2.2469814960815756</v>
      </c>
      <c r="X1719" s="85">
        <f>IF(B1719="",0,IF(OR(H1719=MappingTables!$C$34,H1719=MappingTables!$C$35),W1719,0))</f>
        <v>0</v>
      </c>
    </row>
    <row r="1720" spans="2:24" s="0" customFormat="0" ht="15">
      <c r="B1720" s="69" t="s">
        <v>1935</v>
      </c>
      <c r="C1720" s="70" t="s">
        <v>1936</v>
      </c>
      <c r="D1720" s="70" t="s">
        <v>1</v>
      </c>
      <c r="E1720" s="70" t="s">
        <v>1</v>
      </c>
      <c r="F1720" s="70"/>
      <c r="G1720" s="70" t="s">
        <v>61</v>
      </c>
      <c r="H1720" s="70" t="s">
        <v>178</v>
      </c>
      <c r="I1720" s="70" t="s">
        <v>198</v>
      </c>
      <c r="J1720" s="71" t="str">
        <f>IF(OR(I1720=0,I1720=""),"unrated",VLOOKUP(I1720,MappingTables!$B$19:$C$31,2,FALSE))</f>
        <v>unrated</v>
      </c>
      <c r="K1720" s="72">
        <v>183.8137927597656</v>
      </c>
      <c r="L1720" s="70">
        <v>4.7578466122562968</v>
      </c>
      <c r="M1720" s="71">
        <f>IF(L1720&lt;1,1,L1720)</f>
        <v>4.7578466122562968</v>
      </c>
      <c r="N1720" s="70" t="s">
        <v>141</v>
      </c>
      <c r="O1720" s="71">
        <f>INDEX(DurClassMapping,MATCH(M1720,MappingTables!$D$4:$D$8,-1),1)</f>
        <v>1</v>
      </c>
      <c r="P1720" s="73">
        <f>IF(M1720=$A$1,1,$M1720-INDEX(MappingTables!$E$4:$E$8,MATCH(O1720,MappingTables!$B$4:$B$8,0)))</f>
        <v>4.7578466122562968</v>
      </c>
      <c r="Q1720" s="71">
        <f>IF(B1720="",0,INDEX(ModelParameters!$D$6:$K$10,MATCH($O1720,ModelParameters!$B$6:$B$10,0),MATCH($J1720,ModelParameters!$D$5:$K$5,0)))</f>
        <v>0.03</v>
      </c>
      <c r="R1720" s="71">
        <f>IF(B1720="",0,INDEX(ModelParameters!$D$13:$K$17,MATCH($O1720,ModelParameters!$B$13:$B$17,0),MATCH($J1720,ModelParameters!$D$5:$K$5,0)))</f>
        <v>0</v>
      </c>
      <c r="S1720" s="160">
        <f>IF(B1720="",0,MIN(IF($N1720="Other Bond TM",ModelParameters!$N$21,1)*(P1720*Q1720+R1720),1))</f>
        <v>0.1427353983676889</v>
      </c>
      <c r="T1720" s="85">
        <f>IF(B1720="",0,$S1720*$K1720)</f>
        <v>26.236734935040952</v>
      </c>
      <c r="U1720" s="85">
        <f>IF(B1720="",0,IF(OR(H1720=MappingTables!$C$34,H1720=MappingTables!$C$35),T1720,0))</f>
        <v>0</v>
      </c>
      <c r="V1720" s="85">
        <f>IF(ISNA(IF(AND(VLOOKUP(CONCATENATE($D1720,$G1720),CSRFinput!$B:$E,4,0)=0,OR(H1720=MappingTables!$C$34,H1720=MappingTables!$C$35)),1,VLOOKUP(CONCATENATE($D1720,$G1720),CSRFinput!$B:$E,4,0))),0,IF(AND(VLOOKUP(CONCATENATE($D1720,$G1720),CSRFinput!$B:$E,4,0)=0,OR(H1720=MappingTables!$C$34,H1720=MappingTables!$C$35)),1,VLOOKUP(CONCATENATE($D1720,$G1720),CSRFinput!$B:$E,4,0)))</f>
        <v>0.054776304963434752</v>
      </c>
      <c r="W1720" s="85">
        <f>IF(B1720="",0,+$T1720*$V1720)</f>
        <v>1.4371513940466058</v>
      </c>
      <c r="X1720" s="85">
        <f>IF(B1720="",0,IF(OR(H1720=MappingTables!$C$34,H1720=MappingTables!$C$35),W1720,0))</f>
        <v>0</v>
      </c>
    </row>
    <row r="1721" spans="2:24" s="0" customFormat="0" ht="15">
      <c r="B1721" s="69" t="s">
        <v>1937</v>
      </c>
      <c r="C1721" s="70" t="s">
        <v>1938</v>
      </c>
      <c r="D1721" s="70" t="s">
        <v>1</v>
      </c>
      <c r="E1721" s="70" t="s">
        <v>1</v>
      </c>
      <c r="F1721" s="70"/>
      <c r="G1721" s="70" t="s">
        <v>61</v>
      </c>
      <c r="H1721" s="70" t="s">
        <v>178</v>
      </c>
      <c r="I1721" s="70" t="s">
        <v>198</v>
      </c>
      <c r="J1721" s="71" t="str">
        <f>IF(OR(I1721=0,I1721=""),"unrated",VLOOKUP(I1721,MappingTables!$B$19:$C$31,2,FALSE))</f>
        <v>unrated</v>
      </c>
      <c r="K1721" s="72">
        <v>8383.7157346897424</v>
      </c>
      <c r="L1721" s="70">
        <v>5.2178526255981128</v>
      </c>
      <c r="M1721" s="71">
        <f>IF(L1721&lt;1,1,L1721)</f>
        <v>5.2178526255981128</v>
      </c>
      <c r="N1721" s="70" t="s">
        <v>141</v>
      </c>
      <c r="O1721" s="71">
        <f>INDEX(DurClassMapping,MATCH(M1721,MappingTables!$D$4:$D$8,-1),1)</f>
        <v>2</v>
      </c>
      <c r="P1721" s="73">
        <f>IF(M1721=$A$1,1,$M1721-INDEX(MappingTables!$E$4:$E$8,MATCH(O1721,MappingTables!$B$4:$B$8,0)))</f>
        <v>0.2178526255981126</v>
      </c>
      <c r="Q1721" s="71">
        <f>IF(B1721="",0,INDEX(ModelParameters!$D$6:$K$10,MATCH($O1721,ModelParameters!$B$6:$B$10,0),MATCH($J1721,ModelParameters!$D$5:$K$5,0)))</f>
        <v>0.017000000000000002</v>
      </c>
      <c r="R1721" s="71">
        <f>IF(B1721="",0,INDEX(ModelParameters!$D$13:$K$17,MATCH($O1721,ModelParameters!$B$13:$B$17,0),MATCH($J1721,ModelParameters!$D$5:$K$5,0)))</f>
        <v>0.15</v>
      </c>
      <c r="S1721" s="160">
        <f>IF(B1721="",0,MIN(IF($N1721="Other Bond TM",ModelParameters!$N$21,1)*(P1721*Q1721+R1721),1))</f>
        <v>0.15370349463516792</v>
      </c>
      <c r="T1721" s="85">
        <f>IF(B1721="",0,$S1721*$K1721)</f>
        <v>1288.6064064496576</v>
      </c>
      <c r="U1721" s="85">
        <f>IF(B1721="",0,IF(OR(H1721=MappingTables!$C$34,H1721=MappingTables!$C$35),T1721,0))</f>
        <v>0</v>
      </c>
      <c r="V1721" s="85">
        <f>IF(ISNA(IF(AND(VLOOKUP(CONCATENATE($D1721,$G1721),CSRFinput!$B:$E,4,0)=0,OR(H1721=MappingTables!$C$34,H1721=MappingTables!$C$35)),1,VLOOKUP(CONCATENATE($D1721,$G1721),CSRFinput!$B:$E,4,0))),0,IF(AND(VLOOKUP(CONCATENATE($D1721,$G1721),CSRFinput!$B:$E,4,0)=0,OR(H1721=MappingTables!$C$34,H1721=MappingTables!$C$35)),1,VLOOKUP(CONCATENATE($D1721,$G1721),CSRFinput!$B:$E,4,0)))</f>
        <v>0.054776304963434752</v>
      </c>
      <c r="W1721" s="85">
        <f>IF(B1721="",0,+$T1721*$V1721)</f>
        <v>70.585097497522216</v>
      </c>
      <c r="X1721" s="85">
        <f>IF(B1721="",0,IF(OR(H1721=MappingTables!$C$34,H1721=MappingTables!$C$35),W1721,0))</f>
        <v>0</v>
      </c>
    </row>
    <row r="1722" spans="2:24" s="0" customFormat="0" ht="15">
      <c r="B1722" s="69">
        <v>21917533</v>
      </c>
      <c r="C1722" s="70" t="s">
        <v>1939</v>
      </c>
      <c r="D1722" s="70" t="s">
        <v>1</v>
      </c>
      <c r="E1722" s="70" t="s">
        <v>1</v>
      </c>
      <c r="F1722" s="70"/>
      <c r="G1722" s="70" t="s">
        <v>61</v>
      </c>
      <c r="H1722" s="70" t="s">
        <v>178</v>
      </c>
      <c r="I1722" s="70" t="s">
        <v>188</v>
      </c>
      <c r="J1722" s="71">
        <f>IF(OR(I1722=0,I1722=""),"unrated",VLOOKUP(I1722,MappingTables!$B$19:$C$31,2,FALSE))</f>
        <v>2</v>
      </c>
      <c r="K1722" s="72">
        <v>4782.300851682924</v>
      </c>
      <c r="L1722" s="70">
        <v>1.030251596188433</v>
      </c>
      <c r="M1722" s="71">
        <f>IF(L1722&lt;1,1,L1722)</f>
        <v>1.030251596188433</v>
      </c>
      <c r="N1722" s="70" t="s">
        <v>141</v>
      </c>
      <c r="O1722" s="71">
        <f>INDEX(DurClassMapping,MATCH(M1722,MappingTables!$D$4:$D$8,-1),1)</f>
        <v>1</v>
      </c>
      <c r="P1722" s="73">
        <f>IF(M1722=$A$1,1,$M1722-INDEX(MappingTables!$E$4:$E$8,MATCH(O1722,MappingTables!$B$4:$B$8,0)))</f>
        <v>1.030251596188433</v>
      </c>
      <c r="Q1722" s="71">
        <f>IF(B1722="",0,INDEX(ModelParameters!$D$6:$K$10,MATCH($O1722,ModelParameters!$B$6:$B$10,0),MATCH($J1722,ModelParameters!$D$5:$K$5,0)))</f>
        <v>0.013999999999999998</v>
      </c>
      <c r="R1722" s="71">
        <f>IF(B1722="",0,INDEX(ModelParameters!$D$13:$K$17,MATCH($O1722,ModelParameters!$B$13:$B$17,0),MATCH($J1722,ModelParameters!$D$5:$K$5,0)))</f>
        <v>0</v>
      </c>
      <c r="S1722" s="160">
        <f>IF(B1722="",0,MIN(IF($N1722="Other Bond TM",ModelParameters!$N$21,1)*(P1722*Q1722+R1722),1))</f>
        <v>0.014423522346638062</v>
      </c>
      <c r="T1722" s="85">
        <f>IF(B1722="",0,$S1722*$K1722)</f>
        <v>68.977623202594888</v>
      </c>
      <c r="U1722" s="85">
        <f>IF(B1722="",0,IF(OR(H1722=MappingTables!$C$34,H1722=MappingTables!$C$35),T1722,0))</f>
        <v>0</v>
      </c>
      <c r="V1722" s="85">
        <f>IF(ISNA(IF(AND(VLOOKUP(CONCATENATE($D1722,$G1722),CSRFinput!$B:$E,4,0)=0,OR(H1722=MappingTables!$C$34,H1722=MappingTables!$C$35)),1,VLOOKUP(CONCATENATE($D1722,$G1722),CSRFinput!$B:$E,4,0))),0,IF(AND(VLOOKUP(CONCATENATE($D1722,$G1722),CSRFinput!$B:$E,4,0)=0,OR(H1722=MappingTables!$C$34,H1722=MappingTables!$C$35)),1,VLOOKUP(CONCATENATE($D1722,$G1722),CSRFinput!$B:$E,4,0)))</f>
        <v>0.054776304963434752</v>
      </c>
      <c r="W1722" s="85">
        <f>IF(B1722="",0,+$T1722*$V1722)</f>
        <v>3.7783393241982304</v>
      </c>
      <c r="X1722" s="85">
        <f>IF(B1722="",0,IF(OR(H1722=MappingTables!$C$34,H1722=MappingTables!$C$35),W1722,0))</f>
        <v>0</v>
      </c>
    </row>
    <row r="1723" spans="2:24" s="0" customFormat="0" ht="15">
      <c r="B1723" s="69">
        <v>19483991</v>
      </c>
      <c r="C1723" s="70" t="s">
        <v>1940</v>
      </c>
      <c r="D1723" s="70" t="s">
        <v>1</v>
      </c>
      <c r="E1723" s="70" t="s">
        <v>1</v>
      </c>
      <c r="F1723" s="70"/>
      <c r="G1723" s="70" t="s">
        <v>61</v>
      </c>
      <c r="H1723" s="70" t="s">
        <v>178</v>
      </c>
      <c r="I1723" s="70" t="s">
        <v>181</v>
      </c>
      <c r="J1723" s="71">
        <f>IF(OR(I1723=0,I1723=""),"unrated",VLOOKUP(I1723,MappingTables!$B$19:$C$31,2,FALSE))</f>
        <v>3</v>
      </c>
      <c r="K1723" s="72">
        <v>7106.2563963082496</v>
      </c>
      <c r="L1723" s="70">
        <v>3.1740674354206528</v>
      </c>
      <c r="M1723" s="71">
        <f>IF(L1723&lt;1,1,L1723)</f>
        <v>3.1740674354206528</v>
      </c>
      <c r="N1723" s="70" t="s">
        <v>141</v>
      </c>
      <c r="O1723" s="71">
        <f>INDEX(DurClassMapping,MATCH(M1723,MappingTables!$D$4:$D$8,-1),1)</f>
        <v>1</v>
      </c>
      <c r="P1723" s="73">
        <f>IF(M1723=$A$1,1,$M1723-INDEX(MappingTables!$E$4:$E$8,MATCH(O1723,MappingTables!$B$4:$B$8,0)))</f>
        <v>3.1740674354206528</v>
      </c>
      <c r="Q1723" s="71">
        <f>IF(B1723="",0,INDEX(ModelParameters!$D$6:$K$10,MATCH($O1723,ModelParameters!$B$6:$B$10,0),MATCH($J1723,ModelParameters!$D$5:$K$5,0)))</f>
        <v>0.025</v>
      </c>
      <c r="R1723" s="71">
        <f>IF(B1723="",0,INDEX(ModelParameters!$D$13:$K$17,MATCH($O1723,ModelParameters!$B$13:$B$17,0),MATCH($J1723,ModelParameters!$D$5:$K$5,0)))</f>
        <v>0</v>
      </c>
      <c r="S1723" s="160">
        <f>IF(B1723="",0,MIN(IF($N1723="Other Bond TM",ModelParameters!$N$21,1)*(P1723*Q1723+R1723),1))</f>
        <v>0.079351685885516336</v>
      </c>
      <c r="T1723" s="85">
        <f>IF(B1723="",0,$S1723*$K1723)</f>
        <v>563.89342538179344</v>
      </c>
      <c r="U1723" s="85">
        <f>IF(B1723="",0,IF(OR(H1723=MappingTables!$C$34,H1723=MappingTables!$C$35),T1723,0))</f>
        <v>0</v>
      </c>
      <c r="V1723" s="85">
        <f>IF(ISNA(IF(AND(VLOOKUP(CONCATENATE($D1723,$G1723),CSRFinput!$B:$E,4,0)=0,OR(H1723=MappingTables!$C$34,H1723=MappingTables!$C$35)),1,VLOOKUP(CONCATENATE($D1723,$G1723),CSRFinput!$B:$E,4,0))),0,IF(AND(VLOOKUP(CONCATENATE($D1723,$G1723),CSRFinput!$B:$E,4,0)=0,OR(H1723=MappingTables!$C$34,H1723=MappingTables!$C$35)),1,VLOOKUP(CONCATENATE($D1723,$G1723),CSRFinput!$B:$E,4,0)))</f>
        <v>0.054776304963434752</v>
      </c>
      <c r="W1723" s="85">
        <f>IF(B1723="",0,+$T1723*$V1723)</f>
        <v>30.88799823558896</v>
      </c>
      <c r="X1723" s="85">
        <f>IF(B1723="",0,IF(OR(H1723=MappingTables!$C$34,H1723=MappingTables!$C$35),W1723,0))</f>
        <v>0</v>
      </c>
    </row>
    <row r="1724" spans="2:24" s="0" customFormat="0" ht="15">
      <c r="B1724" s="69">
        <v>14946321</v>
      </c>
      <c r="C1724" s="70" t="s">
        <v>1941</v>
      </c>
      <c r="D1724" s="70" t="s">
        <v>1</v>
      </c>
      <c r="E1724" s="70" t="s">
        <v>1</v>
      </c>
      <c r="F1724" s="70"/>
      <c r="G1724" s="70" t="s">
        <v>61</v>
      </c>
      <c r="H1724" s="70" t="s">
        <v>178</v>
      </c>
      <c r="I1724" s="70" t="s">
        <v>204</v>
      </c>
      <c r="J1724" s="71">
        <f>IF(OR(I1724=0,I1724=""),"unrated",VLOOKUP(I1724,MappingTables!$B$19:$C$31,2,FALSE))</f>
        <v>6</v>
      </c>
      <c r="K1724" s="72">
        <v>3896.4393179238176</v>
      </c>
      <c r="L1724" s="70">
        <v>0.087676107556430416</v>
      </c>
      <c r="M1724" s="71">
        <f>IF(L1724&lt;1,1,L1724)</f>
        <v>1</v>
      </c>
      <c r="N1724" s="70" t="s">
        <v>141</v>
      </c>
      <c r="O1724" s="71">
        <f>INDEX(DurClassMapping,MATCH(M1724,MappingTables!$D$4:$D$8,-1),1)</f>
        <v>1</v>
      </c>
      <c r="P1724" s="73">
        <f>IF(M1724=$A$1,1,$M1724-INDEX(MappingTables!$E$4:$E$8,MATCH(O1724,MappingTables!$B$4:$B$8,0)))</f>
        <v>1</v>
      </c>
      <c r="Q1724" s="71">
        <f>IF(B1724="",0,INDEX(ModelParameters!$D$6:$K$10,MATCH($O1724,ModelParameters!$B$6:$B$10,0),MATCH($J1724,ModelParameters!$D$5:$K$5,0)))</f>
        <v>0.075</v>
      </c>
      <c r="R1724" s="71">
        <f>IF(B1724="",0,INDEX(ModelParameters!$D$13:$K$17,MATCH($O1724,ModelParameters!$B$13:$B$17,0),MATCH($J1724,ModelParameters!$D$5:$K$5,0)))</f>
        <v>0</v>
      </c>
      <c r="S1724" s="160">
        <f>IF(B1724="",0,MIN(IF($N1724="Other Bond TM",ModelParameters!$N$21,1)*(P1724*Q1724+R1724),1))</f>
        <v>0.075</v>
      </c>
      <c r="T1724" s="85">
        <f>IF(B1724="",0,$S1724*$K1724)</f>
        <v>292.23294884428628</v>
      </c>
      <c r="U1724" s="85">
        <f>IF(B1724="",0,IF(OR(H1724=MappingTables!$C$34,H1724=MappingTables!$C$35),T1724,0))</f>
        <v>0</v>
      </c>
      <c r="V1724" s="85">
        <f>IF(ISNA(IF(AND(VLOOKUP(CONCATENATE($D1724,$G1724),CSRFinput!$B:$E,4,0)=0,OR(H1724=MappingTables!$C$34,H1724=MappingTables!$C$35)),1,VLOOKUP(CONCATENATE($D1724,$G1724),CSRFinput!$B:$E,4,0))),0,IF(AND(VLOOKUP(CONCATENATE($D1724,$G1724),CSRFinput!$B:$E,4,0)=0,OR(H1724=MappingTables!$C$34,H1724=MappingTables!$C$35)),1,VLOOKUP(CONCATENATE($D1724,$G1724),CSRFinput!$B:$E,4,0)))</f>
        <v>0.054776304963434752</v>
      </c>
      <c r="W1724" s="85">
        <f>IF(B1724="",0,+$T1724*$V1724)</f>
        <v>16.007441126258452</v>
      </c>
      <c r="X1724" s="85">
        <f>IF(B1724="",0,IF(OR(H1724=MappingTables!$C$34,H1724=MappingTables!$C$35),W1724,0))</f>
        <v>0</v>
      </c>
    </row>
    <row r="1725" spans="2:24" s="0" customFormat="0" ht="15">
      <c r="B1725" s="69">
        <v>15718958</v>
      </c>
      <c r="C1725" s="70" t="s">
        <v>564</v>
      </c>
      <c r="D1725" s="70" t="s">
        <v>1</v>
      </c>
      <c r="E1725" s="70" t="s">
        <v>1</v>
      </c>
      <c r="F1725" s="70"/>
      <c r="G1725" s="70" t="s">
        <v>61</v>
      </c>
      <c r="H1725" s="70" t="s">
        <v>178</v>
      </c>
      <c r="I1725" s="70" t="s">
        <v>181</v>
      </c>
      <c r="J1725" s="71">
        <f>IF(OR(I1725=0,I1725=""),"unrated",VLOOKUP(I1725,MappingTables!$B$19:$C$31,2,FALSE))</f>
        <v>3</v>
      </c>
      <c r="K1725" s="72">
        <v>523.72671433913816</v>
      </c>
      <c r="L1725" s="70">
        <v>0.041095289616467944</v>
      </c>
      <c r="M1725" s="71">
        <f>IF(L1725&lt;1,1,L1725)</f>
        <v>1</v>
      </c>
      <c r="N1725" s="70" t="s">
        <v>141</v>
      </c>
      <c r="O1725" s="71">
        <f>INDEX(DurClassMapping,MATCH(M1725,MappingTables!$D$4:$D$8,-1),1)</f>
        <v>1</v>
      </c>
      <c r="P1725" s="73">
        <f>IF(M1725=$A$1,1,$M1725-INDEX(MappingTables!$E$4:$E$8,MATCH(O1725,MappingTables!$B$4:$B$8,0)))</f>
        <v>1</v>
      </c>
      <c r="Q1725" s="71">
        <f>IF(B1725="",0,INDEX(ModelParameters!$D$6:$K$10,MATCH($O1725,ModelParameters!$B$6:$B$10,0),MATCH($J1725,ModelParameters!$D$5:$K$5,0)))</f>
        <v>0.025</v>
      </c>
      <c r="R1725" s="71">
        <f>IF(B1725="",0,INDEX(ModelParameters!$D$13:$K$17,MATCH($O1725,ModelParameters!$B$13:$B$17,0),MATCH($J1725,ModelParameters!$D$5:$K$5,0)))</f>
        <v>0</v>
      </c>
      <c r="S1725" s="160">
        <f>IF(B1725="",0,MIN(IF($N1725="Other Bond TM",ModelParameters!$N$21,1)*(P1725*Q1725+R1725),1))</f>
        <v>0.025</v>
      </c>
      <c r="T1725" s="85">
        <f>IF(B1725="",0,$S1725*$K1725)</f>
        <v>13.093167858478456</v>
      </c>
      <c r="U1725" s="85">
        <f>IF(B1725="",0,IF(OR(H1725=MappingTables!$C$34,H1725=MappingTables!$C$35),T1725,0))</f>
        <v>0</v>
      </c>
      <c r="V1725" s="85">
        <f>IF(ISNA(IF(AND(VLOOKUP(CONCATENATE($D1725,$G1725),CSRFinput!$B:$E,4,0)=0,OR(H1725=MappingTables!$C$34,H1725=MappingTables!$C$35)),1,VLOOKUP(CONCATENATE($D1725,$G1725),CSRFinput!$B:$E,4,0))),0,IF(AND(VLOOKUP(CONCATENATE($D1725,$G1725),CSRFinput!$B:$E,4,0)=0,OR(H1725=MappingTables!$C$34,H1725=MappingTables!$C$35)),1,VLOOKUP(CONCATENATE($D1725,$G1725),CSRFinput!$B:$E,4,0)))</f>
        <v>0.054776304963434752</v>
      </c>
      <c r="W1725" s="85">
        <f>IF(B1725="",0,+$T1725*$V1725)</f>
        <v>0.71719535555345784</v>
      </c>
      <c r="X1725" s="85">
        <f>IF(B1725="",0,IF(OR(H1725=MappingTables!$C$34,H1725=MappingTables!$C$35),W1725,0))</f>
        <v>0</v>
      </c>
    </row>
    <row r="1726" spans="2:24" s="0" customFormat="0" ht="15">
      <c r="B1726" s="69" t="s">
        <v>1942</v>
      </c>
      <c r="C1726" s="70" t="s">
        <v>1943</v>
      </c>
      <c r="D1726" s="70" t="s">
        <v>1</v>
      </c>
      <c r="E1726" s="70" t="s">
        <v>1</v>
      </c>
      <c r="F1726" s="70"/>
      <c r="G1726" s="70" t="s">
        <v>61</v>
      </c>
      <c r="H1726" s="70" t="s">
        <v>178</v>
      </c>
      <c r="I1726" s="70" t="s">
        <v>220</v>
      </c>
      <c r="J1726" s="71">
        <f>IF(OR(I1726=0,I1726=""),"unrated",VLOOKUP(I1726,MappingTables!$B$19:$C$31,2,FALSE))</f>
        <v>1</v>
      </c>
      <c r="K1726" s="72">
        <v>649.39667630507816</v>
      </c>
      <c r="L1726" s="70">
        <v>8.1148516460047552</v>
      </c>
      <c r="M1726" s="71">
        <f>IF(L1726&lt;1,1,L1726)</f>
        <v>8.1148516460047552</v>
      </c>
      <c r="N1726" s="70" t="s">
        <v>141</v>
      </c>
      <c r="O1726" s="71">
        <f>INDEX(DurClassMapping,MATCH(M1726,MappingTables!$D$4:$D$8,-1),1)</f>
        <v>2</v>
      </c>
      <c r="P1726" s="73">
        <f>IF(M1726=$A$1,1,$M1726-INDEX(MappingTables!$E$4:$E$8,MATCH(O1726,MappingTables!$B$4:$B$8,0)))</f>
        <v>3.1148516460047552</v>
      </c>
      <c r="Q1726" s="71">
        <f>IF(B1726="",0,INDEX(ModelParameters!$D$6:$K$10,MATCH($O1726,ModelParameters!$B$6:$B$10,0),MATCH($J1726,ModelParameters!$D$5:$K$5,0)))</f>
        <v>0.006</v>
      </c>
      <c r="R1726" s="71">
        <f>IF(B1726="",0,INDEX(ModelParameters!$D$13:$K$17,MATCH($O1726,ModelParameters!$B$13:$B$17,0),MATCH($J1726,ModelParameters!$D$5:$K$5,0)))</f>
        <v>0.055</v>
      </c>
      <c r="S1726" s="160">
        <f>IF(B1726="",0,MIN(IF($N1726="Other Bond TM",ModelParameters!$N$21,1)*(P1726*Q1726+R1726),1))</f>
        <v>0.073689109876028528</v>
      </c>
      <c r="T1726" s="85">
        <f>IF(B1726="",0,$S1726*$K1726)</f>
        <v>47.853463033372632</v>
      </c>
      <c r="U1726" s="85">
        <f>IF(B1726="",0,IF(OR(H1726=MappingTables!$C$34,H1726=MappingTables!$C$35),T1726,0))</f>
        <v>0</v>
      </c>
      <c r="V1726" s="85">
        <f>IF(ISNA(IF(AND(VLOOKUP(CONCATENATE($D1726,$G1726),CSRFinput!$B:$E,4,0)=0,OR(H1726=MappingTables!$C$34,H1726=MappingTables!$C$35)),1,VLOOKUP(CONCATENATE($D1726,$G1726),CSRFinput!$B:$E,4,0))),0,IF(AND(VLOOKUP(CONCATENATE($D1726,$G1726),CSRFinput!$B:$E,4,0)=0,OR(H1726=MappingTables!$C$34,H1726=MappingTables!$C$35)),1,VLOOKUP(CONCATENATE($D1726,$G1726),CSRFinput!$B:$E,4,0)))</f>
        <v>0.054776304963434752</v>
      </c>
      <c r="W1726" s="85">
        <f>IF(B1726="",0,+$T1726*$V1726)</f>
        <v>2.6212358846724708</v>
      </c>
      <c r="X1726" s="85">
        <f>IF(B1726="",0,IF(OR(H1726=MappingTables!$C$34,H1726=MappingTables!$C$35),W1726,0))</f>
        <v>0</v>
      </c>
    </row>
    <row r="1727" spans="2:24" s="0" customFormat="0" ht="15">
      <c r="B1727" s="69">
        <v>21057448</v>
      </c>
      <c r="C1727" s="70" t="s">
        <v>1944</v>
      </c>
      <c r="D1727" s="70" t="s">
        <v>1</v>
      </c>
      <c r="E1727" s="70" t="s">
        <v>1</v>
      </c>
      <c r="F1727" s="70"/>
      <c r="G1727" s="70" t="s">
        <v>61</v>
      </c>
      <c r="H1727" s="70" t="s">
        <v>178</v>
      </c>
      <c r="I1727" s="70" t="s">
        <v>179</v>
      </c>
      <c r="J1727" s="71">
        <f>IF(OR(I1727=0,I1727=""),"unrated",VLOOKUP(I1727,MappingTables!$B$19:$C$31,2,FALSE))</f>
        <v>4</v>
      </c>
      <c r="K1727" s="72">
        <v>527.53979635390048</v>
      </c>
      <c r="L1727" s="70">
        <v>7.045512671600696</v>
      </c>
      <c r="M1727" s="71">
        <f>IF(L1727&lt;1,1,L1727)</f>
        <v>7.045512671600696</v>
      </c>
      <c r="N1727" s="70" t="s">
        <v>141</v>
      </c>
      <c r="O1727" s="71">
        <f>INDEX(DurClassMapping,MATCH(M1727,MappingTables!$D$4:$D$8,-1),1)</f>
        <v>2</v>
      </c>
      <c r="P1727" s="73">
        <f>IF(M1727=$A$1,1,$M1727-INDEX(MappingTables!$E$4:$E$8,MATCH(O1727,MappingTables!$B$4:$B$8,0)))</f>
        <v>2.0455126716006964</v>
      </c>
      <c r="Q1727" s="71">
        <f>IF(B1727="",0,INDEX(ModelParameters!$D$6:$K$10,MATCH($O1727,ModelParameters!$B$6:$B$10,0),MATCH($J1727,ModelParameters!$D$5:$K$5,0)))</f>
        <v>0.025</v>
      </c>
      <c r="R1727" s="71">
        <f>IF(B1727="",0,INDEX(ModelParameters!$D$13:$K$17,MATCH($O1727,ModelParameters!$B$13:$B$17,0),MATCH($J1727,ModelParameters!$D$5:$K$5,0)))</f>
        <v>0.225</v>
      </c>
      <c r="S1727" s="160">
        <f>IF(B1727="",0,MIN(IF($N1727="Other Bond TM",ModelParameters!$N$21,1)*(P1727*Q1727+R1727),1))</f>
        <v>0.27613781679001744</v>
      </c>
      <c r="T1727" s="85">
        <f>IF(B1727="",0,$S1727*$K1727)</f>
        <v>145.67368763501644</v>
      </c>
      <c r="U1727" s="85">
        <f>IF(B1727="",0,IF(OR(H1727=MappingTables!$C$34,H1727=MappingTables!$C$35),T1727,0))</f>
        <v>0</v>
      </c>
      <c r="V1727" s="85">
        <f>IF(ISNA(IF(AND(VLOOKUP(CONCATENATE($D1727,$G1727),CSRFinput!$B:$E,4,0)=0,OR(H1727=MappingTables!$C$34,H1727=MappingTables!$C$35)),1,VLOOKUP(CONCATENATE($D1727,$G1727),CSRFinput!$B:$E,4,0))),0,IF(AND(VLOOKUP(CONCATENATE($D1727,$G1727),CSRFinput!$B:$E,4,0)=0,OR(H1727=MappingTables!$C$34,H1727=MappingTables!$C$35)),1,VLOOKUP(CONCATENATE($D1727,$G1727),CSRFinput!$B:$E,4,0)))</f>
        <v>0.054776304963434752</v>
      </c>
      <c r="W1727" s="85">
        <f>IF(B1727="",0,+$T1727*$V1727)</f>
        <v>7.9794663390437952</v>
      </c>
      <c r="X1727" s="85">
        <f>IF(B1727="",0,IF(OR(H1727=MappingTables!$C$34,H1727=MappingTables!$C$35),W1727,0))</f>
        <v>0</v>
      </c>
    </row>
    <row r="1728" spans="2:24" s="0" customFormat="0" ht="15">
      <c r="B1728" s="69">
        <v>18126166</v>
      </c>
      <c r="C1728" s="70" t="s">
        <v>1945</v>
      </c>
      <c r="D1728" s="70" t="s">
        <v>1</v>
      </c>
      <c r="E1728" s="70" t="s">
        <v>1</v>
      </c>
      <c r="F1728" s="70"/>
      <c r="G1728" s="70" t="s">
        <v>61</v>
      </c>
      <c r="H1728" s="70" t="s">
        <v>178</v>
      </c>
      <c r="I1728" s="70" t="s">
        <v>216</v>
      </c>
      <c r="J1728" s="71">
        <f>IF(OR(I1728=0,I1728=""),"unrated",VLOOKUP(I1728,MappingTables!$B$19:$C$31,2,FALSE))</f>
        <v>0</v>
      </c>
      <c r="K1728" s="72">
        <v>329.07818441071964</v>
      </c>
      <c r="L1728" s="70">
        <v>0.77882861950728288</v>
      </c>
      <c r="M1728" s="71">
        <f>IF(L1728&lt;1,1,L1728)</f>
        <v>1</v>
      </c>
      <c r="N1728" s="70" t="s">
        <v>141</v>
      </c>
      <c r="O1728" s="71">
        <f>INDEX(DurClassMapping,MATCH(M1728,MappingTables!$D$4:$D$8,-1),1)</f>
        <v>1</v>
      </c>
      <c r="P1728" s="73">
        <f>IF(M1728=$A$1,1,$M1728-INDEX(MappingTables!$E$4:$E$8,MATCH(O1728,MappingTables!$B$4:$B$8,0)))</f>
        <v>1</v>
      </c>
      <c r="Q1728" s="71">
        <f>IF(B1728="",0,INDEX(ModelParameters!$D$6:$K$10,MATCH($O1728,ModelParameters!$B$6:$B$10,0),MATCH($J1728,ModelParameters!$D$5:$K$5,0)))</f>
        <v>0.0090000000000000016</v>
      </c>
      <c r="R1728" s="71">
        <f>IF(B1728="",0,INDEX(ModelParameters!$D$13:$K$17,MATCH($O1728,ModelParameters!$B$13:$B$17,0),MATCH($J1728,ModelParameters!$D$5:$K$5,0)))</f>
        <v>0</v>
      </c>
      <c r="S1728" s="160">
        <f>IF(B1728="",0,MIN(IF($N1728="Other Bond TM",ModelParameters!$N$21,1)*(P1728*Q1728+R1728),1))</f>
        <v>0.0090000000000000016</v>
      </c>
      <c r="T1728" s="85">
        <f>IF(B1728="",0,$S1728*$K1728)</f>
        <v>2.9617036596964768</v>
      </c>
      <c r="U1728" s="85">
        <f>IF(B1728="",0,IF(OR(H1728=MappingTables!$C$34,H1728=MappingTables!$C$35),T1728,0))</f>
        <v>0</v>
      </c>
      <c r="V1728" s="85">
        <f>IF(ISNA(IF(AND(VLOOKUP(CONCATENATE($D1728,$G1728),CSRFinput!$B:$E,4,0)=0,OR(H1728=MappingTables!$C$34,H1728=MappingTables!$C$35)),1,VLOOKUP(CONCATENATE($D1728,$G1728),CSRFinput!$B:$E,4,0))),0,IF(AND(VLOOKUP(CONCATENATE($D1728,$G1728),CSRFinput!$B:$E,4,0)=0,OR(H1728=MappingTables!$C$34,H1728=MappingTables!$C$35)),1,VLOOKUP(CONCATENATE($D1728,$G1728),CSRFinput!$B:$E,4,0)))</f>
        <v>0.054776304963434752</v>
      </c>
      <c r="W1728" s="85">
        <f>IF(B1728="",0,+$T1728*$V1728)</f>
        <v>0.162231182874855</v>
      </c>
      <c r="X1728" s="85">
        <f>IF(B1728="",0,IF(OR(H1728=MappingTables!$C$34,H1728=MappingTables!$C$35),W1728,0))</f>
        <v>0</v>
      </c>
    </row>
    <row r="1729" spans="2:24" s="0" customFormat="0" ht="15">
      <c r="B1729" s="69">
        <v>21473851</v>
      </c>
      <c r="C1729" s="70" t="s">
        <v>798</v>
      </c>
      <c r="D1729" s="70" t="s">
        <v>1</v>
      </c>
      <c r="E1729" s="70" t="s">
        <v>1</v>
      </c>
      <c r="F1729" s="70"/>
      <c r="G1729" s="70" t="s">
        <v>61</v>
      </c>
      <c r="H1729" s="70" t="s">
        <v>178</v>
      </c>
      <c r="I1729" s="70" t="s">
        <v>179</v>
      </c>
      <c r="J1729" s="71">
        <f>IF(OR(I1729=0,I1729=""),"unrated",VLOOKUP(I1729,MappingTables!$B$19:$C$31,2,FALSE))</f>
        <v>4</v>
      </c>
      <c r="K1729" s="72">
        <v>1064.0976686848098</v>
      </c>
      <c r="L1729" s="70">
        <v>2.6523398521637432</v>
      </c>
      <c r="M1729" s="71">
        <f>IF(L1729&lt;1,1,L1729)</f>
        <v>2.6523398521637432</v>
      </c>
      <c r="N1729" s="70" t="s">
        <v>141</v>
      </c>
      <c r="O1729" s="71">
        <f>INDEX(DurClassMapping,MATCH(M1729,MappingTables!$D$4:$D$8,-1),1)</f>
        <v>1</v>
      </c>
      <c r="P1729" s="73">
        <f>IF(M1729=$A$1,1,$M1729-INDEX(MappingTables!$E$4:$E$8,MATCH(O1729,MappingTables!$B$4:$B$8,0)))</f>
        <v>2.6523398521637432</v>
      </c>
      <c r="Q1729" s="71">
        <f>IF(B1729="",0,INDEX(ModelParameters!$D$6:$K$10,MATCH($O1729,ModelParameters!$B$6:$B$10,0),MATCH($J1729,ModelParameters!$D$5:$K$5,0)))</f>
        <v>0.045</v>
      </c>
      <c r="R1729" s="71">
        <f>IF(B1729="",0,INDEX(ModelParameters!$D$13:$K$17,MATCH($O1729,ModelParameters!$B$13:$B$17,0),MATCH($J1729,ModelParameters!$D$5:$K$5,0)))</f>
        <v>0</v>
      </c>
      <c r="S1729" s="160">
        <f>IF(B1729="",0,MIN(IF($N1729="Other Bond TM",ModelParameters!$N$21,1)*(P1729*Q1729+R1729),1))</f>
        <v>0.11935529334736844</v>
      </c>
      <c r="T1729" s="85">
        <f>IF(B1729="",0,$S1729*$K1729)</f>
        <v>127.00568939612636</v>
      </c>
      <c r="U1729" s="85">
        <f>IF(B1729="",0,IF(OR(H1729=MappingTables!$C$34,H1729=MappingTables!$C$35),T1729,0))</f>
        <v>0</v>
      </c>
      <c r="V1729" s="85">
        <f>IF(ISNA(IF(AND(VLOOKUP(CONCATENATE($D1729,$G1729),CSRFinput!$B:$E,4,0)=0,OR(H1729=MappingTables!$C$34,H1729=MappingTables!$C$35)),1,VLOOKUP(CONCATENATE($D1729,$G1729),CSRFinput!$B:$E,4,0))),0,IF(AND(VLOOKUP(CONCATENATE($D1729,$G1729),CSRFinput!$B:$E,4,0)=0,OR(H1729=MappingTables!$C$34,H1729=MappingTables!$C$35)),1,VLOOKUP(CONCATENATE($D1729,$G1729),CSRFinput!$B:$E,4,0)))</f>
        <v>0.054776304963434752</v>
      </c>
      <c r="W1729" s="85">
        <f>IF(B1729="",0,+$T1729*$V1729)</f>
        <v>6.9569023744534888</v>
      </c>
      <c r="X1729" s="85">
        <f>IF(B1729="",0,IF(OR(H1729=MappingTables!$C$34,H1729=MappingTables!$C$35),W1729,0))</f>
        <v>0</v>
      </c>
    </row>
    <row r="1730" spans="2:24" s="0" customFormat="0" ht="15">
      <c r="B1730" s="69">
        <v>14339647</v>
      </c>
      <c r="C1730" s="70" t="s">
        <v>1946</v>
      </c>
      <c r="D1730" s="70" t="s">
        <v>1</v>
      </c>
      <c r="E1730" s="70" t="s">
        <v>1</v>
      </c>
      <c r="F1730" s="70"/>
      <c r="G1730" s="70" t="s">
        <v>61</v>
      </c>
      <c r="H1730" s="70" t="s">
        <v>178</v>
      </c>
      <c r="I1730" s="70" t="s">
        <v>181</v>
      </c>
      <c r="J1730" s="71">
        <f>IF(OR(I1730=0,I1730=""),"unrated",VLOOKUP(I1730,MappingTables!$B$19:$C$31,2,FALSE))</f>
        <v>3</v>
      </c>
      <c r="K1730" s="72">
        <v>1737.0814545744144</v>
      </c>
      <c r="L1730" s="70">
        <v>1.1920273960600102</v>
      </c>
      <c r="M1730" s="71">
        <f>IF(L1730&lt;1,1,L1730)</f>
        <v>1.1920273960600102</v>
      </c>
      <c r="N1730" s="70" t="s">
        <v>141</v>
      </c>
      <c r="O1730" s="71">
        <f>INDEX(DurClassMapping,MATCH(M1730,MappingTables!$D$4:$D$8,-1),1)</f>
        <v>1</v>
      </c>
      <c r="P1730" s="73">
        <f>IF(M1730=$A$1,1,$M1730-INDEX(MappingTables!$E$4:$E$8,MATCH(O1730,MappingTables!$B$4:$B$8,0)))</f>
        <v>1.1920273960600102</v>
      </c>
      <c r="Q1730" s="71">
        <f>IF(B1730="",0,INDEX(ModelParameters!$D$6:$K$10,MATCH($O1730,ModelParameters!$B$6:$B$10,0),MATCH($J1730,ModelParameters!$D$5:$K$5,0)))</f>
        <v>0.025</v>
      </c>
      <c r="R1730" s="71">
        <f>IF(B1730="",0,INDEX(ModelParameters!$D$13:$K$17,MATCH($O1730,ModelParameters!$B$13:$B$17,0),MATCH($J1730,ModelParameters!$D$5:$K$5,0)))</f>
        <v>0</v>
      </c>
      <c r="S1730" s="160">
        <f>IF(B1730="",0,MIN(IF($N1730="Other Bond TM",ModelParameters!$N$21,1)*(P1730*Q1730+R1730),1))</f>
        <v>0.029800684901500256</v>
      </c>
      <c r="T1730" s="85">
        <f>IF(B1730="",0,$S1730*$K1730)</f>
        <v>51.766217076011856</v>
      </c>
      <c r="U1730" s="85">
        <f>IF(B1730="",0,IF(OR(H1730=MappingTables!$C$34,H1730=MappingTables!$C$35),T1730,0))</f>
        <v>0</v>
      </c>
      <c r="V1730" s="85">
        <f>IF(ISNA(IF(AND(VLOOKUP(CONCATENATE($D1730,$G1730),CSRFinput!$B:$E,4,0)=0,OR(H1730=MappingTables!$C$34,H1730=MappingTables!$C$35)),1,VLOOKUP(CONCATENATE($D1730,$G1730),CSRFinput!$B:$E,4,0))),0,IF(AND(VLOOKUP(CONCATENATE($D1730,$G1730),CSRFinput!$B:$E,4,0)=0,OR(H1730=MappingTables!$C$34,H1730=MappingTables!$C$35)),1,VLOOKUP(CONCATENATE($D1730,$G1730),CSRFinput!$B:$E,4,0)))</f>
        <v>0.054776304963434752</v>
      </c>
      <c r="W1730" s="85">
        <f>IF(B1730="",0,+$T1730*$V1730)</f>
        <v>2.8355620933589888</v>
      </c>
      <c r="X1730" s="85">
        <f>IF(B1730="",0,IF(OR(H1730=MappingTables!$C$34,H1730=MappingTables!$C$35),W1730,0))</f>
        <v>0</v>
      </c>
    </row>
    <row r="1731" spans="2:24" s="0" customFormat="0" ht="15">
      <c r="B1731" s="69">
        <v>1902559</v>
      </c>
      <c r="C1731" s="70" t="s">
        <v>1947</v>
      </c>
      <c r="D1731" s="70" t="s">
        <v>1</v>
      </c>
      <c r="E1731" s="70" t="s">
        <v>1</v>
      </c>
      <c r="F1731" s="70"/>
      <c r="G1731" s="70" t="s">
        <v>61</v>
      </c>
      <c r="H1731" s="70" t="s">
        <v>178</v>
      </c>
      <c r="I1731" s="70" t="s">
        <v>181</v>
      </c>
      <c r="J1731" s="71">
        <f>IF(OR(I1731=0,I1731=""),"unrated",VLOOKUP(I1731,MappingTables!$B$19:$C$31,2,FALSE))</f>
        <v>3</v>
      </c>
      <c r="K1731" s="72">
        <v>2952.8722409736944</v>
      </c>
      <c r="L1731" s="70">
        <v>11.295454031541742</v>
      </c>
      <c r="M1731" s="71">
        <f>IF(L1731&lt;1,1,L1731)</f>
        <v>11.295454031541742</v>
      </c>
      <c r="N1731" s="70" t="s">
        <v>141</v>
      </c>
      <c r="O1731" s="71">
        <f>INDEX(DurClassMapping,MATCH(M1731,MappingTables!$D$4:$D$8,-1),1)</f>
        <v>3</v>
      </c>
      <c r="P1731" s="73">
        <f>IF(M1731=$A$1,1,$M1731-INDEX(MappingTables!$E$4:$E$8,MATCH(O1731,MappingTables!$B$4:$B$8,0)))</f>
        <v>1.2954540315417412</v>
      </c>
      <c r="Q1731" s="71">
        <f>IF(B1731="",0,INDEX(ModelParameters!$D$6:$K$10,MATCH($O1731,ModelParameters!$B$6:$B$10,0),MATCH($J1731,ModelParameters!$D$5:$K$5,0)))</f>
        <v>0.01</v>
      </c>
      <c r="R1731" s="71">
        <f>IF(B1731="",0,INDEX(ModelParameters!$D$13:$K$17,MATCH($O1731,ModelParameters!$B$13:$B$17,0),MATCH($J1731,ModelParameters!$D$5:$K$5,0)))</f>
        <v>0.2</v>
      </c>
      <c r="S1731" s="160">
        <f>IF(B1731="",0,MIN(IF($N1731="Other Bond TM",ModelParameters!$N$21,1)*(P1731*Q1731+R1731),1))</f>
        <v>0.2129545403154174</v>
      </c>
      <c r="T1731" s="85">
        <f>IF(B1731="",0,$S1731*$K1731)</f>
        <v>628.82755068670952</v>
      </c>
      <c r="U1731" s="85">
        <f>IF(B1731="",0,IF(OR(H1731=MappingTables!$C$34,H1731=MappingTables!$C$35),T1731,0))</f>
        <v>0</v>
      </c>
      <c r="V1731" s="85">
        <f>IF(ISNA(IF(AND(VLOOKUP(CONCATENATE($D1731,$G1731),CSRFinput!$B:$E,4,0)=0,OR(H1731=MappingTables!$C$34,H1731=MappingTables!$C$35)),1,VLOOKUP(CONCATENATE($D1731,$G1731),CSRFinput!$B:$E,4,0))),0,IF(AND(VLOOKUP(CONCATENATE($D1731,$G1731),CSRFinput!$B:$E,4,0)=0,OR(H1731=MappingTables!$C$34,H1731=MappingTables!$C$35)),1,VLOOKUP(CONCATENATE($D1731,$G1731),CSRFinput!$B:$E,4,0)))</f>
        <v>0.054776304963434752</v>
      </c>
      <c r="W1731" s="85">
        <f>IF(B1731="",0,+$T1731*$V1731)</f>
        <v>34.444849685824928</v>
      </c>
      <c r="X1731" s="85">
        <f>IF(B1731="",0,IF(OR(H1731=MappingTables!$C$34,H1731=MappingTables!$C$35),W1731,0))</f>
        <v>0</v>
      </c>
    </row>
    <row r="1732" spans="2:24" s="0" customFormat="0" ht="15">
      <c r="B1732" s="69">
        <v>23936142</v>
      </c>
      <c r="C1732" s="70" t="s">
        <v>1948</v>
      </c>
      <c r="D1732" s="70" t="s">
        <v>1</v>
      </c>
      <c r="E1732" s="70" t="s">
        <v>1</v>
      </c>
      <c r="F1732" s="70"/>
      <c r="G1732" s="70" t="s">
        <v>61</v>
      </c>
      <c r="H1732" s="70" t="s">
        <v>178</v>
      </c>
      <c r="I1732" s="70" t="s">
        <v>188</v>
      </c>
      <c r="J1732" s="71">
        <f>IF(OR(I1732=0,I1732=""),"unrated",VLOOKUP(I1732,MappingTables!$B$19:$C$31,2,FALSE))</f>
        <v>2</v>
      </c>
      <c r="K1732" s="72">
        <v>154.84012475268776</v>
      </c>
      <c r="L1732" s="70">
        <v>2.4562632436891368</v>
      </c>
      <c r="M1732" s="71">
        <f>IF(L1732&lt;1,1,L1732)</f>
        <v>2.4562632436891368</v>
      </c>
      <c r="N1732" s="70" t="s">
        <v>141</v>
      </c>
      <c r="O1732" s="71">
        <f>INDEX(DurClassMapping,MATCH(M1732,MappingTables!$D$4:$D$8,-1),1)</f>
        <v>1</v>
      </c>
      <c r="P1732" s="73">
        <f>IF(M1732=$A$1,1,$M1732-INDEX(MappingTables!$E$4:$E$8,MATCH(O1732,MappingTables!$B$4:$B$8,0)))</f>
        <v>2.4562632436891368</v>
      </c>
      <c r="Q1732" s="71">
        <f>IF(B1732="",0,INDEX(ModelParameters!$D$6:$K$10,MATCH($O1732,ModelParameters!$B$6:$B$10,0),MATCH($J1732,ModelParameters!$D$5:$K$5,0)))</f>
        <v>0.013999999999999998</v>
      </c>
      <c r="R1732" s="71">
        <f>IF(B1732="",0,INDEX(ModelParameters!$D$13:$K$17,MATCH($O1732,ModelParameters!$B$13:$B$17,0),MATCH($J1732,ModelParameters!$D$5:$K$5,0)))</f>
        <v>0</v>
      </c>
      <c r="S1732" s="160">
        <f>IF(B1732="",0,MIN(IF($N1732="Other Bond TM",ModelParameters!$N$21,1)*(P1732*Q1732+R1732),1))</f>
        <v>0.034387685411647912</v>
      </c>
      <c r="T1732" s="85">
        <f>IF(B1732="",0,$S1732*$K1732)</f>
        <v>5.3245934990957432</v>
      </c>
      <c r="U1732" s="85">
        <f>IF(B1732="",0,IF(OR(H1732=MappingTables!$C$34,H1732=MappingTables!$C$35),T1732,0))</f>
        <v>0</v>
      </c>
      <c r="V1732" s="85">
        <f>IF(ISNA(IF(AND(VLOOKUP(CONCATENATE($D1732,$G1732),CSRFinput!$B:$E,4,0)=0,OR(H1732=MappingTables!$C$34,H1732=MappingTables!$C$35)),1,VLOOKUP(CONCATENATE($D1732,$G1732),CSRFinput!$B:$E,4,0))),0,IF(AND(VLOOKUP(CONCATENATE($D1732,$G1732),CSRFinput!$B:$E,4,0)=0,OR(H1732=MappingTables!$C$34,H1732=MappingTables!$C$35)),1,VLOOKUP(CONCATENATE($D1732,$G1732),CSRFinput!$B:$E,4,0)))</f>
        <v>0.054776304963434752</v>
      </c>
      <c r="W1732" s="85">
        <f>IF(B1732="",0,+$T1732*$V1732)</f>
        <v>0.2916615573127906</v>
      </c>
      <c r="X1732" s="85">
        <f>IF(B1732="",0,IF(OR(H1732=MappingTables!$C$34,H1732=MappingTables!$C$35),W1732,0))</f>
        <v>0</v>
      </c>
    </row>
    <row r="1733" spans="2:24" s="0" customFormat="0" ht="15">
      <c r="B1733" s="69">
        <v>13173876</v>
      </c>
      <c r="C1733" s="70" t="s">
        <v>616</v>
      </c>
      <c r="D1733" s="70" t="s">
        <v>1</v>
      </c>
      <c r="E1733" s="70" t="s">
        <v>1</v>
      </c>
      <c r="F1733" s="70"/>
      <c r="G1733" s="70" t="s">
        <v>61</v>
      </c>
      <c r="H1733" s="70" t="s">
        <v>178</v>
      </c>
      <c r="I1733" s="70" t="s">
        <v>181</v>
      </c>
      <c r="J1733" s="71">
        <f>IF(OR(I1733=0,I1733=""),"unrated",VLOOKUP(I1733,MappingTables!$B$19:$C$31,2,FALSE))</f>
        <v>3</v>
      </c>
      <c r="K1733" s="72">
        <v>701.11232470854576</v>
      </c>
      <c r="L1733" s="70">
        <v>0.96472208190111856</v>
      </c>
      <c r="M1733" s="71">
        <f>IF(L1733&lt;1,1,L1733)</f>
        <v>1</v>
      </c>
      <c r="N1733" s="70" t="s">
        <v>141</v>
      </c>
      <c r="O1733" s="71">
        <f>INDEX(DurClassMapping,MATCH(M1733,MappingTables!$D$4:$D$8,-1),1)</f>
        <v>1</v>
      </c>
      <c r="P1733" s="73">
        <f>IF(M1733=$A$1,1,$M1733-INDEX(MappingTables!$E$4:$E$8,MATCH(O1733,MappingTables!$B$4:$B$8,0)))</f>
        <v>1</v>
      </c>
      <c r="Q1733" s="71">
        <f>IF(B1733="",0,INDEX(ModelParameters!$D$6:$K$10,MATCH($O1733,ModelParameters!$B$6:$B$10,0),MATCH($J1733,ModelParameters!$D$5:$K$5,0)))</f>
        <v>0.025</v>
      </c>
      <c r="R1733" s="71">
        <f>IF(B1733="",0,INDEX(ModelParameters!$D$13:$K$17,MATCH($O1733,ModelParameters!$B$13:$B$17,0),MATCH($J1733,ModelParameters!$D$5:$K$5,0)))</f>
        <v>0</v>
      </c>
      <c r="S1733" s="160">
        <f>IF(B1733="",0,MIN(IF($N1733="Other Bond TM",ModelParameters!$N$21,1)*(P1733*Q1733+R1733),1))</f>
        <v>0.025</v>
      </c>
      <c r="T1733" s="85">
        <f>IF(B1733="",0,$S1733*$K1733)</f>
        <v>17.527808117713644</v>
      </c>
      <c r="U1733" s="85">
        <f>IF(B1733="",0,IF(OR(H1733=MappingTables!$C$34,H1733=MappingTables!$C$35),T1733,0))</f>
        <v>0</v>
      </c>
      <c r="V1733" s="85">
        <f>IF(ISNA(IF(AND(VLOOKUP(CONCATENATE($D1733,$G1733),CSRFinput!$B:$E,4,0)=0,OR(H1733=MappingTables!$C$34,H1733=MappingTables!$C$35)),1,VLOOKUP(CONCATENATE($D1733,$G1733),CSRFinput!$B:$E,4,0))),0,IF(AND(VLOOKUP(CONCATENATE($D1733,$G1733),CSRFinput!$B:$E,4,0)=0,OR(H1733=MappingTables!$C$34,H1733=MappingTables!$C$35)),1,VLOOKUP(CONCATENATE($D1733,$G1733),CSRFinput!$B:$E,4,0)))</f>
        <v>0.054776304963434752</v>
      </c>
      <c r="W1733" s="85">
        <f>IF(B1733="",0,+$T1733*$V1733)</f>
        <v>0.96010856279644992</v>
      </c>
      <c r="X1733" s="85">
        <f>IF(B1733="",0,IF(OR(H1733=MappingTables!$C$34,H1733=MappingTables!$C$35),W1733,0))</f>
        <v>0</v>
      </c>
    </row>
    <row r="1734" spans="2:24" s="0" customFormat="0" ht="15">
      <c r="B1734" s="69">
        <v>12942097</v>
      </c>
      <c r="C1734" s="70" t="s">
        <v>1949</v>
      </c>
      <c r="D1734" s="70" t="s">
        <v>1</v>
      </c>
      <c r="E1734" s="70" t="s">
        <v>1</v>
      </c>
      <c r="F1734" s="70"/>
      <c r="G1734" s="70" t="s">
        <v>61</v>
      </c>
      <c r="H1734" s="70" t="s">
        <v>178</v>
      </c>
      <c r="I1734" s="70" t="s">
        <v>181</v>
      </c>
      <c r="J1734" s="71">
        <f>IF(OR(I1734=0,I1734=""),"unrated",VLOOKUP(I1734,MappingTables!$B$19:$C$31,2,FALSE))</f>
        <v>3</v>
      </c>
      <c r="K1734" s="72">
        <v>300.43013233529068</v>
      </c>
      <c r="L1734" s="70">
        <v>0.79830999631117504</v>
      </c>
      <c r="M1734" s="71">
        <f>IF(L1734&lt;1,1,L1734)</f>
        <v>1</v>
      </c>
      <c r="N1734" s="70" t="s">
        <v>141</v>
      </c>
      <c r="O1734" s="71">
        <f>INDEX(DurClassMapping,MATCH(M1734,MappingTables!$D$4:$D$8,-1),1)</f>
        <v>1</v>
      </c>
      <c r="P1734" s="73">
        <f>IF(M1734=$A$1,1,$M1734-INDEX(MappingTables!$E$4:$E$8,MATCH(O1734,MappingTables!$B$4:$B$8,0)))</f>
        <v>1</v>
      </c>
      <c r="Q1734" s="71">
        <f>IF(B1734="",0,INDEX(ModelParameters!$D$6:$K$10,MATCH($O1734,ModelParameters!$B$6:$B$10,0),MATCH($J1734,ModelParameters!$D$5:$K$5,0)))</f>
        <v>0.025</v>
      </c>
      <c r="R1734" s="71">
        <f>IF(B1734="",0,INDEX(ModelParameters!$D$13:$K$17,MATCH($O1734,ModelParameters!$B$13:$B$17,0),MATCH($J1734,ModelParameters!$D$5:$K$5,0)))</f>
        <v>0</v>
      </c>
      <c r="S1734" s="160">
        <f>IF(B1734="",0,MIN(IF($N1734="Other Bond TM",ModelParameters!$N$21,1)*(P1734*Q1734+R1734),1))</f>
        <v>0.025</v>
      </c>
      <c r="T1734" s="85">
        <f>IF(B1734="",0,$S1734*$K1734)</f>
        <v>7.5107533083822672</v>
      </c>
      <c r="U1734" s="85">
        <f>IF(B1734="",0,IF(OR(H1734=MappingTables!$C$34,H1734=MappingTables!$C$35),T1734,0))</f>
        <v>0</v>
      </c>
      <c r="V1734" s="85">
        <f>IF(ISNA(IF(AND(VLOOKUP(CONCATENATE($D1734,$G1734),CSRFinput!$B:$E,4,0)=0,OR(H1734=MappingTables!$C$34,H1734=MappingTables!$C$35)),1,VLOOKUP(CONCATENATE($D1734,$G1734),CSRFinput!$B:$E,4,0))),0,IF(AND(VLOOKUP(CONCATENATE($D1734,$G1734),CSRFinput!$B:$E,4,0)=0,OR(H1734=MappingTables!$C$34,H1734=MappingTables!$C$35)),1,VLOOKUP(CONCATENATE($D1734,$G1734),CSRFinput!$B:$E,4,0)))</f>
        <v>0.054776304963434752</v>
      </c>
      <c r="W1734" s="85">
        <f>IF(B1734="",0,+$T1734*$V1734)</f>
        <v>0.4114113137250736</v>
      </c>
      <c r="X1734" s="85">
        <f>IF(B1734="",0,IF(OR(H1734=MappingTables!$C$34,H1734=MappingTables!$C$35),W1734,0))</f>
        <v>0</v>
      </c>
    </row>
    <row r="1735" spans="2:24" s="0" customFormat="0" ht="15">
      <c r="B1735" s="69" t="s">
        <v>1745</v>
      </c>
      <c r="C1735" s="70" t="s">
        <v>1746</v>
      </c>
      <c r="D1735" s="70" t="s">
        <v>1</v>
      </c>
      <c r="E1735" s="70" t="s">
        <v>1</v>
      </c>
      <c r="F1735" s="70"/>
      <c r="G1735" s="70" t="s">
        <v>61</v>
      </c>
      <c r="H1735" s="70" t="s">
        <v>178</v>
      </c>
      <c r="I1735" s="70" t="s">
        <v>198</v>
      </c>
      <c r="J1735" s="71" t="str">
        <f>IF(OR(I1735=0,I1735=""),"unrated",VLOOKUP(I1735,MappingTables!$B$19:$C$31,2,FALSE))</f>
        <v>unrated</v>
      </c>
      <c r="K1735" s="72">
        <v>1672.3808890515666</v>
      </c>
      <c r="L1735" s="70">
        <v>0.041096190892777712</v>
      </c>
      <c r="M1735" s="71">
        <f>IF(L1735&lt;1,1,L1735)</f>
        <v>1</v>
      </c>
      <c r="N1735" s="70" t="s">
        <v>141</v>
      </c>
      <c r="O1735" s="71">
        <f>INDEX(DurClassMapping,MATCH(M1735,MappingTables!$D$4:$D$8,-1),1)</f>
        <v>1</v>
      </c>
      <c r="P1735" s="73">
        <f>IF(M1735=$A$1,1,$M1735-INDEX(MappingTables!$E$4:$E$8,MATCH(O1735,MappingTables!$B$4:$B$8,0)))</f>
        <v>1</v>
      </c>
      <c r="Q1735" s="71">
        <f>IF(B1735="",0,INDEX(ModelParameters!$D$6:$K$10,MATCH($O1735,ModelParameters!$B$6:$B$10,0),MATCH($J1735,ModelParameters!$D$5:$K$5,0)))</f>
        <v>0.03</v>
      </c>
      <c r="R1735" s="71">
        <f>IF(B1735="",0,INDEX(ModelParameters!$D$13:$K$17,MATCH($O1735,ModelParameters!$B$13:$B$17,0),MATCH($J1735,ModelParameters!$D$5:$K$5,0)))</f>
        <v>0</v>
      </c>
      <c r="S1735" s="160">
        <f>IF(B1735="",0,MIN(IF($N1735="Other Bond TM",ModelParameters!$N$21,1)*(P1735*Q1735+R1735),1))</f>
        <v>0.03</v>
      </c>
      <c r="T1735" s="85">
        <f>IF(B1735="",0,$S1735*$K1735)</f>
        <v>50.171426671547</v>
      </c>
      <c r="U1735" s="85">
        <f>IF(B1735="",0,IF(OR(H1735=MappingTables!$C$34,H1735=MappingTables!$C$35),T1735,0))</f>
        <v>0</v>
      </c>
      <c r="V1735" s="85">
        <f>IF(ISNA(IF(AND(VLOOKUP(CONCATENATE($D1735,$G1735),CSRFinput!$B:$E,4,0)=0,OR(H1735=MappingTables!$C$34,H1735=MappingTables!$C$35)),1,VLOOKUP(CONCATENATE($D1735,$G1735),CSRFinput!$B:$E,4,0))),0,IF(AND(VLOOKUP(CONCATENATE($D1735,$G1735),CSRFinput!$B:$E,4,0)=0,OR(H1735=MappingTables!$C$34,H1735=MappingTables!$C$35)),1,VLOOKUP(CONCATENATE($D1735,$G1735),CSRFinput!$B:$E,4,0)))</f>
        <v>0.054776304963434752</v>
      </c>
      <c r="W1735" s="85">
        <f>IF(B1735="",0,+$T1735*$V1735)</f>
        <v>2.7482053678112624</v>
      </c>
      <c r="X1735" s="85">
        <f>IF(B1735="",0,IF(OR(H1735=MappingTables!$C$34,H1735=MappingTables!$C$35),W1735,0))</f>
        <v>0</v>
      </c>
    </row>
    <row r="1736" spans="2:24" s="0" customFormat="0" ht="15">
      <c r="B1736" s="69">
        <v>22214087</v>
      </c>
      <c r="C1736" s="70" t="s">
        <v>1950</v>
      </c>
      <c r="D1736" s="70" t="s">
        <v>1</v>
      </c>
      <c r="E1736" s="70" t="s">
        <v>1</v>
      </c>
      <c r="F1736" s="70"/>
      <c r="G1736" s="70" t="s">
        <v>61</v>
      </c>
      <c r="H1736" s="70" t="s">
        <v>178</v>
      </c>
      <c r="I1736" s="70" t="s">
        <v>179</v>
      </c>
      <c r="J1736" s="71">
        <f>IF(OR(I1736=0,I1736=""),"unrated",VLOOKUP(I1736,MappingTables!$B$19:$C$31,2,FALSE))</f>
        <v>4</v>
      </c>
      <c r="K1736" s="72">
        <v>7904.9223958234736</v>
      </c>
      <c r="L1736" s="70">
        <v>4.58408497539354</v>
      </c>
      <c r="M1736" s="71">
        <f>IF(L1736&lt;1,1,L1736)</f>
        <v>4.58408497539354</v>
      </c>
      <c r="N1736" s="70" t="s">
        <v>141</v>
      </c>
      <c r="O1736" s="71">
        <f>INDEX(DurClassMapping,MATCH(M1736,MappingTables!$D$4:$D$8,-1),1)</f>
        <v>1</v>
      </c>
      <c r="P1736" s="73">
        <f>IF(M1736=$A$1,1,$M1736-INDEX(MappingTables!$E$4:$E$8,MATCH(O1736,MappingTables!$B$4:$B$8,0)))</f>
        <v>4.58408497539354</v>
      </c>
      <c r="Q1736" s="71">
        <f>IF(B1736="",0,INDEX(ModelParameters!$D$6:$K$10,MATCH($O1736,ModelParameters!$B$6:$B$10,0),MATCH($J1736,ModelParameters!$D$5:$K$5,0)))</f>
        <v>0.045</v>
      </c>
      <c r="R1736" s="71">
        <f>IF(B1736="",0,INDEX(ModelParameters!$D$13:$K$17,MATCH($O1736,ModelParameters!$B$13:$B$17,0),MATCH($J1736,ModelParameters!$D$5:$K$5,0)))</f>
        <v>0</v>
      </c>
      <c r="S1736" s="160">
        <f>IF(B1736="",0,MIN(IF($N1736="Other Bond TM",ModelParameters!$N$21,1)*(P1736*Q1736+R1736),1))</f>
        <v>0.20628382389270932</v>
      </c>
      <c r="T1736" s="85">
        <f>IF(B1736="",0,$S1736*$K1736)</f>
        <v>1630.6576193855834</v>
      </c>
      <c r="U1736" s="85">
        <f>IF(B1736="",0,IF(OR(H1736=MappingTables!$C$34,H1736=MappingTables!$C$35),T1736,0))</f>
        <v>0</v>
      </c>
      <c r="V1736" s="85">
        <f>IF(ISNA(IF(AND(VLOOKUP(CONCATENATE($D1736,$G1736),CSRFinput!$B:$E,4,0)=0,OR(H1736=MappingTables!$C$34,H1736=MappingTables!$C$35)),1,VLOOKUP(CONCATENATE($D1736,$G1736),CSRFinput!$B:$E,4,0))),0,IF(AND(VLOOKUP(CONCATENATE($D1736,$G1736),CSRFinput!$B:$E,4,0)=0,OR(H1736=MappingTables!$C$34,H1736=MappingTables!$C$35)),1,VLOOKUP(CONCATENATE($D1736,$G1736),CSRFinput!$B:$E,4,0)))</f>
        <v>0.054776304963434752</v>
      </c>
      <c r="W1736" s="85">
        <f>IF(B1736="",0,+$T1736*$V1736)</f>
        <v>89.321399050413216</v>
      </c>
      <c r="X1736" s="85">
        <f>IF(B1736="",0,IF(OR(H1736=MappingTables!$C$34,H1736=MappingTables!$C$35),W1736,0))</f>
        <v>0</v>
      </c>
    </row>
    <row r="1737" spans="2:24" s="0" customFormat="0" ht="15">
      <c r="B1737" s="69">
        <v>11975419</v>
      </c>
      <c r="C1737" s="70" t="s">
        <v>1951</v>
      </c>
      <c r="D1737" s="70" t="s">
        <v>1</v>
      </c>
      <c r="E1737" s="70" t="s">
        <v>1</v>
      </c>
      <c r="F1737" s="70"/>
      <c r="G1737" s="70" t="s">
        <v>61</v>
      </c>
      <c r="H1737" s="70" t="s">
        <v>178</v>
      </c>
      <c r="I1737" s="70" t="s">
        <v>184</v>
      </c>
      <c r="J1737" s="71">
        <f>IF(OR(I1737=0,I1737=""),"unrated",VLOOKUP(I1737,MappingTables!$B$19:$C$31,2,FALSE))</f>
        <v>5</v>
      </c>
      <c r="K1737" s="72">
        <v>681.62353210334768</v>
      </c>
      <c r="L1737" s="70">
        <v>2.207497056393058</v>
      </c>
      <c r="M1737" s="71">
        <f>IF(L1737&lt;1,1,L1737)</f>
        <v>2.207497056393058</v>
      </c>
      <c r="N1737" s="70" t="s">
        <v>141</v>
      </c>
      <c r="O1737" s="71">
        <f>INDEX(DurClassMapping,MATCH(M1737,MappingTables!$D$4:$D$8,-1),1)</f>
        <v>1</v>
      </c>
      <c r="P1737" s="73">
        <f>IF(M1737=$A$1,1,$M1737-INDEX(MappingTables!$E$4:$E$8,MATCH(O1737,MappingTables!$B$4:$B$8,0)))</f>
        <v>2.207497056393058</v>
      </c>
      <c r="Q1737" s="71">
        <f>IF(B1737="",0,INDEX(ModelParameters!$D$6:$K$10,MATCH($O1737,ModelParameters!$B$6:$B$10,0),MATCH($J1737,ModelParameters!$D$5:$K$5,0)))</f>
        <v>0.075</v>
      </c>
      <c r="R1737" s="71">
        <f>IF(B1737="",0,INDEX(ModelParameters!$D$13:$K$17,MATCH($O1737,ModelParameters!$B$13:$B$17,0),MATCH($J1737,ModelParameters!$D$5:$K$5,0)))</f>
        <v>0</v>
      </c>
      <c r="S1737" s="160">
        <f>IF(B1737="",0,MIN(IF($N1737="Other Bond TM",ModelParameters!$N$21,1)*(P1737*Q1737+R1737),1))</f>
        <v>0.16556227922947934</v>
      </c>
      <c r="T1737" s="85">
        <f>IF(B1737="",0,$S1737*$K1737)</f>
        <v>112.85114555147842</v>
      </c>
      <c r="U1737" s="85">
        <f>IF(B1737="",0,IF(OR(H1737=MappingTables!$C$34,H1737=MappingTables!$C$35),T1737,0))</f>
        <v>0</v>
      </c>
      <c r="V1737" s="85">
        <f>IF(ISNA(IF(AND(VLOOKUP(CONCATENATE($D1737,$G1737),CSRFinput!$B:$E,4,0)=0,OR(H1737=MappingTables!$C$34,H1737=MappingTables!$C$35)),1,VLOOKUP(CONCATENATE($D1737,$G1737),CSRFinput!$B:$E,4,0))),0,IF(AND(VLOOKUP(CONCATENATE($D1737,$G1737),CSRFinput!$B:$E,4,0)=0,OR(H1737=MappingTables!$C$34,H1737=MappingTables!$C$35)),1,VLOOKUP(CONCATENATE($D1737,$G1737),CSRFinput!$B:$E,4,0)))</f>
        <v>0.054776304963434752</v>
      </c>
      <c r="W1737" s="85">
        <f>IF(B1737="",0,+$T1737*$V1737)</f>
        <v>6.1815687642007448</v>
      </c>
      <c r="X1737" s="85">
        <f>IF(B1737="",0,IF(OR(H1737=MappingTables!$C$34,H1737=MappingTables!$C$35),W1737,0))</f>
        <v>0</v>
      </c>
    </row>
    <row r="1738" spans="2:24" s="0" customFormat="0" ht="15">
      <c r="B1738" s="69" t="s">
        <v>1952</v>
      </c>
      <c r="C1738" s="70" t="s">
        <v>1953</v>
      </c>
      <c r="D1738" s="70" t="s">
        <v>1</v>
      </c>
      <c r="E1738" s="70" t="s">
        <v>1</v>
      </c>
      <c r="F1738" s="70"/>
      <c r="G1738" s="70" t="s">
        <v>61</v>
      </c>
      <c r="H1738" s="70" t="s">
        <v>178</v>
      </c>
      <c r="I1738" s="70" t="s">
        <v>198</v>
      </c>
      <c r="J1738" s="71" t="str">
        <f>IF(OR(I1738=0,I1738=""),"unrated",VLOOKUP(I1738,MappingTables!$B$19:$C$31,2,FALSE))</f>
        <v>unrated</v>
      </c>
      <c r="K1738" s="72">
        <v>217.62511747867228</v>
      </c>
      <c r="L1738" s="70">
        <v>0.74285669124543072</v>
      </c>
      <c r="M1738" s="71">
        <f>IF(L1738&lt;1,1,L1738)</f>
        <v>1</v>
      </c>
      <c r="N1738" s="70" t="s">
        <v>141</v>
      </c>
      <c r="O1738" s="71">
        <f>INDEX(DurClassMapping,MATCH(M1738,MappingTables!$D$4:$D$8,-1),1)</f>
        <v>1</v>
      </c>
      <c r="P1738" s="73">
        <f>IF(M1738=$A$1,1,$M1738-INDEX(MappingTables!$E$4:$E$8,MATCH(O1738,MappingTables!$B$4:$B$8,0)))</f>
        <v>1</v>
      </c>
      <c r="Q1738" s="71">
        <f>IF(B1738="",0,INDEX(ModelParameters!$D$6:$K$10,MATCH($O1738,ModelParameters!$B$6:$B$10,0),MATCH($J1738,ModelParameters!$D$5:$K$5,0)))</f>
        <v>0.03</v>
      </c>
      <c r="R1738" s="71">
        <f>IF(B1738="",0,INDEX(ModelParameters!$D$13:$K$17,MATCH($O1738,ModelParameters!$B$13:$B$17,0),MATCH($J1738,ModelParameters!$D$5:$K$5,0)))</f>
        <v>0</v>
      </c>
      <c r="S1738" s="160">
        <f>IF(B1738="",0,MIN(IF($N1738="Other Bond TM",ModelParameters!$N$21,1)*(P1738*Q1738+R1738),1))</f>
        <v>0.03</v>
      </c>
      <c r="T1738" s="85">
        <f>IF(B1738="",0,$S1738*$K1738)</f>
        <v>6.528753524360168</v>
      </c>
      <c r="U1738" s="85">
        <f>IF(B1738="",0,IF(OR(H1738=MappingTables!$C$34,H1738=MappingTables!$C$35),T1738,0))</f>
        <v>0</v>
      </c>
      <c r="V1738" s="85">
        <f>IF(ISNA(IF(AND(VLOOKUP(CONCATENATE($D1738,$G1738),CSRFinput!$B:$E,4,0)=0,OR(H1738=MappingTables!$C$34,H1738=MappingTables!$C$35)),1,VLOOKUP(CONCATENATE($D1738,$G1738),CSRFinput!$B:$E,4,0))),0,IF(AND(VLOOKUP(CONCATENATE($D1738,$G1738),CSRFinput!$B:$E,4,0)=0,OR(H1738=MappingTables!$C$34,H1738=MappingTables!$C$35)),1,VLOOKUP(CONCATENATE($D1738,$G1738),CSRFinput!$B:$E,4,0)))</f>
        <v>0.054776304963434752</v>
      </c>
      <c r="W1738" s="85">
        <f>IF(B1738="",0,+$T1738*$V1738)</f>
        <v>0.357620994081452</v>
      </c>
      <c r="X1738" s="85">
        <f>IF(B1738="",0,IF(OR(H1738=MappingTables!$C$34,H1738=MappingTables!$C$35),W1738,0))</f>
        <v>0</v>
      </c>
    </row>
    <row r="1739" spans="2:24" s="0" customFormat="0" ht="15">
      <c r="B1739" s="69">
        <v>10483612</v>
      </c>
      <c r="C1739" s="70" t="s">
        <v>1954</v>
      </c>
      <c r="D1739" s="70" t="s">
        <v>1</v>
      </c>
      <c r="E1739" s="70" t="s">
        <v>1</v>
      </c>
      <c r="F1739" s="70"/>
      <c r="G1739" s="70" t="s">
        <v>61</v>
      </c>
      <c r="H1739" s="70" t="s">
        <v>178</v>
      </c>
      <c r="I1739" s="70" t="s">
        <v>179</v>
      </c>
      <c r="J1739" s="71">
        <f>IF(OR(I1739=0,I1739=""),"unrated",VLOOKUP(I1739,MappingTables!$B$19:$C$31,2,FALSE))</f>
        <v>4</v>
      </c>
      <c r="K1739" s="72">
        <v>6487.2340445017288</v>
      </c>
      <c r="L1739" s="70">
        <v>1.547069295418305</v>
      </c>
      <c r="M1739" s="71">
        <f>IF(L1739&lt;1,1,L1739)</f>
        <v>1.547069295418305</v>
      </c>
      <c r="N1739" s="70" t="s">
        <v>141</v>
      </c>
      <c r="O1739" s="71">
        <f>INDEX(DurClassMapping,MATCH(M1739,MappingTables!$D$4:$D$8,-1),1)</f>
        <v>1</v>
      </c>
      <c r="P1739" s="73">
        <f>IF(M1739=$A$1,1,$M1739-INDEX(MappingTables!$E$4:$E$8,MATCH(O1739,MappingTables!$B$4:$B$8,0)))</f>
        <v>1.547069295418305</v>
      </c>
      <c r="Q1739" s="71">
        <f>IF(B1739="",0,INDEX(ModelParameters!$D$6:$K$10,MATCH($O1739,ModelParameters!$B$6:$B$10,0),MATCH($J1739,ModelParameters!$D$5:$K$5,0)))</f>
        <v>0.045</v>
      </c>
      <c r="R1739" s="71">
        <f>IF(B1739="",0,INDEX(ModelParameters!$D$13:$K$17,MATCH($O1739,ModelParameters!$B$13:$B$17,0),MATCH($J1739,ModelParameters!$D$5:$K$5,0)))</f>
        <v>0</v>
      </c>
      <c r="S1739" s="160">
        <f>IF(B1739="",0,MIN(IF($N1739="Other Bond TM",ModelParameters!$N$21,1)*(P1739*Q1739+R1739),1))</f>
        <v>0.06961811829382372</v>
      </c>
      <c r="T1739" s="85">
        <f>IF(B1739="",0,$S1739*$K1739)</f>
        <v>451.62902710984184</v>
      </c>
      <c r="U1739" s="85">
        <f>IF(B1739="",0,IF(OR(H1739=MappingTables!$C$34,H1739=MappingTables!$C$35),T1739,0))</f>
        <v>0</v>
      </c>
      <c r="V1739" s="85">
        <f>IF(ISNA(IF(AND(VLOOKUP(CONCATENATE($D1739,$G1739),CSRFinput!$B:$E,4,0)=0,OR(H1739=MappingTables!$C$34,H1739=MappingTables!$C$35)),1,VLOOKUP(CONCATENATE($D1739,$G1739),CSRFinput!$B:$E,4,0))),0,IF(AND(VLOOKUP(CONCATENATE($D1739,$G1739),CSRFinput!$B:$E,4,0)=0,OR(H1739=MappingTables!$C$34,H1739=MappingTables!$C$35)),1,VLOOKUP(CONCATENATE($D1739,$G1739),CSRFinput!$B:$E,4,0)))</f>
        <v>0.054776304963434752</v>
      </c>
      <c r="W1739" s="85">
        <f>IF(B1739="",0,+$T1739*$V1739)</f>
        <v>24.738569319308036</v>
      </c>
      <c r="X1739" s="85">
        <f>IF(B1739="",0,IF(OR(H1739=MappingTables!$C$34,H1739=MappingTables!$C$35),W1739,0))</f>
        <v>0</v>
      </c>
    </row>
    <row r="1740" spans="2:24" s="0" customFormat="0" ht="15">
      <c r="B1740" s="69">
        <v>21451967</v>
      </c>
      <c r="C1740" s="70" t="s">
        <v>1955</v>
      </c>
      <c r="D1740" s="70" t="s">
        <v>1</v>
      </c>
      <c r="E1740" s="70" t="s">
        <v>1</v>
      </c>
      <c r="F1740" s="70"/>
      <c r="G1740" s="70" t="s">
        <v>61</v>
      </c>
      <c r="H1740" s="70" t="s">
        <v>178</v>
      </c>
      <c r="I1740" s="70" t="s">
        <v>184</v>
      </c>
      <c r="J1740" s="71">
        <f>IF(OR(I1740=0,I1740=""),"unrated",VLOOKUP(I1740,MappingTables!$B$19:$C$31,2,FALSE))</f>
        <v>5</v>
      </c>
      <c r="K1740" s="72">
        <v>431.53784494746944</v>
      </c>
      <c r="L1740" s="70">
        <v>0.8448376183590656</v>
      </c>
      <c r="M1740" s="71">
        <f>IF(L1740&lt;1,1,L1740)</f>
        <v>1</v>
      </c>
      <c r="N1740" s="70" t="s">
        <v>141</v>
      </c>
      <c r="O1740" s="71">
        <f>INDEX(DurClassMapping,MATCH(M1740,MappingTables!$D$4:$D$8,-1),1)</f>
        <v>1</v>
      </c>
      <c r="P1740" s="73">
        <f>IF(M1740=$A$1,1,$M1740-INDEX(MappingTables!$E$4:$E$8,MATCH(O1740,MappingTables!$B$4:$B$8,0)))</f>
        <v>1</v>
      </c>
      <c r="Q1740" s="71">
        <f>IF(B1740="",0,INDEX(ModelParameters!$D$6:$K$10,MATCH($O1740,ModelParameters!$B$6:$B$10,0),MATCH($J1740,ModelParameters!$D$5:$K$5,0)))</f>
        <v>0.075</v>
      </c>
      <c r="R1740" s="71">
        <f>IF(B1740="",0,INDEX(ModelParameters!$D$13:$K$17,MATCH($O1740,ModelParameters!$B$13:$B$17,0),MATCH($J1740,ModelParameters!$D$5:$K$5,0)))</f>
        <v>0</v>
      </c>
      <c r="S1740" s="160">
        <f>IF(B1740="",0,MIN(IF($N1740="Other Bond TM",ModelParameters!$N$21,1)*(P1740*Q1740+R1740),1))</f>
        <v>0.075</v>
      </c>
      <c r="T1740" s="85">
        <f>IF(B1740="",0,$S1740*$K1740)</f>
        <v>32.365338371060212</v>
      </c>
      <c r="U1740" s="85">
        <f>IF(B1740="",0,IF(OR(H1740=MappingTables!$C$34,H1740=MappingTables!$C$35),T1740,0))</f>
        <v>0</v>
      </c>
      <c r="V1740" s="85">
        <f>IF(ISNA(IF(AND(VLOOKUP(CONCATENATE($D1740,$G1740),CSRFinput!$B:$E,4,0)=0,OR(H1740=MappingTables!$C$34,H1740=MappingTables!$C$35)),1,VLOOKUP(CONCATENATE($D1740,$G1740),CSRFinput!$B:$E,4,0))),0,IF(AND(VLOOKUP(CONCATENATE($D1740,$G1740),CSRFinput!$B:$E,4,0)=0,OR(H1740=MappingTables!$C$34,H1740=MappingTables!$C$35)),1,VLOOKUP(CONCATENATE($D1740,$G1740),CSRFinput!$B:$E,4,0)))</f>
        <v>0.054776304963434752</v>
      </c>
      <c r="W1740" s="85">
        <f>IF(B1740="",0,+$T1740*$V1740)</f>
        <v>1.7728536448579508</v>
      </c>
      <c r="X1740" s="85">
        <f>IF(B1740="",0,IF(OR(H1740=MappingTables!$C$34,H1740=MappingTables!$C$35),W1740,0))</f>
        <v>0</v>
      </c>
    </row>
    <row r="1741" spans="2:24" s="0" customFormat="0" ht="15">
      <c r="B1741" s="69" t="s">
        <v>1956</v>
      </c>
      <c r="C1741" s="70" t="s">
        <v>1957</v>
      </c>
      <c r="D1741" s="70" t="s">
        <v>1</v>
      </c>
      <c r="E1741" s="70" t="s">
        <v>1</v>
      </c>
      <c r="F1741" s="70"/>
      <c r="G1741" s="70" t="s">
        <v>61</v>
      </c>
      <c r="H1741" s="70" t="s">
        <v>178</v>
      </c>
      <c r="I1741" s="70" t="s">
        <v>198</v>
      </c>
      <c r="J1741" s="71" t="str">
        <f>IF(OR(I1741=0,I1741=""),"unrated",VLOOKUP(I1741,MappingTables!$B$19:$C$31,2,FALSE))</f>
        <v>unrated</v>
      </c>
      <c r="K1741" s="72">
        <v>0.86237666860827104</v>
      </c>
      <c r="L1741" s="70">
        <v>0.013698744056724816</v>
      </c>
      <c r="M1741" s="71">
        <f>IF(L1741&lt;1,1,L1741)</f>
        <v>1</v>
      </c>
      <c r="N1741" s="70" t="s">
        <v>141</v>
      </c>
      <c r="O1741" s="71">
        <f>INDEX(DurClassMapping,MATCH(M1741,MappingTables!$D$4:$D$8,-1),1)</f>
        <v>1</v>
      </c>
      <c r="P1741" s="73">
        <f>IF(M1741=$A$1,1,$M1741-INDEX(MappingTables!$E$4:$E$8,MATCH(O1741,MappingTables!$B$4:$B$8,0)))</f>
        <v>1</v>
      </c>
      <c r="Q1741" s="71">
        <f>IF(B1741="",0,INDEX(ModelParameters!$D$6:$K$10,MATCH($O1741,ModelParameters!$B$6:$B$10,0),MATCH($J1741,ModelParameters!$D$5:$K$5,0)))</f>
        <v>0.03</v>
      </c>
      <c r="R1741" s="71">
        <f>IF(B1741="",0,INDEX(ModelParameters!$D$13:$K$17,MATCH($O1741,ModelParameters!$B$13:$B$17,0),MATCH($J1741,ModelParameters!$D$5:$K$5,0)))</f>
        <v>0</v>
      </c>
      <c r="S1741" s="160">
        <f>IF(B1741="",0,MIN(IF($N1741="Other Bond TM",ModelParameters!$N$21,1)*(P1741*Q1741+R1741),1))</f>
        <v>0.03</v>
      </c>
      <c r="T1741" s="85">
        <f>IF(B1741="",0,$S1741*$K1741)</f>
        <v>0.025871300058248132</v>
      </c>
      <c r="U1741" s="85">
        <f>IF(B1741="",0,IF(OR(H1741=MappingTables!$C$34,H1741=MappingTables!$C$35),T1741,0))</f>
        <v>0</v>
      </c>
      <c r="V1741" s="85">
        <f>IF(ISNA(IF(AND(VLOOKUP(CONCATENATE($D1741,$G1741),CSRFinput!$B:$E,4,0)=0,OR(H1741=MappingTables!$C$34,H1741=MappingTables!$C$35)),1,VLOOKUP(CONCATENATE($D1741,$G1741),CSRFinput!$B:$E,4,0))),0,IF(AND(VLOOKUP(CONCATENATE($D1741,$G1741),CSRFinput!$B:$E,4,0)=0,OR(H1741=MappingTables!$C$34,H1741=MappingTables!$C$35)),1,VLOOKUP(CONCATENATE($D1741,$G1741),CSRFinput!$B:$E,4,0)))</f>
        <v>0.054776304963434752</v>
      </c>
      <c r="W1741" s="85">
        <f>IF(B1741="",0,+$T1741*$V1741)</f>
        <v>0.001417134221791127</v>
      </c>
      <c r="X1741" s="85">
        <f>IF(B1741="",0,IF(OR(H1741=MappingTables!$C$34,H1741=MappingTables!$C$35),W1741,0))</f>
        <v>0</v>
      </c>
    </row>
    <row r="1742" spans="2:24" s="0" customFormat="0" ht="15">
      <c r="B1742" s="69">
        <v>14185572</v>
      </c>
      <c r="C1742" s="70" t="s">
        <v>1353</v>
      </c>
      <c r="D1742" s="70" t="s">
        <v>1</v>
      </c>
      <c r="E1742" s="70" t="s">
        <v>1</v>
      </c>
      <c r="F1742" s="70"/>
      <c r="G1742" s="70" t="s">
        <v>61</v>
      </c>
      <c r="H1742" s="70" t="s">
        <v>178</v>
      </c>
      <c r="I1742" s="70" t="s">
        <v>181</v>
      </c>
      <c r="J1742" s="71">
        <f>IF(OR(I1742=0,I1742=""),"unrated",VLOOKUP(I1742,MappingTables!$B$19:$C$31,2,FALSE))</f>
        <v>3</v>
      </c>
      <c r="K1742" s="72">
        <v>463.72023794996296</v>
      </c>
      <c r="L1742" s="70">
        <v>1.2689550983810512</v>
      </c>
      <c r="M1742" s="71">
        <f>IF(L1742&lt;1,1,L1742)</f>
        <v>1.2689550983810512</v>
      </c>
      <c r="N1742" s="70" t="s">
        <v>141</v>
      </c>
      <c r="O1742" s="71">
        <f>INDEX(DurClassMapping,MATCH(M1742,MappingTables!$D$4:$D$8,-1),1)</f>
        <v>1</v>
      </c>
      <c r="P1742" s="73">
        <f>IF(M1742=$A$1,1,$M1742-INDEX(MappingTables!$E$4:$E$8,MATCH(O1742,MappingTables!$B$4:$B$8,0)))</f>
        <v>1.2689550983810512</v>
      </c>
      <c r="Q1742" s="71">
        <f>IF(B1742="",0,INDEX(ModelParameters!$D$6:$K$10,MATCH($O1742,ModelParameters!$B$6:$B$10,0),MATCH($J1742,ModelParameters!$D$5:$K$5,0)))</f>
        <v>0.025</v>
      </c>
      <c r="R1742" s="71">
        <f>IF(B1742="",0,INDEX(ModelParameters!$D$13:$K$17,MATCH($O1742,ModelParameters!$B$13:$B$17,0),MATCH($J1742,ModelParameters!$D$5:$K$5,0)))</f>
        <v>0</v>
      </c>
      <c r="S1742" s="160">
        <f>IF(B1742="",0,MIN(IF($N1742="Other Bond TM",ModelParameters!$N$21,1)*(P1742*Q1742+R1742),1))</f>
        <v>0.031723877459526284</v>
      </c>
      <c r="T1742" s="85">
        <f>IF(B1742="",0,$S1742*$K1742)</f>
        <v>14.711004004226994</v>
      </c>
      <c r="U1742" s="85">
        <f>IF(B1742="",0,IF(OR(H1742=MappingTables!$C$34,H1742=MappingTables!$C$35),T1742,0))</f>
        <v>0</v>
      </c>
      <c r="V1742" s="85">
        <f>IF(ISNA(IF(AND(VLOOKUP(CONCATENATE($D1742,$G1742),CSRFinput!$B:$E,4,0)=0,OR(H1742=MappingTables!$C$34,H1742=MappingTables!$C$35)),1,VLOOKUP(CONCATENATE($D1742,$G1742),CSRFinput!$B:$E,4,0))),0,IF(AND(VLOOKUP(CONCATENATE($D1742,$G1742),CSRFinput!$B:$E,4,0)=0,OR(H1742=MappingTables!$C$34,H1742=MappingTables!$C$35)),1,VLOOKUP(CONCATENATE($D1742,$G1742),CSRFinput!$B:$E,4,0)))</f>
        <v>0.054776304963434752</v>
      </c>
      <c r="W1742" s="85">
        <f>IF(B1742="",0,+$T1742*$V1742)</f>
        <v>0.80581444165384768</v>
      </c>
      <c r="X1742" s="85">
        <f>IF(B1742="",0,IF(OR(H1742=MappingTables!$C$34,H1742=MappingTables!$C$35),W1742,0))</f>
        <v>0</v>
      </c>
    </row>
    <row r="1743" spans="2:24" s="0" customFormat="0" ht="15">
      <c r="B1743" s="69" t="s">
        <v>1958</v>
      </c>
      <c r="C1743" s="70" t="s">
        <v>1959</v>
      </c>
      <c r="D1743" s="70" t="s">
        <v>1</v>
      </c>
      <c r="E1743" s="70" t="s">
        <v>1</v>
      </c>
      <c r="F1743" s="70"/>
      <c r="G1743" s="70" t="s">
        <v>61</v>
      </c>
      <c r="H1743" s="70" t="s">
        <v>178</v>
      </c>
      <c r="I1743" s="70" t="s">
        <v>179</v>
      </c>
      <c r="J1743" s="71">
        <f>IF(OR(I1743=0,I1743=""),"unrated",VLOOKUP(I1743,MappingTables!$B$19:$C$31,2,FALSE))</f>
        <v>4</v>
      </c>
      <c r="K1743" s="72">
        <v>49125.857640406776</v>
      </c>
      <c r="L1743" s="70">
        <v>4.5695890256244416</v>
      </c>
      <c r="M1743" s="71">
        <f>IF(L1743&lt;1,1,L1743)</f>
        <v>4.5695890256244416</v>
      </c>
      <c r="N1743" s="70" t="s">
        <v>141</v>
      </c>
      <c r="O1743" s="71">
        <f>INDEX(DurClassMapping,MATCH(M1743,MappingTables!$D$4:$D$8,-1),1)</f>
        <v>1</v>
      </c>
      <c r="P1743" s="73">
        <f>IF(M1743=$A$1,1,$M1743-INDEX(MappingTables!$E$4:$E$8,MATCH(O1743,MappingTables!$B$4:$B$8,0)))</f>
        <v>4.5695890256244416</v>
      </c>
      <c r="Q1743" s="71">
        <f>IF(B1743="",0,INDEX(ModelParameters!$D$6:$K$10,MATCH($O1743,ModelParameters!$B$6:$B$10,0),MATCH($J1743,ModelParameters!$D$5:$K$5,0)))</f>
        <v>0.045</v>
      </c>
      <c r="R1743" s="71">
        <f>IF(B1743="",0,INDEX(ModelParameters!$D$13:$K$17,MATCH($O1743,ModelParameters!$B$13:$B$17,0),MATCH($J1743,ModelParameters!$D$5:$K$5,0)))</f>
        <v>0</v>
      </c>
      <c r="S1743" s="160">
        <f>IF(B1743="",0,MIN(IF($N1743="Other Bond TM",ModelParameters!$N$21,1)*(P1743*Q1743+R1743),1))</f>
        <v>0.20563150615309988</v>
      </c>
      <c r="T1743" s="85">
        <f>IF(B1743="",0,$S1743*$K1743)</f>
        <v>10101.824097659616</v>
      </c>
      <c r="U1743" s="85">
        <f>IF(B1743="",0,IF(OR(H1743=MappingTables!$C$34,H1743=MappingTables!$C$35),T1743,0))</f>
        <v>0</v>
      </c>
      <c r="V1743" s="85">
        <f>IF(ISNA(IF(AND(VLOOKUP(CONCATENATE($D1743,$G1743),CSRFinput!$B:$E,4,0)=0,OR(H1743=MappingTables!$C$34,H1743=MappingTables!$C$35)),1,VLOOKUP(CONCATENATE($D1743,$G1743),CSRFinput!$B:$E,4,0))),0,IF(AND(VLOOKUP(CONCATENATE($D1743,$G1743),CSRFinput!$B:$E,4,0)=0,OR(H1743=MappingTables!$C$34,H1743=MappingTables!$C$35)),1,VLOOKUP(CONCATENATE($D1743,$G1743),CSRFinput!$B:$E,4,0)))</f>
        <v>0.054776304963434752</v>
      </c>
      <c r="W1743" s="85">
        <f>IF(B1743="",0,+$T1743*$V1743)</f>
        <v>553.3405974603772</v>
      </c>
      <c r="X1743" s="85">
        <f>IF(B1743="",0,IF(OR(H1743=MappingTables!$C$34,H1743=MappingTables!$C$35),W1743,0))</f>
        <v>0</v>
      </c>
    </row>
    <row r="1744" spans="2:24" s="0" customFormat="0" ht="15">
      <c r="B1744" s="69">
        <v>17829812</v>
      </c>
      <c r="C1744" s="70" t="s">
        <v>1960</v>
      </c>
      <c r="D1744" s="70" t="s">
        <v>1</v>
      </c>
      <c r="E1744" s="70" t="s">
        <v>1</v>
      </c>
      <c r="F1744" s="70"/>
      <c r="G1744" s="70" t="s">
        <v>61</v>
      </c>
      <c r="H1744" s="70" t="s">
        <v>178</v>
      </c>
      <c r="I1744" s="70" t="s">
        <v>179</v>
      </c>
      <c r="J1744" s="71">
        <f>IF(OR(I1744=0,I1744=""),"unrated",VLOOKUP(I1744,MappingTables!$B$19:$C$31,2,FALSE))</f>
        <v>4</v>
      </c>
      <c r="K1744" s="72">
        <v>127.9618729385219</v>
      </c>
      <c r="L1744" s="70">
        <v>0.71469724649474464</v>
      </c>
      <c r="M1744" s="71">
        <f>IF(L1744&lt;1,1,L1744)</f>
        <v>1</v>
      </c>
      <c r="N1744" s="70" t="s">
        <v>141</v>
      </c>
      <c r="O1744" s="71">
        <f>INDEX(DurClassMapping,MATCH(M1744,MappingTables!$D$4:$D$8,-1),1)</f>
        <v>1</v>
      </c>
      <c r="P1744" s="73">
        <f>IF(M1744=$A$1,1,$M1744-INDEX(MappingTables!$E$4:$E$8,MATCH(O1744,MappingTables!$B$4:$B$8,0)))</f>
        <v>1</v>
      </c>
      <c r="Q1744" s="71">
        <f>IF(B1744="",0,INDEX(ModelParameters!$D$6:$K$10,MATCH($O1744,ModelParameters!$B$6:$B$10,0),MATCH($J1744,ModelParameters!$D$5:$K$5,0)))</f>
        <v>0.045</v>
      </c>
      <c r="R1744" s="71">
        <f>IF(B1744="",0,INDEX(ModelParameters!$D$13:$K$17,MATCH($O1744,ModelParameters!$B$13:$B$17,0),MATCH($J1744,ModelParameters!$D$5:$K$5,0)))</f>
        <v>0</v>
      </c>
      <c r="S1744" s="160">
        <f>IF(B1744="",0,MIN(IF($N1744="Other Bond TM",ModelParameters!$N$21,1)*(P1744*Q1744+R1744),1))</f>
        <v>0.045</v>
      </c>
      <c r="T1744" s="85">
        <f>IF(B1744="",0,$S1744*$K1744)</f>
        <v>5.7582842822334856</v>
      </c>
      <c r="U1744" s="85">
        <f>IF(B1744="",0,IF(OR(H1744=MappingTables!$C$34,H1744=MappingTables!$C$35),T1744,0))</f>
        <v>0</v>
      </c>
      <c r="V1744" s="85">
        <f>IF(ISNA(IF(AND(VLOOKUP(CONCATENATE($D1744,$G1744),CSRFinput!$B:$E,4,0)=0,OR(H1744=MappingTables!$C$34,H1744=MappingTables!$C$35)),1,VLOOKUP(CONCATENATE($D1744,$G1744),CSRFinput!$B:$E,4,0))),0,IF(AND(VLOOKUP(CONCATENATE($D1744,$G1744),CSRFinput!$B:$E,4,0)=0,OR(H1744=MappingTables!$C$34,H1744=MappingTables!$C$35)),1,VLOOKUP(CONCATENATE($D1744,$G1744),CSRFinput!$B:$E,4,0)))</f>
        <v>0.054776304963434752</v>
      </c>
      <c r="W1744" s="85">
        <f>IF(B1744="",0,+$T1744*$V1744)</f>
        <v>0.3154175359097744</v>
      </c>
      <c r="X1744" s="85">
        <f>IF(B1744="",0,IF(OR(H1744=MappingTables!$C$34,H1744=MappingTables!$C$35),W1744,0))</f>
        <v>0</v>
      </c>
    </row>
    <row r="1745" spans="2:24" s="0" customFormat="0" ht="15">
      <c r="B1745" s="69">
        <v>13093828</v>
      </c>
      <c r="C1745" s="70" t="s">
        <v>193</v>
      </c>
      <c r="D1745" s="70" t="s">
        <v>1</v>
      </c>
      <c r="E1745" s="70" t="s">
        <v>1</v>
      </c>
      <c r="F1745" s="70"/>
      <c r="G1745" s="70" t="s">
        <v>61</v>
      </c>
      <c r="H1745" s="70" t="s">
        <v>178</v>
      </c>
      <c r="I1745" s="70" t="s">
        <v>188</v>
      </c>
      <c r="J1745" s="71">
        <f>IF(OR(I1745=0,I1745=""),"unrated",VLOOKUP(I1745,MappingTables!$B$19:$C$31,2,FALSE))</f>
        <v>2</v>
      </c>
      <c r="K1745" s="72">
        <v>1136.79986542681</v>
      </c>
      <c r="L1745" s="70">
        <v>0.87547816286474048</v>
      </c>
      <c r="M1745" s="71">
        <f>IF(L1745&lt;1,1,L1745)</f>
        <v>1</v>
      </c>
      <c r="N1745" s="70" t="s">
        <v>141</v>
      </c>
      <c r="O1745" s="71">
        <f>INDEX(DurClassMapping,MATCH(M1745,MappingTables!$D$4:$D$8,-1),1)</f>
        <v>1</v>
      </c>
      <c r="P1745" s="73">
        <f>IF(M1745=$A$1,1,$M1745-INDEX(MappingTables!$E$4:$E$8,MATCH(O1745,MappingTables!$B$4:$B$8,0)))</f>
        <v>1</v>
      </c>
      <c r="Q1745" s="71">
        <f>IF(B1745="",0,INDEX(ModelParameters!$D$6:$K$10,MATCH($O1745,ModelParameters!$B$6:$B$10,0),MATCH($J1745,ModelParameters!$D$5:$K$5,0)))</f>
        <v>0.013999999999999998</v>
      </c>
      <c r="R1745" s="71">
        <f>IF(B1745="",0,INDEX(ModelParameters!$D$13:$K$17,MATCH($O1745,ModelParameters!$B$13:$B$17,0),MATCH($J1745,ModelParameters!$D$5:$K$5,0)))</f>
        <v>0</v>
      </c>
      <c r="S1745" s="160">
        <f>IF(B1745="",0,MIN(IF($N1745="Other Bond TM",ModelParameters!$N$21,1)*(P1745*Q1745+R1745),1))</f>
        <v>0.013999999999999998</v>
      </c>
      <c r="T1745" s="85">
        <f>IF(B1745="",0,$S1745*$K1745)</f>
        <v>15.915198115975336</v>
      </c>
      <c r="U1745" s="85">
        <f>IF(B1745="",0,IF(OR(H1745=MappingTables!$C$34,H1745=MappingTables!$C$35),T1745,0))</f>
        <v>0</v>
      </c>
      <c r="V1745" s="85">
        <f>IF(ISNA(IF(AND(VLOOKUP(CONCATENATE($D1745,$G1745),CSRFinput!$B:$E,4,0)=0,OR(H1745=MappingTables!$C$34,H1745=MappingTables!$C$35)),1,VLOOKUP(CONCATENATE($D1745,$G1745),CSRFinput!$B:$E,4,0))),0,IF(AND(VLOOKUP(CONCATENATE($D1745,$G1745),CSRFinput!$B:$E,4,0)=0,OR(H1745=MappingTables!$C$34,H1745=MappingTables!$C$35)),1,VLOOKUP(CONCATENATE($D1745,$G1745),CSRFinput!$B:$E,4,0)))</f>
        <v>0.054776304963434752</v>
      </c>
      <c r="W1745" s="85">
        <f>IF(B1745="",0,+$T1745*$V1745)</f>
        <v>0.8717757455541472</v>
      </c>
      <c r="X1745" s="85">
        <f>IF(B1745="",0,IF(OR(H1745=MappingTables!$C$34,H1745=MappingTables!$C$35),W1745,0))</f>
        <v>0</v>
      </c>
    </row>
    <row r="1746" spans="2:24" s="0" customFormat="0" ht="15">
      <c r="B1746" s="69">
        <v>12137995</v>
      </c>
      <c r="C1746" s="70" t="s">
        <v>1961</v>
      </c>
      <c r="D1746" s="70" t="s">
        <v>1</v>
      </c>
      <c r="E1746" s="70" t="s">
        <v>1</v>
      </c>
      <c r="F1746" s="70"/>
      <c r="G1746" s="70" t="s">
        <v>61</v>
      </c>
      <c r="H1746" s="70" t="s">
        <v>178</v>
      </c>
      <c r="I1746" s="70" t="s">
        <v>188</v>
      </c>
      <c r="J1746" s="71">
        <f>IF(OR(I1746=0,I1746=""),"unrated",VLOOKUP(I1746,MappingTables!$B$19:$C$31,2,FALSE))</f>
        <v>2</v>
      </c>
      <c r="K1746" s="72">
        <v>14.201725930966186</v>
      </c>
      <c r="L1746" s="70">
        <v>0.99130069903394016</v>
      </c>
      <c r="M1746" s="71">
        <f>IF(L1746&lt;1,1,L1746)</f>
        <v>1</v>
      </c>
      <c r="N1746" s="70" t="s">
        <v>141</v>
      </c>
      <c r="O1746" s="71">
        <f>INDEX(DurClassMapping,MATCH(M1746,MappingTables!$D$4:$D$8,-1),1)</f>
        <v>1</v>
      </c>
      <c r="P1746" s="73">
        <f>IF(M1746=$A$1,1,$M1746-INDEX(MappingTables!$E$4:$E$8,MATCH(O1746,MappingTables!$B$4:$B$8,0)))</f>
        <v>1</v>
      </c>
      <c r="Q1746" s="71">
        <f>IF(B1746="",0,INDEX(ModelParameters!$D$6:$K$10,MATCH($O1746,ModelParameters!$B$6:$B$10,0),MATCH($J1746,ModelParameters!$D$5:$K$5,0)))</f>
        <v>0.013999999999999998</v>
      </c>
      <c r="R1746" s="71">
        <f>IF(B1746="",0,INDEX(ModelParameters!$D$13:$K$17,MATCH($O1746,ModelParameters!$B$13:$B$17,0),MATCH($J1746,ModelParameters!$D$5:$K$5,0)))</f>
        <v>0</v>
      </c>
      <c r="S1746" s="160">
        <f>IF(B1746="",0,MIN(IF($N1746="Other Bond TM",ModelParameters!$N$21,1)*(P1746*Q1746+R1746),1))</f>
        <v>0.013999999999999998</v>
      </c>
      <c r="T1746" s="85">
        <f>IF(B1746="",0,$S1746*$K1746)</f>
        <v>0.19882416303352656</v>
      </c>
      <c r="U1746" s="85">
        <f>IF(B1746="",0,IF(OR(H1746=MappingTables!$C$34,H1746=MappingTables!$C$35),T1746,0))</f>
        <v>0</v>
      </c>
      <c r="V1746" s="85">
        <f>IF(ISNA(IF(AND(VLOOKUP(CONCATENATE($D1746,$G1746),CSRFinput!$B:$E,4,0)=0,OR(H1746=MappingTables!$C$34,H1746=MappingTables!$C$35)),1,VLOOKUP(CONCATENATE($D1746,$G1746),CSRFinput!$B:$E,4,0))),0,IF(AND(VLOOKUP(CONCATENATE($D1746,$G1746),CSRFinput!$B:$E,4,0)=0,OR(H1746=MappingTables!$C$34,H1746=MappingTables!$C$35)),1,VLOOKUP(CONCATENATE($D1746,$G1746),CSRFinput!$B:$E,4,0)))</f>
        <v>0.054776304963434752</v>
      </c>
      <c r="W1746" s="85">
        <f>IF(B1746="",0,+$T1746*$V1746)</f>
        <v>0.010890852988424122</v>
      </c>
      <c r="X1746" s="85">
        <f>IF(B1746="",0,IF(OR(H1746=MappingTables!$C$34,H1746=MappingTables!$C$35),W1746,0))</f>
        <v>0</v>
      </c>
    </row>
    <row r="1747" spans="2:24" s="0" customFormat="0" ht="15">
      <c r="B1747" s="69">
        <v>22069575</v>
      </c>
      <c r="C1747" s="70" t="s">
        <v>1063</v>
      </c>
      <c r="D1747" s="70" t="s">
        <v>1</v>
      </c>
      <c r="E1747" s="70" t="s">
        <v>1</v>
      </c>
      <c r="F1747" s="70"/>
      <c r="G1747" s="70" t="s">
        <v>61</v>
      </c>
      <c r="H1747" s="70" t="s">
        <v>178</v>
      </c>
      <c r="I1747" s="70" t="s">
        <v>179</v>
      </c>
      <c r="J1747" s="71">
        <f>IF(OR(I1747=0,I1747=""),"unrated",VLOOKUP(I1747,MappingTables!$B$19:$C$31,2,FALSE))</f>
        <v>4</v>
      </c>
      <c r="K1747" s="72">
        <v>588.33445742090176</v>
      </c>
      <c r="L1747" s="70">
        <v>1.9551124762178372</v>
      </c>
      <c r="M1747" s="71">
        <f>IF(L1747&lt;1,1,L1747)</f>
        <v>1.9551124762178372</v>
      </c>
      <c r="N1747" s="70" t="s">
        <v>141</v>
      </c>
      <c r="O1747" s="71">
        <f>INDEX(DurClassMapping,MATCH(M1747,MappingTables!$D$4:$D$8,-1),1)</f>
        <v>1</v>
      </c>
      <c r="P1747" s="73">
        <f>IF(M1747=$A$1,1,$M1747-INDEX(MappingTables!$E$4:$E$8,MATCH(O1747,MappingTables!$B$4:$B$8,0)))</f>
        <v>1.9551124762178372</v>
      </c>
      <c r="Q1747" s="71">
        <f>IF(B1747="",0,INDEX(ModelParameters!$D$6:$K$10,MATCH($O1747,ModelParameters!$B$6:$B$10,0),MATCH($J1747,ModelParameters!$D$5:$K$5,0)))</f>
        <v>0.045</v>
      </c>
      <c r="R1747" s="71">
        <f>IF(B1747="",0,INDEX(ModelParameters!$D$13:$K$17,MATCH($O1747,ModelParameters!$B$13:$B$17,0),MATCH($J1747,ModelParameters!$D$5:$K$5,0)))</f>
        <v>0</v>
      </c>
      <c r="S1747" s="160">
        <f>IF(B1747="",0,MIN(IF($N1747="Other Bond TM",ModelParameters!$N$21,1)*(P1747*Q1747+R1747),1))</f>
        <v>0.087980061429802656</v>
      </c>
      <c r="T1747" s="85">
        <f>IF(B1747="",0,$S1747*$K1747)</f>
        <v>51.76170170516056</v>
      </c>
      <c r="U1747" s="85">
        <f>IF(B1747="",0,IF(OR(H1747=MappingTables!$C$34,H1747=MappingTables!$C$35),T1747,0))</f>
        <v>0</v>
      </c>
      <c r="V1747" s="85">
        <f>IF(ISNA(IF(AND(VLOOKUP(CONCATENATE($D1747,$G1747),CSRFinput!$B:$E,4,0)=0,OR(H1747=MappingTables!$C$34,H1747=MappingTables!$C$35)),1,VLOOKUP(CONCATENATE($D1747,$G1747),CSRFinput!$B:$E,4,0))),0,IF(AND(VLOOKUP(CONCATENATE($D1747,$G1747),CSRFinput!$B:$E,4,0)=0,OR(H1747=MappingTables!$C$34,H1747=MappingTables!$C$35)),1,VLOOKUP(CONCATENATE($D1747,$G1747),CSRFinput!$B:$E,4,0)))</f>
        <v>0.054776304963434752</v>
      </c>
      <c r="W1747" s="85">
        <f>IF(B1747="",0,+$T1747*$V1747)</f>
        <v>2.8353147580282156</v>
      </c>
      <c r="X1747" s="85">
        <f>IF(B1747="",0,IF(OR(H1747=MappingTables!$C$34,H1747=MappingTables!$C$35),W1747,0))</f>
        <v>0</v>
      </c>
    </row>
    <row r="1748" spans="2:24" s="0" customFormat="0" ht="15">
      <c r="B1748" s="69">
        <v>19503822</v>
      </c>
      <c r="C1748" s="70" t="s">
        <v>1962</v>
      </c>
      <c r="D1748" s="70" t="s">
        <v>1</v>
      </c>
      <c r="E1748" s="70" t="s">
        <v>1</v>
      </c>
      <c r="F1748" s="70"/>
      <c r="G1748" s="70" t="s">
        <v>61</v>
      </c>
      <c r="H1748" s="70" t="s">
        <v>178</v>
      </c>
      <c r="I1748" s="70" t="s">
        <v>181</v>
      </c>
      <c r="J1748" s="71">
        <f>IF(OR(I1748=0,I1748=""),"unrated",VLOOKUP(I1748,MappingTables!$B$19:$C$31,2,FALSE))</f>
        <v>3</v>
      </c>
      <c r="K1748" s="72">
        <v>1419.9510888607286</v>
      </c>
      <c r="L1748" s="70">
        <v>3.1669720988968116</v>
      </c>
      <c r="M1748" s="71">
        <f>IF(L1748&lt;1,1,L1748)</f>
        <v>3.1669720988968116</v>
      </c>
      <c r="N1748" s="70" t="s">
        <v>141</v>
      </c>
      <c r="O1748" s="71">
        <f>INDEX(DurClassMapping,MATCH(M1748,MappingTables!$D$4:$D$8,-1),1)</f>
        <v>1</v>
      </c>
      <c r="P1748" s="73">
        <f>IF(M1748=$A$1,1,$M1748-INDEX(MappingTables!$E$4:$E$8,MATCH(O1748,MappingTables!$B$4:$B$8,0)))</f>
        <v>3.1669720988968116</v>
      </c>
      <c r="Q1748" s="71">
        <f>IF(B1748="",0,INDEX(ModelParameters!$D$6:$K$10,MATCH($O1748,ModelParameters!$B$6:$B$10,0),MATCH($J1748,ModelParameters!$D$5:$K$5,0)))</f>
        <v>0.025</v>
      </c>
      <c r="R1748" s="71">
        <f>IF(B1748="",0,INDEX(ModelParameters!$D$13:$K$17,MATCH($O1748,ModelParameters!$B$13:$B$17,0),MATCH($J1748,ModelParameters!$D$5:$K$5,0)))</f>
        <v>0</v>
      </c>
      <c r="S1748" s="160">
        <f>IF(B1748="",0,MIN(IF($N1748="Other Bond TM",ModelParameters!$N$21,1)*(P1748*Q1748+R1748),1))</f>
        <v>0.079174302472420304</v>
      </c>
      <c r="T1748" s="85">
        <f>IF(B1748="",0,$S1748*$K1748)</f>
        <v>112.42363700550188</v>
      </c>
      <c r="U1748" s="85">
        <f>IF(B1748="",0,IF(OR(H1748=MappingTables!$C$34,H1748=MappingTables!$C$35),T1748,0))</f>
        <v>0</v>
      </c>
      <c r="V1748" s="85">
        <f>IF(ISNA(IF(AND(VLOOKUP(CONCATENATE($D1748,$G1748),CSRFinput!$B:$E,4,0)=0,OR(H1748=MappingTables!$C$34,H1748=MappingTables!$C$35)),1,VLOOKUP(CONCATENATE($D1748,$G1748),CSRFinput!$B:$E,4,0))),0,IF(AND(VLOOKUP(CONCATENATE($D1748,$G1748),CSRFinput!$B:$E,4,0)=0,OR(H1748=MappingTables!$C$34,H1748=MappingTables!$C$35)),1,VLOOKUP(CONCATENATE($D1748,$G1748),CSRFinput!$B:$E,4,0)))</f>
        <v>0.054776304963434752</v>
      </c>
      <c r="W1748" s="85">
        <f>IF(B1748="",0,+$T1748*$V1748)</f>
        <v>6.15815142571186</v>
      </c>
      <c r="X1748" s="85">
        <f>IF(B1748="",0,IF(OR(H1748=MappingTables!$C$34,H1748=MappingTables!$C$35),W1748,0))</f>
        <v>0</v>
      </c>
    </row>
    <row r="1749" spans="2:24" s="0" customFormat="0" ht="15">
      <c r="B1749" s="69">
        <v>19567681</v>
      </c>
      <c r="C1749" s="70" t="s">
        <v>1111</v>
      </c>
      <c r="D1749" s="70" t="s">
        <v>1</v>
      </c>
      <c r="E1749" s="70" t="s">
        <v>1</v>
      </c>
      <c r="F1749" s="70"/>
      <c r="G1749" s="70" t="s">
        <v>61</v>
      </c>
      <c r="H1749" s="70" t="s">
        <v>178</v>
      </c>
      <c r="I1749" s="70" t="s">
        <v>181</v>
      </c>
      <c r="J1749" s="71">
        <f>IF(OR(I1749=0,I1749=""),"unrated",VLOOKUP(I1749,MappingTables!$B$19:$C$31,2,FALSE))</f>
        <v>3</v>
      </c>
      <c r="K1749" s="72">
        <v>174.5851707866733</v>
      </c>
      <c r="L1749" s="70">
        <v>3.3054269568496156</v>
      </c>
      <c r="M1749" s="71">
        <f>IF(L1749&lt;1,1,L1749)</f>
        <v>3.3054269568496156</v>
      </c>
      <c r="N1749" s="70" t="s">
        <v>141</v>
      </c>
      <c r="O1749" s="71">
        <f>INDEX(DurClassMapping,MATCH(M1749,MappingTables!$D$4:$D$8,-1),1)</f>
        <v>1</v>
      </c>
      <c r="P1749" s="73">
        <f>IF(M1749=$A$1,1,$M1749-INDEX(MappingTables!$E$4:$E$8,MATCH(O1749,MappingTables!$B$4:$B$8,0)))</f>
        <v>3.3054269568496156</v>
      </c>
      <c r="Q1749" s="71">
        <f>IF(B1749="",0,INDEX(ModelParameters!$D$6:$K$10,MATCH($O1749,ModelParameters!$B$6:$B$10,0),MATCH($J1749,ModelParameters!$D$5:$K$5,0)))</f>
        <v>0.025</v>
      </c>
      <c r="R1749" s="71">
        <f>IF(B1749="",0,INDEX(ModelParameters!$D$13:$K$17,MATCH($O1749,ModelParameters!$B$13:$B$17,0),MATCH($J1749,ModelParameters!$D$5:$K$5,0)))</f>
        <v>0</v>
      </c>
      <c r="S1749" s="160">
        <f>IF(B1749="",0,MIN(IF($N1749="Other Bond TM",ModelParameters!$N$21,1)*(P1749*Q1749+R1749),1))</f>
        <v>0.0826356739212404</v>
      </c>
      <c r="T1749" s="85">
        <f>IF(B1749="",0,$S1749*$K1749)</f>
        <v>14.4269632446116</v>
      </c>
      <c r="U1749" s="85">
        <f>IF(B1749="",0,IF(OR(H1749=MappingTables!$C$34,H1749=MappingTables!$C$35),T1749,0))</f>
        <v>0</v>
      </c>
      <c r="V1749" s="85">
        <f>IF(ISNA(IF(AND(VLOOKUP(CONCATENATE($D1749,$G1749),CSRFinput!$B:$E,4,0)=0,OR(H1749=MappingTables!$C$34,H1749=MappingTables!$C$35)),1,VLOOKUP(CONCATENATE($D1749,$G1749),CSRFinput!$B:$E,4,0))),0,IF(AND(VLOOKUP(CONCATENATE($D1749,$G1749),CSRFinput!$B:$E,4,0)=0,OR(H1749=MappingTables!$C$34,H1749=MappingTables!$C$35)),1,VLOOKUP(CONCATENATE($D1749,$G1749),CSRFinput!$B:$E,4,0)))</f>
        <v>0.054776304963434752</v>
      </c>
      <c r="W1749" s="85">
        <f>IF(B1749="",0,+$T1749*$V1749)</f>
        <v>0.79025573838310912</v>
      </c>
      <c r="X1749" s="85">
        <f>IF(B1749="",0,IF(OR(H1749=MappingTables!$C$34,H1749=MappingTables!$C$35),W1749,0))</f>
        <v>0</v>
      </c>
    </row>
    <row r="1750" spans="2:24" s="0" customFormat="0" ht="15">
      <c r="B1750" s="69">
        <v>7860309</v>
      </c>
      <c r="C1750" s="70" t="s">
        <v>1394</v>
      </c>
      <c r="D1750" s="70" t="s">
        <v>1</v>
      </c>
      <c r="E1750" s="70" t="s">
        <v>1</v>
      </c>
      <c r="F1750" s="70"/>
      <c r="G1750" s="70" t="s">
        <v>61</v>
      </c>
      <c r="H1750" s="70" t="s">
        <v>178</v>
      </c>
      <c r="I1750" s="70" t="s">
        <v>179</v>
      </c>
      <c r="J1750" s="71">
        <f>IF(OR(I1750=0,I1750=""),"unrated",VLOOKUP(I1750,MappingTables!$B$19:$C$31,2,FALSE))</f>
        <v>4</v>
      </c>
      <c r="K1750" s="72">
        <v>250.1611150977468</v>
      </c>
      <c r="L1750" s="70">
        <v>2.825771904276038</v>
      </c>
      <c r="M1750" s="71">
        <f>IF(L1750&lt;1,1,L1750)</f>
        <v>2.825771904276038</v>
      </c>
      <c r="N1750" s="70" t="s">
        <v>141</v>
      </c>
      <c r="O1750" s="71">
        <f>INDEX(DurClassMapping,MATCH(M1750,MappingTables!$D$4:$D$8,-1),1)</f>
        <v>1</v>
      </c>
      <c r="P1750" s="73">
        <f>IF(M1750=$A$1,1,$M1750-INDEX(MappingTables!$E$4:$E$8,MATCH(O1750,MappingTables!$B$4:$B$8,0)))</f>
        <v>2.825771904276038</v>
      </c>
      <c r="Q1750" s="71">
        <f>IF(B1750="",0,INDEX(ModelParameters!$D$6:$K$10,MATCH($O1750,ModelParameters!$B$6:$B$10,0),MATCH($J1750,ModelParameters!$D$5:$K$5,0)))</f>
        <v>0.045</v>
      </c>
      <c r="R1750" s="71">
        <f>IF(B1750="",0,INDEX(ModelParameters!$D$13:$K$17,MATCH($O1750,ModelParameters!$B$13:$B$17,0),MATCH($J1750,ModelParameters!$D$5:$K$5,0)))</f>
        <v>0</v>
      </c>
      <c r="S1750" s="160">
        <f>IF(B1750="",0,MIN(IF($N1750="Other Bond TM",ModelParameters!$N$21,1)*(P1750*Q1750+R1750),1))</f>
        <v>0.1271597356924217</v>
      </c>
      <c r="T1750" s="85">
        <f>IF(B1750="",0,$S1750*$K1750)</f>
        <v>31.810421276350964</v>
      </c>
      <c r="U1750" s="85">
        <f>IF(B1750="",0,IF(OR(H1750=MappingTables!$C$34,H1750=MappingTables!$C$35),T1750,0))</f>
        <v>0</v>
      </c>
      <c r="V1750" s="85">
        <f>IF(ISNA(IF(AND(VLOOKUP(CONCATENATE($D1750,$G1750),CSRFinput!$B:$E,4,0)=0,OR(H1750=MappingTables!$C$34,H1750=MappingTables!$C$35)),1,VLOOKUP(CONCATENATE($D1750,$G1750),CSRFinput!$B:$E,4,0))),0,IF(AND(VLOOKUP(CONCATENATE($D1750,$G1750),CSRFinput!$B:$E,4,0)=0,OR(H1750=MappingTables!$C$34,H1750=MappingTables!$C$35)),1,VLOOKUP(CONCATENATE($D1750,$G1750),CSRFinput!$B:$E,4,0)))</f>
        <v>0.054776304963434752</v>
      </c>
      <c r="W1750" s="85">
        <f>IF(B1750="",0,+$T1750*$V1750)</f>
        <v>1.742457336848734</v>
      </c>
      <c r="X1750" s="85">
        <f>IF(B1750="",0,IF(OR(H1750=MappingTables!$C$34,H1750=MappingTables!$C$35),W1750,0))</f>
        <v>0</v>
      </c>
    </row>
    <row r="1751" spans="2:24" s="0" customFormat="0" ht="15">
      <c r="B1751" s="69">
        <v>20173185</v>
      </c>
      <c r="C1751" s="70" t="s">
        <v>617</v>
      </c>
      <c r="D1751" s="70" t="s">
        <v>1</v>
      </c>
      <c r="E1751" s="70" t="s">
        <v>1</v>
      </c>
      <c r="F1751" s="70"/>
      <c r="G1751" s="70" t="s">
        <v>61</v>
      </c>
      <c r="H1751" s="70" t="s">
        <v>178</v>
      </c>
      <c r="I1751" s="70" t="s">
        <v>188</v>
      </c>
      <c r="J1751" s="71">
        <f>IF(OR(I1751=0,I1751=""),"unrated",VLOOKUP(I1751,MappingTables!$B$19:$C$31,2,FALSE))</f>
        <v>2</v>
      </c>
      <c r="K1751" s="72">
        <v>1787.8168926572564</v>
      </c>
      <c r="L1751" s="70">
        <v>7.1601519185339552</v>
      </c>
      <c r="M1751" s="71">
        <f>IF(L1751&lt;1,1,L1751)</f>
        <v>7.1601519185339552</v>
      </c>
      <c r="N1751" s="70" t="s">
        <v>141</v>
      </c>
      <c r="O1751" s="71">
        <f>INDEX(DurClassMapping,MATCH(M1751,MappingTables!$D$4:$D$8,-1),1)</f>
        <v>2</v>
      </c>
      <c r="P1751" s="73">
        <f>IF(M1751=$A$1,1,$M1751-INDEX(MappingTables!$E$4:$E$8,MATCH(O1751,MappingTables!$B$4:$B$8,0)))</f>
        <v>2.1601519185339556</v>
      </c>
      <c r="Q1751" s="71">
        <f>IF(B1751="",0,INDEX(ModelParameters!$D$6:$K$10,MATCH($O1751,ModelParameters!$B$6:$B$10,0),MATCH($J1751,ModelParameters!$D$5:$K$5,0)))</f>
        <v>0.0069999999999999992</v>
      </c>
      <c r="R1751" s="71">
        <f>IF(B1751="",0,INDEX(ModelParameters!$D$13:$K$17,MATCH($O1751,ModelParameters!$B$13:$B$17,0),MATCH($J1751,ModelParameters!$D$5:$K$5,0)))</f>
        <v>0.070000000000000008</v>
      </c>
      <c r="S1751" s="160">
        <f>IF(B1751="",0,MIN(IF($N1751="Other Bond TM",ModelParameters!$N$21,1)*(P1751*Q1751+R1751),1))</f>
        <v>0.08512106342973768</v>
      </c>
      <c r="T1751" s="85">
        <f>IF(B1751="",0,$S1751*$K1751)</f>
        <v>152.18087512063486</v>
      </c>
      <c r="U1751" s="85">
        <f>IF(B1751="",0,IF(OR(H1751=MappingTables!$C$34,H1751=MappingTables!$C$35),T1751,0))</f>
        <v>0</v>
      </c>
      <c r="V1751" s="85">
        <f>IF(ISNA(IF(AND(VLOOKUP(CONCATENATE($D1751,$G1751),CSRFinput!$B:$E,4,0)=0,OR(H1751=MappingTables!$C$34,H1751=MappingTables!$C$35)),1,VLOOKUP(CONCATENATE($D1751,$G1751),CSRFinput!$B:$E,4,0))),0,IF(AND(VLOOKUP(CONCATENATE($D1751,$G1751),CSRFinput!$B:$E,4,0)=0,OR(H1751=MappingTables!$C$34,H1751=MappingTables!$C$35)),1,VLOOKUP(CONCATENATE($D1751,$G1751),CSRFinput!$B:$E,4,0)))</f>
        <v>0.054776304963434752</v>
      </c>
      <c r="W1751" s="85">
        <f>IF(B1751="",0,+$T1751*$V1751)</f>
        <v>8.3359060252102736</v>
      </c>
      <c r="X1751" s="85">
        <f>IF(B1751="",0,IF(OR(H1751=MappingTables!$C$34,H1751=MappingTables!$C$35),W1751,0))</f>
        <v>0</v>
      </c>
    </row>
    <row r="1752" spans="2:24" s="0" customFormat="0" ht="15">
      <c r="B1752" s="69">
        <v>19481696</v>
      </c>
      <c r="C1752" s="70" t="s">
        <v>791</v>
      </c>
      <c r="D1752" s="70" t="s">
        <v>1</v>
      </c>
      <c r="E1752" s="70" t="s">
        <v>1</v>
      </c>
      <c r="F1752" s="70"/>
      <c r="G1752" s="70" t="s">
        <v>61</v>
      </c>
      <c r="H1752" s="70" t="s">
        <v>178</v>
      </c>
      <c r="I1752" s="70" t="s">
        <v>181</v>
      </c>
      <c r="J1752" s="71">
        <f>IF(OR(I1752=0,I1752=""),"unrated",VLOOKUP(I1752,MappingTables!$B$19:$C$31,2,FALSE))</f>
        <v>3</v>
      </c>
      <c r="K1752" s="72">
        <v>26930.54538614156</v>
      </c>
      <c r="L1752" s="70">
        <v>5.24742014693888</v>
      </c>
      <c r="M1752" s="71">
        <f>IF(L1752&lt;1,1,L1752)</f>
        <v>5.24742014693888</v>
      </c>
      <c r="N1752" s="70" t="s">
        <v>141</v>
      </c>
      <c r="O1752" s="71">
        <f>INDEX(DurClassMapping,MATCH(M1752,MappingTables!$D$4:$D$8,-1),1)</f>
        <v>2</v>
      </c>
      <c r="P1752" s="73">
        <f>IF(M1752=$A$1,1,$M1752-INDEX(MappingTables!$E$4:$E$8,MATCH(O1752,MappingTables!$B$4:$B$8,0)))</f>
        <v>0.24742014693887972</v>
      </c>
      <c r="Q1752" s="71">
        <f>IF(B1752="",0,INDEX(ModelParameters!$D$6:$K$10,MATCH($O1752,ModelParameters!$B$6:$B$10,0),MATCH($J1752,ModelParameters!$D$5:$K$5,0)))</f>
        <v>0.015</v>
      </c>
      <c r="R1752" s="71">
        <f>IF(B1752="",0,INDEX(ModelParameters!$D$13:$K$17,MATCH($O1752,ModelParameters!$B$13:$B$17,0),MATCH($J1752,ModelParameters!$D$5:$K$5,0)))</f>
        <v>0.125</v>
      </c>
      <c r="S1752" s="160">
        <f>IF(B1752="",0,MIN(IF($N1752="Other Bond TM",ModelParameters!$N$21,1)*(P1752*Q1752+R1752),1))</f>
        <v>0.1287113022040832</v>
      </c>
      <c r="T1752" s="85">
        <f>IF(B1752="",0,$S1752*$K1752)</f>
        <v>3466.2655657164444</v>
      </c>
      <c r="U1752" s="85">
        <f>IF(B1752="",0,IF(OR(H1752=MappingTables!$C$34,H1752=MappingTables!$C$35),T1752,0))</f>
        <v>0</v>
      </c>
      <c r="V1752" s="85">
        <f>IF(ISNA(IF(AND(VLOOKUP(CONCATENATE($D1752,$G1752),CSRFinput!$B:$E,4,0)=0,OR(H1752=MappingTables!$C$34,H1752=MappingTables!$C$35)),1,VLOOKUP(CONCATENATE($D1752,$G1752),CSRFinput!$B:$E,4,0))),0,IF(AND(VLOOKUP(CONCATENATE($D1752,$G1752),CSRFinput!$B:$E,4,0)=0,OR(H1752=MappingTables!$C$34,H1752=MappingTables!$C$35)),1,VLOOKUP(CONCATENATE($D1752,$G1752),CSRFinput!$B:$E,4,0)))</f>
        <v>0.054776304963434752</v>
      </c>
      <c r="W1752" s="85">
        <f>IF(B1752="",0,+$T1752*$V1752)</f>
        <v>189.86921971193668</v>
      </c>
      <c r="X1752" s="85">
        <f>IF(B1752="",0,IF(OR(H1752=MappingTables!$C$34,H1752=MappingTables!$C$35),W1752,0))</f>
        <v>0</v>
      </c>
    </row>
    <row r="1753" spans="2:24" s="0" customFormat="0" ht="15">
      <c r="B1753" s="69" t="s">
        <v>1963</v>
      </c>
      <c r="C1753" s="70" t="s">
        <v>1964</v>
      </c>
      <c r="D1753" s="70" t="s">
        <v>1</v>
      </c>
      <c r="E1753" s="70" t="s">
        <v>1</v>
      </c>
      <c r="F1753" s="70"/>
      <c r="G1753" s="70" t="s">
        <v>61</v>
      </c>
      <c r="H1753" s="70" t="s">
        <v>178</v>
      </c>
      <c r="I1753" s="70" t="s">
        <v>188</v>
      </c>
      <c r="J1753" s="71">
        <f>IF(OR(I1753=0,I1753=""),"unrated",VLOOKUP(I1753,MappingTables!$B$19:$C$31,2,FALSE))</f>
        <v>2</v>
      </c>
      <c r="K1753" s="72">
        <v>0.45605849256124272</v>
      </c>
      <c r="L1753" s="70">
        <v>0.54520749275332792</v>
      </c>
      <c r="M1753" s="71">
        <f>IF(L1753&lt;1,1,L1753)</f>
        <v>1</v>
      </c>
      <c r="N1753" s="70" t="s">
        <v>141</v>
      </c>
      <c r="O1753" s="71">
        <f>INDEX(DurClassMapping,MATCH(M1753,MappingTables!$D$4:$D$8,-1),1)</f>
        <v>1</v>
      </c>
      <c r="P1753" s="73">
        <f>IF(M1753=$A$1,1,$M1753-INDEX(MappingTables!$E$4:$E$8,MATCH(O1753,MappingTables!$B$4:$B$8,0)))</f>
        <v>1</v>
      </c>
      <c r="Q1753" s="71">
        <f>IF(B1753="",0,INDEX(ModelParameters!$D$6:$K$10,MATCH($O1753,ModelParameters!$B$6:$B$10,0),MATCH($J1753,ModelParameters!$D$5:$K$5,0)))</f>
        <v>0.013999999999999998</v>
      </c>
      <c r="R1753" s="71">
        <f>IF(B1753="",0,INDEX(ModelParameters!$D$13:$K$17,MATCH($O1753,ModelParameters!$B$13:$B$17,0),MATCH($J1753,ModelParameters!$D$5:$K$5,0)))</f>
        <v>0</v>
      </c>
      <c r="S1753" s="160">
        <f>IF(B1753="",0,MIN(IF($N1753="Other Bond TM",ModelParameters!$N$21,1)*(P1753*Q1753+R1753),1))</f>
        <v>0.013999999999999998</v>
      </c>
      <c r="T1753" s="85">
        <f>IF(B1753="",0,$S1753*$K1753)</f>
        <v>0.0063848188958573976</v>
      </c>
      <c r="U1753" s="85">
        <f>IF(B1753="",0,IF(OR(H1753=MappingTables!$C$34,H1753=MappingTables!$C$35),T1753,0))</f>
        <v>0</v>
      </c>
      <c r="V1753" s="85">
        <f>IF(ISNA(IF(AND(VLOOKUP(CONCATENATE($D1753,$G1753),CSRFinput!$B:$E,4,0)=0,OR(H1753=MappingTables!$C$34,H1753=MappingTables!$C$35)),1,VLOOKUP(CONCATENATE($D1753,$G1753),CSRFinput!$B:$E,4,0))),0,IF(AND(VLOOKUP(CONCATENATE($D1753,$G1753),CSRFinput!$B:$E,4,0)=0,OR(H1753=MappingTables!$C$34,H1753=MappingTables!$C$35)),1,VLOOKUP(CONCATENATE($D1753,$G1753),CSRFinput!$B:$E,4,0)))</f>
        <v>0.054776304963434752</v>
      </c>
      <c r="W1753" s="85">
        <f>IF(B1753="",0,+$T1753*$V1753)</f>
        <v>0.00034973678697578556</v>
      </c>
      <c r="X1753" s="85">
        <f>IF(B1753="",0,IF(OR(H1753=MappingTables!$C$34,H1753=MappingTables!$C$35),W1753,0))</f>
        <v>0</v>
      </c>
    </row>
    <row r="1754" spans="2:24" s="0" customFormat="0" ht="15">
      <c r="B1754" s="69">
        <v>17351582</v>
      </c>
      <c r="C1754" s="70" t="s">
        <v>1771</v>
      </c>
      <c r="D1754" s="70" t="s">
        <v>1</v>
      </c>
      <c r="E1754" s="70" t="s">
        <v>1</v>
      </c>
      <c r="F1754" s="70"/>
      <c r="G1754" s="70" t="s">
        <v>61</v>
      </c>
      <c r="H1754" s="70" t="s">
        <v>178</v>
      </c>
      <c r="I1754" s="70" t="s">
        <v>188</v>
      </c>
      <c r="J1754" s="71">
        <f>IF(OR(I1754=0,I1754=""),"unrated",VLOOKUP(I1754,MappingTables!$B$19:$C$31,2,FALSE))</f>
        <v>2</v>
      </c>
      <c r="K1754" s="72">
        <v>1538.2531727304888</v>
      </c>
      <c r="L1754" s="70">
        <v>0.96708955583957552</v>
      </c>
      <c r="M1754" s="71">
        <f>IF(L1754&lt;1,1,L1754)</f>
        <v>1</v>
      </c>
      <c r="N1754" s="70" t="s">
        <v>141</v>
      </c>
      <c r="O1754" s="71">
        <f>INDEX(DurClassMapping,MATCH(M1754,MappingTables!$D$4:$D$8,-1),1)</f>
        <v>1</v>
      </c>
      <c r="P1754" s="73">
        <f>IF(M1754=$A$1,1,$M1754-INDEX(MappingTables!$E$4:$E$8,MATCH(O1754,MappingTables!$B$4:$B$8,0)))</f>
        <v>1</v>
      </c>
      <c r="Q1754" s="71">
        <f>IF(B1754="",0,INDEX(ModelParameters!$D$6:$K$10,MATCH($O1754,ModelParameters!$B$6:$B$10,0),MATCH($J1754,ModelParameters!$D$5:$K$5,0)))</f>
        <v>0.013999999999999998</v>
      </c>
      <c r="R1754" s="71">
        <f>IF(B1754="",0,INDEX(ModelParameters!$D$13:$K$17,MATCH($O1754,ModelParameters!$B$13:$B$17,0),MATCH($J1754,ModelParameters!$D$5:$K$5,0)))</f>
        <v>0</v>
      </c>
      <c r="S1754" s="160">
        <f>IF(B1754="",0,MIN(IF($N1754="Other Bond TM",ModelParameters!$N$21,1)*(P1754*Q1754+R1754),1))</f>
        <v>0.013999999999999998</v>
      </c>
      <c r="T1754" s="85">
        <f>IF(B1754="",0,$S1754*$K1754)</f>
        <v>21.53554441822684</v>
      </c>
      <c r="U1754" s="85">
        <f>IF(B1754="",0,IF(OR(H1754=MappingTables!$C$34,H1754=MappingTables!$C$35),T1754,0))</f>
        <v>0</v>
      </c>
      <c r="V1754" s="85">
        <f>IF(ISNA(IF(AND(VLOOKUP(CONCATENATE($D1754,$G1754),CSRFinput!$B:$E,4,0)=0,OR(H1754=MappingTables!$C$34,H1754=MappingTables!$C$35)),1,VLOOKUP(CONCATENATE($D1754,$G1754),CSRFinput!$B:$E,4,0))),0,IF(AND(VLOOKUP(CONCATENATE($D1754,$G1754),CSRFinput!$B:$E,4,0)=0,OR(H1754=MappingTables!$C$34,H1754=MappingTables!$C$35)),1,VLOOKUP(CONCATENATE($D1754,$G1754),CSRFinput!$B:$E,4,0)))</f>
        <v>0.054776304963434752</v>
      </c>
      <c r="W1754" s="85">
        <f>IF(B1754="",0,+$T1754*$V1754)</f>
        <v>1.1796375486063886</v>
      </c>
      <c r="X1754" s="85">
        <f>IF(B1754="",0,IF(OR(H1754=MappingTables!$C$34,H1754=MappingTables!$C$35),W1754,0))</f>
        <v>0</v>
      </c>
    </row>
    <row r="1755" spans="2:24" s="0" customFormat="0" ht="15">
      <c r="B1755" s="69">
        <v>14455838</v>
      </c>
      <c r="C1755" s="70" t="s">
        <v>1965</v>
      </c>
      <c r="D1755" s="70" t="s">
        <v>1</v>
      </c>
      <c r="E1755" s="70" t="s">
        <v>1</v>
      </c>
      <c r="F1755" s="70"/>
      <c r="G1755" s="70" t="s">
        <v>61</v>
      </c>
      <c r="H1755" s="70" t="s">
        <v>178</v>
      </c>
      <c r="I1755" s="70" t="s">
        <v>179</v>
      </c>
      <c r="J1755" s="71">
        <f>IF(OR(I1755=0,I1755=""),"unrated",VLOOKUP(I1755,MappingTables!$B$19:$C$31,2,FALSE))</f>
        <v>4</v>
      </c>
      <c r="K1755" s="72">
        <v>42787.794778918744</v>
      </c>
      <c r="L1755" s="70">
        <v>1.4854947475256662</v>
      </c>
      <c r="M1755" s="71">
        <f>IF(L1755&lt;1,1,L1755)</f>
        <v>1.4854947475256662</v>
      </c>
      <c r="N1755" s="70" t="s">
        <v>141</v>
      </c>
      <c r="O1755" s="71">
        <f>INDEX(DurClassMapping,MATCH(M1755,MappingTables!$D$4:$D$8,-1),1)</f>
        <v>1</v>
      </c>
      <c r="P1755" s="73">
        <f>IF(M1755=$A$1,1,$M1755-INDEX(MappingTables!$E$4:$E$8,MATCH(O1755,MappingTables!$B$4:$B$8,0)))</f>
        <v>1.4854947475256662</v>
      </c>
      <c r="Q1755" s="71">
        <f>IF(B1755="",0,INDEX(ModelParameters!$D$6:$K$10,MATCH($O1755,ModelParameters!$B$6:$B$10,0),MATCH($J1755,ModelParameters!$D$5:$K$5,0)))</f>
        <v>0.045</v>
      </c>
      <c r="R1755" s="71">
        <f>IF(B1755="",0,INDEX(ModelParameters!$D$13:$K$17,MATCH($O1755,ModelParameters!$B$13:$B$17,0),MATCH($J1755,ModelParameters!$D$5:$K$5,0)))</f>
        <v>0</v>
      </c>
      <c r="S1755" s="160">
        <f>IF(B1755="",0,MIN(IF($N1755="Other Bond TM",ModelParameters!$N$21,1)*(P1755*Q1755+R1755),1))</f>
        <v>0.066847263638654984</v>
      </c>
      <c r="T1755" s="85">
        <f>IF(B1755="",0,$S1755*$K1755)</f>
        <v>2860.2469981030464</v>
      </c>
      <c r="U1755" s="85">
        <f>IF(B1755="",0,IF(OR(H1755=MappingTables!$C$34,H1755=MappingTables!$C$35),T1755,0))</f>
        <v>0</v>
      </c>
      <c r="V1755" s="85">
        <f>IF(ISNA(IF(AND(VLOOKUP(CONCATENATE($D1755,$G1755),CSRFinput!$B:$E,4,0)=0,OR(H1755=MappingTables!$C$34,H1755=MappingTables!$C$35)),1,VLOOKUP(CONCATENATE($D1755,$G1755),CSRFinput!$B:$E,4,0))),0,IF(AND(VLOOKUP(CONCATENATE($D1755,$G1755),CSRFinput!$B:$E,4,0)=0,OR(H1755=MappingTables!$C$34,H1755=MappingTables!$C$35)),1,VLOOKUP(CONCATENATE($D1755,$G1755),CSRFinput!$B:$E,4,0)))</f>
        <v>0.054776304963434752</v>
      </c>
      <c r="W1755" s="85">
        <f>IF(B1755="",0,+$T1755*$V1755)</f>
        <v>156.67376183884124</v>
      </c>
      <c r="X1755" s="85">
        <f>IF(B1755="",0,IF(OR(H1755=MappingTables!$C$34,H1755=MappingTables!$C$35),W1755,0))</f>
        <v>0</v>
      </c>
    </row>
    <row r="1756" spans="2:24" s="0" customFormat="0" ht="15">
      <c r="B1756" s="69">
        <v>19834501</v>
      </c>
      <c r="C1756" s="70" t="s">
        <v>1539</v>
      </c>
      <c r="D1756" s="70" t="s">
        <v>1</v>
      </c>
      <c r="E1756" s="70" t="s">
        <v>1</v>
      </c>
      <c r="F1756" s="70"/>
      <c r="G1756" s="70" t="s">
        <v>61</v>
      </c>
      <c r="H1756" s="70" t="s">
        <v>178</v>
      </c>
      <c r="I1756" s="70" t="s">
        <v>181</v>
      </c>
      <c r="J1756" s="71">
        <f>IF(OR(I1756=0,I1756=""),"unrated",VLOOKUP(I1756,MappingTables!$B$19:$C$31,2,FALSE))</f>
        <v>3</v>
      </c>
      <c r="K1756" s="72">
        <v>1056.6961304926254</v>
      </c>
      <c r="L1756" s="70">
        <v>7.3768388395583008</v>
      </c>
      <c r="M1756" s="71">
        <f>IF(L1756&lt;1,1,L1756)</f>
        <v>7.3768388395583008</v>
      </c>
      <c r="N1756" s="70" t="s">
        <v>141</v>
      </c>
      <c r="O1756" s="71">
        <f>INDEX(DurClassMapping,MATCH(M1756,MappingTables!$D$4:$D$8,-1),1)</f>
        <v>2</v>
      </c>
      <c r="P1756" s="73">
        <f>IF(M1756=$A$1,1,$M1756-INDEX(MappingTables!$E$4:$E$8,MATCH(O1756,MappingTables!$B$4:$B$8,0)))</f>
        <v>2.3768388395583004</v>
      </c>
      <c r="Q1756" s="71">
        <f>IF(B1756="",0,INDEX(ModelParameters!$D$6:$K$10,MATCH($O1756,ModelParameters!$B$6:$B$10,0),MATCH($J1756,ModelParameters!$D$5:$K$5,0)))</f>
        <v>0.015</v>
      </c>
      <c r="R1756" s="71">
        <f>IF(B1756="",0,INDEX(ModelParameters!$D$13:$K$17,MATCH($O1756,ModelParameters!$B$13:$B$17,0),MATCH($J1756,ModelParameters!$D$5:$K$5,0)))</f>
        <v>0.125</v>
      </c>
      <c r="S1756" s="160">
        <f>IF(B1756="",0,MIN(IF($N1756="Other Bond TM",ModelParameters!$N$21,1)*(P1756*Q1756+R1756),1))</f>
        <v>0.1606525825933745</v>
      </c>
      <c r="T1756" s="85">
        <f>IF(B1756="",0,$S1756*$K1756)</f>
        <v>169.76096238006574</v>
      </c>
      <c r="U1756" s="85">
        <f>IF(B1756="",0,IF(OR(H1756=MappingTables!$C$34,H1756=MappingTables!$C$35),T1756,0))</f>
        <v>0</v>
      </c>
      <c r="V1756" s="85">
        <f>IF(ISNA(IF(AND(VLOOKUP(CONCATENATE($D1756,$G1756),CSRFinput!$B:$E,4,0)=0,OR(H1756=MappingTables!$C$34,H1756=MappingTables!$C$35)),1,VLOOKUP(CONCATENATE($D1756,$G1756),CSRFinput!$B:$E,4,0))),0,IF(AND(VLOOKUP(CONCATENATE($D1756,$G1756),CSRFinput!$B:$E,4,0)=0,OR(H1756=MappingTables!$C$34,H1756=MappingTables!$C$35)),1,VLOOKUP(CONCATENATE($D1756,$G1756),CSRFinput!$B:$E,4,0)))</f>
        <v>0.054776304963434752</v>
      </c>
      <c r="W1756" s="85">
        <f>IF(B1756="",0,+$T1756*$V1756)</f>
        <v>9.2988782462166544</v>
      </c>
      <c r="X1756" s="85">
        <f>IF(B1756="",0,IF(OR(H1756=MappingTables!$C$34,H1756=MappingTables!$C$35),W1756,0))</f>
        <v>0</v>
      </c>
    </row>
    <row r="1757" spans="2:24" s="0" customFormat="0" ht="15">
      <c r="B1757" s="69">
        <v>24432467</v>
      </c>
      <c r="C1757" s="70" t="s">
        <v>1966</v>
      </c>
      <c r="D1757" s="70" t="s">
        <v>1</v>
      </c>
      <c r="E1757" s="70" t="s">
        <v>1</v>
      </c>
      <c r="F1757" s="70"/>
      <c r="G1757" s="70" t="s">
        <v>61</v>
      </c>
      <c r="H1757" s="70" t="s">
        <v>178</v>
      </c>
      <c r="I1757" s="70" t="s">
        <v>179</v>
      </c>
      <c r="J1757" s="71">
        <f>IF(OR(I1757=0,I1757=""),"unrated",VLOOKUP(I1757,MappingTables!$B$19:$C$31,2,FALSE))</f>
        <v>4</v>
      </c>
      <c r="K1757" s="72">
        <v>10961.14147560023</v>
      </c>
      <c r="L1757" s="70">
        <v>4.3029501249284696</v>
      </c>
      <c r="M1757" s="71">
        <f>IF(L1757&lt;1,1,L1757)</f>
        <v>4.3029501249284696</v>
      </c>
      <c r="N1757" s="70" t="s">
        <v>141</v>
      </c>
      <c r="O1757" s="71">
        <f>INDEX(DurClassMapping,MATCH(M1757,MappingTables!$D$4:$D$8,-1),1)</f>
        <v>1</v>
      </c>
      <c r="P1757" s="73">
        <f>IF(M1757=$A$1,1,$M1757-INDEX(MappingTables!$E$4:$E$8,MATCH(O1757,MappingTables!$B$4:$B$8,0)))</f>
        <v>4.3029501249284696</v>
      </c>
      <c r="Q1757" s="71">
        <f>IF(B1757="",0,INDEX(ModelParameters!$D$6:$K$10,MATCH($O1757,ModelParameters!$B$6:$B$10,0),MATCH($J1757,ModelParameters!$D$5:$K$5,0)))</f>
        <v>0.045</v>
      </c>
      <c r="R1757" s="71">
        <f>IF(B1757="",0,INDEX(ModelParameters!$D$13:$K$17,MATCH($O1757,ModelParameters!$B$13:$B$17,0),MATCH($J1757,ModelParameters!$D$5:$K$5,0)))</f>
        <v>0</v>
      </c>
      <c r="S1757" s="160">
        <f>IF(B1757="",0,MIN(IF($N1757="Other Bond TM",ModelParameters!$N$21,1)*(P1757*Q1757+R1757),1))</f>
        <v>0.19363275562178112</v>
      </c>
      <c r="T1757" s="85">
        <f>IF(B1757="",0,$S1757*$K1757)</f>
        <v>2122.4360286806688</v>
      </c>
      <c r="U1757" s="85">
        <f>IF(B1757="",0,IF(OR(H1757=MappingTables!$C$34,H1757=MappingTables!$C$35),T1757,0))</f>
        <v>0</v>
      </c>
      <c r="V1757" s="85">
        <f>IF(ISNA(IF(AND(VLOOKUP(CONCATENATE($D1757,$G1757),CSRFinput!$B:$E,4,0)=0,OR(H1757=MappingTables!$C$34,H1757=MappingTables!$C$35)),1,VLOOKUP(CONCATENATE($D1757,$G1757),CSRFinput!$B:$E,4,0))),0,IF(AND(VLOOKUP(CONCATENATE($D1757,$G1757),CSRFinput!$B:$E,4,0)=0,OR(H1757=MappingTables!$C$34,H1757=MappingTables!$C$35)),1,VLOOKUP(CONCATENATE($D1757,$G1757),CSRFinput!$B:$E,4,0)))</f>
        <v>0.054776304963434752</v>
      </c>
      <c r="W1757" s="85">
        <f>IF(B1757="",0,+$T1757*$V1757)</f>
        <v>116.25920317239366</v>
      </c>
      <c r="X1757" s="85">
        <f>IF(B1757="",0,IF(OR(H1757=MappingTables!$C$34,H1757=MappingTables!$C$35),W1757,0))</f>
        <v>0</v>
      </c>
    </row>
    <row r="1758" spans="2:24" s="0" customFormat="0" ht="15">
      <c r="B1758" s="69">
        <v>4300429</v>
      </c>
      <c r="C1758" s="70" t="s">
        <v>1967</v>
      </c>
      <c r="D1758" s="70" t="s">
        <v>1</v>
      </c>
      <c r="E1758" s="70" t="s">
        <v>1</v>
      </c>
      <c r="F1758" s="70"/>
      <c r="G1758" s="70" t="s">
        <v>61</v>
      </c>
      <c r="H1758" s="70" t="s">
        <v>178</v>
      </c>
      <c r="I1758" s="70" t="s">
        <v>181</v>
      </c>
      <c r="J1758" s="71">
        <f>IF(OR(I1758=0,I1758=""),"unrated",VLOOKUP(I1758,MappingTables!$B$19:$C$31,2,FALSE))</f>
        <v>3</v>
      </c>
      <c r="K1758" s="72">
        <v>433.31330132922352</v>
      </c>
      <c r="L1758" s="70">
        <v>1.0662760364724552</v>
      </c>
      <c r="M1758" s="71">
        <f>IF(L1758&lt;1,1,L1758)</f>
        <v>1.0662760364724552</v>
      </c>
      <c r="N1758" s="70" t="s">
        <v>141</v>
      </c>
      <c r="O1758" s="71">
        <f>INDEX(DurClassMapping,MATCH(M1758,MappingTables!$D$4:$D$8,-1),1)</f>
        <v>1</v>
      </c>
      <c r="P1758" s="73">
        <f>IF(M1758=$A$1,1,$M1758-INDEX(MappingTables!$E$4:$E$8,MATCH(O1758,MappingTables!$B$4:$B$8,0)))</f>
        <v>1.0662760364724552</v>
      </c>
      <c r="Q1758" s="71">
        <f>IF(B1758="",0,INDEX(ModelParameters!$D$6:$K$10,MATCH($O1758,ModelParameters!$B$6:$B$10,0),MATCH($J1758,ModelParameters!$D$5:$K$5,0)))</f>
        <v>0.025</v>
      </c>
      <c r="R1758" s="71">
        <f>IF(B1758="",0,INDEX(ModelParameters!$D$13:$K$17,MATCH($O1758,ModelParameters!$B$13:$B$17,0),MATCH($J1758,ModelParameters!$D$5:$K$5,0)))</f>
        <v>0</v>
      </c>
      <c r="S1758" s="160">
        <f>IF(B1758="",0,MIN(IF($N1758="Other Bond TM",ModelParameters!$N$21,1)*(P1758*Q1758+R1758),1))</f>
        <v>0.026656900911811384</v>
      </c>
      <c r="T1758" s="85">
        <f>IF(B1758="",0,$S1758*$K1758)</f>
        <v>11.55078973730298</v>
      </c>
      <c r="U1758" s="85">
        <f>IF(B1758="",0,IF(OR(H1758=MappingTables!$C$34,H1758=MappingTables!$C$35),T1758,0))</f>
        <v>0</v>
      </c>
      <c r="V1758" s="85">
        <f>IF(ISNA(IF(AND(VLOOKUP(CONCATENATE($D1758,$G1758),CSRFinput!$B:$E,4,0)=0,OR(H1758=MappingTables!$C$34,H1758=MappingTables!$C$35)),1,VLOOKUP(CONCATENATE($D1758,$G1758),CSRFinput!$B:$E,4,0))),0,IF(AND(VLOOKUP(CONCATENATE($D1758,$G1758),CSRFinput!$B:$E,4,0)=0,OR(H1758=MappingTables!$C$34,H1758=MappingTables!$C$35)),1,VLOOKUP(CONCATENATE($D1758,$G1758),CSRFinput!$B:$E,4,0)))</f>
        <v>0.054776304963434752</v>
      </c>
      <c r="W1758" s="85">
        <f>IF(B1758="",0,+$T1758*$V1758)</f>
        <v>0.6327095812190204</v>
      </c>
      <c r="X1758" s="85">
        <f>IF(B1758="",0,IF(OR(H1758=MappingTables!$C$34,H1758=MappingTables!$C$35),W1758,0))</f>
        <v>0</v>
      </c>
    </row>
    <row r="1759" spans="2:24" s="0" customFormat="0" ht="15">
      <c r="B1759" s="69">
        <v>216727</v>
      </c>
      <c r="C1759" s="70" t="s">
        <v>1800</v>
      </c>
      <c r="D1759" s="70" t="s">
        <v>1</v>
      </c>
      <c r="E1759" s="70" t="s">
        <v>1</v>
      </c>
      <c r="F1759" s="70"/>
      <c r="G1759" s="70" t="s">
        <v>61</v>
      </c>
      <c r="H1759" s="70" t="s">
        <v>178</v>
      </c>
      <c r="I1759" s="70" t="s">
        <v>181</v>
      </c>
      <c r="J1759" s="71">
        <f>IF(OR(I1759=0,I1759=""),"unrated",VLOOKUP(I1759,MappingTables!$B$19:$C$31,2,FALSE))</f>
        <v>3</v>
      </c>
      <c r="K1759" s="72">
        <v>2740.6269575445208</v>
      </c>
      <c r="L1759" s="70">
        <v>7.4088379435027968</v>
      </c>
      <c r="M1759" s="71">
        <f>IF(L1759&lt;1,1,L1759)</f>
        <v>7.4088379435027968</v>
      </c>
      <c r="N1759" s="70" t="s">
        <v>141</v>
      </c>
      <c r="O1759" s="71">
        <f>INDEX(DurClassMapping,MATCH(M1759,MappingTables!$D$4:$D$8,-1),1)</f>
        <v>2</v>
      </c>
      <c r="P1759" s="73">
        <f>IF(M1759=$A$1,1,$M1759-INDEX(MappingTables!$E$4:$E$8,MATCH(O1759,MappingTables!$B$4:$B$8,0)))</f>
        <v>2.408837943502796</v>
      </c>
      <c r="Q1759" s="71">
        <f>IF(B1759="",0,INDEX(ModelParameters!$D$6:$K$10,MATCH($O1759,ModelParameters!$B$6:$B$10,0),MATCH($J1759,ModelParameters!$D$5:$K$5,0)))</f>
        <v>0.015</v>
      </c>
      <c r="R1759" s="71">
        <f>IF(B1759="",0,INDEX(ModelParameters!$D$13:$K$17,MATCH($O1759,ModelParameters!$B$13:$B$17,0),MATCH($J1759,ModelParameters!$D$5:$K$5,0)))</f>
        <v>0.125</v>
      </c>
      <c r="S1759" s="160">
        <f>IF(B1759="",0,MIN(IF($N1759="Other Bond TM",ModelParameters!$N$21,1)*(P1759*Q1759+R1759),1))</f>
        <v>0.16113256915254192</v>
      </c>
      <c r="T1759" s="85">
        <f>IF(B1759="",0,$S1759*$K1759)</f>
        <v>441.60426275786304</v>
      </c>
      <c r="U1759" s="85">
        <f>IF(B1759="",0,IF(OR(H1759=MappingTables!$C$34,H1759=MappingTables!$C$35),T1759,0))</f>
        <v>0</v>
      </c>
      <c r="V1759" s="85">
        <f>IF(ISNA(IF(AND(VLOOKUP(CONCATENATE($D1759,$G1759),CSRFinput!$B:$E,4,0)=0,OR(H1759=MappingTables!$C$34,H1759=MappingTables!$C$35)),1,VLOOKUP(CONCATENATE($D1759,$G1759),CSRFinput!$B:$E,4,0))),0,IF(AND(VLOOKUP(CONCATENATE($D1759,$G1759),CSRFinput!$B:$E,4,0)=0,OR(H1759=MappingTables!$C$34,H1759=MappingTables!$C$35)),1,VLOOKUP(CONCATENATE($D1759,$G1759),CSRFinput!$B:$E,4,0)))</f>
        <v>0.054776304963434752</v>
      </c>
      <c r="W1759" s="85">
        <f>IF(B1759="",0,+$T1759*$V1759)</f>
        <v>24.18944976997748</v>
      </c>
      <c r="X1759" s="85">
        <f>IF(B1759="",0,IF(OR(H1759=MappingTables!$C$34,H1759=MappingTables!$C$35),W1759,0))</f>
        <v>0</v>
      </c>
    </row>
    <row r="1760" spans="2:24" s="0" customFormat="0" ht="15">
      <c r="B1760" s="69">
        <v>17776637</v>
      </c>
      <c r="C1760" s="70" t="s">
        <v>585</v>
      </c>
      <c r="D1760" s="70" t="s">
        <v>1</v>
      </c>
      <c r="E1760" s="70" t="s">
        <v>1</v>
      </c>
      <c r="F1760" s="70"/>
      <c r="G1760" s="70" t="s">
        <v>61</v>
      </c>
      <c r="H1760" s="70" t="s">
        <v>178</v>
      </c>
      <c r="I1760" s="70" t="s">
        <v>179</v>
      </c>
      <c r="J1760" s="71">
        <f>IF(OR(I1760=0,I1760=""),"unrated",VLOOKUP(I1760,MappingTables!$B$19:$C$31,2,FALSE))</f>
        <v>4</v>
      </c>
      <c r="K1760" s="72">
        <v>3543.0060523547932</v>
      </c>
      <c r="L1760" s="70">
        <v>4.1613641553203552</v>
      </c>
      <c r="M1760" s="71">
        <f>IF(L1760&lt;1,1,L1760)</f>
        <v>4.1613641553203552</v>
      </c>
      <c r="N1760" s="70" t="s">
        <v>141</v>
      </c>
      <c r="O1760" s="71">
        <f>INDEX(DurClassMapping,MATCH(M1760,MappingTables!$D$4:$D$8,-1),1)</f>
        <v>1</v>
      </c>
      <c r="P1760" s="73">
        <f>IF(M1760=$A$1,1,$M1760-INDEX(MappingTables!$E$4:$E$8,MATCH(O1760,MappingTables!$B$4:$B$8,0)))</f>
        <v>4.1613641553203552</v>
      </c>
      <c r="Q1760" s="71">
        <f>IF(B1760="",0,INDEX(ModelParameters!$D$6:$K$10,MATCH($O1760,ModelParameters!$B$6:$B$10,0),MATCH($J1760,ModelParameters!$D$5:$K$5,0)))</f>
        <v>0.045</v>
      </c>
      <c r="R1760" s="71">
        <f>IF(B1760="",0,INDEX(ModelParameters!$D$13:$K$17,MATCH($O1760,ModelParameters!$B$13:$B$17,0),MATCH($J1760,ModelParameters!$D$5:$K$5,0)))</f>
        <v>0</v>
      </c>
      <c r="S1760" s="160">
        <f>IF(B1760="",0,MIN(IF($N1760="Other Bond TM",ModelParameters!$N$21,1)*(P1760*Q1760+R1760),1))</f>
        <v>0.187261386989416</v>
      </c>
      <c r="T1760" s="85">
        <f>IF(B1760="",0,$S1760*$K1760)</f>
        <v>663.46822747585392</v>
      </c>
      <c r="U1760" s="85">
        <f>IF(B1760="",0,IF(OR(H1760=MappingTables!$C$34,H1760=MappingTables!$C$35),T1760,0))</f>
        <v>0</v>
      </c>
      <c r="V1760" s="85">
        <f>IF(ISNA(IF(AND(VLOOKUP(CONCATENATE($D1760,$G1760),CSRFinput!$B:$E,4,0)=0,OR(H1760=MappingTables!$C$34,H1760=MappingTables!$C$35)),1,VLOOKUP(CONCATENATE($D1760,$G1760),CSRFinput!$B:$E,4,0))),0,IF(AND(VLOOKUP(CONCATENATE($D1760,$G1760),CSRFinput!$B:$E,4,0)=0,OR(H1760=MappingTables!$C$34,H1760=MappingTables!$C$35)),1,VLOOKUP(CONCATENATE($D1760,$G1760),CSRFinput!$B:$E,4,0)))</f>
        <v>0.054776304963434752</v>
      </c>
      <c r="W1760" s="85">
        <f>IF(B1760="",0,+$T1760*$V1760)</f>
        <v>36.34233796176688</v>
      </c>
      <c r="X1760" s="85">
        <f>IF(B1760="",0,IF(OR(H1760=MappingTables!$C$34,H1760=MappingTables!$C$35),W1760,0))</f>
        <v>0</v>
      </c>
    </row>
    <row r="1761" spans="2:24" s="0" customFormat="0" ht="15">
      <c r="B1761" s="69" t="s">
        <v>1968</v>
      </c>
      <c r="C1761" s="70" t="s">
        <v>1969</v>
      </c>
      <c r="D1761" s="70" t="s">
        <v>1</v>
      </c>
      <c r="E1761" s="70" t="s">
        <v>1</v>
      </c>
      <c r="F1761" s="70"/>
      <c r="G1761" s="70" t="s">
        <v>61</v>
      </c>
      <c r="H1761" s="70" t="s">
        <v>178</v>
      </c>
      <c r="I1761" s="70" t="s">
        <v>198</v>
      </c>
      <c r="J1761" s="71" t="str">
        <f>IF(OR(I1761=0,I1761=""),"unrated",VLOOKUP(I1761,MappingTables!$B$19:$C$31,2,FALSE))</f>
        <v>unrated</v>
      </c>
      <c r="K1761" s="72">
        <v>0.14001732693288574</v>
      </c>
      <c r="L1761" s="70">
        <v>0.26575292515002528</v>
      </c>
      <c r="M1761" s="71">
        <f>IF(L1761&lt;1,1,L1761)</f>
        <v>1</v>
      </c>
      <c r="N1761" s="70" t="s">
        <v>141</v>
      </c>
      <c r="O1761" s="71">
        <f>INDEX(DurClassMapping,MATCH(M1761,MappingTables!$D$4:$D$8,-1),1)</f>
        <v>1</v>
      </c>
      <c r="P1761" s="73">
        <f>IF(M1761=$A$1,1,$M1761-INDEX(MappingTables!$E$4:$E$8,MATCH(O1761,MappingTables!$B$4:$B$8,0)))</f>
        <v>1</v>
      </c>
      <c r="Q1761" s="71">
        <f>IF(B1761="",0,INDEX(ModelParameters!$D$6:$K$10,MATCH($O1761,ModelParameters!$B$6:$B$10,0),MATCH($J1761,ModelParameters!$D$5:$K$5,0)))</f>
        <v>0.03</v>
      </c>
      <c r="R1761" s="71">
        <f>IF(B1761="",0,INDEX(ModelParameters!$D$13:$K$17,MATCH($O1761,ModelParameters!$B$13:$B$17,0),MATCH($J1761,ModelParameters!$D$5:$K$5,0)))</f>
        <v>0</v>
      </c>
      <c r="S1761" s="160">
        <f>IF(B1761="",0,MIN(IF($N1761="Other Bond TM",ModelParameters!$N$21,1)*(P1761*Q1761+R1761),1))</f>
        <v>0.03</v>
      </c>
      <c r="T1761" s="85">
        <f>IF(B1761="",0,$S1761*$K1761)</f>
        <v>0.004200519807986572</v>
      </c>
      <c r="U1761" s="85">
        <f>IF(B1761="",0,IF(OR(H1761=MappingTables!$C$34,H1761=MappingTables!$C$35),T1761,0))</f>
        <v>0</v>
      </c>
      <c r="V1761" s="85">
        <f>IF(ISNA(IF(AND(VLOOKUP(CONCATENATE($D1761,$G1761),CSRFinput!$B:$E,4,0)=0,OR(H1761=MappingTables!$C$34,H1761=MappingTables!$C$35)),1,VLOOKUP(CONCATENATE($D1761,$G1761),CSRFinput!$B:$E,4,0))),0,IF(AND(VLOOKUP(CONCATENATE($D1761,$G1761),CSRFinput!$B:$E,4,0)=0,OR(H1761=MappingTables!$C$34,H1761=MappingTables!$C$35)),1,VLOOKUP(CONCATENATE($D1761,$G1761),CSRFinput!$B:$E,4,0)))</f>
        <v>0.054776304963434752</v>
      </c>
      <c r="W1761" s="85">
        <f>IF(B1761="",0,+$T1761*$V1761)</f>
        <v>0.00023008895400722088</v>
      </c>
      <c r="X1761" s="85">
        <f>IF(B1761="",0,IF(OR(H1761=MappingTables!$C$34,H1761=MappingTables!$C$35),W1761,0))</f>
        <v>0</v>
      </c>
    </row>
    <row r="1762" spans="2:24" s="0" customFormat="0" ht="15">
      <c r="B1762" s="69">
        <v>13102840</v>
      </c>
      <c r="C1762" s="70" t="s">
        <v>1970</v>
      </c>
      <c r="D1762" s="70" t="s">
        <v>1</v>
      </c>
      <c r="E1762" s="70" t="s">
        <v>1</v>
      </c>
      <c r="F1762" s="70"/>
      <c r="G1762" s="70" t="s">
        <v>61</v>
      </c>
      <c r="H1762" s="70" t="s">
        <v>178</v>
      </c>
      <c r="I1762" s="70" t="s">
        <v>179</v>
      </c>
      <c r="J1762" s="71">
        <f>IF(OR(I1762=0,I1762=""),"unrated",VLOOKUP(I1762,MappingTables!$B$19:$C$31,2,FALSE))</f>
        <v>4</v>
      </c>
      <c r="K1762" s="72">
        <v>226.1975045051124</v>
      </c>
      <c r="L1762" s="70">
        <v>6.6203034516967848</v>
      </c>
      <c r="M1762" s="71">
        <f>IF(L1762&lt;1,1,L1762)</f>
        <v>6.6203034516967848</v>
      </c>
      <c r="N1762" s="70" t="s">
        <v>141</v>
      </c>
      <c r="O1762" s="71">
        <f>INDEX(DurClassMapping,MATCH(M1762,MappingTables!$D$4:$D$8,-1),1)</f>
        <v>2</v>
      </c>
      <c r="P1762" s="73">
        <f>IF(M1762=$A$1,1,$M1762-INDEX(MappingTables!$E$4:$E$8,MATCH(O1762,MappingTables!$B$4:$B$8,0)))</f>
        <v>1.6203034516967846</v>
      </c>
      <c r="Q1762" s="71">
        <f>IF(B1762="",0,INDEX(ModelParameters!$D$6:$K$10,MATCH($O1762,ModelParameters!$B$6:$B$10,0),MATCH($J1762,ModelParameters!$D$5:$K$5,0)))</f>
        <v>0.025</v>
      </c>
      <c r="R1762" s="71">
        <f>IF(B1762="",0,INDEX(ModelParameters!$D$13:$K$17,MATCH($O1762,ModelParameters!$B$13:$B$17,0),MATCH($J1762,ModelParameters!$D$5:$K$5,0)))</f>
        <v>0.225</v>
      </c>
      <c r="S1762" s="160">
        <f>IF(B1762="",0,MIN(IF($N1762="Other Bond TM",ModelParameters!$N$21,1)*(P1762*Q1762+R1762),1))</f>
        <v>0.2655075862924196</v>
      </c>
      <c r="T1762" s="85">
        <f>IF(B1762="",0,$S1762*$K1762)</f>
        <v>60.057153446521096</v>
      </c>
      <c r="U1762" s="85">
        <f>IF(B1762="",0,IF(OR(H1762=MappingTables!$C$34,H1762=MappingTables!$C$35),T1762,0))</f>
        <v>0</v>
      </c>
      <c r="V1762" s="85">
        <f>IF(ISNA(IF(AND(VLOOKUP(CONCATENATE($D1762,$G1762),CSRFinput!$B:$E,4,0)=0,OR(H1762=MappingTables!$C$34,H1762=MappingTables!$C$35)),1,VLOOKUP(CONCATENATE($D1762,$G1762),CSRFinput!$B:$E,4,0))),0,IF(AND(VLOOKUP(CONCATENATE($D1762,$G1762),CSRFinput!$B:$E,4,0)=0,OR(H1762=MappingTables!$C$34,H1762=MappingTables!$C$35)),1,VLOOKUP(CONCATENATE($D1762,$G1762),CSRFinput!$B:$E,4,0)))</f>
        <v>0.054776304963434752</v>
      </c>
      <c r="W1762" s="85">
        <f>IF(B1762="",0,+$T1762*$V1762)</f>
        <v>3.289708952422436</v>
      </c>
      <c r="X1762" s="85">
        <f>IF(B1762="",0,IF(OR(H1762=MappingTables!$C$34,H1762=MappingTables!$C$35),W1762,0))</f>
        <v>0</v>
      </c>
    </row>
    <row r="1763" spans="2:24" s="0" customFormat="0" ht="15">
      <c r="B1763" s="69">
        <v>18085386</v>
      </c>
      <c r="C1763" s="70" t="s">
        <v>1971</v>
      </c>
      <c r="D1763" s="70" t="s">
        <v>1</v>
      </c>
      <c r="E1763" s="70" t="s">
        <v>1</v>
      </c>
      <c r="F1763" s="70"/>
      <c r="G1763" s="70" t="s">
        <v>61</v>
      </c>
      <c r="H1763" s="70" t="s">
        <v>178</v>
      </c>
      <c r="I1763" s="70" t="s">
        <v>181</v>
      </c>
      <c r="J1763" s="71">
        <f>IF(OR(I1763=0,I1763=""),"unrated",VLOOKUP(I1763,MappingTables!$B$19:$C$31,2,FALSE))</f>
        <v>3</v>
      </c>
      <c r="K1763" s="72">
        <v>9277.1399417310784</v>
      </c>
      <c r="L1763" s="70">
        <v>2.6584391449015784</v>
      </c>
      <c r="M1763" s="71">
        <f>IF(L1763&lt;1,1,L1763)</f>
        <v>2.6584391449015784</v>
      </c>
      <c r="N1763" s="70" t="s">
        <v>141</v>
      </c>
      <c r="O1763" s="71">
        <f>INDEX(DurClassMapping,MATCH(M1763,MappingTables!$D$4:$D$8,-1),1)</f>
        <v>1</v>
      </c>
      <c r="P1763" s="73">
        <f>IF(M1763=$A$1,1,$M1763-INDEX(MappingTables!$E$4:$E$8,MATCH(O1763,MappingTables!$B$4:$B$8,0)))</f>
        <v>2.6584391449015784</v>
      </c>
      <c r="Q1763" s="71">
        <f>IF(B1763="",0,INDEX(ModelParameters!$D$6:$K$10,MATCH($O1763,ModelParameters!$B$6:$B$10,0),MATCH($J1763,ModelParameters!$D$5:$K$5,0)))</f>
        <v>0.025</v>
      </c>
      <c r="R1763" s="71">
        <f>IF(B1763="",0,INDEX(ModelParameters!$D$13:$K$17,MATCH($O1763,ModelParameters!$B$13:$B$17,0),MATCH($J1763,ModelParameters!$D$5:$K$5,0)))</f>
        <v>0</v>
      </c>
      <c r="S1763" s="160">
        <f>IF(B1763="",0,MIN(IF($N1763="Other Bond TM",ModelParameters!$N$21,1)*(P1763*Q1763+R1763),1))</f>
        <v>0.066460978622539456</v>
      </c>
      <c r="T1763" s="85">
        <f>IF(B1763="",0,$S1763*$K1763)</f>
        <v>616.56779934569616</v>
      </c>
      <c r="U1763" s="85">
        <f>IF(B1763="",0,IF(OR(H1763=MappingTables!$C$34,H1763=MappingTables!$C$35),T1763,0))</f>
        <v>0</v>
      </c>
      <c r="V1763" s="85">
        <f>IF(ISNA(IF(AND(VLOOKUP(CONCATENATE($D1763,$G1763),CSRFinput!$B:$E,4,0)=0,OR(H1763=MappingTables!$C$34,H1763=MappingTables!$C$35)),1,VLOOKUP(CONCATENATE($D1763,$G1763),CSRFinput!$B:$E,4,0))),0,IF(AND(VLOOKUP(CONCATENATE($D1763,$G1763),CSRFinput!$B:$E,4,0)=0,OR(H1763=MappingTables!$C$34,H1763=MappingTables!$C$35)),1,VLOOKUP(CONCATENATE($D1763,$G1763),CSRFinput!$B:$E,4,0)))</f>
        <v>0.054776304963434752</v>
      </c>
      <c r="W1763" s="85">
        <f>IF(B1763="",0,+$T1763*$V1763)</f>
        <v>33.7733058075937</v>
      </c>
      <c r="X1763" s="85">
        <f>IF(B1763="",0,IF(OR(H1763=MappingTables!$C$34,H1763=MappingTables!$C$35),W1763,0))</f>
        <v>0</v>
      </c>
    </row>
    <row r="1764" spans="2:24" s="0" customFormat="0" ht="15">
      <c r="B1764" s="69">
        <v>17830018</v>
      </c>
      <c r="C1764" s="70" t="s">
        <v>1774</v>
      </c>
      <c r="D1764" s="70" t="s">
        <v>1</v>
      </c>
      <c r="E1764" s="70" t="s">
        <v>1</v>
      </c>
      <c r="F1764" s="70"/>
      <c r="G1764" s="70" t="s">
        <v>61</v>
      </c>
      <c r="H1764" s="70" t="s">
        <v>178</v>
      </c>
      <c r="I1764" s="70" t="s">
        <v>181</v>
      </c>
      <c r="J1764" s="71">
        <f>IF(OR(I1764=0,I1764=""),"unrated",VLOOKUP(I1764,MappingTables!$B$19:$C$31,2,FALSE))</f>
        <v>3</v>
      </c>
      <c r="K1764" s="72">
        <v>389.77134787651856</v>
      </c>
      <c r="L1764" s="70">
        <v>0.71325162454297888</v>
      </c>
      <c r="M1764" s="71">
        <f>IF(L1764&lt;1,1,L1764)</f>
        <v>1</v>
      </c>
      <c r="N1764" s="70" t="s">
        <v>141</v>
      </c>
      <c r="O1764" s="71">
        <f>INDEX(DurClassMapping,MATCH(M1764,MappingTables!$D$4:$D$8,-1),1)</f>
        <v>1</v>
      </c>
      <c r="P1764" s="73">
        <f>IF(M1764=$A$1,1,$M1764-INDEX(MappingTables!$E$4:$E$8,MATCH(O1764,MappingTables!$B$4:$B$8,0)))</f>
        <v>1</v>
      </c>
      <c r="Q1764" s="71">
        <f>IF(B1764="",0,INDEX(ModelParameters!$D$6:$K$10,MATCH($O1764,ModelParameters!$B$6:$B$10,0),MATCH($J1764,ModelParameters!$D$5:$K$5,0)))</f>
        <v>0.025</v>
      </c>
      <c r="R1764" s="71">
        <f>IF(B1764="",0,INDEX(ModelParameters!$D$13:$K$17,MATCH($O1764,ModelParameters!$B$13:$B$17,0),MATCH($J1764,ModelParameters!$D$5:$K$5,0)))</f>
        <v>0</v>
      </c>
      <c r="S1764" s="160">
        <f>IF(B1764="",0,MIN(IF($N1764="Other Bond TM",ModelParameters!$N$21,1)*(P1764*Q1764+R1764),1))</f>
        <v>0.025</v>
      </c>
      <c r="T1764" s="85">
        <f>IF(B1764="",0,$S1764*$K1764)</f>
        <v>9.7442836969129664</v>
      </c>
      <c r="U1764" s="85">
        <f>IF(B1764="",0,IF(OR(H1764=MappingTables!$C$34,H1764=MappingTables!$C$35),T1764,0))</f>
        <v>0</v>
      </c>
      <c r="V1764" s="85">
        <f>IF(ISNA(IF(AND(VLOOKUP(CONCATENATE($D1764,$G1764),CSRFinput!$B:$E,4,0)=0,OR(H1764=MappingTables!$C$34,H1764=MappingTables!$C$35)),1,VLOOKUP(CONCATENATE($D1764,$G1764),CSRFinput!$B:$E,4,0))),0,IF(AND(VLOOKUP(CONCATENATE($D1764,$G1764),CSRFinput!$B:$E,4,0)=0,OR(H1764=MappingTables!$C$34,H1764=MappingTables!$C$35)),1,VLOOKUP(CONCATENATE($D1764,$G1764),CSRFinput!$B:$E,4,0)))</f>
        <v>0.054776304963434752</v>
      </c>
      <c r="W1764" s="85">
        <f>IF(B1764="",0,+$T1764*$V1764)</f>
        <v>0.53375585543233008</v>
      </c>
      <c r="X1764" s="85">
        <f>IF(B1764="",0,IF(OR(H1764=MappingTables!$C$34,H1764=MappingTables!$C$35),W1764,0))</f>
        <v>0</v>
      </c>
    </row>
    <row r="1765" spans="2:24" s="0" customFormat="0" ht="15">
      <c r="B1765" s="69">
        <v>2980591</v>
      </c>
      <c r="C1765" s="70" t="s">
        <v>1972</v>
      </c>
      <c r="D1765" s="70" t="s">
        <v>1</v>
      </c>
      <c r="E1765" s="70" t="s">
        <v>1</v>
      </c>
      <c r="F1765" s="70"/>
      <c r="G1765" s="70" t="s">
        <v>61</v>
      </c>
      <c r="H1765" s="70" t="s">
        <v>178</v>
      </c>
      <c r="I1765" s="70" t="s">
        <v>181</v>
      </c>
      <c r="J1765" s="71">
        <f>IF(OR(I1765=0,I1765=""),"unrated",VLOOKUP(I1765,MappingTables!$B$19:$C$31,2,FALSE))</f>
        <v>3</v>
      </c>
      <c r="K1765" s="72">
        <v>2233.635513192946</v>
      </c>
      <c r="L1765" s="70">
        <v>11.964869709588994</v>
      </c>
      <c r="M1765" s="71">
        <f>IF(L1765&lt;1,1,L1765)</f>
        <v>11.964869709588994</v>
      </c>
      <c r="N1765" s="70" t="s">
        <v>141</v>
      </c>
      <c r="O1765" s="71">
        <f>INDEX(DurClassMapping,MATCH(M1765,MappingTables!$D$4:$D$8,-1),1)</f>
        <v>3</v>
      </c>
      <c r="P1765" s="73">
        <f>IF(M1765=$A$1,1,$M1765-INDEX(MappingTables!$E$4:$E$8,MATCH(O1765,MappingTables!$B$4:$B$8,0)))</f>
        <v>1.964869709588994</v>
      </c>
      <c r="Q1765" s="71">
        <f>IF(B1765="",0,INDEX(ModelParameters!$D$6:$K$10,MATCH($O1765,ModelParameters!$B$6:$B$10,0),MATCH($J1765,ModelParameters!$D$5:$K$5,0)))</f>
        <v>0.01</v>
      </c>
      <c r="R1765" s="71">
        <f>IF(B1765="",0,INDEX(ModelParameters!$D$13:$K$17,MATCH($O1765,ModelParameters!$B$13:$B$17,0),MATCH($J1765,ModelParameters!$D$5:$K$5,0)))</f>
        <v>0.2</v>
      </c>
      <c r="S1765" s="160">
        <f>IF(B1765="",0,MIN(IF($N1765="Other Bond TM",ModelParameters!$N$21,1)*(P1765*Q1765+R1765),1))</f>
        <v>0.21964869709588996</v>
      </c>
      <c r="T1765" s="85">
        <f>IF(B1765="",0,$S1765*$K1765)</f>
        <v>490.61513025994008</v>
      </c>
      <c r="U1765" s="85">
        <f>IF(B1765="",0,IF(OR(H1765=MappingTables!$C$34,H1765=MappingTables!$C$35),T1765,0))</f>
        <v>0</v>
      </c>
      <c r="V1765" s="85">
        <f>IF(ISNA(IF(AND(VLOOKUP(CONCATENATE($D1765,$G1765),CSRFinput!$B:$E,4,0)=0,OR(H1765=MappingTables!$C$34,H1765=MappingTables!$C$35)),1,VLOOKUP(CONCATENATE($D1765,$G1765),CSRFinput!$B:$E,4,0))),0,IF(AND(VLOOKUP(CONCATENATE($D1765,$G1765),CSRFinput!$B:$E,4,0)=0,OR(H1765=MappingTables!$C$34,H1765=MappingTables!$C$35)),1,VLOOKUP(CONCATENATE($D1765,$G1765),CSRFinput!$B:$E,4,0)))</f>
        <v>0.054776304963434752</v>
      </c>
      <c r="W1765" s="85">
        <f>IF(B1765="",0,+$T1765*$V1765)</f>
        <v>26.874083994793744</v>
      </c>
      <c r="X1765" s="85">
        <f>IF(B1765="",0,IF(OR(H1765=MappingTables!$C$34,H1765=MappingTables!$C$35),W1765,0))</f>
        <v>0</v>
      </c>
    </row>
    <row r="1766" spans="2:24" s="0" customFormat="0" ht="15">
      <c r="B1766" s="69">
        <v>21534674</v>
      </c>
      <c r="C1766" s="70" t="s">
        <v>1973</v>
      </c>
      <c r="D1766" s="70" t="s">
        <v>1</v>
      </c>
      <c r="E1766" s="70" t="s">
        <v>1</v>
      </c>
      <c r="F1766" s="70"/>
      <c r="G1766" s="70" t="s">
        <v>61</v>
      </c>
      <c r="H1766" s="70" t="s">
        <v>178</v>
      </c>
      <c r="I1766" s="70" t="s">
        <v>179</v>
      </c>
      <c r="J1766" s="71">
        <f>IF(OR(I1766=0,I1766=""),"unrated",VLOOKUP(I1766,MappingTables!$B$19:$C$31,2,FALSE))</f>
        <v>4</v>
      </c>
      <c r="K1766" s="72">
        <v>7166.110224680296</v>
      </c>
      <c r="L1766" s="70">
        <v>3.3181188490075292</v>
      </c>
      <c r="M1766" s="71">
        <f>IF(L1766&lt;1,1,L1766)</f>
        <v>3.3181188490075292</v>
      </c>
      <c r="N1766" s="70" t="s">
        <v>141</v>
      </c>
      <c r="O1766" s="71">
        <f>INDEX(DurClassMapping,MATCH(M1766,MappingTables!$D$4:$D$8,-1),1)</f>
        <v>1</v>
      </c>
      <c r="P1766" s="73">
        <f>IF(M1766=$A$1,1,$M1766-INDEX(MappingTables!$E$4:$E$8,MATCH(O1766,MappingTables!$B$4:$B$8,0)))</f>
        <v>3.3181188490075292</v>
      </c>
      <c r="Q1766" s="71">
        <f>IF(B1766="",0,INDEX(ModelParameters!$D$6:$K$10,MATCH($O1766,ModelParameters!$B$6:$B$10,0),MATCH($J1766,ModelParameters!$D$5:$K$5,0)))</f>
        <v>0.045</v>
      </c>
      <c r="R1766" s="71">
        <f>IF(B1766="",0,INDEX(ModelParameters!$D$13:$K$17,MATCH($O1766,ModelParameters!$B$13:$B$17,0),MATCH($J1766,ModelParameters!$D$5:$K$5,0)))</f>
        <v>0</v>
      </c>
      <c r="S1766" s="160">
        <f>IF(B1766="",0,MIN(IF($N1766="Other Bond TM",ModelParameters!$N$21,1)*(P1766*Q1766+R1766),1))</f>
        <v>0.14931534820533882</v>
      </c>
      <c r="T1766" s="85">
        <f>IF(B1766="",0,$S1766*$K1766)</f>
        <v>1070.0102434759772</v>
      </c>
      <c r="U1766" s="85">
        <f>IF(B1766="",0,IF(OR(H1766=MappingTables!$C$34,H1766=MappingTables!$C$35),T1766,0))</f>
        <v>0</v>
      </c>
      <c r="V1766" s="85">
        <f>IF(ISNA(IF(AND(VLOOKUP(CONCATENATE($D1766,$G1766),CSRFinput!$B:$E,4,0)=0,OR(H1766=MappingTables!$C$34,H1766=MappingTables!$C$35)),1,VLOOKUP(CONCATENATE($D1766,$G1766),CSRFinput!$B:$E,4,0))),0,IF(AND(VLOOKUP(CONCATENATE($D1766,$G1766),CSRFinput!$B:$E,4,0)=0,OR(H1766=MappingTables!$C$34,H1766=MappingTables!$C$35)),1,VLOOKUP(CONCATENATE($D1766,$G1766),CSRFinput!$B:$E,4,0)))</f>
        <v>0.054776304963434752</v>
      </c>
      <c r="W1766" s="85">
        <f>IF(B1766="",0,+$T1766*$V1766)</f>
        <v>58.611207410639192</v>
      </c>
      <c r="X1766" s="85">
        <f>IF(B1766="",0,IF(OR(H1766=MappingTables!$C$34,H1766=MappingTables!$C$35),W1766,0))</f>
        <v>0</v>
      </c>
    </row>
    <row r="1767" spans="2:24" s="0" customFormat="0" ht="15">
      <c r="B1767" s="69">
        <v>19503968</v>
      </c>
      <c r="C1767" s="70" t="s">
        <v>1974</v>
      </c>
      <c r="D1767" s="70" t="s">
        <v>1</v>
      </c>
      <c r="E1767" s="70" t="s">
        <v>1</v>
      </c>
      <c r="F1767" s="70"/>
      <c r="G1767" s="70" t="s">
        <v>61</v>
      </c>
      <c r="H1767" s="70" t="s">
        <v>178</v>
      </c>
      <c r="I1767" s="70" t="s">
        <v>181</v>
      </c>
      <c r="J1767" s="71">
        <f>IF(OR(I1767=0,I1767=""),"unrated",VLOOKUP(I1767,MappingTables!$B$19:$C$31,2,FALSE))</f>
        <v>3</v>
      </c>
      <c r="K1767" s="72">
        <v>3293.3784503744408</v>
      </c>
      <c r="L1767" s="70">
        <v>4.7950041570350536</v>
      </c>
      <c r="M1767" s="71">
        <f>IF(L1767&lt;1,1,L1767)</f>
        <v>4.7950041570350536</v>
      </c>
      <c r="N1767" s="70" t="s">
        <v>141</v>
      </c>
      <c r="O1767" s="71">
        <f>INDEX(DurClassMapping,MATCH(M1767,MappingTables!$D$4:$D$8,-1),1)</f>
        <v>1</v>
      </c>
      <c r="P1767" s="73">
        <f>IF(M1767=$A$1,1,$M1767-INDEX(MappingTables!$E$4:$E$8,MATCH(O1767,MappingTables!$B$4:$B$8,0)))</f>
        <v>4.7950041570350536</v>
      </c>
      <c r="Q1767" s="71">
        <f>IF(B1767="",0,INDEX(ModelParameters!$D$6:$K$10,MATCH($O1767,ModelParameters!$B$6:$B$10,0),MATCH($J1767,ModelParameters!$D$5:$K$5,0)))</f>
        <v>0.025</v>
      </c>
      <c r="R1767" s="71">
        <f>IF(B1767="",0,INDEX(ModelParameters!$D$13:$K$17,MATCH($O1767,ModelParameters!$B$13:$B$17,0),MATCH($J1767,ModelParameters!$D$5:$K$5,0)))</f>
        <v>0</v>
      </c>
      <c r="S1767" s="160">
        <f>IF(B1767="",0,MIN(IF($N1767="Other Bond TM",ModelParameters!$N$21,1)*(P1767*Q1767+R1767),1))</f>
        <v>0.11987510392587636</v>
      </c>
      <c r="T1767" s="85">
        <f>IF(B1767="",0,$S1767*$K1767)</f>
        <v>394.79408400587776</v>
      </c>
      <c r="U1767" s="85">
        <f>IF(B1767="",0,IF(OR(H1767=MappingTables!$C$34,H1767=MappingTables!$C$35),T1767,0))</f>
        <v>0</v>
      </c>
      <c r="V1767" s="85">
        <f>IF(ISNA(IF(AND(VLOOKUP(CONCATENATE($D1767,$G1767),CSRFinput!$B:$E,4,0)=0,OR(H1767=MappingTables!$C$34,H1767=MappingTables!$C$35)),1,VLOOKUP(CONCATENATE($D1767,$G1767),CSRFinput!$B:$E,4,0))),0,IF(AND(VLOOKUP(CONCATENATE($D1767,$G1767),CSRFinput!$B:$E,4,0)=0,OR(H1767=MappingTables!$C$34,H1767=MappingTables!$C$35)),1,VLOOKUP(CONCATENATE($D1767,$G1767),CSRFinput!$B:$E,4,0)))</f>
        <v>0.054776304963434752</v>
      </c>
      <c r="W1767" s="85">
        <f>IF(B1767="",0,+$T1767*$V1767)</f>
        <v>21.62536114326584</v>
      </c>
      <c r="X1767" s="85">
        <f>IF(B1767="",0,IF(OR(H1767=MappingTables!$C$34,H1767=MappingTables!$C$35),W1767,0))</f>
        <v>0</v>
      </c>
    </row>
    <row r="1768" spans="2:24" s="0" customFormat="0" ht="15">
      <c r="B1768" s="69">
        <v>11413498</v>
      </c>
      <c r="C1768" s="70" t="s">
        <v>1975</v>
      </c>
      <c r="D1768" s="70" t="s">
        <v>1</v>
      </c>
      <c r="E1768" s="70" t="s">
        <v>1</v>
      </c>
      <c r="F1768" s="70"/>
      <c r="G1768" s="70" t="s">
        <v>61</v>
      </c>
      <c r="H1768" s="70" t="s">
        <v>178</v>
      </c>
      <c r="I1768" s="70" t="s">
        <v>188</v>
      </c>
      <c r="J1768" s="71">
        <f>IF(OR(I1768=0,I1768=""),"unrated",VLOOKUP(I1768,MappingTables!$B$19:$C$31,2,FALSE))</f>
        <v>2</v>
      </c>
      <c r="K1768" s="72">
        <v>72.530251895348528</v>
      </c>
      <c r="L1768" s="70">
        <v>4.7960022852631256</v>
      </c>
      <c r="M1768" s="71">
        <f>IF(L1768&lt;1,1,L1768)</f>
        <v>4.7960022852631256</v>
      </c>
      <c r="N1768" s="70" t="s">
        <v>141</v>
      </c>
      <c r="O1768" s="71">
        <f>INDEX(DurClassMapping,MATCH(M1768,MappingTables!$D$4:$D$8,-1),1)</f>
        <v>1</v>
      </c>
      <c r="P1768" s="73">
        <f>IF(M1768=$A$1,1,$M1768-INDEX(MappingTables!$E$4:$E$8,MATCH(O1768,MappingTables!$B$4:$B$8,0)))</f>
        <v>4.7960022852631256</v>
      </c>
      <c r="Q1768" s="71">
        <f>IF(B1768="",0,INDEX(ModelParameters!$D$6:$K$10,MATCH($O1768,ModelParameters!$B$6:$B$10,0),MATCH($J1768,ModelParameters!$D$5:$K$5,0)))</f>
        <v>0.013999999999999998</v>
      </c>
      <c r="R1768" s="71">
        <f>IF(B1768="",0,INDEX(ModelParameters!$D$13:$K$17,MATCH($O1768,ModelParameters!$B$13:$B$17,0),MATCH($J1768,ModelParameters!$D$5:$K$5,0)))</f>
        <v>0</v>
      </c>
      <c r="S1768" s="160">
        <f>IF(B1768="",0,MIN(IF($N1768="Other Bond TM",ModelParameters!$N$21,1)*(P1768*Q1768+R1768),1))</f>
        <v>0.067144031993683752</v>
      </c>
      <c r="T1768" s="85">
        <f>IF(B1768="",0,$S1768*$K1768)</f>
        <v>4.8699735537712232</v>
      </c>
      <c r="U1768" s="85">
        <f>IF(B1768="",0,IF(OR(H1768=MappingTables!$C$34,H1768=MappingTables!$C$35),T1768,0))</f>
        <v>0</v>
      </c>
      <c r="V1768" s="85">
        <f>IF(ISNA(IF(AND(VLOOKUP(CONCATENATE($D1768,$G1768),CSRFinput!$B:$E,4,0)=0,OR(H1768=MappingTables!$C$34,H1768=MappingTables!$C$35)),1,VLOOKUP(CONCATENATE($D1768,$G1768),CSRFinput!$B:$E,4,0))),0,IF(AND(VLOOKUP(CONCATENATE($D1768,$G1768),CSRFinput!$B:$E,4,0)=0,OR(H1768=MappingTables!$C$34,H1768=MappingTables!$C$35)),1,VLOOKUP(CONCATENATE($D1768,$G1768),CSRFinput!$B:$E,4,0)))</f>
        <v>0.054776304963434752</v>
      </c>
      <c r="W1768" s="85">
        <f>IF(B1768="",0,+$T1768*$V1768)</f>
        <v>0.26675915654523464</v>
      </c>
      <c r="X1768" s="85">
        <f>IF(B1768="",0,IF(OR(H1768=MappingTables!$C$34,H1768=MappingTables!$C$35),W1768,0))</f>
        <v>0</v>
      </c>
    </row>
    <row r="1769" spans="2:24" s="0" customFormat="0" ht="15">
      <c r="B1769" s="69" t="s">
        <v>1976</v>
      </c>
      <c r="C1769" s="70" t="s">
        <v>1977</v>
      </c>
      <c r="D1769" s="70" t="s">
        <v>1</v>
      </c>
      <c r="E1769" s="70" t="s">
        <v>1</v>
      </c>
      <c r="F1769" s="70"/>
      <c r="G1769" s="70" t="s">
        <v>61</v>
      </c>
      <c r="H1769" s="70" t="s">
        <v>178</v>
      </c>
      <c r="I1769" s="70" t="s">
        <v>184</v>
      </c>
      <c r="J1769" s="71">
        <f>IF(OR(I1769=0,I1769=""),"unrated",VLOOKUP(I1769,MappingTables!$B$19:$C$31,2,FALSE))</f>
        <v>5</v>
      </c>
      <c r="K1769" s="72">
        <v>34065.829036096148</v>
      </c>
      <c r="L1769" s="70">
        <v>7.1916988105898488</v>
      </c>
      <c r="M1769" s="71">
        <f>IF(L1769&lt;1,1,L1769)</f>
        <v>7.1916988105898488</v>
      </c>
      <c r="N1769" s="70" t="s">
        <v>141</v>
      </c>
      <c r="O1769" s="71">
        <f>INDEX(DurClassMapping,MATCH(M1769,MappingTables!$D$4:$D$8,-1),1)</f>
        <v>2</v>
      </c>
      <c r="P1769" s="73">
        <f>IF(M1769=$A$1,1,$M1769-INDEX(MappingTables!$E$4:$E$8,MATCH(O1769,MappingTables!$B$4:$B$8,0)))</f>
        <v>2.1916988105898492</v>
      </c>
      <c r="Q1769" s="71">
        <f>IF(B1769="",0,INDEX(ModelParameters!$D$6:$K$10,MATCH($O1769,ModelParameters!$B$6:$B$10,0),MATCH($J1769,ModelParameters!$D$5:$K$5,0)))</f>
        <v>0.042</v>
      </c>
      <c r="R1769" s="71">
        <f>IF(B1769="",0,INDEX(ModelParameters!$D$13:$K$17,MATCH($O1769,ModelParameters!$B$13:$B$17,0),MATCH($J1769,ModelParameters!$D$5:$K$5,0)))</f>
        <v>0.375</v>
      </c>
      <c r="S1769" s="160">
        <f>IF(B1769="",0,MIN(IF($N1769="Other Bond TM",ModelParameters!$N$21,1)*(P1769*Q1769+R1769),1))</f>
        <v>0.46705135004477368</v>
      </c>
      <c r="T1769" s="85">
        <f>IF(B1769="",0,$S1769*$K1769)</f>
        <v>15910.491441703156</v>
      </c>
      <c r="U1769" s="85">
        <f>IF(B1769="",0,IF(OR(H1769=MappingTables!$C$34,H1769=MappingTables!$C$35),T1769,0))</f>
        <v>0</v>
      </c>
      <c r="V1769" s="85">
        <f>IF(ISNA(IF(AND(VLOOKUP(CONCATENATE($D1769,$G1769),CSRFinput!$B:$E,4,0)=0,OR(H1769=MappingTables!$C$34,H1769=MappingTables!$C$35)),1,VLOOKUP(CONCATENATE($D1769,$G1769),CSRFinput!$B:$E,4,0))),0,IF(AND(VLOOKUP(CONCATENATE($D1769,$G1769),CSRFinput!$B:$E,4,0)=0,OR(H1769=MappingTables!$C$34,H1769=MappingTables!$C$35)),1,VLOOKUP(CONCATENATE($D1769,$G1769),CSRFinput!$B:$E,4,0)))</f>
        <v>0.054776304963434752</v>
      </c>
      <c r="W1769" s="85">
        <f>IF(B1769="",0,+$T1769*$V1769)</f>
        <v>871.51793132885072</v>
      </c>
      <c r="X1769" s="85">
        <f>IF(B1769="",0,IF(OR(H1769=MappingTables!$C$34,H1769=MappingTables!$C$35),W1769,0))</f>
        <v>0</v>
      </c>
    </row>
    <row r="1770" spans="2:24" s="0" customFormat="0" ht="15">
      <c r="B1770" s="69">
        <v>12147490</v>
      </c>
      <c r="C1770" s="70" t="s">
        <v>1978</v>
      </c>
      <c r="D1770" s="70" t="s">
        <v>1</v>
      </c>
      <c r="E1770" s="70" t="s">
        <v>1</v>
      </c>
      <c r="F1770" s="70"/>
      <c r="G1770" s="70" t="s">
        <v>61</v>
      </c>
      <c r="H1770" s="70" t="s">
        <v>178</v>
      </c>
      <c r="I1770" s="70" t="s">
        <v>188</v>
      </c>
      <c r="J1770" s="71">
        <f>IF(OR(I1770=0,I1770=""),"unrated",VLOOKUP(I1770,MappingTables!$B$19:$C$31,2,FALSE))</f>
        <v>2</v>
      </c>
      <c r="K1770" s="72">
        <v>1210.9642847947504</v>
      </c>
      <c r="L1770" s="70">
        <v>0.49236818973404024</v>
      </c>
      <c r="M1770" s="71">
        <f>IF(L1770&lt;1,1,L1770)</f>
        <v>1</v>
      </c>
      <c r="N1770" s="70" t="s">
        <v>141</v>
      </c>
      <c r="O1770" s="71">
        <f>INDEX(DurClassMapping,MATCH(M1770,MappingTables!$D$4:$D$8,-1),1)</f>
        <v>1</v>
      </c>
      <c r="P1770" s="73">
        <f>IF(M1770=$A$1,1,$M1770-INDEX(MappingTables!$E$4:$E$8,MATCH(O1770,MappingTables!$B$4:$B$8,0)))</f>
        <v>1</v>
      </c>
      <c r="Q1770" s="71">
        <f>IF(B1770="",0,INDEX(ModelParameters!$D$6:$K$10,MATCH($O1770,ModelParameters!$B$6:$B$10,0),MATCH($J1770,ModelParameters!$D$5:$K$5,0)))</f>
        <v>0.013999999999999998</v>
      </c>
      <c r="R1770" s="71">
        <f>IF(B1770="",0,INDEX(ModelParameters!$D$13:$K$17,MATCH($O1770,ModelParameters!$B$13:$B$17,0),MATCH($J1770,ModelParameters!$D$5:$K$5,0)))</f>
        <v>0</v>
      </c>
      <c r="S1770" s="160">
        <f>IF(B1770="",0,MIN(IF($N1770="Other Bond TM",ModelParameters!$N$21,1)*(P1770*Q1770+R1770),1))</f>
        <v>0.013999999999999998</v>
      </c>
      <c r="T1770" s="85">
        <f>IF(B1770="",0,$S1770*$K1770)</f>
        <v>16.953499987126506</v>
      </c>
      <c r="U1770" s="85">
        <f>IF(B1770="",0,IF(OR(H1770=MappingTables!$C$34,H1770=MappingTables!$C$35),T1770,0))</f>
        <v>0</v>
      </c>
      <c r="V1770" s="85">
        <f>IF(ISNA(IF(AND(VLOOKUP(CONCATENATE($D1770,$G1770),CSRFinput!$B:$E,4,0)=0,OR(H1770=MappingTables!$C$34,H1770=MappingTables!$C$35)),1,VLOOKUP(CONCATENATE($D1770,$G1770),CSRFinput!$B:$E,4,0))),0,IF(AND(VLOOKUP(CONCATENATE($D1770,$G1770),CSRFinput!$B:$E,4,0)=0,OR(H1770=MappingTables!$C$34,H1770=MappingTables!$C$35)),1,VLOOKUP(CONCATENATE($D1770,$G1770),CSRFinput!$B:$E,4,0)))</f>
        <v>0.054776304963434752</v>
      </c>
      <c r="W1770" s="85">
        <f>IF(B1770="",0,+$T1770*$V1770)</f>
        <v>0.92865008549242864</v>
      </c>
      <c r="X1770" s="85">
        <f>IF(B1770="",0,IF(OR(H1770=MappingTables!$C$34,H1770=MappingTables!$C$35),W1770,0))</f>
        <v>0</v>
      </c>
    </row>
    <row r="1771" spans="2:24" s="0" customFormat="0" ht="15">
      <c r="B1771" s="69">
        <v>19761710</v>
      </c>
      <c r="C1771" s="70" t="s">
        <v>1834</v>
      </c>
      <c r="D1771" s="70" t="s">
        <v>1</v>
      </c>
      <c r="E1771" s="70" t="s">
        <v>1</v>
      </c>
      <c r="F1771" s="70"/>
      <c r="G1771" s="70" t="s">
        <v>61</v>
      </c>
      <c r="H1771" s="70" t="s">
        <v>178</v>
      </c>
      <c r="I1771" s="70" t="s">
        <v>181</v>
      </c>
      <c r="J1771" s="71">
        <f>IF(OR(I1771=0,I1771=""),"unrated",VLOOKUP(I1771,MappingTables!$B$19:$C$31,2,FALSE))</f>
        <v>3</v>
      </c>
      <c r="K1771" s="72">
        <v>1488.9093086434448</v>
      </c>
      <c r="L1771" s="70">
        <v>0.36438694618000208</v>
      </c>
      <c r="M1771" s="71">
        <f>IF(L1771&lt;1,1,L1771)</f>
        <v>1</v>
      </c>
      <c r="N1771" s="70" t="s">
        <v>141</v>
      </c>
      <c r="O1771" s="71">
        <f>INDEX(DurClassMapping,MATCH(M1771,MappingTables!$D$4:$D$8,-1),1)</f>
        <v>1</v>
      </c>
      <c r="P1771" s="73">
        <f>IF(M1771=$A$1,1,$M1771-INDEX(MappingTables!$E$4:$E$8,MATCH(O1771,MappingTables!$B$4:$B$8,0)))</f>
        <v>1</v>
      </c>
      <c r="Q1771" s="71">
        <f>IF(B1771="",0,INDEX(ModelParameters!$D$6:$K$10,MATCH($O1771,ModelParameters!$B$6:$B$10,0),MATCH($J1771,ModelParameters!$D$5:$K$5,0)))</f>
        <v>0.025</v>
      </c>
      <c r="R1771" s="71">
        <f>IF(B1771="",0,INDEX(ModelParameters!$D$13:$K$17,MATCH($O1771,ModelParameters!$B$13:$B$17,0),MATCH($J1771,ModelParameters!$D$5:$K$5,0)))</f>
        <v>0</v>
      </c>
      <c r="S1771" s="160">
        <f>IF(B1771="",0,MIN(IF($N1771="Other Bond TM",ModelParameters!$N$21,1)*(P1771*Q1771+R1771),1))</f>
        <v>0.025</v>
      </c>
      <c r="T1771" s="85">
        <f>IF(B1771="",0,$S1771*$K1771)</f>
        <v>37.22273271608612</v>
      </c>
      <c r="U1771" s="85">
        <f>IF(B1771="",0,IF(OR(H1771=MappingTables!$C$34,H1771=MappingTables!$C$35),T1771,0))</f>
        <v>0</v>
      </c>
      <c r="V1771" s="85">
        <f>IF(ISNA(IF(AND(VLOOKUP(CONCATENATE($D1771,$G1771),CSRFinput!$B:$E,4,0)=0,OR(H1771=MappingTables!$C$34,H1771=MappingTables!$C$35)),1,VLOOKUP(CONCATENATE($D1771,$G1771),CSRFinput!$B:$E,4,0))),0,IF(AND(VLOOKUP(CONCATENATE($D1771,$G1771),CSRFinput!$B:$E,4,0)=0,OR(H1771=MappingTables!$C$34,H1771=MappingTables!$C$35)),1,VLOOKUP(CONCATENATE($D1771,$G1771),CSRFinput!$B:$E,4,0)))</f>
        <v>0.054776304963434752</v>
      </c>
      <c r="W1771" s="85">
        <f>IF(B1771="",0,+$T1771*$V1771)</f>
        <v>2.0389237588287532</v>
      </c>
      <c r="X1771" s="85">
        <f>IF(B1771="",0,IF(OR(H1771=MappingTables!$C$34,H1771=MappingTables!$C$35),W1771,0))</f>
        <v>0</v>
      </c>
    </row>
    <row r="1772" spans="2:24" s="0" customFormat="0" ht="15">
      <c r="B1772" s="69" t="s">
        <v>1979</v>
      </c>
      <c r="C1772" s="70" t="s">
        <v>1980</v>
      </c>
      <c r="D1772" s="70" t="s">
        <v>1</v>
      </c>
      <c r="E1772" s="70" t="s">
        <v>1</v>
      </c>
      <c r="F1772" s="70"/>
      <c r="G1772" s="70" t="s">
        <v>61</v>
      </c>
      <c r="H1772" s="70" t="s">
        <v>178</v>
      </c>
      <c r="I1772" s="70" t="s">
        <v>179</v>
      </c>
      <c r="J1772" s="71">
        <f>IF(OR(I1772=0,I1772=""),"unrated",VLOOKUP(I1772,MappingTables!$B$19:$C$31,2,FALSE))</f>
        <v>4</v>
      </c>
      <c r="K1772" s="72">
        <v>62.858272800460304</v>
      </c>
      <c r="L1772" s="70">
        <v>4.5105426263966024</v>
      </c>
      <c r="M1772" s="71">
        <f>IF(L1772&lt;1,1,L1772)</f>
        <v>4.5105426263966024</v>
      </c>
      <c r="N1772" s="70" t="s">
        <v>141</v>
      </c>
      <c r="O1772" s="71">
        <f>INDEX(DurClassMapping,MATCH(M1772,MappingTables!$D$4:$D$8,-1),1)</f>
        <v>1</v>
      </c>
      <c r="P1772" s="73">
        <f>IF(M1772=$A$1,1,$M1772-INDEX(MappingTables!$E$4:$E$8,MATCH(O1772,MappingTables!$B$4:$B$8,0)))</f>
        <v>4.5105426263966024</v>
      </c>
      <c r="Q1772" s="71">
        <f>IF(B1772="",0,INDEX(ModelParameters!$D$6:$K$10,MATCH($O1772,ModelParameters!$B$6:$B$10,0),MATCH($J1772,ModelParameters!$D$5:$K$5,0)))</f>
        <v>0.045</v>
      </c>
      <c r="R1772" s="71">
        <f>IF(B1772="",0,INDEX(ModelParameters!$D$13:$K$17,MATCH($O1772,ModelParameters!$B$13:$B$17,0),MATCH($J1772,ModelParameters!$D$5:$K$5,0)))</f>
        <v>0</v>
      </c>
      <c r="S1772" s="160">
        <f>IF(B1772="",0,MIN(IF($N1772="Other Bond TM",ModelParameters!$N$21,1)*(P1772*Q1772+R1772),1))</f>
        <v>0.20297441818784708</v>
      </c>
      <c r="T1772" s="85">
        <f>IF(B1772="",0,$S1772*$K1772)</f>
        <v>12.758621349966404</v>
      </c>
      <c r="U1772" s="85">
        <f>IF(B1772="",0,IF(OR(H1772=MappingTables!$C$34,H1772=MappingTables!$C$35),T1772,0))</f>
        <v>0</v>
      </c>
      <c r="V1772" s="85">
        <f>IF(ISNA(IF(AND(VLOOKUP(CONCATENATE($D1772,$G1772),CSRFinput!$B:$E,4,0)=0,OR(H1772=MappingTables!$C$34,H1772=MappingTables!$C$35)),1,VLOOKUP(CONCATENATE($D1772,$G1772),CSRFinput!$B:$E,4,0))),0,IF(AND(VLOOKUP(CONCATENATE($D1772,$G1772),CSRFinput!$B:$E,4,0)=0,OR(H1772=MappingTables!$C$34,H1772=MappingTables!$C$35)),1,VLOOKUP(CONCATENATE($D1772,$G1772),CSRFinput!$B:$E,4,0)))</f>
        <v>0.054776304963434752</v>
      </c>
      <c r="W1772" s="85">
        <f>IF(B1772="",0,+$T1772*$V1772)</f>
        <v>0.69887013397874928</v>
      </c>
      <c r="X1772" s="85">
        <f>IF(B1772="",0,IF(OR(H1772=MappingTables!$C$34,H1772=MappingTables!$C$35),W1772,0))</f>
        <v>0</v>
      </c>
    </row>
    <row r="1773" spans="2:24" s="0" customFormat="0" ht="15">
      <c r="B1773" s="69">
        <v>3613168</v>
      </c>
      <c r="C1773" s="70" t="s">
        <v>1704</v>
      </c>
      <c r="D1773" s="70" t="s">
        <v>1</v>
      </c>
      <c r="E1773" s="70" t="s">
        <v>1</v>
      </c>
      <c r="F1773" s="70"/>
      <c r="G1773" s="70" t="s">
        <v>61</v>
      </c>
      <c r="H1773" s="70" t="s">
        <v>178</v>
      </c>
      <c r="I1773" s="70" t="s">
        <v>216</v>
      </c>
      <c r="J1773" s="71">
        <f>IF(OR(I1773=0,I1773=""),"unrated",VLOOKUP(I1773,MappingTables!$B$19:$C$31,2,FALSE))</f>
        <v>0</v>
      </c>
      <c r="K1773" s="72">
        <v>1229.4856019312942</v>
      </c>
      <c r="L1773" s="70">
        <v>0.32054556889885392</v>
      </c>
      <c r="M1773" s="71">
        <f>IF(L1773&lt;1,1,L1773)</f>
        <v>1</v>
      </c>
      <c r="N1773" s="70" t="s">
        <v>141</v>
      </c>
      <c r="O1773" s="71">
        <f>INDEX(DurClassMapping,MATCH(M1773,MappingTables!$D$4:$D$8,-1),1)</f>
        <v>1</v>
      </c>
      <c r="P1773" s="73">
        <f>IF(M1773=$A$1,1,$M1773-INDEX(MappingTables!$E$4:$E$8,MATCH(O1773,MappingTables!$B$4:$B$8,0)))</f>
        <v>1</v>
      </c>
      <c r="Q1773" s="71">
        <f>IF(B1773="",0,INDEX(ModelParameters!$D$6:$K$10,MATCH($O1773,ModelParameters!$B$6:$B$10,0),MATCH($J1773,ModelParameters!$D$5:$K$5,0)))</f>
        <v>0.0090000000000000016</v>
      </c>
      <c r="R1773" s="71">
        <f>IF(B1773="",0,INDEX(ModelParameters!$D$13:$K$17,MATCH($O1773,ModelParameters!$B$13:$B$17,0),MATCH($J1773,ModelParameters!$D$5:$K$5,0)))</f>
        <v>0</v>
      </c>
      <c r="S1773" s="160">
        <f>IF(B1773="",0,MIN(IF($N1773="Other Bond TM",ModelParameters!$N$21,1)*(P1773*Q1773+R1773),1))</f>
        <v>0.0090000000000000016</v>
      </c>
      <c r="T1773" s="85">
        <f>IF(B1773="",0,$S1773*$K1773)</f>
        <v>11.065370417381648</v>
      </c>
      <c r="U1773" s="85">
        <f>IF(B1773="",0,IF(OR(H1773=MappingTables!$C$34,H1773=MappingTables!$C$35),T1773,0))</f>
        <v>0</v>
      </c>
      <c r="V1773" s="85">
        <f>IF(ISNA(IF(AND(VLOOKUP(CONCATENATE($D1773,$G1773),CSRFinput!$B:$E,4,0)=0,OR(H1773=MappingTables!$C$34,H1773=MappingTables!$C$35)),1,VLOOKUP(CONCATENATE($D1773,$G1773),CSRFinput!$B:$E,4,0))),0,IF(AND(VLOOKUP(CONCATENATE($D1773,$G1773),CSRFinput!$B:$E,4,0)=0,OR(H1773=MappingTables!$C$34,H1773=MappingTables!$C$35)),1,VLOOKUP(CONCATENATE($D1773,$G1773),CSRFinput!$B:$E,4,0)))</f>
        <v>0.054776304963434752</v>
      </c>
      <c r="W1773" s="85">
        <f>IF(B1773="",0,+$T1773*$V1773)</f>
        <v>0.60612010451586648</v>
      </c>
      <c r="X1773" s="85">
        <f>IF(B1773="",0,IF(OR(H1773=MappingTables!$C$34,H1773=MappingTables!$C$35),W1773,0))</f>
        <v>0</v>
      </c>
    </row>
    <row r="1774" spans="2:24" s="0" customFormat="0" ht="15">
      <c r="B1774" s="69">
        <v>21092295</v>
      </c>
      <c r="C1774" s="70" t="s">
        <v>1440</v>
      </c>
      <c r="D1774" s="70" t="s">
        <v>1</v>
      </c>
      <c r="E1774" s="70" t="s">
        <v>1</v>
      </c>
      <c r="F1774" s="70"/>
      <c r="G1774" s="70" t="s">
        <v>61</v>
      </c>
      <c r="H1774" s="70" t="s">
        <v>178</v>
      </c>
      <c r="I1774" s="70" t="s">
        <v>179</v>
      </c>
      <c r="J1774" s="71">
        <f>IF(OR(I1774=0,I1774=""),"unrated",VLOOKUP(I1774,MappingTables!$B$19:$C$31,2,FALSE))</f>
        <v>4</v>
      </c>
      <c r="K1774" s="72">
        <v>29502.91079488196</v>
      </c>
      <c r="L1774" s="70">
        <v>6.784952363401176</v>
      </c>
      <c r="M1774" s="71">
        <f>IF(L1774&lt;1,1,L1774)</f>
        <v>6.784952363401176</v>
      </c>
      <c r="N1774" s="70" t="s">
        <v>141</v>
      </c>
      <c r="O1774" s="71">
        <f>INDEX(DurClassMapping,MATCH(M1774,MappingTables!$D$4:$D$8,-1),1)</f>
        <v>2</v>
      </c>
      <c r="P1774" s="73">
        <f>IF(M1774=$A$1,1,$M1774-INDEX(MappingTables!$E$4:$E$8,MATCH(O1774,MappingTables!$B$4:$B$8,0)))</f>
        <v>1.7849523634011764</v>
      </c>
      <c r="Q1774" s="71">
        <f>IF(B1774="",0,INDEX(ModelParameters!$D$6:$K$10,MATCH($O1774,ModelParameters!$B$6:$B$10,0),MATCH($J1774,ModelParameters!$D$5:$K$5,0)))</f>
        <v>0.025</v>
      </c>
      <c r="R1774" s="71">
        <f>IF(B1774="",0,INDEX(ModelParameters!$D$13:$K$17,MATCH($O1774,ModelParameters!$B$13:$B$17,0),MATCH($J1774,ModelParameters!$D$5:$K$5,0)))</f>
        <v>0.225</v>
      </c>
      <c r="S1774" s="160">
        <f>IF(B1774="",0,MIN(IF($N1774="Other Bond TM",ModelParameters!$N$21,1)*(P1774*Q1774+R1774),1))</f>
        <v>0.26962380908502944</v>
      </c>
      <c r="T1774" s="85">
        <f>IF(B1774="",0,$S1774*$K1774)</f>
        <v>7954.6871876119072</v>
      </c>
      <c r="U1774" s="85">
        <f>IF(B1774="",0,IF(OR(H1774=MappingTables!$C$34,H1774=MappingTables!$C$35),T1774,0))</f>
        <v>0</v>
      </c>
      <c r="V1774" s="85">
        <f>IF(ISNA(IF(AND(VLOOKUP(CONCATENATE($D1774,$G1774),CSRFinput!$B:$E,4,0)=0,OR(H1774=MappingTables!$C$34,H1774=MappingTables!$C$35)),1,VLOOKUP(CONCATENATE($D1774,$G1774),CSRFinput!$B:$E,4,0))),0,IF(AND(VLOOKUP(CONCATENATE($D1774,$G1774),CSRFinput!$B:$E,4,0)=0,OR(H1774=MappingTables!$C$34,H1774=MappingTables!$C$35)),1,VLOOKUP(CONCATENATE($D1774,$G1774),CSRFinput!$B:$E,4,0)))</f>
        <v>0.054776304963434752</v>
      </c>
      <c r="W1774" s="85">
        <f>IF(B1774="",0,+$T1774*$V1774)</f>
        <v>435.72837127735696</v>
      </c>
      <c r="X1774" s="85">
        <f>IF(B1774="",0,IF(OR(H1774=MappingTables!$C$34,H1774=MappingTables!$C$35),W1774,0))</f>
        <v>0</v>
      </c>
    </row>
    <row r="1775" spans="2:24" s="0" customFormat="0" ht="15">
      <c r="B1775" s="69">
        <v>6494877</v>
      </c>
      <c r="C1775" s="70" t="s">
        <v>1589</v>
      </c>
      <c r="D1775" s="70" t="s">
        <v>1</v>
      </c>
      <c r="E1775" s="70" t="s">
        <v>1</v>
      </c>
      <c r="F1775" s="70"/>
      <c r="G1775" s="70" t="s">
        <v>61</v>
      </c>
      <c r="H1775" s="70" t="s">
        <v>178</v>
      </c>
      <c r="I1775" s="70" t="s">
        <v>179</v>
      </c>
      <c r="J1775" s="71">
        <f>IF(OR(I1775=0,I1775=""),"unrated",VLOOKUP(I1775,MappingTables!$B$19:$C$31,2,FALSE))</f>
        <v>4</v>
      </c>
      <c r="K1775" s="72">
        <v>4033.6063231026664</v>
      </c>
      <c r="L1775" s="70">
        <v>8.5872646577922768</v>
      </c>
      <c r="M1775" s="71">
        <f>IF(L1775&lt;1,1,L1775)</f>
        <v>8.5872646577922768</v>
      </c>
      <c r="N1775" s="70" t="s">
        <v>141</v>
      </c>
      <c r="O1775" s="71">
        <f>INDEX(DurClassMapping,MATCH(M1775,MappingTables!$D$4:$D$8,-1),1)</f>
        <v>2</v>
      </c>
      <c r="P1775" s="73">
        <f>IF(M1775=$A$1,1,$M1775-INDEX(MappingTables!$E$4:$E$8,MATCH(O1775,MappingTables!$B$4:$B$8,0)))</f>
        <v>3.5872646577922768</v>
      </c>
      <c r="Q1775" s="71">
        <f>IF(B1775="",0,INDEX(ModelParameters!$D$6:$K$10,MATCH($O1775,ModelParameters!$B$6:$B$10,0),MATCH($J1775,ModelParameters!$D$5:$K$5,0)))</f>
        <v>0.025</v>
      </c>
      <c r="R1775" s="71">
        <f>IF(B1775="",0,INDEX(ModelParameters!$D$13:$K$17,MATCH($O1775,ModelParameters!$B$13:$B$17,0),MATCH($J1775,ModelParameters!$D$5:$K$5,0)))</f>
        <v>0.225</v>
      </c>
      <c r="S1775" s="160">
        <f>IF(B1775="",0,MIN(IF($N1775="Other Bond TM",ModelParameters!$N$21,1)*(P1775*Q1775+R1775),1))</f>
        <v>0.31468161644480696</v>
      </c>
      <c r="T1775" s="85">
        <f>IF(B1775="",0,$S1775*$K1775)</f>
        <v>1269.3017578559414</v>
      </c>
      <c r="U1775" s="85">
        <f>IF(B1775="",0,IF(OR(H1775=MappingTables!$C$34,H1775=MappingTables!$C$35),T1775,0))</f>
        <v>0</v>
      </c>
      <c r="V1775" s="85">
        <f>IF(ISNA(IF(AND(VLOOKUP(CONCATENATE($D1775,$G1775),CSRFinput!$B:$E,4,0)=0,OR(H1775=MappingTables!$C$34,H1775=MappingTables!$C$35)),1,VLOOKUP(CONCATENATE($D1775,$G1775),CSRFinput!$B:$E,4,0))),0,IF(AND(VLOOKUP(CONCATENATE($D1775,$G1775),CSRFinput!$B:$E,4,0)=0,OR(H1775=MappingTables!$C$34,H1775=MappingTables!$C$35)),1,VLOOKUP(CONCATENATE($D1775,$G1775),CSRFinput!$B:$E,4,0)))</f>
        <v>0.054776304963434752</v>
      </c>
      <c r="W1775" s="85">
        <f>IF(B1775="",0,+$T1775*$V1775)</f>
        <v>69.527660178940864</v>
      </c>
      <c r="X1775" s="85">
        <f>IF(B1775="",0,IF(OR(H1775=MappingTables!$C$34,H1775=MappingTables!$C$35),W1775,0))</f>
        <v>0</v>
      </c>
    </row>
    <row r="1776" spans="2:24" s="0" customFormat="0" ht="15">
      <c r="B1776" s="69">
        <v>14723458</v>
      </c>
      <c r="C1776" s="70" t="s">
        <v>1981</v>
      </c>
      <c r="D1776" s="70" t="s">
        <v>1</v>
      </c>
      <c r="E1776" s="70" t="s">
        <v>1</v>
      </c>
      <c r="F1776" s="70"/>
      <c r="G1776" s="70" t="s">
        <v>61</v>
      </c>
      <c r="H1776" s="70" t="s">
        <v>178</v>
      </c>
      <c r="I1776" s="70" t="s">
        <v>181</v>
      </c>
      <c r="J1776" s="71">
        <f>IF(OR(I1776=0,I1776=""),"unrated",VLOOKUP(I1776,MappingTables!$B$19:$C$31,2,FALSE))</f>
        <v>3</v>
      </c>
      <c r="K1776" s="72">
        <v>13303.801473782794</v>
      </c>
      <c r="L1776" s="70">
        <v>5.7237774164062344</v>
      </c>
      <c r="M1776" s="71">
        <f>IF(L1776&lt;1,1,L1776)</f>
        <v>5.7237774164062344</v>
      </c>
      <c r="N1776" s="70" t="s">
        <v>141</v>
      </c>
      <c r="O1776" s="71">
        <f>INDEX(DurClassMapping,MATCH(M1776,MappingTables!$D$4:$D$8,-1),1)</f>
        <v>2</v>
      </c>
      <c r="P1776" s="73">
        <f>IF(M1776=$A$1,1,$M1776-INDEX(MappingTables!$E$4:$E$8,MATCH(O1776,MappingTables!$B$4:$B$8,0)))</f>
        <v>0.72377741640623408</v>
      </c>
      <c r="Q1776" s="71">
        <f>IF(B1776="",0,INDEX(ModelParameters!$D$6:$K$10,MATCH($O1776,ModelParameters!$B$6:$B$10,0),MATCH($J1776,ModelParameters!$D$5:$K$5,0)))</f>
        <v>0.015</v>
      </c>
      <c r="R1776" s="71">
        <f>IF(B1776="",0,INDEX(ModelParameters!$D$13:$K$17,MATCH($O1776,ModelParameters!$B$13:$B$17,0),MATCH($J1776,ModelParameters!$D$5:$K$5,0)))</f>
        <v>0.125</v>
      </c>
      <c r="S1776" s="160">
        <f>IF(B1776="",0,MIN(IF($N1776="Other Bond TM",ModelParameters!$N$21,1)*(P1776*Q1776+R1776),1))</f>
        <v>0.13585666124609352</v>
      </c>
      <c r="T1776" s="85">
        <f>IF(B1776="",0,$S1776*$K1776)</f>
        <v>1807.4100501089888</v>
      </c>
      <c r="U1776" s="85">
        <f>IF(B1776="",0,IF(OR(H1776=MappingTables!$C$34,H1776=MappingTables!$C$35),T1776,0))</f>
        <v>0</v>
      </c>
      <c r="V1776" s="85">
        <f>IF(ISNA(IF(AND(VLOOKUP(CONCATENATE($D1776,$G1776),CSRFinput!$B:$E,4,0)=0,OR(H1776=MappingTables!$C$34,H1776=MappingTables!$C$35)),1,VLOOKUP(CONCATENATE($D1776,$G1776),CSRFinput!$B:$E,4,0))),0,IF(AND(VLOOKUP(CONCATENATE($D1776,$G1776),CSRFinput!$B:$E,4,0)=0,OR(H1776=MappingTables!$C$34,H1776=MappingTables!$C$35)),1,VLOOKUP(CONCATENATE($D1776,$G1776),CSRFinput!$B:$E,4,0)))</f>
        <v>0.054776304963434752</v>
      </c>
      <c r="W1776" s="85">
        <f>IF(B1776="",0,+$T1776*$V1776)</f>
        <v>99.003244098746864</v>
      </c>
      <c r="X1776" s="85">
        <f>IF(B1776="",0,IF(OR(H1776=MappingTables!$C$34,H1776=MappingTables!$C$35),W1776,0))</f>
        <v>0</v>
      </c>
    </row>
    <row r="1777" spans="2:24" s="0" customFormat="0" ht="15">
      <c r="B1777" s="69">
        <v>19498501</v>
      </c>
      <c r="C1777" s="70" t="s">
        <v>1982</v>
      </c>
      <c r="D1777" s="70" t="s">
        <v>1</v>
      </c>
      <c r="E1777" s="70" t="s">
        <v>1</v>
      </c>
      <c r="F1777" s="70"/>
      <c r="G1777" s="70" t="s">
        <v>61</v>
      </c>
      <c r="H1777" s="70" t="s">
        <v>178</v>
      </c>
      <c r="I1777" s="70" t="s">
        <v>181</v>
      </c>
      <c r="J1777" s="71">
        <f>IF(OR(I1777=0,I1777=""),"unrated",VLOOKUP(I1777,MappingTables!$B$19:$C$31,2,FALSE))</f>
        <v>3</v>
      </c>
      <c r="K1777" s="72">
        <v>75168.098366385424</v>
      </c>
      <c r="L1777" s="70">
        <v>5.083189460480564</v>
      </c>
      <c r="M1777" s="71">
        <f>IF(L1777&lt;1,1,L1777)</f>
        <v>5.083189460480564</v>
      </c>
      <c r="N1777" s="70" t="s">
        <v>141</v>
      </c>
      <c r="O1777" s="71">
        <f>INDEX(DurClassMapping,MATCH(M1777,MappingTables!$D$4:$D$8,-1),1)</f>
        <v>2</v>
      </c>
      <c r="P1777" s="73">
        <f>IF(M1777=$A$1,1,$M1777-INDEX(MappingTables!$E$4:$E$8,MATCH(O1777,MappingTables!$B$4:$B$8,0)))</f>
        <v>0.083189460480563856</v>
      </c>
      <c r="Q1777" s="71">
        <f>IF(B1777="",0,INDEX(ModelParameters!$D$6:$K$10,MATCH($O1777,ModelParameters!$B$6:$B$10,0),MATCH($J1777,ModelParameters!$D$5:$K$5,0)))</f>
        <v>0.015</v>
      </c>
      <c r="R1777" s="71">
        <f>IF(B1777="",0,INDEX(ModelParameters!$D$13:$K$17,MATCH($O1777,ModelParameters!$B$13:$B$17,0),MATCH($J1777,ModelParameters!$D$5:$K$5,0)))</f>
        <v>0.125</v>
      </c>
      <c r="S1777" s="160">
        <f>IF(B1777="",0,MIN(IF($N1777="Other Bond TM",ModelParameters!$N$21,1)*(P1777*Q1777+R1777),1))</f>
        <v>0.12624784190720844</v>
      </c>
      <c r="T1777" s="85">
        <f>IF(B1777="",0,$S1777*$K1777)</f>
        <v>9489.8101990249216</v>
      </c>
      <c r="U1777" s="85">
        <f>IF(B1777="",0,IF(OR(H1777=MappingTables!$C$34,H1777=MappingTables!$C$35),T1777,0))</f>
        <v>0</v>
      </c>
      <c r="V1777" s="85">
        <f>IF(ISNA(IF(AND(VLOOKUP(CONCATENATE($D1777,$G1777),CSRFinput!$B:$E,4,0)=0,OR(H1777=MappingTables!$C$34,H1777=MappingTables!$C$35)),1,VLOOKUP(CONCATENATE($D1777,$G1777),CSRFinput!$B:$E,4,0))),0,IF(AND(VLOOKUP(CONCATENATE($D1777,$G1777),CSRFinput!$B:$E,4,0)=0,OR(H1777=MappingTables!$C$34,H1777=MappingTables!$C$35)),1,VLOOKUP(CONCATENATE($D1777,$G1777),CSRFinput!$B:$E,4,0)))</f>
        <v>0.054776304963434752</v>
      </c>
      <c r="W1777" s="85">
        <f>IF(B1777="",0,+$T1777*$V1777)</f>
        <v>519.81673750690256</v>
      </c>
      <c r="X1777" s="85">
        <f>IF(B1777="",0,IF(OR(H1777=MappingTables!$C$34,H1777=MappingTables!$C$35),W1777,0))</f>
        <v>0</v>
      </c>
    </row>
    <row r="1778" spans="2:24" s="0" customFormat="0" ht="15">
      <c r="B1778" s="69">
        <v>24359615</v>
      </c>
      <c r="C1778" s="70" t="s">
        <v>1983</v>
      </c>
      <c r="D1778" s="70" t="s">
        <v>1</v>
      </c>
      <c r="E1778" s="70" t="s">
        <v>1</v>
      </c>
      <c r="F1778" s="70"/>
      <c r="G1778" s="70" t="s">
        <v>61</v>
      </c>
      <c r="H1778" s="70" t="s">
        <v>178</v>
      </c>
      <c r="I1778" s="70" t="s">
        <v>179</v>
      </c>
      <c r="J1778" s="71">
        <f>IF(OR(I1778=0,I1778=""),"unrated",VLOOKUP(I1778,MappingTables!$B$19:$C$31,2,FALSE))</f>
        <v>4</v>
      </c>
      <c r="K1778" s="72">
        <v>20730.183602715124</v>
      </c>
      <c r="L1778" s="70">
        <v>2.2079953213093488</v>
      </c>
      <c r="M1778" s="71">
        <f>IF(L1778&lt;1,1,L1778)</f>
        <v>2.2079953213093488</v>
      </c>
      <c r="N1778" s="70" t="s">
        <v>141</v>
      </c>
      <c r="O1778" s="71">
        <f>INDEX(DurClassMapping,MATCH(M1778,MappingTables!$D$4:$D$8,-1),1)</f>
        <v>1</v>
      </c>
      <c r="P1778" s="73">
        <f>IF(M1778=$A$1,1,$M1778-INDEX(MappingTables!$E$4:$E$8,MATCH(O1778,MappingTables!$B$4:$B$8,0)))</f>
        <v>2.2079953213093488</v>
      </c>
      <c r="Q1778" s="71">
        <f>IF(B1778="",0,INDEX(ModelParameters!$D$6:$K$10,MATCH($O1778,ModelParameters!$B$6:$B$10,0),MATCH($J1778,ModelParameters!$D$5:$K$5,0)))</f>
        <v>0.045</v>
      </c>
      <c r="R1778" s="71">
        <f>IF(B1778="",0,INDEX(ModelParameters!$D$13:$K$17,MATCH($O1778,ModelParameters!$B$13:$B$17,0),MATCH($J1778,ModelParameters!$D$5:$K$5,0)))</f>
        <v>0</v>
      </c>
      <c r="S1778" s="160">
        <f>IF(B1778="",0,MIN(IF($N1778="Other Bond TM",ModelParameters!$N$21,1)*(P1778*Q1778+R1778),1))</f>
        <v>0.099359789458920704</v>
      </c>
      <c r="T1778" s="85">
        <f>IF(B1778="",0,$S1778*$K1778)</f>
        <v>2059.7466782105448</v>
      </c>
      <c r="U1778" s="85">
        <f>IF(B1778="",0,IF(OR(H1778=MappingTables!$C$34,H1778=MappingTables!$C$35),T1778,0))</f>
        <v>0</v>
      </c>
      <c r="V1778" s="85">
        <f>IF(ISNA(IF(AND(VLOOKUP(CONCATENATE($D1778,$G1778),CSRFinput!$B:$E,4,0)=0,OR(H1778=MappingTables!$C$34,H1778=MappingTables!$C$35)),1,VLOOKUP(CONCATENATE($D1778,$G1778),CSRFinput!$B:$E,4,0))),0,IF(AND(VLOOKUP(CONCATENATE($D1778,$G1778),CSRFinput!$B:$E,4,0)=0,OR(H1778=MappingTables!$C$34,H1778=MappingTables!$C$35)),1,VLOOKUP(CONCATENATE($D1778,$G1778),CSRFinput!$B:$E,4,0)))</f>
        <v>0.054776304963434752</v>
      </c>
      <c r="W1778" s="85">
        <f>IF(B1778="",0,+$T1778*$V1778)</f>
        <v>112.82531219308252</v>
      </c>
      <c r="X1778" s="85">
        <f>IF(B1778="",0,IF(OR(H1778=MappingTables!$C$34,H1778=MappingTables!$C$35),W1778,0))</f>
        <v>0</v>
      </c>
    </row>
    <row r="1779" spans="2:24" s="0" customFormat="0" ht="15">
      <c r="B1779" s="69" t="s">
        <v>1984</v>
      </c>
      <c r="C1779" s="70" t="s">
        <v>1985</v>
      </c>
      <c r="D1779" s="70" t="s">
        <v>1</v>
      </c>
      <c r="E1779" s="70" t="s">
        <v>1</v>
      </c>
      <c r="F1779" s="70"/>
      <c r="G1779" s="70" t="s">
        <v>61</v>
      </c>
      <c r="H1779" s="70" t="s">
        <v>178</v>
      </c>
      <c r="I1779" s="70" t="s">
        <v>220</v>
      </c>
      <c r="J1779" s="71">
        <f>IF(OR(I1779=0,I1779=""),"unrated",VLOOKUP(I1779,MappingTables!$B$19:$C$31,2,FALSE))</f>
        <v>1</v>
      </c>
      <c r="K1779" s="72">
        <v>79.497847625302464</v>
      </c>
      <c r="L1779" s="70">
        <v>0.75815828920168576</v>
      </c>
      <c r="M1779" s="71">
        <f>IF(L1779&lt;1,1,L1779)</f>
        <v>1</v>
      </c>
      <c r="N1779" s="70" t="s">
        <v>141</v>
      </c>
      <c r="O1779" s="71">
        <f>INDEX(DurClassMapping,MATCH(M1779,MappingTables!$D$4:$D$8,-1),1)</f>
        <v>1</v>
      </c>
      <c r="P1779" s="73">
        <f>IF(M1779=$A$1,1,$M1779-INDEX(MappingTables!$E$4:$E$8,MATCH(O1779,MappingTables!$B$4:$B$8,0)))</f>
        <v>1</v>
      </c>
      <c r="Q1779" s="71">
        <f>IF(B1779="",0,INDEX(ModelParameters!$D$6:$K$10,MATCH($O1779,ModelParameters!$B$6:$B$10,0),MATCH($J1779,ModelParameters!$D$5:$K$5,0)))</f>
        <v>0.011000000000000002</v>
      </c>
      <c r="R1779" s="71">
        <f>IF(B1779="",0,INDEX(ModelParameters!$D$13:$K$17,MATCH($O1779,ModelParameters!$B$13:$B$17,0),MATCH($J1779,ModelParameters!$D$5:$K$5,0)))</f>
        <v>0</v>
      </c>
      <c r="S1779" s="160">
        <f>IF(B1779="",0,MIN(IF($N1779="Other Bond TM",ModelParameters!$N$21,1)*(P1779*Q1779+R1779),1))</f>
        <v>0.011000000000000002</v>
      </c>
      <c r="T1779" s="85">
        <f>IF(B1779="",0,$S1779*$K1779)</f>
        <v>0.87447632387832736</v>
      </c>
      <c r="U1779" s="85">
        <f>IF(B1779="",0,IF(OR(H1779=MappingTables!$C$34,H1779=MappingTables!$C$35),T1779,0))</f>
        <v>0</v>
      </c>
      <c r="V1779" s="85">
        <f>IF(ISNA(IF(AND(VLOOKUP(CONCATENATE($D1779,$G1779),CSRFinput!$B:$E,4,0)=0,OR(H1779=MappingTables!$C$34,H1779=MappingTables!$C$35)),1,VLOOKUP(CONCATENATE($D1779,$G1779),CSRFinput!$B:$E,4,0))),0,IF(AND(VLOOKUP(CONCATENATE($D1779,$G1779),CSRFinput!$B:$E,4,0)=0,OR(H1779=MappingTables!$C$34,H1779=MappingTables!$C$35)),1,VLOOKUP(CONCATENATE($D1779,$G1779),CSRFinput!$B:$E,4,0)))</f>
        <v>0.054776304963434752</v>
      </c>
      <c r="W1779" s="85">
        <f>IF(B1779="",0,+$T1779*$V1779)</f>
        <v>0.0479005818000626</v>
      </c>
      <c r="X1779" s="85">
        <f>IF(B1779="",0,IF(OR(H1779=MappingTables!$C$34,H1779=MappingTables!$C$35),W1779,0))</f>
        <v>0</v>
      </c>
    </row>
    <row r="1780" spans="2:24" s="0" customFormat="0" ht="15">
      <c r="B1780" s="69">
        <v>14060700</v>
      </c>
      <c r="C1780" s="70" t="s">
        <v>1200</v>
      </c>
      <c r="D1780" s="70" t="s">
        <v>1</v>
      </c>
      <c r="E1780" s="70" t="s">
        <v>1</v>
      </c>
      <c r="F1780" s="70"/>
      <c r="G1780" s="70" t="s">
        <v>61</v>
      </c>
      <c r="H1780" s="70" t="s">
        <v>178</v>
      </c>
      <c r="I1780" s="70" t="s">
        <v>181</v>
      </c>
      <c r="J1780" s="71">
        <f>IF(OR(I1780=0,I1780=""),"unrated",VLOOKUP(I1780,MappingTables!$B$19:$C$31,2,FALSE))</f>
        <v>3</v>
      </c>
      <c r="K1780" s="72">
        <v>263.81197417358832</v>
      </c>
      <c r="L1780" s="70">
        <v>1.2942828918036074</v>
      </c>
      <c r="M1780" s="71">
        <f>IF(L1780&lt;1,1,L1780)</f>
        <v>1.2942828918036074</v>
      </c>
      <c r="N1780" s="70" t="s">
        <v>141</v>
      </c>
      <c r="O1780" s="71">
        <f>INDEX(DurClassMapping,MATCH(M1780,MappingTables!$D$4:$D$8,-1),1)</f>
        <v>1</v>
      </c>
      <c r="P1780" s="73">
        <f>IF(M1780=$A$1,1,$M1780-INDEX(MappingTables!$E$4:$E$8,MATCH(O1780,MappingTables!$B$4:$B$8,0)))</f>
        <v>1.2942828918036074</v>
      </c>
      <c r="Q1780" s="71">
        <f>IF(B1780="",0,INDEX(ModelParameters!$D$6:$K$10,MATCH($O1780,ModelParameters!$B$6:$B$10,0),MATCH($J1780,ModelParameters!$D$5:$K$5,0)))</f>
        <v>0.025</v>
      </c>
      <c r="R1780" s="71">
        <f>IF(B1780="",0,INDEX(ModelParameters!$D$13:$K$17,MATCH($O1780,ModelParameters!$B$13:$B$17,0),MATCH($J1780,ModelParameters!$D$5:$K$5,0)))</f>
        <v>0</v>
      </c>
      <c r="S1780" s="160">
        <f>IF(B1780="",0,MIN(IF($N1780="Other Bond TM",ModelParameters!$N$21,1)*(P1780*Q1780+R1780),1))</f>
        <v>0.032357072295090184</v>
      </c>
      <c r="T1780" s="85">
        <f>IF(B1780="",0,$S1780*$K1780)</f>
        <v>8.5361831206452624</v>
      </c>
      <c r="U1780" s="85">
        <f>IF(B1780="",0,IF(OR(H1780=MappingTables!$C$34,H1780=MappingTables!$C$35),T1780,0))</f>
        <v>0</v>
      </c>
      <c r="V1780" s="85">
        <f>IF(ISNA(IF(AND(VLOOKUP(CONCATENATE($D1780,$G1780),CSRFinput!$B:$E,4,0)=0,OR(H1780=MappingTables!$C$34,H1780=MappingTables!$C$35)),1,VLOOKUP(CONCATENATE($D1780,$G1780),CSRFinput!$B:$E,4,0))),0,IF(AND(VLOOKUP(CONCATENATE($D1780,$G1780),CSRFinput!$B:$E,4,0)=0,OR(H1780=MappingTables!$C$34,H1780=MappingTables!$C$35)),1,VLOOKUP(CONCATENATE($D1780,$G1780),CSRFinput!$B:$E,4,0)))</f>
        <v>0.054776304963434752</v>
      </c>
      <c r="W1780" s="85">
        <f>IF(B1780="",0,+$T1780*$V1780)</f>
        <v>0.46758056984018904</v>
      </c>
      <c r="X1780" s="85">
        <f>IF(B1780="",0,IF(OR(H1780=MappingTables!$C$34,H1780=MappingTables!$C$35),W1780,0))</f>
        <v>0</v>
      </c>
    </row>
    <row r="1781" spans="2:24" s="0" customFormat="0" ht="15">
      <c r="B1781" s="69">
        <v>23118780</v>
      </c>
      <c r="C1781" s="70" t="s">
        <v>1986</v>
      </c>
      <c r="D1781" s="70" t="s">
        <v>1</v>
      </c>
      <c r="E1781" s="70" t="s">
        <v>1</v>
      </c>
      <c r="F1781" s="70"/>
      <c r="G1781" s="70" t="s">
        <v>61</v>
      </c>
      <c r="H1781" s="70" t="s">
        <v>178</v>
      </c>
      <c r="I1781" s="70" t="s">
        <v>181</v>
      </c>
      <c r="J1781" s="71">
        <f>IF(OR(I1781=0,I1781=""),"unrated",VLOOKUP(I1781,MappingTables!$B$19:$C$31,2,FALSE))</f>
        <v>3</v>
      </c>
      <c r="K1781" s="72">
        <v>6084.8279284727624</v>
      </c>
      <c r="L1781" s="70">
        <v>0.3479456716809104</v>
      </c>
      <c r="M1781" s="71">
        <f>IF(L1781&lt;1,1,L1781)</f>
        <v>1</v>
      </c>
      <c r="N1781" s="70" t="s">
        <v>141</v>
      </c>
      <c r="O1781" s="71">
        <f>INDEX(DurClassMapping,MATCH(M1781,MappingTables!$D$4:$D$8,-1),1)</f>
        <v>1</v>
      </c>
      <c r="P1781" s="73">
        <f>IF(M1781=$A$1,1,$M1781-INDEX(MappingTables!$E$4:$E$8,MATCH(O1781,MappingTables!$B$4:$B$8,0)))</f>
        <v>1</v>
      </c>
      <c r="Q1781" s="71">
        <f>IF(B1781="",0,INDEX(ModelParameters!$D$6:$K$10,MATCH($O1781,ModelParameters!$B$6:$B$10,0),MATCH($J1781,ModelParameters!$D$5:$K$5,0)))</f>
        <v>0.025</v>
      </c>
      <c r="R1781" s="71">
        <f>IF(B1781="",0,INDEX(ModelParameters!$D$13:$K$17,MATCH($O1781,ModelParameters!$B$13:$B$17,0),MATCH($J1781,ModelParameters!$D$5:$K$5,0)))</f>
        <v>0</v>
      </c>
      <c r="S1781" s="160">
        <f>IF(B1781="",0,MIN(IF($N1781="Other Bond TM",ModelParameters!$N$21,1)*(P1781*Q1781+R1781),1))</f>
        <v>0.025</v>
      </c>
      <c r="T1781" s="85">
        <f>IF(B1781="",0,$S1781*$K1781)</f>
        <v>152.12069821181908</v>
      </c>
      <c r="U1781" s="85">
        <f>IF(B1781="",0,IF(OR(H1781=MappingTables!$C$34,H1781=MappingTables!$C$35),T1781,0))</f>
        <v>0</v>
      </c>
      <c r="V1781" s="85">
        <f>IF(ISNA(IF(AND(VLOOKUP(CONCATENATE($D1781,$G1781),CSRFinput!$B:$E,4,0)=0,OR(H1781=MappingTables!$C$34,H1781=MappingTables!$C$35)),1,VLOOKUP(CONCATENATE($D1781,$G1781),CSRFinput!$B:$E,4,0))),0,IF(AND(VLOOKUP(CONCATENATE($D1781,$G1781),CSRFinput!$B:$E,4,0)=0,OR(H1781=MappingTables!$C$34,H1781=MappingTables!$C$35)),1,VLOOKUP(CONCATENATE($D1781,$G1781),CSRFinput!$B:$E,4,0)))</f>
        <v>0.054776304963434752</v>
      </c>
      <c r="W1781" s="85">
        <f>IF(B1781="",0,+$T1781*$V1781)</f>
        <v>8.3326097565012256</v>
      </c>
      <c r="X1781" s="85">
        <f>IF(B1781="",0,IF(OR(H1781=MappingTables!$C$34,H1781=MappingTables!$C$35),W1781,0))</f>
        <v>0</v>
      </c>
    </row>
    <row r="1782" spans="2:24" s="0" customFormat="0" ht="15">
      <c r="B1782" s="69">
        <v>19647685</v>
      </c>
      <c r="C1782" s="70" t="s">
        <v>1987</v>
      </c>
      <c r="D1782" s="70" t="s">
        <v>1</v>
      </c>
      <c r="E1782" s="70" t="s">
        <v>1</v>
      </c>
      <c r="F1782" s="70"/>
      <c r="G1782" s="70" t="s">
        <v>61</v>
      </c>
      <c r="H1782" s="70" t="s">
        <v>178</v>
      </c>
      <c r="I1782" s="70" t="s">
        <v>184</v>
      </c>
      <c r="J1782" s="71">
        <f>IF(OR(I1782=0,I1782=""),"unrated",VLOOKUP(I1782,MappingTables!$B$19:$C$31,2,FALSE))</f>
        <v>5</v>
      </c>
      <c r="K1782" s="72">
        <v>72520.52846222352</v>
      </c>
      <c r="L1782" s="70">
        <v>6.858855248267524</v>
      </c>
      <c r="M1782" s="71">
        <f>IF(L1782&lt;1,1,L1782)</f>
        <v>6.858855248267524</v>
      </c>
      <c r="N1782" s="70" t="s">
        <v>141</v>
      </c>
      <c r="O1782" s="71">
        <f>INDEX(DurClassMapping,MATCH(M1782,MappingTables!$D$4:$D$8,-1),1)</f>
        <v>2</v>
      </c>
      <c r="P1782" s="73">
        <f>IF(M1782=$A$1,1,$M1782-INDEX(MappingTables!$E$4:$E$8,MATCH(O1782,MappingTables!$B$4:$B$8,0)))</f>
        <v>1.858855248267524</v>
      </c>
      <c r="Q1782" s="71">
        <f>IF(B1782="",0,INDEX(ModelParameters!$D$6:$K$10,MATCH($O1782,ModelParameters!$B$6:$B$10,0),MATCH($J1782,ModelParameters!$D$5:$K$5,0)))</f>
        <v>0.042</v>
      </c>
      <c r="R1782" s="71">
        <f>IF(B1782="",0,INDEX(ModelParameters!$D$13:$K$17,MATCH($O1782,ModelParameters!$B$13:$B$17,0),MATCH($J1782,ModelParameters!$D$5:$K$5,0)))</f>
        <v>0.375</v>
      </c>
      <c r="S1782" s="160">
        <f>IF(B1782="",0,MIN(IF($N1782="Other Bond TM",ModelParameters!$N$21,1)*(P1782*Q1782+R1782),1))</f>
        <v>0.453071920427236</v>
      </c>
      <c r="T1782" s="85">
        <f>IF(B1782="",0,$S1782*$K1782)</f>
        <v>32857.015100777636</v>
      </c>
      <c r="U1782" s="85">
        <f>IF(B1782="",0,IF(OR(H1782=MappingTables!$C$34,H1782=MappingTables!$C$35),T1782,0))</f>
        <v>0</v>
      </c>
      <c r="V1782" s="85">
        <f>IF(ISNA(IF(AND(VLOOKUP(CONCATENATE($D1782,$G1782),CSRFinput!$B:$E,4,0)=0,OR(H1782=MappingTables!$C$34,H1782=MappingTables!$C$35)),1,VLOOKUP(CONCATENATE($D1782,$G1782),CSRFinput!$B:$E,4,0))),0,IF(AND(VLOOKUP(CONCATENATE($D1782,$G1782),CSRFinput!$B:$E,4,0)=0,OR(H1782=MappingTables!$C$34,H1782=MappingTables!$C$35)),1,VLOOKUP(CONCATENATE($D1782,$G1782),CSRFinput!$B:$E,4,0)))</f>
        <v>0.054776304963434752</v>
      </c>
      <c r="W1782" s="85">
        <f>IF(B1782="",0,+$T1782*$V1782)</f>
        <v>1799.7858793483768</v>
      </c>
      <c r="X1782" s="85">
        <f>IF(B1782="",0,IF(OR(H1782=MappingTables!$C$34,H1782=MappingTables!$C$35),W1782,0))</f>
        <v>0</v>
      </c>
    </row>
    <row r="1783" spans="2:24" s="0" customFormat="0" ht="15">
      <c r="B1783" s="69">
        <v>19666398</v>
      </c>
      <c r="C1783" s="70" t="s">
        <v>1443</v>
      </c>
      <c r="D1783" s="70" t="s">
        <v>1</v>
      </c>
      <c r="E1783" s="70" t="s">
        <v>1</v>
      </c>
      <c r="F1783" s="70"/>
      <c r="G1783" s="70" t="s">
        <v>61</v>
      </c>
      <c r="H1783" s="70" t="s">
        <v>178</v>
      </c>
      <c r="I1783" s="70" t="s">
        <v>220</v>
      </c>
      <c r="J1783" s="71">
        <f>IF(OR(I1783=0,I1783=""),"unrated",VLOOKUP(I1783,MappingTables!$B$19:$C$31,2,FALSE))</f>
        <v>1</v>
      </c>
      <c r="K1783" s="72">
        <v>2161.9504515127608</v>
      </c>
      <c r="L1783" s="70">
        <v>1.1682251607756848</v>
      </c>
      <c r="M1783" s="71">
        <f>IF(L1783&lt;1,1,L1783)</f>
        <v>1.1682251607756848</v>
      </c>
      <c r="N1783" s="70" t="s">
        <v>141</v>
      </c>
      <c r="O1783" s="71">
        <f>INDEX(DurClassMapping,MATCH(M1783,MappingTables!$D$4:$D$8,-1),1)</f>
        <v>1</v>
      </c>
      <c r="P1783" s="73">
        <f>IF(M1783=$A$1,1,$M1783-INDEX(MappingTables!$E$4:$E$8,MATCH(O1783,MappingTables!$B$4:$B$8,0)))</f>
        <v>1.1682251607756848</v>
      </c>
      <c r="Q1783" s="71">
        <f>IF(B1783="",0,INDEX(ModelParameters!$D$6:$K$10,MATCH($O1783,ModelParameters!$B$6:$B$10,0),MATCH($J1783,ModelParameters!$D$5:$K$5,0)))</f>
        <v>0.011000000000000002</v>
      </c>
      <c r="R1783" s="71">
        <f>IF(B1783="",0,INDEX(ModelParameters!$D$13:$K$17,MATCH($O1783,ModelParameters!$B$13:$B$17,0),MATCH($J1783,ModelParameters!$D$5:$K$5,0)))</f>
        <v>0</v>
      </c>
      <c r="S1783" s="160">
        <f>IF(B1783="",0,MIN(IF($N1783="Other Bond TM",ModelParameters!$N$21,1)*(P1783*Q1783+R1783),1))</f>
        <v>0.012850476768532534</v>
      </c>
      <c r="T1783" s="85">
        <f>IF(B1783="",0,$S1783*$K1783)</f>
        <v>27.782094051883156</v>
      </c>
      <c r="U1783" s="85">
        <f>IF(B1783="",0,IF(OR(H1783=MappingTables!$C$34,H1783=MappingTables!$C$35),T1783,0))</f>
        <v>0</v>
      </c>
      <c r="V1783" s="85">
        <f>IF(ISNA(IF(AND(VLOOKUP(CONCATENATE($D1783,$G1783),CSRFinput!$B:$E,4,0)=0,OR(H1783=MappingTables!$C$34,H1783=MappingTables!$C$35)),1,VLOOKUP(CONCATENATE($D1783,$G1783),CSRFinput!$B:$E,4,0))),0,IF(AND(VLOOKUP(CONCATENATE($D1783,$G1783),CSRFinput!$B:$E,4,0)=0,OR(H1783=MappingTables!$C$34,H1783=MappingTables!$C$35)),1,VLOOKUP(CONCATENATE($D1783,$G1783),CSRFinput!$B:$E,4,0)))</f>
        <v>0.054776304963434752</v>
      </c>
      <c r="W1783" s="85">
        <f>IF(B1783="",0,+$T1783*$V1783)</f>
        <v>1.5218004563087786</v>
      </c>
      <c r="X1783" s="85">
        <f>IF(B1783="",0,IF(OR(H1783=MappingTables!$C$34,H1783=MappingTables!$C$35),W1783,0))</f>
        <v>0</v>
      </c>
    </row>
    <row r="1784" spans="2:24" s="0" customFormat="0" ht="15">
      <c r="B1784" s="69">
        <v>15405446</v>
      </c>
      <c r="C1784" s="70" t="s">
        <v>536</v>
      </c>
      <c r="D1784" s="70" t="s">
        <v>1</v>
      </c>
      <c r="E1784" s="70" t="s">
        <v>1</v>
      </c>
      <c r="F1784" s="70"/>
      <c r="G1784" s="70" t="s">
        <v>61</v>
      </c>
      <c r="H1784" s="70" t="s">
        <v>178</v>
      </c>
      <c r="I1784" s="70" t="s">
        <v>181</v>
      </c>
      <c r="J1784" s="71">
        <f>IF(OR(I1784=0,I1784=""),"unrated",VLOOKUP(I1784,MappingTables!$B$19:$C$31,2,FALSE))</f>
        <v>3</v>
      </c>
      <c r="K1784" s="72">
        <v>112.5561338860509</v>
      </c>
      <c r="L1784" s="70">
        <v>1.8498355739995788</v>
      </c>
      <c r="M1784" s="71">
        <f>IF(L1784&lt;1,1,L1784)</f>
        <v>1.8498355739995788</v>
      </c>
      <c r="N1784" s="70" t="s">
        <v>141</v>
      </c>
      <c r="O1784" s="71">
        <f>INDEX(DurClassMapping,MATCH(M1784,MappingTables!$D$4:$D$8,-1),1)</f>
        <v>1</v>
      </c>
      <c r="P1784" s="73">
        <f>IF(M1784=$A$1,1,$M1784-INDEX(MappingTables!$E$4:$E$8,MATCH(O1784,MappingTables!$B$4:$B$8,0)))</f>
        <v>1.8498355739995788</v>
      </c>
      <c r="Q1784" s="71">
        <f>IF(B1784="",0,INDEX(ModelParameters!$D$6:$K$10,MATCH($O1784,ModelParameters!$B$6:$B$10,0),MATCH($J1784,ModelParameters!$D$5:$K$5,0)))</f>
        <v>0.025</v>
      </c>
      <c r="R1784" s="71">
        <f>IF(B1784="",0,INDEX(ModelParameters!$D$13:$K$17,MATCH($O1784,ModelParameters!$B$13:$B$17,0),MATCH($J1784,ModelParameters!$D$5:$K$5,0)))</f>
        <v>0</v>
      </c>
      <c r="S1784" s="160">
        <f>IF(B1784="",0,MIN(IF($N1784="Other Bond TM",ModelParameters!$N$21,1)*(P1784*Q1784+R1784),1))</f>
        <v>0.046245889349989464</v>
      </c>
      <c r="T1784" s="85">
        <f>IF(B1784="",0,$S1784*$K1784)</f>
        <v>5.2052585133569096</v>
      </c>
      <c r="U1784" s="85">
        <f>IF(B1784="",0,IF(OR(H1784=MappingTables!$C$34,H1784=MappingTables!$C$35),T1784,0))</f>
        <v>0</v>
      </c>
      <c r="V1784" s="85">
        <f>IF(ISNA(IF(AND(VLOOKUP(CONCATENATE($D1784,$G1784),CSRFinput!$B:$E,4,0)=0,OR(H1784=MappingTables!$C$34,H1784=MappingTables!$C$35)),1,VLOOKUP(CONCATENATE($D1784,$G1784),CSRFinput!$B:$E,4,0))),0,IF(AND(VLOOKUP(CONCATENATE($D1784,$G1784),CSRFinput!$B:$E,4,0)=0,OR(H1784=MappingTables!$C$34,H1784=MappingTables!$C$35)),1,VLOOKUP(CONCATENATE($D1784,$G1784),CSRFinput!$B:$E,4,0)))</f>
        <v>0.054776304963434752</v>
      </c>
      <c r="W1784" s="85">
        <f>IF(B1784="",0,+$T1784*$V1784)</f>
        <v>0.28512482774115312</v>
      </c>
      <c r="X1784" s="85">
        <f>IF(B1784="",0,IF(OR(H1784=MappingTables!$C$34,H1784=MappingTables!$C$35),W1784,0))</f>
        <v>0</v>
      </c>
    </row>
    <row r="1785" spans="2:24" s="0" customFormat="0" ht="15">
      <c r="B1785" s="69">
        <v>22901028</v>
      </c>
      <c r="C1785" s="70" t="s">
        <v>1988</v>
      </c>
      <c r="D1785" s="70" t="s">
        <v>1</v>
      </c>
      <c r="E1785" s="70" t="s">
        <v>1</v>
      </c>
      <c r="F1785" s="70"/>
      <c r="G1785" s="70" t="s">
        <v>61</v>
      </c>
      <c r="H1785" s="70" t="s">
        <v>178</v>
      </c>
      <c r="I1785" s="70" t="s">
        <v>198</v>
      </c>
      <c r="J1785" s="71" t="str">
        <f>IF(OR(I1785=0,I1785=""),"unrated",VLOOKUP(I1785,MappingTables!$B$19:$C$31,2,FALSE))</f>
        <v>unrated</v>
      </c>
      <c r="K1785" s="72">
        <v>1645.8870907185666</v>
      </c>
      <c r="L1785" s="70">
        <v>2.2164359957119012</v>
      </c>
      <c r="M1785" s="71">
        <f>IF(L1785&lt;1,1,L1785)</f>
        <v>2.2164359957119012</v>
      </c>
      <c r="N1785" s="70" t="s">
        <v>141</v>
      </c>
      <c r="O1785" s="71">
        <f>INDEX(DurClassMapping,MATCH(M1785,MappingTables!$D$4:$D$8,-1),1)</f>
        <v>1</v>
      </c>
      <c r="P1785" s="73">
        <f>IF(M1785=$A$1,1,$M1785-INDEX(MappingTables!$E$4:$E$8,MATCH(O1785,MappingTables!$B$4:$B$8,0)))</f>
        <v>2.2164359957119012</v>
      </c>
      <c r="Q1785" s="71">
        <f>IF(B1785="",0,INDEX(ModelParameters!$D$6:$K$10,MATCH($O1785,ModelParameters!$B$6:$B$10,0),MATCH($J1785,ModelParameters!$D$5:$K$5,0)))</f>
        <v>0.03</v>
      </c>
      <c r="R1785" s="71">
        <f>IF(B1785="",0,INDEX(ModelParameters!$D$13:$K$17,MATCH($O1785,ModelParameters!$B$13:$B$17,0),MATCH($J1785,ModelParameters!$D$5:$K$5,0)))</f>
        <v>0</v>
      </c>
      <c r="S1785" s="160">
        <f>IF(B1785="",0,MIN(IF($N1785="Other Bond TM",ModelParameters!$N$21,1)*(P1785*Q1785+R1785),1))</f>
        <v>0.066493079871357024</v>
      </c>
      <c r="T1785" s="85">
        <f>IF(B1785="",0,$S1785*$K1785)</f>
        <v>109.4401017823851</v>
      </c>
      <c r="U1785" s="85">
        <f>IF(B1785="",0,IF(OR(H1785=MappingTables!$C$34,H1785=MappingTables!$C$35),T1785,0))</f>
        <v>0</v>
      </c>
      <c r="V1785" s="85">
        <f>IF(ISNA(IF(AND(VLOOKUP(CONCATENATE($D1785,$G1785),CSRFinput!$B:$E,4,0)=0,OR(H1785=MappingTables!$C$34,H1785=MappingTables!$C$35)),1,VLOOKUP(CONCATENATE($D1785,$G1785),CSRFinput!$B:$E,4,0))),0,IF(AND(VLOOKUP(CONCATENATE($D1785,$G1785),CSRFinput!$B:$E,4,0)=0,OR(H1785=MappingTables!$C$34,H1785=MappingTables!$C$35)),1,VLOOKUP(CONCATENATE($D1785,$G1785),CSRFinput!$B:$E,4,0)))</f>
        <v>0.054776304963434752</v>
      </c>
      <c r="W1785" s="85">
        <f>IF(B1785="",0,+$T1785*$V1785)</f>
        <v>5.9947243904612656</v>
      </c>
      <c r="X1785" s="85">
        <f>IF(B1785="",0,IF(OR(H1785=MappingTables!$C$34,H1785=MappingTables!$C$35),W1785,0))</f>
        <v>0</v>
      </c>
    </row>
    <row r="1786" spans="2:24" s="0" customFormat="0" ht="15">
      <c r="B1786" s="69">
        <v>16971309</v>
      </c>
      <c r="C1786" s="70" t="s">
        <v>1989</v>
      </c>
      <c r="D1786" s="70" t="s">
        <v>1</v>
      </c>
      <c r="E1786" s="70" t="s">
        <v>1</v>
      </c>
      <c r="F1786" s="70"/>
      <c r="G1786" s="70" t="s">
        <v>61</v>
      </c>
      <c r="H1786" s="70" t="s">
        <v>178</v>
      </c>
      <c r="I1786" s="70" t="s">
        <v>179</v>
      </c>
      <c r="J1786" s="71">
        <f>IF(OR(I1786=0,I1786=""),"unrated",VLOOKUP(I1786,MappingTables!$B$19:$C$31,2,FALSE))</f>
        <v>4</v>
      </c>
      <c r="K1786" s="72">
        <v>10530.76217593867</v>
      </c>
      <c r="L1786" s="70">
        <v>2.3231053304333636</v>
      </c>
      <c r="M1786" s="71">
        <f>IF(L1786&lt;1,1,L1786)</f>
        <v>2.3231053304333636</v>
      </c>
      <c r="N1786" s="70" t="s">
        <v>141</v>
      </c>
      <c r="O1786" s="71">
        <f>INDEX(DurClassMapping,MATCH(M1786,MappingTables!$D$4:$D$8,-1),1)</f>
        <v>1</v>
      </c>
      <c r="P1786" s="73">
        <f>IF(M1786=$A$1,1,$M1786-INDEX(MappingTables!$E$4:$E$8,MATCH(O1786,MappingTables!$B$4:$B$8,0)))</f>
        <v>2.3231053304333636</v>
      </c>
      <c r="Q1786" s="71">
        <f>IF(B1786="",0,INDEX(ModelParameters!$D$6:$K$10,MATCH($O1786,ModelParameters!$B$6:$B$10,0),MATCH($J1786,ModelParameters!$D$5:$K$5,0)))</f>
        <v>0.045</v>
      </c>
      <c r="R1786" s="71">
        <f>IF(B1786="",0,INDEX(ModelParameters!$D$13:$K$17,MATCH($O1786,ModelParameters!$B$13:$B$17,0),MATCH($J1786,ModelParameters!$D$5:$K$5,0)))</f>
        <v>0</v>
      </c>
      <c r="S1786" s="160">
        <f>IF(B1786="",0,MIN(IF($N1786="Other Bond TM",ModelParameters!$N$21,1)*(P1786*Q1786+R1786),1))</f>
        <v>0.10453973986950136</v>
      </c>
      <c r="T1786" s="85">
        <f>IF(B1786="",0,$S1786*$K1786)</f>
        <v>1100.8831385002126</v>
      </c>
      <c r="U1786" s="85">
        <f>IF(B1786="",0,IF(OR(H1786=MappingTables!$C$34,H1786=MappingTables!$C$35),T1786,0))</f>
        <v>0</v>
      </c>
      <c r="V1786" s="85">
        <f>IF(ISNA(IF(AND(VLOOKUP(CONCATENATE($D1786,$G1786),CSRFinput!$B:$E,4,0)=0,OR(H1786=MappingTables!$C$34,H1786=MappingTables!$C$35)),1,VLOOKUP(CONCATENATE($D1786,$G1786),CSRFinput!$B:$E,4,0))),0,IF(AND(VLOOKUP(CONCATENATE($D1786,$G1786),CSRFinput!$B:$E,4,0)=0,OR(H1786=MappingTables!$C$34,H1786=MappingTables!$C$35)),1,VLOOKUP(CONCATENATE($D1786,$G1786),CSRFinput!$B:$E,4,0)))</f>
        <v>0.054776304963434752</v>
      </c>
      <c r="W1786" s="85">
        <f>IF(B1786="",0,+$T1786*$V1786)</f>
        <v>60.302310523590824</v>
      </c>
      <c r="X1786" s="85">
        <f>IF(B1786="",0,IF(OR(H1786=MappingTables!$C$34,H1786=MappingTables!$C$35),W1786,0))</f>
        <v>0</v>
      </c>
    </row>
    <row r="1787" spans="2:24" s="0" customFormat="0" ht="15">
      <c r="B1787" s="69">
        <v>12406019</v>
      </c>
      <c r="C1787" s="70" t="s">
        <v>1352</v>
      </c>
      <c r="D1787" s="70" t="s">
        <v>1</v>
      </c>
      <c r="E1787" s="70" t="s">
        <v>1</v>
      </c>
      <c r="F1787" s="70"/>
      <c r="G1787" s="70" t="s">
        <v>61</v>
      </c>
      <c r="H1787" s="70" t="s">
        <v>178</v>
      </c>
      <c r="I1787" s="70" t="s">
        <v>181</v>
      </c>
      <c r="J1787" s="71">
        <f>IF(OR(I1787=0,I1787=""),"unrated",VLOOKUP(I1787,MappingTables!$B$19:$C$31,2,FALSE))</f>
        <v>3</v>
      </c>
      <c r="K1787" s="72">
        <v>5964.8525182675232</v>
      </c>
      <c r="L1787" s="70">
        <v>0.61901156745686856</v>
      </c>
      <c r="M1787" s="71">
        <f>IF(L1787&lt;1,1,L1787)</f>
        <v>1</v>
      </c>
      <c r="N1787" s="70" t="s">
        <v>141</v>
      </c>
      <c r="O1787" s="71">
        <f>INDEX(DurClassMapping,MATCH(M1787,MappingTables!$D$4:$D$8,-1),1)</f>
        <v>1</v>
      </c>
      <c r="P1787" s="73">
        <f>IF(M1787=$A$1,1,$M1787-INDEX(MappingTables!$E$4:$E$8,MATCH(O1787,MappingTables!$B$4:$B$8,0)))</f>
        <v>1</v>
      </c>
      <c r="Q1787" s="71">
        <f>IF(B1787="",0,INDEX(ModelParameters!$D$6:$K$10,MATCH($O1787,ModelParameters!$B$6:$B$10,0),MATCH($J1787,ModelParameters!$D$5:$K$5,0)))</f>
        <v>0.025</v>
      </c>
      <c r="R1787" s="71">
        <f>IF(B1787="",0,INDEX(ModelParameters!$D$13:$K$17,MATCH($O1787,ModelParameters!$B$13:$B$17,0),MATCH($J1787,ModelParameters!$D$5:$K$5,0)))</f>
        <v>0</v>
      </c>
      <c r="S1787" s="160">
        <f>IF(B1787="",0,MIN(IF($N1787="Other Bond TM",ModelParameters!$N$21,1)*(P1787*Q1787+R1787),1))</f>
        <v>0.025</v>
      </c>
      <c r="T1787" s="85">
        <f>IF(B1787="",0,$S1787*$K1787)</f>
        <v>149.12131295668808</v>
      </c>
      <c r="U1787" s="85">
        <f>IF(B1787="",0,IF(OR(H1787=MappingTables!$C$34,H1787=MappingTables!$C$35),T1787,0))</f>
        <v>0</v>
      </c>
      <c r="V1787" s="85">
        <f>IF(ISNA(IF(AND(VLOOKUP(CONCATENATE($D1787,$G1787),CSRFinput!$B:$E,4,0)=0,OR(H1787=MappingTables!$C$34,H1787=MappingTables!$C$35)),1,VLOOKUP(CONCATENATE($D1787,$G1787),CSRFinput!$B:$E,4,0))),0,IF(AND(VLOOKUP(CONCATENATE($D1787,$G1787),CSRFinput!$B:$E,4,0)=0,OR(H1787=MappingTables!$C$34,H1787=MappingTables!$C$35)),1,VLOOKUP(CONCATENATE($D1787,$G1787),CSRFinput!$B:$E,4,0)))</f>
        <v>0.054776304963434752</v>
      </c>
      <c r="W1787" s="85">
        <f>IF(B1787="",0,+$T1787*$V1787)</f>
        <v>8.1683145150633408</v>
      </c>
      <c r="X1787" s="85">
        <f>IF(B1787="",0,IF(OR(H1787=MappingTables!$C$34,H1787=MappingTables!$C$35),W1787,0))</f>
        <v>0</v>
      </c>
    </row>
    <row r="1788" spans="2:24" s="0" customFormat="0" ht="15">
      <c r="B1788" s="69" t="s">
        <v>1990</v>
      </c>
      <c r="C1788" s="70" t="s">
        <v>1991</v>
      </c>
      <c r="D1788" s="70" t="s">
        <v>1</v>
      </c>
      <c r="E1788" s="70" t="s">
        <v>1</v>
      </c>
      <c r="F1788" s="70"/>
      <c r="G1788" s="70" t="s">
        <v>61</v>
      </c>
      <c r="H1788" s="70" t="s">
        <v>178</v>
      </c>
      <c r="I1788" s="70" t="s">
        <v>181</v>
      </c>
      <c r="J1788" s="71">
        <f>IF(OR(I1788=0,I1788=""),"unrated",VLOOKUP(I1788,MappingTables!$B$19:$C$31,2,FALSE))</f>
        <v>3</v>
      </c>
      <c r="K1788" s="72">
        <v>8816.7363134123392</v>
      </c>
      <c r="L1788" s="70">
        <v>13.839539378837258</v>
      </c>
      <c r="M1788" s="71">
        <f>IF(L1788&lt;1,1,L1788)</f>
        <v>13.839539378837258</v>
      </c>
      <c r="N1788" s="70" t="s">
        <v>141</v>
      </c>
      <c r="O1788" s="71">
        <f>INDEX(DurClassMapping,MATCH(M1788,MappingTables!$D$4:$D$8,-1),1)</f>
        <v>3</v>
      </c>
      <c r="P1788" s="73">
        <f>IF(M1788=$A$1,1,$M1788-INDEX(MappingTables!$E$4:$E$8,MATCH(O1788,MappingTables!$B$4:$B$8,0)))</f>
        <v>3.8395393788372584</v>
      </c>
      <c r="Q1788" s="71">
        <f>IF(B1788="",0,INDEX(ModelParameters!$D$6:$K$10,MATCH($O1788,ModelParameters!$B$6:$B$10,0),MATCH($J1788,ModelParameters!$D$5:$K$5,0)))</f>
        <v>0.01</v>
      </c>
      <c r="R1788" s="71">
        <f>IF(B1788="",0,INDEX(ModelParameters!$D$13:$K$17,MATCH($O1788,ModelParameters!$B$13:$B$17,0),MATCH($J1788,ModelParameters!$D$5:$K$5,0)))</f>
        <v>0.2</v>
      </c>
      <c r="S1788" s="160">
        <f>IF(B1788="",0,MIN(IF($N1788="Other Bond TM",ModelParameters!$N$21,1)*(P1788*Q1788+R1788),1))</f>
        <v>0.2383953937883726</v>
      </c>
      <c r="T1788" s="85">
        <f>IF(B1788="",0,$S1788*$K1788)</f>
        <v>2101.8693253641792</v>
      </c>
      <c r="U1788" s="85">
        <f>IF(B1788="",0,IF(OR(H1788=MappingTables!$C$34,H1788=MappingTables!$C$35),T1788,0))</f>
        <v>0</v>
      </c>
      <c r="V1788" s="85">
        <f>IF(ISNA(IF(AND(VLOOKUP(CONCATENATE($D1788,$G1788),CSRFinput!$B:$E,4,0)=0,OR(H1788=MappingTables!$C$34,H1788=MappingTables!$C$35)),1,VLOOKUP(CONCATENATE($D1788,$G1788),CSRFinput!$B:$E,4,0))),0,IF(AND(VLOOKUP(CONCATENATE($D1788,$G1788),CSRFinput!$B:$E,4,0)=0,OR(H1788=MappingTables!$C$34,H1788=MappingTables!$C$35)),1,VLOOKUP(CONCATENATE($D1788,$G1788),CSRFinput!$B:$E,4,0)))</f>
        <v>0.054776304963434752</v>
      </c>
      <c r="W1788" s="85">
        <f>IF(B1788="",0,+$T1788*$V1788)</f>
        <v>115.13263515943714</v>
      </c>
      <c r="X1788" s="85">
        <f>IF(B1788="",0,IF(OR(H1788=MappingTables!$C$34,H1788=MappingTables!$C$35),W1788,0))</f>
        <v>0</v>
      </c>
    </row>
    <row r="1789" spans="2:24" s="0" customFormat="0" ht="15">
      <c r="B1789" s="69" t="s">
        <v>1992</v>
      </c>
      <c r="C1789" s="70" t="s">
        <v>1993</v>
      </c>
      <c r="D1789" s="70" t="s">
        <v>1</v>
      </c>
      <c r="E1789" s="70" t="s">
        <v>1</v>
      </c>
      <c r="F1789" s="70"/>
      <c r="G1789" s="70" t="s">
        <v>61</v>
      </c>
      <c r="H1789" s="70" t="s">
        <v>178</v>
      </c>
      <c r="I1789" s="70" t="s">
        <v>198</v>
      </c>
      <c r="J1789" s="71" t="str">
        <f>IF(OR(I1789=0,I1789=""),"unrated",VLOOKUP(I1789,MappingTables!$B$19:$C$31,2,FALSE))</f>
        <v>unrated</v>
      </c>
      <c r="K1789" s="72">
        <v>277.4994233231178</v>
      </c>
      <c r="L1789" s="70">
        <v>7.9903130625526336</v>
      </c>
      <c r="M1789" s="71">
        <f>IF(L1789&lt;1,1,L1789)</f>
        <v>7.9903130625526336</v>
      </c>
      <c r="N1789" s="70" t="s">
        <v>141</v>
      </c>
      <c r="O1789" s="71">
        <f>INDEX(DurClassMapping,MATCH(M1789,MappingTables!$D$4:$D$8,-1),1)</f>
        <v>2</v>
      </c>
      <c r="P1789" s="73">
        <f>IF(M1789=$A$1,1,$M1789-INDEX(MappingTables!$E$4:$E$8,MATCH(O1789,MappingTables!$B$4:$B$8,0)))</f>
        <v>2.9903130625526328</v>
      </c>
      <c r="Q1789" s="71">
        <f>IF(B1789="",0,INDEX(ModelParameters!$D$6:$K$10,MATCH($O1789,ModelParameters!$B$6:$B$10,0),MATCH($J1789,ModelParameters!$D$5:$K$5,0)))</f>
        <v>0.017000000000000002</v>
      </c>
      <c r="R1789" s="71">
        <f>IF(B1789="",0,INDEX(ModelParameters!$D$13:$K$17,MATCH($O1789,ModelParameters!$B$13:$B$17,0),MATCH($J1789,ModelParameters!$D$5:$K$5,0)))</f>
        <v>0.15</v>
      </c>
      <c r="S1789" s="160">
        <f>IF(B1789="",0,MIN(IF($N1789="Other Bond TM",ModelParameters!$N$21,1)*(P1789*Q1789+R1789),1))</f>
        <v>0.20083532206339476</v>
      </c>
      <c r="T1789" s="85">
        <f>IF(B1789="",0,$S1789*$K1789)</f>
        <v>55.731686055504688</v>
      </c>
      <c r="U1789" s="85">
        <f>IF(B1789="",0,IF(OR(H1789=MappingTables!$C$34,H1789=MappingTables!$C$35),T1789,0))</f>
        <v>0</v>
      </c>
      <c r="V1789" s="85">
        <f>IF(ISNA(IF(AND(VLOOKUP(CONCATENATE($D1789,$G1789),CSRFinput!$B:$E,4,0)=0,OR(H1789=MappingTables!$C$34,H1789=MappingTables!$C$35)),1,VLOOKUP(CONCATENATE($D1789,$G1789),CSRFinput!$B:$E,4,0))),0,IF(AND(VLOOKUP(CONCATENATE($D1789,$G1789),CSRFinput!$B:$E,4,0)=0,OR(H1789=MappingTables!$C$34,H1789=MappingTables!$C$35)),1,VLOOKUP(CONCATENATE($D1789,$G1789),CSRFinput!$B:$E,4,0)))</f>
        <v>0.054776304963434752</v>
      </c>
      <c r="W1789" s="85">
        <f>IF(B1789="",0,+$T1789*$V1789)</f>
        <v>3.0527758315027288</v>
      </c>
      <c r="X1789" s="85">
        <f>IF(B1789="",0,IF(OR(H1789=MappingTables!$C$34,H1789=MappingTables!$C$35),W1789,0))</f>
        <v>0</v>
      </c>
    </row>
    <row r="1790" spans="2:24" s="0" customFormat="0" ht="15">
      <c r="B1790" s="69" t="s">
        <v>1994</v>
      </c>
      <c r="C1790" s="70" t="s">
        <v>1995</v>
      </c>
      <c r="D1790" s="70" t="s">
        <v>1</v>
      </c>
      <c r="E1790" s="70" t="s">
        <v>1</v>
      </c>
      <c r="F1790" s="70"/>
      <c r="G1790" s="70" t="s">
        <v>61</v>
      </c>
      <c r="H1790" s="70" t="s">
        <v>178</v>
      </c>
      <c r="I1790" s="70" t="s">
        <v>181</v>
      </c>
      <c r="J1790" s="71">
        <f>IF(OR(I1790=0,I1790=""),"unrated",VLOOKUP(I1790,MappingTables!$B$19:$C$31,2,FALSE))</f>
        <v>3</v>
      </c>
      <c r="K1790" s="72">
        <v>0.57424177785961152</v>
      </c>
      <c r="L1790" s="70">
        <v>2.9628331776454692</v>
      </c>
      <c r="M1790" s="71">
        <f>IF(L1790&lt;1,1,L1790)</f>
        <v>2.9628331776454692</v>
      </c>
      <c r="N1790" s="70" t="s">
        <v>141</v>
      </c>
      <c r="O1790" s="71">
        <f>INDEX(DurClassMapping,MATCH(M1790,MappingTables!$D$4:$D$8,-1),1)</f>
        <v>1</v>
      </c>
      <c r="P1790" s="73">
        <f>IF(M1790=$A$1,1,$M1790-INDEX(MappingTables!$E$4:$E$8,MATCH(O1790,MappingTables!$B$4:$B$8,0)))</f>
        <v>2.9628331776454692</v>
      </c>
      <c r="Q1790" s="71">
        <f>IF(B1790="",0,INDEX(ModelParameters!$D$6:$K$10,MATCH($O1790,ModelParameters!$B$6:$B$10,0),MATCH($J1790,ModelParameters!$D$5:$K$5,0)))</f>
        <v>0.025</v>
      </c>
      <c r="R1790" s="71">
        <f>IF(B1790="",0,INDEX(ModelParameters!$D$13:$K$17,MATCH($O1790,ModelParameters!$B$13:$B$17,0),MATCH($J1790,ModelParameters!$D$5:$K$5,0)))</f>
        <v>0</v>
      </c>
      <c r="S1790" s="160">
        <f>IF(B1790="",0,MIN(IF($N1790="Other Bond TM",ModelParameters!$N$21,1)*(P1790*Q1790+R1790),1))</f>
        <v>0.074070829441136736</v>
      </c>
      <c r="T1790" s="85">
        <f>IF(B1790="",0,$S1790*$K1790)</f>
        <v>0.042534564785814408</v>
      </c>
      <c r="U1790" s="85">
        <f>IF(B1790="",0,IF(OR(H1790=MappingTables!$C$34,H1790=MappingTables!$C$35),T1790,0))</f>
        <v>0</v>
      </c>
      <c r="V1790" s="85">
        <f>IF(ISNA(IF(AND(VLOOKUP(CONCATENATE($D1790,$G1790),CSRFinput!$B:$E,4,0)=0,OR(H1790=MappingTables!$C$34,H1790=MappingTables!$C$35)),1,VLOOKUP(CONCATENATE($D1790,$G1790),CSRFinput!$B:$E,4,0))),0,IF(AND(VLOOKUP(CONCATENATE($D1790,$G1790),CSRFinput!$B:$E,4,0)=0,OR(H1790=MappingTables!$C$34,H1790=MappingTables!$C$35)),1,VLOOKUP(CONCATENATE($D1790,$G1790),CSRFinput!$B:$E,4,0)))</f>
        <v>0.054776304963434752</v>
      </c>
      <c r="W1790" s="85">
        <f>IF(B1790="",0,+$T1790*$V1790)</f>
        <v>0.0023298862921947428</v>
      </c>
      <c r="X1790" s="85">
        <f>IF(B1790="",0,IF(OR(H1790=MappingTables!$C$34,H1790=MappingTables!$C$35),W1790,0))</f>
        <v>0</v>
      </c>
    </row>
    <row r="1791" spans="2:24" s="0" customFormat="0" ht="15">
      <c r="B1791" s="69">
        <v>20447790</v>
      </c>
      <c r="C1791" s="70" t="s">
        <v>1307</v>
      </c>
      <c r="D1791" s="70" t="s">
        <v>1</v>
      </c>
      <c r="E1791" s="70" t="s">
        <v>1</v>
      </c>
      <c r="F1791" s="70"/>
      <c r="G1791" s="70" t="s">
        <v>61</v>
      </c>
      <c r="H1791" s="70" t="s">
        <v>178</v>
      </c>
      <c r="I1791" s="70" t="s">
        <v>181</v>
      </c>
      <c r="J1791" s="71">
        <f>IF(OR(I1791=0,I1791=""),"unrated",VLOOKUP(I1791,MappingTables!$B$19:$C$31,2,FALSE))</f>
        <v>3</v>
      </c>
      <c r="K1791" s="72">
        <v>14095.748928752666</v>
      </c>
      <c r="L1791" s="70">
        <v>7.9487249380970064</v>
      </c>
      <c r="M1791" s="71">
        <f>IF(L1791&lt;1,1,L1791)</f>
        <v>7.9487249380970064</v>
      </c>
      <c r="N1791" s="70" t="s">
        <v>141</v>
      </c>
      <c r="O1791" s="71">
        <f>INDEX(DurClassMapping,MATCH(M1791,MappingTables!$D$4:$D$8,-1),1)</f>
        <v>2</v>
      </c>
      <c r="P1791" s="73">
        <f>IF(M1791=$A$1,1,$M1791-INDEX(MappingTables!$E$4:$E$8,MATCH(O1791,MappingTables!$B$4:$B$8,0)))</f>
        <v>2.9487249380970056</v>
      </c>
      <c r="Q1791" s="71">
        <f>IF(B1791="",0,INDEX(ModelParameters!$D$6:$K$10,MATCH($O1791,ModelParameters!$B$6:$B$10,0),MATCH($J1791,ModelParameters!$D$5:$K$5,0)))</f>
        <v>0.015</v>
      </c>
      <c r="R1791" s="71">
        <f>IF(B1791="",0,INDEX(ModelParameters!$D$13:$K$17,MATCH($O1791,ModelParameters!$B$13:$B$17,0),MATCH($J1791,ModelParameters!$D$5:$K$5,0)))</f>
        <v>0.125</v>
      </c>
      <c r="S1791" s="160">
        <f>IF(B1791="",0,MIN(IF($N1791="Other Bond TM",ModelParameters!$N$21,1)*(P1791*Q1791+R1791),1))</f>
        <v>0.1692308740714551</v>
      </c>
      <c r="T1791" s="85">
        <f>IF(B1791="",0,$S1791*$K1791)</f>
        <v>2385.4359119045904</v>
      </c>
      <c r="U1791" s="85">
        <f>IF(B1791="",0,IF(OR(H1791=MappingTables!$C$34,H1791=MappingTables!$C$35),T1791,0))</f>
        <v>0</v>
      </c>
      <c r="V1791" s="85">
        <f>IF(ISNA(IF(AND(VLOOKUP(CONCATENATE($D1791,$G1791),CSRFinput!$B:$E,4,0)=0,OR(H1791=MappingTables!$C$34,H1791=MappingTables!$C$35)),1,VLOOKUP(CONCATENATE($D1791,$G1791),CSRFinput!$B:$E,4,0))),0,IF(AND(VLOOKUP(CONCATENATE($D1791,$G1791),CSRFinput!$B:$E,4,0)=0,OR(H1791=MappingTables!$C$34,H1791=MappingTables!$C$35)),1,VLOOKUP(CONCATENATE($D1791,$G1791),CSRFinput!$B:$E,4,0)))</f>
        <v>0.054776304963434752</v>
      </c>
      <c r="W1791" s="85">
        <f>IF(B1791="",0,+$T1791*$V1791)</f>
        <v>130.6653649812149</v>
      </c>
      <c r="X1791" s="85">
        <f>IF(B1791="",0,IF(OR(H1791=MappingTables!$C$34,H1791=MappingTables!$C$35),W1791,0))</f>
        <v>0</v>
      </c>
    </row>
    <row r="1792" spans="2:24" s="0" customFormat="0" ht="15">
      <c r="B1792" s="69" t="s">
        <v>738</v>
      </c>
      <c r="C1792" s="70" t="s">
        <v>739</v>
      </c>
      <c r="D1792" s="70" t="s">
        <v>1</v>
      </c>
      <c r="E1792" s="70" t="s">
        <v>1</v>
      </c>
      <c r="F1792" s="70"/>
      <c r="G1792" s="70" t="s">
        <v>61</v>
      </c>
      <c r="H1792" s="70" t="s">
        <v>178</v>
      </c>
      <c r="I1792" s="70" t="s">
        <v>181</v>
      </c>
      <c r="J1792" s="71">
        <f>IF(OR(I1792=0,I1792=""),"unrated",VLOOKUP(I1792,MappingTables!$B$19:$C$31,2,FALSE))</f>
        <v>3</v>
      </c>
      <c r="K1792" s="72">
        <v>132.50522796132898</v>
      </c>
      <c r="L1792" s="70">
        <v>4.5273873123743552</v>
      </c>
      <c r="M1792" s="71">
        <f>IF(L1792&lt;1,1,L1792)</f>
        <v>4.5273873123743552</v>
      </c>
      <c r="N1792" s="70" t="s">
        <v>141</v>
      </c>
      <c r="O1792" s="71">
        <f>INDEX(DurClassMapping,MATCH(M1792,MappingTables!$D$4:$D$8,-1),1)</f>
        <v>1</v>
      </c>
      <c r="P1792" s="73">
        <f>IF(M1792=$A$1,1,$M1792-INDEX(MappingTables!$E$4:$E$8,MATCH(O1792,MappingTables!$B$4:$B$8,0)))</f>
        <v>4.5273873123743552</v>
      </c>
      <c r="Q1792" s="71">
        <f>IF(B1792="",0,INDEX(ModelParameters!$D$6:$K$10,MATCH($O1792,ModelParameters!$B$6:$B$10,0),MATCH($J1792,ModelParameters!$D$5:$K$5,0)))</f>
        <v>0.025</v>
      </c>
      <c r="R1792" s="71">
        <f>IF(B1792="",0,INDEX(ModelParameters!$D$13:$K$17,MATCH($O1792,ModelParameters!$B$13:$B$17,0),MATCH($J1792,ModelParameters!$D$5:$K$5,0)))</f>
        <v>0</v>
      </c>
      <c r="S1792" s="160">
        <f>IF(B1792="",0,MIN(IF($N1792="Other Bond TM",ModelParameters!$N$21,1)*(P1792*Q1792+R1792),1))</f>
        <v>0.11318468280935888</v>
      </c>
      <c r="T1792" s="85">
        <f>IF(B1792="",0,$S1792*$K1792)</f>
        <v>14.997562197384812</v>
      </c>
      <c r="U1792" s="85">
        <f>IF(B1792="",0,IF(OR(H1792=MappingTables!$C$34,H1792=MappingTables!$C$35),T1792,0))</f>
        <v>0</v>
      </c>
      <c r="V1792" s="85">
        <f>IF(ISNA(IF(AND(VLOOKUP(CONCATENATE($D1792,$G1792),CSRFinput!$B:$E,4,0)=0,OR(H1792=MappingTables!$C$34,H1792=MappingTables!$C$35)),1,VLOOKUP(CONCATENATE($D1792,$G1792),CSRFinput!$B:$E,4,0))),0,IF(AND(VLOOKUP(CONCATENATE($D1792,$G1792),CSRFinput!$B:$E,4,0)=0,OR(H1792=MappingTables!$C$34,H1792=MappingTables!$C$35)),1,VLOOKUP(CONCATENATE($D1792,$G1792),CSRFinput!$B:$E,4,0)))</f>
        <v>0.054776304963434752</v>
      </c>
      <c r="W1792" s="85">
        <f>IF(B1792="",0,+$T1792*$V1792)</f>
        <v>0.8215110406320312</v>
      </c>
      <c r="X1792" s="85">
        <f>IF(B1792="",0,IF(OR(H1792=MappingTables!$C$34,H1792=MappingTables!$C$35),W1792,0))</f>
        <v>0</v>
      </c>
    </row>
    <row r="1793" spans="2:24" s="0" customFormat="0" ht="15">
      <c r="B1793" s="69" t="s">
        <v>1895</v>
      </c>
      <c r="C1793" s="70" t="s">
        <v>1896</v>
      </c>
      <c r="D1793" s="70" t="s">
        <v>1</v>
      </c>
      <c r="E1793" s="70" t="s">
        <v>1</v>
      </c>
      <c r="F1793" s="70"/>
      <c r="G1793" s="70" t="s">
        <v>61</v>
      </c>
      <c r="H1793" s="70" t="s">
        <v>178</v>
      </c>
      <c r="I1793" s="70" t="s">
        <v>188</v>
      </c>
      <c r="J1793" s="71">
        <f>IF(OR(I1793=0,I1793=""),"unrated",VLOOKUP(I1793,MappingTables!$B$19:$C$31,2,FALSE))</f>
        <v>2</v>
      </c>
      <c r="K1793" s="72">
        <v>2197.5440576585332</v>
      </c>
      <c r="L1793" s="70">
        <v>0.62372585207300288</v>
      </c>
      <c r="M1793" s="71">
        <f>IF(L1793&lt;1,1,L1793)</f>
        <v>1</v>
      </c>
      <c r="N1793" s="70" t="s">
        <v>141</v>
      </c>
      <c r="O1793" s="71">
        <f>INDEX(DurClassMapping,MATCH(M1793,MappingTables!$D$4:$D$8,-1),1)</f>
        <v>1</v>
      </c>
      <c r="P1793" s="73">
        <f>IF(M1793=$A$1,1,$M1793-INDEX(MappingTables!$E$4:$E$8,MATCH(O1793,MappingTables!$B$4:$B$8,0)))</f>
        <v>1</v>
      </c>
      <c r="Q1793" s="71">
        <f>IF(B1793="",0,INDEX(ModelParameters!$D$6:$K$10,MATCH($O1793,ModelParameters!$B$6:$B$10,0),MATCH($J1793,ModelParameters!$D$5:$K$5,0)))</f>
        <v>0.013999999999999998</v>
      </c>
      <c r="R1793" s="71">
        <f>IF(B1793="",0,INDEX(ModelParameters!$D$13:$K$17,MATCH($O1793,ModelParameters!$B$13:$B$17,0),MATCH($J1793,ModelParameters!$D$5:$K$5,0)))</f>
        <v>0</v>
      </c>
      <c r="S1793" s="160">
        <f>IF(B1793="",0,MIN(IF($N1793="Other Bond TM",ModelParameters!$N$21,1)*(P1793*Q1793+R1793),1))</f>
        <v>0.013999999999999998</v>
      </c>
      <c r="T1793" s="85">
        <f>IF(B1793="",0,$S1793*$K1793)</f>
        <v>30.765616807219464</v>
      </c>
      <c r="U1793" s="85">
        <f>IF(B1793="",0,IF(OR(H1793=MappingTables!$C$34,H1793=MappingTables!$C$35),T1793,0))</f>
        <v>0</v>
      </c>
      <c r="V1793" s="85">
        <f>IF(ISNA(IF(AND(VLOOKUP(CONCATENATE($D1793,$G1793),CSRFinput!$B:$E,4,0)=0,OR(H1793=MappingTables!$C$34,H1793=MappingTables!$C$35)),1,VLOOKUP(CONCATENATE($D1793,$G1793),CSRFinput!$B:$E,4,0))),0,IF(AND(VLOOKUP(CONCATENATE($D1793,$G1793),CSRFinput!$B:$E,4,0)=0,OR(H1793=MappingTables!$C$34,H1793=MappingTables!$C$35)),1,VLOOKUP(CONCATENATE($D1793,$G1793),CSRFinput!$B:$E,4,0)))</f>
        <v>0.054776304963434752</v>
      </c>
      <c r="W1793" s="85">
        <f>IF(B1793="",0,+$T1793*$V1793)</f>
        <v>1.6852268086204272</v>
      </c>
      <c r="X1793" s="85">
        <f>IF(B1793="",0,IF(OR(H1793=MappingTables!$C$34,H1793=MappingTables!$C$35),W1793,0))</f>
        <v>0</v>
      </c>
    </row>
    <row r="1794" spans="2:24" s="0" customFormat="0" ht="15">
      <c r="B1794" s="69">
        <v>21802086</v>
      </c>
      <c r="C1794" s="70" t="s">
        <v>1017</v>
      </c>
      <c r="D1794" s="70" t="s">
        <v>1</v>
      </c>
      <c r="E1794" s="70" t="s">
        <v>1</v>
      </c>
      <c r="F1794" s="70"/>
      <c r="G1794" s="70" t="s">
        <v>61</v>
      </c>
      <c r="H1794" s="70" t="s">
        <v>178</v>
      </c>
      <c r="I1794" s="70" t="s">
        <v>181</v>
      </c>
      <c r="J1794" s="71">
        <f>IF(OR(I1794=0,I1794=""),"unrated",VLOOKUP(I1794,MappingTables!$B$19:$C$31,2,FALSE))</f>
        <v>3</v>
      </c>
      <c r="K1794" s="72">
        <v>32422.413746718604</v>
      </c>
      <c r="L1794" s="70">
        <v>20.13459654398742</v>
      </c>
      <c r="M1794" s="71">
        <f>IF(L1794&lt;1,1,L1794)</f>
        <v>20.13459654398742</v>
      </c>
      <c r="N1794" s="70" t="s">
        <v>141</v>
      </c>
      <c r="O1794" s="71">
        <f>INDEX(DurClassMapping,MATCH(M1794,MappingTables!$D$4:$D$8,-1),1)</f>
        <v>5</v>
      </c>
      <c r="P1794" s="73">
        <f>IF(M1794=$A$1,1,$M1794-INDEX(MappingTables!$E$4:$E$8,MATCH(O1794,MappingTables!$B$4:$B$8,0)))</f>
        <v>0.1345965439874206</v>
      </c>
      <c r="Q1794" s="71">
        <f>IF(B1794="",0,INDEX(ModelParameters!$D$6:$K$10,MATCH($O1794,ModelParameters!$B$6:$B$10,0),MATCH($J1794,ModelParameters!$D$5:$K$5,0)))</f>
        <v>0.005</v>
      </c>
      <c r="R1794" s="71">
        <f>IF(B1794="",0,INDEX(ModelParameters!$D$13:$K$17,MATCH($O1794,ModelParameters!$B$13:$B$17,0),MATCH($J1794,ModelParameters!$D$5:$K$5,0)))</f>
        <v>0.3</v>
      </c>
      <c r="S1794" s="160">
        <f>IF(B1794="",0,MIN(IF($N1794="Other Bond TM",ModelParameters!$N$21,1)*(P1794*Q1794+R1794),1))</f>
        <v>0.30067298271993708</v>
      </c>
      <c r="T1794" s="85">
        <f>IF(B1794="",0,$S1794*$K1794)</f>
        <v>9748.5438482057744</v>
      </c>
      <c r="U1794" s="85">
        <f>IF(B1794="",0,IF(OR(H1794=MappingTables!$C$34,H1794=MappingTables!$C$35),T1794,0))</f>
        <v>0</v>
      </c>
      <c r="V1794" s="85">
        <f>IF(ISNA(IF(AND(VLOOKUP(CONCATENATE($D1794,$G1794),CSRFinput!$B:$E,4,0)=0,OR(H1794=MappingTables!$C$34,H1794=MappingTables!$C$35)),1,VLOOKUP(CONCATENATE($D1794,$G1794),CSRFinput!$B:$E,4,0))),0,IF(AND(VLOOKUP(CONCATENATE($D1794,$G1794),CSRFinput!$B:$E,4,0)=0,OR(H1794=MappingTables!$C$34,H1794=MappingTables!$C$35)),1,VLOOKUP(CONCATENATE($D1794,$G1794),CSRFinput!$B:$E,4,0)))</f>
        <v>0.054776304963434752</v>
      </c>
      <c r="W1794" s="85">
        <f>IF(B1794="",0,+$T1794*$V1794)</f>
        <v>533.98921077873528</v>
      </c>
      <c r="X1794" s="85">
        <f>IF(B1794="",0,IF(OR(H1794=MappingTables!$C$34,H1794=MappingTables!$C$35),W1794,0))</f>
        <v>0</v>
      </c>
    </row>
    <row r="1795" spans="2:24" s="0" customFormat="0" ht="15">
      <c r="B1795" s="69">
        <v>18916406</v>
      </c>
      <c r="C1795" s="70" t="s">
        <v>1925</v>
      </c>
      <c r="D1795" s="70" t="s">
        <v>1</v>
      </c>
      <c r="E1795" s="70" t="s">
        <v>1</v>
      </c>
      <c r="F1795" s="70"/>
      <c r="G1795" s="70" t="s">
        <v>61</v>
      </c>
      <c r="H1795" s="70" t="s">
        <v>178</v>
      </c>
      <c r="I1795" s="70" t="s">
        <v>179</v>
      </c>
      <c r="J1795" s="71">
        <f>IF(OR(I1795=0,I1795=""),"unrated",VLOOKUP(I1795,MappingTables!$B$19:$C$31,2,FALSE))</f>
        <v>4</v>
      </c>
      <c r="K1795" s="72">
        <v>2558.5992164808876</v>
      </c>
      <c r="L1795" s="70">
        <v>10.13625904975294</v>
      </c>
      <c r="M1795" s="71">
        <f>IF(L1795&lt;1,1,L1795)</f>
        <v>10.13625904975294</v>
      </c>
      <c r="N1795" s="70" t="s">
        <v>141</v>
      </c>
      <c r="O1795" s="71">
        <f>INDEX(DurClassMapping,MATCH(M1795,MappingTables!$D$4:$D$8,-1),1)</f>
        <v>3</v>
      </c>
      <c r="P1795" s="73">
        <f>IF(M1795=$A$1,1,$M1795-INDEX(MappingTables!$E$4:$E$8,MATCH(O1795,MappingTables!$B$4:$B$8,0)))</f>
        <v>0.13625904975294034</v>
      </c>
      <c r="Q1795" s="71">
        <f>IF(B1795="",0,INDEX(ModelParameters!$D$6:$K$10,MATCH($O1795,ModelParameters!$B$6:$B$10,0),MATCH($J1795,ModelParameters!$D$5:$K$5,0)))</f>
        <v>0.018000000000000002</v>
      </c>
      <c r="R1795" s="71">
        <f>IF(B1795="",0,INDEX(ModelParameters!$D$13:$K$17,MATCH($O1795,ModelParameters!$B$13:$B$17,0),MATCH($J1795,ModelParameters!$D$5:$K$5,0)))</f>
        <v>0.34999999999999996</v>
      </c>
      <c r="S1795" s="160">
        <f>IF(B1795="",0,MIN(IF($N1795="Other Bond TM",ModelParameters!$N$21,1)*(P1795*Q1795+R1795),1))</f>
        <v>0.35245266289555288</v>
      </c>
      <c r="T1795" s="85">
        <f>IF(B1795="",0,$S1795*$K1795)</f>
        <v>901.785107131164</v>
      </c>
      <c r="U1795" s="85">
        <f>IF(B1795="",0,IF(OR(H1795=MappingTables!$C$34,H1795=MappingTables!$C$35),T1795,0))</f>
        <v>0</v>
      </c>
      <c r="V1795" s="85">
        <f>IF(ISNA(IF(AND(VLOOKUP(CONCATENATE($D1795,$G1795),CSRFinput!$B:$E,4,0)=0,OR(H1795=MappingTables!$C$34,H1795=MappingTables!$C$35)),1,VLOOKUP(CONCATENATE($D1795,$G1795),CSRFinput!$B:$E,4,0))),0,IF(AND(VLOOKUP(CONCATENATE($D1795,$G1795),CSRFinput!$B:$E,4,0)=0,OR(H1795=MappingTables!$C$34,H1795=MappingTables!$C$35)),1,VLOOKUP(CONCATENATE($D1795,$G1795),CSRFinput!$B:$E,4,0)))</f>
        <v>0.054776304963434752</v>
      </c>
      <c r="W1795" s="85">
        <f>IF(B1795="",0,+$T1795*$V1795)</f>
        <v>49.396456039700328</v>
      </c>
      <c r="X1795" s="85">
        <f>IF(B1795="",0,IF(OR(H1795=MappingTables!$C$34,H1795=MappingTables!$C$35),W1795,0))</f>
        <v>0</v>
      </c>
    </row>
    <row r="1796" spans="2:24" s="0" customFormat="0" ht="15">
      <c r="B1796" s="69" t="s">
        <v>314</v>
      </c>
      <c r="C1796" s="70" t="s">
        <v>315</v>
      </c>
      <c r="D1796" s="70" t="s">
        <v>1</v>
      </c>
      <c r="E1796" s="70" t="s">
        <v>1</v>
      </c>
      <c r="F1796" s="70"/>
      <c r="G1796" s="70" t="s">
        <v>61</v>
      </c>
      <c r="H1796" s="70" t="s">
        <v>178</v>
      </c>
      <c r="I1796" s="70" t="s">
        <v>181</v>
      </c>
      <c r="J1796" s="71">
        <f>IF(OR(I1796=0,I1796=""),"unrated",VLOOKUP(I1796,MappingTables!$B$19:$C$31,2,FALSE))</f>
        <v>3</v>
      </c>
      <c r="K1796" s="72">
        <v>1373.2163397345874</v>
      </c>
      <c r="L1796" s="70">
        <v>1.4949832054766848</v>
      </c>
      <c r="M1796" s="71">
        <f>IF(L1796&lt;1,1,L1796)</f>
        <v>1.4949832054766848</v>
      </c>
      <c r="N1796" s="70" t="s">
        <v>141</v>
      </c>
      <c r="O1796" s="71">
        <f>INDEX(DurClassMapping,MATCH(M1796,MappingTables!$D$4:$D$8,-1),1)</f>
        <v>1</v>
      </c>
      <c r="P1796" s="73">
        <f>IF(M1796=$A$1,1,$M1796-INDEX(MappingTables!$E$4:$E$8,MATCH(O1796,MappingTables!$B$4:$B$8,0)))</f>
        <v>1.4949832054766848</v>
      </c>
      <c r="Q1796" s="71">
        <f>IF(B1796="",0,INDEX(ModelParameters!$D$6:$K$10,MATCH($O1796,ModelParameters!$B$6:$B$10,0),MATCH($J1796,ModelParameters!$D$5:$K$5,0)))</f>
        <v>0.025</v>
      </c>
      <c r="R1796" s="71">
        <f>IF(B1796="",0,INDEX(ModelParameters!$D$13:$K$17,MATCH($O1796,ModelParameters!$B$13:$B$17,0),MATCH($J1796,ModelParameters!$D$5:$K$5,0)))</f>
        <v>0</v>
      </c>
      <c r="S1796" s="160">
        <f>IF(B1796="",0,MIN(IF($N1796="Other Bond TM",ModelParameters!$N$21,1)*(P1796*Q1796+R1796),1))</f>
        <v>0.03737458013691712</v>
      </c>
      <c r="T1796" s="85">
        <f>IF(B1796="",0,$S1796*$K1796)</f>
        <v>51.323384134734344</v>
      </c>
      <c r="U1796" s="85">
        <f>IF(B1796="",0,IF(OR(H1796=MappingTables!$C$34,H1796=MappingTables!$C$35),T1796,0))</f>
        <v>0</v>
      </c>
      <c r="V1796" s="85">
        <f>IF(ISNA(IF(AND(VLOOKUP(CONCATENATE($D1796,$G1796),CSRFinput!$B:$E,4,0)=0,OR(H1796=MappingTables!$C$34,H1796=MappingTables!$C$35)),1,VLOOKUP(CONCATENATE($D1796,$G1796),CSRFinput!$B:$E,4,0))),0,IF(AND(VLOOKUP(CONCATENATE($D1796,$G1796),CSRFinput!$B:$E,4,0)=0,OR(H1796=MappingTables!$C$34,H1796=MappingTables!$C$35)),1,VLOOKUP(CONCATENATE($D1796,$G1796),CSRFinput!$B:$E,4,0)))</f>
        <v>0.054776304963434752</v>
      </c>
      <c r="W1796" s="85">
        <f>IF(B1796="",0,+$T1796*$V1796)</f>
        <v>2.8113053411197172</v>
      </c>
      <c r="X1796" s="85">
        <f>IF(B1796="",0,IF(OR(H1796=MappingTables!$C$34,H1796=MappingTables!$C$35),W1796,0))</f>
        <v>0</v>
      </c>
    </row>
    <row r="1797" spans="2:24" s="0" customFormat="0" ht="15">
      <c r="B1797" s="69">
        <v>21150131</v>
      </c>
      <c r="C1797" s="70" t="s">
        <v>471</v>
      </c>
      <c r="D1797" s="70" t="s">
        <v>1</v>
      </c>
      <c r="E1797" s="70" t="s">
        <v>1</v>
      </c>
      <c r="F1797" s="70"/>
      <c r="G1797" s="70" t="s">
        <v>61</v>
      </c>
      <c r="H1797" s="70" t="s">
        <v>178</v>
      </c>
      <c r="I1797" s="70" t="s">
        <v>188</v>
      </c>
      <c r="J1797" s="71">
        <f>IF(OR(I1797=0,I1797=""),"unrated",VLOOKUP(I1797,MappingTables!$B$19:$C$31,2,FALSE))</f>
        <v>2</v>
      </c>
      <c r="K1797" s="72">
        <v>2975.8620012449096</v>
      </c>
      <c r="L1797" s="70">
        <v>1.7563426302371306</v>
      </c>
      <c r="M1797" s="71">
        <f>IF(L1797&lt;1,1,L1797)</f>
        <v>1.7563426302371306</v>
      </c>
      <c r="N1797" s="70" t="s">
        <v>141</v>
      </c>
      <c r="O1797" s="71">
        <f>INDEX(DurClassMapping,MATCH(M1797,MappingTables!$D$4:$D$8,-1),1)</f>
        <v>1</v>
      </c>
      <c r="P1797" s="73">
        <f>IF(M1797=$A$1,1,$M1797-INDEX(MappingTables!$E$4:$E$8,MATCH(O1797,MappingTables!$B$4:$B$8,0)))</f>
        <v>1.7563426302371306</v>
      </c>
      <c r="Q1797" s="71">
        <f>IF(B1797="",0,INDEX(ModelParameters!$D$6:$K$10,MATCH($O1797,ModelParameters!$B$6:$B$10,0),MATCH($J1797,ModelParameters!$D$5:$K$5,0)))</f>
        <v>0.013999999999999998</v>
      </c>
      <c r="R1797" s="71">
        <f>IF(B1797="",0,INDEX(ModelParameters!$D$13:$K$17,MATCH($O1797,ModelParameters!$B$13:$B$17,0),MATCH($J1797,ModelParameters!$D$5:$K$5,0)))</f>
        <v>0</v>
      </c>
      <c r="S1797" s="160">
        <f>IF(B1797="",0,MIN(IF($N1797="Other Bond TM",ModelParameters!$N$21,1)*(P1797*Q1797+R1797),1))</f>
        <v>0.024588796823319824</v>
      </c>
      <c r="T1797" s="85">
        <f>IF(B1797="",0,$S1797*$K1797)</f>
        <v>73.172866122849008</v>
      </c>
      <c r="U1797" s="85">
        <f>IF(B1797="",0,IF(OR(H1797=MappingTables!$C$34,H1797=MappingTables!$C$35),T1797,0))</f>
        <v>0</v>
      </c>
      <c r="V1797" s="85">
        <f>IF(ISNA(IF(AND(VLOOKUP(CONCATENATE($D1797,$G1797),CSRFinput!$B:$E,4,0)=0,OR(H1797=MappingTables!$C$34,H1797=MappingTables!$C$35)),1,VLOOKUP(CONCATENATE($D1797,$G1797),CSRFinput!$B:$E,4,0))),0,IF(AND(VLOOKUP(CONCATENATE($D1797,$G1797),CSRFinput!$B:$E,4,0)=0,OR(H1797=MappingTables!$C$34,H1797=MappingTables!$C$35)),1,VLOOKUP(CONCATENATE($D1797,$G1797),CSRFinput!$B:$E,4,0)))</f>
        <v>0.054776304963434752</v>
      </c>
      <c r="W1797" s="85">
        <f>IF(B1797="",0,+$T1797*$V1797)</f>
        <v>4.0081392297937608</v>
      </c>
      <c r="X1797" s="85">
        <f>IF(B1797="",0,IF(OR(H1797=MappingTables!$C$34,H1797=MappingTables!$C$35),W1797,0))</f>
        <v>0</v>
      </c>
    </row>
    <row r="1798" spans="2:24" s="0" customFormat="0" ht="15">
      <c r="B1798" s="69" t="s">
        <v>1996</v>
      </c>
      <c r="C1798" s="70" t="s">
        <v>1997</v>
      </c>
      <c r="D1798" s="70" t="s">
        <v>1</v>
      </c>
      <c r="E1798" s="70" t="s">
        <v>1</v>
      </c>
      <c r="F1798" s="70"/>
      <c r="G1798" s="70" t="s">
        <v>61</v>
      </c>
      <c r="H1798" s="70" t="s">
        <v>178</v>
      </c>
      <c r="I1798" s="70" t="s">
        <v>198</v>
      </c>
      <c r="J1798" s="71" t="str">
        <f>IF(OR(I1798=0,I1798=""),"unrated",VLOOKUP(I1798,MappingTables!$B$19:$C$31,2,FALSE))</f>
        <v>unrated</v>
      </c>
      <c r="K1798" s="72">
        <v>278.1012623422896</v>
      </c>
      <c r="L1798" s="70">
        <v>4.1162732345115096</v>
      </c>
      <c r="M1798" s="71">
        <f>IF(L1798&lt;1,1,L1798)</f>
        <v>4.1162732345115096</v>
      </c>
      <c r="N1798" s="70" t="s">
        <v>141</v>
      </c>
      <c r="O1798" s="71">
        <f>INDEX(DurClassMapping,MATCH(M1798,MappingTables!$D$4:$D$8,-1),1)</f>
        <v>1</v>
      </c>
      <c r="P1798" s="73">
        <f>IF(M1798=$A$1,1,$M1798-INDEX(MappingTables!$E$4:$E$8,MATCH(O1798,MappingTables!$B$4:$B$8,0)))</f>
        <v>4.1162732345115096</v>
      </c>
      <c r="Q1798" s="71">
        <f>IF(B1798="",0,INDEX(ModelParameters!$D$6:$K$10,MATCH($O1798,ModelParameters!$B$6:$B$10,0),MATCH($J1798,ModelParameters!$D$5:$K$5,0)))</f>
        <v>0.03</v>
      </c>
      <c r="R1798" s="71">
        <f>IF(B1798="",0,INDEX(ModelParameters!$D$13:$K$17,MATCH($O1798,ModelParameters!$B$13:$B$17,0),MATCH($J1798,ModelParameters!$D$5:$K$5,0)))</f>
        <v>0</v>
      </c>
      <c r="S1798" s="160">
        <f>IF(B1798="",0,MIN(IF($N1798="Other Bond TM",ModelParameters!$N$21,1)*(P1798*Q1798+R1798),1))</f>
        <v>0.12348819703534528</v>
      </c>
      <c r="T1798" s="85">
        <f>IF(B1798="",0,$S1798*$K1798)</f>
        <v>34.342223479902904</v>
      </c>
      <c r="U1798" s="85">
        <f>IF(B1798="",0,IF(OR(H1798=MappingTables!$C$34,H1798=MappingTables!$C$35),T1798,0))</f>
        <v>0</v>
      </c>
      <c r="V1798" s="85">
        <f>IF(ISNA(IF(AND(VLOOKUP(CONCATENATE($D1798,$G1798),CSRFinput!$B:$E,4,0)=0,OR(H1798=MappingTables!$C$34,H1798=MappingTables!$C$35)),1,VLOOKUP(CONCATENATE($D1798,$G1798),CSRFinput!$B:$E,4,0))),0,IF(AND(VLOOKUP(CONCATENATE($D1798,$G1798),CSRFinput!$B:$E,4,0)=0,OR(H1798=MappingTables!$C$34,H1798=MappingTables!$C$35)),1,VLOOKUP(CONCATENATE($D1798,$G1798),CSRFinput!$B:$E,4,0)))</f>
        <v>0.054776304963434752</v>
      </c>
      <c r="W1798" s="85">
        <f>IF(B1798="",0,+$T1798*$V1798)</f>
        <v>1.8811401064575908</v>
      </c>
      <c r="X1798" s="85">
        <f>IF(B1798="",0,IF(OR(H1798=MappingTables!$C$34,H1798=MappingTables!$C$35),W1798,0))</f>
        <v>0</v>
      </c>
    </row>
    <row r="1799" spans="2:24" s="0" customFormat="0" ht="15">
      <c r="B1799" s="69">
        <v>19579226</v>
      </c>
      <c r="C1799" s="70" t="s">
        <v>727</v>
      </c>
      <c r="D1799" s="70" t="s">
        <v>1</v>
      </c>
      <c r="E1799" s="70" t="s">
        <v>1</v>
      </c>
      <c r="F1799" s="70"/>
      <c r="G1799" s="70" t="s">
        <v>61</v>
      </c>
      <c r="H1799" s="70" t="s">
        <v>178</v>
      </c>
      <c r="I1799" s="70" t="s">
        <v>181</v>
      </c>
      <c r="J1799" s="71">
        <f>IF(OR(I1799=0,I1799=""),"unrated",VLOOKUP(I1799,MappingTables!$B$19:$C$31,2,FALSE))</f>
        <v>3</v>
      </c>
      <c r="K1799" s="72">
        <v>14842.032137225908</v>
      </c>
      <c r="L1799" s="70">
        <v>3.2404279010807488</v>
      </c>
      <c r="M1799" s="71">
        <f>IF(L1799&lt;1,1,L1799)</f>
        <v>3.2404279010807488</v>
      </c>
      <c r="N1799" s="70" t="s">
        <v>141</v>
      </c>
      <c r="O1799" s="71">
        <f>INDEX(DurClassMapping,MATCH(M1799,MappingTables!$D$4:$D$8,-1),1)</f>
        <v>1</v>
      </c>
      <c r="P1799" s="73">
        <f>IF(M1799=$A$1,1,$M1799-INDEX(MappingTables!$E$4:$E$8,MATCH(O1799,MappingTables!$B$4:$B$8,0)))</f>
        <v>3.2404279010807488</v>
      </c>
      <c r="Q1799" s="71">
        <f>IF(B1799="",0,INDEX(ModelParameters!$D$6:$K$10,MATCH($O1799,ModelParameters!$B$6:$B$10,0),MATCH($J1799,ModelParameters!$D$5:$K$5,0)))</f>
        <v>0.025</v>
      </c>
      <c r="R1799" s="71">
        <f>IF(B1799="",0,INDEX(ModelParameters!$D$13:$K$17,MATCH($O1799,ModelParameters!$B$13:$B$17,0),MATCH($J1799,ModelParameters!$D$5:$K$5,0)))</f>
        <v>0</v>
      </c>
      <c r="S1799" s="160">
        <f>IF(B1799="",0,MIN(IF($N1799="Other Bond TM",ModelParameters!$N$21,1)*(P1799*Q1799+R1799),1))</f>
        <v>0.08101069752701872</v>
      </c>
      <c r="T1799" s="85">
        <f>IF(B1799="",0,$S1799*$K1799)</f>
        <v>1202.3633761550994</v>
      </c>
      <c r="U1799" s="85">
        <f>IF(B1799="",0,IF(OR(H1799=MappingTables!$C$34,H1799=MappingTables!$C$35),T1799,0))</f>
        <v>0</v>
      </c>
      <c r="V1799" s="85">
        <f>IF(ISNA(IF(AND(VLOOKUP(CONCATENATE($D1799,$G1799),CSRFinput!$B:$E,4,0)=0,OR(H1799=MappingTables!$C$34,H1799=MappingTables!$C$35)),1,VLOOKUP(CONCATENATE($D1799,$G1799),CSRFinput!$B:$E,4,0))),0,IF(AND(VLOOKUP(CONCATENATE($D1799,$G1799),CSRFinput!$B:$E,4,0)=0,OR(H1799=MappingTables!$C$34,H1799=MappingTables!$C$35)),1,VLOOKUP(CONCATENATE($D1799,$G1799),CSRFinput!$B:$E,4,0)))</f>
        <v>0.054776304963434752</v>
      </c>
      <c r="W1799" s="85">
        <f>IF(B1799="",0,+$T1799*$V1799)</f>
        <v>65.861022969136744</v>
      </c>
      <c r="X1799" s="85">
        <f>IF(B1799="",0,IF(OR(H1799=MappingTables!$C$34,H1799=MappingTables!$C$35),W1799,0))</f>
        <v>0</v>
      </c>
    </row>
    <row r="1800" spans="2:24" s="0" customFormat="0" ht="15">
      <c r="B1800" s="69">
        <v>8950596</v>
      </c>
      <c r="C1800" s="70" t="s">
        <v>1998</v>
      </c>
      <c r="D1800" s="70" t="s">
        <v>1</v>
      </c>
      <c r="E1800" s="70" t="s">
        <v>1</v>
      </c>
      <c r="F1800" s="70"/>
      <c r="G1800" s="70" t="s">
        <v>61</v>
      </c>
      <c r="H1800" s="70" t="s">
        <v>178</v>
      </c>
      <c r="I1800" s="70" t="s">
        <v>181</v>
      </c>
      <c r="J1800" s="71">
        <f>IF(OR(I1800=0,I1800=""),"unrated",VLOOKUP(I1800,MappingTables!$B$19:$C$31,2,FALSE))</f>
        <v>3</v>
      </c>
      <c r="K1800" s="72">
        <v>2694.0113145078408</v>
      </c>
      <c r="L1800" s="70">
        <v>0.73960022183927408</v>
      </c>
      <c r="M1800" s="71">
        <f>IF(L1800&lt;1,1,L1800)</f>
        <v>1</v>
      </c>
      <c r="N1800" s="70" t="s">
        <v>141</v>
      </c>
      <c r="O1800" s="71">
        <f>INDEX(DurClassMapping,MATCH(M1800,MappingTables!$D$4:$D$8,-1),1)</f>
        <v>1</v>
      </c>
      <c r="P1800" s="73">
        <f>IF(M1800=$A$1,1,$M1800-INDEX(MappingTables!$E$4:$E$8,MATCH(O1800,MappingTables!$B$4:$B$8,0)))</f>
        <v>1</v>
      </c>
      <c r="Q1800" s="71">
        <f>IF(B1800="",0,INDEX(ModelParameters!$D$6:$K$10,MATCH($O1800,ModelParameters!$B$6:$B$10,0),MATCH($J1800,ModelParameters!$D$5:$K$5,0)))</f>
        <v>0.025</v>
      </c>
      <c r="R1800" s="71">
        <f>IF(B1800="",0,INDEX(ModelParameters!$D$13:$K$17,MATCH($O1800,ModelParameters!$B$13:$B$17,0),MATCH($J1800,ModelParameters!$D$5:$K$5,0)))</f>
        <v>0</v>
      </c>
      <c r="S1800" s="160">
        <f>IF(B1800="",0,MIN(IF($N1800="Other Bond TM",ModelParameters!$N$21,1)*(P1800*Q1800+R1800),1))</f>
        <v>0.025</v>
      </c>
      <c r="T1800" s="85">
        <f>IF(B1800="",0,$S1800*$K1800)</f>
        <v>67.350282862696016</v>
      </c>
      <c r="U1800" s="85">
        <f>IF(B1800="",0,IF(OR(H1800=MappingTables!$C$34,H1800=MappingTables!$C$35),T1800,0))</f>
        <v>0</v>
      </c>
      <c r="V1800" s="85">
        <f>IF(ISNA(IF(AND(VLOOKUP(CONCATENATE($D1800,$G1800),CSRFinput!$B:$E,4,0)=0,OR(H1800=MappingTables!$C$34,H1800=MappingTables!$C$35)),1,VLOOKUP(CONCATENATE($D1800,$G1800),CSRFinput!$B:$E,4,0))),0,IF(AND(VLOOKUP(CONCATENATE($D1800,$G1800),CSRFinput!$B:$E,4,0)=0,OR(H1800=MappingTables!$C$34,H1800=MappingTables!$C$35)),1,VLOOKUP(CONCATENATE($D1800,$G1800),CSRFinput!$B:$E,4,0)))</f>
        <v>0.054776304963434752</v>
      </c>
      <c r="W1800" s="85">
        <f>IF(B1800="",0,+$T1800*$V1800)</f>
        <v>3.6891996334606304</v>
      </c>
      <c r="X1800" s="85">
        <f>IF(B1800="",0,IF(OR(H1800=MappingTables!$C$34,H1800=MappingTables!$C$35),W1800,0))</f>
        <v>0</v>
      </c>
    </row>
    <row r="1801" spans="2:24" s="0" customFormat="0" ht="15">
      <c r="B1801" s="69">
        <v>21039549</v>
      </c>
      <c r="C1801" s="70" t="s">
        <v>1999</v>
      </c>
      <c r="D1801" s="70" t="s">
        <v>1</v>
      </c>
      <c r="E1801" s="70" t="s">
        <v>1</v>
      </c>
      <c r="F1801" s="70"/>
      <c r="G1801" s="70" t="s">
        <v>61</v>
      </c>
      <c r="H1801" s="70" t="s">
        <v>178</v>
      </c>
      <c r="I1801" s="70" t="s">
        <v>179</v>
      </c>
      <c r="J1801" s="71">
        <f>IF(OR(I1801=0,I1801=""),"unrated",VLOOKUP(I1801,MappingTables!$B$19:$C$31,2,FALSE))</f>
        <v>4</v>
      </c>
      <c r="K1801" s="72">
        <v>52511.677417832104</v>
      </c>
      <c r="L1801" s="70">
        <v>3.6046070809845344</v>
      </c>
      <c r="M1801" s="71">
        <f>IF(L1801&lt;1,1,L1801)</f>
        <v>3.6046070809845344</v>
      </c>
      <c r="N1801" s="70" t="s">
        <v>141</v>
      </c>
      <c r="O1801" s="71">
        <f>INDEX(DurClassMapping,MATCH(M1801,MappingTables!$D$4:$D$8,-1),1)</f>
        <v>1</v>
      </c>
      <c r="P1801" s="73">
        <f>IF(M1801=$A$1,1,$M1801-INDEX(MappingTables!$E$4:$E$8,MATCH(O1801,MappingTables!$B$4:$B$8,0)))</f>
        <v>3.6046070809845344</v>
      </c>
      <c r="Q1801" s="71">
        <f>IF(B1801="",0,INDEX(ModelParameters!$D$6:$K$10,MATCH($O1801,ModelParameters!$B$6:$B$10,0),MATCH($J1801,ModelParameters!$D$5:$K$5,0)))</f>
        <v>0.045</v>
      </c>
      <c r="R1801" s="71">
        <f>IF(B1801="",0,INDEX(ModelParameters!$D$13:$K$17,MATCH($O1801,ModelParameters!$B$13:$B$17,0),MATCH($J1801,ModelParameters!$D$5:$K$5,0)))</f>
        <v>0</v>
      </c>
      <c r="S1801" s="160">
        <f>IF(B1801="",0,MIN(IF($N1801="Other Bond TM",ModelParameters!$N$21,1)*(P1801*Q1801+R1801),1))</f>
        <v>0.16220731864430404</v>
      </c>
      <c r="T1801" s="85">
        <f>IF(B1801="",0,$S1801*$K1801)</f>
        <v>8517.7783914611968</v>
      </c>
      <c r="U1801" s="85">
        <f>IF(B1801="",0,IF(OR(H1801=MappingTables!$C$34,H1801=MappingTables!$C$35),T1801,0))</f>
        <v>0</v>
      </c>
      <c r="V1801" s="85">
        <f>IF(ISNA(IF(AND(VLOOKUP(CONCATENATE($D1801,$G1801),CSRFinput!$B:$E,4,0)=0,OR(H1801=MappingTables!$C$34,H1801=MappingTables!$C$35)),1,VLOOKUP(CONCATENATE($D1801,$G1801),CSRFinput!$B:$E,4,0))),0,IF(AND(VLOOKUP(CONCATENATE($D1801,$G1801),CSRFinput!$B:$E,4,0)=0,OR(H1801=MappingTables!$C$34,H1801=MappingTables!$C$35)),1,VLOOKUP(CONCATENATE($D1801,$G1801),CSRFinput!$B:$E,4,0)))</f>
        <v>0.054776304963434752</v>
      </c>
      <c r="W1801" s="85">
        <f>IF(B1801="",0,+$T1801*$V1801)</f>
        <v>466.57242678163328</v>
      </c>
      <c r="X1801" s="85">
        <f>IF(B1801="",0,IF(OR(H1801=MappingTables!$C$34,H1801=MappingTables!$C$35),W1801,0))</f>
        <v>0</v>
      </c>
    </row>
    <row r="1802" spans="2:24" s="0" customFormat="0" ht="15">
      <c r="B1802" s="69">
        <v>12055728</v>
      </c>
      <c r="C1802" s="70" t="s">
        <v>794</v>
      </c>
      <c r="D1802" s="70" t="s">
        <v>1</v>
      </c>
      <c r="E1802" s="70" t="s">
        <v>1</v>
      </c>
      <c r="F1802" s="70"/>
      <c r="G1802" s="70" t="s">
        <v>61</v>
      </c>
      <c r="H1802" s="70" t="s">
        <v>178</v>
      </c>
      <c r="I1802" s="70" t="s">
        <v>179</v>
      </c>
      <c r="J1802" s="71">
        <f>IF(OR(I1802=0,I1802=""),"unrated",VLOOKUP(I1802,MappingTables!$B$19:$C$31,2,FALSE))</f>
        <v>4</v>
      </c>
      <c r="K1802" s="72">
        <v>1615.4979410056438</v>
      </c>
      <c r="L1802" s="70">
        <v>0.69145887164036136</v>
      </c>
      <c r="M1802" s="71">
        <f>IF(L1802&lt;1,1,L1802)</f>
        <v>1</v>
      </c>
      <c r="N1802" s="70" t="s">
        <v>141</v>
      </c>
      <c r="O1802" s="71">
        <f>INDEX(DurClassMapping,MATCH(M1802,MappingTables!$D$4:$D$8,-1),1)</f>
        <v>1</v>
      </c>
      <c r="P1802" s="73">
        <f>IF(M1802=$A$1,1,$M1802-INDEX(MappingTables!$E$4:$E$8,MATCH(O1802,MappingTables!$B$4:$B$8,0)))</f>
        <v>1</v>
      </c>
      <c r="Q1802" s="71">
        <f>IF(B1802="",0,INDEX(ModelParameters!$D$6:$K$10,MATCH($O1802,ModelParameters!$B$6:$B$10,0),MATCH($J1802,ModelParameters!$D$5:$K$5,0)))</f>
        <v>0.045</v>
      </c>
      <c r="R1802" s="71">
        <f>IF(B1802="",0,INDEX(ModelParameters!$D$13:$K$17,MATCH($O1802,ModelParameters!$B$13:$B$17,0),MATCH($J1802,ModelParameters!$D$5:$K$5,0)))</f>
        <v>0</v>
      </c>
      <c r="S1802" s="160">
        <f>IF(B1802="",0,MIN(IF($N1802="Other Bond TM",ModelParameters!$N$21,1)*(P1802*Q1802+R1802),1))</f>
        <v>0.045</v>
      </c>
      <c r="T1802" s="85">
        <f>IF(B1802="",0,$S1802*$K1802)</f>
        <v>72.697407345253968</v>
      </c>
      <c r="U1802" s="85">
        <f>IF(B1802="",0,IF(OR(H1802=MappingTables!$C$34,H1802=MappingTables!$C$35),T1802,0))</f>
        <v>0</v>
      </c>
      <c r="V1802" s="85">
        <f>IF(ISNA(IF(AND(VLOOKUP(CONCATENATE($D1802,$G1802),CSRFinput!$B:$E,4,0)=0,OR(H1802=MappingTables!$C$34,H1802=MappingTables!$C$35)),1,VLOOKUP(CONCATENATE($D1802,$G1802),CSRFinput!$B:$E,4,0))),0,IF(AND(VLOOKUP(CONCATENATE($D1802,$G1802),CSRFinput!$B:$E,4,0)=0,OR(H1802=MappingTables!$C$34,H1802=MappingTables!$C$35)),1,VLOOKUP(CONCATENATE($D1802,$G1802),CSRFinput!$B:$E,4,0)))</f>
        <v>0.054776304963434752</v>
      </c>
      <c r="W1802" s="85">
        <f>IF(B1802="",0,+$T1802*$V1802)</f>
        <v>3.9820953547946728</v>
      </c>
      <c r="X1802" s="85">
        <f>IF(B1802="",0,IF(OR(H1802=MappingTables!$C$34,H1802=MappingTables!$C$35),W1802,0))</f>
        <v>0</v>
      </c>
    </row>
    <row r="1803" spans="2:24" s="0" customFormat="0" ht="15">
      <c r="B1803" s="69">
        <v>20942443</v>
      </c>
      <c r="C1803" s="70" t="s">
        <v>1606</v>
      </c>
      <c r="D1803" s="70" t="s">
        <v>1</v>
      </c>
      <c r="E1803" s="70" t="s">
        <v>1</v>
      </c>
      <c r="F1803" s="70"/>
      <c r="G1803" s="70" t="s">
        <v>61</v>
      </c>
      <c r="H1803" s="70" t="s">
        <v>178</v>
      </c>
      <c r="I1803" s="70" t="s">
        <v>179</v>
      </c>
      <c r="J1803" s="71">
        <f>IF(OR(I1803=0,I1803=""),"unrated",VLOOKUP(I1803,MappingTables!$B$19:$C$31,2,FALSE))</f>
        <v>4</v>
      </c>
      <c r="K1803" s="72">
        <v>4120.7249960933672</v>
      </c>
      <c r="L1803" s="70">
        <v>4.9245013327084744</v>
      </c>
      <c r="M1803" s="71">
        <f>IF(L1803&lt;1,1,L1803)</f>
        <v>4.9245013327084744</v>
      </c>
      <c r="N1803" s="70" t="s">
        <v>141</v>
      </c>
      <c r="O1803" s="71">
        <f>INDEX(DurClassMapping,MATCH(M1803,MappingTables!$D$4:$D$8,-1),1)</f>
        <v>1</v>
      </c>
      <c r="P1803" s="73">
        <f>IF(M1803=$A$1,1,$M1803-INDEX(MappingTables!$E$4:$E$8,MATCH(O1803,MappingTables!$B$4:$B$8,0)))</f>
        <v>4.9245013327084744</v>
      </c>
      <c r="Q1803" s="71">
        <f>IF(B1803="",0,INDEX(ModelParameters!$D$6:$K$10,MATCH($O1803,ModelParameters!$B$6:$B$10,0),MATCH($J1803,ModelParameters!$D$5:$K$5,0)))</f>
        <v>0.045</v>
      </c>
      <c r="R1803" s="71">
        <f>IF(B1803="",0,INDEX(ModelParameters!$D$13:$K$17,MATCH($O1803,ModelParameters!$B$13:$B$17,0),MATCH($J1803,ModelParameters!$D$5:$K$5,0)))</f>
        <v>0</v>
      </c>
      <c r="S1803" s="160">
        <f>IF(B1803="",0,MIN(IF($N1803="Other Bond TM",ModelParameters!$N$21,1)*(P1803*Q1803+R1803),1))</f>
        <v>0.22160255997188132</v>
      </c>
      <c r="T1803" s="85">
        <f>IF(B1803="",0,$S1803*$K1803)</f>
        <v>913.16320807441088</v>
      </c>
      <c r="U1803" s="85">
        <f>IF(B1803="",0,IF(OR(H1803=MappingTables!$C$34,H1803=MappingTables!$C$35),T1803,0))</f>
        <v>0</v>
      </c>
      <c r="V1803" s="85">
        <f>IF(ISNA(IF(AND(VLOOKUP(CONCATENATE($D1803,$G1803),CSRFinput!$B:$E,4,0)=0,OR(H1803=MappingTables!$C$34,H1803=MappingTables!$C$35)),1,VLOOKUP(CONCATENATE($D1803,$G1803),CSRFinput!$B:$E,4,0))),0,IF(AND(VLOOKUP(CONCATENATE($D1803,$G1803),CSRFinput!$B:$E,4,0)=0,OR(H1803=MappingTables!$C$34,H1803=MappingTables!$C$35)),1,VLOOKUP(CONCATENATE($D1803,$G1803),CSRFinput!$B:$E,4,0)))</f>
        <v>0.054776304963434752</v>
      </c>
      <c r="W1803" s="85">
        <f>IF(B1803="",0,+$T1803*$V1803)</f>
        <v>50.019706366872352</v>
      </c>
      <c r="X1803" s="85">
        <f>IF(B1803="",0,IF(OR(H1803=MappingTables!$C$34,H1803=MappingTables!$C$35),W1803,0))</f>
        <v>0</v>
      </c>
    </row>
    <row r="1804" spans="2:24" s="0" customFormat="0" ht="15">
      <c r="B1804" s="69">
        <v>8062536</v>
      </c>
      <c r="C1804" s="70" t="s">
        <v>880</v>
      </c>
      <c r="D1804" s="70" t="s">
        <v>1</v>
      </c>
      <c r="E1804" s="70" t="s">
        <v>1</v>
      </c>
      <c r="F1804" s="70"/>
      <c r="G1804" s="70" t="s">
        <v>61</v>
      </c>
      <c r="H1804" s="70" t="s">
        <v>178</v>
      </c>
      <c r="I1804" s="70" t="s">
        <v>179</v>
      </c>
      <c r="J1804" s="71">
        <f>IF(OR(I1804=0,I1804=""),"unrated",VLOOKUP(I1804,MappingTables!$B$19:$C$31,2,FALSE))</f>
        <v>4</v>
      </c>
      <c r="K1804" s="72">
        <v>398.72788471354696</v>
      </c>
      <c r="L1804" s="70">
        <v>0.27671183485175908</v>
      </c>
      <c r="M1804" s="71">
        <f>IF(L1804&lt;1,1,L1804)</f>
        <v>1</v>
      </c>
      <c r="N1804" s="70" t="s">
        <v>141</v>
      </c>
      <c r="O1804" s="71">
        <f>INDEX(DurClassMapping,MATCH(M1804,MappingTables!$D$4:$D$8,-1),1)</f>
        <v>1</v>
      </c>
      <c r="P1804" s="73">
        <f>IF(M1804=$A$1,1,$M1804-INDEX(MappingTables!$E$4:$E$8,MATCH(O1804,MappingTables!$B$4:$B$8,0)))</f>
        <v>1</v>
      </c>
      <c r="Q1804" s="71">
        <f>IF(B1804="",0,INDEX(ModelParameters!$D$6:$K$10,MATCH($O1804,ModelParameters!$B$6:$B$10,0),MATCH($J1804,ModelParameters!$D$5:$K$5,0)))</f>
        <v>0.045</v>
      </c>
      <c r="R1804" s="71">
        <f>IF(B1804="",0,INDEX(ModelParameters!$D$13:$K$17,MATCH($O1804,ModelParameters!$B$13:$B$17,0),MATCH($J1804,ModelParameters!$D$5:$K$5,0)))</f>
        <v>0</v>
      </c>
      <c r="S1804" s="160">
        <f>IF(B1804="",0,MIN(IF($N1804="Other Bond TM",ModelParameters!$N$21,1)*(P1804*Q1804+R1804),1))</f>
        <v>0.045</v>
      </c>
      <c r="T1804" s="85">
        <f>IF(B1804="",0,$S1804*$K1804)</f>
        <v>17.942754812109612</v>
      </c>
      <c r="U1804" s="85">
        <f>IF(B1804="",0,IF(OR(H1804=MappingTables!$C$34,H1804=MappingTables!$C$35),T1804,0))</f>
        <v>0</v>
      </c>
      <c r="V1804" s="85">
        <f>IF(ISNA(IF(AND(VLOOKUP(CONCATENATE($D1804,$G1804),CSRFinput!$B:$E,4,0)=0,OR(H1804=MappingTables!$C$34,H1804=MappingTables!$C$35)),1,VLOOKUP(CONCATENATE($D1804,$G1804),CSRFinput!$B:$E,4,0))),0,IF(AND(VLOOKUP(CONCATENATE($D1804,$G1804),CSRFinput!$B:$E,4,0)=0,OR(H1804=MappingTables!$C$34,H1804=MappingTables!$C$35)),1,VLOOKUP(CONCATENATE($D1804,$G1804),CSRFinput!$B:$E,4,0)))</f>
        <v>0.054776304963434752</v>
      </c>
      <c r="W1804" s="85">
        <f>IF(B1804="",0,+$T1804*$V1804)</f>
        <v>0.98283780947225248</v>
      </c>
      <c r="X1804" s="85">
        <f>IF(B1804="",0,IF(OR(H1804=MappingTables!$C$34,H1804=MappingTables!$C$35),W1804,0))</f>
        <v>0</v>
      </c>
    </row>
    <row r="1805" spans="2:24" s="0" customFormat="0" ht="15">
      <c r="B1805" s="69">
        <v>14571501</v>
      </c>
      <c r="C1805" s="70" t="s">
        <v>2000</v>
      </c>
      <c r="D1805" s="70" t="s">
        <v>1</v>
      </c>
      <c r="E1805" s="70" t="s">
        <v>1</v>
      </c>
      <c r="F1805" s="70"/>
      <c r="G1805" s="70" t="s">
        <v>61</v>
      </c>
      <c r="H1805" s="70" t="s">
        <v>178</v>
      </c>
      <c r="I1805" s="70" t="s">
        <v>181</v>
      </c>
      <c r="J1805" s="71">
        <f>IF(OR(I1805=0,I1805=""),"unrated",VLOOKUP(I1805,MappingTables!$B$19:$C$31,2,FALSE))</f>
        <v>3</v>
      </c>
      <c r="K1805" s="72">
        <v>2562.159438231098</v>
      </c>
      <c r="L1805" s="70">
        <v>3.3813211238651948</v>
      </c>
      <c r="M1805" s="71">
        <f>IF(L1805&lt;1,1,L1805)</f>
        <v>3.3813211238651948</v>
      </c>
      <c r="N1805" s="70" t="s">
        <v>141</v>
      </c>
      <c r="O1805" s="71">
        <f>INDEX(DurClassMapping,MATCH(M1805,MappingTables!$D$4:$D$8,-1),1)</f>
        <v>1</v>
      </c>
      <c r="P1805" s="73">
        <f>IF(M1805=$A$1,1,$M1805-INDEX(MappingTables!$E$4:$E$8,MATCH(O1805,MappingTables!$B$4:$B$8,0)))</f>
        <v>3.3813211238651948</v>
      </c>
      <c r="Q1805" s="71">
        <f>IF(B1805="",0,INDEX(ModelParameters!$D$6:$K$10,MATCH($O1805,ModelParameters!$B$6:$B$10,0),MATCH($J1805,ModelParameters!$D$5:$K$5,0)))</f>
        <v>0.025</v>
      </c>
      <c r="R1805" s="71">
        <f>IF(B1805="",0,INDEX(ModelParameters!$D$13:$K$17,MATCH($O1805,ModelParameters!$B$13:$B$17,0),MATCH($J1805,ModelParameters!$D$5:$K$5,0)))</f>
        <v>0</v>
      </c>
      <c r="S1805" s="160">
        <f>IF(B1805="",0,MIN(IF($N1805="Other Bond TM",ModelParameters!$N$21,1)*(P1805*Q1805+R1805),1))</f>
        <v>0.084533028096629888</v>
      </c>
      <c r="T1805" s="85">
        <f>IF(B1805="",0,$S1805*$K1805)</f>
        <v>216.58709578003484</v>
      </c>
      <c r="U1805" s="85">
        <f>IF(B1805="",0,IF(OR(H1805=MappingTables!$C$34,H1805=MappingTables!$C$35),T1805,0))</f>
        <v>0</v>
      </c>
      <c r="V1805" s="85">
        <f>IF(ISNA(IF(AND(VLOOKUP(CONCATENATE($D1805,$G1805),CSRFinput!$B:$E,4,0)=0,OR(H1805=MappingTables!$C$34,H1805=MappingTables!$C$35)),1,VLOOKUP(CONCATENATE($D1805,$G1805),CSRFinput!$B:$E,4,0))),0,IF(AND(VLOOKUP(CONCATENATE($D1805,$G1805),CSRFinput!$B:$E,4,0)=0,OR(H1805=MappingTables!$C$34,H1805=MappingTables!$C$35)),1,VLOOKUP(CONCATENATE($D1805,$G1805),CSRFinput!$B:$E,4,0)))</f>
        <v>0.054776304963434752</v>
      </c>
      <c r="W1805" s="85">
        <f>IF(B1805="",0,+$T1805*$V1805)</f>
        <v>11.86384080959184</v>
      </c>
      <c r="X1805" s="85">
        <f>IF(B1805="",0,IF(OR(H1805=MappingTables!$C$34,H1805=MappingTables!$C$35),W1805,0))</f>
        <v>0</v>
      </c>
    </row>
    <row r="1806" spans="2:24" s="0" customFormat="0" ht="15">
      <c r="B1806" s="69">
        <v>14276622</v>
      </c>
      <c r="C1806" s="70" t="s">
        <v>2001</v>
      </c>
      <c r="D1806" s="70" t="s">
        <v>1</v>
      </c>
      <c r="E1806" s="70" t="s">
        <v>1</v>
      </c>
      <c r="F1806" s="70"/>
      <c r="G1806" s="70" t="s">
        <v>61</v>
      </c>
      <c r="H1806" s="70" t="s">
        <v>178</v>
      </c>
      <c r="I1806" s="70" t="s">
        <v>198</v>
      </c>
      <c r="J1806" s="71" t="str">
        <f>IF(OR(I1806=0,I1806=""),"unrated",VLOOKUP(I1806,MappingTables!$B$19:$C$31,2,FALSE))</f>
        <v>unrated</v>
      </c>
      <c r="K1806" s="72">
        <v>147.87015425987408</v>
      </c>
      <c r="L1806" s="70">
        <v>0.58052013219594408</v>
      </c>
      <c r="M1806" s="71">
        <f>IF(L1806&lt;1,1,L1806)</f>
        <v>1</v>
      </c>
      <c r="N1806" s="70" t="s">
        <v>141</v>
      </c>
      <c r="O1806" s="71">
        <f>INDEX(DurClassMapping,MATCH(M1806,MappingTables!$D$4:$D$8,-1),1)</f>
        <v>1</v>
      </c>
      <c r="P1806" s="73">
        <f>IF(M1806=$A$1,1,$M1806-INDEX(MappingTables!$E$4:$E$8,MATCH(O1806,MappingTables!$B$4:$B$8,0)))</f>
        <v>1</v>
      </c>
      <c r="Q1806" s="71">
        <f>IF(B1806="",0,INDEX(ModelParameters!$D$6:$K$10,MATCH($O1806,ModelParameters!$B$6:$B$10,0),MATCH($J1806,ModelParameters!$D$5:$K$5,0)))</f>
        <v>0.03</v>
      </c>
      <c r="R1806" s="71">
        <f>IF(B1806="",0,INDEX(ModelParameters!$D$13:$K$17,MATCH($O1806,ModelParameters!$B$13:$B$17,0),MATCH($J1806,ModelParameters!$D$5:$K$5,0)))</f>
        <v>0</v>
      </c>
      <c r="S1806" s="160">
        <f>IF(B1806="",0,MIN(IF($N1806="Other Bond TM",ModelParameters!$N$21,1)*(P1806*Q1806+R1806),1))</f>
        <v>0.03</v>
      </c>
      <c r="T1806" s="85">
        <f>IF(B1806="",0,$S1806*$K1806)</f>
        <v>4.4361046277962224</v>
      </c>
      <c r="U1806" s="85">
        <f>IF(B1806="",0,IF(OR(H1806=MappingTables!$C$34,H1806=MappingTables!$C$35),T1806,0))</f>
        <v>0</v>
      </c>
      <c r="V1806" s="85">
        <f>IF(ISNA(IF(AND(VLOOKUP(CONCATENATE($D1806,$G1806),CSRFinput!$B:$E,4,0)=0,OR(H1806=MappingTables!$C$34,H1806=MappingTables!$C$35)),1,VLOOKUP(CONCATENATE($D1806,$G1806),CSRFinput!$B:$E,4,0))),0,IF(AND(VLOOKUP(CONCATENATE($D1806,$G1806),CSRFinput!$B:$E,4,0)=0,OR(H1806=MappingTables!$C$34,H1806=MappingTables!$C$35)),1,VLOOKUP(CONCATENATE($D1806,$G1806),CSRFinput!$B:$E,4,0)))</f>
        <v>0.054776304963434752</v>
      </c>
      <c r="W1806" s="85">
        <f>IF(B1806="",0,+$T1806*$V1806)</f>
        <v>0.24299341994187008</v>
      </c>
      <c r="X1806" s="85">
        <f>IF(B1806="",0,IF(OR(H1806=MappingTables!$C$34,H1806=MappingTables!$C$35),W1806,0))</f>
        <v>0</v>
      </c>
    </row>
    <row r="1807" spans="2:24" s="0" customFormat="0" ht="15">
      <c r="B1807" s="69">
        <v>12519276</v>
      </c>
      <c r="C1807" s="70" t="s">
        <v>2002</v>
      </c>
      <c r="D1807" s="70" t="s">
        <v>1</v>
      </c>
      <c r="E1807" s="70" t="s">
        <v>1</v>
      </c>
      <c r="F1807" s="70"/>
      <c r="G1807" s="70" t="s">
        <v>61</v>
      </c>
      <c r="H1807" s="70" t="s">
        <v>178</v>
      </c>
      <c r="I1807" s="70" t="s">
        <v>184</v>
      </c>
      <c r="J1807" s="71">
        <f>IF(OR(I1807=0,I1807=""),"unrated",VLOOKUP(I1807,MappingTables!$B$19:$C$31,2,FALSE))</f>
        <v>5</v>
      </c>
      <c r="K1807" s="72">
        <v>193.95239186164808</v>
      </c>
      <c r="L1807" s="70">
        <v>0.77761654745930784</v>
      </c>
      <c r="M1807" s="71">
        <f>IF(L1807&lt;1,1,L1807)</f>
        <v>1</v>
      </c>
      <c r="N1807" s="70" t="s">
        <v>141</v>
      </c>
      <c r="O1807" s="71">
        <f>INDEX(DurClassMapping,MATCH(M1807,MappingTables!$D$4:$D$8,-1),1)</f>
        <v>1</v>
      </c>
      <c r="P1807" s="73">
        <f>IF(M1807=$A$1,1,$M1807-INDEX(MappingTables!$E$4:$E$8,MATCH(O1807,MappingTables!$B$4:$B$8,0)))</f>
        <v>1</v>
      </c>
      <c r="Q1807" s="71">
        <f>IF(B1807="",0,INDEX(ModelParameters!$D$6:$K$10,MATCH($O1807,ModelParameters!$B$6:$B$10,0),MATCH($J1807,ModelParameters!$D$5:$K$5,0)))</f>
        <v>0.075</v>
      </c>
      <c r="R1807" s="71">
        <f>IF(B1807="",0,INDEX(ModelParameters!$D$13:$K$17,MATCH($O1807,ModelParameters!$B$13:$B$17,0),MATCH($J1807,ModelParameters!$D$5:$K$5,0)))</f>
        <v>0</v>
      </c>
      <c r="S1807" s="160">
        <f>IF(B1807="",0,MIN(IF($N1807="Other Bond TM",ModelParameters!$N$21,1)*(P1807*Q1807+R1807),1))</f>
        <v>0.075</v>
      </c>
      <c r="T1807" s="85">
        <f>IF(B1807="",0,$S1807*$K1807)</f>
        <v>14.546429389623604</v>
      </c>
      <c r="U1807" s="85">
        <f>IF(B1807="",0,IF(OR(H1807=MappingTables!$C$34,H1807=MappingTables!$C$35),T1807,0))</f>
        <v>0</v>
      </c>
      <c r="V1807" s="85">
        <f>IF(ISNA(IF(AND(VLOOKUP(CONCATENATE($D1807,$G1807),CSRFinput!$B:$E,4,0)=0,OR(H1807=MappingTables!$C$34,H1807=MappingTables!$C$35)),1,VLOOKUP(CONCATENATE($D1807,$G1807),CSRFinput!$B:$E,4,0))),0,IF(AND(VLOOKUP(CONCATENATE($D1807,$G1807),CSRFinput!$B:$E,4,0)=0,OR(H1807=MappingTables!$C$34,H1807=MappingTables!$C$35)),1,VLOOKUP(CONCATENATE($D1807,$G1807),CSRFinput!$B:$E,4,0)))</f>
        <v>0.054776304963434752</v>
      </c>
      <c r="W1807" s="85">
        <f>IF(B1807="",0,+$T1807*$V1807)</f>
        <v>0.79679965237509264</v>
      </c>
      <c r="X1807" s="85">
        <f>IF(B1807="",0,IF(OR(H1807=MappingTables!$C$34,H1807=MappingTables!$C$35),W1807,0))</f>
        <v>0</v>
      </c>
    </row>
    <row r="1808" spans="2:24" s="0" customFormat="0" ht="15">
      <c r="B1808" s="69">
        <v>19506407</v>
      </c>
      <c r="C1808" s="70" t="s">
        <v>718</v>
      </c>
      <c r="D1808" s="70" t="s">
        <v>1</v>
      </c>
      <c r="E1808" s="70" t="s">
        <v>1</v>
      </c>
      <c r="F1808" s="70"/>
      <c r="G1808" s="70" t="s">
        <v>61</v>
      </c>
      <c r="H1808" s="70" t="s">
        <v>178</v>
      </c>
      <c r="I1808" s="70" t="s">
        <v>184</v>
      </c>
      <c r="J1808" s="71">
        <f>IF(OR(I1808=0,I1808=""),"unrated",VLOOKUP(I1808,MappingTables!$B$19:$C$31,2,FALSE))</f>
        <v>5</v>
      </c>
      <c r="K1808" s="72">
        <v>10546.769372421452</v>
      </c>
      <c r="L1808" s="70">
        <v>1.2058937908081954</v>
      </c>
      <c r="M1808" s="71">
        <f>IF(L1808&lt;1,1,L1808)</f>
        <v>1.2058937908081954</v>
      </c>
      <c r="N1808" s="70" t="s">
        <v>141</v>
      </c>
      <c r="O1808" s="71">
        <f>INDEX(DurClassMapping,MATCH(M1808,MappingTables!$D$4:$D$8,-1),1)</f>
        <v>1</v>
      </c>
      <c r="P1808" s="73">
        <f>IF(M1808=$A$1,1,$M1808-INDEX(MappingTables!$E$4:$E$8,MATCH(O1808,MappingTables!$B$4:$B$8,0)))</f>
        <v>1.2058937908081954</v>
      </c>
      <c r="Q1808" s="71">
        <f>IF(B1808="",0,INDEX(ModelParameters!$D$6:$K$10,MATCH($O1808,ModelParameters!$B$6:$B$10,0),MATCH($J1808,ModelParameters!$D$5:$K$5,0)))</f>
        <v>0.075</v>
      </c>
      <c r="R1808" s="71">
        <f>IF(B1808="",0,INDEX(ModelParameters!$D$13:$K$17,MATCH($O1808,ModelParameters!$B$13:$B$17,0),MATCH($J1808,ModelParameters!$D$5:$K$5,0)))</f>
        <v>0</v>
      </c>
      <c r="S1808" s="160">
        <f>IF(B1808="",0,MIN(IF($N1808="Other Bond TM",ModelParameters!$N$21,1)*(P1808*Q1808+R1808),1))</f>
        <v>0.090442034310614656</v>
      </c>
      <c r="T1808" s="85">
        <f>IF(B1808="",0,$S1808*$K1808)</f>
        <v>953.8712774466808</v>
      </c>
      <c r="U1808" s="85">
        <f>IF(B1808="",0,IF(OR(H1808=MappingTables!$C$34,H1808=MappingTables!$C$35),T1808,0))</f>
        <v>0</v>
      </c>
      <c r="V1808" s="85">
        <f>IF(ISNA(IF(AND(VLOOKUP(CONCATENATE($D1808,$G1808),CSRFinput!$B:$E,4,0)=0,OR(H1808=MappingTables!$C$34,H1808=MappingTables!$C$35)),1,VLOOKUP(CONCATENATE($D1808,$G1808),CSRFinput!$B:$E,4,0))),0,IF(AND(VLOOKUP(CONCATENATE($D1808,$G1808),CSRFinput!$B:$E,4,0)=0,OR(H1808=MappingTables!$C$34,H1808=MappingTables!$C$35)),1,VLOOKUP(CONCATENATE($D1808,$G1808),CSRFinput!$B:$E,4,0)))</f>
        <v>0.054776304963434752</v>
      </c>
      <c r="W1808" s="85">
        <f>IF(B1808="",0,+$T1808*$V1808)</f>
        <v>52.249543989280472</v>
      </c>
      <c r="X1808" s="85">
        <f>IF(B1808="",0,IF(OR(H1808=MappingTables!$C$34,H1808=MappingTables!$C$35),W1808,0))</f>
        <v>0</v>
      </c>
    </row>
    <row r="1809" spans="2:24" s="0" customFormat="0" ht="15">
      <c r="B1809" s="69">
        <v>21520715</v>
      </c>
      <c r="C1809" s="70" t="s">
        <v>2003</v>
      </c>
      <c r="D1809" s="70" t="s">
        <v>1</v>
      </c>
      <c r="E1809" s="70" t="s">
        <v>1</v>
      </c>
      <c r="F1809" s="70"/>
      <c r="G1809" s="70" t="s">
        <v>61</v>
      </c>
      <c r="H1809" s="70" t="s">
        <v>178</v>
      </c>
      <c r="I1809" s="70" t="s">
        <v>188</v>
      </c>
      <c r="J1809" s="71">
        <f>IF(OR(I1809=0,I1809=""),"unrated",VLOOKUP(I1809,MappingTables!$B$19:$C$31,2,FALSE))</f>
        <v>2</v>
      </c>
      <c r="K1809" s="72">
        <v>3097.954657129762</v>
      </c>
      <c r="L1809" s="70">
        <v>3.4384161908082932</v>
      </c>
      <c r="M1809" s="71">
        <f>IF(L1809&lt;1,1,L1809)</f>
        <v>3.4384161908082932</v>
      </c>
      <c r="N1809" s="70" t="s">
        <v>141</v>
      </c>
      <c r="O1809" s="71">
        <f>INDEX(DurClassMapping,MATCH(M1809,MappingTables!$D$4:$D$8,-1),1)</f>
        <v>1</v>
      </c>
      <c r="P1809" s="73">
        <f>IF(M1809=$A$1,1,$M1809-INDEX(MappingTables!$E$4:$E$8,MATCH(O1809,MappingTables!$B$4:$B$8,0)))</f>
        <v>3.4384161908082932</v>
      </c>
      <c r="Q1809" s="71">
        <f>IF(B1809="",0,INDEX(ModelParameters!$D$6:$K$10,MATCH($O1809,ModelParameters!$B$6:$B$10,0),MATCH($J1809,ModelParameters!$D$5:$K$5,0)))</f>
        <v>0.013999999999999998</v>
      </c>
      <c r="R1809" s="71">
        <f>IF(B1809="",0,INDEX(ModelParameters!$D$13:$K$17,MATCH($O1809,ModelParameters!$B$13:$B$17,0),MATCH($J1809,ModelParameters!$D$5:$K$5,0)))</f>
        <v>0</v>
      </c>
      <c r="S1809" s="160">
        <f>IF(B1809="",0,MIN(IF($N1809="Other Bond TM",ModelParameters!$N$21,1)*(P1809*Q1809+R1809),1))</f>
        <v>0.048137826671316104</v>
      </c>
      <c r="T1809" s="85">
        <f>IF(B1809="",0,$S1809*$K1809)</f>
        <v>149.12880432050898</v>
      </c>
      <c r="U1809" s="85">
        <f>IF(B1809="",0,IF(OR(H1809=MappingTables!$C$34,H1809=MappingTables!$C$35),T1809,0))</f>
        <v>0</v>
      </c>
      <c r="V1809" s="85">
        <f>IF(ISNA(IF(AND(VLOOKUP(CONCATENATE($D1809,$G1809),CSRFinput!$B:$E,4,0)=0,OR(H1809=MappingTables!$C$34,H1809=MappingTables!$C$35)),1,VLOOKUP(CONCATENATE($D1809,$G1809),CSRFinput!$B:$E,4,0))),0,IF(AND(VLOOKUP(CONCATENATE($D1809,$G1809),CSRFinput!$B:$E,4,0)=0,OR(H1809=MappingTables!$C$34,H1809=MappingTables!$C$35)),1,VLOOKUP(CONCATENATE($D1809,$G1809),CSRFinput!$B:$E,4,0)))</f>
        <v>0.054776304963434752</v>
      </c>
      <c r="W1809" s="85">
        <f>IF(B1809="",0,+$T1809*$V1809)</f>
        <v>8.1687248642925856</v>
      </c>
      <c r="X1809" s="85">
        <f>IF(B1809="",0,IF(OR(H1809=MappingTables!$C$34,H1809=MappingTables!$C$35),W1809,0))</f>
        <v>0</v>
      </c>
    </row>
    <row r="1810" spans="2:24" s="0" customFormat="0" ht="15">
      <c r="B1810" s="69">
        <v>19863493</v>
      </c>
      <c r="C1810" s="70" t="s">
        <v>1639</v>
      </c>
      <c r="D1810" s="70" t="s">
        <v>1</v>
      </c>
      <c r="E1810" s="70" t="s">
        <v>1</v>
      </c>
      <c r="F1810" s="70"/>
      <c r="G1810" s="70" t="s">
        <v>61</v>
      </c>
      <c r="H1810" s="70" t="s">
        <v>178</v>
      </c>
      <c r="I1810" s="70" t="s">
        <v>188</v>
      </c>
      <c r="J1810" s="71">
        <f>IF(OR(I1810=0,I1810=""),"unrated",VLOOKUP(I1810,MappingTables!$B$19:$C$31,2,FALSE))</f>
        <v>2</v>
      </c>
      <c r="K1810" s="72">
        <v>515.18935936291288</v>
      </c>
      <c r="L1810" s="70">
        <v>0.3476257939257924</v>
      </c>
      <c r="M1810" s="71">
        <f>IF(L1810&lt;1,1,L1810)</f>
        <v>1</v>
      </c>
      <c r="N1810" s="70" t="s">
        <v>141</v>
      </c>
      <c r="O1810" s="71">
        <f>INDEX(DurClassMapping,MATCH(M1810,MappingTables!$D$4:$D$8,-1),1)</f>
        <v>1</v>
      </c>
      <c r="P1810" s="73">
        <f>IF(M1810=$A$1,1,$M1810-INDEX(MappingTables!$E$4:$E$8,MATCH(O1810,MappingTables!$B$4:$B$8,0)))</f>
        <v>1</v>
      </c>
      <c r="Q1810" s="71">
        <f>IF(B1810="",0,INDEX(ModelParameters!$D$6:$K$10,MATCH($O1810,ModelParameters!$B$6:$B$10,0),MATCH($J1810,ModelParameters!$D$5:$K$5,0)))</f>
        <v>0.013999999999999998</v>
      </c>
      <c r="R1810" s="71">
        <f>IF(B1810="",0,INDEX(ModelParameters!$D$13:$K$17,MATCH($O1810,ModelParameters!$B$13:$B$17,0),MATCH($J1810,ModelParameters!$D$5:$K$5,0)))</f>
        <v>0</v>
      </c>
      <c r="S1810" s="160">
        <f>IF(B1810="",0,MIN(IF($N1810="Other Bond TM",ModelParameters!$N$21,1)*(P1810*Q1810+R1810),1))</f>
        <v>0.013999999999999998</v>
      </c>
      <c r="T1810" s="85">
        <f>IF(B1810="",0,$S1810*$K1810)</f>
        <v>7.2126510310807792</v>
      </c>
      <c r="U1810" s="85">
        <f>IF(B1810="",0,IF(OR(H1810=MappingTables!$C$34,H1810=MappingTables!$C$35),T1810,0))</f>
        <v>0</v>
      </c>
      <c r="V1810" s="85">
        <f>IF(ISNA(IF(AND(VLOOKUP(CONCATENATE($D1810,$G1810),CSRFinput!$B:$E,4,0)=0,OR(H1810=MappingTables!$C$34,H1810=MappingTables!$C$35)),1,VLOOKUP(CONCATENATE($D1810,$G1810),CSRFinput!$B:$E,4,0))),0,IF(AND(VLOOKUP(CONCATENATE($D1810,$G1810),CSRFinput!$B:$E,4,0)=0,OR(H1810=MappingTables!$C$34,H1810=MappingTables!$C$35)),1,VLOOKUP(CONCATENATE($D1810,$G1810),CSRFinput!$B:$E,4,0)))</f>
        <v>0.054776304963434752</v>
      </c>
      <c r="W1810" s="85">
        <f>IF(B1810="",0,+$T1810*$V1810)</f>
        <v>0.39508237247331288</v>
      </c>
      <c r="X1810" s="85">
        <f>IF(B1810="",0,IF(OR(H1810=MappingTables!$C$34,H1810=MappingTables!$C$35),W1810,0))</f>
        <v>0</v>
      </c>
    </row>
    <row r="1811" spans="2:24" s="0" customFormat="0" ht="15">
      <c r="B1811" s="69">
        <v>4341995</v>
      </c>
      <c r="C1811" s="70" t="s">
        <v>2004</v>
      </c>
      <c r="D1811" s="70" t="s">
        <v>1</v>
      </c>
      <c r="E1811" s="70" t="s">
        <v>1</v>
      </c>
      <c r="F1811" s="70"/>
      <c r="G1811" s="70" t="s">
        <v>61</v>
      </c>
      <c r="H1811" s="70" t="s">
        <v>178</v>
      </c>
      <c r="I1811" s="70" t="s">
        <v>181</v>
      </c>
      <c r="J1811" s="71">
        <f>IF(OR(I1811=0,I1811=""),"unrated",VLOOKUP(I1811,MappingTables!$B$19:$C$31,2,FALSE))</f>
        <v>3</v>
      </c>
      <c r="K1811" s="72">
        <v>195.89042065500852</v>
      </c>
      <c r="L1811" s="70">
        <v>0.90974560353556416</v>
      </c>
      <c r="M1811" s="71">
        <f>IF(L1811&lt;1,1,L1811)</f>
        <v>1</v>
      </c>
      <c r="N1811" s="70" t="s">
        <v>141</v>
      </c>
      <c r="O1811" s="71">
        <f>INDEX(DurClassMapping,MATCH(M1811,MappingTables!$D$4:$D$8,-1),1)</f>
        <v>1</v>
      </c>
      <c r="P1811" s="73">
        <f>IF(M1811=$A$1,1,$M1811-INDEX(MappingTables!$E$4:$E$8,MATCH(O1811,MappingTables!$B$4:$B$8,0)))</f>
        <v>1</v>
      </c>
      <c r="Q1811" s="71">
        <f>IF(B1811="",0,INDEX(ModelParameters!$D$6:$K$10,MATCH($O1811,ModelParameters!$B$6:$B$10,0),MATCH($J1811,ModelParameters!$D$5:$K$5,0)))</f>
        <v>0.025</v>
      </c>
      <c r="R1811" s="71">
        <f>IF(B1811="",0,INDEX(ModelParameters!$D$13:$K$17,MATCH($O1811,ModelParameters!$B$13:$B$17,0),MATCH($J1811,ModelParameters!$D$5:$K$5,0)))</f>
        <v>0</v>
      </c>
      <c r="S1811" s="160">
        <f>IF(B1811="",0,MIN(IF($N1811="Other Bond TM",ModelParameters!$N$21,1)*(P1811*Q1811+R1811),1))</f>
        <v>0.025</v>
      </c>
      <c r="T1811" s="85">
        <f>IF(B1811="",0,$S1811*$K1811)</f>
        <v>4.8972605163752128</v>
      </c>
      <c r="U1811" s="85">
        <f>IF(B1811="",0,IF(OR(H1811=MappingTables!$C$34,H1811=MappingTables!$C$35),T1811,0))</f>
        <v>0</v>
      </c>
      <c r="V1811" s="85">
        <f>IF(ISNA(IF(AND(VLOOKUP(CONCATENATE($D1811,$G1811),CSRFinput!$B:$E,4,0)=0,OR(H1811=MappingTables!$C$34,H1811=MappingTables!$C$35)),1,VLOOKUP(CONCATENATE($D1811,$G1811),CSRFinput!$B:$E,4,0))),0,IF(AND(VLOOKUP(CONCATENATE($D1811,$G1811),CSRFinput!$B:$E,4,0)=0,OR(H1811=MappingTables!$C$34,H1811=MappingTables!$C$35)),1,VLOOKUP(CONCATENATE($D1811,$G1811),CSRFinput!$B:$E,4,0)))</f>
        <v>0.054776304963434752</v>
      </c>
      <c r="W1811" s="85">
        <f>IF(B1811="",0,+$T1811*$V1811)</f>
        <v>0.26825383553035664</v>
      </c>
      <c r="X1811" s="85">
        <f>IF(B1811="",0,IF(OR(H1811=MappingTables!$C$34,H1811=MappingTables!$C$35),W1811,0))</f>
        <v>0</v>
      </c>
    </row>
    <row r="1812" spans="2:24" s="0" customFormat="0" ht="15">
      <c r="B1812" s="69">
        <v>6087964</v>
      </c>
      <c r="C1812" s="70" t="s">
        <v>2005</v>
      </c>
      <c r="D1812" s="70" t="s">
        <v>1</v>
      </c>
      <c r="E1812" s="70" t="s">
        <v>1</v>
      </c>
      <c r="F1812" s="70"/>
      <c r="G1812" s="70" t="s">
        <v>61</v>
      </c>
      <c r="H1812" s="70" t="s">
        <v>178</v>
      </c>
      <c r="I1812" s="70" t="s">
        <v>181</v>
      </c>
      <c r="J1812" s="71">
        <f>IF(OR(I1812=0,I1812=""),"unrated",VLOOKUP(I1812,MappingTables!$B$19:$C$31,2,FALSE))</f>
        <v>3</v>
      </c>
      <c r="K1812" s="72">
        <v>3.3503602759406088</v>
      </c>
      <c r="L1812" s="70">
        <v>0.01096058282429251</v>
      </c>
      <c r="M1812" s="71">
        <f>IF(L1812&lt;1,1,L1812)</f>
        <v>1</v>
      </c>
      <c r="N1812" s="70" t="s">
        <v>141</v>
      </c>
      <c r="O1812" s="71">
        <f>INDEX(DurClassMapping,MATCH(M1812,MappingTables!$D$4:$D$8,-1),1)</f>
        <v>1</v>
      </c>
      <c r="P1812" s="73">
        <f>IF(M1812=$A$1,1,$M1812-INDEX(MappingTables!$E$4:$E$8,MATCH(O1812,MappingTables!$B$4:$B$8,0)))</f>
        <v>1</v>
      </c>
      <c r="Q1812" s="71">
        <f>IF(B1812="",0,INDEX(ModelParameters!$D$6:$K$10,MATCH($O1812,ModelParameters!$B$6:$B$10,0),MATCH($J1812,ModelParameters!$D$5:$K$5,0)))</f>
        <v>0.025</v>
      </c>
      <c r="R1812" s="71">
        <f>IF(B1812="",0,INDEX(ModelParameters!$D$13:$K$17,MATCH($O1812,ModelParameters!$B$13:$B$17,0),MATCH($J1812,ModelParameters!$D$5:$K$5,0)))</f>
        <v>0</v>
      </c>
      <c r="S1812" s="160">
        <f>IF(B1812="",0,MIN(IF($N1812="Other Bond TM",ModelParameters!$N$21,1)*(P1812*Q1812+R1812),1))</f>
        <v>0.025</v>
      </c>
      <c r="T1812" s="85">
        <f>IF(B1812="",0,$S1812*$K1812)</f>
        <v>0.083759006898515232</v>
      </c>
      <c r="U1812" s="85">
        <f>IF(B1812="",0,IF(OR(H1812=MappingTables!$C$34,H1812=MappingTables!$C$35),T1812,0))</f>
        <v>0</v>
      </c>
      <c r="V1812" s="85">
        <f>IF(ISNA(IF(AND(VLOOKUP(CONCATENATE($D1812,$G1812),CSRFinput!$B:$E,4,0)=0,OR(H1812=MappingTables!$C$34,H1812=MappingTables!$C$35)),1,VLOOKUP(CONCATENATE($D1812,$G1812),CSRFinput!$B:$E,4,0))),0,IF(AND(VLOOKUP(CONCATENATE($D1812,$G1812),CSRFinput!$B:$E,4,0)=0,OR(H1812=MappingTables!$C$34,H1812=MappingTables!$C$35)),1,VLOOKUP(CONCATENATE($D1812,$G1812),CSRFinput!$B:$E,4,0)))</f>
        <v>0.054776304963434752</v>
      </c>
      <c r="W1812" s="85">
        <f>IF(B1812="",0,+$T1812*$V1812)</f>
        <v>0.0045880089053075056</v>
      </c>
      <c r="X1812" s="85">
        <f>IF(B1812="",0,IF(OR(H1812=MappingTables!$C$34,H1812=MappingTables!$C$35),W1812,0))</f>
        <v>0</v>
      </c>
    </row>
    <row r="1813" spans="2:24" s="0" customFormat="0" ht="15">
      <c r="B1813" s="69" t="s">
        <v>2006</v>
      </c>
      <c r="C1813" s="70" t="s">
        <v>2007</v>
      </c>
      <c r="D1813" s="70" t="s">
        <v>1</v>
      </c>
      <c r="E1813" s="70" t="s">
        <v>1</v>
      </c>
      <c r="F1813" s="70"/>
      <c r="G1813" s="70" t="s">
        <v>61</v>
      </c>
      <c r="H1813" s="70" t="s">
        <v>178</v>
      </c>
      <c r="I1813" s="70" t="s">
        <v>181</v>
      </c>
      <c r="J1813" s="71">
        <f>IF(OR(I1813=0,I1813=""),"unrated",VLOOKUP(I1813,MappingTables!$B$19:$C$31,2,FALSE))</f>
        <v>3</v>
      </c>
      <c r="K1813" s="72">
        <v>7.6877697592271808</v>
      </c>
      <c r="L1813" s="70">
        <v>0.6684972371944776</v>
      </c>
      <c r="M1813" s="71">
        <f>IF(L1813&lt;1,1,L1813)</f>
        <v>1</v>
      </c>
      <c r="N1813" s="70" t="s">
        <v>141</v>
      </c>
      <c r="O1813" s="71">
        <f>INDEX(DurClassMapping,MATCH(M1813,MappingTables!$D$4:$D$8,-1),1)</f>
        <v>1</v>
      </c>
      <c r="P1813" s="73">
        <f>IF(M1813=$A$1,1,$M1813-INDEX(MappingTables!$E$4:$E$8,MATCH(O1813,MappingTables!$B$4:$B$8,0)))</f>
        <v>1</v>
      </c>
      <c r="Q1813" s="71">
        <f>IF(B1813="",0,INDEX(ModelParameters!$D$6:$K$10,MATCH($O1813,ModelParameters!$B$6:$B$10,0),MATCH($J1813,ModelParameters!$D$5:$K$5,0)))</f>
        <v>0.025</v>
      </c>
      <c r="R1813" s="71">
        <f>IF(B1813="",0,INDEX(ModelParameters!$D$13:$K$17,MATCH($O1813,ModelParameters!$B$13:$B$17,0),MATCH($J1813,ModelParameters!$D$5:$K$5,0)))</f>
        <v>0</v>
      </c>
      <c r="S1813" s="160">
        <f>IF(B1813="",0,MIN(IF($N1813="Other Bond TM",ModelParameters!$N$21,1)*(P1813*Q1813+R1813),1))</f>
        <v>0.025</v>
      </c>
      <c r="T1813" s="85">
        <f>IF(B1813="",0,$S1813*$K1813)</f>
        <v>0.19219424398067952</v>
      </c>
      <c r="U1813" s="85">
        <f>IF(B1813="",0,IF(OR(H1813=MappingTables!$C$34,H1813=MappingTables!$C$35),T1813,0))</f>
        <v>0</v>
      </c>
      <c r="V1813" s="85">
        <f>IF(ISNA(IF(AND(VLOOKUP(CONCATENATE($D1813,$G1813),CSRFinput!$B:$E,4,0)=0,OR(H1813=MappingTables!$C$34,H1813=MappingTables!$C$35)),1,VLOOKUP(CONCATENATE($D1813,$G1813),CSRFinput!$B:$E,4,0))),0,IF(AND(VLOOKUP(CONCATENATE($D1813,$G1813),CSRFinput!$B:$E,4,0)=0,OR(H1813=MappingTables!$C$34,H1813=MappingTables!$C$35)),1,VLOOKUP(CONCATENATE($D1813,$G1813),CSRFinput!$B:$E,4,0)))</f>
        <v>0.054776304963434752</v>
      </c>
      <c r="W1813" s="85">
        <f>IF(B1813="",0,+$T1813*$V1813)</f>
        <v>0.010527690520502486</v>
      </c>
      <c r="X1813" s="85">
        <f>IF(B1813="",0,IF(OR(H1813=MappingTables!$C$34,H1813=MappingTables!$C$35),W1813,0))</f>
        <v>0</v>
      </c>
    </row>
    <row r="1814" spans="2:24" s="0" customFormat="0" ht="15">
      <c r="B1814" s="69">
        <v>15645627</v>
      </c>
      <c r="C1814" s="70" t="s">
        <v>1178</v>
      </c>
      <c r="D1814" s="70" t="s">
        <v>1</v>
      </c>
      <c r="E1814" s="70" t="s">
        <v>1</v>
      </c>
      <c r="F1814" s="70"/>
      <c r="G1814" s="70" t="s">
        <v>61</v>
      </c>
      <c r="H1814" s="70" t="s">
        <v>178</v>
      </c>
      <c r="I1814" s="70" t="s">
        <v>184</v>
      </c>
      <c r="J1814" s="71">
        <f>IF(OR(I1814=0,I1814=""),"unrated",VLOOKUP(I1814,MappingTables!$B$19:$C$31,2,FALSE))</f>
        <v>5</v>
      </c>
      <c r="K1814" s="72">
        <v>343.38749530100684</v>
      </c>
      <c r="L1814" s="70">
        <v>0.087668970911577888</v>
      </c>
      <c r="M1814" s="71">
        <f>IF(L1814&lt;1,1,L1814)</f>
        <v>1</v>
      </c>
      <c r="N1814" s="70" t="s">
        <v>141</v>
      </c>
      <c r="O1814" s="71">
        <f>INDEX(DurClassMapping,MATCH(M1814,MappingTables!$D$4:$D$8,-1),1)</f>
        <v>1</v>
      </c>
      <c r="P1814" s="73">
        <f>IF(M1814=$A$1,1,$M1814-INDEX(MappingTables!$E$4:$E$8,MATCH(O1814,MappingTables!$B$4:$B$8,0)))</f>
        <v>1</v>
      </c>
      <c r="Q1814" s="71">
        <f>IF(B1814="",0,INDEX(ModelParameters!$D$6:$K$10,MATCH($O1814,ModelParameters!$B$6:$B$10,0),MATCH($J1814,ModelParameters!$D$5:$K$5,0)))</f>
        <v>0.075</v>
      </c>
      <c r="R1814" s="71">
        <f>IF(B1814="",0,INDEX(ModelParameters!$D$13:$K$17,MATCH($O1814,ModelParameters!$B$13:$B$17,0),MATCH($J1814,ModelParameters!$D$5:$K$5,0)))</f>
        <v>0</v>
      </c>
      <c r="S1814" s="160">
        <f>IF(B1814="",0,MIN(IF($N1814="Other Bond TM",ModelParameters!$N$21,1)*(P1814*Q1814+R1814),1))</f>
        <v>0.075</v>
      </c>
      <c r="T1814" s="85">
        <f>IF(B1814="",0,$S1814*$K1814)</f>
        <v>25.754062147575512</v>
      </c>
      <c r="U1814" s="85">
        <f>IF(B1814="",0,IF(OR(H1814=MappingTables!$C$34,H1814=MappingTables!$C$35),T1814,0))</f>
        <v>0</v>
      </c>
      <c r="V1814" s="85">
        <f>IF(ISNA(IF(AND(VLOOKUP(CONCATENATE($D1814,$G1814),CSRFinput!$B:$E,4,0)=0,OR(H1814=MappingTables!$C$34,H1814=MappingTables!$C$35)),1,VLOOKUP(CONCATENATE($D1814,$G1814),CSRFinput!$B:$E,4,0))),0,IF(AND(VLOOKUP(CONCATENATE($D1814,$G1814),CSRFinput!$B:$E,4,0)=0,OR(H1814=MappingTables!$C$34,H1814=MappingTables!$C$35)),1,VLOOKUP(CONCATENATE($D1814,$G1814),CSRFinput!$B:$E,4,0)))</f>
        <v>0.054776304963434752</v>
      </c>
      <c r="W1814" s="85">
        <f>IF(B1814="",0,+$T1814*$V1814)</f>
        <v>1.4107123622428474</v>
      </c>
      <c r="X1814" s="85">
        <f>IF(B1814="",0,IF(OR(H1814=MappingTables!$C$34,H1814=MappingTables!$C$35),W1814,0))</f>
        <v>0</v>
      </c>
    </row>
    <row r="1815" spans="2:24" s="0" customFormat="0" ht="15">
      <c r="B1815" s="69" t="s">
        <v>2008</v>
      </c>
      <c r="C1815" s="70" t="s">
        <v>2009</v>
      </c>
      <c r="D1815" s="70" t="s">
        <v>1</v>
      </c>
      <c r="E1815" s="70" t="s">
        <v>1</v>
      </c>
      <c r="F1815" s="70"/>
      <c r="G1815" s="70" t="s">
        <v>61</v>
      </c>
      <c r="H1815" s="70" t="s">
        <v>178</v>
      </c>
      <c r="I1815" s="70" t="s">
        <v>184</v>
      </c>
      <c r="J1815" s="71">
        <f>IF(OR(I1815=0,I1815=""),"unrated",VLOOKUP(I1815,MappingTables!$B$19:$C$31,2,FALSE))</f>
        <v>5</v>
      </c>
      <c r="K1815" s="72">
        <v>239.85421344108732</v>
      </c>
      <c r="L1815" s="70">
        <v>2.6983928600127924</v>
      </c>
      <c r="M1815" s="71">
        <f>IF(L1815&lt;1,1,L1815)</f>
        <v>2.6983928600127924</v>
      </c>
      <c r="N1815" s="70" t="s">
        <v>141</v>
      </c>
      <c r="O1815" s="71">
        <f>INDEX(DurClassMapping,MATCH(M1815,MappingTables!$D$4:$D$8,-1),1)</f>
        <v>1</v>
      </c>
      <c r="P1815" s="73">
        <f>IF(M1815=$A$1,1,$M1815-INDEX(MappingTables!$E$4:$E$8,MATCH(O1815,MappingTables!$B$4:$B$8,0)))</f>
        <v>2.6983928600127924</v>
      </c>
      <c r="Q1815" s="71">
        <f>IF(B1815="",0,INDEX(ModelParameters!$D$6:$K$10,MATCH($O1815,ModelParameters!$B$6:$B$10,0),MATCH($J1815,ModelParameters!$D$5:$K$5,0)))</f>
        <v>0.075</v>
      </c>
      <c r="R1815" s="71">
        <f>IF(B1815="",0,INDEX(ModelParameters!$D$13:$K$17,MATCH($O1815,ModelParameters!$B$13:$B$17,0),MATCH($J1815,ModelParameters!$D$5:$K$5,0)))</f>
        <v>0</v>
      </c>
      <c r="S1815" s="160">
        <f>IF(B1815="",0,MIN(IF($N1815="Other Bond TM",ModelParameters!$N$21,1)*(P1815*Q1815+R1815),1))</f>
        <v>0.20237946450095944</v>
      </c>
      <c r="T1815" s="85">
        <f>IF(B1815="",0,$S1815*$K1815)</f>
        <v>48.54156727450608</v>
      </c>
      <c r="U1815" s="85">
        <f>IF(B1815="",0,IF(OR(H1815=MappingTables!$C$34,H1815=MappingTables!$C$35),T1815,0))</f>
        <v>0</v>
      </c>
      <c r="V1815" s="85">
        <f>IF(ISNA(IF(AND(VLOOKUP(CONCATENATE($D1815,$G1815),CSRFinput!$B:$E,4,0)=0,OR(H1815=MappingTables!$C$34,H1815=MappingTables!$C$35)),1,VLOOKUP(CONCATENATE($D1815,$G1815),CSRFinput!$B:$E,4,0))),0,IF(AND(VLOOKUP(CONCATENATE($D1815,$G1815),CSRFinput!$B:$E,4,0)=0,OR(H1815=MappingTables!$C$34,H1815=MappingTables!$C$35)),1,VLOOKUP(CONCATENATE($D1815,$G1815),CSRFinput!$B:$E,4,0)))</f>
        <v>0.054776304963434752</v>
      </c>
      <c r="W1815" s="85">
        <f>IF(B1815="",0,+$T1815*$V1815)</f>
        <v>2.6589276924314292</v>
      </c>
      <c r="X1815" s="85">
        <f>IF(B1815="",0,IF(OR(H1815=MappingTables!$C$34,H1815=MappingTables!$C$35),W1815,0))</f>
        <v>0</v>
      </c>
    </row>
    <row r="1816" spans="2:24" s="0" customFormat="0" ht="15">
      <c r="B1816" s="69">
        <v>13656300</v>
      </c>
      <c r="C1816" s="70" t="s">
        <v>2010</v>
      </c>
      <c r="D1816" s="70" t="s">
        <v>1</v>
      </c>
      <c r="E1816" s="70" t="s">
        <v>1</v>
      </c>
      <c r="F1816" s="70"/>
      <c r="G1816" s="70" t="s">
        <v>61</v>
      </c>
      <c r="H1816" s="70" t="s">
        <v>178</v>
      </c>
      <c r="I1816" s="70" t="s">
        <v>188</v>
      </c>
      <c r="J1816" s="71">
        <f>IF(OR(I1816=0,I1816=""),"unrated",VLOOKUP(I1816,MappingTables!$B$19:$C$31,2,FALSE))</f>
        <v>2</v>
      </c>
      <c r="K1816" s="72">
        <v>85.946790200451552</v>
      </c>
      <c r="L1816" s="70">
        <v>0.69955552968499904</v>
      </c>
      <c r="M1816" s="71">
        <f>IF(L1816&lt;1,1,L1816)</f>
        <v>1</v>
      </c>
      <c r="N1816" s="70" t="s">
        <v>141</v>
      </c>
      <c r="O1816" s="71">
        <f>INDEX(DurClassMapping,MATCH(M1816,MappingTables!$D$4:$D$8,-1),1)</f>
        <v>1</v>
      </c>
      <c r="P1816" s="73">
        <f>IF(M1816=$A$1,1,$M1816-INDEX(MappingTables!$E$4:$E$8,MATCH(O1816,MappingTables!$B$4:$B$8,0)))</f>
        <v>1</v>
      </c>
      <c r="Q1816" s="71">
        <f>IF(B1816="",0,INDEX(ModelParameters!$D$6:$K$10,MATCH($O1816,ModelParameters!$B$6:$B$10,0),MATCH($J1816,ModelParameters!$D$5:$K$5,0)))</f>
        <v>0.013999999999999998</v>
      </c>
      <c r="R1816" s="71">
        <f>IF(B1816="",0,INDEX(ModelParameters!$D$13:$K$17,MATCH($O1816,ModelParameters!$B$13:$B$17,0),MATCH($J1816,ModelParameters!$D$5:$K$5,0)))</f>
        <v>0</v>
      </c>
      <c r="S1816" s="160">
        <f>IF(B1816="",0,MIN(IF($N1816="Other Bond TM",ModelParameters!$N$21,1)*(P1816*Q1816+R1816),1))</f>
        <v>0.013999999999999998</v>
      </c>
      <c r="T1816" s="85">
        <f>IF(B1816="",0,$S1816*$K1816)</f>
        <v>1.2032550628063216</v>
      </c>
      <c r="U1816" s="85">
        <f>IF(B1816="",0,IF(OR(H1816=MappingTables!$C$34,H1816=MappingTables!$C$35),T1816,0))</f>
        <v>0</v>
      </c>
      <c r="V1816" s="85">
        <f>IF(ISNA(IF(AND(VLOOKUP(CONCATENATE($D1816,$G1816),CSRFinput!$B:$E,4,0)=0,OR(H1816=MappingTables!$C$34,H1816=MappingTables!$C$35)),1,VLOOKUP(CONCATENATE($D1816,$G1816),CSRFinput!$B:$E,4,0))),0,IF(AND(VLOOKUP(CONCATENATE($D1816,$G1816),CSRFinput!$B:$E,4,0)=0,OR(H1816=MappingTables!$C$34,H1816=MappingTables!$C$35)),1,VLOOKUP(CONCATENATE($D1816,$G1816),CSRFinput!$B:$E,4,0)))</f>
        <v>0.054776304963434752</v>
      </c>
      <c r="W1816" s="85">
        <f>IF(B1816="",0,+$T1816*$V1816)</f>
        <v>0.065909866269075912</v>
      </c>
      <c r="X1816" s="85">
        <f>IF(B1816="",0,IF(OR(H1816=MappingTables!$C$34,H1816=MappingTables!$C$35),W1816,0))</f>
        <v>0</v>
      </c>
    </row>
    <row r="1817" spans="2:24" s="0" customFormat="0" ht="15">
      <c r="B1817" s="69">
        <v>16729249</v>
      </c>
      <c r="C1817" s="70" t="s">
        <v>894</v>
      </c>
      <c r="D1817" s="70" t="s">
        <v>1</v>
      </c>
      <c r="E1817" s="70" t="s">
        <v>1</v>
      </c>
      <c r="F1817" s="70"/>
      <c r="G1817" s="70" t="s">
        <v>61</v>
      </c>
      <c r="H1817" s="70" t="s">
        <v>178</v>
      </c>
      <c r="I1817" s="70" t="s">
        <v>181</v>
      </c>
      <c r="J1817" s="71">
        <f>IF(OR(I1817=0,I1817=""),"unrated",VLOOKUP(I1817,MappingTables!$B$19:$C$31,2,FALSE))</f>
        <v>3</v>
      </c>
      <c r="K1817" s="72">
        <v>1581.4348177763152</v>
      </c>
      <c r="L1817" s="70">
        <v>2.3672881512495408</v>
      </c>
      <c r="M1817" s="71">
        <f>IF(L1817&lt;1,1,L1817)</f>
        <v>2.3672881512495408</v>
      </c>
      <c r="N1817" s="70" t="s">
        <v>141</v>
      </c>
      <c r="O1817" s="71">
        <f>INDEX(DurClassMapping,MATCH(M1817,MappingTables!$D$4:$D$8,-1),1)</f>
        <v>1</v>
      </c>
      <c r="P1817" s="73">
        <f>IF(M1817=$A$1,1,$M1817-INDEX(MappingTables!$E$4:$E$8,MATCH(O1817,MappingTables!$B$4:$B$8,0)))</f>
        <v>2.3672881512495408</v>
      </c>
      <c r="Q1817" s="71">
        <f>IF(B1817="",0,INDEX(ModelParameters!$D$6:$K$10,MATCH($O1817,ModelParameters!$B$6:$B$10,0),MATCH($J1817,ModelParameters!$D$5:$K$5,0)))</f>
        <v>0.025</v>
      </c>
      <c r="R1817" s="71">
        <f>IF(B1817="",0,INDEX(ModelParameters!$D$13:$K$17,MATCH($O1817,ModelParameters!$B$13:$B$17,0),MATCH($J1817,ModelParameters!$D$5:$K$5,0)))</f>
        <v>0</v>
      </c>
      <c r="S1817" s="160">
        <f>IF(B1817="",0,MIN(IF($N1817="Other Bond TM",ModelParameters!$N$21,1)*(P1817*Q1817+R1817),1))</f>
        <v>0.05918220378123852</v>
      </c>
      <c r="T1817" s="85">
        <f>IF(B1817="",0,$S1817*$K1817)</f>
        <v>93.592797652383696</v>
      </c>
      <c r="U1817" s="85">
        <f>IF(B1817="",0,IF(OR(H1817=MappingTables!$C$34,H1817=MappingTables!$C$35),T1817,0))</f>
        <v>0</v>
      </c>
      <c r="V1817" s="85">
        <f>IF(ISNA(IF(AND(VLOOKUP(CONCATENATE($D1817,$G1817),CSRFinput!$B:$E,4,0)=0,OR(H1817=MappingTables!$C$34,H1817=MappingTables!$C$35)),1,VLOOKUP(CONCATENATE($D1817,$G1817),CSRFinput!$B:$E,4,0))),0,IF(AND(VLOOKUP(CONCATENATE($D1817,$G1817),CSRFinput!$B:$E,4,0)=0,OR(H1817=MappingTables!$C$34,H1817=MappingTables!$C$35)),1,VLOOKUP(CONCATENATE($D1817,$G1817),CSRFinput!$B:$E,4,0)))</f>
        <v>0.054776304963434752</v>
      </c>
      <c r="W1817" s="85">
        <f>IF(B1817="",0,+$T1817*$V1817)</f>
        <v>5.1266676265880096</v>
      </c>
      <c r="X1817" s="85">
        <f>IF(B1817="",0,IF(OR(H1817=MappingTables!$C$34,H1817=MappingTables!$C$35),W1817,0))</f>
        <v>0</v>
      </c>
    </row>
    <row r="1818" spans="2:24" s="0" customFormat="0" ht="15">
      <c r="B1818" s="69">
        <v>23159574</v>
      </c>
      <c r="C1818" s="70" t="s">
        <v>2011</v>
      </c>
      <c r="D1818" s="70" t="s">
        <v>1</v>
      </c>
      <c r="E1818" s="70" t="s">
        <v>1</v>
      </c>
      <c r="F1818" s="70"/>
      <c r="G1818" s="70" t="s">
        <v>61</v>
      </c>
      <c r="H1818" s="70" t="s">
        <v>178</v>
      </c>
      <c r="I1818" s="70" t="s">
        <v>220</v>
      </c>
      <c r="J1818" s="71">
        <f>IF(OR(I1818=0,I1818=""),"unrated",VLOOKUP(I1818,MappingTables!$B$19:$C$31,2,FALSE))</f>
        <v>1</v>
      </c>
      <c r="K1818" s="72">
        <v>8638.2770011587328</v>
      </c>
      <c r="L1818" s="70">
        <v>0.15616309685122098</v>
      </c>
      <c r="M1818" s="71">
        <f>IF(L1818&lt;1,1,L1818)</f>
        <v>1</v>
      </c>
      <c r="N1818" s="70" t="s">
        <v>141</v>
      </c>
      <c r="O1818" s="71">
        <f>INDEX(DurClassMapping,MATCH(M1818,MappingTables!$D$4:$D$8,-1),1)</f>
        <v>1</v>
      </c>
      <c r="P1818" s="73">
        <f>IF(M1818=$A$1,1,$M1818-INDEX(MappingTables!$E$4:$E$8,MATCH(O1818,MappingTables!$B$4:$B$8,0)))</f>
        <v>1</v>
      </c>
      <c r="Q1818" s="71">
        <f>IF(B1818="",0,INDEX(ModelParameters!$D$6:$K$10,MATCH($O1818,ModelParameters!$B$6:$B$10,0),MATCH($J1818,ModelParameters!$D$5:$K$5,0)))</f>
        <v>0.011000000000000002</v>
      </c>
      <c r="R1818" s="71">
        <f>IF(B1818="",0,INDEX(ModelParameters!$D$13:$K$17,MATCH($O1818,ModelParameters!$B$13:$B$17,0),MATCH($J1818,ModelParameters!$D$5:$K$5,0)))</f>
        <v>0</v>
      </c>
      <c r="S1818" s="160">
        <f>IF(B1818="",0,MIN(IF($N1818="Other Bond TM",ModelParameters!$N$21,1)*(P1818*Q1818+R1818),1))</f>
        <v>0.011000000000000002</v>
      </c>
      <c r="T1818" s="85">
        <f>IF(B1818="",0,$S1818*$K1818)</f>
        <v>95.021047012746064</v>
      </c>
      <c r="U1818" s="85">
        <f>IF(B1818="",0,IF(OR(H1818=MappingTables!$C$34,H1818=MappingTables!$C$35),T1818,0))</f>
        <v>0</v>
      </c>
      <c r="V1818" s="85">
        <f>IF(ISNA(IF(AND(VLOOKUP(CONCATENATE($D1818,$G1818),CSRFinput!$B:$E,4,0)=0,OR(H1818=MappingTables!$C$34,H1818=MappingTables!$C$35)),1,VLOOKUP(CONCATENATE($D1818,$G1818),CSRFinput!$B:$E,4,0))),0,IF(AND(VLOOKUP(CONCATENATE($D1818,$G1818),CSRFinput!$B:$E,4,0)=0,OR(H1818=MappingTables!$C$34,H1818=MappingTables!$C$35)),1,VLOOKUP(CONCATENATE($D1818,$G1818),CSRFinput!$B:$E,4,0)))</f>
        <v>0.054776304963434752</v>
      </c>
      <c r="W1818" s="85">
        <f>IF(B1818="",0,+$T1818*$V1818)</f>
        <v>5.2049018491150496</v>
      </c>
      <c r="X1818" s="85">
        <f>IF(B1818="",0,IF(OR(H1818=MappingTables!$C$34,H1818=MappingTables!$C$35),W1818,0))</f>
        <v>0</v>
      </c>
    </row>
    <row r="1819" spans="2:24" s="0" customFormat="0" ht="15">
      <c r="B1819" s="69">
        <v>14376252</v>
      </c>
      <c r="C1819" s="70" t="s">
        <v>2012</v>
      </c>
      <c r="D1819" s="70" t="s">
        <v>1</v>
      </c>
      <c r="E1819" s="70" t="s">
        <v>1</v>
      </c>
      <c r="F1819" s="70"/>
      <c r="G1819" s="70" t="s">
        <v>61</v>
      </c>
      <c r="H1819" s="70" t="s">
        <v>178</v>
      </c>
      <c r="I1819" s="70" t="s">
        <v>181</v>
      </c>
      <c r="J1819" s="71">
        <f>IF(OR(I1819=0,I1819=""),"unrated",VLOOKUP(I1819,MappingTables!$B$19:$C$31,2,FALSE))</f>
        <v>3</v>
      </c>
      <c r="K1819" s="72">
        <v>9093.3007211772752</v>
      </c>
      <c r="L1819" s="70">
        <v>2.8946488142303464</v>
      </c>
      <c r="M1819" s="71">
        <f>IF(L1819&lt;1,1,L1819)</f>
        <v>2.8946488142303464</v>
      </c>
      <c r="N1819" s="70" t="s">
        <v>141</v>
      </c>
      <c r="O1819" s="71">
        <f>INDEX(DurClassMapping,MATCH(M1819,MappingTables!$D$4:$D$8,-1),1)</f>
        <v>1</v>
      </c>
      <c r="P1819" s="73">
        <f>IF(M1819=$A$1,1,$M1819-INDEX(MappingTables!$E$4:$E$8,MATCH(O1819,MappingTables!$B$4:$B$8,0)))</f>
        <v>2.8946488142303464</v>
      </c>
      <c r="Q1819" s="71">
        <f>IF(B1819="",0,INDEX(ModelParameters!$D$6:$K$10,MATCH($O1819,ModelParameters!$B$6:$B$10,0),MATCH($J1819,ModelParameters!$D$5:$K$5,0)))</f>
        <v>0.025</v>
      </c>
      <c r="R1819" s="71">
        <f>IF(B1819="",0,INDEX(ModelParameters!$D$13:$K$17,MATCH($O1819,ModelParameters!$B$13:$B$17,0),MATCH($J1819,ModelParameters!$D$5:$K$5,0)))</f>
        <v>0</v>
      </c>
      <c r="S1819" s="160">
        <f>IF(B1819="",0,MIN(IF($N1819="Other Bond TM",ModelParameters!$N$21,1)*(P1819*Q1819+R1819),1))</f>
        <v>0.072366220355758672</v>
      </c>
      <c r="T1819" s="85">
        <f>IF(B1819="",0,$S1819*$K1819)</f>
        <v>658.04780374989392</v>
      </c>
      <c r="U1819" s="85">
        <f>IF(B1819="",0,IF(OR(H1819=MappingTables!$C$34,H1819=MappingTables!$C$35),T1819,0))</f>
        <v>0</v>
      </c>
      <c r="V1819" s="85">
        <f>IF(ISNA(IF(AND(VLOOKUP(CONCATENATE($D1819,$G1819),CSRFinput!$B:$E,4,0)=0,OR(H1819=MappingTables!$C$34,H1819=MappingTables!$C$35)),1,VLOOKUP(CONCATENATE($D1819,$G1819),CSRFinput!$B:$E,4,0))),0,IF(AND(VLOOKUP(CONCATENATE($D1819,$G1819),CSRFinput!$B:$E,4,0)=0,OR(H1819=MappingTables!$C$34,H1819=MappingTables!$C$35)),1,VLOOKUP(CONCATENATE($D1819,$G1819),CSRFinput!$B:$E,4,0)))</f>
        <v>0.054776304963434752</v>
      </c>
      <c r="W1819" s="85">
        <f>IF(B1819="",0,+$T1819*$V1819)</f>
        <v>36.045427178722656</v>
      </c>
      <c r="X1819" s="85">
        <f>IF(B1819="",0,IF(OR(H1819=MappingTables!$C$34,H1819=MappingTables!$C$35),W1819,0))</f>
        <v>0</v>
      </c>
    </row>
    <row r="1820" spans="2:24" s="0" customFormat="0" ht="15">
      <c r="B1820" s="69">
        <v>4082454</v>
      </c>
      <c r="C1820" s="70" t="s">
        <v>1401</v>
      </c>
      <c r="D1820" s="70" t="s">
        <v>1</v>
      </c>
      <c r="E1820" s="70" t="s">
        <v>1</v>
      </c>
      <c r="F1820" s="70"/>
      <c r="G1820" s="70" t="s">
        <v>61</v>
      </c>
      <c r="H1820" s="70" t="s">
        <v>178</v>
      </c>
      <c r="I1820" s="70" t="s">
        <v>181</v>
      </c>
      <c r="J1820" s="71">
        <f>IF(OR(I1820=0,I1820=""),"unrated",VLOOKUP(I1820,MappingTables!$B$19:$C$31,2,FALSE))</f>
        <v>3</v>
      </c>
      <c r="K1820" s="72">
        <v>5735.8676609676616</v>
      </c>
      <c r="L1820" s="70">
        <v>0.7881428675285536</v>
      </c>
      <c r="M1820" s="71">
        <f>IF(L1820&lt;1,1,L1820)</f>
        <v>1</v>
      </c>
      <c r="N1820" s="70" t="s">
        <v>141</v>
      </c>
      <c r="O1820" s="71">
        <f>INDEX(DurClassMapping,MATCH(M1820,MappingTables!$D$4:$D$8,-1),1)</f>
        <v>1</v>
      </c>
      <c r="P1820" s="73">
        <f>IF(M1820=$A$1,1,$M1820-INDEX(MappingTables!$E$4:$E$8,MATCH(O1820,MappingTables!$B$4:$B$8,0)))</f>
        <v>1</v>
      </c>
      <c r="Q1820" s="71">
        <f>IF(B1820="",0,INDEX(ModelParameters!$D$6:$K$10,MATCH($O1820,ModelParameters!$B$6:$B$10,0),MATCH($J1820,ModelParameters!$D$5:$K$5,0)))</f>
        <v>0.025</v>
      </c>
      <c r="R1820" s="71">
        <f>IF(B1820="",0,INDEX(ModelParameters!$D$13:$K$17,MATCH($O1820,ModelParameters!$B$13:$B$17,0),MATCH($J1820,ModelParameters!$D$5:$K$5,0)))</f>
        <v>0</v>
      </c>
      <c r="S1820" s="160">
        <f>IF(B1820="",0,MIN(IF($N1820="Other Bond TM",ModelParameters!$N$21,1)*(P1820*Q1820+R1820),1))</f>
        <v>0.025</v>
      </c>
      <c r="T1820" s="85">
        <f>IF(B1820="",0,$S1820*$K1820)</f>
        <v>143.39669152419154</v>
      </c>
      <c r="U1820" s="85">
        <f>IF(B1820="",0,IF(OR(H1820=MappingTables!$C$34,H1820=MappingTables!$C$35),T1820,0))</f>
        <v>0</v>
      </c>
      <c r="V1820" s="85">
        <f>IF(ISNA(IF(AND(VLOOKUP(CONCATENATE($D1820,$G1820),CSRFinput!$B:$E,4,0)=0,OR(H1820=MappingTables!$C$34,H1820=MappingTables!$C$35)),1,VLOOKUP(CONCATENATE($D1820,$G1820),CSRFinput!$B:$E,4,0))),0,IF(AND(VLOOKUP(CONCATENATE($D1820,$G1820),CSRFinput!$B:$E,4,0)=0,OR(H1820=MappingTables!$C$34,H1820=MappingTables!$C$35)),1,VLOOKUP(CONCATENATE($D1820,$G1820),CSRFinput!$B:$E,4,0)))</f>
        <v>0.054776304963434752</v>
      </c>
      <c r="W1820" s="85">
        <f>IF(B1820="",0,+$T1820*$V1820)</f>
        <v>7.8547409056766944</v>
      </c>
      <c r="X1820" s="85">
        <f>IF(B1820="",0,IF(OR(H1820=MappingTables!$C$34,H1820=MappingTables!$C$35),W1820,0))</f>
        <v>0</v>
      </c>
    </row>
    <row r="1821" spans="2:24" s="0" customFormat="0" ht="15">
      <c r="B1821" s="69">
        <v>17470939</v>
      </c>
      <c r="C1821" s="70" t="s">
        <v>2013</v>
      </c>
      <c r="D1821" s="70" t="s">
        <v>1</v>
      </c>
      <c r="E1821" s="70" t="s">
        <v>1</v>
      </c>
      <c r="F1821" s="70"/>
      <c r="G1821" s="70" t="s">
        <v>61</v>
      </c>
      <c r="H1821" s="70" t="s">
        <v>178</v>
      </c>
      <c r="I1821" s="70" t="s">
        <v>188</v>
      </c>
      <c r="J1821" s="71">
        <f>IF(OR(I1821=0,I1821=""),"unrated",VLOOKUP(I1821,MappingTables!$B$19:$C$31,2,FALSE))</f>
        <v>2</v>
      </c>
      <c r="K1821" s="72">
        <v>199.46948165566812</v>
      </c>
      <c r="L1821" s="70">
        <v>3.561723206277738</v>
      </c>
      <c r="M1821" s="71">
        <f>IF(L1821&lt;1,1,L1821)</f>
        <v>3.561723206277738</v>
      </c>
      <c r="N1821" s="70" t="s">
        <v>141</v>
      </c>
      <c r="O1821" s="71">
        <f>INDEX(DurClassMapping,MATCH(M1821,MappingTables!$D$4:$D$8,-1),1)</f>
        <v>1</v>
      </c>
      <c r="P1821" s="73">
        <f>IF(M1821=$A$1,1,$M1821-INDEX(MappingTables!$E$4:$E$8,MATCH(O1821,MappingTables!$B$4:$B$8,0)))</f>
        <v>3.561723206277738</v>
      </c>
      <c r="Q1821" s="71">
        <f>IF(B1821="",0,INDEX(ModelParameters!$D$6:$K$10,MATCH($O1821,ModelParameters!$B$6:$B$10,0),MATCH($J1821,ModelParameters!$D$5:$K$5,0)))</f>
        <v>0.013999999999999998</v>
      </c>
      <c r="R1821" s="71">
        <f>IF(B1821="",0,INDEX(ModelParameters!$D$13:$K$17,MATCH($O1821,ModelParameters!$B$13:$B$17,0),MATCH($J1821,ModelParameters!$D$5:$K$5,0)))</f>
        <v>0</v>
      </c>
      <c r="S1821" s="160">
        <f>IF(B1821="",0,MIN(IF($N1821="Other Bond TM",ModelParameters!$N$21,1)*(P1821*Q1821+R1821),1))</f>
        <v>0.049864124887888328</v>
      </c>
      <c r="T1821" s="85">
        <f>IF(B1821="",0,$S1821*$K1821)</f>
        <v>9.9463711446005856</v>
      </c>
      <c r="U1821" s="85">
        <f>IF(B1821="",0,IF(OR(H1821=MappingTables!$C$34,H1821=MappingTables!$C$35),T1821,0))</f>
        <v>0</v>
      </c>
      <c r="V1821" s="85">
        <f>IF(ISNA(IF(AND(VLOOKUP(CONCATENATE($D1821,$G1821),CSRFinput!$B:$E,4,0)=0,OR(H1821=MappingTables!$C$34,H1821=MappingTables!$C$35)),1,VLOOKUP(CONCATENATE($D1821,$G1821),CSRFinput!$B:$E,4,0))),0,IF(AND(VLOOKUP(CONCATENATE($D1821,$G1821),CSRFinput!$B:$E,4,0)=0,OR(H1821=MappingTables!$C$34,H1821=MappingTables!$C$35)),1,VLOOKUP(CONCATENATE($D1821,$G1821),CSRFinput!$B:$E,4,0)))</f>
        <v>0.054776304963434752</v>
      </c>
      <c r="W1821" s="85">
        <f>IF(B1821="",0,+$T1821*$V1821)</f>
        <v>0.5448254590961492</v>
      </c>
      <c r="X1821" s="85">
        <f>IF(B1821="",0,IF(OR(H1821=MappingTables!$C$34,H1821=MappingTables!$C$35),W1821,0))</f>
        <v>0</v>
      </c>
    </row>
    <row r="1822" spans="2:24" s="0" customFormat="0" ht="15">
      <c r="B1822" s="69">
        <v>12942096</v>
      </c>
      <c r="C1822" s="70" t="s">
        <v>2014</v>
      </c>
      <c r="D1822" s="70" t="s">
        <v>1</v>
      </c>
      <c r="E1822" s="70" t="s">
        <v>1</v>
      </c>
      <c r="F1822" s="70"/>
      <c r="G1822" s="70" t="s">
        <v>61</v>
      </c>
      <c r="H1822" s="70" t="s">
        <v>178</v>
      </c>
      <c r="I1822" s="70" t="s">
        <v>181</v>
      </c>
      <c r="J1822" s="71">
        <f>IF(OR(I1822=0,I1822=""),"unrated",VLOOKUP(I1822,MappingTables!$B$19:$C$31,2,FALSE))</f>
        <v>3</v>
      </c>
      <c r="K1822" s="72">
        <v>628.47888511064104</v>
      </c>
      <c r="L1822" s="70">
        <v>5.0823300007101792</v>
      </c>
      <c r="M1822" s="71">
        <f>IF(L1822&lt;1,1,L1822)</f>
        <v>5.0823300007101792</v>
      </c>
      <c r="N1822" s="70" t="s">
        <v>141</v>
      </c>
      <c r="O1822" s="71">
        <f>INDEX(DurClassMapping,MATCH(M1822,MappingTables!$D$4:$D$8,-1),1)</f>
        <v>2</v>
      </c>
      <c r="P1822" s="73">
        <f>IF(M1822=$A$1,1,$M1822-INDEX(MappingTables!$E$4:$E$8,MATCH(O1822,MappingTables!$B$4:$B$8,0)))</f>
        <v>0.082330000710179264</v>
      </c>
      <c r="Q1822" s="71">
        <f>IF(B1822="",0,INDEX(ModelParameters!$D$6:$K$10,MATCH($O1822,ModelParameters!$B$6:$B$10,0),MATCH($J1822,ModelParameters!$D$5:$K$5,0)))</f>
        <v>0.015</v>
      </c>
      <c r="R1822" s="71">
        <f>IF(B1822="",0,INDEX(ModelParameters!$D$13:$K$17,MATCH($O1822,ModelParameters!$B$13:$B$17,0),MATCH($J1822,ModelParameters!$D$5:$K$5,0)))</f>
        <v>0.125</v>
      </c>
      <c r="S1822" s="160">
        <f>IF(B1822="",0,MIN(IF($N1822="Other Bond TM",ModelParameters!$N$21,1)*(P1822*Q1822+R1822),1))</f>
        <v>0.12623495001065268</v>
      </c>
      <c r="T1822" s="85">
        <f>IF(B1822="",0,$S1822*$K1822)</f>
        <v>79.336000644692512</v>
      </c>
      <c r="U1822" s="85">
        <f>IF(B1822="",0,IF(OR(H1822=MappingTables!$C$34,H1822=MappingTables!$C$35),T1822,0))</f>
        <v>0</v>
      </c>
      <c r="V1822" s="85">
        <f>IF(ISNA(IF(AND(VLOOKUP(CONCATENATE($D1822,$G1822),CSRFinput!$B:$E,4,0)=0,OR(H1822=MappingTables!$C$34,H1822=MappingTables!$C$35)),1,VLOOKUP(CONCATENATE($D1822,$G1822),CSRFinput!$B:$E,4,0))),0,IF(AND(VLOOKUP(CONCATENATE($D1822,$G1822),CSRFinput!$B:$E,4,0)=0,OR(H1822=MappingTables!$C$34,H1822=MappingTables!$C$35)),1,VLOOKUP(CONCATENATE($D1822,$G1822),CSRFinput!$B:$E,4,0)))</f>
        <v>0.054776304963434752</v>
      </c>
      <c r="W1822" s="85">
        <f>IF(B1822="",0,+$T1822*$V1822)</f>
        <v>4.3457329658929328</v>
      </c>
      <c r="X1822" s="85">
        <f>IF(B1822="",0,IF(OR(H1822=MappingTables!$C$34,H1822=MappingTables!$C$35),W1822,0))</f>
        <v>0</v>
      </c>
    </row>
    <row r="1823" spans="2:24" s="0" customFormat="0" ht="15">
      <c r="B1823" s="69">
        <v>14571501</v>
      </c>
      <c r="C1823" s="70" t="s">
        <v>2000</v>
      </c>
      <c r="D1823" s="70" t="s">
        <v>1</v>
      </c>
      <c r="E1823" s="70" t="s">
        <v>1</v>
      </c>
      <c r="F1823" s="70"/>
      <c r="G1823" s="70" t="s">
        <v>61</v>
      </c>
      <c r="H1823" s="70" t="s">
        <v>178</v>
      </c>
      <c r="I1823" s="70" t="s">
        <v>181</v>
      </c>
      <c r="J1823" s="71">
        <f>IF(OR(I1823=0,I1823=""),"unrated",VLOOKUP(I1823,MappingTables!$B$19:$C$31,2,FALSE))</f>
        <v>3</v>
      </c>
      <c r="K1823" s="72">
        <v>1207.957197119315</v>
      </c>
      <c r="L1823" s="70">
        <v>3.3813211238651936</v>
      </c>
      <c r="M1823" s="71">
        <f>IF(L1823&lt;1,1,L1823)</f>
        <v>3.3813211238651936</v>
      </c>
      <c r="N1823" s="70" t="s">
        <v>141</v>
      </c>
      <c r="O1823" s="71">
        <f>INDEX(DurClassMapping,MATCH(M1823,MappingTables!$D$4:$D$8,-1),1)</f>
        <v>1</v>
      </c>
      <c r="P1823" s="73">
        <f>IF(M1823=$A$1,1,$M1823-INDEX(MappingTables!$E$4:$E$8,MATCH(O1823,MappingTables!$B$4:$B$8,0)))</f>
        <v>3.3813211238651936</v>
      </c>
      <c r="Q1823" s="71">
        <f>IF(B1823="",0,INDEX(ModelParameters!$D$6:$K$10,MATCH($O1823,ModelParameters!$B$6:$B$10,0),MATCH($J1823,ModelParameters!$D$5:$K$5,0)))</f>
        <v>0.025</v>
      </c>
      <c r="R1823" s="71">
        <f>IF(B1823="",0,INDEX(ModelParameters!$D$13:$K$17,MATCH($O1823,ModelParameters!$B$13:$B$17,0),MATCH($J1823,ModelParameters!$D$5:$K$5,0)))</f>
        <v>0</v>
      </c>
      <c r="S1823" s="160">
        <f>IF(B1823="",0,MIN(IF($N1823="Other Bond TM",ModelParameters!$N$21,1)*(P1823*Q1823+R1823),1))</f>
        <v>0.08453302809662984</v>
      </c>
      <c r="T1823" s="85">
        <f>IF(B1823="",0,$S1823*$K1823)</f>
        <v>102.11227968361328</v>
      </c>
      <c r="U1823" s="85">
        <f>IF(B1823="",0,IF(OR(H1823=MappingTables!$C$34,H1823=MappingTables!$C$35),T1823,0))</f>
        <v>0</v>
      </c>
      <c r="V1823" s="85">
        <f>IF(ISNA(IF(AND(VLOOKUP(CONCATENATE($D1823,$G1823),CSRFinput!$B:$E,4,0)=0,OR(H1823=MappingTables!$C$34,H1823=MappingTables!$C$35)),1,VLOOKUP(CONCATENATE($D1823,$G1823),CSRFinput!$B:$E,4,0))),0,IF(AND(VLOOKUP(CONCATENATE($D1823,$G1823),CSRFinput!$B:$E,4,0)=0,OR(H1823=MappingTables!$C$34,H1823=MappingTables!$C$35)),1,VLOOKUP(CONCATENATE($D1823,$G1823),CSRFinput!$B:$E,4,0)))</f>
        <v>0.054776304963434752</v>
      </c>
      <c r="W1823" s="85">
        <f>IF(B1823="",0,+$T1823*$V1823)</f>
        <v>5.593333372461144</v>
      </c>
      <c r="X1823" s="85">
        <f>IF(B1823="",0,IF(OR(H1823=MappingTables!$C$34,H1823=MappingTables!$C$35),W1823,0))</f>
        <v>0</v>
      </c>
    </row>
    <row r="1824" spans="2:24" s="0" customFormat="0" ht="15">
      <c r="B1824" s="69" t="s">
        <v>2015</v>
      </c>
      <c r="C1824" s="70" t="s">
        <v>2016</v>
      </c>
      <c r="D1824" s="70" t="s">
        <v>1</v>
      </c>
      <c r="E1824" s="70" t="s">
        <v>1</v>
      </c>
      <c r="F1824" s="70"/>
      <c r="G1824" s="70" t="s">
        <v>61</v>
      </c>
      <c r="H1824" s="70" t="s">
        <v>178</v>
      </c>
      <c r="I1824" s="70" t="s">
        <v>179</v>
      </c>
      <c r="J1824" s="71">
        <f>IF(OR(I1824=0,I1824=""),"unrated",VLOOKUP(I1824,MappingTables!$B$19:$C$31,2,FALSE))</f>
        <v>4</v>
      </c>
      <c r="K1824" s="72">
        <v>270.45524133007916</v>
      </c>
      <c r="L1824" s="70">
        <v>4.1763892148160192</v>
      </c>
      <c r="M1824" s="71">
        <f>IF(L1824&lt;1,1,L1824)</f>
        <v>4.1763892148160192</v>
      </c>
      <c r="N1824" s="70" t="s">
        <v>141</v>
      </c>
      <c r="O1824" s="71">
        <f>INDEX(DurClassMapping,MATCH(M1824,MappingTables!$D$4:$D$8,-1),1)</f>
        <v>1</v>
      </c>
      <c r="P1824" s="73">
        <f>IF(M1824=$A$1,1,$M1824-INDEX(MappingTables!$E$4:$E$8,MATCH(O1824,MappingTables!$B$4:$B$8,0)))</f>
        <v>4.1763892148160192</v>
      </c>
      <c r="Q1824" s="71">
        <f>IF(B1824="",0,INDEX(ModelParameters!$D$6:$K$10,MATCH($O1824,ModelParameters!$B$6:$B$10,0),MATCH($J1824,ModelParameters!$D$5:$K$5,0)))</f>
        <v>0.045</v>
      </c>
      <c r="R1824" s="71">
        <f>IF(B1824="",0,INDEX(ModelParameters!$D$13:$K$17,MATCH($O1824,ModelParameters!$B$13:$B$17,0),MATCH($J1824,ModelParameters!$D$5:$K$5,0)))</f>
        <v>0</v>
      </c>
      <c r="S1824" s="160">
        <f>IF(B1824="",0,MIN(IF($N1824="Other Bond TM",ModelParameters!$N$21,1)*(P1824*Q1824+R1824),1))</f>
        <v>0.18793751466672088</v>
      </c>
      <c r="T1824" s="85">
        <f>IF(B1824="",0,$S1824*$K1824)</f>
        <v>50.828685884163288</v>
      </c>
      <c r="U1824" s="85">
        <f>IF(B1824="",0,IF(OR(H1824=MappingTables!$C$34,H1824=MappingTables!$C$35),T1824,0))</f>
        <v>0</v>
      </c>
      <c r="V1824" s="85">
        <f>IF(ISNA(IF(AND(VLOOKUP(CONCATENATE($D1824,$G1824),CSRFinput!$B:$E,4,0)=0,OR(H1824=MappingTables!$C$34,H1824=MappingTables!$C$35)),1,VLOOKUP(CONCATENATE($D1824,$G1824),CSRFinput!$B:$E,4,0))),0,IF(AND(VLOOKUP(CONCATENATE($D1824,$G1824),CSRFinput!$B:$E,4,0)=0,OR(H1824=MappingTables!$C$34,H1824=MappingTables!$C$35)),1,VLOOKUP(CONCATENATE($D1824,$G1824),CSRFinput!$B:$E,4,0)))</f>
        <v>0.054776304963434752</v>
      </c>
      <c r="W1824" s="85">
        <f>IF(B1824="",0,+$T1824*$V1824)</f>
        <v>2.7842075988815592</v>
      </c>
      <c r="X1824" s="85">
        <f>IF(B1824="",0,IF(OR(H1824=MappingTables!$C$34,H1824=MappingTables!$C$35),W1824,0))</f>
        <v>0</v>
      </c>
    </row>
    <row r="1825" spans="2:24" s="0" customFormat="0" ht="15">
      <c r="B1825" s="69" t="s">
        <v>2017</v>
      </c>
      <c r="C1825" s="70" t="s">
        <v>2018</v>
      </c>
      <c r="D1825" s="70" t="s">
        <v>1</v>
      </c>
      <c r="E1825" s="70" t="s">
        <v>1</v>
      </c>
      <c r="F1825" s="70"/>
      <c r="G1825" s="70" t="s">
        <v>61</v>
      </c>
      <c r="H1825" s="70" t="s">
        <v>178</v>
      </c>
      <c r="I1825" s="70" t="s">
        <v>184</v>
      </c>
      <c r="J1825" s="71">
        <f>IF(OR(I1825=0,I1825=""),"unrated",VLOOKUP(I1825,MappingTables!$B$19:$C$31,2,FALSE))</f>
        <v>5</v>
      </c>
      <c r="K1825" s="72">
        <v>297.27483762192996</v>
      </c>
      <c r="L1825" s="70">
        <v>1.5888737938224918</v>
      </c>
      <c r="M1825" s="71">
        <f>IF(L1825&lt;1,1,L1825)</f>
        <v>1.5888737938224918</v>
      </c>
      <c r="N1825" s="70" t="s">
        <v>141</v>
      </c>
      <c r="O1825" s="71">
        <f>INDEX(DurClassMapping,MATCH(M1825,MappingTables!$D$4:$D$8,-1),1)</f>
        <v>1</v>
      </c>
      <c r="P1825" s="73">
        <f>IF(M1825=$A$1,1,$M1825-INDEX(MappingTables!$E$4:$E$8,MATCH(O1825,MappingTables!$B$4:$B$8,0)))</f>
        <v>1.5888737938224918</v>
      </c>
      <c r="Q1825" s="71">
        <f>IF(B1825="",0,INDEX(ModelParameters!$D$6:$K$10,MATCH($O1825,ModelParameters!$B$6:$B$10,0),MATCH($J1825,ModelParameters!$D$5:$K$5,0)))</f>
        <v>0.075</v>
      </c>
      <c r="R1825" s="71">
        <f>IF(B1825="",0,INDEX(ModelParameters!$D$13:$K$17,MATCH($O1825,ModelParameters!$B$13:$B$17,0),MATCH($J1825,ModelParameters!$D$5:$K$5,0)))</f>
        <v>0</v>
      </c>
      <c r="S1825" s="160">
        <f>IF(B1825="",0,MIN(IF($N1825="Other Bond TM",ModelParameters!$N$21,1)*(P1825*Q1825+R1825),1))</f>
        <v>0.11916553453668688</v>
      </c>
      <c r="T1825" s="85">
        <f>IF(B1825="",0,$S1825*$K1825)</f>
        <v>35.42491492952408</v>
      </c>
      <c r="U1825" s="85">
        <f>IF(B1825="",0,IF(OR(H1825=MappingTables!$C$34,H1825=MappingTables!$C$35),T1825,0))</f>
        <v>0</v>
      </c>
      <c r="V1825" s="85">
        <f>IF(ISNA(IF(AND(VLOOKUP(CONCATENATE($D1825,$G1825),CSRFinput!$B:$E,4,0)=0,OR(H1825=MappingTables!$C$34,H1825=MappingTables!$C$35)),1,VLOOKUP(CONCATENATE($D1825,$G1825),CSRFinput!$B:$E,4,0))),0,IF(AND(VLOOKUP(CONCATENATE($D1825,$G1825),CSRFinput!$B:$E,4,0)=0,OR(H1825=MappingTables!$C$34,H1825=MappingTables!$C$35)),1,VLOOKUP(CONCATENATE($D1825,$G1825),CSRFinput!$B:$E,4,0)))</f>
        <v>0.054776304963434752</v>
      </c>
      <c r="W1825" s="85">
        <f>IF(B1825="",0,+$T1825*$V1825)</f>
        <v>1.9404459434833436</v>
      </c>
      <c r="X1825" s="85">
        <f>IF(B1825="",0,IF(OR(H1825=MappingTables!$C$34,H1825=MappingTables!$C$35),W1825,0))</f>
        <v>0</v>
      </c>
    </row>
    <row r="1826" spans="2:24" s="0" customFormat="0" ht="15">
      <c r="B1826" s="69">
        <v>14395981</v>
      </c>
      <c r="C1826" s="70" t="s">
        <v>2019</v>
      </c>
      <c r="D1826" s="70" t="s">
        <v>1</v>
      </c>
      <c r="E1826" s="70" t="s">
        <v>1</v>
      </c>
      <c r="F1826" s="70"/>
      <c r="G1826" s="70" t="s">
        <v>61</v>
      </c>
      <c r="H1826" s="70" t="s">
        <v>178</v>
      </c>
      <c r="I1826" s="70" t="s">
        <v>181</v>
      </c>
      <c r="J1826" s="71">
        <f>IF(OR(I1826=0,I1826=""),"unrated",VLOOKUP(I1826,MappingTables!$B$19:$C$31,2,FALSE))</f>
        <v>3</v>
      </c>
      <c r="K1826" s="72">
        <v>10.819937033659602</v>
      </c>
      <c r="L1826" s="70">
        <v>1.4851601564948602</v>
      </c>
      <c r="M1826" s="71">
        <f>IF(L1826&lt;1,1,L1826)</f>
        <v>1.4851601564948602</v>
      </c>
      <c r="N1826" s="70" t="s">
        <v>141</v>
      </c>
      <c r="O1826" s="71">
        <f>INDEX(DurClassMapping,MATCH(M1826,MappingTables!$D$4:$D$8,-1),1)</f>
        <v>1</v>
      </c>
      <c r="P1826" s="73">
        <f>IF(M1826=$A$1,1,$M1826-INDEX(MappingTables!$E$4:$E$8,MATCH(O1826,MappingTables!$B$4:$B$8,0)))</f>
        <v>1.4851601564948602</v>
      </c>
      <c r="Q1826" s="71">
        <f>IF(B1826="",0,INDEX(ModelParameters!$D$6:$K$10,MATCH($O1826,ModelParameters!$B$6:$B$10,0),MATCH($J1826,ModelParameters!$D$5:$K$5,0)))</f>
        <v>0.025</v>
      </c>
      <c r="R1826" s="71">
        <f>IF(B1826="",0,INDEX(ModelParameters!$D$13:$K$17,MATCH($O1826,ModelParameters!$B$13:$B$17,0),MATCH($J1826,ModelParameters!$D$5:$K$5,0)))</f>
        <v>0</v>
      </c>
      <c r="S1826" s="160">
        <f>IF(B1826="",0,MIN(IF($N1826="Other Bond TM",ModelParameters!$N$21,1)*(P1826*Q1826+R1826),1))</f>
        <v>0.037129003912371504</v>
      </c>
      <c r="T1826" s="85">
        <f>IF(B1826="",0,$S1826*$K1826)</f>
        <v>0.40173348445436072</v>
      </c>
      <c r="U1826" s="85">
        <f>IF(B1826="",0,IF(OR(H1826=MappingTables!$C$34,H1826=MappingTables!$C$35),T1826,0))</f>
        <v>0</v>
      </c>
      <c r="V1826" s="85">
        <f>IF(ISNA(IF(AND(VLOOKUP(CONCATENATE($D1826,$G1826),CSRFinput!$B:$E,4,0)=0,OR(H1826=MappingTables!$C$34,H1826=MappingTables!$C$35)),1,VLOOKUP(CONCATENATE($D1826,$G1826),CSRFinput!$B:$E,4,0))),0,IF(AND(VLOOKUP(CONCATENATE($D1826,$G1826),CSRFinput!$B:$E,4,0)=0,OR(H1826=MappingTables!$C$34,H1826=MappingTables!$C$35)),1,VLOOKUP(CONCATENATE($D1826,$G1826),CSRFinput!$B:$E,4,0)))</f>
        <v>0.054776304963434752</v>
      </c>
      <c r="W1826" s="85">
        <f>IF(B1826="",0,+$T1826*$V1826)</f>
        <v>0.022005475858495336</v>
      </c>
      <c r="X1826" s="85">
        <f>IF(B1826="",0,IF(OR(H1826=MappingTables!$C$34,H1826=MappingTables!$C$35),W1826,0))</f>
        <v>0</v>
      </c>
    </row>
    <row r="1827" spans="2:24" s="0" customFormat="0" ht="15">
      <c r="B1827" s="69" t="s">
        <v>885</v>
      </c>
      <c r="C1827" s="70" t="s">
        <v>886</v>
      </c>
      <c r="D1827" s="70" t="s">
        <v>1</v>
      </c>
      <c r="E1827" s="70" t="s">
        <v>1</v>
      </c>
      <c r="F1827" s="70"/>
      <c r="G1827" s="70" t="s">
        <v>61</v>
      </c>
      <c r="H1827" s="70" t="s">
        <v>178</v>
      </c>
      <c r="I1827" s="70" t="s">
        <v>181</v>
      </c>
      <c r="J1827" s="71">
        <f>IF(OR(I1827=0,I1827=""),"unrated",VLOOKUP(I1827,MappingTables!$B$19:$C$31,2,FALSE))</f>
        <v>3</v>
      </c>
      <c r="K1827" s="72">
        <v>247.39116877702176</v>
      </c>
      <c r="L1827" s="70">
        <v>0.20547849466931368</v>
      </c>
      <c r="M1827" s="71">
        <f>IF(L1827&lt;1,1,L1827)</f>
        <v>1</v>
      </c>
      <c r="N1827" s="70" t="s">
        <v>141</v>
      </c>
      <c r="O1827" s="71">
        <f>INDEX(DurClassMapping,MATCH(M1827,MappingTables!$D$4:$D$8,-1),1)</f>
        <v>1</v>
      </c>
      <c r="P1827" s="73">
        <f>IF(M1827=$A$1,1,$M1827-INDEX(MappingTables!$E$4:$E$8,MATCH(O1827,MappingTables!$B$4:$B$8,0)))</f>
        <v>1</v>
      </c>
      <c r="Q1827" s="71">
        <f>IF(B1827="",0,INDEX(ModelParameters!$D$6:$K$10,MATCH($O1827,ModelParameters!$B$6:$B$10,0),MATCH($J1827,ModelParameters!$D$5:$K$5,0)))</f>
        <v>0.025</v>
      </c>
      <c r="R1827" s="71">
        <f>IF(B1827="",0,INDEX(ModelParameters!$D$13:$K$17,MATCH($O1827,ModelParameters!$B$13:$B$17,0),MATCH($J1827,ModelParameters!$D$5:$K$5,0)))</f>
        <v>0</v>
      </c>
      <c r="S1827" s="160">
        <f>IF(B1827="",0,MIN(IF($N1827="Other Bond TM",ModelParameters!$N$21,1)*(P1827*Q1827+R1827),1))</f>
        <v>0.025</v>
      </c>
      <c r="T1827" s="85">
        <f>IF(B1827="",0,$S1827*$K1827)</f>
        <v>6.184779219425544</v>
      </c>
      <c r="U1827" s="85">
        <f>IF(B1827="",0,IF(OR(H1827=MappingTables!$C$34,H1827=MappingTables!$C$35),T1827,0))</f>
        <v>0</v>
      </c>
      <c r="V1827" s="85">
        <f>IF(ISNA(IF(AND(VLOOKUP(CONCATENATE($D1827,$G1827),CSRFinput!$B:$E,4,0)=0,OR(H1827=MappingTables!$C$34,H1827=MappingTables!$C$35)),1,VLOOKUP(CONCATENATE($D1827,$G1827),CSRFinput!$B:$E,4,0))),0,IF(AND(VLOOKUP(CONCATENATE($D1827,$G1827),CSRFinput!$B:$E,4,0)=0,OR(H1827=MappingTables!$C$34,H1827=MappingTables!$C$35)),1,VLOOKUP(CONCATENATE($D1827,$G1827),CSRFinput!$B:$E,4,0)))</f>
        <v>0.054776304963434752</v>
      </c>
      <c r="W1827" s="85">
        <f>IF(B1827="",0,+$T1827*$V1827)</f>
        <v>0.33877935265476756</v>
      </c>
      <c r="X1827" s="85">
        <f>IF(B1827="",0,IF(OR(H1827=MappingTables!$C$34,H1827=MappingTables!$C$35),W1827,0))</f>
        <v>0</v>
      </c>
    </row>
    <row r="1828" spans="2:24" s="0" customFormat="0" ht="15">
      <c r="B1828" s="69">
        <v>20971137</v>
      </c>
      <c r="C1828" s="70" t="s">
        <v>2020</v>
      </c>
      <c r="D1828" s="70" t="s">
        <v>1</v>
      </c>
      <c r="E1828" s="70" t="s">
        <v>1</v>
      </c>
      <c r="F1828" s="70"/>
      <c r="G1828" s="70" t="s">
        <v>61</v>
      </c>
      <c r="H1828" s="70" t="s">
        <v>178</v>
      </c>
      <c r="I1828" s="70" t="s">
        <v>184</v>
      </c>
      <c r="J1828" s="71">
        <f>IF(OR(I1828=0,I1828=""),"unrated",VLOOKUP(I1828,MappingTables!$B$19:$C$31,2,FALSE))</f>
        <v>5</v>
      </c>
      <c r="K1828" s="72">
        <v>5019.9280424756424</v>
      </c>
      <c r="L1828" s="70">
        <v>0.69316958660176384</v>
      </c>
      <c r="M1828" s="71">
        <f>IF(L1828&lt;1,1,L1828)</f>
        <v>1</v>
      </c>
      <c r="N1828" s="70" t="s">
        <v>141</v>
      </c>
      <c r="O1828" s="71">
        <f>INDEX(DurClassMapping,MATCH(M1828,MappingTables!$D$4:$D$8,-1),1)</f>
        <v>1</v>
      </c>
      <c r="P1828" s="73">
        <f>IF(M1828=$A$1,1,$M1828-INDEX(MappingTables!$E$4:$E$8,MATCH(O1828,MappingTables!$B$4:$B$8,0)))</f>
        <v>1</v>
      </c>
      <c r="Q1828" s="71">
        <f>IF(B1828="",0,INDEX(ModelParameters!$D$6:$K$10,MATCH($O1828,ModelParameters!$B$6:$B$10,0),MATCH($J1828,ModelParameters!$D$5:$K$5,0)))</f>
        <v>0.075</v>
      </c>
      <c r="R1828" s="71">
        <f>IF(B1828="",0,INDEX(ModelParameters!$D$13:$K$17,MATCH($O1828,ModelParameters!$B$13:$B$17,0),MATCH($J1828,ModelParameters!$D$5:$K$5,0)))</f>
        <v>0</v>
      </c>
      <c r="S1828" s="160">
        <f>IF(B1828="",0,MIN(IF($N1828="Other Bond TM",ModelParameters!$N$21,1)*(P1828*Q1828+R1828),1))</f>
        <v>0.075</v>
      </c>
      <c r="T1828" s="85">
        <f>IF(B1828="",0,$S1828*$K1828)</f>
        <v>376.49460318567312</v>
      </c>
      <c r="U1828" s="85">
        <f>IF(B1828="",0,IF(OR(H1828=MappingTables!$C$34,H1828=MappingTables!$C$35),T1828,0))</f>
        <v>0</v>
      </c>
      <c r="V1828" s="85">
        <f>IF(ISNA(IF(AND(VLOOKUP(CONCATENATE($D1828,$G1828),CSRFinput!$B:$E,4,0)=0,OR(H1828=MappingTables!$C$34,H1828=MappingTables!$C$35)),1,VLOOKUP(CONCATENATE($D1828,$G1828),CSRFinput!$B:$E,4,0))),0,IF(AND(VLOOKUP(CONCATENATE($D1828,$G1828),CSRFinput!$B:$E,4,0)=0,OR(H1828=MappingTables!$C$34,H1828=MappingTables!$C$35)),1,VLOOKUP(CONCATENATE($D1828,$G1828),CSRFinput!$B:$E,4,0)))</f>
        <v>0.054776304963434752</v>
      </c>
      <c r="W1828" s="85">
        <f>IF(B1828="",0,+$T1828*$V1828)</f>
        <v>20.622983201185784</v>
      </c>
      <c r="X1828" s="85">
        <f>IF(B1828="",0,IF(OR(H1828=MappingTables!$C$34,H1828=MappingTables!$C$35),W1828,0))</f>
        <v>0</v>
      </c>
    </row>
    <row r="1829" spans="2:24" s="0" customFormat="0" ht="15">
      <c r="B1829" s="69">
        <v>23061858</v>
      </c>
      <c r="C1829" s="70" t="s">
        <v>1552</v>
      </c>
      <c r="D1829" s="70" t="s">
        <v>1</v>
      </c>
      <c r="E1829" s="70" t="s">
        <v>1</v>
      </c>
      <c r="F1829" s="70"/>
      <c r="G1829" s="70" t="s">
        <v>61</v>
      </c>
      <c r="H1829" s="70" t="s">
        <v>178</v>
      </c>
      <c r="I1829" s="70" t="s">
        <v>181</v>
      </c>
      <c r="J1829" s="71">
        <f>IF(OR(I1829=0,I1829=""),"unrated",VLOOKUP(I1829,MappingTables!$B$19:$C$31,2,FALSE))</f>
        <v>3</v>
      </c>
      <c r="K1829" s="72">
        <v>982.70425591576448</v>
      </c>
      <c r="L1829" s="70">
        <v>0.36438336539370968</v>
      </c>
      <c r="M1829" s="71">
        <f>IF(L1829&lt;1,1,L1829)</f>
        <v>1</v>
      </c>
      <c r="N1829" s="70" t="s">
        <v>141</v>
      </c>
      <c r="O1829" s="71">
        <f>INDEX(DurClassMapping,MATCH(M1829,MappingTables!$D$4:$D$8,-1),1)</f>
        <v>1</v>
      </c>
      <c r="P1829" s="73">
        <f>IF(M1829=$A$1,1,$M1829-INDEX(MappingTables!$E$4:$E$8,MATCH(O1829,MappingTables!$B$4:$B$8,0)))</f>
        <v>1</v>
      </c>
      <c r="Q1829" s="71">
        <f>IF(B1829="",0,INDEX(ModelParameters!$D$6:$K$10,MATCH($O1829,ModelParameters!$B$6:$B$10,0),MATCH($J1829,ModelParameters!$D$5:$K$5,0)))</f>
        <v>0.025</v>
      </c>
      <c r="R1829" s="71">
        <f>IF(B1829="",0,INDEX(ModelParameters!$D$13:$K$17,MATCH($O1829,ModelParameters!$B$13:$B$17,0),MATCH($J1829,ModelParameters!$D$5:$K$5,0)))</f>
        <v>0</v>
      </c>
      <c r="S1829" s="160">
        <f>IF(B1829="",0,MIN(IF($N1829="Other Bond TM",ModelParameters!$N$21,1)*(P1829*Q1829+R1829),1))</f>
        <v>0.025</v>
      </c>
      <c r="T1829" s="85">
        <f>IF(B1829="",0,$S1829*$K1829)</f>
        <v>24.567606397894112</v>
      </c>
      <c r="U1829" s="85">
        <f>IF(B1829="",0,IF(OR(H1829=MappingTables!$C$34,H1829=MappingTables!$C$35),T1829,0))</f>
        <v>0</v>
      </c>
      <c r="V1829" s="85">
        <f>IF(ISNA(IF(AND(VLOOKUP(CONCATENATE($D1829,$G1829),CSRFinput!$B:$E,4,0)=0,OR(H1829=MappingTables!$C$34,H1829=MappingTables!$C$35)),1,VLOOKUP(CONCATENATE($D1829,$G1829),CSRFinput!$B:$E,4,0))),0,IF(AND(VLOOKUP(CONCATENATE($D1829,$G1829),CSRFinput!$B:$E,4,0)=0,OR(H1829=MappingTables!$C$34,H1829=MappingTables!$C$35)),1,VLOOKUP(CONCATENATE($D1829,$G1829),CSRFinput!$B:$E,4,0)))</f>
        <v>0.054776304963434752</v>
      </c>
      <c r="W1829" s="85">
        <f>IF(B1829="",0,+$T1829*$V1829)</f>
        <v>1.3457227002726786</v>
      </c>
      <c r="X1829" s="85">
        <f>IF(B1829="",0,IF(OR(H1829=MappingTables!$C$34,H1829=MappingTables!$C$35),W1829,0))</f>
        <v>0</v>
      </c>
    </row>
    <row r="1830" spans="2:24" s="0" customFormat="0" ht="15">
      <c r="B1830" s="69">
        <v>19295240</v>
      </c>
      <c r="C1830" s="70" t="s">
        <v>2021</v>
      </c>
      <c r="D1830" s="70" t="s">
        <v>1</v>
      </c>
      <c r="E1830" s="70" t="s">
        <v>1</v>
      </c>
      <c r="F1830" s="70"/>
      <c r="G1830" s="70" t="s">
        <v>61</v>
      </c>
      <c r="H1830" s="70" t="s">
        <v>178</v>
      </c>
      <c r="I1830" s="70" t="s">
        <v>220</v>
      </c>
      <c r="J1830" s="71">
        <f>IF(OR(I1830=0,I1830=""),"unrated",VLOOKUP(I1830,MappingTables!$B$19:$C$31,2,FALSE))</f>
        <v>1</v>
      </c>
      <c r="K1830" s="72">
        <v>2475.963824860952</v>
      </c>
      <c r="L1830" s="70">
        <v>1.1954790001009194</v>
      </c>
      <c r="M1830" s="71">
        <f>IF(L1830&lt;1,1,L1830)</f>
        <v>1.1954790001009194</v>
      </c>
      <c r="N1830" s="70" t="s">
        <v>141</v>
      </c>
      <c r="O1830" s="71">
        <f>INDEX(DurClassMapping,MATCH(M1830,MappingTables!$D$4:$D$8,-1),1)</f>
        <v>1</v>
      </c>
      <c r="P1830" s="73">
        <f>IF(M1830=$A$1,1,$M1830-INDEX(MappingTables!$E$4:$E$8,MATCH(O1830,MappingTables!$B$4:$B$8,0)))</f>
        <v>1.1954790001009194</v>
      </c>
      <c r="Q1830" s="71">
        <f>IF(B1830="",0,INDEX(ModelParameters!$D$6:$K$10,MATCH($O1830,ModelParameters!$B$6:$B$10,0),MATCH($J1830,ModelParameters!$D$5:$K$5,0)))</f>
        <v>0.011000000000000002</v>
      </c>
      <c r="R1830" s="71">
        <f>IF(B1830="",0,INDEX(ModelParameters!$D$13:$K$17,MATCH($O1830,ModelParameters!$B$13:$B$17,0),MATCH($J1830,ModelParameters!$D$5:$K$5,0)))</f>
        <v>0</v>
      </c>
      <c r="S1830" s="160">
        <f>IF(B1830="",0,MIN(IF($N1830="Other Bond TM",ModelParameters!$N$21,1)*(P1830*Q1830+R1830),1))</f>
        <v>0.013150269001110114</v>
      </c>
      <c r="T1830" s="85">
        <f>IF(B1830="",0,$S1830*$K1830)</f>
        <v>32.559590333939012</v>
      </c>
      <c r="U1830" s="85">
        <f>IF(B1830="",0,IF(OR(H1830=MappingTables!$C$34,H1830=MappingTables!$C$35),T1830,0))</f>
        <v>0</v>
      </c>
      <c r="V1830" s="85">
        <f>IF(ISNA(IF(AND(VLOOKUP(CONCATENATE($D1830,$G1830),CSRFinput!$B:$E,4,0)=0,OR(H1830=MappingTables!$C$34,H1830=MappingTables!$C$35)),1,VLOOKUP(CONCATENATE($D1830,$G1830),CSRFinput!$B:$E,4,0))),0,IF(AND(VLOOKUP(CONCATENATE($D1830,$G1830),CSRFinput!$B:$E,4,0)=0,OR(H1830=MappingTables!$C$34,H1830=MappingTables!$C$35)),1,VLOOKUP(CONCATENATE($D1830,$G1830),CSRFinput!$B:$E,4,0)))</f>
        <v>0.054776304963434752</v>
      </c>
      <c r="W1830" s="85">
        <f>IF(B1830="",0,+$T1830*$V1830)</f>
        <v>1.7834940496163458</v>
      </c>
      <c r="X1830" s="85">
        <f>IF(B1830="",0,IF(OR(H1830=MappingTables!$C$34,H1830=MappingTables!$C$35),W1830,0))</f>
        <v>0</v>
      </c>
    </row>
    <row r="1831" spans="2:24" s="0" customFormat="0" ht="15">
      <c r="B1831" s="69">
        <v>17614602</v>
      </c>
      <c r="C1831" s="70" t="s">
        <v>2022</v>
      </c>
      <c r="D1831" s="70" t="s">
        <v>1</v>
      </c>
      <c r="E1831" s="70" t="s">
        <v>1</v>
      </c>
      <c r="F1831" s="70"/>
      <c r="G1831" s="70" t="s">
        <v>61</v>
      </c>
      <c r="H1831" s="70" t="s">
        <v>178</v>
      </c>
      <c r="I1831" s="70" t="s">
        <v>179</v>
      </c>
      <c r="J1831" s="71">
        <f>IF(OR(I1831=0,I1831=""),"unrated",VLOOKUP(I1831,MappingTables!$B$19:$C$31,2,FALSE))</f>
        <v>4</v>
      </c>
      <c r="K1831" s="72">
        <v>2357.0982473647408</v>
      </c>
      <c r="L1831" s="70">
        <v>3.9484233498796032</v>
      </c>
      <c r="M1831" s="71">
        <f>IF(L1831&lt;1,1,L1831)</f>
        <v>3.9484233498796032</v>
      </c>
      <c r="N1831" s="70" t="s">
        <v>141</v>
      </c>
      <c r="O1831" s="71">
        <f>INDEX(DurClassMapping,MATCH(M1831,MappingTables!$D$4:$D$8,-1),1)</f>
        <v>1</v>
      </c>
      <c r="P1831" s="73">
        <f>IF(M1831=$A$1,1,$M1831-INDEX(MappingTables!$E$4:$E$8,MATCH(O1831,MappingTables!$B$4:$B$8,0)))</f>
        <v>3.9484233498796032</v>
      </c>
      <c r="Q1831" s="71">
        <f>IF(B1831="",0,INDEX(ModelParameters!$D$6:$K$10,MATCH($O1831,ModelParameters!$B$6:$B$10,0),MATCH($J1831,ModelParameters!$D$5:$K$5,0)))</f>
        <v>0.045</v>
      </c>
      <c r="R1831" s="71">
        <f>IF(B1831="",0,INDEX(ModelParameters!$D$13:$K$17,MATCH($O1831,ModelParameters!$B$13:$B$17,0),MATCH($J1831,ModelParameters!$D$5:$K$5,0)))</f>
        <v>0</v>
      </c>
      <c r="S1831" s="160">
        <f>IF(B1831="",0,MIN(IF($N1831="Other Bond TM",ModelParameters!$N$21,1)*(P1831*Q1831+R1831),1))</f>
        <v>0.17767905074458212</v>
      </c>
      <c r="T1831" s="85">
        <f>IF(B1831="",0,$S1831*$K1831)</f>
        <v>418.80697910348536</v>
      </c>
      <c r="U1831" s="85">
        <f>IF(B1831="",0,IF(OR(H1831=MappingTables!$C$34,H1831=MappingTables!$C$35),T1831,0))</f>
        <v>0</v>
      </c>
      <c r="V1831" s="85">
        <f>IF(ISNA(IF(AND(VLOOKUP(CONCATENATE($D1831,$G1831),CSRFinput!$B:$E,4,0)=0,OR(H1831=MappingTables!$C$34,H1831=MappingTables!$C$35)),1,VLOOKUP(CONCATENATE($D1831,$G1831),CSRFinput!$B:$E,4,0))),0,IF(AND(VLOOKUP(CONCATENATE($D1831,$G1831),CSRFinput!$B:$E,4,0)=0,OR(H1831=MappingTables!$C$34,H1831=MappingTables!$C$35)),1,VLOOKUP(CONCATENATE($D1831,$G1831),CSRFinput!$B:$E,4,0)))</f>
        <v>0.054776304963434752</v>
      </c>
      <c r="W1831" s="85">
        <f>IF(B1831="",0,+$T1831*$V1831)</f>
        <v>22.940698808187364</v>
      </c>
      <c r="X1831" s="85">
        <f>IF(B1831="",0,IF(OR(H1831=MappingTables!$C$34,H1831=MappingTables!$C$35),W1831,0))</f>
        <v>0</v>
      </c>
    </row>
    <row r="1832" spans="2:24" s="0" customFormat="0" ht="15">
      <c r="B1832" s="69">
        <v>15774248</v>
      </c>
      <c r="C1832" s="70" t="s">
        <v>1018</v>
      </c>
      <c r="D1832" s="70" t="s">
        <v>1</v>
      </c>
      <c r="E1832" s="70" t="s">
        <v>1</v>
      </c>
      <c r="F1832" s="70"/>
      <c r="G1832" s="70" t="s">
        <v>61</v>
      </c>
      <c r="H1832" s="70" t="s">
        <v>178</v>
      </c>
      <c r="I1832" s="70" t="s">
        <v>188</v>
      </c>
      <c r="J1832" s="71">
        <f>IF(OR(I1832=0,I1832=""),"unrated",VLOOKUP(I1832,MappingTables!$B$19:$C$31,2,FALSE))</f>
        <v>2</v>
      </c>
      <c r="K1832" s="72">
        <v>2595.2466123867556</v>
      </c>
      <c r="L1832" s="70">
        <v>0.12603254663071876</v>
      </c>
      <c r="M1832" s="71">
        <f>IF(L1832&lt;1,1,L1832)</f>
        <v>1</v>
      </c>
      <c r="N1832" s="70" t="s">
        <v>141</v>
      </c>
      <c r="O1832" s="71">
        <f>INDEX(DurClassMapping,MATCH(M1832,MappingTables!$D$4:$D$8,-1),1)</f>
        <v>1</v>
      </c>
      <c r="P1832" s="73">
        <f>IF(M1832=$A$1,1,$M1832-INDEX(MappingTables!$E$4:$E$8,MATCH(O1832,MappingTables!$B$4:$B$8,0)))</f>
        <v>1</v>
      </c>
      <c r="Q1832" s="71">
        <f>IF(B1832="",0,INDEX(ModelParameters!$D$6:$K$10,MATCH($O1832,ModelParameters!$B$6:$B$10,0),MATCH($J1832,ModelParameters!$D$5:$K$5,0)))</f>
        <v>0.013999999999999998</v>
      </c>
      <c r="R1832" s="71">
        <f>IF(B1832="",0,INDEX(ModelParameters!$D$13:$K$17,MATCH($O1832,ModelParameters!$B$13:$B$17,0),MATCH($J1832,ModelParameters!$D$5:$K$5,0)))</f>
        <v>0</v>
      </c>
      <c r="S1832" s="160">
        <f>IF(B1832="",0,MIN(IF($N1832="Other Bond TM",ModelParameters!$N$21,1)*(P1832*Q1832+R1832),1))</f>
        <v>0.013999999999999998</v>
      </c>
      <c r="T1832" s="85">
        <f>IF(B1832="",0,$S1832*$K1832)</f>
        <v>36.333452573414576</v>
      </c>
      <c r="U1832" s="85">
        <f>IF(B1832="",0,IF(OR(H1832=MappingTables!$C$34,H1832=MappingTables!$C$35),T1832,0))</f>
        <v>0</v>
      </c>
      <c r="V1832" s="85">
        <f>IF(ISNA(IF(AND(VLOOKUP(CONCATENATE($D1832,$G1832),CSRFinput!$B:$E,4,0)=0,OR(H1832=MappingTables!$C$34,H1832=MappingTables!$C$35)),1,VLOOKUP(CONCATENATE($D1832,$G1832),CSRFinput!$B:$E,4,0))),0,IF(AND(VLOOKUP(CONCATENATE($D1832,$G1832),CSRFinput!$B:$E,4,0)=0,OR(H1832=MappingTables!$C$34,H1832=MappingTables!$C$35)),1,VLOOKUP(CONCATENATE($D1832,$G1832),CSRFinput!$B:$E,4,0)))</f>
        <v>0.054776304963434752</v>
      </c>
      <c r="W1832" s="85">
        <f>IF(B1832="",0,+$T1832*$V1832)</f>
        <v>1.99021227853585</v>
      </c>
      <c r="X1832" s="85">
        <f>IF(B1832="",0,IF(OR(H1832=MappingTables!$C$34,H1832=MappingTables!$C$35),W1832,0))</f>
        <v>0</v>
      </c>
    </row>
    <row r="1833" spans="2:24" s="0" customFormat="0" ht="15">
      <c r="B1833" s="69">
        <v>22185540</v>
      </c>
      <c r="C1833" s="70" t="s">
        <v>2023</v>
      </c>
      <c r="D1833" s="70" t="s">
        <v>1</v>
      </c>
      <c r="E1833" s="70" t="s">
        <v>1</v>
      </c>
      <c r="F1833" s="70"/>
      <c r="G1833" s="70" t="s">
        <v>61</v>
      </c>
      <c r="H1833" s="70" t="s">
        <v>178</v>
      </c>
      <c r="I1833" s="70" t="s">
        <v>220</v>
      </c>
      <c r="J1833" s="71">
        <f>IF(OR(I1833=0,I1833=""),"unrated",VLOOKUP(I1833,MappingTables!$B$19:$C$31,2,FALSE))</f>
        <v>1</v>
      </c>
      <c r="K1833" s="72">
        <v>1382.5085325912444</v>
      </c>
      <c r="L1833" s="70">
        <v>1.0118413254447106</v>
      </c>
      <c r="M1833" s="71">
        <f>IF(L1833&lt;1,1,L1833)</f>
        <v>1.0118413254447106</v>
      </c>
      <c r="N1833" s="70" t="s">
        <v>141</v>
      </c>
      <c r="O1833" s="71">
        <f>INDEX(DurClassMapping,MATCH(M1833,MappingTables!$D$4:$D$8,-1),1)</f>
        <v>1</v>
      </c>
      <c r="P1833" s="73">
        <f>IF(M1833=$A$1,1,$M1833-INDEX(MappingTables!$E$4:$E$8,MATCH(O1833,MappingTables!$B$4:$B$8,0)))</f>
        <v>1.0118413254447106</v>
      </c>
      <c r="Q1833" s="71">
        <f>IF(B1833="",0,INDEX(ModelParameters!$D$6:$K$10,MATCH($O1833,ModelParameters!$B$6:$B$10,0),MATCH($J1833,ModelParameters!$D$5:$K$5,0)))</f>
        <v>0.011000000000000002</v>
      </c>
      <c r="R1833" s="71">
        <f>IF(B1833="",0,INDEX(ModelParameters!$D$13:$K$17,MATCH($O1833,ModelParameters!$B$13:$B$17,0),MATCH($J1833,ModelParameters!$D$5:$K$5,0)))</f>
        <v>0</v>
      </c>
      <c r="S1833" s="160">
        <f>IF(B1833="",0,MIN(IF($N1833="Other Bond TM",ModelParameters!$N$21,1)*(P1833*Q1833+R1833),1))</f>
        <v>0.011130254579891816</v>
      </c>
      <c r="T1833" s="85">
        <f>IF(B1833="",0,$S1833*$K1833)</f>
        <v>15.387671926613212</v>
      </c>
      <c r="U1833" s="85">
        <f>IF(B1833="",0,IF(OR(H1833=MappingTables!$C$34,H1833=MappingTables!$C$35),T1833,0))</f>
        <v>0</v>
      </c>
      <c r="V1833" s="85">
        <f>IF(ISNA(IF(AND(VLOOKUP(CONCATENATE($D1833,$G1833),CSRFinput!$B:$E,4,0)=0,OR(H1833=MappingTables!$C$34,H1833=MappingTables!$C$35)),1,VLOOKUP(CONCATENATE($D1833,$G1833),CSRFinput!$B:$E,4,0))),0,IF(AND(VLOOKUP(CONCATENATE($D1833,$G1833),CSRFinput!$B:$E,4,0)=0,OR(H1833=MappingTables!$C$34,H1833=MappingTables!$C$35)),1,VLOOKUP(CONCATENATE($D1833,$G1833),CSRFinput!$B:$E,4,0)))</f>
        <v>0.054776304963434752</v>
      </c>
      <c r="W1833" s="85">
        <f>IF(B1833="",0,+$T1833*$V1833)</f>
        <v>0.84287981012944896</v>
      </c>
      <c r="X1833" s="85">
        <f>IF(B1833="",0,IF(OR(H1833=MappingTables!$C$34,H1833=MappingTables!$C$35),W1833,0))</f>
        <v>0</v>
      </c>
    </row>
    <row r="1834" spans="2:24" s="0" customFormat="0" ht="15">
      <c r="B1834" s="69">
        <v>15742343</v>
      </c>
      <c r="C1834" s="70" t="s">
        <v>2024</v>
      </c>
      <c r="D1834" s="70" t="s">
        <v>1</v>
      </c>
      <c r="E1834" s="70" t="s">
        <v>1</v>
      </c>
      <c r="F1834" s="70"/>
      <c r="G1834" s="70" t="s">
        <v>61</v>
      </c>
      <c r="H1834" s="70" t="s">
        <v>178</v>
      </c>
      <c r="I1834" s="70" t="s">
        <v>181</v>
      </c>
      <c r="J1834" s="71">
        <f>IF(OR(I1834=0,I1834=""),"unrated",VLOOKUP(I1834,MappingTables!$B$19:$C$31,2,FALSE))</f>
        <v>3</v>
      </c>
      <c r="K1834" s="72">
        <v>1363.6249953240364</v>
      </c>
      <c r="L1834" s="70">
        <v>0.10137267810027414</v>
      </c>
      <c r="M1834" s="71">
        <f>IF(L1834&lt;1,1,L1834)</f>
        <v>1</v>
      </c>
      <c r="N1834" s="70" t="s">
        <v>141</v>
      </c>
      <c r="O1834" s="71">
        <f>INDEX(DurClassMapping,MATCH(M1834,MappingTables!$D$4:$D$8,-1),1)</f>
        <v>1</v>
      </c>
      <c r="P1834" s="73">
        <f>IF(M1834=$A$1,1,$M1834-INDEX(MappingTables!$E$4:$E$8,MATCH(O1834,MappingTables!$B$4:$B$8,0)))</f>
        <v>1</v>
      </c>
      <c r="Q1834" s="71">
        <f>IF(B1834="",0,INDEX(ModelParameters!$D$6:$K$10,MATCH($O1834,ModelParameters!$B$6:$B$10,0),MATCH($J1834,ModelParameters!$D$5:$K$5,0)))</f>
        <v>0.025</v>
      </c>
      <c r="R1834" s="71">
        <f>IF(B1834="",0,INDEX(ModelParameters!$D$13:$K$17,MATCH($O1834,ModelParameters!$B$13:$B$17,0),MATCH($J1834,ModelParameters!$D$5:$K$5,0)))</f>
        <v>0</v>
      </c>
      <c r="S1834" s="160">
        <f>IF(B1834="",0,MIN(IF($N1834="Other Bond TM",ModelParameters!$N$21,1)*(P1834*Q1834+R1834),1))</f>
        <v>0.025</v>
      </c>
      <c r="T1834" s="85">
        <f>IF(B1834="",0,$S1834*$K1834)</f>
        <v>34.090624883100916</v>
      </c>
      <c r="U1834" s="85">
        <f>IF(B1834="",0,IF(OR(H1834=MappingTables!$C$34,H1834=MappingTables!$C$35),T1834,0))</f>
        <v>0</v>
      </c>
      <c r="V1834" s="85">
        <f>IF(ISNA(IF(AND(VLOOKUP(CONCATENATE($D1834,$G1834),CSRFinput!$B:$E,4,0)=0,OR(H1834=MappingTables!$C$34,H1834=MappingTables!$C$35)),1,VLOOKUP(CONCATENATE($D1834,$G1834),CSRFinput!$B:$E,4,0))),0,IF(AND(VLOOKUP(CONCATENATE($D1834,$G1834),CSRFinput!$B:$E,4,0)=0,OR(H1834=MappingTables!$C$34,H1834=MappingTables!$C$35)),1,VLOOKUP(CONCATENATE($D1834,$G1834),CSRFinput!$B:$E,4,0)))</f>
        <v>0.054776304963434752</v>
      </c>
      <c r="W1834" s="85">
        <f>IF(B1834="",0,+$T1834*$V1834)</f>
        <v>1.8673584649907932</v>
      </c>
      <c r="X1834" s="85">
        <f>IF(B1834="",0,IF(OR(H1834=MappingTables!$C$34,H1834=MappingTables!$C$35),W1834,0))</f>
        <v>0</v>
      </c>
    </row>
    <row r="1835" spans="2:24" s="0" customFormat="0" ht="15">
      <c r="B1835" s="69">
        <v>21736771</v>
      </c>
      <c r="C1835" s="70" t="s">
        <v>1225</v>
      </c>
      <c r="D1835" s="70" t="s">
        <v>1</v>
      </c>
      <c r="E1835" s="70" t="s">
        <v>1</v>
      </c>
      <c r="F1835" s="70"/>
      <c r="G1835" s="70" t="s">
        <v>61</v>
      </c>
      <c r="H1835" s="70" t="s">
        <v>178</v>
      </c>
      <c r="I1835" s="70" t="s">
        <v>181</v>
      </c>
      <c r="J1835" s="71">
        <f>IF(OR(I1835=0,I1835=""),"unrated",VLOOKUP(I1835,MappingTables!$B$19:$C$31,2,FALSE))</f>
        <v>3</v>
      </c>
      <c r="K1835" s="72">
        <v>56769.563699137936</v>
      </c>
      <c r="L1835" s="70">
        <v>5.1723763083268824</v>
      </c>
      <c r="M1835" s="71">
        <f>IF(L1835&lt;1,1,L1835)</f>
        <v>5.1723763083268824</v>
      </c>
      <c r="N1835" s="70" t="s">
        <v>141</v>
      </c>
      <c r="O1835" s="71">
        <f>INDEX(DurClassMapping,MATCH(M1835,MappingTables!$D$4:$D$8,-1),1)</f>
        <v>2</v>
      </c>
      <c r="P1835" s="73">
        <f>IF(M1835=$A$1,1,$M1835-INDEX(MappingTables!$E$4:$E$8,MATCH(O1835,MappingTables!$B$4:$B$8,0)))</f>
        <v>0.17237630832688212</v>
      </c>
      <c r="Q1835" s="71">
        <f>IF(B1835="",0,INDEX(ModelParameters!$D$6:$K$10,MATCH($O1835,ModelParameters!$B$6:$B$10,0),MATCH($J1835,ModelParameters!$D$5:$K$5,0)))</f>
        <v>0.015</v>
      </c>
      <c r="R1835" s="71">
        <f>IF(B1835="",0,INDEX(ModelParameters!$D$13:$K$17,MATCH($O1835,ModelParameters!$B$13:$B$17,0),MATCH($J1835,ModelParameters!$D$5:$K$5,0)))</f>
        <v>0.125</v>
      </c>
      <c r="S1835" s="160">
        <f>IF(B1835="",0,MIN(IF($N1835="Other Bond TM",ModelParameters!$N$21,1)*(P1835*Q1835+R1835),1))</f>
        <v>0.12758564462490324</v>
      </c>
      <c r="T1835" s="85">
        <f>IF(B1835="",0,$S1835*$K1835)</f>
        <v>7242.9813796290208</v>
      </c>
      <c r="U1835" s="85">
        <f>IF(B1835="",0,IF(OR(H1835=MappingTables!$C$34,H1835=MappingTables!$C$35),T1835,0))</f>
        <v>0</v>
      </c>
      <c r="V1835" s="85">
        <f>IF(ISNA(IF(AND(VLOOKUP(CONCATENATE($D1835,$G1835),CSRFinput!$B:$E,4,0)=0,OR(H1835=MappingTables!$C$34,H1835=MappingTables!$C$35)),1,VLOOKUP(CONCATENATE($D1835,$G1835),CSRFinput!$B:$E,4,0))),0,IF(AND(VLOOKUP(CONCATENATE($D1835,$G1835),CSRFinput!$B:$E,4,0)=0,OR(H1835=MappingTables!$C$34,H1835=MappingTables!$C$35)),1,VLOOKUP(CONCATENATE($D1835,$G1835),CSRFinput!$B:$E,4,0)))</f>
        <v>0.054776304963434752</v>
      </c>
      <c r="W1835" s="85">
        <f>IF(B1835="",0,+$T1835*$V1835)</f>
        <v>396.74375689503856</v>
      </c>
      <c r="X1835" s="85">
        <f>IF(B1835="",0,IF(OR(H1835=MappingTables!$C$34,H1835=MappingTables!$C$35),W1835,0))</f>
        <v>0</v>
      </c>
    </row>
    <row r="1836" spans="2:24" s="0" customFormat="0" ht="15">
      <c r="B1836" s="69">
        <v>6338134</v>
      </c>
      <c r="C1836" s="70" t="s">
        <v>1372</v>
      </c>
      <c r="D1836" s="70" t="s">
        <v>1</v>
      </c>
      <c r="E1836" s="70" t="s">
        <v>1</v>
      </c>
      <c r="F1836" s="70"/>
      <c r="G1836" s="70" t="s">
        <v>61</v>
      </c>
      <c r="H1836" s="70" t="s">
        <v>178</v>
      </c>
      <c r="I1836" s="70" t="s">
        <v>184</v>
      </c>
      <c r="J1836" s="71">
        <f>IF(OR(I1836=0,I1836=""),"unrated",VLOOKUP(I1836,MappingTables!$B$19:$C$31,2,FALSE))</f>
        <v>5</v>
      </c>
      <c r="K1836" s="72">
        <v>267.69706875245804</v>
      </c>
      <c r="L1836" s="70">
        <v>0.18356142336180768</v>
      </c>
      <c r="M1836" s="71">
        <f>IF(L1836&lt;1,1,L1836)</f>
        <v>1</v>
      </c>
      <c r="N1836" s="70" t="s">
        <v>141</v>
      </c>
      <c r="O1836" s="71">
        <f>INDEX(DurClassMapping,MATCH(M1836,MappingTables!$D$4:$D$8,-1),1)</f>
        <v>1</v>
      </c>
      <c r="P1836" s="73">
        <f>IF(M1836=$A$1,1,$M1836-INDEX(MappingTables!$E$4:$E$8,MATCH(O1836,MappingTables!$B$4:$B$8,0)))</f>
        <v>1</v>
      </c>
      <c r="Q1836" s="71">
        <f>IF(B1836="",0,INDEX(ModelParameters!$D$6:$K$10,MATCH($O1836,ModelParameters!$B$6:$B$10,0),MATCH($J1836,ModelParameters!$D$5:$K$5,0)))</f>
        <v>0.075</v>
      </c>
      <c r="R1836" s="71">
        <f>IF(B1836="",0,INDEX(ModelParameters!$D$13:$K$17,MATCH($O1836,ModelParameters!$B$13:$B$17,0),MATCH($J1836,ModelParameters!$D$5:$K$5,0)))</f>
        <v>0</v>
      </c>
      <c r="S1836" s="160">
        <f>IF(B1836="",0,MIN(IF($N1836="Other Bond TM",ModelParameters!$N$21,1)*(P1836*Q1836+R1836),1))</f>
        <v>0.075</v>
      </c>
      <c r="T1836" s="85">
        <f>IF(B1836="",0,$S1836*$K1836)</f>
        <v>20.077280156434352</v>
      </c>
      <c r="U1836" s="85">
        <f>IF(B1836="",0,IF(OR(H1836=MappingTables!$C$34,H1836=MappingTables!$C$35),T1836,0))</f>
        <v>0</v>
      </c>
      <c r="V1836" s="85">
        <f>IF(ISNA(IF(AND(VLOOKUP(CONCATENATE($D1836,$G1836),CSRFinput!$B:$E,4,0)=0,OR(H1836=MappingTables!$C$34,H1836=MappingTables!$C$35)),1,VLOOKUP(CONCATENATE($D1836,$G1836),CSRFinput!$B:$E,4,0))),0,IF(AND(VLOOKUP(CONCATENATE($D1836,$G1836),CSRFinput!$B:$E,4,0)=0,OR(H1836=MappingTables!$C$34,H1836=MappingTables!$C$35)),1,VLOOKUP(CONCATENATE($D1836,$G1836),CSRFinput!$B:$E,4,0)))</f>
        <v>0.054776304963434752</v>
      </c>
      <c r="W1836" s="85">
        <f>IF(B1836="",0,+$T1836*$V1836)</f>
        <v>1.099759220685165</v>
      </c>
      <c r="X1836" s="85">
        <f>IF(B1836="",0,IF(OR(H1836=MappingTables!$C$34,H1836=MappingTables!$C$35),W1836,0))</f>
        <v>0</v>
      </c>
    </row>
    <row r="1837" spans="2:24" s="0" customFormat="0" ht="15">
      <c r="B1837" s="69" t="s">
        <v>809</v>
      </c>
      <c r="C1837" s="70" t="s">
        <v>810</v>
      </c>
      <c r="D1837" s="70" t="s">
        <v>1</v>
      </c>
      <c r="E1837" s="70" t="s">
        <v>1</v>
      </c>
      <c r="F1837" s="70"/>
      <c r="G1837" s="70" t="s">
        <v>61</v>
      </c>
      <c r="H1837" s="70" t="s">
        <v>178</v>
      </c>
      <c r="I1837" s="70" t="s">
        <v>198</v>
      </c>
      <c r="J1837" s="71" t="str">
        <f>IF(OR(I1837=0,I1837=""),"unrated",VLOOKUP(I1837,MappingTables!$B$19:$C$31,2,FALSE))</f>
        <v>unrated</v>
      </c>
      <c r="K1837" s="72">
        <v>114.76586617540874</v>
      </c>
      <c r="L1837" s="70">
        <v>5.238173888554348</v>
      </c>
      <c r="M1837" s="71">
        <f>IF(L1837&lt;1,1,L1837)</f>
        <v>5.238173888554348</v>
      </c>
      <c r="N1837" s="70" t="s">
        <v>141</v>
      </c>
      <c r="O1837" s="71">
        <f>INDEX(DurClassMapping,MATCH(M1837,MappingTables!$D$4:$D$8,-1),1)</f>
        <v>2</v>
      </c>
      <c r="P1837" s="73">
        <f>IF(M1837=$A$1,1,$M1837-INDEX(MappingTables!$E$4:$E$8,MATCH(O1837,MappingTables!$B$4:$B$8,0)))</f>
        <v>0.23817388855434808</v>
      </c>
      <c r="Q1837" s="71">
        <f>IF(B1837="",0,INDEX(ModelParameters!$D$6:$K$10,MATCH($O1837,ModelParameters!$B$6:$B$10,0),MATCH($J1837,ModelParameters!$D$5:$K$5,0)))</f>
        <v>0.017000000000000002</v>
      </c>
      <c r="R1837" s="71">
        <f>IF(B1837="",0,INDEX(ModelParameters!$D$13:$K$17,MATCH($O1837,ModelParameters!$B$13:$B$17,0),MATCH($J1837,ModelParameters!$D$5:$K$5,0)))</f>
        <v>0.15</v>
      </c>
      <c r="S1837" s="160">
        <f>IF(B1837="",0,MIN(IF($N1837="Other Bond TM",ModelParameters!$N$21,1)*(P1837*Q1837+R1837),1))</f>
        <v>0.1540489561054239</v>
      </c>
      <c r="T1837" s="85">
        <f>IF(B1837="",0,$S1837*$K1837)</f>
        <v>17.679561880856496</v>
      </c>
      <c r="U1837" s="85">
        <f>IF(B1837="",0,IF(OR(H1837=MappingTables!$C$34,H1837=MappingTables!$C$35),T1837,0))</f>
        <v>0</v>
      </c>
      <c r="V1837" s="85">
        <f>IF(ISNA(IF(AND(VLOOKUP(CONCATENATE($D1837,$G1837),CSRFinput!$B:$E,4,0)=0,OR(H1837=MappingTables!$C$34,H1837=MappingTables!$C$35)),1,VLOOKUP(CONCATENATE($D1837,$G1837),CSRFinput!$B:$E,4,0))),0,IF(AND(VLOOKUP(CONCATENATE($D1837,$G1837),CSRFinput!$B:$E,4,0)=0,OR(H1837=MappingTables!$C$34,H1837=MappingTables!$C$35)),1,VLOOKUP(CONCATENATE($D1837,$G1837),CSRFinput!$B:$E,4,0)))</f>
        <v>0.054776304963434752</v>
      </c>
      <c r="W1837" s="85">
        <f>IF(B1837="",0,+$T1837*$V1837)</f>
        <v>0.96842107320571152</v>
      </c>
      <c r="X1837" s="85">
        <f>IF(B1837="",0,IF(OR(H1837=MappingTables!$C$34,H1837=MappingTables!$C$35),W1837,0))</f>
        <v>0</v>
      </c>
    </row>
    <row r="1838" spans="2:24" s="0" customFormat="0" ht="15">
      <c r="B1838" s="69">
        <v>10318069</v>
      </c>
      <c r="C1838" s="70" t="s">
        <v>1164</v>
      </c>
      <c r="D1838" s="70" t="s">
        <v>1</v>
      </c>
      <c r="E1838" s="70" t="s">
        <v>1</v>
      </c>
      <c r="F1838" s="70"/>
      <c r="G1838" s="70" t="s">
        <v>61</v>
      </c>
      <c r="H1838" s="70" t="s">
        <v>178</v>
      </c>
      <c r="I1838" s="70" t="s">
        <v>181</v>
      </c>
      <c r="J1838" s="71">
        <f>IF(OR(I1838=0,I1838=""),"unrated",VLOOKUP(I1838,MappingTables!$B$19:$C$31,2,FALSE))</f>
        <v>3</v>
      </c>
      <c r="K1838" s="72">
        <v>598.54446274521312</v>
      </c>
      <c r="L1838" s="70">
        <v>1.4324929087110598</v>
      </c>
      <c r="M1838" s="71">
        <f>IF(L1838&lt;1,1,L1838)</f>
        <v>1.4324929087110598</v>
      </c>
      <c r="N1838" s="70" t="s">
        <v>141</v>
      </c>
      <c r="O1838" s="71">
        <f>INDEX(DurClassMapping,MATCH(M1838,MappingTables!$D$4:$D$8,-1),1)</f>
        <v>1</v>
      </c>
      <c r="P1838" s="73">
        <f>IF(M1838=$A$1,1,$M1838-INDEX(MappingTables!$E$4:$E$8,MATCH(O1838,MappingTables!$B$4:$B$8,0)))</f>
        <v>1.4324929087110598</v>
      </c>
      <c r="Q1838" s="71">
        <f>IF(B1838="",0,INDEX(ModelParameters!$D$6:$K$10,MATCH($O1838,ModelParameters!$B$6:$B$10,0),MATCH($J1838,ModelParameters!$D$5:$K$5,0)))</f>
        <v>0.025</v>
      </c>
      <c r="R1838" s="71">
        <f>IF(B1838="",0,INDEX(ModelParameters!$D$13:$K$17,MATCH($O1838,ModelParameters!$B$13:$B$17,0),MATCH($J1838,ModelParameters!$D$5:$K$5,0)))</f>
        <v>0</v>
      </c>
      <c r="S1838" s="160">
        <f>IF(B1838="",0,MIN(IF($N1838="Other Bond TM",ModelParameters!$N$21,1)*(P1838*Q1838+R1838),1))</f>
        <v>0.0358123227177765</v>
      </c>
      <c r="T1838" s="85">
        <f>IF(B1838="",0,$S1838*$K1838)</f>
        <v>21.435267460769724</v>
      </c>
      <c r="U1838" s="85">
        <f>IF(B1838="",0,IF(OR(H1838=MappingTables!$C$34,H1838=MappingTables!$C$35),T1838,0))</f>
        <v>0</v>
      </c>
      <c r="V1838" s="85">
        <f>IF(ISNA(IF(AND(VLOOKUP(CONCATENATE($D1838,$G1838),CSRFinput!$B:$E,4,0)=0,OR(H1838=MappingTables!$C$34,H1838=MappingTables!$C$35)),1,VLOOKUP(CONCATENATE($D1838,$G1838),CSRFinput!$B:$E,4,0))),0,IF(AND(VLOOKUP(CONCATENATE($D1838,$G1838),CSRFinput!$B:$E,4,0)=0,OR(H1838=MappingTables!$C$34,H1838=MappingTables!$C$35)),1,VLOOKUP(CONCATENATE($D1838,$G1838),CSRFinput!$B:$E,4,0)))</f>
        <v>0.054776304963434752</v>
      </c>
      <c r="W1838" s="85">
        <f>IF(B1838="",0,+$T1838*$V1838)</f>
        <v>1.174144747403912</v>
      </c>
      <c r="X1838" s="85">
        <f>IF(B1838="",0,IF(OR(H1838=MappingTables!$C$34,H1838=MappingTables!$C$35),W1838,0))</f>
        <v>0</v>
      </c>
    </row>
    <row r="1839" spans="2:24" s="0" customFormat="0" ht="15">
      <c r="B1839" s="69" t="s">
        <v>1261</v>
      </c>
      <c r="C1839" s="70" t="s">
        <v>1262</v>
      </c>
      <c r="D1839" s="70" t="s">
        <v>1</v>
      </c>
      <c r="E1839" s="70" t="s">
        <v>1</v>
      </c>
      <c r="F1839" s="70"/>
      <c r="G1839" s="70" t="s">
        <v>61</v>
      </c>
      <c r="H1839" s="70" t="s">
        <v>178</v>
      </c>
      <c r="I1839" s="70" t="s">
        <v>181</v>
      </c>
      <c r="J1839" s="71">
        <f>IF(OR(I1839=0,I1839=""),"unrated",VLOOKUP(I1839,MappingTables!$B$19:$C$31,2,FALSE))</f>
        <v>3</v>
      </c>
      <c r="K1839" s="72">
        <v>4.6993425908642576</v>
      </c>
      <c r="L1839" s="70">
        <v>2.1905349719534532</v>
      </c>
      <c r="M1839" s="71">
        <f>IF(L1839&lt;1,1,L1839)</f>
        <v>2.1905349719534532</v>
      </c>
      <c r="N1839" s="70" t="s">
        <v>141</v>
      </c>
      <c r="O1839" s="71">
        <f>INDEX(DurClassMapping,MATCH(M1839,MappingTables!$D$4:$D$8,-1),1)</f>
        <v>1</v>
      </c>
      <c r="P1839" s="73">
        <f>IF(M1839=$A$1,1,$M1839-INDEX(MappingTables!$E$4:$E$8,MATCH(O1839,MappingTables!$B$4:$B$8,0)))</f>
        <v>2.1905349719534532</v>
      </c>
      <c r="Q1839" s="71">
        <f>IF(B1839="",0,INDEX(ModelParameters!$D$6:$K$10,MATCH($O1839,ModelParameters!$B$6:$B$10,0),MATCH($J1839,ModelParameters!$D$5:$K$5,0)))</f>
        <v>0.025</v>
      </c>
      <c r="R1839" s="71">
        <f>IF(B1839="",0,INDEX(ModelParameters!$D$13:$K$17,MATCH($O1839,ModelParameters!$B$13:$B$17,0),MATCH($J1839,ModelParameters!$D$5:$K$5,0)))</f>
        <v>0</v>
      </c>
      <c r="S1839" s="160">
        <f>IF(B1839="",0,MIN(IF($N1839="Other Bond TM",ModelParameters!$N$21,1)*(P1839*Q1839+R1839),1))</f>
        <v>0.054763374298836336</v>
      </c>
      <c r="T1839" s="85">
        <f>IF(B1839="",0,$S1839*$K1839)</f>
        <v>0.25735185726196264</v>
      </c>
      <c r="U1839" s="85">
        <f>IF(B1839="",0,IF(OR(H1839=MappingTables!$C$34,H1839=MappingTables!$C$35),T1839,0))</f>
        <v>0</v>
      </c>
      <c r="V1839" s="85">
        <f>IF(ISNA(IF(AND(VLOOKUP(CONCATENATE($D1839,$G1839),CSRFinput!$B:$E,4,0)=0,OR(H1839=MappingTables!$C$34,H1839=MappingTables!$C$35)),1,VLOOKUP(CONCATENATE($D1839,$G1839),CSRFinput!$B:$E,4,0))),0,IF(AND(VLOOKUP(CONCATENATE($D1839,$G1839),CSRFinput!$B:$E,4,0)=0,OR(H1839=MappingTables!$C$34,H1839=MappingTables!$C$35)),1,VLOOKUP(CONCATENATE($D1839,$G1839),CSRFinput!$B:$E,4,0)))</f>
        <v>0.054776304963434752</v>
      </c>
      <c r="W1839" s="85">
        <f>IF(B1839="",0,+$T1839*$V1839)</f>
        <v>0.014096783816287596</v>
      </c>
      <c r="X1839" s="85">
        <f>IF(B1839="",0,IF(OR(H1839=MappingTables!$C$34,H1839=MappingTables!$C$35),W1839,0))</f>
        <v>0</v>
      </c>
    </row>
    <row r="1840" spans="2:24" s="0" customFormat="0" ht="15">
      <c r="B1840" s="69">
        <v>13394878</v>
      </c>
      <c r="C1840" s="70" t="s">
        <v>1321</v>
      </c>
      <c r="D1840" s="70" t="s">
        <v>1</v>
      </c>
      <c r="E1840" s="70" t="s">
        <v>1</v>
      </c>
      <c r="F1840" s="70"/>
      <c r="G1840" s="70" t="s">
        <v>61</v>
      </c>
      <c r="H1840" s="70" t="s">
        <v>178</v>
      </c>
      <c r="I1840" s="70" t="s">
        <v>188</v>
      </c>
      <c r="J1840" s="71">
        <f>IF(OR(I1840=0,I1840=""),"unrated",VLOOKUP(I1840,MappingTables!$B$19:$C$31,2,FALSE))</f>
        <v>2</v>
      </c>
      <c r="K1840" s="72">
        <v>1819.3011031160228</v>
      </c>
      <c r="L1840" s="70">
        <v>5.5264940877837784</v>
      </c>
      <c r="M1840" s="71">
        <f>IF(L1840&lt;1,1,L1840)</f>
        <v>5.5264940877837784</v>
      </c>
      <c r="N1840" s="70" t="s">
        <v>141</v>
      </c>
      <c r="O1840" s="71">
        <f>INDEX(DurClassMapping,MATCH(M1840,MappingTables!$D$4:$D$8,-1),1)</f>
        <v>2</v>
      </c>
      <c r="P1840" s="73">
        <f>IF(M1840=$A$1,1,$M1840-INDEX(MappingTables!$E$4:$E$8,MATCH(O1840,MappingTables!$B$4:$B$8,0)))</f>
        <v>0.52649408778377808</v>
      </c>
      <c r="Q1840" s="71">
        <f>IF(B1840="",0,INDEX(ModelParameters!$D$6:$K$10,MATCH($O1840,ModelParameters!$B$6:$B$10,0),MATCH($J1840,ModelParameters!$D$5:$K$5,0)))</f>
        <v>0.0069999999999999992</v>
      </c>
      <c r="R1840" s="71">
        <f>IF(B1840="",0,INDEX(ModelParameters!$D$13:$K$17,MATCH($O1840,ModelParameters!$B$13:$B$17,0),MATCH($J1840,ModelParameters!$D$5:$K$5,0)))</f>
        <v>0.070000000000000008</v>
      </c>
      <c r="S1840" s="160">
        <f>IF(B1840="",0,MIN(IF($N1840="Other Bond TM",ModelParameters!$N$21,1)*(P1840*Q1840+R1840),1))</f>
        <v>0.073685458614486464</v>
      </c>
      <c r="T1840" s="85">
        <f>IF(B1840="",0,$S1840*$K1840)</f>
        <v>134.05603614094526</v>
      </c>
      <c r="U1840" s="85">
        <f>IF(B1840="",0,IF(OR(H1840=MappingTables!$C$34,H1840=MappingTables!$C$35),T1840,0))</f>
        <v>0</v>
      </c>
      <c r="V1840" s="85">
        <f>IF(ISNA(IF(AND(VLOOKUP(CONCATENATE($D1840,$G1840),CSRFinput!$B:$E,4,0)=0,OR(H1840=MappingTables!$C$34,H1840=MappingTables!$C$35)),1,VLOOKUP(CONCATENATE($D1840,$G1840),CSRFinput!$B:$E,4,0))),0,IF(AND(VLOOKUP(CONCATENATE($D1840,$G1840),CSRFinput!$B:$E,4,0)=0,OR(H1840=MappingTables!$C$34,H1840=MappingTables!$C$35)),1,VLOOKUP(CONCATENATE($D1840,$G1840),CSRFinput!$B:$E,4,0)))</f>
        <v>0.054776304963434752</v>
      </c>
      <c r="W1840" s="85">
        <f>IF(B1840="",0,+$T1840*$V1840)</f>
        <v>7.343094317845648</v>
      </c>
      <c r="X1840" s="85">
        <f>IF(B1840="",0,IF(OR(H1840=MappingTables!$C$34,H1840=MappingTables!$C$35),W1840,0))</f>
        <v>0</v>
      </c>
    </row>
    <row r="1841" spans="2:24" s="0" customFormat="0" ht="15">
      <c r="B1841" s="69">
        <v>2166226</v>
      </c>
      <c r="C1841" s="70" t="s">
        <v>2025</v>
      </c>
      <c r="D1841" s="70" t="s">
        <v>1</v>
      </c>
      <c r="E1841" s="70" t="s">
        <v>1</v>
      </c>
      <c r="F1841" s="70"/>
      <c r="G1841" s="70" t="s">
        <v>61</v>
      </c>
      <c r="H1841" s="70" t="s">
        <v>178</v>
      </c>
      <c r="I1841" s="70" t="s">
        <v>181</v>
      </c>
      <c r="J1841" s="71">
        <f>IF(OR(I1841=0,I1841=""),"unrated",VLOOKUP(I1841,MappingTables!$B$19:$C$31,2,FALSE))</f>
        <v>3</v>
      </c>
      <c r="K1841" s="72">
        <v>2793.185686143668</v>
      </c>
      <c r="L1841" s="70">
        <v>9.3420092619695872</v>
      </c>
      <c r="M1841" s="71">
        <f>IF(L1841&lt;1,1,L1841)</f>
        <v>9.3420092619695872</v>
      </c>
      <c r="N1841" s="70" t="s">
        <v>141</v>
      </c>
      <c r="O1841" s="71">
        <f>INDEX(DurClassMapping,MATCH(M1841,MappingTables!$D$4:$D$8,-1),1)</f>
        <v>2</v>
      </c>
      <c r="P1841" s="73">
        <f>IF(M1841=$A$1,1,$M1841-INDEX(MappingTables!$E$4:$E$8,MATCH(O1841,MappingTables!$B$4:$B$8,0)))</f>
        <v>4.3420092619695864</v>
      </c>
      <c r="Q1841" s="71">
        <f>IF(B1841="",0,INDEX(ModelParameters!$D$6:$K$10,MATCH($O1841,ModelParameters!$B$6:$B$10,0),MATCH($J1841,ModelParameters!$D$5:$K$5,0)))</f>
        <v>0.015</v>
      </c>
      <c r="R1841" s="71">
        <f>IF(B1841="",0,INDEX(ModelParameters!$D$13:$K$17,MATCH($O1841,ModelParameters!$B$13:$B$17,0),MATCH($J1841,ModelParameters!$D$5:$K$5,0)))</f>
        <v>0.125</v>
      </c>
      <c r="S1841" s="160">
        <f>IF(B1841="",0,MIN(IF($N1841="Other Bond TM",ModelParameters!$N$21,1)*(P1841*Q1841+R1841),1))</f>
        <v>0.19013013892954376</v>
      </c>
      <c r="T1841" s="85">
        <f>IF(B1841="",0,$S1841*$K1841)</f>
        <v>531.06878256250864</v>
      </c>
      <c r="U1841" s="85">
        <f>IF(B1841="",0,IF(OR(H1841=MappingTables!$C$34,H1841=MappingTables!$C$35),T1841,0))</f>
        <v>0</v>
      </c>
      <c r="V1841" s="85">
        <f>IF(ISNA(IF(AND(VLOOKUP(CONCATENATE($D1841,$G1841),CSRFinput!$B:$E,4,0)=0,OR(H1841=MappingTables!$C$34,H1841=MappingTables!$C$35)),1,VLOOKUP(CONCATENATE($D1841,$G1841),CSRFinput!$B:$E,4,0))),0,IF(AND(VLOOKUP(CONCATENATE($D1841,$G1841),CSRFinput!$B:$E,4,0)=0,OR(H1841=MappingTables!$C$34,H1841=MappingTables!$C$35)),1,VLOOKUP(CONCATENATE($D1841,$G1841),CSRFinput!$B:$E,4,0)))</f>
        <v>0.054776304963434752</v>
      </c>
      <c r="W1841" s="85">
        <f>IF(B1841="",0,+$T1841*$V1841)</f>
        <v>29.089985590203996</v>
      </c>
      <c r="X1841" s="85">
        <f>IF(B1841="",0,IF(OR(H1841=MappingTables!$C$34,H1841=MappingTables!$C$35),W1841,0))</f>
        <v>0</v>
      </c>
    </row>
    <row r="1842" spans="2:24" s="0" customFormat="0" ht="15">
      <c r="B1842" s="69">
        <v>12101483</v>
      </c>
      <c r="C1842" s="70" t="s">
        <v>2026</v>
      </c>
      <c r="D1842" s="70" t="s">
        <v>1</v>
      </c>
      <c r="E1842" s="70" t="s">
        <v>1</v>
      </c>
      <c r="F1842" s="70"/>
      <c r="G1842" s="70" t="s">
        <v>61</v>
      </c>
      <c r="H1842" s="70" t="s">
        <v>178</v>
      </c>
      <c r="I1842" s="70" t="s">
        <v>179</v>
      </c>
      <c r="J1842" s="71">
        <f>IF(OR(I1842=0,I1842=""),"unrated",VLOOKUP(I1842,MappingTables!$B$19:$C$31,2,FALSE))</f>
        <v>4</v>
      </c>
      <c r="K1842" s="72">
        <v>595.05148172326872</v>
      </c>
      <c r="L1842" s="70">
        <v>0.37808282464927056</v>
      </c>
      <c r="M1842" s="71">
        <f>IF(L1842&lt;1,1,L1842)</f>
        <v>1</v>
      </c>
      <c r="N1842" s="70" t="s">
        <v>141</v>
      </c>
      <c r="O1842" s="71">
        <f>INDEX(DurClassMapping,MATCH(M1842,MappingTables!$D$4:$D$8,-1),1)</f>
        <v>1</v>
      </c>
      <c r="P1842" s="73">
        <f>IF(M1842=$A$1,1,$M1842-INDEX(MappingTables!$E$4:$E$8,MATCH(O1842,MappingTables!$B$4:$B$8,0)))</f>
        <v>1</v>
      </c>
      <c r="Q1842" s="71">
        <f>IF(B1842="",0,INDEX(ModelParameters!$D$6:$K$10,MATCH($O1842,ModelParameters!$B$6:$B$10,0),MATCH($J1842,ModelParameters!$D$5:$K$5,0)))</f>
        <v>0.045</v>
      </c>
      <c r="R1842" s="71">
        <f>IF(B1842="",0,INDEX(ModelParameters!$D$13:$K$17,MATCH($O1842,ModelParameters!$B$13:$B$17,0),MATCH($J1842,ModelParameters!$D$5:$K$5,0)))</f>
        <v>0</v>
      </c>
      <c r="S1842" s="160">
        <f>IF(B1842="",0,MIN(IF($N1842="Other Bond TM",ModelParameters!$N$21,1)*(P1842*Q1842+R1842),1))</f>
        <v>0.045</v>
      </c>
      <c r="T1842" s="85">
        <f>IF(B1842="",0,$S1842*$K1842)</f>
        <v>26.777316677547092</v>
      </c>
      <c r="U1842" s="85">
        <f>IF(B1842="",0,IF(OR(H1842=MappingTables!$C$34,H1842=MappingTables!$C$35),T1842,0))</f>
        <v>0</v>
      </c>
      <c r="V1842" s="85">
        <f>IF(ISNA(IF(AND(VLOOKUP(CONCATENATE($D1842,$G1842),CSRFinput!$B:$E,4,0)=0,OR(H1842=MappingTables!$C$34,H1842=MappingTables!$C$35)),1,VLOOKUP(CONCATENATE($D1842,$G1842),CSRFinput!$B:$E,4,0))),0,IF(AND(VLOOKUP(CONCATENATE($D1842,$G1842),CSRFinput!$B:$E,4,0)=0,OR(H1842=MappingTables!$C$34,H1842=MappingTables!$C$35)),1,VLOOKUP(CONCATENATE($D1842,$G1842),CSRFinput!$B:$E,4,0)))</f>
        <v>0.054776304963434752</v>
      </c>
      <c r="W1842" s="85">
        <f>IF(B1842="",0,+$T1842*$V1842)</f>
        <v>1.466762464431787</v>
      </c>
      <c r="X1842" s="85">
        <f>IF(B1842="",0,IF(OR(H1842=MappingTables!$C$34,H1842=MappingTables!$C$35),W1842,0))</f>
        <v>0</v>
      </c>
    </row>
    <row r="1843" spans="2:24" s="0" customFormat="0" ht="15">
      <c r="B1843" s="69">
        <v>14805194</v>
      </c>
      <c r="C1843" s="70" t="s">
        <v>2027</v>
      </c>
      <c r="D1843" s="70" t="s">
        <v>1</v>
      </c>
      <c r="E1843" s="70" t="s">
        <v>1</v>
      </c>
      <c r="F1843" s="70"/>
      <c r="G1843" s="70" t="s">
        <v>61</v>
      </c>
      <c r="H1843" s="70" t="s">
        <v>178</v>
      </c>
      <c r="I1843" s="70" t="s">
        <v>220</v>
      </c>
      <c r="J1843" s="71">
        <f>IF(OR(I1843=0,I1843=""),"unrated",VLOOKUP(I1843,MappingTables!$B$19:$C$31,2,FALSE))</f>
        <v>1</v>
      </c>
      <c r="K1843" s="72">
        <v>2041.151215419836</v>
      </c>
      <c r="L1843" s="70">
        <v>0.20273943977760812</v>
      </c>
      <c r="M1843" s="71">
        <f>IF(L1843&lt;1,1,L1843)</f>
        <v>1</v>
      </c>
      <c r="N1843" s="70" t="s">
        <v>141</v>
      </c>
      <c r="O1843" s="71">
        <f>INDEX(DurClassMapping,MATCH(M1843,MappingTables!$D$4:$D$8,-1),1)</f>
        <v>1</v>
      </c>
      <c r="P1843" s="73">
        <f>IF(M1843=$A$1,1,$M1843-INDEX(MappingTables!$E$4:$E$8,MATCH(O1843,MappingTables!$B$4:$B$8,0)))</f>
        <v>1</v>
      </c>
      <c r="Q1843" s="71">
        <f>IF(B1843="",0,INDEX(ModelParameters!$D$6:$K$10,MATCH($O1843,ModelParameters!$B$6:$B$10,0),MATCH($J1843,ModelParameters!$D$5:$K$5,0)))</f>
        <v>0.011000000000000002</v>
      </c>
      <c r="R1843" s="71">
        <f>IF(B1843="",0,INDEX(ModelParameters!$D$13:$K$17,MATCH($O1843,ModelParameters!$B$13:$B$17,0),MATCH($J1843,ModelParameters!$D$5:$K$5,0)))</f>
        <v>0</v>
      </c>
      <c r="S1843" s="160">
        <f>IF(B1843="",0,MIN(IF($N1843="Other Bond TM",ModelParameters!$N$21,1)*(P1843*Q1843+R1843),1))</f>
        <v>0.011000000000000002</v>
      </c>
      <c r="T1843" s="85">
        <f>IF(B1843="",0,$S1843*$K1843)</f>
        <v>22.452663369618196</v>
      </c>
      <c r="U1843" s="85">
        <f>IF(B1843="",0,IF(OR(H1843=MappingTables!$C$34,H1843=MappingTables!$C$35),T1843,0))</f>
        <v>0</v>
      </c>
      <c r="V1843" s="85">
        <f>IF(ISNA(IF(AND(VLOOKUP(CONCATENATE($D1843,$G1843),CSRFinput!$B:$E,4,0)=0,OR(H1843=MappingTables!$C$34,H1843=MappingTables!$C$35)),1,VLOOKUP(CONCATENATE($D1843,$G1843),CSRFinput!$B:$E,4,0))),0,IF(AND(VLOOKUP(CONCATENATE($D1843,$G1843),CSRFinput!$B:$E,4,0)=0,OR(H1843=MappingTables!$C$34,H1843=MappingTables!$C$35)),1,VLOOKUP(CONCATENATE($D1843,$G1843),CSRFinput!$B:$E,4,0)))</f>
        <v>0.054776304963434752</v>
      </c>
      <c r="W1843" s="85">
        <f>IF(B1843="",0,+$T1843*$V1843)</f>
        <v>1.2298739359755468</v>
      </c>
      <c r="X1843" s="85">
        <f>IF(B1843="",0,IF(OR(H1843=MappingTables!$C$34,H1843=MappingTables!$C$35),W1843,0))</f>
        <v>0</v>
      </c>
    </row>
    <row r="1844" spans="2:24" s="0" customFormat="0" ht="15">
      <c r="B1844" s="69">
        <v>22125349</v>
      </c>
      <c r="C1844" s="70" t="s">
        <v>1237</v>
      </c>
      <c r="D1844" s="70" t="s">
        <v>1</v>
      </c>
      <c r="E1844" s="70" t="s">
        <v>1</v>
      </c>
      <c r="F1844" s="70"/>
      <c r="G1844" s="70" t="s">
        <v>61</v>
      </c>
      <c r="H1844" s="70" t="s">
        <v>178</v>
      </c>
      <c r="I1844" s="70" t="s">
        <v>179</v>
      </c>
      <c r="J1844" s="71">
        <f>IF(OR(I1844=0,I1844=""),"unrated",VLOOKUP(I1844,MappingTables!$B$19:$C$31,2,FALSE))</f>
        <v>4</v>
      </c>
      <c r="K1844" s="72">
        <v>516.50914617407952</v>
      </c>
      <c r="L1844" s="70">
        <v>3.6134397812428704</v>
      </c>
      <c r="M1844" s="71">
        <f>IF(L1844&lt;1,1,L1844)</f>
        <v>3.6134397812428704</v>
      </c>
      <c r="N1844" s="70" t="s">
        <v>141</v>
      </c>
      <c r="O1844" s="71">
        <f>INDEX(DurClassMapping,MATCH(M1844,MappingTables!$D$4:$D$8,-1),1)</f>
        <v>1</v>
      </c>
      <c r="P1844" s="73">
        <f>IF(M1844=$A$1,1,$M1844-INDEX(MappingTables!$E$4:$E$8,MATCH(O1844,MappingTables!$B$4:$B$8,0)))</f>
        <v>3.6134397812428704</v>
      </c>
      <c r="Q1844" s="71">
        <f>IF(B1844="",0,INDEX(ModelParameters!$D$6:$K$10,MATCH($O1844,ModelParameters!$B$6:$B$10,0),MATCH($J1844,ModelParameters!$D$5:$K$5,0)))</f>
        <v>0.045</v>
      </c>
      <c r="R1844" s="71">
        <f>IF(B1844="",0,INDEX(ModelParameters!$D$13:$K$17,MATCH($O1844,ModelParameters!$B$13:$B$17,0),MATCH($J1844,ModelParameters!$D$5:$K$5,0)))</f>
        <v>0</v>
      </c>
      <c r="S1844" s="160">
        <f>IF(B1844="",0,MIN(IF($N1844="Other Bond TM",ModelParameters!$N$21,1)*(P1844*Q1844+R1844),1))</f>
        <v>0.16260479015592916</v>
      </c>
      <c r="T1844" s="85">
        <f>IF(B1844="",0,$S1844*$K1844)</f>
        <v>83.986861327254352</v>
      </c>
      <c r="U1844" s="85">
        <f>IF(B1844="",0,IF(OR(H1844=MappingTables!$C$34,H1844=MappingTables!$C$35),T1844,0))</f>
        <v>0</v>
      </c>
      <c r="V1844" s="85">
        <f>IF(ISNA(IF(AND(VLOOKUP(CONCATENATE($D1844,$G1844),CSRFinput!$B:$E,4,0)=0,OR(H1844=MappingTables!$C$34,H1844=MappingTables!$C$35)),1,VLOOKUP(CONCATENATE($D1844,$G1844),CSRFinput!$B:$E,4,0))),0,IF(AND(VLOOKUP(CONCATENATE($D1844,$G1844),CSRFinput!$B:$E,4,0)=0,OR(H1844=MappingTables!$C$34,H1844=MappingTables!$C$35)),1,VLOOKUP(CONCATENATE($D1844,$G1844),CSRFinput!$B:$E,4,0)))</f>
        <v>0.054776304963434752</v>
      </c>
      <c r="W1844" s="85">
        <f>IF(B1844="",0,+$T1844*$V1844)</f>
        <v>4.6004899289833888</v>
      </c>
      <c r="X1844" s="85">
        <f>IF(B1844="",0,IF(OR(H1844=MappingTables!$C$34,H1844=MappingTables!$C$35),W1844,0))</f>
        <v>0</v>
      </c>
    </row>
    <row r="1845" spans="2:24" s="0" customFormat="0" ht="15">
      <c r="B1845" s="69">
        <v>17020835</v>
      </c>
      <c r="C1845" s="70" t="s">
        <v>2028</v>
      </c>
      <c r="D1845" s="70" t="s">
        <v>1</v>
      </c>
      <c r="E1845" s="70" t="s">
        <v>1</v>
      </c>
      <c r="F1845" s="70"/>
      <c r="G1845" s="70" t="s">
        <v>61</v>
      </c>
      <c r="H1845" s="70" t="s">
        <v>178</v>
      </c>
      <c r="I1845" s="70" t="s">
        <v>179</v>
      </c>
      <c r="J1845" s="71">
        <f>IF(OR(I1845=0,I1845=""),"unrated",VLOOKUP(I1845,MappingTables!$B$19:$C$31,2,FALSE))</f>
        <v>4</v>
      </c>
      <c r="K1845" s="72">
        <v>22911.025959880972</v>
      </c>
      <c r="L1845" s="70">
        <v>2.3477879887787064</v>
      </c>
      <c r="M1845" s="71">
        <f>IF(L1845&lt;1,1,L1845)</f>
        <v>2.3477879887787064</v>
      </c>
      <c r="N1845" s="70" t="s">
        <v>141</v>
      </c>
      <c r="O1845" s="71">
        <f>INDEX(DurClassMapping,MATCH(M1845,MappingTables!$D$4:$D$8,-1),1)</f>
        <v>1</v>
      </c>
      <c r="P1845" s="73">
        <f>IF(M1845=$A$1,1,$M1845-INDEX(MappingTables!$E$4:$E$8,MATCH(O1845,MappingTables!$B$4:$B$8,0)))</f>
        <v>2.3477879887787064</v>
      </c>
      <c r="Q1845" s="71">
        <f>IF(B1845="",0,INDEX(ModelParameters!$D$6:$K$10,MATCH($O1845,ModelParameters!$B$6:$B$10,0),MATCH($J1845,ModelParameters!$D$5:$K$5,0)))</f>
        <v>0.045</v>
      </c>
      <c r="R1845" s="71">
        <f>IF(B1845="",0,INDEX(ModelParameters!$D$13:$K$17,MATCH($O1845,ModelParameters!$B$13:$B$17,0),MATCH($J1845,ModelParameters!$D$5:$K$5,0)))</f>
        <v>0</v>
      </c>
      <c r="S1845" s="160">
        <f>IF(B1845="",0,MIN(IF($N1845="Other Bond TM",ModelParameters!$N$21,1)*(P1845*Q1845+R1845),1))</f>
        <v>0.10565045949504178</v>
      </c>
      <c r="T1845" s="85">
        <f>IF(B1845="",0,$S1845*$K1845)</f>
        <v>2420.5604201642548</v>
      </c>
      <c r="U1845" s="85">
        <f>IF(B1845="",0,IF(OR(H1845=MappingTables!$C$34,H1845=MappingTables!$C$35),T1845,0))</f>
        <v>0</v>
      </c>
      <c r="V1845" s="85">
        <f>IF(ISNA(IF(AND(VLOOKUP(CONCATENATE($D1845,$G1845),CSRFinput!$B:$E,4,0)=0,OR(H1845=MappingTables!$C$34,H1845=MappingTables!$C$35)),1,VLOOKUP(CONCATENATE($D1845,$G1845),CSRFinput!$B:$E,4,0))),0,IF(AND(VLOOKUP(CONCATENATE($D1845,$G1845),CSRFinput!$B:$E,4,0)=0,OR(H1845=MappingTables!$C$34,H1845=MappingTables!$C$35)),1,VLOOKUP(CONCATENATE($D1845,$G1845),CSRFinput!$B:$E,4,0)))</f>
        <v>0.054776304963434752</v>
      </c>
      <c r="W1845" s="85">
        <f>IF(B1845="",0,+$T1845*$V1845)</f>
        <v>132.58935575733698</v>
      </c>
      <c r="X1845" s="85">
        <f>IF(B1845="",0,IF(OR(H1845=MappingTables!$C$34,H1845=MappingTables!$C$35),W1845,0))</f>
        <v>0</v>
      </c>
    </row>
    <row r="1846" spans="2:24" s="0" customFormat="0" ht="15">
      <c r="B1846" s="69" t="s">
        <v>2029</v>
      </c>
      <c r="C1846" s="70" t="s">
        <v>2030</v>
      </c>
      <c r="D1846" s="70" t="s">
        <v>1</v>
      </c>
      <c r="E1846" s="70" t="s">
        <v>1</v>
      </c>
      <c r="F1846" s="70"/>
      <c r="G1846" s="70" t="s">
        <v>61</v>
      </c>
      <c r="H1846" s="70" t="s">
        <v>178</v>
      </c>
      <c r="I1846" s="70" t="s">
        <v>181</v>
      </c>
      <c r="J1846" s="71">
        <f>IF(OR(I1846=0,I1846=""),"unrated",VLOOKUP(I1846,MappingTables!$B$19:$C$31,2,FALSE))</f>
        <v>3</v>
      </c>
      <c r="K1846" s="72">
        <v>94.048410778454688</v>
      </c>
      <c r="L1846" s="70">
        <v>4.3919725443413312</v>
      </c>
      <c r="M1846" s="71">
        <f>IF(L1846&lt;1,1,L1846)</f>
        <v>4.3919725443413312</v>
      </c>
      <c r="N1846" s="70" t="s">
        <v>141</v>
      </c>
      <c r="O1846" s="71">
        <f>INDEX(DurClassMapping,MATCH(M1846,MappingTables!$D$4:$D$8,-1),1)</f>
        <v>1</v>
      </c>
      <c r="P1846" s="73">
        <f>IF(M1846=$A$1,1,$M1846-INDEX(MappingTables!$E$4:$E$8,MATCH(O1846,MappingTables!$B$4:$B$8,0)))</f>
        <v>4.3919725443413312</v>
      </c>
      <c r="Q1846" s="71">
        <f>IF(B1846="",0,INDEX(ModelParameters!$D$6:$K$10,MATCH($O1846,ModelParameters!$B$6:$B$10,0),MATCH($J1846,ModelParameters!$D$5:$K$5,0)))</f>
        <v>0.025</v>
      </c>
      <c r="R1846" s="71">
        <f>IF(B1846="",0,INDEX(ModelParameters!$D$13:$K$17,MATCH($O1846,ModelParameters!$B$13:$B$17,0),MATCH($J1846,ModelParameters!$D$5:$K$5,0)))</f>
        <v>0</v>
      </c>
      <c r="S1846" s="160">
        <f>IF(B1846="",0,MIN(IF($N1846="Other Bond TM",ModelParameters!$N$21,1)*(P1846*Q1846+R1846),1))</f>
        <v>0.10979931360853328</v>
      </c>
      <c r="T1846" s="85">
        <f>IF(B1846="",0,$S1846*$K1846)</f>
        <v>10.326450949447708</v>
      </c>
      <c r="U1846" s="85">
        <f>IF(B1846="",0,IF(OR(H1846=MappingTables!$C$34,H1846=MappingTables!$C$35),T1846,0))</f>
        <v>0</v>
      </c>
      <c r="V1846" s="85">
        <f>IF(ISNA(IF(AND(VLOOKUP(CONCATENATE($D1846,$G1846),CSRFinput!$B:$E,4,0)=0,OR(H1846=MappingTables!$C$34,H1846=MappingTables!$C$35)),1,VLOOKUP(CONCATENATE($D1846,$G1846),CSRFinput!$B:$E,4,0))),0,IF(AND(VLOOKUP(CONCATENATE($D1846,$G1846),CSRFinput!$B:$E,4,0)=0,OR(H1846=MappingTables!$C$34,H1846=MappingTables!$C$35)),1,VLOOKUP(CONCATENATE($D1846,$G1846),CSRFinput!$B:$E,4,0)))</f>
        <v>0.054776304963434752</v>
      </c>
      <c r="W1846" s="85">
        <f>IF(B1846="",0,+$T1846*$V1846)</f>
        <v>0.56564482639689792</v>
      </c>
      <c r="X1846" s="85">
        <f>IF(B1846="",0,IF(OR(H1846=MappingTables!$C$34,H1846=MappingTables!$C$35),W1846,0))</f>
        <v>0</v>
      </c>
    </row>
    <row r="1847" spans="2:24" s="0" customFormat="0" ht="15">
      <c r="B1847" s="69">
        <v>19573516</v>
      </c>
      <c r="C1847" s="70" t="s">
        <v>2031</v>
      </c>
      <c r="D1847" s="70" t="s">
        <v>1</v>
      </c>
      <c r="E1847" s="70" t="s">
        <v>1</v>
      </c>
      <c r="F1847" s="70"/>
      <c r="G1847" s="70" t="s">
        <v>61</v>
      </c>
      <c r="H1847" s="70" t="s">
        <v>178</v>
      </c>
      <c r="I1847" s="70" t="s">
        <v>188</v>
      </c>
      <c r="J1847" s="71">
        <f>IF(OR(I1847=0,I1847=""),"unrated",VLOOKUP(I1847,MappingTables!$B$19:$C$31,2,FALSE))</f>
        <v>2</v>
      </c>
      <c r="K1847" s="72">
        <v>332.40925119061352</v>
      </c>
      <c r="L1847" s="70">
        <v>0.1178114472521023</v>
      </c>
      <c r="M1847" s="71">
        <f>IF(L1847&lt;1,1,L1847)</f>
        <v>1</v>
      </c>
      <c r="N1847" s="70" t="s">
        <v>141</v>
      </c>
      <c r="O1847" s="71">
        <f>INDEX(DurClassMapping,MATCH(M1847,MappingTables!$D$4:$D$8,-1),1)</f>
        <v>1</v>
      </c>
      <c r="P1847" s="73">
        <f>IF(M1847=$A$1,1,$M1847-INDEX(MappingTables!$E$4:$E$8,MATCH(O1847,MappingTables!$B$4:$B$8,0)))</f>
        <v>1</v>
      </c>
      <c r="Q1847" s="71">
        <f>IF(B1847="",0,INDEX(ModelParameters!$D$6:$K$10,MATCH($O1847,ModelParameters!$B$6:$B$10,0),MATCH($J1847,ModelParameters!$D$5:$K$5,0)))</f>
        <v>0.013999999999999998</v>
      </c>
      <c r="R1847" s="71">
        <f>IF(B1847="",0,INDEX(ModelParameters!$D$13:$K$17,MATCH($O1847,ModelParameters!$B$13:$B$17,0),MATCH($J1847,ModelParameters!$D$5:$K$5,0)))</f>
        <v>0</v>
      </c>
      <c r="S1847" s="160">
        <f>IF(B1847="",0,MIN(IF($N1847="Other Bond TM",ModelParameters!$N$21,1)*(P1847*Q1847+R1847),1))</f>
        <v>0.013999999999999998</v>
      </c>
      <c r="T1847" s="85">
        <f>IF(B1847="",0,$S1847*$K1847)</f>
        <v>4.6537295166685888</v>
      </c>
      <c r="U1847" s="85">
        <f>IF(B1847="",0,IF(OR(H1847=MappingTables!$C$34,H1847=MappingTables!$C$35),T1847,0))</f>
        <v>0</v>
      </c>
      <c r="V1847" s="85">
        <f>IF(ISNA(IF(AND(VLOOKUP(CONCATENATE($D1847,$G1847),CSRFinput!$B:$E,4,0)=0,OR(H1847=MappingTables!$C$34,H1847=MappingTables!$C$35)),1,VLOOKUP(CONCATENATE($D1847,$G1847),CSRFinput!$B:$E,4,0))),0,IF(AND(VLOOKUP(CONCATENATE($D1847,$G1847),CSRFinput!$B:$E,4,0)=0,OR(H1847=MappingTables!$C$34,H1847=MappingTables!$C$35)),1,VLOOKUP(CONCATENATE($D1847,$G1847),CSRFinput!$B:$E,4,0)))</f>
        <v>0.054776304963434752</v>
      </c>
      <c r="W1847" s="85">
        <f>IF(B1847="",0,+$T1847*$V1847)</f>
        <v>0.25491410722237644</v>
      </c>
      <c r="X1847" s="85">
        <f>IF(B1847="",0,IF(OR(H1847=MappingTables!$C$34,H1847=MappingTables!$C$35),W1847,0))</f>
        <v>0</v>
      </c>
    </row>
    <row r="1848" spans="2:24" s="0" customFormat="0" ht="15">
      <c r="B1848" s="69" t="s">
        <v>328</v>
      </c>
      <c r="C1848" s="70" t="s">
        <v>329</v>
      </c>
      <c r="D1848" s="70" t="s">
        <v>1</v>
      </c>
      <c r="E1848" s="70" t="s">
        <v>1</v>
      </c>
      <c r="F1848" s="70"/>
      <c r="G1848" s="70" t="s">
        <v>61</v>
      </c>
      <c r="H1848" s="70" t="s">
        <v>178</v>
      </c>
      <c r="I1848" s="70" t="s">
        <v>184</v>
      </c>
      <c r="J1848" s="71">
        <f>IF(OR(I1848=0,I1848=""),"unrated",VLOOKUP(I1848,MappingTables!$B$19:$C$31,2,FALSE))</f>
        <v>5</v>
      </c>
      <c r="K1848" s="72">
        <v>131.64655579837784</v>
      </c>
      <c r="L1848" s="70">
        <v>4.8659436632295464</v>
      </c>
      <c r="M1848" s="71">
        <f>IF(L1848&lt;1,1,L1848)</f>
        <v>4.8659436632295464</v>
      </c>
      <c r="N1848" s="70" t="s">
        <v>141</v>
      </c>
      <c r="O1848" s="71">
        <f>INDEX(DurClassMapping,MATCH(M1848,MappingTables!$D$4:$D$8,-1),1)</f>
        <v>1</v>
      </c>
      <c r="P1848" s="73">
        <f>IF(M1848=$A$1,1,$M1848-INDEX(MappingTables!$E$4:$E$8,MATCH(O1848,MappingTables!$B$4:$B$8,0)))</f>
        <v>4.8659436632295464</v>
      </c>
      <c r="Q1848" s="71">
        <f>IF(B1848="",0,INDEX(ModelParameters!$D$6:$K$10,MATCH($O1848,ModelParameters!$B$6:$B$10,0),MATCH($J1848,ModelParameters!$D$5:$K$5,0)))</f>
        <v>0.075</v>
      </c>
      <c r="R1848" s="71">
        <f>IF(B1848="",0,INDEX(ModelParameters!$D$13:$K$17,MATCH($O1848,ModelParameters!$B$13:$B$17,0),MATCH($J1848,ModelParameters!$D$5:$K$5,0)))</f>
        <v>0</v>
      </c>
      <c r="S1848" s="160">
        <f>IF(B1848="",0,MIN(IF($N1848="Other Bond TM",ModelParameters!$N$21,1)*(P1848*Q1848+R1848),1))</f>
        <v>0.36494577474221592</v>
      </c>
      <c r="T1848" s="85">
        <f>IF(B1848="",0,$S1848*$K1848)</f>
        <v>48.043854297983368</v>
      </c>
      <c r="U1848" s="85">
        <f>IF(B1848="",0,IF(OR(H1848=MappingTables!$C$34,H1848=MappingTables!$C$35),T1848,0))</f>
        <v>0</v>
      </c>
      <c r="V1848" s="85">
        <f>IF(ISNA(IF(AND(VLOOKUP(CONCATENATE($D1848,$G1848),CSRFinput!$B:$E,4,0)=0,OR(H1848=MappingTables!$C$34,H1848=MappingTables!$C$35)),1,VLOOKUP(CONCATENATE($D1848,$G1848),CSRFinput!$B:$E,4,0))),0,IF(AND(VLOOKUP(CONCATENATE($D1848,$G1848),CSRFinput!$B:$E,4,0)=0,OR(H1848=MappingTables!$C$34,H1848=MappingTables!$C$35)),1,VLOOKUP(CONCATENATE($D1848,$G1848),CSRFinput!$B:$E,4,0)))</f>
        <v>0.054776304963434752</v>
      </c>
      <c r="W1848" s="85">
        <f>IF(B1848="",0,+$T1848*$V1848)</f>
        <v>2.6316648146451624</v>
      </c>
      <c r="X1848" s="85">
        <f>IF(B1848="",0,IF(OR(H1848=MappingTables!$C$34,H1848=MappingTables!$C$35),W1848,0))</f>
        <v>0</v>
      </c>
    </row>
    <row r="1849" spans="2:24" s="0" customFormat="0" ht="15">
      <c r="B1849" s="69">
        <v>16952847</v>
      </c>
      <c r="C1849" s="70" t="s">
        <v>1813</v>
      </c>
      <c r="D1849" s="70" t="s">
        <v>1</v>
      </c>
      <c r="E1849" s="70" t="s">
        <v>1</v>
      </c>
      <c r="F1849" s="70"/>
      <c r="G1849" s="70" t="s">
        <v>61</v>
      </c>
      <c r="H1849" s="70" t="s">
        <v>178</v>
      </c>
      <c r="I1849" s="70" t="s">
        <v>181</v>
      </c>
      <c r="J1849" s="71">
        <f>IF(OR(I1849=0,I1849=""),"unrated",VLOOKUP(I1849,MappingTables!$B$19:$C$31,2,FALSE))</f>
        <v>3</v>
      </c>
      <c r="K1849" s="72">
        <v>19.01095746527372</v>
      </c>
      <c r="L1849" s="70">
        <v>0.40547805541011792</v>
      </c>
      <c r="M1849" s="71">
        <f>IF(L1849&lt;1,1,L1849)</f>
        <v>1</v>
      </c>
      <c r="N1849" s="70" t="s">
        <v>141</v>
      </c>
      <c r="O1849" s="71">
        <f>INDEX(DurClassMapping,MATCH(M1849,MappingTables!$D$4:$D$8,-1),1)</f>
        <v>1</v>
      </c>
      <c r="P1849" s="73">
        <f>IF(M1849=$A$1,1,$M1849-INDEX(MappingTables!$E$4:$E$8,MATCH(O1849,MappingTables!$B$4:$B$8,0)))</f>
        <v>1</v>
      </c>
      <c r="Q1849" s="71">
        <f>IF(B1849="",0,INDEX(ModelParameters!$D$6:$K$10,MATCH($O1849,ModelParameters!$B$6:$B$10,0),MATCH($J1849,ModelParameters!$D$5:$K$5,0)))</f>
        <v>0.025</v>
      </c>
      <c r="R1849" s="71">
        <f>IF(B1849="",0,INDEX(ModelParameters!$D$13:$K$17,MATCH($O1849,ModelParameters!$B$13:$B$17,0),MATCH($J1849,ModelParameters!$D$5:$K$5,0)))</f>
        <v>0</v>
      </c>
      <c r="S1849" s="160">
        <f>IF(B1849="",0,MIN(IF($N1849="Other Bond TM",ModelParameters!$N$21,1)*(P1849*Q1849+R1849),1))</f>
        <v>0.025</v>
      </c>
      <c r="T1849" s="85">
        <f>IF(B1849="",0,$S1849*$K1849)</f>
        <v>0.47527393663184304</v>
      </c>
      <c r="U1849" s="85">
        <f>IF(B1849="",0,IF(OR(H1849=MappingTables!$C$34,H1849=MappingTables!$C$35),T1849,0))</f>
        <v>0</v>
      </c>
      <c r="V1849" s="85">
        <f>IF(ISNA(IF(AND(VLOOKUP(CONCATENATE($D1849,$G1849),CSRFinput!$B:$E,4,0)=0,OR(H1849=MappingTables!$C$34,H1849=MappingTables!$C$35)),1,VLOOKUP(CONCATENATE($D1849,$G1849),CSRFinput!$B:$E,4,0))),0,IF(AND(VLOOKUP(CONCATENATE($D1849,$G1849),CSRFinput!$B:$E,4,0)=0,OR(H1849=MappingTables!$C$34,H1849=MappingTables!$C$35)),1,VLOOKUP(CONCATENATE($D1849,$G1849),CSRFinput!$B:$E,4,0)))</f>
        <v>0.054776304963434752</v>
      </c>
      <c r="W1849" s="85">
        <f>IF(B1849="",0,+$T1849*$V1849)</f>
        <v>0.026033750094118</v>
      </c>
      <c r="X1849" s="85">
        <f>IF(B1849="",0,IF(OR(H1849=MappingTables!$C$34,H1849=MappingTables!$C$35),W1849,0))</f>
        <v>0</v>
      </c>
    </row>
    <row r="1850" spans="2:24" s="0" customFormat="0" ht="15">
      <c r="B1850" s="69">
        <v>203287</v>
      </c>
      <c r="C1850" s="70" t="s">
        <v>2032</v>
      </c>
      <c r="D1850" s="70" t="s">
        <v>1</v>
      </c>
      <c r="E1850" s="70" t="s">
        <v>1</v>
      </c>
      <c r="F1850" s="70"/>
      <c r="G1850" s="70" t="s">
        <v>61</v>
      </c>
      <c r="H1850" s="70" t="s">
        <v>178</v>
      </c>
      <c r="I1850" s="70" t="s">
        <v>181</v>
      </c>
      <c r="J1850" s="71">
        <f>IF(OR(I1850=0,I1850=""),"unrated",VLOOKUP(I1850,MappingTables!$B$19:$C$31,2,FALSE))</f>
        <v>3</v>
      </c>
      <c r="K1850" s="72">
        <v>8616.361058158416</v>
      </c>
      <c r="L1850" s="70">
        <v>3.1168052516605044</v>
      </c>
      <c r="M1850" s="71">
        <f>IF(L1850&lt;1,1,L1850)</f>
        <v>3.1168052516605044</v>
      </c>
      <c r="N1850" s="70" t="s">
        <v>141</v>
      </c>
      <c r="O1850" s="71">
        <f>INDEX(DurClassMapping,MATCH(M1850,MappingTables!$D$4:$D$8,-1),1)</f>
        <v>1</v>
      </c>
      <c r="P1850" s="73">
        <f>IF(M1850=$A$1,1,$M1850-INDEX(MappingTables!$E$4:$E$8,MATCH(O1850,MappingTables!$B$4:$B$8,0)))</f>
        <v>3.1168052516605044</v>
      </c>
      <c r="Q1850" s="71">
        <f>IF(B1850="",0,INDEX(ModelParameters!$D$6:$K$10,MATCH($O1850,ModelParameters!$B$6:$B$10,0),MATCH($J1850,ModelParameters!$D$5:$K$5,0)))</f>
        <v>0.025</v>
      </c>
      <c r="R1850" s="71">
        <f>IF(B1850="",0,INDEX(ModelParameters!$D$13:$K$17,MATCH($O1850,ModelParameters!$B$13:$B$17,0),MATCH($J1850,ModelParameters!$D$5:$K$5,0)))</f>
        <v>0</v>
      </c>
      <c r="S1850" s="160">
        <f>IF(B1850="",0,MIN(IF($N1850="Other Bond TM",ModelParameters!$N$21,1)*(P1850*Q1850+R1850),1))</f>
        <v>0.077920131291512608</v>
      </c>
      <c r="T1850" s="85">
        <f>IF(B1850="",0,$S1850*$K1850)</f>
        <v>671.38798490678024</v>
      </c>
      <c r="U1850" s="85">
        <f>IF(B1850="",0,IF(OR(H1850=MappingTables!$C$34,H1850=MappingTables!$C$35),T1850,0))</f>
        <v>0</v>
      </c>
      <c r="V1850" s="85">
        <f>IF(ISNA(IF(AND(VLOOKUP(CONCATENATE($D1850,$G1850),CSRFinput!$B:$E,4,0)=0,OR(H1850=MappingTables!$C$34,H1850=MappingTables!$C$35)),1,VLOOKUP(CONCATENATE($D1850,$G1850),CSRFinput!$B:$E,4,0))),0,IF(AND(VLOOKUP(CONCATENATE($D1850,$G1850),CSRFinput!$B:$E,4,0)=0,OR(H1850=MappingTables!$C$34,H1850=MappingTables!$C$35)),1,VLOOKUP(CONCATENATE($D1850,$G1850),CSRFinput!$B:$E,4,0)))</f>
        <v>0.054776304963434752</v>
      </c>
      <c r="W1850" s="85">
        <f>IF(B1850="",0,+$T1850*$V1850)</f>
        <v>36.776153010039728</v>
      </c>
      <c r="X1850" s="85">
        <f>IF(B1850="",0,IF(OR(H1850=MappingTables!$C$34,H1850=MappingTables!$C$35),W1850,0))</f>
        <v>0</v>
      </c>
    </row>
    <row r="1851" spans="2:24" s="0" customFormat="0" ht="15">
      <c r="B1851" s="69">
        <v>5348488</v>
      </c>
      <c r="C1851" s="70" t="s">
        <v>2033</v>
      </c>
      <c r="D1851" s="70" t="s">
        <v>1</v>
      </c>
      <c r="E1851" s="70" t="s">
        <v>1</v>
      </c>
      <c r="F1851" s="70"/>
      <c r="G1851" s="70" t="s">
        <v>61</v>
      </c>
      <c r="H1851" s="70" t="s">
        <v>178</v>
      </c>
      <c r="I1851" s="70" t="s">
        <v>181</v>
      </c>
      <c r="J1851" s="71">
        <f>IF(OR(I1851=0,I1851=""),"unrated",VLOOKUP(I1851,MappingTables!$B$19:$C$31,2,FALSE))</f>
        <v>3</v>
      </c>
      <c r="K1851" s="72">
        <v>876.6562111177448</v>
      </c>
      <c r="L1851" s="70">
        <v>1.7348685487320094</v>
      </c>
      <c r="M1851" s="71">
        <f>IF(L1851&lt;1,1,L1851)</f>
        <v>1.7348685487320094</v>
      </c>
      <c r="N1851" s="70" t="s">
        <v>141</v>
      </c>
      <c r="O1851" s="71">
        <f>INDEX(DurClassMapping,MATCH(M1851,MappingTables!$D$4:$D$8,-1),1)</f>
        <v>1</v>
      </c>
      <c r="P1851" s="73">
        <f>IF(M1851=$A$1,1,$M1851-INDEX(MappingTables!$E$4:$E$8,MATCH(O1851,MappingTables!$B$4:$B$8,0)))</f>
        <v>1.7348685487320094</v>
      </c>
      <c r="Q1851" s="71">
        <f>IF(B1851="",0,INDEX(ModelParameters!$D$6:$K$10,MATCH($O1851,ModelParameters!$B$6:$B$10,0),MATCH($J1851,ModelParameters!$D$5:$K$5,0)))</f>
        <v>0.025</v>
      </c>
      <c r="R1851" s="71">
        <f>IF(B1851="",0,INDEX(ModelParameters!$D$13:$K$17,MATCH($O1851,ModelParameters!$B$13:$B$17,0),MATCH($J1851,ModelParameters!$D$5:$K$5,0)))</f>
        <v>0</v>
      </c>
      <c r="S1851" s="160">
        <f>IF(B1851="",0,MIN(IF($N1851="Other Bond TM",ModelParameters!$N$21,1)*(P1851*Q1851+R1851),1))</f>
        <v>0.04337171371830024</v>
      </c>
      <c r="T1851" s="85">
        <f>IF(B1851="",0,$S1851*$K1851)</f>
        <v>38.0220822179686</v>
      </c>
      <c r="U1851" s="85">
        <f>IF(B1851="",0,IF(OR(H1851=MappingTables!$C$34,H1851=MappingTables!$C$35),T1851,0))</f>
        <v>0</v>
      </c>
      <c r="V1851" s="85">
        <f>IF(ISNA(IF(AND(VLOOKUP(CONCATENATE($D1851,$G1851),CSRFinput!$B:$E,4,0)=0,OR(H1851=MappingTables!$C$34,H1851=MappingTables!$C$35)),1,VLOOKUP(CONCATENATE($D1851,$G1851),CSRFinput!$B:$E,4,0))),0,IF(AND(VLOOKUP(CONCATENATE($D1851,$G1851),CSRFinput!$B:$E,4,0)=0,OR(H1851=MappingTables!$C$34,H1851=MappingTables!$C$35)),1,VLOOKUP(CONCATENATE($D1851,$G1851),CSRFinput!$B:$E,4,0)))</f>
        <v>0.054776304963434752</v>
      </c>
      <c r="W1851" s="85">
        <f>IF(B1851="",0,+$T1851*$V1851)</f>
        <v>2.082709170916238</v>
      </c>
      <c r="X1851" s="85">
        <f>IF(B1851="",0,IF(OR(H1851=MappingTables!$C$34,H1851=MappingTables!$C$35),W1851,0))</f>
        <v>0</v>
      </c>
    </row>
    <row r="1852" spans="2:24" s="0" customFormat="0" ht="15">
      <c r="B1852" s="69">
        <v>10591784</v>
      </c>
      <c r="C1852" s="70" t="s">
        <v>517</v>
      </c>
      <c r="D1852" s="70" t="s">
        <v>1</v>
      </c>
      <c r="E1852" s="70" t="s">
        <v>1</v>
      </c>
      <c r="F1852" s="70"/>
      <c r="G1852" s="70" t="s">
        <v>61</v>
      </c>
      <c r="H1852" s="70" t="s">
        <v>178</v>
      </c>
      <c r="I1852" s="70" t="s">
        <v>181</v>
      </c>
      <c r="J1852" s="71">
        <f>IF(OR(I1852=0,I1852=""),"unrated",VLOOKUP(I1852,MappingTables!$B$19:$C$31,2,FALSE))</f>
        <v>3</v>
      </c>
      <c r="K1852" s="72">
        <v>26.09027446750204</v>
      </c>
      <c r="L1852" s="70">
        <v>0.087671566030292592</v>
      </c>
      <c r="M1852" s="71">
        <f>IF(L1852&lt;1,1,L1852)</f>
        <v>1</v>
      </c>
      <c r="N1852" s="70" t="s">
        <v>141</v>
      </c>
      <c r="O1852" s="71">
        <f>INDEX(DurClassMapping,MATCH(M1852,MappingTables!$D$4:$D$8,-1),1)</f>
        <v>1</v>
      </c>
      <c r="P1852" s="73">
        <f>IF(M1852=$A$1,1,$M1852-INDEX(MappingTables!$E$4:$E$8,MATCH(O1852,MappingTables!$B$4:$B$8,0)))</f>
        <v>1</v>
      </c>
      <c r="Q1852" s="71">
        <f>IF(B1852="",0,INDEX(ModelParameters!$D$6:$K$10,MATCH($O1852,ModelParameters!$B$6:$B$10,0),MATCH($J1852,ModelParameters!$D$5:$K$5,0)))</f>
        <v>0.025</v>
      </c>
      <c r="R1852" s="71">
        <f>IF(B1852="",0,INDEX(ModelParameters!$D$13:$K$17,MATCH($O1852,ModelParameters!$B$13:$B$17,0),MATCH($J1852,ModelParameters!$D$5:$K$5,0)))</f>
        <v>0</v>
      </c>
      <c r="S1852" s="160">
        <f>IF(B1852="",0,MIN(IF($N1852="Other Bond TM",ModelParameters!$N$21,1)*(P1852*Q1852+R1852),1))</f>
        <v>0.025</v>
      </c>
      <c r="T1852" s="85">
        <f>IF(B1852="",0,$S1852*$K1852)</f>
        <v>0.65225686168755104</v>
      </c>
      <c r="U1852" s="85">
        <f>IF(B1852="",0,IF(OR(H1852=MappingTables!$C$34,H1852=MappingTables!$C$35),T1852,0))</f>
        <v>0</v>
      </c>
      <c r="V1852" s="85">
        <f>IF(ISNA(IF(AND(VLOOKUP(CONCATENATE($D1852,$G1852),CSRFinput!$B:$E,4,0)=0,OR(H1852=MappingTables!$C$34,H1852=MappingTables!$C$35)),1,VLOOKUP(CONCATENATE($D1852,$G1852),CSRFinput!$B:$E,4,0))),0,IF(AND(VLOOKUP(CONCATENATE($D1852,$G1852),CSRFinput!$B:$E,4,0)=0,OR(H1852=MappingTables!$C$34,H1852=MappingTables!$C$35)),1,VLOOKUP(CONCATENATE($D1852,$G1852),CSRFinput!$B:$E,4,0)))</f>
        <v>0.054776304963434752</v>
      </c>
      <c r="W1852" s="85">
        <f>IF(B1852="",0,+$T1852*$V1852)</f>
        <v>0.035728220770290176</v>
      </c>
      <c r="X1852" s="85">
        <f>IF(B1852="",0,IF(OR(H1852=MappingTables!$C$34,H1852=MappingTables!$C$35),W1852,0))</f>
        <v>0</v>
      </c>
    </row>
    <row r="1853" spans="2:24" s="0" customFormat="0" ht="15">
      <c r="B1853" s="69">
        <v>16113933</v>
      </c>
      <c r="C1853" s="70" t="s">
        <v>1278</v>
      </c>
      <c r="D1853" s="70" t="s">
        <v>1</v>
      </c>
      <c r="E1853" s="70" t="s">
        <v>1</v>
      </c>
      <c r="F1853" s="70"/>
      <c r="G1853" s="70" t="s">
        <v>61</v>
      </c>
      <c r="H1853" s="70" t="s">
        <v>178</v>
      </c>
      <c r="I1853" s="70" t="s">
        <v>181</v>
      </c>
      <c r="J1853" s="71">
        <f>IF(OR(I1853=0,I1853=""),"unrated",VLOOKUP(I1853,MappingTables!$B$19:$C$31,2,FALSE))</f>
        <v>3</v>
      </c>
      <c r="K1853" s="72">
        <v>1292.8397764413926</v>
      </c>
      <c r="L1853" s="70">
        <v>0.12876773546208204</v>
      </c>
      <c r="M1853" s="71">
        <f>IF(L1853&lt;1,1,L1853)</f>
        <v>1</v>
      </c>
      <c r="N1853" s="70" t="s">
        <v>141</v>
      </c>
      <c r="O1853" s="71">
        <f>INDEX(DurClassMapping,MATCH(M1853,MappingTables!$D$4:$D$8,-1),1)</f>
        <v>1</v>
      </c>
      <c r="P1853" s="73">
        <f>IF(M1853=$A$1,1,$M1853-INDEX(MappingTables!$E$4:$E$8,MATCH(O1853,MappingTables!$B$4:$B$8,0)))</f>
        <v>1</v>
      </c>
      <c r="Q1853" s="71">
        <f>IF(B1853="",0,INDEX(ModelParameters!$D$6:$K$10,MATCH($O1853,ModelParameters!$B$6:$B$10,0),MATCH($J1853,ModelParameters!$D$5:$K$5,0)))</f>
        <v>0.025</v>
      </c>
      <c r="R1853" s="71">
        <f>IF(B1853="",0,INDEX(ModelParameters!$D$13:$K$17,MATCH($O1853,ModelParameters!$B$13:$B$17,0),MATCH($J1853,ModelParameters!$D$5:$K$5,0)))</f>
        <v>0</v>
      </c>
      <c r="S1853" s="160">
        <f>IF(B1853="",0,MIN(IF($N1853="Other Bond TM",ModelParameters!$N$21,1)*(P1853*Q1853+R1853),1))</f>
        <v>0.025</v>
      </c>
      <c r="T1853" s="85">
        <f>IF(B1853="",0,$S1853*$K1853)</f>
        <v>32.320994411034816</v>
      </c>
      <c r="U1853" s="85">
        <f>IF(B1853="",0,IF(OR(H1853=MappingTables!$C$34,H1853=MappingTables!$C$35),T1853,0))</f>
        <v>0</v>
      </c>
      <c r="V1853" s="85">
        <f>IF(ISNA(IF(AND(VLOOKUP(CONCATENATE($D1853,$G1853),CSRFinput!$B:$E,4,0)=0,OR(H1853=MappingTables!$C$34,H1853=MappingTables!$C$35)),1,VLOOKUP(CONCATENATE($D1853,$G1853),CSRFinput!$B:$E,4,0))),0,IF(AND(VLOOKUP(CONCATENATE($D1853,$G1853),CSRFinput!$B:$E,4,0)=0,OR(H1853=MappingTables!$C$34,H1853=MappingTables!$C$35)),1,VLOOKUP(CONCATENATE($D1853,$G1853),CSRFinput!$B:$E,4,0)))</f>
        <v>0.054776304963434752</v>
      </c>
      <c r="W1853" s="85">
        <f>IF(B1853="",0,+$T1853*$V1853)</f>
        <v>1.7704246465803136</v>
      </c>
      <c r="X1853" s="85">
        <f>IF(B1853="",0,IF(OR(H1853=MappingTables!$C$34,H1853=MappingTables!$C$35),W1853,0))</f>
        <v>0</v>
      </c>
    </row>
    <row r="1854" spans="2:24" s="0" customFormat="0" ht="15">
      <c r="B1854" s="69" t="s">
        <v>1893</v>
      </c>
      <c r="C1854" s="70" t="s">
        <v>1894</v>
      </c>
      <c r="D1854" s="70" t="s">
        <v>1</v>
      </c>
      <c r="E1854" s="70" t="s">
        <v>1</v>
      </c>
      <c r="F1854" s="70"/>
      <c r="G1854" s="70" t="s">
        <v>61</v>
      </c>
      <c r="H1854" s="70" t="s">
        <v>178</v>
      </c>
      <c r="I1854" s="70" t="s">
        <v>184</v>
      </c>
      <c r="J1854" s="71">
        <f>IF(OR(I1854=0,I1854=""),"unrated",VLOOKUP(I1854,MappingTables!$B$19:$C$31,2,FALSE))</f>
        <v>5</v>
      </c>
      <c r="K1854" s="72">
        <v>484.82299035317256</v>
      </c>
      <c r="L1854" s="70">
        <v>3.6150576394363272</v>
      </c>
      <c r="M1854" s="71">
        <f>IF(L1854&lt;1,1,L1854)</f>
        <v>3.6150576394363272</v>
      </c>
      <c r="N1854" s="70" t="s">
        <v>141</v>
      </c>
      <c r="O1854" s="71">
        <f>INDEX(DurClassMapping,MATCH(M1854,MappingTables!$D$4:$D$8,-1),1)</f>
        <v>1</v>
      </c>
      <c r="P1854" s="73">
        <f>IF(M1854=$A$1,1,$M1854-INDEX(MappingTables!$E$4:$E$8,MATCH(O1854,MappingTables!$B$4:$B$8,0)))</f>
        <v>3.6150576394363272</v>
      </c>
      <c r="Q1854" s="71">
        <f>IF(B1854="",0,INDEX(ModelParameters!$D$6:$K$10,MATCH($O1854,ModelParameters!$B$6:$B$10,0),MATCH($J1854,ModelParameters!$D$5:$K$5,0)))</f>
        <v>0.075</v>
      </c>
      <c r="R1854" s="71">
        <f>IF(B1854="",0,INDEX(ModelParameters!$D$13:$K$17,MATCH($O1854,ModelParameters!$B$13:$B$17,0),MATCH($J1854,ModelParameters!$D$5:$K$5,0)))</f>
        <v>0</v>
      </c>
      <c r="S1854" s="160">
        <f>IF(B1854="",0,MIN(IF($N1854="Other Bond TM",ModelParameters!$N$21,1)*(P1854*Q1854+R1854),1))</f>
        <v>0.27112932295772452</v>
      </c>
      <c r="T1854" s="85">
        <f>IF(B1854="",0,$S1854*$K1854)</f>
        <v>131.4497291287951</v>
      </c>
      <c r="U1854" s="85">
        <f>IF(B1854="",0,IF(OR(H1854=MappingTables!$C$34,H1854=MappingTables!$C$35),T1854,0))</f>
        <v>0</v>
      </c>
      <c r="V1854" s="85">
        <f>IF(ISNA(IF(AND(VLOOKUP(CONCATENATE($D1854,$G1854),CSRFinput!$B:$E,4,0)=0,OR(H1854=MappingTables!$C$34,H1854=MappingTables!$C$35)),1,VLOOKUP(CONCATENATE($D1854,$G1854),CSRFinput!$B:$E,4,0))),0,IF(AND(VLOOKUP(CONCATENATE($D1854,$G1854),CSRFinput!$B:$E,4,0)=0,OR(H1854=MappingTables!$C$34,H1854=MappingTables!$C$35)),1,VLOOKUP(CONCATENATE($D1854,$G1854),CSRFinput!$B:$E,4,0)))</f>
        <v>0.054776304963434752</v>
      </c>
      <c r="W1854" s="85">
        <f>IF(B1854="",0,+$T1854*$V1854)</f>
        <v>7.2003304501197728</v>
      </c>
      <c r="X1854" s="85">
        <f>IF(B1854="",0,IF(OR(H1854=MappingTables!$C$34,H1854=MappingTables!$C$35),W1854,0))</f>
        <v>0</v>
      </c>
    </row>
    <row r="1855" spans="2:24" s="0" customFormat="0" ht="15">
      <c r="B1855" s="69">
        <v>17633389</v>
      </c>
      <c r="C1855" s="70" t="s">
        <v>2034</v>
      </c>
      <c r="D1855" s="70" t="s">
        <v>1</v>
      </c>
      <c r="E1855" s="70" t="s">
        <v>1</v>
      </c>
      <c r="F1855" s="70"/>
      <c r="G1855" s="70" t="s">
        <v>61</v>
      </c>
      <c r="H1855" s="70" t="s">
        <v>178</v>
      </c>
      <c r="I1855" s="70" t="s">
        <v>184</v>
      </c>
      <c r="J1855" s="71">
        <f>IF(OR(I1855=0,I1855=""),"unrated",VLOOKUP(I1855,MappingTables!$B$19:$C$31,2,FALSE))</f>
        <v>5</v>
      </c>
      <c r="K1855" s="72">
        <v>50.851565046725704</v>
      </c>
      <c r="L1855" s="70">
        <v>0.087670588059603232</v>
      </c>
      <c r="M1855" s="71">
        <f>IF(L1855&lt;1,1,L1855)</f>
        <v>1</v>
      </c>
      <c r="N1855" s="70" t="s">
        <v>141</v>
      </c>
      <c r="O1855" s="71">
        <f>INDEX(DurClassMapping,MATCH(M1855,MappingTables!$D$4:$D$8,-1),1)</f>
        <v>1</v>
      </c>
      <c r="P1855" s="73">
        <f>IF(M1855=$A$1,1,$M1855-INDEX(MappingTables!$E$4:$E$8,MATCH(O1855,MappingTables!$B$4:$B$8,0)))</f>
        <v>1</v>
      </c>
      <c r="Q1855" s="71">
        <f>IF(B1855="",0,INDEX(ModelParameters!$D$6:$K$10,MATCH($O1855,ModelParameters!$B$6:$B$10,0),MATCH($J1855,ModelParameters!$D$5:$K$5,0)))</f>
        <v>0.075</v>
      </c>
      <c r="R1855" s="71">
        <f>IF(B1855="",0,INDEX(ModelParameters!$D$13:$K$17,MATCH($O1855,ModelParameters!$B$13:$B$17,0),MATCH($J1855,ModelParameters!$D$5:$K$5,0)))</f>
        <v>0</v>
      </c>
      <c r="S1855" s="160">
        <f>IF(B1855="",0,MIN(IF($N1855="Other Bond TM",ModelParameters!$N$21,1)*(P1855*Q1855+R1855),1))</f>
        <v>0.075</v>
      </c>
      <c r="T1855" s="85">
        <f>IF(B1855="",0,$S1855*$K1855)</f>
        <v>3.8138673785044272</v>
      </c>
      <c r="U1855" s="85">
        <f>IF(B1855="",0,IF(OR(H1855=MappingTables!$C$34,H1855=MappingTables!$C$35),T1855,0))</f>
        <v>0</v>
      </c>
      <c r="V1855" s="85">
        <f>IF(ISNA(IF(AND(VLOOKUP(CONCATENATE($D1855,$G1855),CSRFinput!$B:$E,4,0)=0,OR(H1855=MappingTables!$C$34,H1855=MappingTables!$C$35)),1,VLOOKUP(CONCATENATE($D1855,$G1855),CSRFinput!$B:$E,4,0))),0,IF(AND(VLOOKUP(CONCATENATE($D1855,$G1855),CSRFinput!$B:$E,4,0)=0,OR(H1855=MappingTables!$C$34,H1855=MappingTables!$C$35)),1,VLOOKUP(CONCATENATE($D1855,$G1855),CSRFinput!$B:$E,4,0)))</f>
        <v>0.054776304963434752</v>
      </c>
      <c r="W1855" s="85">
        <f>IF(B1855="",0,+$T1855*$V1855)</f>
        <v>0.20890956261505396</v>
      </c>
      <c r="X1855" s="85">
        <f>IF(B1855="",0,IF(OR(H1855=MappingTables!$C$34,H1855=MappingTables!$C$35),W1855,0))</f>
        <v>0</v>
      </c>
    </row>
    <row r="1856" spans="2:24" s="0" customFormat="0" ht="15">
      <c r="B1856" s="69" t="s">
        <v>2035</v>
      </c>
      <c r="C1856" s="70" t="s">
        <v>2036</v>
      </c>
      <c r="D1856" s="70" t="s">
        <v>1</v>
      </c>
      <c r="E1856" s="70" t="s">
        <v>1</v>
      </c>
      <c r="F1856" s="70"/>
      <c r="G1856" s="70" t="s">
        <v>61</v>
      </c>
      <c r="H1856" s="70" t="s">
        <v>178</v>
      </c>
      <c r="I1856" s="70" t="s">
        <v>188</v>
      </c>
      <c r="J1856" s="71">
        <f>IF(OR(I1856=0,I1856=""),"unrated",VLOOKUP(I1856,MappingTables!$B$19:$C$31,2,FALSE))</f>
        <v>2</v>
      </c>
      <c r="K1856" s="72">
        <v>249.92479418305972</v>
      </c>
      <c r="L1856" s="70">
        <v>4.365128358662068</v>
      </c>
      <c r="M1856" s="71">
        <f>IF(L1856&lt;1,1,L1856)</f>
        <v>4.365128358662068</v>
      </c>
      <c r="N1856" s="70" t="s">
        <v>141</v>
      </c>
      <c r="O1856" s="71">
        <f>INDEX(DurClassMapping,MATCH(M1856,MappingTables!$D$4:$D$8,-1),1)</f>
        <v>1</v>
      </c>
      <c r="P1856" s="73">
        <f>IF(M1856=$A$1,1,$M1856-INDEX(MappingTables!$E$4:$E$8,MATCH(O1856,MappingTables!$B$4:$B$8,0)))</f>
        <v>4.365128358662068</v>
      </c>
      <c r="Q1856" s="71">
        <f>IF(B1856="",0,INDEX(ModelParameters!$D$6:$K$10,MATCH($O1856,ModelParameters!$B$6:$B$10,0),MATCH($J1856,ModelParameters!$D$5:$K$5,0)))</f>
        <v>0.013999999999999998</v>
      </c>
      <c r="R1856" s="71">
        <f>IF(B1856="",0,INDEX(ModelParameters!$D$13:$K$17,MATCH($O1856,ModelParameters!$B$13:$B$17,0),MATCH($J1856,ModelParameters!$D$5:$K$5,0)))</f>
        <v>0</v>
      </c>
      <c r="S1856" s="160">
        <f>IF(B1856="",0,MIN(IF($N1856="Other Bond TM",ModelParameters!$N$21,1)*(P1856*Q1856+R1856),1))</f>
        <v>0.061111797021268952</v>
      </c>
      <c r="T1856" s="85">
        <f>IF(B1856="",0,$S1856*$K1856)</f>
        <v>15.273353292697566</v>
      </c>
      <c r="U1856" s="85">
        <f>IF(B1856="",0,IF(OR(H1856=MappingTables!$C$34,H1856=MappingTables!$C$35),T1856,0))</f>
        <v>0</v>
      </c>
      <c r="V1856" s="85">
        <f>IF(ISNA(IF(AND(VLOOKUP(CONCATENATE($D1856,$G1856),CSRFinput!$B:$E,4,0)=0,OR(H1856=MappingTables!$C$34,H1856=MappingTables!$C$35)),1,VLOOKUP(CONCATENATE($D1856,$G1856),CSRFinput!$B:$E,4,0))),0,IF(AND(VLOOKUP(CONCATENATE($D1856,$G1856),CSRFinput!$B:$E,4,0)=0,OR(H1856=MappingTables!$C$34,H1856=MappingTables!$C$35)),1,VLOOKUP(CONCATENATE($D1856,$G1856),CSRFinput!$B:$E,4,0)))</f>
        <v>0.054776304963434752</v>
      </c>
      <c r="W1856" s="85">
        <f>IF(B1856="",0,+$T1856*$V1856)</f>
        <v>0.83661785777508224</v>
      </c>
      <c r="X1856" s="85">
        <f>IF(B1856="",0,IF(OR(H1856=MappingTables!$C$34,H1856=MappingTables!$C$35),W1856,0))</f>
        <v>0</v>
      </c>
    </row>
    <row r="1857" spans="2:24" s="0" customFormat="0" ht="15">
      <c r="B1857" s="69">
        <v>20903489</v>
      </c>
      <c r="C1857" s="70" t="s">
        <v>2037</v>
      </c>
      <c r="D1857" s="70" t="s">
        <v>1</v>
      </c>
      <c r="E1857" s="70" t="s">
        <v>1</v>
      </c>
      <c r="F1857" s="70"/>
      <c r="G1857" s="70" t="s">
        <v>61</v>
      </c>
      <c r="H1857" s="70" t="s">
        <v>178</v>
      </c>
      <c r="I1857" s="70" t="s">
        <v>179</v>
      </c>
      <c r="J1857" s="71">
        <f>IF(OR(I1857=0,I1857=""),"unrated",VLOOKUP(I1857,MappingTables!$B$19:$C$31,2,FALSE))</f>
        <v>4</v>
      </c>
      <c r="K1857" s="72">
        <v>19472.889234475104</v>
      </c>
      <c r="L1857" s="70">
        <v>1.6699871322861522</v>
      </c>
      <c r="M1857" s="71">
        <f>IF(L1857&lt;1,1,L1857)</f>
        <v>1.6699871322861522</v>
      </c>
      <c r="N1857" s="70" t="s">
        <v>141</v>
      </c>
      <c r="O1857" s="71">
        <f>INDEX(DurClassMapping,MATCH(M1857,MappingTables!$D$4:$D$8,-1),1)</f>
        <v>1</v>
      </c>
      <c r="P1857" s="73">
        <f>IF(M1857=$A$1,1,$M1857-INDEX(MappingTables!$E$4:$E$8,MATCH(O1857,MappingTables!$B$4:$B$8,0)))</f>
        <v>1.6699871322861522</v>
      </c>
      <c r="Q1857" s="71">
        <f>IF(B1857="",0,INDEX(ModelParameters!$D$6:$K$10,MATCH($O1857,ModelParameters!$B$6:$B$10,0),MATCH($J1857,ModelParameters!$D$5:$K$5,0)))</f>
        <v>0.045</v>
      </c>
      <c r="R1857" s="71">
        <f>IF(B1857="",0,INDEX(ModelParameters!$D$13:$K$17,MATCH($O1857,ModelParameters!$B$13:$B$17,0),MATCH($J1857,ModelParameters!$D$5:$K$5,0)))</f>
        <v>0</v>
      </c>
      <c r="S1857" s="160">
        <f>IF(B1857="",0,MIN(IF($N1857="Other Bond TM",ModelParameters!$N$21,1)*(P1857*Q1857+R1857),1))</f>
        <v>0.075149420952876848</v>
      </c>
      <c r="T1857" s="85">
        <f>IF(B1857="",0,$S1857*$K1857)</f>
        <v>1463.3763502503132</v>
      </c>
      <c r="U1857" s="85">
        <f>IF(B1857="",0,IF(OR(H1857=MappingTables!$C$34,H1857=MappingTables!$C$35),T1857,0))</f>
        <v>0</v>
      </c>
      <c r="V1857" s="85">
        <f>IF(ISNA(IF(AND(VLOOKUP(CONCATENATE($D1857,$G1857),CSRFinput!$B:$E,4,0)=0,OR(H1857=MappingTables!$C$34,H1857=MappingTables!$C$35)),1,VLOOKUP(CONCATENATE($D1857,$G1857),CSRFinput!$B:$E,4,0))),0,IF(AND(VLOOKUP(CONCATENATE($D1857,$G1857),CSRFinput!$B:$E,4,0)=0,OR(H1857=MappingTables!$C$34,H1857=MappingTables!$C$35)),1,VLOOKUP(CONCATENATE($D1857,$G1857),CSRFinput!$B:$E,4,0)))</f>
        <v>0.054776304963434752</v>
      </c>
      <c r="W1857" s="85">
        <f>IF(B1857="",0,+$T1857*$V1857)</f>
        <v>80.158349237589264</v>
      </c>
      <c r="X1857" s="85">
        <f>IF(B1857="",0,IF(OR(H1857=MappingTables!$C$34,H1857=MappingTables!$C$35),W1857,0))</f>
        <v>0</v>
      </c>
    </row>
    <row r="1858" spans="2:24" s="0" customFormat="0" ht="15">
      <c r="B1858" s="69">
        <v>9870815</v>
      </c>
      <c r="C1858" s="70" t="s">
        <v>2038</v>
      </c>
      <c r="D1858" s="70" t="s">
        <v>1</v>
      </c>
      <c r="E1858" s="70" t="s">
        <v>1</v>
      </c>
      <c r="F1858" s="70"/>
      <c r="G1858" s="70" t="s">
        <v>61</v>
      </c>
      <c r="H1858" s="70" t="s">
        <v>178</v>
      </c>
      <c r="I1858" s="70" t="s">
        <v>179</v>
      </c>
      <c r="J1858" s="71">
        <f>IF(OR(I1858=0,I1858=""),"unrated",VLOOKUP(I1858,MappingTables!$B$19:$C$31,2,FALSE))</f>
        <v>4</v>
      </c>
      <c r="K1858" s="72">
        <v>2482.1316833271132</v>
      </c>
      <c r="L1858" s="70">
        <v>3.8161152321650536</v>
      </c>
      <c r="M1858" s="71">
        <f>IF(L1858&lt;1,1,L1858)</f>
        <v>3.8161152321650536</v>
      </c>
      <c r="N1858" s="70" t="s">
        <v>141</v>
      </c>
      <c r="O1858" s="71">
        <f>INDEX(DurClassMapping,MATCH(M1858,MappingTables!$D$4:$D$8,-1),1)</f>
        <v>1</v>
      </c>
      <c r="P1858" s="73">
        <f>IF(M1858=$A$1,1,$M1858-INDEX(MappingTables!$E$4:$E$8,MATCH(O1858,MappingTables!$B$4:$B$8,0)))</f>
        <v>3.8161152321650536</v>
      </c>
      <c r="Q1858" s="71">
        <f>IF(B1858="",0,INDEX(ModelParameters!$D$6:$K$10,MATCH($O1858,ModelParameters!$B$6:$B$10,0),MATCH($J1858,ModelParameters!$D$5:$K$5,0)))</f>
        <v>0.045</v>
      </c>
      <c r="R1858" s="71">
        <f>IF(B1858="",0,INDEX(ModelParameters!$D$13:$K$17,MATCH($O1858,ModelParameters!$B$13:$B$17,0),MATCH($J1858,ModelParameters!$D$5:$K$5,0)))</f>
        <v>0</v>
      </c>
      <c r="S1858" s="160">
        <f>IF(B1858="",0,MIN(IF($N1858="Other Bond TM",ModelParameters!$N$21,1)*(P1858*Q1858+R1858),1))</f>
        <v>0.1717251854474274</v>
      </c>
      <c r="T1858" s="85">
        <f>IF(B1858="",0,$S1858*$K1858)</f>
        <v>426.24452362428368</v>
      </c>
      <c r="U1858" s="85">
        <f>IF(B1858="",0,IF(OR(H1858=MappingTables!$C$34,H1858=MappingTables!$C$35),T1858,0))</f>
        <v>0</v>
      </c>
      <c r="V1858" s="85">
        <f>IF(ISNA(IF(AND(VLOOKUP(CONCATENATE($D1858,$G1858),CSRFinput!$B:$E,4,0)=0,OR(H1858=MappingTables!$C$34,H1858=MappingTables!$C$35)),1,VLOOKUP(CONCATENATE($D1858,$G1858),CSRFinput!$B:$E,4,0))),0,IF(AND(VLOOKUP(CONCATENATE($D1858,$G1858),CSRFinput!$B:$E,4,0)=0,OR(H1858=MappingTables!$C$34,H1858=MappingTables!$C$35)),1,VLOOKUP(CONCATENATE($D1858,$G1858),CSRFinput!$B:$E,4,0)))</f>
        <v>0.054776304963434752</v>
      </c>
      <c r="W1858" s="85">
        <f>IF(B1858="",0,+$T1858*$V1858)</f>
        <v>23.348100015037728</v>
      </c>
      <c r="X1858" s="85">
        <f>IF(B1858="",0,IF(OR(H1858=MappingTables!$C$34,H1858=MappingTables!$C$35),W1858,0))</f>
        <v>0</v>
      </c>
    </row>
    <row r="1859" spans="2:24" s="0" customFormat="0" ht="15">
      <c r="B1859" s="69" t="s">
        <v>2039</v>
      </c>
      <c r="C1859" s="70" t="s">
        <v>2040</v>
      </c>
      <c r="D1859" s="70" t="s">
        <v>1</v>
      </c>
      <c r="E1859" s="70" t="s">
        <v>1</v>
      </c>
      <c r="F1859" s="70"/>
      <c r="G1859" s="70" t="s">
        <v>61</v>
      </c>
      <c r="H1859" s="70" t="s">
        <v>178</v>
      </c>
      <c r="I1859" s="70" t="s">
        <v>188</v>
      </c>
      <c r="J1859" s="71">
        <f>IF(OR(I1859=0,I1859=""),"unrated",VLOOKUP(I1859,MappingTables!$B$19:$C$31,2,FALSE))</f>
        <v>2</v>
      </c>
      <c r="K1859" s="72">
        <v>0.26622567309531596</v>
      </c>
      <c r="L1859" s="70">
        <v>1.3529837528315828</v>
      </c>
      <c r="M1859" s="71">
        <f>IF(L1859&lt;1,1,L1859)</f>
        <v>1.3529837528315828</v>
      </c>
      <c r="N1859" s="70" t="s">
        <v>141</v>
      </c>
      <c r="O1859" s="71">
        <f>INDEX(DurClassMapping,MATCH(M1859,MappingTables!$D$4:$D$8,-1),1)</f>
        <v>1</v>
      </c>
      <c r="P1859" s="73">
        <f>IF(M1859=$A$1,1,$M1859-INDEX(MappingTables!$E$4:$E$8,MATCH(O1859,MappingTables!$B$4:$B$8,0)))</f>
        <v>1.3529837528315828</v>
      </c>
      <c r="Q1859" s="71">
        <f>IF(B1859="",0,INDEX(ModelParameters!$D$6:$K$10,MATCH($O1859,ModelParameters!$B$6:$B$10,0),MATCH($J1859,ModelParameters!$D$5:$K$5,0)))</f>
        <v>0.013999999999999998</v>
      </c>
      <c r="R1859" s="71">
        <f>IF(B1859="",0,INDEX(ModelParameters!$D$13:$K$17,MATCH($O1859,ModelParameters!$B$13:$B$17,0),MATCH($J1859,ModelParameters!$D$5:$K$5,0)))</f>
        <v>0</v>
      </c>
      <c r="S1859" s="160">
        <f>IF(B1859="",0,MIN(IF($N1859="Other Bond TM",ModelParameters!$N$21,1)*(P1859*Q1859+R1859),1))</f>
        <v>0.01894177253964216</v>
      </c>
      <c r="T1859" s="85">
        <f>IF(B1859="",0,$S1859*$K1859)</f>
        <v>0.0050427861439846072</v>
      </c>
      <c r="U1859" s="85">
        <f>IF(B1859="",0,IF(OR(H1859=MappingTables!$C$34,H1859=MappingTables!$C$35),T1859,0))</f>
        <v>0</v>
      </c>
      <c r="V1859" s="85">
        <f>IF(ISNA(IF(AND(VLOOKUP(CONCATENATE($D1859,$G1859),CSRFinput!$B:$E,4,0)=0,OR(H1859=MappingTables!$C$34,H1859=MappingTables!$C$35)),1,VLOOKUP(CONCATENATE($D1859,$G1859),CSRFinput!$B:$E,4,0))),0,IF(AND(VLOOKUP(CONCATENATE($D1859,$G1859),CSRFinput!$B:$E,4,0)=0,OR(H1859=MappingTables!$C$34,H1859=MappingTables!$C$35)),1,VLOOKUP(CONCATENATE($D1859,$G1859),CSRFinput!$B:$E,4,0)))</f>
        <v>0.054776304963434752</v>
      </c>
      <c r="W1859" s="85">
        <f>IF(B1859="",0,+$T1859*$V1859)</f>
        <v>0.000276225191688284</v>
      </c>
      <c r="X1859" s="85">
        <f>IF(B1859="",0,IF(OR(H1859=MappingTables!$C$34,H1859=MappingTables!$C$35),W1859,0))</f>
        <v>0</v>
      </c>
    </row>
    <row r="1860" spans="2:24" s="0" customFormat="0" ht="15">
      <c r="B1860" s="69">
        <v>18126165</v>
      </c>
      <c r="C1860" s="70" t="s">
        <v>1254</v>
      </c>
      <c r="D1860" s="70" t="s">
        <v>1</v>
      </c>
      <c r="E1860" s="70" t="s">
        <v>1</v>
      </c>
      <c r="F1860" s="70"/>
      <c r="G1860" s="70" t="s">
        <v>61</v>
      </c>
      <c r="H1860" s="70" t="s">
        <v>178</v>
      </c>
      <c r="I1860" s="70" t="s">
        <v>188</v>
      </c>
      <c r="J1860" s="71">
        <f>IF(OR(I1860=0,I1860=""),"unrated",VLOOKUP(I1860,MappingTables!$B$19:$C$31,2,FALSE))</f>
        <v>2</v>
      </c>
      <c r="K1860" s="72">
        <v>887.25445684870704</v>
      </c>
      <c r="L1860" s="70">
        <v>0.78829234059277024</v>
      </c>
      <c r="M1860" s="71">
        <f>IF(L1860&lt;1,1,L1860)</f>
        <v>1</v>
      </c>
      <c r="N1860" s="70" t="s">
        <v>141</v>
      </c>
      <c r="O1860" s="71">
        <f>INDEX(DurClassMapping,MATCH(M1860,MappingTables!$D$4:$D$8,-1),1)</f>
        <v>1</v>
      </c>
      <c r="P1860" s="73">
        <f>IF(M1860=$A$1,1,$M1860-INDEX(MappingTables!$E$4:$E$8,MATCH(O1860,MappingTables!$B$4:$B$8,0)))</f>
        <v>1</v>
      </c>
      <c r="Q1860" s="71">
        <f>IF(B1860="",0,INDEX(ModelParameters!$D$6:$K$10,MATCH($O1860,ModelParameters!$B$6:$B$10,0),MATCH($J1860,ModelParameters!$D$5:$K$5,0)))</f>
        <v>0.013999999999999998</v>
      </c>
      <c r="R1860" s="71">
        <f>IF(B1860="",0,INDEX(ModelParameters!$D$13:$K$17,MATCH($O1860,ModelParameters!$B$13:$B$17,0),MATCH($J1860,ModelParameters!$D$5:$K$5,0)))</f>
        <v>0</v>
      </c>
      <c r="S1860" s="160">
        <f>IF(B1860="",0,MIN(IF($N1860="Other Bond TM",ModelParameters!$N$21,1)*(P1860*Q1860+R1860),1))</f>
        <v>0.013999999999999998</v>
      </c>
      <c r="T1860" s="85">
        <f>IF(B1860="",0,$S1860*$K1860)</f>
        <v>12.421562395881898</v>
      </c>
      <c r="U1860" s="85">
        <f>IF(B1860="",0,IF(OR(H1860=MappingTables!$C$34,H1860=MappingTables!$C$35),T1860,0))</f>
        <v>0</v>
      </c>
      <c r="V1860" s="85">
        <f>IF(ISNA(IF(AND(VLOOKUP(CONCATENATE($D1860,$G1860),CSRFinput!$B:$E,4,0)=0,OR(H1860=MappingTables!$C$34,H1860=MappingTables!$C$35)),1,VLOOKUP(CONCATENATE($D1860,$G1860),CSRFinput!$B:$E,4,0))),0,IF(AND(VLOOKUP(CONCATENATE($D1860,$G1860),CSRFinput!$B:$E,4,0)=0,OR(H1860=MappingTables!$C$34,H1860=MappingTables!$C$35)),1,VLOOKUP(CONCATENATE($D1860,$G1860),CSRFinput!$B:$E,4,0)))</f>
        <v>0.054776304963434752</v>
      </c>
      <c r="W1860" s="85">
        <f>IF(B1860="",0,+$T1860*$V1860)</f>
        <v>0.68040728991916008</v>
      </c>
      <c r="X1860" s="85">
        <f>IF(B1860="",0,IF(OR(H1860=MappingTables!$C$34,H1860=MappingTables!$C$35),W1860,0))</f>
        <v>0</v>
      </c>
    </row>
    <row r="1861" spans="2:24" s="0" customFormat="0" ht="15">
      <c r="B1861" s="69">
        <v>20541270</v>
      </c>
      <c r="C1861" s="70" t="s">
        <v>2041</v>
      </c>
      <c r="D1861" s="70" t="s">
        <v>1</v>
      </c>
      <c r="E1861" s="70" t="s">
        <v>1</v>
      </c>
      <c r="F1861" s="70"/>
      <c r="G1861" s="70" t="s">
        <v>61</v>
      </c>
      <c r="H1861" s="70" t="s">
        <v>178</v>
      </c>
      <c r="I1861" s="70" t="s">
        <v>181</v>
      </c>
      <c r="J1861" s="71">
        <f>IF(OR(I1861=0,I1861=""),"unrated",VLOOKUP(I1861,MappingTables!$B$19:$C$31,2,FALSE))</f>
        <v>3</v>
      </c>
      <c r="K1861" s="72">
        <v>19273.138765685208</v>
      </c>
      <c r="L1861" s="70">
        <v>3.197410481228966</v>
      </c>
      <c r="M1861" s="71">
        <f>IF(L1861&lt;1,1,L1861)</f>
        <v>3.197410481228966</v>
      </c>
      <c r="N1861" s="70" t="s">
        <v>141</v>
      </c>
      <c r="O1861" s="71">
        <f>INDEX(DurClassMapping,MATCH(M1861,MappingTables!$D$4:$D$8,-1),1)</f>
        <v>1</v>
      </c>
      <c r="P1861" s="73">
        <f>IF(M1861=$A$1,1,$M1861-INDEX(MappingTables!$E$4:$E$8,MATCH(O1861,MappingTables!$B$4:$B$8,0)))</f>
        <v>3.197410481228966</v>
      </c>
      <c r="Q1861" s="71">
        <f>IF(B1861="",0,INDEX(ModelParameters!$D$6:$K$10,MATCH($O1861,ModelParameters!$B$6:$B$10,0),MATCH($J1861,ModelParameters!$D$5:$K$5,0)))</f>
        <v>0.025</v>
      </c>
      <c r="R1861" s="71">
        <f>IF(B1861="",0,INDEX(ModelParameters!$D$13:$K$17,MATCH($O1861,ModelParameters!$B$13:$B$17,0),MATCH($J1861,ModelParameters!$D$5:$K$5,0)))</f>
        <v>0</v>
      </c>
      <c r="S1861" s="160">
        <f>IF(B1861="",0,MIN(IF($N1861="Other Bond TM",ModelParameters!$N$21,1)*(P1861*Q1861+R1861),1))</f>
        <v>0.07993526203072416</v>
      </c>
      <c r="T1861" s="85">
        <f>IF(B1861="",0,$S1861*$K1861)</f>
        <v>1540.6033973895546</v>
      </c>
      <c r="U1861" s="85">
        <f>IF(B1861="",0,IF(OR(H1861=MappingTables!$C$34,H1861=MappingTables!$C$35),T1861,0))</f>
        <v>0</v>
      </c>
      <c r="V1861" s="85">
        <f>IF(ISNA(IF(AND(VLOOKUP(CONCATENATE($D1861,$G1861),CSRFinput!$B:$E,4,0)=0,OR(H1861=MappingTables!$C$34,H1861=MappingTables!$C$35)),1,VLOOKUP(CONCATENATE($D1861,$G1861),CSRFinput!$B:$E,4,0))),0,IF(AND(VLOOKUP(CONCATENATE($D1861,$G1861),CSRFinput!$B:$E,4,0)=0,OR(H1861=MappingTables!$C$34,H1861=MappingTables!$C$35)),1,VLOOKUP(CONCATENATE($D1861,$G1861),CSRFinput!$B:$E,4,0)))</f>
        <v>0.054776304963434752</v>
      </c>
      <c r="W1861" s="85">
        <f>IF(B1861="",0,+$T1861*$V1861)</f>
        <v>84.388561523113904</v>
      </c>
      <c r="X1861" s="85">
        <f>IF(B1861="",0,IF(OR(H1861=MappingTables!$C$34,H1861=MappingTables!$C$35),W1861,0))</f>
        <v>0</v>
      </c>
    </row>
    <row r="1862" spans="2:24" s="0" customFormat="0" ht="15">
      <c r="B1862" s="69">
        <v>8439558</v>
      </c>
      <c r="C1862" s="70" t="s">
        <v>2042</v>
      </c>
      <c r="D1862" s="70" t="s">
        <v>1</v>
      </c>
      <c r="E1862" s="70" t="s">
        <v>1</v>
      </c>
      <c r="F1862" s="70"/>
      <c r="G1862" s="70" t="s">
        <v>61</v>
      </c>
      <c r="H1862" s="70" t="s">
        <v>178</v>
      </c>
      <c r="I1862" s="70" t="s">
        <v>181</v>
      </c>
      <c r="J1862" s="71">
        <f>IF(OR(I1862=0,I1862=""),"unrated",VLOOKUP(I1862,MappingTables!$B$19:$C$31,2,FALSE))</f>
        <v>3</v>
      </c>
      <c r="K1862" s="72">
        <v>21.211176392704408</v>
      </c>
      <c r="L1862" s="70">
        <v>0.33972458946441076</v>
      </c>
      <c r="M1862" s="71">
        <f>IF(L1862&lt;1,1,L1862)</f>
        <v>1</v>
      </c>
      <c r="N1862" s="70" t="s">
        <v>141</v>
      </c>
      <c r="O1862" s="71">
        <f>INDEX(DurClassMapping,MATCH(M1862,MappingTables!$D$4:$D$8,-1),1)</f>
        <v>1</v>
      </c>
      <c r="P1862" s="73">
        <f>IF(M1862=$A$1,1,$M1862-INDEX(MappingTables!$E$4:$E$8,MATCH(O1862,MappingTables!$B$4:$B$8,0)))</f>
        <v>1</v>
      </c>
      <c r="Q1862" s="71">
        <f>IF(B1862="",0,INDEX(ModelParameters!$D$6:$K$10,MATCH($O1862,ModelParameters!$B$6:$B$10,0),MATCH($J1862,ModelParameters!$D$5:$K$5,0)))</f>
        <v>0.025</v>
      </c>
      <c r="R1862" s="71">
        <f>IF(B1862="",0,INDEX(ModelParameters!$D$13:$K$17,MATCH($O1862,ModelParameters!$B$13:$B$17,0),MATCH($J1862,ModelParameters!$D$5:$K$5,0)))</f>
        <v>0</v>
      </c>
      <c r="S1862" s="160">
        <f>IF(B1862="",0,MIN(IF($N1862="Other Bond TM",ModelParameters!$N$21,1)*(P1862*Q1862+R1862),1))</f>
        <v>0.025</v>
      </c>
      <c r="T1862" s="85">
        <f>IF(B1862="",0,$S1862*$K1862)</f>
        <v>0.53027940981761024</v>
      </c>
      <c r="U1862" s="85">
        <f>IF(B1862="",0,IF(OR(H1862=MappingTables!$C$34,H1862=MappingTables!$C$35),T1862,0))</f>
        <v>0</v>
      </c>
      <c r="V1862" s="85">
        <f>IF(ISNA(IF(AND(VLOOKUP(CONCATENATE($D1862,$G1862),CSRFinput!$B:$E,4,0)=0,OR(H1862=MappingTables!$C$34,H1862=MappingTables!$C$35)),1,VLOOKUP(CONCATENATE($D1862,$G1862),CSRFinput!$B:$E,4,0))),0,IF(AND(VLOOKUP(CONCATENATE($D1862,$G1862),CSRFinput!$B:$E,4,0)=0,OR(H1862=MappingTables!$C$34,H1862=MappingTables!$C$35)),1,VLOOKUP(CONCATENATE($D1862,$G1862),CSRFinput!$B:$E,4,0)))</f>
        <v>0.054776304963434752</v>
      </c>
      <c r="W1862" s="85">
        <f>IF(B1862="",0,+$T1862*$V1862)</f>
        <v>0.029046746667999616</v>
      </c>
      <c r="X1862" s="85">
        <f>IF(B1862="",0,IF(OR(H1862=MappingTables!$C$34,H1862=MappingTables!$C$35),W1862,0))</f>
        <v>0</v>
      </c>
    </row>
    <row r="1863" spans="2:24" s="0" customFormat="0" ht="15">
      <c r="B1863" s="69">
        <v>12754691</v>
      </c>
      <c r="C1863" s="70" t="s">
        <v>1934</v>
      </c>
      <c r="D1863" s="70" t="s">
        <v>1</v>
      </c>
      <c r="E1863" s="70" t="s">
        <v>1</v>
      </c>
      <c r="F1863" s="70"/>
      <c r="G1863" s="70" t="s">
        <v>61</v>
      </c>
      <c r="H1863" s="70" t="s">
        <v>178</v>
      </c>
      <c r="I1863" s="70" t="s">
        <v>181</v>
      </c>
      <c r="J1863" s="71">
        <f>IF(OR(I1863=0,I1863=""),"unrated",VLOOKUP(I1863,MappingTables!$B$19:$C$31,2,FALSE))</f>
        <v>3</v>
      </c>
      <c r="K1863" s="72">
        <v>389.77617234260352</v>
      </c>
      <c r="L1863" s="70">
        <v>0.77709098239383696</v>
      </c>
      <c r="M1863" s="71">
        <f>IF(L1863&lt;1,1,L1863)</f>
        <v>1</v>
      </c>
      <c r="N1863" s="70" t="s">
        <v>141</v>
      </c>
      <c r="O1863" s="71">
        <f>INDEX(DurClassMapping,MATCH(M1863,MappingTables!$D$4:$D$8,-1),1)</f>
        <v>1</v>
      </c>
      <c r="P1863" s="73">
        <f>IF(M1863=$A$1,1,$M1863-INDEX(MappingTables!$E$4:$E$8,MATCH(O1863,MappingTables!$B$4:$B$8,0)))</f>
        <v>1</v>
      </c>
      <c r="Q1863" s="71">
        <f>IF(B1863="",0,INDEX(ModelParameters!$D$6:$K$10,MATCH($O1863,ModelParameters!$B$6:$B$10,0),MATCH($J1863,ModelParameters!$D$5:$K$5,0)))</f>
        <v>0.025</v>
      </c>
      <c r="R1863" s="71">
        <f>IF(B1863="",0,INDEX(ModelParameters!$D$13:$K$17,MATCH($O1863,ModelParameters!$B$13:$B$17,0),MATCH($J1863,ModelParameters!$D$5:$K$5,0)))</f>
        <v>0</v>
      </c>
      <c r="S1863" s="160">
        <f>IF(B1863="",0,MIN(IF($N1863="Other Bond TM",ModelParameters!$N$21,1)*(P1863*Q1863+R1863),1))</f>
        <v>0.025</v>
      </c>
      <c r="T1863" s="85">
        <f>IF(B1863="",0,$S1863*$K1863)</f>
        <v>9.7444043085650896</v>
      </c>
      <c r="U1863" s="85">
        <f>IF(B1863="",0,IF(OR(H1863=MappingTables!$C$34,H1863=MappingTables!$C$35),T1863,0))</f>
        <v>0</v>
      </c>
      <c r="V1863" s="85">
        <f>IF(ISNA(IF(AND(VLOOKUP(CONCATENATE($D1863,$G1863),CSRFinput!$B:$E,4,0)=0,OR(H1863=MappingTables!$C$34,H1863=MappingTables!$C$35)),1,VLOOKUP(CONCATENATE($D1863,$G1863),CSRFinput!$B:$E,4,0))),0,IF(AND(VLOOKUP(CONCATENATE($D1863,$G1863),CSRFinput!$B:$E,4,0)=0,OR(H1863=MappingTables!$C$34,H1863=MappingTables!$C$35)),1,VLOOKUP(CONCATENATE($D1863,$G1863),CSRFinput!$B:$E,4,0)))</f>
        <v>0.054776304963434752</v>
      </c>
      <c r="W1863" s="85">
        <f>IF(B1863="",0,+$T1863*$V1863)</f>
        <v>0.53376246209296888</v>
      </c>
      <c r="X1863" s="85">
        <f>IF(B1863="",0,IF(OR(H1863=MappingTables!$C$34,H1863=MappingTables!$C$35),W1863,0))</f>
        <v>0</v>
      </c>
    </row>
    <row r="1864" spans="2:24" s="0" customFormat="0" ht="15">
      <c r="B1864" s="69">
        <v>478090</v>
      </c>
      <c r="C1864" s="70" t="s">
        <v>1489</v>
      </c>
      <c r="D1864" s="70" t="s">
        <v>1</v>
      </c>
      <c r="E1864" s="70" t="s">
        <v>1</v>
      </c>
      <c r="F1864" s="70"/>
      <c r="G1864" s="70" t="s">
        <v>61</v>
      </c>
      <c r="H1864" s="70" t="s">
        <v>178</v>
      </c>
      <c r="I1864" s="70" t="s">
        <v>181</v>
      </c>
      <c r="J1864" s="71">
        <f>IF(OR(I1864=0,I1864=""),"unrated",VLOOKUP(I1864,MappingTables!$B$19:$C$31,2,FALSE))</f>
        <v>3</v>
      </c>
      <c r="K1864" s="72">
        <v>2510.8257382328552</v>
      </c>
      <c r="L1864" s="70">
        <v>7.7017690279974592</v>
      </c>
      <c r="M1864" s="71">
        <f>IF(L1864&lt;1,1,L1864)</f>
        <v>7.7017690279974592</v>
      </c>
      <c r="N1864" s="70" t="s">
        <v>141</v>
      </c>
      <c r="O1864" s="71">
        <f>INDEX(DurClassMapping,MATCH(M1864,MappingTables!$D$4:$D$8,-1),1)</f>
        <v>2</v>
      </c>
      <c r="P1864" s="73">
        <f>IF(M1864=$A$1,1,$M1864-INDEX(MappingTables!$E$4:$E$8,MATCH(O1864,MappingTables!$B$4:$B$8,0)))</f>
        <v>2.7017690279974592</v>
      </c>
      <c r="Q1864" s="71">
        <f>IF(B1864="",0,INDEX(ModelParameters!$D$6:$K$10,MATCH($O1864,ModelParameters!$B$6:$B$10,0),MATCH($J1864,ModelParameters!$D$5:$K$5,0)))</f>
        <v>0.015</v>
      </c>
      <c r="R1864" s="71">
        <f>IF(B1864="",0,INDEX(ModelParameters!$D$13:$K$17,MATCH($O1864,ModelParameters!$B$13:$B$17,0),MATCH($J1864,ModelParameters!$D$5:$K$5,0)))</f>
        <v>0.125</v>
      </c>
      <c r="S1864" s="160">
        <f>IF(B1864="",0,MIN(IF($N1864="Other Bond TM",ModelParameters!$N$21,1)*(P1864*Q1864+R1864),1))</f>
        <v>0.16552653541996188</v>
      </c>
      <c r="T1864" s="85">
        <f>IF(B1864="",0,$S1864*$K1864)</f>
        <v>415.60828549295264</v>
      </c>
      <c r="U1864" s="85">
        <f>IF(B1864="",0,IF(OR(H1864=MappingTables!$C$34,H1864=MappingTables!$C$35),T1864,0))</f>
        <v>0</v>
      </c>
      <c r="V1864" s="85">
        <f>IF(ISNA(IF(AND(VLOOKUP(CONCATENATE($D1864,$G1864),CSRFinput!$B:$E,4,0)=0,OR(H1864=MappingTables!$C$34,H1864=MappingTables!$C$35)),1,VLOOKUP(CONCATENATE($D1864,$G1864),CSRFinput!$B:$E,4,0))),0,IF(AND(VLOOKUP(CONCATENATE($D1864,$G1864),CSRFinput!$B:$E,4,0)=0,OR(H1864=MappingTables!$C$34,H1864=MappingTables!$C$35)),1,VLOOKUP(CONCATENATE($D1864,$G1864),CSRFinput!$B:$E,4,0)))</f>
        <v>0.054776304963434752</v>
      </c>
      <c r="W1864" s="85">
        <f>IF(B1864="",0,+$T1864*$V1864)</f>
        <v>22.765486191492228</v>
      </c>
      <c r="X1864" s="85">
        <f>IF(B1864="",0,IF(OR(H1864=MappingTables!$C$34,H1864=MappingTables!$C$35),W1864,0))</f>
        <v>0</v>
      </c>
    </row>
    <row r="1865" spans="2:24" s="0" customFormat="0" ht="15">
      <c r="B1865" s="69">
        <v>11798507</v>
      </c>
      <c r="C1865" s="70" t="s">
        <v>2043</v>
      </c>
      <c r="D1865" s="70" t="s">
        <v>1</v>
      </c>
      <c r="E1865" s="70" t="s">
        <v>1</v>
      </c>
      <c r="F1865" s="70"/>
      <c r="G1865" s="70" t="s">
        <v>61</v>
      </c>
      <c r="H1865" s="70" t="s">
        <v>178</v>
      </c>
      <c r="I1865" s="70" t="s">
        <v>181</v>
      </c>
      <c r="J1865" s="71">
        <f>IF(OR(I1865=0,I1865=""),"unrated",VLOOKUP(I1865,MappingTables!$B$19:$C$31,2,FALSE))</f>
        <v>3</v>
      </c>
      <c r="K1865" s="72">
        <v>6351.9610657434176</v>
      </c>
      <c r="L1865" s="70">
        <v>5.2204847141873912</v>
      </c>
      <c r="M1865" s="71">
        <f>IF(L1865&lt;1,1,L1865)</f>
        <v>5.2204847141873912</v>
      </c>
      <c r="N1865" s="70" t="s">
        <v>141</v>
      </c>
      <c r="O1865" s="71">
        <f>INDEX(DurClassMapping,MATCH(M1865,MappingTables!$D$4:$D$8,-1),1)</f>
        <v>2</v>
      </c>
      <c r="P1865" s="73">
        <f>IF(M1865=$A$1,1,$M1865-INDEX(MappingTables!$E$4:$E$8,MATCH(O1865,MappingTables!$B$4:$B$8,0)))</f>
        <v>0.22048471418739092</v>
      </c>
      <c r="Q1865" s="71">
        <f>IF(B1865="",0,INDEX(ModelParameters!$D$6:$K$10,MATCH($O1865,ModelParameters!$B$6:$B$10,0),MATCH($J1865,ModelParameters!$D$5:$K$5,0)))</f>
        <v>0.015</v>
      </c>
      <c r="R1865" s="71">
        <f>IF(B1865="",0,INDEX(ModelParameters!$D$13:$K$17,MATCH($O1865,ModelParameters!$B$13:$B$17,0),MATCH($J1865,ModelParameters!$D$5:$K$5,0)))</f>
        <v>0.125</v>
      </c>
      <c r="S1865" s="160">
        <f>IF(B1865="",0,MIN(IF($N1865="Other Bond TM",ModelParameters!$N$21,1)*(P1865*Q1865+R1865),1))</f>
        <v>0.12830727071281086</v>
      </c>
      <c r="T1865" s="85">
        <f>IF(B1865="",0,$S1865*$K1865)</f>
        <v>815.00278801957536</v>
      </c>
      <c r="U1865" s="85">
        <f>IF(B1865="",0,IF(OR(H1865=MappingTables!$C$34,H1865=MappingTables!$C$35),T1865,0))</f>
        <v>0</v>
      </c>
      <c r="V1865" s="85">
        <f>IF(ISNA(IF(AND(VLOOKUP(CONCATENATE($D1865,$G1865),CSRFinput!$B:$E,4,0)=0,OR(H1865=MappingTables!$C$34,H1865=MappingTables!$C$35)),1,VLOOKUP(CONCATENATE($D1865,$G1865),CSRFinput!$B:$E,4,0))),0,IF(AND(VLOOKUP(CONCATENATE($D1865,$G1865),CSRFinput!$B:$E,4,0)=0,OR(H1865=MappingTables!$C$34,H1865=MappingTables!$C$35)),1,VLOOKUP(CONCATENATE($D1865,$G1865),CSRFinput!$B:$E,4,0)))</f>
        <v>0.054776304963434752</v>
      </c>
      <c r="W1865" s="85">
        <f>IF(B1865="",0,+$T1865*$V1865)</f>
        <v>44.642841262609824</v>
      </c>
      <c r="X1865" s="85">
        <f>IF(B1865="",0,IF(OR(H1865=MappingTables!$C$34,H1865=MappingTables!$C$35),W1865,0))</f>
        <v>0</v>
      </c>
    </row>
    <row r="1866" spans="2:24" s="0" customFormat="0" ht="15">
      <c r="B1866" s="69" t="s">
        <v>2044</v>
      </c>
      <c r="C1866" s="70" t="s">
        <v>2045</v>
      </c>
      <c r="D1866" s="70" t="s">
        <v>1</v>
      </c>
      <c r="E1866" s="70" t="s">
        <v>1</v>
      </c>
      <c r="F1866" s="70"/>
      <c r="G1866" s="70" t="s">
        <v>61</v>
      </c>
      <c r="H1866" s="70" t="s">
        <v>178</v>
      </c>
      <c r="I1866" s="70" t="s">
        <v>198</v>
      </c>
      <c r="J1866" s="71" t="str">
        <f>IF(OR(I1866=0,I1866=""),"unrated",VLOOKUP(I1866,MappingTables!$B$19:$C$31,2,FALSE))</f>
        <v>unrated</v>
      </c>
      <c r="K1866" s="72">
        <v>2080.2048846254828</v>
      </c>
      <c r="L1866" s="70">
        <v>9.2098843737768176</v>
      </c>
      <c r="M1866" s="71">
        <f>IF(L1866&lt;1,1,L1866)</f>
        <v>9.2098843737768176</v>
      </c>
      <c r="N1866" s="70" t="s">
        <v>141</v>
      </c>
      <c r="O1866" s="71">
        <f>INDEX(DurClassMapping,MATCH(M1866,MappingTables!$D$4:$D$8,-1),1)</f>
        <v>2</v>
      </c>
      <c r="P1866" s="73">
        <f>IF(M1866=$A$1,1,$M1866-INDEX(MappingTables!$E$4:$E$8,MATCH(O1866,MappingTables!$B$4:$B$8,0)))</f>
        <v>4.2098843737768184</v>
      </c>
      <c r="Q1866" s="71">
        <f>IF(B1866="",0,INDEX(ModelParameters!$D$6:$K$10,MATCH($O1866,ModelParameters!$B$6:$B$10,0),MATCH($J1866,ModelParameters!$D$5:$K$5,0)))</f>
        <v>0.017000000000000002</v>
      </c>
      <c r="R1866" s="71">
        <f>IF(B1866="",0,INDEX(ModelParameters!$D$13:$K$17,MATCH($O1866,ModelParameters!$B$13:$B$17,0),MATCH($J1866,ModelParameters!$D$5:$K$5,0)))</f>
        <v>0.15</v>
      </c>
      <c r="S1866" s="160">
        <f>IF(B1866="",0,MIN(IF($N1866="Other Bond TM",ModelParameters!$N$21,1)*(P1866*Q1866+R1866),1))</f>
        <v>0.22156803435420592</v>
      </c>
      <c r="T1866" s="85">
        <f>IF(B1866="",0,$S1866*$K1866)</f>
        <v>460.90690734048592</v>
      </c>
      <c r="U1866" s="85">
        <f>IF(B1866="",0,IF(OR(H1866=MappingTables!$C$34,H1866=MappingTables!$C$35),T1866,0))</f>
        <v>0</v>
      </c>
      <c r="V1866" s="85">
        <f>IF(ISNA(IF(AND(VLOOKUP(CONCATENATE($D1866,$G1866),CSRFinput!$B:$E,4,0)=0,OR(H1866=MappingTables!$C$34,H1866=MappingTables!$C$35)),1,VLOOKUP(CONCATENATE($D1866,$G1866),CSRFinput!$B:$E,4,0))),0,IF(AND(VLOOKUP(CONCATENATE($D1866,$G1866),CSRFinput!$B:$E,4,0)=0,OR(H1866=MappingTables!$C$34,H1866=MappingTables!$C$35)),1,VLOOKUP(CONCATENATE($D1866,$G1866),CSRFinput!$B:$E,4,0)))</f>
        <v>0.054776304963434752</v>
      </c>
      <c r="W1866" s="85">
        <f>IF(B1866="",0,+$T1866*$V1866)</f>
        <v>25.24677731623602</v>
      </c>
      <c r="X1866" s="85">
        <f>IF(B1866="",0,IF(OR(H1866=MappingTables!$C$34,H1866=MappingTables!$C$35),W1866,0))</f>
        <v>0</v>
      </c>
    </row>
    <row r="1867" spans="2:24" s="0" customFormat="0" ht="15">
      <c r="B1867" s="69" t="s">
        <v>1389</v>
      </c>
      <c r="C1867" s="70" t="s">
        <v>1390</v>
      </c>
      <c r="D1867" s="70" t="s">
        <v>1</v>
      </c>
      <c r="E1867" s="70" t="s">
        <v>1</v>
      </c>
      <c r="F1867" s="70"/>
      <c r="G1867" s="70" t="s">
        <v>61</v>
      </c>
      <c r="H1867" s="70" t="s">
        <v>178</v>
      </c>
      <c r="I1867" s="70" t="s">
        <v>179</v>
      </c>
      <c r="J1867" s="71">
        <f>IF(OR(I1867=0,I1867=""),"unrated",VLOOKUP(I1867,MappingTables!$B$19:$C$31,2,FALSE))</f>
        <v>4</v>
      </c>
      <c r="K1867" s="72">
        <v>3.0601460709109876</v>
      </c>
      <c r="L1867" s="70">
        <v>1.7286932898804904</v>
      </c>
      <c r="M1867" s="71">
        <f>IF(L1867&lt;1,1,L1867)</f>
        <v>1.7286932898804904</v>
      </c>
      <c r="N1867" s="70" t="s">
        <v>141</v>
      </c>
      <c r="O1867" s="71">
        <f>INDEX(DurClassMapping,MATCH(M1867,MappingTables!$D$4:$D$8,-1),1)</f>
        <v>1</v>
      </c>
      <c r="P1867" s="73">
        <f>IF(M1867=$A$1,1,$M1867-INDEX(MappingTables!$E$4:$E$8,MATCH(O1867,MappingTables!$B$4:$B$8,0)))</f>
        <v>1.7286932898804904</v>
      </c>
      <c r="Q1867" s="71">
        <f>IF(B1867="",0,INDEX(ModelParameters!$D$6:$K$10,MATCH($O1867,ModelParameters!$B$6:$B$10,0),MATCH($J1867,ModelParameters!$D$5:$K$5,0)))</f>
        <v>0.045</v>
      </c>
      <c r="R1867" s="71">
        <f>IF(B1867="",0,INDEX(ModelParameters!$D$13:$K$17,MATCH($O1867,ModelParameters!$B$13:$B$17,0),MATCH($J1867,ModelParameters!$D$5:$K$5,0)))</f>
        <v>0</v>
      </c>
      <c r="S1867" s="160">
        <f>IF(B1867="",0,MIN(IF($N1867="Other Bond TM",ModelParameters!$N$21,1)*(P1867*Q1867+R1867),1))</f>
        <v>0.077791198044622064</v>
      </c>
      <c r="T1867" s="85">
        <f>IF(B1867="",0,$S1867*$K1867)</f>
        <v>0.23805242904770872</v>
      </c>
      <c r="U1867" s="85">
        <f>IF(B1867="",0,IF(OR(H1867=MappingTables!$C$34,H1867=MappingTables!$C$35),T1867,0))</f>
        <v>0</v>
      </c>
      <c r="V1867" s="85">
        <f>IF(ISNA(IF(AND(VLOOKUP(CONCATENATE($D1867,$G1867),CSRFinput!$B:$E,4,0)=0,OR(H1867=MappingTables!$C$34,H1867=MappingTables!$C$35)),1,VLOOKUP(CONCATENATE($D1867,$G1867),CSRFinput!$B:$E,4,0))),0,IF(AND(VLOOKUP(CONCATENATE($D1867,$G1867),CSRFinput!$B:$E,4,0)=0,OR(H1867=MappingTables!$C$34,H1867=MappingTables!$C$35)),1,VLOOKUP(CONCATENATE($D1867,$G1867),CSRFinput!$B:$E,4,0)))</f>
        <v>0.054776304963434752</v>
      </c>
      <c r="W1867" s="85">
        <f>IF(B1867="",0,+$T1867*$V1867)</f>
        <v>0.013039632450803706</v>
      </c>
      <c r="X1867" s="85">
        <f>IF(B1867="",0,IF(OR(H1867=MappingTables!$C$34,H1867=MappingTables!$C$35),W1867,0))</f>
        <v>0</v>
      </c>
    </row>
    <row r="1868" spans="2:24" s="0" customFormat="0" ht="15">
      <c r="B1868" s="69">
        <v>2672799</v>
      </c>
      <c r="C1868" s="70" t="s">
        <v>847</v>
      </c>
      <c r="D1868" s="70" t="s">
        <v>1</v>
      </c>
      <c r="E1868" s="70" t="s">
        <v>1</v>
      </c>
      <c r="F1868" s="70"/>
      <c r="G1868" s="70" t="s">
        <v>61</v>
      </c>
      <c r="H1868" s="70" t="s">
        <v>178</v>
      </c>
      <c r="I1868" s="70" t="s">
        <v>220</v>
      </c>
      <c r="J1868" s="71">
        <f>IF(OR(I1868=0,I1868=""),"unrated",VLOOKUP(I1868,MappingTables!$B$19:$C$31,2,FALSE))</f>
        <v>1</v>
      </c>
      <c r="K1868" s="72">
        <v>1982.1123983592144</v>
      </c>
      <c r="L1868" s="70">
        <v>11.645761725777194</v>
      </c>
      <c r="M1868" s="71">
        <f>IF(L1868&lt;1,1,L1868)</f>
        <v>11.645761725777194</v>
      </c>
      <c r="N1868" s="70" t="s">
        <v>141</v>
      </c>
      <c r="O1868" s="71">
        <f>INDEX(DurClassMapping,MATCH(M1868,MappingTables!$D$4:$D$8,-1),1)</f>
        <v>3</v>
      </c>
      <c r="P1868" s="73">
        <f>IF(M1868=$A$1,1,$M1868-INDEX(MappingTables!$E$4:$E$8,MATCH(O1868,MappingTables!$B$4:$B$8,0)))</f>
        <v>1.6457617257771932</v>
      </c>
      <c r="Q1868" s="71">
        <f>IF(B1868="",0,INDEX(ModelParameters!$D$6:$K$10,MATCH($O1868,ModelParameters!$B$6:$B$10,0),MATCH($J1868,ModelParameters!$D$5:$K$5,0)))</f>
        <v>0.005</v>
      </c>
      <c r="R1868" s="71">
        <f>IF(B1868="",0,INDEX(ModelParameters!$D$13:$K$17,MATCH($O1868,ModelParameters!$B$13:$B$17,0),MATCH($J1868,ModelParameters!$D$5:$K$5,0)))</f>
        <v>0.085</v>
      </c>
      <c r="S1868" s="160">
        <f>IF(B1868="",0,MIN(IF($N1868="Other Bond TM",ModelParameters!$N$21,1)*(P1868*Q1868+R1868),1))</f>
        <v>0.093228808628885968</v>
      </c>
      <c r="T1868" s="85">
        <f>IF(B1868="",0,$S1868*$K1868)</f>
        <v>184.7899774675734</v>
      </c>
      <c r="U1868" s="85">
        <f>IF(B1868="",0,IF(OR(H1868=MappingTables!$C$34,H1868=MappingTables!$C$35),T1868,0))</f>
        <v>0</v>
      </c>
      <c r="V1868" s="85">
        <f>IF(ISNA(IF(AND(VLOOKUP(CONCATENATE($D1868,$G1868),CSRFinput!$B:$E,4,0)=0,OR(H1868=MappingTables!$C$34,H1868=MappingTables!$C$35)),1,VLOOKUP(CONCATENATE($D1868,$G1868),CSRFinput!$B:$E,4,0))),0,IF(AND(VLOOKUP(CONCATENATE($D1868,$G1868),CSRFinput!$B:$E,4,0)=0,OR(H1868=MappingTables!$C$34,H1868=MappingTables!$C$35)),1,VLOOKUP(CONCATENATE($D1868,$G1868),CSRFinput!$B:$E,4,0)))</f>
        <v>0.054776304963434752</v>
      </c>
      <c r="W1868" s="85">
        <f>IF(B1868="",0,+$T1868*$V1868)</f>
        <v>10.122112159950036</v>
      </c>
      <c r="X1868" s="85">
        <f>IF(B1868="",0,IF(OR(H1868=MappingTables!$C$34,H1868=MappingTables!$C$35),W1868,0))</f>
        <v>0</v>
      </c>
    </row>
    <row r="1869" spans="2:24" s="0" customFormat="0" ht="15">
      <c r="B1869" s="69" t="s">
        <v>1474</v>
      </c>
      <c r="C1869" s="70" t="s">
        <v>1475</v>
      </c>
      <c r="D1869" s="70" t="s">
        <v>1</v>
      </c>
      <c r="E1869" s="70" t="s">
        <v>1</v>
      </c>
      <c r="F1869" s="70"/>
      <c r="G1869" s="70" t="s">
        <v>61</v>
      </c>
      <c r="H1869" s="70" t="s">
        <v>178</v>
      </c>
      <c r="I1869" s="70" t="s">
        <v>184</v>
      </c>
      <c r="J1869" s="71">
        <f>IF(OR(I1869=0,I1869=""),"unrated",VLOOKUP(I1869,MappingTables!$B$19:$C$31,2,FALSE))</f>
        <v>5</v>
      </c>
      <c r="K1869" s="72">
        <v>320.88420001690112</v>
      </c>
      <c r="L1869" s="70">
        <v>2.5803798320191288</v>
      </c>
      <c r="M1869" s="71">
        <f>IF(L1869&lt;1,1,L1869)</f>
        <v>2.5803798320191288</v>
      </c>
      <c r="N1869" s="70" t="s">
        <v>141</v>
      </c>
      <c r="O1869" s="71">
        <f>INDEX(DurClassMapping,MATCH(M1869,MappingTables!$D$4:$D$8,-1),1)</f>
        <v>1</v>
      </c>
      <c r="P1869" s="73">
        <f>IF(M1869=$A$1,1,$M1869-INDEX(MappingTables!$E$4:$E$8,MATCH(O1869,MappingTables!$B$4:$B$8,0)))</f>
        <v>2.5803798320191288</v>
      </c>
      <c r="Q1869" s="71">
        <f>IF(B1869="",0,INDEX(ModelParameters!$D$6:$K$10,MATCH($O1869,ModelParameters!$B$6:$B$10,0),MATCH($J1869,ModelParameters!$D$5:$K$5,0)))</f>
        <v>0.075</v>
      </c>
      <c r="R1869" s="71">
        <f>IF(B1869="",0,INDEX(ModelParameters!$D$13:$K$17,MATCH($O1869,ModelParameters!$B$13:$B$17,0),MATCH($J1869,ModelParameters!$D$5:$K$5,0)))</f>
        <v>0</v>
      </c>
      <c r="S1869" s="160">
        <f>IF(B1869="",0,MIN(IF($N1869="Other Bond TM",ModelParameters!$N$21,1)*(P1869*Q1869+R1869),1))</f>
        <v>0.19352848740143468</v>
      </c>
      <c r="T1869" s="85">
        <f>IF(B1869="",0,$S1869*$K1869)</f>
        <v>62.100233860290288</v>
      </c>
      <c r="U1869" s="85">
        <f>IF(B1869="",0,IF(OR(H1869=MappingTables!$C$34,H1869=MappingTables!$C$35),T1869,0))</f>
        <v>0</v>
      </c>
      <c r="V1869" s="85">
        <f>IF(ISNA(IF(AND(VLOOKUP(CONCATENATE($D1869,$G1869),CSRFinput!$B:$E,4,0)=0,OR(H1869=MappingTables!$C$34,H1869=MappingTables!$C$35)),1,VLOOKUP(CONCATENATE($D1869,$G1869),CSRFinput!$B:$E,4,0))),0,IF(AND(VLOOKUP(CONCATENATE($D1869,$G1869),CSRFinput!$B:$E,4,0)=0,OR(H1869=MappingTables!$C$34,H1869=MappingTables!$C$35)),1,VLOOKUP(CONCATENATE($D1869,$G1869),CSRFinput!$B:$E,4,0)))</f>
        <v>0.054776304963434752</v>
      </c>
      <c r="W1869" s="85">
        <f>IF(B1869="",0,+$T1869*$V1869)</f>
        <v>3.401621348231878</v>
      </c>
      <c r="X1869" s="85">
        <f>IF(B1869="",0,IF(OR(H1869=MappingTables!$C$34,H1869=MappingTables!$C$35),W1869,0))</f>
        <v>0</v>
      </c>
    </row>
    <row r="1870" spans="2:24" s="0" customFormat="0" ht="15">
      <c r="B1870" s="69" t="s">
        <v>2046</v>
      </c>
      <c r="C1870" s="70" t="s">
        <v>2047</v>
      </c>
      <c r="D1870" s="70" t="s">
        <v>1</v>
      </c>
      <c r="E1870" s="70" t="s">
        <v>1</v>
      </c>
      <c r="F1870" s="70"/>
      <c r="G1870" s="70" t="s">
        <v>61</v>
      </c>
      <c r="H1870" s="70" t="s">
        <v>178</v>
      </c>
      <c r="I1870" s="70" t="s">
        <v>181</v>
      </c>
      <c r="J1870" s="71">
        <f>IF(OR(I1870=0,I1870=""),"unrated",VLOOKUP(I1870,MappingTables!$B$19:$C$31,2,FALSE))</f>
        <v>3</v>
      </c>
      <c r="K1870" s="72">
        <v>16694.311495146482</v>
      </c>
      <c r="L1870" s="70">
        <v>8.7431944845216976</v>
      </c>
      <c r="M1870" s="71">
        <f>IF(L1870&lt;1,1,L1870)</f>
        <v>8.7431944845216976</v>
      </c>
      <c r="N1870" s="70" t="s">
        <v>141</v>
      </c>
      <c r="O1870" s="71">
        <f>INDEX(DurClassMapping,MATCH(M1870,MappingTables!$D$4:$D$8,-1),1)</f>
        <v>2</v>
      </c>
      <c r="P1870" s="73">
        <f>IF(M1870=$A$1,1,$M1870-INDEX(MappingTables!$E$4:$E$8,MATCH(O1870,MappingTables!$B$4:$B$8,0)))</f>
        <v>3.7431944845216984</v>
      </c>
      <c r="Q1870" s="71">
        <f>IF(B1870="",0,INDEX(ModelParameters!$D$6:$K$10,MATCH($O1870,ModelParameters!$B$6:$B$10,0),MATCH($J1870,ModelParameters!$D$5:$K$5,0)))</f>
        <v>0.015</v>
      </c>
      <c r="R1870" s="71">
        <f>IF(B1870="",0,INDEX(ModelParameters!$D$13:$K$17,MATCH($O1870,ModelParameters!$B$13:$B$17,0),MATCH($J1870,ModelParameters!$D$5:$K$5,0)))</f>
        <v>0.125</v>
      </c>
      <c r="S1870" s="160">
        <f>IF(B1870="",0,MIN(IF($N1870="Other Bond TM",ModelParameters!$N$21,1)*(P1870*Q1870+R1870),1))</f>
        <v>0.18114791726782548</v>
      </c>
      <c r="T1870" s="85">
        <f>IF(B1870="",0,$S1870*$K1870)</f>
        <v>3024.1397575661028</v>
      </c>
      <c r="U1870" s="85">
        <f>IF(B1870="",0,IF(OR(H1870=MappingTables!$C$34,H1870=MappingTables!$C$35),T1870,0))</f>
        <v>0</v>
      </c>
      <c r="V1870" s="85">
        <f>IF(ISNA(IF(AND(VLOOKUP(CONCATENATE($D1870,$G1870),CSRFinput!$B:$E,4,0)=0,OR(H1870=MappingTables!$C$34,H1870=MappingTables!$C$35)),1,VLOOKUP(CONCATENATE($D1870,$G1870),CSRFinput!$B:$E,4,0))),0,IF(AND(VLOOKUP(CONCATENATE($D1870,$G1870),CSRFinput!$B:$E,4,0)=0,OR(H1870=MappingTables!$C$34,H1870=MappingTables!$C$35)),1,VLOOKUP(CONCATENATE($D1870,$G1870),CSRFinput!$B:$E,4,0)))</f>
        <v>0.054776304963434752</v>
      </c>
      <c r="W1870" s="85">
        <f>IF(B1870="",0,+$T1870*$V1870)</f>
        <v>165.65120161248848</v>
      </c>
      <c r="X1870" s="85">
        <f>IF(B1870="",0,IF(OR(H1870=MappingTables!$C$34,H1870=MappingTables!$C$35),W1870,0))</f>
        <v>0</v>
      </c>
    </row>
    <row r="1871" spans="2:24" s="0" customFormat="0" ht="15">
      <c r="B1871" s="69">
        <v>18714148</v>
      </c>
      <c r="C1871" s="70" t="s">
        <v>1560</v>
      </c>
      <c r="D1871" s="70" t="s">
        <v>1</v>
      </c>
      <c r="E1871" s="70" t="s">
        <v>1</v>
      </c>
      <c r="F1871" s="70"/>
      <c r="G1871" s="70" t="s">
        <v>61</v>
      </c>
      <c r="H1871" s="70" t="s">
        <v>178</v>
      </c>
      <c r="I1871" s="70" t="s">
        <v>181</v>
      </c>
      <c r="J1871" s="71">
        <f>IF(OR(I1871=0,I1871=""),"unrated",VLOOKUP(I1871,MappingTables!$B$19:$C$31,2,FALSE))</f>
        <v>3</v>
      </c>
      <c r="K1871" s="72">
        <v>7728.2322594890192</v>
      </c>
      <c r="L1871" s="70">
        <v>0.96522476974865488</v>
      </c>
      <c r="M1871" s="71">
        <f>IF(L1871&lt;1,1,L1871)</f>
        <v>1</v>
      </c>
      <c r="N1871" s="70" t="s">
        <v>141</v>
      </c>
      <c r="O1871" s="71">
        <f>INDEX(DurClassMapping,MATCH(M1871,MappingTables!$D$4:$D$8,-1),1)</f>
        <v>1</v>
      </c>
      <c r="P1871" s="73">
        <f>IF(M1871=$A$1,1,$M1871-INDEX(MappingTables!$E$4:$E$8,MATCH(O1871,MappingTables!$B$4:$B$8,0)))</f>
        <v>1</v>
      </c>
      <c r="Q1871" s="71">
        <f>IF(B1871="",0,INDEX(ModelParameters!$D$6:$K$10,MATCH($O1871,ModelParameters!$B$6:$B$10,0),MATCH($J1871,ModelParameters!$D$5:$K$5,0)))</f>
        <v>0.025</v>
      </c>
      <c r="R1871" s="71">
        <f>IF(B1871="",0,INDEX(ModelParameters!$D$13:$K$17,MATCH($O1871,ModelParameters!$B$13:$B$17,0),MATCH($J1871,ModelParameters!$D$5:$K$5,0)))</f>
        <v>0</v>
      </c>
      <c r="S1871" s="160">
        <f>IF(B1871="",0,MIN(IF($N1871="Other Bond TM",ModelParameters!$N$21,1)*(P1871*Q1871+R1871),1))</f>
        <v>0.025</v>
      </c>
      <c r="T1871" s="85">
        <f>IF(B1871="",0,$S1871*$K1871)</f>
        <v>193.20580648722548</v>
      </c>
      <c r="U1871" s="85">
        <f>IF(B1871="",0,IF(OR(H1871=MappingTables!$C$34,H1871=MappingTables!$C$35),T1871,0))</f>
        <v>0</v>
      </c>
      <c r="V1871" s="85">
        <f>IF(ISNA(IF(AND(VLOOKUP(CONCATENATE($D1871,$G1871),CSRFinput!$B:$E,4,0)=0,OR(H1871=MappingTables!$C$34,H1871=MappingTables!$C$35)),1,VLOOKUP(CONCATENATE($D1871,$G1871),CSRFinput!$B:$E,4,0))),0,IF(AND(VLOOKUP(CONCATENATE($D1871,$G1871),CSRFinput!$B:$E,4,0)=0,OR(H1871=MappingTables!$C$34,H1871=MappingTables!$C$35)),1,VLOOKUP(CONCATENATE($D1871,$G1871),CSRFinput!$B:$E,4,0)))</f>
        <v>0.054776304963434752</v>
      </c>
      <c r="W1871" s="85">
        <f>IF(B1871="",0,+$T1871*$V1871)</f>
        <v>10.583100176850624</v>
      </c>
      <c r="X1871" s="85">
        <f>IF(B1871="",0,IF(OR(H1871=MappingTables!$C$34,H1871=MappingTables!$C$35),W1871,0))</f>
        <v>0</v>
      </c>
    </row>
    <row r="1872" spans="2:24" s="0" customFormat="0" ht="15">
      <c r="B1872" s="69">
        <v>21989831</v>
      </c>
      <c r="C1872" s="70" t="s">
        <v>2048</v>
      </c>
      <c r="D1872" s="70" t="s">
        <v>1</v>
      </c>
      <c r="E1872" s="70" t="s">
        <v>1</v>
      </c>
      <c r="F1872" s="70"/>
      <c r="G1872" s="70" t="s">
        <v>61</v>
      </c>
      <c r="H1872" s="70" t="s">
        <v>178</v>
      </c>
      <c r="I1872" s="70" t="s">
        <v>184</v>
      </c>
      <c r="J1872" s="71">
        <f>IF(OR(I1872=0,I1872=""),"unrated",VLOOKUP(I1872,MappingTables!$B$19:$C$31,2,FALSE))</f>
        <v>5</v>
      </c>
      <c r="K1872" s="72">
        <v>131.92948325322902</v>
      </c>
      <c r="L1872" s="70">
        <v>0.98897044096545744</v>
      </c>
      <c r="M1872" s="71">
        <f>IF(L1872&lt;1,1,L1872)</f>
        <v>1</v>
      </c>
      <c r="N1872" s="70" t="s">
        <v>141</v>
      </c>
      <c r="O1872" s="71">
        <f>INDEX(DurClassMapping,MATCH(M1872,MappingTables!$D$4:$D$8,-1),1)</f>
        <v>1</v>
      </c>
      <c r="P1872" s="73">
        <f>IF(M1872=$A$1,1,$M1872-INDEX(MappingTables!$E$4:$E$8,MATCH(O1872,MappingTables!$B$4:$B$8,0)))</f>
        <v>1</v>
      </c>
      <c r="Q1872" s="71">
        <f>IF(B1872="",0,INDEX(ModelParameters!$D$6:$K$10,MATCH($O1872,ModelParameters!$B$6:$B$10,0),MATCH($J1872,ModelParameters!$D$5:$K$5,0)))</f>
        <v>0.075</v>
      </c>
      <c r="R1872" s="71">
        <f>IF(B1872="",0,INDEX(ModelParameters!$D$13:$K$17,MATCH($O1872,ModelParameters!$B$13:$B$17,0),MATCH($J1872,ModelParameters!$D$5:$K$5,0)))</f>
        <v>0</v>
      </c>
      <c r="S1872" s="160">
        <f>IF(B1872="",0,MIN(IF($N1872="Other Bond TM",ModelParameters!$N$21,1)*(P1872*Q1872+R1872),1))</f>
        <v>0.075</v>
      </c>
      <c r="T1872" s="85">
        <f>IF(B1872="",0,$S1872*$K1872)</f>
        <v>9.894711243992176</v>
      </c>
      <c r="U1872" s="85">
        <f>IF(B1872="",0,IF(OR(H1872=MappingTables!$C$34,H1872=MappingTables!$C$35),T1872,0))</f>
        <v>0</v>
      </c>
      <c r="V1872" s="85">
        <f>IF(ISNA(IF(AND(VLOOKUP(CONCATENATE($D1872,$G1872),CSRFinput!$B:$E,4,0)=0,OR(H1872=MappingTables!$C$34,H1872=MappingTables!$C$35)),1,VLOOKUP(CONCATENATE($D1872,$G1872),CSRFinput!$B:$E,4,0))),0,IF(AND(VLOOKUP(CONCATENATE($D1872,$G1872),CSRFinput!$B:$E,4,0)=0,OR(H1872=MappingTables!$C$34,H1872=MappingTables!$C$35)),1,VLOOKUP(CONCATENATE($D1872,$G1872),CSRFinput!$B:$E,4,0)))</f>
        <v>0.054776304963434752</v>
      </c>
      <c r="W1872" s="85">
        <f>IF(B1872="",0,+$T1872*$V1872)</f>
        <v>0.54199572062604232</v>
      </c>
      <c r="X1872" s="85">
        <f>IF(B1872="",0,IF(OR(H1872=MappingTables!$C$34,H1872=MappingTables!$C$35),W1872,0))</f>
        <v>0</v>
      </c>
    </row>
    <row r="1873" spans="2:24" s="0" customFormat="0" ht="15">
      <c r="B1873" s="69">
        <v>19686832</v>
      </c>
      <c r="C1873" s="70" t="s">
        <v>2049</v>
      </c>
      <c r="D1873" s="70" t="s">
        <v>1</v>
      </c>
      <c r="E1873" s="70" t="s">
        <v>1</v>
      </c>
      <c r="F1873" s="70"/>
      <c r="G1873" s="70" t="s">
        <v>61</v>
      </c>
      <c r="H1873" s="70" t="s">
        <v>178</v>
      </c>
      <c r="I1873" s="70" t="s">
        <v>184</v>
      </c>
      <c r="J1873" s="71">
        <f>IF(OR(I1873=0,I1873=""),"unrated",VLOOKUP(I1873,MappingTables!$B$19:$C$31,2,FALSE))</f>
        <v>5</v>
      </c>
      <c r="K1873" s="72">
        <v>136.80292258746044</v>
      </c>
      <c r="L1873" s="70">
        <v>0.35068540714457776</v>
      </c>
      <c r="M1873" s="71">
        <f>IF(L1873&lt;1,1,L1873)</f>
        <v>1</v>
      </c>
      <c r="N1873" s="70" t="s">
        <v>141</v>
      </c>
      <c r="O1873" s="71">
        <f>INDEX(DurClassMapping,MATCH(M1873,MappingTables!$D$4:$D$8,-1),1)</f>
        <v>1</v>
      </c>
      <c r="P1873" s="73">
        <f>IF(M1873=$A$1,1,$M1873-INDEX(MappingTables!$E$4:$E$8,MATCH(O1873,MappingTables!$B$4:$B$8,0)))</f>
        <v>1</v>
      </c>
      <c r="Q1873" s="71">
        <f>IF(B1873="",0,INDEX(ModelParameters!$D$6:$K$10,MATCH($O1873,ModelParameters!$B$6:$B$10,0),MATCH($J1873,ModelParameters!$D$5:$K$5,0)))</f>
        <v>0.075</v>
      </c>
      <c r="R1873" s="71">
        <f>IF(B1873="",0,INDEX(ModelParameters!$D$13:$K$17,MATCH($O1873,ModelParameters!$B$13:$B$17,0),MATCH($J1873,ModelParameters!$D$5:$K$5,0)))</f>
        <v>0</v>
      </c>
      <c r="S1873" s="160">
        <f>IF(B1873="",0,MIN(IF($N1873="Other Bond TM",ModelParameters!$N$21,1)*(P1873*Q1873+R1873),1))</f>
        <v>0.075</v>
      </c>
      <c r="T1873" s="85">
        <f>IF(B1873="",0,$S1873*$K1873)</f>
        <v>10.260219194059532</v>
      </c>
      <c r="U1873" s="85">
        <f>IF(B1873="",0,IF(OR(H1873=MappingTables!$C$34,H1873=MappingTables!$C$35),T1873,0))</f>
        <v>0</v>
      </c>
      <c r="V1873" s="85">
        <f>IF(ISNA(IF(AND(VLOOKUP(CONCATENATE($D1873,$G1873),CSRFinput!$B:$E,4,0)=0,OR(H1873=MappingTables!$C$34,H1873=MappingTables!$C$35)),1,VLOOKUP(CONCATENATE($D1873,$G1873),CSRFinput!$B:$E,4,0))),0,IF(AND(VLOOKUP(CONCATENATE($D1873,$G1873),CSRFinput!$B:$E,4,0)=0,OR(H1873=MappingTables!$C$34,H1873=MappingTables!$C$35)),1,VLOOKUP(CONCATENATE($D1873,$G1873),CSRFinput!$B:$E,4,0)))</f>
        <v>0.054776304963434752</v>
      </c>
      <c r="W1873" s="85">
        <f>IF(B1873="",0,+$T1873*$V1873)</f>
        <v>0.56201689556549176</v>
      </c>
      <c r="X1873" s="85">
        <f>IF(B1873="",0,IF(OR(H1873=MappingTables!$C$34,H1873=MappingTables!$C$35),W1873,0))</f>
        <v>0</v>
      </c>
    </row>
    <row r="1874" spans="2:24" s="0" customFormat="0" ht="15">
      <c r="B1874" s="69" t="s">
        <v>1994</v>
      </c>
      <c r="C1874" s="70" t="s">
        <v>1995</v>
      </c>
      <c r="D1874" s="70" t="s">
        <v>1</v>
      </c>
      <c r="E1874" s="70" t="s">
        <v>1</v>
      </c>
      <c r="F1874" s="70"/>
      <c r="G1874" s="70" t="s">
        <v>61</v>
      </c>
      <c r="H1874" s="70" t="s">
        <v>178</v>
      </c>
      <c r="I1874" s="70" t="s">
        <v>181</v>
      </c>
      <c r="J1874" s="71">
        <f>IF(OR(I1874=0,I1874=""),"unrated",VLOOKUP(I1874,MappingTables!$B$19:$C$31,2,FALSE))</f>
        <v>3</v>
      </c>
      <c r="K1874" s="72">
        <v>1.218005900037774</v>
      </c>
      <c r="L1874" s="70">
        <v>2.9628331776454604</v>
      </c>
      <c r="M1874" s="71">
        <f>IF(L1874&lt;1,1,L1874)</f>
        <v>2.9628331776454604</v>
      </c>
      <c r="N1874" s="70" t="s">
        <v>141</v>
      </c>
      <c r="O1874" s="71">
        <f>INDEX(DurClassMapping,MATCH(M1874,MappingTables!$D$4:$D$8,-1),1)</f>
        <v>1</v>
      </c>
      <c r="P1874" s="73">
        <f>IF(M1874=$A$1,1,$M1874-INDEX(MappingTables!$E$4:$E$8,MATCH(O1874,MappingTables!$B$4:$B$8,0)))</f>
        <v>2.9628331776454604</v>
      </c>
      <c r="Q1874" s="71">
        <f>IF(B1874="",0,INDEX(ModelParameters!$D$6:$K$10,MATCH($O1874,ModelParameters!$B$6:$B$10,0),MATCH($J1874,ModelParameters!$D$5:$K$5,0)))</f>
        <v>0.025</v>
      </c>
      <c r="R1874" s="71">
        <f>IF(B1874="",0,INDEX(ModelParameters!$D$13:$K$17,MATCH($O1874,ModelParameters!$B$13:$B$17,0),MATCH($J1874,ModelParameters!$D$5:$K$5,0)))</f>
        <v>0</v>
      </c>
      <c r="S1874" s="160">
        <f>IF(B1874="",0,MIN(IF($N1874="Other Bond TM",ModelParameters!$N$21,1)*(P1874*Q1874+R1874),1))</f>
        <v>0.074070829441136512</v>
      </c>
      <c r="T1874" s="85">
        <f>IF(B1874="",0,$S1874*$K1874)</f>
        <v>0.09021870727999592</v>
      </c>
      <c r="U1874" s="85">
        <f>IF(B1874="",0,IF(OR(H1874=MappingTables!$C$34,H1874=MappingTables!$C$35),T1874,0))</f>
        <v>0</v>
      </c>
      <c r="V1874" s="85">
        <f>IF(ISNA(IF(AND(VLOOKUP(CONCATENATE($D1874,$G1874),CSRFinput!$B:$E,4,0)=0,OR(H1874=MappingTables!$C$34,H1874=MappingTables!$C$35)),1,VLOOKUP(CONCATENATE($D1874,$G1874),CSRFinput!$B:$E,4,0))),0,IF(AND(VLOOKUP(CONCATENATE($D1874,$G1874),CSRFinput!$B:$E,4,0)=0,OR(H1874=MappingTables!$C$34,H1874=MappingTables!$C$35)),1,VLOOKUP(CONCATENATE($D1874,$G1874),CSRFinput!$B:$E,4,0)))</f>
        <v>0.054776304963434752</v>
      </c>
      <c r="W1874" s="85">
        <f>IF(B1874="",0,+$T1874*$V1874)</f>
        <v>0.004941847423375908</v>
      </c>
      <c r="X1874" s="85">
        <f>IF(B1874="",0,IF(OR(H1874=MappingTables!$C$34,H1874=MappingTables!$C$35),W1874,0))</f>
        <v>0</v>
      </c>
    </row>
    <row r="1875" spans="2:24" s="0" customFormat="0" ht="15">
      <c r="B1875" s="69">
        <v>12606277</v>
      </c>
      <c r="C1875" s="70" t="s">
        <v>985</v>
      </c>
      <c r="D1875" s="70" t="s">
        <v>1</v>
      </c>
      <c r="E1875" s="70" t="s">
        <v>1</v>
      </c>
      <c r="F1875" s="70"/>
      <c r="G1875" s="70" t="s">
        <v>61</v>
      </c>
      <c r="H1875" s="70" t="s">
        <v>178</v>
      </c>
      <c r="I1875" s="70" t="s">
        <v>188</v>
      </c>
      <c r="J1875" s="71">
        <f>IF(OR(I1875=0,I1875=""),"unrated",VLOOKUP(I1875,MappingTables!$B$19:$C$31,2,FALSE))</f>
        <v>2</v>
      </c>
      <c r="K1875" s="72">
        <v>1945.789427951042</v>
      </c>
      <c r="L1875" s="70">
        <v>0.73817372067765328</v>
      </c>
      <c r="M1875" s="71">
        <f>IF(L1875&lt;1,1,L1875)</f>
        <v>1</v>
      </c>
      <c r="N1875" s="70" t="s">
        <v>141</v>
      </c>
      <c r="O1875" s="71">
        <f>INDEX(DurClassMapping,MATCH(M1875,MappingTables!$D$4:$D$8,-1),1)</f>
        <v>1</v>
      </c>
      <c r="P1875" s="73">
        <f>IF(M1875=$A$1,1,$M1875-INDEX(MappingTables!$E$4:$E$8,MATCH(O1875,MappingTables!$B$4:$B$8,0)))</f>
        <v>1</v>
      </c>
      <c r="Q1875" s="71">
        <f>IF(B1875="",0,INDEX(ModelParameters!$D$6:$K$10,MATCH($O1875,ModelParameters!$B$6:$B$10,0),MATCH($J1875,ModelParameters!$D$5:$K$5,0)))</f>
        <v>0.013999999999999998</v>
      </c>
      <c r="R1875" s="71">
        <f>IF(B1875="",0,INDEX(ModelParameters!$D$13:$K$17,MATCH($O1875,ModelParameters!$B$13:$B$17,0),MATCH($J1875,ModelParameters!$D$5:$K$5,0)))</f>
        <v>0</v>
      </c>
      <c r="S1875" s="160">
        <f>IF(B1875="",0,MIN(IF($N1875="Other Bond TM",ModelParameters!$N$21,1)*(P1875*Q1875+R1875),1))</f>
        <v>0.013999999999999998</v>
      </c>
      <c r="T1875" s="85">
        <f>IF(B1875="",0,$S1875*$K1875)</f>
        <v>27.241051991314584</v>
      </c>
      <c r="U1875" s="85">
        <f>IF(B1875="",0,IF(OR(H1875=MappingTables!$C$34,H1875=MappingTables!$C$35),T1875,0))</f>
        <v>0</v>
      </c>
      <c r="V1875" s="85">
        <f>IF(ISNA(IF(AND(VLOOKUP(CONCATENATE($D1875,$G1875),CSRFinput!$B:$E,4,0)=0,OR(H1875=MappingTables!$C$34,H1875=MappingTables!$C$35)),1,VLOOKUP(CONCATENATE($D1875,$G1875),CSRFinput!$B:$E,4,0))),0,IF(AND(VLOOKUP(CONCATENATE($D1875,$G1875),CSRFinput!$B:$E,4,0)=0,OR(H1875=MappingTables!$C$34,H1875=MappingTables!$C$35)),1,VLOOKUP(CONCATENATE($D1875,$G1875),CSRFinput!$B:$E,4,0)))</f>
        <v>0.054776304963434752</v>
      </c>
      <c r="W1875" s="85">
        <f>IF(B1875="",0,+$T1875*$V1875)</f>
        <v>1.4921641714010292</v>
      </c>
      <c r="X1875" s="85">
        <f>IF(B1875="",0,IF(OR(H1875=MappingTables!$C$34,H1875=MappingTables!$C$35),W1875,0))</f>
        <v>0</v>
      </c>
    </row>
    <row r="1876" spans="2:24" s="0" customFormat="0" ht="15">
      <c r="B1876" s="69">
        <v>20904646</v>
      </c>
      <c r="C1876" s="70" t="s">
        <v>2050</v>
      </c>
      <c r="D1876" s="70" t="s">
        <v>1</v>
      </c>
      <c r="E1876" s="70" t="s">
        <v>1</v>
      </c>
      <c r="F1876" s="70"/>
      <c r="G1876" s="70" t="s">
        <v>61</v>
      </c>
      <c r="H1876" s="70" t="s">
        <v>178</v>
      </c>
      <c r="I1876" s="70" t="s">
        <v>181</v>
      </c>
      <c r="J1876" s="71">
        <f>IF(OR(I1876=0,I1876=""),"unrated",VLOOKUP(I1876,MappingTables!$B$19:$C$31,2,FALSE))</f>
        <v>3</v>
      </c>
      <c r="K1876" s="72">
        <v>17601.505229517196</v>
      </c>
      <c r="L1876" s="70">
        <v>4.8478050879284904</v>
      </c>
      <c r="M1876" s="71">
        <f>IF(L1876&lt;1,1,L1876)</f>
        <v>4.8478050879284904</v>
      </c>
      <c r="N1876" s="70" t="s">
        <v>141</v>
      </c>
      <c r="O1876" s="71">
        <f>INDEX(DurClassMapping,MATCH(M1876,MappingTables!$D$4:$D$8,-1),1)</f>
        <v>1</v>
      </c>
      <c r="P1876" s="73">
        <f>IF(M1876=$A$1,1,$M1876-INDEX(MappingTables!$E$4:$E$8,MATCH(O1876,MappingTables!$B$4:$B$8,0)))</f>
        <v>4.8478050879284904</v>
      </c>
      <c r="Q1876" s="71">
        <f>IF(B1876="",0,INDEX(ModelParameters!$D$6:$K$10,MATCH($O1876,ModelParameters!$B$6:$B$10,0),MATCH($J1876,ModelParameters!$D$5:$K$5,0)))</f>
        <v>0.025</v>
      </c>
      <c r="R1876" s="71">
        <f>IF(B1876="",0,INDEX(ModelParameters!$D$13:$K$17,MATCH($O1876,ModelParameters!$B$13:$B$17,0),MATCH($J1876,ModelParameters!$D$5:$K$5,0)))</f>
        <v>0</v>
      </c>
      <c r="S1876" s="160">
        <f>IF(B1876="",0,MIN(IF($N1876="Other Bond TM",ModelParameters!$N$21,1)*(P1876*Q1876+R1876),1))</f>
        <v>0.12119512719821226</v>
      </c>
      <c r="T1876" s="85">
        <f>IF(B1876="",0,$S1876*$K1876)</f>
        <v>2133.2166651713352</v>
      </c>
      <c r="U1876" s="85">
        <f>IF(B1876="",0,IF(OR(H1876=MappingTables!$C$34,H1876=MappingTables!$C$35),T1876,0))</f>
        <v>0</v>
      </c>
      <c r="V1876" s="85">
        <f>IF(ISNA(IF(AND(VLOOKUP(CONCATENATE($D1876,$G1876),CSRFinput!$B:$E,4,0)=0,OR(H1876=MappingTables!$C$34,H1876=MappingTables!$C$35)),1,VLOOKUP(CONCATENATE($D1876,$G1876),CSRFinput!$B:$E,4,0))),0,IF(AND(VLOOKUP(CONCATENATE($D1876,$G1876),CSRFinput!$B:$E,4,0)=0,OR(H1876=MappingTables!$C$34,H1876=MappingTables!$C$35)),1,VLOOKUP(CONCATENATE($D1876,$G1876),CSRFinput!$B:$E,4,0)))</f>
        <v>0.054776304963434752</v>
      </c>
      <c r="W1876" s="85">
        <f>IF(B1876="",0,+$T1876*$V1876)</f>
        <v>116.84972660450632</v>
      </c>
      <c r="X1876" s="85">
        <f>IF(B1876="",0,IF(OR(H1876=MappingTables!$C$34,H1876=MappingTables!$C$35),W1876,0))</f>
        <v>0</v>
      </c>
    </row>
    <row r="1877" spans="2:24" s="0" customFormat="0" ht="15">
      <c r="B1877" s="69">
        <v>21004751</v>
      </c>
      <c r="C1877" s="70" t="s">
        <v>2051</v>
      </c>
      <c r="D1877" s="70" t="s">
        <v>1</v>
      </c>
      <c r="E1877" s="70" t="s">
        <v>1</v>
      </c>
      <c r="F1877" s="70"/>
      <c r="G1877" s="70" t="s">
        <v>61</v>
      </c>
      <c r="H1877" s="70" t="s">
        <v>178</v>
      </c>
      <c r="I1877" s="70" t="s">
        <v>188</v>
      </c>
      <c r="J1877" s="71">
        <f>IF(OR(I1877=0,I1877=""),"unrated",VLOOKUP(I1877,MappingTables!$B$19:$C$31,2,FALSE))</f>
        <v>2</v>
      </c>
      <c r="K1877" s="72">
        <v>17779.936539442558</v>
      </c>
      <c r="L1877" s="70">
        <v>1.6271996920907494</v>
      </c>
      <c r="M1877" s="71">
        <f>IF(L1877&lt;1,1,L1877)</f>
        <v>1.6271996920907494</v>
      </c>
      <c r="N1877" s="70" t="s">
        <v>141</v>
      </c>
      <c r="O1877" s="71">
        <f>INDEX(DurClassMapping,MATCH(M1877,MappingTables!$D$4:$D$8,-1),1)</f>
        <v>1</v>
      </c>
      <c r="P1877" s="73">
        <f>IF(M1877=$A$1,1,$M1877-INDEX(MappingTables!$E$4:$E$8,MATCH(O1877,MappingTables!$B$4:$B$8,0)))</f>
        <v>1.6271996920907494</v>
      </c>
      <c r="Q1877" s="71">
        <f>IF(B1877="",0,INDEX(ModelParameters!$D$6:$K$10,MATCH($O1877,ModelParameters!$B$6:$B$10,0),MATCH($J1877,ModelParameters!$D$5:$K$5,0)))</f>
        <v>0.013999999999999998</v>
      </c>
      <c r="R1877" s="71">
        <f>IF(B1877="",0,INDEX(ModelParameters!$D$13:$K$17,MATCH($O1877,ModelParameters!$B$13:$B$17,0),MATCH($J1877,ModelParameters!$D$5:$K$5,0)))</f>
        <v>0</v>
      </c>
      <c r="S1877" s="160">
        <f>IF(B1877="",0,MIN(IF($N1877="Other Bond TM",ModelParameters!$N$21,1)*(P1877*Q1877+R1877),1))</f>
        <v>0.022780795689270492</v>
      </c>
      <c r="T1877" s="85">
        <f>IF(B1877="",0,$S1877*$K1877)</f>
        <v>405.04110167323592</v>
      </c>
      <c r="U1877" s="85">
        <f>IF(B1877="",0,IF(OR(H1877=MappingTables!$C$34,H1877=MappingTables!$C$35),T1877,0))</f>
        <v>0</v>
      </c>
      <c r="V1877" s="85">
        <f>IF(ISNA(IF(AND(VLOOKUP(CONCATENATE($D1877,$G1877),CSRFinput!$B:$E,4,0)=0,OR(H1877=MappingTables!$C$34,H1877=MappingTables!$C$35)),1,VLOOKUP(CONCATENATE($D1877,$G1877),CSRFinput!$B:$E,4,0))),0,IF(AND(VLOOKUP(CONCATENATE($D1877,$G1877),CSRFinput!$B:$E,4,0)=0,OR(H1877=MappingTables!$C$34,H1877=MappingTables!$C$35)),1,VLOOKUP(CONCATENATE($D1877,$G1877),CSRFinput!$B:$E,4,0)))</f>
        <v>0.054776304963434752</v>
      </c>
      <c r="W1877" s="85">
        <f>IF(B1877="",0,+$T1877*$V1877)</f>
        <v>22.186654907978752</v>
      </c>
      <c r="X1877" s="85">
        <f>IF(B1877="",0,IF(OR(H1877=MappingTables!$C$34,H1877=MappingTables!$C$35),W1877,0))</f>
        <v>0</v>
      </c>
    </row>
    <row r="1878" spans="2:24" s="0" customFormat="0" ht="15">
      <c r="B1878" s="69">
        <v>1667976</v>
      </c>
      <c r="C1878" s="70" t="s">
        <v>2052</v>
      </c>
      <c r="D1878" s="70" t="s">
        <v>1</v>
      </c>
      <c r="E1878" s="70" t="s">
        <v>1</v>
      </c>
      <c r="F1878" s="70"/>
      <c r="G1878" s="70" t="s">
        <v>61</v>
      </c>
      <c r="H1878" s="70" t="s">
        <v>178</v>
      </c>
      <c r="I1878" s="70" t="s">
        <v>181</v>
      </c>
      <c r="J1878" s="71">
        <f>IF(OR(I1878=0,I1878=""),"unrated",VLOOKUP(I1878,MappingTables!$B$19:$C$31,2,FALSE))</f>
        <v>3</v>
      </c>
      <c r="K1878" s="72">
        <v>11.705659947197524</v>
      </c>
      <c r="L1878" s="70">
        <v>11.358309719140862</v>
      </c>
      <c r="M1878" s="71">
        <f>IF(L1878&lt;1,1,L1878)</f>
        <v>11.358309719140862</v>
      </c>
      <c r="N1878" s="70" t="s">
        <v>141</v>
      </c>
      <c r="O1878" s="71">
        <f>INDEX(DurClassMapping,MATCH(M1878,MappingTables!$D$4:$D$8,-1),1)</f>
        <v>3</v>
      </c>
      <c r="P1878" s="73">
        <f>IF(M1878=$A$1,1,$M1878-INDEX(MappingTables!$E$4:$E$8,MATCH(O1878,MappingTables!$B$4:$B$8,0)))</f>
        <v>1.3583097191408626</v>
      </c>
      <c r="Q1878" s="71">
        <f>IF(B1878="",0,INDEX(ModelParameters!$D$6:$K$10,MATCH($O1878,ModelParameters!$B$6:$B$10,0),MATCH($J1878,ModelParameters!$D$5:$K$5,0)))</f>
        <v>0.01</v>
      </c>
      <c r="R1878" s="71">
        <f>IF(B1878="",0,INDEX(ModelParameters!$D$13:$K$17,MATCH($O1878,ModelParameters!$B$13:$B$17,0),MATCH($J1878,ModelParameters!$D$5:$K$5,0)))</f>
        <v>0.2</v>
      </c>
      <c r="S1878" s="160">
        <f>IF(B1878="",0,MIN(IF($N1878="Other Bond TM",ModelParameters!$N$21,1)*(P1878*Q1878+R1878),1))</f>
        <v>0.21358309719140864</v>
      </c>
      <c r="T1878" s="85">
        <f>IF(B1878="",0,$S1878*$K1878)</f>
        <v>2.5001311061918684</v>
      </c>
      <c r="U1878" s="85">
        <f>IF(B1878="",0,IF(OR(H1878=MappingTables!$C$34,H1878=MappingTables!$C$35),T1878,0))</f>
        <v>0</v>
      </c>
      <c r="V1878" s="85">
        <f>IF(ISNA(IF(AND(VLOOKUP(CONCATENATE($D1878,$G1878),CSRFinput!$B:$E,4,0)=0,OR(H1878=MappingTables!$C$34,H1878=MappingTables!$C$35)),1,VLOOKUP(CONCATENATE($D1878,$G1878),CSRFinput!$B:$E,4,0))),0,IF(AND(VLOOKUP(CONCATENATE($D1878,$G1878),CSRFinput!$B:$E,4,0)=0,OR(H1878=MappingTables!$C$34,H1878=MappingTables!$C$35)),1,VLOOKUP(CONCATENATE($D1878,$G1878),CSRFinput!$B:$E,4,0)))</f>
        <v>0.054776304963434752</v>
      </c>
      <c r="W1878" s="85">
        <f>IF(B1878="",0,+$T1878*$V1878)</f>
        <v>0.13694794392133524</v>
      </c>
      <c r="X1878" s="85">
        <f>IF(B1878="",0,IF(OR(H1878=MappingTables!$C$34,H1878=MappingTables!$C$35),W1878,0))</f>
        <v>0</v>
      </c>
    </row>
    <row r="1879" spans="2:24" s="0" customFormat="0" ht="15">
      <c r="B1879" s="69">
        <v>5408779</v>
      </c>
      <c r="C1879" s="70" t="s">
        <v>1858</v>
      </c>
      <c r="D1879" s="70" t="s">
        <v>1</v>
      </c>
      <c r="E1879" s="70" t="s">
        <v>1</v>
      </c>
      <c r="F1879" s="70"/>
      <c r="G1879" s="70" t="s">
        <v>61</v>
      </c>
      <c r="H1879" s="70" t="s">
        <v>178</v>
      </c>
      <c r="I1879" s="70" t="s">
        <v>179</v>
      </c>
      <c r="J1879" s="71">
        <f>IF(OR(I1879=0,I1879=""),"unrated",VLOOKUP(I1879,MappingTables!$B$19:$C$31,2,FALSE))</f>
        <v>4</v>
      </c>
      <c r="K1879" s="72">
        <v>10117.273128074812</v>
      </c>
      <c r="L1879" s="70">
        <v>1.4238387297715606</v>
      </c>
      <c r="M1879" s="71">
        <f>IF(L1879&lt;1,1,L1879)</f>
        <v>1.4238387297715606</v>
      </c>
      <c r="N1879" s="70" t="s">
        <v>141</v>
      </c>
      <c r="O1879" s="71">
        <f>INDEX(DurClassMapping,MATCH(M1879,MappingTables!$D$4:$D$8,-1),1)</f>
        <v>1</v>
      </c>
      <c r="P1879" s="73">
        <f>IF(M1879=$A$1,1,$M1879-INDEX(MappingTables!$E$4:$E$8,MATCH(O1879,MappingTables!$B$4:$B$8,0)))</f>
        <v>1.4238387297715606</v>
      </c>
      <c r="Q1879" s="71">
        <f>IF(B1879="",0,INDEX(ModelParameters!$D$6:$K$10,MATCH($O1879,ModelParameters!$B$6:$B$10,0),MATCH($J1879,ModelParameters!$D$5:$K$5,0)))</f>
        <v>0.045</v>
      </c>
      <c r="R1879" s="71">
        <f>IF(B1879="",0,INDEX(ModelParameters!$D$13:$K$17,MATCH($O1879,ModelParameters!$B$13:$B$17,0),MATCH($J1879,ModelParameters!$D$5:$K$5,0)))</f>
        <v>0</v>
      </c>
      <c r="S1879" s="160">
        <f>IF(B1879="",0,MIN(IF($N1879="Other Bond TM",ModelParameters!$N$21,1)*(P1879*Q1879+R1879),1))</f>
        <v>0.064072742839720224</v>
      </c>
      <c r="T1879" s="85">
        <f>IF(B1879="",0,$S1879*$K1879)</f>
        <v>648.24143937434928</v>
      </c>
      <c r="U1879" s="85">
        <f>IF(B1879="",0,IF(OR(H1879=MappingTables!$C$34,H1879=MappingTables!$C$35),T1879,0))</f>
        <v>0</v>
      </c>
      <c r="V1879" s="85">
        <f>IF(ISNA(IF(AND(VLOOKUP(CONCATENATE($D1879,$G1879),CSRFinput!$B:$E,4,0)=0,OR(H1879=MappingTables!$C$34,H1879=MappingTables!$C$35)),1,VLOOKUP(CONCATENATE($D1879,$G1879),CSRFinput!$B:$E,4,0))),0,IF(AND(VLOOKUP(CONCATENATE($D1879,$G1879),CSRFinput!$B:$E,4,0)=0,OR(H1879=MappingTables!$C$34,H1879=MappingTables!$C$35)),1,VLOOKUP(CONCATENATE($D1879,$G1879),CSRFinput!$B:$E,4,0)))</f>
        <v>0.054776304963434752</v>
      </c>
      <c r="W1879" s="85">
        <f>IF(B1879="",0,+$T1879*$V1879)</f>
        <v>35.50827077310526</v>
      </c>
      <c r="X1879" s="85">
        <f>IF(B1879="",0,IF(OR(H1879=MappingTables!$C$34,H1879=MappingTables!$C$35),W1879,0))</f>
        <v>0</v>
      </c>
    </row>
    <row r="1880" spans="2:24" s="0" customFormat="0" ht="15">
      <c r="B1880" s="69">
        <v>20423716</v>
      </c>
      <c r="C1880" s="70" t="s">
        <v>1514</v>
      </c>
      <c r="D1880" s="70" t="s">
        <v>1</v>
      </c>
      <c r="E1880" s="70" t="s">
        <v>1</v>
      </c>
      <c r="F1880" s="70"/>
      <c r="G1880" s="70" t="s">
        <v>61</v>
      </c>
      <c r="H1880" s="70" t="s">
        <v>178</v>
      </c>
      <c r="I1880" s="70" t="s">
        <v>188</v>
      </c>
      <c r="J1880" s="71">
        <f>IF(OR(I1880=0,I1880=""),"unrated",VLOOKUP(I1880,MappingTables!$B$19:$C$31,2,FALSE))</f>
        <v>2</v>
      </c>
      <c r="K1880" s="72">
        <v>968.51981450055376</v>
      </c>
      <c r="L1880" s="70">
        <v>16.710029792803394</v>
      </c>
      <c r="M1880" s="71">
        <f>IF(L1880&lt;1,1,L1880)</f>
        <v>16.710029792803394</v>
      </c>
      <c r="N1880" s="70" t="s">
        <v>141</v>
      </c>
      <c r="O1880" s="71">
        <f>INDEX(DurClassMapping,MATCH(M1880,MappingTables!$D$4:$D$8,-1),1)</f>
        <v>4</v>
      </c>
      <c r="P1880" s="73">
        <f>IF(M1880=$A$1,1,$M1880-INDEX(MappingTables!$E$4:$E$8,MATCH(O1880,MappingTables!$B$4:$B$8,0)))</f>
        <v>1.7100297928033932</v>
      </c>
      <c r="Q1880" s="71">
        <f>IF(B1880="",0,INDEX(ModelParameters!$D$6:$K$10,MATCH($O1880,ModelParameters!$B$6:$B$10,0),MATCH($J1880,ModelParameters!$D$5:$K$5,0)))</f>
        <v>0.005</v>
      </c>
      <c r="R1880" s="71">
        <f>IF(B1880="",0,INDEX(ModelParameters!$D$13:$K$17,MATCH($O1880,ModelParameters!$B$13:$B$17,0),MATCH($J1880,ModelParameters!$D$5:$K$5,0)))</f>
        <v>0.13</v>
      </c>
      <c r="S1880" s="160">
        <f>IF(B1880="",0,MIN(IF($N1880="Other Bond TM",ModelParameters!$N$21,1)*(P1880*Q1880+R1880),1))</f>
        <v>0.13855014896401696</v>
      </c>
      <c r="T1880" s="85">
        <f>IF(B1880="",0,$S1880*$K1880)</f>
        <v>134.18856457365382</v>
      </c>
      <c r="U1880" s="85">
        <f>IF(B1880="",0,IF(OR(H1880=MappingTables!$C$34,H1880=MappingTables!$C$35),T1880,0))</f>
        <v>0</v>
      </c>
      <c r="V1880" s="85">
        <f>IF(ISNA(IF(AND(VLOOKUP(CONCATENATE($D1880,$G1880),CSRFinput!$B:$E,4,0)=0,OR(H1880=MappingTables!$C$34,H1880=MappingTables!$C$35)),1,VLOOKUP(CONCATENATE($D1880,$G1880),CSRFinput!$B:$E,4,0))),0,IF(AND(VLOOKUP(CONCATENATE($D1880,$G1880),CSRFinput!$B:$E,4,0)=0,OR(H1880=MappingTables!$C$34,H1880=MappingTables!$C$35)),1,VLOOKUP(CONCATENATE($D1880,$G1880),CSRFinput!$B:$E,4,0)))</f>
        <v>0.054776304963434752</v>
      </c>
      <c r="W1880" s="85">
        <f>IF(B1880="",0,+$T1880*$V1880)</f>
        <v>7.3503537356920192</v>
      </c>
      <c r="X1880" s="85">
        <f>IF(B1880="",0,IF(OR(H1880=MappingTables!$C$34,H1880=MappingTables!$C$35),W1880,0))</f>
        <v>0</v>
      </c>
    </row>
    <row r="1881" spans="2:24" s="0" customFormat="0" ht="15">
      <c r="B1881" s="69">
        <v>387894</v>
      </c>
      <c r="C1881" s="70" t="s">
        <v>2053</v>
      </c>
      <c r="D1881" s="70" t="s">
        <v>1</v>
      </c>
      <c r="E1881" s="70" t="s">
        <v>1</v>
      </c>
      <c r="F1881" s="70"/>
      <c r="G1881" s="70" t="s">
        <v>61</v>
      </c>
      <c r="H1881" s="70" t="s">
        <v>178</v>
      </c>
      <c r="I1881" s="70" t="s">
        <v>181</v>
      </c>
      <c r="J1881" s="71">
        <f>IF(OR(I1881=0,I1881=""),"unrated",VLOOKUP(I1881,MappingTables!$B$19:$C$31,2,FALSE))</f>
        <v>3</v>
      </c>
      <c r="K1881" s="72">
        <v>92.784208538015616</v>
      </c>
      <c r="L1881" s="70">
        <v>6.510477682133824</v>
      </c>
      <c r="M1881" s="71">
        <f>IF(L1881&lt;1,1,L1881)</f>
        <v>6.510477682133824</v>
      </c>
      <c r="N1881" s="70" t="s">
        <v>141</v>
      </c>
      <c r="O1881" s="71">
        <f>INDEX(DurClassMapping,MATCH(M1881,MappingTables!$D$4:$D$8,-1),1)</f>
        <v>2</v>
      </c>
      <c r="P1881" s="73">
        <f>IF(M1881=$A$1,1,$M1881-INDEX(MappingTables!$E$4:$E$8,MATCH(O1881,MappingTables!$B$4:$B$8,0)))</f>
        <v>1.510477682133824</v>
      </c>
      <c r="Q1881" s="71">
        <f>IF(B1881="",0,INDEX(ModelParameters!$D$6:$K$10,MATCH($O1881,ModelParameters!$B$6:$B$10,0),MATCH($J1881,ModelParameters!$D$5:$K$5,0)))</f>
        <v>0.015</v>
      </c>
      <c r="R1881" s="71">
        <f>IF(B1881="",0,INDEX(ModelParameters!$D$13:$K$17,MATCH($O1881,ModelParameters!$B$13:$B$17,0),MATCH($J1881,ModelParameters!$D$5:$K$5,0)))</f>
        <v>0.125</v>
      </c>
      <c r="S1881" s="160">
        <f>IF(B1881="",0,MIN(IF($N1881="Other Bond TM",ModelParameters!$N$21,1)*(P1881*Q1881+R1881),1))</f>
        <v>0.14765716523200736</v>
      </c>
      <c r="T1881" s="85">
        <f>IF(B1881="",0,$S1881*$K1881)</f>
        <v>13.7002532110188</v>
      </c>
      <c r="U1881" s="85">
        <f>IF(B1881="",0,IF(OR(H1881=MappingTables!$C$34,H1881=MappingTables!$C$35),T1881,0))</f>
        <v>0</v>
      </c>
      <c r="V1881" s="85">
        <f>IF(ISNA(IF(AND(VLOOKUP(CONCATENATE($D1881,$G1881),CSRFinput!$B:$E,4,0)=0,OR(H1881=MappingTables!$C$34,H1881=MappingTables!$C$35)),1,VLOOKUP(CONCATENATE($D1881,$G1881),CSRFinput!$B:$E,4,0))),0,IF(AND(VLOOKUP(CONCATENATE($D1881,$G1881),CSRFinput!$B:$E,4,0)=0,OR(H1881=MappingTables!$C$34,H1881=MappingTables!$C$35)),1,VLOOKUP(CONCATENATE($D1881,$G1881),CSRFinput!$B:$E,4,0)))</f>
        <v>0.054776304963434752</v>
      </c>
      <c r="W1881" s="85">
        <f>IF(B1881="",0,+$T1881*$V1881)</f>
        <v>0.75044924796304208</v>
      </c>
      <c r="X1881" s="85">
        <f>IF(B1881="",0,IF(OR(H1881=MappingTables!$C$34,H1881=MappingTables!$C$35),W1881,0))</f>
        <v>0</v>
      </c>
    </row>
    <row r="1882" spans="2:24" s="0" customFormat="0" ht="15">
      <c r="B1882" s="69">
        <v>15219111</v>
      </c>
      <c r="C1882" s="70" t="s">
        <v>2054</v>
      </c>
      <c r="D1882" s="70" t="s">
        <v>1</v>
      </c>
      <c r="E1882" s="70" t="s">
        <v>1</v>
      </c>
      <c r="F1882" s="70"/>
      <c r="G1882" s="70" t="s">
        <v>61</v>
      </c>
      <c r="H1882" s="70" t="s">
        <v>178</v>
      </c>
      <c r="I1882" s="70" t="s">
        <v>179</v>
      </c>
      <c r="J1882" s="71">
        <f>IF(OR(I1882=0,I1882=""),"unrated",VLOOKUP(I1882,MappingTables!$B$19:$C$31,2,FALSE))</f>
        <v>4</v>
      </c>
      <c r="K1882" s="72">
        <v>1311.1545601257296</v>
      </c>
      <c r="L1882" s="70">
        <v>0.032876552779619996</v>
      </c>
      <c r="M1882" s="71">
        <f>IF(L1882&lt;1,1,L1882)</f>
        <v>1</v>
      </c>
      <c r="N1882" s="70" t="s">
        <v>141</v>
      </c>
      <c r="O1882" s="71">
        <f>INDEX(DurClassMapping,MATCH(M1882,MappingTables!$D$4:$D$8,-1),1)</f>
        <v>1</v>
      </c>
      <c r="P1882" s="73">
        <f>IF(M1882=$A$1,1,$M1882-INDEX(MappingTables!$E$4:$E$8,MATCH(O1882,MappingTables!$B$4:$B$8,0)))</f>
        <v>1</v>
      </c>
      <c r="Q1882" s="71">
        <f>IF(B1882="",0,INDEX(ModelParameters!$D$6:$K$10,MATCH($O1882,ModelParameters!$B$6:$B$10,0),MATCH($J1882,ModelParameters!$D$5:$K$5,0)))</f>
        <v>0.045</v>
      </c>
      <c r="R1882" s="71">
        <f>IF(B1882="",0,INDEX(ModelParameters!$D$13:$K$17,MATCH($O1882,ModelParameters!$B$13:$B$17,0),MATCH($J1882,ModelParameters!$D$5:$K$5,0)))</f>
        <v>0</v>
      </c>
      <c r="S1882" s="160">
        <f>IF(B1882="",0,MIN(IF($N1882="Other Bond TM",ModelParameters!$N$21,1)*(P1882*Q1882+R1882),1))</f>
        <v>0.045</v>
      </c>
      <c r="T1882" s="85">
        <f>IF(B1882="",0,$S1882*$K1882)</f>
        <v>59.001955205657832</v>
      </c>
      <c r="U1882" s="85">
        <f>IF(B1882="",0,IF(OR(H1882=MappingTables!$C$34,H1882=MappingTables!$C$35),T1882,0))</f>
        <v>0</v>
      </c>
      <c r="V1882" s="85">
        <f>IF(ISNA(IF(AND(VLOOKUP(CONCATENATE($D1882,$G1882),CSRFinput!$B:$E,4,0)=0,OR(H1882=MappingTables!$C$34,H1882=MappingTables!$C$35)),1,VLOOKUP(CONCATENATE($D1882,$G1882),CSRFinput!$B:$E,4,0))),0,IF(AND(VLOOKUP(CONCATENATE($D1882,$G1882),CSRFinput!$B:$E,4,0)=0,OR(H1882=MappingTables!$C$34,H1882=MappingTables!$C$35)),1,VLOOKUP(CONCATENATE($D1882,$G1882),CSRFinput!$B:$E,4,0)))</f>
        <v>0.054776304963434752</v>
      </c>
      <c r="W1882" s="85">
        <f>IF(B1882="",0,+$T1882*$V1882)</f>
        <v>3.23190909178403</v>
      </c>
      <c r="X1882" s="85">
        <f>IF(B1882="",0,IF(OR(H1882=MappingTables!$C$34,H1882=MappingTables!$C$35),W1882,0))</f>
        <v>0</v>
      </c>
    </row>
    <row r="1883" spans="2:24" s="0" customFormat="0" ht="15">
      <c r="B1883" s="69">
        <v>8340264</v>
      </c>
      <c r="C1883" s="70" t="s">
        <v>960</v>
      </c>
      <c r="D1883" s="70" t="s">
        <v>1</v>
      </c>
      <c r="E1883" s="70" t="s">
        <v>1</v>
      </c>
      <c r="F1883" s="70"/>
      <c r="G1883" s="70" t="s">
        <v>61</v>
      </c>
      <c r="H1883" s="70" t="s">
        <v>178</v>
      </c>
      <c r="I1883" s="70" t="s">
        <v>184</v>
      </c>
      <c r="J1883" s="71">
        <f>IF(OR(I1883=0,I1883=""),"unrated",VLOOKUP(I1883,MappingTables!$B$19:$C$31,2,FALSE))</f>
        <v>5</v>
      </c>
      <c r="K1883" s="72">
        <v>1934.991565796302</v>
      </c>
      <c r="L1883" s="70">
        <v>1.3884271749835416</v>
      </c>
      <c r="M1883" s="71">
        <f>IF(L1883&lt;1,1,L1883)</f>
        <v>1.3884271749835416</v>
      </c>
      <c r="N1883" s="70" t="s">
        <v>141</v>
      </c>
      <c r="O1883" s="71">
        <f>INDEX(DurClassMapping,MATCH(M1883,MappingTables!$D$4:$D$8,-1),1)</f>
        <v>1</v>
      </c>
      <c r="P1883" s="73">
        <f>IF(M1883=$A$1,1,$M1883-INDEX(MappingTables!$E$4:$E$8,MATCH(O1883,MappingTables!$B$4:$B$8,0)))</f>
        <v>1.3884271749835416</v>
      </c>
      <c r="Q1883" s="71">
        <f>IF(B1883="",0,INDEX(ModelParameters!$D$6:$K$10,MATCH($O1883,ModelParameters!$B$6:$B$10,0),MATCH($J1883,ModelParameters!$D$5:$K$5,0)))</f>
        <v>0.075</v>
      </c>
      <c r="R1883" s="71">
        <f>IF(B1883="",0,INDEX(ModelParameters!$D$13:$K$17,MATCH($O1883,ModelParameters!$B$13:$B$17,0),MATCH($J1883,ModelParameters!$D$5:$K$5,0)))</f>
        <v>0</v>
      </c>
      <c r="S1883" s="160">
        <f>IF(B1883="",0,MIN(IF($N1883="Other Bond TM",ModelParameters!$N$21,1)*(P1883*Q1883+R1883),1))</f>
        <v>0.1041320381237656</v>
      </c>
      <c r="T1883" s="85">
        <f>IF(B1883="",0,$S1883*$K1883)</f>
        <v>201.4946154986654</v>
      </c>
      <c r="U1883" s="85">
        <f>IF(B1883="",0,IF(OR(H1883=MappingTables!$C$34,H1883=MappingTables!$C$35),T1883,0))</f>
        <v>0</v>
      </c>
      <c r="V1883" s="85">
        <f>IF(ISNA(IF(AND(VLOOKUP(CONCATENATE($D1883,$G1883),CSRFinput!$B:$E,4,0)=0,OR(H1883=MappingTables!$C$34,H1883=MappingTables!$C$35)),1,VLOOKUP(CONCATENATE($D1883,$G1883),CSRFinput!$B:$E,4,0))),0,IF(AND(VLOOKUP(CONCATENATE($D1883,$G1883),CSRFinput!$B:$E,4,0)=0,OR(H1883=MappingTables!$C$34,H1883=MappingTables!$C$35)),1,VLOOKUP(CONCATENATE($D1883,$G1883),CSRFinput!$B:$E,4,0)))</f>
        <v>0.054776304963434752</v>
      </c>
      <c r="W1883" s="85">
        <f>IF(B1883="",0,+$T1883*$V1883)</f>
        <v>11.037130507044922</v>
      </c>
      <c r="X1883" s="85">
        <f>IF(B1883="",0,IF(OR(H1883=MappingTables!$C$34,H1883=MappingTables!$C$35),W1883,0))</f>
        <v>0</v>
      </c>
    </row>
    <row r="1884" spans="2:24" s="0" customFormat="0" ht="15">
      <c r="B1884" s="69">
        <v>15861135</v>
      </c>
      <c r="C1884" s="70" t="s">
        <v>2055</v>
      </c>
      <c r="D1884" s="70" t="s">
        <v>1</v>
      </c>
      <c r="E1884" s="70" t="s">
        <v>1</v>
      </c>
      <c r="F1884" s="70"/>
      <c r="G1884" s="70" t="s">
        <v>61</v>
      </c>
      <c r="H1884" s="70" t="s">
        <v>178</v>
      </c>
      <c r="I1884" s="70" t="s">
        <v>181</v>
      </c>
      <c r="J1884" s="71">
        <f>IF(OR(I1884=0,I1884=""),"unrated",VLOOKUP(I1884,MappingTables!$B$19:$C$31,2,FALSE))</f>
        <v>3</v>
      </c>
      <c r="K1884" s="72">
        <v>3580.8367863231616</v>
      </c>
      <c r="L1884" s="70">
        <v>2.011156954785322</v>
      </c>
      <c r="M1884" s="71">
        <f>IF(L1884&lt;1,1,L1884)</f>
        <v>2.011156954785322</v>
      </c>
      <c r="N1884" s="70" t="s">
        <v>141</v>
      </c>
      <c r="O1884" s="71">
        <f>INDEX(DurClassMapping,MATCH(M1884,MappingTables!$D$4:$D$8,-1),1)</f>
        <v>1</v>
      </c>
      <c r="P1884" s="73">
        <f>IF(M1884=$A$1,1,$M1884-INDEX(MappingTables!$E$4:$E$8,MATCH(O1884,MappingTables!$B$4:$B$8,0)))</f>
        <v>2.011156954785322</v>
      </c>
      <c r="Q1884" s="71">
        <f>IF(B1884="",0,INDEX(ModelParameters!$D$6:$K$10,MATCH($O1884,ModelParameters!$B$6:$B$10,0),MATCH($J1884,ModelParameters!$D$5:$K$5,0)))</f>
        <v>0.025</v>
      </c>
      <c r="R1884" s="71">
        <f>IF(B1884="",0,INDEX(ModelParameters!$D$13:$K$17,MATCH($O1884,ModelParameters!$B$13:$B$17,0),MATCH($J1884,ModelParameters!$D$5:$K$5,0)))</f>
        <v>0</v>
      </c>
      <c r="S1884" s="160">
        <f>IF(B1884="",0,MIN(IF($N1884="Other Bond TM",ModelParameters!$N$21,1)*(P1884*Q1884+R1884),1))</f>
        <v>0.050278923869633056</v>
      </c>
      <c r="T1884" s="85">
        <f>IF(B1884="",0,$S1884*$K1884)</f>
        <v>180.04062016912374</v>
      </c>
      <c r="U1884" s="85">
        <f>IF(B1884="",0,IF(OR(H1884=MappingTables!$C$34,H1884=MappingTables!$C$35),T1884,0))</f>
        <v>0</v>
      </c>
      <c r="V1884" s="85">
        <f>IF(ISNA(IF(AND(VLOOKUP(CONCATENATE($D1884,$G1884),CSRFinput!$B:$E,4,0)=0,OR(H1884=MappingTables!$C$34,H1884=MappingTables!$C$35)),1,VLOOKUP(CONCATENATE($D1884,$G1884),CSRFinput!$B:$E,4,0))),0,IF(AND(VLOOKUP(CONCATENATE($D1884,$G1884),CSRFinput!$B:$E,4,0)=0,OR(H1884=MappingTables!$C$34,H1884=MappingTables!$C$35)),1,VLOOKUP(CONCATENATE($D1884,$G1884),CSRFinput!$B:$E,4,0)))</f>
        <v>0.054776304963434752</v>
      </c>
      <c r="W1884" s="85">
        <f>IF(B1884="",0,+$T1884*$V1884)</f>
        <v>9.8619599161898448</v>
      </c>
      <c r="X1884" s="85">
        <f>IF(B1884="",0,IF(OR(H1884=MappingTables!$C$34,H1884=MappingTables!$C$35),W1884,0))</f>
        <v>0</v>
      </c>
    </row>
    <row r="1885" spans="2:24" s="0" customFormat="0" ht="15">
      <c r="B1885" s="69">
        <v>10900818</v>
      </c>
      <c r="C1885" s="70" t="s">
        <v>2056</v>
      </c>
      <c r="D1885" s="70" t="s">
        <v>1</v>
      </c>
      <c r="E1885" s="70" t="s">
        <v>1</v>
      </c>
      <c r="F1885" s="70"/>
      <c r="G1885" s="70" t="s">
        <v>61</v>
      </c>
      <c r="H1885" s="70" t="s">
        <v>178</v>
      </c>
      <c r="I1885" s="70" t="s">
        <v>179</v>
      </c>
      <c r="J1885" s="71">
        <f>IF(OR(I1885=0,I1885=""),"unrated",VLOOKUP(I1885,MappingTables!$B$19:$C$31,2,FALSE))</f>
        <v>4</v>
      </c>
      <c r="K1885" s="72">
        <v>24352.142834363608</v>
      </c>
      <c r="L1885" s="70">
        <v>2.9752053172232956</v>
      </c>
      <c r="M1885" s="71">
        <f>IF(L1885&lt;1,1,L1885)</f>
        <v>2.9752053172232956</v>
      </c>
      <c r="N1885" s="70" t="s">
        <v>141</v>
      </c>
      <c r="O1885" s="71">
        <f>INDEX(DurClassMapping,MATCH(M1885,MappingTables!$D$4:$D$8,-1),1)</f>
        <v>1</v>
      </c>
      <c r="P1885" s="73">
        <f>IF(M1885=$A$1,1,$M1885-INDEX(MappingTables!$E$4:$E$8,MATCH(O1885,MappingTables!$B$4:$B$8,0)))</f>
        <v>2.9752053172232956</v>
      </c>
      <c r="Q1885" s="71">
        <f>IF(B1885="",0,INDEX(ModelParameters!$D$6:$K$10,MATCH($O1885,ModelParameters!$B$6:$B$10,0),MATCH($J1885,ModelParameters!$D$5:$K$5,0)))</f>
        <v>0.045</v>
      </c>
      <c r="R1885" s="71">
        <f>IF(B1885="",0,INDEX(ModelParameters!$D$13:$K$17,MATCH($O1885,ModelParameters!$B$13:$B$17,0),MATCH($J1885,ModelParameters!$D$5:$K$5,0)))</f>
        <v>0</v>
      </c>
      <c r="S1885" s="160">
        <f>IF(B1885="",0,MIN(IF($N1885="Other Bond TM",ModelParameters!$N$21,1)*(P1885*Q1885+R1885),1))</f>
        <v>0.1338842392750483</v>
      </c>
      <c r="T1885" s="85">
        <f>IF(B1885="",0,$S1885*$K1885)</f>
        <v>3260.3681180960904</v>
      </c>
      <c r="U1885" s="85">
        <f>IF(B1885="",0,IF(OR(H1885=MappingTables!$C$34,H1885=MappingTables!$C$35),T1885,0))</f>
        <v>0</v>
      </c>
      <c r="V1885" s="85">
        <f>IF(ISNA(IF(AND(VLOOKUP(CONCATENATE($D1885,$G1885),CSRFinput!$B:$E,4,0)=0,OR(H1885=MappingTables!$C$34,H1885=MappingTables!$C$35)),1,VLOOKUP(CONCATENATE($D1885,$G1885),CSRFinput!$B:$E,4,0))),0,IF(AND(VLOOKUP(CONCATENATE($D1885,$G1885),CSRFinput!$B:$E,4,0)=0,OR(H1885=MappingTables!$C$34,H1885=MappingTables!$C$35)),1,VLOOKUP(CONCATENATE($D1885,$G1885),CSRFinput!$B:$E,4,0)))</f>
        <v>0.054776304963434752</v>
      </c>
      <c r="W1885" s="85">
        <f>IF(B1885="",0,+$T1885*$V1885)</f>
        <v>178.5909183298913</v>
      </c>
      <c r="X1885" s="85">
        <f>IF(B1885="",0,IF(OR(H1885=MappingTables!$C$34,H1885=MappingTables!$C$35),W1885,0))</f>
        <v>0</v>
      </c>
    </row>
    <row r="1886" spans="2:24" s="0" customFormat="0" ht="15">
      <c r="B1886" s="69">
        <v>18152759</v>
      </c>
      <c r="C1886" s="70" t="s">
        <v>1077</v>
      </c>
      <c r="D1886" s="70" t="s">
        <v>1</v>
      </c>
      <c r="E1886" s="70" t="s">
        <v>1</v>
      </c>
      <c r="F1886" s="70"/>
      <c r="G1886" s="70" t="s">
        <v>61</v>
      </c>
      <c r="H1886" s="70" t="s">
        <v>178</v>
      </c>
      <c r="I1886" s="70" t="s">
        <v>179</v>
      </c>
      <c r="J1886" s="71">
        <f>IF(OR(I1886=0,I1886=""),"unrated",VLOOKUP(I1886,MappingTables!$B$19:$C$31,2,FALSE))</f>
        <v>4</v>
      </c>
      <c r="K1886" s="72">
        <v>7177.268908499904</v>
      </c>
      <c r="L1886" s="70">
        <v>4.371928264548768</v>
      </c>
      <c r="M1886" s="71">
        <f>IF(L1886&lt;1,1,L1886)</f>
        <v>4.371928264548768</v>
      </c>
      <c r="N1886" s="70" t="s">
        <v>141</v>
      </c>
      <c r="O1886" s="71">
        <f>INDEX(DurClassMapping,MATCH(M1886,MappingTables!$D$4:$D$8,-1),1)</f>
        <v>1</v>
      </c>
      <c r="P1886" s="73">
        <f>IF(M1886=$A$1,1,$M1886-INDEX(MappingTables!$E$4:$E$8,MATCH(O1886,MappingTables!$B$4:$B$8,0)))</f>
        <v>4.371928264548768</v>
      </c>
      <c r="Q1886" s="71">
        <f>IF(B1886="",0,INDEX(ModelParameters!$D$6:$K$10,MATCH($O1886,ModelParameters!$B$6:$B$10,0),MATCH($J1886,ModelParameters!$D$5:$K$5,0)))</f>
        <v>0.045</v>
      </c>
      <c r="R1886" s="71">
        <f>IF(B1886="",0,INDEX(ModelParameters!$D$13:$K$17,MATCH($O1886,ModelParameters!$B$13:$B$17,0),MATCH($J1886,ModelParameters!$D$5:$K$5,0)))</f>
        <v>0</v>
      </c>
      <c r="S1886" s="160">
        <f>IF(B1886="",0,MIN(IF($N1886="Other Bond TM",ModelParameters!$N$21,1)*(P1886*Q1886+R1886),1))</f>
        <v>0.19673677190469456</v>
      </c>
      <c r="T1886" s="85">
        <f>IF(B1886="",0,$S1886*$K1886)</f>
        <v>1412.0327161502018</v>
      </c>
      <c r="U1886" s="85">
        <f>IF(B1886="",0,IF(OR(H1886=MappingTables!$C$34,H1886=MappingTables!$C$35),T1886,0))</f>
        <v>0</v>
      </c>
      <c r="V1886" s="85">
        <f>IF(ISNA(IF(AND(VLOOKUP(CONCATENATE($D1886,$G1886),CSRFinput!$B:$E,4,0)=0,OR(H1886=MappingTables!$C$34,H1886=MappingTables!$C$35)),1,VLOOKUP(CONCATENATE($D1886,$G1886),CSRFinput!$B:$E,4,0))),0,IF(AND(VLOOKUP(CONCATENATE($D1886,$G1886),CSRFinput!$B:$E,4,0)=0,OR(H1886=MappingTables!$C$34,H1886=MappingTables!$C$35)),1,VLOOKUP(CONCATENATE($D1886,$G1886),CSRFinput!$B:$E,4,0)))</f>
        <v>0.054776304963434752</v>
      </c>
      <c r="W1886" s="85">
        <f>IF(B1886="",0,+$T1886*$V1886)</f>
        <v>77.34593467819056</v>
      </c>
      <c r="X1886" s="85">
        <f>IF(B1886="",0,IF(OR(H1886=MappingTables!$C$34,H1886=MappingTables!$C$35),W1886,0))</f>
        <v>0</v>
      </c>
    </row>
    <row r="1887" spans="2:24" s="0" customFormat="0" ht="15">
      <c r="B1887" s="69">
        <v>24190230</v>
      </c>
      <c r="C1887" s="70" t="s">
        <v>2057</v>
      </c>
      <c r="D1887" s="70" t="s">
        <v>1</v>
      </c>
      <c r="E1887" s="70" t="s">
        <v>1</v>
      </c>
      <c r="F1887" s="70"/>
      <c r="G1887" s="70" t="s">
        <v>61</v>
      </c>
      <c r="H1887" s="70" t="s">
        <v>178</v>
      </c>
      <c r="I1887" s="70" t="s">
        <v>179</v>
      </c>
      <c r="J1887" s="71">
        <f>IF(OR(I1887=0,I1887=""),"unrated",VLOOKUP(I1887,MappingTables!$B$19:$C$31,2,FALSE))</f>
        <v>4</v>
      </c>
      <c r="K1887" s="72">
        <v>2457.5855108052128</v>
      </c>
      <c r="L1887" s="70">
        <v>2.5037377136188076</v>
      </c>
      <c r="M1887" s="71">
        <f>IF(L1887&lt;1,1,L1887)</f>
        <v>2.5037377136188076</v>
      </c>
      <c r="N1887" s="70" t="s">
        <v>141</v>
      </c>
      <c r="O1887" s="71">
        <f>INDEX(DurClassMapping,MATCH(M1887,MappingTables!$D$4:$D$8,-1),1)</f>
        <v>1</v>
      </c>
      <c r="P1887" s="73">
        <f>IF(M1887=$A$1,1,$M1887-INDEX(MappingTables!$E$4:$E$8,MATCH(O1887,MappingTables!$B$4:$B$8,0)))</f>
        <v>2.5037377136188076</v>
      </c>
      <c r="Q1887" s="71">
        <f>IF(B1887="",0,INDEX(ModelParameters!$D$6:$K$10,MATCH($O1887,ModelParameters!$B$6:$B$10,0),MATCH($J1887,ModelParameters!$D$5:$K$5,0)))</f>
        <v>0.045</v>
      </c>
      <c r="R1887" s="71">
        <f>IF(B1887="",0,INDEX(ModelParameters!$D$13:$K$17,MATCH($O1887,ModelParameters!$B$13:$B$17,0),MATCH($J1887,ModelParameters!$D$5:$K$5,0)))</f>
        <v>0</v>
      </c>
      <c r="S1887" s="160">
        <f>IF(B1887="",0,MIN(IF($N1887="Other Bond TM",ModelParameters!$N$21,1)*(P1887*Q1887+R1887),1))</f>
        <v>0.11266819711284634</v>
      </c>
      <c r="T1887" s="85">
        <f>IF(B1887="",0,$S1887*$K1887)</f>
        <v>276.89172875307692</v>
      </c>
      <c r="U1887" s="85">
        <f>IF(B1887="",0,IF(OR(H1887=MappingTables!$C$34,H1887=MappingTables!$C$35),T1887,0))</f>
        <v>0</v>
      </c>
      <c r="V1887" s="85">
        <f>IF(ISNA(IF(AND(VLOOKUP(CONCATENATE($D1887,$G1887),CSRFinput!$B:$E,4,0)=0,OR(H1887=MappingTables!$C$34,H1887=MappingTables!$C$35)),1,VLOOKUP(CONCATENATE($D1887,$G1887),CSRFinput!$B:$E,4,0))),0,IF(AND(VLOOKUP(CONCATENATE($D1887,$G1887),CSRFinput!$B:$E,4,0)=0,OR(H1887=MappingTables!$C$34,H1887=MappingTables!$C$35)),1,VLOOKUP(CONCATENATE($D1887,$G1887),CSRFinput!$B:$E,4,0)))</f>
        <v>0.054776304963434752</v>
      </c>
      <c r="W1887" s="85">
        <f>IF(B1887="",0,+$T1887*$V1887)</f>
        <v>15.167105776031196</v>
      </c>
      <c r="X1887" s="85">
        <f>IF(B1887="",0,IF(OR(H1887=MappingTables!$C$34,H1887=MappingTables!$C$35),W1887,0))</f>
        <v>0</v>
      </c>
    </row>
    <row r="1888" spans="2:24" s="0" customFormat="0" ht="15">
      <c r="B1888" s="69">
        <v>23146109</v>
      </c>
      <c r="C1888" s="70" t="s">
        <v>1795</v>
      </c>
      <c r="D1888" s="70" t="s">
        <v>1</v>
      </c>
      <c r="E1888" s="70" t="s">
        <v>1</v>
      </c>
      <c r="F1888" s="70"/>
      <c r="G1888" s="70" t="s">
        <v>61</v>
      </c>
      <c r="H1888" s="70" t="s">
        <v>178</v>
      </c>
      <c r="I1888" s="70" t="s">
        <v>220</v>
      </c>
      <c r="J1888" s="71">
        <f>IF(OR(I1888=0,I1888=""),"unrated",VLOOKUP(I1888,MappingTables!$B$19:$C$31,2,FALSE))</f>
        <v>1</v>
      </c>
      <c r="K1888" s="72">
        <v>3248.6063754701344</v>
      </c>
      <c r="L1888" s="70">
        <v>0.13150695459629778</v>
      </c>
      <c r="M1888" s="71">
        <f>IF(L1888&lt;1,1,L1888)</f>
        <v>1</v>
      </c>
      <c r="N1888" s="70" t="s">
        <v>141</v>
      </c>
      <c r="O1888" s="71">
        <f>INDEX(DurClassMapping,MATCH(M1888,MappingTables!$D$4:$D$8,-1),1)</f>
        <v>1</v>
      </c>
      <c r="P1888" s="73">
        <f>IF(M1888=$A$1,1,$M1888-INDEX(MappingTables!$E$4:$E$8,MATCH(O1888,MappingTables!$B$4:$B$8,0)))</f>
        <v>1</v>
      </c>
      <c r="Q1888" s="71">
        <f>IF(B1888="",0,INDEX(ModelParameters!$D$6:$K$10,MATCH($O1888,ModelParameters!$B$6:$B$10,0),MATCH($J1888,ModelParameters!$D$5:$K$5,0)))</f>
        <v>0.011000000000000002</v>
      </c>
      <c r="R1888" s="71">
        <f>IF(B1888="",0,INDEX(ModelParameters!$D$13:$K$17,MATCH($O1888,ModelParameters!$B$13:$B$17,0),MATCH($J1888,ModelParameters!$D$5:$K$5,0)))</f>
        <v>0</v>
      </c>
      <c r="S1888" s="160">
        <f>IF(B1888="",0,MIN(IF($N1888="Other Bond TM",ModelParameters!$N$21,1)*(P1888*Q1888+R1888),1))</f>
        <v>0.011000000000000002</v>
      </c>
      <c r="T1888" s="85">
        <f>IF(B1888="",0,$S1888*$K1888)</f>
        <v>35.73467013017148</v>
      </c>
      <c r="U1888" s="85">
        <f>IF(B1888="",0,IF(OR(H1888=MappingTables!$C$34,H1888=MappingTables!$C$35),T1888,0))</f>
        <v>0</v>
      </c>
      <c r="V1888" s="85">
        <f>IF(ISNA(IF(AND(VLOOKUP(CONCATENATE($D1888,$G1888),CSRFinput!$B:$E,4,0)=0,OR(H1888=MappingTables!$C$34,H1888=MappingTables!$C$35)),1,VLOOKUP(CONCATENATE($D1888,$G1888),CSRFinput!$B:$E,4,0))),0,IF(AND(VLOOKUP(CONCATENATE($D1888,$G1888),CSRFinput!$B:$E,4,0)=0,OR(H1888=MappingTables!$C$34,H1888=MappingTables!$C$35)),1,VLOOKUP(CONCATENATE($D1888,$G1888),CSRFinput!$B:$E,4,0)))</f>
        <v>0.054776304963434752</v>
      </c>
      <c r="W1888" s="85">
        <f>IF(B1888="",0,+$T1888*$V1888)</f>
        <v>1.9574131888180156</v>
      </c>
      <c r="X1888" s="85">
        <f>IF(B1888="",0,IF(OR(H1888=MappingTables!$C$34,H1888=MappingTables!$C$35),W1888,0))</f>
        <v>0</v>
      </c>
    </row>
    <row r="1889" spans="2:24" s="0" customFormat="0" ht="15">
      <c r="B1889" s="69">
        <v>20204088</v>
      </c>
      <c r="C1889" s="70" t="s">
        <v>2058</v>
      </c>
      <c r="D1889" s="70" t="s">
        <v>1</v>
      </c>
      <c r="E1889" s="70" t="s">
        <v>1</v>
      </c>
      <c r="F1889" s="70"/>
      <c r="G1889" s="70" t="s">
        <v>61</v>
      </c>
      <c r="H1889" s="70" t="s">
        <v>178</v>
      </c>
      <c r="I1889" s="70" t="s">
        <v>181</v>
      </c>
      <c r="J1889" s="71">
        <f>IF(OR(I1889=0,I1889=""),"unrated",VLOOKUP(I1889,MappingTables!$B$19:$C$31,2,FALSE))</f>
        <v>3</v>
      </c>
      <c r="K1889" s="72">
        <v>889.00949745496208</v>
      </c>
      <c r="L1889" s="70">
        <v>7.16896023266722</v>
      </c>
      <c r="M1889" s="71">
        <f>IF(L1889&lt;1,1,L1889)</f>
        <v>7.16896023266722</v>
      </c>
      <c r="N1889" s="70" t="s">
        <v>141</v>
      </c>
      <c r="O1889" s="71">
        <f>INDEX(DurClassMapping,MATCH(M1889,MappingTables!$D$4:$D$8,-1),1)</f>
        <v>2</v>
      </c>
      <c r="P1889" s="73">
        <f>IF(M1889=$A$1,1,$M1889-INDEX(MappingTables!$E$4:$E$8,MATCH(O1889,MappingTables!$B$4:$B$8,0)))</f>
        <v>2.16896023266722</v>
      </c>
      <c r="Q1889" s="71">
        <f>IF(B1889="",0,INDEX(ModelParameters!$D$6:$K$10,MATCH($O1889,ModelParameters!$B$6:$B$10,0),MATCH($J1889,ModelParameters!$D$5:$K$5,0)))</f>
        <v>0.015</v>
      </c>
      <c r="R1889" s="71">
        <f>IF(B1889="",0,INDEX(ModelParameters!$D$13:$K$17,MATCH($O1889,ModelParameters!$B$13:$B$17,0),MATCH($J1889,ModelParameters!$D$5:$K$5,0)))</f>
        <v>0.125</v>
      </c>
      <c r="S1889" s="160">
        <f>IF(B1889="",0,MIN(IF($N1889="Other Bond TM",ModelParameters!$N$21,1)*(P1889*Q1889+R1889),1))</f>
        <v>0.1575344034900083</v>
      </c>
      <c r="T1889" s="85">
        <f>IF(B1889="",0,$S1889*$K1889)</f>
        <v>140.04958087851952</v>
      </c>
      <c r="U1889" s="85">
        <f>IF(B1889="",0,IF(OR(H1889=MappingTables!$C$34,H1889=MappingTables!$C$35),T1889,0))</f>
        <v>0</v>
      </c>
      <c r="V1889" s="85">
        <f>IF(ISNA(IF(AND(VLOOKUP(CONCATENATE($D1889,$G1889),CSRFinput!$B:$E,4,0)=0,OR(H1889=MappingTables!$C$34,H1889=MappingTables!$C$35)),1,VLOOKUP(CONCATENATE($D1889,$G1889),CSRFinput!$B:$E,4,0))),0,IF(AND(VLOOKUP(CONCATENATE($D1889,$G1889),CSRFinput!$B:$E,4,0)=0,OR(H1889=MappingTables!$C$34,H1889=MappingTables!$C$35)),1,VLOOKUP(CONCATENATE($D1889,$G1889),CSRFinput!$B:$E,4,0)))</f>
        <v>0.054776304963434752</v>
      </c>
      <c r="W1889" s="85">
        <f>IF(B1889="",0,+$T1889*$V1889)</f>
        <v>7.6713985522030064</v>
      </c>
      <c r="X1889" s="85">
        <f>IF(B1889="",0,IF(OR(H1889=MappingTables!$C$34,H1889=MappingTables!$C$35),W1889,0))</f>
        <v>0</v>
      </c>
    </row>
    <row r="1890" spans="2:24" s="0" customFormat="0" ht="15">
      <c r="B1890" s="69">
        <v>18109196</v>
      </c>
      <c r="C1890" s="70" t="s">
        <v>1582</v>
      </c>
      <c r="D1890" s="70" t="s">
        <v>1</v>
      </c>
      <c r="E1890" s="70" t="s">
        <v>1</v>
      </c>
      <c r="F1890" s="70"/>
      <c r="G1890" s="70" t="s">
        <v>61</v>
      </c>
      <c r="H1890" s="70" t="s">
        <v>178</v>
      </c>
      <c r="I1890" s="70" t="s">
        <v>198</v>
      </c>
      <c r="J1890" s="71" t="str">
        <f>IF(OR(I1890=0,I1890=""),"unrated",VLOOKUP(I1890,MappingTables!$B$19:$C$31,2,FALSE))</f>
        <v>unrated</v>
      </c>
      <c r="K1890" s="72">
        <v>774.49585408085632</v>
      </c>
      <c r="L1890" s="70">
        <v>0.85480547818846336</v>
      </c>
      <c r="M1890" s="71">
        <f>IF(L1890&lt;1,1,L1890)</f>
        <v>1</v>
      </c>
      <c r="N1890" s="70" t="s">
        <v>141</v>
      </c>
      <c r="O1890" s="71">
        <f>INDEX(DurClassMapping,MATCH(M1890,MappingTables!$D$4:$D$8,-1),1)</f>
        <v>1</v>
      </c>
      <c r="P1890" s="73">
        <f>IF(M1890=$A$1,1,$M1890-INDEX(MappingTables!$E$4:$E$8,MATCH(O1890,MappingTables!$B$4:$B$8,0)))</f>
        <v>1</v>
      </c>
      <c r="Q1890" s="71">
        <f>IF(B1890="",0,INDEX(ModelParameters!$D$6:$K$10,MATCH($O1890,ModelParameters!$B$6:$B$10,0),MATCH($J1890,ModelParameters!$D$5:$K$5,0)))</f>
        <v>0.03</v>
      </c>
      <c r="R1890" s="71">
        <f>IF(B1890="",0,INDEX(ModelParameters!$D$13:$K$17,MATCH($O1890,ModelParameters!$B$13:$B$17,0),MATCH($J1890,ModelParameters!$D$5:$K$5,0)))</f>
        <v>0</v>
      </c>
      <c r="S1890" s="160">
        <f>IF(B1890="",0,MIN(IF($N1890="Other Bond TM",ModelParameters!$N$21,1)*(P1890*Q1890+R1890),1))</f>
        <v>0.03</v>
      </c>
      <c r="T1890" s="85">
        <f>IF(B1890="",0,$S1890*$K1890)</f>
        <v>23.234875622425688</v>
      </c>
      <c r="U1890" s="85">
        <f>IF(B1890="",0,IF(OR(H1890=MappingTables!$C$34,H1890=MappingTables!$C$35),T1890,0))</f>
        <v>0</v>
      </c>
      <c r="V1890" s="85">
        <f>IF(ISNA(IF(AND(VLOOKUP(CONCATENATE($D1890,$G1890),CSRFinput!$B:$E,4,0)=0,OR(H1890=MappingTables!$C$34,H1890=MappingTables!$C$35)),1,VLOOKUP(CONCATENATE($D1890,$G1890),CSRFinput!$B:$E,4,0))),0,IF(AND(VLOOKUP(CONCATENATE($D1890,$G1890),CSRFinput!$B:$E,4,0)=0,OR(H1890=MappingTables!$C$34,H1890=MappingTables!$C$35)),1,VLOOKUP(CONCATENATE($D1890,$G1890),CSRFinput!$B:$E,4,0)))</f>
        <v>0.054776304963434752</v>
      </c>
      <c r="W1890" s="85">
        <f>IF(B1890="",0,+$T1890*$V1890)</f>
        <v>1.2727206328814654</v>
      </c>
      <c r="X1890" s="85">
        <f>IF(B1890="",0,IF(OR(H1890=MappingTables!$C$34,H1890=MappingTables!$C$35),W1890,0))</f>
        <v>0</v>
      </c>
    </row>
    <row r="1891" spans="2:24" s="0" customFormat="0" ht="15">
      <c r="B1891" s="69">
        <v>22124822</v>
      </c>
      <c r="C1891" s="70" t="s">
        <v>2059</v>
      </c>
      <c r="D1891" s="70" t="s">
        <v>1</v>
      </c>
      <c r="E1891" s="70" t="s">
        <v>1</v>
      </c>
      <c r="F1891" s="70"/>
      <c r="G1891" s="70" t="s">
        <v>61</v>
      </c>
      <c r="H1891" s="70" t="s">
        <v>178</v>
      </c>
      <c r="I1891" s="70" t="s">
        <v>181</v>
      </c>
      <c r="J1891" s="71">
        <f>IF(OR(I1891=0,I1891=""),"unrated",VLOOKUP(I1891,MappingTables!$B$19:$C$31,2,FALSE))</f>
        <v>3</v>
      </c>
      <c r="K1891" s="72">
        <v>84.008457683401648</v>
      </c>
      <c r="L1891" s="70">
        <v>8.08945004224964</v>
      </c>
      <c r="M1891" s="71">
        <f>IF(L1891&lt;1,1,L1891)</f>
        <v>8.08945004224964</v>
      </c>
      <c r="N1891" s="70" t="s">
        <v>141</v>
      </c>
      <c r="O1891" s="71">
        <f>INDEX(DurClassMapping,MATCH(M1891,MappingTables!$D$4:$D$8,-1),1)</f>
        <v>2</v>
      </c>
      <c r="P1891" s="73">
        <f>IF(M1891=$A$1,1,$M1891-INDEX(MappingTables!$E$4:$E$8,MATCH(O1891,MappingTables!$B$4:$B$8,0)))</f>
        <v>3.0894500422496396</v>
      </c>
      <c r="Q1891" s="71">
        <f>IF(B1891="",0,INDEX(ModelParameters!$D$6:$K$10,MATCH($O1891,ModelParameters!$B$6:$B$10,0),MATCH($J1891,ModelParameters!$D$5:$K$5,0)))</f>
        <v>0.015</v>
      </c>
      <c r="R1891" s="71">
        <f>IF(B1891="",0,INDEX(ModelParameters!$D$13:$K$17,MATCH($O1891,ModelParameters!$B$13:$B$17,0),MATCH($J1891,ModelParameters!$D$5:$K$5,0)))</f>
        <v>0.125</v>
      </c>
      <c r="S1891" s="160">
        <f>IF(B1891="",0,MIN(IF($N1891="Other Bond TM",ModelParameters!$N$21,1)*(P1891*Q1891+R1891),1))</f>
        <v>0.1713417506337446</v>
      </c>
      <c r="T1891" s="85">
        <f>IF(B1891="",0,$S1891*$K1891)</f>
        <v>14.39415620751489</v>
      </c>
      <c r="U1891" s="85">
        <f>IF(B1891="",0,IF(OR(H1891=MappingTables!$C$34,H1891=MappingTables!$C$35),T1891,0))</f>
        <v>0</v>
      </c>
      <c r="V1891" s="85">
        <f>IF(ISNA(IF(AND(VLOOKUP(CONCATENATE($D1891,$G1891),CSRFinput!$B:$E,4,0)=0,OR(H1891=MappingTables!$C$34,H1891=MappingTables!$C$35)),1,VLOOKUP(CONCATENATE($D1891,$G1891),CSRFinput!$B:$E,4,0))),0,IF(AND(VLOOKUP(CONCATENATE($D1891,$G1891),CSRFinput!$B:$E,4,0)=0,OR(H1891=MappingTables!$C$34,H1891=MappingTables!$C$35)),1,VLOOKUP(CONCATENATE($D1891,$G1891),CSRFinput!$B:$E,4,0)))</f>
        <v>0.054776304963434752</v>
      </c>
      <c r="W1891" s="85">
        <f>IF(B1891="",0,+$T1891*$V1891)</f>
        <v>0.78845869011415296</v>
      </c>
      <c r="X1891" s="85">
        <f>IF(B1891="",0,IF(OR(H1891=MappingTables!$C$34,H1891=MappingTables!$C$35),W1891,0))</f>
        <v>0</v>
      </c>
    </row>
    <row r="1892" spans="2:24" s="0" customFormat="0" ht="15">
      <c r="B1892" s="69">
        <v>13302207</v>
      </c>
      <c r="C1892" s="70" t="s">
        <v>2060</v>
      </c>
      <c r="D1892" s="70" t="s">
        <v>1</v>
      </c>
      <c r="E1892" s="70" t="s">
        <v>1</v>
      </c>
      <c r="F1892" s="70"/>
      <c r="G1892" s="70" t="s">
        <v>61</v>
      </c>
      <c r="H1892" s="70" t="s">
        <v>178</v>
      </c>
      <c r="I1892" s="70" t="s">
        <v>188</v>
      </c>
      <c r="J1892" s="71">
        <f>IF(OR(I1892=0,I1892=""),"unrated",VLOOKUP(I1892,MappingTables!$B$19:$C$31,2,FALSE))</f>
        <v>2</v>
      </c>
      <c r="K1892" s="72">
        <v>2404.754599190518</v>
      </c>
      <c r="L1892" s="70">
        <v>0.0849357037031772</v>
      </c>
      <c r="M1892" s="71">
        <f>IF(L1892&lt;1,1,L1892)</f>
        <v>1</v>
      </c>
      <c r="N1892" s="70" t="s">
        <v>141</v>
      </c>
      <c r="O1892" s="71">
        <f>INDEX(DurClassMapping,MATCH(M1892,MappingTables!$D$4:$D$8,-1),1)</f>
        <v>1</v>
      </c>
      <c r="P1892" s="73">
        <f>IF(M1892=$A$1,1,$M1892-INDEX(MappingTables!$E$4:$E$8,MATCH(O1892,MappingTables!$B$4:$B$8,0)))</f>
        <v>1</v>
      </c>
      <c r="Q1892" s="71">
        <f>IF(B1892="",0,INDEX(ModelParameters!$D$6:$K$10,MATCH($O1892,ModelParameters!$B$6:$B$10,0),MATCH($J1892,ModelParameters!$D$5:$K$5,0)))</f>
        <v>0.013999999999999998</v>
      </c>
      <c r="R1892" s="71">
        <f>IF(B1892="",0,INDEX(ModelParameters!$D$13:$K$17,MATCH($O1892,ModelParameters!$B$13:$B$17,0),MATCH($J1892,ModelParameters!$D$5:$K$5,0)))</f>
        <v>0</v>
      </c>
      <c r="S1892" s="160">
        <f>IF(B1892="",0,MIN(IF($N1892="Other Bond TM",ModelParameters!$N$21,1)*(P1892*Q1892+R1892),1))</f>
        <v>0.013999999999999998</v>
      </c>
      <c r="T1892" s="85">
        <f>IF(B1892="",0,$S1892*$K1892)</f>
        <v>33.666564388667248</v>
      </c>
      <c r="U1892" s="85">
        <f>IF(B1892="",0,IF(OR(H1892=MappingTables!$C$34,H1892=MappingTables!$C$35),T1892,0))</f>
        <v>0</v>
      </c>
      <c r="V1892" s="85">
        <f>IF(ISNA(IF(AND(VLOOKUP(CONCATENATE($D1892,$G1892),CSRFinput!$B:$E,4,0)=0,OR(H1892=MappingTables!$C$34,H1892=MappingTables!$C$35)),1,VLOOKUP(CONCATENATE($D1892,$G1892),CSRFinput!$B:$E,4,0))),0,IF(AND(VLOOKUP(CONCATENATE($D1892,$G1892),CSRFinput!$B:$E,4,0)=0,OR(H1892=MappingTables!$C$34,H1892=MappingTables!$C$35)),1,VLOOKUP(CONCATENATE($D1892,$G1892),CSRFinput!$B:$E,4,0)))</f>
        <v>0.054776304963434752</v>
      </c>
      <c r="W1892" s="85">
        <f>IF(B1892="",0,+$T1892*$V1892)</f>
        <v>1.8441299980247496</v>
      </c>
      <c r="X1892" s="85">
        <f>IF(B1892="",0,IF(OR(H1892=MappingTables!$C$34,H1892=MappingTables!$C$35),W1892,0))</f>
        <v>0</v>
      </c>
    </row>
    <row r="1893" spans="2:24" s="0" customFormat="0" ht="15">
      <c r="B1893" s="69" t="s">
        <v>2061</v>
      </c>
      <c r="C1893" s="70" t="s">
        <v>2062</v>
      </c>
      <c r="D1893" s="70" t="s">
        <v>1</v>
      </c>
      <c r="E1893" s="70" t="s">
        <v>1</v>
      </c>
      <c r="F1893" s="70"/>
      <c r="G1893" s="70" t="s">
        <v>61</v>
      </c>
      <c r="H1893" s="70" t="s">
        <v>178</v>
      </c>
      <c r="I1893" s="70" t="s">
        <v>188</v>
      </c>
      <c r="J1893" s="71">
        <f>IF(OR(I1893=0,I1893=""),"unrated",VLOOKUP(I1893,MappingTables!$B$19:$C$31,2,FALSE))</f>
        <v>2</v>
      </c>
      <c r="K1893" s="72">
        <v>86.769817388687776</v>
      </c>
      <c r="L1893" s="70">
        <v>1.2886377443907138</v>
      </c>
      <c r="M1893" s="71">
        <f>IF(L1893&lt;1,1,L1893)</f>
        <v>1.2886377443907138</v>
      </c>
      <c r="N1893" s="70" t="s">
        <v>141</v>
      </c>
      <c r="O1893" s="71">
        <f>INDEX(DurClassMapping,MATCH(M1893,MappingTables!$D$4:$D$8,-1),1)</f>
        <v>1</v>
      </c>
      <c r="P1893" s="73">
        <f>IF(M1893=$A$1,1,$M1893-INDEX(MappingTables!$E$4:$E$8,MATCH(O1893,MappingTables!$B$4:$B$8,0)))</f>
        <v>1.2886377443907138</v>
      </c>
      <c r="Q1893" s="71">
        <f>IF(B1893="",0,INDEX(ModelParameters!$D$6:$K$10,MATCH($O1893,ModelParameters!$B$6:$B$10,0),MATCH($J1893,ModelParameters!$D$5:$K$5,0)))</f>
        <v>0.013999999999999998</v>
      </c>
      <c r="R1893" s="71">
        <f>IF(B1893="",0,INDEX(ModelParameters!$D$13:$K$17,MATCH($O1893,ModelParameters!$B$13:$B$17,0),MATCH($J1893,ModelParameters!$D$5:$K$5,0)))</f>
        <v>0</v>
      </c>
      <c r="S1893" s="160">
        <f>IF(B1893="",0,MIN(IF($N1893="Other Bond TM",ModelParameters!$N$21,1)*(P1893*Q1893+R1893),1))</f>
        <v>0.018040928421469992</v>
      </c>
      <c r="T1893" s="85">
        <f>IF(B1893="",0,$S1893*$K1893)</f>
        <v>1.5654080646533386</v>
      </c>
      <c r="U1893" s="85">
        <f>IF(B1893="",0,IF(OR(H1893=MappingTables!$C$34,H1893=MappingTables!$C$35),T1893,0))</f>
        <v>0</v>
      </c>
      <c r="V1893" s="85">
        <f>IF(ISNA(IF(AND(VLOOKUP(CONCATENATE($D1893,$G1893),CSRFinput!$B:$E,4,0)=0,OR(H1893=MappingTables!$C$34,H1893=MappingTables!$C$35)),1,VLOOKUP(CONCATENATE($D1893,$G1893),CSRFinput!$B:$E,4,0))),0,IF(AND(VLOOKUP(CONCATENATE($D1893,$G1893),CSRFinput!$B:$E,4,0)=0,OR(H1893=MappingTables!$C$34,H1893=MappingTables!$C$35)),1,VLOOKUP(CONCATENATE($D1893,$G1893),CSRFinput!$B:$E,4,0)))</f>
        <v>0.054776304963434752</v>
      </c>
      <c r="W1893" s="85">
        <f>IF(B1893="",0,+$T1893*$V1893)</f>
        <v>0.085747269541671456</v>
      </c>
      <c r="X1893" s="85">
        <f>IF(B1893="",0,IF(OR(H1893=MappingTables!$C$34,H1893=MappingTables!$C$35),W1893,0))</f>
        <v>0</v>
      </c>
    </row>
    <row r="1894" spans="2:24" s="0" customFormat="0" ht="15">
      <c r="B1894" s="69">
        <v>15497495</v>
      </c>
      <c r="C1894" s="70" t="s">
        <v>2063</v>
      </c>
      <c r="D1894" s="70" t="s">
        <v>1</v>
      </c>
      <c r="E1894" s="70" t="s">
        <v>1</v>
      </c>
      <c r="F1894" s="70"/>
      <c r="G1894" s="70" t="s">
        <v>61</v>
      </c>
      <c r="H1894" s="70" t="s">
        <v>178</v>
      </c>
      <c r="I1894" s="70" t="s">
        <v>188</v>
      </c>
      <c r="J1894" s="71">
        <f>IF(OR(I1894=0,I1894=""),"unrated",VLOOKUP(I1894,MappingTables!$B$19:$C$31,2,FALSE))</f>
        <v>2</v>
      </c>
      <c r="K1894" s="72">
        <v>1284.7690337631666</v>
      </c>
      <c r="L1894" s="70">
        <v>1.9803740058114328</v>
      </c>
      <c r="M1894" s="71">
        <f>IF(L1894&lt;1,1,L1894)</f>
        <v>1.9803740058114328</v>
      </c>
      <c r="N1894" s="70" t="s">
        <v>141</v>
      </c>
      <c r="O1894" s="71">
        <f>INDEX(DurClassMapping,MATCH(M1894,MappingTables!$D$4:$D$8,-1),1)</f>
        <v>1</v>
      </c>
      <c r="P1894" s="73">
        <f>IF(M1894=$A$1,1,$M1894-INDEX(MappingTables!$E$4:$E$8,MATCH(O1894,MappingTables!$B$4:$B$8,0)))</f>
        <v>1.9803740058114328</v>
      </c>
      <c r="Q1894" s="71">
        <f>IF(B1894="",0,INDEX(ModelParameters!$D$6:$K$10,MATCH($O1894,ModelParameters!$B$6:$B$10,0),MATCH($J1894,ModelParameters!$D$5:$K$5,0)))</f>
        <v>0.013999999999999998</v>
      </c>
      <c r="R1894" s="71">
        <f>IF(B1894="",0,INDEX(ModelParameters!$D$13:$K$17,MATCH($O1894,ModelParameters!$B$13:$B$17,0),MATCH($J1894,ModelParameters!$D$5:$K$5,0)))</f>
        <v>0</v>
      </c>
      <c r="S1894" s="160">
        <f>IF(B1894="",0,MIN(IF($N1894="Other Bond TM",ModelParameters!$N$21,1)*(P1894*Q1894+R1894),1))</f>
        <v>0.027725236081360056</v>
      </c>
      <c r="T1894" s="85">
        <f>IF(B1894="",0,$S1894*$K1894)</f>
        <v>35.62052477110464</v>
      </c>
      <c r="U1894" s="85">
        <f>IF(B1894="",0,IF(OR(H1894=MappingTables!$C$34,H1894=MappingTables!$C$35),T1894,0))</f>
        <v>0</v>
      </c>
      <c r="V1894" s="85">
        <f>IF(ISNA(IF(AND(VLOOKUP(CONCATENATE($D1894,$G1894),CSRFinput!$B:$E,4,0)=0,OR(H1894=MappingTables!$C$34,H1894=MappingTables!$C$35)),1,VLOOKUP(CONCATENATE($D1894,$G1894),CSRFinput!$B:$E,4,0))),0,IF(AND(VLOOKUP(CONCATENATE($D1894,$G1894),CSRFinput!$B:$E,4,0)=0,OR(H1894=MappingTables!$C$34,H1894=MappingTables!$C$35)),1,VLOOKUP(CONCATENATE($D1894,$G1894),CSRFinput!$B:$E,4,0)))</f>
        <v>0.054776304963434752</v>
      </c>
      <c r="W1894" s="85">
        <f>IF(B1894="",0,+$T1894*$V1894)</f>
        <v>1.9511607278196096</v>
      </c>
      <c r="X1894" s="85">
        <f>IF(B1894="",0,IF(OR(H1894=MappingTables!$C$34,H1894=MappingTables!$C$35),W1894,0))</f>
        <v>0</v>
      </c>
    </row>
    <row r="1895" spans="2:24" s="0" customFormat="0" ht="15">
      <c r="B1895" s="69" t="s">
        <v>1500</v>
      </c>
      <c r="C1895" s="70" t="s">
        <v>1501</v>
      </c>
      <c r="D1895" s="70" t="s">
        <v>1</v>
      </c>
      <c r="E1895" s="70" t="s">
        <v>1</v>
      </c>
      <c r="F1895" s="70"/>
      <c r="G1895" s="70" t="s">
        <v>61</v>
      </c>
      <c r="H1895" s="70" t="s">
        <v>178</v>
      </c>
      <c r="I1895" s="70" t="s">
        <v>184</v>
      </c>
      <c r="J1895" s="71">
        <f>IF(OR(I1895=0,I1895=""),"unrated",VLOOKUP(I1895,MappingTables!$B$19:$C$31,2,FALSE))</f>
        <v>5</v>
      </c>
      <c r="K1895" s="72">
        <v>2356.060838960486</v>
      </c>
      <c r="L1895" s="70">
        <v>4.3837963374144768</v>
      </c>
      <c r="M1895" s="71">
        <f>IF(L1895&lt;1,1,L1895)</f>
        <v>4.3837963374144768</v>
      </c>
      <c r="N1895" s="70" t="s">
        <v>141</v>
      </c>
      <c r="O1895" s="71">
        <f>INDEX(DurClassMapping,MATCH(M1895,MappingTables!$D$4:$D$8,-1),1)</f>
        <v>1</v>
      </c>
      <c r="P1895" s="73">
        <f>IF(M1895=$A$1,1,$M1895-INDEX(MappingTables!$E$4:$E$8,MATCH(O1895,MappingTables!$B$4:$B$8,0)))</f>
        <v>4.3837963374144768</v>
      </c>
      <c r="Q1895" s="71">
        <f>IF(B1895="",0,INDEX(ModelParameters!$D$6:$K$10,MATCH($O1895,ModelParameters!$B$6:$B$10,0),MATCH($J1895,ModelParameters!$D$5:$K$5,0)))</f>
        <v>0.075</v>
      </c>
      <c r="R1895" s="71">
        <f>IF(B1895="",0,INDEX(ModelParameters!$D$13:$K$17,MATCH($O1895,ModelParameters!$B$13:$B$17,0),MATCH($J1895,ModelParameters!$D$5:$K$5,0)))</f>
        <v>0</v>
      </c>
      <c r="S1895" s="160">
        <f>IF(B1895="",0,MIN(IF($N1895="Other Bond TM",ModelParameters!$N$21,1)*(P1895*Q1895+R1895),1))</f>
        <v>0.32878472530608576</v>
      </c>
      <c r="T1895" s="85">
        <f>IF(B1895="",0,$S1895*$K1895)</f>
        <v>774.63681574204928</v>
      </c>
      <c r="U1895" s="85">
        <f>IF(B1895="",0,IF(OR(H1895=MappingTables!$C$34,H1895=MappingTables!$C$35),T1895,0))</f>
        <v>0</v>
      </c>
      <c r="V1895" s="85">
        <f>IF(ISNA(IF(AND(VLOOKUP(CONCATENATE($D1895,$G1895),CSRFinput!$B:$E,4,0)=0,OR(H1895=MappingTables!$C$34,H1895=MappingTables!$C$35)),1,VLOOKUP(CONCATENATE($D1895,$G1895),CSRFinput!$B:$E,4,0))),0,IF(AND(VLOOKUP(CONCATENATE($D1895,$G1895),CSRFinput!$B:$E,4,0)=0,OR(H1895=MappingTables!$C$34,H1895=MappingTables!$C$35)),1,VLOOKUP(CONCATENATE($D1895,$G1895),CSRFinput!$B:$E,4,0)))</f>
        <v>0.054776304963434752</v>
      </c>
      <c r="W1895" s="85">
        <f>IF(B1895="",0,+$T1895*$V1895)</f>
        <v>42.431742454990504</v>
      </c>
      <c r="X1895" s="85">
        <f>IF(B1895="",0,IF(OR(H1895=MappingTables!$C$34,H1895=MappingTables!$C$35),W1895,0))</f>
        <v>0</v>
      </c>
    </row>
    <row r="1896" spans="2:24" s="0" customFormat="0" ht="15">
      <c r="B1896" s="69">
        <v>14692677</v>
      </c>
      <c r="C1896" s="70" t="s">
        <v>2064</v>
      </c>
      <c r="D1896" s="70" t="s">
        <v>1</v>
      </c>
      <c r="E1896" s="70" t="s">
        <v>1</v>
      </c>
      <c r="F1896" s="70"/>
      <c r="G1896" s="70" t="s">
        <v>61</v>
      </c>
      <c r="H1896" s="70" t="s">
        <v>178</v>
      </c>
      <c r="I1896" s="70" t="s">
        <v>181</v>
      </c>
      <c r="J1896" s="71">
        <f>IF(OR(I1896=0,I1896=""),"unrated",VLOOKUP(I1896,MappingTables!$B$19:$C$31,2,FALSE))</f>
        <v>3</v>
      </c>
      <c r="K1896" s="72">
        <v>4493.6995131270832</v>
      </c>
      <c r="L1896" s="70">
        <v>1.6055605845887902</v>
      </c>
      <c r="M1896" s="71">
        <f>IF(L1896&lt;1,1,L1896)</f>
        <v>1.6055605845887902</v>
      </c>
      <c r="N1896" s="70" t="s">
        <v>141</v>
      </c>
      <c r="O1896" s="71">
        <f>INDEX(DurClassMapping,MATCH(M1896,MappingTables!$D$4:$D$8,-1),1)</f>
        <v>1</v>
      </c>
      <c r="P1896" s="73">
        <f>IF(M1896=$A$1,1,$M1896-INDEX(MappingTables!$E$4:$E$8,MATCH(O1896,MappingTables!$B$4:$B$8,0)))</f>
        <v>1.6055605845887902</v>
      </c>
      <c r="Q1896" s="71">
        <f>IF(B1896="",0,INDEX(ModelParameters!$D$6:$K$10,MATCH($O1896,ModelParameters!$B$6:$B$10,0),MATCH($J1896,ModelParameters!$D$5:$K$5,0)))</f>
        <v>0.025</v>
      </c>
      <c r="R1896" s="71">
        <f>IF(B1896="",0,INDEX(ModelParameters!$D$13:$K$17,MATCH($O1896,ModelParameters!$B$13:$B$17,0),MATCH($J1896,ModelParameters!$D$5:$K$5,0)))</f>
        <v>0</v>
      </c>
      <c r="S1896" s="160">
        <f>IF(B1896="",0,MIN(IF($N1896="Other Bond TM",ModelParameters!$N$21,1)*(P1896*Q1896+R1896),1))</f>
        <v>0.040139014614719752</v>
      </c>
      <c r="T1896" s="85">
        <f>IF(B1896="",0,$S1896*$K1896)</f>
        <v>180.37267043156704</v>
      </c>
      <c r="U1896" s="85">
        <f>IF(B1896="",0,IF(OR(H1896=MappingTables!$C$34,H1896=MappingTables!$C$35),T1896,0))</f>
        <v>0</v>
      </c>
      <c r="V1896" s="85">
        <f>IF(ISNA(IF(AND(VLOOKUP(CONCATENATE($D1896,$G1896),CSRFinput!$B:$E,4,0)=0,OR(H1896=MappingTables!$C$34,H1896=MappingTables!$C$35)),1,VLOOKUP(CONCATENATE($D1896,$G1896),CSRFinput!$B:$E,4,0))),0,IF(AND(VLOOKUP(CONCATENATE($D1896,$G1896),CSRFinput!$B:$E,4,0)=0,OR(H1896=MappingTables!$C$34,H1896=MappingTables!$C$35)),1,VLOOKUP(CONCATENATE($D1896,$G1896),CSRFinput!$B:$E,4,0)))</f>
        <v>0.054776304963434752</v>
      </c>
      <c r="W1896" s="85">
        <f>IF(B1896="",0,+$T1896*$V1896)</f>
        <v>9.8801484026286256</v>
      </c>
      <c r="X1896" s="85">
        <f>IF(B1896="",0,IF(OR(H1896=MappingTables!$C$34,H1896=MappingTables!$C$35),W1896,0))</f>
        <v>0</v>
      </c>
    </row>
    <row r="1897" spans="2:24" s="0" customFormat="0" ht="15">
      <c r="B1897" s="69">
        <v>14770812</v>
      </c>
      <c r="C1897" s="70" t="s">
        <v>2065</v>
      </c>
      <c r="D1897" s="70" t="s">
        <v>1</v>
      </c>
      <c r="E1897" s="70" t="s">
        <v>1</v>
      </c>
      <c r="F1897" s="70"/>
      <c r="G1897" s="70" t="s">
        <v>61</v>
      </c>
      <c r="H1897" s="70" t="s">
        <v>178</v>
      </c>
      <c r="I1897" s="70" t="s">
        <v>179</v>
      </c>
      <c r="J1897" s="71">
        <f>IF(OR(I1897=0,I1897=""),"unrated",VLOOKUP(I1897,MappingTables!$B$19:$C$31,2,FALSE))</f>
        <v>4</v>
      </c>
      <c r="K1897" s="72">
        <v>8569.1249555703168</v>
      </c>
      <c r="L1897" s="70">
        <v>5.3110116735164528</v>
      </c>
      <c r="M1897" s="71">
        <f>IF(L1897&lt;1,1,L1897)</f>
        <v>5.3110116735164528</v>
      </c>
      <c r="N1897" s="70" t="s">
        <v>141</v>
      </c>
      <c r="O1897" s="71">
        <f>INDEX(DurClassMapping,MATCH(M1897,MappingTables!$D$4:$D$8,-1),1)</f>
        <v>2</v>
      </c>
      <c r="P1897" s="73">
        <f>IF(M1897=$A$1,1,$M1897-INDEX(MappingTables!$E$4:$E$8,MATCH(O1897,MappingTables!$B$4:$B$8,0)))</f>
        <v>0.31101167351645296</v>
      </c>
      <c r="Q1897" s="71">
        <f>IF(B1897="",0,INDEX(ModelParameters!$D$6:$K$10,MATCH($O1897,ModelParameters!$B$6:$B$10,0),MATCH($J1897,ModelParameters!$D$5:$K$5,0)))</f>
        <v>0.025</v>
      </c>
      <c r="R1897" s="71">
        <f>IF(B1897="",0,INDEX(ModelParameters!$D$13:$K$17,MATCH($O1897,ModelParameters!$B$13:$B$17,0),MATCH($J1897,ModelParameters!$D$5:$K$5,0)))</f>
        <v>0.225</v>
      </c>
      <c r="S1897" s="160">
        <f>IF(B1897="",0,MIN(IF($N1897="Other Bond TM",ModelParameters!$N$21,1)*(P1897*Q1897+R1897),1))</f>
        <v>0.23277529183791132</v>
      </c>
      <c r="T1897" s="85">
        <f>IF(B1897="",0,$S1897*$K1897)</f>
        <v>1994.6805623284092</v>
      </c>
      <c r="U1897" s="85">
        <f>IF(B1897="",0,IF(OR(H1897=MappingTables!$C$34,H1897=MappingTables!$C$35),T1897,0))</f>
        <v>0</v>
      </c>
      <c r="V1897" s="85">
        <f>IF(ISNA(IF(AND(VLOOKUP(CONCATENATE($D1897,$G1897),CSRFinput!$B:$E,4,0)=0,OR(H1897=MappingTables!$C$34,H1897=MappingTables!$C$35)),1,VLOOKUP(CONCATENATE($D1897,$G1897),CSRFinput!$B:$E,4,0))),0,IF(AND(VLOOKUP(CONCATENATE($D1897,$G1897),CSRFinput!$B:$E,4,0)=0,OR(H1897=MappingTables!$C$34,H1897=MappingTables!$C$35)),1,VLOOKUP(CONCATENATE($D1897,$G1897),CSRFinput!$B:$E,4,0)))</f>
        <v>0.054776304963434752</v>
      </c>
      <c r="W1897" s="85">
        <f>IF(B1897="",0,+$T1897*$V1897)</f>
        <v>109.26123078673646</v>
      </c>
      <c r="X1897" s="85">
        <f>IF(B1897="",0,IF(OR(H1897=MappingTables!$C$34,H1897=MappingTables!$C$35),W1897,0))</f>
        <v>0</v>
      </c>
    </row>
    <row r="1898" spans="2:24" s="0" customFormat="0" ht="15">
      <c r="B1898" s="69" t="s">
        <v>1968</v>
      </c>
      <c r="C1898" s="70" t="s">
        <v>1969</v>
      </c>
      <c r="D1898" s="70" t="s">
        <v>1</v>
      </c>
      <c r="E1898" s="70" t="s">
        <v>1</v>
      </c>
      <c r="F1898" s="70"/>
      <c r="G1898" s="70" t="s">
        <v>61</v>
      </c>
      <c r="H1898" s="70" t="s">
        <v>178</v>
      </c>
      <c r="I1898" s="70" t="s">
        <v>198</v>
      </c>
      <c r="J1898" s="71" t="str">
        <f>IF(OR(I1898=0,I1898=""),"unrated",VLOOKUP(I1898,MappingTables!$B$19:$C$31,2,FALSE))</f>
        <v>unrated</v>
      </c>
      <c r="K1898" s="72">
        <v>0.066012652992725368</v>
      </c>
      <c r="L1898" s="70">
        <v>0.26575292515002636</v>
      </c>
      <c r="M1898" s="71">
        <f>IF(L1898&lt;1,1,L1898)</f>
        <v>1</v>
      </c>
      <c r="N1898" s="70" t="s">
        <v>141</v>
      </c>
      <c r="O1898" s="71">
        <f>INDEX(DurClassMapping,MATCH(M1898,MappingTables!$D$4:$D$8,-1),1)</f>
        <v>1</v>
      </c>
      <c r="P1898" s="73">
        <f>IF(M1898=$A$1,1,$M1898-INDEX(MappingTables!$E$4:$E$8,MATCH(O1898,MappingTables!$B$4:$B$8,0)))</f>
        <v>1</v>
      </c>
      <c r="Q1898" s="71">
        <f>IF(B1898="",0,INDEX(ModelParameters!$D$6:$K$10,MATCH($O1898,ModelParameters!$B$6:$B$10,0),MATCH($J1898,ModelParameters!$D$5:$K$5,0)))</f>
        <v>0.03</v>
      </c>
      <c r="R1898" s="71">
        <f>IF(B1898="",0,INDEX(ModelParameters!$D$13:$K$17,MATCH($O1898,ModelParameters!$B$13:$B$17,0),MATCH($J1898,ModelParameters!$D$5:$K$5,0)))</f>
        <v>0</v>
      </c>
      <c r="S1898" s="160">
        <f>IF(B1898="",0,MIN(IF($N1898="Other Bond TM",ModelParameters!$N$21,1)*(P1898*Q1898+R1898),1))</f>
        <v>0.03</v>
      </c>
      <c r="T1898" s="85">
        <f>IF(B1898="",0,$S1898*$K1898)</f>
        <v>0.0019803795897817608</v>
      </c>
      <c r="U1898" s="85">
        <f>IF(B1898="",0,IF(OR(H1898=MappingTables!$C$34,H1898=MappingTables!$C$35),T1898,0))</f>
        <v>0</v>
      </c>
      <c r="V1898" s="85">
        <f>IF(ISNA(IF(AND(VLOOKUP(CONCATENATE($D1898,$G1898),CSRFinput!$B:$E,4,0)=0,OR(H1898=MappingTables!$C$34,H1898=MappingTables!$C$35)),1,VLOOKUP(CONCATENATE($D1898,$G1898),CSRFinput!$B:$E,4,0))),0,IF(AND(VLOOKUP(CONCATENATE($D1898,$G1898),CSRFinput!$B:$E,4,0)=0,OR(H1898=MappingTables!$C$34,H1898=MappingTables!$C$35)),1,VLOOKUP(CONCATENATE($D1898,$G1898),CSRFinput!$B:$E,4,0)))</f>
        <v>0.054776304963434752</v>
      </c>
      <c r="W1898" s="85">
        <f>IF(B1898="",0,+$T1898*$V1898)</f>
        <v>0.00010847787635324754</v>
      </c>
      <c r="X1898" s="85">
        <f>IF(B1898="",0,IF(OR(H1898=MappingTables!$C$34,H1898=MappingTables!$C$35),W1898,0))</f>
        <v>0</v>
      </c>
    </row>
    <row r="1899" spans="2:24" s="0" customFormat="0" ht="15">
      <c r="B1899" s="69" t="s">
        <v>2066</v>
      </c>
      <c r="C1899" s="70" t="s">
        <v>2067</v>
      </c>
      <c r="D1899" s="70" t="s">
        <v>1</v>
      </c>
      <c r="E1899" s="70" t="s">
        <v>1</v>
      </c>
      <c r="F1899" s="70"/>
      <c r="G1899" s="70" t="s">
        <v>61</v>
      </c>
      <c r="H1899" s="70" t="s">
        <v>178</v>
      </c>
      <c r="I1899" s="70" t="s">
        <v>188</v>
      </c>
      <c r="J1899" s="71">
        <f>IF(OR(I1899=0,I1899=""),"unrated",VLOOKUP(I1899,MappingTables!$B$19:$C$31,2,FALSE))</f>
        <v>2</v>
      </c>
      <c r="K1899" s="72">
        <v>4.6663690881064328</v>
      </c>
      <c r="L1899" s="70">
        <v>0.51361945738388528</v>
      </c>
      <c r="M1899" s="71">
        <f>IF(L1899&lt;1,1,L1899)</f>
        <v>1</v>
      </c>
      <c r="N1899" s="70" t="s">
        <v>141</v>
      </c>
      <c r="O1899" s="71">
        <f>INDEX(DurClassMapping,MATCH(M1899,MappingTables!$D$4:$D$8,-1),1)</f>
        <v>1</v>
      </c>
      <c r="P1899" s="73">
        <f>IF(M1899=$A$1,1,$M1899-INDEX(MappingTables!$E$4:$E$8,MATCH(O1899,MappingTables!$B$4:$B$8,0)))</f>
        <v>1</v>
      </c>
      <c r="Q1899" s="71">
        <f>IF(B1899="",0,INDEX(ModelParameters!$D$6:$K$10,MATCH($O1899,ModelParameters!$B$6:$B$10,0),MATCH($J1899,ModelParameters!$D$5:$K$5,0)))</f>
        <v>0.013999999999999998</v>
      </c>
      <c r="R1899" s="71">
        <f>IF(B1899="",0,INDEX(ModelParameters!$D$13:$K$17,MATCH($O1899,ModelParameters!$B$13:$B$17,0),MATCH($J1899,ModelParameters!$D$5:$K$5,0)))</f>
        <v>0</v>
      </c>
      <c r="S1899" s="160">
        <f>IF(B1899="",0,MIN(IF($N1899="Other Bond TM",ModelParameters!$N$21,1)*(P1899*Q1899+R1899),1))</f>
        <v>0.013999999999999998</v>
      </c>
      <c r="T1899" s="85">
        <f>IF(B1899="",0,$S1899*$K1899)</f>
        <v>0.065329167233490056</v>
      </c>
      <c r="U1899" s="85">
        <f>IF(B1899="",0,IF(OR(H1899=MappingTables!$C$34,H1899=MappingTables!$C$35),T1899,0))</f>
        <v>0</v>
      </c>
      <c r="V1899" s="85">
        <f>IF(ISNA(IF(AND(VLOOKUP(CONCATENATE($D1899,$G1899),CSRFinput!$B:$E,4,0)=0,OR(H1899=MappingTables!$C$34,H1899=MappingTables!$C$35)),1,VLOOKUP(CONCATENATE($D1899,$G1899),CSRFinput!$B:$E,4,0))),0,IF(AND(VLOOKUP(CONCATENATE($D1899,$G1899),CSRFinput!$B:$E,4,0)=0,OR(H1899=MappingTables!$C$34,H1899=MappingTables!$C$35)),1,VLOOKUP(CONCATENATE($D1899,$G1899),CSRFinput!$B:$E,4,0)))</f>
        <v>0.054776304963434752</v>
      </c>
      <c r="W1899" s="85">
        <f>IF(B1899="",0,+$T1899*$V1899)</f>
        <v>0.0035784903873888804</v>
      </c>
      <c r="X1899" s="85">
        <f>IF(B1899="",0,IF(OR(H1899=MappingTables!$C$34,H1899=MappingTables!$C$35),W1899,0))</f>
        <v>0</v>
      </c>
    </row>
    <row r="1900" spans="2:24" s="0" customFormat="0" ht="15">
      <c r="B1900" s="69">
        <v>22676178</v>
      </c>
      <c r="C1900" s="70" t="s">
        <v>2068</v>
      </c>
      <c r="D1900" s="70" t="s">
        <v>1</v>
      </c>
      <c r="E1900" s="70" t="s">
        <v>1</v>
      </c>
      <c r="F1900" s="70"/>
      <c r="G1900" s="70" t="s">
        <v>61</v>
      </c>
      <c r="H1900" s="70" t="s">
        <v>178</v>
      </c>
      <c r="I1900" s="70" t="s">
        <v>181</v>
      </c>
      <c r="J1900" s="71">
        <f>IF(OR(I1900=0,I1900=""),"unrated",VLOOKUP(I1900,MappingTables!$B$19:$C$31,2,FALSE))</f>
        <v>3</v>
      </c>
      <c r="K1900" s="72">
        <v>8997.1457106862896</v>
      </c>
      <c r="L1900" s="70">
        <v>4.2639792451249112</v>
      </c>
      <c r="M1900" s="71">
        <f>IF(L1900&lt;1,1,L1900)</f>
        <v>4.2639792451249112</v>
      </c>
      <c r="N1900" s="70" t="s">
        <v>141</v>
      </c>
      <c r="O1900" s="71">
        <f>INDEX(DurClassMapping,MATCH(M1900,MappingTables!$D$4:$D$8,-1),1)</f>
        <v>1</v>
      </c>
      <c r="P1900" s="73">
        <f>IF(M1900=$A$1,1,$M1900-INDEX(MappingTables!$E$4:$E$8,MATCH(O1900,MappingTables!$B$4:$B$8,0)))</f>
        <v>4.2639792451249112</v>
      </c>
      <c r="Q1900" s="71">
        <f>IF(B1900="",0,INDEX(ModelParameters!$D$6:$K$10,MATCH($O1900,ModelParameters!$B$6:$B$10,0),MATCH($J1900,ModelParameters!$D$5:$K$5,0)))</f>
        <v>0.025</v>
      </c>
      <c r="R1900" s="71">
        <f>IF(B1900="",0,INDEX(ModelParameters!$D$13:$K$17,MATCH($O1900,ModelParameters!$B$13:$B$17,0),MATCH($J1900,ModelParameters!$D$5:$K$5,0)))</f>
        <v>0</v>
      </c>
      <c r="S1900" s="160">
        <f>IF(B1900="",0,MIN(IF($N1900="Other Bond TM",ModelParameters!$N$21,1)*(P1900*Q1900+R1900),1))</f>
        <v>0.10659948112812278</v>
      </c>
      <c r="T1900" s="85">
        <f>IF(B1900="",0,$S1900*$K1900)</f>
        <v>959.09106439327392</v>
      </c>
      <c r="U1900" s="85">
        <f>IF(B1900="",0,IF(OR(H1900=MappingTables!$C$34,H1900=MappingTables!$C$35),T1900,0))</f>
        <v>0</v>
      </c>
      <c r="V1900" s="85">
        <f>IF(ISNA(IF(AND(VLOOKUP(CONCATENATE($D1900,$G1900),CSRFinput!$B:$E,4,0)=0,OR(H1900=MappingTables!$C$34,H1900=MappingTables!$C$35)),1,VLOOKUP(CONCATENATE($D1900,$G1900),CSRFinput!$B:$E,4,0))),0,IF(AND(VLOOKUP(CONCATENATE($D1900,$G1900),CSRFinput!$B:$E,4,0)=0,OR(H1900=MappingTables!$C$34,H1900=MappingTables!$C$35)),1,VLOOKUP(CONCATENATE($D1900,$G1900),CSRFinput!$B:$E,4,0)))</f>
        <v>0.054776304963434752</v>
      </c>
      <c r="W1900" s="85">
        <f>IF(B1900="",0,+$T1900*$V1900)</f>
        <v>52.535464630911208</v>
      </c>
      <c r="X1900" s="85">
        <f>IF(B1900="",0,IF(OR(H1900=MappingTables!$C$34,H1900=MappingTables!$C$35),W1900,0))</f>
        <v>0</v>
      </c>
    </row>
    <row r="1901" spans="2:24" s="0" customFormat="0" ht="15">
      <c r="B1901" s="69" t="s">
        <v>2069</v>
      </c>
      <c r="C1901" s="70" t="s">
        <v>2070</v>
      </c>
      <c r="D1901" s="70" t="s">
        <v>1</v>
      </c>
      <c r="E1901" s="70" t="s">
        <v>1</v>
      </c>
      <c r="F1901" s="70"/>
      <c r="G1901" s="70" t="s">
        <v>61</v>
      </c>
      <c r="H1901" s="70" t="s">
        <v>178</v>
      </c>
      <c r="I1901" s="70" t="s">
        <v>181</v>
      </c>
      <c r="J1901" s="71">
        <f>IF(OR(I1901=0,I1901=""),"unrated",VLOOKUP(I1901,MappingTables!$B$19:$C$31,2,FALSE))</f>
        <v>3</v>
      </c>
      <c r="K1901" s="72">
        <v>13046.416862949806</v>
      </c>
      <c r="L1901" s="70">
        <v>1.8947223493156048</v>
      </c>
      <c r="M1901" s="71">
        <f>IF(L1901&lt;1,1,L1901)</f>
        <v>1.8947223493156048</v>
      </c>
      <c r="N1901" s="70" t="s">
        <v>141</v>
      </c>
      <c r="O1901" s="71">
        <f>INDEX(DurClassMapping,MATCH(M1901,MappingTables!$D$4:$D$8,-1),1)</f>
        <v>1</v>
      </c>
      <c r="P1901" s="73">
        <f>IF(M1901=$A$1,1,$M1901-INDEX(MappingTables!$E$4:$E$8,MATCH(O1901,MappingTables!$B$4:$B$8,0)))</f>
        <v>1.8947223493156048</v>
      </c>
      <c r="Q1901" s="71">
        <f>IF(B1901="",0,INDEX(ModelParameters!$D$6:$K$10,MATCH($O1901,ModelParameters!$B$6:$B$10,0),MATCH($J1901,ModelParameters!$D$5:$K$5,0)))</f>
        <v>0.025</v>
      </c>
      <c r="R1901" s="71">
        <f>IF(B1901="",0,INDEX(ModelParameters!$D$13:$K$17,MATCH($O1901,ModelParameters!$B$13:$B$17,0),MATCH($J1901,ModelParameters!$D$5:$K$5,0)))</f>
        <v>0</v>
      </c>
      <c r="S1901" s="160">
        <f>IF(B1901="",0,MIN(IF($N1901="Other Bond TM",ModelParameters!$N$21,1)*(P1901*Q1901+R1901),1))</f>
        <v>0.047368058732890128</v>
      </c>
      <c r="T1901" s="85">
        <f>IF(B1901="",0,$S1901*$K1901)</f>
        <v>617.98344021797456</v>
      </c>
      <c r="U1901" s="85">
        <f>IF(B1901="",0,IF(OR(H1901=MappingTables!$C$34,H1901=MappingTables!$C$35),T1901,0))</f>
        <v>0</v>
      </c>
      <c r="V1901" s="85">
        <f>IF(ISNA(IF(AND(VLOOKUP(CONCATENATE($D1901,$G1901),CSRFinput!$B:$E,4,0)=0,OR(H1901=MappingTables!$C$34,H1901=MappingTables!$C$35)),1,VLOOKUP(CONCATENATE($D1901,$G1901),CSRFinput!$B:$E,4,0))),0,IF(AND(VLOOKUP(CONCATENATE($D1901,$G1901),CSRFinput!$B:$E,4,0)=0,OR(H1901=MappingTables!$C$34,H1901=MappingTables!$C$35)),1,VLOOKUP(CONCATENATE($D1901,$G1901),CSRFinput!$B:$E,4,0)))</f>
        <v>0.054776304963434752</v>
      </c>
      <c r="W1901" s="85">
        <f>IF(B1901="",0,+$T1901*$V1901)</f>
        <v>33.850849383732324</v>
      </c>
      <c r="X1901" s="85">
        <f>IF(B1901="",0,IF(OR(H1901=MappingTables!$C$34,H1901=MappingTables!$C$35),W1901,0))</f>
        <v>0</v>
      </c>
    </row>
    <row r="1902" spans="2:24" s="0" customFormat="0" ht="15">
      <c r="B1902" s="69">
        <v>17087433</v>
      </c>
      <c r="C1902" s="70" t="s">
        <v>1498</v>
      </c>
      <c r="D1902" s="70" t="s">
        <v>1</v>
      </c>
      <c r="E1902" s="70" t="s">
        <v>1</v>
      </c>
      <c r="F1902" s="70"/>
      <c r="G1902" s="70" t="s">
        <v>61</v>
      </c>
      <c r="H1902" s="70" t="s">
        <v>178</v>
      </c>
      <c r="I1902" s="70" t="s">
        <v>181</v>
      </c>
      <c r="J1902" s="71">
        <f>IF(OR(I1902=0,I1902=""),"unrated",VLOOKUP(I1902,MappingTables!$B$19:$C$31,2,FALSE))</f>
        <v>3</v>
      </c>
      <c r="K1902" s="72">
        <v>2196.79606818569</v>
      </c>
      <c r="L1902" s="70">
        <v>0.44336595321981912</v>
      </c>
      <c r="M1902" s="71">
        <f>IF(L1902&lt;1,1,L1902)</f>
        <v>1</v>
      </c>
      <c r="N1902" s="70" t="s">
        <v>141</v>
      </c>
      <c r="O1902" s="71">
        <f>INDEX(DurClassMapping,MATCH(M1902,MappingTables!$D$4:$D$8,-1),1)</f>
        <v>1</v>
      </c>
      <c r="P1902" s="73">
        <f>IF(M1902=$A$1,1,$M1902-INDEX(MappingTables!$E$4:$E$8,MATCH(O1902,MappingTables!$B$4:$B$8,0)))</f>
        <v>1</v>
      </c>
      <c r="Q1902" s="71">
        <f>IF(B1902="",0,INDEX(ModelParameters!$D$6:$K$10,MATCH($O1902,ModelParameters!$B$6:$B$10,0),MATCH($J1902,ModelParameters!$D$5:$K$5,0)))</f>
        <v>0.025</v>
      </c>
      <c r="R1902" s="71">
        <f>IF(B1902="",0,INDEX(ModelParameters!$D$13:$K$17,MATCH($O1902,ModelParameters!$B$13:$B$17,0),MATCH($J1902,ModelParameters!$D$5:$K$5,0)))</f>
        <v>0</v>
      </c>
      <c r="S1902" s="160">
        <f>IF(B1902="",0,MIN(IF($N1902="Other Bond TM",ModelParameters!$N$21,1)*(P1902*Q1902+R1902),1))</f>
        <v>0.025</v>
      </c>
      <c r="T1902" s="85">
        <f>IF(B1902="",0,$S1902*$K1902)</f>
        <v>54.919901704642248</v>
      </c>
      <c r="U1902" s="85">
        <f>IF(B1902="",0,IF(OR(H1902=MappingTables!$C$34,H1902=MappingTables!$C$35),T1902,0))</f>
        <v>0</v>
      </c>
      <c r="V1902" s="85">
        <f>IF(ISNA(IF(AND(VLOOKUP(CONCATENATE($D1902,$G1902),CSRFinput!$B:$E,4,0)=0,OR(H1902=MappingTables!$C$34,H1902=MappingTables!$C$35)),1,VLOOKUP(CONCATENATE($D1902,$G1902),CSRFinput!$B:$E,4,0))),0,IF(AND(VLOOKUP(CONCATENATE($D1902,$G1902),CSRFinput!$B:$E,4,0)=0,OR(H1902=MappingTables!$C$34,H1902=MappingTables!$C$35)),1,VLOOKUP(CONCATENATE($D1902,$G1902),CSRFinput!$B:$E,4,0)))</f>
        <v>0.054776304963434752</v>
      </c>
      <c r="W1902" s="85">
        <f>IF(B1902="",0,+$T1902*$V1902)</f>
        <v>3.008309284335344</v>
      </c>
      <c r="X1902" s="85">
        <f>IF(B1902="",0,IF(OR(H1902=MappingTables!$C$34,H1902=MappingTables!$C$35),W1902,0))</f>
        <v>0</v>
      </c>
    </row>
    <row r="1903" spans="2:24" s="0" customFormat="0" ht="15">
      <c r="B1903" s="69">
        <v>18006396</v>
      </c>
      <c r="C1903" s="70" t="s">
        <v>1715</v>
      </c>
      <c r="D1903" s="70" t="s">
        <v>1</v>
      </c>
      <c r="E1903" s="70" t="s">
        <v>1</v>
      </c>
      <c r="F1903" s="70"/>
      <c r="G1903" s="70" t="s">
        <v>61</v>
      </c>
      <c r="H1903" s="70" t="s">
        <v>178</v>
      </c>
      <c r="I1903" s="70" t="s">
        <v>179</v>
      </c>
      <c r="J1903" s="71">
        <f>IF(OR(I1903=0,I1903=""),"unrated",VLOOKUP(I1903,MappingTables!$B$19:$C$31,2,FALSE))</f>
        <v>4</v>
      </c>
      <c r="K1903" s="72">
        <v>113.95908277923632</v>
      </c>
      <c r="L1903" s="70">
        <v>0.78097942025213152</v>
      </c>
      <c r="M1903" s="71">
        <f>IF(L1903&lt;1,1,L1903)</f>
        <v>1</v>
      </c>
      <c r="N1903" s="70" t="s">
        <v>141</v>
      </c>
      <c r="O1903" s="71">
        <f>INDEX(DurClassMapping,MATCH(M1903,MappingTables!$D$4:$D$8,-1),1)</f>
        <v>1</v>
      </c>
      <c r="P1903" s="73">
        <f>IF(M1903=$A$1,1,$M1903-INDEX(MappingTables!$E$4:$E$8,MATCH(O1903,MappingTables!$B$4:$B$8,0)))</f>
        <v>1</v>
      </c>
      <c r="Q1903" s="71">
        <f>IF(B1903="",0,INDEX(ModelParameters!$D$6:$K$10,MATCH($O1903,ModelParameters!$B$6:$B$10,0),MATCH($J1903,ModelParameters!$D$5:$K$5,0)))</f>
        <v>0.045</v>
      </c>
      <c r="R1903" s="71">
        <f>IF(B1903="",0,INDEX(ModelParameters!$D$13:$K$17,MATCH($O1903,ModelParameters!$B$13:$B$17,0),MATCH($J1903,ModelParameters!$D$5:$K$5,0)))</f>
        <v>0</v>
      </c>
      <c r="S1903" s="160">
        <f>IF(B1903="",0,MIN(IF($N1903="Other Bond TM",ModelParameters!$N$21,1)*(P1903*Q1903+R1903),1))</f>
        <v>0.045</v>
      </c>
      <c r="T1903" s="85">
        <f>IF(B1903="",0,$S1903*$K1903)</f>
        <v>5.1281587250656344</v>
      </c>
      <c r="U1903" s="85">
        <f>IF(B1903="",0,IF(OR(H1903=MappingTables!$C$34,H1903=MappingTables!$C$35),T1903,0))</f>
        <v>0</v>
      </c>
      <c r="V1903" s="85">
        <f>IF(ISNA(IF(AND(VLOOKUP(CONCATENATE($D1903,$G1903),CSRFinput!$B:$E,4,0)=0,OR(H1903=MappingTables!$C$34,H1903=MappingTables!$C$35)),1,VLOOKUP(CONCATENATE($D1903,$G1903),CSRFinput!$B:$E,4,0))),0,IF(AND(VLOOKUP(CONCATENATE($D1903,$G1903),CSRFinput!$B:$E,4,0)=0,OR(H1903=MappingTables!$C$34,H1903=MappingTables!$C$35)),1,VLOOKUP(CONCATENATE($D1903,$G1903),CSRFinput!$B:$E,4,0)))</f>
        <v>0.054776304963434752</v>
      </c>
      <c r="W1903" s="85">
        <f>IF(B1903="",0,+$T1903*$V1903)</f>
        <v>0.28090158622509392</v>
      </c>
      <c r="X1903" s="85">
        <f>IF(B1903="",0,IF(OR(H1903=MappingTables!$C$34,H1903=MappingTables!$C$35),W1903,0))</f>
        <v>0</v>
      </c>
    </row>
    <row r="1904" spans="2:24" s="0" customFormat="0" ht="15">
      <c r="B1904" s="69">
        <v>4582243</v>
      </c>
      <c r="C1904" s="70" t="s">
        <v>2071</v>
      </c>
      <c r="D1904" s="70" t="s">
        <v>1</v>
      </c>
      <c r="E1904" s="70" t="s">
        <v>1</v>
      </c>
      <c r="F1904" s="70"/>
      <c r="G1904" s="70" t="s">
        <v>61</v>
      </c>
      <c r="H1904" s="70" t="s">
        <v>178</v>
      </c>
      <c r="I1904" s="70" t="s">
        <v>181</v>
      </c>
      <c r="J1904" s="71">
        <f>IF(OR(I1904=0,I1904=""),"unrated",VLOOKUP(I1904,MappingTables!$B$19:$C$31,2,FALSE))</f>
        <v>3</v>
      </c>
      <c r="K1904" s="72">
        <v>2617.9581959670712</v>
      </c>
      <c r="L1904" s="70">
        <v>1.0617118924250912</v>
      </c>
      <c r="M1904" s="71">
        <f>IF(L1904&lt;1,1,L1904)</f>
        <v>1.0617118924250912</v>
      </c>
      <c r="N1904" s="70" t="s">
        <v>141</v>
      </c>
      <c r="O1904" s="71">
        <f>INDEX(DurClassMapping,MATCH(M1904,MappingTables!$D$4:$D$8,-1),1)</f>
        <v>1</v>
      </c>
      <c r="P1904" s="73">
        <f>IF(M1904=$A$1,1,$M1904-INDEX(MappingTables!$E$4:$E$8,MATCH(O1904,MappingTables!$B$4:$B$8,0)))</f>
        <v>1.0617118924250912</v>
      </c>
      <c r="Q1904" s="71">
        <f>IF(B1904="",0,INDEX(ModelParameters!$D$6:$K$10,MATCH($O1904,ModelParameters!$B$6:$B$10,0),MATCH($J1904,ModelParameters!$D$5:$K$5,0)))</f>
        <v>0.025</v>
      </c>
      <c r="R1904" s="71">
        <f>IF(B1904="",0,INDEX(ModelParameters!$D$13:$K$17,MATCH($O1904,ModelParameters!$B$13:$B$17,0),MATCH($J1904,ModelParameters!$D$5:$K$5,0)))</f>
        <v>0</v>
      </c>
      <c r="S1904" s="160">
        <f>IF(B1904="",0,MIN(IF($N1904="Other Bond TM",ModelParameters!$N$21,1)*(P1904*Q1904+R1904),1))</f>
        <v>0.02654279731062728</v>
      </c>
      <c r="T1904" s="85">
        <f>IF(B1904="",0,$S1904*$K1904)</f>
        <v>69.487933763249432</v>
      </c>
      <c r="U1904" s="85">
        <f>IF(B1904="",0,IF(OR(H1904=MappingTables!$C$34,H1904=MappingTables!$C$35),T1904,0))</f>
        <v>0</v>
      </c>
      <c r="V1904" s="85">
        <f>IF(ISNA(IF(AND(VLOOKUP(CONCATENATE($D1904,$G1904),CSRFinput!$B:$E,4,0)=0,OR(H1904=MappingTables!$C$34,H1904=MappingTables!$C$35)),1,VLOOKUP(CONCATENATE($D1904,$G1904),CSRFinput!$B:$E,4,0))),0,IF(AND(VLOOKUP(CONCATENATE($D1904,$G1904),CSRFinput!$B:$E,4,0)=0,OR(H1904=MappingTables!$C$34,H1904=MappingTables!$C$35)),1,VLOOKUP(CONCATENATE($D1904,$G1904),CSRFinput!$B:$E,4,0)))</f>
        <v>0.054776304963434752</v>
      </c>
      <c r="W1904" s="85">
        <f>IF(B1904="",0,+$T1904*$V1904)</f>
        <v>3.8062922510947048</v>
      </c>
      <c r="X1904" s="85">
        <f>IF(B1904="",0,IF(OR(H1904=MappingTables!$C$34,H1904=MappingTables!$C$35),W1904,0))</f>
        <v>0</v>
      </c>
    </row>
    <row r="1905" spans="2:24" s="0" customFormat="0" ht="15">
      <c r="B1905" s="69">
        <v>6380989</v>
      </c>
      <c r="C1905" s="70" t="s">
        <v>2072</v>
      </c>
      <c r="D1905" s="70" t="s">
        <v>1</v>
      </c>
      <c r="E1905" s="70" t="s">
        <v>1</v>
      </c>
      <c r="F1905" s="70"/>
      <c r="G1905" s="70" t="s">
        <v>61</v>
      </c>
      <c r="H1905" s="70" t="s">
        <v>178</v>
      </c>
      <c r="I1905" s="70" t="s">
        <v>179</v>
      </c>
      <c r="J1905" s="71">
        <f>IF(OR(I1905=0,I1905=""),"unrated",VLOOKUP(I1905,MappingTables!$B$19:$C$31,2,FALSE))</f>
        <v>4</v>
      </c>
      <c r="K1905" s="72">
        <v>799.42037545758304</v>
      </c>
      <c r="L1905" s="70">
        <v>2.0449197847542024</v>
      </c>
      <c r="M1905" s="71">
        <f>IF(L1905&lt;1,1,L1905)</f>
        <v>2.0449197847542024</v>
      </c>
      <c r="N1905" s="70" t="s">
        <v>141</v>
      </c>
      <c r="O1905" s="71">
        <f>INDEX(DurClassMapping,MATCH(M1905,MappingTables!$D$4:$D$8,-1),1)</f>
        <v>1</v>
      </c>
      <c r="P1905" s="73">
        <f>IF(M1905=$A$1,1,$M1905-INDEX(MappingTables!$E$4:$E$8,MATCH(O1905,MappingTables!$B$4:$B$8,0)))</f>
        <v>2.0449197847542024</v>
      </c>
      <c r="Q1905" s="71">
        <f>IF(B1905="",0,INDEX(ModelParameters!$D$6:$K$10,MATCH($O1905,ModelParameters!$B$6:$B$10,0),MATCH($J1905,ModelParameters!$D$5:$K$5,0)))</f>
        <v>0.045</v>
      </c>
      <c r="R1905" s="71">
        <f>IF(B1905="",0,INDEX(ModelParameters!$D$13:$K$17,MATCH($O1905,ModelParameters!$B$13:$B$17,0),MATCH($J1905,ModelParameters!$D$5:$K$5,0)))</f>
        <v>0</v>
      </c>
      <c r="S1905" s="160">
        <f>IF(B1905="",0,MIN(IF($N1905="Other Bond TM",ModelParameters!$N$21,1)*(P1905*Q1905+R1905),1))</f>
        <v>0.092021390313939088</v>
      </c>
      <c r="T1905" s="85">
        <f>IF(B1905="",0,$S1905*$K1905)</f>
        <v>73.563774394897984</v>
      </c>
      <c r="U1905" s="85">
        <f>IF(B1905="",0,IF(OR(H1905=MappingTables!$C$34,H1905=MappingTables!$C$35),T1905,0))</f>
        <v>0</v>
      </c>
      <c r="V1905" s="85">
        <f>IF(ISNA(IF(AND(VLOOKUP(CONCATENATE($D1905,$G1905),CSRFinput!$B:$E,4,0)=0,OR(H1905=MappingTables!$C$34,H1905=MappingTables!$C$35)),1,VLOOKUP(CONCATENATE($D1905,$G1905),CSRFinput!$B:$E,4,0))),0,IF(AND(VLOOKUP(CONCATENATE($D1905,$G1905),CSRFinput!$B:$E,4,0)=0,OR(H1905=MappingTables!$C$34,H1905=MappingTables!$C$35)),1,VLOOKUP(CONCATENATE($D1905,$G1905),CSRFinput!$B:$E,4,0)))</f>
        <v>0.054776304963434752</v>
      </c>
      <c r="W1905" s="85">
        <f>IF(B1905="",0,+$T1905*$V1905)</f>
        <v>4.0295517405162456</v>
      </c>
      <c r="X1905" s="85">
        <f>IF(B1905="",0,IF(OR(H1905=MappingTables!$C$34,H1905=MappingTables!$C$35),W1905,0))</f>
        <v>0</v>
      </c>
    </row>
    <row r="1906" spans="2:24" s="0" customFormat="0" ht="15">
      <c r="B1906" s="69">
        <v>17392711</v>
      </c>
      <c r="C1906" s="70" t="s">
        <v>2073</v>
      </c>
      <c r="D1906" s="70" t="s">
        <v>1</v>
      </c>
      <c r="E1906" s="70" t="s">
        <v>1</v>
      </c>
      <c r="F1906" s="70"/>
      <c r="G1906" s="70" t="s">
        <v>61</v>
      </c>
      <c r="H1906" s="70" t="s">
        <v>178</v>
      </c>
      <c r="I1906" s="70" t="s">
        <v>179</v>
      </c>
      <c r="J1906" s="71">
        <f>IF(OR(I1906=0,I1906=""),"unrated",VLOOKUP(I1906,MappingTables!$B$19:$C$31,2,FALSE))</f>
        <v>4</v>
      </c>
      <c r="K1906" s="72">
        <v>218.43869182639436</v>
      </c>
      <c r="L1906" s="70">
        <v>1.0233294089562764</v>
      </c>
      <c r="M1906" s="71">
        <f>IF(L1906&lt;1,1,L1906)</f>
        <v>1.0233294089562764</v>
      </c>
      <c r="N1906" s="70" t="s">
        <v>141</v>
      </c>
      <c r="O1906" s="71">
        <f>INDEX(DurClassMapping,MATCH(M1906,MappingTables!$D$4:$D$8,-1),1)</f>
        <v>1</v>
      </c>
      <c r="P1906" s="73">
        <f>IF(M1906=$A$1,1,$M1906-INDEX(MappingTables!$E$4:$E$8,MATCH(O1906,MappingTables!$B$4:$B$8,0)))</f>
        <v>1.0233294089562764</v>
      </c>
      <c r="Q1906" s="71">
        <f>IF(B1906="",0,INDEX(ModelParameters!$D$6:$K$10,MATCH($O1906,ModelParameters!$B$6:$B$10,0),MATCH($J1906,ModelParameters!$D$5:$K$5,0)))</f>
        <v>0.045</v>
      </c>
      <c r="R1906" s="71">
        <f>IF(B1906="",0,INDEX(ModelParameters!$D$13:$K$17,MATCH($O1906,ModelParameters!$B$13:$B$17,0),MATCH($J1906,ModelParameters!$D$5:$K$5,0)))</f>
        <v>0</v>
      </c>
      <c r="S1906" s="160">
        <f>IF(B1906="",0,MIN(IF($N1906="Other Bond TM",ModelParameters!$N$21,1)*(P1906*Q1906+R1906),1))</f>
        <v>0.046049823403032432</v>
      </c>
      <c r="T1906" s="85">
        <f>IF(B1906="",0,$S1906*$K1906)</f>
        <v>10.059063182994884</v>
      </c>
      <c r="U1906" s="85">
        <f>IF(B1906="",0,IF(OR(H1906=MappingTables!$C$34,H1906=MappingTables!$C$35),T1906,0))</f>
        <v>0</v>
      </c>
      <c r="V1906" s="85">
        <f>IF(ISNA(IF(AND(VLOOKUP(CONCATENATE($D1906,$G1906),CSRFinput!$B:$E,4,0)=0,OR(H1906=MappingTables!$C$34,H1906=MappingTables!$C$35)),1,VLOOKUP(CONCATENATE($D1906,$G1906),CSRFinput!$B:$E,4,0))),0,IF(AND(VLOOKUP(CONCATENATE($D1906,$G1906),CSRFinput!$B:$E,4,0)=0,OR(H1906=MappingTables!$C$34,H1906=MappingTables!$C$35)),1,VLOOKUP(CONCATENATE($D1906,$G1906),CSRFinput!$B:$E,4,0)))</f>
        <v>0.054776304963434752</v>
      </c>
      <c r="W1906" s="85">
        <f>IF(B1906="",0,+$T1906*$V1906)</f>
        <v>0.5509983125581864</v>
      </c>
      <c r="X1906" s="85">
        <f>IF(B1906="",0,IF(OR(H1906=MappingTables!$C$34,H1906=MappingTables!$C$35),W1906,0))</f>
        <v>0</v>
      </c>
    </row>
    <row r="1907" spans="2:24" s="0" customFormat="0" ht="15">
      <c r="B1907" s="69" t="s">
        <v>2074</v>
      </c>
      <c r="C1907" s="70" t="s">
        <v>2075</v>
      </c>
      <c r="D1907" s="70" t="s">
        <v>1</v>
      </c>
      <c r="E1907" s="70" t="s">
        <v>1</v>
      </c>
      <c r="F1907" s="70"/>
      <c r="G1907" s="70" t="s">
        <v>61</v>
      </c>
      <c r="H1907" s="70" t="s">
        <v>178</v>
      </c>
      <c r="I1907" s="70" t="s">
        <v>184</v>
      </c>
      <c r="J1907" s="71">
        <f>IF(OR(I1907=0,I1907=""),"unrated",VLOOKUP(I1907,MappingTables!$B$19:$C$31,2,FALSE))</f>
        <v>5</v>
      </c>
      <c r="K1907" s="72">
        <v>139.25544863466944</v>
      </c>
      <c r="L1907" s="70">
        <v>0.51984750679478096</v>
      </c>
      <c r="M1907" s="71">
        <f>IF(L1907&lt;1,1,L1907)</f>
        <v>1</v>
      </c>
      <c r="N1907" s="70" t="s">
        <v>141</v>
      </c>
      <c r="O1907" s="71">
        <f>INDEX(DurClassMapping,MATCH(M1907,MappingTables!$D$4:$D$8,-1),1)</f>
        <v>1</v>
      </c>
      <c r="P1907" s="73">
        <f>IF(M1907=$A$1,1,$M1907-INDEX(MappingTables!$E$4:$E$8,MATCH(O1907,MappingTables!$B$4:$B$8,0)))</f>
        <v>1</v>
      </c>
      <c r="Q1907" s="71">
        <f>IF(B1907="",0,INDEX(ModelParameters!$D$6:$K$10,MATCH($O1907,ModelParameters!$B$6:$B$10,0),MATCH($J1907,ModelParameters!$D$5:$K$5,0)))</f>
        <v>0.075</v>
      </c>
      <c r="R1907" s="71">
        <f>IF(B1907="",0,INDEX(ModelParameters!$D$13:$K$17,MATCH($O1907,ModelParameters!$B$13:$B$17,0),MATCH($J1907,ModelParameters!$D$5:$K$5,0)))</f>
        <v>0</v>
      </c>
      <c r="S1907" s="160">
        <f>IF(B1907="",0,MIN(IF($N1907="Other Bond TM",ModelParameters!$N$21,1)*(P1907*Q1907+R1907),1))</f>
        <v>0.075</v>
      </c>
      <c r="T1907" s="85">
        <f>IF(B1907="",0,$S1907*$K1907)</f>
        <v>10.444158647600208</v>
      </c>
      <c r="U1907" s="85">
        <f>IF(B1907="",0,IF(OR(H1907=MappingTables!$C$34,H1907=MappingTables!$C$35),T1907,0))</f>
        <v>0</v>
      </c>
      <c r="V1907" s="85">
        <f>IF(ISNA(IF(AND(VLOOKUP(CONCATENATE($D1907,$G1907),CSRFinput!$B:$E,4,0)=0,OR(H1907=MappingTables!$C$34,H1907=MappingTables!$C$35)),1,VLOOKUP(CONCATENATE($D1907,$G1907),CSRFinput!$B:$E,4,0))),0,IF(AND(VLOOKUP(CONCATENATE($D1907,$G1907),CSRFinput!$B:$E,4,0)=0,OR(H1907=MappingTables!$C$34,H1907=MappingTables!$C$35)),1,VLOOKUP(CONCATENATE($D1907,$G1907),CSRFinput!$B:$E,4,0)))</f>
        <v>0.054776304963434752</v>
      </c>
      <c r="W1907" s="85">
        <f>IF(B1907="",0,+$T1907*$V1907)</f>
        <v>0.57209241916744328</v>
      </c>
      <c r="X1907" s="85">
        <f>IF(B1907="",0,IF(OR(H1907=MappingTables!$C$34,H1907=MappingTables!$C$35),W1907,0))</f>
        <v>0</v>
      </c>
    </row>
    <row r="1908" spans="2:24" s="0" customFormat="0" ht="15">
      <c r="B1908" s="69">
        <v>9487915</v>
      </c>
      <c r="C1908" s="70" t="s">
        <v>2076</v>
      </c>
      <c r="D1908" s="70" t="s">
        <v>1</v>
      </c>
      <c r="E1908" s="70" t="s">
        <v>1</v>
      </c>
      <c r="F1908" s="70"/>
      <c r="G1908" s="70" t="s">
        <v>61</v>
      </c>
      <c r="H1908" s="70" t="s">
        <v>178</v>
      </c>
      <c r="I1908" s="70" t="s">
        <v>188</v>
      </c>
      <c r="J1908" s="71">
        <f>IF(OR(I1908=0,I1908=""),"unrated",VLOOKUP(I1908,MappingTables!$B$19:$C$31,2,FALSE))</f>
        <v>2</v>
      </c>
      <c r="K1908" s="72">
        <v>533.97099286242928</v>
      </c>
      <c r="L1908" s="70">
        <v>4.5602122285788816</v>
      </c>
      <c r="M1908" s="71">
        <f>IF(L1908&lt;1,1,L1908)</f>
        <v>4.5602122285788816</v>
      </c>
      <c r="N1908" s="70" t="s">
        <v>141</v>
      </c>
      <c r="O1908" s="71">
        <f>INDEX(DurClassMapping,MATCH(M1908,MappingTables!$D$4:$D$8,-1),1)</f>
        <v>1</v>
      </c>
      <c r="P1908" s="73">
        <f>IF(M1908=$A$1,1,$M1908-INDEX(MappingTables!$E$4:$E$8,MATCH(O1908,MappingTables!$B$4:$B$8,0)))</f>
        <v>4.5602122285788816</v>
      </c>
      <c r="Q1908" s="71">
        <f>IF(B1908="",0,INDEX(ModelParameters!$D$6:$K$10,MATCH($O1908,ModelParameters!$B$6:$B$10,0),MATCH($J1908,ModelParameters!$D$5:$K$5,0)))</f>
        <v>0.013999999999999998</v>
      </c>
      <c r="R1908" s="71">
        <f>IF(B1908="",0,INDEX(ModelParameters!$D$13:$K$17,MATCH($O1908,ModelParameters!$B$13:$B$17,0),MATCH($J1908,ModelParameters!$D$5:$K$5,0)))</f>
        <v>0</v>
      </c>
      <c r="S1908" s="160">
        <f>IF(B1908="",0,MIN(IF($N1908="Other Bond TM",ModelParameters!$N$21,1)*(P1908*Q1908+R1908),1))</f>
        <v>0.063842971200104336</v>
      </c>
      <c r="T1908" s="85">
        <f>IF(B1908="",0,$S1908*$K1908)</f>
        <v>34.090294719007188</v>
      </c>
      <c r="U1908" s="85">
        <f>IF(B1908="",0,IF(OR(H1908=MappingTables!$C$34,H1908=MappingTables!$C$35),T1908,0))</f>
        <v>0</v>
      </c>
      <c r="V1908" s="85">
        <f>IF(ISNA(IF(AND(VLOOKUP(CONCATENATE($D1908,$G1908),CSRFinput!$B:$E,4,0)=0,OR(H1908=MappingTables!$C$34,H1908=MappingTables!$C$35)),1,VLOOKUP(CONCATENATE($D1908,$G1908),CSRFinput!$B:$E,4,0))),0,IF(AND(VLOOKUP(CONCATENATE($D1908,$G1908),CSRFinput!$B:$E,4,0)=0,OR(H1908=MappingTables!$C$34,H1908=MappingTables!$C$35)),1,VLOOKUP(CONCATENATE($D1908,$G1908),CSRFinput!$B:$E,4,0)))</f>
        <v>0.054776304963434752</v>
      </c>
      <c r="W1908" s="85">
        <f>IF(B1908="",0,+$T1908*$V1908)</f>
        <v>1.8673403798217072</v>
      </c>
      <c r="X1908" s="85">
        <f>IF(B1908="",0,IF(OR(H1908=MappingTables!$C$34,H1908=MappingTables!$C$35),W1908,0))</f>
        <v>0</v>
      </c>
    </row>
    <row r="1909" spans="2:24" s="0" customFormat="0" ht="15">
      <c r="B1909" s="69">
        <v>17147948</v>
      </c>
      <c r="C1909" s="70" t="s">
        <v>1021</v>
      </c>
      <c r="D1909" s="70" t="s">
        <v>1</v>
      </c>
      <c r="E1909" s="70" t="s">
        <v>1</v>
      </c>
      <c r="F1909" s="70"/>
      <c r="G1909" s="70" t="s">
        <v>61</v>
      </c>
      <c r="H1909" s="70" t="s">
        <v>178</v>
      </c>
      <c r="I1909" s="70" t="s">
        <v>188</v>
      </c>
      <c r="J1909" s="71">
        <f>IF(OR(I1909=0,I1909=""),"unrated",VLOOKUP(I1909,MappingTables!$B$19:$C$31,2,FALSE))</f>
        <v>2</v>
      </c>
      <c r="K1909" s="72">
        <v>1436.0377365770078</v>
      </c>
      <c r="L1909" s="70">
        <v>4.5998566079362464</v>
      </c>
      <c r="M1909" s="71">
        <f>IF(L1909&lt;1,1,L1909)</f>
        <v>4.5998566079362464</v>
      </c>
      <c r="N1909" s="70" t="s">
        <v>141</v>
      </c>
      <c r="O1909" s="71">
        <f>INDEX(DurClassMapping,MATCH(M1909,MappingTables!$D$4:$D$8,-1),1)</f>
        <v>1</v>
      </c>
      <c r="P1909" s="73">
        <f>IF(M1909=$A$1,1,$M1909-INDEX(MappingTables!$E$4:$E$8,MATCH(O1909,MappingTables!$B$4:$B$8,0)))</f>
        <v>4.5998566079362464</v>
      </c>
      <c r="Q1909" s="71">
        <f>IF(B1909="",0,INDEX(ModelParameters!$D$6:$K$10,MATCH($O1909,ModelParameters!$B$6:$B$10,0),MATCH($J1909,ModelParameters!$D$5:$K$5,0)))</f>
        <v>0.013999999999999998</v>
      </c>
      <c r="R1909" s="71">
        <f>IF(B1909="",0,INDEX(ModelParameters!$D$13:$K$17,MATCH($O1909,ModelParameters!$B$13:$B$17,0),MATCH($J1909,ModelParameters!$D$5:$K$5,0)))</f>
        <v>0</v>
      </c>
      <c r="S1909" s="160">
        <f>IF(B1909="",0,MIN(IF($N1909="Other Bond TM",ModelParameters!$N$21,1)*(P1909*Q1909+R1909),1))</f>
        <v>0.064397992511107432</v>
      </c>
      <c r="T1909" s="85">
        <f>IF(B1909="",0,$S1909*$K1909)</f>
        <v>92.477947405753824</v>
      </c>
      <c r="U1909" s="85">
        <f>IF(B1909="",0,IF(OR(H1909=MappingTables!$C$34,H1909=MappingTables!$C$35),T1909,0))</f>
        <v>0</v>
      </c>
      <c r="V1909" s="85">
        <f>IF(ISNA(IF(AND(VLOOKUP(CONCATENATE($D1909,$G1909),CSRFinput!$B:$E,4,0)=0,OR(H1909=MappingTables!$C$34,H1909=MappingTables!$C$35)),1,VLOOKUP(CONCATENATE($D1909,$G1909),CSRFinput!$B:$E,4,0))),0,IF(AND(VLOOKUP(CONCATENATE($D1909,$G1909),CSRFinput!$B:$E,4,0)=0,OR(H1909=MappingTables!$C$34,H1909=MappingTables!$C$35)),1,VLOOKUP(CONCATENATE($D1909,$G1909),CSRFinput!$B:$E,4,0)))</f>
        <v>0.054776304963434752</v>
      </c>
      <c r="W1909" s="85">
        <f>IF(B1909="",0,+$T1909*$V1909)</f>
        <v>5.065600249490052</v>
      </c>
      <c r="X1909" s="85">
        <f>IF(B1909="",0,IF(OR(H1909=MappingTables!$C$34,H1909=MappingTables!$C$35),W1909,0))</f>
        <v>0</v>
      </c>
    </row>
    <row r="1910" spans="2:24" s="0" customFormat="0" ht="15">
      <c r="B1910" s="69">
        <v>22857471</v>
      </c>
      <c r="C1910" s="70" t="s">
        <v>2077</v>
      </c>
      <c r="D1910" s="70" t="s">
        <v>1</v>
      </c>
      <c r="E1910" s="70" t="s">
        <v>1</v>
      </c>
      <c r="F1910" s="70"/>
      <c r="G1910" s="70" t="s">
        <v>61</v>
      </c>
      <c r="H1910" s="70" t="s">
        <v>178</v>
      </c>
      <c r="I1910" s="70" t="s">
        <v>179</v>
      </c>
      <c r="J1910" s="71">
        <f>IF(OR(I1910=0,I1910=""),"unrated",VLOOKUP(I1910,MappingTables!$B$19:$C$31,2,FALSE))</f>
        <v>4</v>
      </c>
      <c r="K1910" s="72">
        <v>402.93222008232544</v>
      </c>
      <c r="L1910" s="70">
        <v>12.07309034174279</v>
      </c>
      <c r="M1910" s="71">
        <f>IF(L1910&lt;1,1,L1910)</f>
        <v>12.07309034174279</v>
      </c>
      <c r="N1910" s="70" t="s">
        <v>141</v>
      </c>
      <c r="O1910" s="71">
        <f>INDEX(DurClassMapping,MATCH(M1910,MappingTables!$D$4:$D$8,-1),1)</f>
        <v>3</v>
      </c>
      <c r="P1910" s="73">
        <f>IF(M1910=$A$1,1,$M1910-INDEX(MappingTables!$E$4:$E$8,MATCH(O1910,MappingTables!$B$4:$B$8,0)))</f>
        <v>2.0730903417427892</v>
      </c>
      <c r="Q1910" s="71">
        <f>IF(B1910="",0,INDEX(ModelParameters!$D$6:$K$10,MATCH($O1910,ModelParameters!$B$6:$B$10,0),MATCH($J1910,ModelParameters!$D$5:$K$5,0)))</f>
        <v>0.018000000000000002</v>
      </c>
      <c r="R1910" s="71">
        <f>IF(B1910="",0,INDEX(ModelParameters!$D$13:$K$17,MATCH($O1910,ModelParameters!$B$13:$B$17,0),MATCH($J1910,ModelParameters!$D$5:$K$5,0)))</f>
        <v>0.34999999999999996</v>
      </c>
      <c r="S1910" s="160">
        <f>IF(B1910="",0,MIN(IF($N1910="Other Bond TM",ModelParameters!$N$21,1)*(P1910*Q1910+R1910),1))</f>
        <v>0.38731562615137016</v>
      </c>
      <c r="T1910" s="85">
        <f>IF(B1910="",0,$S1910*$K1910)</f>
        <v>156.06194511774756</v>
      </c>
      <c r="U1910" s="85">
        <f>IF(B1910="",0,IF(OR(H1910=MappingTables!$C$34,H1910=MappingTables!$C$35),T1910,0))</f>
        <v>0</v>
      </c>
      <c r="V1910" s="85">
        <f>IF(ISNA(IF(AND(VLOOKUP(CONCATENATE($D1910,$G1910),CSRFinput!$B:$E,4,0)=0,OR(H1910=MappingTables!$C$34,H1910=MappingTables!$C$35)),1,VLOOKUP(CONCATENATE($D1910,$G1910),CSRFinput!$B:$E,4,0))),0,IF(AND(VLOOKUP(CONCATENATE($D1910,$G1910),CSRFinput!$B:$E,4,0)=0,OR(H1910=MappingTables!$C$34,H1910=MappingTables!$C$35)),1,VLOOKUP(CONCATENATE($D1910,$G1910),CSRFinput!$B:$E,4,0)))</f>
        <v>0.054776304963434752</v>
      </c>
      <c r="W1910" s="85">
        <f>IF(B1910="",0,+$T1910*$V1910)</f>
        <v>8.5484966989565584</v>
      </c>
      <c r="X1910" s="85">
        <f>IF(B1910="",0,IF(OR(H1910=MappingTables!$C$34,H1910=MappingTables!$C$35),W1910,0))</f>
        <v>0</v>
      </c>
    </row>
    <row r="1911" spans="2:24" s="0" customFormat="0" ht="15">
      <c r="B1911" s="69">
        <v>19686822</v>
      </c>
      <c r="C1911" s="70" t="s">
        <v>2078</v>
      </c>
      <c r="D1911" s="70" t="s">
        <v>1</v>
      </c>
      <c r="E1911" s="70" t="s">
        <v>1</v>
      </c>
      <c r="F1911" s="70"/>
      <c r="G1911" s="70" t="s">
        <v>61</v>
      </c>
      <c r="H1911" s="70" t="s">
        <v>178</v>
      </c>
      <c r="I1911" s="70" t="s">
        <v>184</v>
      </c>
      <c r="J1911" s="71">
        <f>IF(OR(I1911=0,I1911=""),"unrated",VLOOKUP(I1911,MappingTables!$B$19:$C$31,2,FALSE))</f>
        <v>5</v>
      </c>
      <c r="K1911" s="72">
        <v>258.7276647171244</v>
      </c>
      <c r="L1911" s="70">
        <v>1.3266628779844114</v>
      </c>
      <c r="M1911" s="71">
        <f>IF(L1911&lt;1,1,L1911)</f>
        <v>1.3266628779844114</v>
      </c>
      <c r="N1911" s="70" t="s">
        <v>141</v>
      </c>
      <c r="O1911" s="71">
        <f>INDEX(DurClassMapping,MATCH(M1911,MappingTables!$D$4:$D$8,-1),1)</f>
        <v>1</v>
      </c>
      <c r="P1911" s="73">
        <f>IF(M1911=$A$1,1,$M1911-INDEX(MappingTables!$E$4:$E$8,MATCH(O1911,MappingTables!$B$4:$B$8,0)))</f>
        <v>1.3266628779844114</v>
      </c>
      <c r="Q1911" s="71">
        <f>IF(B1911="",0,INDEX(ModelParameters!$D$6:$K$10,MATCH($O1911,ModelParameters!$B$6:$B$10,0),MATCH($J1911,ModelParameters!$D$5:$K$5,0)))</f>
        <v>0.075</v>
      </c>
      <c r="R1911" s="71">
        <f>IF(B1911="",0,INDEX(ModelParameters!$D$13:$K$17,MATCH($O1911,ModelParameters!$B$13:$B$17,0),MATCH($J1911,ModelParameters!$D$5:$K$5,0)))</f>
        <v>0</v>
      </c>
      <c r="S1911" s="160">
        <f>IF(B1911="",0,MIN(IF($N1911="Other Bond TM",ModelParameters!$N$21,1)*(P1911*Q1911+R1911),1))</f>
        <v>0.099499715848830848</v>
      </c>
      <c r="T1911" s="85">
        <f>IF(B1911="",0,$S1911*$K1911)</f>
        <v>25.74332912158546</v>
      </c>
      <c r="U1911" s="85">
        <f>IF(B1911="",0,IF(OR(H1911=MappingTables!$C$34,H1911=MappingTables!$C$35),T1911,0))</f>
        <v>0</v>
      </c>
      <c r="V1911" s="85">
        <f>IF(ISNA(IF(AND(VLOOKUP(CONCATENATE($D1911,$G1911),CSRFinput!$B:$E,4,0)=0,OR(H1911=MappingTables!$C$34,H1911=MappingTables!$C$35)),1,VLOOKUP(CONCATENATE($D1911,$G1911),CSRFinput!$B:$E,4,0))),0,IF(AND(VLOOKUP(CONCATENATE($D1911,$G1911),CSRFinput!$B:$E,4,0)=0,OR(H1911=MappingTables!$C$34,H1911=MappingTables!$C$35)),1,VLOOKUP(CONCATENATE($D1911,$G1911),CSRFinput!$B:$E,4,0)))</f>
        <v>0.054776304963434752</v>
      </c>
      <c r="W1911" s="85">
        <f>IF(B1911="",0,+$T1911*$V1911)</f>
        <v>1.410124446738036</v>
      </c>
      <c r="X1911" s="85">
        <f>IF(B1911="",0,IF(OR(H1911=MappingTables!$C$34,H1911=MappingTables!$C$35),W1911,0))</f>
        <v>0</v>
      </c>
    </row>
    <row r="1912" spans="2:24" s="0" customFormat="0" ht="15">
      <c r="B1912" s="69" t="s">
        <v>479</v>
      </c>
      <c r="C1912" s="70" t="s">
        <v>480</v>
      </c>
      <c r="D1912" s="70" t="s">
        <v>1</v>
      </c>
      <c r="E1912" s="70" t="s">
        <v>1</v>
      </c>
      <c r="F1912" s="70"/>
      <c r="G1912" s="70" t="s">
        <v>61</v>
      </c>
      <c r="H1912" s="70" t="s">
        <v>178</v>
      </c>
      <c r="I1912" s="70" t="s">
        <v>181</v>
      </c>
      <c r="J1912" s="71">
        <f>IF(OR(I1912=0,I1912=""),"unrated",VLOOKUP(I1912,MappingTables!$B$19:$C$31,2,FALSE))</f>
        <v>3</v>
      </c>
      <c r="K1912" s="72">
        <v>3.2677524698662964</v>
      </c>
      <c r="L1912" s="70">
        <v>1.9157656020564072</v>
      </c>
      <c r="M1912" s="71">
        <f>IF(L1912&lt;1,1,L1912)</f>
        <v>1.9157656020564072</v>
      </c>
      <c r="N1912" s="70" t="s">
        <v>141</v>
      </c>
      <c r="O1912" s="71">
        <f>INDEX(DurClassMapping,MATCH(M1912,MappingTables!$D$4:$D$8,-1),1)</f>
        <v>1</v>
      </c>
      <c r="P1912" s="73">
        <f>IF(M1912=$A$1,1,$M1912-INDEX(MappingTables!$E$4:$E$8,MATCH(O1912,MappingTables!$B$4:$B$8,0)))</f>
        <v>1.9157656020564072</v>
      </c>
      <c r="Q1912" s="71">
        <f>IF(B1912="",0,INDEX(ModelParameters!$D$6:$K$10,MATCH($O1912,ModelParameters!$B$6:$B$10,0),MATCH($J1912,ModelParameters!$D$5:$K$5,0)))</f>
        <v>0.025</v>
      </c>
      <c r="R1912" s="71">
        <f>IF(B1912="",0,INDEX(ModelParameters!$D$13:$K$17,MATCH($O1912,ModelParameters!$B$13:$B$17,0),MATCH($J1912,ModelParameters!$D$5:$K$5,0)))</f>
        <v>0</v>
      </c>
      <c r="S1912" s="160">
        <f>IF(B1912="",0,MIN(IF($N1912="Other Bond TM",ModelParameters!$N$21,1)*(P1912*Q1912+R1912),1))</f>
        <v>0.047894140051410184</v>
      </c>
      <c r="T1912" s="85">
        <f>IF(B1912="",0,$S1912*$K1912)</f>
        <v>0.15650619444511792</v>
      </c>
      <c r="U1912" s="85">
        <f>IF(B1912="",0,IF(OR(H1912=MappingTables!$C$34,H1912=MappingTables!$C$35),T1912,0))</f>
        <v>0</v>
      </c>
      <c r="V1912" s="85">
        <f>IF(ISNA(IF(AND(VLOOKUP(CONCATENATE($D1912,$G1912),CSRFinput!$B:$E,4,0)=0,OR(H1912=MappingTables!$C$34,H1912=MappingTables!$C$35)),1,VLOOKUP(CONCATENATE($D1912,$G1912),CSRFinput!$B:$E,4,0))),0,IF(AND(VLOOKUP(CONCATENATE($D1912,$G1912),CSRFinput!$B:$E,4,0)=0,OR(H1912=MappingTables!$C$34,H1912=MappingTables!$C$35)),1,VLOOKUP(CONCATENATE($D1912,$G1912),CSRFinput!$B:$E,4,0)))</f>
        <v>0.054776304963434752</v>
      </c>
      <c r="W1912" s="85">
        <f>IF(B1912="",0,+$T1912*$V1912)</f>
        <v>0.0085728310355923984</v>
      </c>
      <c r="X1912" s="85">
        <f>IF(B1912="",0,IF(OR(H1912=MappingTables!$C$34,H1912=MappingTables!$C$35),W1912,0))</f>
        <v>0</v>
      </c>
    </row>
    <row r="1913" spans="2:24" s="0" customFormat="0" ht="15">
      <c r="B1913" s="69">
        <v>19142221</v>
      </c>
      <c r="C1913" s="70" t="s">
        <v>2079</v>
      </c>
      <c r="D1913" s="70" t="s">
        <v>1</v>
      </c>
      <c r="E1913" s="70" t="s">
        <v>1</v>
      </c>
      <c r="F1913" s="70"/>
      <c r="G1913" s="70" t="s">
        <v>61</v>
      </c>
      <c r="H1913" s="70" t="s">
        <v>178</v>
      </c>
      <c r="I1913" s="70" t="s">
        <v>179</v>
      </c>
      <c r="J1913" s="71">
        <f>IF(OR(I1913=0,I1913=""),"unrated",VLOOKUP(I1913,MappingTables!$B$19:$C$31,2,FALSE))</f>
        <v>4</v>
      </c>
      <c r="K1913" s="72">
        <v>81.403639814473984</v>
      </c>
      <c r="L1913" s="70">
        <v>1.5673024533385032</v>
      </c>
      <c r="M1913" s="71">
        <f>IF(L1913&lt;1,1,L1913)</f>
        <v>1.5673024533385032</v>
      </c>
      <c r="N1913" s="70" t="s">
        <v>141</v>
      </c>
      <c r="O1913" s="71">
        <f>INDEX(DurClassMapping,MATCH(M1913,MappingTables!$D$4:$D$8,-1),1)</f>
        <v>1</v>
      </c>
      <c r="P1913" s="73">
        <f>IF(M1913=$A$1,1,$M1913-INDEX(MappingTables!$E$4:$E$8,MATCH(O1913,MappingTables!$B$4:$B$8,0)))</f>
        <v>1.5673024533385032</v>
      </c>
      <c r="Q1913" s="71">
        <f>IF(B1913="",0,INDEX(ModelParameters!$D$6:$K$10,MATCH($O1913,ModelParameters!$B$6:$B$10,0),MATCH($J1913,ModelParameters!$D$5:$K$5,0)))</f>
        <v>0.045</v>
      </c>
      <c r="R1913" s="71">
        <f>IF(B1913="",0,INDEX(ModelParameters!$D$13:$K$17,MATCH($O1913,ModelParameters!$B$13:$B$17,0),MATCH($J1913,ModelParameters!$D$5:$K$5,0)))</f>
        <v>0</v>
      </c>
      <c r="S1913" s="160">
        <f>IF(B1913="",0,MIN(IF($N1913="Other Bond TM",ModelParameters!$N$21,1)*(P1913*Q1913+R1913),1))</f>
        <v>0.070528610400232648</v>
      </c>
      <c r="T1913" s="85">
        <f>IF(B1913="",0,$S1913*$K1913)</f>
        <v>5.7412855976359008</v>
      </c>
      <c r="U1913" s="85">
        <f>IF(B1913="",0,IF(OR(H1913=MappingTables!$C$34,H1913=MappingTables!$C$35),T1913,0))</f>
        <v>0</v>
      </c>
      <c r="V1913" s="85">
        <f>IF(ISNA(IF(AND(VLOOKUP(CONCATENATE($D1913,$G1913),CSRFinput!$B:$E,4,0)=0,OR(H1913=MappingTables!$C$34,H1913=MappingTables!$C$35)),1,VLOOKUP(CONCATENATE($D1913,$G1913),CSRFinput!$B:$E,4,0))),0,IF(AND(VLOOKUP(CONCATENATE($D1913,$G1913),CSRFinput!$B:$E,4,0)=0,OR(H1913=MappingTables!$C$34,H1913=MappingTables!$C$35)),1,VLOOKUP(CONCATENATE($D1913,$G1913),CSRFinput!$B:$E,4,0)))</f>
        <v>0.054776304963434752</v>
      </c>
      <c r="W1913" s="85">
        <f>IF(B1913="",0,+$T1913*$V1913)</f>
        <v>0.31448641077827988</v>
      </c>
      <c r="X1913" s="85">
        <f>IF(B1913="",0,IF(OR(H1913=MappingTables!$C$34,H1913=MappingTables!$C$35),W1913,0))</f>
        <v>0</v>
      </c>
    </row>
    <row r="1914" spans="2:24" s="0" customFormat="0" ht="15">
      <c r="B1914" s="69">
        <v>20591727</v>
      </c>
      <c r="C1914" s="70" t="s">
        <v>2080</v>
      </c>
      <c r="D1914" s="70" t="s">
        <v>1</v>
      </c>
      <c r="E1914" s="70" t="s">
        <v>1</v>
      </c>
      <c r="F1914" s="70"/>
      <c r="G1914" s="70" t="s">
        <v>61</v>
      </c>
      <c r="H1914" s="70" t="s">
        <v>178</v>
      </c>
      <c r="I1914" s="70" t="s">
        <v>188</v>
      </c>
      <c r="J1914" s="71">
        <f>IF(OR(I1914=0,I1914=""),"unrated",VLOOKUP(I1914,MappingTables!$B$19:$C$31,2,FALSE))</f>
        <v>2</v>
      </c>
      <c r="K1914" s="72">
        <v>5144.4644403291256</v>
      </c>
      <c r="L1914" s="70">
        <v>7.277011115848696</v>
      </c>
      <c r="M1914" s="71">
        <f>IF(L1914&lt;1,1,L1914)</f>
        <v>7.277011115848696</v>
      </c>
      <c r="N1914" s="70" t="s">
        <v>141</v>
      </c>
      <c r="O1914" s="71">
        <f>INDEX(DurClassMapping,MATCH(M1914,MappingTables!$D$4:$D$8,-1),1)</f>
        <v>2</v>
      </c>
      <c r="P1914" s="73">
        <f>IF(M1914=$A$1,1,$M1914-INDEX(MappingTables!$E$4:$E$8,MATCH(O1914,MappingTables!$B$4:$B$8,0)))</f>
        <v>2.277011115848696</v>
      </c>
      <c r="Q1914" s="71">
        <f>IF(B1914="",0,INDEX(ModelParameters!$D$6:$K$10,MATCH($O1914,ModelParameters!$B$6:$B$10,0),MATCH($J1914,ModelParameters!$D$5:$K$5,0)))</f>
        <v>0.0069999999999999992</v>
      </c>
      <c r="R1914" s="71">
        <f>IF(B1914="",0,INDEX(ModelParameters!$D$13:$K$17,MATCH($O1914,ModelParameters!$B$13:$B$17,0),MATCH($J1914,ModelParameters!$D$5:$K$5,0)))</f>
        <v>0.070000000000000008</v>
      </c>
      <c r="S1914" s="160">
        <f>IF(B1914="",0,MIN(IF($N1914="Other Bond TM",ModelParameters!$N$21,1)*(P1914*Q1914+R1914),1))</f>
        <v>0.08593907781094088</v>
      </c>
      <c r="T1914" s="85">
        <f>IF(B1914="",0,$S1914*$K1914)</f>
        <v>442.11052983306312</v>
      </c>
      <c r="U1914" s="85">
        <f>IF(B1914="",0,IF(OR(H1914=MappingTables!$C$34,H1914=MappingTables!$C$35),T1914,0))</f>
        <v>0</v>
      </c>
      <c r="V1914" s="85">
        <f>IF(ISNA(IF(AND(VLOOKUP(CONCATENATE($D1914,$G1914),CSRFinput!$B:$E,4,0)=0,OR(H1914=MappingTables!$C$34,H1914=MappingTables!$C$35)),1,VLOOKUP(CONCATENATE($D1914,$G1914),CSRFinput!$B:$E,4,0))),0,IF(AND(VLOOKUP(CONCATENATE($D1914,$G1914),CSRFinput!$B:$E,4,0)=0,OR(H1914=MappingTables!$C$34,H1914=MappingTables!$C$35)),1,VLOOKUP(CONCATENATE($D1914,$G1914),CSRFinput!$B:$E,4,0)))</f>
        <v>0.054776304963434752</v>
      </c>
      <c r="W1914" s="85">
        <f>IF(B1914="",0,+$T1914*$V1914)</f>
        <v>24.217181209681584</v>
      </c>
      <c r="X1914" s="85">
        <f>IF(B1914="",0,IF(OR(H1914=MappingTables!$C$34,H1914=MappingTables!$C$35),W1914,0))</f>
        <v>0</v>
      </c>
    </row>
    <row r="1915" spans="2:24" s="0" customFormat="0" ht="15">
      <c r="B1915" s="69" t="s">
        <v>2081</v>
      </c>
      <c r="C1915" s="70" t="s">
        <v>2082</v>
      </c>
      <c r="D1915" s="70" t="s">
        <v>1</v>
      </c>
      <c r="E1915" s="70" t="s">
        <v>1</v>
      </c>
      <c r="F1915" s="70"/>
      <c r="G1915" s="70" t="s">
        <v>61</v>
      </c>
      <c r="H1915" s="70" t="s">
        <v>178</v>
      </c>
      <c r="I1915" s="70" t="s">
        <v>188</v>
      </c>
      <c r="J1915" s="71">
        <f>IF(OR(I1915=0,I1915=""),"unrated",VLOOKUP(I1915,MappingTables!$B$19:$C$31,2,FALSE))</f>
        <v>2</v>
      </c>
      <c r="K1915" s="72">
        <v>23930.651851026652</v>
      </c>
      <c r="L1915" s="70">
        <v>4.13959109756998</v>
      </c>
      <c r="M1915" s="71">
        <f>IF(L1915&lt;1,1,L1915)</f>
        <v>4.13959109756998</v>
      </c>
      <c r="N1915" s="70" t="s">
        <v>141</v>
      </c>
      <c r="O1915" s="71">
        <f>INDEX(DurClassMapping,MATCH(M1915,MappingTables!$D$4:$D$8,-1),1)</f>
        <v>1</v>
      </c>
      <c r="P1915" s="73">
        <f>IF(M1915=$A$1,1,$M1915-INDEX(MappingTables!$E$4:$E$8,MATCH(O1915,MappingTables!$B$4:$B$8,0)))</f>
        <v>4.13959109756998</v>
      </c>
      <c r="Q1915" s="71">
        <f>IF(B1915="",0,INDEX(ModelParameters!$D$6:$K$10,MATCH($O1915,ModelParameters!$B$6:$B$10,0),MATCH($J1915,ModelParameters!$D$5:$K$5,0)))</f>
        <v>0.013999999999999998</v>
      </c>
      <c r="R1915" s="71">
        <f>IF(B1915="",0,INDEX(ModelParameters!$D$13:$K$17,MATCH($O1915,ModelParameters!$B$13:$B$17,0),MATCH($J1915,ModelParameters!$D$5:$K$5,0)))</f>
        <v>0</v>
      </c>
      <c r="S1915" s="160">
        <f>IF(B1915="",0,MIN(IF($N1915="Other Bond TM",ModelParameters!$N$21,1)*(P1915*Q1915+R1915),1))</f>
        <v>0.057954275365979712</v>
      </c>
      <c r="T1915" s="85">
        <f>IF(B1915="",0,$S1915*$K1915)</f>
        <v>1386.8835870617906</v>
      </c>
      <c r="U1915" s="85">
        <f>IF(B1915="",0,IF(OR(H1915=MappingTables!$C$34,H1915=MappingTables!$C$35),T1915,0))</f>
        <v>0</v>
      </c>
      <c r="V1915" s="85">
        <f>IF(ISNA(IF(AND(VLOOKUP(CONCATENATE($D1915,$G1915),CSRFinput!$B:$E,4,0)=0,OR(H1915=MappingTables!$C$34,H1915=MappingTables!$C$35)),1,VLOOKUP(CONCATENATE($D1915,$G1915),CSRFinput!$B:$E,4,0))),0,IF(AND(VLOOKUP(CONCATENATE($D1915,$G1915),CSRFinput!$B:$E,4,0)=0,OR(H1915=MappingTables!$C$34,H1915=MappingTables!$C$35)),1,VLOOKUP(CONCATENATE($D1915,$G1915),CSRFinput!$B:$E,4,0)))</f>
        <v>0.054776304963434752</v>
      </c>
      <c r="W1915" s="85">
        <f>IF(B1915="",0,+$T1915*$V1915)</f>
        <v>75.96835831367896</v>
      </c>
      <c r="X1915" s="85">
        <f>IF(B1915="",0,IF(OR(H1915=MappingTables!$C$34,H1915=MappingTables!$C$35),W1915,0))</f>
        <v>0</v>
      </c>
    </row>
    <row r="1916" spans="2:24" s="0" customFormat="0" ht="15">
      <c r="B1916" s="69" t="s">
        <v>2083</v>
      </c>
      <c r="C1916" s="70" t="s">
        <v>2084</v>
      </c>
      <c r="D1916" s="70" t="s">
        <v>1</v>
      </c>
      <c r="E1916" s="70" t="s">
        <v>1</v>
      </c>
      <c r="F1916" s="70"/>
      <c r="G1916" s="70" t="s">
        <v>61</v>
      </c>
      <c r="H1916" s="70" t="s">
        <v>178</v>
      </c>
      <c r="I1916" s="70" t="s">
        <v>184</v>
      </c>
      <c r="J1916" s="71">
        <f>IF(OR(I1916=0,I1916=""),"unrated",VLOOKUP(I1916,MappingTables!$B$19:$C$31,2,FALSE))</f>
        <v>5</v>
      </c>
      <c r="K1916" s="72">
        <v>265.50182491233312</v>
      </c>
      <c r="L1916" s="70">
        <v>0.41095768103275096</v>
      </c>
      <c r="M1916" s="71">
        <f>IF(L1916&lt;1,1,L1916)</f>
        <v>1</v>
      </c>
      <c r="N1916" s="70" t="s">
        <v>141</v>
      </c>
      <c r="O1916" s="71">
        <f>INDEX(DurClassMapping,MATCH(M1916,MappingTables!$D$4:$D$8,-1),1)</f>
        <v>1</v>
      </c>
      <c r="P1916" s="73">
        <f>IF(M1916=$A$1,1,$M1916-INDEX(MappingTables!$E$4:$E$8,MATCH(O1916,MappingTables!$B$4:$B$8,0)))</f>
        <v>1</v>
      </c>
      <c r="Q1916" s="71">
        <f>IF(B1916="",0,INDEX(ModelParameters!$D$6:$K$10,MATCH($O1916,ModelParameters!$B$6:$B$10,0),MATCH($J1916,ModelParameters!$D$5:$K$5,0)))</f>
        <v>0.075</v>
      </c>
      <c r="R1916" s="71">
        <f>IF(B1916="",0,INDEX(ModelParameters!$D$13:$K$17,MATCH($O1916,ModelParameters!$B$13:$B$17,0),MATCH($J1916,ModelParameters!$D$5:$K$5,0)))</f>
        <v>0</v>
      </c>
      <c r="S1916" s="160">
        <f>IF(B1916="",0,MIN(IF($N1916="Other Bond TM",ModelParameters!$N$21,1)*(P1916*Q1916+R1916),1))</f>
        <v>0.075</v>
      </c>
      <c r="T1916" s="85">
        <f>IF(B1916="",0,$S1916*$K1916)</f>
        <v>19.912636868424984</v>
      </c>
      <c r="U1916" s="85">
        <f>IF(B1916="",0,IF(OR(H1916=MappingTables!$C$34,H1916=MappingTables!$C$35),T1916,0))</f>
        <v>0</v>
      </c>
      <c r="V1916" s="85">
        <f>IF(ISNA(IF(AND(VLOOKUP(CONCATENATE($D1916,$G1916),CSRFinput!$B:$E,4,0)=0,OR(H1916=MappingTables!$C$34,H1916=MappingTables!$C$35)),1,VLOOKUP(CONCATENATE($D1916,$G1916),CSRFinput!$B:$E,4,0))),0,IF(AND(VLOOKUP(CONCATENATE($D1916,$G1916),CSRFinput!$B:$E,4,0)=0,OR(H1916=MappingTables!$C$34,H1916=MappingTables!$C$35)),1,VLOOKUP(CONCATENATE($D1916,$G1916),CSRFinput!$B:$E,4,0)))</f>
        <v>0.054776304963434752</v>
      </c>
      <c r="W1916" s="85">
        <f>IF(B1916="",0,+$T1916*$V1916)</f>
        <v>1.0907406697309812</v>
      </c>
      <c r="X1916" s="85">
        <f>IF(B1916="",0,IF(OR(H1916=MappingTables!$C$34,H1916=MappingTables!$C$35),W1916,0))</f>
        <v>0</v>
      </c>
    </row>
    <row r="1917" spans="2:24" s="0" customFormat="0" ht="15">
      <c r="B1917" s="69">
        <v>19863541</v>
      </c>
      <c r="C1917" s="70" t="s">
        <v>1728</v>
      </c>
      <c r="D1917" s="70" t="s">
        <v>1</v>
      </c>
      <c r="E1917" s="70" t="s">
        <v>1</v>
      </c>
      <c r="F1917" s="70"/>
      <c r="G1917" s="70" t="s">
        <v>61</v>
      </c>
      <c r="H1917" s="70" t="s">
        <v>178</v>
      </c>
      <c r="I1917" s="70" t="s">
        <v>188</v>
      </c>
      <c r="J1917" s="71">
        <f>IF(OR(I1917=0,I1917=""),"unrated",VLOOKUP(I1917,MappingTables!$B$19:$C$31,2,FALSE))</f>
        <v>2</v>
      </c>
      <c r="K1917" s="72">
        <v>131.98719342212942</v>
      </c>
      <c r="L1917" s="70">
        <v>1.3209177841344712</v>
      </c>
      <c r="M1917" s="71">
        <f>IF(L1917&lt;1,1,L1917)</f>
        <v>1.3209177841344712</v>
      </c>
      <c r="N1917" s="70" t="s">
        <v>141</v>
      </c>
      <c r="O1917" s="71">
        <f>INDEX(DurClassMapping,MATCH(M1917,MappingTables!$D$4:$D$8,-1),1)</f>
        <v>1</v>
      </c>
      <c r="P1917" s="73">
        <f>IF(M1917=$A$1,1,$M1917-INDEX(MappingTables!$E$4:$E$8,MATCH(O1917,MappingTables!$B$4:$B$8,0)))</f>
        <v>1.3209177841344712</v>
      </c>
      <c r="Q1917" s="71">
        <f>IF(B1917="",0,INDEX(ModelParameters!$D$6:$K$10,MATCH($O1917,ModelParameters!$B$6:$B$10,0),MATCH($J1917,ModelParameters!$D$5:$K$5,0)))</f>
        <v>0.013999999999999998</v>
      </c>
      <c r="R1917" s="71">
        <f>IF(B1917="",0,INDEX(ModelParameters!$D$13:$K$17,MATCH($O1917,ModelParameters!$B$13:$B$17,0),MATCH($J1917,ModelParameters!$D$5:$K$5,0)))</f>
        <v>0</v>
      </c>
      <c r="S1917" s="160">
        <f>IF(B1917="",0,MIN(IF($N1917="Other Bond TM",ModelParameters!$N$21,1)*(P1917*Q1917+R1917),1))</f>
        <v>0.018492848977882596</v>
      </c>
      <c r="T1917" s="85">
        <f>IF(B1917="",0,$S1917*$K1917)</f>
        <v>2.4408192349700188</v>
      </c>
      <c r="U1917" s="85">
        <f>IF(B1917="",0,IF(OR(H1917=MappingTables!$C$34,H1917=MappingTables!$C$35),T1917,0))</f>
        <v>0</v>
      </c>
      <c r="V1917" s="85">
        <f>IF(ISNA(IF(AND(VLOOKUP(CONCATENATE($D1917,$G1917),CSRFinput!$B:$E,4,0)=0,OR(H1917=MappingTables!$C$34,H1917=MappingTables!$C$35)),1,VLOOKUP(CONCATENATE($D1917,$G1917),CSRFinput!$B:$E,4,0))),0,IF(AND(VLOOKUP(CONCATENATE($D1917,$G1917),CSRFinput!$B:$E,4,0)=0,OR(H1917=MappingTables!$C$34,H1917=MappingTables!$C$35)),1,VLOOKUP(CONCATENATE($D1917,$G1917),CSRFinput!$B:$E,4,0)))</f>
        <v>0.054776304963434752</v>
      </c>
      <c r="W1917" s="85">
        <f>IF(B1917="",0,+$T1917*$V1917)</f>
        <v>0.13369905877533524</v>
      </c>
      <c r="X1917" s="85">
        <f>IF(B1917="",0,IF(OR(H1917=MappingTables!$C$34,H1917=MappingTables!$C$35),W1917,0))</f>
        <v>0</v>
      </c>
    </row>
    <row r="1918" spans="2:24" s="0" customFormat="0" ht="15">
      <c r="B1918" s="69">
        <v>19761708</v>
      </c>
      <c r="C1918" s="70" t="s">
        <v>549</v>
      </c>
      <c r="D1918" s="70" t="s">
        <v>1</v>
      </c>
      <c r="E1918" s="70" t="s">
        <v>1</v>
      </c>
      <c r="F1918" s="70"/>
      <c r="G1918" s="70" t="s">
        <v>61</v>
      </c>
      <c r="H1918" s="70" t="s">
        <v>178</v>
      </c>
      <c r="I1918" s="70" t="s">
        <v>181</v>
      </c>
      <c r="J1918" s="71">
        <f>IF(OR(I1918=0,I1918=""),"unrated",VLOOKUP(I1918,MappingTables!$B$19:$C$31,2,FALSE))</f>
        <v>3</v>
      </c>
      <c r="K1918" s="72">
        <v>1435.443217316732</v>
      </c>
      <c r="L1918" s="70">
        <v>1.3470023443538572</v>
      </c>
      <c r="M1918" s="71">
        <f>IF(L1918&lt;1,1,L1918)</f>
        <v>1.3470023443538572</v>
      </c>
      <c r="N1918" s="70" t="s">
        <v>141</v>
      </c>
      <c r="O1918" s="71">
        <f>INDEX(DurClassMapping,MATCH(M1918,MappingTables!$D$4:$D$8,-1),1)</f>
        <v>1</v>
      </c>
      <c r="P1918" s="73">
        <f>IF(M1918=$A$1,1,$M1918-INDEX(MappingTables!$E$4:$E$8,MATCH(O1918,MappingTables!$B$4:$B$8,0)))</f>
        <v>1.3470023443538572</v>
      </c>
      <c r="Q1918" s="71">
        <f>IF(B1918="",0,INDEX(ModelParameters!$D$6:$K$10,MATCH($O1918,ModelParameters!$B$6:$B$10,0),MATCH($J1918,ModelParameters!$D$5:$K$5,0)))</f>
        <v>0.025</v>
      </c>
      <c r="R1918" s="71">
        <f>IF(B1918="",0,INDEX(ModelParameters!$D$13:$K$17,MATCH($O1918,ModelParameters!$B$13:$B$17,0),MATCH($J1918,ModelParameters!$D$5:$K$5,0)))</f>
        <v>0</v>
      </c>
      <c r="S1918" s="160">
        <f>IF(B1918="",0,MIN(IF($N1918="Other Bond TM",ModelParameters!$N$21,1)*(P1918*Q1918+R1918),1))</f>
        <v>0.033675058608846432</v>
      </c>
      <c r="T1918" s="85">
        <f>IF(B1918="",0,$S1918*$K1918)</f>
        <v>48.33863447281204</v>
      </c>
      <c r="U1918" s="85">
        <f>IF(B1918="",0,IF(OR(H1918=MappingTables!$C$34,H1918=MappingTables!$C$35),T1918,0))</f>
        <v>0</v>
      </c>
      <c r="V1918" s="85">
        <f>IF(ISNA(IF(AND(VLOOKUP(CONCATENATE($D1918,$G1918),CSRFinput!$B:$E,4,0)=0,OR(H1918=MappingTables!$C$34,H1918=MappingTables!$C$35)),1,VLOOKUP(CONCATENATE($D1918,$G1918),CSRFinput!$B:$E,4,0))),0,IF(AND(VLOOKUP(CONCATENATE($D1918,$G1918),CSRFinput!$B:$E,4,0)=0,OR(H1918=MappingTables!$C$34,H1918=MappingTables!$C$35)),1,VLOOKUP(CONCATENATE($D1918,$G1918),CSRFinput!$B:$E,4,0)))</f>
        <v>0.054776304963434752</v>
      </c>
      <c r="W1918" s="85">
        <f>IF(B1918="",0,+$T1918*$V1918)</f>
        <v>2.6478117833987524</v>
      </c>
      <c r="X1918" s="85">
        <f>IF(B1918="",0,IF(OR(H1918=MappingTables!$C$34,H1918=MappingTables!$C$35),W1918,0))</f>
        <v>0</v>
      </c>
    </row>
    <row r="1919" spans="2:24" s="0" customFormat="0" ht="15">
      <c r="B1919" s="69">
        <v>12412640</v>
      </c>
      <c r="C1919" s="70" t="s">
        <v>1066</v>
      </c>
      <c r="D1919" s="70" t="s">
        <v>1</v>
      </c>
      <c r="E1919" s="70" t="s">
        <v>1</v>
      </c>
      <c r="F1919" s="70"/>
      <c r="G1919" s="70" t="s">
        <v>61</v>
      </c>
      <c r="H1919" s="70" t="s">
        <v>178</v>
      </c>
      <c r="I1919" s="70" t="s">
        <v>181</v>
      </c>
      <c r="J1919" s="71">
        <f>IF(OR(I1919=0,I1919=""),"unrated",VLOOKUP(I1919,MappingTables!$B$19:$C$31,2,FALSE))</f>
        <v>3</v>
      </c>
      <c r="K1919" s="72">
        <v>5309.061795166952</v>
      </c>
      <c r="L1919" s="70">
        <v>3.816134427880672</v>
      </c>
      <c r="M1919" s="71">
        <f>IF(L1919&lt;1,1,L1919)</f>
        <v>3.816134427880672</v>
      </c>
      <c r="N1919" s="70" t="s">
        <v>141</v>
      </c>
      <c r="O1919" s="71">
        <f>INDEX(DurClassMapping,MATCH(M1919,MappingTables!$D$4:$D$8,-1),1)</f>
        <v>1</v>
      </c>
      <c r="P1919" s="73">
        <f>IF(M1919=$A$1,1,$M1919-INDEX(MappingTables!$E$4:$E$8,MATCH(O1919,MappingTables!$B$4:$B$8,0)))</f>
        <v>3.816134427880672</v>
      </c>
      <c r="Q1919" s="71">
        <f>IF(B1919="",0,INDEX(ModelParameters!$D$6:$K$10,MATCH($O1919,ModelParameters!$B$6:$B$10,0),MATCH($J1919,ModelParameters!$D$5:$K$5,0)))</f>
        <v>0.025</v>
      </c>
      <c r="R1919" s="71">
        <f>IF(B1919="",0,INDEX(ModelParameters!$D$13:$K$17,MATCH($O1919,ModelParameters!$B$13:$B$17,0),MATCH($J1919,ModelParameters!$D$5:$K$5,0)))</f>
        <v>0</v>
      </c>
      <c r="S1919" s="160">
        <f>IF(B1919="",0,MIN(IF($N1919="Other Bond TM",ModelParameters!$N$21,1)*(P1919*Q1919+R1919),1))</f>
        <v>0.095403360697016816</v>
      </c>
      <c r="T1919" s="85">
        <f>IF(B1919="",0,$S1919*$K1919)</f>
        <v>506.50233740706432</v>
      </c>
      <c r="U1919" s="85">
        <f>IF(B1919="",0,IF(OR(H1919=MappingTables!$C$34,H1919=MappingTables!$C$35),T1919,0))</f>
        <v>0</v>
      </c>
      <c r="V1919" s="85">
        <f>IF(ISNA(IF(AND(VLOOKUP(CONCATENATE($D1919,$G1919),CSRFinput!$B:$E,4,0)=0,OR(H1919=MappingTables!$C$34,H1919=MappingTables!$C$35)),1,VLOOKUP(CONCATENATE($D1919,$G1919),CSRFinput!$B:$E,4,0))),0,IF(AND(VLOOKUP(CONCATENATE($D1919,$G1919),CSRFinput!$B:$E,4,0)=0,OR(H1919=MappingTables!$C$34,H1919=MappingTables!$C$35)),1,VLOOKUP(CONCATENATE($D1919,$G1919),CSRFinput!$B:$E,4,0)))</f>
        <v>0.054776304963434752</v>
      </c>
      <c r="W1919" s="85">
        <f>IF(B1919="",0,+$T1919*$V1919)</f>
        <v>27.74432649850188</v>
      </c>
      <c r="X1919" s="85">
        <f>IF(B1919="",0,IF(OR(H1919=MappingTables!$C$34,H1919=MappingTables!$C$35),W1919,0))</f>
        <v>0</v>
      </c>
    </row>
    <row r="1920" spans="2:24" s="0" customFormat="0" ht="15">
      <c r="B1920" s="69">
        <v>6463543</v>
      </c>
      <c r="C1920" s="70" t="s">
        <v>1484</v>
      </c>
      <c r="D1920" s="70" t="s">
        <v>1</v>
      </c>
      <c r="E1920" s="70" t="s">
        <v>1</v>
      </c>
      <c r="F1920" s="70"/>
      <c r="G1920" s="70" t="s">
        <v>61</v>
      </c>
      <c r="H1920" s="70" t="s">
        <v>178</v>
      </c>
      <c r="I1920" s="70" t="s">
        <v>181</v>
      </c>
      <c r="J1920" s="71">
        <f>IF(OR(I1920=0,I1920=""),"unrated",VLOOKUP(I1920,MappingTables!$B$19:$C$31,2,FALSE))</f>
        <v>3</v>
      </c>
      <c r="K1920" s="72">
        <v>30324.347683089696</v>
      </c>
      <c r="L1920" s="70">
        <v>2.2203195834975432</v>
      </c>
      <c r="M1920" s="71">
        <f>IF(L1920&lt;1,1,L1920)</f>
        <v>2.2203195834975432</v>
      </c>
      <c r="N1920" s="70" t="s">
        <v>141</v>
      </c>
      <c r="O1920" s="71">
        <f>INDEX(DurClassMapping,MATCH(M1920,MappingTables!$D$4:$D$8,-1),1)</f>
        <v>1</v>
      </c>
      <c r="P1920" s="73">
        <f>IF(M1920=$A$1,1,$M1920-INDEX(MappingTables!$E$4:$E$8,MATCH(O1920,MappingTables!$B$4:$B$8,0)))</f>
        <v>2.2203195834975432</v>
      </c>
      <c r="Q1920" s="71">
        <f>IF(B1920="",0,INDEX(ModelParameters!$D$6:$K$10,MATCH($O1920,ModelParameters!$B$6:$B$10,0),MATCH($J1920,ModelParameters!$D$5:$K$5,0)))</f>
        <v>0.025</v>
      </c>
      <c r="R1920" s="71">
        <f>IF(B1920="",0,INDEX(ModelParameters!$D$13:$K$17,MATCH($O1920,ModelParameters!$B$13:$B$17,0),MATCH($J1920,ModelParameters!$D$5:$K$5,0)))</f>
        <v>0</v>
      </c>
      <c r="S1920" s="160">
        <f>IF(B1920="",0,MIN(IF($N1920="Other Bond TM",ModelParameters!$N$21,1)*(P1920*Q1920+R1920),1))</f>
        <v>0.055507989587438576</v>
      </c>
      <c r="T1920" s="85">
        <f>IF(B1920="",0,$S1920*$K1920)</f>
        <v>1683.24357543881</v>
      </c>
      <c r="U1920" s="85">
        <f>IF(B1920="",0,IF(OR(H1920=MappingTables!$C$34,H1920=MappingTables!$C$35),T1920,0))</f>
        <v>0</v>
      </c>
      <c r="V1920" s="85">
        <f>IF(ISNA(IF(AND(VLOOKUP(CONCATENATE($D1920,$G1920),CSRFinput!$B:$E,4,0)=0,OR(H1920=MappingTables!$C$34,H1920=MappingTables!$C$35)),1,VLOOKUP(CONCATENATE($D1920,$G1920),CSRFinput!$B:$E,4,0))),0,IF(AND(VLOOKUP(CONCATENATE($D1920,$G1920),CSRFinput!$B:$E,4,0)=0,OR(H1920=MappingTables!$C$34,H1920=MappingTables!$C$35)),1,VLOOKUP(CONCATENATE($D1920,$G1920),CSRFinput!$B:$E,4,0)))</f>
        <v>0.054776304963434752</v>
      </c>
      <c r="W1920" s="85">
        <f>IF(B1920="",0,+$T1920*$V1920)</f>
        <v>92.201863415978544</v>
      </c>
      <c r="X1920" s="85">
        <f>IF(B1920="",0,IF(OR(H1920=MappingTables!$C$34,H1920=MappingTables!$C$35),W1920,0))</f>
        <v>0</v>
      </c>
    </row>
    <row r="1921" spans="2:24" s="0" customFormat="0" ht="15">
      <c r="B1921" s="69">
        <v>18542337</v>
      </c>
      <c r="C1921" s="70" t="s">
        <v>1815</v>
      </c>
      <c r="D1921" s="70" t="s">
        <v>1</v>
      </c>
      <c r="E1921" s="70" t="s">
        <v>1</v>
      </c>
      <c r="F1921" s="70"/>
      <c r="G1921" s="70" t="s">
        <v>61</v>
      </c>
      <c r="H1921" s="70" t="s">
        <v>178</v>
      </c>
      <c r="I1921" s="70" t="s">
        <v>181</v>
      </c>
      <c r="J1921" s="71">
        <f>IF(OR(I1921=0,I1921=""),"unrated",VLOOKUP(I1921,MappingTables!$B$19:$C$31,2,FALSE))</f>
        <v>3</v>
      </c>
      <c r="K1921" s="72">
        <v>620.00035682181792</v>
      </c>
      <c r="L1921" s="70">
        <v>1.6938319091254152</v>
      </c>
      <c r="M1921" s="71">
        <f>IF(L1921&lt;1,1,L1921)</f>
        <v>1.6938319091254152</v>
      </c>
      <c r="N1921" s="70" t="s">
        <v>141</v>
      </c>
      <c r="O1921" s="71">
        <f>INDEX(DurClassMapping,MATCH(M1921,MappingTables!$D$4:$D$8,-1),1)</f>
        <v>1</v>
      </c>
      <c r="P1921" s="73">
        <f>IF(M1921=$A$1,1,$M1921-INDEX(MappingTables!$E$4:$E$8,MATCH(O1921,MappingTables!$B$4:$B$8,0)))</f>
        <v>1.6938319091254152</v>
      </c>
      <c r="Q1921" s="71">
        <f>IF(B1921="",0,INDEX(ModelParameters!$D$6:$K$10,MATCH($O1921,ModelParameters!$B$6:$B$10,0),MATCH($J1921,ModelParameters!$D$5:$K$5,0)))</f>
        <v>0.025</v>
      </c>
      <c r="R1921" s="71">
        <f>IF(B1921="",0,INDEX(ModelParameters!$D$13:$K$17,MATCH($O1921,ModelParameters!$B$13:$B$17,0),MATCH($J1921,ModelParameters!$D$5:$K$5,0)))</f>
        <v>0</v>
      </c>
      <c r="S1921" s="160">
        <f>IF(B1921="",0,MIN(IF($N1921="Other Bond TM",ModelParameters!$N$21,1)*(P1921*Q1921+R1921),1))</f>
        <v>0.042345797728135384</v>
      </c>
      <c r="T1921" s="85">
        <f>IF(B1921="",0,$S1921*$K1921)</f>
        <v>26.254409701348464</v>
      </c>
      <c r="U1921" s="85">
        <f>IF(B1921="",0,IF(OR(H1921=MappingTables!$C$34,H1921=MappingTables!$C$35),T1921,0))</f>
        <v>0</v>
      </c>
      <c r="V1921" s="85">
        <f>IF(ISNA(IF(AND(VLOOKUP(CONCATENATE($D1921,$G1921),CSRFinput!$B:$E,4,0)=0,OR(H1921=MappingTables!$C$34,H1921=MappingTables!$C$35)),1,VLOOKUP(CONCATENATE($D1921,$G1921),CSRFinput!$B:$E,4,0))),0,IF(AND(VLOOKUP(CONCATENATE($D1921,$G1921),CSRFinput!$B:$E,4,0)=0,OR(H1921=MappingTables!$C$34,H1921=MappingTables!$C$35)),1,VLOOKUP(CONCATENATE($D1921,$G1921),CSRFinput!$B:$E,4,0)))</f>
        <v>0.054776304963434752</v>
      </c>
      <c r="W1921" s="85">
        <f>IF(B1921="",0,+$T1921*$V1921)</f>
        <v>1.4381195524360236</v>
      </c>
      <c r="X1921" s="85">
        <f>IF(B1921="",0,IF(OR(H1921=MappingTables!$C$34,H1921=MappingTables!$C$35),W1921,0))</f>
        <v>0</v>
      </c>
    </row>
    <row r="1922" spans="2:24" s="0" customFormat="0" ht="15">
      <c r="B1922" s="69">
        <v>20791397</v>
      </c>
      <c r="C1922" s="70" t="s">
        <v>2085</v>
      </c>
      <c r="D1922" s="70" t="s">
        <v>1</v>
      </c>
      <c r="E1922" s="70" t="s">
        <v>1</v>
      </c>
      <c r="F1922" s="70"/>
      <c r="G1922" s="70" t="s">
        <v>61</v>
      </c>
      <c r="H1922" s="70" t="s">
        <v>178</v>
      </c>
      <c r="I1922" s="70" t="s">
        <v>181</v>
      </c>
      <c r="J1922" s="71">
        <f>IF(OR(I1922=0,I1922=""),"unrated",VLOOKUP(I1922,MappingTables!$B$19:$C$31,2,FALSE))</f>
        <v>3</v>
      </c>
      <c r="K1922" s="72">
        <v>2865.7931624596784</v>
      </c>
      <c r="L1922" s="70">
        <v>9.3986443286102624</v>
      </c>
      <c r="M1922" s="71">
        <f>IF(L1922&lt;1,1,L1922)</f>
        <v>9.3986443286102624</v>
      </c>
      <c r="N1922" s="70" t="s">
        <v>141</v>
      </c>
      <c r="O1922" s="71">
        <f>INDEX(DurClassMapping,MATCH(M1922,MappingTables!$D$4:$D$8,-1),1)</f>
        <v>2</v>
      </c>
      <c r="P1922" s="73">
        <f>IF(M1922=$A$1,1,$M1922-INDEX(MappingTables!$E$4:$E$8,MATCH(O1922,MappingTables!$B$4:$B$8,0)))</f>
        <v>4.3986443286102616</v>
      </c>
      <c r="Q1922" s="71">
        <f>IF(B1922="",0,INDEX(ModelParameters!$D$6:$K$10,MATCH($O1922,ModelParameters!$B$6:$B$10,0),MATCH($J1922,ModelParameters!$D$5:$K$5,0)))</f>
        <v>0.015</v>
      </c>
      <c r="R1922" s="71">
        <f>IF(B1922="",0,INDEX(ModelParameters!$D$13:$K$17,MATCH($O1922,ModelParameters!$B$13:$B$17,0),MATCH($J1922,ModelParameters!$D$5:$K$5,0)))</f>
        <v>0.125</v>
      </c>
      <c r="S1922" s="160">
        <f>IF(B1922="",0,MIN(IF($N1922="Other Bond TM",ModelParameters!$N$21,1)*(P1922*Q1922+R1922),1))</f>
        <v>0.19097966492915392</v>
      </c>
      <c r="T1922" s="85">
        <f>IF(B1922="",0,$S1922*$K1922)</f>
        <v>547.30821792280968</v>
      </c>
      <c r="U1922" s="85">
        <f>IF(B1922="",0,IF(OR(H1922=MappingTables!$C$34,H1922=MappingTables!$C$35),T1922,0))</f>
        <v>0</v>
      </c>
      <c r="V1922" s="85">
        <f>IF(ISNA(IF(AND(VLOOKUP(CONCATENATE($D1922,$G1922),CSRFinput!$B:$E,4,0)=0,OR(H1922=MappingTables!$C$34,H1922=MappingTables!$C$35)),1,VLOOKUP(CONCATENATE($D1922,$G1922),CSRFinput!$B:$E,4,0))),0,IF(AND(VLOOKUP(CONCATENATE($D1922,$G1922),CSRFinput!$B:$E,4,0)=0,OR(H1922=MappingTables!$C$34,H1922=MappingTables!$C$35)),1,VLOOKUP(CONCATENATE($D1922,$G1922),CSRFinput!$B:$E,4,0)))</f>
        <v>0.054776304963434752</v>
      </c>
      <c r="W1922" s="85">
        <f>IF(B1922="",0,+$T1922*$V1922)</f>
        <v>29.979521853933832</v>
      </c>
      <c r="X1922" s="85">
        <f>IF(B1922="",0,IF(OR(H1922=MappingTables!$C$34,H1922=MappingTables!$C$35),W1922,0))</f>
        <v>0</v>
      </c>
    </row>
    <row r="1923" spans="2:24" s="0" customFormat="0" ht="15">
      <c r="B1923" s="69">
        <v>222886</v>
      </c>
      <c r="C1923" s="70" t="s">
        <v>1355</v>
      </c>
      <c r="D1923" s="70" t="s">
        <v>1</v>
      </c>
      <c r="E1923" s="70" t="s">
        <v>1</v>
      </c>
      <c r="F1923" s="70"/>
      <c r="G1923" s="70" t="s">
        <v>61</v>
      </c>
      <c r="H1923" s="70" t="s">
        <v>178</v>
      </c>
      <c r="I1923" s="70" t="s">
        <v>181</v>
      </c>
      <c r="J1923" s="71">
        <f>IF(OR(I1923=0,I1923=""),"unrated",VLOOKUP(I1923,MappingTables!$B$19:$C$31,2,FALSE))</f>
        <v>3</v>
      </c>
      <c r="K1923" s="72">
        <v>11268.736816657668</v>
      </c>
      <c r="L1923" s="70">
        <v>7.6766333907318368</v>
      </c>
      <c r="M1923" s="71">
        <f>IF(L1923&lt;1,1,L1923)</f>
        <v>7.6766333907318368</v>
      </c>
      <c r="N1923" s="70" t="s">
        <v>141</v>
      </c>
      <c r="O1923" s="71">
        <f>INDEX(DurClassMapping,MATCH(M1923,MappingTables!$D$4:$D$8,-1),1)</f>
        <v>2</v>
      </c>
      <c r="P1923" s="73">
        <f>IF(M1923=$A$1,1,$M1923-INDEX(MappingTables!$E$4:$E$8,MATCH(O1923,MappingTables!$B$4:$B$8,0)))</f>
        <v>2.6766333907318368</v>
      </c>
      <c r="Q1923" s="71">
        <f>IF(B1923="",0,INDEX(ModelParameters!$D$6:$K$10,MATCH($O1923,ModelParameters!$B$6:$B$10,0),MATCH($J1923,ModelParameters!$D$5:$K$5,0)))</f>
        <v>0.015</v>
      </c>
      <c r="R1923" s="71">
        <f>IF(B1923="",0,INDEX(ModelParameters!$D$13:$K$17,MATCH($O1923,ModelParameters!$B$13:$B$17,0),MATCH($J1923,ModelParameters!$D$5:$K$5,0)))</f>
        <v>0.125</v>
      </c>
      <c r="S1923" s="160">
        <f>IF(B1923="",0,MIN(IF($N1923="Other Bond TM",ModelParameters!$N$21,1)*(P1923*Q1923+R1923),1))</f>
        <v>0.16514950086097754</v>
      </c>
      <c r="T1923" s="85">
        <f>IF(B1923="",0,$S1923*$K1923)</f>
        <v>1861.0262606047348</v>
      </c>
      <c r="U1923" s="85">
        <f>IF(B1923="",0,IF(OR(H1923=MappingTables!$C$34,H1923=MappingTables!$C$35),T1923,0))</f>
        <v>0</v>
      </c>
      <c r="V1923" s="85">
        <f>IF(ISNA(IF(AND(VLOOKUP(CONCATENATE($D1923,$G1923),CSRFinput!$B:$E,4,0)=0,OR(H1923=MappingTables!$C$34,H1923=MappingTables!$C$35)),1,VLOOKUP(CONCATENATE($D1923,$G1923),CSRFinput!$B:$E,4,0))),0,IF(AND(VLOOKUP(CONCATENATE($D1923,$G1923),CSRFinput!$B:$E,4,0)=0,OR(H1923=MappingTables!$C$34,H1923=MappingTables!$C$35)),1,VLOOKUP(CONCATENATE($D1923,$G1923),CSRFinput!$B:$E,4,0)))</f>
        <v>0.054776304963434752</v>
      </c>
      <c r="W1923" s="85">
        <f>IF(B1923="",0,+$T1923*$V1923)</f>
        <v>101.94014199584556</v>
      </c>
      <c r="X1923" s="85">
        <f>IF(B1923="",0,IF(OR(H1923=MappingTables!$C$34,H1923=MappingTables!$C$35),W1923,0))</f>
        <v>0</v>
      </c>
    </row>
    <row r="1924" spans="2:24" s="0" customFormat="0" ht="15">
      <c r="B1924" s="69" t="s">
        <v>1276</v>
      </c>
      <c r="C1924" s="70" t="s">
        <v>1277</v>
      </c>
      <c r="D1924" s="70" t="s">
        <v>1</v>
      </c>
      <c r="E1924" s="70" t="s">
        <v>1</v>
      </c>
      <c r="F1924" s="70"/>
      <c r="G1924" s="70" t="s">
        <v>61</v>
      </c>
      <c r="H1924" s="70" t="s">
        <v>178</v>
      </c>
      <c r="I1924" s="70" t="s">
        <v>181</v>
      </c>
      <c r="J1924" s="71">
        <f>IF(OR(I1924=0,I1924=""),"unrated",VLOOKUP(I1924,MappingTables!$B$19:$C$31,2,FALSE))</f>
        <v>3</v>
      </c>
      <c r="K1924" s="72">
        <v>7.5388406828767552</v>
      </c>
      <c r="L1924" s="70">
        <v>0.7205539194477644</v>
      </c>
      <c r="M1924" s="71">
        <f>IF(L1924&lt;1,1,L1924)</f>
        <v>1</v>
      </c>
      <c r="N1924" s="70" t="s">
        <v>141</v>
      </c>
      <c r="O1924" s="71">
        <f>INDEX(DurClassMapping,MATCH(M1924,MappingTables!$D$4:$D$8,-1),1)</f>
        <v>1</v>
      </c>
      <c r="P1924" s="73">
        <f>IF(M1924=$A$1,1,$M1924-INDEX(MappingTables!$E$4:$E$8,MATCH(O1924,MappingTables!$B$4:$B$8,0)))</f>
        <v>1</v>
      </c>
      <c r="Q1924" s="71">
        <f>IF(B1924="",0,INDEX(ModelParameters!$D$6:$K$10,MATCH($O1924,ModelParameters!$B$6:$B$10,0),MATCH($J1924,ModelParameters!$D$5:$K$5,0)))</f>
        <v>0.025</v>
      </c>
      <c r="R1924" s="71">
        <f>IF(B1924="",0,INDEX(ModelParameters!$D$13:$K$17,MATCH($O1924,ModelParameters!$B$13:$B$17,0),MATCH($J1924,ModelParameters!$D$5:$K$5,0)))</f>
        <v>0</v>
      </c>
      <c r="S1924" s="160">
        <f>IF(B1924="",0,MIN(IF($N1924="Other Bond TM",ModelParameters!$N$21,1)*(P1924*Q1924+R1924),1))</f>
        <v>0.025</v>
      </c>
      <c r="T1924" s="85">
        <f>IF(B1924="",0,$S1924*$K1924)</f>
        <v>0.18847101707191892</v>
      </c>
      <c r="U1924" s="85">
        <f>IF(B1924="",0,IF(OR(H1924=MappingTables!$C$34,H1924=MappingTables!$C$35),T1924,0))</f>
        <v>0</v>
      </c>
      <c r="V1924" s="85">
        <f>IF(ISNA(IF(AND(VLOOKUP(CONCATENATE($D1924,$G1924),CSRFinput!$B:$E,4,0)=0,OR(H1924=MappingTables!$C$34,H1924=MappingTables!$C$35)),1,VLOOKUP(CONCATENATE($D1924,$G1924),CSRFinput!$B:$E,4,0))),0,IF(AND(VLOOKUP(CONCATENATE($D1924,$G1924),CSRFinput!$B:$E,4,0)=0,OR(H1924=MappingTables!$C$34,H1924=MappingTables!$C$35)),1,VLOOKUP(CONCATENATE($D1924,$G1924),CSRFinput!$B:$E,4,0)))</f>
        <v>0.054776304963434752</v>
      </c>
      <c r="W1924" s="85">
        <f>IF(B1924="",0,+$T1924*$V1924)</f>
        <v>0.010323745907900148</v>
      </c>
      <c r="X1924" s="85">
        <f>IF(B1924="",0,IF(OR(H1924=MappingTables!$C$34,H1924=MappingTables!$C$35),W1924,0))</f>
        <v>0</v>
      </c>
    </row>
    <row r="1925" spans="2:24" s="0" customFormat="0" ht="15">
      <c r="B1925" s="69">
        <v>15647467</v>
      </c>
      <c r="C1925" s="70" t="s">
        <v>1380</v>
      </c>
      <c r="D1925" s="70" t="s">
        <v>1</v>
      </c>
      <c r="E1925" s="70" t="s">
        <v>1</v>
      </c>
      <c r="F1925" s="70"/>
      <c r="G1925" s="70" t="s">
        <v>61</v>
      </c>
      <c r="H1925" s="70" t="s">
        <v>178</v>
      </c>
      <c r="I1925" s="70" t="s">
        <v>181</v>
      </c>
      <c r="J1925" s="71">
        <f>IF(OR(I1925=0,I1925=""),"unrated",VLOOKUP(I1925,MappingTables!$B$19:$C$31,2,FALSE))</f>
        <v>3</v>
      </c>
      <c r="K1925" s="72">
        <v>1.1699018388806914</v>
      </c>
      <c r="L1925" s="70">
        <v>1.8004135616633134</v>
      </c>
      <c r="M1925" s="71">
        <f>IF(L1925&lt;1,1,L1925)</f>
        <v>1.8004135616633134</v>
      </c>
      <c r="N1925" s="70" t="s">
        <v>141</v>
      </c>
      <c r="O1925" s="71">
        <f>INDEX(DurClassMapping,MATCH(M1925,MappingTables!$D$4:$D$8,-1),1)</f>
        <v>1</v>
      </c>
      <c r="P1925" s="73">
        <f>IF(M1925=$A$1,1,$M1925-INDEX(MappingTables!$E$4:$E$8,MATCH(O1925,MappingTables!$B$4:$B$8,0)))</f>
        <v>1.8004135616633134</v>
      </c>
      <c r="Q1925" s="71">
        <f>IF(B1925="",0,INDEX(ModelParameters!$D$6:$K$10,MATCH($O1925,ModelParameters!$B$6:$B$10,0),MATCH($J1925,ModelParameters!$D$5:$K$5,0)))</f>
        <v>0.025</v>
      </c>
      <c r="R1925" s="71">
        <f>IF(B1925="",0,INDEX(ModelParameters!$D$13:$K$17,MATCH($O1925,ModelParameters!$B$13:$B$17,0),MATCH($J1925,ModelParameters!$D$5:$K$5,0)))</f>
        <v>0</v>
      </c>
      <c r="S1925" s="160">
        <f>IF(B1925="",0,MIN(IF($N1925="Other Bond TM",ModelParameters!$N$21,1)*(P1925*Q1925+R1925),1))</f>
        <v>0.04501033904158284</v>
      </c>
      <c r="T1925" s="85">
        <f>IF(B1925="",0,$S1925*$K1925)</f>
        <v>0.052657678413391144</v>
      </c>
      <c r="U1925" s="85">
        <f>IF(B1925="",0,IF(OR(H1925=MappingTables!$C$34,H1925=MappingTables!$C$35),T1925,0))</f>
        <v>0</v>
      </c>
      <c r="V1925" s="85">
        <f>IF(ISNA(IF(AND(VLOOKUP(CONCATENATE($D1925,$G1925),CSRFinput!$B:$E,4,0)=0,OR(H1925=MappingTables!$C$34,H1925=MappingTables!$C$35)),1,VLOOKUP(CONCATENATE($D1925,$G1925),CSRFinput!$B:$E,4,0))),0,IF(AND(VLOOKUP(CONCATENATE($D1925,$G1925),CSRFinput!$B:$E,4,0)=0,OR(H1925=MappingTables!$C$34,H1925=MappingTables!$C$35)),1,VLOOKUP(CONCATENATE($D1925,$G1925),CSRFinput!$B:$E,4,0)))</f>
        <v>0.054776304963434752</v>
      </c>
      <c r="W1925" s="85">
        <f>IF(B1925="",0,+$T1925*$V1925)</f>
        <v>0.002884393051438388</v>
      </c>
      <c r="X1925" s="85">
        <f>IF(B1925="",0,IF(OR(H1925=MappingTables!$C$34,H1925=MappingTables!$C$35),W1925,0))</f>
        <v>0</v>
      </c>
    </row>
    <row r="1926" spans="2:24" s="0" customFormat="0" ht="15">
      <c r="B1926" s="69">
        <v>19653090</v>
      </c>
      <c r="C1926" s="70" t="s">
        <v>2086</v>
      </c>
      <c r="D1926" s="70" t="s">
        <v>1</v>
      </c>
      <c r="E1926" s="70" t="s">
        <v>1</v>
      </c>
      <c r="F1926" s="70"/>
      <c r="G1926" s="70" t="s">
        <v>61</v>
      </c>
      <c r="H1926" s="70" t="s">
        <v>178</v>
      </c>
      <c r="I1926" s="70" t="s">
        <v>184</v>
      </c>
      <c r="J1926" s="71">
        <f>IF(OR(I1926=0,I1926=""),"unrated",VLOOKUP(I1926,MappingTables!$B$19:$C$31,2,FALSE))</f>
        <v>5</v>
      </c>
      <c r="K1926" s="72">
        <v>2678.2033436337096</v>
      </c>
      <c r="L1926" s="70">
        <v>0.37807954343555032</v>
      </c>
      <c r="M1926" s="71">
        <f>IF(L1926&lt;1,1,L1926)</f>
        <v>1</v>
      </c>
      <c r="N1926" s="70" t="s">
        <v>141</v>
      </c>
      <c r="O1926" s="71">
        <f>INDEX(DurClassMapping,MATCH(M1926,MappingTables!$D$4:$D$8,-1),1)</f>
        <v>1</v>
      </c>
      <c r="P1926" s="73">
        <f>IF(M1926=$A$1,1,$M1926-INDEX(MappingTables!$E$4:$E$8,MATCH(O1926,MappingTables!$B$4:$B$8,0)))</f>
        <v>1</v>
      </c>
      <c r="Q1926" s="71">
        <f>IF(B1926="",0,INDEX(ModelParameters!$D$6:$K$10,MATCH($O1926,ModelParameters!$B$6:$B$10,0),MATCH($J1926,ModelParameters!$D$5:$K$5,0)))</f>
        <v>0.075</v>
      </c>
      <c r="R1926" s="71">
        <f>IF(B1926="",0,INDEX(ModelParameters!$D$13:$K$17,MATCH($O1926,ModelParameters!$B$13:$B$17,0),MATCH($J1926,ModelParameters!$D$5:$K$5,0)))</f>
        <v>0</v>
      </c>
      <c r="S1926" s="160">
        <f>IF(B1926="",0,MIN(IF($N1926="Other Bond TM",ModelParameters!$N$21,1)*(P1926*Q1926+R1926),1))</f>
        <v>0.075</v>
      </c>
      <c r="T1926" s="85">
        <f>IF(B1926="",0,$S1926*$K1926)</f>
        <v>200.8652507725282</v>
      </c>
      <c r="U1926" s="85">
        <f>IF(B1926="",0,IF(OR(H1926=MappingTables!$C$34,H1926=MappingTables!$C$35),T1926,0))</f>
        <v>0</v>
      </c>
      <c r="V1926" s="85">
        <f>IF(ISNA(IF(AND(VLOOKUP(CONCATENATE($D1926,$G1926),CSRFinput!$B:$E,4,0)=0,OR(H1926=MappingTables!$C$34,H1926=MappingTables!$C$35)),1,VLOOKUP(CONCATENATE($D1926,$G1926),CSRFinput!$B:$E,4,0))),0,IF(AND(VLOOKUP(CONCATENATE($D1926,$G1926),CSRFinput!$B:$E,4,0)=0,OR(H1926=MappingTables!$C$34,H1926=MappingTables!$C$35)),1,VLOOKUP(CONCATENATE($D1926,$G1926),CSRFinput!$B:$E,4,0)))</f>
        <v>0.054776304963434752</v>
      </c>
      <c r="W1926" s="85">
        <f>IF(B1926="",0,+$T1926*$V1926)</f>
        <v>11.002656232872804</v>
      </c>
      <c r="X1926" s="85">
        <f>IF(B1926="",0,IF(OR(H1926=MappingTables!$C$34,H1926=MappingTables!$C$35),W1926,0))</f>
        <v>0</v>
      </c>
    </row>
    <row r="1927" spans="2:24" s="0" customFormat="0" ht="15">
      <c r="B1927" s="69" t="s">
        <v>2087</v>
      </c>
      <c r="C1927" s="70" t="s">
        <v>2088</v>
      </c>
      <c r="D1927" s="70" t="s">
        <v>1</v>
      </c>
      <c r="E1927" s="70" t="s">
        <v>1</v>
      </c>
      <c r="F1927" s="70"/>
      <c r="G1927" s="70" t="s">
        <v>61</v>
      </c>
      <c r="H1927" s="70" t="s">
        <v>178</v>
      </c>
      <c r="I1927" s="70" t="s">
        <v>198</v>
      </c>
      <c r="J1927" s="71" t="str">
        <f>IF(OR(I1927=0,I1927=""),"unrated",VLOOKUP(I1927,MappingTables!$B$19:$C$31,2,FALSE))</f>
        <v>unrated</v>
      </c>
      <c r="K1927" s="72">
        <v>0.72670337734329376</v>
      </c>
      <c r="L1927" s="70">
        <v>0.24383574695628788</v>
      </c>
      <c r="M1927" s="71">
        <f>IF(L1927&lt;1,1,L1927)</f>
        <v>1</v>
      </c>
      <c r="N1927" s="70" t="s">
        <v>141</v>
      </c>
      <c r="O1927" s="71">
        <f>INDEX(DurClassMapping,MATCH(M1927,MappingTables!$D$4:$D$8,-1),1)</f>
        <v>1</v>
      </c>
      <c r="P1927" s="73">
        <f>IF(M1927=$A$1,1,$M1927-INDEX(MappingTables!$E$4:$E$8,MATCH(O1927,MappingTables!$B$4:$B$8,0)))</f>
        <v>1</v>
      </c>
      <c r="Q1927" s="71">
        <f>IF(B1927="",0,INDEX(ModelParameters!$D$6:$K$10,MATCH($O1927,ModelParameters!$B$6:$B$10,0),MATCH($J1927,ModelParameters!$D$5:$K$5,0)))</f>
        <v>0.03</v>
      </c>
      <c r="R1927" s="71">
        <f>IF(B1927="",0,INDEX(ModelParameters!$D$13:$K$17,MATCH($O1927,ModelParameters!$B$13:$B$17,0),MATCH($J1927,ModelParameters!$D$5:$K$5,0)))</f>
        <v>0</v>
      </c>
      <c r="S1927" s="160">
        <f>IF(B1927="",0,MIN(IF($N1927="Other Bond TM",ModelParameters!$N$21,1)*(P1927*Q1927+R1927),1))</f>
        <v>0.03</v>
      </c>
      <c r="T1927" s="85">
        <f>IF(B1927="",0,$S1927*$K1927)</f>
        <v>0.021801101320298812</v>
      </c>
      <c r="U1927" s="85">
        <f>IF(B1927="",0,IF(OR(H1927=MappingTables!$C$34,H1927=MappingTables!$C$35),T1927,0))</f>
        <v>0</v>
      </c>
      <c r="V1927" s="85">
        <f>IF(ISNA(IF(AND(VLOOKUP(CONCATENATE($D1927,$G1927),CSRFinput!$B:$E,4,0)=0,OR(H1927=MappingTables!$C$34,H1927=MappingTables!$C$35)),1,VLOOKUP(CONCATENATE($D1927,$G1927),CSRFinput!$B:$E,4,0))),0,IF(AND(VLOOKUP(CONCATENATE($D1927,$G1927),CSRFinput!$B:$E,4,0)=0,OR(H1927=MappingTables!$C$34,H1927=MappingTables!$C$35)),1,VLOOKUP(CONCATENATE($D1927,$G1927),CSRFinput!$B:$E,4,0)))</f>
        <v>0.054776304963434752</v>
      </c>
      <c r="W1927" s="85">
        <f>IF(B1927="",0,+$T1927*$V1927)</f>
        <v>0.0011941837744594278</v>
      </c>
      <c r="X1927" s="85">
        <f>IF(B1927="",0,IF(OR(H1927=MappingTables!$C$34,H1927=MappingTables!$C$35),W1927,0))</f>
        <v>0</v>
      </c>
    </row>
    <row r="1928" spans="2:24" s="0" customFormat="0" ht="15">
      <c r="B1928" s="69">
        <v>20908882</v>
      </c>
      <c r="C1928" s="70" t="s">
        <v>2089</v>
      </c>
      <c r="D1928" s="70" t="s">
        <v>1</v>
      </c>
      <c r="E1928" s="70" t="s">
        <v>1</v>
      </c>
      <c r="F1928" s="70"/>
      <c r="G1928" s="70" t="s">
        <v>61</v>
      </c>
      <c r="H1928" s="70" t="s">
        <v>178</v>
      </c>
      <c r="I1928" s="70" t="s">
        <v>179</v>
      </c>
      <c r="J1928" s="71">
        <f>IF(OR(I1928=0,I1928=""),"unrated",VLOOKUP(I1928,MappingTables!$B$19:$C$31,2,FALSE))</f>
        <v>4</v>
      </c>
      <c r="K1928" s="72">
        <v>461.35574222662896</v>
      </c>
      <c r="L1928" s="70">
        <v>0.68006663290730888</v>
      </c>
      <c r="M1928" s="71">
        <f>IF(L1928&lt;1,1,L1928)</f>
        <v>1</v>
      </c>
      <c r="N1928" s="70" t="s">
        <v>141</v>
      </c>
      <c r="O1928" s="71">
        <f>INDEX(DurClassMapping,MATCH(M1928,MappingTables!$D$4:$D$8,-1),1)</f>
        <v>1</v>
      </c>
      <c r="P1928" s="73">
        <f>IF(M1928=$A$1,1,$M1928-INDEX(MappingTables!$E$4:$E$8,MATCH(O1928,MappingTables!$B$4:$B$8,0)))</f>
        <v>1</v>
      </c>
      <c r="Q1928" s="71">
        <f>IF(B1928="",0,INDEX(ModelParameters!$D$6:$K$10,MATCH($O1928,ModelParameters!$B$6:$B$10,0),MATCH($J1928,ModelParameters!$D$5:$K$5,0)))</f>
        <v>0.045</v>
      </c>
      <c r="R1928" s="71">
        <f>IF(B1928="",0,INDEX(ModelParameters!$D$13:$K$17,MATCH($O1928,ModelParameters!$B$13:$B$17,0),MATCH($J1928,ModelParameters!$D$5:$K$5,0)))</f>
        <v>0</v>
      </c>
      <c r="S1928" s="160">
        <f>IF(B1928="",0,MIN(IF($N1928="Other Bond TM",ModelParameters!$N$21,1)*(P1928*Q1928+R1928),1))</f>
        <v>0.045</v>
      </c>
      <c r="T1928" s="85">
        <f>IF(B1928="",0,$S1928*$K1928)</f>
        <v>20.7610084001983</v>
      </c>
      <c r="U1928" s="85">
        <f>IF(B1928="",0,IF(OR(H1928=MappingTables!$C$34,H1928=MappingTables!$C$35),T1928,0))</f>
        <v>0</v>
      </c>
      <c r="V1928" s="85">
        <f>IF(ISNA(IF(AND(VLOOKUP(CONCATENATE($D1928,$G1928),CSRFinput!$B:$E,4,0)=0,OR(H1928=MappingTables!$C$34,H1928=MappingTables!$C$35)),1,VLOOKUP(CONCATENATE($D1928,$G1928),CSRFinput!$B:$E,4,0))),0,IF(AND(VLOOKUP(CONCATENATE($D1928,$G1928),CSRFinput!$B:$E,4,0)=0,OR(H1928=MappingTables!$C$34,H1928=MappingTables!$C$35)),1,VLOOKUP(CONCATENATE($D1928,$G1928),CSRFinput!$B:$E,4,0)))</f>
        <v>0.054776304963434752</v>
      </c>
      <c r="W1928" s="85">
        <f>IF(B1928="",0,+$T1928*$V1928)</f>
        <v>1.1372113274776928</v>
      </c>
      <c r="X1928" s="85">
        <f>IF(B1928="",0,IF(OR(H1928=MappingTables!$C$34,H1928=MappingTables!$C$35),W1928,0))</f>
        <v>0</v>
      </c>
    </row>
    <row r="1929" spans="2:24" s="0" customFormat="0" ht="15">
      <c r="B1929" s="69">
        <v>19695570</v>
      </c>
      <c r="C1929" s="70" t="s">
        <v>837</v>
      </c>
      <c r="D1929" s="70" t="s">
        <v>1</v>
      </c>
      <c r="E1929" s="70" t="s">
        <v>1</v>
      </c>
      <c r="F1929" s="70"/>
      <c r="G1929" s="70" t="s">
        <v>61</v>
      </c>
      <c r="H1929" s="70" t="s">
        <v>178</v>
      </c>
      <c r="I1929" s="70" t="s">
        <v>179</v>
      </c>
      <c r="J1929" s="71">
        <f>IF(OR(I1929=0,I1929=""),"unrated",VLOOKUP(I1929,MappingTables!$B$19:$C$31,2,FALSE))</f>
        <v>4</v>
      </c>
      <c r="K1929" s="72">
        <v>3557.60655640022</v>
      </c>
      <c r="L1929" s="70">
        <v>6.9209039423566584</v>
      </c>
      <c r="M1929" s="71">
        <f>IF(L1929&lt;1,1,L1929)</f>
        <v>6.9209039423566584</v>
      </c>
      <c r="N1929" s="70" t="s">
        <v>141</v>
      </c>
      <c r="O1929" s="71">
        <f>INDEX(DurClassMapping,MATCH(M1929,MappingTables!$D$4:$D$8,-1),1)</f>
        <v>2</v>
      </c>
      <c r="P1929" s="73">
        <f>IF(M1929=$A$1,1,$M1929-INDEX(MappingTables!$E$4:$E$8,MATCH(O1929,MappingTables!$B$4:$B$8,0)))</f>
        <v>1.9209039423566584</v>
      </c>
      <c r="Q1929" s="71">
        <f>IF(B1929="",0,INDEX(ModelParameters!$D$6:$K$10,MATCH($O1929,ModelParameters!$B$6:$B$10,0),MATCH($J1929,ModelParameters!$D$5:$K$5,0)))</f>
        <v>0.025</v>
      </c>
      <c r="R1929" s="71">
        <f>IF(B1929="",0,INDEX(ModelParameters!$D$13:$K$17,MATCH($O1929,ModelParameters!$B$13:$B$17,0),MATCH($J1929,ModelParameters!$D$5:$K$5,0)))</f>
        <v>0.225</v>
      </c>
      <c r="S1929" s="160">
        <f>IF(B1929="",0,MIN(IF($N1929="Other Bond TM",ModelParameters!$N$21,1)*(P1929*Q1929+R1929),1))</f>
        <v>0.27302259855891648</v>
      </c>
      <c r="T1929" s="85">
        <f>IF(B1929="",0,$S1929*$K1929)</f>
        <v>971.30698667862656</v>
      </c>
      <c r="U1929" s="85">
        <f>IF(B1929="",0,IF(OR(H1929=MappingTables!$C$34,H1929=MappingTables!$C$35),T1929,0))</f>
        <v>0</v>
      </c>
      <c r="V1929" s="85">
        <f>IF(ISNA(IF(AND(VLOOKUP(CONCATENATE($D1929,$G1929),CSRFinput!$B:$E,4,0)=0,OR(H1929=MappingTables!$C$34,H1929=MappingTables!$C$35)),1,VLOOKUP(CONCATENATE($D1929,$G1929),CSRFinput!$B:$E,4,0))),0,IF(AND(VLOOKUP(CONCATENATE($D1929,$G1929),CSRFinput!$B:$E,4,0)=0,OR(H1929=MappingTables!$C$34,H1929=MappingTables!$C$35)),1,VLOOKUP(CONCATENATE($D1929,$G1929),CSRFinput!$B:$E,4,0)))</f>
        <v>0.054776304963434752</v>
      </c>
      <c r="W1929" s="85">
        <f>IF(B1929="",0,+$T1929*$V1929)</f>
        <v>53.204607715423304</v>
      </c>
      <c r="X1929" s="85">
        <f>IF(B1929="",0,IF(OR(H1929=MappingTables!$C$34,H1929=MappingTables!$C$35),W1929,0))</f>
        <v>0</v>
      </c>
    </row>
    <row r="1930" spans="2:24" s="0" customFormat="0" ht="15">
      <c r="B1930" s="69">
        <v>19272727</v>
      </c>
      <c r="C1930" s="70" t="s">
        <v>2090</v>
      </c>
      <c r="D1930" s="70" t="s">
        <v>1</v>
      </c>
      <c r="E1930" s="70" t="s">
        <v>1</v>
      </c>
      <c r="F1930" s="70"/>
      <c r="G1930" s="70" t="s">
        <v>61</v>
      </c>
      <c r="H1930" s="70" t="s">
        <v>178</v>
      </c>
      <c r="I1930" s="70" t="s">
        <v>179</v>
      </c>
      <c r="J1930" s="71">
        <f>IF(OR(I1930=0,I1930=""),"unrated",VLOOKUP(I1930,MappingTables!$B$19:$C$31,2,FALSE))</f>
        <v>4</v>
      </c>
      <c r="K1930" s="72">
        <v>3357.144539571244</v>
      </c>
      <c r="L1930" s="70">
        <v>2.9767263759285008</v>
      </c>
      <c r="M1930" s="71">
        <f>IF(L1930&lt;1,1,L1930)</f>
        <v>2.9767263759285008</v>
      </c>
      <c r="N1930" s="70" t="s">
        <v>141</v>
      </c>
      <c r="O1930" s="71">
        <f>INDEX(DurClassMapping,MATCH(M1930,MappingTables!$D$4:$D$8,-1),1)</f>
        <v>1</v>
      </c>
      <c r="P1930" s="73">
        <f>IF(M1930=$A$1,1,$M1930-INDEX(MappingTables!$E$4:$E$8,MATCH(O1930,MappingTables!$B$4:$B$8,0)))</f>
        <v>2.9767263759285008</v>
      </c>
      <c r="Q1930" s="71">
        <f>IF(B1930="",0,INDEX(ModelParameters!$D$6:$K$10,MATCH($O1930,ModelParameters!$B$6:$B$10,0),MATCH($J1930,ModelParameters!$D$5:$K$5,0)))</f>
        <v>0.045</v>
      </c>
      <c r="R1930" s="71">
        <f>IF(B1930="",0,INDEX(ModelParameters!$D$13:$K$17,MATCH($O1930,ModelParameters!$B$13:$B$17,0),MATCH($J1930,ModelParameters!$D$5:$K$5,0)))</f>
        <v>0</v>
      </c>
      <c r="S1930" s="160">
        <f>IF(B1930="",0,MIN(IF($N1930="Other Bond TM",ModelParameters!$N$21,1)*(P1930*Q1930+R1930),1))</f>
        <v>0.13395268691678252</v>
      </c>
      <c r="T1930" s="85">
        <f>IF(B1930="",0,$S1930*$K1930)</f>
        <v>449.69853144357288</v>
      </c>
      <c r="U1930" s="85">
        <f>IF(B1930="",0,IF(OR(H1930=MappingTables!$C$34,H1930=MappingTables!$C$35),T1930,0))</f>
        <v>0</v>
      </c>
      <c r="V1930" s="85">
        <f>IF(ISNA(IF(AND(VLOOKUP(CONCATENATE($D1930,$G1930),CSRFinput!$B:$E,4,0)=0,OR(H1930=MappingTables!$C$34,H1930=MappingTables!$C$35)),1,VLOOKUP(CONCATENATE($D1930,$G1930),CSRFinput!$B:$E,4,0))),0,IF(AND(VLOOKUP(CONCATENATE($D1930,$G1930),CSRFinput!$B:$E,4,0)=0,OR(H1930=MappingTables!$C$34,H1930=MappingTables!$C$35)),1,VLOOKUP(CONCATENATE($D1930,$G1930),CSRFinput!$B:$E,4,0)))</f>
        <v>0.054776304963434752</v>
      </c>
      <c r="W1930" s="85">
        <f>IF(B1930="",0,+$T1930*$V1930)</f>
        <v>24.6328238999619</v>
      </c>
      <c r="X1930" s="85">
        <f>IF(B1930="",0,IF(OR(H1930=MappingTables!$C$34,H1930=MappingTables!$C$35),W1930,0))</f>
        <v>0</v>
      </c>
    </row>
    <row r="1931" spans="2:24" s="0" customFormat="0" ht="15">
      <c r="B1931" s="69">
        <v>18681510</v>
      </c>
      <c r="C1931" s="70" t="s">
        <v>2091</v>
      </c>
      <c r="D1931" s="70" t="s">
        <v>1</v>
      </c>
      <c r="E1931" s="70" t="s">
        <v>1</v>
      </c>
      <c r="F1931" s="70"/>
      <c r="G1931" s="70" t="s">
        <v>61</v>
      </c>
      <c r="H1931" s="70" t="s">
        <v>178</v>
      </c>
      <c r="I1931" s="70" t="s">
        <v>181</v>
      </c>
      <c r="J1931" s="71">
        <f>IF(OR(I1931=0,I1931=""),"unrated",VLOOKUP(I1931,MappingTables!$B$19:$C$31,2,FALSE))</f>
        <v>3</v>
      </c>
      <c r="K1931" s="72">
        <v>985.85408089125424</v>
      </c>
      <c r="L1931" s="70">
        <v>1.2766830505934806</v>
      </c>
      <c r="M1931" s="71">
        <f>IF(L1931&lt;1,1,L1931)</f>
        <v>1.2766830505934806</v>
      </c>
      <c r="N1931" s="70" t="s">
        <v>141</v>
      </c>
      <c r="O1931" s="71">
        <f>INDEX(DurClassMapping,MATCH(M1931,MappingTables!$D$4:$D$8,-1),1)</f>
        <v>1</v>
      </c>
      <c r="P1931" s="73">
        <f>IF(M1931=$A$1,1,$M1931-INDEX(MappingTables!$E$4:$E$8,MATCH(O1931,MappingTables!$B$4:$B$8,0)))</f>
        <v>1.2766830505934806</v>
      </c>
      <c r="Q1931" s="71">
        <f>IF(B1931="",0,INDEX(ModelParameters!$D$6:$K$10,MATCH($O1931,ModelParameters!$B$6:$B$10,0),MATCH($J1931,ModelParameters!$D$5:$K$5,0)))</f>
        <v>0.025</v>
      </c>
      <c r="R1931" s="71">
        <f>IF(B1931="",0,INDEX(ModelParameters!$D$13:$K$17,MATCH($O1931,ModelParameters!$B$13:$B$17,0),MATCH($J1931,ModelParameters!$D$5:$K$5,0)))</f>
        <v>0</v>
      </c>
      <c r="S1931" s="160">
        <f>IF(B1931="",0,MIN(IF($N1931="Other Bond TM",ModelParameters!$N$21,1)*(P1931*Q1931+R1931),1))</f>
        <v>0.031917076264837016</v>
      </c>
      <c r="T1931" s="85">
        <f>IF(B1931="",0,$S1931*$K1931)</f>
        <v>31.465579885806964</v>
      </c>
      <c r="U1931" s="85">
        <f>IF(B1931="",0,IF(OR(H1931=MappingTables!$C$34,H1931=MappingTables!$C$35),T1931,0))</f>
        <v>0</v>
      </c>
      <c r="V1931" s="85">
        <f>IF(ISNA(IF(AND(VLOOKUP(CONCATENATE($D1931,$G1931),CSRFinput!$B:$E,4,0)=0,OR(H1931=MappingTables!$C$34,H1931=MappingTables!$C$35)),1,VLOOKUP(CONCATENATE($D1931,$G1931),CSRFinput!$B:$E,4,0))),0,IF(AND(VLOOKUP(CONCATENATE($D1931,$G1931),CSRFinput!$B:$E,4,0)=0,OR(H1931=MappingTables!$C$34,H1931=MappingTables!$C$35)),1,VLOOKUP(CONCATENATE($D1931,$G1931),CSRFinput!$B:$E,4,0)))</f>
        <v>0.054776304963434752</v>
      </c>
      <c r="W1931" s="85">
        <f>IF(B1931="",0,+$T1931*$V1931)</f>
        <v>1.7235681996762808</v>
      </c>
      <c r="X1931" s="85">
        <f>IF(B1931="",0,IF(OR(H1931=MappingTables!$C$34,H1931=MappingTables!$C$35),W1931,0))</f>
        <v>0</v>
      </c>
    </row>
    <row r="1932" spans="2:24" s="0" customFormat="0" ht="15">
      <c r="B1932" s="69">
        <v>21226549</v>
      </c>
      <c r="C1932" s="70" t="s">
        <v>769</v>
      </c>
      <c r="D1932" s="70" t="s">
        <v>1</v>
      </c>
      <c r="E1932" s="70" t="s">
        <v>1</v>
      </c>
      <c r="F1932" s="70"/>
      <c r="G1932" s="70" t="s">
        <v>61</v>
      </c>
      <c r="H1932" s="70" t="s">
        <v>178</v>
      </c>
      <c r="I1932" s="70" t="s">
        <v>184</v>
      </c>
      <c r="J1932" s="71">
        <f>IF(OR(I1932=0,I1932=""),"unrated",VLOOKUP(I1932,MappingTables!$B$19:$C$31,2,FALSE))</f>
        <v>5</v>
      </c>
      <c r="K1932" s="72">
        <v>157.87465990050768</v>
      </c>
      <c r="L1932" s="70">
        <v>0.77793685975893248</v>
      </c>
      <c r="M1932" s="71">
        <f>IF(L1932&lt;1,1,L1932)</f>
        <v>1</v>
      </c>
      <c r="N1932" s="70" t="s">
        <v>141</v>
      </c>
      <c r="O1932" s="71">
        <f>INDEX(DurClassMapping,MATCH(M1932,MappingTables!$D$4:$D$8,-1),1)</f>
        <v>1</v>
      </c>
      <c r="P1932" s="73">
        <f>IF(M1932=$A$1,1,$M1932-INDEX(MappingTables!$E$4:$E$8,MATCH(O1932,MappingTables!$B$4:$B$8,0)))</f>
        <v>1</v>
      </c>
      <c r="Q1932" s="71">
        <f>IF(B1932="",0,INDEX(ModelParameters!$D$6:$K$10,MATCH($O1932,ModelParameters!$B$6:$B$10,0),MATCH($J1932,ModelParameters!$D$5:$K$5,0)))</f>
        <v>0.075</v>
      </c>
      <c r="R1932" s="71">
        <f>IF(B1932="",0,INDEX(ModelParameters!$D$13:$K$17,MATCH($O1932,ModelParameters!$B$13:$B$17,0),MATCH($J1932,ModelParameters!$D$5:$K$5,0)))</f>
        <v>0</v>
      </c>
      <c r="S1932" s="160">
        <f>IF(B1932="",0,MIN(IF($N1932="Other Bond TM",ModelParameters!$N$21,1)*(P1932*Q1932+R1932),1))</f>
        <v>0.075</v>
      </c>
      <c r="T1932" s="85">
        <f>IF(B1932="",0,$S1932*$K1932)</f>
        <v>11.840599492538076</v>
      </c>
      <c r="U1932" s="85">
        <f>IF(B1932="",0,IF(OR(H1932=MappingTables!$C$34,H1932=MappingTables!$C$35),T1932,0))</f>
        <v>0</v>
      </c>
      <c r="V1932" s="85">
        <f>IF(ISNA(IF(AND(VLOOKUP(CONCATENATE($D1932,$G1932),CSRFinput!$B:$E,4,0)=0,OR(H1932=MappingTables!$C$34,H1932=MappingTables!$C$35)),1,VLOOKUP(CONCATENATE($D1932,$G1932),CSRFinput!$B:$E,4,0))),0,IF(AND(VLOOKUP(CONCATENATE($D1932,$G1932),CSRFinput!$B:$E,4,0)=0,OR(H1932=MappingTables!$C$34,H1932=MappingTables!$C$35)),1,VLOOKUP(CONCATENATE($D1932,$G1932),CSRFinput!$B:$E,4,0)))</f>
        <v>0.054776304963434752</v>
      </c>
      <c r="W1932" s="85">
        <f>IF(B1932="",0,+$T1932*$V1932)</f>
        <v>0.6485842887531564</v>
      </c>
      <c r="X1932" s="85">
        <f>IF(B1932="",0,IF(OR(H1932=MappingTables!$C$34,H1932=MappingTables!$C$35),W1932,0))</f>
        <v>0</v>
      </c>
    </row>
    <row r="1933" spans="2:24" s="0" customFormat="0" ht="15">
      <c r="B1933" s="69" t="s">
        <v>2092</v>
      </c>
      <c r="C1933" s="70" t="s">
        <v>2093</v>
      </c>
      <c r="D1933" s="70" t="s">
        <v>1</v>
      </c>
      <c r="E1933" s="70" t="s">
        <v>1</v>
      </c>
      <c r="F1933" s="70"/>
      <c r="G1933" s="70" t="s">
        <v>61</v>
      </c>
      <c r="H1933" s="70" t="s">
        <v>178</v>
      </c>
      <c r="I1933" s="70" t="s">
        <v>181</v>
      </c>
      <c r="J1933" s="71">
        <f>IF(OR(I1933=0,I1933=""),"unrated",VLOOKUP(I1933,MappingTables!$B$19:$C$31,2,FALSE))</f>
        <v>3</v>
      </c>
      <c r="K1933" s="72">
        <v>2.6204789625647816</v>
      </c>
      <c r="L1933" s="70">
        <v>1.5632057557105076</v>
      </c>
      <c r="M1933" s="71">
        <f>IF(L1933&lt;1,1,L1933)</f>
        <v>1.5632057557105076</v>
      </c>
      <c r="N1933" s="70" t="s">
        <v>141</v>
      </c>
      <c r="O1933" s="71">
        <f>INDEX(DurClassMapping,MATCH(M1933,MappingTables!$D$4:$D$8,-1),1)</f>
        <v>1</v>
      </c>
      <c r="P1933" s="73">
        <f>IF(M1933=$A$1,1,$M1933-INDEX(MappingTables!$E$4:$E$8,MATCH(O1933,MappingTables!$B$4:$B$8,0)))</f>
        <v>1.5632057557105076</v>
      </c>
      <c r="Q1933" s="71">
        <f>IF(B1933="",0,INDEX(ModelParameters!$D$6:$K$10,MATCH($O1933,ModelParameters!$B$6:$B$10,0),MATCH($J1933,ModelParameters!$D$5:$K$5,0)))</f>
        <v>0.025</v>
      </c>
      <c r="R1933" s="71">
        <f>IF(B1933="",0,INDEX(ModelParameters!$D$13:$K$17,MATCH($O1933,ModelParameters!$B$13:$B$17,0),MATCH($J1933,ModelParameters!$D$5:$K$5,0)))</f>
        <v>0</v>
      </c>
      <c r="S1933" s="160">
        <f>IF(B1933="",0,MIN(IF($N1933="Other Bond TM",ModelParameters!$N$21,1)*(P1933*Q1933+R1933),1))</f>
        <v>0.039080143892762696</v>
      </c>
      <c r="T1933" s="85">
        <f>IF(B1933="",0,$S1933*$K1933)</f>
        <v>0.10240869492498916</v>
      </c>
      <c r="U1933" s="85">
        <f>IF(B1933="",0,IF(OR(H1933=MappingTables!$C$34,H1933=MappingTables!$C$35),T1933,0))</f>
        <v>0</v>
      </c>
      <c r="V1933" s="85">
        <f>IF(ISNA(IF(AND(VLOOKUP(CONCATENATE($D1933,$G1933),CSRFinput!$B:$E,4,0)=0,OR(H1933=MappingTables!$C$34,H1933=MappingTables!$C$35)),1,VLOOKUP(CONCATENATE($D1933,$G1933),CSRFinput!$B:$E,4,0))),0,IF(AND(VLOOKUP(CONCATENATE($D1933,$G1933),CSRFinput!$B:$E,4,0)=0,OR(H1933=MappingTables!$C$34,H1933=MappingTables!$C$35)),1,VLOOKUP(CONCATENATE($D1933,$G1933),CSRFinput!$B:$E,4,0)))</f>
        <v>0.054776304963434752</v>
      </c>
      <c r="W1933" s="85">
        <f>IF(B1933="",0,+$T1933*$V1933)</f>
        <v>0.0056095699041185592</v>
      </c>
      <c r="X1933" s="85">
        <f>IF(B1933="",0,IF(OR(H1933=MappingTables!$C$34,H1933=MappingTables!$C$35),W1933,0))</f>
        <v>0</v>
      </c>
    </row>
    <row r="1934" spans="2:24" s="0" customFormat="0" ht="15">
      <c r="B1934" s="69" t="s">
        <v>2094</v>
      </c>
      <c r="C1934" s="70" t="s">
        <v>2095</v>
      </c>
      <c r="D1934" s="70" t="s">
        <v>1</v>
      </c>
      <c r="E1934" s="70" t="s">
        <v>1</v>
      </c>
      <c r="F1934" s="70"/>
      <c r="G1934" s="70" t="s">
        <v>61</v>
      </c>
      <c r="H1934" s="70" t="s">
        <v>178</v>
      </c>
      <c r="I1934" s="70" t="s">
        <v>184</v>
      </c>
      <c r="J1934" s="71">
        <f>IF(OR(I1934=0,I1934=""),"unrated",VLOOKUP(I1934,MappingTables!$B$19:$C$31,2,FALSE))</f>
        <v>5</v>
      </c>
      <c r="K1934" s="72">
        <v>148.65565691022408</v>
      </c>
      <c r="L1934" s="70">
        <v>2.3977185677837244</v>
      </c>
      <c r="M1934" s="71">
        <f>IF(L1934&lt;1,1,L1934)</f>
        <v>2.3977185677837244</v>
      </c>
      <c r="N1934" s="70" t="s">
        <v>141</v>
      </c>
      <c r="O1934" s="71">
        <f>INDEX(DurClassMapping,MATCH(M1934,MappingTables!$D$4:$D$8,-1),1)</f>
        <v>1</v>
      </c>
      <c r="P1934" s="73">
        <f>IF(M1934=$A$1,1,$M1934-INDEX(MappingTables!$E$4:$E$8,MATCH(O1934,MappingTables!$B$4:$B$8,0)))</f>
        <v>2.3977185677837244</v>
      </c>
      <c r="Q1934" s="71">
        <f>IF(B1934="",0,INDEX(ModelParameters!$D$6:$K$10,MATCH($O1934,ModelParameters!$B$6:$B$10,0),MATCH($J1934,ModelParameters!$D$5:$K$5,0)))</f>
        <v>0.075</v>
      </c>
      <c r="R1934" s="71">
        <f>IF(B1934="",0,INDEX(ModelParameters!$D$13:$K$17,MATCH($O1934,ModelParameters!$B$13:$B$17,0),MATCH($J1934,ModelParameters!$D$5:$K$5,0)))</f>
        <v>0</v>
      </c>
      <c r="S1934" s="160">
        <f>IF(B1934="",0,MIN(IF($N1934="Other Bond TM",ModelParameters!$N$21,1)*(P1934*Q1934+R1934),1))</f>
        <v>0.17982889258377932</v>
      </c>
      <c r="T1934" s="85">
        <f>IF(B1934="",0,$S1934*$K1934)</f>
        <v>26.73258215847984</v>
      </c>
      <c r="U1934" s="85">
        <f>IF(B1934="",0,IF(OR(H1934=MappingTables!$C$34,H1934=MappingTables!$C$35),T1934,0))</f>
        <v>0</v>
      </c>
      <c r="V1934" s="85">
        <f>IF(ISNA(IF(AND(VLOOKUP(CONCATENATE($D1934,$G1934),CSRFinput!$B:$E,4,0)=0,OR(H1934=MappingTables!$C$34,H1934=MappingTables!$C$35)),1,VLOOKUP(CONCATENATE($D1934,$G1934),CSRFinput!$B:$E,4,0))),0,IF(AND(VLOOKUP(CONCATENATE($D1934,$G1934),CSRFinput!$B:$E,4,0)=0,OR(H1934=MappingTables!$C$34,H1934=MappingTables!$C$35)),1,VLOOKUP(CONCATENATE($D1934,$G1934),CSRFinput!$B:$E,4,0)))</f>
        <v>0.054776304963434752</v>
      </c>
      <c r="W1934" s="85">
        <f>IF(B1934="",0,+$T1934*$V1934)</f>
        <v>1.4643120727729666</v>
      </c>
      <c r="X1934" s="85">
        <f>IF(B1934="",0,IF(OR(H1934=MappingTables!$C$34,H1934=MappingTables!$C$35),W1934,0))</f>
        <v>0</v>
      </c>
    </row>
    <row r="1935" spans="2:24" s="0" customFormat="0" ht="15">
      <c r="B1935" s="69">
        <v>20869206</v>
      </c>
      <c r="C1935" s="70" t="s">
        <v>759</v>
      </c>
      <c r="D1935" s="70" t="s">
        <v>1</v>
      </c>
      <c r="E1935" s="70" t="s">
        <v>1</v>
      </c>
      <c r="F1935" s="70"/>
      <c r="G1935" s="70" t="s">
        <v>61</v>
      </c>
      <c r="H1935" s="70" t="s">
        <v>178</v>
      </c>
      <c r="I1935" s="70" t="s">
        <v>179</v>
      </c>
      <c r="J1935" s="71">
        <f>IF(OR(I1935=0,I1935=""),"unrated",VLOOKUP(I1935,MappingTables!$B$19:$C$31,2,FALSE))</f>
        <v>4</v>
      </c>
      <c r="K1935" s="72">
        <v>2377.7987402321932</v>
      </c>
      <c r="L1935" s="70">
        <v>7.514772904890984</v>
      </c>
      <c r="M1935" s="71">
        <f>IF(L1935&lt;1,1,L1935)</f>
        <v>7.514772904890984</v>
      </c>
      <c r="N1935" s="70" t="s">
        <v>141</v>
      </c>
      <c r="O1935" s="71">
        <f>INDEX(DurClassMapping,MATCH(M1935,MappingTables!$D$4:$D$8,-1),1)</f>
        <v>2</v>
      </c>
      <c r="P1935" s="73">
        <f>IF(M1935=$A$1,1,$M1935-INDEX(MappingTables!$E$4:$E$8,MATCH(O1935,MappingTables!$B$4:$B$8,0)))</f>
        <v>2.5147729048909832</v>
      </c>
      <c r="Q1935" s="71">
        <f>IF(B1935="",0,INDEX(ModelParameters!$D$6:$K$10,MATCH($O1935,ModelParameters!$B$6:$B$10,0),MATCH($J1935,ModelParameters!$D$5:$K$5,0)))</f>
        <v>0.025</v>
      </c>
      <c r="R1935" s="71">
        <f>IF(B1935="",0,INDEX(ModelParameters!$D$13:$K$17,MATCH($O1935,ModelParameters!$B$13:$B$17,0),MATCH($J1935,ModelParameters!$D$5:$K$5,0)))</f>
        <v>0.225</v>
      </c>
      <c r="S1935" s="160">
        <f>IF(B1935="",0,MIN(IF($N1935="Other Bond TM",ModelParameters!$N$21,1)*(P1935*Q1935+R1935),1))</f>
        <v>0.2878693226222746</v>
      </c>
      <c r="T1935" s="85">
        <f>IF(B1935="",0,$S1935*$K1935)</f>
        <v>684.49531268273936</v>
      </c>
      <c r="U1935" s="85">
        <f>IF(B1935="",0,IF(OR(H1935=MappingTables!$C$34,H1935=MappingTables!$C$35),T1935,0))</f>
        <v>0</v>
      </c>
      <c r="V1935" s="85">
        <f>IF(ISNA(IF(AND(VLOOKUP(CONCATENATE($D1935,$G1935),CSRFinput!$B:$E,4,0)=0,OR(H1935=MappingTables!$C$34,H1935=MappingTables!$C$35)),1,VLOOKUP(CONCATENATE($D1935,$G1935),CSRFinput!$B:$E,4,0))),0,IF(AND(VLOOKUP(CONCATENATE($D1935,$G1935),CSRFinput!$B:$E,4,0)=0,OR(H1935=MappingTables!$C$34,H1935=MappingTables!$C$35)),1,VLOOKUP(CONCATENATE($D1935,$G1935),CSRFinput!$B:$E,4,0)))</f>
        <v>0.054776304963434752</v>
      </c>
      <c r="W1935" s="85">
        <f>IF(B1935="",0,+$T1935*$V1935)</f>
        <v>37.49412399355136</v>
      </c>
      <c r="X1935" s="85">
        <f>IF(B1935="",0,IF(OR(H1935=MappingTables!$C$34,H1935=MappingTables!$C$35),W1935,0))</f>
        <v>0</v>
      </c>
    </row>
    <row r="1936" spans="2:24" s="0" customFormat="0" ht="15">
      <c r="B1936" s="69" t="s">
        <v>2096</v>
      </c>
      <c r="C1936" s="70" t="s">
        <v>2097</v>
      </c>
      <c r="D1936" s="70" t="s">
        <v>1</v>
      </c>
      <c r="E1936" s="70" t="s">
        <v>1</v>
      </c>
      <c r="F1936" s="70"/>
      <c r="G1936" s="70" t="s">
        <v>61</v>
      </c>
      <c r="H1936" s="70" t="s">
        <v>178</v>
      </c>
      <c r="I1936" s="70" t="s">
        <v>188</v>
      </c>
      <c r="J1936" s="71">
        <f>IF(OR(I1936=0,I1936=""),"unrated",VLOOKUP(I1936,MappingTables!$B$19:$C$31,2,FALSE))</f>
        <v>2</v>
      </c>
      <c r="K1936" s="72">
        <v>557.7820923945632</v>
      </c>
      <c r="L1936" s="70">
        <v>1.8141843657277184</v>
      </c>
      <c r="M1936" s="71">
        <f>IF(L1936&lt;1,1,L1936)</f>
        <v>1.8141843657277184</v>
      </c>
      <c r="N1936" s="70" t="s">
        <v>141</v>
      </c>
      <c r="O1936" s="71">
        <f>INDEX(DurClassMapping,MATCH(M1936,MappingTables!$D$4:$D$8,-1),1)</f>
        <v>1</v>
      </c>
      <c r="P1936" s="73">
        <f>IF(M1936=$A$1,1,$M1936-INDEX(MappingTables!$E$4:$E$8,MATCH(O1936,MappingTables!$B$4:$B$8,0)))</f>
        <v>1.8141843657277184</v>
      </c>
      <c r="Q1936" s="71">
        <f>IF(B1936="",0,INDEX(ModelParameters!$D$6:$K$10,MATCH($O1936,ModelParameters!$B$6:$B$10,0),MATCH($J1936,ModelParameters!$D$5:$K$5,0)))</f>
        <v>0.013999999999999998</v>
      </c>
      <c r="R1936" s="71">
        <f>IF(B1936="",0,INDEX(ModelParameters!$D$13:$K$17,MATCH($O1936,ModelParameters!$B$13:$B$17,0),MATCH($J1936,ModelParameters!$D$5:$K$5,0)))</f>
        <v>0</v>
      </c>
      <c r="S1936" s="160">
        <f>IF(B1936="",0,MIN(IF($N1936="Other Bond TM",ModelParameters!$N$21,1)*(P1936*Q1936+R1936),1))</f>
        <v>0.025398581120188056</v>
      </c>
      <c r="T1936" s="85">
        <f>IF(B1936="",0,$S1936*$K1936)</f>
        <v>14.166873721071542</v>
      </c>
      <c r="U1936" s="85">
        <f>IF(B1936="",0,IF(OR(H1936=MappingTables!$C$34,H1936=MappingTables!$C$35),T1936,0))</f>
        <v>0</v>
      </c>
      <c r="V1936" s="85">
        <f>IF(ISNA(IF(AND(VLOOKUP(CONCATENATE($D1936,$G1936),CSRFinput!$B:$E,4,0)=0,OR(H1936=MappingTables!$C$34,H1936=MappingTables!$C$35)),1,VLOOKUP(CONCATENATE($D1936,$G1936),CSRFinput!$B:$E,4,0))),0,IF(AND(VLOOKUP(CONCATENATE($D1936,$G1936),CSRFinput!$B:$E,4,0)=0,OR(H1936=MappingTables!$C$34,H1936=MappingTables!$C$35)),1,VLOOKUP(CONCATENATE($D1936,$G1936),CSRFinput!$B:$E,4,0)))</f>
        <v>0.054776304963434752</v>
      </c>
      <c r="W1936" s="85">
        <f>IF(B1936="",0,+$T1936*$V1936)</f>
        <v>0.77600899532388464</v>
      </c>
      <c r="X1936" s="85">
        <f>IF(B1936="",0,IF(OR(H1936=MappingTables!$C$34,H1936=MappingTables!$C$35),W1936,0))</f>
        <v>0</v>
      </c>
    </row>
    <row r="1937" spans="2:24" s="0" customFormat="0" ht="15">
      <c r="B1937" s="69">
        <v>18905403</v>
      </c>
      <c r="C1937" s="70" t="s">
        <v>1898</v>
      </c>
      <c r="D1937" s="70" t="s">
        <v>1</v>
      </c>
      <c r="E1937" s="70" t="s">
        <v>1</v>
      </c>
      <c r="F1937" s="70"/>
      <c r="G1937" s="70" t="s">
        <v>61</v>
      </c>
      <c r="H1937" s="70" t="s">
        <v>178</v>
      </c>
      <c r="I1937" s="70" t="s">
        <v>181</v>
      </c>
      <c r="J1937" s="71">
        <f>IF(OR(I1937=0,I1937=""),"unrated",VLOOKUP(I1937,MappingTables!$B$19:$C$31,2,FALSE))</f>
        <v>3</v>
      </c>
      <c r="K1937" s="72">
        <v>12.162382300729044</v>
      </c>
      <c r="L1937" s="70">
        <v>0.96439889640456464</v>
      </c>
      <c r="M1937" s="71">
        <f>IF(L1937&lt;1,1,L1937)</f>
        <v>1</v>
      </c>
      <c r="N1937" s="70" t="s">
        <v>141</v>
      </c>
      <c r="O1937" s="71">
        <f>INDEX(DurClassMapping,MATCH(M1937,MappingTables!$D$4:$D$8,-1),1)</f>
        <v>1</v>
      </c>
      <c r="P1937" s="73">
        <f>IF(M1937=$A$1,1,$M1937-INDEX(MappingTables!$E$4:$E$8,MATCH(O1937,MappingTables!$B$4:$B$8,0)))</f>
        <v>1</v>
      </c>
      <c r="Q1937" s="71">
        <f>IF(B1937="",0,INDEX(ModelParameters!$D$6:$K$10,MATCH($O1937,ModelParameters!$B$6:$B$10,0),MATCH($J1937,ModelParameters!$D$5:$K$5,0)))</f>
        <v>0.025</v>
      </c>
      <c r="R1937" s="71">
        <f>IF(B1937="",0,INDEX(ModelParameters!$D$13:$K$17,MATCH($O1937,ModelParameters!$B$13:$B$17,0),MATCH($J1937,ModelParameters!$D$5:$K$5,0)))</f>
        <v>0</v>
      </c>
      <c r="S1937" s="160">
        <f>IF(B1937="",0,MIN(IF($N1937="Other Bond TM",ModelParameters!$N$21,1)*(P1937*Q1937+R1937),1))</f>
        <v>0.025</v>
      </c>
      <c r="T1937" s="85">
        <f>IF(B1937="",0,$S1937*$K1937)</f>
        <v>0.30405955751822612</v>
      </c>
      <c r="U1937" s="85">
        <f>IF(B1937="",0,IF(OR(H1937=MappingTables!$C$34,H1937=MappingTables!$C$35),T1937,0))</f>
        <v>0</v>
      </c>
      <c r="V1937" s="85">
        <f>IF(ISNA(IF(AND(VLOOKUP(CONCATENATE($D1937,$G1937),CSRFinput!$B:$E,4,0)=0,OR(H1937=MappingTables!$C$34,H1937=MappingTables!$C$35)),1,VLOOKUP(CONCATENATE($D1937,$G1937),CSRFinput!$B:$E,4,0))),0,IF(AND(VLOOKUP(CONCATENATE($D1937,$G1937),CSRFinput!$B:$E,4,0)=0,OR(H1937=MappingTables!$C$34,H1937=MappingTables!$C$35)),1,VLOOKUP(CONCATENATE($D1937,$G1937),CSRFinput!$B:$E,4,0)))</f>
        <v>0.054776304963434752</v>
      </c>
      <c r="W1937" s="85">
        <f>IF(B1937="",0,+$T1937*$V1937)</f>
        <v>0.016655259049665386</v>
      </c>
      <c r="X1937" s="85">
        <f>IF(B1937="",0,IF(OR(H1937=MappingTables!$C$34,H1937=MappingTables!$C$35),W1937,0))</f>
        <v>0</v>
      </c>
    </row>
    <row r="1938" spans="2:24" s="0" customFormat="0" ht="15">
      <c r="B1938" s="69">
        <v>16965277</v>
      </c>
      <c r="C1938" s="70" t="s">
        <v>2098</v>
      </c>
      <c r="D1938" s="70" t="s">
        <v>1</v>
      </c>
      <c r="E1938" s="70" t="s">
        <v>1</v>
      </c>
      <c r="F1938" s="70"/>
      <c r="G1938" s="70" t="s">
        <v>61</v>
      </c>
      <c r="H1938" s="70" t="s">
        <v>178</v>
      </c>
      <c r="I1938" s="70" t="s">
        <v>181</v>
      </c>
      <c r="J1938" s="71">
        <f>IF(OR(I1938=0,I1938=""),"unrated",VLOOKUP(I1938,MappingTables!$B$19:$C$31,2,FALSE))</f>
        <v>3</v>
      </c>
      <c r="K1938" s="72">
        <v>54.730674861895048</v>
      </c>
      <c r="L1938" s="70">
        <v>2.2936974475730612</v>
      </c>
      <c r="M1938" s="71">
        <f>IF(L1938&lt;1,1,L1938)</f>
        <v>2.2936974475730612</v>
      </c>
      <c r="N1938" s="70" t="s">
        <v>141</v>
      </c>
      <c r="O1938" s="71">
        <f>INDEX(DurClassMapping,MATCH(M1938,MappingTables!$D$4:$D$8,-1),1)</f>
        <v>1</v>
      </c>
      <c r="P1938" s="73">
        <f>IF(M1938=$A$1,1,$M1938-INDEX(MappingTables!$E$4:$E$8,MATCH(O1938,MappingTables!$B$4:$B$8,0)))</f>
        <v>2.2936974475730612</v>
      </c>
      <c r="Q1938" s="71">
        <f>IF(B1938="",0,INDEX(ModelParameters!$D$6:$K$10,MATCH($O1938,ModelParameters!$B$6:$B$10,0),MATCH($J1938,ModelParameters!$D$5:$K$5,0)))</f>
        <v>0.025</v>
      </c>
      <c r="R1938" s="71">
        <f>IF(B1938="",0,INDEX(ModelParameters!$D$13:$K$17,MATCH($O1938,ModelParameters!$B$13:$B$17,0),MATCH($J1938,ModelParameters!$D$5:$K$5,0)))</f>
        <v>0</v>
      </c>
      <c r="S1938" s="160">
        <f>IF(B1938="",0,MIN(IF($N1938="Other Bond TM",ModelParameters!$N$21,1)*(P1938*Q1938+R1938),1))</f>
        <v>0.057342436189326528</v>
      </c>
      <c r="T1938" s="85">
        <f>IF(B1938="",0,$S1938*$K1938)</f>
        <v>3.1383902308669944</v>
      </c>
      <c r="U1938" s="85">
        <f>IF(B1938="",0,IF(OR(H1938=MappingTables!$C$34,H1938=MappingTables!$C$35),T1938,0))</f>
        <v>0</v>
      </c>
      <c r="V1938" s="85">
        <f>IF(ISNA(IF(AND(VLOOKUP(CONCATENATE($D1938,$G1938),CSRFinput!$B:$E,4,0)=0,OR(H1938=MappingTables!$C$34,H1938=MappingTables!$C$35)),1,VLOOKUP(CONCATENATE($D1938,$G1938),CSRFinput!$B:$E,4,0))),0,IF(AND(VLOOKUP(CONCATENATE($D1938,$G1938),CSRFinput!$B:$E,4,0)=0,OR(H1938=MappingTables!$C$34,H1938=MappingTables!$C$35)),1,VLOOKUP(CONCATENATE($D1938,$G1938),CSRFinput!$B:$E,4,0)))</f>
        <v>0.054776304963434752</v>
      </c>
      <c r="W1938" s="85">
        <f>IF(B1938="",0,+$T1938*$V1938)</f>
        <v>0.17190942038023488</v>
      </c>
      <c r="X1938" s="85">
        <f>IF(B1938="",0,IF(OR(H1938=MappingTables!$C$34,H1938=MappingTables!$C$35),W1938,0))</f>
        <v>0</v>
      </c>
    </row>
    <row r="1939" spans="2:24" s="0" customFormat="0" ht="15">
      <c r="B1939" s="69">
        <v>21005399</v>
      </c>
      <c r="C1939" s="70" t="s">
        <v>781</v>
      </c>
      <c r="D1939" s="70" t="s">
        <v>1</v>
      </c>
      <c r="E1939" s="70" t="s">
        <v>1</v>
      </c>
      <c r="F1939" s="70"/>
      <c r="G1939" s="70" t="s">
        <v>61</v>
      </c>
      <c r="H1939" s="70" t="s">
        <v>178</v>
      </c>
      <c r="I1939" s="70" t="s">
        <v>181</v>
      </c>
      <c r="J1939" s="71">
        <f>IF(OR(I1939=0,I1939=""),"unrated",VLOOKUP(I1939,MappingTables!$B$19:$C$31,2,FALSE))</f>
        <v>3</v>
      </c>
      <c r="K1939" s="72">
        <v>29942.27541230764</v>
      </c>
      <c r="L1939" s="70">
        <v>5.0873159275237072</v>
      </c>
      <c r="M1939" s="71">
        <f>IF(L1939&lt;1,1,L1939)</f>
        <v>5.0873159275237072</v>
      </c>
      <c r="N1939" s="70" t="s">
        <v>141</v>
      </c>
      <c r="O1939" s="71">
        <f>INDEX(DurClassMapping,MATCH(M1939,MappingTables!$D$4:$D$8,-1),1)</f>
        <v>2</v>
      </c>
      <c r="P1939" s="73">
        <f>IF(M1939=$A$1,1,$M1939-INDEX(MappingTables!$E$4:$E$8,MATCH(O1939,MappingTables!$B$4:$B$8,0)))</f>
        <v>0.087315927523706976</v>
      </c>
      <c r="Q1939" s="71">
        <f>IF(B1939="",0,INDEX(ModelParameters!$D$6:$K$10,MATCH($O1939,ModelParameters!$B$6:$B$10,0),MATCH($J1939,ModelParameters!$D$5:$K$5,0)))</f>
        <v>0.015</v>
      </c>
      <c r="R1939" s="71">
        <f>IF(B1939="",0,INDEX(ModelParameters!$D$13:$K$17,MATCH($O1939,ModelParameters!$B$13:$B$17,0),MATCH($J1939,ModelParameters!$D$5:$K$5,0)))</f>
        <v>0.125</v>
      </c>
      <c r="S1939" s="160">
        <f>IF(B1939="",0,MIN(IF($N1939="Other Bond TM",ModelParameters!$N$21,1)*(P1939*Q1939+R1939),1))</f>
        <v>0.1263097389128556</v>
      </c>
      <c r="T1939" s="85">
        <f>IF(B1939="",0,$S1939*$K1939)</f>
        <v>3782.0009897853936</v>
      </c>
      <c r="U1939" s="85">
        <f>IF(B1939="",0,IF(OR(H1939=MappingTables!$C$34,H1939=MappingTables!$C$35),T1939,0))</f>
        <v>0</v>
      </c>
      <c r="V1939" s="85">
        <f>IF(ISNA(IF(AND(VLOOKUP(CONCATENATE($D1939,$G1939),CSRFinput!$B:$E,4,0)=0,OR(H1939=MappingTables!$C$34,H1939=MappingTables!$C$35)),1,VLOOKUP(CONCATENATE($D1939,$G1939),CSRFinput!$B:$E,4,0))),0,IF(AND(VLOOKUP(CONCATENATE($D1939,$G1939),CSRFinput!$B:$E,4,0)=0,OR(H1939=MappingTables!$C$34,H1939=MappingTables!$C$35)),1,VLOOKUP(CONCATENATE($D1939,$G1939),CSRFinput!$B:$E,4,0)))</f>
        <v>0.054776304963434752</v>
      </c>
      <c r="W1939" s="85">
        <f>IF(B1939="",0,+$T1939*$V1939)</f>
        <v>207.1640395884968</v>
      </c>
      <c r="X1939" s="85">
        <f>IF(B1939="",0,IF(OR(H1939=MappingTables!$C$34,H1939=MappingTables!$C$35),W1939,0))</f>
        <v>0</v>
      </c>
    </row>
    <row r="1940" spans="2:24" s="0" customFormat="0" ht="15">
      <c r="B1940" s="69">
        <v>19567767</v>
      </c>
      <c r="C1940" s="70" t="s">
        <v>2099</v>
      </c>
      <c r="D1940" s="70" t="s">
        <v>1</v>
      </c>
      <c r="E1940" s="70" t="s">
        <v>1</v>
      </c>
      <c r="F1940" s="70"/>
      <c r="G1940" s="70" t="s">
        <v>61</v>
      </c>
      <c r="H1940" s="70" t="s">
        <v>178</v>
      </c>
      <c r="I1940" s="70" t="s">
        <v>188</v>
      </c>
      <c r="J1940" s="71">
        <f>IF(OR(I1940=0,I1940=""),"unrated",VLOOKUP(I1940,MappingTables!$B$19:$C$31,2,FALSE))</f>
        <v>2</v>
      </c>
      <c r="K1940" s="72">
        <v>0.12287680943344268</v>
      </c>
      <c r="L1940" s="70">
        <v>0.60274369222285976</v>
      </c>
      <c r="M1940" s="71">
        <f>IF(L1940&lt;1,1,L1940)</f>
        <v>1</v>
      </c>
      <c r="N1940" s="70" t="s">
        <v>141</v>
      </c>
      <c r="O1940" s="71">
        <f>INDEX(DurClassMapping,MATCH(M1940,MappingTables!$D$4:$D$8,-1),1)</f>
        <v>1</v>
      </c>
      <c r="P1940" s="73">
        <f>IF(M1940=$A$1,1,$M1940-INDEX(MappingTables!$E$4:$E$8,MATCH(O1940,MappingTables!$B$4:$B$8,0)))</f>
        <v>1</v>
      </c>
      <c r="Q1940" s="71">
        <f>IF(B1940="",0,INDEX(ModelParameters!$D$6:$K$10,MATCH($O1940,ModelParameters!$B$6:$B$10,0),MATCH($J1940,ModelParameters!$D$5:$K$5,0)))</f>
        <v>0.013999999999999998</v>
      </c>
      <c r="R1940" s="71">
        <f>IF(B1940="",0,INDEX(ModelParameters!$D$13:$K$17,MATCH($O1940,ModelParameters!$B$13:$B$17,0),MATCH($J1940,ModelParameters!$D$5:$K$5,0)))</f>
        <v>0</v>
      </c>
      <c r="S1940" s="160">
        <f>IF(B1940="",0,MIN(IF($N1940="Other Bond TM",ModelParameters!$N$21,1)*(P1940*Q1940+R1940),1))</f>
        <v>0.013999999999999998</v>
      </c>
      <c r="T1940" s="85">
        <f>IF(B1940="",0,$S1940*$K1940)</f>
        <v>0.0017202753320681972</v>
      </c>
      <c r="U1940" s="85">
        <f>IF(B1940="",0,IF(OR(H1940=MappingTables!$C$34,H1940=MappingTables!$C$35),T1940,0))</f>
        <v>0</v>
      </c>
      <c r="V1940" s="85">
        <f>IF(ISNA(IF(AND(VLOOKUP(CONCATENATE($D1940,$G1940),CSRFinput!$B:$E,4,0)=0,OR(H1940=MappingTables!$C$34,H1940=MappingTables!$C$35)),1,VLOOKUP(CONCATENATE($D1940,$G1940),CSRFinput!$B:$E,4,0))),0,IF(AND(VLOOKUP(CONCATENATE($D1940,$G1940),CSRFinput!$B:$E,4,0)=0,OR(H1940=MappingTables!$C$34,H1940=MappingTables!$C$35)),1,VLOOKUP(CONCATENATE($D1940,$G1940),CSRFinput!$B:$E,4,0)))</f>
        <v>0.054776304963434752</v>
      </c>
      <c r="W1940" s="85">
        <f>IF(B1940="",0,+$T1940*$V1940)</f>
        <v>0.000094230326210441568</v>
      </c>
      <c r="X1940" s="85">
        <f>IF(B1940="",0,IF(OR(H1940=MappingTables!$C$34,H1940=MappingTables!$C$35),W1940,0))</f>
        <v>0</v>
      </c>
    </row>
    <row r="1941" spans="2:24" s="0" customFormat="0" ht="15">
      <c r="B1941" s="69">
        <v>19178596</v>
      </c>
      <c r="C1941" s="70" t="s">
        <v>2100</v>
      </c>
      <c r="D1941" s="70" t="s">
        <v>1</v>
      </c>
      <c r="E1941" s="70" t="s">
        <v>1</v>
      </c>
      <c r="F1941" s="70"/>
      <c r="G1941" s="70" t="s">
        <v>61</v>
      </c>
      <c r="H1941" s="70" t="s">
        <v>178</v>
      </c>
      <c r="I1941" s="70" t="s">
        <v>181</v>
      </c>
      <c r="J1941" s="71">
        <f>IF(OR(I1941=0,I1941=""),"unrated",VLOOKUP(I1941,MappingTables!$B$19:$C$31,2,FALSE))</f>
        <v>3</v>
      </c>
      <c r="K1941" s="72">
        <v>4.74085877640586</v>
      </c>
      <c r="L1941" s="70">
        <v>1.0919290622835594</v>
      </c>
      <c r="M1941" s="71">
        <f>IF(L1941&lt;1,1,L1941)</f>
        <v>1.0919290622835594</v>
      </c>
      <c r="N1941" s="70" t="s">
        <v>141</v>
      </c>
      <c r="O1941" s="71">
        <f>INDEX(DurClassMapping,MATCH(M1941,MappingTables!$D$4:$D$8,-1),1)</f>
        <v>1</v>
      </c>
      <c r="P1941" s="73">
        <f>IF(M1941=$A$1,1,$M1941-INDEX(MappingTables!$E$4:$E$8,MATCH(O1941,MappingTables!$B$4:$B$8,0)))</f>
        <v>1.0919290622835594</v>
      </c>
      <c r="Q1941" s="71">
        <f>IF(B1941="",0,INDEX(ModelParameters!$D$6:$K$10,MATCH($O1941,ModelParameters!$B$6:$B$10,0),MATCH($J1941,ModelParameters!$D$5:$K$5,0)))</f>
        <v>0.025</v>
      </c>
      <c r="R1941" s="71">
        <f>IF(B1941="",0,INDEX(ModelParameters!$D$13:$K$17,MATCH($O1941,ModelParameters!$B$13:$B$17,0),MATCH($J1941,ModelParameters!$D$5:$K$5,0)))</f>
        <v>0</v>
      </c>
      <c r="S1941" s="160">
        <f>IF(B1941="",0,MIN(IF($N1941="Other Bond TM",ModelParameters!$N$21,1)*(P1941*Q1941+R1941),1))</f>
        <v>0.027298226557088984</v>
      </c>
      <c r="T1941" s="85">
        <f>IF(B1941="",0,$S1941*$K1941)</f>
        <v>0.12941703695349082</v>
      </c>
      <c r="U1941" s="85">
        <f>IF(B1941="",0,IF(OR(H1941=MappingTables!$C$34,H1941=MappingTables!$C$35),T1941,0))</f>
        <v>0</v>
      </c>
      <c r="V1941" s="85">
        <f>IF(ISNA(IF(AND(VLOOKUP(CONCATENATE($D1941,$G1941),CSRFinput!$B:$E,4,0)=0,OR(H1941=MappingTables!$C$34,H1941=MappingTables!$C$35)),1,VLOOKUP(CONCATENATE($D1941,$G1941),CSRFinput!$B:$E,4,0))),0,IF(AND(VLOOKUP(CONCATENATE($D1941,$G1941),CSRFinput!$B:$E,4,0)=0,OR(H1941=MappingTables!$C$34,H1941=MappingTables!$C$35)),1,VLOOKUP(CONCATENATE($D1941,$G1941),CSRFinput!$B:$E,4,0)))</f>
        <v>0.054776304963434752</v>
      </c>
      <c r="W1941" s="85">
        <f>IF(B1941="",0,+$T1941*$V1941)</f>
        <v>0.0070889870836285184</v>
      </c>
      <c r="X1941" s="85">
        <f>IF(B1941="",0,IF(OR(H1941=MappingTables!$C$34,H1941=MappingTables!$C$35),W1941,0))</f>
        <v>0</v>
      </c>
    </row>
    <row r="1942" spans="2:24" s="0" customFormat="0" ht="15">
      <c r="B1942" s="69">
        <v>23892301</v>
      </c>
      <c r="C1942" s="70" t="s">
        <v>1781</v>
      </c>
      <c r="D1942" s="70" t="s">
        <v>1</v>
      </c>
      <c r="E1942" s="70" t="s">
        <v>1</v>
      </c>
      <c r="F1942" s="70"/>
      <c r="G1942" s="70" t="s">
        <v>61</v>
      </c>
      <c r="H1942" s="70" t="s">
        <v>178</v>
      </c>
      <c r="I1942" s="70" t="s">
        <v>179</v>
      </c>
      <c r="J1942" s="71">
        <f>IF(OR(I1942=0,I1942=""),"unrated",VLOOKUP(I1942,MappingTables!$B$19:$C$31,2,FALSE))</f>
        <v>4</v>
      </c>
      <c r="K1942" s="72">
        <v>16533.443230866044</v>
      </c>
      <c r="L1942" s="70">
        <v>4.9973328351432024</v>
      </c>
      <c r="M1942" s="71">
        <f>IF(L1942&lt;1,1,L1942)</f>
        <v>4.9973328351432024</v>
      </c>
      <c r="N1942" s="70" t="s">
        <v>141</v>
      </c>
      <c r="O1942" s="71">
        <f>INDEX(DurClassMapping,MATCH(M1942,MappingTables!$D$4:$D$8,-1),1)</f>
        <v>1</v>
      </c>
      <c r="P1942" s="73">
        <f>IF(M1942=$A$1,1,$M1942-INDEX(MappingTables!$E$4:$E$8,MATCH(O1942,MappingTables!$B$4:$B$8,0)))</f>
        <v>4.9973328351432024</v>
      </c>
      <c r="Q1942" s="71">
        <f>IF(B1942="",0,INDEX(ModelParameters!$D$6:$K$10,MATCH($O1942,ModelParameters!$B$6:$B$10,0),MATCH($J1942,ModelParameters!$D$5:$K$5,0)))</f>
        <v>0.045</v>
      </c>
      <c r="R1942" s="71">
        <f>IF(B1942="",0,INDEX(ModelParameters!$D$13:$K$17,MATCH($O1942,ModelParameters!$B$13:$B$17,0),MATCH($J1942,ModelParameters!$D$5:$K$5,0)))</f>
        <v>0</v>
      </c>
      <c r="S1942" s="160">
        <f>IF(B1942="",0,MIN(IF($N1942="Other Bond TM",ModelParameters!$N$21,1)*(P1942*Q1942+R1942),1))</f>
        <v>0.22487997758144412</v>
      </c>
      <c r="T1942" s="85">
        <f>IF(B1942="",0,$S1942*$K1942)</f>
        <v>3718.0403431012352</v>
      </c>
      <c r="U1942" s="85">
        <f>IF(B1942="",0,IF(OR(H1942=MappingTables!$C$34,H1942=MappingTables!$C$35),T1942,0))</f>
        <v>0</v>
      </c>
      <c r="V1942" s="85">
        <f>IF(ISNA(IF(AND(VLOOKUP(CONCATENATE($D1942,$G1942),CSRFinput!$B:$E,4,0)=0,OR(H1942=MappingTables!$C$34,H1942=MappingTables!$C$35)),1,VLOOKUP(CONCATENATE($D1942,$G1942),CSRFinput!$B:$E,4,0))),0,IF(AND(VLOOKUP(CONCATENATE($D1942,$G1942),CSRFinput!$B:$E,4,0)=0,OR(H1942=MappingTables!$C$34,H1942=MappingTables!$C$35)),1,VLOOKUP(CONCATENATE($D1942,$G1942),CSRFinput!$B:$E,4,0)))</f>
        <v>0.054776304963434752</v>
      </c>
      <c r="W1942" s="85">
        <f>IF(B1942="",0,+$T1942*$V1942)</f>
        <v>203.66051170006684</v>
      </c>
      <c r="X1942" s="85">
        <f>IF(B1942="",0,IF(OR(H1942=MappingTables!$C$34,H1942=MappingTables!$C$35),W1942,0))</f>
        <v>0</v>
      </c>
    </row>
    <row r="1943" spans="2:24" s="0" customFormat="0" ht="15">
      <c r="B1943" s="69">
        <v>16058095</v>
      </c>
      <c r="C1943" s="70" t="s">
        <v>1734</v>
      </c>
      <c r="D1943" s="70" t="s">
        <v>1</v>
      </c>
      <c r="E1943" s="70" t="s">
        <v>1</v>
      </c>
      <c r="F1943" s="70"/>
      <c r="G1943" s="70" t="s">
        <v>61</v>
      </c>
      <c r="H1943" s="70" t="s">
        <v>178</v>
      </c>
      <c r="I1943" s="70" t="s">
        <v>179</v>
      </c>
      <c r="J1943" s="71">
        <f>IF(OR(I1943=0,I1943=""),"unrated",VLOOKUP(I1943,MappingTables!$B$19:$C$31,2,FALSE))</f>
        <v>4</v>
      </c>
      <c r="K1943" s="72">
        <v>872.86382689244416</v>
      </c>
      <c r="L1943" s="70">
        <v>0.26917387019724464</v>
      </c>
      <c r="M1943" s="71">
        <f>IF(L1943&lt;1,1,L1943)</f>
        <v>1</v>
      </c>
      <c r="N1943" s="70" t="s">
        <v>141</v>
      </c>
      <c r="O1943" s="71">
        <f>INDEX(DurClassMapping,MATCH(M1943,MappingTables!$D$4:$D$8,-1),1)</f>
        <v>1</v>
      </c>
      <c r="P1943" s="73">
        <f>IF(M1943=$A$1,1,$M1943-INDEX(MappingTables!$E$4:$E$8,MATCH(O1943,MappingTables!$B$4:$B$8,0)))</f>
        <v>1</v>
      </c>
      <c r="Q1943" s="71">
        <f>IF(B1943="",0,INDEX(ModelParameters!$D$6:$K$10,MATCH($O1943,ModelParameters!$B$6:$B$10,0),MATCH($J1943,ModelParameters!$D$5:$K$5,0)))</f>
        <v>0.045</v>
      </c>
      <c r="R1943" s="71">
        <f>IF(B1943="",0,INDEX(ModelParameters!$D$13:$K$17,MATCH($O1943,ModelParameters!$B$13:$B$17,0),MATCH($J1943,ModelParameters!$D$5:$K$5,0)))</f>
        <v>0</v>
      </c>
      <c r="S1943" s="160">
        <f>IF(B1943="",0,MIN(IF($N1943="Other Bond TM",ModelParameters!$N$21,1)*(P1943*Q1943+R1943),1))</f>
        <v>0.045</v>
      </c>
      <c r="T1943" s="85">
        <f>IF(B1943="",0,$S1943*$K1943)</f>
        <v>39.278872210159984</v>
      </c>
      <c r="U1943" s="85">
        <f>IF(B1943="",0,IF(OR(H1943=MappingTables!$C$34,H1943=MappingTables!$C$35),T1943,0))</f>
        <v>0</v>
      </c>
      <c r="V1943" s="85">
        <f>IF(ISNA(IF(AND(VLOOKUP(CONCATENATE($D1943,$G1943),CSRFinput!$B:$E,4,0)=0,OR(H1943=MappingTables!$C$34,H1943=MappingTables!$C$35)),1,VLOOKUP(CONCATENATE($D1943,$G1943),CSRFinput!$B:$E,4,0))),0,IF(AND(VLOOKUP(CONCATENATE($D1943,$G1943),CSRFinput!$B:$E,4,0)=0,OR(H1943=MappingTables!$C$34,H1943=MappingTables!$C$35)),1,VLOOKUP(CONCATENATE($D1943,$G1943),CSRFinput!$B:$E,4,0)))</f>
        <v>0.054776304963434752</v>
      </c>
      <c r="W1943" s="85">
        <f>IF(B1943="",0,+$T1943*$V1943)</f>
        <v>2.1515514828035056</v>
      </c>
      <c r="X1943" s="85">
        <f>IF(B1943="",0,IF(OR(H1943=MappingTables!$C$34,H1943=MappingTables!$C$35),W1943,0))</f>
        <v>0</v>
      </c>
    </row>
    <row r="1944" spans="2:24" s="0" customFormat="0" ht="15">
      <c r="B1944" s="69">
        <v>21057448</v>
      </c>
      <c r="C1944" s="70" t="s">
        <v>1944</v>
      </c>
      <c r="D1944" s="70" t="s">
        <v>1</v>
      </c>
      <c r="E1944" s="70" t="s">
        <v>1</v>
      </c>
      <c r="F1944" s="70"/>
      <c r="G1944" s="70" t="s">
        <v>61</v>
      </c>
      <c r="H1944" s="70" t="s">
        <v>178</v>
      </c>
      <c r="I1944" s="70" t="s">
        <v>179</v>
      </c>
      <c r="J1944" s="71">
        <f>IF(OR(I1944=0,I1944=""),"unrated",VLOOKUP(I1944,MappingTables!$B$19:$C$31,2,FALSE))</f>
        <v>4</v>
      </c>
      <c r="K1944" s="72">
        <v>248.71422295510688</v>
      </c>
      <c r="L1944" s="70">
        <v>7.0455126716007016</v>
      </c>
      <c r="M1944" s="71">
        <f>IF(L1944&lt;1,1,L1944)</f>
        <v>7.0455126716007016</v>
      </c>
      <c r="N1944" s="70" t="s">
        <v>141</v>
      </c>
      <c r="O1944" s="71">
        <f>INDEX(DurClassMapping,MATCH(M1944,MappingTables!$D$4:$D$8,-1),1)</f>
        <v>2</v>
      </c>
      <c r="P1944" s="73">
        <f>IF(M1944=$A$1,1,$M1944-INDEX(MappingTables!$E$4:$E$8,MATCH(O1944,MappingTables!$B$4:$B$8,0)))</f>
        <v>2.0455126716007016</v>
      </c>
      <c r="Q1944" s="71">
        <f>IF(B1944="",0,INDEX(ModelParameters!$D$6:$K$10,MATCH($O1944,ModelParameters!$B$6:$B$10,0),MATCH($J1944,ModelParameters!$D$5:$K$5,0)))</f>
        <v>0.025</v>
      </c>
      <c r="R1944" s="71">
        <f>IF(B1944="",0,INDEX(ModelParameters!$D$13:$K$17,MATCH($O1944,ModelParameters!$B$13:$B$17,0),MATCH($J1944,ModelParameters!$D$5:$K$5,0)))</f>
        <v>0.225</v>
      </c>
      <c r="S1944" s="160">
        <f>IF(B1944="",0,MIN(IF($N1944="Other Bond TM",ModelParameters!$N$21,1)*(P1944*Q1944+R1944),1))</f>
        <v>0.27613781679001752</v>
      </c>
      <c r="T1944" s="85">
        <f>IF(B1944="",0,$S1944*$K1944)</f>
        <v>68.679402531448872</v>
      </c>
      <c r="U1944" s="85">
        <f>IF(B1944="",0,IF(OR(H1944=MappingTables!$C$34,H1944=MappingTables!$C$35),T1944,0))</f>
        <v>0</v>
      </c>
      <c r="V1944" s="85">
        <f>IF(ISNA(IF(AND(VLOOKUP(CONCATENATE($D1944,$G1944),CSRFinput!$B:$E,4,0)=0,OR(H1944=MappingTables!$C$34,H1944=MappingTables!$C$35)),1,VLOOKUP(CONCATENATE($D1944,$G1944),CSRFinput!$B:$E,4,0))),0,IF(AND(VLOOKUP(CONCATENATE($D1944,$G1944),CSRFinput!$B:$E,4,0)=0,OR(H1944=MappingTables!$C$34,H1944=MappingTables!$C$35)),1,VLOOKUP(CONCATENATE($D1944,$G1944),CSRFinput!$B:$E,4,0)))</f>
        <v>0.054776304963434752</v>
      </c>
      <c r="W1944" s="85">
        <f>IF(B1944="",0,+$T1944*$V1944)</f>
        <v>3.762003897769136</v>
      </c>
      <c r="X1944" s="85">
        <f>IF(B1944="",0,IF(OR(H1944=MappingTables!$C$34,H1944=MappingTables!$C$35),W1944,0))</f>
        <v>0</v>
      </c>
    </row>
    <row r="1945" spans="2:24" s="0" customFormat="0" ht="15">
      <c r="B1945" s="69">
        <v>18156063</v>
      </c>
      <c r="C1945" s="70" t="s">
        <v>1691</v>
      </c>
      <c r="D1945" s="70" t="s">
        <v>1</v>
      </c>
      <c r="E1945" s="70" t="s">
        <v>1</v>
      </c>
      <c r="F1945" s="70"/>
      <c r="G1945" s="70" t="s">
        <v>61</v>
      </c>
      <c r="H1945" s="70" t="s">
        <v>178</v>
      </c>
      <c r="I1945" s="70" t="s">
        <v>179</v>
      </c>
      <c r="J1945" s="71">
        <f>IF(OR(I1945=0,I1945=""),"unrated",VLOOKUP(I1945,MappingTables!$B$19:$C$31,2,FALSE))</f>
        <v>4</v>
      </c>
      <c r="K1945" s="72">
        <v>2298.818599444758</v>
      </c>
      <c r="L1945" s="70">
        <v>0.12602769526807592</v>
      </c>
      <c r="M1945" s="71">
        <f>IF(L1945&lt;1,1,L1945)</f>
        <v>1</v>
      </c>
      <c r="N1945" s="70" t="s">
        <v>141</v>
      </c>
      <c r="O1945" s="71">
        <f>INDEX(DurClassMapping,MATCH(M1945,MappingTables!$D$4:$D$8,-1),1)</f>
        <v>1</v>
      </c>
      <c r="P1945" s="73">
        <f>IF(M1945=$A$1,1,$M1945-INDEX(MappingTables!$E$4:$E$8,MATCH(O1945,MappingTables!$B$4:$B$8,0)))</f>
        <v>1</v>
      </c>
      <c r="Q1945" s="71">
        <f>IF(B1945="",0,INDEX(ModelParameters!$D$6:$K$10,MATCH($O1945,ModelParameters!$B$6:$B$10,0),MATCH($J1945,ModelParameters!$D$5:$K$5,0)))</f>
        <v>0.045</v>
      </c>
      <c r="R1945" s="71">
        <f>IF(B1945="",0,INDEX(ModelParameters!$D$13:$K$17,MATCH($O1945,ModelParameters!$B$13:$B$17,0),MATCH($J1945,ModelParameters!$D$5:$K$5,0)))</f>
        <v>0</v>
      </c>
      <c r="S1945" s="160">
        <f>IF(B1945="",0,MIN(IF($N1945="Other Bond TM",ModelParameters!$N$21,1)*(P1945*Q1945+R1945),1))</f>
        <v>0.045</v>
      </c>
      <c r="T1945" s="85">
        <f>IF(B1945="",0,$S1945*$K1945)</f>
        <v>103.4468369750141</v>
      </c>
      <c r="U1945" s="85">
        <f>IF(B1945="",0,IF(OR(H1945=MappingTables!$C$34,H1945=MappingTables!$C$35),T1945,0))</f>
        <v>0</v>
      </c>
      <c r="V1945" s="85">
        <f>IF(ISNA(IF(AND(VLOOKUP(CONCATENATE($D1945,$G1945),CSRFinput!$B:$E,4,0)=0,OR(H1945=MappingTables!$C$34,H1945=MappingTables!$C$35)),1,VLOOKUP(CONCATENATE($D1945,$G1945),CSRFinput!$B:$E,4,0))),0,IF(AND(VLOOKUP(CONCATENATE($D1945,$G1945),CSRFinput!$B:$E,4,0)=0,OR(H1945=MappingTables!$C$34,H1945=MappingTables!$C$35)),1,VLOOKUP(CONCATENATE($D1945,$G1945),CSRFinput!$B:$E,4,0)))</f>
        <v>0.054776304963434752</v>
      </c>
      <c r="W1945" s="85">
        <f>IF(B1945="",0,+$T1945*$V1945)</f>
        <v>5.6664354896460904</v>
      </c>
      <c r="X1945" s="85">
        <f>IF(B1945="",0,IF(OR(H1945=MappingTables!$C$34,H1945=MappingTables!$C$35),W1945,0))</f>
        <v>0</v>
      </c>
    </row>
    <row r="1946" spans="2:24" s="0" customFormat="0" ht="15">
      <c r="B1946" s="69" t="s">
        <v>2101</v>
      </c>
      <c r="C1946" s="70" t="s">
        <v>2102</v>
      </c>
      <c r="D1946" s="70" t="s">
        <v>1</v>
      </c>
      <c r="E1946" s="70" t="s">
        <v>1</v>
      </c>
      <c r="F1946" s="70"/>
      <c r="G1946" s="70" t="s">
        <v>61</v>
      </c>
      <c r="H1946" s="70" t="s">
        <v>178</v>
      </c>
      <c r="I1946" s="70" t="s">
        <v>181</v>
      </c>
      <c r="J1946" s="71">
        <f>IF(OR(I1946=0,I1946=""),"unrated",VLOOKUP(I1946,MappingTables!$B$19:$C$31,2,FALSE))</f>
        <v>3</v>
      </c>
      <c r="K1946" s="72">
        <v>275.23455499512608</v>
      </c>
      <c r="L1946" s="70">
        <v>2.907122369497134</v>
      </c>
      <c r="M1946" s="71">
        <f>IF(L1946&lt;1,1,L1946)</f>
        <v>2.907122369497134</v>
      </c>
      <c r="N1946" s="70" t="s">
        <v>141</v>
      </c>
      <c r="O1946" s="71">
        <f>INDEX(DurClassMapping,MATCH(M1946,MappingTables!$D$4:$D$8,-1),1)</f>
        <v>1</v>
      </c>
      <c r="P1946" s="73">
        <f>IF(M1946=$A$1,1,$M1946-INDEX(MappingTables!$E$4:$E$8,MATCH(O1946,MappingTables!$B$4:$B$8,0)))</f>
        <v>2.907122369497134</v>
      </c>
      <c r="Q1946" s="71">
        <f>IF(B1946="",0,INDEX(ModelParameters!$D$6:$K$10,MATCH($O1946,ModelParameters!$B$6:$B$10,0),MATCH($J1946,ModelParameters!$D$5:$K$5,0)))</f>
        <v>0.025</v>
      </c>
      <c r="R1946" s="71">
        <f>IF(B1946="",0,INDEX(ModelParameters!$D$13:$K$17,MATCH($O1946,ModelParameters!$B$13:$B$17,0),MATCH($J1946,ModelParameters!$D$5:$K$5,0)))</f>
        <v>0</v>
      </c>
      <c r="S1946" s="160">
        <f>IF(B1946="",0,MIN(IF($N1946="Other Bond TM",ModelParameters!$N$21,1)*(P1946*Q1946+R1946),1))</f>
        <v>0.072678059237428352</v>
      </c>
      <c r="T1946" s="85">
        <f>IF(B1946="",0,$S1946*$K1946)</f>
        <v>20.003513292123008</v>
      </c>
      <c r="U1946" s="85">
        <f>IF(B1946="",0,IF(OR(H1946=MappingTables!$C$34,H1946=MappingTables!$C$35),T1946,0))</f>
        <v>0</v>
      </c>
      <c r="V1946" s="85">
        <f>IF(ISNA(IF(AND(VLOOKUP(CONCATENATE($D1946,$G1946),CSRFinput!$B:$E,4,0)=0,OR(H1946=MappingTables!$C$34,H1946=MappingTables!$C$35)),1,VLOOKUP(CONCATENATE($D1946,$G1946),CSRFinput!$B:$E,4,0))),0,IF(AND(VLOOKUP(CONCATENATE($D1946,$G1946),CSRFinput!$B:$E,4,0)=0,OR(H1946=MappingTables!$C$34,H1946=MappingTables!$C$35)),1,VLOOKUP(CONCATENATE($D1946,$G1946),CSRFinput!$B:$E,4,0)))</f>
        <v>0.054776304963434752</v>
      </c>
      <c r="W1946" s="85">
        <f>IF(B1946="",0,+$T1946*$V1946)</f>
        <v>1.0957185444294506</v>
      </c>
      <c r="X1946" s="85">
        <f>IF(B1946="",0,IF(OR(H1946=MappingTables!$C$34,H1946=MappingTables!$C$35),W1946,0))</f>
        <v>0</v>
      </c>
    </row>
    <row r="1947" spans="2:24" s="0" customFormat="0" ht="15">
      <c r="B1947" s="69">
        <v>17327708</v>
      </c>
      <c r="C1947" s="70" t="s">
        <v>1256</v>
      </c>
      <c r="D1947" s="70" t="s">
        <v>1</v>
      </c>
      <c r="E1947" s="70" t="s">
        <v>1</v>
      </c>
      <c r="F1947" s="70"/>
      <c r="G1947" s="70" t="s">
        <v>61</v>
      </c>
      <c r="H1947" s="70" t="s">
        <v>178</v>
      </c>
      <c r="I1947" s="70" t="s">
        <v>179</v>
      </c>
      <c r="J1947" s="71">
        <f>IF(OR(I1947=0,I1947=""),"unrated",VLOOKUP(I1947,MappingTables!$B$19:$C$31,2,FALSE))</f>
        <v>4</v>
      </c>
      <c r="K1947" s="72">
        <v>7267.4355997668832</v>
      </c>
      <c r="L1947" s="70">
        <v>6.2594568341388072</v>
      </c>
      <c r="M1947" s="71">
        <f>IF(L1947&lt;1,1,L1947)</f>
        <v>6.2594568341388072</v>
      </c>
      <c r="N1947" s="70" t="s">
        <v>141</v>
      </c>
      <c r="O1947" s="71">
        <f>INDEX(DurClassMapping,MATCH(M1947,MappingTables!$D$4:$D$8,-1),1)</f>
        <v>2</v>
      </c>
      <c r="P1947" s="73">
        <f>IF(M1947=$A$1,1,$M1947-INDEX(MappingTables!$E$4:$E$8,MATCH(O1947,MappingTables!$B$4:$B$8,0)))</f>
        <v>1.259456834138807</v>
      </c>
      <c r="Q1947" s="71">
        <f>IF(B1947="",0,INDEX(ModelParameters!$D$6:$K$10,MATCH($O1947,ModelParameters!$B$6:$B$10,0),MATCH($J1947,ModelParameters!$D$5:$K$5,0)))</f>
        <v>0.025</v>
      </c>
      <c r="R1947" s="71">
        <f>IF(B1947="",0,INDEX(ModelParameters!$D$13:$K$17,MATCH($O1947,ModelParameters!$B$13:$B$17,0),MATCH($J1947,ModelParameters!$D$5:$K$5,0)))</f>
        <v>0.225</v>
      </c>
      <c r="S1947" s="160">
        <f>IF(B1947="",0,MIN(IF($N1947="Other Bond TM",ModelParameters!$N$21,1)*(P1947*Q1947+R1947),1))</f>
        <v>0.25648642085347016</v>
      </c>
      <c r="T1947" s="85">
        <f>IF(B1947="",0,$S1947*$K1947)</f>
        <v>1863.9985457673</v>
      </c>
      <c r="U1947" s="85">
        <f>IF(B1947="",0,IF(OR(H1947=MappingTables!$C$34,H1947=MappingTables!$C$35),T1947,0))</f>
        <v>0</v>
      </c>
      <c r="V1947" s="85">
        <f>IF(ISNA(IF(AND(VLOOKUP(CONCATENATE($D1947,$G1947),CSRFinput!$B:$E,4,0)=0,OR(H1947=MappingTables!$C$34,H1947=MappingTables!$C$35)),1,VLOOKUP(CONCATENATE($D1947,$G1947),CSRFinput!$B:$E,4,0))),0,IF(AND(VLOOKUP(CONCATENATE($D1947,$G1947),CSRFinput!$B:$E,4,0)=0,OR(H1947=MappingTables!$C$34,H1947=MappingTables!$C$35)),1,VLOOKUP(CONCATENATE($D1947,$G1947),CSRFinput!$B:$E,4,0)))</f>
        <v>0.054776304963434752</v>
      </c>
      <c r="W1947" s="85">
        <f>IF(B1947="",0,+$T1947*$V1947)</f>
        <v>102.10295279434852</v>
      </c>
      <c r="X1947" s="85">
        <f>IF(B1947="",0,IF(OR(H1947=MappingTables!$C$34,H1947=MappingTables!$C$35),W1947,0))</f>
        <v>0</v>
      </c>
    </row>
    <row r="1948" spans="2:24" s="0" customFormat="0" ht="15">
      <c r="B1948" s="69">
        <v>14731284</v>
      </c>
      <c r="C1948" s="70" t="s">
        <v>1621</v>
      </c>
      <c r="D1948" s="70" t="s">
        <v>1</v>
      </c>
      <c r="E1948" s="70" t="s">
        <v>1</v>
      </c>
      <c r="F1948" s="70"/>
      <c r="G1948" s="70" t="s">
        <v>61</v>
      </c>
      <c r="H1948" s="70" t="s">
        <v>178</v>
      </c>
      <c r="I1948" s="70" t="s">
        <v>188</v>
      </c>
      <c r="J1948" s="71">
        <f>IF(OR(I1948=0,I1948=""),"unrated",VLOOKUP(I1948,MappingTables!$B$19:$C$31,2,FALSE))</f>
        <v>2</v>
      </c>
      <c r="K1948" s="72">
        <v>1.8330203287879868</v>
      </c>
      <c r="L1948" s="70">
        <v>1.6405651219606314</v>
      </c>
      <c r="M1948" s="71">
        <f>IF(L1948&lt;1,1,L1948)</f>
        <v>1.6405651219606314</v>
      </c>
      <c r="N1948" s="70" t="s">
        <v>141</v>
      </c>
      <c r="O1948" s="71">
        <f>INDEX(DurClassMapping,MATCH(M1948,MappingTables!$D$4:$D$8,-1),1)</f>
        <v>1</v>
      </c>
      <c r="P1948" s="73">
        <f>IF(M1948=$A$1,1,$M1948-INDEX(MappingTables!$E$4:$E$8,MATCH(O1948,MappingTables!$B$4:$B$8,0)))</f>
        <v>1.6405651219606314</v>
      </c>
      <c r="Q1948" s="71">
        <f>IF(B1948="",0,INDEX(ModelParameters!$D$6:$K$10,MATCH($O1948,ModelParameters!$B$6:$B$10,0),MATCH($J1948,ModelParameters!$D$5:$K$5,0)))</f>
        <v>0.013999999999999998</v>
      </c>
      <c r="R1948" s="71">
        <f>IF(B1948="",0,INDEX(ModelParameters!$D$13:$K$17,MATCH($O1948,ModelParameters!$B$13:$B$17,0),MATCH($J1948,ModelParameters!$D$5:$K$5,0)))</f>
        <v>0</v>
      </c>
      <c r="S1948" s="160">
        <f>IF(B1948="",0,MIN(IF($N1948="Other Bond TM",ModelParameters!$N$21,1)*(P1948*Q1948+R1948),1))</f>
        <v>0.022967911707448836</v>
      </c>
      <c r="T1948" s="85">
        <f>IF(B1948="",0,$S1948*$K1948)</f>
        <v>0.042100649069561312</v>
      </c>
      <c r="U1948" s="85">
        <f>IF(B1948="",0,IF(OR(H1948=MappingTables!$C$34,H1948=MappingTables!$C$35),T1948,0))</f>
        <v>0</v>
      </c>
      <c r="V1948" s="85">
        <f>IF(ISNA(IF(AND(VLOOKUP(CONCATENATE($D1948,$G1948),CSRFinput!$B:$E,4,0)=0,OR(H1948=MappingTables!$C$34,H1948=MappingTables!$C$35)),1,VLOOKUP(CONCATENATE($D1948,$G1948),CSRFinput!$B:$E,4,0))),0,IF(AND(VLOOKUP(CONCATENATE($D1948,$G1948),CSRFinput!$B:$E,4,0)=0,OR(H1948=MappingTables!$C$34,H1948=MappingTables!$C$35)),1,VLOOKUP(CONCATENATE($D1948,$G1948),CSRFinput!$B:$E,4,0)))</f>
        <v>0.054776304963434752</v>
      </c>
      <c r="W1948" s="85">
        <f>IF(B1948="",0,+$T1948*$V1948)</f>
        <v>0.002306117992592836</v>
      </c>
      <c r="X1948" s="85">
        <f>IF(B1948="",0,IF(OR(H1948=MappingTables!$C$34,H1948=MappingTables!$C$35),W1948,0))</f>
        <v>0</v>
      </c>
    </row>
    <row r="1949" spans="2:24" s="0" customFormat="0" ht="15">
      <c r="B1949" s="69">
        <v>15399530</v>
      </c>
      <c r="C1949" s="70" t="s">
        <v>2103</v>
      </c>
      <c r="D1949" s="70" t="s">
        <v>1</v>
      </c>
      <c r="E1949" s="70" t="s">
        <v>1</v>
      </c>
      <c r="F1949" s="70"/>
      <c r="G1949" s="70" t="s">
        <v>61</v>
      </c>
      <c r="H1949" s="70" t="s">
        <v>178</v>
      </c>
      <c r="I1949" s="70" t="s">
        <v>188</v>
      </c>
      <c r="J1949" s="71">
        <f>IF(OR(I1949=0,I1949=""),"unrated",VLOOKUP(I1949,MappingTables!$B$19:$C$31,2,FALSE))</f>
        <v>2</v>
      </c>
      <c r="K1949" s="72">
        <v>122.1128799028945</v>
      </c>
      <c r="L1949" s="70">
        <v>3.8237778636612608</v>
      </c>
      <c r="M1949" s="71">
        <f>IF(L1949&lt;1,1,L1949)</f>
        <v>3.8237778636612608</v>
      </c>
      <c r="N1949" s="70" t="s">
        <v>141</v>
      </c>
      <c r="O1949" s="71">
        <f>INDEX(DurClassMapping,MATCH(M1949,MappingTables!$D$4:$D$8,-1),1)</f>
        <v>1</v>
      </c>
      <c r="P1949" s="73">
        <f>IF(M1949=$A$1,1,$M1949-INDEX(MappingTables!$E$4:$E$8,MATCH(O1949,MappingTables!$B$4:$B$8,0)))</f>
        <v>3.8237778636612608</v>
      </c>
      <c r="Q1949" s="71">
        <f>IF(B1949="",0,INDEX(ModelParameters!$D$6:$K$10,MATCH($O1949,ModelParameters!$B$6:$B$10,0),MATCH($J1949,ModelParameters!$D$5:$K$5,0)))</f>
        <v>0.013999999999999998</v>
      </c>
      <c r="R1949" s="71">
        <f>IF(B1949="",0,INDEX(ModelParameters!$D$13:$K$17,MATCH($O1949,ModelParameters!$B$13:$B$17,0),MATCH($J1949,ModelParameters!$D$5:$K$5,0)))</f>
        <v>0</v>
      </c>
      <c r="S1949" s="160">
        <f>IF(B1949="",0,MIN(IF($N1949="Other Bond TM",ModelParameters!$N$21,1)*(P1949*Q1949+R1949),1))</f>
        <v>0.053532890091257648</v>
      </c>
      <c r="T1949" s="85">
        <f>IF(B1949="",0,$S1949*$K1949)</f>
        <v>6.537055378568596</v>
      </c>
      <c r="U1949" s="85">
        <f>IF(B1949="",0,IF(OR(H1949=MappingTables!$C$34,H1949=MappingTables!$C$35),T1949,0))</f>
        <v>0</v>
      </c>
      <c r="V1949" s="85">
        <f>IF(ISNA(IF(AND(VLOOKUP(CONCATENATE($D1949,$G1949),CSRFinput!$B:$E,4,0)=0,OR(H1949=MappingTables!$C$34,H1949=MappingTables!$C$35)),1,VLOOKUP(CONCATENATE($D1949,$G1949),CSRFinput!$B:$E,4,0))),0,IF(AND(VLOOKUP(CONCATENATE($D1949,$G1949),CSRFinput!$B:$E,4,0)=0,OR(H1949=MappingTables!$C$34,H1949=MappingTables!$C$35)),1,VLOOKUP(CONCATENATE($D1949,$G1949),CSRFinput!$B:$E,4,0)))</f>
        <v>0.054776304963434752</v>
      </c>
      <c r="W1949" s="85">
        <f>IF(B1949="",0,+$T1949*$V1949)</f>
        <v>0.3580757389793348</v>
      </c>
      <c r="X1949" s="85">
        <f>IF(B1949="",0,IF(OR(H1949=MappingTables!$C$34,H1949=MappingTables!$C$35),W1949,0))</f>
        <v>0</v>
      </c>
    </row>
    <row r="1950" spans="2:24" s="0" customFormat="0" ht="15">
      <c r="B1950" s="69">
        <v>22237859</v>
      </c>
      <c r="C1950" s="70" t="s">
        <v>1612</v>
      </c>
      <c r="D1950" s="70" t="s">
        <v>1</v>
      </c>
      <c r="E1950" s="70" t="s">
        <v>1</v>
      </c>
      <c r="F1950" s="70"/>
      <c r="G1950" s="70" t="s">
        <v>61</v>
      </c>
      <c r="H1950" s="70" t="s">
        <v>178</v>
      </c>
      <c r="I1950" s="70" t="s">
        <v>184</v>
      </c>
      <c r="J1950" s="71">
        <f>IF(OR(I1950=0,I1950=""),"unrated",VLOOKUP(I1950,MappingTables!$B$19:$C$31,2,FALSE))</f>
        <v>5</v>
      </c>
      <c r="K1950" s="72">
        <v>251.946942255938</v>
      </c>
      <c r="L1950" s="70">
        <v>1.0316692591689432</v>
      </c>
      <c r="M1950" s="71">
        <f>IF(L1950&lt;1,1,L1950)</f>
        <v>1.0316692591689432</v>
      </c>
      <c r="N1950" s="70" t="s">
        <v>141</v>
      </c>
      <c r="O1950" s="71">
        <f>INDEX(DurClassMapping,MATCH(M1950,MappingTables!$D$4:$D$8,-1),1)</f>
        <v>1</v>
      </c>
      <c r="P1950" s="73">
        <f>IF(M1950=$A$1,1,$M1950-INDEX(MappingTables!$E$4:$E$8,MATCH(O1950,MappingTables!$B$4:$B$8,0)))</f>
        <v>1.0316692591689432</v>
      </c>
      <c r="Q1950" s="71">
        <f>IF(B1950="",0,INDEX(ModelParameters!$D$6:$K$10,MATCH($O1950,ModelParameters!$B$6:$B$10,0),MATCH($J1950,ModelParameters!$D$5:$K$5,0)))</f>
        <v>0.075</v>
      </c>
      <c r="R1950" s="71">
        <f>IF(B1950="",0,INDEX(ModelParameters!$D$13:$K$17,MATCH($O1950,ModelParameters!$B$13:$B$17,0),MATCH($J1950,ModelParameters!$D$5:$K$5,0)))</f>
        <v>0</v>
      </c>
      <c r="S1950" s="160">
        <f>IF(B1950="",0,MIN(IF($N1950="Other Bond TM",ModelParameters!$N$21,1)*(P1950*Q1950+R1950),1))</f>
        <v>0.07737519443767072</v>
      </c>
      <c r="T1950" s="85">
        <f>IF(B1950="",0,$S1950*$K1950)</f>
        <v>19.494443645029804</v>
      </c>
      <c r="U1950" s="85">
        <f>IF(B1950="",0,IF(OR(H1950=MappingTables!$C$34,H1950=MappingTables!$C$35),T1950,0))</f>
        <v>0</v>
      </c>
      <c r="V1950" s="85">
        <f>IF(ISNA(IF(AND(VLOOKUP(CONCATENATE($D1950,$G1950),CSRFinput!$B:$E,4,0)=0,OR(H1950=MappingTables!$C$34,H1950=MappingTables!$C$35)),1,VLOOKUP(CONCATENATE($D1950,$G1950),CSRFinput!$B:$E,4,0))),0,IF(AND(VLOOKUP(CONCATENATE($D1950,$G1950),CSRFinput!$B:$E,4,0)=0,OR(H1950=MappingTables!$C$34,H1950=MappingTables!$C$35)),1,VLOOKUP(CONCATENATE($D1950,$G1950),CSRFinput!$B:$E,4,0)))</f>
        <v>0.054776304963434752</v>
      </c>
      <c r="W1950" s="85">
        <f>IF(B1950="",0,+$T1950*$V1950)</f>
        <v>1.0678335901926452</v>
      </c>
      <c r="X1950" s="85">
        <f>IF(B1950="",0,IF(OR(H1950=MappingTables!$C$34,H1950=MappingTables!$C$35),W1950,0))</f>
        <v>0</v>
      </c>
    </row>
    <row r="1951" spans="2:24" s="0" customFormat="0" ht="15">
      <c r="B1951" s="69">
        <v>21753800</v>
      </c>
      <c r="C1951" s="70" t="s">
        <v>2104</v>
      </c>
      <c r="D1951" s="70" t="s">
        <v>1</v>
      </c>
      <c r="E1951" s="70" t="s">
        <v>1</v>
      </c>
      <c r="F1951" s="70"/>
      <c r="G1951" s="70" t="s">
        <v>61</v>
      </c>
      <c r="H1951" s="70" t="s">
        <v>178</v>
      </c>
      <c r="I1951" s="70" t="s">
        <v>184</v>
      </c>
      <c r="J1951" s="71">
        <f>IF(OR(I1951=0,I1951=""),"unrated",VLOOKUP(I1951,MappingTables!$B$19:$C$31,2,FALSE))</f>
        <v>5</v>
      </c>
      <c r="K1951" s="72">
        <v>397.79396678610152</v>
      </c>
      <c r="L1951" s="70">
        <v>0.89430566814558688</v>
      </c>
      <c r="M1951" s="71">
        <f>IF(L1951&lt;1,1,L1951)</f>
        <v>1</v>
      </c>
      <c r="N1951" s="70" t="s">
        <v>141</v>
      </c>
      <c r="O1951" s="71">
        <f>INDEX(DurClassMapping,MATCH(M1951,MappingTables!$D$4:$D$8,-1),1)</f>
        <v>1</v>
      </c>
      <c r="P1951" s="73">
        <f>IF(M1951=$A$1,1,$M1951-INDEX(MappingTables!$E$4:$E$8,MATCH(O1951,MappingTables!$B$4:$B$8,0)))</f>
        <v>1</v>
      </c>
      <c r="Q1951" s="71">
        <f>IF(B1951="",0,INDEX(ModelParameters!$D$6:$K$10,MATCH($O1951,ModelParameters!$B$6:$B$10,0),MATCH($J1951,ModelParameters!$D$5:$K$5,0)))</f>
        <v>0.075</v>
      </c>
      <c r="R1951" s="71">
        <f>IF(B1951="",0,INDEX(ModelParameters!$D$13:$K$17,MATCH($O1951,ModelParameters!$B$13:$B$17,0),MATCH($J1951,ModelParameters!$D$5:$K$5,0)))</f>
        <v>0</v>
      </c>
      <c r="S1951" s="160">
        <f>IF(B1951="",0,MIN(IF($N1951="Other Bond TM",ModelParameters!$N$21,1)*(P1951*Q1951+R1951),1))</f>
        <v>0.075</v>
      </c>
      <c r="T1951" s="85">
        <f>IF(B1951="",0,$S1951*$K1951)</f>
        <v>29.834547508957612</v>
      </c>
      <c r="U1951" s="85">
        <f>IF(B1951="",0,IF(OR(H1951=MappingTables!$C$34,H1951=MappingTables!$C$35),T1951,0))</f>
        <v>0</v>
      </c>
      <c r="V1951" s="85">
        <f>IF(ISNA(IF(AND(VLOOKUP(CONCATENATE($D1951,$G1951),CSRFinput!$B:$E,4,0)=0,OR(H1951=MappingTables!$C$34,H1951=MappingTables!$C$35)),1,VLOOKUP(CONCATENATE($D1951,$G1951),CSRFinput!$B:$E,4,0))),0,IF(AND(VLOOKUP(CONCATENATE($D1951,$G1951),CSRFinput!$B:$E,4,0)=0,OR(H1951=MappingTables!$C$34,H1951=MappingTables!$C$35)),1,VLOOKUP(CONCATENATE($D1951,$G1951),CSRFinput!$B:$E,4,0)))</f>
        <v>0.054776304963434752</v>
      </c>
      <c r="W1951" s="85">
        <f>IF(B1951="",0,+$T1951*$V1951)</f>
        <v>1.634226272796745</v>
      </c>
      <c r="X1951" s="85">
        <f>IF(B1951="",0,IF(OR(H1951=MappingTables!$C$34,H1951=MappingTables!$C$35),W1951,0))</f>
        <v>0</v>
      </c>
    </row>
    <row r="1952" spans="2:24" s="0" customFormat="0" ht="15">
      <c r="B1952" s="69">
        <v>20904646</v>
      </c>
      <c r="C1952" s="70" t="s">
        <v>2050</v>
      </c>
      <c r="D1952" s="70" t="s">
        <v>1</v>
      </c>
      <c r="E1952" s="70" t="s">
        <v>1</v>
      </c>
      <c r="F1952" s="70"/>
      <c r="G1952" s="70" t="s">
        <v>61</v>
      </c>
      <c r="H1952" s="70" t="s">
        <v>178</v>
      </c>
      <c r="I1952" s="70" t="s">
        <v>181</v>
      </c>
      <c r="J1952" s="71">
        <f>IF(OR(I1952=0,I1952=""),"unrated",VLOOKUP(I1952,MappingTables!$B$19:$C$31,2,FALSE))</f>
        <v>3</v>
      </c>
      <c r="K1952" s="72">
        <v>8298.4160176517104</v>
      </c>
      <c r="L1952" s="70">
        <v>4.847805087928492</v>
      </c>
      <c r="M1952" s="71">
        <f>IF(L1952&lt;1,1,L1952)</f>
        <v>4.847805087928492</v>
      </c>
      <c r="N1952" s="70" t="s">
        <v>141</v>
      </c>
      <c r="O1952" s="71">
        <f>INDEX(DurClassMapping,MATCH(M1952,MappingTables!$D$4:$D$8,-1),1)</f>
        <v>1</v>
      </c>
      <c r="P1952" s="73">
        <f>IF(M1952=$A$1,1,$M1952-INDEX(MappingTables!$E$4:$E$8,MATCH(O1952,MappingTables!$B$4:$B$8,0)))</f>
        <v>4.847805087928492</v>
      </c>
      <c r="Q1952" s="71">
        <f>IF(B1952="",0,INDEX(ModelParameters!$D$6:$K$10,MATCH($O1952,ModelParameters!$B$6:$B$10,0),MATCH($J1952,ModelParameters!$D$5:$K$5,0)))</f>
        <v>0.025</v>
      </c>
      <c r="R1952" s="71">
        <f>IF(B1952="",0,INDEX(ModelParameters!$D$13:$K$17,MATCH($O1952,ModelParameters!$B$13:$B$17,0),MATCH($J1952,ModelParameters!$D$5:$K$5,0)))</f>
        <v>0</v>
      </c>
      <c r="S1952" s="160">
        <f>IF(B1952="",0,MIN(IF($N1952="Other Bond TM",ModelParameters!$N$21,1)*(P1952*Q1952+R1952),1))</f>
        <v>0.1211951271982123</v>
      </c>
      <c r="T1952" s="85">
        <f>IF(B1952="",0,$S1952*$K1952)</f>
        <v>1005.7275848029814</v>
      </c>
      <c r="U1952" s="85">
        <f>IF(B1952="",0,IF(OR(H1952=MappingTables!$C$34,H1952=MappingTables!$C$35),T1952,0))</f>
        <v>0</v>
      </c>
      <c r="V1952" s="85">
        <f>IF(ISNA(IF(AND(VLOOKUP(CONCATENATE($D1952,$G1952),CSRFinput!$B:$E,4,0)=0,OR(H1952=MappingTables!$C$34,H1952=MappingTables!$C$35)),1,VLOOKUP(CONCATENATE($D1952,$G1952),CSRFinput!$B:$E,4,0))),0,IF(AND(VLOOKUP(CONCATENATE($D1952,$G1952),CSRFinput!$B:$E,4,0)=0,OR(H1952=MappingTables!$C$34,H1952=MappingTables!$C$35)),1,VLOOKUP(CONCATENATE($D1952,$G1952),CSRFinput!$B:$E,4,0)))</f>
        <v>0.054776304963434752</v>
      </c>
      <c r="W1952" s="85">
        <f>IF(B1952="",0,+$T1952*$V1952)</f>
        <v>55.0900408953068</v>
      </c>
      <c r="X1952" s="85">
        <f>IF(B1952="",0,IF(OR(H1952=MappingTables!$C$34,H1952=MappingTables!$C$35),W1952,0))</f>
        <v>0</v>
      </c>
    </row>
    <row r="1953" spans="2:24" s="0" customFormat="0" ht="15">
      <c r="B1953" s="69" t="s">
        <v>2105</v>
      </c>
      <c r="C1953" s="70" t="s">
        <v>2106</v>
      </c>
      <c r="D1953" s="70" t="s">
        <v>1</v>
      </c>
      <c r="E1953" s="70" t="s">
        <v>1</v>
      </c>
      <c r="F1953" s="70"/>
      <c r="G1953" s="70" t="s">
        <v>61</v>
      </c>
      <c r="H1953" s="70" t="s">
        <v>178</v>
      </c>
      <c r="I1953" s="70" t="s">
        <v>216</v>
      </c>
      <c r="J1953" s="71">
        <f>IF(OR(I1953=0,I1953=""),"unrated",VLOOKUP(I1953,MappingTables!$B$19:$C$31,2,FALSE))</f>
        <v>0</v>
      </c>
      <c r="K1953" s="72">
        <v>198.25231810689856</v>
      </c>
      <c r="L1953" s="70">
        <v>0.52055142366470608</v>
      </c>
      <c r="M1953" s="71">
        <f>IF(L1953&lt;1,1,L1953)</f>
        <v>1</v>
      </c>
      <c r="N1953" s="70" t="s">
        <v>141</v>
      </c>
      <c r="O1953" s="71">
        <f>INDEX(DurClassMapping,MATCH(M1953,MappingTables!$D$4:$D$8,-1),1)</f>
        <v>1</v>
      </c>
      <c r="P1953" s="73">
        <f>IF(M1953=$A$1,1,$M1953-INDEX(MappingTables!$E$4:$E$8,MATCH(O1953,MappingTables!$B$4:$B$8,0)))</f>
        <v>1</v>
      </c>
      <c r="Q1953" s="71">
        <f>IF(B1953="",0,INDEX(ModelParameters!$D$6:$K$10,MATCH($O1953,ModelParameters!$B$6:$B$10,0),MATCH($J1953,ModelParameters!$D$5:$K$5,0)))</f>
        <v>0.0090000000000000016</v>
      </c>
      <c r="R1953" s="71">
        <f>IF(B1953="",0,INDEX(ModelParameters!$D$13:$K$17,MATCH($O1953,ModelParameters!$B$13:$B$17,0),MATCH($J1953,ModelParameters!$D$5:$K$5,0)))</f>
        <v>0</v>
      </c>
      <c r="S1953" s="160">
        <f>IF(B1953="",0,MIN(IF($N1953="Other Bond TM",ModelParameters!$N$21,1)*(P1953*Q1953+R1953),1))</f>
        <v>0.0090000000000000016</v>
      </c>
      <c r="T1953" s="85">
        <f>IF(B1953="",0,$S1953*$K1953)</f>
        <v>1.7842708629620872</v>
      </c>
      <c r="U1953" s="85">
        <f>IF(B1953="",0,IF(OR(H1953=MappingTables!$C$34,H1953=MappingTables!$C$35),T1953,0))</f>
        <v>0</v>
      </c>
      <c r="V1953" s="85">
        <f>IF(ISNA(IF(AND(VLOOKUP(CONCATENATE($D1953,$G1953),CSRFinput!$B:$E,4,0)=0,OR(H1953=MappingTables!$C$34,H1953=MappingTables!$C$35)),1,VLOOKUP(CONCATENATE($D1953,$G1953),CSRFinput!$B:$E,4,0))),0,IF(AND(VLOOKUP(CONCATENATE($D1953,$G1953),CSRFinput!$B:$E,4,0)=0,OR(H1953=MappingTables!$C$34,H1953=MappingTables!$C$35)),1,VLOOKUP(CONCATENATE($D1953,$G1953),CSRFinput!$B:$E,4,0)))</f>
        <v>0.054776304963434752</v>
      </c>
      <c r="W1953" s="85">
        <f>IF(B1953="",0,+$T1953*$V1953)</f>
        <v>0.097735764926982192</v>
      </c>
      <c r="X1953" s="85">
        <f>IF(B1953="",0,IF(OR(H1953=MappingTables!$C$34,H1953=MappingTables!$C$35),W1953,0))</f>
        <v>0</v>
      </c>
    </row>
    <row r="1954" spans="2:24" s="0" customFormat="0" ht="15">
      <c r="B1954" s="69">
        <v>12246861</v>
      </c>
      <c r="C1954" s="70" t="s">
        <v>2107</v>
      </c>
      <c r="D1954" s="70" t="s">
        <v>1</v>
      </c>
      <c r="E1954" s="70" t="s">
        <v>1</v>
      </c>
      <c r="F1954" s="70"/>
      <c r="G1954" s="70" t="s">
        <v>61</v>
      </c>
      <c r="H1954" s="70" t="s">
        <v>178</v>
      </c>
      <c r="I1954" s="70" t="s">
        <v>181</v>
      </c>
      <c r="J1954" s="71">
        <f>IF(OR(I1954=0,I1954=""),"unrated",VLOOKUP(I1954,MappingTables!$B$19:$C$31,2,FALSE))</f>
        <v>3</v>
      </c>
      <c r="K1954" s="72">
        <v>265.0996165511088</v>
      </c>
      <c r="L1954" s="70">
        <v>0.50182216217221984</v>
      </c>
      <c r="M1954" s="71">
        <f>IF(L1954&lt;1,1,L1954)</f>
        <v>1</v>
      </c>
      <c r="N1954" s="70" t="s">
        <v>141</v>
      </c>
      <c r="O1954" s="71">
        <f>INDEX(DurClassMapping,MATCH(M1954,MappingTables!$D$4:$D$8,-1),1)</f>
        <v>1</v>
      </c>
      <c r="P1954" s="73">
        <f>IF(M1954=$A$1,1,$M1954-INDEX(MappingTables!$E$4:$E$8,MATCH(O1954,MappingTables!$B$4:$B$8,0)))</f>
        <v>1</v>
      </c>
      <c r="Q1954" s="71">
        <f>IF(B1954="",0,INDEX(ModelParameters!$D$6:$K$10,MATCH($O1954,ModelParameters!$B$6:$B$10,0),MATCH($J1954,ModelParameters!$D$5:$K$5,0)))</f>
        <v>0.025</v>
      </c>
      <c r="R1954" s="71">
        <f>IF(B1954="",0,INDEX(ModelParameters!$D$13:$K$17,MATCH($O1954,ModelParameters!$B$13:$B$17,0),MATCH($J1954,ModelParameters!$D$5:$K$5,0)))</f>
        <v>0</v>
      </c>
      <c r="S1954" s="160">
        <f>IF(B1954="",0,MIN(IF($N1954="Other Bond TM",ModelParameters!$N$21,1)*(P1954*Q1954+R1954),1))</f>
        <v>0.025</v>
      </c>
      <c r="T1954" s="85">
        <f>IF(B1954="",0,$S1954*$K1954)</f>
        <v>6.6274904137777208</v>
      </c>
      <c r="U1954" s="85">
        <f>IF(B1954="",0,IF(OR(H1954=MappingTables!$C$34,H1954=MappingTables!$C$35),T1954,0))</f>
        <v>0</v>
      </c>
      <c r="V1954" s="85">
        <f>IF(ISNA(IF(AND(VLOOKUP(CONCATENATE($D1954,$G1954),CSRFinput!$B:$E,4,0)=0,OR(H1954=MappingTables!$C$34,H1954=MappingTables!$C$35)),1,VLOOKUP(CONCATENATE($D1954,$G1954),CSRFinput!$B:$E,4,0))),0,IF(AND(VLOOKUP(CONCATENATE($D1954,$G1954),CSRFinput!$B:$E,4,0)=0,OR(H1954=MappingTables!$C$34,H1954=MappingTables!$C$35)),1,VLOOKUP(CONCATENATE($D1954,$G1954),CSRFinput!$B:$E,4,0)))</f>
        <v>0.054776304963434752</v>
      </c>
      <c r="W1954" s="85">
        <f>IF(B1954="",0,+$T1954*$V1954)</f>
        <v>0.3630294360473288</v>
      </c>
      <c r="X1954" s="85">
        <f>IF(B1954="",0,IF(OR(H1954=MappingTables!$C$34,H1954=MappingTables!$C$35),W1954,0))</f>
        <v>0</v>
      </c>
    </row>
    <row r="1955" spans="2:24" s="0" customFormat="0" ht="15">
      <c r="B1955" s="69">
        <v>21753800</v>
      </c>
      <c r="C1955" s="70" t="s">
        <v>2104</v>
      </c>
      <c r="D1955" s="70" t="s">
        <v>1</v>
      </c>
      <c r="E1955" s="70" t="s">
        <v>1</v>
      </c>
      <c r="F1955" s="70"/>
      <c r="G1955" s="70" t="s">
        <v>61</v>
      </c>
      <c r="H1955" s="70" t="s">
        <v>178</v>
      </c>
      <c r="I1955" s="70" t="s">
        <v>184</v>
      </c>
      <c r="J1955" s="71">
        <f>IF(OR(I1955=0,I1955=""),"unrated",VLOOKUP(I1955,MappingTables!$B$19:$C$31,2,FALSE))</f>
        <v>5</v>
      </c>
      <c r="K1955" s="72">
        <v>187.54417776211912</v>
      </c>
      <c r="L1955" s="70">
        <v>0.89430566814557904</v>
      </c>
      <c r="M1955" s="71">
        <f>IF(L1955&lt;1,1,L1955)</f>
        <v>1</v>
      </c>
      <c r="N1955" s="70" t="s">
        <v>141</v>
      </c>
      <c r="O1955" s="71">
        <f>INDEX(DurClassMapping,MATCH(M1955,MappingTables!$D$4:$D$8,-1),1)</f>
        <v>1</v>
      </c>
      <c r="P1955" s="73">
        <f>IF(M1955=$A$1,1,$M1955-INDEX(MappingTables!$E$4:$E$8,MATCH(O1955,MappingTables!$B$4:$B$8,0)))</f>
        <v>1</v>
      </c>
      <c r="Q1955" s="71">
        <f>IF(B1955="",0,INDEX(ModelParameters!$D$6:$K$10,MATCH($O1955,ModelParameters!$B$6:$B$10,0),MATCH($J1955,ModelParameters!$D$5:$K$5,0)))</f>
        <v>0.075</v>
      </c>
      <c r="R1955" s="71">
        <f>IF(B1955="",0,INDEX(ModelParameters!$D$13:$K$17,MATCH($O1955,ModelParameters!$B$13:$B$17,0),MATCH($J1955,ModelParameters!$D$5:$K$5,0)))</f>
        <v>0</v>
      </c>
      <c r="S1955" s="160">
        <f>IF(B1955="",0,MIN(IF($N1955="Other Bond TM",ModelParameters!$N$21,1)*(P1955*Q1955+R1955),1))</f>
        <v>0.075</v>
      </c>
      <c r="T1955" s="85">
        <f>IF(B1955="",0,$S1955*$K1955)</f>
        <v>14.065813332158934</v>
      </c>
      <c r="U1955" s="85">
        <f>IF(B1955="",0,IF(OR(H1955=MappingTables!$C$34,H1955=MappingTables!$C$35),T1955,0))</f>
        <v>0</v>
      </c>
      <c r="V1955" s="85">
        <f>IF(ISNA(IF(AND(VLOOKUP(CONCATENATE($D1955,$G1955),CSRFinput!$B:$E,4,0)=0,OR(H1955=MappingTables!$C$34,H1955=MappingTables!$C$35)),1,VLOOKUP(CONCATENATE($D1955,$G1955),CSRFinput!$B:$E,4,0))),0,IF(AND(VLOOKUP(CONCATENATE($D1955,$G1955),CSRFinput!$B:$E,4,0)=0,OR(H1955=MappingTables!$C$34,H1955=MappingTables!$C$35)),1,VLOOKUP(CONCATENATE($D1955,$G1955),CSRFinput!$B:$E,4,0)))</f>
        <v>0.054776304963434752</v>
      </c>
      <c r="W1955" s="85">
        <f>IF(B1955="",0,+$T1955*$V1955)</f>
        <v>0.77047328064108416</v>
      </c>
      <c r="X1955" s="85">
        <f>IF(B1955="",0,IF(OR(H1955=MappingTables!$C$34,H1955=MappingTables!$C$35),W1955,0))</f>
        <v>0</v>
      </c>
    </row>
    <row r="1956" spans="2:24" s="0" customFormat="0" ht="15">
      <c r="B1956" s="69">
        <v>17616141</v>
      </c>
      <c r="C1956" s="70" t="s">
        <v>1175</v>
      </c>
      <c r="D1956" s="70" t="s">
        <v>1</v>
      </c>
      <c r="E1956" s="70" t="s">
        <v>1</v>
      </c>
      <c r="F1956" s="70"/>
      <c r="G1956" s="70" t="s">
        <v>61</v>
      </c>
      <c r="H1956" s="70" t="s">
        <v>178</v>
      </c>
      <c r="I1956" s="70" t="s">
        <v>181</v>
      </c>
      <c r="J1956" s="71">
        <f>IF(OR(I1956=0,I1956=""),"unrated",VLOOKUP(I1956,MappingTables!$B$19:$C$31,2,FALSE))</f>
        <v>3</v>
      </c>
      <c r="K1956" s="72">
        <v>2236.6389110005652</v>
      </c>
      <c r="L1956" s="70">
        <v>0.77750302384988576</v>
      </c>
      <c r="M1956" s="71">
        <f>IF(L1956&lt;1,1,L1956)</f>
        <v>1</v>
      </c>
      <c r="N1956" s="70" t="s">
        <v>141</v>
      </c>
      <c r="O1956" s="71">
        <f>INDEX(DurClassMapping,MATCH(M1956,MappingTables!$D$4:$D$8,-1),1)</f>
        <v>1</v>
      </c>
      <c r="P1956" s="73">
        <f>IF(M1956=$A$1,1,$M1956-INDEX(MappingTables!$E$4:$E$8,MATCH(O1956,MappingTables!$B$4:$B$8,0)))</f>
        <v>1</v>
      </c>
      <c r="Q1956" s="71">
        <f>IF(B1956="",0,INDEX(ModelParameters!$D$6:$K$10,MATCH($O1956,ModelParameters!$B$6:$B$10,0),MATCH($J1956,ModelParameters!$D$5:$K$5,0)))</f>
        <v>0.025</v>
      </c>
      <c r="R1956" s="71">
        <f>IF(B1956="",0,INDEX(ModelParameters!$D$13:$K$17,MATCH($O1956,ModelParameters!$B$13:$B$17,0),MATCH($J1956,ModelParameters!$D$5:$K$5,0)))</f>
        <v>0</v>
      </c>
      <c r="S1956" s="160">
        <f>IF(B1956="",0,MIN(IF($N1956="Other Bond TM",ModelParameters!$N$21,1)*(P1956*Q1956+R1956),1))</f>
        <v>0.025</v>
      </c>
      <c r="T1956" s="85">
        <f>IF(B1956="",0,$S1956*$K1956)</f>
        <v>55.915972775014136</v>
      </c>
      <c r="U1956" s="85">
        <f>IF(B1956="",0,IF(OR(H1956=MappingTables!$C$34,H1956=MappingTables!$C$35),T1956,0))</f>
        <v>0</v>
      </c>
      <c r="V1956" s="85">
        <f>IF(ISNA(IF(AND(VLOOKUP(CONCATENATE($D1956,$G1956),CSRFinput!$B:$E,4,0)=0,OR(H1956=MappingTables!$C$34,H1956=MappingTables!$C$35)),1,VLOOKUP(CONCATENATE($D1956,$G1956),CSRFinput!$B:$E,4,0))),0,IF(AND(VLOOKUP(CONCATENATE($D1956,$G1956),CSRFinput!$B:$E,4,0)=0,OR(H1956=MappingTables!$C$34,H1956=MappingTables!$C$35)),1,VLOOKUP(CONCATENATE($D1956,$G1956),CSRFinput!$B:$E,4,0)))</f>
        <v>0.054776304963434752</v>
      </c>
      <c r="W1956" s="85">
        <f>IF(B1956="",0,+$T1956*$V1956)</f>
        <v>3.0628703770512892</v>
      </c>
      <c r="X1956" s="85">
        <f>IF(B1956="",0,IF(OR(H1956=MappingTables!$C$34,H1956=MappingTables!$C$35),W1956,0))</f>
        <v>0</v>
      </c>
    </row>
    <row r="1957" spans="2:24" s="0" customFormat="0" ht="15">
      <c r="B1957" s="69">
        <v>14617072</v>
      </c>
      <c r="C1957" s="70" t="s">
        <v>1803</v>
      </c>
      <c r="D1957" s="70" t="s">
        <v>1</v>
      </c>
      <c r="E1957" s="70" t="s">
        <v>1</v>
      </c>
      <c r="F1957" s="70"/>
      <c r="G1957" s="70" t="s">
        <v>61</v>
      </c>
      <c r="H1957" s="70" t="s">
        <v>178</v>
      </c>
      <c r="I1957" s="70" t="s">
        <v>179</v>
      </c>
      <c r="J1957" s="71">
        <f>IF(OR(I1957=0,I1957=""),"unrated",VLOOKUP(I1957,MappingTables!$B$19:$C$31,2,FALSE))</f>
        <v>4</v>
      </c>
      <c r="K1957" s="72">
        <v>3419.6055246803556</v>
      </c>
      <c r="L1957" s="70">
        <v>1.3656212621028374</v>
      </c>
      <c r="M1957" s="71">
        <f>IF(L1957&lt;1,1,L1957)</f>
        <v>1.3656212621028374</v>
      </c>
      <c r="N1957" s="70" t="s">
        <v>141</v>
      </c>
      <c r="O1957" s="71">
        <f>INDEX(DurClassMapping,MATCH(M1957,MappingTables!$D$4:$D$8,-1),1)</f>
        <v>1</v>
      </c>
      <c r="P1957" s="73">
        <f>IF(M1957=$A$1,1,$M1957-INDEX(MappingTables!$E$4:$E$8,MATCH(O1957,MappingTables!$B$4:$B$8,0)))</f>
        <v>1.3656212621028374</v>
      </c>
      <c r="Q1957" s="71">
        <f>IF(B1957="",0,INDEX(ModelParameters!$D$6:$K$10,MATCH($O1957,ModelParameters!$B$6:$B$10,0),MATCH($J1957,ModelParameters!$D$5:$K$5,0)))</f>
        <v>0.045</v>
      </c>
      <c r="R1957" s="71">
        <f>IF(B1957="",0,INDEX(ModelParameters!$D$13:$K$17,MATCH($O1957,ModelParameters!$B$13:$B$17,0),MATCH($J1957,ModelParameters!$D$5:$K$5,0)))</f>
        <v>0</v>
      </c>
      <c r="S1957" s="160">
        <f>IF(B1957="",0,MIN(IF($N1957="Other Bond TM",ModelParameters!$N$21,1)*(P1957*Q1957+R1957),1))</f>
        <v>0.06145295679462768</v>
      </c>
      <c r="T1957" s="85">
        <f>IF(B1957="",0,$S1957*$K1957)</f>
        <v>210.14487056285204</v>
      </c>
      <c r="U1957" s="85">
        <f>IF(B1957="",0,IF(OR(H1957=MappingTables!$C$34,H1957=MappingTables!$C$35),T1957,0))</f>
        <v>0</v>
      </c>
      <c r="V1957" s="85">
        <f>IF(ISNA(IF(AND(VLOOKUP(CONCATENATE($D1957,$G1957),CSRFinput!$B:$E,4,0)=0,OR(H1957=MappingTables!$C$34,H1957=MappingTables!$C$35)),1,VLOOKUP(CONCATENATE($D1957,$G1957),CSRFinput!$B:$E,4,0))),0,IF(AND(VLOOKUP(CONCATENATE($D1957,$G1957),CSRFinput!$B:$E,4,0)=0,OR(H1957=MappingTables!$C$34,H1957=MappingTables!$C$35)),1,VLOOKUP(CONCATENATE($D1957,$G1957),CSRFinput!$B:$E,4,0)))</f>
        <v>0.054776304963434752</v>
      </c>
      <c r="W1957" s="85">
        <f>IF(B1957="",0,+$T1957*$V1957)</f>
        <v>11.510959516452304</v>
      </c>
      <c r="X1957" s="85">
        <f>IF(B1957="",0,IF(OR(H1957=MappingTables!$C$34,H1957=MappingTables!$C$35),W1957,0))</f>
        <v>0</v>
      </c>
    </row>
    <row r="1958" spans="2:24" s="0" customFormat="0" ht="15">
      <c r="B1958" s="69" t="s">
        <v>2108</v>
      </c>
      <c r="C1958" s="70" t="s">
        <v>2109</v>
      </c>
      <c r="D1958" s="70" t="s">
        <v>1</v>
      </c>
      <c r="E1958" s="70" t="s">
        <v>1</v>
      </c>
      <c r="F1958" s="70"/>
      <c r="G1958" s="70" t="s">
        <v>61</v>
      </c>
      <c r="H1958" s="70" t="s">
        <v>178</v>
      </c>
      <c r="I1958" s="70" t="s">
        <v>181</v>
      </c>
      <c r="J1958" s="71">
        <f>IF(OR(I1958=0,I1958=""),"unrated",VLOOKUP(I1958,MappingTables!$B$19:$C$31,2,FALSE))</f>
        <v>3</v>
      </c>
      <c r="K1958" s="72">
        <v>27052.662120438676</v>
      </c>
      <c r="L1958" s="70">
        <v>0.084936317027242672</v>
      </c>
      <c r="M1958" s="71">
        <f>IF(L1958&lt;1,1,L1958)</f>
        <v>1</v>
      </c>
      <c r="N1958" s="70" t="s">
        <v>141</v>
      </c>
      <c r="O1958" s="71">
        <f>INDEX(DurClassMapping,MATCH(M1958,MappingTables!$D$4:$D$8,-1),1)</f>
        <v>1</v>
      </c>
      <c r="P1958" s="73">
        <f>IF(M1958=$A$1,1,$M1958-INDEX(MappingTables!$E$4:$E$8,MATCH(O1958,MappingTables!$B$4:$B$8,0)))</f>
        <v>1</v>
      </c>
      <c r="Q1958" s="71">
        <f>IF(B1958="",0,INDEX(ModelParameters!$D$6:$K$10,MATCH($O1958,ModelParameters!$B$6:$B$10,0),MATCH($J1958,ModelParameters!$D$5:$K$5,0)))</f>
        <v>0.025</v>
      </c>
      <c r="R1958" s="71">
        <f>IF(B1958="",0,INDEX(ModelParameters!$D$13:$K$17,MATCH($O1958,ModelParameters!$B$13:$B$17,0),MATCH($J1958,ModelParameters!$D$5:$K$5,0)))</f>
        <v>0</v>
      </c>
      <c r="S1958" s="160">
        <f>IF(B1958="",0,MIN(IF($N1958="Other Bond TM",ModelParameters!$N$21,1)*(P1958*Q1958+R1958),1))</f>
        <v>0.025</v>
      </c>
      <c r="T1958" s="85">
        <f>IF(B1958="",0,$S1958*$K1958)</f>
        <v>676.31655301096688</v>
      </c>
      <c r="U1958" s="85">
        <f>IF(B1958="",0,IF(OR(H1958=MappingTables!$C$34,H1958=MappingTables!$C$35),T1958,0))</f>
        <v>0</v>
      </c>
      <c r="V1958" s="85">
        <f>IF(ISNA(IF(AND(VLOOKUP(CONCATENATE($D1958,$G1958),CSRFinput!$B:$E,4,0)=0,OR(H1958=MappingTables!$C$34,H1958=MappingTables!$C$35)),1,VLOOKUP(CONCATENATE($D1958,$G1958),CSRFinput!$B:$E,4,0))),0,IF(AND(VLOOKUP(CONCATENATE($D1958,$G1958),CSRFinput!$B:$E,4,0)=0,OR(H1958=MappingTables!$C$34,H1958=MappingTables!$C$35)),1,VLOOKUP(CONCATENATE($D1958,$G1958),CSRFinput!$B:$E,4,0)))</f>
        <v>0.054776304963434752</v>
      </c>
      <c r="W1958" s="85">
        <f>IF(B1958="",0,+$T1958*$V1958)</f>
        <v>37.046121759547712</v>
      </c>
      <c r="X1958" s="85">
        <f>IF(B1958="",0,IF(OR(H1958=MappingTables!$C$34,H1958=MappingTables!$C$35),W1958,0))</f>
        <v>0</v>
      </c>
    </row>
    <row r="1959" spans="2:24" s="0" customFormat="0" ht="15">
      <c r="B1959" s="69" t="s">
        <v>767</v>
      </c>
      <c r="C1959" s="70" t="s">
        <v>768</v>
      </c>
      <c r="D1959" s="70" t="s">
        <v>1</v>
      </c>
      <c r="E1959" s="70" t="s">
        <v>1</v>
      </c>
      <c r="F1959" s="70"/>
      <c r="G1959" s="70" t="s">
        <v>61</v>
      </c>
      <c r="H1959" s="70" t="s">
        <v>178</v>
      </c>
      <c r="I1959" s="70" t="s">
        <v>181</v>
      </c>
      <c r="J1959" s="71">
        <f>IF(OR(I1959=0,I1959=""),"unrated",VLOOKUP(I1959,MappingTables!$B$19:$C$31,2,FALSE))</f>
        <v>3</v>
      </c>
      <c r="K1959" s="72">
        <v>2729.4388070608876</v>
      </c>
      <c r="L1959" s="70">
        <v>1.6907020700510764</v>
      </c>
      <c r="M1959" s="71">
        <f>IF(L1959&lt;1,1,L1959)</f>
        <v>1.6907020700510764</v>
      </c>
      <c r="N1959" s="70" t="s">
        <v>141</v>
      </c>
      <c r="O1959" s="71">
        <f>INDEX(DurClassMapping,MATCH(M1959,MappingTables!$D$4:$D$8,-1),1)</f>
        <v>1</v>
      </c>
      <c r="P1959" s="73">
        <f>IF(M1959=$A$1,1,$M1959-INDEX(MappingTables!$E$4:$E$8,MATCH(O1959,MappingTables!$B$4:$B$8,0)))</f>
        <v>1.6907020700510764</v>
      </c>
      <c r="Q1959" s="71">
        <f>IF(B1959="",0,INDEX(ModelParameters!$D$6:$K$10,MATCH($O1959,ModelParameters!$B$6:$B$10,0),MATCH($J1959,ModelParameters!$D$5:$K$5,0)))</f>
        <v>0.025</v>
      </c>
      <c r="R1959" s="71">
        <f>IF(B1959="",0,INDEX(ModelParameters!$D$13:$K$17,MATCH($O1959,ModelParameters!$B$13:$B$17,0),MATCH($J1959,ModelParameters!$D$5:$K$5,0)))</f>
        <v>0</v>
      </c>
      <c r="S1959" s="160">
        <f>IF(B1959="",0,MIN(IF($N1959="Other Bond TM",ModelParameters!$N$21,1)*(P1959*Q1959+R1959),1))</f>
        <v>0.04226755175127692</v>
      </c>
      <c r="T1959" s="85">
        <f>IF(B1959="",0,$S1959*$K1959)</f>
        <v>115.36669602938958</v>
      </c>
      <c r="U1959" s="85">
        <f>IF(B1959="",0,IF(OR(H1959=MappingTables!$C$34,H1959=MappingTables!$C$35),T1959,0))</f>
        <v>0</v>
      </c>
      <c r="V1959" s="85">
        <f>IF(ISNA(IF(AND(VLOOKUP(CONCATENATE($D1959,$G1959),CSRFinput!$B:$E,4,0)=0,OR(H1959=MappingTables!$C$34,H1959=MappingTables!$C$35)),1,VLOOKUP(CONCATENATE($D1959,$G1959),CSRFinput!$B:$E,4,0))),0,IF(AND(VLOOKUP(CONCATENATE($D1959,$G1959),CSRFinput!$B:$E,4,0)=0,OR(H1959=MappingTables!$C$34,H1959=MappingTables!$C$35)),1,VLOOKUP(CONCATENATE($D1959,$G1959),CSRFinput!$B:$E,4,0)))</f>
        <v>0.054776304963434752</v>
      </c>
      <c r="W1959" s="85">
        <f>IF(B1959="",0,+$T1959*$V1959)</f>
        <v>6.3193613243297208</v>
      </c>
      <c r="X1959" s="85">
        <f>IF(B1959="",0,IF(OR(H1959=MappingTables!$C$34,H1959=MappingTables!$C$35),W1959,0))</f>
        <v>0</v>
      </c>
    </row>
    <row r="1960" spans="2:24" s="0" customFormat="0" ht="15">
      <c r="B1960" s="69">
        <v>23298166</v>
      </c>
      <c r="C1960" s="70" t="s">
        <v>1146</v>
      </c>
      <c r="D1960" s="70" t="s">
        <v>1</v>
      </c>
      <c r="E1960" s="70" t="s">
        <v>1</v>
      </c>
      <c r="F1960" s="70"/>
      <c r="G1960" s="70" t="s">
        <v>61</v>
      </c>
      <c r="H1960" s="70" t="s">
        <v>178</v>
      </c>
      <c r="I1960" s="70" t="s">
        <v>181</v>
      </c>
      <c r="J1960" s="71">
        <f>IF(OR(I1960=0,I1960=""),"unrated",VLOOKUP(I1960,MappingTables!$B$19:$C$31,2,FALSE))</f>
        <v>3</v>
      </c>
      <c r="K1960" s="72">
        <v>322.27275777011444</v>
      </c>
      <c r="L1960" s="70">
        <v>1.4136929559253936</v>
      </c>
      <c r="M1960" s="71">
        <f>IF(L1960&lt;1,1,L1960)</f>
        <v>1.4136929559253936</v>
      </c>
      <c r="N1960" s="70" t="s">
        <v>141</v>
      </c>
      <c r="O1960" s="71">
        <f>INDEX(DurClassMapping,MATCH(M1960,MappingTables!$D$4:$D$8,-1),1)</f>
        <v>1</v>
      </c>
      <c r="P1960" s="73">
        <f>IF(M1960=$A$1,1,$M1960-INDEX(MappingTables!$E$4:$E$8,MATCH(O1960,MappingTables!$B$4:$B$8,0)))</f>
        <v>1.4136929559253936</v>
      </c>
      <c r="Q1960" s="71">
        <f>IF(B1960="",0,INDEX(ModelParameters!$D$6:$K$10,MATCH($O1960,ModelParameters!$B$6:$B$10,0),MATCH($J1960,ModelParameters!$D$5:$K$5,0)))</f>
        <v>0.025</v>
      </c>
      <c r="R1960" s="71">
        <f>IF(B1960="",0,INDEX(ModelParameters!$D$13:$K$17,MATCH($O1960,ModelParameters!$B$13:$B$17,0),MATCH($J1960,ModelParameters!$D$5:$K$5,0)))</f>
        <v>0</v>
      </c>
      <c r="S1960" s="160">
        <f>IF(B1960="",0,MIN(IF($N1960="Other Bond TM",ModelParameters!$N$21,1)*(P1960*Q1960+R1960),1))</f>
        <v>0.035342323898134848</v>
      </c>
      <c r="T1960" s="85">
        <f>IF(B1960="",0,$S1960*$K1960)</f>
        <v>11.389868188656538</v>
      </c>
      <c r="U1960" s="85">
        <f>IF(B1960="",0,IF(OR(H1960=MappingTables!$C$34,H1960=MappingTables!$C$35),T1960,0))</f>
        <v>0</v>
      </c>
      <c r="V1960" s="85">
        <f>IF(ISNA(IF(AND(VLOOKUP(CONCATENATE($D1960,$G1960),CSRFinput!$B:$E,4,0)=0,OR(H1960=MappingTables!$C$34,H1960=MappingTables!$C$35)),1,VLOOKUP(CONCATENATE($D1960,$G1960),CSRFinput!$B:$E,4,0))),0,IF(AND(VLOOKUP(CONCATENATE($D1960,$G1960),CSRFinput!$B:$E,4,0)=0,OR(H1960=MappingTables!$C$34,H1960=MappingTables!$C$35)),1,VLOOKUP(CONCATENATE($D1960,$G1960),CSRFinput!$B:$E,4,0)))</f>
        <v>0.054776304963434752</v>
      </c>
      <c r="W1960" s="85">
        <f>IF(B1960="",0,+$T1960*$V1960)</f>
        <v>0.62389489339517464</v>
      </c>
      <c r="X1960" s="85">
        <f>IF(B1960="",0,IF(OR(H1960=MappingTables!$C$34,H1960=MappingTables!$C$35),W1960,0))</f>
        <v>0</v>
      </c>
    </row>
    <row r="1961" spans="2:24" s="0" customFormat="0" ht="15">
      <c r="B1961" s="69">
        <v>8543726</v>
      </c>
      <c r="C1961" s="70" t="s">
        <v>1686</v>
      </c>
      <c r="D1961" s="70" t="s">
        <v>1</v>
      </c>
      <c r="E1961" s="70" t="s">
        <v>1</v>
      </c>
      <c r="F1961" s="70"/>
      <c r="G1961" s="70" t="s">
        <v>61</v>
      </c>
      <c r="H1961" s="70" t="s">
        <v>178</v>
      </c>
      <c r="I1961" s="70" t="s">
        <v>188</v>
      </c>
      <c r="J1961" s="71">
        <f>IF(OR(I1961=0,I1961=""),"unrated",VLOOKUP(I1961,MappingTables!$B$19:$C$31,2,FALSE))</f>
        <v>2</v>
      </c>
      <c r="K1961" s="72">
        <v>34.081111334421044</v>
      </c>
      <c r="L1961" s="70">
        <v>3.0438898458083408</v>
      </c>
      <c r="M1961" s="71">
        <f>IF(L1961&lt;1,1,L1961)</f>
        <v>3.0438898458083408</v>
      </c>
      <c r="N1961" s="70" t="s">
        <v>141</v>
      </c>
      <c r="O1961" s="71">
        <f>INDEX(DurClassMapping,MATCH(M1961,MappingTables!$D$4:$D$8,-1),1)</f>
        <v>1</v>
      </c>
      <c r="P1961" s="73">
        <f>IF(M1961=$A$1,1,$M1961-INDEX(MappingTables!$E$4:$E$8,MATCH(O1961,MappingTables!$B$4:$B$8,0)))</f>
        <v>3.0438898458083408</v>
      </c>
      <c r="Q1961" s="71">
        <f>IF(B1961="",0,INDEX(ModelParameters!$D$6:$K$10,MATCH($O1961,ModelParameters!$B$6:$B$10,0),MATCH($J1961,ModelParameters!$D$5:$K$5,0)))</f>
        <v>0.013999999999999998</v>
      </c>
      <c r="R1961" s="71">
        <f>IF(B1961="",0,INDEX(ModelParameters!$D$13:$K$17,MATCH($O1961,ModelParameters!$B$13:$B$17,0),MATCH($J1961,ModelParameters!$D$5:$K$5,0)))</f>
        <v>0</v>
      </c>
      <c r="S1961" s="160">
        <f>IF(B1961="",0,MIN(IF($N1961="Other Bond TM",ModelParameters!$N$21,1)*(P1961*Q1961+R1961),1))</f>
        <v>0.042614457841316768</v>
      </c>
      <c r="T1961" s="85">
        <f>IF(B1961="",0,$S1961*$K1961)</f>
        <v>1.4523480821459088</v>
      </c>
      <c r="U1961" s="85">
        <f>IF(B1961="",0,IF(OR(H1961=MappingTables!$C$34,H1961=MappingTables!$C$35),T1961,0))</f>
        <v>0</v>
      </c>
      <c r="V1961" s="85">
        <f>IF(ISNA(IF(AND(VLOOKUP(CONCATENATE($D1961,$G1961),CSRFinput!$B:$E,4,0)=0,OR(H1961=MappingTables!$C$34,H1961=MappingTables!$C$35)),1,VLOOKUP(CONCATENATE($D1961,$G1961),CSRFinput!$B:$E,4,0))),0,IF(AND(VLOOKUP(CONCATENATE($D1961,$G1961),CSRFinput!$B:$E,4,0)=0,OR(H1961=MappingTables!$C$34,H1961=MappingTables!$C$35)),1,VLOOKUP(CONCATENATE($D1961,$G1961),CSRFinput!$B:$E,4,0)))</f>
        <v>0.054776304963434752</v>
      </c>
      <c r="W1961" s="85">
        <f>IF(B1961="",0,+$T1961*$V1961)</f>
        <v>0.079554261460683888</v>
      </c>
      <c r="X1961" s="85">
        <f>IF(B1961="",0,IF(OR(H1961=MappingTables!$C$34,H1961=MappingTables!$C$35),W1961,0))</f>
        <v>0</v>
      </c>
    </row>
    <row r="1962" spans="2:24" s="0" customFormat="0" ht="15">
      <c r="B1962" s="69" t="s">
        <v>2110</v>
      </c>
      <c r="C1962" s="70" t="s">
        <v>2111</v>
      </c>
      <c r="D1962" s="70" t="s">
        <v>1</v>
      </c>
      <c r="E1962" s="70" t="s">
        <v>1</v>
      </c>
      <c r="F1962" s="70"/>
      <c r="G1962" s="70" t="s">
        <v>61</v>
      </c>
      <c r="H1962" s="70" t="s">
        <v>178</v>
      </c>
      <c r="I1962" s="70" t="s">
        <v>204</v>
      </c>
      <c r="J1962" s="71">
        <f>IF(OR(I1962=0,I1962=""),"unrated",VLOOKUP(I1962,MappingTables!$B$19:$C$31,2,FALSE))</f>
        <v>6</v>
      </c>
      <c r="K1962" s="72">
        <v>906.79036502550416</v>
      </c>
      <c r="L1962" s="70">
        <v>0.087672035259164656</v>
      </c>
      <c r="M1962" s="71">
        <f>IF(L1962&lt;1,1,L1962)</f>
        <v>1</v>
      </c>
      <c r="N1962" s="70" t="s">
        <v>141</v>
      </c>
      <c r="O1962" s="71">
        <f>INDEX(DurClassMapping,MATCH(M1962,MappingTables!$D$4:$D$8,-1),1)</f>
        <v>1</v>
      </c>
      <c r="P1962" s="73">
        <f>IF(M1962=$A$1,1,$M1962-INDEX(MappingTables!$E$4:$E$8,MATCH(O1962,MappingTables!$B$4:$B$8,0)))</f>
        <v>1</v>
      </c>
      <c r="Q1962" s="71">
        <f>IF(B1962="",0,INDEX(ModelParameters!$D$6:$K$10,MATCH($O1962,ModelParameters!$B$6:$B$10,0),MATCH($J1962,ModelParameters!$D$5:$K$5,0)))</f>
        <v>0.075</v>
      </c>
      <c r="R1962" s="71">
        <f>IF(B1962="",0,INDEX(ModelParameters!$D$13:$K$17,MATCH($O1962,ModelParameters!$B$13:$B$17,0),MATCH($J1962,ModelParameters!$D$5:$K$5,0)))</f>
        <v>0</v>
      </c>
      <c r="S1962" s="160">
        <f>IF(B1962="",0,MIN(IF($N1962="Other Bond TM",ModelParameters!$N$21,1)*(P1962*Q1962+R1962),1))</f>
        <v>0.075</v>
      </c>
      <c r="T1962" s="85">
        <f>IF(B1962="",0,$S1962*$K1962)</f>
        <v>68.009277376912808</v>
      </c>
      <c r="U1962" s="85">
        <f>IF(B1962="",0,IF(OR(H1962=MappingTables!$C$34,H1962=MappingTables!$C$35),T1962,0))</f>
        <v>0</v>
      </c>
      <c r="V1962" s="85">
        <f>IF(ISNA(IF(AND(VLOOKUP(CONCATENATE($D1962,$G1962),CSRFinput!$B:$E,4,0)=0,OR(H1962=MappingTables!$C$34,H1962=MappingTables!$C$35)),1,VLOOKUP(CONCATENATE($D1962,$G1962),CSRFinput!$B:$E,4,0))),0,IF(AND(VLOOKUP(CONCATENATE($D1962,$G1962),CSRFinput!$B:$E,4,0)=0,OR(H1962=MappingTables!$C$34,H1962=MappingTables!$C$35)),1,VLOOKUP(CONCATENATE($D1962,$G1962),CSRFinput!$B:$E,4,0)))</f>
        <v>0.054776304963434752</v>
      </c>
      <c r="W1962" s="85">
        <f>IF(B1962="",0,+$T1962*$V1962)</f>
        <v>3.7252969179406</v>
      </c>
      <c r="X1962" s="85">
        <f>IF(B1962="",0,IF(OR(H1962=MappingTables!$C$34,H1962=MappingTables!$C$35),W1962,0))</f>
        <v>0</v>
      </c>
    </row>
    <row r="1963" spans="2:24" s="0" customFormat="0" ht="15">
      <c r="B1963" s="69">
        <v>20809016</v>
      </c>
      <c r="C1963" s="70" t="s">
        <v>2112</v>
      </c>
      <c r="D1963" s="70" t="s">
        <v>1</v>
      </c>
      <c r="E1963" s="70" t="s">
        <v>1</v>
      </c>
      <c r="F1963" s="70"/>
      <c r="G1963" s="70" t="s">
        <v>61</v>
      </c>
      <c r="H1963" s="70" t="s">
        <v>178</v>
      </c>
      <c r="I1963" s="70" t="s">
        <v>188</v>
      </c>
      <c r="J1963" s="71">
        <f>IF(OR(I1963=0,I1963=""),"unrated",VLOOKUP(I1963,MappingTables!$B$19:$C$31,2,FALSE))</f>
        <v>2</v>
      </c>
      <c r="K1963" s="72">
        <v>5859.5462148600512</v>
      </c>
      <c r="L1963" s="70">
        <v>7.682147220190704</v>
      </c>
      <c r="M1963" s="71">
        <f>IF(L1963&lt;1,1,L1963)</f>
        <v>7.682147220190704</v>
      </c>
      <c r="N1963" s="70" t="s">
        <v>141</v>
      </c>
      <c r="O1963" s="71">
        <f>INDEX(DurClassMapping,MATCH(M1963,MappingTables!$D$4:$D$8,-1),1)</f>
        <v>2</v>
      </c>
      <c r="P1963" s="73">
        <f>IF(M1963=$A$1,1,$M1963-INDEX(MappingTables!$E$4:$E$8,MATCH(O1963,MappingTables!$B$4:$B$8,0)))</f>
        <v>2.6821472201907044</v>
      </c>
      <c r="Q1963" s="71">
        <f>IF(B1963="",0,INDEX(ModelParameters!$D$6:$K$10,MATCH($O1963,ModelParameters!$B$6:$B$10,0),MATCH($J1963,ModelParameters!$D$5:$K$5,0)))</f>
        <v>0.0069999999999999992</v>
      </c>
      <c r="R1963" s="71">
        <f>IF(B1963="",0,INDEX(ModelParameters!$D$13:$K$17,MATCH($O1963,ModelParameters!$B$13:$B$17,0),MATCH($J1963,ModelParameters!$D$5:$K$5,0)))</f>
        <v>0.070000000000000008</v>
      </c>
      <c r="S1963" s="160">
        <f>IF(B1963="",0,MIN(IF($N1963="Other Bond TM",ModelParameters!$N$21,1)*(P1963*Q1963+R1963),1))</f>
        <v>0.088775030541334944</v>
      </c>
      <c r="T1963" s="85">
        <f>IF(B1963="",0,$S1963*$K1963)</f>
        <v>520.18139418256456</v>
      </c>
      <c r="U1963" s="85">
        <f>IF(B1963="",0,IF(OR(H1963=MappingTables!$C$34,H1963=MappingTables!$C$35),T1963,0))</f>
        <v>0</v>
      </c>
      <c r="V1963" s="85">
        <f>IF(ISNA(IF(AND(VLOOKUP(CONCATENATE($D1963,$G1963),CSRFinput!$B:$E,4,0)=0,OR(H1963=MappingTables!$C$34,H1963=MappingTables!$C$35)),1,VLOOKUP(CONCATENATE($D1963,$G1963),CSRFinput!$B:$E,4,0))),0,IF(AND(VLOOKUP(CONCATENATE($D1963,$G1963),CSRFinput!$B:$E,4,0)=0,OR(H1963=MappingTables!$C$34,H1963=MappingTables!$C$35)),1,VLOOKUP(CONCATENATE($D1963,$G1963),CSRFinput!$B:$E,4,0)))</f>
        <v>0.054776304963434752</v>
      </c>
      <c r="W1963" s="85">
        <f>IF(B1963="",0,+$T1963*$V1963)</f>
        <v>28.49361468404882</v>
      </c>
      <c r="X1963" s="85">
        <f>IF(B1963="",0,IF(OR(H1963=MappingTables!$C$34,H1963=MappingTables!$C$35),W1963,0))</f>
        <v>0</v>
      </c>
    </row>
    <row r="1964" spans="2:24" s="0" customFormat="0" ht="15">
      <c r="B1964" s="69">
        <v>21565411</v>
      </c>
      <c r="C1964" s="70" t="s">
        <v>1881</v>
      </c>
      <c r="D1964" s="70" t="s">
        <v>1</v>
      </c>
      <c r="E1964" s="70" t="s">
        <v>1</v>
      </c>
      <c r="F1964" s="70"/>
      <c r="G1964" s="70" t="s">
        <v>61</v>
      </c>
      <c r="H1964" s="70" t="s">
        <v>178</v>
      </c>
      <c r="I1964" s="70" t="s">
        <v>198</v>
      </c>
      <c r="J1964" s="71" t="str">
        <f>IF(OR(I1964=0,I1964=""),"unrated",VLOOKUP(I1964,MappingTables!$B$19:$C$31,2,FALSE))</f>
        <v>unrated</v>
      </c>
      <c r="K1964" s="72">
        <v>117.14511320100818</v>
      </c>
      <c r="L1964" s="70">
        <v>1.7250473117842746</v>
      </c>
      <c r="M1964" s="71">
        <f>IF(L1964&lt;1,1,L1964)</f>
        <v>1.7250473117842746</v>
      </c>
      <c r="N1964" s="70" t="s">
        <v>141</v>
      </c>
      <c r="O1964" s="71">
        <f>INDEX(DurClassMapping,MATCH(M1964,MappingTables!$D$4:$D$8,-1),1)</f>
        <v>1</v>
      </c>
      <c r="P1964" s="73">
        <f>IF(M1964=$A$1,1,$M1964-INDEX(MappingTables!$E$4:$E$8,MATCH(O1964,MappingTables!$B$4:$B$8,0)))</f>
        <v>1.7250473117842746</v>
      </c>
      <c r="Q1964" s="71">
        <f>IF(B1964="",0,INDEX(ModelParameters!$D$6:$K$10,MATCH($O1964,ModelParameters!$B$6:$B$10,0),MATCH($J1964,ModelParameters!$D$5:$K$5,0)))</f>
        <v>0.03</v>
      </c>
      <c r="R1964" s="71">
        <f>IF(B1964="",0,INDEX(ModelParameters!$D$13:$K$17,MATCH($O1964,ModelParameters!$B$13:$B$17,0),MATCH($J1964,ModelParameters!$D$5:$K$5,0)))</f>
        <v>0</v>
      </c>
      <c r="S1964" s="160">
        <f>IF(B1964="",0,MIN(IF($N1964="Other Bond TM",ModelParameters!$N$21,1)*(P1964*Q1964+R1964),1))</f>
        <v>0.051751419353528232</v>
      </c>
      <c r="T1964" s="85">
        <f>IF(B1964="",0,$S1964*$K1964)</f>
        <v>6.0624258784819104</v>
      </c>
      <c r="U1964" s="85">
        <f>IF(B1964="",0,IF(OR(H1964=MappingTables!$C$34,H1964=MappingTables!$C$35),T1964,0))</f>
        <v>0</v>
      </c>
      <c r="V1964" s="85">
        <f>IF(ISNA(IF(AND(VLOOKUP(CONCATENATE($D1964,$G1964),CSRFinput!$B:$E,4,0)=0,OR(H1964=MappingTables!$C$34,H1964=MappingTables!$C$35)),1,VLOOKUP(CONCATENATE($D1964,$G1964),CSRFinput!$B:$E,4,0))),0,IF(AND(VLOOKUP(CONCATENATE($D1964,$G1964),CSRFinput!$B:$E,4,0)=0,OR(H1964=MappingTables!$C$34,H1964=MappingTables!$C$35)),1,VLOOKUP(CONCATENATE($D1964,$G1964),CSRFinput!$B:$E,4,0)))</f>
        <v>0.054776304963434752</v>
      </c>
      <c r="W1964" s="85">
        <f>IF(B1964="",0,+$T1964*$V1964)</f>
        <v>0.33207728873794396</v>
      </c>
      <c r="X1964" s="85">
        <f>IF(B1964="",0,IF(OR(H1964=MappingTables!$C$34,H1964=MappingTables!$C$35),W1964,0))</f>
        <v>0</v>
      </c>
    </row>
    <row r="1965" spans="2:24" s="0" customFormat="0" ht="15">
      <c r="B1965" s="69" t="s">
        <v>2113</v>
      </c>
      <c r="C1965" s="70" t="s">
        <v>2114</v>
      </c>
      <c r="D1965" s="70" t="s">
        <v>1</v>
      </c>
      <c r="E1965" s="70" t="s">
        <v>1</v>
      </c>
      <c r="F1965" s="70"/>
      <c r="G1965" s="70" t="s">
        <v>61</v>
      </c>
      <c r="H1965" s="70" t="s">
        <v>178</v>
      </c>
      <c r="I1965" s="70" t="s">
        <v>188</v>
      </c>
      <c r="J1965" s="71">
        <f>IF(OR(I1965=0,I1965=""),"unrated",VLOOKUP(I1965,MappingTables!$B$19:$C$31,2,FALSE))</f>
        <v>2</v>
      </c>
      <c r="K1965" s="72">
        <v>21529.305477606688</v>
      </c>
      <c r="L1965" s="70">
        <v>9.0241249190222544</v>
      </c>
      <c r="M1965" s="71">
        <f>IF(L1965&lt;1,1,L1965)</f>
        <v>9.0241249190222544</v>
      </c>
      <c r="N1965" s="70" t="s">
        <v>141</v>
      </c>
      <c r="O1965" s="71">
        <f>INDEX(DurClassMapping,MATCH(M1965,MappingTables!$D$4:$D$8,-1),1)</f>
        <v>2</v>
      </c>
      <c r="P1965" s="73">
        <f>IF(M1965=$A$1,1,$M1965-INDEX(MappingTables!$E$4:$E$8,MATCH(O1965,MappingTables!$B$4:$B$8,0)))</f>
        <v>4.0241249190222544</v>
      </c>
      <c r="Q1965" s="71">
        <f>IF(B1965="",0,INDEX(ModelParameters!$D$6:$K$10,MATCH($O1965,ModelParameters!$B$6:$B$10,0),MATCH($J1965,ModelParameters!$D$5:$K$5,0)))</f>
        <v>0.0069999999999999992</v>
      </c>
      <c r="R1965" s="71">
        <f>IF(B1965="",0,INDEX(ModelParameters!$D$13:$K$17,MATCH($O1965,ModelParameters!$B$13:$B$17,0),MATCH($J1965,ModelParameters!$D$5:$K$5,0)))</f>
        <v>0.070000000000000008</v>
      </c>
      <c r="S1965" s="160">
        <f>IF(B1965="",0,MIN(IF($N1965="Other Bond TM",ModelParameters!$N$21,1)*(P1965*Q1965+R1965),1))</f>
        <v>0.098168874433155776</v>
      </c>
      <c r="T1965" s="85">
        <f>IF(B1965="",0,$S1965*$K1965)</f>
        <v>2113.507686064224</v>
      </c>
      <c r="U1965" s="85">
        <f>IF(B1965="",0,IF(OR(H1965=MappingTables!$C$34,H1965=MappingTables!$C$35),T1965,0))</f>
        <v>0</v>
      </c>
      <c r="V1965" s="85">
        <f>IF(ISNA(IF(AND(VLOOKUP(CONCATENATE($D1965,$G1965),CSRFinput!$B:$E,4,0)=0,OR(H1965=MappingTables!$C$34,H1965=MappingTables!$C$35)),1,VLOOKUP(CONCATENATE($D1965,$G1965),CSRFinput!$B:$E,4,0))),0,IF(AND(VLOOKUP(CONCATENATE($D1965,$G1965),CSRFinput!$B:$E,4,0)=0,OR(H1965=MappingTables!$C$34,H1965=MappingTables!$C$35)),1,VLOOKUP(CONCATENATE($D1965,$G1965),CSRFinput!$B:$E,4,0)))</f>
        <v>0.054776304963434752</v>
      </c>
      <c r="W1965" s="85">
        <f>IF(B1965="",0,+$T1965*$V1965)</f>
        <v>115.77014155441726</v>
      </c>
      <c r="X1965" s="85">
        <f>IF(B1965="",0,IF(OR(H1965=MappingTables!$C$34,H1965=MappingTables!$C$35),W1965,0))</f>
        <v>0</v>
      </c>
    </row>
    <row r="1966" spans="2:24" s="0" customFormat="0" ht="15">
      <c r="B1966" s="69">
        <v>12200132</v>
      </c>
      <c r="C1966" s="70" t="s">
        <v>1088</v>
      </c>
      <c r="D1966" s="70" t="s">
        <v>1</v>
      </c>
      <c r="E1966" s="70" t="s">
        <v>1</v>
      </c>
      <c r="F1966" s="70"/>
      <c r="G1966" s="70" t="s">
        <v>61</v>
      </c>
      <c r="H1966" s="70" t="s">
        <v>178</v>
      </c>
      <c r="I1966" s="70" t="s">
        <v>220</v>
      </c>
      <c r="J1966" s="71">
        <f>IF(OR(I1966=0,I1966=""),"unrated",VLOOKUP(I1966,MappingTables!$B$19:$C$31,2,FALSE))</f>
        <v>1</v>
      </c>
      <c r="K1966" s="72">
        <v>53.827621362482152</v>
      </c>
      <c r="L1966" s="70">
        <v>0.45155433955863864</v>
      </c>
      <c r="M1966" s="71">
        <f>IF(L1966&lt;1,1,L1966)</f>
        <v>1</v>
      </c>
      <c r="N1966" s="70" t="s">
        <v>141</v>
      </c>
      <c r="O1966" s="71">
        <f>INDEX(DurClassMapping,MATCH(M1966,MappingTables!$D$4:$D$8,-1),1)</f>
        <v>1</v>
      </c>
      <c r="P1966" s="73">
        <f>IF(M1966=$A$1,1,$M1966-INDEX(MappingTables!$E$4:$E$8,MATCH(O1966,MappingTables!$B$4:$B$8,0)))</f>
        <v>1</v>
      </c>
      <c r="Q1966" s="71">
        <f>IF(B1966="",0,INDEX(ModelParameters!$D$6:$K$10,MATCH($O1966,ModelParameters!$B$6:$B$10,0),MATCH($J1966,ModelParameters!$D$5:$K$5,0)))</f>
        <v>0.011000000000000002</v>
      </c>
      <c r="R1966" s="71">
        <f>IF(B1966="",0,INDEX(ModelParameters!$D$13:$K$17,MATCH($O1966,ModelParameters!$B$13:$B$17,0),MATCH($J1966,ModelParameters!$D$5:$K$5,0)))</f>
        <v>0</v>
      </c>
      <c r="S1966" s="160">
        <f>IF(B1966="",0,MIN(IF($N1966="Other Bond TM",ModelParameters!$N$21,1)*(P1966*Q1966+R1966),1))</f>
        <v>0.011000000000000002</v>
      </c>
      <c r="T1966" s="85">
        <f>IF(B1966="",0,$S1966*$K1966)</f>
        <v>0.59210383498730376</v>
      </c>
      <c r="U1966" s="85">
        <f>IF(B1966="",0,IF(OR(H1966=MappingTables!$C$34,H1966=MappingTables!$C$35),T1966,0))</f>
        <v>0</v>
      </c>
      <c r="V1966" s="85">
        <f>IF(ISNA(IF(AND(VLOOKUP(CONCATENATE($D1966,$G1966),CSRFinput!$B:$E,4,0)=0,OR(H1966=MappingTables!$C$34,H1966=MappingTables!$C$35)),1,VLOOKUP(CONCATENATE($D1966,$G1966),CSRFinput!$B:$E,4,0))),0,IF(AND(VLOOKUP(CONCATENATE($D1966,$G1966),CSRFinput!$B:$E,4,0)=0,OR(H1966=MappingTables!$C$34,H1966=MappingTables!$C$35)),1,VLOOKUP(CONCATENATE($D1966,$G1966),CSRFinput!$B:$E,4,0)))</f>
        <v>0.054776304963434752</v>
      </c>
      <c r="W1966" s="85">
        <f>IF(B1966="",0,+$T1966*$V1966)</f>
        <v>0.032433260235283796</v>
      </c>
      <c r="X1966" s="85">
        <f>IF(B1966="",0,IF(OR(H1966=MappingTables!$C$34,H1966=MappingTables!$C$35),W1966,0))</f>
        <v>0</v>
      </c>
    </row>
    <row r="1967" spans="2:24" s="0" customFormat="0" ht="15">
      <c r="B1967" s="69">
        <v>11578696</v>
      </c>
      <c r="C1967" s="70" t="s">
        <v>2115</v>
      </c>
      <c r="D1967" s="70" t="s">
        <v>1</v>
      </c>
      <c r="E1967" s="70" t="s">
        <v>1</v>
      </c>
      <c r="F1967" s="70"/>
      <c r="G1967" s="70" t="s">
        <v>61</v>
      </c>
      <c r="H1967" s="70" t="s">
        <v>178</v>
      </c>
      <c r="I1967" s="70" t="s">
        <v>188</v>
      </c>
      <c r="J1967" s="71">
        <f>IF(OR(I1967=0,I1967=""),"unrated",VLOOKUP(I1967,MappingTables!$B$19:$C$31,2,FALSE))</f>
        <v>2</v>
      </c>
      <c r="K1967" s="72">
        <v>1918.0415120063764</v>
      </c>
      <c r="L1967" s="70">
        <v>0.04931640116472144</v>
      </c>
      <c r="M1967" s="71">
        <f>IF(L1967&lt;1,1,L1967)</f>
        <v>1</v>
      </c>
      <c r="N1967" s="70" t="s">
        <v>141</v>
      </c>
      <c r="O1967" s="71">
        <f>INDEX(DurClassMapping,MATCH(M1967,MappingTables!$D$4:$D$8,-1),1)</f>
        <v>1</v>
      </c>
      <c r="P1967" s="73">
        <f>IF(M1967=$A$1,1,$M1967-INDEX(MappingTables!$E$4:$E$8,MATCH(O1967,MappingTables!$B$4:$B$8,0)))</f>
        <v>1</v>
      </c>
      <c r="Q1967" s="71">
        <f>IF(B1967="",0,INDEX(ModelParameters!$D$6:$K$10,MATCH($O1967,ModelParameters!$B$6:$B$10,0),MATCH($J1967,ModelParameters!$D$5:$K$5,0)))</f>
        <v>0.013999999999999998</v>
      </c>
      <c r="R1967" s="71">
        <f>IF(B1967="",0,INDEX(ModelParameters!$D$13:$K$17,MATCH($O1967,ModelParameters!$B$13:$B$17,0),MATCH($J1967,ModelParameters!$D$5:$K$5,0)))</f>
        <v>0</v>
      </c>
      <c r="S1967" s="160">
        <f>IF(B1967="",0,MIN(IF($N1967="Other Bond TM",ModelParameters!$N$21,1)*(P1967*Q1967+R1967),1))</f>
        <v>0.013999999999999998</v>
      </c>
      <c r="T1967" s="85">
        <f>IF(B1967="",0,$S1967*$K1967)</f>
        <v>26.852581168089264</v>
      </c>
      <c r="U1967" s="85">
        <f>IF(B1967="",0,IF(OR(H1967=MappingTables!$C$34,H1967=MappingTables!$C$35),T1967,0))</f>
        <v>0</v>
      </c>
      <c r="V1967" s="85">
        <f>IF(ISNA(IF(AND(VLOOKUP(CONCATENATE($D1967,$G1967),CSRFinput!$B:$E,4,0)=0,OR(H1967=MappingTables!$C$34,H1967=MappingTables!$C$35)),1,VLOOKUP(CONCATENATE($D1967,$G1967),CSRFinput!$B:$E,4,0))),0,IF(AND(VLOOKUP(CONCATENATE($D1967,$G1967),CSRFinput!$B:$E,4,0)=0,OR(H1967=MappingTables!$C$34,H1967=MappingTables!$C$35)),1,VLOOKUP(CONCATENATE($D1967,$G1967),CSRFinput!$B:$E,4,0)))</f>
        <v>0.054776304963434752</v>
      </c>
      <c r="W1967" s="85">
        <f>IF(B1967="",0,+$T1967*$V1967)</f>
        <v>1.4708851751186426</v>
      </c>
      <c r="X1967" s="85">
        <f>IF(B1967="",0,IF(OR(H1967=MappingTables!$C$34,H1967=MappingTables!$C$35),W1967,0))</f>
        <v>0</v>
      </c>
    </row>
    <row r="1968" spans="2:24" s="0" customFormat="0" ht="15">
      <c r="B1968" s="69">
        <v>11774423</v>
      </c>
      <c r="C1968" s="70" t="s">
        <v>451</v>
      </c>
      <c r="D1968" s="70" t="s">
        <v>1</v>
      </c>
      <c r="E1968" s="70" t="s">
        <v>1</v>
      </c>
      <c r="F1968" s="70"/>
      <c r="G1968" s="70" t="s">
        <v>61</v>
      </c>
      <c r="H1968" s="70" t="s">
        <v>178</v>
      </c>
      <c r="I1968" s="70" t="s">
        <v>188</v>
      </c>
      <c r="J1968" s="71">
        <f>IF(OR(I1968=0,I1968=""),"unrated",VLOOKUP(I1968,MappingTables!$B$19:$C$31,2,FALSE))</f>
        <v>2</v>
      </c>
      <c r="K1968" s="72">
        <v>195.66605585249208</v>
      </c>
      <c r="L1968" s="70">
        <v>0.10684934550917772</v>
      </c>
      <c r="M1968" s="71">
        <f>IF(L1968&lt;1,1,L1968)</f>
        <v>1</v>
      </c>
      <c r="N1968" s="70" t="s">
        <v>141</v>
      </c>
      <c r="O1968" s="71">
        <f>INDEX(DurClassMapping,MATCH(M1968,MappingTables!$D$4:$D$8,-1),1)</f>
        <v>1</v>
      </c>
      <c r="P1968" s="73">
        <f>IF(M1968=$A$1,1,$M1968-INDEX(MappingTables!$E$4:$E$8,MATCH(O1968,MappingTables!$B$4:$B$8,0)))</f>
        <v>1</v>
      </c>
      <c r="Q1968" s="71">
        <f>IF(B1968="",0,INDEX(ModelParameters!$D$6:$K$10,MATCH($O1968,ModelParameters!$B$6:$B$10,0),MATCH($J1968,ModelParameters!$D$5:$K$5,0)))</f>
        <v>0.013999999999999998</v>
      </c>
      <c r="R1968" s="71">
        <f>IF(B1968="",0,INDEX(ModelParameters!$D$13:$K$17,MATCH($O1968,ModelParameters!$B$13:$B$17,0),MATCH($J1968,ModelParameters!$D$5:$K$5,0)))</f>
        <v>0</v>
      </c>
      <c r="S1968" s="160">
        <f>IF(B1968="",0,MIN(IF($N1968="Other Bond TM",ModelParameters!$N$21,1)*(P1968*Q1968+R1968),1))</f>
        <v>0.013999999999999998</v>
      </c>
      <c r="T1968" s="85">
        <f>IF(B1968="",0,$S1968*$K1968)</f>
        <v>2.7393247819348892</v>
      </c>
      <c r="U1968" s="85">
        <f>IF(B1968="",0,IF(OR(H1968=MappingTables!$C$34,H1968=MappingTables!$C$35),T1968,0))</f>
        <v>0</v>
      </c>
      <c r="V1968" s="85">
        <f>IF(ISNA(IF(AND(VLOOKUP(CONCATENATE($D1968,$G1968),CSRFinput!$B:$E,4,0)=0,OR(H1968=MappingTables!$C$34,H1968=MappingTables!$C$35)),1,VLOOKUP(CONCATENATE($D1968,$G1968),CSRFinput!$B:$E,4,0))),0,IF(AND(VLOOKUP(CONCATENATE($D1968,$G1968),CSRFinput!$B:$E,4,0)=0,OR(H1968=MappingTables!$C$34,H1968=MappingTables!$C$35)),1,VLOOKUP(CONCATENATE($D1968,$G1968),CSRFinput!$B:$E,4,0)))</f>
        <v>0.054776304963434752</v>
      </c>
      <c r="W1968" s="85">
        <f>IF(B1968="",0,+$T1968*$V1968)</f>
        <v>0.1500500896491599</v>
      </c>
      <c r="X1968" s="85">
        <f>IF(B1968="",0,IF(OR(H1968=MappingTables!$C$34,H1968=MappingTables!$C$35),W1968,0))</f>
        <v>0</v>
      </c>
    </row>
    <row r="1969" spans="2:24" s="0" customFormat="0" ht="15">
      <c r="B1969" s="69" t="s">
        <v>2116</v>
      </c>
      <c r="C1969" s="70" t="s">
        <v>2117</v>
      </c>
      <c r="D1969" s="70" t="s">
        <v>1</v>
      </c>
      <c r="E1969" s="70" t="s">
        <v>1</v>
      </c>
      <c r="F1969" s="70"/>
      <c r="G1969" s="70" t="s">
        <v>61</v>
      </c>
      <c r="H1969" s="70" t="s">
        <v>178</v>
      </c>
      <c r="I1969" s="70" t="s">
        <v>179</v>
      </c>
      <c r="J1969" s="71">
        <f>IF(OR(I1969=0,I1969=""),"unrated",VLOOKUP(I1969,MappingTables!$B$19:$C$31,2,FALSE))</f>
        <v>4</v>
      </c>
      <c r="K1969" s="72">
        <v>21752.736574041168</v>
      </c>
      <c r="L1969" s="70">
        <v>0.11232798798448838</v>
      </c>
      <c r="M1969" s="71">
        <f>IF(L1969&lt;1,1,L1969)</f>
        <v>1</v>
      </c>
      <c r="N1969" s="70" t="s">
        <v>141</v>
      </c>
      <c r="O1969" s="71">
        <f>INDEX(DurClassMapping,MATCH(M1969,MappingTables!$D$4:$D$8,-1),1)</f>
        <v>1</v>
      </c>
      <c r="P1969" s="73">
        <f>IF(M1969=$A$1,1,$M1969-INDEX(MappingTables!$E$4:$E$8,MATCH(O1969,MappingTables!$B$4:$B$8,0)))</f>
        <v>1</v>
      </c>
      <c r="Q1969" s="71">
        <f>IF(B1969="",0,INDEX(ModelParameters!$D$6:$K$10,MATCH($O1969,ModelParameters!$B$6:$B$10,0),MATCH($J1969,ModelParameters!$D$5:$K$5,0)))</f>
        <v>0.045</v>
      </c>
      <c r="R1969" s="71">
        <f>IF(B1969="",0,INDEX(ModelParameters!$D$13:$K$17,MATCH($O1969,ModelParameters!$B$13:$B$17,0),MATCH($J1969,ModelParameters!$D$5:$K$5,0)))</f>
        <v>0</v>
      </c>
      <c r="S1969" s="160">
        <f>IF(B1969="",0,MIN(IF($N1969="Other Bond TM",ModelParameters!$N$21,1)*(P1969*Q1969+R1969),1))</f>
        <v>0.045</v>
      </c>
      <c r="T1969" s="85">
        <f>IF(B1969="",0,$S1969*$K1969)</f>
        <v>978.87314583185264</v>
      </c>
      <c r="U1969" s="85">
        <f>IF(B1969="",0,IF(OR(H1969=MappingTables!$C$34,H1969=MappingTables!$C$35),T1969,0))</f>
        <v>0</v>
      </c>
      <c r="V1969" s="85">
        <f>IF(ISNA(IF(AND(VLOOKUP(CONCATENATE($D1969,$G1969),CSRFinput!$B:$E,4,0)=0,OR(H1969=MappingTables!$C$34,H1969=MappingTables!$C$35)),1,VLOOKUP(CONCATENATE($D1969,$G1969),CSRFinput!$B:$E,4,0))),0,IF(AND(VLOOKUP(CONCATENATE($D1969,$G1969),CSRFinput!$B:$E,4,0)=0,OR(H1969=MappingTables!$C$34,H1969=MappingTables!$C$35)),1,VLOOKUP(CONCATENATE($D1969,$G1969),CSRFinput!$B:$E,4,0)))</f>
        <v>0.054776304963434752</v>
      </c>
      <c r="W1969" s="85">
        <f>IF(B1969="",0,+$T1969*$V1969)</f>
        <v>53.619053956602304</v>
      </c>
      <c r="X1969" s="85">
        <f>IF(B1969="",0,IF(OR(H1969=MappingTables!$C$34,H1969=MappingTables!$C$35),W1969,0))</f>
        <v>0</v>
      </c>
    </row>
    <row r="1970" spans="2:24" s="0" customFormat="0" ht="15">
      <c r="B1970" s="69">
        <v>3953308</v>
      </c>
      <c r="C1970" s="70" t="s">
        <v>2118</v>
      </c>
      <c r="D1970" s="70" t="s">
        <v>1</v>
      </c>
      <c r="E1970" s="70" t="s">
        <v>1</v>
      </c>
      <c r="F1970" s="70"/>
      <c r="G1970" s="70" t="s">
        <v>61</v>
      </c>
      <c r="H1970" s="70" t="s">
        <v>178</v>
      </c>
      <c r="I1970" s="70" t="s">
        <v>188</v>
      </c>
      <c r="J1970" s="71">
        <f>IF(OR(I1970=0,I1970=""),"unrated",VLOOKUP(I1970,MappingTables!$B$19:$C$31,2,FALSE))</f>
        <v>2</v>
      </c>
      <c r="K1970" s="72">
        <v>1.1191117791269302</v>
      </c>
      <c r="L1970" s="70">
        <v>0.68219862889215896</v>
      </c>
      <c r="M1970" s="71">
        <f>IF(L1970&lt;1,1,L1970)</f>
        <v>1</v>
      </c>
      <c r="N1970" s="70" t="s">
        <v>141</v>
      </c>
      <c r="O1970" s="71">
        <f>INDEX(DurClassMapping,MATCH(M1970,MappingTables!$D$4:$D$8,-1),1)</f>
        <v>1</v>
      </c>
      <c r="P1970" s="73">
        <f>IF(M1970=$A$1,1,$M1970-INDEX(MappingTables!$E$4:$E$8,MATCH(O1970,MappingTables!$B$4:$B$8,0)))</f>
        <v>1</v>
      </c>
      <c r="Q1970" s="71">
        <f>IF(B1970="",0,INDEX(ModelParameters!$D$6:$K$10,MATCH($O1970,ModelParameters!$B$6:$B$10,0),MATCH($J1970,ModelParameters!$D$5:$K$5,0)))</f>
        <v>0.013999999999999998</v>
      </c>
      <c r="R1970" s="71">
        <f>IF(B1970="",0,INDEX(ModelParameters!$D$13:$K$17,MATCH($O1970,ModelParameters!$B$13:$B$17,0),MATCH($J1970,ModelParameters!$D$5:$K$5,0)))</f>
        <v>0</v>
      </c>
      <c r="S1970" s="160">
        <f>IF(B1970="",0,MIN(IF($N1970="Other Bond TM",ModelParameters!$N$21,1)*(P1970*Q1970+R1970),1))</f>
        <v>0.013999999999999998</v>
      </c>
      <c r="T1970" s="85">
        <f>IF(B1970="",0,$S1970*$K1970)</f>
        <v>0.015667564907777022</v>
      </c>
      <c r="U1970" s="85">
        <f>IF(B1970="",0,IF(OR(H1970=MappingTables!$C$34,H1970=MappingTables!$C$35),T1970,0))</f>
        <v>0</v>
      </c>
      <c r="V1970" s="85">
        <f>IF(ISNA(IF(AND(VLOOKUP(CONCATENATE($D1970,$G1970),CSRFinput!$B:$E,4,0)=0,OR(H1970=MappingTables!$C$34,H1970=MappingTables!$C$35)),1,VLOOKUP(CONCATENATE($D1970,$G1970),CSRFinput!$B:$E,4,0))),0,IF(AND(VLOOKUP(CONCATENATE($D1970,$G1970),CSRFinput!$B:$E,4,0)=0,OR(H1970=MappingTables!$C$34,H1970=MappingTables!$C$35)),1,VLOOKUP(CONCATENATE($D1970,$G1970),CSRFinput!$B:$E,4,0)))</f>
        <v>0.054776304963434752</v>
      </c>
      <c r="W1970" s="85">
        <f>IF(B1970="",0,+$T1970*$V1970)</f>
        <v>0.00085821131342280272</v>
      </c>
      <c r="X1970" s="85">
        <f>IF(B1970="",0,IF(OR(H1970=MappingTables!$C$34,H1970=MappingTables!$C$35),W1970,0))</f>
        <v>0</v>
      </c>
    </row>
    <row r="1971" spans="2:24" s="0" customFormat="0" ht="15">
      <c r="B1971" s="69" t="s">
        <v>2119</v>
      </c>
      <c r="C1971" s="70" t="s">
        <v>2120</v>
      </c>
      <c r="D1971" s="70" t="s">
        <v>1</v>
      </c>
      <c r="E1971" s="70" t="s">
        <v>1</v>
      </c>
      <c r="F1971" s="70"/>
      <c r="G1971" s="70" t="s">
        <v>61</v>
      </c>
      <c r="H1971" s="70" t="s">
        <v>178</v>
      </c>
      <c r="I1971" s="70" t="s">
        <v>188</v>
      </c>
      <c r="J1971" s="71">
        <f>IF(OR(I1971=0,I1971=""),"unrated",VLOOKUP(I1971,MappingTables!$B$19:$C$31,2,FALSE))</f>
        <v>2</v>
      </c>
      <c r="K1971" s="72">
        <v>1141.3085665785464</v>
      </c>
      <c r="L1971" s="70">
        <v>8.4157762527595296</v>
      </c>
      <c r="M1971" s="71">
        <f>IF(L1971&lt;1,1,L1971)</f>
        <v>8.4157762527595296</v>
      </c>
      <c r="N1971" s="70" t="s">
        <v>141</v>
      </c>
      <c r="O1971" s="71">
        <f>INDEX(DurClassMapping,MATCH(M1971,MappingTables!$D$4:$D$8,-1),1)</f>
        <v>2</v>
      </c>
      <c r="P1971" s="73">
        <f>IF(M1971=$A$1,1,$M1971-INDEX(MappingTables!$E$4:$E$8,MATCH(O1971,MappingTables!$B$4:$B$8,0)))</f>
        <v>3.41577625275953</v>
      </c>
      <c r="Q1971" s="71">
        <f>IF(B1971="",0,INDEX(ModelParameters!$D$6:$K$10,MATCH($O1971,ModelParameters!$B$6:$B$10,0),MATCH($J1971,ModelParameters!$D$5:$K$5,0)))</f>
        <v>0.0069999999999999992</v>
      </c>
      <c r="R1971" s="71">
        <f>IF(B1971="",0,INDEX(ModelParameters!$D$13:$K$17,MATCH($O1971,ModelParameters!$B$13:$B$17,0),MATCH($J1971,ModelParameters!$D$5:$K$5,0)))</f>
        <v>0.070000000000000008</v>
      </c>
      <c r="S1971" s="160">
        <f>IF(B1971="",0,MIN(IF($N1971="Other Bond TM",ModelParameters!$N$21,1)*(P1971*Q1971+R1971),1))</f>
        <v>0.093910433769316704</v>
      </c>
      <c r="T1971" s="85">
        <f>IF(B1971="",0,$S1971*$K1971)</f>
        <v>107.18078255202836</v>
      </c>
      <c r="U1971" s="85">
        <f>IF(B1971="",0,IF(OR(H1971=MappingTables!$C$34,H1971=MappingTables!$C$35),T1971,0))</f>
        <v>0</v>
      </c>
      <c r="V1971" s="85">
        <f>IF(ISNA(IF(AND(VLOOKUP(CONCATENATE($D1971,$G1971),CSRFinput!$B:$E,4,0)=0,OR(H1971=MappingTables!$C$34,H1971=MappingTables!$C$35)),1,VLOOKUP(CONCATENATE($D1971,$G1971),CSRFinput!$B:$E,4,0))),0,IF(AND(VLOOKUP(CONCATENATE($D1971,$G1971),CSRFinput!$B:$E,4,0)=0,OR(H1971=MappingTables!$C$34,H1971=MappingTables!$C$35)),1,VLOOKUP(CONCATENATE($D1971,$G1971),CSRFinput!$B:$E,4,0)))</f>
        <v>0.054776304963434752</v>
      </c>
      <c r="W1971" s="85">
        <f>IF(B1971="",0,+$T1971*$V1971)</f>
        <v>5.870967231289492</v>
      </c>
      <c r="X1971" s="85">
        <f>IF(B1971="",0,IF(OR(H1971=MappingTables!$C$34,H1971=MappingTables!$C$35),W1971,0))</f>
        <v>0</v>
      </c>
    </row>
    <row r="1972" spans="2:24" s="0" customFormat="0" ht="15">
      <c r="B1972" s="69">
        <v>18719309</v>
      </c>
      <c r="C1972" s="70" t="s">
        <v>2121</v>
      </c>
      <c r="D1972" s="70" t="s">
        <v>1</v>
      </c>
      <c r="E1972" s="70" t="s">
        <v>1</v>
      </c>
      <c r="F1972" s="70"/>
      <c r="G1972" s="70" t="s">
        <v>61</v>
      </c>
      <c r="H1972" s="70" t="s">
        <v>178</v>
      </c>
      <c r="I1972" s="70" t="s">
        <v>181</v>
      </c>
      <c r="J1972" s="71">
        <f>IF(OR(I1972=0,I1972=""),"unrated",VLOOKUP(I1972,MappingTables!$B$19:$C$31,2,FALSE))</f>
        <v>3</v>
      </c>
      <c r="K1972" s="72">
        <v>12.338068527957324</v>
      </c>
      <c r="L1972" s="70">
        <v>0.7287756635621112</v>
      </c>
      <c r="M1972" s="71">
        <f>IF(L1972&lt;1,1,L1972)</f>
        <v>1</v>
      </c>
      <c r="N1972" s="70" t="s">
        <v>141</v>
      </c>
      <c r="O1972" s="71">
        <f>INDEX(DurClassMapping,MATCH(M1972,MappingTables!$D$4:$D$8,-1),1)</f>
        <v>1</v>
      </c>
      <c r="P1972" s="73">
        <f>IF(M1972=$A$1,1,$M1972-INDEX(MappingTables!$E$4:$E$8,MATCH(O1972,MappingTables!$B$4:$B$8,0)))</f>
        <v>1</v>
      </c>
      <c r="Q1972" s="71">
        <f>IF(B1972="",0,INDEX(ModelParameters!$D$6:$K$10,MATCH($O1972,ModelParameters!$B$6:$B$10,0),MATCH($J1972,ModelParameters!$D$5:$K$5,0)))</f>
        <v>0.025</v>
      </c>
      <c r="R1972" s="71">
        <f>IF(B1972="",0,INDEX(ModelParameters!$D$13:$K$17,MATCH($O1972,ModelParameters!$B$13:$B$17,0),MATCH($J1972,ModelParameters!$D$5:$K$5,0)))</f>
        <v>0</v>
      </c>
      <c r="S1972" s="160">
        <f>IF(B1972="",0,MIN(IF($N1972="Other Bond TM",ModelParameters!$N$21,1)*(P1972*Q1972+R1972),1))</f>
        <v>0.025</v>
      </c>
      <c r="T1972" s="85">
        <f>IF(B1972="",0,$S1972*$K1972)</f>
        <v>0.30845171319893312</v>
      </c>
      <c r="U1972" s="85">
        <f>IF(B1972="",0,IF(OR(H1972=MappingTables!$C$34,H1972=MappingTables!$C$35),T1972,0))</f>
        <v>0</v>
      </c>
      <c r="V1972" s="85">
        <f>IF(ISNA(IF(AND(VLOOKUP(CONCATENATE($D1972,$G1972),CSRFinput!$B:$E,4,0)=0,OR(H1972=MappingTables!$C$34,H1972=MappingTables!$C$35)),1,VLOOKUP(CONCATENATE($D1972,$G1972),CSRFinput!$B:$E,4,0))),0,IF(AND(VLOOKUP(CONCATENATE($D1972,$G1972),CSRFinput!$B:$E,4,0)=0,OR(H1972=MappingTables!$C$34,H1972=MappingTables!$C$35)),1,VLOOKUP(CONCATENATE($D1972,$G1972),CSRFinput!$B:$E,4,0)))</f>
        <v>0.054776304963434752</v>
      </c>
      <c r="W1972" s="85">
        <f>IF(B1972="",0,+$T1972*$V1972)</f>
        <v>0.016895845108678674</v>
      </c>
      <c r="X1972" s="85">
        <f>IF(B1972="",0,IF(OR(H1972=MappingTables!$C$34,H1972=MappingTables!$C$35),W1972,0))</f>
        <v>0</v>
      </c>
    </row>
    <row r="1973" spans="2:24" s="0" customFormat="0" ht="15">
      <c r="B1973" s="69" t="s">
        <v>1594</v>
      </c>
      <c r="C1973" s="70" t="s">
        <v>1595</v>
      </c>
      <c r="D1973" s="70" t="s">
        <v>1</v>
      </c>
      <c r="E1973" s="70" t="s">
        <v>1</v>
      </c>
      <c r="F1973" s="70"/>
      <c r="G1973" s="70" t="s">
        <v>61</v>
      </c>
      <c r="H1973" s="70" t="s">
        <v>178</v>
      </c>
      <c r="I1973" s="70" t="s">
        <v>181</v>
      </c>
      <c r="J1973" s="71">
        <f>IF(OR(I1973=0,I1973=""),"unrated",VLOOKUP(I1973,MappingTables!$B$19:$C$31,2,FALSE))</f>
        <v>3</v>
      </c>
      <c r="K1973" s="72">
        <v>1104.7787976154202</v>
      </c>
      <c r="L1973" s="70">
        <v>0.13698399046256988</v>
      </c>
      <c r="M1973" s="71">
        <f>IF(L1973&lt;1,1,L1973)</f>
        <v>1</v>
      </c>
      <c r="N1973" s="70" t="s">
        <v>141</v>
      </c>
      <c r="O1973" s="71">
        <f>INDEX(DurClassMapping,MATCH(M1973,MappingTables!$D$4:$D$8,-1),1)</f>
        <v>1</v>
      </c>
      <c r="P1973" s="73">
        <f>IF(M1973=$A$1,1,$M1973-INDEX(MappingTables!$E$4:$E$8,MATCH(O1973,MappingTables!$B$4:$B$8,0)))</f>
        <v>1</v>
      </c>
      <c r="Q1973" s="71">
        <f>IF(B1973="",0,INDEX(ModelParameters!$D$6:$K$10,MATCH($O1973,ModelParameters!$B$6:$B$10,0),MATCH($J1973,ModelParameters!$D$5:$K$5,0)))</f>
        <v>0.025</v>
      </c>
      <c r="R1973" s="71">
        <f>IF(B1973="",0,INDEX(ModelParameters!$D$13:$K$17,MATCH($O1973,ModelParameters!$B$13:$B$17,0),MATCH($J1973,ModelParameters!$D$5:$K$5,0)))</f>
        <v>0</v>
      </c>
      <c r="S1973" s="160">
        <f>IF(B1973="",0,MIN(IF($N1973="Other Bond TM",ModelParameters!$N$21,1)*(P1973*Q1973+R1973),1))</f>
        <v>0.025</v>
      </c>
      <c r="T1973" s="85">
        <f>IF(B1973="",0,$S1973*$K1973)</f>
        <v>27.619469940385508</v>
      </c>
      <c r="U1973" s="85">
        <f>IF(B1973="",0,IF(OR(H1973=MappingTables!$C$34,H1973=MappingTables!$C$35),T1973,0))</f>
        <v>0</v>
      </c>
      <c r="V1973" s="85">
        <f>IF(ISNA(IF(AND(VLOOKUP(CONCATENATE($D1973,$G1973),CSRFinput!$B:$E,4,0)=0,OR(H1973=MappingTables!$C$34,H1973=MappingTables!$C$35)),1,VLOOKUP(CONCATENATE($D1973,$G1973),CSRFinput!$B:$E,4,0))),0,IF(AND(VLOOKUP(CONCATENATE($D1973,$G1973),CSRFinput!$B:$E,4,0)=0,OR(H1973=MappingTables!$C$34,H1973=MappingTables!$C$35)),1,VLOOKUP(CONCATENATE($D1973,$G1973),CSRFinput!$B:$E,4,0)))</f>
        <v>0.054776304963434752</v>
      </c>
      <c r="W1973" s="85">
        <f>IF(B1973="",0,+$T1973*$V1973)</f>
        <v>1.5128925083829756</v>
      </c>
      <c r="X1973" s="85">
        <f>IF(B1973="",0,IF(OR(H1973=MappingTables!$C$34,H1973=MappingTables!$C$35),W1973,0))</f>
        <v>0</v>
      </c>
    </row>
    <row r="1974" spans="2:24" s="0" customFormat="0" ht="15">
      <c r="B1974" s="69">
        <v>20253637</v>
      </c>
      <c r="C1974" s="70" t="s">
        <v>2122</v>
      </c>
      <c r="D1974" s="70" t="s">
        <v>1</v>
      </c>
      <c r="E1974" s="70" t="s">
        <v>1</v>
      </c>
      <c r="F1974" s="70"/>
      <c r="G1974" s="70" t="s">
        <v>61</v>
      </c>
      <c r="H1974" s="70" t="s">
        <v>178</v>
      </c>
      <c r="I1974" s="70" t="s">
        <v>188</v>
      </c>
      <c r="J1974" s="71">
        <f>IF(OR(I1974=0,I1974=""),"unrated",VLOOKUP(I1974,MappingTables!$B$19:$C$31,2,FALSE))</f>
        <v>2</v>
      </c>
      <c r="K1974" s="72">
        <v>1380.33398296128</v>
      </c>
      <c r="L1974" s="70">
        <v>18.111069521811416</v>
      </c>
      <c r="M1974" s="71">
        <f>IF(L1974&lt;1,1,L1974)</f>
        <v>18.111069521811416</v>
      </c>
      <c r="N1974" s="70" t="s">
        <v>141</v>
      </c>
      <c r="O1974" s="71">
        <f>INDEX(DurClassMapping,MATCH(M1974,MappingTables!$D$4:$D$8,-1),1)</f>
        <v>4</v>
      </c>
      <c r="P1974" s="73">
        <f>IF(M1974=$A$1,1,$M1974-INDEX(MappingTables!$E$4:$E$8,MATCH(O1974,MappingTables!$B$4:$B$8,0)))</f>
        <v>3.111069521811416</v>
      </c>
      <c r="Q1974" s="71">
        <f>IF(B1974="",0,INDEX(ModelParameters!$D$6:$K$10,MATCH($O1974,ModelParameters!$B$6:$B$10,0),MATCH($J1974,ModelParameters!$D$5:$K$5,0)))</f>
        <v>0.005</v>
      </c>
      <c r="R1974" s="71">
        <f>IF(B1974="",0,INDEX(ModelParameters!$D$13:$K$17,MATCH($O1974,ModelParameters!$B$13:$B$17,0),MATCH($J1974,ModelParameters!$D$5:$K$5,0)))</f>
        <v>0.13</v>
      </c>
      <c r="S1974" s="160">
        <f>IF(B1974="",0,MIN(IF($N1974="Other Bond TM",ModelParameters!$N$21,1)*(P1974*Q1974+R1974),1))</f>
        <v>0.14555534760905708</v>
      </c>
      <c r="T1974" s="85">
        <f>IF(B1974="",0,$S1974*$K1974)</f>
        <v>200.9149927065234</v>
      </c>
      <c r="U1974" s="85">
        <f>IF(B1974="",0,IF(OR(H1974=MappingTables!$C$34,H1974=MappingTables!$C$35),T1974,0))</f>
        <v>0</v>
      </c>
      <c r="V1974" s="85">
        <f>IF(ISNA(IF(AND(VLOOKUP(CONCATENATE($D1974,$G1974),CSRFinput!$B:$E,4,0)=0,OR(H1974=MappingTables!$C$34,H1974=MappingTables!$C$35)),1,VLOOKUP(CONCATENATE($D1974,$G1974),CSRFinput!$B:$E,4,0))),0,IF(AND(VLOOKUP(CONCATENATE($D1974,$G1974),CSRFinput!$B:$E,4,0)=0,OR(H1974=MappingTables!$C$34,H1974=MappingTables!$C$35)),1,VLOOKUP(CONCATENATE($D1974,$G1974),CSRFinput!$B:$E,4,0)))</f>
        <v>0.054776304963434752</v>
      </c>
      <c r="W1974" s="85">
        <f>IF(B1974="",0,+$T1974*$V1974)</f>
        <v>11.005380912218796</v>
      </c>
      <c r="X1974" s="85">
        <f>IF(B1974="",0,IF(OR(H1974=MappingTables!$C$34,H1974=MappingTables!$C$35),W1974,0))</f>
        <v>0</v>
      </c>
    </row>
    <row r="1975" spans="2:24" s="0" customFormat="0" ht="15">
      <c r="B1975" s="69">
        <v>21024822</v>
      </c>
      <c r="C1975" s="70" t="s">
        <v>2123</v>
      </c>
      <c r="D1975" s="70" t="s">
        <v>1</v>
      </c>
      <c r="E1975" s="70" t="s">
        <v>1</v>
      </c>
      <c r="F1975" s="70"/>
      <c r="G1975" s="70" t="s">
        <v>61</v>
      </c>
      <c r="H1975" s="70" t="s">
        <v>178</v>
      </c>
      <c r="I1975" s="70" t="s">
        <v>188</v>
      </c>
      <c r="J1975" s="71">
        <f>IF(OR(I1975=0,I1975=""),"unrated",VLOOKUP(I1975,MappingTables!$B$19:$C$31,2,FALSE))</f>
        <v>2</v>
      </c>
      <c r="K1975" s="72">
        <v>4718.6278823170568</v>
      </c>
      <c r="L1975" s="70">
        <v>3.6480103899481392</v>
      </c>
      <c r="M1975" s="71">
        <f>IF(L1975&lt;1,1,L1975)</f>
        <v>3.6480103899481392</v>
      </c>
      <c r="N1975" s="70" t="s">
        <v>141</v>
      </c>
      <c r="O1975" s="71">
        <f>INDEX(DurClassMapping,MATCH(M1975,MappingTables!$D$4:$D$8,-1),1)</f>
        <v>1</v>
      </c>
      <c r="P1975" s="73">
        <f>IF(M1975=$A$1,1,$M1975-INDEX(MappingTables!$E$4:$E$8,MATCH(O1975,MappingTables!$B$4:$B$8,0)))</f>
        <v>3.6480103899481392</v>
      </c>
      <c r="Q1975" s="71">
        <f>IF(B1975="",0,INDEX(ModelParameters!$D$6:$K$10,MATCH($O1975,ModelParameters!$B$6:$B$10,0),MATCH($J1975,ModelParameters!$D$5:$K$5,0)))</f>
        <v>0.013999999999999998</v>
      </c>
      <c r="R1975" s="71">
        <f>IF(B1975="",0,INDEX(ModelParameters!$D$13:$K$17,MATCH($O1975,ModelParameters!$B$13:$B$17,0),MATCH($J1975,ModelParameters!$D$5:$K$5,0)))</f>
        <v>0</v>
      </c>
      <c r="S1975" s="160">
        <f>IF(B1975="",0,MIN(IF($N1975="Other Bond TM",ModelParameters!$N$21,1)*(P1975*Q1975+R1975),1))</f>
        <v>0.051072145459273936</v>
      </c>
      <c r="T1975" s="85">
        <f>IF(B1975="",0,$S1975*$K1975)</f>
        <v>240.99044957388248</v>
      </c>
      <c r="U1975" s="85">
        <f>IF(B1975="",0,IF(OR(H1975=MappingTables!$C$34,H1975=MappingTables!$C$35),T1975,0))</f>
        <v>0</v>
      </c>
      <c r="V1975" s="85">
        <f>IF(ISNA(IF(AND(VLOOKUP(CONCATENATE($D1975,$G1975),CSRFinput!$B:$E,4,0)=0,OR(H1975=MappingTables!$C$34,H1975=MappingTables!$C$35)),1,VLOOKUP(CONCATENATE($D1975,$G1975),CSRFinput!$B:$E,4,0))),0,IF(AND(VLOOKUP(CONCATENATE($D1975,$G1975),CSRFinput!$B:$E,4,0)=0,OR(H1975=MappingTables!$C$34,H1975=MappingTables!$C$35)),1,VLOOKUP(CONCATENATE($D1975,$G1975),CSRFinput!$B:$E,4,0)))</f>
        <v>0.054776304963434752</v>
      </c>
      <c r="W1975" s="85">
        <f>IF(B1975="",0,+$T1975*$V1975)</f>
        <v>13.200566359134232</v>
      </c>
      <c r="X1975" s="85">
        <f>IF(B1975="",0,IF(OR(H1975=MappingTables!$C$34,H1975=MappingTables!$C$35),W1975,0))</f>
        <v>0</v>
      </c>
    </row>
    <row r="1976" spans="2:24" s="0" customFormat="0" ht="15">
      <c r="B1976" s="69">
        <v>8903954</v>
      </c>
      <c r="C1976" s="70" t="s">
        <v>2124</v>
      </c>
      <c r="D1976" s="70" t="s">
        <v>1</v>
      </c>
      <c r="E1976" s="70" t="s">
        <v>1</v>
      </c>
      <c r="F1976" s="70"/>
      <c r="G1976" s="70" t="s">
        <v>61</v>
      </c>
      <c r="H1976" s="70" t="s">
        <v>178</v>
      </c>
      <c r="I1976" s="70" t="s">
        <v>181</v>
      </c>
      <c r="J1976" s="71">
        <f>IF(OR(I1976=0,I1976=""),"unrated",VLOOKUP(I1976,MappingTables!$B$19:$C$31,2,FALSE))</f>
        <v>3</v>
      </c>
      <c r="K1976" s="72">
        <v>1220.1138296637598</v>
      </c>
      <c r="L1976" s="70">
        <v>3.2857779638282892</v>
      </c>
      <c r="M1976" s="71">
        <f>IF(L1976&lt;1,1,L1976)</f>
        <v>3.2857779638282892</v>
      </c>
      <c r="N1976" s="70" t="s">
        <v>141</v>
      </c>
      <c r="O1976" s="71">
        <f>INDEX(DurClassMapping,MATCH(M1976,MappingTables!$D$4:$D$8,-1),1)</f>
        <v>1</v>
      </c>
      <c r="P1976" s="73">
        <f>IF(M1976=$A$1,1,$M1976-INDEX(MappingTables!$E$4:$E$8,MATCH(O1976,MappingTables!$B$4:$B$8,0)))</f>
        <v>3.2857779638282892</v>
      </c>
      <c r="Q1976" s="71">
        <f>IF(B1976="",0,INDEX(ModelParameters!$D$6:$K$10,MATCH($O1976,ModelParameters!$B$6:$B$10,0),MATCH($J1976,ModelParameters!$D$5:$K$5,0)))</f>
        <v>0.025</v>
      </c>
      <c r="R1976" s="71">
        <f>IF(B1976="",0,INDEX(ModelParameters!$D$13:$K$17,MATCH($O1976,ModelParameters!$B$13:$B$17,0),MATCH($J1976,ModelParameters!$D$5:$K$5,0)))</f>
        <v>0</v>
      </c>
      <c r="S1976" s="160">
        <f>IF(B1976="",0,MIN(IF($N1976="Other Bond TM",ModelParameters!$N$21,1)*(P1976*Q1976+R1976),1))</f>
        <v>0.082144449095707232</v>
      </c>
      <c r="T1976" s="85">
        <f>IF(B1976="",0,$S1976*$K1976)</f>
        <v>100.22557837178312</v>
      </c>
      <c r="U1976" s="85">
        <f>IF(B1976="",0,IF(OR(H1976=MappingTables!$C$34,H1976=MappingTables!$C$35),T1976,0))</f>
        <v>0</v>
      </c>
      <c r="V1976" s="85">
        <f>IF(ISNA(IF(AND(VLOOKUP(CONCATENATE($D1976,$G1976),CSRFinput!$B:$E,4,0)=0,OR(H1976=MappingTables!$C$34,H1976=MappingTables!$C$35)),1,VLOOKUP(CONCATENATE($D1976,$G1976),CSRFinput!$B:$E,4,0))),0,IF(AND(VLOOKUP(CONCATENATE($D1976,$G1976),CSRFinput!$B:$E,4,0)=0,OR(H1976=MappingTables!$C$34,H1976=MappingTables!$C$35)),1,VLOOKUP(CONCATENATE($D1976,$G1976),CSRFinput!$B:$E,4,0)))</f>
        <v>0.054776304963434752</v>
      </c>
      <c r="W1976" s="85">
        <f>IF(B1976="",0,+$T1976*$V1976)</f>
        <v>5.4899868460294224</v>
      </c>
      <c r="X1976" s="85">
        <f>IF(B1976="",0,IF(OR(H1976=MappingTables!$C$34,H1976=MappingTables!$C$35),W1976,0))</f>
        <v>0</v>
      </c>
    </row>
    <row r="1977" spans="2:24" s="0" customFormat="0" ht="15">
      <c r="B1977" s="69">
        <v>4359338</v>
      </c>
      <c r="C1977" s="70" t="s">
        <v>2125</v>
      </c>
      <c r="D1977" s="70" t="s">
        <v>1</v>
      </c>
      <c r="E1977" s="70" t="s">
        <v>1</v>
      </c>
      <c r="F1977" s="70"/>
      <c r="G1977" s="70" t="s">
        <v>61</v>
      </c>
      <c r="H1977" s="70" t="s">
        <v>178</v>
      </c>
      <c r="I1977" s="70" t="s">
        <v>188</v>
      </c>
      <c r="J1977" s="71">
        <f>IF(OR(I1977=0,I1977=""),"unrated",VLOOKUP(I1977,MappingTables!$B$19:$C$31,2,FALSE))</f>
        <v>2</v>
      </c>
      <c r="K1977" s="72">
        <v>2236331.024169922</v>
      </c>
      <c r="L1977" s="70">
        <v>3.0111246444208352</v>
      </c>
      <c r="M1977" s="71">
        <f>IF(L1977&lt;1,1,L1977)</f>
        <v>3.0111246444208352</v>
      </c>
      <c r="N1977" s="70" t="s">
        <v>141</v>
      </c>
      <c r="O1977" s="71">
        <f>INDEX(DurClassMapping,MATCH(M1977,MappingTables!$D$4:$D$8,-1),1)</f>
        <v>1</v>
      </c>
      <c r="P1977" s="73">
        <f>IF(M1977=$A$1,1,$M1977-INDEX(MappingTables!$E$4:$E$8,MATCH(O1977,MappingTables!$B$4:$B$8,0)))</f>
        <v>3.0111246444208352</v>
      </c>
      <c r="Q1977" s="71">
        <f>IF(B1977="",0,INDEX(ModelParameters!$D$6:$K$10,MATCH($O1977,ModelParameters!$B$6:$B$10,0),MATCH($J1977,ModelParameters!$D$5:$K$5,0)))</f>
        <v>0.013999999999999998</v>
      </c>
      <c r="R1977" s="71">
        <f>IF(B1977="",0,INDEX(ModelParameters!$D$13:$K$17,MATCH($O1977,ModelParameters!$B$13:$B$17,0),MATCH($J1977,ModelParameters!$D$5:$K$5,0)))</f>
        <v>0</v>
      </c>
      <c r="S1977" s="160">
        <f>IF(B1977="",0,MIN(IF($N1977="Other Bond TM",ModelParameters!$N$21,1)*(P1977*Q1977+R1977),1))</f>
        <v>0.042155745021891688</v>
      </c>
      <c r="T1977" s="85">
        <f>IF(B1977="",0,$S1977*$K1977)</f>
        <v>94274.200439453104</v>
      </c>
      <c r="U1977" s="85">
        <f>IF(B1977="",0,IF(OR(H1977=MappingTables!$C$34,H1977=MappingTables!$C$35),T1977,0))</f>
        <v>0</v>
      </c>
      <c r="V1977" s="85">
        <f>IF(ISNA(IF(AND(VLOOKUP(CONCATENATE($D1977,$G1977),CSRFinput!$B:$E,4,0)=0,OR(H1977=MappingTables!$C$34,H1977=MappingTables!$C$35)),1,VLOOKUP(CONCATENATE($D1977,$G1977),CSRFinput!$B:$E,4,0))),0,IF(AND(VLOOKUP(CONCATENATE($D1977,$G1977),CSRFinput!$B:$E,4,0)=0,OR(H1977=MappingTables!$C$34,H1977=MappingTables!$C$35)),1,VLOOKUP(CONCATENATE($D1977,$G1977),CSRFinput!$B:$E,4,0)))</f>
        <v>0.054776304963434752</v>
      </c>
      <c r="W1977" s="85">
        <f>IF(B1977="",0,+$T1977*$V1977)</f>
        <v>5163.9923534554584</v>
      </c>
      <c r="X1977" s="85">
        <f>IF(B1977="",0,IF(OR(H1977=MappingTables!$C$34,H1977=MappingTables!$C$35),W1977,0))</f>
        <v>0</v>
      </c>
    </row>
    <row r="1978" spans="2:24" s="0" customFormat="0" ht="15">
      <c r="B1978" s="69">
        <v>12633911</v>
      </c>
      <c r="C1978" s="70" t="s">
        <v>2126</v>
      </c>
      <c r="D1978" s="70" t="s">
        <v>1</v>
      </c>
      <c r="E1978" s="70" t="s">
        <v>1</v>
      </c>
      <c r="F1978" s="70"/>
      <c r="G1978" s="70" t="s">
        <v>61</v>
      </c>
      <c r="H1978" s="70" t="s">
        <v>178</v>
      </c>
      <c r="I1978" s="70" t="s">
        <v>220</v>
      </c>
      <c r="J1978" s="71">
        <f>IF(OR(I1978=0,I1978=""),"unrated",VLOOKUP(I1978,MappingTables!$B$19:$C$31,2,FALSE))</f>
        <v>1</v>
      </c>
      <c r="K1978" s="72">
        <v>448.57818232240056</v>
      </c>
      <c r="L1978" s="70">
        <v>0.76130128597780704</v>
      </c>
      <c r="M1978" s="71">
        <f>IF(L1978&lt;1,1,L1978)</f>
        <v>1</v>
      </c>
      <c r="N1978" s="70" t="s">
        <v>141</v>
      </c>
      <c r="O1978" s="71">
        <f>INDEX(DurClassMapping,MATCH(M1978,MappingTables!$D$4:$D$8,-1),1)</f>
        <v>1</v>
      </c>
      <c r="P1978" s="73">
        <f>IF(M1978=$A$1,1,$M1978-INDEX(MappingTables!$E$4:$E$8,MATCH(O1978,MappingTables!$B$4:$B$8,0)))</f>
        <v>1</v>
      </c>
      <c r="Q1978" s="71">
        <f>IF(B1978="",0,INDEX(ModelParameters!$D$6:$K$10,MATCH($O1978,ModelParameters!$B$6:$B$10,0),MATCH($J1978,ModelParameters!$D$5:$K$5,0)))</f>
        <v>0.011000000000000002</v>
      </c>
      <c r="R1978" s="71">
        <f>IF(B1978="",0,INDEX(ModelParameters!$D$13:$K$17,MATCH($O1978,ModelParameters!$B$13:$B$17,0),MATCH($J1978,ModelParameters!$D$5:$K$5,0)))</f>
        <v>0</v>
      </c>
      <c r="S1978" s="160">
        <f>IF(B1978="",0,MIN(IF($N1978="Other Bond TM",ModelParameters!$N$21,1)*(P1978*Q1978+R1978),1))</f>
        <v>0.011000000000000002</v>
      </c>
      <c r="T1978" s="85">
        <f>IF(B1978="",0,$S1978*$K1978)</f>
        <v>4.9343600055464064</v>
      </c>
      <c r="U1978" s="85">
        <f>IF(B1978="",0,IF(OR(H1978=MappingTables!$C$34,H1978=MappingTables!$C$35),T1978,0))</f>
        <v>0</v>
      </c>
      <c r="V1978" s="85">
        <f>IF(ISNA(IF(AND(VLOOKUP(CONCATENATE($D1978,$G1978),CSRFinput!$B:$E,4,0)=0,OR(H1978=MappingTables!$C$34,H1978=MappingTables!$C$35)),1,VLOOKUP(CONCATENATE($D1978,$G1978),CSRFinput!$B:$E,4,0))),0,IF(AND(VLOOKUP(CONCATENATE($D1978,$G1978),CSRFinput!$B:$E,4,0)=0,OR(H1978=MappingTables!$C$34,H1978=MappingTables!$C$35)),1,VLOOKUP(CONCATENATE($D1978,$G1978),CSRFinput!$B:$E,4,0)))</f>
        <v>0.054776304963434752</v>
      </c>
      <c r="W1978" s="85">
        <f>IF(B1978="",0,+$T1978*$V1978)</f>
        <v>0.27028600846318556</v>
      </c>
      <c r="X1978" s="85">
        <f>IF(B1978="",0,IF(OR(H1978=MappingTables!$C$34,H1978=MappingTables!$C$35),W1978,0))</f>
        <v>0</v>
      </c>
    </row>
    <row r="1979" spans="2:24" s="0" customFormat="0" ht="15">
      <c r="B1979" s="69">
        <v>19837924</v>
      </c>
      <c r="C1979" s="70" t="s">
        <v>2127</v>
      </c>
      <c r="D1979" s="70" t="s">
        <v>1</v>
      </c>
      <c r="E1979" s="70" t="s">
        <v>1</v>
      </c>
      <c r="F1979" s="70"/>
      <c r="G1979" s="70" t="s">
        <v>61</v>
      </c>
      <c r="H1979" s="70" t="s">
        <v>178</v>
      </c>
      <c r="I1979" s="70" t="s">
        <v>184</v>
      </c>
      <c r="J1979" s="71">
        <f>IF(OR(I1979=0,I1979=""),"unrated",VLOOKUP(I1979,MappingTables!$B$19:$C$31,2,FALSE))</f>
        <v>5</v>
      </c>
      <c r="K1979" s="72">
        <v>145.16604698787302</v>
      </c>
      <c r="L1979" s="70">
        <v>0.4054815480455128</v>
      </c>
      <c r="M1979" s="71">
        <f>IF(L1979&lt;1,1,L1979)</f>
        <v>1</v>
      </c>
      <c r="N1979" s="70" t="s">
        <v>141</v>
      </c>
      <c r="O1979" s="71">
        <f>INDEX(DurClassMapping,MATCH(M1979,MappingTables!$D$4:$D$8,-1),1)</f>
        <v>1</v>
      </c>
      <c r="P1979" s="73">
        <f>IF(M1979=$A$1,1,$M1979-INDEX(MappingTables!$E$4:$E$8,MATCH(O1979,MappingTables!$B$4:$B$8,0)))</f>
        <v>1</v>
      </c>
      <c r="Q1979" s="71">
        <f>IF(B1979="",0,INDEX(ModelParameters!$D$6:$K$10,MATCH($O1979,ModelParameters!$B$6:$B$10,0),MATCH($J1979,ModelParameters!$D$5:$K$5,0)))</f>
        <v>0.075</v>
      </c>
      <c r="R1979" s="71">
        <f>IF(B1979="",0,INDEX(ModelParameters!$D$13:$K$17,MATCH($O1979,ModelParameters!$B$13:$B$17,0),MATCH($J1979,ModelParameters!$D$5:$K$5,0)))</f>
        <v>0</v>
      </c>
      <c r="S1979" s="160">
        <f>IF(B1979="",0,MIN(IF($N1979="Other Bond TM",ModelParameters!$N$21,1)*(P1979*Q1979+R1979),1))</f>
        <v>0.075</v>
      </c>
      <c r="T1979" s="85">
        <f>IF(B1979="",0,$S1979*$K1979)</f>
        <v>10.887453524090476</v>
      </c>
      <c r="U1979" s="85">
        <f>IF(B1979="",0,IF(OR(H1979=MappingTables!$C$34,H1979=MappingTables!$C$35),T1979,0))</f>
        <v>0</v>
      </c>
      <c r="V1979" s="85">
        <f>IF(ISNA(IF(AND(VLOOKUP(CONCATENATE($D1979,$G1979),CSRFinput!$B:$E,4,0)=0,OR(H1979=MappingTables!$C$34,H1979=MappingTables!$C$35)),1,VLOOKUP(CONCATENATE($D1979,$G1979),CSRFinput!$B:$E,4,0))),0,IF(AND(VLOOKUP(CONCATENATE($D1979,$G1979),CSRFinput!$B:$E,4,0)=0,OR(H1979=MappingTables!$C$34,H1979=MappingTables!$C$35)),1,VLOOKUP(CONCATENATE($D1979,$G1979),CSRFinput!$B:$E,4,0)))</f>
        <v>0.054776304963434752</v>
      </c>
      <c r="W1979" s="85">
        <f>IF(B1979="",0,+$T1979*$V1979)</f>
        <v>0.5963744745108024</v>
      </c>
      <c r="X1979" s="85">
        <f>IF(B1979="",0,IF(OR(H1979=MappingTables!$C$34,H1979=MappingTables!$C$35),W1979,0))</f>
        <v>0</v>
      </c>
    </row>
    <row r="1980" spans="2:24" s="0" customFormat="0" ht="15">
      <c r="B1980" s="69">
        <v>17296039</v>
      </c>
      <c r="C1980" s="70" t="s">
        <v>2128</v>
      </c>
      <c r="D1980" s="70" t="s">
        <v>1</v>
      </c>
      <c r="E1980" s="70" t="s">
        <v>1</v>
      </c>
      <c r="F1980" s="70"/>
      <c r="G1980" s="70" t="s">
        <v>61</v>
      </c>
      <c r="H1980" s="70" t="s">
        <v>178</v>
      </c>
      <c r="I1980" s="70" t="s">
        <v>181</v>
      </c>
      <c r="J1980" s="71">
        <f>IF(OR(I1980=0,I1980=""),"unrated",VLOOKUP(I1980,MappingTables!$B$19:$C$31,2,FALSE))</f>
        <v>3</v>
      </c>
      <c r="K1980" s="72">
        <v>4091.0777967454352</v>
      </c>
      <c r="L1980" s="70">
        <v>2.1699861217137096</v>
      </c>
      <c r="M1980" s="71">
        <f>IF(L1980&lt;1,1,L1980)</f>
        <v>2.1699861217137096</v>
      </c>
      <c r="N1980" s="70" t="s">
        <v>141</v>
      </c>
      <c r="O1980" s="71">
        <f>INDEX(DurClassMapping,MATCH(M1980,MappingTables!$D$4:$D$8,-1),1)</f>
        <v>1</v>
      </c>
      <c r="P1980" s="73">
        <f>IF(M1980=$A$1,1,$M1980-INDEX(MappingTables!$E$4:$E$8,MATCH(O1980,MappingTables!$B$4:$B$8,0)))</f>
        <v>2.1699861217137096</v>
      </c>
      <c r="Q1980" s="71">
        <f>IF(B1980="",0,INDEX(ModelParameters!$D$6:$K$10,MATCH($O1980,ModelParameters!$B$6:$B$10,0),MATCH($J1980,ModelParameters!$D$5:$K$5,0)))</f>
        <v>0.025</v>
      </c>
      <c r="R1980" s="71">
        <f>IF(B1980="",0,INDEX(ModelParameters!$D$13:$K$17,MATCH($O1980,ModelParameters!$B$13:$B$17,0),MATCH($J1980,ModelParameters!$D$5:$K$5,0)))</f>
        <v>0</v>
      </c>
      <c r="S1980" s="160">
        <f>IF(B1980="",0,MIN(IF($N1980="Other Bond TM",ModelParameters!$N$21,1)*(P1980*Q1980+R1980),1))</f>
        <v>0.054249653042842736</v>
      </c>
      <c r="T1980" s="85">
        <f>IF(B1980="",0,$S1980*$K1980)</f>
        <v>221.93955104471736</v>
      </c>
      <c r="U1980" s="85">
        <f>IF(B1980="",0,IF(OR(H1980=MappingTables!$C$34,H1980=MappingTables!$C$35),T1980,0))</f>
        <v>0</v>
      </c>
      <c r="V1980" s="85">
        <f>IF(ISNA(IF(AND(VLOOKUP(CONCATENATE($D1980,$G1980),CSRFinput!$B:$E,4,0)=0,OR(H1980=MappingTables!$C$34,H1980=MappingTables!$C$35)),1,VLOOKUP(CONCATENATE($D1980,$G1980),CSRFinput!$B:$E,4,0))),0,IF(AND(VLOOKUP(CONCATENATE($D1980,$G1980),CSRFinput!$B:$E,4,0)=0,OR(H1980=MappingTables!$C$34,H1980=MappingTables!$C$35)),1,VLOOKUP(CONCATENATE($D1980,$G1980),CSRFinput!$B:$E,4,0)))</f>
        <v>0.054776304963434752</v>
      </c>
      <c r="W1980" s="85">
        <f>IF(B1980="",0,+$T1980*$V1980)</f>
        <v>12.157028531473234</v>
      </c>
      <c r="X1980" s="85">
        <f>IF(B1980="",0,IF(OR(H1980=MappingTables!$C$34,H1980=MappingTables!$C$35),W1980,0))</f>
        <v>0</v>
      </c>
    </row>
    <row r="1981" spans="2:24" s="0" customFormat="0" ht="15">
      <c r="B1981" s="69">
        <v>24191440</v>
      </c>
      <c r="C1981" s="70" t="s">
        <v>2129</v>
      </c>
      <c r="D1981" s="70" t="s">
        <v>1</v>
      </c>
      <c r="E1981" s="70" t="s">
        <v>1</v>
      </c>
      <c r="F1981" s="70"/>
      <c r="G1981" s="70" t="s">
        <v>61</v>
      </c>
      <c r="H1981" s="70" t="s">
        <v>178</v>
      </c>
      <c r="I1981" s="70" t="s">
        <v>188</v>
      </c>
      <c r="J1981" s="71">
        <f>IF(OR(I1981=0,I1981=""),"unrated",VLOOKUP(I1981,MappingTables!$B$19:$C$31,2,FALSE))</f>
        <v>2</v>
      </c>
      <c r="K1981" s="72">
        <v>42.882104938250304</v>
      </c>
      <c r="L1981" s="70">
        <v>2.6365563683815004</v>
      </c>
      <c r="M1981" s="71">
        <f>IF(L1981&lt;1,1,L1981)</f>
        <v>2.6365563683815004</v>
      </c>
      <c r="N1981" s="70" t="s">
        <v>141</v>
      </c>
      <c r="O1981" s="71">
        <f>INDEX(DurClassMapping,MATCH(M1981,MappingTables!$D$4:$D$8,-1),1)</f>
        <v>1</v>
      </c>
      <c r="P1981" s="73">
        <f>IF(M1981=$A$1,1,$M1981-INDEX(MappingTables!$E$4:$E$8,MATCH(O1981,MappingTables!$B$4:$B$8,0)))</f>
        <v>2.6365563683815004</v>
      </c>
      <c r="Q1981" s="71">
        <f>IF(B1981="",0,INDEX(ModelParameters!$D$6:$K$10,MATCH($O1981,ModelParameters!$B$6:$B$10,0),MATCH($J1981,ModelParameters!$D$5:$K$5,0)))</f>
        <v>0.013999999999999998</v>
      </c>
      <c r="R1981" s="71">
        <f>IF(B1981="",0,INDEX(ModelParameters!$D$13:$K$17,MATCH($O1981,ModelParameters!$B$13:$B$17,0),MATCH($J1981,ModelParameters!$D$5:$K$5,0)))</f>
        <v>0</v>
      </c>
      <c r="S1981" s="160">
        <f>IF(B1981="",0,MIN(IF($N1981="Other Bond TM",ModelParameters!$N$21,1)*(P1981*Q1981+R1981),1))</f>
        <v>0.036911789157341</v>
      </c>
      <c r="T1981" s="85">
        <f>IF(B1981="",0,$S1981*$K1981)</f>
        <v>1.5828552161036666</v>
      </c>
      <c r="U1981" s="85">
        <f>IF(B1981="",0,IF(OR(H1981=MappingTables!$C$34,H1981=MappingTables!$C$35),T1981,0))</f>
        <v>0</v>
      </c>
      <c r="V1981" s="85">
        <f>IF(ISNA(IF(AND(VLOOKUP(CONCATENATE($D1981,$G1981),CSRFinput!$B:$E,4,0)=0,OR(H1981=MappingTables!$C$34,H1981=MappingTables!$C$35)),1,VLOOKUP(CONCATENATE($D1981,$G1981),CSRFinput!$B:$E,4,0))),0,IF(AND(VLOOKUP(CONCATENATE($D1981,$G1981),CSRFinput!$B:$E,4,0)=0,OR(H1981=MappingTables!$C$34,H1981=MappingTables!$C$35)),1,VLOOKUP(CONCATENATE($D1981,$G1981),CSRFinput!$B:$E,4,0)))</f>
        <v>0.054776304963434752</v>
      </c>
      <c r="W1981" s="85">
        <f>IF(B1981="",0,+$T1981*$V1981)</f>
        <v>0.086702960030257856</v>
      </c>
      <c r="X1981" s="85">
        <f>IF(B1981="",0,IF(OR(H1981=MappingTables!$C$34,H1981=MappingTables!$C$35),W1981,0))</f>
        <v>0</v>
      </c>
    </row>
    <row r="1982" spans="2:24" s="0" customFormat="0" ht="15">
      <c r="B1982" s="69">
        <v>19003893</v>
      </c>
      <c r="C1982" s="70" t="s">
        <v>2130</v>
      </c>
      <c r="D1982" s="70" t="s">
        <v>1</v>
      </c>
      <c r="E1982" s="70" t="s">
        <v>1</v>
      </c>
      <c r="F1982" s="70"/>
      <c r="G1982" s="70" t="s">
        <v>61</v>
      </c>
      <c r="H1982" s="70" t="s">
        <v>178</v>
      </c>
      <c r="I1982" s="70" t="s">
        <v>181</v>
      </c>
      <c r="J1982" s="71">
        <f>IF(OR(I1982=0,I1982=""),"unrated",VLOOKUP(I1982,MappingTables!$B$19:$C$31,2,FALSE))</f>
        <v>3</v>
      </c>
      <c r="K1982" s="72">
        <v>1018.2268414753836</v>
      </c>
      <c r="L1982" s="70">
        <v>1.066965292554344</v>
      </c>
      <c r="M1982" s="71">
        <f>IF(L1982&lt;1,1,L1982)</f>
        <v>1.066965292554344</v>
      </c>
      <c r="N1982" s="70" t="s">
        <v>141</v>
      </c>
      <c r="O1982" s="71">
        <f>INDEX(DurClassMapping,MATCH(M1982,MappingTables!$D$4:$D$8,-1),1)</f>
        <v>1</v>
      </c>
      <c r="P1982" s="73">
        <f>IF(M1982=$A$1,1,$M1982-INDEX(MappingTables!$E$4:$E$8,MATCH(O1982,MappingTables!$B$4:$B$8,0)))</f>
        <v>1.066965292554344</v>
      </c>
      <c r="Q1982" s="71">
        <f>IF(B1982="",0,INDEX(ModelParameters!$D$6:$K$10,MATCH($O1982,ModelParameters!$B$6:$B$10,0),MATCH($J1982,ModelParameters!$D$5:$K$5,0)))</f>
        <v>0.025</v>
      </c>
      <c r="R1982" s="71">
        <f>IF(B1982="",0,INDEX(ModelParameters!$D$13:$K$17,MATCH($O1982,ModelParameters!$B$13:$B$17,0),MATCH($J1982,ModelParameters!$D$5:$K$5,0)))</f>
        <v>0</v>
      </c>
      <c r="S1982" s="160">
        <f>IF(B1982="",0,MIN(IF($N1982="Other Bond TM",ModelParameters!$N$21,1)*(P1982*Q1982+R1982),1))</f>
        <v>0.026674132313858604</v>
      </c>
      <c r="T1982" s="85">
        <f>IF(B1982="",0,$S1982*$K1982)</f>
        <v>27.160317495036712</v>
      </c>
      <c r="U1982" s="85">
        <f>IF(B1982="",0,IF(OR(H1982=MappingTables!$C$34,H1982=MappingTables!$C$35),T1982,0))</f>
        <v>0</v>
      </c>
      <c r="V1982" s="85">
        <f>IF(ISNA(IF(AND(VLOOKUP(CONCATENATE($D1982,$G1982),CSRFinput!$B:$E,4,0)=0,OR(H1982=MappingTables!$C$34,H1982=MappingTables!$C$35)),1,VLOOKUP(CONCATENATE($D1982,$G1982),CSRFinput!$B:$E,4,0))),0,IF(AND(VLOOKUP(CONCATENATE($D1982,$G1982),CSRFinput!$B:$E,4,0)=0,OR(H1982=MappingTables!$C$34,H1982=MappingTables!$C$35)),1,VLOOKUP(CONCATENATE($D1982,$G1982),CSRFinput!$B:$E,4,0)))</f>
        <v>0.054776304963434752</v>
      </c>
      <c r="W1982" s="85">
        <f>IF(B1982="",0,+$T1982*$V1982)</f>
        <v>1.4877418340118432</v>
      </c>
      <c r="X1982" s="85">
        <f>IF(B1982="",0,IF(OR(H1982=MappingTables!$C$34,H1982=MappingTables!$C$35),W1982,0))</f>
        <v>0</v>
      </c>
    </row>
    <row r="1983" spans="2:24" s="0" customFormat="0" ht="15">
      <c r="B1983" s="69">
        <v>23120391</v>
      </c>
      <c r="C1983" s="70" t="s">
        <v>2131</v>
      </c>
      <c r="D1983" s="70" t="s">
        <v>1</v>
      </c>
      <c r="E1983" s="70" t="s">
        <v>1</v>
      </c>
      <c r="F1983" s="70"/>
      <c r="G1983" s="70" t="s">
        <v>61</v>
      </c>
      <c r="H1983" s="70" t="s">
        <v>178</v>
      </c>
      <c r="I1983" s="70" t="s">
        <v>220</v>
      </c>
      <c r="J1983" s="71">
        <f>IF(OR(I1983=0,I1983=""),"unrated",VLOOKUP(I1983,MappingTables!$B$19:$C$31,2,FALSE))</f>
        <v>1</v>
      </c>
      <c r="K1983" s="72">
        <v>16908.525893224706</v>
      </c>
      <c r="L1983" s="70">
        <v>0.11232533708832666</v>
      </c>
      <c r="M1983" s="71">
        <f>IF(L1983&lt;1,1,L1983)</f>
        <v>1</v>
      </c>
      <c r="N1983" s="70" t="s">
        <v>141</v>
      </c>
      <c r="O1983" s="71">
        <f>INDEX(DurClassMapping,MATCH(M1983,MappingTables!$D$4:$D$8,-1),1)</f>
        <v>1</v>
      </c>
      <c r="P1983" s="73">
        <f>IF(M1983=$A$1,1,$M1983-INDEX(MappingTables!$E$4:$E$8,MATCH(O1983,MappingTables!$B$4:$B$8,0)))</f>
        <v>1</v>
      </c>
      <c r="Q1983" s="71">
        <f>IF(B1983="",0,INDEX(ModelParameters!$D$6:$K$10,MATCH($O1983,ModelParameters!$B$6:$B$10,0),MATCH($J1983,ModelParameters!$D$5:$K$5,0)))</f>
        <v>0.011000000000000002</v>
      </c>
      <c r="R1983" s="71">
        <f>IF(B1983="",0,INDEX(ModelParameters!$D$13:$K$17,MATCH($O1983,ModelParameters!$B$13:$B$17,0),MATCH($J1983,ModelParameters!$D$5:$K$5,0)))</f>
        <v>0</v>
      </c>
      <c r="S1983" s="160">
        <f>IF(B1983="",0,MIN(IF($N1983="Other Bond TM",ModelParameters!$N$21,1)*(P1983*Q1983+R1983),1))</f>
        <v>0.011000000000000002</v>
      </c>
      <c r="T1983" s="85">
        <f>IF(B1983="",0,$S1983*$K1983)</f>
        <v>185.99378482547176</v>
      </c>
      <c r="U1983" s="85">
        <f>IF(B1983="",0,IF(OR(H1983=MappingTables!$C$34,H1983=MappingTables!$C$35),T1983,0))</f>
        <v>0</v>
      </c>
      <c r="V1983" s="85">
        <f>IF(ISNA(IF(AND(VLOOKUP(CONCATENATE($D1983,$G1983),CSRFinput!$B:$E,4,0)=0,OR(H1983=MappingTables!$C$34,H1983=MappingTables!$C$35)),1,VLOOKUP(CONCATENATE($D1983,$G1983),CSRFinput!$B:$E,4,0))),0,IF(AND(VLOOKUP(CONCATENATE($D1983,$G1983),CSRFinput!$B:$E,4,0)=0,OR(H1983=MappingTables!$C$34,H1983=MappingTables!$C$35)),1,VLOOKUP(CONCATENATE($D1983,$G1983),CSRFinput!$B:$E,4,0)))</f>
        <v>0.054776304963434752</v>
      </c>
      <c r="W1983" s="85">
        <f>IF(B1983="",0,+$T1983*$V1983)</f>
        <v>10.188052278903506</v>
      </c>
      <c r="X1983" s="85">
        <f>IF(B1983="",0,IF(OR(H1983=MappingTables!$C$34,H1983=MappingTables!$C$35),W1983,0))</f>
        <v>0</v>
      </c>
    </row>
    <row r="1984" spans="2:24" s="0" customFormat="0" ht="15">
      <c r="B1984" s="69">
        <v>7013339</v>
      </c>
      <c r="C1984" s="70" t="s">
        <v>2132</v>
      </c>
      <c r="D1984" s="70" t="s">
        <v>1</v>
      </c>
      <c r="E1984" s="70" t="s">
        <v>1</v>
      </c>
      <c r="F1984" s="70"/>
      <c r="G1984" s="70" t="s">
        <v>61</v>
      </c>
      <c r="H1984" s="70" t="s">
        <v>178</v>
      </c>
      <c r="I1984" s="70" t="s">
        <v>181</v>
      </c>
      <c r="J1984" s="71">
        <f>IF(OR(I1984=0,I1984=""),"unrated",VLOOKUP(I1984,MappingTables!$B$19:$C$31,2,FALSE))</f>
        <v>3</v>
      </c>
      <c r="K1984" s="72">
        <v>286.304353174862</v>
      </c>
      <c r="L1984" s="70">
        <v>14.196964889310598</v>
      </c>
      <c r="M1984" s="71">
        <f>IF(L1984&lt;1,1,L1984)</f>
        <v>14.196964889310598</v>
      </c>
      <c r="N1984" s="70" t="s">
        <v>141</v>
      </c>
      <c r="O1984" s="71">
        <f>INDEX(DurClassMapping,MATCH(M1984,MappingTables!$D$4:$D$8,-1),1)</f>
        <v>3</v>
      </c>
      <c r="P1984" s="73">
        <f>IF(M1984=$A$1,1,$M1984-INDEX(MappingTables!$E$4:$E$8,MATCH(O1984,MappingTables!$B$4:$B$8,0)))</f>
        <v>4.1969648893105976</v>
      </c>
      <c r="Q1984" s="71">
        <f>IF(B1984="",0,INDEX(ModelParameters!$D$6:$K$10,MATCH($O1984,ModelParameters!$B$6:$B$10,0),MATCH($J1984,ModelParameters!$D$5:$K$5,0)))</f>
        <v>0.01</v>
      </c>
      <c r="R1984" s="71">
        <f>IF(B1984="",0,INDEX(ModelParameters!$D$13:$K$17,MATCH($O1984,ModelParameters!$B$13:$B$17,0),MATCH($J1984,ModelParameters!$D$5:$K$5,0)))</f>
        <v>0.2</v>
      </c>
      <c r="S1984" s="160">
        <f>IF(B1984="",0,MIN(IF($N1984="Other Bond TM",ModelParameters!$N$21,1)*(P1984*Q1984+R1984),1))</f>
        <v>0.241969648893106</v>
      </c>
      <c r="T1984" s="85">
        <f>IF(B1984="",0,$S1984*$K1984)</f>
        <v>69.276963814289176</v>
      </c>
      <c r="U1984" s="85">
        <f>IF(B1984="",0,IF(OR(H1984=MappingTables!$C$34,H1984=MappingTables!$C$35),T1984,0))</f>
        <v>0</v>
      </c>
      <c r="V1984" s="85">
        <f>IF(ISNA(IF(AND(VLOOKUP(CONCATENATE($D1984,$G1984),CSRFinput!$B:$E,4,0)=0,OR(H1984=MappingTables!$C$34,H1984=MappingTables!$C$35)),1,VLOOKUP(CONCATENATE($D1984,$G1984),CSRFinput!$B:$E,4,0))),0,IF(AND(VLOOKUP(CONCATENATE($D1984,$G1984),CSRFinput!$B:$E,4,0)=0,OR(H1984=MappingTables!$C$34,H1984=MappingTables!$C$35)),1,VLOOKUP(CONCATENATE($D1984,$G1984),CSRFinput!$B:$E,4,0)))</f>
        <v>0.054776304963434752</v>
      </c>
      <c r="W1984" s="85">
        <f>IF(B1984="",0,+$T1984*$V1984)</f>
        <v>3.7947360968323384</v>
      </c>
      <c r="X1984" s="85">
        <f>IF(B1984="",0,IF(OR(H1984=MappingTables!$C$34,H1984=MappingTables!$C$35),W1984,0))</f>
        <v>0</v>
      </c>
    </row>
    <row r="1985" spans="2:24" s="0" customFormat="0" ht="15">
      <c r="B1985" s="69">
        <v>15276134</v>
      </c>
      <c r="C1985" s="70" t="s">
        <v>285</v>
      </c>
      <c r="D1985" s="70" t="s">
        <v>1</v>
      </c>
      <c r="E1985" s="70" t="s">
        <v>1</v>
      </c>
      <c r="F1985" s="70"/>
      <c r="G1985" s="70" t="s">
        <v>61</v>
      </c>
      <c r="H1985" s="70" t="s">
        <v>178</v>
      </c>
      <c r="I1985" s="70" t="s">
        <v>181</v>
      </c>
      <c r="J1985" s="71">
        <f>IF(OR(I1985=0,I1985=""),"unrated",VLOOKUP(I1985,MappingTables!$B$19:$C$31,2,FALSE))</f>
        <v>3</v>
      </c>
      <c r="K1985" s="72">
        <v>243.97869323467448</v>
      </c>
      <c r="L1985" s="70">
        <v>3.5595876922147468</v>
      </c>
      <c r="M1985" s="71">
        <f>IF(L1985&lt;1,1,L1985)</f>
        <v>3.5595876922147468</v>
      </c>
      <c r="N1985" s="70" t="s">
        <v>141</v>
      </c>
      <c r="O1985" s="71">
        <f>INDEX(DurClassMapping,MATCH(M1985,MappingTables!$D$4:$D$8,-1),1)</f>
        <v>1</v>
      </c>
      <c r="P1985" s="73">
        <f>IF(M1985=$A$1,1,$M1985-INDEX(MappingTables!$E$4:$E$8,MATCH(O1985,MappingTables!$B$4:$B$8,0)))</f>
        <v>3.5595876922147468</v>
      </c>
      <c r="Q1985" s="71">
        <f>IF(B1985="",0,INDEX(ModelParameters!$D$6:$K$10,MATCH($O1985,ModelParameters!$B$6:$B$10,0),MATCH($J1985,ModelParameters!$D$5:$K$5,0)))</f>
        <v>0.025</v>
      </c>
      <c r="R1985" s="71">
        <f>IF(B1985="",0,INDEX(ModelParameters!$D$13:$K$17,MATCH($O1985,ModelParameters!$B$13:$B$17,0),MATCH($J1985,ModelParameters!$D$5:$K$5,0)))</f>
        <v>0</v>
      </c>
      <c r="S1985" s="160">
        <f>IF(B1985="",0,MIN(IF($N1985="Other Bond TM",ModelParameters!$N$21,1)*(P1985*Q1985+R1985),1))</f>
        <v>0.088989692305368688</v>
      </c>
      <c r="T1985" s="85">
        <f>IF(B1985="",0,$S1985*$K1985)</f>
        <v>21.71158884001962</v>
      </c>
      <c r="U1985" s="85">
        <f>IF(B1985="",0,IF(OR(H1985=MappingTables!$C$34,H1985=MappingTables!$C$35),T1985,0))</f>
        <v>0</v>
      </c>
      <c r="V1985" s="85">
        <f>IF(ISNA(IF(AND(VLOOKUP(CONCATENATE($D1985,$G1985),CSRFinput!$B:$E,4,0)=0,OR(H1985=MappingTables!$C$34,H1985=MappingTables!$C$35)),1,VLOOKUP(CONCATENATE($D1985,$G1985),CSRFinput!$B:$E,4,0))),0,IF(AND(VLOOKUP(CONCATENATE($D1985,$G1985),CSRFinput!$B:$E,4,0)=0,OR(H1985=MappingTables!$C$34,H1985=MappingTables!$C$35)),1,VLOOKUP(CONCATENATE($D1985,$G1985),CSRFinput!$B:$E,4,0)))</f>
        <v>0.054776304963434752</v>
      </c>
      <c r="W1985" s="85">
        <f>IF(B1985="",0,+$T1985*$V1985)</f>
        <v>1.1892806115416212</v>
      </c>
      <c r="X1985" s="85">
        <f>IF(B1985="",0,IF(OR(H1985=MappingTables!$C$34,H1985=MappingTables!$C$35),W1985,0))</f>
        <v>0</v>
      </c>
    </row>
    <row r="1986" spans="2:24" s="0" customFormat="0" ht="15">
      <c r="B1986" s="69">
        <v>19031474</v>
      </c>
      <c r="C1986" s="70" t="s">
        <v>2133</v>
      </c>
      <c r="D1986" s="70" t="s">
        <v>1</v>
      </c>
      <c r="E1986" s="70" t="s">
        <v>1</v>
      </c>
      <c r="F1986" s="70"/>
      <c r="G1986" s="70" t="s">
        <v>61</v>
      </c>
      <c r="H1986" s="70" t="s">
        <v>178</v>
      </c>
      <c r="I1986" s="70" t="s">
        <v>188</v>
      </c>
      <c r="J1986" s="71">
        <f>IF(OR(I1986=0,I1986=""),"unrated",VLOOKUP(I1986,MappingTables!$B$19:$C$31,2,FALSE))</f>
        <v>2</v>
      </c>
      <c r="K1986" s="72">
        <v>342.05590515416772</v>
      </c>
      <c r="L1986" s="70">
        <v>0.019176710516641424</v>
      </c>
      <c r="M1986" s="71">
        <f>IF(L1986&lt;1,1,L1986)</f>
        <v>1</v>
      </c>
      <c r="N1986" s="70" t="s">
        <v>141</v>
      </c>
      <c r="O1986" s="71">
        <f>INDEX(DurClassMapping,MATCH(M1986,MappingTables!$D$4:$D$8,-1),1)</f>
        <v>1</v>
      </c>
      <c r="P1986" s="73">
        <f>IF(M1986=$A$1,1,$M1986-INDEX(MappingTables!$E$4:$E$8,MATCH(O1986,MappingTables!$B$4:$B$8,0)))</f>
        <v>1</v>
      </c>
      <c r="Q1986" s="71">
        <f>IF(B1986="",0,INDEX(ModelParameters!$D$6:$K$10,MATCH($O1986,ModelParameters!$B$6:$B$10,0),MATCH($J1986,ModelParameters!$D$5:$K$5,0)))</f>
        <v>0.013999999999999998</v>
      </c>
      <c r="R1986" s="71">
        <f>IF(B1986="",0,INDEX(ModelParameters!$D$13:$K$17,MATCH($O1986,ModelParameters!$B$13:$B$17,0),MATCH($J1986,ModelParameters!$D$5:$K$5,0)))</f>
        <v>0</v>
      </c>
      <c r="S1986" s="160">
        <f>IF(B1986="",0,MIN(IF($N1986="Other Bond TM",ModelParameters!$N$21,1)*(P1986*Q1986+R1986),1))</f>
        <v>0.013999999999999998</v>
      </c>
      <c r="T1986" s="85">
        <f>IF(B1986="",0,$S1986*$K1986)</f>
        <v>4.7887826721583472</v>
      </c>
      <c r="U1986" s="85">
        <f>IF(B1986="",0,IF(OR(H1986=MappingTables!$C$34,H1986=MappingTables!$C$35),T1986,0))</f>
        <v>0</v>
      </c>
      <c r="V1986" s="85">
        <f>IF(ISNA(IF(AND(VLOOKUP(CONCATENATE($D1986,$G1986),CSRFinput!$B:$E,4,0)=0,OR(H1986=MappingTables!$C$34,H1986=MappingTables!$C$35)),1,VLOOKUP(CONCATENATE($D1986,$G1986),CSRFinput!$B:$E,4,0))),0,IF(AND(VLOOKUP(CONCATENATE($D1986,$G1986),CSRFinput!$B:$E,4,0)=0,OR(H1986=MappingTables!$C$34,H1986=MappingTables!$C$35)),1,VLOOKUP(CONCATENATE($D1986,$G1986),CSRFinput!$B:$E,4,0)))</f>
        <v>0.054776304963434752</v>
      </c>
      <c r="W1986" s="85">
        <f>IF(B1986="",0,+$T1986*$V1986)</f>
        <v>0.2623118200537576</v>
      </c>
      <c r="X1986" s="85">
        <f>IF(B1986="",0,IF(OR(H1986=MappingTables!$C$34,H1986=MappingTables!$C$35),W1986,0))</f>
        <v>0</v>
      </c>
    </row>
    <row r="1987" spans="2:24" s="0" customFormat="0" ht="15">
      <c r="B1987" s="69">
        <v>16064048</v>
      </c>
      <c r="C1987" s="70" t="s">
        <v>2134</v>
      </c>
      <c r="D1987" s="70" t="s">
        <v>1</v>
      </c>
      <c r="E1987" s="70" t="s">
        <v>1</v>
      </c>
      <c r="F1987" s="70"/>
      <c r="G1987" s="70" t="s">
        <v>61</v>
      </c>
      <c r="H1987" s="70" t="s">
        <v>178</v>
      </c>
      <c r="I1987" s="70" t="s">
        <v>179</v>
      </c>
      <c r="J1987" s="71">
        <f>IF(OR(I1987=0,I1987=""),"unrated",VLOOKUP(I1987,MappingTables!$B$19:$C$31,2,FALSE))</f>
        <v>4</v>
      </c>
      <c r="K1987" s="72">
        <v>7178.2050342137736</v>
      </c>
      <c r="L1987" s="70">
        <v>0.27123322224343068</v>
      </c>
      <c r="M1987" s="71">
        <f>IF(L1987&lt;1,1,L1987)</f>
        <v>1</v>
      </c>
      <c r="N1987" s="70" t="s">
        <v>141</v>
      </c>
      <c r="O1987" s="71">
        <f>INDEX(DurClassMapping,MATCH(M1987,MappingTables!$D$4:$D$8,-1),1)</f>
        <v>1</v>
      </c>
      <c r="P1987" s="73">
        <f>IF(M1987=$A$1,1,$M1987-INDEX(MappingTables!$E$4:$E$8,MATCH(O1987,MappingTables!$B$4:$B$8,0)))</f>
        <v>1</v>
      </c>
      <c r="Q1987" s="71">
        <f>IF(B1987="",0,INDEX(ModelParameters!$D$6:$K$10,MATCH($O1987,ModelParameters!$B$6:$B$10,0),MATCH($J1987,ModelParameters!$D$5:$K$5,0)))</f>
        <v>0.045</v>
      </c>
      <c r="R1987" s="71">
        <f>IF(B1987="",0,INDEX(ModelParameters!$D$13:$K$17,MATCH($O1987,ModelParameters!$B$13:$B$17,0),MATCH($J1987,ModelParameters!$D$5:$K$5,0)))</f>
        <v>0</v>
      </c>
      <c r="S1987" s="160">
        <f>IF(B1987="",0,MIN(IF($N1987="Other Bond TM",ModelParameters!$N$21,1)*(P1987*Q1987+R1987),1))</f>
        <v>0.045</v>
      </c>
      <c r="T1987" s="85">
        <f>IF(B1987="",0,$S1987*$K1987)</f>
        <v>323.0192265396198</v>
      </c>
      <c r="U1987" s="85">
        <f>IF(B1987="",0,IF(OR(H1987=MappingTables!$C$34,H1987=MappingTables!$C$35),T1987,0))</f>
        <v>0</v>
      </c>
      <c r="V1987" s="85">
        <f>IF(ISNA(IF(AND(VLOOKUP(CONCATENATE($D1987,$G1987),CSRFinput!$B:$E,4,0)=0,OR(H1987=MappingTables!$C$34,H1987=MappingTables!$C$35)),1,VLOOKUP(CONCATENATE($D1987,$G1987),CSRFinput!$B:$E,4,0))),0,IF(AND(VLOOKUP(CONCATENATE($D1987,$G1987),CSRFinput!$B:$E,4,0)=0,OR(H1987=MappingTables!$C$34,H1987=MappingTables!$C$35)),1,VLOOKUP(CONCATENATE($D1987,$G1987),CSRFinput!$B:$E,4,0)))</f>
        <v>0.054776304963434752</v>
      </c>
      <c r="W1987" s="85">
        <f>IF(B1987="",0,+$T1987*$V1987)</f>
        <v>17.693799661987032</v>
      </c>
      <c r="X1987" s="85">
        <f>IF(B1987="",0,IF(OR(H1987=MappingTables!$C$34,H1987=MappingTables!$C$35),W1987,0))</f>
        <v>0</v>
      </c>
    </row>
    <row r="1988" spans="2:24" s="0" customFormat="0" ht="15">
      <c r="B1988" s="69" t="s">
        <v>296</v>
      </c>
      <c r="C1988" s="70" t="s">
        <v>297</v>
      </c>
      <c r="D1988" s="70" t="s">
        <v>1</v>
      </c>
      <c r="E1988" s="70" t="s">
        <v>1</v>
      </c>
      <c r="F1988" s="70"/>
      <c r="G1988" s="70" t="s">
        <v>61</v>
      </c>
      <c r="H1988" s="70" t="s">
        <v>178</v>
      </c>
      <c r="I1988" s="70" t="s">
        <v>188</v>
      </c>
      <c r="J1988" s="71">
        <f>IF(OR(I1988=0,I1988=""),"unrated",VLOOKUP(I1988,MappingTables!$B$19:$C$31,2,FALSE))</f>
        <v>2</v>
      </c>
      <c r="K1988" s="72">
        <v>3.9458957215765568</v>
      </c>
      <c r="L1988" s="70">
        <v>2.2406057907007928</v>
      </c>
      <c r="M1988" s="71">
        <f>IF(L1988&lt;1,1,L1988)</f>
        <v>2.2406057907007928</v>
      </c>
      <c r="N1988" s="70" t="s">
        <v>141</v>
      </c>
      <c r="O1988" s="71">
        <f>INDEX(DurClassMapping,MATCH(M1988,MappingTables!$D$4:$D$8,-1),1)</f>
        <v>1</v>
      </c>
      <c r="P1988" s="73">
        <f>IF(M1988=$A$1,1,$M1988-INDEX(MappingTables!$E$4:$E$8,MATCH(O1988,MappingTables!$B$4:$B$8,0)))</f>
        <v>2.2406057907007928</v>
      </c>
      <c r="Q1988" s="71">
        <f>IF(B1988="",0,INDEX(ModelParameters!$D$6:$K$10,MATCH($O1988,ModelParameters!$B$6:$B$10,0),MATCH($J1988,ModelParameters!$D$5:$K$5,0)))</f>
        <v>0.013999999999999998</v>
      </c>
      <c r="R1988" s="71">
        <f>IF(B1988="",0,INDEX(ModelParameters!$D$13:$K$17,MATCH($O1988,ModelParameters!$B$13:$B$17,0),MATCH($J1988,ModelParameters!$D$5:$K$5,0)))</f>
        <v>0</v>
      </c>
      <c r="S1988" s="160">
        <f>IF(B1988="",0,MIN(IF($N1988="Other Bond TM",ModelParameters!$N$21,1)*(P1988*Q1988+R1988),1))</f>
        <v>0.0313684810698111</v>
      </c>
      <c r="T1988" s="85">
        <f>IF(B1988="",0,$S1988*$K1988)</f>
        <v>0.12377675524572282</v>
      </c>
      <c r="U1988" s="85">
        <f>IF(B1988="",0,IF(OR(H1988=MappingTables!$C$34,H1988=MappingTables!$C$35),T1988,0))</f>
        <v>0</v>
      </c>
      <c r="V1988" s="85">
        <f>IF(ISNA(IF(AND(VLOOKUP(CONCATENATE($D1988,$G1988),CSRFinput!$B:$E,4,0)=0,OR(H1988=MappingTables!$C$34,H1988=MappingTables!$C$35)),1,VLOOKUP(CONCATENATE($D1988,$G1988),CSRFinput!$B:$E,4,0))),0,IF(AND(VLOOKUP(CONCATENATE($D1988,$G1988),CSRFinput!$B:$E,4,0)=0,OR(H1988=MappingTables!$C$34,H1988=MappingTables!$C$35)),1,VLOOKUP(CONCATENATE($D1988,$G1988),CSRFinput!$B:$E,4,0)))</f>
        <v>0.054776304963434752</v>
      </c>
      <c r="W1988" s="85">
        <f>IF(B1988="",0,+$T1988*$V1988)</f>
        <v>0.0067800332927241352</v>
      </c>
      <c r="X1988" s="85">
        <f>IF(B1988="",0,IF(OR(H1988=MappingTables!$C$34,H1988=MappingTables!$C$35),W1988,0))</f>
        <v>0</v>
      </c>
    </row>
    <row r="1989" spans="2:24" s="0" customFormat="0" ht="15">
      <c r="B1989" s="69">
        <v>21227852</v>
      </c>
      <c r="C1989" s="70" t="s">
        <v>363</v>
      </c>
      <c r="D1989" s="70" t="s">
        <v>1</v>
      </c>
      <c r="E1989" s="70" t="s">
        <v>1</v>
      </c>
      <c r="F1989" s="70"/>
      <c r="G1989" s="70" t="s">
        <v>61</v>
      </c>
      <c r="H1989" s="70" t="s">
        <v>178</v>
      </c>
      <c r="I1989" s="70" t="s">
        <v>179</v>
      </c>
      <c r="J1989" s="71">
        <f>IF(OR(I1989=0,I1989=""),"unrated",VLOOKUP(I1989,MappingTables!$B$19:$C$31,2,FALSE))</f>
        <v>4</v>
      </c>
      <c r="K1989" s="72">
        <v>373.66105286645088</v>
      </c>
      <c r="L1989" s="70">
        <v>1.7342466634861374</v>
      </c>
      <c r="M1989" s="71">
        <f>IF(L1989&lt;1,1,L1989)</f>
        <v>1.7342466634861374</v>
      </c>
      <c r="N1989" s="70" t="s">
        <v>141</v>
      </c>
      <c r="O1989" s="71">
        <f>INDEX(DurClassMapping,MATCH(M1989,MappingTables!$D$4:$D$8,-1),1)</f>
        <v>1</v>
      </c>
      <c r="P1989" s="73">
        <f>IF(M1989=$A$1,1,$M1989-INDEX(MappingTables!$E$4:$E$8,MATCH(O1989,MappingTables!$B$4:$B$8,0)))</f>
        <v>1.7342466634861374</v>
      </c>
      <c r="Q1989" s="71">
        <f>IF(B1989="",0,INDEX(ModelParameters!$D$6:$K$10,MATCH($O1989,ModelParameters!$B$6:$B$10,0),MATCH($J1989,ModelParameters!$D$5:$K$5,0)))</f>
        <v>0.045</v>
      </c>
      <c r="R1989" s="71">
        <f>IF(B1989="",0,INDEX(ModelParameters!$D$13:$K$17,MATCH($O1989,ModelParameters!$B$13:$B$17,0),MATCH($J1989,ModelParameters!$D$5:$K$5,0)))</f>
        <v>0</v>
      </c>
      <c r="S1989" s="160">
        <f>IF(B1989="",0,MIN(IF($N1989="Other Bond TM",ModelParameters!$N$21,1)*(P1989*Q1989+R1989),1))</f>
        <v>0.078041099856876176</v>
      </c>
      <c r="T1989" s="85">
        <f>IF(B1989="",0,$S1989*$K1989)</f>
        <v>29.160919539376176</v>
      </c>
      <c r="U1989" s="85">
        <f>IF(B1989="",0,IF(OR(H1989=MappingTables!$C$34,H1989=MappingTables!$C$35),T1989,0))</f>
        <v>0</v>
      </c>
      <c r="V1989" s="85">
        <f>IF(ISNA(IF(AND(VLOOKUP(CONCATENATE($D1989,$G1989),CSRFinput!$B:$E,4,0)=0,OR(H1989=MappingTables!$C$34,H1989=MappingTables!$C$35)),1,VLOOKUP(CONCATENATE($D1989,$G1989),CSRFinput!$B:$E,4,0))),0,IF(AND(VLOOKUP(CONCATENATE($D1989,$G1989),CSRFinput!$B:$E,4,0)=0,OR(H1989=MappingTables!$C$34,H1989=MappingTables!$C$35)),1,VLOOKUP(CONCATENATE($D1989,$G1989),CSRFinput!$B:$E,4,0)))</f>
        <v>0.054776304963434752</v>
      </c>
      <c r="W1989" s="85">
        <f>IF(B1989="",0,+$T1989*$V1989)</f>
        <v>1.5973274217030528</v>
      </c>
      <c r="X1989" s="85">
        <f>IF(B1989="",0,IF(OR(H1989=MappingTables!$C$34,H1989=MappingTables!$C$35),W1989,0))</f>
        <v>0</v>
      </c>
    </row>
    <row r="1990" spans="2:24" s="0" customFormat="0" ht="15">
      <c r="B1990" s="69">
        <v>21771067</v>
      </c>
      <c r="C1990" s="70" t="s">
        <v>1302</v>
      </c>
      <c r="D1990" s="70" t="s">
        <v>1</v>
      </c>
      <c r="E1990" s="70" t="s">
        <v>1</v>
      </c>
      <c r="F1990" s="70"/>
      <c r="G1990" s="70" t="s">
        <v>61</v>
      </c>
      <c r="H1990" s="70" t="s">
        <v>178</v>
      </c>
      <c r="I1990" s="70" t="s">
        <v>179</v>
      </c>
      <c r="J1990" s="71">
        <f>IF(OR(I1990=0,I1990=""),"unrated",VLOOKUP(I1990,MappingTables!$B$19:$C$31,2,FALSE))</f>
        <v>4</v>
      </c>
      <c r="K1990" s="72">
        <v>391.5515133152776</v>
      </c>
      <c r="L1990" s="70">
        <v>13.597038713192842</v>
      </c>
      <c r="M1990" s="71">
        <f>IF(L1990&lt;1,1,L1990)</f>
        <v>13.597038713192842</v>
      </c>
      <c r="N1990" s="70" t="s">
        <v>141</v>
      </c>
      <c r="O1990" s="71">
        <f>INDEX(DurClassMapping,MATCH(M1990,MappingTables!$D$4:$D$8,-1),1)</f>
        <v>3</v>
      </c>
      <c r="P1990" s="73">
        <f>IF(M1990=$A$1,1,$M1990-INDEX(MappingTables!$E$4:$E$8,MATCH(O1990,MappingTables!$B$4:$B$8,0)))</f>
        <v>3.5970387131928428</v>
      </c>
      <c r="Q1990" s="71">
        <f>IF(B1990="",0,INDEX(ModelParameters!$D$6:$K$10,MATCH($O1990,ModelParameters!$B$6:$B$10,0),MATCH($J1990,ModelParameters!$D$5:$K$5,0)))</f>
        <v>0.018000000000000002</v>
      </c>
      <c r="R1990" s="71">
        <f>IF(B1990="",0,INDEX(ModelParameters!$D$13:$K$17,MATCH($O1990,ModelParameters!$B$13:$B$17,0),MATCH($J1990,ModelParameters!$D$5:$K$5,0)))</f>
        <v>0.34999999999999996</v>
      </c>
      <c r="S1990" s="160">
        <f>IF(B1990="",0,MIN(IF($N1990="Other Bond TM",ModelParameters!$N$21,1)*(P1990*Q1990+R1990),1))</f>
        <v>0.4147466968374712</v>
      </c>
      <c r="T1990" s="85">
        <f>IF(B1990="",0,$S1990*$K1990)</f>
        <v>162.3946967892245</v>
      </c>
      <c r="U1990" s="85">
        <f>IF(B1990="",0,IF(OR(H1990=MappingTables!$C$34,H1990=MappingTables!$C$35),T1990,0))</f>
        <v>0</v>
      </c>
      <c r="V1990" s="85">
        <f>IF(ISNA(IF(AND(VLOOKUP(CONCATENATE($D1990,$G1990),CSRFinput!$B:$E,4,0)=0,OR(H1990=MappingTables!$C$34,H1990=MappingTables!$C$35)),1,VLOOKUP(CONCATENATE($D1990,$G1990),CSRFinput!$B:$E,4,0))),0,IF(AND(VLOOKUP(CONCATENATE($D1990,$G1990),CSRFinput!$B:$E,4,0)=0,OR(H1990=MappingTables!$C$34,H1990=MappingTables!$C$35)),1,VLOOKUP(CONCATENATE($D1990,$G1990),CSRFinput!$B:$E,4,0)))</f>
        <v>0.054776304963434752</v>
      </c>
      <c r="W1990" s="85">
        <f>IF(B1990="",0,+$T1990*$V1990)</f>
        <v>8.89538143577108</v>
      </c>
      <c r="X1990" s="85">
        <f>IF(B1990="",0,IF(OR(H1990=MappingTables!$C$34,H1990=MappingTables!$C$35),W1990,0))</f>
        <v>0</v>
      </c>
    </row>
    <row r="1991" spans="2:24" s="0" customFormat="0" ht="15">
      <c r="B1991" s="69">
        <v>21322748</v>
      </c>
      <c r="C1991" s="70" t="s">
        <v>1248</v>
      </c>
      <c r="D1991" s="70" t="s">
        <v>1</v>
      </c>
      <c r="E1991" s="70" t="s">
        <v>1</v>
      </c>
      <c r="F1991" s="70"/>
      <c r="G1991" s="70" t="s">
        <v>61</v>
      </c>
      <c r="H1991" s="70" t="s">
        <v>178</v>
      </c>
      <c r="I1991" s="70" t="s">
        <v>188</v>
      </c>
      <c r="J1991" s="71">
        <f>IF(OR(I1991=0,I1991=""),"unrated",VLOOKUP(I1991,MappingTables!$B$19:$C$31,2,FALSE))</f>
        <v>2</v>
      </c>
      <c r="K1991" s="72">
        <v>28.364349158673044</v>
      </c>
      <c r="L1991" s="70">
        <v>0.80822881511030224</v>
      </c>
      <c r="M1991" s="71">
        <f>IF(L1991&lt;1,1,L1991)</f>
        <v>1</v>
      </c>
      <c r="N1991" s="70" t="s">
        <v>141</v>
      </c>
      <c r="O1991" s="71">
        <f>INDEX(DurClassMapping,MATCH(M1991,MappingTables!$D$4:$D$8,-1),1)</f>
        <v>1</v>
      </c>
      <c r="P1991" s="73">
        <f>IF(M1991=$A$1,1,$M1991-INDEX(MappingTables!$E$4:$E$8,MATCH(O1991,MappingTables!$B$4:$B$8,0)))</f>
        <v>1</v>
      </c>
      <c r="Q1991" s="71">
        <f>IF(B1991="",0,INDEX(ModelParameters!$D$6:$K$10,MATCH($O1991,ModelParameters!$B$6:$B$10,0),MATCH($J1991,ModelParameters!$D$5:$K$5,0)))</f>
        <v>0.013999999999999998</v>
      </c>
      <c r="R1991" s="71">
        <f>IF(B1991="",0,INDEX(ModelParameters!$D$13:$K$17,MATCH($O1991,ModelParameters!$B$13:$B$17,0),MATCH($J1991,ModelParameters!$D$5:$K$5,0)))</f>
        <v>0</v>
      </c>
      <c r="S1991" s="160">
        <f>IF(B1991="",0,MIN(IF($N1991="Other Bond TM",ModelParameters!$N$21,1)*(P1991*Q1991+R1991),1))</f>
        <v>0.013999999999999998</v>
      </c>
      <c r="T1991" s="85">
        <f>IF(B1991="",0,$S1991*$K1991)</f>
        <v>0.39710088822142256</v>
      </c>
      <c r="U1991" s="85">
        <f>IF(B1991="",0,IF(OR(H1991=MappingTables!$C$34,H1991=MappingTables!$C$35),T1991,0))</f>
        <v>0</v>
      </c>
      <c r="V1991" s="85">
        <f>IF(ISNA(IF(AND(VLOOKUP(CONCATENATE($D1991,$G1991),CSRFinput!$B:$E,4,0)=0,OR(H1991=MappingTables!$C$34,H1991=MappingTables!$C$35)),1,VLOOKUP(CONCATENATE($D1991,$G1991),CSRFinput!$B:$E,4,0))),0,IF(AND(VLOOKUP(CONCATENATE($D1991,$G1991),CSRFinput!$B:$E,4,0)=0,OR(H1991=MappingTables!$C$34,H1991=MappingTables!$C$35)),1,VLOOKUP(CONCATENATE($D1991,$G1991),CSRFinput!$B:$E,4,0)))</f>
        <v>0.054776304963434752</v>
      </c>
      <c r="W1991" s="85">
        <f>IF(B1991="",0,+$T1991*$V1991)</f>
        <v>0.02175171935446746</v>
      </c>
      <c r="X1991" s="85">
        <f>IF(B1991="",0,IF(OR(H1991=MappingTables!$C$34,H1991=MappingTables!$C$35),W1991,0))</f>
        <v>0</v>
      </c>
    </row>
    <row r="1992" spans="2:24" s="0" customFormat="0" ht="15">
      <c r="B1992" s="69" t="s">
        <v>1226</v>
      </c>
      <c r="C1992" s="70" t="s">
        <v>1227</v>
      </c>
      <c r="D1992" s="70" t="s">
        <v>1</v>
      </c>
      <c r="E1992" s="70" t="s">
        <v>1</v>
      </c>
      <c r="F1992" s="70"/>
      <c r="G1992" s="70" t="s">
        <v>61</v>
      </c>
      <c r="H1992" s="70" t="s">
        <v>178</v>
      </c>
      <c r="I1992" s="70" t="s">
        <v>179</v>
      </c>
      <c r="J1992" s="71">
        <f>IF(OR(I1992=0,I1992=""),"unrated",VLOOKUP(I1992,MappingTables!$B$19:$C$31,2,FALSE))</f>
        <v>4</v>
      </c>
      <c r="K1992" s="72">
        <v>80.541969704060384</v>
      </c>
      <c r="L1992" s="70">
        <v>1.7505633594966394</v>
      </c>
      <c r="M1992" s="71">
        <f>IF(L1992&lt;1,1,L1992)</f>
        <v>1.7505633594966394</v>
      </c>
      <c r="N1992" s="70" t="s">
        <v>141</v>
      </c>
      <c r="O1992" s="71">
        <f>INDEX(DurClassMapping,MATCH(M1992,MappingTables!$D$4:$D$8,-1),1)</f>
        <v>1</v>
      </c>
      <c r="P1992" s="73">
        <f>IF(M1992=$A$1,1,$M1992-INDEX(MappingTables!$E$4:$E$8,MATCH(O1992,MappingTables!$B$4:$B$8,0)))</f>
        <v>1.7505633594966394</v>
      </c>
      <c r="Q1992" s="71">
        <f>IF(B1992="",0,INDEX(ModelParameters!$D$6:$K$10,MATCH($O1992,ModelParameters!$B$6:$B$10,0),MATCH($J1992,ModelParameters!$D$5:$K$5,0)))</f>
        <v>0.045</v>
      </c>
      <c r="R1992" s="71">
        <f>IF(B1992="",0,INDEX(ModelParameters!$D$13:$K$17,MATCH($O1992,ModelParameters!$B$13:$B$17,0),MATCH($J1992,ModelParameters!$D$5:$K$5,0)))</f>
        <v>0</v>
      </c>
      <c r="S1992" s="160">
        <f>IF(B1992="",0,MIN(IF($N1992="Other Bond TM",ModelParameters!$N$21,1)*(P1992*Q1992+R1992),1))</f>
        <v>0.078775351177348768</v>
      </c>
      <c r="T1992" s="85">
        <f>IF(B1992="",0,$S1992*$K1992)</f>
        <v>6.3447219479527416</v>
      </c>
      <c r="U1992" s="85">
        <f>IF(B1992="",0,IF(OR(H1992=MappingTables!$C$34,H1992=MappingTables!$C$35),T1992,0))</f>
        <v>0</v>
      </c>
      <c r="V1992" s="85">
        <f>IF(ISNA(IF(AND(VLOOKUP(CONCATENATE($D1992,$G1992),CSRFinput!$B:$E,4,0)=0,OR(H1992=MappingTables!$C$34,H1992=MappingTables!$C$35)),1,VLOOKUP(CONCATENATE($D1992,$G1992),CSRFinput!$B:$E,4,0))),0,IF(AND(VLOOKUP(CONCATENATE($D1992,$G1992),CSRFinput!$B:$E,4,0)=0,OR(H1992=MappingTables!$C$34,H1992=MappingTables!$C$35)),1,VLOOKUP(CONCATENATE($D1992,$G1992),CSRFinput!$B:$E,4,0)))</f>
        <v>0.054776304963434752</v>
      </c>
      <c r="W1992" s="85">
        <f>IF(B1992="",0,+$T1992*$V1992)</f>
        <v>0.3475404243292572</v>
      </c>
      <c r="X1992" s="85">
        <f>IF(B1992="",0,IF(OR(H1992=MappingTables!$C$34,H1992=MappingTables!$C$35),W1992,0))</f>
        <v>0</v>
      </c>
    </row>
    <row r="1993" spans="2:24" s="0" customFormat="0" ht="15">
      <c r="B1993" s="69">
        <v>19614467</v>
      </c>
      <c r="C1993" s="70" t="s">
        <v>1796</v>
      </c>
      <c r="D1993" s="70" t="s">
        <v>1</v>
      </c>
      <c r="E1993" s="70" t="s">
        <v>1</v>
      </c>
      <c r="F1993" s="70"/>
      <c r="G1993" s="70" t="s">
        <v>61</v>
      </c>
      <c r="H1993" s="70" t="s">
        <v>178</v>
      </c>
      <c r="I1993" s="70" t="s">
        <v>204</v>
      </c>
      <c r="J1993" s="71">
        <f>IF(OR(I1993=0,I1993=""),"unrated",VLOOKUP(I1993,MappingTables!$B$19:$C$31,2,FALSE))</f>
        <v>6</v>
      </c>
      <c r="K1993" s="72">
        <v>41000.188396027288</v>
      </c>
      <c r="L1993" s="70">
        <v>2.8137870492617208</v>
      </c>
      <c r="M1993" s="71">
        <f>IF(L1993&lt;1,1,L1993)</f>
        <v>2.8137870492617208</v>
      </c>
      <c r="N1993" s="70" t="s">
        <v>141</v>
      </c>
      <c r="O1993" s="71">
        <f>INDEX(DurClassMapping,MATCH(M1993,MappingTables!$D$4:$D$8,-1),1)</f>
        <v>1</v>
      </c>
      <c r="P1993" s="73">
        <f>IF(M1993=$A$1,1,$M1993-INDEX(MappingTables!$E$4:$E$8,MATCH(O1993,MappingTables!$B$4:$B$8,0)))</f>
        <v>2.8137870492617208</v>
      </c>
      <c r="Q1993" s="71">
        <f>IF(B1993="",0,INDEX(ModelParameters!$D$6:$K$10,MATCH($O1993,ModelParameters!$B$6:$B$10,0),MATCH($J1993,ModelParameters!$D$5:$K$5,0)))</f>
        <v>0.075</v>
      </c>
      <c r="R1993" s="71">
        <f>IF(B1993="",0,INDEX(ModelParameters!$D$13:$K$17,MATCH($O1993,ModelParameters!$B$13:$B$17,0),MATCH($J1993,ModelParameters!$D$5:$K$5,0)))</f>
        <v>0</v>
      </c>
      <c r="S1993" s="160">
        <f>IF(B1993="",0,MIN(IF($N1993="Other Bond TM",ModelParameters!$N$21,1)*(P1993*Q1993+R1993),1))</f>
        <v>0.21103402869462908</v>
      </c>
      <c r="T1993" s="85">
        <f>IF(B1993="",0,$S1993*$K1993)</f>
        <v>8652.4349344524192</v>
      </c>
      <c r="U1993" s="85">
        <f>IF(B1993="",0,IF(OR(H1993=MappingTables!$C$34,H1993=MappingTables!$C$35),T1993,0))</f>
        <v>0</v>
      </c>
      <c r="V1993" s="85">
        <f>IF(ISNA(IF(AND(VLOOKUP(CONCATENATE($D1993,$G1993),CSRFinput!$B:$E,4,0)=0,OR(H1993=MappingTables!$C$34,H1993=MappingTables!$C$35)),1,VLOOKUP(CONCATENATE($D1993,$G1993),CSRFinput!$B:$E,4,0))),0,IF(AND(VLOOKUP(CONCATENATE($D1993,$G1993),CSRFinput!$B:$E,4,0)=0,OR(H1993=MappingTables!$C$34,H1993=MappingTables!$C$35)),1,VLOOKUP(CONCATENATE($D1993,$G1993),CSRFinput!$B:$E,4,0)))</f>
        <v>0.054776304963434752</v>
      </c>
      <c r="W1993" s="85">
        <f>IF(B1993="",0,+$T1993*$V1993)</f>
        <v>473.94841464584232</v>
      </c>
      <c r="X1993" s="85">
        <f>IF(B1993="",0,IF(OR(H1993=MappingTables!$C$34,H1993=MappingTables!$C$35),W1993,0))</f>
        <v>0</v>
      </c>
    </row>
    <row r="1994" spans="2:24" s="0" customFormat="0" ht="15">
      <c r="B1994" s="69">
        <v>11877040</v>
      </c>
      <c r="C1994" s="70" t="s">
        <v>1029</v>
      </c>
      <c r="D1994" s="70" t="s">
        <v>1</v>
      </c>
      <c r="E1994" s="70" t="s">
        <v>1</v>
      </c>
      <c r="F1994" s="70"/>
      <c r="G1994" s="70" t="s">
        <v>61</v>
      </c>
      <c r="H1994" s="70" t="s">
        <v>178</v>
      </c>
      <c r="I1994" s="70" t="s">
        <v>181</v>
      </c>
      <c r="J1994" s="71">
        <f>IF(OR(I1994=0,I1994=""),"unrated",VLOOKUP(I1994,MappingTables!$B$19:$C$31,2,FALSE))</f>
        <v>3</v>
      </c>
      <c r="K1994" s="72">
        <v>949.0984730541232</v>
      </c>
      <c r="L1994" s="70">
        <v>0.5613841024348796</v>
      </c>
      <c r="M1994" s="71">
        <f>IF(L1994&lt;1,1,L1994)</f>
        <v>1</v>
      </c>
      <c r="N1994" s="70" t="s">
        <v>141</v>
      </c>
      <c r="O1994" s="71">
        <f>INDEX(DurClassMapping,MATCH(M1994,MappingTables!$D$4:$D$8,-1),1)</f>
        <v>1</v>
      </c>
      <c r="P1994" s="73">
        <f>IF(M1994=$A$1,1,$M1994-INDEX(MappingTables!$E$4:$E$8,MATCH(O1994,MappingTables!$B$4:$B$8,0)))</f>
        <v>1</v>
      </c>
      <c r="Q1994" s="71">
        <f>IF(B1994="",0,INDEX(ModelParameters!$D$6:$K$10,MATCH($O1994,ModelParameters!$B$6:$B$10,0),MATCH($J1994,ModelParameters!$D$5:$K$5,0)))</f>
        <v>0.025</v>
      </c>
      <c r="R1994" s="71">
        <f>IF(B1994="",0,INDEX(ModelParameters!$D$13:$K$17,MATCH($O1994,ModelParameters!$B$13:$B$17,0),MATCH($J1994,ModelParameters!$D$5:$K$5,0)))</f>
        <v>0</v>
      </c>
      <c r="S1994" s="160">
        <f>IF(B1994="",0,MIN(IF($N1994="Other Bond TM",ModelParameters!$N$21,1)*(P1994*Q1994+R1994),1))</f>
        <v>0.025</v>
      </c>
      <c r="T1994" s="85">
        <f>IF(B1994="",0,$S1994*$K1994)</f>
        <v>23.72746182635308</v>
      </c>
      <c r="U1994" s="85">
        <f>IF(B1994="",0,IF(OR(H1994=MappingTables!$C$34,H1994=MappingTables!$C$35),T1994,0))</f>
        <v>0</v>
      </c>
      <c r="V1994" s="85">
        <f>IF(ISNA(IF(AND(VLOOKUP(CONCATENATE($D1994,$G1994),CSRFinput!$B:$E,4,0)=0,OR(H1994=MappingTables!$C$34,H1994=MappingTables!$C$35)),1,VLOOKUP(CONCATENATE($D1994,$G1994),CSRFinput!$B:$E,4,0))),0,IF(AND(VLOOKUP(CONCATENATE($D1994,$G1994),CSRFinput!$B:$E,4,0)=0,OR(H1994=MappingTables!$C$34,H1994=MappingTables!$C$35)),1,VLOOKUP(CONCATENATE($D1994,$G1994),CSRFinput!$B:$E,4,0)))</f>
        <v>0.054776304963434752</v>
      </c>
      <c r="W1994" s="85">
        <f>IF(B1994="",0,+$T1994*$V1994)</f>
        <v>1.2997026850085728</v>
      </c>
      <c r="X1994" s="85">
        <f>IF(B1994="",0,IF(OR(H1994=MappingTables!$C$34,H1994=MappingTables!$C$35),W1994,0))</f>
        <v>0</v>
      </c>
    </row>
    <row r="1995" spans="2:24" s="0" customFormat="0" ht="15">
      <c r="B1995" s="69">
        <v>16092812</v>
      </c>
      <c r="C1995" s="70" t="s">
        <v>341</v>
      </c>
      <c r="D1995" s="70" t="s">
        <v>1</v>
      </c>
      <c r="E1995" s="70" t="s">
        <v>1</v>
      </c>
      <c r="F1995" s="70"/>
      <c r="G1995" s="70" t="s">
        <v>61</v>
      </c>
      <c r="H1995" s="70" t="s">
        <v>178</v>
      </c>
      <c r="I1995" s="70" t="s">
        <v>181</v>
      </c>
      <c r="J1995" s="71">
        <f>IF(OR(I1995=0,I1995=""),"unrated",VLOOKUP(I1995,MappingTables!$B$19:$C$31,2,FALSE))</f>
        <v>3</v>
      </c>
      <c r="K1995" s="72">
        <v>2389.5019067400716</v>
      </c>
      <c r="L1995" s="70">
        <v>1.3689206418431872</v>
      </c>
      <c r="M1995" s="71">
        <f>IF(L1995&lt;1,1,L1995)</f>
        <v>1.3689206418431872</v>
      </c>
      <c r="N1995" s="70" t="s">
        <v>141</v>
      </c>
      <c r="O1995" s="71">
        <f>INDEX(DurClassMapping,MATCH(M1995,MappingTables!$D$4:$D$8,-1),1)</f>
        <v>1</v>
      </c>
      <c r="P1995" s="73">
        <f>IF(M1995=$A$1,1,$M1995-INDEX(MappingTables!$E$4:$E$8,MATCH(O1995,MappingTables!$B$4:$B$8,0)))</f>
        <v>1.3689206418431872</v>
      </c>
      <c r="Q1995" s="71">
        <f>IF(B1995="",0,INDEX(ModelParameters!$D$6:$K$10,MATCH($O1995,ModelParameters!$B$6:$B$10,0),MATCH($J1995,ModelParameters!$D$5:$K$5,0)))</f>
        <v>0.025</v>
      </c>
      <c r="R1995" s="71">
        <f>IF(B1995="",0,INDEX(ModelParameters!$D$13:$K$17,MATCH($O1995,ModelParameters!$B$13:$B$17,0),MATCH($J1995,ModelParameters!$D$5:$K$5,0)))</f>
        <v>0</v>
      </c>
      <c r="S1995" s="160">
        <f>IF(B1995="",0,MIN(IF($N1995="Other Bond TM",ModelParameters!$N$21,1)*(P1995*Q1995+R1995),1))</f>
        <v>0.034223016046079684</v>
      </c>
      <c r="T1995" s="85">
        <f>IF(B1995="",0,$S1995*$K1995)</f>
        <v>81.775962096503472</v>
      </c>
      <c r="U1995" s="85">
        <f>IF(B1995="",0,IF(OR(H1995=MappingTables!$C$34,H1995=MappingTables!$C$35),T1995,0))</f>
        <v>0</v>
      </c>
      <c r="V1995" s="85">
        <f>IF(ISNA(IF(AND(VLOOKUP(CONCATENATE($D1995,$G1995),CSRFinput!$B:$E,4,0)=0,OR(H1995=MappingTables!$C$34,H1995=MappingTables!$C$35)),1,VLOOKUP(CONCATENATE($D1995,$G1995),CSRFinput!$B:$E,4,0))),0,IF(AND(VLOOKUP(CONCATENATE($D1995,$G1995),CSRFinput!$B:$E,4,0)=0,OR(H1995=MappingTables!$C$34,H1995=MappingTables!$C$35)),1,VLOOKUP(CONCATENATE($D1995,$G1995),CSRFinput!$B:$E,4,0)))</f>
        <v>0.054776304963434752</v>
      </c>
      <c r="W1995" s="85">
        <f>IF(B1995="",0,+$T1995*$V1995)</f>
        <v>4.479385038476356</v>
      </c>
      <c r="X1995" s="85">
        <f>IF(B1995="",0,IF(OR(H1995=MappingTables!$C$34,H1995=MappingTables!$C$35),W1995,0))</f>
        <v>0</v>
      </c>
    </row>
    <row r="1996" spans="2:24" s="0" customFormat="0" ht="15">
      <c r="B1996" s="69" t="s">
        <v>2135</v>
      </c>
      <c r="C1996" s="70" t="s">
        <v>2136</v>
      </c>
      <c r="D1996" s="70" t="s">
        <v>1</v>
      </c>
      <c r="E1996" s="70" t="s">
        <v>1</v>
      </c>
      <c r="F1996" s="70"/>
      <c r="G1996" s="70" t="s">
        <v>61</v>
      </c>
      <c r="H1996" s="70" t="s">
        <v>178</v>
      </c>
      <c r="I1996" s="70" t="s">
        <v>188</v>
      </c>
      <c r="J1996" s="71">
        <f>IF(OR(I1996=0,I1996=""),"unrated",VLOOKUP(I1996,MappingTables!$B$19:$C$31,2,FALSE))</f>
        <v>2</v>
      </c>
      <c r="K1996" s="72">
        <v>105.38810165019578</v>
      </c>
      <c r="L1996" s="70">
        <v>6.411548473613632</v>
      </c>
      <c r="M1996" s="71">
        <f>IF(L1996&lt;1,1,L1996)</f>
        <v>6.411548473613632</v>
      </c>
      <c r="N1996" s="70" t="s">
        <v>141</v>
      </c>
      <c r="O1996" s="71">
        <f>INDEX(DurClassMapping,MATCH(M1996,MappingTables!$D$4:$D$8,-1),1)</f>
        <v>2</v>
      </c>
      <c r="P1996" s="73">
        <f>IF(M1996=$A$1,1,$M1996-INDEX(MappingTables!$E$4:$E$8,MATCH(O1996,MappingTables!$B$4:$B$8,0)))</f>
        <v>1.4115484736136316</v>
      </c>
      <c r="Q1996" s="71">
        <f>IF(B1996="",0,INDEX(ModelParameters!$D$6:$K$10,MATCH($O1996,ModelParameters!$B$6:$B$10,0),MATCH($J1996,ModelParameters!$D$5:$K$5,0)))</f>
        <v>0.0069999999999999992</v>
      </c>
      <c r="R1996" s="71">
        <f>IF(B1996="",0,INDEX(ModelParameters!$D$13:$K$17,MATCH($O1996,ModelParameters!$B$13:$B$17,0),MATCH($J1996,ModelParameters!$D$5:$K$5,0)))</f>
        <v>0.070000000000000008</v>
      </c>
      <c r="S1996" s="160">
        <f>IF(B1996="",0,MIN(IF($N1996="Other Bond TM",ModelParameters!$N$21,1)*(P1996*Q1996+R1996),1))</f>
        <v>0.079880839315295424</v>
      </c>
      <c r="T1996" s="85">
        <f>IF(B1996="",0,$S1996*$K1996)</f>
        <v>8.4184900136633088</v>
      </c>
      <c r="U1996" s="85">
        <f>IF(B1996="",0,IF(OR(H1996=MappingTables!$C$34,H1996=MappingTables!$C$35),T1996,0))</f>
        <v>0</v>
      </c>
      <c r="V1996" s="85">
        <f>IF(ISNA(IF(AND(VLOOKUP(CONCATENATE($D1996,$G1996),CSRFinput!$B:$E,4,0)=0,OR(H1996=MappingTables!$C$34,H1996=MappingTables!$C$35)),1,VLOOKUP(CONCATENATE($D1996,$G1996),CSRFinput!$B:$E,4,0))),0,IF(AND(VLOOKUP(CONCATENATE($D1996,$G1996),CSRFinput!$B:$E,4,0)=0,OR(H1996=MappingTables!$C$34,H1996=MappingTables!$C$35)),1,VLOOKUP(CONCATENATE($D1996,$G1996),CSRFinput!$B:$E,4,0)))</f>
        <v>0.054776304963434752</v>
      </c>
      <c r="W1996" s="85">
        <f>IF(B1996="",0,+$T1996*$V1996)</f>
        <v>0.46113377632005144</v>
      </c>
      <c r="X1996" s="85">
        <f>IF(B1996="",0,IF(OR(H1996=MappingTables!$C$34,H1996=MappingTables!$C$35),W1996,0))</f>
        <v>0</v>
      </c>
    </row>
    <row r="1997" spans="2:24" s="0" customFormat="0" ht="15">
      <c r="B1997" s="69">
        <v>19812328</v>
      </c>
      <c r="C1997" s="70" t="s">
        <v>2137</v>
      </c>
      <c r="D1997" s="70" t="s">
        <v>1</v>
      </c>
      <c r="E1997" s="70" t="s">
        <v>1</v>
      </c>
      <c r="F1997" s="70"/>
      <c r="G1997" s="70" t="s">
        <v>61</v>
      </c>
      <c r="H1997" s="70" t="s">
        <v>178</v>
      </c>
      <c r="I1997" s="70" t="s">
        <v>184</v>
      </c>
      <c r="J1997" s="71">
        <f>IF(OR(I1997=0,I1997=""),"unrated",VLOOKUP(I1997,MappingTables!$B$19:$C$31,2,FALSE))</f>
        <v>5</v>
      </c>
      <c r="K1997" s="72">
        <v>479.84984857259968</v>
      </c>
      <c r="L1997" s="70">
        <v>0.3917841100975196</v>
      </c>
      <c r="M1997" s="71">
        <f>IF(L1997&lt;1,1,L1997)</f>
        <v>1</v>
      </c>
      <c r="N1997" s="70" t="s">
        <v>141</v>
      </c>
      <c r="O1997" s="71">
        <f>INDEX(DurClassMapping,MATCH(M1997,MappingTables!$D$4:$D$8,-1),1)</f>
        <v>1</v>
      </c>
      <c r="P1997" s="73">
        <f>IF(M1997=$A$1,1,$M1997-INDEX(MappingTables!$E$4:$E$8,MATCH(O1997,MappingTables!$B$4:$B$8,0)))</f>
        <v>1</v>
      </c>
      <c r="Q1997" s="71">
        <f>IF(B1997="",0,INDEX(ModelParameters!$D$6:$K$10,MATCH($O1997,ModelParameters!$B$6:$B$10,0),MATCH($J1997,ModelParameters!$D$5:$K$5,0)))</f>
        <v>0.075</v>
      </c>
      <c r="R1997" s="71">
        <f>IF(B1997="",0,INDEX(ModelParameters!$D$13:$K$17,MATCH($O1997,ModelParameters!$B$13:$B$17,0),MATCH($J1997,ModelParameters!$D$5:$K$5,0)))</f>
        <v>0</v>
      </c>
      <c r="S1997" s="160">
        <f>IF(B1997="",0,MIN(IF($N1997="Other Bond TM",ModelParameters!$N$21,1)*(P1997*Q1997+R1997),1))</f>
        <v>0.075</v>
      </c>
      <c r="T1997" s="85">
        <f>IF(B1997="",0,$S1997*$K1997)</f>
        <v>35.988738642944972</v>
      </c>
      <c r="U1997" s="85">
        <f>IF(B1997="",0,IF(OR(H1997=MappingTables!$C$34,H1997=MappingTables!$C$35),T1997,0))</f>
        <v>0</v>
      </c>
      <c r="V1997" s="85">
        <f>IF(ISNA(IF(AND(VLOOKUP(CONCATENATE($D1997,$G1997),CSRFinput!$B:$E,4,0)=0,OR(H1997=MappingTables!$C$34,H1997=MappingTables!$C$35)),1,VLOOKUP(CONCATENATE($D1997,$G1997),CSRFinput!$B:$E,4,0))),0,IF(AND(VLOOKUP(CONCATENATE($D1997,$G1997),CSRFinput!$B:$E,4,0)=0,OR(H1997=MappingTables!$C$34,H1997=MappingTables!$C$35)),1,VLOOKUP(CONCATENATE($D1997,$G1997),CSRFinput!$B:$E,4,0)))</f>
        <v>0.054776304963434752</v>
      </c>
      <c r="W1997" s="85">
        <f>IF(B1997="",0,+$T1997*$V1997)</f>
        <v>1.9713301231553028</v>
      </c>
      <c r="X1997" s="85">
        <f>IF(B1997="",0,IF(OR(H1997=MappingTables!$C$34,H1997=MappingTables!$C$35),W1997,0))</f>
        <v>0</v>
      </c>
    </row>
    <row r="1998" spans="2:24" s="0" customFormat="0" ht="15">
      <c r="B1998" s="69" t="s">
        <v>488</v>
      </c>
      <c r="C1998" s="70" t="s">
        <v>489</v>
      </c>
      <c r="D1998" s="70" t="s">
        <v>1</v>
      </c>
      <c r="E1998" s="70" t="s">
        <v>1</v>
      </c>
      <c r="F1998" s="70"/>
      <c r="G1998" s="70" t="s">
        <v>61</v>
      </c>
      <c r="H1998" s="70" t="s">
        <v>178</v>
      </c>
      <c r="I1998" s="70" t="s">
        <v>181</v>
      </c>
      <c r="J1998" s="71">
        <f>IF(OR(I1998=0,I1998=""),"unrated",VLOOKUP(I1998,MappingTables!$B$19:$C$31,2,FALSE))</f>
        <v>3</v>
      </c>
      <c r="K1998" s="72">
        <v>594.59518718168112</v>
      </c>
      <c r="L1998" s="70">
        <v>1.401049704494466</v>
      </c>
      <c r="M1998" s="71">
        <f>IF(L1998&lt;1,1,L1998)</f>
        <v>1.401049704494466</v>
      </c>
      <c r="N1998" s="70" t="s">
        <v>141</v>
      </c>
      <c r="O1998" s="71">
        <f>INDEX(DurClassMapping,MATCH(M1998,MappingTables!$D$4:$D$8,-1),1)</f>
        <v>1</v>
      </c>
      <c r="P1998" s="73">
        <f>IF(M1998=$A$1,1,$M1998-INDEX(MappingTables!$E$4:$E$8,MATCH(O1998,MappingTables!$B$4:$B$8,0)))</f>
        <v>1.401049704494466</v>
      </c>
      <c r="Q1998" s="71">
        <f>IF(B1998="",0,INDEX(ModelParameters!$D$6:$K$10,MATCH($O1998,ModelParameters!$B$6:$B$10,0),MATCH($J1998,ModelParameters!$D$5:$K$5,0)))</f>
        <v>0.025</v>
      </c>
      <c r="R1998" s="71">
        <f>IF(B1998="",0,INDEX(ModelParameters!$D$13:$K$17,MATCH($O1998,ModelParameters!$B$13:$B$17,0),MATCH($J1998,ModelParameters!$D$5:$K$5,0)))</f>
        <v>0</v>
      </c>
      <c r="S1998" s="160">
        <f>IF(B1998="",0,MIN(IF($N1998="Other Bond TM",ModelParameters!$N$21,1)*(P1998*Q1998+R1998),1))</f>
        <v>0.035026242612361652</v>
      </c>
      <c r="T1998" s="85">
        <f>IF(B1998="",0,$S1998*$K1998)</f>
        <v>20.826435282368152</v>
      </c>
      <c r="U1998" s="85">
        <f>IF(B1998="",0,IF(OR(H1998=MappingTables!$C$34,H1998=MappingTables!$C$35),T1998,0))</f>
        <v>0</v>
      </c>
      <c r="V1998" s="85">
        <f>IF(ISNA(IF(AND(VLOOKUP(CONCATENATE($D1998,$G1998),CSRFinput!$B:$E,4,0)=0,OR(H1998=MappingTables!$C$34,H1998=MappingTables!$C$35)),1,VLOOKUP(CONCATENATE($D1998,$G1998),CSRFinput!$B:$E,4,0))),0,IF(AND(VLOOKUP(CONCATENATE($D1998,$G1998),CSRFinput!$B:$E,4,0)=0,OR(H1998=MappingTables!$C$34,H1998=MappingTables!$C$35)),1,VLOOKUP(CONCATENATE($D1998,$G1998),CSRFinput!$B:$E,4,0)))</f>
        <v>0.054776304963434752</v>
      </c>
      <c r="W1998" s="85">
        <f>IF(B1998="",0,+$T1998*$V1998)</f>
        <v>1.1407951703282352</v>
      </c>
      <c r="X1998" s="85">
        <f>IF(B1998="",0,IF(OR(H1998=MappingTables!$C$34,H1998=MappingTables!$C$35),W1998,0))</f>
        <v>0</v>
      </c>
    </row>
    <row r="1999" spans="2:24" s="0" customFormat="0" ht="15">
      <c r="B1999" s="69">
        <v>18188305</v>
      </c>
      <c r="C1999" s="70" t="s">
        <v>2138</v>
      </c>
      <c r="D1999" s="70" t="s">
        <v>1</v>
      </c>
      <c r="E1999" s="70" t="s">
        <v>1</v>
      </c>
      <c r="F1999" s="70"/>
      <c r="G1999" s="70" t="s">
        <v>61</v>
      </c>
      <c r="H1999" s="70" t="s">
        <v>178</v>
      </c>
      <c r="I1999" s="70" t="s">
        <v>188</v>
      </c>
      <c r="J1999" s="71">
        <f>IF(OR(I1999=0,I1999=""),"unrated",VLOOKUP(I1999,MappingTables!$B$19:$C$31,2,FALSE))</f>
        <v>2</v>
      </c>
      <c r="K1999" s="72">
        <v>16.638107604412578</v>
      </c>
      <c r="L1999" s="70">
        <v>0.86775478592521056</v>
      </c>
      <c r="M1999" s="71">
        <f>IF(L1999&lt;1,1,L1999)</f>
        <v>1</v>
      </c>
      <c r="N1999" s="70" t="s">
        <v>141</v>
      </c>
      <c r="O1999" s="71">
        <f>INDEX(DurClassMapping,MATCH(M1999,MappingTables!$D$4:$D$8,-1),1)</f>
        <v>1</v>
      </c>
      <c r="P1999" s="73">
        <f>IF(M1999=$A$1,1,$M1999-INDEX(MappingTables!$E$4:$E$8,MATCH(O1999,MappingTables!$B$4:$B$8,0)))</f>
        <v>1</v>
      </c>
      <c r="Q1999" s="71">
        <f>IF(B1999="",0,INDEX(ModelParameters!$D$6:$K$10,MATCH($O1999,ModelParameters!$B$6:$B$10,0),MATCH($J1999,ModelParameters!$D$5:$K$5,0)))</f>
        <v>0.013999999999999998</v>
      </c>
      <c r="R1999" s="71">
        <f>IF(B1999="",0,INDEX(ModelParameters!$D$13:$K$17,MATCH($O1999,ModelParameters!$B$13:$B$17,0),MATCH($J1999,ModelParameters!$D$5:$K$5,0)))</f>
        <v>0</v>
      </c>
      <c r="S1999" s="160">
        <f>IF(B1999="",0,MIN(IF($N1999="Other Bond TM",ModelParameters!$N$21,1)*(P1999*Q1999+R1999),1))</f>
        <v>0.013999999999999998</v>
      </c>
      <c r="T1999" s="85">
        <f>IF(B1999="",0,$S1999*$K1999)</f>
        <v>0.23293350646177608</v>
      </c>
      <c r="U1999" s="85">
        <f>IF(B1999="",0,IF(OR(H1999=MappingTables!$C$34,H1999=MappingTables!$C$35),T1999,0))</f>
        <v>0</v>
      </c>
      <c r="V1999" s="85">
        <f>IF(ISNA(IF(AND(VLOOKUP(CONCATENATE($D1999,$G1999),CSRFinput!$B:$E,4,0)=0,OR(H1999=MappingTables!$C$34,H1999=MappingTables!$C$35)),1,VLOOKUP(CONCATENATE($D1999,$G1999),CSRFinput!$B:$E,4,0))),0,IF(AND(VLOOKUP(CONCATENATE($D1999,$G1999),CSRFinput!$B:$E,4,0)=0,OR(H1999=MappingTables!$C$34,H1999=MappingTables!$C$35)),1,VLOOKUP(CONCATENATE($D1999,$G1999),CSRFinput!$B:$E,4,0)))</f>
        <v>0.054776304963434752</v>
      </c>
      <c r="W1999" s="85">
        <f>IF(B1999="",0,+$T1999*$V1999)</f>
        <v>0.012759236786152446</v>
      </c>
      <c r="X1999" s="85">
        <f>IF(B1999="",0,IF(OR(H1999=MappingTables!$C$34,H1999=MappingTables!$C$35),W1999,0))</f>
        <v>0</v>
      </c>
    </row>
    <row r="2000" spans="2:24" s="0" customFormat="0" ht="15">
      <c r="B2000" s="69" t="s">
        <v>1645</v>
      </c>
      <c r="C2000" s="70" t="s">
        <v>1646</v>
      </c>
      <c r="D2000" s="70" t="s">
        <v>1</v>
      </c>
      <c r="E2000" s="70" t="s">
        <v>1</v>
      </c>
      <c r="F2000" s="70"/>
      <c r="G2000" s="70" t="s">
        <v>61</v>
      </c>
      <c r="H2000" s="70" t="s">
        <v>178</v>
      </c>
      <c r="I2000" s="70" t="s">
        <v>188</v>
      </c>
      <c r="J2000" s="71">
        <f>IF(OR(I2000=0,I2000=""),"unrated",VLOOKUP(I2000,MappingTables!$B$19:$C$31,2,FALSE))</f>
        <v>2</v>
      </c>
      <c r="K2000" s="72">
        <v>418.160879907154</v>
      </c>
      <c r="L2000" s="70">
        <v>6.711513910810544</v>
      </c>
      <c r="M2000" s="71">
        <f>IF(L2000&lt;1,1,L2000)</f>
        <v>6.711513910810544</v>
      </c>
      <c r="N2000" s="70" t="s">
        <v>141</v>
      </c>
      <c r="O2000" s="71">
        <f>INDEX(DurClassMapping,MATCH(M2000,MappingTables!$D$4:$D$8,-1),1)</f>
        <v>2</v>
      </c>
      <c r="P2000" s="73">
        <f>IF(M2000=$A$1,1,$M2000-INDEX(MappingTables!$E$4:$E$8,MATCH(O2000,MappingTables!$B$4:$B$8,0)))</f>
        <v>1.7115139108105444</v>
      </c>
      <c r="Q2000" s="71">
        <f>IF(B2000="",0,INDEX(ModelParameters!$D$6:$K$10,MATCH($O2000,ModelParameters!$B$6:$B$10,0),MATCH($J2000,ModelParameters!$D$5:$K$5,0)))</f>
        <v>0.0069999999999999992</v>
      </c>
      <c r="R2000" s="71">
        <f>IF(B2000="",0,INDEX(ModelParameters!$D$13:$K$17,MATCH($O2000,ModelParameters!$B$13:$B$17,0),MATCH($J2000,ModelParameters!$D$5:$K$5,0)))</f>
        <v>0.070000000000000008</v>
      </c>
      <c r="S2000" s="160">
        <f>IF(B2000="",0,MIN(IF($N2000="Other Bond TM",ModelParameters!$N$21,1)*(P2000*Q2000+R2000),1))</f>
        <v>0.081980597375673808</v>
      </c>
      <c r="T2000" s="85">
        <f>IF(B2000="",0,$S2000*$K2000)</f>
        <v>34.28107873392588</v>
      </c>
      <c r="U2000" s="85">
        <f>IF(B2000="",0,IF(OR(H2000=MappingTables!$C$34,H2000=MappingTables!$C$35),T2000,0))</f>
        <v>0</v>
      </c>
      <c r="V2000" s="85">
        <f>IF(ISNA(IF(AND(VLOOKUP(CONCATENATE($D2000,$G2000),CSRFinput!$B:$E,4,0)=0,OR(H2000=MappingTables!$C$34,H2000=MappingTables!$C$35)),1,VLOOKUP(CONCATENATE($D2000,$G2000),CSRFinput!$B:$E,4,0))),0,IF(AND(VLOOKUP(CONCATENATE($D2000,$G2000),CSRFinput!$B:$E,4,0)=0,OR(H2000=MappingTables!$C$34,H2000=MappingTables!$C$35)),1,VLOOKUP(CONCATENATE($D2000,$G2000),CSRFinput!$B:$E,4,0)))</f>
        <v>0.054776304963434752</v>
      </c>
      <c r="W2000" s="85">
        <f>IF(B2000="",0,+$T2000*$V2000)</f>
        <v>1.8777908232050416</v>
      </c>
      <c r="X2000" s="85">
        <f>IF(B2000="",0,IF(OR(H2000=MappingTables!$C$34,H2000=MappingTables!$C$35),W2000,0))</f>
        <v>0</v>
      </c>
    </row>
    <row r="2001" spans="2:24" s="0" customFormat="0" ht="15">
      <c r="B2001" s="69">
        <v>9454013</v>
      </c>
      <c r="C2001" s="70" t="s">
        <v>2139</v>
      </c>
      <c r="D2001" s="70" t="s">
        <v>1</v>
      </c>
      <c r="E2001" s="70" t="s">
        <v>1</v>
      </c>
      <c r="F2001" s="70"/>
      <c r="G2001" s="70" t="s">
        <v>61</v>
      </c>
      <c r="H2001" s="70" t="s">
        <v>178</v>
      </c>
      <c r="I2001" s="70" t="s">
        <v>204</v>
      </c>
      <c r="J2001" s="71">
        <f>IF(OR(I2001=0,I2001=""),"unrated",VLOOKUP(I2001,MappingTables!$B$19:$C$31,2,FALSE))</f>
        <v>6</v>
      </c>
      <c r="K2001" s="72">
        <v>395.10892587171936</v>
      </c>
      <c r="L2001" s="70">
        <v>3.3189413351314872</v>
      </c>
      <c r="M2001" s="71">
        <f>IF(L2001&lt;1,1,L2001)</f>
        <v>3.3189413351314872</v>
      </c>
      <c r="N2001" s="70" t="s">
        <v>141</v>
      </c>
      <c r="O2001" s="71">
        <f>INDEX(DurClassMapping,MATCH(M2001,MappingTables!$D$4:$D$8,-1),1)</f>
        <v>1</v>
      </c>
      <c r="P2001" s="73">
        <f>IF(M2001=$A$1,1,$M2001-INDEX(MappingTables!$E$4:$E$8,MATCH(O2001,MappingTables!$B$4:$B$8,0)))</f>
        <v>3.3189413351314872</v>
      </c>
      <c r="Q2001" s="71">
        <f>IF(B2001="",0,INDEX(ModelParameters!$D$6:$K$10,MATCH($O2001,ModelParameters!$B$6:$B$10,0),MATCH($J2001,ModelParameters!$D$5:$K$5,0)))</f>
        <v>0.075</v>
      </c>
      <c r="R2001" s="71">
        <f>IF(B2001="",0,INDEX(ModelParameters!$D$13:$K$17,MATCH($O2001,ModelParameters!$B$13:$B$17,0),MATCH($J2001,ModelParameters!$D$5:$K$5,0)))</f>
        <v>0</v>
      </c>
      <c r="S2001" s="160">
        <f>IF(B2001="",0,MIN(IF($N2001="Other Bond TM",ModelParameters!$N$21,1)*(P2001*Q2001+R2001),1))</f>
        <v>0.24892060013486152</v>
      </c>
      <c r="T2001" s="85">
        <f>IF(B2001="",0,$S2001*$K2001)</f>
        <v>98.350750946628896</v>
      </c>
      <c r="U2001" s="85">
        <f>IF(B2001="",0,IF(OR(H2001=MappingTables!$C$34,H2001=MappingTables!$C$35),T2001,0))</f>
        <v>0</v>
      </c>
      <c r="V2001" s="85">
        <f>IF(ISNA(IF(AND(VLOOKUP(CONCATENATE($D2001,$G2001),CSRFinput!$B:$E,4,0)=0,OR(H2001=MappingTables!$C$34,H2001=MappingTables!$C$35)),1,VLOOKUP(CONCATENATE($D2001,$G2001),CSRFinput!$B:$E,4,0))),0,IF(AND(VLOOKUP(CONCATENATE($D2001,$G2001),CSRFinput!$B:$E,4,0)=0,OR(H2001=MappingTables!$C$34,H2001=MappingTables!$C$35)),1,VLOOKUP(CONCATENATE($D2001,$G2001),CSRFinput!$B:$E,4,0)))</f>
        <v>0.054776304963434752</v>
      </c>
      <c r="W2001" s="85">
        <f>IF(B2001="",0,+$T2001*$V2001)</f>
        <v>5.387290727235364</v>
      </c>
      <c r="X2001" s="85">
        <f>IF(B2001="",0,IF(OR(H2001=MappingTables!$C$34,H2001=MappingTables!$C$35),W2001,0))</f>
        <v>0</v>
      </c>
    </row>
    <row r="2002" spans="2:24" s="0" customFormat="0" ht="15">
      <c r="B2002" s="69">
        <v>23305251</v>
      </c>
      <c r="C2002" s="70" t="s">
        <v>1905</v>
      </c>
      <c r="D2002" s="70" t="s">
        <v>1</v>
      </c>
      <c r="E2002" s="70" t="s">
        <v>1</v>
      </c>
      <c r="F2002" s="70"/>
      <c r="G2002" s="70" t="s">
        <v>61</v>
      </c>
      <c r="H2002" s="70" t="s">
        <v>178</v>
      </c>
      <c r="I2002" s="70" t="s">
        <v>179</v>
      </c>
      <c r="J2002" s="71">
        <f>IF(OR(I2002=0,I2002=""),"unrated",VLOOKUP(I2002,MappingTables!$B$19:$C$31,2,FALSE))</f>
        <v>4</v>
      </c>
      <c r="K2002" s="72">
        <v>13639.516293152648</v>
      </c>
      <c r="L2002" s="70">
        <v>10.347034986742134</v>
      </c>
      <c r="M2002" s="71">
        <f>IF(L2002&lt;1,1,L2002)</f>
        <v>10.347034986742134</v>
      </c>
      <c r="N2002" s="70" t="s">
        <v>141</v>
      </c>
      <c r="O2002" s="71">
        <f>INDEX(DurClassMapping,MATCH(M2002,MappingTables!$D$4:$D$8,-1),1)</f>
        <v>3</v>
      </c>
      <c r="P2002" s="73">
        <f>IF(M2002=$A$1,1,$M2002-INDEX(MappingTables!$E$4:$E$8,MATCH(O2002,MappingTables!$B$4:$B$8,0)))</f>
        <v>0.34703498674213408</v>
      </c>
      <c r="Q2002" s="71">
        <f>IF(B2002="",0,INDEX(ModelParameters!$D$6:$K$10,MATCH($O2002,ModelParameters!$B$6:$B$10,0),MATCH($J2002,ModelParameters!$D$5:$K$5,0)))</f>
        <v>0.018000000000000002</v>
      </c>
      <c r="R2002" s="71">
        <f>IF(B2002="",0,INDEX(ModelParameters!$D$13:$K$17,MATCH($O2002,ModelParameters!$B$13:$B$17,0),MATCH($J2002,ModelParameters!$D$5:$K$5,0)))</f>
        <v>0.34999999999999996</v>
      </c>
      <c r="S2002" s="160">
        <f>IF(B2002="",0,MIN(IF($N2002="Other Bond TM",ModelParameters!$N$21,1)*(P2002*Q2002+R2002),1))</f>
        <v>0.3562466297613584</v>
      </c>
      <c r="T2002" s="85">
        <f>IF(B2002="",0,$S2002*$K2002)</f>
        <v>4859.0317110107672</v>
      </c>
      <c r="U2002" s="85">
        <f>IF(B2002="",0,IF(OR(H2002=MappingTables!$C$34,H2002=MappingTables!$C$35),T2002,0))</f>
        <v>0</v>
      </c>
      <c r="V2002" s="85">
        <f>IF(ISNA(IF(AND(VLOOKUP(CONCATENATE($D2002,$G2002),CSRFinput!$B:$E,4,0)=0,OR(H2002=MappingTables!$C$34,H2002=MappingTables!$C$35)),1,VLOOKUP(CONCATENATE($D2002,$G2002),CSRFinput!$B:$E,4,0))),0,IF(AND(VLOOKUP(CONCATENATE($D2002,$G2002),CSRFinput!$B:$E,4,0)=0,OR(H2002=MappingTables!$C$34,H2002=MappingTables!$C$35)),1,VLOOKUP(CONCATENATE($D2002,$G2002),CSRFinput!$B:$E,4,0)))</f>
        <v>0.054776304963434752</v>
      </c>
      <c r="W2002" s="85">
        <f>IF(B2002="",0,+$T2002*$V2002)</f>
        <v>266.15980282932596</v>
      </c>
      <c r="X2002" s="85">
        <f>IF(B2002="",0,IF(OR(H2002=MappingTables!$C$34,H2002=MappingTables!$C$35),W2002,0))</f>
        <v>0</v>
      </c>
    </row>
    <row r="2003" spans="2:24" s="0" customFormat="0" ht="15">
      <c r="B2003" s="69">
        <v>18052009</v>
      </c>
      <c r="C2003" s="70" t="s">
        <v>2140</v>
      </c>
      <c r="D2003" s="70" t="s">
        <v>1</v>
      </c>
      <c r="E2003" s="70" t="s">
        <v>1</v>
      </c>
      <c r="F2003" s="70"/>
      <c r="G2003" s="70" t="s">
        <v>61</v>
      </c>
      <c r="H2003" s="70" t="s">
        <v>178</v>
      </c>
      <c r="I2003" s="70" t="s">
        <v>179</v>
      </c>
      <c r="J2003" s="71">
        <f>IF(OR(I2003=0,I2003=""),"unrated",VLOOKUP(I2003,MappingTables!$B$19:$C$31,2,FALSE))</f>
        <v>4</v>
      </c>
      <c r="K2003" s="72">
        <v>5241.5944432968872</v>
      </c>
      <c r="L2003" s="70">
        <v>0.093148658983285184</v>
      </c>
      <c r="M2003" s="71">
        <f>IF(L2003&lt;1,1,L2003)</f>
        <v>1</v>
      </c>
      <c r="N2003" s="70" t="s">
        <v>141</v>
      </c>
      <c r="O2003" s="71">
        <f>INDEX(DurClassMapping,MATCH(M2003,MappingTables!$D$4:$D$8,-1),1)</f>
        <v>1</v>
      </c>
      <c r="P2003" s="73">
        <f>IF(M2003=$A$1,1,$M2003-INDEX(MappingTables!$E$4:$E$8,MATCH(O2003,MappingTables!$B$4:$B$8,0)))</f>
        <v>1</v>
      </c>
      <c r="Q2003" s="71">
        <f>IF(B2003="",0,INDEX(ModelParameters!$D$6:$K$10,MATCH($O2003,ModelParameters!$B$6:$B$10,0),MATCH($J2003,ModelParameters!$D$5:$K$5,0)))</f>
        <v>0.045</v>
      </c>
      <c r="R2003" s="71">
        <f>IF(B2003="",0,INDEX(ModelParameters!$D$13:$K$17,MATCH($O2003,ModelParameters!$B$13:$B$17,0),MATCH($J2003,ModelParameters!$D$5:$K$5,0)))</f>
        <v>0</v>
      </c>
      <c r="S2003" s="160">
        <f>IF(B2003="",0,MIN(IF($N2003="Other Bond TM",ModelParameters!$N$21,1)*(P2003*Q2003+R2003),1))</f>
        <v>0.045</v>
      </c>
      <c r="T2003" s="85">
        <f>IF(B2003="",0,$S2003*$K2003)</f>
        <v>235.87174994835992</v>
      </c>
      <c r="U2003" s="85">
        <f>IF(B2003="",0,IF(OR(H2003=MappingTables!$C$34,H2003=MappingTables!$C$35),T2003,0))</f>
        <v>0</v>
      </c>
      <c r="V2003" s="85">
        <f>IF(ISNA(IF(AND(VLOOKUP(CONCATENATE($D2003,$G2003),CSRFinput!$B:$E,4,0)=0,OR(H2003=MappingTables!$C$34,H2003=MappingTables!$C$35)),1,VLOOKUP(CONCATENATE($D2003,$G2003),CSRFinput!$B:$E,4,0))),0,IF(AND(VLOOKUP(CONCATENATE($D2003,$G2003),CSRFinput!$B:$E,4,0)=0,OR(H2003=MappingTables!$C$34,H2003=MappingTables!$C$35)),1,VLOOKUP(CONCATENATE($D2003,$G2003),CSRFinput!$B:$E,4,0)))</f>
        <v>0.054776304963434752</v>
      </c>
      <c r="W2003" s="85">
        <f>IF(B2003="",0,+$T2003*$V2003)</f>
        <v>12.920182907430388</v>
      </c>
      <c r="X2003" s="85">
        <f>IF(B2003="",0,IF(OR(H2003=MappingTables!$C$34,H2003=MappingTables!$C$35),W2003,0))</f>
        <v>0</v>
      </c>
    </row>
    <row r="2004" spans="2:24" s="0" customFormat="0" ht="15">
      <c r="B2004" s="69">
        <v>13672875</v>
      </c>
      <c r="C2004" s="70" t="s">
        <v>2141</v>
      </c>
      <c r="D2004" s="70" t="s">
        <v>1</v>
      </c>
      <c r="E2004" s="70" t="s">
        <v>1</v>
      </c>
      <c r="F2004" s="70"/>
      <c r="G2004" s="70" t="s">
        <v>61</v>
      </c>
      <c r="H2004" s="70" t="s">
        <v>178</v>
      </c>
      <c r="I2004" s="70" t="s">
        <v>181</v>
      </c>
      <c r="J2004" s="71">
        <f>IF(OR(I2004=0,I2004=""),"unrated",VLOOKUP(I2004,MappingTables!$B$19:$C$31,2,FALSE))</f>
        <v>3</v>
      </c>
      <c r="K2004" s="72">
        <v>183.64741638420792</v>
      </c>
      <c r="L2004" s="70">
        <v>5.6240868963254976</v>
      </c>
      <c r="M2004" s="71">
        <f>IF(L2004&lt;1,1,L2004)</f>
        <v>5.6240868963254976</v>
      </c>
      <c r="N2004" s="70" t="s">
        <v>141</v>
      </c>
      <c r="O2004" s="71">
        <f>INDEX(DurClassMapping,MATCH(M2004,MappingTables!$D$4:$D$8,-1),1)</f>
        <v>2</v>
      </c>
      <c r="P2004" s="73">
        <f>IF(M2004=$A$1,1,$M2004-INDEX(MappingTables!$E$4:$E$8,MATCH(O2004,MappingTables!$B$4:$B$8,0)))</f>
        <v>0.62408689632549752</v>
      </c>
      <c r="Q2004" s="71">
        <f>IF(B2004="",0,INDEX(ModelParameters!$D$6:$K$10,MATCH($O2004,ModelParameters!$B$6:$B$10,0),MATCH($J2004,ModelParameters!$D$5:$K$5,0)))</f>
        <v>0.015</v>
      </c>
      <c r="R2004" s="71">
        <f>IF(B2004="",0,INDEX(ModelParameters!$D$13:$K$17,MATCH($O2004,ModelParameters!$B$13:$B$17,0),MATCH($J2004,ModelParameters!$D$5:$K$5,0)))</f>
        <v>0.125</v>
      </c>
      <c r="S2004" s="160">
        <f>IF(B2004="",0,MIN(IF($N2004="Other Bond TM",ModelParameters!$N$21,1)*(P2004*Q2004+R2004),1))</f>
        <v>0.13436130344488246</v>
      </c>
      <c r="T2004" s="85">
        <f>IF(B2004="",0,$S2004*$K2004)</f>
        <v>24.67510623966724</v>
      </c>
      <c r="U2004" s="85">
        <f>IF(B2004="",0,IF(OR(H2004=MappingTables!$C$34,H2004=MappingTables!$C$35),T2004,0))</f>
        <v>0</v>
      </c>
      <c r="V2004" s="85">
        <f>IF(ISNA(IF(AND(VLOOKUP(CONCATENATE($D2004,$G2004),CSRFinput!$B:$E,4,0)=0,OR(H2004=MappingTables!$C$34,H2004=MappingTables!$C$35)),1,VLOOKUP(CONCATENATE($D2004,$G2004),CSRFinput!$B:$E,4,0))),0,IF(AND(VLOOKUP(CONCATENATE($D2004,$G2004),CSRFinput!$B:$E,4,0)=0,OR(H2004=MappingTables!$C$34,H2004=MappingTables!$C$35)),1,VLOOKUP(CONCATENATE($D2004,$G2004),CSRFinput!$B:$E,4,0)))</f>
        <v>0.054776304963434752</v>
      </c>
      <c r="W2004" s="85">
        <f>IF(B2004="",0,+$T2004*$V2004)</f>
        <v>1.3516111443891646</v>
      </c>
      <c r="X2004" s="85">
        <f>IF(B2004="",0,IF(OR(H2004=MappingTables!$C$34,H2004=MappingTables!$C$35),W2004,0))</f>
        <v>0</v>
      </c>
    </row>
    <row r="2005" spans="2:24" s="0" customFormat="0" ht="15">
      <c r="B2005" s="69">
        <v>20173127</v>
      </c>
      <c r="C2005" s="70" t="s">
        <v>358</v>
      </c>
      <c r="D2005" s="70" t="s">
        <v>1</v>
      </c>
      <c r="E2005" s="70" t="s">
        <v>1</v>
      </c>
      <c r="F2005" s="70"/>
      <c r="G2005" s="70" t="s">
        <v>61</v>
      </c>
      <c r="H2005" s="70" t="s">
        <v>178</v>
      </c>
      <c r="I2005" s="70" t="s">
        <v>188</v>
      </c>
      <c r="J2005" s="71">
        <f>IF(OR(I2005=0,I2005=""),"unrated",VLOOKUP(I2005,MappingTables!$B$19:$C$31,2,FALSE))</f>
        <v>2</v>
      </c>
      <c r="K2005" s="72">
        <v>438.52392884791592</v>
      </c>
      <c r="L2005" s="70">
        <v>3.3115758161074256</v>
      </c>
      <c r="M2005" s="71">
        <f>IF(L2005&lt;1,1,L2005)</f>
        <v>3.3115758161074256</v>
      </c>
      <c r="N2005" s="70" t="s">
        <v>141</v>
      </c>
      <c r="O2005" s="71">
        <f>INDEX(DurClassMapping,MATCH(M2005,MappingTables!$D$4:$D$8,-1),1)</f>
        <v>1</v>
      </c>
      <c r="P2005" s="73">
        <f>IF(M2005=$A$1,1,$M2005-INDEX(MappingTables!$E$4:$E$8,MATCH(O2005,MappingTables!$B$4:$B$8,0)))</f>
        <v>3.3115758161074256</v>
      </c>
      <c r="Q2005" s="71">
        <f>IF(B2005="",0,INDEX(ModelParameters!$D$6:$K$10,MATCH($O2005,ModelParameters!$B$6:$B$10,0),MATCH($J2005,ModelParameters!$D$5:$K$5,0)))</f>
        <v>0.013999999999999998</v>
      </c>
      <c r="R2005" s="71">
        <f>IF(B2005="",0,INDEX(ModelParameters!$D$13:$K$17,MATCH($O2005,ModelParameters!$B$13:$B$17,0),MATCH($J2005,ModelParameters!$D$5:$K$5,0)))</f>
        <v>0</v>
      </c>
      <c r="S2005" s="160">
        <f>IF(B2005="",0,MIN(IF($N2005="Other Bond TM",ModelParameters!$N$21,1)*(P2005*Q2005+R2005),1))</f>
        <v>0.046362061425503952</v>
      </c>
      <c r="T2005" s="85">
        <f>IF(B2005="",0,$S2005*$K2005)</f>
        <v>20.330873325800404</v>
      </c>
      <c r="U2005" s="85">
        <f>IF(B2005="",0,IF(OR(H2005=MappingTables!$C$34,H2005=MappingTables!$C$35),T2005,0))</f>
        <v>0</v>
      </c>
      <c r="V2005" s="85">
        <f>IF(ISNA(IF(AND(VLOOKUP(CONCATENATE($D2005,$G2005),CSRFinput!$B:$E,4,0)=0,OR(H2005=MappingTables!$C$34,H2005=MappingTables!$C$35)),1,VLOOKUP(CONCATENATE($D2005,$G2005),CSRFinput!$B:$E,4,0))),0,IF(AND(VLOOKUP(CONCATENATE($D2005,$G2005),CSRFinput!$B:$E,4,0)=0,OR(H2005=MappingTables!$C$34,H2005=MappingTables!$C$35)),1,VLOOKUP(CONCATENATE($D2005,$G2005),CSRFinput!$B:$E,4,0)))</f>
        <v>0.054776304963434752</v>
      </c>
      <c r="W2005" s="85">
        <f>IF(B2005="",0,+$T2005*$V2005)</f>
        <v>1.113650117467004</v>
      </c>
      <c r="X2005" s="85">
        <f>IF(B2005="",0,IF(OR(H2005=MappingTables!$C$34,H2005=MappingTables!$C$35),W2005,0))</f>
        <v>0</v>
      </c>
    </row>
    <row r="2006" spans="2:24" s="0" customFormat="0" ht="15">
      <c r="B2006" s="69">
        <v>7219469</v>
      </c>
      <c r="C2006" s="70" t="s">
        <v>350</v>
      </c>
      <c r="D2006" s="70" t="s">
        <v>1</v>
      </c>
      <c r="E2006" s="70" t="s">
        <v>1</v>
      </c>
      <c r="F2006" s="70"/>
      <c r="G2006" s="70" t="s">
        <v>61</v>
      </c>
      <c r="H2006" s="70" t="s">
        <v>178</v>
      </c>
      <c r="I2006" s="70" t="s">
        <v>188</v>
      </c>
      <c r="J2006" s="71">
        <f>IF(OR(I2006=0,I2006=""),"unrated",VLOOKUP(I2006,MappingTables!$B$19:$C$31,2,FALSE))</f>
        <v>2</v>
      </c>
      <c r="K2006" s="72">
        <v>2.5445446763163672</v>
      </c>
      <c r="L2006" s="70">
        <v>1.2162210665642666</v>
      </c>
      <c r="M2006" s="71">
        <f>IF(L2006&lt;1,1,L2006)</f>
        <v>1.2162210665642666</v>
      </c>
      <c r="N2006" s="70" t="s">
        <v>141</v>
      </c>
      <c r="O2006" s="71">
        <f>INDEX(DurClassMapping,MATCH(M2006,MappingTables!$D$4:$D$8,-1),1)</f>
        <v>1</v>
      </c>
      <c r="P2006" s="73">
        <f>IF(M2006=$A$1,1,$M2006-INDEX(MappingTables!$E$4:$E$8,MATCH(O2006,MappingTables!$B$4:$B$8,0)))</f>
        <v>1.2162210665642666</v>
      </c>
      <c r="Q2006" s="71">
        <f>IF(B2006="",0,INDEX(ModelParameters!$D$6:$K$10,MATCH($O2006,ModelParameters!$B$6:$B$10,0),MATCH($J2006,ModelParameters!$D$5:$K$5,0)))</f>
        <v>0.013999999999999998</v>
      </c>
      <c r="R2006" s="71">
        <f>IF(B2006="",0,INDEX(ModelParameters!$D$13:$K$17,MATCH($O2006,ModelParameters!$B$13:$B$17,0),MATCH($J2006,ModelParameters!$D$5:$K$5,0)))</f>
        <v>0</v>
      </c>
      <c r="S2006" s="160">
        <f>IF(B2006="",0,MIN(IF($N2006="Other Bond TM",ModelParameters!$N$21,1)*(P2006*Q2006+R2006),1))</f>
        <v>0.01702709493189973</v>
      </c>
      <c r="T2006" s="85">
        <f>IF(B2006="",0,$S2006*$K2006)</f>
        <v>0.043326203762098856</v>
      </c>
      <c r="U2006" s="85">
        <f>IF(B2006="",0,IF(OR(H2006=MappingTables!$C$34,H2006=MappingTables!$C$35),T2006,0))</f>
        <v>0</v>
      </c>
      <c r="V2006" s="85">
        <f>IF(ISNA(IF(AND(VLOOKUP(CONCATENATE($D2006,$G2006),CSRFinput!$B:$E,4,0)=0,OR(H2006=MappingTables!$C$34,H2006=MappingTables!$C$35)),1,VLOOKUP(CONCATENATE($D2006,$G2006),CSRFinput!$B:$E,4,0))),0,IF(AND(VLOOKUP(CONCATENATE($D2006,$G2006),CSRFinput!$B:$E,4,0)=0,OR(H2006=MappingTables!$C$34,H2006=MappingTables!$C$35)),1,VLOOKUP(CONCATENATE($D2006,$G2006),CSRFinput!$B:$E,4,0)))</f>
        <v>0.054776304963434752</v>
      </c>
      <c r="W2006" s="85">
        <f>IF(B2006="",0,+$T2006*$V2006)</f>
        <v>0.0023732493501806412</v>
      </c>
      <c r="X2006" s="85">
        <f>IF(B2006="",0,IF(OR(H2006=MappingTables!$C$34,H2006=MappingTables!$C$35),W2006,0))</f>
        <v>0</v>
      </c>
    </row>
    <row r="2007" spans="2:24" s="0" customFormat="0" ht="15">
      <c r="B2007" s="69">
        <v>19005883</v>
      </c>
      <c r="C2007" s="70" t="s">
        <v>1687</v>
      </c>
      <c r="D2007" s="70" t="s">
        <v>1</v>
      </c>
      <c r="E2007" s="70" t="s">
        <v>1</v>
      </c>
      <c r="F2007" s="70"/>
      <c r="G2007" s="70" t="s">
        <v>61</v>
      </c>
      <c r="H2007" s="70" t="s">
        <v>178</v>
      </c>
      <c r="I2007" s="70" t="s">
        <v>181</v>
      </c>
      <c r="J2007" s="71">
        <f>IF(OR(I2007=0,I2007=""),"unrated",VLOOKUP(I2007,MappingTables!$B$19:$C$31,2,FALSE))</f>
        <v>3</v>
      </c>
      <c r="K2007" s="72">
        <v>169.83269724949576</v>
      </c>
      <c r="L2007" s="70">
        <v>1.0669650474052008</v>
      </c>
      <c r="M2007" s="71">
        <f>IF(L2007&lt;1,1,L2007)</f>
        <v>1.0669650474052008</v>
      </c>
      <c r="N2007" s="70" t="s">
        <v>141</v>
      </c>
      <c r="O2007" s="71">
        <f>INDEX(DurClassMapping,MATCH(M2007,MappingTables!$D$4:$D$8,-1),1)</f>
        <v>1</v>
      </c>
      <c r="P2007" s="73">
        <f>IF(M2007=$A$1,1,$M2007-INDEX(MappingTables!$E$4:$E$8,MATCH(O2007,MappingTables!$B$4:$B$8,0)))</f>
        <v>1.0669650474052008</v>
      </c>
      <c r="Q2007" s="71">
        <f>IF(B2007="",0,INDEX(ModelParameters!$D$6:$K$10,MATCH($O2007,ModelParameters!$B$6:$B$10,0),MATCH($J2007,ModelParameters!$D$5:$K$5,0)))</f>
        <v>0.025</v>
      </c>
      <c r="R2007" s="71">
        <f>IF(B2007="",0,INDEX(ModelParameters!$D$13:$K$17,MATCH($O2007,ModelParameters!$B$13:$B$17,0),MATCH($J2007,ModelParameters!$D$5:$K$5,0)))</f>
        <v>0</v>
      </c>
      <c r="S2007" s="160">
        <f>IF(B2007="",0,MIN(IF($N2007="Other Bond TM",ModelParameters!$N$21,1)*(P2007*Q2007+R2007),1))</f>
        <v>0.02667412618513002</v>
      </c>
      <c r="T2007" s="85">
        <f>IF(B2007="",0,$S2007*$K2007)</f>
        <v>4.5301387967940344</v>
      </c>
      <c r="U2007" s="85">
        <f>IF(B2007="",0,IF(OR(H2007=MappingTables!$C$34,H2007=MappingTables!$C$35),T2007,0))</f>
        <v>0</v>
      </c>
      <c r="V2007" s="85">
        <f>IF(ISNA(IF(AND(VLOOKUP(CONCATENATE($D2007,$G2007),CSRFinput!$B:$E,4,0)=0,OR(H2007=MappingTables!$C$34,H2007=MappingTables!$C$35)),1,VLOOKUP(CONCATENATE($D2007,$G2007),CSRFinput!$B:$E,4,0))),0,IF(AND(VLOOKUP(CONCATENATE($D2007,$G2007),CSRFinput!$B:$E,4,0)=0,OR(H2007=MappingTables!$C$34,H2007=MappingTables!$C$35)),1,VLOOKUP(CONCATENATE($D2007,$G2007),CSRFinput!$B:$E,4,0)))</f>
        <v>0.054776304963434752</v>
      </c>
      <c r="W2007" s="85">
        <f>IF(B2007="",0,+$T2007*$V2007)</f>
        <v>0.2481442642598774</v>
      </c>
      <c r="X2007" s="85">
        <f>IF(B2007="",0,IF(OR(H2007=MappingTables!$C$34,H2007=MappingTables!$C$35),W2007,0))</f>
        <v>0</v>
      </c>
    </row>
    <row r="2008" spans="2:24" s="0" customFormat="0" ht="15">
      <c r="B2008" s="69" t="s">
        <v>610</v>
      </c>
      <c r="C2008" s="70" t="s">
        <v>611</v>
      </c>
      <c r="D2008" s="70" t="s">
        <v>1</v>
      </c>
      <c r="E2008" s="70" t="s">
        <v>1</v>
      </c>
      <c r="F2008" s="70"/>
      <c r="G2008" s="70" t="s">
        <v>61</v>
      </c>
      <c r="H2008" s="70" t="s">
        <v>178</v>
      </c>
      <c r="I2008" s="70" t="s">
        <v>198</v>
      </c>
      <c r="J2008" s="71" t="str">
        <f>IF(OR(I2008=0,I2008=""),"unrated",VLOOKUP(I2008,MappingTables!$B$19:$C$31,2,FALSE))</f>
        <v>unrated</v>
      </c>
      <c r="K2008" s="72">
        <v>63.38603235453216</v>
      </c>
      <c r="L2008" s="70">
        <v>4.666798825132236</v>
      </c>
      <c r="M2008" s="71">
        <f>IF(L2008&lt;1,1,L2008)</f>
        <v>4.666798825132236</v>
      </c>
      <c r="N2008" s="70" t="s">
        <v>141</v>
      </c>
      <c r="O2008" s="71">
        <f>INDEX(DurClassMapping,MATCH(M2008,MappingTables!$D$4:$D$8,-1),1)</f>
        <v>1</v>
      </c>
      <c r="P2008" s="73">
        <f>IF(M2008=$A$1,1,$M2008-INDEX(MappingTables!$E$4:$E$8,MATCH(O2008,MappingTables!$B$4:$B$8,0)))</f>
        <v>4.666798825132236</v>
      </c>
      <c r="Q2008" s="71">
        <f>IF(B2008="",0,INDEX(ModelParameters!$D$6:$K$10,MATCH($O2008,ModelParameters!$B$6:$B$10,0),MATCH($J2008,ModelParameters!$D$5:$K$5,0)))</f>
        <v>0.03</v>
      </c>
      <c r="R2008" s="71">
        <f>IF(B2008="",0,INDEX(ModelParameters!$D$13:$K$17,MATCH($O2008,ModelParameters!$B$13:$B$17,0),MATCH($J2008,ModelParameters!$D$5:$K$5,0)))</f>
        <v>0</v>
      </c>
      <c r="S2008" s="160">
        <f>IF(B2008="",0,MIN(IF($N2008="Other Bond TM",ModelParameters!$N$21,1)*(P2008*Q2008+R2008),1))</f>
        <v>0.1400039647539671</v>
      </c>
      <c r="T2008" s="85">
        <f>IF(B2008="",0,$S2008*$K2008)</f>
        <v>8.8742958396577392</v>
      </c>
      <c r="U2008" s="85">
        <f>IF(B2008="",0,IF(OR(H2008=MappingTables!$C$34,H2008=MappingTables!$C$35),T2008,0))</f>
        <v>0</v>
      </c>
      <c r="V2008" s="85">
        <f>IF(ISNA(IF(AND(VLOOKUP(CONCATENATE($D2008,$G2008),CSRFinput!$B:$E,4,0)=0,OR(H2008=MappingTables!$C$34,H2008=MappingTables!$C$35)),1,VLOOKUP(CONCATENATE($D2008,$G2008),CSRFinput!$B:$E,4,0))),0,IF(AND(VLOOKUP(CONCATENATE($D2008,$G2008),CSRFinput!$B:$E,4,0)=0,OR(H2008=MappingTables!$C$34,H2008=MappingTables!$C$35)),1,VLOOKUP(CONCATENATE($D2008,$G2008),CSRFinput!$B:$E,4,0)))</f>
        <v>0.054776304963434752</v>
      </c>
      <c r="W2008" s="85">
        <f>IF(B2008="",0,+$T2008*$V2008)</f>
        <v>0.48610113524883256</v>
      </c>
      <c r="X2008" s="85">
        <f>IF(B2008="",0,IF(OR(H2008=MappingTables!$C$34,H2008=MappingTables!$C$35),W2008,0))</f>
        <v>0</v>
      </c>
    </row>
    <row r="2009" spans="2:24" s="0" customFormat="0" ht="15">
      <c r="B2009" s="69">
        <v>14676162</v>
      </c>
      <c r="C2009" s="70" t="s">
        <v>2142</v>
      </c>
      <c r="D2009" s="70" t="s">
        <v>1</v>
      </c>
      <c r="E2009" s="70" t="s">
        <v>1</v>
      </c>
      <c r="F2009" s="70"/>
      <c r="G2009" s="70" t="s">
        <v>61</v>
      </c>
      <c r="H2009" s="70" t="s">
        <v>178</v>
      </c>
      <c r="I2009" s="70" t="s">
        <v>181</v>
      </c>
      <c r="J2009" s="71">
        <f>IF(OR(I2009=0,I2009=""),"unrated",VLOOKUP(I2009,MappingTables!$B$19:$C$31,2,FALSE))</f>
        <v>3</v>
      </c>
      <c r="K2009" s="72">
        <v>2228.4234452557328</v>
      </c>
      <c r="L2009" s="70">
        <v>5.5182848433659192</v>
      </c>
      <c r="M2009" s="71">
        <f>IF(L2009&lt;1,1,L2009)</f>
        <v>5.5182848433659192</v>
      </c>
      <c r="N2009" s="70" t="s">
        <v>141</v>
      </c>
      <c r="O2009" s="71">
        <f>INDEX(DurClassMapping,MATCH(M2009,MappingTables!$D$4:$D$8,-1),1)</f>
        <v>2</v>
      </c>
      <c r="P2009" s="73">
        <f>IF(M2009=$A$1,1,$M2009-INDEX(MappingTables!$E$4:$E$8,MATCH(O2009,MappingTables!$B$4:$B$8,0)))</f>
        <v>0.51828484336591888</v>
      </c>
      <c r="Q2009" s="71">
        <f>IF(B2009="",0,INDEX(ModelParameters!$D$6:$K$10,MATCH($O2009,ModelParameters!$B$6:$B$10,0),MATCH($J2009,ModelParameters!$D$5:$K$5,0)))</f>
        <v>0.015</v>
      </c>
      <c r="R2009" s="71">
        <f>IF(B2009="",0,INDEX(ModelParameters!$D$13:$K$17,MATCH($O2009,ModelParameters!$B$13:$B$17,0),MATCH($J2009,ModelParameters!$D$5:$K$5,0)))</f>
        <v>0.125</v>
      </c>
      <c r="S2009" s="160">
        <f>IF(B2009="",0,MIN(IF($N2009="Other Bond TM",ModelParameters!$N$21,1)*(P2009*Q2009+R2009),1))</f>
        <v>0.13277427265048878</v>
      </c>
      <c r="T2009" s="85">
        <f>IF(B2009="",0,$S2009*$K2009)</f>
        <v>295.87730210112624</v>
      </c>
      <c r="U2009" s="85">
        <f>IF(B2009="",0,IF(OR(H2009=MappingTables!$C$34,H2009=MappingTables!$C$35),T2009,0))</f>
        <v>0</v>
      </c>
      <c r="V2009" s="85">
        <f>IF(ISNA(IF(AND(VLOOKUP(CONCATENATE($D2009,$G2009),CSRFinput!$B:$E,4,0)=0,OR(H2009=MappingTables!$C$34,H2009=MappingTables!$C$35)),1,VLOOKUP(CONCATENATE($D2009,$G2009),CSRFinput!$B:$E,4,0))),0,IF(AND(VLOOKUP(CONCATENATE($D2009,$G2009),CSRFinput!$B:$E,4,0)=0,OR(H2009=MappingTables!$C$34,H2009=MappingTables!$C$35)),1,VLOOKUP(CONCATENATE($D2009,$G2009),CSRFinput!$B:$E,4,0)))</f>
        <v>0.054776304963434752</v>
      </c>
      <c r="W2009" s="85">
        <f>IF(B2009="",0,+$T2009*$V2009)</f>
        <v>16.207065331649606</v>
      </c>
      <c r="X2009" s="85">
        <f>IF(B2009="",0,IF(OR(H2009=MappingTables!$C$34,H2009=MappingTables!$C$35),W2009,0))</f>
        <v>0</v>
      </c>
    </row>
    <row r="2010" spans="2:24" s="0" customFormat="0" ht="15">
      <c r="B2010" s="69">
        <v>16140030</v>
      </c>
      <c r="C2010" s="70" t="s">
        <v>1347</v>
      </c>
      <c r="D2010" s="70" t="s">
        <v>1</v>
      </c>
      <c r="E2010" s="70" t="s">
        <v>1</v>
      </c>
      <c r="F2010" s="70"/>
      <c r="G2010" s="70" t="s">
        <v>61</v>
      </c>
      <c r="H2010" s="70" t="s">
        <v>178</v>
      </c>
      <c r="I2010" s="70" t="s">
        <v>181</v>
      </c>
      <c r="J2010" s="71">
        <f>IF(OR(I2010=0,I2010=""),"unrated",VLOOKUP(I2010,MappingTables!$B$19:$C$31,2,FALSE))</f>
        <v>3</v>
      </c>
      <c r="K2010" s="72">
        <v>142.68541067874042</v>
      </c>
      <c r="L2010" s="70">
        <v>2.1640673562859848</v>
      </c>
      <c r="M2010" s="71">
        <f>IF(L2010&lt;1,1,L2010)</f>
        <v>2.1640673562859848</v>
      </c>
      <c r="N2010" s="70" t="s">
        <v>141</v>
      </c>
      <c r="O2010" s="71">
        <f>INDEX(DurClassMapping,MATCH(M2010,MappingTables!$D$4:$D$8,-1),1)</f>
        <v>1</v>
      </c>
      <c r="P2010" s="73">
        <f>IF(M2010=$A$1,1,$M2010-INDEX(MappingTables!$E$4:$E$8,MATCH(O2010,MappingTables!$B$4:$B$8,0)))</f>
        <v>2.1640673562859848</v>
      </c>
      <c r="Q2010" s="71">
        <f>IF(B2010="",0,INDEX(ModelParameters!$D$6:$K$10,MATCH($O2010,ModelParameters!$B$6:$B$10,0),MATCH($J2010,ModelParameters!$D$5:$K$5,0)))</f>
        <v>0.025</v>
      </c>
      <c r="R2010" s="71">
        <f>IF(B2010="",0,INDEX(ModelParameters!$D$13:$K$17,MATCH($O2010,ModelParameters!$B$13:$B$17,0),MATCH($J2010,ModelParameters!$D$5:$K$5,0)))</f>
        <v>0</v>
      </c>
      <c r="S2010" s="160">
        <f>IF(B2010="",0,MIN(IF($N2010="Other Bond TM",ModelParameters!$N$21,1)*(P2010*Q2010+R2010),1))</f>
        <v>0.054101683907149624</v>
      </c>
      <c r="T2010" s="85">
        <f>IF(B2010="",0,$S2010*$K2010)</f>
        <v>7.7195209867030464</v>
      </c>
      <c r="U2010" s="85">
        <f>IF(B2010="",0,IF(OR(H2010=MappingTables!$C$34,H2010=MappingTables!$C$35),T2010,0))</f>
        <v>0</v>
      </c>
      <c r="V2010" s="85">
        <f>IF(ISNA(IF(AND(VLOOKUP(CONCATENATE($D2010,$G2010),CSRFinput!$B:$E,4,0)=0,OR(H2010=MappingTables!$C$34,H2010=MappingTables!$C$35)),1,VLOOKUP(CONCATENATE($D2010,$G2010),CSRFinput!$B:$E,4,0))),0,IF(AND(VLOOKUP(CONCATENATE($D2010,$G2010),CSRFinput!$B:$E,4,0)=0,OR(H2010=MappingTables!$C$34,H2010=MappingTables!$C$35)),1,VLOOKUP(CONCATENATE($D2010,$G2010),CSRFinput!$B:$E,4,0)))</f>
        <v>0.054776304963434752</v>
      </c>
      <c r="W2010" s="85">
        <f>IF(B2010="",0,+$T2010*$V2010)</f>
        <v>0.4228468357392808</v>
      </c>
      <c r="X2010" s="85">
        <f>IF(B2010="",0,IF(OR(H2010=MappingTables!$C$34,H2010=MappingTables!$C$35),W2010,0))</f>
        <v>0</v>
      </c>
    </row>
    <row r="2011" spans="2:24" s="0" customFormat="0" ht="15">
      <c r="B2011" s="69">
        <v>21917556</v>
      </c>
      <c r="C2011" s="70" t="s">
        <v>2143</v>
      </c>
      <c r="D2011" s="70" t="s">
        <v>1</v>
      </c>
      <c r="E2011" s="70" t="s">
        <v>1</v>
      </c>
      <c r="F2011" s="70"/>
      <c r="G2011" s="70" t="s">
        <v>61</v>
      </c>
      <c r="H2011" s="70" t="s">
        <v>178</v>
      </c>
      <c r="I2011" s="70" t="s">
        <v>188</v>
      </c>
      <c r="J2011" s="71">
        <f>IF(OR(I2011=0,I2011=""),"unrated",VLOOKUP(I2011,MappingTables!$B$19:$C$31,2,FALSE))</f>
        <v>2</v>
      </c>
      <c r="K2011" s="72">
        <v>6.6309774480283808</v>
      </c>
      <c r="L2011" s="70">
        <v>1.0302515961884286</v>
      </c>
      <c r="M2011" s="71">
        <f>IF(L2011&lt;1,1,L2011)</f>
        <v>1.0302515961884286</v>
      </c>
      <c r="N2011" s="70" t="s">
        <v>141</v>
      </c>
      <c r="O2011" s="71">
        <f>INDEX(DurClassMapping,MATCH(M2011,MappingTables!$D$4:$D$8,-1),1)</f>
        <v>1</v>
      </c>
      <c r="P2011" s="73">
        <f>IF(M2011=$A$1,1,$M2011-INDEX(MappingTables!$E$4:$E$8,MATCH(O2011,MappingTables!$B$4:$B$8,0)))</f>
        <v>1.0302515961884286</v>
      </c>
      <c r="Q2011" s="71">
        <f>IF(B2011="",0,INDEX(ModelParameters!$D$6:$K$10,MATCH($O2011,ModelParameters!$B$6:$B$10,0),MATCH($J2011,ModelParameters!$D$5:$K$5,0)))</f>
        <v>0.013999999999999998</v>
      </c>
      <c r="R2011" s="71">
        <f>IF(B2011="",0,INDEX(ModelParameters!$D$13:$K$17,MATCH($O2011,ModelParameters!$B$13:$B$17,0),MATCH($J2011,ModelParameters!$D$5:$K$5,0)))</f>
        <v>0</v>
      </c>
      <c r="S2011" s="160">
        <f>IF(B2011="",0,MIN(IF($N2011="Other Bond TM",ModelParameters!$N$21,1)*(P2011*Q2011+R2011),1))</f>
        <v>0.014423522346637998</v>
      </c>
      <c r="T2011" s="85">
        <f>IF(B2011="",0,$S2011*$K2011)</f>
        <v>0.095642051401689968</v>
      </c>
      <c r="U2011" s="85">
        <f>IF(B2011="",0,IF(OR(H2011=MappingTables!$C$34,H2011=MappingTables!$C$35),T2011,0))</f>
        <v>0</v>
      </c>
      <c r="V2011" s="85">
        <f>IF(ISNA(IF(AND(VLOOKUP(CONCATENATE($D2011,$G2011),CSRFinput!$B:$E,4,0)=0,OR(H2011=MappingTables!$C$34,H2011=MappingTables!$C$35)),1,VLOOKUP(CONCATENATE($D2011,$G2011),CSRFinput!$B:$E,4,0))),0,IF(AND(VLOOKUP(CONCATENATE($D2011,$G2011),CSRFinput!$B:$E,4,0)=0,OR(H2011=MappingTables!$C$34,H2011=MappingTables!$C$35)),1,VLOOKUP(CONCATENATE($D2011,$G2011),CSRFinput!$B:$E,4,0)))</f>
        <v>0.054776304963434752</v>
      </c>
      <c r="W2011" s="85">
        <f>IF(B2011="",0,+$T2011*$V2011)</f>
        <v>0.005238918174907472</v>
      </c>
      <c r="X2011" s="85">
        <f>IF(B2011="",0,IF(OR(H2011=MappingTables!$C$34,H2011=MappingTables!$C$35),W2011,0))</f>
        <v>0</v>
      </c>
    </row>
    <row r="2012" spans="2:24" s="0" customFormat="0" ht="15">
      <c r="B2012" s="69">
        <v>10560235</v>
      </c>
      <c r="C2012" s="70" t="s">
        <v>783</v>
      </c>
      <c r="D2012" s="70" t="s">
        <v>1</v>
      </c>
      <c r="E2012" s="70" t="s">
        <v>1</v>
      </c>
      <c r="F2012" s="70"/>
      <c r="G2012" s="70" t="s">
        <v>61</v>
      </c>
      <c r="H2012" s="70" t="s">
        <v>178</v>
      </c>
      <c r="I2012" s="70" t="s">
        <v>181</v>
      </c>
      <c r="J2012" s="71">
        <f>IF(OR(I2012=0,I2012=""),"unrated",VLOOKUP(I2012,MappingTables!$B$19:$C$31,2,FALSE))</f>
        <v>3</v>
      </c>
      <c r="K2012" s="72">
        <v>5.1836405331489704</v>
      </c>
      <c r="L2012" s="70">
        <v>0.4000009831693984</v>
      </c>
      <c r="M2012" s="71">
        <f>IF(L2012&lt;1,1,L2012)</f>
        <v>1</v>
      </c>
      <c r="N2012" s="70" t="s">
        <v>141</v>
      </c>
      <c r="O2012" s="71">
        <f>INDEX(DurClassMapping,MATCH(M2012,MappingTables!$D$4:$D$8,-1),1)</f>
        <v>1</v>
      </c>
      <c r="P2012" s="73">
        <f>IF(M2012=$A$1,1,$M2012-INDEX(MappingTables!$E$4:$E$8,MATCH(O2012,MappingTables!$B$4:$B$8,0)))</f>
        <v>1</v>
      </c>
      <c r="Q2012" s="71">
        <f>IF(B2012="",0,INDEX(ModelParameters!$D$6:$K$10,MATCH($O2012,ModelParameters!$B$6:$B$10,0),MATCH($J2012,ModelParameters!$D$5:$K$5,0)))</f>
        <v>0.025</v>
      </c>
      <c r="R2012" s="71">
        <f>IF(B2012="",0,INDEX(ModelParameters!$D$13:$K$17,MATCH($O2012,ModelParameters!$B$13:$B$17,0),MATCH($J2012,ModelParameters!$D$5:$K$5,0)))</f>
        <v>0</v>
      </c>
      <c r="S2012" s="160">
        <f>IF(B2012="",0,MIN(IF($N2012="Other Bond TM",ModelParameters!$N$21,1)*(P2012*Q2012+R2012),1))</f>
        <v>0.025</v>
      </c>
      <c r="T2012" s="85">
        <f>IF(B2012="",0,$S2012*$K2012)</f>
        <v>0.12959101332872428</v>
      </c>
      <c r="U2012" s="85">
        <f>IF(B2012="",0,IF(OR(H2012=MappingTables!$C$34,H2012=MappingTables!$C$35),T2012,0))</f>
        <v>0</v>
      </c>
      <c r="V2012" s="85">
        <f>IF(ISNA(IF(AND(VLOOKUP(CONCATENATE($D2012,$G2012),CSRFinput!$B:$E,4,0)=0,OR(H2012=MappingTables!$C$34,H2012=MappingTables!$C$35)),1,VLOOKUP(CONCATENATE($D2012,$G2012),CSRFinput!$B:$E,4,0))),0,IF(AND(VLOOKUP(CONCATENATE($D2012,$G2012),CSRFinput!$B:$E,4,0)=0,OR(H2012=MappingTables!$C$34,H2012=MappingTables!$C$35)),1,VLOOKUP(CONCATENATE($D2012,$G2012),CSRFinput!$B:$E,4,0)))</f>
        <v>0.054776304963434752</v>
      </c>
      <c r="W2012" s="85">
        <f>IF(B2012="",0,+$T2012*$V2012)</f>
        <v>0.0070985168666147392</v>
      </c>
      <c r="X2012" s="85">
        <f>IF(B2012="",0,IF(OR(H2012=MappingTables!$C$34,H2012=MappingTables!$C$35),W2012,0))</f>
        <v>0</v>
      </c>
    </row>
    <row r="2013" spans="2:24" s="0" customFormat="0" ht="15">
      <c r="B2013" s="69">
        <v>7778058</v>
      </c>
      <c r="C2013" s="70" t="s">
        <v>1097</v>
      </c>
      <c r="D2013" s="70" t="s">
        <v>1</v>
      </c>
      <c r="E2013" s="70" t="s">
        <v>1</v>
      </c>
      <c r="F2013" s="70"/>
      <c r="G2013" s="70" t="s">
        <v>61</v>
      </c>
      <c r="H2013" s="70" t="s">
        <v>178</v>
      </c>
      <c r="I2013" s="70" t="s">
        <v>188</v>
      </c>
      <c r="J2013" s="71">
        <f>IF(OR(I2013=0,I2013=""),"unrated",VLOOKUP(I2013,MappingTables!$B$19:$C$31,2,FALSE))</f>
        <v>2</v>
      </c>
      <c r="K2013" s="72">
        <v>4.7020156432068656</v>
      </c>
      <c r="L2013" s="70">
        <v>0.12602585764551518</v>
      </c>
      <c r="M2013" s="71">
        <f>IF(L2013&lt;1,1,L2013)</f>
        <v>1</v>
      </c>
      <c r="N2013" s="70" t="s">
        <v>141</v>
      </c>
      <c r="O2013" s="71">
        <f>INDEX(DurClassMapping,MATCH(M2013,MappingTables!$D$4:$D$8,-1),1)</f>
        <v>1</v>
      </c>
      <c r="P2013" s="73">
        <f>IF(M2013=$A$1,1,$M2013-INDEX(MappingTables!$E$4:$E$8,MATCH(O2013,MappingTables!$B$4:$B$8,0)))</f>
        <v>1</v>
      </c>
      <c r="Q2013" s="71">
        <f>IF(B2013="",0,INDEX(ModelParameters!$D$6:$K$10,MATCH($O2013,ModelParameters!$B$6:$B$10,0),MATCH($J2013,ModelParameters!$D$5:$K$5,0)))</f>
        <v>0.013999999999999998</v>
      </c>
      <c r="R2013" s="71">
        <f>IF(B2013="",0,INDEX(ModelParameters!$D$13:$K$17,MATCH($O2013,ModelParameters!$B$13:$B$17,0),MATCH($J2013,ModelParameters!$D$5:$K$5,0)))</f>
        <v>0</v>
      </c>
      <c r="S2013" s="160">
        <f>IF(B2013="",0,MIN(IF($N2013="Other Bond TM",ModelParameters!$N$21,1)*(P2013*Q2013+R2013),1))</f>
        <v>0.013999999999999998</v>
      </c>
      <c r="T2013" s="85">
        <f>IF(B2013="",0,$S2013*$K2013)</f>
        <v>0.06582821900489612</v>
      </c>
      <c r="U2013" s="85">
        <f>IF(B2013="",0,IF(OR(H2013=MappingTables!$C$34,H2013=MappingTables!$C$35),T2013,0))</f>
        <v>0</v>
      </c>
      <c r="V2013" s="85">
        <f>IF(ISNA(IF(AND(VLOOKUP(CONCATENATE($D2013,$G2013),CSRFinput!$B:$E,4,0)=0,OR(H2013=MappingTables!$C$34,H2013=MappingTables!$C$35)),1,VLOOKUP(CONCATENATE($D2013,$G2013),CSRFinput!$B:$E,4,0))),0,IF(AND(VLOOKUP(CONCATENATE($D2013,$G2013),CSRFinput!$B:$E,4,0)=0,OR(H2013=MappingTables!$C$34,H2013=MappingTables!$C$35)),1,VLOOKUP(CONCATENATE($D2013,$G2013),CSRFinput!$B:$E,4,0)))</f>
        <v>0.054776304963434752</v>
      </c>
      <c r="W2013" s="85">
        <f>IF(B2013="",0,+$T2013*$V2013)</f>
        <v>0.0036058265994119616</v>
      </c>
      <c r="X2013" s="85">
        <f>IF(B2013="",0,IF(OR(H2013=MappingTables!$C$34,H2013=MappingTables!$C$35),W2013,0))</f>
        <v>0</v>
      </c>
    </row>
    <row r="2014" spans="2:24" s="0" customFormat="0" ht="15">
      <c r="B2014" s="69">
        <v>23673166</v>
      </c>
      <c r="C2014" s="70" t="s">
        <v>1588</v>
      </c>
      <c r="D2014" s="70" t="s">
        <v>1</v>
      </c>
      <c r="E2014" s="70" t="s">
        <v>1</v>
      </c>
      <c r="F2014" s="70"/>
      <c r="G2014" s="70" t="s">
        <v>61</v>
      </c>
      <c r="H2014" s="70" t="s">
        <v>178</v>
      </c>
      <c r="I2014" s="70" t="s">
        <v>181</v>
      </c>
      <c r="J2014" s="71">
        <f>IF(OR(I2014=0,I2014=""),"unrated",VLOOKUP(I2014,MappingTables!$B$19:$C$31,2,FALSE))</f>
        <v>3</v>
      </c>
      <c r="K2014" s="72">
        <v>776.36268031540992</v>
      </c>
      <c r="L2014" s="70">
        <v>2.4574739943690904</v>
      </c>
      <c r="M2014" s="71">
        <f>IF(L2014&lt;1,1,L2014)</f>
        <v>2.4574739943690904</v>
      </c>
      <c r="N2014" s="70" t="s">
        <v>141</v>
      </c>
      <c r="O2014" s="71">
        <f>INDEX(DurClassMapping,MATCH(M2014,MappingTables!$D$4:$D$8,-1),1)</f>
        <v>1</v>
      </c>
      <c r="P2014" s="73">
        <f>IF(M2014=$A$1,1,$M2014-INDEX(MappingTables!$E$4:$E$8,MATCH(O2014,MappingTables!$B$4:$B$8,0)))</f>
        <v>2.4574739943690904</v>
      </c>
      <c r="Q2014" s="71">
        <f>IF(B2014="",0,INDEX(ModelParameters!$D$6:$K$10,MATCH($O2014,ModelParameters!$B$6:$B$10,0),MATCH($J2014,ModelParameters!$D$5:$K$5,0)))</f>
        <v>0.025</v>
      </c>
      <c r="R2014" s="71">
        <f>IF(B2014="",0,INDEX(ModelParameters!$D$13:$K$17,MATCH($O2014,ModelParameters!$B$13:$B$17,0),MATCH($J2014,ModelParameters!$D$5:$K$5,0)))</f>
        <v>0</v>
      </c>
      <c r="S2014" s="160">
        <f>IF(B2014="",0,MIN(IF($N2014="Other Bond TM",ModelParameters!$N$21,1)*(P2014*Q2014+R2014),1))</f>
        <v>0.061436849859227264</v>
      </c>
      <c r="T2014" s="85">
        <f>IF(B2014="",0,$S2014*$K2014)</f>
        <v>47.697277426845096</v>
      </c>
      <c r="U2014" s="85">
        <f>IF(B2014="",0,IF(OR(H2014=MappingTables!$C$34,H2014=MappingTables!$C$35),T2014,0))</f>
        <v>0</v>
      </c>
      <c r="V2014" s="85">
        <f>IF(ISNA(IF(AND(VLOOKUP(CONCATENATE($D2014,$G2014),CSRFinput!$B:$E,4,0)=0,OR(H2014=MappingTables!$C$34,H2014=MappingTables!$C$35)),1,VLOOKUP(CONCATENATE($D2014,$G2014),CSRFinput!$B:$E,4,0))),0,IF(AND(VLOOKUP(CONCATENATE($D2014,$G2014),CSRFinput!$B:$E,4,0)=0,OR(H2014=MappingTables!$C$34,H2014=MappingTables!$C$35)),1,VLOOKUP(CONCATENATE($D2014,$G2014),CSRFinput!$B:$E,4,0)))</f>
        <v>0.054776304963434752</v>
      </c>
      <c r="W2014" s="85">
        <f>IF(B2014="",0,+$T2014*$V2014)</f>
        <v>2.6126806142584192</v>
      </c>
      <c r="X2014" s="85">
        <f>IF(B2014="",0,IF(OR(H2014=MappingTables!$C$34,H2014=MappingTables!$C$35),W2014,0))</f>
        <v>0</v>
      </c>
    </row>
    <row r="2015" spans="2:24" s="0" customFormat="0" ht="15">
      <c r="B2015" s="69">
        <v>12667442</v>
      </c>
      <c r="C2015" s="70" t="s">
        <v>2144</v>
      </c>
      <c r="D2015" s="70" t="s">
        <v>1</v>
      </c>
      <c r="E2015" s="70" t="s">
        <v>1</v>
      </c>
      <c r="F2015" s="70"/>
      <c r="G2015" s="70" t="s">
        <v>61</v>
      </c>
      <c r="H2015" s="70" t="s">
        <v>178</v>
      </c>
      <c r="I2015" s="70" t="s">
        <v>181</v>
      </c>
      <c r="J2015" s="71">
        <f>IF(OR(I2015=0,I2015=""),"unrated",VLOOKUP(I2015,MappingTables!$B$19:$C$31,2,FALSE))</f>
        <v>3</v>
      </c>
      <c r="K2015" s="72">
        <v>25481.96003777236</v>
      </c>
      <c r="L2015" s="70">
        <v>1.6257266677369644</v>
      </c>
      <c r="M2015" s="71">
        <f>IF(L2015&lt;1,1,L2015)</f>
        <v>1.6257266677369644</v>
      </c>
      <c r="N2015" s="70" t="s">
        <v>141</v>
      </c>
      <c r="O2015" s="71">
        <f>INDEX(DurClassMapping,MATCH(M2015,MappingTables!$D$4:$D$8,-1),1)</f>
        <v>1</v>
      </c>
      <c r="P2015" s="73">
        <f>IF(M2015=$A$1,1,$M2015-INDEX(MappingTables!$E$4:$E$8,MATCH(O2015,MappingTables!$B$4:$B$8,0)))</f>
        <v>1.6257266677369644</v>
      </c>
      <c r="Q2015" s="71">
        <f>IF(B2015="",0,INDEX(ModelParameters!$D$6:$K$10,MATCH($O2015,ModelParameters!$B$6:$B$10,0),MATCH($J2015,ModelParameters!$D$5:$K$5,0)))</f>
        <v>0.025</v>
      </c>
      <c r="R2015" s="71">
        <f>IF(B2015="",0,INDEX(ModelParameters!$D$13:$K$17,MATCH($O2015,ModelParameters!$B$13:$B$17,0),MATCH($J2015,ModelParameters!$D$5:$K$5,0)))</f>
        <v>0</v>
      </c>
      <c r="S2015" s="160">
        <f>IF(B2015="",0,MIN(IF($N2015="Other Bond TM",ModelParameters!$N$21,1)*(P2015*Q2015+R2015),1))</f>
        <v>0.040643166693424112</v>
      </c>
      <c r="T2015" s="85">
        <f>IF(B2015="",0,$S2015*$K2015)</f>
        <v>1035.6675494903538</v>
      </c>
      <c r="U2015" s="85">
        <f>IF(B2015="",0,IF(OR(H2015=MappingTables!$C$34,H2015=MappingTables!$C$35),T2015,0))</f>
        <v>0</v>
      </c>
      <c r="V2015" s="85">
        <f>IF(ISNA(IF(AND(VLOOKUP(CONCATENATE($D2015,$G2015),CSRFinput!$B:$E,4,0)=0,OR(H2015=MappingTables!$C$34,H2015=MappingTables!$C$35)),1,VLOOKUP(CONCATENATE($D2015,$G2015),CSRFinput!$B:$E,4,0))),0,IF(AND(VLOOKUP(CONCATENATE($D2015,$G2015),CSRFinput!$B:$E,4,0)=0,OR(H2015=MappingTables!$C$34,H2015=MappingTables!$C$35)),1,VLOOKUP(CONCATENATE($D2015,$G2015),CSRFinput!$B:$E,4,0)))</f>
        <v>0.054776304963434752</v>
      </c>
      <c r="W2015" s="85">
        <f>IF(B2015="",0,+$T2015*$V2015)</f>
        <v>56.730041531616776</v>
      </c>
      <c r="X2015" s="85">
        <f>IF(B2015="",0,IF(OR(H2015=MappingTables!$C$34,H2015=MappingTables!$C$35),W2015,0))</f>
        <v>0</v>
      </c>
    </row>
    <row r="2016" spans="2:24" s="0" customFormat="0" ht="15">
      <c r="B2016" s="69">
        <v>24956618</v>
      </c>
      <c r="C2016" s="70" t="s">
        <v>1567</v>
      </c>
      <c r="D2016" s="70" t="s">
        <v>1</v>
      </c>
      <c r="E2016" s="70" t="s">
        <v>1</v>
      </c>
      <c r="F2016" s="70"/>
      <c r="G2016" s="70" t="s">
        <v>61</v>
      </c>
      <c r="H2016" s="70" t="s">
        <v>178</v>
      </c>
      <c r="I2016" s="70" t="s">
        <v>184</v>
      </c>
      <c r="J2016" s="71">
        <f>IF(OR(I2016=0,I2016=""),"unrated",VLOOKUP(I2016,MappingTables!$B$19:$C$31,2,FALSE))</f>
        <v>5</v>
      </c>
      <c r="K2016" s="72">
        <v>36945.212361092712</v>
      </c>
      <c r="L2016" s="70">
        <v>2.754859069179368</v>
      </c>
      <c r="M2016" s="71">
        <f>IF(L2016&lt;1,1,L2016)</f>
        <v>2.754859069179368</v>
      </c>
      <c r="N2016" s="70" t="s">
        <v>141</v>
      </c>
      <c r="O2016" s="71">
        <f>INDEX(DurClassMapping,MATCH(M2016,MappingTables!$D$4:$D$8,-1),1)</f>
        <v>1</v>
      </c>
      <c r="P2016" s="73">
        <f>IF(M2016=$A$1,1,$M2016-INDEX(MappingTables!$E$4:$E$8,MATCH(O2016,MappingTables!$B$4:$B$8,0)))</f>
        <v>2.754859069179368</v>
      </c>
      <c r="Q2016" s="71">
        <f>IF(B2016="",0,INDEX(ModelParameters!$D$6:$K$10,MATCH($O2016,ModelParameters!$B$6:$B$10,0),MATCH($J2016,ModelParameters!$D$5:$K$5,0)))</f>
        <v>0.075</v>
      </c>
      <c r="R2016" s="71">
        <f>IF(B2016="",0,INDEX(ModelParameters!$D$13:$K$17,MATCH($O2016,ModelParameters!$B$13:$B$17,0),MATCH($J2016,ModelParameters!$D$5:$K$5,0)))</f>
        <v>0</v>
      </c>
      <c r="S2016" s="160">
        <f>IF(B2016="",0,MIN(IF($N2016="Other Bond TM",ModelParameters!$N$21,1)*(P2016*Q2016+R2016),1))</f>
        <v>0.2066144301884526</v>
      </c>
      <c r="T2016" s="85">
        <f>IF(B2016="",0,$S2016*$K2016)</f>
        <v>7633.4140001785456</v>
      </c>
      <c r="U2016" s="85">
        <f>IF(B2016="",0,IF(OR(H2016=MappingTables!$C$34,H2016=MappingTables!$C$35),T2016,0))</f>
        <v>0</v>
      </c>
      <c r="V2016" s="85">
        <f>IF(ISNA(IF(AND(VLOOKUP(CONCATENATE($D2016,$G2016),CSRFinput!$B:$E,4,0)=0,OR(H2016=MappingTables!$C$34,H2016=MappingTables!$C$35)),1,VLOOKUP(CONCATENATE($D2016,$G2016),CSRFinput!$B:$E,4,0))),0,IF(AND(VLOOKUP(CONCATENATE($D2016,$G2016),CSRFinput!$B:$E,4,0)=0,OR(H2016=MappingTables!$C$34,H2016=MappingTables!$C$35)),1,VLOOKUP(CONCATENATE($D2016,$G2016),CSRFinput!$B:$E,4,0)))</f>
        <v>0.054776304963434752</v>
      </c>
      <c r="W2016" s="85">
        <f>IF(B2016="",0,+$T2016*$V2016)</f>
        <v>418.1302131859324</v>
      </c>
      <c r="X2016" s="85">
        <f>IF(B2016="",0,IF(OR(H2016=MappingTables!$C$34,H2016=MappingTables!$C$35),W2016,0))</f>
        <v>0</v>
      </c>
    </row>
    <row r="2017" spans="2:24" s="0" customFormat="0" ht="15">
      <c r="B2017" s="69" t="s">
        <v>2145</v>
      </c>
      <c r="C2017" s="70" t="s">
        <v>2146</v>
      </c>
      <c r="D2017" s="70" t="s">
        <v>1</v>
      </c>
      <c r="E2017" s="70" t="s">
        <v>1</v>
      </c>
      <c r="F2017" s="70"/>
      <c r="G2017" s="70" t="s">
        <v>61</v>
      </c>
      <c r="H2017" s="70" t="s">
        <v>178</v>
      </c>
      <c r="I2017" s="70" t="s">
        <v>198</v>
      </c>
      <c r="J2017" s="71" t="str">
        <f>IF(OR(I2017=0,I2017=""),"unrated",VLOOKUP(I2017,MappingTables!$B$19:$C$31,2,FALSE))</f>
        <v>unrated</v>
      </c>
      <c r="K2017" s="72">
        <v>0.065996027872562408</v>
      </c>
      <c r="L2017" s="70">
        <v>0.30136715524207148</v>
      </c>
      <c r="M2017" s="71">
        <f>IF(L2017&lt;1,1,L2017)</f>
        <v>1</v>
      </c>
      <c r="N2017" s="70" t="s">
        <v>141</v>
      </c>
      <c r="O2017" s="71">
        <f>INDEX(DurClassMapping,MATCH(M2017,MappingTables!$D$4:$D$8,-1),1)</f>
        <v>1</v>
      </c>
      <c r="P2017" s="73">
        <f>IF(M2017=$A$1,1,$M2017-INDEX(MappingTables!$E$4:$E$8,MATCH(O2017,MappingTables!$B$4:$B$8,0)))</f>
        <v>1</v>
      </c>
      <c r="Q2017" s="71">
        <f>IF(B2017="",0,INDEX(ModelParameters!$D$6:$K$10,MATCH($O2017,ModelParameters!$B$6:$B$10,0),MATCH($J2017,ModelParameters!$D$5:$K$5,0)))</f>
        <v>0.03</v>
      </c>
      <c r="R2017" s="71">
        <f>IF(B2017="",0,INDEX(ModelParameters!$D$13:$K$17,MATCH($O2017,ModelParameters!$B$13:$B$17,0),MATCH($J2017,ModelParameters!$D$5:$K$5,0)))</f>
        <v>0</v>
      </c>
      <c r="S2017" s="160">
        <f>IF(B2017="",0,MIN(IF($N2017="Other Bond TM",ModelParameters!$N$21,1)*(P2017*Q2017+R2017),1))</f>
        <v>0.03</v>
      </c>
      <c r="T2017" s="85">
        <f>IF(B2017="",0,$S2017*$K2017)</f>
        <v>0.0019798808361768724</v>
      </c>
      <c r="U2017" s="85">
        <f>IF(B2017="",0,IF(OR(H2017=MappingTables!$C$34,H2017=MappingTables!$C$35),T2017,0))</f>
        <v>0</v>
      </c>
      <c r="V2017" s="85">
        <f>IF(ISNA(IF(AND(VLOOKUP(CONCATENATE($D2017,$G2017),CSRFinput!$B:$E,4,0)=0,OR(H2017=MappingTables!$C$34,H2017=MappingTables!$C$35)),1,VLOOKUP(CONCATENATE($D2017,$G2017),CSRFinput!$B:$E,4,0))),0,IF(AND(VLOOKUP(CONCATENATE($D2017,$G2017),CSRFinput!$B:$E,4,0)=0,OR(H2017=MappingTables!$C$34,H2017=MappingTables!$C$35)),1,VLOOKUP(CONCATENATE($D2017,$G2017),CSRFinput!$B:$E,4,0)))</f>
        <v>0.054776304963434752</v>
      </c>
      <c r="W2017" s="85">
        <f>IF(B2017="",0,+$T2017*$V2017)</f>
        <v>0.00010845055647368456</v>
      </c>
      <c r="X2017" s="85">
        <f>IF(B2017="",0,IF(OR(H2017=MappingTables!$C$34,H2017=MappingTables!$C$35),W2017,0))</f>
        <v>0</v>
      </c>
    </row>
    <row r="2018" spans="2:24" s="0" customFormat="0" ht="15">
      <c r="B2018" s="69">
        <v>24453175</v>
      </c>
      <c r="C2018" s="70" t="s">
        <v>2147</v>
      </c>
      <c r="D2018" s="70" t="s">
        <v>1</v>
      </c>
      <c r="E2018" s="70" t="s">
        <v>1</v>
      </c>
      <c r="F2018" s="70"/>
      <c r="G2018" s="70" t="s">
        <v>61</v>
      </c>
      <c r="H2018" s="70" t="s">
        <v>178</v>
      </c>
      <c r="I2018" s="70" t="s">
        <v>184</v>
      </c>
      <c r="J2018" s="71">
        <f>IF(OR(I2018=0,I2018=""),"unrated",VLOOKUP(I2018,MappingTables!$B$19:$C$31,2,FALSE))</f>
        <v>5</v>
      </c>
      <c r="K2018" s="72">
        <v>5209.0747054539768</v>
      </c>
      <c r="L2018" s="70">
        <v>1.7114761947562726</v>
      </c>
      <c r="M2018" s="71">
        <f>IF(L2018&lt;1,1,L2018)</f>
        <v>1.7114761947562726</v>
      </c>
      <c r="N2018" s="70" t="s">
        <v>141</v>
      </c>
      <c r="O2018" s="71">
        <f>INDEX(DurClassMapping,MATCH(M2018,MappingTables!$D$4:$D$8,-1),1)</f>
        <v>1</v>
      </c>
      <c r="P2018" s="73">
        <f>IF(M2018=$A$1,1,$M2018-INDEX(MappingTables!$E$4:$E$8,MATCH(O2018,MappingTables!$B$4:$B$8,0)))</f>
        <v>1.7114761947562726</v>
      </c>
      <c r="Q2018" s="71">
        <f>IF(B2018="",0,INDEX(ModelParameters!$D$6:$K$10,MATCH($O2018,ModelParameters!$B$6:$B$10,0),MATCH($J2018,ModelParameters!$D$5:$K$5,0)))</f>
        <v>0.075</v>
      </c>
      <c r="R2018" s="71">
        <f>IF(B2018="",0,INDEX(ModelParameters!$D$13:$K$17,MATCH($O2018,ModelParameters!$B$13:$B$17,0),MATCH($J2018,ModelParameters!$D$5:$K$5,0)))</f>
        <v>0</v>
      </c>
      <c r="S2018" s="160">
        <f>IF(B2018="",0,MIN(IF($N2018="Other Bond TM",ModelParameters!$N$21,1)*(P2018*Q2018+R2018),1))</f>
        <v>0.12836071460672044</v>
      </c>
      <c r="T2018" s="85">
        <f>IF(B2018="",0,$S2018*$K2018)</f>
        <v>668.64055163186424</v>
      </c>
      <c r="U2018" s="85">
        <f>IF(B2018="",0,IF(OR(H2018=MappingTables!$C$34,H2018=MappingTables!$C$35),T2018,0))</f>
        <v>0</v>
      </c>
      <c r="V2018" s="85">
        <f>IF(ISNA(IF(AND(VLOOKUP(CONCATENATE($D2018,$G2018),CSRFinput!$B:$E,4,0)=0,OR(H2018=MappingTables!$C$34,H2018=MappingTables!$C$35)),1,VLOOKUP(CONCATENATE($D2018,$G2018),CSRFinput!$B:$E,4,0))),0,IF(AND(VLOOKUP(CONCATENATE($D2018,$G2018),CSRFinput!$B:$E,4,0)=0,OR(H2018=MappingTables!$C$34,H2018=MappingTables!$C$35)),1,VLOOKUP(CONCATENATE($D2018,$G2018),CSRFinput!$B:$E,4,0)))</f>
        <v>0.054776304963434752</v>
      </c>
      <c r="W2018" s="85">
        <f>IF(B2018="",0,+$T2018*$V2018)</f>
        <v>36.62565876710624</v>
      </c>
      <c r="X2018" s="85">
        <f>IF(B2018="",0,IF(OR(H2018=MappingTables!$C$34,H2018=MappingTables!$C$35),W2018,0))</f>
        <v>0</v>
      </c>
    </row>
    <row r="2019" spans="2:24" s="0" customFormat="0" ht="15">
      <c r="B2019" s="69">
        <v>12402492</v>
      </c>
      <c r="C2019" s="70" t="s">
        <v>2148</v>
      </c>
      <c r="D2019" s="70" t="s">
        <v>1</v>
      </c>
      <c r="E2019" s="70" t="s">
        <v>1</v>
      </c>
      <c r="F2019" s="70"/>
      <c r="G2019" s="70" t="s">
        <v>61</v>
      </c>
      <c r="H2019" s="70" t="s">
        <v>178</v>
      </c>
      <c r="I2019" s="70" t="s">
        <v>188</v>
      </c>
      <c r="J2019" s="71">
        <f>IF(OR(I2019=0,I2019=""),"unrated",VLOOKUP(I2019,MappingTables!$B$19:$C$31,2,FALSE))</f>
        <v>2</v>
      </c>
      <c r="K2019" s="72">
        <v>0.0089718899553710944</v>
      </c>
      <c r="L2019" s="70">
        <v>11.032250835543034</v>
      </c>
      <c r="M2019" s="71">
        <f>IF(L2019&lt;1,1,L2019)</f>
        <v>11.032250835543034</v>
      </c>
      <c r="N2019" s="70" t="s">
        <v>141</v>
      </c>
      <c r="O2019" s="71">
        <f>INDEX(DurClassMapping,MATCH(M2019,MappingTables!$D$4:$D$8,-1),1)</f>
        <v>3</v>
      </c>
      <c r="P2019" s="73">
        <f>IF(M2019=$A$1,1,$M2019-INDEX(MappingTables!$E$4:$E$8,MATCH(O2019,MappingTables!$B$4:$B$8,0)))</f>
        <v>1.0322508355430334</v>
      </c>
      <c r="Q2019" s="71">
        <f>IF(B2019="",0,INDEX(ModelParameters!$D$6:$K$10,MATCH($O2019,ModelParameters!$B$6:$B$10,0),MATCH($J2019,ModelParameters!$D$5:$K$5,0)))</f>
        <v>0.005</v>
      </c>
      <c r="R2019" s="71">
        <f>IF(B2019="",0,INDEX(ModelParameters!$D$13:$K$17,MATCH($O2019,ModelParameters!$B$13:$B$17,0),MATCH($J2019,ModelParameters!$D$5:$K$5,0)))</f>
        <v>0.105</v>
      </c>
      <c r="S2019" s="160">
        <f>IF(B2019="",0,MIN(IF($N2019="Other Bond TM",ModelParameters!$N$21,1)*(P2019*Q2019+R2019),1))</f>
        <v>0.11016125417771516</v>
      </c>
      <c r="T2019" s="85">
        <f>IF(B2019="",0,$S2019*$K2019)</f>
        <v>0.0009883546498281248</v>
      </c>
      <c r="U2019" s="85">
        <f>IF(B2019="",0,IF(OR(H2019=MappingTables!$C$34,H2019=MappingTables!$C$35),T2019,0))</f>
        <v>0</v>
      </c>
      <c r="V2019" s="85">
        <f>IF(ISNA(IF(AND(VLOOKUP(CONCATENATE($D2019,$G2019),CSRFinput!$B:$E,4,0)=0,OR(H2019=MappingTables!$C$34,H2019=MappingTables!$C$35)),1,VLOOKUP(CONCATENATE($D2019,$G2019),CSRFinput!$B:$E,4,0))),0,IF(AND(VLOOKUP(CONCATENATE($D2019,$G2019),CSRFinput!$B:$E,4,0)=0,OR(H2019=MappingTables!$C$34,H2019=MappingTables!$C$35)),1,VLOOKUP(CONCATENATE($D2019,$G2019),CSRFinput!$B:$E,4,0)))</f>
        <v>0.054776304963434752</v>
      </c>
      <c r="W2019" s="85">
        <f>IF(B2019="",0,+$T2019*$V2019)</f>
        <v>0.000054138415711014128</v>
      </c>
      <c r="X2019" s="85">
        <f>IF(B2019="",0,IF(OR(H2019=MappingTables!$C$34,H2019=MappingTables!$C$35),W2019,0))</f>
        <v>0</v>
      </c>
    </row>
    <row r="2020" spans="2:24" s="0" customFormat="0" ht="15">
      <c r="B2020" s="69">
        <v>23307204</v>
      </c>
      <c r="C2020" s="70" t="s">
        <v>425</v>
      </c>
      <c r="D2020" s="70" t="s">
        <v>1</v>
      </c>
      <c r="E2020" s="70" t="s">
        <v>1</v>
      </c>
      <c r="F2020" s="70"/>
      <c r="G2020" s="70" t="s">
        <v>61</v>
      </c>
      <c r="H2020" s="70" t="s">
        <v>178</v>
      </c>
      <c r="I2020" s="70" t="s">
        <v>220</v>
      </c>
      <c r="J2020" s="71">
        <f>IF(OR(I2020=0,I2020=""),"unrated",VLOOKUP(I2020,MappingTables!$B$19:$C$31,2,FALSE))</f>
        <v>1</v>
      </c>
      <c r="K2020" s="72">
        <v>19683.60280223546</v>
      </c>
      <c r="L2020" s="70">
        <v>0.098627311989525008</v>
      </c>
      <c r="M2020" s="71">
        <f>IF(L2020&lt;1,1,L2020)</f>
        <v>1</v>
      </c>
      <c r="N2020" s="70" t="s">
        <v>141</v>
      </c>
      <c r="O2020" s="71">
        <f>INDEX(DurClassMapping,MATCH(M2020,MappingTables!$D$4:$D$8,-1),1)</f>
        <v>1</v>
      </c>
      <c r="P2020" s="73">
        <f>IF(M2020=$A$1,1,$M2020-INDEX(MappingTables!$E$4:$E$8,MATCH(O2020,MappingTables!$B$4:$B$8,0)))</f>
        <v>1</v>
      </c>
      <c r="Q2020" s="71">
        <f>IF(B2020="",0,INDEX(ModelParameters!$D$6:$K$10,MATCH($O2020,ModelParameters!$B$6:$B$10,0),MATCH($J2020,ModelParameters!$D$5:$K$5,0)))</f>
        <v>0.011000000000000002</v>
      </c>
      <c r="R2020" s="71">
        <f>IF(B2020="",0,INDEX(ModelParameters!$D$13:$K$17,MATCH($O2020,ModelParameters!$B$13:$B$17,0),MATCH($J2020,ModelParameters!$D$5:$K$5,0)))</f>
        <v>0</v>
      </c>
      <c r="S2020" s="160">
        <f>IF(B2020="",0,MIN(IF($N2020="Other Bond TM",ModelParameters!$N$21,1)*(P2020*Q2020+R2020),1))</f>
        <v>0.011000000000000002</v>
      </c>
      <c r="T2020" s="85">
        <f>IF(B2020="",0,$S2020*$K2020)</f>
        <v>216.51963082459004</v>
      </c>
      <c r="U2020" s="85">
        <f>IF(B2020="",0,IF(OR(H2020=MappingTables!$C$34,H2020=MappingTables!$C$35),T2020,0))</f>
        <v>0</v>
      </c>
      <c r="V2020" s="85">
        <f>IF(ISNA(IF(AND(VLOOKUP(CONCATENATE($D2020,$G2020),CSRFinput!$B:$E,4,0)=0,OR(H2020=MappingTables!$C$34,H2020=MappingTables!$C$35)),1,VLOOKUP(CONCATENATE($D2020,$G2020),CSRFinput!$B:$E,4,0))),0,IF(AND(VLOOKUP(CONCATENATE($D2020,$G2020),CSRFinput!$B:$E,4,0)=0,OR(H2020=MappingTables!$C$34,H2020=MappingTables!$C$35)),1,VLOOKUP(CONCATENATE($D2020,$G2020),CSRFinput!$B:$E,4,0)))</f>
        <v>0.054776304963434752</v>
      </c>
      <c r="W2020" s="85">
        <f>IF(B2020="",0,+$T2020*$V2020)</f>
        <v>11.860145328618052</v>
      </c>
      <c r="X2020" s="85">
        <f>IF(B2020="",0,IF(OR(H2020=MappingTables!$C$34,H2020=MappingTables!$C$35),W2020,0))</f>
        <v>0</v>
      </c>
    </row>
    <row r="2021" spans="2:24" s="0" customFormat="0" ht="15">
      <c r="B2021" s="69" t="s">
        <v>1682</v>
      </c>
      <c r="C2021" s="70" t="s">
        <v>1683</v>
      </c>
      <c r="D2021" s="70" t="s">
        <v>1</v>
      </c>
      <c r="E2021" s="70" t="s">
        <v>1</v>
      </c>
      <c r="F2021" s="70"/>
      <c r="G2021" s="70" t="s">
        <v>61</v>
      </c>
      <c r="H2021" s="70" t="s">
        <v>178</v>
      </c>
      <c r="I2021" s="70" t="s">
        <v>181</v>
      </c>
      <c r="J2021" s="71">
        <f>IF(OR(I2021=0,I2021=""),"unrated",VLOOKUP(I2021,MappingTables!$B$19:$C$31,2,FALSE))</f>
        <v>3</v>
      </c>
      <c r="K2021" s="72">
        <v>1.434189205878641</v>
      </c>
      <c r="L2021" s="70">
        <v>0.43287913264355624</v>
      </c>
      <c r="M2021" s="71">
        <f>IF(L2021&lt;1,1,L2021)</f>
        <v>1</v>
      </c>
      <c r="N2021" s="70" t="s">
        <v>141</v>
      </c>
      <c r="O2021" s="71">
        <f>INDEX(DurClassMapping,MATCH(M2021,MappingTables!$D$4:$D$8,-1),1)</f>
        <v>1</v>
      </c>
      <c r="P2021" s="73">
        <f>IF(M2021=$A$1,1,$M2021-INDEX(MappingTables!$E$4:$E$8,MATCH(O2021,MappingTables!$B$4:$B$8,0)))</f>
        <v>1</v>
      </c>
      <c r="Q2021" s="71">
        <f>IF(B2021="",0,INDEX(ModelParameters!$D$6:$K$10,MATCH($O2021,ModelParameters!$B$6:$B$10,0),MATCH($J2021,ModelParameters!$D$5:$K$5,0)))</f>
        <v>0.025</v>
      </c>
      <c r="R2021" s="71">
        <f>IF(B2021="",0,INDEX(ModelParameters!$D$13:$K$17,MATCH($O2021,ModelParameters!$B$13:$B$17,0),MATCH($J2021,ModelParameters!$D$5:$K$5,0)))</f>
        <v>0</v>
      </c>
      <c r="S2021" s="160">
        <f>IF(B2021="",0,MIN(IF($N2021="Other Bond TM",ModelParameters!$N$21,1)*(P2021*Q2021+R2021),1))</f>
        <v>0.025</v>
      </c>
      <c r="T2021" s="85">
        <f>IF(B2021="",0,$S2021*$K2021)</f>
        <v>0.035854730146966024</v>
      </c>
      <c r="U2021" s="85">
        <f>IF(B2021="",0,IF(OR(H2021=MappingTables!$C$34,H2021=MappingTables!$C$35),T2021,0))</f>
        <v>0</v>
      </c>
      <c r="V2021" s="85">
        <f>IF(ISNA(IF(AND(VLOOKUP(CONCATENATE($D2021,$G2021),CSRFinput!$B:$E,4,0)=0,OR(H2021=MappingTables!$C$34,H2021=MappingTables!$C$35)),1,VLOOKUP(CONCATENATE($D2021,$G2021),CSRFinput!$B:$E,4,0))),0,IF(AND(VLOOKUP(CONCATENATE($D2021,$G2021),CSRFinput!$B:$E,4,0)=0,OR(H2021=MappingTables!$C$34,H2021=MappingTables!$C$35)),1,VLOOKUP(CONCATENATE($D2021,$G2021),CSRFinput!$B:$E,4,0)))</f>
        <v>0.054776304963434752</v>
      </c>
      <c r="W2021" s="85">
        <f>IF(B2021="",0,+$T2021*$V2021)</f>
        <v>0.0019639896329118684</v>
      </c>
      <c r="X2021" s="85">
        <f>IF(B2021="",0,IF(OR(H2021=MappingTables!$C$34,H2021=MappingTables!$C$35),W2021,0))</f>
        <v>0</v>
      </c>
    </row>
    <row r="2022" spans="2:24" s="0" customFormat="0" ht="15">
      <c r="B2022" s="69" t="s">
        <v>1910</v>
      </c>
      <c r="C2022" s="70" t="s">
        <v>1911</v>
      </c>
      <c r="D2022" s="70" t="s">
        <v>1</v>
      </c>
      <c r="E2022" s="70" t="s">
        <v>1</v>
      </c>
      <c r="F2022" s="70"/>
      <c r="G2022" s="70" t="s">
        <v>61</v>
      </c>
      <c r="H2022" s="70" t="s">
        <v>178</v>
      </c>
      <c r="I2022" s="70" t="s">
        <v>188</v>
      </c>
      <c r="J2022" s="71">
        <f>IF(OR(I2022=0,I2022=""),"unrated",VLOOKUP(I2022,MappingTables!$B$19:$C$31,2,FALSE))</f>
        <v>2</v>
      </c>
      <c r="K2022" s="72">
        <v>7.1520292666032368</v>
      </c>
      <c r="L2022" s="70">
        <v>0.49589270089104792</v>
      </c>
      <c r="M2022" s="71">
        <f>IF(L2022&lt;1,1,L2022)</f>
        <v>1</v>
      </c>
      <c r="N2022" s="70" t="s">
        <v>141</v>
      </c>
      <c r="O2022" s="71">
        <f>INDEX(DurClassMapping,MATCH(M2022,MappingTables!$D$4:$D$8,-1),1)</f>
        <v>1</v>
      </c>
      <c r="P2022" s="73">
        <f>IF(M2022=$A$1,1,$M2022-INDEX(MappingTables!$E$4:$E$8,MATCH(O2022,MappingTables!$B$4:$B$8,0)))</f>
        <v>1</v>
      </c>
      <c r="Q2022" s="71">
        <f>IF(B2022="",0,INDEX(ModelParameters!$D$6:$K$10,MATCH($O2022,ModelParameters!$B$6:$B$10,0),MATCH($J2022,ModelParameters!$D$5:$K$5,0)))</f>
        <v>0.013999999999999998</v>
      </c>
      <c r="R2022" s="71">
        <f>IF(B2022="",0,INDEX(ModelParameters!$D$13:$K$17,MATCH($O2022,ModelParameters!$B$13:$B$17,0),MATCH($J2022,ModelParameters!$D$5:$K$5,0)))</f>
        <v>0</v>
      </c>
      <c r="S2022" s="160">
        <f>IF(B2022="",0,MIN(IF($N2022="Other Bond TM",ModelParameters!$N$21,1)*(P2022*Q2022+R2022),1))</f>
        <v>0.013999999999999998</v>
      </c>
      <c r="T2022" s="85">
        <f>IF(B2022="",0,$S2022*$K2022)</f>
        <v>0.10012840973244532</v>
      </c>
      <c r="U2022" s="85">
        <f>IF(B2022="",0,IF(OR(H2022=MappingTables!$C$34,H2022=MappingTables!$C$35),T2022,0))</f>
        <v>0</v>
      </c>
      <c r="V2022" s="85">
        <f>IF(ISNA(IF(AND(VLOOKUP(CONCATENATE($D2022,$G2022),CSRFinput!$B:$E,4,0)=0,OR(H2022=MappingTables!$C$34,H2022=MappingTables!$C$35)),1,VLOOKUP(CONCATENATE($D2022,$G2022),CSRFinput!$B:$E,4,0))),0,IF(AND(VLOOKUP(CONCATENATE($D2022,$G2022),CSRFinput!$B:$E,4,0)=0,OR(H2022=MappingTables!$C$34,H2022=MappingTables!$C$35)),1,VLOOKUP(CONCATENATE($D2022,$G2022),CSRFinput!$B:$E,4,0)))</f>
        <v>0.054776304963434752</v>
      </c>
      <c r="W2022" s="85">
        <f>IF(B2022="",0,+$T2022*$V2022)</f>
        <v>0.0054846643070081728</v>
      </c>
      <c r="X2022" s="85">
        <f>IF(B2022="",0,IF(OR(H2022=MappingTables!$C$34,H2022=MappingTables!$C$35),W2022,0))</f>
        <v>0</v>
      </c>
    </row>
    <row r="2023" spans="2:24" s="0" customFormat="0" ht="15">
      <c r="B2023" s="69">
        <v>23207410</v>
      </c>
      <c r="C2023" s="70" t="s">
        <v>2149</v>
      </c>
      <c r="D2023" s="70" t="s">
        <v>1</v>
      </c>
      <c r="E2023" s="70" t="s">
        <v>1</v>
      </c>
      <c r="F2023" s="70"/>
      <c r="G2023" s="70" t="s">
        <v>61</v>
      </c>
      <c r="H2023" s="70" t="s">
        <v>178</v>
      </c>
      <c r="I2023" s="70" t="s">
        <v>181</v>
      </c>
      <c r="J2023" s="71">
        <f>IF(OR(I2023=0,I2023=""),"unrated",VLOOKUP(I2023,MappingTables!$B$19:$C$31,2,FALSE))</f>
        <v>3</v>
      </c>
      <c r="K2023" s="72">
        <v>876.38897635672704</v>
      </c>
      <c r="L2023" s="70">
        <v>0.087673049953543968</v>
      </c>
      <c r="M2023" s="71">
        <f>IF(L2023&lt;1,1,L2023)</f>
        <v>1</v>
      </c>
      <c r="N2023" s="70" t="s">
        <v>141</v>
      </c>
      <c r="O2023" s="71">
        <f>INDEX(DurClassMapping,MATCH(M2023,MappingTables!$D$4:$D$8,-1),1)</f>
        <v>1</v>
      </c>
      <c r="P2023" s="73">
        <f>IF(M2023=$A$1,1,$M2023-INDEX(MappingTables!$E$4:$E$8,MATCH(O2023,MappingTables!$B$4:$B$8,0)))</f>
        <v>1</v>
      </c>
      <c r="Q2023" s="71">
        <f>IF(B2023="",0,INDEX(ModelParameters!$D$6:$K$10,MATCH($O2023,ModelParameters!$B$6:$B$10,0),MATCH($J2023,ModelParameters!$D$5:$K$5,0)))</f>
        <v>0.025</v>
      </c>
      <c r="R2023" s="71">
        <f>IF(B2023="",0,INDEX(ModelParameters!$D$13:$K$17,MATCH($O2023,ModelParameters!$B$13:$B$17,0),MATCH($J2023,ModelParameters!$D$5:$K$5,0)))</f>
        <v>0</v>
      </c>
      <c r="S2023" s="160">
        <f>IF(B2023="",0,MIN(IF($N2023="Other Bond TM",ModelParameters!$N$21,1)*(P2023*Q2023+R2023),1))</f>
        <v>0.025</v>
      </c>
      <c r="T2023" s="85">
        <f>IF(B2023="",0,$S2023*$K2023)</f>
        <v>21.909724408918176</v>
      </c>
      <c r="U2023" s="85">
        <f>IF(B2023="",0,IF(OR(H2023=MappingTables!$C$34,H2023=MappingTables!$C$35),T2023,0))</f>
        <v>0</v>
      </c>
      <c r="V2023" s="85">
        <f>IF(ISNA(IF(AND(VLOOKUP(CONCATENATE($D2023,$G2023),CSRFinput!$B:$E,4,0)=0,OR(H2023=MappingTables!$C$34,H2023=MappingTables!$C$35)),1,VLOOKUP(CONCATENATE($D2023,$G2023),CSRFinput!$B:$E,4,0))),0,IF(AND(VLOOKUP(CONCATENATE($D2023,$G2023),CSRFinput!$B:$E,4,0)=0,OR(H2023=MappingTables!$C$34,H2023=MappingTables!$C$35)),1,VLOOKUP(CONCATENATE($D2023,$G2023),CSRFinput!$B:$E,4,0)))</f>
        <v>0.054776304963434752</v>
      </c>
      <c r="W2023" s="85">
        <f>IF(B2023="",0,+$T2023*$V2023)</f>
        <v>1.2001337458877124</v>
      </c>
      <c r="X2023" s="85">
        <f>IF(B2023="",0,IF(OR(H2023=MappingTables!$C$34,H2023=MappingTables!$C$35),W2023,0))</f>
        <v>0</v>
      </c>
    </row>
    <row r="2024" spans="2:24" s="0" customFormat="0" ht="15">
      <c r="B2024" s="69">
        <v>8354801</v>
      </c>
      <c r="C2024" s="70" t="s">
        <v>2150</v>
      </c>
      <c r="D2024" s="70" t="s">
        <v>1</v>
      </c>
      <c r="E2024" s="70" t="s">
        <v>1</v>
      </c>
      <c r="F2024" s="70"/>
      <c r="G2024" s="70" t="s">
        <v>61</v>
      </c>
      <c r="H2024" s="70" t="s">
        <v>178</v>
      </c>
      <c r="I2024" s="70" t="s">
        <v>181</v>
      </c>
      <c r="J2024" s="71">
        <f>IF(OR(I2024=0,I2024=""),"unrated",VLOOKUP(I2024,MappingTables!$B$19:$C$31,2,FALSE))</f>
        <v>3</v>
      </c>
      <c r="K2024" s="72">
        <v>8.9080926670632496</v>
      </c>
      <c r="L2024" s="70">
        <v>0.42466021419984184</v>
      </c>
      <c r="M2024" s="71">
        <f>IF(L2024&lt;1,1,L2024)</f>
        <v>1</v>
      </c>
      <c r="N2024" s="70" t="s">
        <v>141</v>
      </c>
      <c r="O2024" s="71">
        <f>INDEX(DurClassMapping,MATCH(M2024,MappingTables!$D$4:$D$8,-1),1)</f>
        <v>1</v>
      </c>
      <c r="P2024" s="73">
        <f>IF(M2024=$A$1,1,$M2024-INDEX(MappingTables!$E$4:$E$8,MATCH(O2024,MappingTables!$B$4:$B$8,0)))</f>
        <v>1</v>
      </c>
      <c r="Q2024" s="71">
        <f>IF(B2024="",0,INDEX(ModelParameters!$D$6:$K$10,MATCH($O2024,ModelParameters!$B$6:$B$10,0),MATCH($J2024,ModelParameters!$D$5:$K$5,0)))</f>
        <v>0.025</v>
      </c>
      <c r="R2024" s="71">
        <f>IF(B2024="",0,INDEX(ModelParameters!$D$13:$K$17,MATCH($O2024,ModelParameters!$B$13:$B$17,0),MATCH($J2024,ModelParameters!$D$5:$K$5,0)))</f>
        <v>0</v>
      </c>
      <c r="S2024" s="160">
        <f>IF(B2024="",0,MIN(IF($N2024="Other Bond TM",ModelParameters!$N$21,1)*(P2024*Q2024+R2024),1))</f>
        <v>0.025</v>
      </c>
      <c r="T2024" s="85">
        <f>IF(B2024="",0,$S2024*$K2024)</f>
        <v>0.22270231667658124</v>
      </c>
      <c r="U2024" s="85">
        <f>IF(B2024="",0,IF(OR(H2024=MappingTables!$C$34,H2024=MappingTables!$C$35),T2024,0))</f>
        <v>0</v>
      </c>
      <c r="V2024" s="85">
        <f>IF(ISNA(IF(AND(VLOOKUP(CONCATENATE($D2024,$G2024),CSRFinput!$B:$E,4,0)=0,OR(H2024=MappingTables!$C$34,H2024=MappingTables!$C$35)),1,VLOOKUP(CONCATENATE($D2024,$G2024),CSRFinput!$B:$E,4,0))),0,IF(AND(VLOOKUP(CONCATENATE($D2024,$G2024),CSRFinput!$B:$E,4,0)=0,OR(H2024=MappingTables!$C$34,H2024=MappingTables!$C$35)),1,VLOOKUP(CONCATENATE($D2024,$G2024),CSRFinput!$B:$E,4,0)))</f>
        <v>0.054776304963434752</v>
      </c>
      <c r="W2024" s="85">
        <f>IF(B2024="",0,+$T2024*$V2024)</f>
        <v>0.012198810014339836</v>
      </c>
      <c r="X2024" s="85">
        <f>IF(B2024="",0,IF(OR(H2024=MappingTables!$C$34,H2024=MappingTables!$C$35),W2024,0))</f>
        <v>0</v>
      </c>
    </row>
    <row r="2025" spans="2:24" s="0" customFormat="0" ht="15">
      <c r="B2025" s="69" t="s">
        <v>2151</v>
      </c>
      <c r="C2025" s="70" t="s">
        <v>2152</v>
      </c>
      <c r="D2025" s="70" t="s">
        <v>1</v>
      </c>
      <c r="E2025" s="70" t="s">
        <v>1</v>
      </c>
      <c r="F2025" s="70"/>
      <c r="G2025" s="70" t="s">
        <v>61</v>
      </c>
      <c r="H2025" s="70" t="s">
        <v>178</v>
      </c>
      <c r="I2025" s="70" t="s">
        <v>198</v>
      </c>
      <c r="J2025" s="71" t="str">
        <f>IF(OR(I2025=0,I2025=""),"unrated",VLOOKUP(I2025,MappingTables!$B$19:$C$31,2,FALSE))</f>
        <v>unrated</v>
      </c>
      <c r="K2025" s="72">
        <v>90.91620265881776</v>
      </c>
      <c r="L2025" s="70">
        <v>2.2677584977713428</v>
      </c>
      <c r="M2025" s="71">
        <f>IF(L2025&lt;1,1,L2025)</f>
        <v>2.2677584977713428</v>
      </c>
      <c r="N2025" s="70" t="s">
        <v>141</v>
      </c>
      <c r="O2025" s="71">
        <f>INDEX(DurClassMapping,MATCH(M2025,MappingTables!$D$4:$D$8,-1),1)</f>
        <v>1</v>
      </c>
      <c r="P2025" s="73">
        <f>IF(M2025=$A$1,1,$M2025-INDEX(MappingTables!$E$4:$E$8,MATCH(O2025,MappingTables!$B$4:$B$8,0)))</f>
        <v>2.2677584977713428</v>
      </c>
      <c r="Q2025" s="71">
        <f>IF(B2025="",0,INDEX(ModelParameters!$D$6:$K$10,MATCH($O2025,ModelParameters!$B$6:$B$10,0),MATCH($J2025,ModelParameters!$D$5:$K$5,0)))</f>
        <v>0.03</v>
      </c>
      <c r="R2025" s="71">
        <f>IF(B2025="",0,INDEX(ModelParameters!$D$13:$K$17,MATCH($O2025,ModelParameters!$B$13:$B$17,0),MATCH($J2025,ModelParameters!$D$5:$K$5,0)))</f>
        <v>0</v>
      </c>
      <c r="S2025" s="160">
        <f>IF(B2025="",0,MIN(IF($N2025="Other Bond TM",ModelParameters!$N$21,1)*(P2025*Q2025+R2025),1))</f>
        <v>0.068032754933140288</v>
      </c>
      <c r="T2025" s="85">
        <f>IF(B2025="",0,$S2025*$K2025)</f>
        <v>6.1852797349390656</v>
      </c>
      <c r="U2025" s="85">
        <f>IF(B2025="",0,IF(OR(H2025=MappingTables!$C$34,H2025=MappingTables!$C$35),T2025,0))</f>
        <v>0</v>
      </c>
      <c r="V2025" s="85">
        <f>IF(ISNA(IF(AND(VLOOKUP(CONCATENATE($D2025,$G2025),CSRFinput!$B:$E,4,0)=0,OR(H2025=MappingTables!$C$34,H2025=MappingTables!$C$35)),1,VLOOKUP(CONCATENATE($D2025,$G2025),CSRFinput!$B:$E,4,0))),0,IF(AND(VLOOKUP(CONCATENATE($D2025,$G2025),CSRFinput!$B:$E,4,0)=0,OR(H2025=MappingTables!$C$34,H2025=MappingTables!$C$35)),1,VLOOKUP(CONCATENATE($D2025,$G2025),CSRFinput!$B:$E,4,0)))</f>
        <v>0.054776304963434752</v>
      </c>
      <c r="W2025" s="85">
        <f>IF(B2025="",0,+$T2025*$V2025)</f>
        <v>0.33880676904517516</v>
      </c>
      <c r="X2025" s="85">
        <f>IF(B2025="",0,IF(OR(H2025=MappingTables!$C$34,H2025=MappingTables!$C$35),W2025,0))</f>
        <v>0</v>
      </c>
    </row>
    <row r="2026" spans="2:24" s="0" customFormat="0" ht="15">
      <c r="B2026" s="69">
        <v>11029611</v>
      </c>
      <c r="C2026" s="70" t="s">
        <v>853</v>
      </c>
      <c r="D2026" s="70" t="s">
        <v>1</v>
      </c>
      <c r="E2026" s="70" t="s">
        <v>1</v>
      </c>
      <c r="F2026" s="70"/>
      <c r="G2026" s="70" t="s">
        <v>61</v>
      </c>
      <c r="H2026" s="70" t="s">
        <v>178</v>
      </c>
      <c r="I2026" s="70" t="s">
        <v>184</v>
      </c>
      <c r="J2026" s="71">
        <f>IF(OR(I2026=0,I2026=""),"unrated",VLOOKUP(I2026,MappingTables!$B$19:$C$31,2,FALSE))</f>
        <v>5</v>
      </c>
      <c r="K2026" s="72">
        <v>122.80425109994352</v>
      </c>
      <c r="L2026" s="70">
        <v>0.087671380602233984</v>
      </c>
      <c r="M2026" s="71">
        <f>IF(L2026&lt;1,1,L2026)</f>
        <v>1</v>
      </c>
      <c r="N2026" s="70" t="s">
        <v>141</v>
      </c>
      <c r="O2026" s="71">
        <f>INDEX(DurClassMapping,MATCH(M2026,MappingTables!$D$4:$D$8,-1),1)</f>
        <v>1</v>
      </c>
      <c r="P2026" s="73">
        <f>IF(M2026=$A$1,1,$M2026-INDEX(MappingTables!$E$4:$E$8,MATCH(O2026,MappingTables!$B$4:$B$8,0)))</f>
        <v>1</v>
      </c>
      <c r="Q2026" s="71">
        <f>IF(B2026="",0,INDEX(ModelParameters!$D$6:$K$10,MATCH($O2026,ModelParameters!$B$6:$B$10,0),MATCH($J2026,ModelParameters!$D$5:$K$5,0)))</f>
        <v>0.075</v>
      </c>
      <c r="R2026" s="71">
        <f>IF(B2026="",0,INDEX(ModelParameters!$D$13:$K$17,MATCH($O2026,ModelParameters!$B$13:$B$17,0),MATCH($J2026,ModelParameters!$D$5:$K$5,0)))</f>
        <v>0</v>
      </c>
      <c r="S2026" s="160">
        <f>IF(B2026="",0,MIN(IF($N2026="Other Bond TM",ModelParameters!$N$21,1)*(P2026*Q2026+R2026),1))</f>
        <v>0.075</v>
      </c>
      <c r="T2026" s="85">
        <f>IF(B2026="",0,$S2026*$K2026)</f>
        <v>9.2103188324957632</v>
      </c>
      <c r="U2026" s="85">
        <f>IF(B2026="",0,IF(OR(H2026=MappingTables!$C$34,H2026=MappingTables!$C$35),T2026,0))</f>
        <v>0</v>
      </c>
      <c r="V2026" s="85">
        <f>IF(ISNA(IF(AND(VLOOKUP(CONCATENATE($D2026,$G2026),CSRFinput!$B:$E,4,0)=0,OR(H2026=MappingTables!$C$34,H2026=MappingTables!$C$35)),1,VLOOKUP(CONCATENATE($D2026,$G2026),CSRFinput!$B:$E,4,0))),0,IF(AND(VLOOKUP(CONCATENATE($D2026,$G2026),CSRFinput!$B:$E,4,0)=0,OR(H2026=MappingTables!$C$34,H2026=MappingTables!$C$35)),1,VLOOKUP(CONCATENATE($D2026,$G2026),CSRFinput!$B:$E,4,0)))</f>
        <v>0.054776304963434752</v>
      </c>
      <c r="W2026" s="85">
        <f>IF(B2026="",0,+$T2026*$V2026)</f>
        <v>0.50450723317925424</v>
      </c>
      <c r="X2026" s="85">
        <f>IF(B2026="",0,IF(OR(H2026=MappingTables!$C$34,H2026=MappingTables!$C$35),W2026,0))</f>
        <v>0</v>
      </c>
    </row>
    <row r="2027" spans="2:24" s="0" customFormat="0" ht="15">
      <c r="B2027" s="69">
        <v>22099281</v>
      </c>
      <c r="C2027" s="70" t="s">
        <v>1110</v>
      </c>
      <c r="D2027" s="70" t="s">
        <v>1</v>
      </c>
      <c r="E2027" s="70" t="s">
        <v>1</v>
      </c>
      <c r="F2027" s="70"/>
      <c r="G2027" s="70" t="s">
        <v>61</v>
      </c>
      <c r="H2027" s="70" t="s">
        <v>178</v>
      </c>
      <c r="I2027" s="70" t="s">
        <v>188</v>
      </c>
      <c r="J2027" s="71">
        <f>IF(OR(I2027=0,I2027=""),"unrated",VLOOKUP(I2027,MappingTables!$B$19:$C$31,2,FALSE))</f>
        <v>2</v>
      </c>
      <c r="K2027" s="72">
        <v>54.338030005238952</v>
      </c>
      <c r="L2027" s="70">
        <v>3.947003447211616</v>
      </c>
      <c r="M2027" s="71">
        <f>IF(L2027&lt;1,1,L2027)</f>
        <v>3.947003447211616</v>
      </c>
      <c r="N2027" s="70" t="s">
        <v>141</v>
      </c>
      <c r="O2027" s="71">
        <f>INDEX(DurClassMapping,MATCH(M2027,MappingTables!$D$4:$D$8,-1),1)</f>
        <v>1</v>
      </c>
      <c r="P2027" s="73">
        <f>IF(M2027=$A$1,1,$M2027-INDEX(MappingTables!$E$4:$E$8,MATCH(O2027,MappingTables!$B$4:$B$8,0)))</f>
        <v>3.947003447211616</v>
      </c>
      <c r="Q2027" s="71">
        <f>IF(B2027="",0,INDEX(ModelParameters!$D$6:$K$10,MATCH($O2027,ModelParameters!$B$6:$B$10,0),MATCH($J2027,ModelParameters!$D$5:$K$5,0)))</f>
        <v>0.013999999999999998</v>
      </c>
      <c r="R2027" s="71">
        <f>IF(B2027="",0,INDEX(ModelParameters!$D$13:$K$17,MATCH($O2027,ModelParameters!$B$13:$B$17,0),MATCH($J2027,ModelParameters!$D$5:$K$5,0)))</f>
        <v>0</v>
      </c>
      <c r="S2027" s="160">
        <f>IF(B2027="",0,MIN(IF($N2027="Other Bond TM",ModelParameters!$N$21,1)*(P2027*Q2027+R2027),1))</f>
        <v>0.055258048260962624</v>
      </c>
      <c r="T2027" s="85">
        <f>IF(B2027="",0,$S2027*$K2027)</f>
        <v>3.0026134844351296</v>
      </c>
      <c r="U2027" s="85">
        <f>IF(B2027="",0,IF(OR(H2027=MappingTables!$C$34,H2027=MappingTables!$C$35),T2027,0))</f>
        <v>0</v>
      </c>
      <c r="V2027" s="85">
        <f>IF(ISNA(IF(AND(VLOOKUP(CONCATENATE($D2027,$G2027),CSRFinput!$B:$E,4,0)=0,OR(H2027=MappingTables!$C$34,H2027=MappingTables!$C$35)),1,VLOOKUP(CONCATENATE($D2027,$G2027),CSRFinput!$B:$E,4,0))),0,IF(AND(VLOOKUP(CONCATENATE($D2027,$G2027),CSRFinput!$B:$E,4,0)=0,OR(H2027=MappingTables!$C$34,H2027=MappingTables!$C$35)),1,VLOOKUP(CONCATENATE($D2027,$G2027),CSRFinput!$B:$E,4,0)))</f>
        <v>0.054776304963434752</v>
      </c>
      <c r="W2027" s="85">
        <f>IF(B2027="",0,+$T2027*$V2027)</f>
        <v>0.16447207191074012</v>
      </c>
      <c r="X2027" s="85">
        <f>IF(B2027="",0,IF(OR(H2027=MappingTables!$C$34,H2027=MappingTables!$C$35),W2027,0))</f>
        <v>0</v>
      </c>
    </row>
    <row r="2028" spans="2:24" s="0" customFormat="0" ht="15">
      <c r="B2028" s="69">
        <v>3393246</v>
      </c>
      <c r="C2028" s="70" t="s">
        <v>695</v>
      </c>
      <c r="D2028" s="70" t="s">
        <v>1</v>
      </c>
      <c r="E2028" s="70" t="s">
        <v>1</v>
      </c>
      <c r="F2028" s="70"/>
      <c r="G2028" s="70" t="s">
        <v>61</v>
      </c>
      <c r="H2028" s="70" t="s">
        <v>178</v>
      </c>
      <c r="I2028" s="70" t="s">
        <v>220</v>
      </c>
      <c r="J2028" s="71">
        <f>IF(OR(I2028=0,I2028=""),"unrated",VLOOKUP(I2028,MappingTables!$B$19:$C$31,2,FALSE))</f>
        <v>1</v>
      </c>
      <c r="K2028" s="72">
        <v>50.387050421315696</v>
      </c>
      <c r="L2028" s="70">
        <v>0.128766496788466</v>
      </c>
      <c r="M2028" s="71">
        <f>IF(L2028&lt;1,1,L2028)</f>
        <v>1</v>
      </c>
      <c r="N2028" s="70" t="s">
        <v>141</v>
      </c>
      <c r="O2028" s="71">
        <f>INDEX(DurClassMapping,MATCH(M2028,MappingTables!$D$4:$D$8,-1),1)</f>
        <v>1</v>
      </c>
      <c r="P2028" s="73">
        <f>IF(M2028=$A$1,1,$M2028-INDEX(MappingTables!$E$4:$E$8,MATCH(O2028,MappingTables!$B$4:$B$8,0)))</f>
        <v>1</v>
      </c>
      <c r="Q2028" s="71">
        <f>IF(B2028="",0,INDEX(ModelParameters!$D$6:$K$10,MATCH($O2028,ModelParameters!$B$6:$B$10,0),MATCH($J2028,ModelParameters!$D$5:$K$5,0)))</f>
        <v>0.011000000000000002</v>
      </c>
      <c r="R2028" s="71">
        <f>IF(B2028="",0,INDEX(ModelParameters!$D$13:$K$17,MATCH($O2028,ModelParameters!$B$13:$B$17,0),MATCH($J2028,ModelParameters!$D$5:$K$5,0)))</f>
        <v>0</v>
      </c>
      <c r="S2028" s="160">
        <f>IF(B2028="",0,MIN(IF($N2028="Other Bond TM",ModelParameters!$N$21,1)*(P2028*Q2028+R2028),1))</f>
        <v>0.011000000000000002</v>
      </c>
      <c r="T2028" s="85">
        <f>IF(B2028="",0,$S2028*$K2028)</f>
        <v>0.5542575546344728</v>
      </c>
      <c r="U2028" s="85">
        <f>IF(B2028="",0,IF(OR(H2028=MappingTables!$C$34,H2028=MappingTables!$C$35),T2028,0))</f>
        <v>0</v>
      </c>
      <c r="V2028" s="85">
        <f>IF(ISNA(IF(AND(VLOOKUP(CONCATENATE($D2028,$G2028),CSRFinput!$B:$E,4,0)=0,OR(H2028=MappingTables!$C$34,H2028=MappingTables!$C$35)),1,VLOOKUP(CONCATENATE($D2028,$G2028),CSRFinput!$B:$E,4,0))),0,IF(AND(VLOOKUP(CONCATENATE($D2028,$G2028),CSRFinput!$B:$E,4,0)=0,OR(H2028=MappingTables!$C$34,H2028=MappingTables!$C$35)),1,VLOOKUP(CONCATENATE($D2028,$G2028),CSRFinput!$B:$E,4,0)))</f>
        <v>0.054776304963434752</v>
      </c>
      <c r="W2028" s="85">
        <f>IF(B2028="",0,+$T2028*$V2028)</f>
        <v>0.03036018084094548</v>
      </c>
      <c r="X2028" s="85">
        <f>IF(B2028="",0,IF(OR(H2028=MappingTables!$C$34,H2028=MappingTables!$C$35),W2028,0))</f>
        <v>0</v>
      </c>
    </row>
    <row r="2029" spans="2:24" s="0" customFormat="0" ht="15">
      <c r="B2029" s="69">
        <v>21989831</v>
      </c>
      <c r="C2029" s="70" t="s">
        <v>2048</v>
      </c>
      <c r="D2029" s="70" t="s">
        <v>1</v>
      </c>
      <c r="E2029" s="70" t="s">
        <v>1</v>
      </c>
      <c r="F2029" s="70"/>
      <c r="G2029" s="70" t="s">
        <v>61</v>
      </c>
      <c r="H2029" s="70" t="s">
        <v>178</v>
      </c>
      <c r="I2029" s="70" t="s">
        <v>184</v>
      </c>
      <c r="J2029" s="71">
        <f>IF(OR(I2029=0,I2029=""),"unrated",VLOOKUP(I2029,MappingTables!$B$19:$C$31,2,FALSE))</f>
        <v>5</v>
      </c>
      <c r="K2029" s="72">
        <v>279.83141414997392</v>
      </c>
      <c r="L2029" s="70">
        <v>0.98897044096544944</v>
      </c>
      <c r="M2029" s="71">
        <f>IF(L2029&lt;1,1,L2029)</f>
        <v>1</v>
      </c>
      <c r="N2029" s="70" t="s">
        <v>141</v>
      </c>
      <c r="O2029" s="71">
        <f>INDEX(DurClassMapping,MATCH(M2029,MappingTables!$D$4:$D$8,-1),1)</f>
        <v>1</v>
      </c>
      <c r="P2029" s="73">
        <f>IF(M2029=$A$1,1,$M2029-INDEX(MappingTables!$E$4:$E$8,MATCH(O2029,MappingTables!$B$4:$B$8,0)))</f>
        <v>1</v>
      </c>
      <c r="Q2029" s="71">
        <f>IF(B2029="",0,INDEX(ModelParameters!$D$6:$K$10,MATCH($O2029,ModelParameters!$B$6:$B$10,0),MATCH($J2029,ModelParameters!$D$5:$K$5,0)))</f>
        <v>0.075</v>
      </c>
      <c r="R2029" s="71">
        <f>IF(B2029="",0,INDEX(ModelParameters!$D$13:$K$17,MATCH($O2029,ModelParameters!$B$13:$B$17,0),MATCH($J2029,ModelParameters!$D$5:$K$5,0)))</f>
        <v>0</v>
      </c>
      <c r="S2029" s="160">
        <f>IF(B2029="",0,MIN(IF($N2029="Other Bond TM",ModelParameters!$N$21,1)*(P2029*Q2029+R2029),1))</f>
        <v>0.075</v>
      </c>
      <c r="T2029" s="85">
        <f>IF(B2029="",0,$S2029*$K2029)</f>
        <v>20.987356061248044</v>
      </c>
      <c r="U2029" s="85">
        <f>IF(B2029="",0,IF(OR(H2029=MappingTables!$C$34,H2029=MappingTables!$C$35),T2029,0))</f>
        <v>0</v>
      </c>
      <c r="V2029" s="85">
        <f>IF(ISNA(IF(AND(VLOOKUP(CONCATENATE($D2029,$G2029),CSRFinput!$B:$E,4,0)=0,OR(H2029=MappingTables!$C$34,H2029=MappingTables!$C$35)),1,VLOOKUP(CONCATENATE($D2029,$G2029),CSRFinput!$B:$E,4,0))),0,IF(AND(VLOOKUP(CONCATENATE($D2029,$G2029),CSRFinput!$B:$E,4,0)=0,OR(H2029=MappingTables!$C$34,H2029=MappingTables!$C$35)),1,VLOOKUP(CONCATENATE($D2029,$G2029),CSRFinput!$B:$E,4,0)))</f>
        <v>0.054776304963434752</v>
      </c>
      <c r="W2029" s="85">
        <f>IF(B2029="",0,+$T2029*$V2029)</f>
        <v>1.1496098159871136</v>
      </c>
      <c r="X2029" s="85">
        <f>IF(B2029="",0,IF(OR(H2029=MappingTables!$C$34,H2029=MappingTables!$C$35),W2029,0))</f>
        <v>0</v>
      </c>
    </row>
    <row r="2030" spans="2:24" s="0" customFormat="0" ht="15">
      <c r="B2030" s="69">
        <v>18775820</v>
      </c>
      <c r="C2030" s="70" t="s">
        <v>1662</v>
      </c>
      <c r="D2030" s="70" t="s">
        <v>1</v>
      </c>
      <c r="E2030" s="70" t="s">
        <v>1</v>
      </c>
      <c r="F2030" s="70"/>
      <c r="G2030" s="70" t="s">
        <v>61</v>
      </c>
      <c r="H2030" s="70" t="s">
        <v>178</v>
      </c>
      <c r="I2030" s="70" t="s">
        <v>179</v>
      </c>
      <c r="J2030" s="71">
        <f>IF(OR(I2030=0,I2030=""),"unrated",VLOOKUP(I2030,MappingTables!$B$19:$C$31,2,FALSE))</f>
        <v>4</v>
      </c>
      <c r="K2030" s="72">
        <v>81.457033029327168</v>
      </c>
      <c r="L2030" s="70">
        <v>0.98378890329887648</v>
      </c>
      <c r="M2030" s="71">
        <f>IF(L2030&lt;1,1,L2030)</f>
        <v>1</v>
      </c>
      <c r="N2030" s="70" t="s">
        <v>141</v>
      </c>
      <c r="O2030" s="71">
        <f>INDEX(DurClassMapping,MATCH(M2030,MappingTables!$D$4:$D$8,-1),1)</f>
        <v>1</v>
      </c>
      <c r="P2030" s="73">
        <f>IF(M2030=$A$1,1,$M2030-INDEX(MappingTables!$E$4:$E$8,MATCH(O2030,MappingTables!$B$4:$B$8,0)))</f>
        <v>1</v>
      </c>
      <c r="Q2030" s="71">
        <f>IF(B2030="",0,INDEX(ModelParameters!$D$6:$K$10,MATCH($O2030,ModelParameters!$B$6:$B$10,0),MATCH($J2030,ModelParameters!$D$5:$K$5,0)))</f>
        <v>0.045</v>
      </c>
      <c r="R2030" s="71">
        <f>IF(B2030="",0,INDEX(ModelParameters!$D$13:$K$17,MATCH($O2030,ModelParameters!$B$13:$B$17,0),MATCH($J2030,ModelParameters!$D$5:$K$5,0)))</f>
        <v>0</v>
      </c>
      <c r="S2030" s="160">
        <f>IF(B2030="",0,MIN(IF($N2030="Other Bond TM",ModelParameters!$N$21,1)*(P2030*Q2030+R2030),1))</f>
        <v>0.045</v>
      </c>
      <c r="T2030" s="85">
        <f>IF(B2030="",0,$S2030*$K2030)</f>
        <v>3.6655664863197224</v>
      </c>
      <c r="U2030" s="85">
        <f>IF(B2030="",0,IF(OR(H2030=MappingTables!$C$34,H2030=MappingTables!$C$35),T2030,0))</f>
        <v>0</v>
      </c>
      <c r="V2030" s="85">
        <f>IF(ISNA(IF(AND(VLOOKUP(CONCATENATE($D2030,$G2030),CSRFinput!$B:$E,4,0)=0,OR(H2030=MappingTables!$C$34,H2030=MappingTables!$C$35)),1,VLOOKUP(CONCATENATE($D2030,$G2030),CSRFinput!$B:$E,4,0))),0,IF(AND(VLOOKUP(CONCATENATE($D2030,$G2030),CSRFinput!$B:$E,4,0)=0,OR(H2030=MappingTables!$C$34,H2030=MappingTables!$C$35)),1,VLOOKUP(CONCATENATE($D2030,$G2030),CSRFinput!$B:$E,4,0)))</f>
        <v>0.054776304963434752</v>
      </c>
      <c r="W2030" s="85">
        <f>IF(B2030="",0,+$T2030*$V2030)</f>
        <v>0.20078618771839508</v>
      </c>
      <c r="X2030" s="85">
        <f>IF(B2030="",0,IF(OR(H2030=MappingTables!$C$34,H2030=MappingTables!$C$35),W2030,0))</f>
        <v>0</v>
      </c>
    </row>
    <row r="2031" spans="2:24" s="0" customFormat="0" ht="15">
      <c r="B2031" s="69">
        <v>4422111</v>
      </c>
      <c r="C2031" s="70" t="s">
        <v>1546</v>
      </c>
      <c r="D2031" s="70" t="s">
        <v>1</v>
      </c>
      <c r="E2031" s="70" t="s">
        <v>1</v>
      </c>
      <c r="F2031" s="70"/>
      <c r="G2031" s="70" t="s">
        <v>61</v>
      </c>
      <c r="H2031" s="70" t="s">
        <v>178</v>
      </c>
      <c r="I2031" s="70" t="s">
        <v>181</v>
      </c>
      <c r="J2031" s="71">
        <f>IF(OR(I2031=0,I2031=""),"unrated",VLOOKUP(I2031,MappingTables!$B$19:$C$31,2,FALSE))</f>
        <v>3</v>
      </c>
      <c r="K2031" s="72">
        <v>4990.8714899029888</v>
      </c>
      <c r="L2031" s="70">
        <v>13.678402181315874</v>
      </c>
      <c r="M2031" s="71">
        <f>IF(L2031&lt;1,1,L2031)</f>
        <v>13.678402181315874</v>
      </c>
      <c r="N2031" s="70" t="s">
        <v>141</v>
      </c>
      <c r="O2031" s="71">
        <f>INDEX(DurClassMapping,MATCH(M2031,MappingTables!$D$4:$D$8,-1),1)</f>
        <v>3</v>
      </c>
      <c r="P2031" s="73">
        <f>IF(M2031=$A$1,1,$M2031-INDEX(MappingTables!$E$4:$E$8,MATCH(O2031,MappingTables!$B$4:$B$8,0)))</f>
        <v>3.6784021813158744</v>
      </c>
      <c r="Q2031" s="71">
        <f>IF(B2031="",0,INDEX(ModelParameters!$D$6:$K$10,MATCH($O2031,ModelParameters!$B$6:$B$10,0),MATCH($J2031,ModelParameters!$D$5:$K$5,0)))</f>
        <v>0.01</v>
      </c>
      <c r="R2031" s="71">
        <f>IF(B2031="",0,INDEX(ModelParameters!$D$13:$K$17,MATCH($O2031,ModelParameters!$B$13:$B$17,0),MATCH($J2031,ModelParameters!$D$5:$K$5,0)))</f>
        <v>0.2</v>
      </c>
      <c r="S2031" s="160">
        <f>IF(B2031="",0,MIN(IF($N2031="Other Bond TM",ModelParameters!$N$21,1)*(P2031*Q2031+R2031),1))</f>
        <v>0.23678402181315876</v>
      </c>
      <c r="T2031" s="85">
        <f>IF(B2031="",0,$S2031*$K2031)</f>
        <v>1181.7586237318616</v>
      </c>
      <c r="U2031" s="85">
        <f>IF(B2031="",0,IF(OR(H2031=MappingTables!$C$34,H2031=MappingTables!$C$35),T2031,0))</f>
        <v>0</v>
      </c>
      <c r="V2031" s="85">
        <f>IF(ISNA(IF(AND(VLOOKUP(CONCATENATE($D2031,$G2031),CSRFinput!$B:$E,4,0)=0,OR(H2031=MappingTables!$C$34,H2031=MappingTables!$C$35)),1,VLOOKUP(CONCATENATE($D2031,$G2031),CSRFinput!$B:$E,4,0))),0,IF(AND(VLOOKUP(CONCATENATE($D2031,$G2031),CSRFinput!$B:$E,4,0)=0,OR(H2031=MappingTables!$C$34,H2031=MappingTables!$C$35)),1,VLOOKUP(CONCATENATE($D2031,$G2031),CSRFinput!$B:$E,4,0)))</f>
        <v>0.054776304963434752</v>
      </c>
      <c r="W2031" s="85">
        <f>IF(B2031="",0,+$T2031*$V2031)</f>
        <v>64.7323707667054</v>
      </c>
      <c r="X2031" s="85">
        <f>IF(B2031="",0,IF(OR(H2031=MappingTables!$C$34,H2031=MappingTables!$C$35),W2031,0))</f>
        <v>0</v>
      </c>
    </row>
    <row r="2032" spans="2:24" s="0" customFormat="0" ht="15">
      <c r="B2032" s="69">
        <v>913920</v>
      </c>
      <c r="C2032" s="70" t="s">
        <v>1766</v>
      </c>
      <c r="D2032" s="70" t="s">
        <v>1</v>
      </c>
      <c r="E2032" s="70" t="s">
        <v>1</v>
      </c>
      <c r="F2032" s="70"/>
      <c r="G2032" s="70" t="s">
        <v>61</v>
      </c>
      <c r="H2032" s="70" t="s">
        <v>178</v>
      </c>
      <c r="I2032" s="70" t="s">
        <v>181</v>
      </c>
      <c r="J2032" s="71">
        <f>IF(OR(I2032=0,I2032=""),"unrated",VLOOKUP(I2032,MappingTables!$B$19:$C$31,2,FALSE))</f>
        <v>3</v>
      </c>
      <c r="K2032" s="72">
        <v>213.42671889165092</v>
      </c>
      <c r="L2032" s="70">
        <v>11.656925726774856</v>
      </c>
      <c r="M2032" s="71">
        <f>IF(L2032&lt;1,1,L2032)</f>
        <v>11.656925726774856</v>
      </c>
      <c r="N2032" s="70" t="s">
        <v>141</v>
      </c>
      <c r="O2032" s="71">
        <f>INDEX(DurClassMapping,MATCH(M2032,MappingTables!$D$4:$D$8,-1),1)</f>
        <v>3</v>
      </c>
      <c r="P2032" s="73">
        <f>IF(M2032=$A$1,1,$M2032-INDEX(MappingTables!$E$4:$E$8,MATCH(O2032,MappingTables!$B$4:$B$8,0)))</f>
        <v>1.6569257267748564</v>
      </c>
      <c r="Q2032" s="71">
        <f>IF(B2032="",0,INDEX(ModelParameters!$D$6:$K$10,MATCH($O2032,ModelParameters!$B$6:$B$10,0),MATCH($J2032,ModelParameters!$D$5:$K$5,0)))</f>
        <v>0.01</v>
      </c>
      <c r="R2032" s="71">
        <f>IF(B2032="",0,INDEX(ModelParameters!$D$13:$K$17,MATCH($O2032,ModelParameters!$B$13:$B$17,0),MATCH($J2032,ModelParameters!$D$5:$K$5,0)))</f>
        <v>0.2</v>
      </c>
      <c r="S2032" s="160">
        <f>IF(B2032="",0,MIN(IF($N2032="Other Bond TM",ModelParameters!$N$21,1)*(P2032*Q2032+R2032),1))</f>
        <v>0.2165692572677486</v>
      </c>
      <c r="T2032" s="85">
        <f>IF(B2032="",0,$S2032*$K2032)</f>
        <v>46.221665991457408</v>
      </c>
      <c r="U2032" s="85">
        <f>IF(B2032="",0,IF(OR(H2032=MappingTables!$C$34,H2032=MappingTables!$C$35),T2032,0))</f>
        <v>0</v>
      </c>
      <c r="V2032" s="85">
        <f>IF(ISNA(IF(AND(VLOOKUP(CONCATENATE($D2032,$G2032),CSRFinput!$B:$E,4,0)=0,OR(H2032=MappingTables!$C$34,H2032=MappingTables!$C$35)),1,VLOOKUP(CONCATENATE($D2032,$G2032),CSRFinput!$B:$E,4,0))),0,IF(AND(VLOOKUP(CONCATENATE($D2032,$G2032),CSRFinput!$B:$E,4,0)=0,OR(H2032=MappingTables!$C$34,H2032=MappingTables!$C$35)),1,VLOOKUP(CONCATENATE($D2032,$G2032),CSRFinput!$B:$E,4,0)))</f>
        <v>0.054776304963434752</v>
      </c>
      <c r="W2032" s="85">
        <f>IF(B2032="",0,+$T2032*$V2032)</f>
        <v>2.5318520722660916</v>
      </c>
      <c r="X2032" s="85">
        <f>IF(B2032="",0,IF(OR(H2032=MappingTables!$C$34,H2032=MappingTables!$C$35),W2032,0))</f>
        <v>0</v>
      </c>
    </row>
    <row r="2033" spans="2:24" s="0" customFormat="0" ht="15">
      <c r="B2033" s="69" t="s">
        <v>2153</v>
      </c>
      <c r="C2033" s="70" t="s">
        <v>2154</v>
      </c>
      <c r="D2033" s="70" t="s">
        <v>1</v>
      </c>
      <c r="E2033" s="70" t="s">
        <v>1</v>
      </c>
      <c r="F2033" s="70"/>
      <c r="G2033" s="70" t="s">
        <v>61</v>
      </c>
      <c r="H2033" s="70" t="s">
        <v>178</v>
      </c>
      <c r="I2033" s="70" t="s">
        <v>198</v>
      </c>
      <c r="J2033" s="71" t="str">
        <f>IF(OR(I2033=0,I2033=""),"unrated",VLOOKUP(I2033,MappingTables!$B$19:$C$31,2,FALSE))</f>
        <v>unrated</v>
      </c>
      <c r="K2033" s="72">
        <v>28358.3056740298</v>
      </c>
      <c r="L2033" s="70">
        <v>0.74794896521740448</v>
      </c>
      <c r="M2033" s="71">
        <f>IF(L2033&lt;1,1,L2033)</f>
        <v>1</v>
      </c>
      <c r="N2033" s="70" t="s">
        <v>141</v>
      </c>
      <c r="O2033" s="71">
        <f>INDEX(DurClassMapping,MATCH(M2033,MappingTables!$D$4:$D$8,-1),1)</f>
        <v>1</v>
      </c>
      <c r="P2033" s="73">
        <f>IF(M2033=$A$1,1,$M2033-INDEX(MappingTables!$E$4:$E$8,MATCH(O2033,MappingTables!$B$4:$B$8,0)))</f>
        <v>1</v>
      </c>
      <c r="Q2033" s="71">
        <f>IF(B2033="",0,INDEX(ModelParameters!$D$6:$K$10,MATCH($O2033,ModelParameters!$B$6:$B$10,0),MATCH($J2033,ModelParameters!$D$5:$K$5,0)))</f>
        <v>0.03</v>
      </c>
      <c r="R2033" s="71">
        <f>IF(B2033="",0,INDEX(ModelParameters!$D$13:$K$17,MATCH($O2033,ModelParameters!$B$13:$B$17,0),MATCH($J2033,ModelParameters!$D$5:$K$5,0)))</f>
        <v>0</v>
      </c>
      <c r="S2033" s="160">
        <f>IF(B2033="",0,MIN(IF($N2033="Other Bond TM",ModelParameters!$N$21,1)*(P2033*Q2033+R2033),1))</f>
        <v>0.03</v>
      </c>
      <c r="T2033" s="85">
        <f>IF(B2033="",0,$S2033*$K2033)</f>
        <v>850.74917022089408</v>
      </c>
      <c r="U2033" s="85">
        <f>IF(B2033="",0,IF(OR(H2033=MappingTables!$C$34,H2033=MappingTables!$C$35),T2033,0))</f>
        <v>0</v>
      </c>
      <c r="V2033" s="85">
        <f>IF(ISNA(IF(AND(VLOOKUP(CONCATENATE($D2033,$G2033),CSRFinput!$B:$E,4,0)=0,OR(H2033=MappingTables!$C$34,H2033=MappingTables!$C$35)),1,VLOOKUP(CONCATENATE($D2033,$G2033),CSRFinput!$B:$E,4,0))),0,IF(AND(VLOOKUP(CONCATENATE($D2033,$G2033),CSRFinput!$B:$E,4,0)=0,OR(H2033=MappingTables!$C$34,H2033=MappingTables!$C$35)),1,VLOOKUP(CONCATENATE($D2033,$G2033),CSRFinput!$B:$E,4,0)))</f>
        <v>0.054776304963434752</v>
      </c>
      <c r="W2033" s="85">
        <f>IF(B2033="",0,+$T2033*$V2033)</f>
        <v>46.600895995408752</v>
      </c>
      <c r="X2033" s="85">
        <f>IF(B2033="",0,IF(OR(H2033=MappingTables!$C$34,H2033=MappingTables!$C$35),W2033,0))</f>
        <v>0</v>
      </c>
    </row>
    <row r="2034" spans="2:24" s="0" customFormat="0" ht="15">
      <c r="B2034" s="69" t="s">
        <v>1418</v>
      </c>
      <c r="C2034" s="70" t="s">
        <v>1419</v>
      </c>
      <c r="D2034" s="70" t="s">
        <v>1</v>
      </c>
      <c r="E2034" s="70" t="s">
        <v>1</v>
      </c>
      <c r="F2034" s="70"/>
      <c r="G2034" s="70" t="s">
        <v>61</v>
      </c>
      <c r="H2034" s="70" t="s">
        <v>178</v>
      </c>
      <c r="I2034" s="70" t="s">
        <v>198</v>
      </c>
      <c r="J2034" s="71" t="str">
        <f>IF(OR(I2034=0,I2034=""),"unrated",VLOOKUP(I2034,MappingTables!$B$19:$C$31,2,FALSE))</f>
        <v>unrated</v>
      </c>
      <c r="K2034" s="72">
        <v>202.83234736910576</v>
      </c>
      <c r="L2034" s="70">
        <v>5.7794959359147816</v>
      </c>
      <c r="M2034" s="71">
        <f>IF(L2034&lt;1,1,L2034)</f>
        <v>5.7794959359147816</v>
      </c>
      <c r="N2034" s="70" t="s">
        <v>141</v>
      </c>
      <c r="O2034" s="71">
        <f>INDEX(DurClassMapping,MATCH(M2034,MappingTables!$D$4:$D$8,-1),1)</f>
        <v>2</v>
      </c>
      <c r="P2034" s="73">
        <f>IF(M2034=$A$1,1,$M2034-INDEX(MappingTables!$E$4:$E$8,MATCH(O2034,MappingTables!$B$4:$B$8,0)))</f>
        <v>0.77949593591478192</v>
      </c>
      <c r="Q2034" s="71">
        <f>IF(B2034="",0,INDEX(ModelParameters!$D$6:$K$10,MATCH($O2034,ModelParameters!$B$6:$B$10,0),MATCH($J2034,ModelParameters!$D$5:$K$5,0)))</f>
        <v>0.017000000000000002</v>
      </c>
      <c r="R2034" s="71">
        <f>IF(B2034="",0,INDEX(ModelParameters!$D$13:$K$17,MATCH($O2034,ModelParameters!$B$13:$B$17,0),MATCH($J2034,ModelParameters!$D$5:$K$5,0)))</f>
        <v>0.15</v>
      </c>
      <c r="S2034" s="160">
        <f>IF(B2034="",0,MIN(IF($N2034="Other Bond TM",ModelParameters!$N$21,1)*(P2034*Q2034+R2034),1))</f>
        <v>0.16325143091055128</v>
      </c>
      <c r="T2034" s="85">
        <f>IF(B2034="",0,$S2034*$K2034)</f>
        <v>33.112670942952504</v>
      </c>
      <c r="U2034" s="85">
        <f>IF(B2034="",0,IF(OR(H2034=MappingTables!$C$34,H2034=MappingTables!$C$35),T2034,0))</f>
        <v>0</v>
      </c>
      <c r="V2034" s="85">
        <f>IF(ISNA(IF(AND(VLOOKUP(CONCATENATE($D2034,$G2034),CSRFinput!$B:$E,4,0)=0,OR(H2034=MappingTables!$C$34,H2034=MappingTables!$C$35)),1,VLOOKUP(CONCATENATE($D2034,$G2034),CSRFinput!$B:$E,4,0))),0,IF(AND(VLOOKUP(CONCATENATE($D2034,$G2034),CSRFinput!$B:$E,4,0)=0,OR(H2034=MappingTables!$C$34,H2034=MappingTables!$C$35)),1,VLOOKUP(CONCATENATE($D2034,$G2034),CSRFinput!$B:$E,4,0)))</f>
        <v>0.054776304963434752</v>
      </c>
      <c r="W2034" s="85">
        <f>IF(B2034="",0,+$T2034*$V2034)</f>
        <v>1.8137897617250312</v>
      </c>
      <c r="X2034" s="85">
        <f>IF(B2034="",0,IF(OR(H2034=MappingTables!$C$34,H2034=MappingTables!$C$35),W2034,0))</f>
        <v>0</v>
      </c>
    </row>
    <row r="2035" spans="2:24" s="0" customFormat="0" ht="15">
      <c r="B2035" s="69">
        <v>15481640</v>
      </c>
      <c r="C2035" s="70" t="s">
        <v>819</v>
      </c>
      <c r="D2035" s="70" t="s">
        <v>1</v>
      </c>
      <c r="E2035" s="70" t="s">
        <v>1</v>
      </c>
      <c r="F2035" s="70"/>
      <c r="G2035" s="70" t="s">
        <v>61</v>
      </c>
      <c r="H2035" s="70" t="s">
        <v>178</v>
      </c>
      <c r="I2035" s="70" t="s">
        <v>188</v>
      </c>
      <c r="J2035" s="71">
        <f>IF(OR(I2035=0,I2035=""),"unrated",VLOOKUP(I2035,MappingTables!$B$19:$C$31,2,FALSE))</f>
        <v>2</v>
      </c>
      <c r="K2035" s="72">
        <v>356.54453116332604</v>
      </c>
      <c r="L2035" s="70">
        <v>1.8822735281109132</v>
      </c>
      <c r="M2035" s="71">
        <f>IF(L2035&lt;1,1,L2035)</f>
        <v>1.8822735281109132</v>
      </c>
      <c r="N2035" s="70" t="s">
        <v>141</v>
      </c>
      <c r="O2035" s="71">
        <f>INDEX(DurClassMapping,MATCH(M2035,MappingTables!$D$4:$D$8,-1),1)</f>
        <v>1</v>
      </c>
      <c r="P2035" s="73">
        <f>IF(M2035=$A$1,1,$M2035-INDEX(MappingTables!$E$4:$E$8,MATCH(O2035,MappingTables!$B$4:$B$8,0)))</f>
        <v>1.8822735281109132</v>
      </c>
      <c r="Q2035" s="71">
        <f>IF(B2035="",0,INDEX(ModelParameters!$D$6:$K$10,MATCH($O2035,ModelParameters!$B$6:$B$10,0),MATCH($J2035,ModelParameters!$D$5:$K$5,0)))</f>
        <v>0.013999999999999998</v>
      </c>
      <c r="R2035" s="71">
        <f>IF(B2035="",0,INDEX(ModelParameters!$D$13:$K$17,MATCH($O2035,ModelParameters!$B$13:$B$17,0),MATCH($J2035,ModelParameters!$D$5:$K$5,0)))</f>
        <v>0</v>
      </c>
      <c r="S2035" s="160">
        <f>IF(B2035="",0,MIN(IF($N2035="Other Bond TM",ModelParameters!$N$21,1)*(P2035*Q2035+R2035),1))</f>
        <v>0.02635182939355278</v>
      </c>
      <c r="T2035" s="85">
        <f>IF(B2035="",0,$S2035*$K2035)</f>
        <v>9.3956006564202304</v>
      </c>
      <c r="U2035" s="85">
        <f>IF(B2035="",0,IF(OR(H2035=MappingTables!$C$34,H2035=MappingTables!$C$35),T2035,0))</f>
        <v>0</v>
      </c>
      <c r="V2035" s="85">
        <f>IF(ISNA(IF(AND(VLOOKUP(CONCATENATE($D2035,$G2035),CSRFinput!$B:$E,4,0)=0,OR(H2035=MappingTables!$C$34,H2035=MappingTables!$C$35)),1,VLOOKUP(CONCATENATE($D2035,$G2035),CSRFinput!$B:$E,4,0))),0,IF(AND(VLOOKUP(CONCATENATE($D2035,$G2035),CSRFinput!$B:$E,4,0)=0,OR(H2035=MappingTables!$C$34,H2035=MappingTables!$C$35)),1,VLOOKUP(CONCATENATE($D2035,$G2035),CSRFinput!$B:$E,4,0)))</f>
        <v>0.054776304963434752</v>
      </c>
      <c r="W2035" s="85">
        <f>IF(B2035="",0,+$T2035*$V2035)</f>
        <v>0.51465628687072232</v>
      </c>
      <c r="X2035" s="85">
        <f>IF(B2035="",0,IF(OR(H2035=MappingTables!$C$34,H2035=MappingTables!$C$35),W2035,0))</f>
        <v>0</v>
      </c>
    </row>
    <row r="2036" spans="2:24" s="0" customFormat="0" ht="15">
      <c r="B2036" s="69">
        <v>19503822</v>
      </c>
      <c r="C2036" s="70" t="s">
        <v>1962</v>
      </c>
      <c r="D2036" s="70" t="s">
        <v>1</v>
      </c>
      <c r="E2036" s="70" t="s">
        <v>1</v>
      </c>
      <c r="F2036" s="70"/>
      <c r="G2036" s="70" t="s">
        <v>61</v>
      </c>
      <c r="H2036" s="70" t="s">
        <v>178</v>
      </c>
      <c r="I2036" s="70" t="s">
        <v>181</v>
      </c>
      <c r="J2036" s="71">
        <f>IF(OR(I2036=0,I2036=""),"unrated",VLOOKUP(I2036,MappingTables!$B$19:$C$31,2,FALSE))</f>
        <v>3</v>
      </c>
      <c r="K2036" s="72">
        <v>669.45097629340816</v>
      </c>
      <c r="L2036" s="70">
        <v>3.1669720988968012</v>
      </c>
      <c r="M2036" s="71">
        <f>IF(L2036&lt;1,1,L2036)</f>
        <v>3.1669720988968012</v>
      </c>
      <c r="N2036" s="70" t="s">
        <v>141</v>
      </c>
      <c r="O2036" s="71">
        <f>INDEX(DurClassMapping,MATCH(M2036,MappingTables!$D$4:$D$8,-1),1)</f>
        <v>1</v>
      </c>
      <c r="P2036" s="73">
        <f>IF(M2036=$A$1,1,$M2036-INDEX(MappingTables!$E$4:$E$8,MATCH(O2036,MappingTables!$B$4:$B$8,0)))</f>
        <v>3.1669720988968012</v>
      </c>
      <c r="Q2036" s="71">
        <f>IF(B2036="",0,INDEX(ModelParameters!$D$6:$K$10,MATCH($O2036,ModelParameters!$B$6:$B$10,0),MATCH($J2036,ModelParameters!$D$5:$K$5,0)))</f>
        <v>0.025</v>
      </c>
      <c r="R2036" s="71">
        <f>IF(B2036="",0,INDEX(ModelParameters!$D$13:$K$17,MATCH($O2036,ModelParameters!$B$13:$B$17,0),MATCH($J2036,ModelParameters!$D$5:$K$5,0)))</f>
        <v>0</v>
      </c>
      <c r="S2036" s="160">
        <f>IF(B2036="",0,MIN(IF($N2036="Other Bond TM",ModelParameters!$N$21,1)*(P2036*Q2036+R2036),1))</f>
        <v>0.079174302472420032</v>
      </c>
      <c r="T2036" s="85">
        <f>IF(B2036="",0,$S2036*$K2036)</f>
        <v>53.003314087511192</v>
      </c>
      <c r="U2036" s="85">
        <f>IF(B2036="",0,IF(OR(H2036=MappingTables!$C$34,H2036=MappingTables!$C$35),T2036,0))</f>
        <v>0</v>
      </c>
      <c r="V2036" s="85">
        <f>IF(ISNA(IF(AND(VLOOKUP(CONCATENATE($D2036,$G2036),CSRFinput!$B:$E,4,0)=0,OR(H2036=MappingTables!$C$34,H2036=MappingTables!$C$35)),1,VLOOKUP(CONCATENATE($D2036,$G2036),CSRFinput!$B:$E,4,0))),0,IF(AND(VLOOKUP(CONCATENATE($D2036,$G2036),CSRFinput!$B:$E,4,0)=0,OR(H2036=MappingTables!$C$34,H2036=MappingTables!$C$35)),1,VLOOKUP(CONCATENATE($D2036,$G2036),CSRFinput!$B:$E,4,0)))</f>
        <v>0.054776304963434752</v>
      </c>
      <c r="W2036" s="85">
        <f>IF(B2036="",0,+$T2036*$V2036)</f>
        <v>2.9033256965302304</v>
      </c>
      <c r="X2036" s="85">
        <f>IF(B2036="",0,IF(OR(H2036=MappingTables!$C$34,H2036=MappingTables!$C$35),W2036,0))</f>
        <v>0</v>
      </c>
    </row>
    <row r="2037" spans="2:24" s="0" customFormat="0" ht="15">
      <c r="B2037" s="69">
        <v>2106487</v>
      </c>
      <c r="C2037" s="70" t="s">
        <v>1219</v>
      </c>
      <c r="D2037" s="70" t="s">
        <v>1</v>
      </c>
      <c r="E2037" s="70" t="s">
        <v>1</v>
      </c>
      <c r="F2037" s="70"/>
      <c r="G2037" s="70" t="s">
        <v>61</v>
      </c>
      <c r="H2037" s="70" t="s">
        <v>178</v>
      </c>
      <c r="I2037" s="70" t="s">
        <v>188</v>
      </c>
      <c r="J2037" s="71">
        <f>IF(OR(I2037=0,I2037=""),"unrated",VLOOKUP(I2037,MappingTables!$B$19:$C$31,2,FALSE))</f>
        <v>2</v>
      </c>
      <c r="K2037" s="72">
        <v>369.723707279914</v>
      </c>
      <c r="L2037" s="70">
        <v>13.612116901493664</v>
      </c>
      <c r="M2037" s="71">
        <f>IF(L2037&lt;1,1,L2037)</f>
        <v>13.612116901493664</v>
      </c>
      <c r="N2037" s="70" t="s">
        <v>141</v>
      </c>
      <c r="O2037" s="71">
        <f>INDEX(DurClassMapping,MATCH(M2037,MappingTables!$D$4:$D$8,-1),1)</f>
        <v>3</v>
      </c>
      <c r="P2037" s="73">
        <f>IF(M2037=$A$1,1,$M2037-INDEX(MappingTables!$E$4:$E$8,MATCH(O2037,MappingTables!$B$4:$B$8,0)))</f>
        <v>3.612116901493664</v>
      </c>
      <c r="Q2037" s="71">
        <f>IF(B2037="",0,INDEX(ModelParameters!$D$6:$K$10,MATCH($O2037,ModelParameters!$B$6:$B$10,0),MATCH($J2037,ModelParameters!$D$5:$K$5,0)))</f>
        <v>0.005</v>
      </c>
      <c r="R2037" s="71">
        <f>IF(B2037="",0,INDEX(ModelParameters!$D$13:$K$17,MATCH($O2037,ModelParameters!$B$13:$B$17,0),MATCH($J2037,ModelParameters!$D$5:$K$5,0)))</f>
        <v>0.105</v>
      </c>
      <c r="S2037" s="160">
        <f>IF(B2037="",0,MIN(IF($N2037="Other Bond TM",ModelParameters!$N$21,1)*(P2037*Q2037+R2037),1))</f>
        <v>0.12306058450746832</v>
      </c>
      <c r="T2037" s="85">
        <f>IF(B2037="",0,$S2037*$K2037)</f>
        <v>45.498415524134336</v>
      </c>
      <c r="U2037" s="85">
        <f>IF(B2037="",0,IF(OR(H2037=MappingTables!$C$34,H2037=MappingTables!$C$35),T2037,0))</f>
        <v>0</v>
      </c>
      <c r="V2037" s="85">
        <f>IF(ISNA(IF(AND(VLOOKUP(CONCATENATE($D2037,$G2037),CSRFinput!$B:$E,4,0)=0,OR(H2037=MappingTables!$C$34,H2037=MappingTables!$C$35)),1,VLOOKUP(CONCATENATE($D2037,$G2037),CSRFinput!$B:$E,4,0))),0,IF(AND(VLOOKUP(CONCATENATE($D2037,$G2037),CSRFinput!$B:$E,4,0)=0,OR(H2037=MappingTables!$C$34,H2037=MappingTables!$C$35)),1,VLOOKUP(CONCATENATE($D2037,$G2037),CSRFinput!$B:$E,4,0)))</f>
        <v>0.054776304963434752</v>
      </c>
      <c r="W2037" s="85">
        <f>IF(B2037="",0,+$T2037*$V2037)</f>
        <v>2.4922350841030564</v>
      </c>
      <c r="X2037" s="85">
        <f>IF(B2037="",0,IF(OR(H2037=MappingTables!$C$34,H2037=MappingTables!$C$35),W2037,0))</f>
        <v>0</v>
      </c>
    </row>
    <row r="2038" spans="2:24" s="0" customFormat="0" ht="15">
      <c r="B2038" s="69">
        <v>18991273</v>
      </c>
      <c r="C2038" s="70" t="s">
        <v>2155</v>
      </c>
      <c r="D2038" s="70" t="s">
        <v>1</v>
      </c>
      <c r="E2038" s="70" t="s">
        <v>1</v>
      </c>
      <c r="F2038" s="70"/>
      <c r="G2038" s="70" t="s">
        <v>61</v>
      </c>
      <c r="H2038" s="70" t="s">
        <v>178</v>
      </c>
      <c r="I2038" s="70" t="s">
        <v>179</v>
      </c>
      <c r="J2038" s="71">
        <f>IF(OR(I2038=0,I2038=""),"unrated",VLOOKUP(I2038,MappingTables!$B$19:$C$31,2,FALSE))</f>
        <v>4</v>
      </c>
      <c r="K2038" s="72">
        <v>139.31213593875756</v>
      </c>
      <c r="L2038" s="70">
        <v>1.0542992121112096</v>
      </c>
      <c r="M2038" s="71">
        <f>IF(L2038&lt;1,1,L2038)</f>
        <v>1.0542992121112096</v>
      </c>
      <c r="N2038" s="70" t="s">
        <v>141</v>
      </c>
      <c r="O2038" s="71">
        <f>INDEX(DurClassMapping,MATCH(M2038,MappingTables!$D$4:$D$8,-1),1)</f>
        <v>1</v>
      </c>
      <c r="P2038" s="73">
        <f>IF(M2038=$A$1,1,$M2038-INDEX(MappingTables!$E$4:$E$8,MATCH(O2038,MappingTables!$B$4:$B$8,0)))</f>
        <v>1.0542992121112096</v>
      </c>
      <c r="Q2038" s="71">
        <f>IF(B2038="",0,INDEX(ModelParameters!$D$6:$K$10,MATCH($O2038,ModelParameters!$B$6:$B$10,0),MATCH($J2038,ModelParameters!$D$5:$K$5,0)))</f>
        <v>0.045</v>
      </c>
      <c r="R2038" s="71">
        <f>IF(B2038="",0,INDEX(ModelParameters!$D$13:$K$17,MATCH($O2038,ModelParameters!$B$13:$B$17,0),MATCH($J2038,ModelParameters!$D$5:$K$5,0)))</f>
        <v>0</v>
      </c>
      <c r="S2038" s="160">
        <f>IF(B2038="",0,MIN(IF($N2038="Other Bond TM",ModelParameters!$N$21,1)*(P2038*Q2038+R2038),1))</f>
        <v>0.047443464545004432</v>
      </c>
      <c r="T2038" s="85">
        <f>IF(B2038="",0,$S2038*$K2038)</f>
        <v>6.6094503820992816</v>
      </c>
      <c r="U2038" s="85">
        <f>IF(B2038="",0,IF(OR(H2038=MappingTables!$C$34,H2038=MappingTables!$C$35),T2038,0))</f>
        <v>0</v>
      </c>
      <c r="V2038" s="85">
        <f>IF(ISNA(IF(AND(VLOOKUP(CONCATENATE($D2038,$G2038),CSRFinput!$B:$E,4,0)=0,OR(H2038=MappingTables!$C$34,H2038=MappingTables!$C$35)),1,VLOOKUP(CONCATENATE($D2038,$G2038),CSRFinput!$B:$E,4,0))),0,IF(AND(VLOOKUP(CONCATENATE($D2038,$G2038),CSRFinput!$B:$E,4,0)=0,OR(H2038=MappingTables!$C$34,H2038=MappingTables!$C$35)),1,VLOOKUP(CONCATENATE($D2038,$G2038),CSRFinput!$B:$E,4,0)))</f>
        <v>0.054776304963434752</v>
      </c>
      <c r="W2038" s="85">
        <f>IF(B2038="",0,+$T2038*$V2038)</f>
        <v>0.36204126977056064</v>
      </c>
      <c r="X2038" s="85">
        <f>IF(B2038="",0,IF(OR(H2038=MappingTables!$C$34,H2038=MappingTables!$C$35),W2038,0))</f>
        <v>0</v>
      </c>
    </row>
    <row r="2039" spans="2:24" s="0" customFormat="0" ht="15">
      <c r="B2039" s="69">
        <v>21257169</v>
      </c>
      <c r="C2039" s="70" t="s">
        <v>2156</v>
      </c>
      <c r="D2039" s="70" t="s">
        <v>1</v>
      </c>
      <c r="E2039" s="70" t="s">
        <v>1</v>
      </c>
      <c r="F2039" s="70"/>
      <c r="G2039" s="70" t="s">
        <v>61</v>
      </c>
      <c r="H2039" s="70" t="s">
        <v>178</v>
      </c>
      <c r="I2039" s="70" t="s">
        <v>188</v>
      </c>
      <c r="J2039" s="71">
        <f>IF(OR(I2039=0,I2039=""),"unrated",VLOOKUP(I2039,MappingTables!$B$19:$C$31,2,FALSE))</f>
        <v>2</v>
      </c>
      <c r="K2039" s="72">
        <v>1333.5155501743422</v>
      </c>
      <c r="L2039" s="70">
        <v>3.7425935902388968</v>
      </c>
      <c r="M2039" s="71">
        <f>IF(L2039&lt;1,1,L2039)</f>
        <v>3.7425935902388968</v>
      </c>
      <c r="N2039" s="70" t="s">
        <v>141</v>
      </c>
      <c r="O2039" s="71">
        <f>INDEX(DurClassMapping,MATCH(M2039,MappingTables!$D$4:$D$8,-1),1)</f>
        <v>1</v>
      </c>
      <c r="P2039" s="73">
        <f>IF(M2039=$A$1,1,$M2039-INDEX(MappingTables!$E$4:$E$8,MATCH(O2039,MappingTables!$B$4:$B$8,0)))</f>
        <v>3.7425935902388968</v>
      </c>
      <c r="Q2039" s="71">
        <f>IF(B2039="",0,INDEX(ModelParameters!$D$6:$K$10,MATCH($O2039,ModelParameters!$B$6:$B$10,0),MATCH($J2039,ModelParameters!$D$5:$K$5,0)))</f>
        <v>0.013999999999999998</v>
      </c>
      <c r="R2039" s="71">
        <f>IF(B2039="",0,INDEX(ModelParameters!$D$13:$K$17,MATCH($O2039,ModelParameters!$B$13:$B$17,0),MATCH($J2039,ModelParameters!$D$5:$K$5,0)))</f>
        <v>0</v>
      </c>
      <c r="S2039" s="160">
        <f>IF(B2039="",0,MIN(IF($N2039="Other Bond TM",ModelParameters!$N$21,1)*(P2039*Q2039+R2039),1))</f>
        <v>0.052396310263344552</v>
      </c>
      <c r="T2039" s="85">
        <f>IF(B2039="",0,$S2039*$K2039)</f>
        <v>69.871294507929448</v>
      </c>
      <c r="U2039" s="85">
        <f>IF(B2039="",0,IF(OR(H2039=MappingTables!$C$34,H2039=MappingTables!$C$35),T2039,0))</f>
        <v>0</v>
      </c>
      <c r="V2039" s="85">
        <f>IF(ISNA(IF(AND(VLOOKUP(CONCATENATE($D2039,$G2039),CSRFinput!$B:$E,4,0)=0,OR(H2039=MappingTables!$C$34,H2039=MappingTables!$C$35)),1,VLOOKUP(CONCATENATE($D2039,$G2039),CSRFinput!$B:$E,4,0))),0,IF(AND(VLOOKUP(CONCATENATE($D2039,$G2039),CSRFinput!$B:$E,4,0)=0,OR(H2039=MappingTables!$C$34,H2039=MappingTables!$C$35)),1,VLOOKUP(CONCATENATE($D2039,$G2039),CSRFinput!$B:$E,4,0)))</f>
        <v>0.054776304963434752</v>
      </c>
      <c r="W2039" s="85">
        <f>IF(B2039="",0,+$T2039*$V2039)</f>
        <v>3.8272913361563072</v>
      </c>
      <c r="X2039" s="85">
        <f>IF(B2039="",0,IF(OR(H2039=MappingTables!$C$34,H2039=MappingTables!$C$35),W2039,0))</f>
        <v>0</v>
      </c>
    </row>
    <row r="2040" spans="2:24" s="0" customFormat="0" ht="15">
      <c r="B2040" s="69" t="s">
        <v>1340</v>
      </c>
      <c r="C2040" s="70" t="s">
        <v>1341</v>
      </c>
      <c r="D2040" s="70" t="s">
        <v>1</v>
      </c>
      <c r="E2040" s="70" t="s">
        <v>1</v>
      </c>
      <c r="F2040" s="70"/>
      <c r="G2040" s="70" t="s">
        <v>61</v>
      </c>
      <c r="H2040" s="70" t="s">
        <v>178</v>
      </c>
      <c r="I2040" s="70" t="s">
        <v>198</v>
      </c>
      <c r="J2040" s="71" t="str">
        <f>IF(OR(I2040=0,I2040=""),"unrated",VLOOKUP(I2040,MappingTables!$B$19:$C$31,2,FALSE))</f>
        <v>unrated</v>
      </c>
      <c r="K2040" s="72">
        <v>4288.0003930548744</v>
      </c>
      <c r="L2040" s="70">
        <v>8.056591880959808</v>
      </c>
      <c r="M2040" s="71">
        <f>IF(L2040&lt;1,1,L2040)</f>
        <v>8.056591880959808</v>
      </c>
      <c r="N2040" s="70" t="s">
        <v>141</v>
      </c>
      <c r="O2040" s="71">
        <f>INDEX(DurClassMapping,MATCH(M2040,MappingTables!$D$4:$D$8,-1),1)</f>
        <v>2</v>
      </c>
      <c r="P2040" s="73">
        <f>IF(M2040=$A$1,1,$M2040-INDEX(MappingTables!$E$4:$E$8,MATCH(O2040,MappingTables!$B$4:$B$8,0)))</f>
        <v>3.0565918809598072</v>
      </c>
      <c r="Q2040" s="71">
        <f>IF(B2040="",0,INDEX(ModelParameters!$D$6:$K$10,MATCH($O2040,ModelParameters!$B$6:$B$10,0),MATCH($J2040,ModelParameters!$D$5:$K$5,0)))</f>
        <v>0.017000000000000002</v>
      </c>
      <c r="R2040" s="71">
        <f>IF(B2040="",0,INDEX(ModelParameters!$D$13:$K$17,MATCH($O2040,ModelParameters!$B$13:$B$17,0),MATCH($J2040,ModelParameters!$D$5:$K$5,0)))</f>
        <v>0.15</v>
      </c>
      <c r="S2040" s="160">
        <f>IF(B2040="",0,MIN(IF($N2040="Other Bond TM",ModelParameters!$N$21,1)*(P2040*Q2040+R2040),1))</f>
        <v>0.20196206197631672</v>
      </c>
      <c r="T2040" s="85">
        <f>IF(B2040="",0,$S2040*$K2040)</f>
        <v>866.01340113661904</v>
      </c>
      <c r="U2040" s="85">
        <f>IF(B2040="",0,IF(OR(H2040=MappingTables!$C$34,H2040=MappingTables!$C$35),T2040,0))</f>
        <v>0</v>
      </c>
      <c r="V2040" s="85">
        <f>IF(ISNA(IF(AND(VLOOKUP(CONCATENATE($D2040,$G2040),CSRFinput!$B:$E,4,0)=0,OR(H2040=MappingTables!$C$34,H2040=MappingTables!$C$35)),1,VLOOKUP(CONCATENATE($D2040,$G2040),CSRFinput!$B:$E,4,0))),0,IF(AND(VLOOKUP(CONCATENATE($D2040,$G2040),CSRFinput!$B:$E,4,0)=0,OR(H2040=MappingTables!$C$34,H2040=MappingTables!$C$35)),1,VLOOKUP(CONCATENATE($D2040,$G2040),CSRFinput!$B:$E,4,0)))</f>
        <v>0.054776304963434752</v>
      </c>
      <c r="W2040" s="85">
        <f>IF(B2040="",0,+$T2040*$V2040)</f>
        <v>47.4370141630808</v>
      </c>
      <c r="X2040" s="85">
        <f>IF(B2040="",0,IF(OR(H2040=MappingTables!$C$34,H2040=MappingTables!$C$35),W2040,0))</f>
        <v>0</v>
      </c>
    </row>
    <row r="2041" spans="2:24" s="0" customFormat="0" ht="15">
      <c r="B2041" s="69" t="s">
        <v>2135</v>
      </c>
      <c r="C2041" s="70" t="s">
        <v>2136</v>
      </c>
      <c r="D2041" s="70" t="s">
        <v>1</v>
      </c>
      <c r="E2041" s="70" t="s">
        <v>1</v>
      </c>
      <c r="F2041" s="70"/>
      <c r="G2041" s="70" t="s">
        <v>61</v>
      </c>
      <c r="H2041" s="70" t="s">
        <v>178</v>
      </c>
      <c r="I2041" s="70" t="s">
        <v>188</v>
      </c>
      <c r="J2041" s="71">
        <f>IF(OR(I2041=0,I2041=""),"unrated",VLOOKUP(I2041,MappingTables!$B$19:$C$31,2,FALSE))</f>
        <v>2</v>
      </c>
      <c r="K2041" s="72">
        <v>223.53533715294884</v>
      </c>
      <c r="L2041" s="70">
        <v>6.4115484736136304</v>
      </c>
      <c r="M2041" s="71">
        <f>IF(L2041&lt;1,1,L2041)</f>
        <v>6.4115484736136304</v>
      </c>
      <c r="N2041" s="70" t="s">
        <v>141</v>
      </c>
      <c r="O2041" s="71">
        <f>INDEX(DurClassMapping,MATCH(M2041,MappingTables!$D$4:$D$8,-1),1)</f>
        <v>2</v>
      </c>
      <c r="P2041" s="73">
        <f>IF(M2041=$A$1,1,$M2041-INDEX(MappingTables!$E$4:$E$8,MATCH(O2041,MappingTables!$B$4:$B$8,0)))</f>
        <v>1.4115484736136308</v>
      </c>
      <c r="Q2041" s="71">
        <f>IF(B2041="",0,INDEX(ModelParameters!$D$6:$K$10,MATCH($O2041,ModelParameters!$B$6:$B$10,0),MATCH($J2041,ModelParameters!$D$5:$K$5,0)))</f>
        <v>0.0069999999999999992</v>
      </c>
      <c r="R2041" s="71">
        <f>IF(B2041="",0,INDEX(ModelParameters!$D$13:$K$17,MATCH($O2041,ModelParameters!$B$13:$B$17,0),MATCH($J2041,ModelParameters!$D$5:$K$5,0)))</f>
        <v>0.070000000000000008</v>
      </c>
      <c r="S2041" s="160">
        <f>IF(B2041="",0,MIN(IF($N2041="Other Bond TM",ModelParameters!$N$21,1)*(P2041*Q2041+R2041),1))</f>
        <v>0.079880839315295424</v>
      </c>
      <c r="T2041" s="85">
        <f>IF(B2041="",0,$S2041*$K2041)</f>
        <v>17.856190348405094</v>
      </c>
      <c r="U2041" s="85">
        <f>IF(B2041="",0,IF(OR(H2041=MappingTables!$C$34,H2041=MappingTables!$C$35),T2041,0))</f>
        <v>0</v>
      </c>
      <c r="V2041" s="85">
        <f>IF(ISNA(IF(AND(VLOOKUP(CONCATENATE($D2041,$G2041),CSRFinput!$B:$E,4,0)=0,OR(H2041=MappingTables!$C$34,H2041=MappingTables!$C$35)),1,VLOOKUP(CONCATENATE($D2041,$G2041),CSRFinput!$B:$E,4,0))),0,IF(AND(VLOOKUP(CONCATENATE($D2041,$G2041),CSRFinput!$B:$E,4,0)=0,OR(H2041=MappingTables!$C$34,H2041=MappingTables!$C$35)),1,VLOOKUP(CONCATENATE($D2041,$G2041),CSRFinput!$B:$E,4,0)))</f>
        <v>0.054776304963434752</v>
      </c>
      <c r="W2041" s="85">
        <f>IF(B2041="",0,+$T2041*$V2041)</f>
        <v>0.9780961280093776</v>
      </c>
      <c r="X2041" s="85">
        <f>IF(B2041="",0,IF(OR(H2041=MappingTables!$C$34,H2041=MappingTables!$C$35),W2041,0))</f>
        <v>0</v>
      </c>
    </row>
    <row r="2042" spans="2:24" s="0" customFormat="0" ht="15">
      <c r="B2042" s="69">
        <v>22927564</v>
      </c>
      <c r="C2042" s="70" t="s">
        <v>2157</v>
      </c>
      <c r="D2042" s="70" t="s">
        <v>1</v>
      </c>
      <c r="E2042" s="70" t="s">
        <v>1</v>
      </c>
      <c r="F2042" s="70"/>
      <c r="G2042" s="70" t="s">
        <v>61</v>
      </c>
      <c r="H2042" s="70" t="s">
        <v>178</v>
      </c>
      <c r="I2042" s="70" t="s">
        <v>188</v>
      </c>
      <c r="J2042" s="71">
        <f>IF(OR(I2042=0,I2042=""),"unrated",VLOOKUP(I2042,MappingTables!$B$19:$C$31,2,FALSE))</f>
        <v>2</v>
      </c>
      <c r="K2042" s="72">
        <v>465.30887276941464</v>
      </c>
      <c r="L2042" s="70">
        <v>0.7004636620321664</v>
      </c>
      <c r="M2042" s="71">
        <f>IF(L2042&lt;1,1,L2042)</f>
        <v>1</v>
      </c>
      <c r="N2042" s="70" t="s">
        <v>141</v>
      </c>
      <c r="O2042" s="71">
        <f>INDEX(DurClassMapping,MATCH(M2042,MappingTables!$D$4:$D$8,-1),1)</f>
        <v>1</v>
      </c>
      <c r="P2042" s="73">
        <f>IF(M2042=$A$1,1,$M2042-INDEX(MappingTables!$E$4:$E$8,MATCH(O2042,MappingTables!$B$4:$B$8,0)))</f>
        <v>1</v>
      </c>
      <c r="Q2042" s="71">
        <f>IF(B2042="",0,INDEX(ModelParameters!$D$6:$K$10,MATCH($O2042,ModelParameters!$B$6:$B$10,0),MATCH($J2042,ModelParameters!$D$5:$K$5,0)))</f>
        <v>0.013999999999999998</v>
      </c>
      <c r="R2042" s="71">
        <f>IF(B2042="",0,INDEX(ModelParameters!$D$13:$K$17,MATCH($O2042,ModelParameters!$B$13:$B$17,0),MATCH($J2042,ModelParameters!$D$5:$K$5,0)))</f>
        <v>0</v>
      </c>
      <c r="S2042" s="160">
        <f>IF(B2042="",0,MIN(IF($N2042="Other Bond TM",ModelParameters!$N$21,1)*(P2042*Q2042+R2042),1))</f>
        <v>0.013999999999999998</v>
      </c>
      <c r="T2042" s="85">
        <f>IF(B2042="",0,$S2042*$K2042)</f>
        <v>6.5143242187718032</v>
      </c>
      <c r="U2042" s="85">
        <f>IF(B2042="",0,IF(OR(H2042=MappingTables!$C$34,H2042=MappingTables!$C$35),T2042,0))</f>
        <v>0</v>
      </c>
      <c r="V2042" s="85">
        <f>IF(ISNA(IF(AND(VLOOKUP(CONCATENATE($D2042,$G2042),CSRFinput!$B:$E,4,0)=0,OR(H2042=MappingTables!$C$34,H2042=MappingTables!$C$35)),1,VLOOKUP(CONCATENATE($D2042,$G2042),CSRFinput!$B:$E,4,0))),0,IF(AND(VLOOKUP(CONCATENATE($D2042,$G2042),CSRFinput!$B:$E,4,0)=0,OR(H2042=MappingTables!$C$34,H2042=MappingTables!$C$35)),1,VLOOKUP(CONCATENATE($D2042,$G2042),CSRFinput!$B:$E,4,0)))</f>
        <v>0.054776304963434752</v>
      </c>
      <c r="W2042" s="85">
        <f>IF(B2042="",0,+$T2042*$V2042)</f>
        <v>0.35683061003813316</v>
      </c>
      <c r="X2042" s="85">
        <f>IF(B2042="",0,IF(OR(H2042=MappingTables!$C$34,H2042=MappingTables!$C$35),W2042,0))</f>
        <v>0</v>
      </c>
    </row>
    <row r="2043" spans="2:24" s="0" customFormat="0" ht="15">
      <c r="B2043" s="69">
        <v>20435362</v>
      </c>
      <c r="C2043" s="70" t="s">
        <v>1251</v>
      </c>
      <c r="D2043" s="70" t="s">
        <v>1</v>
      </c>
      <c r="E2043" s="70" t="s">
        <v>1</v>
      </c>
      <c r="F2043" s="70"/>
      <c r="G2043" s="70" t="s">
        <v>61</v>
      </c>
      <c r="H2043" s="70" t="s">
        <v>178</v>
      </c>
      <c r="I2043" s="70" t="s">
        <v>188</v>
      </c>
      <c r="J2043" s="71">
        <f>IF(OR(I2043=0,I2043=""),"unrated",VLOOKUP(I2043,MappingTables!$B$19:$C$31,2,FALSE))</f>
        <v>2</v>
      </c>
      <c r="K2043" s="72">
        <v>1199.9481706730908</v>
      </c>
      <c r="L2043" s="70">
        <v>3.8227251874932224</v>
      </c>
      <c r="M2043" s="71">
        <f>IF(L2043&lt;1,1,L2043)</f>
        <v>3.8227251874932224</v>
      </c>
      <c r="N2043" s="70" t="s">
        <v>141</v>
      </c>
      <c r="O2043" s="71">
        <f>INDEX(DurClassMapping,MATCH(M2043,MappingTables!$D$4:$D$8,-1),1)</f>
        <v>1</v>
      </c>
      <c r="P2043" s="73">
        <f>IF(M2043=$A$1,1,$M2043-INDEX(MappingTables!$E$4:$E$8,MATCH(O2043,MappingTables!$B$4:$B$8,0)))</f>
        <v>3.8227251874932224</v>
      </c>
      <c r="Q2043" s="71">
        <f>IF(B2043="",0,INDEX(ModelParameters!$D$6:$K$10,MATCH($O2043,ModelParameters!$B$6:$B$10,0),MATCH($J2043,ModelParameters!$D$5:$K$5,0)))</f>
        <v>0.013999999999999998</v>
      </c>
      <c r="R2043" s="71">
        <f>IF(B2043="",0,INDEX(ModelParameters!$D$13:$K$17,MATCH($O2043,ModelParameters!$B$13:$B$17,0),MATCH($J2043,ModelParameters!$D$5:$K$5,0)))</f>
        <v>0</v>
      </c>
      <c r="S2043" s="160">
        <f>IF(B2043="",0,MIN(IF($N2043="Other Bond TM",ModelParameters!$N$21,1)*(P2043*Q2043+R2043),1))</f>
        <v>0.053518152624905104</v>
      </c>
      <c r="T2043" s="85">
        <f>IF(B2043="",0,$S2043*$K2043)</f>
        <v>64.219009340058152</v>
      </c>
      <c r="U2043" s="85">
        <f>IF(B2043="",0,IF(OR(H2043=MappingTables!$C$34,H2043=MappingTables!$C$35),T2043,0))</f>
        <v>0</v>
      </c>
      <c r="V2043" s="85">
        <f>IF(ISNA(IF(AND(VLOOKUP(CONCATENATE($D2043,$G2043),CSRFinput!$B:$E,4,0)=0,OR(H2043=MappingTables!$C$34,H2043=MappingTables!$C$35)),1,VLOOKUP(CONCATENATE($D2043,$G2043),CSRFinput!$B:$E,4,0))),0,IF(AND(VLOOKUP(CONCATENATE($D2043,$G2043),CSRFinput!$B:$E,4,0)=0,OR(H2043=MappingTables!$C$34,H2043=MappingTables!$C$35)),1,VLOOKUP(CONCATENATE($D2043,$G2043),CSRFinput!$B:$E,4,0)))</f>
        <v>0.054776304963434752</v>
      </c>
      <c r="W2043" s="85">
        <f>IF(B2043="",0,+$T2043*$V2043)</f>
        <v>3.5176800400606904</v>
      </c>
      <c r="X2043" s="85">
        <f>IF(B2043="",0,IF(OR(H2043=MappingTables!$C$34,H2043=MappingTables!$C$35),W2043,0))</f>
        <v>0</v>
      </c>
    </row>
    <row r="2044" spans="2:24" s="0" customFormat="0" ht="15">
      <c r="B2044" s="69">
        <v>12193679</v>
      </c>
      <c r="C2044" s="70" t="s">
        <v>1320</v>
      </c>
      <c r="D2044" s="70" t="s">
        <v>1</v>
      </c>
      <c r="E2044" s="70" t="s">
        <v>1</v>
      </c>
      <c r="F2044" s="70"/>
      <c r="G2044" s="70" t="s">
        <v>61</v>
      </c>
      <c r="H2044" s="70" t="s">
        <v>178</v>
      </c>
      <c r="I2044" s="70" t="s">
        <v>188</v>
      </c>
      <c r="J2044" s="71">
        <f>IF(OR(I2044=0,I2044=""),"unrated",VLOOKUP(I2044,MappingTables!$B$19:$C$31,2,FALSE))</f>
        <v>2</v>
      </c>
      <c r="K2044" s="72">
        <v>301.70550492481072</v>
      </c>
      <c r="L2044" s="70">
        <v>0.50533012782520472</v>
      </c>
      <c r="M2044" s="71">
        <f>IF(L2044&lt;1,1,L2044)</f>
        <v>1</v>
      </c>
      <c r="N2044" s="70" t="s">
        <v>141</v>
      </c>
      <c r="O2044" s="71">
        <f>INDEX(DurClassMapping,MATCH(M2044,MappingTables!$D$4:$D$8,-1),1)</f>
        <v>1</v>
      </c>
      <c r="P2044" s="73">
        <f>IF(M2044=$A$1,1,$M2044-INDEX(MappingTables!$E$4:$E$8,MATCH(O2044,MappingTables!$B$4:$B$8,0)))</f>
        <v>1</v>
      </c>
      <c r="Q2044" s="71">
        <f>IF(B2044="",0,INDEX(ModelParameters!$D$6:$K$10,MATCH($O2044,ModelParameters!$B$6:$B$10,0),MATCH($J2044,ModelParameters!$D$5:$K$5,0)))</f>
        <v>0.013999999999999998</v>
      </c>
      <c r="R2044" s="71">
        <f>IF(B2044="",0,INDEX(ModelParameters!$D$13:$K$17,MATCH($O2044,ModelParameters!$B$13:$B$17,0),MATCH($J2044,ModelParameters!$D$5:$K$5,0)))</f>
        <v>0</v>
      </c>
      <c r="S2044" s="160">
        <f>IF(B2044="",0,MIN(IF($N2044="Other Bond TM",ModelParameters!$N$21,1)*(P2044*Q2044+R2044),1))</f>
        <v>0.013999999999999998</v>
      </c>
      <c r="T2044" s="85">
        <f>IF(B2044="",0,$S2044*$K2044)</f>
        <v>4.2238770689473496</v>
      </c>
      <c r="U2044" s="85">
        <f>IF(B2044="",0,IF(OR(H2044=MappingTables!$C$34,H2044=MappingTables!$C$35),T2044,0))</f>
        <v>0</v>
      </c>
      <c r="V2044" s="85">
        <f>IF(ISNA(IF(AND(VLOOKUP(CONCATENATE($D2044,$G2044),CSRFinput!$B:$E,4,0)=0,OR(H2044=MappingTables!$C$34,H2044=MappingTables!$C$35)),1,VLOOKUP(CONCATENATE($D2044,$G2044),CSRFinput!$B:$E,4,0))),0,IF(AND(VLOOKUP(CONCATENATE($D2044,$G2044),CSRFinput!$B:$E,4,0)=0,OR(H2044=MappingTables!$C$34,H2044=MappingTables!$C$35)),1,VLOOKUP(CONCATENATE($D2044,$G2044),CSRFinput!$B:$E,4,0)))</f>
        <v>0.054776304963434752</v>
      </c>
      <c r="W2044" s="85">
        <f>IF(B2044="",0,+$T2044*$V2044)</f>
        <v>0.23136837845671896</v>
      </c>
      <c r="X2044" s="85">
        <f>IF(B2044="",0,IF(OR(H2044=MappingTables!$C$34,H2044=MappingTables!$C$35),W2044,0))</f>
        <v>0</v>
      </c>
    </row>
    <row r="2045" spans="2:24" s="0" customFormat="0" ht="15">
      <c r="B2045" s="69">
        <v>19184780</v>
      </c>
      <c r="C2045" s="70" t="s">
        <v>2158</v>
      </c>
      <c r="D2045" s="70" t="s">
        <v>1</v>
      </c>
      <c r="E2045" s="70" t="s">
        <v>1</v>
      </c>
      <c r="F2045" s="70"/>
      <c r="G2045" s="70" t="s">
        <v>61</v>
      </c>
      <c r="H2045" s="70" t="s">
        <v>178</v>
      </c>
      <c r="I2045" s="70" t="s">
        <v>184</v>
      </c>
      <c r="J2045" s="71">
        <f>IF(OR(I2045=0,I2045=""),"unrated",VLOOKUP(I2045,MappingTables!$B$19:$C$31,2,FALSE))</f>
        <v>5</v>
      </c>
      <c r="K2045" s="72">
        <v>45.6862542168948</v>
      </c>
      <c r="L2045" s="70">
        <v>0.17260348568745576</v>
      </c>
      <c r="M2045" s="71">
        <f>IF(L2045&lt;1,1,L2045)</f>
        <v>1</v>
      </c>
      <c r="N2045" s="70" t="s">
        <v>141</v>
      </c>
      <c r="O2045" s="71">
        <f>INDEX(DurClassMapping,MATCH(M2045,MappingTables!$D$4:$D$8,-1),1)</f>
        <v>1</v>
      </c>
      <c r="P2045" s="73">
        <f>IF(M2045=$A$1,1,$M2045-INDEX(MappingTables!$E$4:$E$8,MATCH(O2045,MappingTables!$B$4:$B$8,0)))</f>
        <v>1</v>
      </c>
      <c r="Q2045" s="71">
        <f>IF(B2045="",0,INDEX(ModelParameters!$D$6:$K$10,MATCH($O2045,ModelParameters!$B$6:$B$10,0),MATCH($J2045,ModelParameters!$D$5:$K$5,0)))</f>
        <v>0.075</v>
      </c>
      <c r="R2045" s="71">
        <f>IF(B2045="",0,INDEX(ModelParameters!$D$13:$K$17,MATCH($O2045,ModelParameters!$B$13:$B$17,0),MATCH($J2045,ModelParameters!$D$5:$K$5,0)))</f>
        <v>0</v>
      </c>
      <c r="S2045" s="160">
        <f>IF(B2045="",0,MIN(IF($N2045="Other Bond TM",ModelParameters!$N$21,1)*(P2045*Q2045+R2045),1))</f>
        <v>0.075</v>
      </c>
      <c r="T2045" s="85">
        <f>IF(B2045="",0,$S2045*$K2045)</f>
        <v>3.42646906626711</v>
      </c>
      <c r="U2045" s="85">
        <f>IF(B2045="",0,IF(OR(H2045=MappingTables!$C$34,H2045=MappingTables!$C$35),T2045,0))</f>
        <v>0</v>
      </c>
      <c r="V2045" s="85">
        <f>IF(ISNA(IF(AND(VLOOKUP(CONCATENATE($D2045,$G2045),CSRFinput!$B:$E,4,0)=0,OR(H2045=MappingTables!$C$34,H2045=MappingTables!$C$35)),1,VLOOKUP(CONCATENATE($D2045,$G2045),CSRFinput!$B:$E,4,0))),0,IF(AND(VLOOKUP(CONCATENATE($D2045,$G2045),CSRFinput!$B:$E,4,0)=0,OR(H2045=MappingTables!$C$34,H2045=MappingTables!$C$35)),1,VLOOKUP(CONCATENATE($D2045,$G2045),CSRFinput!$B:$E,4,0)))</f>
        <v>0.054776304963434752</v>
      </c>
      <c r="W2045" s="85">
        <f>IF(B2045="",0,+$T2045*$V2045)</f>
        <v>0.18768931452162276</v>
      </c>
      <c r="X2045" s="85">
        <f>IF(B2045="",0,IF(OR(H2045=MappingTables!$C$34,H2045=MappingTables!$C$35),W2045,0))</f>
        <v>0</v>
      </c>
    </row>
    <row r="2046" spans="2:24" s="0" customFormat="0" ht="15">
      <c r="B2046" s="69">
        <v>546831</v>
      </c>
      <c r="C2046" s="70" t="s">
        <v>1637</v>
      </c>
      <c r="D2046" s="70" t="s">
        <v>1</v>
      </c>
      <c r="E2046" s="70" t="s">
        <v>1</v>
      </c>
      <c r="F2046" s="70"/>
      <c r="G2046" s="70" t="s">
        <v>61</v>
      </c>
      <c r="H2046" s="70" t="s">
        <v>178</v>
      </c>
      <c r="I2046" s="70" t="s">
        <v>179</v>
      </c>
      <c r="J2046" s="71">
        <f>IF(OR(I2046=0,I2046=""),"unrated",VLOOKUP(I2046,MappingTables!$B$19:$C$31,2,FALSE))</f>
        <v>4</v>
      </c>
      <c r="K2046" s="72">
        <v>144.74325544876394</v>
      </c>
      <c r="L2046" s="70">
        <v>9.9837510805300416</v>
      </c>
      <c r="M2046" s="71">
        <f>IF(L2046&lt;1,1,L2046)</f>
        <v>9.9837510805300416</v>
      </c>
      <c r="N2046" s="70" t="s">
        <v>141</v>
      </c>
      <c r="O2046" s="71">
        <f>INDEX(DurClassMapping,MATCH(M2046,MappingTables!$D$4:$D$8,-1),1)</f>
        <v>2</v>
      </c>
      <c r="P2046" s="73">
        <f>IF(M2046=$A$1,1,$M2046-INDEX(MappingTables!$E$4:$E$8,MATCH(O2046,MappingTables!$B$4:$B$8,0)))</f>
        <v>4.9837510805300408</v>
      </c>
      <c r="Q2046" s="71">
        <f>IF(B2046="",0,INDEX(ModelParameters!$D$6:$K$10,MATCH($O2046,ModelParameters!$B$6:$B$10,0),MATCH($J2046,ModelParameters!$D$5:$K$5,0)))</f>
        <v>0.025</v>
      </c>
      <c r="R2046" s="71">
        <f>IF(B2046="",0,INDEX(ModelParameters!$D$13:$K$17,MATCH($O2046,ModelParameters!$B$13:$B$17,0),MATCH($J2046,ModelParameters!$D$5:$K$5,0)))</f>
        <v>0.225</v>
      </c>
      <c r="S2046" s="160">
        <f>IF(B2046="",0,MIN(IF($N2046="Other Bond TM",ModelParameters!$N$21,1)*(P2046*Q2046+R2046),1))</f>
        <v>0.349593777013251</v>
      </c>
      <c r="T2046" s="85">
        <f>IF(B2046="",0,$S2046*$K2046)</f>
        <v>50.601341369527208</v>
      </c>
      <c r="U2046" s="85">
        <f>IF(B2046="",0,IF(OR(H2046=MappingTables!$C$34,H2046=MappingTables!$C$35),T2046,0))</f>
        <v>0</v>
      </c>
      <c r="V2046" s="85">
        <f>IF(ISNA(IF(AND(VLOOKUP(CONCATENATE($D2046,$G2046),CSRFinput!$B:$E,4,0)=0,OR(H2046=MappingTables!$C$34,H2046=MappingTables!$C$35)),1,VLOOKUP(CONCATENATE($D2046,$G2046),CSRFinput!$B:$E,4,0))),0,IF(AND(VLOOKUP(CONCATENATE($D2046,$G2046),CSRFinput!$B:$E,4,0)=0,OR(H2046=MappingTables!$C$34,H2046=MappingTables!$C$35)),1,VLOOKUP(CONCATENATE($D2046,$G2046),CSRFinput!$B:$E,4,0)))</f>
        <v>0.054776304963434752</v>
      </c>
      <c r="W2046" s="85">
        <f>IF(B2046="",0,+$T2046*$V2046)</f>
        <v>2.7717545064160896</v>
      </c>
      <c r="X2046" s="85">
        <f>IF(B2046="",0,IF(OR(H2046=MappingTables!$C$34,H2046=MappingTables!$C$35),W2046,0))</f>
        <v>0</v>
      </c>
    </row>
    <row r="2047" spans="2:24" s="0" customFormat="0" ht="15">
      <c r="B2047" s="69" t="s">
        <v>2159</v>
      </c>
      <c r="C2047" s="70" t="s">
        <v>2160</v>
      </c>
      <c r="D2047" s="70" t="s">
        <v>1</v>
      </c>
      <c r="E2047" s="70" t="s">
        <v>1</v>
      </c>
      <c r="F2047" s="70"/>
      <c r="G2047" s="70" t="s">
        <v>61</v>
      </c>
      <c r="H2047" s="70" t="s">
        <v>178</v>
      </c>
      <c r="I2047" s="70" t="s">
        <v>179</v>
      </c>
      <c r="J2047" s="71">
        <f>IF(OR(I2047=0,I2047=""),"unrated",VLOOKUP(I2047,MappingTables!$B$19:$C$31,2,FALSE))</f>
        <v>4</v>
      </c>
      <c r="K2047" s="72">
        <v>21550.366435474868</v>
      </c>
      <c r="L2047" s="70">
        <v>3.6606570555519264</v>
      </c>
      <c r="M2047" s="71">
        <f>IF(L2047&lt;1,1,L2047)</f>
        <v>3.6606570555519264</v>
      </c>
      <c r="N2047" s="70" t="s">
        <v>141</v>
      </c>
      <c r="O2047" s="71">
        <f>INDEX(DurClassMapping,MATCH(M2047,MappingTables!$D$4:$D$8,-1),1)</f>
        <v>1</v>
      </c>
      <c r="P2047" s="73">
        <f>IF(M2047=$A$1,1,$M2047-INDEX(MappingTables!$E$4:$E$8,MATCH(O2047,MappingTables!$B$4:$B$8,0)))</f>
        <v>3.6606570555519264</v>
      </c>
      <c r="Q2047" s="71">
        <f>IF(B2047="",0,INDEX(ModelParameters!$D$6:$K$10,MATCH($O2047,ModelParameters!$B$6:$B$10,0),MATCH($J2047,ModelParameters!$D$5:$K$5,0)))</f>
        <v>0.045</v>
      </c>
      <c r="R2047" s="71">
        <f>IF(B2047="",0,INDEX(ModelParameters!$D$13:$K$17,MATCH($O2047,ModelParameters!$B$13:$B$17,0),MATCH($J2047,ModelParameters!$D$5:$K$5,0)))</f>
        <v>0</v>
      </c>
      <c r="S2047" s="160">
        <f>IF(B2047="",0,MIN(IF($N2047="Other Bond TM",ModelParameters!$N$21,1)*(P2047*Q2047+R2047),1))</f>
        <v>0.16472956749983666</v>
      </c>
      <c r="T2047" s="85">
        <f>IF(B2047="",0,$S2047*$K2047)</f>
        <v>3549.982542378772</v>
      </c>
      <c r="U2047" s="85">
        <f>IF(B2047="",0,IF(OR(H2047=MappingTables!$C$34,H2047=MappingTables!$C$35),T2047,0))</f>
        <v>0</v>
      </c>
      <c r="V2047" s="85">
        <f>IF(ISNA(IF(AND(VLOOKUP(CONCATENATE($D2047,$G2047),CSRFinput!$B:$E,4,0)=0,OR(H2047=MappingTables!$C$34,H2047=MappingTables!$C$35)),1,VLOOKUP(CONCATENATE($D2047,$G2047),CSRFinput!$B:$E,4,0))),0,IF(AND(VLOOKUP(CONCATENATE($D2047,$G2047),CSRFinput!$B:$E,4,0)=0,OR(H2047=MappingTables!$C$34,H2047=MappingTables!$C$35)),1,VLOOKUP(CONCATENATE($D2047,$G2047),CSRFinput!$B:$E,4,0)))</f>
        <v>0.054776304963434752</v>
      </c>
      <c r="W2047" s="85">
        <f>IF(B2047="",0,+$T2047*$V2047)</f>
        <v>194.45492635620904</v>
      </c>
      <c r="X2047" s="85">
        <f>IF(B2047="",0,IF(OR(H2047=MappingTables!$C$34,H2047=MappingTables!$C$35),W2047,0))</f>
        <v>0</v>
      </c>
    </row>
    <row r="2048" spans="2:24" s="0" customFormat="0" ht="15">
      <c r="B2048" s="69">
        <v>9118094</v>
      </c>
      <c r="C2048" s="70" t="s">
        <v>2161</v>
      </c>
      <c r="D2048" s="70" t="s">
        <v>1</v>
      </c>
      <c r="E2048" s="70" t="s">
        <v>1</v>
      </c>
      <c r="F2048" s="70"/>
      <c r="G2048" s="70" t="s">
        <v>61</v>
      </c>
      <c r="H2048" s="70" t="s">
        <v>178</v>
      </c>
      <c r="I2048" s="70" t="s">
        <v>181</v>
      </c>
      <c r="J2048" s="71">
        <f>IF(OR(I2048=0,I2048=""),"unrated",VLOOKUP(I2048,MappingTables!$B$19:$C$31,2,FALSE))</f>
        <v>3</v>
      </c>
      <c r="K2048" s="72">
        <v>202.01436679819804</v>
      </c>
      <c r="L2048" s="70">
        <v>4.5598883902957168</v>
      </c>
      <c r="M2048" s="71">
        <f>IF(L2048&lt;1,1,L2048)</f>
        <v>4.5598883902957168</v>
      </c>
      <c r="N2048" s="70" t="s">
        <v>141</v>
      </c>
      <c r="O2048" s="71">
        <f>INDEX(DurClassMapping,MATCH(M2048,MappingTables!$D$4:$D$8,-1),1)</f>
        <v>1</v>
      </c>
      <c r="P2048" s="73">
        <f>IF(M2048=$A$1,1,$M2048-INDEX(MappingTables!$E$4:$E$8,MATCH(O2048,MappingTables!$B$4:$B$8,0)))</f>
        <v>4.5598883902957168</v>
      </c>
      <c r="Q2048" s="71">
        <f>IF(B2048="",0,INDEX(ModelParameters!$D$6:$K$10,MATCH($O2048,ModelParameters!$B$6:$B$10,0),MATCH($J2048,ModelParameters!$D$5:$K$5,0)))</f>
        <v>0.025</v>
      </c>
      <c r="R2048" s="71">
        <f>IF(B2048="",0,INDEX(ModelParameters!$D$13:$K$17,MATCH($O2048,ModelParameters!$B$13:$B$17,0),MATCH($J2048,ModelParameters!$D$5:$K$5,0)))</f>
        <v>0</v>
      </c>
      <c r="S2048" s="160">
        <f>IF(B2048="",0,MIN(IF($N2048="Other Bond TM",ModelParameters!$N$21,1)*(P2048*Q2048+R2048),1))</f>
        <v>0.11399720975739292</v>
      </c>
      <c r="T2048" s="85">
        <f>IF(B2048="",0,$S2048*$K2048)</f>
        <v>23.029074145901092</v>
      </c>
      <c r="U2048" s="85">
        <f>IF(B2048="",0,IF(OR(H2048=MappingTables!$C$34,H2048=MappingTables!$C$35),T2048,0))</f>
        <v>0</v>
      </c>
      <c r="V2048" s="85">
        <f>IF(ISNA(IF(AND(VLOOKUP(CONCATENATE($D2048,$G2048),CSRFinput!$B:$E,4,0)=0,OR(H2048=MappingTables!$C$34,H2048=MappingTables!$C$35)),1,VLOOKUP(CONCATENATE($D2048,$G2048),CSRFinput!$B:$E,4,0))),0,IF(AND(VLOOKUP(CONCATENATE($D2048,$G2048),CSRFinput!$B:$E,4,0)=0,OR(H2048=MappingTables!$C$34,H2048=MappingTables!$C$35)),1,VLOOKUP(CONCATENATE($D2048,$G2048),CSRFinput!$B:$E,4,0)))</f>
        <v>0.054776304963434752</v>
      </c>
      <c r="W2048" s="85">
        <f>IF(B2048="",0,+$T2048*$V2048)</f>
        <v>1.261447588441429</v>
      </c>
      <c r="X2048" s="85">
        <f>IF(B2048="",0,IF(OR(H2048=MappingTables!$C$34,H2048=MappingTables!$C$35),W2048,0))</f>
        <v>0</v>
      </c>
    </row>
    <row r="2049" spans="2:24" s="0" customFormat="0" ht="15">
      <c r="B2049" s="69">
        <v>22844752</v>
      </c>
      <c r="C2049" s="70" t="s">
        <v>2162</v>
      </c>
      <c r="D2049" s="70" t="s">
        <v>1</v>
      </c>
      <c r="E2049" s="70" t="s">
        <v>1</v>
      </c>
      <c r="F2049" s="70"/>
      <c r="G2049" s="70" t="s">
        <v>61</v>
      </c>
      <c r="H2049" s="70" t="s">
        <v>178</v>
      </c>
      <c r="I2049" s="70" t="s">
        <v>181</v>
      </c>
      <c r="J2049" s="71">
        <f>IF(OR(I2049=0,I2049=""),"unrated",VLOOKUP(I2049,MappingTables!$B$19:$C$31,2,FALSE))</f>
        <v>3</v>
      </c>
      <c r="K2049" s="72">
        <v>62.359833195132368</v>
      </c>
      <c r="L2049" s="70">
        <v>8.3335425752638688</v>
      </c>
      <c r="M2049" s="71">
        <f>IF(L2049&lt;1,1,L2049)</f>
        <v>8.3335425752638688</v>
      </c>
      <c r="N2049" s="70" t="s">
        <v>141</v>
      </c>
      <c r="O2049" s="71">
        <f>INDEX(DurClassMapping,MATCH(M2049,MappingTables!$D$4:$D$8,-1),1)</f>
        <v>2</v>
      </c>
      <c r="P2049" s="73">
        <f>IF(M2049=$A$1,1,$M2049-INDEX(MappingTables!$E$4:$E$8,MATCH(O2049,MappingTables!$B$4:$B$8,0)))</f>
        <v>3.333542575263868</v>
      </c>
      <c r="Q2049" s="71">
        <f>IF(B2049="",0,INDEX(ModelParameters!$D$6:$K$10,MATCH($O2049,ModelParameters!$B$6:$B$10,0),MATCH($J2049,ModelParameters!$D$5:$K$5,0)))</f>
        <v>0.015</v>
      </c>
      <c r="R2049" s="71">
        <f>IF(B2049="",0,INDEX(ModelParameters!$D$13:$K$17,MATCH($O2049,ModelParameters!$B$13:$B$17,0),MATCH($J2049,ModelParameters!$D$5:$K$5,0)))</f>
        <v>0.125</v>
      </c>
      <c r="S2049" s="160">
        <f>IF(B2049="",0,MIN(IF($N2049="Other Bond TM",ModelParameters!$N$21,1)*(P2049*Q2049+R2049),1))</f>
        <v>0.17500313862895802</v>
      </c>
      <c r="T2049" s="85">
        <f>IF(B2049="",0,$S2049*$K2049)</f>
        <v>10.913166533526448</v>
      </c>
      <c r="U2049" s="85">
        <f>IF(B2049="",0,IF(OR(H2049=MappingTables!$C$34,H2049=MappingTables!$C$35),T2049,0))</f>
        <v>0</v>
      </c>
      <c r="V2049" s="85">
        <f>IF(ISNA(IF(AND(VLOOKUP(CONCATENATE($D2049,$G2049),CSRFinput!$B:$E,4,0)=0,OR(H2049=MappingTables!$C$34,H2049=MappingTables!$C$35)),1,VLOOKUP(CONCATENATE($D2049,$G2049),CSRFinput!$B:$E,4,0))),0,IF(AND(VLOOKUP(CONCATENATE($D2049,$G2049),CSRFinput!$B:$E,4,0)=0,OR(H2049=MappingTables!$C$34,H2049=MappingTables!$C$35)),1,VLOOKUP(CONCATENATE($D2049,$G2049),CSRFinput!$B:$E,4,0)))</f>
        <v>0.054776304963434752</v>
      </c>
      <c r="W2049" s="85">
        <f>IF(B2049="",0,+$T2049*$V2049)</f>
        <v>0.59778293815719488</v>
      </c>
      <c r="X2049" s="85">
        <f>IF(B2049="",0,IF(OR(H2049=MappingTables!$C$34,H2049=MappingTables!$C$35),W2049,0))</f>
        <v>0</v>
      </c>
    </row>
    <row r="2050" spans="2:24" s="0" customFormat="0" ht="15">
      <c r="B2050" s="69" t="s">
        <v>2163</v>
      </c>
      <c r="C2050" s="70" t="s">
        <v>2164</v>
      </c>
      <c r="D2050" s="70" t="s">
        <v>1</v>
      </c>
      <c r="E2050" s="70" t="s">
        <v>1</v>
      </c>
      <c r="F2050" s="70"/>
      <c r="G2050" s="70" t="s">
        <v>61</v>
      </c>
      <c r="H2050" s="70" t="s">
        <v>178</v>
      </c>
      <c r="I2050" s="70" t="s">
        <v>188</v>
      </c>
      <c r="J2050" s="71">
        <f>IF(OR(I2050=0,I2050=""),"unrated",VLOOKUP(I2050,MappingTables!$B$19:$C$31,2,FALSE))</f>
        <v>2</v>
      </c>
      <c r="K2050" s="72">
        <v>366.13106610434176</v>
      </c>
      <c r="L2050" s="70">
        <v>3.3575843657619752</v>
      </c>
      <c r="M2050" s="71">
        <f>IF(L2050&lt;1,1,L2050)</f>
        <v>3.3575843657619752</v>
      </c>
      <c r="N2050" s="70" t="s">
        <v>141</v>
      </c>
      <c r="O2050" s="71">
        <f>INDEX(DurClassMapping,MATCH(M2050,MappingTables!$D$4:$D$8,-1),1)</f>
        <v>1</v>
      </c>
      <c r="P2050" s="73">
        <f>IF(M2050=$A$1,1,$M2050-INDEX(MappingTables!$E$4:$E$8,MATCH(O2050,MappingTables!$B$4:$B$8,0)))</f>
        <v>3.3575843657619752</v>
      </c>
      <c r="Q2050" s="71">
        <f>IF(B2050="",0,INDEX(ModelParameters!$D$6:$K$10,MATCH($O2050,ModelParameters!$B$6:$B$10,0),MATCH($J2050,ModelParameters!$D$5:$K$5,0)))</f>
        <v>0.013999999999999998</v>
      </c>
      <c r="R2050" s="71">
        <f>IF(B2050="",0,INDEX(ModelParameters!$D$13:$K$17,MATCH($O2050,ModelParameters!$B$13:$B$17,0),MATCH($J2050,ModelParameters!$D$5:$K$5,0)))</f>
        <v>0</v>
      </c>
      <c r="S2050" s="160">
        <f>IF(B2050="",0,MIN(IF($N2050="Other Bond TM",ModelParameters!$N$21,1)*(P2050*Q2050+R2050),1))</f>
        <v>0.04700618112066764</v>
      </c>
      <c r="T2050" s="85">
        <f>IF(B2050="",0,$S2050*$K2050)</f>
        <v>17.210423207203828</v>
      </c>
      <c r="U2050" s="85">
        <f>IF(B2050="",0,IF(OR(H2050=MappingTables!$C$34,H2050=MappingTables!$C$35),T2050,0))</f>
        <v>0</v>
      </c>
      <c r="V2050" s="85">
        <f>IF(ISNA(IF(AND(VLOOKUP(CONCATENATE($D2050,$G2050),CSRFinput!$B:$E,4,0)=0,OR(H2050=MappingTables!$C$34,H2050=MappingTables!$C$35)),1,VLOOKUP(CONCATENATE($D2050,$G2050),CSRFinput!$B:$E,4,0))),0,IF(AND(VLOOKUP(CONCATENATE($D2050,$G2050),CSRFinput!$B:$E,4,0)=0,OR(H2050=MappingTables!$C$34,H2050=MappingTables!$C$35)),1,VLOOKUP(CONCATENATE($D2050,$G2050),CSRFinput!$B:$E,4,0)))</f>
        <v>0.054776304963434752</v>
      </c>
      <c r="W2050" s="85">
        <f>IF(B2050="",0,+$T2050*$V2050)</f>
        <v>0.94272339014757168</v>
      </c>
      <c r="X2050" s="85">
        <f>IF(B2050="",0,IF(OR(H2050=MappingTables!$C$34,H2050=MappingTables!$C$35),W2050,0))</f>
        <v>0</v>
      </c>
    </row>
    <row r="2051" spans="2:24" s="0" customFormat="0" ht="15">
      <c r="B2051" s="69">
        <v>3853226</v>
      </c>
      <c r="C2051" s="70" t="s">
        <v>2165</v>
      </c>
      <c r="D2051" s="70" t="s">
        <v>1</v>
      </c>
      <c r="E2051" s="70" t="s">
        <v>1</v>
      </c>
      <c r="F2051" s="70"/>
      <c r="G2051" s="70" t="s">
        <v>61</v>
      </c>
      <c r="H2051" s="70" t="s">
        <v>178</v>
      </c>
      <c r="I2051" s="70" t="s">
        <v>181</v>
      </c>
      <c r="J2051" s="71">
        <f>IF(OR(I2051=0,I2051=""),"unrated",VLOOKUP(I2051,MappingTables!$B$19:$C$31,2,FALSE))</f>
        <v>3</v>
      </c>
      <c r="K2051" s="72">
        <v>4560.0088336635064</v>
      </c>
      <c r="L2051" s="70">
        <v>12.914244146178382</v>
      </c>
      <c r="M2051" s="71">
        <f>IF(L2051&lt;1,1,L2051)</f>
        <v>12.914244146178382</v>
      </c>
      <c r="N2051" s="70" t="s">
        <v>141</v>
      </c>
      <c r="O2051" s="71">
        <f>INDEX(DurClassMapping,MATCH(M2051,MappingTables!$D$4:$D$8,-1),1)</f>
        <v>3</v>
      </c>
      <c r="P2051" s="73">
        <f>IF(M2051=$A$1,1,$M2051-INDEX(MappingTables!$E$4:$E$8,MATCH(O2051,MappingTables!$B$4:$B$8,0)))</f>
        <v>2.9142441461783816</v>
      </c>
      <c r="Q2051" s="71">
        <f>IF(B2051="",0,INDEX(ModelParameters!$D$6:$K$10,MATCH($O2051,ModelParameters!$B$6:$B$10,0),MATCH($J2051,ModelParameters!$D$5:$K$5,0)))</f>
        <v>0.01</v>
      </c>
      <c r="R2051" s="71">
        <f>IF(B2051="",0,INDEX(ModelParameters!$D$13:$K$17,MATCH($O2051,ModelParameters!$B$13:$B$17,0),MATCH($J2051,ModelParameters!$D$5:$K$5,0)))</f>
        <v>0.2</v>
      </c>
      <c r="S2051" s="160">
        <f>IF(B2051="",0,MIN(IF($N2051="Other Bond TM",ModelParameters!$N$21,1)*(P2051*Q2051+R2051),1))</f>
        <v>0.22914244146178384</v>
      </c>
      <c r="T2051" s="85">
        <f>IF(B2051="",0,$S2051*$K2051)</f>
        <v>1044.8915572329572</v>
      </c>
      <c r="U2051" s="85">
        <f>IF(B2051="",0,IF(OR(H2051=MappingTables!$C$34,H2051=MappingTables!$C$35),T2051,0))</f>
        <v>0</v>
      </c>
      <c r="V2051" s="85">
        <f>IF(ISNA(IF(AND(VLOOKUP(CONCATENATE($D2051,$G2051),CSRFinput!$B:$E,4,0)=0,OR(H2051=MappingTables!$C$34,H2051=MappingTables!$C$35)),1,VLOOKUP(CONCATENATE($D2051,$G2051),CSRFinput!$B:$E,4,0))),0,IF(AND(VLOOKUP(CONCATENATE($D2051,$G2051),CSRFinput!$B:$E,4,0)=0,OR(H2051=MappingTables!$C$34,H2051=MappingTables!$C$35)),1,VLOOKUP(CONCATENATE($D2051,$G2051),CSRFinput!$B:$E,4,0)))</f>
        <v>0.054776304963434752</v>
      </c>
      <c r="W2051" s="85">
        <f>IF(B2051="",0,+$T2051*$V2051)</f>
        <v>57.235298592710704</v>
      </c>
      <c r="X2051" s="85">
        <f>IF(B2051="",0,IF(OR(H2051=MappingTables!$C$34,H2051=MappingTables!$C$35),W2051,0))</f>
        <v>0</v>
      </c>
    </row>
    <row r="2052" spans="2:24" s="0" customFormat="0" ht="15">
      <c r="B2052" s="69">
        <v>22526410</v>
      </c>
      <c r="C2052" s="70" t="s">
        <v>1349</v>
      </c>
      <c r="D2052" s="70" t="s">
        <v>1</v>
      </c>
      <c r="E2052" s="70" t="s">
        <v>1</v>
      </c>
      <c r="F2052" s="70"/>
      <c r="G2052" s="70" t="s">
        <v>61</v>
      </c>
      <c r="H2052" s="70" t="s">
        <v>178</v>
      </c>
      <c r="I2052" s="70" t="s">
        <v>184</v>
      </c>
      <c r="J2052" s="71">
        <f>IF(OR(I2052=0,I2052=""),"unrated",VLOOKUP(I2052,MappingTables!$B$19:$C$31,2,FALSE))</f>
        <v>5</v>
      </c>
      <c r="K2052" s="72">
        <v>626.32387494431336</v>
      </c>
      <c r="L2052" s="70">
        <v>1.597246617041487</v>
      </c>
      <c r="M2052" s="71">
        <f>IF(L2052&lt;1,1,L2052)</f>
        <v>1.597246617041487</v>
      </c>
      <c r="N2052" s="70" t="s">
        <v>141</v>
      </c>
      <c r="O2052" s="71">
        <f>INDEX(DurClassMapping,MATCH(M2052,MappingTables!$D$4:$D$8,-1),1)</f>
        <v>1</v>
      </c>
      <c r="P2052" s="73">
        <f>IF(M2052=$A$1,1,$M2052-INDEX(MappingTables!$E$4:$E$8,MATCH(O2052,MappingTables!$B$4:$B$8,0)))</f>
        <v>1.597246617041487</v>
      </c>
      <c r="Q2052" s="71">
        <f>IF(B2052="",0,INDEX(ModelParameters!$D$6:$K$10,MATCH($O2052,ModelParameters!$B$6:$B$10,0),MATCH($J2052,ModelParameters!$D$5:$K$5,0)))</f>
        <v>0.075</v>
      </c>
      <c r="R2052" s="71">
        <f>IF(B2052="",0,INDEX(ModelParameters!$D$13:$K$17,MATCH($O2052,ModelParameters!$B$13:$B$17,0),MATCH($J2052,ModelParameters!$D$5:$K$5,0)))</f>
        <v>0</v>
      </c>
      <c r="S2052" s="160">
        <f>IF(B2052="",0,MIN(IF($N2052="Other Bond TM",ModelParameters!$N$21,1)*(P2052*Q2052+R2052),1))</f>
        <v>0.11979349627811152</v>
      </c>
      <c r="T2052" s="85">
        <f>IF(B2052="",0,$S2052*$K2052)</f>
        <v>75.029526782034</v>
      </c>
      <c r="U2052" s="85">
        <f>IF(B2052="",0,IF(OR(H2052=MappingTables!$C$34,H2052=MappingTables!$C$35),T2052,0))</f>
        <v>0</v>
      </c>
      <c r="V2052" s="85">
        <f>IF(ISNA(IF(AND(VLOOKUP(CONCATENATE($D2052,$G2052),CSRFinput!$B:$E,4,0)=0,OR(H2052=MappingTables!$C$34,H2052=MappingTables!$C$35)),1,VLOOKUP(CONCATENATE($D2052,$G2052),CSRFinput!$B:$E,4,0))),0,IF(AND(VLOOKUP(CONCATENATE($D2052,$G2052),CSRFinput!$B:$E,4,0)=0,OR(H2052=MappingTables!$C$34,H2052=MappingTables!$C$35)),1,VLOOKUP(CONCATENATE($D2052,$G2052),CSRFinput!$B:$E,4,0)))</f>
        <v>0.054776304963434752</v>
      </c>
      <c r="W2052" s="85">
        <f>IF(B2052="",0,+$T2052*$V2052)</f>
        <v>4.1098402402748896</v>
      </c>
      <c r="X2052" s="85">
        <f>IF(B2052="",0,IF(OR(H2052=MappingTables!$C$34,H2052=MappingTables!$C$35),W2052,0))</f>
        <v>0</v>
      </c>
    </row>
    <row r="2053" spans="2:24" s="0" customFormat="0" ht="15">
      <c r="B2053" s="69">
        <v>13442903</v>
      </c>
      <c r="C2053" s="70" t="s">
        <v>764</v>
      </c>
      <c r="D2053" s="70" t="s">
        <v>1</v>
      </c>
      <c r="E2053" s="70" t="s">
        <v>1</v>
      </c>
      <c r="F2053" s="70"/>
      <c r="G2053" s="70" t="s">
        <v>61</v>
      </c>
      <c r="H2053" s="70" t="s">
        <v>178</v>
      </c>
      <c r="I2053" s="70" t="s">
        <v>184</v>
      </c>
      <c r="J2053" s="71">
        <f>IF(OR(I2053=0,I2053=""),"unrated",VLOOKUP(I2053,MappingTables!$B$19:$C$31,2,FALSE))</f>
        <v>5</v>
      </c>
      <c r="K2053" s="72">
        <v>412.34099934163728</v>
      </c>
      <c r="L2053" s="70">
        <v>5.0550650256047968</v>
      </c>
      <c r="M2053" s="71">
        <f>IF(L2053&lt;1,1,L2053)</f>
        <v>5.0550650256047968</v>
      </c>
      <c r="N2053" s="70" t="s">
        <v>141</v>
      </c>
      <c r="O2053" s="71">
        <f>INDEX(DurClassMapping,MATCH(M2053,MappingTables!$D$4:$D$8,-1),1)</f>
        <v>2</v>
      </c>
      <c r="P2053" s="73">
        <f>IF(M2053=$A$1,1,$M2053-INDEX(MappingTables!$E$4:$E$8,MATCH(O2053,MappingTables!$B$4:$B$8,0)))</f>
        <v>0.055065025604796424</v>
      </c>
      <c r="Q2053" s="71">
        <f>IF(B2053="",0,INDEX(ModelParameters!$D$6:$K$10,MATCH($O2053,ModelParameters!$B$6:$B$10,0),MATCH($J2053,ModelParameters!$D$5:$K$5,0)))</f>
        <v>0.042</v>
      </c>
      <c r="R2053" s="71">
        <f>IF(B2053="",0,INDEX(ModelParameters!$D$13:$K$17,MATCH($O2053,ModelParameters!$B$13:$B$17,0),MATCH($J2053,ModelParameters!$D$5:$K$5,0)))</f>
        <v>0.375</v>
      </c>
      <c r="S2053" s="160">
        <f>IF(B2053="",0,MIN(IF($N2053="Other Bond TM",ModelParameters!$N$21,1)*(P2053*Q2053+R2053),1))</f>
        <v>0.37731273107540144</v>
      </c>
      <c r="T2053" s="85">
        <f>IF(B2053="",0,$S2053*$K2053)</f>
        <v>155.58150859595346</v>
      </c>
      <c r="U2053" s="85">
        <f>IF(B2053="",0,IF(OR(H2053=MappingTables!$C$34,H2053=MappingTables!$C$35),T2053,0))</f>
        <v>0</v>
      </c>
      <c r="V2053" s="85">
        <f>IF(ISNA(IF(AND(VLOOKUP(CONCATENATE($D2053,$G2053),CSRFinput!$B:$E,4,0)=0,OR(H2053=MappingTables!$C$34,H2053=MappingTables!$C$35)),1,VLOOKUP(CONCATENATE($D2053,$G2053),CSRFinput!$B:$E,4,0))),0,IF(AND(VLOOKUP(CONCATENATE($D2053,$G2053),CSRFinput!$B:$E,4,0)=0,OR(H2053=MappingTables!$C$34,H2053=MappingTables!$C$35)),1,VLOOKUP(CONCATENATE($D2053,$G2053),CSRFinput!$B:$E,4,0)))</f>
        <v>0.054776304963434752</v>
      </c>
      <c r="W2053" s="85">
        <f>IF(B2053="",0,+$T2053*$V2053)</f>
        <v>8.522180161523192</v>
      </c>
      <c r="X2053" s="85">
        <f>IF(B2053="",0,IF(OR(H2053=MappingTables!$C$34,H2053=MappingTables!$C$35),W2053,0))</f>
        <v>0</v>
      </c>
    </row>
    <row r="2054" spans="2:24" s="0" customFormat="0" ht="15">
      <c r="B2054" s="69">
        <v>14935545</v>
      </c>
      <c r="C2054" s="70" t="s">
        <v>2166</v>
      </c>
      <c r="D2054" s="70" t="s">
        <v>1</v>
      </c>
      <c r="E2054" s="70" t="s">
        <v>1</v>
      </c>
      <c r="F2054" s="70"/>
      <c r="G2054" s="70" t="s">
        <v>61</v>
      </c>
      <c r="H2054" s="70" t="s">
        <v>178</v>
      </c>
      <c r="I2054" s="70" t="s">
        <v>181</v>
      </c>
      <c r="J2054" s="71">
        <f>IF(OR(I2054=0,I2054=""),"unrated",VLOOKUP(I2054,MappingTables!$B$19:$C$31,2,FALSE))</f>
        <v>3</v>
      </c>
      <c r="K2054" s="72">
        <v>147.31171715508762</v>
      </c>
      <c r="L2054" s="70">
        <v>3.3483307077465452</v>
      </c>
      <c r="M2054" s="71">
        <f>IF(L2054&lt;1,1,L2054)</f>
        <v>3.3483307077465452</v>
      </c>
      <c r="N2054" s="70" t="s">
        <v>141</v>
      </c>
      <c r="O2054" s="71">
        <f>INDEX(DurClassMapping,MATCH(M2054,MappingTables!$D$4:$D$8,-1),1)</f>
        <v>1</v>
      </c>
      <c r="P2054" s="73">
        <f>IF(M2054=$A$1,1,$M2054-INDEX(MappingTables!$E$4:$E$8,MATCH(O2054,MappingTables!$B$4:$B$8,0)))</f>
        <v>3.3483307077465452</v>
      </c>
      <c r="Q2054" s="71">
        <f>IF(B2054="",0,INDEX(ModelParameters!$D$6:$K$10,MATCH($O2054,ModelParameters!$B$6:$B$10,0),MATCH($J2054,ModelParameters!$D$5:$K$5,0)))</f>
        <v>0.025</v>
      </c>
      <c r="R2054" s="71">
        <f>IF(B2054="",0,INDEX(ModelParameters!$D$13:$K$17,MATCH($O2054,ModelParameters!$B$13:$B$17,0),MATCH($J2054,ModelParameters!$D$5:$K$5,0)))</f>
        <v>0</v>
      </c>
      <c r="S2054" s="160">
        <f>IF(B2054="",0,MIN(IF($N2054="Other Bond TM",ModelParameters!$N$21,1)*(P2054*Q2054+R2054),1))</f>
        <v>0.083708267693663632</v>
      </c>
      <c r="T2054" s="85">
        <f>IF(B2054="",0,$S2054*$K2054)</f>
        <v>12.331208654031336</v>
      </c>
      <c r="U2054" s="85">
        <f>IF(B2054="",0,IF(OR(H2054=MappingTables!$C$34,H2054=MappingTables!$C$35),T2054,0))</f>
        <v>0</v>
      </c>
      <c r="V2054" s="85">
        <f>IF(ISNA(IF(AND(VLOOKUP(CONCATENATE($D2054,$G2054),CSRFinput!$B:$E,4,0)=0,OR(H2054=MappingTables!$C$34,H2054=MappingTables!$C$35)),1,VLOOKUP(CONCATENATE($D2054,$G2054),CSRFinput!$B:$E,4,0))),0,IF(AND(VLOOKUP(CONCATENATE($D2054,$G2054),CSRFinput!$B:$E,4,0)=0,OR(H2054=MappingTables!$C$34,H2054=MappingTables!$C$35)),1,VLOOKUP(CONCATENATE($D2054,$G2054),CSRFinput!$B:$E,4,0)))</f>
        <v>0.054776304963434752</v>
      </c>
      <c r="W2054" s="85">
        <f>IF(B2054="",0,+$T2054*$V2054)</f>
        <v>0.67545804580096624</v>
      </c>
      <c r="X2054" s="85">
        <f>IF(B2054="",0,IF(OR(H2054=MappingTables!$C$34,H2054=MappingTables!$C$35),W2054,0))</f>
        <v>0</v>
      </c>
    </row>
    <row r="2055" spans="2:24" s="0" customFormat="0" ht="15">
      <c r="B2055" s="69">
        <v>12287386</v>
      </c>
      <c r="C2055" s="70" t="s">
        <v>2167</v>
      </c>
      <c r="D2055" s="70" t="s">
        <v>1</v>
      </c>
      <c r="E2055" s="70" t="s">
        <v>1</v>
      </c>
      <c r="F2055" s="70"/>
      <c r="G2055" s="70" t="s">
        <v>61</v>
      </c>
      <c r="H2055" s="70" t="s">
        <v>178</v>
      </c>
      <c r="I2055" s="70" t="s">
        <v>188</v>
      </c>
      <c r="J2055" s="71">
        <f>IF(OR(I2055=0,I2055=""),"unrated",VLOOKUP(I2055,MappingTables!$B$19:$C$31,2,FALSE))</f>
        <v>2</v>
      </c>
      <c r="K2055" s="72">
        <v>766.30457476158944</v>
      </c>
      <c r="L2055" s="70">
        <v>0.56525131287036656</v>
      </c>
      <c r="M2055" s="71">
        <f>IF(L2055&lt;1,1,L2055)</f>
        <v>1</v>
      </c>
      <c r="N2055" s="70" t="s">
        <v>141</v>
      </c>
      <c r="O2055" s="71">
        <f>INDEX(DurClassMapping,MATCH(M2055,MappingTables!$D$4:$D$8,-1),1)</f>
        <v>1</v>
      </c>
      <c r="P2055" s="73">
        <f>IF(M2055=$A$1,1,$M2055-INDEX(MappingTables!$E$4:$E$8,MATCH(O2055,MappingTables!$B$4:$B$8,0)))</f>
        <v>1</v>
      </c>
      <c r="Q2055" s="71">
        <f>IF(B2055="",0,INDEX(ModelParameters!$D$6:$K$10,MATCH($O2055,ModelParameters!$B$6:$B$10,0),MATCH($J2055,ModelParameters!$D$5:$K$5,0)))</f>
        <v>0.013999999999999998</v>
      </c>
      <c r="R2055" s="71">
        <f>IF(B2055="",0,INDEX(ModelParameters!$D$13:$K$17,MATCH($O2055,ModelParameters!$B$13:$B$17,0),MATCH($J2055,ModelParameters!$D$5:$K$5,0)))</f>
        <v>0</v>
      </c>
      <c r="S2055" s="160">
        <f>IF(B2055="",0,MIN(IF($N2055="Other Bond TM",ModelParameters!$N$21,1)*(P2055*Q2055+R2055),1))</f>
        <v>0.013999999999999998</v>
      </c>
      <c r="T2055" s="85">
        <f>IF(B2055="",0,$S2055*$K2055)</f>
        <v>10.72826404666225</v>
      </c>
      <c r="U2055" s="85">
        <f>IF(B2055="",0,IF(OR(H2055=MappingTables!$C$34,H2055=MappingTables!$C$35),T2055,0))</f>
        <v>0</v>
      </c>
      <c r="V2055" s="85">
        <f>IF(ISNA(IF(AND(VLOOKUP(CONCATENATE($D2055,$G2055),CSRFinput!$B:$E,4,0)=0,OR(H2055=MappingTables!$C$34,H2055=MappingTables!$C$35)),1,VLOOKUP(CONCATENATE($D2055,$G2055),CSRFinput!$B:$E,4,0))),0,IF(AND(VLOOKUP(CONCATENATE($D2055,$G2055),CSRFinput!$B:$E,4,0)=0,OR(H2055=MappingTables!$C$34,H2055=MappingTables!$C$35)),1,VLOOKUP(CONCATENATE($D2055,$G2055),CSRFinput!$B:$E,4,0)))</f>
        <v>0.054776304963434752</v>
      </c>
      <c r="W2055" s="85">
        <f>IF(B2055="",0,+$T2055*$V2055)</f>
        <v>0.587654663148224</v>
      </c>
      <c r="X2055" s="85">
        <f>IF(B2055="",0,IF(OR(H2055=MappingTables!$C$34,H2055=MappingTables!$C$35),W2055,0))</f>
        <v>0</v>
      </c>
    </row>
    <row r="2056" spans="2:24" s="0" customFormat="0" ht="15">
      <c r="B2056" s="69">
        <v>18702636</v>
      </c>
      <c r="C2056" s="70" t="s">
        <v>2168</v>
      </c>
      <c r="D2056" s="70" t="s">
        <v>1</v>
      </c>
      <c r="E2056" s="70" t="s">
        <v>1</v>
      </c>
      <c r="F2056" s="70"/>
      <c r="G2056" s="70" t="s">
        <v>61</v>
      </c>
      <c r="H2056" s="70" t="s">
        <v>178</v>
      </c>
      <c r="I2056" s="70" t="s">
        <v>184</v>
      </c>
      <c r="J2056" s="71">
        <f>IF(OR(I2056=0,I2056=""),"unrated",VLOOKUP(I2056,MappingTables!$B$19:$C$31,2,FALSE))</f>
        <v>5</v>
      </c>
      <c r="K2056" s="72">
        <v>255.94397304961476</v>
      </c>
      <c r="L2056" s="70">
        <v>0.087672751788832912</v>
      </c>
      <c r="M2056" s="71">
        <f>IF(L2056&lt;1,1,L2056)</f>
        <v>1</v>
      </c>
      <c r="N2056" s="70" t="s">
        <v>141</v>
      </c>
      <c r="O2056" s="71">
        <f>INDEX(DurClassMapping,MATCH(M2056,MappingTables!$D$4:$D$8,-1),1)</f>
        <v>1</v>
      </c>
      <c r="P2056" s="73">
        <f>IF(M2056=$A$1,1,$M2056-INDEX(MappingTables!$E$4:$E$8,MATCH(O2056,MappingTables!$B$4:$B$8,0)))</f>
        <v>1</v>
      </c>
      <c r="Q2056" s="71">
        <f>IF(B2056="",0,INDEX(ModelParameters!$D$6:$K$10,MATCH($O2056,ModelParameters!$B$6:$B$10,0),MATCH($J2056,ModelParameters!$D$5:$K$5,0)))</f>
        <v>0.075</v>
      </c>
      <c r="R2056" s="71">
        <f>IF(B2056="",0,INDEX(ModelParameters!$D$13:$K$17,MATCH($O2056,ModelParameters!$B$13:$B$17,0),MATCH($J2056,ModelParameters!$D$5:$K$5,0)))</f>
        <v>0</v>
      </c>
      <c r="S2056" s="160">
        <f>IF(B2056="",0,MIN(IF($N2056="Other Bond TM",ModelParameters!$N$21,1)*(P2056*Q2056+R2056),1))</f>
        <v>0.075</v>
      </c>
      <c r="T2056" s="85">
        <f>IF(B2056="",0,$S2056*$K2056)</f>
        <v>19.195797978721108</v>
      </c>
      <c r="U2056" s="85">
        <f>IF(B2056="",0,IF(OR(H2056=MappingTables!$C$34,H2056=MappingTables!$C$35),T2056,0))</f>
        <v>0</v>
      </c>
      <c r="V2056" s="85">
        <f>IF(ISNA(IF(AND(VLOOKUP(CONCATENATE($D2056,$G2056),CSRFinput!$B:$E,4,0)=0,OR(H2056=MappingTables!$C$34,H2056=MappingTables!$C$35)),1,VLOOKUP(CONCATENATE($D2056,$G2056),CSRFinput!$B:$E,4,0))),0,IF(AND(VLOOKUP(CONCATENATE($D2056,$G2056),CSRFinput!$B:$E,4,0)=0,OR(H2056=MappingTables!$C$34,H2056=MappingTables!$C$35)),1,VLOOKUP(CONCATENATE($D2056,$G2056),CSRFinput!$B:$E,4,0)))</f>
        <v>0.054776304963434752</v>
      </c>
      <c r="W2056" s="85">
        <f>IF(B2056="",0,+$T2056*$V2056)</f>
        <v>1.0514748840989116</v>
      </c>
      <c r="X2056" s="85">
        <f>IF(B2056="",0,IF(OR(H2056=MappingTables!$C$34,H2056=MappingTables!$C$35),W2056,0))</f>
        <v>0</v>
      </c>
    </row>
    <row r="2057" spans="2:24" s="0" customFormat="0" ht="15">
      <c r="B2057" s="69">
        <v>11114722</v>
      </c>
      <c r="C2057" s="70" t="s">
        <v>704</v>
      </c>
      <c r="D2057" s="70" t="s">
        <v>1</v>
      </c>
      <c r="E2057" s="70" t="s">
        <v>1</v>
      </c>
      <c r="F2057" s="70"/>
      <c r="G2057" s="70" t="s">
        <v>61</v>
      </c>
      <c r="H2057" s="70" t="s">
        <v>178</v>
      </c>
      <c r="I2057" s="70" t="s">
        <v>181</v>
      </c>
      <c r="J2057" s="71">
        <f>IF(OR(I2057=0,I2057=""),"unrated",VLOOKUP(I2057,MappingTables!$B$19:$C$31,2,FALSE))</f>
        <v>3</v>
      </c>
      <c r="K2057" s="72">
        <v>7115.55592307412</v>
      </c>
      <c r="L2057" s="70">
        <v>4.196614597569676</v>
      </c>
      <c r="M2057" s="71">
        <f>IF(L2057&lt;1,1,L2057)</f>
        <v>4.196614597569676</v>
      </c>
      <c r="N2057" s="70" t="s">
        <v>141</v>
      </c>
      <c r="O2057" s="71">
        <f>INDEX(DurClassMapping,MATCH(M2057,MappingTables!$D$4:$D$8,-1),1)</f>
        <v>1</v>
      </c>
      <c r="P2057" s="73">
        <f>IF(M2057=$A$1,1,$M2057-INDEX(MappingTables!$E$4:$E$8,MATCH(O2057,MappingTables!$B$4:$B$8,0)))</f>
        <v>4.196614597569676</v>
      </c>
      <c r="Q2057" s="71">
        <f>IF(B2057="",0,INDEX(ModelParameters!$D$6:$K$10,MATCH($O2057,ModelParameters!$B$6:$B$10,0),MATCH($J2057,ModelParameters!$D$5:$K$5,0)))</f>
        <v>0.025</v>
      </c>
      <c r="R2057" s="71">
        <f>IF(B2057="",0,INDEX(ModelParameters!$D$13:$K$17,MATCH($O2057,ModelParameters!$B$13:$B$17,0),MATCH($J2057,ModelParameters!$D$5:$K$5,0)))</f>
        <v>0</v>
      </c>
      <c r="S2057" s="160">
        <f>IF(B2057="",0,MIN(IF($N2057="Other Bond TM",ModelParameters!$N$21,1)*(P2057*Q2057+R2057),1))</f>
        <v>0.1049153649392419</v>
      </c>
      <c r="T2057" s="85">
        <f>IF(B2057="",0,$S2057*$K2057)</f>
        <v>746.5311464149056</v>
      </c>
      <c r="U2057" s="85">
        <f>IF(B2057="",0,IF(OR(H2057=MappingTables!$C$34,H2057=MappingTables!$C$35),T2057,0))</f>
        <v>0</v>
      </c>
      <c r="V2057" s="85">
        <f>IF(ISNA(IF(AND(VLOOKUP(CONCATENATE($D2057,$G2057),CSRFinput!$B:$E,4,0)=0,OR(H2057=MappingTables!$C$34,H2057=MappingTables!$C$35)),1,VLOOKUP(CONCATENATE($D2057,$G2057),CSRFinput!$B:$E,4,0))),0,IF(AND(VLOOKUP(CONCATENATE($D2057,$G2057),CSRFinput!$B:$E,4,0)=0,OR(H2057=MappingTables!$C$34,H2057=MappingTables!$C$35)),1,VLOOKUP(CONCATENATE($D2057,$G2057),CSRFinput!$B:$E,4,0)))</f>
        <v>0.054776304963434752</v>
      </c>
      <c r="W2057" s="85">
        <f>IF(B2057="",0,+$T2057*$V2057)</f>
        <v>40.892217740725432</v>
      </c>
      <c r="X2057" s="85">
        <f>IF(B2057="",0,IF(OR(H2057=MappingTables!$C$34,H2057=MappingTables!$C$35),W2057,0))</f>
        <v>0</v>
      </c>
    </row>
    <row r="2058" spans="2:24" s="0" customFormat="0" ht="15">
      <c r="B2058" s="69" t="s">
        <v>2169</v>
      </c>
      <c r="C2058" s="70" t="s">
        <v>2170</v>
      </c>
      <c r="D2058" s="70" t="s">
        <v>1</v>
      </c>
      <c r="E2058" s="70" t="s">
        <v>1</v>
      </c>
      <c r="F2058" s="70"/>
      <c r="G2058" s="70" t="s">
        <v>61</v>
      </c>
      <c r="H2058" s="70" t="s">
        <v>178</v>
      </c>
      <c r="I2058" s="70" t="s">
        <v>184</v>
      </c>
      <c r="J2058" s="71">
        <f>IF(OR(I2058=0,I2058=""),"unrated",VLOOKUP(I2058,MappingTables!$B$19:$C$31,2,FALSE))</f>
        <v>5</v>
      </c>
      <c r="K2058" s="72">
        <v>19.05219934739676</v>
      </c>
      <c r="L2058" s="70">
        <v>0.28218966186136856</v>
      </c>
      <c r="M2058" s="71">
        <f>IF(L2058&lt;1,1,L2058)</f>
        <v>1</v>
      </c>
      <c r="N2058" s="70" t="s">
        <v>141</v>
      </c>
      <c r="O2058" s="71">
        <f>INDEX(DurClassMapping,MATCH(M2058,MappingTables!$D$4:$D$8,-1),1)</f>
        <v>1</v>
      </c>
      <c r="P2058" s="73">
        <f>IF(M2058=$A$1,1,$M2058-INDEX(MappingTables!$E$4:$E$8,MATCH(O2058,MappingTables!$B$4:$B$8,0)))</f>
        <v>1</v>
      </c>
      <c r="Q2058" s="71">
        <f>IF(B2058="",0,INDEX(ModelParameters!$D$6:$K$10,MATCH($O2058,ModelParameters!$B$6:$B$10,0),MATCH($J2058,ModelParameters!$D$5:$K$5,0)))</f>
        <v>0.075</v>
      </c>
      <c r="R2058" s="71">
        <f>IF(B2058="",0,INDEX(ModelParameters!$D$13:$K$17,MATCH($O2058,ModelParameters!$B$13:$B$17,0),MATCH($J2058,ModelParameters!$D$5:$K$5,0)))</f>
        <v>0</v>
      </c>
      <c r="S2058" s="160">
        <f>IF(B2058="",0,MIN(IF($N2058="Other Bond TM",ModelParameters!$N$21,1)*(P2058*Q2058+R2058),1))</f>
        <v>0.075</v>
      </c>
      <c r="T2058" s="85">
        <f>IF(B2058="",0,$S2058*$K2058)</f>
        <v>1.4289149510547568</v>
      </c>
      <c r="U2058" s="85">
        <f>IF(B2058="",0,IF(OR(H2058=MappingTables!$C$34,H2058=MappingTables!$C$35),T2058,0))</f>
        <v>0</v>
      </c>
      <c r="V2058" s="85">
        <f>IF(ISNA(IF(AND(VLOOKUP(CONCATENATE($D2058,$G2058),CSRFinput!$B:$E,4,0)=0,OR(H2058=MappingTables!$C$34,H2058=MappingTables!$C$35)),1,VLOOKUP(CONCATENATE($D2058,$G2058),CSRFinput!$B:$E,4,0))),0,IF(AND(VLOOKUP(CONCATENATE($D2058,$G2058),CSRFinput!$B:$E,4,0)=0,OR(H2058=MappingTables!$C$34,H2058=MappingTables!$C$35)),1,VLOOKUP(CONCATENATE($D2058,$G2058),CSRFinput!$B:$E,4,0)))</f>
        <v>0.054776304963434752</v>
      </c>
      <c r="W2058" s="85">
        <f>IF(B2058="",0,+$T2058*$V2058)</f>
        <v>0.0782706811257868</v>
      </c>
      <c r="X2058" s="85">
        <f>IF(B2058="",0,IF(OR(H2058=MappingTables!$C$34,H2058=MappingTables!$C$35),W2058,0))</f>
        <v>0</v>
      </c>
    </row>
    <row r="2059" spans="2:24" s="0" customFormat="0" ht="15">
      <c r="B2059" s="69" t="s">
        <v>2171</v>
      </c>
      <c r="C2059" s="70" t="s">
        <v>2172</v>
      </c>
      <c r="D2059" s="70" t="s">
        <v>1</v>
      </c>
      <c r="E2059" s="70" t="s">
        <v>1</v>
      </c>
      <c r="F2059" s="70"/>
      <c r="G2059" s="70" t="s">
        <v>61</v>
      </c>
      <c r="H2059" s="70" t="s">
        <v>178</v>
      </c>
      <c r="I2059" s="70" t="s">
        <v>220</v>
      </c>
      <c r="J2059" s="71">
        <f>IF(OR(I2059=0,I2059=""),"unrated",VLOOKUP(I2059,MappingTables!$B$19:$C$31,2,FALSE))</f>
        <v>1</v>
      </c>
      <c r="K2059" s="72">
        <v>2.216127697942702</v>
      </c>
      <c r="L2059" s="70">
        <v>2.5356502595550352</v>
      </c>
      <c r="M2059" s="71">
        <f>IF(L2059&lt;1,1,L2059)</f>
        <v>2.5356502595550352</v>
      </c>
      <c r="N2059" s="70" t="s">
        <v>141</v>
      </c>
      <c r="O2059" s="71">
        <f>INDEX(DurClassMapping,MATCH(M2059,MappingTables!$D$4:$D$8,-1),1)</f>
        <v>1</v>
      </c>
      <c r="P2059" s="73">
        <f>IF(M2059=$A$1,1,$M2059-INDEX(MappingTables!$E$4:$E$8,MATCH(O2059,MappingTables!$B$4:$B$8,0)))</f>
        <v>2.5356502595550352</v>
      </c>
      <c r="Q2059" s="71">
        <f>IF(B2059="",0,INDEX(ModelParameters!$D$6:$K$10,MATCH($O2059,ModelParameters!$B$6:$B$10,0),MATCH($J2059,ModelParameters!$D$5:$K$5,0)))</f>
        <v>0.011000000000000002</v>
      </c>
      <c r="R2059" s="71">
        <f>IF(B2059="",0,INDEX(ModelParameters!$D$13:$K$17,MATCH($O2059,ModelParameters!$B$13:$B$17,0),MATCH($J2059,ModelParameters!$D$5:$K$5,0)))</f>
        <v>0</v>
      </c>
      <c r="S2059" s="160">
        <f>IF(B2059="",0,MIN(IF($N2059="Other Bond TM",ModelParameters!$N$21,1)*(P2059*Q2059+R2059),1))</f>
        <v>0.027892152855105388</v>
      </c>
      <c r="T2059" s="85">
        <f>IF(B2059="",0,$S2059*$K2059)</f>
        <v>0.061812572497450664</v>
      </c>
      <c r="U2059" s="85">
        <f>IF(B2059="",0,IF(OR(H2059=MappingTables!$C$34,H2059=MappingTables!$C$35),T2059,0))</f>
        <v>0</v>
      </c>
      <c r="V2059" s="85">
        <f>IF(ISNA(IF(AND(VLOOKUP(CONCATENATE($D2059,$G2059),CSRFinput!$B:$E,4,0)=0,OR(H2059=MappingTables!$C$34,H2059=MappingTables!$C$35)),1,VLOOKUP(CONCATENATE($D2059,$G2059),CSRFinput!$B:$E,4,0))),0,IF(AND(VLOOKUP(CONCATENATE($D2059,$G2059),CSRFinput!$B:$E,4,0)=0,OR(H2059=MappingTables!$C$34,H2059=MappingTables!$C$35)),1,VLOOKUP(CONCATENATE($D2059,$G2059),CSRFinput!$B:$E,4,0)))</f>
        <v>0.054776304963434752</v>
      </c>
      <c r="W2059" s="85">
        <f>IF(B2059="",0,+$T2059*$V2059)</f>
        <v>0.0033858643216947772</v>
      </c>
      <c r="X2059" s="85">
        <f>IF(B2059="",0,IF(OR(H2059=MappingTables!$C$34,H2059=MappingTables!$C$35),W2059,0))</f>
        <v>0</v>
      </c>
    </row>
    <row r="2060" spans="2:24" s="0" customFormat="0" ht="15">
      <c r="B2060" s="69" t="s">
        <v>466</v>
      </c>
      <c r="C2060" s="70" t="s">
        <v>467</v>
      </c>
      <c r="D2060" s="70" t="s">
        <v>1</v>
      </c>
      <c r="E2060" s="70" t="s">
        <v>1</v>
      </c>
      <c r="F2060" s="70"/>
      <c r="G2060" s="70" t="s">
        <v>61</v>
      </c>
      <c r="H2060" s="70" t="s">
        <v>178</v>
      </c>
      <c r="I2060" s="70" t="s">
        <v>179</v>
      </c>
      <c r="J2060" s="71">
        <f>IF(OR(I2060=0,I2060=""),"unrated",VLOOKUP(I2060,MappingTables!$B$19:$C$31,2,FALSE))</f>
        <v>4</v>
      </c>
      <c r="K2060" s="72">
        <v>220.3644614932356</v>
      </c>
      <c r="L2060" s="70">
        <v>6.2991334740704976</v>
      </c>
      <c r="M2060" s="71">
        <f>IF(L2060&lt;1,1,L2060)</f>
        <v>6.2991334740704976</v>
      </c>
      <c r="N2060" s="70" t="s">
        <v>141</v>
      </c>
      <c r="O2060" s="71">
        <f>INDEX(DurClassMapping,MATCH(M2060,MappingTables!$D$4:$D$8,-1),1)</f>
        <v>2</v>
      </c>
      <c r="P2060" s="73">
        <f>IF(M2060=$A$1,1,$M2060-INDEX(MappingTables!$E$4:$E$8,MATCH(O2060,MappingTables!$B$4:$B$8,0)))</f>
        <v>1.2991334740704978</v>
      </c>
      <c r="Q2060" s="71">
        <f>IF(B2060="",0,INDEX(ModelParameters!$D$6:$K$10,MATCH($O2060,ModelParameters!$B$6:$B$10,0),MATCH($J2060,ModelParameters!$D$5:$K$5,0)))</f>
        <v>0.025</v>
      </c>
      <c r="R2060" s="71">
        <f>IF(B2060="",0,INDEX(ModelParameters!$D$13:$K$17,MATCH($O2060,ModelParameters!$B$13:$B$17,0),MATCH($J2060,ModelParameters!$D$5:$K$5,0)))</f>
        <v>0.225</v>
      </c>
      <c r="S2060" s="160">
        <f>IF(B2060="",0,MIN(IF($N2060="Other Bond TM",ModelParameters!$N$21,1)*(P2060*Q2060+R2060),1))</f>
        <v>0.25747833685176248</v>
      </c>
      <c r="T2060" s="85">
        <f>IF(B2060="",0,$S2060*$K2060)</f>
        <v>56.73907504651256</v>
      </c>
      <c r="U2060" s="85">
        <f>IF(B2060="",0,IF(OR(H2060=MappingTables!$C$34,H2060=MappingTables!$C$35),T2060,0))</f>
        <v>0</v>
      </c>
      <c r="V2060" s="85">
        <f>IF(ISNA(IF(AND(VLOOKUP(CONCATENATE($D2060,$G2060),CSRFinput!$B:$E,4,0)=0,OR(H2060=MappingTables!$C$34,H2060=MappingTables!$C$35)),1,VLOOKUP(CONCATENATE($D2060,$G2060),CSRFinput!$B:$E,4,0))),0,IF(AND(VLOOKUP(CONCATENATE($D2060,$G2060),CSRFinput!$B:$E,4,0)=0,OR(H2060=MappingTables!$C$34,H2060=MappingTables!$C$35)),1,VLOOKUP(CONCATENATE($D2060,$G2060),CSRFinput!$B:$E,4,0)))</f>
        <v>0.054776304963434752</v>
      </c>
      <c r="W2060" s="85">
        <f>IF(B2060="",0,+$T2060*$V2060)</f>
        <v>3.1079568780909828</v>
      </c>
      <c r="X2060" s="85">
        <f>IF(B2060="",0,IF(OR(H2060=MappingTables!$C$34,H2060=MappingTables!$C$35),W2060,0))</f>
        <v>0</v>
      </c>
    </row>
    <row r="2061" spans="2:24" s="0" customFormat="0" ht="15">
      <c r="B2061" s="69">
        <v>21004748</v>
      </c>
      <c r="C2061" s="70" t="s">
        <v>1627</v>
      </c>
      <c r="D2061" s="70" t="s">
        <v>1</v>
      </c>
      <c r="E2061" s="70" t="s">
        <v>1</v>
      </c>
      <c r="F2061" s="70"/>
      <c r="G2061" s="70" t="s">
        <v>61</v>
      </c>
      <c r="H2061" s="70" t="s">
        <v>178</v>
      </c>
      <c r="I2061" s="70" t="s">
        <v>181</v>
      </c>
      <c r="J2061" s="71">
        <f>IF(OR(I2061=0,I2061=""),"unrated",VLOOKUP(I2061,MappingTables!$B$19:$C$31,2,FALSE))</f>
        <v>3</v>
      </c>
      <c r="K2061" s="72">
        <v>18841.400181848492</v>
      </c>
      <c r="L2061" s="70">
        <v>3.5785840100411668</v>
      </c>
      <c r="M2061" s="71">
        <f>IF(L2061&lt;1,1,L2061)</f>
        <v>3.5785840100411668</v>
      </c>
      <c r="N2061" s="70" t="s">
        <v>141</v>
      </c>
      <c r="O2061" s="71">
        <f>INDEX(DurClassMapping,MATCH(M2061,MappingTables!$D$4:$D$8,-1),1)</f>
        <v>1</v>
      </c>
      <c r="P2061" s="73">
        <f>IF(M2061=$A$1,1,$M2061-INDEX(MappingTables!$E$4:$E$8,MATCH(O2061,MappingTables!$B$4:$B$8,0)))</f>
        <v>3.5785840100411668</v>
      </c>
      <c r="Q2061" s="71">
        <f>IF(B2061="",0,INDEX(ModelParameters!$D$6:$K$10,MATCH($O2061,ModelParameters!$B$6:$B$10,0),MATCH($J2061,ModelParameters!$D$5:$K$5,0)))</f>
        <v>0.025</v>
      </c>
      <c r="R2061" s="71">
        <f>IF(B2061="",0,INDEX(ModelParameters!$D$13:$K$17,MATCH($O2061,ModelParameters!$B$13:$B$17,0),MATCH($J2061,ModelParameters!$D$5:$K$5,0)))</f>
        <v>0</v>
      </c>
      <c r="S2061" s="160">
        <f>IF(B2061="",0,MIN(IF($N2061="Other Bond TM",ModelParameters!$N$21,1)*(P2061*Q2061+R2061),1))</f>
        <v>0.089464600251029168</v>
      </c>
      <c r="T2061" s="85">
        <f>IF(B2061="",0,$S2061*$K2061)</f>
        <v>1685.6383354387436</v>
      </c>
      <c r="U2061" s="85">
        <f>IF(B2061="",0,IF(OR(H2061=MappingTables!$C$34,H2061=MappingTables!$C$35),T2061,0))</f>
        <v>0</v>
      </c>
      <c r="V2061" s="85">
        <f>IF(ISNA(IF(AND(VLOOKUP(CONCATENATE($D2061,$G2061),CSRFinput!$B:$E,4,0)=0,OR(H2061=MappingTables!$C$34,H2061=MappingTables!$C$35)),1,VLOOKUP(CONCATENATE($D2061,$G2061),CSRFinput!$B:$E,4,0))),0,IF(AND(VLOOKUP(CONCATENATE($D2061,$G2061),CSRFinput!$B:$E,4,0)=0,OR(H2061=MappingTables!$C$34,H2061=MappingTables!$C$35)),1,VLOOKUP(CONCATENATE($D2061,$G2061),CSRFinput!$B:$E,4,0)))</f>
        <v>0.054776304963434752</v>
      </c>
      <c r="W2061" s="85">
        <f>IF(B2061="",0,+$T2061*$V2061)</f>
        <v>92.333039520049136</v>
      </c>
      <c r="X2061" s="85">
        <f>IF(B2061="",0,IF(OR(H2061=MappingTables!$C$34,H2061=MappingTables!$C$35),W2061,0))</f>
        <v>0</v>
      </c>
    </row>
    <row r="2062" spans="2:24" s="0" customFormat="0" ht="15">
      <c r="B2062" s="69">
        <v>18946098</v>
      </c>
      <c r="C2062" s="70" t="s">
        <v>1426</v>
      </c>
      <c r="D2062" s="70" t="s">
        <v>1</v>
      </c>
      <c r="E2062" s="70" t="s">
        <v>1</v>
      </c>
      <c r="F2062" s="70"/>
      <c r="G2062" s="70" t="s">
        <v>61</v>
      </c>
      <c r="H2062" s="70" t="s">
        <v>178</v>
      </c>
      <c r="I2062" s="70" t="s">
        <v>184</v>
      </c>
      <c r="J2062" s="71">
        <f>IF(OR(I2062=0,I2062=""),"unrated",VLOOKUP(I2062,MappingTables!$B$19:$C$31,2,FALSE))</f>
        <v>5</v>
      </c>
      <c r="K2062" s="72">
        <v>66.941358666995568</v>
      </c>
      <c r="L2062" s="70">
        <v>0.087670501214311408</v>
      </c>
      <c r="M2062" s="71">
        <f>IF(L2062&lt;1,1,L2062)</f>
        <v>1</v>
      </c>
      <c r="N2062" s="70" t="s">
        <v>141</v>
      </c>
      <c r="O2062" s="71">
        <f>INDEX(DurClassMapping,MATCH(M2062,MappingTables!$D$4:$D$8,-1),1)</f>
        <v>1</v>
      </c>
      <c r="P2062" s="73">
        <f>IF(M2062=$A$1,1,$M2062-INDEX(MappingTables!$E$4:$E$8,MATCH(O2062,MappingTables!$B$4:$B$8,0)))</f>
        <v>1</v>
      </c>
      <c r="Q2062" s="71">
        <f>IF(B2062="",0,INDEX(ModelParameters!$D$6:$K$10,MATCH($O2062,ModelParameters!$B$6:$B$10,0),MATCH($J2062,ModelParameters!$D$5:$K$5,0)))</f>
        <v>0.075</v>
      </c>
      <c r="R2062" s="71">
        <f>IF(B2062="",0,INDEX(ModelParameters!$D$13:$K$17,MATCH($O2062,ModelParameters!$B$13:$B$17,0),MATCH($J2062,ModelParameters!$D$5:$K$5,0)))</f>
        <v>0</v>
      </c>
      <c r="S2062" s="160">
        <f>IF(B2062="",0,MIN(IF($N2062="Other Bond TM",ModelParameters!$N$21,1)*(P2062*Q2062+R2062),1))</f>
        <v>0.075</v>
      </c>
      <c r="T2062" s="85">
        <f>IF(B2062="",0,$S2062*$K2062)</f>
        <v>5.0206019000246672</v>
      </c>
      <c r="U2062" s="85">
        <f>IF(B2062="",0,IF(OR(H2062=MappingTables!$C$34,H2062=MappingTables!$C$35),T2062,0))</f>
        <v>0</v>
      </c>
      <c r="V2062" s="85">
        <f>IF(ISNA(IF(AND(VLOOKUP(CONCATENATE($D2062,$G2062),CSRFinput!$B:$E,4,0)=0,OR(H2062=MappingTables!$C$34,H2062=MappingTables!$C$35)),1,VLOOKUP(CONCATENATE($D2062,$G2062),CSRFinput!$B:$E,4,0))),0,IF(AND(VLOOKUP(CONCATENATE($D2062,$G2062),CSRFinput!$B:$E,4,0)=0,OR(H2062=MappingTables!$C$34,H2062=MappingTables!$C$35)),1,VLOOKUP(CONCATENATE($D2062,$G2062),CSRFinput!$B:$E,4,0)))</f>
        <v>0.054776304963434752</v>
      </c>
      <c r="W2062" s="85">
        <f>IF(B2062="",0,+$T2062*$V2062)</f>
        <v>0.27501002077575116</v>
      </c>
      <c r="X2062" s="85">
        <f>IF(B2062="",0,IF(OR(H2062=MappingTables!$C$34,H2062=MappingTables!$C$35),W2062,0))</f>
        <v>0</v>
      </c>
    </row>
    <row r="2063" spans="2:24" s="0" customFormat="0" ht="15">
      <c r="B2063" s="69">
        <v>20791397</v>
      </c>
      <c r="C2063" s="70" t="s">
        <v>2085</v>
      </c>
      <c r="D2063" s="70" t="s">
        <v>1</v>
      </c>
      <c r="E2063" s="70" t="s">
        <v>1</v>
      </c>
      <c r="F2063" s="70"/>
      <c r="G2063" s="70" t="s">
        <v>61</v>
      </c>
      <c r="H2063" s="70" t="s">
        <v>178</v>
      </c>
      <c r="I2063" s="70" t="s">
        <v>181</v>
      </c>
      <c r="J2063" s="71">
        <f>IF(OR(I2063=0,I2063=""),"unrated",VLOOKUP(I2063,MappingTables!$B$19:$C$31,2,FALSE))</f>
        <v>3</v>
      </c>
      <c r="K2063" s="72">
        <v>1351.1085314887824</v>
      </c>
      <c r="L2063" s="70">
        <v>9.398644328610264</v>
      </c>
      <c r="M2063" s="71">
        <f>IF(L2063&lt;1,1,L2063)</f>
        <v>9.398644328610264</v>
      </c>
      <c r="N2063" s="70" t="s">
        <v>141</v>
      </c>
      <c r="O2063" s="71">
        <f>INDEX(DurClassMapping,MATCH(M2063,MappingTables!$D$4:$D$8,-1),1)</f>
        <v>2</v>
      </c>
      <c r="P2063" s="73">
        <f>IF(M2063=$A$1,1,$M2063-INDEX(MappingTables!$E$4:$E$8,MATCH(O2063,MappingTables!$B$4:$B$8,0)))</f>
        <v>4.3986443286102632</v>
      </c>
      <c r="Q2063" s="71">
        <f>IF(B2063="",0,INDEX(ModelParameters!$D$6:$K$10,MATCH($O2063,ModelParameters!$B$6:$B$10,0),MATCH($J2063,ModelParameters!$D$5:$K$5,0)))</f>
        <v>0.015</v>
      </c>
      <c r="R2063" s="71">
        <f>IF(B2063="",0,INDEX(ModelParameters!$D$13:$K$17,MATCH($O2063,ModelParameters!$B$13:$B$17,0),MATCH($J2063,ModelParameters!$D$5:$K$5,0)))</f>
        <v>0.125</v>
      </c>
      <c r="S2063" s="160">
        <f>IF(B2063="",0,MIN(IF($N2063="Other Bond TM",ModelParameters!$N$21,1)*(P2063*Q2063+R2063),1))</f>
        <v>0.19097966492915396</v>
      </c>
      <c r="T2063" s="85">
        <f>IF(B2063="",0,$S2063*$K2063)</f>
        <v>258.03425462664892</v>
      </c>
      <c r="U2063" s="85">
        <f>IF(B2063="",0,IF(OR(H2063=MappingTables!$C$34,H2063=MappingTables!$C$35),T2063,0))</f>
        <v>0</v>
      </c>
      <c r="V2063" s="85">
        <f>IF(ISNA(IF(AND(VLOOKUP(CONCATENATE($D2063,$G2063),CSRFinput!$B:$E,4,0)=0,OR(H2063=MappingTables!$C$34,H2063=MappingTables!$C$35)),1,VLOOKUP(CONCATENATE($D2063,$G2063),CSRFinput!$B:$E,4,0))),0,IF(AND(VLOOKUP(CONCATENATE($D2063,$G2063),CSRFinput!$B:$E,4,0)=0,OR(H2063=MappingTables!$C$34,H2063=MappingTables!$C$35)),1,VLOOKUP(CONCATENATE($D2063,$G2063),CSRFinput!$B:$E,4,0)))</f>
        <v>0.054776304963434752</v>
      </c>
      <c r="W2063" s="85">
        <f>IF(B2063="",0,+$T2063*$V2063)</f>
        <v>14.134163022441896</v>
      </c>
      <c r="X2063" s="85">
        <f>IF(B2063="",0,IF(OR(H2063=MappingTables!$C$34,H2063=MappingTables!$C$35),W2063,0))</f>
        <v>0</v>
      </c>
    </row>
    <row r="2064" spans="2:24" s="0" customFormat="0" ht="15">
      <c r="B2064" s="69">
        <v>18942811</v>
      </c>
      <c r="C2064" s="70" t="s">
        <v>2173</v>
      </c>
      <c r="D2064" s="70" t="s">
        <v>1</v>
      </c>
      <c r="E2064" s="70" t="s">
        <v>1</v>
      </c>
      <c r="F2064" s="70"/>
      <c r="G2064" s="70" t="s">
        <v>61</v>
      </c>
      <c r="H2064" s="70" t="s">
        <v>178</v>
      </c>
      <c r="I2064" s="70" t="s">
        <v>188</v>
      </c>
      <c r="J2064" s="71">
        <f>IF(OR(I2064=0,I2064=""),"unrated",VLOOKUP(I2064,MappingTables!$B$19:$C$31,2,FALSE))</f>
        <v>2</v>
      </c>
      <c r="K2064" s="72">
        <v>92.493566332533056</v>
      </c>
      <c r="L2064" s="70">
        <v>1.0387561056808494</v>
      </c>
      <c r="M2064" s="71">
        <f>IF(L2064&lt;1,1,L2064)</f>
        <v>1.0387561056808494</v>
      </c>
      <c r="N2064" s="70" t="s">
        <v>141</v>
      </c>
      <c r="O2064" s="71">
        <f>INDEX(DurClassMapping,MATCH(M2064,MappingTables!$D$4:$D$8,-1),1)</f>
        <v>1</v>
      </c>
      <c r="P2064" s="73">
        <f>IF(M2064=$A$1,1,$M2064-INDEX(MappingTables!$E$4:$E$8,MATCH(O2064,MappingTables!$B$4:$B$8,0)))</f>
        <v>1.0387561056808494</v>
      </c>
      <c r="Q2064" s="71">
        <f>IF(B2064="",0,INDEX(ModelParameters!$D$6:$K$10,MATCH($O2064,ModelParameters!$B$6:$B$10,0),MATCH($J2064,ModelParameters!$D$5:$K$5,0)))</f>
        <v>0.013999999999999998</v>
      </c>
      <c r="R2064" s="71">
        <f>IF(B2064="",0,INDEX(ModelParameters!$D$13:$K$17,MATCH($O2064,ModelParameters!$B$13:$B$17,0),MATCH($J2064,ModelParameters!$D$5:$K$5,0)))</f>
        <v>0</v>
      </c>
      <c r="S2064" s="160">
        <f>IF(B2064="",0,MIN(IF($N2064="Other Bond TM",ModelParameters!$N$21,1)*(P2064*Q2064+R2064),1))</f>
        <v>0.01454258547953189</v>
      </c>
      <c r="T2064" s="85">
        <f>IF(B2064="",0,$S2064*$K2064)</f>
        <v>1.345095594697615</v>
      </c>
      <c r="U2064" s="85">
        <f>IF(B2064="",0,IF(OR(H2064=MappingTables!$C$34,H2064=MappingTables!$C$35),T2064,0))</f>
        <v>0</v>
      </c>
      <c r="V2064" s="85">
        <f>IF(ISNA(IF(AND(VLOOKUP(CONCATENATE($D2064,$G2064),CSRFinput!$B:$E,4,0)=0,OR(H2064=MappingTables!$C$34,H2064=MappingTables!$C$35)),1,VLOOKUP(CONCATENATE($D2064,$G2064),CSRFinput!$B:$E,4,0))),0,IF(AND(VLOOKUP(CONCATENATE($D2064,$G2064),CSRFinput!$B:$E,4,0)=0,OR(H2064=MappingTables!$C$34,H2064=MappingTables!$C$35)),1,VLOOKUP(CONCATENATE($D2064,$G2064),CSRFinput!$B:$E,4,0)))</f>
        <v>0.054776304963434752</v>
      </c>
      <c r="W2064" s="85">
        <f>IF(B2064="",0,+$T2064*$V2064)</f>
        <v>0.0736793665001292</v>
      </c>
      <c r="X2064" s="85">
        <f>IF(B2064="",0,IF(OR(H2064=MappingTables!$C$34,H2064=MappingTables!$C$35),W2064,0))</f>
        <v>0</v>
      </c>
    </row>
    <row r="2065" spans="2:24" s="0" customFormat="0" ht="15">
      <c r="B2065" s="69">
        <v>12402492</v>
      </c>
      <c r="C2065" s="70" t="s">
        <v>2148</v>
      </c>
      <c r="D2065" s="70" t="s">
        <v>1</v>
      </c>
      <c r="E2065" s="70" t="s">
        <v>1</v>
      </c>
      <c r="F2065" s="70"/>
      <c r="G2065" s="70" t="s">
        <v>61</v>
      </c>
      <c r="H2065" s="70" t="s">
        <v>178</v>
      </c>
      <c r="I2065" s="70" t="s">
        <v>188</v>
      </c>
      <c r="J2065" s="71">
        <f>IF(OR(I2065=0,I2065=""),"unrated",VLOOKUP(I2065,MappingTables!$B$19:$C$31,2,FALSE))</f>
        <v>2</v>
      </c>
      <c r="K2065" s="72">
        <v>0.0042298923600662232</v>
      </c>
      <c r="L2065" s="70">
        <v>11.032250835543046</v>
      </c>
      <c r="M2065" s="71">
        <f>IF(L2065&lt;1,1,L2065)</f>
        <v>11.032250835543046</v>
      </c>
      <c r="N2065" s="70" t="s">
        <v>141</v>
      </c>
      <c r="O2065" s="71">
        <f>INDEX(DurClassMapping,MATCH(M2065,MappingTables!$D$4:$D$8,-1),1)</f>
        <v>3</v>
      </c>
      <c r="P2065" s="73">
        <f>IF(M2065=$A$1,1,$M2065-INDEX(MappingTables!$E$4:$E$8,MATCH(O2065,MappingTables!$B$4:$B$8,0)))</f>
        <v>1.0322508355430458</v>
      </c>
      <c r="Q2065" s="71">
        <f>IF(B2065="",0,INDEX(ModelParameters!$D$6:$K$10,MATCH($O2065,ModelParameters!$B$6:$B$10,0),MATCH($J2065,ModelParameters!$D$5:$K$5,0)))</f>
        <v>0.005</v>
      </c>
      <c r="R2065" s="71">
        <f>IF(B2065="",0,INDEX(ModelParameters!$D$13:$K$17,MATCH($O2065,ModelParameters!$B$13:$B$17,0),MATCH($J2065,ModelParameters!$D$5:$K$5,0)))</f>
        <v>0.105</v>
      </c>
      <c r="S2065" s="160">
        <f>IF(B2065="",0,MIN(IF($N2065="Other Bond TM",ModelParameters!$N$21,1)*(P2065*Q2065+R2065),1))</f>
        <v>0.11016125417771522</v>
      </c>
      <c r="T2065" s="85">
        <f>IF(B2065="",0,$S2065*$K2065)</f>
        <v>0.00046597024742163096</v>
      </c>
      <c r="U2065" s="85">
        <f>IF(B2065="",0,IF(OR(H2065=MappingTables!$C$34,H2065=MappingTables!$C$35),T2065,0))</f>
        <v>0</v>
      </c>
      <c r="V2065" s="85">
        <f>IF(ISNA(IF(AND(VLOOKUP(CONCATENATE($D2065,$G2065),CSRFinput!$B:$E,4,0)=0,OR(H2065=MappingTables!$C$34,H2065=MappingTables!$C$35)),1,VLOOKUP(CONCATENATE($D2065,$G2065),CSRFinput!$B:$E,4,0))),0,IF(AND(VLOOKUP(CONCATENATE($D2065,$G2065),CSRFinput!$B:$E,4,0)=0,OR(H2065=MappingTables!$C$34,H2065=MappingTables!$C$35)),1,VLOOKUP(CONCATENATE($D2065,$G2065),CSRFinput!$B:$E,4,0)))</f>
        <v>0.054776304963434752</v>
      </c>
      <c r="W2065" s="85">
        <f>IF(B2065="",0,+$T2065*$V2065)</f>
        <v>0.0000255241283766544</v>
      </c>
      <c r="X2065" s="85">
        <f>IF(B2065="",0,IF(OR(H2065=MappingTables!$C$34,H2065=MappingTables!$C$35),W2065,0))</f>
        <v>0</v>
      </c>
    </row>
    <row r="2066" spans="2:24" s="0" customFormat="0" ht="15">
      <c r="B2066" s="69">
        <v>14257093</v>
      </c>
      <c r="C2066" s="70" t="s">
        <v>2174</v>
      </c>
      <c r="D2066" s="70" t="s">
        <v>1</v>
      </c>
      <c r="E2066" s="70" t="s">
        <v>1</v>
      </c>
      <c r="F2066" s="70"/>
      <c r="G2066" s="70" t="s">
        <v>61</v>
      </c>
      <c r="H2066" s="70" t="s">
        <v>178</v>
      </c>
      <c r="I2066" s="70" t="s">
        <v>181</v>
      </c>
      <c r="J2066" s="71">
        <f>IF(OR(I2066=0,I2066=""),"unrated",VLOOKUP(I2066,MappingTables!$B$19:$C$31,2,FALSE))</f>
        <v>3</v>
      </c>
      <c r="K2066" s="72">
        <v>470.28597999412616</v>
      </c>
      <c r="L2066" s="70">
        <v>1.3193700315518718</v>
      </c>
      <c r="M2066" s="71">
        <f>IF(L2066&lt;1,1,L2066)</f>
        <v>1.3193700315518718</v>
      </c>
      <c r="N2066" s="70" t="s">
        <v>141</v>
      </c>
      <c r="O2066" s="71">
        <f>INDEX(DurClassMapping,MATCH(M2066,MappingTables!$D$4:$D$8,-1),1)</f>
        <v>1</v>
      </c>
      <c r="P2066" s="73">
        <f>IF(M2066=$A$1,1,$M2066-INDEX(MappingTables!$E$4:$E$8,MATCH(O2066,MappingTables!$B$4:$B$8,0)))</f>
        <v>1.3193700315518718</v>
      </c>
      <c r="Q2066" s="71">
        <f>IF(B2066="",0,INDEX(ModelParameters!$D$6:$K$10,MATCH($O2066,ModelParameters!$B$6:$B$10,0),MATCH($J2066,ModelParameters!$D$5:$K$5,0)))</f>
        <v>0.025</v>
      </c>
      <c r="R2066" s="71">
        <f>IF(B2066="",0,INDEX(ModelParameters!$D$13:$K$17,MATCH($O2066,ModelParameters!$B$13:$B$17,0),MATCH($J2066,ModelParameters!$D$5:$K$5,0)))</f>
        <v>0</v>
      </c>
      <c r="S2066" s="160">
        <f>IF(B2066="",0,MIN(IF($N2066="Other Bond TM",ModelParameters!$N$21,1)*(P2066*Q2066+R2066),1))</f>
        <v>0.032984250788796792</v>
      </c>
      <c r="T2066" s="85">
        <f>IF(B2066="",0,$S2066*$K2066)</f>
        <v>15.512030706581328</v>
      </c>
      <c r="U2066" s="85">
        <f>IF(B2066="",0,IF(OR(H2066=MappingTables!$C$34,H2066=MappingTables!$C$35),T2066,0))</f>
        <v>0</v>
      </c>
      <c r="V2066" s="85">
        <f>IF(ISNA(IF(AND(VLOOKUP(CONCATENATE($D2066,$G2066),CSRFinput!$B:$E,4,0)=0,OR(H2066=MappingTables!$C$34,H2066=MappingTables!$C$35)),1,VLOOKUP(CONCATENATE($D2066,$G2066),CSRFinput!$B:$E,4,0))),0,IF(AND(VLOOKUP(CONCATENATE($D2066,$G2066),CSRFinput!$B:$E,4,0)=0,OR(H2066=MappingTables!$C$34,H2066=MappingTables!$C$35)),1,VLOOKUP(CONCATENATE($D2066,$G2066),CSRFinput!$B:$E,4,0)))</f>
        <v>0.054776304963434752</v>
      </c>
      <c r="W2066" s="85">
        <f>IF(B2066="",0,+$T2066*$V2066)</f>
        <v>0.84969172458586304</v>
      </c>
      <c r="X2066" s="85">
        <f>IF(B2066="",0,IF(OR(H2066=MappingTables!$C$34,H2066=MappingTables!$C$35),W2066,0))</f>
        <v>0</v>
      </c>
    </row>
    <row r="2067" spans="2:24" s="0" customFormat="0" ht="15">
      <c r="B2067" s="69">
        <v>17561182</v>
      </c>
      <c r="C2067" s="70" t="s">
        <v>2175</v>
      </c>
      <c r="D2067" s="70" t="s">
        <v>1</v>
      </c>
      <c r="E2067" s="70" t="s">
        <v>1</v>
      </c>
      <c r="F2067" s="70"/>
      <c r="G2067" s="70" t="s">
        <v>61</v>
      </c>
      <c r="H2067" s="70" t="s">
        <v>178</v>
      </c>
      <c r="I2067" s="70" t="s">
        <v>184</v>
      </c>
      <c r="J2067" s="71">
        <f>IF(OR(I2067=0,I2067=""),"unrated",VLOOKUP(I2067,MappingTables!$B$19:$C$31,2,FALSE))</f>
        <v>5</v>
      </c>
      <c r="K2067" s="72">
        <v>18.76820457313838</v>
      </c>
      <c r="L2067" s="70">
        <v>0.030134508792166736</v>
      </c>
      <c r="M2067" s="71">
        <f>IF(L2067&lt;1,1,L2067)</f>
        <v>1</v>
      </c>
      <c r="N2067" s="70" t="s">
        <v>141</v>
      </c>
      <c r="O2067" s="71">
        <f>INDEX(DurClassMapping,MATCH(M2067,MappingTables!$D$4:$D$8,-1),1)</f>
        <v>1</v>
      </c>
      <c r="P2067" s="73">
        <f>IF(M2067=$A$1,1,$M2067-INDEX(MappingTables!$E$4:$E$8,MATCH(O2067,MappingTables!$B$4:$B$8,0)))</f>
        <v>1</v>
      </c>
      <c r="Q2067" s="71">
        <f>IF(B2067="",0,INDEX(ModelParameters!$D$6:$K$10,MATCH($O2067,ModelParameters!$B$6:$B$10,0),MATCH($J2067,ModelParameters!$D$5:$K$5,0)))</f>
        <v>0.075</v>
      </c>
      <c r="R2067" s="71">
        <f>IF(B2067="",0,INDEX(ModelParameters!$D$13:$K$17,MATCH($O2067,ModelParameters!$B$13:$B$17,0),MATCH($J2067,ModelParameters!$D$5:$K$5,0)))</f>
        <v>0</v>
      </c>
      <c r="S2067" s="160">
        <f>IF(B2067="",0,MIN(IF($N2067="Other Bond TM",ModelParameters!$N$21,1)*(P2067*Q2067+R2067),1))</f>
        <v>0.075</v>
      </c>
      <c r="T2067" s="85">
        <f>IF(B2067="",0,$S2067*$K2067)</f>
        <v>1.4076153429853784</v>
      </c>
      <c r="U2067" s="85">
        <f>IF(B2067="",0,IF(OR(H2067=MappingTables!$C$34,H2067=MappingTables!$C$35),T2067,0))</f>
        <v>0</v>
      </c>
      <c r="V2067" s="85">
        <f>IF(ISNA(IF(AND(VLOOKUP(CONCATENATE($D2067,$G2067),CSRFinput!$B:$E,4,0)=0,OR(H2067=MappingTables!$C$34,H2067=MappingTables!$C$35)),1,VLOOKUP(CONCATENATE($D2067,$G2067),CSRFinput!$B:$E,4,0))),0,IF(AND(VLOOKUP(CONCATENATE($D2067,$G2067),CSRFinput!$B:$E,4,0)=0,OR(H2067=MappingTables!$C$34,H2067=MappingTables!$C$35)),1,VLOOKUP(CONCATENATE($D2067,$G2067),CSRFinput!$B:$E,4,0)))</f>
        <v>0.054776304963434752</v>
      </c>
      <c r="W2067" s="85">
        <f>IF(B2067="",0,+$T2067*$V2067)</f>
        <v>0.077103967298576896</v>
      </c>
      <c r="X2067" s="85">
        <f>IF(B2067="",0,IF(OR(H2067=MappingTables!$C$34,H2067=MappingTables!$C$35),W2067,0))</f>
        <v>0</v>
      </c>
    </row>
    <row r="2068" spans="2:24" s="0" customFormat="0" ht="15">
      <c r="B2068" s="69">
        <v>4184780</v>
      </c>
      <c r="C2068" s="70" t="s">
        <v>381</v>
      </c>
      <c r="D2068" s="70" t="s">
        <v>1</v>
      </c>
      <c r="E2068" s="70" t="s">
        <v>1</v>
      </c>
      <c r="F2068" s="70"/>
      <c r="G2068" s="70" t="s">
        <v>61</v>
      </c>
      <c r="H2068" s="70" t="s">
        <v>178</v>
      </c>
      <c r="I2068" s="70" t="s">
        <v>179</v>
      </c>
      <c r="J2068" s="71">
        <f>IF(OR(I2068=0,I2068=""),"unrated",VLOOKUP(I2068,MappingTables!$B$19:$C$31,2,FALSE))</f>
        <v>4</v>
      </c>
      <c r="K2068" s="72">
        <v>258.3762970905546</v>
      </c>
      <c r="L2068" s="70">
        <v>0.96232648228363664</v>
      </c>
      <c r="M2068" s="71">
        <f>IF(L2068&lt;1,1,L2068)</f>
        <v>1</v>
      </c>
      <c r="N2068" s="70" t="s">
        <v>141</v>
      </c>
      <c r="O2068" s="71">
        <f>INDEX(DurClassMapping,MATCH(M2068,MappingTables!$D$4:$D$8,-1),1)</f>
        <v>1</v>
      </c>
      <c r="P2068" s="73">
        <f>IF(M2068=$A$1,1,$M2068-INDEX(MappingTables!$E$4:$E$8,MATCH(O2068,MappingTables!$B$4:$B$8,0)))</f>
        <v>1</v>
      </c>
      <c r="Q2068" s="71">
        <f>IF(B2068="",0,INDEX(ModelParameters!$D$6:$K$10,MATCH($O2068,ModelParameters!$B$6:$B$10,0),MATCH($J2068,ModelParameters!$D$5:$K$5,0)))</f>
        <v>0.045</v>
      </c>
      <c r="R2068" s="71">
        <f>IF(B2068="",0,INDEX(ModelParameters!$D$13:$K$17,MATCH($O2068,ModelParameters!$B$13:$B$17,0),MATCH($J2068,ModelParameters!$D$5:$K$5,0)))</f>
        <v>0</v>
      </c>
      <c r="S2068" s="160">
        <f>IF(B2068="",0,MIN(IF($N2068="Other Bond TM",ModelParameters!$N$21,1)*(P2068*Q2068+R2068),1))</f>
        <v>0.045</v>
      </c>
      <c r="T2068" s="85">
        <f>IF(B2068="",0,$S2068*$K2068)</f>
        <v>11.626933369074956</v>
      </c>
      <c r="U2068" s="85">
        <f>IF(B2068="",0,IF(OR(H2068=MappingTables!$C$34,H2068=MappingTables!$C$35),T2068,0))</f>
        <v>0</v>
      </c>
      <c r="V2068" s="85">
        <f>IF(ISNA(IF(AND(VLOOKUP(CONCATENATE($D2068,$G2068),CSRFinput!$B:$E,4,0)=0,OR(H2068=MappingTables!$C$34,H2068=MappingTables!$C$35)),1,VLOOKUP(CONCATENATE($D2068,$G2068),CSRFinput!$B:$E,4,0))),0,IF(AND(VLOOKUP(CONCATENATE($D2068,$G2068),CSRFinput!$B:$E,4,0)=0,OR(H2068=MappingTables!$C$34,H2068=MappingTables!$C$35)),1,VLOOKUP(CONCATENATE($D2068,$G2068),CSRFinput!$B:$E,4,0)))</f>
        <v>0.054776304963434752</v>
      </c>
      <c r="W2068" s="85">
        <f>IF(B2068="",0,+$T2068*$V2068)</f>
        <v>0.63688044801398568</v>
      </c>
      <c r="X2068" s="85">
        <f>IF(B2068="",0,IF(OR(H2068=MappingTables!$C$34,H2068=MappingTables!$C$35),W2068,0))</f>
        <v>0</v>
      </c>
    </row>
    <row r="2069" spans="2:24" s="0" customFormat="0" ht="15">
      <c r="B2069" s="69">
        <v>19791091</v>
      </c>
      <c r="C2069" s="70" t="s">
        <v>2176</v>
      </c>
      <c r="D2069" s="70" t="s">
        <v>1</v>
      </c>
      <c r="E2069" s="70" t="s">
        <v>1</v>
      </c>
      <c r="F2069" s="70"/>
      <c r="G2069" s="70" t="s">
        <v>61</v>
      </c>
      <c r="H2069" s="70" t="s">
        <v>178</v>
      </c>
      <c r="I2069" s="70" t="s">
        <v>181</v>
      </c>
      <c r="J2069" s="71">
        <f>IF(OR(I2069=0,I2069=""),"unrated",VLOOKUP(I2069,MappingTables!$B$19:$C$31,2,FALSE))</f>
        <v>3</v>
      </c>
      <c r="K2069" s="72">
        <v>4757.9091928918816</v>
      </c>
      <c r="L2069" s="70">
        <v>3.2185593103754928</v>
      </c>
      <c r="M2069" s="71">
        <f>IF(L2069&lt;1,1,L2069)</f>
        <v>3.2185593103754928</v>
      </c>
      <c r="N2069" s="70" t="s">
        <v>141</v>
      </c>
      <c r="O2069" s="71">
        <f>INDEX(DurClassMapping,MATCH(M2069,MappingTables!$D$4:$D$8,-1),1)</f>
        <v>1</v>
      </c>
      <c r="P2069" s="73">
        <f>IF(M2069=$A$1,1,$M2069-INDEX(MappingTables!$E$4:$E$8,MATCH(O2069,MappingTables!$B$4:$B$8,0)))</f>
        <v>3.2185593103754928</v>
      </c>
      <c r="Q2069" s="71">
        <f>IF(B2069="",0,INDEX(ModelParameters!$D$6:$K$10,MATCH($O2069,ModelParameters!$B$6:$B$10,0),MATCH($J2069,ModelParameters!$D$5:$K$5,0)))</f>
        <v>0.025</v>
      </c>
      <c r="R2069" s="71">
        <f>IF(B2069="",0,INDEX(ModelParameters!$D$13:$K$17,MATCH($O2069,ModelParameters!$B$13:$B$17,0),MATCH($J2069,ModelParameters!$D$5:$K$5,0)))</f>
        <v>0</v>
      </c>
      <c r="S2069" s="160">
        <f>IF(B2069="",0,MIN(IF($N2069="Other Bond TM",ModelParameters!$N$21,1)*(P2069*Q2069+R2069),1))</f>
        <v>0.080463982759387328</v>
      </c>
      <c r="T2069" s="85">
        <f>IF(B2069="",0,$S2069*$K2069)</f>
        <v>382.8403232675828</v>
      </c>
      <c r="U2069" s="85">
        <f>IF(B2069="",0,IF(OR(H2069=MappingTables!$C$34,H2069=MappingTables!$C$35),T2069,0))</f>
        <v>0</v>
      </c>
      <c r="V2069" s="85">
        <f>IF(ISNA(IF(AND(VLOOKUP(CONCATENATE($D2069,$G2069),CSRFinput!$B:$E,4,0)=0,OR(H2069=MappingTables!$C$34,H2069=MappingTables!$C$35)),1,VLOOKUP(CONCATENATE($D2069,$G2069),CSRFinput!$B:$E,4,0))),0,IF(AND(VLOOKUP(CONCATENATE($D2069,$G2069),CSRFinput!$B:$E,4,0)=0,OR(H2069=MappingTables!$C$34,H2069=MappingTables!$C$35)),1,VLOOKUP(CONCATENATE($D2069,$G2069),CSRFinput!$B:$E,4,0)))</f>
        <v>0.054776304963434752</v>
      </c>
      <c r="W2069" s="85">
        <f>IF(B2069="",0,+$T2069*$V2069)</f>
        <v>20.970578299605064</v>
      </c>
      <c r="X2069" s="85">
        <f>IF(B2069="",0,IF(OR(H2069=MappingTables!$C$34,H2069=MappingTables!$C$35),W2069,0))</f>
        <v>0</v>
      </c>
    </row>
    <row r="2070" spans="2:24" s="0" customFormat="0" ht="15">
      <c r="B2070" s="69">
        <v>22859854</v>
      </c>
      <c r="C2070" s="70" t="s">
        <v>1927</v>
      </c>
      <c r="D2070" s="70" t="s">
        <v>1</v>
      </c>
      <c r="E2070" s="70" t="s">
        <v>1</v>
      </c>
      <c r="F2070" s="70"/>
      <c r="G2070" s="70" t="s">
        <v>61</v>
      </c>
      <c r="H2070" s="70" t="s">
        <v>178</v>
      </c>
      <c r="I2070" s="70" t="s">
        <v>184</v>
      </c>
      <c r="J2070" s="71">
        <f>IF(OR(I2070=0,I2070=""),"unrated",VLOOKUP(I2070,MappingTables!$B$19:$C$31,2,FALSE))</f>
        <v>5</v>
      </c>
      <c r="K2070" s="72">
        <v>260.90344530771308</v>
      </c>
      <c r="L2070" s="70">
        <v>1.3541701086667572</v>
      </c>
      <c r="M2070" s="71">
        <f>IF(L2070&lt;1,1,L2070)</f>
        <v>1.3541701086667572</v>
      </c>
      <c r="N2070" s="70" t="s">
        <v>141</v>
      </c>
      <c r="O2070" s="71">
        <f>INDEX(DurClassMapping,MATCH(M2070,MappingTables!$D$4:$D$8,-1),1)</f>
        <v>1</v>
      </c>
      <c r="P2070" s="73">
        <f>IF(M2070=$A$1,1,$M2070-INDEX(MappingTables!$E$4:$E$8,MATCH(O2070,MappingTables!$B$4:$B$8,0)))</f>
        <v>1.3541701086667572</v>
      </c>
      <c r="Q2070" s="71">
        <f>IF(B2070="",0,INDEX(ModelParameters!$D$6:$K$10,MATCH($O2070,ModelParameters!$B$6:$B$10,0),MATCH($J2070,ModelParameters!$D$5:$K$5,0)))</f>
        <v>0.075</v>
      </c>
      <c r="R2070" s="71">
        <f>IF(B2070="",0,INDEX(ModelParameters!$D$13:$K$17,MATCH($O2070,ModelParameters!$B$13:$B$17,0),MATCH($J2070,ModelParameters!$D$5:$K$5,0)))</f>
        <v>0</v>
      </c>
      <c r="S2070" s="160">
        <f>IF(B2070="",0,MIN(IF($N2070="Other Bond TM",ModelParameters!$N$21,1)*(P2070*Q2070+R2070),1))</f>
        <v>0.10156275815000678</v>
      </c>
      <c r="T2070" s="85">
        <f>IF(B2070="",0,$S2070*$K2070)</f>
        <v>26.498073516290784</v>
      </c>
      <c r="U2070" s="85">
        <f>IF(B2070="",0,IF(OR(H2070=MappingTables!$C$34,H2070=MappingTables!$C$35),T2070,0))</f>
        <v>0</v>
      </c>
      <c r="V2070" s="85">
        <f>IF(ISNA(IF(AND(VLOOKUP(CONCATENATE($D2070,$G2070),CSRFinput!$B:$E,4,0)=0,OR(H2070=MappingTables!$C$34,H2070=MappingTables!$C$35)),1,VLOOKUP(CONCATENATE($D2070,$G2070),CSRFinput!$B:$E,4,0))),0,IF(AND(VLOOKUP(CONCATENATE($D2070,$G2070),CSRFinput!$B:$E,4,0)=0,OR(H2070=MappingTables!$C$34,H2070=MappingTables!$C$35)),1,VLOOKUP(CONCATENATE($D2070,$G2070),CSRFinput!$B:$E,4,0)))</f>
        <v>0.054776304963434752</v>
      </c>
      <c r="W2070" s="85">
        <f>IF(B2070="",0,+$T2070*$V2070)</f>
        <v>1.4514665558718578</v>
      </c>
      <c r="X2070" s="85">
        <f>IF(B2070="",0,IF(OR(H2070=MappingTables!$C$34,H2070=MappingTables!$C$35),W2070,0))</f>
        <v>0</v>
      </c>
    </row>
    <row r="2071" spans="2:24" s="0" customFormat="0" ht="15">
      <c r="B2071" s="69">
        <v>17055915</v>
      </c>
      <c r="C2071" s="70" t="s">
        <v>2177</v>
      </c>
      <c r="D2071" s="70" t="s">
        <v>1</v>
      </c>
      <c r="E2071" s="70" t="s">
        <v>1</v>
      </c>
      <c r="F2071" s="70"/>
      <c r="G2071" s="70" t="s">
        <v>61</v>
      </c>
      <c r="H2071" s="70" t="s">
        <v>178</v>
      </c>
      <c r="I2071" s="70" t="s">
        <v>188</v>
      </c>
      <c r="J2071" s="71">
        <f>IF(OR(I2071=0,I2071=""),"unrated",VLOOKUP(I2071,MappingTables!$B$19:$C$31,2,FALSE))</f>
        <v>2</v>
      </c>
      <c r="K2071" s="72">
        <v>1064.2664361225322</v>
      </c>
      <c r="L2071" s="70">
        <v>0.39662160793710008</v>
      </c>
      <c r="M2071" s="71">
        <f>IF(L2071&lt;1,1,L2071)</f>
        <v>1</v>
      </c>
      <c r="N2071" s="70" t="s">
        <v>141</v>
      </c>
      <c r="O2071" s="71">
        <f>INDEX(DurClassMapping,MATCH(M2071,MappingTables!$D$4:$D$8,-1),1)</f>
        <v>1</v>
      </c>
      <c r="P2071" s="73">
        <f>IF(M2071=$A$1,1,$M2071-INDEX(MappingTables!$E$4:$E$8,MATCH(O2071,MappingTables!$B$4:$B$8,0)))</f>
        <v>1</v>
      </c>
      <c r="Q2071" s="71">
        <f>IF(B2071="",0,INDEX(ModelParameters!$D$6:$K$10,MATCH($O2071,ModelParameters!$B$6:$B$10,0),MATCH($J2071,ModelParameters!$D$5:$K$5,0)))</f>
        <v>0.013999999999999998</v>
      </c>
      <c r="R2071" s="71">
        <f>IF(B2071="",0,INDEX(ModelParameters!$D$13:$K$17,MATCH($O2071,ModelParameters!$B$13:$B$17,0),MATCH($J2071,ModelParameters!$D$5:$K$5,0)))</f>
        <v>0</v>
      </c>
      <c r="S2071" s="160">
        <f>IF(B2071="",0,MIN(IF($N2071="Other Bond TM",ModelParameters!$N$21,1)*(P2071*Q2071+R2071),1))</f>
        <v>0.013999999999999998</v>
      </c>
      <c r="T2071" s="85">
        <f>IF(B2071="",0,$S2071*$K2071)</f>
        <v>14.89973010571545</v>
      </c>
      <c r="U2071" s="85">
        <f>IF(B2071="",0,IF(OR(H2071=MappingTables!$C$34,H2071=MappingTables!$C$35),T2071,0))</f>
        <v>0</v>
      </c>
      <c r="V2071" s="85">
        <f>IF(ISNA(IF(AND(VLOOKUP(CONCATENATE($D2071,$G2071),CSRFinput!$B:$E,4,0)=0,OR(H2071=MappingTables!$C$34,H2071=MappingTables!$C$35)),1,VLOOKUP(CONCATENATE($D2071,$G2071),CSRFinput!$B:$E,4,0))),0,IF(AND(VLOOKUP(CONCATENATE($D2071,$G2071),CSRFinput!$B:$E,4,0)=0,OR(H2071=MappingTables!$C$34,H2071=MappingTables!$C$35)),1,VLOOKUP(CONCATENATE($D2071,$G2071),CSRFinput!$B:$E,4,0)))</f>
        <v>0.054776304963434752</v>
      </c>
      <c r="W2071" s="85">
        <f>IF(B2071="",0,+$T2071*$V2071)</f>
        <v>0.81615216014353936</v>
      </c>
      <c r="X2071" s="85">
        <f>IF(B2071="",0,IF(OR(H2071=MappingTables!$C$34,H2071=MappingTables!$C$35),W2071,0))</f>
        <v>0</v>
      </c>
    </row>
    <row r="2072" spans="2:24" s="0" customFormat="0" ht="15">
      <c r="B2072" s="69">
        <v>24423129</v>
      </c>
      <c r="C2072" s="70" t="s">
        <v>831</v>
      </c>
      <c r="D2072" s="70" t="s">
        <v>1</v>
      </c>
      <c r="E2072" s="70" t="s">
        <v>1</v>
      </c>
      <c r="F2072" s="70"/>
      <c r="G2072" s="70" t="s">
        <v>61</v>
      </c>
      <c r="H2072" s="70" t="s">
        <v>178</v>
      </c>
      <c r="I2072" s="70" t="s">
        <v>181</v>
      </c>
      <c r="J2072" s="71">
        <f>IF(OR(I2072=0,I2072=""),"unrated",VLOOKUP(I2072,MappingTables!$B$19:$C$31,2,FALSE))</f>
        <v>3</v>
      </c>
      <c r="K2072" s="72">
        <v>9392.3989752457776</v>
      </c>
      <c r="L2072" s="70">
        <v>9.5704735795667584</v>
      </c>
      <c r="M2072" s="71">
        <f>IF(L2072&lt;1,1,L2072)</f>
        <v>9.5704735795667584</v>
      </c>
      <c r="N2072" s="70" t="s">
        <v>141</v>
      </c>
      <c r="O2072" s="71">
        <f>INDEX(DurClassMapping,MATCH(M2072,MappingTables!$D$4:$D$8,-1),1)</f>
        <v>2</v>
      </c>
      <c r="P2072" s="73">
        <f>IF(M2072=$A$1,1,$M2072-INDEX(MappingTables!$E$4:$E$8,MATCH(O2072,MappingTables!$B$4:$B$8,0)))</f>
        <v>4.5704735795667592</v>
      </c>
      <c r="Q2072" s="71">
        <f>IF(B2072="",0,INDEX(ModelParameters!$D$6:$K$10,MATCH($O2072,ModelParameters!$B$6:$B$10,0),MATCH($J2072,ModelParameters!$D$5:$K$5,0)))</f>
        <v>0.015</v>
      </c>
      <c r="R2072" s="71">
        <f>IF(B2072="",0,INDEX(ModelParameters!$D$13:$K$17,MATCH($O2072,ModelParameters!$B$13:$B$17,0),MATCH($J2072,ModelParameters!$D$5:$K$5,0)))</f>
        <v>0.125</v>
      </c>
      <c r="S2072" s="160">
        <f>IF(B2072="",0,MIN(IF($N2072="Other Bond TM",ModelParameters!$N$21,1)*(P2072*Q2072+R2072),1))</f>
        <v>0.19355710369350136</v>
      </c>
      <c r="T2072" s="85">
        <f>IF(B2072="",0,$S2072*$K2072)</f>
        <v>1817.9655423823832</v>
      </c>
      <c r="U2072" s="85">
        <f>IF(B2072="",0,IF(OR(H2072=MappingTables!$C$34,H2072=MappingTables!$C$35),T2072,0))</f>
        <v>0</v>
      </c>
      <c r="V2072" s="85">
        <f>IF(ISNA(IF(AND(VLOOKUP(CONCATENATE($D2072,$G2072),CSRFinput!$B:$E,4,0)=0,OR(H2072=MappingTables!$C$34,H2072=MappingTables!$C$35)),1,VLOOKUP(CONCATENATE($D2072,$G2072),CSRFinput!$B:$E,4,0))),0,IF(AND(VLOOKUP(CONCATENATE($D2072,$G2072),CSRFinput!$B:$E,4,0)=0,OR(H2072=MappingTables!$C$34,H2072=MappingTables!$C$35)),1,VLOOKUP(CONCATENATE($D2072,$G2072),CSRFinput!$B:$E,4,0)))</f>
        <v>0.054776304963434752</v>
      </c>
      <c r="W2072" s="85">
        <f>IF(B2072="",0,+$T2072*$V2072)</f>
        <v>99.581434962553488</v>
      </c>
      <c r="X2072" s="85">
        <f>IF(B2072="",0,IF(OR(H2072=MappingTables!$C$34,H2072=MappingTables!$C$35),W2072,0))</f>
        <v>0</v>
      </c>
    </row>
    <row r="2073" spans="2:24" s="0" customFormat="0" ht="15">
      <c r="B2073" s="69">
        <v>14826305</v>
      </c>
      <c r="C2073" s="70" t="s">
        <v>681</v>
      </c>
      <c r="D2073" s="70" t="s">
        <v>1</v>
      </c>
      <c r="E2073" s="70" t="s">
        <v>1</v>
      </c>
      <c r="F2073" s="70"/>
      <c r="G2073" s="70" t="s">
        <v>61</v>
      </c>
      <c r="H2073" s="70" t="s">
        <v>178</v>
      </c>
      <c r="I2073" s="70" t="s">
        <v>181</v>
      </c>
      <c r="J2073" s="71">
        <f>IF(OR(I2073=0,I2073=""),"unrated",VLOOKUP(I2073,MappingTables!$B$19:$C$31,2,FALSE))</f>
        <v>3</v>
      </c>
      <c r="K2073" s="72">
        <v>12045.785705891928</v>
      </c>
      <c r="L2073" s="70">
        <v>2.659897436078646</v>
      </c>
      <c r="M2073" s="71">
        <f>IF(L2073&lt;1,1,L2073)</f>
        <v>2.659897436078646</v>
      </c>
      <c r="N2073" s="70" t="s">
        <v>141</v>
      </c>
      <c r="O2073" s="71">
        <f>INDEX(DurClassMapping,MATCH(M2073,MappingTables!$D$4:$D$8,-1),1)</f>
        <v>1</v>
      </c>
      <c r="P2073" s="73">
        <f>IF(M2073=$A$1,1,$M2073-INDEX(MappingTables!$E$4:$E$8,MATCH(O2073,MappingTables!$B$4:$B$8,0)))</f>
        <v>2.659897436078646</v>
      </c>
      <c r="Q2073" s="71">
        <f>IF(B2073="",0,INDEX(ModelParameters!$D$6:$K$10,MATCH($O2073,ModelParameters!$B$6:$B$10,0),MATCH($J2073,ModelParameters!$D$5:$K$5,0)))</f>
        <v>0.025</v>
      </c>
      <c r="R2073" s="71">
        <f>IF(B2073="",0,INDEX(ModelParameters!$D$13:$K$17,MATCH($O2073,ModelParameters!$B$13:$B$17,0),MATCH($J2073,ModelParameters!$D$5:$K$5,0)))</f>
        <v>0</v>
      </c>
      <c r="S2073" s="160">
        <f>IF(B2073="",0,MIN(IF($N2073="Other Bond TM",ModelParameters!$N$21,1)*(P2073*Q2073+R2073),1))</f>
        <v>0.066497435901966152</v>
      </c>
      <c r="T2073" s="85">
        <f>IF(B2073="",0,$S2073*$K2073)</f>
        <v>801.01386286636848</v>
      </c>
      <c r="U2073" s="85">
        <f>IF(B2073="",0,IF(OR(H2073=MappingTables!$C$34,H2073=MappingTables!$C$35),T2073,0))</f>
        <v>0</v>
      </c>
      <c r="V2073" s="85">
        <f>IF(ISNA(IF(AND(VLOOKUP(CONCATENATE($D2073,$G2073),CSRFinput!$B:$E,4,0)=0,OR(H2073=MappingTables!$C$34,H2073=MappingTables!$C$35)),1,VLOOKUP(CONCATENATE($D2073,$G2073),CSRFinput!$B:$E,4,0))),0,IF(AND(VLOOKUP(CONCATENATE($D2073,$G2073),CSRFinput!$B:$E,4,0)=0,OR(H2073=MappingTables!$C$34,H2073=MappingTables!$C$35)),1,VLOOKUP(CONCATENATE($D2073,$G2073),CSRFinput!$B:$E,4,0)))</f>
        <v>0.054776304963434752</v>
      </c>
      <c r="W2073" s="85">
        <f>IF(B2073="",0,+$T2073*$V2073)</f>
        <v>43.876579632307104</v>
      </c>
      <c r="X2073" s="85">
        <f>IF(B2073="",0,IF(OR(H2073=MappingTables!$C$34,H2073=MappingTables!$C$35),W2073,0))</f>
        <v>0</v>
      </c>
    </row>
    <row r="2074" spans="2:24" s="0" customFormat="0" ht="15">
      <c r="B2074" s="69">
        <v>18960229</v>
      </c>
      <c r="C2074" s="70" t="s">
        <v>2178</v>
      </c>
      <c r="D2074" s="70" t="s">
        <v>1</v>
      </c>
      <c r="E2074" s="70" t="s">
        <v>1</v>
      </c>
      <c r="F2074" s="70"/>
      <c r="G2074" s="70" t="s">
        <v>61</v>
      </c>
      <c r="H2074" s="70" t="s">
        <v>178</v>
      </c>
      <c r="I2074" s="70" t="s">
        <v>179</v>
      </c>
      <c r="J2074" s="71">
        <f>IF(OR(I2074=0,I2074=""),"unrated",VLOOKUP(I2074,MappingTables!$B$19:$C$31,2,FALSE))</f>
        <v>4</v>
      </c>
      <c r="K2074" s="72">
        <v>845.29283575181872</v>
      </c>
      <c r="L2074" s="70">
        <v>1.0414994768163154</v>
      </c>
      <c r="M2074" s="71">
        <f>IF(L2074&lt;1,1,L2074)</f>
        <v>1.0414994768163154</v>
      </c>
      <c r="N2074" s="70" t="s">
        <v>141</v>
      </c>
      <c r="O2074" s="71">
        <f>INDEX(DurClassMapping,MATCH(M2074,MappingTables!$D$4:$D$8,-1),1)</f>
        <v>1</v>
      </c>
      <c r="P2074" s="73">
        <f>IF(M2074=$A$1,1,$M2074-INDEX(MappingTables!$E$4:$E$8,MATCH(O2074,MappingTables!$B$4:$B$8,0)))</f>
        <v>1.0414994768163154</v>
      </c>
      <c r="Q2074" s="71">
        <f>IF(B2074="",0,INDEX(ModelParameters!$D$6:$K$10,MATCH($O2074,ModelParameters!$B$6:$B$10,0),MATCH($J2074,ModelParameters!$D$5:$K$5,0)))</f>
        <v>0.045</v>
      </c>
      <c r="R2074" s="71">
        <f>IF(B2074="",0,INDEX(ModelParameters!$D$13:$K$17,MATCH($O2074,ModelParameters!$B$13:$B$17,0),MATCH($J2074,ModelParameters!$D$5:$K$5,0)))</f>
        <v>0</v>
      </c>
      <c r="S2074" s="160">
        <f>IF(B2074="",0,MIN(IF($N2074="Other Bond TM",ModelParameters!$N$21,1)*(P2074*Q2074+R2074),1))</f>
        <v>0.0468674764567342</v>
      </c>
      <c r="T2074" s="85">
        <f>IF(B2074="",0,$S2074*$K2074)</f>
        <v>39.616742078644448</v>
      </c>
      <c r="U2074" s="85">
        <f>IF(B2074="",0,IF(OR(H2074=MappingTables!$C$34,H2074=MappingTables!$C$35),T2074,0))</f>
        <v>0</v>
      </c>
      <c r="V2074" s="85">
        <f>IF(ISNA(IF(AND(VLOOKUP(CONCATENATE($D2074,$G2074),CSRFinput!$B:$E,4,0)=0,OR(H2074=MappingTables!$C$34,H2074=MappingTables!$C$35)),1,VLOOKUP(CONCATENATE($D2074,$G2074),CSRFinput!$B:$E,4,0))),0,IF(AND(VLOOKUP(CONCATENATE($D2074,$G2074),CSRFinput!$B:$E,4,0)=0,OR(H2074=MappingTables!$C$34,H2074=MappingTables!$C$35)),1,VLOOKUP(CONCATENATE($D2074,$G2074),CSRFinput!$B:$E,4,0)))</f>
        <v>0.054776304963434752</v>
      </c>
      <c r="W2074" s="85">
        <f>IF(B2074="",0,+$T2074*$V2074)</f>
        <v>2.1700587457575664</v>
      </c>
      <c r="X2074" s="85">
        <f>IF(B2074="",0,IF(OR(H2074=MappingTables!$C$34,H2074=MappingTables!$C$35),W2074,0))</f>
        <v>0</v>
      </c>
    </row>
    <row r="2075" spans="2:24" s="0" customFormat="0" ht="15">
      <c r="B2075" s="69">
        <v>15742343</v>
      </c>
      <c r="C2075" s="70" t="s">
        <v>2024</v>
      </c>
      <c r="D2075" s="70" t="s">
        <v>1</v>
      </c>
      <c r="E2075" s="70" t="s">
        <v>1</v>
      </c>
      <c r="F2075" s="70"/>
      <c r="G2075" s="70" t="s">
        <v>61</v>
      </c>
      <c r="H2075" s="70" t="s">
        <v>178</v>
      </c>
      <c r="I2075" s="70" t="s">
        <v>181</v>
      </c>
      <c r="J2075" s="71">
        <f>IF(OR(I2075=0,I2075=""),"unrated",VLOOKUP(I2075,MappingTables!$B$19:$C$31,2,FALSE))</f>
        <v>3</v>
      </c>
      <c r="K2075" s="72">
        <v>2892.34143423086</v>
      </c>
      <c r="L2075" s="70">
        <v>0.10137267810027396</v>
      </c>
      <c r="M2075" s="71">
        <f>IF(L2075&lt;1,1,L2075)</f>
        <v>1</v>
      </c>
      <c r="N2075" s="70" t="s">
        <v>141</v>
      </c>
      <c r="O2075" s="71">
        <f>INDEX(DurClassMapping,MATCH(M2075,MappingTables!$D$4:$D$8,-1),1)</f>
        <v>1</v>
      </c>
      <c r="P2075" s="73">
        <f>IF(M2075=$A$1,1,$M2075-INDEX(MappingTables!$E$4:$E$8,MATCH(O2075,MappingTables!$B$4:$B$8,0)))</f>
        <v>1</v>
      </c>
      <c r="Q2075" s="71">
        <f>IF(B2075="",0,INDEX(ModelParameters!$D$6:$K$10,MATCH($O2075,ModelParameters!$B$6:$B$10,0),MATCH($J2075,ModelParameters!$D$5:$K$5,0)))</f>
        <v>0.025</v>
      </c>
      <c r="R2075" s="71">
        <f>IF(B2075="",0,INDEX(ModelParameters!$D$13:$K$17,MATCH($O2075,ModelParameters!$B$13:$B$17,0),MATCH($J2075,ModelParameters!$D$5:$K$5,0)))</f>
        <v>0</v>
      </c>
      <c r="S2075" s="160">
        <f>IF(B2075="",0,MIN(IF($N2075="Other Bond TM",ModelParameters!$N$21,1)*(P2075*Q2075+R2075),1))</f>
        <v>0.025</v>
      </c>
      <c r="T2075" s="85">
        <f>IF(B2075="",0,$S2075*$K2075)</f>
        <v>72.308535855771504</v>
      </c>
      <c r="U2075" s="85">
        <f>IF(B2075="",0,IF(OR(H2075=MappingTables!$C$34,H2075=MappingTables!$C$35),T2075,0))</f>
        <v>0</v>
      </c>
      <c r="V2075" s="85">
        <f>IF(ISNA(IF(AND(VLOOKUP(CONCATENATE($D2075,$G2075),CSRFinput!$B:$E,4,0)=0,OR(H2075=MappingTables!$C$34,H2075=MappingTables!$C$35)),1,VLOOKUP(CONCATENATE($D2075,$G2075),CSRFinput!$B:$E,4,0))),0,IF(AND(VLOOKUP(CONCATENATE($D2075,$G2075),CSRFinput!$B:$E,4,0)=0,OR(H2075=MappingTables!$C$34,H2075=MappingTables!$C$35)),1,VLOOKUP(CONCATENATE($D2075,$G2075),CSRFinput!$B:$E,4,0)))</f>
        <v>0.054776304963434752</v>
      </c>
      <c r="W2075" s="85">
        <f>IF(B2075="",0,+$T2075*$V2075)</f>
        <v>3.9607944114951968</v>
      </c>
      <c r="X2075" s="85">
        <f>IF(B2075="",0,IF(OR(H2075=MappingTables!$C$34,H2075=MappingTables!$C$35),W2075,0))</f>
        <v>0</v>
      </c>
    </row>
    <row r="2076" spans="2:24" s="0" customFormat="0" ht="15">
      <c r="B2076" s="69">
        <v>13162985</v>
      </c>
      <c r="C2076" s="70" t="s">
        <v>2179</v>
      </c>
      <c r="D2076" s="70" t="s">
        <v>1</v>
      </c>
      <c r="E2076" s="70" t="s">
        <v>1</v>
      </c>
      <c r="F2076" s="70"/>
      <c r="G2076" s="70" t="s">
        <v>61</v>
      </c>
      <c r="H2076" s="70" t="s">
        <v>178</v>
      </c>
      <c r="I2076" s="70" t="s">
        <v>188</v>
      </c>
      <c r="J2076" s="71">
        <f>IF(OR(I2076=0,I2076=""),"unrated",VLOOKUP(I2076,MappingTables!$B$19:$C$31,2,FALSE))</f>
        <v>2</v>
      </c>
      <c r="K2076" s="72">
        <v>4.675463275188388</v>
      </c>
      <c r="L2076" s="70">
        <v>1.0008546779445398</v>
      </c>
      <c r="M2076" s="71">
        <f>IF(L2076&lt;1,1,L2076)</f>
        <v>1.0008546779445398</v>
      </c>
      <c r="N2076" s="70" t="s">
        <v>141</v>
      </c>
      <c r="O2076" s="71">
        <f>INDEX(DurClassMapping,MATCH(M2076,MappingTables!$D$4:$D$8,-1),1)</f>
        <v>1</v>
      </c>
      <c r="P2076" s="73">
        <f>IF(M2076=$A$1,1,$M2076-INDEX(MappingTables!$E$4:$E$8,MATCH(O2076,MappingTables!$B$4:$B$8,0)))</f>
        <v>1.0008546779445398</v>
      </c>
      <c r="Q2076" s="71">
        <f>IF(B2076="",0,INDEX(ModelParameters!$D$6:$K$10,MATCH($O2076,ModelParameters!$B$6:$B$10,0),MATCH($J2076,ModelParameters!$D$5:$K$5,0)))</f>
        <v>0.013999999999999998</v>
      </c>
      <c r="R2076" s="71">
        <f>IF(B2076="",0,INDEX(ModelParameters!$D$13:$K$17,MATCH($O2076,ModelParameters!$B$13:$B$17,0),MATCH($J2076,ModelParameters!$D$5:$K$5,0)))</f>
        <v>0</v>
      </c>
      <c r="S2076" s="160">
        <f>IF(B2076="",0,MIN(IF($N2076="Other Bond TM",ModelParameters!$N$21,1)*(P2076*Q2076+R2076),1))</f>
        <v>0.014011965491223554</v>
      </c>
      <c r="T2076" s="85">
        <f>IF(B2076="",0,$S2076*$K2076)</f>
        <v>0.06551243006742276</v>
      </c>
      <c r="U2076" s="85">
        <f>IF(B2076="",0,IF(OR(H2076=MappingTables!$C$34,H2076=MappingTables!$C$35),T2076,0))</f>
        <v>0</v>
      </c>
      <c r="V2076" s="85">
        <f>IF(ISNA(IF(AND(VLOOKUP(CONCATENATE($D2076,$G2076),CSRFinput!$B:$E,4,0)=0,OR(H2076=MappingTables!$C$34,H2076=MappingTables!$C$35)),1,VLOOKUP(CONCATENATE($D2076,$G2076),CSRFinput!$B:$E,4,0))),0,IF(AND(VLOOKUP(CONCATENATE($D2076,$G2076),CSRFinput!$B:$E,4,0)=0,OR(H2076=MappingTables!$C$34,H2076=MappingTables!$C$35)),1,VLOOKUP(CONCATENATE($D2076,$G2076),CSRFinput!$B:$E,4,0)))</f>
        <v>0.054776304963434752</v>
      </c>
      <c r="W2076" s="85">
        <f>IF(B2076="",0,+$T2076*$V2076)</f>
        <v>0.0035885288482688416</v>
      </c>
      <c r="X2076" s="85">
        <f>IF(B2076="",0,IF(OR(H2076=MappingTables!$C$34,H2076=MappingTables!$C$35),W2076,0))</f>
        <v>0</v>
      </c>
    </row>
    <row r="2077" spans="2:24" s="0" customFormat="0" ht="15">
      <c r="B2077" s="69">
        <v>14689143</v>
      </c>
      <c r="C2077" s="70" t="s">
        <v>1726</v>
      </c>
      <c r="D2077" s="70" t="s">
        <v>1</v>
      </c>
      <c r="E2077" s="70" t="s">
        <v>1</v>
      </c>
      <c r="F2077" s="70"/>
      <c r="G2077" s="70" t="s">
        <v>61</v>
      </c>
      <c r="H2077" s="70" t="s">
        <v>178</v>
      </c>
      <c r="I2077" s="70" t="s">
        <v>181</v>
      </c>
      <c r="J2077" s="71">
        <f>IF(OR(I2077=0,I2077=""),"unrated",VLOOKUP(I2077,MappingTables!$B$19:$C$31,2,FALSE))</f>
        <v>3</v>
      </c>
      <c r="K2077" s="72">
        <v>1166.711111642764</v>
      </c>
      <c r="L2077" s="70">
        <v>1.5642185133613478</v>
      </c>
      <c r="M2077" s="71">
        <f>IF(L2077&lt;1,1,L2077)</f>
        <v>1.5642185133613478</v>
      </c>
      <c r="N2077" s="70" t="s">
        <v>141</v>
      </c>
      <c r="O2077" s="71">
        <f>INDEX(DurClassMapping,MATCH(M2077,MappingTables!$D$4:$D$8,-1),1)</f>
        <v>1</v>
      </c>
      <c r="P2077" s="73">
        <f>IF(M2077=$A$1,1,$M2077-INDEX(MappingTables!$E$4:$E$8,MATCH(O2077,MappingTables!$B$4:$B$8,0)))</f>
        <v>1.5642185133613478</v>
      </c>
      <c r="Q2077" s="71">
        <f>IF(B2077="",0,INDEX(ModelParameters!$D$6:$K$10,MATCH($O2077,ModelParameters!$B$6:$B$10,0),MATCH($J2077,ModelParameters!$D$5:$K$5,0)))</f>
        <v>0.025</v>
      </c>
      <c r="R2077" s="71">
        <f>IF(B2077="",0,INDEX(ModelParameters!$D$13:$K$17,MATCH($O2077,ModelParameters!$B$13:$B$17,0),MATCH($J2077,ModelParameters!$D$5:$K$5,0)))</f>
        <v>0</v>
      </c>
      <c r="S2077" s="160">
        <f>IF(B2077="",0,MIN(IF($N2077="Other Bond TM",ModelParameters!$N$21,1)*(P2077*Q2077+R2077),1))</f>
        <v>0.039105462834033696</v>
      </c>
      <c r="T2077" s="85">
        <f>IF(B2077="",0,$S2077*$K2077)</f>
        <v>45.624778014400248</v>
      </c>
      <c r="U2077" s="85">
        <f>IF(B2077="",0,IF(OR(H2077=MappingTables!$C$34,H2077=MappingTables!$C$35),T2077,0))</f>
        <v>0</v>
      </c>
      <c r="V2077" s="85">
        <f>IF(ISNA(IF(AND(VLOOKUP(CONCATENATE($D2077,$G2077),CSRFinput!$B:$E,4,0)=0,OR(H2077=MappingTables!$C$34,H2077=MappingTables!$C$35)),1,VLOOKUP(CONCATENATE($D2077,$G2077),CSRFinput!$B:$E,4,0))),0,IF(AND(VLOOKUP(CONCATENATE($D2077,$G2077),CSRFinput!$B:$E,4,0)=0,OR(H2077=MappingTables!$C$34,H2077=MappingTables!$C$35)),1,VLOOKUP(CONCATENATE($D2077,$G2077),CSRFinput!$B:$E,4,0)))</f>
        <v>0.054776304963434752</v>
      </c>
      <c r="W2077" s="85">
        <f>IF(B2077="",0,+$T2077*$V2077)</f>
        <v>2.4991567544058012</v>
      </c>
      <c r="X2077" s="85">
        <f>IF(B2077="",0,IF(OR(H2077=MappingTables!$C$34,H2077=MappingTables!$C$35),W2077,0))</f>
        <v>0</v>
      </c>
    </row>
    <row r="2078" spans="2:24" s="0" customFormat="0" ht="15">
      <c r="B2078" s="69">
        <v>20244089</v>
      </c>
      <c r="C2078" s="70" t="s">
        <v>1605</v>
      </c>
      <c r="D2078" s="70" t="s">
        <v>1</v>
      </c>
      <c r="E2078" s="70" t="s">
        <v>1</v>
      </c>
      <c r="F2078" s="70"/>
      <c r="G2078" s="70" t="s">
        <v>61</v>
      </c>
      <c r="H2078" s="70" t="s">
        <v>178</v>
      </c>
      <c r="I2078" s="70" t="s">
        <v>188</v>
      </c>
      <c r="J2078" s="71">
        <f>IF(OR(I2078=0,I2078=""),"unrated",VLOOKUP(I2078,MappingTables!$B$19:$C$31,2,FALSE))</f>
        <v>2</v>
      </c>
      <c r="K2078" s="72">
        <v>713.83007243762992</v>
      </c>
      <c r="L2078" s="70">
        <v>7.2429878098015984</v>
      </c>
      <c r="M2078" s="71">
        <f>IF(L2078&lt;1,1,L2078)</f>
        <v>7.2429878098015984</v>
      </c>
      <c r="N2078" s="70" t="s">
        <v>141</v>
      </c>
      <c r="O2078" s="71">
        <f>INDEX(DurClassMapping,MATCH(M2078,MappingTables!$D$4:$D$8,-1),1)</f>
        <v>2</v>
      </c>
      <c r="P2078" s="73">
        <f>IF(M2078=$A$1,1,$M2078-INDEX(MappingTables!$E$4:$E$8,MATCH(O2078,MappingTables!$B$4:$B$8,0)))</f>
        <v>2.2429878098015984</v>
      </c>
      <c r="Q2078" s="71">
        <f>IF(B2078="",0,INDEX(ModelParameters!$D$6:$K$10,MATCH($O2078,ModelParameters!$B$6:$B$10,0),MATCH($J2078,ModelParameters!$D$5:$K$5,0)))</f>
        <v>0.0069999999999999992</v>
      </c>
      <c r="R2078" s="71">
        <f>IF(B2078="",0,INDEX(ModelParameters!$D$13:$K$17,MATCH($O2078,ModelParameters!$B$13:$B$17,0),MATCH($J2078,ModelParameters!$D$5:$K$5,0)))</f>
        <v>0.070000000000000008</v>
      </c>
      <c r="S2078" s="160">
        <f>IF(B2078="",0,MIN(IF($N2078="Other Bond TM",ModelParameters!$N$21,1)*(P2078*Q2078+R2078),1))</f>
        <v>0.0857009146686112</v>
      </c>
      <c r="T2078" s="85">
        <f>IF(B2078="",0,$S2078*$K2078)</f>
        <v>61.17589012586588</v>
      </c>
      <c r="U2078" s="85">
        <f>IF(B2078="",0,IF(OR(H2078=MappingTables!$C$34,H2078=MappingTables!$C$35),T2078,0))</f>
        <v>0</v>
      </c>
      <c r="V2078" s="85">
        <f>IF(ISNA(IF(AND(VLOOKUP(CONCATENATE($D2078,$G2078),CSRFinput!$B:$E,4,0)=0,OR(H2078=MappingTables!$C$34,H2078=MappingTables!$C$35)),1,VLOOKUP(CONCATENATE($D2078,$G2078),CSRFinput!$B:$E,4,0))),0,IF(AND(VLOOKUP(CONCATENATE($D2078,$G2078),CSRFinput!$B:$E,4,0)=0,OR(H2078=MappingTables!$C$34,H2078=MappingTables!$C$35)),1,VLOOKUP(CONCATENATE($D2078,$G2078),CSRFinput!$B:$E,4,0)))</f>
        <v>0.054776304963434752</v>
      </c>
      <c r="W2078" s="85">
        <f>IF(B2078="",0,+$T2078*$V2078)</f>
        <v>3.3509892139440064</v>
      </c>
      <c r="X2078" s="85">
        <f>IF(B2078="",0,IF(OR(H2078=MappingTables!$C$34,H2078=MappingTables!$C$35),W2078,0))</f>
        <v>0</v>
      </c>
    </row>
    <row r="2079" spans="2:24" s="0" customFormat="0" ht="15">
      <c r="B2079" s="69" t="s">
        <v>2180</v>
      </c>
      <c r="C2079" s="70" t="s">
        <v>2181</v>
      </c>
      <c r="D2079" s="70" t="s">
        <v>1</v>
      </c>
      <c r="E2079" s="70" t="s">
        <v>1</v>
      </c>
      <c r="F2079" s="70"/>
      <c r="G2079" s="70" t="s">
        <v>61</v>
      </c>
      <c r="H2079" s="70" t="s">
        <v>178</v>
      </c>
      <c r="I2079" s="70" t="s">
        <v>181</v>
      </c>
      <c r="J2079" s="71">
        <f>IF(OR(I2079=0,I2079=""),"unrated",VLOOKUP(I2079,MappingTables!$B$19:$C$31,2,FALSE))</f>
        <v>3</v>
      </c>
      <c r="K2079" s="72">
        <v>67023.543273108792</v>
      </c>
      <c r="L2079" s="70">
        <v>1.9680542739955064</v>
      </c>
      <c r="M2079" s="71">
        <f>IF(L2079&lt;1,1,L2079)</f>
        <v>1.9680542739955064</v>
      </c>
      <c r="N2079" s="70" t="s">
        <v>141</v>
      </c>
      <c r="O2079" s="71">
        <f>INDEX(DurClassMapping,MATCH(M2079,MappingTables!$D$4:$D$8,-1),1)</f>
        <v>1</v>
      </c>
      <c r="P2079" s="73">
        <f>IF(M2079=$A$1,1,$M2079-INDEX(MappingTables!$E$4:$E$8,MATCH(O2079,MappingTables!$B$4:$B$8,0)))</f>
        <v>1.9680542739955064</v>
      </c>
      <c r="Q2079" s="71">
        <f>IF(B2079="",0,INDEX(ModelParameters!$D$6:$K$10,MATCH($O2079,ModelParameters!$B$6:$B$10,0),MATCH($J2079,ModelParameters!$D$5:$K$5,0)))</f>
        <v>0.025</v>
      </c>
      <c r="R2079" s="71">
        <f>IF(B2079="",0,INDEX(ModelParameters!$D$13:$K$17,MATCH($O2079,ModelParameters!$B$13:$B$17,0),MATCH($J2079,ModelParameters!$D$5:$K$5,0)))</f>
        <v>0</v>
      </c>
      <c r="S2079" s="160">
        <f>IF(B2079="",0,MIN(IF($N2079="Other Bond TM",ModelParameters!$N$21,1)*(P2079*Q2079+R2079),1))</f>
        <v>0.049201356849887664</v>
      </c>
      <c r="T2079" s="85">
        <f>IF(B2079="",0,$S2079*$K2079)</f>
        <v>3297.6492699241136</v>
      </c>
      <c r="U2079" s="85">
        <f>IF(B2079="",0,IF(OR(H2079=MappingTables!$C$34,H2079=MappingTables!$C$35),T2079,0))</f>
        <v>0</v>
      </c>
      <c r="V2079" s="85">
        <f>IF(ISNA(IF(AND(VLOOKUP(CONCATENATE($D2079,$G2079),CSRFinput!$B:$E,4,0)=0,OR(H2079=MappingTables!$C$34,H2079=MappingTables!$C$35)),1,VLOOKUP(CONCATENATE($D2079,$G2079),CSRFinput!$B:$E,4,0))),0,IF(AND(VLOOKUP(CONCATENATE($D2079,$G2079),CSRFinput!$B:$E,4,0)=0,OR(H2079=MappingTables!$C$34,H2079=MappingTables!$C$35)),1,VLOOKUP(CONCATENATE($D2079,$G2079),CSRFinput!$B:$E,4,0)))</f>
        <v>0.054776304963434752</v>
      </c>
      <c r="W2079" s="85">
        <f>IF(B2079="",0,+$T2079*$V2079)</f>
        <v>180.6330420718112</v>
      </c>
      <c r="X2079" s="85">
        <f>IF(B2079="",0,IF(OR(H2079=MappingTables!$C$34,H2079=MappingTables!$C$35),W2079,0))</f>
        <v>0</v>
      </c>
    </row>
    <row r="2080" spans="2:24" s="0" customFormat="0" ht="15">
      <c r="B2080" s="69" t="s">
        <v>2182</v>
      </c>
      <c r="C2080" s="70" t="s">
        <v>2183</v>
      </c>
      <c r="D2080" s="70" t="s">
        <v>1</v>
      </c>
      <c r="E2080" s="70" t="s">
        <v>1</v>
      </c>
      <c r="F2080" s="70"/>
      <c r="G2080" s="70" t="s">
        <v>61</v>
      </c>
      <c r="H2080" s="70" t="s">
        <v>178</v>
      </c>
      <c r="I2080" s="70" t="s">
        <v>198</v>
      </c>
      <c r="J2080" s="71" t="str">
        <f>IF(OR(I2080=0,I2080=""),"unrated",VLOOKUP(I2080,MappingTables!$B$19:$C$31,2,FALSE))</f>
        <v>unrated</v>
      </c>
      <c r="K2080" s="72">
        <v>0.17040976073885192</v>
      </c>
      <c r="L2080" s="70">
        <v>0.30137258256073028</v>
      </c>
      <c r="M2080" s="71">
        <f>IF(L2080&lt;1,1,L2080)</f>
        <v>1</v>
      </c>
      <c r="N2080" s="70" t="s">
        <v>141</v>
      </c>
      <c r="O2080" s="71">
        <f>INDEX(DurClassMapping,MATCH(M2080,MappingTables!$D$4:$D$8,-1),1)</f>
        <v>1</v>
      </c>
      <c r="P2080" s="73">
        <f>IF(M2080=$A$1,1,$M2080-INDEX(MappingTables!$E$4:$E$8,MATCH(O2080,MappingTables!$B$4:$B$8,0)))</f>
        <v>1</v>
      </c>
      <c r="Q2080" s="71">
        <f>IF(B2080="",0,INDEX(ModelParameters!$D$6:$K$10,MATCH($O2080,ModelParameters!$B$6:$B$10,0),MATCH($J2080,ModelParameters!$D$5:$K$5,0)))</f>
        <v>0.03</v>
      </c>
      <c r="R2080" s="71">
        <f>IF(B2080="",0,INDEX(ModelParameters!$D$13:$K$17,MATCH($O2080,ModelParameters!$B$13:$B$17,0),MATCH($J2080,ModelParameters!$D$5:$K$5,0)))</f>
        <v>0</v>
      </c>
      <c r="S2080" s="160">
        <f>IF(B2080="",0,MIN(IF($N2080="Other Bond TM",ModelParameters!$N$21,1)*(P2080*Q2080+R2080),1))</f>
        <v>0.03</v>
      </c>
      <c r="T2080" s="85">
        <f>IF(B2080="",0,$S2080*$K2080)</f>
        <v>0.0051122928221655568</v>
      </c>
      <c r="U2080" s="85">
        <f>IF(B2080="",0,IF(OR(H2080=MappingTables!$C$34,H2080=MappingTables!$C$35),T2080,0))</f>
        <v>0</v>
      </c>
      <c r="V2080" s="85">
        <f>IF(ISNA(IF(AND(VLOOKUP(CONCATENATE($D2080,$G2080),CSRFinput!$B:$E,4,0)=0,OR(H2080=MappingTables!$C$34,H2080=MappingTables!$C$35)),1,VLOOKUP(CONCATENATE($D2080,$G2080),CSRFinput!$B:$E,4,0))),0,IF(AND(VLOOKUP(CONCATENATE($D2080,$G2080),CSRFinput!$B:$E,4,0)=0,OR(H2080=MappingTables!$C$34,H2080=MappingTables!$C$35)),1,VLOOKUP(CONCATENATE($D2080,$G2080),CSRFinput!$B:$E,4,0)))</f>
        <v>0.054776304963434752</v>
      </c>
      <c r="W2080" s="85">
        <f>IF(B2080="",0,+$T2080*$V2080)</f>
        <v>0.00028003251068931904</v>
      </c>
      <c r="X2080" s="85">
        <f>IF(B2080="",0,IF(OR(H2080=MappingTables!$C$34,H2080=MappingTables!$C$35),W2080,0))</f>
        <v>0</v>
      </c>
    </row>
    <row r="2081" spans="2:24" s="0" customFormat="0" ht="15">
      <c r="B2081" s="69">
        <v>18923343</v>
      </c>
      <c r="C2081" s="70" t="s">
        <v>2184</v>
      </c>
      <c r="D2081" s="70" t="s">
        <v>1</v>
      </c>
      <c r="E2081" s="70" t="s">
        <v>1</v>
      </c>
      <c r="F2081" s="70"/>
      <c r="G2081" s="70" t="s">
        <v>61</v>
      </c>
      <c r="H2081" s="70" t="s">
        <v>178</v>
      </c>
      <c r="I2081" s="70" t="s">
        <v>179</v>
      </c>
      <c r="J2081" s="71">
        <f>IF(OR(I2081=0,I2081=""),"unrated",VLOOKUP(I2081,MappingTables!$B$19:$C$31,2,FALSE))</f>
        <v>4</v>
      </c>
      <c r="K2081" s="72">
        <v>24243.3608279866</v>
      </c>
      <c r="L2081" s="70">
        <v>4.0405968568015392</v>
      </c>
      <c r="M2081" s="71">
        <f>IF(L2081&lt;1,1,L2081)</f>
        <v>4.0405968568015392</v>
      </c>
      <c r="N2081" s="70" t="s">
        <v>141</v>
      </c>
      <c r="O2081" s="71">
        <f>INDEX(DurClassMapping,MATCH(M2081,MappingTables!$D$4:$D$8,-1),1)</f>
        <v>1</v>
      </c>
      <c r="P2081" s="73">
        <f>IF(M2081=$A$1,1,$M2081-INDEX(MappingTables!$E$4:$E$8,MATCH(O2081,MappingTables!$B$4:$B$8,0)))</f>
        <v>4.0405968568015392</v>
      </c>
      <c r="Q2081" s="71">
        <f>IF(B2081="",0,INDEX(ModelParameters!$D$6:$K$10,MATCH($O2081,ModelParameters!$B$6:$B$10,0),MATCH($J2081,ModelParameters!$D$5:$K$5,0)))</f>
        <v>0.045</v>
      </c>
      <c r="R2081" s="71">
        <f>IF(B2081="",0,INDEX(ModelParameters!$D$13:$K$17,MATCH($O2081,ModelParameters!$B$13:$B$17,0),MATCH($J2081,ModelParameters!$D$5:$K$5,0)))</f>
        <v>0</v>
      </c>
      <c r="S2081" s="160">
        <f>IF(B2081="",0,MIN(IF($N2081="Other Bond TM",ModelParameters!$N$21,1)*(P2081*Q2081+R2081),1))</f>
        <v>0.18182685855606924</v>
      </c>
      <c r="T2081" s="85">
        <f>IF(B2081="",0,$S2081*$K2081)</f>
        <v>4408.0941401940688</v>
      </c>
      <c r="U2081" s="85">
        <f>IF(B2081="",0,IF(OR(H2081=MappingTables!$C$34,H2081=MappingTables!$C$35),T2081,0))</f>
        <v>0</v>
      </c>
      <c r="V2081" s="85">
        <f>IF(ISNA(IF(AND(VLOOKUP(CONCATENATE($D2081,$G2081),CSRFinput!$B:$E,4,0)=0,OR(H2081=MappingTables!$C$34,H2081=MappingTables!$C$35)),1,VLOOKUP(CONCATENATE($D2081,$G2081),CSRFinput!$B:$E,4,0))),0,IF(AND(VLOOKUP(CONCATENATE($D2081,$G2081),CSRFinput!$B:$E,4,0)=0,OR(H2081=MappingTables!$C$34,H2081=MappingTables!$C$35)),1,VLOOKUP(CONCATENATE($D2081,$G2081),CSRFinput!$B:$E,4,0)))</f>
        <v>0.054776304963434752</v>
      </c>
      <c r="W2081" s="85">
        <f>IF(B2081="",0,+$T2081*$V2081)</f>
        <v>241.45910893080004</v>
      </c>
      <c r="X2081" s="85">
        <f>IF(B2081="",0,IF(OR(H2081=MappingTables!$C$34,H2081=MappingTables!$C$35),W2081,0))</f>
        <v>0</v>
      </c>
    </row>
    <row r="2082" spans="2:24" s="0" customFormat="0" ht="15">
      <c r="B2082" s="69">
        <v>12187821</v>
      </c>
      <c r="C2082" s="70" t="s">
        <v>1016</v>
      </c>
      <c r="D2082" s="70" t="s">
        <v>1</v>
      </c>
      <c r="E2082" s="70" t="s">
        <v>1</v>
      </c>
      <c r="F2082" s="70"/>
      <c r="G2082" s="70" t="s">
        <v>61</v>
      </c>
      <c r="H2082" s="70" t="s">
        <v>178</v>
      </c>
      <c r="I2082" s="70" t="s">
        <v>181</v>
      </c>
      <c r="J2082" s="71">
        <f>IF(OR(I2082=0,I2082=""),"unrated",VLOOKUP(I2082,MappingTables!$B$19:$C$31,2,FALSE))</f>
        <v>3</v>
      </c>
      <c r="K2082" s="72">
        <v>241.84436187936892</v>
      </c>
      <c r="L2082" s="70">
        <v>0.50479461818359592</v>
      </c>
      <c r="M2082" s="71">
        <f>IF(L2082&lt;1,1,L2082)</f>
        <v>1</v>
      </c>
      <c r="N2082" s="70" t="s">
        <v>141</v>
      </c>
      <c r="O2082" s="71">
        <f>INDEX(DurClassMapping,MATCH(M2082,MappingTables!$D$4:$D$8,-1),1)</f>
        <v>1</v>
      </c>
      <c r="P2082" s="73">
        <f>IF(M2082=$A$1,1,$M2082-INDEX(MappingTables!$E$4:$E$8,MATCH(O2082,MappingTables!$B$4:$B$8,0)))</f>
        <v>1</v>
      </c>
      <c r="Q2082" s="71">
        <f>IF(B2082="",0,INDEX(ModelParameters!$D$6:$K$10,MATCH($O2082,ModelParameters!$B$6:$B$10,0),MATCH($J2082,ModelParameters!$D$5:$K$5,0)))</f>
        <v>0.025</v>
      </c>
      <c r="R2082" s="71">
        <f>IF(B2082="",0,INDEX(ModelParameters!$D$13:$K$17,MATCH($O2082,ModelParameters!$B$13:$B$17,0),MATCH($J2082,ModelParameters!$D$5:$K$5,0)))</f>
        <v>0</v>
      </c>
      <c r="S2082" s="160">
        <f>IF(B2082="",0,MIN(IF($N2082="Other Bond TM",ModelParameters!$N$21,1)*(P2082*Q2082+R2082),1))</f>
        <v>0.025</v>
      </c>
      <c r="T2082" s="85">
        <f>IF(B2082="",0,$S2082*$K2082)</f>
        <v>6.046109046984224</v>
      </c>
      <c r="U2082" s="85">
        <f>IF(B2082="",0,IF(OR(H2082=MappingTables!$C$34,H2082=MappingTables!$C$35),T2082,0))</f>
        <v>0</v>
      </c>
      <c r="V2082" s="85">
        <f>IF(ISNA(IF(AND(VLOOKUP(CONCATENATE($D2082,$G2082),CSRFinput!$B:$E,4,0)=0,OR(H2082=MappingTables!$C$34,H2082=MappingTables!$C$35)),1,VLOOKUP(CONCATENATE($D2082,$G2082),CSRFinput!$B:$E,4,0))),0,IF(AND(VLOOKUP(CONCATENATE($D2082,$G2082),CSRFinput!$B:$E,4,0)=0,OR(H2082=MappingTables!$C$34,H2082=MappingTables!$C$35)),1,VLOOKUP(CONCATENATE($D2082,$G2082),CSRFinput!$B:$E,4,0)))</f>
        <v>0.054776304963434752</v>
      </c>
      <c r="W2082" s="85">
        <f>IF(B2082="",0,+$T2082*$V2082)</f>
        <v>0.33118351299978972</v>
      </c>
      <c r="X2082" s="85">
        <f>IF(B2082="",0,IF(OR(H2082=MappingTables!$C$34,H2082=MappingTables!$C$35),W2082,0))</f>
        <v>0</v>
      </c>
    </row>
    <row r="2083" spans="2:24" s="0" customFormat="0" ht="15">
      <c r="B2083" s="69">
        <v>17087265</v>
      </c>
      <c r="C2083" s="70" t="s">
        <v>2185</v>
      </c>
      <c r="D2083" s="70" t="s">
        <v>1</v>
      </c>
      <c r="E2083" s="70" t="s">
        <v>1</v>
      </c>
      <c r="F2083" s="70"/>
      <c r="G2083" s="70" t="s">
        <v>61</v>
      </c>
      <c r="H2083" s="70" t="s">
        <v>178</v>
      </c>
      <c r="I2083" s="70" t="s">
        <v>220</v>
      </c>
      <c r="J2083" s="71">
        <f>IF(OR(I2083=0,I2083=""),"unrated",VLOOKUP(I2083,MappingTables!$B$19:$C$31,2,FALSE))</f>
        <v>1</v>
      </c>
      <c r="K2083" s="72">
        <v>20776.625880887128</v>
      </c>
      <c r="L2083" s="70">
        <v>16.58862832700779</v>
      </c>
      <c r="M2083" s="71">
        <f>IF(L2083&lt;1,1,L2083)</f>
        <v>16.58862832700779</v>
      </c>
      <c r="N2083" s="70" t="s">
        <v>141</v>
      </c>
      <c r="O2083" s="71">
        <f>INDEX(DurClassMapping,MATCH(M2083,MappingTables!$D$4:$D$8,-1),1)</f>
        <v>4</v>
      </c>
      <c r="P2083" s="73">
        <f>IF(M2083=$A$1,1,$M2083-INDEX(MappingTables!$E$4:$E$8,MATCH(O2083,MappingTables!$B$4:$B$8,0)))</f>
        <v>1.5886283270077896</v>
      </c>
      <c r="Q2083" s="71">
        <f>IF(B2083="",0,INDEX(ModelParameters!$D$6:$K$10,MATCH($O2083,ModelParameters!$B$6:$B$10,0),MATCH($J2083,ModelParameters!$D$5:$K$5,0)))</f>
        <v>0.005</v>
      </c>
      <c r="R2083" s="71">
        <f>IF(B2083="",0,INDEX(ModelParameters!$D$13:$K$17,MATCH($O2083,ModelParameters!$B$13:$B$17,0),MATCH($J2083,ModelParameters!$D$5:$K$5,0)))</f>
        <v>0.11</v>
      </c>
      <c r="S2083" s="160">
        <f>IF(B2083="",0,MIN(IF($N2083="Other Bond TM",ModelParameters!$N$21,1)*(P2083*Q2083+R2083),1))</f>
        <v>0.11794314163503896</v>
      </c>
      <c r="T2083" s="85">
        <f>IF(B2083="",0,$S2083*$K2083)</f>
        <v>2450.4605289676864</v>
      </c>
      <c r="U2083" s="85">
        <f>IF(B2083="",0,IF(OR(H2083=MappingTables!$C$34,H2083=MappingTables!$C$35),T2083,0))</f>
        <v>0</v>
      </c>
      <c r="V2083" s="85">
        <f>IF(ISNA(IF(AND(VLOOKUP(CONCATENATE($D2083,$G2083),CSRFinput!$B:$E,4,0)=0,OR(H2083=MappingTables!$C$34,H2083=MappingTables!$C$35)),1,VLOOKUP(CONCATENATE($D2083,$G2083),CSRFinput!$B:$E,4,0))),0,IF(AND(VLOOKUP(CONCATENATE($D2083,$G2083),CSRFinput!$B:$E,4,0)=0,OR(H2083=MappingTables!$C$34,H2083=MappingTables!$C$35)),1,VLOOKUP(CONCATENATE($D2083,$G2083),CSRFinput!$B:$E,4,0)))</f>
        <v>0.054776304963434752</v>
      </c>
      <c r="W2083" s="85">
        <f>IF(B2083="",0,+$T2083*$V2083)</f>
        <v>134.22717323559362</v>
      </c>
      <c r="X2083" s="85">
        <f>IF(B2083="",0,IF(OR(H2083=MappingTables!$C$34,H2083=MappingTables!$C$35),W2083,0))</f>
        <v>0</v>
      </c>
    </row>
    <row r="2084" spans="2:24" s="0" customFormat="0" ht="15">
      <c r="B2084" s="69">
        <v>14741153</v>
      </c>
      <c r="C2084" s="70" t="s">
        <v>2186</v>
      </c>
      <c r="D2084" s="70" t="s">
        <v>1</v>
      </c>
      <c r="E2084" s="70" t="s">
        <v>1</v>
      </c>
      <c r="F2084" s="70"/>
      <c r="G2084" s="70" t="s">
        <v>61</v>
      </c>
      <c r="H2084" s="70" t="s">
        <v>178</v>
      </c>
      <c r="I2084" s="70" t="s">
        <v>188</v>
      </c>
      <c r="J2084" s="71">
        <f>IF(OR(I2084=0,I2084=""),"unrated",VLOOKUP(I2084,MappingTables!$B$19:$C$31,2,FALSE))</f>
        <v>2</v>
      </c>
      <c r="K2084" s="72">
        <v>2214.4783992713428</v>
      </c>
      <c r="L2084" s="70">
        <v>1.6538597359309918</v>
      </c>
      <c r="M2084" s="71">
        <f>IF(L2084&lt;1,1,L2084)</f>
        <v>1.6538597359309918</v>
      </c>
      <c r="N2084" s="70" t="s">
        <v>141</v>
      </c>
      <c r="O2084" s="71">
        <f>INDEX(DurClassMapping,MATCH(M2084,MappingTables!$D$4:$D$8,-1),1)</f>
        <v>1</v>
      </c>
      <c r="P2084" s="73">
        <f>IF(M2084=$A$1,1,$M2084-INDEX(MappingTables!$E$4:$E$8,MATCH(O2084,MappingTables!$B$4:$B$8,0)))</f>
        <v>1.6538597359309918</v>
      </c>
      <c r="Q2084" s="71">
        <f>IF(B2084="",0,INDEX(ModelParameters!$D$6:$K$10,MATCH($O2084,ModelParameters!$B$6:$B$10,0),MATCH($J2084,ModelParameters!$D$5:$K$5,0)))</f>
        <v>0.013999999999999998</v>
      </c>
      <c r="R2084" s="71">
        <f>IF(B2084="",0,INDEX(ModelParameters!$D$13:$K$17,MATCH($O2084,ModelParameters!$B$13:$B$17,0),MATCH($J2084,ModelParameters!$D$5:$K$5,0)))</f>
        <v>0</v>
      </c>
      <c r="S2084" s="160">
        <f>IF(B2084="",0,MIN(IF($N2084="Other Bond TM",ModelParameters!$N$21,1)*(P2084*Q2084+R2084),1))</f>
        <v>0.023154036303033884</v>
      </c>
      <c r="T2084" s="85">
        <f>IF(B2084="",0,$S2084*$K2084)</f>
        <v>51.27411324901304</v>
      </c>
      <c r="U2084" s="85">
        <f>IF(B2084="",0,IF(OR(H2084=MappingTables!$C$34,H2084=MappingTables!$C$35),T2084,0))</f>
        <v>0</v>
      </c>
      <c r="V2084" s="85">
        <f>IF(ISNA(IF(AND(VLOOKUP(CONCATENATE($D2084,$G2084),CSRFinput!$B:$E,4,0)=0,OR(H2084=MappingTables!$C$34,H2084=MappingTables!$C$35)),1,VLOOKUP(CONCATENATE($D2084,$G2084),CSRFinput!$B:$E,4,0))),0,IF(AND(VLOOKUP(CONCATENATE($D2084,$G2084),CSRFinput!$B:$E,4,0)=0,OR(H2084=MappingTables!$C$34,H2084=MappingTables!$C$35)),1,VLOOKUP(CONCATENATE($D2084,$G2084),CSRFinput!$B:$E,4,0)))</f>
        <v>0.054776304963434752</v>
      </c>
      <c r="W2084" s="85">
        <f>IF(B2084="",0,+$T2084*$V2084)</f>
        <v>2.8086064640576284</v>
      </c>
      <c r="X2084" s="85">
        <f>IF(B2084="",0,IF(OR(H2084=MappingTables!$C$34,H2084=MappingTables!$C$35),W2084,0))</f>
        <v>0</v>
      </c>
    </row>
    <row r="2085" spans="2:24" s="0" customFormat="0" ht="15">
      <c r="B2085" s="69">
        <v>17491187</v>
      </c>
      <c r="C2085" s="70" t="s">
        <v>2187</v>
      </c>
      <c r="D2085" s="70" t="s">
        <v>1</v>
      </c>
      <c r="E2085" s="70" t="s">
        <v>1</v>
      </c>
      <c r="F2085" s="70"/>
      <c r="G2085" s="70" t="s">
        <v>61</v>
      </c>
      <c r="H2085" s="70" t="s">
        <v>178</v>
      </c>
      <c r="I2085" s="70" t="s">
        <v>184</v>
      </c>
      <c r="J2085" s="71">
        <f>IF(OR(I2085=0,I2085=""),"unrated",VLOOKUP(I2085,MappingTables!$B$19:$C$31,2,FALSE))</f>
        <v>5</v>
      </c>
      <c r="K2085" s="72">
        <v>182.2386548363272</v>
      </c>
      <c r="L2085" s="70">
        <v>1.5195079102304206</v>
      </c>
      <c r="M2085" s="71">
        <f>IF(L2085&lt;1,1,L2085)</f>
        <v>1.5195079102304206</v>
      </c>
      <c r="N2085" s="70" t="s">
        <v>141</v>
      </c>
      <c r="O2085" s="71">
        <f>INDEX(DurClassMapping,MATCH(M2085,MappingTables!$D$4:$D$8,-1),1)</f>
        <v>1</v>
      </c>
      <c r="P2085" s="73">
        <f>IF(M2085=$A$1,1,$M2085-INDEX(MappingTables!$E$4:$E$8,MATCH(O2085,MappingTables!$B$4:$B$8,0)))</f>
        <v>1.5195079102304206</v>
      </c>
      <c r="Q2085" s="71">
        <f>IF(B2085="",0,INDEX(ModelParameters!$D$6:$K$10,MATCH($O2085,ModelParameters!$B$6:$B$10,0),MATCH($J2085,ModelParameters!$D$5:$K$5,0)))</f>
        <v>0.075</v>
      </c>
      <c r="R2085" s="71">
        <f>IF(B2085="",0,INDEX(ModelParameters!$D$13:$K$17,MATCH($O2085,ModelParameters!$B$13:$B$17,0),MATCH($J2085,ModelParameters!$D$5:$K$5,0)))</f>
        <v>0</v>
      </c>
      <c r="S2085" s="160">
        <f>IF(B2085="",0,MIN(IF($N2085="Other Bond TM",ModelParameters!$N$21,1)*(P2085*Q2085+R2085),1))</f>
        <v>0.11396309326728154</v>
      </c>
      <c r="T2085" s="85">
        <f>IF(B2085="",0,$S2085*$K2085)</f>
        <v>20.768480818016288</v>
      </c>
      <c r="U2085" s="85">
        <f>IF(B2085="",0,IF(OR(H2085=MappingTables!$C$34,H2085=MappingTables!$C$35),T2085,0))</f>
        <v>0</v>
      </c>
      <c r="V2085" s="85">
        <f>IF(ISNA(IF(AND(VLOOKUP(CONCATENATE($D2085,$G2085),CSRFinput!$B:$E,4,0)=0,OR(H2085=MappingTables!$C$34,H2085=MappingTables!$C$35)),1,VLOOKUP(CONCATENATE($D2085,$G2085),CSRFinput!$B:$E,4,0))),0,IF(AND(VLOOKUP(CONCATENATE($D2085,$G2085),CSRFinput!$B:$E,4,0)=0,OR(H2085=MappingTables!$C$34,H2085=MappingTables!$C$35)),1,VLOOKUP(CONCATENATE($D2085,$G2085),CSRFinput!$B:$E,4,0)))</f>
        <v>0.054776304963434752</v>
      </c>
      <c r="W2085" s="85">
        <f>IF(B2085="",0,+$T2085*$V2085)</f>
        <v>1.137620638914905</v>
      </c>
      <c r="X2085" s="85">
        <f>IF(B2085="",0,IF(OR(H2085=MappingTables!$C$34,H2085=MappingTables!$C$35),W2085,0))</f>
        <v>0</v>
      </c>
    </row>
    <row r="2086" spans="2:24" s="0" customFormat="0" ht="15">
      <c r="B2086" s="69">
        <v>19503566</v>
      </c>
      <c r="C2086" s="70" t="s">
        <v>1333</v>
      </c>
      <c r="D2086" s="70" t="s">
        <v>1</v>
      </c>
      <c r="E2086" s="70" t="s">
        <v>1</v>
      </c>
      <c r="F2086" s="70"/>
      <c r="G2086" s="70" t="s">
        <v>61</v>
      </c>
      <c r="H2086" s="70" t="s">
        <v>178</v>
      </c>
      <c r="I2086" s="70" t="s">
        <v>181</v>
      </c>
      <c r="J2086" s="71">
        <f>IF(OR(I2086=0,I2086=""),"unrated",VLOOKUP(I2086,MappingTables!$B$19:$C$31,2,FALSE))</f>
        <v>3</v>
      </c>
      <c r="K2086" s="72">
        <v>18846.316559518332</v>
      </c>
      <c r="L2086" s="70">
        <v>3.066106277956514</v>
      </c>
      <c r="M2086" s="71">
        <f>IF(L2086&lt;1,1,L2086)</f>
        <v>3.066106277956514</v>
      </c>
      <c r="N2086" s="70" t="s">
        <v>141</v>
      </c>
      <c r="O2086" s="71">
        <f>INDEX(DurClassMapping,MATCH(M2086,MappingTables!$D$4:$D$8,-1),1)</f>
        <v>1</v>
      </c>
      <c r="P2086" s="73">
        <f>IF(M2086=$A$1,1,$M2086-INDEX(MappingTables!$E$4:$E$8,MATCH(O2086,MappingTables!$B$4:$B$8,0)))</f>
        <v>3.066106277956514</v>
      </c>
      <c r="Q2086" s="71">
        <f>IF(B2086="",0,INDEX(ModelParameters!$D$6:$K$10,MATCH($O2086,ModelParameters!$B$6:$B$10,0),MATCH($J2086,ModelParameters!$D$5:$K$5,0)))</f>
        <v>0.025</v>
      </c>
      <c r="R2086" s="71">
        <f>IF(B2086="",0,INDEX(ModelParameters!$D$13:$K$17,MATCH($O2086,ModelParameters!$B$13:$B$17,0),MATCH($J2086,ModelParameters!$D$5:$K$5,0)))</f>
        <v>0</v>
      </c>
      <c r="S2086" s="160">
        <f>IF(B2086="",0,MIN(IF($N2086="Other Bond TM",ModelParameters!$N$21,1)*(P2086*Q2086+R2086),1))</f>
        <v>0.076652656948912848</v>
      </c>
      <c r="T2086" s="85">
        <f>IF(B2086="",0,$S2086*$K2086)</f>
        <v>1444.6202379873742</v>
      </c>
      <c r="U2086" s="85">
        <f>IF(B2086="",0,IF(OR(H2086=MappingTables!$C$34,H2086=MappingTables!$C$35),T2086,0))</f>
        <v>0</v>
      </c>
      <c r="V2086" s="85">
        <f>IF(ISNA(IF(AND(VLOOKUP(CONCATENATE($D2086,$G2086),CSRFinput!$B:$E,4,0)=0,OR(H2086=MappingTables!$C$34,H2086=MappingTables!$C$35)),1,VLOOKUP(CONCATENATE($D2086,$G2086),CSRFinput!$B:$E,4,0))),0,IF(AND(VLOOKUP(CONCATENATE($D2086,$G2086),CSRFinput!$B:$E,4,0)=0,OR(H2086=MappingTables!$C$34,H2086=MappingTables!$C$35)),1,VLOOKUP(CONCATENATE($D2086,$G2086),CSRFinput!$B:$E,4,0)))</f>
        <v>0.054776304963434752</v>
      </c>
      <c r="W2086" s="85">
        <f>IF(B2086="",0,+$T2086*$V2086)</f>
        <v>79.130958712346096</v>
      </c>
      <c r="X2086" s="85">
        <f>IF(B2086="",0,IF(OR(H2086=MappingTables!$C$34,H2086=MappingTables!$C$35),W2086,0))</f>
        <v>0</v>
      </c>
    </row>
    <row r="2087" spans="2:24" s="0" customFormat="0" ht="15">
      <c r="B2087" s="69">
        <v>15493714</v>
      </c>
      <c r="C2087" s="70" t="s">
        <v>2188</v>
      </c>
      <c r="D2087" s="70" t="s">
        <v>1</v>
      </c>
      <c r="E2087" s="70" t="s">
        <v>1</v>
      </c>
      <c r="F2087" s="70"/>
      <c r="G2087" s="70" t="s">
        <v>61</v>
      </c>
      <c r="H2087" s="70" t="s">
        <v>178</v>
      </c>
      <c r="I2087" s="70" t="s">
        <v>181</v>
      </c>
      <c r="J2087" s="71">
        <f>IF(OR(I2087=0,I2087=""),"unrated",VLOOKUP(I2087,MappingTables!$B$19:$C$31,2,FALSE))</f>
        <v>3</v>
      </c>
      <c r="K2087" s="72">
        <v>128.00580420171408</v>
      </c>
      <c r="L2087" s="70">
        <v>1.7398427913434346</v>
      </c>
      <c r="M2087" s="71">
        <f>IF(L2087&lt;1,1,L2087)</f>
        <v>1.7398427913434346</v>
      </c>
      <c r="N2087" s="70" t="s">
        <v>141</v>
      </c>
      <c r="O2087" s="71">
        <f>INDEX(DurClassMapping,MATCH(M2087,MappingTables!$D$4:$D$8,-1),1)</f>
        <v>1</v>
      </c>
      <c r="P2087" s="73">
        <f>IF(M2087=$A$1,1,$M2087-INDEX(MappingTables!$E$4:$E$8,MATCH(O2087,MappingTables!$B$4:$B$8,0)))</f>
        <v>1.7398427913434346</v>
      </c>
      <c r="Q2087" s="71">
        <f>IF(B2087="",0,INDEX(ModelParameters!$D$6:$K$10,MATCH($O2087,ModelParameters!$B$6:$B$10,0),MATCH($J2087,ModelParameters!$D$5:$K$5,0)))</f>
        <v>0.025</v>
      </c>
      <c r="R2087" s="71">
        <f>IF(B2087="",0,INDEX(ModelParameters!$D$13:$K$17,MATCH($O2087,ModelParameters!$B$13:$B$17,0),MATCH($J2087,ModelParameters!$D$5:$K$5,0)))</f>
        <v>0</v>
      </c>
      <c r="S2087" s="160">
        <f>IF(B2087="",0,MIN(IF($N2087="Other Bond TM",ModelParameters!$N$21,1)*(P2087*Q2087+R2087),1))</f>
        <v>0.043496069783585872</v>
      </c>
      <c r="T2087" s="85">
        <f>IF(B2087="",0,$S2087*$K2087)</f>
        <v>5.5677493922617848</v>
      </c>
      <c r="U2087" s="85">
        <f>IF(B2087="",0,IF(OR(H2087=MappingTables!$C$34,H2087=MappingTables!$C$35),T2087,0))</f>
        <v>0</v>
      </c>
      <c r="V2087" s="85">
        <f>IF(ISNA(IF(AND(VLOOKUP(CONCATENATE($D2087,$G2087),CSRFinput!$B:$E,4,0)=0,OR(H2087=MappingTables!$C$34,H2087=MappingTables!$C$35)),1,VLOOKUP(CONCATENATE($D2087,$G2087),CSRFinput!$B:$E,4,0))),0,IF(AND(VLOOKUP(CONCATENATE($D2087,$G2087),CSRFinput!$B:$E,4,0)=0,OR(H2087=MappingTables!$C$34,H2087=MappingTables!$C$35)),1,VLOOKUP(CONCATENATE($D2087,$G2087),CSRFinput!$B:$E,4,0)))</f>
        <v>0.054776304963434752</v>
      </c>
      <c r="W2087" s="85">
        <f>IF(B2087="",0,+$T2087*$V2087)</f>
        <v>0.30498073867051008</v>
      </c>
      <c r="X2087" s="85">
        <f>IF(B2087="",0,IF(OR(H2087=MappingTables!$C$34,H2087=MappingTables!$C$35),W2087,0))</f>
        <v>0</v>
      </c>
    </row>
    <row r="2088" spans="2:24" s="0" customFormat="0" ht="15">
      <c r="B2088" s="69">
        <v>3883655</v>
      </c>
      <c r="C2088" s="70" t="s">
        <v>2189</v>
      </c>
      <c r="D2088" s="70" t="s">
        <v>1</v>
      </c>
      <c r="E2088" s="70" t="s">
        <v>1</v>
      </c>
      <c r="F2088" s="70"/>
      <c r="G2088" s="70" t="s">
        <v>61</v>
      </c>
      <c r="H2088" s="70" t="s">
        <v>178</v>
      </c>
      <c r="I2088" s="70" t="s">
        <v>181</v>
      </c>
      <c r="J2088" s="71">
        <f>IF(OR(I2088=0,I2088=""),"unrated",VLOOKUP(I2088,MappingTables!$B$19:$C$31,2,FALSE))</f>
        <v>3</v>
      </c>
      <c r="K2088" s="72">
        <v>1155.8991944347202</v>
      </c>
      <c r="L2088" s="70">
        <v>0.5773671565742556</v>
      </c>
      <c r="M2088" s="71">
        <f>IF(L2088&lt;1,1,L2088)</f>
        <v>1</v>
      </c>
      <c r="N2088" s="70" t="s">
        <v>141</v>
      </c>
      <c r="O2088" s="71">
        <f>INDEX(DurClassMapping,MATCH(M2088,MappingTables!$D$4:$D$8,-1),1)</f>
        <v>1</v>
      </c>
      <c r="P2088" s="73">
        <f>IF(M2088=$A$1,1,$M2088-INDEX(MappingTables!$E$4:$E$8,MATCH(O2088,MappingTables!$B$4:$B$8,0)))</f>
        <v>1</v>
      </c>
      <c r="Q2088" s="71">
        <f>IF(B2088="",0,INDEX(ModelParameters!$D$6:$K$10,MATCH($O2088,ModelParameters!$B$6:$B$10,0),MATCH($J2088,ModelParameters!$D$5:$K$5,0)))</f>
        <v>0.025</v>
      </c>
      <c r="R2088" s="71">
        <f>IF(B2088="",0,INDEX(ModelParameters!$D$13:$K$17,MATCH($O2088,ModelParameters!$B$13:$B$17,0),MATCH($J2088,ModelParameters!$D$5:$K$5,0)))</f>
        <v>0</v>
      </c>
      <c r="S2088" s="160">
        <f>IF(B2088="",0,MIN(IF($N2088="Other Bond TM",ModelParameters!$N$21,1)*(P2088*Q2088+R2088),1))</f>
        <v>0.025</v>
      </c>
      <c r="T2088" s="85">
        <f>IF(B2088="",0,$S2088*$K2088)</f>
        <v>28.897479860868004</v>
      </c>
      <c r="U2088" s="85">
        <f>IF(B2088="",0,IF(OR(H2088=MappingTables!$C$34,H2088=MappingTables!$C$35),T2088,0))</f>
        <v>0</v>
      </c>
      <c r="V2088" s="85">
        <f>IF(ISNA(IF(AND(VLOOKUP(CONCATENATE($D2088,$G2088),CSRFinput!$B:$E,4,0)=0,OR(H2088=MappingTables!$C$34,H2088=MappingTables!$C$35)),1,VLOOKUP(CONCATENATE($D2088,$G2088),CSRFinput!$B:$E,4,0))),0,IF(AND(VLOOKUP(CONCATENATE($D2088,$G2088),CSRFinput!$B:$E,4,0)=0,OR(H2088=MappingTables!$C$34,H2088=MappingTables!$C$35)),1,VLOOKUP(CONCATENATE($D2088,$G2088),CSRFinput!$B:$E,4,0)))</f>
        <v>0.054776304963434752</v>
      </c>
      <c r="W2088" s="85">
        <f>IF(B2088="",0,+$T2088*$V2088)</f>
        <v>1.5828971695336198</v>
      </c>
      <c r="X2088" s="85">
        <f>IF(B2088="",0,IF(OR(H2088=MappingTables!$C$34,H2088=MappingTables!$C$35),W2088,0))</f>
        <v>0</v>
      </c>
    </row>
    <row r="2089" spans="2:24" s="0" customFormat="0" ht="15">
      <c r="B2089" s="69">
        <v>7524533</v>
      </c>
      <c r="C2089" s="70" t="s">
        <v>2190</v>
      </c>
      <c r="D2089" s="70" t="s">
        <v>1</v>
      </c>
      <c r="E2089" s="70" t="s">
        <v>1</v>
      </c>
      <c r="F2089" s="70"/>
      <c r="G2089" s="70" t="s">
        <v>61</v>
      </c>
      <c r="H2089" s="70" t="s">
        <v>178</v>
      </c>
      <c r="I2089" s="70" t="s">
        <v>179</v>
      </c>
      <c r="J2089" s="71">
        <f>IF(OR(I2089=0,I2089=""),"unrated",VLOOKUP(I2089,MappingTables!$B$19:$C$31,2,FALSE))</f>
        <v>4</v>
      </c>
      <c r="K2089" s="72">
        <v>214.77377474646876</v>
      </c>
      <c r="L2089" s="70">
        <v>2.3302491385961824</v>
      </c>
      <c r="M2089" s="71">
        <f>IF(L2089&lt;1,1,L2089)</f>
        <v>2.3302491385961824</v>
      </c>
      <c r="N2089" s="70" t="s">
        <v>141</v>
      </c>
      <c r="O2089" s="71">
        <f>INDEX(DurClassMapping,MATCH(M2089,MappingTables!$D$4:$D$8,-1),1)</f>
        <v>1</v>
      </c>
      <c r="P2089" s="73">
        <f>IF(M2089=$A$1,1,$M2089-INDEX(MappingTables!$E$4:$E$8,MATCH(O2089,MappingTables!$B$4:$B$8,0)))</f>
        <v>2.3302491385961824</v>
      </c>
      <c r="Q2089" s="71">
        <f>IF(B2089="",0,INDEX(ModelParameters!$D$6:$K$10,MATCH($O2089,ModelParameters!$B$6:$B$10,0),MATCH($J2089,ModelParameters!$D$5:$K$5,0)))</f>
        <v>0.045</v>
      </c>
      <c r="R2089" s="71">
        <f>IF(B2089="",0,INDEX(ModelParameters!$D$13:$K$17,MATCH($O2089,ModelParameters!$B$13:$B$17,0),MATCH($J2089,ModelParameters!$D$5:$K$5,0)))</f>
        <v>0</v>
      </c>
      <c r="S2089" s="160">
        <f>IF(B2089="",0,MIN(IF($N2089="Other Bond TM",ModelParameters!$N$21,1)*(P2089*Q2089+R2089),1))</f>
        <v>0.1048612112368282</v>
      </c>
      <c r="T2089" s="85">
        <f>IF(B2089="",0,$S2089*$K2089)</f>
        <v>22.52143816182042</v>
      </c>
      <c r="U2089" s="85">
        <f>IF(B2089="",0,IF(OR(H2089=MappingTables!$C$34,H2089=MappingTables!$C$35),T2089,0))</f>
        <v>0</v>
      </c>
      <c r="V2089" s="85">
        <f>IF(ISNA(IF(AND(VLOOKUP(CONCATENATE($D2089,$G2089),CSRFinput!$B:$E,4,0)=0,OR(H2089=MappingTables!$C$34,H2089=MappingTables!$C$35)),1,VLOOKUP(CONCATENATE($D2089,$G2089),CSRFinput!$B:$E,4,0))),0,IF(AND(VLOOKUP(CONCATENATE($D2089,$G2089),CSRFinput!$B:$E,4,0)=0,OR(H2089=MappingTables!$C$34,H2089=MappingTables!$C$35)),1,VLOOKUP(CONCATENATE($D2089,$G2089),CSRFinput!$B:$E,4,0)))</f>
        <v>0.054776304963434752</v>
      </c>
      <c r="W2089" s="85">
        <f>IF(B2089="",0,+$T2089*$V2089)</f>
        <v>1.2336411649670128</v>
      </c>
      <c r="X2089" s="85">
        <f>IF(B2089="",0,IF(OR(H2089=MappingTables!$C$34,H2089=MappingTables!$C$35),W2089,0))</f>
        <v>0</v>
      </c>
    </row>
    <row r="2090" spans="2:24" s="0" customFormat="0" ht="15">
      <c r="B2090" s="69">
        <v>19567767</v>
      </c>
      <c r="C2090" s="70" t="s">
        <v>2099</v>
      </c>
      <c r="D2090" s="70" t="s">
        <v>1</v>
      </c>
      <c r="E2090" s="70" t="s">
        <v>1</v>
      </c>
      <c r="F2090" s="70"/>
      <c r="G2090" s="70" t="s">
        <v>61</v>
      </c>
      <c r="H2090" s="70" t="s">
        <v>178</v>
      </c>
      <c r="I2090" s="70" t="s">
        <v>188</v>
      </c>
      <c r="J2090" s="71">
        <f>IF(OR(I2090=0,I2090=""),"unrated",VLOOKUP(I2090,MappingTables!$B$19:$C$31,2,FALSE))</f>
        <v>2</v>
      </c>
      <c r="K2090" s="72">
        <v>0.057931572936498264</v>
      </c>
      <c r="L2090" s="70">
        <v>0.60274369222286064</v>
      </c>
      <c r="M2090" s="71">
        <f>IF(L2090&lt;1,1,L2090)</f>
        <v>1</v>
      </c>
      <c r="N2090" s="70" t="s">
        <v>141</v>
      </c>
      <c r="O2090" s="71">
        <f>INDEX(DurClassMapping,MATCH(M2090,MappingTables!$D$4:$D$8,-1),1)</f>
        <v>1</v>
      </c>
      <c r="P2090" s="73">
        <f>IF(M2090=$A$1,1,$M2090-INDEX(MappingTables!$E$4:$E$8,MATCH(O2090,MappingTables!$B$4:$B$8,0)))</f>
        <v>1</v>
      </c>
      <c r="Q2090" s="71">
        <f>IF(B2090="",0,INDEX(ModelParameters!$D$6:$K$10,MATCH($O2090,ModelParameters!$B$6:$B$10,0),MATCH($J2090,ModelParameters!$D$5:$K$5,0)))</f>
        <v>0.013999999999999998</v>
      </c>
      <c r="R2090" s="71">
        <f>IF(B2090="",0,INDEX(ModelParameters!$D$13:$K$17,MATCH($O2090,ModelParameters!$B$13:$B$17,0),MATCH($J2090,ModelParameters!$D$5:$K$5,0)))</f>
        <v>0</v>
      </c>
      <c r="S2090" s="160">
        <f>IF(B2090="",0,MIN(IF($N2090="Other Bond TM",ModelParameters!$N$21,1)*(P2090*Q2090+R2090),1))</f>
        <v>0.013999999999999998</v>
      </c>
      <c r="T2090" s="85">
        <f>IF(B2090="",0,$S2090*$K2090)</f>
        <v>0.00081104202111097552</v>
      </c>
      <c r="U2090" s="85">
        <f>IF(B2090="",0,IF(OR(H2090=MappingTables!$C$34,H2090=MappingTables!$C$35),T2090,0))</f>
        <v>0</v>
      </c>
      <c r="V2090" s="85">
        <f>IF(ISNA(IF(AND(VLOOKUP(CONCATENATE($D2090,$G2090),CSRFinput!$B:$E,4,0)=0,OR(H2090=MappingTables!$C$34,H2090=MappingTables!$C$35)),1,VLOOKUP(CONCATENATE($D2090,$G2090),CSRFinput!$B:$E,4,0))),0,IF(AND(VLOOKUP(CONCATENATE($D2090,$G2090),CSRFinput!$B:$E,4,0)=0,OR(H2090=MappingTables!$C$34,H2090=MappingTables!$C$35)),1,VLOOKUP(CONCATENATE($D2090,$G2090),CSRFinput!$B:$E,4,0)))</f>
        <v>0.054776304963434752</v>
      </c>
      <c r="W2090" s="85">
        <f>IF(B2090="",0,+$T2090*$V2090)</f>
        <v>0.000044425885086535288</v>
      </c>
      <c r="X2090" s="85">
        <f>IF(B2090="",0,IF(OR(H2090=MappingTables!$C$34,H2090=MappingTables!$C$35),W2090,0))</f>
        <v>0</v>
      </c>
    </row>
    <row r="2091" spans="2:24" s="0" customFormat="0" ht="15">
      <c r="B2091" s="69">
        <v>4318141</v>
      </c>
      <c r="C2091" s="70" t="s">
        <v>1826</v>
      </c>
      <c r="D2091" s="70" t="s">
        <v>1</v>
      </c>
      <c r="E2091" s="70" t="s">
        <v>1</v>
      </c>
      <c r="F2091" s="70"/>
      <c r="G2091" s="70" t="s">
        <v>61</v>
      </c>
      <c r="H2091" s="70" t="s">
        <v>178</v>
      </c>
      <c r="I2091" s="70" t="s">
        <v>181</v>
      </c>
      <c r="J2091" s="71">
        <f>IF(OR(I2091=0,I2091=""),"unrated",VLOOKUP(I2091,MappingTables!$B$19:$C$31,2,FALSE))</f>
        <v>3</v>
      </c>
      <c r="K2091" s="72">
        <v>2.7368600429345444</v>
      </c>
      <c r="L2091" s="70">
        <v>1.0813569586375806</v>
      </c>
      <c r="M2091" s="71">
        <f>IF(L2091&lt;1,1,L2091)</f>
        <v>1.0813569586375806</v>
      </c>
      <c r="N2091" s="70" t="s">
        <v>141</v>
      </c>
      <c r="O2091" s="71">
        <f>INDEX(DurClassMapping,MATCH(M2091,MappingTables!$D$4:$D$8,-1),1)</f>
        <v>1</v>
      </c>
      <c r="P2091" s="73">
        <f>IF(M2091=$A$1,1,$M2091-INDEX(MappingTables!$E$4:$E$8,MATCH(O2091,MappingTables!$B$4:$B$8,0)))</f>
        <v>1.0813569586375806</v>
      </c>
      <c r="Q2091" s="71">
        <f>IF(B2091="",0,INDEX(ModelParameters!$D$6:$K$10,MATCH($O2091,ModelParameters!$B$6:$B$10,0),MATCH($J2091,ModelParameters!$D$5:$K$5,0)))</f>
        <v>0.025</v>
      </c>
      <c r="R2091" s="71">
        <f>IF(B2091="",0,INDEX(ModelParameters!$D$13:$K$17,MATCH($O2091,ModelParameters!$B$13:$B$17,0),MATCH($J2091,ModelParameters!$D$5:$K$5,0)))</f>
        <v>0</v>
      </c>
      <c r="S2091" s="160">
        <f>IF(B2091="",0,MIN(IF($N2091="Other Bond TM",ModelParameters!$N$21,1)*(P2091*Q2091+R2091),1))</f>
        <v>0.027033923965939516</v>
      </c>
      <c r="T2091" s="85">
        <f>IF(B2091="",0,$S2091*$K2091)</f>
        <v>0.073988066306110432</v>
      </c>
      <c r="U2091" s="85">
        <f>IF(B2091="",0,IF(OR(H2091=MappingTables!$C$34,H2091=MappingTables!$C$35),T2091,0))</f>
        <v>0</v>
      </c>
      <c r="V2091" s="85">
        <f>IF(ISNA(IF(AND(VLOOKUP(CONCATENATE($D2091,$G2091),CSRFinput!$B:$E,4,0)=0,OR(H2091=MappingTables!$C$34,H2091=MappingTables!$C$35)),1,VLOOKUP(CONCATENATE($D2091,$G2091),CSRFinput!$B:$E,4,0))),0,IF(AND(VLOOKUP(CONCATENATE($D2091,$G2091),CSRFinput!$B:$E,4,0)=0,OR(H2091=MappingTables!$C$34,H2091=MappingTables!$C$35)),1,VLOOKUP(CONCATENATE($D2091,$G2091),CSRFinput!$B:$E,4,0)))</f>
        <v>0.054776304963434752</v>
      </c>
      <c r="W2091" s="85">
        <f>IF(B2091="",0,+$T2091*$V2091)</f>
        <v>0.0040527928836383368</v>
      </c>
      <c r="X2091" s="85">
        <f>IF(B2091="",0,IF(OR(H2091=MappingTables!$C$34,H2091=MappingTables!$C$35),W2091,0))</f>
        <v>0</v>
      </c>
    </row>
    <row r="2092" spans="2:24" s="0" customFormat="0" ht="15">
      <c r="B2092" s="69">
        <v>19481667</v>
      </c>
      <c r="C2092" s="70" t="s">
        <v>2191</v>
      </c>
      <c r="D2092" s="70" t="s">
        <v>1</v>
      </c>
      <c r="E2092" s="70" t="s">
        <v>1</v>
      </c>
      <c r="F2092" s="70"/>
      <c r="G2092" s="70" t="s">
        <v>61</v>
      </c>
      <c r="H2092" s="70" t="s">
        <v>178</v>
      </c>
      <c r="I2092" s="70" t="s">
        <v>181</v>
      </c>
      <c r="J2092" s="71">
        <f>IF(OR(I2092=0,I2092=""),"unrated",VLOOKUP(I2092,MappingTables!$B$19:$C$31,2,FALSE))</f>
        <v>3</v>
      </c>
      <c r="K2092" s="72">
        <v>2076.4867600347996</v>
      </c>
      <c r="L2092" s="70">
        <v>15.500759319238728</v>
      </c>
      <c r="M2092" s="71">
        <f>IF(L2092&lt;1,1,L2092)</f>
        <v>15.500759319238728</v>
      </c>
      <c r="N2092" s="70" t="s">
        <v>141</v>
      </c>
      <c r="O2092" s="71">
        <f>INDEX(DurClassMapping,MATCH(M2092,MappingTables!$D$4:$D$8,-1),1)</f>
        <v>4</v>
      </c>
      <c r="P2092" s="73">
        <f>IF(M2092=$A$1,1,$M2092-INDEX(MappingTables!$E$4:$E$8,MATCH(O2092,MappingTables!$B$4:$B$8,0)))</f>
        <v>0.50075931923872832</v>
      </c>
      <c r="Q2092" s="71">
        <f>IF(B2092="",0,INDEX(ModelParameters!$D$6:$K$10,MATCH($O2092,ModelParameters!$B$6:$B$10,0),MATCH($J2092,ModelParameters!$D$5:$K$5,0)))</f>
        <v>0.01</v>
      </c>
      <c r="R2092" s="71">
        <f>IF(B2092="",0,INDEX(ModelParameters!$D$13:$K$17,MATCH($O2092,ModelParameters!$B$13:$B$17,0),MATCH($J2092,ModelParameters!$D$5:$K$5,0)))</f>
        <v>0.25</v>
      </c>
      <c r="S2092" s="160">
        <f>IF(B2092="",0,MIN(IF($N2092="Other Bond TM",ModelParameters!$N$21,1)*(P2092*Q2092+R2092),1))</f>
        <v>0.25500759319238732</v>
      </c>
      <c r="T2092" s="85">
        <f>IF(B2092="",0,$S2092*$K2092)</f>
        <v>529.51989097233264</v>
      </c>
      <c r="U2092" s="85">
        <f>IF(B2092="",0,IF(OR(H2092=MappingTables!$C$34,H2092=MappingTables!$C$35),T2092,0))</f>
        <v>0</v>
      </c>
      <c r="V2092" s="85">
        <f>IF(ISNA(IF(AND(VLOOKUP(CONCATENATE($D2092,$G2092),CSRFinput!$B:$E,4,0)=0,OR(H2092=MappingTables!$C$34,H2092=MappingTables!$C$35)),1,VLOOKUP(CONCATENATE($D2092,$G2092),CSRFinput!$B:$E,4,0))),0,IF(AND(VLOOKUP(CONCATENATE($D2092,$G2092),CSRFinput!$B:$E,4,0)=0,OR(H2092=MappingTables!$C$34,H2092=MappingTables!$C$35)),1,VLOOKUP(CONCATENATE($D2092,$G2092),CSRFinput!$B:$E,4,0)))</f>
        <v>0.054776304963434752</v>
      </c>
      <c r="W2092" s="85">
        <f>IF(B2092="",0,+$T2092*$V2092)</f>
        <v>29.005143032105212</v>
      </c>
      <c r="X2092" s="85">
        <f>IF(B2092="",0,IF(OR(H2092=MappingTables!$C$34,H2092=MappingTables!$C$35),W2092,0))</f>
        <v>0</v>
      </c>
    </row>
    <row r="2093" spans="2:24" s="0" customFormat="0" ht="15">
      <c r="B2093" s="69">
        <v>17170631</v>
      </c>
      <c r="C2093" s="70" t="s">
        <v>2192</v>
      </c>
      <c r="D2093" s="70" t="s">
        <v>1</v>
      </c>
      <c r="E2093" s="70" t="s">
        <v>1</v>
      </c>
      <c r="F2093" s="70"/>
      <c r="G2093" s="70" t="s">
        <v>61</v>
      </c>
      <c r="H2093" s="70" t="s">
        <v>178</v>
      </c>
      <c r="I2093" s="70" t="s">
        <v>184</v>
      </c>
      <c r="J2093" s="71">
        <f>IF(OR(I2093=0,I2093=""),"unrated",VLOOKUP(I2093,MappingTables!$B$19:$C$31,2,FALSE))</f>
        <v>5</v>
      </c>
      <c r="K2093" s="72">
        <v>5592.6304179557152</v>
      </c>
      <c r="L2093" s="70">
        <v>6.3596320908684328</v>
      </c>
      <c r="M2093" s="71">
        <f>IF(L2093&lt;1,1,L2093)</f>
        <v>6.3596320908684328</v>
      </c>
      <c r="N2093" s="70" t="s">
        <v>141</v>
      </c>
      <c r="O2093" s="71">
        <f>INDEX(DurClassMapping,MATCH(M2093,MappingTables!$D$4:$D$8,-1),1)</f>
        <v>2</v>
      </c>
      <c r="P2093" s="73">
        <f>IF(M2093=$A$1,1,$M2093-INDEX(MappingTables!$E$4:$E$8,MATCH(O2093,MappingTables!$B$4:$B$8,0)))</f>
        <v>1.3596320908684332</v>
      </c>
      <c r="Q2093" s="71">
        <f>IF(B2093="",0,INDEX(ModelParameters!$D$6:$K$10,MATCH($O2093,ModelParameters!$B$6:$B$10,0),MATCH($J2093,ModelParameters!$D$5:$K$5,0)))</f>
        <v>0.042</v>
      </c>
      <c r="R2093" s="71">
        <f>IF(B2093="",0,INDEX(ModelParameters!$D$13:$K$17,MATCH($O2093,ModelParameters!$B$13:$B$17,0),MATCH($J2093,ModelParameters!$D$5:$K$5,0)))</f>
        <v>0.375</v>
      </c>
      <c r="S2093" s="160">
        <f>IF(B2093="",0,MIN(IF($N2093="Other Bond TM",ModelParameters!$N$21,1)*(P2093*Q2093+R2093),1))</f>
        <v>0.43210454781647424</v>
      </c>
      <c r="T2093" s="85">
        <f>IF(B2093="",0,$S2093*$K2093)</f>
        <v>2416.6010378554136</v>
      </c>
      <c r="U2093" s="85">
        <f>IF(B2093="",0,IF(OR(H2093=MappingTables!$C$34,H2093=MappingTables!$C$35),T2093,0))</f>
        <v>0</v>
      </c>
      <c r="V2093" s="85">
        <f>IF(ISNA(IF(AND(VLOOKUP(CONCATENATE($D2093,$G2093),CSRFinput!$B:$E,4,0)=0,OR(H2093=MappingTables!$C$34,H2093=MappingTables!$C$35)),1,VLOOKUP(CONCATENATE($D2093,$G2093),CSRFinput!$B:$E,4,0))),0,IF(AND(VLOOKUP(CONCATENATE($D2093,$G2093),CSRFinput!$B:$E,4,0)=0,OR(H2093=MappingTables!$C$34,H2093=MappingTables!$C$35)),1,VLOOKUP(CONCATENATE($D2093,$G2093),CSRFinput!$B:$E,4,0)))</f>
        <v>0.054776304963434752</v>
      </c>
      <c r="W2093" s="85">
        <f>IF(B2093="",0,+$T2093*$V2093)</f>
        <v>132.37247542452108</v>
      </c>
      <c r="X2093" s="85">
        <f>IF(B2093="",0,IF(OR(H2093=MappingTables!$C$34,H2093=MappingTables!$C$35),W2093,0))</f>
        <v>0</v>
      </c>
    </row>
    <row r="2094" spans="2:24" s="0" customFormat="0" ht="15">
      <c r="B2094" s="69">
        <v>22323049</v>
      </c>
      <c r="C2094" s="70" t="s">
        <v>1206</v>
      </c>
      <c r="D2094" s="70" t="s">
        <v>1</v>
      </c>
      <c r="E2094" s="70" t="s">
        <v>1</v>
      </c>
      <c r="F2094" s="70"/>
      <c r="G2094" s="70" t="s">
        <v>61</v>
      </c>
      <c r="H2094" s="70" t="s">
        <v>178</v>
      </c>
      <c r="I2094" s="70" t="s">
        <v>181</v>
      </c>
      <c r="J2094" s="71">
        <f>IF(OR(I2094=0,I2094=""),"unrated",VLOOKUP(I2094,MappingTables!$B$19:$C$31,2,FALSE))</f>
        <v>3</v>
      </c>
      <c r="K2094" s="72">
        <v>56.350550296586344</v>
      </c>
      <c r="L2094" s="70">
        <v>14.656335075408056</v>
      </c>
      <c r="M2094" s="71">
        <f>IF(L2094&lt;1,1,L2094)</f>
        <v>14.656335075408056</v>
      </c>
      <c r="N2094" s="70" t="s">
        <v>141</v>
      </c>
      <c r="O2094" s="71">
        <f>INDEX(DurClassMapping,MATCH(M2094,MappingTables!$D$4:$D$8,-1),1)</f>
        <v>3</v>
      </c>
      <c r="P2094" s="73">
        <f>IF(M2094=$A$1,1,$M2094-INDEX(MappingTables!$E$4:$E$8,MATCH(O2094,MappingTables!$B$4:$B$8,0)))</f>
        <v>4.6563350754080552</v>
      </c>
      <c r="Q2094" s="71">
        <f>IF(B2094="",0,INDEX(ModelParameters!$D$6:$K$10,MATCH($O2094,ModelParameters!$B$6:$B$10,0),MATCH($J2094,ModelParameters!$D$5:$K$5,0)))</f>
        <v>0.01</v>
      </c>
      <c r="R2094" s="71">
        <f>IF(B2094="",0,INDEX(ModelParameters!$D$13:$K$17,MATCH($O2094,ModelParameters!$B$13:$B$17,0),MATCH($J2094,ModelParameters!$D$5:$K$5,0)))</f>
        <v>0.2</v>
      </c>
      <c r="S2094" s="160">
        <f>IF(B2094="",0,MIN(IF($N2094="Other Bond TM",ModelParameters!$N$21,1)*(P2094*Q2094+R2094),1))</f>
        <v>0.24656335075408056</v>
      </c>
      <c r="T2094" s="85">
        <f>IF(B2094="",0,$S2094*$K2094)</f>
        <v>13.893980497962676</v>
      </c>
      <c r="U2094" s="85">
        <f>IF(B2094="",0,IF(OR(H2094=MappingTables!$C$34,H2094=MappingTables!$C$35),T2094,0))</f>
        <v>0</v>
      </c>
      <c r="V2094" s="85">
        <f>IF(ISNA(IF(AND(VLOOKUP(CONCATENATE($D2094,$G2094),CSRFinput!$B:$E,4,0)=0,OR(H2094=MappingTables!$C$34,H2094=MappingTables!$C$35)),1,VLOOKUP(CONCATENATE($D2094,$G2094),CSRFinput!$B:$E,4,0))),0,IF(AND(VLOOKUP(CONCATENATE($D2094,$G2094),CSRFinput!$B:$E,4,0)=0,OR(H2094=MappingTables!$C$34,H2094=MappingTables!$C$35)),1,VLOOKUP(CONCATENATE($D2094,$G2094),CSRFinput!$B:$E,4,0)))</f>
        <v>0.054776304963434752</v>
      </c>
      <c r="W2094" s="85">
        <f>IF(B2094="",0,+$T2094*$V2094)</f>
        <v>0.76106091291241856</v>
      </c>
      <c r="X2094" s="85">
        <f>IF(B2094="",0,IF(OR(H2094=MappingTables!$C$34,H2094=MappingTables!$C$35),W2094,0))</f>
        <v>0</v>
      </c>
    </row>
    <row r="2095" spans="2:24" s="0" customFormat="0" ht="15">
      <c r="B2095" s="69">
        <v>17481459</v>
      </c>
      <c r="C2095" s="70" t="s">
        <v>2193</v>
      </c>
      <c r="D2095" s="70" t="s">
        <v>1</v>
      </c>
      <c r="E2095" s="70" t="s">
        <v>1</v>
      </c>
      <c r="F2095" s="70"/>
      <c r="G2095" s="70" t="s">
        <v>61</v>
      </c>
      <c r="H2095" s="70" t="s">
        <v>178</v>
      </c>
      <c r="I2095" s="70" t="s">
        <v>188</v>
      </c>
      <c r="J2095" s="71">
        <f>IF(OR(I2095=0,I2095=""),"unrated",VLOOKUP(I2095,MappingTables!$B$19:$C$31,2,FALSE))</f>
        <v>2</v>
      </c>
      <c r="K2095" s="72">
        <v>1336.4610805998298</v>
      </c>
      <c r="L2095" s="70">
        <v>0.57699588723570464</v>
      </c>
      <c r="M2095" s="71">
        <f>IF(L2095&lt;1,1,L2095)</f>
        <v>1</v>
      </c>
      <c r="N2095" s="70" t="s">
        <v>141</v>
      </c>
      <c r="O2095" s="71">
        <f>INDEX(DurClassMapping,MATCH(M2095,MappingTables!$D$4:$D$8,-1),1)</f>
        <v>1</v>
      </c>
      <c r="P2095" s="73">
        <f>IF(M2095=$A$1,1,$M2095-INDEX(MappingTables!$E$4:$E$8,MATCH(O2095,MappingTables!$B$4:$B$8,0)))</f>
        <v>1</v>
      </c>
      <c r="Q2095" s="71">
        <f>IF(B2095="",0,INDEX(ModelParameters!$D$6:$K$10,MATCH($O2095,ModelParameters!$B$6:$B$10,0),MATCH($J2095,ModelParameters!$D$5:$K$5,0)))</f>
        <v>0.013999999999999998</v>
      </c>
      <c r="R2095" s="71">
        <f>IF(B2095="",0,INDEX(ModelParameters!$D$13:$K$17,MATCH($O2095,ModelParameters!$B$13:$B$17,0),MATCH($J2095,ModelParameters!$D$5:$K$5,0)))</f>
        <v>0</v>
      </c>
      <c r="S2095" s="160">
        <f>IF(B2095="",0,MIN(IF($N2095="Other Bond TM",ModelParameters!$N$21,1)*(P2095*Q2095+R2095),1))</f>
        <v>0.013999999999999998</v>
      </c>
      <c r="T2095" s="85">
        <f>IF(B2095="",0,$S2095*$K2095)</f>
        <v>18.710455128397616</v>
      </c>
      <c r="U2095" s="85">
        <f>IF(B2095="",0,IF(OR(H2095=MappingTables!$C$34,H2095=MappingTables!$C$35),T2095,0))</f>
        <v>0</v>
      </c>
      <c r="V2095" s="85">
        <f>IF(ISNA(IF(AND(VLOOKUP(CONCATENATE($D2095,$G2095),CSRFinput!$B:$E,4,0)=0,OR(H2095=MappingTables!$C$34,H2095=MappingTables!$C$35)),1,VLOOKUP(CONCATENATE($D2095,$G2095),CSRFinput!$B:$E,4,0))),0,IF(AND(VLOOKUP(CONCATENATE($D2095,$G2095),CSRFinput!$B:$E,4,0)=0,OR(H2095=MappingTables!$C$34,H2095=MappingTables!$C$35)),1,VLOOKUP(CONCATENATE($D2095,$G2095),CSRFinput!$B:$E,4,0)))</f>
        <v>0.054776304963434752</v>
      </c>
      <c r="W2095" s="85">
        <f>IF(B2095="",0,+$T2095*$V2095)</f>
        <v>1.0248895961177696</v>
      </c>
      <c r="X2095" s="85">
        <f>IF(B2095="",0,IF(OR(H2095=MappingTables!$C$34,H2095=MappingTables!$C$35),W2095,0))</f>
        <v>0</v>
      </c>
    </row>
    <row r="2096" spans="2:24" s="0" customFormat="0" ht="15">
      <c r="B2096" s="69">
        <v>17992744</v>
      </c>
      <c r="C2096" s="70" t="s">
        <v>904</v>
      </c>
      <c r="D2096" s="70" t="s">
        <v>1</v>
      </c>
      <c r="E2096" s="70" t="s">
        <v>1</v>
      </c>
      <c r="F2096" s="70"/>
      <c r="G2096" s="70" t="s">
        <v>61</v>
      </c>
      <c r="H2096" s="70" t="s">
        <v>178</v>
      </c>
      <c r="I2096" s="70" t="s">
        <v>184</v>
      </c>
      <c r="J2096" s="71">
        <f>IF(OR(I2096=0,I2096=""),"unrated",VLOOKUP(I2096,MappingTables!$B$19:$C$31,2,FALSE))</f>
        <v>5</v>
      </c>
      <c r="K2096" s="72">
        <v>27.225524402813976</v>
      </c>
      <c r="L2096" s="70">
        <v>0.087675507736543776</v>
      </c>
      <c r="M2096" s="71">
        <f>IF(L2096&lt;1,1,L2096)</f>
        <v>1</v>
      </c>
      <c r="N2096" s="70" t="s">
        <v>141</v>
      </c>
      <c r="O2096" s="71">
        <f>INDEX(DurClassMapping,MATCH(M2096,MappingTables!$D$4:$D$8,-1),1)</f>
        <v>1</v>
      </c>
      <c r="P2096" s="73">
        <f>IF(M2096=$A$1,1,$M2096-INDEX(MappingTables!$E$4:$E$8,MATCH(O2096,MappingTables!$B$4:$B$8,0)))</f>
        <v>1</v>
      </c>
      <c r="Q2096" s="71">
        <f>IF(B2096="",0,INDEX(ModelParameters!$D$6:$K$10,MATCH($O2096,ModelParameters!$B$6:$B$10,0),MATCH($J2096,ModelParameters!$D$5:$K$5,0)))</f>
        <v>0.075</v>
      </c>
      <c r="R2096" s="71">
        <f>IF(B2096="",0,INDEX(ModelParameters!$D$13:$K$17,MATCH($O2096,ModelParameters!$B$13:$B$17,0),MATCH($J2096,ModelParameters!$D$5:$K$5,0)))</f>
        <v>0</v>
      </c>
      <c r="S2096" s="160">
        <f>IF(B2096="",0,MIN(IF($N2096="Other Bond TM",ModelParameters!$N$21,1)*(P2096*Q2096+R2096),1))</f>
        <v>0.075</v>
      </c>
      <c r="T2096" s="85">
        <f>IF(B2096="",0,$S2096*$K2096)</f>
        <v>2.041914330211048</v>
      </c>
      <c r="U2096" s="85">
        <f>IF(B2096="",0,IF(OR(H2096=MappingTables!$C$34,H2096=MappingTables!$C$35),T2096,0))</f>
        <v>0</v>
      </c>
      <c r="V2096" s="85">
        <f>IF(ISNA(IF(AND(VLOOKUP(CONCATENATE($D2096,$G2096),CSRFinput!$B:$E,4,0)=0,OR(H2096=MappingTables!$C$34,H2096=MappingTables!$C$35)),1,VLOOKUP(CONCATENATE($D2096,$G2096),CSRFinput!$B:$E,4,0))),0,IF(AND(VLOOKUP(CONCATENATE($D2096,$G2096),CSRFinput!$B:$E,4,0)=0,OR(H2096=MappingTables!$C$34,H2096=MappingTables!$C$35)),1,VLOOKUP(CONCATENATE($D2096,$G2096),CSRFinput!$B:$E,4,0)))</f>
        <v>0.054776304963434752</v>
      </c>
      <c r="W2096" s="85">
        <f>IF(B2096="",0,+$T2096*$V2096)</f>
        <v>0.11184852206084798</v>
      </c>
      <c r="X2096" s="85">
        <f>IF(B2096="",0,IF(OR(H2096=MappingTables!$C$34,H2096=MappingTables!$C$35),W2096,0))</f>
        <v>0</v>
      </c>
    </row>
    <row r="2097" spans="2:24" s="0" customFormat="0" ht="15">
      <c r="B2097" s="69">
        <v>11645329</v>
      </c>
      <c r="C2097" s="70" t="s">
        <v>2194</v>
      </c>
      <c r="D2097" s="70" t="s">
        <v>1</v>
      </c>
      <c r="E2097" s="70" t="s">
        <v>1</v>
      </c>
      <c r="F2097" s="70"/>
      <c r="G2097" s="70" t="s">
        <v>61</v>
      </c>
      <c r="H2097" s="70" t="s">
        <v>178</v>
      </c>
      <c r="I2097" s="70" t="s">
        <v>181</v>
      </c>
      <c r="J2097" s="71">
        <f>IF(OR(I2097=0,I2097=""),"unrated",VLOOKUP(I2097,MappingTables!$B$19:$C$31,2,FALSE))</f>
        <v>3</v>
      </c>
      <c r="K2097" s="72">
        <v>4085.80114801062</v>
      </c>
      <c r="L2097" s="70">
        <v>0.63312481376621456</v>
      </c>
      <c r="M2097" s="71">
        <f>IF(L2097&lt;1,1,L2097)</f>
        <v>1</v>
      </c>
      <c r="N2097" s="70" t="s">
        <v>141</v>
      </c>
      <c r="O2097" s="71">
        <f>INDEX(DurClassMapping,MATCH(M2097,MappingTables!$D$4:$D$8,-1),1)</f>
        <v>1</v>
      </c>
      <c r="P2097" s="73">
        <f>IF(M2097=$A$1,1,$M2097-INDEX(MappingTables!$E$4:$E$8,MATCH(O2097,MappingTables!$B$4:$B$8,0)))</f>
        <v>1</v>
      </c>
      <c r="Q2097" s="71">
        <f>IF(B2097="",0,INDEX(ModelParameters!$D$6:$K$10,MATCH($O2097,ModelParameters!$B$6:$B$10,0),MATCH($J2097,ModelParameters!$D$5:$K$5,0)))</f>
        <v>0.025</v>
      </c>
      <c r="R2097" s="71">
        <f>IF(B2097="",0,INDEX(ModelParameters!$D$13:$K$17,MATCH($O2097,ModelParameters!$B$13:$B$17,0),MATCH($J2097,ModelParameters!$D$5:$K$5,0)))</f>
        <v>0</v>
      </c>
      <c r="S2097" s="160">
        <f>IF(B2097="",0,MIN(IF($N2097="Other Bond TM",ModelParameters!$N$21,1)*(P2097*Q2097+R2097),1))</f>
        <v>0.025</v>
      </c>
      <c r="T2097" s="85">
        <f>IF(B2097="",0,$S2097*$K2097)</f>
        <v>102.1450287002655</v>
      </c>
      <c r="U2097" s="85">
        <f>IF(B2097="",0,IF(OR(H2097=MappingTables!$C$34,H2097=MappingTables!$C$35),T2097,0))</f>
        <v>0</v>
      </c>
      <c r="V2097" s="85">
        <f>IF(ISNA(IF(AND(VLOOKUP(CONCATENATE($D2097,$G2097),CSRFinput!$B:$E,4,0)=0,OR(H2097=MappingTables!$C$34,H2097=MappingTables!$C$35)),1,VLOOKUP(CONCATENATE($D2097,$G2097),CSRFinput!$B:$E,4,0))),0,IF(AND(VLOOKUP(CONCATENATE($D2097,$G2097),CSRFinput!$B:$E,4,0)=0,OR(H2097=MappingTables!$C$34,H2097=MappingTables!$C$35)),1,VLOOKUP(CONCATENATE($D2097,$G2097),CSRFinput!$B:$E,4,0)))</f>
        <v>0.054776304963434752</v>
      </c>
      <c r="W2097" s="85">
        <f>IF(B2097="",0,+$T2097*$V2097)</f>
        <v>5.5951272425845376</v>
      </c>
      <c r="X2097" s="85">
        <f>IF(B2097="",0,IF(OR(H2097=MappingTables!$C$34,H2097=MappingTables!$C$35),W2097,0))</f>
        <v>0</v>
      </c>
    </row>
    <row r="2098" spans="2:24" s="0" customFormat="0" ht="15">
      <c r="B2098" s="69">
        <v>19216264</v>
      </c>
      <c r="C2098" s="70" t="s">
        <v>1833</v>
      </c>
      <c r="D2098" s="70" t="s">
        <v>1</v>
      </c>
      <c r="E2098" s="70" t="s">
        <v>1</v>
      </c>
      <c r="F2098" s="70"/>
      <c r="G2098" s="70" t="s">
        <v>61</v>
      </c>
      <c r="H2098" s="70" t="s">
        <v>178</v>
      </c>
      <c r="I2098" s="70" t="s">
        <v>188</v>
      </c>
      <c r="J2098" s="71">
        <f>IF(OR(I2098=0,I2098=""),"unrated",VLOOKUP(I2098,MappingTables!$B$19:$C$31,2,FALSE))</f>
        <v>2</v>
      </c>
      <c r="K2098" s="72">
        <v>38.410010461502264</v>
      </c>
      <c r="L2098" s="70">
        <v>0.09588963369215896</v>
      </c>
      <c r="M2098" s="71">
        <f>IF(L2098&lt;1,1,L2098)</f>
        <v>1</v>
      </c>
      <c r="N2098" s="70" t="s">
        <v>141</v>
      </c>
      <c r="O2098" s="71">
        <f>INDEX(DurClassMapping,MATCH(M2098,MappingTables!$D$4:$D$8,-1),1)</f>
        <v>1</v>
      </c>
      <c r="P2098" s="73">
        <f>IF(M2098=$A$1,1,$M2098-INDEX(MappingTables!$E$4:$E$8,MATCH(O2098,MappingTables!$B$4:$B$8,0)))</f>
        <v>1</v>
      </c>
      <c r="Q2098" s="71">
        <f>IF(B2098="",0,INDEX(ModelParameters!$D$6:$K$10,MATCH($O2098,ModelParameters!$B$6:$B$10,0),MATCH($J2098,ModelParameters!$D$5:$K$5,0)))</f>
        <v>0.013999999999999998</v>
      </c>
      <c r="R2098" s="71">
        <f>IF(B2098="",0,INDEX(ModelParameters!$D$13:$K$17,MATCH($O2098,ModelParameters!$B$13:$B$17,0),MATCH($J2098,ModelParameters!$D$5:$K$5,0)))</f>
        <v>0</v>
      </c>
      <c r="S2098" s="160">
        <f>IF(B2098="",0,MIN(IF($N2098="Other Bond TM",ModelParameters!$N$21,1)*(P2098*Q2098+R2098),1))</f>
        <v>0.013999999999999998</v>
      </c>
      <c r="T2098" s="85">
        <f>IF(B2098="",0,$S2098*$K2098)</f>
        <v>0.5377401464610316</v>
      </c>
      <c r="U2098" s="85">
        <f>IF(B2098="",0,IF(OR(H2098=MappingTables!$C$34,H2098=MappingTables!$C$35),T2098,0))</f>
        <v>0</v>
      </c>
      <c r="V2098" s="85">
        <f>IF(ISNA(IF(AND(VLOOKUP(CONCATENATE($D2098,$G2098),CSRFinput!$B:$E,4,0)=0,OR(H2098=MappingTables!$C$34,H2098=MappingTables!$C$35)),1,VLOOKUP(CONCATENATE($D2098,$G2098),CSRFinput!$B:$E,4,0))),0,IF(AND(VLOOKUP(CONCATENATE($D2098,$G2098),CSRFinput!$B:$E,4,0)=0,OR(H2098=MappingTables!$C$34,H2098=MappingTables!$C$35)),1,VLOOKUP(CONCATENATE($D2098,$G2098),CSRFinput!$B:$E,4,0)))</f>
        <v>0.054776304963434752</v>
      </c>
      <c r="W2098" s="85">
        <f>IF(B2098="",0,+$T2098*$V2098)</f>
        <v>0.02945541825363154</v>
      </c>
      <c r="X2098" s="85">
        <f>IF(B2098="",0,IF(OR(H2098=MappingTables!$C$34,H2098=MappingTables!$C$35),W2098,0))</f>
        <v>0</v>
      </c>
    </row>
    <row r="2099" spans="2:24" s="0" customFormat="0" ht="15">
      <c r="B2099" s="69">
        <v>14410290</v>
      </c>
      <c r="C2099" s="70" t="s">
        <v>2195</v>
      </c>
      <c r="D2099" s="70" t="s">
        <v>1</v>
      </c>
      <c r="E2099" s="70" t="s">
        <v>1</v>
      </c>
      <c r="F2099" s="70"/>
      <c r="G2099" s="70" t="s">
        <v>61</v>
      </c>
      <c r="H2099" s="70" t="s">
        <v>178</v>
      </c>
      <c r="I2099" s="70" t="s">
        <v>181</v>
      </c>
      <c r="J2099" s="71">
        <f>IF(OR(I2099=0,I2099=""),"unrated",VLOOKUP(I2099,MappingTables!$B$19:$C$31,2,FALSE))</f>
        <v>3</v>
      </c>
      <c r="K2099" s="72">
        <v>5764.0502129255856</v>
      </c>
      <c r="L2099" s="70">
        <v>0.4849294253544424</v>
      </c>
      <c r="M2099" s="71">
        <f>IF(L2099&lt;1,1,L2099)</f>
        <v>1</v>
      </c>
      <c r="N2099" s="70" t="s">
        <v>141</v>
      </c>
      <c r="O2099" s="71">
        <f>INDEX(DurClassMapping,MATCH(M2099,MappingTables!$D$4:$D$8,-1),1)</f>
        <v>1</v>
      </c>
      <c r="P2099" s="73">
        <f>IF(M2099=$A$1,1,$M2099-INDEX(MappingTables!$E$4:$E$8,MATCH(O2099,MappingTables!$B$4:$B$8,0)))</f>
        <v>1</v>
      </c>
      <c r="Q2099" s="71">
        <f>IF(B2099="",0,INDEX(ModelParameters!$D$6:$K$10,MATCH($O2099,ModelParameters!$B$6:$B$10,0),MATCH($J2099,ModelParameters!$D$5:$K$5,0)))</f>
        <v>0.025</v>
      </c>
      <c r="R2099" s="71">
        <f>IF(B2099="",0,INDEX(ModelParameters!$D$13:$K$17,MATCH($O2099,ModelParameters!$B$13:$B$17,0),MATCH($J2099,ModelParameters!$D$5:$K$5,0)))</f>
        <v>0</v>
      </c>
      <c r="S2099" s="160">
        <f>IF(B2099="",0,MIN(IF($N2099="Other Bond TM",ModelParameters!$N$21,1)*(P2099*Q2099+R2099),1))</f>
        <v>0.025</v>
      </c>
      <c r="T2099" s="85">
        <f>IF(B2099="",0,$S2099*$K2099)</f>
        <v>144.10125532313964</v>
      </c>
      <c r="U2099" s="85">
        <f>IF(B2099="",0,IF(OR(H2099=MappingTables!$C$34,H2099=MappingTables!$C$35),T2099,0))</f>
        <v>0</v>
      </c>
      <c r="V2099" s="85">
        <f>IF(ISNA(IF(AND(VLOOKUP(CONCATENATE($D2099,$G2099),CSRFinput!$B:$E,4,0)=0,OR(H2099=MappingTables!$C$34,H2099=MappingTables!$C$35)),1,VLOOKUP(CONCATENATE($D2099,$G2099),CSRFinput!$B:$E,4,0))),0,IF(AND(VLOOKUP(CONCATENATE($D2099,$G2099),CSRFinput!$B:$E,4,0)=0,OR(H2099=MappingTables!$C$34,H2099=MappingTables!$C$35)),1,VLOOKUP(CONCATENATE($D2099,$G2099),CSRFinput!$B:$E,4,0)))</f>
        <v>0.054776304963434752</v>
      </c>
      <c r="W2099" s="85">
        <f>IF(B2099="",0,+$T2099*$V2099)</f>
        <v>7.893334307194072</v>
      </c>
      <c r="X2099" s="85">
        <f>IF(B2099="",0,IF(OR(H2099=MappingTables!$C$34,H2099=MappingTables!$C$35),W2099,0))</f>
        <v>0</v>
      </c>
    </row>
    <row r="2100" spans="2:24" s="0" customFormat="0" ht="15">
      <c r="B2100" s="69" t="s">
        <v>2196</v>
      </c>
      <c r="C2100" s="70" t="s">
        <v>2197</v>
      </c>
      <c r="D2100" s="70" t="s">
        <v>1</v>
      </c>
      <c r="E2100" s="70" t="s">
        <v>1</v>
      </c>
      <c r="F2100" s="70"/>
      <c r="G2100" s="70" t="s">
        <v>61</v>
      </c>
      <c r="H2100" s="70" t="s">
        <v>178</v>
      </c>
      <c r="I2100" s="70" t="s">
        <v>181</v>
      </c>
      <c r="J2100" s="71">
        <f>IF(OR(I2100=0,I2100=""),"unrated",VLOOKUP(I2100,MappingTables!$B$19:$C$31,2,FALSE))</f>
        <v>3</v>
      </c>
      <c r="K2100" s="72">
        <v>5.5015032327152248</v>
      </c>
      <c r="L2100" s="70">
        <v>0.6739770340250708</v>
      </c>
      <c r="M2100" s="71">
        <f>IF(L2100&lt;1,1,L2100)</f>
        <v>1</v>
      </c>
      <c r="N2100" s="70" t="s">
        <v>141</v>
      </c>
      <c r="O2100" s="71">
        <f>INDEX(DurClassMapping,MATCH(M2100,MappingTables!$D$4:$D$8,-1),1)</f>
        <v>1</v>
      </c>
      <c r="P2100" s="73">
        <f>IF(M2100=$A$1,1,$M2100-INDEX(MappingTables!$E$4:$E$8,MATCH(O2100,MappingTables!$B$4:$B$8,0)))</f>
        <v>1</v>
      </c>
      <c r="Q2100" s="71">
        <f>IF(B2100="",0,INDEX(ModelParameters!$D$6:$K$10,MATCH($O2100,ModelParameters!$B$6:$B$10,0),MATCH($J2100,ModelParameters!$D$5:$K$5,0)))</f>
        <v>0.025</v>
      </c>
      <c r="R2100" s="71">
        <f>IF(B2100="",0,INDEX(ModelParameters!$D$13:$K$17,MATCH($O2100,ModelParameters!$B$13:$B$17,0),MATCH($J2100,ModelParameters!$D$5:$K$5,0)))</f>
        <v>0</v>
      </c>
      <c r="S2100" s="160">
        <f>IF(B2100="",0,MIN(IF($N2100="Other Bond TM",ModelParameters!$N$21,1)*(P2100*Q2100+R2100),1))</f>
        <v>0.025</v>
      </c>
      <c r="T2100" s="85">
        <f>IF(B2100="",0,$S2100*$K2100)</f>
        <v>0.13753758081788062</v>
      </c>
      <c r="U2100" s="85">
        <f>IF(B2100="",0,IF(OR(H2100=MappingTables!$C$34,H2100=MappingTables!$C$35),T2100,0))</f>
        <v>0</v>
      </c>
      <c r="V2100" s="85">
        <f>IF(ISNA(IF(AND(VLOOKUP(CONCATENATE($D2100,$G2100),CSRFinput!$B:$E,4,0)=0,OR(H2100=MappingTables!$C$34,H2100=MappingTables!$C$35)),1,VLOOKUP(CONCATENATE($D2100,$G2100),CSRFinput!$B:$E,4,0))),0,IF(AND(VLOOKUP(CONCATENATE($D2100,$G2100),CSRFinput!$B:$E,4,0)=0,OR(H2100=MappingTables!$C$34,H2100=MappingTables!$C$35)),1,VLOOKUP(CONCATENATE($D2100,$G2100),CSRFinput!$B:$E,4,0)))</f>
        <v>0.054776304963434752</v>
      </c>
      <c r="W2100" s="85">
        <f>IF(B2100="",0,+$T2100*$V2100)</f>
        <v>0.0075338004708132832</v>
      </c>
      <c r="X2100" s="85">
        <f>IF(B2100="",0,IF(OR(H2100=MappingTables!$C$34,H2100=MappingTables!$C$35),W2100,0))</f>
        <v>0</v>
      </c>
    </row>
    <row r="2101" spans="2:24" s="0" customFormat="0" ht="15">
      <c r="B2101" s="69">
        <v>17146019</v>
      </c>
      <c r="C2101" s="70" t="s">
        <v>1802</v>
      </c>
      <c r="D2101" s="70" t="s">
        <v>1</v>
      </c>
      <c r="E2101" s="70" t="s">
        <v>1</v>
      </c>
      <c r="F2101" s="70"/>
      <c r="G2101" s="70" t="s">
        <v>61</v>
      </c>
      <c r="H2101" s="70" t="s">
        <v>178</v>
      </c>
      <c r="I2101" s="70" t="s">
        <v>181</v>
      </c>
      <c r="J2101" s="71">
        <f>IF(OR(I2101=0,I2101=""),"unrated",VLOOKUP(I2101,MappingTables!$B$19:$C$31,2,FALSE))</f>
        <v>3</v>
      </c>
      <c r="K2101" s="72">
        <v>13907.26534730537</v>
      </c>
      <c r="L2101" s="70">
        <v>6.0955795132937704</v>
      </c>
      <c r="M2101" s="71">
        <f>IF(L2101&lt;1,1,L2101)</f>
        <v>6.0955795132937704</v>
      </c>
      <c r="N2101" s="70" t="s">
        <v>141</v>
      </c>
      <c r="O2101" s="71">
        <f>INDEX(DurClassMapping,MATCH(M2101,MappingTables!$D$4:$D$8,-1),1)</f>
        <v>2</v>
      </c>
      <c r="P2101" s="73">
        <f>IF(M2101=$A$1,1,$M2101-INDEX(MappingTables!$E$4:$E$8,MATCH(O2101,MappingTables!$B$4:$B$8,0)))</f>
        <v>1.09557951329377</v>
      </c>
      <c r="Q2101" s="71">
        <f>IF(B2101="",0,INDEX(ModelParameters!$D$6:$K$10,MATCH($O2101,ModelParameters!$B$6:$B$10,0),MATCH($J2101,ModelParameters!$D$5:$K$5,0)))</f>
        <v>0.015</v>
      </c>
      <c r="R2101" s="71">
        <f>IF(B2101="",0,INDEX(ModelParameters!$D$13:$K$17,MATCH($O2101,ModelParameters!$B$13:$B$17,0),MATCH($J2101,ModelParameters!$D$5:$K$5,0)))</f>
        <v>0.125</v>
      </c>
      <c r="S2101" s="160">
        <f>IF(B2101="",0,MIN(IF($N2101="Other Bond TM",ModelParameters!$N$21,1)*(P2101*Q2101+R2101),1))</f>
        <v>0.14143369269940656</v>
      </c>
      <c r="T2101" s="85">
        <f>IF(B2101="",0,$S2101*$K2101)</f>
        <v>1966.9558934198936</v>
      </c>
      <c r="U2101" s="85">
        <f>IF(B2101="",0,IF(OR(H2101=MappingTables!$C$34,H2101=MappingTables!$C$35),T2101,0))</f>
        <v>0</v>
      </c>
      <c r="V2101" s="85">
        <f>IF(ISNA(IF(AND(VLOOKUP(CONCATENATE($D2101,$G2101),CSRFinput!$B:$E,4,0)=0,OR(H2101=MappingTables!$C$34,H2101=MappingTables!$C$35)),1,VLOOKUP(CONCATENATE($D2101,$G2101),CSRFinput!$B:$E,4,0))),0,IF(AND(VLOOKUP(CONCATENATE($D2101,$G2101),CSRFinput!$B:$E,4,0)=0,OR(H2101=MappingTables!$C$34,H2101=MappingTables!$C$35)),1,VLOOKUP(CONCATENATE($D2101,$G2101),CSRFinput!$B:$E,4,0)))</f>
        <v>0.054776304963434752</v>
      </c>
      <c r="W2101" s="85">
        <f>IF(B2101="",0,+$T2101*$V2101)</f>
        <v>107.74257586759336</v>
      </c>
      <c r="X2101" s="85">
        <f>IF(B2101="",0,IF(OR(H2101=MappingTables!$C$34,H2101=MappingTables!$C$35),W2101,0))</f>
        <v>0</v>
      </c>
    </row>
    <row r="2102" spans="2:24" s="0" customFormat="0" ht="15">
      <c r="B2102" s="69" t="s">
        <v>2092</v>
      </c>
      <c r="C2102" s="70" t="s">
        <v>2093</v>
      </c>
      <c r="D2102" s="70" t="s">
        <v>1</v>
      </c>
      <c r="E2102" s="70" t="s">
        <v>1</v>
      </c>
      <c r="F2102" s="70"/>
      <c r="G2102" s="70" t="s">
        <v>61</v>
      </c>
      <c r="H2102" s="70" t="s">
        <v>178</v>
      </c>
      <c r="I2102" s="70" t="s">
        <v>181</v>
      </c>
      <c r="J2102" s="71">
        <f>IF(OR(I2102=0,I2102=""),"unrated",VLOOKUP(I2102,MappingTables!$B$19:$C$31,2,FALSE))</f>
        <v>3</v>
      </c>
      <c r="K2102" s="72">
        <v>5.5582142536276896</v>
      </c>
      <c r="L2102" s="70">
        <v>1.5632057557105196</v>
      </c>
      <c r="M2102" s="71">
        <f>IF(L2102&lt;1,1,L2102)</f>
        <v>1.5632057557105196</v>
      </c>
      <c r="N2102" s="70" t="s">
        <v>141</v>
      </c>
      <c r="O2102" s="71">
        <f>INDEX(DurClassMapping,MATCH(M2102,MappingTables!$D$4:$D$8,-1),1)</f>
        <v>1</v>
      </c>
      <c r="P2102" s="73">
        <f>IF(M2102=$A$1,1,$M2102-INDEX(MappingTables!$E$4:$E$8,MATCH(O2102,MappingTables!$B$4:$B$8,0)))</f>
        <v>1.5632057557105196</v>
      </c>
      <c r="Q2102" s="71">
        <f>IF(B2102="",0,INDEX(ModelParameters!$D$6:$K$10,MATCH($O2102,ModelParameters!$B$6:$B$10,0),MATCH($J2102,ModelParameters!$D$5:$K$5,0)))</f>
        <v>0.025</v>
      </c>
      <c r="R2102" s="71">
        <f>IF(B2102="",0,INDEX(ModelParameters!$D$13:$K$17,MATCH($O2102,ModelParameters!$B$13:$B$17,0),MATCH($J2102,ModelParameters!$D$5:$K$5,0)))</f>
        <v>0</v>
      </c>
      <c r="S2102" s="160">
        <f>IF(B2102="",0,MIN(IF($N2102="Other Bond TM",ModelParameters!$N$21,1)*(P2102*Q2102+R2102),1))</f>
        <v>0.039080143892762992</v>
      </c>
      <c r="T2102" s="85">
        <f>IF(B2102="",0,$S2102*$K2102)</f>
        <v>0.2172158128185764</v>
      </c>
      <c r="U2102" s="85">
        <f>IF(B2102="",0,IF(OR(H2102=MappingTables!$C$34,H2102=MappingTables!$C$35),T2102,0))</f>
        <v>0</v>
      </c>
      <c r="V2102" s="85">
        <f>IF(ISNA(IF(AND(VLOOKUP(CONCATENATE($D2102,$G2102),CSRFinput!$B:$E,4,0)=0,OR(H2102=MappingTables!$C$34,H2102=MappingTables!$C$35)),1,VLOOKUP(CONCATENATE($D2102,$G2102),CSRFinput!$B:$E,4,0))),0,IF(AND(VLOOKUP(CONCATENATE($D2102,$G2102),CSRFinput!$B:$E,4,0)=0,OR(H2102=MappingTables!$C$34,H2102=MappingTables!$C$35)),1,VLOOKUP(CONCATENATE($D2102,$G2102),CSRFinput!$B:$E,4,0)))</f>
        <v>0.054776304963434752</v>
      </c>
      <c r="W2102" s="85">
        <f>IF(B2102="",0,+$T2102*$V2102)</f>
        <v>0.0118982796058307</v>
      </c>
      <c r="X2102" s="85">
        <f>IF(B2102="",0,IF(OR(H2102=MappingTables!$C$34,H2102=MappingTables!$C$35),W2102,0))</f>
        <v>0</v>
      </c>
    </row>
    <row r="2103" spans="2:24" s="0" customFormat="0" ht="15">
      <c r="B2103" s="69">
        <v>22042367</v>
      </c>
      <c r="C2103" s="70" t="s">
        <v>1328</v>
      </c>
      <c r="D2103" s="70" t="s">
        <v>1</v>
      </c>
      <c r="E2103" s="70" t="s">
        <v>1</v>
      </c>
      <c r="F2103" s="70"/>
      <c r="G2103" s="70" t="s">
        <v>61</v>
      </c>
      <c r="H2103" s="70" t="s">
        <v>178</v>
      </c>
      <c r="I2103" s="70" t="s">
        <v>179</v>
      </c>
      <c r="J2103" s="71">
        <f>IF(OR(I2103=0,I2103=""),"unrated",VLOOKUP(I2103,MappingTables!$B$19:$C$31,2,FALSE))</f>
        <v>4</v>
      </c>
      <c r="K2103" s="72">
        <v>5547.9858945657136</v>
      </c>
      <c r="L2103" s="70">
        <v>4.9972459099397984</v>
      </c>
      <c r="M2103" s="71">
        <f>IF(L2103&lt;1,1,L2103)</f>
        <v>4.9972459099397984</v>
      </c>
      <c r="N2103" s="70" t="s">
        <v>141</v>
      </c>
      <c r="O2103" s="71">
        <f>INDEX(DurClassMapping,MATCH(M2103,MappingTables!$D$4:$D$8,-1),1)</f>
        <v>1</v>
      </c>
      <c r="P2103" s="73">
        <f>IF(M2103=$A$1,1,$M2103-INDEX(MappingTables!$E$4:$E$8,MATCH(O2103,MappingTables!$B$4:$B$8,0)))</f>
        <v>4.9972459099397984</v>
      </c>
      <c r="Q2103" s="71">
        <f>IF(B2103="",0,INDEX(ModelParameters!$D$6:$K$10,MATCH($O2103,ModelParameters!$B$6:$B$10,0),MATCH($J2103,ModelParameters!$D$5:$K$5,0)))</f>
        <v>0.045</v>
      </c>
      <c r="R2103" s="71">
        <f>IF(B2103="",0,INDEX(ModelParameters!$D$13:$K$17,MATCH($O2103,ModelParameters!$B$13:$B$17,0),MATCH($J2103,ModelParameters!$D$5:$K$5,0)))</f>
        <v>0</v>
      </c>
      <c r="S2103" s="160">
        <f>IF(B2103="",0,MIN(IF($N2103="Other Bond TM",ModelParameters!$N$21,1)*(P2103*Q2103+R2103),1))</f>
        <v>0.22487606594729092</v>
      </c>
      <c r="T2103" s="85">
        <f>IF(B2103="",0,$S2103*$K2103)</f>
        <v>1247.6092419009992</v>
      </c>
      <c r="U2103" s="85">
        <f>IF(B2103="",0,IF(OR(H2103=MappingTables!$C$34,H2103=MappingTables!$C$35),T2103,0))</f>
        <v>0</v>
      </c>
      <c r="V2103" s="85">
        <f>IF(ISNA(IF(AND(VLOOKUP(CONCATENATE($D2103,$G2103),CSRFinput!$B:$E,4,0)=0,OR(H2103=MappingTables!$C$34,H2103=MappingTables!$C$35)),1,VLOOKUP(CONCATENATE($D2103,$G2103),CSRFinput!$B:$E,4,0))),0,IF(AND(VLOOKUP(CONCATENATE($D2103,$G2103),CSRFinput!$B:$E,4,0)=0,OR(H2103=MappingTables!$C$34,H2103=MappingTables!$C$35)),1,VLOOKUP(CONCATENATE($D2103,$G2103),CSRFinput!$B:$E,4,0)))</f>
        <v>0.054776304963434752</v>
      </c>
      <c r="W2103" s="85">
        <f>IF(B2103="",0,+$T2103*$V2103)</f>
        <v>68.339424309568768</v>
      </c>
      <c r="X2103" s="85">
        <f>IF(B2103="",0,IF(OR(H2103=MappingTables!$C$34,H2103=MappingTables!$C$35),W2103,0))</f>
        <v>0</v>
      </c>
    </row>
    <row r="2104" spans="2:24" s="0" customFormat="0" ht="15">
      <c r="B2104" s="69">
        <v>4107885</v>
      </c>
      <c r="C2104" s="70" t="s">
        <v>2198</v>
      </c>
      <c r="D2104" s="70" t="s">
        <v>1</v>
      </c>
      <c r="E2104" s="70" t="s">
        <v>1</v>
      </c>
      <c r="F2104" s="70"/>
      <c r="G2104" s="70" t="s">
        <v>61</v>
      </c>
      <c r="H2104" s="70" t="s">
        <v>178</v>
      </c>
      <c r="I2104" s="70" t="s">
        <v>181</v>
      </c>
      <c r="J2104" s="71">
        <f>IF(OR(I2104=0,I2104=""),"unrated",VLOOKUP(I2104,MappingTables!$B$19:$C$31,2,FALSE))</f>
        <v>3</v>
      </c>
      <c r="K2104" s="72">
        <v>9841.2759049306208</v>
      </c>
      <c r="L2104" s="70">
        <v>0.85071619567030624</v>
      </c>
      <c r="M2104" s="71">
        <f>IF(L2104&lt;1,1,L2104)</f>
        <v>1</v>
      </c>
      <c r="N2104" s="70" t="s">
        <v>141</v>
      </c>
      <c r="O2104" s="71">
        <f>INDEX(DurClassMapping,MATCH(M2104,MappingTables!$D$4:$D$8,-1),1)</f>
        <v>1</v>
      </c>
      <c r="P2104" s="73">
        <f>IF(M2104=$A$1,1,$M2104-INDEX(MappingTables!$E$4:$E$8,MATCH(O2104,MappingTables!$B$4:$B$8,0)))</f>
        <v>1</v>
      </c>
      <c r="Q2104" s="71">
        <f>IF(B2104="",0,INDEX(ModelParameters!$D$6:$K$10,MATCH($O2104,ModelParameters!$B$6:$B$10,0),MATCH($J2104,ModelParameters!$D$5:$K$5,0)))</f>
        <v>0.025</v>
      </c>
      <c r="R2104" s="71">
        <f>IF(B2104="",0,INDEX(ModelParameters!$D$13:$K$17,MATCH($O2104,ModelParameters!$B$13:$B$17,0),MATCH($J2104,ModelParameters!$D$5:$K$5,0)))</f>
        <v>0</v>
      </c>
      <c r="S2104" s="160">
        <f>IF(B2104="",0,MIN(IF($N2104="Other Bond TM",ModelParameters!$N$21,1)*(P2104*Q2104+R2104),1))</f>
        <v>0.025</v>
      </c>
      <c r="T2104" s="85">
        <f>IF(B2104="",0,$S2104*$K2104)</f>
        <v>246.03189762326552</v>
      </c>
      <c r="U2104" s="85">
        <f>IF(B2104="",0,IF(OR(H2104=MappingTables!$C$34,H2104=MappingTables!$C$35),T2104,0))</f>
        <v>0</v>
      </c>
      <c r="V2104" s="85">
        <f>IF(ISNA(IF(AND(VLOOKUP(CONCATENATE($D2104,$G2104),CSRFinput!$B:$E,4,0)=0,OR(H2104=MappingTables!$C$34,H2104=MappingTables!$C$35)),1,VLOOKUP(CONCATENATE($D2104,$G2104),CSRFinput!$B:$E,4,0))),0,IF(AND(VLOOKUP(CONCATENATE($D2104,$G2104),CSRFinput!$B:$E,4,0)=0,OR(H2104=MappingTables!$C$34,H2104=MappingTables!$C$35)),1,VLOOKUP(CONCATENATE($D2104,$G2104),CSRFinput!$B:$E,4,0)))</f>
        <v>0.054776304963434752</v>
      </c>
      <c r="W2104" s="85">
        <f>IF(B2104="",0,+$T2104*$V2104)</f>
        <v>13.47671825494455</v>
      </c>
      <c r="X2104" s="85">
        <f>IF(B2104="",0,IF(OR(H2104=MappingTables!$C$34,H2104=MappingTables!$C$35),W2104,0))</f>
        <v>0</v>
      </c>
    </row>
    <row r="2105" spans="2:24" s="0" customFormat="0" ht="15">
      <c r="B2105" s="69">
        <v>11218526</v>
      </c>
      <c r="C2105" s="70" t="s">
        <v>1265</v>
      </c>
      <c r="D2105" s="70" t="s">
        <v>1</v>
      </c>
      <c r="E2105" s="70" t="s">
        <v>1</v>
      </c>
      <c r="F2105" s="70"/>
      <c r="G2105" s="70" t="s">
        <v>61</v>
      </c>
      <c r="H2105" s="70" t="s">
        <v>178</v>
      </c>
      <c r="I2105" s="70" t="s">
        <v>181</v>
      </c>
      <c r="J2105" s="71">
        <f>IF(OR(I2105=0,I2105=""),"unrated",VLOOKUP(I2105,MappingTables!$B$19:$C$31,2,FALSE))</f>
        <v>3</v>
      </c>
      <c r="K2105" s="72">
        <v>282.99865792591448</v>
      </c>
      <c r="L2105" s="70">
        <v>5.0090263618476024</v>
      </c>
      <c r="M2105" s="71">
        <f>IF(L2105&lt;1,1,L2105)</f>
        <v>5.0090263618476024</v>
      </c>
      <c r="N2105" s="70" t="s">
        <v>141</v>
      </c>
      <c r="O2105" s="71">
        <f>INDEX(DurClassMapping,MATCH(M2105,MappingTables!$D$4:$D$8,-1),1)</f>
        <v>2</v>
      </c>
      <c r="P2105" s="73">
        <f>IF(M2105=$A$1,1,$M2105-INDEX(MappingTables!$E$4:$E$8,MATCH(O2105,MappingTables!$B$4:$B$8,0)))</f>
        <v>0.0090263618476020816</v>
      </c>
      <c r="Q2105" s="71">
        <f>IF(B2105="",0,INDEX(ModelParameters!$D$6:$K$10,MATCH($O2105,ModelParameters!$B$6:$B$10,0),MATCH($J2105,ModelParameters!$D$5:$K$5,0)))</f>
        <v>0.015</v>
      </c>
      <c r="R2105" s="71">
        <f>IF(B2105="",0,INDEX(ModelParameters!$D$13:$K$17,MATCH($O2105,ModelParameters!$B$13:$B$17,0),MATCH($J2105,ModelParameters!$D$5:$K$5,0)))</f>
        <v>0.125</v>
      </c>
      <c r="S2105" s="160">
        <f>IF(B2105="",0,MIN(IF($N2105="Other Bond TM",ModelParameters!$N$21,1)*(P2105*Q2105+R2105),1))</f>
        <v>0.12513539542771404</v>
      </c>
      <c r="T2105" s="85">
        <f>IF(B2105="",0,$S2105*$K2105)</f>
        <v>35.413148965071684</v>
      </c>
      <c r="U2105" s="85">
        <f>IF(B2105="",0,IF(OR(H2105=MappingTables!$C$34,H2105=MappingTables!$C$35),T2105,0))</f>
        <v>0</v>
      </c>
      <c r="V2105" s="85">
        <f>IF(ISNA(IF(AND(VLOOKUP(CONCATENATE($D2105,$G2105),CSRFinput!$B:$E,4,0)=0,OR(H2105=MappingTables!$C$34,H2105=MappingTables!$C$35)),1,VLOOKUP(CONCATENATE($D2105,$G2105),CSRFinput!$B:$E,4,0))),0,IF(AND(VLOOKUP(CONCATENATE($D2105,$G2105),CSRFinput!$B:$E,4,0)=0,OR(H2105=MappingTables!$C$34,H2105=MappingTables!$C$35)),1,VLOOKUP(CONCATENATE($D2105,$G2105),CSRFinput!$B:$E,4,0)))</f>
        <v>0.054776304963434752</v>
      </c>
      <c r="W2105" s="85">
        <f>IF(B2105="",0,+$T2105*$V2105)</f>
        <v>1.9398014474263104</v>
      </c>
      <c r="X2105" s="85">
        <f>IF(B2105="",0,IF(OR(H2105=MappingTables!$C$34,H2105=MappingTables!$C$35),W2105,0))</f>
        <v>0</v>
      </c>
    </row>
    <row r="2106" spans="2:24" s="0" customFormat="0" ht="15">
      <c r="B2106" s="69">
        <v>21908432</v>
      </c>
      <c r="C2106" s="70" t="s">
        <v>2199</v>
      </c>
      <c r="D2106" s="70" t="s">
        <v>1</v>
      </c>
      <c r="E2106" s="70" t="s">
        <v>1</v>
      </c>
      <c r="F2106" s="70"/>
      <c r="G2106" s="70" t="s">
        <v>61</v>
      </c>
      <c r="H2106" s="70" t="s">
        <v>178</v>
      </c>
      <c r="I2106" s="70" t="s">
        <v>216</v>
      </c>
      <c r="J2106" s="71">
        <f>IF(OR(I2106=0,I2106=""),"unrated",VLOOKUP(I2106,MappingTables!$B$19:$C$31,2,FALSE))</f>
        <v>0</v>
      </c>
      <c r="K2106" s="72">
        <v>1568.7051419662118</v>
      </c>
      <c r="L2106" s="70">
        <v>0.041096508129110424</v>
      </c>
      <c r="M2106" s="71">
        <f>IF(L2106&lt;1,1,L2106)</f>
        <v>1</v>
      </c>
      <c r="N2106" s="70" t="s">
        <v>141</v>
      </c>
      <c r="O2106" s="71">
        <f>INDEX(DurClassMapping,MATCH(M2106,MappingTables!$D$4:$D$8,-1),1)</f>
        <v>1</v>
      </c>
      <c r="P2106" s="73">
        <f>IF(M2106=$A$1,1,$M2106-INDEX(MappingTables!$E$4:$E$8,MATCH(O2106,MappingTables!$B$4:$B$8,0)))</f>
        <v>1</v>
      </c>
      <c r="Q2106" s="71">
        <f>IF(B2106="",0,INDEX(ModelParameters!$D$6:$K$10,MATCH($O2106,ModelParameters!$B$6:$B$10,0),MATCH($J2106,ModelParameters!$D$5:$K$5,0)))</f>
        <v>0.0090000000000000016</v>
      </c>
      <c r="R2106" s="71">
        <f>IF(B2106="",0,INDEX(ModelParameters!$D$13:$K$17,MATCH($O2106,ModelParameters!$B$13:$B$17,0),MATCH($J2106,ModelParameters!$D$5:$K$5,0)))</f>
        <v>0</v>
      </c>
      <c r="S2106" s="160">
        <f>IF(B2106="",0,MIN(IF($N2106="Other Bond TM",ModelParameters!$N$21,1)*(P2106*Q2106+R2106),1))</f>
        <v>0.0090000000000000016</v>
      </c>
      <c r="T2106" s="85">
        <f>IF(B2106="",0,$S2106*$K2106)</f>
        <v>14.118346277695908</v>
      </c>
      <c r="U2106" s="85">
        <f>IF(B2106="",0,IF(OR(H2106=MappingTables!$C$34,H2106=MappingTables!$C$35),T2106,0))</f>
        <v>0</v>
      </c>
      <c r="V2106" s="85">
        <f>IF(ISNA(IF(AND(VLOOKUP(CONCATENATE($D2106,$G2106),CSRFinput!$B:$E,4,0)=0,OR(H2106=MappingTables!$C$34,H2106=MappingTables!$C$35)),1,VLOOKUP(CONCATENATE($D2106,$G2106),CSRFinput!$B:$E,4,0))),0,IF(AND(VLOOKUP(CONCATENATE($D2106,$G2106),CSRFinput!$B:$E,4,0)=0,OR(H2106=MappingTables!$C$34,H2106=MappingTables!$C$35)),1,VLOOKUP(CONCATENATE($D2106,$G2106),CSRFinput!$B:$E,4,0)))</f>
        <v>0.054776304963434752</v>
      </c>
      <c r="W2106" s="85">
        <f>IF(B2106="",0,+$T2106*$V2106)</f>
        <v>0.77335084128644496</v>
      </c>
      <c r="X2106" s="85">
        <f>IF(B2106="",0,IF(OR(H2106=MappingTables!$C$34,H2106=MappingTables!$C$35),W2106,0))</f>
        <v>0</v>
      </c>
    </row>
    <row r="2107" spans="2:24" s="0" customFormat="0" ht="15">
      <c r="B2107" s="69">
        <v>17478578</v>
      </c>
      <c r="C2107" s="70" t="s">
        <v>2200</v>
      </c>
      <c r="D2107" s="70" t="s">
        <v>1</v>
      </c>
      <c r="E2107" s="70" t="s">
        <v>1</v>
      </c>
      <c r="F2107" s="70"/>
      <c r="G2107" s="70" t="s">
        <v>61</v>
      </c>
      <c r="H2107" s="70" t="s">
        <v>178</v>
      </c>
      <c r="I2107" s="70" t="s">
        <v>179</v>
      </c>
      <c r="J2107" s="71">
        <f>IF(OR(I2107=0,I2107=""),"unrated",VLOOKUP(I2107,MappingTables!$B$19:$C$31,2,FALSE))</f>
        <v>4</v>
      </c>
      <c r="K2107" s="72">
        <v>387.25601852090408</v>
      </c>
      <c r="L2107" s="70">
        <v>0.55716154912336168</v>
      </c>
      <c r="M2107" s="71">
        <f>IF(L2107&lt;1,1,L2107)</f>
        <v>1</v>
      </c>
      <c r="N2107" s="70" t="s">
        <v>141</v>
      </c>
      <c r="O2107" s="71">
        <f>INDEX(DurClassMapping,MATCH(M2107,MappingTables!$D$4:$D$8,-1),1)</f>
        <v>1</v>
      </c>
      <c r="P2107" s="73">
        <f>IF(M2107=$A$1,1,$M2107-INDEX(MappingTables!$E$4:$E$8,MATCH(O2107,MappingTables!$B$4:$B$8,0)))</f>
        <v>1</v>
      </c>
      <c r="Q2107" s="71">
        <f>IF(B2107="",0,INDEX(ModelParameters!$D$6:$K$10,MATCH($O2107,ModelParameters!$B$6:$B$10,0),MATCH($J2107,ModelParameters!$D$5:$K$5,0)))</f>
        <v>0.045</v>
      </c>
      <c r="R2107" s="71">
        <f>IF(B2107="",0,INDEX(ModelParameters!$D$13:$K$17,MATCH($O2107,ModelParameters!$B$13:$B$17,0),MATCH($J2107,ModelParameters!$D$5:$K$5,0)))</f>
        <v>0</v>
      </c>
      <c r="S2107" s="160">
        <f>IF(B2107="",0,MIN(IF($N2107="Other Bond TM",ModelParameters!$N$21,1)*(P2107*Q2107+R2107),1))</f>
        <v>0.045</v>
      </c>
      <c r="T2107" s="85">
        <f>IF(B2107="",0,$S2107*$K2107)</f>
        <v>17.426520833440684</v>
      </c>
      <c r="U2107" s="85">
        <f>IF(B2107="",0,IF(OR(H2107=MappingTables!$C$34,H2107=MappingTables!$C$35),T2107,0))</f>
        <v>0</v>
      </c>
      <c r="V2107" s="85">
        <f>IF(ISNA(IF(AND(VLOOKUP(CONCATENATE($D2107,$G2107),CSRFinput!$B:$E,4,0)=0,OR(H2107=MappingTables!$C$34,H2107=MappingTables!$C$35)),1,VLOOKUP(CONCATENATE($D2107,$G2107),CSRFinput!$B:$E,4,0))),0,IF(AND(VLOOKUP(CONCATENATE($D2107,$G2107),CSRFinput!$B:$E,4,0)=0,OR(H2107=MappingTables!$C$34,H2107=MappingTables!$C$35)),1,VLOOKUP(CONCATENATE($D2107,$G2107),CSRFinput!$B:$E,4,0)))</f>
        <v>0.054776304963434752</v>
      </c>
      <c r="W2107" s="85">
        <f>IF(B2107="",0,+$T2107*$V2107)</f>
        <v>0.954560419624196</v>
      </c>
      <c r="X2107" s="85">
        <f>IF(B2107="",0,IF(OR(H2107=MappingTables!$C$34,H2107=MappingTables!$C$35),W2107,0))</f>
        <v>0</v>
      </c>
    </row>
    <row r="2108" spans="2:24" s="0" customFormat="0" ht="15">
      <c r="B2108" s="69" t="s">
        <v>2201</v>
      </c>
      <c r="C2108" s="70" t="s">
        <v>2202</v>
      </c>
      <c r="D2108" s="70" t="s">
        <v>1</v>
      </c>
      <c r="E2108" s="70" t="s">
        <v>1</v>
      </c>
      <c r="F2108" s="70"/>
      <c r="G2108" s="70" t="s">
        <v>61</v>
      </c>
      <c r="H2108" s="70" t="s">
        <v>178</v>
      </c>
      <c r="I2108" s="70" t="s">
        <v>184</v>
      </c>
      <c r="J2108" s="71">
        <f>IF(OR(I2108=0,I2108=""),"unrated",VLOOKUP(I2108,MappingTables!$B$19:$C$31,2,FALSE))</f>
        <v>5</v>
      </c>
      <c r="K2108" s="72">
        <v>867.39151800332304</v>
      </c>
      <c r="L2108" s="70">
        <v>2.7628663716234204</v>
      </c>
      <c r="M2108" s="71">
        <f>IF(L2108&lt;1,1,L2108)</f>
        <v>2.7628663716234204</v>
      </c>
      <c r="N2108" s="70" t="s">
        <v>141</v>
      </c>
      <c r="O2108" s="71">
        <f>INDEX(DurClassMapping,MATCH(M2108,MappingTables!$D$4:$D$8,-1),1)</f>
        <v>1</v>
      </c>
      <c r="P2108" s="73">
        <f>IF(M2108=$A$1,1,$M2108-INDEX(MappingTables!$E$4:$E$8,MATCH(O2108,MappingTables!$B$4:$B$8,0)))</f>
        <v>2.7628663716234204</v>
      </c>
      <c r="Q2108" s="71">
        <f>IF(B2108="",0,INDEX(ModelParameters!$D$6:$K$10,MATCH($O2108,ModelParameters!$B$6:$B$10,0),MATCH($J2108,ModelParameters!$D$5:$K$5,0)))</f>
        <v>0.075</v>
      </c>
      <c r="R2108" s="71">
        <f>IF(B2108="",0,INDEX(ModelParameters!$D$13:$K$17,MATCH($O2108,ModelParameters!$B$13:$B$17,0),MATCH($J2108,ModelParameters!$D$5:$K$5,0)))</f>
        <v>0</v>
      </c>
      <c r="S2108" s="160">
        <f>IF(B2108="",0,MIN(IF($N2108="Other Bond TM",ModelParameters!$N$21,1)*(P2108*Q2108+R2108),1))</f>
        <v>0.20721497787175652</v>
      </c>
      <c r="T2108" s="85">
        <f>IF(B2108="",0,$S2108*$K2108)</f>
        <v>179.73651420920788</v>
      </c>
      <c r="U2108" s="85">
        <f>IF(B2108="",0,IF(OR(H2108=MappingTables!$C$34,H2108=MappingTables!$C$35),T2108,0))</f>
        <v>0</v>
      </c>
      <c r="V2108" s="85">
        <f>IF(ISNA(IF(AND(VLOOKUP(CONCATENATE($D2108,$G2108),CSRFinput!$B:$E,4,0)=0,OR(H2108=MappingTables!$C$34,H2108=MappingTables!$C$35)),1,VLOOKUP(CONCATENATE($D2108,$G2108),CSRFinput!$B:$E,4,0))),0,IF(AND(VLOOKUP(CONCATENATE($D2108,$G2108),CSRFinput!$B:$E,4,0)=0,OR(H2108=MappingTables!$C$34,H2108=MappingTables!$C$35)),1,VLOOKUP(CONCATENATE($D2108,$G2108),CSRFinput!$B:$E,4,0)))</f>
        <v>0.054776304963434752</v>
      </c>
      <c r="W2108" s="85">
        <f>IF(B2108="",0,+$T2108*$V2108)</f>
        <v>9.8453021153882944</v>
      </c>
      <c r="X2108" s="85">
        <f>IF(B2108="",0,IF(OR(H2108=MappingTables!$C$34,H2108=MappingTables!$C$35),W2108,0))</f>
        <v>0</v>
      </c>
    </row>
    <row r="2109" spans="2:24" s="0" customFormat="0" ht="15">
      <c r="B2109" s="69">
        <v>23364894</v>
      </c>
      <c r="C2109" s="70" t="s">
        <v>2203</v>
      </c>
      <c r="D2109" s="70" t="s">
        <v>1</v>
      </c>
      <c r="E2109" s="70" t="s">
        <v>1</v>
      </c>
      <c r="F2109" s="70"/>
      <c r="G2109" s="70" t="s">
        <v>61</v>
      </c>
      <c r="H2109" s="70" t="s">
        <v>178</v>
      </c>
      <c r="I2109" s="70" t="s">
        <v>188</v>
      </c>
      <c r="J2109" s="71">
        <f>IF(OR(I2109=0,I2109=""),"unrated",VLOOKUP(I2109,MappingTables!$B$19:$C$31,2,FALSE))</f>
        <v>2</v>
      </c>
      <c r="K2109" s="72">
        <v>2233.2318482130884</v>
      </c>
      <c r="L2109" s="70">
        <v>1.4191891352940276</v>
      </c>
      <c r="M2109" s="71">
        <f>IF(L2109&lt;1,1,L2109)</f>
        <v>1.4191891352940276</v>
      </c>
      <c r="N2109" s="70" t="s">
        <v>141</v>
      </c>
      <c r="O2109" s="71">
        <f>INDEX(DurClassMapping,MATCH(M2109,MappingTables!$D$4:$D$8,-1),1)</f>
        <v>1</v>
      </c>
      <c r="P2109" s="73">
        <f>IF(M2109=$A$1,1,$M2109-INDEX(MappingTables!$E$4:$E$8,MATCH(O2109,MappingTables!$B$4:$B$8,0)))</f>
        <v>1.4191891352940276</v>
      </c>
      <c r="Q2109" s="71">
        <f>IF(B2109="",0,INDEX(ModelParameters!$D$6:$K$10,MATCH($O2109,ModelParameters!$B$6:$B$10,0),MATCH($J2109,ModelParameters!$D$5:$K$5,0)))</f>
        <v>0.013999999999999998</v>
      </c>
      <c r="R2109" s="71">
        <f>IF(B2109="",0,INDEX(ModelParameters!$D$13:$K$17,MATCH($O2109,ModelParameters!$B$13:$B$17,0),MATCH($J2109,ModelParameters!$D$5:$K$5,0)))</f>
        <v>0</v>
      </c>
      <c r="S2109" s="160">
        <f>IF(B2109="",0,MIN(IF($N2109="Other Bond TM",ModelParameters!$N$21,1)*(P2109*Q2109+R2109),1))</f>
        <v>0.019868647894116384</v>
      </c>
      <c r="T2109" s="85">
        <f>IF(B2109="",0,$S2109*$K2109)</f>
        <v>44.371297258072624</v>
      </c>
      <c r="U2109" s="85">
        <f>IF(B2109="",0,IF(OR(H2109=MappingTables!$C$34,H2109=MappingTables!$C$35),T2109,0))</f>
        <v>0</v>
      </c>
      <c r="V2109" s="85">
        <f>IF(ISNA(IF(AND(VLOOKUP(CONCATENATE($D2109,$G2109),CSRFinput!$B:$E,4,0)=0,OR(H2109=MappingTables!$C$34,H2109=MappingTables!$C$35)),1,VLOOKUP(CONCATENATE($D2109,$G2109),CSRFinput!$B:$E,4,0))),0,IF(AND(VLOOKUP(CONCATENATE($D2109,$G2109),CSRFinput!$B:$E,4,0)=0,OR(H2109=MappingTables!$C$34,H2109=MappingTables!$C$35)),1,VLOOKUP(CONCATENATE($D2109,$G2109),CSRFinput!$B:$E,4,0)))</f>
        <v>0.054776304963434752</v>
      </c>
      <c r="W2109" s="85">
        <f>IF(B2109="",0,+$T2109*$V2109)</f>
        <v>2.4304957102314024</v>
      </c>
      <c r="X2109" s="85">
        <f>IF(B2109="",0,IF(OR(H2109=MappingTables!$C$34,H2109=MappingTables!$C$35),W2109,0))</f>
        <v>0</v>
      </c>
    </row>
    <row r="2110" spans="2:24" s="0" customFormat="0" ht="15">
      <c r="B2110" s="69">
        <v>10211113</v>
      </c>
      <c r="C2110" s="70" t="s">
        <v>514</v>
      </c>
      <c r="D2110" s="70" t="s">
        <v>1</v>
      </c>
      <c r="E2110" s="70" t="s">
        <v>1</v>
      </c>
      <c r="F2110" s="70"/>
      <c r="G2110" s="70" t="s">
        <v>61</v>
      </c>
      <c r="H2110" s="70" t="s">
        <v>178</v>
      </c>
      <c r="I2110" s="70" t="s">
        <v>188</v>
      </c>
      <c r="J2110" s="71">
        <f>IF(OR(I2110=0,I2110=""),"unrated",VLOOKUP(I2110,MappingTables!$B$19:$C$31,2,FALSE))</f>
        <v>2</v>
      </c>
      <c r="K2110" s="72">
        <v>25143.390722645084</v>
      </c>
      <c r="L2110" s="70">
        <v>4.097804600449312</v>
      </c>
      <c r="M2110" s="71">
        <f>IF(L2110&lt;1,1,L2110)</f>
        <v>4.097804600449312</v>
      </c>
      <c r="N2110" s="70" t="s">
        <v>141</v>
      </c>
      <c r="O2110" s="71">
        <f>INDEX(DurClassMapping,MATCH(M2110,MappingTables!$D$4:$D$8,-1),1)</f>
        <v>1</v>
      </c>
      <c r="P2110" s="73">
        <f>IF(M2110=$A$1,1,$M2110-INDEX(MappingTables!$E$4:$E$8,MATCH(O2110,MappingTables!$B$4:$B$8,0)))</f>
        <v>4.097804600449312</v>
      </c>
      <c r="Q2110" s="71">
        <f>IF(B2110="",0,INDEX(ModelParameters!$D$6:$K$10,MATCH($O2110,ModelParameters!$B$6:$B$10,0),MATCH($J2110,ModelParameters!$D$5:$K$5,0)))</f>
        <v>0.013999999999999998</v>
      </c>
      <c r="R2110" s="71">
        <f>IF(B2110="",0,INDEX(ModelParameters!$D$13:$K$17,MATCH($O2110,ModelParameters!$B$13:$B$17,0),MATCH($J2110,ModelParameters!$D$5:$K$5,0)))</f>
        <v>0</v>
      </c>
      <c r="S2110" s="160">
        <f>IF(B2110="",0,MIN(IF($N2110="Other Bond TM",ModelParameters!$N$21,1)*(P2110*Q2110+R2110),1))</f>
        <v>0.05736926440629036</v>
      </c>
      <c r="T2110" s="85">
        <f>IF(B2110="",0,$S2110*$K2110)</f>
        <v>1442.4578304380938</v>
      </c>
      <c r="U2110" s="85">
        <f>IF(B2110="",0,IF(OR(H2110=MappingTables!$C$34,H2110=MappingTables!$C$35),T2110,0))</f>
        <v>0</v>
      </c>
      <c r="V2110" s="85">
        <f>IF(ISNA(IF(AND(VLOOKUP(CONCATENATE($D2110,$G2110),CSRFinput!$B:$E,4,0)=0,OR(H2110=MappingTables!$C$34,H2110=MappingTables!$C$35)),1,VLOOKUP(CONCATENATE($D2110,$G2110),CSRFinput!$B:$E,4,0))),0,IF(AND(VLOOKUP(CONCATENATE($D2110,$G2110),CSRFinput!$B:$E,4,0)=0,OR(H2110=MappingTables!$C$34,H2110=MappingTables!$C$35)),1,VLOOKUP(CONCATENATE($D2110,$G2110),CSRFinput!$B:$E,4,0)))</f>
        <v>0.054776304963434752</v>
      </c>
      <c r="W2110" s="85">
        <f>IF(B2110="",0,+$T2110*$V2110)</f>
        <v>79.012510016971488</v>
      </c>
      <c r="X2110" s="85">
        <f>IF(B2110="",0,IF(OR(H2110=MappingTables!$C$34,H2110=MappingTables!$C$35),W2110,0))</f>
        <v>0</v>
      </c>
    </row>
    <row r="2111" spans="2:24" s="0" customFormat="0" ht="15">
      <c r="B2111" s="69">
        <v>21005401</v>
      </c>
      <c r="C2111" s="70" t="s">
        <v>1502</v>
      </c>
      <c r="D2111" s="70" t="s">
        <v>1</v>
      </c>
      <c r="E2111" s="70" t="s">
        <v>1</v>
      </c>
      <c r="F2111" s="70"/>
      <c r="G2111" s="70" t="s">
        <v>61</v>
      </c>
      <c r="H2111" s="70" t="s">
        <v>178</v>
      </c>
      <c r="I2111" s="70" t="s">
        <v>184</v>
      </c>
      <c r="J2111" s="71">
        <f>IF(OR(I2111=0,I2111=""),"unrated",VLOOKUP(I2111,MappingTables!$B$19:$C$31,2,FALSE))</f>
        <v>5</v>
      </c>
      <c r="K2111" s="72">
        <v>8272.5095878220928</v>
      </c>
      <c r="L2111" s="70">
        <v>3.8928084707835368</v>
      </c>
      <c r="M2111" s="71">
        <f>IF(L2111&lt;1,1,L2111)</f>
        <v>3.8928084707835368</v>
      </c>
      <c r="N2111" s="70" t="s">
        <v>141</v>
      </c>
      <c r="O2111" s="71">
        <f>INDEX(DurClassMapping,MATCH(M2111,MappingTables!$D$4:$D$8,-1),1)</f>
        <v>1</v>
      </c>
      <c r="P2111" s="73">
        <f>IF(M2111=$A$1,1,$M2111-INDEX(MappingTables!$E$4:$E$8,MATCH(O2111,MappingTables!$B$4:$B$8,0)))</f>
        <v>3.8928084707835368</v>
      </c>
      <c r="Q2111" s="71">
        <f>IF(B2111="",0,INDEX(ModelParameters!$D$6:$K$10,MATCH($O2111,ModelParameters!$B$6:$B$10,0),MATCH($J2111,ModelParameters!$D$5:$K$5,0)))</f>
        <v>0.075</v>
      </c>
      <c r="R2111" s="71">
        <f>IF(B2111="",0,INDEX(ModelParameters!$D$13:$K$17,MATCH($O2111,ModelParameters!$B$13:$B$17,0),MATCH($J2111,ModelParameters!$D$5:$K$5,0)))</f>
        <v>0</v>
      </c>
      <c r="S2111" s="160">
        <f>IF(B2111="",0,MIN(IF($N2111="Other Bond TM",ModelParameters!$N$21,1)*(P2111*Q2111+R2111),1))</f>
        <v>0.29196063530876524</v>
      </c>
      <c r="T2111" s="85">
        <f>IF(B2111="",0,$S2111*$K2111)</f>
        <v>2415.24715485839</v>
      </c>
      <c r="U2111" s="85">
        <f>IF(B2111="",0,IF(OR(H2111=MappingTables!$C$34,H2111=MappingTables!$C$35),T2111,0))</f>
        <v>0</v>
      </c>
      <c r="V2111" s="85">
        <f>IF(ISNA(IF(AND(VLOOKUP(CONCATENATE($D2111,$G2111),CSRFinput!$B:$E,4,0)=0,OR(H2111=MappingTables!$C$34,H2111=MappingTables!$C$35)),1,VLOOKUP(CONCATENATE($D2111,$G2111),CSRFinput!$B:$E,4,0))),0,IF(AND(VLOOKUP(CONCATENATE($D2111,$G2111),CSRFinput!$B:$E,4,0)=0,OR(H2111=MappingTables!$C$34,H2111=MappingTables!$C$35)),1,VLOOKUP(CONCATENATE($D2111,$G2111),CSRFinput!$B:$E,4,0)))</f>
        <v>0.054776304963434752</v>
      </c>
      <c r="W2111" s="85">
        <f>IF(B2111="",0,+$T2111*$V2111)</f>
        <v>132.29831471659128</v>
      </c>
      <c r="X2111" s="85">
        <f>IF(B2111="",0,IF(OR(H2111=MappingTables!$C$34,H2111=MappingTables!$C$35),W2111,0))</f>
        <v>0</v>
      </c>
    </row>
    <row r="2112" spans="2:24" s="0" customFormat="0" ht="15">
      <c r="B2112" s="69">
        <v>19762439</v>
      </c>
      <c r="C2112" s="70" t="s">
        <v>558</v>
      </c>
      <c r="D2112" s="70" t="s">
        <v>1</v>
      </c>
      <c r="E2112" s="70" t="s">
        <v>1</v>
      </c>
      <c r="F2112" s="70"/>
      <c r="G2112" s="70" t="s">
        <v>61</v>
      </c>
      <c r="H2112" s="70" t="s">
        <v>178</v>
      </c>
      <c r="I2112" s="70" t="s">
        <v>184</v>
      </c>
      <c r="J2112" s="71">
        <f>IF(OR(I2112=0,I2112=""),"unrated",VLOOKUP(I2112,MappingTables!$B$19:$C$31,2,FALSE))</f>
        <v>5</v>
      </c>
      <c r="K2112" s="72">
        <v>1158.5409212107158</v>
      </c>
      <c r="L2112" s="70">
        <v>1.4013282378071168</v>
      </c>
      <c r="M2112" s="71">
        <f>IF(L2112&lt;1,1,L2112)</f>
        <v>1.4013282378071168</v>
      </c>
      <c r="N2112" s="70" t="s">
        <v>141</v>
      </c>
      <c r="O2112" s="71">
        <f>INDEX(DurClassMapping,MATCH(M2112,MappingTables!$D$4:$D$8,-1),1)</f>
        <v>1</v>
      </c>
      <c r="P2112" s="73">
        <f>IF(M2112=$A$1,1,$M2112-INDEX(MappingTables!$E$4:$E$8,MATCH(O2112,MappingTables!$B$4:$B$8,0)))</f>
        <v>1.4013282378071168</v>
      </c>
      <c r="Q2112" s="71">
        <f>IF(B2112="",0,INDEX(ModelParameters!$D$6:$K$10,MATCH($O2112,ModelParameters!$B$6:$B$10,0),MATCH($J2112,ModelParameters!$D$5:$K$5,0)))</f>
        <v>0.075</v>
      </c>
      <c r="R2112" s="71">
        <f>IF(B2112="",0,INDEX(ModelParameters!$D$13:$K$17,MATCH($O2112,ModelParameters!$B$13:$B$17,0),MATCH($J2112,ModelParameters!$D$5:$K$5,0)))</f>
        <v>0</v>
      </c>
      <c r="S2112" s="160">
        <f>IF(B2112="",0,MIN(IF($N2112="Other Bond TM",ModelParameters!$N$21,1)*(P2112*Q2112+R2112),1))</f>
        <v>0.10509961783553376</v>
      </c>
      <c r="T2112" s="85">
        <f>IF(B2112="",0,$S2112*$K2112)</f>
        <v>121.76220806607346</v>
      </c>
      <c r="U2112" s="85">
        <f>IF(B2112="",0,IF(OR(H2112=MappingTables!$C$34,H2112=MappingTables!$C$35),T2112,0))</f>
        <v>0</v>
      </c>
      <c r="V2112" s="85">
        <f>IF(ISNA(IF(AND(VLOOKUP(CONCATENATE($D2112,$G2112),CSRFinput!$B:$E,4,0)=0,OR(H2112=MappingTables!$C$34,H2112=MappingTables!$C$35)),1,VLOOKUP(CONCATENATE($D2112,$G2112),CSRFinput!$B:$E,4,0))),0,IF(AND(VLOOKUP(CONCATENATE($D2112,$G2112),CSRFinput!$B:$E,4,0)=0,OR(H2112=MappingTables!$C$34,H2112=MappingTables!$C$35)),1,VLOOKUP(CONCATENATE($D2112,$G2112),CSRFinput!$B:$E,4,0)))</f>
        <v>0.054776304963434752</v>
      </c>
      <c r="W2112" s="85">
        <f>IF(B2112="",0,+$T2112*$V2112)</f>
        <v>6.6696838420484352</v>
      </c>
      <c r="X2112" s="85">
        <f>IF(B2112="",0,IF(OR(H2112=MappingTables!$C$34,H2112=MappingTables!$C$35),W2112,0))</f>
        <v>0</v>
      </c>
    </row>
    <row r="2113" spans="2:24" s="0" customFormat="0" ht="15">
      <c r="B2113" s="69" t="s">
        <v>209</v>
      </c>
      <c r="C2113" s="70" t="s">
        <v>210</v>
      </c>
      <c r="D2113" s="70" t="s">
        <v>1</v>
      </c>
      <c r="E2113" s="70" t="s">
        <v>1</v>
      </c>
      <c r="F2113" s="70"/>
      <c r="G2113" s="70" t="s">
        <v>61</v>
      </c>
      <c r="H2113" s="70" t="s">
        <v>178</v>
      </c>
      <c r="I2113" s="70" t="s">
        <v>181</v>
      </c>
      <c r="J2113" s="71">
        <f>IF(OR(I2113=0,I2113=""),"unrated",VLOOKUP(I2113,MappingTables!$B$19:$C$31,2,FALSE))</f>
        <v>3</v>
      </c>
      <c r="K2113" s="72">
        <v>14937.928852749844</v>
      </c>
      <c r="L2113" s="70">
        <v>8.2023857441753664</v>
      </c>
      <c r="M2113" s="71">
        <f>IF(L2113&lt;1,1,L2113)</f>
        <v>8.2023857441753664</v>
      </c>
      <c r="N2113" s="70" t="s">
        <v>141</v>
      </c>
      <c r="O2113" s="71">
        <f>INDEX(DurClassMapping,MATCH(M2113,MappingTables!$D$4:$D$8,-1),1)</f>
        <v>2</v>
      </c>
      <c r="P2113" s="73">
        <f>IF(M2113=$A$1,1,$M2113-INDEX(MappingTables!$E$4:$E$8,MATCH(O2113,MappingTables!$B$4:$B$8,0)))</f>
        <v>3.2023857441753664</v>
      </c>
      <c r="Q2113" s="71">
        <f>IF(B2113="",0,INDEX(ModelParameters!$D$6:$K$10,MATCH($O2113,ModelParameters!$B$6:$B$10,0),MATCH($J2113,ModelParameters!$D$5:$K$5,0)))</f>
        <v>0.015</v>
      </c>
      <c r="R2113" s="71">
        <f>IF(B2113="",0,INDEX(ModelParameters!$D$13:$K$17,MATCH($O2113,ModelParameters!$B$13:$B$17,0),MATCH($J2113,ModelParameters!$D$5:$K$5,0)))</f>
        <v>0.125</v>
      </c>
      <c r="S2113" s="160">
        <f>IF(B2113="",0,MIN(IF($N2113="Other Bond TM",ModelParameters!$N$21,1)*(P2113*Q2113+R2113),1))</f>
        <v>0.17303578616263048</v>
      </c>
      <c r="T2113" s="85">
        <f>IF(B2113="",0,$S2113*$K2113)</f>
        <v>2584.7962626770104</v>
      </c>
      <c r="U2113" s="85">
        <f>IF(B2113="",0,IF(OR(H2113=MappingTables!$C$34,H2113=MappingTables!$C$35),T2113,0))</f>
        <v>0</v>
      </c>
      <c r="V2113" s="85">
        <f>IF(ISNA(IF(AND(VLOOKUP(CONCATENATE($D2113,$G2113),CSRFinput!$B:$E,4,0)=0,OR(H2113=MappingTables!$C$34,H2113=MappingTables!$C$35)),1,VLOOKUP(CONCATENATE($D2113,$G2113),CSRFinput!$B:$E,4,0))),0,IF(AND(VLOOKUP(CONCATENATE($D2113,$G2113),CSRFinput!$B:$E,4,0)=0,OR(H2113=MappingTables!$C$34,H2113=MappingTables!$C$35)),1,VLOOKUP(CONCATENATE($D2113,$G2113),CSRFinput!$B:$E,4,0)))</f>
        <v>0.054776304963434752</v>
      </c>
      <c r="W2113" s="85">
        <f>IF(B2113="",0,+$T2113*$V2113)</f>
        <v>141.58558835274232</v>
      </c>
      <c r="X2113" s="85">
        <f>IF(B2113="",0,IF(OR(H2113=MappingTables!$C$34,H2113=MappingTables!$C$35),W2113,0))</f>
        <v>0</v>
      </c>
    </row>
    <row r="2114" spans="2:24" s="0" customFormat="0" ht="15">
      <c r="B2114" s="69">
        <v>9530605</v>
      </c>
      <c r="C2114" s="70" t="s">
        <v>895</v>
      </c>
      <c r="D2114" s="70" t="s">
        <v>1</v>
      </c>
      <c r="E2114" s="70" t="s">
        <v>1</v>
      </c>
      <c r="F2114" s="70"/>
      <c r="G2114" s="70" t="s">
        <v>61</v>
      </c>
      <c r="H2114" s="70" t="s">
        <v>178</v>
      </c>
      <c r="I2114" s="70" t="s">
        <v>184</v>
      </c>
      <c r="J2114" s="71">
        <f>IF(OR(I2114=0,I2114=""),"unrated",VLOOKUP(I2114,MappingTables!$B$19:$C$31,2,FALSE))</f>
        <v>5</v>
      </c>
      <c r="K2114" s="72">
        <v>28666.149954644616</v>
      </c>
      <c r="L2114" s="70">
        <v>0.902283893208836</v>
      </c>
      <c r="M2114" s="71">
        <f>IF(L2114&lt;1,1,L2114)</f>
        <v>1</v>
      </c>
      <c r="N2114" s="70" t="s">
        <v>141</v>
      </c>
      <c r="O2114" s="71">
        <f>INDEX(DurClassMapping,MATCH(M2114,MappingTables!$D$4:$D$8,-1),1)</f>
        <v>1</v>
      </c>
      <c r="P2114" s="73">
        <f>IF(M2114=$A$1,1,$M2114-INDEX(MappingTables!$E$4:$E$8,MATCH(O2114,MappingTables!$B$4:$B$8,0)))</f>
        <v>1</v>
      </c>
      <c r="Q2114" s="71">
        <f>IF(B2114="",0,INDEX(ModelParameters!$D$6:$K$10,MATCH($O2114,ModelParameters!$B$6:$B$10,0),MATCH($J2114,ModelParameters!$D$5:$K$5,0)))</f>
        <v>0.075</v>
      </c>
      <c r="R2114" s="71">
        <f>IF(B2114="",0,INDEX(ModelParameters!$D$13:$K$17,MATCH($O2114,ModelParameters!$B$13:$B$17,0),MATCH($J2114,ModelParameters!$D$5:$K$5,0)))</f>
        <v>0</v>
      </c>
      <c r="S2114" s="160">
        <f>IF(B2114="",0,MIN(IF($N2114="Other Bond TM",ModelParameters!$N$21,1)*(P2114*Q2114+R2114),1))</f>
        <v>0.075</v>
      </c>
      <c r="T2114" s="85">
        <f>IF(B2114="",0,$S2114*$K2114)</f>
        <v>2149.9612465983464</v>
      </c>
      <c r="U2114" s="85">
        <f>IF(B2114="",0,IF(OR(H2114=MappingTables!$C$34,H2114=MappingTables!$C$35),T2114,0))</f>
        <v>0</v>
      </c>
      <c r="V2114" s="85">
        <f>IF(ISNA(IF(AND(VLOOKUP(CONCATENATE($D2114,$G2114),CSRFinput!$B:$E,4,0)=0,OR(H2114=MappingTables!$C$34,H2114=MappingTables!$C$35)),1,VLOOKUP(CONCATENATE($D2114,$G2114),CSRFinput!$B:$E,4,0))),0,IF(AND(VLOOKUP(CONCATENATE($D2114,$G2114),CSRFinput!$B:$E,4,0)=0,OR(H2114=MappingTables!$C$34,H2114=MappingTables!$C$35)),1,VLOOKUP(CONCATENATE($D2114,$G2114),CSRFinput!$B:$E,4,0)))</f>
        <v>0.054776304963434752</v>
      </c>
      <c r="W2114" s="85">
        <f>IF(B2114="",0,+$T2114*$V2114)</f>
        <v>117.76693290323738</v>
      </c>
      <c r="X2114" s="85">
        <f>IF(B2114="",0,IF(OR(H2114=MappingTables!$C$34,H2114=MappingTables!$C$35),W2114,0))</f>
        <v>0</v>
      </c>
    </row>
    <row r="2115" spans="2:24" s="0" customFormat="0" ht="15">
      <c r="B2115" s="69">
        <v>17490485</v>
      </c>
      <c r="C2115" s="70" t="s">
        <v>2204</v>
      </c>
      <c r="D2115" s="70" t="s">
        <v>1</v>
      </c>
      <c r="E2115" s="70" t="s">
        <v>1</v>
      </c>
      <c r="F2115" s="70"/>
      <c r="G2115" s="70" t="s">
        <v>61</v>
      </c>
      <c r="H2115" s="70" t="s">
        <v>178</v>
      </c>
      <c r="I2115" s="70" t="s">
        <v>181</v>
      </c>
      <c r="J2115" s="71">
        <f>IF(OR(I2115=0,I2115=""),"unrated",VLOOKUP(I2115,MappingTables!$B$19:$C$31,2,FALSE))</f>
        <v>3</v>
      </c>
      <c r="K2115" s="72">
        <v>332.13624900125096</v>
      </c>
      <c r="L2115" s="70">
        <v>0.57697902592945872</v>
      </c>
      <c r="M2115" s="71">
        <f>IF(L2115&lt;1,1,L2115)</f>
        <v>1</v>
      </c>
      <c r="N2115" s="70" t="s">
        <v>141</v>
      </c>
      <c r="O2115" s="71">
        <f>INDEX(DurClassMapping,MATCH(M2115,MappingTables!$D$4:$D$8,-1),1)</f>
        <v>1</v>
      </c>
      <c r="P2115" s="73">
        <f>IF(M2115=$A$1,1,$M2115-INDEX(MappingTables!$E$4:$E$8,MATCH(O2115,MappingTables!$B$4:$B$8,0)))</f>
        <v>1</v>
      </c>
      <c r="Q2115" s="71">
        <f>IF(B2115="",0,INDEX(ModelParameters!$D$6:$K$10,MATCH($O2115,ModelParameters!$B$6:$B$10,0),MATCH($J2115,ModelParameters!$D$5:$K$5,0)))</f>
        <v>0.025</v>
      </c>
      <c r="R2115" s="71">
        <f>IF(B2115="",0,INDEX(ModelParameters!$D$13:$K$17,MATCH($O2115,ModelParameters!$B$13:$B$17,0),MATCH($J2115,ModelParameters!$D$5:$K$5,0)))</f>
        <v>0</v>
      </c>
      <c r="S2115" s="160">
        <f>IF(B2115="",0,MIN(IF($N2115="Other Bond TM",ModelParameters!$N$21,1)*(P2115*Q2115+R2115),1))</f>
        <v>0.025</v>
      </c>
      <c r="T2115" s="85">
        <f>IF(B2115="",0,$S2115*$K2115)</f>
        <v>8.3034062250312736</v>
      </c>
      <c r="U2115" s="85">
        <f>IF(B2115="",0,IF(OR(H2115=MappingTables!$C$34,H2115=MappingTables!$C$35),T2115,0))</f>
        <v>0</v>
      </c>
      <c r="V2115" s="85">
        <f>IF(ISNA(IF(AND(VLOOKUP(CONCATENATE($D2115,$G2115),CSRFinput!$B:$E,4,0)=0,OR(H2115=MappingTables!$C$34,H2115=MappingTables!$C$35)),1,VLOOKUP(CONCATENATE($D2115,$G2115),CSRFinput!$B:$E,4,0))),0,IF(AND(VLOOKUP(CONCATENATE($D2115,$G2115),CSRFinput!$B:$E,4,0)=0,OR(H2115=MappingTables!$C$34,H2115=MappingTables!$C$35)),1,VLOOKUP(CONCATENATE($D2115,$G2115),CSRFinput!$B:$E,4,0)))</f>
        <v>0.054776304963434752</v>
      </c>
      <c r="W2115" s="85">
        <f>IF(B2115="",0,+$T2115*$V2115)</f>
        <v>0.4548299116175956</v>
      </c>
      <c r="X2115" s="85">
        <f>IF(B2115="",0,IF(OR(H2115=MappingTables!$C$34,H2115=MappingTables!$C$35),W2115,0))</f>
        <v>0</v>
      </c>
    </row>
    <row r="2116" spans="2:24" s="0" customFormat="0" ht="15">
      <c r="B2116" s="69" t="s">
        <v>367</v>
      </c>
      <c r="C2116" s="70" t="s">
        <v>368</v>
      </c>
      <c r="D2116" s="70" t="s">
        <v>1</v>
      </c>
      <c r="E2116" s="70" t="s">
        <v>1</v>
      </c>
      <c r="F2116" s="70"/>
      <c r="G2116" s="70" t="s">
        <v>61</v>
      </c>
      <c r="H2116" s="70" t="s">
        <v>178</v>
      </c>
      <c r="I2116" s="70" t="s">
        <v>181</v>
      </c>
      <c r="J2116" s="71">
        <f>IF(OR(I2116=0,I2116=""),"unrated",VLOOKUP(I2116,MappingTables!$B$19:$C$31,2,FALSE))</f>
        <v>3</v>
      </c>
      <c r="K2116" s="72">
        <v>1556.1164280560826</v>
      </c>
      <c r="L2116" s="70">
        <v>0.77705346231720768</v>
      </c>
      <c r="M2116" s="71">
        <f>IF(L2116&lt;1,1,L2116)</f>
        <v>1</v>
      </c>
      <c r="N2116" s="70" t="s">
        <v>141</v>
      </c>
      <c r="O2116" s="71">
        <f>INDEX(DurClassMapping,MATCH(M2116,MappingTables!$D$4:$D$8,-1),1)</f>
        <v>1</v>
      </c>
      <c r="P2116" s="73">
        <f>IF(M2116=$A$1,1,$M2116-INDEX(MappingTables!$E$4:$E$8,MATCH(O2116,MappingTables!$B$4:$B$8,0)))</f>
        <v>1</v>
      </c>
      <c r="Q2116" s="71">
        <f>IF(B2116="",0,INDEX(ModelParameters!$D$6:$K$10,MATCH($O2116,ModelParameters!$B$6:$B$10,0),MATCH($J2116,ModelParameters!$D$5:$K$5,0)))</f>
        <v>0.025</v>
      </c>
      <c r="R2116" s="71">
        <f>IF(B2116="",0,INDEX(ModelParameters!$D$13:$K$17,MATCH($O2116,ModelParameters!$B$13:$B$17,0),MATCH($J2116,ModelParameters!$D$5:$K$5,0)))</f>
        <v>0</v>
      </c>
      <c r="S2116" s="160">
        <f>IF(B2116="",0,MIN(IF($N2116="Other Bond TM",ModelParameters!$N$21,1)*(P2116*Q2116+R2116),1))</f>
        <v>0.025</v>
      </c>
      <c r="T2116" s="85">
        <f>IF(B2116="",0,$S2116*$K2116)</f>
        <v>38.902910701402072</v>
      </c>
      <c r="U2116" s="85">
        <f>IF(B2116="",0,IF(OR(H2116=MappingTables!$C$34,H2116=MappingTables!$C$35),T2116,0))</f>
        <v>0</v>
      </c>
      <c r="V2116" s="85">
        <f>IF(ISNA(IF(AND(VLOOKUP(CONCATENATE($D2116,$G2116),CSRFinput!$B:$E,4,0)=0,OR(H2116=MappingTables!$C$34,H2116=MappingTables!$C$35)),1,VLOOKUP(CONCATENATE($D2116,$G2116),CSRFinput!$B:$E,4,0))),0,IF(AND(VLOOKUP(CONCATENATE($D2116,$G2116),CSRFinput!$B:$E,4,0)=0,OR(H2116=MappingTables!$C$34,H2116=MappingTables!$C$35)),1,VLOOKUP(CONCATENATE($D2116,$G2116),CSRFinput!$B:$E,4,0)))</f>
        <v>0.054776304963434752</v>
      </c>
      <c r="W2116" s="85">
        <f>IF(B2116="",0,+$T2116*$V2116)</f>
        <v>2.1309577005452692</v>
      </c>
      <c r="X2116" s="85">
        <f>IF(B2116="",0,IF(OR(H2116=MappingTables!$C$34,H2116=MappingTables!$C$35),W2116,0))</f>
        <v>0</v>
      </c>
    </row>
    <row r="2117" spans="2:24" s="0" customFormat="0" ht="15">
      <c r="B2117" s="69">
        <v>21005393</v>
      </c>
      <c r="C2117" s="70" t="s">
        <v>1002</v>
      </c>
      <c r="D2117" s="70" t="s">
        <v>1</v>
      </c>
      <c r="E2117" s="70" t="s">
        <v>1</v>
      </c>
      <c r="F2117" s="70"/>
      <c r="G2117" s="70" t="s">
        <v>61</v>
      </c>
      <c r="H2117" s="70" t="s">
        <v>178</v>
      </c>
      <c r="I2117" s="70" t="s">
        <v>181</v>
      </c>
      <c r="J2117" s="71">
        <f>IF(OR(I2117=0,I2117=""),"unrated",VLOOKUP(I2117,MappingTables!$B$19:$C$31,2,FALSE))</f>
        <v>3</v>
      </c>
      <c r="K2117" s="72">
        <v>17644.00745299957</v>
      </c>
      <c r="L2117" s="70">
        <v>2.6345389759000972</v>
      </c>
      <c r="M2117" s="71">
        <f>IF(L2117&lt;1,1,L2117)</f>
        <v>2.6345389759000972</v>
      </c>
      <c r="N2117" s="70" t="s">
        <v>141</v>
      </c>
      <c r="O2117" s="71">
        <f>INDEX(DurClassMapping,MATCH(M2117,MappingTables!$D$4:$D$8,-1),1)</f>
        <v>1</v>
      </c>
      <c r="P2117" s="73">
        <f>IF(M2117=$A$1,1,$M2117-INDEX(MappingTables!$E$4:$E$8,MATCH(O2117,MappingTables!$B$4:$B$8,0)))</f>
        <v>2.6345389759000972</v>
      </c>
      <c r="Q2117" s="71">
        <f>IF(B2117="",0,INDEX(ModelParameters!$D$6:$K$10,MATCH($O2117,ModelParameters!$B$6:$B$10,0),MATCH($J2117,ModelParameters!$D$5:$K$5,0)))</f>
        <v>0.025</v>
      </c>
      <c r="R2117" s="71">
        <f>IF(B2117="",0,INDEX(ModelParameters!$D$13:$K$17,MATCH($O2117,ModelParameters!$B$13:$B$17,0),MATCH($J2117,ModelParameters!$D$5:$K$5,0)))</f>
        <v>0</v>
      </c>
      <c r="S2117" s="160">
        <f>IF(B2117="",0,MIN(IF($N2117="Other Bond TM",ModelParameters!$N$21,1)*(P2117*Q2117+R2117),1))</f>
        <v>0.06586347439750244</v>
      </c>
      <c r="T2117" s="85">
        <f>IF(B2117="",0,$S2117*$K2117)</f>
        <v>1162.0956331499792</v>
      </c>
      <c r="U2117" s="85">
        <f>IF(B2117="",0,IF(OR(H2117=MappingTables!$C$34,H2117=MappingTables!$C$35),T2117,0))</f>
        <v>0</v>
      </c>
      <c r="V2117" s="85">
        <f>IF(ISNA(IF(AND(VLOOKUP(CONCATENATE($D2117,$G2117),CSRFinput!$B:$E,4,0)=0,OR(H2117=MappingTables!$C$34,H2117=MappingTables!$C$35)),1,VLOOKUP(CONCATENATE($D2117,$G2117),CSRFinput!$B:$E,4,0))),0,IF(AND(VLOOKUP(CONCATENATE($D2117,$G2117),CSRFinput!$B:$E,4,0)=0,OR(H2117=MappingTables!$C$34,H2117=MappingTables!$C$35)),1,VLOOKUP(CONCATENATE($D2117,$G2117),CSRFinput!$B:$E,4,0)))</f>
        <v>0.054776304963434752</v>
      </c>
      <c r="W2117" s="85">
        <f>IF(B2117="",0,+$T2117*$V2117)</f>
        <v>63.655304798099056</v>
      </c>
      <c r="X2117" s="85">
        <f>IF(B2117="",0,IF(OR(H2117=MappingTables!$C$34,H2117=MappingTables!$C$35),W2117,0))</f>
        <v>0</v>
      </c>
    </row>
    <row r="2118" spans="2:24" s="0" customFormat="0" ht="15">
      <c r="B2118" s="69">
        <v>22911183</v>
      </c>
      <c r="C2118" s="70" t="s">
        <v>2205</v>
      </c>
      <c r="D2118" s="70" t="s">
        <v>1</v>
      </c>
      <c r="E2118" s="70" t="s">
        <v>1</v>
      </c>
      <c r="F2118" s="70"/>
      <c r="G2118" s="70" t="s">
        <v>61</v>
      </c>
      <c r="H2118" s="70" t="s">
        <v>178</v>
      </c>
      <c r="I2118" s="70" t="s">
        <v>179</v>
      </c>
      <c r="J2118" s="71">
        <f>IF(OR(I2118=0,I2118=""),"unrated",VLOOKUP(I2118,MappingTables!$B$19:$C$31,2,FALSE))</f>
        <v>4</v>
      </c>
      <c r="K2118" s="72">
        <v>202.83367963357468</v>
      </c>
      <c r="L2118" s="70">
        <v>3.0759437487799172</v>
      </c>
      <c r="M2118" s="71">
        <f>IF(L2118&lt;1,1,L2118)</f>
        <v>3.0759437487799172</v>
      </c>
      <c r="N2118" s="70" t="s">
        <v>141</v>
      </c>
      <c r="O2118" s="71">
        <f>INDEX(DurClassMapping,MATCH(M2118,MappingTables!$D$4:$D$8,-1),1)</f>
        <v>1</v>
      </c>
      <c r="P2118" s="73">
        <f>IF(M2118=$A$1,1,$M2118-INDEX(MappingTables!$E$4:$E$8,MATCH(O2118,MappingTables!$B$4:$B$8,0)))</f>
        <v>3.0759437487799172</v>
      </c>
      <c r="Q2118" s="71">
        <f>IF(B2118="",0,INDEX(ModelParameters!$D$6:$K$10,MATCH($O2118,ModelParameters!$B$6:$B$10,0),MATCH($J2118,ModelParameters!$D$5:$K$5,0)))</f>
        <v>0.045</v>
      </c>
      <c r="R2118" s="71">
        <f>IF(B2118="",0,INDEX(ModelParameters!$D$13:$K$17,MATCH($O2118,ModelParameters!$B$13:$B$17,0),MATCH($J2118,ModelParameters!$D$5:$K$5,0)))</f>
        <v>0</v>
      </c>
      <c r="S2118" s="160">
        <f>IF(B2118="",0,MIN(IF($N2118="Other Bond TM",ModelParameters!$N$21,1)*(P2118*Q2118+R2118),1))</f>
        <v>0.13841746869509628</v>
      </c>
      <c r="T2118" s="85">
        <f>IF(B2118="",0,$S2118*$K2118)</f>
        <v>28.075724500991512</v>
      </c>
      <c r="U2118" s="85">
        <f>IF(B2118="",0,IF(OR(H2118=MappingTables!$C$34,H2118=MappingTables!$C$35),T2118,0))</f>
        <v>0</v>
      </c>
      <c r="V2118" s="85">
        <f>IF(ISNA(IF(AND(VLOOKUP(CONCATENATE($D2118,$G2118),CSRFinput!$B:$E,4,0)=0,OR(H2118=MappingTables!$C$34,H2118=MappingTables!$C$35)),1,VLOOKUP(CONCATENATE($D2118,$G2118),CSRFinput!$B:$E,4,0))),0,IF(AND(VLOOKUP(CONCATENATE($D2118,$G2118),CSRFinput!$B:$E,4,0)=0,OR(H2118=MappingTables!$C$34,H2118=MappingTables!$C$35)),1,VLOOKUP(CONCATENATE($D2118,$G2118),CSRFinput!$B:$E,4,0)))</f>
        <v>0.054776304963434752</v>
      </c>
      <c r="W2118" s="85">
        <f>IF(B2118="",0,+$T2118*$V2118)</f>
        <v>1.537884447335688</v>
      </c>
      <c r="X2118" s="85">
        <f>IF(B2118="",0,IF(OR(H2118=MappingTables!$C$34,H2118=MappingTables!$C$35),W2118,0))</f>
        <v>0</v>
      </c>
    </row>
    <row r="2119" spans="2:24" s="0" customFormat="0" ht="15">
      <c r="B2119" s="69">
        <v>22320616</v>
      </c>
      <c r="C2119" s="70" t="s">
        <v>2206</v>
      </c>
      <c r="D2119" s="70" t="s">
        <v>1</v>
      </c>
      <c r="E2119" s="70" t="s">
        <v>1</v>
      </c>
      <c r="F2119" s="70"/>
      <c r="G2119" s="70" t="s">
        <v>61</v>
      </c>
      <c r="H2119" s="70" t="s">
        <v>178</v>
      </c>
      <c r="I2119" s="70" t="s">
        <v>220</v>
      </c>
      <c r="J2119" s="71">
        <f>IF(OR(I2119=0,I2119=""),"unrated",VLOOKUP(I2119,MappingTables!$B$19:$C$31,2,FALSE))</f>
        <v>1</v>
      </c>
      <c r="K2119" s="72">
        <v>32.290425041157248</v>
      </c>
      <c r="L2119" s="70">
        <v>3.9242936157150304</v>
      </c>
      <c r="M2119" s="71">
        <f>IF(L2119&lt;1,1,L2119)</f>
        <v>3.9242936157150304</v>
      </c>
      <c r="N2119" s="70" t="s">
        <v>141</v>
      </c>
      <c r="O2119" s="71">
        <f>INDEX(DurClassMapping,MATCH(M2119,MappingTables!$D$4:$D$8,-1),1)</f>
        <v>1</v>
      </c>
      <c r="P2119" s="73">
        <f>IF(M2119=$A$1,1,$M2119-INDEX(MappingTables!$E$4:$E$8,MATCH(O2119,MappingTables!$B$4:$B$8,0)))</f>
        <v>3.9242936157150304</v>
      </c>
      <c r="Q2119" s="71">
        <f>IF(B2119="",0,INDEX(ModelParameters!$D$6:$K$10,MATCH($O2119,ModelParameters!$B$6:$B$10,0),MATCH($J2119,ModelParameters!$D$5:$K$5,0)))</f>
        <v>0.011000000000000002</v>
      </c>
      <c r="R2119" s="71">
        <f>IF(B2119="",0,INDEX(ModelParameters!$D$13:$K$17,MATCH($O2119,ModelParameters!$B$13:$B$17,0),MATCH($J2119,ModelParameters!$D$5:$K$5,0)))</f>
        <v>0</v>
      </c>
      <c r="S2119" s="160">
        <f>IF(B2119="",0,MIN(IF($N2119="Other Bond TM",ModelParameters!$N$21,1)*(P2119*Q2119+R2119),1))</f>
        <v>0.043167229772865336</v>
      </c>
      <c r="T2119" s="85">
        <f>IF(B2119="",0,$S2119*$K2119)</f>
        <v>1.3938881972151196</v>
      </c>
      <c r="U2119" s="85">
        <f>IF(B2119="",0,IF(OR(H2119=MappingTables!$C$34,H2119=MappingTables!$C$35),T2119,0))</f>
        <v>0</v>
      </c>
      <c r="V2119" s="85">
        <f>IF(ISNA(IF(AND(VLOOKUP(CONCATENATE($D2119,$G2119),CSRFinput!$B:$E,4,0)=0,OR(H2119=MappingTables!$C$34,H2119=MappingTables!$C$35)),1,VLOOKUP(CONCATENATE($D2119,$G2119),CSRFinput!$B:$E,4,0))),0,IF(AND(VLOOKUP(CONCATENATE($D2119,$G2119),CSRFinput!$B:$E,4,0)=0,OR(H2119=MappingTables!$C$34,H2119=MappingTables!$C$35)),1,VLOOKUP(CONCATENATE($D2119,$G2119),CSRFinput!$B:$E,4,0)))</f>
        <v>0.054776304963434752</v>
      </c>
      <c r="W2119" s="85">
        <f>IF(B2119="",0,+$T2119*$V2119)</f>
        <v>0.07635204497558768</v>
      </c>
      <c r="X2119" s="85">
        <f>IF(B2119="",0,IF(OR(H2119=MappingTables!$C$34,H2119=MappingTables!$C$35),W2119,0))</f>
        <v>0</v>
      </c>
    </row>
    <row r="2120" spans="2:24" s="0" customFormat="0" ht="15">
      <c r="B2120" s="69">
        <v>14504603</v>
      </c>
      <c r="C2120" s="70" t="s">
        <v>2207</v>
      </c>
      <c r="D2120" s="70" t="s">
        <v>1</v>
      </c>
      <c r="E2120" s="70" t="s">
        <v>1</v>
      </c>
      <c r="F2120" s="70"/>
      <c r="G2120" s="70" t="s">
        <v>61</v>
      </c>
      <c r="H2120" s="70" t="s">
        <v>178</v>
      </c>
      <c r="I2120" s="70" t="s">
        <v>220</v>
      </c>
      <c r="J2120" s="71">
        <f>IF(OR(I2120=0,I2120=""),"unrated",VLOOKUP(I2120,MappingTables!$B$19:$C$31,2,FALSE))</f>
        <v>1</v>
      </c>
      <c r="K2120" s="72">
        <v>1542.181445244023</v>
      </c>
      <c r="L2120" s="70">
        <v>0.0027422812070244536</v>
      </c>
      <c r="M2120" s="71">
        <f>IF(L2120&lt;1,1,L2120)</f>
        <v>1</v>
      </c>
      <c r="N2120" s="70" t="s">
        <v>141</v>
      </c>
      <c r="O2120" s="71">
        <f>INDEX(DurClassMapping,MATCH(M2120,MappingTables!$D$4:$D$8,-1),1)</f>
        <v>1</v>
      </c>
      <c r="P2120" s="73">
        <f>IF(M2120=$A$1,1,$M2120-INDEX(MappingTables!$E$4:$E$8,MATCH(O2120,MappingTables!$B$4:$B$8,0)))</f>
        <v>1</v>
      </c>
      <c r="Q2120" s="71">
        <f>IF(B2120="",0,INDEX(ModelParameters!$D$6:$K$10,MATCH($O2120,ModelParameters!$B$6:$B$10,0),MATCH($J2120,ModelParameters!$D$5:$K$5,0)))</f>
        <v>0.011000000000000002</v>
      </c>
      <c r="R2120" s="71">
        <f>IF(B2120="",0,INDEX(ModelParameters!$D$13:$K$17,MATCH($O2120,ModelParameters!$B$13:$B$17,0),MATCH($J2120,ModelParameters!$D$5:$K$5,0)))</f>
        <v>0</v>
      </c>
      <c r="S2120" s="160">
        <f>IF(B2120="",0,MIN(IF($N2120="Other Bond TM",ModelParameters!$N$21,1)*(P2120*Q2120+R2120),1))</f>
        <v>0.011000000000000002</v>
      </c>
      <c r="T2120" s="85">
        <f>IF(B2120="",0,$S2120*$K2120)</f>
        <v>16.963995897684256</v>
      </c>
      <c r="U2120" s="85">
        <f>IF(B2120="",0,IF(OR(H2120=MappingTables!$C$34,H2120=MappingTables!$C$35),T2120,0))</f>
        <v>0</v>
      </c>
      <c r="V2120" s="85">
        <f>IF(ISNA(IF(AND(VLOOKUP(CONCATENATE($D2120,$G2120),CSRFinput!$B:$E,4,0)=0,OR(H2120=MappingTables!$C$34,H2120=MappingTables!$C$35)),1,VLOOKUP(CONCATENATE($D2120,$G2120),CSRFinput!$B:$E,4,0))),0,IF(AND(VLOOKUP(CONCATENATE($D2120,$G2120),CSRFinput!$B:$E,4,0)=0,OR(H2120=MappingTables!$C$34,H2120=MappingTables!$C$35)),1,VLOOKUP(CONCATENATE($D2120,$G2120),CSRFinput!$B:$E,4,0)))</f>
        <v>0.054776304963434752</v>
      </c>
      <c r="W2120" s="85">
        <f>IF(B2120="",0,+$T2120*$V2120)</f>
        <v>0.92922501269000896</v>
      </c>
      <c r="X2120" s="85">
        <f>IF(B2120="",0,IF(OR(H2120=MappingTables!$C$34,H2120=MappingTables!$C$35),W2120,0))</f>
        <v>0</v>
      </c>
    </row>
    <row r="2121" spans="2:24" s="0" customFormat="0" ht="15">
      <c r="B2121" s="69">
        <v>20678970</v>
      </c>
      <c r="C2121" s="70" t="s">
        <v>508</v>
      </c>
      <c r="D2121" s="70" t="s">
        <v>1</v>
      </c>
      <c r="E2121" s="70" t="s">
        <v>1</v>
      </c>
      <c r="F2121" s="70"/>
      <c r="G2121" s="70" t="s">
        <v>61</v>
      </c>
      <c r="H2121" s="70" t="s">
        <v>178</v>
      </c>
      <c r="I2121" s="70" t="s">
        <v>181</v>
      </c>
      <c r="J2121" s="71">
        <f>IF(OR(I2121=0,I2121=""),"unrated",VLOOKUP(I2121,MappingTables!$B$19:$C$31,2,FALSE))</f>
        <v>3</v>
      </c>
      <c r="K2121" s="72">
        <v>6.0945689088876368</v>
      </c>
      <c r="L2121" s="70">
        <v>1.4648319514244606</v>
      </c>
      <c r="M2121" s="71">
        <f>IF(L2121&lt;1,1,L2121)</f>
        <v>1.4648319514244606</v>
      </c>
      <c r="N2121" s="70" t="s">
        <v>141</v>
      </c>
      <c r="O2121" s="71">
        <f>INDEX(DurClassMapping,MATCH(M2121,MappingTables!$D$4:$D$8,-1),1)</f>
        <v>1</v>
      </c>
      <c r="P2121" s="73">
        <f>IF(M2121=$A$1,1,$M2121-INDEX(MappingTables!$E$4:$E$8,MATCH(O2121,MappingTables!$B$4:$B$8,0)))</f>
        <v>1.4648319514244606</v>
      </c>
      <c r="Q2121" s="71">
        <f>IF(B2121="",0,INDEX(ModelParameters!$D$6:$K$10,MATCH($O2121,ModelParameters!$B$6:$B$10,0),MATCH($J2121,ModelParameters!$D$5:$K$5,0)))</f>
        <v>0.025</v>
      </c>
      <c r="R2121" s="71">
        <f>IF(B2121="",0,INDEX(ModelParameters!$D$13:$K$17,MATCH($O2121,ModelParameters!$B$13:$B$17,0),MATCH($J2121,ModelParameters!$D$5:$K$5,0)))</f>
        <v>0</v>
      </c>
      <c r="S2121" s="160">
        <f>IF(B2121="",0,MIN(IF($N2121="Other Bond TM",ModelParameters!$N$21,1)*(P2121*Q2121+R2121),1))</f>
        <v>0.03662079878561152</v>
      </c>
      <c r="T2121" s="85">
        <f>IF(B2121="",0,$S2121*$K2121)</f>
        <v>0.22318798169741808</v>
      </c>
      <c r="U2121" s="85">
        <f>IF(B2121="",0,IF(OR(H2121=MappingTables!$C$34,H2121=MappingTables!$C$35),T2121,0))</f>
        <v>0</v>
      </c>
      <c r="V2121" s="85">
        <f>IF(ISNA(IF(AND(VLOOKUP(CONCATENATE($D2121,$G2121),CSRFinput!$B:$E,4,0)=0,OR(H2121=MappingTables!$C$34,H2121=MappingTables!$C$35)),1,VLOOKUP(CONCATENATE($D2121,$G2121),CSRFinput!$B:$E,4,0))),0,IF(AND(VLOOKUP(CONCATENATE($D2121,$G2121),CSRFinput!$B:$E,4,0)=0,OR(H2121=MappingTables!$C$34,H2121=MappingTables!$C$35)),1,VLOOKUP(CONCATENATE($D2121,$G2121),CSRFinput!$B:$E,4,0)))</f>
        <v>0.054776304963434752</v>
      </c>
      <c r="W2121" s="85">
        <f>IF(B2121="",0,+$T2121*$V2121)</f>
        <v>0.012225412949631268</v>
      </c>
      <c r="X2121" s="85">
        <f>IF(B2121="",0,IF(OR(H2121=MappingTables!$C$34,H2121=MappingTables!$C$35),W2121,0))</f>
        <v>0</v>
      </c>
    </row>
    <row r="2122" spans="2:24" s="0" customFormat="0" ht="15">
      <c r="B2122" s="69">
        <v>11386214</v>
      </c>
      <c r="C2122" s="70" t="s">
        <v>1356</v>
      </c>
      <c r="D2122" s="70" t="s">
        <v>1</v>
      </c>
      <c r="E2122" s="70" t="s">
        <v>1</v>
      </c>
      <c r="F2122" s="70"/>
      <c r="G2122" s="70" t="s">
        <v>61</v>
      </c>
      <c r="H2122" s="70" t="s">
        <v>178</v>
      </c>
      <c r="I2122" s="70" t="s">
        <v>188</v>
      </c>
      <c r="J2122" s="71">
        <f>IF(OR(I2122=0,I2122=""),"unrated",VLOOKUP(I2122,MappingTables!$B$19:$C$31,2,FALSE))</f>
        <v>2</v>
      </c>
      <c r="K2122" s="72">
        <v>1475.122842667053</v>
      </c>
      <c r="L2122" s="70">
        <v>0.071229241835701936</v>
      </c>
      <c r="M2122" s="71">
        <f>IF(L2122&lt;1,1,L2122)</f>
        <v>1</v>
      </c>
      <c r="N2122" s="70" t="s">
        <v>141</v>
      </c>
      <c r="O2122" s="71">
        <f>INDEX(DurClassMapping,MATCH(M2122,MappingTables!$D$4:$D$8,-1),1)</f>
        <v>1</v>
      </c>
      <c r="P2122" s="73">
        <f>IF(M2122=$A$1,1,$M2122-INDEX(MappingTables!$E$4:$E$8,MATCH(O2122,MappingTables!$B$4:$B$8,0)))</f>
        <v>1</v>
      </c>
      <c r="Q2122" s="71">
        <f>IF(B2122="",0,INDEX(ModelParameters!$D$6:$K$10,MATCH($O2122,ModelParameters!$B$6:$B$10,0),MATCH($J2122,ModelParameters!$D$5:$K$5,0)))</f>
        <v>0.013999999999999998</v>
      </c>
      <c r="R2122" s="71">
        <f>IF(B2122="",0,INDEX(ModelParameters!$D$13:$K$17,MATCH($O2122,ModelParameters!$B$13:$B$17,0),MATCH($J2122,ModelParameters!$D$5:$K$5,0)))</f>
        <v>0</v>
      </c>
      <c r="S2122" s="160">
        <f>IF(B2122="",0,MIN(IF($N2122="Other Bond TM",ModelParameters!$N$21,1)*(P2122*Q2122+R2122),1))</f>
        <v>0.013999999999999998</v>
      </c>
      <c r="T2122" s="85">
        <f>IF(B2122="",0,$S2122*$K2122)</f>
        <v>20.65171979733874</v>
      </c>
      <c r="U2122" s="85">
        <f>IF(B2122="",0,IF(OR(H2122=MappingTables!$C$34,H2122=MappingTables!$C$35),T2122,0))</f>
        <v>0</v>
      </c>
      <c r="V2122" s="85">
        <f>IF(ISNA(IF(AND(VLOOKUP(CONCATENATE($D2122,$G2122),CSRFinput!$B:$E,4,0)=0,OR(H2122=MappingTables!$C$34,H2122=MappingTables!$C$35)),1,VLOOKUP(CONCATENATE($D2122,$G2122),CSRFinput!$B:$E,4,0))),0,IF(AND(VLOOKUP(CONCATENATE($D2122,$G2122),CSRFinput!$B:$E,4,0)=0,OR(H2122=MappingTables!$C$34,H2122=MappingTables!$C$35)),1,VLOOKUP(CONCATENATE($D2122,$G2122),CSRFinput!$B:$E,4,0)))</f>
        <v>0.054776304963434752</v>
      </c>
      <c r="W2122" s="85">
        <f>IF(B2122="",0,+$T2122*$V2122)</f>
        <v>1.1312249016384298</v>
      </c>
      <c r="X2122" s="85">
        <f>IF(B2122="",0,IF(OR(H2122=MappingTables!$C$34,H2122=MappingTables!$C$35),W2122,0))</f>
        <v>0</v>
      </c>
    </row>
    <row r="2123" spans="2:24" s="0" customFormat="0" ht="15">
      <c r="B2123" s="69">
        <v>14851927</v>
      </c>
      <c r="C2123" s="70" t="s">
        <v>2208</v>
      </c>
      <c r="D2123" s="70" t="s">
        <v>1</v>
      </c>
      <c r="E2123" s="70" t="s">
        <v>1</v>
      </c>
      <c r="F2123" s="70"/>
      <c r="G2123" s="70" t="s">
        <v>61</v>
      </c>
      <c r="H2123" s="70" t="s">
        <v>178</v>
      </c>
      <c r="I2123" s="70" t="s">
        <v>181</v>
      </c>
      <c r="J2123" s="71">
        <f>IF(OR(I2123=0,I2123=""),"unrated",VLOOKUP(I2123,MappingTables!$B$19:$C$31,2,FALSE))</f>
        <v>3</v>
      </c>
      <c r="K2123" s="72">
        <v>359.19270254007104</v>
      </c>
      <c r="L2123" s="70">
        <v>1.930037595700168</v>
      </c>
      <c r="M2123" s="71">
        <f>IF(L2123&lt;1,1,L2123)</f>
        <v>1.930037595700168</v>
      </c>
      <c r="N2123" s="70" t="s">
        <v>141</v>
      </c>
      <c r="O2123" s="71">
        <f>INDEX(DurClassMapping,MATCH(M2123,MappingTables!$D$4:$D$8,-1),1)</f>
        <v>1</v>
      </c>
      <c r="P2123" s="73">
        <f>IF(M2123=$A$1,1,$M2123-INDEX(MappingTables!$E$4:$E$8,MATCH(O2123,MappingTables!$B$4:$B$8,0)))</f>
        <v>1.930037595700168</v>
      </c>
      <c r="Q2123" s="71">
        <f>IF(B2123="",0,INDEX(ModelParameters!$D$6:$K$10,MATCH($O2123,ModelParameters!$B$6:$B$10,0),MATCH($J2123,ModelParameters!$D$5:$K$5,0)))</f>
        <v>0.025</v>
      </c>
      <c r="R2123" s="71">
        <f>IF(B2123="",0,INDEX(ModelParameters!$D$13:$K$17,MATCH($O2123,ModelParameters!$B$13:$B$17,0),MATCH($J2123,ModelParameters!$D$5:$K$5,0)))</f>
        <v>0</v>
      </c>
      <c r="S2123" s="160">
        <f>IF(B2123="",0,MIN(IF($N2123="Other Bond TM",ModelParameters!$N$21,1)*(P2123*Q2123+R2123),1))</f>
        <v>0.0482509398925042</v>
      </c>
      <c r="T2123" s="85">
        <f>IF(B2123="",0,$S2123*$K2123)</f>
        <v>17.331385500087108</v>
      </c>
      <c r="U2123" s="85">
        <f>IF(B2123="",0,IF(OR(H2123=MappingTables!$C$34,H2123=MappingTables!$C$35),T2123,0))</f>
        <v>0</v>
      </c>
      <c r="V2123" s="85">
        <f>IF(ISNA(IF(AND(VLOOKUP(CONCATENATE($D2123,$G2123),CSRFinput!$B:$E,4,0)=0,OR(H2123=MappingTables!$C$34,H2123=MappingTables!$C$35)),1,VLOOKUP(CONCATENATE($D2123,$G2123),CSRFinput!$B:$E,4,0))),0,IF(AND(VLOOKUP(CONCATENATE($D2123,$G2123),CSRFinput!$B:$E,4,0)=0,OR(H2123=MappingTables!$C$34,H2123=MappingTables!$C$35)),1,VLOOKUP(CONCATENATE($D2123,$G2123),CSRFinput!$B:$E,4,0)))</f>
        <v>0.054776304963434752</v>
      </c>
      <c r="W2123" s="85">
        <f>IF(B2123="",0,+$T2123*$V2123)</f>
        <v>0.94934925759162256</v>
      </c>
      <c r="X2123" s="85">
        <f>IF(B2123="",0,IF(OR(H2123=MappingTables!$C$34,H2123=MappingTables!$C$35),W2123,0))</f>
        <v>0</v>
      </c>
    </row>
    <row r="2124" spans="2:24" s="0" customFormat="0" ht="15">
      <c r="B2124" s="69">
        <v>13302207</v>
      </c>
      <c r="C2124" s="70" t="s">
        <v>2060</v>
      </c>
      <c r="D2124" s="70" t="s">
        <v>1</v>
      </c>
      <c r="E2124" s="70" t="s">
        <v>1</v>
      </c>
      <c r="F2124" s="70"/>
      <c r="G2124" s="70" t="s">
        <v>61</v>
      </c>
      <c r="H2124" s="70" t="s">
        <v>178</v>
      </c>
      <c r="I2124" s="70" t="s">
        <v>188</v>
      </c>
      <c r="J2124" s="71">
        <f>IF(OR(I2124=0,I2124=""),"unrated",VLOOKUP(I2124,MappingTables!$B$19:$C$31,2,FALSE))</f>
        <v>2</v>
      </c>
      <c r="K2124" s="72">
        <v>1133.747019032368</v>
      </c>
      <c r="L2124" s="70">
        <v>0.084935703703182512</v>
      </c>
      <c r="M2124" s="71">
        <f>IF(L2124&lt;1,1,L2124)</f>
        <v>1</v>
      </c>
      <c r="N2124" s="70" t="s">
        <v>141</v>
      </c>
      <c r="O2124" s="71">
        <f>INDEX(DurClassMapping,MATCH(M2124,MappingTables!$D$4:$D$8,-1),1)</f>
        <v>1</v>
      </c>
      <c r="P2124" s="73">
        <f>IF(M2124=$A$1,1,$M2124-INDEX(MappingTables!$E$4:$E$8,MATCH(O2124,MappingTables!$B$4:$B$8,0)))</f>
        <v>1</v>
      </c>
      <c r="Q2124" s="71">
        <f>IF(B2124="",0,INDEX(ModelParameters!$D$6:$K$10,MATCH($O2124,ModelParameters!$B$6:$B$10,0),MATCH($J2124,ModelParameters!$D$5:$K$5,0)))</f>
        <v>0.013999999999999998</v>
      </c>
      <c r="R2124" s="71">
        <f>IF(B2124="",0,INDEX(ModelParameters!$D$13:$K$17,MATCH($O2124,ModelParameters!$B$13:$B$17,0),MATCH($J2124,ModelParameters!$D$5:$K$5,0)))</f>
        <v>0</v>
      </c>
      <c r="S2124" s="160">
        <f>IF(B2124="",0,MIN(IF($N2124="Other Bond TM",ModelParameters!$N$21,1)*(P2124*Q2124+R2124),1))</f>
        <v>0.013999999999999998</v>
      </c>
      <c r="T2124" s="85">
        <f>IF(B2124="",0,$S2124*$K2124)</f>
        <v>15.87245826645315</v>
      </c>
      <c r="U2124" s="85">
        <f>IF(B2124="",0,IF(OR(H2124=MappingTables!$C$34,H2124=MappingTables!$C$35),T2124,0))</f>
        <v>0</v>
      </c>
      <c r="V2124" s="85">
        <f>IF(ISNA(IF(AND(VLOOKUP(CONCATENATE($D2124,$G2124),CSRFinput!$B:$E,4,0)=0,OR(H2124=MappingTables!$C$34,H2124=MappingTables!$C$35)),1,VLOOKUP(CONCATENATE($D2124,$G2124),CSRFinput!$B:$E,4,0))),0,IF(AND(VLOOKUP(CONCATENATE($D2124,$G2124),CSRFinput!$B:$E,4,0)=0,OR(H2124=MappingTables!$C$34,H2124=MappingTables!$C$35)),1,VLOOKUP(CONCATENATE($D2124,$G2124),CSRFinput!$B:$E,4,0)))</f>
        <v>0.054776304963434752</v>
      </c>
      <c r="W2124" s="85">
        <f>IF(B2124="",0,+$T2124*$V2124)</f>
        <v>0.86943461452262864</v>
      </c>
      <c r="X2124" s="85">
        <f>IF(B2124="",0,IF(OR(H2124=MappingTables!$C$34,H2124=MappingTables!$C$35),W2124,0))</f>
        <v>0</v>
      </c>
    </row>
    <row r="2125" spans="2:24" s="0" customFormat="0" ht="15">
      <c r="B2125" s="69">
        <v>20626151</v>
      </c>
      <c r="C2125" s="70" t="s">
        <v>2209</v>
      </c>
      <c r="D2125" s="70" t="s">
        <v>1</v>
      </c>
      <c r="E2125" s="70" t="s">
        <v>1</v>
      </c>
      <c r="F2125" s="70"/>
      <c r="G2125" s="70" t="s">
        <v>61</v>
      </c>
      <c r="H2125" s="70" t="s">
        <v>178</v>
      </c>
      <c r="I2125" s="70" t="s">
        <v>188</v>
      </c>
      <c r="J2125" s="71">
        <f>IF(OR(I2125=0,I2125=""),"unrated",VLOOKUP(I2125,MappingTables!$B$19:$C$31,2,FALSE))</f>
        <v>2</v>
      </c>
      <c r="K2125" s="72">
        <v>25857.643874301008</v>
      </c>
      <c r="L2125" s="70">
        <v>8.0982490186284432</v>
      </c>
      <c r="M2125" s="71">
        <f>IF(L2125&lt;1,1,L2125)</f>
        <v>8.0982490186284432</v>
      </c>
      <c r="N2125" s="70" t="s">
        <v>141</v>
      </c>
      <c r="O2125" s="71">
        <f>INDEX(DurClassMapping,MATCH(M2125,MappingTables!$D$4:$D$8,-1),1)</f>
        <v>2</v>
      </c>
      <c r="P2125" s="73">
        <f>IF(M2125=$A$1,1,$M2125-INDEX(MappingTables!$E$4:$E$8,MATCH(O2125,MappingTables!$B$4:$B$8,0)))</f>
        <v>3.0982490186284436</v>
      </c>
      <c r="Q2125" s="71">
        <f>IF(B2125="",0,INDEX(ModelParameters!$D$6:$K$10,MATCH($O2125,ModelParameters!$B$6:$B$10,0),MATCH($J2125,ModelParameters!$D$5:$K$5,0)))</f>
        <v>0.0069999999999999992</v>
      </c>
      <c r="R2125" s="71">
        <f>IF(B2125="",0,INDEX(ModelParameters!$D$13:$K$17,MATCH($O2125,ModelParameters!$B$13:$B$17,0),MATCH($J2125,ModelParameters!$D$5:$K$5,0)))</f>
        <v>0.070000000000000008</v>
      </c>
      <c r="S2125" s="160">
        <f>IF(B2125="",0,MIN(IF($N2125="Other Bond TM",ModelParameters!$N$21,1)*(P2125*Q2125+R2125),1))</f>
        <v>0.091687743130399104</v>
      </c>
      <c r="T2125" s="85">
        <f>IF(B2125="",0,$S2125*$K2125)</f>
        <v>2370.8290095042488</v>
      </c>
      <c r="U2125" s="85">
        <f>IF(B2125="",0,IF(OR(H2125=MappingTables!$C$34,H2125=MappingTables!$C$35),T2125,0))</f>
        <v>0</v>
      </c>
      <c r="V2125" s="85">
        <f>IF(ISNA(IF(AND(VLOOKUP(CONCATENATE($D2125,$G2125),CSRFinput!$B:$E,4,0)=0,OR(H2125=MappingTables!$C$34,H2125=MappingTables!$C$35)),1,VLOOKUP(CONCATENATE($D2125,$G2125),CSRFinput!$B:$E,4,0))),0,IF(AND(VLOOKUP(CONCATENATE($D2125,$G2125),CSRFinput!$B:$E,4,0)=0,OR(H2125=MappingTables!$C$34,H2125=MappingTables!$C$35)),1,VLOOKUP(CONCATENATE($D2125,$G2125),CSRFinput!$B:$E,4,0)))</f>
        <v>0.054776304963434752</v>
      </c>
      <c r="W2125" s="85">
        <f>IF(B2125="",0,+$T2125*$V2125)</f>
        <v>129.86525284076268</v>
      </c>
      <c r="X2125" s="85">
        <f>IF(B2125="",0,IF(OR(H2125=MappingTables!$C$34,H2125=MappingTables!$C$35),W2125,0))</f>
        <v>0</v>
      </c>
    </row>
    <row r="2126" spans="2:24" s="0" customFormat="0" ht="15">
      <c r="B2126" s="69">
        <v>3092975</v>
      </c>
      <c r="C2126" s="70" t="s">
        <v>2210</v>
      </c>
      <c r="D2126" s="70" t="s">
        <v>1</v>
      </c>
      <c r="E2126" s="70" t="s">
        <v>1</v>
      </c>
      <c r="F2126" s="70"/>
      <c r="G2126" s="70" t="s">
        <v>61</v>
      </c>
      <c r="H2126" s="70" t="s">
        <v>178</v>
      </c>
      <c r="I2126" s="70" t="s">
        <v>181</v>
      </c>
      <c r="J2126" s="71">
        <f>IF(OR(I2126=0,I2126=""),"unrated",VLOOKUP(I2126,MappingTables!$B$19:$C$31,2,FALSE))</f>
        <v>3</v>
      </c>
      <c r="K2126" s="72">
        <v>689.7676323227108</v>
      </c>
      <c r="L2126" s="70">
        <v>0.37808341766657112</v>
      </c>
      <c r="M2126" s="71">
        <f>IF(L2126&lt;1,1,L2126)</f>
        <v>1</v>
      </c>
      <c r="N2126" s="70" t="s">
        <v>141</v>
      </c>
      <c r="O2126" s="71">
        <f>INDEX(DurClassMapping,MATCH(M2126,MappingTables!$D$4:$D$8,-1),1)</f>
        <v>1</v>
      </c>
      <c r="P2126" s="73">
        <f>IF(M2126=$A$1,1,$M2126-INDEX(MappingTables!$E$4:$E$8,MATCH(O2126,MappingTables!$B$4:$B$8,0)))</f>
        <v>1</v>
      </c>
      <c r="Q2126" s="71">
        <f>IF(B2126="",0,INDEX(ModelParameters!$D$6:$K$10,MATCH($O2126,ModelParameters!$B$6:$B$10,0),MATCH($J2126,ModelParameters!$D$5:$K$5,0)))</f>
        <v>0.025</v>
      </c>
      <c r="R2126" s="71">
        <f>IF(B2126="",0,INDEX(ModelParameters!$D$13:$K$17,MATCH($O2126,ModelParameters!$B$13:$B$17,0),MATCH($J2126,ModelParameters!$D$5:$K$5,0)))</f>
        <v>0</v>
      </c>
      <c r="S2126" s="160">
        <f>IF(B2126="",0,MIN(IF($N2126="Other Bond TM",ModelParameters!$N$21,1)*(P2126*Q2126+R2126),1))</f>
        <v>0.025</v>
      </c>
      <c r="T2126" s="85">
        <f>IF(B2126="",0,$S2126*$K2126)</f>
        <v>17.24419080806777</v>
      </c>
      <c r="U2126" s="85">
        <f>IF(B2126="",0,IF(OR(H2126=MappingTables!$C$34,H2126=MappingTables!$C$35),T2126,0))</f>
        <v>0</v>
      </c>
      <c r="V2126" s="85">
        <f>IF(ISNA(IF(AND(VLOOKUP(CONCATENATE($D2126,$G2126),CSRFinput!$B:$E,4,0)=0,OR(H2126=MappingTables!$C$34,H2126=MappingTables!$C$35)),1,VLOOKUP(CONCATENATE($D2126,$G2126),CSRFinput!$B:$E,4,0))),0,IF(AND(VLOOKUP(CONCATENATE($D2126,$G2126),CSRFinput!$B:$E,4,0)=0,OR(H2126=MappingTables!$C$34,H2126=MappingTables!$C$35)),1,VLOOKUP(CONCATENATE($D2126,$G2126),CSRFinput!$B:$E,4,0)))</f>
        <v>0.054776304963434752</v>
      </c>
      <c r="W2126" s="85">
        <f>IF(B2126="",0,+$T2126*$V2126)</f>
        <v>0.94457305455037856</v>
      </c>
      <c r="X2126" s="85">
        <f>IF(B2126="",0,IF(OR(H2126=MappingTables!$C$34,H2126=MappingTables!$C$35),W2126,0))</f>
        <v>0</v>
      </c>
    </row>
    <row r="2127" spans="2:24" s="0" customFormat="0" ht="15">
      <c r="B2127" s="69">
        <v>22387301</v>
      </c>
      <c r="C2127" s="70" t="s">
        <v>1860</v>
      </c>
      <c r="D2127" s="70" t="s">
        <v>1</v>
      </c>
      <c r="E2127" s="70" t="s">
        <v>1</v>
      </c>
      <c r="F2127" s="70"/>
      <c r="G2127" s="70" t="s">
        <v>61</v>
      </c>
      <c r="H2127" s="70" t="s">
        <v>178</v>
      </c>
      <c r="I2127" s="70" t="s">
        <v>181</v>
      </c>
      <c r="J2127" s="71">
        <f>IF(OR(I2127=0,I2127=""),"unrated",VLOOKUP(I2127,MappingTables!$B$19:$C$31,2,FALSE))</f>
        <v>3</v>
      </c>
      <c r="K2127" s="72">
        <v>22.019238331113728</v>
      </c>
      <c r="L2127" s="70">
        <v>16.476389087649434</v>
      </c>
      <c r="M2127" s="71">
        <f>IF(L2127&lt;1,1,L2127)</f>
        <v>16.476389087649434</v>
      </c>
      <c r="N2127" s="70" t="s">
        <v>141</v>
      </c>
      <c r="O2127" s="71">
        <f>INDEX(DurClassMapping,MATCH(M2127,MappingTables!$D$4:$D$8,-1),1)</f>
        <v>4</v>
      </c>
      <c r="P2127" s="73">
        <f>IF(M2127=$A$1,1,$M2127-INDEX(MappingTables!$E$4:$E$8,MATCH(O2127,MappingTables!$B$4:$B$8,0)))</f>
        <v>1.4763890876494336</v>
      </c>
      <c r="Q2127" s="71">
        <f>IF(B2127="",0,INDEX(ModelParameters!$D$6:$K$10,MATCH($O2127,ModelParameters!$B$6:$B$10,0),MATCH($J2127,ModelParameters!$D$5:$K$5,0)))</f>
        <v>0.01</v>
      </c>
      <c r="R2127" s="71">
        <f>IF(B2127="",0,INDEX(ModelParameters!$D$13:$K$17,MATCH($O2127,ModelParameters!$B$13:$B$17,0),MATCH($J2127,ModelParameters!$D$5:$K$5,0)))</f>
        <v>0.25</v>
      </c>
      <c r="S2127" s="160">
        <f>IF(B2127="",0,MIN(IF($N2127="Other Bond TM",ModelParameters!$N$21,1)*(P2127*Q2127+R2127),1))</f>
        <v>0.26476389087649432</v>
      </c>
      <c r="T2127" s="85">
        <f>IF(B2127="",0,$S2127*$K2127)</f>
        <v>5.829899214682516</v>
      </c>
      <c r="U2127" s="85">
        <f>IF(B2127="",0,IF(OR(H2127=MappingTables!$C$34,H2127=MappingTables!$C$35),T2127,0))</f>
        <v>0</v>
      </c>
      <c r="V2127" s="85">
        <f>IF(ISNA(IF(AND(VLOOKUP(CONCATENATE($D2127,$G2127),CSRFinput!$B:$E,4,0)=0,OR(H2127=MappingTables!$C$34,H2127=MappingTables!$C$35)),1,VLOOKUP(CONCATENATE($D2127,$G2127),CSRFinput!$B:$E,4,0))),0,IF(AND(VLOOKUP(CONCATENATE($D2127,$G2127),CSRFinput!$B:$E,4,0)=0,OR(H2127=MappingTables!$C$34,H2127=MappingTables!$C$35)),1,VLOOKUP(CONCATENATE($D2127,$G2127),CSRFinput!$B:$E,4,0)))</f>
        <v>0.054776304963434752</v>
      </c>
      <c r="W2127" s="85">
        <f>IF(B2127="",0,+$T2127*$V2127)</f>
        <v>0.31934033728953832</v>
      </c>
      <c r="X2127" s="85">
        <f>IF(B2127="",0,IF(OR(H2127=MappingTables!$C$34,H2127=MappingTables!$C$35),W2127,0))</f>
        <v>0</v>
      </c>
    </row>
    <row r="2128" spans="2:24" s="0" customFormat="0" ht="15">
      <c r="B2128" s="69">
        <v>18555381</v>
      </c>
      <c r="C2128" s="70" t="s">
        <v>2211</v>
      </c>
      <c r="D2128" s="70" t="s">
        <v>1</v>
      </c>
      <c r="E2128" s="70" t="s">
        <v>1</v>
      </c>
      <c r="F2128" s="70"/>
      <c r="G2128" s="70" t="s">
        <v>61</v>
      </c>
      <c r="H2128" s="70" t="s">
        <v>178</v>
      </c>
      <c r="I2128" s="70" t="s">
        <v>181</v>
      </c>
      <c r="J2128" s="71">
        <f>IF(OR(I2128=0,I2128=""),"unrated",VLOOKUP(I2128,MappingTables!$B$19:$C$31,2,FALSE))</f>
        <v>3</v>
      </c>
      <c r="K2128" s="72">
        <v>200.30811158701896</v>
      </c>
      <c r="L2128" s="70">
        <v>0.93623607825171456</v>
      </c>
      <c r="M2128" s="71">
        <f>IF(L2128&lt;1,1,L2128)</f>
        <v>1</v>
      </c>
      <c r="N2128" s="70" t="s">
        <v>141</v>
      </c>
      <c r="O2128" s="71">
        <f>INDEX(DurClassMapping,MATCH(M2128,MappingTables!$D$4:$D$8,-1),1)</f>
        <v>1</v>
      </c>
      <c r="P2128" s="73">
        <f>IF(M2128=$A$1,1,$M2128-INDEX(MappingTables!$E$4:$E$8,MATCH(O2128,MappingTables!$B$4:$B$8,0)))</f>
        <v>1</v>
      </c>
      <c r="Q2128" s="71">
        <f>IF(B2128="",0,INDEX(ModelParameters!$D$6:$K$10,MATCH($O2128,ModelParameters!$B$6:$B$10,0),MATCH($J2128,ModelParameters!$D$5:$K$5,0)))</f>
        <v>0.025</v>
      </c>
      <c r="R2128" s="71">
        <f>IF(B2128="",0,INDEX(ModelParameters!$D$13:$K$17,MATCH($O2128,ModelParameters!$B$13:$B$17,0),MATCH($J2128,ModelParameters!$D$5:$K$5,0)))</f>
        <v>0</v>
      </c>
      <c r="S2128" s="160">
        <f>IF(B2128="",0,MIN(IF($N2128="Other Bond TM",ModelParameters!$N$21,1)*(P2128*Q2128+R2128),1))</f>
        <v>0.025</v>
      </c>
      <c r="T2128" s="85">
        <f>IF(B2128="",0,$S2128*$K2128)</f>
        <v>5.0077027896754736</v>
      </c>
      <c r="U2128" s="85">
        <f>IF(B2128="",0,IF(OR(H2128=MappingTables!$C$34,H2128=MappingTables!$C$35),T2128,0))</f>
        <v>0</v>
      </c>
      <c r="V2128" s="85">
        <f>IF(ISNA(IF(AND(VLOOKUP(CONCATENATE($D2128,$G2128),CSRFinput!$B:$E,4,0)=0,OR(H2128=MappingTables!$C$34,H2128=MappingTables!$C$35)),1,VLOOKUP(CONCATENATE($D2128,$G2128),CSRFinput!$B:$E,4,0))),0,IF(AND(VLOOKUP(CONCATENATE($D2128,$G2128),CSRFinput!$B:$E,4,0)=0,OR(H2128=MappingTables!$C$34,H2128=MappingTables!$C$35)),1,VLOOKUP(CONCATENATE($D2128,$G2128),CSRFinput!$B:$E,4,0)))</f>
        <v>0.054776304963434752</v>
      </c>
      <c r="W2128" s="85">
        <f>IF(B2128="",0,+$T2128*$V2128)</f>
        <v>0.27430345517350668</v>
      </c>
      <c r="X2128" s="85">
        <f>IF(B2128="",0,IF(OR(H2128=MappingTables!$C$34,H2128=MappingTables!$C$35),W2128,0))</f>
        <v>0</v>
      </c>
    </row>
    <row r="2129" spans="2:24" s="0" customFormat="0" ht="15">
      <c r="B2129" s="69">
        <v>20231386</v>
      </c>
      <c r="C2129" s="70" t="s">
        <v>1145</v>
      </c>
      <c r="D2129" s="70" t="s">
        <v>1</v>
      </c>
      <c r="E2129" s="70" t="s">
        <v>1</v>
      </c>
      <c r="F2129" s="70"/>
      <c r="G2129" s="70" t="s">
        <v>61</v>
      </c>
      <c r="H2129" s="70" t="s">
        <v>178</v>
      </c>
      <c r="I2129" s="70" t="s">
        <v>188</v>
      </c>
      <c r="J2129" s="71">
        <f>IF(OR(I2129=0,I2129=""),"unrated",VLOOKUP(I2129,MappingTables!$B$19:$C$31,2,FALSE))</f>
        <v>2</v>
      </c>
      <c r="K2129" s="72">
        <v>875.49678450132176</v>
      </c>
      <c r="L2129" s="70">
        <v>17.675570888199562</v>
      </c>
      <c r="M2129" s="71">
        <f>IF(L2129&lt;1,1,L2129)</f>
        <v>17.675570888199562</v>
      </c>
      <c r="N2129" s="70" t="s">
        <v>141</v>
      </c>
      <c r="O2129" s="71">
        <f>INDEX(DurClassMapping,MATCH(M2129,MappingTables!$D$4:$D$8,-1),1)</f>
        <v>4</v>
      </c>
      <c r="P2129" s="73">
        <f>IF(M2129=$A$1,1,$M2129-INDEX(MappingTables!$E$4:$E$8,MATCH(O2129,MappingTables!$B$4:$B$8,0)))</f>
        <v>2.6755708881995624</v>
      </c>
      <c r="Q2129" s="71">
        <f>IF(B2129="",0,INDEX(ModelParameters!$D$6:$K$10,MATCH($O2129,ModelParameters!$B$6:$B$10,0),MATCH($J2129,ModelParameters!$D$5:$K$5,0)))</f>
        <v>0.005</v>
      </c>
      <c r="R2129" s="71">
        <f>IF(B2129="",0,INDEX(ModelParameters!$D$13:$K$17,MATCH($O2129,ModelParameters!$B$13:$B$17,0),MATCH($J2129,ModelParameters!$D$5:$K$5,0)))</f>
        <v>0.13</v>
      </c>
      <c r="S2129" s="160">
        <f>IF(B2129="",0,MIN(IF($N2129="Other Bond TM",ModelParameters!$N$21,1)*(P2129*Q2129+R2129),1))</f>
        <v>0.14337785444099782</v>
      </c>
      <c r="T2129" s="85">
        <f>IF(B2129="",0,$S2129*$K2129)</f>
        <v>125.52685053179214</v>
      </c>
      <c r="U2129" s="85">
        <f>IF(B2129="",0,IF(OR(H2129=MappingTables!$C$34,H2129=MappingTables!$C$35),T2129,0))</f>
        <v>0</v>
      </c>
      <c r="V2129" s="85">
        <f>IF(ISNA(IF(AND(VLOOKUP(CONCATENATE($D2129,$G2129),CSRFinput!$B:$E,4,0)=0,OR(H2129=MappingTables!$C$34,H2129=MappingTables!$C$35)),1,VLOOKUP(CONCATENATE($D2129,$G2129),CSRFinput!$B:$E,4,0))),0,IF(AND(VLOOKUP(CONCATENATE($D2129,$G2129),CSRFinput!$B:$E,4,0)=0,OR(H2129=MappingTables!$C$34,H2129=MappingTables!$C$35)),1,VLOOKUP(CONCATENATE($D2129,$G2129),CSRFinput!$B:$E,4,0)))</f>
        <v>0.054776304963434752</v>
      </c>
      <c r="W2129" s="85">
        <f>IF(B2129="",0,+$T2129*$V2129)</f>
        <v>6.8758970458289384</v>
      </c>
      <c r="X2129" s="85">
        <f>IF(B2129="",0,IF(OR(H2129=MappingTables!$C$34,H2129=MappingTables!$C$35),W2129,0))</f>
        <v>0</v>
      </c>
    </row>
    <row r="2130" spans="2:24" s="0" customFormat="0" ht="15">
      <c r="B2130" s="69">
        <v>14957286</v>
      </c>
      <c r="C2130" s="70" t="s">
        <v>2212</v>
      </c>
      <c r="D2130" s="70" t="s">
        <v>1</v>
      </c>
      <c r="E2130" s="70" t="s">
        <v>1</v>
      </c>
      <c r="F2130" s="70"/>
      <c r="G2130" s="70" t="s">
        <v>61</v>
      </c>
      <c r="H2130" s="70" t="s">
        <v>178</v>
      </c>
      <c r="I2130" s="70" t="s">
        <v>181</v>
      </c>
      <c r="J2130" s="71">
        <f>IF(OR(I2130=0,I2130=""),"unrated",VLOOKUP(I2130,MappingTables!$B$19:$C$31,2,FALSE))</f>
        <v>3</v>
      </c>
      <c r="K2130" s="72">
        <v>8694.916543578728</v>
      </c>
      <c r="L2130" s="70">
        <v>2.2055193118209956</v>
      </c>
      <c r="M2130" s="71">
        <f>IF(L2130&lt;1,1,L2130)</f>
        <v>2.2055193118209956</v>
      </c>
      <c r="N2130" s="70" t="s">
        <v>141</v>
      </c>
      <c r="O2130" s="71">
        <f>INDEX(DurClassMapping,MATCH(M2130,MappingTables!$D$4:$D$8,-1),1)</f>
        <v>1</v>
      </c>
      <c r="P2130" s="73">
        <f>IF(M2130=$A$1,1,$M2130-INDEX(MappingTables!$E$4:$E$8,MATCH(O2130,MappingTables!$B$4:$B$8,0)))</f>
        <v>2.2055193118209956</v>
      </c>
      <c r="Q2130" s="71">
        <f>IF(B2130="",0,INDEX(ModelParameters!$D$6:$K$10,MATCH($O2130,ModelParameters!$B$6:$B$10,0),MATCH($J2130,ModelParameters!$D$5:$K$5,0)))</f>
        <v>0.025</v>
      </c>
      <c r="R2130" s="71">
        <f>IF(B2130="",0,INDEX(ModelParameters!$D$13:$K$17,MATCH($O2130,ModelParameters!$B$13:$B$17,0),MATCH($J2130,ModelParameters!$D$5:$K$5,0)))</f>
        <v>0</v>
      </c>
      <c r="S2130" s="160">
        <f>IF(B2130="",0,MIN(IF($N2130="Other Bond TM",ModelParameters!$N$21,1)*(P2130*Q2130+R2130),1))</f>
        <v>0.055137982795524888</v>
      </c>
      <c r="T2130" s="85">
        <f>IF(B2130="",0,$S2130*$K2130)</f>
        <v>479.42015878836864</v>
      </c>
      <c r="U2130" s="85">
        <f>IF(B2130="",0,IF(OR(H2130=MappingTables!$C$34,H2130=MappingTables!$C$35),T2130,0))</f>
        <v>0</v>
      </c>
      <c r="V2130" s="85">
        <f>IF(ISNA(IF(AND(VLOOKUP(CONCATENATE($D2130,$G2130),CSRFinput!$B:$E,4,0)=0,OR(H2130=MappingTables!$C$34,H2130=MappingTables!$C$35)),1,VLOOKUP(CONCATENATE($D2130,$G2130),CSRFinput!$B:$E,4,0))),0,IF(AND(VLOOKUP(CONCATENATE($D2130,$G2130),CSRFinput!$B:$E,4,0)=0,OR(H2130=MappingTables!$C$34,H2130=MappingTables!$C$35)),1,VLOOKUP(CONCATENATE($D2130,$G2130),CSRFinput!$B:$E,4,0)))</f>
        <v>0.054776304963434752</v>
      </c>
      <c r="W2130" s="85">
        <f>IF(B2130="",0,+$T2130*$V2130)</f>
        <v>26.260864823409992</v>
      </c>
      <c r="X2130" s="85">
        <f>IF(B2130="",0,IF(OR(H2130=MappingTables!$C$34,H2130=MappingTables!$C$35),W2130,0))</f>
        <v>0</v>
      </c>
    </row>
    <row r="2131" spans="2:24" s="0" customFormat="0" ht="15">
      <c r="B2131" s="69">
        <v>12512024</v>
      </c>
      <c r="C2131" s="70" t="s">
        <v>1159</v>
      </c>
      <c r="D2131" s="70" t="s">
        <v>1</v>
      </c>
      <c r="E2131" s="70" t="s">
        <v>1</v>
      </c>
      <c r="F2131" s="70"/>
      <c r="G2131" s="70" t="s">
        <v>61</v>
      </c>
      <c r="H2131" s="70" t="s">
        <v>178</v>
      </c>
      <c r="I2131" s="70" t="s">
        <v>220</v>
      </c>
      <c r="J2131" s="71">
        <f>IF(OR(I2131=0,I2131=""),"unrated",VLOOKUP(I2131,MappingTables!$B$19:$C$31,2,FALSE))</f>
        <v>1</v>
      </c>
      <c r="K2131" s="72">
        <v>18.354567356924792</v>
      </c>
      <c r="L2131" s="70">
        <v>0.6395571542224424</v>
      </c>
      <c r="M2131" s="71">
        <f>IF(L2131&lt;1,1,L2131)</f>
        <v>1</v>
      </c>
      <c r="N2131" s="70" t="s">
        <v>141</v>
      </c>
      <c r="O2131" s="71">
        <f>INDEX(DurClassMapping,MATCH(M2131,MappingTables!$D$4:$D$8,-1),1)</f>
        <v>1</v>
      </c>
      <c r="P2131" s="73">
        <f>IF(M2131=$A$1,1,$M2131-INDEX(MappingTables!$E$4:$E$8,MATCH(O2131,MappingTables!$B$4:$B$8,0)))</f>
        <v>1</v>
      </c>
      <c r="Q2131" s="71">
        <f>IF(B2131="",0,INDEX(ModelParameters!$D$6:$K$10,MATCH($O2131,ModelParameters!$B$6:$B$10,0),MATCH($J2131,ModelParameters!$D$5:$K$5,0)))</f>
        <v>0.011000000000000002</v>
      </c>
      <c r="R2131" s="71">
        <f>IF(B2131="",0,INDEX(ModelParameters!$D$13:$K$17,MATCH($O2131,ModelParameters!$B$13:$B$17,0),MATCH($J2131,ModelParameters!$D$5:$K$5,0)))</f>
        <v>0</v>
      </c>
      <c r="S2131" s="160">
        <f>IF(B2131="",0,MIN(IF($N2131="Other Bond TM",ModelParameters!$N$21,1)*(P2131*Q2131+R2131),1))</f>
        <v>0.011000000000000002</v>
      </c>
      <c r="T2131" s="85">
        <f>IF(B2131="",0,$S2131*$K2131)</f>
        <v>0.20190024092617276</v>
      </c>
      <c r="U2131" s="85">
        <f>IF(B2131="",0,IF(OR(H2131=MappingTables!$C$34,H2131=MappingTables!$C$35),T2131,0))</f>
        <v>0</v>
      </c>
      <c r="V2131" s="85">
        <f>IF(ISNA(IF(AND(VLOOKUP(CONCATENATE($D2131,$G2131),CSRFinput!$B:$E,4,0)=0,OR(H2131=MappingTables!$C$34,H2131=MappingTables!$C$35)),1,VLOOKUP(CONCATENATE($D2131,$G2131),CSRFinput!$B:$E,4,0))),0,IF(AND(VLOOKUP(CONCATENATE($D2131,$G2131),CSRFinput!$B:$E,4,0)=0,OR(H2131=MappingTables!$C$34,H2131=MappingTables!$C$35)),1,VLOOKUP(CONCATENATE($D2131,$G2131),CSRFinput!$B:$E,4,0)))</f>
        <v>0.054776304963434752</v>
      </c>
      <c r="W2131" s="85">
        <f>IF(B2131="",0,+$T2131*$V2131)</f>
        <v>0.011059349169162988</v>
      </c>
      <c r="X2131" s="85">
        <f>IF(B2131="",0,IF(OR(H2131=MappingTables!$C$34,H2131=MappingTables!$C$35),W2131,0))</f>
        <v>0</v>
      </c>
    </row>
    <row r="2132" spans="2:24" s="0" customFormat="0" ht="15">
      <c r="B2132" s="69">
        <v>12339031</v>
      </c>
      <c r="C2132" s="70" t="s">
        <v>1679</v>
      </c>
      <c r="D2132" s="70" t="s">
        <v>1</v>
      </c>
      <c r="E2132" s="70" t="s">
        <v>1</v>
      </c>
      <c r="F2132" s="70"/>
      <c r="G2132" s="70" t="s">
        <v>61</v>
      </c>
      <c r="H2132" s="70" t="s">
        <v>178</v>
      </c>
      <c r="I2132" s="70" t="s">
        <v>188</v>
      </c>
      <c r="J2132" s="71">
        <f>IF(OR(I2132=0,I2132=""),"unrated",VLOOKUP(I2132,MappingTables!$B$19:$C$31,2,FALSE))</f>
        <v>2</v>
      </c>
      <c r="K2132" s="72">
        <v>344.18050864751164</v>
      </c>
      <c r="L2132" s="70">
        <v>0.56232180545540752</v>
      </c>
      <c r="M2132" s="71">
        <f>IF(L2132&lt;1,1,L2132)</f>
        <v>1</v>
      </c>
      <c r="N2132" s="70" t="s">
        <v>141</v>
      </c>
      <c r="O2132" s="71">
        <f>INDEX(DurClassMapping,MATCH(M2132,MappingTables!$D$4:$D$8,-1),1)</f>
        <v>1</v>
      </c>
      <c r="P2132" s="73">
        <f>IF(M2132=$A$1,1,$M2132-INDEX(MappingTables!$E$4:$E$8,MATCH(O2132,MappingTables!$B$4:$B$8,0)))</f>
        <v>1</v>
      </c>
      <c r="Q2132" s="71">
        <f>IF(B2132="",0,INDEX(ModelParameters!$D$6:$K$10,MATCH($O2132,ModelParameters!$B$6:$B$10,0),MATCH($J2132,ModelParameters!$D$5:$K$5,0)))</f>
        <v>0.013999999999999998</v>
      </c>
      <c r="R2132" s="71">
        <f>IF(B2132="",0,INDEX(ModelParameters!$D$13:$K$17,MATCH($O2132,ModelParameters!$B$13:$B$17,0),MATCH($J2132,ModelParameters!$D$5:$K$5,0)))</f>
        <v>0</v>
      </c>
      <c r="S2132" s="160">
        <f>IF(B2132="",0,MIN(IF($N2132="Other Bond TM",ModelParameters!$N$21,1)*(P2132*Q2132+R2132),1))</f>
        <v>0.013999999999999998</v>
      </c>
      <c r="T2132" s="85">
        <f>IF(B2132="",0,$S2132*$K2132)</f>
        <v>4.8185271210651624</v>
      </c>
      <c r="U2132" s="85">
        <f>IF(B2132="",0,IF(OR(H2132=MappingTables!$C$34,H2132=MappingTables!$C$35),T2132,0))</f>
        <v>0</v>
      </c>
      <c r="V2132" s="85">
        <f>IF(ISNA(IF(AND(VLOOKUP(CONCATENATE($D2132,$G2132),CSRFinput!$B:$E,4,0)=0,OR(H2132=MappingTables!$C$34,H2132=MappingTables!$C$35)),1,VLOOKUP(CONCATENATE($D2132,$G2132),CSRFinput!$B:$E,4,0))),0,IF(AND(VLOOKUP(CONCATENATE($D2132,$G2132),CSRFinput!$B:$E,4,0)=0,OR(H2132=MappingTables!$C$34,H2132=MappingTables!$C$35)),1,VLOOKUP(CONCATENATE($D2132,$G2132),CSRFinput!$B:$E,4,0)))</f>
        <v>0.054776304963434752</v>
      </c>
      <c r="W2132" s="85">
        <f>IF(B2132="",0,+$T2132*$V2132)</f>
        <v>0.26394111105804664</v>
      </c>
      <c r="X2132" s="85">
        <f>IF(B2132="",0,IF(OR(H2132=MappingTables!$C$34,H2132=MappingTables!$C$35),W2132,0))</f>
        <v>0</v>
      </c>
    </row>
    <row r="2133" spans="2:24" s="0" customFormat="0" ht="15">
      <c r="B2133" s="69">
        <v>20658178</v>
      </c>
      <c r="C2133" s="70" t="s">
        <v>2213</v>
      </c>
      <c r="D2133" s="70" t="s">
        <v>1</v>
      </c>
      <c r="E2133" s="70" t="s">
        <v>1</v>
      </c>
      <c r="F2133" s="70"/>
      <c r="G2133" s="70" t="s">
        <v>61</v>
      </c>
      <c r="H2133" s="70" t="s">
        <v>178</v>
      </c>
      <c r="I2133" s="70" t="s">
        <v>181</v>
      </c>
      <c r="J2133" s="71">
        <f>IF(OR(I2133=0,I2133=""),"unrated",VLOOKUP(I2133,MappingTables!$B$19:$C$31,2,FALSE))</f>
        <v>3</v>
      </c>
      <c r="K2133" s="72">
        <v>76.544313335398864</v>
      </c>
      <c r="L2133" s="70">
        <v>6.8846030289721032</v>
      </c>
      <c r="M2133" s="71">
        <f>IF(L2133&lt;1,1,L2133)</f>
        <v>6.8846030289721032</v>
      </c>
      <c r="N2133" s="70" t="s">
        <v>141</v>
      </c>
      <c r="O2133" s="71">
        <f>INDEX(DurClassMapping,MATCH(M2133,MappingTables!$D$4:$D$8,-1),1)</f>
        <v>2</v>
      </c>
      <c r="P2133" s="73">
        <f>IF(M2133=$A$1,1,$M2133-INDEX(MappingTables!$E$4:$E$8,MATCH(O2133,MappingTables!$B$4:$B$8,0)))</f>
        <v>1.8846030289721032</v>
      </c>
      <c r="Q2133" s="71">
        <f>IF(B2133="",0,INDEX(ModelParameters!$D$6:$K$10,MATCH($O2133,ModelParameters!$B$6:$B$10,0),MATCH($J2133,ModelParameters!$D$5:$K$5,0)))</f>
        <v>0.015</v>
      </c>
      <c r="R2133" s="71">
        <f>IF(B2133="",0,INDEX(ModelParameters!$D$13:$K$17,MATCH($O2133,ModelParameters!$B$13:$B$17,0),MATCH($J2133,ModelParameters!$D$5:$K$5,0)))</f>
        <v>0.125</v>
      </c>
      <c r="S2133" s="160">
        <f>IF(B2133="",0,MIN(IF($N2133="Other Bond TM",ModelParameters!$N$21,1)*(P2133*Q2133+R2133),1))</f>
        <v>0.15326904543458156</v>
      </c>
      <c r="T2133" s="85">
        <f>IF(B2133="",0,$S2133*$K2133)</f>
        <v>11.731873838362096</v>
      </c>
      <c r="U2133" s="85">
        <f>IF(B2133="",0,IF(OR(H2133=MappingTables!$C$34,H2133=MappingTables!$C$35),T2133,0))</f>
        <v>0</v>
      </c>
      <c r="V2133" s="85">
        <f>IF(ISNA(IF(AND(VLOOKUP(CONCATENATE($D2133,$G2133),CSRFinput!$B:$E,4,0)=0,OR(H2133=MappingTables!$C$34,H2133=MappingTables!$C$35)),1,VLOOKUP(CONCATENATE($D2133,$G2133),CSRFinput!$B:$E,4,0))),0,IF(AND(VLOOKUP(CONCATENATE($D2133,$G2133),CSRFinput!$B:$E,4,0)=0,OR(H2133=MappingTables!$C$34,H2133=MappingTables!$C$35)),1,VLOOKUP(CONCATENATE($D2133,$G2133),CSRFinput!$B:$E,4,0)))</f>
        <v>0.054776304963434752</v>
      </c>
      <c r="W2133" s="85">
        <f>IF(B2133="",0,+$T2133*$V2133)</f>
        <v>0.64262869916266408</v>
      </c>
      <c r="X2133" s="85">
        <f>IF(B2133="",0,IF(OR(H2133=MappingTables!$C$34,H2133=MappingTables!$C$35),W2133,0))</f>
        <v>0</v>
      </c>
    </row>
    <row r="2134" spans="2:24" s="0" customFormat="0" ht="15">
      <c r="B2134" s="69">
        <v>4881645</v>
      </c>
      <c r="C2134" s="70" t="s">
        <v>2214</v>
      </c>
      <c r="D2134" s="70" t="s">
        <v>1</v>
      </c>
      <c r="E2134" s="70" t="s">
        <v>1</v>
      </c>
      <c r="F2134" s="70"/>
      <c r="G2134" s="70" t="s">
        <v>61</v>
      </c>
      <c r="H2134" s="70" t="s">
        <v>178</v>
      </c>
      <c r="I2134" s="70" t="s">
        <v>179</v>
      </c>
      <c r="J2134" s="71">
        <f>IF(OR(I2134=0,I2134=""),"unrated",VLOOKUP(I2134,MappingTables!$B$19:$C$31,2,FALSE))</f>
        <v>4</v>
      </c>
      <c r="K2134" s="72">
        <v>3174.4422313271656</v>
      </c>
      <c r="L2134" s="70">
        <v>3.058661320203026</v>
      </c>
      <c r="M2134" s="71">
        <f>IF(L2134&lt;1,1,L2134)</f>
        <v>3.058661320203026</v>
      </c>
      <c r="N2134" s="70" t="s">
        <v>141</v>
      </c>
      <c r="O2134" s="71">
        <f>INDEX(DurClassMapping,MATCH(M2134,MappingTables!$D$4:$D$8,-1),1)</f>
        <v>1</v>
      </c>
      <c r="P2134" s="73">
        <f>IF(M2134=$A$1,1,$M2134-INDEX(MappingTables!$E$4:$E$8,MATCH(O2134,MappingTables!$B$4:$B$8,0)))</f>
        <v>3.058661320203026</v>
      </c>
      <c r="Q2134" s="71">
        <f>IF(B2134="",0,INDEX(ModelParameters!$D$6:$K$10,MATCH($O2134,ModelParameters!$B$6:$B$10,0),MATCH($J2134,ModelParameters!$D$5:$K$5,0)))</f>
        <v>0.045</v>
      </c>
      <c r="R2134" s="71">
        <f>IF(B2134="",0,INDEX(ModelParameters!$D$13:$K$17,MATCH($O2134,ModelParameters!$B$13:$B$17,0),MATCH($J2134,ModelParameters!$D$5:$K$5,0)))</f>
        <v>0</v>
      </c>
      <c r="S2134" s="160">
        <f>IF(B2134="",0,MIN(IF($N2134="Other Bond TM",ModelParameters!$N$21,1)*(P2134*Q2134+R2134),1))</f>
        <v>0.13763975940913616</v>
      </c>
      <c r="T2134" s="85">
        <f>IF(B2134="",0,$S2134*$K2134)</f>
        <v>436.92946497807248</v>
      </c>
      <c r="U2134" s="85">
        <f>IF(B2134="",0,IF(OR(H2134=MappingTables!$C$34,H2134=MappingTables!$C$35),T2134,0))</f>
        <v>0</v>
      </c>
      <c r="V2134" s="85">
        <f>IF(ISNA(IF(AND(VLOOKUP(CONCATENATE($D2134,$G2134),CSRFinput!$B:$E,4,0)=0,OR(H2134=MappingTables!$C$34,H2134=MappingTables!$C$35)),1,VLOOKUP(CONCATENATE($D2134,$G2134),CSRFinput!$B:$E,4,0))),0,IF(AND(VLOOKUP(CONCATENATE($D2134,$G2134),CSRFinput!$B:$E,4,0)=0,OR(H2134=MappingTables!$C$34,H2134=MappingTables!$C$35)),1,VLOOKUP(CONCATENATE($D2134,$G2134),CSRFinput!$B:$E,4,0)))</f>
        <v>0.054776304963434752</v>
      </c>
      <c r="W2134" s="85">
        <f>IF(B2134="",0,+$T2134*$V2134)</f>
        <v>23.933381621149284</v>
      </c>
      <c r="X2134" s="85">
        <f>IF(B2134="",0,IF(OR(H2134=MappingTables!$C$34,H2134=MappingTables!$C$35),W2134,0))</f>
        <v>0</v>
      </c>
    </row>
    <row r="2135" spans="2:24" s="0" customFormat="0" ht="15">
      <c r="B2135" s="69">
        <v>14542340</v>
      </c>
      <c r="C2135" s="70" t="s">
        <v>2215</v>
      </c>
      <c r="D2135" s="70" t="s">
        <v>1</v>
      </c>
      <c r="E2135" s="70" t="s">
        <v>1</v>
      </c>
      <c r="F2135" s="70"/>
      <c r="G2135" s="70" t="s">
        <v>61</v>
      </c>
      <c r="H2135" s="70" t="s">
        <v>178</v>
      </c>
      <c r="I2135" s="70" t="s">
        <v>220</v>
      </c>
      <c r="J2135" s="71">
        <f>IF(OR(I2135=0,I2135=""),"unrated",VLOOKUP(I2135,MappingTables!$B$19:$C$31,2,FALSE))</f>
        <v>1</v>
      </c>
      <c r="K2135" s="72">
        <v>4650.2641141140184</v>
      </c>
      <c r="L2135" s="70">
        <v>15.818527877938954</v>
      </c>
      <c r="M2135" s="71">
        <f>IF(L2135&lt;1,1,L2135)</f>
        <v>15.818527877938954</v>
      </c>
      <c r="N2135" s="70" t="s">
        <v>141</v>
      </c>
      <c r="O2135" s="71">
        <f>INDEX(DurClassMapping,MATCH(M2135,MappingTables!$D$4:$D$8,-1),1)</f>
        <v>4</v>
      </c>
      <c r="P2135" s="73">
        <f>IF(M2135=$A$1,1,$M2135-INDEX(MappingTables!$E$4:$E$8,MATCH(O2135,MappingTables!$B$4:$B$8,0)))</f>
        <v>0.81852787793895488</v>
      </c>
      <c r="Q2135" s="71">
        <f>IF(B2135="",0,INDEX(ModelParameters!$D$6:$K$10,MATCH($O2135,ModelParameters!$B$6:$B$10,0),MATCH($J2135,ModelParameters!$D$5:$K$5,0)))</f>
        <v>0.005</v>
      </c>
      <c r="R2135" s="71">
        <f>IF(B2135="",0,INDEX(ModelParameters!$D$13:$K$17,MATCH($O2135,ModelParameters!$B$13:$B$17,0),MATCH($J2135,ModelParameters!$D$5:$K$5,0)))</f>
        <v>0.11</v>
      </c>
      <c r="S2135" s="160">
        <f>IF(B2135="",0,MIN(IF($N2135="Other Bond TM",ModelParameters!$N$21,1)*(P2135*Q2135+R2135),1))</f>
        <v>0.11409263938969478</v>
      </c>
      <c r="T2135" s="85">
        <f>IF(B2135="",0,$S2135*$K2135)</f>
        <v>530.56090663844904</v>
      </c>
      <c r="U2135" s="85">
        <f>IF(B2135="",0,IF(OR(H2135=MappingTables!$C$34,H2135=MappingTables!$C$35),T2135,0))</f>
        <v>0</v>
      </c>
      <c r="V2135" s="85">
        <f>IF(ISNA(IF(AND(VLOOKUP(CONCATENATE($D2135,$G2135),CSRFinput!$B:$E,4,0)=0,OR(H2135=MappingTables!$C$34,H2135=MappingTables!$C$35)),1,VLOOKUP(CONCATENATE($D2135,$G2135),CSRFinput!$B:$E,4,0))),0,IF(AND(VLOOKUP(CONCATENATE($D2135,$G2135),CSRFinput!$B:$E,4,0)=0,OR(H2135=MappingTables!$C$34,H2135=MappingTables!$C$35)),1,VLOOKUP(CONCATENATE($D2135,$G2135),CSRFinput!$B:$E,4,0)))</f>
        <v>0.054776304963434752</v>
      </c>
      <c r="W2135" s="85">
        <f>IF(B2135="",0,+$T2135*$V2135)</f>
        <v>29.06216602370412</v>
      </c>
      <c r="X2135" s="85">
        <f>IF(B2135="",0,IF(OR(H2135=MappingTables!$C$34,H2135=MappingTables!$C$35),W2135,0))</f>
        <v>0</v>
      </c>
    </row>
    <row r="2136" spans="2:24" s="0" customFormat="0" ht="15">
      <c r="B2136" s="69" t="s">
        <v>668</v>
      </c>
      <c r="C2136" s="70" t="s">
        <v>669</v>
      </c>
      <c r="D2136" s="70" t="s">
        <v>1</v>
      </c>
      <c r="E2136" s="70" t="s">
        <v>1</v>
      </c>
      <c r="F2136" s="70"/>
      <c r="G2136" s="70" t="s">
        <v>61</v>
      </c>
      <c r="H2136" s="70" t="s">
        <v>178</v>
      </c>
      <c r="I2136" s="70" t="s">
        <v>198</v>
      </c>
      <c r="J2136" s="71" t="str">
        <f>IF(OR(I2136=0,I2136=""),"unrated",VLOOKUP(I2136,MappingTables!$B$19:$C$31,2,FALSE))</f>
        <v>unrated</v>
      </c>
      <c r="K2136" s="72">
        <v>0.24096711670923076</v>
      </c>
      <c r="L2136" s="70">
        <v>0.26849599440034676</v>
      </c>
      <c r="M2136" s="71">
        <f>IF(L2136&lt;1,1,L2136)</f>
        <v>1</v>
      </c>
      <c r="N2136" s="70" t="s">
        <v>141</v>
      </c>
      <c r="O2136" s="71">
        <f>INDEX(DurClassMapping,MATCH(M2136,MappingTables!$D$4:$D$8,-1),1)</f>
        <v>1</v>
      </c>
      <c r="P2136" s="73">
        <f>IF(M2136=$A$1,1,$M2136-INDEX(MappingTables!$E$4:$E$8,MATCH(O2136,MappingTables!$B$4:$B$8,0)))</f>
        <v>1</v>
      </c>
      <c r="Q2136" s="71">
        <f>IF(B2136="",0,INDEX(ModelParameters!$D$6:$K$10,MATCH($O2136,ModelParameters!$B$6:$B$10,0),MATCH($J2136,ModelParameters!$D$5:$K$5,0)))</f>
        <v>0.03</v>
      </c>
      <c r="R2136" s="71">
        <f>IF(B2136="",0,INDEX(ModelParameters!$D$13:$K$17,MATCH($O2136,ModelParameters!$B$13:$B$17,0),MATCH($J2136,ModelParameters!$D$5:$K$5,0)))</f>
        <v>0</v>
      </c>
      <c r="S2136" s="160">
        <f>IF(B2136="",0,MIN(IF($N2136="Other Bond TM",ModelParameters!$N$21,1)*(P2136*Q2136+R2136),1))</f>
        <v>0.03</v>
      </c>
      <c r="T2136" s="85">
        <f>IF(B2136="",0,$S2136*$K2136)</f>
        <v>0.0072290135012769232</v>
      </c>
      <c r="U2136" s="85">
        <f>IF(B2136="",0,IF(OR(H2136=MappingTables!$C$34,H2136=MappingTables!$C$35),T2136,0))</f>
        <v>0</v>
      </c>
      <c r="V2136" s="85">
        <f>IF(ISNA(IF(AND(VLOOKUP(CONCATENATE($D2136,$G2136),CSRFinput!$B:$E,4,0)=0,OR(H2136=MappingTables!$C$34,H2136=MappingTables!$C$35)),1,VLOOKUP(CONCATENATE($D2136,$G2136),CSRFinput!$B:$E,4,0))),0,IF(AND(VLOOKUP(CONCATENATE($D2136,$G2136),CSRFinput!$B:$E,4,0)=0,OR(H2136=MappingTables!$C$34,H2136=MappingTables!$C$35)),1,VLOOKUP(CONCATENATE($D2136,$G2136),CSRFinput!$B:$E,4,0)))</f>
        <v>0.054776304963434752</v>
      </c>
      <c r="W2136" s="85">
        <f>IF(B2136="",0,+$T2136*$V2136)</f>
        <v>0.000395978648130732</v>
      </c>
      <c r="X2136" s="85">
        <f>IF(B2136="",0,IF(OR(H2136=MappingTables!$C$34,H2136=MappingTables!$C$35),W2136,0))</f>
        <v>0</v>
      </c>
    </row>
    <row r="2137" spans="2:24" s="0" customFormat="0" ht="15">
      <c r="B2137" s="69" t="s">
        <v>1648</v>
      </c>
      <c r="C2137" s="70" t="s">
        <v>1649</v>
      </c>
      <c r="D2137" s="70" t="s">
        <v>1</v>
      </c>
      <c r="E2137" s="70" t="s">
        <v>1</v>
      </c>
      <c r="F2137" s="70"/>
      <c r="G2137" s="70" t="s">
        <v>61</v>
      </c>
      <c r="H2137" s="70" t="s">
        <v>178</v>
      </c>
      <c r="I2137" s="70" t="s">
        <v>181</v>
      </c>
      <c r="J2137" s="71">
        <f>IF(OR(I2137=0,I2137=""),"unrated",VLOOKUP(I2137,MappingTables!$B$19:$C$31,2,FALSE))</f>
        <v>3</v>
      </c>
      <c r="K2137" s="72">
        <v>1.827707577791214</v>
      </c>
      <c r="L2137" s="70">
        <v>2.0374525867097664</v>
      </c>
      <c r="M2137" s="71">
        <f>IF(L2137&lt;1,1,L2137)</f>
        <v>2.0374525867097664</v>
      </c>
      <c r="N2137" s="70" t="s">
        <v>141</v>
      </c>
      <c r="O2137" s="71">
        <f>INDEX(DurClassMapping,MATCH(M2137,MappingTables!$D$4:$D$8,-1),1)</f>
        <v>1</v>
      </c>
      <c r="P2137" s="73">
        <f>IF(M2137=$A$1,1,$M2137-INDEX(MappingTables!$E$4:$E$8,MATCH(O2137,MappingTables!$B$4:$B$8,0)))</f>
        <v>2.0374525867097664</v>
      </c>
      <c r="Q2137" s="71">
        <f>IF(B2137="",0,INDEX(ModelParameters!$D$6:$K$10,MATCH($O2137,ModelParameters!$B$6:$B$10,0),MATCH($J2137,ModelParameters!$D$5:$K$5,0)))</f>
        <v>0.025</v>
      </c>
      <c r="R2137" s="71">
        <f>IF(B2137="",0,INDEX(ModelParameters!$D$13:$K$17,MATCH($O2137,ModelParameters!$B$13:$B$17,0),MATCH($J2137,ModelParameters!$D$5:$K$5,0)))</f>
        <v>0</v>
      </c>
      <c r="S2137" s="160">
        <f>IF(B2137="",0,MIN(IF($N2137="Other Bond TM",ModelParameters!$N$21,1)*(P2137*Q2137+R2137),1))</f>
        <v>0.050936314667744168</v>
      </c>
      <c r="T2137" s="85">
        <f>IF(B2137="",0,$S2137*$K2137)</f>
        <v>0.093096688302993776</v>
      </c>
      <c r="U2137" s="85">
        <f>IF(B2137="",0,IF(OR(H2137=MappingTables!$C$34,H2137=MappingTables!$C$35),T2137,0))</f>
        <v>0</v>
      </c>
      <c r="V2137" s="85">
        <f>IF(ISNA(IF(AND(VLOOKUP(CONCATENATE($D2137,$G2137),CSRFinput!$B:$E,4,0)=0,OR(H2137=MappingTables!$C$34,H2137=MappingTables!$C$35)),1,VLOOKUP(CONCATENATE($D2137,$G2137),CSRFinput!$B:$E,4,0))),0,IF(AND(VLOOKUP(CONCATENATE($D2137,$G2137),CSRFinput!$B:$E,4,0)=0,OR(H2137=MappingTables!$C$34,H2137=MappingTables!$C$35)),1,VLOOKUP(CONCATENATE($D2137,$G2137),CSRFinput!$B:$E,4,0)))</f>
        <v>0.054776304963434752</v>
      </c>
      <c r="W2137" s="85">
        <f>IF(B2137="",0,+$T2137*$V2137)</f>
        <v>0.005099492589570616</v>
      </c>
      <c r="X2137" s="85">
        <f>IF(B2137="",0,IF(OR(H2137=MappingTables!$C$34,H2137=MappingTables!$C$35),W2137,0))</f>
        <v>0</v>
      </c>
    </row>
    <row r="2138" spans="2:24" s="0" customFormat="0" ht="15">
      <c r="B2138" s="69">
        <v>16080840</v>
      </c>
      <c r="C2138" s="70" t="s">
        <v>2216</v>
      </c>
      <c r="D2138" s="70" t="s">
        <v>1</v>
      </c>
      <c r="E2138" s="70" t="s">
        <v>1</v>
      </c>
      <c r="F2138" s="70"/>
      <c r="G2138" s="70" t="s">
        <v>61</v>
      </c>
      <c r="H2138" s="70" t="s">
        <v>178</v>
      </c>
      <c r="I2138" s="70" t="s">
        <v>181</v>
      </c>
      <c r="J2138" s="71">
        <f>IF(OR(I2138=0,I2138=""),"unrated",VLOOKUP(I2138,MappingTables!$B$19:$C$31,2,FALSE))</f>
        <v>3</v>
      </c>
      <c r="K2138" s="72">
        <v>11080.450413337824</v>
      </c>
      <c r="L2138" s="70">
        <v>0.29041101298014908</v>
      </c>
      <c r="M2138" s="71">
        <f>IF(L2138&lt;1,1,L2138)</f>
        <v>1</v>
      </c>
      <c r="N2138" s="70" t="s">
        <v>141</v>
      </c>
      <c r="O2138" s="71">
        <f>INDEX(DurClassMapping,MATCH(M2138,MappingTables!$D$4:$D$8,-1),1)</f>
        <v>1</v>
      </c>
      <c r="P2138" s="73">
        <f>IF(M2138=$A$1,1,$M2138-INDEX(MappingTables!$E$4:$E$8,MATCH(O2138,MappingTables!$B$4:$B$8,0)))</f>
        <v>1</v>
      </c>
      <c r="Q2138" s="71">
        <f>IF(B2138="",0,INDEX(ModelParameters!$D$6:$K$10,MATCH($O2138,ModelParameters!$B$6:$B$10,0),MATCH($J2138,ModelParameters!$D$5:$K$5,0)))</f>
        <v>0.025</v>
      </c>
      <c r="R2138" s="71">
        <f>IF(B2138="",0,INDEX(ModelParameters!$D$13:$K$17,MATCH($O2138,ModelParameters!$B$13:$B$17,0),MATCH($J2138,ModelParameters!$D$5:$K$5,0)))</f>
        <v>0</v>
      </c>
      <c r="S2138" s="160">
        <f>IF(B2138="",0,MIN(IF($N2138="Other Bond TM",ModelParameters!$N$21,1)*(P2138*Q2138+R2138),1))</f>
        <v>0.025</v>
      </c>
      <c r="T2138" s="85">
        <f>IF(B2138="",0,$S2138*$K2138)</f>
        <v>277.0112603334456</v>
      </c>
      <c r="U2138" s="85">
        <f>IF(B2138="",0,IF(OR(H2138=MappingTables!$C$34,H2138=MappingTables!$C$35),T2138,0))</f>
        <v>0</v>
      </c>
      <c r="V2138" s="85">
        <f>IF(ISNA(IF(AND(VLOOKUP(CONCATENATE($D2138,$G2138),CSRFinput!$B:$E,4,0)=0,OR(H2138=MappingTables!$C$34,H2138=MappingTables!$C$35)),1,VLOOKUP(CONCATENATE($D2138,$G2138),CSRFinput!$B:$E,4,0))),0,IF(AND(VLOOKUP(CONCATENATE($D2138,$G2138),CSRFinput!$B:$E,4,0)=0,OR(H2138=MappingTables!$C$34,H2138=MappingTables!$C$35)),1,VLOOKUP(CONCATENATE($D2138,$G2138),CSRFinput!$B:$E,4,0)))</f>
        <v>0.054776304963434752</v>
      </c>
      <c r="W2138" s="85">
        <f>IF(B2138="",0,+$T2138*$V2138)</f>
        <v>15.173653274330234</v>
      </c>
      <c r="X2138" s="85">
        <f>IF(B2138="",0,IF(OR(H2138=MappingTables!$C$34,H2138=MappingTables!$C$35),W2138,0))</f>
        <v>0</v>
      </c>
    </row>
    <row r="2139" spans="2:24" s="0" customFormat="0" ht="15">
      <c r="B2139" s="69">
        <v>23145105</v>
      </c>
      <c r="C2139" s="70" t="s">
        <v>742</v>
      </c>
      <c r="D2139" s="70" t="s">
        <v>1</v>
      </c>
      <c r="E2139" s="70" t="s">
        <v>1</v>
      </c>
      <c r="F2139" s="70"/>
      <c r="G2139" s="70" t="s">
        <v>61</v>
      </c>
      <c r="H2139" s="70" t="s">
        <v>178</v>
      </c>
      <c r="I2139" s="70" t="s">
        <v>181</v>
      </c>
      <c r="J2139" s="71">
        <f>IF(OR(I2139=0,I2139=""),"unrated",VLOOKUP(I2139,MappingTables!$B$19:$C$31,2,FALSE))</f>
        <v>3</v>
      </c>
      <c r="K2139" s="72">
        <v>3776.1082712109544</v>
      </c>
      <c r="L2139" s="70">
        <v>7.1637133073062512</v>
      </c>
      <c r="M2139" s="71">
        <f>IF(L2139&lt;1,1,L2139)</f>
        <v>7.1637133073062512</v>
      </c>
      <c r="N2139" s="70" t="s">
        <v>141</v>
      </c>
      <c r="O2139" s="71">
        <f>INDEX(DurClassMapping,MATCH(M2139,MappingTables!$D$4:$D$8,-1),1)</f>
        <v>2</v>
      </c>
      <c r="P2139" s="73">
        <f>IF(M2139=$A$1,1,$M2139-INDEX(MappingTables!$E$4:$E$8,MATCH(O2139,MappingTables!$B$4:$B$8,0)))</f>
        <v>2.1637133073062512</v>
      </c>
      <c r="Q2139" s="71">
        <f>IF(B2139="",0,INDEX(ModelParameters!$D$6:$K$10,MATCH($O2139,ModelParameters!$B$6:$B$10,0),MATCH($J2139,ModelParameters!$D$5:$K$5,0)))</f>
        <v>0.015</v>
      </c>
      <c r="R2139" s="71">
        <f>IF(B2139="",0,INDEX(ModelParameters!$D$13:$K$17,MATCH($O2139,ModelParameters!$B$13:$B$17,0),MATCH($J2139,ModelParameters!$D$5:$K$5,0)))</f>
        <v>0.125</v>
      </c>
      <c r="S2139" s="160">
        <f>IF(B2139="",0,MIN(IF($N2139="Other Bond TM",ModelParameters!$N$21,1)*(P2139*Q2139+R2139),1))</f>
        <v>0.15745569960959376</v>
      </c>
      <c r="T2139" s="85">
        <f>IF(B2139="",0,$S2139*$K2139)</f>
        <v>594.56976964509456</v>
      </c>
      <c r="U2139" s="85">
        <f>IF(B2139="",0,IF(OR(H2139=MappingTables!$C$34,H2139=MappingTables!$C$35),T2139,0))</f>
        <v>0</v>
      </c>
      <c r="V2139" s="85">
        <f>IF(ISNA(IF(AND(VLOOKUP(CONCATENATE($D2139,$G2139),CSRFinput!$B:$E,4,0)=0,OR(H2139=MappingTables!$C$34,H2139=MappingTables!$C$35)),1,VLOOKUP(CONCATENATE($D2139,$G2139),CSRFinput!$B:$E,4,0))),0,IF(AND(VLOOKUP(CONCATENATE($D2139,$G2139),CSRFinput!$B:$E,4,0)=0,OR(H2139=MappingTables!$C$34,H2139=MappingTables!$C$35)),1,VLOOKUP(CONCATENATE($D2139,$G2139),CSRFinput!$B:$E,4,0)))</f>
        <v>0.054776304963434752</v>
      </c>
      <c r="W2139" s="85">
        <f>IF(B2139="",0,+$T2139*$V2139)</f>
        <v>32.568335024118852</v>
      </c>
      <c r="X2139" s="85">
        <f>IF(B2139="",0,IF(OR(H2139=MappingTables!$C$34,H2139=MappingTables!$C$35),W2139,0))</f>
        <v>0</v>
      </c>
    </row>
    <row r="2140" spans="2:24" s="0" customFormat="0" ht="15">
      <c r="B2140" s="69" t="s">
        <v>2217</v>
      </c>
      <c r="C2140" s="70" t="s">
        <v>2218</v>
      </c>
      <c r="D2140" s="70" t="s">
        <v>1</v>
      </c>
      <c r="E2140" s="70" t="s">
        <v>1</v>
      </c>
      <c r="F2140" s="70"/>
      <c r="G2140" s="70" t="s">
        <v>61</v>
      </c>
      <c r="H2140" s="70" t="s">
        <v>178</v>
      </c>
      <c r="I2140" s="70" t="s">
        <v>198</v>
      </c>
      <c r="J2140" s="71" t="str">
        <f>IF(OR(I2140=0,I2140=""),"unrated",VLOOKUP(I2140,MappingTables!$B$19:$C$31,2,FALSE))</f>
        <v>unrated</v>
      </c>
      <c r="K2140" s="72">
        <v>97.96363796897384</v>
      </c>
      <c r="L2140" s="70">
        <v>5.8798407568579576</v>
      </c>
      <c r="M2140" s="71">
        <f>IF(L2140&lt;1,1,L2140)</f>
        <v>5.8798407568579576</v>
      </c>
      <c r="N2140" s="70" t="s">
        <v>141</v>
      </c>
      <c r="O2140" s="71">
        <f>INDEX(DurClassMapping,MATCH(M2140,MappingTables!$D$4:$D$8,-1),1)</f>
        <v>2</v>
      </c>
      <c r="P2140" s="73">
        <f>IF(M2140=$A$1,1,$M2140-INDEX(MappingTables!$E$4:$E$8,MATCH(O2140,MappingTables!$B$4:$B$8,0)))</f>
        <v>0.87984075685795744</v>
      </c>
      <c r="Q2140" s="71">
        <f>IF(B2140="",0,INDEX(ModelParameters!$D$6:$K$10,MATCH($O2140,ModelParameters!$B$6:$B$10,0),MATCH($J2140,ModelParameters!$D$5:$K$5,0)))</f>
        <v>0.017000000000000002</v>
      </c>
      <c r="R2140" s="71">
        <f>IF(B2140="",0,INDEX(ModelParameters!$D$13:$K$17,MATCH($O2140,ModelParameters!$B$13:$B$17,0),MATCH($J2140,ModelParameters!$D$5:$K$5,0)))</f>
        <v>0.15</v>
      </c>
      <c r="S2140" s="160">
        <f>IF(B2140="",0,MIN(IF($N2140="Other Bond TM",ModelParameters!$N$21,1)*(P2140*Q2140+R2140),1))</f>
        <v>0.16495729286658528</v>
      </c>
      <c r="T2140" s="85">
        <f>IF(B2140="",0,$S2140*$K2140)</f>
        <v>16.159816518724152</v>
      </c>
      <c r="U2140" s="85">
        <f>IF(B2140="",0,IF(OR(H2140=MappingTables!$C$34,H2140=MappingTables!$C$35),T2140,0))</f>
        <v>0</v>
      </c>
      <c r="V2140" s="85">
        <f>IF(ISNA(IF(AND(VLOOKUP(CONCATENATE($D2140,$G2140),CSRFinput!$B:$E,4,0)=0,OR(H2140=MappingTables!$C$34,H2140=MappingTables!$C$35)),1,VLOOKUP(CONCATENATE($D2140,$G2140),CSRFinput!$B:$E,4,0))),0,IF(AND(VLOOKUP(CONCATENATE($D2140,$G2140),CSRFinput!$B:$E,4,0)=0,OR(H2140=MappingTables!$C$34,H2140=MappingTables!$C$35)),1,VLOOKUP(CONCATENATE($D2140,$G2140),CSRFinput!$B:$E,4,0)))</f>
        <v>0.054776304963434752</v>
      </c>
      <c r="W2140" s="85">
        <f>IF(B2140="",0,+$T2140*$V2140)</f>
        <v>0.8851750377827848</v>
      </c>
      <c r="X2140" s="85">
        <f>IF(B2140="",0,IF(OR(H2140=MappingTables!$C$34,H2140=MappingTables!$C$35),W2140,0))</f>
        <v>0</v>
      </c>
    </row>
    <row r="2141" spans="2:24" s="0" customFormat="0" ht="15">
      <c r="B2141" s="69" t="s">
        <v>2219</v>
      </c>
      <c r="C2141" s="70" t="s">
        <v>2220</v>
      </c>
      <c r="D2141" s="70" t="s">
        <v>1</v>
      </c>
      <c r="E2141" s="70" t="s">
        <v>1</v>
      </c>
      <c r="F2141" s="70"/>
      <c r="G2141" s="70" t="s">
        <v>61</v>
      </c>
      <c r="H2141" s="70" t="s">
        <v>178</v>
      </c>
      <c r="I2141" s="70" t="s">
        <v>181</v>
      </c>
      <c r="J2141" s="71">
        <f>IF(OR(I2141=0,I2141=""),"unrated",VLOOKUP(I2141,MappingTables!$B$19:$C$31,2,FALSE))</f>
        <v>3</v>
      </c>
      <c r="K2141" s="72">
        <v>13.861015445238192</v>
      </c>
      <c r="L2141" s="70">
        <v>2.6466621202934036</v>
      </c>
      <c r="M2141" s="71">
        <f>IF(L2141&lt;1,1,L2141)</f>
        <v>2.6466621202934036</v>
      </c>
      <c r="N2141" s="70" t="s">
        <v>141</v>
      </c>
      <c r="O2141" s="71">
        <f>INDEX(DurClassMapping,MATCH(M2141,MappingTables!$D$4:$D$8,-1),1)</f>
        <v>1</v>
      </c>
      <c r="P2141" s="73">
        <f>IF(M2141=$A$1,1,$M2141-INDEX(MappingTables!$E$4:$E$8,MATCH(O2141,MappingTables!$B$4:$B$8,0)))</f>
        <v>2.6466621202934036</v>
      </c>
      <c r="Q2141" s="71">
        <f>IF(B2141="",0,INDEX(ModelParameters!$D$6:$K$10,MATCH($O2141,ModelParameters!$B$6:$B$10,0),MATCH($J2141,ModelParameters!$D$5:$K$5,0)))</f>
        <v>0.025</v>
      </c>
      <c r="R2141" s="71">
        <f>IF(B2141="",0,INDEX(ModelParameters!$D$13:$K$17,MATCH($O2141,ModelParameters!$B$13:$B$17,0),MATCH($J2141,ModelParameters!$D$5:$K$5,0)))</f>
        <v>0</v>
      </c>
      <c r="S2141" s="160">
        <f>IF(B2141="",0,MIN(IF($N2141="Other Bond TM",ModelParameters!$N$21,1)*(P2141*Q2141+R2141),1))</f>
        <v>0.066166553007335096</v>
      </c>
      <c r="T2141" s="85">
        <f>IF(B2141="",0,$S2141*$K2141)</f>
        <v>0.9171356131928432</v>
      </c>
      <c r="U2141" s="85">
        <f>IF(B2141="",0,IF(OR(H2141=MappingTables!$C$34,H2141=MappingTables!$C$35),T2141,0))</f>
        <v>0</v>
      </c>
      <c r="V2141" s="85">
        <f>IF(ISNA(IF(AND(VLOOKUP(CONCATENATE($D2141,$G2141),CSRFinput!$B:$E,4,0)=0,OR(H2141=MappingTables!$C$34,H2141=MappingTables!$C$35)),1,VLOOKUP(CONCATENATE($D2141,$G2141),CSRFinput!$B:$E,4,0))),0,IF(AND(VLOOKUP(CONCATENATE($D2141,$G2141),CSRFinput!$B:$E,4,0)=0,OR(H2141=MappingTables!$C$34,H2141=MappingTables!$C$35)),1,VLOOKUP(CONCATENATE($D2141,$G2141),CSRFinput!$B:$E,4,0)))</f>
        <v>0.054776304963434752</v>
      </c>
      <c r="W2141" s="85">
        <f>IF(B2141="",0,+$T2141*$V2141)</f>
        <v>0.050237300041077912</v>
      </c>
      <c r="X2141" s="85">
        <f>IF(B2141="",0,IF(OR(H2141=MappingTables!$C$34,H2141=MappingTables!$C$35),W2141,0))</f>
        <v>0</v>
      </c>
    </row>
    <row r="2142" spans="2:24" s="0" customFormat="0" ht="15">
      <c r="B2142" s="69">
        <v>16192326</v>
      </c>
      <c r="C2142" s="70" t="s">
        <v>1547</v>
      </c>
      <c r="D2142" s="70" t="s">
        <v>1</v>
      </c>
      <c r="E2142" s="70" t="s">
        <v>1</v>
      </c>
      <c r="F2142" s="70"/>
      <c r="G2142" s="70" t="s">
        <v>61</v>
      </c>
      <c r="H2142" s="70" t="s">
        <v>178</v>
      </c>
      <c r="I2142" s="70" t="s">
        <v>181</v>
      </c>
      <c r="J2142" s="71">
        <f>IF(OR(I2142=0,I2142=""),"unrated",VLOOKUP(I2142,MappingTables!$B$19:$C$31,2,FALSE))</f>
        <v>3</v>
      </c>
      <c r="K2142" s="72">
        <v>127.89516677899376</v>
      </c>
      <c r="L2142" s="70">
        <v>5.5072315162186544</v>
      </c>
      <c r="M2142" s="71">
        <f>IF(L2142&lt;1,1,L2142)</f>
        <v>5.5072315162186544</v>
      </c>
      <c r="N2142" s="70" t="s">
        <v>141</v>
      </c>
      <c r="O2142" s="71">
        <f>INDEX(DurClassMapping,MATCH(M2142,MappingTables!$D$4:$D$8,-1),1)</f>
        <v>2</v>
      </c>
      <c r="P2142" s="73">
        <f>IF(M2142=$A$1,1,$M2142-INDEX(MappingTables!$E$4:$E$8,MATCH(O2142,MappingTables!$B$4:$B$8,0)))</f>
        <v>0.50723151621865448</v>
      </c>
      <c r="Q2142" s="71">
        <f>IF(B2142="",0,INDEX(ModelParameters!$D$6:$K$10,MATCH($O2142,ModelParameters!$B$6:$B$10,0),MATCH($J2142,ModelParameters!$D$5:$K$5,0)))</f>
        <v>0.015</v>
      </c>
      <c r="R2142" s="71">
        <f>IF(B2142="",0,INDEX(ModelParameters!$D$13:$K$17,MATCH($O2142,ModelParameters!$B$13:$B$17,0),MATCH($J2142,ModelParameters!$D$5:$K$5,0)))</f>
        <v>0.125</v>
      </c>
      <c r="S2142" s="160">
        <f>IF(B2142="",0,MIN(IF($N2142="Other Bond TM",ModelParameters!$N$21,1)*(P2142*Q2142+R2142),1))</f>
        <v>0.1326084727432798</v>
      </c>
      <c r="T2142" s="85">
        <f>IF(B2142="",0,$S2142*$K2142)</f>
        <v>16.95998273780942</v>
      </c>
      <c r="U2142" s="85">
        <f>IF(B2142="",0,IF(OR(H2142=MappingTables!$C$34,H2142=MappingTables!$C$35),T2142,0))</f>
        <v>0</v>
      </c>
      <c r="V2142" s="85">
        <f>IF(ISNA(IF(AND(VLOOKUP(CONCATENATE($D2142,$G2142),CSRFinput!$B:$E,4,0)=0,OR(H2142=MappingTables!$C$34,H2142=MappingTables!$C$35)),1,VLOOKUP(CONCATENATE($D2142,$G2142),CSRFinput!$B:$E,4,0))),0,IF(AND(VLOOKUP(CONCATENATE($D2142,$G2142),CSRFinput!$B:$E,4,0)=0,OR(H2142=MappingTables!$C$34,H2142=MappingTables!$C$35)),1,VLOOKUP(CONCATENATE($D2142,$G2142),CSRFinput!$B:$E,4,0)))</f>
        <v>0.054776304963434752</v>
      </c>
      <c r="W2142" s="85">
        <f>IF(B2142="",0,+$T2142*$V2142)</f>
        <v>0.92900518662083792</v>
      </c>
      <c r="X2142" s="85">
        <f>IF(B2142="",0,IF(OR(H2142=MappingTables!$C$34,H2142=MappingTables!$C$35),W2142,0))</f>
        <v>0</v>
      </c>
    </row>
    <row r="2143" spans="2:24" s="0" customFormat="0" ht="15">
      <c r="B2143" s="69">
        <v>23861635</v>
      </c>
      <c r="C2143" s="70" t="s">
        <v>379</v>
      </c>
      <c r="D2143" s="70" t="s">
        <v>1</v>
      </c>
      <c r="E2143" s="70" t="s">
        <v>1</v>
      </c>
      <c r="F2143" s="70"/>
      <c r="G2143" s="70" t="s">
        <v>61</v>
      </c>
      <c r="H2143" s="70" t="s">
        <v>178</v>
      </c>
      <c r="I2143" s="70" t="s">
        <v>179</v>
      </c>
      <c r="J2143" s="71">
        <f>IF(OR(I2143=0,I2143=""),"unrated",VLOOKUP(I2143,MappingTables!$B$19:$C$31,2,FALSE))</f>
        <v>4</v>
      </c>
      <c r="K2143" s="72">
        <v>3264.8344597990812</v>
      </c>
      <c r="L2143" s="70">
        <v>5.980776813747684</v>
      </c>
      <c r="M2143" s="71">
        <f>IF(L2143&lt;1,1,L2143)</f>
        <v>5.980776813747684</v>
      </c>
      <c r="N2143" s="70" t="s">
        <v>141</v>
      </c>
      <c r="O2143" s="71">
        <f>INDEX(DurClassMapping,MATCH(M2143,MappingTables!$D$4:$D$8,-1),1)</f>
        <v>2</v>
      </c>
      <c r="P2143" s="73">
        <f>IF(M2143=$A$1,1,$M2143-INDEX(MappingTables!$E$4:$E$8,MATCH(O2143,MappingTables!$B$4:$B$8,0)))</f>
        <v>0.980776813747684</v>
      </c>
      <c r="Q2143" s="71">
        <f>IF(B2143="",0,INDEX(ModelParameters!$D$6:$K$10,MATCH($O2143,ModelParameters!$B$6:$B$10,0),MATCH($J2143,ModelParameters!$D$5:$K$5,0)))</f>
        <v>0.025</v>
      </c>
      <c r="R2143" s="71">
        <f>IF(B2143="",0,INDEX(ModelParameters!$D$13:$K$17,MATCH($O2143,ModelParameters!$B$13:$B$17,0),MATCH($J2143,ModelParameters!$D$5:$K$5,0)))</f>
        <v>0.225</v>
      </c>
      <c r="S2143" s="160">
        <f>IF(B2143="",0,MIN(IF($N2143="Other Bond TM",ModelParameters!$N$21,1)*(P2143*Q2143+R2143),1))</f>
        <v>0.24951942034369212</v>
      </c>
      <c r="T2143" s="85">
        <f>IF(B2143="",0,$S2143*$K2143)</f>
        <v>814.63960192717792</v>
      </c>
      <c r="U2143" s="85">
        <f>IF(B2143="",0,IF(OR(H2143=MappingTables!$C$34,H2143=MappingTables!$C$35),T2143,0))</f>
        <v>0</v>
      </c>
      <c r="V2143" s="85">
        <f>IF(ISNA(IF(AND(VLOOKUP(CONCATENATE($D2143,$G2143),CSRFinput!$B:$E,4,0)=0,OR(H2143=MappingTables!$C$34,H2143=MappingTables!$C$35)),1,VLOOKUP(CONCATENATE($D2143,$G2143),CSRFinput!$B:$E,4,0))),0,IF(AND(VLOOKUP(CONCATENATE($D2143,$G2143),CSRFinput!$B:$E,4,0)=0,OR(H2143=MappingTables!$C$34,H2143=MappingTables!$C$35)),1,VLOOKUP(CONCATENATE($D2143,$G2143),CSRFinput!$B:$E,4,0)))</f>
        <v>0.054776304963434752</v>
      </c>
      <c r="W2143" s="85">
        <f>IF(B2143="",0,+$T2143*$V2143)</f>
        <v>44.622947270454192</v>
      </c>
      <c r="X2143" s="85">
        <f>IF(B2143="",0,IF(OR(H2143=MappingTables!$C$34,H2143=MappingTables!$C$35),W2143,0))</f>
        <v>0</v>
      </c>
    </row>
    <row r="2144" spans="2:24" s="0" customFormat="0" ht="15">
      <c r="B2144" s="69">
        <v>13240037</v>
      </c>
      <c r="C2144" s="70" t="s">
        <v>2221</v>
      </c>
      <c r="D2144" s="70" t="s">
        <v>1</v>
      </c>
      <c r="E2144" s="70" t="s">
        <v>1</v>
      </c>
      <c r="F2144" s="70"/>
      <c r="G2144" s="70" t="s">
        <v>61</v>
      </c>
      <c r="H2144" s="70" t="s">
        <v>178</v>
      </c>
      <c r="I2144" s="70" t="s">
        <v>184</v>
      </c>
      <c r="J2144" s="71">
        <f>IF(OR(I2144=0,I2144=""),"unrated",VLOOKUP(I2144,MappingTables!$B$19:$C$31,2,FALSE))</f>
        <v>5</v>
      </c>
      <c r="K2144" s="72">
        <v>243.06534594735764</v>
      </c>
      <c r="L2144" s="70">
        <v>0.08767118683427544</v>
      </c>
      <c r="M2144" s="71">
        <f>IF(L2144&lt;1,1,L2144)</f>
        <v>1</v>
      </c>
      <c r="N2144" s="70" t="s">
        <v>141</v>
      </c>
      <c r="O2144" s="71">
        <f>INDEX(DurClassMapping,MATCH(M2144,MappingTables!$D$4:$D$8,-1),1)</f>
        <v>1</v>
      </c>
      <c r="P2144" s="73">
        <f>IF(M2144=$A$1,1,$M2144-INDEX(MappingTables!$E$4:$E$8,MATCH(O2144,MappingTables!$B$4:$B$8,0)))</f>
        <v>1</v>
      </c>
      <c r="Q2144" s="71">
        <f>IF(B2144="",0,INDEX(ModelParameters!$D$6:$K$10,MATCH($O2144,ModelParameters!$B$6:$B$10,0),MATCH($J2144,ModelParameters!$D$5:$K$5,0)))</f>
        <v>0.075</v>
      </c>
      <c r="R2144" s="71">
        <f>IF(B2144="",0,INDEX(ModelParameters!$D$13:$K$17,MATCH($O2144,ModelParameters!$B$13:$B$17,0),MATCH($J2144,ModelParameters!$D$5:$K$5,0)))</f>
        <v>0</v>
      </c>
      <c r="S2144" s="160">
        <f>IF(B2144="",0,MIN(IF($N2144="Other Bond TM",ModelParameters!$N$21,1)*(P2144*Q2144+R2144),1))</f>
        <v>0.075</v>
      </c>
      <c r="T2144" s="85">
        <f>IF(B2144="",0,$S2144*$K2144)</f>
        <v>18.229900946051824</v>
      </c>
      <c r="U2144" s="85">
        <f>IF(B2144="",0,IF(OR(H2144=MappingTables!$C$34,H2144=MappingTables!$C$35),T2144,0))</f>
        <v>0</v>
      </c>
      <c r="V2144" s="85">
        <f>IF(ISNA(IF(AND(VLOOKUP(CONCATENATE($D2144,$G2144),CSRFinput!$B:$E,4,0)=0,OR(H2144=MappingTables!$C$34,H2144=MappingTables!$C$35)),1,VLOOKUP(CONCATENATE($D2144,$G2144),CSRFinput!$B:$E,4,0))),0,IF(AND(VLOOKUP(CONCATENATE($D2144,$G2144),CSRFinput!$B:$E,4,0)=0,OR(H2144=MappingTables!$C$34,H2144=MappingTables!$C$35)),1,VLOOKUP(CONCATENATE($D2144,$G2144),CSRFinput!$B:$E,4,0)))</f>
        <v>0.054776304963434752</v>
      </c>
      <c r="W2144" s="85">
        <f>IF(B2144="",0,+$T2144*$V2144)</f>
        <v>0.9985666136741424</v>
      </c>
      <c r="X2144" s="85">
        <f>IF(B2144="",0,IF(OR(H2144=MappingTables!$C$34,H2144=MappingTables!$C$35),W2144,0))</f>
        <v>0</v>
      </c>
    </row>
    <row r="2145" spans="2:24" s="0" customFormat="0" ht="15">
      <c r="B2145" s="69">
        <v>17596333</v>
      </c>
      <c r="C2145" s="70" t="s">
        <v>2222</v>
      </c>
      <c r="D2145" s="70" t="s">
        <v>1</v>
      </c>
      <c r="E2145" s="70" t="s">
        <v>1</v>
      </c>
      <c r="F2145" s="70"/>
      <c r="G2145" s="70" t="s">
        <v>61</v>
      </c>
      <c r="H2145" s="70" t="s">
        <v>178</v>
      </c>
      <c r="I2145" s="70" t="s">
        <v>188</v>
      </c>
      <c r="J2145" s="71">
        <f>IF(OR(I2145=0,I2145=""),"unrated",VLOOKUP(I2145,MappingTables!$B$19:$C$31,2,FALSE))</f>
        <v>2</v>
      </c>
      <c r="K2145" s="72">
        <v>6765.9760432733592</v>
      </c>
      <c r="L2145" s="70">
        <v>6.6233211093184432</v>
      </c>
      <c r="M2145" s="71">
        <f>IF(L2145&lt;1,1,L2145)</f>
        <v>6.6233211093184432</v>
      </c>
      <c r="N2145" s="70" t="s">
        <v>141</v>
      </c>
      <c r="O2145" s="71">
        <f>INDEX(DurClassMapping,MATCH(M2145,MappingTables!$D$4:$D$8,-1),1)</f>
        <v>2</v>
      </c>
      <c r="P2145" s="73">
        <f>IF(M2145=$A$1,1,$M2145-INDEX(MappingTables!$E$4:$E$8,MATCH(O2145,MappingTables!$B$4:$B$8,0)))</f>
        <v>1.623321109318443</v>
      </c>
      <c r="Q2145" s="71">
        <f>IF(B2145="",0,INDEX(ModelParameters!$D$6:$K$10,MATCH($O2145,ModelParameters!$B$6:$B$10,0),MATCH($J2145,ModelParameters!$D$5:$K$5,0)))</f>
        <v>0.0069999999999999992</v>
      </c>
      <c r="R2145" s="71">
        <f>IF(B2145="",0,INDEX(ModelParameters!$D$13:$K$17,MATCH($O2145,ModelParameters!$B$13:$B$17,0),MATCH($J2145,ModelParameters!$D$5:$K$5,0)))</f>
        <v>0.070000000000000008</v>
      </c>
      <c r="S2145" s="160">
        <f>IF(B2145="",0,MIN(IF($N2145="Other Bond TM",ModelParameters!$N$21,1)*(P2145*Q2145+R2145),1))</f>
        <v>0.081363247765229104</v>
      </c>
      <c r="T2145" s="85">
        <f>IF(B2145="",0,$S2145*$K2145)</f>
        <v>550.5017851824548</v>
      </c>
      <c r="U2145" s="85">
        <f>IF(B2145="",0,IF(OR(H2145=MappingTables!$C$34,H2145=MappingTables!$C$35),T2145,0))</f>
        <v>0</v>
      </c>
      <c r="V2145" s="85">
        <f>IF(ISNA(IF(AND(VLOOKUP(CONCATENATE($D2145,$G2145),CSRFinput!$B:$E,4,0)=0,OR(H2145=MappingTables!$C$34,H2145=MappingTables!$C$35)),1,VLOOKUP(CONCATENATE($D2145,$G2145),CSRFinput!$B:$E,4,0))),0,IF(AND(VLOOKUP(CONCATENATE($D2145,$G2145),CSRFinput!$B:$E,4,0)=0,OR(H2145=MappingTables!$C$34,H2145=MappingTables!$C$35)),1,VLOOKUP(CONCATENATE($D2145,$G2145),CSRFinput!$B:$E,4,0)))</f>
        <v>0.054776304963434752</v>
      </c>
      <c r="W2145" s="85">
        <f>IF(B2145="",0,+$T2145*$V2145)</f>
        <v>30.154453668069392</v>
      </c>
      <c r="X2145" s="85">
        <f>IF(B2145="",0,IF(OR(H2145=MappingTables!$C$34,H2145=MappingTables!$C$35),W2145,0))</f>
        <v>0</v>
      </c>
    </row>
    <row r="2146" spans="2:24" s="0" customFormat="0" ht="15">
      <c r="B2146" s="69" t="s">
        <v>2223</v>
      </c>
      <c r="C2146" s="70" t="s">
        <v>2224</v>
      </c>
      <c r="D2146" s="70" t="s">
        <v>1</v>
      </c>
      <c r="E2146" s="70" t="s">
        <v>1</v>
      </c>
      <c r="F2146" s="70"/>
      <c r="G2146" s="70" t="s">
        <v>61</v>
      </c>
      <c r="H2146" s="70" t="s">
        <v>178</v>
      </c>
      <c r="I2146" s="70" t="s">
        <v>181</v>
      </c>
      <c r="J2146" s="71">
        <f>IF(OR(I2146=0,I2146=""),"unrated",VLOOKUP(I2146,MappingTables!$B$19:$C$31,2,FALSE))</f>
        <v>3</v>
      </c>
      <c r="K2146" s="72">
        <v>1255.3665371344412</v>
      </c>
      <c r="L2146" s="70">
        <v>10.575790225825446</v>
      </c>
      <c r="M2146" s="71">
        <f>IF(L2146&lt;1,1,L2146)</f>
        <v>10.575790225825446</v>
      </c>
      <c r="N2146" s="70" t="s">
        <v>141</v>
      </c>
      <c r="O2146" s="71">
        <f>INDEX(DurClassMapping,MATCH(M2146,MappingTables!$D$4:$D$8,-1),1)</f>
        <v>3</v>
      </c>
      <c r="P2146" s="73">
        <f>IF(M2146=$A$1,1,$M2146-INDEX(MappingTables!$E$4:$E$8,MATCH(O2146,MappingTables!$B$4:$B$8,0)))</f>
        <v>0.5757902258254468</v>
      </c>
      <c r="Q2146" s="71">
        <f>IF(B2146="",0,INDEX(ModelParameters!$D$6:$K$10,MATCH($O2146,ModelParameters!$B$6:$B$10,0),MATCH($J2146,ModelParameters!$D$5:$K$5,0)))</f>
        <v>0.01</v>
      </c>
      <c r="R2146" s="71">
        <f>IF(B2146="",0,INDEX(ModelParameters!$D$13:$K$17,MATCH($O2146,ModelParameters!$B$13:$B$17,0),MATCH($J2146,ModelParameters!$D$5:$K$5,0)))</f>
        <v>0.2</v>
      </c>
      <c r="S2146" s="160">
        <f>IF(B2146="",0,MIN(IF($N2146="Other Bond TM",ModelParameters!$N$21,1)*(P2146*Q2146+R2146),1))</f>
        <v>0.20575790225825448</v>
      </c>
      <c r="T2146" s="85">
        <f>IF(B2146="",0,$S2146*$K2146)</f>
        <v>258.30158524599172</v>
      </c>
      <c r="U2146" s="85">
        <f>IF(B2146="",0,IF(OR(H2146=MappingTables!$C$34,H2146=MappingTables!$C$35),T2146,0))</f>
        <v>0</v>
      </c>
      <c r="V2146" s="85">
        <f>IF(ISNA(IF(AND(VLOOKUP(CONCATENATE($D2146,$G2146),CSRFinput!$B:$E,4,0)=0,OR(H2146=MappingTables!$C$34,H2146=MappingTables!$C$35)),1,VLOOKUP(CONCATENATE($D2146,$G2146),CSRFinput!$B:$E,4,0))),0,IF(AND(VLOOKUP(CONCATENATE($D2146,$G2146),CSRFinput!$B:$E,4,0)=0,OR(H2146=MappingTables!$C$34,H2146=MappingTables!$C$35)),1,VLOOKUP(CONCATENATE($D2146,$G2146),CSRFinput!$B:$E,4,0)))</f>
        <v>0.054776304963434752</v>
      </c>
      <c r="W2146" s="85">
        <f>IF(B2146="",0,+$T2146*$V2146)</f>
        <v>14.14880640597308</v>
      </c>
      <c r="X2146" s="85">
        <f>IF(B2146="",0,IF(OR(H2146=MappingTables!$C$34,H2146=MappingTables!$C$35),W2146,0))</f>
        <v>0</v>
      </c>
    </row>
    <row r="2147" spans="2:24" s="0" customFormat="0" ht="15">
      <c r="B2147" s="69" t="s">
        <v>2219</v>
      </c>
      <c r="C2147" s="70" t="s">
        <v>2220</v>
      </c>
      <c r="D2147" s="70" t="s">
        <v>1</v>
      </c>
      <c r="E2147" s="70" t="s">
        <v>1</v>
      </c>
      <c r="F2147" s="70"/>
      <c r="G2147" s="70" t="s">
        <v>61</v>
      </c>
      <c r="H2147" s="70" t="s">
        <v>178</v>
      </c>
      <c r="I2147" s="70" t="s">
        <v>181</v>
      </c>
      <c r="J2147" s="71">
        <f>IF(OR(I2147=0,I2147=""),"unrated",VLOOKUP(I2147,MappingTables!$B$19:$C$31,2,FALSE))</f>
        <v>3</v>
      </c>
      <c r="K2147" s="72">
        <v>6.5349225024105528</v>
      </c>
      <c r="L2147" s="70">
        <v>2.6466621202934128</v>
      </c>
      <c r="M2147" s="71">
        <f>IF(L2147&lt;1,1,L2147)</f>
        <v>2.6466621202934128</v>
      </c>
      <c r="N2147" s="70" t="s">
        <v>141</v>
      </c>
      <c r="O2147" s="71">
        <f>INDEX(DurClassMapping,MATCH(M2147,MappingTables!$D$4:$D$8,-1),1)</f>
        <v>1</v>
      </c>
      <c r="P2147" s="73">
        <f>IF(M2147=$A$1,1,$M2147-INDEX(MappingTables!$E$4:$E$8,MATCH(O2147,MappingTables!$B$4:$B$8,0)))</f>
        <v>2.6466621202934128</v>
      </c>
      <c r="Q2147" s="71">
        <f>IF(B2147="",0,INDEX(ModelParameters!$D$6:$K$10,MATCH($O2147,ModelParameters!$B$6:$B$10,0),MATCH($J2147,ModelParameters!$D$5:$K$5,0)))</f>
        <v>0.025</v>
      </c>
      <c r="R2147" s="71">
        <f>IF(B2147="",0,INDEX(ModelParameters!$D$13:$K$17,MATCH($O2147,ModelParameters!$B$13:$B$17,0),MATCH($J2147,ModelParameters!$D$5:$K$5,0)))</f>
        <v>0</v>
      </c>
      <c r="S2147" s="160">
        <f>IF(B2147="",0,MIN(IF($N2147="Other Bond TM",ModelParameters!$N$21,1)*(P2147*Q2147+R2147),1))</f>
        <v>0.066166553007335312</v>
      </c>
      <c r="T2147" s="85">
        <f>IF(B2147="",0,$S2147*$K2147)</f>
        <v>0.43239329615457624</v>
      </c>
      <c r="U2147" s="85">
        <f>IF(B2147="",0,IF(OR(H2147=MappingTables!$C$34,H2147=MappingTables!$C$35),T2147,0))</f>
        <v>0</v>
      </c>
      <c r="V2147" s="85">
        <f>IF(ISNA(IF(AND(VLOOKUP(CONCATENATE($D2147,$G2147),CSRFinput!$B:$E,4,0)=0,OR(H2147=MappingTables!$C$34,H2147=MappingTables!$C$35)),1,VLOOKUP(CONCATENATE($D2147,$G2147),CSRFinput!$B:$E,4,0))),0,IF(AND(VLOOKUP(CONCATENATE($D2147,$G2147),CSRFinput!$B:$E,4,0)=0,OR(H2147=MappingTables!$C$34,H2147=MappingTables!$C$35)),1,VLOOKUP(CONCATENATE($D2147,$G2147),CSRFinput!$B:$E,4,0)))</f>
        <v>0.054776304963434752</v>
      </c>
      <c r="W2147" s="85">
        <f>IF(B2147="",0,+$T2147*$V2147)</f>
        <v>0.023684907054307828</v>
      </c>
      <c r="X2147" s="85">
        <f>IF(B2147="",0,IF(OR(H2147=MappingTables!$C$34,H2147=MappingTables!$C$35),W2147,0))</f>
        <v>0</v>
      </c>
    </row>
    <row r="2148" spans="2:24" s="0" customFormat="0" ht="15">
      <c r="B2148" s="69">
        <v>6350660</v>
      </c>
      <c r="C2148" s="70" t="s">
        <v>2225</v>
      </c>
      <c r="D2148" s="70" t="s">
        <v>1</v>
      </c>
      <c r="E2148" s="70" t="s">
        <v>1</v>
      </c>
      <c r="F2148" s="70"/>
      <c r="G2148" s="70" t="s">
        <v>61</v>
      </c>
      <c r="H2148" s="70" t="s">
        <v>178</v>
      </c>
      <c r="I2148" s="70" t="s">
        <v>179</v>
      </c>
      <c r="J2148" s="71">
        <f>IF(OR(I2148=0,I2148=""),"unrated",VLOOKUP(I2148,MappingTables!$B$19:$C$31,2,FALSE))</f>
        <v>4</v>
      </c>
      <c r="K2148" s="72">
        <v>5095.4825531641512</v>
      </c>
      <c r="L2148" s="70">
        <v>2.0322417841268904</v>
      </c>
      <c r="M2148" s="71">
        <f>IF(L2148&lt;1,1,L2148)</f>
        <v>2.0322417841268904</v>
      </c>
      <c r="N2148" s="70" t="s">
        <v>141</v>
      </c>
      <c r="O2148" s="71">
        <f>INDEX(DurClassMapping,MATCH(M2148,MappingTables!$D$4:$D$8,-1),1)</f>
        <v>1</v>
      </c>
      <c r="P2148" s="73">
        <f>IF(M2148=$A$1,1,$M2148-INDEX(MappingTables!$E$4:$E$8,MATCH(O2148,MappingTables!$B$4:$B$8,0)))</f>
        <v>2.0322417841268904</v>
      </c>
      <c r="Q2148" s="71">
        <f>IF(B2148="",0,INDEX(ModelParameters!$D$6:$K$10,MATCH($O2148,ModelParameters!$B$6:$B$10,0),MATCH($J2148,ModelParameters!$D$5:$K$5,0)))</f>
        <v>0.045</v>
      </c>
      <c r="R2148" s="71">
        <f>IF(B2148="",0,INDEX(ModelParameters!$D$13:$K$17,MATCH($O2148,ModelParameters!$B$13:$B$17,0),MATCH($J2148,ModelParameters!$D$5:$K$5,0)))</f>
        <v>0</v>
      </c>
      <c r="S2148" s="160">
        <f>IF(B2148="",0,MIN(IF($N2148="Other Bond TM",ModelParameters!$N$21,1)*(P2148*Q2148+R2148),1))</f>
        <v>0.091450880285710064</v>
      </c>
      <c r="T2148" s="85">
        <f>IF(B2148="",0,$S2148*$K2148)</f>
        <v>465.98636496733904</v>
      </c>
      <c r="U2148" s="85">
        <f>IF(B2148="",0,IF(OR(H2148=MappingTables!$C$34,H2148=MappingTables!$C$35),T2148,0))</f>
        <v>0</v>
      </c>
      <c r="V2148" s="85">
        <f>IF(ISNA(IF(AND(VLOOKUP(CONCATENATE($D2148,$G2148),CSRFinput!$B:$E,4,0)=0,OR(H2148=MappingTables!$C$34,H2148=MappingTables!$C$35)),1,VLOOKUP(CONCATENATE($D2148,$G2148),CSRFinput!$B:$E,4,0))),0,IF(AND(VLOOKUP(CONCATENATE($D2148,$G2148),CSRFinput!$B:$E,4,0)=0,OR(H2148=MappingTables!$C$34,H2148=MappingTables!$C$35)),1,VLOOKUP(CONCATENATE($D2148,$G2148),CSRFinput!$B:$E,4,0)))</f>
        <v>0.054776304963434752</v>
      </c>
      <c r="W2148" s="85">
        <f>IF(B2148="",0,+$T2148*$V2148)</f>
        <v>25.525011236253372</v>
      </c>
      <c r="X2148" s="85">
        <f>IF(B2148="",0,IF(OR(H2148=MappingTables!$C$34,H2148=MappingTables!$C$35),W2148,0))</f>
        <v>0</v>
      </c>
    </row>
    <row r="2149" spans="2:24" s="0" customFormat="0" ht="15">
      <c r="B2149" s="69">
        <v>20809016</v>
      </c>
      <c r="C2149" s="70" t="s">
        <v>2112</v>
      </c>
      <c r="D2149" s="70" t="s">
        <v>1</v>
      </c>
      <c r="E2149" s="70" t="s">
        <v>1</v>
      </c>
      <c r="F2149" s="70"/>
      <c r="G2149" s="70" t="s">
        <v>61</v>
      </c>
      <c r="H2149" s="70" t="s">
        <v>178</v>
      </c>
      <c r="I2149" s="70" t="s">
        <v>188</v>
      </c>
      <c r="J2149" s="71">
        <f>IF(OR(I2149=0,I2149=""),"unrated",VLOOKUP(I2149,MappingTables!$B$19:$C$31,2,FALSE))</f>
        <v>2</v>
      </c>
      <c r="K2149" s="72">
        <v>2762.545108015746</v>
      </c>
      <c r="L2149" s="70">
        <v>7.6821472201907024</v>
      </c>
      <c r="M2149" s="71">
        <f>IF(L2149&lt;1,1,L2149)</f>
        <v>7.6821472201907024</v>
      </c>
      <c r="N2149" s="70" t="s">
        <v>141</v>
      </c>
      <c r="O2149" s="71">
        <f>INDEX(DurClassMapping,MATCH(M2149,MappingTables!$D$4:$D$8,-1),1)</f>
        <v>2</v>
      </c>
      <c r="P2149" s="73">
        <f>IF(M2149=$A$1,1,$M2149-INDEX(MappingTables!$E$4:$E$8,MATCH(O2149,MappingTables!$B$4:$B$8,0)))</f>
        <v>2.6821472201907028</v>
      </c>
      <c r="Q2149" s="71">
        <f>IF(B2149="",0,INDEX(ModelParameters!$D$6:$K$10,MATCH($O2149,ModelParameters!$B$6:$B$10,0),MATCH($J2149,ModelParameters!$D$5:$K$5,0)))</f>
        <v>0.0069999999999999992</v>
      </c>
      <c r="R2149" s="71">
        <f>IF(B2149="",0,INDEX(ModelParameters!$D$13:$K$17,MATCH($O2149,ModelParameters!$B$13:$B$17,0),MATCH($J2149,ModelParameters!$D$5:$K$5,0)))</f>
        <v>0.070000000000000008</v>
      </c>
      <c r="S2149" s="160">
        <f>IF(B2149="",0,MIN(IF($N2149="Other Bond TM",ModelParameters!$N$21,1)*(P2149*Q2149+R2149),1))</f>
        <v>0.088775030541334928</v>
      </c>
      <c r="T2149" s="85">
        <f>IF(B2149="",0,$S2149*$K2149)</f>
        <v>245.24502633591324</v>
      </c>
      <c r="U2149" s="85">
        <f>IF(B2149="",0,IF(OR(H2149=MappingTables!$C$34,H2149=MappingTables!$C$35),T2149,0))</f>
        <v>0</v>
      </c>
      <c r="V2149" s="85">
        <f>IF(ISNA(IF(AND(VLOOKUP(CONCATENATE($D2149,$G2149),CSRFinput!$B:$E,4,0)=0,OR(H2149=MappingTables!$C$34,H2149=MappingTables!$C$35)),1,VLOOKUP(CONCATENATE($D2149,$G2149),CSRFinput!$B:$E,4,0))),0,IF(AND(VLOOKUP(CONCATENATE($D2149,$G2149),CSRFinput!$B:$E,4,0)=0,OR(H2149=MappingTables!$C$34,H2149=MappingTables!$C$35)),1,VLOOKUP(CONCATENATE($D2149,$G2149),CSRFinput!$B:$E,4,0)))</f>
        <v>0.054776304963434752</v>
      </c>
      <c r="W2149" s="85">
        <f>IF(B2149="",0,+$T2149*$V2149)</f>
        <v>13.43361635334157</v>
      </c>
      <c r="X2149" s="85">
        <f>IF(B2149="",0,IF(OR(H2149=MappingTables!$C$34,H2149=MappingTables!$C$35),W2149,0))</f>
        <v>0</v>
      </c>
    </row>
    <row r="2150" spans="2:24" s="0" customFormat="0" ht="15">
      <c r="B2150" s="69" t="s">
        <v>2226</v>
      </c>
      <c r="C2150" s="70" t="s">
        <v>2227</v>
      </c>
      <c r="D2150" s="70" t="s">
        <v>1</v>
      </c>
      <c r="E2150" s="70" t="s">
        <v>1</v>
      </c>
      <c r="F2150" s="70"/>
      <c r="G2150" s="70" t="s">
        <v>61</v>
      </c>
      <c r="H2150" s="70" t="s">
        <v>178</v>
      </c>
      <c r="I2150" s="70" t="s">
        <v>181</v>
      </c>
      <c r="J2150" s="71">
        <f>IF(OR(I2150=0,I2150=""),"unrated",VLOOKUP(I2150,MappingTables!$B$19:$C$31,2,FALSE))</f>
        <v>3</v>
      </c>
      <c r="K2150" s="72">
        <v>0.14093559609206544</v>
      </c>
      <c r="L2150" s="70">
        <v>0.71855251452941416</v>
      </c>
      <c r="M2150" s="71">
        <f>IF(L2150&lt;1,1,L2150)</f>
        <v>1</v>
      </c>
      <c r="N2150" s="70" t="s">
        <v>141</v>
      </c>
      <c r="O2150" s="71">
        <f>INDEX(DurClassMapping,MATCH(M2150,MappingTables!$D$4:$D$8,-1),1)</f>
        <v>1</v>
      </c>
      <c r="P2150" s="73">
        <f>IF(M2150=$A$1,1,$M2150-INDEX(MappingTables!$E$4:$E$8,MATCH(O2150,MappingTables!$B$4:$B$8,0)))</f>
        <v>1</v>
      </c>
      <c r="Q2150" s="71">
        <f>IF(B2150="",0,INDEX(ModelParameters!$D$6:$K$10,MATCH($O2150,ModelParameters!$B$6:$B$10,0),MATCH($J2150,ModelParameters!$D$5:$K$5,0)))</f>
        <v>0.025</v>
      </c>
      <c r="R2150" s="71">
        <f>IF(B2150="",0,INDEX(ModelParameters!$D$13:$K$17,MATCH($O2150,ModelParameters!$B$13:$B$17,0),MATCH($J2150,ModelParameters!$D$5:$K$5,0)))</f>
        <v>0</v>
      </c>
      <c r="S2150" s="160">
        <f>IF(B2150="",0,MIN(IF($N2150="Other Bond TM",ModelParameters!$N$21,1)*(P2150*Q2150+R2150),1))</f>
        <v>0.025</v>
      </c>
      <c r="T2150" s="85">
        <f>IF(B2150="",0,$S2150*$K2150)</f>
        <v>0.0035233899023016364</v>
      </c>
      <c r="U2150" s="85">
        <f>IF(B2150="",0,IF(OR(H2150=MappingTables!$C$34,H2150=MappingTables!$C$35),T2150,0))</f>
        <v>0</v>
      </c>
      <c r="V2150" s="85">
        <f>IF(ISNA(IF(AND(VLOOKUP(CONCATENATE($D2150,$G2150),CSRFinput!$B:$E,4,0)=0,OR(H2150=MappingTables!$C$34,H2150=MappingTables!$C$35)),1,VLOOKUP(CONCATENATE($D2150,$G2150),CSRFinput!$B:$E,4,0))),0,IF(AND(VLOOKUP(CONCATENATE($D2150,$G2150),CSRFinput!$B:$E,4,0)=0,OR(H2150=MappingTables!$C$34,H2150=MappingTables!$C$35)),1,VLOOKUP(CONCATENATE($D2150,$G2150),CSRFinput!$B:$E,4,0)))</f>
        <v>0.054776304963434752</v>
      </c>
      <c r="W2150" s="85">
        <f>IF(B2150="",0,+$T2150*$V2150)</f>
        <v>0.000192998279793561</v>
      </c>
      <c r="X2150" s="85">
        <f>IF(B2150="",0,IF(OR(H2150=MappingTables!$C$34,H2150=MappingTables!$C$35),W2150,0))</f>
        <v>0</v>
      </c>
    </row>
    <row r="2151" spans="2:24" s="0" customFormat="0" ht="15">
      <c r="B2151" s="69">
        <v>22000591</v>
      </c>
      <c r="C2151" s="70" t="s">
        <v>2228</v>
      </c>
      <c r="D2151" s="70" t="s">
        <v>1</v>
      </c>
      <c r="E2151" s="70" t="s">
        <v>1</v>
      </c>
      <c r="F2151" s="70"/>
      <c r="G2151" s="70" t="s">
        <v>61</v>
      </c>
      <c r="H2151" s="70" t="s">
        <v>178</v>
      </c>
      <c r="I2151" s="70" t="s">
        <v>216</v>
      </c>
      <c r="J2151" s="71">
        <f>IF(OR(I2151=0,I2151=""),"unrated",VLOOKUP(I2151,MappingTables!$B$19:$C$31,2,FALSE))</f>
        <v>0</v>
      </c>
      <c r="K2151" s="72">
        <v>11077.400959745436</v>
      </c>
      <c r="L2151" s="70">
        <v>0.060270811687846968</v>
      </c>
      <c r="M2151" s="71">
        <f>IF(L2151&lt;1,1,L2151)</f>
        <v>1</v>
      </c>
      <c r="N2151" s="70" t="s">
        <v>141</v>
      </c>
      <c r="O2151" s="71">
        <f>INDEX(DurClassMapping,MATCH(M2151,MappingTables!$D$4:$D$8,-1),1)</f>
        <v>1</v>
      </c>
      <c r="P2151" s="73">
        <f>IF(M2151=$A$1,1,$M2151-INDEX(MappingTables!$E$4:$E$8,MATCH(O2151,MappingTables!$B$4:$B$8,0)))</f>
        <v>1</v>
      </c>
      <c r="Q2151" s="71">
        <f>IF(B2151="",0,INDEX(ModelParameters!$D$6:$K$10,MATCH($O2151,ModelParameters!$B$6:$B$10,0),MATCH($J2151,ModelParameters!$D$5:$K$5,0)))</f>
        <v>0.0090000000000000016</v>
      </c>
      <c r="R2151" s="71">
        <f>IF(B2151="",0,INDEX(ModelParameters!$D$13:$K$17,MATCH($O2151,ModelParameters!$B$13:$B$17,0),MATCH($J2151,ModelParameters!$D$5:$K$5,0)))</f>
        <v>0</v>
      </c>
      <c r="S2151" s="160">
        <f>IF(B2151="",0,MIN(IF($N2151="Other Bond TM",ModelParameters!$N$21,1)*(P2151*Q2151+R2151),1))</f>
        <v>0.0090000000000000016</v>
      </c>
      <c r="T2151" s="85">
        <f>IF(B2151="",0,$S2151*$K2151)</f>
        <v>99.696608637708928</v>
      </c>
      <c r="U2151" s="85">
        <f>IF(B2151="",0,IF(OR(H2151=MappingTables!$C$34,H2151=MappingTables!$C$35),T2151,0))</f>
        <v>0</v>
      </c>
      <c r="V2151" s="85">
        <f>IF(ISNA(IF(AND(VLOOKUP(CONCATENATE($D2151,$G2151),CSRFinput!$B:$E,4,0)=0,OR(H2151=MappingTables!$C$34,H2151=MappingTables!$C$35)),1,VLOOKUP(CONCATENATE($D2151,$G2151),CSRFinput!$B:$E,4,0))),0,IF(AND(VLOOKUP(CONCATENATE($D2151,$G2151),CSRFinput!$B:$E,4,0)=0,OR(H2151=MappingTables!$C$34,H2151=MappingTables!$C$35)),1,VLOOKUP(CONCATENATE($D2151,$G2151),CSRFinput!$B:$E,4,0)))</f>
        <v>0.054776304963434752</v>
      </c>
      <c r="W2151" s="85">
        <f>IF(B2151="",0,+$T2151*$V2151)</f>
        <v>5.461011838559348</v>
      </c>
      <c r="X2151" s="85">
        <f>IF(B2151="",0,IF(OR(H2151=MappingTables!$C$34,H2151=MappingTables!$C$35),W2151,0))</f>
        <v>0</v>
      </c>
    </row>
    <row r="2152" spans="2:24" s="0" customFormat="0" ht="15">
      <c r="B2152" s="69" t="s">
        <v>1387</v>
      </c>
      <c r="C2152" s="70" t="s">
        <v>1388</v>
      </c>
      <c r="D2152" s="70" t="s">
        <v>1</v>
      </c>
      <c r="E2152" s="70" t="s">
        <v>1</v>
      </c>
      <c r="F2152" s="70"/>
      <c r="G2152" s="70" t="s">
        <v>61</v>
      </c>
      <c r="H2152" s="70" t="s">
        <v>178</v>
      </c>
      <c r="I2152" s="70" t="s">
        <v>184</v>
      </c>
      <c r="J2152" s="71">
        <f>IF(OR(I2152=0,I2152=""),"unrated",VLOOKUP(I2152,MappingTables!$B$19:$C$31,2,FALSE))</f>
        <v>5</v>
      </c>
      <c r="K2152" s="72">
        <v>134.71129959331964</v>
      </c>
      <c r="L2152" s="70">
        <v>3.017806277753166</v>
      </c>
      <c r="M2152" s="71">
        <f>IF(L2152&lt;1,1,L2152)</f>
        <v>3.017806277753166</v>
      </c>
      <c r="N2152" s="70" t="s">
        <v>141</v>
      </c>
      <c r="O2152" s="71">
        <f>INDEX(DurClassMapping,MATCH(M2152,MappingTables!$D$4:$D$8,-1),1)</f>
        <v>1</v>
      </c>
      <c r="P2152" s="73">
        <f>IF(M2152=$A$1,1,$M2152-INDEX(MappingTables!$E$4:$E$8,MATCH(O2152,MappingTables!$B$4:$B$8,0)))</f>
        <v>3.017806277753166</v>
      </c>
      <c r="Q2152" s="71">
        <f>IF(B2152="",0,INDEX(ModelParameters!$D$6:$K$10,MATCH($O2152,ModelParameters!$B$6:$B$10,0),MATCH($J2152,ModelParameters!$D$5:$K$5,0)))</f>
        <v>0.075</v>
      </c>
      <c r="R2152" s="71">
        <f>IF(B2152="",0,INDEX(ModelParameters!$D$13:$K$17,MATCH($O2152,ModelParameters!$B$13:$B$17,0),MATCH($J2152,ModelParameters!$D$5:$K$5,0)))</f>
        <v>0</v>
      </c>
      <c r="S2152" s="160">
        <f>IF(B2152="",0,MIN(IF($N2152="Other Bond TM",ModelParameters!$N$21,1)*(P2152*Q2152+R2152),1))</f>
        <v>0.22633547083148744</v>
      </c>
      <c r="T2152" s="85">
        <f>IF(B2152="",0,$S2152*$K2152)</f>
        <v>30.489945419775564</v>
      </c>
      <c r="U2152" s="85">
        <f>IF(B2152="",0,IF(OR(H2152=MappingTables!$C$34,H2152=MappingTables!$C$35),T2152,0))</f>
        <v>0</v>
      </c>
      <c r="V2152" s="85">
        <f>IF(ISNA(IF(AND(VLOOKUP(CONCATENATE($D2152,$G2152),CSRFinput!$B:$E,4,0)=0,OR(H2152=MappingTables!$C$34,H2152=MappingTables!$C$35)),1,VLOOKUP(CONCATENATE($D2152,$G2152),CSRFinput!$B:$E,4,0))),0,IF(AND(VLOOKUP(CONCATENATE($D2152,$G2152),CSRFinput!$B:$E,4,0)=0,OR(H2152=MappingTables!$C$34,H2152=MappingTables!$C$35)),1,VLOOKUP(CONCATENATE($D2152,$G2152),CSRFinput!$B:$E,4,0)))</f>
        <v>0.054776304963434752</v>
      </c>
      <c r="W2152" s="85">
        <f>IF(B2152="",0,+$T2152*$V2152)</f>
        <v>1.6701265486321068</v>
      </c>
      <c r="X2152" s="85">
        <f>IF(B2152="",0,IF(OR(H2152=MappingTables!$C$34,H2152=MappingTables!$C$35),W2152,0))</f>
        <v>0</v>
      </c>
    </row>
    <row r="2153" spans="2:24" s="0" customFormat="0" ht="15">
      <c r="B2153" s="69" t="s">
        <v>2229</v>
      </c>
      <c r="C2153" s="70" t="s">
        <v>2230</v>
      </c>
      <c r="D2153" s="70" t="s">
        <v>1</v>
      </c>
      <c r="E2153" s="70" t="s">
        <v>1</v>
      </c>
      <c r="F2153" s="70"/>
      <c r="G2153" s="70" t="s">
        <v>61</v>
      </c>
      <c r="H2153" s="70" t="s">
        <v>178</v>
      </c>
      <c r="I2153" s="70" t="s">
        <v>198</v>
      </c>
      <c r="J2153" s="71" t="str">
        <f>IF(OR(I2153=0,I2153=""),"unrated",VLOOKUP(I2153,MappingTables!$B$19:$C$31,2,FALSE))</f>
        <v>unrated</v>
      </c>
      <c r="K2153" s="72">
        <v>120.76870494474436</v>
      </c>
      <c r="L2153" s="70">
        <v>4.51468798002398</v>
      </c>
      <c r="M2153" s="71">
        <f>IF(L2153&lt;1,1,L2153)</f>
        <v>4.51468798002398</v>
      </c>
      <c r="N2153" s="70" t="s">
        <v>141</v>
      </c>
      <c r="O2153" s="71">
        <f>INDEX(DurClassMapping,MATCH(M2153,MappingTables!$D$4:$D$8,-1),1)</f>
        <v>1</v>
      </c>
      <c r="P2153" s="73">
        <f>IF(M2153=$A$1,1,$M2153-INDEX(MappingTables!$E$4:$E$8,MATCH(O2153,MappingTables!$B$4:$B$8,0)))</f>
        <v>4.51468798002398</v>
      </c>
      <c r="Q2153" s="71">
        <f>IF(B2153="",0,INDEX(ModelParameters!$D$6:$K$10,MATCH($O2153,ModelParameters!$B$6:$B$10,0),MATCH($J2153,ModelParameters!$D$5:$K$5,0)))</f>
        <v>0.03</v>
      </c>
      <c r="R2153" s="71">
        <f>IF(B2153="",0,INDEX(ModelParameters!$D$13:$K$17,MATCH($O2153,ModelParameters!$B$13:$B$17,0),MATCH($J2153,ModelParameters!$D$5:$K$5,0)))</f>
        <v>0</v>
      </c>
      <c r="S2153" s="160">
        <f>IF(B2153="",0,MIN(IF($N2153="Other Bond TM",ModelParameters!$N$21,1)*(P2153*Q2153+R2153),1))</f>
        <v>0.13544063940071938</v>
      </c>
      <c r="T2153" s="85">
        <f>IF(B2153="",0,$S2153*$K2153)</f>
        <v>16.356990617312996</v>
      </c>
      <c r="U2153" s="85">
        <f>IF(B2153="",0,IF(OR(H2153=MappingTables!$C$34,H2153=MappingTables!$C$35),T2153,0))</f>
        <v>0</v>
      </c>
      <c r="V2153" s="85">
        <f>IF(ISNA(IF(AND(VLOOKUP(CONCATENATE($D2153,$G2153),CSRFinput!$B:$E,4,0)=0,OR(H2153=MappingTables!$C$34,H2153=MappingTables!$C$35)),1,VLOOKUP(CONCATENATE($D2153,$G2153),CSRFinput!$B:$E,4,0))),0,IF(AND(VLOOKUP(CONCATENATE($D2153,$G2153),CSRFinput!$B:$E,4,0)=0,OR(H2153=MappingTables!$C$34,H2153=MappingTables!$C$35)),1,VLOOKUP(CONCATENATE($D2153,$G2153),CSRFinput!$B:$E,4,0)))</f>
        <v>0.054776304963434752</v>
      </c>
      <c r="W2153" s="85">
        <f>IF(B2153="",0,+$T2153*$V2153)</f>
        <v>0.89597550633797744</v>
      </c>
      <c r="X2153" s="85">
        <f>IF(B2153="",0,IF(OR(H2153=MappingTables!$C$34,H2153=MappingTables!$C$35),W2153,0))</f>
        <v>0</v>
      </c>
    </row>
    <row r="2154" spans="2:24" s="0" customFormat="0" ht="15">
      <c r="B2154" s="69">
        <v>22259428</v>
      </c>
      <c r="C2154" s="70" t="s">
        <v>2231</v>
      </c>
      <c r="D2154" s="70" t="s">
        <v>1</v>
      </c>
      <c r="E2154" s="70" t="s">
        <v>1</v>
      </c>
      <c r="F2154" s="70"/>
      <c r="G2154" s="70" t="s">
        <v>61</v>
      </c>
      <c r="H2154" s="70" t="s">
        <v>178</v>
      </c>
      <c r="I2154" s="70" t="s">
        <v>179</v>
      </c>
      <c r="J2154" s="71">
        <f>IF(OR(I2154=0,I2154=""),"unrated",VLOOKUP(I2154,MappingTables!$B$19:$C$31,2,FALSE))</f>
        <v>4</v>
      </c>
      <c r="K2154" s="72">
        <v>1476.8627117347432</v>
      </c>
      <c r="L2154" s="70">
        <v>5.3141312581339584</v>
      </c>
      <c r="M2154" s="71">
        <f>IF(L2154&lt;1,1,L2154)</f>
        <v>5.3141312581339584</v>
      </c>
      <c r="N2154" s="70" t="s">
        <v>141</v>
      </c>
      <c r="O2154" s="71">
        <f>INDEX(DurClassMapping,MATCH(M2154,MappingTables!$D$4:$D$8,-1),1)</f>
        <v>2</v>
      </c>
      <c r="P2154" s="73">
        <f>IF(M2154=$A$1,1,$M2154-INDEX(MappingTables!$E$4:$E$8,MATCH(O2154,MappingTables!$B$4:$B$8,0)))</f>
        <v>0.31413125813395836</v>
      </c>
      <c r="Q2154" s="71">
        <f>IF(B2154="",0,INDEX(ModelParameters!$D$6:$K$10,MATCH($O2154,ModelParameters!$B$6:$B$10,0),MATCH($J2154,ModelParameters!$D$5:$K$5,0)))</f>
        <v>0.025</v>
      </c>
      <c r="R2154" s="71">
        <f>IF(B2154="",0,INDEX(ModelParameters!$D$13:$K$17,MATCH($O2154,ModelParameters!$B$13:$B$17,0),MATCH($J2154,ModelParameters!$D$5:$K$5,0)))</f>
        <v>0.225</v>
      </c>
      <c r="S2154" s="160">
        <f>IF(B2154="",0,MIN(IF($N2154="Other Bond TM",ModelParameters!$N$21,1)*(P2154*Q2154+R2154),1))</f>
        <v>0.23285328145334896</v>
      </c>
      <c r="T2154" s="85">
        <f>IF(B2154="",0,$S2154*$K2154)</f>
        <v>343.89232868352632</v>
      </c>
      <c r="U2154" s="85">
        <f>IF(B2154="",0,IF(OR(H2154=MappingTables!$C$34,H2154=MappingTables!$C$35),T2154,0))</f>
        <v>0</v>
      </c>
      <c r="V2154" s="85">
        <f>IF(ISNA(IF(AND(VLOOKUP(CONCATENATE($D2154,$G2154),CSRFinput!$B:$E,4,0)=0,OR(H2154=MappingTables!$C$34,H2154=MappingTables!$C$35)),1,VLOOKUP(CONCATENATE($D2154,$G2154),CSRFinput!$B:$E,4,0))),0,IF(AND(VLOOKUP(CONCATENATE($D2154,$G2154),CSRFinput!$B:$E,4,0)=0,OR(H2154=MappingTables!$C$34,H2154=MappingTables!$C$35)),1,VLOOKUP(CONCATENATE($D2154,$G2154),CSRFinput!$B:$E,4,0)))</f>
        <v>0.054776304963434752</v>
      </c>
      <c r="W2154" s="85">
        <f>IF(B2154="",0,+$T2154*$V2154)</f>
        <v>18.83715107055458</v>
      </c>
      <c r="X2154" s="85">
        <f>IF(B2154="",0,IF(OR(H2154=MappingTables!$C$34,H2154=MappingTables!$C$35),W2154,0))</f>
        <v>0</v>
      </c>
    </row>
    <row r="2155" spans="2:24" s="0" customFormat="0" ht="15">
      <c r="B2155" s="69">
        <v>4355169</v>
      </c>
      <c r="C2155" s="70" t="s">
        <v>740</v>
      </c>
      <c r="D2155" s="70" t="s">
        <v>1</v>
      </c>
      <c r="E2155" s="70" t="s">
        <v>1</v>
      </c>
      <c r="F2155" s="70"/>
      <c r="G2155" s="70" t="s">
        <v>61</v>
      </c>
      <c r="H2155" s="70" t="s">
        <v>178</v>
      </c>
      <c r="I2155" s="70" t="s">
        <v>179</v>
      </c>
      <c r="J2155" s="71">
        <f>IF(OR(I2155=0,I2155=""),"unrated",VLOOKUP(I2155,MappingTables!$B$19:$C$31,2,FALSE))</f>
        <v>4</v>
      </c>
      <c r="K2155" s="72">
        <v>5701.1450538457592</v>
      </c>
      <c r="L2155" s="70">
        <v>1.07653198052395</v>
      </c>
      <c r="M2155" s="71">
        <f>IF(L2155&lt;1,1,L2155)</f>
        <v>1.07653198052395</v>
      </c>
      <c r="N2155" s="70" t="s">
        <v>141</v>
      </c>
      <c r="O2155" s="71">
        <f>INDEX(DurClassMapping,MATCH(M2155,MappingTables!$D$4:$D$8,-1),1)</f>
        <v>1</v>
      </c>
      <c r="P2155" s="73">
        <f>IF(M2155=$A$1,1,$M2155-INDEX(MappingTables!$E$4:$E$8,MATCH(O2155,MappingTables!$B$4:$B$8,0)))</f>
        <v>1.07653198052395</v>
      </c>
      <c r="Q2155" s="71">
        <f>IF(B2155="",0,INDEX(ModelParameters!$D$6:$K$10,MATCH($O2155,ModelParameters!$B$6:$B$10,0),MATCH($J2155,ModelParameters!$D$5:$K$5,0)))</f>
        <v>0.045</v>
      </c>
      <c r="R2155" s="71">
        <f>IF(B2155="",0,INDEX(ModelParameters!$D$13:$K$17,MATCH($O2155,ModelParameters!$B$13:$B$17,0),MATCH($J2155,ModelParameters!$D$5:$K$5,0)))</f>
        <v>0</v>
      </c>
      <c r="S2155" s="160">
        <f>IF(B2155="",0,MIN(IF($N2155="Other Bond TM",ModelParameters!$N$21,1)*(P2155*Q2155+R2155),1))</f>
        <v>0.048443939123577744</v>
      </c>
      <c r="T2155" s="85">
        <f>IF(B2155="",0,$S2155*$K2155)</f>
        <v>276.18592392319032</v>
      </c>
      <c r="U2155" s="85">
        <f>IF(B2155="",0,IF(OR(H2155=MappingTables!$C$34,H2155=MappingTables!$C$35),T2155,0))</f>
        <v>0</v>
      </c>
      <c r="V2155" s="85">
        <f>IF(ISNA(IF(AND(VLOOKUP(CONCATENATE($D2155,$G2155),CSRFinput!$B:$E,4,0)=0,OR(H2155=MappingTables!$C$34,H2155=MappingTables!$C$35)),1,VLOOKUP(CONCATENATE($D2155,$G2155),CSRFinput!$B:$E,4,0))),0,IF(AND(VLOOKUP(CONCATENATE($D2155,$G2155),CSRFinput!$B:$E,4,0)=0,OR(H2155=MappingTables!$C$34,H2155=MappingTables!$C$35)),1,VLOOKUP(CONCATENATE($D2155,$G2155),CSRFinput!$B:$E,4,0)))</f>
        <v>0.054776304963434752</v>
      </c>
      <c r="W2155" s="85">
        <f>IF(B2155="",0,+$T2155*$V2155)</f>
        <v>15.128444395424664</v>
      </c>
      <c r="X2155" s="85">
        <f>IF(B2155="",0,IF(OR(H2155=MappingTables!$C$34,H2155=MappingTables!$C$35),W2155,0))</f>
        <v>0</v>
      </c>
    </row>
    <row r="2156" spans="2:24" s="0" customFormat="0" ht="15">
      <c r="B2156" s="69">
        <v>4582243</v>
      </c>
      <c r="C2156" s="70" t="s">
        <v>2071</v>
      </c>
      <c r="D2156" s="70" t="s">
        <v>1</v>
      </c>
      <c r="E2156" s="70" t="s">
        <v>1</v>
      </c>
      <c r="F2156" s="70"/>
      <c r="G2156" s="70" t="s">
        <v>61</v>
      </c>
      <c r="H2156" s="70" t="s">
        <v>178</v>
      </c>
      <c r="I2156" s="70" t="s">
        <v>181</v>
      </c>
      <c r="J2156" s="71">
        <f>IF(OR(I2156=0,I2156=""),"unrated",VLOOKUP(I2156,MappingTables!$B$19:$C$31,2,FALSE))</f>
        <v>3</v>
      </c>
      <c r="K2156" s="72">
        <v>1234.264112288993</v>
      </c>
      <c r="L2156" s="70">
        <v>1.0617118924250968</v>
      </c>
      <c r="M2156" s="71">
        <f>IF(L2156&lt;1,1,L2156)</f>
        <v>1.0617118924250968</v>
      </c>
      <c r="N2156" s="70" t="s">
        <v>141</v>
      </c>
      <c r="O2156" s="71">
        <f>INDEX(DurClassMapping,MATCH(M2156,MappingTables!$D$4:$D$8,-1),1)</f>
        <v>1</v>
      </c>
      <c r="P2156" s="73">
        <f>IF(M2156=$A$1,1,$M2156-INDEX(MappingTables!$E$4:$E$8,MATCH(O2156,MappingTables!$B$4:$B$8,0)))</f>
        <v>1.0617118924250968</v>
      </c>
      <c r="Q2156" s="71">
        <f>IF(B2156="",0,INDEX(ModelParameters!$D$6:$K$10,MATCH($O2156,ModelParameters!$B$6:$B$10,0),MATCH($J2156,ModelParameters!$D$5:$K$5,0)))</f>
        <v>0.025</v>
      </c>
      <c r="R2156" s="71">
        <f>IF(B2156="",0,INDEX(ModelParameters!$D$13:$K$17,MATCH($O2156,ModelParameters!$B$13:$B$17,0),MATCH($J2156,ModelParameters!$D$5:$K$5,0)))</f>
        <v>0</v>
      </c>
      <c r="S2156" s="160">
        <f>IF(B2156="",0,MIN(IF($N2156="Other Bond TM",ModelParameters!$N$21,1)*(P2156*Q2156+R2156),1))</f>
        <v>0.02654279731062742</v>
      </c>
      <c r="T2156" s="85">
        <f>IF(B2156="",0,$S2156*$K2156)</f>
        <v>32.76082216026822</v>
      </c>
      <c r="U2156" s="85">
        <f>IF(B2156="",0,IF(OR(H2156=MappingTables!$C$34,H2156=MappingTables!$C$35),T2156,0))</f>
        <v>0</v>
      </c>
      <c r="V2156" s="85">
        <f>IF(ISNA(IF(AND(VLOOKUP(CONCATENATE($D2156,$G2156),CSRFinput!$B:$E,4,0)=0,OR(H2156=MappingTables!$C$34,H2156=MappingTables!$C$35)),1,VLOOKUP(CONCATENATE($D2156,$G2156),CSRFinput!$B:$E,4,0))),0,IF(AND(VLOOKUP(CONCATENATE($D2156,$G2156),CSRFinput!$B:$E,4,0)=0,OR(H2156=MappingTables!$C$34,H2156=MappingTables!$C$35)),1,VLOOKUP(CONCATENATE($D2156,$G2156),CSRFinput!$B:$E,4,0)))</f>
        <v>0.054776304963434752</v>
      </c>
      <c r="W2156" s="85">
        <f>IF(B2156="",0,+$T2156*$V2156)</f>
        <v>1.7945167855037034</v>
      </c>
      <c r="X2156" s="85">
        <f>IF(B2156="",0,IF(OR(H2156=MappingTables!$C$34,H2156=MappingTables!$C$35),W2156,0))</f>
        <v>0</v>
      </c>
    </row>
    <row r="2157" spans="2:24" s="0" customFormat="0" ht="15">
      <c r="B2157" s="69" t="s">
        <v>2232</v>
      </c>
      <c r="C2157" s="70" t="s">
        <v>2233</v>
      </c>
      <c r="D2157" s="70" t="s">
        <v>1</v>
      </c>
      <c r="E2157" s="70" t="s">
        <v>1</v>
      </c>
      <c r="F2157" s="70"/>
      <c r="G2157" s="70" t="s">
        <v>61</v>
      </c>
      <c r="H2157" s="70" t="s">
        <v>178</v>
      </c>
      <c r="I2157" s="70" t="s">
        <v>181</v>
      </c>
      <c r="J2157" s="71">
        <f>IF(OR(I2157=0,I2157=""),"unrated",VLOOKUP(I2157,MappingTables!$B$19:$C$31,2,FALSE))</f>
        <v>3</v>
      </c>
      <c r="K2157" s="72">
        <v>2188.7758080093448</v>
      </c>
      <c r="L2157" s="70">
        <v>21.60759782166994</v>
      </c>
      <c r="M2157" s="71">
        <f>IF(L2157&lt;1,1,L2157)</f>
        <v>21.60759782166994</v>
      </c>
      <c r="N2157" s="70" t="s">
        <v>141</v>
      </c>
      <c r="O2157" s="71">
        <f>INDEX(DurClassMapping,MATCH(M2157,MappingTables!$D$4:$D$8,-1),1)</f>
        <v>5</v>
      </c>
      <c r="P2157" s="73">
        <f>IF(M2157=$A$1,1,$M2157-INDEX(MappingTables!$E$4:$E$8,MATCH(O2157,MappingTables!$B$4:$B$8,0)))</f>
        <v>1.6075978216699412</v>
      </c>
      <c r="Q2157" s="71">
        <f>IF(B2157="",0,INDEX(ModelParameters!$D$6:$K$10,MATCH($O2157,ModelParameters!$B$6:$B$10,0),MATCH($J2157,ModelParameters!$D$5:$K$5,0)))</f>
        <v>0.005</v>
      </c>
      <c r="R2157" s="71">
        <f>IF(B2157="",0,INDEX(ModelParameters!$D$13:$K$17,MATCH($O2157,ModelParameters!$B$13:$B$17,0),MATCH($J2157,ModelParameters!$D$5:$K$5,0)))</f>
        <v>0.3</v>
      </c>
      <c r="S2157" s="160">
        <f>IF(B2157="",0,MIN(IF($N2157="Other Bond TM",ModelParameters!$N$21,1)*(P2157*Q2157+R2157),1))</f>
        <v>0.30803798910834968</v>
      </c>
      <c r="T2157" s="85">
        <f>IF(B2157="",0,$S2157*$K2157)</f>
        <v>674.22609850820184</v>
      </c>
      <c r="U2157" s="85">
        <f>IF(B2157="",0,IF(OR(H2157=MappingTables!$C$34,H2157=MappingTables!$C$35),T2157,0))</f>
        <v>0</v>
      </c>
      <c r="V2157" s="85">
        <f>IF(ISNA(IF(AND(VLOOKUP(CONCATENATE($D2157,$G2157),CSRFinput!$B:$E,4,0)=0,OR(H2157=MappingTables!$C$34,H2157=MappingTables!$C$35)),1,VLOOKUP(CONCATENATE($D2157,$G2157),CSRFinput!$B:$E,4,0))),0,IF(AND(VLOOKUP(CONCATENATE($D2157,$G2157),CSRFinput!$B:$E,4,0)=0,OR(H2157=MappingTables!$C$34,H2157=MappingTables!$C$35)),1,VLOOKUP(CONCATENATE($D2157,$G2157),CSRFinput!$B:$E,4,0)))</f>
        <v>0.054776304963434752</v>
      </c>
      <c r="W2157" s="85">
        <f>IF(B2157="",0,+$T2157*$V2157)</f>
        <v>36.931614386192064</v>
      </c>
      <c r="X2157" s="85">
        <f>IF(B2157="",0,IF(OR(H2157=MappingTables!$C$34,H2157=MappingTables!$C$35),W2157,0))</f>
        <v>0</v>
      </c>
    </row>
    <row r="2158" spans="2:24" s="0" customFormat="0" ht="15">
      <c r="B2158" s="69" t="s">
        <v>1840</v>
      </c>
      <c r="C2158" s="70" t="s">
        <v>1841</v>
      </c>
      <c r="D2158" s="70" t="s">
        <v>1</v>
      </c>
      <c r="E2158" s="70" t="s">
        <v>1</v>
      </c>
      <c r="F2158" s="70"/>
      <c r="G2158" s="70" t="s">
        <v>61</v>
      </c>
      <c r="H2158" s="70" t="s">
        <v>178</v>
      </c>
      <c r="I2158" s="70" t="s">
        <v>181</v>
      </c>
      <c r="J2158" s="71">
        <f>IF(OR(I2158=0,I2158=""),"unrated",VLOOKUP(I2158,MappingTables!$B$19:$C$31,2,FALSE))</f>
        <v>3</v>
      </c>
      <c r="K2158" s="72">
        <v>306.65703344287432</v>
      </c>
      <c r="L2158" s="70">
        <v>6.5828292523003088</v>
      </c>
      <c r="M2158" s="71">
        <f>IF(L2158&lt;1,1,L2158)</f>
        <v>6.5828292523003088</v>
      </c>
      <c r="N2158" s="70" t="s">
        <v>141</v>
      </c>
      <c r="O2158" s="71">
        <f>INDEX(DurClassMapping,MATCH(M2158,MappingTables!$D$4:$D$8,-1),1)</f>
        <v>2</v>
      </c>
      <c r="P2158" s="73">
        <f>IF(M2158=$A$1,1,$M2158-INDEX(MappingTables!$E$4:$E$8,MATCH(O2158,MappingTables!$B$4:$B$8,0)))</f>
        <v>1.582829252300309</v>
      </c>
      <c r="Q2158" s="71">
        <f>IF(B2158="",0,INDEX(ModelParameters!$D$6:$K$10,MATCH($O2158,ModelParameters!$B$6:$B$10,0),MATCH($J2158,ModelParameters!$D$5:$K$5,0)))</f>
        <v>0.015</v>
      </c>
      <c r="R2158" s="71">
        <f>IF(B2158="",0,INDEX(ModelParameters!$D$13:$K$17,MATCH($O2158,ModelParameters!$B$13:$B$17,0),MATCH($J2158,ModelParameters!$D$5:$K$5,0)))</f>
        <v>0.125</v>
      </c>
      <c r="S2158" s="160">
        <f>IF(B2158="",0,MIN(IF($N2158="Other Bond TM",ModelParameters!$N$21,1)*(P2158*Q2158+R2158),1))</f>
        <v>0.14874243878450464</v>
      </c>
      <c r="T2158" s="85">
        <f>IF(B2158="",0,$S2158*$K2158)</f>
        <v>45.612915024714528</v>
      </c>
      <c r="U2158" s="85">
        <f>IF(B2158="",0,IF(OR(H2158=MappingTables!$C$34,H2158=MappingTables!$C$35),T2158,0))</f>
        <v>0</v>
      </c>
      <c r="V2158" s="85">
        <f>IF(ISNA(IF(AND(VLOOKUP(CONCATENATE($D2158,$G2158),CSRFinput!$B:$E,4,0)=0,OR(H2158=MappingTables!$C$34,H2158=MappingTables!$C$35)),1,VLOOKUP(CONCATENATE($D2158,$G2158),CSRFinput!$B:$E,4,0))),0,IF(AND(VLOOKUP(CONCATENATE($D2158,$G2158),CSRFinput!$B:$E,4,0)=0,OR(H2158=MappingTables!$C$34,H2158=MappingTables!$C$35)),1,VLOOKUP(CONCATENATE($D2158,$G2158),CSRFinput!$B:$E,4,0)))</f>
        <v>0.054776304963434752</v>
      </c>
      <c r="W2158" s="85">
        <f>IF(B2158="",0,+$T2158*$V2158)</f>
        <v>2.498506943664998</v>
      </c>
      <c r="X2158" s="85">
        <f>IF(B2158="",0,IF(OR(H2158=MappingTables!$C$34,H2158=MappingTables!$C$35),W2158,0))</f>
        <v>0</v>
      </c>
    </row>
    <row r="2159" spans="2:24" s="0" customFormat="0" ht="15">
      <c r="B2159" s="69" t="s">
        <v>992</v>
      </c>
      <c r="C2159" s="70" t="s">
        <v>993</v>
      </c>
      <c r="D2159" s="70" t="s">
        <v>1</v>
      </c>
      <c r="E2159" s="70" t="s">
        <v>1</v>
      </c>
      <c r="F2159" s="70"/>
      <c r="G2159" s="70" t="s">
        <v>61</v>
      </c>
      <c r="H2159" s="70" t="s">
        <v>178</v>
      </c>
      <c r="I2159" s="70" t="s">
        <v>188</v>
      </c>
      <c r="J2159" s="71">
        <f>IF(OR(I2159=0,I2159=""),"unrated",VLOOKUP(I2159,MappingTables!$B$19:$C$31,2,FALSE))</f>
        <v>2</v>
      </c>
      <c r="K2159" s="72">
        <v>137.0123407433486</v>
      </c>
      <c r="L2159" s="70">
        <v>1.0598020361198424</v>
      </c>
      <c r="M2159" s="71">
        <f>IF(L2159&lt;1,1,L2159)</f>
        <v>1.0598020361198424</v>
      </c>
      <c r="N2159" s="70" t="s">
        <v>141</v>
      </c>
      <c r="O2159" s="71">
        <f>INDEX(DurClassMapping,MATCH(M2159,MappingTables!$D$4:$D$8,-1),1)</f>
        <v>1</v>
      </c>
      <c r="P2159" s="73">
        <f>IF(M2159=$A$1,1,$M2159-INDEX(MappingTables!$E$4:$E$8,MATCH(O2159,MappingTables!$B$4:$B$8,0)))</f>
        <v>1.0598020361198424</v>
      </c>
      <c r="Q2159" s="71">
        <f>IF(B2159="",0,INDEX(ModelParameters!$D$6:$K$10,MATCH($O2159,ModelParameters!$B$6:$B$10,0),MATCH($J2159,ModelParameters!$D$5:$K$5,0)))</f>
        <v>0.013999999999999998</v>
      </c>
      <c r="R2159" s="71">
        <f>IF(B2159="",0,INDEX(ModelParameters!$D$13:$K$17,MATCH($O2159,ModelParameters!$B$13:$B$17,0),MATCH($J2159,ModelParameters!$D$5:$K$5,0)))</f>
        <v>0</v>
      </c>
      <c r="S2159" s="160">
        <f>IF(B2159="",0,MIN(IF($N2159="Other Bond TM",ModelParameters!$N$21,1)*(P2159*Q2159+R2159),1))</f>
        <v>0.014837228505677792</v>
      </c>
      <c r="T2159" s="85">
        <f>IF(B2159="",0,$S2159*$K2159)</f>
        <v>2.0328834077068504</v>
      </c>
      <c r="U2159" s="85">
        <f>IF(B2159="",0,IF(OR(H2159=MappingTables!$C$34,H2159=MappingTables!$C$35),T2159,0))</f>
        <v>0</v>
      </c>
      <c r="V2159" s="85">
        <f>IF(ISNA(IF(AND(VLOOKUP(CONCATENATE($D2159,$G2159),CSRFinput!$B:$E,4,0)=0,OR(H2159=MappingTables!$C$34,H2159=MappingTables!$C$35)),1,VLOOKUP(CONCATENATE($D2159,$G2159),CSRFinput!$B:$E,4,0))),0,IF(AND(VLOOKUP(CONCATENATE($D2159,$G2159),CSRFinput!$B:$E,4,0)=0,OR(H2159=MappingTables!$C$34,H2159=MappingTables!$C$35)),1,VLOOKUP(CONCATENATE($D2159,$G2159),CSRFinput!$B:$E,4,0)))</f>
        <v>0.054776304963434752</v>
      </c>
      <c r="W2159" s="85">
        <f>IF(B2159="",0,+$T2159*$V2159)</f>
        <v>0.11135384149565692</v>
      </c>
      <c r="X2159" s="85">
        <f>IF(B2159="",0,IF(OR(H2159=MappingTables!$C$34,H2159=MappingTables!$C$35),W2159,0))</f>
        <v>0</v>
      </c>
    </row>
    <row r="2160" spans="2:24" s="0" customFormat="0" ht="15">
      <c r="B2160" s="69" t="s">
        <v>1531</v>
      </c>
      <c r="C2160" s="70" t="s">
        <v>1532</v>
      </c>
      <c r="D2160" s="70" t="s">
        <v>1</v>
      </c>
      <c r="E2160" s="70" t="s">
        <v>1</v>
      </c>
      <c r="F2160" s="70"/>
      <c r="G2160" s="70" t="s">
        <v>61</v>
      </c>
      <c r="H2160" s="70" t="s">
        <v>178</v>
      </c>
      <c r="I2160" s="70" t="s">
        <v>188</v>
      </c>
      <c r="J2160" s="71">
        <f>IF(OR(I2160=0,I2160=""),"unrated",VLOOKUP(I2160,MappingTables!$B$19:$C$31,2,FALSE))</f>
        <v>2</v>
      </c>
      <c r="K2160" s="72">
        <v>117.37319454902088</v>
      </c>
      <c r="L2160" s="70">
        <v>6.0913496784613976</v>
      </c>
      <c r="M2160" s="71">
        <f>IF(L2160&lt;1,1,L2160)</f>
        <v>6.0913496784613976</v>
      </c>
      <c r="N2160" s="70" t="s">
        <v>141</v>
      </c>
      <c r="O2160" s="71">
        <f>INDEX(DurClassMapping,MATCH(M2160,MappingTables!$D$4:$D$8,-1),1)</f>
        <v>2</v>
      </c>
      <c r="P2160" s="73">
        <f>IF(M2160=$A$1,1,$M2160-INDEX(MappingTables!$E$4:$E$8,MATCH(O2160,MappingTables!$B$4:$B$8,0)))</f>
        <v>1.0913496784613974</v>
      </c>
      <c r="Q2160" s="71">
        <f>IF(B2160="",0,INDEX(ModelParameters!$D$6:$K$10,MATCH($O2160,ModelParameters!$B$6:$B$10,0),MATCH($J2160,ModelParameters!$D$5:$K$5,0)))</f>
        <v>0.0069999999999999992</v>
      </c>
      <c r="R2160" s="71">
        <f>IF(B2160="",0,INDEX(ModelParameters!$D$13:$K$17,MATCH($O2160,ModelParameters!$B$13:$B$17,0),MATCH($J2160,ModelParameters!$D$5:$K$5,0)))</f>
        <v>0.070000000000000008</v>
      </c>
      <c r="S2160" s="160">
        <f>IF(B2160="",0,MIN(IF($N2160="Other Bond TM",ModelParameters!$N$21,1)*(P2160*Q2160+R2160),1))</f>
        <v>0.077639447749229792</v>
      </c>
      <c r="T2160" s="85">
        <f>IF(B2160="",0,$S2160*$K2160)</f>
        <v>9.1127900053488896</v>
      </c>
      <c r="U2160" s="85">
        <f>IF(B2160="",0,IF(OR(H2160=MappingTables!$C$34,H2160=MappingTables!$C$35),T2160,0))</f>
        <v>0</v>
      </c>
      <c r="V2160" s="85">
        <f>IF(ISNA(IF(AND(VLOOKUP(CONCATENATE($D2160,$G2160),CSRFinput!$B:$E,4,0)=0,OR(H2160=MappingTables!$C$34,H2160=MappingTables!$C$35)),1,VLOOKUP(CONCATENATE($D2160,$G2160),CSRFinput!$B:$E,4,0))),0,IF(AND(VLOOKUP(CONCATENATE($D2160,$G2160),CSRFinput!$B:$E,4,0)=0,OR(H2160=MappingTables!$C$34,H2160=MappingTables!$C$35)),1,VLOOKUP(CONCATENATE($D2160,$G2160),CSRFinput!$B:$E,4,0)))</f>
        <v>0.054776304963434752</v>
      </c>
      <c r="W2160" s="85">
        <f>IF(B2160="",0,+$T2160*$V2160)</f>
        <v>0.49916496440073096</v>
      </c>
      <c r="X2160" s="85">
        <f>IF(B2160="",0,IF(OR(H2160=MappingTables!$C$34,H2160=MappingTables!$C$35),W2160,0))</f>
        <v>0</v>
      </c>
    </row>
    <row r="2161" spans="2:24" s="0" customFormat="0" ht="15">
      <c r="B2161" s="69">
        <v>24964663</v>
      </c>
      <c r="C2161" s="70" t="s">
        <v>2234</v>
      </c>
      <c r="D2161" s="70" t="s">
        <v>1</v>
      </c>
      <c r="E2161" s="70" t="s">
        <v>1</v>
      </c>
      <c r="F2161" s="70"/>
      <c r="G2161" s="70" t="s">
        <v>61</v>
      </c>
      <c r="H2161" s="70" t="s">
        <v>178</v>
      </c>
      <c r="I2161" s="70" t="s">
        <v>181</v>
      </c>
      <c r="J2161" s="71">
        <f>IF(OR(I2161=0,I2161=""),"unrated",VLOOKUP(I2161,MappingTables!$B$19:$C$31,2,FALSE))</f>
        <v>3</v>
      </c>
      <c r="K2161" s="72">
        <v>1093.426695789096</v>
      </c>
      <c r="L2161" s="70">
        <v>0.8750514076840848</v>
      </c>
      <c r="M2161" s="71">
        <f>IF(L2161&lt;1,1,L2161)</f>
        <v>1</v>
      </c>
      <c r="N2161" s="70" t="s">
        <v>141</v>
      </c>
      <c r="O2161" s="71">
        <f>INDEX(DurClassMapping,MATCH(M2161,MappingTables!$D$4:$D$8,-1),1)</f>
        <v>1</v>
      </c>
      <c r="P2161" s="73">
        <f>IF(M2161=$A$1,1,$M2161-INDEX(MappingTables!$E$4:$E$8,MATCH(O2161,MappingTables!$B$4:$B$8,0)))</f>
        <v>1</v>
      </c>
      <c r="Q2161" s="71">
        <f>IF(B2161="",0,INDEX(ModelParameters!$D$6:$K$10,MATCH($O2161,ModelParameters!$B$6:$B$10,0),MATCH($J2161,ModelParameters!$D$5:$K$5,0)))</f>
        <v>0.025</v>
      </c>
      <c r="R2161" s="71">
        <f>IF(B2161="",0,INDEX(ModelParameters!$D$13:$K$17,MATCH($O2161,ModelParameters!$B$13:$B$17,0),MATCH($J2161,ModelParameters!$D$5:$K$5,0)))</f>
        <v>0</v>
      </c>
      <c r="S2161" s="160">
        <f>IF(B2161="",0,MIN(IF($N2161="Other Bond TM",ModelParameters!$N$21,1)*(P2161*Q2161+R2161),1))</f>
        <v>0.025</v>
      </c>
      <c r="T2161" s="85">
        <f>IF(B2161="",0,$S2161*$K2161)</f>
        <v>27.3356673947274</v>
      </c>
      <c r="U2161" s="85">
        <f>IF(B2161="",0,IF(OR(H2161=MappingTables!$C$34,H2161=MappingTables!$C$35),T2161,0))</f>
        <v>0</v>
      </c>
      <c r="V2161" s="85">
        <f>IF(ISNA(IF(AND(VLOOKUP(CONCATENATE($D2161,$G2161),CSRFinput!$B:$E,4,0)=0,OR(H2161=MappingTables!$C$34,H2161=MappingTables!$C$35)),1,VLOOKUP(CONCATENATE($D2161,$G2161),CSRFinput!$B:$E,4,0))),0,IF(AND(VLOOKUP(CONCATENATE($D2161,$G2161),CSRFinput!$B:$E,4,0)=0,OR(H2161=MappingTables!$C$34,H2161=MappingTables!$C$35)),1,VLOOKUP(CONCATENATE($D2161,$G2161),CSRFinput!$B:$E,4,0)))</f>
        <v>0.054776304963434752</v>
      </c>
      <c r="W2161" s="85">
        <f>IF(B2161="",0,+$T2161*$V2161)</f>
        <v>1.497346853592608</v>
      </c>
      <c r="X2161" s="85">
        <f>IF(B2161="",0,IF(OR(H2161=MappingTables!$C$34,H2161=MappingTables!$C$35),W2161,0))</f>
        <v>0</v>
      </c>
    </row>
    <row r="2162" spans="2:24" s="0" customFormat="0" ht="15">
      <c r="B2162" s="69" t="s">
        <v>2235</v>
      </c>
      <c r="C2162" s="70" t="s">
        <v>2236</v>
      </c>
      <c r="D2162" s="70" t="s">
        <v>1</v>
      </c>
      <c r="E2162" s="70" t="s">
        <v>1</v>
      </c>
      <c r="F2162" s="70"/>
      <c r="G2162" s="70" t="s">
        <v>61</v>
      </c>
      <c r="H2162" s="70" t="s">
        <v>178</v>
      </c>
      <c r="I2162" s="70" t="s">
        <v>188</v>
      </c>
      <c r="J2162" s="71">
        <f>IF(OR(I2162=0,I2162=""),"unrated",VLOOKUP(I2162,MappingTables!$B$19:$C$31,2,FALSE))</f>
        <v>2</v>
      </c>
      <c r="K2162" s="72">
        <v>98.12097631019248</v>
      </c>
      <c r="L2162" s="70">
        <v>1.9456507476251336</v>
      </c>
      <c r="M2162" s="71">
        <f>IF(L2162&lt;1,1,L2162)</f>
        <v>1.9456507476251336</v>
      </c>
      <c r="N2162" s="70" t="s">
        <v>141</v>
      </c>
      <c r="O2162" s="71">
        <f>INDEX(DurClassMapping,MATCH(M2162,MappingTables!$D$4:$D$8,-1),1)</f>
        <v>1</v>
      </c>
      <c r="P2162" s="73">
        <f>IF(M2162=$A$1,1,$M2162-INDEX(MappingTables!$E$4:$E$8,MATCH(O2162,MappingTables!$B$4:$B$8,0)))</f>
        <v>1.9456507476251336</v>
      </c>
      <c r="Q2162" s="71">
        <f>IF(B2162="",0,INDEX(ModelParameters!$D$6:$K$10,MATCH($O2162,ModelParameters!$B$6:$B$10,0),MATCH($J2162,ModelParameters!$D$5:$K$5,0)))</f>
        <v>0.013999999999999998</v>
      </c>
      <c r="R2162" s="71">
        <f>IF(B2162="",0,INDEX(ModelParameters!$D$13:$K$17,MATCH($O2162,ModelParameters!$B$13:$B$17,0),MATCH($J2162,ModelParameters!$D$5:$K$5,0)))</f>
        <v>0</v>
      </c>
      <c r="S2162" s="160">
        <f>IF(B2162="",0,MIN(IF($N2162="Other Bond TM",ModelParameters!$N$21,1)*(P2162*Q2162+R2162),1))</f>
        <v>0.027239110466751872</v>
      </c>
      <c r="T2162" s="85">
        <f>IF(B2162="",0,$S2162*$K2162)</f>
        <v>2.6727281128188764</v>
      </c>
      <c r="U2162" s="85">
        <f>IF(B2162="",0,IF(OR(H2162=MappingTables!$C$34,H2162=MappingTables!$C$35),T2162,0))</f>
        <v>0</v>
      </c>
      <c r="V2162" s="85">
        <f>IF(ISNA(IF(AND(VLOOKUP(CONCATENATE($D2162,$G2162),CSRFinput!$B:$E,4,0)=0,OR(H2162=MappingTables!$C$34,H2162=MappingTables!$C$35)),1,VLOOKUP(CONCATENATE($D2162,$G2162),CSRFinput!$B:$E,4,0))),0,IF(AND(VLOOKUP(CONCATENATE($D2162,$G2162),CSRFinput!$B:$E,4,0)=0,OR(H2162=MappingTables!$C$34,H2162=MappingTables!$C$35)),1,VLOOKUP(CONCATENATE($D2162,$G2162),CSRFinput!$B:$E,4,0)))</f>
        <v>0.054776304963434752</v>
      </c>
      <c r="W2162" s="85">
        <f>IF(B2162="",0,+$T2162*$V2162)</f>
        <v>0.14640217019211222</v>
      </c>
      <c r="X2162" s="85">
        <f>IF(B2162="",0,IF(OR(H2162=MappingTables!$C$34,H2162=MappingTables!$C$35),W2162,0))</f>
        <v>0</v>
      </c>
    </row>
    <row r="2163" spans="2:24" s="0" customFormat="0" ht="15">
      <c r="B2163" s="69">
        <v>19484951</v>
      </c>
      <c r="C2163" s="70" t="s">
        <v>383</v>
      </c>
      <c r="D2163" s="70" t="s">
        <v>1</v>
      </c>
      <c r="E2163" s="70" t="s">
        <v>1</v>
      </c>
      <c r="F2163" s="70"/>
      <c r="G2163" s="70" t="s">
        <v>61</v>
      </c>
      <c r="H2163" s="70" t="s">
        <v>178</v>
      </c>
      <c r="I2163" s="70" t="s">
        <v>181</v>
      </c>
      <c r="J2163" s="71">
        <f>IF(OR(I2163=0,I2163=""),"unrated",VLOOKUP(I2163,MappingTables!$B$19:$C$31,2,FALSE))</f>
        <v>3</v>
      </c>
      <c r="K2163" s="72">
        <v>1329.594767934522</v>
      </c>
      <c r="L2163" s="70">
        <v>7.2708296159339952</v>
      </c>
      <c r="M2163" s="71">
        <f>IF(L2163&lt;1,1,L2163)</f>
        <v>7.2708296159339952</v>
      </c>
      <c r="N2163" s="70" t="s">
        <v>141</v>
      </c>
      <c r="O2163" s="71">
        <f>INDEX(DurClassMapping,MATCH(M2163,MappingTables!$D$4:$D$8,-1),1)</f>
        <v>2</v>
      </c>
      <c r="P2163" s="73">
        <f>IF(M2163=$A$1,1,$M2163-INDEX(MappingTables!$E$4:$E$8,MATCH(O2163,MappingTables!$B$4:$B$8,0)))</f>
        <v>2.2708296159339944</v>
      </c>
      <c r="Q2163" s="71">
        <f>IF(B2163="",0,INDEX(ModelParameters!$D$6:$K$10,MATCH($O2163,ModelParameters!$B$6:$B$10,0),MATCH($J2163,ModelParameters!$D$5:$K$5,0)))</f>
        <v>0.015</v>
      </c>
      <c r="R2163" s="71">
        <f>IF(B2163="",0,INDEX(ModelParameters!$D$13:$K$17,MATCH($O2163,ModelParameters!$B$13:$B$17,0),MATCH($J2163,ModelParameters!$D$5:$K$5,0)))</f>
        <v>0.125</v>
      </c>
      <c r="S2163" s="160">
        <f>IF(B2163="",0,MIN(IF($N2163="Other Bond TM",ModelParameters!$N$21,1)*(P2163*Q2163+R2163),1))</f>
        <v>0.15906244423900992</v>
      </c>
      <c r="T2163" s="85">
        <f>IF(B2163="",0,$S2163*$K2163)</f>
        <v>211.48859363506424</v>
      </c>
      <c r="U2163" s="85">
        <f>IF(B2163="",0,IF(OR(H2163=MappingTables!$C$34,H2163=MappingTables!$C$35),T2163,0))</f>
        <v>0</v>
      </c>
      <c r="V2163" s="85">
        <f>IF(ISNA(IF(AND(VLOOKUP(CONCATENATE($D2163,$G2163),CSRFinput!$B:$E,4,0)=0,OR(H2163=MappingTables!$C$34,H2163=MappingTables!$C$35)),1,VLOOKUP(CONCATENATE($D2163,$G2163),CSRFinput!$B:$E,4,0))),0,IF(AND(VLOOKUP(CONCATENATE($D2163,$G2163),CSRFinput!$B:$E,4,0)=0,OR(H2163=MappingTables!$C$34,H2163=MappingTables!$C$35)),1,VLOOKUP(CONCATENATE($D2163,$G2163),CSRFinput!$B:$E,4,0)))</f>
        <v>0.054776304963434752</v>
      </c>
      <c r="W2163" s="85">
        <f>IF(B2163="",0,+$T2163*$V2163)</f>
        <v>11.584563701242204</v>
      </c>
      <c r="X2163" s="85">
        <f>IF(B2163="",0,IF(OR(H2163=MappingTables!$C$34,H2163=MappingTables!$C$35),W2163,0))</f>
        <v>0</v>
      </c>
    </row>
    <row r="2164" spans="2:24" s="0" customFormat="0" ht="15">
      <c r="B2164" s="69" t="s">
        <v>2237</v>
      </c>
      <c r="C2164" s="70" t="s">
        <v>2238</v>
      </c>
      <c r="D2164" s="70" t="s">
        <v>1</v>
      </c>
      <c r="E2164" s="70" t="s">
        <v>1</v>
      </c>
      <c r="F2164" s="70"/>
      <c r="G2164" s="70" t="s">
        <v>61</v>
      </c>
      <c r="H2164" s="70" t="s">
        <v>178</v>
      </c>
      <c r="I2164" s="70" t="s">
        <v>181</v>
      </c>
      <c r="J2164" s="71">
        <f>IF(OR(I2164=0,I2164=""),"unrated",VLOOKUP(I2164,MappingTables!$B$19:$C$31,2,FALSE))</f>
        <v>3</v>
      </c>
      <c r="K2164" s="72">
        <v>15.821470939758914</v>
      </c>
      <c r="L2164" s="70">
        <v>0.45753873012055808</v>
      </c>
      <c r="M2164" s="71">
        <f>IF(L2164&lt;1,1,L2164)</f>
        <v>1</v>
      </c>
      <c r="N2164" s="70" t="s">
        <v>141</v>
      </c>
      <c r="O2164" s="71">
        <f>INDEX(DurClassMapping,MATCH(M2164,MappingTables!$D$4:$D$8,-1),1)</f>
        <v>1</v>
      </c>
      <c r="P2164" s="73">
        <f>IF(M2164=$A$1,1,$M2164-INDEX(MappingTables!$E$4:$E$8,MATCH(O2164,MappingTables!$B$4:$B$8,0)))</f>
        <v>1</v>
      </c>
      <c r="Q2164" s="71">
        <f>IF(B2164="",0,INDEX(ModelParameters!$D$6:$K$10,MATCH($O2164,ModelParameters!$B$6:$B$10,0),MATCH($J2164,ModelParameters!$D$5:$K$5,0)))</f>
        <v>0.025</v>
      </c>
      <c r="R2164" s="71">
        <f>IF(B2164="",0,INDEX(ModelParameters!$D$13:$K$17,MATCH($O2164,ModelParameters!$B$13:$B$17,0),MATCH($J2164,ModelParameters!$D$5:$K$5,0)))</f>
        <v>0</v>
      </c>
      <c r="S2164" s="160">
        <f>IF(B2164="",0,MIN(IF($N2164="Other Bond TM",ModelParameters!$N$21,1)*(P2164*Q2164+R2164),1))</f>
        <v>0.025</v>
      </c>
      <c r="T2164" s="85">
        <f>IF(B2164="",0,$S2164*$K2164)</f>
        <v>0.39553677349397288</v>
      </c>
      <c r="U2164" s="85">
        <f>IF(B2164="",0,IF(OR(H2164=MappingTables!$C$34,H2164=MappingTables!$C$35),T2164,0))</f>
        <v>0</v>
      </c>
      <c r="V2164" s="85">
        <f>IF(ISNA(IF(AND(VLOOKUP(CONCATENATE($D2164,$G2164),CSRFinput!$B:$E,4,0)=0,OR(H2164=MappingTables!$C$34,H2164=MappingTables!$C$35)),1,VLOOKUP(CONCATENATE($D2164,$G2164),CSRFinput!$B:$E,4,0))),0,IF(AND(VLOOKUP(CONCATENATE($D2164,$G2164),CSRFinput!$B:$E,4,0)=0,OR(H2164=MappingTables!$C$34,H2164=MappingTables!$C$35)),1,VLOOKUP(CONCATENATE($D2164,$G2164),CSRFinput!$B:$E,4,0)))</f>
        <v>0.054776304963434752</v>
      </c>
      <c r="W2164" s="85">
        <f>IF(B2164="",0,+$T2164*$V2164)</f>
        <v>0.021666042929158876</v>
      </c>
      <c r="X2164" s="85">
        <f>IF(B2164="",0,IF(OR(H2164=MappingTables!$C$34,H2164=MappingTables!$C$35),W2164,0))</f>
        <v>0</v>
      </c>
    </row>
    <row r="2165" spans="2:24" s="0" customFormat="0" ht="15">
      <c r="B2165" s="69" t="s">
        <v>2239</v>
      </c>
      <c r="C2165" s="70" t="s">
        <v>2240</v>
      </c>
      <c r="D2165" s="70" t="s">
        <v>1</v>
      </c>
      <c r="E2165" s="70" t="s">
        <v>1</v>
      </c>
      <c r="F2165" s="70"/>
      <c r="G2165" s="70" t="s">
        <v>61</v>
      </c>
      <c r="H2165" s="70" t="s">
        <v>178</v>
      </c>
      <c r="I2165" s="70" t="s">
        <v>198</v>
      </c>
      <c r="J2165" s="71" t="str">
        <f>IF(OR(I2165=0,I2165=""),"unrated",VLOOKUP(I2165,MappingTables!$B$19:$C$31,2,FALSE))</f>
        <v>unrated</v>
      </c>
      <c r="K2165" s="72">
        <v>0.11374412591962052</v>
      </c>
      <c r="L2165" s="70">
        <v>0.37808237133360968</v>
      </c>
      <c r="M2165" s="71">
        <f>IF(L2165&lt;1,1,L2165)</f>
        <v>1</v>
      </c>
      <c r="N2165" s="70" t="s">
        <v>141</v>
      </c>
      <c r="O2165" s="71">
        <f>INDEX(DurClassMapping,MATCH(M2165,MappingTables!$D$4:$D$8,-1),1)</f>
        <v>1</v>
      </c>
      <c r="P2165" s="73">
        <f>IF(M2165=$A$1,1,$M2165-INDEX(MappingTables!$E$4:$E$8,MATCH(O2165,MappingTables!$B$4:$B$8,0)))</f>
        <v>1</v>
      </c>
      <c r="Q2165" s="71">
        <f>IF(B2165="",0,INDEX(ModelParameters!$D$6:$K$10,MATCH($O2165,ModelParameters!$B$6:$B$10,0),MATCH($J2165,ModelParameters!$D$5:$K$5,0)))</f>
        <v>0.03</v>
      </c>
      <c r="R2165" s="71">
        <f>IF(B2165="",0,INDEX(ModelParameters!$D$13:$K$17,MATCH($O2165,ModelParameters!$B$13:$B$17,0),MATCH($J2165,ModelParameters!$D$5:$K$5,0)))</f>
        <v>0</v>
      </c>
      <c r="S2165" s="160">
        <f>IF(B2165="",0,MIN(IF($N2165="Other Bond TM",ModelParameters!$N$21,1)*(P2165*Q2165+R2165),1))</f>
        <v>0.03</v>
      </c>
      <c r="T2165" s="85">
        <f>IF(B2165="",0,$S2165*$K2165)</f>
        <v>0.0034123237775886156</v>
      </c>
      <c r="U2165" s="85">
        <f>IF(B2165="",0,IF(OR(H2165=MappingTables!$C$34,H2165=MappingTables!$C$35),T2165,0))</f>
        <v>0</v>
      </c>
      <c r="V2165" s="85">
        <f>IF(ISNA(IF(AND(VLOOKUP(CONCATENATE($D2165,$G2165),CSRFinput!$B:$E,4,0)=0,OR(H2165=MappingTables!$C$34,H2165=MappingTables!$C$35)),1,VLOOKUP(CONCATENATE($D2165,$G2165),CSRFinput!$B:$E,4,0))),0,IF(AND(VLOOKUP(CONCATENATE($D2165,$G2165),CSRFinput!$B:$E,4,0)=0,OR(H2165=MappingTables!$C$34,H2165=MappingTables!$C$35)),1,VLOOKUP(CONCATENATE($D2165,$G2165),CSRFinput!$B:$E,4,0)))</f>
        <v>0.054776304963434752</v>
      </c>
      <c r="W2165" s="85">
        <f>IF(B2165="",0,+$T2165*$V2165)</f>
        <v>0.00018691448787517372</v>
      </c>
      <c r="X2165" s="85">
        <f>IF(B2165="",0,IF(OR(H2165=MappingTables!$C$34,H2165=MappingTables!$C$35),W2165,0))</f>
        <v>0</v>
      </c>
    </row>
    <row r="2166" spans="2:24" s="0" customFormat="0" ht="15">
      <c r="B2166" s="69">
        <v>6568192</v>
      </c>
      <c r="C2166" s="70" t="s">
        <v>1926</v>
      </c>
      <c r="D2166" s="70" t="s">
        <v>1</v>
      </c>
      <c r="E2166" s="70" t="s">
        <v>1</v>
      </c>
      <c r="F2166" s="70"/>
      <c r="G2166" s="70" t="s">
        <v>61</v>
      </c>
      <c r="H2166" s="70" t="s">
        <v>178</v>
      </c>
      <c r="I2166" s="70" t="s">
        <v>184</v>
      </c>
      <c r="J2166" s="71">
        <f>IF(OR(I2166=0,I2166=""),"unrated",VLOOKUP(I2166,MappingTables!$B$19:$C$31,2,FALSE))</f>
        <v>5</v>
      </c>
      <c r="K2166" s="72">
        <v>17.993548113402894</v>
      </c>
      <c r="L2166" s="70">
        <v>0.37808565887121416</v>
      </c>
      <c r="M2166" s="71">
        <f>IF(L2166&lt;1,1,L2166)</f>
        <v>1</v>
      </c>
      <c r="N2166" s="70" t="s">
        <v>141</v>
      </c>
      <c r="O2166" s="71">
        <f>INDEX(DurClassMapping,MATCH(M2166,MappingTables!$D$4:$D$8,-1),1)</f>
        <v>1</v>
      </c>
      <c r="P2166" s="73">
        <f>IF(M2166=$A$1,1,$M2166-INDEX(MappingTables!$E$4:$E$8,MATCH(O2166,MappingTables!$B$4:$B$8,0)))</f>
        <v>1</v>
      </c>
      <c r="Q2166" s="71">
        <f>IF(B2166="",0,INDEX(ModelParameters!$D$6:$K$10,MATCH($O2166,ModelParameters!$B$6:$B$10,0),MATCH($J2166,ModelParameters!$D$5:$K$5,0)))</f>
        <v>0.075</v>
      </c>
      <c r="R2166" s="71">
        <f>IF(B2166="",0,INDEX(ModelParameters!$D$13:$K$17,MATCH($O2166,ModelParameters!$B$13:$B$17,0),MATCH($J2166,ModelParameters!$D$5:$K$5,0)))</f>
        <v>0</v>
      </c>
      <c r="S2166" s="160">
        <f>IF(B2166="",0,MIN(IF($N2166="Other Bond TM",ModelParameters!$N$21,1)*(P2166*Q2166+R2166),1))</f>
        <v>0.075</v>
      </c>
      <c r="T2166" s="85">
        <f>IF(B2166="",0,$S2166*$K2166)</f>
        <v>1.349516108505217</v>
      </c>
      <c r="U2166" s="85">
        <f>IF(B2166="",0,IF(OR(H2166=MappingTables!$C$34,H2166=MappingTables!$C$35),T2166,0))</f>
        <v>0</v>
      </c>
      <c r="V2166" s="85">
        <f>IF(ISNA(IF(AND(VLOOKUP(CONCATENATE($D2166,$G2166),CSRFinput!$B:$E,4,0)=0,OR(H2166=MappingTables!$C$34,H2166=MappingTables!$C$35)),1,VLOOKUP(CONCATENATE($D2166,$G2166),CSRFinput!$B:$E,4,0))),0,IF(AND(VLOOKUP(CONCATENATE($D2166,$G2166),CSRFinput!$B:$E,4,0)=0,OR(H2166=MappingTables!$C$34,H2166=MappingTables!$C$35)),1,VLOOKUP(CONCATENATE($D2166,$G2166),CSRFinput!$B:$E,4,0)))</f>
        <v>0.054776304963434752</v>
      </c>
      <c r="W2166" s="85">
        <f>IF(B2166="",0,+$T2166*$V2166)</f>
        <v>0.073921505912549472</v>
      </c>
      <c r="X2166" s="85">
        <f>IF(B2166="",0,IF(OR(H2166=MappingTables!$C$34,H2166=MappingTables!$C$35),W2166,0))</f>
        <v>0</v>
      </c>
    </row>
    <row r="2167" spans="2:24" s="0" customFormat="0" ht="15">
      <c r="B2167" s="69">
        <v>4966465</v>
      </c>
      <c r="C2167" s="70" t="s">
        <v>501</v>
      </c>
      <c r="D2167" s="70" t="s">
        <v>1</v>
      </c>
      <c r="E2167" s="70" t="s">
        <v>1</v>
      </c>
      <c r="F2167" s="70"/>
      <c r="G2167" s="70" t="s">
        <v>61</v>
      </c>
      <c r="H2167" s="70" t="s">
        <v>178</v>
      </c>
      <c r="I2167" s="70" t="s">
        <v>181</v>
      </c>
      <c r="J2167" s="71">
        <f>IF(OR(I2167=0,I2167=""),"unrated",VLOOKUP(I2167,MappingTables!$B$19:$C$31,2,FALSE))</f>
        <v>3</v>
      </c>
      <c r="K2167" s="72">
        <v>95.105170165075184</v>
      </c>
      <c r="L2167" s="70">
        <v>1.0898512088292438</v>
      </c>
      <c r="M2167" s="71">
        <f>IF(L2167&lt;1,1,L2167)</f>
        <v>1.0898512088292438</v>
      </c>
      <c r="N2167" s="70" t="s">
        <v>141</v>
      </c>
      <c r="O2167" s="71">
        <f>INDEX(DurClassMapping,MATCH(M2167,MappingTables!$D$4:$D$8,-1),1)</f>
        <v>1</v>
      </c>
      <c r="P2167" s="73">
        <f>IF(M2167=$A$1,1,$M2167-INDEX(MappingTables!$E$4:$E$8,MATCH(O2167,MappingTables!$B$4:$B$8,0)))</f>
        <v>1.0898512088292438</v>
      </c>
      <c r="Q2167" s="71">
        <f>IF(B2167="",0,INDEX(ModelParameters!$D$6:$K$10,MATCH($O2167,ModelParameters!$B$6:$B$10,0),MATCH($J2167,ModelParameters!$D$5:$K$5,0)))</f>
        <v>0.025</v>
      </c>
      <c r="R2167" s="71">
        <f>IF(B2167="",0,INDEX(ModelParameters!$D$13:$K$17,MATCH($O2167,ModelParameters!$B$13:$B$17,0),MATCH($J2167,ModelParameters!$D$5:$K$5,0)))</f>
        <v>0</v>
      </c>
      <c r="S2167" s="160">
        <f>IF(B2167="",0,MIN(IF($N2167="Other Bond TM",ModelParameters!$N$21,1)*(P2167*Q2167+R2167),1))</f>
        <v>0.027246280220731096</v>
      </c>
      <c r="T2167" s="85">
        <f>IF(B2167="",0,$S2167*$K2167)</f>
        <v>2.5912621167579532</v>
      </c>
      <c r="U2167" s="85">
        <f>IF(B2167="",0,IF(OR(H2167=MappingTables!$C$34,H2167=MappingTables!$C$35),T2167,0))</f>
        <v>0</v>
      </c>
      <c r="V2167" s="85">
        <f>IF(ISNA(IF(AND(VLOOKUP(CONCATENATE($D2167,$G2167),CSRFinput!$B:$E,4,0)=0,OR(H2167=MappingTables!$C$34,H2167=MappingTables!$C$35)),1,VLOOKUP(CONCATENATE($D2167,$G2167),CSRFinput!$B:$E,4,0))),0,IF(AND(VLOOKUP(CONCATENATE($D2167,$G2167),CSRFinput!$B:$E,4,0)=0,OR(H2167=MappingTables!$C$34,H2167=MappingTables!$C$35)),1,VLOOKUP(CONCATENATE($D2167,$G2167),CSRFinput!$B:$E,4,0)))</f>
        <v>0.054776304963434752</v>
      </c>
      <c r="W2167" s="85">
        <f>IF(B2167="",0,+$T2167*$V2167)</f>
        <v>0.14193976394772912</v>
      </c>
      <c r="X2167" s="85">
        <f>IF(B2167="",0,IF(OR(H2167=MappingTables!$C$34,H2167=MappingTables!$C$35),W2167,0))</f>
        <v>0</v>
      </c>
    </row>
    <row r="2168" spans="2:24" s="0" customFormat="0" ht="15">
      <c r="B2168" s="69">
        <v>21473846</v>
      </c>
      <c r="C2168" s="70" t="s">
        <v>1273</v>
      </c>
      <c r="D2168" s="70" t="s">
        <v>1</v>
      </c>
      <c r="E2168" s="70" t="s">
        <v>1</v>
      </c>
      <c r="F2168" s="70"/>
      <c r="G2168" s="70" t="s">
        <v>61</v>
      </c>
      <c r="H2168" s="70" t="s">
        <v>178</v>
      </c>
      <c r="I2168" s="70" t="s">
        <v>179</v>
      </c>
      <c r="J2168" s="71">
        <f>IF(OR(I2168=0,I2168=""),"unrated",VLOOKUP(I2168,MappingTables!$B$19:$C$31,2,FALSE))</f>
        <v>4</v>
      </c>
      <c r="K2168" s="72">
        <v>17430.758121277734</v>
      </c>
      <c r="L2168" s="70">
        <v>3.7600793258387</v>
      </c>
      <c r="M2168" s="71">
        <f>IF(L2168&lt;1,1,L2168)</f>
        <v>3.7600793258387</v>
      </c>
      <c r="N2168" s="70" t="s">
        <v>141</v>
      </c>
      <c r="O2168" s="71">
        <f>INDEX(DurClassMapping,MATCH(M2168,MappingTables!$D$4:$D$8,-1),1)</f>
        <v>1</v>
      </c>
      <c r="P2168" s="73">
        <f>IF(M2168=$A$1,1,$M2168-INDEX(MappingTables!$E$4:$E$8,MATCH(O2168,MappingTables!$B$4:$B$8,0)))</f>
        <v>3.7600793258387</v>
      </c>
      <c r="Q2168" s="71">
        <f>IF(B2168="",0,INDEX(ModelParameters!$D$6:$K$10,MATCH($O2168,ModelParameters!$B$6:$B$10,0),MATCH($J2168,ModelParameters!$D$5:$K$5,0)))</f>
        <v>0.045</v>
      </c>
      <c r="R2168" s="71">
        <f>IF(B2168="",0,INDEX(ModelParameters!$D$13:$K$17,MATCH($O2168,ModelParameters!$B$13:$B$17,0),MATCH($J2168,ModelParameters!$D$5:$K$5,0)))</f>
        <v>0</v>
      </c>
      <c r="S2168" s="160">
        <f>IF(B2168="",0,MIN(IF($N2168="Other Bond TM",ModelParameters!$N$21,1)*(P2168*Q2168+R2168),1))</f>
        <v>0.1692035696627415</v>
      </c>
      <c r="T2168" s="85">
        <f>IF(B2168="",0,$S2168*$K2168)</f>
        <v>2949.346496048014</v>
      </c>
      <c r="U2168" s="85">
        <f>IF(B2168="",0,IF(OR(H2168=MappingTables!$C$34,H2168=MappingTables!$C$35),T2168,0))</f>
        <v>0</v>
      </c>
      <c r="V2168" s="85">
        <f>IF(ISNA(IF(AND(VLOOKUP(CONCATENATE($D2168,$G2168),CSRFinput!$B:$E,4,0)=0,OR(H2168=MappingTables!$C$34,H2168=MappingTables!$C$35)),1,VLOOKUP(CONCATENATE($D2168,$G2168),CSRFinput!$B:$E,4,0))),0,IF(AND(VLOOKUP(CONCATENATE($D2168,$G2168),CSRFinput!$B:$E,4,0)=0,OR(H2168=MappingTables!$C$34,H2168=MappingTables!$C$35)),1,VLOOKUP(CONCATENATE($D2168,$G2168),CSRFinput!$B:$E,4,0)))</f>
        <v>0.054776304963434752</v>
      </c>
      <c r="W2168" s="85">
        <f>IF(B2168="",0,+$T2168*$V2168)</f>
        <v>161.55430311036374</v>
      </c>
      <c r="X2168" s="85">
        <f>IF(B2168="",0,IF(OR(H2168=MappingTables!$C$34,H2168=MappingTables!$C$35),W2168,0))</f>
        <v>0</v>
      </c>
    </row>
    <row r="2169" spans="2:24" s="0" customFormat="0" ht="15">
      <c r="B2169" s="69">
        <v>15775331</v>
      </c>
      <c r="C2169" s="70" t="s">
        <v>243</v>
      </c>
      <c r="D2169" s="70" t="s">
        <v>1</v>
      </c>
      <c r="E2169" s="70" t="s">
        <v>1</v>
      </c>
      <c r="F2169" s="70"/>
      <c r="G2169" s="70" t="s">
        <v>61</v>
      </c>
      <c r="H2169" s="70" t="s">
        <v>178</v>
      </c>
      <c r="I2169" s="70" t="s">
        <v>181</v>
      </c>
      <c r="J2169" s="71">
        <f>IF(OR(I2169=0,I2169=""),"unrated",VLOOKUP(I2169,MappingTables!$B$19:$C$31,2,FALSE))</f>
        <v>3</v>
      </c>
      <c r="K2169" s="72">
        <v>9839.2457068149808</v>
      </c>
      <c r="L2169" s="70">
        <v>0.1178092472893224</v>
      </c>
      <c r="M2169" s="71">
        <f>IF(L2169&lt;1,1,L2169)</f>
        <v>1</v>
      </c>
      <c r="N2169" s="70" t="s">
        <v>141</v>
      </c>
      <c r="O2169" s="71">
        <f>INDEX(DurClassMapping,MATCH(M2169,MappingTables!$D$4:$D$8,-1),1)</f>
        <v>1</v>
      </c>
      <c r="P2169" s="73">
        <f>IF(M2169=$A$1,1,$M2169-INDEX(MappingTables!$E$4:$E$8,MATCH(O2169,MappingTables!$B$4:$B$8,0)))</f>
        <v>1</v>
      </c>
      <c r="Q2169" s="71">
        <f>IF(B2169="",0,INDEX(ModelParameters!$D$6:$K$10,MATCH($O2169,ModelParameters!$B$6:$B$10,0),MATCH($J2169,ModelParameters!$D$5:$K$5,0)))</f>
        <v>0.025</v>
      </c>
      <c r="R2169" s="71">
        <f>IF(B2169="",0,INDEX(ModelParameters!$D$13:$K$17,MATCH($O2169,ModelParameters!$B$13:$B$17,0),MATCH($J2169,ModelParameters!$D$5:$K$5,0)))</f>
        <v>0</v>
      </c>
      <c r="S2169" s="160">
        <f>IF(B2169="",0,MIN(IF($N2169="Other Bond TM",ModelParameters!$N$21,1)*(P2169*Q2169+R2169),1))</f>
        <v>0.025</v>
      </c>
      <c r="T2169" s="85">
        <f>IF(B2169="",0,$S2169*$K2169)</f>
        <v>245.98114267037452</v>
      </c>
      <c r="U2169" s="85">
        <f>IF(B2169="",0,IF(OR(H2169=MappingTables!$C$34,H2169=MappingTables!$C$35),T2169,0))</f>
        <v>0</v>
      </c>
      <c r="V2169" s="85">
        <f>IF(ISNA(IF(AND(VLOOKUP(CONCATENATE($D2169,$G2169),CSRFinput!$B:$E,4,0)=0,OR(H2169=MappingTables!$C$34,H2169=MappingTables!$C$35)),1,VLOOKUP(CONCATENATE($D2169,$G2169),CSRFinput!$B:$E,4,0))),0,IF(AND(VLOOKUP(CONCATENATE($D2169,$G2169),CSRFinput!$B:$E,4,0)=0,OR(H2169=MappingTables!$C$34,H2169=MappingTables!$C$35)),1,VLOOKUP(CONCATENATE($D2169,$G2169),CSRFinput!$B:$E,4,0)))</f>
        <v>0.054776304963434752</v>
      </c>
      <c r="W2169" s="85">
        <f>IF(B2169="",0,+$T2169*$V2169)</f>
        <v>13.473938086166588</v>
      </c>
      <c r="X2169" s="85">
        <f>IF(B2169="",0,IF(OR(H2169=MappingTables!$C$34,H2169=MappingTables!$C$35),W2169,0))</f>
        <v>0</v>
      </c>
    </row>
    <row r="2170" spans="2:24" s="0" customFormat="0" ht="15">
      <c r="B2170" s="69">
        <v>23425036</v>
      </c>
      <c r="C2170" s="70" t="s">
        <v>1651</v>
      </c>
      <c r="D2170" s="70" t="s">
        <v>1</v>
      </c>
      <c r="E2170" s="70" t="s">
        <v>1</v>
      </c>
      <c r="F2170" s="70"/>
      <c r="G2170" s="70" t="s">
        <v>61</v>
      </c>
      <c r="H2170" s="70" t="s">
        <v>178</v>
      </c>
      <c r="I2170" s="70" t="s">
        <v>188</v>
      </c>
      <c r="J2170" s="71">
        <f>IF(OR(I2170=0,I2170=""),"unrated",VLOOKUP(I2170,MappingTables!$B$19:$C$31,2,FALSE))</f>
        <v>2</v>
      </c>
      <c r="K2170" s="72">
        <v>302.4514082862852</v>
      </c>
      <c r="L2170" s="70">
        <v>1.440909901150326</v>
      </c>
      <c r="M2170" s="71">
        <f>IF(L2170&lt;1,1,L2170)</f>
        <v>1.440909901150326</v>
      </c>
      <c r="N2170" s="70" t="s">
        <v>141</v>
      </c>
      <c r="O2170" s="71">
        <f>INDEX(DurClassMapping,MATCH(M2170,MappingTables!$D$4:$D$8,-1),1)</f>
        <v>1</v>
      </c>
      <c r="P2170" s="73">
        <f>IF(M2170=$A$1,1,$M2170-INDEX(MappingTables!$E$4:$E$8,MATCH(O2170,MappingTables!$B$4:$B$8,0)))</f>
        <v>1.440909901150326</v>
      </c>
      <c r="Q2170" s="71">
        <f>IF(B2170="",0,INDEX(ModelParameters!$D$6:$K$10,MATCH($O2170,ModelParameters!$B$6:$B$10,0),MATCH($J2170,ModelParameters!$D$5:$K$5,0)))</f>
        <v>0.013999999999999998</v>
      </c>
      <c r="R2170" s="71">
        <f>IF(B2170="",0,INDEX(ModelParameters!$D$13:$K$17,MATCH($O2170,ModelParameters!$B$13:$B$17,0),MATCH($J2170,ModelParameters!$D$5:$K$5,0)))</f>
        <v>0</v>
      </c>
      <c r="S2170" s="160">
        <f>IF(B2170="",0,MIN(IF($N2170="Other Bond TM",ModelParameters!$N$21,1)*(P2170*Q2170+R2170),1))</f>
        <v>0.020172738616104564</v>
      </c>
      <c r="T2170" s="85">
        <f>IF(B2170="",0,$S2170*$K2170)</f>
        <v>6.1012732034319528</v>
      </c>
      <c r="U2170" s="85">
        <f>IF(B2170="",0,IF(OR(H2170=MappingTables!$C$34,H2170=MappingTables!$C$35),T2170,0))</f>
        <v>0</v>
      </c>
      <c r="V2170" s="85">
        <f>IF(ISNA(IF(AND(VLOOKUP(CONCATENATE($D2170,$G2170),CSRFinput!$B:$E,4,0)=0,OR(H2170=MappingTables!$C$34,H2170=MappingTables!$C$35)),1,VLOOKUP(CONCATENATE($D2170,$G2170),CSRFinput!$B:$E,4,0))),0,IF(AND(VLOOKUP(CONCATENATE($D2170,$G2170),CSRFinput!$B:$E,4,0)=0,OR(H2170=MappingTables!$C$34,H2170=MappingTables!$C$35)),1,VLOOKUP(CONCATENATE($D2170,$G2170),CSRFinput!$B:$E,4,0)))</f>
        <v>0.054776304963434752</v>
      </c>
      <c r="W2170" s="85">
        <f>IF(B2170="",0,+$T2170*$V2170)</f>
        <v>0.33420520165642116</v>
      </c>
      <c r="X2170" s="85">
        <f>IF(B2170="",0,IF(OR(H2170=MappingTables!$C$34,H2170=MappingTables!$C$35),W2170,0))</f>
        <v>0</v>
      </c>
    </row>
    <row r="2171" spans="2:24" s="0" customFormat="0" ht="15">
      <c r="B2171" s="69">
        <v>23595946</v>
      </c>
      <c r="C2171" s="70" t="s">
        <v>2241</v>
      </c>
      <c r="D2171" s="70" t="s">
        <v>1</v>
      </c>
      <c r="E2171" s="70" t="s">
        <v>1</v>
      </c>
      <c r="F2171" s="70"/>
      <c r="G2171" s="70" t="s">
        <v>61</v>
      </c>
      <c r="H2171" s="70" t="s">
        <v>178</v>
      </c>
      <c r="I2171" s="70" t="s">
        <v>188</v>
      </c>
      <c r="J2171" s="71">
        <f>IF(OR(I2171=0,I2171=""),"unrated",VLOOKUP(I2171,MappingTables!$B$19:$C$31,2,FALSE))</f>
        <v>2</v>
      </c>
      <c r="K2171" s="72">
        <v>444.96379751536768</v>
      </c>
      <c r="L2171" s="70">
        <v>1.4895832938932876</v>
      </c>
      <c r="M2171" s="71">
        <f>IF(L2171&lt;1,1,L2171)</f>
        <v>1.4895832938932876</v>
      </c>
      <c r="N2171" s="70" t="s">
        <v>141</v>
      </c>
      <c r="O2171" s="71">
        <f>INDEX(DurClassMapping,MATCH(M2171,MappingTables!$D$4:$D$8,-1),1)</f>
        <v>1</v>
      </c>
      <c r="P2171" s="73">
        <f>IF(M2171=$A$1,1,$M2171-INDEX(MappingTables!$E$4:$E$8,MATCH(O2171,MappingTables!$B$4:$B$8,0)))</f>
        <v>1.4895832938932876</v>
      </c>
      <c r="Q2171" s="71">
        <f>IF(B2171="",0,INDEX(ModelParameters!$D$6:$K$10,MATCH($O2171,ModelParameters!$B$6:$B$10,0),MATCH($J2171,ModelParameters!$D$5:$K$5,0)))</f>
        <v>0.013999999999999998</v>
      </c>
      <c r="R2171" s="71">
        <f>IF(B2171="",0,INDEX(ModelParameters!$D$13:$K$17,MATCH($O2171,ModelParameters!$B$13:$B$17,0),MATCH($J2171,ModelParameters!$D$5:$K$5,0)))</f>
        <v>0</v>
      </c>
      <c r="S2171" s="160">
        <f>IF(B2171="",0,MIN(IF($N2171="Other Bond TM",ModelParameters!$N$21,1)*(P2171*Q2171+R2171),1))</f>
        <v>0.020854166114506024</v>
      </c>
      <c r="T2171" s="85">
        <f>IF(B2171="",0,$S2171*$K2171)</f>
        <v>9.2793489483269008</v>
      </c>
      <c r="U2171" s="85">
        <f>IF(B2171="",0,IF(OR(H2171=MappingTables!$C$34,H2171=MappingTables!$C$35),T2171,0))</f>
        <v>0</v>
      </c>
      <c r="V2171" s="85">
        <f>IF(ISNA(IF(AND(VLOOKUP(CONCATENATE($D2171,$G2171),CSRFinput!$B:$E,4,0)=0,OR(H2171=MappingTables!$C$34,H2171=MappingTables!$C$35)),1,VLOOKUP(CONCATENATE($D2171,$G2171),CSRFinput!$B:$E,4,0))),0,IF(AND(VLOOKUP(CONCATENATE($D2171,$G2171),CSRFinput!$B:$E,4,0)=0,OR(H2171=MappingTables!$C$34,H2171=MappingTables!$C$35)),1,VLOOKUP(CONCATENATE($D2171,$G2171),CSRFinput!$B:$E,4,0)))</f>
        <v>0.054776304963434752</v>
      </c>
      <c r="W2171" s="85">
        <f>IF(B2171="",0,+$T2171*$V2171)</f>
        <v>0.50828844785568184</v>
      </c>
      <c r="X2171" s="85">
        <f>IF(B2171="",0,IF(OR(H2171=MappingTables!$C$34,H2171=MappingTables!$C$35),W2171,0))</f>
        <v>0</v>
      </c>
    </row>
    <row r="2172" spans="2:24" s="0" customFormat="0" ht="15">
      <c r="B2172" s="69" t="s">
        <v>1586</v>
      </c>
      <c r="C2172" s="70" t="s">
        <v>1587</v>
      </c>
      <c r="D2172" s="70" t="s">
        <v>1</v>
      </c>
      <c r="E2172" s="70" t="s">
        <v>1</v>
      </c>
      <c r="F2172" s="70"/>
      <c r="G2172" s="70" t="s">
        <v>61</v>
      </c>
      <c r="H2172" s="70" t="s">
        <v>178</v>
      </c>
      <c r="I2172" s="70" t="s">
        <v>179</v>
      </c>
      <c r="J2172" s="71">
        <f>IF(OR(I2172=0,I2172=""),"unrated",VLOOKUP(I2172,MappingTables!$B$19:$C$31,2,FALSE))</f>
        <v>4</v>
      </c>
      <c r="K2172" s="72">
        <v>42.524328446034472</v>
      </c>
      <c r="L2172" s="70">
        <v>0.9746228273959248</v>
      </c>
      <c r="M2172" s="71">
        <f>IF(L2172&lt;1,1,L2172)</f>
        <v>1</v>
      </c>
      <c r="N2172" s="70" t="s">
        <v>141</v>
      </c>
      <c r="O2172" s="71">
        <f>INDEX(DurClassMapping,MATCH(M2172,MappingTables!$D$4:$D$8,-1),1)</f>
        <v>1</v>
      </c>
      <c r="P2172" s="73">
        <f>IF(M2172=$A$1,1,$M2172-INDEX(MappingTables!$E$4:$E$8,MATCH(O2172,MappingTables!$B$4:$B$8,0)))</f>
        <v>1</v>
      </c>
      <c r="Q2172" s="71">
        <f>IF(B2172="",0,INDEX(ModelParameters!$D$6:$K$10,MATCH($O2172,ModelParameters!$B$6:$B$10,0),MATCH($J2172,ModelParameters!$D$5:$K$5,0)))</f>
        <v>0.045</v>
      </c>
      <c r="R2172" s="71">
        <f>IF(B2172="",0,INDEX(ModelParameters!$D$13:$K$17,MATCH($O2172,ModelParameters!$B$13:$B$17,0),MATCH($J2172,ModelParameters!$D$5:$K$5,0)))</f>
        <v>0</v>
      </c>
      <c r="S2172" s="160">
        <f>IF(B2172="",0,MIN(IF($N2172="Other Bond TM",ModelParameters!$N$21,1)*(P2172*Q2172+R2172),1))</f>
        <v>0.045</v>
      </c>
      <c r="T2172" s="85">
        <f>IF(B2172="",0,$S2172*$K2172)</f>
        <v>1.9135947800715512</v>
      </c>
      <c r="U2172" s="85">
        <f>IF(B2172="",0,IF(OR(H2172=MappingTables!$C$34,H2172=MappingTables!$C$35),T2172,0))</f>
        <v>0</v>
      </c>
      <c r="V2172" s="85">
        <f>IF(ISNA(IF(AND(VLOOKUP(CONCATENATE($D2172,$G2172),CSRFinput!$B:$E,4,0)=0,OR(H2172=MappingTables!$C$34,H2172=MappingTables!$C$35)),1,VLOOKUP(CONCATENATE($D2172,$G2172),CSRFinput!$B:$E,4,0))),0,IF(AND(VLOOKUP(CONCATENATE($D2172,$G2172),CSRFinput!$B:$E,4,0)=0,OR(H2172=MappingTables!$C$34,H2172=MappingTables!$C$35)),1,VLOOKUP(CONCATENATE($D2172,$G2172),CSRFinput!$B:$E,4,0)))</f>
        <v>0.054776304963434752</v>
      </c>
      <c r="W2172" s="85">
        <f>IF(B2172="",0,+$T2172*$V2172)</f>
        <v>0.10481965124963614</v>
      </c>
      <c r="X2172" s="85">
        <f>IF(B2172="",0,IF(OR(H2172=MappingTables!$C$34,H2172=MappingTables!$C$35),W2172,0))</f>
        <v>0</v>
      </c>
    </row>
    <row r="2173" spans="2:24" s="0" customFormat="0" ht="15">
      <c r="B2173" s="69">
        <v>22289596</v>
      </c>
      <c r="C2173" s="70" t="s">
        <v>2242</v>
      </c>
      <c r="D2173" s="70" t="s">
        <v>1</v>
      </c>
      <c r="E2173" s="70" t="s">
        <v>1</v>
      </c>
      <c r="F2173" s="70"/>
      <c r="G2173" s="70" t="s">
        <v>61</v>
      </c>
      <c r="H2173" s="70" t="s">
        <v>178</v>
      </c>
      <c r="I2173" s="70" t="s">
        <v>181</v>
      </c>
      <c r="J2173" s="71">
        <f>IF(OR(I2173=0,I2173=""),"unrated",VLOOKUP(I2173,MappingTables!$B$19:$C$31,2,FALSE))</f>
        <v>3</v>
      </c>
      <c r="K2173" s="72">
        <v>286.54776980171256</v>
      </c>
      <c r="L2173" s="70">
        <v>0.20822014495374288</v>
      </c>
      <c r="M2173" s="71">
        <f>IF(L2173&lt;1,1,L2173)</f>
        <v>1</v>
      </c>
      <c r="N2173" s="70" t="s">
        <v>141</v>
      </c>
      <c r="O2173" s="71">
        <f>INDEX(DurClassMapping,MATCH(M2173,MappingTables!$D$4:$D$8,-1),1)</f>
        <v>1</v>
      </c>
      <c r="P2173" s="73">
        <f>IF(M2173=$A$1,1,$M2173-INDEX(MappingTables!$E$4:$E$8,MATCH(O2173,MappingTables!$B$4:$B$8,0)))</f>
        <v>1</v>
      </c>
      <c r="Q2173" s="71">
        <f>IF(B2173="",0,INDEX(ModelParameters!$D$6:$K$10,MATCH($O2173,ModelParameters!$B$6:$B$10,0),MATCH($J2173,ModelParameters!$D$5:$K$5,0)))</f>
        <v>0.025</v>
      </c>
      <c r="R2173" s="71">
        <f>IF(B2173="",0,INDEX(ModelParameters!$D$13:$K$17,MATCH($O2173,ModelParameters!$B$13:$B$17,0),MATCH($J2173,ModelParameters!$D$5:$K$5,0)))</f>
        <v>0</v>
      </c>
      <c r="S2173" s="160">
        <f>IF(B2173="",0,MIN(IF($N2173="Other Bond TM",ModelParameters!$N$21,1)*(P2173*Q2173+R2173),1))</f>
        <v>0.025</v>
      </c>
      <c r="T2173" s="85">
        <f>IF(B2173="",0,$S2173*$K2173)</f>
        <v>7.1636942450428144</v>
      </c>
      <c r="U2173" s="85">
        <f>IF(B2173="",0,IF(OR(H2173=MappingTables!$C$34,H2173=MappingTables!$C$35),T2173,0))</f>
        <v>0</v>
      </c>
      <c r="V2173" s="85">
        <f>IF(ISNA(IF(AND(VLOOKUP(CONCATENATE($D2173,$G2173),CSRFinput!$B:$E,4,0)=0,OR(H2173=MappingTables!$C$34,H2173=MappingTables!$C$35)),1,VLOOKUP(CONCATENATE($D2173,$G2173),CSRFinput!$B:$E,4,0))),0,IF(AND(VLOOKUP(CONCATENATE($D2173,$G2173),CSRFinput!$B:$E,4,0)=0,OR(H2173=MappingTables!$C$34,H2173=MappingTables!$C$35)),1,VLOOKUP(CONCATENATE($D2173,$G2173),CSRFinput!$B:$E,4,0)))</f>
        <v>0.054776304963434752</v>
      </c>
      <c r="W2173" s="85">
        <f>IF(B2173="",0,+$T2173*$V2173)</f>
        <v>0.39240070063126768</v>
      </c>
      <c r="X2173" s="85">
        <f>IF(B2173="",0,IF(OR(H2173=MappingTables!$C$34,H2173=MappingTables!$C$35),W2173,0))</f>
        <v>0</v>
      </c>
    </row>
    <row r="2174" spans="2:24" s="0" customFormat="0" ht="15">
      <c r="B2174" s="69">
        <v>22081367</v>
      </c>
      <c r="C2174" s="70" t="s">
        <v>2243</v>
      </c>
      <c r="D2174" s="70" t="s">
        <v>1</v>
      </c>
      <c r="E2174" s="70" t="s">
        <v>1</v>
      </c>
      <c r="F2174" s="70"/>
      <c r="G2174" s="70" t="s">
        <v>61</v>
      </c>
      <c r="H2174" s="70" t="s">
        <v>178</v>
      </c>
      <c r="I2174" s="70" t="s">
        <v>179</v>
      </c>
      <c r="J2174" s="71">
        <f>IF(OR(I2174=0,I2174=""),"unrated",VLOOKUP(I2174,MappingTables!$B$19:$C$31,2,FALSE))</f>
        <v>4</v>
      </c>
      <c r="K2174" s="72">
        <v>369.03470202652304</v>
      </c>
      <c r="L2174" s="70">
        <v>1.510245783313036</v>
      </c>
      <c r="M2174" s="71">
        <f>IF(L2174&lt;1,1,L2174)</f>
        <v>1.510245783313036</v>
      </c>
      <c r="N2174" s="70" t="s">
        <v>141</v>
      </c>
      <c r="O2174" s="71">
        <f>INDEX(DurClassMapping,MATCH(M2174,MappingTables!$D$4:$D$8,-1),1)</f>
        <v>1</v>
      </c>
      <c r="P2174" s="73">
        <f>IF(M2174=$A$1,1,$M2174-INDEX(MappingTables!$E$4:$E$8,MATCH(O2174,MappingTables!$B$4:$B$8,0)))</f>
        <v>1.510245783313036</v>
      </c>
      <c r="Q2174" s="71">
        <f>IF(B2174="",0,INDEX(ModelParameters!$D$6:$K$10,MATCH($O2174,ModelParameters!$B$6:$B$10,0),MATCH($J2174,ModelParameters!$D$5:$K$5,0)))</f>
        <v>0.045</v>
      </c>
      <c r="R2174" s="71">
        <f>IF(B2174="",0,INDEX(ModelParameters!$D$13:$K$17,MATCH($O2174,ModelParameters!$B$13:$B$17,0),MATCH($J2174,ModelParameters!$D$5:$K$5,0)))</f>
        <v>0</v>
      </c>
      <c r="S2174" s="160">
        <f>IF(B2174="",0,MIN(IF($N2174="Other Bond TM",ModelParameters!$N$21,1)*(P2174*Q2174+R2174),1))</f>
        <v>0.067961060249086616</v>
      </c>
      <c r="T2174" s="85">
        <f>IF(B2174="",0,$S2174*$K2174)</f>
        <v>25.079989618428256</v>
      </c>
      <c r="U2174" s="85">
        <f>IF(B2174="",0,IF(OR(H2174=MappingTables!$C$34,H2174=MappingTables!$C$35),T2174,0))</f>
        <v>0</v>
      </c>
      <c r="V2174" s="85">
        <f>IF(ISNA(IF(AND(VLOOKUP(CONCATENATE($D2174,$G2174),CSRFinput!$B:$E,4,0)=0,OR(H2174=MappingTables!$C$34,H2174=MappingTables!$C$35)),1,VLOOKUP(CONCATENATE($D2174,$G2174),CSRFinput!$B:$E,4,0))),0,IF(AND(VLOOKUP(CONCATENATE($D2174,$G2174),CSRFinput!$B:$E,4,0)=0,OR(H2174=MappingTables!$C$34,H2174=MappingTables!$C$35)),1,VLOOKUP(CONCATENATE($D2174,$G2174),CSRFinput!$B:$E,4,0)))</f>
        <v>0.054776304963434752</v>
      </c>
      <c r="W2174" s="85">
        <f>IF(B2174="",0,+$T2174*$V2174)</f>
        <v>1.3737891598188038</v>
      </c>
      <c r="X2174" s="85">
        <f>IF(B2174="",0,IF(OR(H2174=MappingTables!$C$34,H2174=MappingTables!$C$35),W2174,0))</f>
        <v>0</v>
      </c>
    </row>
    <row r="2175" spans="2:24" s="0" customFormat="0" ht="15">
      <c r="B2175" s="69">
        <v>18684448</v>
      </c>
      <c r="C2175" s="70" t="s">
        <v>2244</v>
      </c>
      <c r="D2175" s="70" t="s">
        <v>1</v>
      </c>
      <c r="E2175" s="70" t="s">
        <v>1</v>
      </c>
      <c r="F2175" s="70"/>
      <c r="G2175" s="70" t="s">
        <v>61</v>
      </c>
      <c r="H2175" s="70" t="s">
        <v>178</v>
      </c>
      <c r="I2175" s="70" t="s">
        <v>179</v>
      </c>
      <c r="J2175" s="71">
        <f>IF(OR(I2175=0,I2175=""),"unrated",VLOOKUP(I2175,MappingTables!$B$19:$C$31,2,FALSE))</f>
        <v>4</v>
      </c>
      <c r="K2175" s="72">
        <v>3229.2181792187376</v>
      </c>
      <c r="L2175" s="70">
        <v>2.7680884261803044</v>
      </c>
      <c r="M2175" s="71">
        <f>IF(L2175&lt;1,1,L2175)</f>
        <v>2.7680884261803044</v>
      </c>
      <c r="N2175" s="70" t="s">
        <v>141</v>
      </c>
      <c r="O2175" s="71">
        <f>INDEX(DurClassMapping,MATCH(M2175,MappingTables!$D$4:$D$8,-1),1)</f>
        <v>1</v>
      </c>
      <c r="P2175" s="73">
        <f>IF(M2175=$A$1,1,$M2175-INDEX(MappingTables!$E$4:$E$8,MATCH(O2175,MappingTables!$B$4:$B$8,0)))</f>
        <v>2.7680884261803044</v>
      </c>
      <c r="Q2175" s="71">
        <f>IF(B2175="",0,INDEX(ModelParameters!$D$6:$K$10,MATCH($O2175,ModelParameters!$B$6:$B$10,0),MATCH($J2175,ModelParameters!$D$5:$K$5,0)))</f>
        <v>0.045</v>
      </c>
      <c r="R2175" s="71">
        <f>IF(B2175="",0,INDEX(ModelParameters!$D$13:$K$17,MATCH($O2175,ModelParameters!$B$13:$B$17,0),MATCH($J2175,ModelParameters!$D$5:$K$5,0)))</f>
        <v>0</v>
      </c>
      <c r="S2175" s="160">
        <f>IF(B2175="",0,MIN(IF($N2175="Other Bond TM",ModelParameters!$N$21,1)*(P2175*Q2175+R2175),1))</f>
        <v>0.1245639791781137</v>
      </c>
      <c r="T2175" s="85">
        <f>IF(B2175="",0,$S2175*$K2175)</f>
        <v>402.24426603778904</v>
      </c>
      <c r="U2175" s="85">
        <f>IF(B2175="",0,IF(OR(H2175=MappingTables!$C$34,H2175=MappingTables!$C$35),T2175,0))</f>
        <v>0</v>
      </c>
      <c r="V2175" s="85">
        <f>IF(ISNA(IF(AND(VLOOKUP(CONCATENATE($D2175,$G2175),CSRFinput!$B:$E,4,0)=0,OR(H2175=MappingTables!$C$34,H2175=MappingTables!$C$35)),1,VLOOKUP(CONCATENATE($D2175,$G2175),CSRFinput!$B:$E,4,0))),0,IF(AND(VLOOKUP(CONCATENATE($D2175,$G2175),CSRFinput!$B:$E,4,0)=0,OR(H2175=MappingTables!$C$34,H2175=MappingTables!$C$35)),1,VLOOKUP(CONCATENATE($D2175,$G2175),CSRFinput!$B:$E,4,0)))</f>
        <v>0.054776304963434752</v>
      </c>
      <c r="W2175" s="85">
        <f>IF(B2175="",0,+$T2175*$V2175)</f>
        <v>22.033454586278916</v>
      </c>
      <c r="X2175" s="85">
        <f>IF(B2175="",0,IF(OR(H2175=MappingTables!$C$34,H2175=MappingTables!$C$35),W2175,0))</f>
        <v>0</v>
      </c>
    </row>
    <row r="2176" spans="2:24" s="0" customFormat="0" ht="15">
      <c r="B2176" s="69">
        <v>15834520</v>
      </c>
      <c r="C2176" s="70" t="s">
        <v>2245</v>
      </c>
      <c r="D2176" s="70" t="s">
        <v>1</v>
      </c>
      <c r="E2176" s="70" t="s">
        <v>1</v>
      </c>
      <c r="F2176" s="70"/>
      <c r="G2176" s="70" t="s">
        <v>61</v>
      </c>
      <c r="H2176" s="70" t="s">
        <v>178</v>
      </c>
      <c r="I2176" s="70" t="s">
        <v>181</v>
      </c>
      <c r="J2176" s="71">
        <f>IF(OR(I2176=0,I2176=""),"unrated",VLOOKUP(I2176,MappingTables!$B$19:$C$31,2,FALSE))</f>
        <v>3</v>
      </c>
      <c r="K2176" s="72">
        <v>77.00440726955912</v>
      </c>
      <c r="L2176" s="70">
        <v>0.7823062950013256</v>
      </c>
      <c r="M2176" s="71">
        <f>IF(L2176&lt;1,1,L2176)</f>
        <v>1</v>
      </c>
      <c r="N2176" s="70" t="s">
        <v>141</v>
      </c>
      <c r="O2176" s="71">
        <f>INDEX(DurClassMapping,MATCH(M2176,MappingTables!$D$4:$D$8,-1),1)</f>
        <v>1</v>
      </c>
      <c r="P2176" s="73">
        <f>IF(M2176=$A$1,1,$M2176-INDEX(MappingTables!$E$4:$E$8,MATCH(O2176,MappingTables!$B$4:$B$8,0)))</f>
        <v>1</v>
      </c>
      <c r="Q2176" s="71">
        <f>IF(B2176="",0,INDEX(ModelParameters!$D$6:$K$10,MATCH($O2176,ModelParameters!$B$6:$B$10,0),MATCH($J2176,ModelParameters!$D$5:$K$5,0)))</f>
        <v>0.025</v>
      </c>
      <c r="R2176" s="71">
        <f>IF(B2176="",0,INDEX(ModelParameters!$D$13:$K$17,MATCH($O2176,ModelParameters!$B$13:$B$17,0),MATCH($J2176,ModelParameters!$D$5:$K$5,0)))</f>
        <v>0</v>
      </c>
      <c r="S2176" s="160">
        <f>IF(B2176="",0,MIN(IF($N2176="Other Bond TM",ModelParameters!$N$21,1)*(P2176*Q2176+R2176),1))</f>
        <v>0.025</v>
      </c>
      <c r="T2176" s="85">
        <f>IF(B2176="",0,$S2176*$K2176)</f>
        <v>1.925110181738978</v>
      </c>
      <c r="U2176" s="85">
        <f>IF(B2176="",0,IF(OR(H2176=MappingTables!$C$34,H2176=MappingTables!$C$35),T2176,0))</f>
        <v>0</v>
      </c>
      <c r="V2176" s="85">
        <f>IF(ISNA(IF(AND(VLOOKUP(CONCATENATE($D2176,$G2176),CSRFinput!$B:$E,4,0)=0,OR(H2176=MappingTables!$C$34,H2176=MappingTables!$C$35)),1,VLOOKUP(CONCATENATE($D2176,$G2176),CSRFinput!$B:$E,4,0))),0,IF(AND(VLOOKUP(CONCATENATE($D2176,$G2176),CSRFinput!$B:$E,4,0)=0,OR(H2176=MappingTables!$C$34,H2176=MappingTables!$C$35)),1,VLOOKUP(CONCATENATE($D2176,$G2176),CSRFinput!$B:$E,4,0)))</f>
        <v>0.054776304963434752</v>
      </c>
      <c r="W2176" s="85">
        <f>IF(B2176="",0,+$T2176*$V2176)</f>
        <v>0.10545042240314758</v>
      </c>
      <c r="X2176" s="85">
        <f>IF(B2176="",0,IF(OR(H2176=MappingTables!$C$34,H2176=MappingTables!$C$35),W2176,0))</f>
        <v>0</v>
      </c>
    </row>
    <row r="2177" spans="2:24" s="0" customFormat="0" ht="15">
      <c r="B2177" s="69">
        <v>12833954</v>
      </c>
      <c r="C2177" s="70" t="s">
        <v>1351</v>
      </c>
      <c r="D2177" s="70" t="s">
        <v>1</v>
      </c>
      <c r="E2177" s="70" t="s">
        <v>1</v>
      </c>
      <c r="F2177" s="70"/>
      <c r="G2177" s="70" t="s">
        <v>61</v>
      </c>
      <c r="H2177" s="70" t="s">
        <v>178</v>
      </c>
      <c r="I2177" s="70" t="s">
        <v>188</v>
      </c>
      <c r="J2177" s="71">
        <f>IF(OR(I2177=0,I2177=""),"unrated",VLOOKUP(I2177,MappingTables!$B$19:$C$31,2,FALSE))</f>
        <v>2</v>
      </c>
      <c r="K2177" s="72">
        <v>526.60191995655256</v>
      </c>
      <c r="L2177" s="70">
        <v>0.80962692099705952</v>
      </c>
      <c r="M2177" s="71">
        <f>IF(L2177&lt;1,1,L2177)</f>
        <v>1</v>
      </c>
      <c r="N2177" s="70" t="s">
        <v>141</v>
      </c>
      <c r="O2177" s="71">
        <f>INDEX(DurClassMapping,MATCH(M2177,MappingTables!$D$4:$D$8,-1),1)</f>
        <v>1</v>
      </c>
      <c r="P2177" s="73">
        <f>IF(M2177=$A$1,1,$M2177-INDEX(MappingTables!$E$4:$E$8,MATCH(O2177,MappingTables!$B$4:$B$8,0)))</f>
        <v>1</v>
      </c>
      <c r="Q2177" s="71">
        <f>IF(B2177="",0,INDEX(ModelParameters!$D$6:$K$10,MATCH($O2177,ModelParameters!$B$6:$B$10,0),MATCH($J2177,ModelParameters!$D$5:$K$5,0)))</f>
        <v>0.013999999999999998</v>
      </c>
      <c r="R2177" s="71">
        <f>IF(B2177="",0,INDEX(ModelParameters!$D$13:$K$17,MATCH($O2177,ModelParameters!$B$13:$B$17,0),MATCH($J2177,ModelParameters!$D$5:$K$5,0)))</f>
        <v>0</v>
      </c>
      <c r="S2177" s="160">
        <f>IF(B2177="",0,MIN(IF($N2177="Other Bond TM",ModelParameters!$N$21,1)*(P2177*Q2177+R2177),1))</f>
        <v>0.013999999999999998</v>
      </c>
      <c r="T2177" s="85">
        <f>IF(B2177="",0,$S2177*$K2177)</f>
        <v>7.372426879391736</v>
      </c>
      <c r="U2177" s="85">
        <f>IF(B2177="",0,IF(OR(H2177=MappingTables!$C$34,H2177=MappingTables!$C$35),T2177,0))</f>
        <v>0</v>
      </c>
      <c r="V2177" s="85">
        <f>IF(ISNA(IF(AND(VLOOKUP(CONCATENATE($D2177,$G2177),CSRFinput!$B:$E,4,0)=0,OR(H2177=MappingTables!$C$34,H2177=MappingTables!$C$35)),1,VLOOKUP(CONCATENATE($D2177,$G2177),CSRFinput!$B:$E,4,0))),0,IF(AND(VLOOKUP(CONCATENATE($D2177,$G2177),CSRFinput!$B:$E,4,0)=0,OR(H2177=MappingTables!$C$34,H2177=MappingTables!$C$35)),1,VLOOKUP(CONCATENATE($D2177,$G2177),CSRFinput!$B:$E,4,0)))</f>
        <v>0.054776304963434752</v>
      </c>
      <c r="W2177" s="85">
        <f>IF(B2177="",0,+$T2177*$V2177)</f>
        <v>0.40383430306618528</v>
      </c>
      <c r="X2177" s="85">
        <f>IF(B2177="",0,IF(OR(H2177=MappingTables!$C$34,H2177=MappingTables!$C$35),W2177,0))</f>
        <v>0</v>
      </c>
    </row>
    <row r="2178" spans="2:24" s="0" customFormat="0" ht="15">
      <c r="B2178" s="69" t="s">
        <v>2246</v>
      </c>
      <c r="C2178" s="70" t="s">
        <v>2247</v>
      </c>
      <c r="D2178" s="70" t="s">
        <v>1</v>
      </c>
      <c r="E2178" s="70" t="s">
        <v>1</v>
      </c>
      <c r="F2178" s="70"/>
      <c r="G2178" s="70" t="s">
        <v>61</v>
      </c>
      <c r="H2178" s="70" t="s">
        <v>178</v>
      </c>
      <c r="I2178" s="70" t="s">
        <v>198</v>
      </c>
      <c r="J2178" s="71" t="str">
        <f>IF(OR(I2178=0,I2178=""),"unrated",VLOOKUP(I2178,MappingTables!$B$19:$C$31,2,FALSE))</f>
        <v>unrated</v>
      </c>
      <c r="K2178" s="72">
        <v>157.45318852259768</v>
      </c>
      <c r="L2178" s="70">
        <v>7.9076452685636816</v>
      </c>
      <c r="M2178" s="71">
        <f>IF(L2178&lt;1,1,L2178)</f>
        <v>7.9076452685636816</v>
      </c>
      <c r="N2178" s="70" t="s">
        <v>141</v>
      </c>
      <c r="O2178" s="71">
        <f>INDEX(DurClassMapping,MATCH(M2178,MappingTables!$D$4:$D$8,-1),1)</f>
        <v>2</v>
      </c>
      <c r="P2178" s="73">
        <f>IF(M2178=$A$1,1,$M2178-INDEX(MappingTables!$E$4:$E$8,MATCH(O2178,MappingTables!$B$4:$B$8,0)))</f>
        <v>2.907645268563682</v>
      </c>
      <c r="Q2178" s="71">
        <f>IF(B2178="",0,INDEX(ModelParameters!$D$6:$K$10,MATCH($O2178,ModelParameters!$B$6:$B$10,0),MATCH($J2178,ModelParameters!$D$5:$K$5,0)))</f>
        <v>0.017000000000000002</v>
      </c>
      <c r="R2178" s="71">
        <f>IF(B2178="",0,INDEX(ModelParameters!$D$13:$K$17,MATCH($O2178,ModelParameters!$B$13:$B$17,0),MATCH($J2178,ModelParameters!$D$5:$K$5,0)))</f>
        <v>0.15</v>
      </c>
      <c r="S2178" s="160">
        <f>IF(B2178="",0,MIN(IF($N2178="Other Bond TM",ModelParameters!$N$21,1)*(P2178*Q2178+R2178),1))</f>
        <v>0.1994299695655826</v>
      </c>
      <c r="T2178" s="85">
        <f>IF(B2178="",0,$S2178*$K2178)</f>
        <v>31.400884595065596</v>
      </c>
      <c r="U2178" s="85">
        <f>IF(B2178="",0,IF(OR(H2178=MappingTables!$C$34,H2178=MappingTables!$C$35),T2178,0))</f>
        <v>0</v>
      </c>
      <c r="V2178" s="85">
        <f>IF(ISNA(IF(AND(VLOOKUP(CONCATENATE($D2178,$G2178),CSRFinput!$B:$E,4,0)=0,OR(H2178=MappingTables!$C$34,H2178=MappingTables!$C$35)),1,VLOOKUP(CONCATENATE($D2178,$G2178),CSRFinput!$B:$E,4,0))),0,IF(AND(VLOOKUP(CONCATENATE($D2178,$G2178),CSRFinput!$B:$E,4,0)=0,OR(H2178=MappingTables!$C$34,H2178=MappingTables!$C$35)),1,VLOOKUP(CONCATENATE($D2178,$G2178),CSRFinput!$B:$E,4,0)))</f>
        <v>0.054776304963434752</v>
      </c>
      <c r="W2178" s="85">
        <f>IF(B2178="",0,+$T2178*$V2178)</f>
        <v>1.7200244307009334</v>
      </c>
      <c r="X2178" s="85">
        <f>IF(B2178="",0,IF(OR(H2178=MappingTables!$C$34,H2178=MappingTables!$C$35),W2178,0))</f>
        <v>0</v>
      </c>
    </row>
    <row r="2179" spans="2:24" s="0" customFormat="0" ht="15">
      <c r="B2179" s="69" t="s">
        <v>2248</v>
      </c>
      <c r="C2179" s="70" t="s">
        <v>2249</v>
      </c>
      <c r="D2179" s="70" t="s">
        <v>1</v>
      </c>
      <c r="E2179" s="70" t="s">
        <v>1</v>
      </c>
      <c r="F2179" s="70"/>
      <c r="G2179" s="70" t="s">
        <v>61</v>
      </c>
      <c r="H2179" s="70" t="s">
        <v>178</v>
      </c>
      <c r="I2179" s="70" t="s">
        <v>198</v>
      </c>
      <c r="J2179" s="71" t="str">
        <f>IF(OR(I2179=0,I2179=""),"unrated",VLOOKUP(I2179,MappingTables!$B$19:$C$31,2,FALSE))</f>
        <v>unrated</v>
      </c>
      <c r="K2179" s="72">
        <v>26.416431665641064</v>
      </c>
      <c r="L2179" s="70">
        <v>4.0901416405058424</v>
      </c>
      <c r="M2179" s="71">
        <f>IF(L2179&lt;1,1,L2179)</f>
        <v>4.0901416405058424</v>
      </c>
      <c r="N2179" s="70" t="s">
        <v>141</v>
      </c>
      <c r="O2179" s="71">
        <f>INDEX(DurClassMapping,MATCH(M2179,MappingTables!$D$4:$D$8,-1),1)</f>
        <v>1</v>
      </c>
      <c r="P2179" s="73">
        <f>IF(M2179=$A$1,1,$M2179-INDEX(MappingTables!$E$4:$E$8,MATCH(O2179,MappingTables!$B$4:$B$8,0)))</f>
        <v>4.0901416405058424</v>
      </c>
      <c r="Q2179" s="71">
        <f>IF(B2179="",0,INDEX(ModelParameters!$D$6:$K$10,MATCH($O2179,ModelParameters!$B$6:$B$10,0),MATCH($J2179,ModelParameters!$D$5:$K$5,0)))</f>
        <v>0.03</v>
      </c>
      <c r="R2179" s="71">
        <f>IF(B2179="",0,INDEX(ModelParameters!$D$13:$K$17,MATCH($O2179,ModelParameters!$B$13:$B$17,0),MATCH($J2179,ModelParameters!$D$5:$K$5,0)))</f>
        <v>0</v>
      </c>
      <c r="S2179" s="160">
        <f>IF(B2179="",0,MIN(IF($N2179="Other Bond TM",ModelParameters!$N$21,1)*(P2179*Q2179+R2179),1))</f>
        <v>0.12270424921517526</v>
      </c>
      <c r="T2179" s="85">
        <f>IF(B2179="",0,$S2179*$K2179)</f>
        <v>3.241408414476468</v>
      </c>
      <c r="U2179" s="85">
        <f>IF(B2179="",0,IF(OR(H2179=MappingTables!$C$34,H2179=MappingTables!$C$35),T2179,0))</f>
        <v>0</v>
      </c>
      <c r="V2179" s="85">
        <f>IF(ISNA(IF(AND(VLOOKUP(CONCATENATE($D2179,$G2179),CSRFinput!$B:$E,4,0)=0,OR(H2179=MappingTables!$C$34,H2179=MappingTables!$C$35)),1,VLOOKUP(CONCATENATE($D2179,$G2179),CSRFinput!$B:$E,4,0))),0,IF(AND(VLOOKUP(CONCATENATE($D2179,$G2179),CSRFinput!$B:$E,4,0)=0,OR(H2179=MappingTables!$C$34,H2179=MappingTables!$C$35)),1,VLOOKUP(CONCATENATE($D2179,$G2179),CSRFinput!$B:$E,4,0)))</f>
        <v>0.054776304963434752</v>
      </c>
      <c r="W2179" s="85">
        <f>IF(B2179="",0,+$T2179*$V2179)</f>
        <v>0.17755237582240654</v>
      </c>
      <c r="X2179" s="85">
        <f>IF(B2179="",0,IF(OR(H2179=MappingTables!$C$34,H2179=MappingTables!$C$35),W2179,0))</f>
        <v>0</v>
      </c>
    </row>
    <row r="2180" spans="2:24" s="0" customFormat="0" ht="15">
      <c r="B2180" s="69">
        <v>12598390</v>
      </c>
      <c r="C2180" s="70" t="s">
        <v>1115</v>
      </c>
      <c r="D2180" s="70" t="s">
        <v>1</v>
      </c>
      <c r="E2180" s="70" t="s">
        <v>1</v>
      </c>
      <c r="F2180" s="70"/>
      <c r="G2180" s="70" t="s">
        <v>61</v>
      </c>
      <c r="H2180" s="70" t="s">
        <v>178</v>
      </c>
      <c r="I2180" s="70" t="s">
        <v>181</v>
      </c>
      <c r="J2180" s="71">
        <f>IF(OR(I2180=0,I2180=""),"unrated",VLOOKUP(I2180,MappingTables!$B$19:$C$31,2,FALSE))</f>
        <v>3</v>
      </c>
      <c r="K2180" s="72">
        <v>395.15468560469648</v>
      </c>
      <c r="L2180" s="70">
        <v>2.6184916473790768</v>
      </c>
      <c r="M2180" s="71">
        <f>IF(L2180&lt;1,1,L2180)</f>
        <v>2.6184916473790768</v>
      </c>
      <c r="N2180" s="70" t="s">
        <v>141</v>
      </c>
      <c r="O2180" s="71">
        <f>INDEX(DurClassMapping,MATCH(M2180,MappingTables!$D$4:$D$8,-1),1)</f>
        <v>1</v>
      </c>
      <c r="P2180" s="73">
        <f>IF(M2180=$A$1,1,$M2180-INDEX(MappingTables!$E$4:$E$8,MATCH(O2180,MappingTables!$B$4:$B$8,0)))</f>
        <v>2.6184916473790768</v>
      </c>
      <c r="Q2180" s="71">
        <f>IF(B2180="",0,INDEX(ModelParameters!$D$6:$K$10,MATCH($O2180,ModelParameters!$B$6:$B$10,0),MATCH($J2180,ModelParameters!$D$5:$K$5,0)))</f>
        <v>0.025</v>
      </c>
      <c r="R2180" s="71">
        <f>IF(B2180="",0,INDEX(ModelParameters!$D$13:$K$17,MATCH($O2180,ModelParameters!$B$13:$B$17,0),MATCH($J2180,ModelParameters!$D$5:$K$5,0)))</f>
        <v>0</v>
      </c>
      <c r="S2180" s="160">
        <f>IF(B2180="",0,MIN(IF($N2180="Other Bond TM",ModelParameters!$N$21,1)*(P2180*Q2180+R2180),1))</f>
        <v>0.065462291184476928</v>
      </c>
      <c r="T2180" s="85">
        <f>IF(B2180="",0,$S2180*$K2180)</f>
        <v>25.867731091965072</v>
      </c>
      <c r="U2180" s="85">
        <f>IF(B2180="",0,IF(OR(H2180=MappingTables!$C$34,H2180=MappingTables!$C$35),T2180,0))</f>
        <v>0</v>
      </c>
      <c r="V2180" s="85">
        <f>IF(ISNA(IF(AND(VLOOKUP(CONCATENATE($D2180,$G2180),CSRFinput!$B:$E,4,0)=0,OR(H2180=MappingTables!$C$34,H2180=MappingTables!$C$35)),1,VLOOKUP(CONCATENATE($D2180,$G2180),CSRFinput!$B:$E,4,0))),0,IF(AND(VLOOKUP(CONCATENATE($D2180,$G2180),CSRFinput!$B:$E,4,0)=0,OR(H2180=MappingTables!$C$34,H2180=MappingTables!$C$35)),1,VLOOKUP(CONCATENATE($D2180,$G2180),CSRFinput!$B:$E,4,0)))</f>
        <v>0.054776304963434752</v>
      </c>
      <c r="W2180" s="85">
        <f>IF(B2180="",0,+$T2180*$V2180)</f>
        <v>1.416938727005602</v>
      </c>
      <c r="X2180" s="85">
        <f>IF(B2180="",0,IF(OR(H2180=MappingTables!$C$34,H2180=MappingTables!$C$35),W2180,0))</f>
        <v>0</v>
      </c>
    </row>
    <row r="2181" spans="2:24" s="0" customFormat="0" ht="15">
      <c r="B2181" s="69">
        <v>20993770</v>
      </c>
      <c r="C2181" s="70" t="s">
        <v>2250</v>
      </c>
      <c r="D2181" s="70" t="s">
        <v>1</v>
      </c>
      <c r="E2181" s="70" t="s">
        <v>1</v>
      </c>
      <c r="F2181" s="70"/>
      <c r="G2181" s="70" t="s">
        <v>61</v>
      </c>
      <c r="H2181" s="70" t="s">
        <v>178</v>
      </c>
      <c r="I2181" s="70" t="s">
        <v>181</v>
      </c>
      <c r="J2181" s="71">
        <f>IF(OR(I2181=0,I2181=""),"unrated",VLOOKUP(I2181,MappingTables!$B$19:$C$31,2,FALSE))</f>
        <v>3</v>
      </c>
      <c r="K2181" s="72">
        <v>1245.731314836856</v>
      </c>
      <c r="L2181" s="70">
        <v>8.0542790698876</v>
      </c>
      <c r="M2181" s="71">
        <f>IF(L2181&lt;1,1,L2181)</f>
        <v>8.0542790698876</v>
      </c>
      <c r="N2181" s="70" t="s">
        <v>141</v>
      </c>
      <c r="O2181" s="71">
        <f>INDEX(DurClassMapping,MATCH(M2181,MappingTables!$D$4:$D$8,-1),1)</f>
        <v>2</v>
      </c>
      <c r="P2181" s="73">
        <f>IF(M2181=$A$1,1,$M2181-INDEX(MappingTables!$E$4:$E$8,MATCH(O2181,MappingTables!$B$4:$B$8,0)))</f>
        <v>3.0542790698876008</v>
      </c>
      <c r="Q2181" s="71">
        <f>IF(B2181="",0,INDEX(ModelParameters!$D$6:$K$10,MATCH($O2181,ModelParameters!$B$6:$B$10,0),MATCH($J2181,ModelParameters!$D$5:$K$5,0)))</f>
        <v>0.015</v>
      </c>
      <c r="R2181" s="71">
        <f>IF(B2181="",0,INDEX(ModelParameters!$D$13:$K$17,MATCH($O2181,ModelParameters!$B$13:$B$17,0),MATCH($J2181,ModelParameters!$D$5:$K$5,0)))</f>
        <v>0.125</v>
      </c>
      <c r="S2181" s="160">
        <f>IF(B2181="",0,MIN(IF($N2181="Other Bond TM",ModelParameters!$N$21,1)*(P2181*Q2181+R2181),1))</f>
        <v>0.170814186048314</v>
      </c>
      <c r="T2181" s="85">
        <f>IF(B2181="",0,$S2181*$K2181)</f>
        <v>212.78858057875352</v>
      </c>
      <c r="U2181" s="85">
        <f>IF(B2181="",0,IF(OR(H2181=MappingTables!$C$34,H2181=MappingTables!$C$35),T2181,0))</f>
        <v>0</v>
      </c>
      <c r="V2181" s="85">
        <f>IF(ISNA(IF(AND(VLOOKUP(CONCATENATE($D2181,$G2181),CSRFinput!$B:$E,4,0)=0,OR(H2181=MappingTables!$C$34,H2181=MappingTables!$C$35)),1,VLOOKUP(CONCATENATE($D2181,$G2181),CSRFinput!$B:$E,4,0))),0,IF(AND(VLOOKUP(CONCATENATE($D2181,$G2181),CSRFinput!$B:$E,4,0)=0,OR(H2181=MappingTables!$C$34,H2181=MappingTables!$C$35)),1,VLOOKUP(CONCATENATE($D2181,$G2181),CSRFinput!$B:$E,4,0)))</f>
        <v>0.054776304963434752</v>
      </c>
      <c r="W2181" s="85">
        <f>IF(B2181="",0,+$T2181*$V2181)</f>
        <v>11.655772182518212</v>
      </c>
      <c r="X2181" s="85">
        <f>IF(B2181="",0,IF(OR(H2181=MappingTables!$C$34,H2181=MappingTables!$C$35),W2181,0))</f>
        <v>0</v>
      </c>
    </row>
    <row r="2182" spans="2:24" s="0" customFormat="0" ht="15">
      <c r="B2182" s="69">
        <v>388150</v>
      </c>
      <c r="C2182" s="70" t="s">
        <v>2251</v>
      </c>
      <c r="D2182" s="70" t="s">
        <v>1</v>
      </c>
      <c r="E2182" s="70" t="s">
        <v>1</v>
      </c>
      <c r="F2182" s="70"/>
      <c r="G2182" s="70" t="s">
        <v>61</v>
      </c>
      <c r="H2182" s="70" t="s">
        <v>178</v>
      </c>
      <c r="I2182" s="70" t="s">
        <v>181</v>
      </c>
      <c r="J2182" s="71">
        <f>IF(OR(I2182=0,I2182=""),"unrated",VLOOKUP(I2182,MappingTables!$B$19:$C$31,2,FALSE))</f>
        <v>3</v>
      </c>
      <c r="K2182" s="72">
        <v>1470.8769318651488</v>
      </c>
      <c r="L2182" s="70">
        <v>0.095888278080429424</v>
      </c>
      <c r="M2182" s="71">
        <f>IF(L2182&lt;1,1,L2182)</f>
        <v>1</v>
      </c>
      <c r="N2182" s="70" t="s">
        <v>141</v>
      </c>
      <c r="O2182" s="71">
        <f>INDEX(DurClassMapping,MATCH(M2182,MappingTables!$D$4:$D$8,-1),1)</f>
        <v>1</v>
      </c>
      <c r="P2182" s="73">
        <f>IF(M2182=$A$1,1,$M2182-INDEX(MappingTables!$E$4:$E$8,MATCH(O2182,MappingTables!$B$4:$B$8,0)))</f>
        <v>1</v>
      </c>
      <c r="Q2182" s="71">
        <f>IF(B2182="",0,INDEX(ModelParameters!$D$6:$K$10,MATCH($O2182,ModelParameters!$B$6:$B$10,0),MATCH($J2182,ModelParameters!$D$5:$K$5,0)))</f>
        <v>0.025</v>
      </c>
      <c r="R2182" s="71">
        <f>IF(B2182="",0,INDEX(ModelParameters!$D$13:$K$17,MATCH($O2182,ModelParameters!$B$13:$B$17,0),MATCH($J2182,ModelParameters!$D$5:$K$5,0)))</f>
        <v>0</v>
      </c>
      <c r="S2182" s="160">
        <f>IF(B2182="",0,MIN(IF($N2182="Other Bond TM",ModelParameters!$N$21,1)*(P2182*Q2182+R2182),1))</f>
        <v>0.025</v>
      </c>
      <c r="T2182" s="85">
        <f>IF(B2182="",0,$S2182*$K2182)</f>
        <v>36.77192329662872</v>
      </c>
      <c r="U2182" s="85">
        <f>IF(B2182="",0,IF(OR(H2182=MappingTables!$C$34,H2182=MappingTables!$C$35),T2182,0))</f>
        <v>0</v>
      </c>
      <c r="V2182" s="85">
        <f>IF(ISNA(IF(AND(VLOOKUP(CONCATENATE($D2182,$G2182),CSRFinput!$B:$E,4,0)=0,OR(H2182=MappingTables!$C$34,H2182=MappingTables!$C$35)),1,VLOOKUP(CONCATENATE($D2182,$G2182),CSRFinput!$B:$E,4,0))),0,IF(AND(VLOOKUP(CONCATENATE($D2182,$G2182),CSRFinput!$B:$E,4,0)=0,OR(H2182=MappingTables!$C$34,H2182=MappingTables!$C$35)),1,VLOOKUP(CONCATENATE($D2182,$G2182),CSRFinput!$B:$E,4,0)))</f>
        <v>0.054776304963434752</v>
      </c>
      <c r="W2182" s="85">
        <f>IF(B2182="",0,+$T2182*$V2182)</f>
        <v>2.0142300845881656</v>
      </c>
      <c r="X2182" s="85">
        <f>IF(B2182="",0,IF(OR(H2182=MappingTables!$C$34,H2182=MappingTables!$C$35),W2182,0))</f>
        <v>0</v>
      </c>
    </row>
    <row r="2183" spans="2:24" s="0" customFormat="0" ht="15">
      <c r="B2183" s="69">
        <v>20626151</v>
      </c>
      <c r="C2183" s="70" t="s">
        <v>2209</v>
      </c>
      <c r="D2183" s="70" t="s">
        <v>1</v>
      </c>
      <c r="E2183" s="70" t="s">
        <v>1</v>
      </c>
      <c r="F2183" s="70"/>
      <c r="G2183" s="70" t="s">
        <v>61</v>
      </c>
      <c r="H2183" s="70" t="s">
        <v>178</v>
      </c>
      <c r="I2183" s="70" t="s">
        <v>188</v>
      </c>
      <c r="J2183" s="71">
        <f>IF(OR(I2183=0,I2183=""),"unrated",VLOOKUP(I2183,MappingTables!$B$19:$C$31,2,FALSE))</f>
        <v>2</v>
      </c>
      <c r="K2183" s="72">
        <v>12190.860003576296</v>
      </c>
      <c r="L2183" s="70">
        <v>8.0982490186284528</v>
      </c>
      <c r="M2183" s="71">
        <f>IF(L2183&lt;1,1,L2183)</f>
        <v>8.0982490186284528</v>
      </c>
      <c r="N2183" s="70" t="s">
        <v>141</v>
      </c>
      <c r="O2183" s="71">
        <f>INDEX(DurClassMapping,MATCH(M2183,MappingTables!$D$4:$D$8,-1),1)</f>
        <v>2</v>
      </c>
      <c r="P2183" s="73">
        <f>IF(M2183=$A$1,1,$M2183-INDEX(MappingTables!$E$4:$E$8,MATCH(O2183,MappingTables!$B$4:$B$8,0)))</f>
        <v>3.0982490186284524</v>
      </c>
      <c r="Q2183" s="71">
        <f>IF(B2183="",0,INDEX(ModelParameters!$D$6:$K$10,MATCH($O2183,ModelParameters!$B$6:$B$10,0),MATCH($J2183,ModelParameters!$D$5:$K$5,0)))</f>
        <v>0.0069999999999999992</v>
      </c>
      <c r="R2183" s="71">
        <f>IF(B2183="",0,INDEX(ModelParameters!$D$13:$K$17,MATCH($O2183,ModelParameters!$B$13:$B$17,0),MATCH($J2183,ModelParameters!$D$5:$K$5,0)))</f>
        <v>0.070000000000000008</v>
      </c>
      <c r="S2183" s="160">
        <f>IF(B2183="",0,MIN(IF($N2183="Other Bond TM",ModelParameters!$N$21,1)*(P2183*Q2183+R2183),1))</f>
        <v>0.091687743130399184</v>
      </c>
      <c r="T2183" s="85">
        <f>IF(B2183="",0,$S2183*$K2183)</f>
        <v>1117.7524405465606</v>
      </c>
      <c r="U2183" s="85">
        <f>IF(B2183="",0,IF(OR(H2183=MappingTables!$C$34,H2183=MappingTables!$C$35),T2183,0))</f>
        <v>0</v>
      </c>
      <c r="V2183" s="85">
        <f>IF(ISNA(IF(AND(VLOOKUP(CONCATENATE($D2183,$G2183),CSRFinput!$B:$E,4,0)=0,OR(H2183=MappingTables!$C$34,H2183=MappingTables!$C$35)),1,VLOOKUP(CONCATENATE($D2183,$G2183),CSRFinput!$B:$E,4,0))),0,IF(AND(VLOOKUP(CONCATENATE($D2183,$G2183),CSRFinput!$B:$E,4,0)=0,OR(H2183=MappingTables!$C$34,H2183=MappingTables!$C$35)),1,VLOOKUP(CONCATENATE($D2183,$G2183),CSRFinput!$B:$E,4,0)))</f>
        <v>0.054776304963434752</v>
      </c>
      <c r="W2183" s="85">
        <f>IF(B2183="",0,+$T2183*$V2183)</f>
        <v>61.22634855700188</v>
      </c>
      <c r="X2183" s="85">
        <f>IF(B2183="",0,IF(OR(H2183=MappingTables!$C$34,H2183=MappingTables!$C$35),W2183,0))</f>
        <v>0</v>
      </c>
    </row>
    <row r="2184" spans="2:24" s="0" customFormat="0" ht="15">
      <c r="B2184" s="69">
        <v>19334513</v>
      </c>
      <c r="C2184" s="70" t="s">
        <v>2252</v>
      </c>
      <c r="D2184" s="70" t="s">
        <v>1</v>
      </c>
      <c r="E2184" s="70" t="s">
        <v>1</v>
      </c>
      <c r="F2184" s="70"/>
      <c r="G2184" s="70" t="s">
        <v>61</v>
      </c>
      <c r="H2184" s="70" t="s">
        <v>178</v>
      </c>
      <c r="I2184" s="70" t="s">
        <v>184</v>
      </c>
      <c r="J2184" s="71">
        <f>IF(OR(I2184=0,I2184=""),"unrated",VLOOKUP(I2184,MappingTables!$B$19:$C$31,2,FALSE))</f>
        <v>5</v>
      </c>
      <c r="K2184" s="72">
        <v>14465.167051035752</v>
      </c>
      <c r="L2184" s="70">
        <v>2.9480419187156828</v>
      </c>
      <c r="M2184" s="71">
        <f>IF(L2184&lt;1,1,L2184)</f>
        <v>2.9480419187156828</v>
      </c>
      <c r="N2184" s="70" t="s">
        <v>141</v>
      </c>
      <c r="O2184" s="71">
        <f>INDEX(DurClassMapping,MATCH(M2184,MappingTables!$D$4:$D$8,-1),1)</f>
        <v>1</v>
      </c>
      <c r="P2184" s="73">
        <f>IF(M2184=$A$1,1,$M2184-INDEX(MappingTables!$E$4:$E$8,MATCH(O2184,MappingTables!$B$4:$B$8,0)))</f>
        <v>2.9480419187156828</v>
      </c>
      <c r="Q2184" s="71">
        <f>IF(B2184="",0,INDEX(ModelParameters!$D$6:$K$10,MATCH($O2184,ModelParameters!$B$6:$B$10,0),MATCH($J2184,ModelParameters!$D$5:$K$5,0)))</f>
        <v>0.075</v>
      </c>
      <c r="R2184" s="71">
        <f>IF(B2184="",0,INDEX(ModelParameters!$D$13:$K$17,MATCH($O2184,ModelParameters!$B$13:$B$17,0),MATCH($J2184,ModelParameters!$D$5:$K$5,0)))</f>
        <v>0</v>
      </c>
      <c r="S2184" s="160">
        <f>IF(B2184="",0,MIN(IF($N2184="Other Bond TM",ModelParameters!$N$21,1)*(P2184*Q2184+R2184),1))</f>
        <v>0.2211031439036762</v>
      </c>
      <c r="T2184" s="85">
        <f>IF(B2184="",0,$S2184*$K2184)</f>
        <v>3198.2939120758736</v>
      </c>
      <c r="U2184" s="85">
        <f>IF(B2184="",0,IF(OR(H2184=MappingTables!$C$34,H2184=MappingTables!$C$35),T2184,0))</f>
        <v>0</v>
      </c>
      <c r="V2184" s="85">
        <f>IF(ISNA(IF(AND(VLOOKUP(CONCATENATE($D2184,$G2184),CSRFinput!$B:$E,4,0)=0,OR(H2184=MappingTables!$C$34,H2184=MappingTables!$C$35)),1,VLOOKUP(CONCATENATE($D2184,$G2184),CSRFinput!$B:$E,4,0))),0,IF(AND(VLOOKUP(CONCATENATE($D2184,$G2184),CSRFinput!$B:$E,4,0)=0,OR(H2184=MappingTables!$C$34,H2184=MappingTables!$C$35)),1,VLOOKUP(CONCATENATE($D2184,$G2184),CSRFinput!$B:$E,4,0)))</f>
        <v>0.054776304963434752</v>
      </c>
      <c r="W2184" s="85">
        <f>IF(B2184="",0,+$T2184*$V2184)</f>
        <v>175.19072269056482</v>
      </c>
      <c r="X2184" s="85">
        <f>IF(B2184="",0,IF(OR(H2184=MappingTables!$C$34,H2184=MappingTables!$C$35),W2184,0))</f>
        <v>0</v>
      </c>
    </row>
    <row r="2185" spans="2:24" s="0" customFormat="0" ht="15">
      <c r="B2185" s="69" t="s">
        <v>2253</v>
      </c>
      <c r="C2185" s="70" t="s">
        <v>2254</v>
      </c>
      <c r="D2185" s="70" t="s">
        <v>1</v>
      </c>
      <c r="E2185" s="70" t="s">
        <v>1</v>
      </c>
      <c r="F2185" s="70"/>
      <c r="G2185" s="70" t="s">
        <v>61</v>
      </c>
      <c r="H2185" s="70" t="s">
        <v>178</v>
      </c>
      <c r="I2185" s="70" t="s">
        <v>198</v>
      </c>
      <c r="J2185" s="71" t="str">
        <f>IF(OR(I2185=0,I2185=""),"unrated",VLOOKUP(I2185,MappingTables!$B$19:$C$31,2,FALSE))</f>
        <v>unrated</v>
      </c>
      <c r="K2185" s="72">
        <v>109.43445956538168</v>
      </c>
      <c r="L2185" s="70">
        <v>0.67569741916488168</v>
      </c>
      <c r="M2185" s="71">
        <f>IF(L2185&lt;1,1,L2185)</f>
        <v>1</v>
      </c>
      <c r="N2185" s="70" t="s">
        <v>141</v>
      </c>
      <c r="O2185" s="71">
        <f>INDEX(DurClassMapping,MATCH(M2185,MappingTables!$D$4:$D$8,-1),1)</f>
        <v>1</v>
      </c>
      <c r="P2185" s="73">
        <f>IF(M2185=$A$1,1,$M2185-INDEX(MappingTables!$E$4:$E$8,MATCH(O2185,MappingTables!$B$4:$B$8,0)))</f>
        <v>1</v>
      </c>
      <c r="Q2185" s="71">
        <f>IF(B2185="",0,INDEX(ModelParameters!$D$6:$K$10,MATCH($O2185,ModelParameters!$B$6:$B$10,0),MATCH($J2185,ModelParameters!$D$5:$K$5,0)))</f>
        <v>0.03</v>
      </c>
      <c r="R2185" s="71">
        <f>IF(B2185="",0,INDEX(ModelParameters!$D$13:$K$17,MATCH($O2185,ModelParameters!$B$13:$B$17,0),MATCH($J2185,ModelParameters!$D$5:$K$5,0)))</f>
        <v>0</v>
      </c>
      <c r="S2185" s="160">
        <f>IF(B2185="",0,MIN(IF($N2185="Other Bond TM",ModelParameters!$N$21,1)*(P2185*Q2185+R2185),1))</f>
        <v>0.03</v>
      </c>
      <c r="T2185" s="85">
        <f>IF(B2185="",0,$S2185*$K2185)</f>
        <v>3.28303378696145</v>
      </c>
      <c r="U2185" s="85">
        <f>IF(B2185="",0,IF(OR(H2185=MappingTables!$C$34,H2185=MappingTables!$C$35),T2185,0))</f>
        <v>0</v>
      </c>
      <c r="V2185" s="85">
        <f>IF(ISNA(IF(AND(VLOOKUP(CONCATENATE($D2185,$G2185),CSRFinput!$B:$E,4,0)=0,OR(H2185=MappingTables!$C$34,H2185=MappingTables!$C$35)),1,VLOOKUP(CONCATENATE($D2185,$G2185),CSRFinput!$B:$E,4,0))),0,IF(AND(VLOOKUP(CONCATENATE($D2185,$G2185),CSRFinput!$B:$E,4,0)=0,OR(H2185=MappingTables!$C$34,H2185=MappingTables!$C$35)),1,VLOOKUP(CONCATENATE($D2185,$G2185),CSRFinput!$B:$E,4,0)))</f>
        <v>0.054776304963434752</v>
      </c>
      <c r="W2185" s="85">
        <f>IF(B2185="",0,+$T2185*$V2185)</f>
        <v>0.17983245991986046</v>
      </c>
      <c r="X2185" s="85">
        <f>IF(B2185="",0,IF(OR(H2185=MappingTables!$C$34,H2185=MappingTables!$C$35),W2185,0))</f>
        <v>0</v>
      </c>
    </row>
    <row r="2186" spans="2:24" s="0" customFormat="0" ht="15">
      <c r="B2186" s="69" t="s">
        <v>2255</v>
      </c>
      <c r="C2186" s="70" t="s">
        <v>2256</v>
      </c>
      <c r="D2186" s="70" t="s">
        <v>1</v>
      </c>
      <c r="E2186" s="70" t="s">
        <v>1</v>
      </c>
      <c r="F2186" s="70"/>
      <c r="G2186" s="70" t="s">
        <v>61</v>
      </c>
      <c r="H2186" s="70" t="s">
        <v>178</v>
      </c>
      <c r="I2186" s="70" t="s">
        <v>179</v>
      </c>
      <c r="J2186" s="71">
        <f>IF(OR(I2186=0,I2186=""),"unrated",VLOOKUP(I2186,MappingTables!$B$19:$C$31,2,FALSE))</f>
        <v>4</v>
      </c>
      <c r="K2186" s="72">
        <v>77.685892269196528</v>
      </c>
      <c r="L2186" s="70">
        <v>0.88557903791049968</v>
      </c>
      <c r="M2186" s="71">
        <f>IF(L2186&lt;1,1,L2186)</f>
        <v>1</v>
      </c>
      <c r="N2186" s="70" t="s">
        <v>141</v>
      </c>
      <c r="O2186" s="71">
        <f>INDEX(DurClassMapping,MATCH(M2186,MappingTables!$D$4:$D$8,-1),1)</f>
        <v>1</v>
      </c>
      <c r="P2186" s="73">
        <f>IF(M2186=$A$1,1,$M2186-INDEX(MappingTables!$E$4:$E$8,MATCH(O2186,MappingTables!$B$4:$B$8,0)))</f>
        <v>1</v>
      </c>
      <c r="Q2186" s="71">
        <f>IF(B2186="",0,INDEX(ModelParameters!$D$6:$K$10,MATCH($O2186,ModelParameters!$B$6:$B$10,0),MATCH($J2186,ModelParameters!$D$5:$K$5,0)))</f>
        <v>0.045</v>
      </c>
      <c r="R2186" s="71">
        <f>IF(B2186="",0,INDEX(ModelParameters!$D$13:$K$17,MATCH($O2186,ModelParameters!$B$13:$B$17,0),MATCH($J2186,ModelParameters!$D$5:$K$5,0)))</f>
        <v>0</v>
      </c>
      <c r="S2186" s="160">
        <f>IF(B2186="",0,MIN(IF($N2186="Other Bond TM",ModelParameters!$N$21,1)*(P2186*Q2186+R2186),1))</f>
        <v>0.045</v>
      </c>
      <c r="T2186" s="85">
        <f>IF(B2186="",0,$S2186*$K2186)</f>
        <v>3.4958651521138436</v>
      </c>
      <c r="U2186" s="85">
        <f>IF(B2186="",0,IF(OR(H2186=MappingTables!$C$34,H2186=MappingTables!$C$35),T2186,0))</f>
        <v>0</v>
      </c>
      <c r="V2186" s="85">
        <f>IF(ISNA(IF(AND(VLOOKUP(CONCATENATE($D2186,$G2186),CSRFinput!$B:$E,4,0)=0,OR(H2186=MappingTables!$C$34,H2186=MappingTables!$C$35)),1,VLOOKUP(CONCATENATE($D2186,$G2186),CSRFinput!$B:$E,4,0))),0,IF(AND(VLOOKUP(CONCATENATE($D2186,$G2186),CSRFinput!$B:$E,4,0)=0,OR(H2186=MappingTables!$C$34,H2186=MappingTables!$C$35)),1,VLOOKUP(CONCATENATE($D2186,$G2186),CSRFinput!$B:$E,4,0)))</f>
        <v>0.054776304963434752</v>
      </c>
      <c r="W2186" s="85">
        <f>IF(B2186="",0,+$T2186*$V2186)</f>
        <v>0.19149057568323212</v>
      </c>
      <c r="X2186" s="85">
        <f>IF(B2186="",0,IF(OR(H2186=MappingTables!$C$34,H2186=MappingTables!$C$35),W2186,0))</f>
        <v>0</v>
      </c>
    </row>
    <row r="2187" spans="2:24" s="0" customFormat="0" ht="15">
      <c r="B2187" s="69">
        <v>15345826</v>
      </c>
      <c r="C2187" s="70" t="s">
        <v>2257</v>
      </c>
      <c r="D2187" s="70" t="s">
        <v>1</v>
      </c>
      <c r="E2187" s="70" t="s">
        <v>1</v>
      </c>
      <c r="F2187" s="70"/>
      <c r="G2187" s="70" t="s">
        <v>61</v>
      </c>
      <c r="H2187" s="70" t="s">
        <v>178</v>
      </c>
      <c r="I2187" s="70" t="s">
        <v>181</v>
      </c>
      <c r="J2187" s="71">
        <f>IF(OR(I2187=0,I2187=""),"unrated",VLOOKUP(I2187,MappingTables!$B$19:$C$31,2,FALSE))</f>
        <v>3</v>
      </c>
      <c r="K2187" s="72">
        <v>15330.984963349032</v>
      </c>
      <c r="L2187" s="70">
        <v>3.5320862016087848</v>
      </c>
      <c r="M2187" s="71">
        <f>IF(L2187&lt;1,1,L2187)</f>
        <v>3.5320862016087848</v>
      </c>
      <c r="N2187" s="70" t="s">
        <v>141</v>
      </c>
      <c r="O2187" s="71">
        <f>INDEX(DurClassMapping,MATCH(M2187,MappingTables!$D$4:$D$8,-1),1)</f>
        <v>1</v>
      </c>
      <c r="P2187" s="73">
        <f>IF(M2187=$A$1,1,$M2187-INDEX(MappingTables!$E$4:$E$8,MATCH(O2187,MappingTables!$B$4:$B$8,0)))</f>
        <v>3.5320862016087848</v>
      </c>
      <c r="Q2187" s="71">
        <f>IF(B2187="",0,INDEX(ModelParameters!$D$6:$K$10,MATCH($O2187,ModelParameters!$B$6:$B$10,0),MATCH($J2187,ModelParameters!$D$5:$K$5,0)))</f>
        <v>0.025</v>
      </c>
      <c r="R2187" s="71">
        <f>IF(B2187="",0,INDEX(ModelParameters!$D$13:$K$17,MATCH($O2187,ModelParameters!$B$13:$B$17,0),MATCH($J2187,ModelParameters!$D$5:$K$5,0)))</f>
        <v>0</v>
      </c>
      <c r="S2187" s="160">
        <f>IF(B2187="",0,MIN(IF($N2187="Other Bond TM",ModelParameters!$N$21,1)*(P2187*Q2187+R2187),1))</f>
        <v>0.088302155040219632</v>
      </c>
      <c r="T2187" s="85">
        <f>IF(B2187="",0,$S2187*$K2187)</f>
        <v>1353.759011152922</v>
      </c>
      <c r="U2187" s="85">
        <f>IF(B2187="",0,IF(OR(H2187=MappingTables!$C$34,H2187=MappingTables!$C$35),T2187,0))</f>
        <v>0</v>
      </c>
      <c r="V2187" s="85">
        <f>IF(ISNA(IF(AND(VLOOKUP(CONCATENATE($D2187,$G2187),CSRFinput!$B:$E,4,0)=0,OR(H2187=MappingTables!$C$34,H2187=MappingTables!$C$35)),1,VLOOKUP(CONCATENATE($D2187,$G2187),CSRFinput!$B:$E,4,0))),0,IF(AND(VLOOKUP(CONCATENATE($D2187,$G2187),CSRFinput!$B:$E,4,0)=0,OR(H2187=MappingTables!$C$34,H2187=MappingTables!$C$35)),1,VLOOKUP(CONCATENATE($D2187,$G2187),CSRFinput!$B:$E,4,0)))</f>
        <v>0.054776304963434752</v>
      </c>
      <c r="W2187" s="85">
        <f>IF(B2187="",0,+$T2187*$V2187)</f>
        <v>74.15391644191032</v>
      </c>
      <c r="X2187" s="85">
        <f>IF(B2187="",0,IF(OR(H2187=MappingTables!$C$34,H2187=MappingTables!$C$35),W2187,0))</f>
        <v>0</v>
      </c>
    </row>
    <row r="2188" spans="2:24" s="0" customFormat="0" ht="15">
      <c r="B2188" s="69" t="s">
        <v>2151</v>
      </c>
      <c r="C2188" s="70" t="s">
        <v>2152</v>
      </c>
      <c r="D2188" s="70" t="s">
        <v>1</v>
      </c>
      <c r="E2188" s="70" t="s">
        <v>1</v>
      </c>
      <c r="F2188" s="70"/>
      <c r="G2188" s="70" t="s">
        <v>61</v>
      </c>
      <c r="H2188" s="70" t="s">
        <v>178</v>
      </c>
      <c r="I2188" s="70" t="s">
        <v>198</v>
      </c>
      <c r="J2188" s="71" t="str">
        <f>IF(OR(I2188=0,I2188=""),"unrated",VLOOKUP(I2188,MappingTables!$B$19:$C$31,2,FALSE))</f>
        <v>unrated</v>
      </c>
      <c r="K2188" s="72">
        <v>192.83945431915296</v>
      </c>
      <c r="L2188" s="70">
        <v>2.2677584977713528</v>
      </c>
      <c r="M2188" s="71">
        <f>IF(L2188&lt;1,1,L2188)</f>
        <v>2.2677584977713528</v>
      </c>
      <c r="N2188" s="70" t="s">
        <v>141</v>
      </c>
      <c r="O2188" s="71">
        <f>INDEX(DurClassMapping,MATCH(M2188,MappingTables!$D$4:$D$8,-1),1)</f>
        <v>1</v>
      </c>
      <c r="P2188" s="73">
        <f>IF(M2188=$A$1,1,$M2188-INDEX(MappingTables!$E$4:$E$8,MATCH(O2188,MappingTables!$B$4:$B$8,0)))</f>
        <v>2.2677584977713528</v>
      </c>
      <c r="Q2188" s="71">
        <f>IF(B2188="",0,INDEX(ModelParameters!$D$6:$K$10,MATCH($O2188,ModelParameters!$B$6:$B$10,0),MATCH($J2188,ModelParameters!$D$5:$K$5,0)))</f>
        <v>0.03</v>
      </c>
      <c r="R2188" s="71">
        <f>IF(B2188="",0,INDEX(ModelParameters!$D$13:$K$17,MATCH($O2188,ModelParameters!$B$13:$B$17,0),MATCH($J2188,ModelParameters!$D$5:$K$5,0)))</f>
        <v>0</v>
      </c>
      <c r="S2188" s="160">
        <f>IF(B2188="",0,MIN(IF($N2188="Other Bond TM",ModelParameters!$N$21,1)*(P2188*Q2188+R2188),1))</f>
        <v>0.068032754933140576</v>
      </c>
      <c r="T2188" s="85">
        <f>IF(B2188="",0,$S2188*$K2188)</f>
        <v>13.11939933713549</v>
      </c>
      <c r="U2188" s="85">
        <f>IF(B2188="",0,IF(OR(H2188=MappingTables!$C$34,H2188=MappingTables!$C$35),T2188,0))</f>
        <v>0</v>
      </c>
      <c r="V2188" s="85">
        <f>IF(ISNA(IF(AND(VLOOKUP(CONCATENATE($D2188,$G2188),CSRFinput!$B:$E,4,0)=0,OR(H2188=MappingTables!$C$34,H2188=MappingTables!$C$35)),1,VLOOKUP(CONCATENATE($D2188,$G2188),CSRFinput!$B:$E,4,0))),0,IF(AND(VLOOKUP(CONCATENATE($D2188,$G2188),CSRFinput!$B:$E,4,0)=0,OR(H2188=MappingTables!$C$34,H2188=MappingTables!$C$35)),1,VLOOKUP(CONCATENATE($D2188,$G2188),CSRFinput!$B:$E,4,0)))</f>
        <v>0.054776304963434752</v>
      </c>
      <c r="W2188" s="85">
        <f>IF(B2188="",0,+$T2188*$V2188)</f>
        <v>0.71863221902801744</v>
      </c>
      <c r="X2188" s="85">
        <f>IF(B2188="",0,IF(OR(H2188=MappingTables!$C$34,H2188=MappingTables!$C$35),W2188,0))</f>
        <v>0</v>
      </c>
    </row>
    <row r="2189" spans="2:24" s="0" customFormat="0" ht="15">
      <c r="B2189" s="69">
        <v>23299441</v>
      </c>
      <c r="C2189" s="70" t="s">
        <v>2258</v>
      </c>
      <c r="D2189" s="70" t="s">
        <v>1</v>
      </c>
      <c r="E2189" s="70" t="s">
        <v>1</v>
      </c>
      <c r="F2189" s="70"/>
      <c r="G2189" s="70" t="s">
        <v>61</v>
      </c>
      <c r="H2189" s="70" t="s">
        <v>178</v>
      </c>
      <c r="I2189" s="70" t="s">
        <v>184</v>
      </c>
      <c r="J2189" s="71">
        <f>IF(OR(I2189=0,I2189=""),"unrated",VLOOKUP(I2189,MappingTables!$B$19:$C$31,2,FALSE))</f>
        <v>5</v>
      </c>
      <c r="K2189" s="72">
        <v>390.20982182108192</v>
      </c>
      <c r="L2189" s="70">
        <v>2.1900396948341236</v>
      </c>
      <c r="M2189" s="71">
        <f>IF(L2189&lt;1,1,L2189)</f>
        <v>2.1900396948341236</v>
      </c>
      <c r="N2189" s="70" t="s">
        <v>141</v>
      </c>
      <c r="O2189" s="71">
        <f>INDEX(DurClassMapping,MATCH(M2189,MappingTables!$D$4:$D$8,-1),1)</f>
        <v>1</v>
      </c>
      <c r="P2189" s="73">
        <f>IF(M2189=$A$1,1,$M2189-INDEX(MappingTables!$E$4:$E$8,MATCH(O2189,MappingTables!$B$4:$B$8,0)))</f>
        <v>2.1900396948341236</v>
      </c>
      <c r="Q2189" s="71">
        <f>IF(B2189="",0,INDEX(ModelParameters!$D$6:$K$10,MATCH($O2189,ModelParameters!$B$6:$B$10,0),MATCH($J2189,ModelParameters!$D$5:$K$5,0)))</f>
        <v>0.075</v>
      </c>
      <c r="R2189" s="71">
        <f>IF(B2189="",0,INDEX(ModelParameters!$D$13:$K$17,MATCH($O2189,ModelParameters!$B$13:$B$17,0),MATCH($J2189,ModelParameters!$D$5:$K$5,0)))</f>
        <v>0</v>
      </c>
      <c r="S2189" s="160">
        <f>IF(B2189="",0,MIN(IF($N2189="Other Bond TM",ModelParameters!$N$21,1)*(P2189*Q2189+R2189),1))</f>
        <v>0.16425297711255926</v>
      </c>
      <c r="T2189" s="85">
        <f>IF(B2189="",0,$S2189*$K2189)</f>
        <v>64.093124932673984</v>
      </c>
      <c r="U2189" s="85">
        <f>IF(B2189="",0,IF(OR(H2189=MappingTables!$C$34,H2189=MappingTables!$C$35),T2189,0))</f>
        <v>0</v>
      </c>
      <c r="V2189" s="85">
        <f>IF(ISNA(IF(AND(VLOOKUP(CONCATENATE($D2189,$G2189),CSRFinput!$B:$E,4,0)=0,OR(H2189=MappingTables!$C$34,H2189=MappingTables!$C$35)),1,VLOOKUP(CONCATENATE($D2189,$G2189),CSRFinput!$B:$E,4,0))),0,IF(AND(VLOOKUP(CONCATENATE($D2189,$G2189),CSRFinput!$B:$E,4,0)=0,OR(H2189=MappingTables!$C$34,H2189=MappingTables!$C$35)),1,VLOOKUP(CONCATENATE($D2189,$G2189),CSRFinput!$B:$E,4,0)))</f>
        <v>0.054776304963434752</v>
      </c>
      <c r="W2189" s="85">
        <f>IF(B2189="",0,+$T2189*$V2189)</f>
        <v>3.510784557371674</v>
      </c>
      <c r="X2189" s="85">
        <f>IF(B2189="",0,IF(OR(H2189=MappingTables!$C$34,H2189=MappingTables!$C$35),W2189,0))</f>
        <v>0</v>
      </c>
    </row>
    <row r="2190" spans="2:24" s="0" customFormat="0" ht="15">
      <c r="B2190" s="69" t="s">
        <v>1303</v>
      </c>
      <c r="C2190" s="70" t="s">
        <v>1304</v>
      </c>
      <c r="D2190" s="70" t="s">
        <v>1</v>
      </c>
      <c r="E2190" s="70" t="s">
        <v>1</v>
      </c>
      <c r="F2190" s="70"/>
      <c r="G2190" s="70" t="s">
        <v>61</v>
      </c>
      <c r="H2190" s="70" t="s">
        <v>178</v>
      </c>
      <c r="I2190" s="70" t="s">
        <v>179</v>
      </c>
      <c r="J2190" s="71">
        <f>IF(OR(I2190=0,I2190=""),"unrated",VLOOKUP(I2190,MappingTables!$B$19:$C$31,2,FALSE))</f>
        <v>4</v>
      </c>
      <c r="K2190" s="72">
        <v>2317.3116336280628</v>
      </c>
      <c r="L2190" s="70">
        <v>1.1863282780662308</v>
      </c>
      <c r="M2190" s="71">
        <f>IF(L2190&lt;1,1,L2190)</f>
        <v>1.1863282780662308</v>
      </c>
      <c r="N2190" s="70" t="s">
        <v>141</v>
      </c>
      <c r="O2190" s="71">
        <f>INDEX(DurClassMapping,MATCH(M2190,MappingTables!$D$4:$D$8,-1),1)</f>
        <v>1</v>
      </c>
      <c r="P2190" s="73">
        <f>IF(M2190=$A$1,1,$M2190-INDEX(MappingTables!$E$4:$E$8,MATCH(O2190,MappingTables!$B$4:$B$8,0)))</f>
        <v>1.1863282780662308</v>
      </c>
      <c r="Q2190" s="71">
        <f>IF(B2190="",0,INDEX(ModelParameters!$D$6:$K$10,MATCH($O2190,ModelParameters!$B$6:$B$10,0),MATCH($J2190,ModelParameters!$D$5:$K$5,0)))</f>
        <v>0.045</v>
      </c>
      <c r="R2190" s="71">
        <f>IF(B2190="",0,INDEX(ModelParameters!$D$13:$K$17,MATCH($O2190,ModelParameters!$B$13:$B$17,0),MATCH($J2190,ModelParameters!$D$5:$K$5,0)))</f>
        <v>0</v>
      </c>
      <c r="S2190" s="160">
        <f>IF(B2190="",0,MIN(IF($N2190="Other Bond TM",ModelParameters!$N$21,1)*(P2190*Q2190+R2190),1))</f>
        <v>0.053384772512980384</v>
      </c>
      <c r="T2190" s="85">
        <f>IF(B2190="",0,$S2190*$K2190)</f>
        <v>123.70915440291708</v>
      </c>
      <c r="U2190" s="85">
        <f>IF(B2190="",0,IF(OR(H2190=MappingTables!$C$34,H2190=MappingTables!$C$35),T2190,0))</f>
        <v>0</v>
      </c>
      <c r="V2190" s="85">
        <f>IF(ISNA(IF(AND(VLOOKUP(CONCATENATE($D2190,$G2190),CSRFinput!$B:$E,4,0)=0,OR(H2190=MappingTables!$C$34,H2190=MappingTables!$C$35)),1,VLOOKUP(CONCATENATE($D2190,$G2190),CSRFinput!$B:$E,4,0))),0,IF(AND(VLOOKUP(CONCATENATE($D2190,$G2190),CSRFinput!$B:$E,4,0)=0,OR(H2190=MappingTables!$C$34,H2190=MappingTables!$C$35)),1,VLOOKUP(CONCATENATE($D2190,$G2190),CSRFinput!$B:$E,4,0)))</f>
        <v>0.054776304963434752</v>
      </c>
      <c r="W2190" s="85">
        <f>IF(B2190="",0,+$T2190*$V2190)</f>
        <v>6.7763303683428224</v>
      </c>
      <c r="X2190" s="85">
        <f>IF(B2190="",0,IF(OR(H2190=MappingTables!$C$34,H2190=MappingTables!$C$35),W2190,0))</f>
        <v>0</v>
      </c>
    </row>
    <row r="2191" spans="2:24" s="0" customFormat="0" ht="15">
      <c r="B2191" s="69">
        <v>18047814</v>
      </c>
      <c r="C2191" s="70" t="s">
        <v>2259</v>
      </c>
      <c r="D2191" s="70" t="s">
        <v>1</v>
      </c>
      <c r="E2191" s="70" t="s">
        <v>1</v>
      </c>
      <c r="F2191" s="70"/>
      <c r="G2191" s="70" t="s">
        <v>61</v>
      </c>
      <c r="H2191" s="70" t="s">
        <v>178</v>
      </c>
      <c r="I2191" s="70" t="s">
        <v>181</v>
      </c>
      <c r="J2191" s="71">
        <f>IF(OR(I2191=0,I2191=""),"unrated",VLOOKUP(I2191,MappingTables!$B$19:$C$31,2,FALSE))</f>
        <v>3</v>
      </c>
      <c r="K2191" s="72">
        <v>3748.1704067051728</v>
      </c>
      <c r="L2191" s="70">
        <v>0.72731346291740624</v>
      </c>
      <c r="M2191" s="71">
        <f>IF(L2191&lt;1,1,L2191)</f>
        <v>1</v>
      </c>
      <c r="N2191" s="70" t="s">
        <v>141</v>
      </c>
      <c r="O2191" s="71">
        <f>INDEX(DurClassMapping,MATCH(M2191,MappingTables!$D$4:$D$8,-1),1)</f>
        <v>1</v>
      </c>
      <c r="P2191" s="73">
        <f>IF(M2191=$A$1,1,$M2191-INDEX(MappingTables!$E$4:$E$8,MATCH(O2191,MappingTables!$B$4:$B$8,0)))</f>
        <v>1</v>
      </c>
      <c r="Q2191" s="71">
        <f>IF(B2191="",0,INDEX(ModelParameters!$D$6:$K$10,MATCH($O2191,ModelParameters!$B$6:$B$10,0),MATCH($J2191,ModelParameters!$D$5:$K$5,0)))</f>
        <v>0.025</v>
      </c>
      <c r="R2191" s="71">
        <f>IF(B2191="",0,INDEX(ModelParameters!$D$13:$K$17,MATCH($O2191,ModelParameters!$B$13:$B$17,0),MATCH($J2191,ModelParameters!$D$5:$K$5,0)))</f>
        <v>0</v>
      </c>
      <c r="S2191" s="160">
        <f>IF(B2191="",0,MIN(IF($N2191="Other Bond TM",ModelParameters!$N$21,1)*(P2191*Q2191+R2191),1))</f>
        <v>0.025</v>
      </c>
      <c r="T2191" s="85">
        <f>IF(B2191="",0,$S2191*$K2191)</f>
        <v>93.704260167629328</v>
      </c>
      <c r="U2191" s="85">
        <f>IF(B2191="",0,IF(OR(H2191=MappingTables!$C$34,H2191=MappingTables!$C$35),T2191,0))</f>
        <v>0</v>
      </c>
      <c r="V2191" s="85">
        <f>IF(ISNA(IF(AND(VLOOKUP(CONCATENATE($D2191,$G2191),CSRFinput!$B:$E,4,0)=0,OR(H2191=MappingTables!$C$34,H2191=MappingTables!$C$35)),1,VLOOKUP(CONCATENATE($D2191,$G2191),CSRFinput!$B:$E,4,0))),0,IF(AND(VLOOKUP(CONCATENATE($D2191,$G2191),CSRFinput!$B:$E,4,0)=0,OR(H2191=MappingTables!$C$34,H2191=MappingTables!$C$35)),1,VLOOKUP(CONCATENATE($D2191,$G2191),CSRFinput!$B:$E,4,0)))</f>
        <v>0.054776304963434752</v>
      </c>
      <c r="W2191" s="85">
        <f>IF(B2191="",0,+$T2191*$V2191)</f>
        <v>5.132773131315096</v>
      </c>
      <c r="X2191" s="85">
        <f>IF(B2191="",0,IF(OR(H2191=MappingTables!$C$34,H2191=MappingTables!$C$35),W2191,0))</f>
        <v>0</v>
      </c>
    </row>
    <row r="2192" spans="2:24" s="0" customFormat="0" ht="15">
      <c r="B2192" s="69" t="s">
        <v>1361</v>
      </c>
      <c r="C2192" s="70" t="s">
        <v>1362</v>
      </c>
      <c r="D2192" s="70" t="s">
        <v>1</v>
      </c>
      <c r="E2192" s="70" t="s">
        <v>1</v>
      </c>
      <c r="F2192" s="70"/>
      <c r="G2192" s="70" t="s">
        <v>61</v>
      </c>
      <c r="H2192" s="70" t="s">
        <v>178</v>
      </c>
      <c r="I2192" s="70" t="s">
        <v>179</v>
      </c>
      <c r="J2192" s="71">
        <f>IF(OR(I2192=0,I2192=""),"unrated",VLOOKUP(I2192,MappingTables!$B$19:$C$31,2,FALSE))</f>
        <v>4</v>
      </c>
      <c r="K2192" s="72">
        <v>760.48664535088</v>
      </c>
      <c r="L2192" s="70">
        <v>5.2167093229027176</v>
      </c>
      <c r="M2192" s="71">
        <f>IF(L2192&lt;1,1,L2192)</f>
        <v>5.2167093229027176</v>
      </c>
      <c r="N2192" s="70" t="s">
        <v>141</v>
      </c>
      <c r="O2192" s="71">
        <f>INDEX(DurClassMapping,MATCH(M2192,MappingTables!$D$4:$D$8,-1),1)</f>
        <v>2</v>
      </c>
      <c r="P2192" s="73">
        <f>IF(M2192=$A$1,1,$M2192-INDEX(MappingTables!$E$4:$E$8,MATCH(O2192,MappingTables!$B$4:$B$8,0)))</f>
        <v>0.21670932290271772</v>
      </c>
      <c r="Q2192" s="71">
        <f>IF(B2192="",0,INDEX(ModelParameters!$D$6:$K$10,MATCH($O2192,ModelParameters!$B$6:$B$10,0),MATCH($J2192,ModelParameters!$D$5:$K$5,0)))</f>
        <v>0.025</v>
      </c>
      <c r="R2192" s="71">
        <f>IF(B2192="",0,INDEX(ModelParameters!$D$13:$K$17,MATCH($O2192,ModelParameters!$B$13:$B$17,0),MATCH($J2192,ModelParameters!$D$5:$K$5,0)))</f>
        <v>0.225</v>
      </c>
      <c r="S2192" s="160">
        <f>IF(B2192="",0,MIN(IF($N2192="Other Bond TM",ModelParameters!$N$21,1)*(P2192*Q2192+R2192),1))</f>
        <v>0.23041773307256792</v>
      </c>
      <c r="T2192" s="85">
        <f>IF(B2192="",0,$S2192*$K2192)</f>
        <v>175.22960885371168</v>
      </c>
      <c r="U2192" s="85">
        <f>IF(B2192="",0,IF(OR(H2192=MappingTables!$C$34,H2192=MappingTables!$C$35),T2192,0))</f>
        <v>0</v>
      </c>
      <c r="V2192" s="85">
        <f>IF(ISNA(IF(AND(VLOOKUP(CONCATENATE($D2192,$G2192),CSRFinput!$B:$E,4,0)=0,OR(H2192=MappingTables!$C$34,H2192=MappingTables!$C$35)),1,VLOOKUP(CONCATENATE($D2192,$G2192),CSRFinput!$B:$E,4,0))),0,IF(AND(VLOOKUP(CONCATENATE($D2192,$G2192),CSRFinput!$B:$E,4,0)=0,OR(H2192=MappingTables!$C$34,H2192=MappingTables!$C$35)),1,VLOOKUP(CONCATENATE($D2192,$G2192),CSRFinput!$B:$E,4,0)))</f>
        <v>0.054776304963434752</v>
      </c>
      <c r="W2192" s="85">
        <f>IF(B2192="",0,+$T2192*$V2192)</f>
        <v>9.5984304931942976</v>
      </c>
      <c r="X2192" s="85">
        <f>IF(B2192="",0,IF(OR(H2192=MappingTables!$C$34,H2192=MappingTables!$C$35),W2192,0))</f>
        <v>0</v>
      </c>
    </row>
    <row r="2193" spans="2:24" s="0" customFormat="0" ht="15">
      <c r="B2193" s="69" t="s">
        <v>2169</v>
      </c>
      <c r="C2193" s="70" t="s">
        <v>2170</v>
      </c>
      <c r="D2193" s="70" t="s">
        <v>1</v>
      </c>
      <c r="E2193" s="70" t="s">
        <v>1</v>
      </c>
      <c r="F2193" s="70"/>
      <c r="G2193" s="70" t="s">
        <v>61</v>
      </c>
      <c r="H2193" s="70" t="s">
        <v>178</v>
      </c>
      <c r="I2193" s="70" t="s">
        <v>184</v>
      </c>
      <c r="J2193" s="71">
        <f>IF(OR(I2193=0,I2193=""),"unrated",VLOOKUP(I2193,MappingTables!$B$19:$C$31,2,FALSE))</f>
        <v>5</v>
      </c>
      <c r="K2193" s="72">
        <v>40.41101165968156</v>
      </c>
      <c r="L2193" s="70">
        <v>0.28218966186136744</v>
      </c>
      <c r="M2193" s="71">
        <f>IF(L2193&lt;1,1,L2193)</f>
        <v>1</v>
      </c>
      <c r="N2193" s="70" t="s">
        <v>141</v>
      </c>
      <c r="O2193" s="71">
        <f>INDEX(DurClassMapping,MATCH(M2193,MappingTables!$D$4:$D$8,-1),1)</f>
        <v>1</v>
      </c>
      <c r="P2193" s="73">
        <f>IF(M2193=$A$1,1,$M2193-INDEX(MappingTables!$E$4:$E$8,MATCH(O2193,MappingTables!$B$4:$B$8,0)))</f>
        <v>1</v>
      </c>
      <c r="Q2193" s="71">
        <f>IF(B2193="",0,INDEX(ModelParameters!$D$6:$K$10,MATCH($O2193,ModelParameters!$B$6:$B$10,0),MATCH($J2193,ModelParameters!$D$5:$K$5,0)))</f>
        <v>0.075</v>
      </c>
      <c r="R2193" s="71">
        <f>IF(B2193="",0,INDEX(ModelParameters!$D$13:$K$17,MATCH($O2193,ModelParameters!$B$13:$B$17,0),MATCH($J2193,ModelParameters!$D$5:$K$5,0)))</f>
        <v>0</v>
      </c>
      <c r="S2193" s="160">
        <f>IF(B2193="",0,MIN(IF($N2193="Other Bond TM",ModelParameters!$N$21,1)*(P2193*Q2193+R2193),1))</f>
        <v>0.075</v>
      </c>
      <c r="T2193" s="85">
        <f>IF(B2193="",0,$S2193*$K2193)</f>
        <v>3.0308258744761168</v>
      </c>
      <c r="U2193" s="85">
        <f>IF(B2193="",0,IF(OR(H2193=MappingTables!$C$34,H2193=MappingTables!$C$35),T2193,0))</f>
        <v>0</v>
      </c>
      <c r="V2193" s="85">
        <f>IF(ISNA(IF(AND(VLOOKUP(CONCATENATE($D2193,$G2193),CSRFinput!$B:$E,4,0)=0,OR(H2193=MappingTables!$C$34,H2193=MappingTables!$C$35)),1,VLOOKUP(CONCATENATE($D2193,$G2193),CSRFinput!$B:$E,4,0))),0,IF(AND(VLOOKUP(CONCATENATE($D2193,$G2193),CSRFinput!$B:$E,4,0)=0,OR(H2193=MappingTables!$C$34,H2193=MappingTables!$C$35)),1,VLOOKUP(CONCATENATE($D2193,$G2193),CSRFinput!$B:$E,4,0)))</f>
        <v>0.054776304963434752</v>
      </c>
      <c r="W2193" s="85">
        <f>IF(B2193="",0,+$T2193*$V2193)</f>
        <v>0.16601744239137262</v>
      </c>
      <c r="X2193" s="85">
        <f>IF(B2193="",0,IF(OR(H2193=MappingTables!$C$34,H2193=MappingTables!$C$35),W2193,0))</f>
        <v>0</v>
      </c>
    </row>
    <row r="2194" spans="2:24" s="0" customFormat="0" ht="15">
      <c r="B2194" s="69">
        <v>21743793</v>
      </c>
      <c r="C2194" s="70" t="s">
        <v>636</v>
      </c>
      <c r="D2194" s="70" t="s">
        <v>1</v>
      </c>
      <c r="E2194" s="70" t="s">
        <v>1</v>
      </c>
      <c r="F2194" s="70"/>
      <c r="G2194" s="70" t="s">
        <v>61</v>
      </c>
      <c r="H2194" s="70" t="s">
        <v>178</v>
      </c>
      <c r="I2194" s="70" t="s">
        <v>181</v>
      </c>
      <c r="J2194" s="71">
        <f>IF(OR(I2194=0,I2194=""),"unrated",VLOOKUP(I2194,MappingTables!$B$19:$C$31,2,FALSE))</f>
        <v>3</v>
      </c>
      <c r="K2194" s="72">
        <v>13417.2607146901</v>
      </c>
      <c r="L2194" s="70">
        <v>1.9560918108389368</v>
      </c>
      <c r="M2194" s="71">
        <f>IF(L2194&lt;1,1,L2194)</f>
        <v>1.9560918108389368</v>
      </c>
      <c r="N2194" s="70" t="s">
        <v>141</v>
      </c>
      <c r="O2194" s="71">
        <f>INDEX(DurClassMapping,MATCH(M2194,MappingTables!$D$4:$D$8,-1),1)</f>
        <v>1</v>
      </c>
      <c r="P2194" s="73">
        <f>IF(M2194=$A$1,1,$M2194-INDEX(MappingTables!$E$4:$E$8,MATCH(O2194,MappingTables!$B$4:$B$8,0)))</f>
        <v>1.9560918108389368</v>
      </c>
      <c r="Q2194" s="71">
        <f>IF(B2194="",0,INDEX(ModelParameters!$D$6:$K$10,MATCH($O2194,ModelParameters!$B$6:$B$10,0),MATCH($J2194,ModelParameters!$D$5:$K$5,0)))</f>
        <v>0.025</v>
      </c>
      <c r="R2194" s="71">
        <f>IF(B2194="",0,INDEX(ModelParameters!$D$13:$K$17,MATCH($O2194,ModelParameters!$B$13:$B$17,0),MATCH($J2194,ModelParameters!$D$5:$K$5,0)))</f>
        <v>0</v>
      </c>
      <c r="S2194" s="160">
        <f>IF(B2194="",0,MIN(IF($N2194="Other Bond TM",ModelParameters!$N$21,1)*(P2194*Q2194+R2194),1))</f>
        <v>0.048902295270973424</v>
      </c>
      <c r="T2194" s="85">
        <f>IF(B2194="",0,$S2194*$K2194)</f>
        <v>656.1348451974072</v>
      </c>
      <c r="U2194" s="85">
        <f>IF(B2194="",0,IF(OR(H2194=MappingTables!$C$34,H2194=MappingTables!$C$35),T2194,0))</f>
        <v>0</v>
      </c>
      <c r="V2194" s="85">
        <f>IF(ISNA(IF(AND(VLOOKUP(CONCATENATE($D2194,$G2194),CSRFinput!$B:$E,4,0)=0,OR(H2194=MappingTables!$C$34,H2194=MappingTables!$C$35)),1,VLOOKUP(CONCATENATE($D2194,$G2194),CSRFinput!$B:$E,4,0))),0,IF(AND(VLOOKUP(CONCATENATE($D2194,$G2194),CSRFinput!$B:$E,4,0)=0,OR(H2194=MappingTables!$C$34,H2194=MappingTables!$C$35)),1,VLOOKUP(CONCATENATE($D2194,$G2194),CSRFinput!$B:$E,4,0)))</f>
        <v>0.054776304963434752</v>
      </c>
      <c r="W2194" s="85">
        <f>IF(B2194="",0,+$T2194*$V2194)</f>
        <v>35.940642377669228</v>
      </c>
      <c r="X2194" s="85">
        <f>IF(B2194="",0,IF(OR(H2194=MappingTables!$C$34,H2194=MappingTables!$C$35),W2194,0))</f>
        <v>0</v>
      </c>
    </row>
    <row r="2195" spans="2:24" s="0" customFormat="0" ht="15">
      <c r="B2195" s="69" t="s">
        <v>1769</v>
      </c>
      <c r="C2195" s="70" t="s">
        <v>1770</v>
      </c>
      <c r="D2195" s="70" t="s">
        <v>1</v>
      </c>
      <c r="E2195" s="70" t="s">
        <v>1</v>
      </c>
      <c r="F2195" s="70"/>
      <c r="G2195" s="70" t="s">
        <v>61</v>
      </c>
      <c r="H2195" s="70" t="s">
        <v>178</v>
      </c>
      <c r="I2195" s="70" t="s">
        <v>181</v>
      </c>
      <c r="J2195" s="71">
        <f>IF(OR(I2195=0,I2195=""),"unrated",VLOOKUP(I2195,MappingTables!$B$19:$C$31,2,FALSE))</f>
        <v>3</v>
      </c>
      <c r="K2195" s="72">
        <v>3.2350189487589072</v>
      </c>
      <c r="L2195" s="70">
        <v>1.513332155653886</v>
      </c>
      <c r="M2195" s="71">
        <f>IF(L2195&lt;1,1,L2195)</f>
        <v>1.513332155653886</v>
      </c>
      <c r="N2195" s="70" t="s">
        <v>141</v>
      </c>
      <c r="O2195" s="71">
        <f>INDEX(DurClassMapping,MATCH(M2195,MappingTables!$D$4:$D$8,-1),1)</f>
        <v>1</v>
      </c>
      <c r="P2195" s="73">
        <f>IF(M2195=$A$1,1,$M2195-INDEX(MappingTables!$E$4:$E$8,MATCH(O2195,MappingTables!$B$4:$B$8,0)))</f>
        <v>1.513332155653886</v>
      </c>
      <c r="Q2195" s="71">
        <f>IF(B2195="",0,INDEX(ModelParameters!$D$6:$K$10,MATCH($O2195,ModelParameters!$B$6:$B$10,0),MATCH($J2195,ModelParameters!$D$5:$K$5,0)))</f>
        <v>0.025</v>
      </c>
      <c r="R2195" s="71">
        <f>IF(B2195="",0,INDEX(ModelParameters!$D$13:$K$17,MATCH($O2195,ModelParameters!$B$13:$B$17,0),MATCH($J2195,ModelParameters!$D$5:$K$5,0)))</f>
        <v>0</v>
      </c>
      <c r="S2195" s="160">
        <f>IF(B2195="",0,MIN(IF($N2195="Other Bond TM",ModelParameters!$N$21,1)*(P2195*Q2195+R2195),1))</f>
        <v>0.037833303891347144</v>
      </c>
      <c r="T2195" s="85">
        <f>IF(B2195="",0,$S2195*$K2195)</f>
        <v>0.12239145498266212</v>
      </c>
      <c r="U2195" s="85">
        <f>IF(B2195="",0,IF(OR(H2195=MappingTables!$C$34,H2195=MappingTables!$C$35),T2195,0))</f>
        <v>0</v>
      </c>
      <c r="V2195" s="85">
        <f>IF(ISNA(IF(AND(VLOOKUP(CONCATENATE($D2195,$G2195),CSRFinput!$B:$E,4,0)=0,OR(H2195=MappingTables!$C$34,H2195=MappingTables!$C$35)),1,VLOOKUP(CONCATENATE($D2195,$G2195),CSRFinput!$B:$E,4,0))),0,IF(AND(VLOOKUP(CONCATENATE($D2195,$G2195),CSRFinput!$B:$E,4,0)=0,OR(H2195=MappingTables!$C$34,H2195=MappingTables!$C$35)),1,VLOOKUP(CONCATENATE($D2195,$G2195),CSRFinput!$B:$E,4,0)))</f>
        <v>0.054776304963434752</v>
      </c>
      <c r="W2195" s="85">
        <f>IF(B2195="",0,+$T2195*$V2195)</f>
        <v>0.006704151663048796</v>
      </c>
      <c r="X2195" s="85">
        <f>IF(B2195="",0,IF(OR(H2195=MappingTables!$C$34,H2195=MappingTables!$C$35),W2195,0))</f>
        <v>0</v>
      </c>
    </row>
    <row r="2196" spans="2:24" s="0" customFormat="0" ht="15">
      <c r="B2196" s="69">
        <v>12738122</v>
      </c>
      <c r="C2196" s="70" t="s">
        <v>2260</v>
      </c>
      <c r="D2196" s="70" t="s">
        <v>1</v>
      </c>
      <c r="E2196" s="70" t="s">
        <v>1</v>
      </c>
      <c r="F2196" s="70"/>
      <c r="G2196" s="70" t="s">
        <v>61</v>
      </c>
      <c r="H2196" s="70" t="s">
        <v>178</v>
      </c>
      <c r="I2196" s="70" t="s">
        <v>188</v>
      </c>
      <c r="J2196" s="71">
        <f>IF(OR(I2196=0,I2196=""),"unrated",VLOOKUP(I2196,MappingTables!$B$19:$C$31,2,FALSE))</f>
        <v>2</v>
      </c>
      <c r="K2196" s="72">
        <v>77.499199724388048</v>
      </c>
      <c r="L2196" s="70">
        <v>0.7740526141261176</v>
      </c>
      <c r="M2196" s="71">
        <f>IF(L2196&lt;1,1,L2196)</f>
        <v>1</v>
      </c>
      <c r="N2196" s="70" t="s">
        <v>141</v>
      </c>
      <c r="O2196" s="71">
        <f>INDEX(DurClassMapping,MATCH(M2196,MappingTables!$D$4:$D$8,-1),1)</f>
        <v>1</v>
      </c>
      <c r="P2196" s="73">
        <f>IF(M2196=$A$1,1,$M2196-INDEX(MappingTables!$E$4:$E$8,MATCH(O2196,MappingTables!$B$4:$B$8,0)))</f>
        <v>1</v>
      </c>
      <c r="Q2196" s="71">
        <f>IF(B2196="",0,INDEX(ModelParameters!$D$6:$K$10,MATCH($O2196,ModelParameters!$B$6:$B$10,0),MATCH($J2196,ModelParameters!$D$5:$K$5,0)))</f>
        <v>0.013999999999999998</v>
      </c>
      <c r="R2196" s="71">
        <f>IF(B2196="",0,INDEX(ModelParameters!$D$13:$K$17,MATCH($O2196,ModelParameters!$B$13:$B$17,0),MATCH($J2196,ModelParameters!$D$5:$K$5,0)))</f>
        <v>0</v>
      </c>
      <c r="S2196" s="160">
        <f>IF(B2196="",0,MIN(IF($N2196="Other Bond TM",ModelParameters!$N$21,1)*(P2196*Q2196+R2196),1))</f>
        <v>0.013999999999999998</v>
      </c>
      <c r="T2196" s="85">
        <f>IF(B2196="",0,$S2196*$K2196)</f>
        <v>1.0849887961414326</v>
      </c>
      <c r="U2196" s="85">
        <f>IF(B2196="",0,IF(OR(H2196=MappingTables!$C$34,H2196=MappingTables!$C$35),T2196,0))</f>
        <v>0</v>
      </c>
      <c r="V2196" s="85">
        <f>IF(ISNA(IF(AND(VLOOKUP(CONCATENATE($D2196,$G2196),CSRFinput!$B:$E,4,0)=0,OR(H2196=MappingTables!$C$34,H2196=MappingTables!$C$35)),1,VLOOKUP(CONCATENATE($D2196,$G2196),CSRFinput!$B:$E,4,0))),0,IF(AND(VLOOKUP(CONCATENATE($D2196,$G2196),CSRFinput!$B:$E,4,0)=0,OR(H2196=MappingTables!$C$34,H2196=MappingTables!$C$35)),1,VLOOKUP(CONCATENATE($D2196,$G2196),CSRFinput!$B:$E,4,0)))</f>
        <v>0.054776304963434752</v>
      </c>
      <c r="W2196" s="85">
        <f>IF(B2196="",0,+$T2196*$V2196)</f>
        <v>0.059431677179353056</v>
      </c>
      <c r="X2196" s="85">
        <f>IF(B2196="",0,IF(OR(H2196=MappingTables!$C$34,H2196=MappingTables!$C$35),W2196,0))</f>
        <v>0</v>
      </c>
    </row>
    <row r="2197" spans="2:24" s="0" customFormat="0" ht="15">
      <c r="B2197" s="69">
        <v>20243725</v>
      </c>
      <c r="C2197" s="70" t="s">
        <v>286</v>
      </c>
      <c r="D2197" s="70" t="s">
        <v>1</v>
      </c>
      <c r="E2197" s="70" t="s">
        <v>1</v>
      </c>
      <c r="F2197" s="70"/>
      <c r="G2197" s="70" t="s">
        <v>61</v>
      </c>
      <c r="H2197" s="70" t="s">
        <v>178</v>
      </c>
      <c r="I2197" s="70" t="s">
        <v>188</v>
      </c>
      <c r="J2197" s="71">
        <f>IF(OR(I2197=0,I2197=""),"unrated",VLOOKUP(I2197,MappingTables!$B$19:$C$31,2,FALSE))</f>
        <v>2</v>
      </c>
      <c r="K2197" s="72">
        <v>2789.2718845572552</v>
      </c>
      <c r="L2197" s="70">
        <v>7.2672831723173152</v>
      </c>
      <c r="M2197" s="71">
        <f>IF(L2197&lt;1,1,L2197)</f>
        <v>7.2672831723173152</v>
      </c>
      <c r="N2197" s="70" t="s">
        <v>141</v>
      </c>
      <c r="O2197" s="71">
        <f>INDEX(DurClassMapping,MATCH(M2197,MappingTables!$D$4:$D$8,-1),1)</f>
        <v>2</v>
      </c>
      <c r="P2197" s="73">
        <f>IF(M2197=$A$1,1,$M2197-INDEX(MappingTables!$E$4:$E$8,MATCH(O2197,MappingTables!$B$4:$B$8,0)))</f>
        <v>2.267283172317316</v>
      </c>
      <c r="Q2197" s="71">
        <f>IF(B2197="",0,INDEX(ModelParameters!$D$6:$K$10,MATCH($O2197,ModelParameters!$B$6:$B$10,0),MATCH($J2197,ModelParameters!$D$5:$K$5,0)))</f>
        <v>0.0069999999999999992</v>
      </c>
      <c r="R2197" s="71">
        <f>IF(B2197="",0,INDEX(ModelParameters!$D$13:$K$17,MATCH($O2197,ModelParameters!$B$13:$B$17,0),MATCH($J2197,ModelParameters!$D$5:$K$5,0)))</f>
        <v>0.070000000000000008</v>
      </c>
      <c r="S2197" s="160">
        <f>IF(B2197="",0,MIN(IF($N2197="Other Bond TM",ModelParameters!$N$21,1)*(P2197*Q2197+R2197),1))</f>
        <v>0.085870982206221216</v>
      </c>
      <c r="T2197" s="85">
        <f>IF(B2197="",0,$S2197*$K2197)</f>
        <v>239.5175163671292</v>
      </c>
      <c r="U2197" s="85">
        <f>IF(B2197="",0,IF(OR(H2197=MappingTables!$C$34,H2197=MappingTables!$C$35),T2197,0))</f>
        <v>0</v>
      </c>
      <c r="V2197" s="85">
        <f>IF(ISNA(IF(AND(VLOOKUP(CONCATENATE($D2197,$G2197),CSRFinput!$B:$E,4,0)=0,OR(H2197=MappingTables!$C$34,H2197=MappingTables!$C$35)),1,VLOOKUP(CONCATENATE($D2197,$G2197),CSRFinput!$B:$E,4,0))),0,IF(AND(VLOOKUP(CONCATENATE($D2197,$G2197),CSRFinput!$B:$E,4,0)=0,OR(H2197=MappingTables!$C$34,H2197=MappingTables!$C$35)),1,VLOOKUP(CONCATENATE($D2197,$G2197),CSRFinput!$B:$E,4,0)))</f>
        <v>0.054776304963434752</v>
      </c>
      <c r="W2197" s="85">
        <f>IF(B2197="",0,+$T2197*$V2197)</f>
        <v>13.119884520610344</v>
      </c>
      <c r="X2197" s="85">
        <f>IF(B2197="",0,IF(OR(H2197=MappingTables!$C$34,H2197=MappingTables!$C$35),W2197,0))</f>
        <v>0</v>
      </c>
    </row>
    <row r="2198" spans="2:24" s="0" customFormat="0" ht="15">
      <c r="B2198" s="69">
        <v>23457590</v>
      </c>
      <c r="C2198" s="70" t="s">
        <v>1129</v>
      </c>
      <c r="D2198" s="70" t="s">
        <v>1</v>
      </c>
      <c r="E2198" s="70" t="s">
        <v>1</v>
      </c>
      <c r="F2198" s="70"/>
      <c r="G2198" s="70" t="s">
        <v>61</v>
      </c>
      <c r="H2198" s="70" t="s">
        <v>178</v>
      </c>
      <c r="I2198" s="70" t="s">
        <v>181</v>
      </c>
      <c r="J2198" s="71">
        <f>IF(OR(I2198=0,I2198=""),"unrated",VLOOKUP(I2198,MappingTables!$B$19:$C$31,2,FALSE))</f>
        <v>3</v>
      </c>
      <c r="K2198" s="72">
        <v>554.34835510702552</v>
      </c>
      <c r="L2198" s="70">
        <v>12.876604201193986</v>
      </c>
      <c r="M2198" s="71">
        <f>IF(L2198&lt;1,1,L2198)</f>
        <v>12.876604201193986</v>
      </c>
      <c r="N2198" s="70" t="s">
        <v>141</v>
      </c>
      <c r="O2198" s="71">
        <f>INDEX(DurClassMapping,MATCH(M2198,MappingTables!$D$4:$D$8,-1),1)</f>
        <v>3</v>
      </c>
      <c r="P2198" s="73">
        <f>IF(M2198=$A$1,1,$M2198-INDEX(MappingTables!$E$4:$E$8,MATCH(O2198,MappingTables!$B$4:$B$8,0)))</f>
        <v>2.8766042011939864</v>
      </c>
      <c r="Q2198" s="71">
        <f>IF(B2198="",0,INDEX(ModelParameters!$D$6:$K$10,MATCH($O2198,ModelParameters!$B$6:$B$10,0),MATCH($J2198,ModelParameters!$D$5:$K$5,0)))</f>
        <v>0.01</v>
      </c>
      <c r="R2198" s="71">
        <f>IF(B2198="",0,INDEX(ModelParameters!$D$13:$K$17,MATCH($O2198,ModelParameters!$B$13:$B$17,0),MATCH($J2198,ModelParameters!$D$5:$K$5,0)))</f>
        <v>0.2</v>
      </c>
      <c r="S2198" s="160">
        <f>IF(B2198="",0,MIN(IF($N2198="Other Bond TM",ModelParameters!$N$21,1)*(P2198*Q2198+R2198),1))</f>
        <v>0.22876604201193988</v>
      </c>
      <c r="T2198" s="85">
        <f>IF(B2198="",0,$S2198*$K2198)</f>
        <v>126.81607909366358</v>
      </c>
      <c r="U2198" s="85">
        <f>IF(B2198="",0,IF(OR(H2198=MappingTables!$C$34,H2198=MappingTables!$C$35),T2198,0))</f>
        <v>0</v>
      </c>
      <c r="V2198" s="85">
        <f>IF(ISNA(IF(AND(VLOOKUP(CONCATENATE($D2198,$G2198),CSRFinput!$B:$E,4,0)=0,OR(H2198=MappingTables!$C$34,H2198=MappingTables!$C$35)),1,VLOOKUP(CONCATENATE($D2198,$G2198),CSRFinput!$B:$E,4,0))),0,IF(AND(VLOOKUP(CONCATENATE($D2198,$G2198),CSRFinput!$B:$E,4,0)=0,OR(H2198=MappingTables!$C$34,H2198=MappingTables!$C$35)),1,VLOOKUP(CONCATENATE($D2198,$G2198),CSRFinput!$B:$E,4,0)))</f>
        <v>0.054776304963434752</v>
      </c>
      <c r="W2198" s="85">
        <f>IF(B2198="",0,+$T2198*$V2198)</f>
        <v>6.9465162227015776</v>
      </c>
      <c r="X2198" s="85">
        <f>IF(B2198="",0,IF(OR(H2198=MappingTables!$C$34,H2198=MappingTables!$C$35),W2198,0))</f>
        <v>0</v>
      </c>
    </row>
    <row r="2199" spans="2:24" s="0" customFormat="0" ht="15">
      <c r="B2199" s="69">
        <v>24926976</v>
      </c>
      <c r="C2199" s="70" t="s">
        <v>2261</v>
      </c>
      <c r="D2199" s="70" t="s">
        <v>1</v>
      </c>
      <c r="E2199" s="70" t="s">
        <v>1</v>
      </c>
      <c r="F2199" s="70"/>
      <c r="G2199" s="70" t="s">
        <v>61</v>
      </c>
      <c r="H2199" s="70" t="s">
        <v>178</v>
      </c>
      <c r="I2199" s="70" t="s">
        <v>179</v>
      </c>
      <c r="J2199" s="71">
        <f>IF(OR(I2199=0,I2199=""),"unrated",VLOOKUP(I2199,MappingTables!$B$19:$C$31,2,FALSE))</f>
        <v>4</v>
      </c>
      <c r="K2199" s="72">
        <v>19973.12461665346</v>
      </c>
      <c r="L2199" s="70">
        <v>4.4970276694460464</v>
      </c>
      <c r="M2199" s="71">
        <f>IF(L2199&lt;1,1,L2199)</f>
        <v>4.4970276694460464</v>
      </c>
      <c r="N2199" s="70" t="s">
        <v>141</v>
      </c>
      <c r="O2199" s="71">
        <f>INDEX(DurClassMapping,MATCH(M2199,MappingTables!$D$4:$D$8,-1),1)</f>
        <v>1</v>
      </c>
      <c r="P2199" s="73">
        <f>IF(M2199=$A$1,1,$M2199-INDEX(MappingTables!$E$4:$E$8,MATCH(O2199,MappingTables!$B$4:$B$8,0)))</f>
        <v>4.4970276694460464</v>
      </c>
      <c r="Q2199" s="71">
        <f>IF(B2199="",0,INDEX(ModelParameters!$D$6:$K$10,MATCH($O2199,ModelParameters!$B$6:$B$10,0),MATCH($J2199,ModelParameters!$D$5:$K$5,0)))</f>
        <v>0.045</v>
      </c>
      <c r="R2199" s="71">
        <f>IF(B2199="",0,INDEX(ModelParameters!$D$13:$K$17,MATCH($O2199,ModelParameters!$B$13:$B$17,0),MATCH($J2199,ModelParameters!$D$5:$K$5,0)))</f>
        <v>0</v>
      </c>
      <c r="S2199" s="160">
        <f>IF(B2199="",0,MIN(IF($N2199="Other Bond TM",ModelParameters!$N$21,1)*(P2199*Q2199+R2199),1))</f>
        <v>0.20236624512507208</v>
      </c>
      <c r="T2199" s="85">
        <f>IF(B2199="",0,$S2199*$K2199)</f>
        <v>4041.8862320873056</v>
      </c>
      <c r="U2199" s="85">
        <f>IF(B2199="",0,IF(OR(H2199=MappingTables!$C$34,H2199=MappingTables!$C$35),T2199,0))</f>
        <v>0</v>
      </c>
      <c r="V2199" s="85">
        <f>IF(ISNA(IF(AND(VLOOKUP(CONCATENATE($D2199,$G2199),CSRFinput!$B:$E,4,0)=0,OR(H2199=MappingTables!$C$34,H2199=MappingTables!$C$35)),1,VLOOKUP(CONCATENATE($D2199,$G2199),CSRFinput!$B:$E,4,0))),0,IF(AND(VLOOKUP(CONCATENATE($D2199,$G2199),CSRFinput!$B:$E,4,0)=0,OR(H2199=MappingTables!$C$34,H2199=MappingTables!$C$35)),1,VLOOKUP(CONCATENATE($D2199,$G2199),CSRFinput!$B:$E,4,0)))</f>
        <v>0.054776304963434752</v>
      </c>
      <c r="W2199" s="85">
        <f>IF(B2199="",0,+$T2199*$V2199)</f>
        <v>221.39959287632244</v>
      </c>
      <c r="X2199" s="85">
        <f>IF(B2199="",0,IF(OR(H2199=MappingTables!$C$34,H2199=MappingTables!$C$35),W2199,0))</f>
        <v>0</v>
      </c>
    </row>
    <row r="2200" spans="2:24" s="0" customFormat="0" ht="15">
      <c r="B2200" s="69">
        <v>13711234</v>
      </c>
      <c r="C2200" s="70" t="s">
        <v>2262</v>
      </c>
      <c r="D2200" s="70" t="s">
        <v>1</v>
      </c>
      <c r="E2200" s="70" t="s">
        <v>1</v>
      </c>
      <c r="F2200" s="70"/>
      <c r="G2200" s="70" t="s">
        <v>61</v>
      </c>
      <c r="H2200" s="70" t="s">
        <v>178</v>
      </c>
      <c r="I2200" s="70" t="s">
        <v>179</v>
      </c>
      <c r="J2200" s="71">
        <f>IF(OR(I2200=0,I2200=""),"unrated",VLOOKUP(I2200,MappingTables!$B$19:$C$31,2,FALSE))</f>
        <v>4</v>
      </c>
      <c r="K2200" s="72">
        <v>70732.684549353696</v>
      </c>
      <c r="L2200" s="70">
        <v>11.782478313924134</v>
      </c>
      <c r="M2200" s="71">
        <f>IF(L2200&lt;1,1,L2200)</f>
        <v>11.782478313924134</v>
      </c>
      <c r="N2200" s="70" t="s">
        <v>141</v>
      </c>
      <c r="O2200" s="71">
        <f>INDEX(DurClassMapping,MATCH(M2200,MappingTables!$D$4:$D$8,-1),1)</f>
        <v>3</v>
      </c>
      <c r="P2200" s="73">
        <f>IF(M2200=$A$1,1,$M2200-INDEX(MappingTables!$E$4:$E$8,MATCH(O2200,MappingTables!$B$4:$B$8,0)))</f>
        <v>1.782478313924134</v>
      </c>
      <c r="Q2200" s="71">
        <f>IF(B2200="",0,INDEX(ModelParameters!$D$6:$K$10,MATCH($O2200,ModelParameters!$B$6:$B$10,0),MATCH($J2200,ModelParameters!$D$5:$K$5,0)))</f>
        <v>0.018000000000000002</v>
      </c>
      <c r="R2200" s="71">
        <f>IF(B2200="",0,INDEX(ModelParameters!$D$13:$K$17,MATCH($O2200,ModelParameters!$B$13:$B$17,0),MATCH($J2200,ModelParameters!$D$5:$K$5,0)))</f>
        <v>0.34999999999999996</v>
      </c>
      <c r="S2200" s="160">
        <f>IF(B2200="",0,MIN(IF($N2200="Other Bond TM",ModelParameters!$N$21,1)*(P2200*Q2200+R2200),1))</f>
        <v>0.3820846096506344</v>
      </c>
      <c r="T2200" s="85">
        <f>IF(B2200="",0,$S2200*$K2200)</f>
        <v>27025.870165581264</v>
      </c>
      <c r="U2200" s="85">
        <f>IF(B2200="",0,IF(OR(H2200=MappingTables!$C$34,H2200=MappingTables!$C$35),T2200,0))</f>
        <v>0</v>
      </c>
      <c r="V2200" s="85">
        <f>IF(ISNA(IF(AND(VLOOKUP(CONCATENATE($D2200,$G2200),CSRFinput!$B:$E,4,0)=0,OR(H2200=MappingTables!$C$34,H2200=MappingTables!$C$35)),1,VLOOKUP(CONCATENATE($D2200,$G2200),CSRFinput!$B:$E,4,0))),0,IF(AND(VLOOKUP(CONCATENATE($D2200,$G2200),CSRFinput!$B:$E,4,0)=0,OR(H2200=MappingTables!$C$34,H2200=MappingTables!$C$35)),1,VLOOKUP(CONCATENATE($D2200,$G2200),CSRFinput!$B:$E,4,0)))</f>
        <v>0.054776304963434752</v>
      </c>
      <c r="W2200" s="85">
        <f>IF(B2200="",0,+$T2200*$V2200)</f>
        <v>1480.3773060920724</v>
      </c>
      <c r="X2200" s="85">
        <f>IF(B2200="",0,IF(OR(H2200=MappingTables!$C$34,H2200=MappingTables!$C$35),W2200,0))</f>
        <v>0</v>
      </c>
    </row>
    <row r="2201" spans="2:24" s="0" customFormat="0" ht="15">
      <c r="B2201" s="69">
        <v>22901028</v>
      </c>
      <c r="C2201" s="70" t="s">
        <v>1988</v>
      </c>
      <c r="D2201" s="70" t="s">
        <v>1</v>
      </c>
      <c r="E2201" s="70" t="s">
        <v>1</v>
      </c>
      <c r="F2201" s="70"/>
      <c r="G2201" s="70" t="s">
        <v>61</v>
      </c>
      <c r="H2201" s="70" t="s">
        <v>178</v>
      </c>
      <c r="I2201" s="70" t="s">
        <v>198</v>
      </c>
      <c r="J2201" s="71" t="str">
        <f>IF(OR(I2201=0,I2201=""),"unrated",VLOOKUP(I2201,MappingTables!$B$19:$C$31,2,FALSE))</f>
        <v>unrated</v>
      </c>
      <c r="K2201" s="72">
        <v>775.97089673131408</v>
      </c>
      <c r="L2201" s="70">
        <v>2.216435995711902</v>
      </c>
      <c r="M2201" s="71">
        <f>IF(L2201&lt;1,1,L2201)</f>
        <v>2.216435995711902</v>
      </c>
      <c r="N2201" s="70" t="s">
        <v>141</v>
      </c>
      <c r="O2201" s="71">
        <f>INDEX(DurClassMapping,MATCH(M2201,MappingTables!$D$4:$D$8,-1),1)</f>
        <v>1</v>
      </c>
      <c r="P2201" s="73">
        <f>IF(M2201=$A$1,1,$M2201-INDEX(MappingTables!$E$4:$E$8,MATCH(O2201,MappingTables!$B$4:$B$8,0)))</f>
        <v>2.216435995711902</v>
      </c>
      <c r="Q2201" s="71">
        <f>IF(B2201="",0,INDEX(ModelParameters!$D$6:$K$10,MATCH($O2201,ModelParameters!$B$6:$B$10,0),MATCH($J2201,ModelParameters!$D$5:$K$5,0)))</f>
        <v>0.03</v>
      </c>
      <c r="R2201" s="71">
        <f>IF(B2201="",0,INDEX(ModelParameters!$D$13:$K$17,MATCH($O2201,ModelParameters!$B$13:$B$17,0),MATCH($J2201,ModelParameters!$D$5:$K$5,0)))</f>
        <v>0</v>
      </c>
      <c r="S2201" s="160">
        <f>IF(B2201="",0,MIN(IF($N2201="Other Bond TM",ModelParameters!$N$21,1)*(P2201*Q2201+R2201),1))</f>
        <v>0.066493079871357056</v>
      </c>
      <c r="T2201" s="85">
        <f>IF(B2201="",0,$S2201*$K2201)</f>
        <v>51.596694814203824</v>
      </c>
      <c r="U2201" s="85">
        <f>IF(B2201="",0,IF(OR(H2201=MappingTables!$C$34,H2201=MappingTables!$C$35),T2201,0))</f>
        <v>0</v>
      </c>
      <c r="V2201" s="85">
        <f>IF(ISNA(IF(AND(VLOOKUP(CONCATENATE($D2201,$G2201),CSRFinput!$B:$E,4,0)=0,OR(H2201=MappingTables!$C$34,H2201=MappingTables!$C$35)),1,VLOOKUP(CONCATENATE($D2201,$G2201),CSRFinput!$B:$E,4,0))),0,IF(AND(VLOOKUP(CONCATENATE($D2201,$G2201),CSRFinput!$B:$E,4,0)=0,OR(H2201=MappingTables!$C$34,H2201=MappingTables!$C$35)),1,VLOOKUP(CONCATENATE($D2201,$G2201),CSRFinput!$B:$E,4,0)))</f>
        <v>0.054776304963434752</v>
      </c>
      <c r="W2201" s="85">
        <f>IF(B2201="",0,+$T2201*$V2201)</f>
        <v>2.8262762902481012</v>
      </c>
      <c r="X2201" s="85">
        <f>IF(B2201="",0,IF(OR(H2201=MappingTables!$C$34,H2201=MappingTables!$C$35),W2201,0))</f>
        <v>0</v>
      </c>
    </row>
    <row r="2202" spans="2:24" s="0" customFormat="0" ht="15">
      <c r="B2202" s="69">
        <v>7852994</v>
      </c>
      <c r="C2202" s="70" t="s">
        <v>2263</v>
      </c>
      <c r="D2202" s="70" t="s">
        <v>1</v>
      </c>
      <c r="E2202" s="70" t="s">
        <v>1</v>
      </c>
      <c r="F2202" s="70"/>
      <c r="G2202" s="70" t="s">
        <v>61</v>
      </c>
      <c r="H2202" s="70" t="s">
        <v>178</v>
      </c>
      <c r="I2202" s="70" t="s">
        <v>181</v>
      </c>
      <c r="J2202" s="71">
        <f>IF(OR(I2202=0,I2202=""),"unrated",VLOOKUP(I2202,MappingTables!$B$19:$C$31,2,FALSE))</f>
        <v>3</v>
      </c>
      <c r="K2202" s="72">
        <v>485.78965884126728</v>
      </c>
      <c r="L2202" s="70">
        <v>9.5342426389469488</v>
      </c>
      <c r="M2202" s="71">
        <f>IF(L2202&lt;1,1,L2202)</f>
        <v>9.5342426389469488</v>
      </c>
      <c r="N2202" s="70" t="s">
        <v>141</v>
      </c>
      <c r="O2202" s="71">
        <f>INDEX(DurClassMapping,MATCH(M2202,MappingTables!$D$4:$D$8,-1),1)</f>
        <v>2</v>
      </c>
      <c r="P2202" s="73">
        <f>IF(M2202=$A$1,1,$M2202-INDEX(MappingTables!$E$4:$E$8,MATCH(O2202,MappingTables!$B$4:$B$8,0)))</f>
        <v>4.5342426389469496</v>
      </c>
      <c r="Q2202" s="71">
        <f>IF(B2202="",0,INDEX(ModelParameters!$D$6:$K$10,MATCH($O2202,ModelParameters!$B$6:$B$10,0),MATCH($J2202,ModelParameters!$D$5:$K$5,0)))</f>
        <v>0.015</v>
      </c>
      <c r="R2202" s="71">
        <f>IF(B2202="",0,INDEX(ModelParameters!$D$13:$K$17,MATCH($O2202,ModelParameters!$B$13:$B$17,0),MATCH($J2202,ModelParameters!$D$5:$K$5,0)))</f>
        <v>0.125</v>
      </c>
      <c r="S2202" s="160">
        <f>IF(B2202="",0,MIN(IF($N2202="Other Bond TM",ModelParameters!$N$21,1)*(P2202*Q2202+R2202),1))</f>
        <v>0.19301363958420424</v>
      </c>
      <c r="T2202" s="85">
        <f>IF(B2202="",0,$S2202*$K2202)</f>
        <v>93.764030125321904</v>
      </c>
      <c r="U2202" s="85">
        <f>IF(B2202="",0,IF(OR(H2202=MappingTables!$C$34,H2202=MappingTables!$C$35),T2202,0))</f>
        <v>0</v>
      </c>
      <c r="V2202" s="85">
        <f>IF(ISNA(IF(AND(VLOOKUP(CONCATENATE($D2202,$G2202),CSRFinput!$B:$E,4,0)=0,OR(H2202=MappingTables!$C$34,H2202=MappingTables!$C$35)),1,VLOOKUP(CONCATENATE($D2202,$G2202),CSRFinput!$B:$E,4,0))),0,IF(AND(VLOOKUP(CONCATENATE($D2202,$G2202),CSRFinput!$B:$E,4,0)=0,OR(H2202=MappingTables!$C$34,H2202=MappingTables!$C$35)),1,VLOOKUP(CONCATENATE($D2202,$G2202),CSRFinput!$B:$E,4,0)))</f>
        <v>0.054776304963434752</v>
      </c>
      <c r="W2202" s="85">
        <f>IF(B2202="",0,+$T2202*$V2202)</f>
        <v>5.136047108745316</v>
      </c>
      <c r="X2202" s="85">
        <f>IF(B2202="",0,IF(OR(H2202=MappingTables!$C$34,H2202=MappingTables!$C$35),W2202,0))</f>
        <v>0</v>
      </c>
    </row>
    <row r="2203" spans="2:24" s="0" customFormat="0" ht="15">
      <c r="B2203" s="69">
        <v>17558942</v>
      </c>
      <c r="C2203" s="70" t="s">
        <v>2264</v>
      </c>
      <c r="D2203" s="70" t="s">
        <v>1</v>
      </c>
      <c r="E2203" s="70" t="s">
        <v>1</v>
      </c>
      <c r="F2203" s="70"/>
      <c r="G2203" s="70" t="s">
        <v>61</v>
      </c>
      <c r="H2203" s="70" t="s">
        <v>178</v>
      </c>
      <c r="I2203" s="70" t="s">
        <v>184</v>
      </c>
      <c r="J2203" s="71">
        <f>IF(OR(I2203=0,I2203=""),"unrated",VLOOKUP(I2203,MappingTables!$B$19:$C$31,2,FALSE))</f>
        <v>5</v>
      </c>
      <c r="K2203" s="72">
        <v>185.82505982063384</v>
      </c>
      <c r="L2203" s="70">
        <v>0.087671264905485408</v>
      </c>
      <c r="M2203" s="71">
        <f>IF(L2203&lt;1,1,L2203)</f>
        <v>1</v>
      </c>
      <c r="N2203" s="70" t="s">
        <v>141</v>
      </c>
      <c r="O2203" s="71">
        <f>INDEX(DurClassMapping,MATCH(M2203,MappingTables!$D$4:$D$8,-1),1)</f>
        <v>1</v>
      </c>
      <c r="P2203" s="73">
        <f>IF(M2203=$A$1,1,$M2203-INDEX(MappingTables!$E$4:$E$8,MATCH(O2203,MappingTables!$B$4:$B$8,0)))</f>
        <v>1</v>
      </c>
      <c r="Q2203" s="71">
        <f>IF(B2203="",0,INDEX(ModelParameters!$D$6:$K$10,MATCH($O2203,ModelParameters!$B$6:$B$10,0),MATCH($J2203,ModelParameters!$D$5:$K$5,0)))</f>
        <v>0.075</v>
      </c>
      <c r="R2203" s="71">
        <f>IF(B2203="",0,INDEX(ModelParameters!$D$13:$K$17,MATCH($O2203,ModelParameters!$B$13:$B$17,0),MATCH($J2203,ModelParameters!$D$5:$K$5,0)))</f>
        <v>0</v>
      </c>
      <c r="S2203" s="160">
        <f>IF(B2203="",0,MIN(IF($N2203="Other Bond TM",ModelParameters!$N$21,1)*(P2203*Q2203+R2203),1))</f>
        <v>0.075</v>
      </c>
      <c r="T2203" s="85">
        <f>IF(B2203="",0,$S2203*$K2203)</f>
        <v>13.936879486547538</v>
      </c>
      <c r="U2203" s="85">
        <f>IF(B2203="",0,IF(OR(H2203=MappingTables!$C$34,H2203=MappingTables!$C$35),T2203,0))</f>
        <v>0</v>
      </c>
      <c r="V2203" s="85">
        <f>IF(ISNA(IF(AND(VLOOKUP(CONCATENATE($D2203,$G2203),CSRFinput!$B:$E,4,0)=0,OR(H2203=MappingTables!$C$34,H2203=MappingTables!$C$35)),1,VLOOKUP(CONCATENATE($D2203,$G2203),CSRFinput!$B:$E,4,0))),0,IF(AND(VLOOKUP(CONCATENATE($D2203,$G2203),CSRFinput!$B:$E,4,0)=0,OR(H2203=MappingTables!$C$34,H2203=MappingTables!$C$35)),1,VLOOKUP(CONCATENATE($D2203,$G2203),CSRFinput!$B:$E,4,0)))</f>
        <v>0.054776304963434752</v>
      </c>
      <c r="W2203" s="85">
        <f>IF(B2203="",0,+$T2203*$V2203)</f>
        <v>0.76341076099376592</v>
      </c>
      <c r="X2203" s="85">
        <f>IF(B2203="",0,IF(OR(H2203=MappingTables!$C$34,H2203=MappingTables!$C$35),W2203,0))</f>
        <v>0</v>
      </c>
    </row>
    <row r="2204" spans="2:24" s="0" customFormat="0" ht="15">
      <c r="B2204" s="69">
        <v>16060758</v>
      </c>
      <c r="C2204" s="70" t="s">
        <v>2265</v>
      </c>
      <c r="D2204" s="70" t="s">
        <v>1</v>
      </c>
      <c r="E2204" s="70" t="s">
        <v>1</v>
      </c>
      <c r="F2204" s="70"/>
      <c r="G2204" s="70" t="s">
        <v>61</v>
      </c>
      <c r="H2204" s="70" t="s">
        <v>178</v>
      </c>
      <c r="I2204" s="70" t="s">
        <v>188</v>
      </c>
      <c r="J2204" s="71">
        <f>IF(OR(I2204=0,I2204=""),"unrated",VLOOKUP(I2204,MappingTables!$B$19:$C$31,2,FALSE))</f>
        <v>2</v>
      </c>
      <c r="K2204" s="72">
        <v>6504.5110943054224</v>
      </c>
      <c r="L2204" s="70">
        <v>6.1887658530219368</v>
      </c>
      <c r="M2204" s="71">
        <f>IF(L2204&lt;1,1,L2204)</f>
        <v>6.1887658530219368</v>
      </c>
      <c r="N2204" s="70" t="s">
        <v>141</v>
      </c>
      <c r="O2204" s="71">
        <f>INDEX(DurClassMapping,MATCH(M2204,MappingTables!$D$4:$D$8,-1),1)</f>
        <v>2</v>
      </c>
      <c r="P2204" s="73">
        <f>IF(M2204=$A$1,1,$M2204-INDEX(MappingTables!$E$4:$E$8,MATCH(O2204,MappingTables!$B$4:$B$8,0)))</f>
        <v>1.1887658530219368</v>
      </c>
      <c r="Q2204" s="71">
        <f>IF(B2204="",0,INDEX(ModelParameters!$D$6:$K$10,MATCH($O2204,ModelParameters!$B$6:$B$10,0),MATCH($J2204,ModelParameters!$D$5:$K$5,0)))</f>
        <v>0.0069999999999999992</v>
      </c>
      <c r="R2204" s="71">
        <f>IF(B2204="",0,INDEX(ModelParameters!$D$13:$K$17,MATCH($O2204,ModelParameters!$B$13:$B$17,0),MATCH($J2204,ModelParameters!$D$5:$K$5,0)))</f>
        <v>0.070000000000000008</v>
      </c>
      <c r="S2204" s="160">
        <f>IF(B2204="",0,MIN(IF($N2204="Other Bond TM",ModelParameters!$N$21,1)*(P2204*Q2204+R2204),1))</f>
        <v>0.078321360971153568</v>
      </c>
      <c r="T2204" s="85">
        <f>IF(B2204="",0,$S2204*$K2204)</f>
        <v>509.44216135796808</v>
      </c>
      <c r="U2204" s="85">
        <f>IF(B2204="",0,IF(OR(H2204=MappingTables!$C$34,H2204=MappingTables!$C$35),T2204,0))</f>
        <v>0</v>
      </c>
      <c r="V2204" s="85">
        <f>IF(ISNA(IF(AND(VLOOKUP(CONCATENATE($D2204,$G2204),CSRFinput!$B:$E,4,0)=0,OR(H2204=MappingTables!$C$34,H2204=MappingTables!$C$35)),1,VLOOKUP(CONCATENATE($D2204,$G2204),CSRFinput!$B:$E,4,0))),0,IF(AND(VLOOKUP(CONCATENATE($D2204,$G2204),CSRFinput!$B:$E,4,0)=0,OR(H2204=MappingTables!$C$34,H2204=MappingTables!$C$35)),1,VLOOKUP(CONCATENATE($D2204,$G2204),CSRFinput!$B:$E,4,0)))</f>
        <v>0.054776304963434752</v>
      </c>
      <c r="W2204" s="85">
        <f>IF(B2204="",0,+$T2204*$V2204)</f>
        <v>27.905359191775396</v>
      </c>
      <c r="X2204" s="85">
        <f>IF(B2204="",0,IF(OR(H2204=MappingTables!$C$34,H2204=MappingTables!$C$35),W2204,0))</f>
        <v>0</v>
      </c>
    </row>
    <row r="2205" spans="2:24" s="0" customFormat="0" ht="15">
      <c r="B2205" s="69">
        <v>17621838</v>
      </c>
      <c r="C2205" s="70" t="s">
        <v>1192</v>
      </c>
      <c r="D2205" s="70" t="s">
        <v>1</v>
      </c>
      <c r="E2205" s="70" t="s">
        <v>1</v>
      </c>
      <c r="F2205" s="70"/>
      <c r="G2205" s="70" t="s">
        <v>61</v>
      </c>
      <c r="H2205" s="70" t="s">
        <v>178</v>
      </c>
      <c r="I2205" s="70" t="s">
        <v>188</v>
      </c>
      <c r="J2205" s="71">
        <f>IF(OR(I2205=0,I2205=""),"unrated",VLOOKUP(I2205,MappingTables!$B$19:$C$31,2,FALSE))</f>
        <v>2</v>
      </c>
      <c r="K2205" s="72">
        <v>10.029074696850284</v>
      </c>
      <c r="L2205" s="70">
        <v>0.65479833046523896</v>
      </c>
      <c r="M2205" s="71">
        <f>IF(L2205&lt;1,1,L2205)</f>
        <v>1</v>
      </c>
      <c r="N2205" s="70" t="s">
        <v>141</v>
      </c>
      <c r="O2205" s="71">
        <f>INDEX(DurClassMapping,MATCH(M2205,MappingTables!$D$4:$D$8,-1),1)</f>
        <v>1</v>
      </c>
      <c r="P2205" s="73">
        <f>IF(M2205=$A$1,1,$M2205-INDEX(MappingTables!$E$4:$E$8,MATCH(O2205,MappingTables!$B$4:$B$8,0)))</f>
        <v>1</v>
      </c>
      <c r="Q2205" s="71">
        <f>IF(B2205="",0,INDEX(ModelParameters!$D$6:$K$10,MATCH($O2205,ModelParameters!$B$6:$B$10,0),MATCH($J2205,ModelParameters!$D$5:$K$5,0)))</f>
        <v>0.013999999999999998</v>
      </c>
      <c r="R2205" s="71">
        <f>IF(B2205="",0,INDEX(ModelParameters!$D$13:$K$17,MATCH($O2205,ModelParameters!$B$13:$B$17,0),MATCH($J2205,ModelParameters!$D$5:$K$5,0)))</f>
        <v>0</v>
      </c>
      <c r="S2205" s="160">
        <f>IF(B2205="",0,MIN(IF($N2205="Other Bond TM",ModelParameters!$N$21,1)*(P2205*Q2205+R2205),1))</f>
        <v>0.013999999999999998</v>
      </c>
      <c r="T2205" s="85">
        <f>IF(B2205="",0,$S2205*$K2205)</f>
        <v>0.14040704575590396</v>
      </c>
      <c r="U2205" s="85">
        <f>IF(B2205="",0,IF(OR(H2205=MappingTables!$C$34,H2205=MappingTables!$C$35),T2205,0))</f>
        <v>0</v>
      </c>
      <c r="V2205" s="85">
        <f>IF(ISNA(IF(AND(VLOOKUP(CONCATENATE($D2205,$G2205),CSRFinput!$B:$E,4,0)=0,OR(H2205=MappingTables!$C$34,H2205=MappingTables!$C$35)),1,VLOOKUP(CONCATENATE($D2205,$G2205),CSRFinput!$B:$E,4,0))),0,IF(AND(VLOOKUP(CONCATENATE($D2205,$G2205),CSRFinput!$B:$E,4,0)=0,OR(H2205=MappingTables!$C$34,H2205=MappingTables!$C$35)),1,VLOOKUP(CONCATENATE($D2205,$G2205),CSRFinput!$B:$E,4,0)))</f>
        <v>0.054776304963434752</v>
      </c>
      <c r="W2205" s="85">
        <f>IF(B2205="",0,+$T2205*$V2205)</f>
        <v>0.0076909791573403328</v>
      </c>
      <c r="X2205" s="85">
        <f>IF(B2205="",0,IF(OR(H2205=MappingTables!$C$34,H2205=MappingTables!$C$35),W2205,0))</f>
        <v>0</v>
      </c>
    </row>
    <row r="2206" spans="2:24" s="0" customFormat="0" ht="15">
      <c r="B2206" s="69" t="s">
        <v>2266</v>
      </c>
      <c r="C2206" s="70" t="s">
        <v>2267</v>
      </c>
      <c r="D2206" s="70" t="s">
        <v>1</v>
      </c>
      <c r="E2206" s="70" t="s">
        <v>1</v>
      </c>
      <c r="F2206" s="70"/>
      <c r="G2206" s="70" t="s">
        <v>61</v>
      </c>
      <c r="H2206" s="70" t="s">
        <v>178</v>
      </c>
      <c r="I2206" s="70" t="s">
        <v>181</v>
      </c>
      <c r="J2206" s="71">
        <f>IF(OR(I2206=0,I2206=""),"unrated",VLOOKUP(I2206,MappingTables!$B$19:$C$31,2,FALSE))</f>
        <v>3</v>
      </c>
      <c r="K2206" s="72">
        <v>27.668672711190304</v>
      </c>
      <c r="L2206" s="70">
        <v>0.98821378610937424</v>
      </c>
      <c r="M2206" s="71">
        <f>IF(L2206&lt;1,1,L2206)</f>
        <v>1</v>
      </c>
      <c r="N2206" s="70" t="s">
        <v>141</v>
      </c>
      <c r="O2206" s="71">
        <f>INDEX(DurClassMapping,MATCH(M2206,MappingTables!$D$4:$D$8,-1),1)</f>
        <v>1</v>
      </c>
      <c r="P2206" s="73">
        <f>IF(M2206=$A$1,1,$M2206-INDEX(MappingTables!$E$4:$E$8,MATCH(O2206,MappingTables!$B$4:$B$8,0)))</f>
        <v>1</v>
      </c>
      <c r="Q2206" s="71">
        <f>IF(B2206="",0,INDEX(ModelParameters!$D$6:$K$10,MATCH($O2206,ModelParameters!$B$6:$B$10,0),MATCH($J2206,ModelParameters!$D$5:$K$5,0)))</f>
        <v>0.025</v>
      </c>
      <c r="R2206" s="71">
        <f>IF(B2206="",0,INDEX(ModelParameters!$D$13:$K$17,MATCH($O2206,ModelParameters!$B$13:$B$17,0),MATCH($J2206,ModelParameters!$D$5:$K$5,0)))</f>
        <v>0</v>
      </c>
      <c r="S2206" s="160">
        <f>IF(B2206="",0,MIN(IF($N2206="Other Bond TM",ModelParameters!$N$21,1)*(P2206*Q2206+R2206),1))</f>
        <v>0.025</v>
      </c>
      <c r="T2206" s="85">
        <f>IF(B2206="",0,$S2206*$K2206)</f>
        <v>0.69171681777975768</v>
      </c>
      <c r="U2206" s="85">
        <f>IF(B2206="",0,IF(OR(H2206=MappingTables!$C$34,H2206=MappingTables!$C$35),T2206,0))</f>
        <v>0</v>
      </c>
      <c r="V2206" s="85">
        <f>IF(ISNA(IF(AND(VLOOKUP(CONCATENATE($D2206,$G2206),CSRFinput!$B:$E,4,0)=0,OR(H2206=MappingTables!$C$34,H2206=MappingTables!$C$35)),1,VLOOKUP(CONCATENATE($D2206,$G2206),CSRFinput!$B:$E,4,0))),0,IF(AND(VLOOKUP(CONCATENATE($D2206,$G2206),CSRFinput!$B:$E,4,0)=0,OR(H2206=MappingTables!$C$34,H2206=MappingTables!$C$35)),1,VLOOKUP(CONCATENATE($D2206,$G2206),CSRFinput!$B:$E,4,0)))</f>
        <v>0.054776304963434752</v>
      </c>
      <c r="W2206" s="85">
        <f>IF(B2206="",0,+$T2206*$V2206)</f>
        <v>0.037889691359040632</v>
      </c>
      <c r="X2206" s="85">
        <f>IF(B2206="",0,IF(OR(H2206=MappingTables!$C$34,H2206=MappingTables!$C$35),W2206,0))</f>
        <v>0</v>
      </c>
    </row>
    <row r="2207" spans="2:24" s="0" customFormat="0" ht="15">
      <c r="B2207" s="69">
        <v>20215777</v>
      </c>
      <c r="C2207" s="70" t="s">
        <v>2268</v>
      </c>
      <c r="D2207" s="70" t="s">
        <v>1</v>
      </c>
      <c r="E2207" s="70" t="s">
        <v>1</v>
      </c>
      <c r="F2207" s="70"/>
      <c r="G2207" s="70" t="s">
        <v>61</v>
      </c>
      <c r="H2207" s="70" t="s">
        <v>178</v>
      </c>
      <c r="I2207" s="70" t="s">
        <v>181</v>
      </c>
      <c r="J2207" s="71">
        <f>IF(OR(I2207=0,I2207=""),"unrated",VLOOKUP(I2207,MappingTables!$B$19:$C$31,2,FALSE))</f>
        <v>3</v>
      </c>
      <c r="K2207" s="72">
        <v>10684.903517754382</v>
      </c>
      <c r="L2207" s="70">
        <v>13.096120981117102</v>
      </c>
      <c r="M2207" s="71">
        <f>IF(L2207&lt;1,1,L2207)</f>
        <v>13.096120981117102</v>
      </c>
      <c r="N2207" s="70" t="s">
        <v>141</v>
      </c>
      <c r="O2207" s="71">
        <f>INDEX(DurClassMapping,MATCH(M2207,MappingTables!$D$4:$D$8,-1),1)</f>
        <v>3</v>
      </c>
      <c r="P2207" s="73">
        <f>IF(M2207=$A$1,1,$M2207-INDEX(MappingTables!$E$4:$E$8,MATCH(O2207,MappingTables!$B$4:$B$8,0)))</f>
        <v>3.0961209811171012</v>
      </c>
      <c r="Q2207" s="71">
        <f>IF(B2207="",0,INDEX(ModelParameters!$D$6:$K$10,MATCH($O2207,ModelParameters!$B$6:$B$10,0),MATCH($J2207,ModelParameters!$D$5:$K$5,0)))</f>
        <v>0.01</v>
      </c>
      <c r="R2207" s="71">
        <f>IF(B2207="",0,INDEX(ModelParameters!$D$13:$K$17,MATCH($O2207,ModelParameters!$B$13:$B$17,0),MATCH($J2207,ModelParameters!$D$5:$K$5,0)))</f>
        <v>0.2</v>
      </c>
      <c r="S2207" s="160">
        <f>IF(B2207="",0,MIN(IF($N2207="Other Bond TM",ModelParameters!$N$21,1)*(P2207*Q2207+R2207),1))</f>
        <v>0.230961209811171</v>
      </c>
      <c r="T2207" s="85">
        <f>IF(B2207="",0,$S2207*$K2207)</f>
        <v>2467.7982431761892</v>
      </c>
      <c r="U2207" s="85">
        <f>IF(B2207="",0,IF(OR(H2207=MappingTables!$C$34,H2207=MappingTables!$C$35),T2207,0))</f>
        <v>0</v>
      </c>
      <c r="V2207" s="85">
        <f>IF(ISNA(IF(AND(VLOOKUP(CONCATENATE($D2207,$G2207),CSRFinput!$B:$E,4,0)=0,OR(H2207=MappingTables!$C$34,H2207=MappingTables!$C$35)),1,VLOOKUP(CONCATENATE($D2207,$G2207),CSRFinput!$B:$E,4,0))),0,IF(AND(VLOOKUP(CONCATENATE($D2207,$G2207),CSRFinput!$B:$E,4,0)=0,OR(H2207=MappingTables!$C$34,H2207=MappingTables!$C$35)),1,VLOOKUP(CONCATENATE($D2207,$G2207),CSRFinput!$B:$E,4,0)))</f>
        <v>0.054776304963434752</v>
      </c>
      <c r="W2207" s="85">
        <f>IF(B2207="",0,+$T2207*$V2207)</f>
        <v>135.17686915644746</v>
      </c>
      <c r="X2207" s="85">
        <f>IF(B2207="",0,IF(OR(H2207=MappingTables!$C$34,H2207=MappingTables!$C$35),W2207,0))</f>
        <v>0</v>
      </c>
    </row>
    <row r="2208" spans="2:24" s="0" customFormat="0" ht="15">
      <c r="B2208" s="69">
        <v>10616292</v>
      </c>
      <c r="C2208" s="70" t="s">
        <v>2269</v>
      </c>
      <c r="D2208" s="70" t="s">
        <v>1</v>
      </c>
      <c r="E2208" s="70" t="s">
        <v>1</v>
      </c>
      <c r="F2208" s="70"/>
      <c r="G2208" s="70" t="s">
        <v>61</v>
      </c>
      <c r="H2208" s="70" t="s">
        <v>178</v>
      </c>
      <c r="I2208" s="70" t="s">
        <v>181</v>
      </c>
      <c r="J2208" s="71">
        <f>IF(OR(I2208=0,I2208=""),"unrated",VLOOKUP(I2208,MappingTables!$B$19:$C$31,2,FALSE))</f>
        <v>3</v>
      </c>
      <c r="K2208" s="72">
        <v>19.027713291807764</v>
      </c>
      <c r="L2208" s="70">
        <v>1.4211113995520084</v>
      </c>
      <c r="M2208" s="71">
        <f>IF(L2208&lt;1,1,L2208)</f>
        <v>1.4211113995520084</v>
      </c>
      <c r="N2208" s="70" t="s">
        <v>141</v>
      </c>
      <c r="O2208" s="71">
        <f>INDEX(DurClassMapping,MATCH(M2208,MappingTables!$D$4:$D$8,-1),1)</f>
        <v>1</v>
      </c>
      <c r="P2208" s="73">
        <f>IF(M2208=$A$1,1,$M2208-INDEX(MappingTables!$E$4:$E$8,MATCH(O2208,MappingTables!$B$4:$B$8,0)))</f>
        <v>1.4211113995520084</v>
      </c>
      <c r="Q2208" s="71">
        <f>IF(B2208="",0,INDEX(ModelParameters!$D$6:$K$10,MATCH($O2208,ModelParameters!$B$6:$B$10,0),MATCH($J2208,ModelParameters!$D$5:$K$5,0)))</f>
        <v>0.025</v>
      </c>
      <c r="R2208" s="71">
        <f>IF(B2208="",0,INDEX(ModelParameters!$D$13:$K$17,MATCH($O2208,ModelParameters!$B$13:$B$17,0),MATCH($J2208,ModelParameters!$D$5:$K$5,0)))</f>
        <v>0</v>
      </c>
      <c r="S2208" s="160">
        <f>IF(B2208="",0,MIN(IF($N2208="Other Bond TM",ModelParameters!$N$21,1)*(P2208*Q2208+R2208),1))</f>
        <v>0.035527784988800208</v>
      </c>
      <c r="T2208" s="85">
        <f>IF(B2208="",0,$S2208*$K2208)</f>
        <v>0.67601250665988208</v>
      </c>
      <c r="U2208" s="85">
        <f>IF(B2208="",0,IF(OR(H2208=MappingTables!$C$34,H2208=MappingTables!$C$35),T2208,0))</f>
        <v>0</v>
      </c>
      <c r="V2208" s="85">
        <f>IF(ISNA(IF(AND(VLOOKUP(CONCATENATE($D2208,$G2208),CSRFinput!$B:$E,4,0)=0,OR(H2208=MappingTables!$C$34,H2208=MappingTables!$C$35)),1,VLOOKUP(CONCATENATE($D2208,$G2208),CSRFinput!$B:$E,4,0))),0,IF(AND(VLOOKUP(CONCATENATE($D2208,$G2208),CSRFinput!$B:$E,4,0)=0,OR(H2208=MappingTables!$C$34,H2208=MappingTables!$C$35)),1,VLOOKUP(CONCATENATE($D2208,$G2208),CSRFinput!$B:$E,4,0)))</f>
        <v>0.054776304963434752</v>
      </c>
      <c r="W2208" s="85">
        <f>IF(B2208="",0,+$T2208*$V2208)</f>
        <v>0.037029467223897664</v>
      </c>
      <c r="X2208" s="85">
        <f>IF(B2208="",0,IF(OR(H2208=MappingTables!$C$34,H2208=MappingTables!$C$35),W2208,0))</f>
        <v>0</v>
      </c>
    </row>
    <row r="2209" spans="2:24" s="0" customFormat="0" ht="15">
      <c r="B2209" s="69" t="s">
        <v>2270</v>
      </c>
      <c r="C2209" s="70" t="s">
        <v>2271</v>
      </c>
      <c r="D2209" s="70" t="s">
        <v>1</v>
      </c>
      <c r="E2209" s="70" t="s">
        <v>1</v>
      </c>
      <c r="F2209" s="70"/>
      <c r="G2209" s="70" t="s">
        <v>61</v>
      </c>
      <c r="H2209" s="70" t="s">
        <v>178</v>
      </c>
      <c r="I2209" s="70" t="s">
        <v>179</v>
      </c>
      <c r="J2209" s="71">
        <f>IF(OR(I2209=0,I2209=""),"unrated",VLOOKUP(I2209,MappingTables!$B$19:$C$31,2,FALSE))</f>
        <v>4</v>
      </c>
      <c r="K2209" s="72">
        <v>338.00848386723076</v>
      </c>
      <c r="L2209" s="70">
        <v>2.771176787866972</v>
      </c>
      <c r="M2209" s="71">
        <f>IF(L2209&lt;1,1,L2209)</f>
        <v>2.771176787866972</v>
      </c>
      <c r="N2209" s="70" t="s">
        <v>141</v>
      </c>
      <c r="O2209" s="71">
        <f>INDEX(DurClassMapping,MATCH(M2209,MappingTables!$D$4:$D$8,-1),1)</f>
        <v>1</v>
      </c>
      <c r="P2209" s="73">
        <f>IF(M2209=$A$1,1,$M2209-INDEX(MappingTables!$E$4:$E$8,MATCH(O2209,MappingTables!$B$4:$B$8,0)))</f>
        <v>2.771176787866972</v>
      </c>
      <c r="Q2209" s="71">
        <f>IF(B2209="",0,INDEX(ModelParameters!$D$6:$K$10,MATCH($O2209,ModelParameters!$B$6:$B$10,0),MATCH($J2209,ModelParameters!$D$5:$K$5,0)))</f>
        <v>0.045</v>
      </c>
      <c r="R2209" s="71">
        <f>IF(B2209="",0,INDEX(ModelParameters!$D$13:$K$17,MATCH($O2209,ModelParameters!$B$13:$B$17,0),MATCH($J2209,ModelParameters!$D$5:$K$5,0)))</f>
        <v>0</v>
      </c>
      <c r="S2209" s="160">
        <f>IF(B2209="",0,MIN(IF($N2209="Other Bond TM",ModelParameters!$N$21,1)*(P2209*Q2209+R2209),1))</f>
        <v>0.12470295545401374</v>
      </c>
      <c r="T2209" s="85">
        <f>IF(B2209="",0,$S2209*$K2209)</f>
        <v>42.150656906774</v>
      </c>
      <c r="U2209" s="85">
        <f>IF(B2209="",0,IF(OR(H2209=MappingTables!$C$34,H2209=MappingTables!$C$35),T2209,0))</f>
        <v>0</v>
      </c>
      <c r="V2209" s="85">
        <f>IF(ISNA(IF(AND(VLOOKUP(CONCATENATE($D2209,$G2209),CSRFinput!$B:$E,4,0)=0,OR(H2209=MappingTables!$C$34,H2209=MappingTables!$C$35)),1,VLOOKUP(CONCATENATE($D2209,$G2209),CSRFinput!$B:$E,4,0))),0,IF(AND(VLOOKUP(CONCATENATE($D2209,$G2209),CSRFinput!$B:$E,4,0)=0,OR(H2209=MappingTables!$C$34,H2209=MappingTables!$C$35)),1,VLOOKUP(CONCATENATE($D2209,$G2209),CSRFinput!$B:$E,4,0)))</f>
        <v>0.054776304963434752</v>
      </c>
      <c r="W2209" s="85">
        <f>IF(B2209="",0,+$T2209*$V2209)</f>
        <v>2.30885723713456</v>
      </c>
      <c r="X2209" s="85">
        <f>IF(B2209="",0,IF(OR(H2209=MappingTables!$C$34,H2209=MappingTables!$C$35),W2209,0))</f>
        <v>0</v>
      </c>
    </row>
    <row r="2210" spans="2:24" s="0" customFormat="0" ht="15">
      <c r="B2210" s="69">
        <v>23207410</v>
      </c>
      <c r="C2210" s="70" t="s">
        <v>2149</v>
      </c>
      <c r="D2210" s="70" t="s">
        <v>1</v>
      </c>
      <c r="E2210" s="70" t="s">
        <v>1</v>
      </c>
      <c r="F2210" s="70"/>
      <c r="G2210" s="70" t="s">
        <v>61</v>
      </c>
      <c r="H2210" s="70" t="s">
        <v>178</v>
      </c>
      <c r="I2210" s="70" t="s">
        <v>181</v>
      </c>
      <c r="J2210" s="71">
        <f>IF(OR(I2210=0,I2210=""),"unrated",VLOOKUP(I2210,MappingTables!$B$19:$C$31,2,FALSE))</f>
        <v>3</v>
      </c>
      <c r="K2210" s="72">
        <v>1858.8806728545756</v>
      </c>
      <c r="L2210" s="70">
        <v>0.087673049953547264</v>
      </c>
      <c r="M2210" s="71">
        <f>IF(L2210&lt;1,1,L2210)</f>
        <v>1</v>
      </c>
      <c r="N2210" s="70" t="s">
        <v>141</v>
      </c>
      <c r="O2210" s="71">
        <f>INDEX(DurClassMapping,MATCH(M2210,MappingTables!$D$4:$D$8,-1),1)</f>
        <v>1</v>
      </c>
      <c r="P2210" s="73">
        <f>IF(M2210=$A$1,1,$M2210-INDEX(MappingTables!$E$4:$E$8,MATCH(O2210,MappingTables!$B$4:$B$8,0)))</f>
        <v>1</v>
      </c>
      <c r="Q2210" s="71">
        <f>IF(B2210="",0,INDEX(ModelParameters!$D$6:$K$10,MATCH($O2210,ModelParameters!$B$6:$B$10,0),MATCH($J2210,ModelParameters!$D$5:$K$5,0)))</f>
        <v>0.025</v>
      </c>
      <c r="R2210" s="71">
        <f>IF(B2210="",0,INDEX(ModelParameters!$D$13:$K$17,MATCH($O2210,ModelParameters!$B$13:$B$17,0),MATCH($J2210,ModelParameters!$D$5:$K$5,0)))</f>
        <v>0</v>
      </c>
      <c r="S2210" s="160">
        <f>IF(B2210="",0,MIN(IF($N2210="Other Bond TM",ModelParameters!$N$21,1)*(P2210*Q2210+R2210),1))</f>
        <v>0.025</v>
      </c>
      <c r="T2210" s="85">
        <f>IF(B2210="",0,$S2210*$K2210)</f>
        <v>46.472016821364392</v>
      </c>
      <c r="U2210" s="85">
        <f>IF(B2210="",0,IF(OR(H2210=MappingTables!$C$34,H2210=MappingTables!$C$35),T2210,0))</f>
        <v>0</v>
      </c>
      <c r="V2210" s="85">
        <f>IF(ISNA(IF(AND(VLOOKUP(CONCATENATE($D2210,$G2210),CSRFinput!$B:$E,4,0)=0,OR(H2210=MappingTables!$C$34,H2210=MappingTables!$C$35)),1,VLOOKUP(CONCATENATE($D2210,$G2210),CSRFinput!$B:$E,4,0))),0,IF(AND(VLOOKUP(CONCATENATE($D2210,$G2210),CSRFinput!$B:$E,4,0)=0,OR(H2210=MappingTables!$C$34,H2210=MappingTables!$C$35)),1,VLOOKUP(CONCATENATE($D2210,$G2210),CSRFinput!$B:$E,4,0)))</f>
        <v>0.054776304963434752</v>
      </c>
      <c r="W2210" s="85">
        <f>IF(B2210="",0,+$T2210*$V2210)</f>
        <v>2.5455653656729256</v>
      </c>
      <c r="X2210" s="85">
        <f>IF(B2210="",0,IF(OR(H2210=MappingTables!$C$34,H2210=MappingTables!$C$35),W2210,0))</f>
        <v>0</v>
      </c>
    </row>
    <row r="2211" spans="2:24" s="0" customFormat="0" ht="15">
      <c r="B2211" s="69" t="s">
        <v>1106</v>
      </c>
      <c r="C2211" s="70" t="s">
        <v>1107</v>
      </c>
      <c r="D2211" s="70" t="s">
        <v>1</v>
      </c>
      <c r="E2211" s="70" t="s">
        <v>1</v>
      </c>
      <c r="F2211" s="70"/>
      <c r="G2211" s="70" t="s">
        <v>61</v>
      </c>
      <c r="H2211" s="70" t="s">
        <v>178</v>
      </c>
      <c r="I2211" s="70" t="s">
        <v>188</v>
      </c>
      <c r="J2211" s="71">
        <f>IF(OR(I2211=0,I2211=""),"unrated",VLOOKUP(I2211,MappingTables!$B$19:$C$31,2,FALSE))</f>
        <v>2</v>
      </c>
      <c r="K2211" s="72">
        <v>66.601657111166288</v>
      </c>
      <c r="L2211" s="70">
        <v>2.6113756919315844</v>
      </c>
      <c r="M2211" s="71">
        <f>IF(L2211&lt;1,1,L2211)</f>
        <v>2.6113756919315844</v>
      </c>
      <c r="N2211" s="70" t="s">
        <v>141</v>
      </c>
      <c r="O2211" s="71">
        <f>INDEX(DurClassMapping,MATCH(M2211,MappingTables!$D$4:$D$8,-1),1)</f>
        <v>1</v>
      </c>
      <c r="P2211" s="73">
        <f>IF(M2211=$A$1,1,$M2211-INDEX(MappingTables!$E$4:$E$8,MATCH(O2211,MappingTables!$B$4:$B$8,0)))</f>
        <v>2.6113756919315844</v>
      </c>
      <c r="Q2211" s="71">
        <f>IF(B2211="",0,INDEX(ModelParameters!$D$6:$K$10,MATCH($O2211,ModelParameters!$B$6:$B$10,0),MATCH($J2211,ModelParameters!$D$5:$K$5,0)))</f>
        <v>0.013999999999999998</v>
      </c>
      <c r="R2211" s="71">
        <f>IF(B2211="",0,INDEX(ModelParameters!$D$13:$K$17,MATCH($O2211,ModelParameters!$B$13:$B$17,0),MATCH($J2211,ModelParameters!$D$5:$K$5,0)))</f>
        <v>0</v>
      </c>
      <c r="S2211" s="160">
        <f>IF(B2211="",0,MIN(IF($N2211="Other Bond TM",ModelParameters!$N$21,1)*(P2211*Q2211+R2211),1))</f>
        <v>0.036559259687042176</v>
      </c>
      <c r="T2211" s="85">
        <f>IF(B2211="",0,$S2211*$K2211)</f>
        <v>2.434907277914468</v>
      </c>
      <c r="U2211" s="85">
        <f>IF(B2211="",0,IF(OR(H2211=MappingTables!$C$34,H2211=MappingTables!$C$35),T2211,0))</f>
        <v>0</v>
      </c>
      <c r="V2211" s="85">
        <f>IF(ISNA(IF(AND(VLOOKUP(CONCATENATE($D2211,$G2211),CSRFinput!$B:$E,4,0)=0,OR(H2211=MappingTables!$C$34,H2211=MappingTables!$C$35)),1,VLOOKUP(CONCATENATE($D2211,$G2211),CSRFinput!$B:$E,4,0))),0,IF(AND(VLOOKUP(CONCATENATE($D2211,$G2211),CSRFinput!$B:$E,4,0)=0,OR(H2211=MappingTables!$C$34,H2211=MappingTables!$C$35)),1,VLOOKUP(CONCATENATE($D2211,$G2211),CSRFinput!$B:$E,4,0)))</f>
        <v>0.054776304963434752</v>
      </c>
      <c r="W2211" s="85">
        <f>IF(B2211="",0,+$T2211*$V2211)</f>
        <v>0.13337522361272966</v>
      </c>
      <c r="X2211" s="85">
        <f>IF(B2211="",0,IF(OR(H2211=MappingTables!$C$34,H2211=MappingTables!$C$35),W2211,0))</f>
        <v>0</v>
      </c>
    </row>
    <row r="2212" spans="2:24" s="0" customFormat="0" ht="15">
      <c r="B2212" s="69">
        <v>24188547</v>
      </c>
      <c r="C2212" s="70" t="s">
        <v>1331</v>
      </c>
      <c r="D2212" s="70" t="s">
        <v>1</v>
      </c>
      <c r="E2212" s="70" t="s">
        <v>1</v>
      </c>
      <c r="F2212" s="70"/>
      <c r="G2212" s="70" t="s">
        <v>61</v>
      </c>
      <c r="H2212" s="70" t="s">
        <v>178</v>
      </c>
      <c r="I2212" s="70" t="s">
        <v>181</v>
      </c>
      <c r="J2212" s="71">
        <f>IF(OR(I2212=0,I2212=""),"unrated",VLOOKUP(I2212,MappingTables!$B$19:$C$31,2,FALSE))</f>
        <v>3</v>
      </c>
      <c r="K2212" s="72">
        <v>1329.5294064522428</v>
      </c>
      <c r="L2212" s="70">
        <v>8.3479345442706096</v>
      </c>
      <c r="M2212" s="71">
        <f>IF(L2212&lt;1,1,L2212)</f>
        <v>8.3479345442706096</v>
      </c>
      <c r="N2212" s="70" t="s">
        <v>141</v>
      </c>
      <c r="O2212" s="71">
        <f>INDEX(DurClassMapping,MATCH(M2212,MappingTables!$D$4:$D$8,-1),1)</f>
        <v>2</v>
      </c>
      <c r="P2212" s="73">
        <f>IF(M2212=$A$1,1,$M2212-INDEX(MappingTables!$E$4:$E$8,MATCH(O2212,MappingTables!$B$4:$B$8,0)))</f>
        <v>3.3479345442706096</v>
      </c>
      <c r="Q2212" s="71">
        <f>IF(B2212="",0,INDEX(ModelParameters!$D$6:$K$10,MATCH($O2212,ModelParameters!$B$6:$B$10,0),MATCH($J2212,ModelParameters!$D$5:$K$5,0)))</f>
        <v>0.015</v>
      </c>
      <c r="R2212" s="71">
        <f>IF(B2212="",0,INDEX(ModelParameters!$D$13:$K$17,MATCH($O2212,ModelParameters!$B$13:$B$17,0),MATCH($J2212,ModelParameters!$D$5:$K$5,0)))</f>
        <v>0.125</v>
      </c>
      <c r="S2212" s="160">
        <f>IF(B2212="",0,MIN(IF($N2212="Other Bond TM",ModelParameters!$N$21,1)*(P2212*Q2212+R2212),1))</f>
        <v>0.17521901816405914</v>
      </c>
      <c r="T2212" s="85">
        <f>IF(B2212="",0,$S2212*$K2212)</f>
        <v>232.95883721880628</v>
      </c>
      <c r="U2212" s="85">
        <f>IF(B2212="",0,IF(OR(H2212=MappingTables!$C$34,H2212=MappingTables!$C$35),T2212,0))</f>
        <v>0</v>
      </c>
      <c r="V2212" s="85">
        <f>IF(ISNA(IF(AND(VLOOKUP(CONCATENATE($D2212,$G2212),CSRFinput!$B:$E,4,0)=0,OR(H2212=MappingTables!$C$34,H2212=MappingTables!$C$35)),1,VLOOKUP(CONCATENATE($D2212,$G2212),CSRFinput!$B:$E,4,0))),0,IF(AND(VLOOKUP(CONCATENATE($D2212,$G2212),CSRFinput!$B:$E,4,0)=0,OR(H2212=MappingTables!$C$34,H2212=MappingTables!$C$35)),1,VLOOKUP(CONCATENATE($D2212,$G2212),CSRFinput!$B:$E,4,0)))</f>
        <v>0.054776304963434752</v>
      </c>
      <c r="W2212" s="85">
        <f>IF(B2212="",0,+$T2212*$V2212)</f>
        <v>12.760624311424488</v>
      </c>
      <c r="X2212" s="85">
        <f>IF(B2212="",0,IF(OR(H2212=MappingTables!$C$34,H2212=MappingTables!$C$35),W2212,0))</f>
        <v>0</v>
      </c>
    </row>
    <row r="2213" spans="2:24" s="0" customFormat="0" ht="15">
      <c r="B2213" s="69">
        <v>14418869</v>
      </c>
      <c r="C2213" s="70" t="s">
        <v>2272</v>
      </c>
      <c r="D2213" s="70" t="s">
        <v>1</v>
      </c>
      <c r="E2213" s="70" t="s">
        <v>1</v>
      </c>
      <c r="F2213" s="70"/>
      <c r="G2213" s="70" t="s">
        <v>61</v>
      </c>
      <c r="H2213" s="70" t="s">
        <v>178</v>
      </c>
      <c r="I2213" s="70" t="s">
        <v>181</v>
      </c>
      <c r="J2213" s="71">
        <f>IF(OR(I2213=0,I2213=""),"unrated",VLOOKUP(I2213,MappingTables!$B$19:$C$31,2,FALSE))</f>
        <v>3</v>
      </c>
      <c r="K2213" s="72">
        <v>39451.421412377064</v>
      </c>
      <c r="L2213" s="70">
        <v>5.7436949598743144</v>
      </c>
      <c r="M2213" s="71">
        <f>IF(L2213&lt;1,1,L2213)</f>
        <v>5.7436949598743144</v>
      </c>
      <c r="N2213" s="70" t="s">
        <v>141</v>
      </c>
      <c r="O2213" s="71">
        <f>INDEX(DurClassMapping,MATCH(M2213,MappingTables!$D$4:$D$8,-1),1)</f>
        <v>2</v>
      </c>
      <c r="P2213" s="73">
        <f>IF(M2213=$A$1,1,$M2213-INDEX(MappingTables!$E$4:$E$8,MATCH(O2213,MappingTables!$B$4:$B$8,0)))</f>
        <v>0.74369495987431472</v>
      </c>
      <c r="Q2213" s="71">
        <f>IF(B2213="",0,INDEX(ModelParameters!$D$6:$K$10,MATCH($O2213,ModelParameters!$B$6:$B$10,0),MATCH($J2213,ModelParameters!$D$5:$K$5,0)))</f>
        <v>0.015</v>
      </c>
      <c r="R2213" s="71">
        <f>IF(B2213="",0,INDEX(ModelParameters!$D$13:$K$17,MATCH($O2213,ModelParameters!$B$13:$B$17,0),MATCH($J2213,ModelParameters!$D$5:$K$5,0)))</f>
        <v>0.125</v>
      </c>
      <c r="S2213" s="160">
        <f>IF(B2213="",0,MIN(IF($N2213="Other Bond TM",ModelParameters!$N$21,1)*(P2213*Q2213+R2213),1))</f>
        <v>0.13615542439811474</v>
      </c>
      <c r="T2213" s="85">
        <f>IF(B2213="",0,$S2213*$K2213)</f>
        <v>5371.5250255110704</v>
      </c>
      <c r="U2213" s="85">
        <f>IF(B2213="",0,IF(OR(H2213=MappingTables!$C$34,H2213=MappingTables!$C$35),T2213,0))</f>
        <v>0</v>
      </c>
      <c r="V2213" s="85">
        <f>IF(ISNA(IF(AND(VLOOKUP(CONCATENATE($D2213,$G2213),CSRFinput!$B:$E,4,0)=0,OR(H2213=MappingTables!$C$34,H2213=MappingTables!$C$35)),1,VLOOKUP(CONCATENATE($D2213,$G2213),CSRFinput!$B:$E,4,0))),0,IF(AND(VLOOKUP(CONCATENATE($D2213,$G2213),CSRFinput!$B:$E,4,0)=0,OR(H2213=MappingTables!$C$34,H2213=MappingTables!$C$35)),1,VLOOKUP(CONCATENATE($D2213,$G2213),CSRFinput!$B:$E,4,0)))</f>
        <v>0.054776304963434752</v>
      </c>
      <c r="W2213" s="85">
        <f>IF(B2213="",0,+$T2213*$V2213)</f>
        <v>294.23229291611604</v>
      </c>
      <c r="X2213" s="85">
        <f>IF(B2213="",0,IF(OR(H2213=MappingTables!$C$34,H2213=MappingTables!$C$35),W2213,0))</f>
        <v>0</v>
      </c>
    </row>
    <row r="2214" spans="2:24" s="0" customFormat="0" ht="15">
      <c r="B2214" s="69">
        <v>24107793</v>
      </c>
      <c r="C2214" s="70" t="s">
        <v>1522</v>
      </c>
      <c r="D2214" s="70" t="s">
        <v>1</v>
      </c>
      <c r="E2214" s="70" t="s">
        <v>1</v>
      </c>
      <c r="F2214" s="70"/>
      <c r="G2214" s="70" t="s">
        <v>61</v>
      </c>
      <c r="H2214" s="70" t="s">
        <v>178</v>
      </c>
      <c r="I2214" s="70" t="s">
        <v>181</v>
      </c>
      <c r="J2214" s="71">
        <f>IF(OR(I2214=0,I2214=""),"unrated",VLOOKUP(I2214,MappingTables!$B$19:$C$31,2,FALSE))</f>
        <v>3</v>
      </c>
      <c r="K2214" s="72">
        <v>133.32274762337906</v>
      </c>
      <c r="L2214" s="70">
        <v>7.1293709171137344</v>
      </c>
      <c r="M2214" s="71">
        <f>IF(L2214&lt;1,1,L2214)</f>
        <v>7.1293709171137344</v>
      </c>
      <c r="N2214" s="70" t="s">
        <v>141</v>
      </c>
      <c r="O2214" s="71">
        <f>INDEX(DurClassMapping,MATCH(M2214,MappingTables!$D$4:$D$8,-1),1)</f>
        <v>2</v>
      </c>
      <c r="P2214" s="73">
        <f>IF(M2214=$A$1,1,$M2214-INDEX(MappingTables!$E$4:$E$8,MATCH(O2214,MappingTables!$B$4:$B$8,0)))</f>
        <v>2.129370917113734</v>
      </c>
      <c r="Q2214" s="71">
        <f>IF(B2214="",0,INDEX(ModelParameters!$D$6:$K$10,MATCH($O2214,ModelParameters!$B$6:$B$10,0),MATCH($J2214,ModelParameters!$D$5:$K$5,0)))</f>
        <v>0.015</v>
      </c>
      <c r="R2214" s="71">
        <f>IF(B2214="",0,INDEX(ModelParameters!$D$13:$K$17,MATCH($O2214,ModelParameters!$B$13:$B$17,0),MATCH($J2214,ModelParameters!$D$5:$K$5,0)))</f>
        <v>0.125</v>
      </c>
      <c r="S2214" s="160">
        <f>IF(B2214="",0,MIN(IF($N2214="Other Bond TM",ModelParameters!$N$21,1)*(P2214*Q2214+R2214),1))</f>
        <v>0.156940563756706</v>
      </c>
      <c r="T2214" s="85">
        <f>IF(B2214="",0,$S2214*$K2214)</f>
        <v>20.923747173606144</v>
      </c>
      <c r="U2214" s="85">
        <f>IF(B2214="",0,IF(OR(H2214=MappingTables!$C$34,H2214=MappingTables!$C$35),T2214,0))</f>
        <v>0</v>
      </c>
      <c r="V2214" s="85">
        <f>IF(ISNA(IF(AND(VLOOKUP(CONCATENATE($D2214,$G2214),CSRFinput!$B:$E,4,0)=0,OR(H2214=MappingTables!$C$34,H2214=MappingTables!$C$35)),1,VLOOKUP(CONCATENATE($D2214,$G2214),CSRFinput!$B:$E,4,0))),0,IF(AND(VLOOKUP(CONCATENATE($D2214,$G2214),CSRFinput!$B:$E,4,0)=0,OR(H2214=MappingTables!$C$34,H2214=MappingTables!$C$35)),1,VLOOKUP(CONCATENATE($D2214,$G2214),CSRFinput!$B:$E,4,0)))</f>
        <v>0.054776304963434752</v>
      </c>
      <c r="W2214" s="85">
        <f>IF(B2214="",0,+$T2214*$V2214)</f>
        <v>1.1461255561592562</v>
      </c>
      <c r="X2214" s="85">
        <f>IF(B2214="",0,IF(OR(H2214=MappingTables!$C$34,H2214=MappingTables!$C$35),W2214,0))</f>
        <v>0</v>
      </c>
    </row>
    <row r="2215" spans="2:24" s="0" customFormat="0" ht="15">
      <c r="B2215" s="69" t="s">
        <v>1842</v>
      </c>
      <c r="C2215" s="70" t="s">
        <v>1843</v>
      </c>
      <c r="D2215" s="70" t="s">
        <v>1</v>
      </c>
      <c r="E2215" s="70" t="s">
        <v>1</v>
      </c>
      <c r="F2215" s="70"/>
      <c r="G2215" s="70" t="s">
        <v>61</v>
      </c>
      <c r="H2215" s="70" t="s">
        <v>178</v>
      </c>
      <c r="I2215" s="70" t="s">
        <v>188</v>
      </c>
      <c r="J2215" s="71">
        <f>IF(OR(I2215=0,I2215=""),"unrated",VLOOKUP(I2215,MappingTables!$B$19:$C$31,2,FALSE))</f>
        <v>2</v>
      </c>
      <c r="K2215" s="72">
        <v>248.128512958146</v>
      </c>
      <c r="L2215" s="70">
        <v>4.2328291234501816</v>
      </c>
      <c r="M2215" s="71">
        <f>IF(L2215&lt;1,1,L2215)</f>
        <v>4.2328291234501816</v>
      </c>
      <c r="N2215" s="70" t="s">
        <v>141</v>
      </c>
      <c r="O2215" s="71">
        <f>INDEX(DurClassMapping,MATCH(M2215,MappingTables!$D$4:$D$8,-1),1)</f>
        <v>1</v>
      </c>
      <c r="P2215" s="73">
        <f>IF(M2215=$A$1,1,$M2215-INDEX(MappingTables!$E$4:$E$8,MATCH(O2215,MappingTables!$B$4:$B$8,0)))</f>
        <v>4.2328291234501816</v>
      </c>
      <c r="Q2215" s="71">
        <f>IF(B2215="",0,INDEX(ModelParameters!$D$6:$K$10,MATCH($O2215,ModelParameters!$B$6:$B$10,0),MATCH($J2215,ModelParameters!$D$5:$K$5,0)))</f>
        <v>0.013999999999999998</v>
      </c>
      <c r="R2215" s="71">
        <f>IF(B2215="",0,INDEX(ModelParameters!$D$13:$K$17,MATCH($O2215,ModelParameters!$B$13:$B$17,0),MATCH($J2215,ModelParameters!$D$5:$K$5,0)))</f>
        <v>0</v>
      </c>
      <c r="S2215" s="160">
        <f>IF(B2215="",0,MIN(IF($N2215="Other Bond TM",ModelParameters!$N$21,1)*(P2215*Q2215+R2215),1))</f>
        <v>0.059259607728302536</v>
      </c>
      <c r="T2215" s="85">
        <f>IF(B2215="",0,$S2215*$K2215)</f>
        <v>14.703998344106762</v>
      </c>
      <c r="U2215" s="85">
        <f>IF(B2215="",0,IF(OR(H2215=MappingTables!$C$34,H2215=MappingTables!$C$35),T2215,0))</f>
        <v>0</v>
      </c>
      <c r="V2215" s="85">
        <f>IF(ISNA(IF(AND(VLOOKUP(CONCATENATE($D2215,$G2215),CSRFinput!$B:$E,4,0)=0,OR(H2215=MappingTables!$C$34,H2215=MappingTables!$C$35)),1,VLOOKUP(CONCATENATE($D2215,$G2215),CSRFinput!$B:$E,4,0))),0,IF(AND(VLOOKUP(CONCATENATE($D2215,$G2215),CSRFinput!$B:$E,4,0)=0,OR(H2215=MappingTables!$C$34,H2215=MappingTables!$C$35)),1,VLOOKUP(CONCATENATE($D2215,$G2215),CSRFinput!$B:$E,4,0)))</f>
        <v>0.054776304963434752</v>
      </c>
      <c r="W2215" s="85">
        <f>IF(B2215="",0,+$T2215*$V2215)</f>
        <v>0.80543069747863168</v>
      </c>
      <c r="X2215" s="85">
        <f>IF(B2215="",0,IF(OR(H2215=MappingTables!$C$34,H2215=MappingTables!$C$35),W2215,0))</f>
        <v>0</v>
      </c>
    </row>
    <row r="2216" spans="2:24" s="0" customFormat="0" ht="15">
      <c r="B2216" s="69">
        <v>23237422</v>
      </c>
      <c r="C2216" s="70" t="s">
        <v>2273</v>
      </c>
      <c r="D2216" s="70" t="s">
        <v>1</v>
      </c>
      <c r="E2216" s="70" t="s">
        <v>1</v>
      </c>
      <c r="F2216" s="70"/>
      <c r="G2216" s="70" t="s">
        <v>61</v>
      </c>
      <c r="H2216" s="70" t="s">
        <v>178</v>
      </c>
      <c r="I2216" s="70" t="s">
        <v>220</v>
      </c>
      <c r="J2216" s="71">
        <f>IF(OR(I2216=0,I2216=""),"unrated",VLOOKUP(I2216,MappingTables!$B$19:$C$31,2,FALSE))</f>
        <v>1</v>
      </c>
      <c r="K2216" s="72">
        <v>6006.2049285045512</v>
      </c>
      <c r="L2216" s="70">
        <v>0.15616002210380584</v>
      </c>
      <c r="M2216" s="71">
        <f>IF(L2216&lt;1,1,L2216)</f>
        <v>1</v>
      </c>
      <c r="N2216" s="70" t="s">
        <v>141</v>
      </c>
      <c r="O2216" s="71">
        <f>INDEX(DurClassMapping,MATCH(M2216,MappingTables!$D$4:$D$8,-1),1)</f>
        <v>1</v>
      </c>
      <c r="P2216" s="73">
        <f>IF(M2216=$A$1,1,$M2216-INDEX(MappingTables!$E$4:$E$8,MATCH(O2216,MappingTables!$B$4:$B$8,0)))</f>
        <v>1</v>
      </c>
      <c r="Q2216" s="71">
        <f>IF(B2216="",0,INDEX(ModelParameters!$D$6:$K$10,MATCH($O2216,ModelParameters!$B$6:$B$10,0),MATCH($J2216,ModelParameters!$D$5:$K$5,0)))</f>
        <v>0.011000000000000002</v>
      </c>
      <c r="R2216" s="71">
        <f>IF(B2216="",0,INDEX(ModelParameters!$D$13:$K$17,MATCH($O2216,ModelParameters!$B$13:$B$17,0),MATCH($J2216,ModelParameters!$D$5:$K$5,0)))</f>
        <v>0</v>
      </c>
      <c r="S2216" s="160">
        <f>IF(B2216="",0,MIN(IF($N2216="Other Bond TM",ModelParameters!$N$21,1)*(P2216*Q2216+R2216),1))</f>
        <v>0.011000000000000002</v>
      </c>
      <c r="T2216" s="85">
        <f>IF(B2216="",0,$S2216*$K2216)</f>
        <v>66.06825421355008</v>
      </c>
      <c r="U2216" s="85">
        <f>IF(B2216="",0,IF(OR(H2216=MappingTables!$C$34,H2216=MappingTables!$C$35),T2216,0))</f>
        <v>0</v>
      </c>
      <c r="V2216" s="85">
        <f>IF(ISNA(IF(AND(VLOOKUP(CONCATENATE($D2216,$G2216),CSRFinput!$B:$E,4,0)=0,OR(H2216=MappingTables!$C$34,H2216=MappingTables!$C$35)),1,VLOOKUP(CONCATENATE($D2216,$G2216),CSRFinput!$B:$E,4,0))),0,IF(AND(VLOOKUP(CONCATENATE($D2216,$G2216),CSRFinput!$B:$E,4,0)=0,OR(H2216=MappingTables!$C$34,H2216=MappingTables!$C$35)),1,VLOOKUP(CONCATENATE($D2216,$G2216),CSRFinput!$B:$E,4,0)))</f>
        <v>0.054776304963434752</v>
      </c>
      <c r="W2216" s="85">
        <f>IF(B2216="",0,+$T2216*$V2216)</f>
        <v>3.618974841203152</v>
      </c>
      <c r="X2216" s="85">
        <f>IF(B2216="",0,IF(OR(H2216=MappingTables!$C$34,H2216=MappingTables!$C$35),W2216,0))</f>
        <v>0</v>
      </c>
    </row>
    <row r="2217" spans="2:24" s="0" customFormat="0" ht="15">
      <c r="B2217" s="69">
        <v>20925605</v>
      </c>
      <c r="C2217" s="70" t="s">
        <v>2274</v>
      </c>
      <c r="D2217" s="70" t="s">
        <v>1</v>
      </c>
      <c r="E2217" s="70" t="s">
        <v>1</v>
      </c>
      <c r="F2217" s="70"/>
      <c r="G2217" s="70" t="s">
        <v>61</v>
      </c>
      <c r="H2217" s="70" t="s">
        <v>178</v>
      </c>
      <c r="I2217" s="70" t="s">
        <v>188</v>
      </c>
      <c r="J2217" s="71">
        <f>IF(OR(I2217=0,I2217=""),"unrated",VLOOKUP(I2217,MappingTables!$B$19:$C$31,2,FALSE))</f>
        <v>2</v>
      </c>
      <c r="K2217" s="72">
        <v>216.8713637521234</v>
      </c>
      <c r="L2217" s="70">
        <v>0.70357696910908096</v>
      </c>
      <c r="M2217" s="71">
        <f>IF(L2217&lt;1,1,L2217)</f>
        <v>1</v>
      </c>
      <c r="N2217" s="70" t="s">
        <v>141</v>
      </c>
      <c r="O2217" s="71">
        <f>INDEX(DurClassMapping,MATCH(M2217,MappingTables!$D$4:$D$8,-1),1)</f>
        <v>1</v>
      </c>
      <c r="P2217" s="73">
        <f>IF(M2217=$A$1,1,$M2217-INDEX(MappingTables!$E$4:$E$8,MATCH(O2217,MappingTables!$B$4:$B$8,0)))</f>
        <v>1</v>
      </c>
      <c r="Q2217" s="71">
        <f>IF(B2217="",0,INDEX(ModelParameters!$D$6:$K$10,MATCH($O2217,ModelParameters!$B$6:$B$10,0),MATCH($J2217,ModelParameters!$D$5:$K$5,0)))</f>
        <v>0.013999999999999998</v>
      </c>
      <c r="R2217" s="71">
        <f>IF(B2217="",0,INDEX(ModelParameters!$D$13:$K$17,MATCH($O2217,ModelParameters!$B$13:$B$17,0),MATCH($J2217,ModelParameters!$D$5:$K$5,0)))</f>
        <v>0</v>
      </c>
      <c r="S2217" s="160">
        <f>IF(B2217="",0,MIN(IF($N2217="Other Bond TM",ModelParameters!$N$21,1)*(P2217*Q2217+R2217),1))</f>
        <v>0.013999999999999998</v>
      </c>
      <c r="T2217" s="85">
        <f>IF(B2217="",0,$S2217*$K2217)</f>
        <v>3.0361990925297272</v>
      </c>
      <c r="U2217" s="85">
        <f>IF(B2217="",0,IF(OR(H2217=MappingTables!$C$34,H2217=MappingTables!$C$35),T2217,0))</f>
        <v>0</v>
      </c>
      <c r="V2217" s="85">
        <f>IF(ISNA(IF(AND(VLOOKUP(CONCATENATE($D2217,$G2217),CSRFinput!$B:$E,4,0)=0,OR(H2217=MappingTables!$C$34,H2217=MappingTables!$C$35)),1,VLOOKUP(CONCATENATE($D2217,$G2217),CSRFinput!$B:$E,4,0))),0,IF(AND(VLOOKUP(CONCATENATE($D2217,$G2217),CSRFinput!$B:$E,4,0)=0,OR(H2217=MappingTables!$C$34,H2217=MappingTables!$C$35)),1,VLOOKUP(CONCATENATE($D2217,$G2217),CSRFinput!$B:$E,4,0)))</f>
        <v>0.054776304963434752</v>
      </c>
      <c r="W2217" s="85">
        <f>IF(B2217="",0,+$T2217*$V2217)</f>
        <v>0.1663117674221122</v>
      </c>
      <c r="X2217" s="85">
        <f>IF(B2217="",0,IF(OR(H2217=MappingTables!$C$34,H2217=MappingTables!$C$35),W2217,0))</f>
        <v>0</v>
      </c>
    </row>
    <row r="2218" spans="2:24" s="0" customFormat="0" ht="15">
      <c r="B2218" s="69">
        <v>8950596</v>
      </c>
      <c r="C2218" s="70" t="s">
        <v>1998</v>
      </c>
      <c r="D2218" s="70" t="s">
        <v>1</v>
      </c>
      <c r="E2218" s="70" t="s">
        <v>1</v>
      </c>
      <c r="F2218" s="70"/>
      <c r="G2218" s="70" t="s">
        <v>61</v>
      </c>
      <c r="H2218" s="70" t="s">
        <v>178</v>
      </c>
      <c r="I2218" s="70" t="s">
        <v>181</v>
      </c>
      <c r="J2218" s="71">
        <f>IF(OR(I2218=0,I2218=""),"unrated",VLOOKUP(I2218,MappingTables!$B$19:$C$31,2,FALSE))</f>
        <v>3</v>
      </c>
      <c r="K2218" s="72">
        <v>5714.181373863628</v>
      </c>
      <c r="L2218" s="70">
        <v>0.73960022183926192</v>
      </c>
      <c r="M2218" s="71">
        <f>IF(L2218&lt;1,1,L2218)</f>
        <v>1</v>
      </c>
      <c r="N2218" s="70" t="s">
        <v>141</v>
      </c>
      <c r="O2218" s="71">
        <f>INDEX(DurClassMapping,MATCH(M2218,MappingTables!$D$4:$D$8,-1),1)</f>
        <v>1</v>
      </c>
      <c r="P2218" s="73">
        <f>IF(M2218=$A$1,1,$M2218-INDEX(MappingTables!$E$4:$E$8,MATCH(O2218,MappingTables!$B$4:$B$8,0)))</f>
        <v>1</v>
      </c>
      <c r="Q2218" s="71">
        <f>IF(B2218="",0,INDEX(ModelParameters!$D$6:$K$10,MATCH($O2218,ModelParameters!$B$6:$B$10,0),MATCH($J2218,ModelParameters!$D$5:$K$5,0)))</f>
        <v>0.025</v>
      </c>
      <c r="R2218" s="71">
        <f>IF(B2218="",0,INDEX(ModelParameters!$D$13:$K$17,MATCH($O2218,ModelParameters!$B$13:$B$17,0),MATCH($J2218,ModelParameters!$D$5:$K$5,0)))</f>
        <v>0</v>
      </c>
      <c r="S2218" s="160">
        <f>IF(B2218="",0,MIN(IF($N2218="Other Bond TM",ModelParameters!$N$21,1)*(P2218*Q2218+R2218),1))</f>
        <v>0.025</v>
      </c>
      <c r="T2218" s="85">
        <f>IF(B2218="",0,$S2218*$K2218)</f>
        <v>142.85453434659072</v>
      </c>
      <c r="U2218" s="85">
        <f>IF(B2218="",0,IF(OR(H2218=MappingTables!$C$34,H2218=MappingTables!$C$35),T2218,0))</f>
        <v>0</v>
      </c>
      <c r="V2218" s="85">
        <f>IF(ISNA(IF(AND(VLOOKUP(CONCATENATE($D2218,$G2218),CSRFinput!$B:$E,4,0)=0,OR(H2218=MappingTables!$C$34,H2218=MappingTables!$C$35)),1,VLOOKUP(CONCATENATE($D2218,$G2218),CSRFinput!$B:$E,4,0))),0,IF(AND(VLOOKUP(CONCATENATE($D2218,$G2218),CSRFinput!$B:$E,4,0)=0,OR(H2218=MappingTables!$C$34,H2218=MappingTables!$C$35)),1,VLOOKUP(CONCATENATE($D2218,$G2218),CSRFinput!$B:$E,4,0)))</f>
        <v>0.054776304963434752</v>
      </c>
      <c r="W2218" s="85">
        <f>IF(B2218="",0,+$T2218*$V2218)</f>
        <v>7.8250435387783184</v>
      </c>
      <c r="X2218" s="85">
        <f>IF(B2218="",0,IF(OR(H2218=MappingTables!$C$34,H2218=MappingTables!$C$35),W2218,0))</f>
        <v>0</v>
      </c>
    </row>
    <row r="2219" spans="2:24" s="0" customFormat="0" ht="15">
      <c r="B2219" s="69">
        <v>8791617</v>
      </c>
      <c r="C2219" s="70" t="s">
        <v>496</v>
      </c>
      <c r="D2219" s="70" t="s">
        <v>1</v>
      </c>
      <c r="E2219" s="70" t="s">
        <v>1</v>
      </c>
      <c r="F2219" s="70"/>
      <c r="G2219" s="70" t="s">
        <v>61</v>
      </c>
      <c r="H2219" s="70" t="s">
        <v>178</v>
      </c>
      <c r="I2219" s="70" t="s">
        <v>181</v>
      </c>
      <c r="J2219" s="71">
        <f>IF(OR(I2219=0,I2219=""),"unrated",VLOOKUP(I2219,MappingTables!$B$19:$C$31,2,FALSE))</f>
        <v>3</v>
      </c>
      <c r="K2219" s="72">
        <v>0.976954026306804</v>
      </c>
      <c r="L2219" s="70">
        <v>0.65205852820440872</v>
      </c>
      <c r="M2219" s="71">
        <f>IF(L2219&lt;1,1,L2219)</f>
        <v>1</v>
      </c>
      <c r="N2219" s="70" t="s">
        <v>141</v>
      </c>
      <c r="O2219" s="71">
        <f>INDEX(DurClassMapping,MATCH(M2219,MappingTables!$D$4:$D$8,-1),1)</f>
        <v>1</v>
      </c>
      <c r="P2219" s="73">
        <f>IF(M2219=$A$1,1,$M2219-INDEX(MappingTables!$E$4:$E$8,MATCH(O2219,MappingTables!$B$4:$B$8,0)))</f>
        <v>1</v>
      </c>
      <c r="Q2219" s="71">
        <f>IF(B2219="",0,INDEX(ModelParameters!$D$6:$K$10,MATCH($O2219,ModelParameters!$B$6:$B$10,0),MATCH($J2219,ModelParameters!$D$5:$K$5,0)))</f>
        <v>0.025</v>
      </c>
      <c r="R2219" s="71">
        <f>IF(B2219="",0,INDEX(ModelParameters!$D$13:$K$17,MATCH($O2219,ModelParameters!$B$13:$B$17,0),MATCH($J2219,ModelParameters!$D$5:$K$5,0)))</f>
        <v>0</v>
      </c>
      <c r="S2219" s="160">
        <f>IF(B2219="",0,MIN(IF($N2219="Other Bond TM",ModelParameters!$N$21,1)*(P2219*Q2219+R2219),1))</f>
        <v>0.025</v>
      </c>
      <c r="T2219" s="85">
        <f>IF(B2219="",0,$S2219*$K2219)</f>
        <v>0.0244238506576701</v>
      </c>
      <c r="U2219" s="85">
        <f>IF(B2219="",0,IF(OR(H2219=MappingTables!$C$34,H2219=MappingTables!$C$35),T2219,0))</f>
        <v>0</v>
      </c>
      <c r="V2219" s="85">
        <f>IF(ISNA(IF(AND(VLOOKUP(CONCATENATE($D2219,$G2219),CSRFinput!$B:$E,4,0)=0,OR(H2219=MappingTables!$C$34,H2219=MappingTables!$C$35)),1,VLOOKUP(CONCATENATE($D2219,$G2219),CSRFinput!$B:$E,4,0))),0,IF(AND(VLOOKUP(CONCATENATE($D2219,$G2219),CSRFinput!$B:$E,4,0)=0,OR(H2219=MappingTables!$C$34,H2219=MappingTables!$C$35)),1,VLOOKUP(CONCATENATE($D2219,$G2219),CSRFinput!$B:$E,4,0)))</f>
        <v>0.054776304963434752</v>
      </c>
      <c r="W2219" s="85">
        <f>IF(B2219="",0,+$T2219*$V2219)</f>
        <v>0.0013378482920059238</v>
      </c>
      <c r="X2219" s="85">
        <f>IF(B2219="",0,IF(OR(H2219=MappingTables!$C$34,H2219=MappingTables!$C$35),W2219,0))</f>
        <v>0</v>
      </c>
    </row>
    <row r="2220" spans="2:24" s="0" customFormat="0" ht="15">
      <c r="B2220" s="69">
        <v>11813146</v>
      </c>
      <c r="C2220" s="70" t="s">
        <v>2275</v>
      </c>
      <c r="D2220" s="70" t="s">
        <v>1</v>
      </c>
      <c r="E2220" s="70" t="s">
        <v>1</v>
      </c>
      <c r="F2220" s="70"/>
      <c r="G2220" s="70" t="s">
        <v>61</v>
      </c>
      <c r="H2220" s="70" t="s">
        <v>178</v>
      </c>
      <c r="I2220" s="70" t="s">
        <v>181</v>
      </c>
      <c r="J2220" s="71">
        <f>IF(OR(I2220=0,I2220=""),"unrated",VLOOKUP(I2220,MappingTables!$B$19:$C$31,2,FALSE))</f>
        <v>3</v>
      </c>
      <c r="K2220" s="72">
        <v>915.63987426821728</v>
      </c>
      <c r="L2220" s="70">
        <v>4.8025601511786864</v>
      </c>
      <c r="M2220" s="71">
        <f>IF(L2220&lt;1,1,L2220)</f>
        <v>4.8025601511786864</v>
      </c>
      <c r="N2220" s="70" t="s">
        <v>141</v>
      </c>
      <c r="O2220" s="71">
        <f>INDEX(DurClassMapping,MATCH(M2220,MappingTables!$D$4:$D$8,-1),1)</f>
        <v>1</v>
      </c>
      <c r="P2220" s="73">
        <f>IF(M2220=$A$1,1,$M2220-INDEX(MappingTables!$E$4:$E$8,MATCH(O2220,MappingTables!$B$4:$B$8,0)))</f>
        <v>4.8025601511786864</v>
      </c>
      <c r="Q2220" s="71">
        <f>IF(B2220="",0,INDEX(ModelParameters!$D$6:$K$10,MATCH($O2220,ModelParameters!$B$6:$B$10,0),MATCH($J2220,ModelParameters!$D$5:$K$5,0)))</f>
        <v>0.025</v>
      </c>
      <c r="R2220" s="71">
        <f>IF(B2220="",0,INDEX(ModelParameters!$D$13:$K$17,MATCH($O2220,ModelParameters!$B$13:$B$17,0),MATCH($J2220,ModelParameters!$D$5:$K$5,0)))</f>
        <v>0</v>
      </c>
      <c r="S2220" s="160">
        <f>IF(B2220="",0,MIN(IF($N2220="Other Bond TM",ModelParameters!$N$21,1)*(P2220*Q2220+R2220),1))</f>
        <v>0.12006400377946716</v>
      </c>
      <c r="T2220" s="85">
        <f>IF(B2220="",0,$S2220*$K2220)</f>
        <v>109.93538932477008</v>
      </c>
      <c r="U2220" s="85">
        <f>IF(B2220="",0,IF(OR(H2220=MappingTables!$C$34,H2220=MappingTables!$C$35),T2220,0))</f>
        <v>0</v>
      </c>
      <c r="V2220" s="85">
        <f>IF(ISNA(IF(AND(VLOOKUP(CONCATENATE($D2220,$G2220),CSRFinput!$B:$E,4,0)=0,OR(H2220=MappingTables!$C$34,H2220=MappingTables!$C$35)),1,VLOOKUP(CONCATENATE($D2220,$G2220),CSRFinput!$B:$E,4,0))),0,IF(AND(VLOOKUP(CONCATENATE($D2220,$G2220),CSRFinput!$B:$E,4,0)=0,OR(H2220=MappingTables!$C$34,H2220=MappingTables!$C$35)),1,VLOOKUP(CONCATENATE($D2220,$G2220),CSRFinput!$B:$E,4,0)))</f>
        <v>0.054776304963434752</v>
      </c>
      <c r="W2220" s="85">
        <f>IF(B2220="",0,+$T2220*$V2220)</f>
        <v>6.021854411927536</v>
      </c>
      <c r="X2220" s="85">
        <f>IF(B2220="",0,IF(OR(H2220=MappingTables!$C$34,H2220=MappingTables!$C$35),W2220,0))</f>
        <v>0</v>
      </c>
    </row>
    <row r="2221" spans="2:24" s="0" customFormat="0" ht="15">
      <c r="B2221" s="69">
        <v>12137995</v>
      </c>
      <c r="C2221" s="70" t="s">
        <v>1961</v>
      </c>
      <c r="D2221" s="70" t="s">
        <v>1</v>
      </c>
      <c r="E2221" s="70" t="s">
        <v>1</v>
      </c>
      <c r="F2221" s="70"/>
      <c r="G2221" s="70" t="s">
        <v>61</v>
      </c>
      <c r="H2221" s="70" t="s">
        <v>178</v>
      </c>
      <c r="I2221" s="70" t="s">
        <v>188</v>
      </c>
      <c r="J2221" s="71">
        <f>IF(OR(I2221=0,I2221=""),"unrated",VLOOKUP(I2221,MappingTables!$B$19:$C$31,2,FALSE))</f>
        <v>2</v>
      </c>
      <c r="K2221" s="72">
        <v>30.122827387765788</v>
      </c>
      <c r="L2221" s="70">
        <v>0.99130069903394176</v>
      </c>
      <c r="M2221" s="71">
        <f>IF(L2221&lt;1,1,L2221)</f>
        <v>1</v>
      </c>
      <c r="N2221" s="70" t="s">
        <v>141</v>
      </c>
      <c r="O2221" s="71">
        <f>INDEX(DurClassMapping,MATCH(M2221,MappingTables!$D$4:$D$8,-1),1)</f>
        <v>1</v>
      </c>
      <c r="P2221" s="73">
        <f>IF(M2221=$A$1,1,$M2221-INDEX(MappingTables!$E$4:$E$8,MATCH(O2221,MappingTables!$B$4:$B$8,0)))</f>
        <v>1</v>
      </c>
      <c r="Q2221" s="71">
        <f>IF(B2221="",0,INDEX(ModelParameters!$D$6:$K$10,MATCH($O2221,ModelParameters!$B$6:$B$10,0),MATCH($J2221,ModelParameters!$D$5:$K$5,0)))</f>
        <v>0.013999999999999998</v>
      </c>
      <c r="R2221" s="71">
        <f>IF(B2221="",0,INDEX(ModelParameters!$D$13:$K$17,MATCH($O2221,ModelParameters!$B$13:$B$17,0),MATCH($J2221,ModelParameters!$D$5:$K$5,0)))</f>
        <v>0</v>
      </c>
      <c r="S2221" s="160">
        <f>IF(B2221="",0,MIN(IF($N2221="Other Bond TM",ModelParameters!$N$21,1)*(P2221*Q2221+R2221),1))</f>
        <v>0.013999999999999998</v>
      </c>
      <c r="T2221" s="85">
        <f>IF(B2221="",0,$S2221*$K2221)</f>
        <v>0.42171958342872104</v>
      </c>
      <c r="U2221" s="85">
        <f>IF(B2221="",0,IF(OR(H2221=MappingTables!$C$34,H2221=MappingTables!$C$35),T2221,0))</f>
        <v>0</v>
      </c>
      <c r="V2221" s="85">
        <f>IF(ISNA(IF(AND(VLOOKUP(CONCATENATE($D2221,$G2221),CSRFinput!$B:$E,4,0)=0,OR(H2221=MappingTables!$C$34,H2221=MappingTables!$C$35)),1,VLOOKUP(CONCATENATE($D2221,$G2221),CSRFinput!$B:$E,4,0))),0,IF(AND(VLOOKUP(CONCATENATE($D2221,$G2221),CSRFinput!$B:$E,4,0)=0,OR(H2221=MappingTables!$C$34,H2221=MappingTables!$C$35)),1,VLOOKUP(CONCATENATE($D2221,$G2221),CSRFinput!$B:$E,4,0)))</f>
        <v>0.054776304963434752</v>
      </c>
      <c r="W2221" s="85">
        <f>IF(B2221="",0,+$T2221*$V2221)</f>
        <v>0.023100240510944288</v>
      </c>
      <c r="X2221" s="85">
        <f>IF(B2221="",0,IF(OR(H2221=MappingTables!$C$34,H2221=MappingTables!$C$35),W2221,0))</f>
        <v>0</v>
      </c>
    </row>
    <row r="2222" spans="2:24" s="0" customFormat="0" ht="15">
      <c r="B2222" s="69">
        <v>19812328</v>
      </c>
      <c r="C2222" s="70" t="s">
        <v>2137</v>
      </c>
      <c r="D2222" s="70" t="s">
        <v>1</v>
      </c>
      <c r="E2222" s="70" t="s">
        <v>1</v>
      </c>
      <c r="F2222" s="70"/>
      <c r="G2222" s="70" t="s">
        <v>61</v>
      </c>
      <c r="H2222" s="70" t="s">
        <v>178</v>
      </c>
      <c r="I2222" s="70" t="s">
        <v>184</v>
      </c>
      <c r="J2222" s="71">
        <f>IF(OR(I2222=0,I2222=""),"unrated",VLOOKUP(I2222,MappingTables!$B$19:$C$31,2,FALSE))</f>
        <v>5</v>
      </c>
      <c r="K2222" s="72">
        <v>226.23029210174168</v>
      </c>
      <c r="L2222" s="70">
        <v>0.3917841100975256</v>
      </c>
      <c r="M2222" s="71">
        <f>IF(L2222&lt;1,1,L2222)</f>
        <v>1</v>
      </c>
      <c r="N2222" s="70" t="s">
        <v>141</v>
      </c>
      <c r="O2222" s="71">
        <f>INDEX(DurClassMapping,MATCH(M2222,MappingTables!$D$4:$D$8,-1),1)</f>
        <v>1</v>
      </c>
      <c r="P2222" s="73">
        <f>IF(M2222=$A$1,1,$M2222-INDEX(MappingTables!$E$4:$E$8,MATCH(O2222,MappingTables!$B$4:$B$8,0)))</f>
        <v>1</v>
      </c>
      <c r="Q2222" s="71">
        <f>IF(B2222="",0,INDEX(ModelParameters!$D$6:$K$10,MATCH($O2222,ModelParameters!$B$6:$B$10,0),MATCH($J2222,ModelParameters!$D$5:$K$5,0)))</f>
        <v>0.075</v>
      </c>
      <c r="R2222" s="71">
        <f>IF(B2222="",0,INDEX(ModelParameters!$D$13:$K$17,MATCH($O2222,ModelParameters!$B$13:$B$17,0),MATCH($J2222,ModelParameters!$D$5:$K$5,0)))</f>
        <v>0</v>
      </c>
      <c r="S2222" s="160">
        <f>IF(B2222="",0,MIN(IF($N2222="Other Bond TM",ModelParameters!$N$21,1)*(P2222*Q2222+R2222),1))</f>
        <v>0.075</v>
      </c>
      <c r="T2222" s="85">
        <f>IF(B2222="",0,$S2222*$K2222)</f>
        <v>16.967271907630626</v>
      </c>
      <c r="U2222" s="85">
        <f>IF(B2222="",0,IF(OR(H2222=MappingTables!$C$34,H2222=MappingTables!$C$35),T2222,0))</f>
        <v>0</v>
      </c>
      <c r="V2222" s="85">
        <f>IF(ISNA(IF(AND(VLOOKUP(CONCATENATE($D2222,$G2222),CSRFinput!$B:$E,4,0)=0,OR(H2222=MappingTables!$C$34,H2222=MappingTables!$C$35)),1,VLOOKUP(CONCATENATE($D2222,$G2222),CSRFinput!$B:$E,4,0))),0,IF(AND(VLOOKUP(CONCATENATE($D2222,$G2222),CSRFinput!$B:$E,4,0)=0,OR(H2222=MappingTables!$C$34,H2222=MappingTables!$C$35)),1,VLOOKUP(CONCATENATE($D2222,$G2222),CSRFinput!$B:$E,4,0)))</f>
        <v>0.054776304963434752</v>
      </c>
      <c r="W2222" s="85">
        <f>IF(B2222="",0,+$T2222*$V2222)</f>
        <v>0.9294044604098944</v>
      </c>
      <c r="X2222" s="85">
        <f>IF(B2222="",0,IF(OR(H2222=MappingTables!$C$34,H2222=MappingTables!$C$35),W2222,0))</f>
        <v>0</v>
      </c>
    </row>
    <row r="2223" spans="2:24" s="0" customFormat="0" ht="15">
      <c r="B2223" s="69">
        <v>12777384</v>
      </c>
      <c r="C2223" s="70" t="s">
        <v>2276</v>
      </c>
      <c r="D2223" s="70" t="s">
        <v>1</v>
      </c>
      <c r="E2223" s="70" t="s">
        <v>1</v>
      </c>
      <c r="F2223" s="70"/>
      <c r="G2223" s="70" t="s">
        <v>61</v>
      </c>
      <c r="H2223" s="70" t="s">
        <v>178</v>
      </c>
      <c r="I2223" s="70" t="s">
        <v>188</v>
      </c>
      <c r="J2223" s="71">
        <f>IF(OR(I2223=0,I2223=""),"unrated",VLOOKUP(I2223,MappingTables!$B$19:$C$31,2,FALSE))</f>
        <v>2</v>
      </c>
      <c r="K2223" s="72">
        <v>6583.6016043153784</v>
      </c>
      <c r="L2223" s="70">
        <v>0.81314098887584448</v>
      </c>
      <c r="M2223" s="71">
        <f>IF(L2223&lt;1,1,L2223)</f>
        <v>1</v>
      </c>
      <c r="N2223" s="70" t="s">
        <v>141</v>
      </c>
      <c r="O2223" s="71">
        <f>INDEX(DurClassMapping,MATCH(M2223,MappingTables!$D$4:$D$8,-1),1)</f>
        <v>1</v>
      </c>
      <c r="P2223" s="73">
        <f>IF(M2223=$A$1,1,$M2223-INDEX(MappingTables!$E$4:$E$8,MATCH(O2223,MappingTables!$B$4:$B$8,0)))</f>
        <v>1</v>
      </c>
      <c r="Q2223" s="71">
        <f>IF(B2223="",0,INDEX(ModelParameters!$D$6:$K$10,MATCH($O2223,ModelParameters!$B$6:$B$10,0),MATCH($J2223,ModelParameters!$D$5:$K$5,0)))</f>
        <v>0.013999999999999998</v>
      </c>
      <c r="R2223" s="71">
        <f>IF(B2223="",0,INDEX(ModelParameters!$D$13:$K$17,MATCH($O2223,ModelParameters!$B$13:$B$17,0),MATCH($J2223,ModelParameters!$D$5:$K$5,0)))</f>
        <v>0</v>
      </c>
      <c r="S2223" s="160">
        <f>IF(B2223="",0,MIN(IF($N2223="Other Bond TM",ModelParameters!$N$21,1)*(P2223*Q2223+R2223),1))</f>
        <v>0.013999999999999998</v>
      </c>
      <c r="T2223" s="85">
        <f>IF(B2223="",0,$S2223*$K2223)</f>
        <v>92.170422460415296</v>
      </c>
      <c r="U2223" s="85">
        <f>IF(B2223="",0,IF(OR(H2223=MappingTables!$C$34,H2223=MappingTables!$C$35),T2223,0))</f>
        <v>0</v>
      </c>
      <c r="V2223" s="85">
        <f>IF(ISNA(IF(AND(VLOOKUP(CONCATENATE($D2223,$G2223),CSRFinput!$B:$E,4,0)=0,OR(H2223=MappingTables!$C$34,H2223=MappingTables!$C$35)),1,VLOOKUP(CONCATENATE($D2223,$G2223),CSRFinput!$B:$E,4,0))),0,IF(AND(VLOOKUP(CONCATENATE($D2223,$G2223),CSRFinput!$B:$E,4,0)=0,OR(H2223=MappingTables!$C$34,H2223=MappingTables!$C$35)),1,VLOOKUP(CONCATENATE($D2223,$G2223),CSRFinput!$B:$E,4,0)))</f>
        <v>0.054776304963434752</v>
      </c>
      <c r="W2223" s="85">
        <f>IF(B2223="",0,+$T2223*$V2223)</f>
        <v>5.0487551693003248</v>
      </c>
      <c r="X2223" s="85">
        <f>IF(B2223="",0,IF(OR(H2223=MappingTables!$C$34,H2223=MappingTables!$C$35),W2223,0))</f>
        <v>0</v>
      </c>
    </row>
    <row r="2224" spans="2:24" s="0" customFormat="0" ht="15">
      <c r="B2224" s="69" t="s">
        <v>2277</v>
      </c>
      <c r="C2224" s="70" t="s">
        <v>2278</v>
      </c>
      <c r="D2224" s="70" t="s">
        <v>1</v>
      </c>
      <c r="E2224" s="70" t="s">
        <v>1</v>
      </c>
      <c r="F2224" s="70"/>
      <c r="G2224" s="70" t="s">
        <v>61</v>
      </c>
      <c r="H2224" s="70" t="s">
        <v>178</v>
      </c>
      <c r="I2224" s="70" t="s">
        <v>181</v>
      </c>
      <c r="J2224" s="71">
        <f>IF(OR(I2224=0,I2224=""),"unrated",VLOOKUP(I2224,MappingTables!$B$19:$C$31,2,FALSE))</f>
        <v>3</v>
      </c>
      <c r="K2224" s="72">
        <v>5.2329792984784568</v>
      </c>
      <c r="L2224" s="70">
        <v>1.7787680265654284</v>
      </c>
      <c r="M2224" s="71">
        <f>IF(L2224&lt;1,1,L2224)</f>
        <v>1.7787680265654284</v>
      </c>
      <c r="N2224" s="70" t="s">
        <v>141</v>
      </c>
      <c r="O2224" s="71">
        <f>INDEX(DurClassMapping,MATCH(M2224,MappingTables!$D$4:$D$8,-1),1)</f>
        <v>1</v>
      </c>
      <c r="P2224" s="73">
        <f>IF(M2224=$A$1,1,$M2224-INDEX(MappingTables!$E$4:$E$8,MATCH(O2224,MappingTables!$B$4:$B$8,0)))</f>
        <v>1.7787680265654284</v>
      </c>
      <c r="Q2224" s="71">
        <f>IF(B2224="",0,INDEX(ModelParameters!$D$6:$K$10,MATCH($O2224,ModelParameters!$B$6:$B$10,0),MATCH($J2224,ModelParameters!$D$5:$K$5,0)))</f>
        <v>0.025</v>
      </c>
      <c r="R2224" s="71">
        <f>IF(B2224="",0,INDEX(ModelParameters!$D$13:$K$17,MATCH($O2224,ModelParameters!$B$13:$B$17,0),MATCH($J2224,ModelParameters!$D$5:$K$5,0)))</f>
        <v>0</v>
      </c>
      <c r="S2224" s="160">
        <f>IF(B2224="",0,MIN(IF($N2224="Other Bond TM",ModelParameters!$N$21,1)*(P2224*Q2224+R2224),1))</f>
        <v>0.044469200664135712</v>
      </c>
      <c r="T2224" s="85">
        <f>IF(B2224="",0,$S2224*$K2224)</f>
        <v>0.2327064064953066</v>
      </c>
      <c r="U2224" s="85">
        <f>IF(B2224="",0,IF(OR(H2224=MappingTables!$C$34,H2224=MappingTables!$C$35),T2224,0))</f>
        <v>0</v>
      </c>
      <c r="V2224" s="85">
        <f>IF(ISNA(IF(AND(VLOOKUP(CONCATENATE($D2224,$G2224),CSRFinput!$B:$E,4,0)=0,OR(H2224=MappingTables!$C$34,H2224=MappingTables!$C$35)),1,VLOOKUP(CONCATENATE($D2224,$G2224),CSRFinput!$B:$E,4,0))),0,IF(AND(VLOOKUP(CONCATENATE($D2224,$G2224),CSRFinput!$B:$E,4,0)=0,OR(H2224=MappingTables!$C$34,H2224=MappingTables!$C$35)),1,VLOOKUP(CONCATENATE($D2224,$G2224),CSRFinput!$B:$E,4,0)))</f>
        <v>0.054776304963434752</v>
      </c>
      <c r="W2224" s="85">
        <f>IF(B2224="",0,+$T2224*$V2224)</f>
        <v>0.012746797089131928</v>
      </c>
      <c r="X2224" s="85">
        <f>IF(B2224="",0,IF(OR(H2224=MappingTables!$C$34,H2224=MappingTables!$C$35),W2224,0))</f>
        <v>0</v>
      </c>
    </row>
    <row r="2225" spans="2:24" s="0" customFormat="0" ht="15">
      <c r="B2225" s="69">
        <v>19657742</v>
      </c>
      <c r="C2225" s="70" t="s">
        <v>2279</v>
      </c>
      <c r="D2225" s="70" t="s">
        <v>1</v>
      </c>
      <c r="E2225" s="70" t="s">
        <v>1</v>
      </c>
      <c r="F2225" s="70"/>
      <c r="G2225" s="70" t="s">
        <v>61</v>
      </c>
      <c r="H2225" s="70" t="s">
        <v>178</v>
      </c>
      <c r="I2225" s="70" t="s">
        <v>184</v>
      </c>
      <c r="J2225" s="71">
        <f>IF(OR(I2225=0,I2225=""),"unrated",VLOOKUP(I2225,MappingTables!$B$19:$C$31,2,FALSE))</f>
        <v>5</v>
      </c>
      <c r="K2225" s="72">
        <v>607.51746816975568</v>
      </c>
      <c r="L2225" s="70">
        <v>1.3507518639573764</v>
      </c>
      <c r="M2225" s="71">
        <f>IF(L2225&lt;1,1,L2225)</f>
        <v>1.3507518639573764</v>
      </c>
      <c r="N2225" s="70" t="s">
        <v>141</v>
      </c>
      <c r="O2225" s="71">
        <f>INDEX(DurClassMapping,MATCH(M2225,MappingTables!$D$4:$D$8,-1),1)</f>
        <v>1</v>
      </c>
      <c r="P2225" s="73">
        <f>IF(M2225=$A$1,1,$M2225-INDEX(MappingTables!$E$4:$E$8,MATCH(O2225,MappingTables!$B$4:$B$8,0)))</f>
        <v>1.3507518639573764</v>
      </c>
      <c r="Q2225" s="71">
        <f>IF(B2225="",0,INDEX(ModelParameters!$D$6:$K$10,MATCH($O2225,ModelParameters!$B$6:$B$10,0),MATCH($J2225,ModelParameters!$D$5:$K$5,0)))</f>
        <v>0.075</v>
      </c>
      <c r="R2225" s="71">
        <f>IF(B2225="",0,INDEX(ModelParameters!$D$13:$K$17,MATCH($O2225,ModelParameters!$B$13:$B$17,0),MATCH($J2225,ModelParameters!$D$5:$K$5,0)))</f>
        <v>0</v>
      </c>
      <c r="S2225" s="160">
        <f>IF(B2225="",0,MIN(IF($N2225="Other Bond TM",ModelParameters!$N$21,1)*(P2225*Q2225+R2225),1))</f>
        <v>0.10130638979680322</v>
      </c>
      <c r="T2225" s="85">
        <f>IF(B2225="",0,$S2225*$K2225)</f>
        <v>61.545401438772264</v>
      </c>
      <c r="U2225" s="85">
        <f>IF(B2225="",0,IF(OR(H2225=MappingTables!$C$34,H2225=MappingTables!$C$35),T2225,0))</f>
        <v>0</v>
      </c>
      <c r="V2225" s="85">
        <f>IF(ISNA(IF(AND(VLOOKUP(CONCATENATE($D2225,$G2225),CSRFinput!$B:$E,4,0)=0,OR(H2225=MappingTables!$C$34,H2225=MappingTables!$C$35)),1,VLOOKUP(CONCATENATE($D2225,$G2225),CSRFinput!$B:$E,4,0))),0,IF(AND(VLOOKUP(CONCATENATE($D2225,$G2225),CSRFinput!$B:$E,4,0)=0,OR(H2225=MappingTables!$C$34,H2225=MappingTables!$C$35)),1,VLOOKUP(CONCATENATE($D2225,$G2225),CSRFinput!$B:$E,4,0)))</f>
        <v>0.054776304963434752</v>
      </c>
      <c r="W2225" s="85">
        <f>IF(B2225="",0,+$T2225*$V2225)</f>
        <v>3.3712296783072056</v>
      </c>
      <c r="X2225" s="85">
        <f>IF(B2225="",0,IF(OR(H2225=MappingTables!$C$34,H2225=MappingTables!$C$35),W2225,0))</f>
        <v>0</v>
      </c>
    </row>
    <row r="2226" spans="2:24" s="0" customFormat="0" ht="15">
      <c r="B2226" s="69" t="s">
        <v>2280</v>
      </c>
      <c r="C2226" s="70" t="s">
        <v>2281</v>
      </c>
      <c r="D2226" s="70" t="s">
        <v>1</v>
      </c>
      <c r="E2226" s="70" t="s">
        <v>1</v>
      </c>
      <c r="F2226" s="70"/>
      <c r="G2226" s="70" t="s">
        <v>61</v>
      </c>
      <c r="H2226" s="70" t="s">
        <v>178</v>
      </c>
      <c r="I2226" s="70" t="s">
        <v>188</v>
      </c>
      <c r="J2226" s="71">
        <f>IF(OR(I2226=0,I2226=""),"unrated",VLOOKUP(I2226,MappingTables!$B$19:$C$31,2,FALSE))</f>
        <v>2</v>
      </c>
      <c r="K2226" s="72">
        <v>697.50965557975936</v>
      </c>
      <c r="L2226" s="70">
        <v>2.9863776443532852</v>
      </c>
      <c r="M2226" s="71">
        <f>IF(L2226&lt;1,1,L2226)</f>
        <v>2.9863776443532852</v>
      </c>
      <c r="N2226" s="70" t="s">
        <v>141</v>
      </c>
      <c r="O2226" s="71">
        <f>INDEX(DurClassMapping,MATCH(M2226,MappingTables!$D$4:$D$8,-1),1)</f>
        <v>1</v>
      </c>
      <c r="P2226" s="73">
        <f>IF(M2226=$A$1,1,$M2226-INDEX(MappingTables!$E$4:$E$8,MATCH(O2226,MappingTables!$B$4:$B$8,0)))</f>
        <v>2.9863776443532852</v>
      </c>
      <c r="Q2226" s="71">
        <f>IF(B2226="",0,INDEX(ModelParameters!$D$6:$K$10,MATCH($O2226,ModelParameters!$B$6:$B$10,0),MATCH($J2226,ModelParameters!$D$5:$K$5,0)))</f>
        <v>0.013999999999999998</v>
      </c>
      <c r="R2226" s="71">
        <f>IF(B2226="",0,INDEX(ModelParameters!$D$13:$K$17,MATCH($O2226,ModelParameters!$B$13:$B$17,0),MATCH($J2226,ModelParameters!$D$5:$K$5,0)))</f>
        <v>0</v>
      </c>
      <c r="S2226" s="160">
        <f>IF(B2226="",0,MIN(IF($N2226="Other Bond TM",ModelParameters!$N$21,1)*(P2226*Q2226+R2226),1))</f>
        <v>0.041809287020945992</v>
      </c>
      <c r="T2226" s="85">
        <f>IF(B2226="",0,$S2226*$K2226)</f>
        <v>29.16238139001534</v>
      </c>
      <c r="U2226" s="85">
        <f>IF(B2226="",0,IF(OR(H2226=MappingTables!$C$34,H2226=MappingTables!$C$35),T2226,0))</f>
        <v>0</v>
      </c>
      <c r="V2226" s="85">
        <f>IF(ISNA(IF(AND(VLOOKUP(CONCATENATE($D2226,$G2226),CSRFinput!$B:$E,4,0)=0,OR(H2226=MappingTables!$C$34,H2226=MappingTables!$C$35)),1,VLOOKUP(CONCATENATE($D2226,$G2226),CSRFinput!$B:$E,4,0))),0,IF(AND(VLOOKUP(CONCATENATE($D2226,$G2226),CSRFinput!$B:$E,4,0)=0,OR(H2226=MappingTables!$C$34,H2226=MappingTables!$C$35)),1,VLOOKUP(CONCATENATE($D2226,$G2226),CSRFinput!$B:$E,4,0)))</f>
        <v>0.054776304963434752</v>
      </c>
      <c r="W2226" s="85">
        <f>IF(B2226="",0,+$T2226*$V2226)</f>
        <v>1.5974074964794746</v>
      </c>
      <c r="X2226" s="85">
        <f>IF(B2226="",0,IF(OR(H2226=MappingTables!$C$34,H2226=MappingTables!$C$35),W2226,0))</f>
        <v>0</v>
      </c>
    </row>
    <row r="2227" spans="2:24" s="0" customFormat="0" ht="15">
      <c r="B2227" s="69">
        <v>20382570</v>
      </c>
      <c r="C2227" s="70" t="s">
        <v>409</v>
      </c>
      <c r="D2227" s="70" t="s">
        <v>1</v>
      </c>
      <c r="E2227" s="70" t="s">
        <v>1</v>
      </c>
      <c r="F2227" s="70"/>
      <c r="G2227" s="70" t="s">
        <v>61</v>
      </c>
      <c r="H2227" s="70" t="s">
        <v>178</v>
      </c>
      <c r="I2227" s="70" t="s">
        <v>220</v>
      </c>
      <c r="J2227" s="71">
        <f>IF(OR(I2227=0,I2227=""),"unrated",VLOOKUP(I2227,MappingTables!$B$19:$C$31,2,FALSE))</f>
        <v>1</v>
      </c>
      <c r="K2227" s="72">
        <v>44607.569691945832</v>
      </c>
      <c r="L2227" s="70">
        <v>17.074725165412438</v>
      </c>
      <c r="M2227" s="71">
        <f>IF(L2227&lt;1,1,L2227)</f>
        <v>17.074725165412438</v>
      </c>
      <c r="N2227" s="70" t="s">
        <v>141</v>
      </c>
      <c r="O2227" s="71">
        <f>INDEX(DurClassMapping,MATCH(M2227,MappingTables!$D$4:$D$8,-1),1)</f>
        <v>4</v>
      </c>
      <c r="P2227" s="73">
        <f>IF(M2227=$A$1,1,$M2227-INDEX(MappingTables!$E$4:$E$8,MATCH(O2227,MappingTables!$B$4:$B$8,0)))</f>
        <v>2.0747251654124384</v>
      </c>
      <c r="Q2227" s="71">
        <f>IF(B2227="",0,INDEX(ModelParameters!$D$6:$K$10,MATCH($O2227,ModelParameters!$B$6:$B$10,0),MATCH($J2227,ModelParameters!$D$5:$K$5,0)))</f>
        <v>0.005</v>
      </c>
      <c r="R2227" s="71">
        <f>IF(B2227="",0,INDEX(ModelParameters!$D$13:$K$17,MATCH($O2227,ModelParameters!$B$13:$B$17,0),MATCH($J2227,ModelParameters!$D$5:$K$5,0)))</f>
        <v>0.11</v>
      </c>
      <c r="S2227" s="160">
        <f>IF(B2227="",0,MIN(IF($N2227="Other Bond TM",ModelParameters!$N$21,1)*(P2227*Q2227+R2227),1))</f>
        <v>0.1203736258270622</v>
      </c>
      <c r="T2227" s="85">
        <f>IF(B2227="",0,$S2227*$K2227)</f>
        <v>5369.574903152888</v>
      </c>
      <c r="U2227" s="85">
        <f>IF(B2227="",0,IF(OR(H2227=MappingTables!$C$34,H2227=MappingTables!$C$35),T2227,0))</f>
        <v>0</v>
      </c>
      <c r="V2227" s="85">
        <f>IF(ISNA(IF(AND(VLOOKUP(CONCATENATE($D2227,$G2227),CSRFinput!$B:$E,4,0)=0,OR(H2227=MappingTables!$C$34,H2227=MappingTables!$C$35)),1,VLOOKUP(CONCATENATE($D2227,$G2227),CSRFinput!$B:$E,4,0))),0,IF(AND(VLOOKUP(CONCATENATE($D2227,$G2227),CSRFinput!$B:$E,4,0)=0,OR(H2227=MappingTables!$C$34,H2227=MappingTables!$C$35)),1,VLOOKUP(CONCATENATE($D2227,$G2227),CSRFinput!$B:$E,4,0)))</f>
        <v>0.054776304963434752</v>
      </c>
      <c r="W2227" s="85">
        <f>IF(B2227="",0,+$T2227*$V2227)</f>
        <v>294.12547241910816</v>
      </c>
      <c r="X2227" s="85">
        <f>IF(B2227="",0,IF(OR(H2227=MappingTables!$C$34,H2227=MappingTables!$C$35),W2227,0))</f>
        <v>0</v>
      </c>
    </row>
    <row r="2228" spans="2:24" s="0" customFormat="0" ht="15">
      <c r="B2228" s="69">
        <v>20679265</v>
      </c>
      <c r="C2228" s="70" t="s">
        <v>892</v>
      </c>
      <c r="D2228" s="70" t="s">
        <v>1</v>
      </c>
      <c r="E2228" s="70" t="s">
        <v>1</v>
      </c>
      <c r="F2228" s="70"/>
      <c r="G2228" s="70" t="s">
        <v>61</v>
      </c>
      <c r="H2228" s="70" t="s">
        <v>178</v>
      </c>
      <c r="I2228" s="70" t="s">
        <v>179</v>
      </c>
      <c r="J2228" s="71">
        <f>IF(OR(I2228=0,I2228=""),"unrated",VLOOKUP(I2228,MappingTables!$B$19:$C$31,2,FALSE))</f>
        <v>4</v>
      </c>
      <c r="K2228" s="72">
        <v>195.39908690580328</v>
      </c>
      <c r="L2228" s="70">
        <v>0.64371608963399296</v>
      </c>
      <c r="M2228" s="71">
        <f>IF(L2228&lt;1,1,L2228)</f>
        <v>1</v>
      </c>
      <c r="N2228" s="70" t="s">
        <v>141</v>
      </c>
      <c r="O2228" s="71">
        <f>INDEX(DurClassMapping,MATCH(M2228,MappingTables!$D$4:$D$8,-1),1)</f>
        <v>1</v>
      </c>
      <c r="P2228" s="73">
        <f>IF(M2228=$A$1,1,$M2228-INDEX(MappingTables!$E$4:$E$8,MATCH(O2228,MappingTables!$B$4:$B$8,0)))</f>
        <v>1</v>
      </c>
      <c r="Q2228" s="71">
        <f>IF(B2228="",0,INDEX(ModelParameters!$D$6:$K$10,MATCH($O2228,ModelParameters!$B$6:$B$10,0),MATCH($J2228,ModelParameters!$D$5:$K$5,0)))</f>
        <v>0.045</v>
      </c>
      <c r="R2228" s="71">
        <f>IF(B2228="",0,INDEX(ModelParameters!$D$13:$K$17,MATCH($O2228,ModelParameters!$B$13:$B$17,0),MATCH($J2228,ModelParameters!$D$5:$K$5,0)))</f>
        <v>0</v>
      </c>
      <c r="S2228" s="160">
        <f>IF(B2228="",0,MIN(IF($N2228="Other Bond TM",ModelParameters!$N$21,1)*(P2228*Q2228+R2228),1))</f>
        <v>0.045</v>
      </c>
      <c r="T2228" s="85">
        <f>IF(B2228="",0,$S2228*$K2228)</f>
        <v>8.7929589107611472</v>
      </c>
      <c r="U2228" s="85">
        <f>IF(B2228="",0,IF(OR(H2228=MappingTables!$C$34,H2228=MappingTables!$C$35),T2228,0))</f>
        <v>0</v>
      </c>
      <c r="V2228" s="85">
        <f>IF(ISNA(IF(AND(VLOOKUP(CONCATENATE($D2228,$G2228),CSRFinput!$B:$E,4,0)=0,OR(H2228=MappingTables!$C$34,H2228=MappingTables!$C$35)),1,VLOOKUP(CONCATENATE($D2228,$G2228),CSRFinput!$B:$E,4,0))),0,IF(AND(VLOOKUP(CONCATENATE($D2228,$G2228),CSRFinput!$B:$E,4,0)=0,OR(H2228=MappingTables!$C$34,H2228=MappingTables!$C$35)),1,VLOOKUP(CONCATENATE($D2228,$G2228),CSRFinput!$B:$E,4,0)))</f>
        <v>0.054776304963434752</v>
      </c>
      <c r="W2228" s="85">
        <f>IF(B2228="",0,+$T2228*$V2228)</f>
        <v>0.4816457988268036</v>
      </c>
      <c r="X2228" s="85">
        <f>IF(B2228="",0,IF(OR(H2228=MappingTables!$C$34,H2228=MappingTables!$C$35),W2228,0))</f>
        <v>0</v>
      </c>
    </row>
    <row r="2229" spans="2:24" s="0" customFormat="0" ht="15">
      <c r="B2229" s="69">
        <v>8234466</v>
      </c>
      <c r="C2229" s="70" t="s">
        <v>2282</v>
      </c>
      <c r="D2229" s="70" t="s">
        <v>1</v>
      </c>
      <c r="E2229" s="70" t="s">
        <v>1</v>
      </c>
      <c r="F2229" s="70"/>
      <c r="G2229" s="70" t="s">
        <v>61</v>
      </c>
      <c r="H2229" s="70" t="s">
        <v>178</v>
      </c>
      <c r="I2229" s="70" t="s">
        <v>181</v>
      </c>
      <c r="J2229" s="71">
        <f>IF(OR(I2229=0,I2229=""),"unrated",VLOOKUP(I2229,MappingTables!$B$19:$C$31,2,FALSE))</f>
        <v>3</v>
      </c>
      <c r="K2229" s="72">
        <v>554.24957316885216</v>
      </c>
      <c r="L2229" s="70">
        <v>0.36438608297407584</v>
      </c>
      <c r="M2229" s="71">
        <f>IF(L2229&lt;1,1,L2229)</f>
        <v>1</v>
      </c>
      <c r="N2229" s="70" t="s">
        <v>141</v>
      </c>
      <c r="O2229" s="71">
        <f>INDEX(DurClassMapping,MATCH(M2229,MappingTables!$D$4:$D$8,-1),1)</f>
        <v>1</v>
      </c>
      <c r="P2229" s="73">
        <f>IF(M2229=$A$1,1,$M2229-INDEX(MappingTables!$E$4:$E$8,MATCH(O2229,MappingTables!$B$4:$B$8,0)))</f>
        <v>1</v>
      </c>
      <c r="Q2229" s="71">
        <f>IF(B2229="",0,INDEX(ModelParameters!$D$6:$K$10,MATCH($O2229,ModelParameters!$B$6:$B$10,0),MATCH($J2229,ModelParameters!$D$5:$K$5,0)))</f>
        <v>0.025</v>
      </c>
      <c r="R2229" s="71">
        <f>IF(B2229="",0,INDEX(ModelParameters!$D$13:$K$17,MATCH($O2229,ModelParameters!$B$13:$B$17,0),MATCH($J2229,ModelParameters!$D$5:$K$5,0)))</f>
        <v>0</v>
      </c>
      <c r="S2229" s="160">
        <f>IF(B2229="",0,MIN(IF($N2229="Other Bond TM",ModelParameters!$N$21,1)*(P2229*Q2229+R2229),1))</f>
        <v>0.025</v>
      </c>
      <c r="T2229" s="85">
        <f>IF(B2229="",0,$S2229*$K2229)</f>
        <v>13.856239329221304</v>
      </c>
      <c r="U2229" s="85">
        <f>IF(B2229="",0,IF(OR(H2229=MappingTables!$C$34,H2229=MappingTables!$C$35),T2229,0))</f>
        <v>0</v>
      </c>
      <c r="V2229" s="85">
        <f>IF(ISNA(IF(AND(VLOOKUP(CONCATENATE($D2229,$G2229),CSRFinput!$B:$E,4,0)=0,OR(H2229=MappingTables!$C$34,H2229=MappingTables!$C$35)),1,VLOOKUP(CONCATENATE($D2229,$G2229),CSRFinput!$B:$E,4,0))),0,IF(AND(VLOOKUP(CONCATENATE($D2229,$G2229),CSRFinput!$B:$E,4,0)=0,OR(H2229=MappingTables!$C$34,H2229=MappingTables!$C$35)),1,VLOOKUP(CONCATENATE($D2229,$G2229),CSRFinput!$B:$E,4,0)))</f>
        <v>0.054776304963434752</v>
      </c>
      <c r="W2229" s="85">
        <f>IF(B2229="",0,+$T2229*$V2229)</f>
        <v>0.7589935911437648</v>
      </c>
      <c r="X2229" s="85">
        <f>IF(B2229="",0,IF(OR(H2229=MappingTables!$C$34,H2229=MappingTables!$C$35),W2229,0))</f>
        <v>0</v>
      </c>
    </row>
    <row r="2230" spans="2:24" s="0" customFormat="0" ht="15">
      <c r="B2230" s="69" t="s">
        <v>2283</v>
      </c>
      <c r="C2230" s="70" t="s">
        <v>2284</v>
      </c>
      <c r="D2230" s="70" t="s">
        <v>1</v>
      </c>
      <c r="E2230" s="70" t="s">
        <v>1</v>
      </c>
      <c r="F2230" s="70"/>
      <c r="G2230" s="70" t="s">
        <v>61</v>
      </c>
      <c r="H2230" s="70" t="s">
        <v>178</v>
      </c>
      <c r="I2230" s="70" t="s">
        <v>179</v>
      </c>
      <c r="J2230" s="71">
        <f>IF(OR(I2230=0,I2230=""),"unrated",VLOOKUP(I2230,MappingTables!$B$19:$C$31,2,FALSE))</f>
        <v>4</v>
      </c>
      <c r="K2230" s="72">
        <v>1613.2832204196812</v>
      </c>
      <c r="L2230" s="70">
        <v>4.107540038936172</v>
      </c>
      <c r="M2230" s="71">
        <f>IF(L2230&lt;1,1,L2230)</f>
        <v>4.107540038936172</v>
      </c>
      <c r="N2230" s="70" t="s">
        <v>141</v>
      </c>
      <c r="O2230" s="71">
        <f>INDEX(DurClassMapping,MATCH(M2230,MappingTables!$D$4:$D$8,-1),1)</f>
        <v>1</v>
      </c>
      <c r="P2230" s="73">
        <f>IF(M2230=$A$1,1,$M2230-INDEX(MappingTables!$E$4:$E$8,MATCH(O2230,MappingTables!$B$4:$B$8,0)))</f>
        <v>4.107540038936172</v>
      </c>
      <c r="Q2230" s="71">
        <f>IF(B2230="",0,INDEX(ModelParameters!$D$6:$K$10,MATCH($O2230,ModelParameters!$B$6:$B$10,0),MATCH($J2230,ModelParameters!$D$5:$K$5,0)))</f>
        <v>0.045</v>
      </c>
      <c r="R2230" s="71">
        <f>IF(B2230="",0,INDEX(ModelParameters!$D$13:$K$17,MATCH($O2230,ModelParameters!$B$13:$B$17,0),MATCH($J2230,ModelParameters!$D$5:$K$5,0)))</f>
        <v>0</v>
      </c>
      <c r="S2230" s="160">
        <f>IF(B2230="",0,MIN(IF($N2230="Other Bond TM",ModelParameters!$N$21,1)*(P2230*Q2230+R2230),1))</f>
        <v>0.18483930175212772</v>
      </c>
      <c r="T2230" s="85">
        <f>IF(B2230="",0,$S2230*$K2230)</f>
        <v>298.19814399079784</v>
      </c>
      <c r="U2230" s="85">
        <f>IF(B2230="",0,IF(OR(H2230=MappingTables!$C$34,H2230=MappingTables!$C$35),T2230,0))</f>
        <v>0</v>
      </c>
      <c r="V2230" s="85">
        <f>IF(ISNA(IF(AND(VLOOKUP(CONCATENATE($D2230,$G2230),CSRFinput!$B:$E,4,0)=0,OR(H2230=MappingTables!$C$34,H2230=MappingTables!$C$35)),1,VLOOKUP(CONCATENATE($D2230,$G2230),CSRFinput!$B:$E,4,0))),0,IF(AND(VLOOKUP(CONCATENATE($D2230,$G2230),CSRFinput!$B:$E,4,0)=0,OR(H2230=MappingTables!$C$34,H2230=MappingTables!$C$35)),1,VLOOKUP(CONCATENATE($D2230,$G2230),CSRFinput!$B:$E,4,0)))</f>
        <v>0.054776304963434752</v>
      </c>
      <c r="W2230" s="85">
        <f>IF(B2230="",0,+$T2230*$V2230)</f>
        <v>16.334192474770174</v>
      </c>
      <c r="X2230" s="85">
        <f>IF(B2230="",0,IF(OR(H2230=MappingTables!$C$34,H2230=MappingTables!$C$35),W2230,0))</f>
        <v>0</v>
      </c>
    </row>
    <row r="2231" spans="2:24" s="0" customFormat="0" ht="15">
      <c r="B2231" s="69">
        <v>6380989</v>
      </c>
      <c r="C2231" s="70" t="s">
        <v>2072</v>
      </c>
      <c r="D2231" s="70" t="s">
        <v>1</v>
      </c>
      <c r="E2231" s="70" t="s">
        <v>1</v>
      </c>
      <c r="F2231" s="70"/>
      <c r="G2231" s="70" t="s">
        <v>61</v>
      </c>
      <c r="H2231" s="70" t="s">
        <v>178</v>
      </c>
      <c r="I2231" s="70" t="s">
        <v>179</v>
      </c>
      <c r="J2231" s="71">
        <f>IF(OR(I2231=0,I2231=""),"unrated",VLOOKUP(I2231,MappingTables!$B$19:$C$31,2,FALSE))</f>
        <v>4</v>
      </c>
      <c r="K2231" s="72">
        <v>376.8952008348948</v>
      </c>
      <c r="L2231" s="70">
        <v>2.0449197847542028</v>
      </c>
      <c r="M2231" s="71">
        <f>IF(L2231&lt;1,1,L2231)</f>
        <v>2.0449197847542028</v>
      </c>
      <c r="N2231" s="70" t="s">
        <v>141</v>
      </c>
      <c r="O2231" s="71">
        <f>INDEX(DurClassMapping,MATCH(M2231,MappingTables!$D$4:$D$8,-1),1)</f>
        <v>1</v>
      </c>
      <c r="P2231" s="73">
        <f>IF(M2231=$A$1,1,$M2231-INDEX(MappingTables!$E$4:$E$8,MATCH(O2231,MappingTables!$B$4:$B$8,0)))</f>
        <v>2.0449197847542028</v>
      </c>
      <c r="Q2231" s="71">
        <f>IF(B2231="",0,INDEX(ModelParameters!$D$6:$K$10,MATCH($O2231,ModelParameters!$B$6:$B$10,0),MATCH($J2231,ModelParameters!$D$5:$K$5,0)))</f>
        <v>0.045</v>
      </c>
      <c r="R2231" s="71">
        <f>IF(B2231="",0,INDEX(ModelParameters!$D$13:$K$17,MATCH($O2231,ModelParameters!$B$13:$B$17,0),MATCH($J2231,ModelParameters!$D$5:$K$5,0)))</f>
        <v>0</v>
      </c>
      <c r="S2231" s="160">
        <f>IF(B2231="",0,MIN(IF($N2231="Other Bond TM",ModelParameters!$N$21,1)*(P2231*Q2231+R2231),1))</f>
        <v>0.09202139031393912</v>
      </c>
      <c r="T2231" s="85">
        <f>IF(B2231="",0,$S2231*$K2231)</f>
        <v>34.682420383478332</v>
      </c>
      <c r="U2231" s="85">
        <f>IF(B2231="",0,IF(OR(H2231=MappingTables!$C$34,H2231=MappingTables!$C$35),T2231,0))</f>
        <v>0</v>
      </c>
      <c r="V2231" s="85">
        <f>IF(ISNA(IF(AND(VLOOKUP(CONCATENATE($D2231,$G2231),CSRFinput!$B:$E,4,0)=0,OR(H2231=MappingTables!$C$34,H2231=MappingTables!$C$35)),1,VLOOKUP(CONCATENATE($D2231,$G2231),CSRFinput!$B:$E,4,0))),0,IF(AND(VLOOKUP(CONCATENATE($D2231,$G2231),CSRFinput!$B:$E,4,0)=0,OR(H2231=MappingTables!$C$34,H2231=MappingTables!$C$35)),1,VLOOKUP(CONCATENATE($D2231,$G2231),CSRFinput!$B:$E,4,0)))</f>
        <v>0.054776304963434752</v>
      </c>
      <c r="W2231" s="85">
        <f>IF(B2231="",0,+$T2231*$V2231)</f>
        <v>1.8997748357954548</v>
      </c>
      <c r="X2231" s="85">
        <f>IF(B2231="",0,IF(OR(H2231=MappingTables!$C$34,H2231=MappingTables!$C$35),W2231,0))</f>
        <v>0</v>
      </c>
    </row>
    <row r="2232" spans="2:24" s="0" customFormat="0" ht="15">
      <c r="B2232" s="69" t="s">
        <v>2285</v>
      </c>
      <c r="C2232" s="70" t="s">
        <v>2286</v>
      </c>
      <c r="D2232" s="70" t="s">
        <v>1</v>
      </c>
      <c r="E2232" s="70" t="s">
        <v>1</v>
      </c>
      <c r="F2232" s="70"/>
      <c r="G2232" s="70" t="s">
        <v>61</v>
      </c>
      <c r="H2232" s="70" t="s">
        <v>178</v>
      </c>
      <c r="I2232" s="70" t="s">
        <v>179</v>
      </c>
      <c r="J2232" s="71">
        <f>IF(OR(I2232=0,I2232=""),"unrated",VLOOKUP(I2232,MappingTables!$B$19:$C$31,2,FALSE))</f>
        <v>4</v>
      </c>
      <c r="K2232" s="72">
        <v>111.9437347795647</v>
      </c>
      <c r="L2232" s="70">
        <v>5.813121420293248</v>
      </c>
      <c r="M2232" s="71">
        <f>IF(L2232&lt;1,1,L2232)</f>
        <v>5.813121420293248</v>
      </c>
      <c r="N2232" s="70" t="s">
        <v>141</v>
      </c>
      <c r="O2232" s="71">
        <f>INDEX(DurClassMapping,MATCH(M2232,MappingTables!$D$4:$D$8,-1),1)</f>
        <v>2</v>
      </c>
      <c r="P2232" s="73">
        <f>IF(M2232=$A$1,1,$M2232-INDEX(MappingTables!$E$4:$E$8,MATCH(O2232,MappingTables!$B$4:$B$8,0)))</f>
        <v>0.813121420293248</v>
      </c>
      <c r="Q2232" s="71">
        <f>IF(B2232="",0,INDEX(ModelParameters!$D$6:$K$10,MATCH($O2232,ModelParameters!$B$6:$B$10,0),MATCH($J2232,ModelParameters!$D$5:$K$5,0)))</f>
        <v>0.025</v>
      </c>
      <c r="R2232" s="71">
        <f>IF(B2232="",0,INDEX(ModelParameters!$D$13:$K$17,MATCH($O2232,ModelParameters!$B$13:$B$17,0),MATCH($J2232,ModelParameters!$D$5:$K$5,0)))</f>
        <v>0.225</v>
      </c>
      <c r="S2232" s="160">
        <f>IF(B2232="",0,MIN(IF($N2232="Other Bond TM",ModelParameters!$N$21,1)*(P2232*Q2232+R2232),1))</f>
        <v>0.2453280355073312</v>
      </c>
      <c r="T2232" s="85">
        <f>IF(B2232="",0,$S2232*$K2232)</f>
        <v>27.462936540824312</v>
      </c>
      <c r="U2232" s="85">
        <f>IF(B2232="",0,IF(OR(H2232=MappingTables!$C$34,H2232=MappingTables!$C$35),T2232,0))</f>
        <v>0</v>
      </c>
      <c r="V2232" s="85">
        <f>IF(ISNA(IF(AND(VLOOKUP(CONCATENATE($D2232,$G2232),CSRFinput!$B:$E,4,0)=0,OR(H2232=MappingTables!$C$34,H2232=MappingTables!$C$35)),1,VLOOKUP(CONCATENATE($D2232,$G2232),CSRFinput!$B:$E,4,0))),0,IF(AND(VLOOKUP(CONCATENATE($D2232,$G2232),CSRFinput!$B:$E,4,0)=0,OR(H2232=MappingTables!$C$34,H2232=MappingTables!$C$35)),1,VLOOKUP(CONCATENATE($D2232,$G2232),CSRFinput!$B:$E,4,0)))</f>
        <v>0.054776304963434752</v>
      </c>
      <c r="W2232" s="85">
        <f>IF(B2232="",0,+$T2232*$V2232)</f>
        <v>1.5043181871516484</v>
      </c>
      <c r="X2232" s="85">
        <f>IF(B2232="",0,IF(OR(H2232=MappingTables!$C$34,H2232=MappingTables!$C$35),W2232,0))</f>
        <v>0</v>
      </c>
    </row>
    <row r="2233" spans="2:24" s="0" customFormat="0" ht="15">
      <c r="B2233" s="69">
        <v>24426295</v>
      </c>
      <c r="C2233" s="70" t="s">
        <v>1405</v>
      </c>
      <c r="D2233" s="70" t="s">
        <v>1</v>
      </c>
      <c r="E2233" s="70" t="s">
        <v>1</v>
      </c>
      <c r="F2233" s="70"/>
      <c r="G2233" s="70" t="s">
        <v>61</v>
      </c>
      <c r="H2233" s="70" t="s">
        <v>178</v>
      </c>
      <c r="I2233" s="70" t="s">
        <v>181</v>
      </c>
      <c r="J2233" s="71">
        <f>IF(OR(I2233=0,I2233=""),"unrated",VLOOKUP(I2233,MappingTables!$B$19:$C$31,2,FALSE))</f>
        <v>3</v>
      </c>
      <c r="K2233" s="72">
        <v>1760.1748658100642</v>
      </c>
      <c r="L2233" s="70">
        <v>0.78743147875478016</v>
      </c>
      <c r="M2233" s="71">
        <f>IF(L2233&lt;1,1,L2233)</f>
        <v>1</v>
      </c>
      <c r="N2233" s="70" t="s">
        <v>141</v>
      </c>
      <c r="O2233" s="71">
        <f>INDEX(DurClassMapping,MATCH(M2233,MappingTables!$D$4:$D$8,-1),1)</f>
        <v>1</v>
      </c>
      <c r="P2233" s="73">
        <f>IF(M2233=$A$1,1,$M2233-INDEX(MappingTables!$E$4:$E$8,MATCH(O2233,MappingTables!$B$4:$B$8,0)))</f>
        <v>1</v>
      </c>
      <c r="Q2233" s="71">
        <f>IF(B2233="",0,INDEX(ModelParameters!$D$6:$K$10,MATCH($O2233,ModelParameters!$B$6:$B$10,0),MATCH($J2233,ModelParameters!$D$5:$K$5,0)))</f>
        <v>0.025</v>
      </c>
      <c r="R2233" s="71">
        <f>IF(B2233="",0,INDEX(ModelParameters!$D$13:$K$17,MATCH($O2233,ModelParameters!$B$13:$B$17,0),MATCH($J2233,ModelParameters!$D$5:$K$5,0)))</f>
        <v>0</v>
      </c>
      <c r="S2233" s="160">
        <f>IF(B2233="",0,MIN(IF($N2233="Other Bond TM",ModelParameters!$N$21,1)*(P2233*Q2233+R2233),1))</f>
        <v>0.025</v>
      </c>
      <c r="T2233" s="85">
        <f>IF(B2233="",0,$S2233*$K2233)</f>
        <v>44.004371645251608</v>
      </c>
      <c r="U2233" s="85">
        <f>IF(B2233="",0,IF(OR(H2233=MappingTables!$C$34,H2233=MappingTables!$C$35),T2233,0))</f>
        <v>0</v>
      </c>
      <c r="V2233" s="85">
        <f>IF(ISNA(IF(AND(VLOOKUP(CONCATENATE($D2233,$G2233),CSRFinput!$B:$E,4,0)=0,OR(H2233=MappingTables!$C$34,H2233=MappingTables!$C$35)),1,VLOOKUP(CONCATENATE($D2233,$G2233),CSRFinput!$B:$E,4,0))),0,IF(AND(VLOOKUP(CONCATENATE($D2233,$G2233),CSRFinput!$B:$E,4,0)=0,OR(H2233=MappingTables!$C$34,H2233=MappingTables!$C$35)),1,VLOOKUP(CONCATENATE($D2233,$G2233),CSRFinput!$B:$E,4,0)))</f>
        <v>0.054776304963434752</v>
      </c>
      <c r="W2233" s="85">
        <f>IF(B2233="",0,+$T2233*$V2233)</f>
        <v>2.4103968809646236</v>
      </c>
      <c r="X2233" s="85">
        <f>IF(B2233="",0,IF(OR(H2233=MappingTables!$C$34,H2233=MappingTables!$C$35),W2233,0))</f>
        <v>0</v>
      </c>
    </row>
    <row r="2234" spans="2:24" s="0" customFormat="0" ht="15">
      <c r="B2234" s="69">
        <v>7852167</v>
      </c>
      <c r="C2234" s="70" t="s">
        <v>2287</v>
      </c>
      <c r="D2234" s="70" t="s">
        <v>1</v>
      </c>
      <c r="E2234" s="70" t="s">
        <v>1</v>
      </c>
      <c r="F2234" s="70"/>
      <c r="G2234" s="70" t="s">
        <v>61</v>
      </c>
      <c r="H2234" s="70" t="s">
        <v>178</v>
      </c>
      <c r="I2234" s="70" t="s">
        <v>181</v>
      </c>
      <c r="J2234" s="71">
        <f>IF(OR(I2234=0,I2234=""),"unrated",VLOOKUP(I2234,MappingTables!$B$19:$C$31,2,FALSE))</f>
        <v>3</v>
      </c>
      <c r="K2234" s="72">
        <v>1169.057256594648</v>
      </c>
      <c r="L2234" s="70">
        <v>0.2082136968250212</v>
      </c>
      <c r="M2234" s="71">
        <f>IF(L2234&lt;1,1,L2234)</f>
        <v>1</v>
      </c>
      <c r="N2234" s="70" t="s">
        <v>141</v>
      </c>
      <c r="O2234" s="71">
        <f>INDEX(DurClassMapping,MATCH(M2234,MappingTables!$D$4:$D$8,-1),1)</f>
        <v>1</v>
      </c>
      <c r="P2234" s="73">
        <f>IF(M2234=$A$1,1,$M2234-INDEX(MappingTables!$E$4:$E$8,MATCH(O2234,MappingTables!$B$4:$B$8,0)))</f>
        <v>1</v>
      </c>
      <c r="Q2234" s="71">
        <f>IF(B2234="",0,INDEX(ModelParameters!$D$6:$K$10,MATCH($O2234,ModelParameters!$B$6:$B$10,0),MATCH($J2234,ModelParameters!$D$5:$K$5,0)))</f>
        <v>0.025</v>
      </c>
      <c r="R2234" s="71">
        <f>IF(B2234="",0,INDEX(ModelParameters!$D$13:$K$17,MATCH($O2234,ModelParameters!$B$13:$B$17,0),MATCH($J2234,ModelParameters!$D$5:$K$5,0)))</f>
        <v>0</v>
      </c>
      <c r="S2234" s="160">
        <f>IF(B2234="",0,MIN(IF($N2234="Other Bond TM",ModelParameters!$N$21,1)*(P2234*Q2234+R2234),1))</f>
        <v>0.025</v>
      </c>
      <c r="T2234" s="85">
        <f>IF(B2234="",0,$S2234*$K2234)</f>
        <v>29.2264314148662</v>
      </c>
      <c r="U2234" s="85">
        <f>IF(B2234="",0,IF(OR(H2234=MappingTables!$C$34,H2234=MappingTables!$C$35),T2234,0))</f>
        <v>0</v>
      </c>
      <c r="V2234" s="85">
        <f>IF(ISNA(IF(AND(VLOOKUP(CONCATENATE($D2234,$G2234),CSRFinput!$B:$E,4,0)=0,OR(H2234=MappingTables!$C$34,H2234=MappingTables!$C$35)),1,VLOOKUP(CONCATENATE($D2234,$G2234),CSRFinput!$B:$E,4,0))),0,IF(AND(VLOOKUP(CONCATENATE($D2234,$G2234),CSRFinput!$B:$E,4,0)=0,OR(H2234=MappingTables!$C$34,H2234=MappingTables!$C$35)),1,VLOOKUP(CONCATENATE($D2234,$G2234),CSRFinput!$B:$E,4,0)))</f>
        <v>0.054776304963434752</v>
      </c>
      <c r="W2234" s="85">
        <f>IF(B2234="",0,+$T2234*$V2234)</f>
        <v>1.6009159201736208</v>
      </c>
      <c r="X2234" s="85">
        <f>IF(B2234="",0,IF(OR(H2234=MappingTables!$C$34,H2234=MappingTables!$C$35),W2234,0))</f>
        <v>0</v>
      </c>
    </row>
    <row r="2235" spans="2:24" s="0" customFormat="0" ht="15">
      <c r="B2235" s="69">
        <v>15085355</v>
      </c>
      <c r="C2235" s="70" t="s">
        <v>2288</v>
      </c>
      <c r="D2235" s="70" t="s">
        <v>1</v>
      </c>
      <c r="E2235" s="70" t="s">
        <v>1</v>
      </c>
      <c r="F2235" s="70"/>
      <c r="G2235" s="70" t="s">
        <v>61</v>
      </c>
      <c r="H2235" s="70" t="s">
        <v>178</v>
      </c>
      <c r="I2235" s="70" t="s">
        <v>179</v>
      </c>
      <c r="J2235" s="71">
        <f>IF(OR(I2235=0,I2235=""),"unrated",VLOOKUP(I2235,MappingTables!$B$19:$C$31,2,FALSE))</f>
        <v>4</v>
      </c>
      <c r="K2235" s="72">
        <v>1632.8057179356304</v>
      </c>
      <c r="L2235" s="70">
        <v>1.69297284421735</v>
      </c>
      <c r="M2235" s="71">
        <f>IF(L2235&lt;1,1,L2235)</f>
        <v>1.69297284421735</v>
      </c>
      <c r="N2235" s="70" t="s">
        <v>141</v>
      </c>
      <c r="O2235" s="71">
        <f>INDEX(DurClassMapping,MATCH(M2235,MappingTables!$D$4:$D$8,-1),1)</f>
        <v>1</v>
      </c>
      <c r="P2235" s="73">
        <f>IF(M2235=$A$1,1,$M2235-INDEX(MappingTables!$E$4:$E$8,MATCH(O2235,MappingTables!$B$4:$B$8,0)))</f>
        <v>1.69297284421735</v>
      </c>
      <c r="Q2235" s="71">
        <f>IF(B2235="",0,INDEX(ModelParameters!$D$6:$K$10,MATCH($O2235,ModelParameters!$B$6:$B$10,0),MATCH($J2235,ModelParameters!$D$5:$K$5,0)))</f>
        <v>0.045</v>
      </c>
      <c r="R2235" s="71">
        <f>IF(B2235="",0,INDEX(ModelParameters!$D$13:$K$17,MATCH($O2235,ModelParameters!$B$13:$B$17,0),MATCH($J2235,ModelParameters!$D$5:$K$5,0)))</f>
        <v>0</v>
      </c>
      <c r="S2235" s="160">
        <f>IF(B2235="",0,MIN(IF($N2235="Other Bond TM",ModelParameters!$N$21,1)*(P2235*Q2235+R2235),1))</f>
        <v>0.076183777989780752</v>
      </c>
      <c r="T2235" s="85">
        <f>IF(B2235="",0,$S2235*$K2235)</f>
        <v>124.39330831565264</v>
      </c>
      <c r="U2235" s="85">
        <f>IF(B2235="",0,IF(OR(H2235=MappingTables!$C$34,H2235=MappingTables!$C$35),T2235,0))</f>
        <v>0</v>
      </c>
      <c r="V2235" s="85">
        <f>IF(ISNA(IF(AND(VLOOKUP(CONCATENATE($D2235,$G2235),CSRFinput!$B:$E,4,0)=0,OR(H2235=MappingTables!$C$34,H2235=MappingTables!$C$35)),1,VLOOKUP(CONCATENATE($D2235,$G2235),CSRFinput!$B:$E,4,0))),0,IF(AND(VLOOKUP(CONCATENATE($D2235,$G2235),CSRFinput!$B:$E,4,0)=0,OR(H2235=MappingTables!$C$34,H2235=MappingTables!$C$35)),1,VLOOKUP(CONCATENATE($D2235,$G2235),CSRFinput!$B:$E,4,0)))</f>
        <v>0.054776304963434752</v>
      </c>
      <c r="W2235" s="85">
        <f>IF(B2235="",0,+$T2235*$V2235)</f>
        <v>6.8138057917087528</v>
      </c>
      <c r="X2235" s="85">
        <f>IF(B2235="",0,IF(OR(H2235=MappingTables!$C$34,H2235=MappingTables!$C$35),W2235,0))</f>
        <v>0</v>
      </c>
    </row>
    <row r="2236" spans="2:24" s="0" customFormat="0" ht="15">
      <c r="B2236" s="69" t="s">
        <v>1093</v>
      </c>
      <c r="C2236" s="70" t="s">
        <v>1094</v>
      </c>
      <c r="D2236" s="70" t="s">
        <v>1</v>
      </c>
      <c r="E2236" s="70" t="s">
        <v>1</v>
      </c>
      <c r="F2236" s="70"/>
      <c r="G2236" s="70" t="s">
        <v>61</v>
      </c>
      <c r="H2236" s="70" t="s">
        <v>178</v>
      </c>
      <c r="I2236" s="70" t="s">
        <v>198</v>
      </c>
      <c r="J2236" s="71" t="str">
        <f>IF(OR(I2236=0,I2236=""),"unrated",VLOOKUP(I2236,MappingTables!$B$19:$C$31,2,FALSE))</f>
        <v>unrated</v>
      </c>
      <c r="K2236" s="72">
        <v>0.2406844614755226</v>
      </c>
      <c r="L2236" s="70">
        <v>0.24383642907542108</v>
      </c>
      <c r="M2236" s="71">
        <f>IF(L2236&lt;1,1,L2236)</f>
        <v>1</v>
      </c>
      <c r="N2236" s="70" t="s">
        <v>141</v>
      </c>
      <c r="O2236" s="71">
        <f>INDEX(DurClassMapping,MATCH(M2236,MappingTables!$D$4:$D$8,-1),1)</f>
        <v>1</v>
      </c>
      <c r="P2236" s="73">
        <f>IF(M2236=$A$1,1,$M2236-INDEX(MappingTables!$E$4:$E$8,MATCH(O2236,MappingTables!$B$4:$B$8,0)))</f>
        <v>1</v>
      </c>
      <c r="Q2236" s="71">
        <f>IF(B2236="",0,INDEX(ModelParameters!$D$6:$K$10,MATCH($O2236,ModelParameters!$B$6:$B$10,0),MATCH($J2236,ModelParameters!$D$5:$K$5,0)))</f>
        <v>0.03</v>
      </c>
      <c r="R2236" s="71">
        <f>IF(B2236="",0,INDEX(ModelParameters!$D$13:$K$17,MATCH($O2236,ModelParameters!$B$13:$B$17,0),MATCH($J2236,ModelParameters!$D$5:$K$5,0)))</f>
        <v>0</v>
      </c>
      <c r="S2236" s="160">
        <f>IF(B2236="",0,MIN(IF($N2236="Other Bond TM",ModelParameters!$N$21,1)*(P2236*Q2236+R2236),1))</f>
        <v>0.03</v>
      </c>
      <c r="T2236" s="85">
        <f>IF(B2236="",0,$S2236*$K2236)</f>
        <v>0.0072205338442656768</v>
      </c>
      <c r="U2236" s="85">
        <f>IF(B2236="",0,IF(OR(H2236=MappingTables!$C$34,H2236=MappingTables!$C$35),T2236,0))</f>
        <v>0</v>
      </c>
      <c r="V2236" s="85">
        <f>IF(ISNA(IF(AND(VLOOKUP(CONCATENATE($D2236,$G2236),CSRFinput!$B:$E,4,0)=0,OR(H2236=MappingTables!$C$34,H2236=MappingTables!$C$35)),1,VLOOKUP(CONCATENATE($D2236,$G2236),CSRFinput!$B:$E,4,0))),0,IF(AND(VLOOKUP(CONCATENATE($D2236,$G2236),CSRFinput!$B:$E,4,0)=0,OR(H2236=MappingTables!$C$34,H2236=MappingTables!$C$35)),1,VLOOKUP(CONCATENATE($D2236,$G2236),CSRFinput!$B:$E,4,0)))</f>
        <v>0.054776304963434752</v>
      </c>
      <c r="W2236" s="85">
        <f>IF(B2236="",0,+$T2236*$V2236)</f>
        <v>0.00039551416385229864</v>
      </c>
      <c r="X2236" s="85">
        <f>IF(B2236="",0,IF(OR(H2236=MappingTables!$C$34,H2236=MappingTables!$C$35),W2236,0))</f>
        <v>0</v>
      </c>
    </row>
    <row r="2237" spans="2:24" s="0" customFormat="0" ht="15">
      <c r="B2237" s="69">
        <v>951622</v>
      </c>
      <c r="C2237" s="70" t="s">
        <v>1024</v>
      </c>
      <c r="D2237" s="70" t="s">
        <v>1</v>
      </c>
      <c r="E2237" s="70" t="s">
        <v>1</v>
      </c>
      <c r="F2237" s="70"/>
      <c r="G2237" s="70" t="s">
        <v>61</v>
      </c>
      <c r="H2237" s="70" t="s">
        <v>178</v>
      </c>
      <c r="I2237" s="70" t="s">
        <v>181</v>
      </c>
      <c r="J2237" s="71">
        <f>IF(OR(I2237=0,I2237=""),"unrated",VLOOKUP(I2237,MappingTables!$B$19:$C$31,2,FALSE))</f>
        <v>3</v>
      </c>
      <c r="K2237" s="72">
        <v>12620.034982374642</v>
      </c>
      <c r="L2237" s="70">
        <v>10.563285904366152</v>
      </c>
      <c r="M2237" s="71">
        <f>IF(L2237&lt;1,1,L2237)</f>
        <v>10.563285904366152</v>
      </c>
      <c r="N2237" s="70" t="s">
        <v>141</v>
      </c>
      <c r="O2237" s="71">
        <f>INDEX(DurClassMapping,MATCH(M2237,MappingTables!$D$4:$D$8,-1),1)</f>
        <v>3</v>
      </c>
      <c r="P2237" s="73">
        <f>IF(M2237=$A$1,1,$M2237-INDEX(MappingTables!$E$4:$E$8,MATCH(O2237,MappingTables!$B$4:$B$8,0)))</f>
        <v>0.56328590436615224</v>
      </c>
      <c r="Q2237" s="71">
        <f>IF(B2237="",0,INDEX(ModelParameters!$D$6:$K$10,MATCH($O2237,ModelParameters!$B$6:$B$10,0),MATCH($J2237,ModelParameters!$D$5:$K$5,0)))</f>
        <v>0.01</v>
      </c>
      <c r="R2237" s="71">
        <f>IF(B2237="",0,INDEX(ModelParameters!$D$13:$K$17,MATCH($O2237,ModelParameters!$B$13:$B$17,0),MATCH($J2237,ModelParameters!$D$5:$K$5,0)))</f>
        <v>0.2</v>
      </c>
      <c r="S2237" s="160">
        <f>IF(B2237="",0,MIN(IF($N2237="Other Bond TM",ModelParameters!$N$21,1)*(P2237*Q2237+R2237),1))</f>
        <v>0.20563285904366152</v>
      </c>
      <c r="T2237" s="85">
        <f>IF(B2237="",0,$S2237*$K2237)</f>
        <v>2595.093874656722</v>
      </c>
      <c r="U2237" s="85">
        <f>IF(B2237="",0,IF(OR(H2237=MappingTables!$C$34,H2237=MappingTables!$C$35),T2237,0))</f>
        <v>0</v>
      </c>
      <c r="V2237" s="85">
        <f>IF(ISNA(IF(AND(VLOOKUP(CONCATENATE($D2237,$G2237),CSRFinput!$B:$E,4,0)=0,OR(H2237=MappingTables!$C$34,H2237=MappingTables!$C$35)),1,VLOOKUP(CONCATENATE($D2237,$G2237),CSRFinput!$B:$E,4,0))),0,IF(AND(VLOOKUP(CONCATENATE($D2237,$G2237),CSRFinput!$B:$E,4,0)=0,OR(H2237=MappingTables!$C$34,H2237=MappingTables!$C$35)),1,VLOOKUP(CONCATENATE($D2237,$G2237),CSRFinput!$B:$E,4,0)))</f>
        <v>0.054776304963434752</v>
      </c>
      <c r="W2237" s="85">
        <f>IF(B2237="",0,+$T2237*$V2237)</f>
        <v>142.14965348693814</v>
      </c>
      <c r="X2237" s="85">
        <f>IF(B2237="",0,IF(OR(H2237=MappingTables!$C$34,H2237=MappingTables!$C$35),W2237,0))</f>
        <v>0</v>
      </c>
    </row>
    <row r="2238" spans="2:24" s="0" customFormat="0" ht="15">
      <c r="B2238" s="69">
        <v>3610277</v>
      </c>
      <c r="C2238" s="70" t="s">
        <v>1613</v>
      </c>
      <c r="D2238" s="70" t="s">
        <v>1</v>
      </c>
      <c r="E2238" s="70" t="s">
        <v>1</v>
      </c>
      <c r="F2238" s="70"/>
      <c r="G2238" s="70" t="s">
        <v>61</v>
      </c>
      <c r="H2238" s="70" t="s">
        <v>178</v>
      </c>
      <c r="I2238" s="70" t="s">
        <v>188</v>
      </c>
      <c r="J2238" s="71">
        <f>IF(OR(I2238=0,I2238=""),"unrated",VLOOKUP(I2238,MappingTables!$B$19:$C$31,2,FALSE))</f>
        <v>2</v>
      </c>
      <c r="K2238" s="72">
        <v>16.869933831758566</v>
      </c>
      <c r="L2238" s="70">
        <v>0.31781070282154328</v>
      </c>
      <c r="M2238" s="71">
        <f>IF(L2238&lt;1,1,L2238)</f>
        <v>1</v>
      </c>
      <c r="N2238" s="70" t="s">
        <v>141</v>
      </c>
      <c r="O2238" s="71">
        <f>INDEX(DurClassMapping,MATCH(M2238,MappingTables!$D$4:$D$8,-1),1)</f>
        <v>1</v>
      </c>
      <c r="P2238" s="73">
        <f>IF(M2238=$A$1,1,$M2238-INDEX(MappingTables!$E$4:$E$8,MATCH(O2238,MappingTables!$B$4:$B$8,0)))</f>
        <v>1</v>
      </c>
      <c r="Q2238" s="71">
        <f>IF(B2238="",0,INDEX(ModelParameters!$D$6:$K$10,MATCH($O2238,ModelParameters!$B$6:$B$10,0),MATCH($J2238,ModelParameters!$D$5:$K$5,0)))</f>
        <v>0.013999999999999998</v>
      </c>
      <c r="R2238" s="71">
        <f>IF(B2238="",0,INDEX(ModelParameters!$D$13:$K$17,MATCH($O2238,ModelParameters!$B$13:$B$17,0),MATCH($J2238,ModelParameters!$D$5:$K$5,0)))</f>
        <v>0</v>
      </c>
      <c r="S2238" s="160">
        <f>IF(B2238="",0,MIN(IF($N2238="Other Bond TM",ModelParameters!$N$21,1)*(P2238*Q2238+R2238),1))</f>
        <v>0.013999999999999998</v>
      </c>
      <c r="T2238" s="85">
        <f>IF(B2238="",0,$S2238*$K2238)</f>
        <v>0.23617907364461992</v>
      </c>
      <c r="U2238" s="85">
        <f>IF(B2238="",0,IF(OR(H2238=MappingTables!$C$34,H2238=MappingTables!$C$35),T2238,0))</f>
        <v>0</v>
      </c>
      <c r="V2238" s="85">
        <f>IF(ISNA(IF(AND(VLOOKUP(CONCATENATE($D2238,$G2238),CSRFinput!$B:$E,4,0)=0,OR(H2238=MappingTables!$C$34,H2238=MappingTables!$C$35)),1,VLOOKUP(CONCATENATE($D2238,$G2238),CSRFinput!$B:$E,4,0))),0,IF(AND(VLOOKUP(CONCATENATE($D2238,$G2238),CSRFinput!$B:$E,4,0)=0,OR(H2238=MappingTables!$C$34,H2238=MappingTables!$C$35)),1,VLOOKUP(CONCATENATE($D2238,$G2238),CSRFinput!$B:$E,4,0)))</f>
        <v>0.054776304963434752</v>
      </c>
      <c r="W2238" s="85">
        <f>IF(B2238="",0,+$T2238*$V2238)</f>
        <v>0.012937016963939216</v>
      </c>
      <c r="X2238" s="85">
        <f>IF(B2238="",0,IF(OR(H2238=MappingTables!$C$34,H2238=MappingTables!$C$35),W2238,0))</f>
        <v>0</v>
      </c>
    </row>
    <row r="2239" spans="2:24" s="0" customFormat="0" ht="15">
      <c r="B2239" s="69">
        <v>8543657</v>
      </c>
      <c r="C2239" s="70" t="s">
        <v>2289</v>
      </c>
      <c r="D2239" s="70" t="s">
        <v>1</v>
      </c>
      <c r="E2239" s="70" t="s">
        <v>1</v>
      </c>
      <c r="F2239" s="70"/>
      <c r="G2239" s="70" t="s">
        <v>61</v>
      </c>
      <c r="H2239" s="70" t="s">
        <v>178</v>
      </c>
      <c r="I2239" s="70" t="s">
        <v>179</v>
      </c>
      <c r="J2239" s="71">
        <f>IF(OR(I2239=0,I2239=""),"unrated",VLOOKUP(I2239,MappingTables!$B$19:$C$31,2,FALSE))</f>
        <v>4</v>
      </c>
      <c r="K2239" s="72">
        <v>8722.228443740288</v>
      </c>
      <c r="L2239" s="70">
        <v>3.2200270919944396</v>
      </c>
      <c r="M2239" s="71">
        <f>IF(L2239&lt;1,1,L2239)</f>
        <v>3.2200270919944396</v>
      </c>
      <c r="N2239" s="70" t="s">
        <v>141</v>
      </c>
      <c r="O2239" s="71">
        <f>INDEX(DurClassMapping,MATCH(M2239,MappingTables!$D$4:$D$8,-1),1)</f>
        <v>1</v>
      </c>
      <c r="P2239" s="73">
        <f>IF(M2239=$A$1,1,$M2239-INDEX(MappingTables!$E$4:$E$8,MATCH(O2239,MappingTables!$B$4:$B$8,0)))</f>
        <v>3.2200270919944396</v>
      </c>
      <c r="Q2239" s="71">
        <f>IF(B2239="",0,INDEX(ModelParameters!$D$6:$K$10,MATCH($O2239,ModelParameters!$B$6:$B$10,0),MATCH($J2239,ModelParameters!$D$5:$K$5,0)))</f>
        <v>0.045</v>
      </c>
      <c r="R2239" s="71">
        <f>IF(B2239="",0,INDEX(ModelParameters!$D$13:$K$17,MATCH($O2239,ModelParameters!$B$13:$B$17,0),MATCH($J2239,ModelParameters!$D$5:$K$5,0)))</f>
        <v>0</v>
      </c>
      <c r="S2239" s="160">
        <f>IF(B2239="",0,MIN(IF($N2239="Other Bond TM",ModelParameters!$N$21,1)*(P2239*Q2239+R2239),1))</f>
        <v>0.14490121913974976</v>
      </c>
      <c r="T2239" s="85">
        <f>IF(B2239="",0,$S2239*$K2239)</f>
        <v>1263.8615351133702</v>
      </c>
      <c r="U2239" s="85">
        <f>IF(B2239="",0,IF(OR(H2239=MappingTables!$C$34,H2239=MappingTables!$C$35),T2239,0))</f>
        <v>0</v>
      </c>
      <c r="V2239" s="85">
        <f>IF(ISNA(IF(AND(VLOOKUP(CONCATENATE($D2239,$G2239),CSRFinput!$B:$E,4,0)=0,OR(H2239=MappingTables!$C$34,H2239=MappingTables!$C$35)),1,VLOOKUP(CONCATENATE($D2239,$G2239),CSRFinput!$B:$E,4,0))),0,IF(AND(VLOOKUP(CONCATENATE($D2239,$G2239),CSRFinput!$B:$E,4,0)=0,OR(H2239=MappingTables!$C$34,H2239=MappingTables!$C$35)),1,VLOOKUP(CONCATENATE($D2239,$G2239),CSRFinput!$B:$E,4,0)))</f>
        <v>0.054776304963434752</v>
      </c>
      <c r="W2239" s="85">
        <f>IF(B2239="",0,+$T2239*$V2239)</f>
        <v>69.229664878924768</v>
      </c>
      <c r="X2239" s="85">
        <f>IF(B2239="",0,IF(OR(H2239=MappingTables!$C$34,H2239=MappingTables!$C$35),W2239,0))</f>
        <v>0</v>
      </c>
    </row>
    <row r="2240" spans="2:24" s="0" customFormat="0" ht="15">
      <c r="B2240" s="69">
        <v>21761408</v>
      </c>
      <c r="C2240" s="70" t="s">
        <v>1246</v>
      </c>
      <c r="D2240" s="70" t="s">
        <v>1</v>
      </c>
      <c r="E2240" s="70" t="s">
        <v>1</v>
      </c>
      <c r="F2240" s="70"/>
      <c r="G2240" s="70" t="s">
        <v>61</v>
      </c>
      <c r="H2240" s="70" t="s">
        <v>178</v>
      </c>
      <c r="I2240" s="70" t="s">
        <v>181</v>
      </c>
      <c r="J2240" s="71">
        <f>IF(OR(I2240=0,I2240=""),"unrated",VLOOKUP(I2240,MappingTables!$B$19:$C$31,2,FALSE))</f>
        <v>3</v>
      </c>
      <c r="K2240" s="72">
        <v>10584.700685252424</v>
      </c>
      <c r="L2240" s="70">
        <v>3.8080785717333904</v>
      </c>
      <c r="M2240" s="71">
        <f>IF(L2240&lt;1,1,L2240)</f>
        <v>3.8080785717333904</v>
      </c>
      <c r="N2240" s="70" t="s">
        <v>141</v>
      </c>
      <c r="O2240" s="71">
        <f>INDEX(DurClassMapping,MATCH(M2240,MappingTables!$D$4:$D$8,-1),1)</f>
        <v>1</v>
      </c>
      <c r="P2240" s="73">
        <f>IF(M2240=$A$1,1,$M2240-INDEX(MappingTables!$E$4:$E$8,MATCH(O2240,MappingTables!$B$4:$B$8,0)))</f>
        <v>3.8080785717333904</v>
      </c>
      <c r="Q2240" s="71">
        <f>IF(B2240="",0,INDEX(ModelParameters!$D$6:$K$10,MATCH($O2240,ModelParameters!$B$6:$B$10,0),MATCH($J2240,ModelParameters!$D$5:$K$5,0)))</f>
        <v>0.025</v>
      </c>
      <c r="R2240" s="71">
        <f>IF(B2240="",0,INDEX(ModelParameters!$D$13:$K$17,MATCH($O2240,ModelParameters!$B$13:$B$17,0),MATCH($J2240,ModelParameters!$D$5:$K$5,0)))</f>
        <v>0</v>
      </c>
      <c r="S2240" s="160">
        <f>IF(B2240="",0,MIN(IF($N2240="Other Bond TM",ModelParameters!$N$21,1)*(P2240*Q2240+R2240),1))</f>
        <v>0.095201964293334752</v>
      </c>
      <c r="T2240" s="85">
        <f>IF(B2240="",0,$S2240*$K2240)</f>
        <v>1007.6842966930372</v>
      </c>
      <c r="U2240" s="85">
        <f>IF(B2240="",0,IF(OR(H2240=MappingTables!$C$34,H2240=MappingTables!$C$35),T2240,0))</f>
        <v>0</v>
      </c>
      <c r="V2240" s="85">
        <f>IF(ISNA(IF(AND(VLOOKUP(CONCATENATE($D2240,$G2240),CSRFinput!$B:$E,4,0)=0,OR(H2240=MappingTables!$C$34,H2240=MappingTables!$C$35)),1,VLOOKUP(CONCATENATE($D2240,$G2240),CSRFinput!$B:$E,4,0))),0,IF(AND(VLOOKUP(CONCATENATE($D2240,$G2240),CSRFinput!$B:$E,4,0)=0,OR(H2240=MappingTables!$C$34,H2240=MappingTables!$C$35)),1,VLOOKUP(CONCATENATE($D2240,$G2240),CSRFinput!$B:$E,4,0)))</f>
        <v>0.054776304963434752</v>
      </c>
      <c r="W2240" s="85">
        <f>IF(B2240="",0,+$T2240*$V2240)</f>
        <v>55.197222342522072</v>
      </c>
      <c r="X2240" s="85">
        <f>IF(B2240="",0,IF(OR(H2240=MappingTables!$C$34,H2240=MappingTables!$C$35),W2240,0))</f>
        <v>0</v>
      </c>
    </row>
    <row r="2241" spans="2:24" s="0" customFormat="0" ht="15">
      <c r="B2241" s="69">
        <v>18003004</v>
      </c>
      <c r="C2241" s="70" t="s">
        <v>2290</v>
      </c>
      <c r="D2241" s="70" t="s">
        <v>1</v>
      </c>
      <c r="E2241" s="70" t="s">
        <v>1</v>
      </c>
      <c r="F2241" s="70"/>
      <c r="G2241" s="70" t="s">
        <v>61</v>
      </c>
      <c r="H2241" s="70" t="s">
        <v>178</v>
      </c>
      <c r="I2241" s="70" t="s">
        <v>188</v>
      </c>
      <c r="J2241" s="71">
        <f>IF(OR(I2241=0,I2241=""),"unrated",VLOOKUP(I2241,MappingTables!$B$19:$C$31,2,FALSE))</f>
        <v>2</v>
      </c>
      <c r="K2241" s="72">
        <v>11.208876816535126</v>
      </c>
      <c r="L2241" s="70">
        <v>0.79086512293361408</v>
      </c>
      <c r="M2241" s="71">
        <f>IF(L2241&lt;1,1,L2241)</f>
        <v>1</v>
      </c>
      <c r="N2241" s="70" t="s">
        <v>141</v>
      </c>
      <c r="O2241" s="71">
        <f>INDEX(DurClassMapping,MATCH(M2241,MappingTables!$D$4:$D$8,-1),1)</f>
        <v>1</v>
      </c>
      <c r="P2241" s="73">
        <f>IF(M2241=$A$1,1,$M2241-INDEX(MappingTables!$E$4:$E$8,MATCH(O2241,MappingTables!$B$4:$B$8,0)))</f>
        <v>1</v>
      </c>
      <c r="Q2241" s="71">
        <f>IF(B2241="",0,INDEX(ModelParameters!$D$6:$K$10,MATCH($O2241,ModelParameters!$B$6:$B$10,0),MATCH($J2241,ModelParameters!$D$5:$K$5,0)))</f>
        <v>0.013999999999999998</v>
      </c>
      <c r="R2241" s="71">
        <f>IF(B2241="",0,INDEX(ModelParameters!$D$13:$K$17,MATCH($O2241,ModelParameters!$B$13:$B$17,0),MATCH($J2241,ModelParameters!$D$5:$K$5,0)))</f>
        <v>0</v>
      </c>
      <c r="S2241" s="160">
        <f>IF(B2241="",0,MIN(IF($N2241="Other Bond TM",ModelParameters!$N$21,1)*(P2241*Q2241+R2241),1))</f>
        <v>0.013999999999999998</v>
      </c>
      <c r="T2241" s="85">
        <f>IF(B2241="",0,$S2241*$K2241)</f>
        <v>0.15692427543149174</v>
      </c>
      <c r="U2241" s="85">
        <f>IF(B2241="",0,IF(OR(H2241=MappingTables!$C$34,H2241=MappingTables!$C$35),T2241,0))</f>
        <v>0</v>
      </c>
      <c r="V2241" s="85">
        <f>IF(ISNA(IF(AND(VLOOKUP(CONCATENATE($D2241,$G2241),CSRFinput!$B:$E,4,0)=0,OR(H2241=MappingTables!$C$34,H2241=MappingTables!$C$35)),1,VLOOKUP(CONCATENATE($D2241,$G2241),CSRFinput!$B:$E,4,0))),0,IF(AND(VLOOKUP(CONCATENATE($D2241,$G2241),CSRFinput!$B:$E,4,0)=0,OR(H2241=MappingTables!$C$34,H2241=MappingTables!$C$35)),1,VLOOKUP(CONCATENATE($D2241,$G2241),CSRFinput!$B:$E,4,0)))</f>
        <v>0.054776304963434752</v>
      </c>
      <c r="W2241" s="85">
        <f>IF(B2241="",0,+$T2241*$V2241)</f>
        <v>0.008595731967201424</v>
      </c>
      <c r="X2241" s="85">
        <f>IF(B2241="",0,IF(OR(H2241=MappingTables!$C$34,H2241=MappingTables!$C$35),W2241,0))</f>
        <v>0</v>
      </c>
    </row>
    <row r="2242" spans="2:24" s="0" customFormat="0" ht="15">
      <c r="B2242" s="69">
        <v>14826302</v>
      </c>
      <c r="C2242" s="70" t="s">
        <v>2291</v>
      </c>
      <c r="D2242" s="70" t="s">
        <v>1</v>
      </c>
      <c r="E2242" s="70" t="s">
        <v>1</v>
      </c>
      <c r="F2242" s="70"/>
      <c r="G2242" s="70" t="s">
        <v>61</v>
      </c>
      <c r="H2242" s="70" t="s">
        <v>178</v>
      </c>
      <c r="I2242" s="70" t="s">
        <v>181</v>
      </c>
      <c r="J2242" s="71">
        <f>IF(OR(I2242=0,I2242=""),"unrated",VLOOKUP(I2242,MappingTables!$B$19:$C$31,2,FALSE))</f>
        <v>3</v>
      </c>
      <c r="K2242" s="72">
        <v>0.48244626335593864</v>
      </c>
      <c r="L2242" s="70">
        <v>0.18904074341341052</v>
      </c>
      <c r="M2242" s="71">
        <f>IF(L2242&lt;1,1,L2242)</f>
        <v>1</v>
      </c>
      <c r="N2242" s="70" t="s">
        <v>141</v>
      </c>
      <c r="O2242" s="71">
        <f>INDEX(DurClassMapping,MATCH(M2242,MappingTables!$D$4:$D$8,-1),1)</f>
        <v>1</v>
      </c>
      <c r="P2242" s="73">
        <f>IF(M2242=$A$1,1,$M2242-INDEX(MappingTables!$E$4:$E$8,MATCH(O2242,MappingTables!$B$4:$B$8,0)))</f>
        <v>1</v>
      </c>
      <c r="Q2242" s="71">
        <f>IF(B2242="",0,INDEX(ModelParameters!$D$6:$K$10,MATCH($O2242,ModelParameters!$B$6:$B$10,0),MATCH($J2242,ModelParameters!$D$5:$K$5,0)))</f>
        <v>0.025</v>
      </c>
      <c r="R2242" s="71">
        <f>IF(B2242="",0,INDEX(ModelParameters!$D$13:$K$17,MATCH($O2242,ModelParameters!$B$13:$B$17,0),MATCH($J2242,ModelParameters!$D$5:$K$5,0)))</f>
        <v>0</v>
      </c>
      <c r="S2242" s="160">
        <f>IF(B2242="",0,MIN(IF($N2242="Other Bond TM",ModelParameters!$N$21,1)*(P2242*Q2242+R2242),1))</f>
        <v>0.025</v>
      </c>
      <c r="T2242" s="85">
        <f>IF(B2242="",0,$S2242*$K2242)</f>
        <v>0.012061156583898468</v>
      </c>
      <c r="U2242" s="85">
        <f>IF(B2242="",0,IF(OR(H2242=MappingTables!$C$34,H2242=MappingTables!$C$35),T2242,0))</f>
        <v>0</v>
      </c>
      <c r="V2242" s="85">
        <f>IF(ISNA(IF(AND(VLOOKUP(CONCATENATE($D2242,$G2242),CSRFinput!$B:$E,4,0)=0,OR(H2242=MappingTables!$C$34,H2242=MappingTables!$C$35)),1,VLOOKUP(CONCATENATE($D2242,$G2242),CSRFinput!$B:$E,4,0))),0,IF(AND(VLOOKUP(CONCATENATE($D2242,$G2242),CSRFinput!$B:$E,4,0)=0,OR(H2242=MappingTables!$C$34,H2242=MappingTables!$C$35)),1,VLOOKUP(CONCATENATE($D2242,$G2242),CSRFinput!$B:$E,4,0)))</f>
        <v>0.054776304963434752</v>
      </c>
      <c r="W2242" s="85">
        <f>IF(B2242="",0,+$T2242*$V2242)</f>
        <v>0.00066066559125136144</v>
      </c>
      <c r="X2242" s="85">
        <f>IF(B2242="",0,IF(OR(H2242=MappingTables!$C$34,H2242=MappingTables!$C$35),W2242,0))</f>
        <v>0</v>
      </c>
    </row>
    <row r="2243" spans="2:24" s="0" customFormat="0" ht="15">
      <c r="B2243" s="69">
        <v>17558942</v>
      </c>
      <c r="C2243" s="70" t="s">
        <v>2264</v>
      </c>
      <c r="D2243" s="70" t="s">
        <v>1</v>
      </c>
      <c r="E2243" s="70" t="s">
        <v>1</v>
      </c>
      <c r="F2243" s="70"/>
      <c r="G2243" s="70" t="s">
        <v>61</v>
      </c>
      <c r="H2243" s="70" t="s">
        <v>178</v>
      </c>
      <c r="I2243" s="70" t="s">
        <v>184</v>
      </c>
      <c r="J2243" s="71">
        <f>IF(OR(I2243=0,I2243=""),"unrated",VLOOKUP(I2243,MappingTables!$B$19:$C$31,2,FALSE))</f>
        <v>5</v>
      </c>
      <c r="K2243" s="72">
        <v>394.1476006002112</v>
      </c>
      <c r="L2243" s="70">
        <v>0.08767126490548352</v>
      </c>
      <c r="M2243" s="71">
        <f>IF(L2243&lt;1,1,L2243)</f>
        <v>1</v>
      </c>
      <c r="N2243" s="70" t="s">
        <v>141</v>
      </c>
      <c r="O2243" s="71">
        <f>INDEX(DurClassMapping,MATCH(M2243,MappingTables!$D$4:$D$8,-1),1)</f>
        <v>1</v>
      </c>
      <c r="P2243" s="73">
        <f>IF(M2243=$A$1,1,$M2243-INDEX(MappingTables!$E$4:$E$8,MATCH(O2243,MappingTables!$B$4:$B$8,0)))</f>
        <v>1</v>
      </c>
      <c r="Q2243" s="71">
        <f>IF(B2243="",0,INDEX(ModelParameters!$D$6:$K$10,MATCH($O2243,ModelParameters!$B$6:$B$10,0),MATCH($J2243,ModelParameters!$D$5:$K$5,0)))</f>
        <v>0.075</v>
      </c>
      <c r="R2243" s="71">
        <f>IF(B2243="",0,INDEX(ModelParameters!$D$13:$K$17,MATCH($O2243,ModelParameters!$B$13:$B$17,0),MATCH($J2243,ModelParameters!$D$5:$K$5,0)))</f>
        <v>0</v>
      </c>
      <c r="S2243" s="160">
        <f>IF(B2243="",0,MIN(IF($N2243="Other Bond TM",ModelParameters!$N$21,1)*(P2243*Q2243+R2243),1))</f>
        <v>0.075</v>
      </c>
      <c r="T2243" s="85">
        <f>IF(B2243="",0,$S2243*$K2243)</f>
        <v>29.56107004501584</v>
      </c>
      <c r="U2243" s="85">
        <f>IF(B2243="",0,IF(OR(H2243=MappingTables!$C$34,H2243=MappingTables!$C$35),T2243,0))</f>
        <v>0</v>
      </c>
      <c r="V2243" s="85">
        <f>IF(ISNA(IF(AND(VLOOKUP(CONCATENATE($D2243,$G2243),CSRFinput!$B:$E,4,0)=0,OR(H2243=MappingTables!$C$34,H2243=MappingTables!$C$35)),1,VLOOKUP(CONCATENATE($D2243,$G2243),CSRFinput!$B:$E,4,0))),0,IF(AND(VLOOKUP(CONCATENATE($D2243,$G2243),CSRFinput!$B:$E,4,0)=0,OR(H2243=MappingTables!$C$34,H2243=MappingTables!$C$35)),1,VLOOKUP(CONCATENATE($D2243,$G2243),CSRFinput!$B:$E,4,0)))</f>
        <v>0.054776304963434752</v>
      </c>
      <c r="W2243" s="85">
        <f>IF(B2243="",0,+$T2243*$V2243)</f>
        <v>1.6192461878312434</v>
      </c>
      <c r="X2243" s="85">
        <f>IF(B2243="",0,IF(OR(H2243=MappingTables!$C$34,H2243=MappingTables!$C$35),W2243,0))</f>
        <v>0</v>
      </c>
    </row>
    <row r="2244" spans="2:24" s="0" customFormat="0" ht="15">
      <c r="B2244" s="69">
        <v>18126166</v>
      </c>
      <c r="C2244" s="70" t="s">
        <v>1945</v>
      </c>
      <c r="D2244" s="70" t="s">
        <v>1</v>
      </c>
      <c r="E2244" s="70" t="s">
        <v>1</v>
      </c>
      <c r="F2244" s="70"/>
      <c r="G2244" s="70" t="s">
        <v>61</v>
      </c>
      <c r="H2244" s="70" t="s">
        <v>178</v>
      </c>
      <c r="I2244" s="70" t="s">
        <v>216</v>
      </c>
      <c r="J2244" s="71">
        <f>IF(OR(I2244=0,I2244=""),"unrated",VLOOKUP(I2244,MappingTables!$B$19:$C$31,2,FALSE))</f>
        <v>0</v>
      </c>
      <c r="K2244" s="72">
        <v>155.14739455610192</v>
      </c>
      <c r="L2244" s="70">
        <v>0.77882861950729104</v>
      </c>
      <c r="M2244" s="71">
        <f>IF(L2244&lt;1,1,L2244)</f>
        <v>1</v>
      </c>
      <c r="N2244" s="70" t="s">
        <v>141</v>
      </c>
      <c r="O2244" s="71">
        <f>INDEX(DurClassMapping,MATCH(M2244,MappingTables!$D$4:$D$8,-1),1)</f>
        <v>1</v>
      </c>
      <c r="P2244" s="73">
        <f>IF(M2244=$A$1,1,$M2244-INDEX(MappingTables!$E$4:$E$8,MATCH(O2244,MappingTables!$B$4:$B$8,0)))</f>
        <v>1</v>
      </c>
      <c r="Q2244" s="71">
        <f>IF(B2244="",0,INDEX(ModelParameters!$D$6:$K$10,MATCH($O2244,ModelParameters!$B$6:$B$10,0),MATCH($J2244,ModelParameters!$D$5:$K$5,0)))</f>
        <v>0.0090000000000000016</v>
      </c>
      <c r="R2244" s="71">
        <f>IF(B2244="",0,INDEX(ModelParameters!$D$13:$K$17,MATCH($O2244,ModelParameters!$B$13:$B$17,0),MATCH($J2244,ModelParameters!$D$5:$K$5,0)))</f>
        <v>0</v>
      </c>
      <c r="S2244" s="160">
        <f>IF(B2244="",0,MIN(IF($N2244="Other Bond TM",ModelParameters!$N$21,1)*(P2244*Q2244+R2244),1))</f>
        <v>0.0090000000000000016</v>
      </c>
      <c r="T2244" s="85">
        <f>IF(B2244="",0,$S2244*$K2244)</f>
        <v>1.3963265510049174</v>
      </c>
      <c r="U2244" s="85">
        <f>IF(B2244="",0,IF(OR(H2244=MappingTables!$C$34,H2244=MappingTables!$C$35),T2244,0))</f>
        <v>0</v>
      </c>
      <c r="V2244" s="85">
        <f>IF(ISNA(IF(AND(VLOOKUP(CONCATENATE($D2244,$G2244),CSRFinput!$B:$E,4,0)=0,OR(H2244=MappingTables!$C$34,H2244=MappingTables!$C$35)),1,VLOOKUP(CONCATENATE($D2244,$G2244),CSRFinput!$B:$E,4,0))),0,IF(AND(VLOOKUP(CONCATENATE($D2244,$G2244),CSRFinput!$B:$E,4,0)=0,OR(H2244=MappingTables!$C$34,H2244=MappingTables!$C$35)),1,VLOOKUP(CONCATENATE($D2244,$G2244),CSRFinput!$B:$E,4,0)))</f>
        <v>0.054776304963434752</v>
      </c>
      <c r="W2244" s="85">
        <f>IF(B2244="",0,+$T2244*$V2244)</f>
        <v>0.076485608986386384</v>
      </c>
      <c r="X2244" s="85">
        <f>IF(B2244="",0,IF(OR(H2244=MappingTables!$C$34,H2244=MappingTables!$C$35),W2244,0))</f>
        <v>0</v>
      </c>
    </row>
    <row r="2245" spans="2:24" s="0" customFormat="0" ht="15">
      <c r="B2245" s="69">
        <v>22318845</v>
      </c>
      <c r="C2245" s="70" t="s">
        <v>815</v>
      </c>
      <c r="D2245" s="70" t="s">
        <v>1</v>
      </c>
      <c r="E2245" s="70" t="s">
        <v>1</v>
      </c>
      <c r="F2245" s="70"/>
      <c r="G2245" s="70" t="s">
        <v>61</v>
      </c>
      <c r="H2245" s="70" t="s">
        <v>178</v>
      </c>
      <c r="I2245" s="70" t="s">
        <v>181</v>
      </c>
      <c r="J2245" s="71">
        <f>IF(OR(I2245=0,I2245=""),"unrated",VLOOKUP(I2245,MappingTables!$B$19:$C$31,2,FALSE))</f>
        <v>3</v>
      </c>
      <c r="K2245" s="72">
        <v>234.47769928240372</v>
      </c>
      <c r="L2245" s="70">
        <v>0.13698787260473738</v>
      </c>
      <c r="M2245" s="71">
        <f>IF(L2245&lt;1,1,L2245)</f>
        <v>1</v>
      </c>
      <c r="N2245" s="70" t="s">
        <v>141</v>
      </c>
      <c r="O2245" s="71">
        <f>INDEX(DurClassMapping,MATCH(M2245,MappingTables!$D$4:$D$8,-1),1)</f>
        <v>1</v>
      </c>
      <c r="P2245" s="73">
        <f>IF(M2245=$A$1,1,$M2245-INDEX(MappingTables!$E$4:$E$8,MATCH(O2245,MappingTables!$B$4:$B$8,0)))</f>
        <v>1</v>
      </c>
      <c r="Q2245" s="71">
        <f>IF(B2245="",0,INDEX(ModelParameters!$D$6:$K$10,MATCH($O2245,ModelParameters!$B$6:$B$10,0),MATCH($J2245,ModelParameters!$D$5:$K$5,0)))</f>
        <v>0.025</v>
      </c>
      <c r="R2245" s="71">
        <f>IF(B2245="",0,INDEX(ModelParameters!$D$13:$K$17,MATCH($O2245,ModelParameters!$B$13:$B$17,0),MATCH($J2245,ModelParameters!$D$5:$K$5,0)))</f>
        <v>0</v>
      </c>
      <c r="S2245" s="160">
        <f>IF(B2245="",0,MIN(IF($N2245="Other Bond TM",ModelParameters!$N$21,1)*(P2245*Q2245+R2245),1))</f>
        <v>0.025</v>
      </c>
      <c r="T2245" s="85">
        <f>IF(B2245="",0,$S2245*$K2245)</f>
        <v>5.8619424820600928</v>
      </c>
      <c r="U2245" s="85">
        <f>IF(B2245="",0,IF(OR(H2245=MappingTables!$C$34,H2245=MappingTables!$C$35),T2245,0))</f>
        <v>0</v>
      </c>
      <c r="V2245" s="85">
        <f>IF(ISNA(IF(AND(VLOOKUP(CONCATENATE($D2245,$G2245),CSRFinput!$B:$E,4,0)=0,OR(H2245=MappingTables!$C$34,H2245=MappingTables!$C$35)),1,VLOOKUP(CONCATENATE($D2245,$G2245),CSRFinput!$B:$E,4,0))),0,IF(AND(VLOOKUP(CONCATENATE($D2245,$G2245),CSRFinput!$B:$E,4,0)=0,OR(H2245=MappingTables!$C$34,H2245=MappingTables!$C$35)),1,VLOOKUP(CONCATENATE($D2245,$G2245),CSRFinput!$B:$E,4,0)))</f>
        <v>0.054776304963434752</v>
      </c>
      <c r="W2245" s="85">
        <f>IF(B2245="",0,+$T2245*$V2245)</f>
        <v>0.32109554907543732</v>
      </c>
      <c r="X2245" s="85">
        <f>IF(B2245="",0,IF(OR(H2245=MappingTables!$C$34,H2245=MappingTables!$C$35),W2245,0))</f>
        <v>0</v>
      </c>
    </row>
    <row r="2246" spans="2:24" s="0" customFormat="0" ht="15">
      <c r="B2246" s="69" t="s">
        <v>2039</v>
      </c>
      <c r="C2246" s="70" t="s">
        <v>2040</v>
      </c>
      <c r="D2246" s="70" t="s">
        <v>1</v>
      </c>
      <c r="E2246" s="70" t="s">
        <v>1</v>
      </c>
      <c r="F2246" s="70"/>
      <c r="G2246" s="70" t="s">
        <v>61</v>
      </c>
      <c r="H2246" s="70" t="s">
        <v>178</v>
      </c>
      <c r="I2246" s="70" t="s">
        <v>188</v>
      </c>
      <c r="J2246" s="71">
        <f>IF(OR(I2246=0,I2246=""),"unrated",VLOOKUP(I2246,MappingTables!$B$19:$C$31,2,FALSE))</f>
        <v>2</v>
      </c>
      <c r="K2246" s="72">
        <v>0.56468277410669152</v>
      </c>
      <c r="L2246" s="70">
        <v>1.3529837528315858</v>
      </c>
      <c r="M2246" s="71">
        <f>IF(L2246&lt;1,1,L2246)</f>
        <v>1.3529837528315858</v>
      </c>
      <c r="N2246" s="70" t="s">
        <v>141</v>
      </c>
      <c r="O2246" s="71">
        <f>INDEX(DurClassMapping,MATCH(M2246,MappingTables!$D$4:$D$8,-1),1)</f>
        <v>1</v>
      </c>
      <c r="P2246" s="73">
        <f>IF(M2246=$A$1,1,$M2246-INDEX(MappingTables!$E$4:$E$8,MATCH(O2246,MappingTables!$B$4:$B$8,0)))</f>
        <v>1.3529837528315858</v>
      </c>
      <c r="Q2246" s="71">
        <f>IF(B2246="",0,INDEX(ModelParameters!$D$6:$K$10,MATCH($O2246,ModelParameters!$B$6:$B$10,0),MATCH($J2246,ModelParameters!$D$5:$K$5,0)))</f>
        <v>0.013999999999999998</v>
      </c>
      <c r="R2246" s="71">
        <f>IF(B2246="",0,INDEX(ModelParameters!$D$13:$K$17,MATCH($O2246,ModelParameters!$B$13:$B$17,0),MATCH($J2246,ModelParameters!$D$5:$K$5,0)))</f>
        <v>0</v>
      </c>
      <c r="S2246" s="160">
        <f>IF(B2246="",0,MIN(IF($N2246="Other Bond TM",ModelParameters!$N$21,1)*(P2246*Q2246+R2246),1))</f>
        <v>0.0189417725396422</v>
      </c>
      <c r="T2246" s="85">
        <f>IF(B2246="",0,$S2246*$K2246)</f>
        <v>0.010696092664183108</v>
      </c>
      <c r="U2246" s="85">
        <f>IF(B2246="",0,IF(OR(H2246=MappingTables!$C$34,H2246=MappingTables!$C$35),T2246,0))</f>
        <v>0</v>
      </c>
      <c r="V2246" s="85">
        <f>IF(ISNA(IF(AND(VLOOKUP(CONCATENATE($D2246,$G2246),CSRFinput!$B:$E,4,0)=0,OR(H2246=MappingTables!$C$34,H2246=MappingTables!$C$35)),1,VLOOKUP(CONCATENATE($D2246,$G2246),CSRFinput!$B:$E,4,0))),0,IF(AND(VLOOKUP(CONCATENATE($D2246,$G2246),CSRFinput!$B:$E,4,0)=0,OR(H2246=MappingTables!$C$34,H2246=MappingTables!$C$35)),1,VLOOKUP(CONCATENATE($D2246,$G2246),CSRFinput!$B:$E,4,0)))</f>
        <v>0.054776304963434752</v>
      </c>
      <c r="W2246" s="85">
        <f>IF(B2246="",0,+$T2246*$V2246)</f>
        <v>0.00058589243369045128</v>
      </c>
      <c r="X2246" s="85">
        <f>IF(B2246="",0,IF(OR(H2246=MappingTables!$C$34,H2246=MappingTables!$C$35),W2246,0))</f>
        <v>0</v>
      </c>
    </row>
    <row r="2247" spans="2:24" s="0" customFormat="0" ht="15">
      <c r="B2247" s="69">
        <v>22896296</v>
      </c>
      <c r="C2247" s="70" t="s">
        <v>2292</v>
      </c>
      <c r="D2247" s="70" t="s">
        <v>1</v>
      </c>
      <c r="E2247" s="70" t="s">
        <v>1</v>
      </c>
      <c r="F2247" s="70"/>
      <c r="G2247" s="70" t="s">
        <v>61</v>
      </c>
      <c r="H2247" s="70" t="s">
        <v>178</v>
      </c>
      <c r="I2247" s="70" t="s">
        <v>188</v>
      </c>
      <c r="J2247" s="71">
        <f>IF(OR(I2247=0,I2247=""),"unrated",VLOOKUP(I2247,MappingTables!$B$19:$C$31,2,FALSE))</f>
        <v>2</v>
      </c>
      <c r="K2247" s="72">
        <v>11481.771742607718</v>
      </c>
      <c r="L2247" s="70">
        <v>4.2036388959074288</v>
      </c>
      <c r="M2247" s="71">
        <f>IF(L2247&lt;1,1,L2247)</f>
        <v>4.2036388959074288</v>
      </c>
      <c r="N2247" s="70" t="s">
        <v>141</v>
      </c>
      <c r="O2247" s="71">
        <f>INDEX(DurClassMapping,MATCH(M2247,MappingTables!$D$4:$D$8,-1),1)</f>
        <v>1</v>
      </c>
      <c r="P2247" s="73">
        <f>IF(M2247=$A$1,1,$M2247-INDEX(MappingTables!$E$4:$E$8,MATCH(O2247,MappingTables!$B$4:$B$8,0)))</f>
        <v>4.2036388959074288</v>
      </c>
      <c r="Q2247" s="71">
        <f>IF(B2247="",0,INDEX(ModelParameters!$D$6:$K$10,MATCH($O2247,ModelParameters!$B$6:$B$10,0),MATCH($J2247,ModelParameters!$D$5:$K$5,0)))</f>
        <v>0.013999999999999998</v>
      </c>
      <c r="R2247" s="71">
        <f>IF(B2247="",0,INDEX(ModelParameters!$D$13:$K$17,MATCH($O2247,ModelParameters!$B$13:$B$17,0),MATCH($J2247,ModelParameters!$D$5:$K$5,0)))</f>
        <v>0</v>
      </c>
      <c r="S2247" s="160">
        <f>IF(B2247="",0,MIN(IF($N2247="Other Bond TM",ModelParameters!$N$21,1)*(P2247*Q2247+R2247),1))</f>
        <v>0.058850944542703992</v>
      </c>
      <c r="T2247" s="85">
        <f>IF(B2247="",0,$S2247*$K2247)</f>
        <v>675.71311207619264</v>
      </c>
      <c r="U2247" s="85">
        <f>IF(B2247="",0,IF(OR(H2247=MappingTables!$C$34,H2247=MappingTables!$C$35),T2247,0))</f>
        <v>0</v>
      </c>
      <c r="V2247" s="85">
        <f>IF(ISNA(IF(AND(VLOOKUP(CONCATENATE($D2247,$G2247),CSRFinput!$B:$E,4,0)=0,OR(H2247=MappingTables!$C$34,H2247=MappingTables!$C$35)),1,VLOOKUP(CONCATENATE($D2247,$G2247),CSRFinput!$B:$E,4,0))),0,IF(AND(VLOOKUP(CONCATENATE($D2247,$G2247),CSRFinput!$B:$E,4,0)=0,OR(H2247=MappingTables!$C$34,H2247=MappingTables!$C$35)),1,VLOOKUP(CONCATENATE($D2247,$G2247),CSRFinput!$B:$E,4,0)))</f>
        <v>0.054776304963434752</v>
      </c>
      <c r="W2247" s="85">
        <f>IF(B2247="",0,+$T2247*$V2247)</f>
        <v>37.013067494877088</v>
      </c>
      <c r="X2247" s="85">
        <f>IF(B2247="",0,IF(OR(H2247=MappingTables!$C$34,H2247=MappingTables!$C$35),W2247,0))</f>
        <v>0</v>
      </c>
    </row>
    <row r="2248" spans="2:24" s="0" customFormat="0" ht="15">
      <c r="B2248" s="69">
        <v>21617036</v>
      </c>
      <c r="C2248" s="70" t="s">
        <v>2293</v>
      </c>
      <c r="D2248" s="70" t="s">
        <v>1</v>
      </c>
      <c r="E2248" s="70" t="s">
        <v>1</v>
      </c>
      <c r="F2248" s="70"/>
      <c r="G2248" s="70" t="s">
        <v>61</v>
      </c>
      <c r="H2248" s="70" t="s">
        <v>178</v>
      </c>
      <c r="I2248" s="70" t="s">
        <v>181</v>
      </c>
      <c r="J2248" s="71">
        <f>IF(OR(I2248=0,I2248=""),"unrated",VLOOKUP(I2248,MappingTables!$B$19:$C$31,2,FALSE))</f>
        <v>3</v>
      </c>
      <c r="K2248" s="72">
        <v>13432.74190246221</v>
      </c>
      <c r="L2248" s="70">
        <v>0.087673643082480144</v>
      </c>
      <c r="M2248" s="71">
        <f>IF(L2248&lt;1,1,L2248)</f>
        <v>1</v>
      </c>
      <c r="N2248" s="70" t="s">
        <v>141</v>
      </c>
      <c r="O2248" s="71">
        <f>INDEX(DurClassMapping,MATCH(M2248,MappingTables!$D$4:$D$8,-1),1)</f>
        <v>1</v>
      </c>
      <c r="P2248" s="73">
        <f>IF(M2248=$A$1,1,$M2248-INDEX(MappingTables!$E$4:$E$8,MATCH(O2248,MappingTables!$B$4:$B$8,0)))</f>
        <v>1</v>
      </c>
      <c r="Q2248" s="71">
        <f>IF(B2248="",0,INDEX(ModelParameters!$D$6:$K$10,MATCH($O2248,ModelParameters!$B$6:$B$10,0),MATCH($J2248,ModelParameters!$D$5:$K$5,0)))</f>
        <v>0.025</v>
      </c>
      <c r="R2248" s="71">
        <f>IF(B2248="",0,INDEX(ModelParameters!$D$13:$K$17,MATCH($O2248,ModelParameters!$B$13:$B$17,0),MATCH($J2248,ModelParameters!$D$5:$K$5,0)))</f>
        <v>0</v>
      </c>
      <c r="S2248" s="160">
        <f>IF(B2248="",0,MIN(IF($N2248="Other Bond TM",ModelParameters!$N$21,1)*(P2248*Q2248+R2248),1))</f>
        <v>0.025</v>
      </c>
      <c r="T2248" s="85">
        <f>IF(B2248="",0,$S2248*$K2248)</f>
        <v>335.81854756155532</v>
      </c>
      <c r="U2248" s="85">
        <f>IF(B2248="",0,IF(OR(H2248=MappingTables!$C$34,H2248=MappingTables!$C$35),T2248,0))</f>
        <v>0</v>
      </c>
      <c r="V2248" s="85">
        <f>IF(ISNA(IF(AND(VLOOKUP(CONCATENATE($D2248,$G2248),CSRFinput!$B:$E,4,0)=0,OR(H2248=MappingTables!$C$34,H2248=MappingTables!$C$35)),1,VLOOKUP(CONCATENATE($D2248,$G2248),CSRFinput!$B:$E,4,0))),0,IF(AND(VLOOKUP(CONCATENATE($D2248,$G2248),CSRFinput!$B:$E,4,0)=0,OR(H2248=MappingTables!$C$34,H2248=MappingTables!$C$35)),1,VLOOKUP(CONCATENATE($D2248,$G2248),CSRFinput!$B:$E,4,0)))</f>
        <v>0.054776304963434752</v>
      </c>
      <c r="W2248" s="85">
        <f>IF(B2248="",0,+$T2248*$V2248)</f>
        <v>18.394899173609472</v>
      </c>
      <c r="X2248" s="85">
        <f>IF(B2248="",0,IF(OR(H2248=MappingTables!$C$34,H2248=MappingTables!$C$35),W2248,0))</f>
        <v>0</v>
      </c>
    </row>
    <row r="2249" spans="2:24" s="0" customFormat="0" ht="15">
      <c r="B2249" s="69">
        <v>21085220</v>
      </c>
      <c r="C2249" s="70" t="s">
        <v>1721</v>
      </c>
      <c r="D2249" s="70" t="s">
        <v>1</v>
      </c>
      <c r="E2249" s="70" t="s">
        <v>1</v>
      </c>
      <c r="F2249" s="70"/>
      <c r="G2249" s="70" t="s">
        <v>61</v>
      </c>
      <c r="H2249" s="70" t="s">
        <v>178</v>
      </c>
      <c r="I2249" s="70" t="s">
        <v>181</v>
      </c>
      <c r="J2249" s="71">
        <f>IF(OR(I2249=0,I2249=""),"unrated",VLOOKUP(I2249,MappingTables!$B$19:$C$31,2,FALSE))</f>
        <v>3</v>
      </c>
      <c r="K2249" s="72">
        <v>4662.9497798906424</v>
      </c>
      <c r="L2249" s="70">
        <v>4.95404530621248</v>
      </c>
      <c r="M2249" s="71">
        <f>IF(L2249&lt;1,1,L2249)</f>
        <v>4.95404530621248</v>
      </c>
      <c r="N2249" s="70" t="s">
        <v>141</v>
      </c>
      <c r="O2249" s="71">
        <f>INDEX(DurClassMapping,MATCH(M2249,MappingTables!$D$4:$D$8,-1),1)</f>
        <v>1</v>
      </c>
      <c r="P2249" s="73">
        <f>IF(M2249=$A$1,1,$M2249-INDEX(MappingTables!$E$4:$E$8,MATCH(O2249,MappingTables!$B$4:$B$8,0)))</f>
        <v>4.95404530621248</v>
      </c>
      <c r="Q2249" s="71">
        <f>IF(B2249="",0,INDEX(ModelParameters!$D$6:$K$10,MATCH($O2249,ModelParameters!$B$6:$B$10,0),MATCH($J2249,ModelParameters!$D$5:$K$5,0)))</f>
        <v>0.025</v>
      </c>
      <c r="R2249" s="71">
        <f>IF(B2249="",0,INDEX(ModelParameters!$D$13:$K$17,MATCH($O2249,ModelParameters!$B$13:$B$17,0),MATCH($J2249,ModelParameters!$D$5:$K$5,0)))</f>
        <v>0</v>
      </c>
      <c r="S2249" s="160">
        <f>IF(B2249="",0,MIN(IF($N2249="Other Bond TM",ModelParameters!$N$21,1)*(P2249*Q2249+R2249),1))</f>
        <v>0.123851132655312</v>
      </c>
      <c r="T2249" s="85">
        <f>IF(B2249="",0,$S2249*$K2249)</f>
        <v>577.51161175429392</v>
      </c>
      <c r="U2249" s="85">
        <f>IF(B2249="",0,IF(OR(H2249=MappingTables!$C$34,H2249=MappingTables!$C$35),T2249,0))</f>
        <v>0</v>
      </c>
      <c r="V2249" s="85">
        <f>IF(ISNA(IF(AND(VLOOKUP(CONCATENATE($D2249,$G2249),CSRFinput!$B:$E,4,0)=0,OR(H2249=MappingTables!$C$34,H2249=MappingTables!$C$35)),1,VLOOKUP(CONCATENATE($D2249,$G2249),CSRFinput!$B:$E,4,0))),0,IF(AND(VLOOKUP(CONCATENATE($D2249,$G2249),CSRFinput!$B:$E,4,0)=0,OR(H2249=MappingTables!$C$34,H2249=MappingTables!$C$35)),1,VLOOKUP(CONCATENATE($D2249,$G2249),CSRFinput!$B:$E,4,0)))</f>
        <v>0.054776304963434752</v>
      </c>
      <c r="W2249" s="85">
        <f>IF(B2249="",0,+$T2249*$V2249)</f>
        <v>31.633952165377932</v>
      </c>
      <c r="X2249" s="85">
        <f>IF(B2249="",0,IF(OR(H2249=MappingTables!$C$34,H2249=MappingTables!$C$35),W2249,0))</f>
        <v>0</v>
      </c>
    </row>
    <row r="2250" spans="2:24" s="0" customFormat="0" ht="15">
      <c r="B2250" s="69" t="s">
        <v>2294</v>
      </c>
      <c r="C2250" s="70" t="s">
        <v>2295</v>
      </c>
      <c r="D2250" s="70" t="s">
        <v>1</v>
      </c>
      <c r="E2250" s="70" t="s">
        <v>1</v>
      </c>
      <c r="F2250" s="70"/>
      <c r="G2250" s="70" t="s">
        <v>61</v>
      </c>
      <c r="H2250" s="70" t="s">
        <v>178</v>
      </c>
      <c r="I2250" s="70" t="s">
        <v>198</v>
      </c>
      <c r="J2250" s="71" t="str">
        <f>IF(OR(I2250=0,I2250=""),"unrated",VLOOKUP(I2250,MappingTables!$B$19:$C$31,2,FALSE))</f>
        <v>unrated</v>
      </c>
      <c r="K2250" s="72">
        <v>0.210104010900679</v>
      </c>
      <c r="L2250" s="70">
        <v>0.12876647721619186</v>
      </c>
      <c r="M2250" s="71">
        <f>IF(L2250&lt;1,1,L2250)</f>
        <v>1</v>
      </c>
      <c r="N2250" s="70" t="s">
        <v>141</v>
      </c>
      <c r="O2250" s="71">
        <f>INDEX(DurClassMapping,MATCH(M2250,MappingTables!$D$4:$D$8,-1),1)</f>
        <v>1</v>
      </c>
      <c r="P2250" s="73">
        <f>IF(M2250=$A$1,1,$M2250-INDEX(MappingTables!$E$4:$E$8,MATCH(O2250,MappingTables!$B$4:$B$8,0)))</f>
        <v>1</v>
      </c>
      <c r="Q2250" s="71">
        <f>IF(B2250="",0,INDEX(ModelParameters!$D$6:$K$10,MATCH($O2250,ModelParameters!$B$6:$B$10,0),MATCH($J2250,ModelParameters!$D$5:$K$5,0)))</f>
        <v>0.03</v>
      </c>
      <c r="R2250" s="71">
        <f>IF(B2250="",0,INDEX(ModelParameters!$D$13:$K$17,MATCH($O2250,ModelParameters!$B$13:$B$17,0),MATCH($J2250,ModelParameters!$D$5:$K$5,0)))</f>
        <v>0</v>
      </c>
      <c r="S2250" s="160">
        <f>IF(B2250="",0,MIN(IF($N2250="Other Bond TM",ModelParameters!$N$21,1)*(P2250*Q2250+R2250),1))</f>
        <v>0.03</v>
      </c>
      <c r="T2250" s="85">
        <f>IF(B2250="",0,$S2250*$K2250)</f>
        <v>0.0063031203270203688</v>
      </c>
      <c r="U2250" s="85">
        <f>IF(B2250="",0,IF(OR(H2250=MappingTables!$C$34,H2250=MappingTables!$C$35),T2250,0))</f>
        <v>0</v>
      </c>
      <c r="V2250" s="85">
        <f>IF(ISNA(IF(AND(VLOOKUP(CONCATENATE($D2250,$G2250),CSRFinput!$B:$E,4,0)=0,OR(H2250=MappingTables!$C$34,H2250=MappingTables!$C$35)),1,VLOOKUP(CONCATENATE($D2250,$G2250),CSRFinput!$B:$E,4,0))),0,IF(AND(VLOOKUP(CONCATENATE($D2250,$G2250),CSRFinput!$B:$E,4,0)=0,OR(H2250=MappingTables!$C$34,H2250=MappingTables!$C$35)),1,VLOOKUP(CONCATENATE($D2250,$G2250),CSRFinput!$B:$E,4,0)))</f>
        <v>0.054776304963434752</v>
      </c>
      <c r="W2250" s="85">
        <f>IF(B2250="",0,+$T2250*$V2250)</f>
        <v>0.00034526164125409232</v>
      </c>
      <c r="X2250" s="85">
        <f>IF(B2250="",0,IF(OR(H2250=MappingTables!$C$34,H2250=MappingTables!$C$35),W2250,0))</f>
        <v>0</v>
      </c>
    </row>
    <row r="2251" spans="2:24" s="0" customFormat="0" ht="15">
      <c r="B2251" s="69" t="s">
        <v>2105</v>
      </c>
      <c r="C2251" s="70" t="s">
        <v>2106</v>
      </c>
      <c r="D2251" s="70" t="s">
        <v>1</v>
      </c>
      <c r="E2251" s="70" t="s">
        <v>1</v>
      </c>
      <c r="F2251" s="70"/>
      <c r="G2251" s="70" t="s">
        <v>61</v>
      </c>
      <c r="H2251" s="70" t="s">
        <v>178</v>
      </c>
      <c r="I2251" s="70" t="s">
        <v>216</v>
      </c>
      <c r="J2251" s="71">
        <f>IF(OR(I2251=0,I2251=""),"unrated",VLOOKUP(I2251,MappingTables!$B$19:$C$31,2,FALSE))</f>
        <v>0</v>
      </c>
      <c r="K2251" s="72">
        <v>420.5066613251532</v>
      </c>
      <c r="L2251" s="70">
        <v>0.52055142366471144</v>
      </c>
      <c r="M2251" s="71">
        <f>IF(L2251&lt;1,1,L2251)</f>
        <v>1</v>
      </c>
      <c r="N2251" s="70" t="s">
        <v>141</v>
      </c>
      <c r="O2251" s="71">
        <f>INDEX(DurClassMapping,MATCH(M2251,MappingTables!$D$4:$D$8,-1),1)</f>
        <v>1</v>
      </c>
      <c r="P2251" s="73">
        <f>IF(M2251=$A$1,1,$M2251-INDEX(MappingTables!$E$4:$E$8,MATCH(O2251,MappingTables!$B$4:$B$8,0)))</f>
        <v>1</v>
      </c>
      <c r="Q2251" s="71">
        <f>IF(B2251="",0,INDEX(ModelParameters!$D$6:$K$10,MATCH($O2251,ModelParameters!$B$6:$B$10,0),MATCH($J2251,ModelParameters!$D$5:$K$5,0)))</f>
        <v>0.0090000000000000016</v>
      </c>
      <c r="R2251" s="71">
        <f>IF(B2251="",0,INDEX(ModelParameters!$D$13:$K$17,MATCH($O2251,ModelParameters!$B$13:$B$17,0),MATCH($J2251,ModelParameters!$D$5:$K$5,0)))</f>
        <v>0</v>
      </c>
      <c r="S2251" s="160">
        <f>IF(B2251="",0,MIN(IF($N2251="Other Bond TM",ModelParameters!$N$21,1)*(P2251*Q2251+R2251),1))</f>
        <v>0.0090000000000000016</v>
      </c>
      <c r="T2251" s="85">
        <f>IF(B2251="",0,$S2251*$K2251)</f>
        <v>3.7845599519263792</v>
      </c>
      <c r="U2251" s="85">
        <f>IF(B2251="",0,IF(OR(H2251=MappingTables!$C$34,H2251=MappingTables!$C$35),T2251,0))</f>
        <v>0</v>
      </c>
      <c r="V2251" s="85">
        <f>IF(ISNA(IF(AND(VLOOKUP(CONCATENATE($D2251,$G2251),CSRFinput!$B:$E,4,0)=0,OR(H2251=MappingTables!$C$34,H2251=MappingTables!$C$35)),1,VLOOKUP(CONCATENATE($D2251,$G2251),CSRFinput!$B:$E,4,0))),0,IF(AND(VLOOKUP(CONCATENATE($D2251,$G2251),CSRFinput!$B:$E,4,0)=0,OR(H2251=MappingTables!$C$34,H2251=MappingTables!$C$35)),1,VLOOKUP(CONCATENATE($D2251,$G2251),CSRFinput!$B:$E,4,0)))</f>
        <v>0.054776304963434752</v>
      </c>
      <c r="W2251" s="85">
        <f>IF(B2251="",0,+$T2251*$V2251)</f>
        <v>0.20730421007912132</v>
      </c>
      <c r="X2251" s="85">
        <f>IF(B2251="",0,IF(OR(H2251=MappingTables!$C$34,H2251=MappingTables!$C$35),W2251,0))</f>
        <v>0</v>
      </c>
    </row>
    <row r="2252" spans="2:24" s="0" customFormat="0" ht="15">
      <c r="B2252" s="69" t="s">
        <v>2296</v>
      </c>
      <c r="C2252" s="70" t="s">
        <v>2297</v>
      </c>
      <c r="D2252" s="70" t="s">
        <v>1</v>
      </c>
      <c r="E2252" s="70" t="s">
        <v>1</v>
      </c>
      <c r="F2252" s="70"/>
      <c r="G2252" s="70" t="s">
        <v>61</v>
      </c>
      <c r="H2252" s="70" t="s">
        <v>178</v>
      </c>
      <c r="I2252" s="70" t="s">
        <v>198</v>
      </c>
      <c r="J2252" s="71" t="str">
        <f>IF(OR(I2252=0,I2252=""),"unrated",VLOOKUP(I2252,MappingTables!$B$19:$C$31,2,FALSE))</f>
        <v>unrated</v>
      </c>
      <c r="K2252" s="72">
        <v>1684.7757088237416</v>
      </c>
      <c r="L2252" s="70">
        <v>0.087671319258828272</v>
      </c>
      <c r="M2252" s="71">
        <f>IF(L2252&lt;1,1,L2252)</f>
        <v>1</v>
      </c>
      <c r="N2252" s="70" t="s">
        <v>141</v>
      </c>
      <c r="O2252" s="71">
        <f>INDEX(DurClassMapping,MATCH(M2252,MappingTables!$D$4:$D$8,-1),1)</f>
        <v>1</v>
      </c>
      <c r="P2252" s="73">
        <f>IF(M2252=$A$1,1,$M2252-INDEX(MappingTables!$E$4:$E$8,MATCH(O2252,MappingTables!$B$4:$B$8,0)))</f>
        <v>1</v>
      </c>
      <c r="Q2252" s="71">
        <f>IF(B2252="",0,INDEX(ModelParameters!$D$6:$K$10,MATCH($O2252,ModelParameters!$B$6:$B$10,0),MATCH($J2252,ModelParameters!$D$5:$K$5,0)))</f>
        <v>0.03</v>
      </c>
      <c r="R2252" s="71">
        <f>IF(B2252="",0,INDEX(ModelParameters!$D$13:$K$17,MATCH($O2252,ModelParameters!$B$13:$B$17,0),MATCH($J2252,ModelParameters!$D$5:$K$5,0)))</f>
        <v>0</v>
      </c>
      <c r="S2252" s="160">
        <f>IF(B2252="",0,MIN(IF($N2252="Other Bond TM",ModelParameters!$N$21,1)*(P2252*Q2252+R2252),1))</f>
        <v>0.03</v>
      </c>
      <c r="T2252" s="85">
        <f>IF(B2252="",0,$S2252*$K2252)</f>
        <v>50.543271264712248</v>
      </c>
      <c r="U2252" s="85">
        <f>IF(B2252="",0,IF(OR(H2252=MappingTables!$C$34,H2252=MappingTables!$C$35),T2252,0))</f>
        <v>0</v>
      </c>
      <c r="V2252" s="85">
        <f>IF(ISNA(IF(AND(VLOOKUP(CONCATENATE($D2252,$G2252),CSRFinput!$B:$E,4,0)=0,OR(H2252=MappingTables!$C$34,H2252=MappingTables!$C$35)),1,VLOOKUP(CONCATENATE($D2252,$G2252),CSRFinput!$B:$E,4,0))),0,IF(AND(VLOOKUP(CONCATENATE($D2252,$G2252),CSRFinput!$B:$E,4,0)=0,OR(H2252=MappingTables!$C$34,H2252=MappingTables!$C$35)),1,VLOOKUP(CONCATENATE($D2252,$G2252),CSRFinput!$B:$E,4,0)))</f>
        <v>0.054776304963434752</v>
      </c>
      <c r="W2252" s="85">
        <f>IF(B2252="",0,+$T2252*$V2252)</f>
        <v>2.7685736406454864</v>
      </c>
      <c r="X2252" s="85">
        <f>IF(B2252="",0,IF(OR(H2252=MappingTables!$C$34,H2252=MappingTables!$C$35),W2252,0))</f>
        <v>0</v>
      </c>
    </row>
    <row r="2253" spans="2:24" s="0" customFormat="0" ht="15">
      <c r="B2253" s="69" t="s">
        <v>2298</v>
      </c>
      <c r="C2253" s="70" t="s">
        <v>2299</v>
      </c>
      <c r="D2253" s="70" t="s">
        <v>1</v>
      </c>
      <c r="E2253" s="70" t="s">
        <v>1</v>
      </c>
      <c r="F2253" s="70"/>
      <c r="G2253" s="70" t="s">
        <v>61</v>
      </c>
      <c r="H2253" s="70" t="s">
        <v>178</v>
      </c>
      <c r="I2253" s="70" t="s">
        <v>181</v>
      </c>
      <c r="J2253" s="71">
        <f>IF(OR(I2253=0,I2253=""),"unrated",VLOOKUP(I2253,MappingTables!$B$19:$C$31,2,FALSE))</f>
        <v>3</v>
      </c>
      <c r="K2253" s="72">
        <v>101.87419000325706</v>
      </c>
      <c r="L2253" s="70">
        <v>1.6070491509055054</v>
      </c>
      <c r="M2253" s="71">
        <f>IF(L2253&lt;1,1,L2253)</f>
        <v>1.6070491509055054</v>
      </c>
      <c r="N2253" s="70" t="s">
        <v>141</v>
      </c>
      <c r="O2253" s="71">
        <f>INDEX(DurClassMapping,MATCH(M2253,MappingTables!$D$4:$D$8,-1),1)</f>
        <v>1</v>
      </c>
      <c r="P2253" s="73">
        <f>IF(M2253=$A$1,1,$M2253-INDEX(MappingTables!$E$4:$E$8,MATCH(O2253,MappingTables!$B$4:$B$8,0)))</f>
        <v>1.6070491509055054</v>
      </c>
      <c r="Q2253" s="71">
        <f>IF(B2253="",0,INDEX(ModelParameters!$D$6:$K$10,MATCH($O2253,ModelParameters!$B$6:$B$10,0),MATCH($J2253,ModelParameters!$D$5:$K$5,0)))</f>
        <v>0.025</v>
      </c>
      <c r="R2253" s="71">
        <f>IF(B2253="",0,INDEX(ModelParameters!$D$13:$K$17,MATCH($O2253,ModelParameters!$B$13:$B$17,0),MATCH($J2253,ModelParameters!$D$5:$K$5,0)))</f>
        <v>0</v>
      </c>
      <c r="S2253" s="160">
        <f>IF(B2253="",0,MIN(IF($N2253="Other Bond TM",ModelParameters!$N$21,1)*(P2253*Q2253+R2253),1))</f>
        <v>0.040176228772637632</v>
      </c>
      <c r="T2253" s="85">
        <f>IF(B2253="",0,$S2253*$K2253)</f>
        <v>4.0929207635980088</v>
      </c>
      <c r="U2253" s="85">
        <f>IF(B2253="",0,IF(OR(H2253=MappingTables!$C$34,H2253=MappingTables!$C$35),T2253,0))</f>
        <v>0</v>
      </c>
      <c r="V2253" s="85">
        <f>IF(ISNA(IF(AND(VLOOKUP(CONCATENATE($D2253,$G2253),CSRFinput!$B:$E,4,0)=0,OR(H2253=MappingTables!$C$34,H2253=MappingTables!$C$35)),1,VLOOKUP(CONCATENATE($D2253,$G2253),CSRFinput!$B:$E,4,0))),0,IF(AND(VLOOKUP(CONCATENATE($D2253,$G2253),CSRFinput!$B:$E,4,0)=0,OR(H2253=MappingTables!$C$34,H2253=MappingTables!$C$35)),1,VLOOKUP(CONCATENATE($D2253,$G2253),CSRFinput!$B:$E,4,0)))</f>
        <v>0.054776304963434752</v>
      </c>
      <c r="W2253" s="85">
        <f>IF(B2253="",0,+$T2253*$V2253)</f>
        <v>0.2241950759380188</v>
      </c>
      <c r="X2253" s="85">
        <f>IF(B2253="",0,IF(OR(H2253=MappingTables!$C$34,H2253=MappingTables!$C$35),W2253,0))</f>
        <v>0</v>
      </c>
    </row>
    <row r="2254" spans="2:24" s="0" customFormat="0" ht="15">
      <c r="B2254" s="69" t="s">
        <v>2300</v>
      </c>
      <c r="C2254" s="70" t="s">
        <v>2301</v>
      </c>
      <c r="D2254" s="70" t="s">
        <v>1</v>
      </c>
      <c r="E2254" s="70" t="s">
        <v>1</v>
      </c>
      <c r="F2254" s="70"/>
      <c r="G2254" s="70" t="s">
        <v>61</v>
      </c>
      <c r="H2254" s="70" t="s">
        <v>178</v>
      </c>
      <c r="I2254" s="70" t="s">
        <v>198</v>
      </c>
      <c r="J2254" s="71" t="str">
        <f>IF(OR(I2254=0,I2254=""),"unrated",VLOOKUP(I2254,MappingTables!$B$19:$C$31,2,FALSE))</f>
        <v>unrated</v>
      </c>
      <c r="K2254" s="72">
        <v>0.12048355868525392</v>
      </c>
      <c r="L2254" s="70">
        <v>0.052054292417171072</v>
      </c>
      <c r="M2254" s="71">
        <f>IF(L2254&lt;1,1,L2254)</f>
        <v>1</v>
      </c>
      <c r="N2254" s="70" t="s">
        <v>141</v>
      </c>
      <c r="O2254" s="71">
        <f>INDEX(DurClassMapping,MATCH(M2254,MappingTables!$D$4:$D$8,-1),1)</f>
        <v>1</v>
      </c>
      <c r="P2254" s="73">
        <f>IF(M2254=$A$1,1,$M2254-INDEX(MappingTables!$E$4:$E$8,MATCH(O2254,MappingTables!$B$4:$B$8,0)))</f>
        <v>1</v>
      </c>
      <c r="Q2254" s="71">
        <f>IF(B2254="",0,INDEX(ModelParameters!$D$6:$K$10,MATCH($O2254,ModelParameters!$B$6:$B$10,0),MATCH($J2254,ModelParameters!$D$5:$K$5,0)))</f>
        <v>0.03</v>
      </c>
      <c r="R2254" s="71">
        <f>IF(B2254="",0,INDEX(ModelParameters!$D$13:$K$17,MATCH($O2254,ModelParameters!$B$13:$B$17,0),MATCH($J2254,ModelParameters!$D$5:$K$5,0)))</f>
        <v>0</v>
      </c>
      <c r="S2254" s="160">
        <f>IF(B2254="",0,MIN(IF($N2254="Other Bond TM",ModelParameters!$N$21,1)*(P2254*Q2254+R2254),1))</f>
        <v>0.03</v>
      </c>
      <c r="T2254" s="85">
        <f>IF(B2254="",0,$S2254*$K2254)</f>
        <v>0.0036145067605576176</v>
      </c>
      <c r="U2254" s="85">
        <f>IF(B2254="",0,IF(OR(H2254=MappingTables!$C$34,H2254=MappingTables!$C$35),T2254,0))</f>
        <v>0</v>
      </c>
      <c r="V2254" s="85">
        <f>IF(ISNA(IF(AND(VLOOKUP(CONCATENATE($D2254,$G2254),CSRFinput!$B:$E,4,0)=0,OR(H2254=MappingTables!$C$34,H2254=MappingTables!$C$35)),1,VLOOKUP(CONCATENATE($D2254,$G2254),CSRFinput!$B:$E,4,0))),0,IF(AND(VLOOKUP(CONCATENATE($D2254,$G2254),CSRFinput!$B:$E,4,0)=0,OR(H2254=MappingTables!$C$34,H2254=MappingTables!$C$35)),1,VLOOKUP(CONCATENATE($D2254,$G2254),CSRFinput!$B:$E,4,0)))</f>
        <v>0.054776304963434752</v>
      </c>
      <c r="W2254" s="85">
        <f>IF(B2254="",0,+$T2254*$V2254)</f>
        <v>0.00019798932460870068</v>
      </c>
      <c r="X2254" s="85">
        <f>IF(B2254="",0,IF(OR(H2254=MappingTables!$C$34,H2254=MappingTables!$C$35),W2254,0))</f>
        <v>0</v>
      </c>
    </row>
    <row r="2255" spans="2:24" s="0" customFormat="0" ht="15">
      <c r="B2255" s="69">
        <v>16965277</v>
      </c>
      <c r="C2255" s="70" t="s">
        <v>2098</v>
      </c>
      <c r="D2255" s="70" t="s">
        <v>1</v>
      </c>
      <c r="E2255" s="70" t="s">
        <v>1</v>
      </c>
      <c r="F2255" s="70"/>
      <c r="G2255" s="70" t="s">
        <v>61</v>
      </c>
      <c r="H2255" s="70" t="s">
        <v>178</v>
      </c>
      <c r="I2255" s="70" t="s">
        <v>181</v>
      </c>
      <c r="J2255" s="71">
        <f>IF(OR(I2255=0,I2255=""),"unrated",VLOOKUP(I2255,MappingTables!$B$19:$C$31,2,FALSE))</f>
        <v>3</v>
      </c>
      <c r="K2255" s="72">
        <v>25.803356190295096</v>
      </c>
      <c r="L2255" s="70">
        <v>2.2936974475730584</v>
      </c>
      <c r="M2255" s="71">
        <f>IF(L2255&lt;1,1,L2255)</f>
        <v>2.2936974475730584</v>
      </c>
      <c r="N2255" s="70" t="s">
        <v>141</v>
      </c>
      <c r="O2255" s="71">
        <f>INDEX(DurClassMapping,MATCH(M2255,MappingTables!$D$4:$D$8,-1),1)</f>
        <v>1</v>
      </c>
      <c r="P2255" s="73">
        <f>IF(M2255=$A$1,1,$M2255-INDEX(MappingTables!$E$4:$E$8,MATCH(O2255,MappingTables!$B$4:$B$8,0)))</f>
        <v>2.2936974475730584</v>
      </c>
      <c r="Q2255" s="71">
        <f>IF(B2255="",0,INDEX(ModelParameters!$D$6:$K$10,MATCH($O2255,ModelParameters!$B$6:$B$10,0),MATCH($J2255,ModelParameters!$D$5:$K$5,0)))</f>
        <v>0.025</v>
      </c>
      <c r="R2255" s="71">
        <f>IF(B2255="",0,INDEX(ModelParameters!$D$13:$K$17,MATCH($O2255,ModelParameters!$B$13:$B$17,0),MATCH($J2255,ModelParameters!$D$5:$K$5,0)))</f>
        <v>0</v>
      </c>
      <c r="S2255" s="160">
        <f>IF(B2255="",0,MIN(IF($N2255="Other Bond TM",ModelParameters!$N$21,1)*(P2255*Q2255+R2255),1))</f>
        <v>0.057342436189326464</v>
      </c>
      <c r="T2255" s="85">
        <f>IF(B2255="",0,$S2255*$K2255)</f>
        <v>1.4796273058124588</v>
      </c>
      <c r="U2255" s="85">
        <f>IF(B2255="",0,IF(OR(H2255=MappingTables!$C$34,H2255=MappingTables!$C$35),T2255,0))</f>
        <v>0</v>
      </c>
      <c r="V2255" s="85">
        <f>IF(ISNA(IF(AND(VLOOKUP(CONCATENATE($D2255,$G2255),CSRFinput!$B:$E,4,0)=0,OR(H2255=MappingTables!$C$34,H2255=MappingTables!$C$35)),1,VLOOKUP(CONCATENATE($D2255,$G2255),CSRFinput!$B:$E,4,0))),0,IF(AND(VLOOKUP(CONCATENATE($D2255,$G2255),CSRFinput!$B:$E,4,0)=0,OR(H2255=MappingTables!$C$34,H2255=MappingTables!$C$35)),1,VLOOKUP(CONCATENATE($D2255,$G2255),CSRFinput!$B:$E,4,0)))</f>
        <v>0.054776304963434752</v>
      </c>
      <c r="W2255" s="85">
        <f>IF(B2255="",0,+$T2255*$V2255)</f>
        <v>0.081048516535408576</v>
      </c>
      <c r="X2255" s="85">
        <f>IF(B2255="",0,IF(OR(H2255=MappingTables!$C$34,H2255=MappingTables!$C$35),W2255,0))</f>
        <v>0</v>
      </c>
    </row>
    <row r="2256" spans="2:24" s="0" customFormat="0" ht="15">
      <c r="B2256" s="69">
        <v>21238745</v>
      </c>
      <c r="C2256" s="70" t="s">
        <v>1499</v>
      </c>
      <c r="D2256" s="70" t="s">
        <v>1</v>
      </c>
      <c r="E2256" s="70" t="s">
        <v>1</v>
      </c>
      <c r="F2256" s="70"/>
      <c r="G2256" s="70" t="s">
        <v>61</v>
      </c>
      <c r="H2256" s="70" t="s">
        <v>178</v>
      </c>
      <c r="I2256" s="70" t="s">
        <v>216</v>
      </c>
      <c r="J2256" s="71">
        <f>IF(OR(I2256=0,I2256=""),"unrated",VLOOKUP(I2256,MappingTables!$B$19:$C$31,2,FALSE))</f>
        <v>0</v>
      </c>
      <c r="K2256" s="72">
        <v>174.32846946588836</v>
      </c>
      <c r="L2256" s="70">
        <v>0.40261027940010664</v>
      </c>
      <c r="M2256" s="71">
        <f>IF(L2256&lt;1,1,L2256)</f>
        <v>1</v>
      </c>
      <c r="N2256" s="70" t="s">
        <v>141</v>
      </c>
      <c r="O2256" s="71">
        <f>INDEX(DurClassMapping,MATCH(M2256,MappingTables!$D$4:$D$8,-1),1)</f>
        <v>1</v>
      </c>
      <c r="P2256" s="73">
        <f>IF(M2256=$A$1,1,$M2256-INDEX(MappingTables!$E$4:$E$8,MATCH(O2256,MappingTables!$B$4:$B$8,0)))</f>
        <v>1</v>
      </c>
      <c r="Q2256" s="71">
        <f>IF(B2256="",0,INDEX(ModelParameters!$D$6:$K$10,MATCH($O2256,ModelParameters!$B$6:$B$10,0),MATCH($J2256,ModelParameters!$D$5:$K$5,0)))</f>
        <v>0.0090000000000000016</v>
      </c>
      <c r="R2256" s="71">
        <f>IF(B2256="",0,INDEX(ModelParameters!$D$13:$K$17,MATCH($O2256,ModelParameters!$B$13:$B$17,0),MATCH($J2256,ModelParameters!$D$5:$K$5,0)))</f>
        <v>0</v>
      </c>
      <c r="S2256" s="160">
        <f>IF(B2256="",0,MIN(IF($N2256="Other Bond TM",ModelParameters!$N$21,1)*(P2256*Q2256+R2256),1))</f>
        <v>0.0090000000000000016</v>
      </c>
      <c r="T2256" s="85">
        <f>IF(B2256="",0,$S2256*$K2256)</f>
        <v>1.5689562251929954</v>
      </c>
      <c r="U2256" s="85">
        <f>IF(B2256="",0,IF(OR(H2256=MappingTables!$C$34,H2256=MappingTables!$C$35),T2256,0))</f>
        <v>0</v>
      </c>
      <c r="V2256" s="85">
        <f>IF(ISNA(IF(AND(VLOOKUP(CONCATENATE($D2256,$G2256),CSRFinput!$B:$E,4,0)=0,OR(H2256=MappingTables!$C$34,H2256=MappingTables!$C$35)),1,VLOOKUP(CONCATENATE($D2256,$G2256),CSRFinput!$B:$E,4,0))),0,IF(AND(VLOOKUP(CONCATENATE($D2256,$G2256),CSRFinput!$B:$E,4,0)=0,OR(H2256=MappingTables!$C$34,H2256=MappingTables!$C$35)),1,VLOOKUP(CONCATENATE($D2256,$G2256),CSRFinput!$B:$E,4,0)))</f>
        <v>0.054776304963434752</v>
      </c>
      <c r="W2256" s="85">
        <f>IF(B2256="",0,+$T2256*$V2256)</f>
        <v>0.085941624665450928</v>
      </c>
      <c r="X2256" s="85">
        <f>IF(B2256="",0,IF(OR(H2256=MappingTables!$C$34,H2256=MappingTables!$C$35),W2256,0))</f>
        <v>0</v>
      </c>
    </row>
    <row r="2257" spans="2:24" s="0" customFormat="0" ht="15">
      <c r="B2257" s="69" t="s">
        <v>1437</v>
      </c>
      <c r="C2257" s="70" t="s">
        <v>1438</v>
      </c>
      <c r="D2257" s="70" t="s">
        <v>1</v>
      </c>
      <c r="E2257" s="70" t="s">
        <v>1</v>
      </c>
      <c r="F2257" s="70"/>
      <c r="G2257" s="70" t="s">
        <v>61</v>
      </c>
      <c r="H2257" s="70" t="s">
        <v>178</v>
      </c>
      <c r="I2257" s="70" t="s">
        <v>181</v>
      </c>
      <c r="J2257" s="71">
        <f>IF(OR(I2257=0,I2257=""),"unrated",VLOOKUP(I2257,MappingTables!$B$19:$C$31,2,FALSE))</f>
        <v>3</v>
      </c>
      <c r="K2257" s="72">
        <v>3608.1027490376504</v>
      </c>
      <c r="L2257" s="70">
        <v>1.5243639007227142</v>
      </c>
      <c r="M2257" s="71">
        <f>IF(L2257&lt;1,1,L2257)</f>
        <v>1.5243639007227142</v>
      </c>
      <c r="N2257" s="70" t="s">
        <v>141</v>
      </c>
      <c r="O2257" s="71">
        <f>INDEX(DurClassMapping,MATCH(M2257,MappingTables!$D$4:$D$8,-1),1)</f>
        <v>1</v>
      </c>
      <c r="P2257" s="73">
        <f>IF(M2257=$A$1,1,$M2257-INDEX(MappingTables!$E$4:$E$8,MATCH(O2257,MappingTables!$B$4:$B$8,0)))</f>
        <v>1.5243639007227142</v>
      </c>
      <c r="Q2257" s="71">
        <f>IF(B2257="",0,INDEX(ModelParameters!$D$6:$K$10,MATCH($O2257,ModelParameters!$B$6:$B$10,0),MATCH($J2257,ModelParameters!$D$5:$K$5,0)))</f>
        <v>0.025</v>
      </c>
      <c r="R2257" s="71">
        <f>IF(B2257="",0,INDEX(ModelParameters!$D$13:$K$17,MATCH($O2257,ModelParameters!$B$13:$B$17,0),MATCH($J2257,ModelParameters!$D$5:$K$5,0)))</f>
        <v>0</v>
      </c>
      <c r="S2257" s="160">
        <f>IF(B2257="",0,MIN(IF($N2257="Other Bond TM",ModelParameters!$N$21,1)*(P2257*Q2257+R2257),1))</f>
        <v>0.038109097518067856</v>
      </c>
      <c r="T2257" s="85">
        <f>IF(B2257="",0,$S2257*$K2257)</f>
        <v>137.50153951828452</v>
      </c>
      <c r="U2257" s="85">
        <f>IF(B2257="",0,IF(OR(H2257=MappingTables!$C$34,H2257=MappingTables!$C$35),T2257,0))</f>
        <v>0</v>
      </c>
      <c r="V2257" s="85">
        <f>IF(ISNA(IF(AND(VLOOKUP(CONCATENATE($D2257,$G2257),CSRFinput!$B:$E,4,0)=0,OR(H2257=MappingTables!$C$34,H2257=MappingTables!$C$35)),1,VLOOKUP(CONCATENATE($D2257,$G2257),CSRFinput!$B:$E,4,0))),0,IF(AND(VLOOKUP(CONCATENATE($D2257,$G2257),CSRFinput!$B:$E,4,0)=0,OR(H2257=MappingTables!$C$34,H2257=MappingTables!$C$35)),1,VLOOKUP(CONCATENATE($D2257,$G2257),CSRFinput!$B:$E,4,0)))</f>
        <v>0.054776304963434752</v>
      </c>
      <c r="W2257" s="85">
        <f>IF(B2257="",0,+$T2257*$V2257)</f>
        <v>7.531826261595328</v>
      </c>
      <c r="X2257" s="85">
        <f>IF(B2257="",0,IF(OR(H2257=MappingTables!$C$34,H2257=MappingTables!$C$35),W2257,0))</f>
        <v>0</v>
      </c>
    </row>
    <row r="2258" spans="2:24" s="0" customFormat="0" ht="15">
      <c r="B2258" s="69">
        <v>24432958</v>
      </c>
      <c r="C2258" s="70" t="s">
        <v>2302</v>
      </c>
      <c r="D2258" s="70" t="s">
        <v>1</v>
      </c>
      <c r="E2258" s="70" t="s">
        <v>1</v>
      </c>
      <c r="F2258" s="70"/>
      <c r="G2258" s="70" t="s">
        <v>61</v>
      </c>
      <c r="H2258" s="70" t="s">
        <v>178</v>
      </c>
      <c r="I2258" s="70" t="s">
        <v>181</v>
      </c>
      <c r="J2258" s="71">
        <f>IF(OR(I2258=0,I2258=""),"unrated",VLOOKUP(I2258,MappingTables!$B$19:$C$31,2,FALSE))</f>
        <v>3</v>
      </c>
      <c r="K2258" s="72">
        <v>391.84527825980536</v>
      </c>
      <c r="L2258" s="70">
        <v>1.500927423619983</v>
      </c>
      <c r="M2258" s="71">
        <f>IF(L2258&lt;1,1,L2258)</f>
        <v>1.500927423619983</v>
      </c>
      <c r="N2258" s="70" t="s">
        <v>141</v>
      </c>
      <c r="O2258" s="71">
        <f>INDEX(DurClassMapping,MATCH(M2258,MappingTables!$D$4:$D$8,-1),1)</f>
        <v>1</v>
      </c>
      <c r="P2258" s="73">
        <f>IF(M2258=$A$1,1,$M2258-INDEX(MappingTables!$E$4:$E$8,MATCH(O2258,MappingTables!$B$4:$B$8,0)))</f>
        <v>1.500927423619983</v>
      </c>
      <c r="Q2258" s="71">
        <f>IF(B2258="",0,INDEX(ModelParameters!$D$6:$K$10,MATCH($O2258,ModelParameters!$B$6:$B$10,0),MATCH($J2258,ModelParameters!$D$5:$K$5,0)))</f>
        <v>0.025</v>
      </c>
      <c r="R2258" s="71">
        <f>IF(B2258="",0,INDEX(ModelParameters!$D$13:$K$17,MATCH($O2258,ModelParameters!$B$13:$B$17,0),MATCH($J2258,ModelParameters!$D$5:$K$5,0)))</f>
        <v>0</v>
      </c>
      <c r="S2258" s="160">
        <f>IF(B2258="",0,MIN(IF($N2258="Other Bond TM",ModelParameters!$N$21,1)*(P2258*Q2258+R2258),1))</f>
        <v>0.037523185590499584</v>
      </c>
      <c r="T2258" s="85">
        <f>IF(B2258="",0,$S2258*$K2258)</f>
        <v>14.703283098903628</v>
      </c>
      <c r="U2258" s="85">
        <f>IF(B2258="",0,IF(OR(H2258=MappingTables!$C$34,H2258=MappingTables!$C$35),T2258,0))</f>
        <v>0</v>
      </c>
      <c r="V2258" s="85">
        <f>IF(ISNA(IF(AND(VLOOKUP(CONCATENATE($D2258,$G2258),CSRFinput!$B:$E,4,0)=0,OR(H2258=MappingTables!$C$34,H2258=MappingTables!$C$35)),1,VLOOKUP(CONCATENATE($D2258,$G2258),CSRFinput!$B:$E,4,0))),0,IF(AND(VLOOKUP(CONCATENATE($D2258,$G2258),CSRFinput!$B:$E,4,0)=0,OR(H2258=MappingTables!$C$34,H2258=MappingTables!$C$35)),1,VLOOKUP(CONCATENATE($D2258,$G2258),CSRFinput!$B:$E,4,0)))</f>
        <v>0.054776304963434752</v>
      </c>
      <c r="W2258" s="85">
        <f>IF(B2258="",0,+$T2258*$V2258)</f>
        <v>0.80539151898926112</v>
      </c>
      <c r="X2258" s="85">
        <f>IF(B2258="",0,IF(OR(H2258=MappingTables!$C$34,H2258=MappingTables!$C$35),W2258,0))</f>
        <v>0</v>
      </c>
    </row>
    <row r="2259" spans="2:24" s="0" customFormat="0" ht="15">
      <c r="B2259" s="69">
        <v>17858542</v>
      </c>
      <c r="C2259" s="70" t="s">
        <v>203</v>
      </c>
      <c r="D2259" s="70" t="s">
        <v>1</v>
      </c>
      <c r="E2259" s="70" t="s">
        <v>1</v>
      </c>
      <c r="F2259" s="70"/>
      <c r="G2259" s="70" t="s">
        <v>61</v>
      </c>
      <c r="H2259" s="70" t="s">
        <v>178</v>
      </c>
      <c r="I2259" s="70" t="s">
        <v>204</v>
      </c>
      <c r="J2259" s="71">
        <f>IF(OR(I2259=0,I2259=""),"unrated",VLOOKUP(I2259,MappingTables!$B$19:$C$31,2,FALSE))</f>
        <v>6</v>
      </c>
      <c r="K2259" s="72">
        <v>6941.257558160568</v>
      </c>
      <c r="L2259" s="70">
        <v>5.49184763576414</v>
      </c>
      <c r="M2259" s="71">
        <f>IF(L2259&lt;1,1,L2259)</f>
        <v>5.49184763576414</v>
      </c>
      <c r="N2259" s="70" t="s">
        <v>141</v>
      </c>
      <c r="O2259" s="71">
        <f>INDEX(DurClassMapping,MATCH(M2259,MappingTables!$D$4:$D$8,-1),1)</f>
        <v>2</v>
      </c>
      <c r="P2259" s="73">
        <f>IF(M2259=$A$1,1,$M2259-INDEX(MappingTables!$E$4:$E$8,MATCH(O2259,MappingTables!$B$4:$B$8,0)))</f>
        <v>0.49184763576413992</v>
      </c>
      <c r="Q2259" s="71">
        <f>IF(B2259="",0,INDEX(ModelParameters!$D$6:$K$10,MATCH($O2259,ModelParameters!$B$6:$B$10,0),MATCH($J2259,ModelParameters!$D$5:$K$5,0)))</f>
        <v>0.042</v>
      </c>
      <c r="R2259" s="71">
        <f>IF(B2259="",0,INDEX(ModelParameters!$D$13:$K$17,MATCH($O2259,ModelParameters!$B$13:$B$17,0),MATCH($J2259,ModelParameters!$D$5:$K$5,0)))</f>
        <v>0.375</v>
      </c>
      <c r="S2259" s="160">
        <f>IF(B2259="",0,MIN(IF($N2259="Other Bond TM",ModelParameters!$N$21,1)*(P2259*Q2259+R2259),1))</f>
        <v>0.39565760070209392</v>
      </c>
      <c r="T2259" s="85">
        <f>IF(B2259="",0,$S2259*$K2259)</f>
        <v>2746.3613113170848</v>
      </c>
      <c r="U2259" s="85">
        <f>IF(B2259="",0,IF(OR(H2259=MappingTables!$C$34,H2259=MappingTables!$C$35),T2259,0))</f>
        <v>0</v>
      </c>
      <c r="V2259" s="85">
        <f>IF(ISNA(IF(AND(VLOOKUP(CONCATENATE($D2259,$G2259),CSRFinput!$B:$E,4,0)=0,OR(H2259=MappingTables!$C$34,H2259=MappingTables!$C$35)),1,VLOOKUP(CONCATENATE($D2259,$G2259),CSRFinput!$B:$E,4,0))),0,IF(AND(VLOOKUP(CONCATENATE($D2259,$G2259),CSRFinput!$B:$E,4,0)=0,OR(H2259=MappingTables!$C$34,H2259=MappingTables!$C$35)),1,VLOOKUP(CONCATENATE($D2259,$G2259),CSRFinput!$B:$E,4,0)))</f>
        <v>0.054776304963434752</v>
      </c>
      <c r="W2259" s="85">
        <f>IF(B2259="",0,+$T2259*$V2259)</f>
        <v>150.43552472848322</v>
      </c>
      <c r="X2259" s="85">
        <f>IF(B2259="",0,IF(OR(H2259=MappingTables!$C$34,H2259=MappingTables!$C$35),W2259,0))</f>
        <v>0</v>
      </c>
    </row>
    <row r="2260" spans="2:24" s="0" customFormat="0" ht="15">
      <c r="B2260" s="69">
        <v>14455836</v>
      </c>
      <c r="C2260" s="70" t="s">
        <v>1268</v>
      </c>
      <c r="D2260" s="70" t="s">
        <v>1</v>
      </c>
      <c r="E2260" s="70" t="s">
        <v>1</v>
      </c>
      <c r="F2260" s="70"/>
      <c r="G2260" s="70" t="s">
        <v>61</v>
      </c>
      <c r="H2260" s="70" t="s">
        <v>178</v>
      </c>
      <c r="I2260" s="70" t="s">
        <v>204</v>
      </c>
      <c r="J2260" s="71">
        <f>IF(OR(I2260=0,I2260=""),"unrated",VLOOKUP(I2260,MappingTables!$B$19:$C$31,2,FALSE))</f>
        <v>6</v>
      </c>
      <c r="K2260" s="72">
        <v>1239.0483236137454</v>
      </c>
      <c r="L2260" s="70">
        <v>0.087669181819970672</v>
      </c>
      <c r="M2260" s="71">
        <f>IF(L2260&lt;1,1,L2260)</f>
        <v>1</v>
      </c>
      <c r="N2260" s="70" t="s">
        <v>141</v>
      </c>
      <c r="O2260" s="71">
        <f>INDEX(DurClassMapping,MATCH(M2260,MappingTables!$D$4:$D$8,-1),1)</f>
        <v>1</v>
      </c>
      <c r="P2260" s="73">
        <f>IF(M2260=$A$1,1,$M2260-INDEX(MappingTables!$E$4:$E$8,MATCH(O2260,MappingTables!$B$4:$B$8,0)))</f>
        <v>1</v>
      </c>
      <c r="Q2260" s="71">
        <f>IF(B2260="",0,INDEX(ModelParameters!$D$6:$K$10,MATCH($O2260,ModelParameters!$B$6:$B$10,0),MATCH($J2260,ModelParameters!$D$5:$K$5,0)))</f>
        <v>0.075</v>
      </c>
      <c r="R2260" s="71">
        <f>IF(B2260="",0,INDEX(ModelParameters!$D$13:$K$17,MATCH($O2260,ModelParameters!$B$13:$B$17,0),MATCH($J2260,ModelParameters!$D$5:$K$5,0)))</f>
        <v>0</v>
      </c>
      <c r="S2260" s="160">
        <f>IF(B2260="",0,MIN(IF($N2260="Other Bond TM",ModelParameters!$N$21,1)*(P2260*Q2260+R2260),1))</f>
        <v>0.075</v>
      </c>
      <c r="T2260" s="85">
        <f>IF(B2260="",0,$S2260*$K2260)</f>
        <v>92.928624271030896</v>
      </c>
      <c r="U2260" s="85">
        <f>IF(B2260="",0,IF(OR(H2260=MappingTables!$C$34,H2260=MappingTables!$C$35),T2260,0))</f>
        <v>0</v>
      </c>
      <c r="V2260" s="85">
        <f>IF(ISNA(IF(AND(VLOOKUP(CONCATENATE($D2260,$G2260),CSRFinput!$B:$E,4,0)=0,OR(H2260=MappingTables!$C$34,H2260=MappingTables!$C$35)),1,VLOOKUP(CONCATENATE($D2260,$G2260),CSRFinput!$B:$E,4,0))),0,IF(AND(VLOOKUP(CONCATENATE($D2260,$G2260),CSRFinput!$B:$E,4,0)=0,OR(H2260=MappingTables!$C$34,H2260=MappingTables!$C$35)),1,VLOOKUP(CONCATENATE($D2260,$G2260),CSRFinput!$B:$E,4,0)))</f>
        <v>0.054776304963434752</v>
      </c>
      <c r="W2260" s="85">
        <f>IF(B2260="",0,+$T2260*$V2260)</f>
        <v>5.0902866629024336</v>
      </c>
      <c r="X2260" s="85">
        <f>IF(B2260="",0,IF(OR(H2260=MappingTables!$C$34,H2260=MappingTables!$C$35),W2260,0))</f>
        <v>0</v>
      </c>
    </row>
    <row r="2261" spans="2:24" s="0" customFormat="0" ht="15">
      <c r="B2261" s="69">
        <v>14723458</v>
      </c>
      <c r="C2261" s="70" t="s">
        <v>1981</v>
      </c>
      <c r="D2261" s="70" t="s">
        <v>1</v>
      </c>
      <c r="E2261" s="70" t="s">
        <v>1</v>
      </c>
      <c r="F2261" s="70"/>
      <c r="G2261" s="70" t="s">
        <v>61</v>
      </c>
      <c r="H2261" s="70" t="s">
        <v>178</v>
      </c>
      <c r="I2261" s="70" t="s">
        <v>181</v>
      </c>
      <c r="J2261" s="71">
        <f>IF(OR(I2261=0,I2261=""),"unrated",VLOOKUP(I2261,MappingTables!$B$19:$C$31,2,FALSE))</f>
        <v>3</v>
      </c>
      <c r="K2261" s="72">
        <v>28218.268488226548</v>
      </c>
      <c r="L2261" s="70">
        <v>5.7237774164062352</v>
      </c>
      <c r="M2261" s="71">
        <f>IF(L2261&lt;1,1,L2261)</f>
        <v>5.7237774164062352</v>
      </c>
      <c r="N2261" s="70" t="s">
        <v>141</v>
      </c>
      <c r="O2261" s="71">
        <f>INDEX(DurClassMapping,MATCH(M2261,MappingTables!$D$4:$D$8,-1),1)</f>
        <v>2</v>
      </c>
      <c r="P2261" s="73">
        <f>IF(M2261=$A$1,1,$M2261-INDEX(MappingTables!$E$4:$E$8,MATCH(O2261,MappingTables!$B$4:$B$8,0)))</f>
        <v>0.72377741640623488</v>
      </c>
      <c r="Q2261" s="71">
        <f>IF(B2261="",0,INDEX(ModelParameters!$D$6:$K$10,MATCH($O2261,ModelParameters!$B$6:$B$10,0),MATCH($J2261,ModelParameters!$D$5:$K$5,0)))</f>
        <v>0.015</v>
      </c>
      <c r="R2261" s="71">
        <f>IF(B2261="",0,INDEX(ModelParameters!$D$13:$K$17,MATCH($O2261,ModelParameters!$B$13:$B$17,0),MATCH($J2261,ModelParameters!$D$5:$K$5,0)))</f>
        <v>0.125</v>
      </c>
      <c r="S2261" s="160">
        <f>IF(B2261="",0,MIN(IF($N2261="Other Bond TM",ModelParameters!$N$21,1)*(P2261*Q2261+R2261),1))</f>
        <v>0.13585666124609352</v>
      </c>
      <c r="T2261" s="85">
        <f>IF(B2261="",0,$S2261*$K2261)</f>
        <v>3833.6397429563096</v>
      </c>
      <c r="U2261" s="85">
        <f>IF(B2261="",0,IF(OR(H2261=MappingTables!$C$34,H2261=MappingTables!$C$35),T2261,0))</f>
        <v>0</v>
      </c>
      <c r="V2261" s="85">
        <f>IF(ISNA(IF(AND(VLOOKUP(CONCATENATE($D2261,$G2261),CSRFinput!$B:$E,4,0)=0,OR(H2261=MappingTables!$C$34,H2261=MappingTables!$C$35)),1,VLOOKUP(CONCATENATE($D2261,$G2261),CSRFinput!$B:$E,4,0))),0,IF(AND(VLOOKUP(CONCATENATE($D2261,$G2261),CSRFinput!$B:$E,4,0)=0,OR(H2261=MappingTables!$C$34,H2261=MappingTables!$C$35)),1,VLOOKUP(CONCATENATE($D2261,$G2261),CSRFinput!$B:$E,4,0)))</f>
        <v>0.054776304963434752</v>
      </c>
      <c r="W2261" s="85">
        <f>IF(B2261="",0,+$T2261*$V2261)</f>
        <v>209.99261968011844</v>
      </c>
      <c r="X2261" s="85">
        <f>IF(B2261="",0,IF(OR(H2261=MappingTables!$C$34,H2261=MappingTables!$C$35),W2261,0))</f>
        <v>0</v>
      </c>
    </row>
    <row r="2262" spans="2:24" s="0" customFormat="0" ht="15">
      <c r="B2262" s="69">
        <v>19612059</v>
      </c>
      <c r="C2262" s="70" t="s">
        <v>1282</v>
      </c>
      <c r="D2262" s="70" t="s">
        <v>1</v>
      </c>
      <c r="E2262" s="70" t="s">
        <v>1</v>
      </c>
      <c r="F2262" s="70"/>
      <c r="G2262" s="70" t="s">
        <v>61</v>
      </c>
      <c r="H2262" s="70" t="s">
        <v>178</v>
      </c>
      <c r="I2262" s="70" t="s">
        <v>179</v>
      </c>
      <c r="J2262" s="71">
        <f>IF(OR(I2262=0,I2262=""),"unrated",VLOOKUP(I2262,MappingTables!$B$19:$C$31,2,FALSE))</f>
        <v>4</v>
      </c>
      <c r="K2262" s="72">
        <v>5540.2361731857792</v>
      </c>
      <c r="L2262" s="70">
        <v>1.2965553045997932</v>
      </c>
      <c r="M2262" s="71">
        <f>IF(L2262&lt;1,1,L2262)</f>
        <v>1.2965553045997932</v>
      </c>
      <c r="N2262" s="70" t="s">
        <v>141</v>
      </c>
      <c r="O2262" s="71">
        <f>INDEX(DurClassMapping,MATCH(M2262,MappingTables!$D$4:$D$8,-1),1)</f>
        <v>1</v>
      </c>
      <c r="P2262" s="73">
        <f>IF(M2262=$A$1,1,$M2262-INDEX(MappingTables!$E$4:$E$8,MATCH(O2262,MappingTables!$B$4:$B$8,0)))</f>
        <v>1.2965553045997932</v>
      </c>
      <c r="Q2262" s="71">
        <f>IF(B2262="",0,INDEX(ModelParameters!$D$6:$K$10,MATCH($O2262,ModelParameters!$B$6:$B$10,0),MATCH($J2262,ModelParameters!$D$5:$K$5,0)))</f>
        <v>0.045</v>
      </c>
      <c r="R2262" s="71">
        <f>IF(B2262="",0,INDEX(ModelParameters!$D$13:$K$17,MATCH($O2262,ModelParameters!$B$13:$B$17,0),MATCH($J2262,ModelParameters!$D$5:$K$5,0)))</f>
        <v>0</v>
      </c>
      <c r="S2262" s="160">
        <f>IF(B2262="",0,MIN(IF($N2262="Other Bond TM",ModelParameters!$N$21,1)*(P2262*Q2262+R2262),1))</f>
        <v>0.058344988706990696</v>
      </c>
      <c r="T2262" s="85">
        <f>IF(B2262="",0,$S2262*$K2262)</f>
        <v>323.2450169585856</v>
      </c>
      <c r="U2262" s="85">
        <f>IF(B2262="",0,IF(OR(H2262=MappingTables!$C$34,H2262=MappingTables!$C$35),T2262,0))</f>
        <v>0</v>
      </c>
      <c r="V2262" s="85">
        <f>IF(ISNA(IF(AND(VLOOKUP(CONCATENATE($D2262,$G2262),CSRFinput!$B:$E,4,0)=0,OR(H2262=MappingTables!$C$34,H2262=MappingTables!$C$35)),1,VLOOKUP(CONCATENATE($D2262,$G2262),CSRFinput!$B:$E,4,0))),0,IF(AND(VLOOKUP(CONCATENATE($D2262,$G2262),CSRFinput!$B:$E,4,0)=0,OR(H2262=MappingTables!$C$34,H2262=MappingTables!$C$35)),1,VLOOKUP(CONCATENATE($D2262,$G2262),CSRFinput!$B:$E,4,0)))</f>
        <v>0.054776304963434752</v>
      </c>
      <c r="W2262" s="85">
        <f>IF(B2262="",0,+$T2262*$V2262)</f>
        <v>17.706167626834124</v>
      </c>
      <c r="X2262" s="85">
        <f>IF(B2262="",0,IF(OR(H2262=MappingTables!$C$34,H2262=MappingTables!$C$35),W2262,0))</f>
        <v>0</v>
      </c>
    </row>
    <row r="2263" spans="2:24" s="0" customFormat="0" ht="15">
      <c r="B2263" s="69">
        <v>18912862</v>
      </c>
      <c r="C2263" s="70" t="s">
        <v>534</v>
      </c>
      <c r="D2263" s="70" t="s">
        <v>1</v>
      </c>
      <c r="E2263" s="70" t="s">
        <v>1</v>
      </c>
      <c r="F2263" s="70"/>
      <c r="G2263" s="70" t="s">
        <v>61</v>
      </c>
      <c r="H2263" s="70" t="s">
        <v>178</v>
      </c>
      <c r="I2263" s="70" t="s">
        <v>188</v>
      </c>
      <c r="J2263" s="71">
        <f>IF(OR(I2263=0,I2263=""),"unrated",VLOOKUP(I2263,MappingTables!$B$19:$C$31,2,FALSE))</f>
        <v>2</v>
      </c>
      <c r="K2263" s="72">
        <v>0.28402791125272752</v>
      </c>
      <c r="L2263" s="70">
        <v>0.043835124389750296</v>
      </c>
      <c r="M2263" s="71">
        <f>IF(L2263&lt;1,1,L2263)</f>
        <v>1</v>
      </c>
      <c r="N2263" s="70" t="s">
        <v>141</v>
      </c>
      <c r="O2263" s="71">
        <f>INDEX(DurClassMapping,MATCH(M2263,MappingTables!$D$4:$D$8,-1),1)</f>
        <v>1</v>
      </c>
      <c r="P2263" s="73">
        <f>IF(M2263=$A$1,1,$M2263-INDEX(MappingTables!$E$4:$E$8,MATCH(O2263,MappingTables!$B$4:$B$8,0)))</f>
        <v>1</v>
      </c>
      <c r="Q2263" s="71">
        <f>IF(B2263="",0,INDEX(ModelParameters!$D$6:$K$10,MATCH($O2263,ModelParameters!$B$6:$B$10,0),MATCH($J2263,ModelParameters!$D$5:$K$5,0)))</f>
        <v>0.013999999999999998</v>
      </c>
      <c r="R2263" s="71">
        <f>IF(B2263="",0,INDEX(ModelParameters!$D$13:$K$17,MATCH($O2263,ModelParameters!$B$13:$B$17,0),MATCH($J2263,ModelParameters!$D$5:$K$5,0)))</f>
        <v>0</v>
      </c>
      <c r="S2263" s="160">
        <f>IF(B2263="",0,MIN(IF($N2263="Other Bond TM",ModelParameters!$N$21,1)*(P2263*Q2263+R2263),1))</f>
        <v>0.013999999999999998</v>
      </c>
      <c r="T2263" s="85">
        <f>IF(B2263="",0,$S2263*$K2263)</f>
        <v>0.0039763907575381848</v>
      </c>
      <c r="U2263" s="85">
        <f>IF(B2263="",0,IF(OR(H2263=MappingTables!$C$34,H2263=MappingTables!$C$35),T2263,0))</f>
        <v>0</v>
      </c>
      <c r="V2263" s="85">
        <f>IF(ISNA(IF(AND(VLOOKUP(CONCATENATE($D2263,$G2263),CSRFinput!$B:$E,4,0)=0,OR(H2263=MappingTables!$C$34,H2263=MappingTables!$C$35)),1,VLOOKUP(CONCATENATE($D2263,$G2263),CSRFinput!$B:$E,4,0))),0,IF(AND(VLOOKUP(CONCATENATE($D2263,$G2263),CSRFinput!$B:$E,4,0)=0,OR(H2263=MappingTables!$C$34,H2263=MappingTables!$C$35)),1,VLOOKUP(CONCATENATE($D2263,$G2263),CSRFinput!$B:$E,4,0)))</f>
        <v>0.054776304963434752</v>
      </c>
      <c r="W2263" s="85">
        <f>IF(B2263="",0,+$T2263*$V2263)</f>
        <v>0.00021781199278869496</v>
      </c>
      <c r="X2263" s="85">
        <f>IF(B2263="",0,IF(OR(H2263=MappingTables!$C$34,H2263=MappingTables!$C$35),W2263,0))</f>
        <v>0</v>
      </c>
    </row>
    <row r="2264" spans="2:24" s="0" customFormat="0" ht="15">
      <c r="B2264" s="69">
        <v>18676472</v>
      </c>
      <c r="C2264" s="70" t="s">
        <v>277</v>
      </c>
      <c r="D2264" s="70" t="s">
        <v>1</v>
      </c>
      <c r="E2264" s="70" t="s">
        <v>1</v>
      </c>
      <c r="F2264" s="70"/>
      <c r="G2264" s="70" t="s">
        <v>61</v>
      </c>
      <c r="H2264" s="70" t="s">
        <v>178</v>
      </c>
      <c r="I2264" s="70" t="s">
        <v>179</v>
      </c>
      <c r="J2264" s="71">
        <f>IF(OR(I2264=0,I2264=""),"unrated",VLOOKUP(I2264,MappingTables!$B$19:$C$31,2,FALSE))</f>
        <v>4</v>
      </c>
      <c r="K2264" s="72">
        <v>449.96182883443136</v>
      </c>
      <c r="L2264" s="70">
        <v>1.504417791310355</v>
      </c>
      <c r="M2264" s="71">
        <f>IF(L2264&lt;1,1,L2264)</f>
        <v>1.504417791310355</v>
      </c>
      <c r="N2264" s="70" t="s">
        <v>141</v>
      </c>
      <c r="O2264" s="71">
        <f>INDEX(DurClassMapping,MATCH(M2264,MappingTables!$D$4:$D$8,-1),1)</f>
        <v>1</v>
      </c>
      <c r="P2264" s="73">
        <f>IF(M2264=$A$1,1,$M2264-INDEX(MappingTables!$E$4:$E$8,MATCH(O2264,MappingTables!$B$4:$B$8,0)))</f>
        <v>1.504417791310355</v>
      </c>
      <c r="Q2264" s="71">
        <f>IF(B2264="",0,INDEX(ModelParameters!$D$6:$K$10,MATCH($O2264,ModelParameters!$B$6:$B$10,0),MATCH($J2264,ModelParameters!$D$5:$K$5,0)))</f>
        <v>0.045</v>
      </c>
      <c r="R2264" s="71">
        <f>IF(B2264="",0,INDEX(ModelParameters!$D$13:$K$17,MATCH($O2264,ModelParameters!$B$13:$B$17,0),MATCH($J2264,ModelParameters!$D$5:$K$5,0)))</f>
        <v>0</v>
      </c>
      <c r="S2264" s="160">
        <f>IF(B2264="",0,MIN(IF($N2264="Other Bond TM",ModelParameters!$N$21,1)*(P2264*Q2264+R2264),1))</f>
        <v>0.067698800608965968</v>
      </c>
      <c r="T2264" s="85">
        <f>IF(B2264="",0,$S2264*$K2264)</f>
        <v>30.46187613190784</v>
      </c>
      <c r="U2264" s="85">
        <f>IF(B2264="",0,IF(OR(H2264=MappingTables!$C$34,H2264=MappingTables!$C$35),T2264,0))</f>
        <v>0</v>
      </c>
      <c r="V2264" s="85">
        <f>IF(ISNA(IF(AND(VLOOKUP(CONCATENATE($D2264,$G2264),CSRFinput!$B:$E,4,0)=0,OR(H2264=MappingTables!$C$34,H2264=MappingTables!$C$35)),1,VLOOKUP(CONCATENATE($D2264,$G2264),CSRFinput!$B:$E,4,0))),0,IF(AND(VLOOKUP(CONCATENATE($D2264,$G2264),CSRFinput!$B:$E,4,0)=0,OR(H2264=MappingTables!$C$34,H2264=MappingTables!$C$35)),1,VLOOKUP(CONCATENATE($D2264,$G2264),CSRFinput!$B:$E,4,0)))</f>
        <v>0.054776304963434752</v>
      </c>
      <c r="W2264" s="85">
        <f>IF(B2264="",0,+$T2264*$V2264)</f>
        <v>1.6685890167597582</v>
      </c>
      <c r="X2264" s="85">
        <f>IF(B2264="",0,IF(OR(H2264=MappingTables!$C$34,H2264=MappingTables!$C$35),W2264,0))</f>
        <v>0</v>
      </c>
    </row>
    <row r="2265" spans="2:24" s="0" customFormat="0" ht="15">
      <c r="B2265" s="69">
        <v>5348488</v>
      </c>
      <c r="C2265" s="70" t="s">
        <v>2033</v>
      </c>
      <c r="D2265" s="70" t="s">
        <v>1</v>
      </c>
      <c r="E2265" s="70" t="s">
        <v>1</v>
      </c>
      <c r="F2265" s="70"/>
      <c r="G2265" s="70" t="s">
        <v>61</v>
      </c>
      <c r="H2265" s="70" t="s">
        <v>178</v>
      </c>
      <c r="I2265" s="70" t="s">
        <v>181</v>
      </c>
      <c r="J2265" s="71">
        <f>IF(OR(I2265=0,I2265=""),"unrated",VLOOKUP(I2265,MappingTables!$B$19:$C$31,2,FALSE))</f>
        <v>3</v>
      </c>
      <c r="K2265" s="72">
        <v>413.30885339025912</v>
      </c>
      <c r="L2265" s="70">
        <v>1.734868548732014</v>
      </c>
      <c r="M2265" s="71">
        <f>IF(L2265&lt;1,1,L2265)</f>
        <v>1.734868548732014</v>
      </c>
      <c r="N2265" s="70" t="s">
        <v>141</v>
      </c>
      <c r="O2265" s="71">
        <f>INDEX(DurClassMapping,MATCH(M2265,MappingTables!$D$4:$D$8,-1),1)</f>
        <v>1</v>
      </c>
      <c r="P2265" s="73">
        <f>IF(M2265=$A$1,1,$M2265-INDEX(MappingTables!$E$4:$E$8,MATCH(O2265,MappingTables!$B$4:$B$8,0)))</f>
        <v>1.734868548732014</v>
      </c>
      <c r="Q2265" s="71">
        <f>IF(B2265="",0,INDEX(ModelParameters!$D$6:$K$10,MATCH($O2265,ModelParameters!$B$6:$B$10,0),MATCH($J2265,ModelParameters!$D$5:$K$5,0)))</f>
        <v>0.025</v>
      </c>
      <c r="R2265" s="71">
        <f>IF(B2265="",0,INDEX(ModelParameters!$D$13:$K$17,MATCH($O2265,ModelParameters!$B$13:$B$17,0),MATCH($J2265,ModelParameters!$D$5:$K$5,0)))</f>
        <v>0</v>
      </c>
      <c r="S2265" s="160">
        <f>IF(B2265="",0,MIN(IF($N2265="Other Bond TM",ModelParameters!$N$21,1)*(P2265*Q2265+R2265),1))</f>
        <v>0.043371713718300352</v>
      </c>
      <c r="T2265" s="85">
        <f>IF(B2265="",0,$S2265*$K2265)</f>
        <v>17.925913266481288</v>
      </c>
      <c r="U2265" s="85">
        <f>IF(B2265="",0,IF(OR(H2265=MappingTables!$C$34,H2265=MappingTables!$C$35),T2265,0))</f>
        <v>0</v>
      </c>
      <c r="V2265" s="85">
        <f>IF(ISNA(IF(AND(VLOOKUP(CONCATENATE($D2265,$G2265),CSRFinput!$B:$E,4,0)=0,OR(H2265=MappingTables!$C$34,H2265=MappingTables!$C$35)),1,VLOOKUP(CONCATENATE($D2265,$G2265),CSRFinput!$B:$E,4,0))),0,IF(AND(VLOOKUP(CONCATENATE($D2265,$G2265),CSRFinput!$B:$E,4,0)=0,OR(H2265=MappingTables!$C$34,H2265=MappingTables!$C$35)),1,VLOOKUP(CONCATENATE($D2265,$G2265),CSRFinput!$B:$E,4,0)))</f>
        <v>0.054776304963434752</v>
      </c>
      <c r="W2265" s="85">
        <f>IF(B2265="",0,+$T2265*$V2265)</f>
        <v>0.98191529183285984</v>
      </c>
      <c r="X2265" s="85">
        <f>IF(B2265="",0,IF(OR(H2265=MappingTables!$C$34,H2265=MappingTables!$C$35),W2265,0))</f>
        <v>0</v>
      </c>
    </row>
    <row r="2266" spans="2:24" s="0" customFormat="0" ht="15">
      <c r="B2266" s="69">
        <v>21363927</v>
      </c>
      <c r="C2266" s="70" t="s">
        <v>1923</v>
      </c>
      <c r="D2266" s="70" t="s">
        <v>1</v>
      </c>
      <c r="E2266" s="70" t="s">
        <v>1</v>
      </c>
      <c r="F2266" s="70"/>
      <c r="G2266" s="70" t="s">
        <v>61</v>
      </c>
      <c r="H2266" s="70" t="s">
        <v>178</v>
      </c>
      <c r="I2266" s="70" t="s">
        <v>181</v>
      </c>
      <c r="J2266" s="71">
        <f>IF(OR(I2266=0,I2266=""),"unrated",VLOOKUP(I2266,MappingTables!$B$19:$C$31,2,FALSE))</f>
        <v>3</v>
      </c>
      <c r="K2266" s="72">
        <v>3233.3254718657616</v>
      </c>
      <c r="L2266" s="70">
        <v>15.084517588835048</v>
      </c>
      <c r="M2266" s="71">
        <f>IF(L2266&lt;1,1,L2266)</f>
        <v>15.084517588835048</v>
      </c>
      <c r="N2266" s="70" t="s">
        <v>141</v>
      </c>
      <c r="O2266" s="71">
        <f>INDEX(DurClassMapping,MATCH(M2266,MappingTables!$D$4:$D$8,-1),1)</f>
        <v>4</v>
      </c>
      <c r="P2266" s="73">
        <f>IF(M2266=$A$1,1,$M2266-INDEX(MappingTables!$E$4:$E$8,MATCH(O2266,MappingTables!$B$4:$B$8,0)))</f>
        <v>0.084517588835048224</v>
      </c>
      <c r="Q2266" s="71">
        <f>IF(B2266="",0,INDEX(ModelParameters!$D$6:$K$10,MATCH($O2266,ModelParameters!$B$6:$B$10,0),MATCH($J2266,ModelParameters!$D$5:$K$5,0)))</f>
        <v>0.01</v>
      </c>
      <c r="R2266" s="71">
        <f>IF(B2266="",0,INDEX(ModelParameters!$D$13:$K$17,MATCH($O2266,ModelParameters!$B$13:$B$17,0),MATCH($J2266,ModelParameters!$D$5:$K$5,0)))</f>
        <v>0.25</v>
      </c>
      <c r="S2266" s="160">
        <f>IF(B2266="",0,MIN(IF($N2266="Other Bond TM",ModelParameters!$N$21,1)*(P2266*Q2266+R2266),1))</f>
        <v>0.25084517588835048</v>
      </c>
      <c r="T2266" s="85">
        <f>IF(B2266="",0,$S2266*$K2266)</f>
        <v>811.06409669445072</v>
      </c>
      <c r="U2266" s="85">
        <f>IF(B2266="",0,IF(OR(H2266=MappingTables!$C$34,H2266=MappingTables!$C$35),T2266,0))</f>
        <v>0</v>
      </c>
      <c r="V2266" s="85">
        <f>IF(ISNA(IF(AND(VLOOKUP(CONCATENATE($D2266,$G2266),CSRFinput!$B:$E,4,0)=0,OR(H2266=MappingTables!$C$34,H2266=MappingTables!$C$35)),1,VLOOKUP(CONCATENATE($D2266,$G2266),CSRFinput!$B:$E,4,0))),0,IF(AND(VLOOKUP(CONCATENATE($D2266,$G2266),CSRFinput!$B:$E,4,0)=0,OR(H2266=MappingTables!$C$34,H2266=MappingTables!$C$35)),1,VLOOKUP(CONCATENATE($D2266,$G2266),CSRFinput!$B:$E,4,0)))</f>
        <v>0.054776304963434752</v>
      </c>
      <c r="W2266" s="85">
        <f>IF(B2266="",0,+$T2266*$V2266)</f>
        <v>44.427094305427968</v>
      </c>
      <c r="X2266" s="85">
        <f>IF(B2266="",0,IF(OR(H2266=MappingTables!$C$34,H2266=MappingTables!$C$35),W2266,0))</f>
        <v>0</v>
      </c>
    </row>
    <row r="2267" spans="2:24" s="0" customFormat="0" ht="15">
      <c r="B2267" s="69">
        <v>15399530</v>
      </c>
      <c r="C2267" s="70" t="s">
        <v>2103</v>
      </c>
      <c r="D2267" s="70" t="s">
        <v>1</v>
      </c>
      <c r="E2267" s="70" t="s">
        <v>1</v>
      </c>
      <c r="F2267" s="70"/>
      <c r="G2267" s="70" t="s">
        <v>61</v>
      </c>
      <c r="H2267" s="70" t="s">
        <v>178</v>
      </c>
      <c r="I2267" s="70" t="s">
        <v>188</v>
      </c>
      <c r="J2267" s="71">
        <f>IF(OR(I2267=0,I2267=""),"unrated",VLOOKUP(I2267,MappingTables!$B$19:$C$31,2,FALSE))</f>
        <v>2</v>
      </c>
      <c r="K2267" s="72">
        <v>259.0097302379336</v>
      </c>
      <c r="L2267" s="70">
        <v>3.8237778636612632</v>
      </c>
      <c r="M2267" s="71">
        <f>IF(L2267&lt;1,1,L2267)</f>
        <v>3.8237778636612632</v>
      </c>
      <c r="N2267" s="70" t="s">
        <v>141</v>
      </c>
      <c r="O2267" s="71">
        <f>INDEX(DurClassMapping,MATCH(M2267,MappingTables!$D$4:$D$8,-1),1)</f>
        <v>1</v>
      </c>
      <c r="P2267" s="73">
        <f>IF(M2267=$A$1,1,$M2267-INDEX(MappingTables!$E$4:$E$8,MATCH(O2267,MappingTables!$B$4:$B$8,0)))</f>
        <v>3.8237778636612632</v>
      </c>
      <c r="Q2267" s="71">
        <f>IF(B2267="",0,INDEX(ModelParameters!$D$6:$K$10,MATCH($O2267,ModelParameters!$B$6:$B$10,0),MATCH($J2267,ModelParameters!$D$5:$K$5,0)))</f>
        <v>0.013999999999999998</v>
      </c>
      <c r="R2267" s="71">
        <f>IF(B2267="",0,INDEX(ModelParameters!$D$13:$K$17,MATCH($O2267,ModelParameters!$B$13:$B$17,0),MATCH($J2267,ModelParameters!$D$5:$K$5,0)))</f>
        <v>0</v>
      </c>
      <c r="S2267" s="160">
        <f>IF(B2267="",0,MIN(IF($N2267="Other Bond TM",ModelParameters!$N$21,1)*(P2267*Q2267+R2267),1))</f>
        <v>0.05353289009125768</v>
      </c>
      <c r="T2267" s="85">
        <f>IF(B2267="",0,$S2267*$K2267)</f>
        <v>13.8655394213936</v>
      </c>
      <c r="U2267" s="85">
        <f>IF(B2267="",0,IF(OR(H2267=MappingTables!$C$34,H2267=MappingTables!$C$35),T2267,0))</f>
        <v>0</v>
      </c>
      <c r="V2267" s="85">
        <f>IF(ISNA(IF(AND(VLOOKUP(CONCATENATE($D2267,$G2267),CSRFinput!$B:$E,4,0)=0,OR(H2267=MappingTables!$C$34,H2267=MappingTables!$C$35)),1,VLOOKUP(CONCATENATE($D2267,$G2267),CSRFinput!$B:$E,4,0))),0,IF(AND(VLOOKUP(CONCATENATE($D2267,$G2267),CSRFinput!$B:$E,4,0)=0,OR(H2267=MappingTables!$C$34,H2267=MappingTables!$C$35)),1,VLOOKUP(CONCATENATE($D2267,$G2267),CSRFinput!$B:$E,4,0)))</f>
        <v>0.054776304963434752</v>
      </c>
      <c r="W2267" s="85">
        <f>IF(B2267="",0,+$T2267*$V2267)</f>
        <v>0.7595030158287824</v>
      </c>
      <c r="X2267" s="85">
        <f>IF(B2267="",0,IF(OR(H2267=MappingTables!$C$34,H2267=MappingTables!$C$35),W2267,0))</f>
        <v>0</v>
      </c>
    </row>
    <row r="2268" spans="2:24" s="0" customFormat="0" ht="15">
      <c r="B2268" s="69">
        <v>12156146</v>
      </c>
      <c r="C2268" s="70" t="s">
        <v>2303</v>
      </c>
      <c r="D2268" s="70" t="s">
        <v>1</v>
      </c>
      <c r="E2268" s="70" t="s">
        <v>1</v>
      </c>
      <c r="F2268" s="70"/>
      <c r="G2268" s="70" t="s">
        <v>61</v>
      </c>
      <c r="H2268" s="70" t="s">
        <v>178</v>
      </c>
      <c r="I2268" s="70" t="s">
        <v>181</v>
      </c>
      <c r="J2268" s="71">
        <f>IF(OR(I2268=0,I2268=""),"unrated",VLOOKUP(I2268,MappingTables!$B$19:$C$31,2,FALSE))</f>
        <v>3</v>
      </c>
      <c r="K2268" s="72">
        <v>21611.95885851072</v>
      </c>
      <c r="L2268" s="70">
        <v>4.9959199713339448</v>
      </c>
      <c r="M2268" s="71">
        <f>IF(L2268&lt;1,1,L2268)</f>
        <v>4.9959199713339448</v>
      </c>
      <c r="N2268" s="70" t="s">
        <v>141</v>
      </c>
      <c r="O2268" s="71">
        <f>INDEX(DurClassMapping,MATCH(M2268,MappingTables!$D$4:$D$8,-1),1)</f>
        <v>1</v>
      </c>
      <c r="P2268" s="73">
        <f>IF(M2268=$A$1,1,$M2268-INDEX(MappingTables!$E$4:$E$8,MATCH(O2268,MappingTables!$B$4:$B$8,0)))</f>
        <v>4.9959199713339448</v>
      </c>
      <c r="Q2268" s="71">
        <f>IF(B2268="",0,INDEX(ModelParameters!$D$6:$K$10,MATCH($O2268,ModelParameters!$B$6:$B$10,0),MATCH($J2268,ModelParameters!$D$5:$K$5,0)))</f>
        <v>0.025</v>
      </c>
      <c r="R2268" s="71">
        <f>IF(B2268="",0,INDEX(ModelParameters!$D$13:$K$17,MATCH($O2268,ModelParameters!$B$13:$B$17,0),MATCH($J2268,ModelParameters!$D$5:$K$5,0)))</f>
        <v>0</v>
      </c>
      <c r="S2268" s="160">
        <f>IF(B2268="",0,MIN(IF($N2268="Other Bond TM",ModelParameters!$N$21,1)*(P2268*Q2268+R2268),1))</f>
        <v>0.12489799928334862</v>
      </c>
      <c r="T2268" s="85">
        <f>IF(B2268="",0,$S2268*$K2268)</f>
        <v>2699.2904220220316</v>
      </c>
      <c r="U2268" s="85">
        <f>IF(B2268="",0,IF(OR(H2268=MappingTables!$C$34,H2268=MappingTables!$C$35),T2268,0))</f>
        <v>0</v>
      </c>
      <c r="V2268" s="85">
        <f>IF(ISNA(IF(AND(VLOOKUP(CONCATENATE($D2268,$G2268),CSRFinput!$B:$E,4,0)=0,OR(H2268=MappingTables!$C$34,H2268=MappingTables!$C$35)),1,VLOOKUP(CONCATENATE($D2268,$G2268),CSRFinput!$B:$E,4,0))),0,IF(AND(VLOOKUP(CONCATENATE($D2268,$G2268),CSRFinput!$B:$E,4,0)=0,OR(H2268=MappingTables!$C$34,H2268=MappingTables!$C$35)),1,VLOOKUP(CONCATENATE($D2268,$G2268),CSRFinput!$B:$E,4,0)))</f>
        <v>0.054776304963434752</v>
      </c>
      <c r="W2268" s="85">
        <f>IF(B2268="",0,+$T2268*$V2268)</f>
        <v>147.8571553415573</v>
      </c>
      <c r="X2268" s="85">
        <f>IF(B2268="",0,IF(OR(H2268=MappingTables!$C$34,H2268=MappingTables!$C$35),W2268,0))</f>
        <v>0</v>
      </c>
    </row>
    <row r="2269" spans="2:24" s="0" customFormat="0" ht="15">
      <c r="B2269" s="69" t="s">
        <v>2304</v>
      </c>
      <c r="C2269" s="70" t="s">
        <v>2305</v>
      </c>
      <c r="D2269" s="70" t="s">
        <v>1</v>
      </c>
      <c r="E2269" s="70" t="s">
        <v>1</v>
      </c>
      <c r="F2269" s="70"/>
      <c r="G2269" s="70" t="s">
        <v>61</v>
      </c>
      <c r="H2269" s="70" t="s">
        <v>178</v>
      </c>
      <c r="I2269" s="70" t="s">
        <v>181</v>
      </c>
      <c r="J2269" s="71">
        <f>IF(OR(I2269=0,I2269=""),"unrated",VLOOKUP(I2269,MappingTables!$B$19:$C$31,2,FALSE))</f>
        <v>3</v>
      </c>
      <c r="K2269" s="72">
        <v>385.8644073623956</v>
      </c>
      <c r="L2269" s="70">
        <v>4.2905762188060776</v>
      </c>
      <c r="M2269" s="71">
        <f>IF(L2269&lt;1,1,L2269)</f>
        <v>4.2905762188060776</v>
      </c>
      <c r="N2269" s="70" t="s">
        <v>141</v>
      </c>
      <c r="O2269" s="71">
        <f>INDEX(DurClassMapping,MATCH(M2269,MappingTables!$D$4:$D$8,-1),1)</f>
        <v>1</v>
      </c>
      <c r="P2269" s="73">
        <f>IF(M2269=$A$1,1,$M2269-INDEX(MappingTables!$E$4:$E$8,MATCH(O2269,MappingTables!$B$4:$B$8,0)))</f>
        <v>4.2905762188060776</v>
      </c>
      <c r="Q2269" s="71">
        <f>IF(B2269="",0,INDEX(ModelParameters!$D$6:$K$10,MATCH($O2269,ModelParameters!$B$6:$B$10,0),MATCH($J2269,ModelParameters!$D$5:$K$5,0)))</f>
        <v>0.025</v>
      </c>
      <c r="R2269" s="71">
        <f>IF(B2269="",0,INDEX(ModelParameters!$D$13:$K$17,MATCH($O2269,ModelParameters!$B$13:$B$17,0),MATCH($J2269,ModelParameters!$D$5:$K$5,0)))</f>
        <v>0</v>
      </c>
      <c r="S2269" s="160">
        <f>IF(B2269="",0,MIN(IF($N2269="Other Bond TM",ModelParameters!$N$21,1)*(P2269*Q2269+R2269),1))</f>
        <v>0.10726440547015196</v>
      </c>
      <c r="T2269" s="85">
        <f>IF(B2269="",0,$S2269*$K2269)</f>
        <v>41.389516247819888</v>
      </c>
      <c r="U2269" s="85">
        <f>IF(B2269="",0,IF(OR(H2269=MappingTables!$C$34,H2269=MappingTables!$C$35),T2269,0))</f>
        <v>0</v>
      </c>
      <c r="V2269" s="85">
        <f>IF(ISNA(IF(AND(VLOOKUP(CONCATENATE($D2269,$G2269),CSRFinput!$B:$E,4,0)=0,OR(H2269=MappingTables!$C$34,H2269=MappingTables!$C$35)),1,VLOOKUP(CONCATENATE($D2269,$G2269),CSRFinput!$B:$E,4,0))),0,IF(AND(VLOOKUP(CONCATENATE($D2269,$G2269),CSRFinput!$B:$E,4,0)=0,OR(H2269=MappingTables!$C$34,H2269=MappingTables!$C$35)),1,VLOOKUP(CONCATENATE($D2269,$G2269),CSRFinput!$B:$E,4,0)))</f>
        <v>0.054776304963434752</v>
      </c>
      <c r="W2269" s="85">
        <f>IF(B2269="",0,+$T2269*$V2269)</f>
        <v>2.2671647642796196</v>
      </c>
      <c r="X2269" s="85">
        <f>IF(B2269="",0,IF(OR(H2269=MappingTables!$C$34,H2269=MappingTables!$C$35),W2269,0))</f>
        <v>0</v>
      </c>
    </row>
    <row r="2270" spans="2:24" s="0" customFormat="0" ht="15">
      <c r="B2270" s="69">
        <v>22017486</v>
      </c>
      <c r="C2270" s="70" t="s">
        <v>2306</v>
      </c>
      <c r="D2270" s="70" t="s">
        <v>1</v>
      </c>
      <c r="E2270" s="70" t="s">
        <v>1</v>
      </c>
      <c r="F2270" s="70"/>
      <c r="G2270" s="70" t="s">
        <v>61</v>
      </c>
      <c r="H2270" s="70" t="s">
        <v>178</v>
      </c>
      <c r="I2270" s="70" t="s">
        <v>179</v>
      </c>
      <c r="J2270" s="71">
        <f>IF(OR(I2270=0,I2270=""),"unrated",VLOOKUP(I2270,MappingTables!$B$19:$C$31,2,FALSE))</f>
        <v>4</v>
      </c>
      <c r="K2270" s="72">
        <v>766.31786394516144</v>
      </c>
      <c r="L2270" s="70">
        <v>1.913437732485754</v>
      </c>
      <c r="M2270" s="71">
        <f>IF(L2270&lt;1,1,L2270)</f>
        <v>1.913437732485754</v>
      </c>
      <c r="N2270" s="70" t="s">
        <v>141</v>
      </c>
      <c r="O2270" s="71">
        <f>INDEX(DurClassMapping,MATCH(M2270,MappingTables!$D$4:$D$8,-1),1)</f>
        <v>1</v>
      </c>
      <c r="P2270" s="73">
        <f>IF(M2270=$A$1,1,$M2270-INDEX(MappingTables!$E$4:$E$8,MATCH(O2270,MappingTables!$B$4:$B$8,0)))</f>
        <v>1.913437732485754</v>
      </c>
      <c r="Q2270" s="71">
        <f>IF(B2270="",0,INDEX(ModelParameters!$D$6:$K$10,MATCH($O2270,ModelParameters!$B$6:$B$10,0),MATCH($J2270,ModelParameters!$D$5:$K$5,0)))</f>
        <v>0.045</v>
      </c>
      <c r="R2270" s="71">
        <f>IF(B2270="",0,INDEX(ModelParameters!$D$13:$K$17,MATCH($O2270,ModelParameters!$B$13:$B$17,0),MATCH($J2270,ModelParameters!$D$5:$K$5,0)))</f>
        <v>0</v>
      </c>
      <c r="S2270" s="160">
        <f>IF(B2270="",0,MIN(IF($N2270="Other Bond TM",ModelParameters!$N$21,1)*(P2270*Q2270+R2270),1))</f>
        <v>0.086104697961858912</v>
      </c>
      <c r="T2270" s="85">
        <f>IF(B2270="",0,$S2270*$K2270)</f>
        <v>65.983568217775016</v>
      </c>
      <c r="U2270" s="85">
        <f>IF(B2270="",0,IF(OR(H2270=MappingTables!$C$34,H2270=MappingTables!$C$35),T2270,0))</f>
        <v>0</v>
      </c>
      <c r="V2270" s="85">
        <f>IF(ISNA(IF(AND(VLOOKUP(CONCATENATE($D2270,$G2270),CSRFinput!$B:$E,4,0)=0,OR(H2270=MappingTables!$C$34,H2270=MappingTables!$C$35)),1,VLOOKUP(CONCATENATE($D2270,$G2270),CSRFinput!$B:$E,4,0))),0,IF(AND(VLOOKUP(CONCATENATE($D2270,$G2270),CSRFinput!$B:$E,4,0)=0,OR(H2270=MappingTables!$C$34,H2270=MappingTables!$C$35)),1,VLOOKUP(CONCATENATE($D2270,$G2270),CSRFinput!$B:$E,4,0)))</f>
        <v>0.054776304963434752</v>
      </c>
      <c r="W2270" s="85">
        <f>IF(B2270="",0,+$T2270*$V2270)</f>
        <v>3.6143360552724448</v>
      </c>
      <c r="X2270" s="85">
        <f>IF(B2270="",0,IF(OR(H2270=MappingTables!$C$34,H2270=MappingTables!$C$35),W2270,0))</f>
        <v>0</v>
      </c>
    </row>
    <row r="2271" spans="2:24" s="0" customFormat="0" ht="15">
      <c r="B2271" s="69" t="s">
        <v>799</v>
      </c>
      <c r="C2271" s="70" t="s">
        <v>800</v>
      </c>
      <c r="D2271" s="70" t="s">
        <v>1</v>
      </c>
      <c r="E2271" s="70" t="s">
        <v>1</v>
      </c>
      <c r="F2271" s="70"/>
      <c r="G2271" s="70" t="s">
        <v>61</v>
      </c>
      <c r="H2271" s="70" t="s">
        <v>178</v>
      </c>
      <c r="I2271" s="70" t="s">
        <v>179</v>
      </c>
      <c r="J2271" s="71">
        <f>IF(OR(I2271=0,I2271=""),"unrated",VLOOKUP(I2271,MappingTables!$B$19:$C$31,2,FALSE))</f>
        <v>4</v>
      </c>
      <c r="K2271" s="72">
        <v>325.55185529941436</v>
      </c>
      <c r="L2271" s="70">
        <v>6.9739252498475136</v>
      </c>
      <c r="M2271" s="71">
        <f>IF(L2271&lt;1,1,L2271)</f>
        <v>6.9739252498475136</v>
      </c>
      <c r="N2271" s="70" t="s">
        <v>141</v>
      </c>
      <c r="O2271" s="71">
        <f>INDEX(DurClassMapping,MATCH(M2271,MappingTables!$D$4:$D$8,-1),1)</f>
        <v>2</v>
      </c>
      <c r="P2271" s="73">
        <f>IF(M2271=$A$1,1,$M2271-INDEX(MappingTables!$E$4:$E$8,MATCH(O2271,MappingTables!$B$4:$B$8,0)))</f>
        <v>1.9739252498475136</v>
      </c>
      <c r="Q2271" s="71">
        <f>IF(B2271="",0,INDEX(ModelParameters!$D$6:$K$10,MATCH($O2271,ModelParameters!$B$6:$B$10,0),MATCH($J2271,ModelParameters!$D$5:$K$5,0)))</f>
        <v>0.025</v>
      </c>
      <c r="R2271" s="71">
        <f>IF(B2271="",0,INDEX(ModelParameters!$D$13:$K$17,MATCH($O2271,ModelParameters!$B$13:$B$17,0),MATCH($J2271,ModelParameters!$D$5:$K$5,0)))</f>
        <v>0.225</v>
      </c>
      <c r="S2271" s="160">
        <f>IF(B2271="",0,MIN(IF($N2271="Other Bond TM",ModelParameters!$N$21,1)*(P2271*Q2271+R2271),1))</f>
        <v>0.27434813124618784</v>
      </c>
      <c r="T2271" s="85">
        <f>IF(B2271="",0,$S2271*$K2271)</f>
        <v>89.31454312512368</v>
      </c>
      <c r="U2271" s="85">
        <f>IF(B2271="",0,IF(OR(H2271=MappingTables!$C$34,H2271=MappingTables!$C$35),T2271,0))</f>
        <v>0</v>
      </c>
      <c r="V2271" s="85">
        <f>IF(ISNA(IF(AND(VLOOKUP(CONCATENATE($D2271,$G2271),CSRFinput!$B:$E,4,0)=0,OR(H2271=MappingTables!$C$34,H2271=MappingTables!$C$35)),1,VLOOKUP(CONCATENATE($D2271,$G2271),CSRFinput!$B:$E,4,0))),0,IF(AND(VLOOKUP(CONCATENATE($D2271,$G2271),CSRFinput!$B:$E,4,0)=0,OR(H2271=MappingTables!$C$34,H2271=MappingTables!$C$35)),1,VLOOKUP(CONCATENATE($D2271,$G2271),CSRFinput!$B:$E,4,0)))</f>
        <v>0.054776304963434752</v>
      </c>
      <c r="W2271" s="85">
        <f>IF(B2271="",0,+$T2271*$V2271)</f>
        <v>4.8923206518916192</v>
      </c>
      <c r="X2271" s="85">
        <f>IF(B2271="",0,IF(OR(H2271=MappingTables!$C$34,H2271=MappingTables!$C$35),W2271,0))</f>
        <v>0</v>
      </c>
    </row>
    <row r="2272" spans="2:24" s="0" customFormat="0" ht="15">
      <c r="B2272" s="69">
        <v>14484261</v>
      </c>
      <c r="C2272" s="70" t="s">
        <v>2307</v>
      </c>
      <c r="D2272" s="70" t="s">
        <v>1</v>
      </c>
      <c r="E2272" s="70" t="s">
        <v>1</v>
      </c>
      <c r="F2272" s="70"/>
      <c r="G2272" s="70" t="s">
        <v>61</v>
      </c>
      <c r="H2272" s="70" t="s">
        <v>178</v>
      </c>
      <c r="I2272" s="70" t="s">
        <v>181</v>
      </c>
      <c r="J2272" s="71">
        <f>IF(OR(I2272=0,I2272=""),"unrated",VLOOKUP(I2272,MappingTables!$B$19:$C$31,2,FALSE))</f>
        <v>3</v>
      </c>
      <c r="K2272" s="72">
        <v>3087.0491920040452</v>
      </c>
      <c r="L2272" s="70">
        <v>11.029583533959614</v>
      </c>
      <c r="M2272" s="71">
        <f>IF(L2272&lt;1,1,L2272)</f>
        <v>11.029583533959614</v>
      </c>
      <c r="N2272" s="70" t="s">
        <v>141</v>
      </c>
      <c r="O2272" s="71">
        <f>INDEX(DurClassMapping,MATCH(M2272,MappingTables!$D$4:$D$8,-1),1)</f>
        <v>3</v>
      </c>
      <c r="P2272" s="73">
        <f>IF(M2272=$A$1,1,$M2272-INDEX(MappingTables!$E$4:$E$8,MATCH(O2272,MappingTables!$B$4:$B$8,0)))</f>
        <v>1.0295835339596132</v>
      </c>
      <c r="Q2272" s="71">
        <f>IF(B2272="",0,INDEX(ModelParameters!$D$6:$K$10,MATCH($O2272,ModelParameters!$B$6:$B$10,0),MATCH($J2272,ModelParameters!$D$5:$K$5,0)))</f>
        <v>0.01</v>
      </c>
      <c r="R2272" s="71">
        <f>IF(B2272="",0,INDEX(ModelParameters!$D$13:$K$17,MATCH($O2272,ModelParameters!$B$13:$B$17,0),MATCH($J2272,ModelParameters!$D$5:$K$5,0)))</f>
        <v>0.2</v>
      </c>
      <c r="S2272" s="160">
        <f>IF(B2272="",0,MIN(IF($N2272="Other Bond TM",ModelParameters!$N$21,1)*(P2272*Q2272+R2272),1))</f>
        <v>0.21029583533959616</v>
      </c>
      <c r="T2272" s="85">
        <f>IF(B2272="",0,$S2272*$K2272)</f>
        <v>649.193588566916</v>
      </c>
      <c r="U2272" s="85">
        <f>IF(B2272="",0,IF(OR(H2272=MappingTables!$C$34,H2272=MappingTables!$C$35),T2272,0))</f>
        <v>0</v>
      </c>
      <c r="V2272" s="85">
        <f>IF(ISNA(IF(AND(VLOOKUP(CONCATENATE($D2272,$G2272),CSRFinput!$B:$E,4,0)=0,OR(H2272=MappingTables!$C$34,H2272=MappingTables!$C$35)),1,VLOOKUP(CONCATENATE($D2272,$G2272),CSRFinput!$B:$E,4,0))),0,IF(AND(VLOOKUP(CONCATENATE($D2272,$G2272),CSRFinput!$B:$E,4,0)=0,OR(H2272=MappingTables!$C$34,H2272=MappingTables!$C$35)),1,VLOOKUP(CONCATENATE($D2272,$G2272),CSRFinput!$B:$E,4,0)))</f>
        <v>0.054776304963434752</v>
      </c>
      <c r="W2272" s="85">
        <f>IF(B2272="",0,+$T2272*$V2272)</f>
        <v>35.56042598764798</v>
      </c>
      <c r="X2272" s="85">
        <f>IF(B2272="",0,IF(OR(H2272=MappingTables!$C$34,H2272=MappingTables!$C$35),W2272,0))</f>
        <v>0</v>
      </c>
    </row>
    <row r="2273" spans="2:24" s="0" customFormat="0" ht="15">
      <c r="B2273" s="69">
        <v>18026294</v>
      </c>
      <c r="C2273" s="70" t="s">
        <v>2308</v>
      </c>
      <c r="D2273" s="70" t="s">
        <v>1</v>
      </c>
      <c r="E2273" s="70" t="s">
        <v>1</v>
      </c>
      <c r="F2273" s="70"/>
      <c r="G2273" s="70" t="s">
        <v>61</v>
      </c>
      <c r="H2273" s="70" t="s">
        <v>178</v>
      </c>
      <c r="I2273" s="70" t="s">
        <v>184</v>
      </c>
      <c r="J2273" s="71">
        <f>IF(OR(I2273=0,I2273=""),"unrated",VLOOKUP(I2273,MappingTables!$B$19:$C$31,2,FALSE))</f>
        <v>5</v>
      </c>
      <c r="K2273" s="72">
        <v>2552.4832956918768</v>
      </c>
      <c r="L2273" s="70">
        <v>0.030136101796772716</v>
      </c>
      <c r="M2273" s="71">
        <f>IF(L2273&lt;1,1,L2273)</f>
        <v>1</v>
      </c>
      <c r="N2273" s="70" t="s">
        <v>141</v>
      </c>
      <c r="O2273" s="71">
        <f>INDEX(DurClassMapping,MATCH(M2273,MappingTables!$D$4:$D$8,-1),1)</f>
        <v>1</v>
      </c>
      <c r="P2273" s="73">
        <f>IF(M2273=$A$1,1,$M2273-INDEX(MappingTables!$E$4:$E$8,MATCH(O2273,MappingTables!$B$4:$B$8,0)))</f>
        <v>1</v>
      </c>
      <c r="Q2273" s="71">
        <f>IF(B2273="",0,INDEX(ModelParameters!$D$6:$K$10,MATCH($O2273,ModelParameters!$B$6:$B$10,0),MATCH($J2273,ModelParameters!$D$5:$K$5,0)))</f>
        <v>0.075</v>
      </c>
      <c r="R2273" s="71">
        <f>IF(B2273="",0,INDEX(ModelParameters!$D$13:$K$17,MATCH($O2273,ModelParameters!$B$13:$B$17,0),MATCH($J2273,ModelParameters!$D$5:$K$5,0)))</f>
        <v>0</v>
      </c>
      <c r="S2273" s="160">
        <f>IF(B2273="",0,MIN(IF($N2273="Other Bond TM",ModelParameters!$N$21,1)*(P2273*Q2273+R2273),1))</f>
        <v>0.075</v>
      </c>
      <c r="T2273" s="85">
        <f>IF(B2273="",0,$S2273*$K2273)</f>
        <v>191.43624717689076</v>
      </c>
      <c r="U2273" s="85">
        <f>IF(B2273="",0,IF(OR(H2273=MappingTables!$C$34,H2273=MappingTables!$C$35),T2273,0))</f>
        <v>0</v>
      </c>
      <c r="V2273" s="85">
        <f>IF(ISNA(IF(AND(VLOOKUP(CONCATENATE($D2273,$G2273),CSRFinput!$B:$E,4,0)=0,OR(H2273=MappingTables!$C$34,H2273=MappingTables!$C$35)),1,VLOOKUP(CONCATENATE($D2273,$G2273),CSRFinput!$B:$E,4,0))),0,IF(AND(VLOOKUP(CONCATENATE($D2273,$G2273),CSRFinput!$B:$E,4,0)=0,OR(H2273=MappingTables!$C$34,H2273=MappingTables!$C$35)),1,VLOOKUP(CONCATENATE($D2273,$G2273),CSRFinput!$B:$E,4,0)))</f>
        <v>0.054776304963434752</v>
      </c>
      <c r="W2273" s="85">
        <f>IF(B2273="",0,+$T2273*$V2273)</f>
        <v>10.486170256416842</v>
      </c>
      <c r="X2273" s="85">
        <f>IF(B2273="",0,IF(OR(H2273=MappingTables!$C$34,H2273=MappingTables!$C$35),W2273,0))</f>
        <v>0</v>
      </c>
    </row>
    <row r="2274" spans="2:24" s="0" customFormat="0" ht="15">
      <c r="B2274" s="69">
        <v>14935545</v>
      </c>
      <c r="C2274" s="70" t="s">
        <v>2166</v>
      </c>
      <c r="D2274" s="70" t="s">
        <v>1</v>
      </c>
      <c r="E2274" s="70" t="s">
        <v>1</v>
      </c>
      <c r="F2274" s="70"/>
      <c r="G2274" s="70" t="s">
        <v>61</v>
      </c>
      <c r="H2274" s="70" t="s">
        <v>178</v>
      </c>
      <c r="I2274" s="70" t="s">
        <v>181</v>
      </c>
      <c r="J2274" s="71">
        <f>IF(OR(I2274=0,I2274=""),"unrated",VLOOKUP(I2274,MappingTables!$B$19:$C$31,2,FALSE))</f>
        <v>3</v>
      </c>
      <c r="K2274" s="72">
        <v>69.4516688999458</v>
      </c>
      <c r="L2274" s="70">
        <v>3.3483307077465484</v>
      </c>
      <c r="M2274" s="71">
        <f>IF(L2274&lt;1,1,L2274)</f>
        <v>3.3483307077465484</v>
      </c>
      <c r="N2274" s="70" t="s">
        <v>141</v>
      </c>
      <c r="O2274" s="71">
        <f>INDEX(DurClassMapping,MATCH(M2274,MappingTables!$D$4:$D$8,-1),1)</f>
        <v>1</v>
      </c>
      <c r="P2274" s="73">
        <f>IF(M2274=$A$1,1,$M2274-INDEX(MappingTables!$E$4:$E$8,MATCH(O2274,MappingTables!$B$4:$B$8,0)))</f>
        <v>3.3483307077465484</v>
      </c>
      <c r="Q2274" s="71">
        <f>IF(B2274="",0,INDEX(ModelParameters!$D$6:$K$10,MATCH($O2274,ModelParameters!$B$6:$B$10,0),MATCH($J2274,ModelParameters!$D$5:$K$5,0)))</f>
        <v>0.025</v>
      </c>
      <c r="R2274" s="71">
        <f>IF(B2274="",0,INDEX(ModelParameters!$D$13:$K$17,MATCH($O2274,ModelParameters!$B$13:$B$17,0),MATCH($J2274,ModelParameters!$D$5:$K$5,0)))</f>
        <v>0</v>
      </c>
      <c r="S2274" s="160">
        <f>IF(B2274="",0,MIN(IF($N2274="Other Bond TM",ModelParameters!$N$21,1)*(P2274*Q2274+R2274),1))</f>
        <v>0.083708267693663712</v>
      </c>
      <c r="T2274" s="85">
        <f>IF(B2274="",0,$S2274*$K2274)</f>
        <v>5.8136788920483616</v>
      </c>
      <c r="U2274" s="85">
        <f>IF(B2274="",0,IF(OR(H2274=MappingTables!$C$34,H2274=MappingTables!$C$35),T2274,0))</f>
        <v>0</v>
      </c>
      <c r="V2274" s="85">
        <f>IF(ISNA(IF(AND(VLOOKUP(CONCATENATE($D2274,$G2274),CSRFinput!$B:$E,4,0)=0,OR(H2274=MappingTables!$C$34,H2274=MappingTables!$C$35)),1,VLOOKUP(CONCATENATE($D2274,$G2274),CSRFinput!$B:$E,4,0))),0,IF(AND(VLOOKUP(CONCATENATE($D2274,$G2274),CSRFinput!$B:$E,4,0)=0,OR(H2274=MappingTables!$C$34,H2274=MappingTables!$C$35)),1,VLOOKUP(CONCATENATE($D2274,$G2274),CSRFinput!$B:$E,4,0)))</f>
        <v>0.054776304963434752</v>
      </c>
      <c r="W2274" s="85">
        <f>IF(B2274="",0,+$T2274*$V2274)</f>
        <v>0.31845184795032456</v>
      </c>
      <c r="X2274" s="85">
        <f>IF(B2274="",0,IF(OR(H2274=MappingTables!$C$34,H2274=MappingTables!$C$35),W2274,0))</f>
        <v>0</v>
      </c>
    </row>
    <row r="2275" spans="2:24" s="0" customFormat="0" ht="15">
      <c r="B2275" s="69" t="s">
        <v>2309</v>
      </c>
      <c r="C2275" s="70" t="s">
        <v>2310</v>
      </c>
      <c r="D2275" s="70" t="s">
        <v>1</v>
      </c>
      <c r="E2275" s="70" t="s">
        <v>1</v>
      </c>
      <c r="F2275" s="70"/>
      <c r="G2275" s="70" t="s">
        <v>61</v>
      </c>
      <c r="H2275" s="70" t="s">
        <v>178</v>
      </c>
      <c r="I2275" s="70" t="s">
        <v>179</v>
      </c>
      <c r="J2275" s="71">
        <f>IF(OR(I2275=0,I2275=""),"unrated",VLOOKUP(I2275,MappingTables!$B$19:$C$31,2,FALSE))</f>
        <v>4</v>
      </c>
      <c r="K2275" s="72">
        <v>5698.890468087684</v>
      </c>
      <c r="L2275" s="70">
        <v>11.842518076793516</v>
      </c>
      <c r="M2275" s="71">
        <f>IF(L2275&lt;1,1,L2275)</f>
        <v>11.842518076793516</v>
      </c>
      <c r="N2275" s="70" t="s">
        <v>141</v>
      </c>
      <c r="O2275" s="71">
        <f>INDEX(DurClassMapping,MATCH(M2275,MappingTables!$D$4:$D$8,-1),1)</f>
        <v>3</v>
      </c>
      <c r="P2275" s="73">
        <f>IF(M2275=$A$1,1,$M2275-INDEX(MappingTables!$E$4:$E$8,MATCH(O2275,MappingTables!$B$4:$B$8,0)))</f>
        <v>1.8425180767935156</v>
      </c>
      <c r="Q2275" s="71">
        <f>IF(B2275="",0,INDEX(ModelParameters!$D$6:$K$10,MATCH($O2275,ModelParameters!$B$6:$B$10,0),MATCH($J2275,ModelParameters!$D$5:$K$5,0)))</f>
        <v>0.018000000000000002</v>
      </c>
      <c r="R2275" s="71">
        <f>IF(B2275="",0,INDEX(ModelParameters!$D$13:$K$17,MATCH($O2275,ModelParameters!$B$13:$B$17,0),MATCH($J2275,ModelParameters!$D$5:$K$5,0)))</f>
        <v>0.34999999999999996</v>
      </c>
      <c r="S2275" s="160">
        <f>IF(B2275="",0,MIN(IF($N2275="Other Bond TM",ModelParameters!$N$21,1)*(P2275*Q2275+R2275),1))</f>
        <v>0.38316532538228328</v>
      </c>
      <c r="T2275" s="85">
        <f>IF(B2275="",0,$S2275*$K2275)</f>
        <v>2183.61722052281</v>
      </c>
      <c r="U2275" s="85">
        <f>IF(B2275="",0,IF(OR(H2275=MappingTables!$C$34,H2275=MappingTables!$C$35),T2275,0))</f>
        <v>0</v>
      </c>
      <c r="V2275" s="85">
        <f>IF(ISNA(IF(AND(VLOOKUP(CONCATENATE($D2275,$G2275),CSRFinput!$B:$E,4,0)=0,OR(H2275=MappingTables!$C$34,H2275=MappingTables!$C$35)),1,VLOOKUP(CONCATENATE($D2275,$G2275),CSRFinput!$B:$E,4,0))),0,IF(AND(VLOOKUP(CONCATENATE($D2275,$G2275),CSRFinput!$B:$E,4,0)=0,OR(H2275=MappingTables!$C$34,H2275=MappingTables!$C$35)),1,VLOOKUP(CONCATENATE($D2275,$G2275),CSRFinput!$B:$E,4,0)))</f>
        <v>0.054776304963434752</v>
      </c>
      <c r="W2275" s="85">
        <f>IF(B2275="",0,+$T2275*$V2275)</f>
        <v>119.61048279476518</v>
      </c>
      <c r="X2275" s="85">
        <f>IF(B2275="",0,IF(OR(H2275=MappingTables!$C$34,H2275=MappingTables!$C$35),W2275,0))</f>
        <v>0</v>
      </c>
    </row>
    <row r="2276" spans="2:24" s="0" customFormat="0" ht="15">
      <c r="B2276" s="69">
        <v>12399821</v>
      </c>
      <c r="C2276" s="70" t="s">
        <v>1491</v>
      </c>
      <c r="D2276" s="70" t="s">
        <v>1</v>
      </c>
      <c r="E2276" s="70" t="s">
        <v>1</v>
      </c>
      <c r="F2276" s="70"/>
      <c r="G2276" s="70" t="s">
        <v>61</v>
      </c>
      <c r="H2276" s="70" t="s">
        <v>178</v>
      </c>
      <c r="I2276" s="70" t="s">
        <v>179</v>
      </c>
      <c r="J2276" s="71">
        <f>IF(OR(I2276=0,I2276=""),"unrated",VLOOKUP(I2276,MappingTables!$B$19:$C$31,2,FALSE))</f>
        <v>4</v>
      </c>
      <c r="K2276" s="72">
        <v>26.663797946186396</v>
      </c>
      <c r="L2276" s="70">
        <v>0.61209951013892048</v>
      </c>
      <c r="M2276" s="71">
        <f>IF(L2276&lt;1,1,L2276)</f>
        <v>1</v>
      </c>
      <c r="N2276" s="70" t="s">
        <v>141</v>
      </c>
      <c r="O2276" s="71">
        <f>INDEX(DurClassMapping,MATCH(M2276,MappingTables!$D$4:$D$8,-1),1)</f>
        <v>1</v>
      </c>
      <c r="P2276" s="73">
        <f>IF(M2276=$A$1,1,$M2276-INDEX(MappingTables!$E$4:$E$8,MATCH(O2276,MappingTables!$B$4:$B$8,0)))</f>
        <v>1</v>
      </c>
      <c r="Q2276" s="71">
        <f>IF(B2276="",0,INDEX(ModelParameters!$D$6:$K$10,MATCH($O2276,ModelParameters!$B$6:$B$10,0),MATCH($J2276,ModelParameters!$D$5:$K$5,0)))</f>
        <v>0.045</v>
      </c>
      <c r="R2276" s="71">
        <f>IF(B2276="",0,INDEX(ModelParameters!$D$13:$K$17,MATCH($O2276,ModelParameters!$B$13:$B$17,0),MATCH($J2276,ModelParameters!$D$5:$K$5,0)))</f>
        <v>0</v>
      </c>
      <c r="S2276" s="160">
        <f>IF(B2276="",0,MIN(IF($N2276="Other Bond TM",ModelParameters!$N$21,1)*(P2276*Q2276+R2276),1))</f>
        <v>0.045</v>
      </c>
      <c r="T2276" s="85">
        <f>IF(B2276="",0,$S2276*$K2276)</f>
        <v>1.1998709075783878</v>
      </c>
      <c r="U2276" s="85">
        <f>IF(B2276="",0,IF(OR(H2276=MappingTables!$C$34,H2276=MappingTables!$C$35),T2276,0))</f>
        <v>0</v>
      </c>
      <c r="V2276" s="85">
        <f>IF(ISNA(IF(AND(VLOOKUP(CONCATENATE($D2276,$G2276),CSRFinput!$B:$E,4,0)=0,OR(H2276=MappingTables!$C$34,H2276=MappingTables!$C$35)),1,VLOOKUP(CONCATENATE($D2276,$G2276),CSRFinput!$B:$E,4,0))),0,IF(AND(VLOOKUP(CONCATENATE($D2276,$G2276),CSRFinput!$B:$E,4,0)=0,OR(H2276=MappingTables!$C$34,H2276=MappingTables!$C$35)),1,VLOOKUP(CONCATENATE($D2276,$G2276),CSRFinput!$B:$E,4,0)))</f>
        <v>0.054776304963434752</v>
      </c>
      <c r="W2276" s="85">
        <f>IF(B2276="",0,+$T2276*$V2276)</f>
        <v>0.065724494750267008</v>
      </c>
      <c r="X2276" s="85">
        <f>IF(B2276="",0,IF(OR(H2276=MappingTables!$C$34,H2276=MappingTables!$C$35),W2276,0))</f>
        <v>0</v>
      </c>
    </row>
    <row r="2277" spans="2:24" s="0" customFormat="0" ht="15">
      <c r="B2277" s="69">
        <v>6648242</v>
      </c>
      <c r="C2277" s="70" t="s">
        <v>2311</v>
      </c>
      <c r="D2277" s="70" t="s">
        <v>1</v>
      </c>
      <c r="E2277" s="70" t="s">
        <v>1</v>
      </c>
      <c r="F2277" s="70"/>
      <c r="G2277" s="70" t="s">
        <v>61</v>
      </c>
      <c r="H2277" s="70" t="s">
        <v>178</v>
      </c>
      <c r="I2277" s="70" t="s">
        <v>181</v>
      </c>
      <c r="J2277" s="71">
        <f>IF(OR(I2277=0,I2277=""),"unrated",VLOOKUP(I2277,MappingTables!$B$19:$C$31,2,FALSE))</f>
        <v>3</v>
      </c>
      <c r="K2277" s="72">
        <v>763.80703132669424</v>
      </c>
      <c r="L2277" s="70">
        <v>2.0377692952445256</v>
      </c>
      <c r="M2277" s="71">
        <f>IF(L2277&lt;1,1,L2277)</f>
        <v>2.0377692952445256</v>
      </c>
      <c r="N2277" s="70" t="s">
        <v>141</v>
      </c>
      <c r="O2277" s="71">
        <f>INDEX(DurClassMapping,MATCH(M2277,MappingTables!$D$4:$D$8,-1),1)</f>
        <v>1</v>
      </c>
      <c r="P2277" s="73">
        <f>IF(M2277=$A$1,1,$M2277-INDEX(MappingTables!$E$4:$E$8,MATCH(O2277,MappingTables!$B$4:$B$8,0)))</f>
        <v>2.0377692952445256</v>
      </c>
      <c r="Q2277" s="71">
        <f>IF(B2277="",0,INDEX(ModelParameters!$D$6:$K$10,MATCH($O2277,ModelParameters!$B$6:$B$10,0),MATCH($J2277,ModelParameters!$D$5:$K$5,0)))</f>
        <v>0.025</v>
      </c>
      <c r="R2277" s="71">
        <f>IF(B2277="",0,INDEX(ModelParameters!$D$13:$K$17,MATCH($O2277,ModelParameters!$B$13:$B$17,0),MATCH($J2277,ModelParameters!$D$5:$K$5,0)))</f>
        <v>0</v>
      </c>
      <c r="S2277" s="160">
        <f>IF(B2277="",0,MIN(IF($N2277="Other Bond TM",ModelParameters!$N$21,1)*(P2277*Q2277+R2277),1))</f>
        <v>0.050944232381113144</v>
      </c>
      <c r="T2277" s="85">
        <f>IF(B2277="",0,$S2277*$K2277)</f>
        <v>38.911562898235272</v>
      </c>
      <c r="U2277" s="85">
        <f>IF(B2277="",0,IF(OR(H2277=MappingTables!$C$34,H2277=MappingTables!$C$35),T2277,0))</f>
        <v>0</v>
      </c>
      <c r="V2277" s="85">
        <f>IF(ISNA(IF(AND(VLOOKUP(CONCATENATE($D2277,$G2277),CSRFinput!$B:$E,4,0)=0,OR(H2277=MappingTables!$C$34,H2277=MappingTables!$C$35)),1,VLOOKUP(CONCATENATE($D2277,$G2277),CSRFinput!$B:$E,4,0))),0,IF(AND(VLOOKUP(CONCATENATE($D2277,$G2277),CSRFinput!$B:$E,4,0)=0,OR(H2277=MappingTables!$C$34,H2277=MappingTables!$C$35)),1,VLOOKUP(CONCATENATE($D2277,$G2277),CSRFinput!$B:$E,4,0)))</f>
        <v>0.054776304963434752</v>
      </c>
      <c r="W2277" s="85">
        <f>IF(B2277="",0,+$T2277*$V2277)</f>
        <v>2.1314316359176084</v>
      </c>
      <c r="X2277" s="85">
        <f>IF(B2277="",0,IF(OR(H2277=MappingTables!$C$34,H2277=MappingTables!$C$35),W2277,0))</f>
        <v>0</v>
      </c>
    </row>
    <row r="2278" spans="2:24" s="0" customFormat="0" ht="15">
      <c r="B2278" s="69" t="s">
        <v>911</v>
      </c>
      <c r="C2278" s="70" t="s">
        <v>912</v>
      </c>
      <c r="D2278" s="70" t="s">
        <v>1</v>
      </c>
      <c r="E2278" s="70" t="s">
        <v>1</v>
      </c>
      <c r="F2278" s="70"/>
      <c r="G2278" s="70" t="s">
        <v>61</v>
      </c>
      <c r="H2278" s="70" t="s">
        <v>178</v>
      </c>
      <c r="I2278" s="70" t="s">
        <v>198</v>
      </c>
      <c r="J2278" s="71" t="str">
        <f>IF(OR(I2278=0,I2278=""),"unrated",VLOOKUP(I2278,MappingTables!$B$19:$C$31,2,FALSE))</f>
        <v>unrated</v>
      </c>
      <c r="K2278" s="72">
        <v>1.0606383385645408</v>
      </c>
      <c r="L2278" s="70">
        <v>2.507372602639974</v>
      </c>
      <c r="M2278" s="71">
        <f>IF(L2278&lt;1,1,L2278)</f>
        <v>2.507372602639974</v>
      </c>
      <c r="N2278" s="70" t="s">
        <v>141</v>
      </c>
      <c r="O2278" s="71">
        <f>INDEX(DurClassMapping,MATCH(M2278,MappingTables!$D$4:$D$8,-1),1)</f>
        <v>1</v>
      </c>
      <c r="P2278" s="73">
        <f>IF(M2278=$A$1,1,$M2278-INDEX(MappingTables!$E$4:$E$8,MATCH(O2278,MappingTables!$B$4:$B$8,0)))</f>
        <v>2.507372602639974</v>
      </c>
      <c r="Q2278" s="71">
        <f>IF(B2278="",0,INDEX(ModelParameters!$D$6:$K$10,MATCH($O2278,ModelParameters!$B$6:$B$10,0),MATCH($J2278,ModelParameters!$D$5:$K$5,0)))</f>
        <v>0.03</v>
      </c>
      <c r="R2278" s="71">
        <f>IF(B2278="",0,INDEX(ModelParameters!$D$13:$K$17,MATCH($O2278,ModelParameters!$B$13:$B$17,0),MATCH($J2278,ModelParameters!$D$5:$K$5,0)))</f>
        <v>0</v>
      </c>
      <c r="S2278" s="160">
        <f>IF(B2278="",0,MIN(IF($N2278="Other Bond TM",ModelParameters!$N$21,1)*(P2278*Q2278+R2278),1))</f>
        <v>0.075221178079199216</v>
      </c>
      <c r="T2278" s="85">
        <f>IF(B2278="",0,$S2278*$K2278)</f>
        <v>0.079782465342789312</v>
      </c>
      <c r="U2278" s="85">
        <f>IF(B2278="",0,IF(OR(H2278=MappingTables!$C$34,H2278=MappingTables!$C$35),T2278,0))</f>
        <v>0</v>
      </c>
      <c r="V2278" s="85">
        <f>IF(ISNA(IF(AND(VLOOKUP(CONCATENATE($D2278,$G2278),CSRFinput!$B:$E,4,0)=0,OR(H2278=MappingTables!$C$34,H2278=MappingTables!$C$35)),1,VLOOKUP(CONCATENATE($D2278,$G2278),CSRFinput!$B:$E,4,0))),0,IF(AND(VLOOKUP(CONCATENATE($D2278,$G2278),CSRFinput!$B:$E,4,0)=0,OR(H2278=MappingTables!$C$34,H2278=MappingTables!$C$35)),1,VLOOKUP(CONCATENATE($D2278,$G2278),CSRFinput!$B:$E,4,0)))</f>
        <v>0.054776304963434752</v>
      </c>
      <c r="W2278" s="85">
        <f>IF(B2278="",0,+$T2278*$V2278)</f>
        <v>0.0043701886523512912</v>
      </c>
      <c r="X2278" s="85">
        <f>IF(B2278="",0,IF(OR(H2278=MappingTables!$C$34,H2278=MappingTables!$C$35),W2278,0))</f>
        <v>0</v>
      </c>
    </row>
    <row r="2279" spans="2:24" s="0" customFormat="0" ht="15">
      <c r="B2279" s="69" t="s">
        <v>2309</v>
      </c>
      <c r="C2279" s="70" t="s">
        <v>2310</v>
      </c>
      <c r="D2279" s="70" t="s">
        <v>1</v>
      </c>
      <c r="E2279" s="70" t="s">
        <v>1</v>
      </c>
      <c r="F2279" s="70"/>
      <c r="G2279" s="70" t="s">
        <v>61</v>
      </c>
      <c r="H2279" s="70" t="s">
        <v>178</v>
      </c>
      <c r="I2279" s="70" t="s">
        <v>179</v>
      </c>
      <c r="J2279" s="71">
        <f>IF(OR(I2279=0,I2279=""),"unrated",VLOOKUP(I2279,MappingTables!$B$19:$C$31,2,FALSE))</f>
        <v>4</v>
      </c>
      <c r="K2279" s="72">
        <v>12087.734594545114</v>
      </c>
      <c r="L2279" s="70">
        <v>11.842518076793516</v>
      </c>
      <c r="M2279" s="71">
        <f>IF(L2279&lt;1,1,L2279)</f>
        <v>11.842518076793516</v>
      </c>
      <c r="N2279" s="70" t="s">
        <v>141</v>
      </c>
      <c r="O2279" s="71">
        <f>INDEX(DurClassMapping,MATCH(M2279,MappingTables!$D$4:$D$8,-1),1)</f>
        <v>3</v>
      </c>
      <c r="P2279" s="73">
        <f>IF(M2279=$A$1,1,$M2279-INDEX(MappingTables!$E$4:$E$8,MATCH(O2279,MappingTables!$B$4:$B$8,0)))</f>
        <v>1.8425180767935156</v>
      </c>
      <c r="Q2279" s="71">
        <f>IF(B2279="",0,INDEX(ModelParameters!$D$6:$K$10,MATCH($O2279,ModelParameters!$B$6:$B$10,0),MATCH($J2279,ModelParameters!$D$5:$K$5,0)))</f>
        <v>0.018000000000000002</v>
      </c>
      <c r="R2279" s="71">
        <f>IF(B2279="",0,INDEX(ModelParameters!$D$13:$K$17,MATCH($O2279,ModelParameters!$B$13:$B$17,0),MATCH($J2279,ModelParameters!$D$5:$K$5,0)))</f>
        <v>0.34999999999999996</v>
      </c>
      <c r="S2279" s="160">
        <f>IF(B2279="",0,MIN(IF($N2279="Other Bond TM",ModelParameters!$N$21,1)*(P2279*Q2279+R2279),1))</f>
        <v>0.38316532538228328</v>
      </c>
      <c r="T2279" s="85">
        <f>IF(B2279="",0,$S2279*$K2279)</f>
        <v>4631.6007590535608</v>
      </c>
      <c r="U2279" s="85">
        <f>IF(B2279="",0,IF(OR(H2279=MappingTables!$C$34,H2279=MappingTables!$C$35),T2279,0))</f>
        <v>0</v>
      </c>
      <c r="V2279" s="85">
        <f>IF(ISNA(IF(AND(VLOOKUP(CONCATENATE($D2279,$G2279),CSRFinput!$B:$E,4,0)=0,OR(H2279=MappingTables!$C$34,H2279=MappingTables!$C$35)),1,VLOOKUP(CONCATENATE($D2279,$G2279),CSRFinput!$B:$E,4,0))),0,IF(AND(VLOOKUP(CONCATENATE($D2279,$G2279),CSRFinput!$B:$E,4,0)=0,OR(H2279=MappingTables!$C$34,H2279=MappingTables!$C$35)),1,VLOOKUP(CONCATENATE($D2279,$G2279),CSRFinput!$B:$E,4,0)))</f>
        <v>0.054776304963434752</v>
      </c>
      <c r="W2279" s="85">
        <f>IF(B2279="",0,+$T2279*$V2279)</f>
        <v>253.70197564679376</v>
      </c>
      <c r="X2279" s="85">
        <f>IF(B2279="",0,IF(OR(H2279=MappingTables!$C$34,H2279=MappingTables!$C$35),W2279,0))</f>
        <v>0</v>
      </c>
    </row>
    <row r="2280" spans="2:24" s="0" customFormat="0" ht="15">
      <c r="B2280" s="69">
        <v>11798103</v>
      </c>
      <c r="C2280" s="70" t="s">
        <v>2312</v>
      </c>
      <c r="D2280" s="70" t="s">
        <v>1</v>
      </c>
      <c r="E2280" s="70" t="s">
        <v>1</v>
      </c>
      <c r="F2280" s="70"/>
      <c r="G2280" s="70" t="s">
        <v>61</v>
      </c>
      <c r="H2280" s="70" t="s">
        <v>178</v>
      </c>
      <c r="I2280" s="70" t="s">
        <v>188</v>
      </c>
      <c r="J2280" s="71">
        <f>IF(OR(I2280=0,I2280=""),"unrated",VLOOKUP(I2280,MappingTables!$B$19:$C$31,2,FALSE))</f>
        <v>2</v>
      </c>
      <c r="K2280" s="72">
        <v>19.97239584480854</v>
      </c>
      <c r="L2280" s="70">
        <v>0.27945716038987868</v>
      </c>
      <c r="M2280" s="71">
        <f>IF(L2280&lt;1,1,L2280)</f>
        <v>1</v>
      </c>
      <c r="N2280" s="70" t="s">
        <v>141</v>
      </c>
      <c r="O2280" s="71">
        <f>INDEX(DurClassMapping,MATCH(M2280,MappingTables!$D$4:$D$8,-1),1)</f>
        <v>1</v>
      </c>
      <c r="P2280" s="73">
        <f>IF(M2280=$A$1,1,$M2280-INDEX(MappingTables!$E$4:$E$8,MATCH(O2280,MappingTables!$B$4:$B$8,0)))</f>
        <v>1</v>
      </c>
      <c r="Q2280" s="71">
        <f>IF(B2280="",0,INDEX(ModelParameters!$D$6:$K$10,MATCH($O2280,ModelParameters!$B$6:$B$10,0),MATCH($J2280,ModelParameters!$D$5:$K$5,0)))</f>
        <v>0.013999999999999998</v>
      </c>
      <c r="R2280" s="71">
        <f>IF(B2280="",0,INDEX(ModelParameters!$D$13:$K$17,MATCH($O2280,ModelParameters!$B$13:$B$17,0),MATCH($J2280,ModelParameters!$D$5:$K$5,0)))</f>
        <v>0</v>
      </c>
      <c r="S2280" s="160">
        <f>IF(B2280="",0,MIN(IF($N2280="Other Bond TM",ModelParameters!$N$21,1)*(P2280*Q2280+R2280),1))</f>
        <v>0.013999999999999998</v>
      </c>
      <c r="T2280" s="85">
        <f>IF(B2280="",0,$S2280*$K2280)</f>
        <v>0.27961354182731952</v>
      </c>
      <c r="U2280" s="85">
        <f>IF(B2280="",0,IF(OR(H2280=MappingTables!$C$34,H2280=MappingTables!$C$35),T2280,0))</f>
        <v>0</v>
      </c>
      <c r="V2280" s="85">
        <f>IF(ISNA(IF(AND(VLOOKUP(CONCATENATE($D2280,$G2280),CSRFinput!$B:$E,4,0)=0,OR(H2280=MappingTables!$C$34,H2280=MappingTables!$C$35)),1,VLOOKUP(CONCATENATE($D2280,$G2280),CSRFinput!$B:$E,4,0))),0,IF(AND(VLOOKUP(CONCATENATE($D2280,$G2280),CSRFinput!$B:$E,4,0)=0,OR(H2280=MappingTables!$C$34,H2280=MappingTables!$C$35)),1,VLOOKUP(CONCATENATE($D2280,$G2280),CSRFinput!$B:$E,4,0)))</f>
        <v>0.054776304963434752</v>
      </c>
      <c r="W2280" s="85">
        <f>IF(B2280="",0,+$T2280*$V2280)</f>
        <v>0.015316196639039372</v>
      </c>
      <c r="X2280" s="85">
        <f>IF(B2280="",0,IF(OR(H2280=MappingTables!$C$34,H2280=MappingTables!$C$35),W2280,0))</f>
        <v>0</v>
      </c>
    </row>
    <row r="2281" spans="2:24" s="0" customFormat="0" ht="15">
      <c r="B2281" s="69">
        <v>12894599</v>
      </c>
      <c r="C2281" s="70" t="s">
        <v>1458</v>
      </c>
      <c r="D2281" s="70" t="s">
        <v>1</v>
      </c>
      <c r="E2281" s="70" t="s">
        <v>1</v>
      </c>
      <c r="F2281" s="70"/>
      <c r="G2281" s="70" t="s">
        <v>61</v>
      </c>
      <c r="H2281" s="70" t="s">
        <v>178</v>
      </c>
      <c r="I2281" s="70" t="s">
        <v>188</v>
      </c>
      <c r="J2281" s="71">
        <f>IF(OR(I2281=0,I2281=""),"unrated",VLOOKUP(I2281,MappingTables!$B$19:$C$31,2,FALSE))</f>
        <v>2</v>
      </c>
      <c r="K2281" s="72">
        <v>2231.753418634812</v>
      </c>
      <c r="L2281" s="70">
        <v>0.87008761490953952</v>
      </c>
      <c r="M2281" s="71">
        <f>IF(L2281&lt;1,1,L2281)</f>
        <v>1</v>
      </c>
      <c r="N2281" s="70" t="s">
        <v>141</v>
      </c>
      <c r="O2281" s="71">
        <f>INDEX(DurClassMapping,MATCH(M2281,MappingTables!$D$4:$D$8,-1),1)</f>
        <v>1</v>
      </c>
      <c r="P2281" s="73">
        <f>IF(M2281=$A$1,1,$M2281-INDEX(MappingTables!$E$4:$E$8,MATCH(O2281,MappingTables!$B$4:$B$8,0)))</f>
        <v>1</v>
      </c>
      <c r="Q2281" s="71">
        <f>IF(B2281="",0,INDEX(ModelParameters!$D$6:$K$10,MATCH($O2281,ModelParameters!$B$6:$B$10,0),MATCH($J2281,ModelParameters!$D$5:$K$5,0)))</f>
        <v>0.013999999999999998</v>
      </c>
      <c r="R2281" s="71">
        <f>IF(B2281="",0,INDEX(ModelParameters!$D$13:$K$17,MATCH($O2281,ModelParameters!$B$13:$B$17,0),MATCH($J2281,ModelParameters!$D$5:$K$5,0)))</f>
        <v>0</v>
      </c>
      <c r="S2281" s="160">
        <f>IF(B2281="",0,MIN(IF($N2281="Other Bond TM",ModelParameters!$N$21,1)*(P2281*Q2281+R2281),1))</f>
        <v>0.013999999999999998</v>
      </c>
      <c r="T2281" s="85">
        <f>IF(B2281="",0,$S2281*$K2281)</f>
        <v>31.244547860887364</v>
      </c>
      <c r="U2281" s="85">
        <f>IF(B2281="",0,IF(OR(H2281=MappingTables!$C$34,H2281=MappingTables!$C$35),T2281,0))</f>
        <v>0</v>
      </c>
      <c r="V2281" s="85">
        <f>IF(ISNA(IF(AND(VLOOKUP(CONCATENATE($D2281,$G2281),CSRFinput!$B:$E,4,0)=0,OR(H2281=MappingTables!$C$34,H2281=MappingTables!$C$35)),1,VLOOKUP(CONCATENATE($D2281,$G2281),CSRFinput!$B:$E,4,0))),0,IF(AND(VLOOKUP(CONCATENATE($D2281,$G2281),CSRFinput!$B:$E,4,0)=0,OR(H2281=MappingTables!$C$34,H2281=MappingTables!$C$35)),1,VLOOKUP(CONCATENATE($D2281,$G2281),CSRFinput!$B:$E,4,0)))</f>
        <v>0.054776304963434752</v>
      </c>
      <c r="W2281" s="85">
        <f>IF(B2281="",0,+$T2281*$V2281)</f>
        <v>1.7114608820725994</v>
      </c>
      <c r="X2281" s="85">
        <f>IF(B2281="",0,IF(OR(H2281=MappingTables!$C$34,H2281=MappingTables!$C$35),W2281,0))</f>
        <v>0</v>
      </c>
    </row>
    <row r="2282" spans="2:24" s="0" customFormat="0" ht="15">
      <c r="B2282" s="69">
        <v>17252200</v>
      </c>
      <c r="C2282" s="70" t="s">
        <v>2313</v>
      </c>
      <c r="D2282" s="70" t="s">
        <v>1</v>
      </c>
      <c r="E2282" s="70" t="s">
        <v>1</v>
      </c>
      <c r="F2282" s="70"/>
      <c r="G2282" s="70" t="s">
        <v>61</v>
      </c>
      <c r="H2282" s="70" t="s">
        <v>178</v>
      </c>
      <c r="I2282" s="70" t="s">
        <v>181</v>
      </c>
      <c r="J2282" s="71">
        <f>IF(OR(I2282=0,I2282=""),"unrated",VLOOKUP(I2282,MappingTables!$B$19:$C$31,2,FALSE))</f>
        <v>3</v>
      </c>
      <c r="K2282" s="72">
        <v>6360.9441249383496</v>
      </c>
      <c r="L2282" s="70">
        <v>0.50504470662682496</v>
      </c>
      <c r="M2282" s="71">
        <f>IF(L2282&lt;1,1,L2282)</f>
        <v>1</v>
      </c>
      <c r="N2282" s="70" t="s">
        <v>141</v>
      </c>
      <c r="O2282" s="71">
        <f>INDEX(DurClassMapping,MATCH(M2282,MappingTables!$D$4:$D$8,-1),1)</f>
        <v>1</v>
      </c>
      <c r="P2282" s="73">
        <f>IF(M2282=$A$1,1,$M2282-INDEX(MappingTables!$E$4:$E$8,MATCH(O2282,MappingTables!$B$4:$B$8,0)))</f>
        <v>1</v>
      </c>
      <c r="Q2282" s="71">
        <f>IF(B2282="",0,INDEX(ModelParameters!$D$6:$K$10,MATCH($O2282,ModelParameters!$B$6:$B$10,0),MATCH($J2282,ModelParameters!$D$5:$K$5,0)))</f>
        <v>0.025</v>
      </c>
      <c r="R2282" s="71">
        <f>IF(B2282="",0,INDEX(ModelParameters!$D$13:$K$17,MATCH($O2282,ModelParameters!$B$13:$B$17,0),MATCH($J2282,ModelParameters!$D$5:$K$5,0)))</f>
        <v>0</v>
      </c>
      <c r="S2282" s="160">
        <f>IF(B2282="",0,MIN(IF($N2282="Other Bond TM",ModelParameters!$N$21,1)*(P2282*Q2282+R2282),1))</f>
        <v>0.025</v>
      </c>
      <c r="T2282" s="85">
        <f>IF(B2282="",0,$S2282*$K2282)</f>
        <v>159.02360312345876</v>
      </c>
      <c r="U2282" s="85">
        <f>IF(B2282="",0,IF(OR(H2282=MappingTables!$C$34,H2282=MappingTables!$C$35),T2282,0))</f>
        <v>0</v>
      </c>
      <c r="V2282" s="85">
        <f>IF(ISNA(IF(AND(VLOOKUP(CONCATENATE($D2282,$G2282),CSRFinput!$B:$E,4,0)=0,OR(H2282=MappingTables!$C$34,H2282=MappingTables!$C$35)),1,VLOOKUP(CONCATENATE($D2282,$G2282),CSRFinput!$B:$E,4,0))),0,IF(AND(VLOOKUP(CONCATENATE($D2282,$G2282),CSRFinput!$B:$E,4,0)=0,OR(H2282=MappingTables!$C$34,H2282=MappingTables!$C$35)),1,VLOOKUP(CONCATENATE($D2282,$G2282),CSRFinput!$B:$E,4,0)))</f>
        <v>0.054776304963434752</v>
      </c>
      <c r="W2282" s="85">
        <f>IF(B2282="",0,+$T2282*$V2282)</f>
        <v>8.7107253810747936</v>
      </c>
      <c r="X2282" s="85">
        <f>IF(B2282="",0,IF(OR(H2282=MappingTables!$C$34,H2282=MappingTables!$C$35),W2282,0))</f>
        <v>0</v>
      </c>
    </row>
    <row r="2283" spans="2:24" s="0" customFormat="0" ht="15">
      <c r="B2283" s="69">
        <v>10572489</v>
      </c>
      <c r="C2283" s="70" t="s">
        <v>2314</v>
      </c>
      <c r="D2283" s="70" t="s">
        <v>1</v>
      </c>
      <c r="E2283" s="70" t="s">
        <v>1</v>
      </c>
      <c r="F2283" s="70"/>
      <c r="G2283" s="70" t="s">
        <v>61</v>
      </c>
      <c r="H2283" s="70" t="s">
        <v>178</v>
      </c>
      <c r="I2283" s="70" t="s">
        <v>181</v>
      </c>
      <c r="J2283" s="71">
        <f>IF(OR(I2283=0,I2283=""),"unrated",VLOOKUP(I2283,MappingTables!$B$19:$C$31,2,FALSE))</f>
        <v>3</v>
      </c>
      <c r="K2283" s="72">
        <v>895.90462129054112</v>
      </c>
      <c r="L2283" s="70">
        <v>4.043345859316224</v>
      </c>
      <c r="M2283" s="71">
        <f>IF(L2283&lt;1,1,L2283)</f>
        <v>4.043345859316224</v>
      </c>
      <c r="N2283" s="70" t="s">
        <v>141</v>
      </c>
      <c r="O2283" s="71">
        <f>INDEX(DurClassMapping,MATCH(M2283,MappingTables!$D$4:$D$8,-1),1)</f>
        <v>1</v>
      </c>
      <c r="P2283" s="73">
        <f>IF(M2283=$A$1,1,$M2283-INDEX(MappingTables!$E$4:$E$8,MATCH(O2283,MappingTables!$B$4:$B$8,0)))</f>
        <v>4.043345859316224</v>
      </c>
      <c r="Q2283" s="71">
        <f>IF(B2283="",0,INDEX(ModelParameters!$D$6:$K$10,MATCH($O2283,ModelParameters!$B$6:$B$10,0),MATCH($J2283,ModelParameters!$D$5:$K$5,0)))</f>
        <v>0.025</v>
      </c>
      <c r="R2283" s="71">
        <f>IF(B2283="",0,INDEX(ModelParameters!$D$13:$K$17,MATCH($O2283,ModelParameters!$B$13:$B$17,0),MATCH($J2283,ModelParameters!$D$5:$K$5,0)))</f>
        <v>0</v>
      </c>
      <c r="S2283" s="160">
        <f>IF(B2283="",0,MIN(IF($N2283="Other Bond TM",ModelParameters!$N$21,1)*(P2283*Q2283+R2283),1))</f>
        <v>0.1010836464829056</v>
      </c>
      <c r="T2283" s="85">
        <f>IF(B2283="",0,$S2283*$K2283)</f>
        <v>90.56130602093448</v>
      </c>
      <c r="U2283" s="85">
        <f>IF(B2283="",0,IF(OR(H2283=MappingTables!$C$34,H2283=MappingTables!$C$35),T2283,0))</f>
        <v>0</v>
      </c>
      <c r="V2283" s="85">
        <f>IF(ISNA(IF(AND(VLOOKUP(CONCATENATE($D2283,$G2283),CSRFinput!$B:$E,4,0)=0,OR(H2283=MappingTables!$C$34,H2283=MappingTables!$C$35)),1,VLOOKUP(CONCATENATE($D2283,$G2283),CSRFinput!$B:$E,4,0))),0,IF(AND(VLOOKUP(CONCATENATE($D2283,$G2283),CSRFinput!$B:$E,4,0)=0,OR(H2283=MappingTables!$C$34,H2283=MappingTables!$C$35)),1,VLOOKUP(CONCATENATE($D2283,$G2283),CSRFinput!$B:$E,4,0)))</f>
        <v>0.054776304963434752</v>
      </c>
      <c r="W2283" s="85">
        <f>IF(B2283="",0,+$T2283*$V2283)</f>
        <v>4.9606137164896464</v>
      </c>
      <c r="X2283" s="85">
        <f>IF(B2283="",0,IF(OR(H2283=MappingTables!$C$34,H2283=MappingTables!$C$35),W2283,0))</f>
        <v>0</v>
      </c>
    </row>
    <row r="2284" spans="2:24" s="0" customFormat="0" ht="15">
      <c r="B2284" s="69">
        <v>13709736</v>
      </c>
      <c r="C2284" s="70" t="s">
        <v>1818</v>
      </c>
      <c r="D2284" s="70" t="s">
        <v>1</v>
      </c>
      <c r="E2284" s="70" t="s">
        <v>1</v>
      </c>
      <c r="F2284" s="70"/>
      <c r="G2284" s="70" t="s">
        <v>61</v>
      </c>
      <c r="H2284" s="70" t="s">
        <v>178</v>
      </c>
      <c r="I2284" s="70" t="s">
        <v>188</v>
      </c>
      <c r="J2284" s="71">
        <f>IF(OR(I2284=0,I2284=""),"unrated",VLOOKUP(I2284,MappingTables!$B$19:$C$31,2,FALSE))</f>
        <v>2</v>
      </c>
      <c r="K2284" s="72">
        <v>628.87055293747952</v>
      </c>
      <c r="L2284" s="70">
        <v>1.2908746236231808</v>
      </c>
      <c r="M2284" s="71">
        <f>IF(L2284&lt;1,1,L2284)</f>
        <v>1.2908746236231808</v>
      </c>
      <c r="N2284" s="70" t="s">
        <v>141</v>
      </c>
      <c r="O2284" s="71">
        <f>INDEX(DurClassMapping,MATCH(M2284,MappingTables!$D$4:$D$8,-1),1)</f>
        <v>1</v>
      </c>
      <c r="P2284" s="73">
        <f>IF(M2284=$A$1,1,$M2284-INDEX(MappingTables!$E$4:$E$8,MATCH(O2284,MappingTables!$B$4:$B$8,0)))</f>
        <v>1.2908746236231808</v>
      </c>
      <c r="Q2284" s="71">
        <f>IF(B2284="",0,INDEX(ModelParameters!$D$6:$K$10,MATCH($O2284,ModelParameters!$B$6:$B$10,0),MATCH($J2284,ModelParameters!$D$5:$K$5,0)))</f>
        <v>0.013999999999999998</v>
      </c>
      <c r="R2284" s="71">
        <f>IF(B2284="",0,INDEX(ModelParameters!$D$13:$K$17,MATCH($O2284,ModelParameters!$B$13:$B$17,0),MATCH($J2284,ModelParameters!$D$5:$K$5,0)))</f>
        <v>0</v>
      </c>
      <c r="S2284" s="160">
        <f>IF(B2284="",0,MIN(IF($N2284="Other Bond TM",ModelParameters!$N$21,1)*(P2284*Q2284+R2284),1))</f>
        <v>0.018072244730724528</v>
      </c>
      <c r="T2284" s="85">
        <f>IF(B2284="",0,$S2284*$K2284)</f>
        <v>11.365102536632184</v>
      </c>
      <c r="U2284" s="85">
        <f>IF(B2284="",0,IF(OR(H2284=MappingTables!$C$34,H2284=MappingTables!$C$35),T2284,0))</f>
        <v>0</v>
      </c>
      <c r="V2284" s="85">
        <f>IF(ISNA(IF(AND(VLOOKUP(CONCATENATE($D2284,$G2284),CSRFinput!$B:$E,4,0)=0,OR(H2284=MappingTables!$C$34,H2284=MappingTables!$C$35)),1,VLOOKUP(CONCATENATE($D2284,$G2284),CSRFinput!$B:$E,4,0))),0,IF(AND(VLOOKUP(CONCATENATE($D2284,$G2284),CSRFinput!$B:$E,4,0)=0,OR(H2284=MappingTables!$C$34,H2284=MappingTables!$C$35)),1,VLOOKUP(CONCATENATE($D2284,$G2284),CSRFinput!$B:$E,4,0)))</f>
        <v>0.054776304963434752</v>
      </c>
      <c r="W2284" s="85">
        <f>IF(B2284="",0,+$T2284*$V2284)</f>
        <v>0.6225383224872704</v>
      </c>
      <c r="X2284" s="85">
        <f>IF(B2284="",0,IF(OR(H2284=MappingTables!$C$34,H2284=MappingTables!$C$35),W2284,0))</f>
        <v>0</v>
      </c>
    </row>
    <row r="2285" spans="2:24" s="0" customFormat="0" ht="15">
      <c r="B2285" s="69" t="s">
        <v>2315</v>
      </c>
      <c r="C2285" s="70" t="s">
        <v>2316</v>
      </c>
      <c r="D2285" s="70" t="s">
        <v>1</v>
      </c>
      <c r="E2285" s="70" t="s">
        <v>1</v>
      </c>
      <c r="F2285" s="70"/>
      <c r="G2285" s="70" t="s">
        <v>61</v>
      </c>
      <c r="H2285" s="70" t="s">
        <v>178</v>
      </c>
      <c r="I2285" s="70" t="s">
        <v>181</v>
      </c>
      <c r="J2285" s="71">
        <f>IF(OR(I2285=0,I2285=""),"unrated",VLOOKUP(I2285,MappingTables!$B$19:$C$31,2,FALSE))</f>
        <v>3</v>
      </c>
      <c r="K2285" s="72">
        <v>6.7902556928952976</v>
      </c>
      <c r="L2285" s="70">
        <v>1.4310554854877846</v>
      </c>
      <c r="M2285" s="71">
        <f>IF(L2285&lt;1,1,L2285)</f>
        <v>1.4310554854877846</v>
      </c>
      <c r="N2285" s="70" t="s">
        <v>141</v>
      </c>
      <c r="O2285" s="71">
        <f>INDEX(DurClassMapping,MATCH(M2285,MappingTables!$D$4:$D$8,-1),1)</f>
        <v>1</v>
      </c>
      <c r="P2285" s="73">
        <f>IF(M2285=$A$1,1,$M2285-INDEX(MappingTables!$E$4:$E$8,MATCH(O2285,MappingTables!$B$4:$B$8,0)))</f>
        <v>1.4310554854877846</v>
      </c>
      <c r="Q2285" s="71">
        <f>IF(B2285="",0,INDEX(ModelParameters!$D$6:$K$10,MATCH($O2285,ModelParameters!$B$6:$B$10,0),MATCH($J2285,ModelParameters!$D$5:$K$5,0)))</f>
        <v>0.025</v>
      </c>
      <c r="R2285" s="71">
        <f>IF(B2285="",0,INDEX(ModelParameters!$D$13:$K$17,MATCH($O2285,ModelParameters!$B$13:$B$17,0),MATCH($J2285,ModelParameters!$D$5:$K$5,0)))</f>
        <v>0</v>
      </c>
      <c r="S2285" s="160">
        <f>IF(B2285="",0,MIN(IF($N2285="Other Bond TM",ModelParameters!$N$21,1)*(P2285*Q2285+R2285),1))</f>
        <v>0.035776387137194616</v>
      </c>
      <c r="T2285" s="85">
        <f>IF(B2285="",0,$S2285*$K2285)</f>
        <v>0.24293081642956184</v>
      </c>
      <c r="U2285" s="85">
        <f>IF(B2285="",0,IF(OR(H2285=MappingTables!$C$34,H2285=MappingTables!$C$35),T2285,0))</f>
        <v>0</v>
      </c>
      <c r="V2285" s="85">
        <f>IF(ISNA(IF(AND(VLOOKUP(CONCATENATE($D2285,$G2285),CSRFinput!$B:$E,4,0)=0,OR(H2285=MappingTables!$C$34,H2285=MappingTables!$C$35)),1,VLOOKUP(CONCATENATE($D2285,$G2285),CSRFinput!$B:$E,4,0))),0,IF(AND(VLOOKUP(CONCATENATE($D2285,$G2285),CSRFinput!$B:$E,4,0)=0,OR(H2285=MappingTables!$C$34,H2285=MappingTables!$C$35)),1,VLOOKUP(CONCATENATE($D2285,$G2285),CSRFinput!$B:$E,4,0)))</f>
        <v>0.054776304963434752</v>
      </c>
      <c r="W2285" s="85">
        <f>IF(B2285="",0,+$T2285*$V2285)</f>
        <v>0.013306852485761866</v>
      </c>
      <c r="X2285" s="85">
        <f>IF(B2285="",0,IF(OR(H2285=MappingTables!$C$34,H2285=MappingTables!$C$35),W2285,0))</f>
        <v>0</v>
      </c>
    </row>
    <row r="2286" spans="2:24" s="0" customFormat="0" ht="15">
      <c r="B2286" s="69" t="s">
        <v>2317</v>
      </c>
      <c r="C2286" s="70" t="s">
        <v>2318</v>
      </c>
      <c r="D2286" s="70" t="s">
        <v>1</v>
      </c>
      <c r="E2286" s="70" t="s">
        <v>1</v>
      </c>
      <c r="F2286" s="70"/>
      <c r="G2286" s="70" t="s">
        <v>61</v>
      </c>
      <c r="H2286" s="70" t="s">
        <v>178</v>
      </c>
      <c r="I2286" s="70" t="s">
        <v>179</v>
      </c>
      <c r="J2286" s="71">
        <f>IF(OR(I2286=0,I2286=""),"unrated",VLOOKUP(I2286,MappingTables!$B$19:$C$31,2,FALSE))</f>
        <v>4</v>
      </c>
      <c r="K2286" s="72">
        <v>264.84032206403488</v>
      </c>
      <c r="L2286" s="70">
        <v>4.5254765287419136</v>
      </c>
      <c r="M2286" s="71">
        <f>IF(L2286&lt;1,1,L2286)</f>
        <v>4.5254765287419136</v>
      </c>
      <c r="N2286" s="70" t="s">
        <v>141</v>
      </c>
      <c r="O2286" s="71">
        <f>INDEX(DurClassMapping,MATCH(M2286,MappingTables!$D$4:$D$8,-1),1)</f>
        <v>1</v>
      </c>
      <c r="P2286" s="73">
        <f>IF(M2286=$A$1,1,$M2286-INDEX(MappingTables!$E$4:$E$8,MATCH(O2286,MappingTables!$B$4:$B$8,0)))</f>
        <v>4.5254765287419136</v>
      </c>
      <c r="Q2286" s="71">
        <f>IF(B2286="",0,INDEX(ModelParameters!$D$6:$K$10,MATCH($O2286,ModelParameters!$B$6:$B$10,0),MATCH($J2286,ModelParameters!$D$5:$K$5,0)))</f>
        <v>0.045</v>
      </c>
      <c r="R2286" s="71">
        <f>IF(B2286="",0,INDEX(ModelParameters!$D$13:$K$17,MATCH($O2286,ModelParameters!$B$13:$B$17,0),MATCH($J2286,ModelParameters!$D$5:$K$5,0)))</f>
        <v>0</v>
      </c>
      <c r="S2286" s="160">
        <f>IF(B2286="",0,MIN(IF($N2286="Other Bond TM",ModelParameters!$N$21,1)*(P2286*Q2286+R2286),1))</f>
        <v>0.20364644379338612</v>
      </c>
      <c r="T2286" s="85">
        <f>IF(B2286="",0,$S2286*$K2286)</f>
        <v>53.933789761435752</v>
      </c>
      <c r="U2286" s="85">
        <f>IF(B2286="",0,IF(OR(H2286=MappingTables!$C$34,H2286=MappingTables!$C$35),T2286,0))</f>
        <v>0</v>
      </c>
      <c r="V2286" s="85">
        <f>IF(ISNA(IF(AND(VLOOKUP(CONCATENATE($D2286,$G2286),CSRFinput!$B:$E,4,0)=0,OR(H2286=MappingTables!$C$34,H2286=MappingTables!$C$35)),1,VLOOKUP(CONCATENATE($D2286,$G2286),CSRFinput!$B:$E,4,0))),0,IF(AND(VLOOKUP(CONCATENATE($D2286,$G2286),CSRFinput!$B:$E,4,0)=0,OR(H2286=MappingTables!$C$34,H2286=MappingTables!$C$35)),1,VLOOKUP(CONCATENATE($D2286,$G2286),CSRFinput!$B:$E,4,0)))</f>
        <v>0.054776304963434752</v>
      </c>
      <c r="W2286" s="85">
        <f>IF(B2286="",0,+$T2286*$V2286)</f>
        <v>2.95429371580618</v>
      </c>
      <c r="X2286" s="85">
        <f>IF(B2286="",0,IF(OR(H2286=MappingTables!$C$34,H2286=MappingTables!$C$35),W2286,0))</f>
        <v>0</v>
      </c>
    </row>
    <row r="2287" spans="2:24" s="0" customFormat="0" ht="15">
      <c r="B2287" s="69">
        <v>18788641</v>
      </c>
      <c r="C2287" s="70" t="s">
        <v>2319</v>
      </c>
      <c r="D2287" s="70" t="s">
        <v>1</v>
      </c>
      <c r="E2287" s="70" t="s">
        <v>1</v>
      </c>
      <c r="F2287" s="70"/>
      <c r="G2287" s="70" t="s">
        <v>61</v>
      </c>
      <c r="H2287" s="70" t="s">
        <v>178</v>
      </c>
      <c r="I2287" s="70" t="s">
        <v>179</v>
      </c>
      <c r="J2287" s="71">
        <f>IF(OR(I2287=0,I2287=""),"unrated",VLOOKUP(I2287,MappingTables!$B$19:$C$31,2,FALSE))</f>
        <v>4</v>
      </c>
      <c r="K2287" s="72">
        <v>283.37101271432584</v>
      </c>
      <c r="L2287" s="70">
        <v>5.5884787663786904</v>
      </c>
      <c r="M2287" s="71">
        <f>IF(L2287&lt;1,1,L2287)</f>
        <v>5.5884787663786904</v>
      </c>
      <c r="N2287" s="70" t="s">
        <v>141</v>
      </c>
      <c r="O2287" s="71">
        <f>INDEX(DurClassMapping,MATCH(M2287,MappingTables!$D$4:$D$8,-1),1)</f>
        <v>2</v>
      </c>
      <c r="P2287" s="73">
        <f>IF(M2287=$A$1,1,$M2287-INDEX(MappingTables!$E$4:$E$8,MATCH(O2287,MappingTables!$B$4:$B$8,0)))</f>
        <v>0.58847876637869056</v>
      </c>
      <c r="Q2287" s="71">
        <f>IF(B2287="",0,INDEX(ModelParameters!$D$6:$K$10,MATCH($O2287,ModelParameters!$B$6:$B$10,0),MATCH($J2287,ModelParameters!$D$5:$K$5,0)))</f>
        <v>0.025</v>
      </c>
      <c r="R2287" s="71">
        <f>IF(B2287="",0,INDEX(ModelParameters!$D$13:$K$17,MATCH($O2287,ModelParameters!$B$13:$B$17,0),MATCH($J2287,ModelParameters!$D$5:$K$5,0)))</f>
        <v>0.225</v>
      </c>
      <c r="S2287" s="160">
        <f>IF(B2287="",0,MIN(IF($N2287="Other Bond TM",ModelParameters!$N$21,1)*(P2287*Q2287+R2287),1))</f>
        <v>0.23971196915946728</v>
      </c>
      <c r="T2287" s="85">
        <f>IF(B2287="",0,$S2287*$K2287)</f>
        <v>67.927423460463488</v>
      </c>
      <c r="U2287" s="85">
        <f>IF(B2287="",0,IF(OR(H2287=MappingTables!$C$34,H2287=MappingTables!$C$35),T2287,0))</f>
        <v>0</v>
      </c>
      <c r="V2287" s="85">
        <f>IF(ISNA(IF(AND(VLOOKUP(CONCATENATE($D2287,$G2287),CSRFinput!$B:$E,4,0)=0,OR(H2287=MappingTables!$C$34,H2287=MappingTables!$C$35)),1,VLOOKUP(CONCATENATE($D2287,$G2287),CSRFinput!$B:$E,4,0))),0,IF(AND(VLOOKUP(CONCATENATE($D2287,$G2287),CSRFinput!$B:$E,4,0)=0,OR(H2287=MappingTables!$C$34,H2287=MappingTables!$C$35)),1,VLOOKUP(CONCATENATE($D2287,$G2287),CSRFinput!$B:$E,4,0)))</f>
        <v>0.054776304963434752</v>
      </c>
      <c r="W2287" s="85">
        <f>IF(B2287="",0,+$T2287*$V2287)</f>
        <v>3.7208132628507208</v>
      </c>
      <c r="X2287" s="85">
        <f>IF(B2287="",0,IF(OR(H2287=MappingTables!$C$34,H2287=MappingTables!$C$35),W2287,0))</f>
        <v>0</v>
      </c>
    </row>
    <row r="2288" spans="2:24" s="0" customFormat="0" ht="15">
      <c r="B2288" s="69">
        <v>15085355</v>
      </c>
      <c r="C2288" s="70" t="s">
        <v>2288</v>
      </c>
      <c r="D2288" s="70" t="s">
        <v>1</v>
      </c>
      <c r="E2288" s="70" t="s">
        <v>1</v>
      </c>
      <c r="F2288" s="70"/>
      <c r="G2288" s="70" t="s">
        <v>61</v>
      </c>
      <c r="H2288" s="70" t="s">
        <v>178</v>
      </c>
      <c r="I2288" s="70" t="s">
        <v>179</v>
      </c>
      <c r="J2288" s="71">
        <f>IF(OR(I2288=0,I2288=""),"unrated",VLOOKUP(I2288,MappingTables!$B$19:$C$31,2,FALSE))</f>
        <v>4</v>
      </c>
      <c r="K2288" s="72">
        <v>3463.2920694536</v>
      </c>
      <c r="L2288" s="70">
        <v>1.692972844217346</v>
      </c>
      <c r="M2288" s="71">
        <f>IF(L2288&lt;1,1,L2288)</f>
        <v>1.692972844217346</v>
      </c>
      <c r="N2288" s="70" t="s">
        <v>141</v>
      </c>
      <c r="O2288" s="71">
        <f>INDEX(DurClassMapping,MATCH(M2288,MappingTables!$D$4:$D$8,-1),1)</f>
        <v>1</v>
      </c>
      <c r="P2288" s="73">
        <f>IF(M2288=$A$1,1,$M2288-INDEX(MappingTables!$E$4:$E$8,MATCH(O2288,MappingTables!$B$4:$B$8,0)))</f>
        <v>1.692972844217346</v>
      </c>
      <c r="Q2288" s="71">
        <f>IF(B2288="",0,INDEX(ModelParameters!$D$6:$K$10,MATCH($O2288,ModelParameters!$B$6:$B$10,0),MATCH($J2288,ModelParameters!$D$5:$K$5,0)))</f>
        <v>0.045</v>
      </c>
      <c r="R2288" s="71">
        <f>IF(B2288="",0,INDEX(ModelParameters!$D$13:$K$17,MATCH($O2288,ModelParameters!$B$13:$B$17,0),MATCH($J2288,ModelParameters!$D$5:$K$5,0)))</f>
        <v>0</v>
      </c>
      <c r="S2288" s="160">
        <f>IF(B2288="",0,MIN(IF($N2288="Other Bond TM",ModelParameters!$N$21,1)*(P2288*Q2288+R2288),1))</f>
        <v>0.076183777989780576</v>
      </c>
      <c r="T2288" s="85">
        <f>IF(B2288="",0,$S2288*$K2288)</f>
        <v>263.84667413302076</v>
      </c>
      <c r="U2288" s="85">
        <f>IF(B2288="",0,IF(OR(H2288=MappingTables!$C$34,H2288=MappingTables!$C$35),T2288,0))</f>
        <v>0</v>
      </c>
      <c r="V2288" s="85">
        <f>IF(ISNA(IF(AND(VLOOKUP(CONCATENATE($D2288,$G2288),CSRFinput!$B:$E,4,0)=0,OR(H2288=MappingTables!$C$34,H2288=MappingTables!$C$35)),1,VLOOKUP(CONCATENATE($D2288,$G2288),CSRFinput!$B:$E,4,0))),0,IF(AND(VLOOKUP(CONCATENATE($D2288,$G2288),CSRFinput!$B:$E,4,0)=0,OR(H2288=MappingTables!$C$34,H2288=MappingTables!$C$35)),1,VLOOKUP(CONCATENATE($D2288,$G2288),CSRFinput!$B:$E,4,0)))</f>
        <v>0.054776304963434752</v>
      </c>
      <c r="W2288" s="85">
        <f>IF(B2288="",0,+$T2288*$V2288)</f>
        <v>14.452545885898338</v>
      </c>
      <c r="X2288" s="85">
        <f>IF(B2288="",0,IF(OR(H2288=MappingTables!$C$34,H2288=MappingTables!$C$35),W2288,0))</f>
        <v>0</v>
      </c>
    </row>
    <row r="2289" spans="2:24" s="0" customFormat="0" ht="15">
      <c r="B2289" s="69" t="s">
        <v>2320</v>
      </c>
      <c r="C2289" s="70" t="s">
        <v>2321</v>
      </c>
      <c r="D2289" s="70" t="s">
        <v>1</v>
      </c>
      <c r="E2289" s="70" t="s">
        <v>1</v>
      </c>
      <c r="F2289" s="70"/>
      <c r="G2289" s="70" t="s">
        <v>61</v>
      </c>
      <c r="H2289" s="70" t="s">
        <v>178</v>
      </c>
      <c r="I2289" s="70" t="s">
        <v>184</v>
      </c>
      <c r="J2289" s="71">
        <f>IF(OR(I2289=0,I2289=""),"unrated",VLOOKUP(I2289,MappingTables!$B$19:$C$31,2,FALSE))</f>
        <v>5</v>
      </c>
      <c r="K2289" s="72">
        <v>203.53236721581784</v>
      </c>
      <c r="L2289" s="70">
        <v>1.3221890406396676</v>
      </c>
      <c r="M2289" s="71">
        <f>IF(L2289&lt;1,1,L2289)</f>
        <v>1.3221890406396676</v>
      </c>
      <c r="N2289" s="70" t="s">
        <v>141</v>
      </c>
      <c r="O2289" s="71">
        <f>INDEX(DurClassMapping,MATCH(M2289,MappingTables!$D$4:$D$8,-1),1)</f>
        <v>1</v>
      </c>
      <c r="P2289" s="73">
        <f>IF(M2289=$A$1,1,$M2289-INDEX(MappingTables!$E$4:$E$8,MATCH(O2289,MappingTables!$B$4:$B$8,0)))</f>
        <v>1.3221890406396676</v>
      </c>
      <c r="Q2289" s="71">
        <f>IF(B2289="",0,INDEX(ModelParameters!$D$6:$K$10,MATCH($O2289,ModelParameters!$B$6:$B$10,0),MATCH($J2289,ModelParameters!$D$5:$K$5,0)))</f>
        <v>0.075</v>
      </c>
      <c r="R2289" s="71">
        <f>IF(B2289="",0,INDEX(ModelParameters!$D$13:$K$17,MATCH($O2289,ModelParameters!$B$13:$B$17,0),MATCH($J2289,ModelParameters!$D$5:$K$5,0)))</f>
        <v>0</v>
      </c>
      <c r="S2289" s="160">
        <f>IF(B2289="",0,MIN(IF($N2289="Other Bond TM",ModelParameters!$N$21,1)*(P2289*Q2289+R2289),1))</f>
        <v>0.099164178047975072</v>
      </c>
      <c r="T2289" s="85">
        <f>IF(B2289="",0,$S2289*$K2289)</f>
        <v>20.183119901115204</v>
      </c>
      <c r="U2289" s="85">
        <f>IF(B2289="",0,IF(OR(H2289=MappingTables!$C$34,H2289=MappingTables!$C$35),T2289,0))</f>
        <v>0</v>
      </c>
      <c r="V2289" s="85">
        <f>IF(ISNA(IF(AND(VLOOKUP(CONCATENATE($D2289,$G2289),CSRFinput!$B:$E,4,0)=0,OR(H2289=MappingTables!$C$34,H2289=MappingTables!$C$35)),1,VLOOKUP(CONCATENATE($D2289,$G2289),CSRFinput!$B:$E,4,0))),0,IF(AND(VLOOKUP(CONCATENATE($D2289,$G2289),CSRFinput!$B:$E,4,0)=0,OR(H2289=MappingTables!$C$34,H2289=MappingTables!$C$35)),1,VLOOKUP(CONCATENATE($D2289,$G2289),CSRFinput!$B:$E,4,0)))</f>
        <v>0.054776304963434752</v>
      </c>
      <c r="W2289" s="85">
        <f>IF(B2289="",0,+$T2289*$V2289)</f>
        <v>1.1055567308170556</v>
      </c>
      <c r="X2289" s="85">
        <f>IF(B2289="",0,IF(OR(H2289=MappingTables!$C$34,H2289=MappingTables!$C$35),W2289,0))</f>
        <v>0</v>
      </c>
    </row>
    <row r="2290" spans="2:24" s="0" customFormat="0" ht="15">
      <c r="B2290" s="69">
        <v>19178554</v>
      </c>
      <c r="C2290" s="70" t="s">
        <v>2322</v>
      </c>
      <c r="D2290" s="70" t="s">
        <v>1</v>
      </c>
      <c r="E2290" s="70" t="s">
        <v>1</v>
      </c>
      <c r="F2290" s="70"/>
      <c r="G2290" s="70" t="s">
        <v>61</v>
      </c>
      <c r="H2290" s="70" t="s">
        <v>178</v>
      </c>
      <c r="I2290" s="70" t="s">
        <v>181</v>
      </c>
      <c r="J2290" s="71">
        <f>IF(OR(I2290=0,I2290=""),"unrated",VLOOKUP(I2290,MappingTables!$B$19:$C$31,2,FALSE))</f>
        <v>3</v>
      </c>
      <c r="K2290" s="72">
        <v>34427.434375497956</v>
      </c>
      <c r="L2290" s="70">
        <v>2.9702074216311556</v>
      </c>
      <c r="M2290" s="71">
        <f>IF(L2290&lt;1,1,L2290)</f>
        <v>2.9702074216311556</v>
      </c>
      <c r="N2290" s="70" t="s">
        <v>141</v>
      </c>
      <c r="O2290" s="71">
        <f>INDEX(DurClassMapping,MATCH(M2290,MappingTables!$D$4:$D$8,-1),1)</f>
        <v>1</v>
      </c>
      <c r="P2290" s="73">
        <f>IF(M2290=$A$1,1,$M2290-INDEX(MappingTables!$E$4:$E$8,MATCH(O2290,MappingTables!$B$4:$B$8,0)))</f>
        <v>2.9702074216311556</v>
      </c>
      <c r="Q2290" s="71">
        <f>IF(B2290="",0,INDEX(ModelParameters!$D$6:$K$10,MATCH($O2290,ModelParameters!$B$6:$B$10,0),MATCH($J2290,ModelParameters!$D$5:$K$5,0)))</f>
        <v>0.025</v>
      </c>
      <c r="R2290" s="71">
        <f>IF(B2290="",0,INDEX(ModelParameters!$D$13:$K$17,MATCH($O2290,ModelParameters!$B$13:$B$17,0),MATCH($J2290,ModelParameters!$D$5:$K$5,0)))</f>
        <v>0</v>
      </c>
      <c r="S2290" s="160">
        <f>IF(B2290="",0,MIN(IF($N2290="Other Bond TM",ModelParameters!$N$21,1)*(P2290*Q2290+R2290),1))</f>
        <v>0.074255185540778896</v>
      </c>
      <c r="T2290" s="85">
        <f>IF(B2290="",0,$S2290*$K2290)</f>
        <v>2556.41552724559</v>
      </c>
      <c r="U2290" s="85">
        <f>IF(B2290="",0,IF(OR(H2290=MappingTables!$C$34,H2290=MappingTables!$C$35),T2290,0))</f>
        <v>0</v>
      </c>
      <c r="V2290" s="85">
        <f>IF(ISNA(IF(AND(VLOOKUP(CONCATENATE($D2290,$G2290),CSRFinput!$B:$E,4,0)=0,OR(H2290=MappingTables!$C$34,H2290=MappingTables!$C$35)),1,VLOOKUP(CONCATENATE($D2290,$G2290),CSRFinput!$B:$E,4,0))),0,IF(AND(VLOOKUP(CONCATENATE($D2290,$G2290),CSRFinput!$B:$E,4,0)=0,OR(H2290=MappingTables!$C$34,H2290=MappingTables!$C$35)),1,VLOOKUP(CONCATENATE($D2290,$G2290),CSRFinput!$B:$E,4,0)))</f>
        <v>0.054776304963434752</v>
      </c>
      <c r="W2290" s="85">
        <f>IF(B2290="",0,+$T2290*$V2290)</f>
        <v>140.03099653366428</v>
      </c>
      <c r="X2290" s="85">
        <f>IF(B2290="",0,IF(OR(H2290=MappingTables!$C$34,H2290=MappingTables!$C$35),W2290,0))</f>
        <v>0</v>
      </c>
    </row>
    <row r="2291" spans="2:24" s="0" customFormat="0" ht="15">
      <c r="B2291" s="69">
        <v>8173683</v>
      </c>
      <c r="C2291" s="70" t="s">
        <v>2323</v>
      </c>
      <c r="D2291" s="70" t="s">
        <v>1</v>
      </c>
      <c r="E2291" s="70" t="s">
        <v>1</v>
      </c>
      <c r="F2291" s="70"/>
      <c r="G2291" s="70" t="s">
        <v>61</v>
      </c>
      <c r="H2291" s="70" t="s">
        <v>178</v>
      </c>
      <c r="I2291" s="70" t="s">
        <v>181</v>
      </c>
      <c r="J2291" s="71">
        <f>IF(OR(I2291=0,I2291=""),"unrated",VLOOKUP(I2291,MappingTables!$B$19:$C$31,2,FALSE))</f>
        <v>3</v>
      </c>
      <c r="K2291" s="72">
        <v>605.38814675193544</v>
      </c>
      <c r="L2291" s="70">
        <v>0.16986521630560178</v>
      </c>
      <c r="M2291" s="71">
        <f>IF(L2291&lt;1,1,L2291)</f>
        <v>1</v>
      </c>
      <c r="N2291" s="70" t="s">
        <v>141</v>
      </c>
      <c r="O2291" s="71">
        <f>INDEX(DurClassMapping,MATCH(M2291,MappingTables!$D$4:$D$8,-1),1)</f>
        <v>1</v>
      </c>
      <c r="P2291" s="73">
        <f>IF(M2291=$A$1,1,$M2291-INDEX(MappingTables!$E$4:$E$8,MATCH(O2291,MappingTables!$B$4:$B$8,0)))</f>
        <v>1</v>
      </c>
      <c r="Q2291" s="71">
        <f>IF(B2291="",0,INDEX(ModelParameters!$D$6:$K$10,MATCH($O2291,ModelParameters!$B$6:$B$10,0),MATCH($J2291,ModelParameters!$D$5:$K$5,0)))</f>
        <v>0.025</v>
      </c>
      <c r="R2291" s="71">
        <f>IF(B2291="",0,INDEX(ModelParameters!$D$13:$K$17,MATCH($O2291,ModelParameters!$B$13:$B$17,0),MATCH($J2291,ModelParameters!$D$5:$K$5,0)))</f>
        <v>0</v>
      </c>
      <c r="S2291" s="160">
        <f>IF(B2291="",0,MIN(IF($N2291="Other Bond TM",ModelParameters!$N$21,1)*(P2291*Q2291+R2291),1))</f>
        <v>0.025</v>
      </c>
      <c r="T2291" s="85">
        <f>IF(B2291="",0,$S2291*$K2291)</f>
        <v>15.134703668798388</v>
      </c>
      <c r="U2291" s="85">
        <f>IF(B2291="",0,IF(OR(H2291=MappingTables!$C$34,H2291=MappingTables!$C$35),T2291,0))</f>
        <v>0</v>
      </c>
      <c r="V2291" s="85">
        <f>IF(ISNA(IF(AND(VLOOKUP(CONCATENATE($D2291,$G2291),CSRFinput!$B:$E,4,0)=0,OR(H2291=MappingTables!$C$34,H2291=MappingTables!$C$35)),1,VLOOKUP(CONCATENATE($D2291,$G2291),CSRFinput!$B:$E,4,0))),0,IF(AND(VLOOKUP(CONCATENATE($D2291,$G2291),CSRFinput!$B:$E,4,0)=0,OR(H2291=MappingTables!$C$34,H2291=MappingTables!$C$35)),1,VLOOKUP(CONCATENATE($D2291,$G2291),CSRFinput!$B:$E,4,0)))</f>
        <v>0.054776304963434752</v>
      </c>
      <c r="W2291" s="85">
        <f>IF(B2291="",0,+$T2291*$V2291)</f>
        <v>0.82902314369331536</v>
      </c>
      <c r="X2291" s="85">
        <f>IF(B2291="",0,IF(OR(H2291=MappingTables!$C$34,H2291=MappingTables!$C$35),W2291,0))</f>
        <v>0</v>
      </c>
    </row>
    <row r="2292" spans="2:24" s="0" customFormat="0" ht="15">
      <c r="B2292" s="69">
        <v>14619690</v>
      </c>
      <c r="C2292" s="70" t="s">
        <v>1607</v>
      </c>
      <c r="D2292" s="70" t="s">
        <v>1</v>
      </c>
      <c r="E2292" s="70" t="s">
        <v>1</v>
      </c>
      <c r="F2292" s="70"/>
      <c r="G2292" s="70" t="s">
        <v>61</v>
      </c>
      <c r="H2292" s="70" t="s">
        <v>178</v>
      </c>
      <c r="I2292" s="70" t="s">
        <v>188</v>
      </c>
      <c r="J2292" s="71">
        <f>IF(OR(I2292=0,I2292=""),"unrated",VLOOKUP(I2292,MappingTables!$B$19:$C$31,2,FALSE))</f>
        <v>2</v>
      </c>
      <c r="K2292" s="72">
        <v>47392.546645233256</v>
      </c>
      <c r="L2292" s="70">
        <v>3.3314749023911692</v>
      </c>
      <c r="M2292" s="71">
        <f>IF(L2292&lt;1,1,L2292)</f>
        <v>3.3314749023911692</v>
      </c>
      <c r="N2292" s="70" t="s">
        <v>141</v>
      </c>
      <c r="O2292" s="71">
        <f>INDEX(DurClassMapping,MATCH(M2292,MappingTables!$D$4:$D$8,-1),1)</f>
        <v>1</v>
      </c>
      <c r="P2292" s="73">
        <f>IF(M2292=$A$1,1,$M2292-INDEX(MappingTables!$E$4:$E$8,MATCH(O2292,MappingTables!$B$4:$B$8,0)))</f>
        <v>3.3314749023911692</v>
      </c>
      <c r="Q2292" s="71">
        <f>IF(B2292="",0,INDEX(ModelParameters!$D$6:$K$10,MATCH($O2292,ModelParameters!$B$6:$B$10,0),MATCH($J2292,ModelParameters!$D$5:$K$5,0)))</f>
        <v>0.013999999999999998</v>
      </c>
      <c r="R2292" s="71">
        <f>IF(B2292="",0,INDEX(ModelParameters!$D$13:$K$17,MATCH($O2292,ModelParameters!$B$13:$B$17,0),MATCH($J2292,ModelParameters!$D$5:$K$5,0)))</f>
        <v>0</v>
      </c>
      <c r="S2292" s="160">
        <f>IF(B2292="",0,MIN(IF($N2292="Other Bond TM",ModelParameters!$N$21,1)*(P2292*Q2292+R2292),1))</f>
        <v>0.046640648633476368</v>
      </c>
      <c r="T2292" s="85">
        <f>IF(B2292="",0,$S2292*$K2292)</f>
        <v>2210.4191159259636</v>
      </c>
      <c r="U2292" s="85">
        <f>IF(B2292="",0,IF(OR(H2292=MappingTables!$C$34,H2292=MappingTables!$C$35),T2292,0))</f>
        <v>0</v>
      </c>
      <c r="V2292" s="85">
        <f>IF(ISNA(IF(AND(VLOOKUP(CONCATENATE($D2292,$G2292),CSRFinput!$B:$E,4,0)=0,OR(H2292=MappingTables!$C$34,H2292=MappingTables!$C$35)),1,VLOOKUP(CONCATENATE($D2292,$G2292),CSRFinput!$B:$E,4,0))),0,IF(AND(VLOOKUP(CONCATENATE($D2292,$G2292),CSRFinput!$B:$E,4,0)=0,OR(H2292=MappingTables!$C$34,H2292=MappingTables!$C$35)),1,VLOOKUP(CONCATENATE($D2292,$G2292),CSRFinput!$B:$E,4,0)))</f>
        <v>0.054776304963434752</v>
      </c>
      <c r="W2292" s="85">
        <f>IF(B2292="",0,+$T2292*$V2292)</f>
        <v>121.07859159096642</v>
      </c>
      <c r="X2292" s="85">
        <f>IF(B2292="",0,IF(OR(H2292=MappingTables!$C$34,H2292=MappingTables!$C$35),W2292,0))</f>
        <v>0</v>
      </c>
    </row>
    <row r="2293" spans="2:24" s="0" customFormat="0" ht="15">
      <c r="B2293" s="69">
        <v>4272787</v>
      </c>
      <c r="C2293" s="70" t="s">
        <v>915</v>
      </c>
      <c r="D2293" s="70" t="s">
        <v>1</v>
      </c>
      <c r="E2293" s="70" t="s">
        <v>1</v>
      </c>
      <c r="F2293" s="70"/>
      <c r="G2293" s="70" t="s">
        <v>61</v>
      </c>
      <c r="H2293" s="70" t="s">
        <v>178</v>
      </c>
      <c r="I2293" s="70" t="s">
        <v>181</v>
      </c>
      <c r="J2293" s="71">
        <f>IF(OR(I2293=0,I2293=""),"unrated",VLOOKUP(I2293,MappingTables!$B$19:$C$31,2,FALSE))</f>
        <v>3</v>
      </c>
      <c r="K2293" s="72">
        <v>24045.230469614508</v>
      </c>
      <c r="L2293" s="70">
        <v>1.5179443707431984</v>
      </c>
      <c r="M2293" s="71">
        <f>IF(L2293&lt;1,1,L2293)</f>
        <v>1.5179443707431984</v>
      </c>
      <c r="N2293" s="70" t="s">
        <v>141</v>
      </c>
      <c r="O2293" s="71">
        <f>INDEX(DurClassMapping,MATCH(M2293,MappingTables!$D$4:$D$8,-1),1)</f>
        <v>1</v>
      </c>
      <c r="P2293" s="73">
        <f>IF(M2293=$A$1,1,$M2293-INDEX(MappingTables!$E$4:$E$8,MATCH(O2293,MappingTables!$B$4:$B$8,0)))</f>
        <v>1.5179443707431984</v>
      </c>
      <c r="Q2293" s="71">
        <f>IF(B2293="",0,INDEX(ModelParameters!$D$6:$K$10,MATCH($O2293,ModelParameters!$B$6:$B$10,0),MATCH($J2293,ModelParameters!$D$5:$K$5,0)))</f>
        <v>0.025</v>
      </c>
      <c r="R2293" s="71">
        <f>IF(B2293="",0,INDEX(ModelParameters!$D$13:$K$17,MATCH($O2293,ModelParameters!$B$13:$B$17,0),MATCH($J2293,ModelParameters!$D$5:$K$5,0)))</f>
        <v>0</v>
      </c>
      <c r="S2293" s="160">
        <f>IF(B2293="",0,MIN(IF($N2293="Other Bond TM",ModelParameters!$N$21,1)*(P2293*Q2293+R2293),1))</f>
        <v>0.03794860926857996</v>
      </c>
      <c r="T2293" s="85">
        <f>IF(B2293="",0,$S2293*$K2293)</f>
        <v>912.4830558643544</v>
      </c>
      <c r="U2293" s="85">
        <f>IF(B2293="",0,IF(OR(H2293=MappingTables!$C$34,H2293=MappingTables!$C$35),T2293,0))</f>
        <v>0</v>
      </c>
      <c r="V2293" s="85">
        <f>IF(ISNA(IF(AND(VLOOKUP(CONCATENATE($D2293,$G2293),CSRFinput!$B:$E,4,0)=0,OR(H2293=MappingTables!$C$34,H2293=MappingTables!$C$35)),1,VLOOKUP(CONCATENATE($D2293,$G2293),CSRFinput!$B:$E,4,0))),0,IF(AND(VLOOKUP(CONCATENATE($D2293,$G2293),CSRFinput!$B:$E,4,0)=0,OR(H2293=MappingTables!$C$34,H2293=MappingTables!$C$35)),1,VLOOKUP(CONCATENATE($D2293,$G2293),CSRFinput!$B:$E,4,0)))</f>
        <v>0.054776304963434752</v>
      </c>
      <c r="W2293" s="85">
        <f>IF(B2293="",0,+$T2293*$V2293)</f>
        <v>49.982450141992744</v>
      </c>
      <c r="X2293" s="85">
        <f>IF(B2293="",0,IF(OR(H2293=MappingTables!$C$34,H2293=MappingTables!$C$35),W2293,0))</f>
        <v>0</v>
      </c>
    </row>
    <row r="2294" spans="2:24" s="0" customFormat="0" ht="15">
      <c r="B2294" s="69">
        <v>23893620</v>
      </c>
      <c r="C2294" s="70" t="s">
        <v>1260</v>
      </c>
      <c r="D2294" s="70" t="s">
        <v>1</v>
      </c>
      <c r="E2294" s="70" t="s">
        <v>1</v>
      </c>
      <c r="F2294" s="70"/>
      <c r="G2294" s="70" t="s">
        <v>61</v>
      </c>
      <c r="H2294" s="70" t="s">
        <v>178</v>
      </c>
      <c r="I2294" s="70" t="s">
        <v>188</v>
      </c>
      <c r="J2294" s="71">
        <f>IF(OR(I2294=0,I2294=""),"unrated",VLOOKUP(I2294,MappingTables!$B$19:$C$31,2,FALSE))</f>
        <v>2</v>
      </c>
      <c r="K2294" s="72">
        <v>598.44842016674992</v>
      </c>
      <c r="L2294" s="70">
        <v>1.5020086591640724</v>
      </c>
      <c r="M2294" s="71">
        <f>IF(L2294&lt;1,1,L2294)</f>
        <v>1.5020086591640724</v>
      </c>
      <c r="N2294" s="70" t="s">
        <v>141</v>
      </c>
      <c r="O2294" s="71">
        <f>INDEX(DurClassMapping,MATCH(M2294,MappingTables!$D$4:$D$8,-1),1)</f>
        <v>1</v>
      </c>
      <c r="P2294" s="73">
        <f>IF(M2294=$A$1,1,$M2294-INDEX(MappingTables!$E$4:$E$8,MATCH(O2294,MappingTables!$B$4:$B$8,0)))</f>
        <v>1.5020086591640724</v>
      </c>
      <c r="Q2294" s="71">
        <f>IF(B2294="",0,INDEX(ModelParameters!$D$6:$K$10,MATCH($O2294,ModelParameters!$B$6:$B$10,0),MATCH($J2294,ModelParameters!$D$5:$K$5,0)))</f>
        <v>0.013999999999999998</v>
      </c>
      <c r="R2294" s="71">
        <f>IF(B2294="",0,INDEX(ModelParameters!$D$13:$K$17,MATCH($O2294,ModelParameters!$B$13:$B$17,0),MATCH($J2294,ModelParameters!$D$5:$K$5,0)))</f>
        <v>0</v>
      </c>
      <c r="S2294" s="160">
        <f>IF(B2294="",0,MIN(IF($N2294="Other Bond TM",ModelParameters!$N$21,1)*(P2294*Q2294+R2294),1))</f>
        <v>0.021028121228297012</v>
      </c>
      <c r="T2294" s="85">
        <f>IF(B2294="",0,$S2294*$K2294)</f>
        <v>12.584245928149244</v>
      </c>
      <c r="U2294" s="85">
        <f>IF(B2294="",0,IF(OR(H2294=MappingTables!$C$34,H2294=MappingTables!$C$35),T2294,0))</f>
        <v>0</v>
      </c>
      <c r="V2294" s="85">
        <f>IF(ISNA(IF(AND(VLOOKUP(CONCATENATE($D2294,$G2294),CSRFinput!$B:$E,4,0)=0,OR(H2294=MappingTables!$C$34,H2294=MappingTables!$C$35)),1,VLOOKUP(CONCATENATE($D2294,$G2294),CSRFinput!$B:$E,4,0))),0,IF(AND(VLOOKUP(CONCATENATE($D2294,$G2294),CSRFinput!$B:$E,4,0)=0,OR(H2294=MappingTables!$C$34,H2294=MappingTables!$C$35)),1,VLOOKUP(CONCATENATE($D2294,$G2294),CSRFinput!$B:$E,4,0)))</f>
        <v>0.054776304963434752</v>
      </c>
      <c r="W2294" s="85">
        <f>IF(B2294="",0,+$T2294*$V2294)</f>
        <v>0.68931849269516496</v>
      </c>
      <c r="X2294" s="85">
        <f>IF(B2294="",0,IF(OR(H2294=MappingTables!$C$34,H2294=MappingTables!$C$35),W2294,0))</f>
        <v>0</v>
      </c>
    </row>
    <row r="2295" spans="2:24" s="0" customFormat="0" ht="15">
      <c r="B2295" s="69" t="s">
        <v>2324</v>
      </c>
      <c r="C2295" s="70" t="s">
        <v>2325</v>
      </c>
      <c r="D2295" s="70" t="s">
        <v>1</v>
      </c>
      <c r="E2295" s="70" t="s">
        <v>1</v>
      </c>
      <c r="F2295" s="70"/>
      <c r="G2295" s="70" t="s">
        <v>61</v>
      </c>
      <c r="H2295" s="70" t="s">
        <v>178</v>
      </c>
      <c r="I2295" s="70" t="s">
        <v>179</v>
      </c>
      <c r="J2295" s="71">
        <f>IF(OR(I2295=0,I2295=""),"unrated",VLOOKUP(I2295,MappingTables!$B$19:$C$31,2,FALSE))</f>
        <v>4</v>
      </c>
      <c r="K2295" s="72">
        <v>16099.77402664089</v>
      </c>
      <c r="L2295" s="70">
        <v>3.1653310360715012</v>
      </c>
      <c r="M2295" s="71">
        <f>IF(L2295&lt;1,1,L2295)</f>
        <v>3.1653310360715012</v>
      </c>
      <c r="N2295" s="70" t="s">
        <v>141</v>
      </c>
      <c r="O2295" s="71">
        <f>INDEX(DurClassMapping,MATCH(M2295,MappingTables!$D$4:$D$8,-1),1)</f>
        <v>1</v>
      </c>
      <c r="P2295" s="73">
        <f>IF(M2295=$A$1,1,$M2295-INDEX(MappingTables!$E$4:$E$8,MATCH(O2295,MappingTables!$B$4:$B$8,0)))</f>
        <v>3.1653310360715012</v>
      </c>
      <c r="Q2295" s="71">
        <f>IF(B2295="",0,INDEX(ModelParameters!$D$6:$K$10,MATCH($O2295,ModelParameters!$B$6:$B$10,0),MATCH($J2295,ModelParameters!$D$5:$K$5,0)))</f>
        <v>0.045</v>
      </c>
      <c r="R2295" s="71">
        <f>IF(B2295="",0,INDEX(ModelParameters!$D$13:$K$17,MATCH($O2295,ModelParameters!$B$13:$B$17,0),MATCH($J2295,ModelParameters!$D$5:$K$5,0)))</f>
        <v>0</v>
      </c>
      <c r="S2295" s="160">
        <f>IF(B2295="",0,MIN(IF($N2295="Other Bond TM",ModelParameters!$N$21,1)*(P2295*Q2295+R2295),1))</f>
        <v>0.14243989662321754</v>
      </c>
      <c r="T2295" s="85">
        <f>IF(B2295="",0,$S2295*$K2295)</f>
        <v>2293.2501480118912</v>
      </c>
      <c r="U2295" s="85">
        <f>IF(B2295="",0,IF(OR(H2295=MappingTables!$C$34,H2295=MappingTables!$C$35),T2295,0))</f>
        <v>0</v>
      </c>
      <c r="V2295" s="85">
        <f>IF(ISNA(IF(AND(VLOOKUP(CONCATENATE($D2295,$G2295),CSRFinput!$B:$E,4,0)=0,OR(H2295=MappingTables!$C$34,H2295=MappingTables!$C$35)),1,VLOOKUP(CONCATENATE($D2295,$G2295),CSRFinput!$B:$E,4,0))),0,IF(AND(VLOOKUP(CONCATENATE($D2295,$G2295),CSRFinput!$B:$E,4,0)=0,OR(H2295=MappingTables!$C$34,H2295=MappingTables!$C$35)),1,VLOOKUP(CONCATENATE($D2295,$G2295),CSRFinput!$B:$E,4,0)))</f>
        <v>0.054776304963434752</v>
      </c>
      <c r="W2295" s="85">
        <f>IF(B2295="",0,+$T2295*$V2295)</f>
        <v>125.61576946494124</v>
      </c>
      <c r="X2295" s="85">
        <f>IF(B2295="",0,IF(OR(H2295=MappingTables!$C$34,H2295=MappingTables!$C$35),W2295,0))</f>
        <v>0</v>
      </c>
    </row>
    <row r="2296" spans="2:24" s="0" customFormat="0" ht="15">
      <c r="B2296" s="69">
        <v>19686291</v>
      </c>
      <c r="C2296" s="70" t="s">
        <v>2326</v>
      </c>
      <c r="D2296" s="70" t="s">
        <v>1</v>
      </c>
      <c r="E2296" s="70" t="s">
        <v>1</v>
      </c>
      <c r="F2296" s="70"/>
      <c r="G2296" s="70" t="s">
        <v>61</v>
      </c>
      <c r="H2296" s="70" t="s">
        <v>178</v>
      </c>
      <c r="I2296" s="70" t="s">
        <v>184</v>
      </c>
      <c r="J2296" s="71">
        <f>IF(OR(I2296=0,I2296=""),"unrated",VLOOKUP(I2296,MappingTables!$B$19:$C$31,2,FALSE))</f>
        <v>5</v>
      </c>
      <c r="K2296" s="72">
        <v>5544.3196221620808</v>
      </c>
      <c r="L2296" s="70">
        <v>0.33972584801701204</v>
      </c>
      <c r="M2296" s="71">
        <f>IF(L2296&lt;1,1,L2296)</f>
        <v>1</v>
      </c>
      <c r="N2296" s="70" t="s">
        <v>141</v>
      </c>
      <c r="O2296" s="71">
        <f>INDEX(DurClassMapping,MATCH(M2296,MappingTables!$D$4:$D$8,-1),1)</f>
        <v>1</v>
      </c>
      <c r="P2296" s="73">
        <f>IF(M2296=$A$1,1,$M2296-INDEX(MappingTables!$E$4:$E$8,MATCH(O2296,MappingTables!$B$4:$B$8,0)))</f>
        <v>1</v>
      </c>
      <c r="Q2296" s="71">
        <f>IF(B2296="",0,INDEX(ModelParameters!$D$6:$K$10,MATCH($O2296,ModelParameters!$B$6:$B$10,0),MATCH($J2296,ModelParameters!$D$5:$K$5,0)))</f>
        <v>0.075</v>
      </c>
      <c r="R2296" s="71">
        <f>IF(B2296="",0,INDEX(ModelParameters!$D$13:$K$17,MATCH($O2296,ModelParameters!$B$13:$B$17,0),MATCH($J2296,ModelParameters!$D$5:$K$5,0)))</f>
        <v>0</v>
      </c>
      <c r="S2296" s="160">
        <f>IF(B2296="",0,MIN(IF($N2296="Other Bond TM",ModelParameters!$N$21,1)*(P2296*Q2296+R2296),1))</f>
        <v>0.075</v>
      </c>
      <c r="T2296" s="85">
        <f>IF(B2296="",0,$S2296*$K2296)</f>
        <v>415.82397166215608</v>
      </c>
      <c r="U2296" s="85">
        <f>IF(B2296="",0,IF(OR(H2296=MappingTables!$C$34,H2296=MappingTables!$C$35),T2296,0))</f>
        <v>0</v>
      </c>
      <c r="V2296" s="85">
        <f>IF(ISNA(IF(AND(VLOOKUP(CONCATENATE($D2296,$G2296),CSRFinput!$B:$E,4,0)=0,OR(H2296=MappingTables!$C$34,H2296=MappingTables!$C$35)),1,VLOOKUP(CONCATENATE($D2296,$G2296),CSRFinput!$B:$E,4,0))),0,IF(AND(VLOOKUP(CONCATENATE($D2296,$G2296),CSRFinput!$B:$E,4,0)=0,OR(H2296=MappingTables!$C$34,H2296=MappingTables!$C$35)),1,VLOOKUP(CONCATENATE($D2296,$G2296),CSRFinput!$B:$E,4,0)))</f>
        <v>0.054776304963434752</v>
      </c>
      <c r="W2296" s="85">
        <f>IF(B2296="",0,+$T2296*$V2296)</f>
        <v>22.777300682872912</v>
      </c>
      <c r="X2296" s="85">
        <f>IF(B2296="",0,IF(OR(H2296=MappingTables!$C$34,H2296=MappingTables!$C$35),W2296,0))</f>
        <v>0</v>
      </c>
    </row>
    <row r="2297" spans="2:24" s="0" customFormat="0" ht="15">
      <c r="B2297" s="69" t="s">
        <v>2237</v>
      </c>
      <c r="C2297" s="70" t="s">
        <v>2238</v>
      </c>
      <c r="D2297" s="70" t="s">
        <v>1</v>
      </c>
      <c r="E2297" s="70" t="s">
        <v>1</v>
      </c>
      <c r="F2297" s="70"/>
      <c r="G2297" s="70" t="s">
        <v>61</v>
      </c>
      <c r="H2297" s="70" t="s">
        <v>178</v>
      </c>
      <c r="I2297" s="70" t="s">
        <v>181</v>
      </c>
      <c r="J2297" s="71">
        <f>IF(OR(I2297=0,I2297=""),"unrated",VLOOKUP(I2297,MappingTables!$B$19:$C$31,2,FALSE))</f>
        <v>3</v>
      </c>
      <c r="K2297" s="72">
        <v>7.4592000032117152</v>
      </c>
      <c r="L2297" s="70">
        <v>0.4575387301205608</v>
      </c>
      <c r="M2297" s="71">
        <f>IF(L2297&lt;1,1,L2297)</f>
        <v>1</v>
      </c>
      <c r="N2297" s="70" t="s">
        <v>141</v>
      </c>
      <c r="O2297" s="71">
        <f>INDEX(DurClassMapping,MATCH(M2297,MappingTables!$D$4:$D$8,-1),1)</f>
        <v>1</v>
      </c>
      <c r="P2297" s="73">
        <f>IF(M2297=$A$1,1,$M2297-INDEX(MappingTables!$E$4:$E$8,MATCH(O2297,MappingTables!$B$4:$B$8,0)))</f>
        <v>1</v>
      </c>
      <c r="Q2297" s="71">
        <f>IF(B2297="",0,INDEX(ModelParameters!$D$6:$K$10,MATCH($O2297,ModelParameters!$B$6:$B$10,0),MATCH($J2297,ModelParameters!$D$5:$K$5,0)))</f>
        <v>0.025</v>
      </c>
      <c r="R2297" s="71">
        <f>IF(B2297="",0,INDEX(ModelParameters!$D$13:$K$17,MATCH($O2297,ModelParameters!$B$13:$B$17,0),MATCH($J2297,ModelParameters!$D$5:$K$5,0)))</f>
        <v>0</v>
      </c>
      <c r="S2297" s="160">
        <f>IF(B2297="",0,MIN(IF($N2297="Other Bond TM",ModelParameters!$N$21,1)*(P2297*Q2297+R2297),1))</f>
        <v>0.025</v>
      </c>
      <c r="T2297" s="85">
        <f>IF(B2297="",0,$S2297*$K2297)</f>
        <v>0.18648000008029288</v>
      </c>
      <c r="U2297" s="85">
        <f>IF(B2297="",0,IF(OR(H2297=MappingTables!$C$34,H2297=MappingTables!$C$35),T2297,0))</f>
        <v>0</v>
      </c>
      <c r="V2297" s="85">
        <f>IF(ISNA(IF(AND(VLOOKUP(CONCATENATE($D2297,$G2297),CSRFinput!$B:$E,4,0)=0,OR(H2297=MappingTables!$C$34,H2297=MappingTables!$C$35)),1,VLOOKUP(CONCATENATE($D2297,$G2297),CSRFinput!$B:$E,4,0))),0,IF(AND(VLOOKUP(CONCATENATE($D2297,$G2297),CSRFinput!$B:$E,4,0)=0,OR(H2297=MappingTables!$C$34,H2297=MappingTables!$C$35)),1,VLOOKUP(CONCATENATE($D2297,$G2297),CSRFinput!$B:$E,4,0)))</f>
        <v>0.054776304963434752</v>
      </c>
      <c r="W2297" s="85">
        <f>IF(B2297="",0,+$T2297*$V2297)</f>
        <v>0.010214685353979462</v>
      </c>
      <c r="X2297" s="85">
        <f>IF(B2297="",0,IF(OR(H2297=MappingTables!$C$34,H2297=MappingTables!$C$35),W2297,0))</f>
        <v>0</v>
      </c>
    </row>
    <row r="2298" spans="2:24" s="0" customFormat="0" ht="15">
      <c r="B2298" s="69">
        <v>19503911</v>
      </c>
      <c r="C2298" s="70" t="s">
        <v>2327</v>
      </c>
      <c r="D2298" s="70" t="s">
        <v>1</v>
      </c>
      <c r="E2298" s="70" t="s">
        <v>1</v>
      </c>
      <c r="F2298" s="70"/>
      <c r="G2298" s="70" t="s">
        <v>61</v>
      </c>
      <c r="H2298" s="70" t="s">
        <v>178</v>
      </c>
      <c r="I2298" s="70" t="s">
        <v>179</v>
      </c>
      <c r="J2298" s="71">
        <f>IF(OR(I2298=0,I2298=""),"unrated",VLOOKUP(I2298,MappingTables!$B$19:$C$31,2,FALSE))</f>
        <v>4</v>
      </c>
      <c r="K2298" s="72">
        <v>9043.1550906043472</v>
      </c>
      <c r="L2298" s="70">
        <v>3.0470685205030072</v>
      </c>
      <c r="M2298" s="71">
        <f>IF(L2298&lt;1,1,L2298)</f>
        <v>3.0470685205030072</v>
      </c>
      <c r="N2298" s="70" t="s">
        <v>141</v>
      </c>
      <c r="O2298" s="71">
        <f>INDEX(DurClassMapping,MATCH(M2298,MappingTables!$D$4:$D$8,-1),1)</f>
        <v>1</v>
      </c>
      <c r="P2298" s="73">
        <f>IF(M2298=$A$1,1,$M2298-INDEX(MappingTables!$E$4:$E$8,MATCH(O2298,MappingTables!$B$4:$B$8,0)))</f>
        <v>3.0470685205030072</v>
      </c>
      <c r="Q2298" s="71">
        <f>IF(B2298="",0,INDEX(ModelParameters!$D$6:$K$10,MATCH($O2298,ModelParameters!$B$6:$B$10,0),MATCH($J2298,ModelParameters!$D$5:$K$5,0)))</f>
        <v>0.045</v>
      </c>
      <c r="R2298" s="71">
        <f>IF(B2298="",0,INDEX(ModelParameters!$D$13:$K$17,MATCH($O2298,ModelParameters!$B$13:$B$17,0),MATCH($J2298,ModelParameters!$D$5:$K$5,0)))</f>
        <v>0</v>
      </c>
      <c r="S2298" s="160">
        <f>IF(B2298="",0,MIN(IF($N2298="Other Bond TM",ModelParameters!$N$21,1)*(P2298*Q2298+R2298),1))</f>
        <v>0.13711808342263532</v>
      </c>
      <c r="T2298" s="85">
        <f>IF(B2298="",0,$S2298*$K2298)</f>
        <v>1239.980094117316</v>
      </c>
      <c r="U2298" s="85">
        <f>IF(B2298="",0,IF(OR(H2298=MappingTables!$C$34,H2298=MappingTables!$C$35),T2298,0))</f>
        <v>0</v>
      </c>
      <c r="V2298" s="85">
        <f>IF(ISNA(IF(AND(VLOOKUP(CONCATENATE($D2298,$G2298),CSRFinput!$B:$E,4,0)=0,OR(H2298=MappingTables!$C$34,H2298=MappingTables!$C$35)),1,VLOOKUP(CONCATENATE($D2298,$G2298),CSRFinput!$B:$E,4,0))),0,IF(AND(VLOOKUP(CONCATENATE($D2298,$G2298),CSRFinput!$B:$E,4,0)=0,OR(H2298=MappingTables!$C$34,H2298=MappingTables!$C$35)),1,VLOOKUP(CONCATENATE($D2298,$G2298),CSRFinput!$B:$E,4,0)))</f>
        <v>0.054776304963434752</v>
      </c>
      <c r="W2298" s="85">
        <f>IF(B2298="",0,+$T2298*$V2298)</f>
        <v>67.921527783958624</v>
      </c>
      <c r="X2298" s="85">
        <f>IF(B2298="",0,IF(OR(H2298=MappingTables!$C$34,H2298=MappingTables!$C$35),W2298,0))</f>
        <v>0</v>
      </c>
    </row>
    <row r="2299" spans="2:24" s="0" customFormat="0" ht="15">
      <c r="B2299" s="69" t="s">
        <v>2328</v>
      </c>
      <c r="C2299" s="70" t="s">
        <v>2329</v>
      </c>
      <c r="D2299" s="70" t="s">
        <v>1</v>
      </c>
      <c r="E2299" s="70" t="s">
        <v>1</v>
      </c>
      <c r="F2299" s="70"/>
      <c r="G2299" s="70" t="s">
        <v>61</v>
      </c>
      <c r="H2299" s="70" t="s">
        <v>178</v>
      </c>
      <c r="I2299" s="70" t="s">
        <v>181</v>
      </c>
      <c r="J2299" s="71">
        <f>IF(OR(I2299=0,I2299=""),"unrated",VLOOKUP(I2299,MappingTables!$B$19:$C$31,2,FALSE))</f>
        <v>3</v>
      </c>
      <c r="K2299" s="72">
        <v>13664.636169070272</v>
      </c>
      <c r="L2299" s="70">
        <v>1.3906210233985514</v>
      </c>
      <c r="M2299" s="71">
        <f>IF(L2299&lt;1,1,L2299)</f>
        <v>1.3906210233985514</v>
      </c>
      <c r="N2299" s="70" t="s">
        <v>141</v>
      </c>
      <c r="O2299" s="71">
        <f>INDEX(DurClassMapping,MATCH(M2299,MappingTables!$D$4:$D$8,-1),1)</f>
        <v>1</v>
      </c>
      <c r="P2299" s="73">
        <f>IF(M2299=$A$1,1,$M2299-INDEX(MappingTables!$E$4:$E$8,MATCH(O2299,MappingTables!$B$4:$B$8,0)))</f>
        <v>1.3906210233985514</v>
      </c>
      <c r="Q2299" s="71">
        <f>IF(B2299="",0,INDEX(ModelParameters!$D$6:$K$10,MATCH($O2299,ModelParameters!$B$6:$B$10,0),MATCH($J2299,ModelParameters!$D$5:$K$5,0)))</f>
        <v>0.025</v>
      </c>
      <c r="R2299" s="71">
        <f>IF(B2299="",0,INDEX(ModelParameters!$D$13:$K$17,MATCH($O2299,ModelParameters!$B$13:$B$17,0),MATCH($J2299,ModelParameters!$D$5:$K$5,0)))</f>
        <v>0</v>
      </c>
      <c r="S2299" s="160">
        <f>IF(B2299="",0,MIN(IF($N2299="Other Bond TM",ModelParameters!$N$21,1)*(P2299*Q2299+R2299),1))</f>
        <v>0.034765525584963784</v>
      </c>
      <c r="T2299" s="85">
        <f>IF(B2299="",0,$S2299*$K2299)</f>
        <v>475.05825834503408</v>
      </c>
      <c r="U2299" s="85">
        <f>IF(B2299="",0,IF(OR(H2299=MappingTables!$C$34,H2299=MappingTables!$C$35),T2299,0))</f>
        <v>0</v>
      </c>
      <c r="V2299" s="85">
        <f>IF(ISNA(IF(AND(VLOOKUP(CONCATENATE($D2299,$G2299),CSRFinput!$B:$E,4,0)=0,OR(H2299=MappingTables!$C$34,H2299=MappingTables!$C$35)),1,VLOOKUP(CONCATENATE($D2299,$G2299),CSRFinput!$B:$E,4,0))),0,IF(AND(VLOOKUP(CONCATENATE($D2299,$G2299),CSRFinput!$B:$E,4,0)=0,OR(H2299=MappingTables!$C$34,H2299=MappingTables!$C$35)),1,VLOOKUP(CONCATENATE($D2299,$G2299),CSRFinput!$B:$E,4,0)))</f>
        <v>0.054776304963434752</v>
      </c>
      <c r="W2299" s="85">
        <f>IF(B2299="",0,+$T2299*$V2299)</f>
        <v>26.02193603450576</v>
      </c>
      <c r="X2299" s="85">
        <f>IF(B2299="",0,IF(OR(H2299=MappingTables!$C$34,H2299=MappingTables!$C$35),W2299,0))</f>
        <v>0</v>
      </c>
    </row>
    <row r="2300" spans="2:24" s="0" customFormat="0" ht="15">
      <c r="B2300" s="69">
        <v>21736770</v>
      </c>
      <c r="C2300" s="70" t="s">
        <v>2330</v>
      </c>
      <c r="D2300" s="70" t="s">
        <v>1</v>
      </c>
      <c r="E2300" s="70" t="s">
        <v>1</v>
      </c>
      <c r="F2300" s="70"/>
      <c r="G2300" s="70" t="s">
        <v>61</v>
      </c>
      <c r="H2300" s="70" t="s">
        <v>178</v>
      </c>
      <c r="I2300" s="70" t="s">
        <v>181</v>
      </c>
      <c r="J2300" s="71">
        <f>IF(OR(I2300=0,I2300=""),"unrated",VLOOKUP(I2300,MappingTables!$B$19:$C$31,2,FALSE))</f>
        <v>3</v>
      </c>
      <c r="K2300" s="72">
        <v>2174.5710381335536</v>
      </c>
      <c r="L2300" s="70">
        <v>1.9154226067153604</v>
      </c>
      <c r="M2300" s="71">
        <f>IF(L2300&lt;1,1,L2300)</f>
        <v>1.9154226067153604</v>
      </c>
      <c r="N2300" s="70" t="s">
        <v>141</v>
      </c>
      <c r="O2300" s="71">
        <f>INDEX(DurClassMapping,MATCH(M2300,MappingTables!$D$4:$D$8,-1),1)</f>
        <v>1</v>
      </c>
      <c r="P2300" s="73">
        <f>IF(M2300=$A$1,1,$M2300-INDEX(MappingTables!$E$4:$E$8,MATCH(O2300,MappingTables!$B$4:$B$8,0)))</f>
        <v>1.9154226067153604</v>
      </c>
      <c r="Q2300" s="71">
        <f>IF(B2300="",0,INDEX(ModelParameters!$D$6:$K$10,MATCH($O2300,ModelParameters!$B$6:$B$10,0),MATCH($J2300,ModelParameters!$D$5:$K$5,0)))</f>
        <v>0.025</v>
      </c>
      <c r="R2300" s="71">
        <f>IF(B2300="",0,INDEX(ModelParameters!$D$13:$K$17,MATCH($O2300,ModelParameters!$B$13:$B$17,0),MATCH($J2300,ModelParameters!$D$5:$K$5,0)))</f>
        <v>0</v>
      </c>
      <c r="S2300" s="160">
        <f>IF(B2300="",0,MIN(IF($N2300="Other Bond TM",ModelParameters!$N$21,1)*(P2300*Q2300+R2300),1))</f>
        <v>0.047885565167884008</v>
      </c>
      <c r="T2300" s="85">
        <f>IF(B2300="",0,$S2300*$K2300)</f>
        <v>104.13056315873746</v>
      </c>
      <c r="U2300" s="85">
        <f>IF(B2300="",0,IF(OR(H2300=MappingTables!$C$34,H2300=MappingTables!$C$35),T2300,0))</f>
        <v>0</v>
      </c>
      <c r="V2300" s="85">
        <f>IF(ISNA(IF(AND(VLOOKUP(CONCATENATE($D2300,$G2300),CSRFinput!$B:$E,4,0)=0,OR(H2300=MappingTables!$C$34,H2300=MappingTables!$C$35)),1,VLOOKUP(CONCATENATE($D2300,$G2300),CSRFinput!$B:$E,4,0))),0,IF(AND(VLOOKUP(CONCATENATE($D2300,$G2300),CSRFinput!$B:$E,4,0)=0,OR(H2300=MappingTables!$C$34,H2300=MappingTables!$C$35)),1,VLOOKUP(CONCATENATE($D2300,$G2300),CSRFinput!$B:$E,4,0)))</f>
        <v>0.054776304963434752</v>
      </c>
      <c r="W2300" s="85">
        <f>IF(B2300="",0,+$T2300*$V2300)</f>
        <v>5.7038874835972064</v>
      </c>
      <c r="X2300" s="85">
        <f>IF(B2300="",0,IF(OR(H2300=MappingTables!$C$34,H2300=MappingTables!$C$35),W2300,0))</f>
        <v>0</v>
      </c>
    </row>
    <row r="2301" spans="2:24" s="0" customFormat="0" ht="15">
      <c r="B2301" s="69" t="s">
        <v>2017</v>
      </c>
      <c r="C2301" s="70" t="s">
        <v>2018</v>
      </c>
      <c r="D2301" s="70" t="s">
        <v>1</v>
      </c>
      <c r="E2301" s="70" t="s">
        <v>1</v>
      </c>
      <c r="F2301" s="70"/>
      <c r="G2301" s="70" t="s">
        <v>61</v>
      </c>
      <c r="H2301" s="70" t="s">
        <v>178</v>
      </c>
      <c r="I2301" s="70" t="s">
        <v>184</v>
      </c>
      <c r="J2301" s="71">
        <f>IF(OR(I2301=0,I2301=""),"unrated",VLOOKUP(I2301,MappingTables!$B$19:$C$31,2,FALSE))</f>
        <v>5</v>
      </c>
      <c r="K2301" s="72">
        <v>140.15336994944814</v>
      </c>
      <c r="L2301" s="70">
        <v>1.5888737938224954</v>
      </c>
      <c r="M2301" s="71">
        <f>IF(L2301&lt;1,1,L2301)</f>
        <v>1.5888737938224954</v>
      </c>
      <c r="N2301" s="70" t="s">
        <v>141</v>
      </c>
      <c r="O2301" s="71">
        <f>INDEX(DurClassMapping,MATCH(M2301,MappingTables!$D$4:$D$8,-1),1)</f>
        <v>1</v>
      </c>
      <c r="P2301" s="73">
        <f>IF(M2301=$A$1,1,$M2301-INDEX(MappingTables!$E$4:$E$8,MATCH(O2301,MappingTables!$B$4:$B$8,0)))</f>
        <v>1.5888737938224954</v>
      </c>
      <c r="Q2301" s="71">
        <f>IF(B2301="",0,INDEX(ModelParameters!$D$6:$K$10,MATCH($O2301,ModelParameters!$B$6:$B$10,0),MATCH($J2301,ModelParameters!$D$5:$K$5,0)))</f>
        <v>0.075</v>
      </c>
      <c r="R2301" s="71">
        <f>IF(B2301="",0,INDEX(ModelParameters!$D$13:$K$17,MATCH($O2301,ModelParameters!$B$13:$B$17,0),MATCH($J2301,ModelParameters!$D$5:$K$5,0)))</f>
        <v>0</v>
      </c>
      <c r="S2301" s="160">
        <f>IF(B2301="",0,MIN(IF($N2301="Other Bond TM",ModelParameters!$N$21,1)*(P2301*Q2301+R2301),1))</f>
        <v>0.11916553453668716</v>
      </c>
      <c r="T2301" s="85">
        <f>IF(B2301="",0,$S2301*$K2301)</f>
        <v>16.701451247144056</v>
      </c>
      <c r="U2301" s="85">
        <f>IF(B2301="",0,IF(OR(H2301=MappingTables!$C$34,H2301=MappingTables!$C$35),T2301,0))</f>
        <v>0</v>
      </c>
      <c r="V2301" s="85">
        <f>IF(ISNA(IF(AND(VLOOKUP(CONCATENATE($D2301,$G2301),CSRFinput!$B:$E,4,0)=0,OR(H2301=MappingTables!$C$34,H2301=MappingTables!$C$35)),1,VLOOKUP(CONCATENATE($D2301,$G2301),CSRFinput!$B:$E,4,0))),0,IF(AND(VLOOKUP(CONCATENATE($D2301,$G2301),CSRFinput!$B:$E,4,0)=0,OR(H2301=MappingTables!$C$34,H2301=MappingTables!$C$35)),1,VLOOKUP(CONCATENATE($D2301,$G2301),CSRFinput!$B:$E,4,0)))</f>
        <v>0.054776304963434752</v>
      </c>
      <c r="W2301" s="85">
        <f>IF(B2301="",0,+$T2301*$V2301)</f>
        <v>0.91484378684550064</v>
      </c>
      <c r="X2301" s="85">
        <f>IF(B2301="",0,IF(OR(H2301=MappingTables!$C$34,H2301=MappingTables!$C$35),W2301,0))</f>
        <v>0</v>
      </c>
    </row>
    <row r="2302" spans="2:24" s="0" customFormat="0" ht="15">
      <c r="B2302" s="69" t="s">
        <v>2331</v>
      </c>
      <c r="C2302" s="70" t="s">
        <v>2332</v>
      </c>
      <c r="D2302" s="70" t="s">
        <v>1</v>
      </c>
      <c r="E2302" s="70" t="s">
        <v>1</v>
      </c>
      <c r="F2302" s="70"/>
      <c r="G2302" s="70" t="s">
        <v>61</v>
      </c>
      <c r="H2302" s="70" t="s">
        <v>178</v>
      </c>
      <c r="I2302" s="70" t="s">
        <v>513</v>
      </c>
      <c r="J2302" s="71">
        <f>IF(OR(I2302=0,I2302=""),"unrated",VLOOKUP(I2302,MappingTables!$B$19:$C$31,2,FALSE))</f>
        <v>6</v>
      </c>
      <c r="K2302" s="72">
        <v>459.24775972690616</v>
      </c>
      <c r="L2302" s="70">
        <v>6.6102840749385312</v>
      </c>
      <c r="M2302" s="71">
        <f>IF(L2302&lt;1,1,L2302)</f>
        <v>6.6102840749385312</v>
      </c>
      <c r="N2302" s="70" t="s">
        <v>141</v>
      </c>
      <c r="O2302" s="71">
        <f>INDEX(DurClassMapping,MATCH(M2302,MappingTables!$D$4:$D$8,-1),1)</f>
        <v>2</v>
      </c>
      <c r="P2302" s="73">
        <f>IF(M2302=$A$1,1,$M2302-INDEX(MappingTables!$E$4:$E$8,MATCH(O2302,MappingTables!$B$4:$B$8,0)))</f>
        <v>1.610284074938531</v>
      </c>
      <c r="Q2302" s="71">
        <f>IF(B2302="",0,INDEX(ModelParameters!$D$6:$K$10,MATCH($O2302,ModelParameters!$B$6:$B$10,0),MATCH($J2302,ModelParameters!$D$5:$K$5,0)))</f>
        <v>0.042</v>
      </c>
      <c r="R2302" s="71">
        <f>IF(B2302="",0,INDEX(ModelParameters!$D$13:$K$17,MATCH($O2302,ModelParameters!$B$13:$B$17,0),MATCH($J2302,ModelParameters!$D$5:$K$5,0)))</f>
        <v>0.375</v>
      </c>
      <c r="S2302" s="160">
        <f>IF(B2302="",0,MIN(IF($N2302="Other Bond TM",ModelParameters!$N$21,1)*(P2302*Q2302+R2302),1))</f>
        <v>0.44263193114741824</v>
      </c>
      <c r="T2302" s="85">
        <f>IF(B2302="",0,$S2302*$K2302)</f>
        <v>203.27772276304604</v>
      </c>
      <c r="U2302" s="85">
        <f>IF(B2302="",0,IF(OR(H2302=MappingTables!$C$34,H2302=MappingTables!$C$35),T2302,0))</f>
        <v>0</v>
      </c>
      <c r="V2302" s="85">
        <f>IF(ISNA(IF(AND(VLOOKUP(CONCATENATE($D2302,$G2302),CSRFinput!$B:$E,4,0)=0,OR(H2302=MappingTables!$C$34,H2302=MappingTables!$C$35)),1,VLOOKUP(CONCATENATE($D2302,$G2302),CSRFinput!$B:$E,4,0))),0,IF(AND(VLOOKUP(CONCATENATE($D2302,$G2302),CSRFinput!$B:$E,4,0)=0,OR(H2302=MappingTables!$C$34,H2302=MappingTables!$C$35)),1,VLOOKUP(CONCATENATE($D2302,$G2302),CSRFinput!$B:$E,4,0)))</f>
        <v>0.054776304963434752</v>
      </c>
      <c r="W2302" s="85">
        <f>IF(B2302="",0,+$T2302*$V2302)</f>
        <v>11.134802534341152</v>
      </c>
      <c r="X2302" s="85">
        <f>IF(B2302="",0,IF(OR(H2302=MappingTables!$C$34,H2302=MappingTables!$C$35),W2302,0))</f>
        <v>0</v>
      </c>
    </row>
    <row r="2303" spans="2:24" s="0" customFormat="0" ht="15">
      <c r="B2303" s="69">
        <v>14923621</v>
      </c>
      <c r="C2303" s="70" t="s">
        <v>1847</v>
      </c>
      <c r="D2303" s="70" t="s">
        <v>1</v>
      </c>
      <c r="E2303" s="70" t="s">
        <v>1</v>
      </c>
      <c r="F2303" s="70"/>
      <c r="G2303" s="70" t="s">
        <v>61</v>
      </c>
      <c r="H2303" s="70" t="s">
        <v>178</v>
      </c>
      <c r="I2303" s="70" t="s">
        <v>204</v>
      </c>
      <c r="J2303" s="71">
        <f>IF(OR(I2303=0,I2303=""),"unrated",VLOOKUP(I2303,MappingTables!$B$19:$C$31,2,FALSE))</f>
        <v>6</v>
      </c>
      <c r="K2303" s="72">
        <v>159.20615276156682</v>
      </c>
      <c r="L2303" s="70">
        <v>0.0876692083144236</v>
      </c>
      <c r="M2303" s="71">
        <f>IF(L2303&lt;1,1,L2303)</f>
        <v>1</v>
      </c>
      <c r="N2303" s="70" t="s">
        <v>141</v>
      </c>
      <c r="O2303" s="71">
        <f>INDEX(DurClassMapping,MATCH(M2303,MappingTables!$D$4:$D$8,-1),1)</f>
        <v>1</v>
      </c>
      <c r="P2303" s="73">
        <f>IF(M2303=$A$1,1,$M2303-INDEX(MappingTables!$E$4:$E$8,MATCH(O2303,MappingTables!$B$4:$B$8,0)))</f>
        <v>1</v>
      </c>
      <c r="Q2303" s="71">
        <f>IF(B2303="",0,INDEX(ModelParameters!$D$6:$K$10,MATCH($O2303,ModelParameters!$B$6:$B$10,0),MATCH($J2303,ModelParameters!$D$5:$K$5,0)))</f>
        <v>0.075</v>
      </c>
      <c r="R2303" s="71">
        <f>IF(B2303="",0,INDEX(ModelParameters!$D$13:$K$17,MATCH($O2303,ModelParameters!$B$13:$B$17,0),MATCH($J2303,ModelParameters!$D$5:$K$5,0)))</f>
        <v>0</v>
      </c>
      <c r="S2303" s="160">
        <f>IF(B2303="",0,MIN(IF($N2303="Other Bond TM",ModelParameters!$N$21,1)*(P2303*Q2303+R2303),1))</f>
        <v>0.075</v>
      </c>
      <c r="T2303" s="85">
        <f>IF(B2303="",0,$S2303*$K2303)</f>
        <v>11.94046145711751</v>
      </c>
      <c r="U2303" s="85">
        <f>IF(B2303="",0,IF(OR(H2303=MappingTables!$C$34,H2303=MappingTables!$C$35),T2303,0))</f>
        <v>0</v>
      </c>
      <c r="V2303" s="85">
        <f>IF(ISNA(IF(AND(VLOOKUP(CONCATENATE($D2303,$G2303),CSRFinput!$B:$E,4,0)=0,OR(H2303=MappingTables!$C$34,H2303=MappingTables!$C$35)),1,VLOOKUP(CONCATENATE($D2303,$G2303),CSRFinput!$B:$E,4,0))),0,IF(AND(VLOOKUP(CONCATENATE($D2303,$G2303),CSRFinput!$B:$E,4,0)=0,OR(H2303=MappingTables!$C$34,H2303=MappingTables!$C$35)),1,VLOOKUP(CONCATENATE($D2303,$G2303),CSRFinput!$B:$E,4,0)))</f>
        <v>0.054776304963434752</v>
      </c>
      <c r="W2303" s="85">
        <f>IF(B2303="",0,+$T2303*$V2303)</f>
        <v>0.65405435817920728</v>
      </c>
      <c r="X2303" s="85">
        <f>IF(B2303="",0,IF(OR(H2303=MappingTables!$C$34,H2303=MappingTables!$C$35),W2303,0))</f>
        <v>0</v>
      </c>
    </row>
    <row r="2304" spans="2:24" s="0" customFormat="0" ht="15">
      <c r="B2304" s="69">
        <v>17095258</v>
      </c>
      <c r="C2304" s="70" t="s">
        <v>2333</v>
      </c>
      <c r="D2304" s="70" t="s">
        <v>1</v>
      </c>
      <c r="E2304" s="70" t="s">
        <v>1</v>
      </c>
      <c r="F2304" s="70"/>
      <c r="G2304" s="70" t="s">
        <v>61</v>
      </c>
      <c r="H2304" s="70" t="s">
        <v>178</v>
      </c>
      <c r="I2304" s="70" t="s">
        <v>181</v>
      </c>
      <c r="J2304" s="71">
        <f>IF(OR(I2304=0,I2304=""),"unrated",VLOOKUP(I2304,MappingTables!$B$19:$C$31,2,FALSE))</f>
        <v>3</v>
      </c>
      <c r="K2304" s="72">
        <v>1558.8706555483266</v>
      </c>
      <c r="L2304" s="70">
        <v>0.41643926672112232</v>
      </c>
      <c r="M2304" s="71">
        <f>IF(L2304&lt;1,1,L2304)</f>
        <v>1</v>
      </c>
      <c r="N2304" s="70" t="s">
        <v>141</v>
      </c>
      <c r="O2304" s="71">
        <f>INDEX(DurClassMapping,MATCH(M2304,MappingTables!$D$4:$D$8,-1),1)</f>
        <v>1</v>
      </c>
      <c r="P2304" s="73">
        <f>IF(M2304=$A$1,1,$M2304-INDEX(MappingTables!$E$4:$E$8,MATCH(O2304,MappingTables!$B$4:$B$8,0)))</f>
        <v>1</v>
      </c>
      <c r="Q2304" s="71">
        <f>IF(B2304="",0,INDEX(ModelParameters!$D$6:$K$10,MATCH($O2304,ModelParameters!$B$6:$B$10,0),MATCH($J2304,ModelParameters!$D$5:$K$5,0)))</f>
        <v>0.025</v>
      </c>
      <c r="R2304" s="71">
        <f>IF(B2304="",0,INDEX(ModelParameters!$D$13:$K$17,MATCH($O2304,ModelParameters!$B$13:$B$17,0),MATCH($J2304,ModelParameters!$D$5:$K$5,0)))</f>
        <v>0</v>
      </c>
      <c r="S2304" s="160">
        <f>IF(B2304="",0,MIN(IF($N2304="Other Bond TM",ModelParameters!$N$21,1)*(P2304*Q2304+R2304),1))</f>
        <v>0.025</v>
      </c>
      <c r="T2304" s="85">
        <f>IF(B2304="",0,$S2304*$K2304)</f>
        <v>38.971766388708168</v>
      </c>
      <c r="U2304" s="85">
        <f>IF(B2304="",0,IF(OR(H2304=MappingTables!$C$34,H2304=MappingTables!$C$35),T2304,0))</f>
        <v>0</v>
      </c>
      <c r="V2304" s="85">
        <f>IF(ISNA(IF(AND(VLOOKUP(CONCATENATE($D2304,$G2304),CSRFinput!$B:$E,4,0)=0,OR(H2304=MappingTables!$C$34,H2304=MappingTables!$C$35)),1,VLOOKUP(CONCATENATE($D2304,$G2304),CSRFinput!$B:$E,4,0))),0,IF(AND(VLOOKUP(CONCATENATE($D2304,$G2304),CSRFinput!$B:$E,4,0)=0,OR(H2304=MappingTables!$C$34,H2304=MappingTables!$C$35)),1,VLOOKUP(CONCATENATE($D2304,$G2304),CSRFinput!$B:$E,4,0)))</f>
        <v>0.054776304963434752</v>
      </c>
      <c r="W2304" s="85">
        <f>IF(B2304="",0,+$T2304*$V2304)</f>
        <v>2.1347293606716148</v>
      </c>
      <c r="X2304" s="85">
        <f>IF(B2304="",0,IF(OR(H2304=MappingTables!$C$34,H2304=MappingTables!$C$35),W2304,0))</f>
        <v>0</v>
      </c>
    </row>
    <row r="2305" spans="2:24" s="0" customFormat="0" ht="15">
      <c r="B2305" s="69">
        <v>10654400</v>
      </c>
      <c r="C2305" s="70" t="s">
        <v>369</v>
      </c>
      <c r="D2305" s="70" t="s">
        <v>1</v>
      </c>
      <c r="E2305" s="70" t="s">
        <v>1</v>
      </c>
      <c r="F2305" s="70"/>
      <c r="G2305" s="70" t="s">
        <v>61</v>
      </c>
      <c r="H2305" s="70" t="s">
        <v>178</v>
      </c>
      <c r="I2305" s="70" t="s">
        <v>181</v>
      </c>
      <c r="J2305" s="71">
        <f>IF(OR(I2305=0,I2305=""),"unrated",VLOOKUP(I2305,MappingTables!$B$19:$C$31,2,FALSE))</f>
        <v>3</v>
      </c>
      <c r="K2305" s="72">
        <v>1.1491372043659974</v>
      </c>
      <c r="L2305" s="70">
        <v>0.69315930749919264</v>
      </c>
      <c r="M2305" s="71">
        <f>IF(L2305&lt;1,1,L2305)</f>
        <v>1</v>
      </c>
      <c r="N2305" s="70" t="s">
        <v>141</v>
      </c>
      <c r="O2305" s="71">
        <f>INDEX(DurClassMapping,MATCH(M2305,MappingTables!$D$4:$D$8,-1),1)</f>
        <v>1</v>
      </c>
      <c r="P2305" s="73">
        <f>IF(M2305=$A$1,1,$M2305-INDEX(MappingTables!$E$4:$E$8,MATCH(O2305,MappingTables!$B$4:$B$8,0)))</f>
        <v>1</v>
      </c>
      <c r="Q2305" s="71">
        <f>IF(B2305="",0,INDEX(ModelParameters!$D$6:$K$10,MATCH($O2305,ModelParameters!$B$6:$B$10,0),MATCH($J2305,ModelParameters!$D$5:$K$5,0)))</f>
        <v>0.025</v>
      </c>
      <c r="R2305" s="71">
        <f>IF(B2305="",0,INDEX(ModelParameters!$D$13:$K$17,MATCH($O2305,ModelParameters!$B$13:$B$17,0),MATCH($J2305,ModelParameters!$D$5:$K$5,0)))</f>
        <v>0</v>
      </c>
      <c r="S2305" s="160">
        <f>IF(B2305="",0,MIN(IF($N2305="Other Bond TM",ModelParameters!$N$21,1)*(P2305*Q2305+R2305),1))</f>
        <v>0.025</v>
      </c>
      <c r="T2305" s="85">
        <f>IF(B2305="",0,$S2305*$K2305)</f>
        <v>0.028728430109149936</v>
      </c>
      <c r="U2305" s="85">
        <f>IF(B2305="",0,IF(OR(H2305=MappingTables!$C$34,H2305=MappingTables!$C$35),T2305,0))</f>
        <v>0</v>
      </c>
      <c r="V2305" s="85">
        <f>IF(ISNA(IF(AND(VLOOKUP(CONCATENATE($D2305,$G2305),CSRFinput!$B:$E,4,0)=0,OR(H2305=MappingTables!$C$34,H2305=MappingTables!$C$35)),1,VLOOKUP(CONCATENATE($D2305,$G2305),CSRFinput!$B:$E,4,0))),0,IF(AND(VLOOKUP(CONCATENATE($D2305,$G2305),CSRFinput!$B:$E,4,0)=0,OR(H2305=MappingTables!$C$34,H2305=MappingTables!$C$35)),1,VLOOKUP(CONCATENATE($D2305,$G2305),CSRFinput!$B:$E,4,0)))</f>
        <v>0.054776304963434752</v>
      </c>
      <c r="W2305" s="85">
        <f>IF(B2305="",0,+$T2305*$V2305)</f>
        <v>0.001573637248779518</v>
      </c>
      <c r="X2305" s="85">
        <f>IF(B2305="",0,IF(OR(H2305=MappingTables!$C$34,H2305=MappingTables!$C$35),W2305,0))</f>
        <v>0</v>
      </c>
    </row>
    <row r="2306" spans="2:24" s="0" customFormat="0" ht="15">
      <c r="B2306" s="69">
        <v>21151211</v>
      </c>
      <c r="C2306" s="70" t="s">
        <v>2334</v>
      </c>
      <c r="D2306" s="70" t="s">
        <v>1</v>
      </c>
      <c r="E2306" s="70" t="s">
        <v>1</v>
      </c>
      <c r="F2306" s="70"/>
      <c r="G2306" s="70" t="s">
        <v>61</v>
      </c>
      <c r="H2306" s="70" t="s">
        <v>178</v>
      </c>
      <c r="I2306" s="70" t="s">
        <v>181</v>
      </c>
      <c r="J2306" s="71">
        <f>IF(OR(I2306=0,I2306=""),"unrated",VLOOKUP(I2306,MappingTables!$B$19:$C$31,2,FALSE))</f>
        <v>3</v>
      </c>
      <c r="K2306" s="72">
        <v>1440.7015819284296</v>
      </c>
      <c r="L2306" s="70">
        <v>5.9822904388140896</v>
      </c>
      <c r="M2306" s="71">
        <f>IF(L2306&lt;1,1,L2306)</f>
        <v>5.9822904388140896</v>
      </c>
      <c r="N2306" s="70" t="s">
        <v>141</v>
      </c>
      <c r="O2306" s="71">
        <f>INDEX(DurClassMapping,MATCH(M2306,MappingTables!$D$4:$D$8,-1),1)</f>
        <v>2</v>
      </c>
      <c r="P2306" s="73">
        <f>IF(M2306=$A$1,1,$M2306-INDEX(MappingTables!$E$4:$E$8,MATCH(O2306,MappingTables!$B$4:$B$8,0)))</f>
        <v>0.98229043881408976</v>
      </c>
      <c r="Q2306" s="71">
        <f>IF(B2306="",0,INDEX(ModelParameters!$D$6:$K$10,MATCH($O2306,ModelParameters!$B$6:$B$10,0),MATCH($J2306,ModelParameters!$D$5:$K$5,0)))</f>
        <v>0.015</v>
      </c>
      <c r="R2306" s="71">
        <f>IF(B2306="",0,INDEX(ModelParameters!$D$13:$K$17,MATCH($O2306,ModelParameters!$B$13:$B$17,0),MATCH($J2306,ModelParameters!$D$5:$K$5,0)))</f>
        <v>0.125</v>
      </c>
      <c r="S2306" s="160">
        <f>IF(B2306="",0,MIN(IF($N2306="Other Bond TM",ModelParameters!$N$21,1)*(P2306*Q2306+R2306),1))</f>
        <v>0.13973435658221134</v>
      </c>
      <c r="T2306" s="85">
        <f>IF(B2306="",0,$S2306*$K2306)</f>
        <v>201.31550857774316</v>
      </c>
      <c r="U2306" s="85">
        <f>IF(B2306="",0,IF(OR(H2306=MappingTables!$C$34,H2306=MappingTables!$C$35),T2306,0))</f>
        <v>0</v>
      </c>
      <c r="V2306" s="85">
        <f>IF(ISNA(IF(AND(VLOOKUP(CONCATENATE($D2306,$G2306),CSRFinput!$B:$E,4,0)=0,OR(H2306=MappingTables!$C$34,H2306=MappingTables!$C$35)),1,VLOOKUP(CONCATENATE($D2306,$G2306),CSRFinput!$B:$E,4,0))),0,IF(AND(VLOOKUP(CONCATENATE($D2306,$G2306),CSRFinput!$B:$E,4,0)=0,OR(H2306=MappingTables!$C$34,H2306=MappingTables!$C$35)),1,VLOOKUP(CONCATENATE($D2306,$G2306),CSRFinput!$B:$E,4,0)))</f>
        <v>0.054776304963434752</v>
      </c>
      <c r="W2306" s="85">
        <f>IF(B2306="",0,+$T2306*$V2306)</f>
        <v>11.027319691723424</v>
      </c>
      <c r="X2306" s="85">
        <f>IF(B2306="",0,IF(OR(H2306=MappingTables!$C$34,H2306=MappingTables!$C$35),W2306,0))</f>
        <v>0</v>
      </c>
    </row>
    <row r="2307" spans="2:24" s="0" customFormat="0" ht="15">
      <c r="B2307" s="69">
        <v>20763534</v>
      </c>
      <c r="C2307" s="70" t="s">
        <v>2335</v>
      </c>
      <c r="D2307" s="70" t="s">
        <v>1</v>
      </c>
      <c r="E2307" s="70" t="s">
        <v>1</v>
      </c>
      <c r="F2307" s="70"/>
      <c r="G2307" s="70" t="s">
        <v>61</v>
      </c>
      <c r="H2307" s="70" t="s">
        <v>178</v>
      </c>
      <c r="I2307" s="70" t="s">
        <v>179</v>
      </c>
      <c r="J2307" s="71">
        <f>IF(OR(I2307=0,I2307=""),"unrated",VLOOKUP(I2307,MappingTables!$B$19:$C$31,2,FALSE))</f>
        <v>4</v>
      </c>
      <c r="K2307" s="72">
        <v>2653.7749730513448</v>
      </c>
      <c r="L2307" s="70">
        <v>3.2870935622003932</v>
      </c>
      <c r="M2307" s="71">
        <f>IF(L2307&lt;1,1,L2307)</f>
        <v>3.2870935622003932</v>
      </c>
      <c r="N2307" s="70" t="s">
        <v>141</v>
      </c>
      <c r="O2307" s="71">
        <f>INDEX(DurClassMapping,MATCH(M2307,MappingTables!$D$4:$D$8,-1),1)</f>
        <v>1</v>
      </c>
      <c r="P2307" s="73">
        <f>IF(M2307=$A$1,1,$M2307-INDEX(MappingTables!$E$4:$E$8,MATCH(O2307,MappingTables!$B$4:$B$8,0)))</f>
        <v>3.2870935622003932</v>
      </c>
      <c r="Q2307" s="71">
        <f>IF(B2307="",0,INDEX(ModelParameters!$D$6:$K$10,MATCH($O2307,ModelParameters!$B$6:$B$10,0),MATCH($J2307,ModelParameters!$D$5:$K$5,0)))</f>
        <v>0.045</v>
      </c>
      <c r="R2307" s="71">
        <f>IF(B2307="",0,INDEX(ModelParameters!$D$13:$K$17,MATCH($O2307,ModelParameters!$B$13:$B$17,0),MATCH($J2307,ModelParameters!$D$5:$K$5,0)))</f>
        <v>0</v>
      </c>
      <c r="S2307" s="160">
        <f>IF(B2307="",0,MIN(IF($N2307="Other Bond TM",ModelParameters!$N$21,1)*(P2307*Q2307+R2307),1))</f>
        <v>0.1479192102990177</v>
      </c>
      <c r="T2307" s="85">
        <f>IF(B2307="",0,$S2307*$K2307)</f>
        <v>392.54429832505184</v>
      </c>
      <c r="U2307" s="85">
        <f>IF(B2307="",0,IF(OR(H2307=MappingTables!$C$34,H2307=MappingTables!$C$35),T2307,0))</f>
        <v>0</v>
      </c>
      <c r="V2307" s="85">
        <f>IF(ISNA(IF(AND(VLOOKUP(CONCATENATE($D2307,$G2307),CSRFinput!$B:$E,4,0)=0,OR(H2307=MappingTables!$C$34,H2307=MappingTables!$C$35)),1,VLOOKUP(CONCATENATE($D2307,$G2307),CSRFinput!$B:$E,4,0))),0,IF(AND(VLOOKUP(CONCATENATE($D2307,$G2307),CSRFinput!$B:$E,4,0)=0,OR(H2307=MappingTables!$C$34,H2307=MappingTables!$C$35)),1,VLOOKUP(CONCATENATE($D2307,$G2307),CSRFinput!$B:$E,4,0)))</f>
        <v>0.054776304963434752</v>
      </c>
      <c r="W2307" s="85">
        <f>IF(B2307="",0,+$T2307*$V2307)</f>
        <v>21.502126196710548</v>
      </c>
      <c r="X2307" s="85">
        <f>IF(B2307="",0,IF(OR(H2307=MappingTables!$C$34,H2307=MappingTables!$C$35),W2307,0))</f>
        <v>0</v>
      </c>
    </row>
    <row r="2308" spans="2:24" s="0" customFormat="0" ht="15">
      <c r="B2308" s="69">
        <v>14504602</v>
      </c>
      <c r="C2308" s="70" t="s">
        <v>1176</v>
      </c>
      <c r="D2308" s="70" t="s">
        <v>1</v>
      </c>
      <c r="E2308" s="70" t="s">
        <v>1</v>
      </c>
      <c r="F2308" s="70"/>
      <c r="G2308" s="70" t="s">
        <v>61</v>
      </c>
      <c r="H2308" s="70" t="s">
        <v>178</v>
      </c>
      <c r="I2308" s="70" t="s">
        <v>188</v>
      </c>
      <c r="J2308" s="71">
        <f>IF(OR(I2308=0,I2308=""),"unrated",VLOOKUP(I2308,MappingTables!$B$19:$C$31,2,FALSE))</f>
        <v>2</v>
      </c>
      <c r="K2308" s="72">
        <v>161.40714423158422</v>
      </c>
      <c r="L2308" s="70">
        <v>0.25430368051514364</v>
      </c>
      <c r="M2308" s="71">
        <f>IF(L2308&lt;1,1,L2308)</f>
        <v>1</v>
      </c>
      <c r="N2308" s="70" t="s">
        <v>141</v>
      </c>
      <c r="O2308" s="71">
        <f>INDEX(DurClassMapping,MATCH(M2308,MappingTables!$D$4:$D$8,-1),1)</f>
        <v>1</v>
      </c>
      <c r="P2308" s="73">
        <f>IF(M2308=$A$1,1,$M2308-INDEX(MappingTables!$E$4:$E$8,MATCH(O2308,MappingTables!$B$4:$B$8,0)))</f>
        <v>1</v>
      </c>
      <c r="Q2308" s="71">
        <f>IF(B2308="",0,INDEX(ModelParameters!$D$6:$K$10,MATCH($O2308,ModelParameters!$B$6:$B$10,0),MATCH($J2308,ModelParameters!$D$5:$K$5,0)))</f>
        <v>0.013999999999999998</v>
      </c>
      <c r="R2308" s="71">
        <f>IF(B2308="",0,INDEX(ModelParameters!$D$13:$K$17,MATCH($O2308,ModelParameters!$B$13:$B$17,0),MATCH($J2308,ModelParameters!$D$5:$K$5,0)))</f>
        <v>0</v>
      </c>
      <c r="S2308" s="160">
        <f>IF(B2308="",0,MIN(IF($N2308="Other Bond TM",ModelParameters!$N$21,1)*(P2308*Q2308+R2308),1))</f>
        <v>0.013999999999999998</v>
      </c>
      <c r="T2308" s="85">
        <f>IF(B2308="",0,$S2308*$K2308)</f>
        <v>2.2597000192421792</v>
      </c>
      <c r="U2308" s="85">
        <f>IF(B2308="",0,IF(OR(H2308=MappingTables!$C$34,H2308=MappingTables!$C$35),T2308,0))</f>
        <v>0</v>
      </c>
      <c r="V2308" s="85">
        <f>IF(ISNA(IF(AND(VLOOKUP(CONCATENATE($D2308,$G2308),CSRFinput!$B:$E,4,0)=0,OR(H2308=MappingTables!$C$34,H2308=MappingTables!$C$35)),1,VLOOKUP(CONCATENATE($D2308,$G2308),CSRFinput!$B:$E,4,0))),0,IF(AND(VLOOKUP(CONCATENATE($D2308,$G2308),CSRFinput!$B:$E,4,0)=0,OR(H2308=MappingTables!$C$34,H2308=MappingTables!$C$35)),1,VLOOKUP(CONCATENATE($D2308,$G2308),CSRFinput!$B:$E,4,0)))</f>
        <v>0.054776304963434752</v>
      </c>
      <c r="W2308" s="85">
        <f>IF(B2308="",0,+$T2308*$V2308)</f>
        <v>0.12377801737988898</v>
      </c>
      <c r="X2308" s="85">
        <f>IF(B2308="",0,IF(OR(H2308=MappingTables!$C$34,H2308=MappingTables!$C$35),W2308,0))</f>
        <v>0</v>
      </c>
    </row>
    <row r="2309" spans="2:24" s="0" customFormat="0" ht="15">
      <c r="B2309" s="69">
        <v>22554130</v>
      </c>
      <c r="C2309" s="70" t="s">
        <v>986</v>
      </c>
      <c r="D2309" s="70" t="s">
        <v>1</v>
      </c>
      <c r="E2309" s="70" t="s">
        <v>1</v>
      </c>
      <c r="F2309" s="70"/>
      <c r="G2309" s="70" t="s">
        <v>61</v>
      </c>
      <c r="H2309" s="70" t="s">
        <v>178</v>
      </c>
      <c r="I2309" s="70" t="s">
        <v>198</v>
      </c>
      <c r="J2309" s="71" t="str">
        <f>IF(OR(I2309=0,I2309=""),"unrated",VLOOKUP(I2309,MappingTables!$B$19:$C$31,2,FALSE))</f>
        <v>unrated</v>
      </c>
      <c r="K2309" s="72">
        <v>24.403230310272892</v>
      </c>
      <c r="L2309" s="70">
        <v>25.577373421897196</v>
      </c>
      <c r="M2309" s="71">
        <f>IF(L2309&lt;1,1,L2309)</f>
        <v>25.577373421897196</v>
      </c>
      <c r="N2309" s="70" t="s">
        <v>141</v>
      </c>
      <c r="O2309" s="71">
        <f>INDEX(DurClassMapping,MATCH(M2309,MappingTables!$D$4:$D$8,-1),1)</f>
        <v>5</v>
      </c>
      <c r="P2309" s="73">
        <f>IF(M2309=$A$1,1,$M2309-INDEX(MappingTables!$E$4:$E$8,MATCH(O2309,MappingTables!$B$4:$B$8,0)))</f>
        <v>5.577373421897196</v>
      </c>
      <c r="Q2309" s="71">
        <f>IF(B2309="",0,INDEX(ModelParameters!$D$6:$K$10,MATCH($O2309,ModelParameters!$B$6:$B$10,0),MATCH($J2309,ModelParameters!$D$5:$K$5,0)))</f>
        <v>0.005</v>
      </c>
      <c r="R2309" s="71">
        <f>IF(B2309="",0,INDEX(ModelParameters!$D$13:$K$17,MATCH($O2309,ModelParameters!$B$13:$B$17,0),MATCH($J2309,ModelParameters!$D$5:$K$5,0)))</f>
        <v>0.355</v>
      </c>
      <c r="S2309" s="160">
        <f>IF(B2309="",0,MIN(IF($N2309="Other Bond TM",ModelParameters!$N$21,1)*(P2309*Q2309+R2309),1))</f>
        <v>0.38288686710948592</v>
      </c>
      <c r="T2309" s="85">
        <f>IF(B2309="",0,$S2309*$K2309)</f>
        <v>9.3436764008516368</v>
      </c>
      <c r="U2309" s="85">
        <f>IF(B2309="",0,IF(OR(H2309=MappingTables!$C$34,H2309=MappingTables!$C$35),T2309,0))</f>
        <v>0</v>
      </c>
      <c r="V2309" s="85">
        <f>IF(ISNA(IF(AND(VLOOKUP(CONCATENATE($D2309,$G2309),CSRFinput!$B:$E,4,0)=0,OR(H2309=MappingTables!$C$34,H2309=MappingTables!$C$35)),1,VLOOKUP(CONCATENATE($D2309,$G2309),CSRFinput!$B:$E,4,0))),0,IF(AND(VLOOKUP(CONCATENATE($D2309,$G2309),CSRFinput!$B:$E,4,0)=0,OR(H2309=MappingTables!$C$34,H2309=MappingTables!$C$35)),1,VLOOKUP(CONCATENATE($D2309,$G2309),CSRFinput!$B:$E,4,0)))</f>
        <v>0.054776304963434752</v>
      </c>
      <c r="W2309" s="85">
        <f>IF(B2309="",0,+$T2309*$V2309)</f>
        <v>0.5118120680126976</v>
      </c>
      <c r="X2309" s="85">
        <f>IF(B2309="",0,IF(OR(H2309=MappingTables!$C$34,H2309=MappingTables!$C$35),W2309,0))</f>
        <v>0</v>
      </c>
    </row>
    <row r="2310" spans="2:24" s="0" customFormat="0" ht="15">
      <c r="B2310" s="69">
        <v>22444251</v>
      </c>
      <c r="C2310" s="70" t="s">
        <v>758</v>
      </c>
      <c r="D2310" s="70" t="s">
        <v>1</v>
      </c>
      <c r="E2310" s="70" t="s">
        <v>1</v>
      </c>
      <c r="F2310" s="70"/>
      <c r="G2310" s="70" t="s">
        <v>61</v>
      </c>
      <c r="H2310" s="70" t="s">
        <v>178</v>
      </c>
      <c r="I2310" s="70" t="s">
        <v>181</v>
      </c>
      <c r="J2310" s="71">
        <f>IF(OR(I2310=0,I2310=""),"unrated",VLOOKUP(I2310,MappingTables!$B$19:$C$31,2,FALSE))</f>
        <v>3</v>
      </c>
      <c r="K2310" s="72">
        <v>2250.2788916282692</v>
      </c>
      <c r="L2310" s="70">
        <v>19.220824527536964</v>
      </c>
      <c r="M2310" s="71">
        <f>IF(L2310&lt;1,1,L2310)</f>
        <v>19.220824527536964</v>
      </c>
      <c r="N2310" s="70" t="s">
        <v>141</v>
      </c>
      <c r="O2310" s="71">
        <f>INDEX(DurClassMapping,MATCH(M2310,MappingTables!$D$4:$D$8,-1),1)</f>
        <v>4</v>
      </c>
      <c r="P2310" s="73">
        <f>IF(M2310=$A$1,1,$M2310-INDEX(MappingTables!$E$4:$E$8,MATCH(O2310,MappingTables!$B$4:$B$8,0)))</f>
        <v>4.2208245275369656</v>
      </c>
      <c r="Q2310" s="71">
        <f>IF(B2310="",0,INDEX(ModelParameters!$D$6:$K$10,MATCH($O2310,ModelParameters!$B$6:$B$10,0),MATCH($J2310,ModelParameters!$D$5:$K$5,0)))</f>
        <v>0.01</v>
      </c>
      <c r="R2310" s="71">
        <f>IF(B2310="",0,INDEX(ModelParameters!$D$13:$K$17,MATCH($O2310,ModelParameters!$B$13:$B$17,0),MATCH($J2310,ModelParameters!$D$5:$K$5,0)))</f>
        <v>0.25</v>
      </c>
      <c r="S2310" s="160">
        <f>IF(B2310="",0,MIN(IF($N2310="Other Bond TM",ModelParameters!$N$21,1)*(P2310*Q2310+R2310),1))</f>
        <v>0.29220824527536964</v>
      </c>
      <c r="T2310" s="85">
        <f>IF(B2310="",0,$S2310*$K2310)</f>
        <v>657.55004630290024</v>
      </c>
      <c r="U2310" s="85">
        <f>IF(B2310="",0,IF(OR(H2310=MappingTables!$C$34,H2310=MappingTables!$C$35),T2310,0))</f>
        <v>0</v>
      </c>
      <c r="V2310" s="85">
        <f>IF(ISNA(IF(AND(VLOOKUP(CONCATENATE($D2310,$G2310),CSRFinput!$B:$E,4,0)=0,OR(H2310=MappingTables!$C$34,H2310=MappingTables!$C$35)),1,VLOOKUP(CONCATENATE($D2310,$G2310),CSRFinput!$B:$E,4,0))),0,IF(AND(VLOOKUP(CONCATENATE($D2310,$G2310),CSRFinput!$B:$E,4,0)=0,OR(H2310=MappingTables!$C$34,H2310=MappingTables!$C$35)),1,VLOOKUP(CONCATENATE($D2310,$G2310),CSRFinput!$B:$E,4,0)))</f>
        <v>0.054776304963434752</v>
      </c>
      <c r="W2310" s="85">
        <f>IF(B2310="",0,+$T2310*$V2310)</f>
        <v>36.018161865008304</v>
      </c>
      <c r="X2310" s="85">
        <f>IF(B2310="",0,IF(OR(H2310=MappingTables!$C$34,H2310=MappingTables!$C$35),W2310,0))</f>
        <v>0</v>
      </c>
    </row>
    <row r="2311" spans="2:24" s="0" customFormat="0" ht="15">
      <c r="B2311" s="69">
        <v>2656804</v>
      </c>
      <c r="C2311" s="70" t="s">
        <v>709</v>
      </c>
      <c r="D2311" s="70" t="s">
        <v>1</v>
      </c>
      <c r="E2311" s="70" t="s">
        <v>1</v>
      </c>
      <c r="F2311" s="70"/>
      <c r="G2311" s="70" t="s">
        <v>61</v>
      </c>
      <c r="H2311" s="70" t="s">
        <v>178</v>
      </c>
      <c r="I2311" s="70" t="s">
        <v>181</v>
      </c>
      <c r="J2311" s="71">
        <f>IF(OR(I2311=0,I2311=""),"unrated",VLOOKUP(I2311,MappingTables!$B$19:$C$31,2,FALSE))</f>
        <v>3</v>
      </c>
      <c r="K2311" s="72">
        <v>8027.3556269704208</v>
      </c>
      <c r="L2311" s="70">
        <v>11.536954311354874</v>
      </c>
      <c r="M2311" s="71">
        <f>IF(L2311&lt;1,1,L2311)</f>
        <v>11.536954311354874</v>
      </c>
      <c r="N2311" s="70" t="s">
        <v>141</v>
      </c>
      <c r="O2311" s="71">
        <f>INDEX(DurClassMapping,MATCH(M2311,MappingTables!$D$4:$D$8,-1),1)</f>
        <v>3</v>
      </c>
      <c r="P2311" s="73">
        <f>IF(M2311=$A$1,1,$M2311-INDEX(MappingTables!$E$4:$E$8,MATCH(O2311,MappingTables!$B$4:$B$8,0)))</f>
        <v>1.536954311354874</v>
      </c>
      <c r="Q2311" s="71">
        <f>IF(B2311="",0,INDEX(ModelParameters!$D$6:$K$10,MATCH($O2311,ModelParameters!$B$6:$B$10,0),MATCH($J2311,ModelParameters!$D$5:$K$5,0)))</f>
        <v>0.01</v>
      </c>
      <c r="R2311" s="71">
        <f>IF(B2311="",0,INDEX(ModelParameters!$D$13:$K$17,MATCH($O2311,ModelParameters!$B$13:$B$17,0),MATCH($J2311,ModelParameters!$D$5:$K$5,0)))</f>
        <v>0.2</v>
      </c>
      <c r="S2311" s="160">
        <f>IF(B2311="",0,MIN(IF($N2311="Other Bond TM",ModelParameters!$N$21,1)*(P2311*Q2311+R2311),1))</f>
        <v>0.21536954311354876</v>
      </c>
      <c r="T2311" s="85">
        <f>IF(B2311="",0,$S2311*$K2311)</f>
        <v>1728.8479137905942</v>
      </c>
      <c r="U2311" s="85">
        <f>IF(B2311="",0,IF(OR(H2311=MappingTables!$C$34,H2311=MappingTables!$C$35),T2311,0))</f>
        <v>0</v>
      </c>
      <c r="V2311" s="85">
        <f>IF(ISNA(IF(AND(VLOOKUP(CONCATENATE($D2311,$G2311),CSRFinput!$B:$E,4,0)=0,OR(H2311=MappingTables!$C$34,H2311=MappingTables!$C$35)),1,VLOOKUP(CONCATENATE($D2311,$G2311),CSRFinput!$B:$E,4,0))),0,IF(AND(VLOOKUP(CONCATENATE($D2311,$G2311),CSRFinput!$B:$E,4,0)=0,OR(H2311=MappingTables!$C$34,H2311=MappingTables!$C$35)),1,VLOOKUP(CONCATENATE($D2311,$G2311),CSRFinput!$B:$E,4,0)))</f>
        <v>0.054776304963434752</v>
      </c>
      <c r="W2311" s="85">
        <f>IF(B2311="",0,+$T2311*$V2311)</f>
        <v>94.699900561191536</v>
      </c>
      <c r="X2311" s="85">
        <f>IF(B2311="",0,IF(OR(H2311=MappingTables!$C$34,H2311=MappingTables!$C$35),W2311,0))</f>
        <v>0</v>
      </c>
    </row>
    <row r="2312" spans="2:24" s="0" customFormat="0" ht="15">
      <c r="B2312" s="69">
        <v>18960228</v>
      </c>
      <c r="C2312" s="70" t="s">
        <v>2336</v>
      </c>
      <c r="D2312" s="70" t="s">
        <v>1</v>
      </c>
      <c r="E2312" s="70" t="s">
        <v>1</v>
      </c>
      <c r="F2312" s="70"/>
      <c r="G2312" s="70" t="s">
        <v>61</v>
      </c>
      <c r="H2312" s="70" t="s">
        <v>178</v>
      </c>
      <c r="I2312" s="70" t="s">
        <v>179</v>
      </c>
      <c r="J2312" s="71">
        <f>IF(OR(I2312=0,I2312=""),"unrated",VLOOKUP(I2312,MappingTables!$B$19:$C$31,2,FALSE))</f>
        <v>4</v>
      </c>
      <c r="K2312" s="72">
        <v>67.40869686219088</v>
      </c>
      <c r="L2312" s="70">
        <v>1.041499476816313</v>
      </c>
      <c r="M2312" s="71">
        <f>IF(L2312&lt;1,1,L2312)</f>
        <v>1.041499476816313</v>
      </c>
      <c r="N2312" s="70" t="s">
        <v>141</v>
      </c>
      <c r="O2312" s="71">
        <f>INDEX(DurClassMapping,MATCH(M2312,MappingTables!$D$4:$D$8,-1),1)</f>
        <v>1</v>
      </c>
      <c r="P2312" s="73">
        <f>IF(M2312=$A$1,1,$M2312-INDEX(MappingTables!$E$4:$E$8,MATCH(O2312,MappingTables!$B$4:$B$8,0)))</f>
        <v>1.041499476816313</v>
      </c>
      <c r="Q2312" s="71">
        <f>IF(B2312="",0,INDEX(ModelParameters!$D$6:$K$10,MATCH($O2312,ModelParameters!$B$6:$B$10,0),MATCH($J2312,ModelParameters!$D$5:$K$5,0)))</f>
        <v>0.045</v>
      </c>
      <c r="R2312" s="71">
        <f>IF(B2312="",0,INDEX(ModelParameters!$D$13:$K$17,MATCH($O2312,ModelParameters!$B$13:$B$17,0),MATCH($J2312,ModelParameters!$D$5:$K$5,0)))</f>
        <v>0</v>
      </c>
      <c r="S2312" s="160">
        <f>IF(B2312="",0,MIN(IF($N2312="Other Bond TM",ModelParameters!$N$21,1)*(P2312*Q2312+R2312),1))</f>
        <v>0.046867476456734088</v>
      </c>
      <c r="T2312" s="85">
        <f>IF(B2312="",0,$S2312*$K2312)</f>
        <v>3.159275513167856</v>
      </c>
      <c r="U2312" s="85">
        <f>IF(B2312="",0,IF(OR(H2312=MappingTables!$C$34,H2312=MappingTables!$C$35),T2312,0))</f>
        <v>0</v>
      </c>
      <c r="V2312" s="85">
        <f>IF(ISNA(IF(AND(VLOOKUP(CONCATENATE($D2312,$G2312),CSRFinput!$B:$E,4,0)=0,OR(H2312=MappingTables!$C$34,H2312=MappingTables!$C$35)),1,VLOOKUP(CONCATENATE($D2312,$G2312),CSRFinput!$B:$E,4,0))),0,IF(AND(VLOOKUP(CONCATENATE($D2312,$G2312),CSRFinput!$B:$E,4,0)=0,OR(H2312=MappingTables!$C$34,H2312=MappingTables!$C$35)),1,VLOOKUP(CONCATENATE($D2312,$G2312),CSRFinput!$B:$E,4,0)))</f>
        <v>0.054776304963434752</v>
      </c>
      <c r="W2312" s="85">
        <f>IF(B2312="",0,+$T2312*$V2312)</f>
        <v>0.1730534389727943</v>
      </c>
      <c r="X2312" s="85">
        <f>IF(B2312="",0,IF(OR(H2312=MappingTables!$C$34,H2312=MappingTables!$C$35),W2312,0))</f>
        <v>0</v>
      </c>
    </row>
    <row r="2313" spans="2:24" s="0" customFormat="0" ht="15">
      <c r="B2313" s="69" t="s">
        <v>2320</v>
      </c>
      <c r="C2313" s="70" t="s">
        <v>2321</v>
      </c>
      <c r="D2313" s="70" t="s">
        <v>1</v>
      </c>
      <c r="E2313" s="70" t="s">
        <v>1</v>
      </c>
      <c r="F2313" s="70"/>
      <c r="G2313" s="70" t="s">
        <v>61</v>
      </c>
      <c r="H2313" s="70" t="s">
        <v>178</v>
      </c>
      <c r="I2313" s="70" t="s">
        <v>184</v>
      </c>
      <c r="J2313" s="71">
        <f>IF(OR(I2313=0,I2313=""),"unrated",VLOOKUP(I2313,MappingTables!$B$19:$C$31,2,FALSE))</f>
        <v>5</v>
      </c>
      <c r="K2313" s="72">
        <v>431.70600488978848</v>
      </c>
      <c r="L2313" s="70">
        <v>1.3221890406396714</v>
      </c>
      <c r="M2313" s="71">
        <f>IF(L2313&lt;1,1,L2313)</f>
        <v>1.3221890406396714</v>
      </c>
      <c r="N2313" s="70" t="s">
        <v>141</v>
      </c>
      <c r="O2313" s="71">
        <f>INDEX(DurClassMapping,MATCH(M2313,MappingTables!$D$4:$D$8,-1),1)</f>
        <v>1</v>
      </c>
      <c r="P2313" s="73">
        <f>IF(M2313=$A$1,1,$M2313-INDEX(MappingTables!$E$4:$E$8,MATCH(O2313,MappingTables!$B$4:$B$8,0)))</f>
        <v>1.3221890406396714</v>
      </c>
      <c r="Q2313" s="71">
        <f>IF(B2313="",0,INDEX(ModelParameters!$D$6:$K$10,MATCH($O2313,ModelParameters!$B$6:$B$10,0),MATCH($J2313,ModelParameters!$D$5:$K$5,0)))</f>
        <v>0.075</v>
      </c>
      <c r="R2313" s="71">
        <f>IF(B2313="",0,INDEX(ModelParameters!$D$13:$K$17,MATCH($O2313,ModelParameters!$B$13:$B$17,0),MATCH($J2313,ModelParameters!$D$5:$K$5,0)))</f>
        <v>0</v>
      </c>
      <c r="S2313" s="160">
        <f>IF(B2313="",0,MIN(IF($N2313="Other Bond TM",ModelParameters!$N$21,1)*(P2313*Q2313+R2313),1))</f>
        <v>0.099164178047975344</v>
      </c>
      <c r="T2313" s="85">
        <f>IF(B2313="",0,$S2313*$K2313)</f>
        <v>42.809771133271104</v>
      </c>
      <c r="U2313" s="85">
        <f>IF(B2313="",0,IF(OR(H2313=MappingTables!$C$34,H2313=MappingTables!$C$35),T2313,0))</f>
        <v>0</v>
      </c>
      <c r="V2313" s="85">
        <f>IF(ISNA(IF(AND(VLOOKUP(CONCATENATE($D2313,$G2313),CSRFinput!$B:$E,4,0)=0,OR(H2313=MappingTables!$C$34,H2313=MappingTables!$C$35)),1,VLOOKUP(CONCATENATE($D2313,$G2313),CSRFinput!$B:$E,4,0))),0,IF(AND(VLOOKUP(CONCATENATE($D2313,$G2313),CSRFinput!$B:$E,4,0)=0,OR(H2313=MappingTables!$C$34,H2313=MappingTables!$C$35)),1,VLOOKUP(CONCATENATE($D2313,$G2313),CSRFinput!$B:$E,4,0)))</f>
        <v>0.054776304963434752</v>
      </c>
      <c r="W2313" s="85">
        <f>IF(B2313="",0,+$T2313*$V2313)</f>
        <v>2.344961079010904</v>
      </c>
      <c r="X2313" s="85">
        <f>IF(B2313="",0,IF(OR(H2313=MappingTables!$C$34,H2313=MappingTables!$C$35),W2313,0))</f>
        <v>0</v>
      </c>
    </row>
    <row r="2314" spans="2:24" s="0" customFormat="0" ht="15">
      <c r="B2314" s="69">
        <v>4992301</v>
      </c>
      <c r="C2314" s="70" t="s">
        <v>1696</v>
      </c>
      <c r="D2314" s="70" t="s">
        <v>1</v>
      </c>
      <c r="E2314" s="70" t="s">
        <v>1</v>
      </c>
      <c r="F2314" s="70"/>
      <c r="G2314" s="70" t="s">
        <v>61</v>
      </c>
      <c r="H2314" s="70" t="s">
        <v>178</v>
      </c>
      <c r="I2314" s="70" t="s">
        <v>181</v>
      </c>
      <c r="J2314" s="71">
        <f>IF(OR(I2314=0,I2314=""),"unrated",VLOOKUP(I2314,MappingTables!$B$19:$C$31,2,FALSE))</f>
        <v>3</v>
      </c>
      <c r="K2314" s="72">
        <v>205.56438938971584</v>
      </c>
      <c r="L2314" s="70">
        <v>1.5753973808496358</v>
      </c>
      <c r="M2314" s="71">
        <f>IF(L2314&lt;1,1,L2314)</f>
        <v>1.5753973808496358</v>
      </c>
      <c r="N2314" s="70" t="s">
        <v>141</v>
      </c>
      <c r="O2314" s="71">
        <f>INDEX(DurClassMapping,MATCH(M2314,MappingTables!$D$4:$D$8,-1),1)</f>
        <v>1</v>
      </c>
      <c r="P2314" s="73">
        <f>IF(M2314=$A$1,1,$M2314-INDEX(MappingTables!$E$4:$E$8,MATCH(O2314,MappingTables!$B$4:$B$8,0)))</f>
        <v>1.5753973808496358</v>
      </c>
      <c r="Q2314" s="71">
        <f>IF(B2314="",0,INDEX(ModelParameters!$D$6:$K$10,MATCH($O2314,ModelParameters!$B$6:$B$10,0),MATCH($J2314,ModelParameters!$D$5:$K$5,0)))</f>
        <v>0.025</v>
      </c>
      <c r="R2314" s="71">
        <f>IF(B2314="",0,INDEX(ModelParameters!$D$13:$K$17,MATCH($O2314,ModelParameters!$B$13:$B$17,0),MATCH($J2314,ModelParameters!$D$5:$K$5,0)))</f>
        <v>0</v>
      </c>
      <c r="S2314" s="160">
        <f>IF(B2314="",0,MIN(IF($N2314="Other Bond TM",ModelParameters!$N$21,1)*(P2314*Q2314+R2314),1))</f>
        <v>0.039384934521240896</v>
      </c>
      <c r="T2314" s="85">
        <f>IF(B2314="",0,$S2314*$K2314)</f>
        <v>8.0961400160128256</v>
      </c>
      <c r="U2314" s="85">
        <f>IF(B2314="",0,IF(OR(H2314=MappingTables!$C$34,H2314=MappingTables!$C$35),T2314,0))</f>
        <v>0</v>
      </c>
      <c r="V2314" s="85">
        <f>IF(ISNA(IF(AND(VLOOKUP(CONCATENATE($D2314,$G2314),CSRFinput!$B:$E,4,0)=0,OR(H2314=MappingTables!$C$34,H2314=MappingTables!$C$35)),1,VLOOKUP(CONCATENATE($D2314,$G2314),CSRFinput!$B:$E,4,0))),0,IF(AND(VLOOKUP(CONCATENATE($D2314,$G2314),CSRFinput!$B:$E,4,0)=0,OR(H2314=MappingTables!$C$34,H2314=MappingTables!$C$35)),1,VLOOKUP(CONCATENATE($D2314,$G2314),CSRFinput!$B:$E,4,0)))</f>
        <v>0.054776304963434752</v>
      </c>
      <c r="W2314" s="85">
        <f>IF(B2314="",0,+$T2314*$V2314)</f>
        <v>0.44347663454378608</v>
      </c>
      <c r="X2314" s="85">
        <f>IF(B2314="",0,IF(OR(H2314=MappingTables!$C$34,H2314=MappingTables!$C$35),W2314,0))</f>
        <v>0</v>
      </c>
    </row>
    <row r="2315" spans="2:24" s="0" customFormat="0" ht="15">
      <c r="B2315" s="69">
        <v>24971130</v>
      </c>
      <c r="C2315" s="70" t="s">
        <v>497</v>
      </c>
      <c r="D2315" s="70" t="s">
        <v>1</v>
      </c>
      <c r="E2315" s="70" t="s">
        <v>1</v>
      </c>
      <c r="F2315" s="70"/>
      <c r="G2315" s="70" t="s">
        <v>61</v>
      </c>
      <c r="H2315" s="70" t="s">
        <v>178</v>
      </c>
      <c r="I2315" s="70" t="s">
        <v>184</v>
      </c>
      <c r="J2315" s="71">
        <f>IF(OR(I2315=0,I2315=""),"unrated",VLOOKUP(I2315,MappingTables!$B$19:$C$31,2,FALSE))</f>
        <v>5</v>
      </c>
      <c r="K2315" s="72">
        <v>49108.033092384624</v>
      </c>
      <c r="L2315" s="70">
        <v>2.7541344348756656</v>
      </c>
      <c r="M2315" s="71">
        <f>IF(L2315&lt;1,1,L2315)</f>
        <v>2.7541344348756656</v>
      </c>
      <c r="N2315" s="70" t="s">
        <v>141</v>
      </c>
      <c r="O2315" s="71">
        <f>INDEX(DurClassMapping,MATCH(M2315,MappingTables!$D$4:$D$8,-1),1)</f>
        <v>1</v>
      </c>
      <c r="P2315" s="73">
        <f>IF(M2315=$A$1,1,$M2315-INDEX(MappingTables!$E$4:$E$8,MATCH(O2315,MappingTables!$B$4:$B$8,0)))</f>
        <v>2.7541344348756656</v>
      </c>
      <c r="Q2315" s="71">
        <f>IF(B2315="",0,INDEX(ModelParameters!$D$6:$K$10,MATCH($O2315,ModelParameters!$B$6:$B$10,0),MATCH($J2315,ModelParameters!$D$5:$K$5,0)))</f>
        <v>0.075</v>
      </c>
      <c r="R2315" s="71">
        <f>IF(B2315="",0,INDEX(ModelParameters!$D$13:$K$17,MATCH($O2315,ModelParameters!$B$13:$B$17,0),MATCH($J2315,ModelParameters!$D$5:$K$5,0)))</f>
        <v>0</v>
      </c>
      <c r="S2315" s="160">
        <f>IF(B2315="",0,MIN(IF($N2315="Other Bond TM",ModelParameters!$N$21,1)*(P2315*Q2315+R2315),1))</f>
        <v>0.20656008261567492</v>
      </c>
      <c r="T2315" s="85">
        <f>IF(B2315="",0,$S2315*$K2315)</f>
        <v>10143.759372656266</v>
      </c>
      <c r="U2315" s="85">
        <f>IF(B2315="",0,IF(OR(H2315=MappingTables!$C$34,H2315=MappingTables!$C$35),T2315,0))</f>
        <v>0</v>
      </c>
      <c r="V2315" s="85">
        <f>IF(ISNA(IF(AND(VLOOKUP(CONCATENATE($D2315,$G2315),CSRFinput!$B:$E,4,0)=0,OR(H2315=MappingTables!$C$34,H2315=MappingTables!$C$35)),1,VLOOKUP(CONCATENATE($D2315,$G2315),CSRFinput!$B:$E,4,0))),0,IF(AND(VLOOKUP(CONCATENATE($D2315,$G2315),CSRFinput!$B:$E,4,0)=0,OR(H2315=MappingTables!$C$34,H2315=MappingTables!$C$35)),1,VLOOKUP(CONCATENATE($D2315,$G2315),CSRFinput!$B:$E,4,0)))</f>
        <v>0.054776304963434752</v>
      </c>
      <c r="W2315" s="85">
        <f>IF(B2315="",0,+$T2315*$V2315)</f>
        <v>555.6376568723192</v>
      </c>
      <c r="X2315" s="85">
        <f>IF(B2315="",0,IF(OR(H2315=MappingTables!$C$34,H2315=MappingTables!$C$35),W2315,0))</f>
        <v>0</v>
      </c>
    </row>
    <row r="2316" spans="2:24" s="0" customFormat="0" ht="15">
      <c r="B2316" s="69">
        <v>23963875</v>
      </c>
      <c r="C2316" s="70" t="s">
        <v>2337</v>
      </c>
      <c r="D2316" s="70" t="s">
        <v>1</v>
      </c>
      <c r="E2316" s="70" t="s">
        <v>1</v>
      </c>
      <c r="F2316" s="70"/>
      <c r="G2316" s="70" t="s">
        <v>61</v>
      </c>
      <c r="H2316" s="70" t="s">
        <v>178</v>
      </c>
      <c r="I2316" s="70" t="s">
        <v>188</v>
      </c>
      <c r="J2316" s="71">
        <f>IF(OR(I2316=0,I2316=""),"unrated",VLOOKUP(I2316,MappingTables!$B$19:$C$31,2,FALSE))</f>
        <v>2</v>
      </c>
      <c r="K2316" s="72">
        <v>1948.20029103337</v>
      </c>
      <c r="L2316" s="70">
        <v>2.5570075799187064</v>
      </c>
      <c r="M2316" s="71">
        <f>IF(L2316&lt;1,1,L2316)</f>
        <v>2.5570075799187064</v>
      </c>
      <c r="N2316" s="70" t="s">
        <v>141</v>
      </c>
      <c r="O2316" s="71">
        <f>INDEX(DurClassMapping,MATCH(M2316,MappingTables!$D$4:$D$8,-1),1)</f>
        <v>1</v>
      </c>
      <c r="P2316" s="73">
        <f>IF(M2316=$A$1,1,$M2316-INDEX(MappingTables!$E$4:$E$8,MATCH(O2316,MappingTables!$B$4:$B$8,0)))</f>
        <v>2.5570075799187064</v>
      </c>
      <c r="Q2316" s="71">
        <f>IF(B2316="",0,INDEX(ModelParameters!$D$6:$K$10,MATCH($O2316,ModelParameters!$B$6:$B$10,0),MATCH($J2316,ModelParameters!$D$5:$K$5,0)))</f>
        <v>0.013999999999999998</v>
      </c>
      <c r="R2316" s="71">
        <f>IF(B2316="",0,INDEX(ModelParameters!$D$13:$K$17,MATCH($O2316,ModelParameters!$B$13:$B$17,0),MATCH($J2316,ModelParameters!$D$5:$K$5,0)))</f>
        <v>0</v>
      </c>
      <c r="S2316" s="160">
        <f>IF(B2316="",0,MIN(IF($N2316="Other Bond TM",ModelParameters!$N$21,1)*(P2316*Q2316+R2316),1))</f>
        <v>0.035798106118861888</v>
      </c>
      <c r="T2316" s="85">
        <f>IF(B2316="",0,$S2316*$K2316)</f>
        <v>69.741880759210192</v>
      </c>
      <c r="U2316" s="85">
        <f>IF(B2316="",0,IF(OR(H2316=MappingTables!$C$34,H2316=MappingTables!$C$35),T2316,0))</f>
        <v>0</v>
      </c>
      <c r="V2316" s="85">
        <f>IF(ISNA(IF(AND(VLOOKUP(CONCATENATE($D2316,$G2316),CSRFinput!$B:$E,4,0)=0,OR(H2316=MappingTables!$C$34,H2316=MappingTables!$C$35)),1,VLOOKUP(CONCATENATE($D2316,$G2316),CSRFinput!$B:$E,4,0))),0,IF(AND(VLOOKUP(CONCATENATE($D2316,$G2316),CSRFinput!$B:$E,4,0)=0,OR(H2316=MappingTables!$C$34,H2316=MappingTables!$C$35)),1,VLOOKUP(CONCATENATE($D2316,$G2316),CSRFinput!$B:$E,4,0)))</f>
        <v>0.054776304963434752</v>
      </c>
      <c r="W2316" s="85">
        <f>IF(B2316="",0,+$T2316*$V2316)</f>
        <v>3.82020252919</v>
      </c>
      <c r="X2316" s="85">
        <f>IF(B2316="",0,IF(OR(H2316=MappingTables!$C$34,H2316=MappingTables!$C$35),W2316,0))</f>
        <v>0</v>
      </c>
    </row>
    <row r="2317" spans="2:24" s="0" customFormat="0" ht="15">
      <c r="B2317" s="69">
        <v>12138004</v>
      </c>
      <c r="C2317" s="70" t="s">
        <v>2338</v>
      </c>
      <c r="D2317" s="70" t="s">
        <v>1</v>
      </c>
      <c r="E2317" s="70" t="s">
        <v>1</v>
      </c>
      <c r="F2317" s="70"/>
      <c r="G2317" s="70" t="s">
        <v>61</v>
      </c>
      <c r="H2317" s="70" t="s">
        <v>178</v>
      </c>
      <c r="I2317" s="70" t="s">
        <v>181</v>
      </c>
      <c r="J2317" s="71">
        <f>IF(OR(I2317=0,I2317=""),"unrated",VLOOKUP(I2317,MappingTables!$B$19:$C$31,2,FALSE))</f>
        <v>3</v>
      </c>
      <c r="K2317" s="72">
        <v>271.39573001312596</v>
      </c>
      <c r="L2317" s="70">
        <v>2.4405324362390828</v>
      </c>
      <c r="M2317" s="71">
        <f>IF(L2317&lt;1,1,L2317)</f>
        <v>2.4405324362390828</v>
      </c>
      <c r="N2317" s="70" t="s">
        <v>141</v>
      </c>
      <c r="O2317" s="71">
        <f>INDEX(DurClassMapping,MATCH(M2317,MappingTables!$D$4:$D$8,-1),1)</f>
        <v>1</v>
      </c>
      <c r="P2317" s="73">
        <f>IF(M2317=$A$1,1,$M2317-INDEX(MappingTables!$E$4:$E$8,MATCH(O2317,MappingTables!$B$4:$B$8,0)))</f>
        <v>2.4405324362390828</v>
      </c>
      <c r="Q2317" s="71">
        <f>IF(B2317="",0,INDEX(ModelParameters!$D$6:$K$10,MATCH($O2317,ModelParameters!$B$6:$B$10,0),MATCH($J2317,ModelParameters!$D$5:$K$5,0)))</f>
        <v>0.025</v>
      </c>
      <c r="R2317" s="71">
        <f>IF(B2317="",0,INDEX(ModelParameters!$D$13:$K$17,MATCH($O2317,ModelParameters!$B$13:$B$17,0),MATCH($J2317,ModelParameters!$D$5:$K$5,0)))</f>
        <v>0</v>
      </c>
      <c r="S2317" s="160">
        <f>IF(B2317="",0,MIN(IF($N2317="Other Bond TM",ModelParameters!$N$21,1)*(P2317*Q2317+R2317),1))</f>
        <v>0.061013310905977072</v>
      </c>
      <c r="T2317" s="85">
        <f>IF(B2317="",0,$S2317*$K2317)</f>
        <v>16.558752053845466</v>
      </c>
      <c r="U2317" s="85">
        <f>IF(B2317="",0,IF(OR(H2317=MappingTables!$C$34,H2317=MappingTables!$C$35),T2317,0))</f>
        <v>0</v>
      </c>
      <c r="V2317" s="85">
        <f>IF(ISNA(IF(AND(VLOOKUP(CONCATENATE($D2317,$G2317),CSRFinput!$B:$E,4,0)=0,OR(H2317=MappingTables!$C$34,H2317=MappingTables!$C$35)),1,VLOOKUP(CONCATENATE($D2317,$G2317),CSRFinput!$B:$E,4,0))),0,IF(AND(VLOOKUP(CONCATENATE($D2317,$G2317),CSRFinput!$B:$E,4,0)=0,OR(H2317=MappingTables!$C$34,H2317=MappingTables!$C$35)),1,VLOOKUP(CONCATENATE($D2317,$G2317),CSRFinput!$B:$E,4,0)))</f>
        <v>0.054776304963434752</v>
      </c>
      <c r="W2317" s="85">
        <f>IF(B2317="",0,+$T2317*$V2317)</f>
        <v>0.9070272523153408</v>
      </c>
      <c r="X2317" s="85">
        <f>IF(B2317="",0,IF(OR(H2317=MappingTables!$C$34,H2317=MappingTables!$C$35),W2317,0))</f>
        <v>0</v>
      </c>
    </row>
    <row r="2318" spans="2:24" s="0" customFormat="0" ht="15">
      <c r="B2318" s="69" t="s">
        <v>2339</v>
      </c>
      <c r="C2318" s="70" t="s">
        <v>2340</v>
      </c>
      <c r="D2318" s="70" t="s">
        <v>1</v>
      </c>
      <c r="E2318" s="70" t="s">
        <v>1</v>
      </c>
      <c r="F2318" s="70"/>
      <c r="G2318" s="70" t="s">
        <v>61</v>
      </c>
      <c r="H2318" s="70" t="s">
        <v>178</v>
      </c>
      <c r="I2318" s="70" t="s">
        <v>198</v>
      </c>
      <c r="J2318" s="71" t="str">
        <f>IF(OR(I2318=0,I2318=""),"unrated",VLOOKUP(I2318,MappingTables!$B$19:$C$31,2,FALSE))</f>
        <v>unrated</v>
      </c>
      <c r="K2318" s="72">
        <v>5124.8862169055344</v>
      </c>
      <c r="L2318" s="70">
        <v>12.389968917218254</v>
      </c>
      <c r="M2318" s="71">
        <f>IF(L2318&lt;1,1,L2318)</f>
        <v>12.389968917218254</v>
      </c>
      <c r="N2318" s="70" t="s">
        <v>141</v>
      </c>
      <c r="O2318" s="71">
        <f>INDEX(DurClassMapping,MATCH(M2318,MappingTables!$D$4:$D$8,-1),1)</f>
        <v>3</v>
      </c>
      <c r="P2318" s="73">
        <f>IF(M2318=$A$1,1,$M2318-INDEX(MappingTables!$E$4:$E$8,MATCH(O2318,MappingTables!$B$4:$B$8,0)))</f>
        <v>2.3899689172182548</v>
      </c>
      <c r="Q2318" s="71">
        <f>IF(B2318="",0,INDEX(ModelParameters!$D$6:$K$10,MATCH($O2318,ModelParameters!$B$6:$B$10,0),MATCH($J2318,ModelParameters!$D$5:$K$5,0)))</f>
        <v>0.012</v>
      </c>
      <c r="R2318" s="71">
        <f>IF(B2318="",0,INDEX(ModelParameters!$D$13:$K$17,MATCH($O2318,ModelParameters!$B$13:$B$17,0),MATCH($J2318,ModelParameters!$D$5:$K$5,0)))</f>
        <v>0.235</v>
      </c>
      <c r="S2318" s="160">
        <f>IF(B2318="",0,MIN(IF($N2318="Other Bond TM",ModelParameters!$N$21,1)*(P2318*Q2318+R2318),1))</f>
        <v>0.26367962700661908</v>
      </c>
      <c r="T2318" s="85">
        <f>IF(B2318="",0,$S2318*$K2318)</f>
        <v>1351.3280861250144</v>
      </c>
      <c r="U2318" s="85">
        <f>IF(B2318="",0,IF(OR(H2318=MappingTables!$C$34,H2318=MappingTables!$C$35),T2318,0))</f>
        <v>0</v>
      </c>
      <c r="V2318" s="85">
        <f>IF(ISNA(IF(AND(VLOOKUP(CONCATENATE($D2318,$G2318),CSRFinput!$B:$E,4,0)=0,OR(H2318=MappingTables!$C$34,H2318=MappingTables!$C$35)),1,VLOOKUP(CONCATENATE($D2318,$G2318),CSRFinput!$B:$E,4,0))),0,IF(AND(VLOOKUP(CONCATENATE($D2318,$G2318),CSRFinput!$B:$E,4,0)=0,OR(H2318=MappingTables!$C$34,H2318=MappingTables!$C$35)),1,VLOOKUP(CONCATENATE($D2318,$G2318),CSRFinput!$B:$E,4,0)))</f>
        <v>0.054776304963434752</v>
      </c>
      <c r="W2318" s="85">
        <f>IF(B2318="",0,+$T2318*$V2318)</f>
        <v>74.020759351238416</v>
      </c>
      <c r="X2318" s="85">
        <f>IF(B2318="",0,IF(OR(H2318=MappingTables!$C$34,H2318=MappingTables!$C$35),W2318,0))</f>
        <v>0</v>
      </c>
    </row>
    <row r="2319" spans="2:24" s="0" customFormat="0" ht="15">
      <c r="B2319" s="69">
        <v>18101061</v>
      </c>
      <c r="C2319" s="70" t="s">
        <v>2341</v>
      </c>
      <c r="D2319" s="70" t="s">
        <v>1</v>
      </c>
      <c r="E2319" s="70" t="s">
        <v>1</v>
      </c>
      <c r="F2319" s="70"/>
      <c r="G2319" s="70" t="s">
        <v>61</v>
      </c>
      <c r="H2319" s="70" t="s">
        <v>178</v>
      </c>
      <c r="I2319" s="70" t="s">
        <v>179</v>
      </c>
      <c r="J2319" s="71">
        <f>IF(OR(I2319=0,I2319=""),"unrated",VLOOKUP(I2319,MappingTables!$B$19:$C$31,2,FALSE))</f>
        <v>4</v>
      </c>
      <c r="K2319" s="72">
        <v>21563.932878400736</v>
      </c>
      <c r="L2319" s="70">
        <v>0.86408684065541008</v>
      </c>
      <c r="M2319" s="71">
        <f>IF(L2319&lt;1,1,L2319)</f>
        <v>1</v>
      </c>
      <c r="N2319" s="70" t="s">
        <v>141</v>
      </c>
      <c r="O2319" s="71">
        <f>INDEX(DurClassMapping,MATCH(M2319,MappingTables!$D$4:$D$8,-1),1)</f>
        <v>1</v>
      </c>
      <c r="P2319" s="73">
        <f>IF(M2319=$A$1,1,$M2319-INDEX(MappingTables!$E$4:$E$8,MATCH(O2319,MappingTables!$B$4:$B$8,0)))</f>
        <v>1</v>
      </c>
      <c r="Q2319" s="71">
        <f>IF(B2319="",0,INDEX(ModelParameters!$D$6:$K$10,MATCH($O2319,ModelParameters!$B$6:$B$10,0),MATCH($J2319,ModelParameters!$D$5:$K$5,0)))</f>
        <v>0.045</v>
      </c>
      <c r="R2319" s="71">
        <f>IF(B2319="",0,INDEX(ModelParameters!$D$13:$K$17,MATCH($O2319,ModelParameters!$B$13:$B$17,0),MATCH($J2319,ModelParameters!$D$5:$K$5,0)))</f>
        <v>0</v>
      </c>
      <c r="S2319" s="160">
        <f>IF(B2319="",0,MIN(IF($N2319="Other Bond TM",ModelParameters!$N$21,1)*(P2319*Q2319+R2319),1))</f>
        <v>0.045</v>
      </c>
      <c r="T2319" s="85">
        <f>IF(B2319="",0,$S2319*$K2319)</f>
        <v>970.37697952803312</v>
      </c>
      <c r="U2319" s="85">
        <f>IF(B2319="",0,IF(OR(H2319=MappingTables!$C$34,H2319=MappingTables!$C$35),T2319,0))</f>
        <v>0</v>
      </c>
      <c r="V2319" s="85">
        <f>IF(ISNA(IF(AND(VLOOKUP(CONCATENATE($D2319,$G2319),CSRFinput!$B:$E,4,0)=0,OR(H2319=MappingTables!$C$34,H2319=MappingTables!$C$35)),1,VLOOKUP(CONCATENATE($D2319,$G2319),CSRFinput!$B:$E,4,0))),0,IF(AND(VLOOKUP(CONCATENATE($D2319,$G2319),CSRFinput!$B:$E,4,0)=0,OR(H2319=MappingTables!$C$34,H2319=MappingTables!$C$35)),1,VLOOKUP(CONCATENATE($D2319,$G2319),CSRFinput!$B:$E,4,0)))</f>
        <v>0.054776304963434752</v>
      </c>
      <c r="W2319" s="85">
        <f>IF(B2319="",0,+$T2319*$V2319)</f>
        <v>53.153665360124232</v>
      </c>
      <c r="X2319" s="85">
        <f>IF(B2319="",0,IF(OR(H2319=MappingTables!$C$34,H2319=MappingTables!$C$35),W2319,0))</f>
        <v>0</v>
      </c>
    </row>
    <row r="2320" spans="2:24" s="0" customFormat="0" ht="15">
      <c r="B2320" s="69" t="s">
        <v>1906</v>
      </c>
      <c r="C2320" s="70" t="s">
        <v>1907</v>
      </c>
      <c r="D2320" s="70" t="s">
        <v>1</v>
      </c>
      <c r="E2320" s="70" t="s">
        <v>1</v>
      </c>
      <c r="F2320" s="70"/>
      <c r="G2320" s="70" t="s">
        <v>61</v>
      </c>
      <c r="H2320" s="70" t="s">
        <v>178</v>
      </c>
      <c r="I2320" s="70" t="s">
        <v>198</v>
      </c>
      <c r="J2320" s="71" t="str">
        <f>IF(OR(I2320=0,I2320=""),"unrated",VLOOKUP(I2320,MappingTables!$B$19:$C$31,2,FALSE))</f>
        <v>unrated</v>
      </c>
      <c r="K2320" s="72">
        <v>326.45025670918296</v>
      </c>
      <c r="L2320" s="70">
        <v>0.3479480284988608</v>
      </c>
      <c r="M2320" s="71">
        <f>IF(L2320&lt;1,1,L2320)</f>
        <v>1</v>
      </c>
      <c r="N2320" s="70" t="s">
        <v>141</v>
      </c>
      <c r="O2320" s="71">
        <f>INDEX(DurClassMapping,MATCH(M2320,MappingTables!$D$4:$D$8,-1),1)</f>
        <v>1</v>
      </c>
      <c r="P2320" s="73">
        <f>IF(M2320=$A$1,1,$M2320-INDEX(MappingTables!$E$4:$E$8,MATCH(O2320,MappingTables!$B$4:$B$8,0)))</f>
        <v>1</v>
      </c>
      <c r="Q2320" s="71">
        <f>IF(B2320="",0,INDEX(ModelParameters!$D$6:$K$10,MATCH($O2320,ModelParameters!$B$6:$B$10,0),MATCH($J2320,ModelParameters!$D$5:$K$5,0)))</f>
        <v>0.03</v>
      </c>
      <c r="R2320" s="71">
        <f>IF(B2320="",0,INDEX(ModelParameters!$D$13:$K$17,MATCH($O2320,ModelParameters!$B$13:$B$17,0),MATCH($J2320,ModelParameters!$D$5:$K$5,0)))</f>
        <v>0</v>
      </c>
      <c r="S2320" s="160">
        <f>IF(B2320="",0,MIN(IF($N2320="Other Bond TM",ModelParameters!$N$21,1)*(P2320*Q2320+R2320),1))</f>
        <v>0.03</v>
      </c>
      <c r="T2320" s="85">
        <f>IF(B2320="",0,$S2320*$K2320)</f>
        <v>9.793507701275488</v>
      </c>
      <c r="U2320" s="85">
        <f>IF(B2320="",0,IF(OR(H2320=MappingTables!$C$34,H2320=MappingTables!$C$35),T2320,0))</f>
        <v>0</v>
      </c>
      <c r="V2320" s="85">
        <f>IF(ISNA(IF(AND(VLOOKUP(CONCATENATE($D2320,$G2320),CSRFinput!$B:$E,4,0)=0,OR(H2320=MappingTables!$C$34,H2320=MappingTables!$C$35)),1,VLOOKUP(CONCATENATE($D2320,$G2320),CSRFinput!$B:$E,4,0))),0,IF(AND(VLOOKUP(CONCATENATE($D2320,$G2320),CSRFinput!$B:$E,4,0)=0,OR(H2320=MappingTables!$C$34,H2320=MappingTables!$C$35)),1,VLOOKUP(CONCATENATE($D2320,$G2320),CSRFinput!$B:$E,4,0)))</f>
        <v>0.054776304963434752</v>
      </c>
      <c r="W2320" s="85">
        <f>IF(B2320="",0,+$T2320*$V2320)</f>
        <v>0.53645216450681296</v>
      </c>
      <c r="X2320" s="85">
        <f>IF(B2320="",0,IF(OR(H2320=MappingTables!$C$34,H2320=MappingTables!$C$35),W2320,0))</f>
        <v>0</v>
      </c>
    </row>
    <row r="2321" spans="2:24" s="0" customFormat="0" ht="15">
      <c r="B2321" s="69">
        <v>18717023</v>
      </c>
      <c r="C2321" s="70" t="s">
        <v>1449</v>
      </c>
      <c r="D2321" s="70" t="s">
        <v>1</v>
      </c>
      <c r="E2321" s="70" t="s">
        <v>1</v>
      </c>
      <c r="F2321" s="70"/>
      <c r="G2321" s="70" t="s">
        <v>61</v>
      </c>
      <c r="H2321" s="70" t="s">
        <v>178</v>
      </c>
      <c r="I2321" s="70" t="s">
        <v>179</v>
      </c>
      <c r="J2321" s="71">
        <f>IF(OR(I2321=0,I2321=""),"unrated",VLOOKUP(I2321,MappingTables!$B$19:$C$31,2,FALSE))</f>
        <v>4</v>
      </c>
      <c r="K2321" s="72">
        <v>7983.4532106290176</v>
      </c>
      <c r="L2321" s="70">
        <v>3.4252175342871224</v>
      </c>
      <c r="M2321" s="71">
        <f>IF(L2321&lt;1,1,L2321)</f>
        <v>3.4252175342871224</v>
      </c>
      <c r="N2321" s="70" t="s">
        <v>141</v>
      </c>
      <c r="O2321" s="71">
        <f>INDEX(DurClassMapping,MATCH(M2321,MappingTables!$D$4:$D$8,-1),1)</f>
        <v>1</v>
      </c>
      <c r="P2321" s="73">
        <f>IF(M2321=$A$1,1,$M2321-INDEX(MappingTables!$E$4:$E$8,MATCH(O2321,MappingTables!$B$4:$B$8,0)))</f>
        <v>3.4252175342871224</v>
      </c>
      <c r="Q2321" s="71">
        <f>IF(B2321="",0,INDEX(ModelParameters!$D$6:$K$10,MATCH($O2321,ModelParameters!$B$6:$B$10,0),MATCH($J2321,ModelParameters!$D$5:$K$5,0)))</f>
        <v>0.045</v>
      </c>
      <c r="R2321" s="71">
        <f>IF(B2321="",0,INDEX(ModelParameters!$D$13:$K$17,MATCH($O2321,ModelParameters!$B$13:$B$17,0),MATCH($J2321,ModelParameters!$D$5:$K$5,0)))</f>
        <v>0</v>
      </c>
      <c r="S2321" s="160">
        <f>IF(B2321="",0,MIN(IF($N2321="Other Bond TM",ModelParameters!$N$21,1)*(P2321*Q2321+R2321),1))</f>
        <v>0.1541347890429205</v>
      </c>
      <c r="T2321" s="85">
        <f>IF(B2321="",0,$S2321*$K2321)</f>
        <v>1230.52787645433</v>
      </c>
      <c r="U2321" s="85">
        <f>IF(B2321="",0,IF(OR(H2321=MappingTables!$C$34,H2321=MappingTables!$C$35),T2321,0))</f>
        <v>0</v>
      </c>
      <c r="V2321" s="85">
        <f>IF(ISNA(IF(AND(VLOOKUP(CONCATENATE($D2321,$G2321),CSRFinput!$B:$E,4,0)=0,OR(H2321=MappingTables!$C$34,H2321=MappingTables!$C$35)),1,VLOOKUP(CONCATENATE($D2321,$G2321),CSRFinput!$B:$E,4,0))),0,IF(AND(VLOOKUP(CONCATENATE($D2321,$G2321),CSRFinput!$B:$E,4,0)=0,OR(H2321=MappingTables!$C$34,H2321=MappingTables!$C$35)),1,VLOOKUP(CONCATENATE($D2321,$G2321),CSRFinput!$B:$E,4,0)))</f>
        <v>0.054776304963434752</v>
      </c>
      <c r="W2321" s="85">
        <f>IF(B2321="",0,+$T2321*$V2321)</f>
        <v>67.403770226670144</v>
      </c>
      <c r="X2321" s="85">
        <f>IF(B2321="",0,IF(OR(H2321=MappingTables!$C$34,H2321=MappingTables!$C$35),W2321,0))</f>
        <v>0</v>
      </c>
    </row>
    <row r="2322" spans="2:24" s="0" customFormat="0" ht="15">
      <c r="B2322" s="69" t="s">
        <v>2096</v>
      </c>
      <c r="C2322" s="70" t="s">
        <v>2097</v>
      </c>
      <c r="D2322" s="70" t="s">
        <v>1</v>
      </c>
      <c r="E2322" s="70" t="s">
        <v>1</v>
      </c>
      <c r="F2322" s="70"/>
      <c r="G2322" s="70" t="s">
        <v>61</v>
      </c>
      <c r="H2322" s="70" t="s">
        <v>178</v>
      </c>
      <c r="I2322" s="70" t="s">
        <v>188</v>
      </c>
      <c r="J2322" s="71">
        <f>IF(OR(I2322=0,I2322=""),"unrated",VLOOKUP(I2322,MappingTables!$B$19:$C$31,2,FALSE))</f>
        <v>2</v>
      </c>
      <c r="K2322" s="72">
        <v>1183.0937850356818</v>
      </c>
      <c r="L2322" s="70">
        <v>1.8141843657277272</v>
      </c>
      <c r="M2322" s="71">
        <f>IF(L2322&lt;1,1,L2322)</f>
        <v>1.8141843657277272</v>
      </c>
      <c r="N2322" s="70" t="s">
        <v>141</v>
      </c>
      <c r="O2322" s="71">
        <f>INDEX(DurClassMapping,MATCH(M2322,MappingTables!$D$4:$D$8,-1),1)</f>
        <v>1</v>
      </c>
      <c r="P2322" s="73">
        <f>IF(M2322=$A$1,1,$M2322-INDEX(MappingTables!$E$4:$E$8,MATCH(O2322,MappingTables!$B$4:$B$8,0)))</f>
        <v>1.8141843657277272</v>
      </c>
      <c r="Q2322" s="71">
        <f>IF(B2322="",0,INDEX(ModelParameters!$D$6:$K$10,MATCH($O2322,ModelParameters!$B$6:$B$10,0),MATCH($J2322,ModelParameters!$D$5:$K$5,0)))</f>
        <v>0.013999999999999998</v>
      </c>
      <c r="R2322" s="71">
        <f>IF(B2322="",0,INDEX(ModelParameters!$D$13:$K$17,MATCH($O2322,ModelParameters!$B$13:$B$17,0),MATCH($J2322,ModelParameters!$D$5:$K$5,0)))</f>
        <v>0</v>
      </c>
      <c r="S2322" s="160">
        <f>IF(B2322="",0,MIN(IF($N2322="Other Bond TM",ModelParameters!$N$21,1)*(P2322*Q2322+R2322),1))</f>
        <v>0.02539858112018818</v>
      </c>
      <c r="T2322" s="85">
        <f>IF(B2322="",0,$S2322*$K2322)</f>
        <v>30.048903472019236</v>
      </c>
      <c r="U2322" s="85">
        <f>IF(B2322="",0,IF(OR(H2322=MappingTables!$C$34,H2322=MappingTables!$C$35),T2322,0))</f>
        <v>0</v>
      </c>
      <c r="V2322" s="85">
        <f>IF(ISNA(IF(AND(VLOOKUP(CONCATENATE($D2322,$G2322),CSRFinput!$B:$E,4,0)=0,OR(H2322=MappingTables!$C$34,H2322=MappingTables!$C$35)),1,VLOOKUP(CONCATENATE($D2322,$G2322),CSRFinput!$B:$E,4,0))),0,IF(AND(VLOOKUP(CONCATENATE($D2322,$G2322),CSRFinput!$B:$E,4,0)=0,OR(H2322=MappingTables!$C$34,H2322=MappingTables!$C$35)),1,VLOOKUP(CONCATENATE($D2322,$G2322),CSRFinput!$B:$E,4,0)))</f>
        <v>0.054776304963434752</v>
      </c>
      <c r="W2322" s="85">
        <f>IF(B2322="",0,+$T2322*$V2322)</f>
        <v>1.645967900400139</v>
      </c>
      <c r="X2322" s="85">
        <f>IF(B2322="",0,IF(OR(H2322=MappingTables!$C$34,H2322=MappingTables!$C$35),W2322,0))</f>
        <v>0</v>
      </c>
    </row>
    <row r="2323" spans="2:24" s="0" customFormat="0" ht="15">
      <c r="B2323" s="69">
        <v>19498501</v>
      </c>
      <c r="C2323" s="70" t="s">
        <v>1982</v>
      </c>
      <c r="D2323" s="70" t="s">
        <v>1</v>
      </c>
      <c r="E2323" s="70" t="s">
        <v>1</v>
      </c>
      <c r="F2323" s="70"/>
      <c r="G2323" s="70" t="s">
        <v>61</v>
      </c>
      <c r="H2323" s="70" t="s">
        <v>178</v>
      </c>
      <c r="I2323" s="70" t="s">
        <v>181</v>
      </c>
      <c r="J2323" s="71">
        <f>IF(OR(I2323=0,I2323=""),"unrated",VLOOKUP(I2323,MappingTables!$B$19:$C$31,2,FALSE))</f>
        <v>3</v>
      </c>
      <c r="K2323" s="72">
        <v>35438.795907875864</v>
      </c>
      <c r="L2323" s="70">
        <v>5.0831894604805624</v>
      </c>
      <c r="M2323" s="71">
        <f>IF(L2323&lt;1,1,L2323)</f>
        <v>5.0831894604805624</v>
      </c>
      <c r="N2323" s="70" t="s">
        <v>141</v>
      </c>
      <c r="O2323" s="71">
        <f>INDEX(DurClassMapping,MATCH(M2323,MappingTables!$D$4:$D$8,-1),1)</f>
        <v>2</v>
      </c>
      <c r="P2323" s="73">
        <f>IF(M2323=$A$1,1,$M2323-INDEX(MappingTables!$E$4:$E$8,MATCH(O2323,MappingTables!$B$4:$B$8,0)))</f>
        <v>0.08318946048056208</v>
      </c>
      <c r="Q2323" s="71">
        <f>IF(B2323="",0,INDEX(ModelParameters!$D$6:$K$10,MATCH($O2323,ModelParameters!$B$6:$B$10,0),MATCH($J2323,ModelParameters!$D$5:$K$5,0)))</f>
        <v>0.015</v>
      </c>
      <c r="R2323" s="71">
        <f>IF(B2323="",0,INDEX(ModelParameters!$D$13:$K$17,MATCH($O2323,ModelParameters!$B$13:$B$17,0),MATCH($J2323,ModelParameters!$D$5:$K$5,0)))</f>
        <v>0.125</v>
      </c>
      <c r="S2323" s="160">
        <f>IF(B2323="",0,MIN(IF($N2323="Other Bond TM",ModelParameters!$N$21,1)*(P2323*Q2323+R2323),1))</f>
        <v>0.12624784190720842</v>
      </c>
      <c r="T2323" s="85">
        <f>IF(B2323="",0,$S2323*$K2323)</f>
        <v>4474.0715031593376</v>
      </c>
      <c r="U2323" s="85">
        <f>IF(B2323="",0,IF(OR(H2323=MappingTables!$C$34,H2323=MappingTables!$C$35),T2323,0))</f>
        <v>0</v>
      </c>
      <c r="V2323" s="85">
        <f>IF(ISNA(IF(AND(VLOOKUP(CONCATENATE($D2323,$G2323),CSRFinput!$B:$E,4,0)=0,OR(H2323=MappingTables!$C$34,H2323=MappingTables!$C$35)),1,VLOOKUP(CONCATENATE($D2323,$G2323),CSRFinput!$B:$E,4,0))),0,IF(AND(VLOOKUP(CONCATENATE($D2323,$G2323),CSRFinput!$B:$E,4,0)=0,OR(H2323=MappingTables!$C$34,H2323=MappingTables!$C$35)),1,VLOOKUP(CONCATENATE($D2323,$G2323),CSRFinput!$B:$E,4,0)))</f>
        <v>0.054776304963434752</v>
      </c>
      <c r="W2323" s="85">
        <f>IF(B2323="",0,+$T2323*$V2323)</f>
        <v>245.0731050852688</v>
      </c>
      <c r="X2323" s="85">
        <f>IF(B2323="",0,IF(OR(H2323=MappingTables!$C$34,H2323=MappingTables!$C$35),W2323,0))</f>
        <v>0</v>
      </c>
    </row>
    <row r="2324" spans="2:24" s="0" customFormat="0" ht="15">
      <c r="B2324" s="69">
        <v>6243822</v>
      </c>
      <c r="C2324" s="70" t="s">
        <v>2342</v>
      </c>
      <c r="D2324" s="70" t="s">
        <v>1</v>
      </c>
      <c r="E2324" s="70" t="s">
        <v>1</v>
      </c>
      <c r="F2324" s="70"/>
      <c r="G2324" s="70" t="s">
        <v>61</v>
      </c>
      <c r="H2324" s="70" t="s">
        <v>178</v>
      </c>
      <c r="I2324" s="70" t="s">
        <v>181</v>
      </c>
      <c r="J2324" s="71">
        <f>IF(OR(I2324=0,I2324=""),"unrated",VLOOKUP(I2324,MappingTables!$B$19:$C$31,2,FALSE))</f>
        <v>3</v>
      </c>
      <c r="K2324" s="72">
        <v>30.829895850351404</v>
      </c>
      <c r="L2324" s="70">
        <v>1.819308634590806</v>
      </c>
      <c r="M2324" s="71">
        <f>IF(L2324&lt;1,1,L2324)</f>
        <v>1.819308634590806</v>
      </c>
      <c r="N2324" s="70" t="s">
        <v>141</v>
      </c>
      <c r="O2324" s="71">
        <f>INDEX(DurClassMapping,MATCH(M2324,MappingTables!$D$4:$D$8,-1),1)</f>
        <v>1</v>
      </c>
      <c r="P2324" s="73">
        <f>IF(M2324=$A$1,1,$M2324-INDEX(MappingTables!$E$4:$E$8,MATCH(O2324,MappingTables!$B$4:$B$8,0)))</f>
        <v>1.819308634590806</v>
      </c>
      <c r="Q2324" s="71">
        <f>IF(B2324="",0,INDEX(ModelParameters!$D$6:$K$10,MATCH($O2324,ModelParameters!$B$6:$B$10,0),MATCH($J2324,ModelParameters!$D$5:$K$5,0)))</f>
        <v>0.025</v>
      </c>
      <c r="R2324" s="71">
        <f>IF(B2324="",0,INDEX(ModelParameters!$D$13:$K$17,MATCH($O2324,ModelParameters!$B$13:$B$17,0),MATCH($J2324,ModelParameters!$D$5:$K$5,0)))</f>
        <v>0</v>
      </c>
      <c r="S2324" s="160">
        <f>IF(B2324="",0,MIN(IF($N2324="Other Bond TM",ModelParameters!$N$21,1)*(P2324*Q2324+R2324),1))</f>
        <v>0.045482715864770152</v>
      </c>
      <c r="T2324" s="85">
        <f>IF(B2324="",0,$S2324*$K2324)</f>
        <v>1.402227393101989</v>
      </c>
      <c r="U2324" s="85">
        <f>IF(B2324="",0,IF(OR(H2324=MappingTables!$C$34,H2324=MappingTables!$C$35),T2324,0))</f>
        <v>0</v>
      </c>
      <c r="V2324" s="85">
        <f>IF(ISNA(IF(AND(VLOOKUP(CONCATENATE($D2324,$G2324),CSRFinput!$B:$E,4,0)=0,OR(H2324=MappingTables!$C$34,H2324=MappingTables!$C$35)),1,VLOOKUP(CONCATENATE($D2324,$G2324),CSRFinput!$B:$E,4,0))),0,IF(AND(VLOOKUP(CONCATENATE($D2324,$G2324),CSRFinput!$B:$E,4,0)=0,OR(H2324=MappingTables!$C$34,H2324=MappingTables!$C$35)),1,VLOOKUP(CONCATENATE($D2324,$G2324),CSRFinput!$B:$E,4,0)))</f>
        <v>0.054776304963434752</v>
      </c>
      <c r="W2324" s="85">
        <f>IF(B2324="",0,+$T2324*$V2324)</f>
        <v>0.076808835312636656</v>
      </c>
      <c r="X2324" s="85">
        <f>IF(B2324="",0,IF(OR(H2324=MappingTables!$C$34,H2324=MappingTables!$C$35),W2324,0))</f>
        <v>0</v>
      </c>
    </row>
    <row r="2325" spans="2:24" s="0" customFormat="0" ht="15">
      <c r="B2325" s="69" t="s">
        <v>2343</v>
      </c>
      <c r="C2325" s="70" t="s">
        <v>2344</v>
      </c>
      <c r="D2325" s="70" t="s">
        <v>1</v>
      </c>
      <c r="E2325" s="70" t="s">
        <v>1</v>
      </c>
      <c r="F2325" s="70"/>
      <c r="G2325" s="70" t="s">
        <v>61</v>
      </c>
      <c r="H2325" s="70" t="s">
        <v>178</v>
      </c>
      <c r="I2325" s="70" t="s">
        <v>181</v>
      </c>
      <c r="J2325" s="71">
        <f>IF(OR(I2325=0,I2325=""),"unrated",VLOOKUP(I2325,MappingTables!$B$19:$C$31,2,FALSE))</f>
        <v>3</v>
      </c>
      <c r="K2325" s="72">
        <v>171.12010118937198</v>
      </c>
      <c r="L2325" s="70">
        <v>4.3361494238538312</v>
      </c>
      <c r="M2325" s="71">
        <f>IF(L2325&lt;1,1,L2325)</f>
        <v>4.3361494238538312</v>
      </c>
      <c r="N2325" s="70" t="s">
        <v>141</v>
      </c>
      <c r="O2325" s="71">
        <f>INDEX(DurClassMapping,MATCH(M2325,MappingTables!$D$4:$D$8,-1),1)</f>
        <v>1</v>
      </c>
      <c r="P2325" s="73">
        <f>IF(M2325=$A$1,1,$M2325-INDEX(MappingTables!$E$4:$E$8,MATCH(O2325,MappingTables!$B$4:$B$8,0)))</f>
        <v>4.3361494238538312</v>
      </c>
      <c r="Q2325" s="71">
        <f>IF(B2325="",0,INDEX(ModelParameters!$D$6:$K$10,MATCH($O2325,ModelParameters!$B$6:$B$10,0),MATCH($J2325,ModelParameters!$D$5:$K$5,0)))</f>
        <v>0.025</v>
      </c>
      <c r="R2325" s="71">
        <f>IF(B2325="",0,INDEX(ModelParameters!$D$13:$K$17,MATCH($O2325,ModelParameters!$B$13:$B$17,0),MATCH($J2325,ModelParameters!$D$5:$K$5,0)))</f>
        <v>0</v>
      </c>
      <c r="S2325" s="160">
        <f>IF(B2325="",0,MIN(IF($N2325="Other Bond TM",ModelParameters!$N$21,1)*(P2325*Q2325+R2325),1))</f>
        <v>0.10840373559634578</v>
      </c>
      <c r="T2325" s="85">
        <f>IF(B2325="",0,$S2325*$K2325)</f>
        <v>18.550058204552616</v>
      </c>
      <c r="U2325" s="85">
        <f>IF(B2325="",0,IF(OR(H2325=MappingTables!$C$34,H2325=MappingTables!$C$35),T2325,0))</f>
        <v>0</v>
      </c>
      <c r="V2325" s="85">
        <f>IF(ISNA(IF(AND(VLOOKUP(CONCATENATE($D2325,$G2325),CSRFinput!$B:$E,4,0)=0,OR(H2325=MappingTables!$C$34,H2325=MappingTables!$C$35)),1,VLOOKUP(CONCATENATE($D2325,$G2325),CSRFinput!$B:$E,4,0))),0,IF(AND(VLOOKUP(CONCATENATE($D2325,$G2325),CSRFinput!$B:$E,4,0)=0,OR(H2325=MappingTables!$C$34,H2325=MappingTables!$C$35)),1,VLOOKUP(CONCATENATE($D2325,$G2325),CSRFinput!$B:$E,4,0)))</f>
        <v>0.054776304963434752</v>
      </c>
      <c r="W2325" s="85">
        <f>IF(B2325="",0,+$T2325*$V2325)</f>
        <v>1.0161036453020392</v>
      </c>
      <c r="X2325" s="85">
        <f>IF(B2325="",0,IF(OR(H2325=MappingTables!$C$34,H2325=MappingTables!$C$35),W2325,0))</f>
        <v>0</v>
      </c>
    </row>
    <row r="2326" spans="2:24" s="0" customFormat="0" ht="15">
      <c r="B2326" s="69">
        <v>18527302</v>
      </c>
      <c r="C2326" s="70" t="s">
        <v>1830</v>
      </c>
      <c r="D2326" s="70" t="s">
        <v>1</v>
      </c>
      <c r="E2326" s="70" t="s">
        <v>1</v>
      </c>
      <c r="F2326" s="70"/>
      <c r="G2326" s="70" t="s">
        <v>61</v>
      </c>
      <c r="H2326" s="70" t="s">
        <v>178</v>
      </c>
      <c r="I2326" s="70" t="s">
        <v>181</v>
      </c>
      <c r="J2326" s="71">
        <f>IF(OR(I2326=0,I2326=""),"unrated",VLOOKUP(I2326,MappingTables!$B$19:$C$31,2,FALSE))</f>
        <v>3</v>
      </c>
      <c r="K2326" s="72">
        <v>12670.626786626136</v>
      </c>
      <c r="L2326" s="70">
        <v>4.5316415003974088</v>
      </c>
      <c r="M2326" s="71">
        <f>IF(L2326&lt;1,1,L2326)</f>
        <v>4.5316415003974088</v>
      </c>
      <c r="N2326" s="70" t="s">
        <v>141</v>
      </c>
      <c r="O2326" s="71">
        <f>INDEX(DurClassMapping,MATCH(M2326,MappingTables!$D$4:$D$8,-1),1)</f>
        <v>1</v>
      </c>
      <c r="P2326" s="73">
        <f>IF(M2326=$A$1,1,$M2326-INDEX(MappingTables!$E$4:$E$8,MATCH(O2326,MappingTables!$B$4:$B$8,0)))</f>
        <v>4.5316415003974088</v>
      </c>
      <c r="Q2326" s="71">
        <f>IF(B2326="",0,INDEX(ModelParameters!$D$6:$K$10,MATCH($O2326,ModelParameters!$B$6:$B$10,0),MATCH($J2326,ModelParameters!$D$5:$K$5,0)))</f>
        <v>0.025</v>
      </c>
      <c r="R2326" s="71">
        <f>IF(B2326="",0,INDEX(ModelParameters!$D$13:$K$17,MATCH($O2326,ModelParameters!$B$13:$B$17,0),MATCH($J2326,ModelParameters!$D$5:$K$5,0)))</f>
        <v>0</v>
      </c>
      <c r="S2326" s="160">
        <f>IF(B2326="",0,MIN(IF($N2326="Other Bond TM",ModelParameters!$N$21,1)*(P2326*Q2326+R2326),1))</f>
        <v>0.11329103750993522</v>
      </c>
      <c r="T2326" s="85">
        <f>IF(B2326="",0,$S2326*$K2326)</f>
        <v>1435.4684545580516</v>
      </c>
      <c r="U2326" s="85">
        <f>IF(B2326="",0,IF(OR(H2326=MappingTables!$C$34,H2326=MappingTables!$C$35),T2326,0))</f>
        <v>0</v>
      </c>
      <c r="V2326" s="85">
        <f>IF(ISNA(IF(AND(VLOOKUP(CONCATENATE($D2326,$G2326),CSRFinput!$B:$E,4,0)=0,OR(H2326=MappingTables!$C$34,H2326=MappingTables!$C$35)),1,VLOOKUP(CONCATENATE($D2326,$G2326),CSRFinput!$B:$E,4,0))),0,IF(AND(VLOOKUP(CONCATENATE($D2326,$G2326),CSRFinput!$B:$E,4,0)=0,OR(H2326=MappingTables!$C$34,H2326=MappingTables!$C$35)),1,VLOOKUP(CONCATENATE($D2326,$G2326),CSRFinput!$B:$E,4,0)))</f>
        <v>0.054776304963434752</v>
      </c>
      <c r="W2326" s="85">
        <f>IF(B2326="",0,+$T2326*$V2326)</f>
        <v>78.629657832262224</v>
      </c>
      <c r="X2326" s="85">
        <f>IF(B2326="",0,IF(OR(H2326=MappingTables!$C$34,H2326=MappingTables!$C$35),W2326,0))</f>
        <v>0</v>
      </c>
    </row>
    <row r="2327" spans="2:24" s="0" customFormat="0" ht="15">
      <c r="B2327" s="69">
        <v>22264575</v>
      </c>
      <c r="C2327" s="70" t="s">
        <v>2345</v>
      </c>
      <c r="D2327" s="70" t="s">
        <v>1</v>
      </c>
      <c r="E2327" s="70" t="s">
        <v>1</v>
      </c>
      <c r="F2327" s="70"/>
      <c r="G2327" s="70" t="s">
        <v>61</v>
      </c>
      <c r="H2327" s="70" t="s">
        <v>178</v>
      </c>
      <c r="I2327" s="70" t="s">
        <v>181</v>
      </c>
      <c r="J2327" s="71">
        <f>IF(OR(I2327=0,I2327=""),"unrated",VLOOKUP(I2327,MappingTables!$B$19:$C$31,2,FALSE))</f>
        <v>3</v>
      </c>
      <c r="K2327" s="72">
        <v>2339.6702977231052</v>
      </c>
      <c r="L2327" s="70">
        <v>4.1136752262386448</v>
      </c>
      <c r="M2327" s="71">
        <f>IF(L2327&lt;1,1,L2327)</f>
        <v>4.1136752262386448</v>
      </c>
      <c r="N2327" s="70" t="s">
        <v>141</v>
      </c>
      <c r="O2327" s="71">
        <f>INDEX(DurClassMapping,MATCH(M2327,MappingTables!$D$4:$D$8,-1),1)</f>
        <v>1</v>
      </c>
      <c r="P2327" s="73">
        <f>IF(M2327=$A$1,1,$M2327-INDEX(MappingTables!$E$4:$E$8,MATCH(O2327,MappingTables!$B$4:$B$8,0)))</f>
        <v>4.1136752262386448</v>
      </c>
      <c r="Q2327" s="71">
        <f>IF(B2327="",0,INDEX(ModelParameters!$D$6:$K$10,MATCH($O2327,ModelParameters!$B$6:$B$10,0),MATCH($J2327,ModelParameters!$D$5:$K$5,0)))</f>
        <v>0.025</v>
      </c>
      <c r="R2327" s="71">
        <f>IF(B2327="",0,INDEX(ModelParameters!$D$13:$K$17,MATCH($O2327,ModelParameters!$B$13:$B$17,0),MATCH($J2327,ModelParameters!$D$5:$K$5,0)))</f>
        <v>0</v>
      </c>
      <c r="S2327" s="160">
        <f>IF(B2327="",0,MIN(IF($N2327="Other Bond TM",ModelParameters!$N$21,1)*(P2327*Q2327+R2327),1))</f>
        <v>0.10284188065596612</v>
      </c>
      <c r="T2327" s="85">
        <f>IF(B2327="",0,$S2327*$K2327)</f>
        <v>240.61609353274828</v>
      </c>
      <c r="U2327" s="85">
        <f>IF(B2327="",0,IF(OR(H2327=MappingTables!$C$34,H2327=MappingTables!$C$35),T2327,0))</f>
        <v>0</v>
      </c>
      <c r="V2327" s="85">
        <f>IF(ISNA(IF(AND(VLOOKUP(CONCATENATE($D2327,$G2327),CSRFinput!$B:$E,4,0)=0,OR(H2327=MappingTables!$C$34,H2327=MappingTables!$C$35)),1,VLOOKUP(CONCATENATE($D2327,$G2327),CSRFinput!$B:$E,4,0))),0,IF(AND(VLOOKUP(CONCATENATE($D2327,$G2327),CSRFinput!$B:$E,4,0)=0,OR(H2327=MappingTables!$C$34,H2327=MappingTables!$C$35)),1,VLOOKUP(CONCATENATE($D2327,$G2327),CSRFinput!$B:$E,4,0)))</f>
        <v>0.054776304963434752</v>
      </c>
      <c r="W2327" s="85">
        <f>IF(B2327="",0,+$T2327*$V2327)</f>
        <v>13.180060518460162</v>
      </c>
      <c r="X2327" s="85">
        <f>IF(B2327="",0,IF(OR(H2327=MappingTables!$C$34,H2327=MappingTables!$C$35),W2327,0))</f>
        <v>0</v>
      </c>
    </row>
    <row r="2328" spans="2:24" s="0" customFormat="0" ht="15">
      <c r="B2328" s="69" t="s">
        <v>211</v>
      </c>
      <c r="C2328" s="70" t="s">
        <v>212</v>
      </c>
      <c r="D2328" s="70" t="s">
        <v>1</v>
      </c>
      <c r="E2328" s="70" t="s">
        <v>1</v>
      </c>
      <c r="F2328" s="70"/>
      <c r="G2328" s="70" t="s">
        <v>61</v>
      </c>
      <c r="H2328" s="70" t="s">
        <v>178</v>
      </c>
      <c r="I2328" s="70" t="s">
        <v>198</v>
      </c>
      <c r="J2328" s="71" t="str">
        <f>IF(OR(I2328=0,I2328=""),"unrated",VLOOKUP(I2328,MappingTables!$B$19:$C$31,2,FALSE))</f>
        <v>unrated</v>
      </c>
      <c r="K2328" s="72">
        <v>15797.857653965516</v>
      </c>
      <c r="L2328" s="70">
        <v>0.3561696929077182</v>
      </c>
      <c r="M2328" s="71">
        <f>IF(L2328&lt;1,1,L2328)</f>
        <v>1</v>
      </c>
      <c r="N2328" s="70" t="s">
        <v>141</v>
      </c>
      <c r="O2328" s="71">
        <f>INDEX(DurClassMapping,MATCH(M2328,MappingTables!$D$4:$D$8,-1),1)</f>
        <v>1</v>
      </c>
      <c r="P2328" s="73">
        <f>IF(M2328=$A$1,1,$M2328-INDEX(MappingTables!$E$4:$E$8,MATCH(O2328,MappingTables!$B$4:$B$8,0)))</f>
        <v>1</v>
      </c>
      <c r="Q2328" s="71">
        <f>IF(B2328="",0,INDEX(ModelParameters!$D$6:$K$10,MATCH($O2328,ModelParameters!$B$6:$B$10,0),MATCH($J2328,ModelParameters!$D$5:$K$5,0)))</f>
        <v>0.03</v>
      </c>
      <c r="R2328" s="71">
        <f>IF(B2328="",0,INDEX(ModelParameters!$D$13:$K$17,MATCH($O2328,ModelParameters!$B$13:$B$17,0),MATCH($J2328,ModelParameters!$D$5:$K$5,0)))</f>
        <v>0</v>
      </c>
      <c r="S2328" s="160">
        <f>IF(B2328="",0,MIN(IF($N2328="Other Bond TM",ModelParameters!$N$21,1)*(P2328*Q2328+R2328),1))</f>
        <v>0.03</v>
      </c>
      <c r="T2328" s="85">
        <f>IF(B2328="",0,$S2328*$K2328)</f>
        <v>473.93572961896544</v>
      </c>
      <c r="U2328" s="85">
        <f>IF(B2328="",0,IF(OR(H2328=MappingTables!$C$34,H2328=MappingTables!$C$35),T2328,0))</f>
        <v>0</v>
      </c>
      <c r="V2328" s="85">
        <f>IF(ISNA(IF(AND(VLOOKUP(CONCATENATE($D2328,$G2328),CSRFinput!$B:$E,4,0)=0,OR(H2328=MappingTables!$C$34,H2328=MappingTables!$C$35)),1,VLOOKUP(CONCATENATE($D2328,$G2328),CSRFinput!$B:$E,4,0))),0,IF(AND(VLOOKUP(CONCATENATE($D2328,$G2328),CSRFinput!$B:$E,4,0)=0,OR(H2328=MappingTables!$C$34,H2328=MappingTables!$C$35)),1,VLOOKUP(CONCATENATE($D2328,$G2328),CSRFinput!$B:$E,4,0)))</f>
        <v>0.054776304963434752</v>
      </c>
      <c r="W2328" s="85">
        <f>IF(B2328="",0,+$T2328*$V2328)</f>
        <v>25.960448058676404</v>
      </c>
      <c r="X2328" s="85">
        <f>IF(B2328="",0,IF(OR(H2328=MappingTables!$C$34,H2328=MappingTables!$C$35),W2328,0))</f>
        <v>0</v>
      </c>
    </row>
    <row r="2329" spans="2:24" s="0" customFormat="0" ht="15">
      <c r="B2329" s="69">
        <v>17633389</v>
      </c>
      <c r="C2329" s="70" t="s">
        <v>2034</v>
      </c>
      <c r="D2329" s="70" t="s">
        <v>1</v>
      </c>
      <c r="E2329" s="70" t="s">
        <v>1</v>
      </c>
      <c r="F2329" s="70"/>
      <c r="G2329" s="70" t="s">
        <v>61</v>
      </c>
      <c r="H2329" s="70" t="s">
        <v>178</v>
      </c>
      <c r="I2329" s="70" t="s">
        <v>184</v>
      </c>
      <c r="J2329" s="71">
        <f>IF(OR(I2329=0,I2329=""),"unrated",VLOOKUP(I2329,MappingTables!$B$19:$C$31,2,FALSE))</f>
        <v>5</v>
      </c>
      <c r="K2329" s="72">
        <v>107.8596308297296</v>
      </c>
      <c r="L2329" s="70">
        <v>0.087670588059599472</v>
      </c>
      <c r="M2329" s="71">
        <f>IF(L2329&lt;1,1,L2329)</f>
        <v>1</v>
      </c>
      <c r="N2329" s="70" t="s">
        <v>141</v>
      </c>
      <c r="O2329" s="71">
        <f>INDEX(DurClassMapping,MATCH(M2329,MappingTables!$D$4:$D$8,-1),1)</f>
        <v>1</v>
      </c>
      <c r="P2329" s="73">
        <f>IF(M2329=$A$1,1,$M2329-INDEX(MappingTables!$E$4:$E$8,MATCH(O2329,MappingTables!$B$4:$B$8,0)))</f>
        <v>1</v>
      </c>
      <c r="Q2329" s="71">
        <f>IF(B2329="",0,INDEX(ModelParameters!$D$6:$K$10,MATCH($O2329,ModelParameters!$B$6:$B$10,0),MATCH($J2329,ModelParameters!$D$5:$K$5,0)))</f>
        <v>0.075</v>
      </c>
      <c r="R2329" s="71">
        <f>IF(B2329="",0,INDEX(ModelParameters!$D$13:$K$17,MATCH($O2329,ModelParameters!$B$13:$B$17,0),MATCH($J2329,ModelParameters!$D$5:$K$5,0)))</f>
        <v>0</v>
      </c>
      <c r="S2329" s="160">
        <f>IF(B2329="",0,MIN(IF($N2329="Other Bond TM",ModelParameters!$N$21,1)*(P2329*Q2329+R2329),1))</f>
        <v>0.075</v>
      </c>
      <c r="T2329" s="85">
        <f>IF(B2329="",0,$S2329*$K2329)</f>
        <v>8.08947231222972</v>
      </c>
      <c r="U2329" s="85">
        <f>IF(B2329="",0,IF(OR(H2329=MappingTables!$C$34,H2329=MappingTables!$C$35),T2329,0))</f>
        <v>0</v>
      </c>
      <c r="V2329" s="85">
        <f>IF(ISNA(IF(AND(VLOOKUP(CONCATENATE($D2329,$G2329),CSRFinput!$B:$E,4,0)=0,OR(H2329=MappingTables!$C$34,H2329=MappingTables!$C$35)),1,VLOOKUP(CONCATENATE($D2329,$G2329),CSRFinput!$B:$E,4,0))),0,IF(AND(VLOOKUP(CONCATENATE($D2329,$G2329),CSRFinput!$B:$E,4,0)=0,OR(H2329=MappingTables!$C$34,H2329=MappingTables!$C$35)),1,VLOOKUP(CONCATENATE($D2329,$G2329),CSRFinput!$B:$E,4,0)))</f>
        <v>0.054776304963434752</v>
      </c>
      <c r="W2329" s="85">
        <f>IF(B2329="",0,+$T2329*$V2329)</f>
        <v>0.4431114023679568</v>
      </c>
      <c r="X2329" s="85">
        <f>IF(B2329="",0,IF(OR(H2329=MappingTables!$C$34,H2329=MappingTables!$C$35),W2329,0))</f>
        <v>0</v>
      </c>
    </row>
    <row r="2330" spans="2:24" s="0" customFormat="0" ht="15">
      <c r="B2330" s="69">
        <v>21719476</v>
      </c>
      <c r="C2330" s="70" t="s">
        <v>2346</v>
      </c>
      <c r="D2330" s="70" t="s">
        <v>1</v>
      </c>
      <c r="E2330" s="70" t="s">
        <v>1</v>
      </c>
      <c r="F2330" s="70"/>
      <c r="G2330" s="70" t="s">
        <v>61</v>
      </c>
      <c r="H2330" s="70" t="s">
        <v>178</v>
      </c>
      <c r="I2330" s="70" t="s">
        <v>181</v>
      </c>
      <c r="J2330" s="71">
        <f>IF(OR(I2330=0,I2330=""),"unrated",VLOOKUP(I2330,MappingTables!$B$19:$C$31,2,FALSE))</f>
        <v>3</v>
      </c>
      <c r="K2330" s="72">
        <v>3610.9299285262408</v>
      </c>
      <c r="L2330" s="70">
        <v>1.1803585473250068</v>
      </c>
      <c r="M2330" s="71">
        <f>IF(L2330&lt;1,1,L2330)</f>
        <v>1.1803585473250068</v>
      </c>
      <c r="N2330" s="70" t="s">
        <v>141</v>
      </c>
      <c r="O2330" s="71">
        <f>INDEX(DurClassMapping,MATCH(M2330,MappingTables!$D$4:$D$8,-1),1)</f>
        <v>1</v>
      </c>
      <c r="P2330" s="73">
        <f>IF(M2330=$A$1,1,$M2330-INDEX(MappingTables!$E$4:$E$8,MATCH(O2330,MappingTables!$B$4:$B$8,0)))</f>
        <v>1.1803585473250068</v>
      </c>
      <c r="Q2330" s="71">
        <f>IF(B2330="",0,INDEX(ModelParameters!$D$6:$K$10,MATCH($O2330,ModelParameters!$B$6:$B$10,0),MATCH($J2330,ModelParameters!$D$5:$K$5,0)))</f>
        <v>0.025</v>
      </c>
      <c r="R2330" s="71">
        <f>IF(B2330="",0,INDEX(ModelParameters!$D$13:$K$17,MATCH($O2330,ModelParameters!$B$13:$B$17,0),MATCH($J2330,ModelParameters!$D$5:$K$5,0)))</f>
        <v>0</v>
      </c>
      <c r="S2330" s="160">
        <f>IF(B2330="",0,MIN(IF($N2330="Other Bond TM",ModelParameters!$N$21,1)*(P2330*Q2330+R2330),1))</f>
        <v>0.029508963683125172</v>
      </c>
      <c r="T2330" s="85">
        <f>IF(B2330="",0,$S2330*$K2330)</f>
        <v>106.5548001231906</v>
      </c>
      <c r="U2330" s="85">
        <f>IF(B2330="",0,IF(OR(H2330=MappingTables!$C$34,H2330=MappingTables!$C$35),T2330,0))</f>
        <v>0</v>
      </c>
      <c r="V2330" s="85">
        <f>IF(ISNA(IF(AND(VLOOKUP(CONCATENATE($D2330,$G2330),CSRFinput!$B:$E,4,0)=0,OR(H2330=MappingTables!$C$34,H2330=MappingTables!$C$35)),1,VLOOKUP(CONCATENATE($D2330,$G2330),CSRFinput!$B:$E,4,0))),0,IF(AND(VLOOKUP(CONCATENATE($D2330,$G2330),CSRFinput!$B:$E,4,0)=0,OR(H2330=MappingTables!$C$34,H2330=MappingTables!$C$35)),1,VLOOKUP(CONCATENATE($D2330,$G2330),CSRFinput!$B:$E,4,0)))</f>
        <v>0.054776304963434752</v>
      </c>
      <c r="W2330" s="85">
        <f>IF(B2330="",0,+$T2330*$V2330)</f>
        <v>5.8366782268657232</v>
      </c>
      <c r="X2330" s="85">
        <f>IF(B2330="",0,IF(OR(H2330=MappingTables!$C$34,H2330=MappingTables!$C$35),W2330,0))</f>
        <v>0</v>
      </c>
    </row>
    <row r="2331" spans="2:24" s="0" customFormat="0" ht="15">
      <c r="B2331" s="69" t="s">
        <v>1937</v>
      </c>
      <c r="C2331" s="70" t="s">
        <v>1938</v>
      </c>
      <c r="D2331" s="70" t="s">
        <v>1</v>
      </c>
      <c r="E2331" s="70" t="s">
        <v>1</v>
      </c>
      <c r="F2331" s="70"/>
      <c r="G2331" s="70" t="s">
        <v>61</v>
      </c>
      <c r="H2331" s="70" t="s">
        <v>178</v>
      </c>
      <c r="I2331" s="70" t="s">
        <v>198</v>
      </c>
      <c r="J2331" s="71" t="str">
        <f>IF(OR(I2331=0,I2331=""),"unrated",VLOOKUP(I2331,MappingTables!$B$19:$C$31,2,FALSE))</f>
        <v>unrated</v>
      </c>
      <c r="K2331" s="72">
        <v>17782.431735526578</v>
      </c>
      <c r="L2331" s="70">
        <v>5.217852625598104</v>
      </c>
      <c r="M2331" s="71">
        <f>IF(L2331&lt;1,1,L2331)</f>
        <v>5.217852625598104</v>
      </c>
      <c r="N2331" s="70" t="s">
        <v>141</v>
      </c>
      <c r="O2331" s="71">
        <f>INDEX(DurClassMapping,MATCH(M2331,MappingTables!$D$4:$D$8,-1),1)</f>
        <v>2</v>
      </c>
      <c r="P2331" s="73">
        <f>IF(M2331=$A$1,1,$M2331-INDEX(MappingTables!$E$4:$E$8,MATCH(O2331,MappingTables!$B$4:$B$8,0)))</f>
        <v>0.21785262559810368</v>
      </c>
      <c r="Q2331" s="71">
        <f>IF(B2331="",0,INDEX(ModelParameters!$D$6:$K$10,MATCH($O2331,ModelParameters!$B$6:$B$10,0),MATCH($J2331,ModelParameters!$D$5:$K$5,0)))</f>
        <v>0.017000000000000002</v>
      </c>
      <c r="R2331" s="71">
        <f>IF(B2331="",0,INDEX(ModelParameters!$D$13:$K$17,MATCH($O2331,ModelParameters!$B$13:$B$17,0),MATCH($J2331,ModelParameters!$D$5:$K$5,0)))</f>
        <v>0.15</v>
      </c>
      <c r="S2331" s="160">
        <f>IF(B2331="",0,MIN(IF($N2331="Other Bond TM",ModelParameters!$N$21,1)*(P2331*Q2331+R2331),1))</f>
        <v>0.15370349463516774</v>
      </c>
      <c r="T2331" s="85">
        <f>IF(B2331="",0,$S2331*$K2331)</f>
        <v>2733.2219008617464</v>
      </c>
      <c r="U2331" s="85">
        <f>IF(B2331="",0,IF(OR(H2331=MappingTables!$C$34,H2331=MappingTables!$C$35),T2331,0))</f>
        <v>0</v>
      </c>
      <c r="V2331" s="85">
        <f>IF(ISNA(IF(AND(VLOOKUP(CONCATENATE($D2331,$G2331),CSRFinput!$B:$E,4,0)=0,OR(H2331=MappingTables!$C$34,H2331=MappingTables!$C$35)),1,VLOOKUP(CONCATENATE($D2331,$G2331),CSRFinput!$B:$E,4,0))),0,IF(AND(VLOOKUP(CONCATENATE($D2331,$G2331),CSRFinput!$B:$E,4,0)=0,OR(H2331=MappingTables!$C$34,H2331=MappingTables!$C$35)),1,VLOOKUP(CONCATENATE($D2331,$G2331),CSRFinput!$B:$E,4,0)))</f>
        <v>0.054776304963434752</v>
      </c>
      <c r="W2331" s="85">
        <f>IF(B2331="",0,+$T2331*$V2331)</f>
        <v>149.71579637434184</v>
      </c>
      <c r="X2331" s="85">
        <f>IF(B2331="",0,IF(OR(H2331=MappingTables!$C$34,H2331=MappingTables!$C$35),W2331,0))</f>
        <v>0</v>
      </c>
    </row>
    <row r="2332" spans="2:24" s="0" customFormat="0" ht="15">
      <c r="B2332" s="69" t="s">
        <v>1173</v>
      </c>
      <c r="C2332" s="70" t="s">
        <v>1174</v>
      </c>
      <c r="D2332" s="70" t="s">
        <v>1</v>
      </c>
      <c r="E2332" s="70" t="s">
        <v>1</v>
      </c>
      <c r="F2332" s="70"/>
      <c r="G2332" s="70" t="s">
        <v>61</v>
      </c>
      <c r="H2332" s="70" t="s">
        <v>178</v>
      </c>
      <c r="I2332" s="70" t="s">
        <v>188</v>
      </c>
      <c r="J2332" s="71">
        <f>IF(OR(I2332=0,I2332=""),"unrated",VLOOKUP(I2332,MappingTables!$B$19:$C$31,2,FALSE))</f>
        <v>2</v>
      </c>
      <c r="K2332" s="72">
        <v>10.04155615720768</v>
      </c>
      <c r="L2332" s="70">
        <v>2.8400927177053436</v>
      </c>
      <c r="M2332" s="71">
        <f>IF(L2332&lt;1,1,L2332)</f>
        <v>2.8400927177053436</v>
      </c>
      <c r="N2332" s="70" t="s">
        <v>141</v>
      </c>
      <c r="O2332" s="71">
        <f>INDEX(DurClassMapping,MATCH(M2332,MappingTables!$D$4:$D$8,-1),1)</f>
        <v>1</v>
      </c>
      <c r="P2332" s="73">
        <f>IF(M2332=$A$1,1,$M2332-INDEX(MappingTables!$E$4:$E$8,MATCH(O2332,MappingTables!$B$4:$B$8,0)))</f>
        <v>2.8400927177053436</v>
      </c>
      <c r="Q2332" s="71">
        <f>IF(B2332="",0,INDEX(ModelParameters!$D$6:$K$10,MATCH($O2332,ModelParameters!$B$6:$B$10,0),MATCH($J2332,ModelParameters!$D$5:$K$5,0)))</f>
        <v>0.013999999999999998</v>
      </c>
      <c r="R2332" s="71">
        <f>IF(B2332="",0,INDEX(ModelParameters!$D$13:$K$17,MATCH($O2332,ModelParameters!$B$13:$B$17,0),MATCH($J2332,ModelParameters!$D$5:$K$5,0)))</f>
        <v>0</v>
      </c>
      <c r="S2332" s="160">
        <f>IF(B2332="",0,MIN(IF($N2332="Other Bond TM",ModelParameters!$N$21,1)*(P2332*Q2332+R2332),1))</f>
        <v>0.0397612980478748</v>
      </c>
      <c r="T2332" s="85">
        <f>IF(B2332="",0,$S2332*$K2332)</f>
        <v>0.39926530723120688</v>
      </c>
      <c r="U2332" s="85">
        <f>IF(B2332="",0,IF(OR(H2332=MappingTables!$C$34,H2332=MappingTables!$C$35),T2332,0))</f>
        <v>0</v>
      </c>
      <c r="V2332" s="85">
        <f>IF(ISNA(IF(AND(VLOOKUP(CONCATENATE($D2332,$G2332),CSRFinput!$B:$E,4,0)=0,OR(H2332=MappingTables!$C$34,H2332=MappingTables!$C$35)),1,VLOOKUP(CONCATENATE($D2332,$G2332),CSRFinput!$B:$E,4,0))),0,IF(AND(VLOOKUP(CONCATENATE($D2332,$G2332),CSRFinput!$B:$E,4,0)=0,OR(H2332=MappingTables!$C$34,H2332=MappingTables!$C$35)),1,VLOOKUP(CONCATENATE($D2332,$G2332),CSRFinput!$B:$E,4,0)))</f>
        <v>0.054776304963434752</v>
      </c>
      <c r="W2332" s="85">
        <f>IF(B2332="",0,+$T2332*$V2332)</f>
        <v>0.02187027823021606</v>
      </c>
      <c r="X2332" s="85">
        <f>IF(B2332="",0,IF(OR(H2332=MappingTables!$C$34,H2332=MappingTables!$C$35),W2332,0))</f>
        <v>0</v>
      </c>
    </row>
    <row r="2333" spans="2:24" s="0" customFormat="0" ht="15">
      <c r="B2333" s="69">
        <v>18771484</v>
      </c>
      <c r="C2333" s="70" t="s">
        <v>2347</v>
      </c>
      <c r="D2333" s="70" t="s">
        <v>1</v>
      </c>
      <c r="E2333" s="70" t="s">
        <v>1</v>
      </c>
      <c r="F2333" s="70"/>
      <c r="G2333" s="70" t="s">
        <v>61</v>
      </c>
      <c r="H2333" s="70" t="s">
        <v>178</v>
      </c>
      <c r="I2333" s="70" t="s">
        <v>188</v>
      </c>
      <c r="J2333" s="71">
        <f>IF(OR(I2333=0,I2333=""),"unrated",VLOOKUP(I2333,MappingTables!$B$19:$C$31,2,FALSE))</f>
        <v>2</v>
      </c>
      <c r="K2333" s="72">
        <v>1941.7323415038608</v>
      </c>
      <c r="L2333" s="70">
        <v>1.0005050264055774</v>
      </c>
      <c r="M2333" s="71">
        <f>IF(L2333&lt;1,1,L2333)</f>
        <v>1.0005050264055774</v>
      </c>
      <c r="N2333" s="70" t="s">
        <v>141</v>
      </c>
      <c r="O2333" s="71">
        <f>INDEX(DurClassMapping,MATCH(M2333,MappingTables!$D$4:$D$8,-1),1)</f>
        <v>1</v>
      </c>
      <c r="P2333" s="73">
        <f>IF(M2333=$A$1,1,$M2333-INDEX(MappingTables!$E$4:$E$8,MATCH(O2333,MappingTables!$B$4:$B$8,0)))</f>
        <v>1.0005050264055774</v>
      </c>
      <c r="Q2333" s="71">
        <f>IF(B2333="",0,INDEX(ModelParameters!$D$6:$K$10,MATCH($O2333,ModelParameters!$B$6:$B$10,0),MATCH($J2333,ModelParameters!$D$5:$K$5,0)))</f>
        <v>0.013999999999999998</v>
      </c>
      <c r="R2333" s="71">
        <f>IF(B2333="",0,INDEX(ModelParameters!$D$13:$K$17,MATCH($O2333,ModelParameters!$B$13:$B$17,0),MATCH($J2333,ModelParameters!$D$5:$K$5,0)))</f>
        <v>0</v>
      </c>
      <c r="S2333" s="160">
        <f>IF(B2333="",0,MIN(IF($N2333="Other Bond TM",ModelParameters!$N$21,1)*(P2333*Q2333+R2333),1))</f>
        <v>0.014007070369678084</v>
      </c>
      <c r="T2333" s="85">
        <f>IF(B2333="",0,$S2333*$K2333)</f>
        <v>27.197981546524372</v>
      </c>
      <c r="U2333" s="85">
        <f>IF(B2333="",0,IF(OR(H2333=MappingTables!$C$34,H2333=MappingTables!$C$35),T2333,0))</f>
        <v>0</v>
      </c>
      <c r="V2333" s="85">
        <f>IF(ISNA(IF(AND(VLOOKUP(CONCATENATE($D2333,$G2333),CSRFinput!$B:$E,4,0)=0,OR(H2333=MappingTables!$C$34,H2333=MappingTables!$C$35)),1,VLOOKUP(CONCATENATE($D2333,$G2333),CSRFinput!$B:$E,4,0))),0,IF(AND(VLOOKUP(CONCATENATE($D2333,$G2333),CSRFinput!$B:$E,4,0)=0,OR(H2333=MappingTables!$C$34,H2333=MappingTables!$C$35)),1,VLOOKUP(CONCATENATE($D2333,$G2333),CSRFinput!$B:$E,4,0)))</f>
        <v>0.054776304963434752</v>
      </c>
      <c r="W2333" s="85">
        <f>IF(B2333="",0,+$T2333*$V2333)</f>
        <v>1.4898049315822896</v>
      </c>
      <c r="X2333" s="85">
        <f>IF(B2333="",0,IF(OR(H2333=MappingTables!$C$34,H2333=MappingTables!$C$35),W2333,0))</f>
        <v>0</v>
      </c>
    </row>
    <row r="2334" spans="2:24" s="0" customFormat="0" ht="15">
      <c r="B2334" s="69" t="s">
        <v>2348</v>
      </c>
      <c r="C2334" s="70" t="s">
        <v>2349</v>
      </c>
      <c r="D2334" s="70" t="s">
        <v>1</v>
      </c>
      <c r="E2334" s="70" t="s">
        <v>1</v>
      </c>
      <c r="F2334" s="70"/>
      <c r="G2334" s="70" t="s">
        <v>61</v>
      </c>
      <c r="H2334" s="70" t="s">
        <v>178</v>
      </c>
      <c r="I2334" s="70" t="s">
        <v>181</v>
      </c>
      <c r="J2334" s="71">
        <f>IF(OR(I2334=0,I2334=""),"unrated",VLOOKUP(I2334,MappingTables!$B$19:$C$31,2,FALSE))</f>
        <v>3</v>
      </c>
      <c r="K2334" s="72">
        <v>23740.646305744148</v>
      </c>
      <c r="L2334" s="70">
        <v>2.531726241954492</v>
      </c>
      <c r="M2334" s="71">
        <f>IF(L2334&lt;1,1,L2334)</f>
        <v>2.531726241954492</v>
      </c>
      <c r="N2334" s="70" t="s">
        <v>141</v>
      </c>
      <c r="O2334" s="71">
        <f>INDEX(DurClassMapping,MATCH(M2334,MappingTables!$D$4:$D$8,-1),1)</f>
        <v>1</v>
      </c>
      <c r="P2334" s="73">
        <f>IF(M2334=$A$1,1,$M2334-INDEX(MappingTables!$E$4:$E$8,MATCH(O2334,MappingTables!$B$4:$B$8,0)))</f>
        <v>2.531726241954492</v>
      </c>
      <c r="Q2334" s="71">
        <f>IF(B2334="",0,INDEX(ModelParameters!$D$6:$K$10,MATCH($O2334,ModelParameters!$B$6:$B$10,0),MATCH($J2334,ModelParameters!$D$5:$K$5,0)))</f>
        <v>0.025</v>
      </c>
      <c r="R2334" s="71">
        <f>IF(B2334="",0,INDEX(ModelParameters!$D$13:$K$17,MATCH($O2334,ModelParameters!$B$13:$B$17,0),MATCH($J2334,ModelParameters!$D$5:$K$5,0)))</f>
        <v>0</v>
      </c>
      <c r="S2334" s="160">
        <f>IF(B2334="",0,MIN(IF($N2334="Other Bond TM",ModelParameters!$N$21,1)*(P2334*Q2334+R2334),1))</f>
        <v>0.063293156048862304</v>
      </c>
      <c r="T2334" s="85">
        <f>IF(B2334="",0,$S2334*$K2334)</f>
        <v>1502.6204313303108</v>
      </c>
      <c r="U2334" s="85">
        <f>IF(B2334="",0,IF(OR(H2334=MappingTables!$C$34,H2334=MappingTables!$C$35),T2334,0))</f>
        <v>0</v>
      </c>
      <c r="V2334" s="85">
        <f>IF(ISNA(IF(AND(VLOOKUP(CONCATENATE($D2334,$G2334),CSRFinput!$B:$E,4,0)=0,OR(H2334=MappingTables!$C$34,H2334=MappingTables!$C$35)),1,VLOOKUP(CONCATENATE($D2334,$G2334),CSRFinput!$B:$E,4,0))),0,IF(AND(VLOOKUP(CONCATENATE($D2334,$G2334),CSRFinput!$B:$E,4,0)=0,OR(H2334=MappingTables!$C$34,H2334=MappingTables!$C$35)),1,VLOOKUP(CONCATENATE($D2334,$G2334),CSRFinput!$B:$E,4,0)))</f>
        <v>0.054776304963434752</v>
      </c>
      <c r="W2334" s="85">
        <f>IF(B2334="",0,+$T2334*$V2334)</f>
        <v>82.307994990836976</v>
      </c>
      <c r="X2334" s="85">
        <f>IF(B2334="",0,IF(OR(H2334=MappingTables!$C$34,H2334=MappingTables!$C$35),W2334,0))</f>
        <v>0</v>
      </c>
    </row>
    <row r="2335" spans="2:24" s="0" customFormat="0" ht="15">
      <c r="B2335" s="69">
        <v>12046707</v>
      </c>
      <c r="C2335" s="70" t="s">
        <v>2350</v>
      </c>
      <c r="D2335" s="70" t="s">
        <v>1</v>
      </c>
      <c r="E2335" s="70" t="s">
        <v>1</v>
      </c>
      <c r="F2335" s="70"/>
      <c r="G2335" s="70" t="s">
        <v>61</v>
      </c>
      <c r="H2335" s="70" t="s">
        <v>178</v>
      </c>
      <c r="I2335" s="70" t="s">
        <v>179</v>
      </c>
      <c r="J2335" s="71">
        <f>IF(OR(I2335=0,I2335=""),"unrated",VLOOKUP(I2335,MappingTables!$B$19:$C$31,2,FALSE))</f>
        <v>4</v>
      </c>
      <c r="K2335" s="72">
        <v>26045.209405173492</v>
      </c>
      <c r="L2335" s="70">
        <v>11.941848771771486</v>
      </c>
      <c r="M2335" s="71">
        <f>IF(L2335&lt;1,1,L2335)</f>
        <v>11.941848771771486</v>
      </c>
      <c r="N2335" s="70" t="s">
        <v>141</v>
      </c>
      <c r="O2335" s="71">
        <f>INDEX(DurClassMapping,MATCH(M2335,MappingTables!$D$4:$D$8,-1),1)</f>
        <v>3</v>
      </c>
      <c r="P2335" s="73">
        <f>IF(M2335=$A$1,1,$M2335-INDEX(MappingTables!$E$4:$E$8,MATCH(O2335,MappingTables!$B$4:$B$8,0)))</f>
        <v>1.941848771771486</v>
      </c>
      <c r="Q2335" s="71">
        <f>IF(B2335="",0,INDEX(ModelParameters!$D$6:$K$10,MATCH($O2335,ModelParameters!$B$6:$B$10,0),MATCH($J2335,ModelParameters!$D$5:$K$5,0)))</f>
        <v>0.018000000000000002</v>
      </c>
      <c r="R2335" s="71">
        <f>IF(B2335="",0,INDEX(ModelParameters!$D$13:$K$17,MATCH($O2335,ModelParameters!$B$13:$B$17,0),MATCH($J2335,ModelParameters!$D$5:$K$5,0)))</f>
        <v>0.34999999999999996</v>
      </c>
      <c r="S2335" s="160">
        <f>IF(B2335="",0,MIN(IF($N2335="Other Bond TM",ModelParameters!$N$21,1)*(P2335*Q2335+R2335),1))</f>
        <v>0.38495327789188672</v>
      </c>
      <c r="T2335" s="85">
        <f>IF(B2335="",0,$S2335*$K2335)</f>
        <v>10026.188733902132</v>
      </c>
      <c r="U2335" s="85">
        <f>IF(B2335="",0,IF(OR(H2335=MappingTables!$C$34,H2335=MappingTables!$C$35),T2335,0))</f>
        <v>0</v>
      </c>
      <c r="V2335" s="85">
        <f>IF(ISNA(IF(AND(VLOOKUP(CONCATENATE($D2335,$G2335),CSRFinput!$B:$E,4,0)=0,OR(H2335=MappingTables!$C$34,H2335=MappingTables!$C$35)),1,VLOOKUP(CONCATENATE($D2335,$G2335),CSRFinput!$B:$E,4,0))),0,IF(AND(VLOOKUP(CONCATENATE($D2335,$G2335),CSRFinput!$B:$E,4,0)=0,OR(H2335=MappingTables!$C$34,H2335=MappingTables!$C$35)),1,VLOOKUP(CONCATENATE($D2335,$G2335),CSRFinput!$B:$E,4,0)))</f>
        <v>0.054776304963434752</v>
      </c>
      <c r="W2335" s="85">
        <f>IF(B2335="",0,+$T2335*$V2335)</f>
        <v>549.19757170917696</v>
      </c>
      <c r="X2335" s="85">
        <f>IF(B2335="",0,IF(OR(H2335=MappingTables!$C$34,H2335=MappingTables!$C$35),W2335,0))</f>
        <v>0</v>
      </c>
    </row>
    <row r="2336" spans="2:24" s="0" customFormat="0" ht="15">
      <c r="B2336" s="69">
        <v>22246381</v>
      </c>
      <c r="C2336" s="70" t="s">
        <v>393</v>
      </c>
      <c r="D2336" s="70" t="s">
        <v>1</v>
      </c>
      <c r="E2336" s="70" t="s">
        <v>1</v>
      </c>
      <c r="F2336" s="70"/>
      <c r="G2336" s="70" t="s">
        <v>61</v>
      </c>
      <c r="H2336" s="70" t="s">
        <v>178</v>
      </c>
      <c r="I2336" s="70" t="s">
        <v>181</v>
      </c>
      <c r="J2336" s="71">
        <f>IF(OR(I2336=0,I2336=""),"unrated",VLOOKUP(I2336,MappingTables!$B$19:$C$31,2,FALSE))</f>
        <v>3</v>
      </c>
      <c r="K2336" s="72">
        <v>89.823776178665584</v>
      </c>
      <c r="L2336" s="70">
        <v>3.9413362352410904</v>
      </c>
      <c r="M2336" s="71">
        <f>IF(L2336&lt;1,1,L2336)</f>
        <v>3.9413362352410904</v>
      </c>
      <c r="N2336" s="70" t="s">
        <v>141</v>
      </c>
      <c r="O2336" s="71">
        <f>INDEX(DurClassMapping,MATCH(M2336,MappingTables!$D$4:$D$8,-1),1)</f>
        <v>1</v>
      </c>
      <c r="P2336" s="73">
        <f>IF(M2336=$A$1,1,$M2336-INDEX(MappingTables!$E$4:$E$8,MATCH(O2336,MappingTables!$B$4:$B$8,0)))</f>
        <v>3.9413362352410904</v>
      </c>
      <c r="Q2336" s="71">
        <f>IF(B2336="",0,INDEX(ModelParameters!$D$6:$K$10,MATCH($O2336,ModelParameters!$B$6:$B$10,0),MATCH($J2336,ModelParameters!$D$5:$K$5,0)))</f>
        <v>0.025</v>
      </c>
      <c r="R2336" s="71">
        <f>IF(B2336="",0,INDEX(ModelParameters!$D$13:$K$17,MATCH($O2336,ModelParameters!$B$13:$B$17,0),MATCH($J2336,ModelParameters!$D$5:$K$5,0)))</f>
        <v>0</v>
      </c>
      <c r="S2336" s="160">
        <f>IF(B2336="",0,MIN(IF($N2336="Other Bond TM",ModelParameters!$N$21,1)*(P2336*Q2336+R2336),1))</f>
        <v>0.098533405881027264</v>
      </c>
      <c r="T2336" s="85">
        <f>IF(B2336="",0,$S2336*$K2336)</f>
        <v>8.8506425959790032</v>
      </c>
      <c r="U2336" s="85">
        <f>IF(B2336="",0,IF(OR(H2336=MappingTables!$C$34,H2336=MappingTables!$C$35),T2336,0))</f>
        <v>0</v>
      </c>
      <c r="V2336" s="85">
        <f>IF(ISNA(IF(AND(VLOOKUP(CONCATENATE($D2336,$G2336),CSRFinput!$B:$E,4,0)=0,OR(H2336=MappingTables!$C$34,H2336=MappingTables!$C$35)),1,VLOOKUP(CONCATENATE($D2336,$G2336),CSRFinput!$B:$E,4,0))),0,IF(AND(VLOOKUP(CONCATENATE($D2336,$G2336),CSRFinput!$B:$E,4,0)=0,OR(H2336=MappingTables!$C$34,H2336=MappingTables!$C$35)),1,VLOOKUP(CONCATENATE($D2336,$G2336),CSRFinput!$B:$E,4,0)))</f>
        <v>0.054776304963434752</v>
      </c>
      <c r="W2336" s="85">
        <f>IF(B2336="",0,+$T2336*$V2336)</f>
        <v>0.48480549795971176</v>
      </c>
      <c r="X2336" s="85">
        <f>IF(B2336="",0,IF(OR(H2336=MappingTables!$C$34,H2336=MappingTables!$C$35),W2336,0))</f>
        <v>0</v>
      </c>
    </row>
    <row r="2337" spans="2:24" s="0" customFormat="0" ht="15">
      <c r="B2337" s="69" t="s">
        <v>2351</v>
      </c>
      <c r="C2337" s="70" t="s">
        <v>2352</v>
      </c>
      <c r="D2337" s="70" t="s">
        <v>1</v>
      </c>
      <c r="E2337" s="70" t="s">
        <v>1</v>
      </c>
      <c r="F2337" s="70"/>
      <c r="G2337" s="70" t="s">
        <v>61</v>
      </c>
      <c r="H2337" s="70" t="s">
        <v>178</v>
      </c>
      <c r="I2337" s="70" t="s">
        <v>198</v>
      </c>
      <c r="J2337" s="71" t="str">
        <f>IF(OR(I2337=0,I2337=""),"unrated",VLOOKUP(I2337,MappingTables!$B$19:$C$31,2,FALSE))</f>
        <v>unrated</v>
      </c>
      <c r="K2337" s="72">
        <v>596.01418973507736</v>
      </c>
      <c r="L2337" s="70">
        <v>8.403542668969896</v>
      </c>
      <c r="M2337" s="71">
        <f>IF(L2337&lt;1,1,L2337)</f>
        <v>8.403542668969896</v>
      </c>
      <c r="N2337" s="70" t="s">
        <v>141</v>
      </c>
      <c r="O2337" s="71">
        <f>INDEX(DurClassMapping,MATCH(M2337,MappingTables!$D$4:$D$8,-1),1)</f>
        <v>2</v>
      </c>
      <c r="P2337" s="73">
        <f>IF(M2337=$A$1,1,$M2337-INDEX(MappingTables!$E$4:$E$8,MATCH(O2337,MappingTables!$B$4:$B$8,0)))</f>
        <v>3.4035426689698964</v>
      </c>
      <c r="Q2337" s="71">
        <f>IF(B2337="",0,INDEX(ModelParameters!$D$6:$K$10,MATCH($O2337,ModelParameters!$B$6:$B$10,0),MATCH($J2337,ModelParameters!$D$5:$K$5,0)))</f>
        <v>0.017000000000000002</v>
      </c>
      <c r="R2337" s="71">
        <f>IF(B2337="",0,INDEX(ModelParameters!$D$13:$K$17,MATCH($O2337,ModelParameters!$B$13:$B$17,0),MATCH($J2337,ModelParameters!$D$5:$K$5,0)))</f>
        <v>0.15</v>
      </c>
      <c r="S2337" s="160">
        <f>IF(B2337="",0,MIN(IF($N2337="Other Bond TM",ModelParameters!$N$21,1)*(P2337*Q2337+R2337),1))</f>
        <v>0.20786022537248824</v>
      </c>
      <c r="T2337" s="85">
        <f>IF(B2337="",0,$S2337*$K2337)</f>
        <v>123.88764380353414</v>
      </c>
      <c r="U2337" s="85">
        <f>IF(B2337="",0,IF(OR(H2337=MappingTables!$C$34,H2337=MappingTables!$C$35),T2337,0))</f>
        <v>0</v>
      </c>
      <c r="V2337" s="85">
        <f>IF(ISNA(IF(AND(VLOOKUP(CONCATENATE($D2337,$G2337),CSRFinput!$B:$E,4,0)=0,OR(H2337=MappingTables!$C$34,H2337=MappingTables!$C$35)),1,VLOOKUP(CONCATENATE($D2337,$G2337),CSRFinput!$B:$E,4,0))),0,IF(AND(VLOOKUP(CONCATENATE($D2337,$G2337),CSRFinput!$B:$E,4,0)=0,OR(H2337=MappingTables!$C$34,H2337=MappingTables!$C$35)),1,VLOOKUP(CONCATENATE($D2337,$G2337),CSRFinput!$B:$E,4,0)))</f>
        <v>0.054776304963434752</v>
      </c>
      <c r="W2337" s="85">
        <f>IF(B2337="",0,+$T2337*$V2337)</f>
        <v>6.786107358183764</v>
      </c>
      <c r="X2337" s="85">
        <f>IF(B2337="",0,IF(OR(H2337=MappingTables!$C$34,H2337=MappingTables!$C$35),W2337,0))</f>
        <v>0</v>
      </c>
    </row>
    <row r="2338" spans="2:24" s="0" customFormat="0" ht="15">
      <c r="B2338" s="69" t="s">
        <v>443</v>
      </c>
      <c r="C2338" s="70" t="s">
        <v>444</v>
      </c>
      <c r="D2338" s="70" t="s">
        <v>1</v>
      </c>
      <c r="E2338" s="70" t="s">
        <v>1</v>
      </c>
      <c r="F2338" s="70"/>
      <c r="G2338" s="70" t="s">
        <v>61</v>
      </c>
      <c r="H2338" s="70" t="s">
        <v>178</v>
      </c>
      <c r="I2338" s="70" t="s">
        <v>198</v>
      </c>
      <c r="J2338" s="71" t="str">
        <f>IF(OR(I2338=0,I2338=""),"unrated",VLOOKUP(I2338,MappingTables!$B$19:$C$31,2,FALSE))</f>
        <v>unrated</v>
      </c>
      <c r="K2338" s="72">
        <v>4571.70571897162</v>
      </c>
      <c r="L2338" s="70">
        <v>5.9742812140366816</v>
      </c>
      <c r="M2338" s="71">
        <f>IF(L2338&lt;1,1,L2338)</f>
        <v>5.9742812140366816</v>
      </c>
      <c r="N2338" s="70" t="s">
        <v>141</v>
      </c>
      <c r="O2338" s="71">
        <f>INDEX(DurClassMapping,MATCH(M2338,MappingTables!$D$4:$D$8,-1),1)</f>
        <v>2</v>
      </c>
      <c r="P2338" s="73">
        <f>IF(M2338=$A$1,1,$M2338-INDEX(MappingTables!$E$4:$E$8,MATCH(O2338,MappingTables!$B$4:$B$8,0)))</f>
        <v>0.97428121403668128</v>
      </c>
      <c r="Q2338" s="71">
        <f>IF(B2338="",0,INDEX(ModelParameters!$D$6:$K$10,MATCH($O2338,ModelParameters!$B$6:$B$10,0),MATCH($J2338,ModelParameters!$D$5:$K$5,0)))</f>
        <v>0.017000000000000002</v>
      </c>
      <c r="R2338" s="71">
        <f>IF(B2338="",0,INDEX(ModelParameters!$D$13:$K$17,MATCH($O2338,ModelParameters!$B$13:$B$17,0),MATCH($J2338,ModelParameters!$D$5:$K$5,0)))</f>
        <v>0.15</v>
      </c>
      <c r="S2338" s="160">
        <f>IF(B2338="",0,MIN(IF($N2338="Other Bond TM",ModelParameters!$N$21,1)*(P2338*Q2338+R2338),1))</f>
        <v>0.16656278063862356</v>
      </c>
      <c r="T2338" s="85">
        <f>IF(B2338="",0,$S2338*$K2338)</f>
        <v>761.47601681341072</v>
      </c>
      <c r="U2338" s="85">
        <f>IF(B2338="",0,IF(OR(H2338=MappingTables!$C$34,H2338=MappingTables!$C$35),T2338,0))</f>
        <v>0</v>
      </c>
      <c r="V2338" s="85">
        <f>IF(ISNA(IF(AND(VLOOKUP(CONCATENATE($D2338,$G2338),CSRFinput!$B:$E,4,0)=0,OR(H2338=MappingTables!$C$34,H2338=MappingTables!$C$35)),1,VLOOKUP(CONCATENATE($D2338,$G2338),CSRFinput!$B:$E,4,0))),0,IF(AND(VLOOKUP(CONCATENATE($D2338,$G2338),CSRFinput!$B:$E,4,0)=0,OR(H2338=MappingTables!$C$34,H2338=MappingTables!$C$35)),1,VLOOKUP(CONCATENATE($D2338,$G2338),CSRFinput!$B:$E,4,0)))</f>
        <v>0.054776304963434752</v>
      </c>
      <c r="W2338" s="85">
        <f>IF(B2338="",0,+$T2338*$V2338)</f>
        <v>41.710842519312952</v>
      </c>
      <c r="X2338" s="85">
        <f>IF(B2338="",0,IF(OR(H2338=MappingTables!$C$34,H2338=MappingTables!$C$35),W2338,0))</f>
        <v>0</v>
      </c>
    </row>
    <row r="2339" spans="2:24" s="0" customFormat="0" ht="15">
      <c r="B2339" s="69" t="s">
        <v>2353</v>
      </c>
      <c r="C2339" s="70" t="s">
        <v>2354</v>
      </c>
      <c r="D2339" s="70" t="s">
        <v>1</v>
      </c>
      <c r="E2339" s="70" t="s">
        <v>1</v>
      </c>
      <c r="F2339" s="70"/>
      <c r="G2339" s="70" t="s">
        <v>61</v>
      </c>
      <c r="H2339" s="70" t="s">
        <v>178</v>
      </c>
      <c r="I2339" s="70" t="s">
        <v>181</v>
      </c>
      <c r="J2339" s="71">
        <f>IF(OR(I2339=0,I2339=""),"unrated",VLOOKUP(I2339,MappingTables!$B$19:$C$31,2,FALSE))</f>
        <v>3</v>
      </c>
      <c r="K2339" s="72">
        <v>121.55899874935784</v>
      </c>
      <c r="L2339" s="70">
        <v>8.7145787900164128</v>
      </c>
      <c r="M2339" s="71">
        <f>IF(L2339&lt;1,1,L2339)</f>
        <v>8.7145787900164128</v>
      </c>
      <c r="N2339" s="70" t="s">
        <v>141</v>
      </c>
      <c r="O2339" s="71">
        <f>INDEX(DurClassMapping,MATCH(M2339,MappingTables!$D$4:$D$8,-1),1)</f>
        <v>2</v>
      </c>
      <c r="P2339" s="73">
        <f>IF(M2339=$A$1,1,$M2339-INDEX(MappingTables!$E$4:$E$8,MATCH(O2339,MappingTables!$B$4:$B$8,0)))</f>
        <v>3.7145787900164128</v>
      </c>
      <c r="Q2339" s="71">
        <f>IF(B2339="",0,INDEX(ModelParameters!$D$6:$K$10,MATCH($O2339,ModelParameters!$B$6:$B$10,0),MATCH($J2339,ModelParameters!$D$5:$K$5,0)))</f>
        <v>0.015</v>
      </c>
      <c r="R2339" s="71">
        <f>IF(B2339="",0,INDEX(ModelParameters!$D$13:$K$17,MATCH($O2339,ModelParameters!$B$13:$B$17,0),MATCH($J2339,ModelParameters!$D$5:$K$5,0)))</f>
        <v>0.125</v>
      </c>
      <c r="S2339" s="160">
        <f>IF(B2339="",0,MIN(IF($N2339="Other Bond TM",ModelParameters!$N$21,1)*(P2339*Q2339+R2339),1))</f>
        <v>0.1807186818502462</v>
      </c>
      <c r="T2339" s="85">
        <f>IF(B2339="",0,$S2339*$K2339)</f>
        <v>21.967982021019676</v>
      </c>
      <c r="U2339" s="85">
        <f>IF(B2339="",0,IF(OR(H2339=MappingTables!$C$34,H2339=MappingTables!$C$35),T2339,0))</f>
        <v>0</v>
      </c>
      <c r="V2339" s="85">
        <f>IF(ISNA(IF(AND(VLOOKUP(CONCATENATE($D2339,$G2339),CSRFinput!$B:$E,4,0)=0,OR(H2339=MappingTables!$C$34,H2339=MappingTables!$C$35)),1,VLOOKUP(CONCATENATE($D2339,$G2339),CSRFinput!$B:$E,4,0))),0,IF(AND(VLOOKUP(CONCATENATE($D2339,$G2339),CSRFinput!$B:$E,4,0)=0,OR(H2339=MappingTables!$C$34,H2339=MappingTables!$C$35)),1,VLOOKUP(CONCATENATE($D2339,$G2339),CSRFinput!$B:$E,4,0)))</f>
        <v>0.054776304963434752</v>
      </c>
      <c r="W2339" s="85">
        <f>IF(B2339="",0,+$T2339*$V2339)</f>
        <v>1.2033248826146254</v>
      </c>
      <c r="X2339" s="85">
        <f>IF(B2339="",0,IF(OR(H2339=MappingTables!$C$34,H2339=MappingTables!$C$35),W2339,0))</f>
        <v>0</v>
      </c>
    </row>
    <row r="2340" spans="2:24" s="0" customFormat="0" ht="15">
      <c r="B2340" s="69">
        <v>238624</v>
      </c>
      <c r="C2340" s="70" t="s">
        <v>2355</v>
      </c>
      <c r="D2340" s="70" t="s">
        <v>1</v>
      </c>
      <c r="E2340" s="70" t="s">
        <v>1</v>
      </c>
      <c r="F2340" s="70"/>
      <c r="G2340" s="70" t="s">
        <v>61</v>
      </c>
      <c r="H2340" s="70" t="s">
        <v>178</v>
      </c>
      <c r="I2340" s="70" t="s">
        <v>179</v>
      </c>
      <c r="J2340" s="71">
        <f>IF(OR(I2340=0,I2340=""),"unrated",VLOOKUP(I2340,MappingTables!$B$19:$C$31,2,FALSE))</f>
        <v>4</v>
      </c>
      <c r="K2340" s="72">
        <v>21673.405183682984</v>
      </c>
      <c r="L2340" s="70">
        <v>7.553027351040472</v>
      </c>
      <c r="M2340" s="71">
        <f>IF(L2340&lt;1,1,L2340)</f>
        <v>7.553027351040472</v>
      </c>
      <c r="N2340" s="70" t="s">
        <v>141</v>
      </c>
      <c r="O2340" s="71">
        <f>INDEX(DurClassMapping,MATCH(M2340,MappingTables!$D$4:$D$8,-1),1)</f>
        <v>2</v>
      </c>
      <c r="P2340" s="73">
        <f>IF(M2340=$A$1,1,$M2340-INDEX(MappingTables!$E$4:$E$8,MATCH(O2340,MappingTables!$B$4:$B$8,0)))</f>
        <v>2.5530273510404724</v>
      </c>
      <c r="Q2340" s="71">
        <f>IF(B2340="",0,INDEX(ModelParameters!$D$6:$K$10,MATCH($O2340,ModelParameters!$B$6:$B$10,0),MATCH($J2340,ModelParameters!$D$5:$K$5,0)))</f>
        <v>0.025</v>
      </c>
      <c r="R2340" s="71">
        <f>IF(B2340="",0,INDEX(ModelParameters!$D$13:$K$17,MATCH($O2340,ModelParameters!$B$13:$B$17,0),MATCH($J2340,ModelParameters!$D$5:$K$5,0)))</f>
        <v>0.225</v>
      </c>
      <c r="S2340" s="160">
        <f>IF(B2340="",0,MIN(IF($N2340="Other Bond TM",ModelParameters!$N$21,1)*(P2340*Q2340+R2340),1))</f>
        <v>0.2888256837760118</v>
      </c>
      <c r="T2340" s="85">
        <f>IF(B2340="",0,$S2340*$K2340)</f>
        <v>6259.8360719317968</v>
      </c>
      <c r="U2340" s="85">
        <f>IF(B2340="",0,IF(OR(H2340=MappingTables!$C$34,H2340=MappingTables!$C$35),T2340,0))</f>
        <v>0</v>
      </c>
      <c r="V2340" s="85">
        <f>IF(ISNA(IF(AND(VLOOKUP(CONCATENATE($D2340,$G2340),CSRFinput!$B:$E,4,0)=0,OR(H2340=MappingTables!$C$34,H2340=MappingTables!$C$35)),1,VLOOKUP(CONCATENATE($D2340,$G2340),CSRFinput!$B:$E,4,0))),0,IF(AND(VLOOKUP(CONCATENATE($D2340,$G2340),CSRFinput!$B:$E,4,0)=0,OR(H2340=MappingTables!$C$34,H2340=MappingTables!$C$35)),1,VLOOKUP(CONCATENATE($D2340,$G2340),CSRFinput!$B:$E,4,0)))</f>
        <v>0.054776304963434752</v>
      </c>
      <c r="W2340" s="85">
        <f>IF(B2340="",0,+$T2340*$V2340)</f>
        <v>342.8906896972456</v>
      </c>
      <c r="X2340" s="85">
        <f>IF(B2340="",0,IF(OR(H2340=MappingTables!$C$34,H2340=MappingTables!$C$35),W2340,0))</f>
        <v>0</v>
      </c>
    </row>
    <row r="2341" spans="2:24" s="0" customFormat="0" ht="15">
      <c r="B2341" s="69">
        <v>21027790</v>
      </c>
      <c r="C2341" s="70" t="s">
        <v>2356</v>
      </c>
      <c r="D2341" s="70" t="s">
        <v>1</v>
      </c>
      <c r="E2341" s="70" t="s">
        <v>1</v>
      </c>
      <c r="F2341" s="70"/>
      <c r="G2341" s="70" t="s">
        <v>61</v>
      </c>
      <c r="H2341" s="70" t="s">
        <v>178</v>
      </c>
      <c r="I2341" s="70" t="s">
        <v>216</v>
      </c>
      <c r="J2341" s="71">
        <f>IF(OR(I2341=0,I2341=""),"unrated",VLOOKUP(I2341,MappingTables!$B$19:$C$31,2,FALSE))</f>
        <v>0</v>
      </c>
      <c r="K2341" s="72">
        <v>1645.545415303477</v>
      </c>
      <c r="L2341" s="70">
        <v>0.31757961537167772</v>
      </c>
      <c r="M2341" s="71">
        <f>IF(L2341&lt;1,1,L2341)</f>
        <v>1</v>
      </c>
      <c r="N2341" s="70" t="s">
        <v>141</v>
      </c>
      <c r="O2341" s="71">
        <f>INDEX(DurClassMapping,MATCH(M2341,MappingTables!$D$4:$D$8,-1),1)</f>
        <v>1</v>
      </c>
      <c r="P2341" s="73">
        <f>IF(M2341=$A$1,1,$M2341-INDEX(MappingTables!$E$4:$E$8,MATCH(O2341,MappingTables!$B$4:$B$8,0)))</f>
        <v>1</v>
      </c>
      <c r="Q2341" s="71">
        <f>IF(B2341="",0,INDEX(ModelParameters!$D$6:$K$10,MATCH($O2341,ModelParameters!$B$6:$B$10,0),MATCH($J2341,ModelParameters!$D$5:$K$5,0)))</f>
        <v>0.0090000000000000016</v>
      </c>
      <c r="R2341" s="71">
        <f>IF(B2341="",0,INDEX(ModelParameters!$D$13:$K$17,MATCH($O2341,ModelParameters!$B$13:$B$17,0),MATCH($J2341,ModelParameters!$D$5:$K$5,0)))</f>
        <v>0</v>
      </c>
      <c r="S2341" s="160">
        <f>IF(B2341="",0,MIN(IF($N2341="Other Bond TM",ModelParameters!$N$21,1)*(P2341*Q2341+R2341),1))</f>
        <v>0.0090000000000000016</v>
      </c>
      <c r="T2341" s="85">
        <f>IF(B2341="",0,$S2341*$K2341)</f>
        <v>14.809908737731294</v>
      </c>
      <c r="U2341" s="85">
        <f>IF(B2341="",0,IF(OR(H2341=MappingTables!$C$34,H2341=MappingTables!$C$35),T2341,0))</f>
        <v>0</v>
      </c>
      <c r="V2341" s="85">
        <f>IF(ISNA(IF(AND(VLOOKUP(CONCATENATE($D2341,$G2341),CSRFinput!$B:$E,4,0)=0,OR(H2341=MappingTables!$C$34,H2341=MappingTables!$C$35)),1,VLOOKUP(CONCATENATE($D2341,$G2341),CSRFinput!$B:$E,4,0))),0,IF(AND(VLOOKUP(CONCATENATE($D2341,$G2341),CSRFinput!$B:$E,4,0)=0,OR(H2341=MappingTables!$C$34,H2341=MappingTables!$C$35)),1,VLOOKUP(CONCATENATE($D2341,$G2341),CSRFinput!$B:$E,4,0)))</f>
        <v>0.054776304963434752</v>
      </c>
      <c r="W2341" s="85">
        <f>IF(B2341="",0,+$T2341*$V2341)</f>
        <v>0.81123207749860656</v>
      </c>
      <c r="X2341" s="85">
        <f>IF(B2341="",0,IF(OR(H2341=MappingTables!$C$34,H2341=MappingTables!$C$35),W2341,0))</f>
        <v>0</v>
      </c>
    </row>
    <row r="2342" spans="2:24" s="0" customFormat="0" ht="15">
      <c r="B2342" s="69" t="s">
        <v>2357</v>
      </c>
      <c r="C2342" s="70" t="s">
        <v>2358</v>
      </c>
      <c r="D2342" s="70" t="s">
        <v>1</v>
      </c>
      <c r="E2342" s="70" t="s">
        <v>1</v>
      </c>
      <c r="F2342" s="70"/>
      <c r="G2342" s="70" t="s">
        <v>61</v>
      </c>
      <c r="H2342" s="70" t="s">
        <v>178</v>
      </c>
      <c r="I2342" s="70" t="s">
        <v>181</v>
      </c>
      <c r="J2342" s="71">
        <f>IF(OR(I2342=0,I2342=""),"unrated",VLOOKUP(I2342,MappingTables!$B$19:$C$31,2,FALSE))</f>
        <v>3</v>
      </c>
      <c r="K2342" s="72">
        <v>5331.3731107301688</v>
      </c>
      <c r="L2342" s="70">
        <v>1.1037749054494432</v>
      </c>
      <c r="M2342" s="71">
        <f>IF(L2342&lt;1,1,L2342)</f>
        <v>1.1037749054494432</v>
      </c>
      <c r="N2342" s="70" t="s">
        <v>141</v>
      </c>
      <c r="O2342" s="71">
        <f>INDEX(DurClassMapping,MATCH(M2342,MappingTables!$D$4:$D$8,-1),1)</f>
        <v>1</v>
      </c>
      <c r="P2342" s="73">
        <f>IF(M2342=$A$1,1,$M2342-INDEX(MappingTables!$E$4:$E$8,MATCH(O2342,MappingTables!$B$4:$B$8,0)))</f>
        <v>1.1037749054494432</v>
      </c>
      <c r="Q2342" s="71">
        <f>IF(B2342="",0,INDEX(ModelParameters!$D$6:$K$10,MATCH($O2342,ModelParameters!$B$6:$B$10,0),MATCH($J2342,ModelParameters!$D$5:$K$5,0)))</f>
        <v>0.025</v>
      </c>
      <c r="R2342" s="71">
        <f>IF(B2342="",0,INDEX(ModelParameters!$D$13:$K$17,MATCH($O2342,ModelParameters!$B$13:$B$17,0),MATCH($J2342,ModelParameters!$D$5:$K$5,0)))</f>
        <v>0</v>
      </c>
      <c r="S2342" s="160">
        <f>IF(B2342="",0,MIN(IF($N2342="Other Bond TM",ModelParameters!$N$21,1)*(P2342*Q2342+R2342),1))</f>
        <v>0.027594372636236084</v>
      </c>
      <c r="T2342" s="85">
        <f>IF(B2342="",0,$S2342*$K2342)</f>
        <v>147.11589628029742</v>
      </c>
      <c r="U2342" s="85">
        <f>IF(B2342="",0,IF(OR(H2342=MappingTables!$C$34,H2342=MappingTables!$C$35),T2342,0))</f>
        <v>0</v>
      </c>
      <c r="V2342" s="85">
        <f>IF(ISNA(IF(AND(VLOOKUP(CONCATENATE($D2342,$G2342),CSRFinput!$B:$E,4,0)=0,OR(H2342=MappingTables!$C$34,H2342=MappingTables!$C$35)),1,VLOOKUP(CONCATENATE($D2342,$G2342),CSRFinput!$B:$E,4,0))),0,IF(AND(VLOOKUP(CONCATENATE($D2342,$G2342),CSRFinput!$B:$E,4,0)=0,OR(H2342=MappingTables!$C$34,H2342=MappingTables!$C$35)),1,VLOOKUP(CONCATENATE($D2342,$G2342),CSRFinput!$B:$E,4,0)))</f>
        <v>0.054776304963434752</v>
      </c>
      <c r="W2342" s="85">
        <f>IF(B2342="",0,+$T2342*$V2342)</f>
        <v>8.058465199618608</v>
      </c>
      <c r="X2342" s="85">
        <f>IF(B2342="",0,IF(OR(H2342=MappingTables!$C$34,H2342=MappingTables!$C$35),W2342,0))</f>
        <v>0</v>
      </c>
    </row>
    <row r="2343" spans="2:24" s="0" customFormat="0" ht="15">
      <c r="B2343" s="69">
        <v>24077275</v>
      </c>
      <c r="C2343" s="70" t="s">
        <v>1575</v>
      </c>
      <c r="D2343" s="70" t="s">
        <v>1</v>
      </c>
      <c r="E2343" s="70" t="s">
        <v>1</v>
      </c>
      <c r="F2343" s="70"/>
      <c r="G2343" s="70" t="s">
        <v>61</v>
      </c>
      <c r="H2343" s="70" t="s">
        <v>178</v>
      </c>
      <c r="I2343" s="70" t="s">
        <v>181</v>
      </c>
      <c r="J2343" s="71">
        <f>IF(OR(I2343=0,I2343=""),"unrated",VLOOKUP(I2343,MappingTables!$B$19:$C$31,2,FALSE))</f>
        <v>3</v>
      </c>
      <c r="K2343" s="72">
        <v>689.77001500922416</v>
      </c>
      <c r="L2343" s="70">
        <v>1.6138424845396466</v>
      </c>
      <c r="M2343" s="71">
        <f>IF(L2343&lt;1,1,L2343)</f>
        <v>1.6138424845396466</v>
      </c>
      <c r="N2343" s="70" t="s">
        <v>141</v>
      </c>
      <c r="O2343" s="71">
        <f>INDEX(DurClassMapping,MATCH(M2343,MappingTables!$D$4:$D$8,-1),1)</f>
        <v>1</v>
      </c>
      <c r="P2343" s="73">
        <f>IF(M2343=$A$1,1,$M2343-INDEX(MappingTables!$E$4:$E$8,MATCH(O2343,MappingTables!$B$4:$B$8,0)))</f>
        <v>1.6138424845396466</v>
      </c>
      <c r="Q2343" s="71">
        <f>IF(B2343="",0,INDEX(ModelParameters!$D$6:$K$10,MATCH($O2343,ModelParameters!$B$6:$B$10,0),MATCH($J2343,ModelParameters!$D$5:$K$5,0)))</f>
        <v>0.025</v>
      </c>
      <c r="R2343" s="71">
        <f>IF(B2343="",0,INDEX(ModelParameters!$D$13:$K$17,MATCH($O2343,ModelParameters!$B$13:$B$17,0),MATCH($J2343,ModelParameters!$D$5:$K$5,0)))</f>
        <v>0</v>
      </c>
      <c r="S2343" s="160">
        <f>IF(B2343="",0,MIN(IF($N2343="Other Bond TM",ModelParameters!$N$21,1)*(P2343*Q2343+R2343),1))</f>
        <v>0.040346062113491168</v>
      </c>
      <c r="T2343" s="85">
        <f>IF(B2343="",0,$S2343*$K2343)</f>
        <v>27.829503869585896</v>
      </c>
      <c r="U2343" s="85">
        <f>IF(B2343="",0,IF(OR(H2343=MappingTables!$C$34,H2343=MappingTables!$C$35),T2343,0))</f>
        <v>0</v>
      </c>
      <c r="V2343" s="85">
        <f>IF(ISNA(IF(AND(VLOOKUP(CONCATENATE($D2343,$G2343),CSRFinput!$B:$E,4,0)=0,OR(H2343=MappingTables!$C$34,H2343=MappingTables!$C$35)),1,VLOOKUP(CONCATENATE($D2343,$G2343),CSRFinput!$B:$E,4,0))),0,IF(AND(VLOOKUP(CONCATENATE($D2343,$G2343),CSRFinput!$B:$E,4,0)=0,OR(H2343=MappingTables!$C$34,H2343=MappingTables!$C$35)),1,VLOOKUP(CONCATENATE($D2343,$G2343),CSRFinput!$B:$E,4,0)))</f>
        <v>0.054776304963434752</v>
      </c>
      <c r="W2343" s="85">
        <f>IF(B2343="",0,+$T2343*$V2343)</f>
        <v>1.5243973909415244</v>
      </c>
      <c r="X2343" s="85">
        <f>IF(B2343="",0,IF(OR(H2343=MappingTables!$C$34,H2343=MappingTables!$C$35),W2343,0))</f>
        <v>0</v>
      </c>
    </row>
    <row r="2344" spans="2:24" s="0" customFormat="0" ht="15">
      <c r="B2344" s="69" t="s">
        <v>1845</v>
      </c>
      <c r="C2344" s="70" t="s">
        <v>1846</v>
      </c>
      <c r="D2344" s="70" t="s">
        <v>1</v>
      </c>
      <c r="E2344" s="70" t="s">
        <v>1</v>
      </c>
      <c r="F2344" s="70"/>
      <c r="G2344" s="70" t="s">
        <v>61</v>
      </c>
      <c r="H2344" s="70" t="s">
        <v>178</v>
      </c>
      <c r="I2344" s="70" t="s">
        <v>198</v>
      </c>
      <c r="J2344" s="71" t="str">
        <f>IF(OR(I2344=0,I2344=""),"unrated",VLOOKUP(I2344,MappingTables!$B$19:$C$31,2,FALSE))</f>
        <v>unrated</v>
      </c>
      <c r="K2344" s="72">
        <v>3095.0414440937016</v>
      </c>
      <c r="L2344" s="70">
        <v>5.722185387323932</v>
      </c>
      <c r="M2344" s="71">
        <f>IF(L2344&lt;1,1,L2344)</f>
        <v>5.722185387323932</v>
      </c>
      <c r="N2344" s="70" t="s">
        <v>141</v>
      </c>
      <c r="O2344" s="71">
        <f>INDEX(DurClassMapping,MATCH(M2344,MappingTables!$D$4:$D$8,-1),1)</f>
        <v>2</v>
      </c>
      <c r="P2344" s="73">
        <f>IF(M2344=$A$1,1,$M2344-INDEX(MappingTables!$E$4:$E$8,MATCH(O2344,MappingTables!$B$4:$B$8,0)))</f>
        <v>0.72218538732393168</v>
      </c>
      <c r="Q2344" s="71">
        <f>IF(B2344="",0,INDEX(ModelParameters!$D$6:$K$10,MATCH($O2344,ModelParameters!$B$6:$B$10,0),MATCH($J2344,ModelParameters!$D$5:$K$5,0)))</f>
        <v>0.017000000000000002</v>
      </c>
      <c r="R2344" s="71">
        <f>IF(B2344="",0,INDEX(ModelParameters!$D$13:$K$17,MATCH($O2344,ModelParameters!$B$13:$B$17,0),MATCH($J2344,ModelParameters!$D$5:$K$5,0)))</f>
        <v>0.15</v>
      </c>
      <c r="S2344" s="160">
        <f>IF(B2344="",0,MIN(IF($N2344="Other Bond TM",ModelParameters!$N$21,1)*(P2344*Q2344+R2344),1))</f>
        <v>0.16227715158450684</v>
      </c>
      <c r="T2344" s="85">
        <f>IF(B2344="",0,$S2344*$K2344)</f>
        <v>502.25450958352456</v>
      </c>
      <c r="U2344" s="85">
        <f>IF(B2344="",0,IF(OR(H2344=MappingTables!$C$34,H2344=MappingTables!$C$35),T2344,0))</f>
        <v>0</v>
      </c>
      <c r="V2344" s="85">
        <f>IF(ISNA(IF(AND(VLOOKUP(CONCATENATE($D2344,$G2344),CSRFinput!$B:$E,4,0)=0,OR(H2344=MappingTables!$C$34,H2344=MappingTables!$C$35)),1,VLOOKUP(CONCATENATE($D2344,$G2344),CSRFinput!$B:$E,4,0))),0,IF(AND(VLOOKUP(CONCATENATE($D2344,$G2344),CSRFinput!$B:$E,4,0)=0,OR(H2344=MappingTables!$C$34,H2344=MappingTables!$C$35)),1,VLOOKUP(CONCATENATE($D2344,$G2344),CSRFinput!$B:$E,4,0)))</f>
        <v>0.054776304963434752</v>
      </c>
      <c r="W2344" s="85">
        <f>IF(B2344="",0,+$T2344*$V2344)</f>
        <v>27.511646186207504</v>
      </c>
      <c r="X2344" s="85">
        <f>IF(B2344="",0,IF(OR(H2344=MappingTables!$C$34,H2344=MappingTables!$C$35),W2344,0))</f>
        <v>0</v>
      </c>
    </row>
    <row r="2345" spans="2:24" s="0" customFormat="0" ht="15">
      <c r="B2345" s="69">
        <v>19116941</v>
      </c>
      <c r="C2345" s="70" t="s">
        <v>1650</v>
      </c>
      <c r="D2345" s="70" t="s">
        <v>1</v>
      </c>
      <c r="E2345" s="70" t="s">
        <v>1</v>
      </c>
      <c r="F2345" s="70"/>
      <c r="G2345" s="70" t="s">
        <v>61</v>
      </c>
      <c r="H2345" s="70" t="s">
        <v>178</v>
      </c>
      <c r="I2345" s="70" t="s">
        <v>179</v>
      </c>
      <c r="J2345" s="71">
        <f>IF(OR(I2345=0,I2345=""),"unrated",VLOOKUP(I2345,MappingTables!$B$19:$C$31,2,FALSE))</f>
        <v>4</v>
      </c>
      <c r="K2345" s="72">
        <v>9215.193482593904</v>
      </c>
      <c r="L2345" s="70">
        <v>6.5368552528466832</v>
      </c>
      <c r="M2345" s="71">
        <f>IF(L2345&lt;1,1,L2345)</f>
        <v>6.5368552528466832</v>
      </c>
      <c r="N2345" s="70" t="s">
        <v>141</v>
      </c>
      <c r="O2345" s="71">
        <f>INDEX(DurClassMapping,MATCH(M2345,MappingTables!$D$4:$D$8,-1),1)</f>
        <v>2</v>
      </c>
      <c r="P2345" s="73">
        <f>IF(M2345=$A$1,1,$M2345-INDEX(MappingTables!$E$4:$E$8,MATCH(O2345,MappingTables!$B$4:$B$8,0)))</f>
        <v>1.5368552528466832</v>
      </c>
      <c r="Q2345" s="71">
        <f>IF(B2345="",0,INDEX(ModelParameters!$D$6:$K$10,MATCH($O2345,ModelParameters!$B$6:$B$10,0),MATCH($J2345,ModelParameters!$D$5:$K$5,0)))</f>
        <v>0.025</v>
      </c>
      <c r="R2345" s="71">
        <f>IF(B2345="",0,INDEX(ModelParameters!$D$13:$K$17,MATCH($O2345,ModelParameters!$B$13:$B$17,0),MATCH($J2345,ModelParameters!$D$5:$K$5,0)))</f>
        <v>0.225</v>
      </c>
      <c r="S2345" s="160">
        <f>IF(B2345="",0,MIN(IF($N2345="Other Bond TM",ModelParameters!$N$21,1)*(P2345*Q2345+R2345),1))</f>
        <v>0.26342138132116712</v>
      </c>
      <c r="T2345" s="85">
        <f>IF(B2345="",0,$S2345*$K2345)</f>
        <v>2427.4789963267024</v>
      </c>
      <c r="U2345" s="85">
        <f>IF(B2345="",0,IF(OR(H2345=MappingTables!$C$34,H2345=MappingTables!$C$35),T2345,0))</f>
        <v>0</v>
      </c>
      <c r="V2345" s="85">
        <f>IF(ISNA(IF(AND(VLOOKUP(CONCATENATE($D2345,$G2345),CSRFinput!$B:$E,4,0)=0,OR(H2345=MappingTables!$C$34,H2345=MappingTables!$C$35)),1,VLOOKUP(CONCATENATE($D2345,$G2345),CSRFinput!$B:$E,4,0))),0,IF(AND(VLOOKUP(CONCATENATE($D2345,$G2345),CSRFinput!$B:$E,4,0)=0,OR(H2345=MappingTables!$C$34,H2345=MappingTables!$C$35)),1,VLOOKUP(CONCATENATE($D2345,$G2345),CSRFinput!$B:$E,4,0)))</f>
        <v>0.054776304963434752</v>
      </c>
      <c r="W2345" s="85">
        <f>IF(B2345="",0,+$T2345*$V2345)</f>
        <v>132.96832979512396</v>
      </c>
      <c r="X2345" s="85">
        <f>IF(B2345="",0,IF(OR(H2345=MappingTables!$C$34,H2345=MappingTables!$C$35),W2345,0))</f>
        <v>0</v>
      </c>
    </row>
    <row r="2346" spans="2:24" s="0" customFormat="0" ht="15">
      <c r="B2346" s="69" t="s">
        <v>2359</v>
      </c>
      <c r="C2346" s="70" t="s">
        <v>2360</v>
      </c>
      <c r="D2346" s="70" t="s">
        <v>1</v>
      </c>
      <c r="E2346" s="70" t="s">
        <v>1</v>
      </c>
      <c r="F2346" s="70"/>
      <c r="G2346" s="70" t="s">
        <v>61</v>
      </c>
      <c r="H2346" s="70" t="s">
        <v>178</v>
      </c>
      <c r="I2346" s="70" t="s">
        <v>181</v>
      </c>
      <c r="J2346" s="71">
        <f>IF(OR(I2346=0,I2346=""),"unrated",VLOOKUP(I2346,MappingTables!$B$19:$C$31,2,FALSE))</f>
        <v>3</v>
      </c>
      <c r="K2346" s="72">
        <v>11608.470573370552</v>
      </c>
      <c r="L2346" s="70">
        <v>1.9483133662034544</v>
      </c>
      <c r="M2346" s="71">
        <f>IF(L2346&lt;1,1,L2346)</f>
        <v>1.9483133662034544</v>
      </c>
      <c r="N2346" s="70" t="s">
        <v>141</v>
      </c>
      <c r="O2346" s="71">
        <f>INDEX(DurClassMapping,MATCH(M2346,MappingTables!$D$4:$D$8,-1),1)</f>
        <v>1</v>
      </c>
      <c r="P2346" s="73">
        <f>IF(M2346=$A$1,1,$M2346-INDEX(MappingTables!$E$4:$E$8,MATCH(O2346,MappingTables!$B$4:$B$8,0)))</f>
        <v>1.9483133662034544</v>
      </c>
      <c r="Q2346" s="71">
        <f>IF(B2346="",0,INDEX(ModelParameters!$D$6:$K$10,MATCH($O2346,ModelParameters!$B$6:$B$10,0),MATCH($J2346,ModelParameters!$D$5:$K$5,0)))</f>
        <v>0.025</v>
      </c>
      <c r="R2346" s="71">
        <f>IF(B2346="",0,INDEX(ModelParameters!$D$13:$K$17,MATCH($O2346,ModelParameters!$B$13:$B$17,0),MATCH($J2346,ModelParameters!$D$5:$K$5,0)))</f>
        <v>0</v>
      </c>
      <c r="S2346" s="160">
        <f>IF(B2346="",0,MIN(IF($N2346="Other Bond TM",ModelParameters!$N$21,1)*(P2346*Q2346+R2346),1))</f>
        <v>0.048707834155086368</v>
      </c>
      <c r="T2346" s="85">
        <f>IF(B2346="",0,$S2346*$K2346)</f>
        <v>565.42345948193312</v>
      </c>
      <c r="U2346" s="85">
        <f>IF(B2346="",0,IF(OR(H2346=MappingTables!$C$34,H2346=MappingTables!$C$35),T2346,0))</f>
        <v>0</v>
      </c>
      <c r="V2346" s="85">
        <f>IF(ISNA(IF(AND(VLOOKUP(CONCATENATE($D2346,$G2346),CSRFinput!$B:$E,4,0)=0,OR(H2346=MappingTables!$C$34,H2346=MappingTables!$C$35)),1,VLOOKUP(CONCATENATE($D2346,$G2346),CSRFinput!$B:$E,4,0))),0,IF(AND(VLOOKUP(CONCATENATE($D2346,$G2346),CSRFinput!$B:$E,4,0)=0,OR(H2346=MappingTables!$C$34,H2346=MappingTables!$C$35)),1,VLOOKUP(CONCATENATE($D2346,$G2346),CSRFinput!$B:$E,4,0)))</f>
        <v>0.054776304963434752</v>
      </c>
      <c r="W2346" s="85">
        <f>IF(B2346="",0,+$T2346*$V2346)</f>
        <v>30.971807850062664</v>
      </c>
      <c r="X2346" s="85">
        <f>IF(B2346="",0,IF(OR(H2346=MappingTables!$C$34,H2346=MappingTables!$C$35),W2346,0))</f>
        <v>0</v>
      </c>
    </row>
    <row r="2347" spans="2:24" s="0" customFormat="0" ht="15">
      <c r="B2347" s="69" t="s">
        <v>2361</v>
      </c>
      <c r="C2347" s="70" t="s">
        <v>2362</v>
      </c>
      <c r="D2347" s="70" t="s">
        <v>1</v>
      </c>
      <c r="E2347" s="70" t="s">
        <v>1</v>
      </c>
      <c r="F2347" s="70"/>
      <c r="G2347" s="70" t="s">
        <v>61</v>
      </c>
      <c r="H2347" s="70" t="s">
        <v>178</v>
      </c>
      <c r="I2347" s="70" t="s">
        <v>198</v>
      </c>
      <c r="J2347" s="71" t="str">
        <f>IF(OR(I2347=0,I2347=""),"unrated",VLOOKUP(I2347,MappingTables!$B$19:$C$31,2,FALSE))</f>
        <v>unrated</v>
      </c>
      <c r="K2347" s="72">
        <v>4384.8579057954088</v>
      </c>
      <c r="L2347" s="70">
        <v>2.9165356008850692</v>
      </c>
      <c r="M2347" s="71">
        <f>IF(L2347&lt;1,1,L2347)</f>
        <v>2.9165356008850692</v>
      </c>
      <c r="N2347" s="70" t="s">
        <v>141</v>
      </c>
      <c r="O2347" s="71">
        <f>INDEX(DurClassMapping,MATCH(M2347,MappingTables!$D$4:$D$8,-1),1)</f>
        <v>1</v>
      </c>
      <c r="P2347" s="73">
        <f>IF(M2347=$A$1,1,$M2347-INDEX(MappingTables!$E$4:$E$8,MATCH(O2347,MappingTables!$B$4:$B$8,0)))</f>
        <v>2.9165356008850692</v>
      </c>
      <c r="Q2347" s="71">
        <f>IF(B2347="",0,INDEX(ModelParameters!$D$6:$K$10,MATCH($O2347,ModelParameters!$B$6:$B$10,0),MATCH($J2347,ModelParameters!$D$5:$K$5,0)))</f>
        <v>0.03</v>
      </c>
      <c r="R2347" s="71">
        <f>IF(B2347="",0,INDEX(ModelParameters!$D$13:$K$17,MATCH($O2347,ModelParameters!$B$13:$B$17,0),MATCH($J2347,ModelParameters!$D$5:$K$5,0)))</f>
        <v>0</v>
      </c>
      <c r="S2347" s="160">
        <f>IF(B2347="",0,MIN(IF($N2347="Other Bond TM",ModelParameters!$N$21,1)*(P2347*Q2347+R2347),1))</f>
        <v>0.08749606802655208</v>
      </c>
      <c r="T2347" s="85">
        <f>IF(B2347="",0,$S2347*$K2347)</f>
        <v>383.65782561223968</v>
      </c>
      <c r="U2347" s="85">
        <f>IF(B2347="",0,IF(OR(H2347=MappingTables!$C$34,H2347=MappingTables!$C$35),T2347,0))</f>
        <v>0</v>
      </c>
      <c r="V2347" s="85">
        <f>IF(ISNA(IF(AND(VLOOKUP(CONCATENATE($D2347,$G2347),CSRFinput!$B:$E,4,0)=0,OR(H2347=MappingTables!$C$34,H2347=MappingTables!$C$35)),1,VLOOKUP(CONCATENATE($D2347,$G2347),CSRFinput!$B:$E,4,0))),0,IF(AND(VLOOKUP(CONCATENATE($D2347,$G2347),CSRFinput!$B:$E,4,0)=0,OR(H2347=MappingTables!$C$34,H2347=MappingTables!$C$35)),1,VLOOKUP(CONCATENATE($D2347,$G2347),CSRFinput!$B:$E,4,0)))</f>
        <v>0.054776304963434752</v>
      </c>
      <c r="W2347" s="85">
        <f>IF(B2347="",0,+$T2347*$V2347)</f>
        <v>21.015358057344312</v>
      </c>
      <c r="X2347" s="85">
        <f>IF(B2347="",0,IF(OR(H2347=MappingTables!$C$34,H2347=MappingTables!$C$35),W2347,0))</f>
        <v>0</v>
      </c>
    </row>
    <row r="2348" spans="2:24" s="0" customFormat="0" ht="15">
      <c r="B2348" s="69" t="s">
        <v>2363</v>
      </c>
      <c r="C2348" s="70" t="s">
        <v>2364</v>
      </c>
      <c r="D2348" s="70" t="s">
        <v>1</v>
      </c>
      <c r="E2348" s="70" t="s">
        <v>1</v>
      </c>
      <c r="F2348" s="70"/>
      <c r="G2348" s="70" t="s">
        <v>61</v>
      </c>
      <c r="H2348" s="70" t="s">
        <v>178</v>
      </c>
      <c r="I2348" s="70" t="s">
        <v>184</v>
      </c>
      <c r="J2348" s="71">
        <f>IF(OR(I2348=0,I2348=""),"unrated",VLOOKUP(I2348,MappingTables!$B$19:$C$31,2,FALSE))</f>
        <v>5</v>
      </c>
      <c r="K2348" s="72">
        <v>663.07852491334384</v>
      </c>
      <c r="L2348" s="70">
        <v>3.8531896653234792</v>
      </c>
      <c r="M2348" s="71">
        <f>IF(L2348&lt;1,1,L2348)</f>
        <v>3.8531896653234792</v>
      </c>
      <c r="N2348" s="70" t="s">
        <v>141</v>
      </c>
      <c r="O2348" s="71">
        <f>INDEX(DurClassMapping,MATCH(M2348,MappingTables!$D$4:$D$8,-1),1)</f>
        <v>1</v>
      </c>
      <c r="P2348" s="73">
        <f>IF(M2348=$A$1,1,$M2348-INDEX(MappingTables!$E$4:$E$8,MATCH(O2348,MappingTables!$B$4:$B$8,0)))</f>
        <v>3.8531896653234792</v>
      </c>
      <c r="Q2348" s="71">
        <f>IF(B2348="",0,INDEX(ModelParameters!$D$6:$K$10,MATCH($O2348,ModelParameters!$B$6:$B$10,0),MATCH($J2348,ModelParameters!$D$5:$K$5,0)))</f>
        <v>0.075</v>
      </c>
      <c r="R2348" s="71">
        <f>IF(B2348="",0,INDEX(ModelParameters!$D$13:$K$17,MATCH($O2348,ModelParameters!$B$13:$B$17,0),MATCH($J2348,ModelParameters!$D$5:$K$5,0)))</f>
        <v>0</v>
      </c>
      <c r="S2348" s="160">
        <f>IF(B2348="",0,MIN(IF($N2348="Other Bond TM",ModelParameters!$N$21,1)*(P2348*Q2348+R2348),1))</f>
        <v>0.28898922489926092</v>
      </c>
      <c r="T2348" s="85">
        <f>IF(B2348="",0,$S2348*$K2348)</f>
        <v>191.62254896205252</v>
      </c>
      <c r="U2348" s="85">
        <f>IF(B2348="",0,IF(OR(H2348=MappingTables!$C$34,H2348=MappingTables!$C$35),T2348,0))</f>
        <v>0</v>
      </c>
      <c r="V2348" s="85">
        <f>IF(ISNA(IF(AND(VLOOKUP(CONCATENATE($D2348,$G2348),CSRFinput!$B:$E,4,0)=0,OR(H2348=MappingTables!$C$34,H2348=MappingTables!$C$35)),1,VLOOKUP(CONCATENATE($D2348,$G2348),CSRFinput!$B:$E,4,0))),0,IF(AND(VLOOKUP(CONCATENATE($D2348,$G2348),CSRFinput!$B:$E,4,0)=0,OR(H2348=MappingTables!$C$34,H2348=MappingTables!$C$35)),1,VLOOKUP(CONCATENATE($D2348,$G2348),CSRFinput!$B:$E,4,0)))</f>
        <v>0.054776304963434752</v>
      </c>
      <c r="W2348" s="85">
        <f>IF(B2348="",0,+$T2348*$V2348)</f>
        <v>10.496375179816096</v>
      </c>
      <c r="X2348" s="85">
        <f>IF(B2348="",0,IF(OR(H2348=MappingTables!$C$34,H2348=MappingTables!$C$35),W2348,0))</f>
        <v>0</v>
      </c>
    </row>
    <row r="2349" spans="2:24" s="0" customFormat="0" ht="15">
      <c r="B2349" s="69">
        <v>19178600</v>
      </c>
      <c r="C2349" s="70" t="s">
        <v>340</v>
      </c>
      <c r="D2349" s="70" t="s">
        <v>1</v>
      </c>
      <c r="E2349" s="70" t="s">
        <v>1</v>
      </c>
      <c r="F2349" s="70"/>
      <c r="G2349" s="70" t="s">
        <v>61</v>
      </c>
      <c r="H2349" s="70" t="s">
        <v>178</v>
      </c>
      <c r="I2349" s="70" t="s">
        <v>179</v>
      </c>
      <c r="J2349" s="71">
        <f>IF(OR(I2349=0,I2349=""),"unrated",VLOOKUP(I2349,MappingTables!$B$19:$C$31,2,FALSE))</f>
        <v>4</v>
      </c>
      <c r="K2349" s="72">
        <v>2359.8101667989632</v>
      </c>
      <c r="L2349" s="70">
        <v>5.8361516854323752</v>
      </c>
      <c r="M2349" s="71">
        <f>IF(L2349&lt;1,1,L2349)</f>
        <v>5.8361516854323752</v>
      </c>
      <c r="N2349" s="70" t="s">
        <v>141</v>
      </c>
      <c r="O2349" s="71">
        <f>INDEX(DurClassMapping,MATCH(M2349,MappingTables!$D$4:$D$8,-1),1)</f>
        <v>2</v>
      </c>
      <c r="P2349" s="73">
        <f>IF(M2349=$A$1,1,$M2349-INDEX(MappingTables!$E$4:$E$8,MATCH(O2349,MappingTables!$B$4:$B$8,0)))</f>
        <v>0.83615168543237488</v>
      </c>
      <c r="Q2349" s="71">
        <f>IF(B2349="",0,INDEX(ModelParameters!$D$6:$K$10,MATCH($O2349,ModelParameters!$B$6:$B$10,0),MATCH($J2349,ModelParameters!$D$5:$K$5,0)))</f>
        <v>0.025</v>
      </c>
      <c r="R2349" s="71">
        <f>IF(B2349="",0,INDEX(ModelParameters!$D$13:$K$17,MATCH($O2349,ModelParameters!$B$13:$B$17,0),MATCH($J2349,ModelParameters!$D$5:$K$5,0)))</f>
        <v>0.225</v>
      </c>
      <c r="S2349" s="160">
        <f>IF(B2349="",0,MIN(IF($N2349="Other Bond TM",ModelParameters!$N$21,1)*(P2349*Q2349+R2349),1))</f>
        <v>0.24590379213580936</v>
      </c>
      <c r="T2349" s="85">
        <f>IF(B2349="",0,$S2349*$K2349)</f>
        <v>580.28626873650184</v>
      </c>
      <c r="U2349" s="85">
        <f>IF(B2349="",0,IF(OR(H2349=MappingTables!$C$34,H2349=MappingTables!$C$35),T2349,0))</f>
        <v>0</v>
      </c>
      <c r="V2349" s="85">
        <f>IF(ISNA(IF(AND(VLOOKUP(CONCATENATE($D2349,$G2349),CSRFinput!$B:$E,4,0)=0,OR(H2349=MappingTables!$C$34,H2349=MappingTables!$C$35)),1,VLOOKUP(CONCATENATE($D2349,$G2349),CSRFinput!$B:$E,4,0))),0,IF(AND(VLOOKUP(CONCATENATE($D2349,$G2349),CSRFinput!$B:$E,4,0)=0,OR(H2349=MappingTables!$C$34,H2349=MappingTables!$C$35)),1,VLOOKUP(CONCATENATE($D2349,$G2349),CSRFinput!$B:$E,4,0)))</f>
        <v>0.054776304963434752</v>
      </c>
      <c r="W2349" s="85">
        <f>IF(B2349="",0,+$T2349*$V2349)</f>
        <v>31.78593762240428</v>
      </c>
      <c r="X2349" s="85">
        <f>IF(B2349="",0,IF(OR(H2349=MappingTables!$C$34,H2349=MappingTables!$C$35),W2349,0))</f>
        <v>0</v>
      </c>
    </row>
    <row r="2350" spans="2:24" s="0" customFormat="0" ht="15">
      <c r="B2350" s="69">
        <v>7347500</v>
      </c>
      <c r="C2350" s="70" t="s">
        <v>2365</v>
      </c>
      <c r="D2350" s="70" t="s">
        <v>1</v>
      </c>
      <c r="E2350" s="70" t="s">
        <v>1</v>
      </c>
      <c r="F2350" s="70"/>
      <c r="G2350" s="70" t="s">
        <v>61</v>
      </c>
      <c r="H2350" s="70" t="s">
        <v>178</v>
      </c>
      <c r="I2350" s="70" t="s">
        <v>179</v>
      </c>
      <c r="J2350" s="71">
        <f>IF(OR(I2350=0,I2350=""),"unrated",VLOOKUP(I2350,MappingTables!$B$19:$C$31,2,FALSE))</f>
        <v>4</v>
      </c>
      <c r="K2350" s="72">
        <v>1812.0867066643788</v>
      </c>
      <c r="L2350" s="70">
        <v>2.4457675522763584</v>
      </c>
      <c r="M2350" s="71">
        <f>IF(L2350&lt;1,1,L2350)</f>
        <v>2.4457675522763584</v>
      </c>
      <c r="N2350" s="70" t="s">
        <v>141</v>
      </c>
      <c r="O2350" s="71">
        <f>INDEX(DurClassMapping,MATCH(M2350,MappingTables!$D$4:$D$8,-1),1)</f>
        <v>1</v>
      </c>
      <c r="P2350" s="73">
        <f>IF(M2350=$A$1,1,$M2350-INDEX(MappingTables!$E$4:$E$8,MATCH(O2350,MappingTables!$B$4:$B$8,0)))</f>
        <v>2.4457675522763584</v>
      </c>
      <c r="Q2350" s="71">
        <f>IF(B2350="",0,INDEX(ModelParameters!$D$6:$K$10,MATCH($O2350,ModelParameters!$B$6:$B$10,0),MATCH($J2350,ModelParameters!$D$5:$K$5,0)))</f>
        <v>0.045</v>
      </c>
      <c r="R2350" s="71">
        <f>IF(B2350="",0,INDEX(ModelParameters!$D$13:$K$17,MATCH($O2350,ModelParameters!$B$13:$B$17,0),MATCH($J2350,ModelParameters!$D$5:$K$5,0)))</f>
        <v>0</v>
      </c>
      <c r="S2350" s="160">
        <f>IF(B2350="",0,MIN(IF($N2350="Other Bond TM",ModelParameters!$N$21,1)*(P2350*Q2350+R2350),1))</f>
        <v>0.11005953985243612</v>
      </c>
      <c r="T2350" s="85">
        <f>IF(B2350="",0,$S2350*$K2350)</f>
        <v>199.43742910819792</v>
      </c>
      <c r="U2350" s="85">
        <f>IF(B2350="",0,IF(OR(H2350=MappingTables!$C$34,H2350=MappingTables!$C$35),T2350,0))</f>
        <v>0</v>
      </c>
      <c r="V2350" s="85">
        <f>IF(ISNA(IF(AND(VLOOKUP(CONCATENATE($D2350,$G2350),CSRFinput!$B:$E,4,0)=0,OR(H2350=MappingTables!$C$34,H2350=MappingTables!$C$35)),1,VLOOKUP(CONCATENATE($D2350,$G2350),CSRFinput!$B:$E,4,0))),0,IF(AND(VLOOKUP(CONCATENATE($D2350,$G2350),CSRFinput!$B:$E,4,0)=0,OR(H2350=MappingTables!$C$34,H2350=MappingTables!$C$35)),1,VLOOKUP(CONCATENATE($D2350,$G2350),CSRFinput!$B:$E,4,0)))</f>
        <v>0.054776304963434752</v>
      </c>
      <c r="W2350" s="85">
        <f>IF(B2350="",0,+$T2350*$V2350)</f>
        <v>10.924445437954046</v>
      </c>
      <c r="X2350" s="85">
        <f>IF(B2350="",0,IF(OR(H2350=MappingTables!$C$34,H2350=MappingTables!$C$35),W2350,0))</f>
        <v>0</v>
      </c>
    </row>
    <row r="2351" spans="2:24" s="0" customFormat="0" ht="15">
      <c r="B2351" s="69">
        <v>22827429</v>
      </c>
      <c r="C2351" s="70" t="s">
        <v>2366</v>
      </c>
      <c r="D2351" s="70" t="s">
        <v>1</v>
      </c>
      <c r="E2351" s="70" t="s">
        <v>1</v>
      </c>
      <c r="F2351" s="70"/>
      <c r="G2351" s="70" t="s">
        <v>61</v>
      </c>
      <c r="H2351" s="70" t="s">
        <v>178</v>
      </c>
      <c r="I2351" s="70" t="s">
        <v>181</v>
      </c>
      <c r="J2351" s="71">
        <f>IF(OR(I2351=0,I2351=""),"unrated",VLOOKUP(I2351,MappingTables!$B$19:$C$31,2,FALSE))</f>
        <v>3</v>
      </c>
      <c r="K2351" s="72">
        <v>5735.9274477905584</v>
      </c>
      <c r="L2351" s="70">
        <v>5.70349621515616</v>
      </c>
      <c r="M2351" s="71">
        <f>IF(L2351&lt;1,1,L2351)</f>
        <v>5.70349621515616</v>
      </c>
      <c r="N2351" s="70" t="s">
        <v>141</v>
      </c>
      <c r="O2351" s="71">
        <f>INDEX(DurClassMapping,MATCH(M2351,MappingTables!$D$4:$D$8,-1),1)</f>
        <v>2</v>
      </c>
      <c r="P2351" s="73">
        <f>IF(M2351=$A$1,1,$M2351-INDEX(MappingTables!$E$4:$E$8,MATCH(O2351,MappingTables!$B$4:$B$8,0)))</f>
        <v>0.70349621515615992</v>
      </c>
      <c r="Q2351" s="71">
        <f>IF(B2351="",0,INDEX(ModelParameters!$D$6:$K$10,MATCH($O2351,ModelParameters!$B$6:$B$10,0),MATCH($J2351,ModelParameters!$D$5:$K$5,0)))</f>
        <v>0.015</v>
      </c>
      <c r="R2351" s="71">
        <f>IF(B2351="",0,INDEX(ModelParameters!$D$13:$K$17,MATCH($O2351,ModelParameters!$B$13:$B$17,0),MATCH($J2351,ModelParameters!$D$5:$K$5,0)))</f>
        <v>0.125</v>
      </c>
      <c r="S2351" s="160">
        <f>IF(B2351="",0,MIN(IF($N2351="Other Bond TM",ModelParameters!$N$21,1)*(P2351*Q2351+R2351),1))</f>
        <v>0.13555244322734238</v>
      </c>
      <c r="T2351" s="85">
        <f>IF(B2351="",0,$S2351*$K2351)</f>
        <v>777.51897972278464</v>
      </c>
      <c r="U2351" s="85">
        <f>IF(B2351="",0,IF(OR(H2351=MappingTables!$C$34,H2351=MappingTables!$C$35),T2351,0))</f>
        <v>0</v>
      </c>
      <c r="V2351" s="85">
        <f>IF(ISNA(IF(AND(VLOOKUP(CONCATENATE($D2351,$G2351),CSRFinput!$B:$E,4,0)=0,OR(H2351=MappingTables!$C$34,H2351=MappingTables!$C$35)),1,VLOOKUP(CONCATENATE($D2351,$G2351),CSRFinput!$B:$E,4,0))),0,IF(AND(VLOOKUP(CONCATENATE($D2351,$G2351),CSRFinput!$B:$E,4,0)=0,OR(H2351=MappingTables!$C$34,H2351=MappingTables!$C$35)),1,VLOOKUP(CONCATENATE($D2351,$G2351),CSRFinput!$B:$E,4,0)))</f>
        <v>0.054776304963434752</v>
      </c>
      <c r="W2351" s="85">
        <f>IF(B2351="",0,+$T2351*$V2351)</f>
        <v>42.589616748153896</v>
      </c>
      <c r="X2351" s="85">
        <f>IF(B2351="",0,IF(OR(H2351=MappingTables!$C$34,H2351=MappingTables!$C$35),W2351,0))</f>
        <v>0</v>
      </c>
    </row>
    <row r="2352" spans="2:24" s="0" customFormat="0" ht="15">
      <c r="B2352" s="69">
        <v>20459285</v>
      </c>
      <c r="C2352" s="70" t="s">
        <v>1810</v>
      </c>
      <c r="D2352" s="70" t="s">
        <v>1</v>
      </c>
      <c r="E2352" s="70" t="s">
        <v>1</v>
      </c>
      <c r="F2352" s="70"/>
      <c r="G2352" s="70" t="s">
        <v>61</v>
      </c>
      <c r="H2352" s="70" t="s">
        <v>178</v>
      </c>
      <c r="I2352" s="70" t="s">
        <v>181</v>
      </c>
      <c r="J2352" s="71">
        <f>IF(OR(I2352=0,I2352=""),"unrated",VLOOKUP(I2352,MappingTables!$B$19:$C$31,2,FALSE))</f>
        <v>3</v>
      </c>
      <c r="K2352" s="72">
        <v>998.2459142693392</v>
      </c>
      <c r="L2352" s="70">
        <v>3.2161269160281468</v>
      </c>
      <c r="M2352" s="71">
        <f>IF(L2352&lt;1,1,L2352)</f>
        <v>3.2161269160281468</v>
      </c>
      <c r="N2352" s="70" t="s">
        <v>141</v>
      </c>
      <c r="O2352" s="71">
        <f>INDEX(DurClassMapping,MATCH(M2352,MappingTables!$D$4:$D$8,-1),1)</f>
        <v>1</v>
      </c>
      <c r="P2352" s="73">
        <f>IF(M2352=$A$1,1,$M2352-INDEX(MappingTables!$E$4:$E$8,MATCH(O2352,MappingTables!$B$4:$B$8,0)))</f>
        <v>3.2161269160281468</v>
      </c>
      <c r="Q2352" s="71">
        <f>IF(B2352="",0,INDEX(ModelParameters!$D$6:$K$10,MATCH($O2352,ModelParameters!$B$6:$B$10,0),MATCH($J2352,ModelParameters!$D$5:$K$5,0)))</f>
        <v>0.025</v>
      </c>
      <c r="R2352" s="71">
        <f>IF(B2352="",0,INDEX(ModelParameters!$D$13:$K$17,MATCH($O2352,ModelParameters!$B$13:$B$17,0),MATCH($J2352,ModelParameters!$D$5:$K$5,0)))</f>
        <v>0</v>
      </c>
      <c r="S2352" s="160">
        <f>IF(B2352="",0,MIN(IF($N2352="Other Bond TM",ModelParameters!$N$21,1)*(P2352*Q2352+R2352),1))</f>
        <v>0.08040317290070368</v>
      </c>
      <c r="T2352" s="85">
        <f>IF(B2352="",0,$S2352*$K2352)</f>
        <v>80.262138842418688</v>
      </c>
      <c r="U2352" s="85">
        <f>IF(B2352="",0,IF(OR(H2352=MappingTables!$C$34,H2352=MappingTables!$C$35),T2352,0))</f>
        <v>0</v>
      </c>
      <c r="V2352" s="85">
        <f>IF(ISNA(IF(AND(VLOOKUP(CONCATENATE($D2352,$G2352),CSRFinput!$B:$E,4,0)=0,OR(H2352=MappingTables!$C$34,H2352=MappingTables!$C$35)),1,VLOOKUP(CONCATENATE($D2352,$G2352),CSRFinput!$B:$E,4,0))),0,IF(AND(VLOOKUP(CONCATENATE($D2352,$G2352),CSRFinput!$B:$E,4,0)=0,OR(H2352=MappingTables!$C$34,H2352=MappingTables!$C$35)),1,VLOOKUP(CONCATENATE($D2352,$G2352),CSRFinput!$B:$E,4,0)))</f>
        <v>0.054776304963434752</v>
      </c>
      <c r="W2352" s="85">
        <f>IF(B2352="",0,+$T2352*$V2352)</f>
        <v>4.396463394249868</v>
      </c>
      <c r="X2352" s="85">
        <f>IF(B2352="",0,IF(OR(H2352=MappingTables!$C$34,H2352=MappingTables!$C$35),W2352,0))</f>
        <v>0</v>
      </c>
    </row>
    <row r="2353" spans="2:24" s="0" customFormat="0" ht="15">
      <c r="B2353" s="69">
        <v>19474819</v>
      </c>
      <c r="C2353" s="70" t="s">
        <v>2367</v>
      </c>
      <c r="D2353" s="70" t="s">
        <v>1</v>
      </c>
      <c r="E2353" s="70" t="s">
        <v>1</v>
      </c>
      <c r="F2353" s="70"/>
      <c r="G2353" s="70" t="s">
        <v>61</v>
      </c>
      <c r="H2353" s="70" t="s">
        <v>178</v>
      </c>
      <c r="I2353" s="70" t="s">
        <v>181</v>
      </c>
      <c r="J2353" s="71">
        <f>IF(OR(I2353=0,I2353=""),"unrated",VLOOKUP(I2353,MappingTables!$B$19:$C$31,2,FALSE))</f>
        <v>3</v>
      </c>
      <c r="K2353" s="72">
        <v>2655.5418191085592</v>
      </c>
      <c r="L2353" s="70">
        <v>7.2780034114565632</v>
      </c>
      <c r="M2353" s="71">
        <f>IF(L2353&lt;1,1,L2353)</f>
        <v>7.2780034114565632</v>
      </c>
      <c r="N2353" s="70" t="s">
        <v>141</v>
      </c>
      <c r="O2353" s="71">
        <f>INDEX(DurClassMapping,MATCH(M2353,MappingTables!$D$4:$D$8,-1),1)</f>
        <v>2</v>
      </c>
      <c r="P2353" s="73">
        <f>IF(M2353=$A$1,1,$M2353-INDEX(MappingTables!$E$4:$E$8,MATCH(O2353,MappingTables!$B$4:$B$8,0)))</f>
        <v>2.278003411456564</v>
      </c>
      <c r="Q2353" s="71">
        <f>IF(B2353="",0,INDEX(ModelParameters!$D$6:$K$10,MATCH($O2353,ModelParameters!$B$6:$B$10,0),MATCH($J2353,ModelParameters!$D$5:$K$5,0)))</f>
        <v>0.015</v>
      </c>
      <c r="R2353" s="71">
        <f>IF(B2353="",0,INDEX(ModelParameters!$D$13:$K$17,MATCH($O2353,ModelParameters!$B$13:$B$17,0),MATCH($J2353,ModelParameters!$D$5:$K$5,0)))</f>
        <v>0.125</v>
      </c>
      <c r="S2353" s="160">
        <f>IF(B2353="",0,MIN(IF($N2353="Other Bond TM",ModelParameters!$N$21,1)*(P2353*Q2353+R2353),1))</f>
        <v>0.15917005117184846</v>
      </c>
      <c r="T2353" s="85">
        <f>IF(B2353="",0,$S2353*$K2353)</f>
        <v>422.68272723649288</v>
      </c>
      <c r="U2353" s="85">
        <f>IF(B2353="",0,IF(OR(H2353=MappingTables!$C$34,H2353=MappingTables!$C$35),T2353,0))</f>
        <v>0</v>
      </c>
      <c r="V2353" s="85">
        <f>IF(ISNA(IF(AND(VLOOKUP(CONCATENATE($D2353,$G2353),CSRFinput!$B:$E,4,0)=0,OR(H2353=MappingTables!$C$34,H2353=MappingTables!$C$35)),1,VLOOKUP(CONCATENATE($D2353,$G2353),CSRFinput!$B:$E,4,0))),0,IF(AND(VLOOKUP(CONCATENATE($D2353,$G2353),CSRFinput!$B:$E,4,0)=0,OR(H2353=MappingTables!$C$34,H2353=MappingTables!$C$35)),1,VLOOKUP(CONCATENATE($D2353,$G2353),CSRFinput!$B:$E,4,0)))</f>
        <v>0.054776304963434752</v>
      </c>
      <c r="W2353" s="85">
        <f>IF(B2353="",0,+$T2353*$V2353)</f>
        <v>23.152997969882444</v>
      </c>
      <c r="X2353" s="85">
        <f>IF(B2353="",0,IF(OR(H2353=MappingTables!$C$34,H2353=MappingTables!$C$35),W2353,0))</f>
        <v>0</v>
      </c>
    </row>
    <row r="2354" spans="2:24" s="0" customFormat="0" ht="15">
      <c r="B2354" s="69">
        <v>16060758</v>
      </c>
      <c r="C2354" s="70" t="s">
        <v>2265</v>
      </c>
      <c r="D2354" s="70" t="s">
        <v>1</v>
      </c>
      <c r="E2354" s="70" t="s">
        <v>1</v>
      </c>
      <c r="F2354" s="70"/>
      <c r="G2354" s="70" t="s">
        <v>61</v>
      </c>
      <c r="H2354" s="70" t="s">
        <v>178</v>
      </c>
      <c r="I2354" s="70" t="s">
        <v>188</v>
      </c>
      <c r="J2354" s="71">
        <f>IF(OR(I2354=0,I2354=""),"unrated",VLOOKUP(I2354,MappingTables!$B$19:$C$31,2,FALSE))</f>
        <v>2</v>
      </c>
      <c r="K2354" s="72">
        <v>3066.6206297772896</v>
      </c>
      <c r="L2354" s="70">
        <v>6.188765853021936</v>
      </c>
      <c r="M2354" s="71">
        <f>IF(L2354&lt;1,1,L2354)</f>
        <v>6.188765853021936</v>
      </c>
      <c r="N2354" s="70" t="s">
        <v>141</v>
      </c>
      <c r="O2354" s="71">
        <f>INDEX(DurClassMapping,MATCH(M2354,MappingTables!$D$4:$D$8,-1),1)</f>
        <v>2</v>
      </c>
      <c r="P2354" s="73">
        <f>IF(M2354=$A$1,1,$M2354-INDEX(MappingTables!$E$4:$E$8,MATCH(O2354,MappingTables!$B$4:$B$8,0)))</f>
        <v>1.1887658530219358</v>
      </c>
      <c r="Q2354" s="71">
        <f>IF(B2354="",0,INDEX(ModelParameters!$D$6:$K$10,MATCH($O2354,ModelParameters!$B$6:$B$10,0),MATCH($J2354,ModelParameters!$D$5:$K$5,0)))</f>
        <v>0.0069999999999999992</v>
      </c>
      <c r="R2354" s="71">
        <f>IF(B2354="",0,INDEX(ModelParameters!$D$13:$K$17,MATCH($O2354,ModelParameters!$B$13:$B$17,0),MATCH($J2354,ModelParameters!$D$5:$K$5,0)))</f>
        <v>0.070000000000000008</v>
      </c>
      <c r="S2354" s="160">
        <f>IF(B2354="",0,MIN(IF($N2354="Other Bond TM",ModelParameters!$N$21,1)*(P2354*Q2354+R2354),1))</f>
        <v>0.078321360971153552</v>
      </c>
      <c r="T2354" s="85">
        <f>IF(B2354="",0,$S2354*$K2354)</f>
        <v>240.18190130637332</v>
      </c>
      <c r="U2354" s="85">
        <f>IF(B2354="",0,IF(OR(H2354=MappingTables!$C$34,H2354=MappingTables!$C$35),T2354,0))</f>
        <v>0</v>
      </c>
      <c r="V2354" s="85">
        <f>IF(ISNA(IF(AND(VLOOKUP(CONCATENATE($D2354,$G2354),CSRFinput!$B:$E,4,0)=0,OR(H2354=MappingTables!$C$34,H2354=MappingTables!$C$35)),1,VLOOKUP(CONCATENATE($D2354,$G2354),CSRFinput!$B:$E,4,0))),0,IF(AND(VLOOKUP(CONCATENATE($D2354,$G2354),CSRFinput!$B:$E,4,0)=0,OR(H2354=MappingTables!$C$34,H2354=MappingTables!$C$35)),1,VLOOKUP(CONCATENATE($D2354,$G2354),CSRFinput!$B:$E,4,0)))</f>
        <v>0.054776304963434752</v>
      </c>
      <c r="W2354" s="85">
        <f>IF(B2354="",0,+$T2354*$V2354)</f>
        <v>13.156277072655494</v>
      </c>
      <c r="X2354" s="85">
        <f>IF(B2354="",0,IF(OR(H2354=MappingTables!$C$34,H2354=MappingTables!$C$35),W2354,0))</f>
        <v>0</v>
      </c>
    </row>
    <row r="2355" spans="2:24" s="0" customFormat="0" ht="15">
      <c r="B2355" s="69">
        <v>22090046</v>
      </c>
      <c r="C2355" s="70" t="s">
        <v>2368</v>
      </c>
      <c r="D2355" s="70" t="s">
        <v>1</v>
      </c>
      <c r="E2355" s="70" t="s">
        <v>1</v>
      </c>
      <c r="F2355" s="70"/>
      <c r="G2355" s="70" t="s">
        <v>61</v>
      </c>
      <c r="H2355" s="70" t="s">
        <v>178</v>
      </c>
      <c r="I2355" s="70" t="s">
        <v>188</v>
      </c>
      <c r="J2355" s="71">
        <f>IF(OR(I2355=0,I2355=""),"unrated",VLOOKUP(I2355,MappingTables!$B$19:$C$31,2,FALSE))</f>
        <v>2</v>
      </c>
      <c r="K2355" s="72">
        <v>89.464800645718176</v>
      </c>
      <c r="L2355" s="70">
        <v>3.5343086329581048</v>
      </c>
      <c r="M2355" s="71">
        <f>IF(L2355&lt;1,1,L2355)</f>
        <v>3.5343086329581048</v>
      </c>
      <c r="N2355" s="70" t="s">
        <v>141</v>
      </c>
      <c r="O2355" s="71">
        <f>INDEX(DurClassMapping,MATCH(M2355,MappingTables!$D$4:$D$8,-1),1)</f>
        <v>1</v>
      </c>
      <c r="P2355" s="73">
        <f>IF(M2355=$A$1,1,$M2355-INDEX(MappingTables!$E$4:$E$8,MATCH(O2355,MappingTables!$B$4:$B$8,0)))</f>
        <v>3.5343086329581048</v>
      </c>
      <c r="Q2355" s="71">
        <f>IF(B2355="",0,INDEX(ModelParameters!$D$6:$K$10,MATCH($O2355,ModelParameters!$B$6:$B$10,0),MATCH($J2355,ModelParameters!$D$5:$K$5,0)))</f>
        <v>0.013999999999999998</v>
      </c>
      <c r="R2355" s="71">
        <f>IF(B2355="",0,INDEX(ModelParameters!$D$13:$K$17,MATCH($O2355,ModelParameters!$B$13:$B$17,0),MATCH($J2355,ModelParameters!$D$5:$K$5,0)))</f>
        <v>0</v>
      </c>
      <c r="S2355" s="160">
        <f>IF(B2355="",0,MIN(IF($N2355="Other Bond TM",ModelParameters!$N$21,1)*(P2355*Q2355+R2355),1))</f>
        <v>0.049480320861413464</v>
      </c>
      <c r="T2355" s="85">
        <f>IF(B2355="",0,$S2355*$K2355)</f>
        <v>4.4267470417525256</v>
      </c>
      <c r="U2355" s="85">
        <f>IF(B2355="",0,IF(OR(H2355=MappingTables!$C$34,H2355=MappingTables!$C$35),T2355,0))</f>
        <v>0</v>
      </c>
      <c r="V2355" s="85">
        <f>IF(ISNA(IF(AND(VLOOKUP(CONCATENATE($D2355,$G2355),CSRFinput!$B:$E,4,0)=0,OR(H2355=MappingTables!$C$34,H2355=MappingTables!$C$35)),1,VLOOKUP(CONCATENATE($D2355,$G2355),CSRFinput!$B:$E,4,0))),0,IF(AND(VLOOKUP(CONCATENATE($D2355,$G2355),CSRFinput!$B:$E,4,0)=0,OR(H2355=MappingTables!$C$34,H2355=MappingTables!$C$35)),1,VLOOKUP(CONCATENATE($D2355,$G2355),CSRFinput!$B:$E,4,0)))</f>
        <v>0.054776304963434752</v>
      </c>
      <c r="W2355" s="85">
        <f>IF(B2355="",0,+$T2355*$V2355)</f>
        <v>0.242480845955019</v>
      </c>
      <c r="X2355" s="85">
        <f>IF(B2355="",0,IF(OR(H2355=MappingTables!$C$34,H2355=MappingTables!$C$35),W2355,0))</f>
        <v>0</v>
      </c>
    </row>
    <row r="2356" spans="2:24" s="0" customFormat="0" ht="15">
      <c r="B2356" s="69" t="s">
        <v>239</v>
      </c>
      <c r="C2356" s="70" t="s">
        <v>240</v>
      </c>
      <c r="D2356" s="70" t="s">
        <v>1</v>
      </c>
      <c r="E2356" s="70" t="s">
        <v>1</v>
      </c>
      <c r="F2356" s="70"/>
      <c r="G2356" s="70" t="s">
        <v>61</v>
      </c>
      <c r="H2356" s="70" t="s">
        <v>178</v>
      </c>
      <c r="I2356" s="70" t="s">
        <v>179</v>
      </c>
      <c r="J2356" s="71">
        <f>IF(OR(I2356=0,I2356=""),"unrated",VLOOKUP(I2356,MappingTables!$B$19:$C$31,2,FALSE))</f>
        <v>4</v>
      </c>
      <c r="K2356" s="72">
        <v>378.88833160183792</v>
      </c>
      <c r="L2356" s="70">
        <v>3.5677820309633728</v>
      </c>
      <c r="M2356" s="71">
        <f>IF(L2356&lt;1,1,L2356)</f>
        <v>3.5677820309633728</v>
      </c>
      <c r="N2356" s="70" t="s">
        <v>141</v>
      </c>
      <c r="O2356" s="71">
        <f>INDEX(DurClassMapping,MATCH(M2356,MappingTables!$D$4:$D$8,-1),1)</f>
        <v>1</v>
      </c>
      <c r="P2356" s="73">
        <f>IF(M2356=$A$1,1,$M2356-INDEX(MappingTables!$E$4:$E$8,MATCH(O2356,MappingTables!$B$4:$B$8,0)))</f>
        <v>3.5677820309633728</v>
      </c>
      <c r="Q2356" s="71">
        <f>IF(B2356="",0,INDEX(ModelParameters!$D$6:$K$10,MATCH($O2356,ModelParameters!$B$6:$B$10,0),MATCH($J2356,ModelParameters!$D$5:$K$5,0)))</f>
        <v>0.045</v>
      </c>
      <c r="R2356" s="71">
        <f>IF(B2356="",0,INDEX(ModelParameters!$D$13:$K$17,MATCH($O2356,ModelParameters!$B$13:$B$17,0),MATCH($J2356,ModelParameters!$D$5:$K$5,0)))</f>
        <v>0</v>
      </c>
      <c r="S2356" s="160">
        <f>IF(B2356="",0,MIN(IF($N2356="Other Bond TM",ModelParameters!$N$21,1)*(P2356*Q2356+R2356),1))</f>
        <v>0.16055019139335178</v>
      </c>
      <c r="T2356" s="85">
        <f>IF(B2356="",0,$S2356*$K2356)</f>
        <v>60.830594155382816</v>
      </c>
      <c r="U2356" s="85">
        <f>IF(B2356="",0,IF(OR(H2356=MappingTables!$C$34,H2356=MappingTables!$C$35),T2356,0))</f>
        <v>0</v>
      </c>
      <c r="V2356" s="85">
        <f>IF(ISNA(IF(AND(VLOOKUP(CONCATENATE($D2356,$G2356),CSRFinput!$B:$E,4,0)=0,OR(H2356=MappingTables!$C$34,H2356=MappingTables!$C$35)),1,VLOOKUP(CONCATENATE($D2356,$G2356),CSRFinput!$B:$E,4,0))),0,IF(AND(VLOOKUP(CONCATENATE($D2356,$G2356),CSRFinput!$B:$E,4,0)=0,OR(H2356=MappingTables!$C$34,H2356=MappingTables!$C$35)),1,VLOOKUP(CONCATENATE($D2356,$G2356),CSRFinput!$B:$E,4,0)))</f>
        <v>0.054776304963434752</v>
      </c>
      <c r="W2356" s="85">
        <f>IF(B2356="",0,+$T2356*$V2356)</f>
        <v>3.3320751765621804</v>
      </c>
      <c r="X2356" s="85">
        <f>IF(B2356="",0,IF(OR(H2356=MappingTables!$C$34,H2356=MappingTables!$C$35),W2356,0))</f>
        <v>0</v>
      </c>
    </row>
    <row r="2357" spans="2:24" s="0" customFormat="0" ht="15">
      <c r="B2357" s="69" t="s">
        <v>2369</v>
      </c>
      <c r="C2357" s="70" t="s">
        <v>2370</v>
      </c>
      <c r="D2357" s="70" t="s">
        <v>1</v>
      </c>
      <c r="E2357" s="70" t="s">
        <v>1</v>
      </c>
      <c r="F2357" s="70"/>
      <c r="G2357" s="70" t="s">
        <v>61</v>
      </c>
      <c r="H2357" s="70" t="s">
        <v>178</v>
      </c>
      <c r="I2357" s="70" t="s">
        <v>179</v>
      </c>
      <c r="J2357" s="71">
        <f>IF(OR(I2357=0,I2357=""),"unrated",VLOOKUP(I2357,MappingTables!$B$19:$C$31,2,FALSE))</f>
        <v>4</v>
      </c>
      <c r="K2357" s="72">
        <v>76.158483610616176</v>
      </c>
      <c r="L2357" s="70">
        <v>0.54520862630571576</v>
      </c>
      <c r="M2357" s="71">
        <f>IF(L2357&lt;1,1,L2357)</f>
        <v>1</v>
      </c>
      <c r="N2357" s="70" t="s">
        <v>141</v>
      </c>
      <c r="O2357" s="71">
        <f>INDEX(DurClassMapping,MATCH(M2357,MappingTables!$D$4:$D$8,-1),1)</f>
        <v>1</v>
      </c>
      <c r="P2357" s="73">
        <f>IF(M2357=$A$1,1,$M2357-INDEX(MappingTables!$E$4:$E$8,MATCH(O2357,MappingTables!$B$4:$B$8,0)))</f>
        <v>1</v>
      </c>
      <c r="Q2357" s="71">
        <f>IF(B2357="",0,INDEX(ModelParameters!$D$6:$K$10,MATCH($O2357,ModelParameters!$B$6:$B$10,0),MATCH($J2357,ModelParameters!$D$5:$K$5,0)))</f>
        <v>0.045</v>
      </c>
      <c r="R2357" s="71">
        <f>IF(B2357="",0,INDEX(ModelParameters!$D$13:$K$17,MATCH($O2357,ModelParameters!$B$13:$B$17,0),MATCH($J2357,ModelParameters!$D$5:$K$5,0)))</f>
        <v>0</v>
      </c>
      <c r="S2357" s="160">
        <f>IF(B2357="",0,MIN(IF($N2357="Other Bond TM",ModelParameters!$N$21,1)*(P2357*Q2357+R2357),1))</f>
        <v>0.045</v>
      </c>
      <c r="T2357" s="85">
        <f>IF(B2357="",0,$S2357*$K2357)</f>
        <v>3.4271317624777276</v>
      </c>
      <c r="U2357" s="85">
        <f>IF(B2357="",0,IF(OR(H2357=MappingTables!$C$34,H2357=MappingTables!$C$35),T2357,0))</f>
        <v>0</v>
      </c>
      <c r="V2357" s="85">
        <f>IF(ISNA(IF(AND(VLOOKUP(CONCATENATE($D2357,$G2357),CSRFinput!$B:$E,4,0)=0,OR(H2357=MappingTables!$C$34,H2357=MappingTables!$C$35)),1,VLOOKUP(CONCATENATE($D2357,$G2357),CSRFinput!$B:$E,4,0))),0,IF(AND(VLOOKUP(CONCATENATE($D2357,$G2357),CSRFinput!$B:$E,4,0)=0,OR(H2357=MappingTables!$C$34,H2357=MappingTables!$C$35)),1,VLOOKUP(CONCATENATE($D2357,$G2357),CSRFinput!$B:$E,4,0)))</f>
        <v>0.054776304963434752</v>
      </c>
      <c r="W2357" s="85">
        <f>IF(B2357="",0,+$T2357*$V2357)</f>
        <v>0.18772561457135364</v>
      </c>
      <c r="X2357" s="85">
        <f>IF(B2357="",0,IF(OR(H2357=MappingTables!$C$34,H2357=MappingTables!$C$35),W2357,0))</f>
        <v>0</v>
      </c>
    </row>
    <row r="2358" spans="2:24" s="0" customFormat="0" ht="15">
      <c r="B2358" s="69">
        <v>10657982</v>
      </c>
      <c r="C2358" s="70" t="s">
        <v>1661</v>
      </c>
      <c r="D2358" s="70" t="s">
        <v>1</v>
      </c>
      <c r="E2358" s="70" t="s">
        <v>1</v>
      </c>
      <c r="F2358" s="70"/>
      <c r="G2358" s="70" t="s">
        <v>61</v>
      </c>
      <c r="H2358" s="70" t="s">
        <v>178</v>
      </c>
      <c r="I2358" s="70" t="s">
        <v>188</v>
      </c>
      <c r="J2358" s="71">
        <f>IF(OR(I2358=0,I2358=""),"unrated",VLOOKUP(I2358,MappingTables!$B$19:$C$31,2,FALSE))</f>
        <v>2</v>
      </c>
      <c r="K2358" s="72">
        <v>460.36756008739784</v>
      </c>
      <c r="L2358" s="70">
        <v>4.8463846755467656</v>
      </c>
      <c r="M2358" s="71">
        <f>IF(L2358&lt;1,1,L2358)</f>
        <v>4.8463846755467656</v>
      </c>
      <c r="N2358" s="70" t="s">
        <v>141</v>
      </c>
      <c r="O2358" s="71">
        <f>INDEX(DurClassMapping,MATCH(M2358,MappingTables!$D$4:$D$8,-1),1)</f>
        <v>1</v>
      </c>
      <c r="P2358" s="73">
        <f>IF(M2358=$A$1,1,$M2358-INDEX(MappingTables!$E$4:$E$8,MATCH(O2358,MappingTables!$B$4:$B$8,0)))</f>
        <v>4.8463846755467656</v>
      </c>
      <c r="Q2358" s="71">
        <f>IF(B2358="",0,INDEX(ModelParameters!$D$6:$K$10,MATCH($O2358,ModelParameters!$B$6:$B$10,0),MATCH($J2358,ModelParameters!$D$5:$K$5,0)))</f>
        <v>0.013999999999999998</v>
      </c>
      <c r="R2358" s="71">
        <f>IF(B2358="",0,INDEX(ModelParameters!$D$13:$K$17,MATCH($O2358,ModelParameters!$B$13:$B$17,0),MATCH($J2358,ModelParameters!$D$5:$K$5,0)))</f>
        <v>0</v>
      </c>
      <c r="S2358" s="160">
        <f>IF(B2358="",0,MIN(IF($N2358="Other Bond TM",ModelParameters!$N$21,1)*(P2358*Q2358+R2358),1))</f>
        <v>0.06784938545765472</v>
      </c>
      <c r="T2358" s="85">
        <f>IF(B2358="",0,$S2358*$K2358)</f>
        <v>31.235656036569876</v>
      </c>
      <c r="U2358" s="85">
        <f>IF(B2358="",0,IF(OR(H2358=MappingTables!$C$34,H2358=MappingTables!$C$35),T2358,0))</f>
        <v>0</v>
      </c>
      <c r="V2358" s="85">
        <f>IF(ISNA(IF(AND(VLOOKUP(CONCATENATE($D2358,$G2358),CSRFinput!$B:$E,4,0)=0,OR(H2358=MappingTables!$C$34,H2358=MappingTables!$C$35)),1,VLOOKUP(CONCATENATE($D2358,$G2358),CSRFinput!$B:$E,4,0))),0,IF(AND(VLOOKUP(CONCATENATE($D2358,$G2358),CSRFinput!$B:$E,4,0)=0,OR(H2358=MappingTables!$C$34,H2358=MappingTables!$C$35)),1,VLOOKUP(CONCATENATE($D2358,$G2358),CSRFinput!$B:$E,4,0)))</f>
        <v>0.054776304963434752</v>
      </c>
      <c r="W2358" s="85">
        <f>IF(B2358="",0,+$T2358*$V2358)</f>
        <v>1.7109738207921032</v>
      </c>
      <c r="X2358" s="85">
        <f>IF(B2358="",0,IF(OR(H2358=MappingTables!$C$34,H2358=MappingTables!$C$35),W2358,0))</f>
        <v>0</v>
      </c>
    </row>
    <row r="2359" spans="2:24" s="0" customFormat="0" ht="15">
      <c r="B2359" s="69">
        <v>17884638</v>
      </c>
      <c r="C2359" s="70" t="s">
        <v>979</v>
      </c>
      <c r="D2359" s="70" t="s">
        <v>1</v>
      </c>
      <c r="E2359" s="70" t="s">
        <v>1</v>
      </c>
      <c r="F2359" s="70"/>
      <c r="G2359" s="70" t="s">
        <v>61</v>
      </c>
      <c r="H2359" s="70" t="s">
        <v>178</v>
      </c>
      <c r="I2359" s="70" t="s">
        <v>179</v>
      </c>
      <c r="J2359" s="71">
        <f>IF(OR(I2359=0,I2359=""),"unrated",VLOOKUP(I2359,MappingTables!$B$19:$C$31,2,FALSE))</f>
        <v>4</v>
      </c>
      <c r="K2359" s="72">
        <v>189.9022371584732</v>
      </c>
      <c r="L2359" s="70">
        <v>2.9083742984593576</v>
      </c>
      <c r="M2359" s="71">
        <f>IF(L2359&lt;1,1,L2359)</f>
        <v>2.9083742984593576</v>
      </c>
      <c r="N2359" s="70" t="s">
        <v>141</v>
      </c>
      <c r="O2359" s="71">
        <f>INDEX(DurClassMapping,MATCH(M2359,MappingTables!$D$4:$D$8,-1),1)</f>
        <v>1</v>
      </c>
      <c r="P2359" s="73">
        <f>IF(M2359=$A$1,1,$M2359-INDEX(MappingTables!$E$4:$E$8,MATCH(O2359,MappingTables!$B$4:$B$8,0)))</f>
        <v>2.9083742984593576</v>
      </c>
      <c r="Q2359" s="71">
        <f>IF(B2359="",0,INDEX(ModelParameters!$D$6:$K$10,MATCH($O2359,ModelParameters!$B$6:$B$10,0),MATCH($J2359,ModelParameters!$D$5:$K$5,0)))</f>
        <v>0.045</v>
      </c>
      <c r="R2359" s="71">
        <f>IF(B2359="",0,INDEX(ModelParameters!$D$13:$K$17,MATCH($O2359,ModelParameters!$B$13:$B$17,0),MATCH($J2359,ModelParameters!$D$5:$K$5,0)))</f>
        <v>0</v>
      </c>
      <c r="S2359" s="160">
        <f>IF(B2359="",0,MIN(IF($N2359="Other Bond TM",ModelParameters!$N$21,1)*(P2359*Q2359+R2359),1))</f>
        <v>0.13087684343067108</v>
      </c>
      <c r="T2359" s="85">
        <f>IF(B2359="",0,$S2359*$K2359)</f>
        <v>24.85380535972366</v>
      </c>
      <c r="U2359" s="85">
        <f>IF(B2359="",0,IF(OR(H2359=MappingTables!$C$34,H2359=MappingTables!$C$35),T2359,0))</f>
        <v>0</v>
      </c>
      <c r="V2359" s="85">
        <f>IF(ISNA(IF(AND(VLOOKUP(CONCATENATE($D2359,$G2359),CSRFinput!$B:$E,4,0)=0,OR(H2359=MappingTables!$C$34,H2359=MappingTables!$C$35)),1,VLOOKUP(CONCATENATE($D2359,$G2359),CSRFinput!$B:$E,4,0))),0,IF(AND(VLOOKUP(CONCATENATE($D2359,$G2359),CSRFinput!$B:$E,4,0)=0,OR(H2359=MappingTables!$C$34,H2359=MappingTables!$C$35)),1,VLOOKUP(CONCATENATE($D2359,$G2359),CSRFinput!$B:$E,4,0)))</f>
        <v>0.054776304963434752</v>
      </c>
      <c r="W2359" s="85">
        <f>IF(B2359="",0,+$T2359*$V2359)</f>
        <v>1.3613996218860724</v>
      </c>
      <c r="X2359" s="85">
        <f>IF(B2359="",0,IF(OR(H2359=MappingTables!$C$34,H2359=MappingTables!$C$35),W2359,0))</f>
        <v>0</v>
      </c>
    </row>
    <row r="2360" spans="2:24" s="0" customFormat="0" ht="15">
      <c r="B2360" s="69" t="s">
        <v>2371</v>
      </c>
      <c r="C2360" s="70" t="s">
        <v>2372</v>
      </c>
      <c r="D2360" s="70" t="s">
        <v>1</v>
      </c>
      <c r="E2360" s="70" t="s">
        <v>1</v>
      </c>
      <c r="F2360" s="70"/>
      <c r="G2360" s="70" t="s">
        <v>61</v>
      </c>
      <c r="H2360" s="70" t="s">
        <v>178</v>
      </c>
      <c r="I2360" s="70" t="s">
        <v>198</v>
      </c>
      <c r="J2360" s="71" t="str">
        <f>IF(OR(I2360=0,I2360=""),"unrated",VLOOKUP(I2360,MappingTables!$B$19:$C$31,2,FALSE))</f>
        <v>unrated</v>
      </c>
      <c r="K2360" s="72">
        <v>108.0553933275656</v>
      </c>
      <c r="L2360" s="70">
        <v>4.3767938781312624</v>
      </c>
      <c r="M2360" s="71">
        <f>IF(L2360&lt;1,1,L2360)</f>
        <v>4.3767938781312624</v>
      </c>
      <c r="N2360" s="70" t="s">
        <v>141</v>
      </c>
      <c r="O2360" s="71">
        <f>INDEX(DurClassMapping,MATCH(M2360,MappingTables!$D$4:$D$8,-1),1)</f>
        <v>1</v>
      </c>
      <c r="P2360" s="73">
        <f>IF(M2360=$A$1,1,$M2360-INDEX(MappingTables!$E$4:$E$8,MATCH(O2360,MappingTables!$B$4:$B$8,0)))</f>
        <v>4.3767938781312624</v>
      </c>
      <c r="Q2360" s="71">
        <f>IF(B2360="",0,INDEX(ModelParameters!$D$6:$K$10,MATCH($O2360,ModelParameters!$B$6:$B$10,0),MATCH($J2360,ModelParameters!$D$5:$K$5,0)))</f>
        <v>0.03</v>
      </c>
      <c r="R2360" s="71">
        <f>IF(B2360="",0,INDEX(ModelParameters!$D$13:$K$17,MATCH($O2360,ModelParameters!$B$13:$B$17,0),MATCH($J2360,ModelParameters!$D$5:$K$5,0)))</f>
        <v>0</v>
      </c>
      <c r="S2360" s="160">
        <f>IF(B2360="",0,MIN(IF($N2360="Other Bond TM",ModelParameters!$N$21,1)*(P2360*Q2360+R2360),1))</f>
        <v>0.13130381634393786</v>
      </c>
      <c r="T2360" s="85">
        <f>IF(B2360="",0,$S2360*$K2360)</f>
        <v>14.188085520454642</v>
      </c>
      <c r="U2360" s="85">
        <f>IF(B2360="",0,IF(OR(H2360=MappingTables!$C$34,H2360=MappingTables!$C$35),T2360,0))</f>
        <v>0</v>
      </c>
      <c r="V2360" s="85">
        <f>IF(ISNA(IF(AND(VLOOKUP(CONCATENATE($D2360,$G2360),CSRFinput!$B:$E,4,0)=0,OR(H2360=MappingTables!$C$34,H2360=MappingTables!$C$35)),1,VLOOKUP(CONCATENATE($D2360,$G2360),CSRFinput!$B:$E,4,0))),0,IF(AND(VLOOKUP(CONCATENATE($D2360,$G2360),CSRFinput!$B:$E,4,0)=0,OR(H2360=MappingTables!$C$34,H2360=MappingTables!$C$35)),1,VLOOKUP(CONCATENATE($D2360,$G2360),CSRFinput!$B:$E,4,0)))</f>
        <v>0.054776304963434752</v>
      </c>
      <c r="W2360" s="85">
        <f>IF(B2360="",0,+$T2360*$V2360)</f>
        <v>0.77717089931571632</v>
      </c>
      <c r="X2360" s="85">
        <f>IF(B2360="",0,IF(OR(H2360=MappingTables!$C$34,H2360=MappingTables!$C$35),W2360,0))</f>
        <v>0</v>
      </c>
    </row>
    <row r="2361" spans="2:24" s="0" customFormat="0" ht="15">
      <c r="B2361" s="69" t="s">
        <v>2373</v>
      </c>
      <c r="C2361" s="70" t="s">
        <v>2374</v>
      </c>
      <c r="D2361" s="70" t="s">
        <v>1</v>
      </c>
      <c r="E2361" s="70" t="s">
        <v>1</v>
      </c>
      <c r="F2361" s="70"/>
      <c r="G2361" s="70" t="s">
        <v>61</v>
      </c>
      <c r="H2361" s="70" t="s">
        <v>178</v>
      </c>
      <c r="I2361" s="70" t="s">
        <v>181</v>
      </c>
      <c r="J2361" s="71">
        <f>IF(OR(I2361=0,I2361=""),"unrated",VLOOKUP(I2361,MappingTables!$B$19:$C$31,2,FALSE))</f>
        <v>3</v>
      </c>
      <c r="K2361" s="72">
        <v>0.63206170550186144</v>
      </c>
      <c r="L2361" s="70">
        <v>0.073970219932684992</v>
      </c>
      <c r="M2361" s="71">
        <f>IF(L2361&lt;1,1,L2361)</f>
        <v>1</v>
      </c>
      <c r="N2361" s="70" t="s">
        <v>141</v>
      </c>
      <c r="O2361" s="71">
        <f>INDEX(DurClassMapping,MATCH(M2361,MappingTables!$D$4:$D$8,-1),1)</f>
        <v>1</v>
      </c>
      <c r="P2361" s="73">
        <f>IF(M2361=$A$1,1,$M2361-INDEX(MappingTables!$E$4:$E$8,MATCH(O2361,MappingTables!$B$4:$B$8,0)))</f>
        <v>1</v>
      </c>
      <c r="Q2361" s="71">
        <f>IF(B2361="",0,INDEX(ModelParameters!$D$6:$K$10,MATCH($O2361,ModelParameters!$B$6:$B$10,0),MATCH($J2361,ModelParameters!$D$5:$K$5,0)))</f>
        <v>0.025</v>
      </c>
      <c r="R2361" s="71">
        <f>IF(B2361="",0,INDEX(ModelParameters!$D$13:$K$17,MATCH($O2361,ModelParameters!$B$13:$B$17,0),MATCH($J2361,ModelParameters!$D$5:$K$5,0)))</f>
        <v>0</v>
      </c>
      <c r="S2361" s="160">
        <f>IF(B2361="",0,MIN(IF($N2361="Other Bond TM",ModelParameters!$N$21,1)*(P2361*Q2361+R2361),1))</f>
        <v>0.025</v>
      </c>
      <c r="T2361" s="85">
        <f>IF(B2361="",0,$S2361*$K2361)</f>
        <v>0.015801542637546538</v>
      </c>
      <c r="U2361" s="85">
        <f>IF(B2361="",0,IF(OR(H2361=MappingTables!$C$34,H2361=MappingTables!$C$35),T2361,0))</f>
        <v>0</v>
      </c>
      <c r="V2361" s="85">
        <f>IF(ISNA(IF(AND(VLOOKUP(CONCATENATE($D2361,$G2361),CSRFinput!$B:$E,4,0)=0,OR(H2361=MappingTables!$C$34,H2361=MappingTables!$C$35)),1,VLOOKUP(CONCATENATE($D2361,$G2361),CSRFinput!$B:$E,4,0))),0,IF(AND(VLOOKUP(CONCATENATE($D2361,$G2361),CSRFinput!$B:$E,4,0)=0,OR(H2361=MappingTables!$C$34,H2361=MappingTables!$C$35)),1,VLOOKUP(CONCATENATE($D2361,$G2361),CSRFinput!$B:$E,4,0)))</f>
        <v>0.054776304963434752</v>
      </c>
      <c r="W2361" s="85">
        <f>IF(B2361="",0,+$T2361*$V2361)</f>
        <v>0.00086555011840696624</v>
      </c>
      <c r="X2361" s="85">
        <f>IF(B2361="",0,IF(OR(H2361=MappingTables!$C$34,H2361=MappingTables!$C$35),W2361,0))</f>
        <v>0</v>
      </c>
    </row>
    <row r="2362" spans="2:24" s="0" customFormat="0" ht="15">
      <c r="B2362" s="69">
        <v>23353567</v>
      </c>
      <c r="C2362" s="70" t="s">
        <v>1199</v>
      </c>
      <c r="D2362" s="70" t="s">
        <v>1</v>
      </c>
      <c r="E2362" s="70" t="s">
        <v>1</v>
      </c>
      <c r="F2362" s="70"/>
      <c r="G2362" s="70" t="s">
        <v>61</v>
      </c>
      <c r="H2362" s="70" t="s">
        <v>178</v>
      </c>
      <c r="I2362" s="70" t="s">
        <v>179</v>
      </c>
      <c r="J2362" s="71">
        <f>IF(OR(I2362=0,I2362=""),"unrated",VLOOKUP(I2362,MappingTables!$B$19:$C$31,2,FALSE))</f>
        <v>4</v>
      </c>
      <c r="K2362" s="72">
        <v>28028.010724359076</v>
      </c>
      <c r="L2362" s="70">
        <v>4.0894651304282376</v>
      </c>
      <c r="M2362" s="71">
        <f>IF(L2362&lt;1,1,L2362)</f>
        <v>4.0894651304282376</v>
      </c>
      <c r="N2362" s="70" t="s">
        <v>141</v>
      </c>
      <c r="O2362" s="71">
        <f>INDEX(DurClassMapping,MATCH(M2362,MappingTables!$D$4:$D$8,-1),1)</f>
        <v>1</v>
      </c>
      <c r="P2362" s="73">
        <f>IF(M2362=$A$1,1,$M2362-INDEX(MappingTables!$E$4:$E$8,MATCH(O2362,MappingTables!$B$4:$B$8,0)))</f>
        <v>4.0894651304282376</v>
      </c>
      <c r="Q2362" s="71">
        <f>IF(B2362="",0,INDEX(ModelParameters!$D$6:$K$10,MATCH($O2362,ModelParameters!$B$6:$B$10,0),MATCH($J2362,ModelParameters!$D$5:$K$5,0)))</f>
        <v>0.045</v>
      </c>
      <c r="R2362" s="71">
        <f>IF(B2362="",0,INDEX(ModelParameters!$D$13:$K$17,MATCH($O2362,ModelParameters!$B$13:$B$17,0),MATCH($J2362,ModelParameters!$D$5:$K$5,0)))</f>
        <v>0</v>
      </c>
      <c r="S2362" s="160">
        <f>IF(B2362="",0,MIN(IF($N2362="Other Bond TM",ModelParameters!$N$21,1)*(P2362*Q2362+R2362),1))</f>
        <v>0.18402593086927068</v>
      </c>
      <c r="T2362" s="85">
        <f>IF(B2362="",0,$S2362*$K2362)</f>
        <v>5157.8807639640808</v>
      </c>
      <c r="U2362" s="85">
        <f>IF(B2362="",0,IF(OR(H2362=MappingTables!$C$34,H2362=MappingTables!$C$35),T2362,0))</f>
        <v>0</v>
      </c>
      <c r="V2362" s="85">
        <f>IF(ISNA(IF(AND(VLOOKUP(CONCATENATE($D2362,$G2362),CSRFinput!$B:$E,4,0)=0,OR(H2362=MappingTables!$C$34,H2362=MappingTables!$C$35)),1,VLOOKUP(CONCATENATE($D2362,$G2362),CSRFinput!$B:$E,4,0))),0,IF(AND(VLOOKUP(CONCATENATE($D2362,$G2362),CSRFinput!$B:$E,4,0)=0,OR(H2362=MappingTables!$C$34,H2362=MappingTables!$C$35)),1,VLOOKUP(CONCATENATE($D2362,$G2362),CSRFinput!$B:$E,4,0)))</f>
        <v>0.054776304963434752</v>
      </c>
      <c r="W2362" s="85">
        <f>IF(B2362="",0,+$T2362*$V2362)</f>
        <v>282.52964969193032</v>
      </c>
      <c r="X2362" s="85">
        <f>IF(B2362="",0,IF(OR(H2362=MappingTables!$C$34,H2362=MappingTables!$C$35),W2362,0))</f>
        <v>0</v>
      </c>
    </row>
    <row r="2363" spans="2:24" s="0" customFormat="0" ht="15">
      <c r="B2363" s="69">
        <v>4162673</v>
      </c>
      <c r="C2363" s="70" t="s">
        <v>2375</v>
      </c>
      <c r="D2363" s="70" t="s">
        <v>1</v>
      </c>
      <c r="E2363" s="70" t="s">
        <v>1</v>
      </c>
      <c r="F2363" s="70"/>
      <c r="G2363" s="70" t="s">
        <v>61</v>
      </c>
      <c r="H2363" s="70" t="s">
        <v>178</v>
      </c>
      <c r="I2363" s="70" t="s">
        <v>181</v>
      </c>
      <c r="J2363" s="71">
        <f>IF(OR(I2363=0,I2363=""),"unrated",VLOOKUP(I2363,MappingTables!$B$19:$C$31,2,FALSE))</f>
        <v>3</v>
      </c>
      <c r="K2363" s="72">
        <v>575.30139863978528</v>
      </c>
      <c r="L2363" s="70">
        <v>0.95933483834355696</v>
      </c>
      <c r="M2363" s="71">
        <f>IF(L2363&lt;1,1,L2363)</f>
        <v>1</v>
      </c>
      <c r="N2363" s="70" t="s">
        <v>141</v>
      </c>
      <c r="O2363" s="71">
        <f>INDEX(DurClassMapping,MATCH(M2363,MappingTables!$D$4:$D$8,-1),1)</f>
        <v>1</v>
      </c>
      <c r="P2363" s="73">
        <f>IF(M2363=$A$1,1,$M2363-INDEX(MappingTables!$E$4:$E$8,MATCH(O2363,MappingTables!$B$4:$B$8,0)))</f>
        <v>1</v>
      </c>
      <c r="Q2363" s="71">
        <f>IF(B2363="",0,INDEX(ModelParameters!$D$6:$K$10,MATCH($O2363,ModelParameters!$B$6:$B$10,0),MATCH($J2363,ModelParameters!$D$5:$K$5,0)))</f>
        <v>0.025</v>
      </c>
      <c r="R2363" s="71">
        <f>IF(B2363="",0,INDEX(ModelParameters!$D$13:$K$17,MATCH($O2363,ModelParameters!$B$13:$B$17,0),MATCH($J2363,ModelParameters!$D$5:$K$5,0)))</f>
        <v>0</v>
      </c>
      <c r="S2363" s="160">
        <f>IF(B2363="",0,MIN(IF($N2363="Other Bond TM",ModelParameters!$N$21,1)*(P2363*Q2363+R2363),1))</f>
        <v>0.025</v>
      </c>
      <c r="T2363" s="85">
        <f>IF(B2363="",0,$S2363*$K2363)</f>
        <v>14.382534965994632</v>
      </c>
      <c r="U2363" s="85">
        <f>IF(B2363="",0,IF(OR(H2363=MappingTables!$C$34,H2363=MappingTables!$C$35),T2363,0))</f>
        <v>0</v>
      </c>
      <c r="V2363" s="85">
        <f>IF(ISNA(IF(AND(VLOOKUP(CONCATENATE($D2363,$G2363),CSRFinput!$B:$E,4,0)=0,OR(H2363=MappingTables!$C$34,H2363=MappingTables!$C$35)),1,VLOOKUP(CONCATENATE($D2363,$G2363),CSRFinput!$B:$E,4,0))),0,IF(AND(VLOOKUP(CONCATENATE($D2363,$G2363),CSRFinput!$B:$E,4,0)=0,OR(H2363=MappingTables!$C$34,H2363=MappingTables!$C$35)),1,VLOOKUP(CONCATENATE($D2363,$G2363),CSRFinput!$B:$E,4,0)))</f>
        <v>0.054776304963434752</v>
      </c>
      <c r="W2363" s="85">
        <f>IF(B2363="",0,+$T2363*$V2363)</f>
        <v>0.7878221214445856</v>
      </c>
      <c r="X2363" s="85">
        <f>IF(B2363="",0,IF(OR(H2363=MappingTables!$C$34,H2363=MappingTables!$C$35),W2363,0))</f>
        <v>0</v>
      </c>
    </row>
    <row r="2364" spans="2:24" s="0" customFormat="0" ht="15">
      <c r="B2364" s="69">
        <v>13230594</v>
      </c>
      <c r="C2364" s="70" t="s">
        <v>2376</v>
      </c>
      <c r="D2364" s="70" t="s">
        <v>1</v>
      </c>
      <c r="E2364" s="70" t="s">
        <v>1</v>
      </c>
      <c r="F2364" s="70"/>
      <c r="G2364" s="70" t="s">
        <v>61</v>
      </c>
      <c r="H2364" s="70" t="s">
        <v>178</v>
      </c>
      <c r="I2364" s="70" t="s">
        <v>188</v>
      </c>
      <c r="J2364" s="71">
        <f>IF(OR(I2364=0,I2364=""),"unrated",VLOOKUP(I2364,MappingTables!$B$19:$C$31,2,FALSE))</f>
        <v>2</v>
      </c>
      <c r="K2364" s="72">
        <v>17665.983812214726</v>
      </c>
      <c r="L2364" s="70">
        <v>2.919447298473974</v>
      </c>
      <c r="M2364" s="71">
        <f>IF(L2364&lt;1,1,L2364)</f>
        <v>2.919447298473974</v>
      </c>
      <c r="N2364" s="70" t="s">
        <v>141</v>
      </c>
      <c r="O2364" s="71">
        <f>INDEX(DurClassMapping,MATCH(M2364,MappingTables!$D$4:$D$8,-1),1)</f>
        <v>1</v>
      </c>
      <c r="P2364" s="73">
        <f>IF(M2364=$A$1,1,$M2364-INDEX(MappingTables!$E$4:$E$8,MATCH(O2364,MappingTables!$B$4:$B$8,0)))</f>
        <v>2.919447298473974</v>
      </c>
      <c r="Q2364" s="71">
        <f>IF(B2364="",0,INDEX(ModelParameters!$D$6:$K$10,MATCH($O2364,ModelParameters!$B$6:$B$10,0),MATCH($J2364,ModelParameters!$D$5:$K$5,0)))</f>
        <v>0.013999999999999998</v>
      </c>
      <c r="R2364" s="71">
        <f>IF(B2364="",0,INDEX(ModelParameters!$D$13:$K$17,MATCH($O2364,ModelParameters!$B$13:$B$17,0),MATCH($J2364,ModelParameters!$D$5:$K$5,0)))</f>
        <v>0</v>
      </c>
      <c r="S2364" s="160">
        <f>IF(B2364="",0,MIN(IF($N2364="Other Bond TM",ModelParameters!$N$21,1)*(P2364*Q2364+R2364),1))</f>
        <v>0.040872262178635632</v>
      </c>
      <c r="T2364" s="85">
        <f>IF(B2364="",0,$S2364*$K2364)</f>
        <v>722.04872201637328</v>
      </c>
      <c r="U2364" s="85">
        <f>IF(B2364="",0,IF(OR(H2364=MappingTables!$C$34,H2364=MappingTables!$C$35),T2364,0))</f>
        <v>0</v>
      </c>
      <c r="V2364" s="85">
        <f>IF(ISNA(IF(AND(VLOOKUP(CONCATENATE($D2364,$G2364),CSRFinput!$B:$E,4,0)=0,OR(H2364=MappingTables!$C$34,H2364=MappingTables!$C$35)),1,VLOOKUP(CONCATENATE($D2364,$G2364),CSRFinput!$B:$E,4,0))),0,IF(AND(VLOOKUP(CONCATENATE($D2364,$G2364),CSRFinput!$B:$E,4,0)=0,OR(H2364=MappingTables!$C$34,H2364=MappingTables!$C$35)),1,VLOOKUP(CONCATENATE($D2364,$G2364),CSRFinput!$B:$E,4,0)))</f>
        <v>0.054776304963434752</v>
      </c>
      <c r="W2364" s="85">
        <f>IF(B2364="",0,+$T2364*$V2364)</f>
        <v>39.551160995627184</v>
      </c>
      <c r="X2364" s="85">
        <f>IF(B2364="",0,IF(OR(H2364=MappingTables!$C$34,H2364=MappingTables!$C$35),W2364,0))</f>
        <v>0</v>
      </c>
    </row>
    <row r="2365" spans="2:24" s="0" customFormat="0" ht="15">
      <c r="B2365" s="69">
        <v>7676900</v>
      </c>
      <c r="C2365" s="70" t="s">
        <v>720</v>
      </c>
      <c r="D2365" s="70" t="s">
        <v>1</v>
      </c>
      <c r="E2365" s="70" t="s">
        <v>1</v>
      </c>
      <c r="F2365" s="70"/>
      <c r="G2365" s="70" t="s">
        <v>61</v>
      </c>
      <c r="H2365" s="70" t="s">
        <v>178</v>
      </c>
      <c r="I2365" s="70" t="s">
        <v>198</v>
      </c>
      <c r="J2365" s="71" t="str">
        <f>IF(OR(I2365=0,I2365=""),"unrated",VLOOKUP(I2365,MappingTables!$B$19:$C$31,2,FALSE))</f>
        <v>unrated</v>
      </c>
      <c r="K2365" s="72">
        <v>281.0220473951518</v>
      </c>
      <c r="L2365" s="70">
        <v>0.03835337148284956</v>
      </c>
      <c r="M2365" s="71">
        <f>IF(L2365&lt;1,1,L2365)</f>
        <v>1</v>
      </c>
      <c r="N2365" s="70" t="s">
        <v>141</v>
      </c>
      <c r="O2365" s="71">
        <f>INDEX(DurClassMapping,MATCH(M2365,MappingTables!$D$4:$D$8,-1),1)</f>
        <v>1</v>
      </c>
      <c r="P2365" s="73">
        <f>IF(M2365=$A$1,1,$M2365-INDEX(MappingTables!$E$4:$E$8,MATCH(O2365,MappingTables!$B$4:$B$8,0)))</f>
        <v>1</v>
      </c>
      <c r="Q2365" s="71">
        <f>IF(B2365="",0,INDEX(ModelParameters!$D$6:$K$10,MATCH($O2365,ModelParameters!$B$6:$B$10,0),MATCH($J2365,ModelParameters!$D$5:$K$5,0)))</f>
        <v>0.03</v>
      </c>
      <c r="R2365" s="71">
        <f>IF(B2365="",0,INDEX(ModelParameters!$D$13:$K$17,MATCH($O2365,ModelParameters!$B$13:$B$17,0),MATCH($J2365,ModelParameters!$D$5:$K$5,0)))</f>
        <v>0</v>
      </c>
      <c r="S2365" s="160">
        <f>IF(B2365="",0,MIN(IF($N2365="Other Bond TM",ModelParameters!$N$21,1)*(P2365*Q2365+R2365),1))</f>
        <v>0.03</v>
      </c>
      <c r="T2365" s="85">
        <f>IF(B2365="",0,$S2365*$K2365)</f>
        <v>8.4306614218545536</v>
      </c>
      <c r="U2365" s="85">
        <f>IF(B2365="",0,IF(OR(H2365=MappingTables!$C$34,H2365=MappingTables!$C$35),T2365,0))</f>
        <v>0</v>
      </c>
      <c r="V2365" s="85">
        <f>IF(ISNA(IF(AND(VLOOKUP(CONCATENATE($D2365,$G2365),CSRFinput!$B:$E,4,0)=0,OR(H2365=MappingTables!$C$34,H2365=MappingTables!$C$35)),1,VLOOKUP(CONCATENATE($D2365,$G2365),CSRFinput!$B:$E,4,0))),0,IF(AND(VLOOKUP(CONCATENATE($D2365,$G2365),CSRFinput!$B:$E,4,0)=0,OR(H2365=MappingTables!$C$34,H2365=MappingTables!$C$35)),1,VLOOKUP(CONCATENATE($D2365,$G2365),CSRFinput!$B:$E,4,0)))</f>
        <v>0.054776304963434752</v>
      </c>
      <c r="W2365" s="85">
        <f>IF(B2365="",0,+$T2365*$V2365)</f>
        <v>0.46180048108696944</v>
      </c>
      <c r="X2365" s="85">
        <f>IF(B2365="",0,IF(OR(H2365=MappingTables!$C$34,H2365=MappingTables!$C$35),W2365,0))</f>
        <v>0</v>
      </c>
    </row>
    <row r="2366" spans="2:24" s="0" customFormat="0" ht="15">
      <c r="B2366" s="69">
        <v>24747510</v>
      </c>
      <c r="C2366" s="70" t="s">
        <v>2377</v>
      </c>
      <c r="D2366" s="70" t="s">
        <v>1</v>
      </c>
      <c r="E2366" s="70" t="s">
        <v>1</v>
      </c>
      <c r="F2366" s="70"/>
      <c r="G2366" s="70" t="s">
        <v>61</v>
      </c>
      <c r="H2366" s="70" t="s">
        <v>178</v>
      </c>
      <c r="I2366" s="70" t="s">
        <v>188</v>
      </c>
      <c r="J2366" s="71">
        <f>IF(OR(I2366=0,I2366=""),"unrated",VLOOKUP(I2366,MappingTables!$B$19:$C$31,2,FALSE))</f>
        <v>2</v>
      </c>
      <c r="K2366" s="72">
        <v>484.5933934186388</v>
      </c>
      <c r="L2366" s="70">
        <v>2.7950919098437364</v>
      </c>
      <c r="M2366" s="71">
        <f>IF(L2366&lt;1,1,L2366)</f>
        <v>2.7950919098437364</v>
      </c>
      <c r="N2366" s="70" t="s">
        <v>141</v>
      </c>
      <c r="O2366" s="71">
        <f>INDEX(DurClassMapping,MATCH(M2366,MappingTables!$D$4:$D$8,-1),1)</f>
        <v>1</v>
      </c>
      <c r="P2366" s="73">
        <f>IF(M2366=$A$1,1,$M2366-INDEX(MappingTables!$E$4:$E$8,MATCH(O2366,MappingTables!$B$4:$B$8,0)))</f>
        <v>2.7950919098437364</v>
      </c>
      <c r="Q2366" s="71">
        <f>IF(B2366="",0,INDEX(ModelParameters!$D$6:$K$10,MATCH($O2366,ModelParameters!$B$6:$B$10,0),MATCH($J2366,ModelParameters!$D$5:$K$5,0)))</f>
        <v>0.013999999999999998</v>
      </c>
      <c r="R2366" s="71">
        <f>IF(B2366="",0,INDEX(ModelParameters!$D$13:$K$17,MATCH($O2366,ModelParameters!$B$13:$B$17,0),MATCH($J2366,ModelParameters!$D$5:$K$5,0)))</f>
        <v>0</v>
      </c>
      <c r="S2366" s="160">
        <f>IF(B2366="",0,MIN(IF($N2366="Other Bond TM",ModelParameters!$N$21,1)*(P2366*Q2366+R2366),1))</f>
        <v>0.039131286737812304</v>
      </c>
      <c r="T2366" s="85">
        <f>IF(B2366="",0,$S2366*$K2366)</f>
        <v>18.962763029114244</v>
      </c>
      <c r="U2366" s="85">
        <f>IF(B2366="",0,IF(OR(H2366=MappingTables!$C$34,H2366=MappingTables!$C$35),T2366,0))</f>
        <v>0</v>
      </c>
      <c r="V2366" s="85">
        <f>IF(ISNA(IF(AND(VLOOKUP(CONCATENATE($D2366,$G2366),CSRFinput!$B:$E,4,0)=0,OR(H2366=MappingTables!$C$34,H2366=MappingTables!$C$35)),1,VLOOKUP(CONCATENATE($D2366,$G2366),CSRFinput!$B:$E,4,0))),0,IF(AND(VLOOKUP(CONCATENATE($D2366,$G2366),CSRFinput!$B:$E,4,0)=0,OR(H2366=MappingTables!$C$34,H2366=MappingTables!$C$35)),1,VLOOKUP(CONCATENATE($D2366,$G2366),CSRFinput!$B:$E,4,0)))</f>
        <v>0.054776304963434752</v>
      </c>
      <c r="W2366" s="85">
        <f>IF(B2366="",0,+$T2366*$V2366)</f>
        <v>1.0387100906321076</v>
      </c>
      <c r="X2366" s="85">
        <f>IF(B2366="",0,IF(OR(H2366=MappingTables!$C$34,H2366=MappingTables!$C$35),W2366,0))</f>
        <v>0</v>
      </c>
    </row>
    <row r="2367" spans="2:24" s="0" customFormat="0" ht="15">
      <c r="B2367" s="69">
        <v>13672875</v>
      </c>
      <c r="C2367" s="70" t="s">
        <v>2141</v>
      </c>
      <c r="D2367" s="70" t="s">
        <v>1</v>
      </c>
      <c r="E2367" s="70" t="s">
        <v>1</v>
      </c>
      <c r="F2367" s="70"/>
      <c r="G2367" s="70" t="s">
        <v>61</v>
      </c>
      <c r="H2367" s="70" t="s">
        <v>178</v>
      </c>
      <c r="I2367" s="70" t="s">
        <v>181</v>
      </c>
      <c r="J2367" s="71">
        <f>IF(OR(I2367=0,I2367=""),"unrated",VLOOKUP(I2367,MappingTables!$B$19:$C$31,2,FALSE))</f>
        <v>3</v>
      </c>
      <c r="K2367" s="72">
        <v>389.5286706455104</v>
      </c>
      <c r="L2367" s="70">
        <v>5.6240868963255056</v>
      </c>
      <c r="M2367" s="71">
        <f>IF(L2367&lt;1,1,L2367)</f>
        <v>5.6240868963255056</v>
      </c>
      <c r="N2367" s="70" t="s">
        <v>141</v>
      </c>
      <c r="O2367" s="71">
        <f>INDEX(DurClassMapping,MATCH(M2367,MappingTables!$D$4:$D$8,-1),1)</f>
        <v>2</v>
      </c>
      <c r="P2367" s="73">
        <f>IF(M2367=$A$1,1,$M2367-INDEX(MappingTables!$E$4:$E$8,MATCH(O2367,MappingTables!$B$4:$B$8,0)))</f>
        <v>0.62408689632550552</v>
      </c>
      <c r="Q2367" s="71">
        <f>IF(B2367="",0,INDEX(ModelParameters!$D$6:$K$10,MATCH($O2367,ModelParameters!$B$6:$B$10,0),MATCH($J2367,ModelParameters!$D$5:$K$5,0)))</f>
        <v>0.015</v>
      </c>
      <c r="R2367" s="71">
        <f>IF(B2367="",0,INDEX(ModelParameters!$D$13:$K$17,MATCH($O2367,ModelParameters!$B$13:$B$17,0),MATCH($J2367,ModelParameters!$D$5:$K$5,0)))</f>
        <v>0.125</v>
      </c>
      <c r="S2367" s="160">
        <f>IF(B2367="",0,MIN(IF($N2367="Other Bond TM",ModelParameters!$N$21,1)*(P2367*Q2367+R2367),1))</f>
        <v>0.1343613034448826</v>
      </c>
      <c r="T2367" s="85">
        <f>IF(B2367="",0,$S2367*$K2367)</f>
        <v>52.337579917083144</v>
      </c>
      <c r="U2367" s="85">
        <f>IF(B2367="",0,IF(OR(H2367=MappingTables!$C$34,H2367=MappingTables!$C$35),T2367,0))</f>
        <v>0</v>
      </c>
      <c r="V2367" s="85">
        <f>IF(ISNA(IF(AND(VLOOKUP(CONCATENATE($D2367,$G2367),CSRFinput!$B:$E,4,0)=0,OR(H2367=MappingTables!$C$34,H2367=MappingTables!$C$35)),1,VLOOKUP(CONCATENATE($D2367,$G2367),CSRFinput!$B:$E,4,0))),0,IF(AND(VLOOKUP(CONCATENATE($D2367,$G2367),CSRFinput!$B:$E,4,0)=0,OR(H2367=MappingTables!$C$34,H2367=MappingTables!$C$35)),1,VLOOKUP(CONCATENATE($D2367,$G2367),CSRFinput!$B:$E,4,0)))</f>
        <v>0.054776304963434752</v>
      </c>
      <c r="W2367" s="85">
        <f>IF(B2367="",0,+$T2367*$V2367)</f>
        <v>2.8668592385862848</v>
      </c>
      <c r="X2367" s="85">
        <f>IF(B2367="",0,IF(OR(H2367=MappingTables!$C$34,H2367=MappingTables!$C$35),W2367,0))</f>
        <v>0</v>
      </c>
    </row>
    <row r="2368" spans="2:24" s="0" customFormat="0" ht="15">
      <c r="B2368" s="69">
        <v>20844759</v>
      </c>
      <c r="C2368" s="70" t="s">
        <v>2378</v>
      </c>
      <c r="D2368" s="70" t="s">
        <v>1</v>
      </c>
      <c r="E2368" s="70" t="s">
        <v>1</v>
      </c>
      <c r="F2368" s="70"/>
      <c r="G2368" s="70" t="s">
        <v>61</v>
      </c>
      <c r="H2368" s="70" t="s">
        <v>178</v>
      </c>
      <c r="I2368" s="70" t="s">
        <v>188</v>
      </c>
      <c r="J2368" s="71">
        <f>IF(OR(I2368=0,I2368=""),"unrated",VLOOKUP(I2368,MappingTables!$B$19:$C$31,2,FALSE))</f>
        <v>2</v>
      </c>
      <c r="K2368" s="72">
        <v>3325.603410594366</v>
      </c>
      <c r="L2368" s="70">
        <v>3.5444779518714796</v>
      </c>
      <c r="M2368" s="71">
        <f>IF(L2368&lt;1,1,L2368)</f>
        <v>3.5444779518714796</v>
      </c>
      <c r="N2368" s="70" t="s">
        <v>141</v>
      </c>
      <c r="O2368" s="71">
        <f>INDEX(DurClassMapping,MATCH(M2368,MappingTables!$D$4:$D$8,-1),1)</f>
        <v>1</v>
      </c>
      <c r="P2368" s="73">
        <f>IF(M2368=$A$1,1,$M2368-INDEX(MappingTables!$E$4:$E$8,MATCH(O2368,MappingTables!$B$4:$B$8,0)))</f>
        <v>3.5444779518714796</v>
      </c>
      <c r="Q2368" s="71">
        <f>IF(B2368="",0,INDEX(ModelParameters!$D$6:$K$10,MATCH($O2368,ModelParameters!$B$6:$B$10,0),MATCH($J2368,ModelParameters!$D$5:$K$5,0)))</f>
        <v>0.013999999999999998</v>
      </c>
      <c r="R2368" s="71">
        <f>IF(B2368="",0,INDEX(ModelParameters!$D$13:$K$17,MATCH($O2368,ModelParameters!$B$13:$B$17,0),MATCH($J2368,ModelParameters!$D$5:$K$5,0)))</f>
        <v>0</v>
      </c>
      <c r="S2368" s="160">
        <f>IF(B2368="",0,MIN(IF($N2368="Other Bond TM",ModelParameters!$N$21,1)*(P2368*Q2368+R2368),1))</f>
        <v>0.049622691326200712</v>
      </c>
      <c r="T2368" s="85">
        <f>IF(B2368="",0,$S2368*$K2368)</f>
        <v>165.02539151728454</v>
      </c>
      <c r="U2368" s="85">
        <f>IF(B2368="",0,IF(OR(H2368=MappingTables!$C$34,H2368=MappingTables!$C$35),T2368,0))</f>
        <v>0</v>
      </c>
      <c r="V2368" s="85">
        <f>IF(ISNA(IF(AND(VLOOKUP(CONCATENATE($D2368,$G2368),CSRFinput!$B:$E,4,0)=0,OR(H2368=MappingTables!$C$34,H2368=MappingTables!$C$35)),1,VLOOKUP(CONCATENATE($D2368,$G2368),CSRFinput!$B:$E,4,0))),0,IF(AND(VLOOKUP(CONCATENATE($D2368,$G2368),CSRFinput!$B:$E,4,0)=0,OR(H2368=MappingTables!$C$34,H2368=MappingTables!$C$35)),1,VLOOKUP(CONCATENATE($D2368,$G2368),CSRFinput!$B:$E,4,0)))</f>
        <v>0.054776304963434752</v>
      </c>
      <c r="W2368" s="85">
        <f>IF(B2368="",0,+$T2368*$V2368)</f>
        <v>9.0394811724609968</v>
      </c>
      <c r="X2368" s="85">
        <f>IF(B2368="",0,IF(OR(H2368=MappingTables!$C$34,H2368=MappingTables!$C$35),W2368,0))</f>
        <v>0</v>
      </c>
    </row>
    <row r="2369" spans="2:24" s="0" customFormat="0" ht="15">
      <c r="B2369" s="69">
        <v>17282284</v>
      </c>
      <c r="C2369" s="70" t="s">
        <v>635</v>
      </c>
      <c r="D2369" s="70" t="s">
        <v>1</v>
      </c>
      <c r="E2369" s="70" t="s">
        <v>1</v>
      </c>
      <c r="F2369" s="70"/>
      <c r="G2369" s="70" t="s">
        <v>61</v>
      </c>
      <c r="H2369" s="70" t="s">
        <v>178</v>
      </c>
      <c r="I2369" s="70" t="s">
        <v>220</v>
      </c>
      <c r="J2369" s="71">
        <f>IF(OR(I2369=0,I2369=""),"unrated",VLOOKUP(I2369,MappingTables!$B$19:$C$31,2,FALSE))</f>
        <v>1</v>
      </c>
      <c r="K2369" s="72">
        <v>4388.1237299829032</v>
      </c>
      <c r="L2369" s="70">
        <v>0.54049186819659936</v>
      </c>
      <c r="M2369" s="71">
        <f>IF(L2369&lt;1,1,L2369)</f>
        <v>1</v>
      </c>
      <c r="N2369" s="70" t="s">
        <v>141</v>
      </c>
      <c r="O2369" s="71">
        <f>INDEX(DurClassMapping,MATCH(M2369,MappingTables!$D$4:$D$8,-1),1)</f>
        <v>1</v>
      </c>
      <c r="P2369" s="73">
        <f>IF(M2369=$A$1,1,$M2369-INDEX(MappingTables!$E$4:$E$8,MATCH(O2369,MappingTables!$B$4:$B$8,0)))</f>
        <v>1</v>
      </c>
      <c r="Q2369" s="71">
        <f>IF(B2369="",0,INDEX(ModelParameters!$D$6:$K$10,MATCH($O2369,ModelParameters!$B$6:$B$10,0),MATCH($J2369,ModelParameters!$D$5:$K$5,0)))</f>
        <v>0.011000000000000002</v>
      </c>
      <c r="R2369" s="71">
        <f>IF(B2369="",0,INDEX(ModelParameters!$D$13:$K$17,MATCH($O2369,ModelParameters!$B$13:$B$17,0),MATCH($J2369,ModelParameters!$D$5:$K$5,0)))</f>
        <v>0</v>
      </c>
      <c r="S2369" s="160">
        <f>IF(B2369="",0,MIN(IF($N2369="Other Bond TM",ModelParameters!$N$21,1)*(P2369*Q2369+R2369),1))</f>
        <v>0.011000000000000002</v>
      </c>
      <c r="T2369" s="85">
        <f>IF(B2369="",0,$S2369*$K2369)</f>
        <v>48.269361029811944</v>
      </c>
      <c r="U2369" s="85">
        <f>IF(B2369="",0,IF(OR(H2369=MappingTables!$C$34,H2369=MappingTables!$C$35),T2369,0))</f>
        <v>0</v>
      </c>
      <c r="V2369" s="85">
        <f>IF(ISNA(IF(AND(VLOOKUP(CONCATENATE($D2369,$G2369),CSRFinput!$B:$E,4,0)=0,OR(H2369=MappingTables!$C$34,H2369=MappingTables!$C$35)),1,VLOOKUP(CONCATENATE($D2369,$G2369),CSRFinput!$B:$E,4,0))),0,IF(AND(VLOOKUP(CONCATENATE($D2369,$G2369),CSRFinput!$B:$E,4,0)=0,OR(H2369=MappingTables!$C$34,H2369=MappingTables!$C$35)),1,VLOOKUP(CONCATENATE($D2369,$G2369),CSRFinput!$B:$E,4,0)))</f>
        <v>0.054776304963434752</v>
      </c>
      <c r="W2369" s="85">
        <f>IF(B2369="",0,+$T2369*$V2369)</f>
        <v>2.644017240159112</v>
      </c>
      <c r="X2369" s="85">
        <f>IF(B2369="",0,IF(OR(H2369=MappingTables!$C$34,H2369=MappingTables!$C$35),W2369,0))</f>
        <v>0</v>
      </c>
    </row>
    <row r="2370" spans="2:24" s="0" customFormat="0" ht="15">
      <c r="B2370" s="69">
        <v>19739607</v>
      </c>
      <c r="C2370" s="70" t="s">
        <v>2379</v>
      </c>
      <c r="D2370" s="70" t="s">
        <v>1</v>
      </c>
      <c r="E2370" s="70" t="s">
        <v>1</v>
      </c>
      <c r="F2370" s="70"/>
      <c r="G2370" s="70" t="s">
        <v>61</v>
      </c>
      <c r="H2370" s="70" t="s">
        <v>178</v>
      </c>
      <c r="I2370" s="70" t="s">
        <v>184</v>
      </c>
      <c r="J2370" s="71">
        <f>IF(OR(I2370=0,I2370=""),"unrated",VLOOKUP(I2370,MappingTables!$B$19:$C$31,2,FALSE))</f>
        <v>5</v>
      </c>
      <c r="K2370" s="72">
        <v>273.52005122868876</v>
      </c>
      <c r="L2370" s="70">
        <v>0.4164396879508516</v>
      </c>
      <c r="M2370" s="71">
        <f>IF(L2370&lt;1,1,L2370)</f>
        <v>1</v>
      </c>
      <c r="N2370" s="70" t="s">
        <v>141</v>
      </c>
      <c r="O2370" s="71">
        <f>INDEX(DurClassMapping,MATCH(M2370,MappingTables!$D$4:$D$8,-1),1)</f>
        <v>1</v>
      </c>
      <c r="P2370" s="73">
        <f>IF(M2370=$A$1,1,$M2370-INDEX(MappingTables!$E$4:$E$8,MATCH(O2370,MappingTables!$B$4:$B$8,0)))</f>
        <v>1</v>
      </c>
      <c r="Q2370" s="71">
        <f>IF(B2370="",0,INDEX(ModelParameters!$D$6:$K$10,MATCH($O2370,ModelParameters!$B$6:$B$10,0),MATCH($J2370,ModelParameters!$D$5:$K$5,0)))</f>
        <v>0.075</v>
      </c>
      <c r="R2370" s="71">
        <f>IF(B2370="",0,INDEX(ModelParameters!$D$13:$K$17,MATCH($O2370,ModelParameters!$B$13:$B$17,0),MATCH($J2370,ModelParameters!$D$5:$K$5,0)))</f>
        <v>0</v>
      </c>
      <c r="S2370" s="160">
        <f>IF(B2370="",0,MIN(IF($N2370="Other Bond TM",ModelParameters!$N$21,1)*(P2370*Q2370+R2370),1))</f>
        <v>0.075</v>
      </c>
      <c r="T2370" s="85">
        <f>IF(B2370="",0,$S2370*$K2370)</f>
        <v>20.514003842151656</v>
      </c>
      <c r="U2370" s="85">
        <f>IF(B2370="",0,IF(OR(H2370=MappingTables!$C$34,H2370=MappingTables!$C$35),T2370,0))</f>
        <v>0</v>
      </c>
      <c r="V2370" s="85">
        <f>IF(ISNA(IF(AND(VLOOKUP(CONCATENATE($D2370,$G2370),CSRFinput!$B:$E,4,0)=0,OR(H2370=MappingTables!$C$34,H2370=MappingTables!$C$35)),1,VLOOKUP(CONCATENATE($D2370,$G2370),CSRFinput!$B:$E,4,0))),0,IF(AND(VLOOKUP(CONCATENATE($D2370,$G2370),CSRFinput!$B:$E,4,0)=0,OR(H2370=MappingTables!$C$34,H2370=MappingTables!$C$35)),1,VLOOKUP(CONCATENATE($D2370,$G2370),CSRFinput!$B:$E,4,0)))</f>
        <v>0.054776304963434752</v>
      </c>
      <c r="W2370" s="85">
        <f>IF(B2370="",0,+$T2370*$V2370)</f>
        <v>1.1236813304787714</v>
      </c>
      <c r="X2370" s="85">
        <f>IF(B2370="",0,IF(OR(H2370=MappingTables!$C$34,H2370=MappingTables!$C$35),W2370,0))</f>
        <v>0</v>
      </c>
    </row>
    <row r="2371" spans="2:24" s="0" customFormat="0" ht="15">
      <c r="B2371" s="69">
        <v>21719480</v>
      </c>
      <c r="C2371" s="70" t="s">
        <v>252</v>
      </c>
      <c r="D2371" s="70" t="s">
        <v>1</v>
      </c>
      <c r="E2371" s="70" t="s">
        <v>1</v>
      </c>
      <c r="F2371" s="70"/>
      <c r="G2371" s="70" t="s">
        <v>61</v>
      </c>
      <c r="H2371" s="70" t="s">
        <v>178</v>
      </c>
      <c r="I2371" s="70" t="s">
        <v>188</v>
      </c>
      <c r="J2371" s="71">
        <f>IF(OR(I2371=0,I2371=""),"unrated",VLOOKUP(I2371,MappingTables!$B$19:$C$31,2,FALSE))</f>
        <v>2</v>
      </c>
      <c r="K2371" s="72">
        <v>1077.3685029018348</v>
      </c>
      <c r="L2371" s="70">
        <v>1.9463853642842252</v>
      </c>
      <c r="M2371" s="71">
        <f>IF(L2371&lt;1,1,L2371)</f>
        <v>1.9463853642842252</v>
      </c>
      <c r="N2371" s="70" t="s">
        <v>141</v>
      </c>
      <c r="O2371" s="71">
        <f>INDEX(DurClassMapping,MATCH(M2371,MappingTables!$D$4:$D$8,-1),1)</f>
        <v>1</v>
      </c>
      <c r="P2371" s="73">
        <f>IF(M2371=$A$1,1,$M2371-INDEX(MappingTables!$E$4:$E$8,MATCH(O2371,MappingTables!$B$4:$B$8,0)))</f>
        <v>1.9463853642842252</v>
      </c>
      <c r="Q2371" s="71">
        <f>IF(B2371="",0,INDEX(ModelParameters!$D$6:$K$10,MATCH($O2371,ModelParameters!$B$6:$B$10,0),MATCH($J2371,ModelParameters!$D$5:$K$5,0)))</f>
        <v>0.013999999999999998</v>
      </c>
      <c r="R2371" s="71">
        <f>IF(B2371="",0,INDEX(ModelParameters!$D$13:$K$17,MATCH($O2371,ModelParameters!$B$13:$B$17,0),MATCH($J2371,ModelParameters!$D$5:$K$5,0)))</f>
        <v>0</v>
      </c>
      <c r="S2371" s="160">
        <f>IF(B2371="",0,MIN(IF($N2371="Other Bond TM",ModelParameters!$N$21,1)*(P2371*Q2371+R2371),1))</f>
        <v>0.027249395099979148</v>
      </c>
      <c r="T2371" s="85">
        <f>IF(B2371="",0,$S2371*$K2371)</f>
        <v>29.357640003845128</v>
      </c>
      <c r="U2371" s="85">
        <f>IF(B2371="",0,IF(OR(H2371=MappingTables!$C$34,H2371=MappingTables!$C$35),T2371,0))</f>
        <v>0</v>
      </c>
      <c r="V2371" s="85">
        <f>IF(ISNA(IF(AND(VLOOKUP(CONCATENATE($D2371,$G2371),CSRFinput!$B:$E,4,0)=0,OR(H2371=MappingTables!$C$34,H2371=MappingTables!$C$35)),1,VLOOKUP(CONCATENATE($D2371,$G2371),CSRFinput!$B:$E,4,0))),0,IF(AND(VLOOKUP(CONCATENATE($D2371,$G2371),CSRFinput!$B:$E,4,0)=0,OR(H2371=MappingTables!$C$34,H2371=MappingTables!$C$35)),1,VLOOKUP(CONCATENATE($D2371,$G2371),CSRFinput!$B:$E,4,0)))</f>
        <v>0.054776304963434752</v>
      </c>
      <c r="W2371" s="85">
        <f>IF(B2371="",0,+$T2371*$V2371)</f>
        <v>1.6081030418573526</v>
      </c>
      <c r="X2371" s="85">
        <f>IF(B2371="",0,IF(OR(H2371=MappingTables!$C$34,H2371=MappingTables!$C$35),W2371,0))</f>
        <v>0</v>
      </c>
    </row>
    <row r="2372" spans="2:24" s="0" customFormat="0" ht="15">
      <c r="B2372" s="69">
        <v>3953308</v>
      </c>
      <c r="C2372" s="70" t="s">
        <v>2118</v>
      </c>
      <c r="D2372" s="70" t="s">
        <v>1</v>
      </c>
      <c r="E2372" s="70" t="s">
        <v>1</v>
      </c>
      <c r="F2372" s="70"/>
      <c r="G2372" s="70" t="s">
        <v>61</v>
      </c>
      <c r="H2372" s="70" t="s">
        <v>178</v>
      </c>
      <c r="I2372" s="70" t="s">
        <v>188</v>
      </c>
      <c r="J2372" s="71">
        <f>IF(OR(I2372=0,I2372=""),"unrated",VLOOKUP(I2372,MappingTables!$B$19:$C$31,2,FALSE))</f>
        <v>2</v>
      </c>
      <c r="K2372" s="72">
        <v>2.3737122554104844</v>
      </c>
      <c r="L2372" s="70">
        <v>0.68219862889216064</v>
      </c>
      <c r="M2372" s="71">
        <f>IF(L2372&lt;1,1,L2372)</f>
        <v>1</v>
      </c>
      <c r="N2372" s="70" t="s">
        <v>141</v>
      </c>
      <c r="O2372" s="71">
        <f>INDEX(DurClassMapping,MATCH(M2372,MappingTables!$D$4:$D$8,-1),1)</f>
        <v>1</v>
      </c>
      <c r="P2372" s="73">
        <f>IF(M2372=$A$1,1,$M2372-INDEX(MappingTables!$E$4:$E$8,MATCH(O2372,MappingTables!$B$4:$B$8,0)))</f>
        <v>1</v>
      </c>
      <c r="Q2372" s="71">
        <f>IF(B2372="",0,INDEX(ModelParameters!$D$6:$K$10,MATCH($O2372,ModelParameters!$B$6:$B$10,0),MATCH($J2372,ModelParameters!$D$5:$K$5,0)))</f>
        <v>0.013999999999999998</v>
      </c>
      <c r="R2372" s="71">
        <f>IF(B2372="",0,INDEX(ModelParameters!$D$13:$K$17,MATCH($O2372,ModelParameters!$B$13:$B$17,0),MATCH($J2372,ModelParameters!$D$5:$K$5,0)))</f>
        <v>0</v>
      </c>
      <c r="S2372" s="160">
        <f>IF(B2372="",0,MIN(IF($N2372="Other Bond TM",ModelParameters!$N$21,1)*(P2372*Q2372+R2372),1))</f>
        <v>0.013999999999999998</v>
      </c>
      <c r="T2372" s="85">
        <f>IF(B2372="",0,$S2372*$K2372)</f>
        <v>0.033231971575746784</v>
      </c>
      <c r="U2372" s="85">
        <f>IF(B2372="",0,IF(OR(H2372=MappingTables!$C$34,H2372=MappingTables!$C$35),T2372,0))</f>
        <v>0</v>
      </c>
      <c r="V2372" s="85">
        <f>IF(ISNA(IF(AND(VLOOKUP(CONCATENATE($D2372,$G2372),CSRFinput!$B:$E,4,0)=0,OR(H2372=MappingTables!$C$34,H2372=MappingTables!$C$35)),1,VLOOKUP(CONCATENATE($D2372,$G2372),CSRFinput!$B:$E,4,0))),0,IF(AND(VLOOKUP(CONCATENATE($D2372,$G2372),CSRFinput!$B:$E,4,0)=0,OR(H2372=MappingTables!$C$34,H2372=MappingTables!$C$35)),1,VLOOKUP(CONCATENATE($D2372,$G2372),CSRFinput!$B:$E,4,0)))</f>
        <v>0.054776304963434752</v>
      </c>
      <c r="W2372" s="85">
        <f>IF(B2372="",0,+$T2372*$V2372)</f>
        <v>0.0018203246095693012</v>
      </c>
      <c r="X2372" s="85">
        <f>IF(B2372="",0,IF(OR(H2372=MappingTables!$C$34,H2372=MappingTables!$C$35),W2372,0))</f>
        <v>0</v>
      </c>
    </row>
    <row r="2373" spans="2:24" s="0" customFormat="0" ht="15">
      <c r="B2373" s="69">
        <v>11442823</v>
      </c>
      <c r="C2373" s="70" t="s">
        <v>213</v>
      </c>
      <c r="D2373" s="70" t="s">
        <v>1</v>
      </c>
      <c r="E2373" s="70" t="s">
        <v>1</v>
      </c>
      <c r="F2373" s="70"/>
      <c r="G2373" s="70" t="s">
        <v>61</v>
      </c>
      <c r="H2373" s="70" t="s">
        <v>178</v>
      </c>
      <c r="I2373" s="70" t="s">
        <v>188</v>
      </c>
      <c r="J2373" s="71">
        <f>IF(OR(I2373=0,I2373=""),"unrated",VLOOKUP(I2373,MappingTables!$B$19:$C$31,2,FALSE))</f>
        <v>2</v>
      </c>
      <c r="K2373" s="72">
        <v>27.468163427782404</v>
      </c>
      <c r="L2373" s="70">
        <v>0.057532814857853696</v>
      </c>
      <c r="M2373" s="71">
        <f>IF(L2373&lt;1,1,L2373)</f>
        <v>1</v>
      </c>
      <c r="N2373" s="70" t="s">
        <v>141</v>
      </c>
      <c r="O2373" s="71">
        <f>INDEX(DurClassMapping,MATCH(M2373,MappingTables!$D$4:$D$8,-1),1)</f>
        <v>1</v>
      </c>
      <c r="P2373" s="73">
        <f>IF(M2373=$A$1,1,$M2373-INDEX(MappingTables!$E$4:$E$8,MATCH(O2373,MappingTables!$B$4:$B$8,0)))</f>
        <v>1</v>
      </c>
      <c r="Q2373" s="71">
        <f>IF(B2373="",0,INDEX(ModelParameters!$D$6:$K$10,MATCH($O2373,ModelParameters!$B$6:$B$10,0),MATCH($J2373,ModelParameters!$D$5:$K$5,0)))</f>
        <v>0.013999999999999998</v>
      </c>
      <c r="R2373" s="71">
        <f>IF(B2373="",0,INDEX(ModelParameters!$D$13:$K$17,MATCH($O2373,ModelParameters!$B$13:$B$17,0),MATCH($J2373,ModelParameters!$D$5:$K$5,0)))</f>
        <v>0</v>
      </c>
      <c r="S2373" s="160">
        <f>IF(B2373="",0,MIN(IF($N2373="Other Bond TM",ModelParameters!$N$21,1)*(P2373*Q2373+R2373),1))</f>
        <v>0.013999999999999998</v>
      </c>
      <c r="T2373" s="85">
        <f>IF(B2373="",0,$S2373*$K2373)</f>
        <v>0.3845542879889536</v>
      </c>
      <c r="U2373" s="85">
        <f>IF(B2373="",0,IF(OR(H2373=MappingTables!$C$34,H2373=MappingTables!$C$35),T2373,0))</f>
        <v>0</v>
      </c>
      <c r="V2373" s="85">
        <f>IF(ISNA(IF(AND(VLOOKUP(CONCATENATE($D2373,$G2373),CSRFinput!$B:$E,4,0)=0,OR(H2373=MappingTables!$C$34,H2373=MappingTables!$C$35)),1,VLOOKUP(CONCATENATE($D2373,$G2373),CSRFinput!$B:$E,4,0))),0,IF(AND(VLOOKUP(CONCATENATE($D2373,$G2373),CSRFinput!$B:$E,4,0)=0,OR(H2373=MappingTables!$C$34,H2373=MappingTables!$C$35)),1,VLOOKUP(CONCATENATE($D2373,$G2373),CSRFinput!$B:$E,4,0)))</f>
        <v>0.054776304963434752</v>
      </c>
      <c r="W2373" s="85">
        <f>IF(B2373="",0,+$T2373*$V2373)</f>
        <v>0.02106446295387944</v>
      </c>
      <c r="X2373" s="85">
        <f>IF(B2373="",0,IF(OR(H2373=MappingTables!$C$34,H2373=MappingTables!$C$35),W2373,0))</f>
        <v>0</v>
      </c>
    </row>
    <row r="2374" spans="2:24" s="0" customFormat="0" ht="15">
      <c r="B2374" s="69">
        <v>17327948</v>
      </c>
      <c r="C2374" s="70" t="s">
        <v>1568</v>
      </c>
      <c r="D2374" s="70" t="s">
        <v>1</v>
      </c>
      <c r="E2374" s="70" t="s">
        <v>1</v>
      </c>
      <c r="F2374" s="70"/>
      <c r="G2374" s="70" t="s">
        <v>61</v>
      </c>
      <c r="H2374" s="70" t="s">
        <v>178</v>
      </c>
      <c r="I2374" s="70" t="s">
        <v>184</v>
      </c>
      <c r="J2374" s="71">
        <f>IF(OR(I2374=0,I2374=""),"unrated",VLOOKUP(I2374,MappingTables!$B$19:$C$31,2,FALSE))</f>
        <v>5</v>
      </c>
      <c r="K2374" s="72">
        <v>11531.49598147512</v>
      </c>
      <c r="L2374" s="70">
        <v>3.2678435357803908</v>
      </c>
      <c r="M2374" s="71">
        <f>IF(L2374&lt;1,1,L2374)</f>
        <v>3.2678435357803908</v>
      </c>
      <c r="N2374" s="70" t="s">
        <v>141</v>
      </c>
      <c r="O2374" s="71">
        <f>INDEX(DurClassMapping,MATCH(M2374,MappingTables!$D$4:$D$8,-1),1)</f>
        <v>1</v>
      </c>
      <c r="P2374" s="73">
        <f>IF(M2374=$A$1,1,$M2374-INDEX(MappingTables!$E$4:$E$8,MATCH(O2374,MappingTables!$B$4:$B$8,0)))</f>
        <v>3.2678435357803908</v>
      </c>
      <c r="Q2374" s="71">
        <f>IF(B2374="",0,INDEX(ModelParameters!$D$6:$K$10,MATCH($O2374,ModelParameters!$B$6:$B$10,0),MATCH($J2374,ModelParameters!$D$5:$K$5,0)))</f>
        <v>0.075</v>
      </c>
      <c r="R2374" s="71">
        <f>IF(B2374="",0,INDEX(ModelParameters!$D$13:$K$17,MATCH($O2374,ModelParameters!$B$13:$B$17,0),MATCH($J2374,ModelParameters!$D$5:$K$5,0)))</f>
        <v>0</v>
      </c>
      <c r="S2374" s="160">
        <f>IF(B2374="",0,MIN(IF($N2374="Other Bond TM",ModelParameters!$N$21,1)*(P2374*Q2374+R2374),1))</f>
        <v>0.24508826518352932</v>
      </c>
      <c r="T2374" s="85">
        <f>IF(B2374="",0,$S2374*$K2374)</f>
        <v>2826.2343450705768</v>
      </c>
      <c r="U2374" s="85">
        <f>IF(B2374="",0,IF(OR(H2374=MappingTables!$C$34,H2374=MappingTables!$C$35),T2374,0))</f>
        <v>0</v>
      </c>
      <c r="V2374" s="85">
        <f>IF(ISNA(IF(AND(VLOOKUP(CONCATENATE($D2374,$G2374),CSRFinput!$B:$E,4,0)=0,OR(H2374=MappingTables!$C$34,H2374=MappingTables!$C$35)),1,VLOOKUP(CONCATENATE($D2374,$G2374),CSRFinput!$B:$E,4,0))),0,IF(AND(VLOOKUP(CONCATENATE($D2374,$G2374),CSRFinput!$B:$E,4,0)=0,OR(H2374=MappingTables!$C$34,H2374=MappingTables!$C$35)),1,VLOOKUP(CONCATENATE($D2374,$G2374),CSRFinput!$B:$E,4,0)))</f>
        <v>0.054776304963434752</v>
      </c>
      <c r="W2374" s="85">
        <f>IF(B2374="",0,+$T2374*$V2374)</f>
        <v>154.8106743837192</v>
      </c>
      <c r="X2374" s="85">
        <f>IF(B2374="",0,IF(OR(H2374=MappingTables!$C$34,H2374=MappingTables!$C$35),W2374,0))</f>
        <v>0</v>
      </c>
    </row>
    <row r="2375" spans="2:24" s="0" customFormat="0" ht="15">
      <c r="B2375" s="69">
        <v>20584521</v>
      </c>
      <c r="C2375" s="70" t="s">
        <v>630</v>
      </c>
      <c r="D2375" s="70" t="s">
        <v>1</v>
      </c>
      <c r="E2375" s="70" t="s">
        <v>1</v>
      </c>
      <c r="F2375" s="70"/>
      <c r="G2375" s="70" t="s">
        <v>61</v>
      </c>
      <c r="H2375" s="70" t="s">
        <v>178</v>
      </c>
      <c r="I2375" s="70" t="s">
        <v>181</v>
      </c>
      <c r="J2375" s="71">
        <f>IF(OR(I2375=0,I2375=""),"unrated",VLOOKUP(I2375,MappingTables!$B$19:$C$31,2,FALSE))</f>
        <v>3</v>
      </c>
      <c r="K2375" s="72">
        <v>1590.4159304172852</v>
      </c>
      <c r="L2375" s="70">
        <v>3.7740696689219664</v>
      </c>
      <c r="M2375" s="71">
        <f>IF(L2375&lt;1,1,L2375)</f>
        <v>3.7740696689219664</v>
      </c>
      <c r="N2375" s="70" t="s">
        <v>141</v>
      </c>
      <c r="O2375" s="71">
        <f>INDEX(DurClassMapping,MATCH(M2375,MappingTables!$D$4:$D$8,-1),1)</f>
        <v>1</v>
      </c>
      <c r="P2375" s="73">
        <f>IF(M2375=$A$1,1,$M2375-INDEX(MappingTables!$E$4:$E$8,MATCH(O2375,MappingTables!$B$4:$B$8,0)))</f>
        <v>3.7740696689219664</v>
      </c>
      <c r="Q2375" s="71">
        <f>IF(B2375="",0,INDEX(ModelParameters!$D$6:$K$10,MATCH($O2375,ModelParameters!$B$6:$B$10,0),MATCH($J2375,ModelParameters!$D$5:$K$5,0)))</f>
        <v>0.025</v>
      </c>
      <c r="R2375" s="71">
        <f>IF(B2375="",0,INDEX(ModelParameters!$D$13:$K$17,MATCH($O2375,ModelParameters!$B$13:$B$17,0),MATCH($J2375,ModelParameters!$D$5:$K$5,0)))</f>
        <v>0</v>
      </c>
      <c r="S2375" s="160">
        <f>IF(B2375="",0,MIN(IF($N2375="Other Bond TM",ModelParameters!$N$21,1)*(P2375*Q2375+R2375),1))</f>
        <v>0.094351741723049168</v>
      </c>
      <c r="T2375" s="85">
        <f>IF(B2375="",0,$S2375*$K2375)</f>
        <v>150.05851309895462</v>
      </c>
      <c r="U2375" s="85">
        <f>IF(B2375="",0,IF(OR(H2375=MappingTables!$C$34,H2375=MappingTables!$C$35),T2375,0))</f>
        <v>0</v>
      </c>
      <c r="V2375" s="85">
        <f>IF(ISNA(IF(AND(VLOOKUP(CONCATENATE($D2375,$G2375),CSRFinput!$B:$E,4,0)=0,OR(H2375=MappingTables!$C$34,H2375=MappingTables!$C$35)),1,VLOOKUP(CONCATENATE($D2375,$G2375),CSRFinput!$B:$E,4,0))),0,IF(AND(VLOOKUP(CONCATENATE($D2375,$G2375),CSRFinput!$B:$E,4,0)=0,OR(H2375=MappingTables!$C$34,H2375=MappingTables!$C$35)),1,VLOOKUP(CONCATENATE($D2375,$G2375),CSRFinput!$B:$E,4,0)))</f>
        <v>0.054776304963434752</v>
      </c>
      <c r="W2375" s="85">
        <f>IF(B2375="",0,+$T2375*$V2375)</f>
        <v>8.2196508758679072</v>
      </c>
      <c r="X2375" s="85">
        <f>IF(B2375="",0,IF(OR(H2375=MappingTables!$C$34,H2375=MappingTables!$C$35),W2375,0))</f>
        <v>0</v>
      </c>
    </row>
    <row r="2376" spans="2:24" s="0" customFormat="0" ht="15">
      <c r="B2376" s="69">
        <v>13102840</v>
      </c>
      <c r="C2376" s="70" t="s">
        <v>1970</v>
      </c>
      <c r="D2376" s="70" t="s">
        <v>1</v>
      </c>
      <c r="E2376" s="70" t="s">
        <v>1</v>
      </c>
      <c r="F2376" s="70"/>
      <c r="G2376" s="70" t="s">
        <v>61</v>
      </c>
      <c r="H2376" s="70" t="s">
        <v>178</v>
      </c>
      <c r="I2376" s="70" t="s">
        <v>179</v>
      </c>
      <c r="J2376" s="71">
        <f>IF(OR(I2376=0,I2376=""),"unrated",VLOOKUP(I2376,MappingTables!$B$19:$C$31,2,FALSE))</f>
        <v>4</v>
      </c>
      <c r="K2376" s="72">
        <v>106.64320864086144</v>
      </c>
      <c r="L2376" s="70">
        <v>6.620303451696784</v>
      </c>
      <c r="M2376" s="71">
        <f>IF(L2376&lt;1,1,L2376)</f>
        <v>6.620303451696784</v>
      </c>
      <c r="N2376" s="70" t="s">
        <v>141</v>
      </c>
      <c r="O2376" s="71">
        <f>INDEX(DurClassMapping,MATCH(M2376,MappingTables!$D$4:$D$8,-1),1)</f>
        <v>2</v>
      </c>
      <c r="P2376" s="73">
        <f>IF(M2376=$A$1,1,$M2376-INDEX(MappingTables!$E$4:$E$8,MATCH(O2376,MappingTables!$B$4:$B$8,0)))</f>
        <v>1.6203034516967838</v>
      </c>
      <c r="Q2376" s="71">
        <f>IF(B2376="",0,INDEX(ModelParameters!$D$6:$K$10,MATCH($O2376,ModelParameters!$B$6:$B$10,0),MATCH($J2376,ModelParameters!$D$5:$K$5,0)))</f>
        <v>0.025</v>
      </c>
      <c r="R2376" s="71">
        <f>IF(B2376="",0,INDEX(ModelParameters!$D$13:$K$17,MATCH($O2376,ModelParameters!$B$13:$B$17,0),MATCH($J2376,ModelParameters!$D$5:$K$5,0)))</f>
        <v>0.225</v>
      </c>
      <c r="S2376" s="160">
        <f>IF(B2376="",0,MIN(IF($N2376="Other Bond TM",ModelParameters!$N$21,1)*(P2376*Q2376+R2376),1))</f>
        <v>0.2655075862924196</v>
      </c>
      <c r="T2376" s="85">
        <f>IF(B2376="",0,$S2376*$K2376)</f>
        <v>28.314580920714028</v>
      </c>
      <c r="U2376" s="85">
        <f>IF(B2376="",0,IF(OR(H2376=MappingTables!$C$34,H2376=MappingTables!$C$35),T2376,0))</f>
        <v>0</v>
      </c>
      <c r="V2376" s="85">
        <f>IF(ISNA(IF(AND(VLOOKUP(CONCATENATE($D2376,$G2376),CSRFinput!$B:$E,4,0)=0,OR(H2376=MappingTables!$C$34,H2376=MappingTables!$C$35)),1,VLOOKUP(CONCATENATE($D2376,$G2376),CSRFinput!$B:$E,4,0))),0,IF(AND(VLOOKUP(CONCATENATE($D2376,$G2376),CSRFinput!$B:$E,4,0)=0,OR(H2376=MappingTables!$C$34,H2376=MappingTables!$C$35)),1,VLOOKUP(CONCATENATE($D2376,$G2376),CSRFinput!$B:$E,4,0)))</f>
        <v>0.054776304963434752</v>
      </c>
      <c r="W2376" s="85">
        <f>IF(B2376="",0,+$T2376*$V2376)</f>
        <v>1.5509681194248828</v>
      </c>
      <c r="X2376" s="85">
        <f>IF(B2376="",0,IF(OR(H2376=MappingTables!$C$34,H2376=MappingTables!$C$35),W2376,0))</f>
        <v>0</v>
      </c>
    </row>
    <row r="2377" spans="2:24" s="0" customFormat="0" ht="15">
      <c r="B2377" s="69">
        <v>23938408</v>
      </c>
      <c r="C2377" s="70" t="s">
        <v>1549</v>
      </c>
      <c r="D2377" s="70" t="s">
        <v>1</v>
      </c>
      <c r="E2377" s="70" t="s">
        <v>1</v>
      </c>
      <c r="F2377" s="70"/>
      <c r="G2377" s="70" t="s">
        <v>61</v>
      </c>
      <c r="H2377" s="70" t="s">
        <v>178</v>
      </c>
      <c r="I2377" s="70" t="s">
        <v>181</v>
      </c>
      <c r="J2377" s="71">
        <f>IF(OR(I2377=0,I2377=""),"unrated",VLOOKUP(I2377,MappingTables!$B$19:$C$31,2,FALSE))</f>
        <v>3</v>
      </c>
      <c r="K2377" s="72">
        <v>6.569300926778504</v>
      </c>
      <c r="L2377" s="70">
        <v>7.9350206632065568</v>
      </c>
      <c r="M2377" s="71">
        <f>IF(L2377&lt;1,1,L2377)</f>
        <v>7.9350206632065568</v>
      </c>
      <c r="N2377" s="70" t="s">
        <v>141</v>
      </c>
      <c r="O2377" s="71">
        <f>INDEX(DurClassMapping,MATCH(M2377,MappingTables!$D$4:$D$8,-1),1)</f>
        <v>2</v>
      </c>
      <c r="P2377" s="73">
        <f>IF(M2377=$A$1,1,$M2377-INDEX(MappingTables!$E$4:$E$8,MATCH(O2377,MappingTables!$B$4:$B$8,0)))</f>
        <v>2.935020663206556</v>
      </c>
      <c r="Q2377" s="71">
        <f>IF(B2377="",0,INDEX(ModelParameters!$D$6:$K$10,MATCH($O2377,ModelParameters!$B$6:$B$10,0),MATCH($J2377,ModelParameters!$D$5:$K$5,0)))</f>
        <v>0.015</v>
      </c>
      <c r="R2377" s="71">
        <f>IF(B2377="",0,INDEX(ModelParameters!$D$13:$K$17,MATCH($O2377,ModelParameters!$B$13:$B$17,0),MATCH($J2377,ModelParameters!$D$5:$K$5,0)))</f>
        <v>0.125</v>
      </c>
      <c r="S2377" s="160">
        <f>IF(B2377="",0,MIN(IF($N2377="Other Bond TM",ModelParameters!$N$21,1)*(P2377*Q2377+R2377),1))</f>
        <v>0.16902530994809834</v>
      </c>
      <c r="T2377" s="85">
        <f>IF(B2377="",0,$S2377*$K2377)</f>
        <v>1.1103781252910662</v>
      </c>
      <c r="U2377" s="85">
        <f>IF(B2377="",0,IF(OR(H2377=MappingTables!$C$34,H2377=MappingTables!$C$35),T2377,0))</f>
        <v>0</v>
      </c>
      <c r="V2377" s="85">
        <f>IF(ISNA(IF(AND(VLOOKUP(CONCATENATE($D2377,$G2377),CSRFinput!$B:$E,4,0)=0,OR(H2377=MappingTables!$C$34,H2377=MappingTables!$C$35)),1,VLOOKUP(CONCATENATE($D2377,$G2377),CSRFinput!$B:$E,4,0))),0,IF(AND(VLOOKUP(CONCATENATE($D2377,$G2377),CSRFinput!$B:$E,4,0)=0,OR(H2377=MappingTables!$C$34,H2377=MappingTables!$C$35)),1,VLOOKUP(CONCATENATE($D2377,$G2377),CSRFinput!$B:$E,4,0)))</f>
        <v>0.054776304963434752</v>
      </c>
      <c r="W2377" s="85">
        <f>IF(B2377="",0,+$T2377*$V2377)</f>
        <v>0.060822410815670416</v>
      </c>
      <c r="X2377" s="85">
        <f>IF(B2377="",0,IF(OR(H2377=MappingTables!$C$34,H2377=MappingTables!$C$35),W2377,0))</f>
        <v>0</v>
      </c>
    </row>
    <row r="2378" spans="2:24" s="0" customFormat="0" ht="15">
      <c r="B2378" s="69">
        <v>21069413</v>
      </c>
      <c r="C2378" s="70" t="s">
        <v>2380</v>
      </c>
      <c r="D2378" s="70" t="s">
        <v>1</v>
      </c>
      <c r="E2378" s="70" t="s">
        <v>1</v>
      </c>
      <c r="F2378" s="70"/>
      <c r="G2378" s="70" t="s">
        <v>61</v>
      </c>
      <c r="H2378" s="70" t="s">
        <v>178</v>
      </c>
      <c r="I2378" s="70" t="s">
        <v>181</v>
      </c>
      <c r="J2378" s="71">
        <f>IF(OR(I2378=0,I2378=""),"unrated",VLOOKUP(I2378,MappingTables!$B$19:$C$31,2,FALSE))</f>
        <v>3</v>
      </c>
      <c r="K2378" s="72">
        <v>349.81751516854744</v>
      </c>
      <c r="L2378" s="70">
        <v>0.28493052718495804</v>
      </c>
      <c r="M2378" s="71">
        <f>IF(L2378&lt;1,1,L2378)</f>
        <v>1</v>
      </c>
      <c r="N2378" s="70" t="s">
        <v>141</v>
      </c>
      <c r="O2378" s="71">
        <f>INDEX(DurClassMapping,MATCH(M2378,MappingTables!$D$4:$D$8,-1),1)</f>
        <v>1</v>
      </c>
      <c r="P2378" s="73">
        <f>IF(M2378=$A$1,1,$M2378-INDEX(MappingTables!$E$4:$E$8,MATCH(O2378,MappingTables!$B$4:$B$8,0)))</f>
        <v>1</v>
      </c>
      <c r="Q2378" s="71">
        <f>IF(B2378="",0,INDEX(ModelParameters!$D$6:$K$10,MATCH($O2378,ModelParameters!$B$6:$B$10,0),MATCH($J2378,ModelParameters!$D$5:$K$5,0)))</f>
        <v>0.025</v>
      </c>
      <c r="R2378" s="71">
        <f>IF(B2378="",0,INDEX(ModelParameters!$D$13:$K$17,MATCH($O2378,ModelParameters!$B$13:$B$17,0),MATCH($J2378,ModelParameters!$D$5:$K$5,0)))</f>
        <v>0</v>
      </c>
      <c r="S2378" s="160">
        <f>IF(B2378="",0,MIN(IF($N2378="Other Bond TM",ModelParameters!$N$21,1)*(P2378*Q2378+R2378),1))</f>
        <v>0.025</v>
      </c>
      <c r="T2378" s="85">
        <f>IF(B2378="",0,$S2378*$K2378)</f>
        <v>8.745437879213688</v>
      </c>
      <c r="U2378" s="85">
        <f>IF(B2378="",0,IF(OR(H2378=MappingTables!$C$34,H2378=MappingTables!$C$35),T2378,0))</f>
        <v>0</v>
      </c>
      <c r="V2378" s="85">
        <f>IF(ISNA(IF(AND(VLOOKUP(CONCATENATE($D2378,$G2378),CSRFinput!$B:$E,4,0)=0,OR(H2378=MappingTables!$C$34,H2378=MappingTables!$C$35)),1,VLOOKUP(CONCATENATE($D2378,$G2378),CSRFinput!$B:$E,4,0))),0,IF(AND(VLOOKUP(CONCATENATE($D2378,$G2378),CSRFinput!$B:$E,4,0)=0,OR(H2378=MappingTables!$C$34,H2378=MappingTables!$C$35)),1,VLOOKUP(CONCATENATE($D2378,$G2378),CSRFinput!$B:$E,4,0)))</f>
        <v>0.054776304963434752</v>
      </c>
      <c r="W2378" s="85">
        <f>IF(B2378="",0,+$T2378*$V2378)</f>
        <v>0.47904277231058304</v>
      </c>
      <c r="X2378" s="85">
        <f>IF(B2378="",0,IF(OR(H2378=MappingTables!$C$34,H2378=MappingTables!$C$35),W2378,0))</f>
        <v>0</v>
      </c>
    </row>
    <row r="2379" spans="2:24" s="0" customFormat="0" ht="15">
      <c r="B2379" s="69">
        <v>23207309</v>
      </c>
      <c r="C2379" s="70" t="s">
        <v>2381</v>
      </c>
      <c r="D2379" s="70" t="s">
        <v>1</v>
      </c>
      <c r="E2379" s="70" t="s">
        <v>1</v>
      </c>
      <c r="F2379" s="70"/>
      <c r="G2379" s="70" t="s">
        <v>61</v>
      </c>
      <c r="H2379" s="70" t="s">
        <v>178</v>
      </c>
      <c r="I2379" s="70" t="s">
        <v>179</v>
      </c>
      <c r="J2379" s="71">
        <f>IF(OR(I2379=0,I2379=""),"unrated",VLOOKUP(I2379,MappingTables!$B$19:$C$31,2,FALSE))</f>
        <v>4</v>
      </c>
      <c r="K2379" s="72">
        <v>24866.53832396304</v>
      </c>
      <c r="L2379" s="70">
        <v>1.3139096461894308</v>
      </c>
      <c r="M2379" s="71">
        <f>IF(L2379&lt;1,1,L2379)</f>
        <v>1.3139096461894308</v>
      </c>
      <c r="N2379" s="70" t="s">
        <v>141</v>
      </c>
      <c r="O2379" s="71">
        <f>INDEX(DurClassMapping,MATCH(M2379,MappingTables!$D$4:$D$8,-1),1)</f>
        <v>1</v>
      </c>
      <c r="P2379" s="73">
        <f>IF(M2379=$A$1,1,$M2379-INDEX(MappingTables!$E$4:$E$8,MATCH(O2379,MappingTables!$B$4:$B$8,0)))</f>
        <v>1.3139096461894308</v>
      </c>
      <c r="Q2379" s="71">
        <f>IF(B2379="",0,INDEX(ModelParameters!$D$6:$K$10,MATCH($O2379,ModelParameters!$B$6:$B$10,0),MATCH($J2379,ModelParameters!$D$5:$K$5,0)))</f>
        <v>0.045</v>
      </c>
      <c r="R2379" s="71">
        <f>IF(B2379="",0,INDEX(ModelParameters!$D$13:$K$17,MATCH($O2379,ModelParameters!$B$13:$B$17,0),MATCH($J2379,ModelParameters!$D$5:$K$5,0)))</f>
        <v>0</v>
      </c>
      <c r="S2379" s="160">
        <f>IF(B2379="",0,MIN(IF($N2379="Other Bond TM",ModelParameters!$N$21,1)*(P2379*Q2379+R2379),1))</f>
        <v>0.059125934078524384</v>
      </c>
      <c r="T2379" s="85">
        <f>IF(B2379="",0,$S2379*$K2379)</f>
        <v>1470.2573057037388</v>
      </c>
      <c r="U2379" s="85">
        <f>IF(B2379="",0,IF(OR(H2379=MappingTables!$C$34,H2379=MappingTables!$C$35),T2379,0))</f>
        <v>0</v>
      </c>
      <c r="V2379" s="85">
        <f>IF(ISNA(IF(AND(VLOOKUP(CONCATENATE($D2379,$G2379),CSRFinput!$B:$E,4,0)=0,OR(H2379=MappingTables!$C$34,H2379=MappingTables!$C$35)),1,VLOOKUP(CONCATENATE($D2379,$G2379),CSRFinput!$B:$E,4,0))),0,IF(AND(VLOOKUP(CONCATENATE($D2379,$G2379),CSRFinput!$B:$E,4,0)=0,OR(H2379=MappingTables!$C$34,H2379=MappingTables!$C$35)),1,VLOOKUP(CONCATENATE($D2379,$G2379),CSRFinput!$B:$E,4,0)))</f>
        <v>0.054776304963434752</v>
      </c>
      <c r="W2379" s="85">
        <f>IF(B2379="",0,+$T2379*$V2379)</f>
        <v>80.53526255194592</v>
      </c>
      <c r="X2379" s="85">
        <f>IF(B2379="",0,IF(OR(H2379=MappingTables!$C$34,H2379=MappingTables!$C$35),W2379,0))</f>
        <v>0</v>
      </c>
    </row>
    <row r="2380" spans="2:24" s="0" customFormat="0" ht="15">
      <c r="B2380" s="69">
        <v>17170630</v>
      </c>
      <c r="C2380" s="70" t="s">
        <v>2382</v>
      </c>
      <c r="D2380" s="70" t="s">
        <v>1</v>
      </c>
      <c r="E2380" s="70" t="s">
        <v>1</v>
      </c>
      <c r="F2380" s="70"/>
      <c r="G2380" s="70" t="s">
        <v>61</v>
      </c>
      <c r="H2380" s="70" t="s">
        <v>178</v>
      </c>
      <c r="I2380" s="70" t="s">
        <v>184</v>
      </c>
      <c r="J2380" s="71">
        <f>IF(OR(I2380=0,I2380=""),"unrated",VLOOKUP(I2380,MappingTables!$B$19:$C$31,2,FALSE))</f>
        <v>5</v>
      </c>
      <c r="K2380" s="72">
        <v>6691.4285821666472</v>
      </c>
      <c r="L2380" s="70">
        <v>3.7922411704880432</v>
      </c>
      <c r="M2380" s="71">
        <f>IF(L2380&lt;1,1,L2380)</f>
        <v>3.7922411704880432</v>
      </c>
      <c r="N2380" s="70" t="s">
        <v>141</v>
      </c>
      <c r="O2380" s="71">
        <f>INDEX(DurClassMapping,MATCH(M2380,MappingTables!$D$4:$D$8,-1),1)</f>
        <v>1</v>
      </c>
      <c r="P2380" s="73">
        <f>IF(M2380=$A$1,1,$M2380-INDEX(MappingTables!$E$4:$E$8,MATCH(O2380,MappingTables!$B$4:$B$8,0)))</f>
        <v>3.7922411704880432</v>
      </c>
      <c r="Q2380" s="71">
        <f>IF(B2380="",0,INDEX(ModelParameters!$D$6:$K$10,MATCH($O2380,ModelParameters!$B$6:$B$10,0),MATCH($J2380,ModelParameters!$D$5:$K$5,0)))</f>
        <v>0.075</v>
      </c>
      <c r="R2380" s="71">
        <f>IF(B2380="",0,INDEX(ModelParameters!$D$13:$K$17,MATCH($O2380,ModelParameters!$B$13:$B$17,0),MATCH($J2380,ModelParameters!$D$5:$K$5,0)))</f>
        <v>0</v>
      </c>
      <c r="S2380" s="160">
        <f>IF(B2380="",0,MIN(IF($N2380="Other Bond TM",ModelParameters!$N$21,1)*(P2380*Q2380+R2380),1))</f>
        <v>0.2844180877866032</v>
      </c>
      <c r="T2380" s="85">
        <f>IF(B2380="",0,$S2380*$K2380)</f>
        <v>1903.1633219004592</v>
      </c>
      <c r="U2380" s="85">
        <f>IF(B2380="",0,IF(OR(H2380=MappingTables!$C$34,H2380=MappingTables!$C$35),T2380,0))</f>
        <v>0</v>
      </c>
      <c r="V2380" s="85">
        <f>IF(ISNA(IF(AND(VLOOKUP(CONCATENATE($D2380,$G2380),CSRFinput!$B:$E,4,0)=0,OR(H2380=MappingTables!$C$34,H2380=MappingTables!$C$35)),1,VLOOKUP(CONCATENATE($D2380,$G2380),CSRFinput!$B:$E,4,0))),0,IF(AND(VLOOKUP(CONCATENATE($D2380,$G2380),CSRFinput!$B:$E,4,0)=0,OR(H2380=MappingTables!$C$34,H2380=MappingTables!$C$35)),1,VLOOKUP(CONCATENATE($D2380,$G2380),CSRFinput!$B:$E,4,0)))</f>
        <v>0.054776304963434752</v>
      </c>
      <c r="W2380" s="85">
        <f>IF(B2380="",0,+$T2380*$V2380)</f>
        <v>104.2482545156431</v>
      </c>
      <c r="X2380" s="85">
        <f>IF(B2380="",0,IF(OR(H2380=MappingTables!$C$34,H2380=MappingTables!$C$35),W2380,0))</f>
        <v>0</v>
      </c>
    </row>
    <row r="2381" spans="2:24" s="0" customFormat="0" ht="15">
      <c r="B2381" s="69">
        <v>12588128</v>
      </c>
      <c r="C2381" s="70" t="s">
        <v>1764</v>
      </c>
      <c r="D2381" s="70" t="s">
        <v>1</v>
      </c>
      <c r="E2381" s="70" t="s">
        <v>1</v>
      </c>
      <c r="F2381" s="70"/>
      <c r="G2381" s="70" t="s">
        <v>61</v>
      </c>
      <c r="H2381" s="70" t="s">
        <v>178</v>
      </c>
      <c r="I2381" s="70" t="s">
        <v>181</v>
      </c>
      <c r="J2381" s="71">
        <f>IF(OR(I2381=0,I2381=""),"unrated",VLOOKUP(I2381,MappingTables!$B$19:$C$31,2,FALSE))</f>
        <v>3</v>
      </c>
      <c r="K2381" s="72">
        <v>2.93004610443687</v>
      </c>
      <c r="L2381" s="70">
        <v>0.73973338503243376</v>
      </c>
      <c r="M2381" s="71">
        <f>IF(L2381&lt;1,1,L2381)</f>
        <v>1</v>
      </c>
      <c r="N2381" s="70" t="s">
        <v>141</v>
      </c>
      <c r="O2381" s="71">
        <f>INDEX(DurClassMapping,MATCH(M2381,MappingTables!$D$4:$D$8,-1),1)</f>
        <v>1</v>
      </c>
      <c r="P2381" s="73">
        <f>IF(M2381=$A$1,1,$M2381-INDEX(MappingTables!$E$4:$E$8,MATCH(O2381,MappingTables!$B$4:$B$8,0)))</f>
        <v>1</v>
      </c>
      <c r="Q2381" s="71">
        <f>IF(B2381="",0,INDEX(ModelParameters!$D$6:$K$10,MATCH($O2381,ModelParameters!$B$6:$B$10,0),MATCH($J2381,ModelParameters!$D$5:$K$5,0)))</f>
        <v>0.025</v>
      </c>
      <c r="R2381" s="71">
        <f>IF(B2381="",0,INDEX(ModelParameters!$D$13:$K$17,MATCH($O2381,ModelParameters!$B$13:$B$17,0),MATCH($J2381,ModelParameters!$D$5:$K$5,0)))</f>
        <v>0</v>
      </c>
      <c r="S2381" s="160">
        <f>IF(B2381="",0,MIN(IF($N2381="Other Bond TM",ModelParameters!$N$21,1)*(P2381*Q2381+R2381),1))</f>
        <v>0.025</v>
      </c>
      <c r="T2381" s="85">
        <f>IF(B2381="",0,$S2381*$K2381)</f>
        <v>0.07325115261092176</v>
      </c>
      <c r="U2381" s="85">
        <f>IF(B2381="",0,IF(OR(H2381=MappingTables!$C$34,H2381=MappingTables!$C$35),T2381,0))</f>
        <v>0</v>
      </c>
      <c r="V2381" s="85">
        <f>IF(ISNA(IF(AND(VLOOKUP(CONCATENATE($D2381,$G2381),CSRFinput!$B:$E,4,0)=0,OR(H2381=MappingTables!$C$34,H2381=MappingTables!$C$35)),1,VLOOKUP(CONCATENATE($D2381,$G2381),CSRFinput!$B:$E,4,0))),0,IF(AND(VLOOKUP(CONCATENATE($D2381,$G2381),CSRFinput!$B:$E,4,0)=0,OR(H2381=MappingTables!$C$34,H2381=MappingTables!$C$35)),1,VLOOKUP(CONCATENATE($D2381,$G2381),CSRFinput!$B:$E,4,0)))</f>
        <v>0.054776304963434752</v>
      </c>
      <c r="W2381" s="85">
        <f>IF(B2381="",0,+$T2381*$V2381)</f>
        <v>0.0040124274743389496</v>
      </c>
      <c r="X2381" s="85">
        <f>IF(B2381="",0,IF(OR(H2381=MappingTables!$C$34,H2381=MappingTables!$C$35),W2381,0))</f>
        <v>0</v>
      </c>
    </row>
    <row r="2382" spans="2:24" s="0" customFormat="0" ht="15">
      <c r="B2382" s="69">
        <v>14418867</v>
      </c>
      <c r="C2382" s="70" t="s">
        <v>2383</v>
      </c>
      <c r="D2382" s="70" t="s">
        <v>1</v>
      </c>
      <c r="E2382" s="70" t="s">
        <v>1</v>
      </c>
      <c r="F2382" s="70"/>
      <c r="G2382" s="70" t="s">
        <v>61</v>
      </c>
      <c r="H2382" s="70" t="s">
        <v>178</v>
      </c>
      <c r="I2382" s="70" t="s">
        <v>181</v>
      </c>
      <c r="J2382" s="71">
        <f>IF(OR(I2382=0,I2382=""),"unrated",VLOOKUP(I2382,MappingTables!$B$19:$C$31,2,FALSE))</f>
        <v>3</v>
      </c>
      <c r="K2382" s="72">
        <v>35845.073365309188</v>
      </c>
      <c r="L2382" s="70">
        <v>3.331689165387746</v>
      </c>
      <c r="M2382" s="71">
        <f>IF(L2382&lt;1,1,L2382)</f>
        <v>3.331689165387746</v>
      </c>
      <c r="N2382" s="70" t="s">
        <v>141</v>
      </c>
      <c r="O2382" s="71">
        <f>INDEX(DurClassMapping,MATCH(M2382,MappingTables!$D$4:$D$8,-1),1)</f>
        <v>1</v>
      </c>
      <c r="P2382" s="73">
        <f>IF(M2382=$A$1,1,$M2382-INDEX(MappingTables!$E$4:$E$8,MATCH(O2382,MappingTables!$B$4:$B$8,0)))</f>
        <v>3.331689165387746</v>
      </c>
      <c r="Q2382" s="71">
        <f>IF(B2382="",0,INDEX(ModelParameters!$D$6:$K$10,MATCH($O2382,ModelParameters!$B$6:$B$10,0),MATCH($J2382,ModelParameters!$D$5:$K$5,0)))</f>
        <v>0.025</v>
      </c>
      <c r="R2382" s="71">
        <f>IF(B2382="",0,INDEX(ModelParameters!$D$13:$K$17,MATCH($O2382,ModelParameters!$B$13:$B$17,0),MATCH($J2382,ModelParameters!$D$5:$K$5,0)))</f>
        <v>0</v>
      </c>
      <c r="S2382" s="160">
        <f>IF(B2382="",0,MIN(IF($N2382="Other Bond TM",ModelParameters!$N$21,1)*(P2382*Q2382+R2382),1))</f>
        <v>0.083292229134693648</v>
      </c>
      <c r="T2382" s="85">
        <f>IF(B2382="",0,$S2382*$K2382)</f>
        <v>2985.6160640932376</v>
      </c>
      <c r="U2382" s="85">
        <f>IF(B2382="",0,IF(OR(H2382=MappingTables!$C$34,H2382=MappingTables!$C$35),T2382,0))</f>
        <v>0</v>
      </c>
      <c r="V2382" s="85">
        <f>IF(ISNA(IF(AND(VLOOKUP(CONCATENATE($D2382,$G2382),CSRFinput!$B:$E,4,0)=0,OR(H2382=MappingTables!$C$34,H2382=MappingTables!$C$35)),1,VLOOKUP(CONCATENATE($D2382,$G2382),CSRFinput!$B:$E,4,0))),0,IF(AND(VLOOKUP(CONCATENATE($D2382,$G2382),CSRFinput!$B:$E,4,0)=0,OR(H2382=MappingTables!$C$34,H2382=MappingTables!$C$35)),1,VLOOKUP(CONCATENATE($D2382,$G2382),CSRFinput!$B:$E,4,0)))</f>
        <v>0.054776304963434752</v>
      </c>
      <c r="W2382" s="85">
        <f>IF(B2382="",0,+$T2382*$V2382)</f>
        <v>163.54101603050094</v>
      </c>
      <c r="X2382" s="85">
        <f>IF(B2382="",0,IF(OR(H2382=MappingTables!$C$34,H2382=MappingTables!$C$35),W2382,0))</f>
        <v>0</v>
      </c>
    </row>
    <row r="2383" spans="2:24" s="0" customFormat="0" ht="15">
      <c r="B2383" s="69" t="s">
        <v>1739</v>
      </c>
      <c r="C2383" s="70" t="s">
        <v>1740</v>
      </c>
      <c r="D2383" s="70" t="s">
        <v>1</v>
      </c>
      <c r="E2383" s="70" t="s">
        <v>1</v>
      </c>
      <c r="F2383" s="70"/>
      <c r="G2383" s="70" t="s">
        <v>61</v>
      </c>
      <c r="H2383" s="70" t="s">
        <v>178</v>
      </c>
      <c r="I2383" s="70" t="s">
        <v>184</v>
      </c>
      <c r="J2383" s="71">
        <f>IF(OR(I2383=0,I2383=""),"unrated",VLOOKUP(I2383,MappingTables!$B$19:$C$31,2,FALSE))</f>
        <v>5</v>
      </c>
      <c r="K2383" s="72">
        <v>2217.8167841406392</v>
      </c>
      <c r="L2383" s="70">
        <v>3.0313642732662348</v>
      </c>
      <c r="M2383" s="71">
        <f>IF(L2383&lt;1,1,L2383)</f>
        <v>3.0313642732662348</v>
      </c>
      <c r="N2383" s="70" t="s">
        <v>141</v>
      </c>
      <c r="O2383" s="71">
        <f>INDEX(DurClassMapping,MATCH(M2383,MappingTables!$D$4:$D$8,-1),1)</f>
        <v>1</v>
      </c>
      <c r="P2383" s="73">
        <f>IF(M2383=$A$1,1,$M2383-INDEX(MappingTables!$E$4:$E$8,MATCH(O2383,MappingTables!$B$4:$B$8,0)))</f>
        <v>3.0313642732662348</v>
      </c>
      <c r="Q2383" s="71">
        <f>IF(B2383="",0,INDEX(ModelParameters!$D$6:$K$10,MATCH($O2383,ModelParameters!$B$6:$B$10,0),MATCH($J2383,ModelParameters!$D$5:$K$5,0)))</f>
        <v>0.075</v>
      </c>
      <c r="R2383" s="71">
        <f>IF(B2383="",0,INDEX(ModelParameters!$D$13:$K$17,MATCH($O2383,ModelParameters!$B$13:$B$17,0),MATCH($J2383,ModelParameters!$D$5:$K$5,0)))</f>
        <v>0</v>
      </c>
      <c r="S2383" s="160">
        <f>IF(B2383="",0,MIN(IF($N2383="Other Bond TM",ModelParameters!$N$21,1)*(P2383*Q2383+R2383),1))</f>
        <v>0.2273523204949676</v>
      </c>
      <c r="T2383" s="85">
        <f>IF(B2383="",0,$S2383*$K2383)</f>
        <v>504.22579230706104</v>
      </c>
      <c r="U2383" s="85">
        <f>IF(B2383="",0,IF(OR(H2383=MappingTables!$C$34,H2383=MappingTables!$C$35),T2383,0))</f>
        <v>0</v>
      </c>
      <c r="V2383" s="85">
        <f>IF(ISNA(IF(AND(VLOOKUP(CONCATENATE($D2383,$G2383),CSRFinput!$B:$E,4,0)=0,OR(H2383=MappingTables!$C$34,H2383=MappingTables!$C$35)),1,VLOOKUP(CONCATENATE($D2383,$G2383),CSRFinput!$B:$E,4,0))),0,IF(AND(VLOOKUP(CONCATENATE($D2383,$G2383),CSRFinput!$B:$E,4,0)=0,OR(H2383=MappingTables!$C$34,H2383=MappingTables!$C$35)),1,VLOOKUP(CONCATENATE($D2383,$G2383),CSRFinput!$B:$E,4,0)))</f>
        <v>0.054776304963434752</v>
      </c>
      <c r="W2383" s="85">
        <f>IF(B2383="",0,+$T2383*$V2383)</f>
        <v>27.619625769841088</v>
      </c>
      <c r="X2383" s="85">
        <f>IF(B2383="",0,IF(OR(H2383=MappingTables!$C$34,H2383=MappingTables!$C$35),W2383,0))</f>
        <v>0</v>
      </c>
    </row>
    <row r="2384" spans="2:24" s="0" customFormat="0" ht="15">
      <c r="B2384" s="69" t="s">
        <v>2384</v>
      </c>
      <c r="C2384" s="70" t="s">
        <v>2385</v>
      </c>
      <c r="D2384" s="70" t="s">
        <v>1</v>
      </c>
      <c r="E2384" s="70" t="s">
        <v>1</v>
      </c>
      <c r="F2384" s="70"/>
      <c r="G2384" s="70" t="s">
        <v>61</v>
      </c>
      <c r="H2384" s="70" t="s">
        <v>178</v>
      </c>
      <c r="I2384" s="70" t="s">
        <v>184</v>
      </c>
      <c r="J2384" s="71">
        <f>IF(OR(I2384=0,I2384=""),"unrated",VLOOKUP(I2384,MappingTables!$B$19:$C$31,2,FALSE))</f>
        <v>5</v>
      </c>
      <c r="K2384" s="72">
        <v>422.5448983109012</v>
      </c>
      <c r="L2384" s="70">
        <v>1.9138609841839628</v>
      </c>
      <c r="M2384" s="71">
        <f>IF(L2384&lt;1,1,L2384)</f>
        <v>1.9138609841839628</v>
      </c>
      <c r="N2384" s="70" t="s">
        <v>141</v>
      </c>
      <c r="O2384" s="71">
        <f>INDEX(DurClassMapping,MATCH(M2384,MappingTables!$D$4:$D$8,-1),1)</f>
        <v>1</v>
      </c>
      <c r="P2384" s="73">
        <f>IF(M2384=$A$1,1,$M2384-INDEX(MappingTables!$E$4:$E$8,MATCH(O2384,MappingTables!$B$4:$B$8,0)))</f>
        <v>1.9138609841839628</v>
      </c>
      <c r="Q2384" s="71">
        <f>IF(B2384="",0,INDEX(ModelParameters!$D$6:$K$10,MATCH($O2384,ModelParameters!$B$6:$B$10,0),MATCH($J2384,ModelParameters!$D$5:$K$5,0)))</f>
        <v>0.075</v>
      </c>
      <c r="R2384" s="71">
        <f>IF(B2384="",0,INDEX(ModelParameters!$D$13:$K$17,MATCH($O2384,ModelParameters!$B$13:$B$17,0),MATCH($J2384,ModelParameters!$D$5:$K$5,0)))</f>
        <v>0</v>
      </c>
      <c r="S2384" s="160">
        <f>IF(B2384="",0,MIN(IF($N2384="Other Bond TM",ModelParameters!$N$21,1)*(P2384*Q2384+R2384),1))</f>
        <v>0.1435395738137972</v>
      </c>
      <c r="T2384" s="85">
        <f>IF(B2384="",0,$S2384*$K2384)</f>
        <v>60.651914620741032</v>
      </c>
      <c r="U2384" s="85">
        <f>IF(B2384="",0,IF(OR(H2384=MappingTables!$C$34,H2384=MappingTables!$C$35),T2384,0))</f>
        <v>0</v>
      </c>
      <c r="V2384" s="85">
        <f>IF(ISNA(IF(AND(VLOOKUP(CONCATENATE($D2384,$G2384),CSRFinput!$B:$E,4,0)=0,OR(H2384=MappingTables!$C$34,H2384=MappingTables!$C$35)),1,VLOOKUP(CONCATENATE($D2384,$G2384),CSRFinput!$B:$E,4,0))),0,IF(AND(VLOOKUP(CONCATENATE($D2384,$G2384),CSRFinput!$B:$E,4,0)=0,OR(H2384=MappingTables!$C$34,H2384=MappingTables!$C$35)),1,VLOOKUP(CONCATENATE($D2384,$G2384),CSRFinput!$B:$E,4,0)))</f>
        <v>0.054776304963434752</v>
      </c>
      <c r="W2384" s="85">
        <f>IF(B2384="",0,+$T2384*$V2384)</f>
        <v>3.3222877718819176</v>
      </c>
      <c r="X2384" s="85">
        <f>IF(B2384="",0,IF(OR(H2384=MappingTables!$C$34,H2384=MappingTables!$C$35),W2384,0))</f>
        <v>0</v>
      </c>
    </row>
    <row r="2385" spans="2:24" s="0" customFormat="0" ht="15">
      <c r="B2385" s="69">
        <v>16209205</v>
      </c>
      <c r="C2385" s="70" t="s">
        <v>2386</v>
      </c>
      <c r="D2385" s="70" t="s">
        <v>1</v>
      </c>
      <c r="E2385" s="70" t="s">
        <v>1</v>
      </c>
      <c r="F2385" s="70"/>
      <c r="G2385" s="70" t="s">
        <v>61</v>
      </c>
      <c r="H2385" s="70" t="s">
        <v>178</v>
      </c>
      <c r="I2385" s="70" t="s">
        <v>181</v>
      </c>
      <c r="J2385" s="71">
        <f>IF(OR(I2385=0,I2385=""),"unrated",VLOOKUP(I2385,MappingTables!$B$19:$C$31,2,FALSE))</f>
        <v>3</v>
      </c>
      <c r="K2385" s="72">
        <v>243.46923279716704</v>
      </c>
      <c r="L2385" s="70">
        <v>6.59856152320176</v>
      </c>
      <c r="M2385" s="71">
        <f>IF(L2385&lt;1,1,L2385)</f>
        <v>6.59856152320176</v>
      </c>
      <c r="N2385" s="70" t="s">
        <v>141</v>
      </c>
      <c r="O2385" s="71">
        <f>INDEX(DurClassMapping,MATCH(M2385,MappingTables!$D$4:$D$8,-1),1)</f>
        <v>2</v>
      </c>
      <c r="P2385" s="73">
        <f>IF(M2385=$A$1,1,$M2385-INDEX(MappingTables!$E$4:$E$8,MATCH(O2385,MappingTables!$B$4:$B$8,0)))</f>
        <v>1.5985615232017602</v>
      </c>
      <c r="Q2385" s="71">
        <f>IF(B2385="",0,INDEX(ModelParameters!$D$6:$K$10,MATCH($O2385,ModelParameters!$B$6:$B$10,0),MATCH($J2385,ModelParameters!$D$5:$K$5,0)))</f>
        <v>0.015</v>
      </c>
      <c r="R2385" s="71">
        <f>IF(B2385="",0,INDEX(ModelParameters!$D$13:$K$17,MATCH($O2385,ModelParameters!$B$13:$B$17,0),MATCH($J2385,ModelParameters!$D$5:$K$5,0)))</f>
        <v>0.125</v>
      </c>
      <c r="S2385" s="160">
        <f>IF(B2385="",0,MIN(IF($N2385="Other Bond TM",ModelParameters!$N$21,1)*(P2385*Q2385+R2385),1))</f>
        <v>0.1489784228480264</v>
      </c>
      <c r="T2385" s="85">
        <f>IF(B2385="",0,$S2385*$K2385)</f>
        <v>36.271662314140936</v>
      </c>
      <c r="U2385" s="85">
        <f>IF(B2385="",0,IF(OR(H2385=MappingTables!$C$34,H2385=MappingTables!$C$35),T2385,0))</f>
        <v>0</v>
      </c>
      <c r="V2385" s="85">
        <f>IF(ISNA(IF(AND(VLOOKUP(CONCATENATE($D2385,$G2385),CSRFinput!$B:$E,4,0)=0,OR(H2385=MappingTables!$C$34,H2385=MappingTables!$C$35)),1,VLOOKUP(CONCATENATE($D2385,$G2385),CSRFinput!$B:$E,4,0))),0,IF(AND(VLOOKUP(CONCATENATE($D2385,$G2385),CSRFinput!$B:$E,4,0)=0,OR(H2385=MappingTables!$C$34,H2385=MappingTables!$C$35)),1,VLOOKUP(CONCATENATE($D2385,$G2385),CSRFinput!$B:$E,4,0)))</f>
        <v>0.054776304963434752</v>
      </c>
      <c r="W2385" s="85">
        <f>IF(B2385="",0,+$T2385*$V2385)</f>
        <v>1.9868276364501072</v>
      </c>
      <c r="X2385" s="85">
        <f>IF(B2385="",0,IF(OR(H2385=MappingTables!$C$34,H2385=MappingTables!$C$35),W2385,0))</f>
        <v>0</v>
      </c>
    </row>
    <row r="2386" spans="2:24" s="0" customFormat="0" ht="15">
      <c r="B2386" s="69">
        <v>11393825</v>
      </c>
      <c r="C2386" s="70" t="s">
        <v>2387</v>
      </c>
      <c r="D2386" s="70" t="s">
        <v>1</v>
      </c>
      <c r="E2386" s="70" t="s">
        <v>1</v>
      </c>
      <c r="F2386" s="70"/>
      <c r="G2386" s="70" t="s">
        <v>61</v>
      </c>
      <c r="H2386" s="70" t="s">
        <v>178</v>
      </c>
      <c r="I2386" s="70" t="s">
        <v>188</v>
      </c>
      <c r="J2386" s="71">
        <f>IF(OR(I2386=0,I2386=""),"unrated",VLOOKUP(I2386,MappingTables!$B$19:$C$31,2,FALSE))</f>
        <v>2</v>
      </c>
      <c r="K2386" s="72">
        <v>4248.1114810814736</v>
      </c>
      <c r="L2386" s="70">
        <v>1.05655725728067</v>
      </c>
      <c r="M2386" s="71">
        <f>IF(L2386&lt;1,1,L2386)</f>
        <v>1.05655725728067</v>
      </c>
      <c r="N2386" s="70" t="s">
        <v>141</v>
      </c>
      <c r="O2386" s="71">
        <f>INDEX(DurClassMapping,MATCH(M2386,MappingTables!$D$4:$D$8,-1),1)</f>
        <v>1</v>
      </c>
      <c r="P2386" s="73">
        <f>IF(M2386=$A$1,1,$M2386-INDEX(MappingTables!$E$4:$E$8,MATCH(O2386,MappingTables!$B$4:$B$8,0)))</f>
        <v>1.05655725728067</v>
      </c>
      <c r="Q2386" s="71">
        <f>IF(B2386="",0,INDEX(ModelParameters!$D$6:$K$10,MATCH($O2386,ModelParameters!$B$6:$B$10,0),MATCH($J2386,ModelParameters!$D$5:$K$5,0)))</f>
        <v>0.013999999999999998</v>
      </c>
      <c r="R2386" s="71">
        <f>IF(B2386="",0,INDEX(ModelParameters!$D$13:$K$17,MATCH($O2386,ModelParameters!$B$13:$B$17,0),MATCH($J2386,ModelParameters!$D$5:$K$5,0)))</f>
        <v>0</v>
      </c>
      <c r="S2386" s="160">
        <f>IF(B2386="",0,MIN(IF($N2386="Other Bond TM",ModelParameters!$N$21,1)*(P2386*Q2386+R2386),1))</f>
        <v>0.01479180160192938</v>
      </c>
      <c r="T2386" s="85">
        <f>IF(B2386="",0,$S2386*$K2386)</f>
        <v>62.837222211035528</v>
      </c>
      <c r="U2386" s="85">
        <f>IF(B2386="",0,IF(OR(H2386=MappingTables!$C$34,H2386=MappingTables!$C$35),T2386,0))</f>
        <v>0</v>
      </c>
      <c r="V2386" s="85">
        <f>IF(ISNA(IF(AND(VLOOKUP(CONCATENATE($D2386,$G2386),CSRFinput!$B:$E,4,0)=0,OR(H2386=MappingTables!$C$34,H2386=MappingTables!$C$35)),1,VLOOKUP(CONCATENATE($D2386,$G2386),CSRFinput!$B:$E,4,0))),0,IF(AND(VLOOKUP(CONCATENATE($D2386,$G2386),CSRFinput!$B:$E,4,0)=0,OR(H2386=MappingTables!$C$34,H2386=MappingTables!$C$35)),1,VLOOKUP(CONCATENATE($D2386,$G2386),CSRFinput!$B:$E,4,0)))</f>
        <v>0.054776304963434752</v>
      </c>
      <c r="W2386" s="85">
        <f>IF(B2386="",0,+$T2386*$V2386)</f>
        <v>3.441990846886798</v>
      </c>
      <c r="X2386" s="85">
        <f>IF(B2386="",0,IF(OR(H2386=MappingTables!$C$34,H2386=MappingTables!$C$35),W2386,0))</f>
        <v>0</v>
      </c>
    </row>
    <row r="2387" spans="2:24" s="0" customFormat="0" ht="15">
      <c r="B2387" s="69">
        <v>244468</v>
      </c>
      <c r="C2387" s="70" t="s">
        <v>2388</v>
      </c>
      <c r="D2387" s="70" t="s">
        <v>1</v>
      </c>
      <c r="E2387" s="70" t="s">
        <v>1</v>
      </c>
      <c r="F2387" s="70"/>
      <c r="G2387" s="70" t="s">
        <v>61</v>
      </c>
      <c r="H2387" s="70" t="s">
        <v>178</v>
      </c>
      <c r="I2387" s="70" t="s">
        <v>181</v>
      </c>
      <c r="J2387" s="71">
        <f>IF(OR(I2387=0,I2387=""),"unrated",VLOOKUP(I2387,MappingTables!$B$19:$C$31,2,FALSE))</f>
        <v>3</v>
      </c>
      <c r="K2387" s="72">
        <v>16379.001845776986</v>
      </c>
      <c r="L2387" s="70">
        <v>7.4210443113760592</v>
      </c>
      <c r="M2387" s="71">
        <f>IF(L2387&lt;1,1,L2387)</f>
        <v>7.4210443113760592</v>
      </c>
      <c r="N2387" s="70" t="s">
        <v>141</v>
      </c>
      <c r="O2387" s="71">
        <f>INDEX(DurClassMapping,MATCH(M2387,MappingTables!$D$4:$D$8,-1),1)</f>
        <v>2</v>
      </c>
      <c r="P2387" s="73">
        <f>IF(M2387=$A$1,1,$M2387-INDEX(MappingTables!$E$4:$E$8,MATCH(O2387,MappingTables!$B$4:$B$8,0)))</f>
        <v>2.4210443113760584</v>
      </c>
      <c r="Q2387" s="71">
        <f>IF(B2387="",0,INDEX(ModelParameters!$D$6:$K$10,MATCH($O2387,ModelParameters!$B$6:$B$10,0),MATCH($J2387,ModelParameters!$D$5:$K$5,0)))</f>
        <v>0.015</v>
      </c>
      <c r="R2387" s="71">
        <f>IF(B2387="",0,INDEX(ModelParameters!$D$13:$K$17,MATCH($O2387,ModelParameters!$B$13:$B$17,0),MATCH($J2387,ModelParameters!$D$5:$K$5,0)))</f>
        <v>0.125</v>
      </c>
      <c r="S2387" s="160">
        <f>IF(B2387="",0,MIN(IF($N2387="Other Bond TM",ModelParameters!$N$21,1)*(P2387*Q2387+R2387),1))</f>
        <v>0.16131566467064088</v>
      </c>
      <c r="T2387" s="85">
        <f>IF(B2387="",0,$S2387*$K2387)</f>
        <v>2642.1895693931684</v>
      </c>
      <c r="U2387" s="85">
        <f>IF(B2387="",0,IF(OR(H2387=MappingTables!$C$34,H2387=MappingTables!$C$35),T2387,0))</f>
        <v>0</v>
      </c>
      <c r="V2387" s="85">
        <f>IF(ISNA(IF(AND(VLOOKUP(CONCATENATE($D2387,$G2387),CSRFinput!$B:$E,4,0)=0,OR(H2387=MappingTables!$C$34,H2387=MappingTables!$C$35)),1,VLOOKUP(CONCATENATE($D2387,$G2387),CSRFinput!$B:$E,4,0))),0,IF(AND(VLOOKUP(CONCATENATE($D2387,$G2387),CSRFinput!$B:$E,4,0)=0,OR(H2387=MappingTables!$C$34,H2387=MappingTables!$C$35)),1,VLOOKUP(CONCATENATE($D2387,$G2387),CSRFinput!$B:$E,4,0)))</f>
        <v>0.054776304963434752</v>
      </c>
      <c r="W2387" s="85">
        <f>IF(B2387="",0,+$T2387*$V2387)</f>
        <v>144.72938162428654</v>
      </c>
      <c r="X2387" s="85">
        <f>IF(B2387="",0,IF(OR(H2387=MappingTables!$C$34,H2387=MappingTables!$C$35),W2387,0))</f>
        <v>0</v>
      </c>
    </row>
    <row r="2388" spans="2:24" s="0" customFormat="0" ht="15">
      <c r="B2388" s="69">
        <v>20215778</v>
      </c>
      <c r="C2388" s="70" t="s">
        <v>607</v>
      </c>
      <c r="D2388" s="70" t="s">
        <v>1</v>
      </c>
      <c r="E2388" s="70" t="s">
        <v>1</v>
      </c>
      <c r="F2388" s="70"/>
      <c r="G2388" s="70" t="s">
        <v>61</v>
      </c>
      <c r="H2388" s="70" t="s">
        <v>178</v>
      </c>
      <c r="I2388" s="70" t="s">
        <v>181</v>
      </c>
      <c r="J2388" s="71">
        <f>IF(OR(I2388=0,I2388=""),"unrated",VLOOKUP(I2388,MappingTables!$B$19:$C$31,2,FALSE))</f>
        <v>3</v>
      </c>
      <c r="K2388" s="72">
        <v>8766.2063015802944</v>
      </c>
      <c r="L2388" s="70">
        <v>17.09422648923491</v>
      </c>
      <c r="M2388" s="71">
        <f>IF(L2388&lt;1,1,L2388)</f>
        <v>17.09422648923491</v>
      </c>
      <c r="N2388" s="70" t="s">
        <v>141</v>
      </c>
      <c r="O2388" s="71">
        <f>INDEX(DurClassMapping,MATCH(M2388,MappingTables!$D$4:$D$8,-1),1)</f>
        <v>4</v>
      </c>
      <c r="P2388" s="73">
        <f>IF(M2388=$A$1,1,$M2388-INDEX(MappingTables!$E$4:$E$8,MATCH(O2388,MappingTables!$B$4:$B$8,0)))</f>
        <v>2.0942264892349092</v>
      </c>
      <c r="Q2388" s="71">
        <f>IF(B2388="",0,INDEX(ModelParameters!$D$6:$K$10,MATCH($O2388,ModelParameters!$B$6:$B$10,0),MATCH($J2388,ModelParameters!$D$5:$K$5,0)))</f>
        <v>0.01</v>
      </c>
      <c r="R2388" s="71">
        <f>IF(B2388="",0,INDEX(ModelParameters!$D$13:$K$17,MATCH($O2388,ModelParameters!$B$13:$B$17,0),MATCH($J2388,ModelParameters!$D$5:$K$5,0)))</f>
        <v>0.25</v>
      </c>
      <c r="S2388" s="160">
        <f>IF(B2388="",0,MIN(IF($N2388="Other Bond TM",ModelParameters!$N$21,1)*(P2388*Q2388+R2388),1))</f>
        <v>0.27094226489234908</v>
      </c>
      <c r="T2388" s="85">
        <f>IF(B2388="",0,$S2388*$K2388)</f>
        <v>2375.135789863748</v>
      </c>
      <c r="U2388" s="85">
        <f>IF(B2388="",0,IF(OR(H2388=MappingTables!$C$34,H2388=MappingTables!$C$35),T2388,0))</f>
        <v>0</v>
      </c>
      <c r="V2388" s="85">
        <f>IF(ISNA(IF(AND(VLOOKUP(CONCATENATE($D2388,$G2388),CSRFinput!$B:$E,4,0)=0,OR(H2388=MappingTables!$C$34,H2388=MappingTables!$C$35)),1,VLOOKUP(CONCATENATE($D2388,$G2388),CSRFinput!$B:$E,4,0))),0,IF(AND(VLOOKUP(CONCATENATE($D2388,$G2388),CSRFinput!$B:$E,4,0)=0,OR(H2388=MappingTables!$C$34,H2388=MappingTables!$C$35)),1,VLOOKUP(CONCATENATE($D2388,$G2388),CSRFinput!$B:$E,4,0)))</f>
        <v>0.054776304963434752</v>
      </c>
      <c r="W2388" s="85">
        <f>IF(B2388="",0,+$T2388*$V2388)</f>
        <v>130.10116235514514</v>
      </c>
      <c r="X2388" s="85">
        <f>IF(B2388="",0,IF(OR(H2388=MappingTables!$C$34,H2388=MappingTables!$C$35),W2388,0))</f>
        <v>0</v>
      </c>
    </row>
    <row r="2389" spans="2:24" s="0" customFormat="0" ht="15">
      <c r="B2389" s="69">
        <v>21743790</v>
      </c>
      <c r="C2389" s="70" t="s">
        <v>606</v>
      </c>
      <c r="D2389" s="70" t="s">
        <v>1</v>
      </c>
      <c r="E2389" s="70" t="s">
        <v>1</v>
      </c>
      <c r="F2389" s="70"/>
      <c r="G2389" s="70" t="s">
        <v>61</v>
      </c>
      <c r="H2389" s="70" t="s">
        <v>178</v>
      </c>
      <c r="I2389" s="70" t="s">
        <v>179</v>
      </c>
      <c r="J2389" s="71">
        <f>IF(OR(I2389=0,I2389=""),"unrated",VLOOKUP(I2389,MappingTables!$B$19:$C$31,2,FALSE))</f>
        <v>4</v>
      </c>
      <c r="K2389" s="72">
        <v>10929.472484936372</v>
      </c>
      <c r="L2389" s="70">
        <v>4.063727486064124</v>
      </c>
      <c r="M2389" s="71">
        <f>IF(L2389&lt;1,1,L2389)</f>
        <v>4.063727486064124</v>
      </c>
      <c r="N2389" s="70" t="s">
        <v>141</v>
      </c>
      <c r="O2389" s="71">
        <f>INDEX(DurClassMapping,MATCH(M2389,MappingTables!$D$4:$D$8,-1),1)</f>
        <v>1</v>
      </c>
      <c r="P2389" s="73">
        <f>IF(M2389=$A$1,1,$M2389-INDEX(MappingTables!$E$4:$E$8,MATCH(O2389,MappingTables!$B$4:$B$8,0)))</f>
        <v>4.063727486064124</v>
      </c>
      <c r="Q2389" s="71">
        <f>IF(B2389="",0,INDEX(ModelParameters!$D$6:$K$10,MATCH($O2389,ModelParameters!$B$6:$B$10,0),MATCH($J2389,ModelParameters!$D$5:$K$5,0)))</f>
        <v>0.045</v>
      </c>
      <c r="R2389" s="71">
        <f>IF(B2389="",0,INDEX(ModelParameters!$D$13:$K$17,MATCH($O2389,ModelParameters!$B$13:$B$17,0),MATCH($J2389,ModelParameters!$D$5:$K$5,0)))</f>
        <v>0</v>
      </c>
      <c r="S2389" s="160">
        <f>IF(B2389="",0,MIN(IF($N2389="Other Bond TM",ModelParameters!$N$21,1)*(P2389*Q2389+R2389),1))</f>
        <v>0.18286773687288556</v>
      </c>
      <c r="T2389" s="85">
        <f>IF(B2389="",0,$S2389*$K2389)</f>
        <v>1998.6478985347872</v>
      </c>
      <c r="U2389" s="85">
        <f>IF(B2389="",0,IF(OR(H2389=MappingTables!$C$34,H2389=MappingTables!$C$35),T2389,0))</f>
        <v>0</v>
      </c>
      <c r="V2389" s="85">
        <f>IF(ISNA(IF(AND(VLOOKUP(CONCATENATE($D2389,$G2389),CSRFinput!$B:$E,4,0)=0,OR(H2389=MappingTables!$C$34,H2389=MappingTables!$C$35)),1,VLOOKUP(CONCATENATE($D2389,$G2389),CSRFinput!$B:$E,4,0))),0,IF(AND(VLOOKUP(CONCATENATE($D2389,$G2389),CSRFinput!$B:$E,4,0)=0,OR(H2389=MappingTables!$C$34,H2389=MappingTables!$C$35)),1,VLOOKUP(CONCATENATE($D2389,$G2389),CSRFinput!$B:$E,4,0)))</f>
        <v>0.054776304963434752</v>
      </c>
      <c r="W2389" s="85">
        <f>IF(B2389="",0,+$T2389*$V2389)</f>
        <v>109.47854680466952</v>
      </c>
      <c r="X2389" s="85">
        <f>IF(B2389="",0,IF(OR(H2389=MappingTables!$C$34,H2389=MappingTables!$C$35),W2389,0))</f>
        <v>0</v>
      </c>
    </row>
    <row r="2390" spans="2:24" s="0" customFormat="0" ht="15">
      <c r="B2390" s="69">
        <v>19319314</v>
      </c>
      <c r="C2390" s="70" t="s">
        <v>2389</v>
      </c>
      <c r="D2390" s="70" t="s">
        <v>1</v>
      </c>
      <c r="E2390" s="70" t="s">
        <v>1</v>
      </c>
      <c r="F2390" s="70"/>
      <c r="G2390" s="70" t="s">
        <v>61</v>
      </c>
      <c r="H2390" s="70" t="s">
        <v>178</v>
      </c>
      <c r="I2390" s="70" t="s">
        <v>181</v>
      </c>
      <c r="J2390" s="71">
        <f>IF(OR(I2390=0,I2390=""),"unrated",VLOOKUP(I2390,MappingTables!$B$19:$C$31,2,FALSE))</f>
        <v>3</v>
      </c>
      <c r="K2390" s="72">
        <v>2597.2060362680364</v>
      </c>
      <c r="L2390" s="70">
        <v>14.955208538595698</v>
      </c>
      <c r="M2390" s="71">
        <f>IF(L2390&lt;1,1,L2390)</f>
        <v>14.955208538595698</v>
      </c>
      <c r="N2390" s="70" t="s">
        <v>141</v>
      </c>
      <c r="O2390" s="71">
        <f>INDEX(DurClassMapping,MATCH(M2390,MappingTables!$D$4:$D$8,-1),1)</f>
        <v>3</v>
      </c>
      <c r="P2390" s="73">
        <f>IF(M2390=$A$1,1,$M2390-INDEX(MappingTables!$E$4:$E$8,MATCH(O2390,MappingTables!$B$4:$B$8,0)))</f>
        <v>4.9552085385956984</v>
      </c>
      <c r="Q2390" s="71">
        <f>IF(B2390="",0,INDEX(ModelParameters!$D$6:$K$10,MATCH($O2390,ModelParameters!$B$6:$B$10,0),MATCH($J2390,ModelParameters!$D$5:$K$5,0)))</f>
        <v>0.01</v>
      </c>
      <c r="R2390" s="71">
        <f>IF(B2390="",0,INDEX(ModelParameters!$D$13:$K$17,MATCH($O2390,ModelParameters!$B$13:$B$17,0),MATCH($J2390,ModelParameters!$D$5:$K$5,0)))</f>
        <v>0.2</v>
      </c>
      <c r="S2390" s="160">
        <f>IF(B2390="",0,MIN(IF($N2390="Other Bond TM",ModelParameters!$N$21,1)*(P2390*Q2390+R2390),1))</f>
        <v>0.249552085385957</v>
      </c>
      <c r="T2390" s="85">
        <f>IF(B2390="",0,$S2390*$K2390)</f>
        <v>648.138182527684</v>
      </c>
      <c r="U2390" s="85">
        <f>IF(B2390="",0,IF(OR(H2390=MappingTables!$C$34,H2390=MappingTables!$C$35),T2390,0))</f>
        <v>0</v>
      </c>
      <c r="V2390" s="85">
        <f>IF(ISNA(IF(AND(VLOOKUP(CONCATENATE($D2390,$G2390),CSRFinput!$B:$E,4,0)=0,OR(H2390=MappingTables!$C$34,H2390=MappingTables!$C$35)),1,VLOOKUP(CONCATENATE($D2390,$G2390),CSRFinput!$B:$E,4,0))),0,IF(AND(VLOOKUP(CONCATENATE($D2390,$G2390),CSRFinput!$B:$E,4,0)=0,OR(H2390=MappingTables!$C$34,H2390=MappingTables!$C$35)),1,VLOOKUP(CONCATENATE($D2390,$G2390),CSRFinput!$B:$E,4,0)))</f>
        <v>0.054776304963434752</v>
      </c>
      <c r="W2390" s="85">
        <f>IF(B2390="",0,+$T2390*$V2390)</f>
        <v>35.502614744582756</v>
      </c>
      <c r="X2390" s="85">
        <f>IF(B2390="",0,IF(OR(H2390=MappingTables!$C$34,H2390=MappingTables!$C$35),W2390,0))</f>
        <v>0</v>
      </c>
    </row>
    <row r="2391" spans="2:24" s="0" customFormat="0" ht="15">
      <c r="B2391" s="69">
        <v>12994167</v>
      </c>
      <c r="C2391" s="70" t="s">
        <v>1423</v>
      </c>
      <c r="D2391" s="70" t="s">
        <v>1</v>
      </c>
      <c r="E2391" s="70" t="s">
        <v>1</v>
      </c>
      <c r="F2391" s="70"/>
      <c r="G2391" s="70" t="s">
        <v>61</v>
      </c>
      <c r="H2391" s="70" t="s">
        <v>178</v>
      </c>
      <c r="I2391" s="70" t="s">
        <v>220</v>
      </c>
      <c r="J2391" s="71">
        <f>IF(OR(I2391=0,I2391=""),"unrated",VLOOKUP(I2391,MappingTables!$B$19:$C$31,2,FALSE))</f>
        <v>1</v>
      </c>
      <c r="K2391" s="72">
        <v>734.02487161031664</v>
      </c>
      <c r="L2391" s="70">
        <v>0.81376815591367728</v>
      </c>
      <c r="M2391" s="71">
        <f>IF(L2391&lt;1,1,L2391)</f>
        <v>1</v>
      </c>
      <c r="N2391" s="70" t="s">
        <v>141</v>
      </c>
      <c r="O2391" s="71">
        <f>INDEX(DurClassMapping,MATCH(M2391,MappingTables!$D$4:$D$8,-1),1)</f>
        <v>1</v>
      </c>
      <c r="P2391" s="73">
        <f>IF(M2391=$A$1,1,$M2391-INDEX(MappingTables!$E$4:$E$8,MATCH(O2391,MappingTables!$B$4:$B$8,0)))</f>
        <v>1</v>
      </c>
      <c r="Q2391" s="71">
        <f>IF(B2391="",0,INDEX(ModelParameters!$D$6:$K$10,MATCH($O2391,ModelParameters!$B$6:$B$10,0),MATCH($J2391,ModelParameters!$D$5:$K$5,0)))</f>
        <v>0.011000000000000002</v>
      </c>
      <c r="R2391" s="71">
        <f>IF(B2391="",0,INDEX(ModelParameters!$D$13:$K$17,MATCH($O2391,ModelParameters!$B$13:$B$17,0),MATCH($J2391,ModelParameters!$D$5:$K$5,0)))</f>
        <v>0</v>
      </c>
      <c r="S2391" s="160">
        <f>IF(B2391="",0,MIN(IF($N2391="Other Bond TM",ModelParameters!$N$21,1)*(P2391*Q2391+R2391),1))</f>
        <v>0.011000000000000002</v>
      </c>
      <c r="T2391" s="85">
        <f>IF(B2391="",0,$S2391*$K2391)</f>
        <v>8.0742735877134832</v>
      </c>
      <c r="U2391" s="85">
        <f>IF(B2391="",0,IF(OR(H2391=MappingTables!$C$34,H2391=MappingTables!$C$35),T2391,0))</f>
        <v>0</v>
      </c>
      <c r="V2391" s="85">
        <f>IF(ISNA(IF(AND(VLOOKUP(CONCATENATE($D2391,$G2391),CSRFinput!$B:$E,4,0)=0,OR(H2391=MappingTables!$C$34,H2391=MappingTables!$C$35)),1,VLOOKUP(CONCATENATE($D2391,$G2391),CSRFinput!$B:$E,4,0))),0,IF(AND(VLOOKUP(CONCATENATE($D2391,$G2391),CSRFinput!$B:$E,4,0)=0,OR(H2391=MappingTables!$C$34,H2391=MappingTables!$C$35)),1,VLOOKUP(CONCATENATE($D2391,$G2391),CSRFinput!$B:$E,4,0)))</f>
        <v>0.054776304963434752</v>
      </c>
      <c r="W2391" s="85">
        <f>IF(B2391="",0,+$T2391*$V2391)</f>
        <v>0.44227887239880024</v>
      </c>
      <c r="X2391" s="85">
        <f>IF(B2391="",0,IF(OR(H2391=MappingTables!$C$34,H2391=MappingTables!$C$35),W2391,0))</f>
        <v>0</v>
      </c>
    </row>
    <row r="2392" spans="2:24" s="0" customFormat="0" ht="15">
      <c r="B2392" s="69">
        <v>4079035</v>
      </c>
      <c r="C2392" s="70" t="s">
        <v>2390</v>
      </c>
      <c r="D2392" s="70" t="s">
        <v>1</v>
      </c>
      <c r="E2392" s="70" t="s">
        <v>1</v>
      </c>
      <c r="F2392" s="70"/>
      <c r="G2392" s="70" t="s">
        <v>61</v>
      </c>
      <c r="H2392" s="70" t="s">
        <v>178</v>
      </c>
      <c r="I2392" s="70" t="s">
        <v>181</v>
      </c>
      <c r="J2392" s="71">
        <f>IF(OR(I2392=0,I2392=""),"unrated",VLOOKUP(I2392,MappingTables!$B$19:$C$31,2,FALSE))</f>
        <v>3</v>
      </c>
      <c r="K2392" s="72">
        <v>482.37774158620672</v>
      </c>
      <c r="L2392" s="70">
        <v>12.152501903115464</v>
      </c>
      <c r="M2392" s="71">
        <f>IF(L2392&lt;1,1,L2392)</f>
        <v>12.152501903115464</v>
      </c>
      <c r="N2392" s="70" t="s">
        <v>141</v>
      </c>
      <c r="O2392" s="71">
        <f>INDEX(DurClassMapping,MATCH(M2392,MappingTables!$D$4:$D$8,-1),1)</f>
        <v>3</v>
      </c>
      <c r="P2392" s="73">
        <f>IF(M2392=$A$1,1,$M2392-INDEX(MappingTables!$E$4:$E$8,MATCH(O2392,MappingTables!$B$4:$B$8,0)))</f>
        <v>2.152501903115464</v>
      </c>
      <c r="Q2392" s="71">
        <f>IF(B2392="",0,INDEX(ModelParameters!$D$6:$K$10,MATCH($O2392,ModelParameters!$B$6:$B$10,0),MATCH($J2392,ModelParameters!$D$5:$K$5,0)))</f>
        <v>0.01</v>
      </c>
      <c r="R2392" s="71">
        <f>IF(B2392="",0,INDEX(ModelParameters!$D$13:$K$17,MATCH($O2392,ModelParameters!$B$13:$B$17,0),MATCH($J2392,ModelParameters!$D$5:$K$5,0)))</f>
        <v>0.2</v>
      </c>
      <c r="S2392" s="160">
        <f>IF(B2392="",0,MIN(IF($N2392="Other Bond TM",ModelParameters!$N$21,1)*(P2392*Q2392+R2392),1))</f>
        <v>0.22152501903115464</v>
      </c>
      <c r="T2392" s="85">
        <f>IF(B2392="",0,$S2392*$K2392)</f>
        <v>106.85873838508984</v>
      </c>
      <c r="U2392" s="85">
        <f>IF(B2392="",0,IF(OR(H2392=MappingTables!$C$34,H2392=MappingTables!$C$35),T2392,0))</f>
        <v>0</v>
      </c>
      <c r="V2392" s="85">
        <f>IF(ISNA(IF(AND(VLOOKUP(CONCATENATE($D2392,$G2392),CSRFinput!$B:$E,4,0)=0,OR(H2392=MappingTables!$C$34,H2392=MappingTables!$C$35)),1,VLOOKUP(CONCATENATE($D2392,$G2392),CSRFinput!$B:$E,4,0))),0,IF(AND(VLOOKUP(CONCATENATE($D2392,$G2392),CSRFinput!$B:$E,4,0)=0,OR(H2392=MappingTables!$C$34,H2392=MappingTables!$C$35)),1,VLOOKUP(CONCATENATE($D2392,$G2392),CSRFinput!$B:$E,4,0)))</f>
        <v>0.054776304963434752</v>
      </c>
      <c r="W2392" s="85">
        <f>IF(B2392="",0,+$T2392*$V2392)</f>
        <v>5.853326841789572</v>
      </c>
      <c r="X2392" s="85">
        <f>IF(B2392="",0,IF(OR(H2392=MappingTables!$C$34,H2392=MappingTables!$C$35),W2392,0))</f>
        <v>0</v>
      </c>
    </row>
    <row r="2393" spans="2:24" s="0" customFormat="0" ht="15">
      <c r="B2393" s="69">
        <v>19474819</v>
      </c>
      <c r="C2393" s="70" t="s">
        <v>2367</v>
      </c>
      <c r="D2393" s="70" t="s">
        <v>1</v>
      </c>
      <c r="E2393" s="70" t="s">
        <v>1</v>
      </c>
      <c r="F2393" s="70"/>
      <c r="G2393" s="70" t="s">
        <v>61</v>
      </c>
      <c r="H2393" s="70" t="s">
        <v>178</v>
      </c>
      <c r="I2393" s="70" t="s">
        <v>181</v>
      </c>
      <c r="J2393" s="71">
        <f>IF(OR(I2393=0,I2393=""),"unrated",VLOOKUP(I2393,MappingTables!$B$19:$C$31,2,FALSE))</f>
        <v>3</v>
      </c>
      <c r="K2393" s="72">
        <v>1251.9833093697842</v>
      </c>
      <c r="L2393" s="70">
        <v>7.2780034114565712</v>
      </c>
      <c r="M2393" s="71">
        <f>IF(L2393&lt;1,1,L2393)</f>
        <v>7.2780034114565712</v>
      </c>
      <c r="N2393" s="70" t="s">
        <v>141</v>
      </c>
      <c r="O2393" s="71">
        <f>INDEX(DurClassMapping,MATCH(M2393,MappingTables!$D$4:$D$8,-1),1)</f>
        <v>2</v>
      </c>
      <c r="P2393" s="73">
        <f>IF(M2393=$A$1,1,$M2393-INDEX(MappingTables!$E$4:$E$8,MATCH(O2393,MappingTables!$B$4:$B$8,0)))</f>
        <v>2.2780034114565712</v>
      </c>
      <c r="Q2393" s="71">
        <f>IF(B2393="",0,INDEX(ModelParameters!$D$6:$K$10,MATCH($O2393,ModelParameters!$B$6:$B$10,0),MATCH($J2393,ModelParameters!$D$5:$K$5,0)))</f>
        <v>0.015</v>
      </c>
      <c r="R2393" s="71">
        <f>IF(B2393="",0,INDEX(ModelParameters!$D$13:$K$17,MATCH($O2393,ModelParameters!$B$13:$B$17,0),MATCH($J2393,ModelParameters!$D$5:$K$5,0)))</f>
        <v>0.125</v>
      </c>
      <c r="S2393" s="160">
        <f>IF(B2393="",0,MIN(IF($N2393="Other Bond TM",ModelParameters!$N$21,1)*(P2393*Q2393+R2393),1))</f>
        <v>0.15917005117184856</v>
      </c>
      <c r="T2393" s="85">
        <f>IF(B2393="",0,$S2393*$K2393)</f>
        <v>199.27824741868888</v>
      </c>
      <c r="U2393" s="85">
        <f>IF(B2393="",0,IF(OR(H2393=MappingTables!$C$34,H2393=MappingTables!$C$35),T2393,0))</f>
        <v>0</v>
      </c>
      <c r="V2393" s="85">
        <f>IF(ISNA(IF(AND(VLOOKUP(CONCATENATE($D2393,$G2393),CSRFinput!$B:$E,4,0)=0,OR(H2393=MappingTables!$C$34,H2393=MappingTables!$C$35)),1,VLOOKUP(CONCATENATE($D2393,$G2393),CSRFinput!$B:$E,4,0))),0,IF(AND(VLOOKUP(CONCATENATE($D2393,$G2393),CSRFinput!$B:$E,4,0)=0,OR(H2393=MappingTables!$C$34,H2393=MappingTables!$C$35)),1,VLOOKUP(CONCATENATE($D2393,$G2393),CSRFinput!$B:$E,4,0)))</f>
        <v>0.054776304963434752</v>
      </c>
      <c r="W2393" s="85">
        <f>IF(B2393="",0,+$T2393*$V2393)</f>
        <v>10.915726053184906</v>
      </c>
      <c r="X2393" s="85">
        <f>IF(B2393="",0,IF(OR(H2393=MappingTables!$C$34,H2393=MappingTables!$C$35),W2393,0))</f>
        <v>0</v>
      </c>
    </row>
    <row r="2394" spans="2:24" s="0" customFormat="0" ht="15">
      <c r="B2394" s="69" t="s">
        <v>2391</v>
      </c>
      <c r="C2394" s="70" t="s">
        <v>2392</v>
      </c>
      <c r="D2394" s="70" t="s">
        <v>1</v>
      </c>
      <c r="E2394" s="70" t="s">
        <v>1</v>
      </c>
      <c r="F2394" s="70"/>
      <c r="G2394" s="70" t="s">
        <v>61</v>
      </c>
      <c r="H2394" s="70" t="s">
        <v>178</v>
      </c>
      <c r="I2394" s="70" t="s">
        <v>179</v>
      </c>
      <c r="J2394" s="71">
        <f>IF(OR(I2394=0,I2394=""),"unrated",VLOOKUP(I2394,MappingTables!$B$19:$C$31,2,FALSE))</f>
        <v>4</v>
      </c>
      <c r="K2394" s="72">
        <v>6288.7945010622416</v>
      </c>
      <c r="L2394" s="70">
        <v>15.67265331487901</v>
      </c>
      <c r="M2394" s="71">
        <f>IF(L2394&lt;1,1,L2394)</f>
        <v>15.67265331487901</v>
      </c>
      <c r="N2394" s="70" t="s">
        <v>141</v>
      </c>
      <c r="O2394" s="71">
        <f>INDEX(DurClassMapping,MATCH(M2394,MappingTables!$D$4:$D$8,-1),1)</f>
        <v>4</v>
      </c>
      <c r="P2394" s="73">
        <f>IF(M2394=$A$1,1,$M2394-INDEX(MappingTables!$E$4:$E$8,MATCH(O2394,MappingTables!$B$4:$B$8,0)))</f>
        <v>0.6726533148790104</v>
      </c>
      <c r="Q2394" s="71">
        <f>IF(B2394="",0,INDEX(ModelParameters!$D$6:$K$10,MATCH($O2394,ModelParameters!$B$6:$B$10,0),MATCH($J2394,ModelParameters!$D$5:$K$5,0)))</f>
        <v>0.005</v>
      </c>
      <c r="R2394" s="71">
        <f>IF(B2394="",0,INDEX(ModelParameters!$D$13:$K$17,MATCH($O2394,ModelParameters!$B$13:$B$17,0),MATCH($J2394,ModelParameters!$D$5:$K$5,0)))</f>
        <v>0.44</v>
      </c>
      <c r="S2394" s="160">
        <f>IF(B2394="",0,MIN(IF($N2394="Other Bond TM",ModelParameters!$N$21,1)*(P2394*Q2394+R2394),1))</f>
        <v>0.44336326657439504</v>
      </c>
      <c r="T2394" s="85">
        <f>IF(B2394="",0,$S2394*$K2394)</f>
        <v>2788.2204728060484</v>
      </c>
      <c r="U2394" s="85">
        <f>IF(B2394="",0,IF(OR(H2394=MappingTables!$C$34,H2394=MappingTables!$C$35),T2394,0))</f>
        <v>0</v>
      </c>
      <c r="V2394" s="85">
        <f>IF(ISNA(IF(AND(VLOOKUP(CONCATENATE($D2394,$G2394),CSRFinput!$B:$E,4,0)=0,OR(H2394=MappingTables!$C$34,H2394=MappingTables!$C$35)),1,VLOOKUP(CONCATENATE($D2394,$G2394),CSRFinput!$B:$E,4,0))),0,IF(AND(VLOOKUP(CONCATENATE($D2394,$G2394),CSRFinput!$B:$E,4,0)=0,OR(H2394=MappingTables!$C$34,H2394=MappingTables!$C$35)),1,VLOOKUP(CONCATENATE($D2394,$G2394),CSRFinput!$B:$E,4,0)))</f>
        <v>0.054776304963434752</v>
      </c>
      <c r="W2394" s="85">
        <f>IF(B2394="",0,+$T2394*$V2394)</f>
        <v>152.72841492371634</v>
      </c>
      <c r="X2394" s="85">
        <f>IF(B2394="",0,IF(OR(H2394=MappingTables!$C$34,H2394=MappingTables!$C$35),W2394,0))</f>
        <v>0</v>
      </c>
    </row>
    <row r="2395" spans="2:24" s="0" customFormat="0" ht="15">
      <c r="B2395" s="69">
        <v>12046707</v>
      </c>
      <c r="C2395" s="70" t="s">
        <v>2350</v>
      </c>
      <c r="D2395" s="70" t="s">
        <v>1</v>
      </c>
      <c r="E2395" s="70" t="s">
        <v>1</v>
      </c>
      <c r="F2395" s="70"/>
      <c r="G2395" s="70" t="s">
        <v>61</v>
      </c>
      <c r="H2395" s="70" t="s">
        <v>178</v>
      </c>
      <c r="I2395" s="70" t="s">
        <v>179</v>
      </c>
      <c r="J2395" s="71">
        <f>IF(OR(I2395=0,I2395=""),"unrated",VLOOKUP(I2395,MappingTables!$B$19:$C$31,2,FALSE))</f>
        <v>4</v>
      </c>
      <c r="K2395" s="72">
        <v>12279.28975918484</v>
      </c>
      <c r="L2395" s="70">
        <v>11.941848771771488</v>
      </c>
      <c r="M2395" s="71">
        <f>IF(L2395&lt;1,1,L2395)</f>
        <v>11.941848771771488</v>
      </c>
      <c r="N2395" s="70" t="s">
        <v>141</v>
      </c>
      <c r="O2395" s="71">
        <f>INDEX(DurClassMapping,MATCH(M2395,MappingTables!$D$4:$D$8,-1),1)</f>
        <v>3</v>
      </c>
      <c r="P2395" s="73">
        <f>IF(M2395=$A$1,1,$M2395-INDEX(MappingTables!$E$4:$E$8,MATCH(O2395,MappingTables!$B$4:$B$8,0)))</f>
        <v>1.941848771771488</v>
      </c>
      <c r="Q2395" s="71">
        <f>IF(B2395="",0,INDEX(ModelParameters!$D$6:$K$10,MATCH($O2395,ModelParameters!$B$6:$B$10,0),MATCH($J2395,ModelParameters!$D$5:$K$5,0)))</f>
        <v>0.018000000000000002</v>
      </c>
      <c r="R2395" s="71">
        <f>IF(B2395="",0,INDEX(ModelParameters!$D$13:$K$17,MATCH($O2395,ModelParameters!$B$13:$B$17,0),MATCH($J2395,ModelParameters!$D$5:$K$5,0)))</f>
        <v>0.34999999999999996</v>
      </c>
      <c r="S2395" s="160">
        <f>IF(B2395="",0,MIN(IF($N2395="Other Bond TM",ModelParameters!$N$21,1)*(P2395*Q2395+R2395),1))</f>
        <v>0.3849532778918868</v>
      </c>
      <c r="T2395" s="85">
        <f>IF(B2395="",0,$S2395*$K2395)</f>
        <v>4726.9528429824816</v>
      </c>
      <c r="U2395" s="85">
        <f>IF(B2395="",0,IF(OR(H2395=MappingTables!$C$34,H2395=MappingTables!$C$35),T2395,0))</f>
        <v>0</v>
      </c>
      <c r="V2395" s="85">
        <f>IF(ISNA(IF(AND(VLOOKUP(CONCATENATE($D2395,$G2395),CSRFinput!$B:$E,4,0)=0,OR(H2395=MappingTables!$C$34,H2395=MappingTables!$C$35)),1,VLOOKUP(CONCATENATE($D2395,$G2395),CSRFinput!$B:$E,4,0))),0,IF(AND(VLOOKUP(CONCATENATE($D2395,$G2395),CSRFinput!$B:$E,4,0)=0,OR(H2395=MappingTables!$C$34,H2395=MappingTables!$C$35)),1,VLOOKUP(CONCATENATE($D2395,$G2395),CSRFinput!$B:$E,4,0)))</f>
        <v>0.054776304963434752</v>
      </c>
      <c r="W2395" s="85">
        <f>IF(B2395="",0,+$T2395*$V2395)</f>
        <v>258.92501047498332</v>
      </c>
      <c r="X2395" s="85">
        <f>IF(B2395="",0,IF(OR(H2395=MappingTables!$C$34,H2395=MappingTables!$C$35),W2395,0))</f>
        <v>0</v>
      </c>
    </row>
    <row r="2396" spans="2:24" s="0" customFormat="0" ht="15">
      <c r="B2396" s="69" t="s">
        <v>2393</v>
      </c>
      <c r="C2396" s="70" t="s">
        <v>2394</v>
      </c>
      <c r="D2396" s="70" t="s">
        <v>1</v>
      </c>
      <c r="E2396" s="70" t="s">
        <v>1</v>
      </c>
      <c r="F2396" s="70"/>
      <c r="G2396" s="70" t="s">
        <v>61</v>
      </c>
      <c r="H2396" s="70" t="s">
        <v>178</v>
      </c>
      <c r="I2396" s="70" t="s">
        <v>198</v>
      </c>
      <c r="J2396" s="71" t="str">
        <f>IF(OR(I2396=0,I2396=""),"unrated",VLOOKUP(I2396,MappingTables!$B$19:$C$31,2,FALSE))</f>
        <v>unrated</v>
      </c>
      <c r="K2396" s="72">
        <v>20.662891030776764</v>
      </c>
      <c r="L2396" s="70">
        <v>27.653165952314724</v>
      </c>
      <c r="M2396" s="71">
        <f>IF(L2396&lt;1,1,L2396)</f>
        <v>27.653165952314724</v>
      </c>
      <c r="N2396" s="70" t="s">
        <v>141</v>
      </c>
      <c r="O2396" s="71">
        <f>INDEX(DurClassMapping,MATCH(M2396,MappingTables!$D$4:$D$8,-1),1)</f>
        <v>5</v>
      </c>
      <c r="P2396" s="73">
        <f>IF(M2396=$A$1,1,$M2396-INDEX(MappingTables!$E$4:$E$8,MATCH(O2396,MappingTables!$B$4:$B$8,0)))</f>
        <v>7.6531659523147232</v>
      </c>
      <c r="Q2396" s="71">
        <f>IF(B2396="",0,INDEX(ModelParameters!$D$6:$K$10,MATCH($O2396,ModelParameters!$B$6:$B$10,0),MATCH($J2396,ModelParameters!$D$5:$K$5,0)))</f>
        <v>0.005</v>
      </c>
      <c r="R2396" s="71">
        <f>IF(B2396="",0,INDEX(ModelParameters!$D$13:$K$17,MATCH($O2396,ModelParameters!$B$13:$B$17,0),MATCH($J2396,ModelParameters!$D$5:$K$5,0)))</f>
        <v>0.355</v>
      </c>
      <c r="S2396" s="160">
        <f>IF(B2396="",0,MIN(IF($N2396="Other Bond TM",ModelParameters!$N$21,1)*(P2396*Q2396+R2396),1))</f>
        <v>0.3932658297615736</v>
      </c>
      <c r="T2396" s="85">
        <f>IF(B2396="",0,$S2396*$K2396)</f>
        <v>8.1260089864914</v>
      </c>
      <c r="U2396" s="85">
        <f>IF(B2396="",0,IF(OR(H2396=MappingTables!$C$34,H2396=MappingTables!$C$35),T2396,0))</f>
        <v>0</v>
      </c>
      <c r="V2396" s="85">
        <f>IF(ISNA(IF(AND(VLOOKUP(CONCATENATE($D2396,$G2396),CSRFinput!$B:$E,4,0)=0,OR(H2396=MappingTables!$C$34,H2396=MappingTables!$C$35)),1,VLOOKUP(CONCATENATE($D2396,$G2396),CSRFinput!$B:$E,4,0))),0,IF(AND(VLOOKUP(CONCATENATE($D2396,$G2396),CSRFinput!$B:$E,4,0)=0,OR(H2396=MappingTables!$C$34,H2396=MappingTables!$C$35)),1,VLOOKUP(CONCATENATE($D2396,$G2396),CSRFinput!$B:$E,4,0)))</f>
        <v>0.054776304963434752</v>
      </c>
      <c r="W2396" s="85">
        <f>IF(B2396="",0,+$T2396*$V2396)</f>
        <v>0.44511274637966424</v>
      </c>
      <c r="X2396" s="85">
        <f>IF(B2396="",0,IF(OR(H2396=MappingTables!$C$34,H2396=MappingTables!$C$35),W2396,0))</f>
        <v>0</v>
      </c>
    </row>
    <row r="2397" spans="2:24" s="0" customFormat="0" ht="15">
      <c r="B2397" s="69">
        <v>17170632</v>
      </c>
      <c r="C2397" s="70" t="s">
        <v>2395</v>
      </c>
      <c r="D2397" s="70" t="s">
        <v>1</v>
      </c>
      <c r="E2397" s="70" t="s">
        <v>1</v>
      </c>
      <c r="F2397" s="70"/>
      <c r="G2397" s="70" t="s">
        <v>61</v>
      </c>
      <c r="H2397" s="70" t="s">
        <v>178</v>
      </c>
      <c r="I2397" s="70" t="s">
        <v>184</v>
      </c>
      <c r="J2397" s="71">
        <f>IF(OR(I2397=0,I2397=""),"unrated",VLOOKUP(I2397,MappingTables!$B$19:$C$31,2,FALSE))</f>
        <v>5</v>
      </c>
      <c r="K2397" s="72">
        <v>3107.1014399069376</v>
      </c>
      <c r="L2397" s="70">
        <v>9.2526289064861248</v>
      </c>
      <c r="M2397" s="71">
        <f>IF(L2397&lt;1,1,L2397)</f>
        <v>9.2526289064861248</v>
      </c>
      <c r="N2397" s="70" t="s">
        <v>141</v>
      </c>
      <c r="O2397" s="71">
        <f>INDEX(DurClassMapping,MATCH(M2397,MappingTables!$D$4:$D$8,-1),1)</f>
        <v>2</v>
      </c>
      <c r="P2397" s="73">
        <f>IF(M2397=$A$1,1,$M2397-INDEX(MappingTables!$E$4:$E$8,MATCH(O2397,MappingTables!$B$4:$B$8,0)))</f>
        <v>4.2526289064861248</v>
      </c>
      <c r="Q2397" s="71">
        <f>IF(B2397="",0,INDEX(ModelParameters!$D$6:$K$10,MATCH($O2397,ModelParameters!$B$6:$B$10,0),MATCH($J2397,ModelParameters!$D$5:$K$5,0)))</f>
        <v>0.042</v>
      </c>
      <c r="R2397" s="71">
        <f>IF(B2397="",0,INDEX(ModelParameters!$D$13:$K$17,MATCH($O2397,ModelParameters!$B$13:$B$17,0),MATCH($J2397,ModelParameters!$D$5:$K$5,0)))</f>
        <v>0.375</v>
      </c>
      <c r="S2397" s="160">
        <f>IF(B2397="",0,MIN(IF($N2397="Other Bond TM",ModelParameters!$N$21,1)*(P2397*Q2397+R2397),1))</f>
        <v>0.55361041407241728</v>
      </c>
      <c r="T2397" s="85">
        <f>IF(B2397="",0,$S2397*$K2397)</f>
        <v>1720.1237147118838</v>
      </c>
      <c r="U2397" s="85">
        <f>IF(B2397="",0,IF(OR(H2397=MappingTables!$C$34,H2397=MappingTables!$C$35),T2397,0))</f>
        <v>0</v>
      </c>
      <c r="V2397" s="85">
        <f>IF(ISNA(IF(AND(VLOOKUP(CONCATENATE($D2397,$G2397),CSRFinput!$B:$E,4,0)=0,OR(H2397=MappingTables!$C$34,H2397=MappingTables!$C$35)),1,VLOOKUP(CONCATENATE($D2397,$G2397),CSRFinput!$B:$E,4,0))),0,IF(AND(VLOOKUP(CONCATENATE($D2397,$G2397),CSRFinput!$B:$E,4,0)=0,OR(H2397=MappingTables!$C$34,H2397=MappingTables!$C$35)),1,VLOOKUP(CONCATENATE($D2397,$G2397),CSRFinput!$B:$E,4,0)))</f>
        <v>0.054776304963434752</v>
      </c>
      <c r="W2397" s="85">
        <f>IF(B2397="",0,+$T2397*$V2397)</f>
        <v>94.222021171894384</v>
      </c>
      <c r="X2397" s="85">
        <f>IF(B2397="",0,IF(OR(H2397=MappingTables!$C$34,H2397=MappingTables!$C$35),W2397,0))</f>
        <v>0</v>
      </c>
    </row>
    <row r="2398" spans="2:24" s="0" customFormat="0" ht="15">
      <c r="B2398" s="69">
        <v>12445544</v>
      </c>
      <c r="C2398" s="70" t="s">
        <v>465</v>
      </c>
      <c r="D2398" s="70" t="s">
        <v>1</v>
      </c>
      <c r="E2398" s="70" t="s">
        <v>1</v>
      </c>
      <c r="F2398" s="70"/>
      <c r="G2398" s="70" t="s">
        <v>61</v>
      </c>
      <c r="H2398" s="70" t="s">
        <v>178</v>
      </c>
      <c r="I2398" s="70" t="s">
        <v>188</v>
      </c>
      <c r="J2398" s="71">
        <f>IF(OR(I2398=0,I2398=""),"unrated",VLOOKUP(I2398,MappingTables!$B$19:$C$31,2,FALSE))</f>
        <v>2</v>
      </c>
      <c r="K2398" s="72">
        <v>924.14037138183264</v>
      </c>
      <c r="L2398" s="70">
        <v>0.55431947132100888</v>
      </c>
      <c r="M2398" s="71">
        <f>IF(L2398&lt;1,1,L2398)</f>
        <v>1</v>
      </c>
      <c r="N2398" s="70" t="s">
        <v>141</v>
      </c>
      <c r="O2398" s="71">
        <f>INDEX(DurClassMapping,MATCH(M2398,MappingTables!$D$4:$D$8,-1),1)</f>
        <v>1</v>
      </c>
      <c r="P2398" s="73">
        <f>IF(M2398=$A$1,1,$M2398-INDEX(MappingTables!$E$4:$E$8,MATCH(O2398,MappingTables!$B$4:$B$8,0)))</f>
        <v>1</v>
      </c>
      <c r="Q2398" s="71">
        <f>IF(B2398="",0,INDEX(ModelParameters!$D$6:$K$10,MATCH($O2398,ModelParameters!$B$6:$B$10,0),MATCH($J2398,ModelParameters!$D$5:$K$5,0)))</f>
        <v>0.013999999999999998</v>
      </c>
      <c r="R2398" s="71">
        <f>IF(B2398="",0,INDEX(ModelParameters!$D$13:$K$17,MATCH($O2398,ModelParameters!$B$13:$B$17,0),MATCH($J2398,ModelParameters!$D$5:$K$5,0)))</f>
        <v>0</v>
      </c>
      <c r="S2398" s="160">
        <f>IF(B2398="",0,MIN(IF($N2398="Other Bond TM",ModelParameters!$N$21,1)*(P2398*Q2398+R2398),1))</f>
        <v>0.013999999999999998</v>
      </c>
      <c r="T2398" s="85">
        <f>IF(B2398="",0,$S2398*$K2398)</f>
        <v>12.937965199345656</v>
      </c>
      <c r="U2398" s="85">
        <f>IF(B2398="",0,IF(OR(H2398=MappingTables!$C$34,H2398=MappingTables!$C$35),T2398,0))</f>
        <v>0</v>
      </c>
      <c r="V2398" s="85">
        <f>IF(ISNA(IF(AND(VLOOKUP(CONCATENATE($D2398,$G2398),CSRFinput!$B:$E,4,0)=0,OR(H2398=MappingTables!$C$34,H2398=MappingTables!$C$35)),1,VLOOKUP(CONCATENATE($D2398,$G2398),CSRFinput!$B:$E,4,0))),0,IF(AND(VLOOKUP(CONCATENATE($D2398,$G2398),CSRFinput!$B:$E,4,0)=0,OR(H2398=MappingTables!$C$34,H2398=MappingTables!$C$35)),1,VLOOKUP(CONCATENATE($D2398,$G2398),CSRFinput!$B:$E,4,0)))</f>
        <v>0.054776304963434752</v>
      </c>
      <c r="W2398" s="85">
        <f>IF(B2398="",0,+$T2398*$V2398)</f>
        <v>0.7086939273656636</v>
      </c>
      <c r="X2398" s="85">
        <f>IF(B2398="",0,IF(OR(H2398=MappingTables!$C$34,H2398=MappingTables!$C$35),W2398,0))</f>
        <v>0</v>
      </c>
    </row>
    <row r="2399" spans="2:24" s="0" customFormat="0" ht="15">
      <c r="B2399" s="69">
        <v>14742106</v>
      </c>
      <c r="C2399" s="70" t="s">
        <v>2396</v>
      </c>
      <c r="D2399" s="70" t="s">
        <v>1</v>
      </c>
      <c r="E2399" s="70" t="s">
        <v>1</v>
      </c>
      <c r="F2399" s="70"/>
      <c r="G2399" s="70" t="s">
        <v>61</v>
      </c>
      <c r="H2399" s="70" t="s">
        <v>178</v>
      </c>
      <c r="I2399" s="70" t="s">
        <v>181</v>
      </c>
      <c r="J2399" s="71">
        <f>IF(OR(I2399=0,I2399=""),"unrated",VLOOKUP(I2399,MappingTables!$B$19:$C$31,2,FALSE))</f>
        <v>3</v>
      </c>
      <c r="K2399" s="72">
        <v>15.119227454293818</v>
      </c>
      <c r="L2399" s="70">
        <v>0.076712572640501376</v>
      </c>
      <c r="M2399" s="71">
        <f>IF(L2399&lt;1,1,L2399)</f>
        <v>1</v>
      </c>
      <c r="N2399" s="70" t="s">
        <v>141</v>
      </c>
      <c r="O2399" s="71">
        <f>INDEX(DurClassMapping,MATCH(M2399,MappingTables!$D$4:$D$8,-1),1)</f>
        <v>1</v>
      </c>
      <c r="P2399" s="73">
        <f>IF(M2399=$A$1,1,$M2399-INDEX(MappingTables!$E$4:$E$8,MATCH(O2399,MappingTables!$B$4:$B$8,0)))</f>
        <v>1</v>
      </c>
      <c r="Q2399" s="71">
        <f>IF(B2399="",0,INDEX(ModelParameters!$D$6:$K$10,MATCH($O2399,ModelParameters!$B$6:$B$10,0),MATCH($J2399,ModelParameters!$D$5:$K$5,0)))</f>
        <v>0.025</v>
      </c>
      <c r="R2399" s="71">
        <f>IF(B2399="",0,INDEX(ModelParameters!$D$13:$K$17,MATCH($O2399,ModelParameters!$B$13:$B$17,0),MATCH($J2399,ModelParameters!$D$5:$K$5,0)))</f>
        <v>0</v>
      </c>
      <c r="S2399" s="160">
        <f>IF(B2399="",0,MIN(IF($N2399="Other Bond TM",ModelParameters!$N$21,1)*(P2399*Q2399+R2399),1))</f>
        <v>0.025</v>
      </c>
      <c r="T2399" s="85">
        <f>IF(B2399="",0,$S2399*$K2399)</f>
        <v>0.37798068635734552</v>
      </c>
      <c r="U2399" s="85">
        <f>IF(B2399="",0,IF(OR(H2399=MappingTables!$C$34,H2399=MappingTables!$C$35),T2399,0))</f>
        <v>0</v>
      </c>
      <c r="V2399" s="85">
        <f>IF(ISNA(IF(AND(VLOOKUP(CONCATENATE($D2399,$G2399),CSRFinput!$B:$E,4,0)=0,OR(H2399=MappingTables!$C$34,H2399=MappingTables!$C$35)),1,VLOOKUP(CONCATENATE($D2399,$G2399),CSRFinput!$B:$E,4,0))),0,IF(AND(VLOOKUP(CONCATENATE($D2399,$G2399),CSRFinput!$B:$E,4,0)=0,OR(H2399=MappingTables!$C$34,H2399=MappingTables!$C$35)),1,VLOOKUP(CONCATENATE($D2399,$G2399),CSRFinput!$B:$E,4,0)))</f>
        <v>0.054776304963434752</v>
      </c>
      <c r="W2399" s="85">
        <f>IF(B2399="",0,+$T2399*$V2399)</f>
        <v>0.02070438534619834</v>
      </c>
      <c r="X2399" s="85">
        <f>IF(B2399="",0,IF(OR(H2399=MappingTables!$C$34,H2399=MappingTables!$C$35),W2399,0))</f>
        <v>0</v>
      </c>
    </row>
    <row r="2400" spans="2:24" s="0" customFormat="0" ht="15">
      <c r="B2400" s="69">
        <v>14499833</v>
      </c>
      <c r="C2400" s="70" t="s">
        <v>1010</v>
      </c>
      <c r="D2400" s="70" t="s">
        <v>1</v>
      </c>
      <c r="E2400" s="70" t="s">
        <v>1</v>
      </c>
      <c r="F2400" s="70"/>
      <c r="G2400" s="70" t="s">
        <v>61</v>
      </c>
      <c r="H2400" s="70" t="s">
        <v>178</v>
      </c>
      <c r="I2400" s="70" t="s">
        <v>181</v>
      </c>
      <c r="J2400" s="71">
        <f>IF(OR(I2400=0,I2400=""),"unrated",VLOOKUP(I2400,MappingTables!$B$19:$C$31,2,FALSE))</f>
        <v>3</v>
      </c>
      <c r="K2400" s="72">
        <v>2233.5749179123768</v>
      </c>
      <c r="L2400" s="70">
        <v>1.522971883365684</v>
      </c>
      <c r="M2400" s="71">
        <f>IF(L2400&lt;1,1,L2400)</f>
        <v>1.522971883365684</v>
      </c>
      <c r="N2400" s="70" t="s">
        <v>141</v>
      </c>
      <c r="O2400" s="71">
        <f>INDEX(DurClassMapping,MATCH(M2400,MappingTables!$D$4:$D$8,-1),1)</f>
        <v>1</v>
      </c>
      <c r="P2400" s="73">
        <f>IF(M2400=$A$1,1,$M2400-INDEX(MappingTables!$E$4:$E$8,MATCH(O2400,MappingTables!$B$4:$B$8,0)))</f>
        <v>1.522971883365684</v>
      </c>
      <c r="Q2400" s="71">
        <f>IF(B2400="",0,INDEX(ModelParameters!$D$6:$K$10,MATCH($O2400,ModelParameters!$B$6:$B$10,0),MATCH($J2400,ModelParameters!$D$5:$K$5,0)))</f>
        <v>0.025</v>
      </c>
      <c r="R2400" s="71">
        <f>IF(B2400="",0,INDEX(ModelParameters!$D$13:$K$17,MATCH($O2400,ModelParameters!$B$13:$B$17,0),MATCH($J2400,ModelParameters!$D$5:$K$5,0)))</f>
        <v>0</v>
      </c>
      <c r="S2400" s="160">
        <f>IF(B2400="",0,MIN(IF($N2400="Other Bond TM",ModelParameters!$N$21,1)*(P2400*Q2400+R2400),1))</f>
        <v>0.038074297084142104</v>
      </c>
      <c r="T2400" s="85">
        <f>IF(B2400="",0,$S2400*$K2400)</f>
        <v>85.04179498428416</v>
      </c>
      <c r="U2400" s="85">
        <f>IF(B2400="",0,IF(OR(H2400=MappingTables!$C$34,H2400=MappingTables!$C$35),T2400,0))</f>
        <v>0</v>
      </c>
      <c r="V2400" s="85">
        <f>IF(ISNA(IF(AND(VLOOKUP(CONCATENATE($D2400,$G2400),CSRFinput!$B:$E,4,0)=0,OR(H2400=MappingTables!$C$34,H2400=MappingTables!$C$35)),1,VLOOKUP(CONCATENATE($D2400,$G2400),CSRFinput!$B:$E,4,0))),0,IF(AND(VLOOKUP(CONCATENATE($D2400,$G2400),CSRFinput!$B:$E,4,0)=0,OR(H2400=MappingTables!$C$34,H2400=MappingTables!$C$35)),1,VLOOKUP(CONCATENATE($D2400,$G2400),CSRFinput!$B:$E,4,0)))</f>
        <v>0.054776304963434752</v>
      </c>
      <c r="W2400" s="85">
        <f>IF(B2400="",0,+$T2400*$V2400)</f>
        <v>4.6582752966970448</v>
      </c>
      <c r="X2400" s="85">
        <f>IF(B2400="",0,IF(OR(H2400=MappingTables!$C$34,H2400=MappingTables!$C$35),W2400,0))</f>
        <v>0</v>
      </c>
    </row>
    <row r="2401" spans="2:24" s="0" customFormat="0" ht="15">
      <c r="B2401" s="69">
        <v>22062096</v>
      </c>
      <c r="C2401" s="70" t="s">
        <v>1402</v>
      </c>
      <c r="D2401" s="70" t="s">
        <v>1</v>
      </c>
      <c r="E2401" s="70" t="s">
        <v>1</v>
      </c>
      <c r="F2401" s="70"/>
      <c r="G2401" s="70" t="s">
        <v>61</v>
      </c>
      <c r="H2401" s="70" t="s">
        <v>178</v>
      </c>
      <c r="I2401" s="70" t="s">
        <v>188</v>
      </c>
      <c r="J2401" s="71">
        <f>IF(OR(I2401=0,I2401=""),"unrated",VLOOKUP(I2401,MappingTables!$B$19:$C$31,2,FALSE))</f>
        <v>2</v>
      </c>
      <c r="K2401" s="72">
        <v>210.0374295035276</v>
      </c>
      <c r="L2401" s="70">
        <v>1.1047999484207046</v>
      </c>
      <c r="M2401" s="71">
        <f>IF(L2401&lt;1,1,L2401)</f>
        <v>1.1047999484207046</v>
      </c>
      <c r="N2401" s="70" t="s">
        <v>141</v>
      </c>
      <c r="O2401" s="71">
        <f>INDEX(DurClassMapping,MATCH(M2401,MappingTables!$D$4:$D$8,-1),1)</f>
        <v>1</v>
      </c>
      <c r="P2401" s="73">
        <f>IF(M2401=$A$1,1,$M2401-INDEX(MappingTables!$E$4:$E$8,MATCH(O2401,MappingTables!$B$4:$B$8,0)))</f>
        <v>1.1047999484207046</v>
      </c>
      <c r="Q2401" s="71">
        <f>IF(B2401="",0,INDEX(ModelParameters!$D$6:$K$10,MATCH($O2401,ModelParameters!$B$6:$B$10,0),MATCH($J2401,ModelParameters!$D$5:$K$5,0)))</f>
        <v>0.013999999999999998</v>
      </c>
      <c r="R2401" s="71">
        <f>IF(B2401="",0,INDEX(ModelParameters!$D$13:$K$17,MATCH($O2401,ModelParameters!$B$13:$B$17,0),MATCH($J2401,ModelParameters!$D$5:$K$5,0)))</f>
        <v>0</v>
      </c>
      <c r="S2401" s="160">
        <f>IF(B2401="",0,MIN(IF($N2401="Other Bond TM",ModelParameters!$N$21,1)*(P2401*Q2401+R2401),1))</f>
        <v>0.015467199277889862</v>
      </c>
      <c r="T2401" s="85">
        <f>IF(B2401="",0,$S2401*$K2401)</f>
        <v>3.2486907779468052</v>
      </c>
      <c r="U2401" s="85">
        <f>IF(B2401="",0,IF(OR(H2401=MappingTables!$C$34,H2401=MappingTables!$C$35),T2401,0))</f>
        <v>0</v>
      </c>
      <c r="V2401" s="85">
        <f>IF(ISNA(IF(AND(VLOOKUP(CONCATENATE($D2401,$G2401),CSRFinput!$B:$E,4,0)=0,OR(H2401=MappingTables!$C$34,H2401=MappingTables!$C$35)),1,VLOOKUP(CONCATENATE($D2401,$G2401),CSRFinput!$B:$E,4,0))),0,IF(AND(VLOOKUP(CONCATENATE($D2401,$G2401),CSRFinput!$B:$E,4,0)=0,OR(H2401=MappingTables!$C$34,H2401=MappingTables!$C$35)),1,VLOOKUP(CONCATENATE($D2401,$G2401),CSRFinput!$B:$E,4,0)))</f>
        <v>0.054776304963434752</v>
      </c>
      <c r="W2401" s="85">
        <f>IF(B2401="",0,+$T2401*$V2401)</f>
        <v>0.17795127678471228</v>
      </c>
      <c r="X2401" s="85">
        <f>IF(B2401="",0,IF(OR(H2401=MappingTables!$C$34,H2401=MappingTables!$C$35),W2401,0))</f>
        <v>0</v>
      </c>
    </row>
    <row r="2402" spans="2:24" s="0" customFormat="0" ht="15">
      <c r="B2402" s="69">
        <v>2118871</v>
      </c>
      <c r="C2402" s="70" t="s">
        <v>2397</v>
      </c>
      <c r="D2402" s="70" t="s">
        <v>1</v>
      </c>
      <c r="E2402" s="70" t="s">
        <v>1</v>
      </c>
      <c r="F2402" s="70"/>
      <c r="G2402" s="70" t="s">
        <v>61</v>
      </c>
      <c r="H2402" s="70" t="s">
        <v>178</v>
      </c>
      <c r="I2402" s="70" t="s">
        <v>181</v>
      </c>
      <c r="J2402" s="71">
        <f>IF(OR(I2402=0,I2402=""),"unrated",VLOOKUP(I2402,MappingTables!$B$19:$C$31,2,FALSE))</f>
        <v>3</v>
      </c>
      <c r="K2402" s="72">
        <v>1048875.732421875</v>
      </c>
      <c r="L2402" s="70">
        <v>0.21095702127114808</v>
      </c>
      <c r="M2402" s="71">
        <f>IF(L2402&lt;1,1,L2402)</f>
        <v>1</v>
      </c>
      <c r="N2402" s="70" t="s">
        <v>141</v>
      </c>
      <c r="O2402" s="71">
        <f>INDEX(DurClassMapping,MATCH(M2402,MappingTables!$D$4:$D$8,-1),1)</f>
        <v>1</v>
      </c>
      <c r="P2402" s="73">
        <f>IF(M2402=$A$1,1,$M2402-INDEX(MappingTables!$E$4:$E$8,MATCH(O2402,MappingTables!$B$4:$B$8,0)))</f>
        <v>1</v>
      </c>
      <c r="Q2402" s="71">
        <f>IF(B2402="",0,INDEX(ModelParameters!$D$6:$K$10,MATCH($O2402,ModelParameters!$B$6:$B$10,0),MATCH($J2402,ModelParameters!$D$5:$K$5,0)))</f>
        <v>0.025</v>
      </c>
      <c r="R2402" s="71">
        <f>IF(B2402="",0,INDEX(ModelParameters!$D$13:$K$17,MATCH($O2402,ModelParameters!$B$13:$B$17,0),MATCH($J2402,ModelParameters!$D$5:$K$5,0)))</f>
        <v>0</v>
      </c>
      <c r="S2402" s="160">
        <f>IF(B2402="",0,MIN(IF($N2402="Other Bond TM",ModelParameters!$N$21,1)*(P2402*Q2402+R2402),1))</f>
        <v>0.025</v>
      </c>
      <c r="T2402" s="85">
        <f>IF(B2402="",0,$S2402*$K2402)</f>
        <v>26221.893310546876</v>
      </c>
      <c r="U2402" s="85">
        <f>IF(B2402="",0,IF(OR(H2402=MappingTables!$C$34,H2402=MappingTables!$C$35),T2402,0))</f>
        <v>0</v>
      </c>
      <c r="V2402" s="85">
        <f>IF(ISNA(IF(AND(VLOOKUP(CONCATENATE($D2402,$G2402),CSRFinput!$B:$E,4,0)=0,OR(H2402=MappingTables!$C$34,H2402=MappingTables!$C$35)),1,VLOOKUP(CONCATENATE($D2402,$G2402),CSRFinput!$B:$E,4,0))),0,IF(AND(VLOOKUP(CONCATENATE($D2402,$G2402),CSRFinput!$B:$E,4,0)=0,OR(H2402=MappingTables!$C$34,H2402=MappingTables!$C$35)),1,VLOOKUP(CONCATENATE($D2402,$G2402),CSRFinput!$B:$E,4,0)))</f>
        <v>0.054776304963434752</v>
      </c>
      <c r="W2402" s="85">
        <f>IF(B2402="",0,+$T2402*$V2402)</f>
        <v>1436.3384246971652</v>
      </c>
      <c r="X2402" s="85">
        <f>IF(B2402="",0,IF(OR(H2402=MappingTables!$C$34,H2402=MappingTables!$C$35),W2402,0))</f>
        <v>0</v>
      </c>
    </row>
    <row r="2403" spans="2:24" s="0" customFormat="0" ht="15">
      <c r="B2403" s="69">
        <v>12331144</v>
      </c>
      <c r="C2403" s="70" t="s">
        <v>2398</v>
      </c>
      <c r="D2403" s="70" t="s">
        <v>1</v>
      </c>
      <c r="E2403" s="70" t="s">
        <v>1</v>
      </c>
      <c r="F2403" s="70"/>
      <c r="G2403" s="70" t="s">
        <v>61</v>
      </c>
      <c r="H2403" s="70" t="s">
        <v>178</v>
      </c>
      <c r="I2403" s="70" t="s">
        <v>181</v>
      </c>
      <c r="J2403" s="71">
        <f>IF(OR(I2403=0,I2403=""),"unrated",VLOOKUP(I2403,MappingTables!$B$19:$C$31,2,FALSE))</f>
        <v>3</v>
      </c>
      <c r="K2403" s="72">
        <v>33.663030724149136</v>
      </c>
      <c r="L2403" s="70">
        <v>0.5047931168204396</v>
      </c>
      <c r="M2403" s="71">
        <f>IF(L2403&lt;1,1,L2403)</f>
        <v>1</v>
      </c>
      <c r="N2403" s="70" t="s">
        <v>141</v>
      </c>
      <c r="O2403" s="71">
        <f>INDEX(DurClassMapping,MATCH(M2403,MappingTables!$D$4:$D$8,-1),1)</f>
        <v>1</v>
      </c>
      <c r="P2403" s="73">
        <f>IF(M2403=$A$1,1,$M2403-INDEX(MappingTables!$E$4:$E$8,MATCH(O2403,MappingTables!$B$4:$B$8,0)))</f>
        <v>1</v>
      </c>
      <c r="Q2403" s="71">
        <f>IF(B2403="",0,INDEX(ModelParameters!$D$6:$K$10,MATCH($O2403,ModelParameters!$B$6:$B$10,0),MATCH($J2403,ModelParameters!$D$5:$K$5,0)))</f>
        <v>0.025</v>
      </c>
      <c r="R2403" s="71">
        <f>IF(B2403="",0,INDEX(ModelParameters!$D$13:$K$17,MATCH($O2403,ModelParameters!$B$13:$B$17,0),MATCH($J2403,ModelParameters!$D$5:$K$5,0)))</f>
        <v>0</v>
      </c>
      <c r="S2403" s="160">
        <f>IF(B2403="",0,MIN(IF($N2403="Other Bond TM",ModelParameters!$N$21,1)*(P2403*Q2403+R2403),1))</f>
        <v>0.025</v>
      </c>
      <c r="T2403" s="85">
        <f>IF(B2403="",0,$S2403*$K2403)</f>
        <v>0.84157576810372848</v>
      </c>
      <c r="U2403" s="85">
        <f>IF(B2403="",0,IF(OR(H2403=MappingTables!$C$34,H2403=MappingTables!$C$35),T2403,0))</f>
        <v>0</v>
      </c>
      <c r="V2403" s="85">
        <f>IF(ISNA(IF(AND(VLOOKUP(CONCATENATE($D2403,$G2403),CSRFinput!$B:$E,4,0)=0,OR(H2403=MappingTables!$C$34,H2403=MappingTables!$C$35)),1,VLOOKUP(CONCATENATE($D2403,$G2403),CSRFinput!$B:$E,4,0))),0,IF(AND(VLOOKUP(CONCATENATE($D2403,$G2403),CSRFinput!$B:$E,4,0)=0,OR(H2403=MappingTables!$C$34,H2403=MappingTables!$C$35)),1,VLOOKUP(CONCATENATE($D2403,$G2403),CSRFinput!$B:$E,4,0)))</f>
        <v>0.054776304963434752</v>
      </c>
      <c r="W2403" s="85">
        <f>IF(B2403="",0,+$T2403*$V2403)</f>
        <v>0.046098410923486672</v>
      </c>
      <c r="X2403" s="85">
        <f>IF(B2403="",0,IF(OR(H2403=MappingTables!$C$34,H2403=MappingTables!$C$35),W2403,0))</f>
        <v>0</v>
      </c>
    </row>
    <row r="2404" spans="2:24" s="0" customFormat="0" ht="15">
      <c r="B2404" s="69">
        <v>11835384</v>
      </c>
      <c r="C2404" s="70" t="s">
        <v>386</v>
      </c>
      <c r="D2404" s="70" t="s">
        <v>1</v>
      </c>
      <c r="E2404" s="70" t="s">
        <v>1</v>
      </c>
      <c r="F2404" s="70"/>
      <c r="G2404" s="70" t="s">
        <v>61</v>
      </c>
      <c r="H2404" s="70" t="s">
        <v>178</v>
      </c>
      <c r="I2404" s="70" t="s">
        <v>184</v>
      </c>
      <c r="J2404" s="71">
        <f>IF(OR(I2404=0,I2404=""),"unrated",VLOOKUP(I2404,MappingTables!$B$19:$C$31,2,FALSE))</f>
        <v>5</v>
      </c>
      <c r="K2404" s="72">
        <v>100.25319279657696</v>
      </c>
      <c r="L2404" s="70">
        <v>2.2382957558185712</v>
      </c>
      <c r="M2404" s="71">
        <f>IF(L2404&lt;1,1,L2404)</f>
        <v>2.2382957558185712</v>
      </c>
      <c r="N2404" s="70" t="s">
        <v>141</v>
      </c>
      <c r="O2404" s="71">
        <f>INDEX(DurClassMapping,MATCH(M2404,MappingTables!$D$4:$D$8,-1),1)</f>
        <v>1</v>
      </c>
      <c r="P2404" s="73">
        <f>IF(M2404=$A$1,1,$M2404-INDEX(MappingTables!$E$4:$E$8,MATCH(O2404,MappingTables!$B$4:$B$8,0)))</f>
        <v>2.2382957558185712</v>
      </c>
      <c r="Q2404" s="71">
        <f>IF(B2404="",0,INDEX(ModelParameters!$D$6:$K$10,MATCH($O2404,ModelParameters!$B$6:$B$10,0),MATCH($J2404,ModelParameters!$D$5:$K$5,0)))</f>
        <v>0.075</v>
      </c>
      <c r="R2404" s="71">
        <f>IF(B2404="",0,INDEX(ModelParameters!$D$13:$K$17,MATCH($O2404,ModelParameters!$B$13:$B$17,0),MATCH($J2404,ModelParameters!$D$5:$K$5,0)))</f>
        <v>0</v>
      </c>
      <c r="S2404" s="160">
        <f>IF(B2404="",0,MIN(IF($N2404="Other Bond TM",ModelParameters!$N$21,1)*(P2404*Q2404+R2404),1))</f>
        <v>0.16787218168639284</v>
      </c>
      <c r="T2404" s="85">
        <f>IF(B2404="",0,$S2404*$K2404)</f>
        <v>16.829722195787938</v>
      </c>
      <c r="U2404" s="85">
        <f>IF(B2404="",0,IF(OR(H2404=MappingTables!$C$34,H2404=MappingTables!$C$35),T2404,0))</f>
        <v>0</v>
      </c>
      <c r="V2404" s="85">
        <f>IF(ISNA(IF(AND(VLOOKUP(CONCATENATE($D2404,$G2404),CSRFinput!$B:$E,4,0)=0,OR(H2404=MappingTables!$C$34,H2404=MappingTables!$C$35)),1,VLOOKUP(CONCATENATE($D2404,$G2404),CSRFinput!$B:$E,4,0))),0,IF(AND(VLOOKUP(CONCATENATE($D2404,$G2404),CSRFinput!$B:$E,4,0)=0,OR(H2404=MappingTables!$C$34,H2404=MappingTables!$C$35)),1,VLOOKUP(CONCATENATE($D2404,$G2404),CSRFinput!$B:$E,4,0)))</f>
        <v>0.054776304963434752</v>
      </c>
      <c r="W2404" s="85">
        <f>IF(B2404="",0,+$T2404*$V2404)</f>
        <v>0.92186999544636688</v>
      </c>
      <c r="X2404" s="85">
        <f>IF(B2404="",0,IF(OR(H2404=MappingTables!$C$34,H2404=MappingTables!$C$35),W2404,0))</f>
        <v>0</v>
      </c>
    </row>
    <row r="2405" spans="2:24" s="0" customFormat="0" ht="15">
      <c r="B2405" s="69">
        <v>4341995</v>
      </c>
      <c r="C2405" s="70" t="s">
        <v>2004</v>
      </c>
      <c r="D2405" s="70" t="s">
        <v>1</v>
      </c>
      <c r="E2405" s="70" t="s">
        <v>1</v>
      </c>
      <c r="F2405" s="70"/>
      <c r="G2405" s="70" t="s">
        <v>61</v>
      </c>
      <c r="H2405" s="70" t="s">
        <v>178</v>
      </c>
      <c r="I2405" s="70" t="s">
        <v>181</v>
      </c>
      <c r="J2405" s="71">
        <f>IF(OR(I2405=0,I2405=""),"unrated",VLOOKUP(I2405,MappingTables!$B$19:$C$31,2,FALSE))</f>
        <v>3</v>
      </c>
      <c r="K2405" s="72">
        <v>415.4969160664476</v>
      </c>
      <c r="L2405" s="70">
        <v>0.90974560353556816</v>
      </c>
      <c r="M2405" s="71">
        <f>IF(L2405&lt;1,1,L2405)</f>
        <v>1</v>
      </c>
      <c r="N2405" s="70" t="s">
        <v>141</v>
      </c>
      <c r="O2405" s="71">
        <f>INDEX(DurClassMapping,MATCH(M2405,MappingTables!$D$4:$D$8,-1),1)</f>
        <v>1</v>
      </c>
      <c r="P2405" s="73">
        <f>IF(M2405=$A$1,1,$M2405-INDEX(MappingTables!$E$4:$E$8,MATCH(O2405,MappingTables!$B$4:$B$8,0)))</f>
        <v>1</v>
      </c>
      <c r="Q2405" s="71">
        <f>IF(B2405="",0,INDEX(ModelParameters!$D$6:$K$10,MATCH($O2405,ModelParameters!$B$6:$B$10,0),MATCH($J2405,ModelParameters!$D$5:$K$5,0)))</f>
        <v>0.025</v>
      </c>
      <c r="R2405" s="71">
        <f>IF(B2405="",0,INDEX(ModelParameters!$D$13:$K$17,MATCH($O2405,ModelParameters!$B$13:$B$17,0),MATCH($J2405,ModelParameters!$D$5:$K$5,0)))</f>
        <v>0</v>
      </c>
      <c r="S2405" s="160">
        <f>IF(B2405="",0,MIN(IF($N2405="Other Bond TM",ModelParameters!$N$21,1)*(P2405*Q2405+R2405),1))</f>
        <v>0.025</v>
      </c>
      <c r="T2405" s="85">
        <f>IF(B2405="",0,$S2405*$K2405)</f>
        <v>10.38742290166119</v>
      </c>
      <c r="U2405" s="85">
        <f>IF(B2405="",0,IF(OR(H2405=MappingTables!$C$34,H2405=MappingTables!$C$35),T2405,0))</f>
        <v>0</v>
      </c>
      <c r="V2405" s="85">
        <f>IF(ISNA(IF(AND(VLOOKUP(CONCATENATE($D2405,$G2405),CSRFinput!$B:$E,4,0)=0,OR(H2405=MappingTables!$C$34,H2405=MappingTables!$C$35)),1,VLOOKUP(CONCATENATE($D2405,$G2405),CSRFinput!$B:$E,4,0))),0,IF(AND(VLOOKUP(CONCATENATE($D2405,$G2405),CSRFinput!$B:$E,4,0)=0,OR(H2405=MappingTables!$C$34,H2405=MappingTables!$C$35)),1,VLOOKUP(CONCATENATE($D2405,$G2405),CSRFinput!$B:$E,4,0)))</f>
        <v>0.054776304963434752</v>
      </c>
      <c r="W2405" s="85">
        <f>IF(B2405="",0,+$T2405*$V2405)</f>
        <v>0.56898464464555968</v>
      </c>
      <c r="X2405" s="85">
        <f>IF(B2405="",0,IF(OR(H2405=MappingTables!$C$34,H2405=MappingTables!$C$35),W2405,0))</f>
        <v>0</v>
      </c>
    </row>
    <row r="2406" spans="2:24" s="0" customFormat="0" ht="15">
      <c r="B2406" s="69">
        <v>19272727</v>
      </c>
      <c r="C2406" s="70" t="s">
        <v>2090</v>
      </c>
      <c r="D2406" s="70" t="s">
        <v>1</v>
      </c>
      <c r="E2406" s="70" t="s">
        <v>1</v>
      </c>
      <c r="F2406" s="70"/>
      <c r="G2406" s="70" t="s">
        <v>61</v>
      </c>
      <c r="H2406" s="70" t="s">
        <v>178</v>
      </c>
      <c r="I2406" s="70" t="s">
        <v>179</v>
      </c>
      <c r="J2406" s="71">
        <f>IF(OR(I2406=0,I2406=""),"unrated",VLOOKUP(I2406,MappingTables!$B$19:$C$31,2,FALSE))</f>
        <v>4</v>
      </c>
      <c r="K2406" s="72">
        <v>7120.7320823457288</v>
      </c>
      <c r="L2406" s="70">
        <v>2.9767263759284996</v>
      </c>
      <c r="M2406" s="71">
        <f>IF(L2406&lt;1,1,L2406)</f>
        <v>2.9767263759284996</v>
      </c>
      <c r="N2406" s="70" t="s">
        <v>141</v>
      </c>
      <c r="O2406" s="71">
        <f>INDEX(DurClassMapping,MATCH(M2406,MappingTables!$D$4:$D$8,-1),1)</f>
        <v>1</v>
      </c>
      <c r="P2406" s="73">
        <f>IF(M2406=$A$1,1,$M2406-INDEX(MappingTables!$E$4:$E$8,MATCH(O2406,MappingTables!$B$4:$B$8,0)))</f>
        <v>2.9767263759284996</v>
      </c>
      <c r="Q2406" s="71">
        <f>IF(B2406="",0,INDEX(ModelParameters!$D$6:$K$10,MATCH($O2406,ModelParameters!$B$6:$B$10,0),MATCH($J2406,ModelParameters!$D$5:$K$5,0)))</f>
        <v>0.045</v>
      </c>
      <c r="R2406" s="71">
        <f>IF(B2406="",0,INDEX(ModelParameters!$D$13:$K$17,MATCH($O2406,ModelParameters!$B$13:$B$17,0),MATCH($J2406,ModelParameters!$D$5:$K$5,0)))</f>
        <v>0</v>
      </c>
      <c r="S2406" s="160">
        <f>IF(B2406="",0,MIN(IF($N2406="Other Bond TM",ModelParameters!$N$21,1)*(P2406*Q2406+R2406),1))</f>
        <v>0.13395268691678248</v>
      </c>
      <c r="T2406" s="85">
        <f>IF(B2406="",0,$S2406*$K2406)</f>
        <v>953.84119524474592</v>
      </c>
      <c r="U2406" s="85">
        <f>IF(B2406="",0,IF(OR(H2406=MappingTables!$C$34,H2406=MappingTables!$C$35),T2406,0))</f>
        <v>0</v>
      </c>
      <c r="V2406" s="85">
        <f>IF(ISNA(IF(AND(VLOOKUP(CONCATENATE($D2406,$G2406),CSRFinput!$B:$E,4,0)=0,OR(H2406=MappingTables!$C$34,H2406=MappingTables!$C$35)),1,VLOOKUP(CONCATENATE($D2406,$G2406),CSRFinput!$B:$E,4,0))),0,IF(AND(VLOOKUP(CONCATENATE($D2406,$G2406),CSRFinput!$B:$E,4,0)=0,OR(H2406=MappingTables!$C$34,H2406=MappingTables!$C$35)),1,VLOOKUP(CONCATENATE($D2406,$G2406),CSRFinput!$B:$E,4,0)))</f>
        <v>0.054776304963434752</v>
      </c>
      <c r="W2406" s="85">
        <f>IF(B2406="",0,+$T2406*$V2406)</f>
        <v>52.247896197413312</v>
      </c>
      <c r="X2406" s="85">
        <f>IF(B2406="",0,IF(OR(H2406=MappingTables!$C$34,H2406=MappingTables!$C$35),W2406,0))</f>
        <v>0</v>
      </c>
    </row>
    <row r="2407" spans="2:24" s="0" customFormat="0" ht="15">
      <c r="B2407" s="69">
        <v>24326074</v>
      </c>
      <c r="C2407" s="70" t="s">
        <v>422</v>
      </c>
      <c r="D2407" s="70" t="s">
        <v>1</v>
      </c>
      <c r="E2407" s="70" t="s">
        <v>1</v>
      </c>
      <c r="F2407" s="70"/>
      <c r="G2407" s="70" t="s">
        <v>61</v>
      </c>
      <c r="H2407" s="70" t="s">
        <v>178</v>
      </c>
      <c r="I2407" s="70" t="s">
        <v>184</v>
      </c>
      <c r="J2407" s="71">
        <f>IF(OR(I2407=0,I2407=""),"unrated",VLOOKUP(I2407,MappingTables!$B$19:$C$31,2,FALSE))</f>
        <v>5</v>
      </c>
      <c r="K2407" s="72">
        <v>208.0858098536368</v>
      </c>
      <c r="L2407" s="70">
        <v>1.4676567383566306</v>
      </c>
      <c r="M2407" s="71">
        <f>IF(L2407&lt;1,1,L2407)</f>
        <v>1.4676567383566306</v>
      </c>
      <c r="N2407" s="70" t="s">
        <v>141</v>
      </c>
      <c r="O2407" s="71">
        <f>INDEX(DurClassMapping,MATCH(M2407,MappingTables!$D$4:$D$8,-1),1)</f>
        <v>1</v>
      </c>
      <c r="P2407" s="73">
        <f>IF(M2407=$A$1,1,$M2407-INDEX(MappingTables!$E$4:$E$8,MATCH(O2407,MappingTables!$B$4:$B$8,0)))</f>
        <v>1.4676567383566306</v>
      </c>
      <c r="Q2407" s="71">
        <f>IF(B2407="",0,INDEX(ModelParameters!$D$6:$K$10,MATCH($O2407,ModelParameters!$B$6:$B$10,0),MATCH($J2407,ModelParameters!$D$5:$K$5,0)))</f>
        <v>0.075</v>
      </c>
      <c r="R2407" s="71">
        <f>IF(B2407="",0,INDEX(ModelParameters!$D$13:$K$17,MATCH($O2407,ModelParameters!$B$13:$B$17,0),MATCH($J2407,ModelParameters!$D$5:$K$5,0)))</f>
        <v>0</v>
      </c>
      <c r="S2407" s="160">
        <f>IF(B2407="",0,MIN(IF($N2407="Other Bond TM",ModelParameters!$N$21,1)*(P2407*Q2407+R2407),1))</f>
        <v>0.1100742553767473</v>
      </c>
      <c r="T2407" s="85">
        <f>IF(B2407="",0,$S2407*$K2407)</f>
        <v>22.9048905741065</v>
      </c>
      <c r="U2407" s="85">
        <f>IF(B2407="",0,IF(OR(H2407=MappingTables!$C$34,H2407=MappingTables!$C$35),T2407,0))</f>
        <v>0</v>
      </c>
      <c r="V2407" s="85">
        <f>IF(ISNA(IF(AND(VLOOKUP(CONCATENATE($D2407,$G2407),CSRFinput!$B:$E,4,0)=0,OR(H2407=MappingTables!$C$34,H2407=MappingTables!$C$35)),1,VLOOKUP(CONCATENATE($D2407,$G2407),CSRFinput!$B:$E,4,0))),0,IF(AND(VLOOKUP(CONCATENATE($D2407,$G2407),CSRFinput!$B:$E,4,0)=0,OR(H2407=MappingTables!$C$34,H2407=MappingTables!$C$35)),1,VLOOKUP(CONCATENATE($D2407,$G2407),CSRFinput!$B:$E,4,0)))</f>
        <v>0.054776304963434752</v>
      </c>
      <c r="W2407" s="85">
        <f>IF(B2407="",0,+$T2407*$V2407)</f>
        <v>1.2546452712413598</v>
      </c>
      <c r="X2407" s="85">
        <f>IF(B2407="",0,IF(OR(H2407=MappingTables!$C$34,H2407=MappingTables!$C$35),W2407,0))</f>
        <v>0</v>
      </c>
    </row>
    <row r="2408" spans="2:24" s="0" customFormat="0" ht="15">
      <c r="B2408" s="69" t="s">
        <v>2399</v>
      </c>
      <c r="C2408" s="70" t="s">
        <v>2400</v>
      </c>
      <c r="D2408" s="70" t="s">
        <v>1</v>
      </c>
      <c r="E2408" s="70" t="s">
        <v>1</v>
      </c>
      <c r="F2408" s="70"/>
      <c r="G2408" s="70" t="s">
        <v>61</v>
      </c>
      <c r="H2408" s="70" t="s">
        <v>178</v>
      </c>
      <c r="I2408" s="70" t="s">
        <v>198</v>
      </c>
      <c r="J2408" s="71" t="str">
        <f>IF(OR(I2408=0,I2408=""),"unrated",VLOOKUP(I2408,MappingTables!$B$19:$C$31,2,FALSE))</f>
        <v>unrated</v>
      </c>
      <c r="K2408" s="72">
        <v>21428.158231066308</v>
      </c>
      <c r="L2408" s="70">
        <v>16.266203229623094</v>
      </c>
      <c r="M2408" s="71">
        <f>IF(L2408&lt;1,1,L2408)</f>
        <v>16.266203229623094</v>
      </c>
      <c r="N2408" s="70" t="s">
        <v>141</v>
      </c>
      <c r="O2408" s="71">
        <f>INDEX(DurClassMapping,MATCH(M2408,MappingTables!$D$4:$D$8,-1),1)</f>
        <v>4</v>
      </c>
      <c r="P2408" s="73">
        <f>IF(M2408=$A$1,1,$M2408-INDEX(MappingTables!$E$4:$E$8,MATCH(O2408,MappingTables!$B$4:$B$8,0)))</f>
        <v>1.2662032296230948</v>
      </c>
      <c r="Q2408" s="71">
        <f>IF(B2408="",0,INDEX(ModelParameters!$D$6:$K$10,MATCH($O2408,ModelParameters!$B$6:$B$10,0),MATCH($J2408,ModelParameters!$D$5:$K$5,0)))</f>
        <v>0.012</v>
      </c>
      <c r="R2408" s="71">
        <f>IF(B2408="",0,INDEX(ModelParameters!$D$13:$K$17,MATCH($O2408,ModelParameters!$B$13:$B$17,0),MATCH($J2408,ModelParameters!$D$5:$K$5,0)))</f>
        <v>0.295</v>
      </c>
      <c r="S2408" s="160">
        <f>IF(B2408="",0,MIN(IF($N2408="Other Bond TM",ModelParameters!$N$21,1)*(P2408*Q2408+R2408),1))</f>
        <v>0.31019443875547716</v>
      </c>
      <c r="T2408" s="85">
        <f>IF(B2408="",0,$S2408*$K2408)</f>
        <v>6646.8955160491712</v>
      </c>
      <c r="U2408" s="85">
        <f>IF(B2408="",0,IF(OR(H2408=MappingTables!$C$34,H2408=MappingTables!$C$35),T2408,0))</f>
        <v>0</v>
      </c>
      <c r="V2408" s="85">
        <f>IF(ISNA(IF(AND(VLOOKUP(CONCATENATE($D2408,$G2408),CSRFinput!$B:$E,4,0)=0,OR(H2408=MappingTables!$C$34,H2408=MappingTables!$C$35)),1,VLOOKUP(CONCATENATE($D2408,$G2408),CSRFinput!$B:$E,4,0))),0,IF(AND(VLOOKUP(CONCATENATE($D2408,$G2408),CSRFinput!$B:$E,4,0)=0,OR(H2408=MappingTables!$C$34,H2408=MappingTables!$C$35)),1,VLOOKUP(CONCATENATE($D2408,$G2408),CSRFinput!$B:$E,4,0)))</f>
        <v>0.054776304963434752</v>
      </c>
      <c r="W2408" s="85">
        <f>IF(B2408="",0,+$T2408*$V2408)</f>
        <v>364.0923758471964</v>
      </c>
      <c r="X2408" s="85">
        <f>IF(B2408="",0,IF(OR(H2408=MappingTables!$C$34,H2408=MappingTables!$C$35),W2408,0))</f>
        <v>0</v>
      </c>
    </row>
    <row r="2409" spans="2:24" s="0" customFormat="0" ht="15">
      <c r="B2409" s="69">
        <v>17822146</v>
      </c>
      <c r="C2409" s="70" t="s">
        <v>2401</v>
      </c>
      <c r="D2409" s="70" t="s">
        <v>1</v>
      </c>
      <c r="E2409" s="70" t="s">
        <v>1</v>
      </c>
      <c r="F2409" s="70"/>
      <c r="G2409" s="70" t="s">
        <v>61</v>
      </c>
      <c r="H2409" s="70" t="s">
        <v>178</v>
      </c>
      <c r="I2409" s="70" t="s">
        <v>181</v>
      </c>
      <c r="J2409" s="71">
        <f>IF(OR(I2409=0,I2409=""),"unrated",VLOOKUP(I2409,MappingTables!$B$19:$C$31,2,FALSE))</f>
        <v>3</v>
      </c>
      <c r="K2409" s="72">
        <v>65.4412045405478</v>
      </c>
      <c r="L2409" s="70">
        <v>4.7636025067661752</v>
      </c>
      <c r="M2409" s="71">
        <f>IF(L2409&lt;1,1,L2409)</f>
        <v>4.7636025067661752</v>
      </c>
      <c r="N2409" s="70" t="s">
        <v>141</v>
      </c>
      <c r="O2409" s="71">
        <f>INDEX(DurClassMapping,MATCH(M2409,MappingTables!$D$4:$D$8,-1),1)</f>
        <v>1</v>
      </c>
      <c r="P2409" s="73">
        <f>IF(M2409=$A$1,1,$M2409-INDEX(MappingTables!$E$4:$E$8,MATCH(O2409,MappingTables!$B$4:$B$8,0)))</f>
        <v>4.7636025067661752</v>
      </c>
      <c r="Q2409" s="71">
        <f>IF(B2409="",0,INDEX(ModelParameters!$D$6:$K$10,MATCH($O2409,ModelParameters!$B$6:$B$10,0),MATCH($J2409,ModelParameters!$D$5:$K$5,0)))</f>
        <v>0.025</v>
      </c>
      <c r="R2409" s="71">
        <f>IF(B2409="",0,INDEX(ModelParameters!$D$13:$K$17,MATCH($O2409,ModelParameters!$B$13:$B$17,0),MATCH($J2409,ModelParameters!$D$5:$K$5,0)))</f>
        <v>0</v>
      </c>
      <c r="S2409" s="160">
        <f>IF(B2409="",0,MIN(IF($N2409="Other Bond TM",ModelParameters!$N$21,1)*(P2409*Q2409+R2409),1))</f>
        <v>0.1190900626691544</v>
      </c>
      <c r="T2409" s="85">
        <f>IF(B2409="",0,$S2409*$K2409)</f>
        <v>7.7933971498787888</v>
      </c>
      <c r="U2409" s="85">
        <f>IF(B2409="",0,IF(OR(H2409=MappingTables!$C$34,H2409=MappingTables!$C$35),T2409,0))</f>
        <v>0</v>
      </c>
      <c r="V2409" s="85">
        <f>IF(ISNA(IF(AND(VLOOKUP(CONCATENATE($D2409,$G2409),CSRFinput!$B:$E,4,0)=0,OR(H2409=MappingTables!$C$34,H2409=MappingTables!$C$35)),1,VLOOKUP(CONCATENATE($D2409,$G2409),CSRFinput!$B:$E,4,0))),0,IF(AND(VLOOKUP(CONCATENATE($D2409,$G2409),CSRFinput!$B:$E,4,0)=0,OR(H2409=MappingTables!$C$34,H2409=MappingTables!$C$35)),1,VLOOKUP(CONCATENATE($D2409,$G2409),CSRFinput!$B:$E,4,0)))</f>
        <v>0.054776304963434752</v>
      </c>
      <c r="W2409" s="85">
        <f>IF(B2409="",0,+$T2409*$V2409)</f>
        <v>0.42689349898292376</v>
      </c>
      <c r="X2409" s="85">
        <f>IF(B2409="",0,IF(OR(H2409=MappingTables!$C$34,H2409=MappingTables!$C$35),W2409,0))</f>
        <v>0</v>
      </c>
    </row>
    <row r="2410" spans="2:24" s="0" customFormat="0" ht="15">
      <c r="B2410" s="69" t="s">
        <v>1147</v>
      </c>
      <c r="C2410" s="70" t="s">
        <v>1148</v>
      </c>
      <c r="D2410" s="70" t="s">
        <v>1</v>
      </c>
      <c r="E2410" s="70" t="s">
        <v>1</v>
      </c>
      <c r="F2410" s="70"/>
      <c r="G2410" s="70" t="s">
        <v>61</v>
      </c>
      <c r="H2410" s="70" t="s">
        <v>178</v>
      </c>
      <c r="I2410" s="70" t="s">
        <v>179</v>
      </c>
      <c r="J2410" s="71">
        <f>IF(OR(I2410=0,I2410=""),"unrated",VLOOKUP(I2410,MappingTables!$B$19:$C$31,2,FALSE))</f>
        <v>4</v>
      </c>
      <c r="K2410" s="72">
        <v>47421.250635668552</v>
      </c>
      <c r="L2410" s="70">
        <v>8.8387969069977712</v>
      </c>
      <c r="M2410" s="71">
        <f>IF(L2410&lt;1,1,L2410)</f>
        <v>8.8387969069977712</v>
      </c>
      <c r="N2410" s="70" t="s">
        <v>141</v>
      </c>
      <c r="O2410" s="71">
        <f>INDEX(DurClassMapping,MATCH(M2410,MappingTables!$D$4:$D$8,-1),1)</f>
        <v>2</v>
      </c>
      <c r="P2410" s="73">
        <f>IF(M2410=$A$1,1,$M2410-INDEX(MappingTables!$E$4:$E$8,MATCH(O2410,MappingTables!$B$4:$B$8,0)))</f>
        <v>3.8387969069977712</v>
      </c>
      <c r="Q2410" s="71">
        <f>IF(B2410="",0,INDEX(ModelParameters!$D$6:$K$10,MATCH($O2410,ModelParameters!$B$6:$B$10,0),MATCH($J2410,ModelParameters!$D$5:$K$5,0)))</f>
        <v>0.025</v>
      </c>
      <c r="R2410" s="71">
        <f>IF(B2410="",0,INDEX(ModelParameters!$D$13:$K$17,MATCH($O2410,ModelParameters!$B$13:$B$17,0),MATCH($J2410,ModelParameters!$D$5:$K$5,0)))</f>
        <v>0.225</v>
      </c>
      <c r="S2410" s="160">
        <f>IF(B2410="",0,MIN(IF($N2410="Other Bond TM",ModelParameters!$N$21,1)*(P2410*Q2410+R2410),1))</f>
        <v>0.32096992267494428</v>
      </c>
      <c r="T2410" s="85">
        <f>IF(B2410="",0,$S2410*$K2410)</f>
        <v>15220.795149679688</v>
      </c>
      <c r="U2410" s="85">
        <f>IF(B2410="",0,IF(OR(H2410=MappingTables!$C$34,H2410=MappingTables!$C$35),T2410,0))</f>
        <v>0</v>
      </c>
      <c r="V2410" s="85">
        <f>IF(ISNA(IF(AND(VLOOKUP(CONCATENATE($D2410,$G2410),CSRFinput!$B:$E,4,0)=0,OR(H2410=MappingTables!$C$34,H2410=MappingTables!$C$35)),1,VLOOKUP(CONCATENATE($D2410,$G2410),CSRFinput!$B:$E,4,0))),0,IF(AND(VLOOKUP(CONCATENATE($D2410,$G2410),CSRFinput!$B:$E,4,0)=0,OR(H2410=MappingTables!$C$34,H2410=MappingTables!$C$35)),1,VLOOKUP(CONCATENATE($D2410,$G2410),CSRFinput!$B:$E,4,0)))</f>
        <v>0.054776304963434752</v>
      </c>
      <c r="W2410" s="85">
        <f>IF(B2410="",0,+$T2410*$V2410)</f>
        <v>833.73891690482304</v>
      </c>
      <c r="X2410" s="85">
        <f>IF(B2410="",0,IF(OR(H2410=MappingTables!$C$34,H2410=MappingTables!$C$35),W2410,0))</f>
        <v>0</v>
      </c>
    </row>
    <row r="2411" spans="2:24" s="0" customFormat="0" ht="15">
      <c r="B2411" s="69">
        <v>22930280</v>
      </c>
      <c r="C2411" s="70" t="s">
        <v>2402</v>
      </c>
      <c r="D2411" s="70" t="s">
        <v>1</v>
      </c>
      <c r="E2411" s="70" t="s">
        <v>1</v>
      </c>
      <c r="F2411" s="70"/>
      <c r="G2411" s="70" t="s">
        <v>61</v>
      </c>
      <c r="H2411" s="70" t="s">
        <v>178</v>
      </c>
      <c r="I2411" s="70" t="s">
        <v>179</v>
      </c>
      <c r="J2411" s="71">
        <f>IF(OR(I2411=0,I2411=""),"unrated",VLOOKUP(I2411,MappingTables!$B$19:$C$31,2,FALSE))</f>
        <v>4</v>
      </c>
      <c r="K2411" s="72">
        <v>21658.983368911332</v>
      </c>
      <c r="L2411" s="70">
        <v>1.2738608700757442</v>
      </c>
      <c r="M2411" s="71">
        <f>IF(L2411&lt;1,1,L2411)</f>
        <v>1.2738608700757442</v>
      </c>
      <c r="N2411" s="70" t="s">
        <v>141</v>
      </c>
      <c r="O2411" s="71">
        <f>INDEX(DurClassMapping,MATCH(M2411,MappingTables!$D$4:$D$8,-1),1)</f>
        <v>1</v>
      </c>
      <c r="P2411" s="73">
        <f>IF(M2411=$A$1,1,$M2411-INDEX(MappingTables!$E$4:$E$8,MATCH(O2411,MappingTables!$B$4:$B$8,0)))</f>
        <v>1.2738608700757442</v>
      </c>
      <c r="Q2411" s="71">
        <f>IF(B2411="",0,INDEX(ModelParameters!$D$6:$K$10,MATCH($O2411,ModelParameters!$B$6:$B$10,0),MATCH($J2411,ModelParameters!$D$5:$K$5,0)))</f>
        <v>0.045</v>
      </c>
      <c r="R2411" s="71">
        <f>IF(B2411="",0,INDEX(ModelParameters!$D$13:$K$17,MATCH($O2411,ModelParameters!$B$13:$B$17,0),MATCH($J2411,ModelParameters!$D$5:$K$5,0)))</f>
        <v>0</v>
      </c>
      <c r="S2411" s="160">
        <f>IF(B2411="",0,MIN(IF($N2411="Other Bond TM",ModelParameters!$N$21,1)*(P2411*Q2411+R2411),1))</f>
        <v>0.057323739153408488</v>
      </c>
      <c r="T2411" s="85">
        <f>IF(B2411="",0,$S2411*$K2411)</f>
        <v>1241.5739129674858</v>
      </c>
      <c r="U2411" s="85">
        <f>IF(B2411="",0,IF(OR(H2411=MappingTables!$C$34,H2411=MappingTables!$C$35),T2411,0))</f>
        <v>0</v>
      </c>
      <c r="V2411" s="85">
        <f>IF(ISNA(IF(AND(VLOOKUP(CONCATENATE($D2411,$G2411),CSRFinput!$B:$E,4,0)=0,OR(H2411=MappingTables!$C$34,H2411=MappingTables!$C$35)),1,VLOOKUP(CONCATENATE($D2411,$G2411),CSRFinput!$B:$E,4,0))),0,IF(AND(VLOOKUP(CONCATENATE($D2411,$G2411),CSRFinput!$B:$E,4,0)=0,OR(H2411=MappingTables!$C$34,H2411=MappingTables!$C$35)),1,VLOOKUP(CONCATENATE($D2411,$G2411),CSRFinput!$B:$E,4,0)))</f>
        <v>0.054776304963434752</v>
      </c>
      <c r="W2411" s="85">
        <f>IF(B2411="",0,+$T2411*$V2411)</f>
        <v>68.008831291351992</v>
      </c>
      <c r="X2411" s="85">
        <f>IF(B2411="",0,IF(OR(H2411=MappingTables!$C$34,H2411=MappingTables!$C$35),W2411,0))</f>
        <v>0</v>
      </c>
    </row>
    <row r="2412" spans="2:24" s="0" customFormat="0" ht="15">
      <c r="B2412" s="69">
        <v>14741153</v>
      </c>
      <c r="C2412" s="70" t="s">
        <v>2186</v>
      </c>
      <c r="D2412" s="70" t="s">
        <v>1</v>
      </c>
      <c r="E2412" s="70" t="s">
        <v>1</v>
      </c>
      <c r="F2412" s="70"/>
      <c r="G2412" s="70" t="s">
        <v>61</v>
      </c>
      <c r="H2412" s="70" t="s">
        <v>178</v>
      </c>
      <c r="I2412" s="70" t="s">
        <v>188</v>
      </c>
      <c r="J2412" s="71">
        <f>IF(OR(I2412=0,I2412=""),"unrated",VLOOKUP(I2412,MappingTables!$B$19:$C$31,2,FALSE))</f>
        <v>2</v>
      </c>
      <c r="K2412" s="72">
        <v>4697.0594198452032</v>
      </c>
      <c r="L2412" s="70">
        <v>1.6538597359309938</v>
      </c>
      <c r="M2412" s="71">
        <f>IF(L2412&lt;1,1,L2412)</f>
        <v>1.6538597359309938</v>
      </c>
      <c r="N2412" s="70" t="s">
        <v>141</v>
      </c>
      <c r="O2412" s="71">
        <f>INDEX(DurClassMapping,MATCH(M2412,MappingTables!$D$4:$D$8,-1),1)</f>
        <v>1</v>
      </c>
      <c r="P2412" s="73">
        <f>IF(M2412=$A$1,1,$M2412-INDEX(MappingTables!$E$4:$E$8,MATCH(O2412,MappingTables!$B$4:$B$8,0)))</f>
        <v>1.6538597359309938</v>
      </c>
      <c r="Q2412" s="71">
        <f>IF(B2412="",0,INDEX(ModelParameters!$D$6:$K$10,MATCH($O2412,ModelParameters!$B$6:$B$10,0),MATCH($J2412,ModelParameters!$D$5:$K$5,0)))</f>
        <v>0.013999999999999998</v>
      </c>
      <c r="R2412" s="71">
        <f>IF(B2412="",0,INDEX(ModelParameters!$D$13:$K$17,MATCH($O2412,ModelParameters!$B$13:$B$17,0),MATCH($J2412,ModelParameters!$D$5:$K$5,0)))</f>
        <v>0</v>
      </c>
      <c r="S2412" s="160">
        <f>IF(B2412="",0,MIN(IF($N2412="Other Bond TM",ModelParameters!$N$21,1)*(P2412*Q2412+R2412),1))</f>
        <v>0.023154036303033912</v>
      </c>
      <c r="T2412" s="85">
        <f>IF(B2412="",0,$S2412*$K2412)</f>
        <v>108.75588432460326</v>
      </c>
      <c r="U2412" s="85">
        <f>IF(B2412="",0,IF(OR(H2412=MappingTables!$C$34,H2412=MappingTables!$C$35),T2412,0))</f>
        <v>0</v>
      </c>
      <c r="V2412" s="85">
        <f>IF(ISNA(IF(AND(VLOOKUP(CONCATENATE($D2412,$G2412),CSRFinput!$B:$E,4,0)=0,OR(H2412=MappingTables!$C$34,H2412=MappingTables!$C$35)),1,VLOOKUP(CONCATENATE($D2412,$G2412),CSRFinput!$B:$E,4,0))),0,IF(AND(VLOOKUP(CONCATENATE($D2412,$G2412),CSRFinput!$B:$E,4,0)=0,OR(H2412=MappingTables!$C$34,H2412=MappingTables!$C$35)),1,VLOOKUP(CONCATENATE($D2412,$G2412),CSRFinput!$B:$E,4,0)))</f>
        <v>0.054776304963434752</v>
      </c>
      <c r="W2412" s="85">
        <f>IF(B2412="",0,+$T2412*$V2412)</f>
        <v>5.9572454863325016</v>
      </c>
      <c r="X2412" s="85">
        <f>IF(B2412="",0,IF(OR(H2412=MappingTables!$C$34,H2412=MappingTables!$C$35),W2412,0))</f>
        <v>0</v>
      </c>
    </row>
    <row r="2413" spans="2:24" s="0" customFormat="0" ht="15">
      <c r="B2413" s="69">
        <v>23457587</v>
      </c>
      <c r="C2413" s="70" t="s">
        <v>2403</v>
      </c>
      <c r="D2413" s="70" t="s">
        <v>1</v>
      </c>
      <c r="E2413" s="70" t="s">
        <v>1</v>
      </c>
      <c r="F2413" s="70"/>
      <c r="G2413" s="70" t="s">
        <v>61</v>
      </c>
      <c r="H2413" s="70" t="s">
        <v>178</v>
      </c>
      <c r="I2413" s="70" t="s">
        <v>181</v>
      </c>
      <c r="J2413" s="71">
        <f>IF(OR(I2413=0,I2413=""),"unrated",VLOOKUP(I2413,MappingTables!$B$19:$C$31,2,FALSE))</f>
        <v>3</v>
      </c>
      <c r="K2413" s="72">
        <v>53.716393895924232</v>
      </c>
      <c r="L2413" s="70">
        <v>1.451499431633273</v>
      </c>
      <c r="M2413" s="71">
        <f>IF(L2413&lt;1,1,L2413)</f>
        <v>1.451499431633273</v>
      </c>
      <c r="N2413" s="70" t="s">
        <v>141</v>
      </c>
      <c r="O2413" s="71">
        <f>INDEX(DurClassMapping,MATCH(M2413,MappingTables!$D$4:$D$8,-1),1)</f>
        <v>1</v>
      </c>
      <c r="P2413" s="73">
        <f>IF(M2413=$A$1,1,$M2413-INDEX(MappingTables!$E$4:$E$8,MATCH(O2413,MappingTables!$B$4:$B$8,0)))</f>
        <v>1.451499431633273</v>
      </c>
      <c r="Q2413" s="71">
        <f>IF(B2413="",0,INDEX(ModelParameters!$D$6:$K$10,MATCH($O2413,ModelParameters!$B$6:$B$10,0),MATCH($J2413,ModelParameters!$D$5:$K$5,0)))</f>
        <v>0.025</v>
      </c>
      <c r="R2413" s="71">
        <f>IF(B2413="",0,INDEX(ModelParameters!$D$13:$K$17,MATCH($O2413,ModelParameters!$B$13:$B$17,0),MATCH($J2413,ModelParameters!$D$5:$K$5,0)))</f>
        <v>0</v>
      </c>
      <c r="S2413" s="160">
        <f>IF(B2413="",0,MIN(IF($N2413="Other Bond TM",ModelParameters!$N$21,1)*(P2413*Q2413+R2413),1))</f>
        <v>0.036287485790831824</v>
      </c>
      <c r="T2413" s="85">
        <f>IF(B2413="",0,$S2413*$K2413)</f>
        <v>1.949232880233076</v>
      </c>
      <c r="U2413" s="85">
        <f>IF(B2413="",0,IF(OR(H2413=MappingTables!$C$34,H2413=MappingTables!$C$35),T2413,0))</f>
        <v>0</v>
      </c>
      <c r="V2413" s="85">
        <f>IF(ISNA(IF(AND(VLOOKUP(CONCATENATE($D2413,$G2413),CSRFinput!$B:$E,4,0)=0,OR(H2413=MappingTables!$C$34,H2413=MappingTables!$C$35)),1,VLOOKUP(CONCATENATE($D2413,$G2413),CSRFinput!$B:$E,4,0))),0,IF(AND(VLOOKUP(CONCATENATE($D2413,$G2413),CSRFinput!$B:$E,4,0)=0,OR(H2413=MappingTables!$C$34,H2413=MappingTables!$C$35)),1,VLOOKUP(CONCATENATE($D2413,$G2413),CSRFinput!$B:$E,4,0)))</f>
        <v>0.054776304963434752</v>
      </c>
      <c r="W2413" s="85">
        <f>IF(B2413="",0,+$T2413*$V2413)</f>
        <v>0.10677177469240126</v>
      </c>
      <c r="X2413" s="85">
        <f>IF(B2413="",0,IF(OR(H2413=MappingTables!$C$34,H2413=MappingTables!$C$35),W2413,0))</f>
        <v>0</v>
      </c>
    </row>
    <row r="2414" spans="2:24" s="0" customFormat="0" ht="15">
      <c r="B2414" s="69">
        <v>7821787</v>
      </c>
      <c r="C2414" s="70" t="s">
        <v>2404</v>
      </c>
      <c r="D2414" s="70" t="s">
        <v>1</v>
      </c>
      <c r="E2414" s="70" t="s">
        <v>1</v>
      </c>
      <c r="F2414" s="70"/>
      <c r="G2414" s="70" t="s">
        <v>61</v>
      </c>
      <c r="H2414" s="70" t="s">
        <v>178</v>
      </c>
      <c r="I2414" s="70" t="s">
        <v>179</v>
      </c>
      <c r="J2414" s="71">
        <f>IF(OR(I2414=0,I2414=""),"unrated",VLOOKUP(I2414,MappingTables!$B$19:$C$31,2,FALSE))</f>
        <v>4</v>
      </c>
      <c r="K2414" s="72">
        <v>516.87865573932752</v>
      </c>
      <c r="L2414" s="70">
        <v>2.481950015897858</v>
      </c>
      <c r="M2414" s="71">
        <f>IF(L2414&lt;1,1,L2414)</f>
        <v>2.481950015897858</v>
      </c>
      <c r="N2414" s="70" t="s">
        <v>141</v>
      </c>
      <c r="O2414" s="71">
        <f>INDEX(DurClassMapping,MATCH(M2414,MappingTables!$D$4:$D$8,-1),1)</f>
        <v>1</v>
      </c>
      <c r="P2414" s="73">
        <f>IF(M2414=$A$1,1,$M2414-INDEX(MappingTables!$E$4:$E$8,MATCH(O2414,MappingTables!$B$4:$B$8,0)))</f>
        <v>2.481950015897858</v>
      </c>
      <c r="Q2414" s="71">
        <f>IF(B2414="",0,INDEX(ModelParameters!$D$6:$K$10,MATCH($O2414,ModelParameters!$B$6:$B$10,0),MATCH($J2414,ModelParameters!$D$5:$K$5,0)))</f>
        <v>0.045</v>
      </c>
      <c r="R2414" s="71">
        <f>IF(B2414="",0,INDEX(ModelParameters!$D$13:$K$17,MATCH($O2414,ModelParameters!$B$13:$B$17,0),MATCH($J2414,ModelParameters!$D$5:$K$5,0)))</f>
        <v>0</v>
      </c>
      <c r="S2414" s="160">
        <f>IF(B2414="",0,MIN(IF($N2414="Other Bond TM",ModelParameters!$N$21,1)*(P2414*Q2414+R2414),1))</f>
        <v>0.11168775071540362</v>
      </c>
      <c r="T2414" s="85">
        <f>IF(B2414="",0,$S2414*$K2414)</f>
        <v>57.729014452326936</v>
      </c>
      <c r="U2414" s="85">
        <f>IF(B2414="",0,IF(OR(H2414=MappingTables!$C$34,H2414=MappingTables!$C$35),T2414,0))</f>
        <v>0</v>
      </c>
      <c r="V2414" s="85">
        <f>IF(ISNA(IF(AND(VLOOKUP(CONCATENATE($D2414,$G2414),CSRFinput!$B:$E,4,0)=0,OR(H2414=MappingTables!$C$34,H2414=MappingTables!$C$35)),1,VLOOKUP(CONCATENATE($D2414,$G2414),CSRFinput!$B:$E,4,0))),0,IF(AND(VLOOKUP(CONCATENATE($D2414,$G2414),CSRFinput!$B:$E,4,0)=0,OR(H2414=MappingTables!$C$34,H2414=MappingTables!$C$35)),1,VLOOKUP(CONCATENATE($D2414,$G2414),CSRFinput!$B:$E,4,0)))</f>
        <v>0.054776304963434752</v>
      </c>
      <c r="W2414" s="85">
        <f>IF(B2414="",0,+$T2414*$V2414)</f>
        <v>3.1621821008791928</v>
      </c>
      <c r="X2414" s="85">
        <f>IF(B2414="",0,IF(OR(H2414=MappingTables!$C$34,H2414=MappingTables!$C$35),W2414,0))</f>
        <v>0</v>
      </c>
    </row>
    <row r="2415" spans="2:24" s="0" customFormat="0" ht="15">
      <c r="B2415" s="69">
        <v>7734423</v>
      </c>
      <c r="C2415" s="70" t="s">
        <v>441</v>
      </c>
      <c r="D2415" s="70" t="s">
        <v>1</v>
      </c>
      <c r="E2415" s="70" t="s">
        <v>1</v>
      </c>
      <c r="F2415" s="70"/>
      <c r="G2415" s="70" t="s">
        <v>61</v>
      </c>
      <c r="H2415" s="70" t="s">
        <v>178</v>
      </c>
      <c r="I2415" s="70" t="s">
        <v>188</v>
      </c>
      <c r="J2415" s="71">
        <f>IF(OR(I2415=0,I2415=""),"unrated",VLOOKUP(I2415,MappingTables!$B$19:$C$31,2,FALSE))</f>
        <v>2</v>
      </c>
      <c r="K2415" s="72">
        <v>9.5277244488368496</v>
      </c>
      <c r="L2415" s="70">
        <v>0.084930996340561824</v>
      </c>
      <c r="M2415" s="71">
        <f>IF(L2415&lt;1,1,L2415)</f>
        <v>1</v>
      </c>
      <c r="N2415" s="70" t="s">
        <v>141</v>
      </c>
      <c r="O2415" s="71">
        <f>INDEX(DurClassMapping,MATCH(M2415,MappingTables!$D$4:$D$8,-1),1)</f>
        <v>1</v>
      </c>
      <c r="P2415" s="73">
        <f>IF(M2415=$A$1,1,$M2415-INDEX(MappingTables!$E$4:$E$8,MATCH(O2415,MappingTables!$B$4:$B$8,0)))</f>
        <v>1</v>
      </c>
      <c r="Q2415" s="71">
        <f>IF(B2415="",0,INDEX(ModelParameters!$D$6:$K$10,MATCH($O2415,ModelParameters!$B$6:$B$10,0),MATCH($J2415,ModelParameters!$D$5:$K$5,0)))</f>
        <v>0.013999999999999998</v>
      </c>
      <c r="R2415" s="71">
        <f>IF(B2415="",0,INDEX(ModelParameters!$D$13:$K$17,MATCH($O2415,ModelParameters!$B$13:$B$17,0),MATCH($J2415,ModelParameters!$D$5:$K$5,0)))</f>
        <v>0</v>
      </c>
      <c r="S2415" s="160">
        <f>IF(B2415="",0,MIN(IF($N2415="Other Bond TM",ModelParameters!$N$21,1)*(P2415*Q2415+R2415),1))</f>
        <v>0.013999999999999998</v>
      </c>
      <c r="T2415" s="85">
        <f>IF(B2415="",0,$S2415*$K2415)</f>
        <v>0.13338814228371588</v>
      </c>
      <c r="U2415" s="85">
        <f>IF(B2415="",0,IF(OR(H2415=MappingTables!$C$34,H2415=MappingTables!$C$35),T2415,0))</f>
        <v>0</v>
      </c>
      <c r="V2415" s="85">
        <f>IF(ISNA(IF(AND(VLOOKUP(CONCATENATE($D2415,$G2415),CSRFinput!$B:$E,4,0)=0,OR(H2415=MappingTables!$C$34,H2415=MappingTables!$C$35)),1,VLOOKUP(CONCATENATE($D2415,$G2415),CSRFinput!$B:$E,4,0))),0,IF(AND(VLOOKUP(CONCATENATE($D2415,$G2415),CSRFinput!$B:$E,4,0)=0,OR(H2415=MappingTables!$C$34,H2415=MappingTables!$C$35)),1,VLOOKUP(CONCATENATE($D2415,$G2415),CSRFinput!$B:$E,4,0)))</f>
        <v>0.054776304963434752</v>
      </c>
      <c r="W2415" s="85">
        <f>IF(B2415="",0,+$T2415*$V2415)</f>
        <v>0.0073065095602388464</v>
      </c>
      <c r="X2415" s="85">
        <f>IF(B2415="",0,IF(OR(H2415=MappingTables!$C$34,H2415=MappingTables!$C$35),W2415,0))</f>
        <v>0</v>
      </c>
    </row>
    <row r="2416" spans="2:24" s="0" customFormat="0" ht="15">
      <c r="B2416" s="69">
        <v>9424878</v>
      </c>
      <c r="C2416" s="70" t="s">
        <v>2405</v>
      </c>
      <c r="D2416" s="70" t="s">
        <v>1</v>
      </c>
      <c r="E2416" s="70" t="s">
        <v>1</v>
      </c>
      <c r="F2416" s="70"/>
      <c r="G2416" s="70" t="s">
        <v>61</v>
      </c>
      <c r="H2416" s="70" t="s">
        <v>178</v>
      </c>
      <c r="I2416" s="70" t="s">
        <v>188</v>
      </c>
      <c r="J2416" s="71">
        <f>IF(OR(I2416=0,I2416=""),"unrated",VLOOKUP(I2416,MappingTables!$B$19:$C$31,2,FALSE))</f>
        <v>2</v>
      </c>
      <c r="K2416" s="72">
        <v>3.2321636419926388</v>
      </c>
      <c r="L2416" s="70">
        <v>1.0567460613918694</v>
      </c>
      <c r="M2416" s="71">
        <f>IF(L2416&lt;1,1,L2416)</f>
        <v>1.0567460613918694</v>
      </c>
      <c r="N2416" s="70" t="s">
        <v>141</v>
      </c>
      <c r="O2416" s="71">
        <f>INDEX(DurClassMapping,MATCH(M2416,MappingTables!$D$4:$D$8,-1),1)</f>
        <v>1</v>
      </c>
      <c r="P2416" s="73">
        <f>IF(M2416=$A$1,1,$M2416-INDEX(MappingTables!$E$4:$E$8,MATCH(O2416,MappingTables!$B$4:$B$8,0)))</f>
        <v>1.0567460613918694</v>
      </c>
      <c r="Q2416" s="71">
        <f>IF(B2416="",0,INDEX(ModelParameters!$D$6:$K$10,MATCH($O2416,ModelParameters!$B$6:$B$10,0),MATCH($J2416,ModelParameters!$D$5:$K$5,0)))</f>
        <v>0.013999999999999998</v>
      </c>
      <c r="R2416" s="71">
        <f>IF(B2416="",0,INDEX(ModelParameters!$D$13:$K$17,MATCH($O2416,ModelParameters!$B$13:$B$17,0),MATCH($J2416,ModelParameters!$D$5:$K$5,0)))</f>
        <v>0</v>
      </c>
      <c r="S2416" s="160">
        <f>IF(B2416="",0,MIN(IF($N2416="Other Bond TM",ModelParameters!$N$21,1)*(P2416*Q2416+R2416),1))</f>
        <v>0.014794444859486168</v>
      </c>
      <c r="T2416" s="85">
        <f>IF(B2416="",0,$S2416*$K2416)</f>
        <v>0.047818066778296088</v>
      </c>
      <c r="U2416" s="85">
        <f>IF(B2416="",0,IF(OR(H2416=MappingTables!$C$34,H2416=MappingTables!$C$35),T2416,0))</f>
        <v>0</v>
      </c>
      <c r="V2416" s="85">
        <f>IF(ISNA(IF(AND(VLOOKUP(CONCATENATE($D2416,$G2416),CSRFinput!$B:$E,4,0)=0,OR(H2416=MappingTables!$C$34,H2416=MappingTables!$C$35)),1,VLOOKUP(CONCATENATE($D2416,$G2416),CSRFinput!$B:$E,4,0))),0,IF(AND(VLOOKUP(CONCATENATE($D2416,$G2416),CSRFinput!$B:$E,4,0)=0,OR(H2416=MappingTables!$C$34,H2416=MappingTables!$C$35)),1,VLOOKUP(CONCATENATE($D2416,$G2416),CSRFinput!$B:$E,4,0)))</f>
        <v>0.054776304963434752</v>
      </c>
      <c r="W2416" s="85">
        <f>IF(B2416="",0,+$T2416*$V2416)</f>
        <v>0.0026192970086098344</v>
      </c>
      <c r="X2416" s="85">
        <f>IF(B2416="",0,IF(OR(H2416=MappingTables!$C$34,H2416=MappingTables!$C$35),W2416,0))</f>
        <v>0</v>
      </c>
    </row>
    <row r="2417" spans="2:24" s="0" customFormat="0" ht="15">
      <c r="B2417" s="69" t="s">
        <v>2406</v>
      </c>
      <c r="C2417" s="70" t="s">
        <v>2407</v>
      </c>
      <c r="D2417" s="70" t="s">
        <v>1</v>
      </c>
      <c r="E2417" s="70" t="s">
        <v>1</v>
      </c>
      <c r="F2417" s="70"/>
      <c r="G2417" s="70" t="s">
        <v>61</v>
      </c>
      <c r="H2417" s="70" t="s">
        <v>178</v>
      </c>
      <c r="I2417" s="70" t="s">
        <v>188</v>
      </c>
      <c r="J2417" s="71">
        <f>IF(OR(I2417=0,I2417=""),"unrated",VLOOKUP(I2417,MappingTables!$B$19:$C$31,2,FALSE))</f>
        <v>2</v>
      </c>
      <c r="K2417" s="72">
        <v>274.38437264972312</v>
      </c>
      <c r="L2417" s="70">
        <v>2.7703104370087284</v>
      </c>
      <c r="M2417" s="71">
        <f>IF(L2417&lt;1,1,L2417)</f>
        <v>2.7703104370087284</v>
      </c>
      <c r="N2417" s="70" t="s">
        <v>141</v>
      </c>
      <c r="O2417" s="71">
        <f>INDEX(DurClassMapping,MATCH(M2417,MappingTables!$D$4:$D$8,-1),1)</f>
        <v>1</v>
      </c>
      <c r="P2417" s="73">
        <f>IF(M2417=$A$1,1,$M2417-INDEX(MappingTables!$E$4:$E$8,MATCH(O2417,MappingTables!$B$4:$B$8,0)))</f>
        <v>2.7703104370087284</v>
      </c>
      <c r="Q2417" s="71">
        <f>IF(B2417="",0,INDEX(ModelParameters!$D$6:$K$10,MATCH($O2417,ModelParameters!$B$6:$B$10,0),MATCH($J2417,ModelParameters!$D$5:$K$5,0)))</f>
        <v>0.013999999999999998</v>
      </c>
      <c r="R2417" s="71">
        <f>IF(B2417="",0,INDEX(ModelParameters!$D$13:$K$17,MATCH($O2417,ModelParameters!$B$13:$B$17,0),MATCH($J2417,ModelParameters!$D$5:$K$5,0)))</f>
        <v>0</v>
      </c>
      <c r="S2417" s="160">
        <f>IF(B2417="",0,MIN(IF($N2417="Other Bond TM",ModelParameters!$N$21,1)*(P2417*Q2417+R2417),1))</f>
        <v>0.0387843461181222</v>
      </c>
      <c r="T2417" s="85">
        <f>IF(B2417="",0,$S2417*$K2417)</f>
        <v>10.641818478250682</v>
      </c>
      <c r="U2417" s="85">
        <f>IF(B2417="",0,IF(OR(H2417=MappingTables!$C$34,H2417=MappingTables!$C$35),T2417,0))</f>
        <v>0</v>
      </c>
      <c r="V2417" s="85">
        <f>IF(ISNA(IF(AND(VLOOKUP(CONCATENATE($D2417,$G2417),CSRFinput!$B:$E,4,0)=0,OR(H2417=MappingTables!$C$34,H2417=MappingTables!$C$35)),1,VLOOKUP(CONCATENATE($D2417,$G2417),CSRFinput!$B:$E,4,0))),0,IF(AND(VLOOKUP(CONCATENATE($D2417,$G2417),CSRFinput!$B:$E,4,0)=0,OR(H2417=MappingTables!$C$34,H2417=MappingTables!$C$35)),1,VLOOKUP(CONCATENATE($D2417,$G2417),CSRFinput!$B:$E,4,0)))</f>
        <v>0.054776304963434752</v>
      </c>
      <c r="W2417" s="85">
        <f>IF(B2417="",0,+$T2417*$V2417)</f>
        <v>0.58291949433017456</v>
      </c>
      <c r="X2417" s="85">
        <f>IF(B2417="",0,IF(OR(H2417=MappingTables!$C$34,H2417=MappingTables!$C$35),W2417,0))</f>
        <v>0</v>
      </c>
    </row>
    <row r="2418" spans="2:24" s="0" customFormat="0" ht="15">
      <c r="B2418" s="69">
        <v>21736770</v>
      </c>
      <c r="C2418" s="70" t="s">
        <v>2330</v>
      </c>
      <c r="D2418" s="70" t="s">
        <v>1</v>
      </c>
      <c r="E2418" s="70" t="s">
        <v>1</v>
      </c>
      <c r="F2418" s="70"/>
      <c r="G2418" s="70" t="s">
        <v>61</v>
      </c>
      <c r="H2418" s="70" t="s">
        <v>178</v>
      </c>
      <c r="I2418" s="70" t="s">
        <v>181</v>
      </c>
      <c r="J2418" s="71">
        <f>IF(OR(I2418=0,I2418=""),"unrated",VLOOKUP(I2418,MappingTables!$B$19:$C$31,2,FALSE))</f>
        <v>3</v>
      </c>
      <c r="K2418" s="72">
        <v>1025.2245418235498</v>
      </c>
      <c r="L2418" s="70">
        <v>1.9154226067153616</v>
      </c>
      <c r="M2418" s="71">
        <f>IF(L2418&lt;1,1,L2418)</f>
        <v>1.9154226067153616</v>
      </c>
      <c r="N2418" s="70" t="s">
        <v>141</v>
      </c>
      <c r="O2418" s="71">
        <f>INDEX(DurClassMapping,MATCH(M2418,MappingTables!$D$4:$D$8,-1),1)</f>
        <v>1</v>
      </c>
      <c r="P2418" s="73">
        <f>IF(M2418=$A$1,1,$M2418-INDEX(MappingTables!$E$4:$E$8,MATCH(O2418,MappingTables!$B$4:$B$8,0)))</f>
        <v>1.9154226067153616</v>
      </c>
      <c r="Q2418" s="71">
        <f>IF(B2418="",0,INDEX(ModelParameters!$D$6:$K$10,MATCH($O2418,ModelParameters!$B$6:$B$10,0),MATCH($J2418,ModelParameters!$D$5:$K$5,0)))</f>
        <v>0.025</v>
      </c>
      <c r="R2418" s="71">
        <f>IF(B2418="",0,INDEX(ModelParameters!$D$13:$K$17,MATCH($O2418,ModelParameters!$B$13:$B$17,0),MATCH($J2418,ModelParameters!$D$5:$K$5,0)))</f>
        <v>0</v>
      </c>
      <c r="S2418" s="160">
        <f>IF(B2418="",0,MIN(IF($N2418="Other Bond TM",ModelParameters!$N$21,1)*(P2418*Q2418+R2418),1))</f>
        <v>0.04788556516788404</v>
      </c>
      <c r="T2418" s="85">
        <f>IF(B2418="",0,$S2418*$K2418)</f>
        <v>49.093456609205648</v>
      </c>
      <c r="U2418" s="85">
        <f>IF(B2418="",0,IF(OR(H2418=MappingTables!$C$34,H2418=MappingTables!$C$35),T2418,0))</f>
        <v>0</v>
      </c>
      <c r="V2418" s="85">
        <f>IF(ISNA(IF(AND(VLOOKUP(CONCATENATE($D2418,$G2418),CSRFinput!$B:$E,4,0)=0,OR(H2418=MappingTables!$C$34,H2418=MappingTables!$C$35)),1,VLOOKUP(CONCATENATE($D2418,$G2418),CSRFinput!$B:$E,4,0))),0,IF(AND(VLOOKUP(CONCATENATE($D2418,$G2418),CSRFinput!$B:$E,4,0)=0,OR(H2418=MappingTables!$C$34,H2418=MappingTables!$C$35)),1,VLOOKUP(CONCATENATE($D2418,$G2418),CSRFinput!$B:$E,4,0)))</f>
        <v>0.054776304963434752</v>
      </c>
      <c r="W2418" s="85">
        <f>IF(B2418="",0,+$T2418*$V2418)</f>
        <v>2.689158150935</v>
      </c>
      <c r="X2418" s="85">
        <f>IF(B2418="",0,IF(OR(H2418=MappingTables!$C$34,H2418=MappingTables!$C$35),W2418,0))</f>
        <v>0</v>
      </c>
    </row>
    <row r="2419" spans="2:24" s="0" customFormat="0" ht="15">
      <c r="B2419" s="69">
        <v>14376252</v>
      </c>
      <c r="C2419" s="70" t="s">
        <v>2012</v>
      </c>
      <c r="D2419" s="70" t="s">
        <v>1</v>
      </c>
      <c r="E2419" s="70" t="s">
        <v>1</v>
      </c>
      <c r="F2419" s="70"/>
      <c r="G2419" s="70" t="s">
        <v>61</v>
      </c>
      <c r="H2419" s="70" t="s">
        <v>178</v>
      </c>
      <c r="I2419" s="70" t="s">
        <v>181</v>
      </c>
      <c r="J2419" s="71">
        <f>IF(OR(I2419=0,I2419=""),"unrated",VLOOKUP(I2419,MappingTables!$B$19:$C$31,2,FALSE))</f>
        <v>3</v>
      </c>
      <c r="K2419" s="72">
        <v>19287.509791843024</v>
      </c>
      <c r="L2419" s="70">
        <v>2.8946488142303492</v>
      </c>
      <c r="M2419" s="71">
        <f>IF(L2419&lt;1,1,L2419)</f>
        <v>2.8946488142303492</v>
      </c>
      <c r="N2419" s="70" t="s">
        <v>141</v>
      </c>
      <c r="O2419" s="71">
        <f>INDEX(DurClassMapping,MATCH(M2419,MappingTables!$D$4:$D$8,-1),1)</f>
        <v>1</v>
      </c>
      <c r="P2419" s="73">
        <f>IF(M2419=$A$1,1,$M2419-INDEX(MappingTables!$E$4:$E$8,MATCH(O2419,MappingTables!$B$4:$B$8,0)))</f>
        <v>2.8946488142303492</v>
      </c>
      <c r="Q2419" s="71">
        <f>IF(B2419="",0,INDEX(ModelParameters!$D$6:$K$10,MATCH($O2419,ModelParameters!$B$6:$B$10,0),MATCH($J2419,ModelParameters!$D$5:$K$5,0)))</f>
        <v>0.025</v>
      </c>
      <c r="R2419" s="71">
        <f>IF(B2419="",0,INDEX(ModelParameters!$D$13:$K$17,MATCH($O2419,ModelParameters!$B$13:$B$17,0),MATCH($J2419,ModelParameters!$D$5:$K$5,0)))</f>
        <v>0</v>
      </c>
      <c r="S2419" s="160">
        <f>IF(B2419="",0,MIN(IF($N2419="Other Bond TM",ModelParameters!$N$21,1)*(P2419*Q2419+R2419),1))</f>
        <v>0.07236622035575872</v>
      </c>
      <c r="T2419" s="85">
        <f>IF(B2419="",0,$S2419*$K2419)</f>
        <v>1395.7641837103666</v>
      </c>
      <c r="U2419" s="85">
        <f>IF(B2419="",0,IF(OR(H2419=MappingTables!$C$34,H2419=MappingTables!$C$35),T2419,0))</f>
        <v>0</v>
      </c>
      <c r="V2419" s="85">
        <f>IF(ISNA(IF(AND(VLOOKUP(CONCATENATE($D2419,$G2419),CSRFinput!$B:$E,4,0)=0,OR(H2419=MappingTables!$C$34,H2419=MappingTables!$C$35)),1,VLOOKUP(CONCATENATE($D2419,$G2419),CSRFinput!$B:$E,4,0))),0,IF(AND(VLOOKUP(CONCATENATE($D2419,$G2419),CSRFinput!$B:$E,4,0)=0,OR(H2419=MappingTables!$C$34,H2419=MappingTables!$C$35)),1,VLOOKUP(CONCATENATE($D2419,$G2419),CSRFinput!$B:$E,4,0)))</f>
        <v>0.054776304963434752</v>
      </c>
      <c r="W2419" s="85">
        <f>IF(B2419="",0,+$T2419*$V2419)</f>
        <v>76.454804583958608</v>
      </c>
      <c r="X2419" s="85">
        <f>IF(B2419="",0,IF(OR(H2419=MappingTables!$C$34,H2419=MappingTables!$C$35),W2419,0))</f>
        <v>0</v>
      </c>
    </row>
    <row r="2420" spans="2:24" s="0" customFormat="0" ht="15">
      <c r="B2420" s="69">
        <v>17164668</v>
      </c>
      <c r="C2420" s="70" t="s">
        <v>1425</v>
      </c>
      <c r="D2420" s="70" t="s">
        <v>1</v>
      </c>
      <c r="E2420" s="70" t="s">
        <v>1</v>
      </c>
      <c r="F2420" s="70"/>
      <c r="G2420" s="70" t="s">
        <v>61</v>
      </c>
      <c r="H2420" s="70" t="s">
        <v>178</v>
      </c>
      <c r="I2420" s="70" t="s">
        <v>179</v>
      </c>
      <c r="J2420" s="71">
        <f>IF(OR(I2420=0,I2420=""),"unrated",VLOOKUP(I2420,MappingTables!$B$19:$C$31,2,FALSE))</f>
        <v>4</v>
      </c>
      <c r="K2420" s="72">
        <v>2110.839666670766</v>
      </c>
      <c r="L2420" s="70">
        <v>2.3443038375281452</v>
      </c>
      <c r="M2420" s="71">
        <f>IF(L2420&lt;1,1,L2420)</f>
        <v>2.3443038375281452</v>
      </c>
      <c r="N2420" s="70" t="s">
        <v>141</v>
      </c>
      <c r="O2420" s="71">
        <f>INDEX(DurClassMapping,MATCH(M2420,MappingTables!$D$4:$D$8,-1),1)</f>
        <v>1</v>
      </c>
      <c r="P2420" s="73">
        <f>IF(M2420=$A$1,1,$M2420-INDEX(MappingTables!$E$4:$E$8,MATCH(O2420,MappingTables!$B$4:$B$8,0)))</f>
        <v>2.3443038375281452</v>
      </c>
      <c r="Q2420" s="71">
        <f>IF(B2420="",0,INDEX(ModelParameters!$D$6:$K$10,MATCH($O2420,ModelParameters!$B$6:$B$10,0),MATCH($J2420,ModelParameters!$D$5:$K$5,0)))</f>
        <v>0.045</v>
      </c>
      <c r="R2420" s="71">
        <f>IF(B2420="",0,INDEX(ModelParameters!$D$13:$K$17,MATCH($O2420,ModelParameters!$B$13:$B$17,0),MATCH($J2420,ModelParameters!$D$5:$K$5,0)))</f>
        <v>0</v>
      </c>
      <c r="S2420" s="160">
        <f>IF(B2420="",0,MIN(IF($N2420="Other Bond TM",ModelParameters!$N$21,1)*(P2420*Q2420+R2420),1))</f>
        <v>0.10549367268876652</v>
      </c>
      <c r="T2420" s="85">
        <f>IF(B2420="",0,$S2420*$K2420)</f>
        <v>222.68022889423084</v>
      </c>
      <c r="U2420" s="85">
        <f>IF(B2420="",0,IF(OR(H2420=MappingTables!$C$34,H2420=MappingTables!$C$35),T2420,0))</f>
        <v>0</v>
      </c>
      <c r="V2420" s="85">
        <f>IF(ISNA(IF(AND(VLOOKUP(CONCATENATE($D2420,$G2420),CSRFinput!$B:$E,4,0)=0,OR(H2420=MappingTables!$C$34,H2420=MappingTables!$C$35)),1,VLOOKUP(CONCATENATE($D2420,$G2420),CSRFinput!$B:$E,4,0))),0,IF(AND(VLOOKUP(CONCATENATE($D2420,$G2420),CSRFinput!$B:$E,4,0)=0,OR(H2420=MappingTables!$C$34,H2420=MappingTables!$C$35)),1,VLOOKUP(CONCATENATE($D2420,$G2420),CSRFinput!$B:$E,4,0)))</f>
        <v>0.054776304963434752</v>
      </c>
      <c r="W2420" s="85">
        <f>IF(B2420="",0,+$T2420*$V2420)</f>
        <v>12.197600127237842</v>
      </c>
      <c r="X2420" s="85">
        <f>IF(B2420="",0,IF(OR(H2420=MappingTables!$C$34,H2420=MappingTables!$C$35),W2420,0))</f>
        <v>0</v>
      </c>
    </row>
    <row r="2421" spans="2:24" s="0" customFormat="0" ht="15">
      <c r="B2421" s="69">
        <v>9118094</v>
      </c>
      <c r="C2421" s="70" t="s">
        <v>2161</v>
      </c>
      <c r="D2421" s="70" t="s">
        <v>1</v>
      </c>
      <c r="E2421" s="70" t="s">
        <v>1</v>
      </c>
      <c r="F2421" s="70"/>
      <c r="G2421" s="70" t="s">
        <v>61</v>
      </c>
      <c r="H2421" s="70" t="s">
        <v>178</v>
      </c>
      <c r="I2421" s="70" t="s">
        <v>181</v>
      </c>
      <c r="J2421" s="71">
        <f>IF(OR(I2421=0,I2421=""),"unrated",VLOOKUP(I2421,MappingTables!$B$19:$C$31,2,FALSE))</f>
        <v>3</v>
      </c>
      <c r="K2421" s="72">
        <v>428.48622267536424</v>
      </c>
      <c r="L2421" s="70">
        <v>4.5598883902957128</v>
      </c>
      <c r="M2421" s="71">
        <f>IF(L2421&lt;1,1,L2421)</f>
        <v>4.5598883902957128</v>
      </c>
      <c r="N2421" s="70" t="s">
        <v>141</v>
      </c>
      <c r="O2421" s="71">
        <f>INDEX(DurClassMapping,MATCH(M2421,MappingTables!$D$4:$D$8,-1),1)</f>
        <v>1</v>
      </c>
      <c r="P2421" s="73">
        <f>IF(M2421=$A$1,1,$M2421-INDEX(MappingTables!$E$4:$E$8,MATCH(O2421,MappingTables!$B$4:$B$8,0)))</f>
        <v>4.5598883902957128</v>
      </c>
      <c r="Q2421" s="71">
        <f>IF(B2421="",0,INDEX(ModelParameters!$D$6:$K$10,MATCH($O2421,ModelParameters!$B$6:$B$10,0),MATCH($J2421,ModelParameters!$D$5:$K$5,0)))</f>
        <v>0.025</v>
      </c>
      <c r="R2421" s="71">
        <f>IF(B2421="",0,INDEX(ModelParameters!$D$13:$K$17,MATCH($O2421,ModelParameters!$B$13:$B$17,0),MATCH($J2421,ModelParameters!$D$5:$K$5,0)))</f>
        <v>0</v>
      </c>
      <c r="S2421" s="160">
        <f>IF(B2421="",0,MIN(IF($N2421="Other Bond TM",ModelParameters!$N$21,1)*(P2421*Q2421+R2421),1))</f>
        <v>0.11399720975739284</v>
      </c>
      <c r="T2421" s="85">
        <f>IF(B2421="",0,$S2421*$K2421)</f>
        <v>48.846233804476424</v>
      </c>
      <c r="U2421" s="85">
        <f>IF(B2421="",0,IF(OR(H2421=MappingTables!$C$34,H2421=MappingTables!$C$35),T2421,0))</f>
        <v>0</v>
      </c>
      <c r="V2421" s="85">
        <f>IF(ISNA(IF(AND(VLOOKUP(CONCATENATE($D2421,$G2421),CSRFinput!$B:$E,4,0)=0,OR(H2421=MappingTables!$C$34,H2421=MappingTables!$C$35)),1,VLOOKUP(CONCATENATE($D2421,$G2421),CSRFinput!$B:$E,4,0))),0,IF(AND(VLOOKUP(CONCATENATE($D2421,$G2421),CSRFinput!$B:$E,4,0)=0,OR(H2421=MappingTables!$C$34,H2421=MappingTables!$C$35)),1,VLOOKUP(CONCATENATE($D2421,$G2421),CSRFinput!$B:$E,4,0)))</f>
        <v>0.054776304963434752</v>
      </c>
      <c r="W2421" s="85">
        <f>IF(B2421="",0,+$T2421*$V2421)</f>
        <v>2.6756161991892364</v>
      </c>
      <c r="X2421" s="85">
        <f>IF(B2421="",0,IF(OR(H2421=MappingTables!$C$34,H2421=MappingTables!$C$35),W2421,0))</f>
        <v>0</v>
      </c>
    </row>
    <row r="2422" spans="2:24" s="0" customFormat="0" ht="15">
      <c r="B2422" s="69">
        <v>15540822</v>
      </c>
      <c r="C2422" s="70" t="s">
        <v>826</v>
      </c>
      <c r="D2422" s="70" t="s">
        <v>1</v>
      </c>
      <c r="E2422" s="70" t="s">
        <v>1</v>
      </c>
      <c r="F2422" s="70"/>
      <c r="G2422" s="70" t="s">
        <v>61</v>
      </c>
      <c r="H2422" s="70" t="s">
        <v>178</v>
      </c>
      <c r="I2422" s="70" t="s">
        <v>188</v>
      </c>
      <c r="J2422" s="71">
        <f>IF(OR(I2422=0,I2422=""),"unrated",VLOOKUP(I2422,MappingTables!$B$19:$C$31,2,FALSE))</f>
        <v>2</v>
      </c>
      <c r="K2422" s="72">
        <v>626.06014389560264</v>
      </c>
      <c r="L2422" s="70">
        <v>0.19451929730278564</v>
      </c>
      <c r="M2422" s="71">
        <f>IF(L2422&lt;1,1,L2422)</f>
        <v>1</v>
      </c>
      <c r="N2422" s="70" t="s">
        <v>141</v>
      </c>
      <c r="O2422" s="71">
        <f>INDEX(DurClassMapping,MATCH(M2422,MappingTables!$D$4:$D$8,-1),1)</f>
        <v>1</v>
      </c>
      <c r="P2422" s="73">
        <f>IF(M2422=$A$1,1,$M2422-INDEX(MappingTables!$E$4:$E$8,MATCH(O2422,MappingTables!$B$4:$B$8,0)))</f>
        <v>1</v>
      </c>
      <c r="Q2422" s="71">
        <f>IF(B2422="",0,INDEX(ModelParameters!$D$6:$K$10,MATCH($O2422,ModelParameters!$B$6:$B$10,0),MATCH($J2422,ModelParameters!$D$5:$K$5,0)))</f>
        <v>0.013999999999999998</v>
      </c>
      <c r="R2422" s="71">
        <f>IF(B2422="",0,INDEX(ModelParameters!$D$13:$K$17,MATCH($O2422,ModelParameters!$B$13:$B$17,0),MATCH($J2422,ModelParameters!$D$5:$K$5,0)))</f>
        <v>0</v>
      </c>
      <c r="S2422" s="160">
        <f>IF(B2422="",0,MIN(IF($N2422="Other Bond TM",ModelParameters!$N$21,1)*(P2422*Q2422+R2422),1))</f>
        <v>0.013999999999999998</v>
      </c>
      <c r="T2422" s="85">
        <f>IF(B2422="",0,$S2422*$K2422)</f>
        <v>8.7648420145384368</v>
      </c>
      <c r="U2422" s="85">
        <f>IF(B2422="",0,IF(OR(H2422=MappingTables!$C$34,H2422=MappingTables!$C$35),T2422,0))</f>
        <v>0</v>
      </c>
      <c r="V2422" s="85">
        <f>IF(ISNA(IF(AND(VLOOKUP(CONCATENATE($D2422,$G2422),CSRFinput!$B:$E,4,0)=0,OR(H2422=MappingTables!$C$34,H2422=MappingTables!$C$35)),1,VLOOKUP(CONCATENATE($D2422,$G2422),CSRFinput!$B:$E,4,0))),0,IF(AND(VLOOKUP(CONCATENATE($D2422,$G2422),CSRFinput!$B:$E,4,0)=0,OR(H2422=MappingTables!$C$34,H2422=MappingTables!$C$35)),1,VLOOKUP(CONCATENATE($D2422,$G2422),CSRFinput!$B:$E,4,0)))</f>
        <v>0.054776304963434752</v>
      </c>
      <c r="W2422" s="85">
        <f>IF(B2422="",0,+$T2422*$V2422)</f>
        <v>0.4801056591446832</v>
      </c>
      <c r="X2422" s="85">
        <f>IF(B2422="",0,IF(OR(H2422=MappingTables!$C$34,H2422=MappingTables!$C$35),W2422,0))</f>
        <v>0</v>
      </c>
    </row>
    <row r="2423" spans="2:24" s="0" customFormat="0" ht="15">
      <c r="B2423" s="69" t="s">
        <v>2361</v>
      </c>
      <c r="C2423" s="70" t="s">
        <v>2362</v>
      </c>
      <c r="D2423" s="70" t="s">
        <v>1</v>
      </c>
      <c r="E2423" s="70" t="s">
        <v>1</v>
      </c>
      <c r="F2423" s="70"/>
      <c r="G2423" s="70" t="s">
        <v>61</v>
      </c>
      <c r="H2423" s="70" t="s">
        <v>178</v>
      </c>
      <c r="I2423" s="70" t="s">
        <v>198</v>
      </c>
      <c r="J2423" s="71" t="str">
        <f>IF(OR(I2423=0,I2423=""),"unrated",VLOOKUP(I2423,MappingTables!$B$19:$C$31,2,FALSE))</f>
        <v>unrated</v>
      </c>
      <c r="K2423" s="72">
        <v>2067.2876896684496</v>
      </c>
      <c r="L2423" s="70">
        <v>2.916535600885066</v>
      </c>
      <c r="M2423" s="71">
        <f>IF(L2423&lt;1,1,L2423)</f>
        <v>2.916535600885066</v>
      </c>
      <c r="N2423" s="70" t="s">
        <v>141</v>
      </c>
      <c r="O2423" s="71">
        <f>INDEX(DurClassMapping,MATCH(M2423,MappingTables!$D$4:$D$8,-1),1)</f>
        <v>1</v>
      </c>
      <c r="P2423" s="73">
        <f>IF(M2423=$A$1,1,$M2423-INDEX(MappingTables!$E$4:$E$8,MATCH(O2423,MappingTables!$B$4:$B$8,0)))</f>
        <v>2.916535600885066</v>
      </c>
      <c r="Q2423" s="71">
        <f>IF(B2423="",0,INDEX(ModelParameters!$D$6:$K$10,MATCH($O2423,ModelParameters!$B$6:$B$10,0),MATCH($J2423,ModelParameters!$D$5:$K$5,0)))</f>
        <v>0.03</v>
      </c>
      <c r="R2423" s="71">
        <f>IF(B2423="",0,INDEX(ModelParameters!$D$13:$K$17,MATCH($O2423,ModelParameters!$B$13:$B$17,0),MATCH($J2423,ModelParameters!$D$5:$K$5,0)))</f>
        <v>0</v>
      </c>
      <c r="S2423" s="160">
        <f>IF(B2423="",0,MIN(IF($N2423="Other Bond TM",ModelParameters!$N$21,1)*(P2423*Q2423+R2423),1))</f>
        <v>0.087496068026551968</v>
      </c>
      <c r="T2423" s="85">
        <f>IF(B2423="",0,$S2423*$K2423)</f>
        <v>180.87954432568412</v>
      </c>
      <c r="U2423" s="85">
        <f>IF(B2423="",0,IF(OR(H2423=MappingTables!$C$34,H2423=MappingTables!$C$35),T2423,0))</f>
        <v>0</v>
      </c>
      <c r="V2423" s="85">
        <f>IF(ISNA(IF(AND(VLOOKUP(CONCATENATE($D2423,$G2423),CSRFinput!$B:$E,4,0)=0,OR(H2423=MappingTables!$C$34,H2423=MappingTables!$C$35)),1,VLOOKUP(CONCATENATE($D2423,$G2423),CSRFinput!$B:$E,4,0))),0,IF(AND(VLOOKUP(CONCATENATE($D2423,$G2423),CSRFinput!$B:$E,4,0)=0,OR(H2423=MappingTables!$C$34,H2423=MappingTables!$C$35)),1,VLOOKUP(CONCATENATE($D2423,$G2423),CSRFinput!$B:$E,4,0)))</f>
        <v>0.054776304963434752</v>
      </c>
      <c r="W2423" s="85">
        <f>IF(B2423="",0,+$T2423*$V2423)</f>
        <v>9.9079130816307888</v>
      </c>
      <c r="X2423" s="85">
        <f>IF(B2423="",0,IF(OR(H2423=MappingTables!$C$34,H2423=MappingTables!$C$35),W2423,0))</f>
        <v>0</v>
      </c>
    </row>
    <row r="2424" spans="2:24" s="0" customFormat="0" ht="15">
      <c r="B2424" s="69">
        <v>13128752</v>
      </c>
      <c r="C2424" s="70" t="s">
        <v>2408</v>
      </c>
      <c r="D2424" s="70" t="s">
        <v>1</v>
      </c>
      <c r="E2424" s="70" t="s">
        <v>1</v>
      </c>
      <c r="F2424" s="70"/>
      <c r="G2424" s="70" t="s">
        <v>61</v>
      </c>
      <c r="H2424" s="70" t="s">
        <v>178</v>
      </c>
      <c r="I2424" s="70" t="s">
        <v>181</v>
      </c>
      <c r="J2424" s="71">
        <f>IF(OR(I2424=0,I2424=""),"unrated",VLOOKUP(I2424,MappingTables!$B$19:$C$31,2,FALSE))</f>
        <v>3</v>
      </c>
      <c r="K2424" s="72">
        <v>146.67097988963812</v>
      </c>
      <c r="L2424" s="70">
        <v>0.96472475648081696</v>
      </c>
      <c r="M2424" s="71">
        <f>IF(L2424&lt;1,1,L2424)</f>
        <v>1</v>
      </c>
      <c r="N2424" s="70" t="s">
        <v>141</v>
      </c>
      <c r="O2424" s="71">
        <f>INDEX(DurClassMapping,MATCH(M2424,MappingTables!$D$4:$D$8,-1),1)</f>
        <v>1</v>
      </c>
      <c r="P2424" s="73">
        <f>IF(M2424=$A$1,1,$M2424-INDEX(MappingTables!$E$4:$E$8,MATCH(O2424,MappingTables!$B$4:$B$8,0)))</f>
        <v>1</v>
      </c>
      <c r="Q2424" s="71">
        <f>IF(B2424="",0,INDEX(ModelParameters!$D$6:$K$10,MATCH($O2424,ModelParameters!$B$6:$B$10,0),MATCH($J2424,ModelParameters!$D$5:$K$5,0)))</f>
        <v>0.025</v>
      </c>
      <c r="R2424" s="71">
        <f>IF(B2424="",0,INDEX(ModelParameters!$D$13:$K$17,MATCH($O2424,ModelParameters!$B$13:$B$17,0),MATCH($J2424,ModelParameters!$D$5:$K$5,0)))</f>
        <v>0</v>
      </c>
      <c r="S2424" s="160">
        <f>IF(B2424="",0,MIN(IF($N2424="Other Bond TM",ModelParameters!$N$21,1)*(P2424*Q2424+R2424),1))</f>
        <v>0.025</v>
      </c>
      <c r="T2424" s="85">
        <f>IF(B2424="",0,$S2424*$K2424)</f>
        <v>3.6667744972409528</v>
      </c>
      <c r="U2424" s="85">
        <f>IF(B2424="",0,IF(OR(H2424=MappingTables!$C$34,H2424=MappingTables!$C$35),T2424,0))</f>
        <v>0</v>
      </c>
      <c r="V2424" s="85">
        <f>IF(ISNA(IF(AND(VLOOKUP(CONCATENATE($D2424,$G2424),CSRFinput!$B:$E,4,0)=0,OR(H2424=MappingTables!$C$34,H2424=MappingTables!$C$35)),1,VLOOKUP(CONCATENATE($D2424,$G2424),CSRFinput!$B:$E,4,0))),0,IF(AND(VLOOKUP(CONCATENATE($D2424,$G2424),CSRFinput!$B:$E,4,0)=0,OR(H2424=MappingTables!$C$34,H2424=MappingTables!$C$35)),1,VLOOKUP(CONCATENATE($D2424,$G2424),CSRFinput!$B:$E,4,0)))</f>
        <v>0.054776304963434752</v>
      </c>
      <c r="W2424" s="85">
        <f>IF(B2424="",0,+$T2424*$V2424)</f>
        <v>0.20085235809301556</v>
      </c>
      <c r="X2424" s="85">
        <f>IF(B2424="",0,IF(OR(H2424=MappingTables!$C$34,H2424=MappingTables!$C$35),W2424,0))</f>
        <v>0</v>
      </c>
    </row>
    <row r="2425" spans="2:24" s="0" customFormat="0" ht="15">
      <c r="B2425" s="69">
        <v>14504631</v>
      </c>
      <c r="C2425" s="70" t="s">
        <v>2409</v>
      </c>
      <c r="D2425" s="70" t="s">
        <v>1</v>
      </c>
      <c r="E2425" s="70" t="s">
        <v>1</v>
      </c>
      <c r="F2425" s="70"/>
      <c r="G2425" s="70" t="s">
        <v>61</v>
      </c>
      <c r="H2425" s="70" t="s">
        <v>178</v>
      </c>
      <c r="I2425" s="70" t="s">
        <v>220</v>
      </c>
      <c r="J2425" s="71">
        <f>IF(OR(I2425=0,I2425=""),"unrated",VLOOKUP(I2425,MappingTables!$B$19:$C$31,2,FALSE))</f>
        <v>1</v>
      </c>
      <c r="K2425" s="72">
        <v>970.19477727278896</v>
      </c>
      <c r="L2425" s="70">
        <v>3.1940449442798436</v>
      </c>
      <c r="M2425" s="71">
        <f>IF(L2425&lt;1,1,L2425)</f>
        <v>3.1940449442798436</v>
      </c>
      <c r="N2425" s="70" t="s">
        <v>141</v>
      </c>
      <c r="O2425" s="71">
        <f>INDEX(DurClassMapping,MATCH(M2425,MappingTables!$D$4:$D$8,-1),1)</f>
        <v>1</v>
      </c>
      <c r="P2425" s="73">
        <f>IF(M2425=$A$1,1,$M2425-INDEX(MappingTables!$E$4:$E$8,MATCH(O2425,MappingTables!$B$4:$B$8,0)))</f>
        <v>3.1940449442798436</v>
      </c>
      <c r="Q2425" s="71">
        <f>IF(B2425="",0,INDEX(ModelParameters!$D$6:$K$10,MATCH($O2425,ModelParameters!$B$6:$B$10,0),MATCH($J2425,ModelParameters!$D$5:$K$5,0)))</f>
        <v>0.011000000000000002</v>
      </c>
      <c r="R2425" s="71">
        <f>IF(B2425="",0,INDEX(ModelParameters!$D$13:$K$17,MATCH($O2425,ModelParameters!$B$13:$B$17,0),MATCH($J2425,ModelParameters!$D$5:$K$5,0)))</f>
        <v>0</v>
      </c>
      <c r="S2425" s="160">
        <f>IF(B2425="",0,MIN(IF($N2425="Other Bond TM",ModelParameters!$N$21,1)*(P2425*Q2425+R2425),1))</f>
        <v>0.03513449438707828</v>
      </c>
      <c r="T2425" s="85">
        <f>IF(B2425="",0,$S2425*$K2425)</f>
        <v>34.087302956463468</v>
      </c>
      <c r="U2425" s="85">
        <f>IF(B2425="",0,IF(OR(H2425=MappingTables!$C$34,H2425=MappingTables!$C$35),T2425,0))</f>
        <v>0</v>
      </c>
      <c r="V2425" s="85">
        <f>IF(ISNA(IF(AND(VLOOKUP(CONCATENATE($D2425,$G2425),CSRFinput!$B:$E,4,0)=0,OR(H2425=MappingTables!$C$34,H2425=MappingTables!$C$35)),1,VLOOKUP(CONCATENATE($D2425,$G2425),CSRFinput!$B:$E,4,0))),0,IF(AND(VLOOKUP(CONCATENATE($D2425,$G2425),CSRFinput!$B:$E,4,0)=0,OR(H2425=MappingTables!$C$34,H2425=MappingTables!$C$35)),1,VLOOKUP(CONCATENATE($D2425,$G2425),CSRFinput!$B:$E,4,0)))</f>
        <v>0.054776304963434752</v>
      </c>
      <c r="W2425" s="85">
        <f>IF(B2425="",0,+$T2425*$V2425)</f>
        <v>1.867176502124234</v>
      </c>
      <c r="X2425" s="85">
        <f>IF(B2425="",0,IF(OR(H2425=MappingTables!$C$34,H2425=MappingTables!$C$35),W2425,0))</f>
        <v>0</v>
      </c>
    </row>
    <row r="2426" spans="2:24" s="0" customFormat="0" ht="15">
      <c r="B2426" s="69">
        <v>14731185</v>
      </c>
      <c r="C2426" s="70" t="s">
        <v>1416</v>
      </c>
      <c r="D2426" s="70" t="s">
        <v>1</v>
      </c>
      <c r="E2426" s="70" t="s">
        <v>1</v>
      </c>
      <c r="F2426" s="70"/>
      <c r="G2426" s="70" t="s">
        <v>61</v>
      </c>
      <c r="H2426" s="70" t="s">
        <v>178</v>
      </c>
      <c r="I2426" s="70" t="s">
        <v>181</v>
      </c>
      <c r="J2426" s="71">
        <f>IF(OR(I2426=0,I2426=""),"unrated",VLOOKUP(I2426,MappingTables!$B$19:$C$31,2,FALSE))</f>
        <v>3</v>
      </c>
      <c r="K2426" s="72">
        <v>917.56729391491056</v>
      </c>
      <c r="L2426" s="70">
        <v>15.50081342306116</v>
      </c>
      <c r="M2426" s="71">
        <f>IF(L2426&lt;1,1,L2426)</f>
        <v>15.50081342306116</v>
      </c>
      <c r="N2426" s="70" t="s">
        <v>141</v>
      </c>
      <c r="O2426" s="71">
        <f>INDEX(DurClassMapping,MATCH(M2426,MappingTables!$D$4:$D$8,-1),1)</f>
        <v>4</v>
      </c>
      <c r="P2426" s="73">
        <f>IF(M2426=$A$1,1,$M2426-INDEX(MappingTables!$E$4:$E$8,MATCH(O2426,MappingTables!$B$4:$B$8,0)))</f>
        <v>0.50081342306116024</v>
      </c>
      <c r="Q2426" s="71">
        <f>IF(B2426="",0,INDEX(ModelParameters!$D$6:$K$10,MATCH($O2426,ModelParameters!$B$6:$B$10,0),MATCH($J2426,ModelParameters!$D$5:$K$5,0)))</f>
        <v>0.01</v>
      </c>
      <c r="R2426" s="71">
        <f>IF(B2426="",0,INDEX(ModelParameters!$D$13:$K$17,MATCH($O2426,ModelParameters!$B$13:$B$17,0),MATCH($J2426,ModelParameters!$D$5:$K$5,0)))</f>
        <v>0.25</v>
      </c>
      <c r="S2426" s="160">
        <f>IF(B2426="",0,MIN(IF($N2426="Other Bond TM",ModelParameters!$N$21,1)*(P2426*Q2426+R2426),1))</f>
        <v>0.2550081342306116</v>
      </c>
      <c r="T2426" s="85">
        <f>IF(B2426="",0,$S2426*$K2426)</f>
        <v>233.98712365227256</v>
      </c>
      <c r="U2426" s="85">
        <f>IF(B2426="",0,IF(OR(H2426=MappingTables!$C$34,H2426=MappingTables!$C$35),T2426,0))</f>
        <v>0</v>
      </c>
      <c r="V2426" s="85">
        <f>IF(ISNA(IF(AND(VLOOKUP(CONCATENATE($D2426,$G2426),CSRFinput!$B:$E,4,0)=0,OR(H2426=MappingTables!$C$34,H2426=MappingTables!$C$35)),1,VLOOKUP(CONCATENATE($D2426,$G2426),CSRFinput!$B:$E,4,0))),0,IF(AND(VLOOKUP(CONCATENATE($D2426,$G2426),CSRFinput!$B:$E,4,0)=0,OR(H2426=MappingTables!$C$34,H2426=MappingTables!$C$35)),1,VLOOKUP(CONCATENATE($D2426,$G2426),CSRFinput!$B:$E,4,0)))</f>
        <v>0.054776304963434752</v>
      </c>
      <c r="W2426" s="85">
        <f>IF(B2426="",0,+$T2426*$V2426)</f>
        <v>12.816950042693798</v>
      </c>
      <c r="X2426" s="85">
        <f>IF(B2426="",0,IF(OR(H2426=MappingTables!$C$34,H2426=MappingTables!$C$35),W2426,0))</f>
        <v>0</v>
      </c>
    </row>
    <row r="2427" spans="2:24" s="0" customFormat="0" ht="15">
      <c r="B2427" s="69">
        <v>19791091</v>
      </c>
      <c r="C2427" s="70" t="s">
        <v>2176</v>
      </c>
      <c r="D2427" s="70" t="s">
        <v>1</v>
      </c>
      <c r="E2427" s="70" t="s">
        <v>1</v>
      </c>
      <c r="F2427" s="70"/>
      <c r="G2427" s="70" t="s">
        <v>61</v>
      </c>
      <c r="H2427" s="70" t="s">
        <v>178</v>
      </c>
      <c r="I2427" s="70" t="s">
        <v>181</v>
      </c>
      <c r="J2427" s="71">
        <f>IF(OR(I2427=0,I2427=""),"unrated",VLOOKUP(I2427,MappingTables!$B$19:$C$31,2,FALSE))</f>
        <v>3</v>
      </c>
      <c r="K2427" s="72">
        <v>2243.1666691017448</v>
      </c>
      <c r="L2427" s="70">
        <v>3.2185593103754916</v>
      </c>
      <c r="M2427" s="71">
        <f>IF(L2427&lt;1,1,L2427)</f>
        <v>3.2185593103754916</v>
      </c>
      <c r="N2427" s="70" t="s">
        <v>141</v>
      </c>
      <c r="O2427" s="71">
        <f>INDEX(DurClassMapping,MATCH(M2427,MappingTables!$D$4:$D$8,-1),1)</f>
        <v>1</v>
      </c>
      <c r="P2427" s="73">
        <f>IF(M2427=$A$1,1,$M2427-INDEX(MappingTables!$E$4:$E$8,MATCH(O2427,MappingTables!$B$4:$B$8,0)))</f>
        <v>3.2185593103754916</v>
      </c>
      <c r="Q2427" s="71">
        <f>IF(B2427="",0,INDEX(ModelParameters!$D$6:$K$10,MATCH($O2427,ModelParameters!$B$6:$B$10,0),MATCH($J2427,ModelParameters!$D$5:$K$5,0)))</f>
        <v>0.025</v>
      </c>
      <c r="R2427" s="71">
        <f>IF(B2427="",0,INDEX(ModelParameters!$D$13:$K$17,MATCH($O2427,ModelParameters!$B$13:$B$17,0),MATCH($J2427,ModelParameters!$D$5:$K$5,0)))</f>
        <v>0</v>
      </c>
      <c r="S2427" s="160">
        <f>IF(B2427="",0,MIN(IF($N2427="Other Bond TM",ModelParameters!$N$21,1)*(P2427*Q2427+R2427),1))</f>
        <v>0.080463982759387296</v>
      </c>
      <c r="T2427" s="85">
        <f>IF(B2427="",0,$S2427*$K2427)</f>
        <v>180.49412418903504</v>
      </c>
      <c r="U2427" s="85">
        <f>IF(B2427="",0,IF(OR(H2427=MappingTables!$C$34,H2427=MappingTables!$C$35),T2427,0))</f>
        <v>0</v>
      </c>
      <c r="V2427" s="85">
        <f>IF(ISNA(IF(AND(VLOOKUP(CONCATENATE($D2427,$G2427),CSRFinput!$B:$E,4,0)=0,OR(H2427=MappingTables!$C$34,H2427=MappingTables!$C$35)),1,VLOOKUP(CONCATENATE($D2427,$G2427),CSRFinput!$B:$E,4,0))),0,IF(AND(VLOOKUP(CONCATENATE($D2427,$G2427),CSRFinput!$B:$E,4,0)=0,OR(H2427=MappingTables!$C$34,H2427=MappingTables!$C$35)),1,VLOOKUP(CONCATENATE($D2427,$G2427),CSRFinput!$B:$E,4,0)))</f>
        <v>0.054776304963434752</v>
      </c>
      <c r="W2427" s="85">
        <f>IF(B2427="",0,+$T2427*$V2427)</f>
        <v>9.8868011906866496</v>
      </c>
      <c r="X2427" s="85">
        <f>IF(B2427="",0,IF(OR(H2427=MappingTables!$C$34,H2427=MappingTables!$C$35),W2427,0))</f>
        <v>0</v>
      </c>
    </row>
    <row r="2428" spans="2:24" s="0" customFormat="0" ht="15">
      <c r="B2428" s="69">
        <v>22723302</v>
      </c>
      <c r="C2428" s="70" t="s">
        <v>2410</v>
      </c>
      <c r="D2428" s="70" t="s">
        <v>1</v>
      </c>
      <c r="E2428" s="70" t="s">
        <v>1</v>
      </c>
      <c r="F2428" s="70"/>
      <c r="G2428" s="70" t="s">
        <v>61</v>
      </c>
      <c r="H2428" s="70" t="s">
        <v>178</v>
      </c>
      <c r="I2428" s="70" t="s">
        <v>188</v>
      </c>
      <c r="J2428" s="71">
        <f>IF(OR(I2428=0,I2428=""),"unrated",VLOOKUP(I2428,MappingTables!$B$19:$C$31,2,FALSE))</f>
        <v>2</v>
      </c>
      <c r="K2428" s="72">
        <v>739.59046414952048</v>
      </c>
      <c r="L2428" s="70">
        <v>4.1535986528675544</v>
      </c>
      <c r="M2428" s="71">
        <f>IF(L2428&lt;1,1,L2428)</f>
        <v>4.1535986528675544</v>
      </c>
      <c r="N2428" s="70" t="s">
        <v>141</v>
      </c>
      <c r="O2428" s="71">
        <f>INDEX(DurClassMapping,MATCH(M2428,MappingTables!$D$4:$D$8,-1),1)</f>
        <v>1</v>
      </c>
      <c r="P2428" s="73">
        <f>IF(M2428=$A$1,1,$M2428-INDEX(MappingTables!$E$4:$E$8,MATCH(O2428,MappingTables!$B$4:$B$8,0)))</f>
        <v>4.1535986528675544</v>
      </c>
      <c r="Q2428" s="71">
        <f>IF(B2428="",0,INDEX(ModelParameters!$D$6:$K$10,MATCH($O2428,ModelParameters!$B$6:$B$10,0),MATCH($J2428,ModelParameters!$D$5:$K$5,0)))</f>
        <v>0.013999999999999998</v>
      </c>
      <c r="R2428" s="71">
        <f>IF(B2428="",0,INDEX(ModelParameters!$D$13:$K$17,MATCH($O2428,ModelParameters!$B$13:$B$17,0),MATCH($J2428,ModelParameters!$D$5:$K$5,0)))</f>
        <v>0</v>
      </c>
      <c r="S2428" s="160">
        <f>IF(B2428="",0,MIN(IF($N2428="Other Bond TM",ModelParameters!$N$21,1)*(P2428*Q2428+R2428),1))</f>
        <v>0.05815038114014576</v>
      </c>
      <c r="T2428" s="85">
        <f>IF(B2428="",0,$S2428*$K2428)</f>
        <v>43.00746737791192</v>
      </c>
      <c r="U2428" s="85">
        <f>IF(B2428="",0,IF(OR(H2428=MappingTables!$C$34,H2428=MappingTables!$C$35),T2428,0))</f>
        <v>0</v>
      </c>
      <c r="V2428" s="85">
        <f>IF(ISNA(IF(AND(VLOOKUP(CONCATENATE($D2428,$G2428),CSRFinput!$B:$E,4,0)=0,OR(H2428=MappingTables!$C$34,H2428=MappingTables!$C$35)),1,VLOOKUP(CONCATENATE($D2428,$G2428),CSRFinput!$B:$E,4,0))),0,IF(AND(VLOOKUP(CONCATENATE($D2428,$G2428),CSRFinput!$B:$E,4,0)=0,OR(H2428=MappingTables!$C$34,H2428=MappingTables!$C$35)),1,VLOOKUP(CONCATENATE($D2428,$G2428),CSRFinput!$B:$E,4,0)))</f>
        <v>0.054776304963434752</v>
      </c>
      <c r="W2428" s="85">
        <f>IF(B2428="",0,+$T2428*$V2428)</f>
        <v>2.3557901487974752</v>
      </c>
      <c r="X2428" s="85">
        <f>IF(B2428="",0,IF(OR(H2428=MappingTables!$C$34,H2428=MappingTables!$C$35),W2428,0))</f>
        <v>0</v>
      </c>
    </row>
    <row r="2429" spans="2:24" s="0" customFormat="0" ht="15">
      <c r="B2429" s="69">
        <v>16080796</v>
      </c>
      <c r="C2429" s="70" t="s">
        <v>978</v>
      </c>
      <c r="D2429" s="70" t="s">
        <v>1</v>
      </c>
      <c r="E2429" s="70" t="s">
        <v>1</v>
      </c>
      <c r="F2429" s="70"/>
      <c r="G2429" s="70" t="s">
        <v>61</v>
      </c>
      <c r="H2429" s="70" t="s">
        <v>178</v>
      </c>
      <c r="I2429" s="70" t="s">
        <v>181</v>
      </c>
      <c r="J2429" s="71">
        <f>IF(OR(I2429=0,I2429=""),"unrated",VLOOKUP(I2429,MappingTables!$B$19:$C$31,2,FALSE))</f>
        <v>3</v>
      </c>
      <c r="K2429" s="72">
        <v>60.34548957750552</v>
      </c>
      <c r="L2429" s="70">
        <v>2.3547306092569872</v>
      </c>
      <c r="M2429" s="71">
        <f>IF(L2429&lt;1,1,L2429)</f>
        <v>2.3547306092569872</v>
      </c>
      <c r="N2429" s="70" t="s">
        <v>141</v>
      </c>
      <c r="O2429" s="71">
        <f>INDEX(DurClassMapping,MATCH(M2429,MappingTables!$D$4:$D$8,-1),1)</f>
        <v>1</v>
      </c>
      <c r="P2429" s="73">
        <f>IF(M2429=$A$1,1,$M2429-INDEX(MappingTables!$E$4:$E$8,MATCH(O2429,MappingTables!$B$4:$B$8,0)))</f>
        <v>2.3547306092569872</v>
      </c>
      <c r="Q2429" s="71">
        <f>IF(B2429="",0,INDEX(ModelParameters!$D$6:$K$10,MATCH($O2429,ModelParameters!$B$6:$B$10,0),MATCH($J2429,ModelParameters!$D$5:$K$5,0)))</f>
        <v>0.025</v>
      </c>
      <c r="R2429" s="71">
        <f>IF(B2429="",0,INDEX(ModelParameters!$D$13:$K$17,MATCH($O2429,ModelParameters!$B$13:$B$17,0),MATCH($J2429,ModelParameters!$D$5:$K$5,0)))</f>
        <v>0</v>
      </c>
      <c r="S2429" s="160">
        <f>IF(B2429="",0,MIN(IF($N2429="Other Bond TM",ModelParameters!$N$21,1)*(P2429*Q2429+R2429),1))</f>
        <v>0.05886826523142468</v>
      </c>
      <c r="T2429" s="85">
        <f>IF(B2429="",0,$S2429*$K2429)</f>
        <v>3.5524342859687684</v>
      </c>
      <c r="U2429" s="85">
        <f>IF(B2429="",0,IF(OR(H2429=MappingTables!$C$34,H2429=MappingTables!$C$35),T2429,0))</f>
        <v>0</v>
      </c>
      <c r="V2429" s="85">
        <f>IF(ISNA(IF(AND(VLOOKUP(CONCATENATE($D2429,$G2429),CSRFinput!$B:$E,4,0)=0,OR(H2429=MappingTables!$C$34,H2429=MappingTables!$C$35)),1,VLOOKUP(CONCATENATE($D2429,$G2429),CSRFinput!$B:$E,4,0))),0,IF(AND(VLOOKUP(CONCATENATE($D2429,$G2429),CSRFinput!$B:$E,4,0)=0,OR(H2429=MappingTables!$C$34,H2429=MappingTables!$C$35)),1,VLOOKUP(CONCATENATE($D2429,$G2429),CSRFinput!$B:$E,4,0)))</f>
        <v>0.054776304963434752</v>
      </c>
      <c r="W2429" s="85">
        <f>IF(B2429="",0,+$T2429*$V2429)</f>
        <v>0.19458922381078684</v>
      </c>
      <c r="X2429" s="85">
        <f>IF(B2429="",0,IF(OR(H2429=MappingTables!$C$34,H2429=MappingTables!$C$35),W2429,0))</f>
        <v>0</v>
      </c>
    </row>
    <row r="2430" spans="2:24" s="0" customFormat="0" ht="15">
      <c r="B2430" s="69" t="s">
        <v>481</v>
      </c>
      <c r="C2430" s="70" t="s">
        <v>482</v>
      </c>
      <c r="D2430" s="70" t="s">
        <v>1</v>
      </c>
      <c r="E2430" s="70" t="s">
        <v>1</v>
      </c>
      <c r="F2430" s="70"/>
      <c r="G2430" s="70" t="s">
        <v>61</v>
      </c>
      <c r="H2430" s="70" t="s">
        <v>178</v>
      </c>
      <c r="I2430" s="70" t="s">
        <v>198</v>
      </c>
      <c r="J2430" s="71" t="str">
        <f>IF(OR(I2430=0,I2430=""),"unrated",VLOOKUP(I2430,MappingTables!$B$19:$C$31,2,FALSE))</f>
        <v>unrated</v>
      </c>
      <c r="K2430" s="72">
        <v>1.712839469669851</v>
      </c>
      <c r="L2430" s="70">
        <v>0.11232820151965862</v>
      </c>
      <c r="M2430" s="71">
        <f>IF(L2430&lt;1,1,L2430)</f>
        <v>1</v>
      </c>
      <c r="N2430" s="70" t="s">
        <v>141</v>
      </c>
      <c r="O2430" s="71">
        <f>INDEX(DurClassMapping,MATCH(M2430,MappingTables!$D$4:$D$8,-1),1)</f>
        <v>1</v>
      </c>
      <c r="P2430" s="73">
        <f>IF(M2430=$A$1,1,$M2430-INDEX(MappingTables!$E$4:$E$8,MATCH(O2430,MappingTables!$B$4:$B$8,0)))</f>
        <v>1</v>
      </c>
      <c r="Q2430" s="71">
        <f>IF(B2430="",0,INDEX(ModelParameters!$D$6:$K$10,MATCH($O2430,ModelParameters!$B$6:$B$10,0),MATCH($J2430,ModelParameters!$D$5:$K$5,0)))</f>
        <v>0.03</v>
      </c>
      <c r="R2430" s="71">
        <f>IF(B2430="",0,INDEX(ModelParameters!$D$13:$K$17,MATCH($O2430,ModelParameters!$B$13:$B$17,0),MATCH($J2430,ModelParameters!$D$5:$K$5,0)))</f>
        <v>0</v>
      </c>
      <c r="S2430" s="160">
        <f>IF(B2430="",0,MIN(IF($N2430="Other Bond TM",ModelParameters!$N$21,1)*(P2430*Q2430+R2430),1))</f>
        <v>0.03</v>
      </c>
      <c r="T2430" s="85">
        <f>IF(B2430="",0,$S2430*$K2430)</f>
        <v>0.051385184090095528</v>
      </c>
      <c r="U2430" s="85">
        <f>IF(B2430="",0,IF(OR(H2430=MappingTables!$C$34,H2430=MappingTables!$C$35),T2430,0))</f>
        <v>0</v>
      </c>
      <c r="V2430" s="85">
        <f>IF(ISNA(IF(AND(VLOOKUP(CONCATENATE($D2430,$G2430),CSRFinput!$B:$E,4,0)=0,OR(H2430=MappingTables!$C$34,H2430=MappingTables!$C$35)),1,VLOOKUP(CONCATENATE($D2430,$G2430),CSRFinput!$B:$E,4,0))),0,IF(AND(VLOOKUP(CONCATENATE($D2430,$G2430),CSRFinput!$B:$E,4,0)=0,OR(H2430=MappingTables!$C$34,H2430=MappingTables!$C$35)),1,VLOOKUP(CONCATENATE($D2430,$G2430),CSRFinput!$B:$E,4,0)))</f>
        <v>0.054776304963434752</v>
      </c>
      <c r="W2430" s="85">
        <f>IF(B2430="",0,+$T2430*$V2430)</f>
        <v>0.002814690514321308</v>
      </c>
      <c r="X2430" s="85">
        <f>IF(B2430="",0,IF(OR(H2430=MappingTables!$C$34,H2430=MappingTables!$C$35),W2430,0))</f>
        <v>0</v>
      </c>
    </row>
    <row r="2431" spans="2:24" s="0" customFormat="0" ht="15">
      <c r="B2431" s="69" t="s">
        <v>2411</v>
      </c>
      <c r="C2431" s="70" t="s">
        <v>2412</v>
      </c>
      <c r="D2431" s="70" t="s">
        <v>1</v>
      </c>
      <c r="E2431" s="70" t="s">
        <v>1</v>
      </c>
      <c r="F2431" s="70"/>
      <c r="G2431" s="70" t="s">
        <v>61</v>
      </c>
      <c r="H2431" s="70" t="s">
        <v>178</v>
      </c>
      <c r="I2431" s="70" t="s">
        <v>204</v>
      </c>
      <c r="J2431" s="71">
        <f>IF(OR(I2431=0,I2431=""),"unrated",VLOOKUP(I2431,MappingTables!$B$19:$C$31,2,FALSE))</f>
        <v>6</v>
      </c>
      <c r="K2431" s="72">
        <v>401.41458490813616</v>
      </c>
      <c r="L2431" s="70">
        <v>2.253606170041656</v>
      </c>
      <c r="M2431" s="71">
        <f>IF(L2431&lt;1,1,L2431)</f>
        <v>2.253606170041656</v>
      </c>
      <c r="N2431" s="70" t="s">
        <v>141</v>
      </c>
      <c r="O2431" s="71">
        <f>INDEX(DurClassMapping,MATCH(M2431,MappingTables!$D$4:$D$8,-1),1)</f>
        <v>1</v>
      </c>
      <c r="P2431" s="73">
        <f>IF(M2431=$A$1,1,$M2431-INDEX(MappingTables!$E$4:$E$8,MATCH(O2431,MappingTables!$B$4:$B$8,0)))</f>
        <v>2.253606170041656</v>
      </c>
      <c r="Q2431" s="71">
        <f>IF(B2431="",0,INDEX(ModelParameters!$D$6:$K$10,MATCH($O2431,ModelParameters!$B$6:$B$10,0),MATCH($J2431,ModelParameters!$D$5:$K$5,0)))</f>
        <v>0.075</v>
      </c>
      <c r="R2431" s="71">
        <f>IF(B2431="",0,INDEX(ModelParameters!$D$13:$K$17,MATCH($O2431,ModelParameters!$B$13:$B$17,0),MATCH($J2431,ModelParameters!$D$5:$K$5,0)))</f>
        <v>0</v>
      </c>
      <c r="S2431" s="160">
        <f>IF(B2431="",0,MIN(IF($N2431="Other Bond TM",ModelParameters!$N$21,1)*(P2431*Q2431+R2431),1))</f>
        <v>0.16902046275312418</v>
      </c>
      <c r="T2431" s="85">
        <f>IF(B2431="",0,$S2431*$K2431)</f>
        <v>67.84727889702644</v>
      </c>
      <c r="U2431" s="85">
        <f>IF(B2431="",0,IF(OR(H2431=MappingTables!$C$34,H2431=MappingTables!$C$35),T2431,0))</f>
        <v>0</v>
      </c>
      <c r="V2431" s="85">
        <f>IF(ISNA(IF(AND(VLOOKUP(CONCATENATE($D2431,$G2431),CSRFinput!$B:$E,4,0)=0,OR(H2431=MappingTables!$C$34,H2431=MappingTables!$C$35)),1,VLOOKUP(CONCATENATE($D2431,$G2431),CSRFinput!$B:$E,4,0))),0,IF(AND(VLOOKUP(CONCATENATE($D2431,$G2431),CSRFinput!$B:$E,4,0)=0,OR(H2431=MappingTables!$C$34,H2431=MappingTables!$C$35)),1,VLOOKUP(CONCATENATE($D2431,$G2431),CSRFinput!$B:$E,4,0)))</f>
        <v>0.054776304963434752</v>
      </c>
      <c r="W2431" s="85">
        <f>IF(B2431="",0,+$T2431*$V2431)</f>
        <v>3.716423239802732</v>
      </c>
      <c r="X2431" s="85">
        <f>IF(B2431="",0,IF(OR(H2431=MappingTables!$C$34,H2431=MappingTables!$C$35),W2431,0))</f>
        <v>0</v>
      </c>
    </row>
    <row r="2432" spans="2:24" s="0" customFormat="0" ht="15">
      <c r="B2432" s="69" t="s">
        <v>860</v>
      </c>
      <c r="C2432" s="70" t="s">
        <v>861</v>
      </c>
      <c r="D2432" s="70" t="s">
        <v>1</v>
      </c>
      <c r="E2432" s="70" t="s">
        <v>1</v>
      </c>
      <c r="F2432" s="70"/>
      <c r="G2432" s="70" t="s">
        <v>61</v>
      </c>
      <c r="H2432" s="70" t="s">
        <v>178</v>
      </c>
      <c r="I2432" s="70" t="s">
        <v>179</v>
      </c>
      <c r="J2432" s="71">
        <f>IF(OR(I2432=0,I2432=""),"unrated",VLOOKUP(I2432,MappingTables!$B$19:$C$31,2,FALSE))</f>
        <v>4</v>
      </c>
      <c r="K2432" s="72">
        <v>96.348151616248352</v>
      </c>
      <c r="L2432" s="70">
        <v>1.2728999332348682</v>
      </c>
      <c r="M2432" s="71">
        <f>IF(L2432&lt;1,1,L2432)</f>
        <v>1.2728999332348682</v>
      </c>
      <c r="N2432" s="70" t="s">
        <v>141</v>
      </c>
      <c r="O2432" s="71">
        <f>INDEX(DurClassMapping,MATCH(M2432,MappingTables!$D$4:$D$8,-1),1)</f>
        <v>1</v>
      </c>
      <c r="P2432" s="73">
        <f>IF(M2432=$A$1,1,$M2432-INDEX(MappingTables!$E$4:$E$8,MATCH(O2432,MappingTables!$B$4:$B$8,0)))</f>
        <v>1.2728999332348682</v>
      </c>
      <c r="Q2432" s="71">
        <f>IF(B2432="",0,INDEX(ModelParameters!$D$6:$K$10,MATCH($O2432,ModelParameters!$B$6:$B$10,0),MATCH($J2432,ModelParameters!$D$5:$K$5,0)))</f>
        <v>0.045</v>
      </c>
      <c r="R2432" s="71">
        <f>IF(B2432="",0,INDEX(ModelParameters!$D$13:$K$17,MATCH($O2432,ModelParameters!$B$13:$B$17,0),MATCH($J2432,ModelParameters!$D$5:$K$5,0)))</f>
        <v>0</v>
      </c>
      <c r="S2432" s="160">
        <f>IF(B2432="",0,MIN(IF($N2432="Other Bond TM",ModelParameters!$N$21,1)*(P2432*Q2432+R2432),1))</f>
        <v>0.057280496995569072</v>
      </c>
      <c r="T2432" s="85">
        <f>IF(B2432="",0,$S2432*$K2432)</f>
        <v>5.5188700091831464</v>
      </c>
      <c r="U2432" s="85">
        <f>IF(B2432="",0,IF(OR(H2432=MappingTables!$C$34,H2432=MappingTables!$C$35),T2432,0))</f>
        <v>0</v>
      </c>
      <c r="V2432" s="85">
        <f>IF(ISNA(IF(AND(VLOOKUP(CONCATENATE($D2432,$G2432),CSRFinput!$B:$E,4,0)=0,OR(H2432=MappingTables!$C$34,H2432=MappingTables!$C$35)),1,VLOOKUP(CONCATENATE($D2432,$G2432),CSRFinput!$B:$E,4,0))),0,IF(AND(VLOOKUP(CONCATENATE($D2432,$G2432),CSRFinput!$B:$E,4,0)=0,OR(H2432=MappingTables!$C$34,H2432=MappingTables!$C$35)),1,VLOOKUP(CONCATENATE($D2432,$G2432),CSRFinput!$B:$E,4,0)))</f>
        <v>0.054776304963434752</v>
      </c>
      <c r="W2432" s="85">
        <f>IF(B2432="",0,+$T2432*$V2432)</f>
        <v>0.30230330667656996</v>
      </c>
      <c r="X2432" s="85">
        <f>IF(B2432="",0,IF(OR(H2432=MappingTables!$C$34,H2432=MappingTables!$C$35),W2432,0))</f>
        <v>0</v>
      </c>
    </row>
    <row r="2433" spans="2:24" s="0" customFormat="0" ht="15">
      <c r="B2433" s="69">
        <v>22482499</v>
      </c>
      <c r="C2433" s="70" t="s">
        <v>684</v>
      </c>
      <c r="D2433" s="70" t="s">
        <v>1</v>
      </c>
      <c r="E2433" s="70" t="s">
        <v>1</v>
      </c>
      <c r="F2433" s="70"/>
      <c r="G2433" s="70" t="s">
        <v>61</v>
      </c>
      <c r="H2433" s="70" t="s">
        <v>178</v>
      </c>
      <c r="I2433" s="70" t="s">
        <v>216</v>
      </c>
      <c r="J2433" s="71">
        <f>IF(OR(I2433=0,I2433=""),"unrated",VLOOKUP(I2433,MappingTables!$B$19:$C$31,2,FALSE))</f>
        <v>0</v>
      </c>
      <c r="K2433" s="72">
        <v>4500.9619381787536</v>
      </c>
      <c r="L2433" s="70">
        <v>0.23013839630345784</v>
      </c>
      <c r="M2433" s="71">
        <f>IF(L2433&lt;1,1,L2433)</f>
        <v>1</v>
      </c>
      <c r="N2433" s="70" t="s">
        <v>141</v>
      </c>
      <c r="O2433" s="71">
        <f>INDEX(DurClassMapping,MATCH(M2433,MappingTables!$D$4:$D$8,-1),1)</f>
        <v>1</v>
      </c>
      <c r="P2433" s="73">
        <f>IF(M2433=$A$1,1,$M2433-INDEX(MappingTables!$E$4:$E$8,MATCH(O2433,MappingTables!$B$4:$B$8,0)))</f>
        <v>1</v>
      </c>
      <c r="Q2433" s="71">
        <f>IF(B2433="",0,INDEX(ModelParameters!$D$6:$K$10,MATCH($O2433,ModelParameters!$B$6:$B$10,0),MATCH($J2433,ModelParameters!$D$5:$K$5,0)))</f>
        <v>0.0090000000000000016</v>
      </c>
      <c r="R2433" s="71">
        <f>IF(B2433="",0,INDEX(ModelParameters!$D$13:$K$17,MATCH($O2433,ModelParameters!$B$13:$B$17,0),MATCH($J2433,ModelParameters!$D$5:$K$5,0)))</f>
        <v>0</v>
      </c>
      <c r="S2433" s="160">
        <f>IF(B2433="",0,MIN(IF($N2433="Other Bond TM",ModelParameters!$N$21,1)*(P2433*Q2433+R2433),1))</f>
        <v>0.0090000000000000016</v>
      </c>
      <c r="T2433" s="85">
        <f>IF(B2433="",0,$S2433*$K2433)</f>
        <v>40.508657443608784</v>
      </c>
      <c r="U2433" s="85">
        <f>IF(B2433="",0,IF(OR(H2433=MappingTables!$C$34,H2433=MappingTables!$C$35),T2433,0))</f>
        <v>0</v>
      </c>
      <c r="V2433" s="85">
        <f>IF(ISNA(IF(AND(VLOOKUP(CONCATENATE($D2433,$G2433),CSRFinput!$B:$E,4,0)=0,OR(H2433=MappingTables!$C$34,H2433=MappingTables!$C$35)),1,VLOOKUP(CONCATENATE($D2433,$G2433),CSRFinput!$B:$E,4,0))),0,IF(AND(VLOOKUP(CONCATENATE($D2433,$G2433),CSRFinput!$B:$E,4,0)=0,OR(H2433=MappingTables!$C$34,H2433=MappingTables!$C$35)),1,VLOOKUP(CONCATENATE($D2433,$G2433),CSRFinput!$B:$E,4,0)))</f>
        <v>0.054776304963434752</v>
      </c>
      <c r="W2433" s="85">
        <f>IF(B2433="",0,+$T2433*$V2433)</f>
        <v>2.218914573790426</v>
      </c>
      <c r="X2433" s="85">
        <f>IF(B2433="",0,IF(OR(H2433=MappingTables!$C$34,H2433=MappingTables!$C$35),W2433,0))</f>
        <v>0</v>
      </c>
    </row>
    <row r="2434" spans="2:24" s="0" customFormat="0" ht="15">
      <c r="B2434" s="69" t="s">
        <v>2074</v>
      </c>
      <c r="C2434" s="70" t="s">
        <v>2075</v>
      </c>
      <c r="D2434" s="70" t="s">
        <v>1</v>
      </c>
      <c r="E2434" s="70" t="s">
        <v>1</v>
      </c>
      <c r="F2434" s="70"/>
      <c r="G2434" s="70" t="s">
        <v>61</v>
      </c>
      <c r="H2434" s="70" t="s">
        <v>178</v>
      </c>
      <c r="I2434" s="70" t="s">
        <v>184</v>
      </c>
      <c r="J2434" s="71">
        <f>IF(OR(I2434=0,I2434=""),"unrated",VLOOKUP(I2434,MappingTables!$B$19:$C$31,2,FALSE))</f>
        <v>5</v>
      </c>
      <c r="K2434" s="72">
        <v>65.653455791212824</v>
      </c>
      <c r="L2434" s="70">
        <v>0.5198475067947876</v>
      </c>
      <c r="M2434" s="71">
        <f>IF(L2434&lt;1,1,L2434)</f>
        <v>1</v>
      </c>
      <c r="N2434" s="70" t="s">
        <v>141</v>
      </c>
      <c r="O2434" s="71">
        <f>INDEX(DurClassMapping,MATCH(M2434,MappingTables!$D$4:$D$8,-1),1)</f>
        <v>1</v>
      </c>
      <c r="P2434" s="73">
        <f>IF(M2434=$A$1,1,$M2434-INDEX(MappingTables!$E$4:$E$8,MATCH(O2434,MappingTables!$B$4:$B$8,0)))</f>
        <v>1</v>
      </c>
      <c r="Q2434" s="71">
        <f>IF(B2434="",0,INDEX(ModelParameters!$D$6:$K$10,MATCH($O2434,ModelParameters!$B$6:$B$10,0),MATCH($J2434,ModelParameters!$D$5:$K$5,0)))</f>
        <v>0.075</v>
      </c>
      <c r="R2434" s="71">
        <f>IF(B2434="",0,INDEX(ModelParameters!$D$13:$K$17,MATCH($O2434,ModelParameters!$B$13:$B$17,0),MATCH($J2434,ModelParameters!$D$5:$K$5,0)))</f>
        <v>0</v>
      </c>
      <c r="S2434" s="160">
        <f>IF(B2434="",0,MIN(IF($N2434="Other Bond TM",ModelParameters!$N$21,1)*(P2434*Q2434+R2434),1))</f>
        <v>0.075</v>
      </c>
      <c r="T2434" s="85">
        <f>IF(B2434="",0,$S2434*$K2434)</f>
        <v>4.9240091843409608</v>
      </c>
      <c r="U2434" s="85">
        <f>IF(B2434="",0,IF(OR(H2434=MappingTables!$C$34,H2434=MappingTables!$C$35),T2434,0))</f>
        <v>0</v>
      </c>
      <c r="V2434" s="85">
        <f>IF(ISNA(IF(AND(VLOOKUP(CONCATENATE($D2434,$G2434),CSRFinput!$B:$E,4,0)=0,OR(H2434=MappingTables!$C$34,H2434=MappingTables!$C$35)),1,VLOOKUP(CONCATENATE($D2434,$G2434),CSRFinput!$B:$E,4,0))),0,IF(AND(VLOOKUP(CONCATENATE($D2434,$G2434),CSRFinput!$B:$E,4,0)=0,OR(H2434=MappingTables!$C$34,H2434=MappingTables!$C$35)),1,VLOOKUP(CONCATENATE($D2434,$G2434),CSRFinput!$B:$E,4,0)))</f>
        <v>0.054776304963434752</v>
      </c>
      <c r="W2434" s="85">
        <f>IF(B2434="",0,+$T2434*$V2434)</f>
        <v>0.26971902872421412</v>
      </c>
      <c r="X2434" s="85">
        <f>IF(B2434="",0,IF(OR(H2434=MappingTables!$C$34,H2434=MappingTables!$C$35),W2434,0))</f>
        <v>0</v>
      </c>
    </row>
    <row r="2435" spans="2:24" s="0" customFormat="0" ht="15">
      <c r="B2435" s="69" t="s">
        <v>1760</v>
      </c>
      <c r="C2435" s="70" t="s">
        <v>1761</v>
      </c>
      <c r="D2435" s="70" t="s">
        <v>1</v>
      </c>
      <c r="E2435" s="70" t="s">
        <v>1</v>
      </c>
      <c r="F2435" s="70"/>
      <c r="G2435" s="70" t="s">
        <v>61</v>
      </c>
      <c r="H2435" s="70" t="s">
        <v>178</v>
      </c>
      <c r="I2435" s="70" t="s">
        <v>188</v>
      </c>
      <c r="J2435" s="71">
        <f>IF(OR(I2435=0,I2435=""),"unrated",VLOOKUP(I2435,MappingTables!$B$19:$C$31,2,FALSE))</f>
        <v>2</v>
      </c>
      <c r="K2435" s="72">
        <v>11760.845435424414</v>
      </c>
      <c r="L2435" s="70">
        <v>3.8026972601756896</v>
      </c>
      <c r="M2435" s="71">
        <f>IF(L2435&lt;1,1,L2435)</f>
        <v>3.8026972601756896</v>
      </c>
      <c r="N2435" s="70" t="s">
        <v>141</v>
      </c>
      <c r="O2435" s="71">
        <f>INDEX(DurClassMapping,MATCH(M2435,MappingTables!$D$4:$D$8,-1),1)</f>
        <v>1</v>
      </c>
      <c r="P2435" s="73">
        <f>IF(M2435=$A$1,1,$M2435-INDEX(MappingTables!$E$4:$E$8,MATCH(O2435,MappingTables!$B$4:$B$8,0)))</f>
        <v>3.8026972601756896</v>
      </c>
      <c r="Q2435" s="71">
        <f>IF(B2435="",0,INDEX(ModelParameters!$D$6:$K$10,MATCH($O2435,ModelParameters!$B$6:$B$10,0),MATCH($J2435,ModelParameters!$D$5:$K$5,0)))</f>
        <v>0.013999999999999998</v>
      </c>
      <c r="R2435" s="71">
        <f>IF(B2435="",0,INDEX(ModelParameters!$D$13:$K$17,MATCH($O2435,ModelParameters!$B$13:$B$17,0),MATCH($J2435,ModelParameters!$D$5:$K$5,0)))</f>
        <v>0</v>
      </c>
      <c r="S2435" s="160">
        <f>IF(B2435="",0,MIN(IF($N2435="Other Bond TM",ModelParameters!$N$21,1)*(P2435*Q2435+R2435),1))</f>
        <v>0.05323776164245964</v>
      </c>
      <c r="T2435" s="85">
        <f>IF(B2435="",0,$S2435*$K2435)</f>
        <v>626.12108600493432</v>
      </c>
      <c r="U2435" s="85">
        <f>IF(B2435="",0,IF(OR(H2435=MappingTables!$C$34,H2435=MappingTables!$C$35),T2435,0))</f>
        <v>0</v>
      </c>
      <c r="V2435" s="85">
        <f>IF(ISNA(IF(AND(VLOOKUP(CONCATENATE($D2435,$G2435),CSRFinput!$B:$E,4,0)=0,OR(H2435=MappingTables!$C$34,H2435=MappingTables!$C$35)),1,VLOOKUP(CONCATENATE($D2435,$G2435),CSRFinput!$B:$E,4,0))),0,IF(AND(VLOOKUP(CONCATENATE($D2435,$G2435),CSRFinput!$B:$E,4,0)=0,OR(H2435=MappingTables!$C$34,H2435=MappingTables!$C$35)),1,VLOOKUP(CONCATENATE($D2435,$G2435),CSRFinput!$B:$E,4,0)))</f>
        <v>0.054776304963434752</v>
      </c>
      <c r="W2435" s="85">
        <f>IF(B2435="",0,+$T2435*$V2435)</f>
        <v>34.296599551043244</v>
      </c>
      <c r="X2435" s="85">
        <f>IF(B2435="",0,IF(OR(H2435=MappingTables!$C$34,H2435=MappingTables!$C$35),W2435,0))</f>
        <v>0</v>
      </c>
    </row>
    <row r="2436" spans="2:24" s="0" customFormat="0" ht="15">
      <c r="B2436" s="69">
        <v>11899224</v>
      </c>
      <c r="C2436" s="70" t="s">
        <v>1130</v>
      </c>
      <c r="D2436" s="70" t="s">
        <v>1</v>
      </c>
      <c r="E2436" s="70" t="s">
        <v>1</v>
      </c>
      <c r="F2436" s="70"/>
      <c r="G2436" s="70" t="s">
        <v>61</v>
      </c>
      <c r="H2436" s="70" t="s">
        <v>178</v>
      </c>
      <c r="I2436" s="70" t="s">
        <v>184</v>
      </c>
      <c r="J2436" s="71">
        <f>IF(OR(I2436=0,I2436=""),"unrated",VLOOKUP(I2436,MappingTables!$B$19:$C$31,2,FALSE))</f>
        <v>5</v>
      </c>
      <c r="K2436" s="72">
        <v>287.551875994344</v>
      </c>
      <c r="L2436" s="70">
        <v>0.041096361182122984</v>
      </c>
      <c r="M2436" s="71">
        <f>IF(L2436&lt;1,1,L2436)</f>
        <v>1</v>
      </c>
      <c r="N2436" s="70" t="s">
        <v>141</v>
      </c>
      <c r="O2436" s="71">
        <f>INDEX(DurClassMapping,MATCH(M2436,MappingTables!$D$4:$D$8,-1),1)</f>
        <v>1</v>
      </c>
      <c r="P2436" s="73">
        <f>IF(M2436=$A$1,1,$M2436-INDEX(MappingTables!$E$4:$E$8,MATCH(O2436,MappingTables!$B$4:$B$8,0)))</f>
        <v>1</v>
      </c>
      <c r="Q2436" s="71">
        <f>IF(B2436="",0,INDEX(ModelParameters!$D$6:$K$10,MATCH($O2436,ModelParameters!$B$6:$B$10,0),MATCH($J2436,ModelParameters!$D$5:$K$5,0)))</f>
        <v>0.075</v>
      </c>
      <c r="R2436" s="71">
        <f>IF(B2436="",0,INDEX(ModelParameters!$D$13:$K$17,MATCH($O2436,ModelParameters!$B$13:$B$17,0),MATCH($J2436,ModelParameters!$D$5:$K$5,0)))</f>
        <v>0</v>
      </c>
      <c r="S2436" s="160">
        <f>IF(B2436="",0,MIN(IF($N2436="Other Bond TM",ModelParameters!$N$21,1)*(P2436*Q2436+R2436),1))</f>
        <v>0.075</v>
      </c>
      <c r="T2436" s="85">
        <f>IF(B2436="",0,$S2436*$K2436)</f>
        <v>21.5663906995758</v>
      </c>
      <c r="U2436" s="85">
        <f>IF(B2436="",0,IF(OR(H2436=MappingTables!$C$34,H2436=MappingTables!$C$35),T2436,0))</f>
        <v>0</v>
      </c>
      <c r="V2436" s="85">
        <f>IF(ISNA(IF(AND(VLOOKUP(CONCATENATE($D2436,$G2436),CSRFinput!$B:$E,4,0)=0,OR(H2436=MappingTables!$C$34,H2436=MappingTables!$C$35)),1,VLOOKUP(CONCATENATE($D2436,$G2436),CSRFinput!$B:$E,4,0))),0,IF(AND(VLOOKUP(CONCATENATE($D2436,$G2436),CSRFinput!$B:$E,4,0)=0,OR(H2436=MappingTables!$C$34,H2436=MappingTables!$C$35)),1,VLOOKUP(CONCATENATE($D2436,$G2436),CSRFinput!$B:$E,4,0)))</f>
        <v>0.054776304963434752</v>
      </c>
      <c r="W2436" s="85">
        <f>IF(B2436="",0,+$T2436*$V2436)</f>
        <v>1.1813271939205472</v>
      </c>
      <c r="X2436" s="85">
        <f>IF(B2436="",0,IF(OR(H2436=MappingTables!$C$34,H2436=MappingTables!$C$35),W2436,0))</f>
        <v>0</v>
      </c>
    </row>
    <row r="2437" spans="2:24" s="0" customFormat="0" ht="15">
      <c r="B2437" s="69">
        <v>20591727</v>
      </c>
      <c r="C2437" s="70" t="s">
        <v>2080</v>
      </c>
      <c r="D2437" s="70" t="s">
        <v>1</v>
      </c>
      <c r="E2437" s="70" t="s">
        <v>1</v>
      </c>
      <c r="F2437" s="70"/>
      <c r="G2437" s="70" t="s">
        <v>61</v>
      </c>
      <c r="H2437" s="70" t="s">
        <v>178</v>
      </c>
      <c r="I2437" s="70" t="s">
        <v>188</v>
      </c>
      <c r="J2437" s="71">
        <f>IF(OR(I2437=0,I2437=""),"unrated",VLOOKUP(I2437,MappingTables!$B$19:$C$31,2,FALSE))</f>
        <v>2</v>
      </c>
      <c r="K2437" s="72">
        <v>2425.4122336268156</v>
      </c>
      <c r="L2437" s="70">
        <v>7.277011115848696</v>
      </c>
      <c r="M2437" s="71">
        <f>IF(L2437&lt;1,1,L2437)</f>
        <v>7.277011115848696</v>
      </c>
      <c r="N2437" s="70" t="s">
        <v>141</v>
      </c>
      <c r="O2437" s="71">
        <f>INDEX(DurClassMapping,MATCH(M2437,MappingTables!$D$4:$D$8,-1),1)</f>
        <v>2</v>
      </c>
      <c r="P2437" s="73">
        <f>IF(M2437=$A$1,1,$M2437-INDEX(MappingTables!$E$4:$E$8,MATCH(O2437,MappingTables!$B$4:$B$8,0)))</f>
        <v>2.277011115848696</v>
      </c>
      <c r="Q2437" s="71">
        <f>IF(B2437="",0,INDEX(ModelParameters!$D$6:$K$10,MATCH($O2437,ModelParameters!$B$6:$B$10,0),MATCH($J2437,ModelParameters!$D$5:$K$5,0)))</f>
        <v>0.0069999999999999992</v>
      </c>
      <c r="R2437" s="71">
        <f>IF(B2437="",0,INDEX(ModelParameters!$D$13:$K$17,MATCH($O2437,ModelParameters!$B$13:$B$17,0),MATCH($J2437,ModelParameters!$D$5:$K$5,0)))</f>
        <v>0.070000000000000008</v>
      </c>
      <c r="S2437" s="160">
        <f>IF(B2437="",0,MIN(IF($N2437="Other Bond TM",ModelParameters!$N$21,1)*(P2437*Q2437+R2437),1))</f>
        <v>0.08593907781094088</v>
      </c>
      <c r="T2437" s="85">
        <f>IF(B2437="",0,$S2437*$K2437)</f>
        <v>208.4376906692628</v>
      </c>
      <c r="U2437" s="85">
        <f>IF(B2437="",0,IF(OR(H2437=MappingTables!$C$34,H2437=MappingTables!$C$35),T2437,0))</f>
        <v>0</v>
      </c>
      <c r="V2437" s="85">
        <f>IF(ISNA(IF(AND(VLOOKUP(CONCATENATE($D2437,$G2437),CSRFinput!$B:$E,4,0)=0,OR(H2437=MappingTables!$C$34,H2437=MappingTables!$C$35)),1,VLOOKUP(CONCATENATE($D2437,$G2437),CSRFinput!$B:$E,4,0))),0,IF(AND(VLOOKUP(CONCATENATE($D2437,$G2437),CSRFinput!$B:$E,4,0)=0,OR(H2437=MappingTables!$C$34,H2437=MappingTables!$C$35)),1,VLOOKUP(CONCATENATE($D2437,$G2437),CSRFinput!$B:$E,4,0)))</f>
        <v>0.054776304963434752</v>
      </c>
      <c r="W2437" s="85">
        <f>IF(B2437="",0,+$T2437*$V2437)</f>
        <v>11.417446509973618</v>
      </c>
      <c r="X2437" s="85">
        <f>IF(B2437="",0,IF(OR(H2437=MappingTables!$C$34,H2437=MappingTables!$C$35),W2437,0))</f>
        <v>0</v>
      </c>
    </row>
    <row r="2438" spans="2:24" s="0" customFormat="0" ht="15">
      <c r="B2438" s="69">
        <v>14430635</v>
      </c>
      <c r="C2438" s="70" t="s">
        <v>2413</v>
      </c>
      <c r="D2438" s="70" t="s">
        <v>1</v>
      </c>
      <c r="E2438" s="70" t="s">
        <v>1</v>
      </c>
      <c r="F2438" s="70"/>
      <c r="G2438" s="70" t="s">
        <v>61</v>
      </c>
      <c r="H2438" s="70" t="s">
        <v>178</v>
      </c>
      <c r="I2438" s="70" t="s">
        <v>179</v>
      </c>
      <c r="J2438" s="71">
        <f>IF(OR(I2438=0,I2438=""),"unrated",VLOOKUP(I2438,MappingTables!$B$19:$C$31,2,FALSE))</f>
        <v>4</v>
      </c>
      <c r="K2438" s="72">
        <v>31141.230145502316</v>
      </c>
      <c r="L2438" s="70">
        <v>4.6692453719450672</v>
      </c>
      <c r="M2438" s="71">
        <f>IF(L2438&lt;1,1,L2438)</f>
        <v>4.6692453719450672</v>
      </c>
      <c r="N2438" s="70" t="s">
        <v>141</v>
      </c>
      <c r="O2438" s="71">
        <f>INDEX(DurClassMapping,MATCH(M2438,MappingTables!$D$4:$D$8,-1),1)</f>
        <v>1</v>
      </c>
      <c r="P2438" s="73">
        <f>IF(M2438=$A$1,1,$M2438-INDEX(MappingTables!$E$4:$E$8,MATCH(O2438,MappingTables!$B$4:$B$8,0)))</f>
        <v>4.6692453719450672</v>
      </c>
      <c r="Q2438" s="71">
        <f>IF(B2438="",0,INDEX(ModelParameters!$D$6:$K$10,MATCH($O2438,ModelParameters!$B$6:$B$10,0),MATCH($J2438,ModelParameters!$D$5:$K$5,0)))</f>
        <v>0.045</v>
      </c>
      <c r="R2438" s="71">
        <f>IF(B2438="",0,INDEX(ModelParameters!$D$13:$K$17,MATCH($O2438,ModelParameters!$B$13:$B$17,0),MATCH($J2438,ModelParameters!$D$5:$K$5,0)))</f>
        <v>0</v>
      </c>
      <c r="S2438" s="160">
        <f>IF(B2438="",0,MIN(IF($N2438="Other Bond TM",ModelParameters!$N$21,1)*(P2438*Q2438+R2438),1))</f>
        <v>0.210116041737528</v>
      </c>
      <c r="T2438" s="85">
        <f>IF(B2438="",0,$S2438*$K2438)</f>
        <v>6543.2720130103288</v>
      </c>
      <c r="U2438" s="85">
        <f>IF(B2438="",0,IF(OR(H2438=MappingTables!$C$34,H2438=MappingTables!$C$35),T2438,0))</f>
        <v>0</v>
      </c>
      <c r="V2438" s="85">
        <f>IF(ISNA(IF(AND(VLOOKUP(CONCATENATE($D2438,$G2438),CSRFinput!$B:$E,4,0)=0,OR(H2438=MappingTables!$C$34,H2438=MappingTables!$C$35)),1,VLOOKUP(CONCATENATE($D2438,$G2438),CSRFinput!$B:$E,4,0))),0,IF(AND(VLOOKUP(CONCATENATE($D2438,$G2438),CSRFinput!$B:$E,4,0)=0,OR(H2438=MappingTables!$C$34,H2438=MappingTables!$C$35)),1,VLOOKUP(CONCATENATE($D2438,$G2438),CSRFinput!$B:$E,4,0)))</f>
        <v>0.054776304963434752</v>
      </c>
      <c r="W2438" s="85">
        <f>IF(B2438="",0,+$T2438*$V2438)</f>
        <v>358.4162632433614</v>
      </c>
      <c r="X2438" s="85">
        <f>IF(B2438="",0,IF(OR(H2438=MappingTables!$C$34,H2438=MappingTables!$C$35),W2438,0))</f>
        <v>0</v>
      </c>
    </row>
    <row r="2439" spans="2:24" s="0" customFormat="0" ht="15">
      <c r="B2439" s="69">
        <v>19686810</v>
      </c>
      <c r="C2439" s="70" t="s">
        <v>2414</v>
      </c>
      <c r="D2439" s="70" t="s">
        <v>1</v>
      </c>
      <c r="E2439" s="70" t="s">
        <v>1</v>
      </c>
      <c r="F2439" s="70"/>
      <c r="G2439" s="70" t="s">
        <v>61</v>
      </c>
      <c r="H2439" s="70" t="s">
        <v>178</v>
      </c>
      <c r="I2439" s="70" t="s">
        <v>188</v>
      </c>
      <c r="J2439" s="71">
        <f>IF(OR(I2439=0,I2439=""),"unrated",VLOOKUP(I2439,MappingTables!$B$19:$C$31,2,FALSE))</f>
        <v>2</v>
      </c>
      <c r="K2439" s="72">
        <v>8603.8578983053552</v>
      </c>
      <c r="L2439" s="70">
        <v>3.2315287201703692</v>
      </c>
      <c r="M2439" s="71">
        <f>IF(L2439&lt;1,1,L2439)</f>
        <v>3.2315287201703692</v>
      </c>
      <c r="N2439" s="70" t="s">
        <v>141</v>
      </c>
      <c r="O2439" s="71">
        <f>INDEX(DurClassMapping,MATCH(M2439,MappingTables!$D$4:$D$8,-1),1)</f>
        <v>1</v>
      </c>
      <c r="P2439" s="73">
        <f>IF(M2439=$A$1,1,$M2439-INDEX(MappingTables!$E$4:$E$8,MATCH(O2439,MappingTables!$B$4:$B$8,0)))</f>
        <v>3.2315287201703692</v>
      </c>
      <c r="Q2439" s="71">
        <f>IF(B2439="",0,INDEX(ModelParameters!$D$6:$K$10,MATCH($O2439,ModelParameters!$B$6:$B$10,0),MATCH($J2439,ModelParameters!$D$5:$K$5,0)))</f>
        <v>0.013999999999999998</v>
      </c>
      <c r="R2439" s="71">
        <f>IF(B2439="",0,INDEX(ModelParameters!$D$13:$K$17,MATCH($O2439,ModelParameters!$B$13:$B$17,0),MATCH($J2439,ModelParameters!$D$5:$K$5,0)))</f>
        <v>0</v>
      </c>
      <c r="S2439" s="160">
        <f>IF(B2439="",0,MIN(IF($N2439="Other Bond TM",ModelParameters!$N$21,1)*(P2439*Q2439+R2439),1))</f>
        <v>0.04524140208238516</v>
      </c>
      <c r="T2439" s="85">
        <f>IF(B2439="",0,$S2439*$K2439)</f>
        <v>389.25059463693792</v>
      </c>
      <c r="U2439" s="85">
        <f>IF(B2439="",0,IF(OR(H2439=MappingTables!$C$34,H2439=MappingTables!$C$35),T2439,0))</f>
        <v>0</v>
      </c>
      <c r="V2439" s="85">
        <f>IF(ISNA(IF(AND(VLOOKUP(CONCATENATE($D2439,$G2439),CSRFinput!$B:$E,4,0)=0,OR(H2439=MappingTables!$C$34,H2439=MappingTables!$C$35)),1,VLOOKUP(CONCATENATE($D2439,$G2439),CSRFinput!$B:$E,4,0))),0,IF(AND(VLOOKUP(CONCATENATE($D2439,$G2439),CSRFinput!$B:$E,4,0)=0,OR(H2439=MappingTables!$C$34,H2439=MappingTables!$C$35)),1,VLOOKUP(CONCATENATE($D2439,$G2439),CSRFinput!$B:$E,4,0)))</f>
        <v>0.054776304963434752</v>
      </c>
      <c r="W2439" s="85">
        <f>IF(B2439="",0,+$T2439*$V2439)</f>
        <v>21.321709279031232</v>
      </c>
      <c r="X2439" s="85">
        <f>IF(B2439="",0,IF(OR(H2439=MappingTables!$C$34,H2439=MappingTables!$C$35),W2439,0))</f>
        <v>0</v>
      </c>
    </row>
    <row r="2440" spans="2:24" s="0" customFormat="0" ht="15">
      <c r="B2440" s="69">
        <v>11911975</v>
      </c>
      <c r="C2440" s="70" t="s">
        <v>2415</v>
      </c>
      <c r="D2440" s="70" t="s">
        <v>1</v>
      </c>
      <c r="E2440" s="70" t="s">
        <v>1</v>
      </c>
      <c r="F2440" s="70"/>
      <c r="G2440" s="70" t="s">
        <v>61</v>
      </c>
      <c r="H2440" s="70" t="s">
        <v>178</v>
      </c>
      <c r="I2440" s="70" t="s">
        <v>181</v>
      </c>
      <c r="J2440" s="71">
        <f>IF(OR(I2440=0,I2440=""),"unrated",VLOOKUP(I2440,MappingTables!$B$19:$C$31,2,FALSE))</f>
        <v>3</v>
      </c>
      <c r="K2440" s="72">
        <v>2489.7915739072728</v>
      </c>
      <c r="L2440" s="70">
        <v>0.28935067830898504</v>
      </c>
      <c r="M2440" s="71">
        <f>IF(L2440&lt;1,1,L2440)</f>
        <v>1</v>
      </c>
      <c r="N2440" s="70" t="s">
        <v>141</v>
      </c>
      <c r="O2440" s="71">
        <f>INDEX(DurClassMapping,MATCH(M2440,MappingTables!$D$4:$D$8,-1),1)</f>
        <v>1</v>
      </c>
      <c r="P2440" s="73">
        <f>IF(M2440=$A$1,1,$M2440-INDEX(MappingTables!$E$4:$E$8,MATCH(O2440,MappingTables!$B$4:$B$8,0)))</f>
        <v>1</v>
      </c>
      <c r="Q2440" s="71">
        <f>IF(B2440="",0,INDEX(ModelParameters!$D$6:$K$10,MATCH($O2440,ModelParameters!$B$6:$B$10,0),MATCH($J2440,ModelParameters!$D$5:$K$5,0)))</f>
        <v>0.025</v>
      </c>
      <c r="R2440" s="71">
        <f>IF(B2440="",0,INDEX(ModelParameters!$D$13:$K$17,MATCH($O2440,ModelParameters!$B$13:$B$17,0),MATCH($J2440,ModelParameters!$D$5:$K$5,0)))</f>
        <v>0</v>
      </c>
      <c r="S2440" s="160">
        <f>IF(B2440="",0,MIN(IF($N2440="Other Bond TM",ModelParameters!$N$21,1)*(P2440*Q2440+R2440),1))</f>
        <v>0.025</v>
      </c>
      <c r="T2440" s="85">
        <f>IF(B2440="",0,$S2440*$K2440)</f>
        <v>62.244789347681824</v>
      </c>
      <c r="U2440" s="85">
        <f>IF(B2440="",0,IF(OR(H2440=MappingTables!$C$34,H2440=MappingTables!$C$35),T2440,0))</f>
        <v>0</v>
      </c>
      <c r="V2440" s="85">
        <f>IF(ISNA(IF(AND(VLOOKUP(CONCATENATE($D2440,$G2440),CSRFinput!$B:$E,4,0)=0,OR(H2440=MappingTables!$C$34,H2440=MappingTables!$C$35)),1,VLOOKUP(CONCATENATE($D2440,$G2440),CSRFinput!$B:$E,4,0))),0,IF(AND(VLOOKUP(CONCATENATE($D2440,$G2440),CSRFinput!$B:$E,4,0)=0,OR(H2440=MappingTables!$C$34,H2440=MappingTables!$C$35)),1,VLOOKUP(CONCATENATE($D2440,$G2440),CSRFinput!$B:$E,4,0)))</f>
        <v>0.054776304963434752</v>
      </c>
      <c r="W2440" s="85">
        <f>IF(B2440="",0,+$T2440*$V2440)</f>
        <v>3.4095395636933748</v>
      </c>
      <c r="X2440" s="85">
        <f>IF(B2440="",0,IF(OR(H2440=MappingTables!$C$34,H2440=MappingTables!$C$35),W2440,0))</f>
        <v>0</v>
      </c>
    </row>
    <row r="2441" spans="2:24" s="0" customFormat="0" ht="15">
      <c r="B2441" s="69">
        <v>17939593</v>
      </c>
      <c r="C2441" s="70" t="s">
        <v>2416</v>
      </c>
      <c r="D2441" s="70" t="s">
        <v>1</v>
      </c>
      <c r="E2441" s="70" t="s">
        <v>1</v>
      </c>
      <c r="F2441" s="70"/>
      <c r="G2441" s="70" t="s">
        <v>61</v>
      </c>
      <c r="H2441" s="70" t="s">
        <v>178</v>
      </c>
      <c r="I2441" s="70" t="s">
        <v>204</v>
      </c>
      <c r="J2441" s="71">
        <f>IF(OR(I2441=0,I2441=""),"unrated",VLOOKUP(I2441,MappingTables!$B$19:$C$31,2,FALSE))</f>
        <v>6</v>
      </c>
      <c r="K2441" s="72">
        <v>37242.3179253334</v>
      </c>
      <c r="L2441" s="70">
        <v>0.7753516686285264</v>
      </c>
      <c r="M2441" s="71">
        <f>IF(L2441&lt;1,1,L2441)</f>
        <v>1</v>
      </c>
      <c r="N2441" s="70" t="s">
        <v>141</v>
      </c>
      <c r="O2441" s="71">
        <f>INDEX(DurClassMapping,MATCH(M2441,MappingTables!$D$4:$D$8,-1),1)</f>
        <v>1</v>
      </c>
      <c r="P2441" s="73">
        <f>IF(M2441=$A$1,1,$M2441-INDEX(MappingTables!$E$4:$E$8,MATCH(O2441,MappingTables!$B$4:$B$8,0)))</f>
        <v>1</v>
      </c>
      <c r="Q2441" s="71">
        <f>IF(B2441="",0,INDEX(ModelParameters!$D$6:$K$10,MATCH($O2441,ModelParameters!$B$6:$B$10,0),MATCH($J2441,ModelParameters!$D$5:$K$5,0)))</f>
        <v>0.075</v>
      </c>
      <c r="R2441" s="71">
        <f>IF(B2441="",0,INDEX(ModelParameters!$D$13:$K$17,MATCH($O2441,ModelParameters!$B$13:$B$17,0),MATCH($J2441,ModelParameters!$D$5:$K$5,0)))</f>
        <v>0</v>
      </c>
      <c r="S2441" s="160">
        <f>IF(B2441="",0,MIN(IF($N2441="Other Bond TM",ModelParameters!$N$21,1)*(P2441*Q2441+R2441),1))</f>
        <v>0.075</v>
      </c>
      <c r="T2441" s="85">
        <f>IF(B2441="",0,$S2441*$K2441)</f>
        <v>2793.1738444000052</v>
      </c>
      <c r="U2441" s="85">
        <f>IF(B2441="",0,IF(OR(H2441=MappingTables!$C$34,H2441=MappingTables!$C$35),T2441,0))</f>
        <v>0</v>
      </c>
      <c r="V2441" s="85">
        <f>IF(ISNA(IF(AND(VLOOKUP(CONCATENATE($D2441,$G2441),CSRFinput!$B:$E,4,0)=0,OR(H2441=MappingTables!$C$34,H2441=MappingTables!$C$35)),1,VLOOKUP(CONCATENATE($D2441,$G2441),CSRFinput!$B:$E,4,0))),0,IF(AND(VLOOKUP(CONCATENATE($D2441,$G2441),CSRFinput!$B:$E,4,0)=0,OR(H2441=MappingTables!$C$34,H2441=MappingTables!$C$35)),1,VLOOKUP(CONCATENATE($D2441,$G2441),CSRFinput!$B:$E,4,0)))</f>
        <v>0.054776304963434752</v>
      </c>
      <c r="W2441" s="85">
        <f>IF(B2441="",0,+$T2441*$V2441)</f>
        <v>152.99974231674414</v>
      </c>
      <c r="X2441" s="85">
        <f>IF(B2441="",0,IF(OR(H2441=MappingTables!$C$34,H2441=MappingTables!$C$35),W2441,0))</f>
        <v>0</v>
      </c>
    </row>
    <row r="2442" spans="2:24" s="0" customFormat="0" ht="15">
      <c r="B2442" s="69" t="s">
        <v>2285</v>
      </c>
      <c r="C2442" s="70" t="s">
        <v>2286</v>
      </c>
      <c r="D2442" s="70" t="s">
        <v>1</v>
      </c>
      <c r="E2442" s="70" t="s">
        <v>1</v>
      </c>
      <c r="F2442" s="70"/>
      <c r="G2442" s="70" t="s">
        <v>61</v>
      </c>
      <c r="H2442" s="70" t="s">
        <v>178</v>
      </c>
      <c r="I2442" s="70" t="s">
        <v>179</v>
      </c>
      <c r="J2442" s="71">
        <f>IF(OR(I2442=0,I2442=""),"unrated",VLOOKUP(I2442,MappingTables!$B$19:$C$31,2,FALSE))</f>
        <v>4</v>
      </c>
      <c r="K2442" s="72">
        <v>52.777059099530648</v>
      </c>
      <c r="L2442" s="70">
        <v>5.8131214202932496</v>
      </c>
      <c r="M2442" s="71">
        <f>IF(L2442&lt;1,1,L2442)</f>
        <v>5.8131214202932496</v>
      </c>
      <c r="N2442" s="70" t="s">
        <v>141</v>
      </c>
      <c r="O2442" s="71">
        <f>INDEX(DurClassMapping,MATCH(M2442,MappingTables!$D$4:$D$8,-1),1)</f>
        <v>2</v>
      </c>
      <c r="P2442" s="73">
        <f>IF(M2442=$A$1,1,$M2442-INDEX(MappingTables!$E$4:$E$8,MATCH(O2442,MappingTables!$B$4:$B$8,0)))</f>
        <v>0.81312142029324976</v>
      </c>
      <c r="Q2442" s="71">
        <f>IF(B2442="",0,INDEX(ModelParameters!$D$6:$K$10,MATCH($O2442,ModelParameters!$B$6:$B$10,0),MATCH($J2442,ModelParameters!$D$5:$K$5,0)))</f>
        <v>0.025</v>
      </c>
      <c r="R2442" s="71">
        <f>IF(B2442="",0,INDEX(ModelParameters!$D$13:$K$17,MATCH($O2442,ModelParameters!$B$13:$B$17,0),MATCH($J2442,ModelParameters!$D$5:$K$5,0)))</f>
        <v>0.225</v>
      </c>
      <c r="S2442" s="160">
        <f>IF(B2442="",0,MIN(IF($N2442="Other Bond TM",ModelParameters!$N$21,1)*(P2442*Q2442+R2442),1))</f>
        <v>0.24532803550733128</v>
      </c>
      <c r="T2442" s="85">
        <f>IF(B2442="",0,$S2442*$K2442)</f>
        <v>12.947692228742176</v>
      </c>
      <c r="U2442" s="85">
        <f>IF(B2442="",0,IF(OR(H2442=MappingTables!$C$34,H2442=MappingTables!$C$35),T2442,0))</f>
        <v>0</v>
      </c>
      <c r="V2442" s="85">
        <f>IF(ISNA(IF(AND(VLOOKUP(CONCATENATE($D2442,$G2442),CSRFinput!$B:$E,4,0)=0,OR(H2442=MappingTables!$C$34,H2442=MappingTables!$C$35)),1,VLOOKUP(CONCATENATE($D2442,$G2442),CSRFinput!$B:$E,4,0))),0,IF(AND(VLOOKUP(CONCATENATE($D2442,$G2442),CSRFinput!$B:$E,4,0)=0,OR(H2442=MappingTables!$C$34,H2442=MappingTables!$C$35)),1,VLOOKUP(CONCATENATE($D2442,$G2442),CSRFinput!$B:$E,4,0)))</f>
        <v>0.054776304963434752</v>
      </c>
      <c r="W2442" s="85">
        <f>IF(B2442="",0,+$T2442*$V2442)</f>
        <v>0.7092267380942756</v>
      </c>
      <c r="X2442" s="85">
        <f>IF(B2442="",0,IF(OR(H2442=MappingTables!$C$34,H2442=MappingTables!$C$35),W2442,0))</f>
        <v>0</v>
      </c>
    </row>
    <row r="2443" spans="2:24" s="0" customFormat="0" ht="15">
      <c r="B2443" s="69">
        <v>15223787</v>
      </c>
      <c r="C2443" s="70" t="s">
        <v>1507</v>
      </c>
      <c r="D2443" s="70" t="s">
        <v>1</v>
      </c>
      <c r="E2443" s="70" t="s">
        <v>1</v>
      </c>
      <c r="F2443" s="70"/>
      <c r="G2443" s="70" t="s">
        <v>61</v>
      </c>
      <c r="H2443" s="70" t="s">
        <v>178</v>
      </c>
      <c r="I2443" s="70" t="s">
        <v>188</v>
      </c>
      <c r="J2443" s="71">
        <f>IF(OR(I2443=0,I2443=""),"unrated",VLOOKUP(I2443,MappingTables!$B$19:$C$31,2,FALSE))</f>
        <v>2</v>
      </c>
      <c r="K2443" s="72">
        <v>2978.0875814417308</v>
      </c>
      <c r="L2443" s="70">
        <v>6.0329130368833928</v>
      </c>
      <c r="M2443" s="71">
        <f>IF(L2443&lt;1,1,L2443)</f>
        <v>6.0329130368833928</v>
      </c>
      <c r="N2443" s="70" t="s">
        <v>141</v>
      </c>
      <c r="O2443" s="71">
        <f>INDEX(DurClassMapping,MATCH(M2443,MappingTables!$D$4:$D$8,-1),1)</f>
        <v>2</v>
      </c>
      <c r="P2443" s="73">
        <f>IF(M2443=$A$1,1,$M2443-INDEX(MappingTables!$E$4:$E$8,MATCH(O2443,MappingTables!$B$4:$B$8,0)))</f>
        <v>1.032913036883393</v>
      </c>
      <c r="Q2443" s="71">
        <f>IF(B2443="",0,INDEX(ModelParameters!$D$6:$K$10,MATCH($O2443,ModelParameters!$B$6:$B$10,0),MATCH($J2443,ModelParameters!$D$5:$K$5,0)))</f>
        <v>0.0069999999999999992</v>
      </c>
      <c r="R2443" s="71">
        <f>IF(B2443="",0,INDEX(ModelParameters!$D$13:$K$17,MATCH($O2443,ModelParameters!$B$13:$B$17,0),MATCH($J2443,ModelParameters!$D$5:$K$5,0)))</f>
        <v>0.070000000000000008</v>
      </c>
      <c r="S2443" s="160">
        <f>IF(B2443="",0,MIN(IF($N2443="Other Bond TM",ModelParameters!$N$21,1)*(P2443*Q2443+R2443),1))</f>
        <v>0.07723039125818376</v>
      </c>
      <c r="T2443" s="85">
        <f>IF(B2443="",0,$S2443*$K2443)</f>
        <v>229.99886911588308</v>
      </c>
      <c r="U2443" s="85">
        <f>IF(B2443="",0,IF(OR(H2443=MappingTables!$C$34,H2443=MappingTables!$C$35),T2443,0))</f>
        <v>0</v>
      </c>
      <c r="V2443" s="85">
        <f>IF(ISNA(IF(AND(VLOOKUP(CONCATENATE($D2443,$G2443),CSRFinput!$B:$E,4,0)=0,OR(H2443=MappingTables!$C$34,H2443=MappingTables!$C$35)),1,VLOOKUP(CONCATENATE($D2443,$G2443),CSRFinput!$B:$E,4,0))),0,IF(AND(VLOOKUP(CONCATENATE($D2443,$G2443),CSRFinput!$B:$E,4,0)=0,OR(H2443=MappingTables!$C$34,H2443=MappingTables!$C$35)),1,VLOOKUP(CONCATENATE($D2443,$G2443),CSRFinput!$B:$E,4,0)))</f>
        <v>0.054776304963434752</v>
      </c>
      <c r="W2443" s="85">
        <f>IF(B2443="",0,+$T2443*$V2443)</f>
        <v>12.598488195936726</v>
      </c>
      <c r="X2443" s="85">
        <f>IF(B2443="",0,IF(OR(H2443=MappingTables!$C$34,H2443=MappingTables!$C$35),W2443,0))</f>
        <v>0</v>
      </c>
    </row>
    <row r="2444" spans="2:24" s="0" customFormat="0" ht="15">
      <c r="B2444" s="69" t="s">
        <v>909</v>
      </c>
      <c r="C2444" s="70" t="s">
        <v>910</v>
      </c>
      <c r="D2444" s="70" t="s">
        <v>1</v>
      </c>
      <c r="E2444" s="70" t="s">
        <v>1</v>
      </c>
      <c r="F2444" s="70"/>
      <c r="G2444" s="70" t="s">
        <v>61</v>
      </c>
      <c r="H2444" s="70" t="s">
        <v>178</v>
      </c>
      <c r="I2444" s="70" t="s">
        <v>181</v>
      </c>
      <c r="J2444" s="71">
        <f>IF(OR(I2444=0,I2444=""),"unrated",VLOOKUP(I2444,MappingTables!$B$19:$C$31,2,FALSE))</f>
        <v>3</v>
      </c>
      <c r="K2444" s="72">
        <v>50196.701181014656</v>
      </c>
      <c r="L2444" s="70">
        <v>3.7930046935628136</v>
      </c>
      <c r="M2444" s="71">
        <f>IF(L2444&lt;1,1,L2444)</f>
        <v>3.7930046935628136</v>
      </c>
      <c r="N2444" s="70" t="s">
        <v>141</v>
      </c>
      <c r="O2444" s="71">
        <f>INDEX(DurClassMapping,MATCH(M2444,MappingTables!$D$4:$D$8,-1),1)</f>
        <v>1</v>
      </c>
      <c r="P2444" s="73">
        <f>IF(M2444=$A$1,1,$M2444-INDEX(MappingTables!$E$4:$E$8,MATCH(O2444,MappingTables!$B$4:$B$8,0)))</f>
        <v>3.7930046935628136</v>
      </c>
      <c r="Q2444" s="71">
        <f>IF(B2444="",0,INDEX(ModelParameters!$D$6:$K$10,MATCH($O2444,ModelParameters!$B$6:$B$10,0),MATCH($J2444,ModelParameters!$D$5:$K$5,0)))</f>
        <v>0.025</v>
      </c>
      <c r="R2444" s="71">
        <f>IF(B2444="",0,INDEX(ModelParameters!$D$13:$K$17,MATCH($O2444,ModelParameters!$B$13:$B$17,0),MATCH($J2444,ModelParameters!$D$5:$K$5,0)))</f>
        <v>0</v>
      </c>
      <c r="S2444" s="160">
        <f>IF(B2444="",0,MIN(IF($N2444="Other Bond TM",ModelParameters!$N$21,1)*(P2444*Q2444+R2444),1))</f>
        <v>0.094825117339070336</v>
      </c>
      <c r="T2444" s="85">
        <f>IF(B2444="",0,$S2444*$K2444)</f>
        <v>4759.9080795239664</v>
      </c>
      <c r="U2444" s="85">
        <f>IF(B2444="",0,IF(OR(H2444=MappingTables!$C$34,H2444=MappingTables!$C$35),T2444,0))</f>
        <v>0</v>
      </c>
      <c r="V2444" s="85">
        <f>IF(ISNA(IF(AND(VLOOKUP(CONCATENATE($D2444,$G2444),CSRFinput!$B:$E,4,0)=0,OR(H2444=MappingTables!$C$34,H2444=MappingTables!$C$35)),1,VLOOKUP(CONCATENATE($D2444,$G2444),CSRFinput!$B:$E,4,0))),0,IF(AND(VLOOKUP(CONCATENATE($D2444,$G2444),CSRFinput!$B:$E,4,0)=0,OR(H2444=MappingTables!$C$34,H2444=MappingTables!$C$35)),1,VLOOKUP(CONCATENATE($D2444,$G2444),CSRFinput!$B:$E,4,0)))</f>
        <v>0.054776304963434752</v>
      </c>
      <c r="W2444" s="85">
        <f>IF(B2444="",0,+$T2444*$V2444)</f>
        <v>260.7301765619218</v>
      </c>
      <c r="X2444" s="85">
        <f>IF(B2444="",0,IF(OR(H2444=MappingTables!$C$34,H2444=MappingTables!$C$35),W2444,0))</f>
        <v>0</v>
      </c>
    </row>
    <row r="2445" spans="2:24" s="0" customFormat="0" ht="15">
      <c r="B2445" s="69">
        <v>2043053</v>
      </c>
      <c r="C2445" s="70" t="s">
        <v>2417</v>
      </c>
      <c r="D2445" s="70" t="s">
        <v>1</v>
      </c>
      <c r="E2445" s="70" t="s">
        <v>1</v>
      </c>
      <c r="F2445" s="70"/>
      <c r="G2445" s="70" t="s">
        <v>61</v>
      </c>
      <c r="H2445" s="70" t="s">
        <v>178</v>
      </c>
      <c r="I2445" s="70" t="s">
        <v>179</v>
      </c>
      <c r="J2445" s="71">
        <f>IF(OR(I2445=0,I2445=""),"unrated",VLOOKUP(I2445,MappingTables!$B$19:$C$31,2,FALSE))</f>
        <v>4</v>
      </c>
      <c r="K2445" s="72">
        <v>61.49409885061336</v>
      </c>
      <c r="L2445" s="70">
        <v>11.427315614896866</v>
      </c>
      <c r="M2445" s="71">
        <f>IF(L2445&lt;1,1,L2445)</f>
        <v>11.427315614896866</v>
      </c>
      <c r="N2445" s="70" t="s">
        <v>141</v>
      </c>
      <c r="O2445" s="71">
        <f>INDEX(DurClassMapping,MATCH(M2445,MappingTables!$D$4:$D$8,-1),1)</f>
        <v>3</v>
      </c>
      <c r="P2445" s="73">
        <f>IF(M2445=$A$1,1,$M2445-INDEX(MappingTables!$E$4:$E$8,MATCH(O2445,MappingTables!$B$4:$B$8,0)))</f>
        <v>1.427315614896866</v>
      </c>
      <c r="Q2445" s="71">
        <f>IF(B2445="",0,INDEX(ModelParameters!$D$6:$K$10,MATCH($O2445,ModelParameters!$B$6:$B$10,0),MATCH($J2445,ModelParameters!$D$5:$K$5,0)))</f>
        <v>0.018000000000000002</v>
      </c>
      <c r="R2445" s="71">
        <f>IF(B2445="",0,INDEX(ModelParameters!$D$13:$K$17,MATCH($O2445,ModelParameters!$B$13:$B$17,0),MATCH($J2445,ModelParameters!$D$5:$K$5,0)))</f>
        <v>0.34999999999999996</v>
      </c>
      <c r="S2445" s="160">
        <f>IF(B2445="",0,MIN(IF($N2445="Other Bond TM",ModelParameters!$N$21,1)*(P2445*Q2445+R2445),1))</f>
        <v>0.37569168106814352</v>
      </c>
      <c r="T2445" s="85">
        <f>IF(B2445="",0,$S2445*$K2445)</f>
        <v>23.102821372957528</v>
      </c>
      <c r="U2445" s="85">
        <f>IF(B2445="",0,IF(OR(H2445=MappingTables!$C$34,H2445=MappingTables!$C$35),T2445,0))</f>
        <v>0</v>
      </c>
      <c r="V2445" s="85">
        <f>IF(ISNA(IF(AND(VLOOKUP(CONCATENATE($D2445,$G2445),CSRFinput!$B:$E,4,0)=0,OR(H2445=MappingTables!$C$34,H2445=MappingTables!$C$35)),1,VLOOKUP(CONCATENATE($D2445,$G2445),CSRFinput!$B:$E,4,0))),0,IF(AND(VLOOKUP(CONCATENATE($D2445,$G2445),CSRFinput!$B:$E,4,0)=0,OR(H2445=MappingTables!$C$34,H2445=MappingTables!$C$35)),1,VLOOKUP(CONCATENATE($D2445,$G2445),CSRFinput!$B:$E,4,0)))</f>
        <v>0.054776304963434752</v>
      </c>
      <c r="W2445" s="85">
        <f>IF(B2445="",0,+$T2445*$V2445)</f>
        <v>1.2654871890408798</v>
      </c>
      <c r="X2445" s="85">
        <f>IF(B2445="",0,IF(OR(H2445=MappingTables!$C$34,H2445=MappingTables!$C$35),W2445,0))</f>
        <v>0</v>
      </c>
    </row>
    <row r="2446" spans="2:24" s="0" customFormat="0" ht="15">
      <c r="B2446" s="69">
        <v>20847807</v>
      </c>
      <c r="C2446" s="70" t="s">
        <v>2418</v>
      </c>
      <c r="D2446" s="70" t="s">
        <v>1</v>
      </c>
      <c r="E2446" s="70" t="s">
        <v>1</v>
      </c>
      <c r="F2446" s="70"/>
      <c r="G2446" s="70" t="s">
        <v>61</v>
      </c>
      <c r="H2446" s="70" t="s">
        <v>178</v>
      </c>
      <c r="I2446" s="70" t="s">
        <v>181</v>
      </c>
      <c r="J2446" s="71">
        <f>IF(OR(I2446=0,I2446=""),"unrated",VLOOKUP(I2446,MappingTables!$B$19:$C$31,2,FALSE))</f>
        <v>3</v>
      </c>
      <c r="K2446" s="72">
        <v>212.01491252339564</v>
      </c>
      <c r="L2446" s="70">
        <v>1.6855676142037754</v>
      </c>
      <c r="M2446" s="71">
        <f>IF(L2446&lt;1,1,L2446)</f>
        <v>1.6855676142037754</v>
      </c>
      <c r="N2446" s="70" t="s">
        <v>141</v>
      </c>
      <c r="O2446" s="71">
        <f>INDEX(DurClassMapping,MATCH(M2446,MappingTables!$D$4:$D$8,-1),1)</f>
        <v>1</v>
      </c>
      <c r="P2446" s="73">
        <f>IF(M2446=$A$1,1,$M2446-INDEX(MappingTables!$E$4:$E$8,MATCH(O2446,MappingTables!$B$4:$B$8,0)))</f>
        <v>1.6855676142037754</v>
      </c>
      <c r="Q2446" s="71">
        <f>IF(B2446="",0,INDEX(ModelParameters!$D$6:$K$10,MATCH($O2446,ModelParameters!$B$6:$B$10,0),MATCH($J2446,ModelParameters!$D$5:$K$5,0)))</f>
        <v>0.025</v>
      </c>
      <c r="R2446" s="71">
        <f>IF(B2446="",0,INDEX(ModelParameters!$D$13:$K$17,MATCH($O2446,ModelParameters!$B$13:$B$17,0),MATCH($J2446,ModelParameters!$D$5:$K$5,0)))</f>
        <v>0</v>
      </c>
      <c r="S2446" s="160">
        <f>IF(B2446="",0,MIN(IF($N2446="Other Bond TM",ModelParameters!$N$21,1)*(P2446*Q2446+R2446),1))</f>
        <v>0.042139190355094392</v>
      </c>
      <c r="T2446" s="85">
        <f>IF(B2446="",0,$S2446*$K2446)</f>
        <v>8.9341367569420544</v>
      </c>
      <c r="U2446" s="85">
        <f>IF(B2446="",0,IF(OR(H2446=MappingTables!$C$34,H2446=MappingTables!$C$35),T2446,0))</f>
        <v>0</v>
      </c>
      <c r="V2446" s="85">
        <f>IF(ISNA(IF(AND(VLOOKUP(CONCATENATE($D2446,$G2446),CSRFinput!$B:$E,4,0)=0,OR(H2446=MappingTables!$C$34,H2446=MappingTables!$C$35)),1,VLOOKUP(CONCATENATE($D2446,$G2446),CSRFinput!$B:$E,4,0))),0,IF(AND(VLOOKUP(CONCATENATE($D2446,$G2446),CSRFinput!$B:$E,4,0)=0,OR(H2446=MappingTables!$C$34,H2446=MappingTables!$C$35)),1,VLOOKUP(CONCATENATE($D2446,$G2446),CSRFinput!$B:$E,4,0)))</f>
        <v>0.054776304963434752</v>
      </c>
      <c r="W2446" s="85">
        <f>IF(B2446="",0,+$T2446*$V2446)</f>
        <v>0.48937899958328992</v>
      </c>
      <c r="X2446" s="85">
        <f>IF(B2446="",0,IF(OR(H2446=MappingTables!$C$34,H2446=MappingTables!$C$35),W2446,0))</f>
        <v>0</v>
      </c>
    </row>
    <row r="2447" spans="2:24" s="0" customFormat="0" ht="15">
      <c r="B2447" s="69">
        <v>12101483</v>
      </c>
      <c r="C2447" s="70" t="s">
        <v>2026</v>
      </c>
      <c r="D2447" s="70" t="s">
        <v>1</v>
      </c>
      <c r="E2447" s="70" t="s">
        <v>1</v>
      </c>
      <c r="F2447" s="70"/>
      <c r="G2447" s="70" t="s">
        <v>61</v>
      </c>
      <c r="H2447" s="70" t="s">
        <v>178</v>
      </c>
      <c r="I2447" s="70" t="s">
        <v>179</v>
      </c>
      <c r="J2447" s="71">
        <f>IF(OR(I2447=0,I2447=""),"unrated",VLOOKUP(I2447,MappingTables!$B$19:$C$31,2,FALSE))</f>
        <v>4</v>
      </c>
      <c r="K2447" s="72">
        <v>1262.1446966573656</v>
      </c>
      <c r="L2447" s="70">
        <v>0.37808282464926368</v>
      </c>
      <c r="M2447" s="71">
        <f>IF(L2447&lt;1,1,L2447)</f>
        <v>1</v>
      </c>
      <c r="N2447" s="70" t="s">
        <v>141</v>
      </c>
      <c r="O2447" s="71">
        <f>INDEX(DurClassMapping,MATCH(M2447,MappingTables!$D$4:$D$8,-1),1)</f>
        <v>1</v>
      </c>
      <c r="P2447" s="73">
        <f>IF(M2447=$A$1,1,$M2447-INDEX(MappingTables!$E$4:$E$8,MATCH(O2447,MappingTables!$B$4:$B$8,0)))</f>
        <v>1</v>
      </c>
      <c r="Q2447" s="71">
        <f>IF(B2447="",0,INDEX(ModelParameters!$D$6:$K$10,MATCH($O2447,ModelParameters!$B$6:$B$10,0),MATCH($J2447,ModelParameters!$D$5:$K$5,0)))</f>
        <v>0.045</v>
      </c>
      <c r="R2447" s="71">
        <f>IF(B2447="",0,INDEX(ModelParameters!$D$13:$K$17,MATCH($O2447,ModelParameters!$B$13:$B$17,0),MATCH($J2447,ModelParameters!$D$5:$K$5,0)))</f>
        <v>0</v>
      </c>
      <c r="S2447" s="160">
        <f>IF(B2447="",0,MIN(IF($N2447="Other Bond TM",ModelParameters!$N$21,1)*(P2447*Q2447+R2447),1))</f>
        <v>0.045</v>
      </c>
      <c r="T2447" s="85">
        <f>IF(B2447="",0,$S2447*$K2447)</f>
        <v>56.796511349581448</v>
      </c>
      <c r="U2447" s="85">
        <f>IF(B2447="",0,IF(OR(H2447=MappingTables!$C$34,H2447=MappingTables!$C$35),T2447,0))</f>
        <v>0</v>
      </c>
      <c r="V2447" s="85">
        <f>IF(ISNA(IF(AND(VLOOKUP(CONCATENATE($D2447,$G2447),CSRFinput!$B:$E,4,0)=0,OR(H2447=MappingTables!$C$34,H2447=MappingTables!$C$35)),1,VLOOKUP(CONCATENATE($D2447,$G2447),CSRFinput!$B:$E,4,0))),0,IF(AND(VLOOKUP(CONCATENATE($D2447,$G2447),CSRFinput!$B:$E,4,0)=0,OR(H2447=MappingTables!$C$34,H2447=MappingTables!$C$35)),1,VLOOKUP(CONCATENATE($D2447,$G2447),CSRFinput!$B:$E,4,0)))</f>
        <v>0.054776304963434752</v>
      </c>
      <c r="W2447" s="85">
        <f>IF(B2447="",0,+$T2447*$V2447)</f>
        <v>3.1111030265438568</v>
      </c>
      <c r="X2447" s="85">
        <f>IF(B2447="",0,IF(OR(H2447=MappingTables!$C$34,H2447=MappingTables!$C$35),W2447,0))</f>
        <v>0</v>
      </c>
    </row>
    <row r="2448" spans="2:24" s="0" customFormat="0" ht="15">
      <c r="B2448" s="69">
        <v>6088170</v>
      </c>
      <c r="C2448" s="70" t="s">
        <v>1692</v>
      </c>
      <c r="D2448" s="70" t="s">
        <v>1</v>
      </c>
      <c r="E2448" s="70" t="s">
        <v>1</v>
      </c>
      <c r="F2448" s="70"/>
      <c r="G2448" s="70" t="s">
        <v>61</v>
      </c>
      <c r="H2448" s="70" t="s">
        <v>178</v>
      </c>
      <c r="I2448" s="70" t="s">
        <v>181</v>
      </c>
      <c r="J2448" s="71">
        <f>IF(OR(I2448=0,I2448=""),"unrated",VLOOKUP(I2448,MappingTables!$B$19:$C$31,2,FALSE))</f>
        <v>3</v>
      </c>
      <c r="K2448" s="72">
        <v>139.11269087344618</v>
      </c>
      <c r="L2448" s="70">
        <v>12.651992354442576</v>
      </c>
      <c r="M2448" s="71">
        <f>IF(L2448&lt;1,1,L2448)</f>
        <v>12.651992354442576</v>
      </c>
      <c r="N2448" s="70" t="s">
        <v>141</v>
      </c>
      <c r="O2448" s="71">
        <f>INDEX(DurClassMapping,MATCH(M2448,MappingTables!$D$4:$D$8,-1),1)</f>
        <v>3</v>
      </c>
      <c r="P2448" s="73">
        <f>IF(M2448=$A$1,1,$M2448-INDEX(MappingTables!$E$4:$E$8,MATCH(O2448,MappingTables!$B$4:$B$8,0)))</f>
        <v>2.6519923544425764</v>
      </c>
      <c r="Q2448" s="71">
        <f>IF(B2448="",0,INDEX(ModelParameters!$D$6:$K$10,MATCH($O2448,ModelParameters!$B$6:$B$10,0),MATCH($J2448,ModelParameters!$D$5:$K$5,0)))</f>
        <v>0.01</v>
      </c>
      <c r="R2448" s="71">
        <f>IF(B2448="",0,INDEX(ModelParameters!$D$13:$K$17,MATCH($O2448,ModelParameters!$B$13:$B$17,0),MATCH($J2448,ModelParameters!$D$5:$K$5,0)))</f>
        <v>0.2</v>
      </c>
      <c r="S2448" s="160">
        <f>IF(B2448="",0,MIN(IF($N2448="Other Bond TM",ModelParameters!$N$21,1)*(P2448*Q2448+R2448),1))</f>
        <v>0.22651992354442576</v>
      </c>
      <c r="T2448" s="85">
        <f>IF(B2448="",0,$S2448*$K2448)</f>
        <v>31.511796100712368</v>
      </c>
      <c r="U2448" s="85">
        <f>IF(B2448="",0,IF(OR(H2448=MappingTables!$C$34,H2448=MappingTables!$C$35),T2448,0))</f>
        <v>0</v>
      </c>
      <c r="V2448" s="85">
        <f>IF(ISNA(IF(AND(VLOOKUP(CONCATENATE($D2448,$G2448),CSRFinput!$B:$E,4,0)=0,OR(H2448=MappingTables!$C$34,H2448=MappingTables!$C$35)),1,VLOOKUP(CONCATENATE($D2448,$G2448),CSRFinput!$B:$E,4,0))),0,IF(AND(VLOOKUP(CONCATENATE($D2448,$G2448),CSRFinput!$B:$E,4,0)=0,OR(H2448=MappingTables!$C$34,H2448=MappingTables!$C$35)),1,VLOOKUP(CONCATENATE($D2448,$G2448),CSRFinput!$B:$E,4,0)))</f>
        <v>0.054776304963434752</v>
      </c>
      <c r="W2448" s="85">
        <f>IF(B2448="",0,+$T2448*$V2448)</f>
        <v>1.7260997531581948</v>
      </c>
      <c r="X2448" s="85">
        <f>IF(B2448="",0,IF(OR(H2448=MappingTables!$C$34,H2448=MappingTables!$C$35),W2448,0))</f>
        <v>0</v>
      </c>
    </row>
    <row r="2449" spans="2:24" s="0" customFormat="0" ht="15">
      <c r="B2449" s="69">
        <v>17095258</v>
      </c>
      <c r="C2449" s="70" t="s">
        <v>2333</v>
      </c>
      <c r="D2449" s="70" t="s">
        <v>1</v>
      </c>
      <c r="E2449" s="70" t="s">
        <v>1</v>
      </c>
      <c r="F2449" s="70"/>
      <c r="G2449" s="70" t="s">
        <v>61</v>
      </c>
      <c r="H2449" s="70" t="s">
        <v>178</v>
      </c>
      <c r="I2449" s="70" t="s">
        <v>181</v>
      </c>
      <c r="J2449" s="71">
        <f>IF(OR(I2449=0,I2449=""),"unrated",VLOOKUP(I2449,MappingTables!$B$19:$C$31,2,FALSE))</f>
        <v>3</v>
      </c>
      <c r="K2449" s="72">
        <v>734.9460769789856</v>
      </c>
      <c r="L2449" s="70">
        <v>0.41643926672112344</v>
      </c>
      <c r="M2449" s="71">
        <f>IF(L2449&lt;1,1,L2449)</f>
        <v>1</v>
      </c>
      <c r="N2449" s="70" t="s">
        <v>141</v>
      </c>
      <c r="O2449" s="71">
        <f>INDEX(DurClassMapping,MATCH(M2449,MappingTables!$D$4:$D$8,-1),1)</f>
        <v>1</v>
      </c>
      <c r="P2449" s="73">
        <f>IF(M2449=$A$1,1,$M2449-INDEX(MappingTables!$E$4:$E$8,MATCH(O2449,MappingTables!$B$4:$B$8,0)))</f>
        <v>1</v>
      </c>
      <c r="Q2449" s="71">
        <f>IF(B2449="",0,INDEX(ModelParameters!$D$6:$K$10,MATCH($O2449,ModelParameters!$B$6:$B$10,0),MATCH($J2449,ModelParameters!$D$5:$K$5,0)))</f>
        <v>0.025</v>
      </c>
      <c r="R2449" s="71">
        <f>IF(B2449="",0,INDEX(ModelParameters!$D$13:$K$17,MATCH($O2449,ModelParameters!$B$13:$B$17,0),MATCH($J2449,ModelParameters!$D$5:$K$5,0)))</f>
        <v>0</v>
      </c>
      <c r="S2449" s="160">
        <f>IF(B2449="",0,MIN(IF($N2449="Other Bond TM",ModelParameters!$N$21,1)*(P2449*Q2449+R2449),1))</f>
        <v>0.025</v>
      </c>
      <c r="T2449" s="85">
        <f>IF(B2449="",0,$S2449*$K2449)</f>
        <v>18.37365192447464</v>
      </c>
      <c r="U2449" s="85">
        <f>IF(B2449="",0,IF(OR(H2449=MappingTables!$C$34,H2449=MappingTables!$C$35),T2449,0))</f>
        <v>0</v>
      </c>
      <c r="V2449" s="85">
        <f>IF(ISNA(IF(AND(VLOOKUP(CONCATENATE($D2449,$G2449),CSRFinput!$B:$E,4,0)=0,OR(H2449=MappingTables!$C$34,H2449=MappingTables!$C$35)),1,VLOOKUP(CONCATENATE($D2449,$G2449),CSRFinput!$B:$E,4,0))),0,IF(AND(VLOOKUP(CONCATENATE($D2449,$G2449),CSRFinput!$B:$E,4,0)=0,OR(H2449=MappingTables!$C$34,H2449=MappingTables!$C$35)),1,VLOOKUP(CONCATENATE($D2449,$G2449),CSRFinput!$B:$E,4,0)))</f>
        <v>0.054776304963434752</v>
      </c>
      <c r="W2449" s="85">
        <f>IF(B2449="",0,+$T2449*$V2449)</f>
        <v>1.0064407611070228</v>
      </c>
      <c r="X2449" s="85">
        <f>IF(B2449="",0,IF(OR(H2449=MappingTables!$C$34,H2449=MappingTables!$C$35),W2449,0))</f>
        <v>0</v>
      </c>
    </row>
    <row r="2450" spans="2:24" s="0" customFormat="0" ht="15">
      <c r="B2450" s="69">
        <v>13145185</v>
      </c>
      <c r="C2450" s="70" t="s">
        <v>2419</v>
      </c>
      <c r="D2450" s="70" t="s">
        <v>1</v>
      </c>
      <c r="E2450" s="70" t="s">
        <v>1</v>
      </c>
      <c r="F2450" s="70"/>
      <c r="G2450" s="70" t="s">
        <v>61</v>
      </c>
      <c r="H2450" s="70" t="s">
        <v>178</v>
      </c>
      <c r="I2450" s="70" t="s">
        <v>179</v>
      </c>
      <c r="J2450" s="71">
        <f>IF(OR(I2450=0,I2450=""),"unrated",VLOOKUP(I2450,MappingTables!$B$19:$C$31,2,FALSE))</f>
        <v>4</v>
      </c>
      <c r="K2450" s="72">
        <v>545.29335877796856</v>
      </c>
      <c r="L2450" s="70">
        <v>0.03013778446524184</v>
      </c>
      <c r="M2450" s="71">
        <f>IF(L2450&lt;1,1,L2450)</f>
        <v>1</v>
      </c>
      <c r="N2450" s="70" t="s">
        <v>141</v>
      </c>
      <c r="O2450" s="71">
        <f>INDEX(DurClassMapping,MATCH(M2450,MappingTables!$D$4:$D$8,-1),1)</f>
        <v>1</v>
      </c>
      <c r="P2450" s="73">
        <f>IF(M2450=$A$1,1,$M2450-INDEX(MappingTables!$E$4:$E$8,MATCH(O2450,MappingTables!$B$4:$B$8,0)))</f>
        <v>1</v>
      </c>
      <c r="Q2450" s="71">
        <f>IF(B2450="",0,INDEX(ModelParameters!$D$6:$K$10,MATCH($O2450,ModelParameters!$B$6:$B$10,0),MATCH($J2450,ModelParameters!$D$5:$K$5,0)))</f>
        <v>0.045</v>
      </c>
      <c r="R2450" s="71">
        <f>IF(B2450="",0,INDEX(ModelParameters!$D$13:$K$17,MATCH($O2450,ModelParameters!$B$13:$B$17,0),MATCH($J2450,ModelParameters!$D$5:$K$5,0)))</f>
        <v>0</v>
      </c>
      <c r="S2450" s="160">
        <f>IF(B2450="",0,MIN(IF($N2450="Other Bond TM",ModelParameters!$N$21,1)*(P2450*Q2450+R2450),1))</f>
        <v>0.045</v>
      </c>
      <c r="T2450" s="85">
        <f>IF(B2450="",0,$S2450*$K2450)</f>
        <v>24.538201145008584</v>
      </c>
      <c r="U2450" s="85">
        <f>IF(B2450="",0,IF(OR(H2450=MappingTables!$C$34,H2450=MappingTables!$C$35),T2450,0))</f>
        <v>0</v>
      </c>
      <c r="V2450" s="85">
        <f>IF(ISNA(IF(AND(VLOOKUP(CONCATENATE($D2450,$G2450),CSRFinput!$B:$E,4,0)=0,OR(H2450=MappingTables!$C$34,H2450=MappingTables!$C$35)),1,VLOOKUP(CONCATENATE($D2450,$G2450),CSRFinput!$B:$E,4,0))),0,IF(AND(VLOOKUP(CONCATENATE($D2450,$G2450),CSRFinput!$B:$E,4,0)=0,OR(H2450=MappingTables!$C$34,H2450=MappingTables!$C$35)),1,VLOOKUP(CONCATENATE($D2450,$G2450),CSRFinput!$B:$E,4,0)))</f>
        <v>0.054776304963434752</v>
      </c>
      <c r="W2450" s="85">
        <f>IF(B2450="",0,+$T2450*$V2450)</f>
        <v>1.3441119891730942</v>
      </c>
      <c r="X2450" s="85">
        <f>IF(B2450="",0,IF(OR(H2450=MappingTables!$C$34,H2450=MappingTables!$C$35),W2450,0))</f>
        <v>0</v>
      </c>
    </row>
    <row r="2451" spans="2:24" s="0" customFormat="0" ht="15">
      <c r="B2451" s="69" t="s">
        <v>2420</v>
      </c>
      <c r="C2451" s="70" t="s">
        <v>2421</v>
      </c>
      <c r="D2451" s="70" t="s">
        <v>1</v>
      </c>
      <c r="E2451" s="70" t="s">
        <v>1</v>
      </c>
      <c r="F2451" s="70"/>
      <c r="G2451" s="70" t="s">
        <v>61</v>
      </c>
      <c r="H2451" s="70" t="s">
        <v>178</v>
      </c>
      <c r="I2451" s="70" t="s">
        <v>181</v>
      </c>
      <c r="J2451" s="71">
        <f>IF(OR(I2451=0,I2451=""),"unrated",VLOOKUP(I2451,MappingTables!$B$19:$C$31,2,FALSE))</f>
        <v>3</v>
      </c>
      <c r="K2451" s="72">
        <v>4584.2278858409056</v>
      </c>
      <c r="L2451" s="70">
        <v>2.9328485029518828</v>
      </c>
      <c r="M2451" s="71">
        <f>IF(L2451&lt;1,1,L2451)</f>
        <v>2.9328485029518828</v>
      </c>
      <c r="N2451" s="70" t="s">
        <v>141</v>
      </c>
      <c r="O2451" s="71">
        <f>INDEX(DurClassMapping,MATCH(M2451,MappingTables!$D$4:$D$8,-1),1)</f>
        <v>1</v>
      </c>
      <c r="P2451" s="73">
        <f>IF(M2451=$A$1,1,$M2451-INDEX(MappingTables!$E$4:$E$8,MATCH(O2451,MappingTables!$B$4:$B$8,0)))</f>
        <v>2.9328485029518828</v>
      </c>
      <c r="Q2451" s="71">
        <f>IF(B2451="",0,INDEX(ModelParameters!$D$6:$K$10,MATCH($O2451,ModelParameters!$B$6:$B$10,0),MATCH($J2451,ModelParameters!$D$5:$K$5,0)))</f>
        <v>0.025</v>
      </c>
      <c r="R2451" s="71">
        <f>IF(B2451="",0,INDEX(ModelParameters!$D$13:$K$17,MATCH($O2451,ModelParameters!$B$13:$B$17,0),MATCH($J2451,ModelParameters!$D$5:$K$5,0)))</f>
        <v>0</v>
      </c>
      <c r="S2451" s="160">
        <f>IF(B2451="",0,MIN(IF($N2451="Other Bond TM",ModelParameters!$N$21,1)*(P2451*Q2451+R2451),1))</f>
        <v>0.073321212573797072</v>
      </c>
      <c r="T2451" s="85">
        <f>IF(B2451="",0,$S2451*$K2451)</f>
        <v>336.1211473044694</v>
      </c>
      <c r="U2451" s="85">
        <f>IF(B2451="",0,IF(OR(H2451=MappingTables!$C$34,H2451=MappingTables!$C$35),T2451,0))</f>
        <v>0</v>
      </c>
      <c r="V2451" s="85">
        <f>IF(ISNA(IF(AND(VLOOKUP(CONCATENATE($D2451,$G2451),CSRFinput!$B:$E,4,0)=0,OR(H2451=MappingTables!$C$34,H2451=MappingTables!$C$35)),1,VLOOKUP(CONCATENATE($D2451,$G2451),CSRFinput!$B:$E,4,0))),0,IF(AND(VLOOKUP(CONCATENATE($D2451,$G2451),CSRFinput!$B:$E,4,0)=0,OR(H2451=MappingTables!$C$34,H2451=MappingTables!$C$35)),1,VLOOKUP(CONCATENATE($D2451,$G2451),CSRFinput!$B:$E,4,0)))</f>
        <v>0.054776304963434752</v>
      </c>
      <c r="W2451" s="85">
        <f>IF(B2451="",0,+$T2451*$V2451)</f>
        <v>18.411474469409188</v>
      </c>
      <c r="X2451" s="85">
        <f>IF(B2451="",0,IF(OR(H2451=MappingTables!$C$34,H2451=MappingTables!$C$35),W2451,0))</f>
        <v>0</v>
      </c>
    </row>
    <row r="2452" spans="2:24" s="0" customFormat="0" ht="15">
      <c r="B2452" s="69">
        <v>19863533</v>
      </c>
      <c r="C2452" s="70" t="s">
        <v>2422</v>
      </c>
      <c r="D2452" s="70" t="s">
        <v>1</v>
      </c>
      <c r="E2452" s="70" t="s">
        <v>1</v>
      </c>
      <c r="F2452" s="70"/>
      <c r="G2452" s="70" t="s">
        <v>61</v>
      </c>
      <c r="H2452" s="70" t="s">
        <v>178</v>
      </c>
      <c r="I2452" s="70" t="s">
        <v>188</v>
      </c>
      <c r="J2452" s="71">
        <f>IF(OR(I2452=0,I2452=""),"unrated",VLOOKUP(I2452,MappingTables!$B$19:$C$31,2,FALSE))</f>
        <v>2</v>
      </c>
      <c r="K2452" s="72">
        <v>41.73695496132648</v>
      </c>
      <c r="L2452" s="70">
        <v>0.30637777331245508</v>
      </c>
      <c r="M2452" s="71">
        <f>IF(L2452&lt;1,1,L2452)</f>
        <v>1</v>
      </c>
      <c r="N2452" s="70" t="s">
        <v>141</v>
      </c>
      <c r="O2452" s="71">
        <f>INDEX(DurClassMapping,MATCH(M2452,MappingTables!$D$4:$D$8,-1),1)</f>
        <v>1</v>
      </c>
      <c r="P2452" s="73">
        <f>IF(M2452=$A$1,1,$M2452-INDEX(MappingTables!$E$4:$E$8,MATCH(O2452,MappingTables!$B$4:$B$8,0)))</f>
        <v>1</v>
      </c>
      <c r="Q2452" s="71">
        <f>IF(B2452="",0,INDEX(ModelParameters!$D$6:$K$10,MATCH($O2452,ModelParameters!$B$6:$B$10,0),MATCH($J2452,ModelParameters!$D$5:$K$5,0)))</f>
        <v>0.013999999999999998</v>
      </c>
      <c r="R2452" s="71">
        <f>IF(B2452="",0,INDEX(ModelParameters!$D$13:$K$17,MATCH($O2452,ModelParameters!$B$13:$B$17,0),MATCH($J2452,ModelParameters!$D$5:$K$5,0)))</f>
        <v>0</v>
      </c>
      <c r="S2452" s="160">
        <f>IF(B2452="",0,MIN(IF($N2452="Other Bond TM",ModelParameters!$N$21,1)*(P2452*Q2452+R2452),1))</f>
        <v>0.013999999999999998</v>
      </c>
      <c r="T2452" s="85">
        <f>IF(B2452="",0,$S2452*$K2452)</f>
        <v>0.58431736945857072</v>
      </c>
      <c r="U2452" s="85">
        <f>IF(B2452="",0,IF(OR(H2452=MappingTables!$C$34,H2452=MappingTables!$C$35),T2452,0))</f>
        <v>0</v>
      </c>
      <c r="V2452" s="85">
        <f>IF(ISNA(IF(AND(VLOOKUP(CONCATENATE($D2452,$G2452),CSRFinput!$B:$E,4,0)=0,OR(H2452=MappingTables!$C$34,H2452=MappingTables!$C$35)),1,VLOOKUP(CONCATENATE($D2452,$G2452),CSRFinput!$B:$E,4,0))),0,IF(AND(VLOOKUP(CONCATENATE($D2452,$G2452),CSRFinput!$B:$E,4,0)=0,OR(H2452=MappingTables!$C$34,H2452=MappingTables!$C$35)),1,VLOOKUP(CONCATENATE($D2452,$G2452),CSRFinput!$B:$E,4,0)))</f>
        <v>0.054776304963434752</v>
      </c>
      <c r="W2452" s="85">
        <f>IF(B2452="",0,+$T2452*$V2452)</f>
        <v>0.032006746424894644</v>
      </c>
      <c r="X2452" s="85">
        <f>IF(B2452="",0,IF(OR(H2452=MappingTables!$C$34,H2452=MappingTables!$C$35),W2452,0))</f>
        <v>0</v>
      </c>
    </row>
    <row r="2453" spans="2:24" s="0" customFormat="0" ht="15">
      <c r="B2453" s="69" t="s">
        <v>1064</v>
      </c>
      <c r="C2453" s="70" t="s">
        <v>1065</v>
      </c>
      <c r="D2453" s="70" t="s">
        <v>1</v>
      </c>
      <c r="E2453" s="70" t="s">
        <v>1</v>
      </c>
      <c r="F2453" s="70"/>
      <c r="G2453" s="70" t="s">
        <v>61</v>
      </c>
      <c r="H2453" s="70" t="s">
        <v>178</v>
      </c>
      <c r="I2453" s="70" t="s">
        <v>198</v>
      </c>
      <c r="J2453" s="71" t="str">
        <f>IF(OR(I2453=0,I2453=""),"unrated",VLOOKUP(I2453,MappingTables!$B$19:$C$31,2,FALSE))</f>
        <v>unrated</v>
      </c>
      <c r="K2453" s="72">
        <v>0.12048355868525392</v>
      </c>
      <c r="L2453" s="70">
        <v>0.22465938295692136</v>
      </c>
      <c r="M2453" s="71">
        <f>IF(L2453&lt;1,1,L2453)</f>
        <v>1</v>
      </c>
      <c r="N2453" s="70" t="s">
        <v>141</v>
      </c>
      <c r="O2453" s="71">
        <f>INDEX(DurClassMapping,MATCH(M2453,MappingTables!$D$4:$D$8,-1),1)</f>
        <v>1</v>
      </c>
      <c r="P2453" s="73">
        <f>IF(M2453=$A$1,1,$M2453-INDEX(MappingTables!$E$4:$E$8,MATCH(O2453,MappingTables!$B$4:$B$8,0)))</f>
        <v>1</v>
      </c>
      <c r="Q2453" s="71">
        <f>IF(B2453="",0,INDEX(ModelParameters!$D$6:$K$10,MATCH($O2453,ModelParameters!$B$6:$B$10,0),MATCH($J2453,ModelParameters!$D$5:$K$5,0)))</f>
        <v>0.03</v>
      </c>
      <c r="R2453" s="71">
        <f>IF(B2453="",0,INDEX(ModelParameters!$D$13:$K$17,MATCH($O2453,ModelParameters!$B$13:$B$17,0),MATCH($J2453,ModelParameters!$D$5:$K$5,0)))</f>
        <v>0</v>
      </c>
      <c r="S2453" s="160">
        <f>IF(B2453="",0,MIN(IF($N2453="Other Bond TM",ModelParameters!$N$21,1)*(P2453*Q2453+R2453),1))</f>
        <v>0.03</v>
      </c>
      <c r="T2453" s="85">
        <f>IF(B2453="",0,$S2453*$K2453)</f>
        <v>0.0036145067605576176</v>
      </c>
      <c r="U2453" s="85">
        <f>IF(B2453="",0,IF(OR(H2453=MappingTables!$C$34,H2453=MappingTables!$C$35),T2453,0))</f>
        <v>0</v>
      </c>
      <c r="V2453" s="85">
        <f>IF(ISNA(IF(AND(VLOOKUP(CONCATENATE($D2453,$G2453),CSRFinput!$B:$E,4,0)=0,OR(H2453=MappingTables!$C$34,H2453=MappingTables!$C$35)),1,VLOOKUP(CONCATENATE($D2453,$G2453),CSRFinput!$B:$E,4,0))),0,IF(AND(VLOOKUP(CONCATENATE($D2453,$G2453),CSRFinput!$B:$E,4,0)=0,OR(H2453=MappingTables!$C$34,H2453=MappingTables!$C$35)),1,VLOOKUP(CONCATENATE($D2453,$G2453),CSRFinput!$B:$E,4,0)))</f>
        <v>0.054776304963434752</v>
      </c>
      <c r="W2453" s="85">
        <f>IF(B2453="",0,+$T2453*$V2453)</f>
        <v>0.00019798932460870068</v>
      </c>
      <c r="X2453" s="85">
        <f>IF(B2453="",0,IF(OR(H2453=MappingTables!$C$34,H2453=MappingTables!$C$35),W2453,0))</f>
        <v>0</v>
      </c>
    </row>
    <row r="2454" spans="2:24" s="0" customFormat="0" ht="15">
      <c r="B2454" s="69" t="s">
        <v>2280</v>
      </c>
      <c r="C2454" s="70" t="s">
        <v>2281</v>
      </c>
      <c r="D2454" s="70" t="s">
        <v>1</v>
      </c>
      <c r="E2454" s="70" t="s">
        <v>1</v>
      </c>
      <c r="F2454" s="70"/>
      <c r="G2454" s="70" t="s">
        <v>61</v>
      </c>
      <c r="H2454" s="70" t="s">
        <v>178</v>
      </c>
      <c r="I2454" s="70" t="s">
        <v>188</v>
      </c>
      <c r="J2454" s="71">
        <f>IF(OR(I2454=0,I2454=""),"unrated",VLOOKUP(I2454,MappingTables!$B$19:$C$31,2,FALSE))</f>
        <v>2</v>
      </c>
      <c r="K2454" s="72">
        <v>328.84831285061216</v>
      </c>
      <c r="L2454" s="70">
        <v>2.9863776443532956</v>
      </c>
      <c r="M2454" s="71">
        <f>IF(L2454&lt;1,1,L2454)</f>
        <v>2.9863776443532956</v>
      </c>
      <c r="N2454" s="70" t="s">
        <v>141</v>
      </c>
      <c r="O2454" s="71">
        <f>INDEX(DurClassMapping,MATCH(M2454,MappingTables!$D$4:$D$8,-1),1)</f>
        <v>1</v>
      </c>
      <c r="P2454" s="73">
        <f>IF(M2454=$A$1,1,$M2454-INDEX(MappingTables!$E$4:$E$8,MATCH(O2454,MappingTables!$B$4:$B$8,0)))</f>
        <v>2.9863776443532956</v>
      </c>
      <c r="Q2454" s="71">
        <f>IF(B2454="",0,INDEX(ModelParameters!$D$6:$K$10,MATCH($O2454,ModelParameters!$B$6:$B$10,0),MATCH($J2454,ModelParameters!$D$5:$K$5,0)))</f>
        <v>0.013999999999999998</v>
      </c>
      <c r="R2454" s="71">
        <f>IF(B2454="",0,INDEX(ModelParameters!$D$13:$K$17,MATCH($O2454,ModelParameters!$B$13:$B$17,0),MATCH($J2454,ModelParameters!$D$5:$K$5,0)))</f>
        <v>0</v>
      </c>
      <c r="S2454" s="160">
        <f>IF(B2454="",0,MIN(IF($N2454="Other Bond TM",ModelParameters!$N$21,1)*(P2454*Q2454+R2454),1))</f>
        <v>0.041809287020946136</v>
      </c>
      <c r="T2454" s="85">
        <f>IF(B2454="",0,$S2454*$K2454)</f>
        <v>13.748913498325132</v>
      </c>
      <c r="U2454" s="85">
        <f>IF(B2454="",0,IF(OR(H2454=MappingTables!$C$34,H2454=MappingTables!$C$35),T2454,0))</f>
        <v>0</v>
      </c>
      <c r="V2454" s="85">
        <f>IF(ISNA(IF(AND(VLOOKUP(CONCATENATE($D2454,$G2454),CSRFinput!$B:$E,4,0)=0,OR(H2454=MappingTables!$C$34,H2454=MappingTables!$C$35)),1,VLOOKUP(CONCATENATE($D2454,$G2454),CSRFinput!$B:$E,4,0))),0,IF(AND(VLOOKUP(CONCATENATE($D2454,$G2454),CSRFinput!$B:$E,4,0)=0,OR(H2454=MappingTables!$C$34,H2454=MappingTables!$C$35)),1,VLOOKUP(CONCATENATE($D2454,$G2454),CSRFinput!$B:$E,4,0)))</f>
        <v>0.054776304963434752</v>
      </c>
      <c r="W2454" s="85">
        <f>IF(B2454="",0,+$T2454*$V2454)</f>
        <v>0.75311467870014208</v>
      </c>
      <c r="X2454" s="85">
        <f>IF(B2454="",0,IF(OR(H2454=MappingTables!$C$34,H2454=MappingTables!$C$35),W2454,0))</f>
        <v>0</v>
      </c>
    </row>
    <row r="2455" spans="2:24" s="0" customFormat="0" ht="15">
      <c r="B2455" s="69" t="s">
        <v>2423</v>
      </c>
      <c r="C2455" s="70" t="s">
        <v>2424</v>
      </c>
      <c r="D2455" s="70" t="s">
        <v>1</v>
      </c>
      <c r="E2455" s="70" t="s">
        <v>1</v>
      </c>
      <c r="F2455" s="70"/>
      <c r="G2455" s="70" t="s">
        <v>61</v>
      </c>
      <c r="H2455" s="70" t="s">
        <v>178</v>
      </c>
      <c r="I2455" s="70" t="s">
        <v>198</v>
      </c>
      <c r="J2455" s="71" t="str">
        <f>IF(OR(I2455=0,I2455=""),"unrated",VLOOKUP(I2455,MappingTables!$B$19:$C$31,2,FALSE))</f>
        <v>unrated</v>
      </c>
      <c r="K2455" s="72">
        <v>7810.7326902495568</v>
      </c>
      <c r="L2455" s="70">
        <v>0.087668301608723456</v>
      </c>
      <c r="M2455" s="71">
        <f>IF(L2455&lt;1,1,L2455)</f>
        <v>1</v>
      </c>
      <c r="N2455" s="70" t="s">
        <v>141</v>
      </c>
      <c r="O2455" s="71">
        <f>INDEX(DurClassMapping,MATCH(M2455,MappingTables!$D$4:$D$8,-1),1)</f>
        <v>1</v>
      </c>
      <c r="P2455" s="73">
        <f>IF(M2455=$A$1,1,$M2455-INDEX(MappingTables!$E$4:$E$8,MATCH(O2455,MappingTables!$B$4:$B$8,0)))</f>
        <v>1</v>
      </c>
      <c r="Q2455" s="71">
        <f>IF(B2455="",0,INDEX(ModelParameters!$D$6:$K$10,MATCH($O2455,ModelParameters!$B$6:$B$10,0),MATCH($J2455,ModelParameters!$D$5:$K$5,0)))</f>
        <v>0.03</v>
      </c>
      <c r="R2455" s="71">
        <f>IF(B2455="",0,INDEX(ModelParameters!$D$13:$K$17,MATCH($O2455,ModelParameters!$B$13:$B$17,0),MATCH($J2455,ModelParameters!$D$5:$K$5,0)))</f>
        <v>0</v>
      </c>
      <c r="S2455" s="160">
        <f>IF(B2455="",0,MIN(IF($N2455="Other Bond TM",ModelParameters!$N$21,1)*(P2455*Q2455+R2455),1))</f>
        <v>0.03</v>
      </c>
      <c r="T2455" s="85">
        <f>IF(B2455="",0,$S2455*$K2455)</f>
        <v>234.32198070748664</v>
      </c>
      <c r="U2455" s="85">
        <f>IF(B2455="",0,IF(OR(H2455=MappingTables!$C$34,H2455=MappingTables!$C$35),T2455,0))</f>
        <v>0</v>
      </c>
      <c r="V2455" s="85">
        <f>IF(ISNA(IF(AND(VLOOKUP(CONCATENATE($D2455,$G2455),CSRFinput!$B:$E,4,0)=0,OR(H2455=MappingTables!$C$34,H2455=MappingTables!$C$35)),1,VLOOKUP(CONCATENATE($D2455,$G2455),CSRFinput!$B:$E,4,0))),0,IF(AND(VLOOKUP(CONCATENATE($D2455,$G2455),CSRFinput!$B:$E,4,0)=0,OR(H2455=MappingTables!$C$34,H2455=MappingTables!$C$35)),1,VLOOKUP(CONCATENATE($D2455,$G2455),CSRFinput!$B:$E,4,0)))</f>
        <v>0.054776304963434752</v>
      </c>
      <c r="W2455" s="85">
        <f>IF(B2455="",0,+$T2455*$V2455)</f>
        <v>12.835292274869364</v>
      </c>
      <c r="X2455" s="85">
        <f>IF(B2455="",0,IF(OR(H2455=MappingTables!$C$34,H2455=MappingTables!$C$35),W2455,0))</f>
        <v>0</v>
      </c>
    </row>
    <row r="2456" spans="2:24" s="0" customFormat="0" ht="15">
      <c r="B2456" s="69" t="s">
        <v>2425</v>
      </c>
      <c r="C2456" s="70" t="s">
        <v>2426</v>
      </c>
      <c r="D2456" s="70" t="s">
        <v>1</v>
      </c>
      <c r="E2456" s="70" t="s">
        <v>1</v>
      </c>
      <c r="F2456" s="70"/>
      <c r="G2456" s="70" t="s">
        <v>61</v>
      </c>
      <c r="H2456" s="70" t="s">
        <v>178</v>
      </c>
      <c r="I2456" s="70" t="s">
        <v>184</v>
      </c>
      <c r="J2456" s="71">
        <f>IF(OR(I2456=0,I2456=""),"unrated",VLOOKUP(I2456,MappingTables!$B$19:$C$31,2,FALSE))</f>
        <v>5</v>
      </c>
      <c r="K2456" s="72">
        <v>93.926045005740224</v>
      </c>
      <c r="L2456" s="70">
        <v>2.765219501259924</v>
      </c>
      <c r="M2456" s="71">
        <f>IF(L2456&lt;1,1,L2456)</f>
        <v>2.765219501259924</v>
      </c>
      <c r="N2456" s="70" t="s">
        <v>141</v>
      </c>
      <c r="O2456" s="71">
        <f>INDEX(DurClassMapping,MATCH(M2456,MappingTables!$D$4:$D$8,-1),1)</f>
        <v>1</v>
      </c>
      <c r="P2456" s="73">
        <f>IF(M2456=$A$1,1,$M2456-INDEX(MappingTables!$E$4:$E$8,MATCH(O2456,MappingTables!$B$4:$B$8,0)))</f>
        <v>2.765219501259924</v>
      </c>
      <c r="Q2456" s="71">
        <f>IF(B2456="",0,INDEX(ModelParameters!$D$6:$K$10,MATCH($O2456,ModelParameters!$B$6:$B$10,0),MATCH($J2456,ModelParameters!$D$5:$K$5,0)))</f>
        <v>0.075</v>
      </c>
      <c r="R2456" s="71">
        <f>IF(B2456="",0,INDEX(ModelParameters!$D$13:$K$17,MATCH($O2456,ModelParameters!$B$13:$B$17,0),MATCH($J2456,ModelParameters!$D$5:$K$5,0)))</f>
        <v>0</v>
      </c>
      <c r="S2456" s="160">
        <f>IF(B2456="",0,MIN(IF($N2456="Other Bond TM",ModelParameters!$N$21,1)*(P2456*Q2456+R2456),1))</f>
        <v>0.20739146259449428</v>
      </c>
      <c r="T2456" s="85">
        <f>IF(B2456="",0,$S2456*$K2456)</f>
        <v>19.47945984945676</v>
      </c>
      <c r="U2456" s="85">
        <f>IF(B2456="",0,IF(OR(H2456=MappingTables!$C$34,H2456=MappingTables!$C$35),T2456,0))</f>
        <v>0</v>
      </c>
      <c r="V2456" s="85">
        <f>IF(ISNA(IF(AND(VLOOKUP(CONCATENATE($D2456,$G2456),CSRFinput!$B:$E,4,0)=0,OR(H2456=MappingTables!$C$34,H2456=MappingTables!$C$35)),1,VLOOKUP(CONCATENATE($D2456,$G2456),CSRFinput!$B:$E,4,0))),0,IF(AND(VLOOKUP(CONCATENATE($D2456,$G2456),CSRFinput!$B:$E,4,0)=0,OR(H2456=MappingTables!$C$34,H2456=MappingTables!$C$35)),1,VLOOKUP(CONCATENATE($D2456,$G2456),CSRFinput!$B:$E,4,0)))</f>
        <v>0.054776304963434752</v>
      </c>
      <c r="W2456" s="85">
        <f>IF(B2456="",0,+$T2456*$V2456)</f>
        <v>1.0670128332368262</v>
      </c>
      <c r="X2456" s="85">
        <f>IF(B2456="",0,IF(OR(H2456=MappingTables!$C$34,H2456=MappingTables!$C$35),W2456,0))</f>
        <v>0</v>
      </c>
    </row>
    <row r="2457" spans="2:24" s="0" customFormat="0" ht="15">
      <c r="B2457" s="69" t="s">
        <v>1625</v>
      </c>
      <c r="C2457" s="70" t="s">
        <v>1626</v>
      </c>
      <c r="D2457" s="70" t="s">
        <v>1</v>
      </c>
      <c r="E2457" s="70" t="s">
        <v>1</v>
      </c>
      <c r="F2457" s="70"/>
      <c r="G2457" s="70" t="s">
        <v>61</v>
      </c>
      <c r="H2457" s="70" t="s">
        <v>178</v>
      </c>
      <c r="I2457" s="70" t="s">
        <v>181</v>
      </c>
      <c r="J2457" s="71">
        <f>IF(OR(I2457=0,I2457=""),"unrated",VLOOKUP(I2457,MappingTables!$B$19:$C$31,2,FALSE))</f>
        <v>3</v>
      </c>
      <c r="K2457" s="72">
        <v>2122.1451469868856</v>
      </c>
      <c r="L2457" s="70">
        <v>12.453859132051622</v>
      </c>
      <c r="M2457" s="71">
        <f>IF(L2457&lt;1,1,L2457)</f>
        <v>12.453859132051622</v>
      </c>
      <c r="N2457" s="70" t="s">
        <v>141</v>
      </c>
      <c r="O2457" s="71">
        <f>INDEX(DurClassMapping,MATCH(M2457,MappingTables!$D$4:$D$8,-1),1)</f>
        <v>3</v>
      </c>
      <c r="P2457" s="73">
        <f>IF(M2457=$A$1,1,$M2457-INDEX(MappingTables!$E$4:$E$8,MATCH(O2457,MappingTables!$B$4:$B$8,0)))</f>
        <v>2.4538591320516224</v>
      </c>
      <c r="Q2457" s="71">
        <f>IF(B2457="",0,INDEX(ModelParameters!$D$6:$K$10,MATCH($O2457,ModelParameters!$B$6:$B$10,0),MATCH($J2457,ModelParameters!$D$5:$K$5,0)))</f>
        <v>0.01</v>
      </c>
      <c r="R2457" s="71">
        <f>IF(B2457="",0,INDEX(ModelParameters!$D$13:$K$17,MATCH($O2457,ModelParameters!$B$13:$B$17,0),MATCH($J2457,ModelParameters!$D$5:$K$5,0)))</f>
        <v>0.2</v>
      </c>
      <c r="S2457" s="160">
        <f>IF(B2457="",0,MIN(IF($N2457="Other Bond TM",ModelParameters!$N$21,1)*(P2457*Q2457+R2457),1))</f>
        <v>0.22453859132051624</v>
      </c>
      <c r="T2457" s="85">
        <f>IF(B2457="",0,$S2457*$K2457)</f>
        <v>476.5034818821052</v>
      </c>
      <c r="U2457" s="85">
        <f>IF(B2457="",0,IF(OR(H2457=MappingTables!$C$34,H2457=MappingTables!$C$35),T2457,0))</f>
        <v>0</v>
      </c>
      <c r="V2457" s="85">
        <f>IF(ISNA(IF(AND(VLOOKUP(CONCATENATE($D2457,$G2457),CSRFinput!$B:$E,4,0)=0,OR(H2457=MappingTables!$C$34,H2457=MappingTables!$C$35)),1,VLOOKUP(CONCATENATE($D2457,$G2457),CSRFinput!$B:$E,4,0))),0,IF(AND(VLOOKUP(CONCATENATE($D2457,$G2457),CSRFinput!$B:$E,4,0)=0,OR(H2457=MappingTables!$C$34,H2457=MappingTables!$C$35)),1,VLOOKUP(CONCATENATE($D2457,$G2457),CSRFinput!$B:$E,4,0)))</f>
        <v>0.054776304963434752</v>
      </c>
      <c r="W2457" s="85">
        <f>IF(B2457="",0,+$T2457*$V2457)</f>
        <v>26.1011000397127</v>
      </c>
      <c r="X2457" s="85">
        <f>IF(B2457="",0,IF(OR(H2457=MappingTables!$C$34,H2457=MappingTables!$C$35),W2457,0))</f>
        <v>0</v>
      </c>
    </row>
    <row r="2458" spans="2:24" s="0" customFormat="0" ht="15">
      <c r="B2458" s="69">
        <v>22448713</v>
      </c>
      <c r="C2458" s="70" t="s">
        <v>2427</v>
      </c>
      <c r="D2458" s="70" t="s">
        <v>1</v>
      </c>
      <c r="E2458" s="70" t="s">
        <v>1</v>
      </c>
      <c r="F2458" s="70"/>
      <c r="G2458" s="70" t="s">
        <v>61</v>
      </c>
      <c r="H2458" s="70" t="s">
        <v>178</v>
      </c>
      <c r="I2458" s="70" t="s">
        <v>179</v>
      </c>
      <c r="J2458" s="71">
        <f>IF(OR(I2458=0,I2458=""),"unrated",VLOOKUP(I2458,MappingTables!$B$19:$C$31,2,FALSE))</f>
        <v>4</v>
      </c>
      <c r="K2458" s="72">
        <v>18487.458980875296</v>
      </c>
      <c r="L2458" s="70">
        <v>2.627580153677128</v>
      </c>
      <c r="M2458" s="71">
        <f>IF(L2458&lt;1,1,L2458)</f>
        <v>2.627580153677128</v>
      </c>
      <c r="N2458" s="70" t="s">
        <v>141</v>
      </c>
      <c r="O2458" s="71">
        <f>INDEX(DurClassMapping,MATCH(M2458,MappingTables!$D$4:$D$8,-1),1)</f>
        <v>1</v>
      </c>
      <c r="P2458" s="73">
        <f>IF(M2458=$A$1,1,$M2458-INDEX(MappingTables!$E$4:$E$8,MATCH(O2458,MappingTables!$B$4:$B$8,0)))</f>
        <v>2.627580153677128</v>
      </c>
      <c r="Q2458" s="71">
        <f>IF(B2458="",0,INDEX(ModelParameters!$D$6:$K$10,MATCH($O2458,ModelParameters!$B$6:$B$10,0),MATCH($J2458,ModelParameters!$D$5:$K$5,0)))</f>
        <v>0.045</v>
      </c>
      <c r="R2458" s="71">
        <f>IF(B2458="",0,INDEX(ModelParameters!$D$13:$K$17,MATCH($O2458,ModelParameters!$B$13:$B$17,0),MATCH($J2458,ModelParameters!$D$5:$K$5,0)))</f>
        <v>0</v>
      </c>
      <c r="S2458" s="160">
        <f>IF(B2458="",0,MIN(IF($N2458="Other Bond TM",ModelParameters!$N$21,1)*(P2458*Q2458+R2458),1))</f>
        <v>0.11824110691547076</v>
      </c>
      <c r="T2458" s="85">
        <f>IF(B2458="",0,$S2458*$K2458)</f>
        <v>2185.977613953056</v>
      </c>
      <c r="U2458" s="85">
        <f>IF(B2458="",0,IF(OR(H2458=MappingTables!$C$34,H2458=MappingTables!$C$35),T2458,0))</f>
        <v>0</v>
      </c>
      <c r="V2458" s="85">
        <f>IF(ISNA(IF(AND(VLOOKUP(CONCATENATE($D2458,$G2458),CSRFinput!$B:$E,4,0)=0,OR(H2458=MappingTables!$C$34,H2458=MappingTables!$C$35)),1,VLOOKUP(CONCATENATE($D2458,$G2458),CSRFinput!$B:$E,4,0))),0,IF(AND(VLOOKUP(CONCATENATE($D2458,$G2458),CSRFinput!$B:$E,4,0)=0,OR(H2458=MappingTables!$C$34,H2458=MappingTables!$C$35)),1,VLOOKUP(CONCATENATE($D2458,$G2458),CSRFinput!$B:$E,4,0)))</f>
        <v>0.054776304963434752</v>
      </c>
      <c r="W2458" s="85">
        <f>IF(B2458="",0,+$T2458*$V2458)</f>
        <v>119.73977642513404</v>
      </c>
      <c r="X2458" s="85">
        <f>IF(B2458="",0,IF(OR(H2458=MappingTables!$C$34,H2458=MappingTables!$C$35),W2458,0))</f>
        <v>0</v>
      </c>
    </row>
    <row r="2459" spans="2:24" s="0" customFormat="0" ht="15">
      <c r="B2459" s="69" t="s">
        <v>2428</v>
      </c>
      <c r="C2459" s="70" t="s">
        <v>2429</v>
      </c>
      <c r="D2459" s="70" t="s">
        <v>1</v>
      </c>
      <c r="E2459" s="70" t="s">
        <v>1</v>
      </c>
      <c r="F2459" s="70"/>
      <c r="G2459" s="70" t="s">
        <v>61</v>
      </c>
      <c r="H2459" s="70" t="s">
        <v>178</v>
      </c>
      <c r="I2459" s="70" t="s">
        <v>181</v>
      </c>
      <c r="J2459" s="71">
        <f>IF(OR(I2459=0,I2459=""),"unrated",VLOOKUP(I2459,MappingTables!$B$19:$C$31,2,FALSE))</f>
        <v>3</v>
      </c>
      <c r="K2459" s="72">
        <v>1.8801875707691</v>
      </c>
      <c r="L2459" s="70">
        <v>0.98105550868540576</v>
      </c>
      <c r="M2459" s="71">
        <f>IF(L2459&lt;1,1,L2459)</f>
        <v>1</v>
      </c>
      <c r="N2459" s="70" t="s">
        <v>141</v>
      </c>
      <c r="O2459" s="71">
        <f>INDEX(DurClassMapping,MATCH(M2459,MappingTables!$D$4:$D$8,-1),1)</f>
        <v>1</v>
      </c>
      <c r="P2459" s="73">
        <f>IF(M2459=$A$1,1,$M2459-INDEX(MappingTables!$E$4:$E$8,MATCH(O2459,MappingTables!$B$4:$B$8,0)))</f>
        <v>1</v>
      </c>
      <c r="Q2459" s="71">
        <f>IF(B2459="",0,INDEX(ModelParameters!$D$6:$K$10,MATCH($O2459,ModelParameters!$B$6:$B$10,0),MATCH($J2459,ModelParameters!$D$5:$K$5,0)))</f>
        <v>0.025</v>
      </c>
      <c r="R2459" s="71">
        <f>IF(B2459="",0,INDEX(ModelParameters!$D$13:$K$17,MATCH($O2459,ModelParameters!$B$13:$B$17,0),MATCH($J2459,ModelParameters!$D$5:$K$5,0)))</f>
        <v>0</v>
      </c>
      <c r="S2459" s="160">
        <f>IF(B2459="",0,MIN(IF($N2459="Other Bond TM",ModelParameters!$N$21,1)*(P2459*Q2459+R2459),1))</f>
        <v>0.025</v>
      </c>
      <c r="T2459" s="85">
        <f>IF(B2459="",0,$S2459*$K2459)</f>
        <v>0.047004689269227504</v>
      </c>
      <c r="U2459" s="85">
        <f>IF(B2459="",0,IF(OR(H2459=MappingTables!$C$34,H2459=MappingTables!$C$35),T2459,0))</f>
        <v>0</v>
      </c>
      <c r="V2459" s="85">
        <f>IF(ISNA(IF(AND(VLOOKUP(CONCATENATE($D2459,$G2459),CSRFinput!$B:$E,4,0)=0,OR(H2459=MappingTables!$C$34,H2459=MappingTables!$C$35)),1,VLOOKUP(CONCATENATE($D2459,$G2459),CSRFinput!$B:$E,4,0))),0,IF(AND(VLOOKUP(CONCATENATE($D2459,$G2459),CSRFinput!$B:$E,4,0)=0,OR(H2459=MappingTables!$C$34,H2459=MappingTables!$C$35)),1,VLOOKUP(CONCATENATE($D2459,$G2459),CSRFinput!$B:$E,4,0)))</f>
        <v>0.054776304963434752</v>
      </c>
      <c r="W2459" s="85">
        <f>IF(B2459="",0,+$T2459*$V2459)</f>
        <v>0.0025747431941226948</v>
      </c>
      <c r="X2459" s="85">
        <f>IF(B2459="",0,IF(OR(H2459=MappingTables!$C$34,H2459=MappingTables!$C$35),W2459,0))</f>
        <v>0</v>
      </c>
    </row>
    <row r="2460" spans="2:24" s="0" customFormat="0" ht="15">
      <c r="B2460" s="69" t="s">
        <v>1762</v>
      </c>
      <c r="C2460" s="70" t="s">
        <v>1763</v>
      </c>
      <c r="D2460" s="70" t="s">
        <v>1</v>
      </c>
      <c r="E2460" s="70" t="s">
        <v>1</v>
      </c>
      <c r="F2460" s="70"/>
      <c r="G2460" s="70" t="s">
        <v>61</v>
      </c>
      <c r="H2460" s="70" t="s">
        <v>178</v>
      </c>
      <c r="I2460" s="70" t="s">
        <v>188</v>
      </c>
      <c r="J2460" s="71">
        <f>IF(OR(I2460=0,I2460=""),"unrated",VLOOKUP(I2460,MappingTables!$B$19:$C$31,2,FALSE))</f>
        <v>2</v>
      </c>
      <c r="K2460" s="72">
        <v>0.17853877866148682</v>
      </c>
      <c r="L2460" s="70">
        <v>0.032876358384562232</v>
      </c>
      <c r="M2460" s="71">
        <f>IF(L2460&lt;1,1,L2460)</f>
        <v>1</v>
      </c>
      <c r="N2460" s="70" t="s">
        <v>141</v>
      </c>
      <c r="O2460" s="71">
        <f>INDEX(DurClassMapping,MATCH(M2460,MappingTables!$D$4:$D$8,-1),1)</f>
        <v>1</v>
      </c>
      <c r="P2460" s="73">
        <f>IF(M2460=$A$1,1,$M2460-INDEX(MappingTables!$E$4:$E$8,MATCH(O2460,MappingTables!$B$4:$B$8,0)))</f>
        <v>1</v>
      </c>
      <c r="Q2460" s="71">
        <f>IF(B2460="",0,INDEX(ModelParameters!$D$6:$K$10,MATCH($O2460,ModelParameters!$B$6:$B$10,0),MATCH($J2460,ModelParameters!$D$5:$K$5,0)))</f>
        <v>0.013999999999999998</v>
      </c>
      <c r="R2460" s="71">
        <f>IF(B2460="",0,INDEX(ModelParameters!$D$13:$K$17,MATCH($O2460,ModelParameters!$B$13:$B$17,0),MATCH($J2460,ModelParameters!$D$5:$K$5,0)))</f>
        <v>0</v>
      </c>
      <c r="S2460" s="160">
        <f>IF(B2460="",0,MIN(IF($N2460="Other Bond TM",ModelParameters!$N$21,1)*(P2460*Q2460+R2460),1))</f>
        <v>0.013999999999999998</v>
      </c>
      <c r="T2460" s="85">
        <f>IF(B2460="",0,$S2460*$K2460)</f>
        <v>0.0024995429012608152</v>
      </c>
      <c r="U2460" s="85">
        <f>IF(B2460="",0,IF(OR(H2460=MappingTables!$C$34,H2460=MappingTables!$C$35),T2460,0))</f>
        <v>0</v>
      </c>
      <c r="V2460" s="85">
        <f>IF(ISNA(IF(AND(VLOOKUP(CONCATENATE($D2460,$G2460),CSRFinput!$B:$E,4,0)=0,OR(H2460=MappingTables!$C$34,H2460=MappingTables!$C$35)),1,VLOOKUP(CONCATENATE($D2460,$G2460),CSRFinput!$B:$E,4,0))),0,IF(AND(VLOOKUP(CONCATENATE($D2460,$G2460),CSRFinput!$B:$E,4,0)=0,OR(H2460=MappingTables!$C$34,H2460=MappingTables!$C$35)),1,VLOOKUP(CONCATENATE($D2460,$G2460),CSRFinput!$B:$E,4,0)))</f>
        <v>0.054776304963434752</v>
      </c>
      <c r="W2460" s="85">
        <f>IF(B2460="",0,+$T2460*$V2460)</f>
        <v>0.00013691572422865088</v>
      </c>
      <c r="X2460" s="85">
        <f>IF(B2460="",0,IF(OR(H2460=MappingTables!$C$34,H2460=MappingTables!$C$35),W2460,0))</f>
        <v>0</v>
      </c>
    </row>
    <row r="2461" spans="2:24" s="0" customFormat="0" ht="15">
      <c r="B2461" s="69" t="s">
        <v>670</v>
      </c>
      <c r="C2461" s="70" t="s">
        <v>671</v>
      </c>
      <c r="D2461" s="70" t="s">
        <v>1</v>
      </c>
      <c r="E2461" s="70" t="s">
        <v>1</v>
      </c>
      <c r="F2461" s="70"/>
      <c r="G2461" s="70" t="s">
        <v>61</v>
      </c>
      <c r="H2461" s="70" t="s">
        <v>178</v>
      </c>
      <c r="I2461" s="70" t="s">
        <v>198</v>
      </c>
      <c r="J2461" s="71" t="str">
        <f>IF(OR(I2461=0,I2461=""),"unrated",VLOOKUP(I2461,MappingTables!$B$19:$C$31,2,FALSE))</f>
        <v>unrated</v>
      </c>
      <c r="K2461" s="72">
        <v>131.87178963900434</v>
      </c>
      <c r="L2461" s="70">
        <v>2.1179359038835444</v>
      </c>
      <c r="M2461" s="71">
        <f>IF(L2461&lt;1,1,L2461)</f>
        <v>2.1179359038835444</v>
      </c>
      <c r="N2461" s="70" t="s">
        <v>141</v>
      </c>
      <c r="O2461" s="71">
        <f>INDEX(DurClassMapping,MATCH(M2461,MappingTables!$D$4:$D$8,-1),1)</f>
        <v>1</v>
      </c>
      <c r="P2461" s="73">
        <f>IF(M2461=$A$1,1,$M2461-INDEX(MappingTables!$E$4:$E$8,MATCH(O2461,MappingTables!$B$4:$B$8,0)))</f>
        <v>2.1179359038835444</v>
      </c>
      <c r="Q2461" s="71">
        <f>IF(B2461="",0,INDEX(ModelParameters!$D$6:$K$10,MATCH($O2461,ModelParameters!$B$6:$B$10,0),MATCH($J2461,ModelParameters!$D$5:$K$5,0)))</f>
        <v>0.03</v>
      </c>
      <c r="R2461" s="71">
        <f>IF(B2461="",0,INDEX(ModelParameters!$D$13:$K$17,MATCH($O2461,ModelParameters!$B$13:$B$17,0),MATCH($J2461,ModelParameters!$D$5:$K$5,0)))</f>
        <v>0</v>
      </c>
      <c r="S2461" s="160">
        <f>IF(B2461="",0,MIN(IF($N2461="Other Bond TM",ModelParameters!$N$21,1)*(P2461*Q2461+R2461),1))</f>
        <v>0.063538077116506328</v>
      </c>
      <c r="T2461" s="85">
        <f>IF(B2461="",0,$S2461*$K2461)</f>
        <v>8.3788799395747568</v>
      </c>
      <c r="U2461" s="85">
        <f>IF(B2461="",0,IF(OR(H2461=MappingTables!$C$34,H2461=MappingTables!$C$35),T2461,0))</f>
        <v>0</v>
      </c>
      <c r="V2461" s="85">
        <f>IF(ISNA(IF(AND(VLOOKUP(CONCATENATE($D2461,$G2461),CSRFinput!$B:$E,4,0)=0,OR(H2461=MappingTables!$C$34,H2461=MappingTables!$C$35)),1,VLOOKUP(CONCATENATE($D2461,$G2461),CSRFinput!$B:$E,4,0))),0,IF(AND(VLOOKUP(CONCATENATE($D2461,$G2461),CSRFinput!$B:$E,4,0)=0,OR(H2461=MappingTables!$C$34,H2461=MappingTables!$C$35)),1,VLOOKUP(CONCATENATE($D2461,$G2461),CSRFinput!$B:$E,4,0)))</f>
        <v>0.054776304963434752</v>
      </c>
      <c r="W2461" s="85">
        <f>IF(B2461="",0,+$T2461*$V2461)</f>
        <v>0.45896408282215264</v>
      </c>
      <c r="X2461" s="85">
        <f>IF(B2461="",0,IF(OR(H2461=MappingTables!$C$34,H2461=MappingTables!$C$35),W2461,0))</f>
        <v>0</v>
      </c>
    </row>
    <row r="2462" spans="2:24" s="0" customFormat="0" ht="15">
      <c r="B2462" s="69">
        <v>17997877</v>
      </c>
      <c r="C2462" s="70" t="s">
        <v>1724</v>
      </c>
      <c r="D2462" s="70" t="s">
        <v>1</v>
      </c>
      <c r="E2462" s="70" t="s">
        <v>1</v>
      </c>
      <c r="F2462" s="70"/>
      <c r="G2462" s="70" t="s">
        <v>61</v>
      </c>
      <c r="H2462" s="70" t="s">
        <v>178</v>
      </c>
      <c r="I2462" s="70" t="s">
        <v>184</v>
      </c>
      <c r="J2462" s="71">
        <f>IF(OR(I2462=0,I2462=""),"unrated",VLOOKUP(I2462,MappingTables!$B$19:$C$31,2,FALSE))</f>
        <v>5</v>
      </c>
      <c r="K2462" s="72">
        <v>328.71388117310488</v>
      </c>
      <c r="L2462" s="70">
        <v>4.1556190362803504</v>
      </c>
      <c r="M2462" s="71">
        <f>IF(L2462&lt;1,1,L2462)</f>
        <v>4.1556190362803504</v>
      </c>
      <c r="N2462" s="70" t="s">
        <v>141</v>
      </c>
      <c r="O2462" s="71">
        <f>INDEX(DurClassMapping,MATCH(M2462,MappingTables!$D$4:$D$8,-1),1)</f>
        <v>1</v>
      </c>
      <c r="P2462" s="73">
        <f>IF(M2462=$A$1,1,$M2462-INDEX(MappingTables!$E$4:$E$8,MATCH(O2462,MappingTables!$B$4:$B$8,0)))</f>
        <v>4.1556190362803504</v>
      </c>
      <c r="Q2462" s="71">
        <f>IF(B2462="",0,INDEX(ModelParameters!$D$6:$K$10,MATCH($O2462,ModelParameters!$B$6:$B$10,0),MATCH($J2462,ModelParameters!$D$5:$K$5,0)))</f>
        <v>0.075</v>
      </c>
      <c r="R2462" s="71">
        <f>IF(B2462="",0,INDEX(ModelParameters!$D$13:$K$17,MATCH($O2462,ModelParameters!$B$13:$B$17,0),MATCH($J2462,ModelParameters!$D$5:$K$5,0)))</f>
        <v>0</v>
      </c>
      <c r="S2462" s="160">
        <f>IF(B2462="",0,MIN(IF($N2462="Other Bond TM",ModelParameters!$N$21,1)*(P2462*Q2462+R2462),1))</f>
        <v>0.31167142772102624</v>
      </c>
      <c r="T2462" s="85">
        <f>IF(B2462="",0,$S2462*$K2462)</f>
        <v>102.45072465694136</v>
      </c>
      <c r="U2462" s="85">
        <f>IF(B2462="",0,IF(OR(H2462=MappingTables!$C$34,H2462=MappingTables!$C$35),T2462,0))</f>
        <v>0</v>
      </c>
      <c r="V2462" s="85">
        <f>IF(ISNA(IF(AND(VLOOKUP(CONCATENATE($D2462,$G2462),CSRFinput!$B:$E,4,0)=0,OR(H2462=MappingTables!$C$34,H2462=MappingTables!$C$35)),1,VLOOKUP(CONCATENATE($D2462,$G2462),CSRFinput!$B:$E,4,0))),0,IF(AND(VLOOKUP(CONCATENATE($D2462,$G2462),CSRFinput!$B:$E,4,0)=0,OR(H2462=MappingTables!$C$34,H2462=MappingTables!$C$35)),1,VLOOKUP(CONCATENATE($D2462,$G2462),CSRFinput!$B:$E,4,0)))</f>
        <v>0.054776304963434752</v>
      </c>
      <c r="W2462" s="85">
        <f>IF(B2462="",0,+$T2462*$V2462)</f>
        <v>5.6118721375335048</v>
      </c>
      <c r="X2462" s="85">
        <f>IF(B2462="",0,IF(OR(H2462=MappingTables!$C$34,H2462=MappingTables!$C$35),W2462,0))</f>
        <v>0</v>
      </c>
    </row>
    <row r="2463" spans="2:24" s="0" customFormat="0" ht="15">
      <c r="B2463" s="69">
        <v>21069413</v>
      </c>
      <c r="C2463" s="70" t="s">
        <v>2380</v>
      </c>
      <c r="D2463" s="70" t="s">
        <v>1</v>
      </c>
      <c r="E2463" s="70" t="s">
        <v>1</v>
      </c>
      <c r="F2463" s="70"/>
      <c r="G2463" s="70" t="s">
        <v>61</v>
      </c>
      <c r="H2463" s="70" t="s">
        <v>178</v>
      </c>
      <c r="I2463" s="70" t="s">
        <v>181</v>
      </c>
      <c r="J2463" s="71">
        <f>IF(OR(I2463=0,I2463=""),"unrated",VLOOKUP(I2463,MappingTables!$B$19:$C$31,2,FALSE))</f>
        <v>3</v>
      </c>
      <c r="K2463" s="72">
        <v>164.92517164022842</v>
      </c>
      <c r="L2463" s="70">
        <v>0.28493052718496132</v>
      </c>
      <c r="M2463" s="71">
        <f>IF(L2463&lt;1,1,L2463)</f>
        <v>1</v>
      </c>
      <c r="N2463" s="70" t="s">
        <v>141</v>
      </c>
      <c r="O2463" s="71">
        <f>INDEX(DurClassMapping,MATCH(M2463,MappingTables!$D$4:$D$8,-1),1)</f>
        <v>1</v>
      </c>
      <c r="P2463" s="73">
        <f>IF(M2463=$A$1,1,$M2463-INDEX(MappingTables!$E$4:$E$8,MATCH(O2463,MappingTables!$B$4:$B$8,0)))</f>
        <v>1</v>
      </c>
      <c r="Q2463" s="71">
        <f>IF(B2463="",0,INDEX(ModelParameters!$D$6:$K$10,MATCH($O2463,ModelParameters!$B$6:$B$10,0),MATCH($J2463,ModelParameters!$D$5:$K$5,0)))</f>
        <v>0.025</v>
      </c>
      <c r="R2463" s="71">
        <f>IF(B2463="",0,INDEX(ModelParameters!$D$13:$K$17,MATCH($O2463,ModelParameters!$B$13:$B$17,0),MATCH($J2463,ModelParameters!$D$5:$K$5,0)))</f>
        <v>0</v>
      </c>
      <c r="S2463" s="160">
        <f>IF(B2463="",0,MIN(IF($N2463="Other Bond TM",ModelParameters!$N$21,1)*(P2463*Q2463+R2463),1))</f>
        <v>0.025</v>
      </c>
      <c r="T2463" s="85">
        <f>IF(B2463="",0,$S2463*$K2463)</f>
        <v>4.1231292910057104</v>
      </c>
      <c r="U2463" s="85">
        <f>IF(B2463="",0,IF(OR(H2463=MappingTables!$C$34,H2463=MappingTables!$C$35),T2463,0))</f>
        <v>0</v>
      </c>
      <c r="V2463" s="85">
        <f>IF(ISNA(IF(AND(VLOOKUP(CONCATENATE($D2463,$G2463),CSRFinput!$B:$E,4,0)=0,OR(H2463=MappingTables!$C$34,H2463=MappingTables!$C$35)),1,VLOOKUP(CONCATENATE($D2463,$G2463),CSRFinput!$B:$E,4,0))),0,IF(AND(VLOOKUP(CONCATENATE($D2463,$G2463),CSRFinput!$B:$E,4,0)=0,OR(H2463=MappingTables!$C$34,H2463=MappingTables!$C$35)),1,VLOOKUP(CONCATENATE($D2463,$G2463),CSRFinput!$B:$E,4,0)))</f>
        <v>0.054776304963434752</v>
      </c>
      <c r="W2463" s="85">
        <f>IF(B2463="",0,+$T2463*$V2463)</f>
        <v>0.22584978744779932</v>
      </c>
      <c r="X2463" s="85">
        <f>IF(B2463="",0,IF(OR(H2463=MappingTables!$C$34,H2463=MappingTables!$C$35),W2463,0))</f>
        <v>0</v>
      </c>
    </row>
    <row r="2464" spans="2:24" s="0" customFormat="0" ht="15">
      <c r="B2464" s="69">
        <v>14905454</v>
      </c>
      <c r="C2464" s="70" t="s">
        <v>2430</v>
      </c>
      <c r="D2464" s="70" t="s">
        <v>1</v>
      </c>
      <c r="E2464" s="70" t="s">
        <v>1</v>
      </c>
      <c r="F2464" s="70"/>
      <c r="G2464" s="70" t="s">
        <v>61</v>
      </c>
      <c r="H2464" s="70" t="s">
        <v>178</v>
      </c>
      <c r="I2464" s="70" t="s">
        <v>181</v>
      </c>
      <c r="J2464" s="71">
        <f>IF(OR(I2464=0,I2464=""),"unrated",VLOOKUP(I2464,MappingTables!$B$19:$C$31,2,FALSE))</f>
        <v>3</v>
      </c>
      <c r="K2464" s="72">
        <v>1.6515967408739472</v>
      </c>
      <c r="L2464" s="70">
        <v>0.73701574733401872</v>
      </c>
      <c r="M2464" s="71">
        <f>IF(L2464&lt;1,1,L2464)</f>
        <v>1</v>
      </c>
      <c r="N2464" s="70" t="s">
        <v>141</v>
      </c>
      <c r="O2464" s="71">
        <f>INDEX(DurClassMapping,MATCH(M2464,MappingTables!$D$4:$D$8,-1),1)</f>
        <v>1</v>
      </c>
      <c r="P2464" s="73">
        <f>IF(M2464=$A$1,1,$M2464-INDEX(MappingTables!$E$4:$E$8,MATCH(O2464,MappingTables!$B$4:$B$8,0)))</f>
        <v>1</v>
      </c>
      <c r="Q2464" s="71">
        <f>IF(B2464="",0,INDEX(ModelParameters!$D$6:$K$10,MATCH($O2464,ModelParameters!$B$6:$B$10,0),MATCH($J2464,ModelParameters!$D$5:$K$5,0)))</f>
        <v>0.025</v>
      </c>
      <c r="R2464" s="71">
        <f>IF(B2464="",0,INDEX(ModelParameters!$D$13:$K$17,MATCH($O2464,ModelParameters!$B$13:$B$17,0),MATCH($J2464,ModelParameters!$D$5:$K$5,0)))</f>
        <v>0</v>
      </c>
      <c r="S2464" s="160">
        <f>IF(B2464="",0,MIN(IF($N2464="Other Bond TM",ModelParameters!$N$21,1)*(P2464*Q2464+R2464),1))</f>
        <v>0.025</v>
      </c>
      <c r="T2464" s="85">
        <f>IF(B2464="",0,$S2464*$K2464)</f>
        <v>0.041289918521848688</v>
      </c>
      <c r="U2464" s="85">
        <f>IF(B2464="",0,IF(OR(H2464=MappingTables!$C$34,H2464=MappingTables!$C$35),T2464,0))</f>
        <v>0</v>
      </c>
      <c r="V2464" s="85">
        <f>IF(ISNA(IF(AND(VLOOKUP(CONCATENATE($D2464,$G2464),CSRFinput!$B:$E,4,0)=0,OR(H2464=MappingTables!$C$34,H2464=MappingTables!$C$35)),1,VLOOKUP(CONCATENATE($D2464,$G2464),CSRFinput!$B:$E,4,0))),0,IF(AND(VLOOKUP(CONCATENATE($D2464,$G2464),CSRFinput!$B:$E,4,0)=0,OR(H2464=MappingTables!$C$34,H2464=MappingTables!$C$35)),1,VLOOKUP(CONCATENATE($D2464,$G2464),CSRFinput!$B:$E,4,0)))</f>
        <v>0.054776304963434752</v>
      </c>
      <c r="W2464" s="85">
        <f>IF(B2464="",0,+$T2464*$V2464)</f>
        <v>0.0022617091688681568</v>
      </c>
      <c r="X2464" s="85">
        <f>IF(B2464="",0,IF(OR(H2464=MappingTables!$C$34,H2464=MappingTables!$C$35),W2464,0))</f>
        <v>0</v>
      </c>
    </row>
    <row r="2465" spans="2:24" s="0" customFormat="0" ht="15">
      <c r="B2465" s="69">
        <v>16963936</v>
      </c>
      <c r="C2465" s="70" t="s">
        <v>2431</v>
      </c>
      <c r="D2465" s="70" t="s">
        <v>1</v>
      </c>
      <c r="E2465" s="70" t="s">
        <v>1</v>
      </c>
      <c r="F2465" s="70"/>
      <c r="G2465" s="70" t="s">
        <v>61</v>
      </c>
      <c r="H2465" s="70" t="s">
        <v>178</v>
      </c>
      <c r="I2465" s="70" t="s">
        <v>188</v>
      </c>
      <c r="J2465" s="71">
        <f>IF(OR(I2465=0,I2465=""),"unrated",VLOOKUP(I2465,MappingTables!$B$19:$C$31,2,FALSE))</f>
        <v>2</v>
      </c>
      <c r="K2465" s="72">
        <v>55.61171408431012</v>
      </c>
      <c r="L2465" s="70">
        <v>0.39726402269776552</v>
      </c>
      <c r="M2465" s="71">
        <f>IF(L2465&lt;1,1,L2465)</f>
        <v>1</v>
      </c>
      <c r="N2465" s="70" t="s">
        <v>141</v>
      </c>
      <c r="O2465" s="71">
        <f>INDEX(DurClassMapping,MATCH(M2465,MappingTables!$D$4:$D$8,-1),1)</f>
        <v>1</v>
      </c>
      <c r="P2465" s="73">
        <f>IF(M2465=$A$1,1,$M2465-INDEX(MappingTables!$E$4:$E$8,MATCH(O2465,MappingTables!$B$4:$B$8,0)))</f>
        <v>1</v>
      </c>
      <c r="Q2465" s="71">
        <f>IF(B2465="",0,INDEX(ModelParameters!$D$6:$K$10,MATCH($O2465,ModelParameters!$B$6:$B$10,0),MATCH($J2465,ModelParameters!$D$5:$K$5,0)))</f>
        <v>0.013999999999999998</v>
      </c>
      <c r="R2465" s="71">
        <f>IF(B2465="",0,INDEX(ModelParameters!$D$13:$K$17,MATCH($O2465,ModelParameters!$B$13:$B$17,0),MATCH($J2465,ModelParameters!$D$5:$K$5,0)))</f>
        <v>0</v>
      </c>
      <c r="S2465" s="160">
        <f>IF(B2465="",0,MIN(IF($N2465="Other Bond TM",ModelParameters!$N$21,1)*(P2465*Q2465+R2465),1))</f>
        <v>0.013999999999999998</v>
      </c>
      <c r="T2465" s="85">
        <f>IF(B2465="",0,$S2465*$K2465)</f>
        <v>0.7785639971803416</v>
      </c>
      <c r="U2465" s="85">
        <f>IF(B2465="",0,IF(OR(H2465=MappingTables!$C$34,H2465=MappingTables!$C$35),T2465,0))</f>
        <v>0</v>
      </c>
      <c r="V2465" s="85">
        <f>IF(ISNA(IF(AND(VLOOKUP(CONCATENATE($D2465,$G2465),CSRFinput!$B:$E,4,0)=0,OR(H2465=MappingTables!$C$34,H2465=MappingTables!$C$35)),1,VLOOKUP(CONCATENATE($D2465,$G2465),CSRFinput!$B:$E,4,0))),0,IF(AND(VLOOKUP(CONCATENATE($D2465,$G2465),CSRFinput!$B:$E,4,0)=0,OR(H2465=MappingTables!$C$34,H2465=MappingTables!$C$35)),1,VLOOKUP(CONCATENATE($D2465,$G2465),CSRFinput!$B:$E,4,0)))</f>
        <v>0.054776304963434752</v>
      </c>
      <c r="W2465" s="85">
        <f>IF(B2465="",0,+$T2465*$V2465)</f>
        <v>0.042646858943101152</v>
      </c>
      <c r="X2465" s="85">
        <f>IF(B2465="",0,IF(OR(H2465=MappingTables!$C$34,H2465=MappingTables!$C$35),W2465,0))</f>
        <v>0</v>
      </c>
    </row>
    <row r="2466" spans="2:24" s="0" customFormat="0" ht="15">
      <c r="B2466" s="69">
        <v>23297633</v>
      </c>
      <c r="C2466" s="70" t="s">
        <v>2432</v>
      </c>
      <c r="D2466" s="70" t="s">
        <v>1</v>
      </c>
      <c r="E2466" s="70" t="s">
        <v>1</v>
      </c>
      <c r="F2466" s="70"/>
      <c r="G2466" s="70" t="s">
        <v>61</v>
      </c>
      <c r="H2466" s="70" t="s">
        <v>178</v>
      </c>
      <c r="I2466" s="70" t="s">
        <v>220</v>
      </c>
      <c r="J2466" s="71">
        <f>IF(OR(I2466=0,I2466=""),"unrated",VLOOKUP(I2466,MappingTables!$B$19:$C$31,2,FALSE))</f>
        <v>1</v>
      </c>
      <c r="K2466" s="72">
        <v>3092.725678505032</v>
      </c>
      <c r="L2466" s="70">
        <v>0.1561684013341289</v>
      </c>
      <c r="M2466" s="71">
        <f>IF(L2466&lt;1,1,L2466)</f>
        <v>1</v>
      </c>
      <c r="N2466" s="70" t="s">
        <v>141</v>
      </c>
      <c r="O2466" s="71">
        <f>INDEX(DurClassMapping,MATCH(M2466,MappingTables!$D$4:$D$8,-1),1)</f>
        <v>1</v>
      </c>
      <c r="P2466" s="73">
        <f>IF(M2466=$A$1,1,$M2466-INDEX(MappingTables!$E$4:$E$8,MATCH(O2466,MappingTables!$B$4:$B$8,0)))</f>
        <v>1</v>
      </c>
      <c r="Q2466" s="71">
        <f>IF(B2466="",0,INDEX(ModelParameters!$D$6:$K$10,MATCH($O2466,ModelParameters!$B$6:$B$10,0),MATCH($J2466,ModelParameters!$D$5:$K$5,0)))</f>
        <v>0.011000000000000002</v>
      </c>
      <c r="R2466" s="71">
        <f>IF(B2466="",0,INDEX(ModelParameters!$D$13:$K$17,MATCH($O2466,ModelParameters!$B$13:$B$17,0),MATCH($J2466,ModelParameters!$D$5:$K$5,0)))</f>
        <v>0</v>
      </c>
      <c r="S2466" s="160">
        <f>IF(B2466="",0,MIN(IF($N2466="Other Bond TM",ModelParameters!$N$21,1)*(P2466*Q2466+R2466),1))</f>
        <v>0.011000000000000002</v>
      </c>
      <c r="T2466" s="85">
        <f>IF(B2466="",0,$S2466*$K2466)</f>
        <v>34.01998246355536</v>
      </c>
      <c r="U2466" s="85">
        <f>IF(B2466="",0,IF(OR(H2466=MappingTables!$C$34,H2466=MappingTables!$C$35),T2466,0))</f>
        <v>0</v>
      </c>
      <c r="V2466" s="85">
        <f>IF(ISNA(IF(AND(VLOOKUP(CONCATENATE($D2466,$G2466),CSRFinput!$B:$E,4,0)=0,OR(H2466=MappingTables!$C$34,H2466=MappingTables!$C$35)),1,VLOOKUP(CONCATENATE($D2466,$G2466),CSRFinput!$B:$E,4,0))),0,IF(AND(VLOOKUP(CONCATENATE($D2466,$G2466),CSRFinput!$B:$E,4,0)=0,OR(H2466=MappingTables!$C$34,H2466=MappingTables!$C$35)),1,VLOOKUP(CONCATENATE($D2466,$G2466),CSRFinput!$B:$E,4,0)))</f>
        <v>0.054776304963434752</v>
      </c>
      <c r="W2466" s="85">
        <f>IF(B2466="",0,+$T2466*$V2466)</f>
        <v>1.8634889342744104</v>
      </c>
      <c r="X2466" s="85">
        <f>IF(B2466="",0,IF(OR(H2466=MappingTables!$C$34,H2466=MappingTables!$C$35),W2466,0))</f>
        <v>0</v>
      </c>
    </row>
    <row r="2467" spans="2:24" s="0" customFormat="0" ht="15">
      <c r="B2467" s="69" t="s">
        <v>1889</v>
      </c>
      <c r="C2467" s="70" t="s">
        <v>1890</v>
      </c>
      <c r="D2467" s="70" t="s">
        <v>1</v>
      </c>
      <c r="E2467" s="70" t="s">
        <v>1</v>
      </c>
      <c r="F2467" s="70"/>
      <c r="G2467" s="70" t="s">
        <v>61</v>
      </c>
      <c r="H2467" s="70" t="s">
        <v>178</v>
      </c>
      <c r="I2467" s="70" t="s">
        <v>188</v>
      </c>
      <c r="J2467" s="71">
        <f>IF(OR(I2467=0,I2467=""),"unrated",VLOOKUP(I2467,MappingTables!$B$19:$C$31,2,FALSE))</f>
        <v>2</v>
      </c>
      <c r="K2467" s="72">
        <v>1963.5182196174952</v>
      </c>
      <c r="L2467" s="70">
        <v>0.54637573619682832</v>
      </c>
      <c r="M2467" s="71">
        <f>IF(L2467&lt;1,1,L2467)</f>
        <v>1</v>
      </c>
      <c r="N2467" s="70" t="s">
        <v>141</v>
      </c>
      <c r="O2467" s="71">
        <f>INDEX(DurClassMapping,MATCH(M2467,MappingTables!$D$4:$D$8,-1),1)</f>
        <v>1</v>
      </c>
      <c r="P2467" s="73">
        <f>IF(M2467=$A$1,1,$M2467-INDEX(MappingTables!$E$4:$E$8,MATCH(O2467,MappingTables!$B$4:$B$8,0)))</f>
        <v>1</v>
      </c>
      <c r="Q2467" s="71">
        <f>IF(B2467="",0,INDEX(ModelParameters!$D$6:$K$10,MATCH($O2467,ModelParameters!$B$6:$B$10,0),MATCH($J2467,ModelParameters!$D$5:$K$5,0)))</f>
        <v>0.013999999999999998</v>
      </c>
      <c r="R2467" s="71">
        <f>IF(B2467="",0,INDEX(ModelParameters!$D$13:$K$17,MATCH($O2467,ModelParameters!$B$13:$B$17,0),MATCH($J2467,ModelParameters!$D$5:$K$5,0)))</f>
        <v>0</v>
      </c>
      <c r="S2467" s="160">
        <f>IF(B2467="",0,MIN(IF($N2467="Other Bond TM",ModelParameters!$N$21,1)*(P2467*Q2467+R2467),1))</f>
        <v>0.013999999999999998</v>
      </c>
      <c r="T2467" s="85">
        <f>IF(B2467="",0,$S2467*$K2467)</f>
        <v>27.489255074644932</v>
      </c>
      <c r="U2467" s="85">
        <f>IF(B2467="",0,IF(OR(H2467=MappingTables!$C$34,H2467=MappingTables!$C$35),T2467,0))</f>
        <v>0</v>
      </c>
      <c r="V2467" s="85">
        <f>IF(ISNA(IF(AND(VLOOKUP(CONCATENATE($D2467,$G2467),CSRFinput!$B:$E,4,0)=0,OR(H2467=MappingTables!$C$34,H2467=MappingTables!$C$35)),1,VLOOKUP(CONCATENATE($D2467,$G2467),CSRFinput!$B:$E,4,0))),0,IF(AND(VLOOKUP(CONCATENATE($D2467,$G2467),CSRFinput!$B:$E,4,0)=0,OR(H2467=MappingTables!$C$34,H2467=MappingTables!$C$35)),1,VLOOKUP(CONCATENATE($D2467,$G2467),CSRFinput!$B:$E,4,0)))</f>
        <v>0.054776304963434752</v>
      </c>
      <c r="W2467" s="85">
        <f>IF(B2467="",0,+$T2467*$V2467)</f>
        <v>1.505759819186397</v>
      </c>
      <c r="X2467" s="85">
        <f>IF(B2467="",0,IF(OR(H2467=MappingTables!$C$34,H2467=MappingTables!$C$35),W2467,0))</f>
        <v>0</v>
      </c>
    </row>
    <row r="2468" spans="2:24" s="0" customFormat="0" ht="15">
      <c r="B2468" s="69" t="s">
        <v>2433</v>
      </c>
      <c r="C2468" s="70" t="s">
        <v>2434</v>
      </c>
      <c r="D2468" s="70" t="s">
        <v>1</v>
      </c>
      <c r="E2468" s="70" t="s">
        <v>1</v>
      </c>
      <c r="F2468" s="70"/>
      <c r="G2468" s="70" t="s">
        <v>61</v>
      </c>
      <c r="H2468" s="70" t="s">
        <v>178</v>
      </c>
      <c r="I2468" s="70" t="s">
        <v>198</v>
      </c>
      <c r="J2468" s="71" t="str">
        <f>IF(OR(I2468=0,I2468=""),"unrated",VLOOKUP(I2468,MappingTables!$B$19:$C$31,2,FALSE))</f>
        <v>unrated</v>
      </c>
      <c r="K2468" s="72">
        <v>0.97871693410057072</v>
      </c>
      <c r="L2468" s="70">
        <v>0.26301360497043724</v>
      </c>
      <c r="M2468" s="71">
        <f>IF(L2468&lt;1,1,L2468)</f>
        <v>1</v>
      </c>
      <c r="N2468" s="70" t="s">
        <v>141</v>
      </c>
      <c r="O2468" s="71">
        <f>INDEX(DurClassMapping,MATCH(M2468,MappingTables!$D$4:$D$8,-1),1)</f>
        <v>1</v>
      </c>
      <c r="P2468" s="73">
        <f>IF(M2468=$A$1,1,$M2468-INDEX(MappingTables!$E$4:$E$8,MATCH(O2468,MappingTables!$B$4:$B$8,0)))</f>
        <v>1</v>
      </c>
      <c r="Q2468" s="71">
        <f>IF(B2468="",0,INDEX(ModelParameters!$D$6:$K$10,MATCH($O2468,ModelParameters!$B$6:$B$10,0),MATCH($J2468,ModelParameters!$D$5:$K$5,0)))</f>
        <v>0.03</v>
      </c>
      <c r="R2468" s="71">
        <f>IF(B2468="",0,INDEX(ModelParameters!$D$13:$K$17,MATCH($O2468,ModelParameters!$B$13:$B$17,0),MATCH($J2468,ModelParameters!$D$5:$K$5,0)))</f>
        <v>0</v>
      </c>
      <c r="S2468" s="160">
        <f>IF(B2468="",0,MIN(IF($N2468="Other Bond TM",ModelParameters!$N$21,1)*(P2468*Q2468+R2468),1))</f>
        <v>0.03</v>
      </c>
      <c r="T2468" s="85">
        <f>IF(B2468="",0,$S2468*$K2468)</f>
        <v>0.02936150802301712</v>
      </c>
      <c r="U2468" s="85">
        <f>IF(B2468="",0,IF(OR(H2468=MappingTables!$C$34,H2468=MappingTables!$C$35),T2468,0))</f>
        <v>0</v>
      </c>
      <c r="V2468" s="85">
        <f>IF(ISNA(IF(AND(VLOOKUP(CONCATENATE($D2468,$G2468),CSRFinput!$B:$E,4,0)=0,OR(H2468=MappingTables!$C$34,H2468=MappingTables!$C$35)),1,VLOOKUP(CONCATENATE($D2468,$G2468),CSRFinput!$B:$E,4,0))),0,IF(AND(VLOOKUP(CONCATENATE($D2468,$G2468),CSRFinput!$B:$E,4,0)=0,OR(H2468=MappingTables!$C$34,H2468=MappingTables!$C$35)),1,VLOOKUP(CONCATENATE($D2468,$G2468),CSRFinput!$B:$E,4,0)))</f>
        <v>0.054776304963434752</v>
      </c>
      <c r="W2468" s="85">
        <f>IF(B2468="",0,+$T2468*$V2468)</f>
        <v>0.001608314917655122</v>
      </c>
      <c r="X2468" s="85">
        <f>IF(B2468="",0,IF(OR(H2468=MappingTables!$C$34,H2468=MappingTables!$C$35),W2468,0))</f>
        <v>0</v>
      </c>
    </row>
    <row r="2469" spans="2:24" s="0" customFormat="0" ht="15">
      <c r="B2469" s="69" t="s">
        <v>2435</v>
      </c>
      <c r="C2469" s="70" t="s">
        <v>2436</v>
      </c>
      <c r="D2469" s="70" t="s">
        <v>1</v>
      </c>
      <c r="E2469" s="70" t="s">
        <v>1</v>
      </c>
      <c r="F2469" s="70"/>
      <c r="G2469" s="70" t="s">
        <v>61</v>
      </c>
      <c r="H2469" s="70" t="s">
        <v>178</v>
      </c>
      <c r="I2469" s="70" t="s">
        <v>198</v>
      </c>
      <c r="J2469" s="71" t="str">
        <f>IF(OR(I2469=0,I2469=""),"unrated",VLOOKUP(I2469,MappingTables!$B$19:$C$31,2,FALSE))</f>
        <v>unrated</v>
      </c>
      <c r="K2469" s="72">
        <v>26345.87845204746</v>
      </c>
      <c r="L2469" s="70">
        <v>4.8122066817004568</v>
      </c>
      <c r="M2469" s="71">
        <f>IF(L2469&lt;1,1,L2469)</f>
        <v>4.8122066817004568</v>
      </c>
      <c r="N2469" s="70" t="s">
        <v>141</v>
      </c>
      <c r="O2469" s="71">
        <f>INDEX(DurClassMapping,MATCH(M2469,MappingTables!$D$4:$D$8,-1),1)</f>
        <v>1</v>
      </c>
      <c r="P2469" s="73">
        <f>IF(M2469=$A$1,1,$M2469-INDEX(MappingTables!$E$4:$E$8,MATCH(O2469,MappingTables!$B$4:$B$8,0)))</f>
        <v>4.8122066817004568</v>
      </c>
      <c r="Q2469" s="71">
        <f>IF(B2469="",0,INDEX(ModelParameters!$D$6:$K$10,MATCH($O2469,ModelParameters!$B$6:$B$10,0),MATCH($J2469,ModelParameters!$D$5:$K$5,0)))</f>
        <v>0.03</v>
      </c>
      <c r="R2469" s="71">
        <f>IF(B2469="",0,INDEX(ModelParameters!$D$13:$K$17,MATCH($O2469,ModelParameters!$B$13:$B$17,0),MATCH($J2469,ModelParameters!$D$5:$K$5,0)))</f>
        <v>0</v>
      </c>
      <c r="S2469" s="160">
        <f>IF(B2469="",0,MIN(IF($N2469="Other Bond TM",ModelParameters!$N$21,1)*(P2469*Q2469+R2469),1))</f>
        <v>0.1443662004510137</v>
      </c>
      <c r="T2469" s="85">
        <f>IF(B2469="",0,$S2469*$K2469)</f>
        <v>3803.4543696663256</v>
      </c>
      <c r="U2469" s="85">
        <f>IF(B2469="",0,IF(OR(H2469=MappingTables!$C$34,H2469=MappingTables!$C$35),T2469,0))</f>
        <v>0</v>
      </c>
      <c r="V2469" s="85">
        <f>IF(ISNA(IF(AND(VLOOKUP(CONCATENATE($D2469,$G2469),CSRFinput!$B:$E,4,0)=0,OR(H2469=MappingTables!$C$34,H2469=MappingTables!$C$35)),1,VLOOKUP(CONCATENATE($D2469,$G2469),CSRFinput!$B:$E,4,0))),0,IF(AND(VLOOKUP(CONCATENATE($D2469,$G2469),CSRFinput!$B:$E,4,0)=0,OR(H2469=MappingTables!$C$34,H2469=MappingTables!$C$35)),1,VLOOKUP(CONCATENATE($D2469,$G2469),CSRFinput!$B:$E,4,0)))</f>
        <v>0.054776304963434752</v>
      </c>
      <c r="W2469" s="85">
        <f>IF(B2469="",0,+$T2469*$V2469)</f>
        <v>208.33917646735116</v>
      </c>
      <c r="X2469" s="85">
        <f>IF(B2469="",0,IF(OR(H2469=MappingTables!$C$34,H2469=MappingTables!$C$35),W2469,0))</f>
        <v>0</v>
      </c>
    </row>
    <row r="2470" spans="2:24" s="0" customFormat="0" ht="15">
      <c r="B2470" s="69" t="s">
        <v>1694</v>
      </c>
      <c r="C2470" s="70" t="s">
        <v>1695</v>
      </c>
      <c r="D2470" s="70" t="s">
        <v>1</v>
      </c>
      <c r="E2470" s="70" t="s">
        <v>1</v>
      </c>
      <c r="F2470" s="70"/>
      <c r="G2470" s="70" t="s">
        <v>61</v>
      </c>
      <c r="H2470" s="70" t="s">
        <v>178</v>
      </c>
      <c r="I2470" s="70" t="s">
        <v>220</v>
      </c>
      <c r="J2470" s="71">
        <f>IF(OR(I2470=0,I2470=""),"unrated",VLOOKUP(I2470,MappingTables!$B$19:$C$31,2,FALSE))</f>
        <v>1</v>
      </c>
      <c r="K2470" s="72">
        <v>2735.0001022061876</v>
      </c>
      <c r="L2470" s="70">
        <v>1.1491036220208542</v>
      </c>
      <c r="M2470" s="71">
        <f>IF(L2470&lt;1,1,L2470)</f>
        <v>1.1491036220208542</v>
      </c>
      <c r="N2470" s="70" t="s">
        <v>141</v>
      </c>
      <c r="O2470" s="71">
        <f>INDEX(DurClassMapping,MATCH(M2470,MappingTables!$D$4:$D$8,-1),1)</f>
        <v>1</v>
      </c>
      <c r="P2470" s="73">
        <f>IF(M2470=$A$1,1,$M2470-INDEX(MappingTables!$E$4:$E$8,MATCH(O2470,MappingTables!$B$4:$B$8,0)))</f>
        <v>1.1491036220208542</v>
      </c>
      <c r="Q2470" s="71">
        <f>IF(B2470="",0,INDEX(ModelParameters!$D$6:$K$10,MATCH($O2470,ModelParameters!$B$6:$B$10,0),MATCH($J2470,ModelParameters!$D$5:$K$5,0)))</f>
        <v>0.011000000000000002</v>
      </c>
      <c r="R2470" s="71">
        <f>IF(B2470="",0,INDEX(ModelParameters!$D$13:$K$17,MATCH($O2470,ModelParameters!$B$13:$B$17,0),MATCH($J2470,ModelParameters!$D$5:$K$5,0)))</f>
        <v>0</v>
      </c>
      <c r="S2470" s="160">
        <f>IF(B2470="",0,MIN(IF($N2470="Other Bond TM",ModelParameters!$N$21,1)*(P2470*Q2470+R2470),1))</f>
        <v>0.012640139842229398</v>
      </c>
      <c r="T2470" s="85">
        <f>IF(B2470="",0,$S2470*$K2470)</f>
        <v>34.5707837603979</v>
      </c>
      <c r="U2470" s="85">
        <f>IF(B2470="",0,IF(OR(H2470=MappingTables!$C$34,H2470=MappingTables!$C$35),T2470,0))</f>
        <v>0</v>
      </c>
      <c r="V2470" s="85">
        <f>IF(ISNA(IF(AND(VLOOKUP(CONCATENATE($D2470,$G2470),CSRFinput!$B:$E,4,0)=0,OR(H2470=MappingTables!$C$34,H2470=MappingTables!$C$35)),1,VLOOKUP(CONCATENATE($D2470,$G2470),CSRFinput!$B:$E,4,0))),0,IF(AND(VLOOKUP(CONCATENATE($D2470,$G2470),CSRFinput!$B:$E,4,0)=0,OR(H2470=MappingTables!$C$34,H2470=MappingTables!$C$35)),1,VLOOKUP(CONCATENATE($D2470,$G2470),CSRFinput!$B:$E,4,0)))</f>
        <v>0.054776304963434752</v>
      </c>
      <c r="W2470" s="85">
        <f>IF(B2470="",0,+$T2470*$V2470)</f>
        <v>1.8936597940845132</v>
      </c>
      <c r="X2470" s="85">
        <f>IF(B2470="",0,IF(OR(H2470=MappingTables!$C$34,H2470=MappingTables!$C$35),W2470,0))</f>
        <v>0</v>
      </c>
    </row>
    <row r="2471" spans="2:24" s="0" customFormat="0" ht="15">
      <c r="B2471" s="69">
        <v>21740948</v>
      </c>
      <c r="C2471" s="70" t="s">
        <v>782</v>
      </c>
      <c r="D2471" s="70" t="s">
        <v>1</v>
      </c>
      <c r="E2471" s="70" t="s">
        <v>1</v>
      </c>
      <c r="F2471" s="70"/>
      <c r="G2471" s="70" t="s">
        <v>61</v>
      </c>
      <c r="H2471" s="70" t="s">
        <v>178</v>
      </c>
      <c r="I2471" s="70" t="s">
        <v>181</v>
      </c>
      <c r="J2471" s="71">
        <f>IF(OR(I2471=0,I2471=""),"unrated",VLOOKUP(I2471,MappingTables!$B$19:$C$31,2,FALSE))</f>
        <v>3</v>
      </c>
      <c r="K2471" s="72">
        <v>4.7759042775185016</v>
      </c>
      <c r="L2471" s="70">
        <v>1.9403205478859936</v>
      </c>
      <c r="M2471" s="71">
        <f>IF(L2471&lt;1,1,L2471)</f>
        <v>1.9403205478859936</v>
      </c>
      <c r="N2471" s="70" t="s">
        <v>141</v>
      </c>
      <c r="O2471" s="71">
        <f>INDEX(DurClassMapping,MATCH(M2471,MappingTables!$D$4:$D$8,-1),1)</f>
        <v>1</v>
      </c>
      <c r="P2471" s="73">
        <f>IF(M2471=$A$1,1,$M2471-INDEX(MappingTables!$E$4:$E$8,MATCH(O2471,MappingTables!$B$4:$B$8,0)))</f>
        <v>1.9403205478859936</v>
      </c>
      <c r="Q2471" s="71">
        <f>IF(B2471="",0,INDEX(ModelParameters!$D$6:$K$10,MATCH($O2471,ModelParameters!$B$6:$B$10,0),MATCH($J2471,ModelParameters!$D$5:$K$5,0)))</f>
        <v>0.025</v>
      </c>
      <c r="R2471" s="71">
        <f>IF(B2471="",0,INDEX(ModelParameters!$D$13:$K$17,MATCH($O2471,ModelParameters!$B$13:$B$17,0),MATCH($J2471,ModelParameters!$D$5:$K$5,0)))</f>
        <v>0</v>
      </c>
      <c r="S2471" s="160">
        <f>IF(B2471="",0,MIN(IF($N2471="Other Bond TM",ModelParameters!$N$21,1)*(P2471*Q2471+R2471),1))</f>
        <v>0.04850801369714984</v>
      </c>
      <c r="T2471" s="85">
        <f>IF(B2471="",0,$S2471*$K2471)</f>
        <v>0.23166963011014396</v>
      </c>
      <c r="U2471" s="85">
        <f>IF(B2471="",0,IF(OR(H2471=MappingTables!$C$34,H2471=MappingTables!$C$35),T2471,0))</f>
        <v>0</v>
      </c>
      <c r="V2471" s="85">
        <f>IF(ISNA(IF(AND(VLOOKUP(CONCATENATE($D2471,$G2471),CSRFinput!$B:$E,4,0)=0,OR(H2471=MappingTables!$C$34,H2471=MappingTables!$C$35)),1,VLOOKUP(CONCATENATE($D2471,$G2471),CSRFinput!$B:$E,4,0))),0,IF(AND(VLOOKUP(CONCATENATE($D2471,$G2471),CSRFinput!$B:$E,4,0)=0,OR(H2471=MappingTables!$C$34,H2471=MappingTables!$C$35)),1,VLOOKUP(CONCATENATE($D2471,$G2471),CSRFinput!$B:$E,4,0)))</f>
        <v>0.054776304963434752</v>
      </c>
      <c r="W2471" s="85">
        <f>IF(B2471="",0,+$T2471*$V2471)</f>
        <v>0.012690006309679372</v>
      </c>
      <c r="X2471" s="85">
        <f>IF(B2471="",0,IF(OR(H2471=MappingTables!$C$34,H2471=MappingTables!$C$35),W2471,0))</f>
        <v>0</v>
      </c>
    </row>
    <row r="2472" spans="2:24" s="0" customFormat="0" ht="15">
      <c r="B2472" s="69">
        <v>4876677</v>
      </c>
      <c r="C2472" s="70" t="s">
        <v>1048</v>
      </c>
      <c r="D2472" s="70" t="s">
        <v>1</v>
      </c>
      <c r="E2472" s="70" t="s">
        <v>1</v>
      </c>
      <c r="F2472" s="70"/>
      <c r="G2472" s="70" t="s">
        <v>61</v>
      </c>
      <c r="H2472" s="70" t="s">
        <v>178</v>
      </c>
      <c r="I2472" s="70" t="s">
        <v>181</v>
      </c>
      <c r="J2472" s="71">
        <f>IF(OR(I2472=0,I2472=""),"unrated",VLOOKUP(I2472,MappingTables!$B$19:$C$31,2,FALSE))</f>
        <v>3</v>
      </c>
      <c r="K2472" s="72">
        <v>24840.051882681632</v>
      </c>
      <c r="L2472" s="70">
        <v>13.836757528748966</v>
      </c>
      <c r="M2472" s="71">
        <f>IF(L2472&lt;1,1,L2472)</f>
        <v>13.836757528748966</v>
      </c>
      <c r="N2472" s="70" t="s">
        <v>141</v>
      </c>
      <c r="O2472" s="71">
        <f>INDEX(DurClassMapping,MATCH(M2472,MappingTables!$D$4:$D$8,-1),1)</f>
        <v>3</v>
      </c>
      <c r="P2472" s="73">
        <f>IF(M2472=$A$1,1,$M2472-INDEX(MappingTables!$E$4:$E$8,MATCH(O2472,MappingTables!$B$4:$B$8,0)))</f>
        <v>3.8367575287489672</v>
      </c>
      <c r="Q2472" s="71">
        <f>IF(B2472="",0,INDEX(ModelParameters!$D$6:$K$10,MATCH($O2472,ModelParameters!$B$6:$B$10,0),MATCH($J2472,ModelParameters!$D$5:$K$5,0)))</f>
        <v>0.01</v>
      </c>
      <c r="R2472" s="71">
        <f>IF(B2472="",0,INDEX(ModelParameters!$D$13:$K$17,MATCH($O2472,ModelParameters!$B$13:$B$17,0),MATCH($J2472,ModelParameters!$D$5:$K$5,0)))</f>
        <v>0.2</v>
      </c>
      <c r="S2472" s="160">
        <f>IF(B2472="",0,MIN(IF($N2472="Other Bond TM",ModelParameters!$N$21,1)*(P2472*Q2472+R2472),1))</f>
        <v>0.23836757528748968</v>
      </c>
      <c r="T2472" s="85">
        <f>IF(B2472="",0,$S2472*$K2472)</f>
        <v>5921.062937290264</v>
      </c>
      <c r="U2472" s="85">
        <f>IF(B2472="",0,IF(OR(H2472=MappingTables!$C$34,H2472=MappingTables!$C$35),T2472,0))</f>
        <v>0</v>
      </c>
      <c r="V2472" s="85">
        <f>IF(ISNA(IF(AND(VLOOKUP(CONCATENATE($D2472,$G2472),CSRFinput!$B:$E,4,0)=0,OR(H2472=MappingTables!$C$34,H2472=MappingTables!$C$35)),1,VLOOKUP(CONCATENATE($D2472,$G2472),CSRFinput!$B:$E,4,0))),0,IF(AND(VLOOKUP(CONCATENATE($D2472,$G2472),CSRFinput!$B:$E,4,0)=0,OR(H2472=MappingTables!$C$34,H2472=MappingTables!$C$35)),1,VLOOKUP(CONCATENATE($D2472,$G2472),CSRFinput!$B:$E,4,0)))</f>
        <v>0.054776304963434752</v>
      </c>
      <c r="W2472" s="85">
        <f>IF(B2472="",0,+$T2472*$V2472)</f>
        <v>324.33394916070228</v>
      </c>
      <c r="X2472" s="85">
        <f>IF(B2472="",0,IF(OR(H2472=MappingTables!$C$34,H2472=MappingTables!$C$35),W2472,0))</f>
        <v>0</v>
      </c>
    </row>
    <row r="2473" spans="2:24" s="0" customFormat="0" ht="15">
      <c r="B2473" s="69">
        <v>22934551</v>
      </c>
      <c r="C2473" s="70" t="s">
        <v>2437</v>
      </c>
      <c r="D2473" s="70" t="s">
        <v>1</v>
      </c>
      <c r="E2473" s="70" t="s">
        <v>1</v>
      </c>
      <c r="F2473" s="70"/>
      <c r="G2473" s="70" t="s">
        <v>61</v>
      </c>
      <c r="H2473" s="70" t="s">
        <v>178</v>
      </c>
      <c r="I2473" s="70" t="s">
        <v>184</v>
      </c>
      <c r="J2473" s="71">
        <f>IF(OR(I2473=0,I2473=""),"unrated",VLOOKUP(I2473,MappingTables!$B$19:$C$31,2,FALSE))</f>
        <v>5</v>
      </c>
      <c r="K2473" s="72">
        <v>128.01962756013564</v>
      </c>
      <c r="L2473" s="70">
        <v>2.3399406331715088</v>
      </c>
      <c r="M2473" s="71">
        <f>IF(L2473&lt;1,1,L2473)</f>
        <v>2.3399406331715088</v>
      </c>
      <c r="N2473" s="70" t="s">
        <v>141</v>
      </c>
      <c r="O2473" s="71">
        <f>INDEX(DurClassMapping,MATCH(M2473,MappingTables!$D$4:$D$8,-1),1)</f>
        <v>1</v>
      </c>
      <c r="P2473" s="73">
        <f>IF(M2473=$A$1,1,$M2473-INDEX(MappingTables!$E$4:$E$8,MATCH(O2473,MappingTables!$B$4:$B$8,0)))</f>
        <v>2.3399406331715088</v>
      </c>
      <c r="Q2473" s="71">
        <f>IF(B2473="",0,INDEX(ModelParameters!$D$6:$K$10,MATCH($O2473,ModelParameters!$B$6:$B$10,0),MATCH($J2473,ModelParameters!$D$5:$K$5,0)))</f>
        <v>0.075</v>
      </c>
      <c r="R2473" s="71">
        <f>IF(B2473="",0,INDEX(ModelParameters!$D$13:$K$17,MATCH($O2473,ModelParameters!$B$13:$B$17,0),MATCH($J2473,ModelParameters!$D$5:$K$5,0)))</f>
        <v>0</v>
      </c>
      <c r="S2473" s="160">
        <f>IF(B2473="",0,MIN(IF($N2473="Other Bond TM",ModelParameters!$N$21,1)*(P2473*Q2473+R2473),1))</f>
        <v>0.17549554748786316</v>
      </c>
      <c r="T2473" s="85">
        <f>IF(B2473="",0,$S2473*$K2473)</f>
        <v>22.46687462785834</v>
      </c>
      <c r="U2473" s="85">
        <f>IF(B2473="",0,IF(OR(H2473=MappingTables!$C$34,H2473=MappingTables!$C$35),T2473,0))</f>
        <v>0</v>
      </c>
      <c r="V2473" s="85">
        <f>IF(ISNA(IF(AND(VLOOKUP(CONCATENATE($D2473,$G2473),CSRFinput!$B:$E,4,0)=0,OR(H2473=MappingTables!$C$34,H2473=MappingTables!$C$35)),1,VLOOKUP(CONCATENATE($D2473,$G2473),CSRFinput!$B:$E,4,0))),0,IF(AND(VLOOKUP(CONCATENATE($D2473,$G2473),CSRFinput!$B:$E,4,0)=0,OR(H2473=MappingTables!$C$34,H2473=MappingTables!$C$35)),1,VLOOKUP(CONCATENATE($D2473,$G2473),CSRFinput!$B:$E,4,0)))</f>
        <v>0.054776304963434752</v>
      </c>
      <c r="W2473" s="85">
        <f>IF(B2473="",0,+$T2473*$V2473)</f>
        <v>1.230652376190823</v>
      </c>
      <c r="X2473" s="85">
        <f>IF(B2473="",0,IF(OR(H2473=MappingTables!$C$34,H2473=MappingTables!$C$35),W2473,0))</f>
        <v>0</v>
      </c>
    </row>
    <row r="2474" spans="2:24" s="0" customFormat="0" ht="15">
      <c r="B2474" s="69" t="s">
        <v>1090</v>
      </c>
      <c r="C2474" s="70" t="s">
        <v>1091</v>
      </c>
      <c r="D2474" s="70" t="s">
        <v>1</v>
      </c>
      <c r="E2474" s="70" t="s">
        <v>1</v>
      </c>
      <c r="F2474" s="70"/>
      <c r="G2474" s="70" t="s">
        <v>61</v>
      </c>
      <c r="H2474" s="70" t="s">
        <v>178</v>
      </c>
      <c r="I2474" s="70" t="s">
        <v>181</v>
      </c>
      <c r="J2474" s="71">
        <f>IF(OR(I2474=0,I2474=""),"unrated",VLOOKUP(I2474,MappingTables!$B$19:$C$31,2,FALSE))</f>
        <v>3</v>
      </c>
      <c r="K2474" s="72">
        <v>10.201871776590624</v>
      </c>
      <c r="L2474" s="70">
        <v>0.38356139923207752</v>
      </c>
      <c r="M2474" s="71">
        <f>IF(L2474&lt;1,1,L2474)</f>
        <v>1</v>
      </c>
      <c r="N2474" s="70" t="s">
        <v>141</v>
      </c>
      <c r="O2474" s="71">
        <f>INDEX(DurClassMapping,MATCH(M2474,MappingTables!$D$4:$D$8,-1),1)</f>
        <v>1</v>
      </c>
      <c r="P2474" s="73">
        <f>IF(M2474=$A$1,1,$M2474-INDEX(MappingTables!$E$4:$E$8,MATCH(O2474,MappingTables!$B$4:$B$8,0)))</f>
        <v>1</v>
      </c>
      <c r="Q2474" s="71">
        <f>IF(B2474="",0,INDEX(ModelParameters!$D$6:$K$10,MATCH($O2474,ModelParameters!$B$6:$B$10,0),MATCH($J2474,ModelParameters!$D$5:$K$5,0)))</f>
        <v>0.025</v>
      </c>
      <c r="R2474" s="71">
        <f>IF(B2474="",0,INDEX(ModelParameters!$D$13:$K$17,MATCH($O2474,ModelParameters!$B$13:$B$17,0),MATCH($J2474,ModelParameters!$D$5:$K$5,0)))</f>
        <v>0</v>
      </c>
      <c r="S2474" s="160">
        <f>IF(B2474="",0,MIN(IF($N2474="Other Bond TM",ModelParameters!$N$21,1)*(P2474*Q2474+R2474),1))</f>
        <v>0.025</v>
      </c>
      <c r="T2474" s="85">
        <f>IF(B2474="",0,$S2474*$K2474)</f>
        <v>0.25504679441476556</v>
      </c>
      <c r="U2474" s="85">
        <f>IF(B2474="",0,IF(OR(H2474=MappingTables!$C$34,H2474=MappingTables!$C$35),T2474,0))</f>
        <v>0</v>
      </c>
      <c r="V2474" s="85">
        <f>IF(ISNA(IF(AND(VLOOKUP(CONCATENATE($D2474,$G2474),CSRFinput!$B:$E,4,0)=0,OR(H2474=MappingTables!$C$34,H2474=MappingTables!$C$35)),1,VLOOKUP(CONCATENATE($D2474,$G2474),CSRFinput!$B:$E,4,0))),0,IF(AND(VLOOKUP(CONCATENATE($D2474,$G2474),CSRFinput!$B:$E,4,0)=0,OR(H2474=MappingTables!$C$34,H2474=MappingTables!$C$35)),1,VLOOKUP(CONCATENATE($D2474,$G2474),CSRFinput!$B:$E,4,0)))</f>
        <v>0.054776304963434752</v>
      </c>
      <c r="W2474" s="85">
        <f>IF(B2474="",0,+$T2474*$V2474)</f>
        <v>0.013970520990809646</v>
      </c>
      <c r="X2474" s="85">
        <f>IF(B2474="",0,IF(OR(H2474=MappingTables!$C$34,H2474=MappingTables!$C$35),W2474,0))</f>
        <v>0</v>
      </c>
    </row>
    <row r="2475" spans="2:24" s="0" customFormat="0" ht="15">
      <c r="B2475" s="69" t="s">
        <v>2438</v>
      </c>
      <c r="C2475" s="70" t="s">
        <v>2439</v>
      </c>
      <c r="D2475" s="70" t="s">
        <v>1</v>
      </c>
      <c r="E2475" s="70" t="s">
        <v>1</v>
      </c>
      <c r="F2475" s="70"/>
      <c r="G2475" s="70" t="s">
        <v>61</v>
      </c>
      <c r="H2475" s="70" t="s">
        <v>178</v>
      </c>
      <c r="I2475" s="70" t="s">
        <v>198</v>
      </c>
      <c r="J2475" s="71" t="str">
        <f>IF(OR(I2475=0,I2475=""),"unrated",VLOOKUP(I2475,MappingTables!$B$19:$C$31,2,FALSE))</f>
        <v>unrated</v>
      </c>
      <c r="K2475" s="72">
        <v>8.688267471000072</v>
      </c>
      <c r="L2475" s="70">
        <v>0.70685747992805192</v>
      </c>
      <c r="M2475" s="71">
        <f>IF(L2475&lt;1,1,L2475)</f>
        <v>1</v>
      </c>
      <c r="N2475" s="70" t="s">
        <v>141</v>
      </c>
      <c r="O2475" s="71">
        <f>INDEX(DurClassMapping,MATCH(M2475,MappingTables!$D$4:$D$8,-1),1)</f>
        <v>1</v>
      </c>
      <c r="P2475" s="73">
        <f>IF(M2475=$A$1,1,$M2475-INDEX(MappingTables!$E$4:$E$8,MATCH(O2475,MappingTables!$B$4:$B$8,0)))</f>
        <v>1</v>
      </c>
      <c r="Q2475" s="71">
        <f>IF(B2475="",0,INDEX(ModelParameters!$D$6:$K$10,MATCH($O2475,ModelParameters!$B$6:$B$10,0),MATCH($J2475,ModelParameters!$D$5:$K$5,0)))</f>
        <v>0.03</v>
      </c>
      <c r="R2475" s="71">
        <f>IF(B2475="",0,INDEX(ModelParameters!$D$13:$K$17,MATCH($O2475,ModelParameters!$B$13:$B$17,0),MATCH($J2475,ModelParameters!$D$5:$K$5,0)))</f>
        <v>0</v>
      </c>
      <c r="S2475" s="160">
        <f>IF(B2475="",0,MIN(IF($N2475="Other Bond TM",ModelParameters!$N$21,1)*(P2475*Q2475+R2475),1))</f>
        <v>0.03</v>
      </c>
      <c r="T2475" s="85">
        <f>IF(B2475="",0,$S2475*$K2475)</f>
        <v>0.26064802413000216</v>
      </c>
      <c r="U2475" s="85">
        <f>IF(B2475="",0,IF(OR(H2475=MappingTables!$C$34,H2475=MappingTables!$C$35),T2475,0))</f>
        <v>0</v>
      </c>
      <c r="V2475" s="85">
        <f>IF(ISNA(IF(AND(VLOOKUP(CONCATENATE($D2475,$G2475),CSRFinput!$B:$E,4,0)=0,OR(H2475=MappingTables!$C$34,H2475=MappingTables!$C$35)),1,VLOOKUP(CONCATENATE($D2475,$G2475),CSRFinput!$B:$E,4,0))),0,IF(AND(VLOOKUP(CONCATENATE($D2475,$G2475),CSRFinput!$B:$E,4,0)=0,OR(H2475=MappingTables!$C$34,H2475=MappingTables!$C$35)),1,VLOOKUP(CONCATENATE($D2475,$G2475),CSRFinput!$B:$E,4,0)))</f>
        <v>0.054776304963434752</v>
      </c>
      <c r="W2475" s="85">
        <f>IF(B2475="",0,+$T2475*$V2475)</f>
        <v>0.014277335657861698</v>
      </c>
      <c r="X2475" s="85">
        <f>IF(B2475="",0,IF(OR(H2475=MappingTables!$C$34,H2475=MappingTables!$C$35),W2475,0))</f>
        <v>0</v>
      </c>
    </row>
    <row r="2476" spans="2:24" s="0" customFormat="0" ht="15">
      <c r="B2476" s="69">
        <v>11841694</v>
      </c>
      <c r="C2476" s="70" t="s">
        <v>1602</v>
      </c>
      <c r="D2476" s="70" t="s">
        <v>1</v>
      </c>
      <c r="E2476" s="70" t="s">
        <v>1</v>
      </c>
      <c r="F2476" s="70"/>
      <c r="G2476" s="70" t="s">
        <v>61</v>
      </c>
      <c r="H2476" s="70" t="s">
        <v>178</v>
      </c>
      <c r="I2476" s="70" t="s">
        <v>188</v>
      </c>
      <c r="J2476" s="71">
        <f>IF(OR(I2476=0,I2476=""),"unrated",VLOOKUP(I2476,MappingTables!$B$19:$C$31,2,FALSE))</f>
        <v>2</v>
      </c>
      <c r="K2476" s="72">
        <v>294.3137808523748</v>
      </c>
      <c r="L2476" s="70">
        <v>0.30410599945166976</v>
      </c>
      <c r="M2476" s="71">
        <f>IF(L2476&lt;1,1,L2476)</f>
        <v>1</v>
      </c>
      <c r="N2476" s="70" t="s">
        <v>141</v>
      </c>
      <c r="O2476" s="71">
        <f>INDEX(DurClassMapping,MATCH(M2476,MappingTables!$D$4:$D$8,-1),1)</f>
        <v>1</v>
      </c>
      <c r="P2476" s="73">
        <f>IF(M2476=$A$1,1,$M2476-INDEX(MappingTables!$E$4:$E$8,MATCH(O2476,MappingTables!$B$4:$B$8,0)))</f>
        <v>1</v>
      </c>
      <c r="Q2476" s="71">
        <f>IF(B2476="",0,INDEX(ModelParameters!$D$6:$K$10,MATCH($O2476,ModelParameters!$B$6:$B$10,0),MATCH($J2476,ModelParameters!$D$5:$K$5,0)))</f>
        <v>0.013999999999999998</v>
      </c>
      <c r="R2476" s="71">
        <f>IF(B2476="",0,INDEX(ModelParameters!$D$13:$K$17,MATCH($O2476,ModelParameters!$B$13:$B$17,0),MATCH($J2476,ModelParameters!$D$5:$K$5,0)))</f>
        <v>0</v>
      </c>
      <c r="S2476" s="160">
        <f>IF(B2476="",0,MIN(IF($N2476="Other Bond TM",ModelParameters!$N$21,1)*(P2476*Q2476+R2476),1))</f>
        <v>0.013999999999999998</v>
      </c>
      <c r="T2476" s="85">
        <f>IF(B2476="",0,$S2476*$K2476)</f>
        <v>4.1203929319332472</v>
      </c>
      <c r="U2476" s="85">
        <f>IF(B2476="",0,IF(OR(H2476=MappingTables!$C$34,H2476=MappingTables!$C$35),T2476,0))</f>
        <v>0</v>
      </c>
      <c r="V2476" s="85">
        <f>IF(ISNA(IF(AND(VLOOKUP(CONCATENATE($D2476,$G2476),CSRFinput!$B:$E,4,0)=0,OR(H2476=MappingTables!$C$34,H2476=MappingTables!$C$35)),1,VLOOKUP(CONCATENATE($D2476,$G2476),CSRFinput!$B:$E,4,0))),0,IF(AND(VLOOKUP(CONCATENATE($D2476,$G2476),CSRFinput!$B:$E,4,0)=0,OR(H2476=MappingTables!$C$34,H2476=MappingTables!$C$35)),1,VLOOKUP(CONCATENATE($D2476,$G2476),CSRFinput!$B:$E,4,0)))</f>
        <v>0.054776304963434752</v>
      </c>
      <c r="W2476" s="85">
        <f>IF(B2476="",0,+$T2476*$V2476)</f>
        <v>0.2256998998087566</v>
      </c>
      <c r="X2476" s="85">
        <f>IF(B2476="",0,IF(OR(H2476=MappingTables!$C$34,H2476=MappingTables!$C$35),W2476,0))</f>
        <v>0</v>
      </c>
    </row>
    <row r="2477" spans="2:24" s="0" customFormat="0" ht="15">
      <c r="B2477" s="69" t="s">
        <v>2440</v>
      </c>
      <c r="C2477" s="70" t="s">
        <v>2441</v>
      </c>
      <c r="D2477" s="70" t="s">
        <v>1</v>
      </c>
      <c r="E2477" s="70" t="s">
        <v>1</v>
      </c>
      <c r="F2477" s="70"/>
      <c r="G2477" s="70" t="s">
        <v>61</v>
      </c>
      <c r="H2477" s="70" t="s">
        <v>178</v>
      </c>
      <c r="I2477" s="70" t="s">
        <v>179</v>
      </c>
      <c r="J2477" s="71">
        <f>IF(OR(I2477=0,I2477=""),"unrated",VLOOKUP(I2477,MappingTables!$B$19:$C$31,2,FALSE))</f>
        <v>4</v>
      </c>
      <c r="K2477" s="72">
        <v>292.36260102375712</v>
      </c>
      <c r="L2477" s="70">
        <v>3.7826532920393576</v>
      </c>
      <c r="M2477" s="71">
        <f>IF(L2477&lt;1,1,L2477)</f>
        <v>3.7826532920393576</v>
      </c>
      <c r="N2477" s="70" t="s">
        <v>141</v>
      </c>
      <c r="O2477" s="71">
        <f>INDEX(DurClassMapping,MATCH(M2477,MappingTables!$D$4:$D$8,-1),1)</f>
        <v>1</v>
      </c>
      <c r="P2477" s="73">
        <f>IF(M2477=$A$1,1,$M2477-INDEX(MappingTables!$E$4:$E$8,MATCH(O2477,MappingTables!$B$4:$B$8,0)))</f>
        <v>3.7826532920393576</v>
      </c>
      <c r="Q2477" s="71">
        <f>IF(B2477="",0,INDEX(ModelParameters!$D$6:$K$10,MATCH($O2477,ModelParameters!$B$6:$B$10,0),MATCH($J2477,ModelParameters!$D$5:$K$5,0)))</f>
        <v>0.045</v>
      </c>
      <c r="R2477" s="71">
        <f>IF(B2477="",0,INDEX(ModelParameters!$D$13:$K$17,MATCH($O2477,ModelParameters!$B$13:$B$17,0),MATCH($J2477,ModelParameters!$D$5:$K$5,0)))</f>
        <v>0</v>
      </c>
      <c r="S2477" s="160">
        <f>IF(B2477="",0,MIN(IF($N2477="Other Bond TM",ModelParameters!$N$21,1)*(P2477*Q2477+R2477),1))</f>
        <v>0.17021939814177108</v>
      </c>
      <c r="T2477" s="85">
        <f>IF(B2477="",0,$S2477*$K2477)</f>
        <v>49.765785985426688</v>
      </c>
      <c r="U2477" s="85">
        <f>IF(B2477="",0,IF(OR(H2477=MappingTables!$C$34,H2477=MappingTables!$C$35),T2477,0))</f>
        <v>0</v>
      </c>
      <c r="V2477" s="85">
        <f>IF(ISNA(IF(AND(VLOOKUP(CONCATENATE($D2477,$G2477),CSRFinput!$B:$E,4,0)=0,OR(H2477=MappingTables!$C$34,H2477=MappingTables!$C$35)),1,VLOOKUP(CONCATENATE($D2477,$G2477),CSRFinput!$B:$E,4,0))),0,IF(AND(VLOOKUP(CONCATENATE($D2477,$G2477),CSRFinput!$B:$E,4,0)=0,OR(H2477=MappingTables!$C$34,H2477=MappingTables!$C$35)),1,VLOOKUP(CONCATENATE($D2477,$G2477),CSRFinput!$B:$E,4,0)))</f>
        <v>0.054776304963434752</v>
      </c>
      <c r="W2477" s="85">
        <f>IF(B2477="",0,+$T2477*$V2477)</f>
        <v>2.7259858698827596</v>
      </c>
      <c r="X2477" s="85">
        <f>IF(B2477="",0,IF(OR(H2477=MappingTables!$C$34,H2477=MappingTables!$C$35),W2477,0))</f>
        <v>0</v>
      </c>
    </row>
    <row r="2478" spans="2:24" s="0" customFormat="0" ht="15">
      <c r="B2478" s="69">
        <v>21245626</v>
      </c>
      <c r="C2478" s="70" t="s">
        <v>1921</v>
      </c>
      <c r="D2478" s="70" t="s">
        <v>1</v>
      </c>
      <c r="E2478" s="70" t="s">
        <v>1</v>
      </c>
      <c r="F2478" s="70"/>
      <c r="G2478" s="70" t="s">
        <v>61</v>
      </c>
      <c r="H2478" s="70" t="s">
        <v>178</v>
      </c>
      <c r="I2478" s="70" t="s">
        <v>181</v>
      </c>
      <c r="J2478" s="71">
        <f>IF(OR(I2478=0,I2478=""),"unrated",VLOOKUP(I2478,MappingTables!$B$19:$C$31,2,FALSE))</f>
        <v>3</v>
      </c>
      <c r="K2478" s="72">
        <v>1037.3754232658602</v>
      </c>
      <c r="L2478" s="70">
        <v>3.3339990885989424</v>
      </c>
      <c r="M2478" s="71">
        <f>IF(L2478&lt;1,1,L2478)</f>
        <v>3.3339990885989424</v>
      </c>
      <c r="N2478" s="70" t="s">
        <v>141</v>
      </c>
      <c r="O2478" s="71">
        <f>INDEX(DurClassMapping,MATCH(M2478,MappingTables!$D$4:$D$8,-1),1)</f>
        <v>1</v>
      </c>
      <c r="P2478" s="73">
        <f>IF(M2478=$A$1,1,$M2478-INDEX(MappingTables!$E$4:$E$8,MATCH(O2478,MappingTables!$B$4:$B$8,0)))</f>
        <v>3.3339990885989424</v>
      </c>
      <c r="Q2478" s="71">
        <f>IF(B2478="",0,INDEX(ModelParameters!$D$6:$K$10,MATCH($O2478,ModelParameters!$B$6:$B$10,0),MATCH($J2478,ModelParameters!$D$5:$K$5,0)))</f>
        <v>0.025</v>
      </c>
      <c r="R2478" s="71">
        <f>IF(B2478="",0,INDEX(ModelParameters!$D$13:$K$17,MATCH($O2478,ModelParameters!$B$13:$B$17,0),MATCH($J2478,ModelParameters!$D$5:$K$5,0)))</f>
        <v>0</v>
      </c>
      <c r="S2478" s="160">
        <f>IF(B2478="",0,MIN(IF($N2478="Other Bond TM",ModelParameters!$N$21,1)*(P2478*Q2478+R2478),1))</f>
        <v>0.083349977214973552</v>
      </c>
      <c r="T2478" s="85">
        <f>IF(B2478="",0,$S2478*$K2478)</f>
        <v>86.465217892582992</v>
      </c>
      <c r="U2478" s="85">
        <f>IF(B2478="",0,IF(OR(H2478=MappingTables!$C$34,H2478=MappingTables!$C$35),T2478,0))</f>
        <v>0</v>
      </c>
      <c r="V2478" s="85">
        <f>IF(ISNA(IF(AND(VLOOKUP(CONCATENATE($D2478,$G2478),CSRFinput!$B:$E,4,0)=0,OR(H2478=MappingTables!$C$34,H2478=MappingTables!$C$35)),1,VLOOKUP(CONCATENATE($D2478,$G2478),CSRFinput!$B:$E,4,0))),0,IF(AND(VLOOKUP(CONCATENATE($D2478,$G2478),CSRFinput!$B:$E,4,0)=0,OR(H2478=MappingTables!$C$34,H2478=MappingTables!$C$35)),1,VLOOKUP(CONCATENATE($D2478,$G2478),CSRFinput!$B:$E,4,0)))</f>
        <v>0.054776304963434752</v>
      </c>
      <c r="W2478" s="85">
        <f>IF(B2478="",0,+$T2478*$V2478)</f>
        <v>4.7362451440139616</v>
      </c>
      <c r="X2478" s="85">
        <f>IF(B2478="",0,IF(OR(H2478=MappingTables!$C$34,H2478=MappingTables!$C$35),W2478,0))</f>
        <v>0</v>
      </c>
    </row>
    <row r="2479" spans="2:24" s="0" customFormat="0" ht="15">
      <c r="B2479" s="69">
        <v>21827992</v>
      </c>
      <c r="C2479" s="70" t="s">
        <v>627</v>
      </c>
      <c r="D2479" s="70" t="s">
        <v>1</v>
      </c>
      <c r="E2479" s="70" t="s">
        <v>1</v>
      </c>
      <c r="F2479" s="70"/>
      <c r="G2479" s="70" t="s">
        <v>61</v>
      </c>
      <c r="H2479" s="70" t="s">
        <v>178</v>
      </c>
      <c r="I2479" s="70" t="s">
        <v>181</v>
      </c>
      <c r="J2479" s="71">
        <f>IF(OR(I2479=0,I2479=""),"unrated",VLOOKUP(I2479,MappingTables!$B$19:$C$31,2,FALSE))</f>
        <v>3</v>
      </c>
      <c r="K2479" s="72">
        <v>8945.6864456913312</v>
      </c>
      <c r="L2479" s="70">
        <v>2.2185699362490096</v>
      </c>
      <c r="M2479" s="71">
        <f>IF(L2479&lt;1,1,L2479)</f>
        <v>2.2185699362490096</v>
      </c>
      <c r="N2479" s="70" t="s">
        <v>141</v>
      </c>
      <c r="O2479" s="71">
        <f>INDEX(DurClassMapping,MATCH(M2479,MappingTables!$D$4:$D$8,-1),1)</f>
        <v>1</v>
      </c>
      <c r="P2479" s="73">
        <f>IF(M2479=$A$1,1,$M2479-INDEX(MappingTables!$E$4:$E$8,MATCH(O2479,MappingTables!$B$4:$B$8,0)))</f>
        <v>2.2185699362490096</v>
      </c>
      <c r="Q2479" s="71">
        <f>IF(B2479="",0,INDEX(ModelParameters!$D$6:$K$10,MATCH($O2479,ModelParameters!$B$6:$B$10,0),MATCH($J2479,ModelParameters!$D$5:$K$5,0)))</f>
        <v>0.025</v>
      </c>
      <c r="R2479" s="71">
        <f>IF(B2479="",0,INDEX(ModelParameters!$D$13:$K$17,MATCH($O2479,ModelParameters!$B$13:$B$17,0),MATCH($J2479,ModelParameters!$D$5:$K$5,0)))</f>
        <v>0</v>
      </c>
      <c r="S2479" s="160">
        <f>IF(B2479="",0,MIN(IF($N2479="Other Bond TM",ModelParameters!$N$21,1)*(P2479*Q2479+R2479),1))</f>
        <v>0.05546424840622524</v>
      </c>
      <c r="T2479" s="85">
        <f>IF(B2479="",0,$S2479*$K2479)</f>
        <v>496.16577518802624</v>
      </c>
      <c r="U2479" s="85">
        <f>IF(B2479="",0,IF(OR(H2479=MappingTables!$C$34,H2479=MappingTables!$C$35),T2479,0))</f>
        <v>0</v>
      </c>
      <c r="V2479" s="85">
        <f>IF(ISNA(IF(AND(VLOOKUP(CONCATENATE($D2479,$G2479),CSRFinput!$B:$E,4,0)=0,OR(H2479=MappingTables!$C$34,H2479=MappingTables!$C$35)),1,VLOOKUP(CONCATENATE($D2479,$G2479),CSRFinput!$B:$E,4,0))),0,IF(AND(VLOOKUP(CONCATENATE($D2479,$G2479),CSRFinput!$B:$E,4,0)=0,OR(H2479=MappingTables!$C$34,H2479=MappingTables!$C$35)),1,VLOOKUP(CONCATENATE($D2479,$G2479),CSRFinput!$B:$E,4,0)))</f>
        <v>0.054776304963434752</v>
      </c>
      <c r="W2479" s="85">
        <f>IF(B2479="",0,+$T2479*$V2479)</f>
        <v>27.178127814118332</v>
      </c>
      <c r="X2479" s="85">
        <f>IF(B2479="",0,IF(OR(H2479=MappingTables!$C$34,H2479=MappingTables!$C$35),W2479,0))</f>
        <v>0</v>
      </c>
    </row>
    <row r="2480" spans="2:24" s="0" customFormat="0" ht="15">
      <c r="B2480" s="69">
        <v>15769824</v>
      </c>
      <c r="C2480" s="70" t="s">
        <v>2442</v>
      </c>
      <c r="D2480" s="70" t="s">
        <v>1</v>
      </c>
      <c r="E2480" s="70" t="s">
        <v>1</v>
      </c>
      <c r="F2480" s="70"/>
      <c r="G2480" s="70" t="s">
        <v>61</v>
      </c>
      <c r="H2480" s="70" t="s">
        <v>178</v>
      </c>
      <c r="I2480" s="70" t="s">
        <v>181</v>
      </c>
      <c r="J2480" s="71">
        <f>IF(OR(I2480=0,I2480=""),"unrated",VLOOKUP(I2480,MappingTables!$B$19:$C$31,2,FALSE))</f>
        <v>3</v>
      </c>
      <c r="K2480" s="72">
        <v>10.338442528706076</v>
      </c>
      <c r="L2480" s="70">
        <v>0.86850518642603968</v>
      </c>
      <c r="M2480" s="71">
        <f>IF(L2480&lt;1,1,L2480)</f>
        <v>1</v>
      </c>
      <c r="N2480" s="70" t="s">
        <v>141</v>
      </c>
      <c r="O2480" s="71">
        <f>INDEX(DurClassMapping,MATCH(M2480,MappingTables!$D$4:$D$8,-1),1)</f>
        <v>1</v>
      </c>
      <c r="P2480" s="73">
        <f>IF(M2480=$A$1,1,$M2480-INDEX(MappingTables!$E$4:$E$8,MATCH(O2480,MappingTables!$B$4:$B$8,0)))</f>
        <v>1</v>
      </c>
      <c r="Q2480" s="71">
        <f>IF(B2480="",0,INDEX(ModelParameters!$D$6:$K$10,MATCH($O2480,ModelParameters!$B$6:$B$10,0),MATCH($J2480,ModelParameters!$D$5:$K$5,0)))</f>
        <v>0.025</v>
      </c>
      <c r="R2480" s="71">
        <f>IF(B2480="",0,INDEX(ModelParameters!$D$13:$K$17,MATCH($O2480,ModelParameters!$B$13:$B$17,0),MATCH($J2480,ModelParameters!$D$5:$K$5,0)))</f>
        <v>0</v>
      </c>
      <c r="S2480" s="160">
        <f>IF(B2480="",0,MIN(IF($N2480="Other Bond TM",ModelParameters!$N$21,1)*(P2480*Q2480+R2480),1))</f>
        <v>0.025</v>
      </c>
      <c r="T2480" s="85">
        <f>IF(B2480="",0,$S2480*$K2480)</f>
        <v>0.25846106321765188</v>
      </c>
      <c r="U2480" s="85">
        <f>IF(B2480="",0,IF(OR(H2480=MappingTables!$C$34,H2480=MappingTables!$C$35),T2480,0))</f>
        <v>0</v>
      </c>
      <c r="V2480" s="85">
        <f>IF(ISNA(IF(AND(VLOOKUP(CONCATENATE($D2480,$G2480),CSRFinput!$B:$E,4,0)=0,OR(H2480=MappingTables!$C$34,H2480=MappingTables!$C$35)),1,VLOOKUP(CONCATENATE($D2480,$G2480),CSRFinput!$B:$E,4,0))),0,IF(AND(VLOOKUP(CONCATENATE($D2480,$G2480),CSRFinput!$B:$E,4,0)=0,OR(H2480=MappingTables!$C$34,H2480=MappingTables!$C$35)),1,VLOOKUP(CONCATENATE($D2480,$G2480),CSRFinput!$B:$E,4,0)))</f>
        <v>0.054776304963434752</v>
      </c>
      <c r="W2480" s="85">
        <f>IF(B2480="",0,+$T2480*$V2480)</f>
        <v>0.014157542019983688</v>
      </c>
      <c r="X2480" s="85">
        <f>IF(B2480="",0,IF(OR(H2480=MappingTables!$C$34,H2480=MappingTables!$C$35),W2480,0))</f>
        <v>0</v>
      </c>
    </row>
    <row r="2481" spans="2:24" s="0" customFormat="0" ht="15">
      <c r="B2481" s="69">
        <v>17411519</v>
      </c>
      <c r="C2481" s="70" t="s">
        <v>2443</v>
      </c>
      <c r="D2481" s="70" t="s">
        <v>1</v>
      </c>
      <c r="E2481" s="70" t="s">
        <v>1</v>
      </c>
      <c r="F2481" s="70"/>
      <c r="G2481" s="70" t="s">
        <v>61</v>
      </c>
      <c r="H2481" s="70" t="s">
        <v>178</v>
      </c>
      <c r="I2481" s="70" t="s">
        <v>181</v>
      </c>
      <c r="J2481" s="71">
        <f>IF(OR(I2481=0,I2481=""),"unrated",VLOOKUP(I2481,MappingTables!$B$19:$C$31,2,FALSE))</f>
        <v>3</v>
      </c>
      <c r="K2481" s="72">
        <v>206.323725771662</v>
      </c>
      <c r="L2481" s="70">
        <v>0.5611048337718484</v>
      </c>
      <c r="M2481" s="71">
        <f>IF(L2481&lt;1,1,L2481)</f>
        <v>1</v>
      </c>
      <c r="N2481" s="70" t="s">
        <v>141</v>
      </c>
      <c r="O2481" s="71">
        <f>INDEX(DurClassMapping,MATCH(M2481,MappingTables!$D$4:$D$8,-1),1)</f>
        <v>1</v>
      </c>
      <c r="P2481" s="73">
        <f>IF(M2481=$A$1,1,$M2481-INDEX(MappingTables!$E$4:$E$8,MATCH(O2481,MappingTables!$B$4:$B$8,0)))</f>
        <v>1</v>
      </c>
      <c r="Q2481" s="71">
        <f>IF(B2481="",0,INDEX(ModelParameters!$D$6:$K$10,MATCH($O2481,ModelParameters!$B$6:$B$10,0),MATCH($J2481,ModelParameters!$D$5:$K$5,0)))</f>
        <v>0.025</v>
      </c>
      <c r="R2481" s="71">
        <f>IF(B2481="",0,INDEX(ModelParameters!$D$13:$K$17,MATCH($O2481,ModelParameters!$B$13:$B$17,0),MATCH($J2481,ModelParameters!$D$5:$K$5,0)))</f>
        <v>0</v>
      </c>
      <c r="S2481" s="160">
        <f>IF(B2481="",0,MIN(IF($N2481="Other Bond TM",ModelParameters!$N$21,1)*(P2481*Q2481+R2481),1))</f>
        <v>0.025</v>
      </c>
      <c r="T2481" s="85">
        <f>IF(B2481="",0,$S2481*$K2481)</f>
        <v>5.1580931442915504</v>
      </c>
      <c r="U2481" s="85">
        <f>IF(B2481="",0,IF(OR(H2481=MappingTables!$C$34,H2481=MappingTables!$C$35),T2481,0))</f>
        <v>0</v>
      </c>
      <c r="V2481" s="85">
        <f>IF(ISNA(IF(AND(VLOOKUP(CONCATENATE($D2481,$G2481),CSRFinput!$B:$E,4,0)=0,OR(H2481=MappingTables!$C$34,H2481=MappingTables!$C$35)),1,VLOOKUP(CONCATENATE($D2481,$G2481),CSRFinput!$B:$E,4,0))),0,IF(AND(VLOOKUP(CONCATENATE($D2481,$G2481),CSRFinput!$B:$E,4,0)=0,OR(H2481=MappingTables!$C$34,H2481=MappingTables!$C$35)),1,VLOOKUP(CONCATENATE($D2481,$G2481),CSRFinput!$B:$E,4,0)))</f>
        <v>0.054776304963434752</v>
      </c>
      <c r="W2481" s="85">
        <f>IF(B2481="",0,+$T2481*$V2481)</f>
        <v>0.282541283101516</v>
      </c>
      <c r="X2481" s="85">
        <f>IF(B2481="",0,IF(OR(H2481=MappingTables!$C$34,H2481=MappingTables!$C$35),W2481,0))</f>
        <v>0</v>
      </c>
    </row>
    <row r="2482" spans="2:24" s="0" customFormat="0" ht="15">
      <c r="B2482" s="69" t="s">
        <v>2444</v>
      </c>
      <c r="C2482" s="70" t="s">
        <v>2445</v>
      </c>
      <c r="D2482" s="70" t="s">
        <v>1</v>
      </c>
      <c r="E2482" s="70" t="s">
        <v>1</v>
      </c>
      <c r="F2482" s="70"/>
      <c r="G2482" s="70" t="s">
        <v>61</v>
      </c>
      <c r="H2482" s="70" t="s">
        <v>178</v>
      </c>
      <c r="I2482" s="70" t="s">
        <v>204</v>
      </c>
      <c r="J2482" s="71">
        <f>IF(OR(I2482=0,I2482=""),"unrated",VLOOKUP(I2482,MappingTables!$B$19:$C$31,2,FALSE))</f>
        <v>6</v>
      </c>
      <c r="K2482" s="72">
        <v>132.91372565948072</v>
      </c>
      <c r="L2482" s="70">
        <v>3.912483594062848</v>
      </c>
      <c r="M2482" s="71">
        <f>IF(L2482&lt;1,1,L2482)</f>
        <v>3.912483594062848</v>
      </c>
      <c r="N2482" s="70" t="s">
        <v>141</v>
      </c>
      <c r="O2482" s="71">
        <f>INDEX(DurClassMapping,MATCH(M2482,MappingTables!$D$4:$D$8,-1),1)</f>
        <v>1</v>
      </c>
      <c r="P2482" s="73">
        <f>IF(M2482=$A$1,1,$M2482-INDEX(MappingTables!$E$4:$E$8,MATCH(O2482,MappingTables!$B$4:$B$8,0)))</f>
        <v>3.912483594062848</v>
      </c>
      <c r="Q2482" s="71">
        <f>IF(B2482="",0,INDEX(ModelParameters!$D$6:$K$10,MATCH($O2482,ModelParameters!$B$6:$B$10,0),MATCH($J2482,ModelParameters!$D$5:$K$5,0)))</f>
        <v>0.075</v>
      </c>
      <c r="R2482" s="71">
        <f>IF(B2482="",0,INDEX(ModelParameters!$D$13:$K$17,MATCH($O2482,ModelParameters!$B$13:$B$17,0),MATCH($J2482,ModelParameters!$D$5:$K$5,0)))</f>
        <v>0</v>
      </c>
      <c r="S2482" s="160">
        <f>IF(B2482="",0,MIN(IF($N2482="Other Bond TM",ModelParameters!$N$21,1)*(P2482*Q2482+R2482),1))</f>
        <v>0.2934362695547136</v>
      </c>
      <c r="T2482" s="85">
        <f>IF(B2482="",0,$S2482*$K2482)</f>
        <v>39.00170783013664</v>
      </c>
      <c r="U2482" s="85">
        <f>IF(B2482="",0,IF(OR(H2482=MappingTables!$C$34,H2482=MappingTables!$C$35),T2482,0))</f>
        <v>0</v>
      </c>
      <c r="V2482" s="85">
        <f>IF(ISNA(IF(AND(VLOOKUP(CONCATENATE($D2482,$G2482),CSRFinput!$B:$E,4,0)=0,OR(H2482=MappingTables!$C$34,H2482=MappingTables!$C$35)),1,VLOOKUP(CONCATENATE($D2482,$G2482),CSRFinput!$B:$E,4,0))),0,IF(AND(VLOOKUP(CONCATENATE($D2482,$G2482),CSRFinput!$B:$E,4,0)=0,OR(H2482=MappingTables!$C$34,H2482=MappingTables!$C$35)),1,VLOOKUP(CONCATENATE($D2482,$G2482),CSRFinput!$B:$E,4,0)))</f>
        <v>0.054776304963434752</v>
      </c>
      <c r="W2482" s="85">
        <f>IF(B2482="",0,+$T2482*$V2482)</f>
        <v>2.1363694421983456</v>
      </c>
      <c r="X2482" s="85">
        <f>IF(B2482="",0,IF(OR(H2482=MappingTables!$C$34,H2482=MappingTables!$C$35),W2482,0))</f>
        <v>0</v>
      </c>
    </row>
    <row r="2483" spans="2:24" s="0" customFormat="0" ht="15">
      <c r="B2483" s="69" t="s">
        <v>2044</v>
      </c>
      <c r="C2483" s="70" t="s">
        <v>2045</v>
      </c>
      <c r="D2483" s="70" t="s">
        <v>1</v>
      </c>
      <c r="E2483" s="70" t="s">
        <v>1</v>
      </c>
      <c r="F2483" s="70"/>
      <c r="G2483" s="70" t="s">
        <v>61</v>
      </c>
      <c r="H2483" s="70" t="s">
        <v>178</v>
      </c>
      <c r="I2483" s="70" t="s">
        <v>198</v>
      </c>
      <c r="J2483" s="71" t="str">
        <f>IF(OR(I2483=0,I2483=""),"unrated",VLOOKUP(I2483,MappingTables!$B$19:$C$31,2,FALSE))</f>
        <v>unrated</v>
      </c>
      <c r="K2483" s="72">
        <v>4412.256155543684</v>
      </c>
      <c r="L2483" s="70">
        <v>9.2098843737768192</v>
      </c>
      <c r="M2483" s="71">
        <f>IF(L2483&lt;1,1,L2483)</f>
        <v>9.2098843737768192</v>
      </c>
      <c r="N2483" s="70" t="s">
        <v>141</v>
      </c>
      <c r="O2483" s="71">
        <f>INDEX(DurClassMapping,MATCH(M2483,MappingTables!$D$4:$D$8,-1),1)</f>
        <v>2</v>
      </c>
      <c r="P2483" s="73">
        <f>IF(M2483=$A$1,1,$M2483-INDEX(MappingTables!$E$4:$E$8,MATCH(O2483,MappingTables!$B$4:$B$8,0)))</f>
        <v>4.20988437377682</v>
      </c>
      <c r="Q2483" s="71">
        <f>IF(B2483="",0,INDEX(ModelParameters!$D$6:$K$10,MATCH($O2483,ModelParameters!$B$6:$B$10,0),MATCH($J2483,ModelParameters!$D$5:$K$5,0)))</f>
        <v>0.017000000000000002</v>
      </c>
      <c r="R2483" s="71">
        <f>IF(B2483="",0,INDEX(ModelParameters!$D$13:$K$17,MATCH($O2483,ModelParameters!$B$13:$B$17,0),MATCH($J2483,ModelParameters!$D$5:$K$5,0)))</f>
        <v>0.15</v>
      </c>
      <c r="S2483" s="160">
        <f>IF(B2483="",0,MIN(IF($N2483="Other Bond TM",ModelParameters!$N$21,1)*(P2483*Q2483+R2483),1))</f>
        <v>0.22156803435420592</v>
      </c>
      <c r="T2483" s="85">
        <f>IF(B2483="",0,$S2483*$K2483)</f>
        <v>977.61492345105968</v>
      </c>
      <c r="U2483" s="85">
        <f>IF(B2483="",0,IF(OR(H2483=MappingTables!$C$34,H2483=MappingTables!$C$35),T2483,0))</f>
        <v>0</v>
      </c>
      <c r="V2483" s="85">
        <f>IF(ISNA(IF(AND(VLOOKUP(CONCATENATE($D2483,$G2483),CSRFinput!$B:$E,4,0)=0,OR(H2483=MappingTables!$C$34,H2483=MappingTables!$C$35)),1,VLOOKUP(CONCATENATE($D2483,$G2483),CSRFinput!$B:$E,4,0))),0,IF(AND(VLOOKUP(CONCATENATE($D2483,$G2483),CSRFinput!$B:$E,4,0)=0,OR(H2483=MappingTables!$C$34,H2483=MappingTables!$C$35)),1,VLOOKUP(CONCATENATE($D2483,$G2483),CSRFinput!$B:$E,4,0)))</f>
        <v>0.054776304963434752</v>
      </c>
      <c r="W2483" s="85">
        <f>IF(B2483="",0,+$T2483*$V2483)</f>
        <v>53.550133183760168</v>
      </c>
      <c r="X2483" s="85">
        <f>IF(B2483="",0,IF(OR(H2483=MappingTables!$C$34,H2483=MappingTables!$C$35),W2483,0))</f>
        <v>0</v>
      </c>
    </row>
    <row r="2484" spans="2:24" s="0" customFormat="0" ht="15">
      <c r="B2484" s="69">
        <v>16583502</v>
      </c>
      <c r="C2484" s="70" t="s">
        <v>1528</v>
      </c>
      <c r="D2484" s="70" t="s">
        <v>1</v>
      </c>
      <c r="E2484" s="70" t="s">
        <v>1</v>
      </c>
      <c r="F2484" s="70"/>
      <c r="G2484" s="70" t="s">
        <v>61</v>
      </c>
      <c r="H2484" s="70" t="s">
        <v>178</v>
      </c>
      <c r="I2484" s="70" t="s">
        <v>184</v>
      </c>
      <c r="J2484" s="71">
        <f>IF(OR(I2484=0,I2484=""),"unrated",VLOOKUP(I2484,MappingTables!$B$19:$C$31,2,FALSE))</f>
        <v>5</v>
      </c>
      <c r="K2484" s="72">
        <v>3346.8402625102616</v>
      </c>
      <c r="L2484" s="70">
        <v>0.4164380799457256</v>
      </c>
      <c r="M2484" s="71">
        <f>IF(L2484&lt;1,1,L2484)</f>
        <v>1</v>
      </c>
      <c r="N2484" s="70" t="s">
        <v>141</v>
      </c>
      <c r="O2484" s="71">
        <f>INDEX(DurClassMapping,MATCH(M2484,MappingTables!$D$4:$D$8,-1),1)</f>
        <v>1</v>
      </c>
      <c r="P2484" s="73">
        <f>IF(M2484=$A$1,1,$M2484-INDEX(MappingTables!$E$4:$E$8,MATCH(O2484,MappingTables!$B$4:$B$8,0)))</f>
        <v>1</v>
      </c>
      <c r="Q2484" s="71">
        <f>IF(B2484="",0,INDEX(ModelParameters!$D$6:$K$10,MATCH($O2484,ModelParameters!$B$6:$B$10,0),MATCH($J2484,ModelParameters!$D$5:$K$5,0)))</f>
        <v>0.075</v>
      </c>
      <c r="R2484" s="71">
        <f>IF(B2484="",0,INDEX(ModelParameters!$D$13:$K$17,MATCH($O2484,ModelParameters!$B$13:$B$17,0),MATCH($J2484,ModelParameters!$D$5:$K$5,0)))</f>
        <v>0</v>
      </c>
      <c r="S2484" s="160">
        <f>IF(B2484="",0,MIN(IF($N2484="Other Bond TM",ModelParameters!$N$21,1)*(P2484*Q2484+R2484),1))</f>
        <v>0.075</v>
      </c>
      <c r="T2484" s="85">
        <f>IF(B2484="",0,$S2484*$K2484)</f>
        <v>251.01301968826964</v>
      </c>
      <c r="U2484" s="85">
        <f>IF(B2484="",0,IF(OR(H2484=MappingTables!$C$34,H2484=MappingTables!$C$35),T2484,0))</f>
        <v>0</v>
      </c>
      <c r="V2484" s="85">
        <f>IF(ISNA(IF(AND(VLOOKUP(CONCATENATE($D2484,$G2484),CSRFinput!$B:$E,4,0)=0,OR(H2484=MappingTables!$C$34,H2484=MappingTables!$C$35)),1,VLOOKUP(CONCATENATE($D2484,$G2484),CSRFinput!$B:$E,4,0))),0,IF(AND(VLOOKUP(CONCATENATE($D2484,$G2484),CSRFinput!$B:$E,4,0)=0,OR(H2484=MappingTables!$C$34,H2484=MappingTables!$C$35)),1,VLOOKUP(CONCATENATE($D2484,$G2484),CSRFinput!$B:$E,4,0)))</f>
        <v>0.054776304963434752</v>
      </c>
      <c r="W2484" s="85">
        <f>IF(B2484="",0,+$T2484*$V2484)</f>
        <v>13.749565716237308</v>
      </c>
      <c r="X2484" s="85">
        <f>IF(B2484="",0,IF(OR(H2484=MappingTables!$C$34,H2484=MappingTables!$C$35),W2484,0))</f>
        <v>0</v>
      </c>
    </row>
    <row r="2485" spans="2:24" s="0" customFormat="0" ht="15">
      <c r="B2485" s="69" t="s">
        <v>1824</v>
      </c>
      <c r="C2485" s="70" t="s">
        <v>1825</v>
      </c>
      <c r="D2485" s="70" t="s">
        <v>1</v>
      </c>
      <c r="E2485" s="70" t="s">
        <v>1</v>
      </c>
      <c r="F2485" s="70"/>
      <c r="G2485" s="70" t="s">
        <v>61</v>
      </c>
      <c r="H2485" s="70" t="s">
        <v>178</v>
      </c>
      <c r="I2485" s="70" t="s">
        <v>204</v>
      </c>
      <c r="J2485" s="71">
        <f>IF(OR(I2485=0,I2485=""),"unrated",VLOOKUP(I2485,MappingTables!$B$19:$C$31,2,FALSE))</f>
        <v>6</v>
      </c>
      <c r="K2485" s="72">
        <v>195.68701047563212</v>
      </c>
      <c r="L2485" s="70">
        <v>0.2137014945261486</v>
      </c>
      <c r="M2485" s="71">
        <f>IF(L2485&lt;1,1,L2485)</f>
        <v>1</v>
      </c>
      <c r="N2485" s="70" t="s">
        <v>141</v>
      </c>
      <c r="O2485" s="71">
        <f>INDEX(DurClassMapping,MATCH(M2485,MappingTables!$D$4:$D$8,-1),1)</f>
        <v>1</v>
      </c>
      <c r="P2485" s="73">
        <f>IF(M2485=$A$1,1,$M2485-INDEX(MappingTables!$E$4:$E$8,MATCH(O2485,MappingTables!$B$4:$B$8,0)))</f>
        <v>1</v>
      </c>
      <c r="Q2485" s="71">
        <f>IF(B2485="",0,INDEX(ModelParameters!$D$6:$K$10,MATCH($O2485,ModelParameters!$B$6:$B$10,0),MATCH($J2485,ModelParameters!$D$5:$K$5,0)))</f>
        <v>0.075</v>
      </c>
      <c r="R2485" s="71">
        <f>IF(B2485="",0,INDEX(ModelParameters!$D$13:$K$17,MATCH($O2485,ModelParameters!$B$13:$B$17,0),MATCH($J2485,ModelParameters!$D$5:$K$5,0)))</f>
        <v>0</v>
      </c>
      <c r="S2485" s="160">
        <f>IF(B2485="",0,MIN(IF($N2485="Other Bond TM",ModelParameters!$N$21,1)*(P2485*Q2485+R2485),1))</f>
        <v>0.075</v>
      </c>
      <c r="T2485" s="85">
        <f>IF(B2485="",0,$S2485*$K2485)</f>
        <v>14.676525785672408</v>
      </c>
      <c r="U2485" s="85">
        <f>IF(B2485="",0,IF(OR(H2485=MappingTables!$C$34,H2485=MappingTables!$C$35),T2485,0))</f>
        <v>0</v>
      </c>
      <c r="V2485" s="85">
        <f>IF(ISNA(IF(AND(VLOOKUP(CONCATENATE($D2485,$G2485),CSRFinput!$B:$E,4,0)=0,OR(H2485=MappingTables!$C$34,H2485=MappingTables!$C$35)),1,VLOOKUP(CONCATENATE($D2485,$G2485),CSRFinput!$B:$E,4,0))),0,IF(AND(VLOOKUP(CONCATENATE($D2485,$G2485),CSRFinput!$B:$E,4,0)=0,OR(H2485=MappingTables!$C$34,H2485=MappingTables!$C$35)),1,VLOOKUP(CONCATENATE($D2485,$G2485),CSRFinput!$B:$E,4,0)))</f>
        <v>0.054776304963434752</v>
      </c>
      <c r="W2485" s="85">
        <f>IF(B2485="",0,+$T2485*$V2485)</f>
        <v>0.80392585223970576</v>
      </c>
      <c r="X2485" s="85">
        <f>IF(B2485="",0,IF(OR(H2485=MappingTables!$C$34,H2485=MappingTables!$C$35),W2485,0))</f>
        <v>0</v>
      </c>
    </row>
    <row r="2486" spans="2:24" s="0" customFormat="0" ht="15">
      <c r="B2486" s="69">
        <v>17357776</v>
      </c>
      <c r="C2486" s="70" t="s">
        <v>2446</v>
      </c>
      <c r="D2486" s="70" t="s">
        <v>1</v>
      </c>
      <c r="E2486" s="70" t="s">
        <v>1</v>
      </c>
      <c r="F2486" s="70"/>
      <c r="G2486" s="70" t="s">
        <v>61</v>
      </c>
      <c r="H2486" s="70" t="s">
        <v>178</v>
      </c>
      <c r="I2486" s="70" t="s">
        <v>188</v>
      </c>
      <c r="J2486" s="71">
        <f>IF(OR(I2486=0,I2486=""),"unrated",VLOOKUP(I2486,MappingTables!$B$19:$C$31,2,FALSE))</f>
        <v>2</v>
      </c>
      <c r="K2486" s="72">
        <v>257.40777223691584</v>
      </c>
      <c r="L2486" s="70">
        <v>0.53575595610178208</v>
      </c>
      <c r="M2486" s="71">
        <f>IF(L2486&lt;1,1,L2486)</f>
        <v>1</v>
      </c>
      <c r="N2486" s="70" t="s">
        <v>141</v>
      </c>
      <c r="O2486" s="71">
        <f>INDEX(DurClassMapping,MATCH(M2486,MappingTables!$D$4:$D$8,-1),1)</f>
        <v>1</v>
      </c>
      <c r="P2486" s="73">
        <f>IF(M2486=$A$1,1,$M2486-INDEX(MappingTables!$E$4:$E$8,MATCH(O2486,MappingTables!$B$4:$B$8,0)))</f>
        <v>1</v>
      </c>
      <c r="Q2486" s="71">
        <f>IF(B2486="",0,INDEX(ModelParameters!$D$6:$K$10,MATCH($O2486,ModelParameters!$B$6:$B$10,0),MATCH($J2486,ModelParameters!$D$5:$K$5,0)))</f>
        <v>0.013999999999999998</v>
      </c>
      <c r="R2486" s="71">
        <f>IF(B2486="",0,INDEX(ModelParameters!$D$13:$K$17,MATCH($O2486,ModelParameters!$B$13:$B$17,0),MATCH($J2486,ModelParameters!$D$5:$K$5,0)))</f>
        <v>0</v>
      </c>
      <c r="S2486" s="160">
        <f>IF(B2486="",0,MIN(IF($N2486="Other Bond TM",ModelParameters!$N$21,1)*(P2486*Q2486+R2486),1))</f>
        <v>0.013999999999999998</v>
      </c>
      <c r="T2486" s="85">
        <f>IF(B2486="",0,$S2486*$K2486)</f>
        <v>3.6037088113168216</v>
      </c>
      <c r="U2486" s="85">
        <f>IF(B2486="",0,IF(OR(H2486=MappingTables!$C$34,H2486=MappingTables!$C$35),T2486,0))</f>
        <v>0</v>
      </c>
      <c r="V2486" s="85">
        <f>IF(ISNA(IF(AND(VLOOKUP(CONCATENATE($D2486,$G2486),CSRFinput!$B:$E,4,0)=0,OR(H2486=MappingTables!$C$34,H2486=MappingTables!$C$35)),1,VLOOKUP(CONCATENATE($D2486,$G2486),CSRFinput!$B:$E,4,0))),0,IF(AND(VLOOKUP(CONCATENATE($D2486,$G2486),CSRFinput!$B:$E,4,0)=0,OR(H2486=MappingTables!$C$34,H2486=MappingTables!$C$35)),1,VLOOKUP(CONCATENATE($D2486,$G2486),CSRFinput!$B:$E,4,0)))</f>
        <v>0.054776304963434752</v>
      </c>
      <c r="W2486" s="85">
        <f>IF(B2486="",0,+$T2486*$V2486)</f>
        <v>0.19739785284810716</v>
      </c>
      <c r="X2486" s="85">
        <f>IF(B2486="",0,IF(OR(H2486=MappingTables!$C$34,H2486=MappingTables!$C$35),W2486,0))</f>
        <v>0</v>
      </c>
    </row>
    <row r="2487" spans="2:24" s="0" customFormat="0" ht="15">
      <c r="B2487" s="69" t="s">
        <v>2447</v>
      </c>
      <c r="C2487" s="70" t="s">
        <v>2448</v>
      </c>
      <c r="D2487" s="70" t="s">
        <v>1</v>
      </c>
      <c r="E2487" s="70" t="s">
        <v>1</v>
      </c>
      <c r="F2487" s="70"/>
      <c r="G2487" s="70" t="s">
        <v>61</v>
      </c>
      <c r="H2487" s="70" t="s">
        <v>178</v>
      </c>
      <c r="I2487" s="70" t="s">
        <v>181</v>
      </c>
      <c r="J2487" s="71">
        <f>IF(OR(I2487=0,I2487=""),"unrated",VLOOKUP(I2487,MappingTables!$B$19:$C$31,2,FALSE))</f>
        <v>3</v>
      </c>
      <c r="K2487" s="72">
        <v>27617.9410960506</v>
      </c>
      <c r="L2487" s="70">
        <v>0.93160063323902224</v>
      </c>
      <c r="M2487" s="71">
        <f>IF(L2487&lt;1,1,L2487)</f>
        <v>1</v>
      </c>
      <c r="N2487" s="70" t="s">
        <v>141</v>
      </c>
      <c r="O2487" s="71">
        <f>INDEX(DurClassMapping,MATCH(M2487,MappingTables!$D$4:$D$8,-1),1)</f>
        <v>1</v>
      </c>
      <c r="P2487" s="73">
        <f>IF(M2487=$A$1,1,$M2487-INDEX(MappingTables!$E$4:$E$8,MATCH(O2487,MappingTables!$B$4:$B$8,0)))</f>
        <v>1</v>
      </c>
      <c r="Q2487" s="71">
        <f>IF(B2487="",0,INDEX(ModelParameters!$D$6:$K$10,MATCH($O2487,ModelParameters!$B$6:$B$10,0),MATCH($J2487,ModelParameters!$D$5:$K$5,0)))</f>
        <v>0.025</v>
      </c>
      <c r="R2487" s="71">
        <f>IF(B2487="",0,INDEX(ModelParameters!$D$13:$K$17,MATCH($O2487,ModelParameters!$B$13:$B$17,0),MATCH($J2487,ModelParameters!$D$5:$K$5,0)))</f>
        <v>0</v>
      </c>
      <c r="S2487" s="160">
        <f>IF(B2487="",0,MIN(IF($N2487="Other Bond TM",ModelParameters!$N$21,1)*(P2487*Q2487+R2487),1))</f>
        <v>0.025</v>
      </c>
      <c r="T2487" s="85">
        <f>IF(B2487="",0,$S2487*$K2487)</f>
        <v>690.44852740126496</v>
      </c>
      <c r="U2487" s="85">
        <f>IF(B2487="",0,IF(OR(H2487=MappingTables!$C$34,H2487=MappingTables!$C$35),T2487,0))</f>
        <v>0</v>
      </c>
      <c r="V2487" s="85">
        <f>IF(ISNA(IF(AND(VLOOKUP(CONCATENATE($D2487,$G2487),CSRFinput!$B:$E,4,0)=0,OR(H2487=MappingTables!$C$34,H2487=MappingTables!$C$35)),1,VLOOKUP(CONCATENATE($D2487,$G2487),CSRFinput!$B:$E,4,0))),0,IF(AND(VLOOKUP(CONCATENATE($D2487,$G2487),CSRFinput!$B:$E,4,0)=0,OR(H2487=MappingTables!$C$34,H2487=MappingTables!$C$35)),1,VLOOKUP(CONCATENATE($D2487,$G2487),CSRFinput!$B:$E,4,0)))</f>
        <v>0.054776304963434752</v>
      </c>
      <c r="W2487" s="85">
        <f>IF(B2487="",0,+$T2487*$V2487)</f>
        <v>37.820219098486128</v>
      </c>
      <c r="X2487" s="85">
        <f>IF(B2487="",0,IF(OR(H2487=MappingTables!$C$34,H2487=MappingTables!$C$35),W2487,0))</f>
        <v>0</v>
      </c>
    </row>
    <row r="2488" spans="2:24" s="0" customFormat="0" ht="15">
      <c r="B2488" s="69" t="s">
        <v>445</v>
      </c>
      <c r="C2488" s="70" t="s">
        <v>446</v>
      </c>
      <c r="D2488" s="70" t="s">
        <v>1</v>
      </c>
      <c r="E2488" s="70" t="s">
        <v>1</v>
      </c>
      <c r="F2488" s="70"/>
      <c r="G2488" s="70" t="s">
        <v>61</v>
      </c>
      <c r="H2488" s="70" t="s">
        <v>178</v>
      </c>
      <c r="I2488" s="70" t="s">
        <v>181</v>
      </c>
      <c r="J2488" s="71">
        <f>IF(OR(I2488=0,I2488=""),"unrated",VLOOKUP(I2488,MappingTables!$B$19:$C$31,2,FALSE))</f>
        <v>3</v>
      </c>
      <c r="K2488" s="72">
        <v>2.4763082711242264</v>
      </c>
      <c r="L2488" s="70">
        <v>2.0451409005327584</v>
      </c>
      <c r="M2488" s="71">
        <f>IF(L2488&lt;1,1,L2488)</f>
        <v>2.0451409005327584</v>
      </c>
      <c r="N2488" s="70" t="s">
        <v>141</v>
      </c>
      <c r="O2488" s="71">
        <f>INDEX(DurClassMapping,MATCH(M2488,MappingTables!$D$4:$D$8,-1),1)</f>
        <v>1</v>
      </c>
      <c r="P2488" s="73">
        <f>IF(M2488=$A$1,1,$M2488-INDEX(MappingTables!$E$4:$E$8,MATCH(O2488,MappingTables!$B$4:$B$8,0)))</f>
        <v>2.0451409005327584</v>
      </c>
      <c r="Q2488" s="71">
        <f>IF(B2488="",0,INDEX(ModelParameters!$D$6:$K$10,MATCH($O2488,ModelParameters!$B$6:$B$10,0),MATCH($J2488,ModelParameters!$D$5:$K$5,0)))</f>
        <v>0.025</v>
      </c>
      <c r="R2488" s="71">
        <f>IF(B2488="",0,INDEX(ModelParameters!$D$13:$K$17,MATCH($O2488,ModelParameters!$B$13:$B$17,0),MATCH($J2488,ModelParameters!$D$5:$K$5,0)))</f>
        <v>0</v>
      </c>
      <c r="S2488" s="160">
        <f>IF(B2488="",0,MIN(IF($N2488="Other Bond TM",ModelParameters!$N$21,1)*(P2488*Q2488+R2488),1))</f>
        <v>0.051128522513318968</v>
      </c>
      <c r="T2488" s="85">
        <f>IF(B2488="",0,$S2488*$K2488)</f>
        <v>0.12660998319009298</v>
      </c>
      <c r="U2488" s="85">
        <f>IF(B2488="",0,IF(OR(H2488=MappingTables!$C$34,H2488=MappingTables!$C$35),T2488,0))</f>
        <v>0</v>
      </c>
      <c r="V2488" s="85">
        <f>IF(ISNA(IF(AND(VLOOKUP(CONCATENATE($D2488,$G2488),CSRFinput!$B:$E,4,0)=0,OR(H2488=MappingTables!$C$34,H2488=MappingTables!$C$35)),1,VLOOKUP(CONCATENATE($D2488,$G2488),CSRFinput!$B:$E,4,0))),0,IF(AND(VLOOKUP(CONCATENATE($D2488,$G2488),CSRFinput!$B:$E,4,0)=0,OR(H2488=MappingTables!$C$34,H2488=MappingTables!$C$35)),1,VLOOKUP(CONCATENATE($D2488,$G2488),CSRFinput!$B:$E,4,0)))</f>
        <v>0.054776304963434752</v>
      </c>
      <c r="W2488" s="85">
        <f>IF(B2488="",0,+$T2488*$V2488)</f>
        <v>0.0069352270506358808</v>
      </c>
      <c r="X2488" s="85">
        <f>IF(B2488="",0,IF(OR(H2488=MappingTables!$C$34,H2488=MappingTables!$C$35),W2488,0))</f>
        <v>0</v>
      </c>
    </row>
    <row r="2489" spans="2:24" s="0" customFormat="0" ht="15">
      <c r="B2489" s="69">
        <v>21227556</v>
      </c>
      <c r="C2489" s="70" t="s">
        <v>2449</v>
      </c>
      <c r="D2489" s="70" t="s">
        <v>1</v>
      </c>
      <c r="E2489" s="70" t="s">
        <v>1</v>
      </c>
      <c r="F2489" s="70"/>
      <c r="G2489" s="70" t="s">
        <v>61</v>
      </c>
      <c r="H2489" s="70" t="s">
        <v>178</v>
      </c>
      <c r="I2489" s="70" t="s">
        <v>181</v>
      </c>
      <c r="J2489" s="71">
        <f>IF(OR(I2489=0,I2489=""),"unrated",VLOOKUP(I2489,MappingTables!$B$19:$C$31,2,FALSE))</f>
        <v>3</v>
      </c>
      <c r="K2489" s="72">
        <v>3462.0473857745384</v>
      </c>
      <c r="L2489" s="70">
        <v>3.6691697368141912</v>
      </c>
      <c r="M2489" s="71">
        <f>IF(L2489&lt;1,1,L2489)</f>
        <v>3.6691697368141912</v>
      </c>
      <c r="N2489" s="70" t="s">
        <v>141</v>
      </c>
      <c r="O2489" s="71">
        <f>INDEX(DurClassMapping,MATCH(M2489,MappingTables!$D$4:$D$8,-1),1)</f>
        <v>1</v>
      </c>
      <c r="P2489" s="73">
        <f>IF(M2489=$A$1,1,$M2489-INDEX(MappingTables!$E$4:$E$8,MATCH(O2489,MappingTables!$B$4:$B$8,0)))</f>
        <v>3.6691697368141912</v>
      </c>
      <c r="Q2489" s="71">
        <f>IF(B2489="",0,INDEX(ModelParameters!$D$6:$K$10,MATCH($O2489,ModelParameters!$B$6:$B$10,0),MATCH($J2489,ModelParameters!$D$5:$K$5,0)))</f>
        <v>0.025</v>
      </c>
      <c r="R2489" s="71">
        <f>IF(B2489="",0,INDEX(ModelParameters!$D$13:$K$17,MATCH($O2489,ModelParameters!$B$13:$B$17,0),MATCH($J2489,ModelParameters!$D$5:$K$5,0)))</f>
        <v>0</v>
      </c>
      <c r="S2489" s="160">
        <f>IF(B2489="",0,MIN(IF($N2489="Other Bond TM",ModelParameters!$N$21,1)*(P2489*Q2489+R2489),1))</f>
        <v>0.0917292434203548</v>
      </c>
      <c r="T2489" s="85">
        <f>IF(B2489="",0,$S2489*$K2489)</f>
        <v>317.57098738251556</v>
      </c>
      <c r="U2489" s="85">
        <f>IF(B2489="",0,IF(OR(H2489=MappingTables!$C$34,H2489=MappingTables!$C$35),T2489,0))</f>
        <v>0</v>
      </c>
      <c r="V2489" s="85">
        <f>IF(ISNA(IF(AND(VLOOKUP(CONCATENATE($D2489,$G2489),CSRFinput!$B:$E,4,0)=0,OR(H2489=MappingTables!$C$34,H2489=MappingTables!$C$35)),1,VLOOKUP(CONCATENATE($D2489,$G2489),CSRFinput!$B:$E,4,0))),0,IF(AND(VLOOKUP(CONCATENATE($D2489,$G2489),CSRFinput!$B:$E,4,0)=0,OR(H2489=MappingTables!$C$34,H2489=MappingTables!$C$35)),1,VLOOKUP(CONCATENATE($D2489,$G2489),CSRFinput!$B:$E,4,0)))</f>
        <v>0.054776304963434752</v>
      </c>
      <c r="W2489" s="85">
        <f>IF(B2489="",0,+$T2489*$V2489)</f>
        <v>17.395365252403764</v>
      </c>
      <c r="X2489" s="85">
        <f>IF(B2489="",0,IF(OR(H2489=MappingTables!$C$34,H2489=MappingTables!$C$35),W2489,0))</f>
        <v>0</v>
      </c>
    </row>
    <row r="2490" spans="2:24" s="0" customFormat="0" ht="15">
      <c r="B2490" s="69" t="s">
        <v>528</v>
      </c>
      <c r="C2490" s="70" t="s">
        <v>529</v>
      </c>
      <c r="D2490" s="70" t="s">
        <v>1</v>
      </c>
      <c r="E2490" s="70" t="s">
        <v>1</v>
      </c>
      <c r="F2490" s="70"/>
      <c r="G2490" s="70" t="s">
        <v>61</v>
      </c>
      <c r="H2490" s="70" t="s">
        <v>178</v>
      </c>
      <c r="I2490" s="70" t="s">
        <v>220</v>
      </c>
      <c r="J2490" s="71">
        <f>IF(OR(I2490=0,I2490=""),"unrated",VLOOKUP(I2490,MappingTables!$B$19:$C$31,2,FALSE))</f>
        <v>1</v>
      </c>
      <c r="K2490" s="72">
        <v>130.18440143014928</v>
      </c>
      <c r="L2490" s="70">
        <v>1.4659472706292696</v>
      </c>
      <c r="M2490" s="71">
        <f>IF(L2490&lt;1,1,L2490)</f>
        <v>1.4659472706292696</v>
      </c>
      <c r="N2490" s="70" t="s">
        <v>141</v>
      </c>
      <c r="O2490" s="71">
        <f>INDEX(DurClassMapping,MATCH(M2490,MappingTables!$D$4:$D$8,-1),1)</f>
        <v>1</v>
      </c>
      <c r="P2490" s="73">
        <f>IF(M2490=$A$1,1,$M2490-INDEX(MappingTables!$E$4:$E$8,MATCH(O2490,MappingTables!$B$4:$B$8,0)))</f>
        <v>1.4659472706292696</v>
      </c>
      <c r="Q2490" s="71">
        <f>IF(B2490="",0,INDEX(ModelParameters!$D$6:$K$10,MATCH($O2490,ModelParameters!$B$6:$B$10,0),MATCH($J2490,ModelParameters!$D$5:$K$5,0)))</f>
        <v>0.011000000000000002</v>
      </c>
      <c r="R2490" s="71">
        <f>IF(B2490="",0,INDEX(ModelParameters!$D$13:$K$17,MATCH($O2490,ModelParameters!$B$13:$B$17,0),MATCH($J2490,ModelParameters!$D$5:$K$5,0)))</f>
        <v>0</v>
      </c>
      <c r="S2490" s="160">
        <f>IF(B2490="",0,MIN(IF($N2490="Other Bond TM",ModelParameters!$N$21,1)*(P2490*Q2490+R2490),1))</f>
        <v>0.016125419976921966</v>
      </c>
      <c r="T2490" s="85">
        <f>IF(B2490="",0,$S2490*$K2490)</f>
        <v>2.0992781475053576</v>
      </c>
      <c r="U2490" s="85">
        <f>IF(B2490="",0,IF(OR(H2490=MappingTables!$C$34,H2490=MappingTables!$C$35),T2490,0))</f>
        <v>0</v>
      </c>
      <c r="V2490" s="85">
        <f>IF(ISNA(IF(AND(VLOOKUP(CONCATENATE($D2490,$G2490),CSRFinput!$B:$E,4,0)=0,OR(H2490=MappingTables!$C$34,H2490=MappingTables!$C$35)),1,VLOOKUP(CONCATENATE($D2490,$G2490),CSRFinput!$B:$E,4,0))),0,IF(AND(VLOOKUP(CONCATENATE($D2490,$G2490),CSRFinput!$B:$E,4,0)=0,OR(H2490=MappingTables!$C$34,H2490=MappingTables!$C$35)),1,VLOOKUP(CONCATENATE($D2490,$G2490),CSRFinput!$B:$E,4,0)))</f>
        <v>0.054776304963434752</v>
      </c>
      <c r="W2490" s="85">
        <f>IF(B2490="",0,+$T2490*$V2490)</f>
        <v>0.11499070001082784</v>
      </c>
      <c r="X2490" s="85">
        <f>IF(B2490="",0,IF(OR(H2490=MappingTables!$C$34,H2490=MappingTables!$C$35),W2490,0))</f>
        <v>0</v>
      </c>
    </row>
    <row r="2491" spans="2:24" s="0" customFormat="0" ht="15">
      <c r="B2491" s="69">
        <v>7175517</v>
      </c>
      <c r="C2491" s="70" t="s">
        <v>2450</v>
      </c>
      <c r="D2491" s="70" t="s">
        <v>1</v>
      </c>
      <c r="E2491" s="70" t="s">
        <v>1</v>
      </c>
      <c r="F2491" s="70"/>
      <c r="G2491" s="70" t="s">
        <v>61</v>
      </c>
      <c r="H2491" s="70" t="s">
        <v>178</v>
      </c>
      <c r="I2491" s="70" t="s">
        <v>198</v>
      </c>
      <c r="J2491" s="71" t="str">
        <f>IF(OR(I2491=0,I2491=""),"unrated",VLOOKUP(I2491,MappingTables!$B$19:$C$31,2,FALSE))</f>
        <v>unrated</v>
      </c>
      <c r="K2491" s="72">
        <v>13.110480309308066</v>
      </c>
      <c r="L2491" s="70">
        <v>2.5301886350619468</v>
      </c>
      <c r="M2491" s="71">
        <f>IF(L2491&lt;1,1,L2491)</f>
        <v>2.5301886350619468</v>
      </c>
      <c r="N2491" s="70" t="s">
        <v>141</v>
      </c>
      <c r="O2491" s="71">
        <f>INDEX(DurClassMapping,MATCH(M2491,MappingTables!$D$4:$D$8,-1),1)</f>
        <v>1</v>
      </c>
      <c r="P2491" s="73">
        <f>IF(M2491=$A$1,1,$M2491-INDEX(MappingTables!$E$4:$E$8,MATCH(O2491,MappingTables!$B$4:$B$8,0)))</f>
        <v>2.5301886350619468</v>
      </c>
      <c r="Q2491" s="71">
        <f>IF(B2491="",0,INDEX(ModelParameters!$D$6:$K$10,MATCH($O2491,ModelParameters!$B$6:$B$10,0),MATCH($J2491,ModelParameters!$D$5:$K$5,0)))</f>
        <v>0.03</v>
      </c>
      <c r="R2491" s="71">
        <f>IF(B2491="",0,INDEX(ModelParameters!$D$13:$K$17,MATCH($O2491,ModelParameters!$B$13:$B$17,0),MATCH($J2491,ModelParameters!$D$5:$K$5,0)))</f>
        <v>0</v>
      </c>
      <c r="S2491" s="160">
        <f>IF(B2491="",0,MIN(IF($N2491="Other Bond TM",ModelParameters!$N$21,1)*(P2491*Q2491+R2491),1))</f>
        <v>0.0759056590518584</v>
      </c>
      <c r="T2491" s="85">
        <f>IF(B2491="",0,$S2491*$K2491)</f>
        <v>0.99515964836444128</v>
      </c>
      <c r="U2491" s="85">
        <f>IF(B2491="",0,IF(OR(H2491=MappingTables!$C$34,H2491=MappingTables!$C$35),T2491,0))</f>
        <v>0</v>
      </c>
      <c r="V2491" s="85">
        <f>IF(ISNA(IF(AND(VLOOKUP(CONCATENATE($D2491,$G2491),CSRFinput!$B:$E,4,0)=0,OR(H2491=MappingTables!$C$34,H2491=MappingTables!$C$35)),1,VLOOKUP(CONCATENATE($D2491,$G2491),CSRFinput!$B:$E,4,0))),0,IF(AND(VLOOKUP(CONCATENATE($D2491,$G2491),CSRFinput!$B:$E,4,0)=0,OR(H2491=MappingTables!$C$34,H2491=MappingTables!$C$35)),1,VLOOKUP(CONCATENATE($D2491,$G2491),CSRFinput!$B:$E,4,0)))</f>
        <v>0.054776304963434752</v>
      </c>
      <c r="W2491" s="85">
        <f>IF(B2491="",0,+$T2491*$V2491)</f>
        <v>0.054511168386115128</v>
      </c>
      <c r="X2491" s="85">
        <f>IF(B2491="",0,IF(OR(H2491=MappingTables!$C$34,H2491=MappingTables!$C$35),W2491,0))</f>
        <v>0</v>
      </c>
    </row>
    <row r="2492" spans="2:24" s="0" customFormat="0" ht="15">
      <c r="B2492" s="69" t="s">
        <v>2015</v>
      </c>
      <c r="C2492" s="70" t="s">
        <v>2016</v>
      </c>
      <c r="D2492" s="70" t="s">
        <v>1</v>
      </c>
      <c r="E2492" s="70" t="s">
        <v>1</v>
      </c>
      <c r="F2492" s="70"/>
      <c r="G2492" s="70" t="s">
        <v>61</v>
      </c>
      <c r="H2492" s="70" t="s">
        <v>178</v>
      </c>
      <c r="I2492" s="70" t="s">
        <v>179</v>
      </c>
      <c r="J2492" s="71">
        <f>IF(OR(I2492=0,I2492=""),"unrated",VLOOKUP(I2492,MappingTables!$B$19:$C$31,2,FALSE))</f>
        <v>4</v>
      </c>
      <c r="K2492" s="72">
        <v>127.50898729707816</v>
      </c>
      <c r="L2492" s="70">
        <v>4.1763892148160256</v>
      </c>
      <c r="M2492" s="71">
        <f>IF(L2492&lt;1,1,L2492)</f>
        <v>4.1763892148160256</v>
      </c>
      <c r="N2492" s="70" t="s">
        <v>141</v>
      </c>
      <c r="O2492" s="71">
        <f>INDEX(DurClassMapping,MATCH(M2492,MappingTables!$D$4:$D$8,-1),1)</f>
        <v>1</v>
      </c>
      <c r="P2492" s="73">
        <f>IF(M2492=$A$1,1,$M2492-INDEX(MappingTables!$E$4:$E$8,MATCH(O2492,MappingTables!$B$4:$B$8,0)))</f>
        <v>4.1763892148160256</v>
      </c>
      <c r="Q2492" s="71">
        <f>IF(B2492="",0,INDEX(ModelParameters!$D$6:$K$10,MATCH($O2492,ModelParameters!$B$6:$B$10,0),MATCH($J2492,ModelParameters!$D$5:$K$5,0)))</f>
        <v>0.045</v>
      </c>
      <c r="R2492" s="71">
        <f>IF(B2492="",0,INDEX(ModelParameters!$D$13:$K$17,MATCH($O2492,ModelParameters!$B$13:$B$17,0),MATCH($J2492,ModelParameters!$D$5:$K$5,0)))</f>
        <v>0</v>
      </c>
      <c r="S2492" s="160">
        <f>IF(B2492="",0,MIN(IF($N2492="Other Bond TM",ModelParameters!$N$21,1)*(P2492*Q2492+R2492),1))</f>
        <v>0.18793751466672116</v>
      </c>
      <c r="T2492" s="85">
        <f>IF(B2492="",0,$S2492*$K2492)</f>
        <v>23.963722170283388</v>
      </c>
      <c r="U2492" s="85">
        <f>IF(B2492="",0,IF(OR(H2492=MappingTables!$C$34,H2492=MappingTables!$C$35),T2492,0))</f>
        <v>0</v>
      </c>
      <c r="V2492" s="85">
        <f>IF(ISNA(IF(AND(VLOOKUP(CONCATENATE($D2492,$G2492),CSRFinput!$B:$E,4,0)=0,OR(H2492=MappingTables!$C$34,H2492=MappingTables!$C$35)),1,VLOOKUP(CONCATENATE($D2492,$G2492),CSRFinput!$B:$E,4,0))),0,IF(AND(VLOOKUP(CONCATENATE($D2492,$G2492),CSRFinput!$B:$E,4,0)=0,OR(H2492=MappingTables!$C$34,H2492=MappingTables!$C$35)),1,VLOOKUP(CONCATENATE($D2492,$G2492),CSRFinput!$B:$E,4,0)))</f>
        <v>0.054776304963434752</v>
      </c>
      <c r="W2492" s="85">
        <f>IF(B2492="",0,+$T2492*$V2492)</f>
        <v>1.3126441536584654</v>
      </c>
      <c r="X2492" s="85">
        <f>IF(B2492="",0,IF(OR(H2492=MappingTables!$C$34,H2492=MappingTables!$C$35),W2492,0))</f>
        <v>0</v>
      </c>
    </row>
    <row r="2493" spans="2:24" s="0" customFormat="0" ht="15">
      <c r="B2493" s="69">
        <v>9308929</v>
      </c>
      <c r="C2493" s="70" t="s">
        <v>1727</v>
      </c>
      <c r="D2493" s="70" t="s">
        <v>1</v>
      </c>
      <c r="E2493" s="70" t="s">
        <v>1</v>
      </c>
      <c r="F2493" s="70"/>
      <c r="G2493" s="70" t="s">
        <v>61</v>
      </c>
      <c r="H2493" s="70" t="s">
        <v>178</v>
      </c>
      <c r="I2493" s="70" t="s">
        <v>181</v>
      </c>
      <c r="J2493" s="71">
        <f>IF(OR(I2493=0,I2493=""),"unrated",VLOOKUP(I2493,MappingTables!$B$19:$C$31,2,FALSE))</f>
        <v>3</v>
      </c>
      <c r="K2493" s="72">
        <v>786.96908902674384</v>
      </c>
      <c r="L2493" s="70">
        <v>3.452058954675664</v>
      </c>
      <c r="M2493" s="71">
        <f>IF(L2493&lt;1,1,L2493)</f>
        <v>3.452058954675664</v>
      </c>
      <c r="N2493" s="70" t="s">
        <v>141</v>
      </c>
      <c r="O2493" s="71">
        <f>INDEX(DurClassMapping,MATCH(M2493,MappingTables!$D$4:$D$8,-1),1)</f>
        <v>1</v>
      </c>
      <c r="P2493" s="73">
        <f>IF(M2493=$A$1,1,$M2493-INDEX(MappingTables!$E$4:$E$8,MATCH(O2493,MappingTables!$B$4:$B$8,0)))</f>
        <v>3.452058954675664</v>
      </c>
      <c r="Q2493" s="71">
        <f>IF(B2493="",0,INDEX(ModelParameters!$D$6:$K$10,MATCH($O2493,ModelParameters!$B$6:$B$10,0),MATCH($J2493,ModelParameters!$D$5:$K$5,0)))</f>
        <v>0.025</v>
      </c>
      <c r="R2493" s="71">
        <f>IF(B2493="",0,INDEX(ModelParameters!$D$13:$K$17,MATCH($O2493,ModelParameters!$B$13:$B$17,0),MATCH($J2493,ModelParameters!$D$5:$K$5,0)))</f>
        <v>0</v>
      </c>
      <c r="S2493" s="160">
        <f>IF(B2493="",0,MIN(IF($N2493="Other Bond TM",ModelParameters!$N$21,1)*(P2493*Q2493+R2493),1))</f>
        <v>0.0863014738668916</v>
      </c>
      <c r="T2493" s="85">
        <f>IF(B2493="",0,$S2493*$K2493)</f>
        <v>67.916592270693032</v>
      </c>
      <c r="U2493" s="85">
        <f>IF(B2493="",0,IF(OR(H2493=MappingTables!$C$34,H2493=MappingTables!$C$35),T2493,0))</f>
        <v>0</v>
      </c>
      <c r="V2493" s="85">
        <f>IF(ISNA(IF(AND(VLOOKUP(CONCATENATE($D2493,$G2493),CSRFinput!$B:$E,4,0)=0,OR(H2493=MappingTables!$C$34,H2493=MappingTables!$C$35)),1,VLOOKUP(CONCATENATE($D2493,$G2493),CSRFinput!$B:$E,4,0))),0,IF(AND(VLOOKUP(CONCATENATE($D2493,$G2493),CSRFinput!$B:$E,4,0)=0,OR(H2493=MappingTables!$C$34,H2493=MappingTables!$C$35)),1,VLOOKUP(CONCATENATE($D2493,$G2493),CSRFinput!$B:$E,4,0)))</f>
        <v>0.054776304963434752</v>
      </c>
      <c r="W2493" s="85">
        <f>IF(B2493="",0,+$T2493*$V2493)</f>
        <v>3.7202199702967368</v>
      </c>
      <c r="X2493" s="85">
        <f>IF(B2493="",0,IF(OR(H2493=MappingTables!$C$34,H2493=MappingTables!$C$35),W2493,0))</f>
        <v>0</v>
      </c>
    </row>
    <row r="2494" spans="2:24" s="0" customFormat="0" ht="15">
      <c r="B2494" s="69">
        <v>19178596</v>
      </c>
      <c r="C2494" s="70" t="s">
        <v>2100</v>
      </c>
      <c r="D2494" s="70" t="s">
        <v>1</v>
      </c>
      <c r="E2494" s="70" t="s">
        <v>1</v>
      </c>
      <c r="F2494" s="70"/>
      <c r="G2494" s="70" t="s">
        <v>61</v>
      </c>
      <c r="H2494" s="70" t="s">
        <v>178</v>
      </c>
      <c r="I2494" s="70" t="s">
        <v>181</v>
      </c>
      <c r="J2494" s="71">
        <f>IF(OR(I2494=0,I2494=""),"unrated",VLOOKUP(I2494,MappingTables!$B$19:$C$31,2,FALSE))</f>
        <v>3</v>
      </c>
      <c r="K2494" s="72">
        <v>10.055684161329694</v>
      </c>
      <c r="L2494" s="70">
        <v>1.091929062283559</v>
      </c>
      <c r="M2494" s="71">
        <f>IF(L2494&lt;1,1,L2494)</f>
        <v>1.091929062283559</v>
      </c>
      <c r="N2494" s="70" t="s">
        <v>141</v>
      </c>
      <c r="O2494" s="71">
        <f>INDEX(DurClassMapping,MATCH(M2494,MappingTables!$D$4:$D$8,-1),1)</f>
        <v>1</v>
      </c>
      <c r="P2494" s="73">
        <f>IF(M2494=$A$1,1,$M2494-INDEX(MappingTables!$E$4:$E$8,MATCH(O2494,MappingTables!$B$4:$B$8,0)))</f>
        <v>1.091929062283559</v>
      </c>
      <c r="Q2494" s="71">
        <f>IF(B2494="",0,INDEX(ModelParameters!$D$6:$K$10,MATCH($O2494,ModelParameters!$B$6:$B$10,0),MATCH($J2494,ModelParameters!$D$5:$K$5,0)))</f>
        <v>0.025</v>
      </c>
      <c r="R2494" s="71">
        <f>IF(B2494="",0,INDEX(ModelParameters!$D$13:$K$17,MATCH($O2494,ModelParameters!$B$13:$B$17,0),MATCH($J2494,ModelParameters!$D$5:$K$5,0)))</f>
        <v>0</v>
      </c>
      <c r="S2494" s="160">
        <f>IF(B2494="",0,MIN(IF($N2494="Other Bond TM",ModelParameters!$N$21,1)*(P2494*Q2494+R2494),1))</f>
        <v>0.027298226557088972</v>
      </c>
      <c r="T2494" s="85">
        <f>IF(B2494="",0,$S2494*$K2494)</f>
        <v>0.2745023444225092</v>
      </c>
      <c r="U2494" s="85">
        <f>IF(B2494="",0,IF(OR(H2494=MappingTables!$C$34,H2494=MappingTables!$C$35),T2494,0))</f>
        <v>0</v>
      </c>
      <c r="V2494" s="85">
        <f>IF(ISNA(IF(AND(VLOOKUP(CONCATENATE($D2494,$G2494),CSRFinput!$B:$E,4,0)=0,OR(H2494=MappingTables!$C$34,H2494=MappingTables!$C$35)),1,VLOOKUP(CONCATENATE($D2494,$G2494),CSRFinput!$B:$E,4,0))),0,IF(AND(VLOOKUP(CONCATENATE($D2494,$G2494),CSRFinput!$B:$E,4,0)=0,OR(H2494=MappingTables!$C$34,H2494=MappingTables!$C$35)),1,VLOOKUP(CONCATENATE($D2494,$G2494),CSRFinput!$B:$E,4,0)))</f>
        <v>0.054776304963434752</v>
      </c>
      <c r="W2494" s="85">
        <f>IF(B2494="",0,+$T2494*$V2494)</f>
        <v>0.015036224131265168</v>
      </c>
      <c r="X2494" s="85">
        <f>IF(B2494="",0,IF(OR(H2494=MappingTables!$C$34,H2494=MappingTables!$C$35),W2494,0))</f>
        <v>0</v>
      </c>
    </row>
    <row r="2495" spans="2:24" s="0" customFormat="0" ht="15">
      <c r="B2495" s="69">
        <v>18550857</v>
      </c>
      <c r="C2495" s="70" t="s">
        <v>2451</v>
      </c>
      <c r="D2495" s="70" t="s">
        <v>1</v>
      </c>
      <c r="E2495" s="70" t="s">
        <v>1</v>
      </c>
      <c r="F2495" s="70"/>
      <c r="G2495" s="70" t="s">
        <v>61</v>
      </c>
      <c r="H2495" s="70" t="s">
        <v>178</v>
      </c>
      <c r="I2495" s="70" t="s">
        <v>179</v>
      </c>
      <c r="J2495" s="71">
        <f>IF(OR(I2495=0,I2495=""),"unrated",VLOOKUP(I2495,MappingTables!$B$19:$C$31,2,FALSE))</f>
        <v>4</v>
      </c>
      <c r="K2495" s="72">
        <v>86.748020220848416</v>
      </c>
      <c r="L2495" s="70">
        <v>0.093150246000871136</v>
      </c>
      <c r="M2495" s="71">
        <f>IF(L2495&lt;1,1,L2495)</f>
        <v>1</v>
      </c>
      <c r="N2495" s="70" t="s">
        <v>141</v>
      </c>
      <c r="O2495" s="71">
        <f>INDEX(DurClassMapping,MATCH(M2495,MappingTables!$D$4:$D$8,-1),1)</f>
        <v>1</v>
      </c>
      <c r="P2495" s="73">
        <f>IF(M2495=$A$1,1,$M2495-INDEX(MappingTables!$E$4:$E$8,MATCH(O2495,MappingTables!$B$4:$B$8,0)))</f>
        <v>1</v>
      </c>
      <c r="Q2495" s="71">
        <f>IF(B2495="",0,INDEX(ModelParameters!$D$6:$K$10,MATCH($O2495,ModelParameters!$B$6:$B$10,0),MATCH($J2495,ModelParameters!$D$5:$K$5,0)))</f>
        <v>0.045</v>
      </c>
      <c r="R2495" s="71">
        <f>IF(B2495="",0,INDEX(ModelParameters!$D$13:$K$17,MATCH($O2495,ModelParameters!$B$13:$B$17,0),MATCH($J2495,ModelParameters!$D$5:$K$5,0)))</f>
        <v>0</v>
      </c>
      <c r="S2495" s="160">
        <f>IF(B2495="",0,MIN(IF($N2495="Other Bond TM",ModelParameters!$N$21,1)*(P2495*Q2495+R2495),1))</f>
        <v>0.045</v>
      </c>
      <c r="T2495" s="85">
        <f>IF(B2495="",0,$S2495*$K2495)</f>
        <v>3.9036609099381784</v>
      </c>
      <c r="U2495" s="85">
        <f>IF(B2495="",0,IF(OR(H2495=MappingTables!$C$34,H2495=MappingTables!$C$35),T2495,0))</f>
        <v>0</v>
      </c>
      <c r="V2495" s="85">
        <f>IF(ISNA(IF(AND(VLOOKUP(CONCATENATE($D2495,$G2495),CSRFinput!$B:$E,4,0)=0,OR(H2495=MappingTables!$C$34,H2495=MappingTables!$C$35)),1,VLOOKUP(CONCATENATE($D2495,$G2495),CSRFinput!$B:$E,4,0))),0,IF(AND(VLOOKUP(CONCATENATE($D2495,$G2495),CSRFinput!$B:$E,4,0)=0,OR(H2495=MappingTables!$C$34,H2495=MappingTables!$C$35)),1,VLOOKUP(CONCATENATE($D2495,$G2495),CSRFinput!$B:$E,4,0)))</f>
        <v>0.054776304963434752</v>
      </c>
      <c r="W2495" s="85">
        <f>IF(B2495="",0,+$T2495*$V2495)</f>
        <v>0.21382812047661288</v>
      </c>
      <c r="X2495" s="85">
        <f>IF(B2495="",0,IF(OR(H2495=MappingTables!$C$34,H2495=MappingTables!$C$35),W2495,0))</f>
        <v>0</v>
      </c>
    </row>
    <row r="2496" spans="2:24" s="0" customFormat="0" ht="15">
      <c r="B2496" s="69">
        <v>24191440</v>
      </c>
      <c r="C2496" s="70" t="s">
        <v>2129</v>
      </c>
      <c r="D2496" s="70" t="s">
        <v>1</v>
      </c>
      <c r="E2496" s="70" t="s">
        <v>1</v>
      </c>
      <c r="F2496" s="70"/>
      <c r="G2496" s="70" t="s">
        <v>61</v>
      </c>
      <c r="H2496" s="70" t="s">
        <v>178</v>
      </c>
      <c r="I2496" s="70" t="s">
        <v>188</v>
      </c>
      <c r="J2496" s="71">
        <f>IF(OR(I2496=0,I2496=""),"unrated",VLOOKUP(I2496,MappingTables!$B$19:$C$31,2,FALSE))</f>
        <v>2</v>
      </c>
      <c r="K2496" s="72">
        <v>90.955863471168432</v>
      </c>
      <c r="L2496" s="70">
        <v>2.6365563683815036</v>
      </c>
      <c r="M2496" s="71">
        <f>IF(L2496&lt;1,1,L2496)</f>
        <v>2.6365563683815036</v>
      </c>
      <c r="N2496" s="70" t="s">
        <v>141</v>
      </c>
      <c r="O2496" s="71">
        <f>INDEX(DurClassMapping,MATCH(M2496,MappingTables!$D$4:$D$8,-1),1)</f>
        <v>1</v>
      </c>
      <c r="P2496" s="73">
        <f>IF(M2496=$A$1,1,$M2496-INDEX(MappingTables!$E$4:$E$8,MATCH(O2496,MappingTables!$B$4:$B$8,0)))</f>
        <v>2.6365563683815036</v>
      </c>
      <c r="Q2496" s="71">
        <f>IF(B2496="",0,INDEX(ModelParameters!$D$6:$K$10,MATCH($O2496,ModelParameters!$B$6:$B$10,0),MATCH($J2496,ModelParameters!$D$5:$K$5,0)))</f>
        <v>0.013999999999999998</v>
      </c>
      <c r="R2496" s="71">
        <f>IF(B2496="",0,INDEX(ModelParameters!$D$13:$K$17,MATCH($O2496,ModelParameters!$B$13:$B$17,0),MATCH($J2496,ModelParameters!$D$5:$K$5,0)))</f>
        <v>0</v>
      </c>
      <c r="S2496" s="160">
        <f>IF(B2496="",0,MIN(IF($N2496="Other Bond TM",ModelParameters!$N$21,1)*(P2496*Q2496+R2496),1))</f>
        <v>0.036911789157341048</v>
      </c>
      <c r="T2496" s="85">
        <f>IF(B2496="",0,$S2496*$K2496)</f>
        <v>3.3573436550716676</v>
      </c>
      <c r="U2496" s="85">
        <f>IF(B2496="",0,IF(OR(H2496=MappingTables!$C$34,H2496=MappingTables!$C$35),T2496,0))</f>
        <v>0</v>
      </c>
      <c r="V2496" s="85">
        <f>IF(ISNA(IF(AND(VLOOKUP(CONCATENATE($D2496,$G2496),CSRFinput!$B:$E,4,0)=0,OR(H2496=MappingTables!$C$34,H2496=MappingTables!$C$35)),1,VLOOKUP(CONCATENATE($D2496,$G2496),CSRFinput!$B:$E,4,0))),0,IF(AND(VLOOKUP(CONCATENATE($D2496,$G2496),CSRFinput!$B:$E,4,0)=0,OR(H2496=MappingTables!$C$34,H2496=MappingTables!$C$35)),1,VLOOKUP(CONCATENATE($D2496,$G2496),CSRFinput!$B:$E,4,0)))</f>
        <v>0.054776304963434752</v>
      </c>
      <c r="W2496" s="85">
        <f>IF(B2496="",0,+$T2496*$V2496)</f>
        <v>0.18390287991725836</v>
      </c>
      <c r="X2496" s="85">
        <f>IF(B2496="",0,IF(OR(H2496=MappingTables!$C$34,H2496=MappingTables!$C$35),W2496,0))</f>
        <v>0</v>
      </c>
    </row>
    <row r="2497" spans="2:24" s="0" customFormat="0" ht="15">
      <c r="B2497" s="69" t="s">
        <v>2452</v>
      </c>
      <c r="C2497" s="70" t="s">
        <v>2453</v>
      </c>
      <c r="D2497" s="70" t="s">
        <v>1</v>
      </c>
      <c r="E2497" s="70" t="s">
        <v>1</v>
      </c>
      <c r="F2497" s="70"/>
      <c r="G2497" s="70" t="s">
        <v>61</v>
      </c>
      <c r="H2497" s="70" t="s">
        <v>178</v>
      </c>
      <c r="I2497" s="70" t="s">
        <v>198</v>
      </c>
      <c r="J2497" s="71" t="str">
        <f>IF(OR(I2497=0,I2497=""),"unrated",VLOOKUP(I2497,MappingTables!$B$19:$C$31,2,FALSE))</f>
        <v>unrated</v>
      </c>
      <c r="K2497" s="72">
        <v>622.84457452509552</v>
      </c>
      <c r="L2497" s="70">
        <v>12.552939451314506</v>
      </c>
      <c r="M2497" s="71">
        <f>IF(L2497&lt;1,1,L2497)</f>
        <v>12.552939451314506</v>
      </c>
      <c r="N2497" s="70" t="s">
        <v>141</v>
      </c>
      <c r="O2497" s="71">
        <f>INDEX(DurClassMapping,MATCH(M2497,MappingTables!$D$4:$D$8,-1),1)</f>
        <v>3</v>
      </c>
      <c r="P2497" s="73">
        <f>IF(M2497=$A$1,1,$M2497-INDEX(MappingTables!$E$4:$E$8,MATCH(O2497,MappingTables!$B$4:$B$8,0)))</f>
        <v>2.552939451314506</v>
      </c>
      <c r="Q2497" s="71">
        <f>IF(B2497="",0,INDEX(ModelParameters!$D$6:$K$10,MATCH($O2497,ModelParameters!$B$6:$B$10,0),MATCH($J2497,ModelParameters!$D$5:$K$5,0)))</f>
        <v>0.012</v>
      </c>
      <c r="R2497" s="71">
        <f>IF(B2497="",0,INDEX(ModelParameters!$D$13:$K$17,MATCH($O2497,ModelParameters!$B$13:$B$17,0),MATCH($J2497,ModelParameters!$D$5:$K$5,0)))</f>
        <v>0.235</v>
      </c>
      <c r="S2497" s="160">
        <f>IF(B2497="",0,MIN(IF($N2497="Other Bond TM",ModelParameters!$N$21,1)*(P2497*Q2497+R2497),1))</f>
        <v>0.26563527341577408</v>
      </c>
      <c r="T2497" s="85">
        <f>IF(B2497="",0,$S2497*$K2497)</f>
        <v>165.44948884950522</v>
      </c>
      <c r="U2497" s="85">
        <f>IF(B2497="",0,IF(OR(H2497=MappingTables!$C$34,H2497=MappingTables!$C$35),T2497,0))</f>
        <v>0</v>
      </c>
      <c r="V2497" s="85">
        <f>IF(ISNA(IF(AND(VLOOKUP(CONCATENATE($D2497,$G2497),CSRFinput!$B:$E,4,0)=0,OR(H2497=MappingTables!$C$34,H2497=MappingTables!$C$35)),1,VLOOKUP(CONCATENATE($D2497,$G2497),CSRFinput!$B:$E,4,0))),0,IF(AND(VLOOKUP(CONCATENATE($D2497,$G2497),CSRFinput!$B:$E,4,0)=0,OR(H2497=MappingTables!$C$34,H2497=MappingTables!$C$35)),1,VLOOKUP(CONCATENATE($D2497,$G2497),CSRFinput!$B:$E,4,0)))</f>
        <v>0.054776304963434752</v>
      </c>
      <c r="W2497" s="85">
        <f>IF(B2497="",0,+$T2497*$V2497)</f>
        <v>9.0627116572648976</v>
      </c>
      <c r="X2497" s="85">
        <f>IF(B2497="",0,IF(OR(H2497=MappingTables!$C$34,H2497=MappingTables!$C$35),W2497,0))</f>
        <v>0</v>
      </c>
    </row>
    <row r="2498" spans="2:24" s="0" customFormat="0" ht="15">
      <c r="B2498" s="69" t="s">
        <v>2433</v>
      </c>
      <c r="C2498" s="70" t="s">
        <v>2434</v>
      </c>
      <c r="D2498" s="70" t="s">
        <v>1</v>
      </c>
      <c r="E2498" s="70" t="s">
        <v>1</v>
      </c>
      <c r="F2498" s="70"/>
      <c r="G2498" s="70" t="s">
        <v>61</v>
      </c>
      <c r="H2498" s="70" t="s">
        <v>178</v>
      </c>
      <c r="I2498" s="70" t="s">
        <v>198</v>
      </c>
      <c r="J2498" s="71" t="str">
        <f>IF(OR(I2498=0,I2498=""),"unrated",VLOOKUP(I2498,MappingTables!$B$19:$C$31,2,FALSE))</f>
        <v>unrated</v>
      </c>
      <c r="K2498" s="72">
        <v>2.075925230828446</v>
      </c>
      <c r="L2498" s="70">
        <v>0.2630136049704368</v>
      </c>
      <c r="M2498" s="71">
        <f>IF(L2498&lt;1,1,L2498)</f>
        <v>1</v>
      </c>
      <c r="N2498" s="70" t="s">
        <v>141</v>
      </c>
      <c r="O2498" s="71">
        <f>INDEX(DurClassMapping,MATCH(M2498,MappingTables!$D$4:$D$8,-1),1)</f>
        <v>1</v>
      </c>
      <c r="P2498" s="73">
        <f>IF(M2498=$A$1,1,$M2498-INDEX(MappingTables!$E$4:$E$8,MATCH(O2498,MappingTables!$B$4:$B$8,0)))</f>
        <v>1</v>
      </c>
      <c r="Q2498" s="71">
        <f>IF(B2498="",0,INDEX(ModelParameters!$D$6:$K$10,MATCH($O2498,ModelParameters!$B$6:$B$10,0),MATCH($J2498,ModelParameters!$D$5:$K$5,0)))</f>
        <v>0.03</v>
      </c>
      <c r="R2498" s="71">
        <f>IF(B2498="",0,INDEX(ModelParameters!$D$13:$K$17,MATCH($O2498,ModelParameters!$B$13:$B$17,0),MATCH($J2498,ModelParameters!$D$5:$K$5,0)))</f>
        <v>0</v>
      </c>
      <c r="S2498" s="160">
        <f>IF(B2498="",0,MIN(IF($N2498="Other Bond TM",ModelParameters!$N$21,1)*(P2498*Q2498+R2498),1))</f>
        <v>0.03</v>
      </c>
      <c r="T2498" s="85">
        <f>IF(B2498="",0,$S2498*$K2498)</f>
        <v>0.062277756924853376</v>
      </c>
      <c r="U2498" s="85">
        <f>IF(B2498="",0,IF(OR(H2498=MappingTables!$C$34,H2498=MappingTables!$C$35),T2498,0))</f>
        <v>0</v>
      </c>
      <c r="V2498" s="85">
        <f>IF(ISNA(IF(AND(VLOOKUP(CONCATENATE($D2498,$G2498),CSRFinput!$B:$E,4,0)=0,OR(H2498=MappingTables!$C$34,H2498=MappingTables!$C$35)),1,VLOOKUP(CONCATENATE($D2498,$G2498),CSRFinput!$B:$E,4,0))),0,IF(AND(VLOOKUP(CONCATENATE($D2498,$G2498),CSRFinput!$B:$E,4,0)=0,OR(H2498=MappingTables!$C$34,H2498=MappingTables!$C$35)),1,VLOOKUP(CONCATENATE($D2498,$G2498),CSRFinput!$B:$E,4,0)))</f>
        <v>0.054776304963434752</v>
      </c>
      <c r="W2498" s="85">
        <f>IF(B2498="",0,+$T2498*$V2498)</f>
        <v>0.0034113454057544292</v>
      </c>
      <c r="X2498" s="85">
        <f>IF(B2498="",0,IF(OR(H2498=MappingTables!$C$34,H2498=MappingTables!$C$35),W2498,0))</f>
        <v>0</v>
      </c>
    </row>
    <row r="2499" spans="2:24" s="0" customFormat="0" ht="15">
      <c r="B2499" s="69">
        <v>19686832</v>
      </c>
      <c r="C2499" s="70" t="s">
        <v>2049</v>
      </c>
      <c r="D2499" s="70" t="s">
        <v>1</v>
      </c>
      <c r="E2499" s="70" t="s">
        <v>1</v>
      </c>
      <c r="F2499" s="70"/>
      <c r="G2499" s="70" t="s">
        <v>61</v>
      </c>
      <c r="H2499" s="70" t="s">
        <v>178</v>
      </c>
      <c r="I2499" s="70" t="s">
        <v>184</v>
      </c>
      <c r="J2499" s="71">
        <f>IF(OR(I2499=0,I2499=""),"unrated",VLOOKUP(I2499,MappingTables!$B$19:$C$31,2,FALSE))</f>
        <v>5</v>
      </c>
      <c r="K2499" s="72">
        <v>290.16831070291868</v>
      </c>
      <c r="L2499" s="70">
        <v>0.35068540714457876</v>
      </c>
      <c r="M2499" s="71">
        <f>IF(L2499&lt;1,1,L2499)</f>
        <v>1</v>
      </c>
      <c r="N2499" s="70" t="s">
        <v>141</v>
      </c>
      <c r="O2499" s="71">
        <f>INDEX(DurClassMapping,MATCH(M2499,MappingTables!$D$4:$D$8,-1),1)</f>
        <v>1</v>
      </c>
      <c r="P2499" s="73">
        <f>IF(M2499=$A$1,1,$M2499-INDEX(MappingTables!$E$4:$E$8,MATCH(O2499,MappingTables!$B$4:$B$8,0)))</f>
        <v>1</v>
      </c>
      <c r="Q2499" s="71">
        <f>IF(B2499="",0,INDEX(ModelParameters!$D$6:$K$10,MATCH($O2499,ModelParameters!$B$6:$B$10,0),MATCH($J2499,ModelParameters!$D$5:$K$5,0)))</f>
        <v>0.075</v>
      </c>
      <c r="R2499" s="71">
        <f>IF(B2499="",0,INDEX(ModelParameters!$D$13:$K$17,MATCH($O2499,ModelParameters!$B$13:$B$17,0),MATCH($J2499,ModelParameters!$D$5:$K$5,0)))</f>
        <v>0</v>
      </c>
      <c r="S2499" s="160">
        <f>IF(B2499="",0,MIN(IF($N2499="Other Bond TM",ModelParameters!$N$21,1)*(P2499*Q2499+R2499),1))</f>
        <v>0.075</v>
      </c>
      <c r="T2499" s="85">
        <f>IF(B2499="",0,$S2499*$K2499)</f>
        <v>21.7626233027189</v>
      </c>
      <c r="U2499" s="85">
        <f>IF(B2499="",0,IF(OR(H2499=MappingTables!$C$34,H2499=MappingTables!$C$35),T2499,0))</f>
        <v>0</v>
      </c>
      <c r="V2499" s="85">
        <f>IF(ISNA(IF(AND(VLOOKUP(CONCATENATE($D2499,$G2499),CSRFinput!$B:$E,4,0)=0,OR(H2499=MappingTables!$C$34,H2499=MappingTables!$C$35)),1,VLOOKUP(CONCATENATE($D2499,$G2499),CSRFinput!$B:$E,4,0))),0,IF(AND(VLOOKUP(CONCATENATE($D2499,$G2499),CSRFinput!$B:$E,4,0)=0,OR(H2499=MappingTables!$C$34,H2499=MappingTables!$C$35)),1,VLOOKUP(CONCATENATE($D2499,$G2499),CSRFinput!$B:$E,4,0)))</f>
        <v>0.054776304963434752</v>
      </c>
      <c r="W2499" s="85">
        <f>IF(B2499="",0,+$T2499*$V2499)</f>
        <v>1.1920760908340822</v>
      </c>
      <c r="X2499" s="85">
        <f>IF(B2499="",0,IF(OR(H2499=MappingTables!$C$34,H2499=MappingTables!$C$35),W2499,0))</f>
        <v>0</v>
      </c>
    </row>
    <row r="2500" spans="2:24" s="0" customFormat="0" ht="15">
      <c r="B2500" s="69">
        <v>23134848</v>
      </c>
      <c r="C2500" s="70" t="s">
        <v>2454</v>
      </c>
      <c r="D2500" s="70" t="s">
        <v>1</v>
      </c>
      <c r="E2500" s="70" t="s">
        <v>1</v>
      </c>
      <c r="F2500" s="70"/>
      <c r="G2500" s="70" t="s">
        <v>61</v>
      </c>
      <c r="H2500" s="70" t="s">
        <v>178</v>
      </c>
      <c r="I2500" s="70" t="s">
        <v>181</v>
      </c>
      <c r="J2500" s="71">
        <f>IF(OR(I2500=0,I2500=""),"unrated",VLOOKUP(I2500,MappingTables!$B$19:$C$31,2,FALSE))</f>
        <v>3</v>
      </c>
      <c r="K2500" s="72">
        <v>125.54878030225444</v>
      </c>
      <c r="L2500" s="70">
        <v>4.1537249357847312</v>
      </c>
      <c r="M2500" s="71">
        <f>IF(L2500&lt;1,1,L2500)</f>
        <v>4.1537249357847312</v>
      </c>
      <c r="N2500" s="70" t="s">
        <v>141</v>
      </c>
      <c r="O2500" s="71">
        <f>INDEX(DurClassMapping,MATCH(M2500,MappingTables!$D$4:$D$8,-1),1)</f>
        <v>1</v>
      </c>
      <c r="P2500" s="73">
        <f>IF(M2500=$A$1,1,$M2500-INDEX(MappingTables!$E$4:$E$8,MATCH(O2500,MappingTables!$B$4:$B$8,0)))</f>
        <v>4.1537249357847312</v>
      </c>
      <c r="Q2500" s="71">
        <f>IF(B2500="",0,INDEX(ModelParameters!$D$6:$K$10,MATCH($O2500,ModelParameters!$B$6:$B$10,0),MATCH($J2500,ModelParameters!$D$5:$K$5,0)))</f>
        <v>0.025</v>
      </c>
      <c r="R2500" s="71">
        <f>IF(B2500="",0,INDEX(ModelParameters!$D$13:$K$17,MATCH($O2500,ModelParameters!$B$13:$B$17,0),MATCH($J2500,ModelParameters!$D$5:$K$5,0)))</f>
        <v>0</v>
      </c>
      <c r="S2500" s="160">
        <f>IF(B2500="",0,MIN(IF($N2500="Other Bond TM",ModelParameters!$N$21,1)*(P2500*Q2500+R2500),1))</f>
        <v>0.10384312339461828</v>
      </c>
      <c r="T2500" s="85">
        <f>IF(B2500="",0,$S2500*$K2500)</f>
        <v>13.03737748497083</v>
      </c>
      <c r="U2500" s="85">
        <f>IF(B2500="",0,IF(OR(H2500=MappingTables!$C$34,H2500=MappingTables!$C$35),T2500,0))</f>
        <v>0</v>
      </c>
      <c r="V2500" s="85">
        <f>IF(ISNA(IF(AND(VLOOKUP(CONCATENATE($D2500,$G2500),CSRFinput!$B:$E,4,0)=0,OR(H2500=MappingTables!$C$34,H2500=MappingTables!$C$35)),1,VLOOKUP(CONCATENATE($D2500,$G2500),CSRFinput!$B:$E,4,0))),0,IF(AND(VLOOKUP(CONCATENATE($D2500,$G2500),CSRFinput!$B:$E,4,0)=0,OR(H2500=MappingTables!$C$34,H2500=MappingTables!$C$35)),1,VLOOKUP(CONCATENATE($D2500,$G2500),CSRFinput!$B:$E,4,0)))</f>
        <v>0.054776304963434752</v>
      </c>
      <c r="W2500" s="85">
        <f>IF(B2500="",0,+$T2500*$V2500)</f>
        <v>0.71413936504018016</v>
      </c>
      <c r="X2500" s="85">
        <f>IF(B2500="",0,IF(OR(H2500=MappingTables!$C$34,H2500=MappingTables!$C$35),W2500,0))</f>
        <v>0</v>
      </c>
    </row>
    <row r="2501" spans="2:24" s="0" customFormat="0" ht="15">
      <c r="B2501" s="69">
        <v>22272418</v>
      </c>
      <c r="C2501" s="70" t="s">
        <v>2455</v>
      </c>
      <c r="D2501" s="70" t="s">
        <v>1</v>
      </c>
      <c r="E2501" s="70" t="s">
        <v>1</v>
      </c>
      <c r="F2501" s="70"/>
      <c r="G2501" s="70" t="s">
        <v>61</v>
      </c>
      <c r="H2501" s="70" t="s">
        <v>178</v>
      </c>
      <c r="I2501" s="70" t="s">
        <v>188</v>
      </c>
      <c r="J2501" s="71">
        <f>IF(OR(I2501=0,I2501=""),"unrated",VLOOKUP(I2501,MappingTables!$B$19:$C$31,2,FALSE))</f>
        <v>2</v>
      </c>
      <c r="K2501" s="72">
        <v>1697.6548384162718</v>
      </c>
      <c r="L2501" s="70">
        <v>8.8985126614543792</v>
      </c>
      <c r="M2501" s="71">
        <f>IF(L2501&lt;1,1,L2501)</f>
        <v>8.8985126614543792</v>
      </c>
      <c r="N2501" s="70" t="s">
        <v>141</v>
      </c>
      <c r="O2501" s="71">
        <f>INDEX(DurClassMapping,MATCH(M2501,MappingTables!$D$4:$D$8,-1),1)</f>
        <v>2</v>
      </c>
      <c r="P2501" s="73">
        <f>IF(M2501=$A$1,1,$M2501-INDEX(MappingTables!$E$4:$E$8,MATCH(O2501,MappingTables!$B$4:$B$8,0)))</f>
        <v>3.8985126614543792</v>
      </c>
      <c r="Q2501" s="71">
        <f>IF(B2501="",0,INDEX(ModelParameters!$D$6:$K$10,MATCH($O2501,ModelParameters!$B$6:$B$10,0),MATCH($J2501,ModelParameters!$D$5:$K$5,0)))</f>
        <v>0.0069999999999999992</v>
      </c>
      <c r="R2501" s="71">
        <f>IF(B2501="",0,INDEX(ModelParameters!$D$13:$K$17,MATCH($O2501,ModelParameters!$B$13:$B$17,0),MATCH($J2501,ModelParameters!$D$5:$K$5,0)))</f>
        <v>0.070000000000000008</v>
      </c>
      <c r="S2501" s="160">
        <f>IF(B2501="",0,MIN(IF($N2501="Other Bond TM",ModelParameters!$N$21,1)*(P2501*Q2501+R2501),1))</f>
        <v>0.097289588630180672</v>
      </c>
      <c r="T2501" s="85">
        <f>IF(B2501="",0,$S2501*$K2501)</f>
        <v>165.16414086555492</v>
      </c>
      <c r="U2501" s="85">
        <f>IF(B2501="",0,IF(OR(H2501=MappingTables!$C$34,H2501=MappingTables!$C$35),T2501,0))</f>
        <v>0</v>
      </c>
      <c r="V2501" s="85">
        <f>IF(ISNA(IF(AND(VLOOKUP(CONCATENATE($D2501,$G2501),CSRFinput!$B:$E,4,0)=0,OR(H2501=MappingTables!$C$34,H2501=MappingTables!$C$35)),1,VLOOKUP(CONCATENATE($D2501,$G2501),CSRFinput!$B:$E,4,0))),0,IF(AND(VLOOKUP(CONCATENATE($D2501,$G2501),CSRFinput!$B:$E,4,0)=0,OR(H2501=MappingTables!$C$34,H2501=MappingTables!$C$35)),1,VLOOKUP(CONCATENATE($D2501,$G2501),CSRFinput!$B:$E,4,0)))</f>
        <v>0.054776304963434752</v>
      </c>
      <c r="W2501" s="85">
        <f>IF(B2501="",0,+$T2501*$V2501)</f>
        <v>9.0470813490753328</v>
      </c>
      <c r="X2501" s="85">
        <f>IF(B2501="",0,IF(OR(H2501=MappingTables!$C$34,H2501=MappingTables!$C$35),W2501,0))</f>
        <v>0</v>
      </c>
    </row>
    <row r="2502" spans="2:24" s="0" customFormat="0" ht="15">
      <c r="B2502" s="69">
        <v>7178602</v>
      </c>
      <c r="C2502" s="70" t="s">
        <v>2456</v>
      </c>
      <c r="D2502" s="70" t="s">
        <v>1</v>
      </c>
      <c r="E2502" s="70" t="s">
        <v>1</v>
      </c>
      <c r="F2502" s="70"/>
      <c r="G2502" s="70" t="s">
        <v>61</v>
      </c>
      <c r="H2502" s="70" t="s">
        <v>178</v>
      </c>
      <c r="I2502" s="70" t="s">
        <v>188</v>
      </c>
      <c r="J2502" s="71">
        <f>IF(OR(I2502=0,I2502=""),"unrated",VLOOKUP(I2502,MappingTables!$B$19:$C$31,2,FALSE))</f>
        <v>2</v>
      </c>
      <c r="K2502" s="72">
        <v>1.8732742372812484</v>
      </c>
      <c r="L2502" s="70">
        <v>0.15616572843525808</v>
      </c>
      <c r="M2502" s="71">
        <f>IF(L2502&lt;1,1,L2502)</f>
        <v>1</v>
      </c>
      <c r="N2502" s="70" t="s">
        <v>141</v>
      </c>
      <c r="O2502" s="71">
        <f>INDEX(DurClassMapping,MATCH(M2502,MappingTables!$D$4:$D$8,-1),1)</f>
        <v>1</v>
      </c>
      <c r="P2502" s="73">
        <f>IF(M2502=$A$1,1,$M2502-INDEX(MappingTables!$E$4:$E$8,MATCH(O2502,MappingTables!$B$4:$B$8,0)))</f>
        <v>1</v>
      </c>
      <c r="Q2502" s="71">
        <f>IF(B2502="",0,INDEX(ModelParameters!$D$6:$K$10,MATCH($O2502,ModelParameters!$B$6:$B$10,0),MATCH($J2502,ModelParameters!$D$5:$K$5,0)))</f>
        <v>0.013999999999999998</v>
      </c>
      <c r="R2502" s="71">
        <f>IF(B2502="",0,INDEX(ModelParameters!$D$13:$K$17,MATCH($O2502,ModelParameters!$B$13:$B$17,0),MATCH($J2502,ModelParameters!$D$5:$K$5,0)))</f>
        <v>0</v>
      </c>
      <c r="S2502" s="160">
        <f>IF(B2502="",0,MIN(IF($N2502="Other Bond TM",ModelParameters!$N$21,1)*(P2502*Q2502+R2502),1))</f>
        <v>0.013999999999999998</v>
      </c>
      <c r="T2502" s="85">
        <f>IF(B2502="",0,$S2502*$K2502)</f>
        <v>0.026225839321937476</v>
      </c>
      <c r="U2502" s="85">
        <f>IF(B2502="",0,IF(OR(H2502=MappingTables!$C$34,H2502=MappingTables!$C$35),T2502,0))</f>
        <v>0</v>
      </c>
      <c r="V2502" s="85">
        <f>IF(ISNA(IF(AND(VLOOKUP(CONCATENATE($D2502,$G2502),CSRFinput!$B:$E,4,0)=0,OR(H2502=MappingTables!$C$34,H2502=MappingTables!$C$35)),1,VLOOKUP(CONCATENATE($D2502,$G2502),CSRFinput!$B:$E,4,0))),0,IF(AND(VLOOKUP(CONCATENATE($D2502,$G2502),CSRFinput!$B:$E,4,0)=0,OR(H2502=MappingTables!$C$34,H2502=MappingTables!$C$35)),1,VLOOKUP(CONCATENATE($D2502,$G2502),CSRFinput!$B:$E,4,0)))</f>
        <v>0.054776304963434752</v>
      </c>
      <c r="W2502" s="85">
        <f>IF(B2502="",0,+$T2502*$V2502)</f>
        <v>0.0014365545726204862</v>
      </c>
      <c r="X2502" s="85">
        <f>IF(B2502="",0,IF(OR(H2502=MappingTables!$C$34,H2502=MappingTables!$C$35),W2502,0))</f>
        <v>0</v>
      </c>
    </row>
    <row r="2503" spans="2:24" s="0" customFormat="0" ht="15">
      <c r="B2503" s="69" t="s">
        <v>543</v>
      </c>
      <c r="C2503" s="70" t="s">
        <v>544</v>
      </c>
      <c r="D2503" s="70" t="s">
        <v>1</v>
      </c>
      <c r="E2503" s="70" t="s">
        <v>1</v>
      </c>
      <c r="F2503" s="70"/>
      <c r="G2503" s="70" t="s">
        <v>61</v>
      </c>
      <c r="H2503" s="70" t="s">
        <v>178</v>
      </c>
      <c r="I2503" s="70" t="s">
        <v>188</v>
      </c>
      <c r="J2503" s="71">
        <f>IF(OR(I2503=0,I2503=""),"unrated",VLOOKUP(I2503,MappingTables!$B$19:$C$31,2,FALSE))</f>
        <v>2</v>
      </c>
      <c r="K2503" s="72">
        <v>3447.7663538639</v>
      </c>
      <c r="L2503" s="70">
        <v>1.8554829905551336</v>
      </c>
      <c r="M2503" s="71">
        <f>IF(L2503&lt;1,1,L2503)</f>
        <v>1.8554829905551336</v>
      </c>
      <c r="N2503" s="70" t="s">
        <v>141</v>
      </c>
      <c r="O2503" s="71">
        <f>INDEX(DurClassMapping,MATCH(M2503,MappingTables!$D$4:$D$8,-1),1)</f>
        <v>1</v>
      </c>
      <c r="P2503" s="73">
        <f>IF(M2503=$A$1,1,$M2503-INDEX(MappingTables!$E$4:$E$8,MATCH(O2503,MappingTables!$B$4:$B$8,0)))</f>
        <v>1.8554829905551336</v>
      </c>
      <c r="Q2503" s="71">
        <f>IF(B2503="",0,INDEX(ModelParameters!$D$6:$K$10,MATCH($O2503,ModelParameters!$B$6:$B$10,0),MATCH($J2503,ModelParameters!$D$5:$K$5,0)))</f>
        <v>0.013999999999999998</v>
      </c>
      <c r="R2503" s="71">
        <f>IF(B2503="",0,INDEX(ModelParameters!$D$13:$K$17,MATCH($O2503,ModelParameters!$B$13:$B$17,0),MATCH($J2503,ModelParameters!$D$5:$K$5,0)))</f>
        <v>0</v>
      </c>
      <c r="S2503" s="160">
        <f>IF(B2503="",0,MIN(IF($N2503="Other Bond TM",ModelParameters!$N$21,1)*(P2503*Q2503+R2503),1))</f>
        <v>0.025976761867771868</v>
      </c>
      <c r="T2503" s="85">
        <f>IF(B2503="",0,$S2503*$K2503)</f>
        <v>89.561805550038608</v>
      </c>
      <c r="U2503" s="85">
        <f>IF(B2503="",0,IF(OR(H2503=MappingTables!$C$34,H2503=MappingTables!$C$35),T2503,0))</f>
        <v>0</v>
      </c>
      <c r="V2503" s="85">
        <f>IF(ISNA(IF(AND(VLOOKUP(CONCATENATE($D2503,$G2503),CSRFinput!$B:$E,4,0)=0,OR(H2503=MappingTables!$C$34,H2503=MappingTables!$C$35)),1,VLOOKUP(CONCATENATE($D2503,$G2503),CSRFinput!$B:$E,4,0))),0,IF(AND(VLOOKUP(CONCATENATE($D2503,$G2503),CSRFinput!$B:$E,4,0)=0,OR(H2503=MappingTables!$C$34,H2503=MappingTables!$C$35)),1,VLOOKUP(CONCATENATE($D2503,$G2503),CSRFinput!$B:$E,4,0)))</f>
        <v>0.054776304963434752</v>
      </c>
      <c r="W2503" s="85">
        <f>IF(B2503="",0,+$T2503*$V2503)</f>
        <v>4.9058647738847584</v>
      </c>
      <c r="X2503" s="85">
        <f>IF(B2503="",0,IF(OR(H2503=MappingTables!$C$34,H2503=MappingTables!$C$35),W2503,0))</f>
        <v>0</v>
      </c>
    </row>
    <row r="2504" spans="2:24" s="0" customFormat="0" ht="15">
      <c r="B2504" s="69">
        <v>14962706</v>
      </c>
      <c r="C2504" s="70" t="s">
        <v>2457</v>
      </c>
      <c r="D2504" s="70" t="s">
        <v>1</v>
      </c>
      <c r="E2504" s="70" t="s">
        <v>1</v>
      </c>
      <c r="F2504" s="70"/>
      <c r="G2504" s="70" t="s">
        <v>61</v>
      </c>
      <c r="H2504" s="70" t="s">
        <v>178</v>
      </c>
      <c r="I2504" s="70" t="s">
        <v>181</v>
      </c>
      <c r="J2504" s="71">
        <f>IF(OR(I2504=0,I2504=""),"unrated",VLOOKUP(I2504,MappingTables!$B$19:$C$31,2,FALSE))</f>
        <v>3</v>
      </c>
      <c r="K2504" s="72">
        <v>211.93160585677604</v>
      </c>
      <c r="L2504" s="70">
        <v>1.6812109912605084</v>
      </c>
      <c r="M2504" s="71">
        <f>IF(L2504&lt;1,1,L2504)</f>
        <v>1.6812109912605084</v>
      </c>
      <c r="N2504" s="70" t="s">
        <v>141</v>
      </c>
      <c r="O2504" s="71">
        <f>INDEX(DurClassMapping,MATCH(M2504,MappingTables!$D$4:$D$8,-1),1)</f>
        <v>1</v>
      </c>
      <c r="P2504" s="73">
        <f>IF(M2504=$A$1,1,$M2504-INDEX(MappingTables!$E$4:$E$8,MATCH(O2504,MappingTables!$B$4:$B$8,0)))</f>
        <v>1.6812109912605084</v>
      </c>
      <c r="Q2504" s="71">
        <f>IF(B2504="",0,INDEX(ModelParameters!$D$6:$K$10,MATCH($O2504,ModelParameters!$B$6:$B$10,0),MATCH($J2504,ModelParameters!$D$5:$K$5,0)))</f>
        <v>0.025</v>
      </c>
      <c r="R2504" s="71">
        <f>IF(B2504="",0,INDEX(ModelParameters!$D$13:$K$17,MATCH($O2504,ModelParameters!$B$13:$B$17,0),MATCH($J2504,ModelParameters!$D$5:$K$5,0)))</f>
        <v>0</v>
      </c>
      <c r="S2504" s="160">
        <f>IF(B2504="",0,MIN(IF($N2504="Other Bond TM",ModelParameters!$N$21,1)*(P2504*Q2504+R2504),1))</f>
        <v>0.042030274781512712</v>
      </c>
      <c r="T2504" s="85">
        <f>IF(B2504="",0,$S2504*$K2504)</f>
        <v>8.9075436290475456</v>
      </c>
      <c r="U2504" s="85">
        <f>IF(B2504="",0,IF(OR(H2504=MappingTables!$C$34,H2504=MappingTables!$C$35),T2504,0))</f>
        <v>0</v>
      </c>
      <c r="V2504" s="85">
        <f>IF(ISNA(IF(AND(VLOOKUP(CONCATENATE($D2504,$G2504),CSRFinput!$B:$E,4,0)=0,OR(H2504=MappingTables!$C$34,H2504=MappingTables!$C$35)),1,VLOOKUP(CONCATENATE($D2504,$G2504),CSRFinput!$B:$E,4,0))),0,IF(AND(VLOOKUP(CONCATENATE($D2504,$G2504),CSRFinput!$B:$E,4,0)=0,OR(H2504=MappingTables!$C$34,H2504=MappingTables!$C$35)),1,VLOOKUP(CONCATENATE($D2504,$G2504),CSRFinput!$B:$E,4,0)))</f>
        <v>0.054776304963434752</v>
      </c>
      <c r="W2504" s="85">
        <f>IF(B2504="",0,+$T2504*$V2504)</f>
        <v>0.48792232629980864</v>
      </c>
      <c r="X2504" s="85">
        <f>IF(B2504="",0,IF(OR(H2504=MappingTables!$C$34,H2504=MappingTables!$C$35),W2504,0))</f>
        <v>0</v>
      </c>
    </row>
    <row r="2505" spans="2:24" s="0" customFormat="0" ht="15">
      <c r="B2505" s="69">
        <v>18943962</v>
      </c>
      <c r="C2505" s="70" t="s">
        <v>2458</v>
      </c>
      <c r="D2505" s="70" t="s">
        <v>1</v>
      </c>
      <c r="E2505" s="70" t="s">
        <v>1</v>
      </c>
      <c r="F2505" s="70"/>
      <c r="G2505" s="70" t="s">
        <v>61</v>
      </c>
      <c r="H2505" s="70" t="s">
        <v>178</v>
      </c>
      <c r="I2505" s="70" t="s">
        <v>181</v>
      </c>
      <c r="J2505" s="71">
        <f>IF(OR(I2505=0,I2505=""),"unrated",VLOOKUP(I2505,MappingTables!$B$19:$C$31,2,FALSE))</f>
        <v>3</v>
      </c>
      <c r="K2505" s="72">
        <v>132.71245079995284</v>
      </c>
      <c r="L2505" s="70">
        <v>2.9270861598961392</v>
      </c>
      <c r="M2505" s="71">
        <f>IF(L2505&lt;1,1,L2505)</f>
        <v>2.9270861598961392</v>
      </c>
      <c r="N2505" s="70" t="s">
        <v>141</v>
      </c>
      <c r="O2505" s="71">
        <f>INDEX(DurClassMapping,MATCH(M2505,MappingTables!$D$4:$D$8,-1),1)</f>
        <v>1</v>
      </c>
      <c r="P2505" s="73">
        <f>IF(M2505=$A$1,1,$M2505-INDEX(MappingTables!$E$4:$E$8,MATCH(O2505,MappingTables!$B$4:$B$8,0)))</f>
        <v>2.9270861598961392</v>
      </c>
      <c r="Q2505" s="71">
        <f>IF(B2505="",0,INDEX(ModelParameters!$D$6:$K$10,MATCH($O2505,ModelParameters!$B$6:$B$10,0),MATCH($J2505,ModelParameters!$D$5:$K$5,0)))</f>
        <v>0.025</v>
      </c>
      <c r="R2505" s="71">
        <f>IF(B2505="",0,INDEX(ModelParameters!$D$13:$K$17,MATCH($O2505,ModelParameters!$B$13:$B$17,0),MATCH($J2505,ModelParameters!$D$5:$K$5,0)))</f>
        <v>0</v>
      </c>
      <c r="S2505" s="160">
        <f>IF(B2505="",0,MIN(IF($N2505="Other Bond TM",ModelParameters!$N$21,1)*(P2505*Q2505+R2505),1))</f>
        <v>0.073177153997403472</v>
      </c>
      <c r="T2505" s="85">
        <f>IF(B2505="",0,$S2505*$K2505)</f>
        <v>9.7115194495609808</v>
      </c>
      <c r="U2505" s="85">
        <f>IF(B2505="",0,IF(OR(H2505=MappingTables!$C$34,H2505=MappingTables!$C$35),T2505,0))</f>
        <v>0</v>
      </c>
      <c r="V2505" s="85">
        <f>IF(ISNA(IF(AND(VLOOKUP(CONCATENATE($D2505,$G2505),CSRFinput!$B:$E,4,0)=0,OR(H2505=MappingTables!$C$34,H2505=MappingTables!$C$35)),1,VLOOKUP(CONCATENATE($D2505,$G2505),CSRFinput!$B:$E,4,0))),0,IF(AND(VLOOKUP(CONCATENATE($D2505,$G2505),CSRFinput!$B:$E,4,0)=0,OR(H2505=MappingTables!$C$34,H2505=MappingTables!$C$35)),1,VLOOKUP(CONCATENATE($D2505,$G2505),CSRFinput!$B:$E,4,0)))</f>
        <v>0.054776304963434752</v>
      </c>
      <c r="W2505" s="85">
        <f>IF(B2505="",0,+$T2505*$V2505)</f>
        <v>0.53196115102748032</v>
      </c>
      <c r="X2505" s="85">
        <f>IF(B2505="",0,IF(OR(H2505=MappingTables!$C$34,H2505=MappingTables!$C$35),W2505,0))</f>
        <v>0</v>
      </c>
    </row>
    <row r="2506" spans="2:24" s="0" customFormat="0" ht="15">
      <c r="B2506" s="69" t="s">
        <v>1849</v>
      </c>
      <c r="C2506" s="70" t="s">
        <v>1850</v>
      </c>
      <c r="D2506" s="70" t="s">
        <v>1</v>
      </c>
      <c r="E2506" s="70" t="s">
        <v>1</v>
      </c>
      <c r="F2506" s="70"/>
      <c r="G2506" s="70" t="s">
        <v>61</v>
      </c>
      <c r="H2506" s="70" t="s">
        <v>178</v>
      </c>
      <c r="I2506" s="70" t="s">
        <v>198</v>
      </c>
      <c r="J2506" s="71" t="str">
        <f>IF(OR(I2506=0,I2506=""),"unrated",VLOOKUP(I2506,MappingTables!$B$19:$C$31,2,FALSE))</f>
        <v>unrated</v>
      </c>
      <c r="K2506" s="72">
        <v>12773.653024033056</v>
      </c>
      <c r="L2506" s="70">
        <v>0.08767211646803336</v>
      </c>
      <c r="M2506" s="71">
        <f>IF(L2506&lt;1,1,L2506)</f>
        <v>1</v>
      </c>
      <c r="N2506" s="70" t="s">
        <v>141</v>
      </c>
      <c r="O2506" s="71">
        <f>INDEX(DurClassMapping,MATCH(M2506,MappingTables!$D$4:$D$8,-1),1)</f>
        <v>1</v>
      </c>
      <c r="P2506" s="73">
        <f>IF(M2506=$A$1,1,$M2506-INDEX(MappingTables!$E$4:$E$8,MATCH(O2506,MappingTables!$B$4:$B$8,0)))</f>
        <v>1</v>
      </c>
      <c r="Q2506" s="71">
        <f>IF(B2506="",0,INDEX(ModelParameters!$D$6:$K$10,MATCH($O2506,ModelParameters!$B$6:$B$10,0),MATCH($J2506,ModelParameters!$D$5:$K$5,0)))</f>
        <v>0.03</v>
      </c>
      <c r="R2506" s="71">
        <f>IF(B2506="",0,INDEX(ModelParameters!$D$13:$K$17,MATCH($O2506,ModelParameters!$B$13:$B$17,0),MATCH($J2506,ModelParameters!$D$5:$K$5,0)))</f>
        <v>0</v>
      </c>
      <c r="S2506" s="160">
        <f>IF(B2506="",0,MIN(IF($N2506="Other Bond TM",ModelParameters!$N$21,1)*(P2506*Q2506+R2506),1))</f>
        <v>0.03</v>
      </c>
      <c r="T2506" s="85">
        <f>IF(B2506="",0,$S2506*$K2506)</f>
        <v>383.20959072099168</v>
      </c>
      <c r="U2506" s="85">
        <f>IF(B2506="",0,IF(OR(H2506=MappingTables!$C$34,H2506=MappingTables!$C$35),T2506,0))</f>
        <v>0</v>
      </c>
      <c r="V2506" s="85">
        <f>IF(ISNA(IF(AND(VLOOKUP(CONCATENATE($D2506,$G2506),CSRFinput!$B:$E,4,0)=0,OR(H2506=MappingTables!$C$34,H2506=MappingTables!$C$35)),1,VLOOKUP(CONCATENATE($D2506,$G2506),CSRFinput!$B:$E,4,0))),0,IF(AND(VLOOKUP(CONCATENATE($D2506,$G2506),CSRFinput!$B:$E,4,0)=0,OR(H2506=MappingTables!$C$34,H2506=MappingTables!$C$35)),1,VLOOKUP(CONCATENATE($D2506,$G2506),CSRFinput!$B:$E,4,0)))</f>
        <v>0.054776304963434752</v>
      </c>
      <c r="W2506" s="85">
        <f>IF(B2506="",0,+$T2506*$V2506)</f>
        <v>20.990805406246056</v>
      </c>
      <c r="X2506" s="85">
        <f>IF(B2506="",0,IF(OR(H2506=MappingTables!$C$34,H2506=MappingTables!$C$35),W2506,0))</f>
        <v>0</v>
      </c>
    </row>
    <row r="2507" spans="2:24" s="0" customFormat="0" ht="15">
      <c r="B2507" s="69">
        <v>21507541</v>
      </c>
      <c r="C2507" s="70" t="s">
        <v>2459</v>
      </c>
      <c r="D2507" s="70" t="s">
        <v>1</v>
      </c>
      <c r="E2507" s="70" t="s">
        <v>1</v>
      </c>
      <c r="F2507" s="70"/>
      <c r="G2507" s="70" t="s">
        <v>61</v>
      </c>
      <c r="H2507" s="70" t="s">
        <v>178</v>
      </c>
      <c r="I2507" s="70" t="s">
        <v>181</v>
      </c>
      <c r="J2507" s="71">
        <f>IF(OR(I2507=0,I2507=""),"unrated",VLOOKUP(I2507,MappingTables!$B$19:$C$31,2,FALSE))</f>
        <v>3</v>
      </c>
      <c r="K2507" s="72">
        <v>380.12300386393744</v>
      </c>
      <c r="L2507" s="70">
        <v>4.4400173478779376</v>
      </c>
      <c r="M2507" s="71">
        <f>IF(L2507&lt;1,1,L2507)</f>
        <v>4.4400173478779376</v>
      </c>
      <c r="N2507" s="70" t="s">
        <v>141</v>
      </c>
      <c r="O2507" s="71">
        <f>INDEX(DurClassMapping,MATCH(M2507,MappingTables!$D$4:$D$8,-1),1)</f>
        <v>1</v>
      </c>
      <c r="P2507" s="73">
        <f>IF(M2507=$A$1,1,$M2507-INDEX(MappingTables!$E$4:$E$8,MATCH(O2507,MappingTables!$B$4:$B$8,0)))</f>
        <v>4.4400173478779376</v>
      </c>
      <c r="Q2507" s="71">
        <f>IF(B2507="",0,INDEX(ModelParameters!$D$6:$K$10,MATCH($O2507,ModelParameters!$B$6:$B$10,0),MATCH($J2507,ModelParameters!$D$5:$K$5,0)))</f>
        <v>0.025</v>
      </c>
      <c r="R2507" s="71">
        <f>IF(B2507="",0,INDEX(ModelParameters!$D$13:$K$17,MATCH($O2507,ModelParameters!$B$13:$B$17,0),MATCH($J2507,ModelParameters!$D$5:$K$5,0)))</f>
        <v>0</v>
      </c>
      <c r="S2507" s="160">
        <f>IF(B2507="",0,MIN(IF($N2507="Other Bond TM",ModelParameters!$N$21,1)*(P2507*Q2507+R2507),1))</f>
        <v>0.11100043369694844</v>
      </c>
      <c r="T2507" s="85">
        <f>IF(B2507="",0,$S2507*$K2507)</f>
        <v>42.193818287083856</v>
      </c>
      <c r="U2507" s="85">
        <f>IF(B2507="",0,IF(OR(H2507=MappingTables!$C$34,H2507=MappingTables!$C$35),T2507,0))</f>
        <v>0</v>
      </c>
      <c r="V2507" s="85">
        <f>IF(ISNA(IF(AND(VLOOKUP(CONCATENATE($D2507,$G2507),CSRFinput!$B:$E,4,0)=0,OR(H2507=MappingTables!$C$34,H2507=MappingTables!$C$35)),1,VLOOKUP(CONCATENATE($D2507,$G2507),CSRFinput!$B:$E,4,0))),0,IF(AND(VLOOKUP(CONCATENATE($D2507,$G2507),CSRFinput!$B:$E,4,0)=0,OR(H2507=MappingTables!$C$34,H2507=MappingTables!$C$35)),1,VLOOKUP(CONCATENATE($D2507,$G2507),CSRFinput!$B:$E,4,0)))</f>
        <v>0.054776304963434752</v>
      </c>
      <c r="W2507" s="85">
        <f>IF(B2507="",0,+$T2507*$V2507)</f>
        <v>2.3112214580650556</v>
      </c>
      <c r="X2507" s="85">
        <f>IF(B2507="",0,IF(OR(H2507=MappingTables!$C$34,H2507=MappingTables!$C$35),W2507,0))</f>
        <v>0</v>
      </c>
    </row>
    <row r="2508" spans="2:24" s="0" customFormat="0" ht="15">
      <c r="B2508" s="69">
        <v>16973570</v>
      </c>
      <c r="C2508" s="70" t="s">
        <v>2460</v>
      </c>
      <c r="D2508" s="70" t="s">
        <v>1</v>
      </c>
      <c r="E2508" s="70" t="s">
        <v>1</v>
      </c>
      <c r="F2508" s="70"/>
      <c r="G2508" s="70" t="s">
        <v>61</v>
      </c>
      <c r="H2508" s="70" t="s">
        <v>178</v>
      </c>
      <c r="I2508" s="70" t="s">
        <v>179</v>
      </c>
      <c r="J2508" s="71">
        <f>IF(OR(I2508=0,I2508=""),"unrated",VLOOKUP(I2508,MappingTables!$B$19:$C$31,2,FALSE))</f>
        <v>4</v>
      </c>
      <c r="K2508" s="72">
        <v>6661.4594669055808</v>
      </c>
      <c r="L2508" s="70">
        <v>1.874546254970228</v>
      </c>
      <c r="M2508" s="71">
        <f>IF(L2508&lt;1,1,L2508)</f>
        <v>1.874546254970228</v>
      </c>
      <c r="N2508" s="70" t="s">
        <v>141</v>
      </c>
      <c r="O2508" s="71">
        <f>INDEX(DurClassMapping,MATCH(M2508,MappingTables!$D$4:$D$8,-1),1)</f>
        <v>1</v>
      </c>
      <c r="P2508" s="73">
        <f>IF(M2508=$A$1,1,$M2508-INDEX(MappingTables!$E$4:$E$8,MATCH(O2508,MappingTables!$B$4:$B$8,0)))</f>
        <v>1.874546254970228</v>
      </c>
      <c r="Q2508" s="71">
        <f>IF(B2508="",0,INDEX(ModelParameters!$D$6:$K$10,MATCH($O2508,ModelParameters!$B$6:$B$10,0),MATCH($J2508,ModelParameters!$D$5:$K$5,0)))</f>
        <v>0.045</v>
      </c>
      <c r="R2508" s="71">
        <f>IF(B2508="",0,INDEX(ModelParameters!$D$13:$K$17,MATCH($O2508,ModelParameters!$B$13:$B$17,0),MATCH($J2508,ModelParameters!$D$5:$K$5,0)))</f>
        <v>0</v>
      </c>
      <c r="S2508" s="160">
        <f>IF(B2508="",0,MIN(IF($N2508="Other Bond TM",ModelParameters!$N$21,1)*(P2508*Q2508+R2508),1))</f>
        <v>0.084354581473660256</v>
      </c>
      <c r="T2508" s="85">
        <f>IF(B2508="",0,$S2508*$K2508)</f>
        <v>561.92462533457232</v>
      </c>
      <c r="U2508" s="85">
        <f>IF(B2508="",0,IF(OR(H2508=MappingTables!$C$34,H2508=MappingTables!$C$35),T2508,0))</f>
        <v>0</v>
      </c>
      <c r="V2508" s="85">
        <f>IF(ISNA(IF(AND(VLOOKUP(CONCATENATE($D2508,$G2508),CSRFinput!$B:$E,4,0)=0,OR(H2508=MappingTables!$C$34,H2508=MappingTables!$C$35)),1,VLOOKUP(CONCATENATE($D2508,$G2508),CSRFinput!$B:$E,4,0))),0,IF(AND(VLOOKUP(CONCATENATE($D2508,$G2508),CSRFinput!$B:$E,4,0)=0,OR(H2508=MappingTables!$C$34,H2508=MappingTables!$C$35)),1,VLOOKUP(CONCATENATE($D2508,$G2508),CSRFinput!$B:$E,4,0)))</f>
        <v>0.054776304963434752</v>
      </c>
      <c r="W2508" s="85">
        <f>IF(B2508="",0,+$T2508*$V2508)</f>
        <v>30.780154643790348</v>
      </c>
      <c r="X2508" s="85">
        <f>IF(B2508="",0,IF(OR(H2508=MappingTables!$C$34,H2508=MappingTables!$C$35),W2508,0))</f>
        <v>0</v>
      </c>
    </row>
    <row r="2509" spans="2:24" s="0" customFormat="0" ht="15">
      <c r="B2509" s="69" t="s">
        <v>1155</v>
      </c>
      <c r="C2509" s="70" t="s">
        <v>1156</v>
      </c>
      <c r="D2509" s="70" t="s">
        <v>1</v>
      </c>
      <c r="E2509" s="70" t="s">
        <v>1</v>
      </c>
      <c r="F2509" s="70"/>
      <c r="G2509" s="70" t="s">
        <v>61</v>
      </c>
      <c r="H2509" s="70" t="s">
        <v>178</v>
      </c>
      <c r="I2509" s="70" t="s">
        <v>220</v>
      </c>
      <c r="J2509" s="71">
        <f>IF(OR(I2509=0,I2509=""),"unrated",VLOOKUP(I2509,MappingTables!$B$19:$C$31,2,FALSE))</f>
        <v>1</v>
      </c>
      <c r="K2509" s="72">
        <v>100.17320130998186</v>
      </c>
      <c r="L2509" s="70">
        <v>18.913610756303208</v>
      </c>
      <c r="M2509" s="71">
        <f>IF(L2509&lt;1,1,L2509)</f>
        <v>18.913610756303208</v>
      </c>
      <c r="N2509" s="70" t="s">
        <v>141</v>
      </c>
      <c r="O2509" s="71">
        <f>INDEX(DurClassMapping,MATCH(M2509,MappingTables!$D$4:$D$8,-1),1)</f>
        <v>4</v>
      </c>
      <c r="P2509" s="73">
        <f>IF(M2509=$A$1,1,$M2509-INDEX(MappingTables!$E$4:$E$8,MATCH(O2509,MappingTables!$B$4:$B$8,0)))</f>
        <v>3.9136107563032072</v>
      </c>
      <c r="Q2509" s="71">
        <f>IF(B2509="",0,INDEX(ModelParameters!$D$6:$K$10,MATCH($O2509,ModelParameters!$B$6:$B$10,0),MATCH($J2509,ModelParameters!$D$5:$K$5,0)))</f>
        <v>0.005</v>
      </c>
      <c r="R2509" s="71">
        <f>IF(B2509="",0,INDEX(ModelParameters!$D$13:$K$17,MATCH($O2509,ModelParameters!$B$13:$B$17,0),MATCH($J2509,ModelParameters!$D$5:$K$5,0)))</f>
        <v>0.11</v>
      </c>
      <c r="S2509" s="160">
        <f>IF(B2509="",0,MIN(IF($N2509="Other Bond TM",ModelParameters!$N$21,1)*(P2509*Q2509+R2509),1))</f>
        <v>0.12956805378151604</v>
      </c>
      <c r="T2509" s="85">
        <f>IF(B2509="",0,$S2509*$K2509)</f>
        <v>12.979246734798362</v>
      </c>
      <c r="U2509" s="85">
        <f>IF(B2509="",0,IF(OR(H2509=MappingTables!$C$34,H2509=MappingTables!$C$35),T2509,0))</f>
        <v>0</v>
      </c>
      <c r="V2509" s="85">
        <f>IF(ISNA(IF(AND(VLOOKUP(CONCATENATE($D2509,$G2509),CSRFinput!$B:$E,4,0)=0,OR(H2509=MappingTables!$C$34,H2509=MappingTables!$C$35)),1,VLOOKUP(CONCATENATE($D2509,$G2509),CSRFinput!$B:$E,4,0))),0,IF(AND(VLOOKUP(CONCATENATE($D2509,$G2509),CSRFinput!$B:$E,4,0)=0,OR(H2509=MappingTables!$C$34,H2509=MappingTables!$C$35)),1,VLOOKUP(CONCATENATE($D2509,$G2509),CSRFinput!$B:$E,4,0)))</f>
        <v>0.054776304963434752</v>
      </c>
      <c r="W2509" s="85">
        <f>IF(B2509="",0,+$T2509*$V2509)</f>
        <v>0.71095517734097992</v>
      </c>
      <c r="X2509" s="85">
        <f>IF(B2509="",0,IF(OR(H2509=MappingTables!$C$34,H2509=MappingTables!$C$35),W2509,0))</f>
        <v>0</v>
      </c>
    </row>
    <row r="2510" spans="2:24" s="0" customFormat="0" ht="15">
      <c r="B2510" s="69" t="s">
        <v>2406</v>
      </c>
      <c r="C2510" s="70" t="s">
        <v>2407</v>
      </c>
      <c r="D2510" s="70" t="s">
        <v>1</v>
      </c>
      <c r="E2510" s="70" t="s">
        <v>1</v>
      </c>
      <c r="F2510" s="70"/>
      <c r="G2510" s="70" t="s">
        <v>61</v>
      </c>
      <c r="H2510" s="70" t="s">
        <v>178</v>
      </c>
      <c r="I2510" s="70" t="s">
        <v>188</v>
      </c>
      <c r="J2510" s="71">
        <f>IF(OR(I2510=0,I2510=""),"unrated",VLOOKUP(I2510,MappingTables!$B$19:$C$31,2,FALSE))</f>
        <v>2</v>
      </c>
      <c r="K2510" s="72">
        <v>129.3614178593806</v>
      </c>
      <c r="L2510" s="70">
        <v>2.7703104370087296</v>
      </c>
      <c r="M2510" s="71">
        <f>IF(L2510&lt;1,1,L2510)</f>
        <v>2.7703104370087296</v>
      </c>
      <c r="N2510" s="70" t="s">
        <v>141</v>
      </c>
      <c r="O2510" s="71">
        <f>INDEX(DurClassMapping,MATCH(M2510,MappingTables!$D$4:$D$8,-1),1)</f>
        <v>1</v>
      </c>
      <c r="P2510" s="73">
        <f>IF(M2510=$A$1,1,$M2510-INDEX(MappingTables!$E$4:$E$8,MATCH(O2510,MappingTables!$B$4:$B$8,0)))</f>
        <v>2.7703104370087296</v>
      </c>
      <c r="Q2510" s="71">
        <f>IF(B2510="",0,INDEX(ModelParameters!$D$6:$K$10,MATCH($O2510,ModelParameters!$B$6:$B$10,0),MATCH($J2510,ModelParameters!$D$5:$K$5,0)))</f>
        <v>0.013999999999999998</v>
      </c>
      <c r="R2510" s="71">
        <f>IF(B2510="",0,INDEX(ModelParameters!$D$13:$K$17,MATCH($O2510,ModelParameters!$B$13:$B$17,0),MATCH($J2510,ModelParameters!$D$5:$K$5,0)))</f>
        <v>0</v>
      </c>
      <c r="S2510" s="160">
        <f>IF(B2510="",0,MIN(IF($N2510="Other Bond TM",ModelParameters!$N$21,1)*(P2510*Q2510+R2510),1))</f>
        <v>0.038784346118122208</v>
      </c>
      <c r="T2510" s="85">
        <f>IF(B2510="",0,$S2510*$K2510)</f>
        <v>5.0171980045892528</v>
      </c>
      <c r="U2510" s="85">
        <f>IF(B2510="",0,IF(OR(H2510=MappingTables!$C$34,H2510=MappingTables!$C$35),T2510,0))</f>
        <v>0</v>
      </c>
      <c r="V2510" s="85">
        <f>IF(ISNA(IF(AND(VLOOKUP(CONCATENATE($D2510,$G2510),CSRFinput!$B:$E,4,0)=0,OR(H2510=MappingTables!$C$34,H2510=MappingTables!$C$35)),1,VLOOKUP(CONCATENATE($D2510,$G2510),CSRFinput!$B:$E,4,0))),0,IF(AND(VLOOKUP(CONCATENATE($D2510,$G2510),CSRFinput!$B:$E,4,0)=0,OR(H2510=MappingTables!$C$34,H2510=MappingTables!$C$35)),1,VLOOKUP(CONCATENATE($D2510,$G2510),CSRFinput!$B:$E,4,0)))</f>
        <v>0.054776304963434752</v>
      </c>
      <c r="W2510" s="85">
        <f>IF(B2510="",0,+$T2510*$V2510)</f>
        <v>0.27482356796131724</v>
      </c>
      <c r="X2510" s="85">
        <f>IF(B2510="",0,IF(OR(H2510=MappingTables!$C$34,H2510=MappingTables!$C$35),W2510,0))</f>
        <v>0</v>
      </c>
    </row>
    <row r="2511" spans="2:24" s="0" customFormat="0" ht="15">
      <c r="B2511" s="69">
        <v>244468</v>
      </c>
      <c r="C2511" s="70" t="s">
        <v>2388</v>
      </c>
      <c r="D2511" s="70" t="s">
        <v>1</v>
      </c>
      <c r="E2511" s="70" t="s">
        <v>1</v>
      </c>
      <c r="F2511" s="70"/>
      <c r="G2511" s="70" t="s">
        <v>61</v>
      </c>
      <c r="H2511" s="70" t="s">
        <v>178</v>
      </c>
      <c r="I2511" s="70" t="s">
        <v>181</v>
      </c>
      <c r="J2511" s="71">
        <f>IF(OR(I2511=0,I2511=""),"unrated",VLOOKUP(I2511,MappingTables!$B$19:$C$31,2,FALSE))</f>
        <v>3</v>
      </c>
      <c r="K2511" s="72">
        <v>7722.0538526550256</v>
      </c>
      <c r="L2511" s="70">
        <v>7.421044311376056</v>
      </c>
      <c r="M2511" s="71">
        <f>IF(L2511&lt;1,1,L2511)</f>
        <v>7.421044311376056</v>
      </c>
      <c r="N2511" s="70" t="s">
        <v>141</v>
      </c>
      <c r="O2511" s="71">
        <f>INDEX(DurClassMapping,MATCH(M2511,MappingTables!$D$4:$D$8,-1),1)</f>
        <v>2</v>
      </c>
      <c r="P2511" s="73">
        <f>IF(M2511=$A$1,1,$M2511-INDEX(MappingTables!$E$4:$E$8,MATCH(O2511,MappingTables!$B$4:$B$8,0)))</f>
        <v>2.4210443113760568</v>
      </c>
      <c r="Q2511" s="71">
        <f>IF(B2511="",0,INDEX(ModelParameters!$D$6:$K$10,MATCH($O2511,ModelParameters!$B$6:$B$10,0),MATCH($J2511,ModelParameters!$D$5:$K$5,0)))</f>
        <v>0.015</v>
      </c>
      <c r="R2511" s="71">
        <f>IF(B2511="",0,INDEX(ModelParameters!$D$13:$K$17,MATCH($O2511,ModelParameters!$B$13:$B$17,0),MATCH($J2511,ModelParameters!$D$5:$K$5,0)))</f>
        <v>0.125</v>
      </c>
      <c r="S2511" s="160">
        <f>IF(B2511="",0,MIN(IF($N2511="Other Bond TM",ModelParameters!$N$21,1)*(P2511*Q2511+R2511),1))</f>
        <v>0.16131566467064084</v>
      </c>
      <c r="T2511" s="85">
        <f>IF(B2511="",0,$S2511*$K2511)</f>
        <v>1245.6882498635282</v>
      </c>
      <c r="U2511" s="85">
        <f>IF(B2511="",0,IF(OR(H2511=MappingTables!$C$34,H2511=MappingTables!$C$35),T2511,0))</f>
        <v>0</v>
      </c>
      <c r="V2511" s="85">
        <f>IF(ISNA(IF(AND(VLOOKUP(CONCATENATE($D2511,$G2511),CSRFinput!$B:$E,4,0)=0,OR(H2511=MappingTables!$C$34,H2511=MappingTables!$C$35)),1,VLOOKUP(CONCATENATE($D2511,$G2511),CSRFinput!$B:$E,4,0))),0,IF(AND(VLOOKUP(CONCATENATE($D2511,$G2511),CSRFinput!$B:$E,4,0)=0,OR(H2511=MappingTables!$C$34,H2511=MappingTables!$C$35)),1,VLOOKUP(CONCATENATE($D2511,$G2511),CSRFinput!$B:$E,4,0)))</f>
        <v>0.054776304963434752</v>
      </c>
      <c r="W2511" s="85">
        <f>IF(B2511="",0,+$T2511*$V2511)</f>
        <v>68.234199463891928</v>
      </c>
      <c r="X2511" s="85">
        <f>IF(B2511="",0,IF(OR(H2511=MappingTables!$C$34,H2511=MappingTables!$C$35),W2511,0))</f>
        <v>0</v>
      </c>
    </row>
    <row r="2512" spans="2:24" s="0" customFormat="0" ht="15">
      <c r="B2512" s="69" t="s">
        <v>2108</v>
      </c>
      <c r="C2512" s="70" t="s">
        <v>2109</v>
      </c>
      <c r="D2512" s="70" t="s">
        <v>1</v>
      </c>
      <c r="E2512" s="70" t="s">
        <v>1</v>
      </c>
      <c r="F2512" s="70"/>
      <c r="G2512" s="70" t="s">
        <v>61</v>
      </c>
      <c r="H2512" s="70" t="s">
        <v>178</v>
      </c>
      <c r="I2512" s="70" t="s">
        <v>181</v>
      </c>
      <c r="J2512" s="71">
        <f>IF(OR(I2512=0,I2512=""),"unrated",VLOOKUP(I2512,MappingTables!$B$19:$C$31,2,FALSE))</f>
        <v>3</v>
      </c>
      <c r="K2512" s="72">
        <v>12754.264009423228</v>
      </c>
      <c r="L2512" s="70">
        <v>0.084936317027242928</v>
      </c>
      <c r="M2512" s="71">
        <f>IF(L2512&lt;1,1,L2512)</f>
        <v>1</v>
      </c>
      <c r="N2512" s="70" t="s">
        <v>141</v>
      </c>
      <c r="O2512" s="71">
        <f>INDEX(DurClassMapping,MATCH(M2512,MappingTables!$D$4:$D$8,-1),1)</f>
        <v>1</v>
      </c>
      <c r="P2512" s="73">
        <f>IF(M2512=$A$1,1,$M2512-INDEX(MappingTables!$E$4:$E$8,MATCH(O2512,MappingTables!$B$4:$B$8,0)))</f>
        <v>1</v>
      </c>
      <c r="Q2512" s="71">
        <f>IF(B2512="",0,INDEX(ModelParameters!$D$6:$K$10,MATCH($O2512,ModelParameters!$B$6:$B$10,0),MATCH($J2512,ModelParameters!$D$5:$K$5,0)))</f>
        <v>0.025</v>
      </c>
      <c r="R2512" s="71">
        <f>IF(B2512="",0,INDEX(ModelParameters!$D$13:$K$17,MATCH($O2512,ModelParameters!$B$13:$B$17,0),MATCH($J2512,ModelParameters!$D$5:$K$5,0)))</f>
        <v>0</v>
      </c>
      <c r="S2512" s="160">
        <f>IF(B2512="",0,MIN(IF($N2512="Other Bond TM",ModelParameters!$N$21,1)*(P2512*Q2512+R2512),1))</f>
        <v>0.025</v>
      </c>
      <c r="T2512" s="85">
        <f>IF(B2512="",0,$S2512*$K2512)</f>
        <v>318.85660023558076</v>
      </c>
      <c r="U2512" s="85">
        <f>IF(B2512="",0,IF(OR(H2512=MappingTables!$C$34,H2512=MappingTables!$C$35),T2512,0))</f>
        <v>0</v>
      </c>
      <c r="V2512" s="85">
        <f>IF(ISNA(IF(AND(VLOOKUP(CONCATENATE($D2512,$G2512),CSRFinput!$B:$E,4,0)=0,OR(H2512=MappingTables!$C$34,H2512=MappingTables!$C$35)),1,VLOOKUP(CONCATENATE($D2512,$G2512),CSRFinput!$B:$E,4,0))),0,IF(AND(VLOOKUP(CONCATENATE($D2512,$G2512),CSRFinput!$B:$E,4,0)=0,OR(H2512=MappingTables!$C$34,H2512=MappingTables!$C$35)),1,VLOOKUP(CONCATENATE($D2512,$G2512),CSRFinput!$B:$E,4,0)))</f>
        <v>0.054776304963434752</v>
      </c>
      <c r="W2512" s="85">
        <f>IF(B2512="",0,+$T2512*$V2512)</f>
        <v>17.465786374108174</v>
      </c>
      <c r="X2512" s="85">
        <f>IF(B2512="",0,IF(OR(H2512=MappingTables!$C$34,H2512=MappingTables!$C$35),W2512,0))</f>
        <v>0</v>
      </c>
    </row>
    <row r="2513" spans="2:24" s="0" customFormat="0" ht="15">
      <c r="B2513" s="69">
        <v>20925610</v>
      </c>
      <c r="C2513" s="70" t="s">
        <v>1141</v>
      </c>
      <c r="D2513" s="70" t="s">
        <v>1</v>
      </c>
      <c r="E2513" s="70" t="s">
        <v>1</v>
      </c>
      <c r="F2513" s="70"/>
      <c r="G2513" s="70" t="s">
        <v>61</v>
      </c>
      <c r="H2513" s="70" t="s">
        <v>178</v>
      </c>
      <c r="I2513" s="70" t="s">
        <v>179</v>
      </c>
      <c r="J2513" s="71">
        <f>IF(OR(I2513=0,I2513=""),"unrated",VLOOKUP(I2513,MappingTables!$B$19:$C$31,2,FALSE))</f>
        <v>4</v>
      </c>
      <c r="K2513" s="72">
        <v>6375.7518012463792</v>
      </c>
      <c r="L2513" s="70">
        <v>3.3827970860638844</v>
      </c>
      <c r="M2513" s="71">
        <f>IF(L2513&lt;1,1,L2513)</f>
        <v>3.3827970860638844</v>
      </c>
      <c r="N2513" s="70" t="s">
        <v>141</v>
      </c>
      <c r="O2513" s="71">
        <f>INDEX(DurClassMapping,MATCH(M2513,MappingTables!$D$4:$D$8,-1),1)</f>
        <v>1</v>
      </c>
      <c r="P2513" s="73">
        <f>IF(M2513=$A$1,1,$M2513-INDEX(MappingTables!$E$4:$E$8,MATCH(O2513,MappingTables!$B$4:$B$8,0)))</f>
        <v>3.3827970860638844</v>
      </c>
      <c r="Q2513" s="71">
        <f>IF(B2513="",0,INDEX(ModelParameters!$D$6:$K$10,MATCH($O2513,ModelParameters!$B$6:$B$10,0),MATCH($J2513,ModelParameters!$D$5:$K$5,0)))</f>
        <v>0.045</v>
      </c>
      <c r="R2513" s="71">
        <f>IF(B2513="",0,INDEX(ModelParameters!$D$13:$K$17,MATCH($O2513,ModelParameters!$B$13:$B$17,0),MATCH($J2513,ModelParameters!$D$5:$K$5,0)))</f>
        <v>0</v>
      </c>
      <c r="S2513" s="160">
        <f>IF(B2513="",0,MIN(IF($N2513="Other Bond TM",ModelParameters!$N$21,1)*(P2513*Q2513+R2513),1))</f>
        <v>0.15222586887287478</v>
      </c>
      <c r="T2513" s="85">
        <f>IF(B2513="",0,$S2513*$K2513)</f>
        <v>970.55435766252656</v>
      </c>
      <c r="U2513" s="85">
        <f>IF(B2513="",0,IF(OR(H2513=MappingTables!$C$34,H2513=MappingTables!$C$35),T2513,0))</f>
        <v>0</v>
      </c>
      <c r="V2513" s="85">
        <f>IF(ISNA(IF(AND(VLOOKUP(CONCATENATE($D2513,$G2513),CSRFinput!$B:$E,4,0)=0,OR(H2513=MappingTables!$C$34,H2513=MappingTables!$C$35)),1,VLOOKUP(CONCATENATE($D2513,$G2513),CSRFinput!$B:$E,4,0))),0,IF(AND(VLOOKUP(CONCATENATE($D2513,$G2513),CSRFinput!$B:$E,4,0)=0,OR(H2513=MappingTables!$C$34,H2513=MappingTables!$C$35)),1,VLOOKUP(CONCATENATE($D2513,$G2513),CSRFinput!$B:$E,4,0)))</f>
        <v>0.054776304963434752</v>
      </c>
      <c r="W2513" s="85">
        <f>IF(B2513="",0,+$T2513*$V2513)</f>
        <v>53.16338147891308</v>
      </c>
      <c r="X2513" s="85">
        <f>IF(B2513="",0,IF(OR(H2513=MappingTables!$C$34,H2513=MappingTables!$C$35),W2513,0))</f>
        <v>0</v>
      </c>
    </row>
    <row r="2514" spans="2:24" s="0" customFormat="0" ht="15">
      <c r="B2514" s="69">
        <v>14484261</v>
      </c>
      <c r="C2514" s="70" t="s">
        <v>2307</v>
      </c>
      <c r="D2514" s="70" t="s">
        <v>1</v>
      </c>
      <c r="E2514" s="70" t="s">
        <v>1</v>
      </c>
      <c r="F2514" s="70"/>
      <c r="G2514" s="70" t="s">
        <v>61</v>
      </c>
      <c r="H2514" s="70" t="s">
        <v>178</v>
      </c>
      <c r="I2514" s="70" t="s">
        <v>181</v>
      </c>
      <c r="J2514" s="71">
        <f>IF(OR(I2514=0,I2514=""),"unrated",VLOOKUP(I2514,MappingTables!$B$19:$C$31,2,FALSE))</f>
        <v>3</v>
      </c>
      <c r="K2514" s="72">
        <v>6547.8414653095096</v>
      </c>
      <c r="L2514" s="70">
        <v>11.02958353395961</v>
      </c>
      <c r="M2514" s="71">
        <f>IF(L2514&lt;1,1,L2514)</f>
        <v>11.02958353395961</v>
      </c>
      <c r="N2514" s="70" t="s">
        <v>141</v>
      </c>
      <c r="O2514" s="71">
        <f>INDEX(DurClassMapping,MATCH(M2514,MappingTables!$D$4:$D$8,-1),1)</f>
        <v>3</v>
      </c>
      <c r="P2514" s="73">
        <f>IF(M2514=$A$1,1,$M2514-INDEX(MappingTables!$E$4:$E$8,MATCH(O2514,MappingTables!$B$4:$B$8,0)))</f>
        <v>1.0295835339596096</v>
      </c>
      <c r="Q2514" s="71">
        <f>IF(B2514="",0,INDEX(ModelParameters!$D$6:$K$10,MATCH($O2514,ModelParameters!$B$6:$B$10,0),MATCH($J2514,ModelParameters!$D$5:$K$5,0)))</f>
        <v>0.01</v>
      </c>
      <c r="R2514" s="71">
        <f>IF(B2514="",0,INDEX(ModelParameters!$D$13:$K$17,MATCH($O2514,ModelParameters!$B$13:$B$17,0),MATCH($J2514,ModelParameters!$D$5:$K$5,0)))</f>
        <v>0.2</v>
      </c>
      <c r="S2514" s="160">
        <f>IF(B2514="",0,MIN(IF($N2514="Other Bond TM",ModelParameters!$N$21,1)*(P2514*Q2514+R2514),1))</f>
        <v>0.21029583533959612</v>
      </c>
      <c r="T2514" s="85">
        <f>IF(B2514="",0,$S2514*$K2514)</f>
        <v>1376.9837906185084</v>
      </c>
      <c r="U2514" s="85">
        <f>IF(B2514="",0,IF(OR(H2514=MappingTables!$C$34,H2514=MappingTables!$C$35),T2514,0))</f>
        <v>0</v>
      </c>
      <c r="V2514" s="85">
        <f>IF(ISNA(IF(AND(VLOOKUP(CONCATENATE($D2514,$G2514),CSRFinput!$B:$E,4,0)=0,OR(H2514=MappingTables!$C$34,H2514=MappingTables!$C$35)),1,VLOOKUP(CONCATENATE($D2514,$G2514),CSRFinput!$B:$E,4,0))),0,IF(AND(VLOOKUP(CONCATENATE($D2514,$G2514),CSRFinput!$B:$E,4,0)=0,OR(H2514=MappingTables!$C$34,H2514=MappingTables!$C$35)),1,VLOOKUP(CONCATENATE($D2514,$G2514),CSRFinput!$B:$E,4,0)))</f>
        <v>0.054776304963434752</v>
      </c>
      <c r="W2514" s="85">
        <f>IF(B2514="",0,+$T2514*$V2514)</f>
        <v>75.426084044625808</v>
      </c>
      <c r="X2514" s="85">
        <f>IF(B2514="",0,IF(OR(H2514=MappingTables!$C$34,H2514=MappingTables!$C$35),W2514,0))</f>
        <v>0</v>
      </c>
    </row>
    <row r="2515" spans="2:24" s="0" customFormat="0" ht="15">
      <c r="B2515" s="69">
        <v>14497935</v>
      </c>
      <c r="C2515" s="70" t="s">
        <v>2461</v>
      </c>
      <c r="D2515" s="70" t="s">
        <v>1</v>
      </c>
      <c r="E2515" s="70" t="s">
        <v>1</v>
      </c>
      <c r="F2515" s="70"/>
      <c r="G2515" s="70" t="s">
        <v>61</v>
      </c>
      <c r="H2515" s="70" t="s">
        <v>178</v>
      </c>
      <c r="I2515" s="70" t="s">
        <v>184</v>
      </c>
      <c r="J2515" s="71">
        <f>IF(OR(I2515=0,I2515=""),"unrated",VLOOKUP(I2515,MappingTables!$B$19:$C$31,2,FALSE))</f>
        <v>5</v>
      </c>
      <c r="K2515" s="72">
        <v>19896.609335430968</v>
      </c>
      <c r="L2515" s="70">
        <v>0.087669782631096992</v>
      </c>
      <c r="M2515" s="71">
        <f>IF(L2515&lt;1,1,L2515)</f>
        <v>1</v>
      </c>
      <c r="N2515" s="70" t="s">
        <v>141</v>
      </c>
      <c r="O2515" s="71">
        <f>INDEX(DurClassMapping,MATCH(M2515,MappingTables!$D$4:$D$8,-1),1)</f>
        <v>1</v>
      </c>
      <c r="P2515" s="73">
        <f>IF(M2515=$A$1,1,$M2515-INDEX(MappingTables!$E$4:$E$8,MATCH(O2515,MappingTables!$B$4:$B$8,0)))</f>
        <v>1</v>
      </c>
      <c r="Q2515" s="71">
        <f>IF(B2515="",0,INDEX(ModelParameters!$D$6:$K$10,MATCH($O2515,ModelParameters!$B$6:$B$10,0),MATCH($J2515,ModelParameters!$D$5:$K$5,0)))</f>
        <v>0.075</v>
      </c>
      <c r="R2515" s="71">
        <f>IF(B2515="",0,INDEX(ModelParameters!$D$13:$K$17,MATCH($O2515,ModelParameters!$B$13:$B$17,0),MATCH($J2515,ModelParameters!$D$5:$K$5,0)))</f>
        <v>0</v>
      </c>
      <c r="S2515" s="160">
        <f>IF(B2515="",0,MIN(IF($N2515="Other Bond TM",ModelParameters!$N$21,1)*(P2515*Q2515+R2515),1))</f>
        <v>0.075</v>
      </c>
      <c r="T2515" s="85">
        <f>IF(B2515="",0,$S2515*$K2515)</f>
        <v>1492.2457001573226</v>
      </c>
      <c r="U2515" s="85">
        <f>IF(B2515="",0,IF(OR(H2515=MappingTables!$C$34,H2515=MappingTables!$C$35),T2515,0))</f>
        <v>0</v>
      </c>
      <c r="V2515" s="85">
        <f>IF(ISNA(IF(AND(VLOOKUP(CONCATENATE($D2515,$G2515),CSRFinput!$B:$E,4,0)=0,OR(H2515=MappingTables!$C$34,H2515=MappingTables!$C$35)),1,VLOOKUP(CONCATENATE($D2515,$G2515),CSRFinput!$B:$E,4,0))),0,IF(AND(VLOOKUP(CONCATENATE($D2515,$G2515),CSRFinput!$B:$E,4,0)=0,OR(H2515=MappingTables!$C$34,H2515=MappingTables!$C$35)),1,VLOOKUP(CONCATENATE($D2515,$G2515),CSRFinput!$B:$E,4,0)))</f>
        <v>0.054776304963434752</v>
      </c>
      <c r="W2515" s="85">
        <f>IF(B2515="",0,+$T2515*$V2515)</f>
        <v>81.739705552191712</v>
      </c>
      <c r="X2515" s="85">
        <f>IF(B2515="",0,IF(OR(H2515=MappingTables!$C$34,H2515=MappingTables!$C$35),W2515,0))</f>
        <v>0</v>
      </c>
    </row>
    <row r="2516" spans="2:24" s="0" customFormat="0" ht="15">
      <c r="B2516" s="69">
        <v>21743792</v>
      </c>
      <c r="C2516" s="70" t="s">
        <v>2462</v>
      </c>
      <c r="D2516" s="70" t="s">
        <v>1</v>
      </c>
      <c r="E2516" s="70" t="s">
        <v>1</v>
      </c>
      <c r="F2516" s="70"/>
      <c r="G2516" s="70" t="s">
        <v>61</v>
      </c>
      <c r="H2516" s="70" t="s">
        <v>178</v>
      </c>
      <c r="I2516" s="70" t="s">
        <v>181</v>
      </c>
      <c r="J2516" s="71">
        <f>IF(OR(I2516=0,I2516=""),"unrated",VLOOKUP(I2516,MappingTables!$B$19:$C$31,2,FALSE))</f>
        <v>3</v>
      </c>
      <c r="K2516" s="72">
        <v>15339.800398525932</v>
      </c>
      <c r="L2516" s="70">
        <v>6.1391213852577688</v>
      </c>
      <c r="M2516" s="71">
        <f>IF(L2516&lt;1,1,L2516)</f>
        <v>6.1391213852577688</v>
      </c>
      <c r="N2516" s="70" t="s">
        <v>141</v>
      </c>
      <c r="O2516" s="71">
        <f>INDEX(DurClassMapping,MATCH(M2516,MappingTables!$D$4:$D$8,-1),1)</f>
        <v>2</v>
      </c>
      <c r="P2516" s="73">
        <f>IF(M2516=$A$1,1,$M2516-INDEX(MappingTables!$E$4:$E$8,MATCH(O2516,MappingTables!$B$4:$B$8,0)))</f>
        <v>1.139121385257769</v>
      </c>
      <c r="Q2516" s="71">
        <f>IF(B2516="",0,INDEX(ModelParameters!$D$6:$K$10,MATCH($O2516,ModelParameters!$B$6:$B$10,0),MATCH($J2516,ModelParameters!$D$5:$K$5,0)))</f>
        <v>0.015</v>
      </c>
      <c r="R2516" s="71">
        <f>IF(B2516="",0,INDEX(ModelParameters!$D$13:$K$17,MATCH($O2516,ModelParameters!$B$13:$B$17,0),MATCH($J2516,ModelParameters!$D$5:$K$5,0)))</f>
        <v>0.125</v>
      </c>
      <c r="S2516" s="160">
        <f>IF(B2516="",0,MIN(IF($N2516="Other Bond TM",ModelParameters!$N$21,1)*(P2516*Q2516+R2516),1))</f>
        <v>0.14208682077886652</v>
      </c>
      <c r="T2516" s="85">
        <f>IF(B2516="",0,$S2516*$K2516)</f>
        <v>2179.5834700089396</v>
      </c>
      <c r="U2516" s="85">
        <f>IF(B2516="",0,IF(OR(H2516=MappingTables!$C$34,H2516=MappingTables!$C$35),T2516,0))</f>
        <v>0</v>
      </c>
      <c r="V2516" s="85">
        <f>IF(ISNA(IF(AND(VLOOKUP(CONCATENATE($D2516,$G2516),CSRFinput!$B:$E,4,0)=0,OR(H2516=MappingTables!$C$34,H2516=MappingTables!$C$35)),1,VLOOKUP(CONCATENATE($D2516,$G2516),CSRFinput!$B:$E,4,0))),0,IF(AND(VLOOKUP(CONCATENATE($D2516,$G2516),CSRFinput!$B:$E,4,0)=0,OR(H2516=MappingTables!$C$34,H2516=MappingTables!$C$35)),1,VLOOKUP(CONCATENATE($D2516,$G2516),CSRFinput!$B:$E,4,0)))</f>
        <v>0.054776304963434752</v>
      </c>
      <c r="W2516" s="85">
        <f>IF(B2516="",0,+$T2516*$V2516)</f>
        <v>119.389528846471</v>
      </c>
      <c r="X2516" s="85">
        <f>IF(B2516="",0,IF(OR(H2516=MappingTables!$C$34,H2516=MappingTables!$C$35),W2516,0))</f>
        <v>0</v>
      </c>
    </row>
    <row r="2517" spans="2:24" s="0" customFormat="0" ht="15">
      <c r="B2517" s="69" t="s">
        <v>2463</v>
      </c>
      <c r="C2517" s="70" t="s">
        <v>2464</v>
      </c>
      <c r="D2517" s="70" t="s">
        <v>1</v>
      </c>
      <c r="E2517" s="70" t="s">
        <v>1</v>
      </c>
      <c r="F2517" s="70"/>
      <c r="G2517" s="70" t="s">
        <v>61</v>
      </c>
      <c r="H2517" s="70" t="s">
        <v>178</v>
      </c>
      <c r="I2517" s="70" t="s">
        <v>188</v>
      </c>
      <c r="J2517" s="71">
        <f>IF(OR(I2517=0,I2517=""),"unrated",VLOOKUP(I2517,MappingTables!$B$19:$C$31,2,FALSE))</f>
        <v>2</v>
      </c>
      <c r="K2517" s="72">
        <v>1045.3489874116546</v>
      </c>
      <c r="L2517" s="70">
        <v>5.1275290524529304</v>
      </c>
      <c r="M2517" s="71">
        <f>IF(L2517&lt;1,1,L2517)</f>
        <v>5.1275290524529304</v>
      </c>
      <c r="N2517" s="70" t="s">
        <v>141</v>
      </c>
      <c r="O2517" s="71">
        <f>INDEX(DurClassMapping,MATCH(M2517,MappingTables!$D$4:$D$8,-1),1)</f>
        <v>2</v>
      </c>
      <c r="P2517" s="73">
        <f>IF(M2517=$A$1,1,$M2517-INDEX(MappingTables!$E$4:$E$8,MATCH(O2517,MappingTables!$B$4:$B$8,0)))</f>
        <v>0.12752905245293</v>
      </c>
      <c r="Q2517" s="71">
        <f>IF(B2517="",0,INDEX(ModelParameters!$D$6:$K$10,MATCH($O2517,ModelParameters!$B$6:$B$10,0),MATCH($J2517,ModelParameters!$D$5:$K$5,0)))</f>
        <v>0.0069999999999999992</v>
      </c>
      <c r="R2517" s="71">
        <f>IF(B2517="",0,INDEX(ModelParameters!$D$13:$K$17,MATCH($O2517,ModelParameters!$B$13:$B$17,0),MATCH($J2517,ModelParameters!$D$5:$K$5,0)))</f>
        <v>0.070000000000000008</v>
      </c>
      <c r="S2517" s="160">
        <f>IF(B2517="",0,MIN(IF($N2517="Other Bond TM",ModelParameters!$N$21,1)*(P2517*Q2517+R2517),1))</f>
        <v>0.07089270336717052</v>
      </c>
      <c r="T2517" s="85">
        <f>IF(B2517="",0,$S2517*$K2517)</f>
        <v>74.107615679746496</v>
      </c>
      <c r="U2517" s="85">
        <f>IF(B2517="",0,IF(OR(H2517=MappingTables!$C$34,H2517=MappingTables!$C$35),T2517,0))</f>
        <v>0</v>
      </c>
      <c r="V2517" s="85">
        <f>IF(ISNA(IF(AND(VLOOKUP(CONCATENATE($D2517,$G2517),CSRFinput!$B:$E,4,0)=0,OR(H2517=MappingTables!$C$34,H2517=MappingTables!$C$35)),1,VLOOKUP(CONCATENATE($D2517,$G2517),CSRFinput!$B:$E,4,0))),0,IF(AND(VLOOKUP(CONCATENATE($D2517,$G2517),CSRFinput!$B:$E,4,0)=0,OR(H2517=MappingTables!$C$34,H2517=MappingTables!$C$35)),1,VLOOKUP(CONCATENATE($D2517,$G2517),CSRFinput!$B:$E,4,0)))</f>
        <v>0.054776304963434752</v>
      </c>
      <c r="W2517" s="85">
        <f>IF(B2517="",0,+$T2517*$V2517)</f>
        <v>4.0593413565868136</v>
      </c>
      <c r="X2517" s="85">
        <f>IF(B2517="",0,IF(OR(H2517=MappingTables!$C$34,H2517=MappingTables!$C$35),W2517,0))</f>
        <v>0</v>
      </c>
    </row>
    <row r="2518" spans="2:24" s="0" customFormat="0" ht="15">
      <c r="B2518" s="69">
        <v>7524533</v>
      </c>
      <c r="C2518" s="70" t="s">
        <v>2190</v>
      </c>
      <c r="D2518" s="70" t="s">
        <v>1</v>
      </c>
      <c r="E2518" s="70" t="s">
        <v>1</v>
      </c>
      <c r="F2518" s="70"/>
      <c r="G2518" s="70" t="s">
        <v>61</v>
      </c>
      <c r="H2518" s="70" t="s">
        <v>178</v>
      </c>
      <c r="I2518" s="70" t="s">
        <v>179</v>
      </c>
      <c r="J2518" s="71">
        <f>IF(OR(I2518=0,I2518=""),"unrated",VLOOKUP(I2518,MappingTables!$B$19:$C$31,2,FALSE))</f>
        <v>4</v>
      </c>
      <c r="K2518" s="72">
        <v>101.25737028103638</v>
      </c>
      <c r="L2518" s="70">
        <v>2.3302491385961864</v>
      </c>
      <c r="M2518" s="71">
        <f>IF(L2518&lt;1,1,L2518)</f>
        <v>2.3302491385961864</v>
      </c>
      <c r="N2518" s="70" t="s">
        <v>141</v>
      </c>
      <c r="O2518" s="71">
        <f>INDEX(DurClassMapping,MATCH(M2518,MappingTables!$D$4:$D$8,-1),1)</f>
        <v>1</v>
      </c>
      <c r="P2518" s="73">
        <f>IF(M2518=$A$1,1,$M2518-INDEX(MappingTables!$E$4:$E$8,MATCH(O2518,MappingTables!$B$4:$B$8,0)))</f>
        <v>2.3302491385961864</v>
      </c>
      <c r="Q2518" s="71">
        <f>IF(B2518="",0,INDEX(ModelParameters!$D$6:$K$10,MATCH($O2518,ModelParameters!$B$6:$B$10,0),MATCH($J2518,ModelParameters!$D$5:$K$5,0)))</f>
        <v>0.045</v>
      </c>
      <c r="R2518" s="71">
        <f>IF(B2518="",0,INDEX(ModelParameters!$D$13:$K$17,MATCH($O2518,ModelParameters!$B$13:$B$17,0),MATCH($J2518,ModelParameters!$D$5:$K$5,0)))</f>
        <v>0</v>
      </c>
      <c r="S2518" s="160">
        <f>IF(B2518="",0,MIN(IF($N2518="Other Bond TM",ModelParameters!$N$21,1)*(P2518*Q2518+R2518),1))</f>
        <v>0.10486121123682838</v>
      </c>
      <c r="T2518" s="85">
        <f>IF(B2518="",0,$S2518*$K2518)</f>
        <v>10.617970494325504</v>
      </c>
      <c r="U2518" s="85">
        <f>IF(B2518="",0,IF(OR(H2518=MappingTables!$C$34,H2518=MappingTables!$C$35),T2518,0))</f>
        <v>0</v>
      </c>
      <c r="V2518" s="85">
        <f>IF(ISNA(IF(AND(VLOOKUP(CONCATENATE($D2518,$G2518),CSRFinput!$B:$E,4,0)=0,OR(H2518=MappingTables!$C$34,H2518=MappingTables!$C$35)),1,VLOOKUP(CONCATENATE($D2518,$G2518),CSRFinput!$B:$E,4,0))),0,IF(AND(VLOOKUP(CONCATENATE($D2518,$G2518),CSRFinput!$B:$E,4,0)=0,OR(H2518=MappingTables!$C$34,H2518=MappingTables!$C$35)),1,VLOOKUP(CONCATENATE($D2518,$G2518),CSRFinput!$B:$E,4,0)))</f>
        <v>0.054776304963434752</v>
      </c>
      <c r="W2518" s="85">
        <f>IF(B2518="",0,+$T2518*$V2518)</f>
        <v>0.58161318988992592</v>
      </c>
      <c r="X2518" s="85">
        <f>IF(B2518="",0,IF(OR(H2518=MappingTables!$C$34,H2518=MappingTables!$C$35),W2518,0))</f>
        <v>0</v>
      </c>
    </row>
    <row r="2519" spans="2:24" s="0" customFormat="0" ht="15">
      <c r="B2519" s="69" t="s">
        <v>2066</v>
      </c>
      <c r="C2519" s="70" t="s">
        <v>2067</v>
      </c>
      <c r="D2519" s="70" t="s">
        <v>1</v>
      </c>
      <c r="E2519" s="70" t="s">
        <v>1</v>
      </c>
      <c r="F2519" s="70"/>
      <c r="G2519" s="70" t="s">
        <v>61</v>
      </c>
      <c r="H2519" s="70" t="s">
        <v>178</v>
      </c>
      <c r="I2519" s="70" t="s">
        <v>188</v>
      </c>
      <c r="J2519" s="71">
        <f>IF(OR(I2519=0,I2519=""),"unrated",VLOOKUP(I2519,MappingTables!$B$19:$C$31,2,FALSE))</f>
        <v>2</v>
      </c>
      <c r="K2519" s="72">
        <v>2.2000091189982052</v>
      </c>
      <c r="L2519" s="70">
        <v>0.51361945738389368</v>
      </c>
      <c r="M2519" s="71">
        <f>IF(L2519&lt;1,1,L2519)</f>
        <v>1</v>
      </c>
      <c r="N2519" s="70" t="s">
        <v>141</v>
      </c>
      <c r="O2519" s="71">
        <f>INDEX(DurClassMapping,MATCH(M2519,MappingTables!$D$4:$D$8,-1),1)</f>
        <v>1</v>
      </c>
      <c r="P2519" s="73">
        <f>IF(M2519=$A$1,1,$M2519-INDEX(MappingTables!$E$4:$E$8,MATCH(O2519,MappingTables!$B$4:$B$8,0)))</f>
        <v>1</v>
      </c>
      <c r="Q2519" s="71">
        <f>IF(B2519="",0,INDEX(ModelParameters!$D$6:$K$10,MATCH($O2519,ModelParameters!$B$6:$B$10,0),MATCH($J2519,ModelParameters!$D$5:$K$5,0)))</f>
        <v>0.013999999999999998</v>
      </c>
      <c r="R2519" s="71">
        <f>IF(B2519="",0,INDEX(ModelParameters!$D$13:$K$17,MATCH($O2519,ModelParameters!$B$13:$B$17,0),MATCH($J2519,ModelParameters!$D$5:$K$5,0)))</f>
        <v>0</v>
      </c>
      <c r="S2519" s="160">
        <f>IF(B2519="",0,MIN(IF($N2519="Other Bond TM",ModelParameters!$N$21,1)*(P2519*Q2519+R2519),1))</f>
        <v>0.013999999999999998</v>
      </c>
      <c r="T2519" s="85">
        <f>IF(B2519="",0,$S2519*$K2519)</f>
        <v>0.030800127665974868</v>
      </c>
      <c r="U2519" s="85">
        <f>IF(B2519="",0,IF(OR(H2519=MappingTables!$C$34,H2519=MappingTables!$C$35),T2519,0))</f>
        <v>0</v>
      </c>
      <c r="V2519" s="85">
        <f>IF(ISNA(IF(AND(VLOOKUP(CONCATENATE($D2519,$G2519),CSRFinput!$B:$E,4,0)=0,OR(H2519=MappingTables!$C$34,H2519=MappingTables!$C$35)),1,VLOOKUP(CONCATENATE($D2519,$G2519),CSRFinput!$B:$E,4,0))),0,IF(AND(VLOOKUP(CONCATENATE($D2519,$G2519),CSRFinput!$B:$E,4,0)=0,OR(H2519=MappingTables!$C$34,H2519=MappingTables!$C$35)),1,VLOOKUP(CONCATENATE($D2519,$G2519),CSRFinput!$B:$E,4,0)))</f>
        <v>0.054776304963434752</v>
      </c>
      <c r="W2519" s="85">
        <f>IF(B2519="",0,+$T2519*$V2519)</f>
        <v>0.0016871171859441632</v>
      </c>
      <c r="X2519" s="85">
        <f>IF(B2519="",0,IF(OR(H2519=MappingTables!$C$34,H2519=MappingTables!$C$35),W2519,0))</f>
        <v>0</v>
      </c>
    </row>
    <row r="2520" spans="2:24" s="0" customFormat="0" ht="15">
      <c r="B2520" s="69" t="s">
        <v>599</v>
      </c>
      <c r="C2520" s="70" t="s">
        <v>600</v>
      </c>
      <c r="D2520" s="70" t="s">
        <v>1</v>
      </c>
      <c r="E2520" s="70" t="s">
        <v>1</v>
      </c>
      <c r="F2520" s="70"/>
      <c r="G2520" s="70" t="s">
        <v>61</v>
      </c>
      <c r="H2520" s="70" t="s">
        <v>178</v>
      </c>
      <c r="I2520" s="70" t="s">
        <v>181</v>
      </c>
      <c r="J2520" s="71">
        <f>IF(OR(I2520=0,I2520=""),"unrated",VLOOKUP(I2520,MappingTables!$B$19:$C$31,2,FALSE))</f>
        <v>3</v>
      </c>
      <c r="K2520" s="72">
        <v>855.07217952880928</v>
      </c>
      <c r="L2520" s="70">
        <v>4.1885024000306928</v>
      </c>
      <c r="M2520" s="71">
        <f>IF(L2520&lt;1,1,L2520)</f>
        <v>4.1885024000306928</v>
      </c>
      <c r="N2520" s="70" t="s">
        <v>141</v>
      </c>
      <c r="O2520" s="71">
        <f>INDEX(DurClassMapping,MATCH(M2520,MappingTables!$D$4:$D$8,-1),1)</f>
        <v>1</v>
      </c>
      <c r="P2520" s="73">
        <f>IF(M2520=$A$1,1,$M2520-INDEX(MappingTables!$E$4:$E$8,MATCH(O2520,MappingTables!$B$4:$B$8,0)))</f>
        <v>4.1885024000306928</v>
      </c>
      <c r="Q2520" s="71">
        <f>IF(B2520="",0,INDEX(ModelParameters!$D$6:$K$10,MATCH($O2520,ModelParameters!$B$6:$B$10,0),MATCH($J2520,ModelParameters!$D$5:$K$5,0)))</f>
        <v>0.025</v>
      </c>
      <c r="R2520" s="71">
        <f>IF(B2520="",0,INDEX(ModelParameters!$D$13:$K$17,MATCH($O2520,ModelParameters!$B$13:$B$17,0),MATCH($J2520,ModelParameters!$D$5:$K$5,0)))</f>
        <v>0</v>
      </c>
      <c r="S2520" s="160">
        <f>IF(B2520="",0,MIN(IF($N2520="Other Bond TM",ModelParameters!$N$21,1)*(P2520*Q2520+R2520),1))</f>
        <v>0.10471256000076732</v>
      </c>
      <c r="T2520" s="85">
        <f>IF(B2520="",0,$S2520*$K2520)</f>
        <v>89.536796903897344</v>
      </c>
      <c r="U2520" s="85">
        <f>IF(B2520="",0,IF(OR(H2520=MappingTables!$C$34,H2520=MappingTables!$C$35),T2520,0))</f>
        <v>0</v>
      </c>
      <c r="V2520" s="85">
        <f>IF(ISNA(IF(AND(VLOOKUP(CONCATENATE($D2520,$G2520),CSRFinput!$B:$E,4,0)=0,OR(H2520=MappingTables!$C$34,H2520=MappingTables!$C$35)),1,VLOOKUP(CONCATENATE($D2520,$G2520),CSRFinput!$B:$E,4,0))),0,IF(AND(VLOOKUP(CONCATENATE($D2520,$G2520),CSRFinput!$B:$E,4,0)=0,OR(H2520=MappingTables!$C$34,H2520=MappingTables!$C$35)),1,VLOOKUP(CONCATENATE($D2520,$G2520),CSRFinput!$B:$E,4,0)))</f>
        <v>0.054776304963434752</v>
      </c>
      <c r="W2520" s="85">
        <f>IF(B2520="",0,+$T2520*$V2520)</f>
        <v>4.9044948926570016</v>
      </c>
      <c r="X2520" s="85">
        <f>IF(B2520="",0,IF(OR(H2520=MappingTables!$C$34,H2520=MappingTables!$C$35),W2520,0))</f>
        <v>0</v>
      </c>
    </row>
    <row r="2521" spans="2:24" s="0" customFormat="0" ht="15">
      <c r="B2521" s="69">
        <v>15505727</v>
      </c>
      <c r="C2521" s="70" t="s">
        <v>1553</v>
      </c>
      <c r="D2521" s="70" t="s">
        <v>1</v>
      </c>
      <c r="E2521" s="70" t="s">
        <v>1</v>
      </c>
      <c r="F2521" s="70"/>
      <c r="G2521" s="70" t="s">
        <v>61</v>
      </c>
      <c r="H2521" s="70" t="s">
        <v>178</v>
      </c>
      <c r="I2521" s="70" t="s">
        <v>179</v>
      </c>
      <c r="J2521" s="71">
        <f>IF(OR(I2521=0,I2521=""),"unrated",VLOOKUP(I2521,MappingTables!$B$19:$C$31,2,FALSE))</f>
        <v>4</v>
      </c>
      <c r="K2521" s="72">
        <v>7081.1055489817288</v>
      </c>
      <c r="L2521" s="70">
        <v>0.041096993109355104</v>
      </c>
      <c r="M2521" s="71">
        <f>IF(L2521&lt;1,1,L2521)</f>
        <v>1</v>
      </c>
      <c r="N2521" s="70" t="s">
        <v>141</v>
      </c>
      <c r="O2521" s="71">
        <f>INDEX(DurClassMapping,MATCH(M2521,MappingTables!$D$4:$D$8,-1),1)</f>
        <v>1</v>
      </c>
      <c r="P2521" s="73">
        <f>IF(M2521=$A$1,1,$M2521-INDEX(MappingTables!$E$4:$E$8,MATCH(O2521,MappingTables!$B$4:$B$8,0)))</f>
        <v>1</v>
      </c>
      <c r="Q2521" s="71">
        <f>IF(B2521="",0,INDEX(ModelParameters!$D$6:$K$10,MATCH($O2521,ModelParameters!$B$6:$B$10,0),MATCH($J2521,ModelParameters!$D$5:$K$5,0)))</f>
        <v>0.045</v>
      </c>
      <c r="R2521" s="71">
        <f>IF(B2521="",0,INDEX(ModelParameters!$D$13:$K$17,MATCH($O2521,ModelParameters!$B$13:$B$17,0),MATCH($J2521,ModelParameters!$D$5:$K$5,0)))</f>
        <v>0</v>
      </c>
      <c r="S2521" s="160">
        <f>IF(B2521="",0,MIN(IF($N2521="Other Bond TM",ModelParameters!$N$21,1)*(P2521*Q2521+R2521),1))</f>
        <v>0.045</v>
      </c>
      <c r="T2521" s="85">
        <f>IF(B2521="",0,$S2521*$K2521)</f>
        <v>318.6497497041778</v>
      </c>
      <c r="U2521" s="85">
        <f>IF(B2521="",0,IF(OR(H2521=MappingTables!$C$34,H2521=MappingTables!$C$35),T2521,0))</f>
        <v>0</v>
      </c>
      <c r="V2521" s="85">
        <f>IF(ISNA(IF(AND(VLOOKUP(CONCATENATE($D2521,$G2521),CSRFinput!$B:$E,4,0)=0,OR(H2521=MappingTables!$C$34,H2521=MappingTables!$C$35)),1,VLOOKUP(CONCATENATE($D2521,$G2521),CSRFinput!$B:$E,4,0))),0,IF(AND(VLOOKUP(CONCATENATE($D2521,$G2521),CSRFinput!$B:$E,4,0)=0,OR(H2521=MappingTables!$C$34,H2521=MappingTables!$C$35)),1,VLOOKUP(CONCATENATE($D2521,$G2521),CSRFinput!$B:$E,4,0)))</f>
        <v>0.054776304963434752</v>
      </c>
      <c r="W2521" s="85">
        <f>IF(B2521="",0,+$T2521*$V2521)</f>
        <v>17.454455866318196</v>
      </c>
      <c r="X2521" s="85">
        <f>IF(B2521="",0,IF(OR(H2521=MappingTables!$C$34,H2521=MappingTables!$C$35),W2521,0))</f>
        <v>0</v>
      </c>
    </row>
    <row r="2522" spans="2:24" s="0" customFormat="0" ht="15">
      <c r="B2522" s="69">
        <v>16192340</v>
      </c>
      <c r="C2522" s="70" t="s">
        <v>1317</v>
      </c>
      <c r="D2522" s="70" t="s">
        <v>1</v>
      </c>
      <c r="E2522" s="70" t="s">
        <v>1</v>
      </c>
      <c r="F2522" s="70"/>
      <c r="G2522" s="70" t="s">
        <v>61</v>
      </c>
      <c r="H2522" s="70" t="s">
        <v>178</v>
      </c>
      <c r="I2522" s="70" t="s">
        <v>181</v>
      </c>
      <c r="J2522" s="71">
        <f>IF(OR(I2522=0,I2522=""),"unrated",VLOOKUP(I2522,MappingTables!$B$19:$C$31,2,FALSE))</f>
        <v>3</v>
      </c>
      <c r="K2522" s="72">
        <v>68.18765827140804</v>
      </c>
      <c r="L2522" s="70">
        <v>2.2838624881630704</v>
      </c>
      <c r="M2522" s="71">
        <f>IF(L2522&lt;1,1,L2522)</f>
        <v>2.2838624881630704</v>
      </c>
      <c r="N2522" s="70" t="s">
        <v>141</v>
      </c>
      <c r="O2522" s="71">
        <f>INDEX(DurClassMapping,MATCH(M2522,MappingTables!$D$4:$D$8,-1),1)</f>
        <v>1</v>
      </c>
      <c r="P2522" s="73">
        <f>IF(M2522=$A$1,1,$M2522-INDEX(MappingTables!$E$4:$E$8,MATCH(O2522,MappingTables!$B$4:$B$8,0)))</f>
        <v>2.2838624881630704</v>
      </c>
      <c r="Q2522" s="71">
        <f>IF(B2522="",0,INDEX(ModelParameters!$D$6:$K$10,MATCH($O2522,ModelParameters!$B$6:$B$10,0),MATCH($J2522,ModelParameters!$D$5:$K$5,0)))</f>
        <v>0.025</v>
      </c>
      <c r="R2522" s="71">
        <f>IF(B2522="",0,INDEX(ModelParameters!$D$13:$K$17,MATCH($O2522,ModelParameters!$B$13:$B$17,0),MATCH($J2522,ModelParameters!$D$5:$K$5,0)))</f>
        <v>0</v>
      </c>
      <c r="S2522" s="160">
        <f>IF(B2522="",0,MIN(IF($N2522="Other Bond TM",ModelParameters!$N$21,1)*(P2522*Q2522+R2522),1))</f>
        <v>0.057096562204076768</v>
      </c>
      <c r="T2522" s="85">
        <f>IF(B2522="",0,$S2522*$K2522)</f>
        <v>3.8932808720437792</v>
      </c>
      <c r="U2522" s="85">
        <f>IF(B2522="",0,IF(OR(H2522=MappingTables!$C$34,H2522=MappingTables!$C$35),T2522,0))</f>
        <v>0</v>
      </c>
      <c r="V2522" s="85">
        <f>IF(ISNA(IF(AND(VLOOKUP(CONCATENATE($D2522,$G2522),CSRFinput!$B:$E,4,0)=0,OR(H2522=MappingTables!$C$34,H2522=MappingTables!$C$35)),1,VLOOKUP(CONCATENATE($D2522,$G2522),CSRFinput!$B:$E,4,0))),0,IF(AND(VLOOKUP(CONCATENATE($D2522,$G2522),CSRFinput!$B:$E,4,0)=0,OR(H2522=MappingTables!$C$34,H2522=MappingTables!$C$35)),1,VLOOKUP(CONCATENATE($D2522,$G2522),CSRFinput!$B:$E,4,0)))</f>
        <v>0.054776304963434752</v>
      </c>
      <c r="W2522" s="85">
        <f>IF(B2522="",0,+$T2522*$V2522)</f>
        <v>0.21325954035537724</v>
      </c>
      <c r="X2522" s="85">
        <f>IF(B2522="",0,IF(OR(H2522=MappingTables!$C$34,H2522=MappingTables!$C$35),W2522,0))</f>
        <v>0</v>
      </c>
    </row>
    <row r="2523" spans="2:24" s="0" customFormat="0" ht="15">
      <c r="B2523" s="69">
        <v>11583648</v>
      </c>
      <c r="C2523" s="70" t="s">
        <v>1291</v>
      </c>
      <c r="D2523" s="70" t="s">
        <v>1</v>
      </c>
      <c r="E2523" s="70" t="s">
        <v>1</v>
      </c>
      <c r="F2523" s="70"/>
      <c r="G2523" s="70" t="s">
        <v>61</v>
      </c>
      <c r="H2523" s="70" t="s">
        <v>178</v>
      </c>
      <c r="I2523" s="70" t="s">
        <v>216</v>
      </c>
      <c r="J2523" s="71">
        <f>IF(OR(I2523=0,I2523=""),"unrated",VLOOKUP(I2523,MappingTables!$B$19:$C$31,2,FALSE))</f>
        <v>0</v>
      </c>
      <c r="K2523" s="72">
        <v>656.535263844492</v>
      </c>
      <c r="L2523" s="70">
        <v>0.18356515246695808</v>
      </c>
      <c r="M2523" s="71">
        <f>IF(L2523&lt;1,1,L2523)</f>
        <v>1</v>
      </c>
      <c r="N2523" s="70" t="s">
        <v>141</v>
      </c>
      <c r="O2523" s="71">
        <f>INDEX(DurClassMapping,MATCH(M2523,MappingTables!$D$4:$D$8,-1),1)</f>
        <v>1</v>
      </c>
      <c r="P2523" s="73">
        <f>IF(M2523=$A$1,1,$M2523-INDEX(MappingTables!$E$4:$E$8,MATCH(O2523,MappingTables!$B$4:$B$8,0)))</f>
        <v>1</v>
      </c>
      <c r="Q2523" s="71">
        <f>IF(B2523="",0,INDEX(ModelParameters!$D$6:$K$10,MATCH($O2523,ModelParameters!$B$6:$B$10,0),MATCH($J2523,ModelParameters!$D$5:$K$5,0)))</f>
        <v>0.0090000000000000016</v>
      </c>
      <c r="R2523" s="71">
        <f>IF(B2523="",0,INDEX(ModelParameters!$D$13:$K$17,MATCH($O2523,ModelParameters!$B$13:$B$17,0),MATCH($J2523,ModelParameters!$D$5:$K$5,0)))</f>
        <v>0</v>
      </c>
      <c r="S2523" s="160">
        <f>IF(B2523="",0,MIN(IF($N2523="Other Bond TM",ModelParameters!$N$21,1)*(P2523*Q2523+R2523),1))</f>
        <v>0.0090000000000000016</v>
      </c>
      <c r="T2523" s="85">
        <f>IF(B2523="",0,$S2523*$K2523)</f>
        <v>5.908817374600428</v>
      </c>
      <c r="U2523" s="85">
        <f>IF(B2523="",0,IF(OR(H2523=MappingTables!$C$34,H2523=MappingTables!$C$35),T2523,0))</f>
        <v>0</v>
      </c>
      <c r="V2523" s="85">
        <f>IF(ISNA(IF(AND(VLOOKUP(CONCATENATE($D2523,$G2523),CSRFinput!$B:$E,4,0)=0,OR(H2523=MappingTables!$C$34,H2523=MappingTables!$C$35)),1,VLOOKUP(CONCATENATE($D2523,$G2523),CSRFinput!$B:$E,4,0))),0,IF(AND(VLOOKUP(CONCATENATE($D2523,$G2523),CSRFinput!$B:$E,4,0)=0,OR(H2523=MappingTables!$C$34,H2523=MappingTables!$C$35)),1,VLOOKUP(CONCATENATE($D2523,$G2523),CSRFinput!$B:$E,4,0)))</f>
        <v>0.054776304963434752</v>
      </c>
      <c r="W2523" s="85">
        <f>IF(B2523="",0,+$T2523*$V2523)</f>
        <v>0.32366318248435492</v>
      </c>
      <c r="X2523" s="85">
        <f>IF(B2523="",0,IF(OR(H2523=MappingTables!$C$34,H2523=MappingTables!$C$35),W2523,0))</f>
        <v>0</v>
      </c>
    </row>
    <row r="2524" spans="2:24" s="0" customFormat="0" ht="15">
      <c r="B2524" s="69">
        <v>22554485</v>
      </c>
      <c r="C2524" s="70" t="s">
        <v>346</v>
      </c>
      <c r="D2524" s="70" t="s">
        <v>1</v>
      </c>
      <c r="E2524" s="70" t="s">
        <v>1</v>
      </c>
      <c r="F2524" s="70"/>
      <c r="G2524" s="70" t="s">
        <v>61</v>
      </c>
      <c r="H2524" s="70" t="s">
        <v>178</v>
      </c>
      <c r="I2524" s="70" t="s">
        <v>181</v>
      </c>
      <c r="J2524" s="71">
        <f>IF(OR(I2524=0,I2524=""),"unrated",VLOOKUP(I2524,MappingTables!$B$19:$C$31,2,FALSE))</f>
        <v>3</v>
      </c>
      <c r="K2524" s="72">
        <v>1044.4332929618902</v>
      </c>
      <c r="L2524" s="70">
        <v>0.28702194509840296</v>
      </c>
      <c r="M2524" s="71">
        <f>IF(L2524&lt;1,1,L2524)</f>
        <v>1</v>
      </c>
      <c r="N2524" s="70" t="s">
        <v>141</v>
      </c>
      <c r="O2524" s="71">
        <f>INDEX(DurClassMapping,MATCH(M2524,MappingTables!$D$4:$D$8,-1),1)</f>
        <v>1</v>
      </c>
      <c r="P2524" s="73">
        <f>IF(M2524=$A$1,1,$M2524-INDEX(MappingTables!$E$4:$E$8,MATCH(O2524,MappingTables!$B$4:$B$8,0)))</f>
        <v>1</v>
      </c>
      <c r="Q2524" s="71">
        <f>IF(B2524="",0,INDEX(ModelParameters!$D$6:$K$10,MATCH($O2524,ModelParameters!$B$6:$B$10,0),MATCH($J2524,ModelParameters!$D$5:$K$5,0)))</f>
        <v>0.025</v>
      </c>
      <c r="R2524" s="71">
        <f>IF(B2524="",0,INDEX(ModelParameters!$D$13:$K$17,MATCH($O2524,ModelParameters!$B$13:$B$17,0),MATCH($J2524,ModelParameters!$D$5:$K$5,0)))</f>
        <v>0</v>
      </c>
      <c r="S2524" s="160">
        <f>IF(B2524="",0,MIN(IF($N2524="Other Bond TM",ModelParameters!$N$21,1)*(P2524*Q2524+R2524),1))</f>
        <v>0.025</v>
      </c>
      <c r="T2524" s="85">
        <f>IF(B2524="",0,$S2524*$K2524)</f>
        <v>26.110832324047256</v>
      </c>
      <c r="U2524" s="85">
        <f>IF(B2524="",0,IF(OR(H2524=MappingTables!$C$34,H2524=MappingTables!$C$35),T2524,0))</f>
        <v>0</v>
      </c>
      <c r="V2524" s="85">
        <f>IF(ISNA(IF(AND(VLOOKUP(CONCATENATE($D2524,$G2524),CSRFinput!$B:$E,4,0)=0,OR(H2524=MappingTables!$C$34,H2524=MappingTables!$C$35)),1,VLOOKUP(CONCATENATE($D2524,$G2524),CSRFinput!$B:$E,4,0))),0,IF(AND(VLOOKUP(CONCATENATE($D2524,$G2524),CSRFinput!$B:$E,4,0)=0,OR(H2524=MappingTables!$C$34,H2524=MappingTables!$C$35)),1,VLOOKUP(CONCATENATE($D2524,$G2524),CSRFinput!$B:$E,4,0)))</f>
        <v>0.054776304963434752</v>
      </c>
      <c r="W2524" s="85">
        <f>IF(B2524="",0,+$T2524*$V2524)</f>
        <v>1.4302549142311222</v>
      </c>
      <c r="X2524" s="85">
        <f>IF(B2524="",0,IF(OR(H2524=MappingTables!$C$34,H2524=MappingTables!$C$35),W2524,0))</f>
        <v>0</v>
      </c>
    </row>
    <row r="2525" spans="2:24" s="0" customFormat="0" ht="15">
      <c r="B2525" s="69" t="s">
        <v>2304</v>
      </c>
      <c r="C2525" s="70" t="s">
        <v>2305</v>
      </c>
      <c r="D2525" s="70" t="s">
        <v>1</v>
      </c>
      <c r="E2525" s="70" t="s">
        <v>1</v>
      </c>
      <c r="F2525" s="70"/>
      <c r="G2525" s="70" t="s">
        <v>61</v>
      </c>
      <c r="H2525" s="70" t="s">
        <v>178</v>
      </c>
      <c r="I2525" s="70" t="s">
        <v>181</v>
      </c>
      <c r="J2525" s="71">
        <f>IF(OR(I2525=0,I2525=""),"unrated",VLOOKUP(I2525,MappingTables!$B$19:$C$31,2,FALSE))</f>
        <v>3</v>
      </c>
      <c r="K2525" s="72">
        <v>181.91986065953024</v>
      </c>
      <c r="L2525" s="70">
        <v>4.2905762188060832</v>
      </c>
      <c r="M2525" s="71">
        <f>IF(L2525&lt;1,1,L2525)</f>
        <v>4.2905762188060832</v>
      </c>
      <c r="N2525" s="70" t="s">
        <v>141</v>
      </c>
      <c r="O2525" s="71">
        <f>INDEX(DurClassMapping,MATCH(M2525,MappingTables!$D$4:$D$8,-1),1)</f>
        <v>1</v>
      </c>
      <c r="P2525" s="73">
        <f>IF(M2525=$A$1,1,$M2525-INDEX(MappingTables!$E$4:$E$8,MATCH(O2525,MappingTables!$B$4:$B$8,0)))</f>
        <v>4.2905762188060832</v>
      </c>
      <c r="Q2525" s="71">
        <f>IF(B2525="",0,INDEX(ModelParameters!$D$6:$K$10,MATCH($O2525,ModelParameters!$B$6:$B$10,0),MATCH($J2525,ModelParameters!$D$5:$K$5,0)))</f>
        <v>0.025</v>
      </c>
      <c r="R2525" s="71">
        <f>IF(B2525="",0,INDEX(ModelParameters!$D$13:$K$17,MATCH($O2525,ModelParameters!$B$13:$B$17,0),MATCH($J2525,ModelParameters!$D$5:$K$5,0)))</f>
        <v>0</v>
      </c>
      <c r="S2525" s="160">
        <f>IF(B2525="",0,MIN(IF($N2525="Other Bond TM",ModelParameters!$N$21,1)*(P2525*Q2525+R2525),1))</f>
        <v>0.1072644054701521</v>
      </c>
      <c r="T2525" s="85">
        <f>IF(B2525="",0,$S2525*$K2525)</f>
        <v>19.513525696857424</v>
      </c>
      <c r="U2525" s="85">
        <f>IF(B2525="",0,IF(OR(H2525=MappingTables!$C$34,H2525=MappingTables!$C$35),T2525,0))</f>
        <v>0</v>
      </c>
      <c r="V2525" s="85">
        <f>IF(ISNA(IF(AND(VLOOKUP(CONCATENATE($D2525,$G2525),CSRFinput!$B:$E,4,0)=0,OR(H2525=MappingTables!$C$34,H2525=MappingTables!$C$35)),1,VLOOKUP(CONCATENATE($D2525,$G2525),CSRFinput!$B:$E,4,0))),0,IF(AND(VLOOKUP(CONCATENATE($D2525,$G2525),CSRFinput!$B:$E,4,0)=0,OR(H2525=MappingTables!$C$34,H2525=MappingTables!$C$35)),1,VLOOKUP(CONCATENATE($D2525,$G2525),CSRFinput!$B:$E,4,0)))</f>
        <v>0.054776304963434752</v>
      </c>
      <c r="W2525" s="85">
        <f>IF(B2525="",0,+$T2525*$V2525)</f>
        <v>1.068878834482883</v>
      </c>
      <c r="X2525" s="85">
        <f>IF(B2525="",0,IF(OR(H2525=MappingTables!$C$34,H2525=MappingTables!$C$35),W2525,0))</f>
        <v>0</v>
      </c>
    </row>
    <row r="2526" spans="2:24" s="0" customFormat="0" ht="15">
      <c r="B2526" s="69">
        <v>11882841</v>
      </c>
      <c r="C2526" s="70" t="s">
        <v>1601</v>
      </c>
      <c r="D2526" s="70" t="s">
        <v>1</v>
      </c>
      <c r="E2526" s="70" t="s">
        <v>1</v>
      </c>
      <c r="F2526" s="70"/>
      <c r="G2526" s="70" t="s">
        <v>61</v>
      </c>
      <c r="H2526" s="70" t="s">
        <v>178</v>
      </c>
      <c r="I2526" s="70" t="s">
        <v>179</v>
      </c>
      <c r="J2526" s="71">
        <f>IF(OR(I2526=0,I2526=""),"unrated",VLOOKUP(I2526,MappingTables!$B$19:$C$31,2,FALSE))</f>
        <v>4</v>
      </c>
      <c r="K2526" s="72">
        <v>935.84139225525104</v>
      </c>
      <c r="L2526" s="70">
        <v>0.8105795292409312</v>
      </c>
      <c r="M2526" s="71">
        <f>IF(L2526&lt;1,1,L2526)</f>
        <v>1</v>
      </c>
      <c r="N2526" s="70" t="s">
        <v>141</v>
      </c>
      <c r="O2526" s="71">
        <f>INDEX(DurClassMapping,MATCH(M2526,MappingTables!$D$4:$D$8,-1),1)</f>
        <v>1</v>
      </c>
      <c r="P2526" s="73">
        <f>IF(M2526=$A$1,1,$M2526-INDEX(MappingTables!$E$4:$E$8,MATCH(O2526,MappingTables!$B$4:$B$8,0)))</f>
        <v>1</v>
      </c>
      <c r="Q2526" s="71">
        <f>IF(B2526="",0,INDEX(ModelParameters!$D$6:$K$10,MATCH($O2526,ModelParameters!$B$6:$B$10,0),MATCH($J2526,ModelParameters!$D$5:$K$5,0)))</f>
        <v>0.045</v>
      </c>
      <c r="R2526" s="71">
        <f>IF(B2526="",0,INDEX(ModelParameters!$D$13:$K$17,MATCH($O2526,ModelParameters!$B$13:$B$17,0),MATCH($J2526,ModelParameters!$D$5:$K$5,0)))</f>
        <v>0</v>
      </c>
      <c r="S2526" s="160">
        <f>IF(B2526="",0,MIN(IF($N2526="Other Bond TM",ModelParameters!$N$21,1)*(P2526*Q2526+R2526),1))</f>
        <v>0.045</v>
      </c>
      <c r="T2526" s="85">
        <f>IF(B2526="",0,$S2526*$K2526)</f>
        <v>42.112862651486296</v>
      </c>
      <c r="U2526" s="85">
        <f>IF(B2526="",0,IF(OR(H2526=MappingTables!$C$34,H2526=MappingTables!$C$35),T2526,0))</f>
        <v>0</v>
      </c>
      <c r="V2526" s="85">
        <f>IF(ISNA(IF(AND(VLOOKUP(CONCATENATE($D2526,$G2526),CSRFinput!$B:$E,4,0)=0,OR(H2526=MappingTables!$C$34,H2526=MappingTables!$C$35)),1,VLOOKUP(CONCATENATE($D2526,$G2526),CSRFinput!$B:$E,4,0))),0,IF(AND(VLOOKUP(CONCATENATE($D2526,$G2526),CSRFinput!$B:$E,4,0)=0,OR(H2526=MappingTables!$C$34,H2526=MappingTables!$C$35)),1,VLOOKUP(CONCATENATE($D2526,$G2526),CSRFinput!$B:$E,4,0)))</f>
        <v>0.054776304963434752</v>
      </c>
      <c r="W2526" s="85">
        <f>IF(B2526="",0,+$T2526*$V2526)</f>
        <v>2.3067870074810548</v>
      </c>
      <c r="X2526" s="85">
        <f>IF(B2526="",0,IF(OR(H2526=MappingTables!$C$34,H2526=MappingTables!$C$35),W2526,0))</f>
        <v>0</v>
      </c>
    </row>
    <row r="2527" spans="2:24" s="0" customFormat="0" ht="15">
      <c r="B2527" s="69">
        <v>2980591</v>
      </c>
      <c r="C2527" s="70" t="s">
        <v>1972</v>
      </c>
      <c r="D2527" s="70" t="s">
        <v>1</v>
      </c>
      <c r="E2527" s="70" t="s">
        <v>1</v>
      </c>
      <c r="F2527" s="70"/>
      <c r="G2527" s="70" t="s">
        <v>61</v>
      </c>
      <c r="H2527" s="70" t="s">
        <v>178</v>
      </c>
      <c r="I2527" s="70" t="s">
        <v>181</v>
      </c>
      <c r="J2527" s="71">
        <f>IF(OR(I2527=0,I2527=""),"unrated",VLOOKUP(I2527,MappingTables!$B$19:$C$31,2,FALSE))</f>
        <v>3</v>
      </c>
      <c r="K2527" s="72">
        <v>1053.0711140152514</v>
      </c>
      <c r="L2527" s="70">
        <v>11.964869709588994</v>
      </c>
      <c r="M2527" s="71">
        <f>IF(L2527&lt;1,1,L2527)</f>
        <v>11.964869709588994</v>
      </c>
      <c r="N2527" s="70" t="s">
        <v>141</v>
      </c>
      <c r="O2527" s="71">
        <f>INDEX(DurClassMapping,MATCH(M2527,MappingTables!$D$4:$D$8,-1),1)</f>
        <v>3</v>
      </c>
      <c r="P2527" s="73">
        <f>IF(M2527=$A$1,1,$M2527-INDEX(MappingTables!$E$4:$E$8,MATCH(O2527,MappingTables!$B$4:$B$8,0)))</f>
        <v>1.964869709588994</v>
      </c>
      <c r="Q2527" s="71">
        <f>IF(B2527="",0,INDEX(ModelParameters!$D$6:$K$10,MATCH($O2527,ModelParameters!$B$6:$B$10,0),MATCH($J2527,ModelParameters!$D$5:$K$5,0)))</f>
        <v>0.01</v>
      </c>
      <c r="R2527" s="71">
        <f>IF(B2527="",0,INDEX(ModelParameters!$D$13:$K$17,MATCH($O2527,ModelParameters!$B$13:$B$17,0),MATCH($J2527,ModelParameters!$D$5:$K$5,0)))</f>
        <v>0.2</v>
      </c>
      <c r="S2527" s="160">
        <f>IF(B2527="",0,MIN(IF($N2527="Other Bond TM",ModelParameters!$N$21,1)*(P2527*Q2527+R2527),1))</f>
        <v>0.21964869709588996</v>
      </c>
      <c r="T2527" s="85">
        <f>IF(B2527="",0,$S2527*$K2527)</f>
        <v>231.30569814276736</v>
      </c>
      <c r="U2527" s="85">
        <f>IF(B2527="",0,IF(OR(H2527=MappingTables!$C$34,H2527=MappingTables!$C$35),T2527,0))</f>
        <v>0</v>
      </c>
      <c r="V2527" s="85">
        <f>IF(ISNA(IF(AND(VLOOKUP(CONCATENATE($D2527,$G2527),CSRFinput!$B:$E,4,0)=0,OR(H2527=MappingTables!$C$34,H2527=MappingTables!$C$35)),1,VLOOKUP(CONCATENATE($D2527,$G2527),CSRFinput!$B:$E,4,0))),0,IF(AND(VLOOKUP(CONCATENATE($D2527,$G2527),CSRFinput!$B:$E,4,0)=0,OR(H2527=MappingTables!$C$34,H2527=MappingTables!$C$35)),1,VLOOKUP(CONCATENATE($D2527,$G2527),CSRFinput!$B:$E,4,0)))</f>
        <v>0.054776304963434752</v>
      </c>
      <c r="W2527" s="85">
        <f>IF(B2527="",0,+$T2527*$V2527)</f>
        <v>12.670071461248408</v>
      </c>
      <c r="X2527" s="85">
        <f>IF(B2527="",0,IF(OR(H2527=MappingTables!$C$34,H2527=MappingTables!$C$35),W2527,0))</f>
        <v>0</v>
      </c>
    </row>
    <row r="2528" spans="2:24" s="0" customFormat="0" ht="15">
      <c r="B2528" s="69">
        <v>21040218</v>
      </c>
      <c r="C2528" s="70" t="s">
        <v>2465</v>
      </c>
      <c r="D2528" s="70" t="s">
        <v>1</v>
      </c>
      <c r="E2528" s="70" t="s">
        <v>1</v>
      </c>
      <c r="F2528" s="70"/>
      <c r="G2528" s="70" t="s">
        <v>61</v>
      </c>
      <c r="H2528" s="70" t="s">
        <v>178</v>
      </c>
      <c r="I2528" s="70" t="s">
        <v>181</v>
      </c>
      <c r="J2528" s="71">
        <f>IF(OR(I2528=0,I2528=""),"unrated",VLOOKUP(I2528,MappingTables!$B$19:$C$31,2,FALSE))</f>
        <v>3</v>
      </c>
      <c r="K2528" s="72">
        <v>7.08103358006424</v>
      </c>
      <c r="L2528" s="70">
        <v>1.6581437978576042</v>
      </c>
      <c r="M2528" s="71">
        <f>IF(L2528&lt;1,1,L2528)</f>
        <v>1.6581437978576042</v>
      </c>
      <c r="N2528" s="70" t="s">
        <v>141</v>
      </c>
      <c r="O2528" s="71">
        <f>INDEX(DurClassMapping,MATCH(M2528,MappingTables!$D$4:$D$8,-1),1)</f>
        <v>1</v>
      </c>
      <c r="P2528" s="73">
        <f>IF(M2528=$A$1,1,$M2528-INDEX(MappingTables!$E$4:$E$8,MATCH(O2528,MappingTables!$B$4:$B$8,0)))</f>
        <v>1.6581437978576042</v>
      </c>
      <c r="Q2528" s="71">
        <f>IF(B2528="",0,INDEX(ModelParameters!$D$6:$K$10,MATCH($O2528,ModelParameters!$B$6:$B$10,0),MATCH($J2528,ModelParameters!$D$5:$K$5,0)))</f>
        <v>0.025</v>
      </c>
      <c r="R2528" s="71">
        <f>IF(B2528="",0,INDEX(ModelParameters!$D$13:$K$17,MATCH($O2528,ModelParameters!$B$13:$B$17,0),MATCH($J2528,ModelParameters!$D$5:$K$5,0)))</f>
        <v>0</v>
      </c>
      <c r="S2528" s="160">
        <f>IF(B2528="",0,MIN(IF($N2528="Other Bond TM",ModelParameters!$N$21,1)*(P2528*Q2528+R2528),1))</f>
        <v>0.041453594946440104</v>
      </c>
      <c r="T2528" s="85">
        <f>IF(B2528="",0,$S2528*$K2528)</f>
        <v>0.29353429783012364</v>
      </c>
      <c r="U2528" s="85">
        <f>IF(B2528="",0,IF(OR(H2528=MappingTables!$C$34,H2528=MappingTables!$C$35),T2528,0))</f>
        <v>0</v>
      </c>
      <c r="V2528" s="85">
        <f>IF(ISNA(IF(AND(VLOOKUP(CONCATENATE($D2528,$G2528),CSRFinput!$B:$E,4,0)=0,OR(H2528=MappingTables!$C$34,H2528=MappingTables!$C$35)),1,VLOOKUP(CONCATENATE($D2528,$G2528),CSRFinput!$B:$E,4,0))),0,IF(AND(VLOOKUP(CONCATENATE($D2528,$G2528),CSRFinput!$B:$E,4,0)=0,OR(H2528=MappingTables!$C$34,H2528=MappingTables!$C$35)),1,VLOOKUP(CONCATENATE($D2528,$G2528),CSRFinput!$B:$E,4,0)))</f>
        <v>0.054776304963434752</v>
      </c>
      <c r="W2528" s="85">
        <f>IF(B2528="",0,+$T2528*$V2528)</f>
        <v>0.016078724215170536</v>
      </c>
      <c r="X2528" s="85">
        <f>IF(B2528="",0,IF(OR(H2528=MappingTables!$C$34,H2528=MappingTables!$C$35),W2528,0))</f>
        <v>0</v>
      </c>
    </row>
    <row r="2529" spans="2:24" s="0" customFormat="0" ht="15">
      <c r="B2529" s="69">
        <v>8145964</v>
      </c>
      <c r="C2529" s="70" t="s">
        <v>2466</v>
      </c>
      <c r="D2529" s="70" t="s">
        <v>1</v>
      </c>
      <c r="E2529" s="70" t="s">
        <v>1</v>
      </c>
      <c r="F2529" s="70"/>
      <c r="G2529" s="70" t="s">
        <v>61</v>
      </c>
      <c r="H2529" s="70" t="s">
        <v>178</v>
      </c>
      <c r="I2529" s="70" t="s">
        <v>179</v>
      </c>
      <c r="J2529" s="71">
        <f>IF(OR(I2529=0,I2529=""),"unrated",VLOOKUP(I2529,MappingTables!$B$19:$C$31,2,FALSE))</f>
        <v>4</v>
      </c>
      <c r="K2529" s="72">
        <v>32283.35071148138</v>
      </c>
      <c r="L2529" s="70">
        <v>13.184292065757096</v>
      </c>
      <c r="M2529" s="71">
        <f>IF(L2529&lt;1,1,L2529)</f>
        <v>13.184292065757096</v>
      </c>
      <c r="N2529" s="70" t="s">
        <v>141</v>
      </c>
      <c r="O2529" s="71">
        <f>INDEX(DurClassMapping,MATCH(M2529,MappingTables!$D$4:$D$8,-1),1)</f>
        <v>3</v>
      </c>
      <c r="P2529" s="73">
        <f>IF(M2529=$A$1,1,$M2529-INDEX(MappingTables!$E$4:$E$8,MATCH(O2529,MappingTables!$B$4:$B$8,0)))</f>
        <v>3.1842920657570952</v>
      </c>
      <c r="Q2529" s="71">
        <f>IF(B2529="",0,INDEX(ModelParameters!$D$6:$K$10,MATCH($O2529,ModelParameters!$B$6:$B$10,0),MATCH($J2529,ModelParameters!$D$5:$K$5,0)))</f>
        <v>0.018000000000000002</v>
      </c>
      <c r="R2529" s="71">
        <f>IF(B2529="",0,INDEX(ModelParameters!$D$13:$K$17,MATCH($O2529,ModelParameters!$B$13:$B$17,0),MATCH($J2529,ModelParameters!$D$5:$K$5,0)))</f>
        <v>0.34999999999999996</v>
      </c>
      <c r="S2529" s="160">
        <f>IF(B2529="",0,MIN(IF($N2529="Other Bond TM",ModelParameters!$N$21,1)*(P2529*Q2529+R2529),1))</f>
        <v>0.40731725718362768</v>
      </c>
      <c r="T2529" s="85">
        <f>IF(B2529="",0,$S2529*$K2529)</f>
        <v>13149.565864497712</v>
      </c>
      <c r="U2529" s="85">
        <f>IF(B2529="",0,IF(OR(H2529=MappingTables!$C$34,H2529=MappingTables!$C$35),T2529,0))</f>
        <v>0</v>
      </c>
      <c r="V2529" s="85">
        <f>IF(ISNA(IF(AND(VLOOKUP(CONCATENATE($D2529,$G2529),CSRFinput!$B:$E,4,0)=0,OR(H2529=MappingTables!$C$34,H2529=MappingTables!$C$35)),1,VLOOKUP(CONCATENATE($D2529,$G2529),CSRFinput!$B:$E,4,0))),0,IF(AND(VLOOKUP(CONCATENATE($D2529,$G2529),CSRFinput!$B:$E,4,0)=0,OR(H2529=MappingTables!$C$34,H2529=MappingTables!$C$35)),1,VLOOKUP(CONCATENATE($D2529,$G2529),CSRFinput!$B:$E,4,0)))</f>
        <v>0.054776304963434752</v>
      </c>
      <c r="W2529" s="85">
        <f>IF(B2529="",0,+$T2529*$V2529)</f>
        <v>720.28462993049824</v>
      </c>
      <c r="X2529" s="85">
        <f>IF(B2529="",0,IF(OR(H2529=MappingTables!$C$34,H2529=MappingTables!$C$35),W2529,0))</f>
        <v>0</v>
      </c>
    </row>
    <row r="2530" spans="2:24" s="0" customFormat="0" ht="15">
      <c r="B2530" s="69" t="s">
        <v>2467</v>
      </c>
      <c r="C2530" s="70" t="s">
        <v>2468</v>
      </c>
      <c r="D2530" s="70" t="s">
        <v>1</v>
      </c>
      <c r="E2530" s="70" t="s">
        <v>1</v>
      </c>
      <c r="F2530" s="70"/>
      <c r="G2530" s="70" t="s">
        <v>61</v>
      </c>
      <c r="H2530" s="70" t="s">
        <v>178</v>
      </c>
      <c r="I2530" s="70" t="s">
        <v>181</v>
      </c>
      <c r="J2530" s="71">
        <f>IF(OR(I2530=0,I2530=""),"unrated",VLOOKUP(I2530,MappingTables!$B$19:$C$31,2,FALSE))</f>
        <v>3</v>
      </c>
      <c r="K2530" s="72">
        <v>9004.3484629755328</v>
      </c>
      <c r="L2530" s="70">
        <v>1.3839211581398322</v>
      </c>
      <c r="M2530" s="71">
        <f>IF(L2530&lt;1,1,L2530)</f>
        <v>1.3839211581398322</v>
      </c>
      <c r="N2530" s="70" t="s">
        <v>141</v>
      </c>
      <c r="O2530" s="71">
        <f>INDEX(DurClassMapping,MATCH(M2530,MappingTables!$D$4:$D$8,-1),1)</f>
        <v>1</v>
      </c>
      <c r="P2530" s="73">
        <f>IF(M2530=$A$1,1,$M2530-INDEX(MappingTables!$E$4:$E$8,MATCH(O2530,MappingTables!$B$4:$B$8,0)))</f>
        <v>1.3839211581398322</v>
      </c>
      <c r="Q2530" s="71">
        <f>IF(B2530="",0,INDEX(ModelParameters!$D$6:$K$10,MATCH($O2530,ModelParameters!$B$6:$B$10,0),MATCH($J2530,ModelParameters!$D$5:$K$5,0)))</f>
        <v>0.025</v>
      </c>
      <c r="R2530" s="71">
        <f>IF(B2530="",0,INDEX(ModelParameters!$D$13:$K$17,MATCH($O2530,ModelParameters!$B$13:$B$17,0),MATCH($J2530,ModelParameters!$D$5:$K$5,0)))</f>
        <v>0</v>
      </c>
      <c r="S2530" s="160">
        <f>IF(B2530="",0,MIN(IF($N2530="Other Bond TM",ModelParameters!$N$21,1)*(P2530*Q2530+R2530),1))</f>
        <v>0.034598028953495808</v>
      </c>
      <c r="T2530" s="85">
        <f>IF(B2530="",0,$S2530*$K2530)</f>
        <v>311.53270882939296</v>
      </c>
      <c r="U2530" s="85">
        <f>IF(B2530="",0,IF(OR(H2530=MappingTables!$C$34,H2530=MappingTables!$C$35),T2530,0))</f>
        <v>0</v>
      </c>
      <c r="V2530" s="85">
        <f>IF(ISNA(IF(AND(VLOOKUP(CONCATENATE($D2530,$G2530),CSRFinput!$B:$E,4,0)=0,OR(H2530=MappingTables!$C$34,H2530=MappingTables!$C$35)),1,VLOOKUP(CONCATENATE($D2530,$G2530),CSRFinput!$B:$E,4,0))),0,IF(AND(VLOOKUP(CONCATENATE($D2530,$G2530),CSRFinput!$B:$E,4,0)=0,OR(H2530=MappingTables!$C$34,H2530=MappingTables!$C$35)),1,VLOOKUP(CONCATENATE($D2530,$G2530),CSRFinput!$B:$E,4,0)))</f>
        <v>0.054776304963434752</v>
      </c>
      <c r="W2530" s="85">
        <f>IF(B2530="",0,+$T2530*$V2530)</f>
        <v>17.064610664923752</v>
      </c>
      <c r="X2530" s="85">
        <f>IF(B2530="",0,IF(OR(H2530=MappingTables!$C$34,H2530=MappingTables!$C$35),W2530,0))</f>
        <v>0</v>
      </c>
    </row>
    <row r="2531" spans="2:24" s="0" customFormat="0" ht="15">
      <c r="B2531" s="69">
        <v>8354801</v>
      </c>
      <c r="C2531" s="70" t="s">
        <v>2150</v>
      </c>
      <c r="D2531" s="70" t="s">
        <v>1</v>
      </c>
      <c r="E2531" s="70" t="s">
        <v>1</v>
      </c>
      <c r="F2531" s="70"/>
      <c r="G2531" s="70" t="s">
        <v>61</v>
      </c>
      <c r="H2531" s="70" t="s">
        <v>178</v>
      </c>
      <c r="I2531" s="70" t="s">
        <v>181</v>
      </c>
      <c r="J2531" s="71">
        <f>IF(OR(I2531=0,I2531=""),"unrated",VLOOKUP(I2531,MappingTables!$B$19:$C$31,2,FALSE))</f>
        <v>3</v>
      </c>
      <c r="K2531" s="72">
        <v>4.199814610984768</v>
      </c>
      <c r="L2531" s="70">
        <v>0.42466021419984144</v>
      </c>
      <c r="M2531" s="71">
        <f>IF(L2531&lt;1,1,L2531)</f>
        <v>1</v>
      </c>
      <c r="N2531" s="70" t="s">
        <v>141</v>
      </c>
      <c r="O2531" s="71">
        <f>INDEX(DurClassMapping,MATCH(M2531,MappingTables!$D$4:$D$8,-1),1)</f>
        <v>1</v>
      </c>
      <c r="P2531" s="73">
        <f>IF(M2531=$A$1,1,$M2531-INDEX(MappingTables!$E$4:$E$8,MATCH(O2531,MappingTables!$B$4:$B$8,0)))</f>
        <v>1</v>
      </c>
      <c r="Q2531" s="71">
        <f>IF(B2531="",0,INDEX(ModelParameters!$D$6:$K$10,MATCH($O2531,ModelParameters!$B$6:$B$10,0),MATCH($J2531,ModelParameters!$D$5:$K$5,0)))</f>
        <v>0.025</v>
      </c>
      <c r="R2531" s="71">
        <f>IF(B2531="",0,INDEX(ModelParameters!$D$13:$K$17,MATCH($O2531,ModelParameters!$B$13:$B$17,0),MATCH($J2531,ModelParameters!$D$5:$K$5,0)))</f>
        <v>0</v>
      </c>
      <c r="S2531" s="160">
        <f>IF(B2531="",0,MIN(IF($N2531="Other Bond TM",ModelParameters!$N$21,1)*(P2531*Q2531+R2531),1))</f>
        <v>0.025</v>
      </c>
      <c r="T2531" s="85">
        <f>IF(B2531="",0,$S2531*$K2531)</f>
        <v>0.1049953652746192</v>
      </c>
      <c r="U2531" s="85">
        <f>IF(B2531="",0,IF(OR(H2531=MappingTables!$C$34,H2531=MappingTables!$C$35),T2531,0))</f>
        <v>0</v>
      </c>
      <c r="V2531" s="85">
        <f>IF(ISNA(IF(AND(VLOOKUP(CONCATENATE($D2531,$G2531),CSRFinput!$B:$E,4,0)=0,OR(H2531=MappingTables!$C$34,H2531=MappingTables!$C$35)),1,VLOOKUP(CONCATENATE($D2531,$G2531),CSRFinput!$B:$E,4,0))),0,IF(AND(VLOOKUP(CONCATENATE($D2531,$G2531),CSRFinput!$B:$E,4,0)=0,OR(H2531=MappingTables!$C$34,H2531=MappingTables!$C$35)),1,VLOOKUP(CONCATENATE($D2531,$G2531),CSRFinput!$B:$E,4,0)))</f>
        <v>0.054776304963434752</v>
      </c>
      <c r="W2531" s="85">
        <f>IF(B2531="",0,+$T2531*$V2531)</f>
        <v>0.0057512581480297688</v>
      </c>
      <c r="X2531" s="85">
        <f>IF(B2531="",0,IF(OR(H2531=MappingTables!$C$34,H2531=MappingTables!$C$35),W2531,0))</f>
        <v>0</v>
      </c>
    </row>
    <row r="2532" spans="2:24" s="0" customFormat="0" ht="15">
      <c r="B2532" s="69">
        <v>15242247</v>
      </c>
      <c r="C2532" s="70" t="s">
        <v>2469</v>
      </c>
      <c r="D2532" s="70" t="s">
        <v>1</v>
      </c>
      <c r="E2532" s="70" t="s">
        <v>1</v>
      </c>
      <c r="F2532" s="70"/>
      <c r="G2532" s="70" t="s">
        <v>61</v>
      </c>
      <c r="H2532" s="70" t="s">
        <v>178</v>
      </c>
      <c r="I2532" s="70" t="s">
        <v>179</v>
      </c>
      <c r="J2532" s="71">
        <f>IF(OR(I2532=0,I2532=""),"unrated",VLOOKUP(I2532,MappingTables!$B$19:$C$31,2,FALSE))</f>
        <v>4</v>
      </c>
      <c r="K2532" s="72">
        <v>2250.9977386940472</v>
      </c>
      <c r="L2532" s="70">
        <v>1.8371904913407636</v>
      </c>
      <c r="M2532" s="71">
        <f>IF(L2532&lt;1,1,L2532)</f>
        <v>1.8371904913407636</v>
      </c>
      <c r="N2532" s="70" t="s">
        <v>141</v>
      </c>
      <c r="O2532" s="71">
        <f>INDEX(DurClassMapping,MATCH(M2532,MappingTables!$D$4:$D$8,-1),1)</f>
        <v>1</v>
      </c>
      <c r="P2532" s="73">
        <f>IF(M2532=$A$1,1,$M2532-INDEX(MappingTables!$E$4:$E$8,MATCH(O2532,MappingTables!$B$4:$B$8,0)))</f>
        <v>1.8371904913407636</v>
      </c>
      <c r="Q2532" s="71">
        <f>IF(B2532="",0,INDEX(ModelParameters!$D$6:$K$10,MATCH($O2532,ModelParameters!$B$6:$B$10,0),MATCH($J2532,ModelParameters!$D$5:$K$5,0)))</f>
        <v>0.045</v>
      </c>
      <c r="R2532" s="71">
        <f>IF(B2532="",0,INDEX(ModelParameters!$D$13:$K$17,MATCH($O2532,ModelParameters!$B$13:$B$17,0),MATCH($J2532,ModelParameters!$D$5:$K$5,0)))</f>
        <v>0</v>
      </c>
      <c r="S2532" s="160">
        <f>IF(B2532="",0,MIN(IF($N2532="Other Bond TM",ModelParameters!$N$21,1)*(P2532*Q2532+R2532),1))</f>
        <v>0.082673572110334352</v>
      </c>
      <c r="T2532" s="85">
        <f>IF(B2532="",0,$S2532*$K2532)</f>
        <v>186.09802387012188</v>
      </c>
      <c r="U2532" s="85">
        <f>IF(B2532="",0,IF(OR(H2532=MappingTables!$C$34,H2532=MappingTables!$C$35),T2532,0))</f>
        <v>0</v>
      </c>
      <c r="V2532" s="85">
        <f>IF(ISNA(IF(AND(VLOOKUP(CONCATENATE($D2532,$G2532),CSRFinput!$B:$E,4,0)=0,OR(H2532=MappingTables!$C$34,H2532=MappingTables!$C$35)),1,VLOOKUP(CONCATENATE($D2532,$G2532),CSRFinput!$B:$E,4,0))),0,IF(AND(VLOOKUP(CONCATENATE($D2532,$G2532),CSRFinput!$B:$E,4,0)=0,OR(H2532=MappingTables!$C$34,H2532=MappingTables!$C$35)),1,VLOOKUP(CONCATENATE($D2532,$G2532),CSRFinput!$B:$E,4,0)))</f>
        <v>0.054776304963434752</v>
      </c>
      <c r="W2532" s="85">
        <f>IF(B2532="",0,+$T2532*$V2532)</f>
        <v>10.193762108602356</v>
      </c>
      <c r="X2532" s="85">
        <f>IF(B2532="",0,IF(OR(H2532=MappingTables!$C$34,H2532=MappingTables!$C$35),W2532,0))</f>
        <v>0</v>
      </c>
    </row>
    <row r="2533" spans="2:24" s="0" customFormat="0" ht="15">
      <c r="B2533" s="69">
        <v>20627507</v>
      </c>
      <c r="C2533" s="70" t="s">
        <v>2470</v>
      </c>
      <c r="D2533" s="70" t="s">
        <v>1</v>
      </c>
      <c r="E2533" s="70" t="s">
        <v>1</v>
      </c>
      <c r="F2533" s="70"/>
      <c r="G2533" s="70" t="s">
        <v>61</v>
      </c>
      <c r="H2533" s="70" t="s">
        <v>178</v>
      </c>
      <c r="I2533" s="70" t="s">
        <v>188</v>
      </c>
      <c r="J2533" s="71">
        <f>IF(OR(I2533=0,I2533=""),"unrated",VLOOKUP(I2533,MappingTables!$B$19:$C$31,2,FALSE))</f>
        <v>2</v>
      </c>
      <c r="K2533" s="72">
        <v>18469.235436701768</v>
      </c>
      <c r="L2533" s="70">
        <v>3.3929290962572244</v>
      </c>
      <c r="M2533" s="71">
        <f>IF(L2533&lt;1,1,L2533)</f>
        <v>3.3929290962572244</v>
      </c>
      <c r="N2533" s="70" t="s">
        <v>141</v>
      </c>
      <c r="O2533" s="71">
        <f>INDEX(DurClassMapping,MATCH(M2533,MappingTables!$D$4:$D$8,-1),1)</f>
        <v>1</v>
      </c>
      <c r="P2533" s="73">
        <f>IF(M2533=$A$1,1,$M2533-INDEX(MappingTables!$E$4:$E$8,MATCH(O2533,MappingTables!$B$4:$B$8,0)))</f>
        <v>3.3929290962572244</v>
      </c>
      <c r="Q2533" s="71">
        <f>IF(B2533="",0,INDEX(ModelParameters!$D$6:$K$10,MATCH($O2533,ModelParameters!$B$6:$B$10,0),MATCH($J2533,ModelParameters!$D$5:$K$5,0)))</f>
        <v>0.013999999999999998</v>
      </c>
      <c r="R2533" s="71">
        <f>IF(B2533="",0,INDEX(ModelParameters!$D$13:$K$17,MATCH($O2533,ModelParameters!$B$13:$B$17,0),MATCH($J2533,ModelParameters!$D$5:$K$5,0)))</f>
        <v>0</v>
      </c>
      <c r="S2533" s="160">
        <f>IF(B2533="",0,MIN(IF($N2533="Other Bond TM",ModelParameters!$N$21,1)*(P2533*Q2533+R2533),1))</f>
        <v>0.047501007347601144</v>
      </c>
      <c r="T2533" s="85">
        <f>IF(B2533="",0,$S2533*$K2533)</f>
        <v>877.30728818334608</v>
      </c>
      <c r="U2533" s="85">
        <f>IF(B2533="",0,IF(OR(H2533=MappingTables!$C$34,H2533=MappingTables!$C$35),T2533,0))</f>
        <v>0</v>
      </c>
      <c r="V2533" s="85">
        <f>IF(ISNA(IF(AND(VLOOKUP(CONCATENATE($D2533,$G2533),CSRFinput!$B:$E,4,0)=0,OR(H2533=MappingTables!$C$34,H2533=MappingTables!$C$35)),1,VLOOKUP(CONCATENATE($D2533,$G2533),CSRFinput!$B:$E,4,0))),0,IF(AND(VLOOKUP(CONCATENATE($D2533,$G2533),CSRFinput!$B:$E,4,0)=0,OR(H2533=MappingTables!$C$34,H2533=MappingTables!$C$35)),1,VLOOKUP(CONCATENATE($D2533,$G2533),CSRFinput!$B:$E,4,0)))</f>
        <v>0.054776304963434752</v>
      </c>
      <c r="W2533" s="85">
        <f>IF(B2533="",0,+$T2533*$V2533)</f>
        <v>48.055651564174904</v>
      </c>
      <c r="X2533" s="85">
        <f>IF(B2533="",0,IF(OR(H2533=MappingTables!$C$34,H2533=MappingTables!$C$35),W2533,0))</f>
        <v>0</v>
      </c>
    </row>
    <row r="2534" spans="2:24" s="0" customFormat="0" ht="15">
      <c r="B2534" s="69">
        <v>22070884</v>
      </c>
      <c r="C2534" s="70" t="s">
        <v>2471</v>
      </c>
      <c r="D2534" s="70" t="s">
        <v>1</v>
      </c>
      <c r="E2534" s="70" t="s">
        <v>1</v>
      </c>
      <c r="F2534" s="70"/>
      <c r="G2534" s="70" t="s">
        <v>61</v>
      </c>
      <c r="H2534" s="70" t="s">
        <v>178</v>
      </c>
      <c r="I2534" s="70" t="s">
        <v>181</v>
      </c>
      <c r="J2534" s="71">
        <f>IF(OR(I2534=0,I2534=""),"unrated",VLOOKUP(I2534,MappingTables!$B$19:$C$31,2,FALSE))</f>
        <v>3</v>
      </c>
      <c r="K2534" s="72">
        <v>254.98126282416644</v>
      </c>
      <c r="L2534" s="70">
        <v>3.643117652622112</v>
      </c>
      <c r="M2534" s="71">
        <f>IF(L2534&lt;1,1,L2534)</f>
        <v>3.643117652622112</v>
      </c>
      <c r="N2534" s="70" t="s">
        <v>141</v>
      </c>
      <c r="O2534" s="71">
        <f>INDEX(DurClassMapping,MATCH(M2534,MappingTables!$D$4:$D$8,-1),1)</f>
        <v>1</v>
      </c>
      <c r="P2534" s="73">
        <f>IF(M2534=$A$1,1,$M2534-INDEX(MappingTables!$E$4:$E$8,MATCH(O2534,MappingTables!$B$4:$B$8,0)))</f>
        <v>3.643117652622112</v>
      </c>
      <c r="Q2534" s="71">
        <f>IF(B2534="",0,INDEX(ModelParameters!$D$6:$K$10,MATCH($O2534,ModelParameters!$B$6:$B$10,0),MATCH($J2534,ModelParameters!$D$5:$K$5,0)))</f>
        <v>0.025</v>
      </c>
      <c r="R2534" s="71">
        <f>IF(B2534="",0,INDEX(ModelParameters!$D$13:$K$17,MATCH($O2534,ModelParameters!$B$13:$B$17,0),MATCH($J2534,ModelParameters!$D$5:$K$5,0)))</f>
        <v>0</v>
      </c>
      <c r="S2534" s="160">
        <f>IF(B2534="",0,MIN(IF($N2534="Other Bond TM",ModelParameters!$N$21,1)*(P2534*Q2534+R2534),1))</f>
        <v>0.0910779413155528</v>
      </c>
      <c r="T2534" s="85">
        <f>IF(B2534="",0,$S2534*$K2534)</f>
        <v>23.223168492064976</v>
      </c>
      <c r="U2534" s="85">
        <f>IF(B2534="",0,IF(OR(H2534=MappingTables!$C$34,H2534=MappingTables!$C$35),T2534,0))</f>
        <v>0</v>
      </c>
      <c r="V2534" s="85">
        <f>IF(ISNA(IF(AND(VLOOKUP(CONCATENATE($D2534,$G2534),CSRFinput!$B:$E,4,0)=0,OR(H2534=MappingTables!$C$34,H2534=MappingTables!$C$35)),1,VLOOKUP(CONCATENATE($D2534,$G2534),CSRFinput!$B:$E,4,0))),0,IF(AND(VLOOKUP(CONCATENATE($D2534,$G2534),CSRFinput!$B:$E,4,0)=0,OR(H2534=MappingTables!$C$34,H2534=MappingTables!$C$35)),1,VLOOKUP(CONCATENATE($D2534,$G2534),CSRFinput!$B:$E,4,0)))</f>
        <v>0.054776304963434752</v>
      </c>
      <c r="W2534" s="85">
        <f>IF(B2534="",0,+$T2534*$V2534)</f>
        <v>1.2720793595385802</v>
      </c>
      <c r="X2534" s="85">
        <f>IF(B2534="",0,IF(OR(H2534=MappingTables!$C$34,H2534=MappingTables!$C$35),W2534,0))</f>
        <v>0</v>
      </c>
    </row>
    <row r="2535" spans="2:24" s="0" customFormat="0" ht="15">
      <c r="B2535" s="69">
        <v>8300495</v>
      </c>
      <c r="C2535" s="70" t="s">
        <v>2472</v>
      </c>
      <c r="D2535" s="70" t="s">
        <v>1</v>
      </c>
      <c r="E2535" s="70" t="s">
        <v>1</v>
      </c>
      <c r="F2535" s="70"/>
      <c r="G2535" s="70" t="s">
        <v>61</v>
      </c>
      <c r="H2535" s="70" t="s">
        <v>178</v>
      </c>
      <c r="I2535" s="70" t="s">
        <v>181</v>
      </c>
      <c r="J2535" s="71">
        <f>IF(OR(I2535=0,I2535=""),"unrated",VLOOKUP(I2535,MappingTables!$B$19:$C$31,2,FALSE))</f>
        <v>3</v>
      </c>
      <c r="K2535" s="72">
        <v>8908.6415090518896</v>
      </c>
      <c r="L2535" s="70">
        <v>0.3726057232301504</v>
      </c>
      <c r="M2535" s="71">
        <f>IF(L2535&lt;1,1,L2535)</f>
        <v>1</v>
      </c>
      <c r="N2535" s="70" t="s">
        <v>141</v>
      </c>
      <c r="O2535" s="71">
        <f>INDEX(DurClassMapping,MATCH(M2535,MappingTables!$D$4:$D$8,-1),1)</f>
        <v>1</v>
      </c>
      <c r="P2535" s="73">
        <f>IF(M2535=$A$1,1,$M2535-INDEX(MappingTables!$E$4:$E$8,MATCH(O2535,MappingTables!$B$4:$B$8,0)))</f>
        <v>1</v>
      </c>
      <c r="Q2535" s="71">
        <f>IF(B2535="",0,INDEX(ModelParameters!$D$6:$K$10,MATCH($O2535,ModelParameters!$B$6:$B$10,0),MATCH($J2535,ModelParameters!$D$5:$K$5,0)))</f>
        <v>0.025</v>
      </c>
      <c r="R2535" s="71">
        <f>IF(B2535="",0,INDEX(ModelParameters!$D$13:$K$17,MATCH($O2535,ModelParameters!$B$13:$B$17,0),MATCH($J2535,ModelParameters!$D$5:$K$5,0)))</f>
        <v>0</v>
      </c>
      <c r="S2535" s="160">
        <f>IF(B2535="",0,MIN(IF($N2535="Other Bond TM",ModelParameters!$N$21,1)*(P2535*Q2535+R2535),1))</f>
        <v>0.025</v>
      </c>
      <c r="T2535" s="85">
        <f>IF(B2535="",0,$S2535*$K2535)</f>
        <v>222.71603772629724</v>
      </c>
      <c r="U2535" s="85">
        <f>IF(B2535="",0,IF(OR(H2535=MappingTables!$C$34,H2535=MappingTables!$C$35),T2535,0))</f>
        <v>0</v>
      </c>
      <c r="V2535" s="85">
        <f>IF(ISNA(IF(AND(VLOOKUP(CONCATENATE($D2535,$G2535),CSRFinput!$B:$E,4,0)=0,OR(H2535=MappingTables!$C$34,H2535=MappingTables!$C$35)),1,VLOOKUP(CONCATENATE($D2535,$G2535),CSRFinput!$B:$E,4,0))),0,IF(AND(VLOOKUP(CONCATENATE($D2535,$G2535),CSRFinput!$B:$E,4,0)=0,OR(H2535=MappingTables!$C$34,H2535=MappingTables!$C$35)),1,VLOOKUP(CONCATENATE($D2535,$G2535),CSRFinput!$B:$E,4,0)))</f>
        <v>0.054776304963434752</v>
      </c>
      <c r="W2535" s="85">
        <f>IF(B2535="",0,+$T2535*$V2535)</f>
        <v>12.199561602743498</v>
      </c>
      <c r="X2535" s="85">
        <f>IF(B2535="",0,IF(OR(H2535=MappingTables!$C$34,H2535=MappingTables!$C$35),W2535,0))</f>
        <v>0</v>
      </c>
    </row>
    <row r="2536" spans="2:24" s="0" customFormat="0" ht="15">
      <c r="B2536" s="69">
        <v>18154854</v>
      </c>
      <c r="C2536" s="70" t="s">
        <v>1270</v>
      </c>
      <c r="D2536" s="70" t="s">
        <v>1</v>
      </c>
      <c r="E2536" s="70" t="s">
        <v>1</v>
      </c>
      <c r="F2536" s="70"/>
      <c r="G2536" s="70" t="s">
        <v>61</v>
      </c>
      <c r="H2536" s="70" t="s">
        <v>178</v>
      </c>
      <c r="I2536" s="70" t="s">
        <v>179</v>
      </c>
      <c r="J2536" s="71">
        <f>IF(OR(I2536=0,I2536=""),"unrated",VLOOKUP(I2536,MappingTables!$B$19:$C$31,2,FALSE))</f>
        <v>4</v>
      </c>
      <c r="K2536" s="72">
        <v>110.64210992146604</v>
      </c>
      <c r="L2536" s="70">
        <v>12.179233440019908</v>
      </c>
      <c r="M2536" s="71">
        <f>IF(L2536&lt;1,1,L2536)</f>
        <v>12.179233440019908</v>
      </c>
      <c r="N2536" s="70" t="s">
        <v>141</v>
      </c>
      <c r="O2536" s="71">
        <f>INDEX(DurClassMapping,MATCH(M2536,MappingTables!$D$4:$D$8,-1),1)</f>
        <v>3</v>
      </c>
      <c r="P2536" s="73">
        <f>IF(M2536=$A$1,1,$M2536-INDEX(MappingTables!$E$4:$E$8,MATCH(O2536,MappingTables!$B$4:$B$8,0)))</f>
        <v>2.1792334400199084</v>
      </c>
      <c r="Q2536" s="71">
        <f>IF(B2536="",0,INDEX(ModelParameters!$D$6:$K$10,MATCH($O2536,ModelParameters!$B$6:$B$10,0),MATCH($J2536,ModelParameters!$D$5:$K$5,0)))</f>
        <v>0.018000000000000002</v>
      </c>
      <c r="R2536" s="71">
        <f>IF(B2536="",0,INDEX(ModelParameters!$D$13:$K$17,MATCH($O2536,ModelParameters!$B$13:$B$17,0),MATCH($J2536,ModelParameters!$D$5:$K$5,0)))</f>
        <v>0.34999999999999996</v>
      </c>
      <c r="S2536" s="160">
        <f>IF(B2536="",0,MIN(IF($N2536="Other Bond TM",ModelParameters!$N$21,1)*(P2536*Q2536+R2536),1))</f>
        <v>0.38922620192035832</v>
      </c>
      <c r="T2536" s="85">
        <f>IF(B2536="",0,$S2536*$K2536)</f>
        <v>43.064808217187032</v>
      </c>
      <c r="U2536" s="85">
        <f>IF(B2536="",0,IF(OR(H2536=MappingTables!$C$34,H2536=MappingTables!$C$35),T2536,0))</f>
        <v>0</v>
      </c>
      <c r="V2536" s="85">
        <f>IF(ISNA(IF(AND(VLOOKUP(CONCATENATE($D2536,$G2536),CSRFinput!$B:$E,4,0)=0,OR(H2536=MappingTables!$C$34,H2536=MappingTables!$C$35)),1,VLOOKUP(CONCATENATE($D2536,$G2536),CSRFinput!$B:$E,4,0))),0,IF(AND(VLOOKUP(CONCATENATE($D2536,$G2536),CSRFinput!$B:$E,4,0)=0,OR(H2536=MappingTables!$C$34,H2536=MappingTables!$C$35)),1,VLOOKUP(CONCATENATE($D2536,$G2536),CSRFinput!$B:$E,4,0)))</f>
        <v>0.054776304963434752</v>
      </c>
      <c r="W2536" s="85">
        <f>IF(B2536="",0,+$T2536*$V2536)</f>
        <v>2.3589310680964676</v>
      </c>
      <c r="X2536" s="85">
        <f>IF(B2536="",0,IF(OR(H2536=MappingTables!$C$34,H2536=MappingTables!$C$35),W2536,0))</f>
        <v>0</v>
      </c>
    </row>
    <row r="2537" spans="2:24" s="0" customFormat="0" ht="15">
      <c r="B2537" s="69" t="s">
        <v>2473</v>
      </c>
      <c r="C2537" s="70" t="s">
        <v>2474</v>
      </c>
      <c r="D2537" s="70" t="s">
        <v>1</v>
      </c>
      <c r="E2537" s="70" t="s">
        <v>1</v>
      </c>
      <c r="F2537" s="70"/>
      <c r="G2537" s="70" t="s">
        <v>61</v>
      </c>
      <c r="H2537" s="70" t="s">
        <v>178</v>
      </c>
      <c r="I2537" s="70" t="s">
        <v>181</v>
      </c>
      <c r="J2537" s="71">
        <f>IF(OR(I2537=0,I2537=""),"unrated",VLOOKUP(I2537,MappingTables!$B$19:$C$31,2,FALSE))</f>
        <v>3</v>
      </c>
      <c r="K2537" s="72">
        <v>2068.6695897355852</v>
      </c>
      <c r="L2537" s="70">
        <v>0.5363058131271292</v>
      </c>
      <c r="M2537" s="71">
        <f>IF(L2537&lt;1,1,L2537)</f>
        <v>1</v>
      </c>
      <c r="N2537" s="70" t="s">
        <v>141</v>
      </c>
      <c r="O2537" s="71">
        <f>INDEX(DurClassMapping,MATCH(M2537,MappingTables!$D$4:$D$8,-1),1)</f>
        <v>1</v>
      </c>
      <c r="P2537" s="73">
        <f>IF(M2537=$A$1,1,$M2537-INDEX(MappingTables!$E$4:$E$8,MATCH(O2537,MappingTables!$B$4:$B$8,0)))</f>
        <v>1</v>
      </c>
      <c r="Q2537" s="71">
        <f>IF(B2537="",0,INDEX(ModelParameters!$D$6:$K$10,MATCH($O2537,ModelParameters!$B$6:$B$10,0),MATCH($J2537,ModelParameters!$D$5:$K$5,0)))</f>
        <v>0.025</v>
      </c>
      <c r="R2537" s="71">
        <f>IF(B2537="",0,INDEX(ModelParameters!$D$13:$K$17,MATCH($O2537,ModelParameters!$B$13:$B$17,0),MATCH($J2537,ModelParameters!$D$5:$K$5,0)))</f>
        <v>0</v>
      </c>
      <c r="S2537" s="160">
        <f>IF(B2537="",0,MIN(IF($N2537="Other Bond TM",ModelParameters!$N$21,1)*(P2537*Q2537+R2537),1))</f>
        <v>0.025</v>
      </c>
      <c r="T2537" s="85">
        <f>IF(B2537="",0,$S2537*$K2537)</f>
        <v>51.71673974338964</v>
      </c>
      <c r="U2537" s="85">
        <f>IF(B2537="",0,IF(OR(H2537=MappingTables!$C$34,H2537=MappingTables!$C$35),T2537,0))</f>
        <v>0</v>
      </c>
      <c r="V2537" s="85">
        <f>IF(ISNA(IF(AND(VLOOKUP(CONCATENATE($D2537,$G2537),CSRFinput!$B:$E,4,0)=0,OR(H2537=MappingTables!$C$34,H2537=MappingTables!$C$35)),1,VLOOKUP(CONCATENATE($D2537,$G2537),CSRFinput!$B:$E,4,0))),0,IF(AND(VLOOKUP(CONCATENATE($D2537,$G2537),CSRFinput!$B:$E,4,0)=0,OR(H2537=MappingTables!$C$34,H2537=MappingTables!$C$35)),1,VLOOKUP(CONCATENATE($D2537,$G2537),CSRFinput!$B:$E,4,0)))</f>
        <v>0.054776304963434752</v>
      </c>
      <c r="W2537" s="85">
        <f>IF(B2537="",0,+$T2537*$V2537)</f>
        <v>2.8328519078984972</v>
      </c>
      <c r="X2537" s="85">
        <f>IF(B2537="",0,IF(OR(H2537=MappingTables!$C$34,H2537=MappingTables!$C$35),W2537,0))</f>
        <v>0</v>
      </c>
    </row>
    <row r="2538" spans="2:24" s="0" customFormat="0" ht="15">
      <c r="B2538" s="69" t="s">
        <v>2475</v>
      </c>
      <c r="C2538" s="70" t="s">
        <v>2476</v>
      </c>
      <c r="D2538" s="70" t="s">
        <v>1</v>
      </c>
      <c r="E2538" s="70" t="s">
        <v>1</v>
      </c>
      <c r="F2538" s="70"/>
      <c r="G2538" s="70" t="s">
        <v>61</v>
      </c>
      <c r="H2538" s="70" t="s">
        <v>178</v>
      </c>
      <c r="I2538" s="70" t="s">
        <v>181</v>
      </c>
      <c r="J2538" s="71">
        <f>IF(OR(I2538=0,I2538=""),"unrated",VLOOKUP(I2538,MappingTables!$B$19:$C$31,2,FALSE))</f>
        <v>3</v>
      </c>
      <c r="K2538" s="72">
        <v>670.40727304926256</v>
      </c>
      <c r="L2538" s="70">
        <v>1.3721083796599474</v>
      </c>
      <c r="M2538" s="71">
        <f>IF(L2538&lt;1,1,L2538)</f>
        <v>1.3721083796599474</v>
      </c>
      <c r="N2538" s="70" t="s">
        <v>141</v>
      </c>
      <c r="O2538" s="71">
        <f>INDEX(DurClassMapping,MATCH(M2538,MappingTables!$D$4:$D$8,-1),1)</f>
        <v>1</v>
      </c>
      <c r="P2538" s="73">
        <f>IF(M2538=$A$1,1,$M2538-INDEX(MappingTables!$E$4:$E$8,MATCH(O2538,MappingTables!$B$4:$B$8,0)))</f>
        <v>1.3721083796599474</v>
      </c>
      <c r="Q2538" s="71">
        <f>IF(B2538="",0,INDEX(ModelParameters!$D$6:$K$10,MATCH($O2538,ModelParameters!$B$6:$B$10,0),MATCH($J2538,ModelParameters!$D$5:$K$5,0)))</f>
        <v>0.025</v>
      </c>
      <c r="R2538" s="71">
        <f>IF(B2538="",0,INDEX(ModelParameters!$D$13:$K$17,MATCH($O2538,ModelParameters!$B$13:$B$17,0),MATCH($J2538,ModelParameters!$D$5:$K$5,0)))</f>
        <v>0</v>
      </c>
      <c r="S2538" s="160">
        <f>IF(B2538="",0,MIN(IF($N2538="Other Bond TM",ModelParameters!$N$21,1)*(P2538*Q2538+R2538),1))</f>
        <v>0.034302709491498684</v>
      </c>
      <c r="T2538" s="85">
        <f>IF(B2538="",0,$S2538*$K2538)</f>
        <v>22.996785928396692</v>
      </c>
      <c r="U2538" s="85">
        <f>IF(B2538="",0,IF(OR(H2538=MappingTables!$C$34,H2538=MappingTables!$C$35),T2538,0))</f>
        <v>0</v>
      </c>
      <c r="V2538" s="85">
        <f>IF(ISNA(IF(AND(VLOOKUP(CONCATENATE($D2538,$G2538),CSRFinput!$B:$E,4,0)=0,OR(H2538=MappingTables!$C$34,H2538=MappingTables!$C$35)),1,VLOOKUP(CONCATENATE($D2538,$G2538),CSRFinput!$B:$E,4,0))),0,IF(AND(VLOOKUP(CONCATENATE($D2538,$G2538),CSRFinput!$B:$E,4,0)=0,OR(H2538=MappingTables!$C$34,H2538=MappingTables!$C$35)),1,VLOOKUP(CONCATENATE($D2538,$G2538),CSRFinput!$B:$E,4,0)))</f>
        <v>0.054776304963434752</v>
      </c>
      <c r="W2538" s="85">
        <f>IF(B2538="",0,+$T2538*$V2538)</f>
        <v>1.259678959192682</v>
      </c>
      <c r="X2538" s="85">
        <f>IF(B2538="",0,IF(OR(H2538=MappingTables!$C$34,H2538=MappingTables!$C$35),W2538,0))</f>
        <v>0</v>
      </c>
    </row>
    <row r="2539" spans="2:24" s="0" customFormat="0" ht="15">
      <c r="B2539" s="69">
        <v>14755697</v>
      </c>
      <c r="C2539" s="70" t="s">
        <v>423</v>
      </c>
      <c r="D2539" s="70" t="s">
        <v>1</v>
      </c>
      <c r="E2539" s="70" t="s">
        <v>1</v>
      </c>
      <c r="F2539" s="70"/>
      <c r="G2539" s="70" t="s">
        <v>61</v>
      </c>
      <c r="H2539" s="70" t="s">
        <v>178</v>
      </c>
      <c r="I2539" s="70" t="s">
        <v>188</v>
      </c>
      <c r="J2539" s="71">
        <f>IF(OR(I2539=0,I2539=""),"unrated",VLOOKUP(I2539,MappingTables!$B$19:$C$31,2,FALSE))</f>
        <v>2</v>
      </c>
      <c r="K2539" s="72">
        <v>1020.4683975683508</v>
      </c>
      <c r="L2539" s="70">
        <v>1.2002418878287364</v>
      </c>
      <c r="M2539" s="71">
        <f>IF(L2539&lt;1,1,L2539)</f>
        <v>1.2002418878287364</v>
      </c>
      <c r="N2539" s="70" t="s">
        <v>141</v>
      </c>
      <c r="O2539" s="71">
        <f>INDEX(DurClassMapping,MATCH(M2539,MappingTables!$D$4:$D$8,-1),1)</f>
        <v>1</v>
      </c>
      <c r="P2539" s="73">
        <f>IF(M2539=$A$1,1,$M2539-INDEX(MappingTables!$E$4:$E$8,MATCH(O2539,MappingTables!$B$4:$B$8,0)))</f>
        <v>1.2002418878287364</v>
      </c>
      <c r="Q2539" s="71">
        <f>IF(B2539="",0,INDEX(ModelParameters!$D$6:$K$10,MATCH($O2539,ModelParameters!$B$6:$B$10,0),MATCH($J2539,ModelParameters!$D$5:$K$5,0)))</f>
        <v>0.013999999999999998</v>
      </c>
      <c r="R2539" s="71">
        <f>IF(B2539="",0,INDEX(ModelParameters!$D$13:$K$17,MATCH($O2539,ModelParameters!$B$13:$B$17,0),MATCH($J2539,ModelParameters!$D$5:$K$5,0)))</f>
        <v>0</v>
      </c>
      <c r="S2539" s="160">
        <f>IF(B2539="",0,MIN(IF($N2539="Other Bond TM",ModelParameters!$N$21,1)*(P2539*Q2539+R2539),1))</f>
        <v>0.016803386429602308</v>
      </c>
      <c r="T2539" s="85">
        <f>IF(B2539="",0,$S2539*$K2539)</f>
        <v>17.147324823538038</v>
      </c>
      <c r="U2539" s="85">
        <f>IF(B2539="",0,IF(OR(H2539=MappingTables!$C$34,H2539=MappingTables!$C$35),T2539,0))</f>
        <v>0</v>
      </c>
      <c r="V2539" s="85">
        <f>IF(ISNA(IF(AND(VLOOKUP(CONCATENATE($D2539,$G2539),CSRFinput!$B:$E,4,0)=0,OR(H2539=MappingTables!$C$34,H2539=MappingTables!$C$35)),1,VLOOKUP(CONCATENATE($D2539,$G2539),CSRFinput!$B:$E,4,0))),0,IF(AND(VLOOKUP(CONCATENATE($D2539,$G2539),CSRFinput!$B:$E,4,0)=0,OR(H2539=MappingTables!$C$34,H2539=MappingTables!$C$35)),1,VLOOKUP(CONCATENATE($D2539,$G2539),CSRFinput!$B:$E,4,0)))</f>
        <v>0.054776304963434752</v>
      </c>
      <c r="W2539" s="85">
        <f>IF(B2539="",0,+$T2539*$V2539)</f>
        <v>0.93926709384119472</v>
      </c>
      <c r="X2539" s="85">
        <f>IF(B2539="",0,IF(OR(H2539=MappingTables!$C$34,H2539=MappingTables!$C$35),W2539,0))</f>
        <v>0</v>
      </c>
    </row>
    <row r="2540" spans="2:24" s="0" customFormat="0" ht="15">
      <c r="B2540" s="69">
        <v>18085384</v>
      </c>
      <c r="C2540" s="70" t="s">
        <v>310</v>
      </c>
      <c r="D2540" s="70" t="s">
        <v>1</v>
      </c>
      <c r="E2540" s="70" t="s">
        <v>1</v>
      </c>
      <c r="F2540" s="70"/>
      <c r="G2540" s="70" t="s">
        <v>61</v>
      </c>
      <c r="H2540" s="70" t="s">
        <v>178</v>
      </c>
      <c r="I2540" s="70" t="s">
        <v>181</v>
      </c>
      <c r="J2540" s="71">
        <f>IF(OR(I2540=0,I2540=""),"unrated",VLOOKUP(I2540,MappingTables!$B$19:$C$31,2,FALSE))</f>
        <v>3</v>
      </c>
      <c r="K2540" s="72">
        <v>9397.380340212056</v>
      </c>
      <c r="L2540" s="70">
        <v>4.3503667358781576</v>
      </c>
      <c r="M2540" s="71">
        <f>IF(L2540&lt;1,1,L2540)</f>
        <v>4.3503667358781576</v>
      </c>
      <c r="N2540" s="70" t="s">
        <v>141</v>
      </c>
      <c r="O2540" s="71">
        <f>INDEX(DurClassMapping,MATCH(M2540,MappingTables!$D$4:$D$8,-1),1)</f>
        <v>1</v>
      </c>
      <c r="P2540" s="73">
        <f>IF(M2540=$A$1,1,$M2540-INDEX(MappingTables!$E$4:$E$8,MATCH(O2540,MappingTables!$B$4:$B$8,0)))</f>
        <v>4.3503667358781576</v>
      </c>
      <c r="Q2540" s="71">
        <f>IF(B2540="",0,INDEX(ModelParameters!$D$6:$K$10,MATCH($O2540,ModelParameters!$B$6:$B$10,0),MATCH($J2540,ModelParameters!$D$5:$K$5,0)))</f>
        <v>0.025</v>
      </c>
      <c r="R2540" s="71">
        <f>IF(B2540="",0,INDEX(ModelParameters!$D$13:$K$17,MATCH($O2540,ModelParameters!$B$13:$B$17,0),MATCH($J2540,ModelParameters!$D$5:$K$5,0)))</f>
        <v>0</v>
      </c>
      <c r="S2540" s="160">
        <f>IF(B2540="",0,MIN(IF($N2540="Other Bond TM",ModelParameters!$N$21,1)*(P2540*Q2540+R2540),1))</f>
        <v>0.10875916839695394</v>
      </c>
      <c r="T2540" s="85">
        <f>IF(B2540="",0,$S2540*$K2540)</f>
        <v>1022.0512709113472</v>
      </c>
      <c r="U2540" s="85">
        <f>IF(B2540="",0,IF(OR(H2540=MappingTables!$C$34,H2540=MappingTables!$C$35),T2540,0))</f>
        <v>0</v>
      </c>
      <c r="V2540" s="85">
        <f>IF(ISNA(IF(AND(VLOOKUP(CONCATENATE($D2540,$G2540),CSRFinput!$B:$E,4,0)=0,OR(H2540=MappingTables!$C$34,H2540=MappingTables!$C$35)),1,VLOOKUP(CONCATENATE($D2540,$G2540),CSRFinput!$B:$E,4,0))),0,IF(AND(VLOOKUP(CONCATENATE($D2540,$G2540),CSRFinput!$B:$E,4,0)=0,OR(H2540=MappingTables!$C$34,H2540=MappingTables!$C$35)),1,VLOOKUP(CONCATENATE($D2540,$G2540),CSRFinput!$B:$E,4,0)))</f>
        <v>0.054776304963434752</v>
      </c>
      <c r="W2540" s="85">
        <f>IF(B2540="",0,+$T2540*$V2540)</f>
        <v>55.984192103706032</v>
      </c>
      <c r="X2540" s="85">
        <f>IF(B2540="",0,IF(OR(H2540=MappingTables!$C$34,H2540=MappingTables!$C$35),W2540,0))</f>
        <v>0</v>
      </c>
    </row>
    <row r="2541" spans="2:24" s="0" customFormat="0" ht="15">
      <c r="B2541" s="69">
        <v>15774239</v>
      </c>
      <c r="C2541" s="70" t="s">
        <v>2477</v>
      </c>
      <c r="D2541" s="70" t="s">
        <v>1</v>
      </c>
      <c r="E2541" s="70" t="s">
        <v>1</v>
      </c>
      <c r="F2541" s="70"/>
      <c r="G2541" s="70" t="s">
        <v>61</v>
      </c>
      <c r="H2541" s="70" t="s">
        <v>178</v>
      </c>
      <c r="I2541" s="70" t="s">
        <v>181</v>
      </c>
      <c r="J2541" s="71">
        <f>IF(OR(I2541=0,I2541=""),"unrated",VLOOKUP(I2541,MappingTables!$B$19:$C$31,2,FALSE))</f>
        <v>3</v>
      </c>
      <c r="K2541" s="72">
        <v>232.34170868581592</v>
      </c>
      <c r="L2541" s="70">
        <v>0.37808460023303752</v>
      </c>
      <c r="M2541" s="71">
        <f>IF(L2541&lt;1,1,L2541)</f>
        <v>1</v>
      </c>
      <c r="N2541" s="70" t="s">
        <v>141</v>
      </c>
      <c r="O2541" s="71">
        <f>INDEX(DurClassMapping,MATCH(M2541,MappingTables!$D$4:$D$8,-1),1)</f>
        <v>1</v>
      </c>
      <c r="P2541" s="73">
        <f>IF(M2541=$A$1,1,$M2541-INDEX(MappingTables!$E$4:$E$8,MATCH(O2541,MappingTables!$B$4:$B$8,0)))</f>
        <v>1</v>
      </c>
      <c r="Q2541" s="71">
        <f>IF(B2541="",0,INDEX(ModelParameters!$D$6:$K$10,MATCH($O2541,ModelParameters!$B$6:$B$10,0),MATCH($J2541,ModelParameters!$D$5:$K$5,0)))</f>
        <v>0.025</v>
      </c>
      <c r="R2541" s="71">
        <f>IF(B2541="",0,INDEX(ModelParameters!$D$13:$K$17,MATCH($O2541,ModelParameters!$B$13:$B$17,0),MATCH($J2541,ModelParameters!$D$5:$K$5,0)))</f>
        <v>0</v>
      </c>
      <c r="S2541" s="160">
        <f>IF(B2541="",0,MIN(IF($N2541="Other Bond TM",ModelParameters!$N$21,1)*(P2541*Q2541+R2541),1))</f>
        <v>0.025</v>
      </c>
      <c r="T2541" s="85">
        <f>IF(B2541="",0,$S2541*$K2541)</f>
        <v>5.8085427171453984</v>
      </c>
      <c r="U2541" s="85">
        <f>IF(B2541="",0,IF(OR(H2541=MappingTables!$C$34,H2541=MappingTables!$C$35),T2541,0))</f>
        <v>0</v>
      </c>
      <c r="V2541" s="85">
        <f>IF(ISNA(IF(AND(VLOOKUP(CONCATENATE($D2541,$G2541),CSRFinput!$B:$E,4,0)=0,OR(H2541=MappingTables!$C$34,H2541=MappingTables!$C$35)),1,VLOOKUP(CONCATENATE($D2541,$G2541),CSRFinput!$B:$E,4,0))),0,IF(AND(VLOOKUP(CONCATENATE($D2541,$G2541),CSRFinput!$B:$E,4,0)=0,OR(H2541=MappingTables!$C$34,H2541=MappingTables!$C$35)),1,VLOOKUP(CONCATENATE($D2541,$G2541),CSRFinput!$B:$E,4,0)))</f>
        <v>0.054776304963434752</v>
      </c>
      <c r="W2541" s="85">
        <f>IF(B2541="",0,+$T2541*$V2541)</f>
        <v>0.31817050726749428</v>
      </c>
      <c r="X2541" s="85">
        <f>IF(B2541="",0,IF(OR(H2541=MappingTables!$C$34,H2541=MappingTables!$C$35),W2541,0))</f>
        <v>0</v>
      </c>
    </row>
    <row r="2542" spans="2:24" s="0" customFormat="0" ht="15">
      <c r="B2542" s="69">
        <v>17220547</v>
      </c>
      <c r="C2542" s="70" t="s">
        <v>1050</v>
      </c>
      <c r="D2542" s="70" t="s">
        <v>1</v>
      </c>
      <c r="E2542" s="70" t="s">
        <v>1</v>
      </c>
      <c r="F2542" s="70"/>
      <c r="G2542" s="70" t="s">
        <v>61</v>
      </c>
      <c r="H2542" s="70" t="s">
        <v>178</v>
      </c>
      <c r="I2542" s="70" t="s">
        <v>181</v>
      </c>
      <c r="J2542" s="71">
        <f>IF(OR(I2542=0,I2542=""),"unrated",VLOOKUP(I2542,MappingTables!$B$19:$C$31,2,FALSE))</f>
        <v>3</v>
      </c>
      <c r="K2542" s="72">
        <v>8240.06897486868</v>
      </c>
      <c r="L2542" s="70">
        <v>3.4467141912865052</v>
      </c>
      <c r="M2542" s="71">
        <f>IF(L2542&lt;1,1,L2542)</f>
        <v>3.4467141912865052</v>
      </c>
      <c r="N2542" s="70" t="s">
        <v>141</v>
      </c>
      <c r="O2542" s="71">
        <f>INDEX(DurClassMapping,MATCH(M2542,MappingTables!$D$4:$D$8,-1),1)</f>
        <v>1</v>
      </c>
      <c r="P2542" s="73">
        <f>IF(M2542=$A$1,1,$M2542-INDEX(MappingTables!$E$4:$E$8,MATCH(O2542,MappingTables!$B$4:$B$8,0)))</f>
        <v>3.4467141912865052</v>
      </c>
      <c r="Q2542" s="71">
        <f>IF(B2542="",0,INDEX(ModelParameters!$D$6:$K$10,MATCH($O2542,ModelParameters!$B$6:$B$10,0),MATCH($J2542,ModelParameters!$D$5:$K$5,0)))</f>
        <v>0.025</v>
      </c>
      <c r="R2542" s="71">
        <f>IF(B2542="",0,INDEX(ModelParameters!$D$13:$K$17,MATCH($O2542,ModelParameters!$B$13:$B$17,0),MATCH($J2542,ModelParameters!$D$5:$K$5,0)))</f>
        <v>0</v>
      </c>
      <c r="S2542" s="160">
        <f>IF(B2542="",0,MIN(IF($N2542="Other Bond TM",ModelParameters!$N$21,1)*(P2542*Q2542+R2542),1))</f>
        <v>0.08616785478216264</v>
      </c>
      <c r="T2542" s="85">
        <f>IF(B2542="",0,$S2542*$K2542)</f>
        <v>710.02906682148816</v>
      </c>
      <c r="U2542" s="85">
        <f>IF(B2542="",0,IF(OR(H2542=MappingTables!$C$34,H2542=MappingTables!$C$35),T2542,0))</f>
        <v>0</v>
      </c>
      <c r="V2542" s="85">
        <f>IF(ISNA(IF(AND(VLOOKUP(CONCATENATE($D2542,$G2542),CSRFinput!$B:$E,4,0)=0,OR(H2542=MappingTables!$C$34,H2542=MappingTables!$C$35)),1,VLOOKUP(CONCATENATE($D2542,$G2542),CSRFinput!$B:$E,4,0))),0,IF(AND(VLOOKUP(CONCATENATE($D2542,$G2542),CSRFinput!$B:$E,4,0)=0,OR(H2542=MappingTables!$C$34,H2542=MappingTables!$C$35)),1,VLOOKUP(CONCATENATE($D2542,$G2542),CSRFinput!$B:$E,4,0)))</f>
        <v>0.054776304963434752</v>
      </c>
      <c r="W2542" s="85">
        <f>IF(B2542="",0,+$T2542*$V2542)</f>
        <v>38.892768697116832</v>
      </c>
      <c r="X2542" s="85">
        <f>IF(B2542="",0,IF(OR(H2542=MappingTables!$C$34,H2542=MappingTables!$C$35),W2542,0))</f>
        <v>0</v>
      </c>
    </row>
    <row r="2543" spans="2:24" s="0" customFormat="0" ht="15">
      <c r="B2543" s="69" t="s">
        <v>672</v>
      </c>
      <c r="C2543" s="70" t="s">
        <v>673</v>
      </c>
      <c r="D2543" s="70" t="s">
        <v>1</v>
      </c>
      <c r="E2543" s="70" t="s">
        <v>1</v>
      </c>
      <c r="F2543" s="70"/>
      <c r="G2543" s="70" t="s">
        <v>61</v>
      </c>
      <c r="H2543" s="70" t="s">
        <v>178</v>
      </c>
      <c r="I2543" s="70" t="s">
        <v>220</v>
      </c>
      <c r="J2543" s="71">
        <f>IF(OR(I2543=0,I2543=""),"unrated",VLOOKUP(I2543,MappingTables!$B$19:$C$31,2,FALSE))</f>
        <v>1</v>
      </c>
      <c r="K2543" s="72">
        <v>0.183693266443</v>
      </c>
      <c r="L2543" s="70">
        <v>1.2925081368673674</v>
      </c>
      <c r="M2543" s="71">
        <f>IF(L2543&lt;1,1,L2543)</f>
        <v>1.2925081368673674</v>
      </c>
      <c r="N2543" s="70" t="s">
        <v>141</v>
      </c>
      <c r="O2543" s="71">
        <f>INDEX(DurClassMapping,MATCH(M2543,MappingTables!$D$4:$D$8,-1),1)</f>
        <v>1</v>
      </c>
      <c r="P2543" s="73">
        <f>IF(M2543=$A$1,1,$M2543-INDEX(MappingTables!$E$4:$E$8,MATCH(O2543,MappingTables!$B$4:$B$8,0)))</f>
        <v>1.2925081368673674</v>
      </c>
      <c r="Q2543" s="71">
        <f>IF(B2543="",0,INDEX(ModelParameters!$D$6:$K$10,MATCH($O2543,ModelParameters!$B$6:$B$10,0),MATCH($J2543,ModelParameters!$D$5:$K$5,0)))</f>
        <v>0.011000000000000002</v>
      </c>
      <c r="R2543" s="71">
        <f>IF(B2543="",0,INDEX(ModelParameters!$D$13:$K$17,MATCH($O2543,ModelParameters!$B$13:$B$17,0),MATCH($J2543,ModelParameters!$D$5:$K$5,0)))</f>
        <v>0</v>
      </c>
      <c r="S2543" s="160">
        <f>IF(B2543="",0,MIN(IF($N2543="Other Bond TM",ModelParameters!$N$21,1)*(P2543*Q2543+R2543),1))</f>
        <v>0.014217589505541042</v>
      </c>
      <c r="T2543" s="85">
        <f>IF(B2543="",0,$S2543*$K2543)</f>
        <v>0.0026116754572185516</v>
      </c>
      <c r="U2543" s="85">
        <f>IF(B2543="",0,IF(OR(H2543=MappingTables!$C$34,H2543=MappingTables!$C$35),T2543,0))</f>
        <v>0</v>
      </c>
      <c r="V2543" s="85">
        <f>IF(ISNA(IF(AND(VLOOKUP(CONCATENATE($D2543,$G2543),CSRFinput!$B:$E,4,0)=0,OR(H2543=MappingTables!$C$34,H2543=MappingTables!$C$35)),1,VLOOKUP(CONCATENATE($D2543,$G2543),CSRFinput!$B:$E,4,0))),0,IF(AND(VLOOKUP(CONCATENATE($D2543,$G2543),CSRFinput!$B:$E,4,0)=0,OR(H2543=MappingTables!$C$34,H2543=MappingTables!$C$35)),1,VLOOKUP(CONCATENATE($D2543,$G2543),CSRFinput!$B:$E,4,0)))</f>
        <v>0.054776304963434752</v>
      </c>
      <c r="W2543" s="85">
        <f>IF(B2543="",0,+$T2543*$V2543)</f>
        <v>0.00014305793131012128</v>
      </c>
      <c r="X2543" s="85">
        <f>IF(B2543="",0,IF(OR(H2543=MappingTables!$C$34,H2543=MappingTables!$C$35),W2543,0))</f>
        <v>0</v>
      </c>
    </row>
    <row r="2544" spans="2:24" s="0" customFormat="0" ht="15">
      <c r="B2544" s="69" t="s">
        <v>2478</v>
      </c>
      <c r="C2544" s="70" t="s">
        <v>2479</v>
      </c>
      <c r="D2544" s="70" t="s">
        <v>1</v>
      </c>
      <c r="E2544" s="70" t="s">
        <v>1</v>
      </c>
      <c r="F2544" s="70"/>
      <c r="G2544" s="70" t="s">
        <v>61</v>
      </c>
      <c r="H2544" s="70" t="s">
        <v>178</v>
      </c>
      <c r="I2544" s="70" t="s">
        <v>513</v>
      </c>
      <c r="J2544" s="71">
        <f>IF(OR(I2544=0,I2544=""),"unrated",VLOOKUP(I2544,MappingTables!$B$19:$C$31,2,FALSE))</f>
        <v>6</v>
      </c>
      <c r="K2544" s="72">
        <v>996.38866108152736</v>
      </c>
      <c r="L2544" s="70">
        <v>16.58469578721466</v>
      </c>
      <c r="M2544" s="71">
        <f>IF(L2544&lt;1,1,L2544)</f>
        <v>16.58469578721466</v>
      </c>
      <c r="N2544" s="70" t="s">
        <v>141</v>
      </c>
      <c r="O2544" s="71">
        <f>INDEX(DurClassMapping,MATCH(M2544,MappingTables!$D$4:$D$8,-1),1)</f>
        <v>4</v>
      </c>
      <c r="P2544" s="73">
        <f>IF(M2544=$A$1,1,$M2544-INDEX(MappingTables!$E$4:$E$8,MATCH(O2544,MappingTables!$B$4:$B$8,0)))</f>
        <v>1.5846957872146596</v>
      </c>
      <c r="Q2544" s="71">
        <f>IF(B2544="",0,INDEX(ModelParameters!$D$6:$K$10,MATCH($O2544,ModelParameters!$B$6:$B$10,0),MATCH($J2544,ModelParameters!$D$5:$K$5,0)))</f>
        <v>0.005</v>
      </c>
      <c r="R2544" s="71">
        <f>IF(B2544="",0,INDEX(ModelParameters!$D$13:$K$17,MATCH($O2544,ModelParameters!$B$13:$B$17,0),MATCH($J2544,ModelParameters!$D$5:$K$5,0)))</f>
        <v>0.61</v>
      </c>
      <c r="S2544" s="160">
        <f>IF(B2544="",0,MIN(IF($N2544="Other Bond TM",ModelParameters!$N$21,1)*(P2544*Q2544+R2544),1))</f>
        <v>0.61792347893607328</v>
      </c>
      <c r="T2544" s="85">
        <f>IF(B2544="",0,$S2544*$K2544)</f>
        <v>615.69194782795344</v>
      </c>
      <c r="U2544" s="85">
        <f>IF(B2544="",0,IF(OR(H2544=MappingTables!$C$34,H2544=MappingTables!$C$35),T2544,0))</f>
        <v>0</v>
      </c>
      <c r="V2544" s="85">
        <f>IF(ISNA(IF(AND(VLOOKUP(CONCATENATE($D2544,$G2544),CSRFinput!$B:$E,4,0)=0,OR(H2544=MappingTables!$C$34,H2544=MappingTables!$C$35)),1,VLOOKUP(CONCATENATE($D2544,$G2544),CSRFinput!$B:$E,4,0))),0,IF(AND(VLOOKUP(CONCATENATE($D2544,$G2544),CSRFinput!$B:$E,4,0)=0,OR(H2544=MappingTables!$C$34,H2544=MappingTables!$C$35)),1,VLOOKUP(CONCATENATE($D2544,$G2544),CSRFinput!$B:$E,4,0)))</f>
        <v>0.054776304963434752</v>
      </c>
      <c r="W2544" s="85">
        <f>IF(B2544="",0,+$T2544*$V2544)</f>
        <v>33.72532989775514</v>
      </c>
      <c r="X2544" s="85">
        <f>IF(B2544="",0,IF(OR(H2544=MappingTables!$C$34,H2544=MappingTables!$C$35),W2544,0))</f>
        <v>0</v>
      </c>
    </row>
    <row r="2545" spans="2:24" s="0" customFormat="0" ht="15">
      <c r="B2545" s="69">
        <v>11854063</v>
      </c>
      <c r="C2545" s="70" t="s">
        <v>1098</v>
      </c>
      <c r="D2545" s="70" t="s">
        <v>1</v>
      </c>
      <c r="E2545" s="70" t="s">
        <v>1</v>
      </c>
      <c r="F2545" s="70"/>
      <c r="G2545" s="70" t="s">
        <v>61</v>
      </c>
      <c r="H2545" s="70" t="s">
        <v>178</v>
      </c>
      <c r="I2545" s="70" t="s">
        <v>184</v>
      </c>
      <c r="J2545" s="71">
        <f>IF(OR(I2545=0,I2545=""),"unrated",VLOOKUP(I2545,MappingTables!$B$19:$C$31,2,FALSE))</f>
        <v>5</v>
      </c>
      <c r="K2545" s="72">
        <v>111.01336482624834</v>
      </c>
      <c r="L2545" s="70">
        <v>4.7253665901403456</v>
      </c>
      <c r="M2545" s="71">
        <f>IF(L2545&lt;1,1,L2545)</f>
        <v>4.7253665901403456</v>
      </c>
      <c r="N2545" s="70" t="s">
        <v>141</v>
      </c>
      <c r="O2545" s="71">
        <f>INDEX(DurClassMapping,MATCH(M2545,MappingTables!$D$4:$D$8,-1),1)</f>
        <v>1</v>
      </c>
      <c r="P2545" s="73">
        <f>IF(M2545=$A$1,1,$M2545-INDEX(MappingTables!$E$4:$E$8,MATCH(O2545,MappingTables!$B$4:$B$8,0)))</f>
        <v>4.7253665901403456</v>
      </c>
      <c r="Q2545" s="71">
        <f>IF(B2545="",0,INDEX(ModelParameters!$D$6:$K$10,MATCH($O2545,ModelParameters!$B$6:$B$10,0),MATCH($J2545,ModelParameters!$D$5:$K$5,0)))</f>
        <v>0.075</v>
      </c>
      <c r="R2545" s="71">
        <f>IF(B2545="",0,INDEX(ModelParameters!$D$13:$K$17,MATCH($O2545,ModelParameters!$B$13:$B$17,0),MATCH($J2545,ModelParameters!$D$5:$K$5,0)))</f>
        <v>0</v>
      </c>
      <c r="S2545" s="160">
        <f>IF(B2545="",0,MIN(IF($N2545="Other Bond TM",ModelParameters!$N$21,1)*(P2545*Q2545+R2545),1))</f>
        <v>0.35440249426052588</v>
      </c>
      <c r="T2545" s="85">
        <f>IF(B2545="",0,$S2545*$K2545)</f>
        <v>39.343413390676144</v>
      </c>
      <c r="U2545" s="85">
        <f>IF(B2545="",0,IF(OR(H2545=MappingTables!$C$34,H2545=MappingTables!$C$35),T2545,0))</f>
        <v>0</v>
      </c>
      <c r="V2545" s="85">
        <f>IF(ISNA(IF(AND(VLOOKUP(CONCATENATE($D2545,$G2545),CSRFinput!$B:$E,4,0)=0,OR(H2545=MappingTables!$C$34,H2545=MappingTables!$C$35)),1,VLOOKUP(CONCATENATE($D2545,$G2545),CSRFinput!$B:$E,4,0))),0,IF(AND(VLOOKUP(CONCATENATE($D2545,$G2545),CSRFinput!$B:$E,4,0)=0,OR(H2545=MappingTables!$C$34,H2545=MappingTables!$C$35)),1,VLOOKUP(CONCATENATE($D2545,$G2545),CSRFinput!$B:$E,4,0)))</f>
        <v>0.054776304963434752</v>
      </c>
      <c r="W2545" s="85">
        <f>IF(B2545="",0,+$T2545*$V2545)</f>
        <v>2.1550868101901588</v>
      </c>
      <c r="X2545" s="85">
        <f>IF(B2545="",0,IF(OR(H2545=MappingTables!$C$34,H2545=MappingTables!$C$35),W2545,0))</f>
        <v>0</v>
      </c>
    </row>
    <row r="2546" spans="2:24" s="0" customFormat="0" ht="15">
      <c r="B2546" s="69">
        <v>21838363</v>
      </c>
      <c r="C2546" s="70" t="s">
        <v>2480</v>
      </c>
      <c r="D2546" s="70" t="s">
        <v>1</v>
      </c>
      <c r="E2546" s="70" t="s">
        <v>1</v>
      </c>
      <c r="F2546" s="70"/>
      <c r="G2546" s="70" t="s">
        <v>61</v>
      </c>
      <c r="H2546" s="70" t="s">
        <v>178</v>
      </c>
      <c r="I2546" s="70" t="s">
        <v>181</v>
      </c>
      <c r="J2546" s="71">
        <f>IF(OR(I2546=0,I2546=""),"unrated",VLOOKUP(I2546,MappingTables!$B$19:$C$31,2,FALSE))</f>
        <v>3</v>
      </c>
      <c r="K2546" s="72">
        <v>25597.051205520416</v>
      </c>
      <c r="L2546" s="70">
        <v>5.22041681769788</v>
      </c>
      <c r="M2546" s="71">
        <f>IF(L2546&lt;1,1,L2546)</f>
        <v>5.22041681769788</v>
      </c>
      <c r="N2546" s="70" t="s">
        <v>141</v>
      </c>
      <c r="O2546" s="71">
        <f>INDEX(DurClassMapping,MATCH(M2546,MappingTables!$D$4:$D$8,-1),1)</f>
        <v>2</v>
      </c>
      <c r="P2546" s="73">
        <f>IF(M2546=$A$1,1,$M2546-INDEX(MappingTables!$E$4:$E$8,MATCH(O2546,MappingTables!$B$4:$B$8,0)))</f>
        <v>0.22041681769788024</v>
      </c>
      <c r="Q2546" s="71">
        <f>IF(B2546="",0,INDEX(ModelParameters!$D$6:$K$10,MATCH($O2546,ModelParameters!$B$6:$B$10,0),MATCH($J2546,ModelParameters!$D$5:$K$5,0)))</f>
        <v>0.015</v>
      </c>
      <c r="R2546" s="71">
        <f>IF(B2546="",0,INDEX(ModelParameters!$D$13:$K$17,MATCH($O2546,ModelParameters!$B$13:$B$17,0),MATCH($J2546,ModelParameters!$D$5:$K$5,0)))</f>
        <v>0.125</v>
      </c>
      <c r="S2546" s="160">
        <f>IF(B2546="",0,MIN(IF($N2546="Other Bond TM",ModelParameters!$N$21,1)*(P2546*Q2546+R2546),1))</f>
        <v>0.12830625226546822</v>
      </c>
      <c r="T2546" s="85">
        <f>IF(B2546="",0,$S2546*$K2546)</f>
        <v>3284.2617092276096</v>
      </c>
      <c r="U2546" s="85">
        <f>IF(B2546="",0,IF(OR(H2546=MappingTables!$C$34,H2546=MappingTables!$C$35),T2546,0))</f>
        <v>0</v>
      </c>
      <c r="V2546" s="85">
        <f>IF(ISNA(IF(AND(VLOOKUP(CONCATENATE($D2546,$G2546),CSRFinput!$B:$E,4,0)=0,OR(H2546=MappingTables!$C$34,H2546=MappingTables!$C$35)),1,VLOOKUP(CONCATENATE($D2546,$G2546),CSRFinput!$B:$E,4,0))),0,IF(AND(VLOOKUP(CONCATENATE($D2546,$G2546),CSRFinput!$B:$E,4,0)=0,OR(H2546=MappingTables!$C$34,H2546=MappingTables!$C$35)),1,VLOOKUP(CONCATENATE($D2546,$G2546),CSRFinput!$B:$E,4,0)))</f>
        <v>0.054776304963434752</v>
      </c>
      <c r="W2546" s="85">
        <f>IF(B2546="",0,+$T2546*$V2546)</f>
        <v>179.89972096438302</v>
      </c>
      <c r="X2546" s="85">
        <f>IF(B2546="",0,IF(OR(H2546=MappingTables!$C$34,H2546=MappingTables!$C$35),W2546,0))</f>
        <v>0</v>
      </c>
    </row>
    <row r="2547" spans="2:24" s="0" customFormat="0" ht="15">
      <c r="B2547" s="69">
        <v>15774247</v>
      </c>
      <c r="C2547" s="70" t="s">
        <v>2481</v>
      </c>
      <c r="D2547" s="70" t="s">
        <v>1</v>
      </c>
      <c r="E2547" s="70" t="s">
        <v>1</v>
      </c>
      <c r="F2547" s="70"/>
      <c r="G2547" s="70" t="s">
        <v>61</v>
      </c>
      <c r="H2547" s="70" t="s">
        <v>178</v>
      </c>
      <c r="I2547" s="70" t="s">
        <v>188</v>
      </c>
      <c r="J2547" s="71">
        <f>IF(OR(I2547=0,I2547=""),"unrated",VLOOKUP(I2547,MappingTables!$B$19:$C$31,2,FALSE))</f>
        <v>2</v>
      </c>
      <c r="K2547" s="72">
        <v>134.81534115571432</v>
      </c>
      <c r="L2547" s="70">
        <v>0.12602619093729874</v>
      </c>
      <c r="M2547" s="71">
        <f>IF(L2547&lt;1,1,L2547)</f>
        <v>1</v>
      </c>
      <c r="N2547" s="70" t="s">
        <v>141</v>
      </c>
      <c r="O2547" s="71">
        <f>INDEX(DurClassMapping,MATCH(M2547,MappingTables!$D$4:$D$8,-1),1)</f>
        <v>1</v>
      </c>
      <c r="P2547" s="73">
        <f>IF(M2547=$A$1,1,$M2547-INDEX(MappingTables!$E$4:$E$8,MATCH(O2547,MappingTables!$B$4:$B$8,0)))</f>
        <v>1</v>
      </c>
      <c r="Q2547" s="71">
        <f>IF(B2547="",0,INDEX(ModelParameters!$D$6:$K$10,MATCH($O2547,ModelParameters!$B$6:$B$10,0),MATCH($J2547,ModelParameters!$D$5:$K$5,0)))</f>
        <v>0.013999999999999998</v>
      </c>
      <c r="R2547" s="71">
        <f>IF(B2547="",0,INDEX(ModelParameters!$D$13:$K$17,MATCH($O2547,ModelParameters!$B$13:$B$17,0),MATCH($J2547,ModelParameters!$D$5:$K$5,0)))</f>
        <v>0</v>
      </c>
      <c r="S2547" s="160">
        <f>IF(B2547="",0,MIN(IF($N2547="Other Bond TM",ModelParameters!$N$21,1)*(P2547*Q2547+R2547),1))</f>
        <v>0.013999999999999998</v>
      </c>
      <c r="T2547" s="85">
        <f>IF(B2547="",0,$S2547*$K2547)</f>
        <v>1.88741477618</v>
      </c>
      <c r="U2547" s="85">
        <f>IF(B2547="",0,IF(OR(H2547=MappingTables!$C$34,H2547=MappingTables!$C$35),T2547,0))</f>
        <v>0</v>
      </c>
      <c r="V2547" s="85">
        <f>IF(ISNA(IF(AND(VLOOKUP(CONCATENATE($D2547,$G2547),CSRFinput!$B:$E,4,0)=0,OR(H2547=MappingTables!$C$34,H2547=MappingTables!$C$35)),1,VLOOKUP(CONCATENATE($D2547,$G2547),CSRFinput!$B:$E,4,0))),0,IF(AND(VLOOKUP(CONCATENATE($D2547,$G2547),CSRFinput!$B:$E,4,0)=0,OR(H2547=MappingTables!$C$34,H2547=MappingTables!$C$35)),1,VLOOKUP(CONCATENATE($D2547,$G2547),CSRFinput!$B:$E,4,0)))</f>
        <v>0.054776304963434752</v>
      </c>
      <c r="W2547" s="85">
        <f>IF(B2547="",0,+$T2547*$V2547)</f>
        <v>0.10338560737252864</v>
      </c>
      <c r="X2547" s="85">
        <f>IF(B2547="",0,IF(OR(H2547=MappingTables!$C$34,H2547=MappingTables!$C$35),W2547,0))</f>
        <v>0</v>
      </c>
    </row>
    <row r="2548" spans="2:24" s="0" customFormat="0" ht="15">
      <c r="B2548" s="69">
        <v>12784727</v>
      </c>
      <c r="C2548" s="70" t="s">
        <v>2482</v>
      </c>
      <c r="D2548" s="70" t="s">
        <v>1</v>
      </c>
      <c r="E2548" s="70" t="s">
        <v>1</v>
      </c>
      <c r="F2548" s="70"/>
      <c r="G2548" s="70" t="s">
        <v>61</v>
      </c>
      <c r="H2548" s="70" t="s">
        <v>178</v>
      </c>
      <c r="I2548" s="70" t="s">
        <v>188</v>
      </c>
      <c r="J2548" s="71">
        <f>IF(OR(I2548=0,I2548=""),"unrated",VLOOKUP(I2548,MappingTables!$B$19:$C$31,2,FALSE))</f>
        <v>2</v>
      </c>
      <c r="K2548" s="72">
        <v>131.41432912758284</v>
      </c>
      <c r="L2548" s="70">
        <v>0.80994887554600928</v>
      </c>
      <c r="M2548" s="71">
        <f>IF(L2548&lt;1,1,L2548)</f>
        <v>1</v>
      </c>
      <c r="N2548" s="70" t="s">
        <v>141</v>
      </c>
      <c r="O2548" s="71">
        <f>INDEX(DurClassMapping,MATCH(M2548,MappingTables!$D$4:$D$8,-1),1)</f>
        <v>1</v>
      </c>
      <c r="P2548" s="73">
        <f>IF(M2548=$A$1,1,$M2548-INDEX(MappingTables!$E$4:$E$8,MATCH(O2548,MappingTables!$B$4:$B$8,0)))</f>
        <v>1</v>
      </c>
      <c r="Q2548" s="71">
        <f>IF(B2548="",0,INDEX(ModelParameters!$D$6:$K$10,MATCH($O2548,ModelParameters!$B$6:$B$10,0),MATCH($J2548,ModelParameters!$D$5:$K$5,0)))</f>
        <v>0.013999999999999998</v>
      </c>
      <c r="R2548" s="71">
        <f>IF(B2548="",0,INDEX(ModelParameters!$D$13:$K$17,MATCH($O2548,ModelParameters!$B$13:$B$17,0),MATCH($J2548,ModelParameters!$D$5:$K$5,0)))</f>
        <v>0</v>
      </c>
      <c r="S2548" s="160">
        <f>IF(B2548="",0,MIN(IF($N2548="Other Bond TM",ModelParameters!$N$21,1)*(P2548*Q2548+R2548),1))</f>
        <v>0.013999999999999998</v>
      </c>
      <c r="T2548" s="85">
        <f>IF(B2548="",0,$S2548*$K2548)</f>
        <v>1.8398006077861596</v>
      </c>
      <c r="U2548" s="85">
        <f>IF(B2548="",0,IF(OR(H2548=MappingTables!$C$34,H2548=MappingTables!$C$35),T2548,0))</f>
        <v>0</v>
      </c>
      <c r="V2548" s="85">
        <f>IF(ISNA(IF(AND(VLOOKUP(CONCATENATE($D2548,$G2548),CSRFinput!$B:$E,4,0)=0,OR(H2548=MappingTables!$C$34,H2548=MappingTables!$C$35)),1,VLOOKUP(CONCATENATE($D2548,$G2548),CSRFinput!$B:$E,4,0))),0,IF(AND(VLOOKUP(CONCATENATE($D2548,$G2548),CSRFinput!$B:$E,4,0)=0,OR(H2548=MappingTables!$C$34,H2548=MappingTables!$C$35)),1,VLOOKUP(CONCATENATE($D2548,$G2548),CSRFinput!$B:$E,4,0)))</f>
        <v>0.054776304963434752</v>
      </c>
      <c r="W2548" s="85">
        <f>IF(B2548="",0,+$T2548*$V2548)</f>
        <v>0.1007774791640073</v>
      </c>
      <c r="X2548" s="85">
        <f>IF(B2548="",0,IF(OR(H2548=MappingTables!$C$34,H2548=MappingTables!$C$35),W2548,0))</f>
        <v>0</v>
      </c>
    </row>
    <row r="2549" spans="2:24" s="0" customFormat="0" ht="15">
      <c r="B2549" s="69">
        <v>17055919</v>
      </c>
      <c r="C2549" s="70" t="s">
        <v>2483</v>
      </c>
      <c r="D2549" s="70" t="s">
        <v>1</v>
      </c>
      <c r="E2549" s="70" t="s">
        <v>1</v>
      </c>
      <c r="F2549" s="70"/>
      <c r="G2549" s="70" t="s">
        <v>61</v>
      </c>
      <c r="H2549" s="70" t="s">
        <v>178</v>
      </c>
      <c r="I2549" s="70" t="s">
        <v>188</v>
      </c>
      <c r="J2549" s="71">
        <f>IF(OR(I2549=0,I2549=""),"unrated",VLOOKUP(I2549,MappingTables!$B$19:$C$31,2,FALSE))</f>
        <v>2</v>
      </c>
      <c r="K2549" s="72">
        <v>1220.46118507702</v>
      </c>
      <c r="L2549" s="70">
        <v>0.43237763762654648</v>
      </c>
      <c r="M2549" s="71">
        <f>IF(L2549&lt;1,1,L2549)</f>
        <v>1</v>
      </c>
      <c r="N2549" s="70" t="s">
        <v>141</v>
      </c>
      <c r="O2549" s="71">
        <f>INDEX(DurClassMapping,MATCH(M2549,MappingTables!$D$4:$D$8,-1),1)</f>
        <v>1</v>
      </c>
      <c r="P2549" s="73">
        <f>IF(M2549=$A$1,1,$M2549-INDEX(MappingTables!$E$4:$E$8,MATCH(O2549,MappingTables!$B$4:$B$8,0)))</f>
        <v>1</v>
      </c>
      <c r="Q2549" s="71">
        <f>IF(B2549="",0,INDEX(ModelParameters!$D$6:$K$10,MATCH($O2549,ModelParameters!$B$6:$B$10,0),MATCH($J2549,ModelParameters!$D$5:$K$5,0)))</f>
        <v>0.013999999999999998</v>
      </c>
      <c r="R2549" s="71">
        <f>IF(B2549="",0,INDEX(ModelParameters!$D$13:$K$17,MATCH($O2549,ModelParameters!$B$13:$B$17,0),MATCH($J2549,ModelParameters!$D$5:$K$5,0)))</f>
        <v>0</v>
      </c>
      <c r="S2549" s="160">
        <f>IF(B2549="",0,MIN(IF($N2549="Other Bond TM",ModelParameters!$N$21,1)*(P2549*Q2549+R2549),1))</f>
        <v>0.013999999999999998</v>
      </c>
      <c r="T2549" s="85">
        <f>IF(B2549="",0,$S2549*$K2549)</f>
        <v>17.086456591078278</v>
      </c>
      <c r="U2549" s="85">
        <f>IF(B2549="",0,IF(OR(H2549=MappingTables!$C$34,H2549=MappingTables!$C$35),T2549,0))</f>
        <v>0</v>
      </c>
      <c r="V2549" s="85">
        <f>IF(ISNA(IF(AND(VLOOKUP(CONCATENATE($D2549,$G2549),CSRFinput!$B:$E,4,0)=0,OR(H2549=MappingTables!$C$34,H2549=MappingTables!$C$35)),1,VLOOKUP(CONCATENATE($D2549,$G2549),CSRFinput!$B:$E,4,0))),0,IF(AND(VLOOKUP(CONCATENATE($D2549,$G2549),CSRFinput!$B:$E,4,0)=0,OR(H2549=MappingTables!$C$34,H2549=MappingTables!$C$35)),1,VLOOKUP(CONCATENATE($D2549,$G2549),CSRFinput!$B:$E,4,0)))</f>
        <v>0.054776304963434752</v>
      </c>
      <c r="W2549" s="85">
        <f>IF(B2549="",0,+$T2549*$V2549)</f>
        <v>0.9359329569773936</v>
      </c>
      <c r="X2549" s="85">
        <f>IF(B2549="",0,IF(OR(H2549=MappingTables!$C$34,H2549=MappingTables!$C$35),W2549,0))</f>
        <v>0</v>
      </c>
    </row>
    <row r="2550" spans="2:24" s="0" customFormat="0" ht="15">
      <c r="B2550" s="69">
        <v>19031472</v>
      </c>
      <c r="C2550" s="70" t="s">
        <v>500</v>
      </c>
      <c r="D2550" s="70" t="s">
        <v>1</v>
      </c>
      <c r="E2550" s="70" t="s">
        <v>1</v>
      </c>
      <c r="F2550" s="70"/>
      <c r="G2550" s="70" t="s">
        <v>61</v>
      </c>
      <c r="H2550" s="70" t="s">
        <v>178</v>
      </c>
      <c r="I2550" s="70" t="s">
        <v>216</v>
      </c>
      <c r="J2550" s="71">
        <f>IF(OR(I2550=0,I2550=""),"unrated",VLOOKUP(I2550,MappingTables!$B$19:$C$31,2,FALSE))</f>
        <v>0</v>
      </c>
      <c r="K2550" s="72">
        <v>73.493398366870032</v>
      </c>
      <c r="L2550" s="70">
        <v>0.30932707996031356</v>
      </c>
      <c r="M2550" s="71">
        <f>IF(L2550&lt;1,1,L2550)</f>
        <v>1</v>
      </c>
      <c r="N2550" s="70" t="s">
        <v>141</v>
      </c>
      <c r="O2550" s="71">
        <f>INDEX(DurClassMapping,MATCH(M2550,MappingTables!$D$4:$D$8,-1),1)</f>
        <v>1</v>
      </c>
      <c r="P2550" s="73">
        <f>IF(M2550=$A$1,1,$M2550-INDEX(MappingTables!$E$4:$E$8,MATCH(O2550,MappingTables!$B$4:$B$8,0)))</f>
        <v>1</v>
      </c>
      <c r="Q2550" s="71">
        <f>IF(B2550="",0,INDEX(ModelParameters!$D$6:$K$10,MATCH($O2550,ModelParameters!$B$6:$B$10,0),MATCH($J2550,ModelParameters!$D$5:$K$5,0)))</f>
        <v>0.0090000000000000016</v>
      </c>
      <c r="R2550" s="71">
        <f>IF(B2550="",0,INDEX(ModelParameters!$D$13:$K$17,MATCH($O2550,ModelParameters!$B$13:$B$17,0),MATCH($J2550,ModelParameters!$D$5:$K$5,0)))</f>
        <v>0</v>
      </c>
      <c r="S2550" s="160">
        <f>IF(B2550="",0,MIN(IF($N2550="Other Bond TM",ModelParameters!$N$21,1)*(P2550*Q2550+R2550),1))</f>
        <v>0.0090000000000000016</v>
      </c>
      <c r="T2550" s="85">
        <f>IF(B2550="",0,$S2550*$K2550)</f>
        <v>0.66144058530183048</v>
      </c>
      <c r="U2550" s="85">
        <f>IF(B2550="",0,IF(OR(H2550=MappingTables!$C$34,H2550=MappingTables!$C$35),T2550,0))</f>
        <v>0</v>
      </c>
      <c r="V2550" s="85">
        <f>IF(ISNA(IF(AND(VLOOKUP(CONCATENATE($D2550,$G2550),CSRFinput!$B:$E,4,0)=0,OR(H2550=MappingTables!$C$34,H2550=MappingTables!$C$35)),1,VLOOKUP(CONCATENATE($D2550,$G2550),CSRFinput!$B:$E,4,0))),0,IF(AND(VLOOKUP(CONCATENATE($D2550,$G2550),CSRFinput!$B:$E,4,0)=0,OR(H2550=MappingTables!$C$34,H2550=MappingTables!$C$35)),1,VLOOKUP(CONCATENATE($D2550,$G2550),CSRFinput!$B:$E,4,0)))</f>
        <v>0.054776304963434752</v>
      </c>
      <c r="W2550" s="85">
        <f>IF(B2550="",0,+$T2550*$V2550)</f>
        <v>0.036231271215685848</v>
      </c>
      <c r="X2550" s="85">
        <f>IF(B2550="",0,IF(OR(H2550=MappingTables!$C$34,H2550=MappingTables!$C$35),W2550,0))</f>
        <v>0</v>
      </c>
    </row>
    <row r="2551" spans="2:24" s="0" customFormat="0" ht="15">
      <c r="B2551" s="69" t="s">
        <v>1071</v>
      </c>
      <c r="C2551" s="70" t="s">
        <v>1072</v>
      </c>
      <c r="D2551" s="70" t="s">
        <v>1</v>
      </c>
      <c r="E2551" s="70" t="s">
        <v>1</v>
      </c>
      <c r="F2551" s="70"/>
      <c r="G2551" s="70" t="s">
        <v>61</v>
      </c>
      <c r="H2551" s="70" t="s">
        <v>178</v>
      </c>
      <c r="I2551" s="70" t="s">
        <v>181</v>
      </c>
      <c r="J2551" s="71">
        <f>IF(OR(I2551=0,I2551=""),"unrated",VLOOKUP(I2551,MappingTables!$B$19:$C$31,2,FALSE))</f>
        <v>3</v>
      </c>
      <c r="K2551" s="72">
        <v>165.40958355724448</v>
      </c>
      <c r="L2551" s="70">
        <v>8.1118632123147344</v>
      </c>
      <c r="M2551" s="71">
        <f>IF(L2551&lt;1,1,L2551)</f>
        <v>8.1118632123147344</v>
      </c>
      <c r="N2551" s="70" t="s">
        <v>141</v>
      </c>
      <c r="O2551" s="71">
        <f>INDEX(DurClassMapping,MATCH(M2551,MappingTables!$D$4:$D$8,-1),1)</f>
        <v>2</v>
      </c>
      <c r="P2551" s="73">
        <f>IF(M2551=$A$1,1,$M2551-INDEX(MappingTables!$E$4:$E$8,MATCH(O2551,MappingTables!$B$4:$B$8,0)))</f>
        <v>3.1118632123147344</v>
      </c>
      <c r="Q2551" s="71">
        <f>IF(B2551="",0,INDEX(ModelParameters!$D$6:$K$10,MATCH($O2551,ModelParameters!$B$6:$B$10,0),MATCH($J2551,ModelParameters!$D$5:$K$5,0)))</f>
        <v>0.015</v>
      </c>
      <c r="R2551" s="71">
        <f>IF(B2551="",0,INDEX(ModelParameters!$D$13:$K$17,MATCH($O2551,ModelParameters!$B$13:$B$17,0),MATCH($J2551,ModelParameters!$D$5:$K$5,0)))</f>
        <v>0.125</v>
      </c>
      <c r="S2551" s="160">
        <f>IF(B2551="",0,MIN(IF($N2551="Other Bond TM",ModelParameters!$N$21,1)*(P2551*Q2551+R2551),1))</f>
        <v>0.17167794818472102</v>
      </c>
      <c r="T2551" s="85">
        <f>IF(B2551="",0,$S2551*$K2551)</f>
        <v>28.3971779151969</v>
      </c>
      <c r="U2551" s="85">
        <f>IF(B2551="",0,IF(OR(H2551=MappingTables!$C$34,H2551=MappingTables!$C$35),T2551,0))</f>
        <v>0</v>
      </c>
      <c r="V2551" s="85">
        <f>IF(ISNA(IF(AND(VLOOKUP(CONCATENATE($D2551,$G2551),CSRFinput!$B:$E,4,0)=0,OR(H2551=MappingTables!$C$34,H2551=MappingTables!$C$35)),1,VLOOKUP(CONCATENATE($D2551,$G2551),CSRFinput!$B:$E,4,0))),0,IF(AND(VLOOKUP(CONCATENATE($D2551,$G2551),CSRFinput!$B:$E,4,0)=0,OR(H2551=MappingTables!$C$34,H2551=MappingTables!$C$35)),1,VLOOKUP(CONCATENATE($D2551,$G2551),CSRFinput!$B:$E,4,0)))</f>
        <v>0.054776304963434752</v>
      </c>
      <c r="W2551" s="85">
        <f>IF(B2551="",0,+$T2551*$V2551)</f>
        <v>1.5554924775837398</v>
      </c>
      <c r="X2551" s="85">
        <f>IF(B2551="",0,IF(OR(H2551=MappingTables!$C$34,H2551=MappingTables!$C$35),W2551,0))</f>
        <v>0</v>
      </c>
    </row>
    <row r="2552" spans="2:24" s="0" customFormat="0" ht="15">
      <c r="B2552" s="69">
        <v>17267345</v>
      </c>
      <c r="C2552" s="70" t="s">
        <v>2484</v>
      </c>
      <c r="D2552" s="70" t="s">
        <v>1</v>
      </c>
      <c r="E2552" s="70" t="s">
        <v>1</v>
      </c>
      <c r="F2552" s="70"/>
      <c r="G2552" s="70" t="s">
        <v>61</v>
      </c>
      <c r="H2552" s="70" t="s">
        <v>178</v>
      </c>
      <c r="I2552" s="70" t="s">
        <v>188</v>
      </c>
      <c r="J2552" s="71">
        <f>IF(OR(I2552=0,I2552=""),"unrated",VLOOKUP(I2552,MappingTables!$B$19:$C$31,2,FALSE))</f>
        <v>2</v>
      </c>
      <c r="K2552" s="72">
        <v>1004.5985162546778</v>
      </c>
      <c r="L2552" s="70">
        <v>2.4074606762529136</v>
      </c>
      <c r="M2552" s="71">
        <f>IF(L2552&lt;1,1,L2552)</f>
        <v>2.4074606762529136</v>
      </c>
      <c r="N2552" s="70" t="s">
        <v>141</v>
      </c>
      <c r="O2552" s="71">
        <f>INDEX(DurClassMapping,MATCH(M2552,MappingTables!$D$4:$D$8,-1),1)</f>
        <v>1</v>
      </c>
      <c r="P2552" s="73">
        <f>IF(M2552=$A$1,1,$M2552-INDEX(MappingTables!$E$4:$E$8,MATCH(O2552,MappingTables!$B$4:$B$8,0)))</f>
        <v>2.4074606762529136</v>
      </c>
      <c r="Q2552" s="71">
        <f>IF(B2552="",0,INDEX(ModelParameters!$D$6:$K$10,MATCH($O2552,ModelParameters!$B$6:$B$10,0),MATCH($J2552,ModelParameters!$D$5:$K$5,0)))</f>
        <v>0.013999999999999998</v>
      </c>
      <c r="R2552" s="71">
        <f>IF(B2552="",0,INDEX(ModelParameters!$D$13:$K$17,MATCH($O2552,ModelParameters!$B$13:$B$17,0),MATCH($J2552,ModelParameters!$D$5:$K$5,0)))</f>
        <v>0</v>
      </c>
      <c r="S2552" s="160">
        <f>IF(B2552="",0,MIN(IF($N2552="Other Bond TM",ModelParameters!$N$21,1)*(P2552*Q2552+R2552),1))</f>
        <v>0.033704449467540788</v>
      </c>
      <c r="T2552" s="85">
        <f>IF(B2552="",0,$S2552*$K2552)</f>
        <v>33.859439926272236</v>
      </c>
      <c r="U2552" s="85">
        <f>IF(B2552="",0,IF(OR(H2552=MappingTables!$C$34,H2552=MappingTables!$C$35),T2552,0))</f>
        <v>0</v>
      </c>
      <c r="V2552" s="85">
        <f>IF(ISNA(IF(AND(VLOOKUP(CONCATENATE($D2552,$G2552),CSRFinput!$B:$E,4,0)=0,OR(H2552=MappingTables!$C$34,H2552=MappingTables!$C$35)),1,VLOOKUP(CONCATENATE($D2552,$G2552),CSRFinput!$B:$E,4,0))),0,IF(AND(VLOOKUP(CONCATENATE($D2552,$G2552),CSRFinput!$B:$E,4,0)=0,OR(H2552=MappingTables!$C$34,H2552=MappingTables!$C$35)),1,VLOOKUP(CONCATENATE($D2552,$G2552),CSRFinput!$B:$E,4,0)))</f>
        <v>0.054776304963434752</v>
      </c>
      <c r="W2552" s="85">
        <f>IF(B2552="",0,+$T2552*$V2552)</f>
        <v>1.8546950072925868</v>
      </c>
      <c r="X2552" s="85">
        <f>IF(B2552="",0,IF(OR(H2552=MappingTables!$C$34,H2552=MappingTables!$C$35),W2552,0))</f>
        <v>0</v>
      </c>
    </row>
    <row r="2553" spans="2:24" s="0" customFormat="0" ht="15">
      <c r="B2553" s="69">
        <v>22713415</v>
      </c>
      <c r="C2553" s="70" t="s">
        <v>2485</v>
      </c>
      <c r="D2553" s="70" t="s">
        <v>1</v>
      </c>
      <c r="E2553" s="70" t="s">
        <v>1</v>
      </c>
      <c r="F2553" s="70"/>
      <c r="G2553" s="70" t="s">
        <v>61</v>
      </c>
      <c r="H2553" s="70" t="s">
        <v>178</v>
      </c>
      <c r="I2553" s="70" t="s">
        <v>179</v>
      </c>
      <c r="J2553" s="71">
        <f>IF(OR(I2553=0,I2553=""),"unrated",VLOOKUP(I2553,MappingTables!$B$19:$C$31,2,FALSE))</f>
        <v>4</v>
      </c>
      <c r="K2553" s="72">
        <v>8765.8265224105856</v>
      </c>
      <c r="L2553" s="70">
        <v>3.8577907210872432</v>
      </c>
      <c r="M2553" s="71">
        <f>IF(L2553&lt;1,1,L2553)</f>
        <v>3.8577907210872432</v>
      </c>
      <c r="N2553" s="70" t="s">
        <v>141</v>
      </c>
      <c r="O2553" s="71">
        <f>INDEX(DurClassMapping,MATCH(M2553,MappingTables!$D$4:$D$8,-1),1)</f>
        <v>1</v>
      </c>
      <c r="P2553" s="73">
        <f>IF(M2553=$A$1,1,$M2553-INDEX(MappingTables!$E$4:$E$8,MATCH(O2553,MappingTables!$B$4:$B$8,0)))</f>
        <v>3.8577907210872432</v>
      </c>
      <c r="Q2553" s="71">
        <f>IF(B2553="",0,INDEX(ModelParameters!$D$6:$K$10,MATCH($O2553,ModelParameters!$B$6:$B$10,0),MATCH($J2553,ModelParameters!$D$5:$K$5,0)))</f>
        <v>0.045</v>
      </c>
      <c r="R2553" s="71">
        <f>IF(B2553="",0,INDEX(ModelParameters!$D$13:$K$17,MATCH($O2553,ModelParameters!$B$13:$B$17,0),MATCH($J2553,ModelParameters!$D$5:$K$5,0)))</f>
        <v>0</v>
      </c>
      <c r="S2553" s="160">
        <f>IF(B2553="",0,MIN(IF($N2553="Other Bond TM",ModelParameters!$N$21,1)*(P2553*Q2553+R2553),1))</f>
        <v>0.17360058244892592</v>
      </c>
      <c r="T2553" s="85">
        <f>IF(B2553="",0,$S2553*$K2553)</f>
        <v>1521.7525899367204</v>
      </c>
      <c r="U2553" s="85">
        <f>IF(B2553="",0,IF(OR(H2553=MappingTables!$C$34,H2553=MappingTables!$C$35),T2553,0))</f>
        <v>0</v>
      </c>
      <c r="V2553" s="85">
        <f>IF(ISNA(IF(AND(VLOOKUP(CONCATENATE($D2553,$G2553),CSRFinput!$B:$E,4,0)=0,OR(H2553=MappingTables!$C$34,H2553=MappingTables!$C$35)),1,VLOOKUP(CONCATENATE($D2553,$G2553),CSRFinput!$B:$E,4,0))),0,IF(AND(VLOOKUP(CONCATENATE($D2553,$G2553),CSRFinput!$B:$E,4,0)=0,OR(H2553=MappingTables!$C$34,H2553=MappingTables!$C$35)),1,VLOOKUP(CONCATENATE($D2553,$G2553),CSRFinput!$B:$E,4,0)))</f>
        <v>0.054776304963434752</v>
      </c>
      <c r="W2553" s="85">
        <f>IF(B2553="",0,+$T2553*$V2553)</f>
        <v>83.355983945270464</v>
      </c>
      <c r="X2553" s="85">
        <f>IF(B2553="",0,IF(OR(H2553=MappingTables!$C$34,H2553=MappingTables!$C$35),W2553,0))</f>
        <v>0</v>
      </c>
    </row>
    <row r="2554" spans="2:24" s="0" customFormat="0" ht="15">
      <c r="B2554" s="69">
        <v>6350672</v>
      </c>
      <c r="C2554" s="70" t="s">
        <v>2486</v>
      </c>
      <c r="D2554" s="70" t="s">
        <v>1</v>
      </c>
      <c r="E2554" s="70" t="s">
        <v>1</v>
      </c>
      <c r="F2554" s="70"/>
      <c r="G2554" s="70" t="s">
        <v>61</v>
      </c>
      <c r="H2554" s="70" t="s">
        <v>178</v>
      </c>
      <c r="I2554" s="70" t="s">
        <v>181</v>
      </c>
      <c r="J2554" s="71">
        <f>IF(OR(I2554=0,I2554=""),"unrated",VLOOKUP(I2554,MappingTables!$B$19:$C$31,2,FALSE))</f>
        <v>3</v>
      </c>
      <c r="K2554" s="72">
        <v>2.8420238843481948</v>
      </c>
      <c r="L2554" s="70">
        <v>1.1621333346996948</v>
      </c>
      <c r="M2554" s="71">
        <f>IF(L2554&lt;1,1,L2554)</f>
        <v>1.1621333346996948</v>
      </c>
      <c r="N2554" s="70" t="s">
        <v>141</v>
      </c>
      <c r="O2554" s="71">
        <f>INDEX(DurClassMapping,MATCH(M2554,MappingTables!$D$4:$D$8,-1),1)</f>
        <v>1</v>
      </c>
      <c r="P2554" s="73">
        <f>IF(M2554=$A$1,1,$M2554-INDEX(MappingTables!$E$4:$E$8,MATCH(O2554,MappingTables!$B$4:$B$8,0)))</f>
        <v>1.1621333346996948</v>
      </c>
      <c r="Q2554" s="71">
        <f>IF(B2554="",0,INDEX(ModelParameters!$D$6:$K$10,MATCH($O2554,ModelParameters!$B$6:$B$10,0),MATCH($J2554,ModelParameters!$D$5:$K$5,0)))</f>
        <v>0.025</v>
      </c>
      <c r="R2554" s="71">
        <f>IF(B2554="",0,INDEX(ModelParameters!$D$13:$K$17,MATCH($O2554,ModelParameters!$B$13:$B$17,0),MATCH($J2554,ModelParameters!$D$5:$K$5,0)))</f>
        <v>0</v>
      </c>
      <c r="S2554" s="160">
        <f>IF(B2554="",0,MIN(IF($N2554="Other Bond TM",ModelParameters!$N$21,1)*(P2554*Q2554+R2554),1))</f>
        <v>0.029053333367492372</v>
      </c>
      <c r="T2554" s="85">
        <f>IF(B2554="",0,$S2554*$K2554)</f>
        <v>0.08257026735034368</v>
      </c>
      <c r="U2554" s="85">
        <f>IF(B2554="",0,IF(OR(H2554=MappingTables!$C$34,H2554=MappingTables!$C$35),T2554,0))</f>
        <v>0</v>
      </c>
      <c r="V2554" s="85">
        <f>IF(ISNA(IF(AND(VLOOKUP(CONCATENATE($D2554,$G2554),CSRFinput!$B:$E,4,0)=0,OR(H2554=MappingTables!$C$34,H2554=MappingTables!$C$35)),1,VLOOKUP(CONCATENATE($D2554,$G2554),CSRFinput!$B:$E,4,0))),0,IF(AND(VLOOKUP(CONCATENATE($D2554,$G2554),CSRFinput!$B:$E,4,0)=0,OR(H2554=MappingTables!$C$34,H2554=MappingTables!$C$35)),1,VLOOKUP(CONCATENATE($D2554,$G2554),CSRFinput!$B:$E,4,0)))</f>
        <v>0.054776304963434752</v>
      </c>
      <c r="W2554" s="85">
        <f>IF(B2554="",0,+$T2554*$V2554)</f>
        <v>0.0045228941452947656</v>
      </c>
      <c r="X2554" s="85">
        <f>IF(B2554="",0,IF(OR(H2554=MappingTables!$C$34,H2554=MappingTables!$C$35),W2554,0))</f>
        <v>0</v>
      </c>
    </row>
    <row r="2555" spans="2:24" s="0" customFormat="0" ht="15">
      <c r="B2555" s="69">
        <v>24010289</v>
      </c>
      <c r="C2555" s="70" t="s">
        <v>1658</v>
      </c>
      <c r="D2555" s="70" t="s">
        <v>1</v>
      </c>
      <c r="E2555" s="70" t="s">
        <v>1</v>
      </c>
      <c r="F2555" s="70"/>
      <c r="G2555" s="70" t="s">
        <v>61</v>
      </c>
      <c r="H2555" s="70" t="s">
        <v>178</v>
      </c>
      <c r="I2555" s="70" t="s">
        <v>188</v>
      </c>
      <c r="J2555" s="71">
        <f>IF(OR(I2555=0,I2555=""),"unrated",VLOOKUP(I2555,MappingTables!$B$19:$C$31,2,FALSE))</f>
        <v>2</v>
      </c>
      <c r="K2555" s="72">
        <v>2186.2869317414688</v>
      </c>
      <c r="L2555" s="70">
        <v>2.5318616145552156</v>
      </c>
      <c r="M2555" s="71">
        <f>IF(L2555&lt;1,1,L2555)</f>
        <v>2.5318616145552156</v>
      </c>
      <c r="N2555" s="70" t="s">
        <v>141</v>
      </c>
      <c r="O2555" s="71">
        <f>INDEX(DurClassMapping,MATCH(M2555,MappingTables!$D$4:$D$8,-1),1)</f>
        <v>1</v>
      </c>
      <c r="P2555" s="73">
        <f>IF(M2555=$A$1,1,$M2555-INDEX(MappingTables!$E$4:$E$8,MATCH(O2555,MappingTables!$B$4:$B$8,0)))</f>
        <v>2.5318616145552156</v>
      </c>
      <c r="Q2555" s="71">
        <f>IF(B2555="",0,INDEX(ModelParameters!$D$6:$K$10,MATCH($O2555,ModelParameters!$B$6:$B$10,0),MATCH($J2555,ModelParameters!$D$5:$K$5,0)))</f>
        <v>0.013999999999999998</v>
      </c>
      <c r="R2555" s="71">
        <f>IF(B2555="",0,INDEX(ModelParameters!$D$13:$K$17,MATCH($O2555,ModelParameters!$B$13:$B$17,0),MATCH($J2555,ModelParameters!$D$5:$K$5,0)))</f>
        <v>0</v>
      </c>
      <c r="S2555" s="160">
        <f>IF(B2555="",0,MIN(IF($N2555="Other Bond TM",ModelParameters!$N$21,1)*(P2555*Q2555+R2555),1))</f>
        <v>0.03544606260377302</v>
      </c>
      <c r="T2555" s="85">
        <f>IF(B2555="",0,$S2555*$K2555)</f>
        <v>77.495263452318944</v>
      </c>
      <c r="U2555" s="85">
        <f>IF(B2555="",0,IF(OR(H2555=MappingTables!$C$34,H2555=MappingTables!$C$35),T2555,0))</f>
        <v>0</v>
      </c>
      <c r="V2555" s="85">
        <f>IF(ISNA(IF(AND(VLOOKUP(CONCATENATE($D2555,$G2555),CSRFinput!$B:$E,4,0)=0,OR(H2555=MappingTables!$C$34,H2555=MappingTables!$C$35)),1,VLOOKUP(CONCATENATE($D2555,$G2555),CSRFinput!$B:$E,4,0))),0,IF(AND(VLOOKUP(CONCATENATE($D2555,$G2555),CSRFinput!$B:$E,4,0)=0,OR(H2555=MappingTables!$C$34,H2555=MappingTables!$C$35)),1,VLOOKUP(CONCATENATE($D2555,$G2555),CSRFinput!$B:$E,4,0)))</f>
        <v>0.054776304963434752</v>
      </c>
      <c r="W2555" s="85">
        <f>IF(B2555="",0,+$T2555*$V2555)</f>
        <v>4.2449041840859424</v>
      </c>
      <c r="X2555" s="85">
        <f>IF(B2555="",0,IF(OR(H2555=MappingTables!$C$34,H2555=MappingTables!$C$35),W2555,0))</f>
        <v>0</v>
      </c>
    </row>
    <row r="2556" spans="2:24" s="0" customFormat="0" ht="15">
      <c r="B2556" s="69">
        <v>22911183</v>
      </c>
      <c r="C2556" s="70" t="s">
        <v>2205</v>
      </c>
      <c r="D2556" s="70" t="s">
        <v>1</v>
      </c>
      <c r="E2556" s="70" t="s">
        <v>1</v>
      </c>
      <c r="F2556" s="70"/>
      <c r="G2556" s="70" t="s">
        <v>61</v>
      </c>
      <c r="H2556" s="70" t="s">
        <v>178</v>
      </c>
      <c r="I2556" s="70" t="s">
        <v>179</v>
      </c>
      <c r="J2556" s="71">
        <f>IF(OR(I2556=0,I2556=""),"unrated",VLOOKUP(I2556,MappingTables!$B$19:$C$31,2,FALSE))</f>
        <v>4</v>
      </c>
      <c r="K2556" s="72">
        <v>95.628086008075792</v>
      </c>
      <c r="L2556" s="70">
        <v>3.0759437487799156</v>
      </c>
      <c r="M2556" s="71">
        <f>IF(L2556&lt;1,1,L2556)</f>
        <v>3.0759437487799156</v>
      </c>
      <c r="N2556" s="70" t="s">
        <v>141</v>
      </c>
      <c r="O2556" s="71">
        <f>INDEX(DurClassMapping,MATCH(M2556,MappingTables!$D$4:$D$8,-1),1)</f>
        <v>1</v>
      </c>
      <c r="P2556" s="73">
        <f>IF(M2556=$A$1,1,$M2556-INDEX(MappingTables!$E$4:$E$8,MATCH(O2556,MappingTables!$B$4:$B$8,0)))</f>
        <v>3.0759437487799156</v>
      </c>
      <c r="Q2556" s="71">
        <f>IF(B2556="",0,INDEX(ModelParameters!$D$6:$K$10,MATCH($O2556,ModelParameters!$B$6:$B$10,0),MATCH($J2556,ModelParameters!$D$5:$K$5,0)))</f>
        <v>0.045</v>
      </c>
      <c r="R2556" s="71">
        <f>IF(B2556="",0,INDEX(ModelParameters!$D$13:$K$17,MATCH($O2556,ModelParameters!$B$13:$B$17,0),MATCH($J2556,ModelParameters!$D$5:$K$5,0)))</f>
        <v>0</v>
      </c>
      <c r="S2556" s="160">
        <f>IF(B2556="",0,MIN(IF($N2556="Other Bond TM",ModelParameters!$N$21,1)*(P2556*Q2556+R2556),1))</f>
        <v>0.1384174686950962</v>
      </c>
      <c r="T2556" s="85">
        <f>IF(B2556="",0,$S2556*$K2556)</f>
        <v>13.236597601394798</v>
      </c>
      <c r="U2556" s="85">
        <f>IF(B2556="",0,IF(OR(H2556=MappingTables!$C$34,H2556=MappingTables!$C$35),T2556,0))</f>
        <v>0</v>
      </c>
      <c r="V2556" s="85">
        <f>IF(ISNA(IF(AND(VLOOKUP(CONCATENATE($D2556,$G2556),CSRFinput!$B:$E,4,0)=0,OR(H2556=MappingTables!$C$34,H2556=MappingTables!$C$35)),1,VLOOKUP(CONCATENATE($D2556,$G2556),CSRFinput!$B:$E,4,0))),0,IF(AND(VLOOKUP(CONCATENATE($D2556,$G2556),CSRFinput!$B:$E,4,0)=0,OR(H2556=MappingTables!$C$34,H2556=MappingTables!$C$35)),1,VLOOKUP(CONCATENATE($D2556,$G2556),CSRFinput!$B:$E,4,0)))</f>
        <v>0.054776304963434752</v>
      </c>
      <c r="W2556" s="85">
        <f>IF(B2556="",0,+$T2556*$V2556)</f>
        <v>0.72505190689227056</v>
      </c>
      <c r="X2556" s="85">
        <f>IF(B2556="",0,IF(OR(H2556=MappingTables!$C$34,H2556=MappingTables!$C$35),W2556,0))</f>
        <v>0</v>
      </c>
    </row>
    <row r="2557" spans="2:24" s="0" customFormat="0" ht="15">
      <c r="B2557" s="69">
        <v>14073575</v>
      </c>
      <c r="C2557" s="70" t="s">
        <v>1220</v>
      </c>
      <c r="D2557" s="70" t="s">
        <v>1</v>
      </c>
      <c r="E2557" s="70" t="s">
        <v>1</v>
      </c>
      <c r="F2557" s="70"/>
      <c r="G2557" s="70" t="s">
        <v>61</v>
      </c>
      <c r="H2557" s="70" t="s">
        <v>178</v>
      </c>
      <c r="I2557" s="70" t="s">
        <v>179</v>
      </c>
      <c r="J2557" s="71">
        <f>IF(OR(I2557=0,I2557=""),"unrated",VLOOKUP(I2557,MappingTables!$B$19:$C$31,2,FALSE))</f>
        <v>4</v>
      </c>
      <c r="K2557" s="72">
        <v>1286.8761415958436</v>
      </c>
      <c r="L2557" s="70">
        <v>5.4150311935803624</v>
      </c>
      <c r="M2557" s="71">
        <f>IF(L2557&lt;1,1,L2557)</f>
        <v>5.4150311935803624</v>
      </c>
      <c r="N2557" s="70" t="s">
        <v>141</v>
      </c>
      <c r="O2557" s="71">
        <f>INDEX(DurClassMapping,MATCH(M2557,MappingTables!$D$4:$D$8,-1),1)</f>
        <v>2</v>
      </c>
      <c r="P2557" s="73">
        <f>IF(M2557=$A$1,1,$M2557-INDEX(MappingTables!$E$4:$E$8,MATCH(O2557,MappingTables!$B$4:$B$8,0)))</f>
        <v>0.41503119358036232</v>
      </c>
      <c r="Q2557" s="71">
        <f>IF(B2557="",0,INDEX(ModelParameters!$D$6:$K$10,MATCH($O2557,ModelParameters!$B$6:$B$10,0),MATCH($J2557,ModelParameters!$D$5:$K$5,0)))</f>
        <v>0.025</v>
      </c>
      <c r="R2557" s="71">
        <f>IF(B2557="",0,INDEX(ModelParameters!$D$13:$K$17,MATCH($O2557,ModelParameters!$B$13:$B$17,0),MATCH($J2557,ModelParameters!$D$5:$K$5,0)))</f>
        <v>0.225</v>
      </c>
      <c r="S2557" s="160">
        <f>IF(B2557="",0,MIN(IF($N2557="Other Bond TM",ModelParameters!$N$21,1)*(P2557*Q2557+R2557),1))</f>
        <v>0.23537577983950904</v>
      </c>
      <c r="T2557" s="85">
        <f>IF(B2557="",0,$S2557*$K2557)</f>
        <v>302.89947538498016</v>
      </c>
      <c r="U2557" s="85">
        <f>IF(B2557="",0,IF(OR(H2557=MappingTables!$C$34,H2557=MappingTables!$C$35),T2557,0))</f>
        <v>0</v>
      </c>
      <c r="V2557" s="85">
        <f>IF(ISNA(IF(AND(VLOOKUP(CONCATENATE($D2557,$G2557),CSRFinput!$B:$E,4,0)=0,OR(H2557=MappingTables!$C$34,H2557=MappingTables!$C$35)),1,VLOOKUP(CONCATENATE($D2557,$G2557),CSRFinput!$B:$E,4,0))),0,IF(AND(VLOOKUP(CONCATENATE($D2557,$G2557),CSRFinput!$B:$E,4,0)=0,OR(H2557=MappingTables!$C$34,H2557=MappingTables!$C$35)),1,VLOOKUP(CONCATENATE($D2557,$G2557),CSRFinput!$B:$E,4,0)))</f>
        <v>0.054776304963434752</v>
      </c>
      <c r="W2557" s="85">
        <f>IF(B2557="",0,+$T2557*$V2557)</f>
        <v>16.591714036952074</v>
      </c>
      <c r="X2557" s="85">
        <f>IF(B2557="",0,IF(OR(H2557=MappingTables!$C$34,H2557=MappingTables!$C$35),W2557,0))</f>
        <v>0</v>
      </c>
    </row>
    <row r="2558" spans="2:24" s="0" customFormat="0" ht="15">
      <c r="B2558" s="69">
        <v>10572264</v>
      </c>
      <c r="C2558" s="70" t="s">
        <v>1778</v>
      </c>
      <c r="D2558" s="70" t="s">
        <v>1</v>
      </c>
      <c r="E2558" s="70" t="s">
        <v>1</v>
      </c>
      <c r="F2558" s="70"/>
      <c r="G2558" s="70" t="s">
        <v>61</v>
      </c>
      <c r="H2558" s="70" t="s">
        <v>178</v>
      </c>
      <c r="I2558" s="70" t="s">
        <v>188</v>
      </c>
      <c r="J2558" s="71">
        <f>IF(OR(I2558=0,I2558=""),"unrated",VLOOKUP(I2558,MappingTables!$B$19:$C$31,2,FALSE))</f>
        <v>2</v>
      </c>
      <c r="K2558" s="72">
        <v>45961.238515119376</v>
      </c>
      <c r="L2558" s="70">
        <v>4.2645483241659416</v>
      </c>
      <c r="M2558" s="71">
        <f>IF(L2558&lt;1,1,L2558)</f>
        <v>4.2645483241659416</v>
      </c>
      <c r="N2558" s="70" t="s">
        <v>141</v>
      </c>
      <c r="O2558" s="71">
        <f>INDEX(DurClassMapping,MATCH(M2558,MappingTables!$D$4:$D$8,-1),1)</f>
        <v>1</v>
      </c>
      <c r="P2558" s="73">
        <f>IF(M2558=$A$1,1,$M2558-INDEX(MappingTables!$E$4:$E$8,MATCH(O2558,MappingTables!$B$4:$B$8,0)))</f>
        <v>4.2645483241659416</v>
      </c>
      <c r="Q2558" s="71">
        <f>IF(B2558="",0,INDEX(ModelParameters!$D$6:$K$10,MATCH($O2558,ModelParameters!$B$6:$B$10,0),MATCH($J2558,ModelParameters!$D$5:$K$5,0)))</f>
        <v>0.013999999999999998</v>
      </c>
      <c r="R2558" s="71">
        <f>IF(B2558="",0,INDEX(ModelParameters!$D$13:$K$17,MATCH($O2558,ModelParameters!$B$13:$B$17,0),MATCH($J2558,ModelParameters!$D$5:$K$5,0)))</f>
        <v>0</v>
      </c>
      <c r="S2558" s="160">
        <f>IF(B2558="",0,MIN(IF($N2558="Other Bond TM",ModelParameters!$N$21,1)*(P2558*Q2558+R2558),1))</f>
        <v>0.059703676538323176</v>
      </c>
      <c r="T2558" s="85">
        <f>IF(B2558="",0,$S2558*$K2558)</f>
        <v>2744.0549176074084</v>
      </c>
      <c r="U2558" s="85">
        <f>IF(B2558="",0,IF(OR(H2558=MappingTables!$C$34,H2558=MappingTables!$C$35),T2558,0))</f>
        <v>0</v>
      </c>
      <c r="V2558" s="85">
        <f>IF(ISNA(IF(AND(VLOOKUP(CONCATENATE($D2558,$G2558),CSRFinput!$B:$E,4,0)=0,OR(H2558=MappingTables!$C$34,H2558=MappingTables!$C$35)),1,VLOOKUP(CONCATENATE($D2558,$G2558),CSRFinput!$B:$E,4,0))),0,IF(AND(VLOOKUP(CONCATENATE($D2558,$G2558),CSRFinput!$B:$E,4,0)=0,OR(H2558=MappingTables!$C$34,H2558=MappingTables!$C$35)),1,VLOOKUP(CONCATENATE($D2558,$G2558),CSRFinput!$B:$E,4,0)))</f>
        <v>0.054776304963434752</v>
      </c>
      <c r="W2558" s="85">
        <f>IF(B2558="",0,+$T2558*$V2558)</f>
        <v>150.30918900327624</v>
      </c>
      <c r="X2558" s="85">
        <f>IF(B2558="",0,IF(OR(H2558=MappingTables!$C$34,H2558=MappingTables!$C$35),W2558,0))</f>
        <v>0</v>
      </c>
    </row>
    <row r="2559" spans="2:24" s="0" customFormat="0" ht="15">
      <c r="B2559" s="69">
        <v>21276188</v>
      </c>
      <c r="C2559" s="70" t="s">
        <v>2487</v>
      </c>
      <c r="D2559" s="70" t="s">
        <v>1</v>
      </c>
      <c r="E2559" s="70" t="s">
        <v>1</v>
      </c>
      <c r="F2559" s="70"/>
      <c r="G2559" s="70" t="s">
        <v>61</v>
      </c>
      <c r="H2559" s="70" t="s">
        <v>178</v>
      </c>
      <c r="I2559" s="70" t="s">
        <v>181</v>
      </c>
      <c r="J2559" s="71">
        <f>IF(OR(I2559=0,I2559=""),"unrated",VLOOKUP(I2559,MappingTables!$B$19:$C$31,2,FALSE))</f>
        <v>3</v>
      </c>
      <c r="K2559" s="72">
        <v>78299.04516094344</v>
      </c>
      <c r="L2559" s="70">
        <v>4.6085997928249256</v>
      </c>
      <c r="M2559" s="71">
        <f>IF(L2559&lt;1,1,L2559)</f>
        <v>4.6085997928249256</v>
      </c>
      <c r="N2559" s="70" t="s">
        <v>141</v>
      </c>
      <c r="O2559" s="71">
        <f>INDEX(DurClassMapping,MATCH(M2559,MappingTables!$D$4:$D$8,-1),1)</f>
        <v>1</v>
      </c>
      <c r="P2559" s="73">
        <f>IF(M2559=$A$1,1,$M2559-INDEX(MappingTables!$E$4:$E$8,MATCH(O2559,MappingTables!$B$4:$B$8,0)))</f>
        <v>4.6085997928249256</v>
      </c>
      <c r="Q2559" s="71">
        <f>IF(B2559="",0,INDEX(ModelParameters!$D$6:$K$10,MATCH($O2559,ModelParameters!$B$6:$B$10,0),MATCH($J2559,ModelParameters!$D$5:$K$5,0)))</f>
        <v>0.025</v>
      </c>
      <c r="R2559" s="71">
        <f>IF(B2559="",0,INDEX(ModelParameters!$D$13:$K$17,MATCH($O2559,ModelParameters!$B$13:$B$17,0),MATCH($J2559,ModelParameters!$D$5:$K$5,0)))</f>
        <v>0</v>
      </c>
      <c r="S2559" s="160">
        <f>IF(B2559="",0,MIN(IF($N2559="Other Bond TM",ModelParameters!$N$21,1)*(P2559*Q2559+R2559),1))</f>
        <v>0.11521499482062314</v>
      </c>
      <c r="T2559" s="85">
        <f>IF(B2559="",0,$S2559*$K2559)</f>
        <v>9021.2240826778368</v>
      </c>
      <c r="U2559" s="85">
        <f>IF(B2559="",0,IF(OR(H2559=MappingTables!$C$34,H2559=MappingTables!$C$35),T2559,0))</f>
        <v>0</v>
      </c>
      <c r="V2559" s="85">
        <f>IF(ISNA(IF(AND(VLOOKUP(CONCATENATE($D2559,$G2559),CSRFinput!$B:$E,4,0)=0,OR(H2559=MappingTables!$C$34,H2559=MappingTables!$C$35)),1,VLOOKUP(CONCATENATE($D2559,$G2559),CSRFinput!$B:$E,4,0))),0,IF(AND(VLOOKUP(CONCATENATE($D2559,$G2559),CSRFinput!$B:$E,4,0)=0,OR(H2559=MappingTables!$C$34,H2559=MappingTables!$C$35)),1,VLOOKUP(CONCATENATE($D2559,$G2559),CSRFinput!$B:$E,4,0)))</f>
        <v>0.054776304963434752</v>
      </c>
      <c r="W2559" s="85">
        <f>IF(B2559="",0,+$T2559*$V2559)</f>
        <v>494.14932149624312</v>
      </c>
      <c r="X2559" s="85">
        <f>IF(B2559="",0,IF(OR(H2559=MappingTables!$C$34,H2559=MappingTables!$C$35),W2559,0))</f>
        <v>0</v>
      </c>
    </row>
    <row r="2560" spans="2:24" s="0" customFormat="0" ht="15">
      <c r="B2560" s="69">
        <v>22700042</v>
      </c>
      <c r="C2560" s="70" t="s">
        <v>2488</v>
      </c>
      <c r="D2560" s="70" t="s">
        <v>1</v>
      </c>
      <c r="E2560" s="70" t="s">
        <v>1</v>
      </c>
      <c r="F2560" s="70"/>
      <c r="G2560" s="70" t="s">
        <v>61</v>
      </c>
      <c r="H2560" s="70" t="s">
        <v>178</v>
      </c>
      <c r="I2560" s="70" t="s">
        <v>184</v>
      </c>
      <c r="J2560" s="71">
        <f>IF(OR(I2560=0,I2560=""),"unrated",VLOOKUP(I2560,MappingTables!$B$19:$C$31,2,FALSE))</f>
        <v>5</v>
      </c>
      <c r="K2560" s="72">
        <v>374.75273612829832</v>
      </c>
      <c r="L2560" s="70">
        <v>1.2286107732634854</v>
      </c>
      <c r="M2560" s="71">
        <f>IF(L2560&lt;1,1,L2560)</f>
        <v>1.2286107732634854</v>
      </c>
      <c r="N2560" s="70" t="s">
        <v>141</v>
      </c>
      <c r="O2560" s="71">
        <f>INDEX(DurClassMapping,MATCH(M2560,MappingTables!$D$4:$D$8,-1),1)</f>
        <v>1</v>
      </c>
      <c r="P2560" s="73">
        <f>IF(M2560=$A$1,1,$M2560-INDEX(MappingTables!$E$4:$E$8,MATCH(O2560,MappingTables!$B$4:$B$8,0)))</f>
        <v>1.2286107732634854</v>
      </c>
      <c r="Q2560" s="71">
        <f>IF(B2560="",0,INDEX(ModelParameters!$D$6:$K$10,MATCH($O2560,ModelParameters!$B$6:$B$10,0),MATCH($J2560,ModelParameters!$D$5:$K$5,0)))</f>
        <v>0.075</v>
      </c>
      <c r="R2560" s="71">
        <f>IF(B2560="",0,INDEX(ModelParameters!$D$13:$K$17,MATCH($O2560,ModelParameters!$B$13:$B$17,0),MATCH($J2560,ModelParameters!$D$5:$K$5,0)))</f>
        <v>0</v>
      </c>
      <c r="S2560" s="160">
        <f>IF(B2560="",0,MIN(IF($N2560="Other Bond TM",ModelParameters!$N$21,1)*(P2560*Q2560+R2560),1))</f>
        <v>0.092145807994761408</v>
      </c>
      <c r="T2560" s="85">
        <f>IF(B2560="",0,$S2560*$K2560)</f>
        <v>34.531893668789664</v>
      </c>
      <c r="U2560" s="85">
        <f>IF(B2560="",0,IF(OR(H2560=MappingTables!$C$34,H2560=MappingTables!$C$35),T2560,0))</f>
        <v>0</v>
      </c>
      <c r="V2560" s="85">
        <f>IF(ISNA(IF(AND(VLOOKUP(CONCATENATE($D2560,$G2560),CSRFinput!$B:$E,4,0)=0,OR(H2560=MappingTables!$C$34,H2560=MappingTables!$C$35)),1,VLOOKUP(CONCATENATE($D2560,$G2560),CSRFinput!$B:$E,4,0))),0,IF(AND(VLOOKUP(CONCATENATE($D2560,$G2560),CSRFinput!$B:$E,4,0)=0,OR(H2560=MappingTables!$C$34,H2560=MappingTables!$C$35)),1,VLOOKUP(CONCATENATE($D2560,$G2560),CSRFinput!$B:$E,4,0)))</f>
        <v>0.054776304963434752</v>
      </c>
      <c r="W2560" s="85">
        <f>IF(B2560="",0,+$T2560*$V2560)</f>
        <v>1.8915295385665244</v>
      </c>
      <c r="X2560" s="85">
        <f>IF(B2560="",0,IF(OR(H2560=MappingTables!$C$34,H2560=MappingTables!$C$35),W2560,0))</f>
        <v>0</v>
      </c>
    </row>
    <row r="2561" spans="2:24" s="0" customFormat="0" ht="15">
      <c r="B2561" s="69" t="s">
        <v>1963</v>
      </c>
      <c r="C2561" s="70" t="s">
        <v>1964</v>
      </c>
      <c r="D2561" s="70" t="s">
        <v>1</v>
      </c>
      <c r="E2561" s="70" t="s">
        <v>1</v>
      </c>
      <c r="F2561" s="70"/>
      <c r="G2561" s="70" t="s">
        <v>61</v>
      </c>
      <c r="H2561" s="70" t="s">
        <v>178</v>
      </c>
      <c r="I2561" s="70" t="s">
        <v>188</v>
      </c>
      <c r="J2561" s="71">
        <f>IF(OR(I2561=0,I2561=""),"unrated",VLOOKUP(I2561,MappingTables!$B$19:$C$31,2,FALSE))</f>
        <v>2</v>
      </c>
      <c r="K2561" s="72">
        <v>0.96733110268508304</v>
      </c>
      <c r="L2561" s="70">
        <v>0.54520749275332744</v>
      </c>
      <c r="M2561" s="71">
        <f>IF(L2561&lt;1,1,L2561)</f>
        <v>1</v>
      </c>
      <c r="N2561" s="70" t="s">
        <v>141</v>
      </c>
      <c r="O2561" s="71">
        <f>INDEX(DurClassMapping,MATCH(M2561,MappingTables!$D$4:$D$8,-1),1)</f>
        <v>1</v>
      </c>
      <c r="P2561" s="73">
        <f>IF(M2561=$A$1,1,$M2561-INDEX(MappingTables!$E$4:$E$8,MATCH(O2561,MappingTables!$B$4:$B$8,0)))</f>
        <v>1</v>
      </c>
      <c r="Q2561" s="71">
        <f>IF(B2561="",0,INDEX(ModelParameters!$D$6:$K$10,MATCH($O2561,ModelParameters!$B$6:$B$10,0),MATCH($J2561,ModelParameters!$D$5:$K$5,0)))</f>
        <v>0.013999999999999998</v>
      </c>
      <c r="R2561" s="71">
        <f>IF(B2561="",0,INDEX(ModelParameters!$D$13:$K$17,MATCH($O2561,ModelParameters!$B$13:$B$17,0),MATCH($J2561,ModelParameters!$D$5:$K$5,0)))</f>
        <v>0</v>
      </c>
      <c r="S2561" s="160">
        <f>IF(B2561="",0,MIN(IF($N2561="Other Bond TM",ModelParameters!$N$21,1)*(P2561*Q2561+R2561),1))</f>
        <v>0.013999999999999998</v>
      </c>
      <c r="T2561" s="85">
        <f>IF(B2561="",0,$S2561*$K2561)</f>
        <v>0.013542635437591162</v>
      </c>
      <c r="U2561" s="85">
        <f>IF(B2561="",0,IF(OR(H2561=MappingTables!$C$34,H2561=MappingTables!$C$35),T2561,0))</f>
        <v>0</v>
      </c>
      <c r="V2561" s="85">
        <f>IF(ISNA(IF(AND(VLOOKUP(CONCATENATE($D2561,$G2561),CSRFinput!$B:$E,4,0)=0,OR(H2561=MappingTables!$C$34,H2561=MappingTables!$C$35)),1,VLOOKUP(CONCATENATE($D2561,$G2561),CSRFinput!$B:$E,4,0))),0,IF(AND(VLOOKUP(CONCATENATE($D2561,$G2561),CSRFinput!$B:$E,4,0)=0,OR(H2561=MappingTables!$C$34,H2561=MappingTables!$C$35)),1,VLOOKUP(CONCATENATE($D2561,$G2561),CSRFinput!$B:$E,4,0)))</f>
        <v>0.054776304963434752</v>
      </c>
      <c r="W2561" s="85">
        <f>IF(B2561="",0,+$T2561*$V2561)</f>
        <v>0.00074181552873811216</v>
      </c>
      <c r="X2561" s="85">
        <f>IF(B2561="",0,IF(OR(H2561=MappingTables!$C$34,H2561=MappingTables!$C$35),W2561,0))</f>
        <v>0</v>
      </c>
    </row>
    <row r="2562" spans="2:24" s="0" customFormat="0" ht="15">
      <c r="B2562" s="69">
        <v>21906268</v>
      </c>
      <c r="C2562" s="70" t="s">
        <v>891</v>
      </c>
      <c r="D2562" s="70" t="s">
        <v>1</v>
      </c>
      <c r="E2562" s="70" t="s">
        <v>1</v>
      </c>
      <c r="F2562" s="70"/>
      <c r="G2562" s="70" t="s">
        <v>61</v>
      </c>
      <c r="H2562" s="70" t="s">
        <v>178</v>
      </c>
      <c r="I2562" s="70" t="s">
        <v>179</v>
      </c>
      <c r="J2562" s="71">
        <f>IF(OR(I2562=0,I2562=""),"unrated",VLOOKUP(I2562,MappingTables!$B$19:$C$31,2,FALSE))</f>
        <v>4</v>
      </c>
      <c r="K2562" s="72">
        <v>7910.905042818336</v>
      </c>
      <c r="L2562" s="70">
        <v>3.6304798782820208</v>
      </c>
      <c r="M2562" s="71">
        <f>IF(L2562&lt;1,1,L2562)</f>
        <v>3.6304798782820208</v>
      </c>
      <c r="N2562" s="70" t="s">
        <v>141</v>
      </c>
      <c r="O2562" s="71">
        <f>INDEX(DurClassMapping,MATCH(M2562,MappingTables!$D$4:$D$8,-1),1)</f>
        <v>1</v>
      </c>
      <c r="P2562" s="73">
        <f>IF(M2562=$A$1,1,$M2562-INDEX(MappingTables!$E$4:$E$8,MATCH(O2562,MappingTables!$B$4:$B$8,0)))</f>
        <v>3.6304798782820208</v>
      </c>
      <c r="Q2562" s="71">
        <f>IF(B2562="",0,INDEX(ModelParameters!$D$6:$K$10,MATCH($O2562,ModelParameters!$B$6:$B$10,0),MATCH($J2562,ModelParameters!$D$5:$K$5,0)))</f>
        <v>0.045</v>
      </c>
      <c r="R2562" s="71">
        <f>IF(B2562="",0,INDEX(ModelParameters!$D$13:$K$17,MATCH($O2562,ModelParameters!$B$13:$B$17,0),MATCH($J2562,ModelParameters!$D$5:$K$5,0)))</f>
        <v>0</v>
      </c>
      <c r="S2562" s="160">
        <f>IF(B2562="",0,MIN(IF($N2562="Other Bond TM",ModelParameters!$N$21,1)*(P2562*Q2562+R2562),1))</f>
        <v>0.16337159452269096</v>
      </c>
      <c r="T2562" s="85">
        <f>IF(B2562="",0,$S2562*$K2562)</f>
        <v>1292.4171709628284</v>
      </c>
      <c r="U2562" s="85">
        <f>IF(B2562="",0,IF(OR(H2562=MappingTables!$C$34,H2562=MappingTables!$C$35),T2562,0))</f>
        <v>0</v>
      </c>
      <c r="V2562" s="85">
        <f>IF(ISNA(IF(AND(VLOOKUP(CONCATENATE($D2562,$G2562),CSRFinput!$B:$E,4,0)=0,OR(H2562=MappingTables!$C$34,H2562=MappingTables!$C$35)),1,VLOOKUP(CONCATENATE($D2562,$G2562),CSRFinput!$B:$E,4,0))),0,IF(AND(VLOOKUP(CONCATENATE($D2562,$G2562),CSRFinput!$B:$E,4,0)=0,OR(H2562=MappingTables!$C$34,H2562=MappingTables!$C$35)),1,VLOOKUP(CONCATENATE($D2562,$G2562),CSRFinput!$B:$E,4,0)))</f>
        <v>0.054776304963434752</v>
      </c>
      <c r="W2562" s="85">
        <f>IF(B2562="",0,+$T2562*$V2562)</f>
        <v>70.79383709663948</v>
      </c>
      <c r="X2562" s="85">
        <f>IF(B2562="",0,IF(OR(H2562=MappingTables!$C$34,H2562=MappingTables!$C$35),W2562,0))</f>
        <v>0</v>
      </c>
    </row>
    <row r="2563" spans="2:24" s="0" customFormat="0" ht="15">
      <c r="B2563" s="69">
        <v>12784727</v>
      </c>
      <c r="C2563" s="70" t="s">
        <v>2482</v>
      </c>
      <c r="D2563" s="70" t="s">
        <v>1</v>
      </c>
      <c r="E2563" s="70" t="s">
        <v>1</v>
      </c>
      <c r="F2563" s="70"/>
      <c r="G2563" s="70" t="s">
        <v>61</v>
      </c>
      <c r="H2563" s="70" t="s">
        <v>178</v>
      </c>
      <c r="I2563" s="70" t="s">
        <v>188</v>
      </c>
      <c r="J2563" s="71">
        <f>IF(OR(I2563=0,I2563=""),"unrated",VLOOKUP(I2563,MappingTables!$B$19:$C$31,2,FALSE))</f>
        <v>2</v>
      </c>
      <c r="K2563" s="72">
        <v>61.956676975073296</v>
      </c>
      <c r="L2563" s="70">
        <v>0.80994887554600496</v>
      </c>
      <c r="M2563" s="71">
        <f>IF(L2563&lt;1,1,L2563)</f>
        <v>1</v>
      </c>
      <c r="N2563" s="70" t="s">
        <v>141</v>
      </c>
      <c r="O2563" s="71">
        <f>INDEX(DurClassMapping,MATCH(M2563,MappingTables!$D$4:$D$8,-1),1)</f>
        <v>1</v>
      </c>
      <c r="P2563" s="73">
        <f>IF(M2563=$A$1,1,$M2563-INDEX(MappingTables!$E$4:$E$8,MATCH(O2563,MappingTables!$B$4:$B$8,0)))</f>
        <v>1</v>
      </c>
      <c r="Q2563" s="71">
        <f>IF(B2563="",0,INDEX(ModelParameters!$D$6:$K$10,MATCH($O2563,ModelParameters!$B$6:$B$10,0),MATCH($J2563,ModelParameters!$D$5:$K$5,0)))</f>
        <v>0.013999999999999998</v>
      </c>
      <c r="R2563" s="71">
        <f>IF(B2563="",0,INDEX(ModelParameters!$D$13:$K$17,MATCH($O2563,ModelParameters!$B$13:$B$17,0),MATCH($J2563,ModelParameters!$D$5:$K$5,0)))</f>
        <v>0</v>
      </c>
      <c r="S2563" s="160">
        <f>IF(B2563="",0,MIN(IF($N2563="Other Bond TM",ModelParameters!$N$21,1)*(P2563*Q2563+R2563),1))</f>
        <v>0.013999999999999998</v>
      </c>
      <c r="T2563" s="85">
        <f>IF(B2563="",0,$S2563*$K2563)</f>
        <v>0.86739347765102608</v>
      </c>
      <c r="U2563" s="85">
        <f>IF(B2563="",0,IF(OR(H2563=MappingTables!$C$34,H2563=MappingTables!$C$35),T2563,0))</f>
        <v>0</v>
      </c>
      <c r="V2563" s="85">
        <f>IF(ISNA(IF(AND(VLOOKUP(CONCATENATE($D2563,$G2563),CSRFinput!$B:$E,4,0)=0,OR(H2563=MappingTables!$C$34,H2563=MappingTables!$C$35)),1,VLOOKUP(CONCATENATE($D2563,$G2563),CSRFinput!$B:$E,4,0))),0,IF(AND(VLOOKUP(CONCATENATE($D2563,$G2563),CSRFinput!$B:$E,4,0)=0,OR(H2563=MappingTables!$C$34,H2563=MappingTables!$C$35)),1,VLOOKUP(CONCATENATE($D2563,$G2563),CSRFinput!$B:$E,4,0)))</f>
        <v>0.054776304963434752</v>
      </c>
      <c r="W2563" s="85">
        <f>IF(B2563="",0,+$T2563*$V2563)</f>
        <v>0.047512609655106824</v>
      </c>
      <c r="X2563" s="85">
        <f>IF(B2563="",0,IF(OR(H2563=MappingTables!$C$34,H2563=MappingTables!$C$35),W2563,0))</f>
        <v>0</v>
      </c>
    </row>
    <row r="2564" spans="2:24" s="0" customFormat="0" ht="15">
      <c r="B2564" s="69">
        <v>20661511</v>
      </c>
      <c r="C2564" s="70" t="s">
        <v>899</v>
      </c>
      <c r="D2564" s="70" t="s">
        <v>1</v>
      </c>
      <c r="E2564" s="70" t="s">
        <v>1</v>
      </c>
      <c r="F2564" s="70"/>
      <c r="G2564" s="70" t="s">
        <v>61</v>
      </c>
      <c r="H2564" s="70" t="s">
        <v>178</v>
      </c>
      <c r="I2564" s="70" t="s">
        <v>179</v>
      </c>
      <c r="J2564" s="71">
        <f>IF(OR(I2564=0,I2564=""),"unrated",VLOOKUP(I2564,MappingTables!$B$19:$C$31,2,FALSE))</f>
        <v>4</v>
      </c>
      <c r="K2564" s="72">
        <v>10256.039153194958</v>
      </c>
      <c r="L2564" s="70">
        <v>3.9369388976617288</v>
      </c>
      <c r="M2564" s="71">
        <f>IF(L2564&lt;1,1,L2564)</f>
        <v>3.9369388976617288</v>
      </c>
      <c r="N2564" s="70" t="s">
        <v>141</v>
      </c>
      <c r="O2564" s="71">
        <f>INDEX(DurClassMapping,MATCH(M2564,MappingTables!$D$4:$D$8,-1),1)</f>
        <v>1</v>
      </c>
      <c r="P2564" s="73">
        <f>IF(M2564=$A$1,1,$M2564-INDEX(MappingTables!$E$4:$E$8,MATCH(O2564,MappingTables!$B$4:$B$8,0)))</f>
        <v>3.9369388976617288</v>
      </c>
      <c r="Q2564" s="71">
        <f>IF(B2564="",0,INDEX(ModelParameters!$D$6:$K$10,MATCH($O2564,ModelParameters!$B$6:$B$10,0),MATCH($J2564,ModelParameters!$D$5:$K$5,0)))</f>
        <v>0.045</v>
      </c>
      <c r="R2564" s="71">
        <f>IF(B2564="",0,INDEX(ModelParameters!$D$13:$K$17,MATCH($O2564,ModelParameters!$B$13:$B$17,0),MATCH($J2564,ModelParameters!$D$5:$K$5,0)))</f>
        <v>0</v>
      </c>
      <c r="S2564" s="160">
        <f>IF(B2564="",0,MIN(IF($N2564="Other Bond TM",ModelParameters!$N$21,1)*(P2564*Q2564+R2564),1))</f>
        <v>0.17716225039477778</v>
      </c>
      <c r="T2564" s="85">
        <f>IF(B2564="",0,$S2564*$K2564)</f>
        <v>1816.98297651697</v>
      </c>
      <c r="U2564" s="85">
        <f>IF(B2564="",0,IF(OR(H2564=MappingTables!$C$34,H2564=MappingTables!$C$35),T2564,0))</f>
        <v>0</v>
      </c>
      <c r="V2564" s="85">
        <f>IF(ISNA(IF(AND(VLOOKUP(CONCATENATE($D2564,$G2564),CSRFinput!$B:$E,4,0)=0,OR(H2564=MappingTables!$C$34,H2564=MappingTables!$C$35)),1,VLOOKUP(CONCATENATE($D2564,$G2564),CSRFinput!$B:$E,4,0))),0,IF(AND(VLOOKUP(CONCATENATE($D2564,$G2564),CSRFinput!$B:$E,4,0)=0,OR(H2564=MappingTables!$C$34,H2564=MappingTables!$C$35)),1,VLOOKUP(CONCATENATE($D2564,$G2564),CSRFinput!$B:$E,4,0)))</f>
        <v>0.054776304963434752</v>
      </c>
      <c r="W2564" s="85">
        <f>IF(B2564="",0,+$T2564*$V2564)</f>
        <v>99.527613635062944</v>
      </c>
      <c r="X2564" s="85">
        <f>IF(B2564="",0,IF(OR(H2564=MappingTables!$C$34,H2564=MappingTables!$C$35),W2564,0))</f>
        <v>0</v>
      </c>
    </row>
    <row r="2565" spans="2:24" s="0" customFormat="0" ht="15">
      <c r="B2565" s="69">
        <v>15839017</v>
      </c>
      <c r="C2565" s="70" t="s">
        <v>2489</v>
      </c>
      <c r="D2565" s="70" t="s">
        <v>1</v>
      </c>
      <c r="E2565" s="70" t="s">
        <v>1</v>
      </c>
      <c r="F2565" s="70"/>
      <c r="G2565" s="70" t="s">
        <v>61</v>
      </c>
      <c r="H2565" s="70" t="s">
        <v>178</v>
      </c>
      <c r="I2565" s="70" t="s">
        <v>181</v>
      </c>
      <c r="J2565" s="71">
        <f>IF(OR(I2565=0,I2565=""),"unrated",VLOOKUP(I2565,MappingTables!$B$19:$C$31,2,FALSE))</f>
        <v>3</v>
      </c>
      <c r="K2565" s="72">
        <v>787.76456055088176</v>
      </c>
      <c r="L2565" s="70">
        <v>5.0996457696907928</v>
      </c>
      <c r="M2565" s="71">
        <f>IF(L2565&lt;1,1,L2565)</f>
        <v>5.0996457696907928</v>
      </c>
      <c r="N2565" s="70" t="s">
        <v>141</v>
      </c>
      <c r="O2565" s="71">
        <f>INDEX(DurClassMapping,MATCH(M2565,MappingTables!$D$4:$D$8,-1),1)</f>
        <v>2</v>
      </c>
      <c r="P2565" s="73">
        <f>IF(M2565=$A$1,1,$M2565-INDEX(MappingTables!$E$4:$E$8,MATCH(O2565,MappingTables!$B$4:$B$8,0)))</f>
        <v>0.09964576969079264</v>
      </c>
      <c r="Q2565" s="71">
        <f>IF(B2565="",0,INDEX(ModelParameters!$D$6:$K$10,MATCH($O2565,ModelParameters!$B$6:$B$10,0),MATCH($J2565,ModelParameters!$D$5:$K$5,0)))</f>
        <v>0.015</v>
      </c>
      <c r="R2565" s="71">
        <f>IF(B2565="",0,INDEX(ModelParameters!$D$13:$K$17,MATCH($O2565,ModelParameters!$B$13:$B$17,0),MATCH($J2565,ModelParameters!$D$5:$K$5,0)))</f>
        <v>0.125</v>
      </c>
      <c r="S2565" s="160">
        <f>IF(B2565="",0,MIN(IF($N2565="Other Bond TM",ModelParameters!$N$21,1)*(P2565*Q2565+R2565),1))</f>
        <v>0.12649468654536188</v>
      </c>
      <c r="T2565" s="85">
        <f>IF(B2565="",0,$S2565*$K2565)</f>
        <v>99.648031158428544</v>
      </c>
      <c r="U2565" s="85">
        <f>IF(B2565="",0,IF(OR(H2565=MappingTables!$C$34,H2565=MappingTables!$C$35),T2565,0))</f>
        <v>0</v>
      </c>
      <c r="V2565" s="85">
        <f>IF(ISNA(IF(AND(VLOOKUP(CONCATENATE($D2565,$G2565),CSRFinput!$B:$E,4,0)=0,OR(H2565=MappingTables!$C$34,H2565=MappingTables!$C$35)),1,VLOOKUP(CONCATENATE($D2565,$G2565),CSRFinput!$B:$E,4,0))),0,IF(AND(VLOOKUP(CONCATENATE($D2565,$G2565),CSRFinput!$B:$E,4,0)=0,OR(H2565=MappingTables!$C$34,H2565=MappingTables!$C$35)),1,VLOOKUP(CONCATENATE($D2565,$G2565),CSRFinput!$B:$E,4,0)))</f>
        <v>0.054776304963434752</v>
      </c>
      <c r="W2565" s="85">
        <f>IF(B2565="",0,+$T2565*$V2565)</f>
        <v>5.4583509437399304</v>
      </c>
      <c r="X2565" s="85">
        <f>IF(B2565="",0,IF(OR(H2565=MappingTables!$C$34,H2565=MappingTables!$C$35),W2565,0))</f>
        <v>0</v>
      </c>
    </row>
    <row r="2566" spans="2:24" s="0" customFormat="0" ht="15">
      <c r="B2566" s="69">
        <v>24123126</v>
      </c>
      <c r="C2566" s="70" t="s">
        <v>1290</v>
      </c>
      <c r="D2566" s="70" t="s">
        <v>1</v>
      </c>
      <c r="E2566" s="70" t="s">
        <v>1</v>
      </c>
      <c r="F2566" s="70"/>
      <c r="G2566" s="70" t="s">
        <v>61</v>
      </c>
      <c r="H2566" s="70" t="s">
        <v>178</v>
      </c>
      <c r="I2566" s="70" t="s">
        <v>188</v>
      </c>
      <c r="J2566" s="71">
        <f>IF(OR(I2566=0,I2566=""),"unrated",VLOOKUP(I2566,MappingTables!$B$19:$C$31,2,FALSE))</f>
        <v>2</v>
      </c>
      <c r="K2566" s="72">
        <v>3120.911964802934</v>
      </c>
      <c r="L2566" s="70">
        <v>8.4248190940363728</v>
      </c>
      <c r="M2566" s="71">
        <f>IF(L2566&lt;1,1,L2566)</f>
        <v>8.4248190940363728</v>
      </c>
      <c r="N2566" s="70" t="s">
        <v>141</v>
      </c>
      <c r="O2566" s="71">
        <f>INDEX(DurClassMapping,MATCH(M2566,MappingTables!$D$4:$D$8,-1),1)</f>
        <v>2</v>
      </c>
      <c r="P2566" s="73">
        <f>IF(M2566=$A$1,1,$M2566-INDEX(MappingTables!$E$4:$E$8,MATCH(O2566,MappingTables!$B$4:$B$8,0)))</f>
        <v>3.4248190940363728</v>
      </c>
      <c r="Q2566" s="71">
        <f>IF(B2566="",0,INDEX(ModelParameters!$D$6:$K$10,MATCH($O2566,ModelParameters!$B$6:$B$10,0),MATCH($J2566,ModelParameters!$D$5:$K$5,0)))</f>
        <v>0.0069999999999999992</v>
      </c>
      <c r="R2566" s="71">
        <f>IF(B2566="",0,INDEX(ModelParameters!$D$13:$K$17,MATCH($O2566,ModelParameters!$B$13:$B$17,0),MATCH($J2566,ModelParameters!$D$5:$K$5,0)))</f>
        <v>0.070000000000000008</v>
      </c>
      <c r="S2566" s="160">
        <f>IF(B2566="",0,MIN(IF($N2566="Other Bond TM",ModelParameters!$N$21,1)*(P2566*Q2566+R2566),1))</f>
        <v>0.093973733658254624</v>
      </c>
      <c r="T2566" s="85">
        <f>IF(B2566="",0,$S2566*$K2566)</f>
        <v>293.28374975125104</v>
      </c>
      <c r="U2566" s="85">
        <f>IF(B2566="",0,IF(OR(H2566=MappingTables!$C$34,H2566=MappingTables!$C$35),T2566,0))</f>
        <v>0</v>
      </c>
      <c r="V2566" s="85">
        <f>IF(ISNA(IF(AND(VLOOKUP(CONCATENATE($D2566,$G2566),CSRFinput!$B:$E,4,0)=0,OR(H2566=MappingTables!$C$34,H2566=MappingTables!$C$35)),1,VLOOKUP(CONCATENATE($D2566,$G2566),CSRFinput!$B:$E,4,0))),0,IF(AND(VLOOKUP(CONCATENATE($D2566,$G2566),CSRFinput!$B:$E,4,0)=0,OR(H2566=MappingTables!$C$34,H2566=MappingTables!$C$35)),1,VLOOKUP(CONCATENATE($D2566,$G2566),CSRFinput!$B:$E,4,0)))</f>
        <v>0.054776304963434752</v>
      </c>
      <c r="W2566" s="85">
        <f>IF(B2566="",0,+$T2566*$V2566)</f>
        <v>16.06500011719421</v>
      </c>
      <c r="X2566" s="85">
        <f>IF(B2566="",0,IF(OR(H2566=MappingTables!$C$34,H2566=MappingTables!$C$35),W2566,0))</f>
        <v>0</v>
      </c>
    </row>
    <row r="2567" spans="2:24" s="0" customFormat="0" ht="15">
      <c r="B2567" s="69">
        <v>18091585</v>
      </c>
      <c r="C2567" s="70" t="s">
        <v>2490</v>
      </c>
      <c r="D2567" s="70" t="s">
        <v>1</v>
      </c>
      <c r="E2567" s="70" t="s">
        <v>1</v>
      </c>
      <c r="F2567" s="70"/>
      <c r="G2567" s="70" t="s">
        <v>61</v>
      </c>
      <c r="H2567" s="70" t="s">
        <v>178</v>
      </c>
      <c r="I2567" s="70" t="s">
        <v>179</v>
      </c>
      <c r="J2567" s="71">
        <f>IF(OR(I2567=0,I2567=""),"unrated",VLOOKUP(I2567,MappingTables!$B$19:$C$31,2,FALSE))</f>
        <v>4</v>
      </c>
      <c r="K2567" s="72">
        <v>26401.835963112924</v>
      </c>
      <c r="L2567" s="70">
        <v>1.0633069644681696</v>
      </c>
      <c r="M2567" s="71">
        <f>IF(L2567&lt;1,1,L2567)</f>
        <v>1.0633069644681696</v>
      </c>
      <c r="N2567" s="70" t="s">
        <v>141</v>
      </c>
      <c r="O2567" s="71">
        <f>INDEX(DurClassMapping,MATCH(M2567,MappingTables!$D$4:$D$8,-1),1)</f>
        <v>1</v>
      </c>
      <c r="P2567" s="73">
        <f>IF(M2567=$A$1,1,$M2567-INDEX(MappingTables!$E$4:$E$8,MATCH(O2567,MappingTables!$B$4:$B$8,0)))</f>
        <v>1.0633069644681696</v>
      </c>
      <c r="Q2567" s="71">
        <f>IF(B2567="",0,INDEX(ModelParameters!$D$6:$K$10,MATCH($O2567,ModelParameters!$B$6:$B$10,0),MATCH($J2567,ModelParameters!$D$5:$K$5,0)))</f>
        <v>0.045</v>
      </c>
      <c r="R2567" s="71">
        <f>IF(B2567="",0,INDEX(ModelParameters!$D$13:$K$17,MATCH($O2567,ModelParameters!$B$13:$B$17,0),MATCH($J2567,ModelParameters!$D$5:$K$5,0)))</f>
        <v>0</v>
      </c>
      <c r="S2567" s="160">
        <f>IF(B2567="",0,MIN(IF($N2567="Other Bond TM",ModelParameters!$N$21,1)*(P2567*Q2567+R2567),1))</f>
        <v>0.047848813401067632</v>
      </c>
      <c r="T2567" s="85">
        <f>IF(B2567="",0,$S2567*$K2567)</f>
        <v>1263.296522444587</v>
      </c>
      <c r="U2567" s="85">
        <f>IF(B2567="",0,IF(OR(H2567=MappingTables!$C$34,H2567=MappingTables!$C$35),T2567,0))</f>
        <v>0</v>
      </c>
      <c r="V2567" s="85">
        <f>IF(ISNA(IF(AND(VLOOKUP(CONCATENATE($D2567,$G2567),CSRFinput!$B:$E,4,0)=0,OR(H2567=MappingTables!$C$34,H2567=MappingTables!$C$35)),1,VLOOKUP(CONCATENATE($D2567,$G2567),CSRFinput!$B:$E,4,0))),0,IF(AND(VLOOKUP(CONCATENATE($D2567,$G2567),CSRFinput!$B:$E,4,0)=0,OR(H2567=MappingTables!$C$34,H2567=MappingTables!$C$35)),1,VLOOKUP(CONCATENATE($D2567,$G2567),CSRFinput!$B:$E,4,0)))</f>
        <v>0.054776304963434752</v>
      </c>
      <c r="W2567" s="85">
        <f>IF(B2567="",0,+$T2567*$V2567)</f>
        <v>69.198715572671288</v>
      </c>
      <c r="X2567" s="85">
        <f>IF(B2567="",0,IF(OR(H2567=MappingTables!$C$34,H2567=MappingTables!$C$35),W2567,0))</f>
        <v>0</v>
      </c>
    </row>
    <row r="2568" spans="2:24" s="0" customFormat="0" ht="15">
      <c r="B2568" s="69">
        <v>17447587</v>
      </c>
      <c r="C2568" s="70" t="s">
        <v>1337</v>
      </c>
      <c r="D2568" s="70" t="s">
        <v>1</v>
      </c>
      <c r="E2568" s="70" t="s">
        <v>1</v>
      </c>
      <c r="F2568" s="70"/>
      <c r="G2568" s="70" t="s">
        <v>61</v>
      </c>
      <c r="H2568" s="70" t="s">
        <v>178</v>
      </c>
      <c r="I2568" s="70" t="s">
        <v>188</v>
      </c>
      <c r="J2568" s="71">
        <f>IF(OR(I2568=0,I2568=""),"unrated",VLOOKUP(I2568,MappingTables!$B$19:$C$31,2,FALSE))</f>
        <v>2</v>
      </c>
      <c r="K2568" s="72">
        <v>0.058938790720839888</v>
      </c>
      <c r="L2568" s="70">
        <v>2.4528192474137644</v>
      </c>
      <c r="M2568" s="71">
        <f>IF(L2568&lt;1,1,L2568)</f>
        <v>2.4528192474137644</v>
      </c>
      <c r="N2568" s="70" t="s">
        <v>141</v>
      </c>
      <c r="O2568" s="71">
        <f>INDEX(DurClassMapping,MATCH(M2568,MappingTables!$D$4:$D$8,-1),1)</f>
        <v>1</v>
      </c>
      <c r="P2568" s="73">
        <f>IF(M2568=$A$1,1,$M2568-INDEX(MappingTables!$E$4:$E$8,MATCH(O2568,MappingTables!$B$4:$B$8,0)))</f>
        <v>2.4528192474137644</v>
      </c>
      <c r="Q2568" s="71">
        <f>IF(B2568="",0,INDEX(ModelParameters!$D$6:$K$10,MATCH($O2568,ModelParameters!$B$6:$B$10,0),MATCH($J2568,ModelParameters!$D$5:$K$5,0)))</f>
        <v>0.013999999999999998</v>
      </c>
      <c r="R2568" s="71">
        <f>IF(B2568="",0,INDEX(ModelParameters!$D$13:$K$17,MATCH($O2568,ModelParameters!$B$13:$B$17,0),MATCH($J2568,ModelParameters!$D$5:$K$5,0)))</f>
        <v>0</v>
      </c>
      <c r="S2568" s="160">
        <f>IF(B2568="",0,MIN(IF($N2568="Other Bond TM",ModelParameters!$N$21,1)*(P2568*Q2568+R2568),1))</f>
        <v>0.034339469463792696</v>
      </c>
      <c r="T2568" s="85">
        <f>IF(B2568="",0,$S2568*$K2568)</f>
        <v>0.0020239268041911496</v>
      </c>
      <c r="U2568" s="85">
        <f>IF(B2568="",0,IF(OR(H2568=MappingTables!$C$34,H2568=MappingTables!$C$35),T2568,0))</f>
        <v>0</v>
      </c>
      <c r="V2568" s="85">
        <f>IF(ISNA(IF(AND(VLOOKUP(CONCATENATE($D2568,$G2568),CSRFinput!$B:$E,4,0)=0,OR(H2568=MappingTables!$C$34,H2568=MappingTables!$C$35)),1,VLOOKUP(CONCATENATE($D2568,$G2568),CSRFinput!$B:$E,4,0))),0,IF(AND(VLOOKUP(CONCATENATE($D2568,$G2568),CSRFinput!$B:$E,4,0)=0,OR(H2568=MappingTables!$C$34,H2568=MappingTables!$C$35)),1,VLOOKUP(CONCATENATE($D2568,$G2568),CSRFinput!$B:$E,4,0)))</f>
        <v>0.054776304963434752</v>
      </c>
      <c r="W2568" s="85">
        <f>IF(B2568="",0,+$T2568*$V2568)</f>
        <v>0.0001108632318500443</v>
      </c>
      <c r="X2568" s="85">
        <f>IF(B2568="",0,IF(OR(H2568=MappingTables!$C$34,H2568=MappingTables!$C$35),W2568,0))</f>
        <v>0</v>
      </c>
    </row>
    <row r="2569" spans="2:24" s="0" customFormat="0" ht="15">
      <c r="B2569" s="69" t="s">
        <v>2145</v>
      </c>
      <c r="C2569" s="70" t="s">
        <v>2146</v>
      </c>
      <c r="D2569" s="70" t="s">
        <v>1</v>
      </c>
      <c r="E2569" s="70" t="s">
        <v>1</v>
      </c>
      <c r="F2569" s="70"/>
      <c r="G2569" s="70" t="s">
        <v>61</v>
      </c>
      <c r="H2569" s="70" t="s">
        <v>178</v>
      </c>
      <c r="I2569" s="70" t="s">
        <v>198</v>
      </c>
      <c r="J2569" s="71" t="str">
        <f>IF(OR(I2569=0,I2569=""),"unrated",VLOOKUP(I2569,MappingTables!$B$19:$C$31,2,FALSE))</f>
        <v>unrated</v>
      </c>
      <c r="K2569" s="72">
        <v>0.13998206392224122</v>
      </c>
      <c r="L2569" s="70">
        <v>0.30136715524207552</v>
      </c>
      <c r="M2569" s="71">
        <f>IF(L2569&lt;1,1,L2569)</f>
        <v>1</v>
      </c>
      <c r="N2569" s="70" t="s">
        <v>141</v>
      </c>
      <c r="O2569" s="71">
        <f>INDEX(DurClassMapping,MATCH(M2569,MappingTables!$D$4:$D$8,-1),1)</f>
        <v>1</v>
      </c>
      <c r="P2569" s="73">
        <f>IF(M2569=$A$1,1,$M2569-INDEX(MappingTables!$E$4:$E$8,MATCH(O2569,MappingTables!$B$4:$B$8,0)))</f>
        <v>1</v>
      </c>
      <c r="Q2569" s="71">
        <f>IF(B2569="",0,INDEX(ModelParameters!$D$6:$K$10,MATCH($O2569,ModelParameters!$B$6:$B$10,0),MATCH($J2569,ModelParameters!$D$5:$K$5,0)))</f>
        <v>0.03</v>
      </c>
      <c r="R2569" s="71">
        <f>IF(B2569="",0,INDEX(ModelParameters!$D$13:$K$17,MATCH($O2569,ModelParameters!$B$13:$B$17,0),MATCH($J2569,ModelParameters!$D$5:$K$5,0)))</f>
        <v>0</v>
      </c>
      <c r="S2569" s="160">
        <f>IF(B2569="",0,MIN(IF($N2569="Other Bond TM",ModelParameters!$N$21,1)*(P2569*Q2569+R2569),1))</f>
        <v>0.03</v>
      </c>
      <c r="T2569" s="85">
        <f>IF(B2569="",0,$S2569*$K2569)</f>
        <v>0.004199461917667236</v>
      </c>
      <c r="U2569" s="85">
        <f>IF(B2569="",0,IF(OR(H2569=MappingTables!$C$34,H2569=MappingTables!$C$35),T2569,0))</f>
        <v>0</v>
      </c>
      <c r="V2569" s="85">
        <f>IF(ISNA(IF(AND(VLOOKUP(CONCATENATE($D2569,$G2569),CSRFinput!$B:$E,4,0)=0,OR(H2569=MappingTables!$C$34,H2569=MappingTables!$C$35)),1,VLOOKUP(CONCATENATE($D2569,$G2569),CSRFinput!$B:$E,4,0))),0,IF(AND(VLOOKUP(CONCATENATE($D2569,$G2569),CSRFinput!$B:$E,4,0)=0,OR(H2569=MappingTables!$C$34,H2569=MappingTables!$C$35)),1,VLOOKUP(CONCATENATE($D2569,$G2569),CSRFinput!$B:$E,4,0)))</f>
        <v>0.054776304963434752</v>
      </c>
      <c r="W2569" s="85">
        <f>IF(B2569="",0,+$T2569*$V2569)</f>
        <v>0.00023003100668447108</v>
      </c>
      <c r="X2569" s="85">
        <f>IF(B2569="",0,IF(OR(H2569=MappingTables!$C$34,H2569=MappingTables!$C$35),W2569,0))</f>
        <v>0</v>
      </c>
    </row>
    <row r="2570" spans="2:24" s="0" customFormat="0" ht="15">
      <c r="B2570" s="69">
        <v>11252237</v>
      </c>
      <c r="C2570" s="70" t="s">
        <v>2491</v>
      </c>
      <c r="D2570" s="70" t="s">
        <v>1</v>
      </c>
      <c r="E2570" s="70" t="s">
        <v>1</v>
      </c>
      <c r="F2570" s="70"/>
      <c r="G2570" s="70" t="s">
        <v>61</v>
      </c>
      <c r="H2570" s="70" t="s">
        <v>178</v>
      </c>
      <c r="I2570" s="70" t="s">
        <v>188</v>
      </c>
      <c r="J2570" s="71">
        <f>IF(OR(I2570=0,I2570=""),"unrated",VLOOKUP(I2570,MappingTables!$B$19:$C$31,2,FALSE))</f>
        <v>2</v>
      </c>
      <c r="K2570" s="72">
        <v>25.377629386020004</v>
      </c>
      <c r="L2570" s="70">
        <v>0.26472519642869192</v>
      </c>
      <c r="M2570" s="71">
        <f>IF(L2570&lt;1,1,L2570)</f>
        <v>1</v>
      </c>
      <c r="N2570" s="70" t="s">
        <v>141</v>
      </c>
      <c r="O2570" s="71">
        <f>INDEX(DurClassMapping,MATCH(M2570,MappingTables!$D$4:$D$8,-1),1)</f>
        <v>1</v>
      </c>
      <c r="P2570" s="73">
        <f>IF(M2570=$A$1,1,$M2570-INDEX(MappingTables!$E$4:$E$8,MATCH(O2570,MappingTables!$B$4:$B$8,0)))</f>
        <v>1</v>
      </c>
      <c r="Q2570" s="71">
        <f>IF(B2570="",0,INDEX(ModelParameters!$D$6:$K$10,MATCH($O2570,ModelParameters!$B$6:$B$10,0),MATCH($J2570,ModelParameters!$D$5:$K$5,0)))</f>
        <v>0.013999999999999998</v>
      </c>
      <c r="R2570" s="71">
        <f>IF(B2570="",0,INDEX(ModelParameters!$D$13:$K$17,MATCH($O2570,ModelParameters!$B$13:$B$17,0),MATCH($J2570,ModelParameters!$D$5:$K$5,0)))</f>
        <v>0</v>
      </c>
      <c r="S2570" s="160">
        <f>IF(B2570="",0,MIN(IF($N2570="Other Bond TM",ModelParameters!$N$21,1)*(P2570*Q2570+R2570),1))</f>
        <v>0.013999999999999998</v>
      </c>
      <c r="T2570" s="85">
        <f>IF(B2570="",0,$S2570*$K2570)</f>
        <v>0.35528681140428004</v>
      </c>
      <c r="U2570" s="85">
        <f>IF(B2570="",0,IF(OR(H2570=MappingTables!$C$34,H2570=MappingTables!$C$35),T2570,0))</f>
        <v>0</v>
      </c>
      <c r="V2570" s="85">
        <f>IF(ISNA(IF(AND(VLOOKUP(CONCATENATE($D2570,$G2570),CSRFinput!$B:$E,4,0)=0,OR(H2570=MappingTables!$C$34,H2570=MappingTables!$C$35)),1,VLOOKUP(CONCATENATE($D2570,$G2570),CSRFinput!$B:$E,4,0))),0,IF(AND(VLOOKUP(CONCATENATE($D2570,$G2570),CSRFinput!$B:$E,4,0)=0,OR(H2570=MappingTables!$C$34,H2570=MappingTables!$C$35)),1,VLOOKUP(CONCATENATE($D2570,$G2570),CSRFinput!$B:$E,4,0)))</f>
        <v>0.054776304963434752</v>
      </c>
      <c r="W2570" s="85">
        <f>IF(B2570="",0,+$T2570*$V2570)</f>
        <v>0.019461298730967172</v>
      </c>
      <c r="X2570" s="85">
        <f>IF(B2570="",0,IF(OR(H2570=MappingTables!$C$34,H2570=MappingTables!$C$35),W2570,0))</f>
        <v>0</v>
      </c>
    </row>
    <row r="2571" spans="2:24" s="0" customFormat="0" ht="15">
      <c r="B2571" s="69">
        <v>21451967</v>
      </c>
      <c r="C2571" s="70" t="s">
        <v>1955</v>
      </c>
      <c r="D2571" s="70" t="s">
        <v>1</v>
      </c>
      <c r="E2571" s="70" t="s">
        <v>1</v>
      </c>
      <c r="F2571" s="70"/>
      <c r="G2571" s="70" t="s">
        <v>61</v>
      </c>
      <c r="H2571" s="70" t="s">
        <v>178</v>
      </c>
      <c r="I2571" s="70" t="s">
        <v>184</v>
      </c>
      <c r="J2571" s="71">
        <f>IF(OR(I2571=0,I2571=""),"unrated",VLOOKUP(I2571,MappingTables!$B$19:$C$31,2,FALSE))</f>
        <v>5</v>
      </c>
      <c r="K2571" s="72">
        <v>203.45308642564696</v>
      </c>
      <c r="L2571" s="70">
        <v>0.84483761835906784</v>
      </c>
      <c r="M2571" s="71">
        <f>IF(L2571&lt;1,1,L2571)</f>
        <v>1</v>
      </c>
      <c r="N2571" s="70" t="s">
        <v>141</v>
      </c>
      <c r="O2571" s="71">
        <f>INDEX(DurClassMapping,MATCH(M2571,MappingTables!$D$4:$D$8,-1),1)</f>
        <v>1</v>
      </c>
      <c r="P2571" s="73">
        <f>IF(M2571=$A$1,1,$M2571-INDEX(MappingTables!$E$4:$E$8,MATCH(O2571,MappingTables!$B$4:$B$8,0)))</f>
        <v>1</v>
      </c>
      <c r="Q2571" s="71">
        <f>IF(B2571="",0,INDEX(ModelParameters!$D$6:$K$10,MATCH($O2571,ModelParameters!$B$6:$B$10,0),MATCH($J2571,ModelParameters!$D$5:$K$5,0)))</f>
        <v>0.075</v>
      </c>
      <c r="R2571" s="71">
        <f>IF(B2571="",0,INDEX(ModelParameters!$D$13:$K$17,MATCH($O2571,ModelParameters!$B$13:$B$17,0),MATCH($J2571,ModelParameters!$D$5:$K$5,0)))</f>
        <v>0</v>
      </c>
      <c r="S2571" s="160">
        <f>IF(B2571="",0,MIN(IF($N2571="Other Bond TM",ModelParameters!$N$21,1)*(P2571*Q2571+R2571),1))</f>
        <v>0.075</v>
      </c>
      <c r="T2571" s="85">
        <f>IF(B2571="",0,$S2571*$K2571)</f>
        <v>15.25898148192352</v>
      </c>
      <c r="U2571" s="85">
        <f>IF(B2571="",0,IF(OR(H2571=MappingTables!$C$34,H2571=MappingTables!$C$35),T2571,0))</f>
        <v>0</v>
      </c>
      <c r="V2571" s="85">
        <f>IF(ISNA(IF(AND(VLOOKUP(CONCATENATE($D2571,$G2571),CSRFinput!$B:$E,4,0)=0,OR(H2571=MappingTables!$C$34,H2571=MappingTables!$C$35)),1,VLOOKUP(CONCATENATE($D2571,$G2571),CSRFinput!$B:$E,4,0))),0,IF(AND(VLOOKUP(CONCATENATE($D2571,$G2571),CSRFinput!$B:$E,4,0)=0,OR(H2571=MappingTables!$C$34,H2571=MappingTables!$C$35)),1,VLOOKUP(CONCATENATE($D2571,$G2571),CSRFinput!$B:$E,4,0)))</f>
        <v>0.054776304963434752</v>
      </c>
      <c r="W2571" s="85">
        <f>IF(B2571="",0,+$T2571*$V2571)</f>
        <v>0.83583062308524624</v>
      </c>
      <c r="X2571" s="85">
        <f>IF(B2571="",0,IF(OR(H2571=MappingTables!$C$34,H2571=MappingTables!$C$35),W2571,0))</f>
        <v>0</v>
      </c>
    </row>
    <row r="2572" spans="2:24" s="0" customFormat="0" ht="15">
      <c r="B2572" s="69">
        <v>11804267</v>
      </c>
      <c r="C2572" s="70" t="s">
        <v>1142</v>
      </c>
      <c r="D2572" s="70" t="s">
        <v>1</v>
      </c>
      <c r="E2572" s="70" t="s">
        <v>1</v>
      </c>
      <c r="F2572" s="70"/>
      <c r="G2572" s="70" t="s">
        <v>61</v>
      </c>
      <c r="H2572" s="70" t="s">
        <v>178</v>
      </c>
      <c r="I2572" s="70" t="s">
        <v>181</v>
      </c>
      <c r="J2572" s="71">
        <f>IF(OR(I2572=0,I2572=""),"unrated",VLOOKUP(I2572,MappingTables!$B$19:$C$31,2,FALSE))</f>
        <v>3</v>
      </c>
      <c r="K2572" s="72">
        <v>724.21143861937776</v>
      </c>
      <c r="L2572" s="70">
        <v>0.04109592960423848</v>
      </c>
      <c r="M2572" s="71">
        <f>IF(L2572&lt;1,1,L2572)</f>
        <v>1</v>
      </c>
      <c r="N2572" s="70" t="s">
        <v>141</v>
      </c>
      <c r="O2572" s="71">
        <f>INDEX(DurClassMapping,MATCH(M2572,MappingTables!$D$4:$D$8,-1),1)</f>
        <v>1</v>
      </c>
      <c r="P2572" s="73">
        <f>IF(M2572=$A$1,1,$M2572-INDEX(MappingTables!$E$4:$E$8,MATCH(O2572,MappingTables!$B$4:$B$8,0)))</f>
        <v>1</v>
      </c>
      <c r="Q2572" s="71">
        <f>IF(B2572="",0,INDEX(ModelParameters!$D$6:$K$10,MATCH($O2572,ModelParameters!$B$6:$B$10,0),MATCH($J2572,ModelParameters!$D$5:$K$5,0)))</f>
        <v>0.025</v>
      </c>
      <c r="R2572" s="71">
        <f>IF(B2572="",0,INDEX(ModelParameters!$D$13:$K$17,MATCH($O2572,ModelParameters!$B$13:$B$17,0),MATCH($J2572,ModelParameters!$D$5:$K$5,0)))</f>
        <v>0</v>
      </c>
      <c r="S2572" s="160">
        <f>IF(B2572="",0,MIN(IF($N2572="Other Bond TM",ModelParameters!$N$21,1)*(P2572*Q2572+R2572),1))</f>
        <v>0.025</v>
      </c>
      <c r="T2572" s="85">
        <f>IF(B2572="",0,$S2572*$K2572)</f>
        <v>18.105285965484444</v>
      </c>
      <c r="U2572" s="85">
        <f>IF(B2572="",0,IF(OR(H2572=MappingTables!$C$34,H2572=MappingTables!$C$35),T2572,0))</f>
        <v>0</v>
      </c>
      <c r="V2572" s="85">
        <f>IF(ISNA(IF(AND(VLOOKUP(CONCATENATE($D2572,$G2572),CSRFinput!$B:$E,4,0)=0,OR(H2572=MappingTables!$C$34,H2572=MappingTables!$C$35)),1,VLOOKUP(CONCATENATE($D2572,$G2572),CSRFinput!$B:$E,4,0))),0,IF(AND(VLOOKUP(CONCATENATE($D2572,$G2572),CSRFinput!$B:$E,4,0)=0,OR(H2572=MappingTables!$C$34,H2572=MappingTables!$C$35)),1,VLOOKUP(CONCATENATE($D2572,$G2572),CSRFinput!$B:$E,4,0)))</f>
        <v>0.054776304963434752</v>
      </c>
      <c r="W2572" s="85">
        <f>IF(B2572="",0,+$T2572*$V2572)</f>
        <v>0.9917406654955712</v>
      </c>
      <c r="X2572" s="85">
        <f>IF(B2572="",0,IF(OR(H2572=MappingTables!$C$34,H2572=MappingTables!$C$35),W2572,0))</f>
        <v>0</v>
      </c>
    </row>
    <row r="2573" spans="2:24" s="0" customFormat="0" ht="15">
      <c r="B2573" s="69">
        <v>21774078</v>
      </c>
      <c r="C2573" s="70" t="s">
        <v>1075</v>
      </c>
      <c r="D2573" s="70" t="s">
        <v>1</v>
      </c>
      <c r="E2573" s="70" t="s">
        <v>1</v>
      </c>
      <c r="F2573" s="70"/>
      <c r="G2573" s="70" t="s">
        <v>61</v>
      </c>
      <c r="H2573" s="70" t="s">
        <v>178</v>
      </c>
      <c r="I2573" s="70" t="s">
        <v>179</v>
      </c>
      <c r="J2573" s="71">
        <f>IF(OR(I2573=0,I2573=""),"unrated",VLOOKUP(I2573,MappingTables!$B$19:$C$31,2,FALSE))</f>
        <v>4</v>
      </c>
      <c r="K2573" s="72">
        <v>102288.5278286051</v>
      </c>
      <c r="L2573" s="70">
        <v>7.7626242761117088</v>
      </c>
      <c r="M2573" s="71">
        <f>IF(L2573&lt;1,1,L2573)</f>
        <v>7.7626242761117088</v>
      </c>
      <c r="N2573" s="70" t="s">
        <v>141</v>
      </c>
      <c r="O2573" s="71">
        <f>INDEX(DurClassMapping,MATCH(M2573,MappingTables!$D$4:$D$8,-1),1)</f>
        <v>2</v>
      </c>
      <c r="P2573" s="73">
        <f>IF(M2573=$A$1,1,$M2573-INDEX(MappingTables!$E$4:$E$8,MATCH(O2573,MappingTables!$B$4:$B$8,0)))</f>
        <v>2.7626242761117092</v>
      </c>
      <c r="Q2573" s="71">
        <f>IF(B2573="",0,INDEX(ModelParameters!$D$6:$K$10,MATCH($O2573,ModelParameters!$B$6:$B$10,0),MATCH($J2573,ModelParameters!$D$5:$K$5,0)))</f>
        <v>0.025</v>
      </c>
      <c r="R2573" s="71">
        <f>IF(B2573="",0,INDEX(ModelParameters!$D$13:$K$17,MATCH($O2573,ModelParameters!$B$13:$B$17,0),MATCH($J2573,ModelParameters!$D$5:$K$5,0)))</f>
        <v>0.225</v>
      </c>
      <c r="S2573" s="160">
        <f>IF(B2573="",0,MIN(IF($N2573="Other Bond TM",ModelParameters!$N$21,1)*(P2573*Q2573+R2573),1))</f>
        <v>0.29406560690279272</v>
      </c>
      <c r="T2573" s="85">
        <f>IF(B2573="",0,$S2573*$K2573)</f>
        <v>30079.53801511196</v>
      </c>
      <c r="U2573" s="85">
        <f>IF(B2573="",0,IF(OR(H2573=MappingTables!$C$34,H2573=MappingTables!$C$35),T2573,0))</f>
        <v>0</v>
      </c>
      <c r="V2573" s="85">
        <f>IF(ISNA(IF(AND(VLOOKUP(CONCATENATE($D2573,$G2573),CSRFinput!$B:$E,4,0)=0,OR(H2573=MappingTables!$C$34,H2573=MappingTables!$C$35)),1,VLOOKUP(CONCATENATE($D2573,$G2573),CSRFinput!$B:$E,4,0))),0,IF(AND(VLOOKUP(CONCATENATE($D2573,$G2573),CSRFinput!$B:$E,4,0)=0,OR(H2573=MappingTables!$C$34,H2573=MappingTables!$C$35)),1,VLOOKUP(CONCATENATE($D2573,$G2573),CSRFinput!$B:$E,4,0)))</f>
        <v>0.054776304963434752</v>
      </c>
      <c r="W2573" s="85">
        <f>IF(B2573="",0,+$T2573*$V2573)</f>
        <v>1647.6459474750016</v>
      </c>
      <c r="X2573" s="85">
        <f>IF(B2573="",0,IF(OR(H2573=MappingTables!$C$34,H2573=MappingTables!$C$35),W2573,0))</f>
        <v>0</v>
      </c>
    </row>
    <row r="2574" spans="2:24" s="0" customFormat="0" ht="15">
      <c r="B2574" s="69">
        <v>21736772</v>
      </c>
      <c r="C2574" s="70" t="s">
        <v>2492</v>
      </c>
      <c r="D2574" s="70" t="s">
        <v>1</v>
      </c>
      <c r="E2574" s="70" t="s">
        <v>1</v>
      </c>
      <c r="F2574" s="70"/>
      <c r="G2574" s="70" t="s">
        <v>61</v>
      </c>
      <c r="H2574" s="70" t="s">
        <v>178</v>
      </c>
      <c r="I2574" s="70" t="s">
        <v>181</v>
      </c>
      <c r="J2574" s="71">
        <f>IF(OR(I2574=0,I2574=""),"unrated",VLOOKUP(I2574,MappingTables!$B$19:$C$31,2,FALSE))</f>
        <v>3</v>
      </c>
      <c r="K2574" s="72">
        <v>7537.2742661831584</v>
      </c>
      <c r="L2574" s="70">
        <v>7.2083043138791776</v>
      </c>
      <c r="M2574" s="71">
        <f>IF(L2574&lt;1,1,L2574)</f>
        <v>7.2083043138791776</v>
      </c>
      <c r="N2574" s="70" t="s">
        <v>141</v>
      </c>
      <c r="O2574" s="71">
        <f>INDEX(DurClassMapping,MATCH(M2574,MappingTables!$D$4:$D$8,-1),1)</f>
        <v>2</v>
      </c>
      <c r="P2574" s="73">
        <f>IF(M2574=$A$1,1,$M2574-INDEX(MappingTables!$E$4:$E$8,MATCH(O2574,MappingTables!$B$4:$B$8,0)))</f>
        <v>2.2083043138791768</v>
      </c>
      <c r="Q2574" s="71">
        <f>IF(B2574="",0,INDEX(ModelParameters!$D$6:$K$10,MATCH($O2574,ModelParameters!$B$6:$B$10,0),MATCH($J2574,ModelParameters!$D$5:$K$5,0)))</f>
        <v>0.015</v>
      </c>
      <c r="R2574" s="71">
        <f>IF(B2574="",0,INDEX(ModelParameters!$D$13:$K$17,MATCH($O2574,ModelParameters!$B$13:$B$17,0),MATCH($J2574,ModelParameters!$D$5:$K$5,0)))</f>
        <v>0.125</v>
      </c>
      <c r="S2574" s="160">
        <f>IF(B2574="",0,MIN(IF($N2574="Other Bond TM",ModelParameters!$N$21,1)*(P2574*Q2574+R2574),1))</f>
        <v>0.15812456470818764</v>
      </c>
      <c r="T2574" s="85">
        <f>IF(B2574="",0,$S2574*$K2574)</f>
        <v>1191.8282124264364</v>
      </c>
      <c r="U2574" s="85">
        <f>IF(B2574="",0,IF(OR(H2574=MappingTables!$C$34,H2574=MappingTables!$C$35),T2574,0))</f>
        <v>0</v>
      </c>
      <c r="V2574" s="85">
        <f>IF(ISNA(IF(AND(VLOOKUP(CONCATENATE($D2574,$G2574),CSRFinput!$B:$E,4,0)=0,OR(H2574=MappingTables!$C$34,H2574=MappingTables!$C$35)),1,VLOOKUP(CONCATENATE($D2574,$G2574),CSRFinput!$B:$E,4,0))),0,IF(AND(VLOOKUP(CONCATENATE($D2574,$G2574),CSRFinput!$B:$E,4,0)=0,OR(H2574=MappingTables!$C$34,H2574=MappingTables!$C$35)),1,VLOOKUP(CONCATENATE($D2574,$G2574),CSRFinput!$B:$E,4,0)))</f>
        <v>0.054776304963434752</v>
      </c>
      <c r="W2574" s="85">
        <f>IF(B2574="",0,+$T2574*$V2574)</f>
        <v>65.283945627895792</v>
      </c>
      <c r="X2574" s="85">
        <f>IF(B2574="",0,IF(OR(H2574=MappingTables!$C$34,H2574=MappingTables!$C$35),W2574,0))</f>
        <v>0</v>
      </c>
    </row>
    <row r="2575" spans="2:24" s="0" customFormat="0" ht="15">
      <c r="B2575" s="69">
        <v>3260336</v>
      </c>
      <c r="C2575" s="70" t="s">
        <v>1701</v>
      </c>
      <c r="D2575" s="70" t="s">
        <v>1</v>
      </c>
      <c r="E2575" s="70" t="s">
        <v>1</v>
      </c>
      <c r="F2575" s="70"/>
      <c r="G2575" s="70" t="s">
        <v>61</v>
      </c>
      <c r="H2575" s="70" t="s">
        <v>178</v>
      </c>
      <c r="I2575" s="70" t="s">
        <v>181</v>
      </c>
      <c r="J2575" s="71">
        <f>IF(OR(I2575=0,I2575=""),"unrated",VLOOKUP(I2575,MappingTables!$B$19:$C$31,2,FALSE))</f>
        <v>3</v>
      </c>
      <c r="K2575" s="72">
        <v>2.0090203841631348</v>
      </c>
      <c r="L2575" s="70">
        <v>1.8841534772875068</v>
      </c>
      <c r="M2575" s="71">
        <f>IF(L2575&lt;1,1,L2575)</f>
        <v>1.8841534772875068</v>
      </c>
      <c r="N2575" s="70" t="s">
        <v>141</v>
      </c>
      <c r="O2575" s="71">
        <f>INDEX(DurClassMapping,MATCH(M2575,MappingTables!$D$4:$D$8,-1),1)</f>
        <v>1</v>
      </c>
      <c r="P2575" s="73">
        <f>IF(M2575=$A$1,1,$M2575-INDEX(MappingTables!$E$4:$E$8,MATCH(O2575,MappingTables!$B$4:$B$8,0)))</f>
        <v>1.8841534772875068</v>
      </c>
      <c r="Q2575" s="71">
        <f>IF(B2575="",0,INDEX(ModelParameters!$D$6:$K$10,MATCH($O2575,ModelParameters!$B$6:$B$10,0),MATCH($J2575,ModelParameters!$D$5:$K$5,0)))</f>
        <v>0.025</v>
      </c>
      <c r="R2575" s="71">
        <f>IF(B2575="",0,INDEX(ModelParameters!$D$13:$K$17,MATCH($O2575,ModelParameters!$B$13:$B$17,0),MATCH($J2575,ModelParameters!$D$5:$K$5,0)))</f>
        <v>0</v>
      </c>
      <c r="S2575" s="160">
        <f>IF(B2575="",0,MIN(IF($N2575="Other Bond TM",ModelParameters!$N$21,1)*(P2575*Q2575+R2575),1))</f>
        <v>0.047103836932187672</v>
      </c>
      <c r="T2575" s="85">
        <f>IF(B2575="",0,$S2575*$K2575)</f>
        <v>0.094632568569061328</v>
      </c>
      <c r="U2575" s="85">
        <f>IF(B2575="",0,IF(OR(H2575=MappingTables!$C$34,H2575=MappingTables!$C$35),T2575,0))</f>
        <v>0</v>
      </c>
      <c r="V2575" s="85">
        <f>IF(ISNA(IF(AND(VLOOKUP(CONCATENATE($D2575,$G2575),CSRFinput!$B:$E,4,0)=0,OR(H2575=MappingTables!$C$34,H2575=MappingTables!$C$35)),1,VLOOKUP(CONCATENATE($D2575,$G2575),CSRFinput!$B:$E,4,0))),0,IF(AND(VLOOKUP(CONCATENATE($D2575,$G2575),CSRFinput!$B:$E,4,0)=0,OR(H2575=MappingTables!$C$34,H2575=MappingTables!$C$35)),1,VLOOKUP(CONCATENATE($D2575,$G2575),CSRFinput!$B:$E,4,0)))</f>
        <v>0.054776304963434752</v>
      </c>
      <c r="W2575" s="85">
        <f>IF(B2575="",0,+$T2575*$V2575)</f>
        <v>0.0051836224354120536</v>
      </c>
      <c r="X2575" s="85">
        <f>IF(B2575="",0,IF(OR(H2575=MappingTables!$C$34,H2575=MappingTables!$C$35),W2575,0))</f>
        <v>0</v>
      </c>
    </row>
    <row r="2576" spans="2:24" s="0" customFormat="0" ht="15">
      <c r="B2576" s="69">
        <v>23162552</v>
      </c>
      <c r="C2576" s="70" t="s">
        <v>1872</v>
      </c>
      <c r="D2576" s="70" t="s">
        <v>1</v>
      </c>
      <c r="E2576" s="70" t="s">
        <v>1</v>
      </c>
      <c r="F2576" s="70"/>
      <c r="G2576" s="70" t="s">
        <v>61</v>
      </c>
      <c r="H2576" s="70" t="s">
        <v>178</v>
      </c>
      <c r="I2576" s="70" t="s">
        <v>181</v>
      </c>
      <c r="J2576" s="71">
        <f>IF(OR(I2576=0,I2576=""),"unrated",VLOOKUP(I2576,MappingTables!$B$19:$C$31,2,FALSE))</f>
        <v>3</v>
      </c>
      <c r="K2576" s="72">
        <v>3137.4127722528856</v>
      </c>
      <c r="L2576" s="70">
        <v>4.313682307383752</v>
      </c>
      <c r="M2576" s="71">
        <f>IF(L2576&lt;1,1,L2576)</f>
        <v>4.313682307383752</v>
      </c>
      <c r="N2576" s="70" t="s">
        <v>141</v>
      </c>
      <c r="O2576" s="71">
        <f>INDEX(DurClassMapping,MATCH(M2576,MappingTables!$D$4:$D$8,-1),1)</f>
        <v>1</v>
      </c>
      <c r="P2576" s="73">
        <f>IF(M2576=$A$1,1,$M2576-INDEX(MappingTables!$E$4:$E$8,MATCH(O2576,MappingTables!$B$4:$B$8,0)))</f>
        <v>4.313682307383752</v>
      </c>
      <c r="Q2576" s="71">
        <f>IF(B2576="",0,INDEX(ModelParameters!$D$6:$K$10,MATCH($O2576,ModelParameters!$B$6:$B$10,0),MATCH($J2576,ModelParameters!$D$5:$K$5,0)))</f>
        <v>0.025</v>
      </c>
      <c r="R2576" s="71">
        <f>IF(B2576="",0,INDEX(ModelParameters!$D$13:$K$17,MATCH($O2576,ModelParameters!$B$13:$B$17,0),MATCH($J2576,ModelParameters!$D$5:$K$5,0)))</f>
        <v>0</v>
      </c>
      <c r="S2576" s="160">
        <f>IF(B2576="",0,MIN(IF($N2576="Other Bond TM",ModelParameters!$N$21,1)*(P2576*Q2576+R2576),1))</f>
        <v>0.10784205768459382</v>
      </c>
      <c r="T2576" s="85">
        <f>IF(B2576="",0,$S2576*$K2576)</f>
        <v>338.34504916567708</v>
      </c>
      <c r="U2576" s="85">
        <f>IF(B2576="",0,IF(OR(H2576=MappingTables!$C$34,H2576=MappingTables!$C$35),T2576,0))</f>
        <v>0</v>
      </c>
      <c r="V2576" s="85">
        <f>IF(ISNA(IF(AND(VLOOKUP(CONCATENATE($D2576,$G2576),CSRFinput!$B:$E,4,0)=0,OR(H2576=MappingTables!$C$34,H2576=MappingTables!$C$35)),1,VLOOKUP(CONCATENATE($D2576,$G2576),CSRFinput!$B:$E,4,0))),0,IF(AND(VLOOKUP(CONCATENATE($D2576,$G2576),CSRFinput!$B:$E,4,0)=0,OR(H2576=MappingTables!$C$34,H2576=MappingTables!$C$35)),1,VLOOKUP(CONCATENATE($D2576,$G2576),CSRFinput!$B:$E,4,0)))</f>
        <v>0.054776304963434752</v>
      </c>
      <c r="W2576" s="85">
        <f>IF(B2576="",0,+$T2576*$V2576)</f>
        <v>18.533291595967456</v>
      </c>
      <c r="X2576" s="85">
        <f>IF(B2576="",0,IF(OR(H2576=MappingTables!$C$34,H2576=MappingTables!$C$35),W2576,0))</f>
        <v>0</v>
      </c>
    </row>
    <row r="2577" spans="2:24" s="0" customFormat="0" ht="15">
      <c r="B2577" s="69">
        <v>11063578</v>
      </c>
      <c r="C2577" s="70" t="s">
        <v>336</v>
      </c>
      <c r="D2577" s="70" t="s">
        <v>1</v>
      </c>
      <c r="E2577" s="70" t="s">
        <v>1</v>
      </c>
      <c r="F2577" s="70"/>
      <c r="G2577" s="70" t="s">
        <v>61</v>
      </c>
      <c r="H2577" s="70" t="s">
        <v>178</v>
      </c>
      <c r="I2577" s="70" t="s">
        <v>188</v>
      </c>
      <c r="J2577" s="71">
        <f>IF(OR(I2577=0,I2577=""),"unrated",VLOOKUP(I2577,MappingTables!$B$19:$C$31,2,FALSE))</f>
        <v>2</v>
      </c>
      <c r="K2577" s="72">
        <v>2207.0639787985748</v>
      </c>
      <c r="L2577" s="70">
        <v>0.9149132830437448</v>
      </c>
      <c r="M2577" s="71">
        <f>IF(L2577&lt;1,1,L2577)</f>
        <v>1</v>
      </c>
      <c r="N2577" s="70" t="s">
        <v>141</v>
      </c>
      <c r="O2577" s="71">
        <f>INDEX(DurClassMapping,MATCH(M2577,MappingTables!$D$4:$D$8,-1),1)</f>
        <v>1</v>
      </c>
      <c r="P2577" s="73">
        <f>IF(M2577=$A$1,1,$M2577-INDEX(MappingTables!$E$4:$E$8,MATCH(O2577,MappingTables!$B$4:$B$8,0)))</f>
        <v>1</v>
      </c>
      <c r="Q2577" s="71">
        <f>IF(B2577="",0,INDEX(ModelParameters!$D$6:$K$10,MATCH($O2577,ModelParameters!$B$6:$B$10,0),MATCH($J2577,ModelParameters!$D$5:$K$5,0)))</f>
        <v>0.013999999999999998</v>
      </c>
      <c r="R2577" s="71">
        <f>IF(B2577="",0,INDEX(ModelParameters!$D$13:$K$17,MATCH($O2577,ModelParameters!$B$13:$B$17,0),MATCH($J2577,ModelParameters!$D$5:$K$5,0)))</f>
        <v>0</v>
      </c>
      <c r="S2577" s="160">
        <f>IF(B2577="",0,MIN(IF($N2577="Other Bond TM",ModelParameters!$N$21,1)*(P2577*Q2577+R2577),1))</f>
        <v>0.013999999999999998</v>
      </c>
      <c r="T2577" s="85">
        <f>IF(B2577="",0,$S2577*$K2577)</f>
        <v>30.89889570318004</v>
      </c>
      <c r="U2577" s="85">
        <f>IF(B2577="",0,IF(OR(H2577=MappingTables!$C$34,H2577=MappingTables!$C$35),T2577,0))</f>
        <v>0</v>
      </c>
      <c r="V2577" s="85">
        <f>IF(ISNA(IF(AND(VLOOKUP(CONCATENATE($D2577,$G2577),CSRFinput!$B:$E,4,0)=0,OR(H2577=MappingTables!$C$34,H2577=MappingTables!$C$35)),1,VLOOKUP(CONCATENATE($D2577,$G2577),CSRFinput!$B:$E,4,0))),0,IF(AND(VLOOKUP(CONCATENATE($D2577,$G2577),CSRFinput!$B:$E,4,0)=0,OR(H2577=MappingTables!$C$34,H2577=MappingTables!$C$35)),1,VLOOKUP(CONCATENATE($D2577,$G2577),CSRFinput!$B:$E,4,0)))</f>
        <v>0.054776304963434752</v>
      </c>
      <c r="W2577" s="85">
        <f>IF(B2577="",0,+$T2577*$V2577)</f>
        <v>1.6925273340707536</v>
      </c>
      <c r="X2577" s="85">
        <f>IF(B2577="",0,IF(OR(H2577=MappingTables!$C$34,H2577=MappingTables!$C$35),W2577,0))</f>
        <v>0</v>
      </c>
    </row>
    <row r="2578" spans="2:24" s="0" customFormat="0" ht="15">
      <c r="B2578" s="69">
        <v>10927152</v>
      </c>
      <c r="C2578" s="70" t="s">
        <v>421</v>
      </c>
      <c r="D2578" s="70" t="s">
        <v>1</v>
      </c>
      <c r="E2578" s="70" t="s">
        <v>1</v>
      </c>
      <c r="F2578" s="70"/>
      <c r="G2578" s="70" t="s">
        <v>61</v>
      </c>
      <c r="H2578" s="70" t="s">
        <v>178</v>
      </c>
      <c r="I2578" s="70" t="s">
        <v>181</v>
      </c>
      <c r="J2578" s="71">
        <f>IF(OR(I2578=0,I2578=""),"unrated",VLOOKUP(I2578,MappingTables!$B$19:$C$31,2,FALSE))</f>
        <v>3</v>
      </c>
      <c r="K2578" s="72">
        <v>102.87166254862502</v>
      </c>
      <c r="L2578" s="70">
        <v>4.4361926663306392</v>
      </c>
      <c r="M2578" s="71">
        <f>IF(L2578&lt;1,1,L2578)</f>
        <v>4.4361926663306392</v>
      </c>
      <c r="N2578" s="70" t="s">
        <v>141</v>
      </c>
      <c r="O2578" s="71">
        <f>INDEX(DurClassMapping,MATCH(M2578,MappingTables!$D$4:$D$8,-1),1)</f>
        <v>1</v>
      </c>
      <c r="P2578" s="73">
        <f>IF(M2578=$A$1,1,$M2578-INDEX(MappingTables!$E$4:$E$8,MATCH(O2578,MappingTables!$B$4:$B$8,0)))</f>
        <v>4.4361926663306392</v>
      </c>
      <c r="Q2578" s="71">
        <f>IF(B2578="",0,INDEX(ModelParameters!$D$6:$K$10,MATCH($O2578,ModelParameters!$B$6:$B$10,0),MATCH($J2578,ModelParameters!$D$5:$K$5,0)))</f>
        <v>0.025</v>
      </c>
      <c r="R2578" s="71">
        <f>IF(B2578="",0,INDEX(ModelParameters!$D$13:$K$17,MATCH($O2578,ModelParameters!$B$13:$B$17,0),MATCH($J2578,ModelParameters!$D$5:$K$5,0)))</f>
        <v>0</v>
      </c>
      <c r="S2578" s="160">
        <f>IF(B2578="",0,MIN(IF($N2578="Other Bond TM",ModelParameters!$N$21,1)*(P2578*Q2578+R2578),1))</f>
        <v>0.11090481665826598</v>
      </c>
      <c r="T2578" s="85">
        <f>IF(B2578="",0,$S2578*$K2578)</f>
        <v>11.408962874286264</v>
      </c>
      <c r="U2578" s="85">
        <f>IF(B2578="",0,IF(OR(H2578=MappingTables!$C$34,H2578=MappingTables!$C$35),T2578,0))</f>
        <v>0</v>
      </c>
      <c r="V2578" s="85">
        <f>IF(ISNA(IF(AND(VLOOKUP(CONCATENATE($D2578,$G2578),CSRFinput!$B:$E,4,0)=0,OR(H2578=MappingTables!$C$34,H2578=MappingTables!$C$35)),1,VLOOKUP(CONCATENATE($D2578,$G2578),CSRFinput!$B:$E,4,0))),0,IF(AND(VLOOKUP(CONCATENATE($D2578,$G2578),CSRFinput!$B:$E,4,0)=0,OR(H2578=MappingTables!$C$34,H2578=MappingTables!$C$35)),1,VLOOKUP(CONCATENATE($D2578,$G2578),CSRFinput!$B:$E,4,0)))</f>
        <v>0.054776304963434752</v>
      </c>
      <c r="W2578" s="85">
        <f>IF(B2578="",0,+$T2578*$V2578)</f>
        <v>0.62494082971840944</v>
      </c>
      <c r="X2578" s="85">
        <f>IF(B2578="",0,IF(OR(H2578=MappingTables!$C$34,H2578=MappingTables!$C$35),W2578,0))</f>
        <v>0</v>
      </c>
    </row>
    <row r="2579" spans="2:24" s="0" customFormat="0" ht="15">
      <c r="B2579" s="69">
        <v>21736772</v>
      </c>
      <c r="C2579" s="70" t="s">
        <v>2492</v>
      </c>
      <c r="D2579" s="70" t="s">
        <v>1</v>
      </c>
      <c r="E2579" s="70" t="s">
        <v>1</v>
      </c>
      <c r="F2579" s="70"/>
      <c r="G2579" s="70" t="s">
        <v>61</v>
      </c>
      <c r="H2579" s="70" t="s">
        <v>178</v>
      </c>
      <c r="I2579" s="70" t="s">
        <v>181</v>
      </c>
      <c r="J2579" s="71">
        <f>IF(OR(I2579=0,I2579=""),"unrated",VLOOKUP(I2579,MappingTables!$B$19:$C$31,2,FALSE))</f>
        <v>3</v>
      </c>
      <c r="K2579" s="72">
        <v>3553.5277627873524</v>
      </c>
      <c r="L2579" s="70">
        <v>7.2083043138791776</v>
      </c>
      <c r="M2579" s="71">
        <f>IF(L2579&lt;1,1,L2579)</f>
        <v>7.2083043138791776</v>
      </c>
      <c r="N2579" s="70" t="s">
        <v>141</v>
      </c>
      <c r="O2579" s="71">
        <f>INDEX(DurClassMapping,MATCH(M2579,MappingTables!$D$4:$D$8,-1),1)</f>
        <v>2</v>
      </c>
      <c r="P2579" s="73">
        <f>IF(M2579=$A$1,1,$M2579-INDEX(MappingTables!$E$4:$E$8,MATCH(O2579,MappingTables!$B$4:$B$8,0)))</f>
        <v>2.208304313879178</v>
      </c>
      <c r="Q2579" s="71">
        <f>IF(B2579="",0,INDEX(ModelParameters!$D$6:$K$10,MATCH($O2579,ModelParameters!$B$6:$B$10,0),MATCH($J2579,ModelParameters!$D$5:$K$5,0)))</f>
        <v>0.015</v>
      </c>
      <c r="R2579" s="71">
        <f>IF(B2579="",0,INDEX(ModelParameters!$D$13:$K$17,MATCH($O2579,ModelParameters!$B$13:$B$17,0),MATCH($J2579,ModelParameters!$D$5:$K$5,0)))</f>
        <v>0.125</v>
      </c>
      <c r="S2579" s="160">
        <f>IF(B2579="",0,MIN(IF($N2579="Other Bond TM",ModelParameters!$N$21,1)*(P2579*Q2579+R2579),1))</f>
        <v>0.15812456470818768</v>
      </c>
      <c r="T2579" s="85">
        <f>IF(B2579="",0,$S2579*$K2579)</f>
        <v>561.90003066921008</v>
      </c>
      <c r="U2579" s="85">
        <f>IF(B2579="",0,IF(OR(H2579=MappingTables!$C$34,H2579=MappingTables!$C$35),T2579,0))</f>
        <v>0</v>
      </c>
      <c r="V2579" s="85">
        <f>IF(ISNA(IF(AND(VLOOKUP(CONCATENATE($D2579,$G2579),CSRFinput!$B:$E,4,0)=0,OR(H2579=MappingTables!$C$34,H2579=MappingTables!$C$35)),1,VLOOKUP(CONCATENATE($D2579,$G2579),CSRFinput!$B:$E,4,0))),0,IF(AND(VLOOKUP(CONCATENATE($D2579,$G2579),CSRFinput!$B:$E,4,0)=0,OR(H2579=MappingTables!$C$34,H2579=MappingTables!$C$35)),1,VLOOKUP(CONCATENATE($D2579,$G2579),CSRFinput!$B:$E,4,0)))</f>
        <v>0.054776304963434752</v>
      </c>
      <c r="W2579" s="85">
        <f>IF(B2579="",0,+$T2579*$V2579)</f>
        <v>30.778807438899992</v>
      </c>
      <c r="X2579" s="85">
        <f>IF(B2579="",0,IF(OR(H2579=MappingTables!$C$34,H2579=MappingTables!$C$35),W2579,0))</f>
        <v>0</v>
      </c>
    </row>
    <row r="2580" spans="2:24" s="0" customFormat="0" ht="15">
      <c r="B2580" s="69">
        <v>3796112</v>
      </c>
      <c r="C2580" s="70" t="s">
        <v>2493</v>
      </c>
      <c r="D2580" s="70" t="s">
        <v>1</v>
      </c>
      <c r="E2580" s="70" t="s">
        <v>1</v>
      </c>
      <c r="F2580" s="70"/>
      <c r="G2580" s="70" t="s">
        <v>61</v>
      </c>
      <c r="H2580" s="70" t="s">
        <v>178</v>
      </c>
      <c r="I2580" s="70" t="s">
        <v>181</v>
      </c>
      <c r="J2580" s="71">
        <f>IF(OR(I2580=0,I2580=""),"unrated",VLOOKUP(I2580,MappingTables!$B$19:$C$31,2,FALSE))</f>
        <v>3</v>
      </c>
      <c r="K2580" s="72">
        <v>13412.272506792042</v>
      </c>
      <c r="L2580" s="70">
        <v>12.784661976122996</v>
      </c>
      <c r="M2580" s="71">
        <f>IF(L2580&lt;1,1,L2580)</f>
        <v>12.784661976122996</v>
      </c>
      <c r="N2580" s="70" t="s">
        <v>141</v>
      </c>
      <c r="O2580" s="71">
        <f>INDEX(DurClassMapping,MATCH(M2580,MappingTables!$D$4:$D$8,-1),1)</f>
        <v>3</v>
      </c>
      <c r="P2580" s="73">
        <f>IF(M2580=$A$1,1,$M2580-INDEX(MappingTables!$E$4:$E$8,MATCH(O2580,MappingTables!$B$4:$B$8,0)))</f>
        <v>2.7846619761229956</v>
      </c>
      <c r="Q2580" s="71">
        <f>IF(B2580="",0,INDEX(ModelParameters!$D$6:$K$10,MATCH($O2580,ModelParameters!$B$6:$B$10,0),MATCH($J2580,ModelParameters!$D$5:$K$5,0)))</f>
        <v>0.01</v>
      </c>
      <c r="R2580" s="71">
        <f>IF(B2580="",0,INDEX(ModelParameters!$D$13:$K$17,MATCH($O2580,ModelParameters!$B$13:$B$17,0),MATCH($J2580,ModelParameters!$D$5:$K$5,0)))</f>
        <v>0.2</v>
      </c>
      <c r="S2580" s="160">
        <f>IF(B2580="",0,MIN(IF($N2580="Other Bond TM",ModelParameters!$N$21,1)*(P2580*Q2580+R2580),1))</f>
        <v>0.22784661976122996</v>
      </c>
      <c r="T2580" s="85">
        <f>IF(B2580="",0,$S2580*$K2580)</f>
        <v>3055.9409539890448</v>
      </c>
      <c r="U2580" s="85">
        <f>IF(B2580="",0,IF(OR(H2580=MappingTables!$C$34,H2580=MappingTables!$C$35),T2580,0))</f>
        <v>0</v>
      </c>
      <c r="V2580" s="85">
        <f>IF(ISNA(IF(AND(VLOOKUP(CONCATENATE($D2580,$G2580),CSRFinput!$B:$E,4,0)=0,OR(H2580=MappingTables!$C$34,H2580=MappingTables!$C$35)),1,VLOOKUP(CONCATENATE($D2580,$G2580),CSRFinput!$B:$E,4,0))),0,IF(AND(VLOOKUP(CONCATENATE($D2580,$G2580),CSRFinput!$B:$E,4,0)=0,OR(H2580=MappingTables!$C$34,H2580=MappingTables!$C$35)),1,VLOOKUP(CONCATENATE($D2580,$G2580),CSRFinput!$B:$E,4,0)))</f>
        <v>0.054776304963434752</v>
      </c>
      <c r="W2580" s="85">
        <f>IF(B2580="",0,+$T2580*$V2580)</f>
        <v>167.39315364595364</v>
      </c>
      <c r="X2580" s="85">
        <f>IF(B2580="",0,IF(OR(H2580=MappingTables!$C$34,H2580=MappingTables!$C$35),W2580,0))</f>
        <v>0</v>
      </c>
    </row>
    <row r="2581" spans="2:24" s="0" customFormat="0" ht="15">
      <c r="B2581" s="69">
        <v>22412940</v>
      </c>
      <c r="C2581" s="70" t="s">
        <v>2494</v>
      </c>
      <c r="D2581" s="70" t="s">
        <v>1</v>
      </c>
      <c r="E2581" s="70" t="s">
        <v>1</v>
      </c>
      <c r="F2581" s="70"/>
      <c r="G2581" s="70" t="s">
        <v>61</v>
      </c>
      <c r="H2581" s="70" t="s">
        <v>178</v>
      </c>
      <c r="I2581" s="70" t="s">
        <v>216</v>
      </c>
      <c r="J2581" s="71">
        <f>IF(OR(I2581=0,I2581=""),"unrated",VLOOKUP(I2581,MappingTables!$B$19:$C$31,2,FALSE))</f>
        <v>0</v>
      </c>
      <c r="K2581" s="72">
        <v>16215.924276719442</v>
      </c>
      <c r="L2581" s="70">
        <v>0.21643751159366356</v>
      </c>
      <c r="M2581" s="71">
        <f>IF(L2581&lt;1,1,L2581)</f>
        <v>1</v>
      </c>
      <c r="N2581" s="70" t="s">
        <v>141</v>
      </c>
      <c r="O2581" s="71">
        <f>INDEX(DurClassMapping,MATCH(M2581,MappingTables!$D$4:$D$8,-1),1)</f>
        <v>1</v>
      </c>
      <c r="P2581" s="73">
        <f>IF(M2581=$A$1,1,$M2581-INDEX(MappingTables!$E$4:$E$8,MATCH(O2581,MappingTables!$B$4:$B$8,0)))</f>
        <v>1</v>
      </c>
      <c r="Q2581" s="71">
        <f>IF(B2581="",0,INDEX(ModelParameters!$D$6:$K$10,MATCH($O2581,ModelParameters!$B$6:$B$10,0),MATCH($J2581,ModelParameters!$D$5:$K$5,0)))</f>
        <v>0.0090000000000000016</v>
      </c>
      <c r="R2581" s="71">
        <f>IF(B2581="",0,INDEX(ModelParameters!$D$13:$K$17,MATCH($O2581,ModelParameters!$B$13:$B$17,0),MATCH($J2581,ModelParameters!$D$5:$K$5,0)))</f>
        <v>0</v>
      </c>
      <c r="S2581" s="160">
        <f>IF(B2581="",0,MIN(IF($N2581="Other Bond TM",ModelParameters!$N$21,1)*(P2581*Q2581+R2581),1))</f>
        <v>0.0090000000000000016</v>
      </c>
      <c r="T2581" s="85">
        <f>IF(B2581="",0,$S2581*$K2581)</f>
        <v>145.943318490475</v>
      </c>
      <c r="U2581" s="85">
        <f>IF(B2581="",0,IF(OR(H2581=MappingTables!$C$34,H2581=MappingTables!$C$35),T2581,0))</f>
        <v>0</v>
      </c>
      <c r="V2581" s="85">
        <f>IF(ISNA(IF(AND(VLOOKUP(CONCATENATE($D2581,$G2581),CSRFinput!$B:$E,4,0)=0,OR(H2581=MappingTables!$C$34,H2581=MappingTables!$C$35)),1,VLOOKUP(CONCATENATE($D2581,$G2581),CSRFinput!$B:$E,4,0))),0,IF(AND(VLOOKUP(CONCATENATE($D2581,$G2581),CSRFinput!$B:$E,4,0)=0,OR(H2581=MappingTables!$C$34,H2581=MappingTables!$C$35)),1,VLOOKUP(CONCATENATE($D2581,$G2581),CSRFinput!$B:$E,4,0)))</f>
        <v>0.054776304963434752</v>
      </c>
      <c r="W2581" s="85">
        <f>IF(B2581="",0,+$T2581*$V2581)</f>
        <v>7.9942357210099456</v>
      </c>
      <c r="X2581" s="85">
        <f>IF(B2581="",0,IF(OR(H2581=MappingTables!$C$34,H2581=MappingTables!$C$35),W2581,0))</f>
        <v>0</v>
      </c>
    </row>
    <row r="2582" spans="2:24" s="0" customFormat="0" ht="15">
      <c r="B2582" s="69">
        <v>4082359</v>
      </c>
      <c r="C2582" s="70" t="s">
        <v>940</v>
      </c>
      <c r="D2582" s="70" t="s">
        <v>1</v>
      </c>
      <c r="E2582" s="70" t="s">
        <v>1</v>
      </c>
      <c r="F2582" s="70"/>
      <c r="G2582" s="70" t="s">
        <v>61</v>
      </c>
      <c r="H2582" s="70" t="s">
        <v>178</v>
      </c>
      <c r="I2582" s="70" t="s">
        <v>179</v>
      </c>
      <c r="J2582" s="71">
        <f>IF(OR(I2582=0,I2582=""),"unrated",VLOOKUP(I2582,MappingTables!$B$19:$C$31,2,FALSE))</f>
        <v>4</v>
      </c>
      <c r="K2582" s="72">
        <v>6738.4198257097824</v>
      </c>
      <c r="L2582" s="70">
        <v>0.86199902575676896</v>
      </c>
      <c r="M2582" s="71">
        <f>IF(L2582&lt;1,1,L2582)</f>
        <v>1</v>
      </c>
      <c r="N2582" s="70" t="s">
        <v>141</v>
      </c>
      <c r="O2582" s="71">
        <f>INDEX(DurClassMapping,MATCH(M2582,MappingTables!$D$4:$D$8,-1),1)</f>
        <v>1</v>
      </c>
      <c r="P2582" s="73">
        <f>IF(M2582=$A$1,1,$M2582-INDEX(MappingTables!$E$4:$E$8,MATCH(O2582,MappingTables!$B$4:$B$8,0)))</f>
        <v>1</v>
      </c>
      <c r="Q2582" s="71">
        <f>IF(B2582="",0,INDEX(ModelParameters!$D$6:$K$10,MATCH($O2582,ModelParameters!$B$6:$B$10,0),MATCH($J2582,ModelParameters!$D$5:$K$5,0)))</f>
        <v>0.045</v>
      </c>
      <c r="R2582" s="71">
        <f>IF(B2582="",0,INDEX(ModelParameters!$D$13:$K$17,MATCH($O2582,ModelParameters!$B$13:$B$17,0),MATCH($J2582,ModelParameters!$D$5:$K$5,0)))</f>
        <v>0</v>
      </c>
      <c r="S2582" s="160">
        <f>IF(B2582="",0,MIN(IF($N2582="Other Bond TM",ModelParameters!$N$21,1)*(P2582*Q2582+R2582),1))</f>
        <v>0.045</v>
      </c>
      <c r="T2582" s="85">
        <f>IF(B2582="",0,$S2582*$K2582)</f>
        <v>303.2288921569402</v>
      </c>
      <c r="U2582" s="85">
        <f>IF(B2582="",0,IF(OR(H2582=MappingTables!$C$34,H2582=MappingTables!$C$35),T2582,0))</f>
        <v>0</v>
      </c>
      <c r="V2582" s="85">
        <f>IF(ISNA(IF(AND(VLOOKUP(CONCATENATE($D2582,$G2582),CSRFinput!$B:$E,4,0)=0,OR(H2582=MappingTables!$C$34,H2582=MappingTables!$C$35)),1,VLOOKUP(CONCATENATE($D2582,$G2582),CSRFinput!$B:$E,4,0))),0,IF(AND(VLOOKUP(CONCATENATE($D2582,$G2582),CSRFinput!$B:$E,4,0)=0,OR(H2582=MappingTables!$C$34,H2582=MappingTables!$C$35)),1,VLOOKUP(CONCATENATE($D2582,$G2582),CSRFinput!$B:$E,4,0)))</f>
        <v>0.054776304963434752</v>
      </c>
      <c r="W2582" s="85">
        <f>IF(B2582="",0,+$T2582*$V2582)</f>
        <v>16.609758270513026</v>
      </c>
      <c r="X2582" s="85">
        <f>IF(B2582="",0,IF(OR(H2582=MappingTables!$C$34,H2582=MappingTables!$C$35),W2582,0))</f>
        <v>0</v>
      </c>
    </row>
    <row r="2583" spans="2:24" s="0" customFormat="0" ht="15">
      <c r="B2583" s="69" t="s">
        <v>1864</v>
      </c>
      <c r="C2583" s="70" t="s">
        <v>1865</v>
      </c>
      <c r="D2583" s="70" t="s">
        <v>1</v>
      </c>
      <c r="E2583" s="70" t="s">
        <v>1</v>
      </c>
      <c r="F2583" s="70"/>
      <c r="G2583" s="70" t="s">
        <v>61</v>
      </c>
      <c r="H2583" s="70" t="s">
        <v>178</v>
      </c>
      <c r="I2583" s="70" t="s">
        <v>188</v>
      </c>
      <c r="J2583" s="71">
        <f>IF(OR(I2583=0,I2583=""),"unrated",VLOOKUP(I2583,MappingTables!$B$19:$C$31,2,FALSE))</f>
        <v>2</v>
      </c>
      <c r="K2583" s="72">
        <v>694.33751763822144</v>
      </c>
      <c r="L2583" s="70">
        <v>8.3342684262555312</v>
      </c>
      <c r="M2583" s="71">
        <f>IF(L2583&lt;1,1,L2583)</f>
        <v>8.3342684262555312</v>
      </c>
      <c r="N2583" s="70" t="s">
        <v>141</v>
      </c>
      <c r="O2583" s="71">
        <f>INDEX(DurClassMapping,MATCH(M2583,MappingTables!$D$4:$D$8,-1),1)</f>
        <v>2</v>
      </c>
      <c r="P2583" s="73">
        <f>IF(M2583=$A$1,1,$M2583-INDEX(MappingTables!$E$4:$E$8,MATCH(O2583,MappingTables!$B$4:$B$8,0)))</f>
        <v>3.334268426255532</v>
      </c>
      <c r="Q2583" s="71">
        <f>IF(B2583="",0,INDEX(ModelParameters!$D$6:$K$10,MATCH($O2583,ModelParameters!$B$6:$B$10,0),MATCH($J2583,ModelParameters!$D$5:$K$5,0)))</f>
        <v>0.0069999999999999992</v>
      </c>
      <c r="R2583" s="71">
        <f>IF(B2583="",0,INDEX(ModelParameters!$D$13:$K$17,MATCH($O2583,ModelParameters!$B$13:$B$17,0),MATCH($J2583,ModelParameters!$D$5:$K$5,0)))</f>
        <v>0.070000000000000008</v>
      </c>
      <c r="S2583" s="160">
        <f>IF(B2583="",0,MIN(IF($N2583="Other Bond TM",ModelParameters!$N$21,1)*(P2583*Q2583+R2583),1))</f>
        <v>0.093339878983788736</v>
      </c>
      <c r="T2583" s="85">
        <f>IF(B2583="",0,$S2583*$K2583)</f>
        <v>64.809379870255864</v>
      </c>
      <c r="U2583" s="85">
        <f>IF(B2583="",0,IF(OR(H2583=MappingTables!$C$34,H2583=MappingTables!$C$35),T2583,0))</f>
        <v>0</v>
      </c>
      <c r="V2583" s="85">
        <f>IF(ISNA(IF(AND(VLOOKUP(CONCATENATE($D2583,$G2583),CSRFinput!$B:$E,4,0)=0,OR(H2583=MappingTables!$C$34,H2583=MappingTables!$C$35)),1,VLOOKUP(CONCATENATE($D2583,$G2583),CSRFinput!$B:$E,4,0))),0,IF(AND(VLOOKUP(CONCATENATE($D2583,$G2583),CSRFinput!$B:$E,4,0)=0,OR(H2583=MappingTables!$C$34,H2583=MappingTables!$C$35)),1,VLOOKUP(CONCATENATE($D2583,$G2583),CSRFinput!$B:$E,4,0)))</f>
        <v>0.054776304963434752</v>
      </c>
      <c r="W2583" s="85">
        <f>IF(B2583="",0,+$T2583*$V2583)</f>
        <v>3.5500183562642248</v>
      </c>
      <c r="X2583" s="85">
        <f>IF(B2583="",0,IF(OR(H2583=MappingTables!$C$34,H2583=MappingTables!$C$35),W2583,0))</f>
        <v>0</v>
      </c>
    </row>
    <row r="2584" spans="2:24" s="0" customFormat="0" ht="15">
      <c r="B2584" s="69">
        <v>23207341</v>
      </c>
      <c r="C2584" s="70" t="s">
        <v>2495</v>
      </c>
      <c r="D2584" s="70" t="s">
        <v>1</v>
      </c>
      <c r="E2584" s="70" t="s">
        <v>1</v>
      </c>
      <c r="F2584" s="70"/>
      <c r="G2584" s="70" t="s">
        <v>61</v>
      </c>
      <c r="H2584" s="70" t="s">
        <v>178</v>
      </c>
      <c r="I2584" s="70" t="s">
        <v>188</v>
      </c>
      <c r="J2584" s="71">
        <f>IF(OR(I2584=0,I2584=""),"unrated",VLOOKUP(I2584,MappingTables!$B$19:$C$31,2,FALSE))</f>
        <v>2</v>
      </c>
      <c r="K2584" s="72">
        <v>1980.7188108404724</v>
      </c>
      <c r="L2584" s="70">
        <v>2.441997910090414</v>
      </c>
      <c r="M2584" s="71">
        <f>IF(L2584&lt;1,1,L2584)</f>
        <v>2.441997910090414</v>
      </c>
      <c r="N2584" s="70" t="s">
        <v>141</v>
      </c>
      <c r="O2584" s="71">
        <f>INDEX(DurClassMapping,MATCH(M2584,MappingTables!$D$4:$D$8,-1),1)</f>
        <v>1</v>
      </c>
      <c r="P2584" s="73">
        <f>IF(M2584=$A$1,1,$M2584-INDEX(MappingTables!$E$4:$E$8,MATCH(O2584,MappingTables!$B$4:$B$8,0)))</f>
        <v>2.441997910090414</v>
      </c>
      <c r="Q2584" s="71">
        <f>IF(B2584="",0,INDEX(ModelParameters!$D$6:$K$10,MATCH($O2584,ModelParameters!$B$6:$B$10,0),MATCH($J2584,ModelParameters!$D$5:$K$5,0)))</f>
        <v>0.013999999999999998</v>
      </c>
      <c r="R2584" s="71">
        <f>IF(B2584="",0,INDEX(ModelParameters!$D$13:$K$17,MATCH($O2584,ModelParameters!$B$13:$B$17,0),MATCH($J2584,ModelParameters!$D$5:$K$5,0)))</f>
        <v>0</v>
      </c>
      <c r="S2584" s="160">
        <f>IF(B2584="",0,MIN(IF($N2584="Other Bond TM",ModelParameters!$N$21,1)*(P2584*Q2584+R2584),1))</f>
        <v>0.034187970741265788</v>
      </c>
      <c r="T2584" s="85">
        <f>IF(B2584="",0,$S2584*$K2584)</f>
        <v>67.716756751688848</v>
      </c>
      <c r="U2584" s="85">
        <f>IF(B2584="",0,IF(OR(H2584=MappingTables!$C$34,H2584=MappingTables!$C$35),T2584,0))</f>
        <v>0</v>
      </c>
      <c r="V2584" s="85">
        <f>IF(ISNA(IF(AND(VLOOKUP(CONCATENATE($D2584,$G2584),CSRFinput!$B:$E,4,0)=0,OR(H2584=MappingTables!$C$34,H2584=MappingTables!$C$35)),1,VLOOKUP(CONCATENATE($D2584,$G2584),CSRFinput!$B:$E,4,0))),0,IF(AND(VLOOKUP(CONCATENATE($D2584,$G2584),CSRFinput!$B:$E,4,0)=0,OR(H2584=MappingTables!$C$34,H2584=MappingTables!$C$35)),1,VLOOKUP(CONCATENATE($D2584,$G2584),CSRFinput!$B:$E,4,0)))</f>
        <v>0.054776304963434752</v>
      </c>
      <c r="W2584" s="85">
        <f>IF(B2584="",0,+$T2584*$V2584)</f>
        <v>3.7092737189652376</v>
      </c>
      <c r="X2584" s="85">
        <f>IF(B2584="",0,IF(OR(H2584=MappingTables!$C$34,H2584=MappingTables!$C$35),W2584,0))</f>
        <v>0</v>
      </c>
    </row>
    <row r="2585" spans="2:24" s="0" customFormat="0" ht="15">
      <c r="B2585" s="69">
        <v>21151580</v>
      </c>
      <c r="C2585" s="70" t="s">
        <v>2496</v>
      </c>
      <c r="D2585" s="70" t="s">
        <v>1</v>
      </c>
      <c r="E2585" s="70" t="s">
        <v>1</v>
      </c>
      <c r="F2585" s="70"/>
      <c r="G2585" s="70" t="s">
        <v>61</v>
      </c>
      <c r="H2585" s="70" t="s">
        <v>178</v>
      </c>
      <c r="I2585" s="70" t="s">
        <v>181</v>
      </c>
      <c r="J2585" s="71">
        <f>IF(OR(I2585=0,I2585=""),"unrated",VLOOKUP(I2585,MappingTables!$B$19:$C$31,2,FALSE))</f>
        <v>3</v>
      </c>
      <c r="K2585" s="72">
        <v>2924.5573547184312</v>
      </c>
      <c r="L2585" s="70">
        <v>3.5179992161111632</v>
      </c>
      <c r="M2585" s="71">
        <f>IF(L2585&lt;1,1,L2585)</f>
        <v>3.5179992161111632</v>
      </c>
      <c r="N2585" s="70" t="s">
        <v>141</v>
      </c>
      <c r="O2585" s="71">
        <f>INDEX(DurClassMapping,MATCH(M2585,MappingTables!$D$4:$D$8,-1),1)</f>
        <v>1</v>
      </c>
      <c r="P2585" s="73">
        <f>IF(M2585=$A$1,1,$M2585-INDEX(MappingTables!$E$4:$E$8,MATCH(O2585,MappingTables!$B$4:$B$8,0)))</f>
        <v>3.5179992161111632</v>
      </c>
      <c r="Q2585" s="71">
        <f>IF(B2585="",0,INDEX(ModelParameters!$D$6:$K$10,MATCH($O2585,ModelParameters!$B$6:$B$10,0),MATCH($J2585,ModelParameters!$D$5:$K$5,0)))</f>
        <v>0.025</v>
      </c>
      <c r="R2585" s="71">
        <f>IF(B2585="",0,INDEX(ModelParameters!$D$13:$K$17,MATCH($O2585,ModelParameters!$B$13:$B$17,0),MATCH($J2585,ModelParameters!$D$5:$K$5,0)))</f>
        <v>0</v>
      </c>
      <c r="S2585" s="160">
        <f>IF(B2585="",0,MIN(IF($N2585="Other Bond TM",ModelParameters!$N$21,1)*(P2585*Q2585+R2585),1))</f>
        <v>0.087949980402779088</v>
      </c>
      <c r="T2585" s="85">
        <f>IF(B2585="",0,$S2585*$K2585)</f>
        <v>257.21476203428948</v>
      </c>
      <c r="U2585" s="85">
        <f>IF(B2585="",0,IF(OR(H2585=MappingTables!$C$34,H2585=MappingTables!$C$35),T2585,0))</f>
        <v>0</v>
      </c>
      <c r="V2585" s="85">
        <f>IF(ISNA(IF(AND(VLOOKUP(CONCATENATE($D2585,$G2585),CSRFinput!$B:$E,4,0)=0,OR(H2585=MappingTables!$C$34,H2585=MappingTables!$C$35)),1,VLOOKUP(CONCATENATE($D2585,$G2585),CSRFinput!$B:$E,4,0))),0,IF(AND(VLOOKUP(CONCATENATE($D2585,$G2585),CSRFinput!$B:$E,4,0)=0,OR(H2585=MappingTables!$C$34,H2585=MappingTables!$C$35)),1,VLOOKUP(CONCATENATE($D2585,$G2585),CSRFinput!$B:$E,4,0)))</f>
        <v>0.054776304963434752</v>
      </c>
      <c r="W2585" s="85">
        <f>IF(B2585="",0,+$T2585*$V2585)</f>
        <v>14.089274246287542</v>
      </c>
      <c r="X2585" s="85">
        <f>IF(B2585="",0,IF(OR(H2585=MappingTables!$C$34,H2585=MappingTables!$C$35),W2585,0))</f>
        <v>0</v>
      </c>
    </row>
    <row r="2586" spans="2:24" s="0" customFormat="0" ht="15">
      <c r="B2586" s="69">
        <v>24911926</v>
      </c>
      <c r="C2586" s="70" t="s">
        <v>1600</v>
      </c>
      <c r="D2586" s="70" t="s">
        <v>1</v>
      </c>
      <c r="E2586" s="70" t="s">
        <v>1</v>
      </c>
      <c r="F2586" s="70"/>
      <c r="G2586" s="70" t="s">
        <v>61</v>
      </c>
      <c r="H2586" s="70" t="s">
        <v>178</v>
      </c>
      <c r="I2586" s="70" t="s">
        <v>220</v>
      </c>
      <c r="J2586" s="71">
        <f>IF(OR(I2586=0,I2586=""),"unrated",VLOOKUP(I2586,MappingTables!$B$19:$C$31,2,FALSE))</f>
        <v>1</v>
      </c>
      <c r="K2586" s="72">
        <v>5732.6229467211504</v>
      </c>
      <c r="L2586" s="70">
        <v>2.8323192014867956</v>
      </c>
      <c r="M2586" s="71">
        <f>IF(L2586&lt;1,1,L2586)</f>
        <v>2.8323192014867956</v>
      </c>
      <c r="N2586" s="70" t="s">
        <v>141</v>
      </c>
      <c r="O2586" s="71">
        <f>INDEX(DurClassMapping,MATCH(M2586,MappingTables!$D$4:$D$8,-1),1)</f>
        <v>1</v>
      </c>
      <c r="P2586" s="73">
        <f>IF(M2586=$A$1,1,$M2586-INDEX(MappingTables!$E$4:$E$8,MATCH(O2586,MappingTables!$B$4:$B$8,0)))</f>
        <v>2.8323192014867956</v>
      </c>
      <c r="Q2586" s="71">
        <f>IF(B2586="",0,INDEX(ModelParameters!$D$6:$K$10,MATCH($O2586,ModelParameters!$B$6:$B$10,0),MATCH($J2586,ModelParameters!$D$5:$K$5,0)))</f>
        <v>0.011000000000000002</v>
      </c>
      <c r="R2586" s="71">
        <f>IF(B2586="",0,INDEX(ModelParameters!$D$13:$K$17,MATCH($O2586,ModelParameters!$B$13:$B$17,0),MATCH($J2586,ModelParameters!$D$5:$K$5,0)))</f>
        <v>0</v>
      </c>
      <c r="S2586" s="160">
        <f>IF(B2586="",0,MIN(IF($N2586="Other Bond TM",ModelParameters!$N$21,1)*(P2586*Q2586+R2586),1))</f>
        <v>0.031155511216354756</v>
      </c>
      <c r="T2586" s="85">
        <f>IF(B2586="",0,$S2586*$K2586)</f>
        <v>178.60279851570346</v>
      </c>
      <c r="U2586" s="85">
        <f>IF(B2586="",0,IF(OR(H2586=MappingTables!$C$34,H2586=MappingTables!$C$35),T2586,0))</f>
        <v>0</v>
      </c>
      <c r="V2586" s="85">
        <f>IF(ISNA(IF(AND(VLOOKUP(CONCATENATE($D2586,$G2586),CSRFinput!$B:$E,4,0)=0,OR(H2586=MappingTables!$C$34,H2586=MappingTables!$C$35)),1,VLOOKUP(CONCATENATE($D2586,$G2586),CSRFinput!$B:$E,4,0))),0,IF(AND(VLOOKUP(CONCATENATE($D2586,$G2586),CSRFinput!$B:$E,4,0)=0,OR(H2586=MappingTables!$C$34,H2586=MappingTables!$C$35)),1,VLOOKUP(CONCATENATE($D2586,$G2586),CSRFinput!$B:$E,4,0)))</f>
        <v>0.054776304963434752</v>
      </c>
      <c r="W2586" s="85">
        <f>IF(B2586="",0,+$T2586*$V2586)</f>
        <v>9.7832013588190656</v>
      </c>
      <c r="X2586" s="85">
        <f>IF(B2586="",0,IF(OR(H2586=MappingTables!$C$34,H2586=MappingTables!$C$35),W2586,0))</f>
        <v>0</v>
      </c>
    </row>
    <row r="2587" spans="2:24" s="0" customFormat="0" ht="15">
      <c r="B2587" s="69">
        <v>18762284</v>
      </c>
      <c r="C2587" s="70" t="s">
        <v>2497</v>
      </c>
      <c r="D2587" s="70" t="s">
        <v>1</v>
      </c>
      <c r="E2587" s="70" t="s">
        <v>1</v>
      </c>
      <c r="F2587" s="70"/>
      <c r="G2587" s="70" t="s">
        <v>61</v>
      </c>
      <c r="H2587" s="70" t="s">
        <v>178</v>
      </c>
      <c r="I2587" s="70" t="s">
        <v>179</v>
      </c>
      <c r="J2587" s="71">
        <f>IF(OR(I2587=0,I2587=""),"unrated",VLOOKUP(I2587,MappingTables!$B$19:$C$31,2,FALSE))</f>
        <v>4</v>
      </c>
      <c r="K2587" s="72">
        <v>9219.5055795657728</v>
      </c>
      <c r="L2587" s="70">
        <v>6.7038218450976056</v>
      </c>
      <c r="M2587" s="71">
        <f>IF(L2587&lt;1,1,L2587)</f>
        <v>6.7038218450976056</v>
      </c>
      <c r="N2587" s="70" t="s">
        <v>141</v>
      </c>
      <c r="O2587" s="71">
        <f>INDEX(DurClassMapping,MATCH(M2587,MappingTables!$D$4:$D$8,-1),1)</f>
        <v>2</v>
      </c>
      <c r="P2587" s="73">
        <f>IF(M2587=$A$1,1,$M2587-INDEX(MappingTables!$E$4:$E$8,MATCH(O2587,MappingTables!$B$4:$B$8,0)))</f>
        <v>1.7038218450976058</v>
      </c>
      <c r="Q2587" s="71">
        <f>IF(B2587="",0,INDEX(ModelParameters!$D$6:$K$10,MATCH($O2587,ModelParameters!$B$6:$B$10,0),MATCH($J2587,ModelParameters!$D$5:$K$5,0)))</f>
        <v>0.025</v>
      </c>
      <c r="R2587" s="71">
        <f>IF(B2587="",0,INDEX(ModelParameters!$D$13:$K$17,MATCH($O2587,ModelParameters!$B$13:$B$17,0),MATCH($J2587,ModelParameters!$D$5:$K$5,0)))</f>
        <v>0.225</v>
      </c>
      <c r="S2587" s="160">
        <f>IF(B2587="",0,MIN(IF($N2587="Other Bond TM",ModelParameters!$N$21,1)*(P2587*Q2587+R2587),1))</f>
        <v>0.26759554612744012</v>
      </c>
      <c r="T2587" s="85">
        <f>IF(B2587="",0,$S2587*$K2587)</f>
        <v>2467.0986305888844</v>
      </c>
      <c r="U2587" s="85">
        <f>IF(B2587="",0,IF(OR(H2587=MappingTables!$C$34,H2587=MappingTables!$C$35),T2587,0))</f>
        <v>0</v>
      </c>
      <c r="V2587" s="85">
        <f>IF(ISNA(IF(AND(VLOOKUP(CONCATENATE($D2587,$G2587),CSRFinput!$B:$E,4,0)=0,OR(H2587=MappingTables!$C$34,H2587=MappingTables!$C$35)),1,VLOOKUP(CONCATENATE($D2587,$G2587),CSRFinput!$B:$E,4,0))),0,IF(AND(VLOOKUP(CONCATENATE($D2587,$G2587),CSRFinput!$B:$E,4,0)=0,OR(H2587=MappingTables!$C$34,H2587=MappingTables!$C$35)),1,VLOOKUP(CONCATENATE($D2587,$G2587),CSRFinput!$B:$E,4,0)))</f>
        <v>0.054776304963434752</v>
      </c>
      <c r="W2587" s="85">
        <f>IF(B2587="",0,+$T2587*$V2587)</f>
        <v>135.138546964009</v>
      </c>
      <c r="X2587" s="85">
        <f>IF(B2587="",0,IF(OR(H2587=MappingTables!$C$34,H2587=MappingTables!$C$35),W2587,0))</f>
        <v>0</v>
      </c>
    </row>
    <row r="2588" spans="2:24" s="0" customFormat="0" ht="15">
      <c r="B2588" s="69">
        <v>24355439</v>
      </c>
      <c r="C2588" s="70" t="s">
        <v>2498</v>
      </c>
      <c r="D2588" s="70" t="s">
        <v>1</v>
      </c>
      <c r="E2588" s="70" t="s">
        <v>1</v>
      </c>
      <c r="F2588" s="70"/>
      <c r="G2588" s="70" t="s">
        <v>61</v>
      </c>
      <c r="H2588" s="70" t="s">
        <v>178</v>
      </c>
      <c r="I2588" s="70" t="s">
        <v>181</v>
      </c>
      <c r="J2588" s="71">
        <f>IF(OR(I2588=0,I2588=""),"unrated",VLOOKUP(I2588,MappingTables!$B$19:$C$31,2,FALSE))</f>
        <v>3</v>
      </c>
      <c r="K2588" s="72">
        <v>10632.0819590597</v>
      </c>
      <c r="L2588" s="70">
        <v>2.6960489722044528</v>
      </c>
      <c r="M2588" s="71">
        <f>IF(L2588&lt;1,1,L2588)</f>
        <v>2.6960489722044528</v>
      </c>
      <c r="N2588" s="70" t="s">
        <v>141</v>
      </c>
      <c r="O2588" s="71">
        <f>INDEX(DurClassMapping,MATCH(M2588,MappingTables!$D$4:$D$8,-1),1)</f>
        <v>1</v>
      </c>
      <c r="P2588" s="73">
        <f>IF(M2588=$A$1,1,$M2588-INDEX(MappingTables!$E$4:$E$8,MATCH(O2588,MappingTables!$B$4:$B$8,0)))</f>
        <v>2.6960489722044528</v>
      </c>
      <c r="Q2588" s="71">
        <f>IF(B2588="",0,INDEX(ModelParameters!$D$6:$K$10,MATCH($O2588,ModelParameters!$B$6:$B$10,0),MATCH($J2588,ModelParameters!$D$5:$K$5,0)))</f>
        <v>0.025</v>
      </c>
      <c r="R2588" s="71">
        <f>IF(B2588="",0,INDEX(ModelParameters!$D$13:$K$17,MATCH($O2588,ModelParameters!$B$13:$B$17,0),MATCH($J2588,ModelParameters!$D$5:$K$5,0)))</f>
        <v>0</v>
      </c>
      <c r="S2588" s="160">
        <f>IF(B2588="",0,MIN(IF($N2588="Other Bond TM",ModelParameters!$N$21,1)*(P2588*Q2588+R2588),1))</f>
        <v>0.06740122430511132</v>
      </c>
      <c r="T2588" s="85">
        <f>IF(B2588="",0,$S2588*$K2588)</f>
        <v>716.61534095291032</v>
      </c>
      <c r="U2588" s="85">
        <f>IF(B2588="",0,IF(OR(H2588=MappingTables!$C$34,H2588=MappingTables!$C$35),T2588,0))</f>
        <v>0</v>
      </c>
      <c r="V2588" s="85">
        <f>IF(ISNA(IF(AND(VLOOKUP(CONCATENATE($D2588,$G2588),CSRFinput!$B:$E,4,0)=0,OR(H2588=MappingTables!$C$34,H2588=MappingTables!$C$35)),1,VLOOKUP(CONCATENATE($D2588,$G2588),CSRFinput!$B:$E,4,0))),0,IF(AND(VLOOKUP(CONCATENATE($D2588,$G2588),CSRFinput!$B:$E,4,0)=0,OR(H2588=MappingTables!$C$34,H2588=MappingTables!$C$35)),1,VLOOKUP(CONCATENATE($D2588,$G2588),CSRFinput!$B:$E,4,0)))</f>
        <v>0.054776304963434752</v>
      </c>
      <c r="W2588" s="85">
        <f>IF(B2588="",0,+$T2588*$V2588)</f>
        <v>39.253540457512384</v>
      </c>
      <c r="X2588" s="85">
        <f>IF(B2588="",0,IF(OR(H2588=MappingTables!$C$34,H2588=MappingTables!$C$35),W2588,0))</f>
        <v>0</v>
      </c>
    </row>
    <row r="2589" spans="2:24" s="0" customFormat="0" ht="15">
      <c r="B2589" s="69">
        <v>21391641</v>
      </c>
      <c r="C2589" s="70" t="s">
        <v>2499</v>
      </c>
      <c r="D2589" s="70" t="s">
        <v>1</v>
      </c>
      <c r="E2589" s="70" t="s">
        <v>1</v>
      </c>
      <c r="F2589" s="70"/>
      <c r="G2589" s="70" t="s">
        <v>61</v>
      </c>
      <c r="H2589" s="70" t="s">
        <v>178</v>
      </c>
      <c r="I2589" s="70" t="s">
        <v>188</v>
      </c>
      <c r="J2589" s="71">
        <f>IF(OR(I2589=0,I2589=""),"unrated",VLOOKUP(I2589,MappingTables!$B$19:$C$31,2,FALSE))</f>
        <v>2</v>
      </c>
      <c r="K2589" s="72">
        <v>1342.6353229527678</v>
      </c>
      <c r="L2589" s="70">
        <v>1.7201782146864564</v>
      </c>
      <c r="M2589" s="71">
        <f>IF(L2589&lt;1,1,L2589)</f>
        <v>1.7201782146864564</v>
      </c>
      <c r="N2589" s="70" t="s">
        <v>141</v>
      </c>
      <c r="O2589" s="71">
        <f>INDEX(DurClassMapping,MATCH(M2589,MappingTables!$D$4:$D$8,-1),1)</f>
        <v>1</v>
      </c>
      <c r="P2589" s="73">
        <f>IF(M2589=$A$1,1,$M2589-INDEX(MappingTables!$E$4:$E$8,MATCH(O2589,MappingTables!$B$4:$B$8,0)))</f>
        <v>1.7201782146864564</v>
      </c>
      <c r="Q2589" s="71">
        <f>IF(B2589="",0,INDEX(ModelParameters!$D$6:$K$10,MATCH($O2589,ModelParameters!$B$6:$B$10,0),MATCH($J2589,ModelParameters!$D$5:$K$5,0)))</f>
        <v>0.013999999999999998</v>
      </c>
      <c r="R2589" s="71">
        <f>IF(B2589="",0,INDEX(ModelParameters!$D$13:$K$17,MATCH($O2589,ModelParameters!$B$13:$B$17,0),MATCH($J2589,ModelParameters!$D$5:$K$5,0)))</f>
        <v>0</v>
      </c>
      <c r="S2589" s="160">
        <f>IF(B2589="",0,MIN(IF($N2589="Other Bond TM",ModelParameters!$N$21,1)*(P2589*Q2589+R2589),1))</f>
        <v>0.024082495005610388</v>
      </c>
      <c r="T2589" s="85">
        <f>IF(B2589="",0,$S2589*$K2589)</f>
        <v>32.334008459366116</v>
      </c>
      <c r="U2589" s="85">
        <f>IF(B2589="",0,IF(OR(H2589=MappingTables!$C$34,H2589=MappingTables!$C$35),T2589,0))</f>
        <v>0</v>
      </c>
      <c r="V2589" s="85">
        <f>IF(ISNA(IF(AND(VLOOKUP(CONCATENATE($D2589,$G2589),CSRFinput!$B:$E,4,0)=0,OR(H2589=MappingTables!$C$34,H2589=MappingTables!$C$35)),1,VLOOKUP(CONCATENATE($D2589,$G2589),CSRFinput!$B:$E,4,0))),0,IF(AND(VLOOKUP(CONCATENATE($D2589,$G2589),CSRFinput!$B:$E,4,0)=0,OR(H2589=MappingTables!$C$34,H2589=MappingTables!$C$35)),1,VLOOKUP(CONCATENATE($D2589,$G2589),CSRFinput!$B:$E,4,0)))</f>
        <v>0.054776304963434752</v>
      </c>
      <c r="W2589" s="85">
        <f>IF(B2589="",0,+$T2589*$V2589)</f>
        <v>1.7711375080605176</v>
      </c>
      <c r="X2589" s="85">
        <f>IF(B2589="",0,IF(OR(H2589=MappingTables!$C$34,H2589=MappingTables!$C$35),W2589,0))</f>
        <v>0</v>
      </c>
    </row>
    <row r="2590" spans="2:24" s="0" customFormat="0" ht="15">
      <c r="B2590" s="69" t="s">
        <v>1162</v>
      </c>
      <c r="C2590" s="70" t="s">
        <v>1163</v>
      </c>
      <c r="D2590" s="70" t="s">
        <v>1</v>
      </c>
      <c r="E2590" s="70" t="s">
        <v>1</v>
      </c>
      <c r="F2590" s="70"/>
      <c r="G2590" s="70" t="s">
        <v>61</v>
      </c>
      <c r="H2590" s="70" t="s">
        <v>178</v>
      </c>
      <c r="I2590" s="70" t="s">
        <v>181</v>
      </c>
      <c r="J2590" s="71">
        <f>IF(OR(I2590=0,I2590=""),"unrated",VLOOKUP(I2590,MappingTables!$B$19:$C$31,2,FALSE))</f>
        <v>3</v>
      </c>
      <c r="K2590" s="72">
        <v>4453.4619830980152</v>
      </c>
      <c r="L2590" s="70">
        <v>9.2998864674340496</v>
      </c>
      <c r="M2590" s="71">
        <f>IF(L2590&lt;1,1,L2590)</f>
        <v>9.2998864674340496</v>
      </c>
      <c r="N2590" s="70" t="s">
        <v>141</v>
      </c>
      <c r="O2590" s="71">
        <f>INDEX(DurClassMapping,MATCH(M2590,MappingTables!$D$4:$D$8,-1),1)</f>
        <v>2</v>
      </c>
      <c r="P2590" s="73">
        <f>IF(M2590=$A$1,1,$M2590-INDEX(MappingTables!$E$4:$E$8,MATCH(O2590,MappingTables!$B$4:$B$8,0)))</f>
        <v>4.2998864674340496</v>
      </c>
      <c r="Q2590" s="71">
        <f>IF(B2590="",0,INDEX(ModelParameters!$D$6:$K$10,MATCH($O2590,ModelParameters!$B$6:$B$10,0),MATCH($J2590,ModelParameters!$D$5:$K$5,0)))</f>
        <v>0.015</v>
      </c>
      <c r="R2590" s="71">
        <f>IF(B2590="",0,INDEX(ModelParameters!$D$13:$K$17,MATCH($O2590,ModelParameters!$B$13:$B$17,0),MATCH($J2590,ModelParameters!$D$5:$K$5,0)))</f>
        <v>0.125</v>
      </c>
      <c r="S2590" s="160">
        <f>IF(B2590="",0,MIN(IF($N2590="Other Bond TM",ModelParameters!$N$21,1)*(P2590*Q2590+R2590),1))</f>
        <v>0.18949829701151076</v>
      </c>
      <c r="T2590" s="85">
        <f>IF(B2590="",0,$S2590*$K2590)</f>
        <v>843.92346160257936</v>
      </c>
      <c r="U2590" s="85">
        <f>IF(B2590="",0,IF(OR(H2590=MappingTables!$C$34,H2590=MappingTables!$C$35),T2590,0))</f>
        <v>0</v>
      </c>
      <c r="V2590" s="85">
        <f>IF(ISNA(IF(AND(VLOOKUP(CONCATENATE($D2590,$G2590),CSRFinput!$B:$E,4,0)=0,OR(H2590=MappingTables!$C$34,H2590=MappingTables!$C$35)),1,VLOOKUP(CONCATENATE($D2590,$G2590),CSRFinput!$B:$E,4,0))),0,IF(AND(VLOOKUP(CONCATENATE($D2590,$G2590),CSRFinput!$B:$E,4,0)=0,OR(H2590=MappingTables!$C$34,H2590=MappingTables!$C$35)),1,VLOOKUP(CONCATENATE($D2590,$G2590),CSRFinput!$B:$E,4,0)))</f>
        <v>0.054776304963434752</v>
      </c>
      <c r="W2590" s="85">
        <f>IF(B2590="",0,+$T2590*$V2590)</f>
        <v>46.227008898540408</v>
      </c>
      <c r="X2590" s="85">
        <f>IF(B2590="",0,IF(OR(H2590=MappingTables!$C$34,H2590=MappingTables!$C$35),W2590,0))</f>
        <v>0</v>
      </c>
    </row>
    <row r="2591" spans="2:24" s="0" customFormat="0" ht="15">
      <c r="B2591" s="69">
        <v>7728521</v>
      </c>
      <c r="C2591" s="70" t="s">
        <v>2500</v>
      </c>
      <c r="D2591" s="70" t="s">
        <v>1</v>
      </c>
      <c r="E2591" s="70" t="s">
        <v>1</v>
      </c>
      <c r="F2591" s="70"/>
      <c r="G2591" s="70" t="s">
        <v>61</v>
      </c>
      <c r="H2591" s="70" t="s">
        <v>178</v>
      </c>
      <c r="I2591" s="70" t="s">
        <v>188</v>
      </c>
      <c r="J2591" s="71">
        <f>IF(OR(I2591=0,I2591=""),"unrated",VLOOKUP(I2591,MappingTables!$B$19:$C$31,2,FALSE))</f>
        <v>2</v>
      </c>
      <c r="K2591" s="72">
        <v>47.140754078819536</v>
      </c>
      <c r="L2591" s="70">
        <v>0.07945517843406608</v>
      </c>
      <c r="M2591" s="71">
        <f>IF(L2591&lt;1,1,L2591)</f>
        <v>1</v>
      </c>
      <c r="N2591" s="70" t="s">
        <v>141</v>
      </c>
      <c r="O2591" s="71">
        <f>INDEX(DurClassMapping,MATCH(M2591,MappingTables!$D$4:$D$8,-1),1)</f>
        <v>1</v>
      </c>
      <c r="P2591" s="73">
        <f>IF(M2591=$A$1,1,$M2591-INDEX(MappingTables!$E$4:$E$8,MATCH(O2591,MappingTables!$B$4:$B$8,0)))</f>
        <v>1</v>
      </c>
      <c r="Q2591" s="71">
        <f>IF(B2591="",0,INDEX(ModelParameters!$D$6:$K$10,MATCH($O2591,ModelParameters!$B$6:$B$10,0),MATCH($J2591,ModelParameters!$D$5:$K$5,0)))</f>
        <v>0.013999999999999998</v>
      </c>
      <c r="R2591" s="71">
        <f>IF(B2591="",0,INDEX(ModelParameters!$D$13:$K$17,MATCH($O2591,ModelParameters!$B$13:$B$17,0),MATCH($J2591,ModelParameters!$D$5:$K$5,0)))</f>
        <v>0</v>
      </c>
      <c r="S2591" s="160">
        <f>IF(B2591="",0,MIN(IF($N2591="Other Bond TM",ModelParameters!$N$21,1)*(P2591*Q2591+R2591),1))</f>
        <v>0.013999999999999998</v>
      </c>
      <c r="T2591" s="85">
        <f>IF(B2591="",0,$S2591*$K2591)</f>
        <v>0.65997055710347344</v>
      </c>
      <c r="U2591" s="85">
        <f>IF(B2591="",0,IF(OR(H2591=MappingTables!$C$34,H2591=MappingTables!$C$35),T2591,0))</f>
        <v>0</v>
      </c>
      <c r="V2591" s="85">
        <f>IF(ISNA(IF(AND(VLOOKUP(CONCATENATE($D2591,$G2591),CSRFinput!$B:$E,4,0)=0,OR(H2591=MappingTables!$C$34,H2591=MappingTables!$C$35)),1,VLOOKUP(CONCATENATE($D2591,$G2591),CSRFinput!$B:$E,4,0))),0,IF(AND(VLOOKUP(CONCATENATE($D2591,$G2591),CSRFinput!$B:$E,4,0)=0,OR(H2591=MappingTables!$C$34,H2591=MappingTables!$C$35)),1,VLOOKUP(CONCATENATE($D2591,$G2591),CSRFinput!$B:$E,4,0)))</f>
        <v>0.054776304963434752</v>
      </c>
      <c r="W2591" s="85">
        <f>IF(B2591="",0,+$T2591*$V2591)</f>
        <v>0.036150748502787784</v>
      </c>
      <c r="X2591" s="85">
        <f>IF(B2591="",0,IF(OR(H2591=MappingTables!$C$34,H2591=MappingTables!$C$35),W2591,0))</f>
        <v>0</v>
      </c>
    </row>
    <row r="2592" spans="2:24" s="0" customFormat="0" ht="15">
      <c r="B2592" s="69" t="s">
        <v>1836</v>
      </c>
      <c r="C2592" s="70" t="s">
        <v>1837</v>
      </c>
      <c r="D2592" s="70" t="s">
        <v>1</v>
      </c>
      <c r="E2592" s="70" t="s">
        <v>1</v>
      </c>
      <c r="F2592" s="70"/>
      <c r="G2592" s="70" t="s">
        <v>61</v>
      </c>
      <c r="H2592" s="70" t="s">
        <v>178</v>
      </c>
      <c r="I2592" s="70" t="s">
        <v>181</v>
      </c>
      <c r="J2592" s="71">
        <f>IF(OR(I2592=0,I2592=""),"unrated",VLOOKUP(I2592,MappingTables!$B$19:$C$31,2,FALSE))</f>
        <v>3</v>
      </c>
      <c r="K2592" s="72">
        <v>0.35756064519149016</v>
      </c>
      <c r="L2592" s="70">
        <v>1.2814892442581422</v>
      </c>
      <c r="M2592" s="71">
        <f>IF(L2592&lt;1,1,L2592)</f>
        <v>1.2814892442581422</v>
      </c>
      <c r="N2592" s="70" t="s">
        <v>141</v>
      </c>
      <c r="O2592" s="71">
        <f>INDEX(DurClassMapping,MATCH(M2592,MappingTables!$D$4:$D$8,-1),1)</f>
        <v>1</v>
      </c>
      <c r="P2592" s="73">
        <f>IF(M2592=$A$1,1,$M2592-INDEX(MappingTables!$E$4:$E$8,MATCH(O2592,MappingTables!$B$4:$B$8,0)))</f>
        <v>1.2814892442581422</v>
      </c>
      <c r="Q2592" s="71">
        <f>IF(B2592="",0,INDEX(ModelParameters!$D$6:$K$10,MATCH($O2592,ModelParameters!$B$6:$B$10,0),MATCH($J2592,ModelParameters!$D$5:$K$5,0)))</f>
        <v>0.025</v>
      </c>
      <c r="R2592" s="71">
        <f>IF(B2592="",0,INDEX(ModelParameters!$D$13:$K$17,MATCH($O2592,ModelParameters!$B$13:$B$17,0),MATCH($J2592,ModelParameters!$D$5:$K$5,0)))</f>
        <v>0</v>
      </c>
      <c r="S2592" s="160">
        <f>IF(B2592="",0,MIN(IF($N2592="Other Bond TM",ModelParameters!$N$21,1)*(P2592*Q2592+R2592),1))</f>
        <v>0.03203723110645356</v>
      </c>
      <c r="T2592" s="85">
        <f>IF(B2592="",0,$S2592*$K2592)</f>
        <v>0.011455253024572414</v>
      </c>
      <c r="U2592" s="85">
        <f>IF(B2592="",0,IF(OR(H2592=MappingTables!$C$34,H2592=MappingTables!$C$35),T2592,0))</f>
        <v>0</v>
      </c>
      <c r="V2592" s="85">
        <f>IF(ISNA(IF(AND(VLOOKUP(CONCATENATE($D2592,$G2592),CSRFinput!$B:$E,4,0)=0,OR(H2592=MappingTables!$C$34,H2592=MappingTables!$C$35)),1,VLOOKUP(CONCATENATE($D2592,$G2592),CSRFinput!$B:$E,4,0))),0,IF(AND(VLOOKUP(CONCATENATE($D2592,$G2592),CSRFinput!$B:$E,4,0)=0,OR(H2592=MappingTables!$C$34,H2592=MappingTables!$C$35)),1,VLOOKUP(CONCATENATE($D2592,$G2592),CSRFinput!$B:$E,4,0)))</f>
        <v>0.054776304963434752</v>
      </c>
      <c r="W2592" s="85">
        <f>IF(B2592="",0,+$T2592*$V2592)</f>
        <v>0.00062747643310728688</v>
      </c>
      <c r="X2592" s="85">
        <f>IF(B2592="",0,IF(OR(H2592=MappingTables!$C$34,H2592=MappingTables!$C$35),W2592,0))</f>
        <v>0</v>
      </c>
    </row>
    <row r="2593" spans="2:24" s="0" customFormat="0" ht="15">
      <c r="B2593" s="69">
        <v>24395138</v>
      </c>
      <c r="C2593" s="70" t="s">
        <v>1289</v>
      </c>
      <c r="D2593" s="70" t="s">
        <v>1</v>
      </c>
      <c r="E2593" s="70" t="s">
        <v>1</v>
      </c>
      <c r="F2593" s="70"/>
      <c r="G2593" s="70" t="s">
        <v>61</v>
      </c>
      <c r="H2593" s="70" t="s">
        <v>178</v>
      </c>
      <c r="I2593" s="70" t="s">
        <v>188</v>
      </c>
      <c r="J2593" s="71">
        <f>IF(OR(I2593=0,I2593=""),"unrated",VLOOKUP(I2593,MappingTables!$B$19:$C$31,2,FALSE))</f>
        <v>2</v>
      </c>
      <c r="K2593" s="72">
        <v>109.56266659517824</v>
      </c>
      <c r="L2593" s="70">
        <v>0.3697600314097372</v>
      </c>
      <c r="M2593" s="71">
        <f>IF(L2593&lt;1,1,L2593)</f>
        <v>1</v>
      </c>
      <c r="N2593" s="70" t="s">
        <v>141</v>
      </c>
      <c r="O2593" s="71">
        <f>INDEX(DurClassMapping,MATCH(M2593,MappingTables!$D$4:$D$8,-1),1)</f>
        <v>1</v>
      </c>
      <c r="P2593" s="73">
        <f>IF(M2593=$A$1,1,$M2593-INDEX(MappingTables!$E$4:$E$8,MATCH(O2593,MappingTables!$B$4:$B$8,0)))</f>
        <v>1</v>
      </c>
      <c r="Q2593" s="71">
        <f>IF(B2593="",0,INDEX(ModelParameters!$D$6:$K$10,MATCH($O2593,ModelParameters!$B$6:$B$10,0),MATCH($J2593,ModelParameters!$D$5:$K$5,0)))</f>
        <v>0.013999999999999998</v>
      </c>
      <c r="R2593" s="71">
        <f>IF(B2593="",0,INDEX(ModelParameters!$D$13:$K$17,MATCH($O2593,ModelParameters!$B$13:$B$17,0),MATCH($J2593,ModelParameters!$D$5:$K$5,0)))</f>
        <v>0</v>
      </c>
      <c r="S2593" s="160">
        <f>IF(B2593="",0,MIN(IF($N2593="Other Bond TM",ModelParameters!$N$21,1)*(P2593*Q2593+R2593),1))</f>
        <v>0.013999999999999998</v>
      </c>
      <c r="T2593" s="85">
        <f>IF(B2593="",0,$S2593*$K2593)</f>
        <v>1.5338773323324952</v>
      </c>
      <c r="U2593" s="85">
        <f>IF(B2593="",0,IF(OR(H2593=MappingTables!$C$34,H2593=MappingTables!$C$35),T2593,0))</f>
        <v>0</v>
      </c>
      <c r="V2593" s="85">
        <f>IF(ISNA(IF(AND(VLOOKUP(CONCATENATE($D2593,$G2593),CSRFinput!$B:$E,4,0)=0,OR(H2593=MappingTables!$C$34,H2593=MappingTables!$C$35)),1,VLOOKUP(CONCATENATE($D2593,$G2593),CSRFinput!$B:$E,4,0))),0,IF(AND(VLOOKUP(CONCATENATE($D2593,$G2593),CSRFinput!$B:$E,4,0)=0,OR(H2593=MappingTables!$C$34,H2593=MappingTables!$C$35)),1,VLOOKUP(CONCATENATE($D2593,$G2593),CSRFinput!$B:$E,4,0)))</f>
        <v>0.054776304963434752</v>
      </c>
      <c r="W2593" s="85">
        <f>IF(B2593="",0,+$T2593*$V2593)</f>
        <v>0.084020132532344512</v>
      </c>
      <c r="X2593" s="85">
        <f>IF(B2593="",0,IF(OR(H2593=MappingTables!$C$34,H2593=MappingTables!$C$35),W2593,0))</f>
        <v>0</v>
      </c>
    </row>
    <row r="2594" spans="2:24" s="0" customFormat="0" ht="15">
      <c r="B2594" s="69">
        <v>21299666</v>
      </c>
      <c r="C2594" s="70" t="s">
        <v>1330</v>
      </c>
      <c r="D2594" s="70" t="s">
        <v>1</v>
      </c>
      <c r="E2594" s="70" t="s">
        <v>1</v>
      </c>
      <c r="F2594" s="70"/>
      <c r="G2594" s="70" t="s">
        <v>61</v>
      </c>
      <c r="H2594" s="70" t="s">
        <v>178</v>
      </c>
      <c r="I2594" s="70" t="s">
        <v>188</v>
      </c>
      <c r="J2594" s="71">
        <f>IF(OR(I2594=0,I2594=""),"unrated",VLOOKUP(I2594,MappingTables!$B$19:$C$31,2,FALSE))</f>
        <v>2</v>
      </c>
      <c r="K2594" s="72">
        <v>52.375324119991864</v>
      </c>
      <c r="L2594" s="70">
        <v>0.61832388800059272</v>
      </c>
      <c r="M2594" s="71">
        <f>IF(L2594&lt;1,1,L2594)</f>
        <v>1</v>
      </c>
      <c r="N2594" s="70" t="s">
        <v>141</v>
      </c>
      <c r="O2594" s="71">
        <f>INDEX(DurClassMapping,MATCH(M2594,MappingTables!$D$4:$D$8,-1),1)</f>
        <v>1</v>
      </c>
      <c r="P2594" s="73">
        <f>IF(M2594=$A$1,1,$M2594-INDEX(MappingTables!$E$4:$E$8,MATCH(O2594,MappingTables!$B$4:$B$8,0)))</f>
        <v>1</v>
      </c>
      <c r="Q2594" s="71">
        <f>IF(B2594="",0,INDEX(ModelParameters!$D$6:$K$10,MATCH($O2594,ModelParameters!$B$6:$B$10,0),MATCH($J2594,ModelParameters!$D$5:$K$5,0)))</f>
        <v>0.013999999999999998</v>
      </c>
      <c r="R2594" s="71">
        <f>IF(B2594="",0,INDEX(ModelParameters!$D$13:$K$17,MATCH($O2594,ModelParameters!$B$13:$B$17,0),MATCH($J2594,ModelParameters!$D$5:$K$5,0)))</f>
        <v>0</v>
      </c>
      <c r="S2594" s="160">
        <f>IF(B2594="",0,MIN(IF($N2594="Other Bond TM",ModelParameters!$N$21,1)*(P2594*Q2594+R2594),1))</f>
        <v>0.013999999999999998</v>
      </c>
      <c r="T2594" s="85">
        <f>IF(B2594="",0,$S2594*$K2594)</f>
        <v>0.73325453767988608</v>
      </c>
      <c r="U2594" s="85">
        <f>IF(B2594="",0,IF(OR(H2594=MappingTables!$C$34,H2594=MappingTables!$C$35),T2594,0))</f>
        <v>0</v>
      </c>
      <c r="V2594" s="85">
        <f>IF(ISNA(IF(AND(VLOOKUP(CONCATENATE($D2594,$G2594),CSRFinput!$B:$E,4,0)=0,OR(H2594=MappingTables!$C$34,H2594=MappingTables!$C$35)),1,VLOOKUP(CONCATENATE($D2594,$G2594),CSRFinput!$B:$E,4,0))),0,IF(AND(VLOOKUP(CONCATENATE($D2594,$G2594),CSRFinput!$B:$E,4,0)=0,OR(H2594=MappingTables!$C$34,H2594=MappingTables!$C$35)),1,VLOOKUP(CONCATENATE($D2594,$G2594),CSRFinput!$B:$E,4,0)))</f>
        <v>0.054776304963434752</v>
      </c>
      <c r="W2594" s="85">
        <f>IF(B2594="",0,+$T2594*$V2594)</f>
        <v>0.040164974171775792</v>
      </c>
      <c r="X2594" s="85">
        <f>IF(B2594="",0,IF(OR(H2594=MappingTables!$C$34,H2594=MappingTables!$C$35),W2594,0))</f>
        <v>0</v>
      </c>
    </row>
    <row r="2595" spans="2:24" s="0" customFormat="0" ht="15">
      <c r="B2595" s="69">
        <v>21772341</v>
      </c>
      <c r="C2595" s="70" t="s">
        <v>1909</v>
      </c>
      <c r="D2595" s="70" t="s">
        <v>1</v>
      </c>
      <c r="E2595" s="70" t="s">
        <v>1</v>
      </c>
      <c r="F2595" s="70"/>
      <c r="G2595" s="70" t="s">
        <v>61</v>
      </c>
      <c r="H2595" s="70" t="s">
        <v>178</v>
      </c>
      <c r="I2595" s="70" t="s">
        <v>181</v>
      </c>
      <c r="J2595" s="71">
        <f>IF(OR(I2595=0,I2595=""),"unrated",VLOOKUP(I2595,MappingTables!$B$19:$C$31,2,FALSE))</f>
        <v>3</v>
      </c>
      <c r="K2595" s="72">
        <v>147.36412288433192</v>
      </c>
      <c r="L2595" s="70">
        <v>1.9487301489553148</v>
      </c>
      <c r="M2595" s="71">
        <f>IF(L2595&lt;1,1,L2595)</f>
        <v>1.9487301489553148</v>
      </c>
      <c r="N2595" s="70" t="s">
        <v>141</v>
      </c>
      <c r="O2595" s="71">
        <f>INDEX(DurClassMapping,MATCH(M2595,MappingTables!$D$4:$D$8,-1),1)</f>
        <v>1</v>
      </c>
      <c r="P2595" s="73">
        <f>IF(M2595=$A$1,1,$M2595-INDEX(MappingTables!$E$4:$E$8,MATCH(O2595,MappingTables!$B$4:$B$8,0)))</f>
        <v>1.9487301489553148</v>
      </c>
      <c r="Q2595" s="71">
        <f>IF(B2595="",0,INDEX(ModelParameters!$D$6:$K$10,MATCH($O2595,ModelParameters!$B$6:$B$10,0),MATCH($J2595,ModelParameters!$D$5:$K$5,0)))</f>
        <v>0.025</v>
      </c>
      <c r="R2595" s="71">
        <f>IF(B2595="",0,INDEX(ModelParameters!$D$13:$K$17,MATCH($O2595,ModelParameters!$B$13:$B$17,0),MATCH($J2595,ModelParameters!$D$5:$K$5,0)))</f>
        <v>0</v>
      </c>
      <c r="S2595" s="160">
        <f>IF(B2595="",0,MIN(IF($N2595="Other Bond TM",ModelParameters!$N$21,1)*(P2595*Q2595+R2595),1))</f>
        <v>0.048718253723882872</v>
      </c>
      <c r="T2595" s="85">
        <f>IF(B2595="",0,$S2595*$K2595)</f>
        <v>7.1793227284763368</v>
      </c>
      <c r="U2595" s="85">
        <f>IF(B2595="",0,IF(OR(H2595=MappingTables!$C$34,H2595=MappingTables!$C$35),T2595,0))</f>
        <v>0</v>
      </c>
      <c r="V2595" s="85">
        <f>IF(ISNA(IF(AND(VLOOKUP(CONCATENATE($D2595,$G2595),CSRFinput!$B:$E,4,0)=0,OR(H2595=MappingTables!$C$34,H2595=MappingTables!$C$35)),1,VLOOKUP(CONCATENATE($D2595,$G2595),CSRFinput!$B:$E,4,0))),0,IF(AND(VLOOKUP(CONCATENATE($D2595,$G2595),CSRFinput!$B:$E,4,0)=0,OR(H2595=MappingTables!$C$34,H2595=MappingTables!$C$35)),1,VLOOKUP(CONCATENATE($D2595,$G2595),CSRFinput!$B:$E,4,0)))</f>
        <v>0.054776304963434752</v>
      </c>
      <c r="W2595" s="85">
        <f>IF(B2595="",0,+$T2595*$V2595)</f>
        <v>0.39325677120593832</v>
      </c>
      <c r="X2595" s="85">
        <f>IF(B2595="",0,IF(OR(H2595=MappingTables!$C$34,H2595=MappingTables!$C$35),W2595,0))</f>
        <v>0</v>
      </c>
    </row>
    <row r="2596" spans="2:24" s="0" customFormat="0" ht="15">
      <c r="B2596" s="69">
        <v>18718964</v>
      </c>
      <c r="C2596" s="70" t="s">
        <v>2501</v>
      </c>
      <c r="D2596" s="70" t="s">
        <v>1</v>
      </c>
      <c r="E2596" s="70" t="s">
        <v>1</v>
      </c>
      <c r="F2596" s="70"/>
      <c r="G2596" s="70" t="s">
        <v>61</v>
      </c>
      <c r="H2596" s="70" t="s">
        <v>178</v>
      </c>
      <c r="I2596" s="70" t="s">
        <v>179</v>
      </c>
      <c r="J2596" s="71">
        <f>IF(OR(I2596=0,I2596=""),"unrated",VLOOKUP(I2596,MappingTables!$B$19:$C$31,2,FALSE))</f>
        <v>4</v>
      </c>
      <c r="K2596" s="72">
        <v>465.5547145592056</v>
      </c>
      <c r="L2596" s="70">
        <v>2.8291948661725044</v>
      </c>
      <c r="M2596" s="71">
        <f>IF(L2596&lt;1,1,L2596)</f>
        <v>2.8291948661725044</v>
      </c>
      <c r="N2596" s="70" t="s">
        <v>141</v>
      </c>
      <c r="O2596" s="71">
        <f>INDEX(DurClassMapping,MATCH(M2596,MappingTables!$D$4:$D$8,-1),1)</f>
        <v>1</v>
      </c>
      <c r="P2596" s="73">
        <f>IF(M2596=$A$1,1,$M2596-INDEX(MappingTables!$E$4:$E$8,MATCH(O2596,MappingTables!$B$4:$B$8,0)))</f>
        <v>2.8291948661725044</v>
      </c>
      <c r="Q2596" s="71">
        <f>IF(B2596="",0,INDEX(ModelParameters!$D$6:$K$10,MATCH($O2596,ModelParameters!$B$6:$B$10,0),MATCH($J2596,ModelParameters!$D$5:$K$5,0)))</f>
        <v>0.045</v>
      </c>
      <c r="R2596" s="71">
        <f>IF(B2596="",0,INDEX(ModelParameters!$D$13:$K$17,MATCH($O2596,ModelParameters!$B$13:$B$17,0),MATCH($J2596,ModelParameters!$D$5:$K$5,0)))</f>
        <v>0</v>
      </c>
      <c r="S2596" s="160">
        <f>IF(B2596="",0,MIN(IF($N2596="Other Bond TM",ModelParameters!$N$21,1)*(P2596*Q2596+R2596),1))</f>
        <v>0.1273137689777627</v>
      </c>
      <c r="T2596" s="85">
        <f>IF(B2596="",0,$S2596*$K2596)</f>
        <v>59.271525375898952</v>
      </c>
      <c r="U2596" s="85">
        <f>IF(B2596="",0,IF(OR(H2596=MappingTables!$C$34,H2596=MappingTables!$C$35),T2596,0))</f>
        <v>0</v>
      </c>
      <c r="V2596" s="85">
        <f>IF(ISNA(IF(AND(VLOOKUP(CONCATENATE($D2596,$G2596),CSRFinput!$B:$E,4,0)=0,OR(H2596=MappingTables!$C$34,H2596=MappingTables!$C$35)),1,VLOOKUP(CONCATENATE($D2596,$G2596),CSRFinput!$B:$E,4,0))),0,IF(AND(VLOOKUP(CONCATENATE($D2596,$G2596),CSRFinput!$B:$E,4,0)=0,OR(H2596=MappingTables!$C$34,H2596=MappingTables!$C$35)),1,VLOOKUP(CONCATENATE($D2596,$G2596),CSRFinput!$B:$E,4,0)))</f>
        <v>0.054776304963434752</v>
      </c>
      <c r="W2596" s="85">
        <f>IF(B2596="",0,+$T2596*$V2596)</f>
        <v>3.2466751496382028</v>
      </c>
      <c r="X2596" s="85">
        <f>IF(B2596="",0,IF(OR(H2596=MappingTables!$C$34,H2596=MappingTables!$C$35),W2596,0))</f>
        <v>0</v>
      </c>
    </row>
    <row r="2597" spans="2:24" s="0" customFormat="0" ht="15">
      <c r="B2597" s="69">
        <v>22827673</v>
      </c>
      <c r="C2597" s="70" t="s">
        <v>1536</v>
      </c>
      <c r="D2597" s="70" t="s">
        <v>1</v>
      </c>
      <c r="E2597" s="70" t="s">
        <v>1</v>
      </c>
      <c r="F2597" s="70"/>
      <c r="G2597" s="70" t="s">
        <v>61</v>
      </c>
      <c r="H2597" s="70" t="s">
        <v>178</v>
      </c>
      <c r="I2597" s="70" t="s">
        <v>179</v>
      </c>
      <c r="J2597" s="71">
        <f>IF(OR(I2597=0,I2597=""),"unrated",VLOOKUP(I2597,MappingTables!$B$19:$C$31,2,FALSE))</f>
        <v>4</v>
      </c>
      <c r="K2597" s="72">
        <v>20261.224008178056</v>
      </c>
      <c r="L2597" s="70">
        <v>7.8750597367091696</v>
      </c>
      <c r="M2597" s="71">
        <f>IF(L2597&lt;1,1,L2597)</f>
        <v>7.8750597367091696</v>
      </c>
      <c r="N2597" s="70" t="s">
        <v>141</v>
      </c>
      <c r="O2597" s="71">
        <f>INDEX(DurClassMapping,MATCH(M2597,MappingTables!$D$4:$D$8,-1),1)</f>
        <v>2</v>
      </c>
      <c r="P2597" s="73">
        <f>IF(M2597=$A$1,1,$M2597-INDEX(MappingTables!$E$4:$E$8,MATCH(O2597,MappingTables!$B$4:$B$8,0)))</f>
        <v>2.8750597367091704</v>
      </c>
      <c r="Q2597" s="71">
        <f>IF(B2597="",0,INDEX(ModelParameters!$D$6:$K$10,MATCH($O2597,ModelParameters!$B$6:$B$10,0),MATCH($J2597,ModelParameters!$D$5:$K$5,0)))</f>
        <v>0.025</v>
      </c>
      <c r="R2597" s="71">
        <f>IF(B2597="",0,INDEX(ModelParameters!$D$13:$K$17,MATCH($O2597,ModelParameters!$B$13:$B$17,0),MATCH($J2597,ModelParameters!$D$5:$K$5,0)))</f>
        <v>0.225</v>
      </c>
      <c r="S2597" s="160">
        <f>IF(B2597="",0,MIN(IF($N2597="Other Bond TM",ModelParameters!$N$21,1)*(P2597*Q2597+R2597),1))</f>
        <v>0.29687649341772924</v>
      </c>
      <c r="T2597" s="85">
        <f>IF(B2597="",0,$S2597*$K2597)</f>
        <v>6015.0811358990104</v>
      </c>
      <c r="U2597" s="85">
        <f>IF(B2597="",0,IF(OR(H2597=MappingTables!$C$34,H2597=MappingTables!$C$35),T2597,0))</f>
        <v>0</v>
      </c>
      <c r="V2597" s="85">
        <f>IF(ISNA(IF(AND(VLOOKUP(CONCATENATE($D2597,$G2597),CSRFinput!$B:$E,4,0)=0,OR(H2597=MappingTables!$C$34,H2597=MappingTables!$C$35)),1,VLOOKUP(CONCATENATE($D2597,$G2597),CSRFinput!$B:$E,4,0))),0,IF(AND(VLOOKUP(CONCATENATE($D2597,$G2597),CSRFinput!$B:$E,4,0)=0,OR(H2597=MappingTables!$C$34,H2597=MappingTables!$C$35)),1,VLOOKUP(CONCATENATE($D2597,$G2597),CSRFinput!$B:$E,4,0)))</f>
        <v>0.054776304963434752</v>
      </c>
      <c r="W2597" s="85">
        <f>IF(B2597="",0,+$T2597*$V2597)</f>
        <v>329.48391867980776</v>
      </c>
      <c r="X2597" s="85">
        <f>IF(B2597="",0,IF(OR(H2597=MappingTables!$C$34,H2597=MappingTables!$C$35),W2597,0))</f>
        <v>0</v>
      </c>
    </row>
    <row r="2598" spans="2:24" s="0" customFormat="0" ht="15">
      <c r="B2598" s="69">
        <v>8145964</v>
      </c>
      <c r="C2598" s="70" t="s">
        <v>2466</v>
      </c>
      <c r="D2598" s="70" t="s">
        <v>1</v>
      </c>
      <c r="E2598" s="70" t="s">
        <v>1</v>
      </c>
      <c r="F2598" s="70"/>
      <c r="G2598" s="70" t="s">
        <v>61</v>
      </c>
      <c r="H2598" s="70" t="s">
        <v>178</v>
      </c>
      <c r="I2598" s="70" t="s">
        <v>179</v>
      </c>
      <c r="J2598" s="71">
        <f>IF(OR(I2598=0,I2598=""),"unrated",VLOOKUP(I2598,MappingTables!$B$19:$C$31,2,FALSE))</f>
        <v>4</v>
      </c>
      <c r="K2598" s="72">
        <v>68475.184320191928</v>
      </c>
      <c r="L2598" s="70">
        <v>13.184292065757084</v>
      </c>
      <c r="M2598" s="71">
        <f>IF(L2598&lt;1,1,L2598)</f>
        <v>13.184292065757084</v>
      </c>
      <c r="N2598" s="70" t="s">
        <v>141</v>
      </c>
      <c r="O2598" s="71">
        <f>INDEX(DurClassMapping,MATCH(M2598,MappingTables!$D$4:$D$8,-1),1)</f>
        <v>3</v>
      </c>
      <c r="P2598" s="73">
        <f>IF(M2598=$A$1,1,$M2598-INDEX(MappingTables!$E$4:$E$8,MATCH(O2598,MappingTables!$B$4:$B$8,0)))</f>
        <v>3.1842920657570844</v>
      </c>
      <c r="Q2598" s="71">
        <f>IF(B2598="",0,INDEX(ModelParameters!$D$6:$K$10,MATCH($O2598,ModelParameters!$B$6:$B$10,0),MATCH($J2598,ModelParameters!$D$5:$K$5,0)))</f>
        <v>0.018000000000000002</v>
      </c>
      <c r="R2598" s="71">
        <f>IF(B2598="",0,INDEX(ModelParameters!$D$13:$K$17,MATCH($O2598,ModelParameters!$B$13:$B$17,0),MATCH($J2598,ModelParameters!$D$5:$K$5,0)))</f>
        <v>0.34999999999999996</v>
      </c>
      <c r="S2598" s="160">
        <f>IF(B2598="",0,MIN(IF($N2598="Other Bond TM",ModelParameters!$N$21,1)*(P2598*Q2598+R2598),1))</f>
        <v>0.40731725718362752</v>
      </c>
      <c r="T2598" s="85">
        <f>IF(B2598="",0,$S2598*$K2598)</f>
        <v>27891.124262443912</v>
      </c>
      <c r="U2598" s="85">
        <f>IF(B2598="",0,IF(OR(H2598=MappingTables!$C$34,H2598=MappingTables!$C$35),T2598,0))</f>
        <v>0</v>
      </c>
      <c r="V2598" s="85">
        <f>IF(ISNA(IF(AND(VLOOKUP(CONCATENATE($D2598,$G2598),CSRFinput!$B:$E,4,0)=0,OR(H2598=MappingTables!$C$34,H2598=MappingTables!$C$35)),1,VLOOKUP(CONCATENATE($D2598,$G2598),CSRFinput!$B:$E,4,0))),0,IF(AND(VLOOKUP(CONCATENATE($D2598,$G2598),CSRFinput!$B:$E,4,0)=0,OR(H2598=MappingTables!$C$34,H2598=MappingTables!$C$35)),1,VLOOKUP(CONCATENATE($D2598,$G2598),CSRFinput!$B:$E,4,0)))</f>
        <v>0.054776304963434752</v>
      </c>
      <c r="W2598" s="85">
        <f>IF(B2598="",0,+$T2598*$V2598)</f>
        <v>1527.772728372682</v>
      </c>
      <c r="X2598" s="85">
        <f>IF(B2598="",0,IF(OR(H2598=MappingTables!$C$34,H2598=MappingTables!$C$35),W2598,0))</f>
        <v>0</v>
      </c>
    </row>
    <row r="2599" spans="2:24" s="0" customFormat="0" ht="15">
      <c r="B2599" s="69">
        <v>15774247</v>
      </c>
      <c r="C2599" s="70" t="s">
        <v>2481</v>
      </c>
      <c r="D2599" s="70" t="s">
        <v>1</v>
      </c>
      <c r="E2599" s="70" t="s">
        <v>1</v>
      </c>
      <c r="F2599" s="70"/>
      <c r="G2599" s="70" t="s">
        <v>61</v>
      </c>
      <c r="H2599" s="70" t="s">
        <v>178</v>
      </c>
      <c r="I2599" s="70" t="s">
        <v>188</v>
      </c>
      <c r="J2599" s="71">
        <f>IF(OR(I2599=0,I2599=""),"unrated",VLOOKUP(I2599,MappingTables!$B$19:$C$31,2,FALSE))</f>
        <v>2</v>
      </c>
      <c r="K2599" s="72">
        <v>63.560120105887608</v>
      </c>
      <c r="L2599" s="70">
        <v>0.12602619093730008</v>
      </c>
      <c r="M2599" s="71">
        <f>IF(L2599&lt;1,1,L2599)</f>
        <v>1</v>
      </c>
      <c r="N2599" s="70" t="s">
        <v>141</v>
      </c>
      <c r="O2599" s="71">
        <f>INDEX(DurClassMapping,MATCH(M2599,MappingTables!$D$4:$D$8,-1),1)</f>
        <v>1</v>
      </c>
      <c r="P2599" s="73">
        <f>IF(M2599=$A$1,1,$M2599-INDEX(MappingTables!$E$4:$E$8,MATCH(O2599,MappingTables!$B$4:$B$8,0)))</f>
        <v>1</v>
      </c>
      <c r="Q2599" s="71">
        <f>IF(B2599="",0,INDEX(ModelParameters!$D$6:$K$10,MATCH($O2599,ModelParameters!$B$6:$B$10,0),MATCH($J2599,ModelParameters!$D$5:$K$5,0)))</f>
        <v>0.013999999999999998</v>
      </c>
      <c r="R2599" s="71">
        <f>IF(B2599="",0,INDEX(ModelParameters!$D$13:$K$17,MATCH($O2599,ModelParameters!$B$13:$B$17,0),MATCH($J2599,ModelParameters!$D$5:$K$5,0)))</f>
        <v>0</v>
      </c>
      <c r="S2599" s="160">
        <f>IF(B2599="",0,MIN(IF($N2599="Other Bond TM",ModelParameters!$N$21,1)*(P2599*Q2599+R2599),1))</f>
        <v>0.013999999999999998</v>
      </c>
      <c r="T2599" s="85">
        <f>IF(B2599="",0,$S2599*$K2599)</f>
        <v>0.8898416814824264</v>
      </c>
      <c r="U2599" s="85">
        <f>IF(B2599="",0,IF(OR(H2599=MappingTables!$C$34,H2599=MappingTables!$C$35),T2599,0))</f>
        <v>0</v>
      </c>
      <c r="V2599" s="85">
        <f>IF(ISNA(IF(AND(VLOOKUP(CONCATENATE($D2599,$G2599),CSRFinput!$B:$E,4,0)=0,OR(H2599=MappingTables!$C$34,H2599=MappingTables!$C$35)),1,VLOOKUP(CONCATENATE($D2599,$G2599),CSRFinput!$B:$E,4,0))),0,IF(AND(VLOOKUP(CONCATENATE($D2599,$G2599),CSRFinput!$B:$E,4,0)=0,OR(H2599=MappingTables!$C$34,H2599=MappingTables!$C$35)),1,VLOOKUP(CONCATENATE($D2599,$G2599),CSRFinput!$B:$E,4,0)))</f>
        <v>0.054776304963434752</v>
      </c>
      <c r="W2599" s="85">
        <f>IF(B2599="",0,+$T2599*$V2599)</f>
        <v>0.04874223931405696</v>
      </c>
      <c r="X2599" s="85">
        <f>IF(B2599="",0,IF(OR(H2599=MappingTables!$C$34,H2599=MappingTables!$C$35),W2599,0))</f>
        <v>0</v>
      </c>
    </row>
    <row r="2600" spans="2:24" s="0" customFormat="0" ht="15">
      <c r="B2600" s="69">
        <v>12894598</v>
      </c>
      <c r="C2600" s="70" t="s">
        <v>2502</v>
      </c>
      <c r="D2600" s="70" t="s">
        <v>1</v>
      </c>
      <c r="E2600" s="70" t="s">
        <v>1</v>
      </c>
      <c r="F2600" s="70"/>
      <c r="G2600" s="70" t="s">
        <v>61</v>
      </c>
      <c r="H2600" s="70" t="s">
        <v>178</v>
      </c>
      <c r="I2600" s="70" t="s">
        <v>179</v>
      </c>
      <c r="J2600" s="71">
        <f>IF(OR(I2600=0,I2600=""),"unrated",VLOOKUP(I2600,MappingTables!$B$19:$C$31,2,FALSE))</f>
        <v>4</v>
      </c>
      <c r="K2600" s="72">
        <v>295.79621681400716</v>
      </c>
      <c r="L2600" s="70">
        <v>0.8568457768554856</v>
      </c>
      <c r="M2600" s="71">
        <f>IF(L2600&lt;1,1,L2600)</f>
        <v>1</v>
      </c>
      <c r="N2600" s="70" t="s">
        <v>141</v>
      </c>
      <c r="O2600" s="71">
        <f>INDEX(DurClassMapping,MATCH(M2600,MappingTables!$D$4:$D$8,-1),1)</f>
        <v>1</v>
      </c>
      <c r="P2600" s="73">
        <f>IF(M2600=$A$1,1,$M2600-INDEX(MappingTables!$E$4:$E$8,MATCH(O2600,MappingTables!$B$4:$B$8,0)))</f>
        <v>1</v>
      </c>
      <c r="Q2600" s="71">
        <f>IF(B2600="",0,INDEX(ModelParameters!$D$6:$K$10,MATCH($O2600,ModelParameters!$B$6:$B$10,0),MATCH($J2600,ModelParameters!$D$5:$K$5,0)))</f>
        <v>0.045</v>
      </c>
      <c r="R2600" s="71">
        <f>IF(B2600="",0,INDEX(ModelParameters!$D$13:$K$17,MATCH($O2600,ModelParameters!$B$13:$B$17,0),MATCH($J2600,ModelParameters!$D$5:$K$5,0)))</f>
        <v>0</v>
      </c>
      <c r="S2600" s="160">
        <f>IF(B2600="",0,MIN(IF($N2600="Other Bond TM",ModelParameters!$N$21,1)*(P2600*Q2600+R2600),1))</f>
        <v>0.045</v>
      </c>
      <c r="T2600" s="85">
        <f>IF(B2600="",0,$S2600*$K2600)</f>
        <v>13.310829756630322</v>
      </c>
      <c r="U2600" s="85">
        <f>IF(B2600="",0,IF(OR(H2600=MappingTables!$C$34,H2600=MappingTables!$C$35),T2600,0))</f>
        <v>0</v>
      </c>
      <c r="V2600" s="85">
        <f>IF(ISNA(IF(AND(VLOOKUP(CONCATENATE($D2600,$G2600),CSRFinput!$B:$E,4,0)=0,OR(H2600=MappingTables!$C$34,H2600=MappingTables!$C$35)),1,VLOOKUP(CONCATENATE($D2600,$G2600),CSRFinput!$B:$E,4,0))),0,IF(AND(VLOOKUP(CONCATENATE($D2600,$G2600),CSRFinput!$B:$E,4,0)=0,OR(H2600=MappingTables!$C$34,H2600=MappingTables!$C$35)),1,VLOOKUP(CONCATENATE($D2600,$G2600),CSRFinput!$B:$E,4,0)))</f>
        <v>0.054776304963434752</v>
      </c>
      <c r="W2600" s="85">
        <f>IF(B2600="",0,+$T2600*$V2600)</f>
        <v>0.72911807006554448</v>
      </c>
      <c r="X2600" s="85">
        <f>IF(B2600="",0,IF(OR(H2600=MappingTables!$C$34,H2600=MappingTables!$C$35),W2600,0))</f>
        <v>0</v>
      </c>
    </row>
    <row r="2601" spans="2:24" s="0" customFormat="0" ht="15">
      <c r="B2601" s="69">
        <v>16128864</v>
      </c>
      <c r="C2601" s="70" t="s">
        <v>2503</v>
      </c>
      <c r="D2601" s="70" t="s">
        <v>1</v>
      </c>
      <c r="E2601" s="70" t="s">
        <v>1</v>
      </c>
      <c r="F2601" s="70"/>
      <c r="G2601" s="70" t="s">
        <v>61</v>
      </c>
      <c r="H2601" s="70" t="s">
        <v>178</v>
      </c>
      <c r="I2601" s="70" t="s">
        <v>181</v>
      </c>
      <c r="J2601" s="71">
        <f>IF(OR(I2601=0,I2601=""),"unrated",VLOOKUP(I2601,MappingTables!$B$19:$C$31,2,FALSE))</f>
        <v>3</v>
      </c>
      <c r="K2601" s="72">
        <v>2303.6116181995656</v>
      </c>
      <c r="L2601" s="70">
        <v>3.8228370607973232</v>
      </c>
      <c r="M2601" s="71">
        <f>IF(L2601&lt;1,1,L2601)</f>
        <v>3.8228370607973232</v>
      </c>
      <c r="N2601" s="70" t="s">
        <v>141</v>
      </c>
      <c r="O2601" s="71">
        <f>INDEX(DurClassMapping,MATCH(M2601,MappingTables!$D$4:$D$8,-1),1)</f>
        <v>1</v>
      </c>
      <c r="P2601" s="73">
        <f>IF(M2601=$A$1,1,$M2601-INDEX(MappingTables!$E$4:$E$8,MATCH(O2601,MappingTables!$B$4:$B$8,0)))</f>
        <v>3.8228370607973232</v>
      </c>
      <c r="Q2601" s="71">
        <f>IF(B2601="",0,INDEX(ModelParameters!$D$6:$K$10,MATCH($O2601,ModelParameters!$B$6:$B$10,0),MATCH($J2601,ModelParameters!$D$5:$K$5,0)))</f>
        <v>0.025</v>
      </c>
      <c r="R2601" s="71">
        <f>IF(B2601="",0,INDEX(ModelParameters!$D$13:$K$17,MATCH($O2601,ModelParameters!$B$13:$B$17,0),MATCH($J2601,ModelParameters!$D$5:$K$5,0)))</f>
        <v>0</v>
      </c>
      <c r="S2601" s="160">
        <f>IF(B2601="",0,MIN(IF($N2601="Other Bond TM",ModelParameters!$N$21,1)*(P2601*Q2601+R2601),1))</f>
        <v>0.095570926519933088</v>
      </c>
      <c r="T2601" s="85">
        <f>IF(B2601="",0,$S2601*$K2601)</f>
        <v>220.15829669341484</v>
      </c>
      <c r="U2601" s="85">
        <f>IF(B2601="",0,IF(OR(H2601=MappingTables!$C$34,H2601=MappingTables!$C$35),T2601,0))</f>
        <v>0</v>
      </c>
      <c r="V2601" s="85">
        <f>IF(ISNA(IF(AND(VLOOKUP(CONCATENATE($D2601,$G2601),CSRFinput!$B:$E,4,0)=0,OR(H2601=MappingTables!$C$34,H2601=MappingTables!$C$35)),1,VLOOKUP(CONCATENATE($D2601,$G2601),CSRFinput!$B:$E,4,0))),0,IF(AND(VLOOKUP(CONCATENATE($D2601,$G2601),CSRFinput!$B:$E,4,0)=0,OR(H2601=MappingTables!$C$34,H2601=MappingTables!$C$35)),1,VLOOKUP(CONCATENATE($D2601,$G2601),CSRFinput!$B:$E,4,0)))</f>
        <v>0.054776304963434752</v>
      </c>
      <c r="W2601" s="85">
        <f>IF(B2601="",0,+$T2601*$V2601)</f>
        <v>12.059457999908842</v>
      </c>
      <c r="X2601" s="85">
        <f>IF(B2601="",0,IF(OR(H2601=MappingTables!$C$34,H2601=MappingTables!$C$35),W2601,0))</f>
        <v>0</v>
      </c>
    </row>
    <row r="2602" spans="2:24" s="0" customFormat="0" ht="15">
      <c r="B2602" s="69">
        <v>17822146</v>
      </c>
      <c r="C2602" s="70" t="s">
        <v>2401</v>
      </c>
      <c r="D2602" s="70" t="s">
        <v>1</v>
      </c>
      <c r="E2602" s="70" t="s">
        <v>1</v>
      </c>
      <c r="F2602" s="70"/>
      <c r="G2602" s="70" t="s">
        <v>61</v>
      </c>
      <c r="H2602" s="70" t="s">
        <v>178</v>
      </c>
      <c r="I2602" s="70" t="s">
        <v>181</v>
      </c>
      <c r="J2602" s="71">
        <f>IF(OR(I2602=0,I2602=""),"unrated",VLOOKUP(I2602,MappingTables!$B$19:$C$31,2,FALSE))</f>
        <v>3</v>
      </c>
      <c r="K2602" s="72">
        <v>138.80524926554984</v>
      </c>
      <c r="L2602" s="70">
        <v>4.7636025067661736</v>
      </c>
      <c r="M2602" s="71">
        <f>IF(L2602&lt;1,1,L2602)</f>
        <v>4.7636025067661736</v>
      </c>
      <c r="N2602" s="70" t="s">
        <v>141</v>
      </c>
      <c r="O2602" s="71">
        <f>INDEX(DurClassMapping,MATCH(M2602,MappingTables!$D$4:$D$8,-1),1)</f>
        <v>1</v>
      </c>
      <c r="P2602" s="73">
        <f>IF(M2602=$A$1,1,$M2602-INDEX(MappingTables!$E$4:$E$8,MATCH(O2602,MappingTables!$B$4:$B$8,0)))</f>
        <v>4.7636025067661736</v>
      </c>
      <c r="Q2602" s="71">
        <f>IF(B2602="",0,INDEX(ModelParameters!$D$6:$K$10,MATCH($O2602,ModelParameters!$B$6:$B$10,0),MATCH($J2602,ModelParameters!$D$5:$K$5,0)))</f>
        <v>0.025</v>
      </c>
      <c r="R2602" s="71">
        <f>IF(B2602="",0,INDEX(ModelParameters!$D$13:$K$17,MATCH($O2602,ModelParameters!$B$13:$B$17,0),MATCH($J2602,ModelParameters!$D$5:$K$5,0)))</f>
        <v>0</v>
      </c>
      <c r="S2602" s="160">
        <f>IF(B2602="",0,MIN(IF($N2602="Other Bond TM",ModelParameters!$N$21,1)*(P2602*Q2602+R2602),1))</f>
        <v>0.11909006266915434</v>
      </c>
      <c r="T2602" s="85">
        <f>IF(B2602="",0,$S2602*$K2602)</f>
        <v>16.530325833841918</v>
      </c>
      <c r="U2602" s="85">
        <f>IF(B2602="",0,IF(OR(H2602=MappingTables!$C$34,H2602=MappingTables!$C$35),T2602,0))</f>
        <v>0</v>
      </c>
      <c r="V2602" s="85">
        <f>IF(ISNA(IF(AND(VLOOKUP(CONCATENATE($D2602,$G2602),CSRFinput!$B:$E,4,0)=0,OR(H2602=MappingTables!$C$34,H2602=MappingTables!$C$35)),1,VLOOKUP(CONCATENATE($D2602,$G2602),CSRFinput!$B:$E,4,0))),0,IF(AND(VLOOKUP(CONCATENATE($D2602,$G2602),CSRFinput!$B:$E,4,0)=0,OR(H2602=MappingTables!$C$34,H2602=MappingTables!$C$35)),1,VLOOKUP(CONCATENATE($D2602,$G2602),CSRFinput!$B:$E,4,0)))</f>
        <v>0.054776304963434752</v>
      </c>
      <c r="W2602" s="85">
        <f>IF(B2602="",0,+$T2602*$V2602)</f>
        <v>0.9054701690194688</v>
      </c>
      <c r="X2602" s="85">
        <f>IF(B2602="",0,IF(OR(H2602=MappingTables!$C$34,H2602=MappingTables!$C$35),W2602,0))</f>
        <v>0</v>
      </c>
    </row>
    <row r="2603" spans="2:24" s="0" customFormat="0" ht="15">
      <c r="B2603" s="69">
        <v>18026295</v>
      </c>
      <c r="C2603" s="70" t="s">
        <v>679</v>
      </c>
      <c r="D2603" s="70" t="s">
        <v>1</v>
      </c>
      <c r="E2603" s="70" t="s">
        <v>1</v>
      </c>
      <c r="F2603" s="70"/>
      <c r="G2603" s="70" t="s">
        <v>61</v>
      </c>
      <c r="H2603" s="70" t="s">
        <v>178</v>
      </c>
      <c r="I2603" s="70" t="s">
        <v>184</v>
      </c>
      <c r="J2603" s="71">
        <f>IF(OR(I2603=0,I2603=""),"unrated",VLOOKUP(I2603,MappingTables!$B$19:$C$31,2,FALSE))</f>
        <v>5</v>
      </c>
      <c r="K2603" s="72">
        <v>13674.053844708328</v>
      </c>
      <c r="L2603" s="70">
        <v>0.77996139608594656</v>
      </c>
      <c r="M2603" s="71">
        <f>IF(L2603&lt;1,1,L2603)</f>
        <v>1</v>
      </c>
      <c r="N2603" s="70" t="s">
        <v>141</v>
      </c>
      <c r="O2603" s="71">
        <f>INDEX(DurClassMapping,MATCH(M2603,MappingTables!$D$4:$D$8,-1),1)</f>
        <v>1</v>
      </c>
      <c r="P2603" s="73">
        <f>IF(M2603=$A$1,1,$M2603-INDEX(MappingTables!$E$4:$E$8,MATCH(O2603,MappingTables!$B$4:$B$8,0)))</f>
        <v>1</v>
      </c>
      <c r="Q2603" s="71">
        <f>IF(B2603="",0,INDEX(ModelParameters!$D$6:$K$10,MATCH($O2603,ModelParameters!$B$6:$B$10,0),MATCH($J2603,ModelParameters!$D$5:$K$5,0)))</f>
        <v>0.075</v>
      </c>
      <c r="R2603" s="71">
        <f>IF(B2603="",0,INDEX(ModelParameters!$D$13:$K$17,MATCH($O2603,ModelParameters!$B$13:$B$17,0),MATCH($J2603,ModelParameters!$D$5:$K$5,0)))</f>
        <v>0</v>
      </c>
      <c r="S2603" s="160">
        <f>IF(B2603="",0,MIN(IF($N2603="Other Bond TM",ModelParameters!$N$21,1)*(P2603*Q2603+R2603),1))</f>
        <v>0.075</v>
      </c>
      <c r="T2603" s="85">
        <f>IF(B2603="",0,$S2603*$K2603)</f>
        <v>1025.5540383531244</v>
      </c>
      <c r="U2603" s="85">
        <f>IF(B2603="",0,IF(OR(H2603=MappingTables!$C$34,H2603=MappingTables!$C$35),T2603,0))</f>
        <v>0</v>
      </c>
      <c r="V2603" s="85">
        <f>IF(ISNA(IF(AND(VLOOKUP(CONCATENATE($D2603,$G2603),CSRFinput!$B:$E,4,0)=0,OR(H2603=MappingTables!$C$34,H2603=MappingTables!$C$35)),1,VLOOKUP(CONCATENATE($D2603,$G2603),CSRFinput!$B:$E,4,0))),0,IF(AND(VLOOKUP(CONCATENATE($D2603,$G2603),CSRFinput!$B:$E,4,0)=0,OR(H2603=MappingTables!$C$34,H2603=MappingTables!$C$35)),1,VLOOKUP(CONCATENATE($D2603,$G2603),CSRFinput!$B:$E,4,0)))</f>
        <v>0.054776304963434752</v>
      </c>
      <c r="W2603" s="85">
        <f>IF(B2603="",0,+$T2603*$V2603)</f>
        <v>56.176060761312808</v>
      </c>
      <c r="X2603" s="85">
        <f>IF(B2603="",0,IF(OR(H2603=MappingTables!$C$34,H2603=MappingTables!$C$35),W2603,0))</f>
        <v>0</v>
      </c>
    </row>
    <row r="2604" spans="2:24" s="0" customFormat="0" ht="15">
      <c r="B2604" s="69">
        <v>17136271</v>
      </c>
      <c r="C2604" s="70" t="s">
        <v>2504</v>
      </c>
      <c r="D2604" s="70" t="s">
        <v>1</v>
      </c>
      <c r="E2604" s="70" t="s">
        <v>1</v>
      </c>
      <c r="F2604" s="70"/>
      <c r="G2604" s="70" t="s">
        <v>61</v>
      </c>
      <c r="H2604" s="70" t="s">
        <v>178</v>
      </c>
      <c r="I2604" s="70" t="s">
        <v>188</v>
      </c>
      <c r="J2604" s="71">
        <f>IF(OR(I2604=0,I2604=""),"unrated",VLOOKUP(I2604,MappingTables!$B$19:$C$31,2,FALSE))</f>
        <v>2</v>
      </c>
      <c r="K2604" s="72">
        <v>634.18799752444752</v>
      </c>
      <c r="L2604" s="70">
        <v>0.502885978833116</v>
      </c>
      <c r="M2604" s="71">
        <f>IF(L2604&lt;1,1,L2604)</f>
        <v>1</v>
      </c>
      <c r="N2604" s="70" t="s">
        <v>141</v>
      </c>
      <c r="O2604" s="71">
        <f>INDEX(DurClassMapping,MATCH(M2604,MappingTables!$D$4:$D$8,-1),1)</f>
        <v>1</v>
      </c>
      <c r="P2604" s="73">
        <f>IF(M2604=$A$1,1,$M2604-INDEX(MappingTables!$E$4:$E$8,MATCH(O2604,MappingTables!$B$4:$B$8,0)))</f>
        <v>1</v>
      </c>
      <c r="Q2604" s="71">
        <f>IF(B2604="",0,INDEX(ModelParameters!$D$6:$K$10,MATCH($O2604,ModelParameters!$B$6:$B$10,0),MATCH($J2604,ModelParameters!$D$5:$K$5,0)))</f>
        <v>0.013999999999999998</v>
      </c>
      <c r="R2604" s="71">
        <f>IF(B2604="",0,INDEX(ModelParameters!$D$13:$K$17,MATCH($O2604,ModelParameters!$B$13:$B$17,0),MATCH($J2604,ModelParameters!$D$5:$K$5,0)))</f>
        <v>0</v>
      </c>
      <c r="S2604" s="160">
        <f>IF(B2604="",0,MIN(IF($N2604="Other Bond TM",ModelParameters!$N$21,1)*(P2604*Q2604+R2604),1))</f>
        <v>0.013999999999999998</v>
      </c>
      <c r="T2604" s="85">
        <f>IF(B2604="",0,$S2604*$K2604)</f>
        <v>8.878631965342264</v>
      </c>
      <c r="U2604" s="85">
        <f>IF(B2604="",0,IF(OR(H2604=MappingTables!$C$34,H2604=MappingTables!$C$35),T2604,0))</f>
        <v>0</v>
      </c>
      <c r="V2604" s="85">
        <f>IF(ISNA(IF(AND(VLOOKUP(CONCATENATE($D2604,$G2604),CSRFinput!$B:$E,4,0)=0,OR(H2604=MappingTables!$C$34,H2604=MappingTables!$C$35)),1,VLOOKUP(CONCATENATE($D2604,$G2604),CSRFinput!$B:$E,4,0))),0,IF(AND(VLOOKUP(CONCATENATE($D2604,$G2604),CSRFinput!$B:$E,4,0)=0,OR(H2604=MappingTables!$C$34,H2604=MappingTables!$C$35)),1,VLOOKUP(CONCATENATE($D2604,$G2604),CSRFinput!$B:$E,4,0)))</f>
        <v>0.054776304963434752</v>
      </c>
      <c r="W2604" s="85">
        <f>IF(B2604="",0,+$T2604*$V2604)</f>
        <v>0.48633865219168784</v>
      </c>
      <c r="X2604" s="85">
        <f>IF(B2604="",0,IF(OR(H2604=MappingTables!$C$34,H2604=MappingTables!$C$35),W2604,0))</f>
        <v>0</v>
      </c>
    </row>
    <row r="2605" spans="2:24" s="0" customFormat="0" ht="15">
      <c r="B2605" s="69">
        <v>23625022</v>
      </c>
      <c r="C2605" s="70" t="s">
        <v>2505</v>
      </c>
      <c r="D2605" s="70" t="s">
        <v>1</v>
      </c>
      <c r="E2605" s="70" t="s">
        <v>1</v>
      </c>
      <c r="F2605" s="70"/>
      <c r="G2605" s="70" t="s">
        <v>61</v>
      </c>
      <c r="H2605" s="70" t="s">
        <v>178</v>
      </c>
      <c r="I2605" s="70" t="s">
        <v>188</v>
      </c>
      <c r="J2605" s="71">
        <f>IF(OR(I2605=0,I2605=""),"unrated",VLOOKUP(I2605,MappingTables!$B$19:$C$31,2,FALSE))</f>
        <v>2</v>
      </c>
      <c r="K2605" s="72">
        <v>1940.8636037284312</v>
      </c>
      <c r="L2605" s="70">
        <v>1.4907507556304114</v>
      </c>
      <c r="M2605" s="71">
        <f>IF(L2605&lt;1,1,L2605)</f>
        <v>1.4907507556304114</v>
      </c>
      <c r="N2605" s="70" t="s">
        <v>141</v>
      </c>
      <c r="O2605" s="71">
        <f>INDEX(DurClassMapping,MATCH(M2605,MappingTables!$D$4:$D$8,-1),1)</f>
        <v>1</v>
      </c>
      <c r="P2605" s="73">
        <f>IF(M2605=$A$1,1,$M2605-INDEX(MappingTables!$E$4:$E$8,MATCH(O2605,MappingTables!$B$4:$B$8,0)))</f>
        <v>1.4907507556304114</v>
      </c>
      <c r="Q2605" s="71">
        <f>IF(B2605="",0,INDEX(ModelParameters!$D$6:$K$10,MATCH($O2605,ModelParameters!$B$6:$B$10,0),MATCH($J2605,ModelParameters!$D$5:$K$5,0)))</f>
        <v>0.013999999999999998</v>
      </c>
      <c r="R2605" s="71">
        <f>IF(B2605="",0,INDEX(ModelParameters!$D$13:$K$17,MATCH($O2605,ModelParameters!$B$13:$B$17,0),MATCH($J2605,ModelParameters!$D$5:$K$5,0)))</f>
        <v>0</v>
      </c>
      <c r="S2605" s="160">
        <f>IF(B2605="",0,MIN(IF($N2605="Other Bond TM",ModelParameters!$N$21,1)*(P2605*Q2605+R2605),1))</f>
        <v>0.020870510578825756</v>
      </c>
      <c r="T2605" s="85">
        <f>IF(B2605="",0,$S2605*$K2605)</f>
        <v>40.506814373672104</v>
      </c>
      <c r="U2605" s="85">
        <f>IF(B2605="",0,IF(OR(H2605=MappingTables!$C$34,H2605=MappingTables!$C$35),T2605,0))</f>
        <v>0</v>
      </c>
      <c r="V2605" s="85">
        <f>IF(ISNA(IF(AND(VLOOKUP(CONCATENATE($D2605,$G2605),CSRFinput!$B:$E,4,0)=0,OR(H2605=MappingTables!$C$34,H2605=MappingTables!$C$35)),1,VLOOKUP(CONCATENATE($D2605,$G2605),CSRFinput!$B:$E,4,0))),0,IF(AND(VLOOKUP(CONCATENATE($D2605,$G2605),CSRFinput!$B:$E,4,0)=0,OR(H2605=MappingTables!$C$34,H2605=MappingTables!$C$35)),1,VLOOKUP(CONCATENATE($D2605,$G2605),CSRFinput!$B:$E,4,0)))</f>
        <v>0.054776304963434752</v>
      </c>
      <c r="W2605" s="85">
        <f>IF(B2605="",0,+$T2605*$V2605)</f>
        <v>2.2188136172295056</v>
      </c>
      <c r="X2605" s="85">
        <f>IF(B2605="",0,IF(OR(H2605=MappingTables!$C$34,H2605=MappingTables!$C$35),W2605,0))</f>
        <v>0</v>
      </c>
    </row>
    <row r="2606" spans="2:24" s="0" customFormat="0" ht="15">
      <c r="B2606" s="69">
        <v>13531124</v>
      </c>
      <c r="C2606" s="70" t="s">
        <v>898</v>
      </c>
      <c r="D2606" s="70" t="s">
        <v>1</v>
      </c>
      <c r="E2606" s="70" t="s">
        <v>1</v>
      </c>
      <c r="F2606" s="70"/>
      <c r="G2606" s="70" t="s">
        <v>61</v>
      </c>
      <c r="H2606" s="70" t="s">
        <v>178</v>
      </c>
      <c r="I2606" s="70" t="s">
        <v>184</v>
      </c>
      <c r="J2606" s="71">
        <f>IF(OR(I2606=0,I2606=""),"unrated",VLOOKUP(I2606,MappingTables!$B$19:$C$31,2,FALSE))</f>
        <v>5</v>
      </c>
      <c r="K2606" s="72">
        <v>920.6867039862272</v>
      </c>
      <c r="L2606" s="70">
        <v>0.087676213908044608</v>
      </c>
      <c r="M2606" s="71">
        <f>IF(L2606&lt;1,1,L2606)</f>
        <v>1</v>
      </c>
      <c r="N2606" s="70" t="s">
        <v>141</v>
      </c>
      <c r="O2606" s="71">
        <f>INDEX(DurClassMapping,MATCH(M2606,MappingTables!$D$4:$D$8,-1),1)</f>
        <v>1</v>
      </c>
      <c r="P2606" s="73">
        <f>IF(M2606=$A$1,1,$M2606-INDEX(MappingTables!$E$4:$E$8,MATCH(O2606,MappingTables!$B$4:$B$8,0)))</f>
        <v>1</v>
      </c>
      <c r="Q2606" s="71">
        <f>IF(B2606="",0,INDEX(ModelParameters!$D$6:$K$10,MATCH($O2606,ModelParameters!$B$6:$B$10,0),MATCH($J2606,ModelParameters!$D$5:$K$5,0)))</f>
        <v>0.075</v>
      </c>
      <c r="R2606" s="71">
        <f>IF(B2606="",0,INDEX(ModelParameters!$D$13:$K$17,MATCH($O2606,ModelParameters!$B$13:$B$17,0),MATCH($J2606,ModelParameters!$D$5:$K$5,0)))</f>
        <v>0</v>
      </c>
      <c r="S2606" s="160">
        <f>IF(B2606="",0,MIN(IF($N2606="Other Bond TM",ModelParameters!$N$21,1)*(P2606*Q2606+R2606),1))</f>
        <v>0.075</v>
      </c>
      <c r="T2606" s="85">
        <f>IF(B2606="",0,$S2606*$K2606)</f>
        <v>69.051502798967032</v>
      </c>
      <c r="U2606" s="85">
        <f>IF(B2606="",0,IF(OR(H2606=MappingTables!$C$34,H2606=MappingTables!$C$35),T2606,0))</f>
        <v>0</v>
      </c>
      <c r="V2606" s="85">
        <f>IF(ISNA(IF(AND(VLOOKUP(CONCATENATE($D2606,$G2606),CSRFinput!$B:$E,4,0)=0,OR(H2606=MappingTables!$C$34,H2606=MappingTables!$C$35)),1,VLOOKUP(CONCATENATE($D2606,$G2606),CSRFinput!$B:$E,4,0))),0,IF(AND(VLOOKUP(CONCATENATE($D2606,$G2606),CSRFinput!$B:$E,4,0)=0,OR(H2606=MappingTables!$C$34,H2606=MappingTables!$C$35)),1,VLOOKUP(CONCATENATE($D2606,$G2606),CSRFinput!$B:$E,4,0)))</f>
        <v>0.054776304963434752</v>
      </c>
      <c r="W2606" s="85">
        <f>IF(B2606="",0,+$T2606*$V2606)</f>
        <v>3.7823861754996872</v>
      </c>
      <c r="X2606" s="85">
        <f>IF(B2606="",0,IF(OR(H2606=MappingTables!$C$34,H2606=MappingTables!$C$35),W2606,0))</f>
        <v>0</v>
      </c>
    </row>
    <row r="2607" spans="2:24" s="0" customFormat="0" ht="15">
      <c r="B2607" s="69" t="s">
        <v>2506</v>
      </c>
      <c r="C2607" s="70" t="s">
        <v>2507</v>
      </c>
      <c r="D2607" s="70" t="s">
        <v>1</v>
      </c>
      <c r="E2607" s="70" t="s">
        <v>1</v>
      </c>
      <c r="F2607" s="70"/>
      <c r="G2607" s="70" t="s">
        <v>61</v>
      </c>
      <c r="H2607" s="70" t="s">
        <v>178</v>
      </c>
      <c r="I2607" s="70" t="s">
        <v>179</v>
      </c>
      <c r="J2607" s="71">
        <f>IF(OR(I2607=0,I2607=""),"unrated",VLOOKUP(I2607,MappingTables!$B$19:$C$31,2,FALSE))</f>
        <v>4</v>
      </c>
      <c r="K2607" s="72">
        <v>257.78149342283496</v>
      </c>
      <c r="L2607" s="70">
        <v>14.367580172038762</v>
      </c>
      <c r="M2607" s="71">
        <f>IF(L2607&lt;1,1,L2607)</f>
        <v>14.367580172038762</v>
      </c>
      <c r="N2607" s="70" t="s">
        <v>141</v>
      </c>
      <c r="O2607" s="71">
        <f>INDEX(DurClassMapping,MATCH(M2607,MappingTables!$D$4:$D$8,-1),1)</f>
        <v>3</v>
      </c>
      <c r="P2607" s="73">
        <f>IF(M2607=$A$1,1,$M2607-INDEX(MappingTables!$E$4:$E$8,MATCH(O2607,MappingTables!$B$4:$B$8,0)))</f>
        <v>4.3675801720387624</v>
      </c>
      <c r="Q2607" s="71">
        <f>IF(B2607="",0,INDEX(ModelParameters!$D$6:$K$10,MATCH($O2607,ModelParameters!$B$6:$B$10,0),MATCH($J2607,ModelParameters!$D$5:$K$5,0)))</f>
        <v>0.018000000000000002</v>
      </c>
      <c r="R2607" s="71">
        <f>IF(B2607="",0,INDEX(ModelParameters!$D$13:$K$17,MATCH($O2607,ModelParameters!$B$13:$B$17,0),MATCH($J2607,ModelParameters!$D$5:$K$5,0)))</f>
        <v>0.34999999999999996</v>
      </c>
      <c r="S2607" s="160">
        <f>IF(B2607="",0,MIN(IF($N2607="Other Bond TM",ModelParameters!$N$21,1)*(P2607*Q2607+R2607),1))</f>
        <v>0.42861644309669768</v>
      </c>
      <c r="T2607" s="85">
        <f>IF(B2607="",0,$S2607*$K2607)</f>
        <v>110.4893868070503</v>
      </c>
      <c r="U2607" s="85">
        <f>IF(B2607="",0,IF(OR(H2607=MappingTables!$C$34,H2607=MappingTables!$C$35),T2607,0))</f>
        <v>0</v>
      </c>
      <c r="V2607" s="85">
        <f>IF(ISNA(IF(AND(VLOOKUP(CONCATENATE($D2607,$G2607),CSRFinput!$B:$E,4,0)=0,OR(H2607=MappingTables!$C$34,H2607=MappingTables!$C$35)),1,VLOOKUP(CONCATENATE($D2607,$G2607),CSRFinput!$B:$E,4,0))),0,IF(AND(VLOOKUP(CONCATENATE($D2607,$G2607),CSRFinput!$B:$E,4,0)=0,OR(H2607=MappingTables!$C$34,H2607=MappingTables!$C$35)),1,VLOOKUP(CONCATENATE($D2607,$G2607),CSRFinput!$B:$E,4,0)))</f>
        <v>0.054776304963434752</v>
      </c>
      <c r="W2607" s="85">
        <f>IF(B2607="",0,+$T2607*$V2607)</f>
        <v>6.0522003469658912</v>
      </c>
      <c r="X2607" s="85">
        <f>IF(B2607="",0,IF(OR(H2607=MappingTables!$C$34,H2607=MappingTables!$C$35),W2607,0))</f>
        <v>0</v>
      </c>
    </row>
    <row r="2608" spans="2:24" s="0" customFormat="0" ht="15">
      <c r="B2608" s="69" t="s">
        <v>1790</v>
      </c>
      <c r="C2608" s="70" t="s">
        <v>1791</v>
      </c>
      <c r="D2608" s="70" t="s">
        <v>1</v>
      </c>
      <c r="E2608" s="70" t="s">
        <v>1</v>
      </c>
      <c r="F2608" s="70"/>
      <c r="G2608" s="70" t="s">
        <v>61</v>
      </c>
      <c r="H2608" s="70" t="s">
        <v>178</v>
      </c>
      <c r="I2608" s="70" t="s">
        <v>188</v>
      </c>
      <c r="J2608" s="71">
        <f>IF(OR(I2608=0,I2608=""),"unrated",VLOOKUP(I2608,MappingTables!$B$19:$C$31,2,FALSE))</f>
        <v>2</v>
      </c>
      <c r="K2608" s="72">
        <v>6.3102913378394888</v>
      </c>
      <c r="L2608" s="70">
        <v>2.8031064868508104</v>
      </c>
      <c r="M2608" s="71">
        <f>IF(L2608&lt;1,1,L2608)</f>
        <v>2.8031064868508104</v>
      </c>
      <c r="N2608" s="70" t="s">
        <v>141</v>
      </c>
      <c r="O2608" s="71">
        <f>INDEX(DurClassMapping,MATCH(M2608,MappingTables!$D$4:$D$8,-1),1)</f>
        <v>1</v>
      </c>
      <c r="P2608" s="73">
        <f>IF(M2608=$A$1,1,$M2608-INDEX(MappingTables!$E$4:$E$8,MATCH(O2608,MappingTables!$B$4:$B$8,0)))</f>
        <v>2.8031064868508104</v>
      </c>
      <c r="Q2608" s="71">
        <f>IF(B2608="",0,INDEX(ModelParameters!$D$6:$K$10,MATCH($O2608,ModelParameters!$B$6:$B$10,0),MATCH($J2608,ModelParameters!$D$5:$K$5,0)))</f>
        <v>0.013999999999999998</v>
      </c>
      <c r="R2608" s="71">
        <f>IF(B2608="",0,INDEX(ModelParameters!$D$13:$K$17,MATCH($O2608,ModelParameters!$B$13:$B$17,0),MATCH($J2608,ModelParameters!$D$5:$K$5,0)))</f>
        <v>0</v>
      </c>
      <c r="S2608" s="160">
        <f>IF(B2608="",0,MIN(IF($N2608="Other Bond TM",ModelParameters!$N$21,1)*(P2608*Q2608+R2608),1))</f>
        <v>0.039243490815911344</v>
      </c>
      <c r="T2608" s="85">
        <f>IF(B2608="",0,$S2608*$K2608)</f>
        <v>0.24763786016222892</v>
      </c>
      <c r="U2608" s="85">
        <f>IF(B2608="",0,IF(OR(H2608=MappingTables!$C$34,H2608=MappingTables!$C$35),T2608,0))</f>
        <v>0</v>
      </c>
      <c r="V2608" s="85">
        <f>IF(ISNA(IF(AND(VLOOKUP(CONCATENATE($D2608,$G2608),CSRFinput!$B:$E,4,0)=0,OR(H2608=MappingTables!$C$34,H2608=MappingTables!$C$35)),1,VLOOKUP(CONCATENATE($D2608,$G2608),CSRFinput!$B:$E,4,0))),0,IF(AND(VLOOKUP(CONCATENATE($D2608,$G2608),CSRFinput!$B:$E,4,0)=0,OR(H2608=MappingTables!$C$34,H2608=MappingTables!$C$35)),1,VLOOKUP(CONCATENATE($D2608,$G2608),CSRFinput!$B:$E,4,0)))</f>
        <v>0.054776304963434752</v>
      </c>
      <c r="W2608" s="85">
        <f>IF(B2608="",0,+$T2608*$V2608)</f>
        <v>0.013564686948738662</v>
      </c>
      <c r="X2608" s="85">
        <f>IF(B2608="",0,IF(OR(H2608=MappingTables!$C$34,H2608=MappingTables!$C$35),W2608,0))</f>
        <v>0</v>
      </c>
    </row>
    <row r="2609" spans="2:24" s="0" customFormat="0" ht="15">
      <c r="B2609" s="69" t="s">
        <v>2508</v>
      </c>
      <c r="C2609" s="70" t="s">
        <v>2509</v>
      </c>
      <c r="D2609" s="70" t="s">
        <v>1</v>
      </c>
      <c r="E2609" s="70" t="s">
        <v>1</v>
      </c>
      <c r="F2609" s="70"/>
      <c r="G2609" s="70" t="s">
        <v>61</v>
      </c>
      <c r="H2609" s="70" t="s">
        <v>178</v>
      </c>
      <c r="I2609" s="70" t="s">
        <v>179</v>
      </c>
      <c r="J2609" s="71">
        <f>IF(OR(I2609=0,I2609=""),"unrated",VLOOKUP(I2609,MappingTables!$B$19:$C$31,2,FALSE))</f>
        <v>4</v>
      </c>
      <c r="K2609" s="72">
        <v>349.88045322089216</v>
      </c>
      <c r="L2609" s="70">
        <v>2.4824167289926244</v>
      </c>
      <c r="M2609" s="71">
        <f>IF(L2609&lt;1,1,L2609)</f>
        <v>2.4824167289926244</v>
      </c>
      <c r="N2609" s="70" t="s">
        <v>141</v>
      </c>
      <c r="O2609" s="71">
        <f>INDEX(DurClassMapping,MATCH(M2609,MappingTables!$D$4:$D$8,-1),1)</f>
        <v>1</v>
      </c>
      <c r="P2609" s="73">
        <f>IF(M2609=$A$1,1,$M2609-INDEX(MappingTables!$E$4:$E$8,MATCH(O2609,MappingTables!$B$4:$B$8,0)))</f>
        <v>2.4824167289926244</v>
      </c>
      <c r="Q2609" s="71">
        <f>IF(B2609="",0,INDEX(ModelParameters!$D$6:$K$10,MATCH($O2609,ModelParameters!$B$6:$B$10,0),MATCH($J2609,ModelParameters!$D$5:$K$5,0)))</f>
        <v>0.045</v>
      </c>
      <c r="R2609" s="71">
        <f>IF(B2609="",0,INDEX(ModelParameters!$D$13:$K$17,MATCH($O2609,ModelParameters!$B$13:$B$17,0),MATCH($J2609,ModelParameters!$D$5:$K$5,0)))</f>
        <v>0</v>
      </c>
      <c r="S2609" s="160">
        <f>IF(B2609="",0,MIN(IF($N2609="Other Bond TM",ModelParameters!$N$21,1)*(P2609*Q2609+R2609),1))</f>
        <v>0.1117087528046681</v>
      </c>
      <c r="T2609" s="85">
        <f>IF(B2609="",0,$S2609*$K2609)</f>
        <v>39.08470906003788</v>
      </c>
      <c r="U2609" s="85">
        <f>IF(B2609="",0,IF(OR(H2609=MappingTables!$C$34,H2609=MappingTables!$C$35),T2609,0))</f>
        <v>0</v>
      </c>
      <c r="V2609" s="85">
        <f>IF(ISNA(IF(AND(VLOOKUP(CONCATENATE($D2609,$G2609),CSRFinput!$B:$E,4,0)=0,OR(H2609=MappingTables!$C$34,H2609=MappingTables!$C$35)),1,VLOOKUP(CONCATENATE($D2609,$G2609),CSRFinput!$B:$E,4,0))),0,IF(AND(VLOOKUP(CONCATENATE($D2609,$G2609),CSRFinput!$B:$E,4,0)=0,OR(H2609=MappingTables!$C$34,H2609=MappingTables!$C$35)),1,VLOOKUP(CONCATENATE($D2609,$G2609),CSRFinput!$B:$E,4,0)))</f>
        <v>0.054776304963434752</v>
      </c>
      <c r="W2609" s="85">
        <f>IF(B2609="",0,+$T2609*$V2609)</f>
        <v>2.140915942879756</v>
      </c>
      <c r="X2609" s="85">
        <f>IF(B2609="",0,IF(OR(H2609=MappingTables!$C$34,H2609=MappingTables!$C$35),W2609,0))</f>
        <v>0</v>
      </c>
    </row>
    <row r="2610" spans="2:24" s="0" customFormat="0" ht="15">
      <c r="B2610" s="69">
        <v>18728679</v>
      </c>
      <c r="C2610" s="70" t="s">
        <v>2510</v>
      </c>
      <c r="D2610" s="70" t="s">
        <v>1</v>
      </c>
      <c r="E2610" s="70" t="s">
        <v>1</v>
      </c>
      <c r="F2610" s="70"/>
      <c r="G2610" s="70" t="s">
        <v>61</v>
      </c>
      <c r="H2610" s="70" t="s">
        <v>178</v>
      </c>
      <c r="I2610" s="70" t="s">
        <v>204</v>
      </c>
      <c r="J2610" s="71">
        <f>IF(OR(I2610=0,I2610=""),"unrated",VLOOKUP(I2610,MappingTables!$B$19:$C$31,2,FALSE))</f>
        <v>6</v>
      </c>
      <c r="K2610" s="72">
        <v>21307.375082875852</v>
      </c>
      <c r="L2610" s="70">
        <v>2.88149118660173</v>
      </c>
      <c r="M2610" s="71">
        <f>IF(L2610&lt;1,1,L2610)</f>
        <v>2.88149118660173</v>
      </c>
      <c r="N2610" s="70" t="s">
        <v>141</v>
      </c>
      <c r="O2610" s="71">
        <f>INDEX(DurClassMapping,MATCH(M2610,MappingTables!$D$4:$D$8,-1),1)</f>
        <v>1</v>
      </c>
      <c r="P2610" s="73">
        <f>IF(M2610=$A$1,1,$M2610-INDEX(MappingTables!$E$4:$E$8,MATCH(O2610,MappingTables!$B$4:$B$8,0)))</f>
        <v>2.88149118660173</v>
      </c>
      <c r="Q2610" s="71">
        <f>IF(B2610="",0,INDEX(ModelParameters!$D$6:$K$10,MATCH($O2610,ModelParameters!$B$6:$B$10,0),MATCH($J2610,ModelParameters!$D$5:$K$5,0)))</f>
        <v>0.075</v>
      </c>
      <c r="R2610" s="71">
        <f>IF(B2610="",0,INDEX(ModelParameters!$D$13:$K$17,MATCH($O2610,ModelParameters!$B$13:$B$17,0),MATCH($J2610,ModelParameters!$D$5:$K$5,0)))</f>
        <v>0</v>
      </c>
      <c r="S2610" s="160">
        <f>IF(B2610="",0,MIN(IF($N2610="Other Bond TM",ModelParameters!$N$21,1)*(P2610*Q2610+R2610),1))</f>
        <v>0.21611183899512976</v>
      </c>
      <c r="T2610" s="85">
        <f>IF(B2610="",0,$S2610*$K2610)</f>
        <v>4604.7760133193064</v>
      </c>
      <c r="U2610" s="85">
        <f>IF(B2610="",0,IF(OR(H2610=MappingTables!$C$34,H2610=MappingTables!$C$35),T2610,0))</f>
        <v>0</v>
      </c>
      <c r="V2610" s="85">
        <f>IF(ISNA(IF(AND(VLOOKUP(CONCATENATE($D2610,$G2610),CSRFinput!$B:$E,4,0)=0,OR(H2610=MappingTables!$C$34,H2610=MappingTables!$C$35)),1,VLOOKUP(CONCATENATE($D2610,$G2610),CSRFinput!$B:$E,4,0))),0,IF(AND(VLOOKUP(CONCATENATE($D2610,$G2610),CSRFinput!$B:$E,4,0)=0,OR(H2610=MappingTables!$C$34,H2610=MappingTables!$C$35)),1,VLOOKUP(CONCATENATE($D2610,$G2610),CSRFinput!$B:$E,4,0)))</f>
        <v>0.054776304963434752</v>
      </c>
      <c r="W2610" s="85">
        <f>IF(B2610="",0,+$T2610*$V2610)</f>
        <v>252.2326151938876</v>
      </c>
      <c r="X2610" s="85">
        <f>IF(B2610="",0,IF(OR(H2610=MappingTables!$C$34,H2610=MappingTables!$C$35),W2610,0))</f>
        <v>0</v>
      </c>
    </row>
    <row r="2611" spans="2:24" s="0" customFormat="0" ht="15">
      <c r="B2611" s="69">
        <v>12776014</v>
      </c>
      <c r="C2611" s="70" t="s">
        <v>557</v>
      </c>
      <c r="D2611" s="70" t="s">
        <v>1</v>
      </c>
      <c r="E2611" s="70" t="s">
        <v>1</v>
      </c>
      <c r="F2611" s="70"/>
      <c r="G2611" s="70" t="s">
        <v>61</v>
      </c>
      <c r="H2611" s="70" t="s">
        <v>178</v>
      </c>
      <c r="I2611" s="70" t="s">
        <v>188</v>
      </c>
      <c r="J2611" s="71">
        <f>IF(OR(I2611=0,I2611=""),"unrated",VLOOKUP(I2611,MappingTables!$B$19:$C$31,2,FALSE))</f>
        <v>2</v>
      </c>
      <c r="K2611" s="72">
        <v>3.0700633131647688</v>
      </c>
      <c r="L2611" s="70">
        <v>0.74795393148478512</v>
      </c>
      <c r="M2611" s="71">
        <f>IF(L2611&lt;1,1,L2611)</f>
        <v>1</v>
      </c>
      <c r="N2611" s="70" t="s">
        <v>141</v>
      </c>
      <c r="O2611" s="71">
        <f>INDEX(DurClassMapping,MATCH(M2611,MappingTables!$D$4:$D$8,-1),1)</f>
        <v>1</v>
      </c>
      <c r="P2611" s="73">
        <f>IF(M2611=$A$1,1,$M2611-INDEX(MappingTables!$E$4:$E$8,MATCH(O2611,MappingTables!$B$4:$B$8,0)))</f>
        <v>1</v>
      </c>
      <c r="Q2611" s="71">
        <f>IF(B2611="",0,INDEX(ModelParameters!$D$6:$K$10,MATCH($O2611,ModelParameters!$B$6:$B$10,0),MATCH($J2611,ModelParameters!$D$5:$K$5,0)))</f>
        <v>0.013999999999999998</v>
      </c>
      <c r="R2611" s="71">
        <f>IF(B2611="",0,INDEX(ModelParameters!$D$13:$K$17,MATCH($O2611,ModelParameters!$B$13:$B$17,0),MATCH($J2611,ModelParameters!$D$5:$K$5,0)))</f>
        <v>0</v>
      </c>
      <c r="S2611" s="160">
        <f>IF(B2611="",0,MIN(IF($N2611="Other Bond TM",ModelParameters!$N$21,1)*(P2611*Q2611+R2611),1))</f>
        <v>0.013999999999999998</v>
      </c>
      <c r="T2611" s="85">
        <f>IF(B2611="",0,$S2611*$K2611)</f>
        <v>0.04298088638430676</v>
      </c>
      <c r="U2611" s="85">
        <f>IF(B2611="",0,IF(OR(H2611=MappingTables!$C$34,H2611=MappingTables!$C$35),T2611,0))</f>
        <v>0</v>
      </c>
      <c r="V2611" s="85">
        <f>IF(ISNA(IF(AND(VLOOKUP(CONCATENATE($D2611,$G2611),CSRFinput!$B:$E,4,0)=0,OR(H2611=MappingTables!$C$34,H2611=MappingTables!$C$35)),1,VLOOKUP(CONCATENATE($D2611,$G2611),CSRFinput!$B:$E,4,0))),0,IF(AND(VLOOKUP(CONCATENATE($D2611,$G2611),CSRFinput!$B:$E,4,0)=0,OR(H2611=MappingTables!$C$34,H2611=MappingTables!$C$35)),1,VLOOKUP(CONCATENATE($D2611,$G2611),CSRFinput!$B:$E,4,0)))</f>
        <v>0.054776304963434752</v>
      </c>
      <c r="W2611" s="85">
        <f>IF(B2611="",0,+$T2611*$V2611)</f>
        <v>0.0023543341401855276</v>
      </c>
      <c r="X2611" s="85">
        <f>IF(B2611="",0,IF(OR(H2611=MappingTables!$C$34,H2611=MappingTables!$C$35),W2611,0))</f>
        <v>0</v>
      </c>
    </row>
    <row r="2612" spans="2:24" s="0" customFormat="0" ht="15">
      <c r="B2612" s="69">
        <v>15422375</v>
      </c>
      <c r="C2612" s="70" t="s">
        <v>721</v>
      </c>
      <c r="D2612" s="70" t="s">
        <v>1</v>
      </c>
      <c r="E2612" s="70" t="s">
        <v>1</v>
      </c>
      <c r="F2612" s="70"/>
      <c r="G2612" s="70" t="s">
        <v>61</v>
      </c>
      <c r="H2612" s="70" t="s">
        <v>178</v>
      </c>
      <c r="I2612" s="70" t="s">
        <v>181</v>
      </c>
      <c r="J2612" s="71">
        <f>IF(OR(I2612=0,I2612=""),"unrated",VLOOKUP(I2612,MappingTables!$B$19:$C$31,2,FALSE))</f>
        <v>3</v>
      </c>
      <c r="K2612" s="72">
        <v>181.3276047834194</v>
      </c>
      <c r="L2612" s="70">
        <v>0.01370020440774272</v>
      </c>
      <c r="M2612" s="71">
        <f>IF(L2612&lt;1,1,L2612)</f>
        <v>1</v>
      </c>
      <c r="N2612" s="70" t="s">
        <v>141</v>
      </c>
      <c r="O2612" s="71">
        <f>INDEX(DurClassMapping,MATCH(M2612,MappingTables!$D$4:$D$8,-1),1)</f>
        <v>1</v>
      </c>
      <c r="P2612" s="73">
        <f>IF(M2612=$A$1,1,$M2612-INDEX(MappingTables!$E$4:$E$8,MATCH(O2612,MappingTables!$B$4:$B$8,0)))</f>
        <v>1</v>
      </c>
      <c r="Q2612" s="71">
        <f>IF(B2612="",0,INDEX(ModelParameters!$D$6:$K$10,MATCH($O2612,ModelParameters!$B$6:$B$10,0),MATCH($J2612,ModelParameters!$D$5:$K$5,0)))</f>
        <v>0.025</v>
      </c>
      <c r="R2612" s="71">
        <f>IF(B2612="",0,INDEX(ModelParameters!$D$13:$K$17,MATCH($O2612,ModelParameters!$B$13:$B$17,0),MATCH($J2612,ModelParameters!$D$5:$K$5,0)))</f>
        <v>0</v>
      </c>
      <c r="S2612" s="160">
        <f>IF(B2612="",0,MIN(IF($N2612="Other Bond TM",ModelParameters!$N$21,1)*(P2612*Q2612+R2612),1))</f>
        <v>0.025</v>
      </c>
      <c r="T2612" s="85">
        <f>IF(B2612="",0,$S2612*$K2612)</f>
        <v>4.5331901195854848</v>
      </c>
      <c r="U2612" s="85">
        <f>IF(B2612="",0,IF(OR(H2612=MappingTables!$C$34,H2612=MappingTables!$C$35),T2612,0))</f>
        <v>0</v>
      </c>
      <c r="V2612" s="85">
        <f>IF(ISNA(IF(AND(VLOOKUP(CONCATENATE($D2612,$G2612),CSRFinput!$B:$E,4,0)=0,OR(H2612=MappingTables!$C$34,H2612=MappingTables!$C$35)),1,VLOOKUP(CONCATENATE($D2612,$G2612),CSRFinput!$B:$E,4,0))),0,IF(AND(VLOOKUP(CONCATENATE($D2612,$G2612),CSRFinput!$B:$E,4,0)=0,OR(H2612=MappingTables!$C$34,H2612=MappingTables!$C$35)),1,VLOOKUP(CONCATENATE($D2612,$G2612),CSRFinput!$B:$E,4,0)))</f>
        <v>0.054776304963434752</v>
      </c>
      <c r="W2612" s="85">
        <f>IF(B2612="",0,+$T2612*$V2612)</f>
        <v>0.24831140444764376</v>
      </c>
      <c r="X2612" s="85">
        <f>IF(B2612="",0,IF(OR(H2612=MappingTables!$C$34,H2612=MappingTables!$C$35),W2612,0))</f>
        <v>0</v>
      </c>
    </row>
    <row r="2613" spans="2:24" s="0" customFormat="0" ht="15">
      <c r="B2613" s="69">
        <v>14693195</v>
      </c>
      <c r="C2613" s="70" t="s">
        <v>1675</v>
      </c>
      <c r="D2613" s="70" t="s">
        <v>1</v>
      </c>
      <c r="E2613" s="70" t="s">
        <v>1</v>
      </c>
      <c r="F2613" s="70"/>
      <c r="G2613" s="70" t="s">
        <v>61</v>
      </c>
      <c r="H2613" s="70" t="s">
        <v>178</v>
      </c>
      <c r="I2613" s="70" t="s">
        <v>188</v>
      </c>
      <c r="J2613" s="71">
        <f>IF(OR(I2613=0,I2613=""),"unrated",VLOOKUP(I2613,MappingTables!$B$19:$C$31,2,FALSE))</f>
        <v>2</v>
      </c>
      <c r="K2613" s="72">
        <v>6456.040229702828</v>
      </c>
      <c r="L2613" s="70">
        <v>1.6158206205478618</v>
      </c>
      <c r="M2613" s="71">
        <f>IF(L2613&lt;1,1,L2613)</f>
        <v>1.6158206205478618</v>
      </c>
      <c r="N2613" s="70" t="s">
        <v>141</v>
      </c>
      <c r="O2613" s="71">
        <f>INDEX(DurClassMapping,MATCH(M2613,MappingTables!$D$4:$D$8,-1),1)</f>
        <v>1</v>
      </c>
      <c r="P2613" s="73">
        <f>IF(M2613=$A$1,1,$M2613-INDEX(MappingTables!$E$4:$E$8,MATCH(O2613,MappingTables!$B$4:$B$8,0)))</f>
        <v>1.6158206205478618</v>
      </c>
      <c r="Q2613" s="71">
        <f>IF(B2613="",0,INDEX(ModelParameters!$D$6:$K$10,MATCH($O2613,ModelParameters!$B$6:$B$10,0),MATCH($J2613,ModelParameters!$D$5:$K$5,0)))</f>
        <v>0.013999999999999998</v>
      </c>
      <c r="R2613" s="71">
        <f>IF(B2613="",0,INDEX(ModelParameters!$D$13:$K$17,MATCH($O2613,ModelParameters!$B$13:$B$17,0),MATCH($J2613,ModelParameters!$D$5:$K$5,0)))</f>
        <v>0</v>
      </c>
      <c r="S2613" s="160">
        <f>IF(B2613="",0,MIN(IF($N2613="Other Bond TM",ModelParameters!$N$21,1)*(P2613*Q2613+R2613),1))</f>
        <v>0.02262148868767006</v>
      </c>
      <c r="T2613" s="85">
        <f>IF(B2613="",0,$S2613*$K2613)</f>
        <v>146.04524102336534</v>
      </c>
      <c r="U2613" s="85">
        <f>IF(B2613="",0,IF(OR(H2613=MappingTables!$C$34,H2613=MappingTables!$C$35),T2613,0))</f>
        <v>0</v>
      </c>
      <c r="V2613" s="85">
        <f>IF(ISNA(IF(AND(VLOOKUP(CONCATENATE($D2613,$G2613),CSRFinput!$B:$E,4,0)=0,OR(H2613=MappingTables!$C$34,H2613=MappingTables!$C$35)),1,VLOOKUP(CONCATENATE($D2613,$G2613),CSRFinput!$B:$E,4,0))),0,IF(AND(VLOOKUP(CONCATENATE($D2613,$G2613),CSRFinput!$B:$E,4,0)=0,OR(H2613=MappingTables!$C$34,H2613=MappingTables!$C$35)),1,VLOOKUP(CONCATENATE($D2613,$G2613),CSRFinput!$B:$E,4,0)))</f>
        <v>0.054776304963434752</v>
      </c>
      <c r="W2613" s="85">
        <f>IF(B2613="",0,+$T2613*$V2613)</f>
        <v>7.999818660754192</v>
      </c>
      <c r="X2613" s="85">
        <f>IF(B2613="",0,IF(OR(H2613=MappingTables!$C$34,H2613=MappingTables!$C$35),W2613,0))</f>
        <v>0</v>
      </c>
    </row>
    <row r="2614" spans="2:24" s="0" customFormat="0" ht="15">
      <c r="B2614" s="69">
        <v>14087341</v>
      </c>
      <c r="C2614" s="70" t="s">
        <v>2511</v>
      </c>
      <c r="D2614" s="70" t="s">
        <v>1</v>
      </c>
      <c r="E2614" s="70" t="s">
        <v>1</v>
      </c>
      <c r="F2614" s="70"/>
      <c r="G2614" s="70" t="s">
        <v>61</v>
      </c>
      <c r="H2614" s="70" t="s">
        <v>178</v>
      </c>
      <c r="I2614" s="70" t="s">
        <v>198</v>
      </c>
      <c r="J2614" s="71" t="str">
        <f>IF(OR(I2614=0,I2614=""),"unrated",VLOOKUP(I2614,MappingTables!$B$19:$C$31,2,FALSE))</f>
        <v>unrated</v>
      </c>
      <c r="K2614" s="72">
        <v>0.8643283161766632</v>
      </c>
      <c r="L2614" s="70">
        <v>1.0696319030280154</v>
      </c>
      <c r="M2614" s="71">
        <f>IF(L2614&lt;1,1,L2614)</f>
        <v>1.0696319030280154</v>
      </c>
      <c r="N2614" s="70" t="s">
        <v>141</v>
      </c>
      <c r="O2614" s="71">
        <f>INDEX(DurClassMapping,MATCH(M2614,MappingTables!$D$4:$D$8,-1),1)</f>
        <v>1</v>
      </c>
      <c r="P2614" s="73">
        <f>IF(M2614=$A$1,1,$M2614-INDEX(MappingTables!$E$4:$E$8,MATCH(O2614,MappingTables!$B$4:$B$8,0)))</f>
        <v>1.0696319030280154</v>
      </c>
      <c r="Q2614" s="71">
        <f>IF(B2614="",0,INDEX(ModelParameters!$D$6:$K$10,MATCH($O2614,ModelParameters!$B$6:$B$10,0),MATCH($J2614,ModelParameters!$D$5:$K$5,0)))</f>
        <v>0.03</v>
      </c>
      <c r="R2614" s="71">
        <f>IF(B2614="",0,INDEX(ModelParameters!$D$13:$K$17,MATCH($O2614,ModelParameters!$B$13:$B$17,0),MATCH($J2614,ModelParameters!$D$5:$K$5,0)))</f>
        <v>0</v>
      </c>
      <c r="S2614" s="160">
        <f>IF(B2614="",0,MIN(IF($N2614="Other Bond TM",ModelParameters!$N$21,1)*(P2614*Q2614+R2614),1))</f>
        <v>0.03208895709084046</v>
      </c>
      <c r="T2614" s="85">
        <f>IF(B2614="",0,$S2614*$K2614)</f>
        <v>0.027735394250191332</v>
      </c>
      <c r="U2614" s="85">
        <f>IF(B2614="",0,IF(OR(H2614=MappingTables!$C$34,H2614=MappingTables!$C$35),T2614,0))</f>
        <v>0</v>
      </c>
      <c r="V2614" s="85">
        <f>IF(ISNA(IF(AND(VLOOKUP(CONCATENATE($D2614,$G2614),CSRFinput!$B:$E,4,0)=0,OR(H2614=MappingTables!$C$34,H2614=MappingTables!$C$35)),1,VLOOKUP(CONCATENATE($D2614,$G2614),CSRFinput!$B:$E,4,0))),0,IF(AND(VLOOKUP(CONCATENATE($D2614,$G2614),CSRFinput!$B:$E,4,0)=0,OR(H2614=MappingTables!$C$34,H2614=MappingTables!$C$35)),1,VLOOKUP(CONCATENATE($D2614,$G2614),CSRFinput!$B:$E,4,0)))</f>
        <v>0.054776304963434752</v>
      </c>
      <c r="W2614" s="85">
        <f>IF(B2614="",0,+$T2614*$V2614)</f>
        <v>0.0015192424137295752</v>
      </c>
      <c r="X2614" s="85">
        <f>IF(B2614="",0,IF(OR(H2614=MappingTables!$C$34,H2614=MappingTables!$C$35),W2614,0))</f>
        <v>0</v>
      </c>
    </row>
    <row r="2615" spans="2:24" s="0" customFormat="0" ht="15">
      <c r="B2615" s="69">
        <v>20930579</v>
      </c>
      <c r="C2615" s="70" t="s">
        <v>644</v>
      </c>
      <c r="D2615" s="70" t="s">
        <v>1</v>
      </c>
      <c r="E2615" s="70" t="s">
        <v>1</v>
      </c>
      <c r="F2615" s="70"/>
      <c r="G2615" s="70" t="s">
        <v>61</v>
      </c>
      <c r="H2615" s="70" t="s">
        <v>178</v>
      </c>
      <c r="I2615" s="70" t="s">
        <v>184</v>
      </c>
      <c r="J2615" s="71">
        <f>IF(OR(I2615=0,I2615=""),"unrated",VLOOKUP(I2615,MappingTables!$B$19:$C$31,2,FALSE))</f>
        <v>5</v>
      </c>
      <c r="K2615" s="72">
        <v>29238.350541993496</v>
      </c>
      <c r="L2615" s="70">
        <v>5.2409112430409744</v>
      </c>
      <c r="M2615" s="71">
        <f>IF(L2615&lt;1,1,L2615)</f>
        <v>5.2409112430409744</v>
      </c>
      <c r="N2615" s="70" t="s">
        <v>141</v>
      </c>
      <c r="O2615" s="71">
        <f>INDEX(DurClassMapping,MATCH(M2615,MappingTables!$D$4:$D$8,-1),1)</f>
        <v>2</v>
      </c>
      <c r="P2615" s="73">
        <f>IF(M2615=$A$1,1,$M2615-INDEX(MappingTables!$E$4:$E$8,MATCH(O2615,MappingTables!$B$4:$B$8,0)))</f>
        <v>0.24091124304097456</v>
      </c>
      <c r="Q2615" s="71">
        <f>IF(B2615="",0,INDEX(ModelParameters!$D$6:$K$10,MATCH($O2615,ModelParameters!$B$6:$B$10,0),MATCH($J2615,ModelParameters!$D$5:$K$5,0)))</f>
        <v>0.042</v>
      </c>
      <c r="R2615" s="71">
        <f>IF(B2615="",0,INDEX(ModelParameters!$D$13:$K$17,MATCH($O2615,ModelParameters!$B$13:$B$17,0),MATCH($J2615,ModelParameters!$D$5:$K$5,0)))</f>
        <v>0.375</v>
      </c>
      <c r="S2615" s="160">
        <f>IF(B2615="",0,MIN(IF($N2615="Other Bond TM",ModelParameters!$N$21,1)*(P2615*Q2615+R2615),1))</f>
        <v>0.38511827220772096</v>
      </c>
      <c r="T2615" s="85">
        <f>IF(B2615="",0,$S2615*$K2615)</f>
        <v>11260.223042936216</v>
      </c>
      <c r="U2615" s="85">
        <f>IF(B2615="",0,IF(OR(H2615=MappingTables!$C$34,H2615=MappingTables!$C$35),T2615,0))</f>
        <v>0</v>
      </c>
      <c r="V2615" s="85">
        <f>IF(ISNA(IF(AND(VLOOKUP(CONCATENATE($D2615,$G2615),CSRFinput!$B:$E,4,0)=0,OR(H2615=MappingTables!$C$34,H2615=MappingTables!$C$35)),1,VLOOKUP(CONCATENATE($D2615,$G2615),CSRFinput!$B:$E,4,0))),0,IF(AND(VLOOKUP(CONCATENATE($D2615,$G2615),CSRFinput!$B:$E,4,0)=0,OR(H2615=MappingTables!$C$34,H2615=MappingTables!$C$35)),1,VLOOKUP(CONCATENATE($D2615,$G2615),CSRFinput!$B:$E,4,0)))</f>
        <v>0.054776304963434752</v>
      </c>
      <c r="W2615" s="85">
        <f>IF(B2615="",0,+$T2615*$V2615)</f>
        <v>616.79341135616936</v>
      </c>
      <c r="X2615" s="85">
        <f>IF(B2615="",0,IF(OR(H2615=MappingTables!$C$34,H2615=MappingTables!$C$35),W2615,0))</f>
        <v>0</v>
      </c>
    </row>
    <row r="2616" spans="2:24" s="0" customFormat="0" ht="15">
      <c r="B2616" s="69">
        <v>18085385</v>
      </c>
      <c r="C2616" s="70" t="s">
        <v>2512</v>
      </c>
      <c r="D2616" s="70" t="s">
        <v>1</v>
      </c>
      <c r="E2616" s="70" t="s">
        <v>1</v>
      </c>
      <c r="F2616" s="70"/>
      <c r="G2616" s="70" t="s">
        <v>61</v>
      </c>
      <c r="H2616" s="70" t="s">
        <v>178</v>
      </c>
      <c r="I2616" s="70" t="s">
        <v>181</v>
      </c>
      <c r="J2616" s="71">
        <f>IF(OR(I2616=0,I2616=""),"unrated",VLOOKUP(I2616,MappingTables!$B$19:$C$31,2,FALSE))</f>
        <v>3</v>
      </c>
      <c r="K2616" s="72">
        <v>1900.2368978250128</v>
      </c>
      <c r="L2616" s="70">
        <v>6.551490341016036</v>
      </c>
      <c r="M2616" s="71">
        <f>IF(L2616&lt;1,1,L2616)</f>
        <v>6.551490341016036</v>
      </c>
      <c r="N2616" s="70" t="s">
        <v>141</v>
      </c>
      <c r="O2616" s="71">
        <f>INDEX(DurClassMapping,MATCH(M2616,MappingTables!$D$4:$D$8,-1),1)</f>
        <v>2</v>
      </c>
      <c r="P2616" s="73">
        <f>IF(M2616=$A$1,1,$M2616-INDEX(MappingTables!$E$4:$E$8,MATCH(O2616,MappingTables!$B$4:$B$8,0)))</f>
        <v>1.5514903410160362</v>
      </c>
      <c r="Q2616" s="71">
        <f>IF(B2616="",0,INDEX(ModelParameters!$D$6:$K$10,MATCH($O2616,ModelParameters!$B$6:$B$10,0),MATCH($J2616,ModelParameters!$D$5:$K$5,0)))</f>
        <v>0.015</v>
      </c>
      <c r="R2616" s="71">
        <f>IF(B2616="",0,INDEX(ModelParameters!$D$13:$K$17,MATCH($O2616,ModelParameters!$B$13:$B$17,0),MATCH($J2616,ModelParameters!$D$5:$K$5,0)))</f>
        <v>0.125</v>
      </c>
      <c r="S2616" s="160">
        <f>IF(B2616="",0,MIN(IF($N2616="Other Bond TM",ModelParameters!$N$21,1)*(P2616*Q2616+R2616),1))</f>
        <v>0.14827235511524054</v>
      </c>
      <c r="T2616" s="85">
        <f>IF(B2616="",0,$S2616*$K2616)</f>
        <v>281.75260011739336</v>
      </c>
      <c r="U2616" s="85">
        <f>IF(B2616="",0,IF(OR(H2616=MappingTables!$C$34,H2616=MappingTables!$C$35),T2616,0))</f>
        <v>0</v>
      </c>
      <c r="V2616" s="85">
        <f>IF(ISNA(IF(AND(VLOOKUP(CONCATENATE($D2616,$G2616),CSRFinput!$B:$E,4,0)=0,OR(H2616=MappingTables!$C$34,H2616=MappingTables!$C$35)),1,VLOOKUP(CONCATENATE($D2616,$G2616),CSRFinput!$B:$E,4,0))),0,IF(AND(VLOOKUP(CONCATENATE($D2616,$G2616),CSRFinput!$B:$E,4,0)=0,OR(H2616=MappingTables!$C$34,H2616=MappingTables!$C$35)),1,VLOOKUP(CONCATENATE($D2616,$G2616),CSRFinput!$B:$E,4,0)))</f>
        <v>0.054776304963434752</v>
      </c>
      <c r="W2616" s="85">
        <f>IF(B2616="",0,+$T2616*$V2616)</f>
        <v>15.43336634827102</v>
      </c>
      <c r="X2616" s="85">
        <f>IF(B2616="",0,IF(OR(H2616=MappingTables!$C$34,H2616=MappingTables!$C$35),W2616,0))</f>
        <v>0</v>
      </c>
    </row>
    <row r="2617" spans="2:24" s="0" customFormat="0" ht="15">
      <c r="B2617" s="69">
        <v>23963875</v>
      </c>
      <c r="C2617" s="70" t="s">
        <v>2337</v>
      </c>
      <c r="D2617" s="70" t="s">
        <v>1</v>
      </c>
      <c r="E2617" s="70" t="s">
        <v>1</v>
      </c>
      <c r="F2617" s="70"/>
      <c r="G2617" s="70" t="s">
        <v>61</v>
      </c>
      <c r="H2617" s="70" t="s">
        <v>178</v>
      </c>
      <c r="I2617" s="70" t="s">
        <v>188</v>
      </c>
      <c r="J2617" s="71">
        <f>IF(OR(I2617=0,I2617=""),"unrated",VLOOKUP(I2617,MappingTables!$B$19:$C$31,2,FALSE))</f>
        <v>2</v>
      </c>
      <c r="K2617" s="72">
        <v>918.49965613253984</v>
      </c>
      <c r="L2617" s="70">
        <v>2.5570075799187112</v>
      </c>
      <c r="M2617" s="71">
        <f>IF(L2617&lt;1,1,L2617)</f>
        <v>2.5570075799187112</v>
      </c>
      <c r="N2617" s="70" t="s">
        <v>141</v>
      </c>
      <c r="O2617" s="71">
        <f>INDEX(DurClassMapping,MATCH(M2617,MappingTables!$D$4:$D$8,-1),1)</f>
        <v>1</v>
      </c>
      <c r="P2617" s="73">
        <f>IF(M2617=$A$1,1,$M2617-INDEX(MappingTables!$E$4:$E$8,MATCH(O2617,MappingTables!$B$4:$B$8,0)))</f>
        <v>2.5570075799187112</v>
      </c>
      <c r="Q2617" s="71">
        <f>IF(B2617="",0,INDEX(ModelParameters!$D$6:$K$10,MATCH($O2617,ModelParameters!$B$6:$B$10,0),MATCH($J2617,ModelParameters!$D$5:$K$5,0)))</f>
        <v>0.013999999999999998</v>
      </c>
      <c r="R2617" s="71">
        <f>IF(B2617="",0,INDEX(ModelParameters!$D$13:$K$17,MATCH($O2617,ModelParameters!$B$13:$B$17,0),MATCH($J2617,ModelParameters!$D$5:$K$5,0)))</f>
        <v>0</v>
      </c>
      <c r="S2617" s="160">
        <f>IF(B2617="",0,MIN(IF($N2617="Other Bond TM",ModelParameters!$N$21,1)*(P2617*Q2617+R2617),1))</f>
        <v>0.035798106118861952</v>
      </c>
      <c r="T2617" s="85">
        <f>IF(B2617="",0,$S2617*$K2617)</f>
        <v>32.880548160370872</v>
      </c>
      <c r="U2617" s="85">
        <f>IF(B2617="",0,IF(OR(H2617=MappingTables!$C$34,H2617=MappingTables!$C$35),T2617,0))</f>
        <v>0</v>
      </c>
      <c r="V2617" s="85">
        <f>IF(ISNA(IF(AND(VLOOKUP(CONCATENATE($D2617,$G2617),CSRFinput!$B:$E,4,0)=0,OR(H2617=MappingTables!$C$34,H2617=MappingTables!$C$35)),1,VLOOKUP(CONCATENATE($D2617,$G2617),CSRFinput!$B:$E,4,0))),0,IF(AND(VLOOKUP(CONCATENATE($D2617,$G2617),CSRFinput!$B:$E,4,0)=0,OR(H2617=MappingTables!$C$34,H2617=MappingTables!$C$35)),1,VLOOKUP(CONCATENATE($D2617,$G2617),CSRFinput!$B:$E,4,0)))</f>
        <v>0.054776304963434752</v>
      </c>
      <c r="W2617" s="85">
        <f>IF(B2617="",0,+$T2617*$V2617)</f>
        <v>1.8010749333973784</v>
      </c>
      <c r="X2617" s="85">
        <f>IF(B2617="",0,IF(OR(H2617=MappingTables!$C$34,H2617=MappingTables!$C$35),W2617,0))</f>
        <v>0</v>
      </c>
    </row>
    <row r="2618" spans="2:24" s="0" customFormat="0" ht="15">
      <c r="B2618" s="69" t="s">
        <v>1444</v>
      </c>
      <c r="C2618" s="70" t="s">
        <v>1445</v>
      </c>
      <c r="D2618" s="70" t="s">
        <v>1</v>
      </c>
      <c r="E2618" s="70" t="s">
        <v>1</v>
      </c>
      <c r="F2618" s="70"/>
      <c r="G2618" s="70" t="s">
        <v>61</v>
      </c>
      <c r="H2618" s="70" t="s">
        <v>178</v>
      </c>
      <c r="I2618" s="70" t="s">
        <v>188</v>
      </c>
      <c r="J2618" s="71">
        <f>IF(OR(I2618=0,I2618=""),"unrated",VLOOKUP(I2618,MappingTables!$B$19:$C$31,2,FALSE))</f>
        <v>2</v>
      </c>
      <c r="K2618" s="72">
        <v>0.22806256443779828</v>
      </c>
      <c r="L2618" s="70">
        <v>0.43013840640284288</v>
      </c>
      <c r="M2618" s="71">
        <f>IF(L2618&lt;1,1,L2618)</f>
        <v>1</v>
      </c>
      <c r="N2618" s="70" t="s">
        <v>141</v>
      </c>
      <c r="O2618" s="71">
        <f>INDEX(DurClassMapping,MATCH(M2618,MappingTables!$D$4:$D$8,-1),1)</f>
        <v>1</v>
      </c>
      <c r="P2618" s="73">
        <f>IF(M2618=$A$1,1,$M2618-INDEX(MappingTables!$E$4:$E$8,MATCH(O2618,MappingTables!$B$4:$B$8,0)))</f>
        <v>1</v>
      </c>
      <c r="Q2618" s="71">
        <f>IF(B2618="",0,INDEX(ModelParameters!$D$6:$K$10,MATCH($O2618,ModelParameters!$B$6:$B$10,0),MATCH($J2618,ModelParameters!$D$5:$K$5,0)))</f>
        <v>0.013999999999999998</v>
      </c>
      <c r="R2618" s="71">
        <f>IF(B2618="",0,INDEX(ModelParameters!$D$13:$K$17,MATCH($O2618,ModelParameters!$B$13:$B$17,0),MATCH($J2618,ModelParameters!$D$5:$K$5,0)))</f>
        <v>0</v>
      </c>
      <c r="S2618" s="160">
        <f>IF(B2618="",0,MIN(IF($N2618="Other Bond TM",ModelParameters!$N$21,1)*(P2618*Q2618+R2618),1))</f>
        <v>0.013999999999999998</v>
      </c>
      <c r="T2618" s="85">
        <f>IF(B2618="",0,$S2618*$K2618)</f>
        <v>0.0031928759021291756</v>
      </c>
      <c r="U2618" s="85">
        <f>IF(B2618="",0,IF(OR(H2618=MappingTables!$C$34,H2618=MappingTables!$C$35),T2618,0))</f>
        <v>0</v>
      </c>
      <c r="V2618" s="85">
        <f>IF(ISNA(IF(AND(VLOOKUP(CONCATENATE($D2618,$G2618),CSRFinput!$B:$E,4,0)=0,OR(H2618=MappingTables!$C$34,H2618=MappingTables!$C$35)),1,VLOOKUP(CONCATENATE($D2618,$G2618),CSRFinput!$B:$E,4,0))),0,IF(AND(VLOOKUP(CONCATENATE($D2618,$G2618),CSRFinput!$B:$E,4,0)=0,OR(H2618=MappingTables!$C$34,H2618=MappingTables!$C$35)),1,VLOOKUP(CONCATENATE($D2618,$G2618),CSRFinput!$B:$E,4,0)))</f>
        <v>0.054776304963434752</v>
      </c>
      <c r="W2618" s="85">
        <f>IF(B2618="",0,+$T2618*$V2618)</f>
        <v>0.00017489394412542958</v>
      </c>
      <c r="X2618" s="85">
        <f>IF(B2618="",0,IF(OR(H2618=MappingTables!$C$34,H2618=MappingTables!$C$35),W2618,0))</f>
        <v>0</v>
      </c>
    </row>
    <row r="2619" spans="2:24" s="0" customFormat="0" ht="15">
      <c r="B2619" s="69">
        <v>20755409</v>
      </c>
      <c r="C2619" s="70" t="s">
        <v>1451</v>
      </c>
      <c r="D2619" s="70" t="s">
        <v>1</v>
      </c>
      <c r="E2619" s="70" t="s">
        <v>1</v>
      </c>
      <c r="F2619" s="70"/>
      <c r="G2619" s="70" t="s">
        <v>61</v>
      </c>
      <c r="H2619" s="70" t="s">
        <v>178</v>
      </c>
      <c r="I2619" s="70" t="s">
        <v>188</v>
      </c>
      <c r="J2619" s="71">
        <f>IF(OR(I2619=0,I2619=""),"unrated",VLOOKUP(I2619,MappingTables!$B$19:$C$31,2,FALSE))</f>
        <v>2</v>
      </c>
      <c r="K2619" s="72">
        <v>843.59256862193664</v>
      </c>
      <c r="L2619" s="70">
        <v>7.4922318290696592</v>
      </c>
      <c r="M2619" s="71">
        <f>IF(L2619&lt;1,1,L2619)</f>
        <v>7.4922318290696592</v>
      </c>
      <c r="N2619" s="70" t="s">
        <v>141</v>
      </c>
      <c r="O2619" s="71">
        <f>INDEX(DurClassMapping,MATCH(M2619,MappingTables!$D$4:$D$8,-1),1)</f>
        <v>2</v>
      </c>
      <c r="P2619" s="73">
        <f>IF(M2619=$A$1,1,$M2619-INDEX(MappingTables!$E$4:$E$8,MATCH(O2619,MappingTables!$B$4:$B$8,0)))</f>
        <v>2.4922318290696584</v>
      </c>
      <c r="Q2619" s="71">
        <f>IF(B2619="",0,INDEX(ModelParameters!$D$6:$K$10,MATCH($O2619,ModelParameters!$B$6:$B$10,0),MATCH($J2619,ModelParameters!$D$5:$K$5,0)))</f>
        <v>0.0069999999999999992</v>
      </c>
      <c r="R2619" s="71">
        <f>IF(B2619="",0,INDEX(ModelParameters!$D$13:$K$17,MATCH($O2619,ModelParameters!$B$13:$B$17,0),MATCH($J2619,ModelParameters!$D$5:$K$5,0)))</f>
        <v>0.070000000000000008</v>
      </c>
      <c r="S2619" s="160">
        <f>IF(B2619="",0,MIN(IF($N2619="Other Bond TM",ModelParameters!$N$21,1)*(P2619*Q2619+R2619),1))</f>
        <v>0.087445622803487616</v>
      </c>
      <c r="T2619" s="85">
        <f>IF(B2619="",0,$S2619*$K2619)</f>
        <v>73.768477555539104</v>
      </c>
      <c r="U2619" s="85">
        <f>IF(B2619="",0,IF(OR(H2619=MappingTables!$C$34,H2619=MappingTables!$C$35),T2619,0))</f>
        <v>0</v>
      </c>
      <c r="V2619" s="85">
        <f>IF(ISNA(IF(AND(VLOOKUP(CONCATENATE($D2619,$G2619),CSRFinput!$B:$E,4,0)=0,OR(H2619=MappingTables!$C$34,H2619=MappingTables!$C$35)),1,VLOOKUP(CONCATENATE($D2619,$G2619),CSRFinput!$B:$E,4,0))),0,IF(AND(VLOOKUP(CONCATENATE($D2619,$G2619),CSRFinput!$B:$E,4,0)=0,OR(H2619=MappingTables!$C$34,H2619=MappingTables!$C$35)),1,VLOOKUP(CONCATENATE($D2619,$G2619),CSRFinput!$B:$E,4,0)))</f>
        <v>0.054776304963434752</v>
      </c>
      <c r="W2619" s="85">
        <f>IF(B2619="",0,+$T2619*$V2619)</f>
        <v>4.0407646232705024</v>
      </c>
      <c r="X2619" s="85">
        <f>IF(B2619="",0,IF(OR(H2619=MappingTables!$C$34,H2619=MappingTables!$C$35),W2619,0))</f>
        <v>0</v>
      </c>
    </row>
    <row r="2620" spans="2:24" s="0" customFormat="0" ht="15">
      <c r="B2620" s="69">
        <v>18668444</v>
      </c>
      <c r="C2620" s="70" t="s">
        <v>195</v>
      </c>
      <c r="D2620" s="70" t="s">
        <v>1</v>
      </c>
      <c r="E2620" s="70" t="s">
        <v>1</v>
      </c>
      <c r="F2620" s="70"/>
      <c r="G2620" s="70" t="s">
        <v>61</v>
      </c>
      <c r="H2620" s="70" t="s">
        <v>178</v>
      </c>
      <c r="I2620" s="70" t="s">
        <v>181</v>
      </c>
      <c r="J2620" s="71">
        <f>IF(OR(I2620=0,I2620=""),"unrated",VLOOKUP(I2620,MappingTables!$B$19:$C$31,2,FALSE))</f>
        <v>3</v>
      </c>
      <c r="K2620" s="72">
        <v>730.12734209699568</v>
      </c>
      <c r="L2620" s="70">
        <v>0.93845385793947712</v>
      </c>
      <c r="M2620" s="71">
        <f>IF(L2620&lt;1,1,L2620)</f>
        <v>1</v>
      </c>
      <c r="N2620" s="70" t="s">
        <v>141</v>
      </c>
      <c r="O2620" s="71">
        <f>INDEX(DurClassMapping,MATCH(M2620,MappingTables!$D$4:$D$8,-1),1)</f>
        <v>1</v>
      </c>
      <c r="P2620" s="73">
        <f>IF(M2620=$A$1,1,$M2620-INDEX(MappingTables!$E$4:$E$8,MATCH(O2620,MappingTables!$B$4:$B$8,0)))</f>
        <v>1</v>
      </c>
      <c r="Q2620" s="71">
        <f>IF(B2620="",0,INDEX(ModelParameters!$D$6:$K$10,MATCH($O2620,ModelParameters!$B$6:$B$10,0),MATCH($J2620,ModelParameters!$D$5:$K$5,0)))</f>
        <v>0.025</v>
      </c>
      <c r="R2620" s="71">
        <f>IF(B2620="",0,INDEX(ModelParameters!$D$13:$K$17,MATCH($O2620,ModelParameters!$B$13:$B$17,0),MATCH($J2620,ModelParameters!$D$5:$K$5,0)))</f>
        <v>0</v>
      </c>
      <c r="S2620" s="160">
        <f>IF(B2620="",0,MIN(IF($N2620="Other Bond TM",ModelParameters!$N$21,1)*(P2620*Q2620+R2620),1))</f>
        <v>0.025</v>
      </c>
      <c r="T2620" s="85">
        <f>IF(B2620="",0,$S2620*$K2620)</f>
        <v>18.253183552424892</v>
      </c>
      <c r="U2620" s="85">
        <f>IF(B2620="",0,IF(OR(H2620=MappingTables!$C$34,H2620=MappingTables!$C$35),T2620,0))</f>
        <v>0</v>
      </c>
      <c r="V2620" s="85">
        <f>IF(ISNA(IF(AND(VLOOKUP(CONCATENATE($D2620,$G2620),CSRFinput!$B:$E,4,0)=0,OR(H2620=MappingTables!$C$34,H2620=MappingTables!$C$35)),1,VLOOKUP(CONCATENATE($D2620,$G2620),CSRFinput!$B:$E,4,0))),0,IF(AND(VLOOKUP(CONCATENATE($D2620,$G2620),CSRFinput!$B:$E,4,0)=0,OR(H2620=MappingTables!$C$34,H2620=MappingTables!$C$35)),1,VLOOKUP(CONCATENATE($D2620,$G2620),CSRFinput!$B:$E,4,0)))</f>
        <v>0.054776304963434752</v>
      </c>
      <c r="W2620" s="85">
        <f>IF(B2620="",0,+$T2620*$V2620)</f>
        <v>0.99984194882117728</v>
      </c>
      <c r="X2620" s="85">
        <f>IF(B2620="",0,IF(OR(H2620=MappingTables!$C$34,H2620=MappingTables!$C$35),W2620,0))</f>
        <v>0</v>
      </c>
    </row>
    <row r="2621" spans="2:24" s="0" customFormat="0" ht="15">
      <c r="B2621" s="69">
        <v>12339029</v>
      </c>
      <c r="C2621" s="70" t="s">
        <v>1195</v>
      </c>
      <c r="D2621" s="70" t="s">
        <v>1</v>
      </c>
      <c r="E2621" s="70" t="s">
        <v>1</v>
      </c>
      <c r="F2621" s="70"/>
      <c r="G2621" s="70" t="s">
        <v>61</v>
      </c>
      <c r="H2621" s="70" t="s">
        <v>178</v>
      </c>
      <c r="I2621" s="70" t="s">
        <v>188</v>
      </c>
      <c r="J2621" s="71">
        <f>IF(OR(I2621=0,I2621=""),"unrated",VLOOKUP(I2621,MappingTables!$B$19:$C$31,2,FALSE))</f>
        <v>2</v>
      </c>
      <c r="K2621" s="72">
        <v>101.21424577642222</v>
      </c>
      <c r="L2621" s="70">
        <v>0.48153030584709432</v>
      </c>
      <c r="M2621" s="71">
        <f>IF(L2621&lt;1,1,L2621)</f>
        <v>1</v>
      </c>
      <c r="N2621" s="70" t="s">
        <v>141</v>
      </c>
      <c r="O2621" s="71">
        <f>INDEX(DurClassMapping,MATCH(M2621,MappingTables!$D$4:$D$8,-1),1)</f>
        <v>1</v>
      </c>
      <c r="P2621" s="73">
        <f>IF(M2621=$A$1,1,$M2621-INDEX(MappingTables!$E$4:$E$8,MATCH(O2621,MappingTables!$B$4:$B$8,0)))</f>
        <v>1</v>
      </c>
      <c r="Q2621" s="71">
        <f>IF(B2621="",0,INDEX(ModelParameters!$D$6:$K$10,MATCH($O2621,ModelParameters!$B$6:$B$10,0),MATCH($J2621,ModelParameters!$D$5:$K$5,0)))</f>
        <v>0.013999999999999998</v>
      </c>
      <c r="R2621" s="71">
        <f>IF(B2621="",0,INDEX(ModelParameters!$D$13:$K$17,MATCH($O2621,ModelParameters!$B$13:$B$17,0),MATCH($J2621,ModelParameters!$D$5:$K$5,0)))</f>
        <v>0</v>
      </c>
      <c r="S2621" s="160">
        <f>IF(B2621="",0,MIN(IF($N2621="Other Bond TM",ModelParameters!$N$21,1)*(P2621*Q2621+R2621),1))</f>
        <v>0.013999999999999998</v>
      </c>
      <c r="T2621" s="85">
        <f>IF(B2621="",0,$S2621*$K2621)</f>
        <v>1.416999440869911</v>
      </c>
      <c r="U2621" s="85">
        <f>IF(B2621="",0,IF(OR(H2621=MappingTables!$C$34,H2621=MappingTables!$C$35),T2621,0))</f>
        <v>0</v>
      </c>
      <c r="V2621" s="85">
        <f>IF(ISNA(IF(AND(VLOOKUP(CONCATENATE($D2621,$G2621),CSRFinput!$B:$E,4,0)=0,OR(H2621=MappingTables!$C$34,H2621=MappingTables!$C$35)),1,VLOOKUP(CONCATENATE($D2621,$G2621),CSRFinput!$B:$E,4,0))),0,IF(AND(VLOOKUP(CONCATENATE($D2621,$G2621),CSRFinput!$B:$E,4,0)=0,OR(H2621=MappingTables!$C$34,H2621=MappingTables!$C$35)),1,VLOOKUP(CONCATENATE($D2621,$G2621),CSRFinput!$B:$E,4,0)))</f>
        <v>0.054776304963434752</v>
      </c>
      <c r="W2621" s="85">
        <f>IF(B2621="",0,+$T2621*$V2621)</f>
        <v>0.077617993506106784</v>
      </c>
      <c r="X2621" s="85">
        <f>IF(B2621="",0,IF(OR(H2621=MappingTables!$C$34,H2621=MappingTables!$C$35),W2621,0))</f>
        <v>0</v>
      </c>
    </row>
    <row r="2622" spans="2:24" s="0" customFormat="0" ht="15">
      <c r="B2622" s="69">
        <v>9399325</v>
      </c>
      <c r="C2622" s="70" t="s">
        <v>2513</v>
      </c>
      <c r="D2622" s="70" t="s">
        <v>1</v>
      </c>
      <c r="E2622" s="70" t="s">
        <v>1</v>
      </c>
      <c r="F2622" s="70"/>
      <c r="G2622" s="70" t="s">
        <v>61</v>
      </c>
      <c r="H2622" s="70" t="s">
        <v>178</v>
      </c>
      <c r="I2622" s="70" t="s">
        <v>181</v>
      </c>
      <c r="J2622" s="71">
        <f>IF(OR(I2622=0,I2622=""),"unrated",VLOOKUP(I2622,MappingTables!$B$19:$C$31,2,FALSE))</f>
        <v>3</v>
      </c>
      <c r="K2622" s="72">
        <v>0.24786427947134168</v>
      </c>
      <c r="L2622" s="70">
        <v>0.80000827790438208</v>
      </c>
      <c r="M2622" s="71">
        <f>IF(L2622&lt;1,1,L2622)</f>
        <v>1</v>
      </c>
      <c r="N2622" s="70" t="s">
        <v>141</v>
      </c>
      <c r="O2622" s="71">
        <f>INDEX(DurClassMapping,MATCH(M2622,MappingTables!$D$4:$D$8,-1),1)</f>
        <v>1</v>
      </c>
      <c r="P2622" s="73">
        <f>IF(M2622=$A$1,1,$M2622-INDEX(MappingTables!$E$4:$E$8,MATCH(O2622,MappingTables!$B$4:$B$8,0)))</f>
        <v>1</v>
      </c>
      <c r="Q2622" s="71">
        <f>IF(B2622="",0,INDEX(ModelParameters!$D$6:$K$10,MATCH($O2622,ModelParameters!$B$6:$B$10,0),MATCH($J2622,ModelParameters!$D$5:$K$5,0)))</f>
        <v>0.025</v>
      </c>
      <c r="R2622" s="71">
        <f>IF(B2622="",0,INDEX(ModelParameters!$D$13:$K$17,MATCH($O2622,ModelParameters!$B$13:$B$17,0),MATCH($J2622,ModelParameters!$D$5:$K$5,0)))</f>
        <v>0</v>
      </c>
      <c r="S2622" s="160">
        <f>IF(B2622="",0,MIN(IF($N2622="Other Bond TM",ModelParameters!$N$21,1)*(P2622*Q2622+R2622),1))</f>
        <v>0.025</v>
      </c>
      <c r="T2622" s="85">
        <f>IF(B2622="",0,$S2622*$K2622)</f>
        <v>0.0061966069867835424</v>
      </c>
      <c r="U2622" s="85">
        <f>IF(B2622="",0,IF(OR(H2622=MappingTables!$C$34,H2622=MappingTables!$C$35),T2622,0))</f>
        <v>0</v>
      </c>
      <c r="V2622" s="85">
        <f>IF(ISNA(IF(AND(VLOOKUP(CONCATENATE($D2622,$G2622),CSRFinput!$B:$E,4,0)=0,OR(H2622=MappingTables!$C$34,H2622=MappingTables!$C$35)),1,VLOOKUP(CONCATENATE($D2622,$G2622),CSRFinput!$B:$E,4,0))),0,IF(AND(VLOOKUP(CONCATENATE($D2622,$G2622),CSRFinput!$B:$E,4,0)=0,OR(H2622=MappingTables!$C$34,H2622=MappingTables!$C$35)),1,VLOOKUP(CONCATENATE($D2622,$G2622),CSRFinput!$B:$E,4,0)))</f>
        <v>0.054776304963434752</v>
      </c>
      <c r="W2622" s="85">
        <f>IF(B2622="",0,+$T2622*$V2622)</f>
        <v>0.00033942723404660584</v>
      </c>
      <c r="X2622" s="85">
        <f>IF(B2622="",0,IF(OR(H2622=MappingTables!$C$34,H2622=MappingTables!$C$35),W2622,0))</f>
        <v>0</v>
      </c>
    </row>
    <row r="2623" spans="2:24" s="0" customFormat="0" ht="15">
      <c r="B2623" s="69">
        <v>2251474</v>
      </c>
      <c r="C2623" s="70" t="s">
        <v>1689</v>
      </c>
      <c r="D2623" s="70" t="s">
        <v>1</v>
      </c>
      <c r="E2623" s="70" t="s">
        <v>1</v>
      </c>
      <c r="F2623" s="70"/>
      <c r="G2623" s="70" t="s">
        <v>61</v>
      </c>
      <c r="H2623" s="70" t="s">
        <v>178</v>
      </c>
      <c r="I2623" s="70" t="s">
        <v>188</v>
      </c>
      <c r="J2623" s="71">
        <f>IF(OR(I2623=0,I2623=""),"unrated",VLOOKUP(I2623,MappingTables!$B$19:$C$31,2,FALSE))</f>
        <v>2</v>
      </c>
      <c r="K2623" s="72">
        <v>8256.0600884743168</v>
      </c>
      <c r="L2623" s="70">
        <v>16.944140278781994</v>
      </c>
      <c r="M2623" s="71">
        <f>IF(L2623&lt;1,1,L2623)</f>
        <v>16.944140278781994</v>
      </c>
      <c r="N2623" s="70" t="s">
        <v>141</v>
      </c>
      <c r="O2623" s="71">
        <f>INDEX(DurClassMapping,MATCH(M2623,MappingTables!$D$4:$D$8,-1),1)</f>
        <v>4</v>
      </c>
      <c r="P2623" s="73">
        <f>IF(M2623=$A$1,1,$M2623-INDEX(MappingTables!$E$4:$E$8,MATCH(O2623,MappingTables!$B$4:$B$8,0)))</f>
        <v>1.944140278781994</v>
      </c>
      <c r="Q2623" s="71">
        <f>IF(B2623="",0,INDEX(ModelParameters!$D$6:$K$10,MATCH($O2623,ModelParameters!$B$6:$B$10,0),MATCH($J2623,ModelParameters!$D$5:$K$5,0)))</f>
        <v>0.005</v>
      </c>
      <c r="R2623" s="71">
        <f>IF(B2623="",0,INDEX(ModelParameters!$D$13:$K$17,MATCH($O2623,ModelParameters!$B$13:$B$17,0),MATCH($J2623,ModelParameters!$D$5:$K$5,0)))</f>
        <v>0.13</v>
      </c>
      <c r="S2623" s="160">
        <f>IF(B2623="",0,MIN(IF($N2623="Other Bond TM",ModelParameters!$N$21,1)*(P2623*Q2623+R2623),1))</f>
        <v>0.13972070139390996</v>
      </c>
      <c r="T2623" s="85">
        <f>IF(B2623="",0,$S2623*$K2623)</f>
        <v>1153.5425063118978</v>
      </c>
      <c r="U2623" s="85">
        <f>IF(B2623="",0,IF(OR(H2623=MappingTables!$C$34,H2623=MappingTables!$C$35),T2623,0))</f>
        <v>0</v>
      </c>
      <c r="V2623" s="85">
        <f>IF(ISNA(IF(AND(VLOOKUP(CONCATENATE($D2623,$G2623),CSRFinput!$B:$E,4,0)=0,OR(H2623=MappingTables!$C$34,H2623=MappingTables!$C$35)),1,VLOOKUP(CONCATENATE($D2623,$G2623),CSRFinput!$B:$E,4,0))),0,IF(AND(VLOOKUP(CONCATENATE($D2623,$G2623),CSRFinput!$B:$E,4,0)=0,OR(H2623=MappingTables!$C$34,H2623=MappingTables!$C$35)),1,VLOOKUP(CONCATENATE($D2623,$G2623),CSRFinput!$B:$E,4,0)))</f>
        <v>0.054776304963434752</v>
      </c>
      <c r="W2623" s="85">
        <f>IF(B2623="",0,+$T2623*$V2623)</f>
        <v>63.186796114025368</v>
      </c>
      <c r="X2623" s="85">
        <f>IF(B2623="",0,IF(OR(H2623=MappingTables!$C$34,H2623=MappingTables!$C$35),W2623,0))</f>
        <v>0</v>
      </c>
    </row>
    <row r="2624" spans="2:24" s="0" customFormat="0" ht="15">
      <c r="B2624" s="69" t="s">
        <v>2182</v>
      </c>
      <c r="C2624" s="70" t="s">
        <v>2183</v>
      </c>
      <c r="D2624" s="70" t="s">
        <v>1</v>
      </c>
      <c r="E2624" s="70" t="s">
        <v>1</v>
      </c>
      <c r="F2624" s="70"/>
      <c r="G2624" s="70" t="s">
        <v>61</v>
      </c>
      <c r="H2624" s="70" t="s">
        <v>178</v>
      </c>
      <c r="I2624" s="70" t="s">
        <v>198</v>
      </c>
      <c r="J2624" s="71" t="str">
        <f>IF(OR(I2624=0,I2624=""),"unrated",VLOOKUP(I2624,MappingTables!$B$19:$C$31,2,FALSE))</f>
        <v>unrated</v>
      </c>
      <c r="K2624" s="72">
        <v>0.36145069311813664</v>
      </c>
      <c r="L2624" s="70">
        <v>0.3013725825607304</v>
      </c>
      <c r="M2624" s="71">
        <f>IF(L2624&lt;1,1,L2624)</f>
        <v>1</v>
      </c>
      <c r="N2624" s="70" t="s">
        <v>141</v>
      </c>
      <c r="O2624" s="71">
        <f>INDEX(DurClassMapping,MATCH(M2624,MappingTables!$D$4:$D$8,-1),1)</f>
        <v>1</v>
      </c>
      <c r="P2624" s="73">
        <f>IF(M2624=$A$1,1,$M2624-INDEX(MappingTables!$E$4:$E$8,MATCH(O2624,MappingTables!$B$4:$B$8,0)))</f>
        <v>1</v>
      </c>
      <c r="Q2624" s="71">
        <f>IF(B2624="",0,INDEX(ModelParameters!$D$6:$K$10,MATCH($O2624,ModelParameters!$B$6:$B$10,0),MATCH($J2624,ModelParameters!$D$5:$K$5,0)))</f>
        <v>0.03</v>
      </c>
      <c r="R2624" s="71">
        <f>IF(B2624="",0,INDEX(ModelParameters!$D$13:$K$17,MATCH($O2624,ModelParameters!$B$13:$B$17,0),MATCH($J2624,ModelParameters!$D$5:$K$5,0)))</f>
        <v>0</v>
      </c>
      <c r="S2624" s="160">
        <f>IF(B2624="",0,MIN(IF($N2624="Other Bond TM",ModelParameters!$N$21,1)*(P2624*Q2624+R2624),1))</f>
        <v>0.03</v>
      </c>
      <c r="T2624" s="85">
        <f>IF(B2624="",0,$S2624*$K2624)</f>
        <v>0.010843520793544098</v>
      </c>
      <c r="U2624" s="85">
        <f>IF(B2624="",0,IF(OR(H2624=MappingTables!$C$34,H2624=MappingTables!$C$35),T2624,0))</f>
        <v>0</v>
      </c>
      <c r="V2624" s="85">
        <f>IF(ISNA(IF(AND(VLOOKUP(CONCATENATE($D2624,$G2624),CSRFinput!$B:$E,4,0)=0,OR(H2624=MappingTables!$C$34,H2624=MappingTables!$C$35)),1,VLOOKUP(CONCATENATE($D2624,$G2624),CSRFinput!$B:$E,4,0))),0,IF(AND(VLOOKUP(CONCATENATE($D2624,$G2624),CSRFinput!$B:$E,4,0)=0,OR(H2624=MappingTables!$C$34,H2624=MappingTables!$C$35)),1,VLOOKUP(CONCATENATE($D2624,$G2624),CSRFinput!$B:$E,4,0)))</f>
        <v>0.054776304963434752</v>
      </c>
      <c r="W2624" s="85">
        <f>IF(B2624="",0,+$T2624*$V2624)</f>
        <v>0.00059396800186451752</v>
      </c>
      <c r="X2624" s="85">
        <f>IF(B2624="",0,IF(OR(H2624=MappingTables!$C$34,H2624=MappingTables!$C$35),W2624,0))</f>
        <v>0</v>
      </c>
    </row>
    <row r="2625" spans="2:24" s="0" customFormat="0" ht="15">
      <c r="B2625" s="69" t="s">
        <v>2514</v>
      </c>
      <c r="C2625" s="70" t="s">
        <v>2515</v>
      </c>
      <c r="D2625" s="70" t="s">
        <v>1</v>
      </c>
      <c r="E2625" s="70" t="s">
        <v>1</v>
      </c>
      <c r="F2625" s="70"/>
      <c r="G2625" s="70" t="s">
        <v>61</v>
      </c>
      <c r="H2625" s="70" t="s">
        <v>178</v>
      </c>
      <c r="I2625" s="70" t="s">
        <v>188</v>
      </c>
      <c r="J2625" s="71">
        <f>IF(OR(I2625=0,I2625=""),"unrated",VLOOKUP(I2625,MappingTables!$B$19:$C$31,2,FALSE))</f>
        <v>2</v>
      </c>
      <c r="K2625" s="72">
        <v>344.56580718049844</v>
      </c>
      <c r="L2625" s="70">
        <v>6.1514768111438272</v>
      </c>
      <c r="M2625" s="71">
        <f>IF(L2625&lt;1,1,L2625)</f>
        <v>6.1514768111438272</v>
      </c>
      <c r="N2625" s="70" t="s">
        <v>141</v>
      </c>
      <c r="O2625" s="71">
        <f>INDEX(DurClassMapping,MATCH(M2625,MappingTables!$D$4:$D$8,-1),1)</f>
        <v>2</v>
      </c>
      <c r="P2625" s="73">
        <f>IF(M2625=$A$1,1,$M2625-INDEX(MappingTables!$E$4:$E$8,MATCH(O2625,MappingTables!$B$4:$B$8,0)))</f>
        <v>1.1514768111438274</v>
      </c>
      <c r="Q2625" s="71">
        <f>IF(B2625="",0,INDEX(ModelParameters!$D$6:$K$10,MATCH($O2625,ModelParameters!$B$6:$B$10,0),MATCH($J2625,ModelParameters!$D$5:$K$5,0)))</f>
        <v>0.0069999999999999992</v>
      </c>
      <c r="R2625" s="71">
        <f>IF(B2625="",0,INDEX(ModelParameters!$D$13:$K$17,MATCH($O2625,ModelParameters!$B$13:$B$17,0),MATCH($J2625,ModelParameters!$D$5:$K$5,0)))</f>
        <v>0.070000000000000008</v>
      </c>
      <c r="S2625" s="160">
        <f>IF(B2625="",0,MIN(IF($N2625="Other Bond TM",ModelParameters!$N$21,1)*(P2625*Q2625+R2625),1))</f>
        <v>0.0780603376780068</v>
      </c>
      <c r="T2625" s="85">
        <f>IF(B2625="",0,$S2625*$K2625)</f>
        <v>26.896923260804688</v>
      </c>
      <c r="U2625" s="85">
        <f>IF(B2625="",0,IF(OR(H2625=MappingTables!$C$34,H2625=MappingTables!$C$35),T2625,0))</f>
        <v>0</v>
      </c>
      <c r="V2625" s="85">
        <f>IF(ISNA(IF(AND(VLOOKUP(CONCATENATE($D2625,$G2625),CSRFinput!$B:$E,4,0)=0,OR(H2625=MappingTables!$C$34,H2625=MappingTables!$C$35)),1,VLOOKUP(CONCATENATE($D2625,$G2625),CSRFinput!$B:$E,4,0))),0,IF(AND(VLOOKUP(CONCATENATE($D2625,$G2625),CSRFinput!$B:$E,4,0)=0,OR(H2625=MappingTables!$C$34,H2625=MappingTables!$C$35)),1,VLOOKUP(CONCATENATE($D2625,$G2625),CSRFinput!$B:$E,4,0)))</f>
        <v>0.054776304963434752</v>
      </c>
      <c r="W2625" s="85">
        <f>IF(B2625="",0,+$T2625*$V2625)</f>
        <v>1.4733140711119394</v>
      </c>
      <c r="X2625" s="85">
        <f>IF(B2625="",0,IF(OR(H2625=MappingTables!$C$34,H2625=MappingTables!$C$35),W2625,0))</f>
        <v>0</v>
      </c>
    </row>
    <row r="2626" spans="2:24" s="0" customFormat="0" ht="15">
      <c r="B2626" s="69">
        <v>12427810</v>
      </c>
      <c r="C2626" s="70" t="s">
        <v>374</v>
      </c>
      <c r="D2626" s="70" t="s">
        <v>1</v>
      </c>
      <c r="E2626" s="70" t="s">
        <v>1</v>
      </c>
      <c r="F2626" s="70"/>
      <c r="G2626" s="70" t="s">
        <v>61</v>
      </c>
      <c r="H2626" s="70" t="s">
        <v>178</v>
      </c>
      <c r="I2626" s="70" t="s">
        <v>181</v>
      </c>
      <c r="J2626" s="71">
        <f>IF(OR(I2626=0,I2626=""),"unrated",VLOOKUP(I2626,MappingTables!$B$19:$C$31,2,FALSE))</f>
        <v>3</v>
      </c>
      <c r="K2626" s="72">
        <v>304.6768822014376</v>
      </c>
      <c r="L2626" s="70">
        <v>4.810437623692624</v>
      </c>
      <c r="M2626" s="71">
        <f>IF(L2626&lt;1,1,L2626)</f>
        <v>4.810437623692624</v>
      </c>
      <c r="N2626" s="70" t="s">
        <v>141</v>
      </c>
      <c r="O2626" s="71">
        <f>INDEX(DurClassMapping,MATCH(M2626,MappingTables!$D$4:$D$8,-1),1)</f>
        <v>1</v>
      </c>
      <c r="P2626" s="73">
        <f>IF(M2626=$A$1,1,$M2626-INDEX(MappingTables!$E$4:$E$8,MATCH(O2626,MappingTables!$B$4:$B$8,0)))</f>
        <v>4.810437623692624</v>
      </c>
      <c r="Q2626" s="71">
        <f>IF(B2626="",0,INDEX(ModelParameters!$D$6:$K$10,MATCH($O2626,ModelParameters!$B$6:$B$10,0),MATCH($J2626,ModelParameters!$D$5:$K$5,0)))</f>
        <v>0.025</v>
      </c>
      <c r="R2626" s="71">
        <f>IF(B2626="",0,INDEX(ModelParameters!$D$13:$K$17,MATCH($O2626,ModelParameters!$B$13:$B$17,0),MATCH($J2626,ModelParameters!$D$5:$K$5,0)))</f>
        <v>0</v>
      </c>
      <c r="S2626" s="160">
        <f>IF(B2626="",0,MIN(IF($N2626="Other Bond TM",ModelParameters!$N$21,1)*(P2626*Q2626+R2626),1))</f>
        <v>0.1202609405923156</v>
      </c>
      <c r="T2626" s="85">
        <f>IF(B2626="",0,$S2626*$K2626)</f>
        <v>36.640728430279024</v>
      </c>
      <c r="U2626" s="85">
        <f>IF(B2626="",0,IF(OR(H2626=MappingTables!$C$34,H2626=MappingTables!$C$35),T2626,0))</f>
        <v>0</v>
      </c>
      <c r="V2626" s="85">
        <f>IF(ISNA(IF(AND(VLOOKUP(CONCATENATE($D2626,$G2626),CSRFinput!$B:$E,4,0)=0,OR(H2626=MappingTables!$C$34,H2626=MappingTables!$C$35)),1,VLOOKUP(CONCATENATE($D2626,$G2626),CSRFinput!$B:$E,4,0))),0,IF(AND(VLOOKUP(CONCATENATE($D2626,$G2626),CSRFinput!$B:$E,4,0)=0,OR(H2626=MappingTables!$C$34,H2626=MappingTables!$C$35)),1,VLOOKUP(CONCATENATE($D2626,$G2626),CSRFinput!$B:$E,4,0)))</f>
        <v>0.054776304963434752</v>
      </c>
      <c r="W2626" s="85">
        <f>IF(B2626="",0,+$T2626*$V2626)</f>
        <v>2.007043714579358</v>
      </c>
      <c r="X2626" s="85">
        <f>IF(B2626="",0,IF(OR(H2626=MappingTables!$C$34,H2626=MappingTables!$C$35),W2626,0))</f>
        <v>0</v>
      </c>
    </row>
    <row r="2627" spans="2:24" s="0" customFormat="0" ht="15">
      <c r="B2627" s="69">
        <v>13442904</v>
      </c>
      <c r="C2627" s="70" t="s">
        <v>2516</v>
      </c>
      <c r="D2627" s="70" t="s">
        <v>1</v>
      </c>
      <c r="E2627" s="70" t="s">
        <v>1</v>
      </c>
      <c r="F2627" s="70"/>
      <c r="G2627" s="70" t="s">
        <v>61</v>
      </c>
      <c r="H2627" s="70" t="s">
        <v>178</v>
      </c>
      <c r="I2627" s="70" t="s">
        <v>184</v>
      </c>
      <c r="J2627" s="71">
        <f>IF(OR(I2627=0,I2627=""),"unrated",VLOOKUP(I2627,MappingTables!$B$19:$C$31,2,FALSE))</f>
        <v>5</v>
      </c>
      <c r="K2627" s="72">
        <v>23366.449968221892</v>
      </c>
      <c r="L2627" s="70">
        <v>10.440090034009704</v>
      </c>
      <c r="M2627" s="71">
        <f>IF(L2627&lt;1,1,L2627)</f>
        <v>10.440090034009704</v>
      </c>
      <c r="N2627" s="70" t="s">
        <v>141</v>
      </c>
      <c r="O2627" s="71">
        <f>INDEX(DurClassMapping,MATCH(M2627,MappingTables!$D$4:$D$8,-1),1)</f>
        <v>3</v>
      </c>
      <c r="P2627" s="73">
        <f>IF(M2627=$A$1,1,$M2627-INDEX(MappingTables!$E$4:$E$8,MATCH(O2627,MappingTables!$B$4:$B$8,0)))</f>
        <v>0.44009003400970496</v>
      </c>
      <c r="Q2627" s="71">
        <f>IF(B2627="",0,INDEX(ModelParameters!$D$6:$K$10,MATCH($O2627,ModelParameters!$B$6:$B$10,0),MATCH($J2627,ModelParameters!$D$5:$K$5,0)))</f>
        <v>0.005</v>
      </c>
      <c r="R2627" s="71">
        <f>IF(B2627="",0,INDEX(ModelParameters!$D$13:$K$17,MATCH($O2627,ModelParameters!$B$13:$B$17,0),MATCH($J2627,ModelParameters!$D$5:$K$5,0)))</f>
        <v>0.585</v>
      </c>
      <c r="S2627" s="160">
        <f>IF(B2627="",0,MIN(IF($N2627="Other Bond TM",ModelParameters!$N$21,1)*(P2627*Q2627+R2627),1))</f>
        <v>0.58720045017004848</v>
      </c>
      <c r="T2627" s="85">
        <f>IF(B2627="",0,$S2627*$K2627)</f>
        <v>13720.78994021581</v>
      </c>
      <c r="U2627" s="85">
        <f>IF(B2627="",0,IF(OR(H2627=MappingTables!$C$34,H2627=MappingTables!$C$35),T2627,0))</f>
        <v>0</v>
      </c>
      <c r="V2627" s="85">
        <f>IF(ISNA(IF(AND(VLOOKUP(CONCATENATE($D2627,$G2627),CSRFinput!$B:$E,4,0)=0,OR(H2627=MappingTables!$C$34,H2627=MappingTables!$C$35)),1,VLOOKUP(CONCATENATE($D2627,$G2627),CSRFinput!$B:$E,4,0))),0,IF(AND(VLOOKUP(CONCATENATE($D2627,$G2627),CSRFinput!$B:$E,4,0)=0,OR(H2627=MappingTables!$C$34,H2627=MappingTables!$C$35)),1,VLOOKUP(CONCATENATE($D2627,$G2627),CSRFinput!$B:$E,4,0)))</f>
        <v>0.054776304963434752</v>
      </c>
      <c r="W2627" s="85">
        <f>IF(B2627="",0,+$T2627*$V2627)</f>
        <v>751.57417410448896</v>
      </c>
      <c r="X2627" s="85">
        <f>IF(B2627="",0,IF(OR(H2627=MappingTables!$C$34,H2627=MappingTables!$C$35),W2627,0))</f>
        <v>0</v>
      </c>
    </row>
    <row r="2628" spans="2:24" s="0" customFormat="0" ht="15">
      <c r="B2628" s="69">
        <v>9542984</v>
      </c>
      <c r="C2628" s="70" t="s">
        <v>968</v>
      </c>
      <c r="D2628" s="70" t="s">
        <v>1</v>
      </c>
      <c r="E2628" s="70" t="s">
        <v>1</v>
      </c>
      <c r="F2628" s="70"/>
      <c r="G2628" s="70" t="s">
        <v>61</v>
      </c>
      <c r="H2628" s="70" t="s">
        <v>178</v>
      </c>
      <c r="I2628" s="70" t="s">
        <v>181</v>
      </c>
      <c r="J2628" s="71">
        <f>IF(OR(I2628=0,I2628=""),"unrated",VLOOKUP(I2628,MappingTables!$B$19:$C$31,2,FALSE))</f>
        <v>3</v>
      </c>
      <c r="K2628" s="72">
        <v>2.3323426578625336</v>
      </c>
      <c r="L2628" s="70">
        <v>0.4000031090181768</v>
      </c>
      <c r="M2628" s="71">
        <f>IF(L2628&lt;1,1,L2628)</f>
        <v>1</v>
      </c>
      <c r="N2628" s="70" t="s">
        <v>141</v>
      </c>
      <c r="O2628" s="71">
        <f>INDEX(DurClassMapping,MATCH(M2628,MappingTables!$D$4:$D$8,-1),1)</f>
        <v>1</v>
      </c>
      <c r="P2628" s="73">
        <f>IF(M2628=$A$1,1,$M2628-INDEX(MappingTables!$E$4:$E$8,MATCH(O2628,MappingTables!$B$4:$B$8,0)))</f>
        <v>1</v>
      </c>
      <c r="Q2628" s="71">
        <f>IF(B2628="",0,INDEX(ModelParameters!$D$6:$K$10,MATCH($O2628,ModelParameters!$B$6:$B$10,0),MATCH($J2628,ModelParameters!$D$5:$K$5,0)))</f>
        <v>0.025</v>
      </c>
      <c r="R2628" s="71">
        <f>IF(B2628="",0,INDEX(ModelParameters!$D$13:$K$17,MATCH($O2628,ModelParameters!$B$13:$B$17,0),MATCH($J2628,ModelParameters!$D$5:$K$5,0)))</f>
        <v>0</v>
      </c>
      <c r="S2628" s="160">
        <f>IF(B2628="",0,MIN(IF($N2628="Other Bond TM",ModelParameters!$N$21,1)*(P2628*Q2628+R2628),1))</f>
        <v>0.025</v>
      </c>
      <c r="T2628" s="85">
        <f>IF(B2628="",0,$S2628*$K2628)</f>
        <v>0.058308566446563344</v>
      </c>
      <c r="U2628" s="85">
        <f>IF(B2628="",0,IF(OR(H2628=MappingTables!$C$34,H2628=MappingTables!$C$35),T2628,0))</f>
        <v>0</v>
      </c>
      <c r="V2628" s="85">
        <f>IF(ISNA(IF(AND(VLOOKUP(CONCATENATE($D2628,$G2628),CSRFinput!$B:$E,4,0)=0,OR(H2628=MappingTables!$C$34,H2628=MappingTables!$C$35)),1,VLOOKUP(CONCATENATE($D2628,$G2628),CSRFinput!$B:$E,4,0))),0,IF(AND(VLOOKUP(CONCATENATE($D2628,$G2628),CSRFinput!$B:$E,4,0)=0,OR(H2628=MappingTables!$C$34,H2628=MappingTables!$C$35)),1,VLOOKUP(CONCATENATE($D2628,$G2628),CSRFinput!$B:$E,4,0)))</f>
        <v>0.054776304963434752</v>
      </c>
      <c r="W2628" s="85">
        <f>IF(B2628="",0,+$T2628*$V2628)</f>
        <v>0.0031939278176576524</v>
      </c>
      <c r="X2628" s="85">
        <f>IF(B2628="",0,IF(OR(H2628=MappingTables!$C$34,H2628=MappingTables!$C$35),W2628,0))</f>
        <v>0</v>
      </c>
    </row>
    <row r="2629" spans="2:24" s="0" customFormat="0" ht="15">
      <c r="B2629" s="69">
        <v>14723457</v>
      </c>
      <c r="C2629" s="70" t="s">
        <v>2517</v>
      </c>
      <c r="D2629" s="70" t="s">
        <v>1</v>
      </c>
      <c r="E2629" s="70" t="s">
        <v>1</v>
      </c>
      <c r="F2629" s="70"/>
      <c r="G2629" s="70" t="s">
        <v>61</v>
      </c>
      <c r="H2629" s="70" t="s">
        <v>178</v>
      </c>
      <c r="I2629" s="70" t="s">
        <v>188</v>
      </c>
      <c r="J2629" s="71">
        <f>IF(OR(I2629=0,I2629=""),"unrated",VLOOKUP(I2629,MappingTables!$B$19:$C$31,2,FALSE))</f>
        <v>2</v>
      </c>
      <c r="K2629" s="72">
        <v>1185.376217444819</v>
      </c>
      <c r="L2629" s="70">
        <v>0.62645607607279096</v>
      </c>
      <c r="M2629" s="71">
        <f>IF(L2629&lt;1,1,L2629)</f>
        <v>1</v>
      </c>
      <c r="N2629" s="70" t="s">
        <v>141</v>
      </c>
      <c r="O2629" s="71">
        <f>INDEX(DurClassMapping,MATCH(M2629,MappingTables!$D$4:$D$8,-1),1)</f>
        <v>1</v>
      </c>
      <c r="P2629" s="73">
        <f>IF(M2629=$A$1,1,$M2629-INDEX(MappingTables!$E$4:$E$8,MATCH(O2629,MappingTables!$B$4:$B$8,0)))</f>
        <v>1</v>
      </c>
      <c r="Q2629" s="71">
        <f>IF(B2629="",0,INDEX(ModelParameters!$D$6:$K$10,MATCH($O2629,ModelParameters!$B$6:$B$10,0),MATCH($J2629,ModelParameters!$D$5:$K$5,0)))</f>
        <v>0.013999999999999998</v>
      </c>
      <c r="R2629" s="71">
        <f>IF(B2629="",0,INDEX(ModelParameters!$D$13:$K$17,MATCH($O2629,ModelParameters!$B$13:$B$17,0),MATCH($J2629,ModelParameters!$D$5:$K$5,0)))</f>
        <v>0</v>
      </c>
      <c r="S2629" s="160">
        <f>IF(B2629="",0,MIN(IF($N2629="Other Bond TM",ModelParameters!$N$21,1)*(P2629*Q2629+R2629),1))</f>
        <v>0.013999999999999998</v>
      </c>
      <c r="T2629" s="85">
        <f>IF(B2629="",0,$S2629*$K2629)</f>
        <v>16.595267044227466</v>
      </c>
      <c r="U2629" s="85">
        <f>IF(B2629="",0,IF(OR(H2629=MappingTables!$C$34,H2629=MappingTables!$C$35),T2629,0))</f>
        <v>0</v>
      </c>
      <c r="V2629" s="85">
        <f>IF(ISNA(IF(AND(VLOOKUP(CONCATENATE($D2629,$G2629),CSRFinput!$B:$E,4,0)=0,OR(H2629=MappingTables!$C$34,H2629=MappingTables!$C$35)),1,VLOOKUP(CONCATENATE($D2629,$G2629),CSRFinput!$B:$E,4,0))),0,IF(AND(VLOOKUP(CONCATENATE($D2629,$G2629),CSRFinput!$B:$E,4,0)=0,OR(H2629=MappingTables!$C$34,H2629=MappingTables!$C$35)),1,VLOOKUP(CONCATENATE($D2629,$G2629),CSRFinput!$B:$E,4,0)))</f>
        <v>0.054776304963434752</v>
      </c>
      <c r="W2629" s="85">
        <f>IF(B2629="",0,+$T2629*$V2629)</f>
        <v>0.90902740856424208</v>
      </c>
      <c r="X2629" s="85">
        <f>IF(B2629="",0,IF(OR(H2629=MappingTables!$C$34,H2629=MappingTables!$C$35),W2629,0))</f>
        <v>0</v>
      </c>
    </row>
    <row r="2630" spans="2:24" s="0" customFormat="0" ht="15">
      <c r="B2630" s="69">
        <v>15861135</v>
      </c>
      <c r="C2630" s="70" t="s">
        <v>2055</v>
      </c>
      <c r="D2630" s="70" t="s">
        <v>1</v>
      </c>
      <c r="E2630" s="70" t="s">
        <v>1</v>
      </c>
      <c r="F2630" s="70"/>
      <c r="G2630" s="70" t="s">
        <v>61</v>
      </c>
      <c r="H2630" s="70" t="s">
        <v>178</v>
      </c>
      <c r="I2630" s="70" t="s">
        <v>181</v>
      </c>
      <c r="J2630" s="71">
        <f>IF(OR(I2630=0,I2630=""),"unrated",VLOOKUP(I2630,MappingTables!$B$19:$C$31,2,FALSE))</f>
        <v>3</v>
      </c>
      <c r="K2630" s="72">
        <v>1688.2234193494478</v>
      </c>
      <c r="L2630" s="70">
        <v>2.0111569547853228</v>
      </c>
      <c r="M2630" s="71">
        <f>IF(L2630&lt;1,1,L2630)</f>
        <v>2.0111569547853228</v>
      </c>
      <c r="N2630" s="70" t="s">
        <v>141</v>
      </c>
      <c r="O2630" s="71">
        <f>INDEX(DurClassMapping,MATCH(M2630,MappingTables!$D$4:$D$8,-1),1)</f>
        <v>1</v>
      </c>
      <c r="P2630" s="73">
        <f>IF(M2630=$A$1,1,$M2630-INDEX(MappingTables!$E$4:$E$8,MATCH(O2630,MappingTables!$B$4:$B$8,0)))</f>
        <v>2.0111569547853228</v>
      </c>
      <c r="Q2630" s="71">
        <f>IF(B2630="",0,INDEX(ModelParameters!$D$6:$K$10,MATCH($O2630,ModelParameters!$B$6:$B$10,0),MATCH($J2630,ModelParameters!$D$5:$K$5,0)))</f>
        <v>0.025</v>
      </c>
      <c r="R2630" s="71">
        <f>IF(B2630="",0,INDEX(ModelParameters!$D$13:$K$17,MATCH($O2630,ModelParameters!$B$13:$B$17,0),MATCH($J2630,ModelParameters!$D$5:$K$5,0)))</f>
        <v>0</v>
      </c>
      <c r="S2630" s="160">
        <f>IF(B2630="",0,MIN(IF($N2630="Other Bond TM",ModelParameters!$N$21,1)*(P2630*Q2630+R2630),1))</f>
        <v>0.05027892386963308</v>
      </c>
      <c r="T2630" s="85">
        <f>IF(B2630="",0,$S2630*$K2630)</f>
        <v>84.882056776402528</v>
      </c>
      <c r="U2630" s="85">
        <f>IF(B2630="",0,IF(OR(H2630=MappingTables!$C$34,H2630=MappingTables!$C$35),T2630,0))</f>
        <v>0</v>
      </c>
      <c r="V2630" s="85">
        <f>IF(ISNA(IF(AND(VLOOKUP(CONCATENATE($D2630,$G2630),CSRFinput!$B:$E,4,0)=0,OR(H2630=MappingTables!$C$34,H2630=MappingTables!$C$35)),1,VLOOKUP(CONCATENATE($D2630,$G2630),CSRFinput!$B:$E,4,0))),0,IF(AND(VLOOKUP(CONCATENATE($D2630,$G2630),CSRFinput!$B:$E,4,0)=0,OR(H2630=MappingTables!$C$34,H2630=MappingTables!$C$35)),1,VLOOKUP(CONCATENATE($D2630,$G2630),CSRFinput!$B:$E,4,0)))</f>
        <v>0.054776304963434752</v>
      </c>
      <c r="W2630" s="85">
        <f>IF(B2630="",0,+$T2630*$V2630)</f>
        <v>4.6495254279078072</v>
      </c>
      <c r="X2630" s="85">
        <f>IF(B2630="",0,IF(OR(H2630=MappingTables!$C$34,H2630=MappingTables!$C$35),W2630,0))</f>
        <v>0</v>
      </c>
    </row>
    <row r="2631" spans="2:24" s="0" customFormat="0" ht="15">
      <c r="B2631" s="69">
        <v>19616258</v>
      </c>
      <c r="C2631" s="70" t="s">
        <v>1914</v>
      </c>
      <c r="D2631" s="70" t="s">
        <v>1</v>
      </c>
      <c r="E2631" s="70" t="s">
        <v>1</v>
      </c>
      <c r="F2631" s="70"/>
      <c r="G2631" s="70" t="s">
        <v>61</v>
      </c>
      <c r="H2631" s="70" t="s">
        <v>178</v>
      </c>
      <c r="I2631" s="70" t="s">
        <v>188</v>
      </c>
      <c r="J2631" s="71">
        <f>IF(OR(I2631=0,I2631=""),"unrated",VLOOKUP(I2631,MappingTables!$B$19:$C$31,2,FALSE))</f>
        <v>2</v>
      </c>
      <c r="K2631" s="72">
        <v>3.0101814471117584</v>
      </c>
      <c r="L2631" s="70">
        <v>1.3079787474591116</v>
      </c>
      <c r="M2631" s="71">
        <f>IF(L2631&lt;1,1,L2631)</f>
        <v>1.3079787474591116</v>
      </c>
      <c r="N2631" s="70" t="s">
        <v>141</v>
      </c>
      <c r="O2631" s="71">
        <f>INDEX(DurClassMapping,MATCH(M2631,MappingTables!$D$4:$D$8,-1),1)</f>
        <v>1</v>
      </c>
      <c r="P2631" s="73">
        <f>IF(M2631=$A$1,1,$M2631-INDEX(MappingTables!$E$4:$E$8,MATCH(O2631,MappingTables!$B$4:$B$8,0)))</f>
        <v>1.3079787474591116</v>
      </c>
      <c r="Q2631" s="71">
        <f>IF(B2631="",0,INDEX(ModelParameters!$D$6:$K$10,MATCH($O2631,ModelParameters!$B$6:$B$10,0),MATCH($J2631,ModelParameters!$D$5:$K$5,0)))</f>
        <v>0.013999999999999998</v>
      </c>
      <c r="R2631" s="71">
        <f>IF(B2631="",0,INDEX(ModelParameters!$D$13:$K$17,MATCH($O2631,ModelParameters!$B$13:$B$17,0),MATCH($J2631,ModelParameters!$D$5:$K$5,0)))</f>
        <v>0</v>
      </c>
      <c r="S2631" s="160">
        <f>IF(B2631="",0,MIN(IF($N2631="Other Bond TM",ModelParameters!$N$21,1)*(P2631*Q2631+R2631),1))</f>
        <v>0.01831170246442756</v>
      </c>
      <c r="T2631" s="85">
        <f>IF(B2631="",0,$S2631*$K2631)</f>
        <v>0.055121547023450512</v>
      </c>
      <c r="U2631" s="85">
        <f>IF(B2631="",0,IF(OR(H2631=MappingTables!$C$34,H2631=MappingTables!$C$35),T2631,0))</f>
        <v>0</v>
      </c>
      <c r="V2631" s="85">
        <f>IF(ISNA(IF(AND(VLOOKUP(CONCATENATE($D2631,$G2631),CSRFinput!$B:$E,4,0)=0,OR(H2631=MappingTables!$C$34,H2631=MappingTables!$C$35)),1,VLOOKUP(CONCATENATE($D2631,$G2631),CSRFinput!$B:$E,4,0))),0,IF(AND(VLOOKUP(CONCATENATE($D2631,$G2631),CSRFinput!$B:$E,4,0)=0,OR(H2631=MappingTables!$C$34,H2631=MappingTables!$C$35)),1,VLOOKUP(CONCATENATE($D2631,$G2631),CSRFinput!$B:$E,4,0)))</f>
        <v>0.054776304963434752</v>
      </c>
      <c r="W2631" s="85">
        <f>IF(B2631="",0,+$T2631*$V2631)</f>
        <v>0.0030193546698128348</v>
      </c>
      <c r="X2631" s="85">
        <f>IF(B2631="",0,IF(OR(H2631=MappingTables!$C$34,H2631=MappingTables!$C$35),W2631,0))</f>
        <v>0</v>
      </c>
    </row>
    <row r="2632" spans="2:24" s="0" customFormat="0" ht="15">
      <c r="B2632" s="69">
        <v>23297633</v>
      </c>
      <c r="C2632" s="70" t="s">
        <v>2432</v>
      </c>
      <c r="D2632" s="70" t="s">
        <v>1</v>
      </c>
      <c r="E2632" s="70" t="s">
        <v>1</v>
      </c>
      <c r="F2632" s="70"/>
      <c r="G2632" s="70" t="s">
        <v>61</v>
      </c>
      <c r="H2632" s="70" t="s">
        <v>178</v>
      </c>
      <c r="I2632" s="70" t="s">
        <v>220</v>
      </c>
      <c r="J2632" s="71">
        <f>IF(OR(I2632=0,I2632=""),"unrated",VLOOKUP(I2632,MappingTables!$B$19:$C$31,2,FALSE))</f>
        <v>1</v>
      </c>
      <c r="K2632" s="72">
        <v>6559.8816795674672</v>
      </c>
      <c r="L2632" s="70">
        <v>0.15616840133412554</v>
      </c>
      <c r="M2632" s="71">
        <f>IF(L2632&lt;1,1,L2632)</f>
        <v>1</v>
      </c>
      <c r="N2632" s="70" t="s">
        <v>141</v>
      </c>
      <c r="O2632" s="71">
        <f>INDEX(DurClassMapping,MATCH(M2632,MappingTables!$D$4:$D$8,-1),1)</f>
        <v>1</v>
      </c>
      <c r="P2632" s="73">
        <f>IF(M2632=$A$1,1,$M2632-INDEX(MappingTables!$E$4:$E$8,MATCH(O2632,MappingTables!$B$4:$B$8,0)))</f>
        <v>1</v>
      </c>
      <c r="Q2632" s="71">
        <f>IF(B2632="",0,INDEX(ModelParameters!$D$6:$K$10,MATCH($O2632,ModelParameters!$B$6:$B$10,0),MATCH($J2632,ModelParameters!$D$5:$K$5,0)))</f>
        <v>0.011000000000000002</v>
      </c>
      <c r="R2632" s="71">
        <f>IF(B2632="",0,INDEX(ModelParameters!$D$13:$K$17,MATCH($O2632,ModelParameters!$B$13:$B$17,0),MATCH($J2632,ModelParameters!$D$5:$K$5,0)))</f>
        <v>0</v>
      </c>
      <c r="S2632" s="160">
        <f>IF(B2632="",0,MIN(IF($N2632="Other Bond TM",ModelParameters!$N$21,1)*(P2632*Q2632+R2632),1))</f>
        <v>0.011000000000000002</v>
      </c>
      <c r="T2632" s="85">
        <f>IF(B2632="",0,$S2632*$K2632)</f>
        <v>72.158698475242144</v>
      </c>
      <c r="U2632" s="85">
        <f>IF(B2632="",0,IF(OR(H2632=MappingTables!$C$34,H2632=MappingTables!$C$35),T2632,0))</f>
        <v>0</v>
      </c>
      <c r="V2632" s="85">
        <f>IF(ISNA(IF(AND(VLOOKUP(CONCATENATE($D2632,$G2632),CSRFinput!$B:$E,4,0)=0,OR(H2632=MappingTables!$C$34,H2632=MappingTables!$C$35)),1,VLOOKUP(CONCATENATE($D2632,$G2632),CSRFinput!$B:$E,4,0))),0,IF(AND(VLOOKUP(CONCATENATE($D2632,$G2632),CSRFinput!$B:$E,4,0)=0,OR(H2632=MappingTables!$C$34,H2632=MappingTables!$C$35)),1,VLOOKUP(CONCATENATE($D2632,$G2632),CSRFinput!$B:$E,4,0)))</f>
        <v>0.054776304963434752</v>
      </c>
      <c r="W2632" s="85">
        <f>IF(B2632="",0,+$T2632*$V2632)</f>
        <v>3.9525868734443984</v>
      </c>
      <c r="X2632" s="85">
        <f>IF(B2632="",0,IF(OR(H2632=MappingTables!$C$34,H2632=MappingTables!$C$35),W2632,0))</f>
        <v>0</v>
      </c>
    </row>
    <row r="2633" spans="2:24" s="0" customFormat="0" ht="15">
      <c r="B2633" s="69">
        <v>18003004</v>
      </c>
      <c r="C2633" s="70" t="s">
        <v>2290</v>
      </c>
      <c r="D2633" s="70" t="s">
        <v>1</v>
      </c>
      <c r="E2633" s="70" t="s">
        <v>1</v>
      </c>
      <c r="F2633" s="70"/>
      <c r="G2633" s="70" t="s">
        <v>61</v>
      </c>
      <c r="H2633" s="70" t="s">
        <v>178</v>
      </c>
      <c r="I2633" s="70" t="s">
        <v>188</v>
      </c>
      <c r="J2633" s="71">
        <f>IF(OR(I2633=0,I2633=""),"unrated",VLOOKUP(I2633,MappingTables!$B$19:$C$31,2,FALSE))</f>
        <v>2</v>
      </c>
      <c r="K2633" s="72">
        <v>23.774790693992572</v>
      </c>
      <c r="L2633" s="70">
        <v>0.79086512293361072</v>
      </c>
      <c r="M2633" s="71">
        <f>IF(L2633&lt;1,1,L2633)</f>
        <v>1</v>
      </c>
      <c r="N2633" s="70" t="s">
        <v>141</v>
      </c>
      <c r="O2633" s="71">
        <f>INDEX(DurClassMapping,MATCH(M2633,MappingTables!$D$4:$D$8,-1),1)</f>
        <v>1</v>
      </c>
      <c r="P2633" s="73">
        <f>IF(M2633=$A$1,1,$M2633-INDEX(MappingTables!$E$4:$E$8,MATCH(O2633,MappingTables!$B$4:$B$8,0)))</f>
        <v>1</v>
      </c>
      <c r="Q2633" s="71">
        <f>IF(B2633="",0,INDEX(ModelParameters!$D$6:$K$10,MATCH($O2633,ModelParameters!$B$6:$B$10,0),MATCH($J2633,ModelParameters!$D$5:$K$5,0)))</f>
        <v>0.013999999999999998</v>
      </c>
      <c r="R2633" s="71">
        <f>IF(B2633="",0,INDEX(ModelParameters!$D$13:$K$17,MATCH($O2633,ModelParameters!$B$13:$B$17,0),MATCH($J2633,ModelParameters!$D$5:$K$5,0)))</f>
        <v>0</v>
      </c>
      <c r="S2633" s="160">
        <f>IF(B2633="",0,MIN(IF($N2633="Other Bond TM",ModelParameters!$N$21,1)*(P2633*Q2633+R2633),1))</f>
        <v>0.013999999999999998</v>
      </c>
      <c r="T2633" s="85">
        <f>IF(B2633="",0,$S2633*$K2633)</f>
        <v>0.33284706971589596</v>
      </c>
      <c r="U2633" s="85">
        <f>IF(B2633="",0,IF(OR(H2633=MappingTables!$C$34,H2633=MappingTables!$C$35),T2633,0))</f>
        <v>0</v>
      </c>
      <c r="V2633" s="85">
        <f>IF(ISNA(IF(AND(VLOOKUP(CONCATENATE($D2633,$G2633),CSRFinput!$B:$E,4,0)=0,OR(H2633=MappingTables!$C$34,H2633=MappingTables!$C$35)),1,VLOOKUP(CONCATENATE($D2633,$G2633),CSRFinput!$B:$E,4,0))),0,IF(AND(VLOOKUP(CONCATENATE($D2633,$G2633),CSRFinput!$B:$E,4,0)=0,OR(H2633=MappingTables!$C$34,H2633=MappingTables!$C$35)),1,VLOOKUP(CONCATENATE($D2633,$G2633),CSRFinput!$B:$E,4,0)))</f>
        <v>0.054776304963434752</v>
      </c>
      <c r="W2633" s="85">
        <f>IF(B2633="",0,+$T2633*$V2633)</f>
        <v>0.018232132596943544</v>
      </c>
      <c r="X2633" s="85">
        <f>IF(B2633="",0,IF(OR(H2633=MappingTables!$C$34,H2633=MappingTables!$C$35),W2633,0))</f>
        <v>0</v>
      </c>
    </row>
    <row r="2634" spans="2:24" s="0" customFormat="0" ht="15">
      <c r="B2634" s="69">
        <v>15342010</v>
      </c>
      <c r="C2634" s="70" t="s">
        <v>2518</v>
      </c>
      <c r="D2634" s="70" t="s">
        <v>1</v>
      </c>
      <c r="E2634" s="70" t="s">
        <v>1</v>
      </c>
      <c r="F2634" s="70"/>
      <c r="G2634" s="70" t="s">
        <v>61</v>
      </c>
      <c r="H2634" s="70" t="s">
        <v>178</v>
      </c>
      <c r="I2634" s="70" t="s">
        <v>220</v>
      </c>
      <c r="J2634" s="71">
        <f>IF(OR(I2634=0,I2634=""),"unrated",VLOOKUP(I2634,MappingTables!$B$19:$C$31,2,FALSE))</f>
        <v>1</v>
      </c>
      <c r="K2634" s="72">
        <v>322.45752419614792</v>
      </c>
      <c r="L2634" s="70">
        <v>1.7746263147165572</v>
      </c>
      <c r="M2634" s="71">
        <f>IF(L2634&lt;1,1,L2634)</f>
        <v>1.7746263147165572</v>
      </c>
      <c r="N2634" s="70" t="s">
        <v>141</v>
      </c>
      <c r="O2634" s="71">
        <f>INDEX(DurClassMapping,MATCH(M2634,MappingTables!$D$4:$D$8,-1),1)</f>
        <v>1</v>
      </c>
      <c r="P2634" s="73">
        <f>IF(M2634=$A$1,1,$M2634-INDEX(MappingTables!$E$4:$E$8,MATCH(O2634,MappingTables!$B$4:$B$8,0)))</f>
        <v>1.7746263147165572</v>
      </c>
      <c r="Q2634" s="71">
        <f>IF(B2634="",0,INDEX(ModelParameters!$D$6:$K$10,MATCH($O2634,ModelParameters!$B$6:$B$10,0),MATCH($J2634,ModelParameters!$D$5:$K$5,0)))</f>
        <v>0.011000000000000002</v>
      </c>
      <c r="R2634" s="71">
        <f>IF(B2634="",0,INDEX(ModelParameters!$D$13:$K$17,MATCH($O2634,ModelParameters!$B$13:$B$17,0),MATCH($J2634,ModelParameters!$D$5:$K$5,0)))</f>
        <v>0</v>
      </c>
      <c r="S2634" s="160">
        <f>IF(B2634="",0,MIN(IF($N2634="Other Bond TM",ModelParameters!$N$21,1)*(P2634*Q2634+R2634),1))</f>
        <v>0.019520889461882132</v>
      </c>
      <c r="T2634" s="85">
        <f>IF(B2634="",0,$S2634*$K2634)</f>
        <v>6.2946576859851872</v>
      </c>
      <c r="U2634" s="85">
        <f>IF(B2634="",0,IF(OR(H2634=MappingTables!$C$34,H2634=MappingTables!$C$35),T2634,0))</f>
        <v>0</v>
      </c>
      <c r="V2634" s="85">
        <f>IF(ISNA(IF(AND(VLOOKUP(CONCATENATE($D2634,$G2634),CSRFinput!$B:$E,4,0)=0,OR(H2634=MappingTables!$C$34,H2634=MappingTables!$C$35)),1,VLOOKUP(CONCATENATE($D2634,$G2634),CSRFinput!$B:$E,4,0))),0,IF(AND(VLOOKUP(CONCATENATE($D2634,$G2634),CSRFinput!$B:$E,4,0)=0,OR(H2634=MappingTables!$C$34,H2634=MappingTables!$C$35)),1,VLOOKUP(CONCATENATE($D2634,$G2634),CSRFinput!$B:$E,4,0)))</f>
        <v>0.054776304963434752</v>
      </c>
      <c r="W2634" s="85">
        <f>IF(B2634="",0,+$T2634*$V2634)</f>
        <v>0.34479808904795312</v>
      </c>
      <c r="X2634" s="85">
        <f>IF(B2634="",0,IF(OR(H2634=MappingTables!$C$34,H2634=MappingTables!$C$35),W2634,0))</f>
        <v>0</v>
      </c>
    </row>
    <row r="2635" spans="2:24" s="0" customFormat="0" ht="15">
      <c r="B2635" s="69">
        <v>22214087</v>
      </c>
      <c r="C2635" s="70" t="s">
        <v>1950</v>
      </c>
      <c r="D2635" s="70" t="s">
        <v>1</v>
      </c>
      <c r="E2635" s="70" t="s">
        <v>1</v>
      </c>
      <c r="F2635" s="70"/>
      <c r="G2635" s="70" t="s">
        <v>61</v>
      </c>
      <c r="H2635" s="70" t="s">
        <v>178</v>
      </c>
      <c r="I2635" s="70" t="s">
        <v>179</v>
      </c>
      <c r="J2635" s="71">
        <f>IF(OR(I2635=0,I2635=""),"unrated",VLOOKUP(I2635,MappingTables!$B$19:$C$31,2,FALSE))</f>
        <v>4</v>
      </c>
      <c r="K2635" s="72">
        <v>16766.878473325036</v>
      </c>
      <c r="L2635" s="70">
        <v>4.5840849753935384</v>
      </c>
      <c r="M2635" s="71">
        <f>IF(L2635&lt;1,1,L2635)</f>
        <v>4.5840849753935384</v>
      </c>
      <c r="N2635" s="70" t="s">
        <v>141</v>
      </c>
      <c r="O2635" s="71">
        <f>INDEX(DurClassMapping,MATCH(M2635,MappingTables!$D$4:$D$8,-1),1)</f>
        <v>1</v>
      </c>
      <c r="P2635" s="73">
        <f>IF(M2635=$A$1,1,$M2635-INDEX(MappingTables!$E$4:$E$8,MATCH(O2635,MappingTables!$B$4:$B$8,0)))</f>
        <v>4.5840849753935384</v>
      </c>
      <c r="Q2635" s="71">
        <f>IF(B2635="",0,INDEX(ModelParameters!$D$6:$K$10,MATCH($O2635,ModelParameters!$B$6:$B$10,0),MATCH($J2635,ModelParameters!$D$5:$K$5,0)))</f>
        <v>0.045</v>
      </c>
      <c r="R2635" s="71">
        <f>IF(B2635="",0,INDEX(ModelParameters!$D$13:$K$17,MATCH($O2635,ModelParameters!$B$13:$B$17,0),MATCH($J2635,ModelParameters!$D$5:$K$5,0)))</f>
        <v>0</v>
      </c>
      <c r="S2635" s="160">
        <f>IF(B2635="",0,MIN(IF($N2635="Other Bond TM",ModelParameters!$N$21,1)*(P2635*Q2635+R2635),1))</f>
        <v>0.2062838238927092</v>
      </c>
      <c r="T2635" s="85">
        <f>IF(B2635="",0,$S2635*$K2635)</f>
        <v>3458.7358062218392</v>
      </c>
      <c r="U2635" s="85">
        <f>IF(B2635="",0,IF(OR(H2635=MappingTables!$C$34,H2635=MappingTables!$C$35),T2635,0))</f>
        <v>0</v>
      </c>
      <c r="V2635" s="85">
        <f>IF(ISNA(IF(AND(VLOOKUP(CONCATENATE($D2635,$G2635),CSRFinput!$B:$E,4,0)=0,OR(H2635=MappingTables!$C$34,H2635=MappingTables!$C$35)),1,VLOOKUP(CONCATENATE($D2635,$G2635),CSRFinput!$B:$E,4,0))),0,IF(AND(VLOOKUP(CONCATENATE($D2635,$G2635),CSRFinput!$B:$E,4,0)=0,OR(H2635=MappingTables!$C$34,H2635=MappingTables!$C$35)),1,VLOOKUP(CONCATENATE($D2635,$G2635),CSRFinput!$B:$E,4,0)))</f>
        <v>0.054776304963434752</v>
      </c>
      <c r="W2635" s="85">
        <f>IF(B2635="",0,+$T2635*$V2635)</f>
        <v>189.45676730955884</v>
      </c>
      <c r="X2635" s="85">
        <f>IF(B2635="",0,IF(OR(H2635=MappingTables!$C$34,H2635=MappingTables!$C$35),W2635,0))</f>
        <v>0</v>
      </c>
    </row>
    <row r="2636" spans="2:24" s="0" customFormat="0" ht="15">
      <c r="B2636" s="69">
        <v>7175517</v>
      </c>
      <c r="C2636" s="70" t="s">
        <v>2450</v>
      </c>
      <c r="D2636" s="70" t="s">
        <v>1</v>
      </c>
      <c r="E2636" s="70" t="s">
        <v>1</v>
      </c>
      <c r="F2636" s="70"/>
      <c r="G2636" s="70" t="s">
        <v>61</v>
      </c>
      <c r="H2636" s="70" t="s">
        <v>178</v>
      </c>
      <c r="I2636" s="70" t="s">
        <v>198</v>
      </c>
      <c r="J2636" s="71" t="str">
        <f>IF(OR(I2636=0,I2636=""),"unrated",VLOOKUP(I2636,MappingTables!$B$19:$C$31,2,FALSE))</f>
        <v>unrated</v>
      </c>
      <c r="K2636" s="72">
        <v>27.808221135234912</v>
      </c>
      <c r="L2636" s="70">
        <v>2.5301886350619424</v>
      </c>
      <c r="M2636" s="71">
        <f>IF(L2636&lt;1,1,L2636)</f>
        <v>2.5301886350619424</v>
      </c>
      <c r="N2636" s="70" t="s">
        <v>141</v>
      </c>
      <c r="O2636" s="71">
        <f>INDEX(DurClassMapping,MATCH(M2636,MappingTables!$D$4:$D$8,-1),1)</f>
        <v>1</v>
      </c>
      <c r="P2636" s="73">
        <f>IF(M2636=$A$1,1,$M2636-INDEX(MappingTables!$E$4:$E$8,MATCH(O2636,MappingTables!$B$4:$B$8,0)))</f>
        <v>2.5301886350619424</v>
      </c>
      <c r="Q2636" s="71">
        <f>IF(B2636="",0,INDEX(ModelParameters!$D$6:$K$10,MATCH($O2636,ModelParameters!$B$6:$B$10,0),MATCH($J2636,ModelParameters!$D$5:$K$5,0)))</f>
        <v>0.03</v>
      </c>
      <c r="R2636" s="71">
        <f>IF(B2636="",0,INDEX(ModelParameters!$D$13:$K$17,MATCH($O2636,ModelParameters!$B$13:$B$17,0),MATCH($J2636,ModelParameters!$D$5:$K$5,0)))</f>
        <v>0</v>
      </c>
      <c r="S2636" s="160">
        <f>IF(B2636="",0,MIN(IF($N2636="Other Bond TM",ModelParameters!$N$21,1)*(P2636*Q2636+R2636),1))</f>
        <v>0.075905659051858272</v>
      </c>
      <c r="T2636" s="85">
        <f>IF(B2636="",0,$S2636*$K2636)</f>
        <v>2.1108013523298204</v>
      </c>
      <c r="U2636" s="85">
        <f>IF(B2636="",0,IF(OR(H2636=MappingTables!$C$34,H2636=MappingTables!$C$35),T2636,0))</f>
        <v>0</v>
      </c>
      <c r="V2636" s="85">
        <f>IF(ISNA(IF(AND(VLOOKUP(CONCATENATE($D2636,$G2636),CSRFinput!$B:$E,4,0)=0,OR(H2636=MappingTables!$C$34,H2636=MappingTables!$C$35)),1,VLOOKUP(CONCATENATE($D2636,$G2636),CSRFinput!$B:$E,4,0))),0,IF(AND(VLOOKUP(CONCATENATE($D2636,$G2636),CSRFinput!$B:$E,4,0)=0,OR(H2636=MappingTables!$C$34,H2636=MappingTables!$C$35)),1,VLOOKUP(CONCATENATE($D2636,$G2636),CSRFinput!$B:$E,4,0)))</f>
        <v>0.054776304963434752</v>
      </c>
      <c r="W2636" s="85">
        <f>IF(B2636="",0,+$T2636*$V2636)</f>
        <v>0.11562189859244872</v>
      </c>
      <c r="X2636" s="85">
        <f>IF(B2636="",0,IF(OR(H2636=MappingTables!$C$34,H2636=MappingTables!$C$35),W2636,0))</f>
        <v>0</v>
      </c>
    </row>
    <row r="2637" spans="2:24" s="0" customFormat="0" ht="15">
      <c r="B2637" s="69">
        <v>19906434</v>
      </c>
      <c r="C2637" s="70" t="s">
        <v>1799</v>
      </c>
      <c r="D2637" s="70" t="s">
        <v>1</v>
      </c>
      <c r="E2637" s="70" t="s">
        <v>1</v>
      </c>
      <c r="F2637" s="70"/>
      <c r="G2637" s="70" t="s">
        <v>61</v>
      </c>
      <c r="H2637" s="70" t="s">
        <v>178</v>
      </c>
      <c r="I2637" s="70" t="s">
        <v>181</v>
      </c>
      <c r="J2637" s="71">
        <f>IF(OR(I2637=0,I2637=""),"unrated",VLOOKUP(I2637,MappingTables!$B$19:$C$31,2,FALSE))</f>
        <v>3</v>
      </c>
      <c r="K2637" s="72">
        <v>226.63027734993328</v>
      </c>
      <c r="L2637" s="70">
        <v>1.347003357669955</v>
      </c>
      <c r="M2637" s="71">
        <f>IF(L2637&lt;1,1,L2637)</f>
        <v>1.347003357669955</v>
      </c>
      <c r="N2637" s="70" t="s">
        <v>141</v>
      </c>
      <c r="O2637" s="71">
        <f>INDEX(DurClassMapping,MATCH(M2637,MappingTables!$D$4:$D$8,-1),1)</f>
        <v>1</v>
      </c>
      <c r="P2637" s="73">
        <f>IF(M2637=$A$1,1,$M2637-INDEX(MappingTables!$E$4:$E$8,MATCH(O2637,MappingTables!$B$4:$B$8,0)))</f>
        <v>1.347003357669955</v>
      </c>
      <c r="Q2637" s="71">
        <f>IF(B2637="",0,INDEX(ModelParameters!$D$6:$K$10,MATCH($O2637,ModelParameters!$B$6:$B$10,0),MATCH($J2637,ModelParameters!$D$5:$K$5,0)))</f>
        <v>0.025</v>
      </c>
      <c r="R2637" s="71">
        <f>IF(B2637="",0,INDEX(ModelParameters!$D$13:$K$17,MATCH($O2637,ModelParameters!$B$13:$B$17,0),MATCH($J2637,ModelParameters!$D$5:$K$5,0)))</f>
        <v>0</v>
      </c>
      <c r="S2637" s="160">
        <f>IF(B2637="",0,MIN(IF($N2637="Other Bond TM",ModelParameters!$N$21,1)*(P2637*Q2637+R2637),1))</f>
        <v>0.033675083941748876</v>
      </c>
      <c r="T2637" s="85">
        <f>IF(B2637="",0,$S2637*$K2637)</f>
        <v>7.631793613500832</v>
      </c>
      <c r="U2637" s="85">
        <f>IF(B2637="",0,IF(OR(H2637=MappingTables!$C$34,H2637=MappingTables!$C$35),T2637,0))</f>
        <v>0</v>
      </c>
      <c r="V2637" s="85">
        <f>IF(ISNA(IF(AND(VLOOKUP(CONCATENATE($D2637,$G2637),CSRFinput!$B:$E,4,0)=0,OR(H2637=MappingTables!$C$34,H2637=MappingTables!$C$35)),1,VLOOKUP(CONCATENATE($D2637,$G2637),CSRFinput!$B:$E,4,0))),0,IF(AND(VLOOKUP(CONCATENATE($D2637,$G2637),CSRFinput!$B:$E,4,0)=0,OR(H2637=MappingTables!$C$34,H2637=MappingTables!$C$35)),1,VLOOKUP(CONCATENATE($D2637,$G2637),CSRFinput!$B:$E,4,0)))</f>
        <v>0.054776304963434752</v>
      </c>
      <c r="W2637" s="85">
        <f>IF(B2637="",0,+$T2637*$V2637)</f>
        <v>0.41804145439111528</v>
      </c>
      <c r="X2637" s="85">
        <f>IF(B2637="",0,IF(OR(H2637=MappingTables!$C$34,H2637=MappingTables!$C$35),W2637,0))</f>
        <v>0</v>
      </c>
    </row>
    <row r="2638" spans="2:24" s="0" customFormat="0" ht="15">
      <c r="B2638" s="69">
        <v>12495001</v>
      </c>
      <c r="C2638" s="70" t="s">
        <v>657</v>
      </c>
      <c r="D2638" s="70" t="s">
        <v>1</v>
      </c>
      <c r="E2638" s="70" t="s">
        <v>1</v>
      </c>
      <c r="F2638" s="70"/>
      <c r="G2638" s="70" t="s">
        <v>61</v>
      </c>
      <c r="H2638" s="70" t="s">
        <v>178</v>
      </c>
      <c r="I2638" s="70" t="s">
        <v>179</v>
      </c>
      <c r="J2638" s="71">
        <f>IF(OR(I2638=0,I2638=""),"unrated",VLOOKUP(I2638,MappingTables!$B$19:$C$31,2,FALSE))</f>
        <v>4</v>
      </c>
      <c r="K2638" s="72">
        <v>90.370190748217392</v>
      </c>
      <c r="L2638" s="70">
        <v>0.087672956659910896</v>
      </c>
      <c r="M2638" s="71">
        <f>IF(L2638&lt;1,1,L2638)</f>
        <v>1</v>
      </c>
      <c r="N2638" s="70" t="s">
        <v>141</v>
      </c>
      <c r="O2638" s="71">
        <f>INDEX(DurClassMapping,MATCH(M2638,MappingTables!$D$4:$D$8,-1),1)</f>
        <v>1</v>
      </c>
      <c r="P2638" s="73">
        <f>IF(M2638=$A$1,1,$M2638-INDEX(MappingTables!$E$4:$E$8,MATCH(O2638,MappingTables!$B$4:$B$8,0)))</f>
        <v>1</v>
      </c>
      <c r="Q2638" s="71">
        <f>IF(B2638="",0,INDEX(ModelParameters!$D$6:$K$10,MATCH($O2638,ModelParameters!$B$6:$B$10,0),MATCH($J2638,ModelParameters!$D$5:$K$5,0)))</f>
        <v>0.045</v>
      </c>
      <c r="R2638" s="71">
        <f>IF(B2638="",0,INDEX(ModelParameters!$D$13:$K$17,MATCH($O2638,ModelParameters!$B$13:$B$17,0),MATCH($J2638,ModelParameters!$D$5:$K$5,0)))</f>
        <v>0</v>
      </c>
      <c r="S2638" s="160">
        <f>IF(B2638="",0,MIN(IF($N2638="Other Bond TM",ModelParameters!$N$21,1)*(P2638*Q2638+R2638),1))</f>
        <v>0.045</v>
      </c>
      <c r="T2638" s="85">
        <f>IF(B2638="",0,$S2638*$K2638)</f>
        <v>4.0666585836697832</v>
      </c>
      <c r="U2638" s="85">
        <f>IF(B2638="",0,IF(OR(H2638=MappingTables!$C$34,H2638=MappingTables!$C$35),T2638,0))</f>
        <v>0</v>
      </c>
      <c r="V2638" s="85">
        <f>IF(ISNA(IF(AND(VLOOKUP(CONCATENATE($D2638,$G2638),CSRFinput!$B:$E,4,0)=0,OR(H2638=MappingTables!$C$34,H2638=MappingTables!$C$35)),1,VLOOKUP(CONCATENATE($D2638,$G2638),CSRFinput!$B:$E,4,0))),0,IF(AND(VLOOKUP(CONCATENATE($D2638,$G2638),CSRFinput!$B:$E,4,0)=0,OR(H2638=MappingTables!$C$34,H2638=MappingTables!$C$35)),1,VLOOKUP(CONCATENATE($D2638,$G2638),CSRFinput!$B:$E,4,0)))</f>
        <v>0.054776304963434752</v>
      </c>
      <c r="W2638" s="85">
        <f>IF(B2638="",0,+$T2638*$V2638)</f>
        <v>0.22275653076126568</v>
      </c>
      <c r="X2638" s="85">
        <f>IF(B2638="",0,IF(OR(H2638=MappingTables!$C$34,H2638=MappingTables!$C$35),W2638,0))</f>
        <v>0</v>
      </c>
    </row>
    <row r="2639" spans="2:24" s="0" customFormat="0" ht="15">
      <c r="B2639" s="69">
        <v>22927469</v>
      </c>
      <c r="C2639" s="70" t="s">
        <v>736</v>
      </c>
      <c r="D2639" s="70" t="s">
        <v>1</v>
      </c>
      <c r="E2639" s="70" t="s">
        <v>1</v>
      </c>
      <c r="F2639" s="70"/>
      <c r="G2639" s="70" t="s">
        <v>61</v>
      </c>
      <c r="H2639" s="70" t="s">
        <v>178</v>
      </c>
      <c r="I2639" s="70" t="s">
        <v>188</v>
      </c>
      <c r="J2639" s="71">
        <f>IF(OR(I2639=0,I2639=""),"unrated",VLOOKUP(I2639,MappingTables!$B$19:$C$31,2,FALSE))</f>
        <v>2</v>
      </c>
      <c r="K2639" s="72">
        <v>1191.8861599853112</v>
      </c>
      <c r="L2639" s="70">
        <v>1.00054142698571</v>
      </c>
      <c r="M2639" s="71">
        <f>IF(L2639&lt;1,1,L2639)</f>
        <v>1.00054142698571</v>
      </c>
      <c r="N2639" s="70" t="s">
        <v>141</v>
      </c>
      <c r="O2639" s="71">
        <f>INDEX(DurClassMapping,MATCH(M2639,MappingTables!$D$4:$D$8,-1),1)</f>
        <v>1</v>
      </c>
      <c r="P2639" s="73">
        <f>IF(M2639=$A$1,1,$M2639-INDEX(MappingTables!$E$4:$E$8,MATCH(O2639,MappingTables!$B$4:$B$8,0)))</f>
        <v>1.00054142698571</v>
      </c>
      <c r="Q2639" s="71">
        <f>IF(B2639="",0,INDEX(ModelParameters!$D$6:$K$10,MATCH($O2639,ModelParameters!$B$6:$B$10,0),MATCH($J2639,ModelParameters!$D$5:$K$5,0)))</f>
        <v>0.013999999999999998</v>
      </c>
      <c r="R2639" s="71">
        <f>IF(B2639="",0,INDEX(ModelParameters!$D$13:$K$17,MATCH($O2639,ModelParameters!$B$13:$B$17,0),MATCH($J2639,ModelParameters!$D$5:$K$5,0)))</f>
        <v>0</v>
      </c>
      <c r="S2639" s="160">
        <f>IF(B2639="",0,MIN(IF($N2639="Other Bond TM",ModelParameters!$N$21,1)*(P2639*Q2639+R2639),1))</f>
        <v>0.01400757997779994</v>
      </c>
      <c r="T2639" s="85">
        <f>IF(B2639="",0,$S2639*$K2639)</f>
        <v>16.6954407104271</v>
      </c>
      <c r="U2639" s="85">
        <f>IF(B2639="",0,IF(OR(H2639=MappingTables!$C$34,H2639=MappingTables!$C$35),T2639,0))</f>
        <v>0</v>
      </c>
      <c r="V2639" s="85">
        <f>IF(ISNA(IF(AND(VLOOKUP(CONCATENATE($D2639,$G2639),CSRFinput!$B:$E,4,0)=0,OR(H2639=MappingTables!$C$34,H2639=MappingTables!$C$35)),1,VLOOKUP(CONCATENATE($D2639,$G2639),CSRFinput!$B:$E,4,0))),0,IF(AND(VLOOKUP(CONCATENATE($D2639,$G2639),CSRFinput!$B:$E,4,0)=0,OR(H2639=MappingTables!$C$34,H2639=MappingTables!$C$35)),1,VLOOKUP(CONCATENATE($D2639,$G2639),CSRFinput!$B:$E,4,0)))</f>
        <v>0.054776304963434752</v>
      </c>
      <c r="W2639" s="85">
        <f>IF(B2639="",0,+$T2639*$V2639)</f>
        <v>0.91451455185329856</v>
      </c>
      <c r="X2639" s="85">
        <f>IF(B2639="",0,IF(OR(H2639=MappingTables!$C$34,H2639=MappingTables!$C$35),W2639,0))</f>
        <v>0</v>
      </c>
    </row>
    <row r="2640" spans="2:24" s="0" customFormat="0" ht="15">
      <c r="B2640" s="69">
        <v>22048320</v>
      </c>
      <c r="C2640" s="70" t="s">
        <v>1844</v>
      </c>
      <c r="D2640" s="70" t="s">
        <v>1</v>
      </c>
      <c r="E2640" s="70" t="s">
        <v>1</v>
      </c>
      <c r="F2640" s="70"/>
      <c r="G2640" s="70" t="s">
        <v>61</v>
      </c>
      <c r="H2640" s="70" t="s">
        <v>178</v>
      </c>
      <c r="I2640" s="70" t="s">
        <v>179</v>
      </c>
      <c r="J2640" s="71">
        <f>IF(OR(I2640=0,I2640=""),"unrated",VLOOKUP(I2640,MappingTables!$B$19:$C$31,2,FALSE))</f>
        <v>4</v>
      </c>
      <c r="K2640" s="72">
        <v>161.66481481627766</v>
      </c>
      <c r="L2640" s="70">
        <v>1.0032498491804466</v>
      </c>
      <c r="M2640" s="71">
        <f>IF(L2640&lt;1,1,L2640)</f>
        <v>1.0032498491804466</v>
      </c>
      <c r="N2640" s="70" t="s">
        <v>141</v>
      </c>
      <c r="O2640" s="71">
        <f>INDEX(DurClassMapping,MATCH(M2640,MappingTables!$D$4:$D$8,-1),1)</f>
        <v>1</v>
      </c>
      <c r="P2640" s="73">
        <f>IF(M2640=$A$1,1,$M2640-INDEX(MappingTables!$E$4:$E$8,MATCH(O2640,MappingTables!$B$4:$B$8,0)))</f>
        <v>1.0032498491804466</v>
      </c>
      <c r="Q2640" s="71">
        <f>IF(B2640="",0,INDEX(ModelParameters!$D$6:$K$10,MATCH($O2640,ModelParameters!$B$6:$B$10,0),MATCH($J2640,ModelParameters!$D$5:$K$5,0)))</f>
        <v>0.045</v>
      </c>
      <c r="R2640" s="71">
        <f>IF(B2640="",0,INDEX(ModelParameters!$D$13:$K$17,MATCH($O2640,ModelParameters!$B$13:$B$17,0),MATCH($J2640,ModelParameters!$D$5:$K$5,0)))</f>
        <v>0</v>
      </c>
      <c r="S2640" s="160">
        <f>IF(B2640="",0,MIN(IF($N2640="Other Bond TM",ModelParameters!$N$21,1)*(P2640*Q2640+R2640),1))</f>
        <v>0.045146243213120104</v>
      </c>
      <c r="T2640" s="85">
        <f>IF(B2640="",0,$S2640*$K2640)</f>
        <v>7.2985590486996928</v>
      </c>
      <c r="U2640" s="85">
        <f>IF(B2640="",0,IF(OR(H2640=MappingTables!$C$34,H2640=MappingTables!$C$35),T2640,0))</f>
        <v>0</v>
      </c>
      <c r="V2640" s="85">
        <f>IF(ISNA(IF(AND(VLOOKUP(CONCATENATE($D2640,$G2640),CSRFinput!$B:$E,4,0)=0,OR(H2640=MappingTables!$C$34,H2640=MappingTables!$C$35)),1,VLOOKUP(CONCATENATE($D2640,$G2640),CSRFinput!$B:$E,4,0))),0,IF(AND(VLOOKUP(CONCATENATE($D2640,$G2640),CSRFinput!$B:$E,4,0)=0,OR(H2640=MappingTables!$C$34,H2640=MappingTables!$C$35)),1,VLOOKUP(CONCATENATE($D2640,$G2640),CSRFinput!$B:$E,4,0)))</f>
        <v>0.054776304963434752</v>
      </c>
      <c r="W2640" s="85">
        <f>IF(B2640="",0,+$T2640*$V2640)</f>
        <v>0.39978809624521064</v>
      </c>
      <c r="X2640" s="85">
        <f>IF(B2640="",0,IF(OR(H2640=MappingTables!$C$34,H2640=MappingTables!$C$35),W2640,0))</f>
        <v>0</v>
      </c>
    </row>
    <row r="2641" spans="2:24" s="0" customFormat="0" ht="15">
      <c r="B2641" s="69">
        <v>16080750</v>
      </c>
      <c r="C2641" s="70" t="s">
        <v>2519</v>
      </c>
      <c r="D2641" s="70" t="s">
        <v>1</v>
      </c>
      <c r="E2641" s="70" t="s">
        <v>1</v>
      </c>
      <c r="F2641" s="70"/>
      <c r="G2641" s="70" t="s">
        <v>61</v>
      </c>
      <c r="H2641" s="70" t="s">
        <v>178</v>
      </c>
      <c r="I2641" s="70" t="s">
        <v>220</v>
      </c>
      <c r="J2641" s="71">
        <f>IF(OR(I2641=0,I2641=""),"unrated",VLOOKUP(I2641,MappingTables!$B$19:$C$31,2,FALSE))</f>
        <v>1</v>
      </c>
      <c r="K2641" s="72">
        <v>30.686646945416084</v>
      </c>
      <c r="L2641" s="70">
        <v>0.28219358029727572</v>
      </c>
      <c r="M2641" s="71">
        <f>IF(L2641&lt;1,1,L2641)</f>
        <v>1</v>
      </c>
      <c r="N2641" s="70" t="s">
        <v>141</v>
      </c>
      <c r="O2641" s="71">
        <f>INDEX(DurClassMapping,MATCH(M2641,MappingTables!$D$4:$D$8,-1),1)</f>
        <v>1</v>
      </c>
      <c r="P2641" s="73">
        <f>IF(M2641=$A$1,1,$M2641-INDEX(MappingTables!$E$4:$E$8,MATCH(O2641,MappingTables!$B$4:$B$8,0)))</f>
        <v>1</v>
      </c>
      <c r="Q2641" s="71">
        <f>IF(B2641="",0,INDEX(ModelParameters!$D$6:$K$10,MATCH($O2641,ModelParameters!$B$6:$B$10,0),MATCH($J2641,ModelParameters!$D$5:$K$5,0)))</f>
        <v>0.011000000000000002</v>
      </c>
      <c r="R2641" s="71">
        <f>IF(B2641="",0,INDEX(ModelParameters!$D$13:$K$17,MATCH($O2641,ModelParameters!$B$13:$B$17,0),MATCH($J2641,ModelParameters!$D$5:$K$5,0)))</f>
        <v>0</v>
      </c>
      <c r="S2641" s="160">
        <f>IF(B2641="",0,MIN(IF($N2641="Other Bond TM",ModelParameters!$N$21,1)*(P2641*Q2641+R2641),1))</f>
        <v>0.011000000000000002</v>
      </c>
      <c r="T2641" s="85">
        <f>IF(B2641="",0,$S2641*$K2641)</f>
        <v>0.33755311639957696</v>
      </c>
      <c r="U2641" s="85">
        <f>IF(B2641="",0,IF(OR(H2641=MappingTables!$C$34,H2641=MappingTables!$C$35),T2641,0))</f>
        <v>0</v>
      </c>
      <c r="V2641" s="85">
        <f>IF(ISNA(IF(AND(VLOOKUP(CONCATENATE($D2641,$G2641),CSRFinput!$B:$E,4,0)=0,OR(H2641=MappingTables!$C$34,H2641=MappingTables!$C$35)),1,VLOOKUP(CONCATENATE($D2641,$G2641),CSRFinput!$B:$E,4,0))),0,IF(AND(VLOOKUP(CONCATENATE($D2641,$G2641),CSRFinput!$B:$E,4,0)=0,OR(H2641=MappingTables!$C$34,H2641=MappingTables!$C$35)),1,VLOOKUP(CONCATENATE($D2641,$G2641),CSRFinput!$B:$E,4,0)))</f>
        <v>0.054776304963434752</v>
      </c>
      <c r="W2641" s="85">
        <f>IF(B2641="",0,+$T2641*$V2641)</f>
        <v>0.018489912445261016</v>
      </c>
      <c r="X2641" s="85">
        <f>IF(B2641="",0,IF(OR(H2641=MappingTables!$C$34,H2641=MappingTables!$C$35),W2641,0))</f>
        <v>0</v>
      </c>
    </row>
    <row r="2642" spans="2:24" s="0" customFormat="0" ht="15">
      <c r="B2642" s="69">
        <v>14691120</v>
      </c>
      <c r="C2642" s="70" t="s">
        <v>1432</v>
      </c>
      <c r="D2642" s="70" t="s">
        <v>1</v>
      </c>
      <c r="E2642" s="70" t="s">
        <v>1</v>
      </c>
      <c r="F2642" s="70"/>
      <c r="G2642" s="70" t="s">
        <v>61</v>
      </c>
      <c r="H2642" s="70" t="s">
        <v>178</v>
      </c>
      <c r="I2642" s="70" t="s">
        <v>188</v>
      </c>
      <c r="J2642" s="71">
        <f>IF(OR(I2642=0,I2642=""),"unrated",VLOOKUP(I2642,MappingTables!$B$19:$C$31,2,FALSE))</f>
        <v>2</v>
      </c>
      <c r="K2642" s="72">
        <v>413.0656663056324</v>
      </c>
      <c r="L2642" s="70">
        <v>1.613893815291284</v>
      </c>
      <c r="M2642" s="71">
        <f>IF(L2642&lt;1,1,L2642)</f>
        <v>1.613893815291284</v>
      </c>
      <c r="N2642" s="70" t="s">
        <v>141</v>
      </c>
      <c r="O2642" s="71">
        <f>INDEX(DurClassMapping,MATCH(M2642,MappingTables!$D$4:$D$8,-1),1)</f>
        <v>1</v>
      </c>
      <c r="P2642" s="73">
        <f>IF(M2642=$A$1,1,$M2642-INDEX(MappingTables!$E$4:$E$8,MATCH(O2642,MappingTables!$B$4:$B$8,0)))</f>
        <v>1.613893815291284</v>
      </c>
      <c r="Q2642" s="71">
        <f>IF(B2642="",0,INDEX(ModelParameters!$D$6:$K$10,MATCH($O2642,ModelParameters!$B$6:$B$10,0),MATCH($J2642,ModelParameters!$D$5:$K$5,0)))</f>
        <v>0.013999999999999998</v>
      </c>
      <c r="R2642" s="71">
        <f>IF(B2642="",0,INDEX(ModelParameters!$D$13:$K$17,MATCH($O2642,ModelParameters!$B$13:$B$17,0),MATCH($J2642,ModelParameters!$D$5:$K$5,0)))</f>
        <v>0</v>
      </c>
      <c r="S2642" s="160">
        <f>IF(B2642="",0,MIN(IF($N2642="Other Bond TM",ModelParameters!$N$21,1)*(P2642*Q2642+R2642),1))</f>
        <v>0.022594513414077972</v>
      </c>
      <c r="T2642" s="85">
        <f>IF(B2642="",0,$S2642*$K2642)</f>
        <v>9.3330177382376688</v>
      </c>
      <c r="U2642" s="85">
        <f>IF(B2642="",0,IF(OR(H2642=MappingTables!$C$34,H2642=MappingTables!$C$35),T2642,0))</f>
        <v>0</v>
      </c>
      <c r="V2642" s="85">
        <f>IF(ISNA(IF(AND(VLOOKUP(CONCATENATE($D2642,$G2642),CSRFinput!$B:$E,4,0)=0,OR(H2642=MappingTables!$C$34,H2642=MappingTables!$C$35)),1,VLOOKUP(CONCATENATE($D2642,$G2642),CSRFinput!$B:$E,4,0))),0,IF(AND(VLOOKUP(CONCATENATE($D2642,$G2642),CSRFinput!$B:$E,4,0)=0,OR(H2642=MappingTables!$C$34,H2642=MappingTables!$C$35)),1,VLOOKUP(CONCATENATE($D2642,$G2642),CSRFinput!$B:$E,4,0)))</f>
        <v>0.054776304963434752</v>
      </c>
      <c r="W2642" s="85">
        <f>IF(B2642="",0,+$T2642*$V2642)</f>
        <v>0.51122822585885264</v>
      </c>
      <c r="X2642" s="85">
        <f>IF(B2642="",0,IF(OR(H2642=MappingTables!$C$34,H2642=MappingTables!$C$35),W2642,0))</f>
        <v>0</v>
      </c>
    </row>
    <row r="2643" spans="2:24" s="0" customFormat="0" ht="15">
      <c r="B2643" s="69" t="s">
        <v>2520</v>
      </c>
      <c r="C2643" s="70" t="s">
        <v>2521</v>
      </c>
      <c r="D2643" s="70" t="s">
        <v>1</v>
      </c>
      <c r="E2643" s="70" t="s">
        <v>1</v>
      </c>
      <c r="F2643" s="70"/>
      <c r="G2643" s="70" t="s">
        <v>61</v>
      </c>
      <c r="H2643" s="70" t="s">
        <v>178</v>
      </c>
      <c r="I2643" s="70" t="s">
        <v>184</v>
      </c>
      <c r="J2643" s="71">
        <f>IF(OR(I2643=0,I2643=""),"unrated",VLOOKUP(I2643,MappingTables!$B$19:$C$31,2,FALSE))</f>
        <v>5</v>
      </c>
      <c r="K2643" s="72">
        <v>540.67217640365536</v>
      </c>
      <c r="L2643" s="70">
        <v>0.41644101813292336</v>
      </c>
      <c r="M2643" s="71">
        <f>IF(L2643&lt;1,1,L2643)</f>
        <v>1</v>
      </c>
      <c r="N2643" s="70" t="s">
        <v>141</v>
      </c>
      <c r="O2643" s="71">
        <f>INDEX(DurClassMapping,MATCH(M2643,MappingTables!$D$4:$D$8,-1),1)</f>
        <v>1</v>
      </c>
      <c r="P2643" s="73">
        <f>IF(M2643=$A$1,1,$M2643-INDEX(MappingTables!$E$4:$E$8,MATCH(O2643,MappingTables!$B$4:$B$8,0)))</f>
        <v>1</v>
      </c>
      <c r="Q2643" s="71">
        <f>IF(B2643="",0,INDEX(ModelParameters!$D$6:$K$10,MATCH($O2643,ModelParameters!$B$6:$B$10,0),MATCH($J2643,ModelParameters!$D$5:$K$5,0)))</f>
        <v>0.075</v>
      </c>
      <c r="R2643" s="71">
        <f>IF(B2643="",0,INDEX(ModelParameters!$D$13:$K$17,MATCH($O2643,ModelParameters!$B$13:$B$17,0),MATCH($J2643,ModelParameters!$D$5:$K$5,0)))</f>
        <v>0</v>
      </c>
      <c r="S2643" s="160">
        <f>IF(B2643="",0,MIN(IF($N2643="Other Bond TM",ModelParameters!$N$21,1)*(P2643*Q2643+R2643),1))</f>
        <v>0.075</v>
      </c>
      <c r="T2643" s="85">
        <f>IF(B2643="",0,$S2643*$K2643)</f>
        <v>40.550413230274152</v>
      </c>
      <c r="U2643" s="85">
        <f>IF(B2643="",0,IF(OR(H2643=MappingTables!$C$34,H2643=MappingTables!$C$35),T2643,0))</f>
        <v>0</v>
      </c>
      <c r="V2643" s="85">
        <f>IF(ISNA(IF(AND(VLOOKUP(CONCATENATE($D2643,$G2643),CSRFinput!$B:$E,4,0)=0,OR(H2643=MappingTables!$C$34,H2643=MappingTables!$C$35)),1,VLOOKUP(CONCATENATE($D2643,$G2643),CSRFinput!$B:$E,4,0))),0,IF(AND(VLOOKUP(CONCATENATE($D2643,$G2643),CSRFinput!$B:$E,4,0)=0,OR(H2643=MappingTables!$C$34,H2643=MappingTables!$C$35)),1,VLOOKUP(CONCATENATE($D2643,$G2643),CSRFinput!$B:$E,4,0)))</f>
        <v>0.054776304963434752</v>
      </c>
      <c r="W2643" s="85">
        <f>IF(B2643="",0,+$T2643*$V2643)</f>
        <v>2.2212018014947964</v>
      </c>
      <c r="X2643" s="85">
        <f>IF(B2643="",0,IF(OR(H2643=MappingTables!$C$34,H2643=MappingTables!$C$35),W2643,0))</f>
        <v>0</v>
      </c>
    </row>
    <row r="2644" spans="2:24" s="0" customFormat="0" ht="15">
      <c r="B2644" s="69">
        <v>5325710</v>
      </c>
      <c r="C2644" s="70" t="s">
        <v>1263</v>
      </c>
      <c r="D2644" s="70" t="s">
        <v>1</v>
      </c>
      <c r="E2644" s="70" t="s">
        <v>1</v>
      </c>
      <c r="F2644" s="70"/>
      <c r="G2644" s="70" t="s">
        <v>61</v>
      </c>
      <c r="H2644" s="70" t="s">
        <v>178</v>
      </c>
      <c r="I2644" s="70" t="s">
        <v>181</v>
      </c>
      <c r="J2644" s="71">
        <f>IF(OR(I2644=0,I2644=""),"unrated",VLOOKUP(I2644,MappingTables!$B$19:$C$31,2,FALSE))</f>
        <v>3</v>
      </c>
      <c r="K2644" s="72">
        <v>88808.482783459664</v>
      </c>
      <c r="L2644" s="70">
        <v>1.7563041218995402</v>
      </c>
      <c r="M2644" s="71">
        <f>IF(L2644&lt;1,1,L2644)</f>
        <v>1.7563041218995402</v>
      </c>
      <c r="N2644" s="70" t="s">
        <v>141</v>
      </c>
      <c r="O2644" s="71">
        <f>INDEX(DurClassMapping,MATCH(M2644,MappingTables!$D$4:$D$8,-1),1)</f>
        <v>1</v>
      </c>
      <c r="P2644" s="73">
        <f>IF(M2644=$A$1,1,$M2644-INDEX(MappingTables!$E$4:$E$8,MATCH(O2644,MappingTables!$B$4:$B$8,0)))</f>
        <v>1.7563041218995402</v>
      </c>
      <c r="Q2644" s="71">
        <f>IF(B2644="",0,INDEX(ModelParameters!$D$6:$K$10,MATCH($O2644,ModelParameters!$B$6:$B$10,0),MATCH($J2644,ModelParameters!$D$5:$K$5,0)))</f>
        <v>0.025</v>
      </c>
      <c r="R2644" s="71">
        <f>IF(B2644="",0,INDEX(ModelParameters!$D$13:$K$17,MATCH($O2644,ModelParameters!$B$13:$B$17,0),MATCH($J2644,ModelParameters!$D$5:$K$5,0)))</f>
        <v>0</v>
      </c>
      <c r="S2644" s="160">
        <f>IF(B2644="",0,MIN(IF($N2644="Other Bond TM",ModelParameters!$N$21,1)*(P2644*Q2644+R2644),1))</f>
        <v>0.043907603047488504</v>
      </c>
      <c r="T2644" s="85">
        <f>IF(B2644="",0,$S2644*$K2644)</f>
        <v>3899.367609305864</v>
      </c>
      <c r="U2644" s="85">
        <f>IF(B2644="",0,IF(OR(H2644=MappingTables!$C$34,H2644=MappingTables!$C$35),T2644,0))</f>
        <v>0</v>
      </c>
      <c r="V2644" s="85">
        <f>IF(ISNA(IF(AND(VLOOKUP(CONCATENATE($D2644,$G2644),CSRFinput!$B:$E,4,0)=0,OR(H2644=MappingTables!$C$34,H2644=MappingTables!$C$35)),1,VLOOKUP(CONCATENATE($D2644,$G2644),CSRFinput!$B:$E,4,0))),0,IF(AND(VLOOKUP(CONCATENATE($D2644,$G2644),CSRFinput!$B:$E,4,0)=0,OR(H2644=MappingTables!$C$34,H2644=MappingTables!$C$35)),1,VLOOKUP(CONCATENATE($D2644,$G2644),CSRFinput!$B:$E,4,0)))</f>
        <v>0.054776304963434752</v>
      </c>
      <c r="W2644" s="85">
        <f>IF(B2644="",0,+$T2644*$V2644)</f>
        <v>213.59294933187748</v>
      </c>
      <c r="X2644" s="85">
        <f>IF(B2644="",0,IF(OR(H2644=MappingTables!$C$34,H2644=MappingTables!$C$35),W2644,0))</f>
        <v>0</v>
      </c>
    </row>
    <row r="2645" spans="2:24" s="0" customFormat="0" ht="15">
      <c r="B2645" s="69">
        <v>13162715</v>
      </c>
      <c r="C2645" s="70" t="s">
        <v>2522</v>
      </c>
      <c r="D2645" s="70" t="s">
        <v>1</v>
      </c>
      <c r="E2645" s="70" t="s">
        <v>1</v>
      </c>
      <c r="F2645" s="70"/>
      <c r="G2645" s="70" t="s">
        <v>61</v>
      </c>
      <c r="H2645" s="70" t="s">
        <v>178</v>
      </c>
      <c r="I2645" s="70" t="s">
        <v>181</v>
      </c>
      <c r="J2645" s="71">
        <f>IF(OR(I2645=0,I2645=""),"unrated",VLOOKUP(I2645,MappingTables!$B$19:$C$31,2,FALSE))</f>
        <v>3</v>
      </c>
      <c r="K2645" s="72">
        <v>789.30641262074464</v>
      </c>
      <c r="L2645" s="70">
        <v>0.9881748290620384</v>
      </c>
      <c r="M2645" s="71">
        <f>IF(L2645&lt;1,1,L2645)</f>
        <v>1</v>
      </c>
      <c r="N2645" s="70" t="s">
        <v>141</v>
      </c>
      <c r="O2645" s="71">
        <f>INDEX(DurClassMapping,MATCH(M2645,MappingTables!$D$4:$D$8,-1),1)</f>
        <v>1</v>
      </c>
      <c r="P2645" s="73">
        <f>IF(M2645=$A$1,1,$M2645-INDEX(MappingTables!$E$4:$E$8,MATCH(O2645,MappingTables!$B$4:$B$8,0)))</f>
        <v>1</v>
      </c>
      <c r="Q2645" s="71">
        <f>IF(B2645="",0,INDEX(ModelParameters!$D$6:$K$10,MATCH($O2645,ModelParameters!$B$6:$B$10,0),MATCH($J2645,ModelParameters!$D$5:$K$5,0)))</f>
        <v>0.025</v>
      </c>
      <c r="R2645" s="71">
        <f>IF(B2645="",0,INDEX(ModelParameters!$D$13:$K$17,MATCH($O2645,ModelParameters!$B$13:$B$17,0),MATCH($J2645,ModelParameters!$D$5:$K$5,0)))</f>
        <v>0</v>
      </c>
      <c r="S2645" s="160">
        <f>IF(B2645="",0,MIN(IF($N2645="Other Bond TM",ModelParameters!$N$21,1)*(P2645*Q2645+R2645),1))</f>
        <v>0.025</v>
      </c>
      <c r="T2645" s="85">
        <f>IF(B2645="",0,$S2645*$K2645)</f>
        <v>19.732660315518616</v>
      </c>
      <c r="U2645" s="85">
        <f>IF(B2645="",0,IF(OR(H2645=MappingTables!$C$34,H2645=MappingTables!$C$35),T2645,0))</f>
        <v>0</v>
      </c>
      <c r="V2645" s="85">
        <f>IF(ISNA(IF(AND(VLOOKUP(CONCATENATE($D2645,$G2645),CSRFinput!$B:$E,4,0)=0,OR(H2645=MappingTables!$C$34,H2645=MappingTables!$C$35)),1,VLOOKUP(CONCATENATE($D2645,$G2645),CSRFinput!$B:$E,4,0))),0,IF(AND(VLOOKUP(CONCATENATE($D2645,$G2645),CSRFinput!$B:$E,4,0)=0,OR(H2645=MappingTables!$C$34,H2645=MappingTables!$C$35)),1,VLOOKUP(CONCATENATE($D2645,$G2645),CSRFinput!$B:$E,4,0)))</f>
        <v>0.054776304963434752</v>
      </c>
      <c r="W2645" s="85">
        <f>IF(B2645="",0,+$T2645*$V2645)</f>
        <v>1.0808822191827144</v>
      </c>
      <c r="X2645" s="85">
        <f>IF(B2645="",0,IF(OR(H2645=MappingTables!$C$34,H2645=MappingTables!$C$35),W2645,0))</f>
        <v>0</v>
      </c>
    </row>
    <row r="2646" spans="2:24" s="0" customFormat="0" ht="15">
      <c r="B2646" s="69">
        <v>19666469</v>
      </c>
      <c r="C2646" s="70" t="s">
        <v>2523</v>
      </c>
      <c r="D2646" s="70" t="s">
        <v>1</v>
      </c>
      <c r="E2646" s="70" t="s">
        <v>1</v>
      </c>
      <c r="F2646" s="70"/>
      <c r="G2646" s="70" t="s">
        <v>61</v>
      </c>
      <c r="H2646" s="70" t="s">
        <v>178</v>
      </c>
      <c r="I2646" s="70" t="s">
        <v>220</v>
      </c>
      <c r="J2646" s="71">
        <f>IF(OR(I2646=0,I2646=""),"unrated",VLOOKUP(I2646,MappingTables!$B$19:$C$31,2,FALSE))</f>
        <v>1</v>
      </c>
      <c r="K2646" s="72">
        <v>324.36207309436792</v>
      </c>
      <c r="L2646" s="70">
        <v>1.1954790001009208</v>
      </c>
      <c r="M2646" s="71">
        <f>IF(L2646&lt;1,1,L2646)</f>
        <v>1.1954790001009208</v>
      </c>
      <c r="N2646" s="70" t="s">
        <v>141</v>
      </c>
      <c r="O2646" s="71">
        <f>INDEX(DurClassMapping,MATCH(M2646,MappingTables!$D$4:$D$8,-1),1)</f>
        <v>1</v>
      </c>
      <c r="P2646" s="73">
        <f>IF(M2646=$A$1,1,$M2646-INDEX(MappingTables!$E$4:$E$8,MATCH(O2646,MappingTables!$B$4:$B$8,0)))</f>
        <v>1.1954790001009208</v>
      </c>
      <c r="Q2646" s="71">
        <f>IF(B2646="",0,INDEX(ModelParameters!$D$6:$K$10,MATCH($O2646,ModelParameters!$B$6:$B$10,0),MATCH($J2646,ModelParameters!$D$5:$K$5,0)))</f>
        <v>0.011000000000000002</v>
      </c>
      <c r="R2646" s="71">
        <f>IF(B2646="",0,INDEX(ModelParameters!$D$13:$K$17,MATCH($O2646,ModelParameters!$B$13:$B$17,0),MATCH($J2646,ModelParameters!$D$5:$K$5,0)))</f>
        <v>0</v>
      </c>
      <c r="S2646" s="160">
        <f>IF(B2646="",0,MIN(IF($N2646="Other Bond TM",ModelParameters!$N$21,1)*(P2646*Q2646+R2646),1))</f>
        <v>0.01315026900111013</v>
      </c>
      <c r="T2646" s="85">
        <f>IF(B2646="",0,$S2646*$K2646)</f>
        <v>4.2654485149486848</v>
      </c>
      <c r="U2646" s="85">
        <f>IF(B2646="",0,IF(OR(H2646=MappingTables!$C$34,H2646=MappingTables!$C$35),T2646,0))</f>
        <v>0</v>
      </c>
      <c r="V2646" s="85">
        <f>IF(ISNA(IF(AND(VLOOKUP(CONCATENATE($D2646,$G2646),CSRFinput!$B:$E,4,0)=0,OR(H2646=MappingTables!$C$34,H2646=MappingTables!$C$35)),1,VLOOKUP(CONCATENATE($D2646,$G2646),CSRFinput!$B:$E,4,0))),0,IF(AND(VLOOKUP(CONCATENATE($D2646,$G2646),CSRFinput!$B:$E,4,0)=0,OR(H2646=MappingTables!$C$34,H2646=MappingTables!$C$35)),1,VLOOKUP(CONCATENATE($D2646,$G2646),CSRFinput!$B:$E,4,0)))</f>
        <v>0.054776304963434752</v>
      </c>
      <c r="W2646" s="85">
        <f>IF(B2646="",0,+$T2646*$V2646)</f>
        <v>0.23364550866065904</v>
      </c>
      <c r="X2646" s="85">
        <f>IF(B2646="",0,IF(OR(H2646=MappingTables!$C$34,H2646=MappingTables!$C$35),W2646,0))</f>
        <v>0</v>
      </c>
    </row>
    <row r="2647" spans="2:24" s="0" customFormat="0" ht="15">
      <c r="B2647" s="69">
        <v>15637323</v>
      </c>
      <c r="C2647" s="70" t="s">
        <v>2524</v>
      </c>
      <c r="D2647" s="70" t="s">
        <v>1</v>
      </c>
      <c r="E2647" s="70" t="s">
        <v>1</v>
      </c>
      <c r="F2647" s="70"/>
      <c r="G2647" s="70" t="s">
        <v>61</v>
      </c>
      <c r="H2647" s="70" t="s">
        <v>178</v>
      </c>
      <c r="I2647" s="70" t="s">
        <v>188</v>
      </c>
      <c r="J2647" s="71">
        <f>IF(OR(I2647=0,I2647=""),"unrated",VLOOKUP(I2647,MappingTables!$B$19:$C$31,2,FALSE))</f>
        <v>2</v>
      </c>
      <c r="K2647" s="72">
        <v>0.24154803627599788</v>
      </c>
      <c r="L2647" s="70">
        <v>0.060271162001514608</v>
      </c>
      <c r="M2647" s="71">
        <f>IF(L2647&lt;1,1,L2647)</f>
        <v>1</v>
      </c>
      <c r="N2647" s="70" t="s">
        <v>141</v>
      </c>
      <c r="O2647" s="71">
        <f>INDEX(DurClassMapping,MATCH(M2647,MappingTables!$D$4:$D$8,-1),1)</f>
        <v>1</v>
      </c>
      <c r="P2647" s="73">
        <f>IF(M2647=$A$1,1,$M2647-INDEX(MappingTables!$E$4:$E$8,MATCH(O2647,MappingTables!$B$4:$B$8,0)))</f>
        <v>1</v>
      </c>
      <c r="Q2647" s="71">
        <f>IF(B2647="",0,INDEX(ModelParameters!$D$6:$K$10,MATCH($O2647,ModelParameters!$B$6:$B$10,0),MATCH($J2647,ModelParameters!$D$5:$K$5,0)))</f>
        <v>0.013999999999999998</v>
      </c>
      <c r="R2647" s="71">
        <f>IF(B2647="",0,INDEX(ModelParameters!$D$13:$K$17,MATCH($O2647,ModelParameters!$B$13:$B$17,0),MATCH($J2647,ModelParameters!$D$5:$K$5,0)))</f>
        <v>0</v>
      </c>
      <c r="S2647" s="160">
        <f>IF(B2647="",0,MIN(IF($N2647="Other Bond TM",ModelParameters!$N$21,1)*(P2647*Q2647+R2647),1))</f>
        <v>0.013999999999999998</v>
      </c>
      <c r="T2647" s="85">
        <f>IF(B2647="",0,$S2647*$K2647)</f>
        <v>0.00338167250786397</v>
      </c>
      <c r="U2647" s="85">
        <f>IF(B2647="",0,IF(OR(H2647=MappingTables!$C$34,H2647=MappingTables!$C$35),T2647,0))</f>
        <v>0</v>
      </c>
      <c r="V2647" s="85">
        <f>IF(ISNA(IF(AND(VLOOKUP(CONCATENATE($D2647,$G2647),CSRFinput!$B:$E,4,0)=0,OR(H2647=MappingTables!$C$34,H2647=MappingTables!$C$35)),1,VLOOKUP(CONCATENATE($D2647,$G2647),CSRFinput!$B:$E,4,0))),0,IF(AND(VLOOKUP(CONCATENATE($D2647,$G2647),CSRFinput!$B:$E,4,0)=0,OR(H2647=MappingTables!$C$34,H2647=MappingTables!$C$35)),1,VLOOKUP(CONCATENATE($D2647,$G2647),CSRFinput!$B:$E,4,0)))</f>
        <v>0.054776304963434752</v>
      </c>
      <c r="W2647" s="85">
        <f>IF(B2647="",0,+$T2647*$V2647)</f>
        <v>0.00018523552457722004</v>
      </c>
      <c r="X2647" s="85">
        <f>IF(B2647="",0,IF(OR(H2647=MappingTables!$C$34,H2647=MappingTables!$C$35),W2647,0))</f>
        <v>0</v>
      </c>
    </row>
    <row r="2648" spans="2:24" s="0" customFormat="0" ht="15">
      <c r="B2648" s="69">
        <v>15402640</v>
      </c>
      <c r="C2648" s="70" t="s">
        <v>2525</v>
      </c>
      <c r="D2648" s="70" t="s">
        <v>1</v>
      </c>
      <c r="E2648" s="70" t="s">
        <v>1</v>
      </c>
      <c r="F2648" s="70"/>
      <c r="G2648" s="70" t="s">
        <v>61</v>
      </c>
      <c r="H2648" s="70" t="s">
        <v>178</v>
      </c>
      <c r="I2648" s="70" t="s">
        <v>198</v>
      </c>
      <c r="J2648" s="71" t="str">
        <f>IF(OR(I2648=0,I2648=""),"unrated",VLOOKUP(I2648,MappingTables!$B$19:$C$31,2,FALSE))</f>
        <v>unrated</v>
      </c>
      <c r="K2648" s="72">
        <v>1619.042403036728</v>
      </c>
      <c r="L2648" s="70">
        <v>0.087669088879734672</v>
      </c>
      <c r="M2648" s="71">
        <f>IF(L2648&lt;1,1,L2648)</f>
        <v>1</v>
      </c>
      <c r="N2648" s="70" t="s">
        <v>141</v>
      </c>
      <c r="O2648" s="71">
        <f>INDEX(DurClassMapping,MATCH(M2648,MappingTables!$D$4:$D$8,-1),1)</f>
        <v>1</v>
      </c>
      <c r="P2648" s="73">
        <f>IF(M2648=$A$1,1,$M2648-INDEX(MappingTables!$E$4:$E$8,MATCH(O2648,MappingTables!$B$4:$B$8,0)))</f>
        <v>1</v>
      </c>
      <c r="Q2648" s="71">
        <f>IF(B2648="",0,INDEX(ModelParameters!$D$6:$K$10,MATCH($O2648,ModelParameters!$B$6:$B$10,0),MATCH($J2648,ModelParameters!$D$5:$K$5,0)))</f>
        <v>0.03</v>
      </c>
      <c r="R2648" s="71">
        <f>IF(B2648="",0,INDEX(ModelParameters!$D$13:$K$17,MATCH($O2648,ModelParameters!$B$13:$B$17,0),MATCH($J2648,ModelParameters!$D$5:$K$5,0)))</f>
        <v>0</v>
      </c>
      <c r="S2648" s="160">
        <f>IF(B2648="",0,MIN(IF($N2648="Other Bond TM",ModelParameters!$N$21,1)*(P2648*Q2648+R2648),1))</f>
        <v>0.03</v>
      </c>
      <c r="T2648" s="85">
        <f>IF(B2648="",0,$S2648*$K2648)</f>
        <v>48.57127209110184</v>
      </c>
      <c r="U2648" s="85">
        <f>IF(B2648="",0,IF(OR(H2648=MappingTables!$C$34,H2648=MappingTables!$C$35),T2648,0))</f>
        <v>0</v>
      </c>
      <c r="V2648" s="85">
        <f>IF(ISNA(IF(AND(VLOOKUP(CONCATENATE($D2648,$G2648),CSRFinput!$B:$E,4,0)=0,OR(H2648=MappingTables!$C$34,H2648=MappingTables!$C$35)),1,VLOOKUP(CONCATENATE($D2648,$G2648),CSRFinput!$B:$E,4,0))),0,IF(AND(VLOOKUP(CONCATENATE($D2648,$G2648),CSRFinput!$B:$E,4,0)=0,OR(H2648=MappingTables!$C$34,H2648=MappingTables!$C$35)),1,VLOOKUP(CONCATENATE($D2648,$G2648),CSRFinput!$B:$E,4,0)))</f>
        <v>0.054776304963434752</v>
      </c>
      <c r="W2648" s="85">
        <f>IF(B2648="",0,+$T2648*$V2648)</f>
        <v>2.6605548125241616</v>
      </c>
      <c r="X2648" s="85">
        <f>IF(B2648="",0,IF(OR(H2648=MappingTables!$C$34,H2648=MappingTables!$C$35),W2648,0))</f>
        <v>0</v>
      </c>
    </row>
    <row r="2649" spans="2:24" s="0" customFormat="0" ht="15">
      <c r="B2649" s="69">
        <v>14957856</v>
      </c>
      <c r="C2649" s="70" t="s">
        <v>1814</v>
      </c>
      <c r="D2649" s="70" t="s">
        <v>1</v>
      </c>
      <c r="E2649" s="70" t="s">
        <v>1</v>
      </c>
      <c r="F2649" s="70"/>
      <c r="G2649" s="70" t="s">
        <v>61</v>
      </c>
      <c r="H2649" s="70" t="s">
        <v>178</v>
      </c>
      <c r="I2649" s="70" t="s">
        <v>184</v>
      </c>
      <c r="J2649" s="71">
        <f>IF(OR(I2649=0,I2649=""),"unrated",VLOOKUP(I2649,MappingTables!$B$19:$C$31,2,FALSE))</f>
        <v>5</v>
      </c>
      <c r="K2649" s="72">
        <v>592.18057313560096</v>
      </c>
      <c r="L2649" s="70">
        <v>0.087671414899020928</v>
      </c>
      <c r="M2649" s="71">
        <f>IF(L2649&lt;1,1,L2649)</f>
        <v>1</v>
      </c>
      <c r="N2649" s="70" t="s">
        <v>141</v>
      </c>
      <c r="O2649" s="71">
        <f>INDEX(DurClassMapping,MATCH(M2649,MappingTables!$D$4:$D$8,-1),1)</f>
        <v>1</v>
      </c>
      <c r="P2649" s="73">
        <f>IF(M2649=$A$1,1,$M2649-INDEX(MappingTables!$E$4:$E$8,MATCH(O2649,MappingTables!$B$4:$B$8,0)))</f>
        <v>1</v>
      </c>
      <c r="Q2649" s="71">
        <f>IF(B2649="",0,INDEX(ModelParameters!$D$6:$K$10,MATCH($O2649,ModelParameters!$B$6:$B$10,0),MATCH($J2649,ModelParameters!$D$5:$K$5,0)))</f>
        <v>0.075</v>
      </c>
      <c r="R2649" s="71">
        <f>IF(B2649="",0,INDEX(ModelParameters!$D$13:$K$17,MATCH($O2649,ModelParameters!$B$13:$B$17,0),MATCH($J2649,ModelParameters!$D$5:$K$5,0)))</f>
        <v>0</v>
      </c>
      <c r="S2649" s="160">
        <f>IF(B2649="",0,MIN(IF($N2649="Other Bond TM",ModelParameters!$N$21,1)*(P2649*Q2649+R2649),1))</f>
        <v>0.075</v>
      </c>
      <c r="T2649" s="85">
        <f>IF(B2649="",0,$S2649*$K2649)</f>
        <v>44.413542985170072</v>
      </c>
      <c r="U2649" s="85">
        <f>IF(B2649="",0,IF(OR(H2649=MappingTables!$C$34,H2649=MappingTables!$C$35),T2649,0))</f>
        <v>0</v>
      </c>
      <c r="V2649" s="85">
        <f>IF(ISNA(IF(AND(VLOOKUP(CONCATENATE($D2649,$G2649),CSRFinput!$B:$E,4,0)=0,OR(H2649=MappingTables!$C$34,H2649=MappingTables!$C$35)),1,VLOOKUP(CONCATENATE($D2649,$G2649),CSRFinput!$B:$E,4,0))),0,IF(AND(VLOOKUP(CONCATENATE($D2649,$G2649),CSRFinput!$B:$E,4,0)=0,OR(H2649=MappingTables!$C$34,H2649=MappingTables!$C$35)),1,VLOOKUP(CONCATENATE($D2649,$G2649),CSRFinput!$B:$E,4,0)))</f>
        <v>0.054776304963434752</v>
      </c>
      <c r="W2649" s="85">
        <f>IF(B2649="",0,+$T2649*$V2649)</f>
        <v>2.4328097750622944</v>
      </c>
      <c r="X2649" s="85">
        <f>IF(B2649="",0,IF(OR(H2649=MappingTables!$C$34,H2649=MappingTables!$C$35),W2649,0))</f>
        <v>0</v>
      </c>
    </row>
    <row r="2650" spans="2:24" s="0" customFormat="0" ht="15">
      <c r="B2650" s="69">
        <v>14553905</v>
      </c>
      <c r="C2650" s="70" t="s">
        <v>2526</v>
      </c>
      <c r="D2650" s="70" t="s">
        <v>1</v>
      </c>
      <c r="E2650" s="70" t="s">
        <v>1</v>
      </c>
      <c r="F2650" s="70"/>
      <c r="G2650" s="70" t="s">
        <v>61</v>
      </c>
      <c r="H2650" s="70" t="s">
        <v>178</v>
      </c>
      <c r="I2650" s="70" t="s">
        <v>184</v>
      </c>
      <c r="J2650" s="71">
        <f>IF(OR(I2650=0,I2650=""),"unrated",VLOOKUP(I2650,MappingTables!$B$19:$C$31,2,FALSE))</f>
        <v>5</v>
      </c>
      <c r="K2650" s="72">
        <v>2746.2770342472324</v>
      </c>
      <c r="L2650" s="70">
        <v>5.6304097407559992</v>
      </c>
      <c r="M2650" s="71">
        <f>IF(L2650&lt;1,1,L2650)</f>
        <v>5.6304097407559992</v>
      </c>
      <c r="N2650" s="70" t="s">
        <v>141</v>
      </c>
      <c r="O2650" s="71">
        <f>INDEX(DurClassMapping,MATCH(M2650,MappingTables!$D$4:$D$8,-1),1)</f>
        <v>2</v>
      </c>
      <c r="P2650" s="73">
        <f>IF(M2650=$A$1,1,$M2650-INDEX(MappingTables!$E$4:$E$8,MATCH(O2650,MappingTables!$B$4:$B$8,0)))</f>
        <v>0.63040974075599896</v>
      </c>
      <c r="Q2650" s="71">
        <f>IF(B2650="",0,INDEX(ModelParameters!$D$6:$K$10,MATCH($O2650,ModelParameters!$B$6:$B$10,0),MATCH($J2650,ModelParameters!$D$5:$K$5,0)))</f>
        <v>0.042</v>
      </c>
      <c r="R2650" s="71">
        <f>IF(B2650="",0,INDEX(ModelParameters!$D$13:$K$17,MATCH($O2650,ModelParameters!$B$13:$B$17,0),MATCH($J2650,ModelParameters!$D$5:$K$5,0)))</f>
        <v>0.375</v>
      </c>
      <c r="S2650" s="160">
        <f>IF(B2650="",0,MIN(IF($N2650="Other Bond TM",ModelParameters!$N$21,1)*(P2650*Q2650+R2650),1))</f>
        <v>0.40147720911175192</v>
      </c>
      <c r="T2650" s="85">
        <f>IF(B2650="",0,$S2650*$K2650)</f>
        <v>1102.5676391572782</v>
      </c>
      <c r="U2650" s="85">
        <f>IF(B2650="",0,IF(OR(H2650=MappingTables!$C$34,H2650=MappingTables!$C$35),T2650,0))</f>
        <v>0</v>
      </c>
      <c r="V2650" s="85">
        <f>IF(ISNA(IF(AND(VLOOKUP(CONCATENATE($D2650,$G2650),CSRFinput!$B:$E,4,0)=0,OR(H2650=MappingTables!$C$34,H2650=MappingTables!$C$35)),1,VLOOKUP(CONCATENATE($D2650,$G2650),CSRFinput!$B:$E,4,0))),0,IF(AND(VLOOKUP(CONCATENATE($D2650,$G2650),CSRFinput!$B:$E,4,0)=0,OR(H2650=MappingTables!$C$34,H2650=MappingTables!$C$35)),1,VLOOKUP(CONCATENATE($D2650,$G2650),CSRFinput!$B:$E,4,0)))</f>
        <v>0.054776304963434752</v>
      </c>
      <c r="W2650" s="85">
        <f>IF(B2650="",0,+$T2650*$V2650)</f>
        <v>60.394581245293352</v>
      </c>
      <c r="X2650" s="85">
        <f>IF(B2650="",0,IF(OR(H2650=MappingTables!$C$34,H2650=MappingTables!$C$35),W2650,0))</f>
        <v>0</v>
      </c>
    </row>
    <row r="2651" spans="2:24" s="0" customFormat="0" ht="15">
      <c r="B2651" s="69">
        <v>20229861</v>
      </c>
      <c r="C2651" s="70" t="s">
        <v>1371</v>
      </c>
      <c r="D2651" s="70" t="s">
        <v>1</v>
      </c>
      <c r="E2651" s="70" t="s">
        <v>1</v>
      </c>
      <c r="F2651" s="70"/>
      <c r="G2651" s="70" t="s">
        <v>61</v>
      </c>
      <c r="H2651" s="70" t="s">
        <v>178</v>
      </c>
      <c r="I2651" s="70" t="s">
        <v>188</v>
      </c>
      <c r="J2651" s="71">
        <f>IF(OR(I2651=0,I2651=""),"unrated",VLOOKUP(I2651,MappingTables!$B$19:$C$31,2,FALSE))</f>
        <v>2</v>
      </c>
      <c r="K2651" s="72">
        <v>875.01151747412112</v>
      </c>
      <c r="L2651" s="70">
        <v>16.619826519944948</v>
      </c>
      <c r="M2651" s="71">
        <f>IF(L2651&lt;1,1,L2651)</f>
        <v>16.619826519944948</v>
      </c>
      <c r="N2651" s="70" t="s">
        <v>141</v>
      </c>
      <c r="O2651" s="71">
        <f>INDEX(DurClassMapping,MATCH(M2651,MappingTables!$D$4:$D$8,-1),1)</f>
        <v>4</v>
      </c>
      <c r="P2651" s="73">
        <f>IF(M2651=$A$1,1,$M2651-INDEX(MappingTables!$E$4:$E$8,MATCH(O2651,MappingTables!$B$4:$B$8,0)))</f>
        <v>1.6198265199449474</v>
      </c>
      <c r="Q2651" s="71">
        <f>IF(B2651="",0,INDEX(ModelParameters!$D$6:$K$10,MATCH($O2651,ModelParameters!$B$6:$B$10,0),MATCH($J2651,ModelParameters!$D$5:$K$5,0)))</f>
        <v>0.005</v>
      </c>
      <c r="R2651" s="71">
        <f>IF(B2651="",0,INDEX(ModelParameters!$D$13:$K$17,MATCH($O2651,ModelParameters!$B$13:$B$17,0),MATCH($J2651,ModelParameters!$D$5:$K$5,0)))</f>
        <v>0.13</v>
      </c>
      <c r="S2651" s="160">
        <f>IF(B2651="",0,MIN(IF($N2651="Other Bond TM",ModelParameters!$N$21,1)*(P2651*Q2651+R2651),1))</f>
        <v>0.13809913259972472</v>
      </c>
      <c r="T2651" s="85">
        <f>IF(B2651="",0,$S2651*$K2651)</f>
        <v>120.838331577945</v>
      </c>
      <c r="U2651" s="85">
        <f>IF(B2651="",0,IF(OR(H2651=MappingTables!$C$34,H2651=MappingTables!$C$35),T2651,0))</f>
        <v>0</v>
      </c>
      <c r="V2651" s="85">
        <f>IF(ISNA(IF(AND(VLOOKUP(CONCATENATE($D2651,$G2651),CSRFinput!$B:$E,4,0)=0,OR(H2651=MappingTables!$C$34,H2651=MappingTables!$C$35)),1,VLOOKUP(CONCATENATE($D2651,$G2651),CSRFinput!$B:$E,4,0))),0,IF(AND(VLOOKUP(CONCATENATE($D2651,$G2651),CSRFinput!$B:$E,4,0)=0,OR(H2651=MappingTables!$C$34,H2651=MappingTables!$C$35)),1,VLOOKUP(CONCATENATE($D2651,$G2651),CSRFinput!$B:$E,4,0)))</f>
        <v>0.054776304963434752</v>
      </c>
      <c r="W2651" s="85">
        <f>IF(B2651="",0,+$T2651*$V2651)</f>
        <v>6.6190773017861632</v>
      </c>
      <c r="X2651" s="85">
        <f>IF(B2651="",0,IF(OR(H2651=MappingTables!$C$34,H2651=MappingTables!$C$35),W2651,0))</f>
        <v>0</v>
      </c>
    </row>
    <row r="2652" spans="2:24" s="0" customFormat="0" ht="15">
      <c r="B2652" s="69">
        <v>22934551</v>
      </c>
      <c r="C2652" s="70" t="s">
        <v>2437</v>
      </c>
      <c r="D2652" s="70" t="s">
        <v>1</v>
      </c>
      <c r="E2652" s="70" t="s">
        <v>1</v>
      </c>
      <c r="F2652" s="70"/>
      <c r="G2652" s="70" t="s">
        <v>61</v>
      </c>
      <c r="H2652" s="70" t="s">
        <v>178</v>
      </c>
      <c r="I2652" s="70" t="s">
        <v>184</v>
      </c>
      <c r="J2652" s="71">
        <f>IF(OR(I2652=0,I2652=""),"unrated",VLOOKUP(I2652,MappingTables!$B$19:$C$31,2,FALSE))</f>
        <v>5</v>
      </c>
      <c r="K2652" s="72">
        <v>271.5383440965088</v>
      </c>
      <c r="L2652" s="70">
        <v>2.3399406331715068</v>
      </c>
      <c r="M2652" s="71">
        <f>IF(L2652&lt;1,1,L2652)</f>
        <v>2.3399406331715068</v>
      </c>
      <c r="N2652" s="70" t="s">
        <v>141</v>
      </c>
      <c r="O2652" s="71">
        <f>INDEX(DurClassMapping,MATCH(M2652,MappingTables!$D$4:$D$8,-1),1)</f>
        <v>1</v>
      </c>
      <c r="P2652" s="73">
        <f>IF(M2652=$A$1,1,$M2652-INDEX(MappingTables!$E$4:$E$8,MATCH(O2652,MappingTables!$B$4:$B$8,0)))</f>
        <v>2.3399406331715068</v>
      </c>
      <c r="Q2652" s="71">
        <f>IF(B2652="",0,INDEX(ModelParameters!$D$6:$K$10,MATCH($O2652,ModelParameters!$B$6:$B$10,0),MATCH($J2652,ModelParameters!$D$5:$K$5,0)))</f>
        <v>0.075</v>
      </c>
      <c r="R2652" s="71">
        <f>IF(B2652="",0,INDEX(ModelParameters!$D$13:$K$17,MATCH($O2652,ModelParameters!$B$13:$B$17,0),MATCH($J2652,ModelParameters!$D$5:$K$5,0)))</f>
        <v>0</v>
      </c>
      <c r="S2652" s="160">
        <f>IF(B2652="",0,MIN(IF($N2652="Other Bond TM",ModelParameters!$N$21,1)*(P2652*Q2652+R2652),1))</f>
        <v>0.175495547487863</v>
      </c>
      <c r="T2652" s="85">
        <f>IF(B2652="",0,$S2652*$K2652)</f>
        <v>47.653770361164544</v>
      </c>
      <c r="U2652" s="85">
        <f>IF(B2652="",0,IF(OR(H2652=MappingTables!$C$34,H2652=MappingTables!$C$35),T2652,0))</f>
        <v>0</v>
      </c>
      <c r="V2652" s="85">
        <f>IF(ISNA(IF(AND(VLOOKUP(CONCATENATE($D2652,$G2652),CSRFinput!$B:$E,4,0)=0,OR(H2652=MappingTables!$C$34,H2652=MappingTables!$C$35)),1,VLOOKUP(CONCATENATE($D2652,$G2652),CSRFinput!$B:$E,4,0))),0,IF(AND(VLOOKUP(CONCATENATE($D2652,$G2652),CSRFinput!$B:$E,4,0)=0,OR(H2652=MappingTables!$C$34,H2652=MappingTables!$C$35)),1,VLOOKUP(CONCATENATE($D2652,$G2652),CSRFinput!$B:$E,4,0)))</f>
        <v>0.054776304963434752</v>
      </c>
      <c r="W2652" s="85">
        <f>IF(B2652="",0,+$T2652*$V2652)</f>
        <v>2.6102974579606376</v>
      </c>
      <c r="X2652" s="85">
        <f>IF(B2652="",0,IF(OR(H2652=MappingTables!$C$34,H2652=MappingTables!$C$35),W2652,0))</f>
        <v>0</v>
      </c>
    </row>
    <row r="2653" spans="2:24" s="0" customFormat="0" ht="15">
      <c r="B2653" s="69" t="s">
        <v>2255</v>
      </c>
      <c r="C2653" s="70" t="s">
        <v>2256</v>
      </c>
      <c r="D2653" s="70" t="s">
        <v>1</v>
      </c>
      <c r="E2653" s="70" t="s">
        <v>1</v>
      </c>
      <c r="F2653" s="70"/>
      <c r="G2653" s="70" t="s">
        <v>61</v>
      </c>
      <c r="H2653" s="70" t="s">
        <v>178</v>
      </c>
      <c r="I2653" s="70" t="s">
        <v>179</v>
      </c>
      <c r="J2653" s="71">
        <f>IF(OR(I2653=0,I2653=""),"unrated",VLOOKUP(I2653,MappingTables!$B$19:$C$31,2,FALSE))</f>
        <v>4</v>
      </c>
      <c r="K2653" s="72">
        <v>36.625836507436912</v>
      </c>
      <c r="L2653" s="70">
        <v>0.88557903791050992</v>
      </c>
      <c r="M2653" s="71">
        <f>IF(L2653&lt;1,1,L2653)</f>
        <v>1</v>
      </c>
      <c r="N2653" s="70" t="s">
        <v>141</v>
      </c>
      <c r="O2653" s="71">
        <f>INDEX(DurClassMapping,MATCH(M2653,MappingTables!$D$4:$D$8,-1),1)</f>
        <v>1</v>
      </c>
      <c r="P2653" s="73">
        <f>IF(M2653=$A$1,1,$M2653-INDEX(MappingTables!$E$4:$E$8,MATCH(O2653,MappingTables!$B$4:$B$8,0)))</f>
        <v>1</v>
      </c>
      <c r="Q2653" s="71">
        <f>IF(B2653="",0,INDEX(ModelParameters!$D$6:$K$10,MATCH($O2653,ModelParameters!$B$6:$B$10,0),MATCH($J2653,ModelParameters!$D$5:$K$5,0)))</f>
        <v>0.045</v>
      </c>
      <c r="R2653" s="71">
        <f>IF(B2653="",0,INDEX(ModelParameters!$D$13:$K$17,MATCH($O2653,ModelParameters!$B$13:$B$17,0),MATCH($J2653,ModelParameters!$D$5:$K$5,0)))</f>
        <v>0</v>
      </c>
      <c r="S2653" s="160">
        <f>IF(B2653="",0,MIN(IF($N2653="Other Bond TM",ModelParameters!$N$21,1)*(P2653*Q2653+R2653),1))</f>
        <v>0.045</v>
      </c>
      <c r="T2653" s="85">
        <f>IF(B2653="",0,$S2653*$K2653)</f>
        <v>1.6481626428346612</v>
      </c>
      <c r="U2653" s="85">
        <f>IF(B2653="",0,IF(OR(H2653=MappingTables!$C$34,H2653=MappingTables!$C$35),T2653,0))</f>
        <v>0</v>
      </c>
      <c r="V2653" s="85">
        <f>IF(ISNA(IF(AND(VLOOKUP(CONCATENATE($D2653,$G2653),CSRFinput!$B:$E,4,0)=0,OR(H2653=MappingTables!$C$34,H2653=MappingTables!$C$35)),1,VLOOKUP(CONCATENATE($D2653,$G2653),CSRFinput!$B:$E,4,0))),0,IF(AND(VLOOKUP(CONCATENATE($D2653,$G2653),CSRFinput!$B:$E,4,0)=0,OR(H2653=MappingTables!$C$34,H2653=MappingTables!$C$35)),1,VLOOKUP(CONCATENATE($D2653,$G2653),CSRFinput!$B:$E,4,0)))</f>
        <v>0.054776304963434752</v>
      </c>
      <c r="W2653" s="85">
        <f>IF(B2653="",0,+$T2653*$V2653)</f>
        <v>0.090280259553251984</v>
      </c>
      <c r="X2653" s="85">
        <f>IF(B2653="",0,IF(OR(H2653=MappingTables!$C$34,H2653=MappingTables!$C$35),W2653,0))</f>
        <v>0</v>
      </c>
    </row>
    <row r="2654" spans="2:24" s="0" customFormat="0" ht="15">
      <c r="B2654" s="69">
        <v>21046345</v>
      </c>
      <c r="C2654" s="70" t="s">
        <v>1684</v>
      </c>
      <c r="D2654" s="70" t="s">
        <v>1</v>
      </c>
      <c r="E2654" s="70" t="s">
        <v>1</v>
      </c>
      <c r="F2654" s="70"/>
      <c r="G2654" s="70" t="s">
        <v>61</v>
      </c>
      <c r="H2654" s="70" t="s">
        <v>178</v>
      </c>
      <c r="I2654" s="70" t="s">
        <v>181</v>
      </c>
      <c r="J2654" s="71">
        <f>IF(OR(I2654=0,I2654=""),"unrated",VLOOKUP(I2654,MappingTables!$B$19:$C$31,2,FALSE))</f>
        <v>3</v>
      </c>
      <c r="K2654" s="72">
        <v>2868.5903377689748</v>
      </c>
      <c r="L2654" s="70">
        <v>3.341679408290348</v>
      </c>
      <c r="M2654" s="71">
        <f>IF(L2654&lt;1,1,L2654)</f>
        <v>3.341679408290348</v>
      </c>
      <c r="N2654" s="70" t="s">
        <v>141</v>
      </c>
      <c r="O2654" s="71">
        <f>INDEX(DurClassMapping,MATCH(M2654,MappingTables!$D$4:$D$8,-1),1)</f>
        <v>1</v>
      </c>
      <c r="P2654" s="73">
        <f>IF(M2654=$A$1,1,$M2654-INDEX(MappingTables!$E$4:$E$8,MATCH(O2654,MappingTables!$B$4:$B$8,0)))</f>
        <v>3.341679408290348</v>
      </c>
      <c r="Q2654" s="71">
        <f>IF(B2654="",0,INDEX(ModelParameters!$D$6:$K$10,MATCH($O2654,ModelParameters!$B$6:$B$10,0),MATCH($J2654,ModelParameters!$D$5:$K$5,0)))</f>
        <v>0.025</v>
      </c>
      <c r="R2654" s="71">
        <f>IF(B2654="",0,INDEX(ModelParameters!$D$13:$K$17,MATCH($O2654,ModelParameters!$B$13:$B$17,0),MATCH($J2654,ModelParameters!$D$5:$K$5,0)))</f>
        <v>0</v>
      </c>
      <c r="S2654" s="160">
        <f>IF(B2654="",0,MIN(IF($N2654="Other Bond TM",ModelParameters!$N$21,1)*(P2654*Q2654+R2654),1))</f>
        <v>0.083541985207258688</v>
      </c>
      <c r="T2654" s="85">
        <f>IF(B2654="",0,$S2654*$K2654)</f>
        <v>239.64773156358092</v>
      </c>
      <c r="U2654" s="85">
        <f>IF(B2654="",0,IF(OR(H2654=MappingTables!$C$34,H2654=MappingTables!$C$35),T2654,0))</f>
        <v>0</v>
      </c>
      <c r="V2654" s="85">
        <f>IF(ISNA(IF(AND(VLOOKUP(CONCATENATE($D2654,$G2654),CSRFinput!$B:$E,4,0)=0,OR(H2654=MappingTables!$C$34,H2654=MappingTables!$C$35)),1,VLOOKUP(CONCATENATE($D2654,$G2654),CSRFinput!$B:$E,4,0))),0,IF(AND(VLOOKUP(CONCATENATE($D2654,$G2654),CSRFinput!$B:$E,4,0)=0,OR(H2654=MappingTables!$C$34,H2654=MappingTables!$C$35)),1,VLOOKUP(CONCATENATE($D2654,$G2654),CSRFinput!$B:$E,4,0)))</f>
        <v>0.054776304963434752</v>
      </c>
      <c r="W2654" s="85">
        <f>IF(B2654="",0,+$T2654*$V2654)</f>
        <v>13.127017227922056</v>
      </c>
      <c r="X2654" s="85">
        <f>IF(B2654="",0,IF(OR(H2654=MappingTables!$C$34,H2654=MappingTables!$C$35),W2654,0))</f>
        <v>0</v>
      </c>
    </row>
    <row r="2655" spans="2:24" s="0" customFormat="0" ht="15">
      <c r="B2655" s="69">
        <v>14352945</v>
      </c>
      <c r="C2655" s="70" t="s">
        <v>2527</v>
      </c>
      <c r="D2655" s="70" t="s">
        <v>1</v>
      </c>
      <c r="E2655" s="70" t="s">
        <v>1</v>
      </c>
      <c r="F2655" s="70"/>
      <c r="G2655" s="70" t="s">
        <v>61</v>
      </c>
      <c r="H2655" s="70" t="s">
        <v>178</v>
      </c>
      <c r="I2655" s="70" t="s">
        <v>179</v>
      </c>
      <c r="J2655" s="71">
        <f>IF(OR(I2655=0,I2655=""),"unrated",VLOOKUP(I2655,MappingTables!$B$19:$C$31,2,FALSE))</f>
        <v>4</v>
      </c>
      <c r="K2655" s="72">
        <v>8661.9536432991248</v>
      </c>
      <c r="L2655" s="70">
        <v>3.1478275311067208</v>
      </c>
      <c r="M2655" s="71">
        <f>IF(L2655&lt;1,1,L2655)</f>
        <v>3.1478275311067208</v>
      </c>
      <c r="N2655" s="70" t="s">
        <v>141</v>
      </c>
      <c r="O2655" s="71">
        <f>INDEX(DurClassMapping,MATCH(M2655,MappingTables!$D$4:$D$8,-1),1)</f>
        <v>1</v>
      </c>
      <c r="P2655" s="73">
        <f>IF(M2655=$A$1,1,$M2655-INDEX(MappingTables!$E$4:$E$8,MATCH(O2655,MappingTables!$B$4:$B$8,0)))</f>
        <v>3.1478275311067208</v>
      </c>
      <c r="Q2655" s="71">
        <f>IF(B2655="",0,INDEX(ModelParameters!$D$6:$K$10,MATCH($O2655,ModelParameters!$B$6:$B$10,0),MATCH($J2655,ModelParameters!$D$5:$K$5,0)))</f>
        <v>0.045</v>
      </c>
      <c r="R2655" s="71">
        <f>IF(B2655="",0,INDEX(ModelParameters!$D$13:$K$17,MATCH($O2655,ModelParameters!$B$13:$B$17,0),MATCH($J2655,ModelParameters!$D$5:$K$5,0)))</f>
        <v>0</v>
      </c>
      <c r="S2655" s="160">
        <f>IF(B2655="",0,MIN(IF($N2655="Other Bond TM",ModelParameters!$N$21,1)*(P2655*Q2655+R2655),1))</f>
        <v>0.14165223889980244</v>
      </c>
      <c r="T2655" s="85">
        <f>IF(B2655="",0,$S2655*$K2655)</f>
        <v>1226.9851268196216</v>
      </c>
      <c r="U2655" s="85">
        <f>IF(B2655="",0,IF(OR(H2655=MappingTables!$C$34,H2655=MappingTables!$C$35),T2655,0))</f>
        <v>0</v>
      </c>
      <c r="V2655" s="85">
        <f>IF(ISNA(IF(AND(VLOOKUP(CONCATENATE($D2655,$G2655),CSRFinput!$B:$E,4,0)=0,OR(H2655=MappingTables!$C$34,H2655=MappingTables!$C$35)),1,VLOOKUP(CONCATENATE($D2655,$G2655),CSRFinput!$B:$E,4,0))),0,IF(AND(VLOOKUP(CONCATENATE($D2655,$G2655),CSRFinput!$B:$E,4,0)=0,OR(H2655=MappingTables!$C$34,H2655=MappingTables!$C$35)),1,VLOOKUP(CONCATENATE($D2655,$G2655),CSRFinput!$B:$E,4,0)))</f>
        <v>0.054776304963434752</v>
      </c>
      <c r="W2655" s="85">
        <f>IF(B2655="",0,+$T2655*$V2655)</f>
        <v>67.209711492270256</v>
      </c>
      <c r="X2655" s="85">
        <f>IF(B2655="",0,IF(OR(H2655=MappingTables!$C$34,H2655=MappingTables!$C$35),W2655,0))</f>
        <v>0</v>
      </c>
    </row>
    <row r="2656" spans="2:24" s="0" customFormat="0" ht="15">
      <c r="B2656" s="69">
        <v>7509056</v>
      </c>
      <c r="C2656" s="70" t="s">
        <v>2528</v>
      </c>
      <c r="D2656" s="70" t="s">
        <v>1</v>
      </c>
      <c r="E2656" s="70" t="s">
        <v>1</v>
      </c>
      <c r="F2656" s="70"/>
      <c r="G2656" s="70" t="s">
        <v>61</v>
      </c>
      <c r="H2656" s="70" t="s">
        <v>178</v>
      </c>
      <c r="I2656" s="70" t="s">
        <v>179</v>
      </c>
      <c r="J2656" s="71">
        <f>IF(OR(I2656=0,I2656=""),"unrated",VLOOKUP(I2656,MappingTables!$B$19:$C$31,2,FALSE))</f>
        <v>4</v>
      </c>
      <c r="K2656" s="72">
        <v>3015.131480234726</v>
      </c>
      <c r="L2656" s="70">
        <v>4.1065374893636168</v>
      </c>
      <c r="M2656" s="71">
        <f>IF(L2656&lt;1,1,L2656)</f>
        <v>4.1065374893636168</v>
      </c>
      <c r="N2656" s="70" t="s">
        <v>141</v>
      </c>
      <c r="O2656" s="71">
        <f>INDEX(DurClassMapping,MATCH(M2656,MappingTables!$D$4:$D$8,-1),1)</f>
        <v>1</v>
      </c>
      <c r="P2656" s="73">
        <f>IF(M2656=$A$1,1,$M2656-INDEX(MappingTables!$E$4:$E$8,MATCH(O2656,MappingTables!$B$4:$B$8,0)))</f>
        <v>4.1065374893636168</v>
      </c>
      <c r="Q2656" s="71">
        <f>IF(B2656="",0,INDEX(ModelParameters!$D$6:$K$10,MATCH($O2656,ModelParameters!$B$6:$B$10,0),MATCH($J2656,ModelParameters!$D$5:$K$5,0)))</f>
        <v>0.045</v>
      </c>
      <c r="R2656" s="71">
        <f>IF(B2656="",0,INDEX(ModelParameters!$D$13:$K$17,MATCH($O2656,ModelParameters!$B$13:$B$17,0),MATCH($J2656,ModelParameters!$D$5:$K$5,0)))</f>
        <v>0</v>
      </c>
      <c r="S2656" s="160">
        <f>IF(B2656="",0,MIN(IF($N2656="Other Bond TM",ModelParameters!$N$21,1)*(P2656*Q2656+R2656),1))</f>
        <v>0.18479418702136276</v>
      </c>
      <c r="T2656" s="85">
        <f>IF(B2656="",0,$S2656*$K2656)</f>
        <v>557.17877065249424</v>
      </c>
      <c r="U2656" s="85">
        <f>IF(B2656="",0,IF(OR(H2656=MappingTables!$C$34,H2656=MappingTables!$C$35),T2656,0))</f>
        <v>0</v>
      </c>
      <c r="V2656" s="85">
        <f>IF(ISNA(IF(AND(VLOOKUP(CONCATENATE($D2656,$G2656),CSRFinput!$B:$E,4,0)=0,OR(H2656=MappingTables!$C$34,H2656=MappingTables!$C$35)),1,VLOOKUP(CONCATENATE($D2656,$G2656),CSRFinput!$B:$E,4,0))),0,IF(AND(VLOOKUP(CONCATENATE($D2656,$G2656),CSRFinput!$B:$E,4,0)=0,OR(H2656=MappingTables!$C$34,H2656=MappingTables!$C$35)),1,VLOOKUP(CONCATENATE($D2656,$G2656),CSRFinput!$B:$E,4,0)))</f>
        <v>0.054776304963434752</v>
      </c>
      <c r="W2656" s="85">
        <f>IF(B2656="",0,+$T2656*$V2656)</f>
        <v>30.520194260412696</v>
      </c>
      <c r="X2656" s="85">
        <f>IF(B2656="",0,IF(OR(H2656=MappingTables!$C$34,H2656=MappingTables!$C$35),W2656,0))</f>
        <v>0</v>
      </c>
    </row>
    <row r="2657" spans="2:24" s="0" customFormat="0" ht="15">
      <c r="B2657" s="69">
        <v>20942440</v>
      </c>
      <c r="C2657" s="70" t="s">
        <v>686</v>
      </c>
      <c r="D2657" s="70" t="s">
        <v>1</v>
      </c>
      <c r="E2657" s="70" t="s">
        <v>1</v>
      </c>
      <c r="F2657" s="70"/>
      <c r="G2657" s="70" t="s">
        <v>61</v>
      </c>
      <c r="H2657" s="70" t="s">
        <v>178</v>
      </c>
      <c r="I2657" s="70" t="s">
        <v>181</v>
      </c>
      <c r="J2657" s="71">
        <f>IF(OR(I2657=0,I2657=""),"unrated",VLOOKUP(I2657,MappingTables!$B$19:$C$31,2,FALSE))</f>
        <v>3</v>
      </c>
      <c r="K2657" s="72">
        <v>16324.610499733558</v>
      </c>
      <c r="L2657" s="70">
        <v>6.7999819673990496</v>
      </c>
      <c r="M2657" s="71">
        <f>IF(L2657&lt;1,1,L2657)</f>
        <v>6.7999819673990496</v>
      </c>
      <c r="N2657" s="70" t="s">
        <v>141</v>
      </c>
      <c r="O2657" s="71">
        <f>INDEX(DurClassMapping,MATCH(M2657,MappingTables!$D$4:$D$8,-1),1)</f>
        <v>2</v>
      </c>
      <c r="P2657" s="73">
        <f>IF(M2657=$A$1,1,$M2657-INDEX(MappingTables!$E$4:$E$8,MATCH(O2657,MappingTables!$B$4:$B$8,0)))</f>
        <v>1.7999819673990496</v>
      </c>
      <c r="Q2657" s="71">
        <f>IF(B2657="",0,INDEX(ModelParameters!$D$6:$K$10,MATCH($O2657,ModelParameters!$B$6:$B$10,0),MATCH($J2657,ModelParameters!$D$5:$K$5,0)))</f>
        <v>0.015</v>
      </c>
      <c r="R2657" s="71">
        <f>IF(B2657="",0,INDEX(ModelParameters!$D$13:$K$17,MATCH($O2657,ModelParameters!$B$13:$B$17,0),MATCH($J2657,ModelParameters!$D$5:$K$5,0)))</f>
        <v>0.125</v>
      </c>
      <c r="S2657" s="160">
        <f>IF(B2657="",0,MIN(IF($N2657="Other Bond TM",ModelParameters!$N$21,1)*(P2657*Q2657+R2657),1))</f>
        <v>0.15199972951098576</v>
      </c>
      <c r="T2657" s="85">
        <f>IF(B2657="",0,$S2657*$K2657)</f>
        <v>2481.3363803316988</v>
      </c>
      <c r="U2657" s="85">
        <f>IF(B2657="",0,IF(OR(H2657=MappingTables!$C$34,H2657=MappingTables!$C$35),T2657,0))</f>
        <v>0</v>
      </c>
      <c r="V2657" s="85">
        <f>IF(ISNA(IF(AND(VLOOKUP(CONCATENATE($D2657,$G2657),CSRFinput!$B:$E,4,0)=0,OR(H2657=MappingTables!$C$34,H2657=MappingTables!$C$35)),1,VLOOKUP(CONCATENATE($D2657,$G2657),CSRFinput!$B:$E,4,0))),0,IF(AND(VLOOKUP(CONCATENATE($D2657,$G2657),CSRFinput!$B:$E,4,0)=0,OR(H2657=MappingTables!$C$34,H2657=MappingTables!$C$35)),1,VLOOKUP(CONCATENATE($D2657,$G2657),CSRFinput!$B:$E,4,0)))</f>
        <v>0.054776304963434752</v>
      </c>
      <c r="W2657" s="85">
        <f>IF(B2657="",0,+$T2657*$V2657)</f>
        <v>135.91843828591444</v>
      </c>
      <c r="X2657" s="85">
        <f>IF(B2657="",0,IF(OR(H2657=MappingTables!$C$34,H2657=MappingTables!$C$35),W2657,0))</f>
        <v>0</v>
      </c>
    </row>
    <row r="2658" spans="2:24" s="0" customFormat="0" ht="15">
      <c r="B2658" s="69">
        <v>17355614</v>
      </c>
      <c r="C2658" s="70" t="s">
        <v>1376</v>
      </c>
      <c r="D2658" s="70" t="s">
        <v>1</v>
      </c>
      <c r="E2658" s="70" t="s">
        <v>1</v>
      </c>
      <c r="F2658" s="70"/>
      <c r="G2658" s="70" t="s">
        <v>61</v>
      </c>
      <c r="H2658" s="70" t="s">
        <v>178</v>
      </c>
      <c r="I2658" s="70" t="s">
        <v>179</v>
      </c>
      <c r="J2658" s="71">
        <f>IF(OR(I2658=0,I2658=""),"unrated",VLOOKUP(I2658,MappingTables!$B$19:$C$31,2,FALSE))</f>
        <v>4</v>
      </c>
      <c r="K2658" s="72">
        <v>274.91417623764284</v>
      </c>
      <c r="L2658" s="70">
        <v>3.531659263142</v>
      </c>
      <c r="M2658" s="71">
        <f>IF(L2658&lt;1,1,L2658)</f>
        <v>3.531659263142</v>
      </c>
      <c r="N2658" s="70" t="s">
        <v>141</v>
      </c>
      <c r="O2658" s="71">
        <f>INDEX(DurClassMapping,MATCH(M2658,MappingTables!$D$4:$D$8,-1),1)</f>
        <v>1</v>
      </c>
      <c r="P2658" s="73">
        <f>IF(M2658=$A$1,1,$M2658-INDEX(MappingTables!$E$4:$E$8,MATCH(O2658,MappingTables!$B$4:$B$8,0)))</f>
        <v>3.531659263142</v>
      </c>
      <c r="Q2658" s="71">
        <f>IF(B2658="",0,INDEX(ModelParameters!$D$6:$K$10,MATCH($O2658,ModelParameters!$B$6:$B$10,0),MATCH($J2658,ModelParameters!$D$5:$K$5,0)))</f>
        <v>0.045</v>
      </c>
      <c r="R2658" s="71">
        <f>IF(B2658="",0,INDEX(ModelParameters!$D$13:$K$17,MATCH($O2658,ModelParameters!$B$13:$B$17,0),MATCH($J2658,ModelParameters!$D$5:$K$5,0)))</f>
        <v>0</v>
      </c>
      <c r="S2658" s="160">
        <f>IF(B2658="",0,MIN(IF($N2658="Other Bond TM",ModelParameters!$N$21,1)*(P2658*Q2658+R2658),1))</f>
        <v>0.15892466684139</v>
      </c>
      <c r="T2658" s="85">
        <f>IF(B2658="",0,$S2658*$K2658)</f>
        <v>43.690643868542568</v>
      </c>
      <c r="U2658" s="85">
        <f>IF(B2658="",0,IF(OR(H2658=MappingTables!$C$34,H2658=MappingTables!$C$35),T2658,0))</f>
        <v>0</v>
      </c>
      <c r="V2658" s="85">
        <f>IF(ISNA(IF(AND(VLOOKUP(CONCATENATE($D2658,$G2658),CSRFinput!$B:$E,4,0)=0,OR(H2658=MappingTables!$C$34,H2658=MappingTables!$C$35)),1,VLOOKUP(CONCATENATE($D2658,$G2658),CSRFinput!$B:$E,4,0))),0,IF(AND(VLOOKUP(CONCATENATE($D2658,$G2658),CSRFinput!$B:$E,4,0)=0,OR(H2658=MappingTables!$C$34,H2658=MappingTables!$C$35)),1,VLOOKUP(CONCATENATE($D2658,$G2658),CSRFinput!$B:$E,4,0)))</f>
        <v>0.054776304963434752</v>
      </c>
      <c r="W2658" s="85">
        <f>IF(B2658="",0,+$T2658*$V2658)</f>
        <v>2.3932120325921084</v>
      </c>
      <c r="X2658" s="85">
        <f>IF(B2658="",0,IF(OR(H2658=MappingTables!$C$34,H2658=MappingTables!$C$35),W2658,0))</f>
        <v>0</v>
      </c>
    </row>
    <row r="2659" spans="2:24" s="0" customFormat="0" ht="15">
      <c r="B2659" s="69">
        <v>14275608</v>
      </c>
      <c r="C2659" s="70" t="s">
        <v>1058</v>
      </c>
      <c r="D2659" s="70" t="s">
        <v>1</v>
      </c>
      <c r="E2659" s="70" t="s">
        <v>1</v>
      </c>
      <c r="F2659" s="70"/>
      <c r="G2659" s="70" t="s">
        <v>61</v>
      </c>
      <c r="H2659" s="70" t="s">
        <v>178</v>
      </c>
      <c r="I2659" s="70" t="s">
        <v>181</v>
      </c>
      <c r="J2659" s="71">
        <f>IF(OR(I2659=0,I2659=""),"unrated",VLOOKUP(I2659,MappingTables!$B$19:$C$31,2,FALSE))</f>
        <v>3</v>
      </c>
      <c r="K2659" s="72">
        <v>9596.4511956016976</v>
      </c>
      <c r="L2659" s="70">
        <v>3.3234283797330348</v>
      </c>
      <c r="M2659" s="71">
        <f>IF(L2659&lt;1,1,L2659)</f>
        <v>3.3234283797330348</v>
      </c>
      <c r="N2659" s="70" t="s">
        <v>141</v>
      </c>
      <c r="O2659" s="71">
        <f>INDEX(DurClassMapping,MATCH(M2659,MappingTables!$D$4:$D$8,-1),1)</f>
        <v>1</v>
      </c>
      <c r="P2659" s="73">
        <f>IF(M2659=$A$1,1,$M2659-INDEX(MappingTables!$E$4:$E$8,MATCH(O2659,MappingTables!$B$4:$B$8,0)))</f>
        <v>3.3234283797330348</v>
      </c>
      <c r="Q2659" s="71">
        <f>IF(B2659="",0,INDEX(ModelParameters!$D$6:$K$10,MATCH($O2659,ModelParameters!$B$6:$B$10,0),MATCH($J2659,ModelParameters!$D$5:$K$5,0)))</f>
        <v>0.025</v>
      </c>
      <c r="R2659" s="71">
        <f>IF(B2659="",0,INDEX(ModelParameters!$D$13:$K$17,MATCH($O2659,ModelParameters!$B$13:$B$17,0),MATCH($J2659,ModelParameters!$D$5:$K$5,0)))</f>
        <v>0</v>
      </c>
      <c r="S2659" s="160">
        <f>IF(B2659="",0,MIN(IF($N2659="Other Bond TM",ModelParameters!$N$21,1)*(P2659*Q2659+R2659),1))</f>
        <v>0.083085709493325872</v>
      </c>
      <c r="T2659" s="85">
        <f>IF(B2659="",0,$S2659*$K2659)</f>
        <v>797.3279562046424</v>
      </c>
      <c r="U2659" s="85">
        <f>IF(B2659="",0,IF(OR(H2659=MappingTables!$C$34,H2659=MappingTables!$C$35),T2659,0))</f>
        <v>0</v>
      </c>
      <c r="V2659" s="85">
        <f>IF(ISNA(IF(AND(VLOOKUP(CONCATENATE($D2659,$G2659),CSRFinput!$B:$E,4,0)=0,OR(H2659=MappingTables!$C$34,H2659=MappingTables!$C$35)),1,VLOOKUP(CONCATENATE($D2659,$G2659),CSRFinput!$B:$E,4,0))),0,IF(AND(VLOOKUP(CONCATENATE($D2659,$G2659),CSRFinput!$B:$E,4,0)=0,OR(H2659=MappingTables!$C$34,H2659=MappingTables!$C$35)),1,VLOOKUP(CONCATENATE($D2659,$G2659),CSRFinput!$B:$E,4,0)))</f>
        <v>0.054776304963434752</v>
      </c>
      <c r="W2659" s="85">
        <f>IF(B2659="",0,+$T2659*$V2659)</f>
        <v>43.67467928493764</v>
      </c>
      <c r="X2659" s="85">
        <f>IF(B2659="",0,IF(OR(H2659=MappingTables!$C$34,H2659=MappingTables!$C$35),W2659,0))</f>
        <v>0</v>
      </c>
    </row>
    <row r="2660" spans="2:24" s="0" customFormat="0" ht="15">
      <c r="B2660" s="69">
        <v>23613618</v>
      </c>
      <c r="C2660" s="70" t="s">
        <v>2529</v>
      </c>
      <c r="D2660" s="70" t="s">
        <v>1</v>
      </c>
      <c r="E2660" s="70" t="s">
        <v>1</v>
      </c>
      <c r="F2660" s="70"/>
      <c r="G2660" s="70" t="s">
        <v>61</v>
      </c>
      <c r="H2660" s="70" t="s">
        <v>178</v>
      </c>
      <c r="I2660" s="70" t="s">
        <v>184</v>
      </c>
      <c r="J2660" s="71">
        <f>IF(OR(I2660=0,I2660=""),"unrated",VLOOKUP(I2660,MappingTables!$B$19:$C$31,2,FALSE))</f>
        <v>5</v>
      </c>
      <c r="K2660" s="72">
        <v>44.928042787443808</v>
      </c>
      <c r="L2660" s="70">
        <v>2.2248156892119976</v>
      </c>
      <c r="M2660" s="71">
        <f>IF(L2660&lt;1,1,L2660)</f>
        <v>2.2248156892119976</v>
      </c>
      <c r="N2660" s="70" t="s">
        <v>141</v>
      </c>
      <c r="O2660" s="71">
        <f>INDEX(DurClassMapping,MATCH(M2660,MappingTables!$D$4:$D$8,-1),1)</f>
        <v>1</v>
      </c>
      <c r="P2660" s="73">
        <f>IF(M2660=$A$1,1,$M2660-INDEX(MappingTables!$E$4:$E$8,MATCH(O2660,MappingTables!$B$4:$B$8,0)))</f>
        <v>2.2248156892119976</v>
      </c>
      <c r="Q2660" s="71">
        <f>IF(B2660="",0,INDEX(ModelParameters!$D$6:$K$10,MATCH($O2660,ModelParameters!$B$6:$B$10,0),MATCH($J2660,ModelParameters!$D$5:$K$5,0)))</f>
        <v>0.075</v>
      </c>
      <c r="R2660" s="71">
        <f>IF(B2660="",0,INDEX(ModelParameters!$D$13:$K$17,MATCH($O2660,ModelParameters!$B$13:$B$17,0),MATCH($J2660,ModelParameters!$D$5:$K$5,0)))</f>
        <v>0</v>
      </c>
      <c r="S2660" s="160">
        <f>IF(B2660="",0,MIN(IF($N2660="Other Bond TM",ModelParameters!$N$21,1)*(P2660*Q2660+R2660),1))</f>
        <v>0.1668611766908998</v>
      </c>
      <c r="T2660" s="85">
        <f>IF(B2660="",0,$S2660*$K2660)</f>
        <v>7.496746085931968</v>
      </c>
      <c r="U2660" s="85">
        <f>IF(B2660="",0,IF(OR(H2660=MappingTables!$C$34,H2660=MappingTables!$C$35),T2660,0))</f>
        <v>0</v>
      </c>
      <c r="V2660" s="85">
        <f>IF(ISNA(IF(AND(VLOOKUP(CONCATENATE($D2660,$G2660),CSRFinput!$B:$E,4,0)=0,OR(H2660=MappingTables!$C$34,H2660=MappingTables!$C$35)),1,VLOOKUP(CONCATENATE($D2660,$G2660),CSRFinput!$B:$E,4,0))),0,IF(AND(VLOOKUP(CONCATENATE($D2660,$G2660),CSRFinput!$B:$E,4,0)=0,OR(H2660=MappingTables!$C$34,H2660=MappingTables!$C$35)),1,VLOOKUP(CONCATENATE($D2660,$G2660),CSRFinput!$B:$E,4,0)))</f>
        <v>0.054776304963434752</v>
      </c>
      <c r="W2660" s="85">
        <f>IF(B2660="",0,+$T2660*$V2660)</f>
        <v>0.41064404983644528</v>
      </c>
      <c r="X2660" s="85">
        <f>IF(B2660="",0,IF(OR(H2660=MappingTables!$C$34,H2660=MappingTables!$C$35),W2660,0))</f>
        <v>0</v>
      </c>
    </row>
    <row r="2661" spans="2:24" s="0" customFormat="0" ht="15">
      <c r="B2661" s="69">
        <v>13563455</v>
      </c>
      <c r="C2661" s="70" t="s">
        <v>2530</v>
      </c>
      <c r="D2661" s="70" t="s">
        <v>1</v>
      </c>
      <c r="E2661" s="70" t="s">
        <v>1</v>
      </c>
      <c r="F2661" s="70"/>
      <c r="G2661" s="70" t="s">
        <v>61</v>
      </c>
      <c r="H2661" s="70" t="s">
        <v>178</v>
      </c>
      <c r="I2661" s="70" t="s">
        <v>184</v>
      </c>
      <c r="J2661" s="71">
        <f>IF(OR(I2661=0,I2661=""),"unrated",VLOOKUP(I2661,MappingTables!$B$19:$C$31,2,FALSE))</f>
        <v>5</v>
      </c>
      <c r="K2661" s="72">
        <v>5469.9825169353304</v>
      </c>
      <c r="L2661" s="70">
        <v>1.25931169321219</v>
      </c>
      <c r="M2661" s="71">
        <f>IF(L2661&lt;1,1,L2661)</f>
        <v>1.25931169321219</v>
      </c>
      <c r="N2661" s="70" t="s">
        <v>141</v>
      </c>
      <c r="O2661" s="71">
        <f>INDEX(DurClassMapping,MATCH(M2661,MappingTables!$D$4:$D$8,-1),1)</f>
        <v>1</v>
      </c>
      <c r="P2661" s="73">
        <f>IF(M2661=$A$1,1,$M2661-INDEX(MappingTables!$E$4:$E$8,MATCH(O2661,MappingTables!$B$4:$B$8,0)))</f>
        <v>1.25931169321219</v>
      </c>
      <c r="Q2661" s="71">
        <f>IF(B2661="",0,INDEX(ModelParameters!$D$6:$K$10,MATCH($O2661,ModelParameters!$B$6:$B$10,0),MATCH($J2661,ModelParameters!$D$5:$K$5,0)))</f>
        <v>0.075</v>
      </c>
      <c r="R2661" s="71">
        <f>IF(B2661="",0,INDEX(ModelParameters!$D$13:$K$17,MATCH($O2661,ModelParameters!$B$13:$B$17,0),MATCH($J2661,ModelParameters!$D$5:$K$5,0)))</f>
        <v>0</v>
      </c>
      <c r="S2661" s="160">
        <f>IF(B2661="",0,MIN(IF($N2661="Other Bond TM",ModelParameters!$N$21,1)*(P2661*Q2661+R2661),1))</f>
        <v>0.09444837699091424</v>
      </c>
      <c r="T2661" s="85">
        <f>IF(B2661="",0,$S2661*$K2661)</f>
        <v>516.63097089321808</v>
      </c>
      <c r="U2661" s="85">
        <f>IF(B2661="",0,IF(OR(H2661=MappingTables!$C$34,H2661=MappingTables!$C$35),T2661,0))</f>
        <v>0</v>
      </c>
      <c r="V2661" s="85">
        <f>IF(ISNA(IF(AND(VLOOKUP(CONCATENATE($D2661,$G2661),CSRFinput!$B:$E,4,0)=0,OR(H2661=MappingTables!$C$34,H2661=MappingTables!$C$35)),1,VLOOKUP(CONCATENATE($D2661,$G2661),CSRFinput!$B:$E,4,0))),0,IF(AND(VLOOKUP(CONCATENATE($D2661,$G2661),CSRFinput!$B:$E,4,0)=0,OR(H2661=MappingTables!$C$34,H2661=MappingTables!$C$35)),1,VLOOKUP(CONCATENATE($D2661,$G2661),CSRFinput!$B:$E,4,0)))</f>
        <v>0.054776304963434752</v>
      </c>
      <c r="W2661" s="85">
        <f>IF(B2661="",0,+$T2661*$V2661)</f>
        <v>28.2991356152023</v>
      </c>
      <c r="X2661" s="85">
        <f>IF(B2661="",0,IF(OR(H2661=MappingTables!$C$34,H2661=MappingTables!$C$35),W2661,0))</f>
        <v>0</v>
      </c>
    </row>
    <row r="2662" spans="2:24" s="0" customFormat="0" ht="15">
      <c r="B2662" s="69">
        <v>23513473</v>
      </c>
      <c r="C2662" s="70" t="s">
        <v>813</v>
      </c>
      <c r="D2662" s="70" t="s">
        <v>1</v>
      </c>
      <c r="E2662" s="70" t="s">
        <v>1</v>
      </c>
      <c r="F2662" s="70"/>
      <c r="G2662" s="70" t="s">
        <v>61</v>
      </c>
      <c r="H2662" s="70" t="s">
        <v>178</v>
      </c>
      <c r="I2662" s="70" t="s">
        <v>181</v>
      </c>
      <c r="J2662" s="71">
        <f>IF(OR(I2662=0,I2662=""),"unrated",VLOOKUP(I2662,MappingTables!$B$19:$C$31,2,FALSE))</f>
        <v>3</v>
      </c>
      <c r="K2662" s="72">
        <v>571.6242351884864</v>
      </c>
      <c r="L2662" s="70">
        <v>1.4107768438675694</v>
      </c>
      <c r="M2662" s="71">
        <f>IF(L2662&lt;1,1,L2662)</f>
        <v>1.4107768438675694</v>
      </c>
      <c r="N2662" s="70" t="s">
        <v>141</v>
      </c>
      <c r="O2662" s="71">
        <f>INDEX(DurClassMapping,MATCH(M2662,MappingTables!$D$4:$D$8,-1),1)</f>
        <v>1</v>
      </c>
      <c r="P2662" s="73">
        <f>IF(M2662=$A$1,1,$M2662-INDEX(MappingTables!$E$4:$E$8,MATCH(O2662,MappingTables!$B$4:$B$8,0)))</f>
        <v>1.4107768438675694</v>
      </c>
      <c r="Q2662" s="71">
        <f>IF(B2662="",0,INDEX(ModelParameters!$D$6:$K$10,MATCH($O2662,ModelParameters!$B$6:$B$10,0),MATCH($J2662,ModelParameters!$D$5:$K$5,0)))</f>
        <v>0.025</v>
      </c>
      <c r="R2662" s="71">
        <f>IF(B2662="",0,INDEX(ModelParameters!$D$13:$K$17,MATCH($O2662,ModelParameters!$B$13:$B$17,0),MATCH($J2662,ModelParameters!$D$5:$K$5,0)))</f>
        <v>0</v>
      </c>
      <c r="S2662" s="160">
        <f>IF(B2662="",0,MIN(IF($N2662="Other Bond TM",ModelParameters!$N$21,1)*(P2662*Q2662+R2662),1))</f>
        <v>0.035269421096689236</v>
      </c>
      <c r="T2662" s="85">
        <f>IF(B2662="",0,$S2662*$K2662)</f>
        <v>20.160855859935652</v>
      </c>
      <c r="U2662" s="85">
        <f>IF(B2662="",0,IF(OR(H2662=MappingTables!$C$34,H2662=MappingTables!$C$35),T2662,0))</f>
        <v>0</v>
      </c>
      <c r="V2662" s="85">
        <f>IF(ISNA(IF(AND(VLOOKUP(CONCATENATE($D2662,$G2662),CSRFinput!$B:$E,4,0)=0,OR(H2662=MappingTables!$C$34,H2662=MappingTables!$C$35)),1,VLOOKUP(CONCATENATE($D2662,$G2662),CSRFinput!$B:$E,4,0))),0,IF(AND(VLOOKUP(CONCATENATE($D2662,$G2662),CSRFinput!$B:$E,4,0)=0,OR(H2662=MappingTables!$C$34,H2662=MappingTables!$C$35)),1,VLOOKUP(CONCATENATE($D2662,$G2662),CSRFinput!$B:$E,4,0)))</f>
        <v>0.054776304963434752</v>
      </c>
      <c r="W2662" s="85">
        <f>IF(B2662="",0,+$T2662*$V2662)</f>
        <v>1.1043371889076858</v>
      </c>
      <c r="X2662" s="85">
        <f>IF(B2662="",0,IF(OR(H2662=MappingTables!$C$34,H2662=MappingTables!$C$35),W2662,0))</f>
        <v>0</v>
      </c>
    </row>
    <row r="2663" spans="2:24" s="0" customFormat="0" ht="15">
      <c r="B2663" s="69">
        <v>20215777</v>
      </c>
      <c r="C2663" s="70" t="s">
        <v>2268</v>
      </c>
      <c r="D2663" s="70" t="s">
        <v>1</v>
      </c>
      <c r="E2663" s="70" t="s">
        <v>1</v>
      </c>
      <c r="F2663" s="70"/>
      <c r="G2663" s="70" t="s">
        <v>61</v>
      </c>
      <c r="H2663" s="70" t="s">
        <v>178</v>
      </c>
      <c r="I2663" s="70" t="s">
        <v>181</v>
      </c>
      <c r="J2663" s="71">
        <f>IF(OR(I2663=0,I2663=""),"unrated",VLOOKUP(I2663,MappingTables!$B$19:$C$31,2,FALSE))</f>
        <v>3</v>
      </c>
      <c r="K2663" s="72">
        <v>5037.51090276926</v>
      </c>
      <c r="L2663" s="70">
        <v>13.096120981117096</v>
      </c>
      <c r="M2663" s="71">
        <f>IF(L2663&lt;1,1,L2663)</f>
        <v>13.096120981117096</v>
      </c>
      <c r="N2663" s="70" t="s">
        <v>141</v>
      </c>
      <c r="O2663" s="71">
        <f>INDEX(DurClassMapping,MATCH(M2663,MappingTables!$D$4:$D$8,-1),1)</f>
        <v>3</v>
      </c>
      <c r="P2663" s="73">
        <f>IF(M2663=$A$1,1,$M2663-INDEX(MappingTables!$E$4:$E$8,MATCH(O2663,MappingTables!$B$4:$B$8,0)))</f>
        <v>3.096120981117096</v>
      </c>
      <c r="Q2663" s="71">
        <f>IF(B2663="",0,INDEX(ModelParameters!$D$6:$K$10,MATCH($O2663,ModelParameters!$B$6:$B$10,0),MATCH($J2663,ModelParameters!$D$5:$K$5,0)))</f>
        <v>0.01</v>
      </c>
      <c r="R2663" s="71">
        <f>IF(B2663="",0,INDEX(ModelParameters!$D$13:$K$17,MATCH($O2663,ModelParameters!$B$13:$B$17,0),MATCH($J2663,ModelParameters!$D$5:$K$5,0)))</f>
        <v>0.2</v>
      </c>
      <c r="S2663" s="160">
        <f>IF(B2663="",0,MIN(IF($N2663="Other Bond TM",ModelParameters!$N$21,1)*(P2663*Q2663+R2663),1))</f>
        <v>0.23096120981117096</v>
      </c>
      <c r="T2663" s="85">
        <f>IF(B2663="",0,$S2663*$K2663)</f>
        <v>1163.4696125405522</v>
      </c>
      <c r="U2663" s="85">
        <f>IF(B2663="",0,IF(OR(H2663=MappingTables!$C$34,H2663=MappingTables!$C$35),T2663,0))</f>
        <v>0</v>
      </c>
      <c r="V2663" s="85">
        <f>IF(ISNA(IF(AND(VLOOKUP(CONCATENATE($D2663,$G2663),CSRFinput!$B:$E,4,0)=0,OR(H2663=MappingTables!$C$34,H2663=MappingTables!$C$35)),1,VLOOKUP(CONCATENATE($D2663,$G2663),CSRFinput!$B:$E,4,0))),0,IF(AND(VLOOKUP(CONCATENATE($D2663,$G2663),CSRFinput!$B:$E,4,0)=0,OR(H2663=MappingTables!$C$34,H2663=MappingTables!$C$35)),1,VLOOKUP(CONCATENATE($D2663,$G2663),CSRFinput!$B:$E,4,0)))</f>
        <v>0.054776304963434752</v>
      </c>
      <c r="W2663" s="85">
        <f>IF(B2663="",0,+$T2663*$V2663)</f>
        <v>63.730566312210552</v>
      </c>
      <c r="X2663" s="85">
        <f>IF(B2663="",0,IF(OR(H2663=MappingTables!$C$34,H2663=MappingTables!$C$35),W2663,0))</f>
        <v>0</v>
      </c>
    </row>
    <row r="2664" spans="2:24" s="0" customFormat="0" ht="15">
      <c r="B2664" s="69">
        <v>17255180</v>
      </c>
      <c r="C2664" s="70" t="s">
        <v>2531</v>
      </c>
      <c r="D2664" s="70" t="s">
        <v>1</v>
      </c>
      <c r="E2664" s="70" t="s">
        <v>1</v>
      </c>
      <c r="F2664" s="70"/>
      <c r="G2664" s="70" t="s">
        <v>61</v>
      </c>
      <c r="H2664" s="70" t="s">
        <v>178</v>
      </c>
      <c r="I2664" s="70" t="s">
        <v>181</v>
      </c>
      <c r="J2664" s="71">
        <f>IF(OR(I2664=0,I2664=""),"unrated",VLOOKUP(I2664,MappingTables!$B$19:$C$31,2,FALSE))</f>
        <v>3</v>
      </c>
      <c r="K2664" s="72">
        <v>125.40182606128712</v>
      </c>
      <c r="L2664" s="70">
        <v>1.4219498801430884</v>
      </c>
      <c r="M2664" s="71">
        <f>IF(L2664&lt;1,1,L2664)</f>
        <v>1.4219498801430884</v>
      </c>
      <c r="N2664" s="70" t="s">
        <v>141</v>
      </c>
      <c r="O2664" s="71">
        <f>INDEX(DurClassMapping,MATCH(M2664,MappingTables!$D$4:$D$8,-1),1)</f>
        <v>1</v>
      </c>
      <c r="P2664" s="73">
        <f>IF(M2664=$A$1,1,$M2664-INDEX(MappingTables!$E$4:$E$8,MATCH(O2664,MappingTables!$B$4:$B$8,0)))</f>
        <v>1.4219498801430884</v>
      </c>
      <c r="Q2664" s="71">
        <f>IF(B2664="",0,INDEX(ModelParameters!$D$6:$K$10,MATCH($O2664,ModelParameters!$B$6:$B$10,0),MATCH($J2664,ModelParameters!$D$5:$K$5,0)))</f>
        <v>0.025</v>
      </c>
      <c r="R2664" s="71">
        <f>IF(B2664="",0,INDEX(ModelParameters!$D$13:$K$17,MATCH($O2664,ModelParameters!$B$13:$B$17,0),MATCH($J2664,ModelParameters!$D$5:$K$5,0)))</f>
        <v>0</v>
      </c>
      <c r="S2664" s="160">
        <f>IF(B2664="",0,MIN(IF($N2664="Other Bond TM",ModelParameters!$N$21,1)*(P2664*Q2664+R2664),1))</f>
        <v>0.035548747003577208</v>
      </c>
      <c r="T2664" s="85">
        <f>IF(B2664="",0,$S2664*$K2664)</f>
        <v>4.4578777884392904</v>
      </c>
      <c r="U2664" s="85">
        <f>IF(B2664="",0,IF(OR(H2664=MappingTables!$C$34,H2664=MappingTables!$C$35),T2664,0))</f>
        <v>0</v>
      </c>
      <c r="V2664" s="85">
        <f>IF(ISNA(IF(AND(VLOOKUP(CONCATENATE($D2664,$G2664),CSRFinput!$B:$E,4,0)=0,OR(H2664=MappingTables!$C$34,H2664=MappingTables!$C$35)),1,VLOOKUP(CONCATENATE($D2664,$G2664),CSRFinput!$B:$E,4,0))),0,IF(AND(VLOOKUP(CONCATENATE($D2664,$G2664),CSRFinput!$B:$E,4,0)=0,OR(H2664=MappingTables!$C$34,H2664=MappingTables!$C$35)),1,VLOOKUP(CONCATENATE($D2664,$G2664),CSRFinput!$B:$E,4,0)))</f>
        <v>0.054776304963434752</v>
      </c>
      <c r="W2664" s="85">
        <f>IF(B2664="",0,+$T2664*$V2664)</f>
        <v>0.24418607322927264</v>
      </c>
      <c r="X2664" s="85">
        <f>IF(B2664="",0,IF(OR(H2664=MappingTables!$C$34,H2664=MappingTables!$C$35),W2664,0))</f>
        <v>0</v>
      </c>
    </row>
    <row r="2665" spans="2:24" s="0" customFormat="0" ht="15">
      <c r="B2665" s="69">
        <v>22676179</v>
      </c>
      <c r="C2665" s="70" t="s">
        <v>2532</v>
      </c>
      <c r="D2665" s="70" t="s">
        <v>1</v>
      </c>
      <c r="E2665" s="70" t="s">
        <v>1</v>
      </c>
      <c r="F2665" s="70"/>
      <c r="G2665" s="70" t="s">
        <v>61</v>
      </c>
      <c r="H2665" s="70" t="s">
        <v>178</v>
      </c>
      <c r="I2665" s="70" t="s">
        <v>181</v>
      </c>
      <c r="J2665" s="71">
        <f>IF(OR(I2665=0,I2665=""),"unrated",VLOOKUP(I2665,MappingTables!$B$19:$C$31,2,FALSE))</f>
        <v>3</v>
      </c>
      <c r="K2665" s="72">
        <v>8862.1642088751376</v>
      </c>
      <c r="L2665" s="70">
        <v>1.7809145596680686</v>
      </c>
      <c r="M2665" s="71">
        <f>IF(L2665&lt;1,1,L2665)</f>
        <v>1.7809145596680686</v>
      </c>
      <c r="N2665" s="70" t="s">
        <v>141</v>
      </c>
      <c r="O2665" s="71">
        <f>INDEX(DurClassMapping,MATCH(M2665,MappingTables!$D$4:$D$8,-1),1)</f>
        <v>1</v>
      </c>
      <c r="P2665" s="73">
        <f>IF(M2665=$A$1,1,$M2665-INDEX(MappingTables!$E$4:$E$8,MATCH(O2665,MappingTables!$B$4:$B$8,0)))</f>
        <v>1.7809145596680686</v>
      </c>
      <c r="Q2665" s="71">
        <f>IF(B2665="",0,INDEX(ModelParameters!$D$6:$K$10,MATCH($O2665,ModelParameters!$B$6:$B$10,0),MATCH($J2665,ModelParameters!$D$5:$K$5,0)))</f>
        <v>0.025</v>
      </c>
      <c r="R2665" s="71">
        <f>IF(B2665="",0,INDEX(ModelParameters!$D$13:$K$17,MATCH($O2665,ModelParameters!$B$13:$B$17,0),MATCH($J2665,ModelParameters!$D$5:$K$5,0)))</f>
        <v>0</v>
      </c>
      <c r="S2665" s="160">
        <f>IF(B2665="",0,MIN(IF($N2665="Other Bond TM",ModelParameters!$N$21,1)*(P2665*Q2665+R2665),1))</f>
        <v>0.04452286399170172</v>
      </c>
      <c r="T2665" s="85">
        <f>IF(B2665="",0,$S2665*$K2665)</f>
        <v>394.56893174387464</v>
      </c>
      <c r="U2665" s="85">
        <f>IF(B2665="",0,IF(OR(H2665=MappingTables!$C$34,H2665=MappingTables!$C$35),T2665,0))</f>
        <v>0</v>
      </c>
      <c r="V2665" s="85">
        <f>IF(ISNA(IF(AND(VLOOKUP(CONCATENATE($D2665,$G2665),CSRFinput!$B:$E,4,0)=0,OR(H2665=MappingTables!$C$34,H2665=MappingTables!$C$35)),1,VLOOKUP(CONCATENATE($D2665,$G2665),CSRFinput!$B:$E,4,0))),0,IF(AND(VLOOKUP(CONCATENATE($D2665,$G2665),CSRFinput!$B:$E,4,0)=0,OR(H2665=MappingTables!$C$34,H2665=MappingTables!$C$35)),1,VLOOKUP(CONCATENATE($D2665,$G2665),CSRFinput!$B:$E,4,0)))</f>
        <v>0.054776304963434752</v>
      </c>
      <c r="W2665" s="85">
        <f>IF(B2665="",0,+$T2665*$V2665)</f>
        <v>21.613028134299144</v>
      </c>
      <c r="X2665" s="85">
        <f>IF(B2665="",0,IF(OR(H2665=MappingTables!$C$34,H2665=MappingTables!$C$35),W2665,0))</f>
        <v>0</v>
      </c>
    </row>
    <row r="2666" spans="2:24" s="0" customFormat="0" ht="15">
      <c r="B2666" s="69">
        <v>14683362</v>
      </c>
      <c r="C2666" s="70" t="s">
        <v>1034</v>
      </c>
      <c r="D2666" s="70" t="s">
        <v>1</v>
      </c>
      <c r="E2666" s="70" t="s">
        <v>1</v>
      </c>
      <c r="F2666" s="70"/>
      <c r="G2666" s="70" t="s">
        <v>61</v>
      </c>
      <c r="H2666" s="70" t="s">
        <v>178</v>
      </c>
      <c r="I2666" s="70" t="s">
        <v>181</v>
      </c>
      <c r="J2666" s="71">
        <f>IF(OR(I2666=0,I2666=""),"unrated",VLOOKUP(I2666,MappingTables!$B$19:$C$31,2,FALSE))</f>
        <v>3</v>
      </c>
      <c r="K2666" s="72">
        <v>1876.8523697487168</v>
      </c>
      <c r="L2666" s="70">
        <v>3.3778104336564616</v>
      </c>
      <c r="M2666" s="71">
        <f>IF(L2666&lt;1,1,L2666)</f>
        <v>3.3778104336564616</v>
      </c>
      <c r="N2666" s="70" t="s">
        <v>141</v>
      </c>
      <c r="O2666" s="71">
        <f>INDEX(DurClassMapping,MATCH(M2666,MappingTables!$D$4:$D$8,-1),1)</f>
        <v>1</v>
      </c>
      <c r="P2666" s="73">
        <f>IF(M2666=$A$1,1,$M2666-INDEX(MappingTables!$E$4:$E$8,MATCH(O2666,MappingTables!$B$4:$B$8,0)))</f>
        <v>3.3778104336564616</v>
      </c>
      <c r="Q2666" s="71">
        <f>IF(B2666="",0,INDEX(ModelParameters!$D$6:$K$10,MATCH($O2666,ModelParameters!$B$6:$B$10,0),MATCH($J2666,ModelParameters!$D$5:$K$5,0)))</f>
        <v>0.025</v>
      </c>
      <c r="R2666" s="71">
        <f>IF(B2666="",0,INDEX(ModelParameters!$D$13:$K$17,MATCH($O2666,ModelParameters!$B$13:$B$17,0),MATCH($J2666,ModelParameters!$D$5:$K$5,0)))</f>
        <v>0</v>
      </c>
      <c r="S2666" s="160">
        <f>IF(B2666="",0,MIN(IF($N2666="Other Bond TM",ModelParameters!$N$21,1)*(P2666*Q2666+R2666),1))</f>
        <v>0.084445260841411552</v>
      </c>
      <c r="T2666" s="85">
        <f>IF(B2666="",0,$S2666*$K2666)</f>
        <v>158.49128792425176</v>
      </c>
      <c r="U2666" s="85">
        <f>IF(B2666="",0,IF(OR(H2666=MappingTables!$C$34,H2666=MappingTables!$C$35),T2666,0))</f>
        <v>0</v>
      </c>
      <c r="V2666" s="85">
        <f>IF(ISNA(IF(AND(VLOOKUP(CONCATENATE($D2666,$G2666),CSRFinput!$B:$E,4,0)=0,OR(H2666=MappingTables!$C$34,H2666=MappingTables!$C$35)),1,VLOOKUP(CONCATENATE($D2666,$G2666),CSRFinput!$B:$E,4,0))),0,IF(AND(VLOOKUP(CONCATENATE($D2666,$G2666),CSRFinput!$B:$E,4,0)=0,OR(H2666=MappingTables!$C$34,H2666=MappingTables!$C$35)),1,VLOOKUP(CONCATENATE($D2666,$G2666),CSRFinput!$B:$E,4,0)))</f>
        <v>0.054776304963434752</v>
      </c>
      <c r="W2666" s="85">
        <f>IF(B2666="",0,+$T2666*$V2666)</f>
        <v>8.6815671213863584</v>
      </c>
      <c r="X2666" s="85">
        <f>IF(B2666="",0,IF(OR(H2666=MappingTables!$C$34,H2666=MappingTables!$C$35),W2666,0))</f>
        <v>0</v>
      </c>
    </row>
    <row r="2667" spans="2:24" s="0" customFormat="0" ht="15">
      <c r="B2667" s="69">
        <v>23528331</v>
      </c>
      <c r="C2667" s="70" t="s">
        <v>322</v>
      </c>
      <c r="D2667" s="70" t="s">
        <v>1</v>
      </c>
      <c r="E2667" s="70" t="s">
        <v>1</v>
      </c>
      <c r="F2667" s="70"/>
      <c r="G2667" s="70" t="s">
        <v>61</v>
      </c>
      <c r="H2667" s="70" t="s">
        <v>178</v>
      </c>
      <c r="I2667" s="70" t="s">
        <v>184</v>
      </c>
      <c r="J2667" s="71">
        <f>IF(OR(I2667=0,I2667=""),"unrated",VLOOKUP(I2667,MappingTables!$B$19:$C$31,2,FALSE))</f>
        <v>5</v>
      </c>
      <c r="K2667" s="72">
        <v>449.30038976290168</v>
      </c>
      <c r="L2667" s="70">
        <v>1.722636793505052</v>
      </c>
      <c r="M2667" s="71">
        <f>IF(L2667&lt;1,1,L2667)</f>
        <v>1.722636793505052</v>
      </c>
      <c r="N2667" s="70" t="s">
        <v>141</v>
      </c>
      <c r="O2667" s="71">
        <f>INDEX(DurClassMapping,MATCH(M2667,MappingTables!$D$4:$D$8,-1),1)</f>
        <v>1</v>
      </c>
      <c r="P2667" s="73">
        <f>IF(M2667=$A$1,1,$M2667-INDEX(MappingTables!$E$4:$E$8,MATCH(O2667,MappingTables!$B$4:$B$8,0)))</f>
        <v>1.722636793505052</v>
      </c>
      <c r="Q2667" s="71">
        <f>IF(B2667="",0,INDEX(ModelParameters!$D$6:$K$10,MATCH($O2667,ModelParameters!$B$6:$B$10,0),MATCH($J2667,ModelParameters!$D$5:$K$5,0)))</f>
        <v>0.075</v>
      </c>
      <c r="R2667" s="71">
        <f>IF(B2667="",0,INDEX(ModelParameters!$D$13:$K$17,MATCH($O2667,ModelParameters!$B$13:$B$17,0),MATCH($J2667,ModelParameters!$D$5:$K$5,0)))</f>
        <v>0</v>
      </c>
      <c r="S2667" s="160">
        <f>IF(B2667="",0,MIN(IF($N2667="Other Bond TM",ModelParameters!$N$21,1)*(P2667*Q2667+R2667),1))</f>
        <v>0.1291977595128789</v>
      </c>
      <c r="T2667" s="85">
        <f>IF(B2667="",0,$S2667*$K2667)</f>
        <v>58.048603705630136</v>
      </c>
      <c r="U2667" s="85">
        <f>IF(B2667="",0,IF(OR(H2667=MappingTables!$C$34,H2667=MappingTables!$C$35),T2667,0))</f>
        <v>0</v>
      </c>
      <c r="V2667" s="85">
        <f>IF(ISNA(IF(AND(VLOOKUP(CONCATENATE($D2667,$G2667),CSRFinput!$B:$E,4,0)=0,OR(H2667=MappingTables!$C$34,H2667=MappingTables!$C$35)),1,VLOOKUP(CONCATENATE($D2667,$G2667),CSRFinput!$B:$E,4,0))),0,IF(AND(VLOOKUP(CONCATENATE($D2667,$G2667),CSRFinput!$B:$E,4,0)=0,OR(H2667=MappingTables!$C$34,H2667=MappingTables!$C$35)),1,VLOOKUP(CONCATENATE($D2667,$G2667),CSRFinput!$B:$E,4,0)))</f>
        <v>0.054776304963434752</v>
      </c>
      <c r="W2667" s="85">
        <f>IF(B2667="",0,+$T2667*$V2667)</f>
        <v>3.1796880192811652</v>
      </c>
      <c r="X2667" s="85">
        <f>IF(B2667="",0,IF(OR(H2667=MappingTables!$C$34,H2667=MappingTables!$C$35),W2667,0))</f>
        <v>0</v>
      </c>
    </row>
    <row r="2668" spans="2:24" s="0" customFormat="0" ht="15">
      <c r="B2668" s="69">
        <v>18992190</v>
      </c>
      <c r="C2668" s="70" t="s">
        <v>238</v>
      </c>
      <c r="D2668" s="70" t="s">
        <v>1</v>
      </c>
      <c r="E2668" s="70" t="s">
        <v>1</v>
      </c>
      <c r="F2668" s="70"/>
      <c r="G2668" s="70" t="s">
        <v>61</v>
      </c>
      <c r="H2668" s="70" t="s">
        <v>178</v>
      </c>
      <c r="I2668" s="70" t="s">
        <v>179</v>
      </c>
      <c r="J2668" s="71">
        <f>IF(OR(I2668=0,I2668=""),"unrated",VLOOKUP(I2668,MappingTables!$B$19:$C$31,2,FALSE))</f>
        <v>4</v>
      </c>
      <c r="K2668" s="72">
        <v>488.63755246177064</v>
      </c>
      <c r="L2668" s="70">
        <v>2.546767931579256</v>
      </c>
      <c r="M2668" s="71">
        <f>IF(L2668&lt;1,1,L2668)</f>
        <v>2.546767931579256</v>
      </c>
      <c r="N2668" s="70" t="s">
        <v>141</v>
      </c>
      <c r="O2668" s="71">
        <f>INDEX(DurClassMapping,MATCH(M2668,MappingTables!$D$4:$D$8,-1),1)</f>
        <v>1</v>
      </c>
      <c r="P2668" s="73">
        <f>IF(M2668=$A$1,1,$M2668-INDEX(MappingTables!$E$4:$E$8,MATCH(O2668,MappingTables!$B$4:$B$8,0)))</f>
        <v>2.546767931579256</v>
      </c>
      <c r="Q2668" s="71">
        <f>IF(B2668="",0,INDEX(ModelParameters!$D$6:$K$10,MATCH($O2668,ModelParameters!$B$6:$B$10,0),MATCH($J2668,ModelParameters!$D$5:$K$5,0)))</f>
        <v>0.045</v>
      </c>
      <c r="R2668" s="71">
        <f>IF(B2668="",0,INDEX(ModelParameters!$D$13:$K$17,MATCH($O2668,ModelParameters!$B$13:$B$17,0),MATCH($J2668,ModelParameters!$D$5:$K$5,0)))</f>
        <v>0</v>
      </c>
      <c r="S2668" s="160">
        <f>IF(B2668="",0,MIN(IF($N2668="Other Bond TM",ModelParameters!$N$21,1)*(P2668*Q2668+R2668),1))</f>
        <v>0.11460455692106652</v>
      </c>
      <c r="T2668" s="85">
        <f>IF(B2668="",0,$S2668*$K2668)</f>
        <v>56.000090194875616</v>
      </c>
      <c r="U2668" s="85">
        <f>IF(B2668="",0,IF(OR(H2668=MappingTables!$C$34,H2668=MappingTables!$C$35),T2668,0))</f>
        <v>0</v>
      </c>
      <c r="V2668" s="85">
        <f>IF(ISNA(IF(AND(VLOOKUP(CONCATENATE($D2668,$G2668),CSRFinput!$B:$E,4,0)=0,OR(H2668=MappingTables!$C$34,H2668=MappingTables!$C$35)),1,VLOOKUP(CONCATENATE($D2668,$G2668),CSRFinput!$B:$E,4,0))),0,IF(AND(VLOOKUP(CONCATENATE($D2668,$G2668),CSRFinput!$B:$E,4,0)=0,OR(H2668=MappingTables!$C$34,H2668=MappingTables!$C$35)),1,VLOOKUP(CONCATENATE($D2668,$G2668),CSRFinput!$B:$E,4,0)))</f>
        <v>0.054776304963434752</v>
      </c>
      <c r="W2668" s="85">
        <f>IF(B2668="",0,+$T2668*$V2668)</f>
        <v>3.0674780184943592</v>
      </c>
      <c r="X2668" s="85">
        <f>IF(B2668="",0,IF(OR(H2668=MappingTables!$C$34,H2668=MappingTables!$C$35),W2668,0))</f>
        <v>0</v>
      </c>
    </row>
    <row r="2669" spans="2:24" s="0" customFormat="0" ht="15">
      <c r="B2669" s="69" t="s">
        <v>1202</v>
      </c>
      <c r="C2669" s="70" t="s">
        <v>1203</v>
      </c>
      <c r="D2669" s="70" t="s">
        <v>1</v>
      </c>
      <c r="E2669" s="70" t="s">
        <v>1</v>
      </c>
      <c r="F2669" s="70"/>
      <c r="G2669" s="70" t="s">
        <v>61</v>
      </c>
      <c r="H2669" s="70" t="s">
        <v>178</v>
      </c>
      <c r="I2669" s="70" t="s">
        <v>198</v>
      </c>
      <c r="J2669" s="71" t="str">
        <f>IF(OR(I2669=0,I2669=""),"unrated",VLOOKUP(I2669,MappingTables!$B$19:$C$31,2,FALSE))</f>
        <v>unrated</v>
      </c>
      <c r="K2669" s="72">
        <v>0.12048355868525392</v>
      </c>
      <c r="L2669" s="70">
        <v>0.032876796779128652</v>
      </c>
      <c r="M2669" s="71">
        <f>IF(L2669&lt;1,1,L2669)</f>
        <v>1</v>
      </c>
      <c r="N2669" s="70" t="s">
        <v>141</v>
      </c>
      <c r="O2669" s="71">
        <f>INDEX(DurClassMapping,MATCH(M2669,MappingTables!$D$4:$D$8,-1),1)</f>
        <v>1</v>
      </c>
      <c r="P2669" s="73">
        <f>IF(M2669=$A$1,1,$M2669-INDEX(MappingTables!$E$4:$E$8,MATCH(O2669,MappingTables!$B$4:$B$8,0)))</f>
        <v>1</v>
      </c>
      <c r="Q2669" s="71">
        <f>IF(B2669="",0,INDEX(ModelParameters!$D$6:$K$10,MATCH($O2669,ModelParameters!$B$6:$B$10,0),MATCH($J2669,ModelParameters!$D$5:$K$5,0)))</f>
        <v>0.03</v>
      </c>
      <c r="R2669" s="71">
        <f>IF(B2669="",0,INDEX(ModelParameters!$D$13:$K$17,MATCH($O2669,ModelParameters!$B$13:$B$17,0),MATCH($J2669,ModelParameters!$D$5:$K$5,0)))</f>
        <v>0</v>
      </c>
      <c r="S2669" s="160">
        <f>IF(B2669="",0,MIN(IF($N2669="Other Bond TM",ModelParameters!$N$21,1)*(P2669*Q2669+R2669),1))</f>
        <v>0.03</v>
      </c>
      <c r="T2669" s="85">
        <f>IF(B2669="",0,$S2669*$K2669)</f>
        <v>0.0036145067605576176</v>
      </c>
      <c r="U2669" s="85">
        <f>IF(B2669="",0,IF(OR(H2669=MappingTables!$C$34,H2669=MappingTables!$C$35),T2669,0))</f>
        <v>0</v>
      </c>
      <c r="V2669" s="85">
        <f>IF(ISNA(IF(AND(VLOOKUP(CONCATENATE($D2669,$G2669),CSRFinput!$B:$E,4,0)=0,OR(H2669=MappingTables!$C$34,H2669=MappingTables!$C$35)),1,VLOOKUP(CONCATENATE($D2669,$G2669),CSRFinput!$B:$E,4,0))),0,IF(AND(VLOOKUP(CONCATENATE($D2669,$G2669),CSRFinput!$B:$E,4,0)=0,OR(H2669=MappingTables!$C$34,H2669=MappingTables!$C$35)),1,VLOOKUP(CONCATENATE($D2669,$G2669),CSRFinput!$B:$E,4,0)))</f>
        <v>0.054776304963434752</v>
      </c>
      <c r="W2669" s="85">
        <f>IF(B2669="",0,+$T2669*$V2669)</f>
        <v>0.00019798932460870068</v>
      </c>
      <c r="X2669" s="85">
        <f>IF(B2669="",0,IF(OR(H2669=MappingTables!$C$34,H2669=MappingTables!$C$35),W2669,0))</f>
        <v>0</v>
      </c>
    </row>
    <row r="2670" spans="2:24" s="0" customFormat="0" ht="15">
      <c r="B2670" s="69">
        <v>12041225</v>
      </c>
      <c r="C2670" s="70" t="s">
        <v>2533</v>
      </c>
      <c r="D2670" s="70" t="s">
        <v>1</v>
      </c>
      <c r="E2670" s="70" t="s">
        <v>1</v>
      </c>
      <c r="F2670" s="70"/>
      <c r="G2670" s="70" t="s">
        <v>61</v>
      </c>
      <c r="H2670" s="70" t="s">
        <v>178</v>
      </c>
      <c r="I2670" s="70" t="s">
        <v>181</v>
      </c>
      <c r="J2670" s="71">
        <f>IF(OR(I2670=0,I2670=""),"unrated",VLOOKUP(I2670,MappingTables!$B$19:$C$31,2,FALSE))</f>
        <v>3</v>
      </c>
      <c r="K2670" s="72">
        <v>7129.7616789212896</v>
      </c>
      <c r="L2670" s="70">
        <v>0.43561887856434896</v>
      </c>
      <c r="M2670" s="71">
        <f>IF(L2670&lt;1,1,L2670)</f>
        <v>1</v>
      </c>
      <c r="N2670" s="70" t="s">
        <v>141</v>
      </c>
      <c r="O2670" s="71">
        <f>INDEX(DurClassMapping,MATCH(M2670,MappingTables!$D$4:$D$8,-1),1)</f>
        <v>1</v>
      </c>
      <c r="P2670" s="73">
        <f>IF(M2670=$A$1,1,$M2670-INDEX(MappingTables!$E$4:$E$8,MATCH(O2670,MappingTables!$B$4:$B$8,0)))</f>
        <v>1</v>
      </c>
      <c r="Q2670" s="71">
        <f>IF(B2670="",0,INDEX(ModelParameters!$D$6:$K$10,MATCH($O2670,ModelParameters!$B$6:$B$10,0),MATCH($J2670,ModelParameters!$D$5:$K$5,0)))</f>
        <v>0.025</v>
      </c>
      <c r="R2670" s="71">
        <f>IF(B2670="",0,INDEX(ModelParameters!$D$13:$K$17,MATCH($O2670,ModelParameters!$B$13:$B$17,0),MATCH($J2670,ModelParameters!$D$5:$K$5,0)))</f>
        <v>0</v>
      </c>
      <c r="S2670" s="160">
        <f>IF(B2670="",0,MIN(IF($N2670="Other Bond TM",ModelParameters!$N$21,1)*(P2670*Q2670+R2670),1))</f>
        <v>0.025</v>
      </c>
      <c r="T2670" s="85">
        <f>IF(B2670="",0,$S2670*$K2670)</f>
        <v>178.24404197303226</v>
      </c>
      <c r="U2670" s="85">
        <f>IF(B2670="",0,IF(OR(H2670=MappingTables!$C$34,H2670=MappingTables!$C$35),T2670,0))</f>
        <v>0</v>
      </c>
      <c r="V2670" s="85">
        <f>IF(ISNA(IF(AND(VLOOKUP(CONCATENATE($D2670,$G2670),CSRFinput!$B:$E,4,0)=0,OR(H2670=MappingTables!$C$34,H2670=MappingTables!$C$35)),1,VLOOKUP(CONCATENATE($D2670,$G2670),CSRFinput!$B:$E,4,0))),0,IF(AND(VLOOKUP(CONCATENATE($D2670,$G2670),CSRFinput!$B:$E,4,0)=0,OR(H2670=MappingTables!$C$34,H2670=MappingTables!$C$35)),1,VLOOKUP(CONCATENATE($D2670,$G2670),CSRFinput!$B:$E,4,0)))</f>
        <v>0.054776304963434752</v>
      </c>
      <c r="W2670" s="85">
        <f>IF(B2670="",0,+$T2670*$V2670)</f>
        <v>9.76355000103008</v>
      </c>
      <c r="X2670" s="85">
        <f>IF(B2670="",0,IF(OR(H2670=MappingTables!$C$34,H2670=MappingTables!$C$35),W2670,0))</f>
        <v>0</v>
      </c>
    </row>
    <row r="2671" spans="2:24" s="0" customFormat="0" ht="15">
      <c r="B2671" s="69">
        <v>24738982</v>
      </c>
      <c r="C2671" s="70" t="s">
        <v>2534</v>
      </c>
      <c r="D2671" s="70" t="s">
        <v>1</v>
      </c>
      <c r="E2671" s="70" t="s">
        <v>1</v>
      </c>
      <c r="F2671" s="70"/>
      <c r="G2671" s="70" t="s">
        <v>61</v>
      </c>
      <c r="H2671" s="70" t="s">
        <v>178</v>
      </c>
      <c r="I2671" s="70" t="s">
        <v>220</v>
      </c>
      <c r="J2671" s="71">
        <f>IF(OR(I2671=0,I2671=""),"unrated",VLOOKUP(I2671,MappingTables!$B$19:$C$31,2,FALSE))</f>
        <v>1</v>
      </c>
      <c r="K2671" s="72">
        <v>3977.5136337334304</v>
      </c>
      <c r="L2671" s="70">
        <v>0.073971635201470048</v>
      </c>
      <c r="M2671" s="71">
        <f>IF(L2671&lt;1,1,L2671)</f>
        <v>1</v>
      </c>
      <c r="N2671" s="70" t="s">
        <v>141</v>
      </c>
      <c r="O2671" s="71">
        <f>INDEX(DurClassMapping,MATCH(M2671,MappingTables!$D$4:$D$8,-1),1)</f>
        <v>1</v>
      </c>
      <c r="P2671" s="73">
        <f>IF(M2671=$A$1,1,$M2671-INDEX(MappingTables!$E$4:$E$8,MATCH(O2671,MappingTables!$B$4:$B$8,0)))</f>
        <v>1</v>
      </c>
      <c r="Q2671" s="71">
        <f>IF(B2671="",0,INDEX(ModelParameters!$D$6:$K$10,MATCH($O2671,ModelParameters!$B$6:$B$10,0),MATCH($J2671,ModelParameters!$D$5:$K$5,0)))</f>
        <v>0.011000000000000002</v>
      </c>
      <c r="R2671" s="71">
        <f>IF(B2671="",0,INDEX(ModelParameters!$D$13:$K$17,MATCH($O2671,ModelParameters!$B$13:$B$17,0),MATCH($J2671,ModelParameters!$D$5:$K$5,0)))</f>
        <v>0</v>
      </c>
      <c r="S2671" s="160">
        <f>IF(B2671="",0,MIN(IF($N2671="Other Bond TM",ModelParameters!$N$21,1)*(P2671*Q2671+R2671),1))</f>
        <v>0.011000000000000002</v>
      </c>
      <c r="T2671" s="85">
        <f>IF(B2671="",0,$S2671*$K2671)</f>
        <v>43.752649971067736</v>
      </c>
      <c r="U2671" s="85">
        <f>IF(B2671="",0,IF(OR(H2671=MappingTables!$C$34,H2671=MappingTables!$C$35),T2671,0))</f>
        <v>0</v>
      </c>
      <c r="V2671" s="85">
        <f>IF(ISNA(IF(AND(VLOOKUP(CONCATENATE($D2671,$G2671),CSRFinput!$B:$E,4,0)=0,OR(H2671=MappingTables!$C$34,H2671=MappingTables!$C$35)),1,VLOOKUP(CONCATENATE($D2671,$G2671),CSRFinput!$B:$E,4,0))),0,IF(AND(VLOOKUP(CONCATENATE($D2671,$G2671),CSRFinput!$B:$E,4,0)=0,OR(H2671=MappingTables!$C$34,H2671=MappingTables!$C$35)),1,VLOOKUP(CONCATENATE($D2671,$G2671),CSRFinput!$B:$E,4,0)))</f>
        <v>0.054776304963434752</v>
      </c>
      <c r="W2671" s="85">
        <f>IF(B2671="",0,+$T2671*$V2671)</f>
        <v>2.3966084977736212</v>
      </c>
      <c r="X2671" s="85">
        <f>IF(B2671="",0,IF(OR(H2671=MappingTables!$C$34,H2671=MappingTables!$C$35),W2671,0))</f>
        <v>0</v>
      </c>
    </row>
    <row r="2672" spans="2:24" s="0" customFormat="0" ht="15">
      <c r="B2672" s="69">
        <v>19035757</v>
      </c>
      <c r="C2672" s="70" t="s">
        <v>400</v>
      </c>
      <c r="D2672" s="70" t="s">
        <v>1</v>
      </c>
      <c r="E2672" s="70" t="s">
        <v>1</v>
      </c>
      <c r="F2672" s="70"/>
      <c r="G2672" s="70" t="s">
        <v>61</v>
      </c>
      <c r="H2672" s="70" t="s">
        <v>178</v>
      </c>
      <c r="I2672" s="70" t="s">
        <v>188</v>
      </c>
      <c r="J2672" s="71">
        <f>IF(OR(I2672=0,I2672=""),"unrated",VLOOKUP(I2672,MappingTables!$B$19:$C$31,2,FALSE))</f>
        <v>2</v>
      </c>
      <c r="K2672" s="72">
        <v>1512140.5792236328</v>
      </c>
      <c r="L2672" s="70">
        <v>7.909001591277144</v>
      </c>
      <c r="M2672" s="71">
        <f>IF(L2672&lt;1,1,L2672)</f>
        <v>7.909001591277144</v>
      </c>
      <c r="N2672" s="70" t="s">
        <v>141</v>
      </c>
      <c r="O2672" s="71">
        <f>INDEX(DurClassMapping,MATCH(M2672,MappingTables!$D$4:$D$8,-1),1)</f>
        <v>2</v>
      </c>
      <c r="P2672" s="73">
        <f>IF(M2672=$A$1,1,$M2672-INDEX(MappingTables!$E$4:$E$8,MATCH(O2672,MappingTables!$B$4:$B$8,0)))</f>
        <v>2.9090015912771436</v>
      </c>
      <c r="Q2672" s="71">
        <f>IF(B2672="",0,INDEX(ModelParameters!$D$6:$K$10,MATCH($O2672,ModelParameters!$B$6:$B$10,0),MATCH($J2672,ModelParameters!$D$5:$K$5,0)))</f>
        <v>0.0069999999999999992</v>
      </c>
      <c r="R2672" s="71">
        <f>IF(B2672="",0,INDEX(ModelParameters!$D$13:$K$17,MATCH($O2672,ModelParameters!$B$13:$B$17,0),MATCH($J2672,ModelParameters!$D$5:$K$5,0)))</f>
        <v>0.070000000000000008</v>
      </c>
      <c r="S2672" s="160">
        <f>IF(B2672="",0,MIN(IF($N2672="Other Bond TM",ModelParameters!$N$21,1)*(P2672*Q2672+R2672),1))</f>
        <v>0.09036301113894</v>
      </c>
      <c r="T2672" s="85">
        <f>IF(B2672="",0,$S2672*$K2672)</f>
        <v>136641.57600402832</v>
      </c>
      <c r="U2672" s="85">
        <f>IF(B2672="",0,IF(OR(H2672=MappingTables!$C$34,H2672=MappingTables!$C$35),T2672,0))</f>
        <v>0</v>
      </c>
      <c r="V2672" s="85">
        <f>IF(ISNA(IF(AND(VLOOKUP(CONCATENATE($D2672,$G2672),CSRFinput!$B:$E,4,0)=0,OR(H2672=MappingTables!$C$34,H2672=MappingTables!$C$35)),1,VLOOKUP(CONCATENATE($D2672,$G2672),CSRFinput!$B:$E,4,0))),0,IF(AND(VLOOKUP(CONCATENATE($D2672,$G2672),CSRFinput!$B:$E,4,0)=0,OR(H2672=MappingTables!$C$34,H2672=MappingTables!$C$35)),1,VLOOKUP(CONCATENATE($D2672,$G2672),CSRFinput!$B:$E,4,0)))</f>
        <v>0.054776304963434752</v>
      </c>
      <c r="W2672" s="85">
        <f>IF(B2672="",0,+$T2672*$V2672)</f>
        <v>7484.7206378810032</v>
      </c>
      <c r="X2672" s="85">
        <f>IF(B2672="",0,IF(OR(H2672=MappingTables!$C$34,H2672=MappingTables!$C$35),W2672,0))</f>
        <v>0</v>
      </c>
    </row>
    <row r="2673" spans="2:24" s="0" customFormat="0" ht="15">
      <c r="B2673" s="69">
        <v>6429424</v>
      </c>
      <c r="C2673" s="70" t="s">
        <v>2535</v>
      </c>
      <c r="D2673" s="70" t="s">
        <v>1</v>
      </c>
      <c r="E2673" s="70" t="s">
        <v>1</v>
      </c>
      <c r="F2673" s="70"/>
      <c r="G2673" s="70" t="s">
        <v>61</v>
      </c>
      <c r="H2673" s="70" t="s">
        <v>178</v>
      </c>
      <c r="I2673" s="70" t="s">
        <v>181</v>
      </c>
      <c r="J2673" s="71">
        <f>IF(OR(I2673=0,I2673=""),"unrated",VLOOKUP(I2673,MappingTables!$B$19:$C$31,2,FALSE))</f>
        <v>3</v>
      </c>
      <c r="K2673" s="72">
        <v>4372.3884337164352</v>
      </c>
      <c r="L2673" s="70">
        <v>1.7729548975566598</v>
      </c>
      <c r="M2673" s="71">
        <f>IF(L2673&lt;1,1,L2673)</f>
        <v>1.7729548975566598</v>
      </c>
      <c r="N2673" s="70" t="s">
        <v>141</v>
      </c>
      <c r="O2673" s="71">
        <f>INDEX(DurClassMapping,MATCH(M2673,MappingTables!$D$4:$D$8,-1),1)</f>
        <v>1</v>
      </c>
      <c r="P2673" s="73">
        <f>IF(M2673=$A$1,1,$M2673-INDEX(MappingTables!$E$4:$E$8,MATCH(O2673,MappingTables!$B$4:$B$8,0)))</f>
        <v>1.7729548975566598</v>
      </c>
      <c r="Q2673" s="71">
        <f>IF(B2673="",0,INDEX(ModelParameters!$D$6:$K$10,MATCH($O2673,ModelParameters!$B$6:$B$10,0),MATCH($J2673,ModelParameters!$D$5:$K$5,0)))</f>
        <v>0.025</v>
      </c>
      <c r="R2673" s="71">
        <f>IF(B2673="",0,INDEX(ModelParameters!$D$13:$K$17,MATCH($O2673,ModelParameters!$B$13:$B$17,0),MATCH($J2673,ModelParameters!$D$5:$K$5,0)))</f>
        <v>0</v>
      </c>
      <c r="S2673" s="160">
        <f>IF(B2673="",0,MIN(IF($N2673="Other Bond TM",ModelParameters!$N$21,1)*(P2673*Q2673+R2673),1))</f>
        <v>0.044323872438916504</v>
      </c>
      <c r="T2673" s="85">
        <f>IF(B2673="",0,$S2673*$K2673)</f>
        <v>193.8011871894412</v>
      </c>
      <c r="U2673" s="85">
        <f>IF(B2673="",0,IF(OR(H2673=MappingTables!$C$34,H2673=MappingTables!$C$35),T2673,0))</f>
        <v>0</v>
      </c>
      <c r="V2673" s="85">
        <f>IF(ISNA(IF(AND(VLOOKUP(CONCATENATE($D2673,$G2673),CSRFinput!$B:$E,4,0)=0,OR(H2673=MappingTables!$C$34,H2673=MappingTables!$C$35)),1,VLOOKUP(CONCATENATE($D2673,$G2673),CSRFinput!$B:$E,4,0))),0,IF(AND(VLOOKUP(CONCATENATE($D2673,$G2673),CSRFinput!$B:$E,4,0)=0,OR(H2673=MappingTables!$C$34,H2673=MappingTables!$C$35)),1,VLOOKUP(CONCATENATE($D2673,$G2673),CSRFinput!$B:$E,4,0)))</f>
        <v>0.054776304963434752</v>
      </c>
      <c r="W2673" s="85">
        <f>IF(B2673="",0,+$T2673*$V2673)</f>
        <v>10.615712931764536</v>
      </c>
      <c r="X2673" s="85">
        <f>IF(B2673="",0,IF(OR(H2673=MappingTables!$C$34,H2673=MappingTables!$C$35),W2673,0))</f>
        <v>0</v>
      </c>
    </row>
    <row r="2674" spans="2:24" s="0" customFormat="0" ht="15">
      <c r="B2674" s="69" t="s">
        <v>1153</v>
      </c>
      <c r="C2674" s="70" t="s">
        <v>1154</v>
      </c>
      <c r="D2674" s="70" t="s">
        <v>1</v>
      </c>
      <c r="E2674" s="70" t="s">
        <v>1</v>
      </c>
      <c r="F2674" s="70"/>
      <c r="G2674" s="70" t="s">
        <v>61</v>
      </c>
      <c r="H2674" s="70" t="s">
        <v>178</v>
      </c>
      <c r="I2674" s="70" t="s">
        <v>181</v>
      </c>
      <c r="J2674" s="71">
        <f>IF(OR(I2674=0,I2674=""),"unrated",VLOOKUP(I2674,MappingTables!$B$19:$C$31,2,FALSE))</f>
        <v>3</v>
      </c>
      <c r="K2674" s="72">
        <v>60.675219700036136</v>
      </c>
      <c r="L2674" s="70">
        <v>5.670118787356004</v>
      </c>
      <c r="M2674" s="71">
        <f>IF(L2674&lt;1,1,L2674)</f>
        <v>5.670118787356004</v>
      </c>
      <c r="N2674" s="70" t="s">
        <v>141</v>
      </c>
      <c r="O2674" s="71">
        <f>INDEX(DurClassMapping,MATCH(M2674,MappingTables!$D$4:$D$8,-1),1)</f>
        <v>2</v>
      </c>
      <c r="P2674" s="73">
        <f>IF(M2674=$A$1,1,$M2674-INDEX(MappingTables!$E$4:$E$8,MATCH(O2674,MappingTables!$B$4:$B$8,0)))</f>
        <v>0.67011878735600392</v>
      </c>
      <c r="Q2674" s="71">
        <f>IF(B2674="",0,INDEX(ModelParameters!$D$6:$K$10,MATCH($O2674,ModelParameters!$B$6:$B$10,0),MATCH($J2674,ModelParameters!$D$5:$K$5,0)))</f>
        <v>0.015</v>
      </c>
      <c r="R2674" s="71">
        <f>IF(B2674="",0,INDEX(ModelParameters!$D$13:$K$17,MATCH($O2674,ModelParameters!$B$13:$B$17,0),MATCH($J2674,ModelParameters!$D$5:$K$5,0)))</f>
        <v>0.125</v>
      </c>
      <c r="S2674" s="160">
        <f>IF(B2674="",0,MIN(IF($N2674="Other Bond TM",ModelParameters!$N$21,1)*(P2674*Q2674+R2674),1))</f>
        <v>0.13505178181034006</v>
      </c>
      <c r="T2674" s="85">
        <f>IF(B2674="",0,$S2674*$K2674)</f>
        <v>8.194296532223728</v>
      </c>
      <c r="U2674" s="85">
        <f>IF(B2674="",0,IF(OR(H2674=MappingTables!$C$34,H2674=MappingTables!$C$35),T2674,0))</f>
        <v>0</v>
      </c>
      <c r="V2674" s="85">
        <f>IF(ISNA(IF(AND(VLOOKUP(CONCATENATE($D2674,$G2674),CSRFinput!$B:$E,4,0)=0,OR(H2674=MappingTables!$C$34,H2674=MappingTables!$C$35)),1,VLOOKUP(CONCATENATE($D2674,$G2674),CSRFinput!$B:$E,4,0))),0,IF(AND(VLOOKUP(CONCATENATE($D2674,$G2674),CSRFinput!$B:$E,4,0)=0,OR(H2674=MappingTables!$C$34,H2674=MappingTables!$C$35)),1,VLOOKUP(CONCATENATE($D2674,$G2674),CSRFinput!$B:$E,4,0)))</f>
        <v>0.054776304963434752</v>
      </c>
      <c r="W2674" s="85">
        <f>IF(B2674="",0,+$T2674*$V2674)</f>
        <v>0.44885328580990272</v>
      </c>
      <c r="X2674" s="85">
        <f>IF(B2674="",0,IF(OR(H2674=MappingTables!$C$34,H2674=MappingTables!$C$35),W2674,0))</f>
        <v>0</v>
      </c>
    </row>
    <row r="2675" spans="2:24" s="0" customFormat="0" ht="15">
      <c r="B2675" s="69">
        <v>24747510</v>
      </c>
      <c r="C2675" s="70" t="s">
        <v>2377</v>
      </c>
      <c r="D2675" s="70" t="s">
        <v>1</v>
      </c>
      <c r="E2675" s="70" t="s">
        <v>1</v>
      </c>
      <c r="F2675" s="70"/>
      <c r="G2675" s="70" t="s">
        <v>61</v>
      </c>
      <c r="H2675" s="70" t="s">
        <v>178</v>
      </c>
      <c r="I2675" s="70" t="s">
        <v>188</v>
      </c>
      <c r="J2675" s="71">
        <f>IF(OR(I2675=0,I2675=""),"unrated",VLOOKUP(I2675,MappingTables!$B$19:$C$31,2,FALSE))</f>
        <v>2</v>
      </c>
      <c r="K2675" s="72">
        <v>1027.8555727230824</v>
      </c>
      <c r="L2675" s="70">
        <v>2.795091909843736</v>
      </c>
      <c r="M2675" s="71">
        <f>IF(L2675&lt;1,1,L2675)</f>
        <v>2.795091909843736</v>
      </c>
      <c r="N2675" s="70" t="s">
        <v>141</v>
      </c>
      <c r="O2675" s="71">
        <f>INDEX(DurClassMapping,MATCH(M2675,MappingTables!$D$4:$D$8,-1),1)</f>
        <v>1</v>
      </c>
      <c r="P2675" s="73">
        <f>IF(M2675=$A$1,1,$M2675-INDEX(MappingTables!$E$4:$E$8,MATCH(O2675,MappingTables!$B$4:$B$8,0)))</f>
        <v>2.795091909843736</v>
      </c>
      <c r="Q2675" s="71">
        <f>IF(B2675="",0,INDEX(ModelParameters!$D$6:$K$10,MATCH($O2675,ModelParameters!$B$6:$B$10,0),MATCH($J2675,ModelParameters!$D$5:$K$5,0)))</f>
        <v>0.013999999999999998</v>
      </c>
      <c r="R2675" s="71">
        <f>IF(B2675="",0,INDEX(ModelParameters!$D$13:$K$17,MATCH($O2675,ModelParameters!$B$13:$B$17,0),MATCH($J2675,ModelParameters!$D$5:$K$5,0)))</f>
        <v>0</v>
      </c>
      <c r="S2675" s="160">
        <f>IF(B2675="",0,MIN(IF($N2675="Other Bond TM",ModelParameters!$N$21,1)*(P2675*Q2675+R2675),1))</f>
        <v>0.039131286737812296</v>
      </c>
      <c r="T2675" s="85">
        <f>IF(B2675="",0,$S2675*$K2675)</f>
        <v>40.221311141285216</v>
      </c>
      <c r="U2675" s="85">
        <f>IF(B2675="",0,IF(OR(H2675=MappingTables!$C$34,H2675=MappingTables!$C$35),T2675,0))</f>
        <v>0</v>
      </c>
      <c r="V2675" s="85">
        <f>IF(ISNA(IF(AND(VLOOKUP(CONCATENATE($D2675,$G2675),CSRFinput!$B:$E,4,0)=0,OR(H2675=MappingTables!$C$34,H2675=MappingTables!$C$35)),1,VLOOKUP(CONCATENATE($D2675,$G2675),CSRFinput!$B:$E,4,0))),0,IF(AND(VLOOKUP(CONCATENATE($D2675,$G2675),CSRFinput!$B:$E,4,0)=0,OR(H2675=MappingTables!$C$34,H2675=MappingTables!$C$35)),1,VLOOKUP(CONCATENATE($D2675,$G2675),CSRFinput!$B:$E,4,0)))</f>
        <v>0.054776304963434752</v>
      </c>
      <c r="W2675" s="85">
        <f>IF(B2675="",0,+$T2675*$V2675)</f>
        <v>2.2031748051042344</v>
      </c>
      <c r="X2675" s="85">
        <f>IF(B2675="",0,IF(OR(H2675=MappingTables!$C$34,H2675=MappingTables!$C$35),W2675,0))</f>
        <v>0</v>
      </c>
    </row>
    <row r="2676" spans="2:24" s="0" customFormat="0" ht="15">
      <c r="B2676" s="69">
        <v>14559428</v>
      </c>
      <c r="C2676" s="70" t="s">
        <v>647</v>
      </c>
      <c r="D2676" s="70" t="s">
        <v>1</v>
      </c>
      <c r="E2676" s="70" t="s">
        <v>1</v>
      </c>
      <c r="F2676" s="70"/>
      <c r="G2676" s="70" t="s">
        <v>61</v>
      </c>
      <c r="H2676" s="70" t="s">
        <v>178</v>
      </c>
      <c r="I2676" s="70" t="s">
        <v>181</v>
      </c>
      <c r="J2676" s="71">
        <f>IF(OR(I2676=0,I2676=""),"unrated",VLOOKUP(I2676,MappingTables!$B$19:$C$31,2,FALSE))</f>
        <v>3</v>
      </c>
      <c r="K2676" s="72">
        <v>7347.4801069413888</v>
      </c>
      <c r="L2676" s="70">
        <v>5.4658432898711136</v>
      </c>
      <c r="M2676" s="71">
        <f>IF(L2676&lt;1,1,L2676)</f>
        <v>5.4658432898711136</v>
      </c>
      <c r="N2676" s="70" t="s">
        <v>141</v>
      </c>
      <c r="O2676" s="71">
        <f>INDEX(DurClassMapping,MATCH(M2676,MappingTables!$D$4:$D$8,-1),1)</f>
        <v>2</v>
      </c>
      <c r="P2676" s="73">
        <f>IF(M2676=$A$1,1,$M2676-INDEX(MappingTables!$E$4:$E$8,MATCH(O2676,MappingTables!$B$4:$B$8,0)))</f>
        <v>0.46584328987111336</v>
      </c>
      <c r="Q2676" s="71">
        <f>IF(B2676="",0,INDEX(ModelParameters!$D$6:$K$10,MATCH($O2676,ModelParameters!$B$6:$B$10,0),MATCH($J2676,ModelParameters!$D$5:$K$5,0)))</f>
        <v>0.015</v>
      </c>
      <c r="R2676" s="71">
        <f>IF(B2676="",0,INDEX(ModelParameters!$D$13:$K$17,MATCH($O2676,ModelParameters!$B$13:$B$17,0),MATCH($J2676,ModelParameters!$D$5:$K$5,0)))</f>
        <v>0.125</v>
      </c>
      <c r="S2676" s="160">
        <f>IF(B2676="",0,MIN(IF($N2676="Other Bond TM",ModelParameters!$N$21,1)*(P2676*Q2676+R2676),1))</f>
        <v>0.1319876493480667</v>
      </c>
      <c r="T2676" s="85">
        <f>IF(B2676="",0,$S2676*$K2676)</f>
        <v>969.77662794687568</v>
      </c>
      <c r="U2676" s="85">
        <f>IF(B2676="",0,IF(OR(H2676=MappingTables!$C$34,H2676=MappingTables!$C$35),T2676,0))</f>
        <v>0</v>
      </c>
      <c r="V2676" s="85">
        <f>IF(ISNA(IF(AND(VLOOKUP(CONCATENATE($D2676,$G2676),CSRFinput!$B:$E,4,0)=0,OR(H2676=MappingTables!$C$34,H2676=MappingTables!$C$35)),1,VLOOKUP(CONCATENATE($D2676,$G2676),CSRFinput!$B:$E,4,0))),0,IF(AND(VLOOKUP(CONCATENATE($D2676,$G2676),CSRFinput!$B:$E,4,0)=0,OR(H2676=MappingTables!$C$34,H2676=MappingTables!$C$35)),1,VLOOKUP(CONCATENATE($D2676,$G2676),CSRFinput!$B:$E,4,0)))</f>
        <v>0.054776304963434752</v>
      </c>
      <c r="W2676" s="85">
        <f>IF(B2676="",0,+$T2676*$V2676)</f>
        <v>53.120780318829464</v>
      </c>
      <c r="X2676" s="85">
        <f>IF(B2676="",0,IF(OR(H2676=MappingTables!$C$34,H2676=MappingTables!$C$35),W2676,0))</f>
        <v>0</v>
      </c>
    </row>
    <row r="2677" spans="2:24" s="0" customFormat="0" ht="15">
      <c r="B2677" s="69" t="s">
        <v>2536</v>
      </c>
      <c r="C2677" s="70" t="s">
        <v>2537</v>
      </c>
      <c r="D2677" s="70" t="s">
        <v>1</v>
      </c>
      <c r="E2677" s="70" t="s">
        <v>1</v>
      </c>
      <c r="F2677" s="70"/>
      <c r="G2677" s="70" t="s">
        <v>61</v>
      </c>
      <c r="H2677" s="70" t="s">
        <v>178</v>
      </c>
      <c r="I2677" s="70" t="s">
        <v>179</v>
      </c>
      <c r="J2677" s="71">
        <f>IF(OR(I2677=0,I2677=""),"unrated",VLOOKUP(I2677,MappingTables!$B$19:$C$31,2,FALSE))</f>
        <v>4</v>
      </c>
      <c r="K2677" s="72">
        <v>23766.865546386848</v>
      </c>
      <c r="L2677" s="70">
        <v>4.4018614741792488</v>
      </c>
      <c r="M2677" s="71">
        <f>IF(L2677&lt;1,1,L2677)</f>
        <v>4.4018614741792488</v>
      </c>
      <c r="N2677" s="70" t="s">
        <v>141</v>
      </c>
      <c r="O2677" s="71">
        <f>INDEX(DurClassMapping,MATCH(M2677,MappingTables!$D$4:$D$8,-1),1)</f>
        <v>1</v>
      </c>
      <c r="P2677" s="73">
        <f>IF(M2677=$A$1,1,$M2677-INDEX(MappingTables!$E$4:$E$8,MATCH(O2677,MappingTables!$B$4:$B$8,0)))</f>
        <v>4.4018614741792488</v>
      </c>
      <c r="Q2677" s="71">
        <f>IF(B2677="",0,INDEX(ModelParameters!$D$6:$K$10,MATCH($O2677,ModelParameters!$B$6:$B$10,0),MATCH($J2677,ModelParameters!$D$5:$K$5,0)))</f>
        <v>0.045</v>
      </c>
      <c r="R2677" s="71">
        <f>IF(B2677="",0,INDEX(ModelParameters!$D$13:$K$17,MATCH($O2677,ModelParameters!$B$13:$B$17,0),MATCH($J2677,ModelParameters!$D$5:$K$5,0)))</f>
        <v>0</v>
      </c>
      <c r="S2677" s="160">
        <f>IF(B2677="",0,MIN(IF($N2677="Other Bond TM",ModelParameters!$N$21,1)*(P2677*Q2677+R2677),1))</f>
        <v>0.1980837663380662</v>
      </c>
      <c r="T2677" s="85">
        <f>IF(B2677="",0,$S2677*$K2677)</f>
        <v>4707.8302414787288</v>
      </c>
      <c r="U2677" s="85">
        <f>IF(B2677="",0,IF(OR(H2677=MappingTables!$C$34,H2677=MappingTables!$C$35),T2677,0))</f>
        <v>0</v>
      </c>
      <c r="V2677" s="85">
        <f>IF(ISNA(IF(AND(VLOOKUP(CONCATENATE($D2677,$G2677),CSRFinput!$B:$E,4,0)=0,OR(H2677=MappingTables!$C$34,H2677=MappingTables!$C$35)),1,VLOOKUP(CONCATENATE($D2677,$G2677),CSRFinput!$B:$E,4,0))),0,IF(AND(VLOOKUP(CONCATENATE($D2677,$G2677),CSRFinput!$B:$E,4,0)=0,OR(H2677=MappingTables!$C$34,H2677=MappingTables!$C$35)),1,VLOOKUP(CONCATENATE($D2677,$G2677),CSRFinput!$B:$E,4,0)))</f>
        <v>0.054776304963434752</v>
      </c>
      <c r="W2677" s="85">
        <f>IF(B2677="",0,+$T2677*$V2677)</f>
        <v>257.87754502331948</v>
      </c>
      <c r="X2677" s="85">
        <f>IF(B2677="",0,IF(OR(H2677=MappingTables!$C$34,H2677=MappingTables!$C$35),W2677,0))</f>
        <v>0</v>
      </c>
    </row>
    <row r="2678" spans="2:24" s="0" customFormat="0" ht="15">
      <c r="B2678" s="69" t="s">
        <v>2538</v>
      </c>
      <c r="C2678" s="70" t="s">
        <v>2539</v>
      </c>
      <c r="D2678" s="70" t="s">
        <v>1</v>
      </c>
      <c r="E2678" s="70" t="s">
        <v>1</v>
      </c>
      <c r="F2678" s="70"/>
      <c r="G2678" s="70" t="s">
        <v>61</v>
      </c>
      <c r="H2678" s="70" t="s">
        <v>178</v>
      </c>
      <c r="I2678" s="70" t="s">
        <v>184</v>
      </c>
      <c r="J2678" s="71">
        <f>IF(OR(I2678=0,I2678=""),"unrated",VLOOKUP(I2678,MappingTables!$B$19:$C$31,2,FALSE))</f>
        <v>5</v>
      </c>
      <c r="K2678" s="72">
        <v>22.300151204942412</v>
      </c>
      <c r="L2678" s="70">
        <v>0.46301707787600896</v>
      </c>
      <c r="M2678" s="71">
        <f>IF(L2678&lt;1,1,L2678)</f>
        <v>1</v>
      </c>
      <c r="N2678" s="70" t="s">
        <v>141</v>
      </c>
      <c r="O2678" s="71">
        <f>INDEX(DurClassMapping,MATCH(M2678,MappingTables!$D$4:$D$8,-1),1)</f>
        <v>1</v>
      </c>
      <c r="P2678" s="73">
        <f>IF(M2678=$A$1,1,$M2678-INDEX(MappingTables!$E$4:$E$8,MATCH(O2678,MappingTables!$B$4:$B$8,0)))</f>
        <v>1</v>
      </c>
      <c r="Q2678" s="71">
        <f>IF(B2678="",0,INDEX(ModelParameters!$D$6:$K$10,MATCH($O2678,ModelParameters!$B$6:$B$10,0),MATCH($J2678,ModelParameters!$D$5:$K$5,0)))</f>
        <v>0.075</v>
      </c>
      <c r="R2678" s="71">
        <f>IF(B2678="",0,INDEX(ModelParameters!$D$13:$K$17,MATCH($O2678,ModelParameters!$B$13:$B$17,0),MATCH($J2678,ModelParameters!$D$5:$K$5,0)))</f>
        <v>0</v>
      </c>
      <c r="S2678" s="160">
        <f>IF(B2678="",0,MIN(IF($N2678="Other Bond TM",ModelParameters!$N$21,1)*(P2678*Q2678+R2678),1))</f>
        <v>0.075</v>
      </c>
      <c r="T2678" s="85">
        <f>IF(B2678="",0,$S2678*$K2678)</f>
        <v>1.6725113403706808</v>
      </c>
      <c r="U2678" s="85">
        <f>IF(B2678="",0,IF(OR(H2678=MappingTables!$C$34,H2678=MappingTables!$C$35),T2678,0))</f>
        <v>0</v>
      </c>
      <c r="V2678" s="85">
        <f>IF(ISNA(IF(AND(VLOOKUP(CONCATENATE($D2678,$G2678),CSRFinput!$B:$E,4,0)=0,OR(H2678=MappingTables!$C$34,H2678=MappingTables!$C$35)),1,VLOOKUP(CONCATENATE($D2678,$G2678),CSRFinput!$B:$E,4,0))),0,IF(AND(VLOOKUP(CONCATENATE($D2678,$G2678),CSRFinput!$B:$E,4,0)=0,OR(H2678=MappingTables!$C$34,H2678=MappingTables!$C$35)),1,VLOOKUP(CONCATENATE($D2678,$G2678),CSRFinput!$B:$E,4,0)))</f>
        <v>0.054776304963434752</v>
      </c>
      <c r="W2678" s="85">
        <f>IF(B2678="",0,+$T2678*$V2678)</f>
        <v>0.09161399123494744</v>
      </c>
      <c r="X2678" s="85">
        <f>IF(B2678="",0,IF(OR(H2678=MappingTables!$C$34,H2678=MappingTables!$C$35),W2678,0))</f>
        <v>0</v>
      </c>
    </row>
    <row r="2679" spans="2:24" s="0" customFormat="0" ht="15">
      <c r="B2679" s="69">
        <v>12200139</v>
      </c>
      <c r="C2679" s="70" t="s">
        <v>2540</v>
      </c>
      <c r="D2679" s="70" t="s">
        <v>1</v>
      </c>
      <c r="E2679" s="70" t="s">
        <v>1</v>
      </c>
      <c r="F2679" s="70"/>
      <c r="G2679" s="70" t="s">
        <v>61</v>
      </c>
      <c r="H2679" s="70" t="s">
        <v>178</v>
      </c>
      <c r="I2679" s="70" t="s">
        <v>188</v>
      </c>
      <c r="J2679" s="71">
        <f>IF(OR(I2679=0,I2679=""),"unrated",VLOOKUP(I2679,MappingTables!$B$19:$C$31,2,FALSE))</f>
        <v>2</v>
      </c>
      <c r="K2679" s="72">
        <v>93.684475992598704</v>
      </c>
      <c r="L2679" s="70">
        <v>0.41595802796084776</v>
      </c>
      <c r="M2679" s="71">
        <f>IF(L2679&lt;1,1,L2679)</f>
        <v>1</v>
      </c>
      <c r="N2679" s="70" t="s">
        <v>141</v>
      </c>
      <c r="O2679" s="71">
        <f>INDEX(DurClassMapping,MATCH(M2679,MappingTables!$D$4:$D$8,-1),1)</f>
        <v>1</v>
      </c>
      <c r="P2679" s="73">
        <f>IF(M2679=$A$1,1,$M2679-INDEX(MappingTables!$E$4:$E$8,MATCH(O2679,MappingTables!$B$4:$B$8,0)))</f>
        <v>1</v>
      </c>
      <c r="Q2679" s="71">
        <f>IF(B2679="",0,INDEX(ModelParameters!$D$6:$K$10,MATCH($O2679,ModelParameters!$B$6:$B$10,0),MATCH($J2679,ModelParameters!$D$5:$K$5,0)))</f>
        <v>0.013999999999999998</v>
      </c>
      <c r="R2679" s="71">
        <f>IF(B2679="",0,INDEX(ModelParameters!$D$13:$K$17,MATCH($O2679,ModelParameters!$B$13:$B$17,0),MATCH($J2679,ModelParameters!$D$5:$K$5,0)))</f>
        <v>0</v>
      </c>
      <c r="S2679" s="160">
        <f>IF(B2679="",0,MIN(IF($N2679="Other Bond TM",ModelParameters!$N$21,1)*(P2679*Q2679+R2679),1))</f>
        <v>0.013999999999999998</v>
      </c>
      <c r="T2679" s="85">
        <f>IF(B2679="",0,$S2679*$K2679)</f>
        <v>1.3115826638963816</v>
      </c>
      <c r="U2679" s="85">
        <f>IF(B2679="",0,IF(OR(H2679=MappingTables!$C$34,H2679=MappingTables!$C$35),T2679,0))</f>
        <v>0</v>
      </c>
      <c r="V2679" s="85">
        <f>IF(ISNA(IF(AND(VLOOKUP(CONCATENATE($D2679,$G2679),CSRFinput!$B:$E,4,0)=0,OR(H2679=MappingTables!$C$34,H2679=MappingTables!$C$35)),1,VLOOKUP(CONCATENATE($D2679,$G2679),CSRFinput!$B:$E,4,0))),0,IF(AND(VLOOKUP(CONCATENATE($D2679,$G2679),CSRFinput!$B:$E,4,0)=0,OR(H2679=MappingTables!$C$34,H2679=MappingTables!$C$35)),1,VLOOKUP(CONCATENATE($D2679,$G2679),CSRFinput!$B:$E,4,0)))</f>
        <v>0.054776304963434752</v>
      </c>
      <c r="W2679" s="85">
        <f>IF(B2679="",0,+$T2679*$V2679)</f>
        <v>0.071843651982342344</v>
      </c>
      <c r="X2679" s="85">
        <f>IF(B2679="",0,IF(OR(H2679=MappingTables!$C$34,H2679=MappingTables!$C$35),W2679,0))</f>
        <v>0</v>
      </c>
    </row>
    <row r="2680" spans="2:24" s="0" customFormat="0" ht="15">
      <c r="B2680" s="69">
        <v>12505494</v>
      </c>
      <c r="C2680" s="70" t="s">
        <v>1467</v>
      </c>
      <c r="D2680" s="70" t="s">
        <v>1</v>
      </c>
      <c r="E2680" s="70" t="s">
        <v>1</v>
      </c>
      <c r="F2680" s="70"/>
      <c r="G2680" s="70" t="s">
        <v>61</v>
      </c>
      <c r="H2680" s="70" t="s">
        <v>178</v>
      </c>
      <c r="I2680" s="70" t="s">
        <v>188</v>
      </c>
      <c r="J2680" s="71">
        <f>IF(OR(I2680=0,I2680=""),"unrated",VLOOKUP(I2680,MappingTables!$B$19:$C$31,2,FALSE))</f>
        <v>2</v>
      </c>
      <c r="K2680" s="72">
        <v>54.926696214855344</v>
      </c>
      <c r="L2680" s="70">
        <v>0.68156876135973208</v>
      </c>
      <c r="M2680" s="71">
        <f>IF(L2680&lt;1,1,L2680)</f>
        <v>1</v>
      </c>
      <c r="N2680" s="70" t="s">
        <v>141</v>
      </c>
      <c r="O2680" s="71">
        <f>INDEX(DurClassMapping,MATCH(M2680,MappingTables!$D$4:$D$8,-1),1)</f>
        <v>1</v>
      </c>
      <c r="P2680" s="73">
        <f>IF(M2680=$A$1,1,$M2680-INDEX(MappingTables!$E$4:$E$8,MATCH(O2680,MappingTables!$B$4:$B$8,0)))</f>
        <v>1</v>
      </c>
      <c r="Q2680" s="71">
        <f>IF(B2680="",0,INDEX(ModelParameters!$D$6:$K$10,MATCH($O2680,ModelParameters!$B$6:$B$10,0),MATCH($J2680,ModelParameters!$D$5:$K$5,0)))</f>
        <v>0.013999999999999998</v>
      </c>
      <c r="R2680" s="71">
        <f>IF(B2680="",0,INDEX(ModelParameters!$D$13:$K$17,MATCH($O2680,ModelParameters!$B$13:$B$17,0),MATCH($J2680,ModelParameters!$D$5:$K$5,0)))</f>
        <v>0</v>
      </c>
      <c r="S2680" s="160">
        <f>IF(B2680="",0,MIN(IF($N2680="Other Bond TM",ModelParameters!$N$21,1)*(P2680*Q2680+R2680),1))</f>
        <v>0.013999999999999998</v>
      </c>
      <c r="T2680" s="85">
        <f>IF(B2680="",0,$S2680*$K2680)</f>
        <v>0.76897374700797488</v>
      </c>
      <c r="U2680" s="85">
        <f>IF(B2680="",0,IF(OR(H2680=MappingTables!$C$34,H2680=MappingTables!$C$35),T2680,0))</f>
        <v>0</v>
      </c>
      <c r="V2680" s="85">
        <f>IF(ISNA(IF(AND(VLOOKUP(CONCATENATE($D2680,$G2680),CSRFinput!$B:$E,4,0)=0,OR(H2680=MappingTables!$C$34,H2680=MappingTables!$C$35)),1,VLOOKUP(CONCATENATE($D2680,$G2680),CSRFinput!$B:$E,4,0))),0,IF(AND(VLOOKUP(CONCATENATE($D2680,$G2680),CSRFinput!$B:$E,4,0)=0,OR(H2680=MappingTables!$C$34,H2680=MappingTables!$C$35)),1,VLOOKUP(CONCATENATE($D2680,$G2680),CSRFinput!$B:$E,4,0)))</f>
        <v>0.054776304963434752</v>
      </c>
      <c r="W2680" s="85">
        <f>IF(B2680="",0,+$T2680*$V2680)</f>
        <v>0.042121540474983952</v>
      </c>
      <c r="X2680" s="85">
        <f>IF(B2680="",0,IF(OR(H2680=MappingTables!$C$34,H2680=MappingTables!$C$35),W2680,0))</f>
        <v>0</v>
      </c>
    </row>
    <row r="2681" spans="2:24" s="0" customFormat="0" ht="15">
      <c r="B2681" s="69">
        <v>21257169</v>
      </c>
      <c r="C2681" s="70" t="s">
        <v>2156</v>
      </c>
      <c r="D2681" s="70" t="s">
        <v>1</v>
      </c>
      <c r="E2681" s="70" t="s">
        <v>1</v>
      </c>
      <c r="F2681" s="70"/>
      <c r="G2681" s="70" t="s">
        <v>61</v>
      </c>
      <c r="H2681" s="70" t="s">
        <v>178</v>
      </c>
      <c r="I2681" s="70" t="s">
        <v>188</v>
      </c>
      <c r="J2681" s="71">
        <f>IF(OR(I2681=0,I2681=""),"unrated",VLOOKUP(I2681,MappingTables!$B$19:$C$31,2,FALSE))</f>
        <v>2</v>
      </c>
      <c r="K2681" s="72">
        <v>628.70002633967888</v>
      </c>
      <c r="L2681" s="70">
        <v>3.7425935902388832</v>
      </c>
      <c r="M2681" s="71">
        <f>IF(L2681&lt;1,1,L2681)</f>
        <v>3.7425935902388832</v>
      </c>
      <c r="N2681" s="70" t="s">
        <v>141</v>
      </c>
      <c r="O2681" s="71">
        <f>INDEX(DurClassMapping,MATCH(M2681,MappingTables!$D$4:$D$8,-1),1)</f>
        <v>1</v>
      </c>
      <c r="P2681" s="73">
        <f>IF(M2681=$A$1,1,$M2681-INDEX(MappingTables!$E$4:$E$8,MATCH(O2681,MappingTables!$B$4:$B$8,0)))</f>
        <v>3.7425935902388832</v>
      </c>
      <c r="Q2681" s="71">
        <f>IF(B2681="",0,INDEX(ModelParameters!$D$6:$K$10,MATCH($O2681,ModelParameters!$B$6:$B$10,0),MATCH($J2681,ModelParameters!$D$5:$K$5,0)))</f>
        <v>0.013999999999999998</v>
      </c>
      <c r="R2681" s="71">
        <f>IF(B2681="",0,INDEX(ModelParameters!$D$13:$K$17,MATCH($O2681,ModelParameters!$B$13:$B$17,0),MATCH($J2681,ModelParameters!$D$5:$K$5,0)))</f>
        <v>0</v>
      </c>
      <c r="S2681" s="160">
        <f>IF(B2681="",0,MIN(IF($N2681="Other Bond TM",ModelParameters!$N$21,1)*(P2681*Q2681+R2681),1))</f>
        <v>0.05239631026334436</v>
      </c>
      <c r="T2681" s="85">
        <f>IF(B2681="",0,$S2681*$K2681)</f>
        <v>32.941561642666584</v>
      </c>
      <c r="U2681" s="85">
        <f>IF(B2681="",0,IF(OR(H2681=MappingTables!$C$34,H2681=MappingTables!$C$35),T2681,0))</f>
        <v>0</v>
      </c>
      <c r="V2681" s="85">
        <f>IF(ISNA(IF(AND(VLOOKUP(CONCATENATE($D2681,$G2681),CSRFinput!$B:$E,4,0)=0,OR(H2681=MappingTables!$C$34,H2681=MappingTables!$C$35)),1,VLOOKUP(CONCATENATE($D2681,$G2681),CSRFinput!$B:$E,4,0))),0,IF(AND(VLOOKUP(CONCATENATE($D2681,$G2681),CSRFinput!$B:$E,4,0)=0,OR(H2681=MappingTables!$C$34,H2681=MappingTables!$C$35)),1,VLOOKUP(CONCATENATE($D2681,$G2681),CSRFinput!$B:$E,4,0)))</f>
        <v>0.054776304963434752</v>
      </c>
      <c r="W2681" s="85">
        <f>IF(B2681="",0,+$T2681*$V2681)</f>
        <v>1.8044170265104896</v>
      </c>
      <c r="X2681" s="85">
        <f>IF(B2681="",0,IF(OR(H2681=MappingTables!$C$34,H2681=MappingTables!$C$35),W2681,0))</f>
        <v>0</v>
      </c>
    </row>
    <row r="2682" spans="2:24" s="0" customFormat="0" ht="15">
      <c r="B2682" s="69">
        <v>21276264</v>
      </c>
      <c r="C2682" s="70" t="s">
        <v>658</v>
      </c>
      <c r="D2682" s="70" t="s">
        <v>1</v>
      </c>
      <c r="E2682" s="70" t="s">
        <v>1</v>
      </c>
      <c r="F2682" s="70"/>
      <c r="G2682" s="70" t="s">
        <v>61</v>
      </c>
      <c r="H2682" s="70" t="s">
        <v>178</v>
      </c>
      <c r="I2682" s="70" t="s">
        <v>179</v>
      </c>
      <c r="J2682" s="71">
        <f>IF(OR(I2682=0,I2682=""),"unrated",VLOOKUP(I2682,MappingTables!$B$19:$C$31,2,FALSE))</f>
        <v>4</v>
      </c>
      <c r="K2682" s="72">
        <v>424.48167912974832</v>
      </c>
      <c r="L2682" s="70">
        <v>1.7243879054522504</v>
      </c>
      <c r="M2682" s="71">
        <f>IF(L2682&lt;1,1,L2682)</f>
        <v>1.7243879054522504</v>
      </c>
      <c r="N2682" s="70" t="s">
        <v>141</v>
      </c>
      <c r="O2682" s="71">
        <f>INDEX(DurClassMapping,MATCH(M2682,MappingTables!$D$4:$D$8,-1),1)</f>
        <v>1</v>
      </c>
      <c r="P2682" s="73">
        <f>IF(M2682=$A$1,1,$M2682-INDEX(MappingTables!$E$4:$E$8,MATCH(O2682,MappingTables!$B$4:$B$8,0)))</f>
        <v>1.7243879054522504</v>
      </c>
      <c r="Q2682" s="71">
        <f>IF(B2682="",0,INDEX(ModelParameters!$D$6:$K$10,MATCH($O2682,ModelParameters!$B$6:$B$10,0),MATCH($J2682,ModelParameters!$D$5:$K$5,0)))</f>
        <v>0.045</v>
      </c>
      <c r="R2682" s="71">
        <f>IF(B2682="",0,INDEX(ModelParameters!$D$13:$K$17,MATCH($O2682,ModelParameters!$B$13:$B$17,0),MATCH($J2682,ModelParameters!$D$5:$K$5,0)))</f>
        <v>0</v>
      </c>
      <c r="S2682" s="160">
        <f>IF(B2682="",0,MIN(IF($N2682="Other Bond TM",ModelParameters!$N$21,1)*(P2682*Q2682+R2682),1))</f>
        <v>0.077597455745351264</v>
      </c>
      <c r="T2682" s="85">
        <f>IF(B2682="",0,$S2682*$K2682)</f>
        <v>32.938698310983044</v>
      </c>
      <c r="U2682" s="85">
        <f>IF(B2682="",0,IF(OR(H2682=MappingTables!$C$34,H2682=MappingTables!$C$35),T2682,0))</f>
        <v>0</v>
      </c>
      <c r="V2682" s="85">
        <f>IF(ISNA(IF(AND(VLOOKUP(CONCATENATE($D2682,$G2682),CSRFinput!$B:$E,4,0)=0,OR(H2682=MappingTables!$C$34,H2682=MappingTables!$C$35)),1,VLOOKUP(CONCATENATE($D2682,$G2682),CSRFinput!$B:$E,4,0))),0,IF(AND(VLOOKUP(CONCATENATE($D2682,$G2682),CSRFinput!$B:$E,4,0)=0,OR(H2682=MappingTables!$C$34,H2682=MappingTables!$C$35)),1,VLOOKUP(CONCATENATE($D2682,$G2682),CSRFinput!$B:$E,4,0)))</f>
        <v>0.054776304963434752</v>
      </c>
      <c r="W2682" s="85">
        <f>IF(B2682="",0,+$T2682*$V2682)</f>
        <v>1.8042601837809804</v>
      </c>
      <c r="X2682" s="85">
        <f>IF(B2682="",0,IF(OR(H2682=MappingTables!$C$34,H2682=MappingTables!$C$35),W2682,0))</f>
        <v>0</v>
      </c>
    </row>
    <row r="2683" spans="2:24" s="0" customFormat="0" ht="15">
      <c r="B2683" s="69" t="s">
        <v>2541</v>
      </c>
      <c r="C2683" s="70" t="s">
        <v>2542</v>
      </c>
      <c r="D2683" s="70" t="s">
        <v>1</v>
      </c>
      <c r="E2683" s="70" t="s">
        <v>1</v>
      </c>
      <c r="F2683" s="70"/>
      <c r="G2683" s="70" t="s">
        <v>61</v>
      </c>
      <c r="H2683" s="70" t="s">
        <v>178</v>
      </c>
      <c r="I2683" s="70" t="s">
        <v>181</v>
      </c>
      <c r="J2683" s="71">
        <f>IF(OR(I2683=0,I2683=""),"unrated",VLOOKUP(I2683,MappingTables!$B$19:$C$31,2,FALSE))</f>
        <v>3</v>
      </c>
      <c r="K2683" s="72">
        <v>35.074134843518912</v>
      </c>
      <c r="L2683" s="70">
        <v>2.9538484740009468</v>
      </c>
      <c r="M2683" s="71">
        <f>IF(L2683&lt;1,1,L2683)</f>
        <v>2.9538484740009468</v>
      </c>
      <c r="N2683" s="70" t="s">
        <v>141</v>
      </c>
      <c r="O2683" s="71">
        <f>INDEX(DurClassMapping,MATCH(M2683,MappingTables!$D$4:$D$8,-1),1)</f>
        <v>1</v>
      </c>
      <c r="P2683" s="73">
        <f>IF(M2683=$A$1,1,$M2683-INDEX(MappingTables!$E$4:$E$8,MATCH(O2683,MappingTables!$B$4:$B$8,0)))</f>
        <v>2.9538484740009468</v>
      </c>
      <c r="Q2683" s="71">
        <f>IF(B2683="",0,INDEX(ModelParameters!$D$6:$K$10,MATCH($O2683,ModelParameters!$B$6:$B$10,0),MATCH($J2683,ModelParameters!$D$5:$K$5,0)))</f>
        <v>0.025</v>
      </c>
      <c r="R2683" s="71">
        <f>IF(B2683="",0,INDEX(ModelParameters!$D$13:$K$17,MATCH($O2683,ModelParameters!$B$13:$B$17,0),MATCH($J2683,ModelParameters!$D$5:$K$5,0)))</f>
        <v>0</v>
      </c>
      <c r="S2683" s="160">
        <f>IF(B2683="",0,MIN(IF($N2683="Other Bond TM",ModelParameters!$N$21,1)*(P2683*Q2683+R2683),1))</f>
        <v>0.073846211850023664</v>
      </c>
      <c r="T2683" s="85">
        <f>IF(B2683="",0,$S2683*$K2683)</f>
        <v>2.5900919921107944</v>
      </c>
      <c r="U2683" s="85">
        <f>IF(B2683="",0,IF(OR(H2683=MappingTables!$C$34,H2683=MappingTables!$C$35),T2683,0))</f>
        <v>0</v>
      </c>
      <c r="V2683" s="85">
        <f>IF(ISNA(IF(AND(VLOOKUP(CONCATENATE($D2683,$G2683),CSRFinput!$B:$E,4,0)=0,OR(H2683=MappingTables!$C$34,H2683=MappingTables!$C$35)),1,VLOOKUP(CONCATENATE($D2683,$G2683),CSRFinput!$B:$E,4,0))),0,IF(AND(VLOOKUP(CONCATENATE($D2683,$G2683),CSRFinput!$B:$E,4,0)=0,OR(H2683=MappingTables!$C$34,H2683=MappingTables!$C$35)),1,VLOOKUP(CONCATENATE($D2683,$G2683),CSRFinput!$B:$E,4,0)))</f>
        <v>0.054776304963434752</v>
      </c>
      <c r="W2683" s="85">
        <f>IF(B2683="",0,+$T2683*$V2683)</f>
        <v>0.14187566884321112</v>
      </c>
      <c r="X2683" s="85">
        <f>IF(B2683="",0,IF(OR(H2683=MappingTables!$C$34,H2683=MappingTables!$C$35),W2683,0))</f>
        <v>0</v>
      </c>
    </row>
    <row r="2684" spans="2:24" s="0" customFormat="0" ht="15">
      <c r="B2684" s="69">
        <v>14676162</v>
      </c>
      <c r="C2684" s="70" t="s">
        <v>2142</v>
      </c>
      <c r="D2684" s="70" t="s">
        <v>1</v>
      </c>
      <c r="E2684" s="70" t="s">
        <v>1</v>
      </c>
      <c r="F2684" s="70"/>
      <c r="G2684" s="70" t="s">
        <v>61</v>
      </c>
      <c r="H2684" s="70" t="s">
        <v>178</v>
      </c>
      <c r="I2684" s="70" t="s">
        <v>181</v>
      </c>
      <c r="J2684" s="71">
        <f>IF(OR(I2684=0,I2684=""),"unrated",VLOOKUP(I2684,MappingTables!$B$19:$C$31,2,FALSE))</f>
        <v>3</v>
      </c>
      <c r="K2684" s="72">
        <v>4726.6378115861928</v>
      </c>
      <c r="L2684" s="70">
        <v>5.5182848433659192</v>
      </c>
      <c r="M2684" s="71">
        <f>IF(L2684&lt;1,1,L2684)</f>
        <v>5.5182848433659192</v>
      </c>
      <c r="N2684" s="70" t="s">
        <v>141</v>
      </c>
      <c r="O2684" s="71">
        <f>INDEX(DurClassMapping,MATCH(M2684,MappingTables!$D$4:$D$8,-1),1)</f>
        <v>2</v>
      </c>
      <c r="P2684" s="73">
        <f>IF(M2684=$A$1,1,$M2684-INDEX(MappingTables!$E$4:$E$8,MATCH(O2684,MappingTables!$B$4:$B$8,0)))</f>
        <v>0.51828484336591888</v>
      </c>
      <c r="Q2684" s="71">
        <f>IF(B2684="",0,INDEX(ModelParameters!$D$6:$K$10,MATCH($O2684,ModelParameters!$B$6:$B$10,0),MATCH($J2684,ModelParameters!$D$5:$K$5,0)))</f>
        <v>0.015</v>
      </c>
      <c r="R2684" s="71">
        <f>IF(B2684="",0,INDEX(ModelParameters!$D$13:$K$17,MATCH($O2684,ModelParameters!$B$13:$B$17,0),MATCH($J2684,ModelParameters!$D$5:$K$5,0)))</f>
        <v>0.125</v>
      </c>
      <c r="S2684" s="160">
        <f>IF(B2684="",0,MIN(IF($N2684="Other Bond TM",ModelParameters!$N$21,1)*(P2684*Q2684+R2684),1))</f>
        <v>0.13277427265048878</v>
      </c>
      <c r="T2684" s="85">
        <f>IF(B2684="",0,$S2684*$K2684)</f>
        <v>627.57589751565464</v>
      </c>
      <c r="U2684" s="85">
        <f>IF(B2684="",0,IF(OR(H2684=MappingTables!$C$34,H2684=MappingTables!$C$35),T2684,0))</f>
        <v>0</v>
      </c>
      <c r="V2684" s="85">
        <f>IF(ISNA(IF(AND(VLOOKUP(CONCATENATE($D2684,$G2684),CSRFinput!$B:$E,4,0)=0,OR(H2684=MappingTables!$C$34,H2684=MappingTables!$C$35)),1,VLOOKUP(CONCATENATE($D2684,$G2684),CSRFinput!$B:$E,4,0))),0,IF(AND(VLOOKUP(CONCATENATE($D2684,$G2684),CSRFinput!$B:$E,4,0)=0,OR(H2684=MappingTables!$C$34,H2684=MappingTables!$C$35)),1,VLOOKUP(CONCATENATE($D2684,$G2684),CSRFinput!$B:$E,4,0)))</f>
        <v>0.054776304963434752</v>
      </c>
      <c r="W2684" s="85">
        <f>IF(B2684="",0,+$T2684*$V2684)</f>
        <v>34.376288750018772</v>
      </c>
      <c r="X2684" s="85">
        <f>IF(B2684="",0,IF(OR(H2684=MappingTables!$C$34,H2684=MappingTables!$C$35),W2684,0))</f>
        <v>0</v>
      </c>
    </row>
    <row r="2685" spans="2:24" s="0" customFormat="0" ht="15">
      <c r="B2685" s="69">
        <v>18978138</v>
      </c>
      <c r="C2685" s="70" t="s">
        <v>1040</v>
      </c>
      <c r="D2685" s="70" t="s">
        <v>1</v>
      </c>
      <c r="E2685" s="70" t="s">
        <v>1</v>
      </c>
      <c r="F2685" s="70"/>
      <c r="G2685" s="70" t="s">
        <v>61</v>
      </c>
      <c r="H2685" s="70" t="s">
        <v>178</v>
      </c>
      <c r="I2685" s="70" t="s">
        <v>184</v>
      </c>
      <c r="J2685" s="71">
        <f>IF(OR(I2685=0,I2685=""),"unrated",VLOOKUP(I2685,MappingTables!$B$19:$C$31,2,FALSE))</f>
        <v>5</v>
      </c>
      <c r="K2685" s="72">
        <v>30899.233304462048</v>
      </c>
      <c r="L2685" s="70">
        <v>1.0445695303128182</v>
      </c>
      <c r="M2685" s="71">
        <f>IF(L2685&lt;1,1,L2685)</f>
        <v>1.0445695303128182</v>
      </c>
      <c r="N2685" s="70" t="s">
        <v>141</v>
      </c>
      <c r="O2685" s="71">
        <f>INDEX(DurClassMapping,MATCH(M2685,MappingTables!$D$4:$D$8,-1),1)</f>
        <v>1</v>
      </c>
      <c r="P2685" s="73">
        <f>IF(M2685=$A$1,1,$M2685-INDEX(MappingTables!$E$4:$E$8,MATCH(O2685,MappingTables!$B$4:$B$8,0)))</f>
        <v>1.0445695303128182</v>
      </c>
      <c r="Q2685" s="71">
        <f>IF(B2685="",0,INDEX(ModelParameters!$D$6:$K$10,MATCH($O2685,ModelParameters!$B$6:$B$10,0),MATCH($J2685,ModelParameters!$D$5:$K$5,0)))</f>
        <v>0.075</v>
      </c>
      <c r="R2685" s="71">
        <f>IF(B2685="",0,INDEX(ModelParameters!$D$13:$K$17,MATCH($O2685,ModelParameters!$B$13:$B$17,0),MATCH($J2685,ModelParameters!$D$5:$K$5,0)))</f>
        <v>0</v>
      </c>
      <c r="S2685" s="160">
        <f>IF(B2685="",0,MIN(IF($N2685="Other Bond TM",ModelParameters!$N$21,1)*(P2685*Q2685+R2685),1))</f>
        <v>0.07834271477346136</v>
      </c>
      <c r="T2685" s="85">
        <f>IF(B2685="",0,$S2685*$K2685)</f>
        <v>2420.729821490108</v>
      </c>
      <c r="U2685" s="85">
        <f>IF(B2685="",0,IF(OR(H2685=MappingTables!$C$34,H2685=MappingTables!$C$35),T2685,0))</f>
        <v>0</v>
      </c>
      <c r="V2685" s="85">
        <f>IF(ISNA(IF(AND(VLOOKUP(CONCATENATE($D2685,$G2685),CSRFinput!$B:$E,4,0)=0,OR(H2685=MappingTables!$C$34,H2685=MappingTables!$C$35)),1,VLOOKUP(CONCATENATE($D2685,$G2685),CSRFinput!$B:$E,4,0))),0,IF(AND(VLOOKUP(CONCATENATE($D2685,$G2685),CSRFinput!$B:$E,4,0)=0,OR(H2685=MappingTables!$C$34,H2685=MappingTables!$C$35)),1,VLOOKUP(CONCATENATE($D2685,$G2685),CSRFinput!$B:$E,4,0)))</f>
        <v>0.054776304963434752</v>
      </c>
      <c r="W2685" s="85">
        <f>IF(B2685="",0,+$T2685*$V2685)</f>
        <v>132.59863493602314</v>
      </c>
      <c r="X2685" s="85">
        <f>IF(B2685="",0,IF(OR(H2685=MappingTables!$C$34,H2685=MappingTables!$C$35),W2685,0))</f>
        <v>0</v>
      </c>
    </row>
    <row r="2686" spans="2:24" s="0" customFormat="0" ht="15">
      <c r="B2686" s="69">
        <v>23415378</v>
      </c>
      <c r="C2686" s="70" t="s">
        <v>1880</v>
      </c>
      <c r="D2686" s="70" t="s">
        <v>1</v>
      </c>
      <c r="E2686" s="70" t="s">
        <v>1</v>
      </c>
      <c r="F2686" s="70"/>
      <c r="G2686" s="70" t="s">
        <v>61</v>
      </c>
      <c r="H2686" s="70" t="s">
        <v>178</v>
      </c>
      <c r="I2686" s="70" t="s">
        <v>181</v>
      </c>
      <c r="J2686" s="71">
        <f>IF(OR(I2686=0,I2686=""),"unrated",VLOOKUP(I2686,MappingTables!$B$19:$C$31,2,FALSE))</f>
        <v>3</v>
      </c>
      <c r="K2686" s="72">
        <v>4674.8566619444584</v>
      </c>
      <c r="L2686" s="70">
        <v>4.1005726974652384</v>
      </c>
      <c r="M2686" s="71">
        <f>IF(L2686&lt;1,1,L2686)</f>
        <v>4.1005726974652384</v>
      </c>
      <c r="N2686" s="70" t="s">
        <v>141</v>
      </c>
      <c r="O2686" s="71">
        <f>INDEX(DurClassMapping,MATCH(M2686,MappingTables!$D$4:$D$8,-1),1)</f>
        <v>1</v>
      </c>
      <c r="P2686" s="73">
        <f>IF(M2686=$A$1,1,$M2686-INDEX(MappingTables!$E$4:$E$8,MATCH(O2686,MappingTables!$B$4:$B$8,0)))</f>
        <v>4.1005726974652384</v>
      </c>
      <c r="Q2686" s="71">
        <f>IF(B2686="",0,INDEX(ModelParameters!$D$6:$K$10,MATCH($O2686,ModelParameters!$B$6:$B$10,0),MATCH($J2686,ModelParameters!$D$5:$K$5,0)))</f>
        <v>0.025</v>
      </c>
      <c r="R2686" s="71">
        <f>IF(B2686="",0,INDEX(ModelParameters!$D$13:$K$17,MATCH($O2686,ModelParameters!$B$13:$B$17,0),MATCH($J2686,ModelParameters!$D$5:$K$5,0)))</f>
        <v>0</v>
      </c>
      <c r="S2686" s="160">
        <f>IF(B2686="",0,MIN(IF($N2686="Other Bond TM",ModelParameters!$N$21,1)*(P2686*Q2686+R2686),1))</f>
        <v>0.10251431743663096</v>
      </c>
      <c r="T2686" s="85">
        <f>IF(B2686="",0,$S2686*$K2686)</f>
        <v>479.2397398133232</v>
      </c>
      <c r="U2686" s="85">
        <f>IF(B2686="",0,IF(OR(H2686=MappingTables!$C$34,H2686=MappingTables!$C$35),T2686,0))</f>
        <v>0</v>
      </c>
      <c r="V2686" s="85">
        <f>IF(ISNA(IF(AND(VLOOKUP(CONCATENATE($D2686,$G2686),CSRFinput!$B:$E,4,0)=0,OR(H2686=MappingTables!$C$34,H2686=MappingTables!$C$35)),1,VLOOKUP(CONCATENATE($D2686,$G2686),CSRFinput!$B:$E,4,0))),0,IF(AND(VLOOKUP(CONCATENATE($D2686,$G2686),CSRFinput!$B:$E,4,0)=0,OR(H2686=MappingTables!$C$34,H2686=MappingTables!$C$35)),1,VLOOKUP(CONCATENATE($D2686,$G2686),CSRFinput!$B:$E,4,0)))</f>
        <v>0.054776304963434752</v>
      </c>
      <c r="W2686" s="85">
        <f>IF(B2686="",0,+$T2686*$V2686)</f>
        <v>26.250982138611716</v>
      </c>
      <c r="X2686" s="85">
        <f>IF(B2686="",0,IF(OR(H2686=MappingTables!$C$34,H2686=MappingTables!$C$35),W2686,0))</f>
        <v>0</v>
      </c>
    </row>
    <row r="2687" spans="2:24" s="0" customFormat="0" ht="15">
      <c r="B2687" s="69">
        <v>11938366</v>
      </c>
      <c r="C2687" s="70" t="s">
        <v>2543</v>
      </c>
      <c r="D2687" s="70" t="s">
        <v>1</v>
      </c>
      <c r="E2687" s="70" t="s">
        <v>1</v>
      </c>
      <c r="F2687" s="70"/>
      <c r="G2687" s="70" t="s">
        <v>61</v>
      </c>
      <c r="H2687" s="70" t="s">
        <v>178</v>
      </c>
      <c r="I2687" s="70" t="s">
        <v>188</v>
      </c>
      <c r="J2687" s="71">
        <f>IF(OR(I2687=0,I2687=""),"unrated",VLOOKUP(I2687,MappingTables!$B$19:$C$31,2,FALSE))</f>
        <v>2</v>
      </c>
      <c r="K2687" s="72">
        <v>984.33836875315744</v>
      </c>
      <c r="L2687" s="70">
        <v>0.28150463842070744</v>
      </c>
      <c r="M2687" s="71">
        <f>IF(L2687&lt;1,1,L2687)</f>
        <v>1</v>
      </c>
      <c r="N2687" s="70" t="s">
        <v>141</v>
      </c>
      <c r="O2687" s="71">
        <f>INDEX(DurClassMapping,MATCH(M2687,MappingTables!$D$4:$D$8,-1),1)</f>
        <v>1</v>
      </c>
      <c r="P2687" s="73">
        <f>IF(M2687=$A$1,1,$M2687-INDEX(MappingTables!$E$4:$E$8,MATCH(O2687,MappingTables!$B$4:$B$8,0)))</f>
        <v>1</v>
      </c>
      <c r="Q2687" s="71">
        <f>IF(B2687="",0,INDEX(ModelParameters!$D$6:$K$10,MATCH($O2687,ModelParameters!$B$6:$B$10,0),MATCH($J2687,ModelParameters!$D$5:$K$5,0)))</f>
        <v>0.013999999999999998</v>
      </c>
      <c r="R2687" s="71">
        <f>IF(B2687="",0,INDEX(ModelParameters!$D$13:$K$17,MATCH($O2687,ModelParameters!$B$13:$B$17,0),MATCH($J2687,ModelParameters!$D$5:$K$5,0)))</f>
        <v>0</v>
      </c>
      <c r="S2687" s="160">
        <f>IF(B2687="",0,MIN(IF($N2687="Other Bond TM",ModelParameters!$N$21,1)*(P2687*Q2687+R2687),1))</f>
        <v>0.013999999999999998</v>
      </c>
      <c r="T2687" s="85">
        <f>IF(B2687="",0,$S2687*$K2687)</f>
        <v>13.780737162544204</v>
      </c>
      <c r="U2687" s="85">
        <f>IF(B2687="",0,IF(OR(H2687=MappingTables!$C$34,H2687=MappingTables!$C$35),T2687,0))</f>
        <v>0</v>
      </c>
      <c r="V2687" s="85">
        <f>IF(ISNA(IF(AND(VLOOKUP(CONCATENATE($D2687,$G2687),CSRFinput!$B:$E,4,0)=0,OR(H2687=MappingTables!$C$34,H2687=MappingTables!$C$35)),1,VLOOKUP(CONCATENATE($D2687,$G2687),CSRFinput!$B:$E,4,0))),0,IF(AND(VLOOKUP(CONCATENATE($D2687,$G2687),CSRFinput!$B:$E,4,0)=0,OR(H2687=MappingTables!$C$34,H2687=MappingTables!$C$35)),1,VLOOKUP(CONCATENATE($D2687,$G2687),CSRFinput!$B:$E,4,0)))</f>
        <v>0.054776304963434752</v>
      </c>
      <c r="W2687" s="85">
        <f>IF(B2687="",0,+$T2687*$V2687)</f>
        <v>0.75485786143645984</v>
      </c>
      <c r="X2687" s="85">
        <f>IF(B2687="",0,IF(OR(H2687=MappingTables!$C$34,H2687=MappingTables!$C$35),W2687,0))</f>
        <v>0</v>
      </c>
    </row>
    <row r="2688" spans="2:24" s="0" customFormat="0" ht="15">
      <c r="B2688" s="69">
        <v>20627507</v>
      </c>
      <c r="C2688" s="70" t="s">
        <v>2470</v>
      </c>
      <c r="D2688" s="70" t="s">
        <v>1</v>
      </c>
      <c r="E2688" s="70" t="s">
        <v>1</v>
      </c>
      <c r="F2688" s="70"/>
      <c r="G2688" s="70" t="s">
        <v>61</v>
      </c>
      <c r="H2688" s="70" t="s">
        <v>178</v>
      </c>
      <c r="I2688" s="70" t="s">
        <v>188</v>
      </c>
      <c r="J2688" s="71">
        <f>IF(OR(I2688=0,I2688=""),"unrated",VLOOKUP(I2688,MappingTables!$B$19:$C$31,2,FALSE))</f>
        <v>2</v>
      </c>
      <c r="K2688" s="72">
        <v>39174.505524028472</v>
      </c>
      <c r="L2688" s="70">
        <v>3.3929290962572276</v>
      </c>
      <c r="M2688" s="71">
        <f>IF(L2688&lt;1,1,L2688)</f>
        <v>3.3929290962572276</v>
      </c>
      <c r="N2688" s="70" t="s">
        <v>141</v>
      </c>
      <c r="O2688" s="71">
        <f>INDEX(DurClassMapping,MATCH(M2688,MappingTables!$D$4:$D$8,-1),1)</f>
        <v>1</v>
      </c>
      <c r="P2688" s="73">
        <f>IF(M2688=$A$1,1,$M2688-INDEX(MappingTables!$E$4:$E$8,MATCH(O2688,MappingTables!$B$4:$B$8,0)))</f>
        <v>3.3929290962572276</v>
      </c>
      <c r="Q2688" s="71">
        <f>IF(B2688="",0,INDEX(ModelParameters!$D$6:$K$10,MATCH($O2688,ModelParameters!$B$6:$B$10,0),MATCH($J2688,ModelParameters!$D$5:$K$5,0)))</f>
        <v>0.013999999999999998</v>
      </c>
      <c r="R2688" s="71">
        <f>IF(B2688="",0,INDEX(ModelParameters!$D$13:$K$17,MATCH($O2688,ModelParameters!$B$13:$B$17,0),MATCH($J2688,ModelParameters!$D$5:$K$5,0)))</f>
        <v>0</v>
      </c>
      <c r="S2688" s="160">
        <f>IF(B2688="",0,MIN(IF($N2688="Other Bond TM",ModelParameters!$N$21,1)*(P2688*Q2688+R2688),1))</f>
        <v>0.047501007347601184</v>
      </c>
      <c r="T2688" s="85">
        <f>IF(B2688="",0,$S2688*$K2688)</f>
        <v>1860.8284747355196</v>
      </c>
      <c r="U2688" s="85">
        <f>IF(B2688="",0,IF(OR(H2688=MappingTables!$C$34,H2688=MappingTables!$C$35),T2688,0))</f>
        <v>0</v>
      </c>
      <c r="V2688" s="85">
        <f>IF(ISNA(IF(AND(VLOOKUP(CONCATENATE($D2688,$G2688),CSRFinput!$B:$E,4,0)=0,OR(H2688=MappingTables!$C$34,H2688=MappingTables!$C$35)),1,VLOOKUP(CONCATENATE($D2688,$G2688),CSRFinput!$B:$E,4,0))),0,IF(AND(VLOOKUP(CONCATENATE($D2688,$G2688),CSRFinput!$B:$E,4,0)=0,OR(H2688=MappingTables!$C$34,H2688=MappingTables!$C$35)),1,VLOOKUP(CONCATENATE($D2688,$G2688),CSRFinput!$B:$E,4,0)))</f>
        <v>0.054776304963434752</v>
      </c>
      <c r="W2688" s="85">
        <f>IF(B2688="",0,+$T2688*$V2688)</f>
        <v>101.92930801675596</v>
      </c>
      <c r="X2688" s="85">
        <f>IF(B2688="",0,IF(OR(H2688=MappingTables!$C$34,H2688=MappingTables!$C$35),W2688,0))</f>
        <v>0</v>
      </c>
    </row>
    <row r="2689" spans="2:24" s="0" customFormat="0" ht="15">
      <c r="B2689" s="69">
        <v>22000591</v>
      </c>
      <c r="C2689" s="70" t="s">
        <v>2228</v>
      </c>
      <c r="D2689" s="70" t="s">
        <v>1</v>
      </c>
      <c r="E2689" s="70" t="s">
        <v>1</v>
      </c>
      <c r="F2689" s="70"/>
      <c r="G2689" s="70" t="s">
        <v>61</v>
      </c>
      <c r="H2689" s="70" t="s">
        <v>178</v>
      </c>
      <c r="I2689" s="70" t="s">
        <v>216</v>
      </c>
      <c r="J2689" s="71">
        <f>IF(OR(I2689=0,I2689=""),"unrated",VLOOKUP(I2689,MappingTables!$B$19:$C$31,2,FALSE))</f>
        <v>0</v>
      </c>
      <c r="K2689" s="72">
        <v>23495.92145147766</v>
      </c>
      <c r="L2689" s="70">
        <v>0.060270811687855984</v>
      </c>
      <c r="M2689" s="71">
        <f>IF(L2689&lt;1,1,L2689)</f>
        <v>1</v>
      </c>
      <c r="N2689" s="70" t="s">
        <v>141</v>
      </c>
      <c r="O2689" s="71">
        <f>INDEX(DurClassMapping,MATCH(M2689,MappingTables!$D$4:$D$8,-1),1)</f>
        <v>1</v>
      </c>
      <c r="P2689" s="73">
        <f>IF(M2689=$A$1,1,$M2689-INDEX(MappingTables!$E$4:$E$8,MATCH(O2689,MappingTables!$B$4:$B$8,0)))</f>
        <v>1</v>
      </c>
      <c r="Q2689" s="71">
        <f>IF(B2689="",0,INDEX(ModelParameters!$D$6:$K$10,MATCH($O2689,ModelParameters!$B$6:$B$10,0),MATCH($J2689,ModelParameters!$D$5:$K$5,0)))</f>
        <v>0.0090000000000000016</v>
      </c>
      <c r="R2689" s="71">
        <f>IF(B2689="",0,INDEX(ModelParameters!$D$13:$K$17,MATCH($O2689,ModelParameters!$B$13:$B$17,0),MATCH($J2689,ModelParameters!$D$5:$K$5,0)))</f>
        <v>0</v>
      </c>
      <c r="S2689" s="160">
        <f>IF(B2689="",0,MIN(IF($N2689="Other Bond TM",ModelParameters!$N$21,1)*(P2689*Q2689+R2689),1))</f>
        <v>0.0090000000000000016</v>
      </c>
      <c r="T2689" s="85">
        <f>IF(B2689="",0,$S2689*$K2689)</f>
        <v>211.46329306329896</v>
      </c>
      <c r="U2689" s="85">
        <f>IF(B2689="",0,IF(OR(H2689=MappingTables!$C$34,H2689=MappingTables!$C$35),T2689,0))</f>
        <v>0</v>
      </c>
      <c r="V2689" s="85">
        <f>IF(ISNA(IF(AND(VLOOKUP(CONCATENATE($D2689,$G2689),CSRFinput!$B:$E,4,0)=0,OR(H2689=MappingTables!$C$34,H2689=MappingTables!$C$35)),1,VLOOKUP(CONCATENATE($D2689,$G2689),CSRFinput!$B:$E,4,0))),0,IF(AND(VLOOKUP(CONCATENATE($D2689,$G2689),CSRFinput!$B:$E,4,0)=0,OR(H2689=MappingTables!$C$34,H2689=MappingTables!$C$35)),1,VLOOKUP(CONCATENATE($D2689,$G2689),CSRFinput!$B:$E,4,0)))</f>
        <v>0.054776304963434752</v>
      </c>
      <c r="W2689" s="85">
        <f>IF(B2689="",0,+$T2689*$V2689)</f>
        <v>11.583177829407442</v>
      </c>
      <c r="X2689" s="85">
        <f>IF(B2689="",0,IF(OR(H2689=MappingTables!$C$34,H2689=MappingTables!$C$35),W2689,0))</f>
        <v>0</v>
      </c>
    </row>
    <row r="2690" spans="2:24" s="0" customFormat="0" ht="15">
      <c r="B2690" s="69" t="s">
        <v>2544</v>
      </c>
      <c r="C2690" s="70" t="s">
        <v>2545</v>
      </c>
      <c r="D2690" s="70" t="s">
        <v>1</v>
      </c>
      <c r="E2690" s="70" t="s">
        <v>1</v>
      </c>
      <c r="F2690" s="70"/>
      <c r="G2690" s="70" t="s">
        <v>61</v>
      </c>
      <c r="H2690" s="70" t="s">
        <v>178</v>
      </c>
      <c r="I2690" s="70" t="s">
        <v>198</v>
      </c>
      <c r="J2690" s="71" t="str">
        <f>IF(OR(I2690=0,I2690=""),"unrated",VLOOKUP(I2690,MappingTables!$B$19:$C$31,2,FALSE))</f>
        <v>unrated</v>
      </c>
      <c r="K2690" s="72">
        <v>1012.7234592912764</v>
      </c>
      <c r="L2690" s="70">
        <v>14.875340021577388</v>
      </c>
      <c r="M2690" s="71">
        <f>IF(L2690&lt;1,1,L2690)</f>
        <v>14.875340021577388</v>
      </c>
      <c r="N2690" s="70" t="s">
        <v>141</v>
      </c>
      <c r="O2690" s="71">
        <f>INDEX(DurClassMapping,MATCH(M2690,MappingTables!$D$4:$D$8,-1),1)</f>
        <v>3</v>
      </c>
      <c r="P2690" s="73">
        <f>IF(M2690=$A$1,1,$M2690-INDEX(MappingTables!$E$4:$E$8,MATCH(O2690,MappingTables!$B$4:$B$8,0)))</f>
        <v>4.875340021577388</v>
      </c>
      <c r="Q2690" s="71">
        <f>IF(B2690="",0,INDEX(ModelParameters!$D$6:$K$10,MATCH($O2690,ModelParameters!$B$6:$B$10,0),MATCH($J2690,ModelParameters!$D$5:$K$5,0)))</f>
        <v>0.012</v>
      </c>
      <c r="R2690" s="71">
        <f>IF(B2690="",0,INDEX(ModelParameters!$D$13:$K$17,MATCH($O2690,ModelParameters!$B$13:$B$17,0),MATCH($J2690,ModelParameters!$D$5:$K$5,0)))</f>
        <v>0.235</v>
      </c>
      <c r="S2690" s="160">
        <f>IF(B2690="",0,MIN(IF($N2690="Other Bond TM",ModelParameters!$N$21,1)*(P2690*Q2690+R2690),1))</f>
        <v>0.29350408025892864</v>
      </c>
      <c r="T2690" s="85">
        <f>IF(B2690="",0,$S2690*$K2690)</f>
        <v>297.23846747592664</v>
      </c>
      <c r="U2690" s="85">
        <f>IF(B2690="",0,IF(OR(H2690=MappingTables!$C$34,H2690=MappingTables!$C$35),T2690,0))</f>
        <v>0</v>
      </c>
      <c r="V2690" s="85">
        <f>IF(ISNA(IF(AND(VLOOKUP(CONCATENATE($D2690,$G2690),CSRFinput!$B:$E,4,0)=0,OR(H2690=MappingTables!$C$34,H2690=MappingTables!$C$35)),1,VLOOKUP(CONCATENATE($D2690,$G2690),CSRFinput!$B:$E,4,0))),0,IF(AND(VLOOKUP(CONCATENATE($D2690,$G2690),CSRFinput!$B:$E,4,0)=0,OR(H2690=MappingTables!$C$34,H2690=MappingTables!$C$35)),1,VLOOKUP(CONCATENATE($D2690,$G2690),CSRFinput!$B:$E,4,0)))</f>
        <v>0.054776304963434752</v>
      </c>
      <c r="W2690" s="85">
        <f>IF(B2690="",0,+$T2690*$V2690)</f>
        <v>16.28162494132534</v>
      </c>
      <c r="X2690" s="85">
        <f>IF(B2690="",0,IF(OR(H2690=MappingTables!$C$34,H2690=MappingTables!$C$35),W2690,0))</f>
        <v>0</v>
      </c>
    </row>
    <row r="2691" spans="2:24" s="0" customFormat="0" ht="15">
      <c r="B2691" s="69">
        <v>20285513</v>
      </c>
      <c r="C2691" s="70" t="s">
        <v>1428</v>
      </c>
      <c r="D2691" s="70" t="s">
        <v>1</v>
      </c>
      <c r="E2691" s="70" t="s">
        <v>1</v>
      </c>
      <c r="F2691" s="70"/>
      <c r="G2691" s="70" t="s">
        <v>61</v>
      </c>
      <c r="H2691" s="70" t="s">
        <v>178</v>
      </c>
      <c r="I2691" s="70" t="s">
        <v>181</v>
      </c>
      <c r="J2691" s="71">
        <f>IF(OR(I2691=0,I2691=""),"unrated",VLOOKUP(I2691,MappingTables!$B$19:$C$31,2,FALSE))</f>
        <v>3</v>
      </c>
      <c r="K2691" s="72">
        <v>6436.1545669163632</v>
      </c>
      <c r="L2691" s="70">
        <v>7.0932286666846928</v>
      </c>
      <c r="M2691" s="71">
        <f>IF(L2691&lt;1,1,L2691)</f>
        <v>7.0932286666846928</v>
      </c>
      <c r="N2691" s="70" t="s">
        <v>141</v>
      </c>
      <c r="O2691" s="71">
        <f>INDEX(DurClassMapping,MATCH(M2691,MappingTables!$D$4:$D$8,-1),1)</f>
        <v>2</v>
      </c>
      <c r="P2691" s="73">
        <f>IF(M2691=$A$1,1,$M2691-INDEX(MappingTables!$E$4:$E$8,MATCH(O2691,MappingTables!$B$4:$B$8,0)))</f>
        <v>2.0932286666846932</v>
      </c>
      <c r="Q2691" s="71">
        <f>IF(B2691="",0,INDEX(ModelParameters!$D$6:$K$10,MATCH($O2691,ModelParameters!$B$6:$B$10,0),MATCH($J2691,ModelParameters!$D$5:$K$5,0)))</f>
        <v>0.015</v>
      </c>
      <c r="R2691" s="71">
        <f>IF(B2691="",0,INDEX(ModelParameters!$D$13:$K$17,MATCH($O2691,ModelParameters!$B$13:$B$17,0),MATCH($J2691,ModelParameters!$D$5:$K$5,0)))</f>
        <v>0.125</v>
      </c>
      <c r="S2691" s="160">
        <f>IF(B2691="",0,MIN(IF($N2691="Other Bond TM",ModelParameters!$N$21,1)*(P2691*Q2691+R2691),1))</f>
        <v>0.1563984300002704</v>
      </c>
      <c r="T2691" s="85">
        <f>IF(B2691="",0,$S2691*$K2691)</f>
        <v>1006.6044695047896</v>
      </c>
      <c r="U2691" s="85">
        <f>IF(B2691="",0,IF(OR(H2691=MappingTables!$C$34,H2691=MappingTables!$C$35),T2691,0))</f>
        <v>0</v>
      </c>
      <c r="V2691" s="85">
        <f>IF(ISNA(IF(AND(VLOOKUP(CONCATENATE($D2691,$G2691),CSRFinput!$B:$E,4,0)=0,OR(H2691=MappingTables!$C$34,H2691=MappingTables!$C$35)),1,VLOOKUP(CONCATENATE($D2691,$G2691),CSRFinput!$B:$E,4,0))),0,IF(AND(VLOOKUP(CONCATENATE($D2691,$G2691),CSRFinput!$B:$E,4,0)=0,OR(H2691=MappingTables!$C$34,H2691=MappingTables!$C$35)),1,VLOOKUP(CONCATENATE($D2691,$G2691),CSRFinput!$B:$E,4,0)))</f>
        <v>0.054776304963434752</v>
      </c>
      <c r="W2691" s="85">
        <f>IF(B2691="",0,+$T2691*$V2691)</f>
        <v>55.138073399150816</v>
      </c>
      <c r="X2691" s="85">
        <f>IF(B2691="",0,IF(OR(H2691=MappingTables!$C$34,H2691=MappingTables!$C$35),W2691,0))</f>
        <v>0</v>
      </c>
    </row>
    <row r="2692" spans="2:24" s="0" customFormat="0" ht="15">
      <c r="B2692" s="69">
        <v>17170632</v>
      </c>
      <c r="C2692" s="70" t="s">
        <v>2395</v>
      </c>
      <c r="D2692" s="70" t="s">
        <v>1</v>
      </c>
      <c r="E2692" s="70" t="s">
        <v>1</v>
      </c>
      <c r="F2692" s="70"/>
      <c r="G2692" s="70" t="s">
        <v>61</v>
      </c>
      <c r="H2692" s="70" t="s">
        <v>178</v>
      </c>
      <c r="I2692" s="70" t="s">
        <v>184</v>
      </c>
      <c r="J2692" s="71">
        <f>IF(OR(I2692=0,I2692=""),"unrated",VLOOKUP(I2692,MappingTables!$B$19:$C$31,2,FALSE))</f>
        <v>5</v>
      </c>
      <c r="K2692" s="72">
        <v>6590.3736480331976</v>
      </c>
      <c r="L2692" s="70">
        <v>9.2526289064861248</v>
      </c>
      <c r="M2692" s="71">
        <f>IF(L2692&lt;1,1,L2692)</f>
        <v>9.2526289064861248</v>
      </c>
      <c r="N2692" s="70" t="s">
        <v>141</v>
      </c>
      <c r="O2692" s="71">
        <f>INDEX(DurClassMapping,MATCH(M2692,MappingTables!$D$4:$D$8,-1),1)</f>
        <v>2</v>
      </c>
      <c r="P2692" s="73">
        <f>IF(M2692=$A$1,1,$M2692-INDEX(MappingTables!$E$4:$E$8,MATCH(O2692,MappingTables!$B$4:$B$8,0)))</f>
        <v>4.2526289064861248</v>
      </c>
      <c r="Q2692" s="71">
        <f>IF(B2692="",0,INDEX(ModelParameters!$D$6:$K$10,MATCH($O2692,ModelParameters!$B$6:$B$10,0),MATCH($J2692,ModelParameters!$D$5:$K$5,0)))</f>
        <v>0.042</v>
      </c>
      <c r="R2692" s="71">
        <f>IF(B2692="",0,INDEX(ModelParameters!$D$13:$K$17,MATCH($O2692,ModelParameters!$B$13:$B$17,0),MATCH($J2692,ModelParameters!$D$5:$K$5,0)))</f>
        <v>0.375</v>
      </c>
      <c r="S2692" s="160">
        <f>IF(B2692="",0,MIN(IF($N2692="Other Bond TM",ModelParameters!$N$21,1)*(P2692*Q2692+R2692),1))</f>
        <v>0.55361041407241728</v>
      </c>
      <c r="T2692" s="85">
        <f>IF(B2692="",0,$S2692*$K2692)</f>
        <v>3648.4994841796056</v>
      </c>
      <c r="U2692" s="85">
        <f>IF(B2692="",0,IF(OR(H2692=MappingTables!$C$34,H2692=MappingTables!$C$35),T2692,0))</f>
        <v>0</v>
      </c>
      <c r="V2692" s="85">
        <f>IF(ISNA(IF(AND(VLOOKUP(CONCATENATE($D2692,$G2692),CSRFinput!$B:$E,4,0)=0,OR(H2692=MappingTables!$C$34,H2692=MappingTables!$C$35)),1,VLOOKUP(CONCATENATE($D2692,$G2692),CSRFinput!$B:$E,4,0))),0,IF(AND(VLOOKUP(CONCATENATE($D2692,$G2692),CSRFinput!$B:$E,4,0)=0,OR(H2692=MappingTables!$C$34,H2692=MappingTables!$C$35)),1,VLOOKUP(CONCATENATE($D2692,$G2692),CSRFinput!$B:$E,4,0)))</f>
        <v>0.054776304963434752</v>
      </c>
      <c r="W2692" s="85">
        <f>IF(B2692="",0,+$T2692*$V2692)</f>
        <v>199.85132040435648</v>
      </c>
      <c r="X2692" s="85">
        <f>IF(B2692="",0,IF(OR(H2692=MappingTables!$C$34,H2692=MappingTables!$C$35),W2692,0))</f>
        <v>0</v>
      </c>
    </row>
    <row r="2693" spans="2:24" s="0" customFormat="0" ht="15">
      <c r="B2693" s="69" t="s">
        <v>2546</v>
      </c>
      <c r="C2693" s="70" t="s">
        <v>2547</v>
      </c>
      <c r="D2693" s="70" t="s">
        <v>1</v>
      </c>
      <c r="E2693" s="70" t="s">
        <v>1</v>
      </c>
      <c r="F2693" s="70"/>
      <c r="G2693" s="70" t="s">
        <v>61</v>
      </c>
      <c r="H2693" s="70" t="s">
        <v>178</v>
      </c>
      <c r="I2693" s="70" t="s">
        <v>181</v>
      </c>
      <c r="J2693" s="71">
        <f>IF(OR(I2693=0,I2693=""),"unrated",VLOOKUP(I2693,MappingTables!$B$19:$C$31,2,FALSE))</f>
        <v>3</v>
      </c>
      <c r="K2693" s="72">
        <v>4569.4938458268456</v>
      </c>
      <c r="L2693" s="70">
        <v>14.518323638893236</v>
      </c>
      <c r="M2693" s="71">
        <f>IF(L2693&lt;1,1,L2693)</f>
        <v>14.518323638893236</v>
      </c>
      <c r="N2693" s="70" t="s">
        <v>141</v>
      </c>
      <c r="O2693" s="71">
        <f>INDEX(DurClassMapping,MATCH(M2693,MappingTables!$D$4:$D$8,-1),1)</f>
        <v>3</v>
      </c>
      <c r="P2693" s="73">
        <f>IF(M2693=$A$1,1,$M2693-INDEX(MappingTables!$E$4:$E$8,MATCH(O2693,MappingTables!$B$4:$B$8,0)))</f>
        <v>4.518323638893236</v>
      </c>
      <c r="Q2693" s="71">
        <f>IF(B2693="",0,INDEX(ModelParameters!$D$6:$K$10,MATCH($O2693,ModelParameters!$B$6:$B$10,0),MATCH($J2693,ModelParameters!$D$5:$K$5,0)))</f>
        <v>0.01</v>
      </c>
      <c r="R2693" s="71">
        <f>IF(B2693="",0,INDEX(ModelParameters!$D$13:$K$17,MATCH($O2693,ModelParameters!$B$13:$B$17,0),MATCH($J2693,ModelParameters!$D$5:$K$5,0)))</f>
        <v>0.2</v>
      </c>
      <c r="S2693" s="160">
        <f>IF(B2693="",0,MIN(IF($N2693="Other Bond TM",ModelParameters!$N$21,1)*(P2693*Q2693+R2693),1))</f>
        <v>0.24518323638893236</v>
      </c>
      <c r="T2693" s="85">
        <f>IF(B2693="",0,$S2693*$K2693)</f>
        <v>1120.3632897791352</v>
      </c>
      <c r="U2693" s="85">
        <f>IF(B2693="",0,IF(OR(H2693=MappingTables!$C$34,H2693=MappingTables!$C$35),T2693,0))</f>
        <v>0</v>
      </c>
      <c r="V2693" s="85">
        <f>IF(ISNA(IF(AND(VLOOKUP(CONCATENATE($D2693,$G2693),CSRFinput!$B:$E,4,0)=0,OR(H2693=MappingTables!$C$34,H2693=MappingTables!$C$35)),1,VLOOKUP(CONCATENATE($D2693,$G2693),CSRFinput!$B:$E,4,0))),0,IF(AND(VLOOKUP(CONCATENATE($D2693,$G2693),CSRFinput!$B:$E,4,0)=0,OR(H2693=MappingTables!$C$34,H2693=MappingTables!$C$35)),1,VLOOKUP(CONCATENATE($D2693,$G2693),CSRFinput!$B:$E,4,0)))</f>
        <v>0.054776304963434752</v>
      </c>
      <c r="W2693" s="85">
        <f>IF(B2693="",0,+$T2693*$V2693)</f>
        <v>61.369361230778928</v>
      </c>
      <c r="X2693" s="85">
        <f>IF(B2693="",0,IF(OR(H2693=MappingTables!$C$34,H2693=MappingTables!$C$35),W2693,0))</f>
        <v>0</v>
      </c>
    </row>
    <row r="2694" spans="2:24" s="0" customFormat="0" ht="15">
      <c r="B2694" s="69">
        <v>17785897</v>
      </c>
      <c r="C2694" s="70" t="s">
        <v>615</v>
      </c>
      <c r="D2694" s="70" t="s">
        <v>1</v>
      </c>
      <c r="E2694" s="70" t="s">
        <v>1</v>
      </c>
      <c r="F2694" s="70"/>
      <c r="G2694" s="70" t="s">
        <v>61</v>
      </c>
      <c r="H2694" s="70" t="s">
        <v>178</v>
      </c>
      <c r="I2694" s="70" t="s">
        <v>181</v>
      </c>
      <c r="J2694" s="71">
        <f>IF(OR(I2694=0,I2694=""),"unrated",VLOOKUP(I2694,MappingTables!$B$19:$C$31,2,FALSE))</f>
        <v>3</v>
      </c>
      <c r="K2694" s="72">
        <v>3.5470477603719324</v>
      </c>
      <c r="L2694" s="70">
        <v>0.72055674915629872</v>
      </c>
      <c r="M2694" s="71">
        <f>IF(L2694&lt;1,1,L2694)</f>
        <v>1</v>
      </c>
      <c r="N2694" s="70" t="s">
        <v>141</v>
      </c>
      <c r="O2694" s="71">
        <f>INDEX(DurClassMapping,MATCH(M2694,MappingTables!$D$4:$D$8,-1),1)</f>
        <v>1</v>
      </c>
      <c r="P2694" s="73">
        <f>IF(M2694=$A$1,1,$M2694-INDEX(MappingTables!$E$4:$E$8,MATCH(O2694,MappingTables!$B$4:$B$8,0)))</f>
        <v>1</v>
      </c>
      <c r="Q2694" s="71">
        <f>IF(B2694="",0,INDEX(ModelParameters!$D$6:$K$10,MATCH($O2694,ModelParameters!$B$6:$B$10,0),MATCH($J2694,ModelParameters!$D$5:$K$5,0)))</f>
        <v>0.025</v>
      </c>
      <c r="R2694" s="71">
        <f>IF(B2694="",0,INDEX(ModelParameters!$D$13:$K$17,MATCH($O2694,ModelParameters!$B$13:$B$17,0),MATCH($J2694,ModelParameters!$D$5:$K$5,0)))</f>
        <v>0</v>
      </c>
      <c r="S2694" s="160">
        <f>IF(B2694="",0,MIN(IF($N2694="Other Bond TM",ModelParameters!$N$21,1)*(P2694*Q2694+R2694),1))</f>
        <v>0.025</v>
      </c>
      <c r="T2694" s="85">
        <f>IF(B2694="",0,$S2694*$K2694)</f>
        <v>0.08867619400929832</v>
      </c>
      <c r="U2694" s="85">
        <f>IF(B2694="",0,IF(OR(H2694=MappingTables!$C$34,H2694=MappingTables!$C$35),T2694,0))</f>
        <v>0</v>
      </c>
      <c r="V2694" s="85">
        <f>IF(ISNA(IF(AND(VLOOKUP(CONCATENATE($D2694,$G2694),CSRFinput!$B:$E,4,0)=0,OR(H2694=MappingTables!$C$34,H2694=MappingTables!$C$35)),1,VLOOKUP(CONCATENATE($D2694,$G2694),CSRFinput!$B:$E,4,0))),0,IF(AND(VLOOKUP(CONCATENATE($D2694,$G2694),CSRFinput!$B:$E,4,0)=0,OR(H2694=MappingTables!$C$34,H2694=MappingTables!$C$35)),1,VLOOKUP(CONCATENATE($D2694,$G2694),CSRFinput!$B:$E,4,0)))</f>
        <v>0.054776304963434752</v>
      </c>
      <c r="W2694" s="85">
        <f>IF(B2694="",0,+$T2694*$V2694)</f>
        <v>0.0048573542460500312</v>
      </c>
      <c r="X2694" s="85">
        <f>IF(B2694="",0,IF(OR(H2694=MappingTables!$C$34,H2694=MappingTables!$C$35),W2694,0))</f>
        <v>0</v>
      </c>
    </row>
    <row r="2695" spans="2:24" s="0" customFormat="0" ht="15">
      <c r="B2695" s="69" t="s">
        <v>437</v>
      </c>
      <c r="C2695" s="70" t="s">
        <v>438</v>
      </c>
      <c r="D2695" s="70" t="s">
        <v>1</v>
      </c>
      <c r="E2695" s="70" t="s">
        <v>1</v>
      </c>
      <c r="F2695" s="70"/>
      <c r="G2695" s="70" t="s">
        <v>61</v>
      </c>
      <c r="H2695" s="70" t="s">
        <v>178</v>
      </c>
      <c r="I2695" s="70" t="s">
        <v>181</v>
      </c>
      <c r="J2695" s="71">
        <f>IF(OR(I2695=0,I2695=""),"unrated",VLOOKUP(I2695,MappingTables!$B$19:$C$31,2,FALSE))</f>
        <v>3</v>
      </c>
      <c r="K2695" s="72">
        <v>79.291966875199952</v>
      </c>
      <c r="L2695" s="70">
        <v>0.021922783182707696</v>
      </c>
      <c r="M2695" s="71">
        <f>IF(L2695&lt;1,1,L2695)</f>
        <v>1</v>
      </c>
      <c r="N2695" s="70" t="s">
        <v>141</v>
      </c>
      <c r="O2695" s="71">
        <f>INDEX(DurClassMapping,MATCH(M2695,MappingTables!$D$4:$D$8,-1),1)</f>
        <v>1</v>
      </c>
      <c r="P2695" s="73">
        <f>IF(M2695=$A$1,1,$M2695-INDEX(MappingTables!$E$4:$E$8,MATCH(O2695,MappingTables!$B$4:$B$8,0)))</f>
        <v>1</v>
      </c>
      <c r="Q2695" s="71">
        <f>IF(B2695="",0,INDEX(ModelParameters!$D$6:$K$10,MATCH($O2695,ModelParameters!$B$6:$B$10,0),MATCH($J2695,ModelParameters!$D$5:$K$5,0)))</f>
        <v>0.025</v>
      </c>
      <c r="R2695" s="71">
        <f>IF(B2695="",0,INDEX(ModelParameters!$D$13:$K$17,MATCH($O2695,ModelParameters!$B$13:$B$17,0),MATCH($J2695,ModelParameters!$D$5:$K$5,0)))</f>
        <v>0</v>
      </c>
      <c r="S2695" s="160">
        <f>IF(B2695="",0,MIN(IF($N2695="Other Bond TM",ModelParameters!$N$21,1)*(P2695*Q2695+R2695),1))</f>
        <v>0.025</v>
      </c>
      <c r="T2695" s="85">
        <f>IF(B2695="",0,$S2695*$K2695)</f>
        <v>1.9822991718799988</v>
      </c>
      <c r="U2695" s="85">
        <f>IF(B2695="",0,IF(OR(H2695=MappingTables!$C$34,H2695=MappingTables!$C$35),T2695,0))</f>
        <v>0</v>
      </c>
      <c r="V2695" s="85">
        <f>IF(ISNA(IF(AND(VLOOKUP(CONCATENATE($D2695,$G2695),CSRFinput!$B:$E,4,0)=0,OR(H2695=MappingTables!$C$34,H2695=MappingTables!$C$35)),1,VLOOKUP(CONCATENATE($D2695,$G2695),CSRFinput!$B:$E,4,0))),0,IF(AND(VLOOKUP(CONCATENATE($D2695,$G2695),CSRFinput!$B:$E,4,0)=0,OR(H2695=MappingTables!$C$34,H2695=MappingTables!$C$35)),1,VLOOKUP(CONCATENATE($D2695,$G2695),CSRFinput!$B:$E,4,0)))</f>
        <v>0.054776304963434752</v>
      </c>
      <c r="W2695" s="85">
        <f>IF(B2695="",0,+$T2695*$V2695)</f>
        <v>0.10858302396766298</v>
      </c>
      <c r="X2695" s="85">
        <f>IF(B2695="",0,IF(OR(H2695=MappingTables!$C$34,H2695=MappingTables!$C$35),W2695,0))</f>
        <v>0</v>
      </c>
    </row>
    <row r="2696" spans="2:24" s="0" customFormat="0" ht="15">
      <c r="B2696" s="69">
        <v>23248120</v>
      </c>
      <c r="C2696" s="70" t="s">
        <v>2548</v>
      </c>
      <c r="D2696" s="70" t="s">
        <v>1</v>
      </c>
      <c r="E2696" s="70" t="s">
        <v>1</v>
      </c>
      <c r="F2696" s="70"/>
      <c r="G2696" s="70" t="s">
        <v>61</v>
      </c>
      <c r="H2696" s="70" t="s">
        <v>178</v>
      </c>
      <c r="I2696" s="70" t="s">
        <v>220</v>
      </c>
      <c r="J2696" s="71">
        <f>IF(OR(I2696=0,I2696=""),"unrated",VLOOKUP(I2696,MappingTables!$B$19:$C$31,2,FALSE))</f>
        <v>1</v>
      </c>
      <c r="K2696" s="72">
        <v>5081.1797267935672</v>
      </c>
      <c r="L2696" s="70">
        <v>0.15068741275868774</v>
      </c>
      <c r="M2696" s="71">
        <f>IF(L2696&lt;1,1,L2696)</f>
        <v>1</v>
      </c>
      <c r="N2696" s="70" t="s">
        <v>141</v>
      </c>
      <c r="O2696" s="71">
        <f>INDEX(DurClassMapping,MATCH(M2696,MappingTables!$D$4:$D$8,-1),1)</f>
        <v>1</v>
      </c>
      <c r="P2696" s="73">
        <f>IF(M2696=$A$1,1,$M2696-INDEX(MappingTables!$E$4:$E$8,MATCH(O2696,MappingTables!$B$4:$B$8,0)))</f>
        <v>1</v>
      </c>
      <c r="Q2696" s="71">
        <f>IF(B2696="",0,INDEX(ModelParameters!$D$6:$K$10,MATCH($O2696,ModelParameters!$B$6:$B$10,0),MATCH($J2696,ModelParameters!$D$5:$K$5,0)))</f>
        <v>0.011000000000000002</v>
      </c>
      <c r="R2696" s="71">
        <f>IF(B2696="",0,INDEX(ModelParameters!$D$13:$K$17,MATCH($O2696,ModelParameters!$B$13:$B$17,0),MATCH($J2696,ModelParameters!$D$5:$K$5,0)))</f>
        <v>0</v>
      </c>
      <c r="S2696" s="160">
        <f>IF(B2696="",0,MIN(IF($N2696="Other Bond TM",ModelParameters!$N$21,1)*(P2696*Q2696+R2696),1))</f>
        <v>0.011000000000000002</v>
      </c>
      <c r="T2696" s="85">
        <f>IF(B2696="",0,$S2696*$K2696)</f>
        <v>55.892976994729248</v>
      </c>
      <c r="U2696" s="85">
        <f>IF(B2696="",0,IF(OR(H2696=MappingTables!$C$34,H2696=MappingTables!$C$35),T2696,0))</f>
        <v>0</v>
      </c>
      <c r="V2696" s="85">
        <f>IF(ISNA(IF(AND(VLOOKUP(CONCATENATE($D2696,$G2696),CSRFinput!$B:$E,4,0)=0,OR(H2696=MappingTables!$C$34,H2696=MappingTables!$C$35)),1,VLOOKUP(CONCATENATE($D2696,$G2696),CSRFinput!$B:$E,4,0))),0,IF(AND(VLOOKUP(CONCATENATE($D2696,$G2696),CSRFinput!$B:$E,4,0)=0,OR(H2696=MappingTables!$C$34,H2696=MappingTables!$C$35)),1,VLOOKUP(CONCATENATE($D2696,$G2696),CSRFinput!$B:$E,4,0)))</f>
        <v>0.054776304963434752</v>
      </c>
      <c r="W2696" s="85">
        <f>IF(B2696="",0,+$T2696*$V2696)</f>
        <v>3.0616107531775324</v>
      </c>
      <c r="X2696" s="85">
        <f>IF(B2696="",0,IF(OR(H2696=MappingTables!$C$34,H2696=MappingTables!$C$35),W2696,0))</f>
        <v>0</v>
      </c>
    </row>
    <row r="2697" spans="2:24" s="0" customFormat="0" ht="15">
      <c r="B2697" s="69">
        <v>13449119</v>
      </c>
      <c r="C2697" s="70" t="s">
        <v>545</v>
      </c>
      <c r="D2697" s="70" t="s">
        <v>1</v>
      </c>
      <c r="E2697" s="70" t="s">
        <v>1</v>
      </c>
      <c r="F2697" s="70"/>
      <c r="G2697" s="70" t="s">
        <v>61</v>
      </c>
      <c r="H2697" s="70" t="s">
        <v>178</v>
      </c>
      <c r="I2697" s="70" t="s">
        <v>204</v>
      </c>
      <c r="J2697" s="71">
        <f>IF(OR(I2697=0,I2697=""),"unrated",VLOOKUP(I2697,MappingTables!$B$19:$C$31,2,FALSE))</f>
        <v>6</v>
      </c>
      <c r="K2697" s="72">
        <v>5156.6719505072448</v>
      </c>
      <c r="L2697" s="70">
        <v>0.087670273827257408</v>
      </c>
      <c r="M2697" s="71">
        <f>IF(L2697&lt;1,1,L2697)</f>
        <v>1</v>
      </c>
      <c r="N2697" s="70" t="s">
        <v>141</v>
      </c>
      <c r="O2697" s="71">
        <f>INDEX(DurClassMapping,MATCH(M2697,MappingTables!$D$4:$D$8,-1),1)</f>
        <v>1</v>
      </c>
      <c r="P2697" s="73">
        <f>IF(M2697=$A$1,1,$M2697-INDEX(MappingTables!$E$4:$E$8,MATCH(O2697,MappingTables!$B$4:$B$8,0)))</f>
        <v>1</v>
      </c>
      <c r="Q2697" s="71">
        <f>IF(B2697="",0,INDEX(ModelParameters!$D$6:$K$10,MATCH($O2697,ModelParameters!$B$6:$B$10,0),MATCH($J2697,ModelParameters!$D$5:$K$5,0)))</f>
        <v>0.075</v>
      </c>
      <c r="R2697" s="71">
        <f>IF(B2697="",0,INDEX(ModelParameters!$D$13:$K$17,MATCH($O2697,ModelParameters!$B$13:$B$17,0),MATCH($J2697,ModelParameters!$D$5:$K$5,0)))</f>
        <v>0</v>
      </c>
      <c r="S2697" s="160">
        <f>IF(B2697="",0,MIN(IF($N2697="Other Bond TM",ModelParameters!$N$21,1)*(P2697*Q2697+R2697),1))</f>
        <v>0.075</v>
      </c>
      <c r="T2697" s="85">
        <f>IF(B2697="",0,$S2697*$K2697)</f>
        <v>386.75039628804336</v>
      </c>
      <c r="U2697" s="85">
        <f>IF(B2697="",0,IF(OR(H2697=MappingTables!$C$34,H2697=MappingTables!$C$35),T2697,0))</f>
        <v>0</v>
      </c>
      <c r="V2697" s="85">
        <f>IF(ISNA(IF(AND(VLOOKUP(CONCATENATE($D2697,$G2697),CSRFinput!$B:$E,4,0)=0,OR(H2697=MappingTables!$C$34,H2697=MappingTables!$C$35)),1,VLOOKUP(CONCATENATE($D2697,$G2697),CSRFinput!$B:$E,4,0))),0,IF(AND(VLOOKUP(CONCATENATE($D2697,$G2697),CSRFinput!$B:$E,4,0)=0,OR(H2697=MappingTables!$C$34,H2697=MappingTables!$C$35)),1,VLOOKUP(CONCATENATE($D2697,$G2697),CSRFinput!$B:$E,4,0)))</f>
        <v>0.054776304963434752</v>
      </c>
      <c r="W2697" s="85">
        <f>IF(B2697="",0,+$T2697*$V2697)</f>
        <v>21.184757651803108</v>
      </c>
      <c r="X2697" s="85">
        <f>IF(B2697="",0,IF(OR(H2697=MappingTables!$C$34,H2697=MappingTables!$C$35),W2697,0))</f>
        <v>0</v>
      </c>
    </row>
    <row r="2698" spans="2:24" s="0" customFormat="0" ht="15">
      <c r="B2698" s="69">
        <v>17134490</v>
      </c>
      <c r="C2698" s="70" t="s">
        <v>1038</v>
      </c>
      <c r="D2698" s="70" t="s">
        <v>1</v>
      </c>
      <c r="E2698" s="70" t="s">
        <v>1</v>
      </c>
      <c r="F2698" s="70"/>
      <c r="G2698" s="70" t="s">
        <v>61</v>
      </c>
      <c r="H2698" s="70" t="s">
        <v>178</v>
      </c>
      <c r="I2698" s="70" t="s">
        <v>179</v>
      </c>
      <c r="J2698" s="71">
        <f>IF(OR(I2698=0,I2698=""),"unrated",VLOOKUP(I2698,MappingTables!$B$19:$C$31,2,FALSE))</f>
        <v>4</v>
      </c>
      <c r="K2698" s="72">
        <v>3434.6205611592244</v>
      </c>
      <c r="L2698" s="70">
        <v>12.748971014211496</v>
      </c>
      <c r="M2698" s="71">
        <f>IF(L2698&lt;1,1,L2698)</f>
        <v>12.748971014211496</v>
      </c>
      <c r="N2698" s="70" t="s">
        <v>141</v>
      </c>
      <c r="O2698" s="71">
        <f>INDEX(DurClassMapping,MATCH(M2698,MappingTables!$D$4:$D$8,-1),1)</f>
        <v>3</v>
      </c>
      <c r="P2698" s="73">
        <f>IF(M2698=$A$1,1,$M2698-INDEX(MappingTables!$E$4:$E$8,MATCH(O2698,MappingTables!$B$4:$B$8,0)))</f>
        <v>2.7489710142114968</v>
      </c>
      <c r="Q2698" s="71">
        <f>IF(B2698="",0,INDEX(ModelParameters!$D$6:$K$10,MATCH($O2698,ModelParameters!$B$6:$B$10,0),MATCH($J2698,ModelParameters!$D$5:$K$5,0)))</f>
        <v>0.018000000000000002</v>
      </c>
      <c r="R2698" s="71">
        <f>IF(B2698="",0,INDEX(ModelParameters!$D$13:$K$17,MATCH($O2698,ModelParameters!$B$13:$B$17,0),MATCH($J2698,ModelParameters!$D$5:$K$5,0)))</f>
        <v>0.34999999999999996</v>
      </c>
      <c r="S2698" s="160">
        <f>IF(B2698="",0,MIN(IF($N2698="Other Bond TM",ModelParameters!$N$21,1)*(P2698*Q2698+R2698),1))</f>
        <v>0.39948147825580696</v>
      </c>
      <c r="T2698" s="85">
        <f>IF(B2698="",0,$S2698*$K2698)</f>
        <v>1372.067299019676</v>
      </c>
      <c r="U2698" s="85">
        <f>IF(B2698="",0,IF(OR(H2698=MappingTables!$C$34,H2698=MappingTables!$C$35),T2698,0))</f>
        <v>0</v>
      </c>
      <c r="V2698" s="85">
        <f>IF(ISNA(IF(AND(VLOOKUP(CONCATENATE($D2698,$G2698),CSRFinput!$B:$E,4,0)=0,OR(H2698=MappingTables!$C$34,H2698=MappingTables!$C$35)),1,VLOOKUP(CONCATENATE($D2698,$G2698),CSRFinput!$B:$E,4,0))),0,IF(AND(VLOOKUP(CONCATENATE($D2698,$G2698),CSRFinput!$B:$E,4,0)=0,OR(H2698=MappingTables!$C$34,H2698=MappingTables!$C$35)),1,VLOOKUP(CONCATENATE($D2698,$G2698),CSRFinput!$B:$E,4,0)))</f>
        <v>0.054776304963434752</v>
      </c>
      <c r="W2698" s="85">
        <f>IF(B2698="",0,+$T2698*$V2698)</f>
        <v>75.156776801458</v>
      </c>
      <c r="X2698" s="85">
        <f>IF(B2698="",0,IF(OR(H2698=MappingTables!$C$34,H2698=MappingTables!$C$35),W2698,0))</f>
        <v>0</v>
      </c>
    </row>
    <row r="2699" spans="2:24" s="0" customFormat="0" ht="15">
      <c r="B2699" s="69">
        <v>18638793</v>
      </c>
      <c r="C2699" s="70" t="s">
        <v>1548</v>
      </c>
      <c r="D2699" s="70" t="s">
        <v>1</v>
      </c>
      <c r="E2699" s="70" t="s">
        <v>1</v>
      </c>
      <c r="F2699" s="70"/>
      <c r="G2699" s="70" t="s">
        <v>61</v>
      </c>
      <c r="H2699" s="70" t="s">
        <v>178</v>
      </c>
      <c r="I2699" s="70" t="s">
        <v>188</v>
      </c>
      <c r="J2699" s="71">
        <f>IF(OR(I2699=0,I2699=""),"unrated",VLOOKUP(I2699,MappingTables!$B$19:$C$31,2,FALSE))</f>
        <v>2</v>
      </c>
      <c r="K2699" s="72">
        <v>104.43683332362684</v>
      </c>
      <c r="L2699" s="70">
        <v>0.9187469713441256</v>
      </c>
      <c r="M2699" s="71">
        <f>IF(L2699&lt;1,1,L2699)</f>
        <v>1</v>
      </c>
      <c r="N2699" s="70" t="s">
        <v>141</v>
      </c>
      <c r="O2699" s="71">
        <f>INDEX(DurClassMapping,MATCH(M2699,MappingTables!$D$4:$D$8,-1),1)</f>
        <v>1</v>
      </c>
      <c r="P2699" s="73">
        <f>IF(M2699=$A$1,1,$M2699-INDEX(MappingTables!$E$4:$E$8,MATCH(O2699,MappingTables!$B$4:$B$8,0)))</f>
        <v>1</v>
      </c>
      <c r="Q2699" s="71">
        <f>IF(B2699="",0,INDEX(ModelParameters!$D$6:$K$10,MATCH($O2699,ModelParameters!$B$6:$B$10,0),MATCH($J2699,ModelParameters!$D$5:$K$5,0)))</f>
        <v>0.013999999999999998</v>
      </c>
      <c r="R2699" s="71">
        <f>IF(B2699="",0,INDEX(ModelParameters!$D$13:$K$17,MATCH($O2699,ModelParameters!$B$13:$B$17,0),MATCH($J2699,ModelParameters!$D$5:$K$5,0)))</f>
        <v>0</v>
      </c>
      <c r="S2699" s="160">
        <f>IF(B2699="",0,MIN(IF($N2699="Other Bond TM",ModelParameters!$N$21,1)*(P2699*Q2699+R2699),1))</f>
        <v>0.013999999999999998</v>
      </c>
      <c r="T2699" s="85">
        <f>IF(B2699="",0,$S2699*$K2699)</f>
        <v>1.4621156665307758</v>
      </c>
      <c r="U2699" s="85">
        <f>IF(B2699="",0,IF(OR(H2699=MappingTables!$C$34,H2699=MappingTables!$C$35),T2699,0))</f>
        <v>0</v>
      </c>
      <c r="V2699" s="85">
        <f>IF(ISNA(IF(AND(VLOOKUP(CONCATENATE($D2699,$G2699),CSRFinput!$B:$E,4,0)=0,OR(H2699=MappingTables!$C$34,H2699=MappingTables!$C$35)),1,VLOOKUP(CONCATENATE($D2699,$G2699),CSRFinput!$B:$E,4,0))),0,IF(AND(VLOOKUP(CONCATENATE($D2699,$G2699),CSRFinput!$B:$E,4,0)=0,OR(H2699=MappingTables!$C$34,H2699=MappingTables!$C$35)),1,VLOOKUP(CONCATENATE($D2699,$G2699),CSRFinput!$B:$E,4,0)))</f>
        <v>0.054776304963434752</v>
      </c>
      <c r="W2699" s="85">
        <f>IF(B2699="",0,+$T2699*$V2699)</f>
        <v>0.08008929364170544</v>
      </c>
      <c r="X2699" s="85">
        <f>IF(B2699="",0,IF(OR(H2699=MappingTables!$C$34,H2699=MappingTables!$C$35),W2699,0))</f>
        <v>0</v>
      </c>
    </row>
    <row r="2700" spans="2:24" s="0" customFormat="0" ht="15">
      <c r="B2700" s="69">
        <v>23207407</v>
      </c>
      <c r="C2700" s="70" t="s">
        <v>1678</v>
      </c>
      <c r="D2700" s="70" t="s">
        <v>1</v>
      </c>
      <c r="E2700" s="70" t="s">
        <v>1</v>
      </c>
      <c r="F2700" s="70"/>
      <c r="G2700" s="70" t="s">
        <v>61</v>
      </c>
      <c r="H2700" s="70" t="s">
        <v>178</v>
      </c>
      <c r="I2700" s="70" t="s">
        <v>188</v>
      </c>
      <c r="J2700" s="71">
        <f>IF(OR(I2700=0,I2700=""),"unrated",VLOOKUP(I2700,MappingTables!$B$19:$C$31,2,FALSE))</f>
        <v>2</v>
      </c>
      <c r="K2700" s="72">
        <v>1599.7954719134406</v>
      </c>
      <c r="L2700" s="70">
        <v>2.2687723667320904</v>
      </c>
      <c r="M2700" s="71">
        <f>IF(L2700&lt;1,1,L2700)</f>
        <v>2.2687723667320904</v>
      </c>
      <c r="N2700" s="70" t="s">
        <v>141</v>
      </c>
      <c r="O2700" s="71">
        <f>INDEX(DurClassMapping,MATCH(M2700,MappingTables!$D$4:$D$8,-1),1)</f>
        <v>1</v>
      </c>
      <c r="P2700" s="73">
        <f>IF(M2700=$A$1,1,$M2700-INDEX(MappingTables!$E$4:$E$8,MATCH(O2700,MappingTables!$B$4:$B$8,0)))</f>
        <v>2.2687723667320904</v>
      </c>
      <c r="Q2700" s="71">
        <f>IF(B2700="",0,INDEX(ModelParameters!$D$6:$K$10,MATCH($O2700,ModelParameters!$B$6:$B$10,0),MATCH($J2700,ModelParameters!$D$5:$K$5,0)))</f>
        <v>0.013999999999999998</v>
      </c>
      <c r="R2700" s="71">
        <f>IF(B2700="",0,INDEX(ModelParameters!$D$13:$K$17,MATCH($O2700,ModelParameters!$B$13:$B$17,0),MATCH($J2700,ModelParameters!$D$5:$K$5,0)))</f>
        <v>0</v>
      </c>
      <c r="S2700" s="160">
        <f>IF(B2700="",0,MIN(IF($N2700="Other Bond TM",ModelParameters!$N$21,1)*(P2700*Q2700+R2700),1))</f>
        <v>0.03176281313424926</v>
      </c>
      <c r="T2700" s="85">
        <f>IF(B2700="",0,$S2700*$K2700)</f>
        <v>50.81400462740472</v>
      </c>
      <c r="U2700" s="85">
        <f>IF(B2700="",0,IF(OR(H2700=MappingTables!$C$34,H2700=MappingTables!$C$35),T2700,0))</f>
        <v>0</v>
      </c>
      <c r="V2700" s="85">
        <f>IF(ISNA(IF(AND(VLOOKUP(CONCATENATE($D2700,$G2700),CSRFinput!$B:$E,4,0)=0,OR(H2700=MappingTables!$C$34,H2700=MappingTables!$C$35)),1,VLOOKUP(CONCATENATE($D2700,$G2700),CSRFinput!$B:$E,4,0))),0,IF(AND(VLOOKUP(CONCATENATE($D2700,$G2700),CSRFinput!$B:$E,4,0)=0,OR(H2700=MappingTables!$C$34,H2700=MappingTables!$C$35)),1,VLOOKUP(CONCATENATE($D2700,$G2700),CSRFinput!$B:$E,4,0)))</f>
        <v>0.054776304963434752</v>
      </c>
      <c r="W2700" s="85">
        <f>IF(B2700="",0,+$T2700*$V2700)</f>
        <v>2.783403413884106</v>
      </c>
      <c r="X2700" s="85">
        <f>IF(B2700="",0,IF(OR(H2700=MappingTables!$C$34,H2700=MappingTables!$C$35),W2700,0))</f>
        <v>0</v>
      </c>
    </row>
    <row r="2701" spans="2:24" s="0" customFormat="0" ht="15">
      <c r="B2701" s="69">
        <v>24355439</v>
      </c>
      <c r="C2701" s="70" t="s">
        <v>2498</v>
      </c>
      <c r="D2701" s="70" t="s">
        <v>1</v>
      </c>
      <c r="E2701" s="70" t="s">
        <v>1</v>
      </c>
      <c r="F2701" s="70"/>
      <c r="G2701" s="70" t="s">
        <v>61</v>
      </c>
      <c r="H2701" s="70" t="s">
        <v>178</v>
      </c>
      <c r="I2701" s="70" t="s">
        <v>181</v>
      </c>
      <c r="J2701" s="71">
        <f>IF(OR(I2701=0,I2701=""),"unrated",VLOOKUP(I2701,MappingTables!$B$19:$C$31,2,FALSE))</f>
        <v>3</v>
      </c>
      <c r="K2701" s="72">
        <v>22551.36953907084</v>
      </c>
      <c r="L2701" s="70">
        <v>2.6960489722044548</v>
      </c>
      <c r="M2701" s="71">
        <f>IF(L2701&lt;1,1,L2701)</f>
        <v>2.6960489722044548</v>
      </c>
      <c r="N2701" s="70" t="s">
        <v>141</v>
      </c>
      <c r="O2701" s="71">
        <f>INDEX(DurClassMapping,MATCH(M2701,MappingTables!$D$4:$D$8,-1),1)</f>
        <v>1</v>
      </c>
      <c r="P2701" s="73">
        <f>IF(M2701=$A$1,1,$M2701-INDEX(MappingTables!$E$4:$E$8,MATCH(O2701,MappingTables!$B$4:$B$8,0)))</f>
        <v>2.6960489722044548</v>
      </c>
      <c r="Q2701" s="71">
        <f>IF(B2701="",0,INDEX(ModelParameters!$D$6:$K$10,MATCH($O2701,ModelParameters!$B$6:$B$10,0),MATCH($J2701,ModelParameters!$D$5:$K$5,0)))</f>
        <v>0.025</v>
      </c>
      <c r="R2701" s="71">
        <f>IF(B2701="",0,INDEX(ModelParameters!$D$13:$K$17,MATCH($O2701,ModelParameters!$B$13:$B$17,0),MATCH($J2701,ModelParameters!$D$5:$K$5,0)))</f>
        <v>0</v>
      </c>
      <c r="S2701" s="160">
        <f>IF(B2701="",0,MIN(IF($N2701="Other Bond TM",ModelParameters!$N$21,1)*(P2701*Q2701+R2701),1))</f>
        <v>0.067401224305111376</v>
      </c>
      <c r="T2701" s="85">
        <f>IF(B2701="",0,$S2701*$K2701)</f>
        <v>1519.9899166903696</v>
      </c>
      <c r="U2701" s="85">
        <f>IF(B2701="",0,IF(OR(H2701=MappingTables!$C$34,H2701=MappingTables!$C$35),T2701,0))</f>
        <v>0</v>
      </c>
      <c r="V2701" s="85">
        <f>IF(ISNA(IF(AND(VLOOKUP(CONCATENATE($D2701,$G2701),CSRFinput!$B:$E,4,0)=0,OR(H2701=MappingTables!$C$34,H2701=MappingTables!$C$35)),1,VLOOKUP(CONCATENATE($D2701,$G2701),CSRFinput!$B:$E,4,0))),0,IF(AND(VLOOKUP(CONCATENATE($D2701,$G2701),CSRFinput!$B:$E,4,0)=0,OR(H2701=MappingTables!$C$34,H2701=MappingTables!$C$35)),1,VLOOKUP(CONCATENATE($D2701,$G2701),CSRFinput!$B:$E,4,0)))</f>
        <v>0.054776304963434752</v>
      </c>
      <c r="W2701" s="85">
        <f>IF(B2701="",0,+$T2701*$V2701)</f>
        <v>83.259431217977472</v>
      </c>
      <c r="X2701" s="85">
        <f>IF(B2701="",0,IF(OR(H2701=MappingTables!$C$34,H2701=MappingTables!$C$35),W2701,0))</f>
        <v>0</v>
      </c>
    </row>
    <row r="2702" spans="2:24" s="0" customFormat="0" ht="15">
      <c r="B2702" s="69">
        <v>20801543</v>
      </c>
      <c r="C2702" s="70" t="s">
        <v>2549</v>
      </c>
      <c r="D2702" s="70" t="s">
        <v>1</v>
      </c>
      <c r="E2702" s="70" t="s">
        <v>1</v>
      </c>
      <c r="F2702" s="70"/>
      <c r="G2702" s="70" t="s">
        <v>61</v>
      </c>
      <c r="H2702" s="70" t="s">
        <v>178</v>
      </c>
      <c r="I2702" s="70" t="s">
        <v>181</v>
      </c>
      <c r="J2702" s="71">
        <f>IF(OR(I2702=0,I2702=""),"unrated",VLOOKUP(I2702,MappingTables!$B$19:$C$31,2,FALSE))</f>
        <v>3</v>
      </c>
      <c r="K2702" s="72">
        <v>1001.9494761601742</v>
      </c>
      <c r="L2702" s="70">
        <v>7.5395764765634016</v>
      </c>
      <c r="M2702" s="71">
        <f>IF(L2702&lt;1,1,L2702)</f>
        <v>7.5395764765634016</v>
      </c>
      <c r="N2702" s="70" t="s">
        <v>141</v>
      </c>
      <c r="O2702" s="71">
        <f>INDEX(DurClassMapping,MATCH(M2702,MappingTables!$D$4:$D$8,-1),1)</f>
        <v>2</v>
      </c>
      <c r="P2702" s="73">
        <f>IF(M2702=$A$1,1,$M2702-INDEX(MappingTables!$E$4:$E$8,MATCH(O2702,MappingTables!$B$4:$B$8,0)))</f>
        <v>2.5395764765634024</v>
      </c>
      <c r="Q2702" s="71">
        <f>IF(B2702="",0,INDEX(ModelParameters!$D$6:$K$10,MATCH($O2702,ModelParameters!$B$6:$B$10,0),MATCH($J2702,ModelParameters!$D$5:$K$5,0)))</f>
        <v>0.015</v>
      </c>
      <c r="R2702" s="71">
        <f>IF(B2702="",0,INDEX(ModelParameters!$D$13:$K$17,MATCH($O2702,ModelParameters!$B$13:$B$17,0),MATCH($J2702,ModelParameters!$D$5:$K$5,0)))</f>
        <v>0.125</v>
      </c>
      <c r="S2702" s="160">
        <f>IF(B2702="",0,MIN(IF($N2702="Other Bond TM",ModelParameters!$N$21,1)*(P2702*Q2702+R2702),1))</f>
        <v>0.16309364714845104</v>
      </c>
      <c r="T2702" s="85">
        <f>IF(B2702="",0,$S2702*$K2702)</f>
        <v>163.4115943254428</v>
      </c>
      <c r="U2702" s="85">
        <f>IF(B2702="",0,IF(OR(H2702=MappingTables!$C$34,H2702=MappingTables!$C$35),T2702,0))</f>
        <v>0</v>
      </c>
      <c r="V2702" s="85">
        <f>IF(ISNA(IF(AND(VLOOKUP(CONCATENATE($D2702,$G2702),CSRFinput!$B:$E,4,0)=0,OR(H2702=MappingTables!$C$34,H2702=MappingTables!$C$35)),1,VLOOKUP(CONCATENATE($D2702,$G2702),CSRFinput!$B:$E,4,0))),0,IF(AND(VLOOKUP(CONCATENATE($D2702,$G2702),CSRFinput!$B:$E,4,0)=0,OR(H2702=MappingTables!$C$34,H2702=MappingTables!$C$35)),1,VLOOKUP(CONCATENATE($D2702,$G2702),CSRFinput!$B:$E,4,0)))</f>
        <v>0.054776304963434752</v>
      </c>
      <c r="W2702" s="85">
        <f>IF(B2702="",0,+$T2702*$V2702)</f>
        <v>8.9510833253315376</v>
      </c>
      <c r="X2702" s="85">
        <f>IF(B2702="",0,IF(OR(H2702=MappingTables!$C$34,H2702=MappingTables!$C$35),W2702,0))</f>
        <v>0</v>
      </c>
    </row>
    <row r="2703" spans="2:24" s="0" customFormat="0" ht="15">
      <c r="B2703" s="69" t="s">
        <v>2550</v>
      </c>
      <c r="C2703" s="70" t="s">
        <v>2551</v>
      </c>
      <c r="D2703" s="70" t="s">
        <v>1</v>
      </c>
      <c r="E2703" s="70" t="s">
        <v>1</v>
      </c>
      <c r="F2703" s="70"/>
      <c r="G2703" s="70" t="s">
        <v>61</v>
      </c>
      <c r="H2703" s="70" t="s">
        <v>178</v>
      </c>
      <c r="I2703" s="70" t="s">
        <v>184</v>
      </c>
      <c r="J2703" s="71">
        <f>IF(OR(I2703=0,I2703=""),"unrated",VLOOKUP(I2703,MappingTables!$B$19:$C$31,2,FALSE))</f>
        <v>5</v>
      </c>
      <c r="K2703" s="72">
        <v>146.5941681048057</v>
      </c>
      <c r="L2703" s="70">
        <v>3.9767843718171056</v>
      </c>
      <c r="M2703" s="71">
        <f>IF(L2703&lt;1,1,L2703)</f>
        <v>3.9767843718171056</v>
      </c>
      <c r="N2703" s="70" t="s">
        <v>141</v>
      </c>
      <c r="O2703" s="71">
        <f>INDEX(DurClassMapping,MATCH(M2703,MappingTables!$D$4:$D$8,-1),1)</f>
        <v>1</v>
      </c>
      <c r="P2703" s="73">
        <f>IF(M2703=$A$1,1,$M2703-INDEX(MappingTables!$E$4:$E$8,MATCH(O2703,MappingTables!$B$4:$B$8,0)))</f>
        <v>3.9767843718171056</v>
      </c>
      <c r="Q2703" s="71">
        <f>IF(B2703="",0,INDEX(ModelParameters!$D$6:$K$10,MATCH($O2703,ModelParameters!$B$6:$B$10,0),MATCH($J2703,ModelParameters!$D$5:$K$5,0)))</f>
        <v>0.075</v>
      </c>
      <c r="R2703" s="71">
        <f>IF(B2703="",0,INDEX(ModelParameters!$D$13:$K$17,MATCH($O2703,ModelParameters!$B$13:$B$17,0),MATCH($J2703,ModelParameters!$D$5:$K$5,0)))</f>
        <v>0</v>
      </c>
      <c r="S2703" s="160">
        <f>IF(B2703="",0,MIN(IF($N2703="Other Bond TM",ModelParameters!$N$21,1)*(P2703*Q2703+R2703),1))</f>
        <v>0.29825882788628288</v>
      </c>
      <c r="T2703" s="85">
        <f>IF(B2703="",0,$S2703*$K2703)</f>
        <v>43.723004753904064</v>
      </c>
      <c r="U2703" s="85">
        <f>IF(B2703="",0,IF(OR(H2703=MappingTables!$C$34,H2703=MappingTables!$C$35),T2703,0))</f>
        <v>0</v>
      </c>
      <c r="V2703" s="85">
        <f>IF(ISNA(IF(AND(VLOOKUP(CONCATENATE($D2703,$G2703),CSRFinput!$B:$E,4,0)=0,OR(H2703=MappingTables!$C$34,H2703=MappingTables!$C$35)),1,VLOOKUP(CONCATENATE($D2703,$G2703),CSRFinput!$B:$E,4,0))),0,IF(AND(VLOOKUP(CONCATENATE($D2703,$G2703),CSRFinput!$B:$E,4,0)=0,OR(H2703=MappingTables!$C$34,H2703=MappingTables!$C$35)),1,VLOOKUP(CONCATENATE($D2703,$G2703),CSRFinput!$B:$E,4,0)))</f>
        <v>0.054776304963434752</v>
      </c>
      <c r="W2703" s="85">
        <f>IF(B2703="",0,+$T2703*$V2703)</f>
        <v>2.3949846423175564</v>
      </c>
      <c r="X2703" s="85">
        <f>IF(B2703="",0,IF(OR(H2703=MappingTables!$C$34,H2703=MappingTables!$C$35),W2703,0))</f>
        <v>0</v>
      </c>
    </row>
    <row r="2704" spans="2:24" s="0" customFormat="0" ht="15">
      <c r="B2704" s="69" t="s">
        <v>2552</v>
      </c>
      <c r="C2704" s="70" t="s">
        <v>2553</v>
      </c>
      <c r="D2704" s="70" t="s">
        <v>1</v>
      </c>
      <c r="E2704" s="70" t="s">
        <v>1</v>
      </c>
      <c r="F2704" s="70"/>
      <c r="G2704" s="70" t="s">
        <v>61</v>
      </c>
      <c r="H2704" s="70" t="s">
        <v>178</v>
      </c>
      <c r="I2704" s="70" t="s">
        <v>181</v>
      </c>
      <c r="J2704" s="71">
        <f>IF(OR(I2704=0,I2704=""),"unrated",VLOOKUP(I2704,MappingTables!$B$19:$C$31,2,FALSE))</f>
        <v>3</v>
      </c>
      <c r="K2704" s="72">
        <v>13654.184371435532</v>
      </c>
      <c r="L2704" s="70">
        <v>3.8550294003520904</v>
      </c>
      <c r="M2704" s="71">
        <f>IF(L2704&lt;1,1,L2704)</f>
        <v>3.8550294003520904</v>
      </c>
      <c r="N2704" s="70" t="s">
        <v>141</v>
      </c>
      <c r="O2704" s="71">
        <f>INDEX(DurClassMapping,MATCH(M2704,MappingTables!$D$4:$D$8,-1),1)</f>
        <v>1</v>
      </c>
      <c r="P2704" s="73">
        <f>IF(M2704=$A$1,1,$M2704-INDEX(MappingTables!$E$4:$E$8,MATCH(O2704,MappingTables!$B$4:$B$8,0)))</f>
        <v>3.8550294003520904</v>
      </c>
      <c r="Q2704" s="71">
        <f>IF(B2704="",0,INDEX(ModelParameters!$D$6:$K$10,MATCH($O2704,ModelParameters!$B$6:$B$10,0),MATCH($J2704,ModelParameters!$D$5:$K$5,0)))</f>
        <v>0.025</v>
      </c>
      <c r="R2704" s="71">
        <f>IF(B2704="",0,INDEX(ModelParameters!$D$13:$K$17,MATCH($O2704,ModelParameters!$B$13:$B$17,0),MATCH($J2704,ModelParameters!$D$5:$K$5,0)))</f>
        <v>0</v>
      </c>
      <c r="S2704" s="160">
        <f>IF(B2704="",0,MIN(IF($N2704="Other Bond TM",ModelParameters!$N$21,1)*(P2704*Q2704+R2704),1))</f>
        <v>0.096375735008802256</v>
      </c>
      <c r="T2704" s="85">
        <f>IF(B2704="",0,$S2704*$K2704)</f>
        <v>1315.9320547428002</v>
      </c>
      <c r="U2704" s="85">
        <f>IF(B2704="",0,IF(OR(H2704=MappingTables!$C$34,H2704=MappingTables!$C$35),T2704,0))</f>
        <v>0</v>
      </c>
      <c r="V2704" s="85">
        <f>IF(ISNA(IF(AND(VLOOKUP(CONCATENATE($D2704,$G2704),CSRFinput!$B:$E,4,0)=0,OR(H2704=MappingTables!$C$34,H2704=MappingTables!$C$35)),1,VLOOKUP(CONCATENATE($D2704,$G2704),CSRFinput!$B:$E,4,0))),0,IF(AND(VLOOKUP(CONCATENATE($D2704,$G2704),CSRFinput!$B:$E,4,0)=0,OR(H2704=MappingTables!$C$34,H2704=MappingTables!$C$35)),1,VLOOKUP(CONCATENATE($D2704,$G2704),CSRFinput!$B:$E,4,0)))</f>
        <v>0.054776304963434752</v>
      </c>
      <c r="W2704" s="85">
        <f>IF(B2704="",0,+$T2704*$V2704)</f>
        <v>72.081895541750944</v>
      </c>
      <c r="X2704" s="85">
        <f>IF(B2704="",0,IF(OR(H2704=MappingTables!$C$34,H2704=MappingTables!$C$35),W2704,0))</f>
        <v>0</v>
      </c>
    </row>
    <row r="2705" spans="2:24" s="0" customFormat="0" ht="15">
      <c r="B2705" s="69">
        <v>20591970</v>
      </c>
      <c r="C2705" s="70" t="s">
        <v>1109</v>
      </c>
      <c r="D2705" s="70" t="s">
        <v>1</v>
      </c>
      <c r="E2705" s="70" t="s">
        <v>1</v>
      </c>
      <c r="F2705" s="70"/>
      <c r="G2705" s="70" t="s">
        <v>61</v>
      </c>
      <c r="H2705" s="70" t="s">
        <v>178</v>
      </c>
      <c r="I2705" s="70" t="s">
        <v>188</v>
      </c>
      <c r="J2705" s="71">
        <f>IF(OR(I2705=0,I2705=""),"unrated",VLOOKUP(I2705,MappingTables!$B$19:$C$31,2,FALSE))</f>
        <v>2</v>
      </c>
      <c r="K2705" s="72">
        <v>6821.3524318556272</v>
      </c>
      <c r="L2705" s="70">
        <v>16.292384795727784</v>
      </c>
      <c r="M2705" s="71">
        <f>IF(L2705&lt;1,1,L2705)</f>
        <v>16.292384795727784</v>
      </c>
      <c r="N2705" s="70" t="s">
        <v>141</v>
      </c>
      <c r="O2705" s="71">
        <f>INDEX(DurClassMapping,MATCH(M2705,MappingTables!$D$4:$D$8,-1),1)</f>
        <v>4</v>
      </c>
      <c r="P2705" s="73">
        <f>IF(M2705=$A$1,1,$M2705-INDEX(MappingTables!$E$4:$E$8,MATCH(O2705,MappingTables!$B$4:$B$8,0)))</f>
        <v>1.2923847957277844</v>
      </c>
      <c r="Q2705" s="71">
        <f>IF(B2705="",0,INDEX(ModelParameters!$D$6:$K$10,MATCH($O2705,ModelParameters!$B$6:$B$10,0),MATCH($J2705,ModelParameters!$D$5:$K$5,0)))</f>
        <v>0.005</v>
      </c>
      <c r="R2705" s="71">
        <f>IF(B2705="",0,INDEX(ModelParameters!$D$13:$K$17,MATCH($O2705,ModelParameters!$B$13:$B$17,0),MATCH($J2705,ModelParameters!$D$5:$K$5,0)))</f>
        <v>0.13</v>
      </c>
      <c r="S2705" s="160">
        <f>IF(B2705="",0,MIN(IF($N2705="Other Bond TM",ModelParameters!$N$21,1)*(P2705*Q2705+R2705),1))</f>
        <v>0.13646192397863894</v>
      </c>
      <c r="T2705" s="85">
        <f>IF(B2705="",0,$S2705*$K2705)</f>
        <v>930.8548769873864</v>
      </c>
      <c r="U2705" s="85">
        <f>IF(B2705="",0,IF(OR(H2705=MappingTables!$C$34,H2705=MappingTables!$C$35),T2705,0))</f>
        <v>0</v>
      </c>
      <c r="V2705" s="85">
        <f>IF(ISNA(IF(AND(VLOOKUP(CONCATENATE($D2705,$G2705),CSRFinput!$B:$E,4,0)=0,OR(H2705=MappingTables!$C$34,H2705=MappingTables!$C$35)),1,VLOOKUP(CONCATENATE($D2705,$G2705),CSRFinput!$B:$E,4,0))),0,IF(AND(VLOOKUP(CONCATENATE($D2705,$G2705),CSRFinput!$B:$E,4,0)=0,OR(H2705=MappingTables!$C$34,H2705=MappingTables!$C$35)),1,VLOOKUP(CONCATENATE($D2705,$G2705),CSRFinput!$B:$E,4,0)))</f>
        <v>0.054776304963434752</v>
      </c>
      <c r="W2705" s="85">
        <f>IF(B2705="",0,+$T2705*$V2705)</f>
        <v>50.988790618561624</v>
      </c>
      <c r="X2705" s="85">
        <f>IF(B2705="",0,IF(OR(H2705=MappingTables!$C$34,H2705=MappingTables!$C$35),W2705,0))</f>
        <v>0</v>
      </c>
    </row>
    <row r="2706" spans="2:24" s="0" customFormat="0" ht="15">
      <c r="B2706" s="69">
        <v>21226550</v>
      </c>
      <c r="C2706" s="70" t="s">
        <v>2554</v>
      </c>
      <c r="D2706" s="70" t="s">
        <v>1</v>
      </c>
      <c r="E2706" s="70" t="s">
        <v>1</v>
      </c>
      <c r="F2706" s="70"/>
      <c r="G2706" s="70" t="s">
        <v>61</v>
      </c>
      <c r="H2706" s="70" t="s">
        <v>178</v>
      </c>
      <c r="I2706" s="70" t="s">
        <v>179</v>
      </c>
      <c r="J2706" s="71">
        <f>IF(OR(I2706=0,I2706=""),"unrated",VLOOKUP(I2706,MappingTables!$B$19:$C$31,2,FALSE))</f>
        <v>4</v>
      </c>
      <c r="K2706" s="72">
        <v>17357.124566825328</v>
      </c>
      <c r="L2706" s="70">
        <v>3.8120829973405976</v>
      </c>
      <c r="M2706" s="71">
        <f>IF(L2706&lt;1,1,L2706)</f>
        <v>3.8120829973405976</v>
      </c>
      <c r="N2706" s="70" t="s">
        <v>141</v>
      </c>
      <c r="O2706" s="71">
        <f>INDEX(DurClassMapping,MATCH(M2706,MappingTables!$D$4:$D$8,-1),1)</f>
        <v>1</v>
      </c>
      <c r="P2706" s="73">
        <f>IF(M2706=$A$1,1,$M2706-INDEX(MappingTables!$E$4:$E$8,MATCH(O2706,MappingTables!$B$4:$B$8,0)))</f>
        <v>3.8120829973405976</v>
      </c>
      <c r="Q2706" s="71">
        <f>IF(B2706="",0,INDEX(ModelParameters!$D$6:$K$10,MATCH($O2706,ModelParameters!$B$6:$B$10,0),MATCH($J2706,ModelParameters!$D$5:$K$5,0)))</f>
        <v>0.045</v>
      </c>
      <c r="R2706" s="71">
        <f>IF(B2706="",0,INDEX(ModelParameters!$D$13:$K$17,MATCH($O2706,ModelParameters!$B$13:$B$17,0),MATCH($J2706,ModelParameters!$D$5:$K$5,0)))</f>
        <v>0</v>
      </c>
      <c r="S2706" s="160">
        <f>IF(B2706="",0,MIN(IF($N2706="Other Bond TM",ModelParameters!$N$21,1)*(P2706*Q2706+R2706),1))</f>
        <v>0.1715437348803269</v>
      </c>
      <c r="T2706" s="85">
        <f>IF(B2706="",0,$S2706*$K2706)</f>
        <v>2977.5059749762932</v>
      </c>
      <c r="U2706" s="85">
        <f>IF(B2706="",0,IF(OR(H2706=MappingTables!$C$34,H2706=MappingTables!$C$35),T2706,0))</f>
        <v>0</v>
      </c>
      <c r="V2706" s="85">
        <f>IF(ISNA(IF(AND(VLOOKUP(CONCATENATE($D2706,$G2706),CSRFinput!$B:$E,4,0)=0,OR(H2706=MappingTables!$C$34,H2706=MappingTables!$C$35)),1,VLOOKUP(CONCATENATE($D2706,$G2706),CSRFinput!$B:$E,4,0))),0,IF(AND(VLOOKUP(CONCATENATE($D2706,$G2706),CSRFinput!$B:$E,4,0)=0,OR(H2706=MappingTables!$C$34,H2706=MappingTables!$C$35)),1,VLOOKUP(CONCATENATE($D2706,$G2706),CSRFinput!$B:$E,4,0)))</f>
        <v>0.054776304963434752</v>
      </c>
      <c r="W2706" s="85">
        <f>IF(B2706="",0,+$T2706*$V2706)</f>
        <v>163.09677531575056</v>
      </c>
      <c r="X2706" s="85">
        <f>IF(B2706="",0,IF(OR(H2706=MappingTables!$C$34,H2706=MappingTables!$C$35),W2706,0))</f>
        <v>0</v>
      </c>
    </row>
    <row r="2707" spans="2:24" s="0" customFormat="0" ht="15">
      <c r="B2707" s="69">
        <v>19686821</v>
      </c>
      <c r="C2707" s="70" t="s">
        <v>2555</v>
      </c>
      <c r="D2707" s="70" t="s">
        <v>1</v>
      </c>
      <c r="E2707" s="70" t="s">
        <v>1</v>
      </c>
      <c r="F2707" s="70"/>
      <c r="G2707" s="70" t="s">
        <v>61</v>
      </c>
      <c r="H2707" s="70" t="s">
        <v>178</v>
      </c>
      <c r="I2707" s="70" t="s">
        <v>179</v>
      </c>
      <c r="J2707" s="71">
        <f>IF(OR(I2707=0,I2707=""),"unrated",VLOOKUP(I2707,MappingTables!$B$19:$C$31,2,FALSE))</f>
        <v>4</v>
      </c>
      <c r="K2707" s="72">
        <v>5358.8120412216416</v>
      </c>
      <c r="L2707" s="70">
        <v>3.158793507244214</v>
      </c>
      <c r="M2707" s="71">
        <f>IF(L2707&lt;1,1,L2707)</f>
        <v>3.158793507244214</v>
      </c>
      <c r="N2707" s="70" t="s">
        <v>141</v>
      </c>
      <c r="O2707" s="71">
        <f>INDEX(DurClassMapping,MATCH(M2707,MappingTables!$D$4:$D$8,-1),1)</f>
        <v>1</v>
      </c>
      <c r="P2707" s="73">
        <f>IF(M2707=$A$1,1,$M2707-INDEX(MappingTables!$E$4:$E$8,MATCH(O2707,MappingTables!$B$4:$B$8,0)))</f>
        <v>3.158793507244214</v>
      </c>
      <c r="Q2707" s="71">
        <f>IF(B2707="",0,INDEX(ModelParameters!$D$6:$K$10,MATCH($O2707,ModelParameters!$B$6:$B$10,0),MATCH($J2707,ModelParameters!$D$5:$K$5,0)))</f>
        <v>0.045</v>
      </c>
      <c r="R2707" s="71">
        <f>IF(B2707="",0,INDEX(ModelParameters!$D$13:$K$17,MATCH($O2707,ModelParameters!$B$13:$B$17,0),MATCH($J2707,ModelParameters!$D$5:$K$5,0)))</f>
        <v>0</v>
      </c>
      <c r="S2707" s="160">
        <f>IF(B2707="",0,MIN(IF($N2707="Other Bond TM",ModelParameters!$N$21,1)*(P2707*Q2707+R2707),1))</f>
        <v>0.14214570782598962</v>
      </c>
      <c r="T2707" s="85">
        <f>IF(B2707="",0,$S2707*$K2707)</f>
        <v>761.7321307058864</v>
      </c>
      <c r="U2707" s="85">
        <f>IF(B2707="",0,IF(OR(H2707=MappingTables!$C$34,H2707=MappingTables!$C$35),T2707,0))</f>
        <v>0</v>
      </c>
      <c r="V2707" s="85">
        <f>IF(ISNA(IF(AND(VLOOKUP(CONCATENATE($D2707,$G2707),CSRFinput!$B:$E,4,0)=0,OR(H2707=MappingTables!$C$34,H2707=MappingTables!$C$35)),1,VLOOKUP(CONCATENATE($D2707,$G2707),CSRFinput!$B:$E,4,0))),0,IF(AND(VLOOKUP(CONCATENATE($D2707,$G2707),CSRFinput!$B:$E,4,0)=0,OR(H2707=MappingTables!$C$34,H2707=MappingTables!$C$35)),1,VLOOKUP(CONCATENATE($D2707,$G2707),CSRFinput!$B:$E,4,0)))</f>
        <v>0.054776304963434752</v>
      </c>
      <c r="W2707" s="85">
        <f>IF(B2707="",0,+$T2707*$V2707)</f>
        <v>41.724871491992584</v>
      </c>
      <c r="X2707" s="85">
        <f>IF(B2707="",0,IF(OR(H2707=MappingTables!$C$34,H2707=MappingTables!$C$35),W2707,0))</f>
        <v>0</v>
      </c>
    </row>
    <row r="2708" spans="2:24" s="0" customFormat="0" ht="15">
      <c r="B2708" s="69">
        <v>11798103</v>
      </c>
      <c r="C2708" s="70" t="s">
        <v>2312</v>
      </c>
      <c r="D2708" s="70" t="s">
        <v>1</v>
      </c>
      <c r="E2708" s="70" t="s">
        <v>1</v>
      </c>
      <c r="F2708" s="70"/>
      <c r="G2708" s="70" t="s">
        <v>61</v>
      </c>
      <c r="H2708" s="70" t="s">
        <v>178</v>
      </c>
      <c r="I2708" s="70" t="s">
        <v>188</v>
      </c>
      <c r="J2708" s="71">
        <f>IF(OR(I2708=0,I2708=""),"unrated",VLOOKUP(I2708,MappingTables!$B$19:$C$31,2,FALSE))</f>
        <v>2</v>
      </c>
      <c r="K2708" s="72">
        <v>42.362811062202288</v>
      </c>
      <c r="L2708" s="70">
        <v>0.27945716038987976</v>
      </c>
      <c r="M2708" s="71">
        <f>IF(L2708&lt;1,1,L2708)</f>
        <v>1</v>
      </c>
      <c r="N2708" s="70" t="s">
        <v>141</v>
      </c>
      <c r="O2708" s="71">
        <f>INDEX(DurClassMapping,MATCH(M2708,MappingTables!$D$4:$D$8,-1),1)</f>
        <v>1</v>
      </c>
      <c r="P2708" s="73">
        <f>IF(M2708=$A$1,1,$M2708-INDEX(MappingTables!$E$4:$E$8,MATCH(O2708,MappingTables!$B$4:$B$8,0)))</f>
        <v>1</v>
      </c>
      <c r="Q2708" s="71">
        <f>IF(B2708="",0,INDEX(ModelParameters!$D$6:$K$10,MATCH($O2708,ModelParameters!$B$6:$B$10,0),MATCH($J2708,ModelParameters!$D$5:$K$5,0)))</f>
        <v>0.013999999999999998</v>
      </c>
      <c r="R2708" s="71">
        <f>IF(B2708="",0,INDEX(ModelParameters!$D$13:$K$17,MATCH($O2708,ModelParameters!$B$13:$B$17,0),MATCH($J2708,ModelParameters!$D$5:$K$5,0)))</f>
        <v>0</v>
      </c>
      <c r="S2708" s="160">
        <f>IF(B2708="",0,MIN(IF($N2708="Other Bond TM",ModelParameters!$N$21,1)*(P2708*Q2708+R2708),1))</f>
        <v>0.013999999999999998</v>
      </c>
      <c r="T2708" s="85">
        <f>IF(B2708="",0,$S2708*$K2708)</f>
        <v>0.593079354870832</v>
      </c>
      <c r="U2708" s="85">
        <f>IF(B2708="",0,IF(OR(H2708=MappingTables!$C$34,H2708=MappingTables!$C$35),T2708,0))</f>
        <v>0</v>
      </c>
      <c r="V2708" s="85">
        <f>IF(ISNA(IF(AND(VLOOKUP(CONCATENATE($D2708,$G2708),CSRFinput!$B:$E,4,0)=0,OR(H2708=MappingTables!$C$34,H2708=MappingTables!$C$35)),1,VLOOKUP(CONCATENATE($D2708,$G2708),CSRFinput!$B:$E,4,0))),0,IF(AND(VLOOKUP(CONCATENATE($D2708,$G2708),CSRFinput!$B:$E,4,0)=0,OR(H2708=MappingTables!$C$34,H2708=MappingTables!$C$35)),1,VLOOKUP(CONCATENATE($D2708,$G2708),CSRFinput!$B:$E,4,0)))</f>
        <v>0.054776304963434752</v>
      </c>
      <c r="W2708" s="85">
        <f>IF(B2708="",0,+$T2708*$V2708)</f>
        <v>0.032486695609921832</v>
      </c>
      <c r="X2708" s="85">
        <f>IF(B2708="",0,IF(OR(H2708=MappingTables!$C$34,H2708=MappingTables!$C$35),W2708,0))</f>
        <v>0</v>
      </c>
    </row>
    <row r="2709" spans="2:24" s="0" customFormat="0" ht="15">
      <c r="B2709" s="69">
        <v>6590851</v>
      </c>
      <c r="C2709" s="70" t="s">
        <v>2556</v>
      </c>
      <c r="D2709" s="70" t="s">
        <v>1</v>
      </c>
      <c r="E2709" s="70" t="s">
        <v>1</v>
      </c>
      <c r="F2709" s="70"/>
      <c r="G2709" s="70" t="s">
        <v>61</v>
      </c>
      <c r="H2709" s="70" t="s">
        <v>178</v>
      </c>
      <c r="I2709" s="70" t="s">
        <v>181</v>
      </c>
      <c r="J2709" s="71">
        <f>IF(OR(I2709=0,I2709=""),"unrated",VLOOKUP(I2709,MappingTables!$B$19:$C$31,2,FALSE))</f>
        <v>3</v>
      </c>
      <c r="K2709" s="72">
        <v>2079.633119244062</v>
      </c>
      <c r="L2709" s="70">
        <v>0.16985910172641904</v>
      </c>
      <c r="M2709" s="71">
        <f>IF(L2709&lt;1,1,L2709)</f>
        <v>1</v>
      </c>
      <c r="N2709" s="70" t="s">
        <v>141</v>
      </c>
      <c r="O2709" s="71">
        <f>INDEX(DurClassMapping,MATCH(M2709,MappingTables!$D$4:$D$8,-1),1)</f>
        <v>1</v>
      </c>
      <c r="P2709" s="73">
        <f>IF(M2709=$A$1,1,$M2709-INDEX(MappingTables!$E$4:$E$8,MATCH(O2709,MappingTables!$B$4:$B$8,0)))</f>
        <v>1</v>
      </c>
      <c r="Q2709" s="71">
        <f>IF(B2709="",0,INDEX(ModelParameters!$D$6:$K$10,MATCH($O2709,ModelParameters!$B$6:$B$10,0),MATCH($J2709,ModelParameters!$D$5:$K$5,0)))</f>
        <v>0.025</v>
      </c>
      <c r="R2709" s="71">
        <f>IF(B2709="",0,INDEX(ModelParameters!$D$13:$K$17,MATCH($O2709,ModelParameters!$B$13:$B$17,0),MATCH($J2709,ModelParameters!$D$5:$K$5,0)))</f>
        <v>0</v>
      </c>
      <c r="S2709" s="160">
        <f>IF(B2709="",0,MIN(IF($N2709="Other Bond TM",ModelParameters!$N$21,1)*(P2709*Q2709+R2709),1))</f>
        <v>0.025</v>
      </c>
      <c r="T2709" s="85">
        <f>IF(B2709="",0,$S2709*$K2709)</f>
        <v>51.990827981101552</v>
      </c>
      <c r="U2709" s="85">
        <f>IF(B2709="",0,IF(OR(H2709=MappingTables!$C$34,H2709=MappingTables!$C$35),T2709,0))</f>
        <v>0</v>
      </c>
      <c r="V2709" s="85">
        <f>IF(ISNA(IF(AND(VLOOKUP(CONCATENATE($D2709,$G2709),CSRFinput!$B:$E,4,0)=0,OR(H2709=MappingTables!$C$34,H2709=MappingTables!$C$35)),1,VLOOKUP(CONCATENATE($D2709,$G2709),CSRFinput!$B:$E,4,0))),0,IF(AND(VLOOKUP(CONCATENATE($D2709,$G2709),CSRFinput!$B:$E,4,0)=0,OR(H2709=MappingTables!$C$34,H2709=MappingTables!$C$35)),1,VLOOKUP(CONCATENATE($D2709,$G2709),CSRFinput!$B:$E,4,0)))</f>
        <v>0.054776304963434752</v>
      </c>
      <c r="W2709" s="85">
        <f>IF(B2709="",0,+$T2709*$V2709)</f>
        <v>2.8478654487942956</v>
      </c>
      <c r="X2709" s="85">
        <f>IF(B2709="",0,IF(OR(H2709=MappingTables!$C$34,H2709=MappingTables!$C$35),W2709,0))</f>
        <v>0</v>
      </c>
    </row>
    <row r="2710" spans="2:24" s="0" customFormat="0" ht="15">
      <c r="B2710" s="69">
        <v>22520327</v>
      </c>
      <c r="C2710" s="70" t="s">
        <v>2557</v>
      </c>
      <c r="D2710" s="70" t="s">
        <v>1</v>
      </c>
      <c r="E2710" s="70" t="s">
        <v>1</v>
      </c>
      <c r="F2710" s="70"/>
      <c r="G2710" s="70" t="s">
        <v>61</v>
      </c>
      <c r="H2710" s="70" t="s">
        <v>178</v>
      </c>
      <c r="I2710" s="70" t="s">
        <v>181</v>
      </c>
      <c r="J2710" s="71">
        <f>IF(OR(I2710=0,I2710=""),"unrated",VLOOKUP(I2710,MappingTables!$B$19:$C$31,2,FALSE))</f>
        <v>3</v>
      </c>
      <c r="K2710" s="72">
        <v>2374.408119593024</v>
      </c>
      <c r="L2710" s="70">
        <v>4.0728554141014856</v>
      </c>
      <c r="M2710" s="71">
        <f>IF(L2710&lt;1,1,L2710)</f>
        <v>4.0728554141014856</v>
      </c>
      <c r="N2710" s="70" t="s">
        <v>141</v>
      </c>
      <c r="O2710" s="71">
        <f>INDEX(DurClassMapping,MATCH(M2710,MappingTables!$D$4:$D$8,-1),1)</f>
        <v>1</v>
      </c>
      <c r="P2710" s="73">
        <f>IF(M2710=$A$1,1,$M2710-INDEX(MappingTables!$E$4:$E$8,MATCH(O2710,MappingTables!$B$4:$B$8,0)))</f>
        <v>4.0728554141014856</v>
      </c>
      <c r="Q2710" s="71">
        <f>IF(B2710="",0,INDEX(ModelParameters!$D$6:$K$10,MATCH($O2710,ModelParameters!$B$6:$B$10,0),MATCH($J2710,ModelParameters!$D$5:$K$5,0)))</f>
        <v>0.025</v>
      </c>
      <c r="R2710" s="71">
        <f>IF(B2710="",0,INDEX(ModelParameters!$D$13:$K$17,MATCH($O2710,ModelParameters!$B$13:$B$17,0),MATCH($J2710,ModelParameters!$D$5:$K$5,0)))</f>
        <v>0</v>
      </c>
      <c r="S2710" s="160">
        <f>IF(B2710="",0,MIN(IF($N2710="Other Bond TM",ModelParameters!$N$21,1)*(P2710*Q2710+R2710),1))</f>
        <v>0.10182138535253714</v>
      </c>
      <c r="T2710" s="85">
        <f>IF(B2710="",0,$S2710*$K2710)</f>
        <v>241.7655241292744</v>
      </c>
      <c r="U2710" s="85">
        <f>IF(B2710="",0,IF(OR(H2710=MappingTables!$C$34,H2710=MappingTables!$C$35),T2710,0))</f>
        <v>0</v>
      </c>
      <c r="V2710" s="85">
        <f>IF(ISNA(IF(AND(VLOOKUP(CONCATENATE($D2710,$G2710),CSRFinput!$B:$E,4,0)=0,OR(H2710=MappingTables!$C$34,H2710=MappingTables!$C$35)),1,VLOOKUP(CONCATENATE($D2710,$G2710),CSRFinput!$B:$E,4,0))),0,IF(AND(VLOOKUP(CONCATENATE($D2710,$G2710),CSRFinput!$B:$E,4,0)=0,OR(H2710=MappingTables!$C$34,H2710=MappingTables!$C$35)),1,VLOOKUP(CONCATENATE($D2710,$G2710),CSRFinput!$B:$E,4,0)))</f>
        <v>0.054776304963434752</v>
      </c>
      <c r="W2710" s="85">
        <f>IF(B2710="",0,+$T2710*$V2710)</f>
        <v>13.243022079349776</v>
      </c>
      <c r="X2710" s="85">
        <f>IF(B2710="",0,IF(OR(H2710=MappingTables!$C$34,H2710=MappingTables!$C$35),W2710,0))</f>
        <v>0</v>
      </c>
    </row>
    <row r="2711" spans="2:24" s="0" customFormat="0" ht="15">
      <c r="B2711" s="69">
        <v>7663108</v>
      </c>
      <c r="C2711" s="70" t="s">
        <v>2558</v>
      </c>
      <c r="D2711" s="70" t="s">
        <v>1</v>
      </c>
      <c r="E2711" s="70" t="s">
        <v>1</v>
      </c>
      <c r="F2711" s="70"/>
      <c r="G2711" s="70" t="s">
        <v>61</v>
      </c>
      <c r="H2711" s="70" t="s">
        <v>178</v>
      </c>
      <c r="I2711" s="70" t="s">
        <v>181</v>
      </c>
      <c r="J2711" s="71">
        <f>IF(OR(I2711=0,I2711=""),"unrated",VLOOKUP(I2711,MappingTables!$B$19:$C$31,2,FALSE))</f>
        <v>3</v>
      </c>
      <c r="K2711" s="72">
        <v>332.2105250050404</v>
      </c>
      <c r="L2711" s="70">
        <v>0.7945303656926928</v>
      </c>
      <c r="M2711" s="71">
        <f>IF(L2711&lt;1,1,L2711)</f>
        <v>1</v>
      </c>
      <c r="N2711" s="70" t="s">
        <v>141</v>
      </c>
      <c r="O2711" s="71">
        <f>INDEX(DurClassMapping,MATCH(M2711,MappingTables!$D$4:$D$8,-1),1)</f>
        <v>1</v>
      </c>
      <c r="P2711" s="73">
        <f>IF(M2711=$A$1,1,$M2711-INDEX(MappingTables!$E$4:$E$8,MATCH(O2711,MappingTables!$B$4:$B$8,0)))</f>
        <v>1</v>
      </c>
      <c r="Q2711" s="71">
        <f>IF(B2711="",0,INDEX(ModelParameters!$D$6:$K$10,MATCH($O2711,ModelParameters!$B$6:$B$10,0),MATCH($J2711,ModelParameters!$D$5:$K$5,0)))</f>
        <v>0.025</v>
      </c>
      <c r="R2711" s="71">
        <f>IF(B2711="",0,INDEX(ModelParameters!$D$13:$K$17,MATCH($O2711,ModelParameters!$B$13:$B$17,0),MATCH($J2711,ModelParameters!$D$5:$K$5,0)))</f>
        <v>0</v>
      </c>
      <c r="S2711" s="160">
        <f>IF(B2711="",0,MIN(IF($N2711="Other Bond TM",ModelParameters!$N$21,1)*(P2711*Q2711+R2711),1))</f>
        <v>0.025</v>
      </c>
      <c r="T2711" s="85">
        <f>IF(B2711="",0,$S2711*$K2711)</f>
        <v>8.3052631251260096</v>
      </c>
      <c r="U2711" s="85">
        <f>IF(B2711="",0,IF(OR(H2711=MappingTables!$C$34,H2711=MappingTables!$C$35),T2711,0))</f>
        <v>0</v>
      </c>
      <c r="V2711" s="85">
        <f>IF(ISNA(IF(AND(VLOOKUP(CONCATENATE($D2711,$G2711),CSRFinput!$B:$E,4,0)=0,OR(H2711=MappingTables!$C$34,H2711=MappingTables!$C$35)),1,VLOOKUP(CONCATENATE($D2711,$G2711),CSRFinput!$B:$E,4,0))),0,IF(AND(VLOOKUP(CONCATENATE($D2711,$G2711),CSRFinput!$B:$E,4,0)=0,OR(H2711=MappingTables!$C$34,H2711=MappingTables!$C$35)),1,VLOOKUP(CONCATENATE($D2711,$G2711),CSRFinput!$B:$E,4,0)))</f>
        <v>0.054776304963434752</v>
      </c>
      <c r="W2711" s="85">
        <f>IF(B2711="",0,+$T2711*$V2711)</f>
        <v>0.45493162574347144</v>
      </c>
      <c r="X2711" s="85">
        <f>IF(B2711="",0,IF(OR(H2711=MappingTables!$C$34,H2711=MappingTables!$C$35),W2711,0))</f>
        <v>0</v>
      </c>
    </row>
    <row r="2712" spans="2:24" s="0" customFormat="0" ht="15">
      <c r="B2712" s="69">
        <v>19612063</v>
      </c>
      <c r="C2712" s="70" t="s">
        <v>2559</v>
      </c>
      <c r="D2712" s="70" t="s">
        <v>1</v>
      </c>
      <c r="E2712" s="70" t="s">
        <v>1</v>
      </c>
      <c r="F2712" s="70"/>
      <c r="G2712" s="70" t="s">
        <v>61</v>
      </c>
      <c r="H2712" s="70" t="s">
        <v>178</v>
      </c>
      <c r="I2712" s="70" t="s">
        <v>179</v>
      </c>
      <c r="J2712" s="71">
        <f>IF(OR(I2712=0,I2712=""),"unrated",VLOOKUP(I2712,MappingTables!$B$19:$C$31,2,FALSE))</f>
        <v>4</v>
      </c>
      <c r="K2712" s="72">
        <v>123.67997395948468</v>
      </c>
      <c r="L2712" s="70">
        <v>3.3073278725864748</v>
      </c>
      <c r="M2712" s="71">
        <f>IF(L2712&lt;1,1,L2712)</f>
        <v>3.3073278725864748</v>
      </c>
      <c r="N2712" s="70" t="s">
        <v>141</v>
      </c>
      <c r="O2712" s="71">
        <f>INDEX(DurClassMapping,MATCH(M2712,MappingTables!$D$4:$D$8,-1),1)</f>
        <v>1</v>
      </c>
      <c r="P2712" s="73">
        <f>IF(M2712=$A$1,1,$M2712-INDEX(MappingTables!$E$4:$E$8,MATCH(O2712,MappingTables!$B$4:$B$8,0)))</f>
        <v>3.3073278725864748</v>
      </c>
      <c r="Q2712" s="71">
        <f>IF(B2712="",0,INDEX(ModelParameters!$D$6:$K$10,MATCH($O2712,ModelParameters!$B$6:$B$10,0),MATCH($J2712,ModelParameters!$D$5:$K$5,0)))</f>
        <v>0.045</v>
      </c>
      <c r="R2712" s="71">
        <f>IF(B2712="",0,INDEX(ModelParameters!$D$13:$K$17,MATCH($O2712,ModelParameters!$B$13:$B$17,0),MATCH($J2712,ModelParameters!$D$5:$K$5,0)))</f>
        <v>0</v>
      </c>
      <c r="S2712" s="160">
        <f>IF(B2712="",0,MIN(IF($N2712="Other Bond TM",ModelParameters!$N$21,1)*(P2712*Q2712+R2712),1))</f>
        <v>0.14882975426639136</v>
      </c>
      <c r="T2712" s="85">
        <f>IF(B2712="",0,$S2712*$K2712)</f>
        <v>18.407260132063788</v>
      </c>
      <c r="U2712" s="85">
        <f>IF(B2712="",0,IF(OR(H2712=MappingTables!$C$34,H2712=MappingTables!$C$35),T2712,0))</f>
        <v>0</v>
      </c>
      <c r="V2712" s="85">
        <f>IF(ISNA(IF(AND(VLOOKUP(CONCATENATE($D2712,$G2712),CSRFinput!$B:$E,4,0)=0,OR(H2712=MappingTables!$C$34,H2712=MappingTables!$C$35)),1,VLOOKUP(CONCATENATE($D2712,$G2712),CSRFinput!$B:$E,4,0))),0,IF(AND(VLOOKUP(CONCATENATE($D2712,$G2712),CSRFinput!$B:$E,4,0)=0,OR(H2712=MappingTables!$C$34,H2712=MappingTables!$C$35)),1,VLOOKUP(CONCATENATE($D2712,$G2712),CSRFinput!$B:$E,4,0)))</f>
        <v>0.054776304963434752</v>
      </c>
      <c r="W2712" s="85">
        <f>IF(B2712="",0,+$T2712*$V2712)</f>
        <v>1.0082816945352002</v>
      </c>
      <c r="X2712" s="85">
        <f>IF(B2712="",0,IF(OR(H2712=MappingTables!$C$34,H2712=MappingTables!$C$35),W2712,0))</f>
        <v>0</v>
      </c>
    </row>
    <row r="2713" spans="2:24" s="0" customFormat="0" ht="15">
      <c r="B2713" s="69" t="s">
        <v>2560</v>
      </c>
      <c r="C2713" s="70" t="s">
        <v>2561</v>
      </c>
      <c r="D2713" s="70" t="s">
        <v>1</v>
      </c>
      <c r="E2713" s="70" t="s">
        <v>1</v>
      </c>
      <c r="F2713" s="70"/>
      <c r="G2713" s="70" t="s">
        <v>61</v>
      </c>
      <c r="H2713" s="70" t="s">
        <v>178</v>
      </c>
      <c r="I2713" s="70" t="s">
        <v>188</v>
      </c>
      <c r="J2713" s="71">
        <f>IF(OR(I2713=0,I2713=""),"unrated",VLOOKUP(I2713,MappingTables!$B$19:$C$31,2,FALSE))</f>
        <v>2</v>
      </c>
      <c r="K2713" s="72">
        <v>0.49597552193298336</v>
      </c>
      <c r="L2713" s="70">
        <v>1.9277791176450028</v>
      </c>
      <c r="M2713" s="71">
        <f>IF(L2713&lt;1,1,L2713)</f>
        <v>1.9277791176450028</v>
      </c>
      <c r="N2713" s="70" t="s">
        <v>141</v>
      </c>
      <c r="O2713" s="71">
        <f>INDEX(DurClassMapping,MATCH(M2713,MappingTables!$D$4:$D$8,-1),1)</f>
        <v>1</v>
      </c>
      <c r="P2713" s="73">
        <f>IF(M2713=$A$1,1,$M2713-INDEX(MappingTables!$E$4:$E$8,MATCH(O2713,MappingTables!$B$4:$B$8,0)))</f>
        <v>1.9277791176450028</v>
      </c>
      <c r="Q2713" s="71">
        <f>IF(B2713="",0,INDEX(ModelParameters!$D$6:$K$10,MATCH($O2713,ModelParameters!$B$6:$B$10,0),MATCH($J2713,ModelParameters!$D$5:$K$5,0)))</f>
        <v>0.013999999999999998</v>
      </c>
      <c r="R2713" s="71">
        <f>IF(B2713="",0,INDEX(ModelParameters!$D$13:$K$17,MATCH($O2713,ModelParameters!$B$13:$B$17,0),MATCH($J2713,ModelParameters!$D$5:$K$5,0)))</f>
        <v>0</v>
      </c>
      <c r="S2713" s="160">
        <f>IF(B2713="",0,MIN(IF($N2713="Other Bond TM",ModelParameters!$N$21,1)*(P2713*Q2713+R2713),1))</f>
        <v>0.026988907647030036</v>
      </c>
      <c r="T2713" s="85">
        <f>IF(B2713="",0,$S2713*$K2713)</f>
        <v>0.013385837556636808</v>
      </c>
      <c r="U2713" s="85">
        <f>IF(B2713="",0,IF(OR(H2713=MappingTables!$C$34,H2713=MappingTables!$C$35),T2713,0))</f>
        <v>0</v>
      </c>
      <c r="V2713" s="85">
        <f>IF(ISNA(IF(AND(VLOOKUP(CONCATENATE($D2713,$G2713),CSRFinput!$B:$E,4,0)=0,OR(H2713=MappingTables!$C$34,H2713=MappingTables!$C$35)),1,VLOOKUP(CONCATENATE($D2713,$G2713),CSRFinput!$B:$E,4,0))),0,IF(AND(VLOOKUP(CONCATENATE($D2713,$G2713),CSRFinput!$B:$E,4,0)=0,OR(H2713=MappingTables!$C$34,H2713=MappingTables!$C$35)),1,VLOOKUP(CONCATENATE($D2713,$G2713),CSRFinput!$B:$E,4,0)))</f>
        <v>0.054776304963434752</v>
      </c>
      <c r="W2713" s="85">
        <f>IF(B2713="",0,+$T2713*$V2713)</f>
        <v>0.00073322672019333616</v>
      </c>
      <c r="X2713" s="85">
        <f>IF(B2713="",0,IF(OR(H2713=MappingTables!$C$34,H2713=MappingTables!$C$35),W2713,0))</f>
        <v>0</v>
      </c>
    </row>
    <row r="2714" spans="2:24" s="0" customFormat="0" ht="15">
      <c r="B2714" s="69">
        <v>7820431</v>
      </c>
      <c r="C2714" s="70" t="s">
        <v>1801</v>
      </c>
      <c r="D2714" s="70" t="s">
        <v>1</v>
      </c>
      <c r="E2714" s="70" t="s">
        <v>1</v>
      </c>
      <c r="F2714" s="70"/>
      <c r="G2714" s="70" t="s">
        <v>61</v>
      </c>
      <c r="H2714" s="70" t="s">
        <v>178</v>
      </c>
      <c r="I2714" s="70" t="s">
        <v>181</v>
      </c>
      <c r="J2714" s="71">
        <f>IF(OR(I2714=0,I2714=""),"unrated",VLOOKUP(I2714,MappingTables!$B$19:$C$31,2,FALSE))</f>
        <v>3</v>
      </c>
      <c r="K2714" s="72">
        <v>3480.8000502712424</v>
      </c>
      <c r="L2714" s="70">
        <v>13.674115923428416</v>
      </c>
      <c r="M2714" s="71">
        <f>IF(L2714&lt;1,1,L2714)</f>
        <v>13.674115923428416</v>
      </c>
      <c r="N2714" s="70" t="s">
        <v>141</v>
      </c>
      <c r="O2714" s="71">
        <f>INDEX(DurClassMapping,MATCH(M2714,MappingTables!$D$4:$D$8,-1),1)</f>
        <v>3</v>
      </c>
      <c r="P2714" s="73">
        <f>IF(M2714=$A$1,1,$M2714-INDEX(MappingTables!$E$4:$E$8,MATCH(O2714,MappingTables!$B$4:$B$8,0)))</f>
        <v>3.6741159234284152</v>
      </c>
      <c r="Q2714" s="71">
        <f>IF(B2714="",0,INDEX(ModelParameters!$D$6:$K$10,MATCH($O2714,ModelParameters!$B$6:$B$10,0),MATCH($J2714,ModelParameters!$D$5:$K$5,0)))</f>
        <v>0.01</v>
      </c>
      <c r="R2714" s="71">
        <f>IF(B2714="",0,INDEX(ModelParameters!$D$13:$K$17,MATCH($O2714,ModelParameters!$B$13:$B$17,0),MATCH($J2714,ModelParameters!$D$5:$K$5,0)))</f>
        <v>0.2</v>
      </c>
      <c r="S2714" s="160">
        <f>IF(B2714="",0,MIN(IF($N2714="Other Bond TM",ModelParameters!$N$21,1)*(P2714*Q2714+R2714),1))</f>
        <v>0.23674115923428416</v>
      </c>
      <c r="T2714" s="85">
        <f>IF(B2714="",0,$S2714*$K2714)</f>
        <v>824.04863896396848</v>
      </c>
      <c r="U2714" s="85">
        <f>IF(B2714="",0,IF(OR(H2714=MappingTables!$C$34,H2714=MappingTables!$C$35),T2714,0))</f>
        <v>0</v>
      </c>
      <c r="V2714" s="85">
        <f>IF(ISNA(IF(AND(VLOOKUP(CONCATENATE($D2714,$G2714),CSRFinput!$B:$E,4,0)=0,OR(H2714=MappingTables!$C$34,H2714=MappingTables!$C$35)),1,VLOOKUP(CONCATENATE($D2714,$G2714),CSRFinput!$B:$E,4,0))),0,IF(AND(VLOOKUP(CONCATENATE($D2714,$G2714),CSRFinput!$B:$E,4,0)=0,OR(H2714=MappingTables!$C$34,H2714=MappingTables!$C$35)),1,VLOOKUP(CONCATENATE($D2714,$G2714),CSRFinput!$B:$E,4,0)))</f>
        <v>0.054776304963434752</v>
      </c>
      <c r="W2714" s="85">
        <f>IF(B2714="",0,+$T2714*$V2714)</f>
        <v>45.138339552593688</v>
      </c>
      <c r="X2714" s="85">
        <f>IF(B2714="",0,IF(OR(H2714=MappingTables!$C$34,H2714=MappingTables!$C$35),W2714,0))</f>
        <v>0</v>
      </c>
    </row>
    <row r="2715" spans="2:24" s="0" customFormat="0" ht="15">
      <c r="B2715" s="69">
        <v>22055798</v>
      </c>
      <c r="C2715" s="70" t="s">
        <v>664</v>
      </c>
      <c r="D2715" s="70" t="s">
        <v>1</v>
      </c>
      <c r="E2715" s="70" t="s">
        <v>1</v>
      </c>
      <c r="F2715" s="70"/>
      <c r="G2715" s="70" t="s">
        <v>61</v>
      </c>
      <c r="H2715" s="70" t="s">
        <v>178</v>
      </c>
      <c r="I2715" s="70" t="s">
        <v>179</v>
      </c>
      <c r="J2715" s="71">
        <f>IF(OR(I2715=0,I2715=""),"unrated",VLOOKUP(I2715,MappingTables!$B$19:$C$31,2,FALSE))</f>
        <v>4</v>
      </c>
      <c r="K2715" s="72">
        <v>324.6573109684722</v>
      </c>
      <c r="L2715" s="70">
        <v>3.9740947658677536</v>
      </c>
      <c r="M2715" s="71">
        <f>IF(L2715&lt;1,1,L2715)</f>
        <v>3.9740947658677536</v>
      </c>
      <c r="N2715" s="70" t="s">
        <v>141</v>
      </c>
      <c r="O2715" s="71">
        <f>INDEX(DurClassMapping,MATCH(M2715,MappingTables!$D$4:$D$8,-1),1)</f>
        <v>1</v>
      </c>
      <c r="P2715" s="73">
        <f>IF(M2715=$A$1,1,$M2715-INDEX(MappingTables!$E$4:$E$8,MATCH(O2715,MappingTables!$B$4:$B$8,0)))</f>
        <v>3.9740947658677536</v>
      </c>
      <c r="Q2715" s="71">
        <f>IF(B2715="",0,INDEX(ModelParameters!$D$6:$K$10,MATCH($O2715,ModelParameters!$B$6:$B$10,0),MATCH($J2715,ModelParameters!$D$5:$K$5,0)))</f>
        <v>0.045</v>
      </c>
      <c r="R2715" s="71">
        <f>IF(B2715="",0,INDEX(ModelParameters!$D$13:$K$17,MATCH($O2715,ModelParameters!$B$13:$B$17,0),MATCH($J2715,ModelParameters!$D$5:$K$5,0)))</f>
        <v>0</v>
      </c>
      <c r="S2715" s="160">
        <f>IF(B2715="",0,MIN(IF($N2715="Other Bond TM",ModelParameters!$N$21,1)*(P2715*Q2715+R2715),1))</f>
        <v>0.1788342644640489</v>
      </c>
      <c r="T2715" s="85">
        <f>IF(B2715="",0,$S2715*$K2715)</f>
        <v>58.05985140992272</v>
      </c>
      <c r="U2715" s="85">
        <f>IF(B2715="",0,IF(OR(H2715=MappingTables!$C$34,H2715=MappingTables!$C$35),T2715,0))</f>
        <v>0</v>
      </c>
      <c r="V2715" s="85">
        <f>IF(ISNA(IF(AND(VLOOKUP(CONCATENATE($D2715,$G2715),CSRFinput!$B:$E,4,0)=0,OR(H2715=MappingTables!$C$34,H2715=MappingTables!$C$35)),1,VLOOKUP(CONCATENATE($D2715,$G2715),CSRFinput!$B:$E,4,0))),0,IF(AND(VLOOKUP(CONCATENATE($D2715,$G2715),CSRFinput!$B:$E,4,0)=0,OR(H2715=MappingTables!$C$34,H2715=MappingTables!$C$35)),1,VLOOKUP(CONCATENATE($D2715,$G2715),CSRFinput!$B:$E,4,0)))</f>
        <v>0.054776304963434752</v>
      </c>
      <c r="W2715" s="85">
        <f>IF(B2715="",0,+$T2715*$V2715)</f>
        <v>3.180304126961634</v>
      </c>
      <c r="X2715" s="85">
        <f>IF(B2715="",0,IF(OR(H2715=MappingTables!$C$34,H2715=MappingTables!$C$35),W2715,0))</f>
        <v>0</v>
      </c>
    </row>
    <row r="2716" spans="2:24" s="0" customFormat="0" ht="15">
      <c r="B2716" s="69" t="s">
        <v>2562</v>
      </c>
      <c r="C2716" s="70" t="s">
        <v>2563</v>
      </c>
      <c r="D2716" s="70" t="s">
        <v>1</v>
      </c>
      <c r="E2716" s="70" t="s">
        <v>1</v>
      </c>
      <c r="F2716" s="70"/>
      <c r="G2716" s="70" t="s">
        <v>61</v>
      </c>
      <c r="H2716" s="70" t="s">
        <v>178</v>
      </c>
      <c r="I2716" s="70" t="s">
        <v>188</v>
      </c>
      <c r="J2716" s="71">
        <f>IF(OR(I2716=0,I2716=""),"unrated",VLOOKUP(I2716,MappingTables!$B$19:$C$31,2,FALSE))</f>
        <v>2</v>
      </c>
      <c r="K2716" s="72">
        <v>298.02567061662392</v>
      </c>
      <c r="L2716" s="70">
        <v>0.94027531856386256</v>
      </c>
      <c r="M2716" s="71">
        <f>IF(L2716&lt;1,1,L2716)</f>
        <v>1</v>
      </c>
      <c r="N2716" s="70" t="s">
        <v>141</v>
      </c>
      <c r="O2716" s="71">
        <f>INDEX(DurClassMapping,MATCH(M2716,MappingTables!$D$4:$D$8,-1),1)</f>
        <v>1</v>
      </c>
      <c r="P2716" s="73">
        <f>IF(M2716=$A$1,1,$M2716-INDEX(MappingTables!$E$4:$E$8,MATCH(O2716,MappingTables!$B$4:$B$8,0)))</f>
        <v>1</v>
      </c>
      <c r="Q2716" s="71">
        <f>IF(B2716="",0,INDEX(ModelParameters!$D$6:$K$10,MATCH($O2716,ModelParameters!$B$6:$B$10,0),MATCH($J2716,ModelParameters!$D$5:$K$5,0)))</f>
        <v>0.013999999999999998</v>
      </c>
      <c r="R2716" s="71">
        <f>IF(B2716="",0,INDEX(ModelParameters!$D$13:$K$17,MATCH($O2716,ModelParameters!$B$13:$B$17,0),MATCH($J2716,ModelParameters!$D$5:$K$5,0)))</f>
        <v>0</v>
      </c>
      <c r="S2716" s="160">
        <f>IF(B2716="",0,MIN(IF($N2716="Other Bond TM",ModelParameters!$N$21,1)*(P2716*Q2716+R2716),1))</f>
        <v>0.013999999999999998</v>
      </c>
      <c r="T2716" s="85">
        <f>IF(B2716="",0,$S2716*$K2716)</f>
        <v>4.1723593886327344</v>
      </c>
      <c r="U2716" s="85">
        <f>IF(B2716="",0,IF(OR(H2716=MappingTables!$C$34,H2716=MappingTables!$C$35),T2716,0))</f>
        <v>0</v>
      </c>
      <c r="V2716" s="85">
        <f>IF(ISNA(IF(AND(VLOOKUP(CONCATENATE($D2716,$G2716),CSRFinput!$B:$E,4,0)=0,OR(H2716=MappingTables!$C$34,H2716=MappingTables!$C$35)),1,VLOOKUP(CONCATENATE($D2716,$G2716),CSRFinput!$B:$E,4,0))),0,IF(AND(VLOOKUP(CONCATENATE($D2716,$G2716),CSRFinput!$B:$E,4,0)=0,OR(H2716=MappingTables!$C$34,H2716=MappingTables!$C$35)),1,VLOOKUP(CONCATENATE($D2716,$G2716),CSRFinput!$B:$E,4,0)))</f>
        <v>0.054776304963434752</v>
      </c>
      <c r="W2716" s="85">
        <f>IF(B2716="",0,+$T2716*$V2716)</f>
        <v>0.22854643028879684</v>
      </c>
      <c r="X2716" s="85">
        <f>IF(B2716="",0,IF(OR(H2716=MappingTables!$C$34,H2716=MappingTables!$C$35),W2716,0))</f>
        <v>0</v>
      </c>
    </row>
    <row r="2717" spans="2:24" s="0" customFormat="0" ht="15">
      <c r="B2717" s="69">
        <v>10578240</v>
      </c>
      <c r="C2717" s="70" t="s">
        <v>1427</v>
      </c>
      <c r="D2717" s="70" t="s">
        <v>1</v>
      </c>
      <c r="E2717" s="70" t="s">
        <v>1</v>
      </c>
      <c r="F2717" s="70"/>
      <c r="G2717" s="70" t="s">
        <v>61</v>
      </c>
      <c r="H2717" s="70" t="s">
        <v>178</v>
      </c>
      <c r="I2717" s="70" t="s">
        <v>181</v>
      </c>
      <c r="J2717" s="71">
        <f>IF(OR(I2717=0,I2717=""),"unrated",VLOOKUP(I2717,MappingTables!$B$19:$C$31,2,FALSE))</f>
        <v>3</v>
      </c>
      <c r="K2717" s="72">
        <v>106.18791204015344</v>
      </c>
      <c r="L2717" s="70">
        <v>1.6044202473731484</v>
      </c>
      <c r="M2717" s="71">
        <f>IF(L2717&lt;1,1,L2717)</f>
        <v>1.6044202473731484</v>
      </c>
      <c r="N2717" s="70" t="s">
        <v>141</v>
      </c>
      <c r="O2717" s="71">
        <f>INDEX(DurClassMapping,MATCH(M2717,MappingTables!$D$4:$D$8,-1),1)</f>
        <v>1</v>
      </c>
      <c r="P2717" s="73">
        <f>IF(M2717=$A$1,1,$M2717-INDEX(MappingTables!$E$4:$E$8,MATCH(O2717,MappingTables!$B$4:$B$8,0)))</f>
        <v>1.6044202473731484</v>
      </c>
      <c r="Q2717" s="71">
        <f>IF(B2717="",0,INDEX(ModelParameters!$D$6:$K$10,MATCH($O2717,ModelParameters!$B$6:$B$10,0),MATCH($J2717,ModelParameters!$D$5:$K$5,0)))</f>
        <v>0.025</v>
      </c>
      <c r="R2717" s="71">
        <f>IF(B2717="",0,INDEX(ModelParameters!$D$13:$K$17,MATCH($O2717,ModelParameters!$B$13:$B$17,0),MATCH($J2717,ModelParameters!$D$5:$K$5,0)))</f>
        <v>0</v>
      </c>
      <c r="S2717" s="160">
        <f>IF(B2717="",0,MIN(IF($N2717="Other Bond TM",ModelParameters!$N$21,1)*(P2717*Q2717+R2717),1))</f>
        <v>0.040110506184328712</v>
      </c>
      <c r="T2717" s="85">
        <f>IF(B2717="",0,$S2717*$K2717)</f>
        <v>4.259250902587528</v>
      </c>
      <c r="U2717" s="85">
        <f>IF(B2717="",0,IF(OR(H2717=MappingTables!$C$34,H2717=MappingTables!$C$35),T2717,0))</f>
        <v>0</v>
      </c>
      <c r="V2717" s="85">
        <f>IF(ISNA(IF(AND(VLOOKUP(CONCATENATE($D2717,$G2717),CSRFinput!$B:$E,4,0)=0,OR(H2717=MappingTables!$C$34,H2717=MappingTables!$C$35)),1,VLOOKUP(CONCATENATE($D2717,$G2717),CSRFinput!$B:$E,4,0))),0,IF(AND(VLOOKUP(CONCATENATE($D2717,$G2717),CSRFinput!$B:$E,4,0)=0,OR(H2717=MappingTables!$C$34,H2717=MappingTables!$C$35)),1,VLOOKUP(CONCATENATE($D2717,$G2717),CSRFinput!$B:$E,4,0)))</f>
        <v>0.054776304963434752</v>
      </c>
      <c r="W2717" s="85">
        <f>IF(B2717="",0,+$T2717*$V2717)</f>
        <v>0.23330602635591916</v>
      </c>
      <c r="X2717" s="85">
        <f>IF(B2717="",0,IF(OR(H2717=MappingTables!$C$34,H2717=MappingTables!$C$35),W2717,0))</f>
        <v>0</v>
      </c>
    </row>
    <row r="2718" spans="2:24" s="0" customFormat="0" ht="15">
      <c r="B2718" s="69">
        <v>5110635</v>
      </c>
      <c r="C2718" s="70" t="s">
        <v>2564</v>
      </c>
      <c r="D2718" s="70" t="s">
        <v>1</v>
      </c>
      <c r="E2718" s="70" t="s">
        <v>1</v>
      </c>
      <c r="F2718" s="70"/>
      <c r="G2718" s="70" t="s">
        <v>61</v>
      </c>
      <c r="H2718" s="70" t="s">
        <v>178</v>
      </c>
      <c r="I2718" s="70" t="s">
        <v>181</v>
      </c>
      <c r="J2718" s="71">
        <f>IF(OR(I2718=0,I2718=""),"unrated",VLOOKUP(I2718,MappingTables!$B$19:$C$31,2,FALSE))</f>
        <v>3</v>
      </c>
      <c r="K2718" s="72">
        <v>2188.9559699167616</v>
      </c>
      <c r="L2718" s="70">
        <v>13.251509973730548</v>
      </c>
      <c r="M2718" s="71">
        <f>IF(L2718&lt;1,1,L2718)</f>
        <v>13.251509973730548</v>
      </c>
      <c r="N2718" s="70" t="s">
        <v>141</v>
      </c>
      <c r="O2718" s="71">
        <f>INDEX(DurClassMapping,MATCH(M2718,MappingTables!$D$4:$D$8,-1),1)</f>
        <v>3</v>
      </c>
      <c r="P2718" s="73">
        <f>IF(M2718=$A$1,1,$M2718-INDEX(MappingTables!$E$4:$E$8,MATCH(O2718,MappingTables!$B$4:$B$8,0)))</f>
        <v>3.2515099737305472</v>
      </c>
      <c r="Q2718" s="71">
        <f>IF(B2718="",0,INDEX(ModelParameters!$D$6:$K$10,MATCH($O2718,ModelParameters!$B$6:$B$10,0),MATCH($J2718,ModelParameters!$D$5:$K$5,0)))</f>
        <v>0.01</v>
      </c>
      <c r="R2718" s="71">
        <f>IF(B2718="",0,INDEX(ModelParameters!$D$13:$K$17,MATCH($O2718,ModelParameters!$B$13:$B$17,0),MATCH($J2718,ModelParameters!$D$5:$K$5,0)))</f>
        <v>0.2</v>
      </c>
      <c r="S2718" s="160">
        <f>IF(B2718="",0,MIN(IF($N2718="Other Bond TM",ModelParameters!$N$21,1)*(P2718*Q2718+R2718),1))</f>
        <v>0.23251509973730548</v>
      </c>
      <c r="T2718" s="85">
        <f>IF(B2718="",0,$S2718*$K2718)</f>
        <v>508.96531566576616</v>
      </c>
      <c r="U2718" s="85">
        <f>IF(B2718="",0,IF(OR(H2718=MappingTables!$C$34,H2718=MappingTables!$C$35),T2718,0))</f>
        <v>0</v>
      </c>
      <c r="V2718" s="85">
        <f>IF(ISNA(IF(AND(VLOOKUP(CONCATENATE($D2718,$G2718),CSRFinput!$B:$E,4,0)=0,OR(H2718=MappingTables!$C$34,H2718=MappingTables!$C$35)),1,VLOOKUP(CONCATENATE($D2718,$G2718),CSRFinput!$B:$E,4,0))),0,IF(AND(VLOOKUP(CONCATENATE($D2718,$G2718),CSRFinput!$B:$E,4,0)=0,OR(H2718=MappingTables!$C$34,H2718=MappingTables!$C$35)),1,VLOOKUP(CONCATENATE($D2718,$G2718),CSRFinput!$B:$E,4,0)))</f>
        <v>0.054776304963434752</v>
      </c>
      <c r="W2718" s="85">
        <f>IF(B2718="",0,+$T2718*$V2718)</f>
        <v>27.87923934671884</v>
      </c>
      <c r="X2718" s="85">
        <f>IF(B2718="",0,IF(OR(H2718=MappingTables!$C$34,H2718=MappingTables!$C$35),W2718,0))</f>
        <v>0</v>
      </c>
    </row>
    <row r="2719" spans="2:24" s="0" customFormat="0" ht="15">
      <c r="B2719" s="69">
        <v>18055851</v>
      </c>
      <c r="C2719" s="70" t="s">
        <v>2565</v>
      </c>
      <c r="D2719" s="70" t="s">
        <v>1</v>
      </c>
      <c r="E2719" s="70" t="s">
        <v>1</v>
      </c>
      <c r="F2719" s="70"/>
      <c r="G2719" s="70" t="s">
        <v>61</v>
      </c>
      <c r="H2719" s="70" t="s">
        <v>178</v>
      </c>
      <c r="I2719" s="70" t="s">
        <v>181</v>
      </c>
      <c r="J2719" s="71">
        <f>IF(OR(I2719=0,I2719=""),"unrated",VLOOKUP(I2719,MappingTables!$B$19:$C$31,2,FALSE))</f>
        <v>3</v>
      </c>
      <c r="K2719" s="72">
        <v>1105.4716173942008</v>
      </c>
      <c r="L2719" s="70">
        <v>2.6299083979272128</v>
      </c>
      <c r="M2719" s="71">
        <f>IF(L2719&lt;1,1,L2719)</f>
        <v>2.6299083979272128</v>
      </c>
      <c r="N2719" s="70" t="s">
        <v>141</v>
      </c>
      <c r="O2719" s="71">
        <f>INDEX(DurClassMapping,MATCH(M2719,MappingTables!$D$4:$D$8,-1),1)</f>
        <v>1</v>
      </c>
      <c r="P2719" s="73">
        <f>IF(M2719=$A$1,1,$M2719-INDEX(MappingTables!$E$4:$E$8,MATCH(O2719,MappingTables!$B$4:$B$8,0)))</f>
        <v>2.6299083979272128</v>
      </c>
      <c r="Q2719" s="71">
        <f>IF(B2719="",0,INDEX(ModelParameters!$D$6:$K$10,MATCH($O2719,ModelParameters!$B$6:$B$10,0),MATCH($J2719,ModelParameters!$D$5:$K$5,0)))</f>
        <v>0.025</v>
      </c>
      <c r="R2719" s="71">
        <f>IF(B2719="",0,INDEX(ModelParameters!$D$13:$K$17,MATCH($O2719,ModelParameters!$B$13:$B$17,0),MATCH($J2719,ModelParameters!$D$5:$K$5,0)))</f>
        <v>0</v>
      </c>
      <c r="S2719" s="160">
        <f>IF(B2719="",0,MIN(IF($N2719="Other Bond TM",ModelParameters!$N$21,1)*(P2719*Q2719+R2719),1))</f>
        <v>0.065747709948180328</v>
      </c>
      <c r="T2719" s="85">
        <f>IF(B2719="",0,$S2719*$K2719)</f>
        <v>72.682227256379696</v>
      </c>
      <c r="U2719" s="85">
        <f>IF(B2719="",0,IF(OR(H2719=MappingTables!$C$34,H2719=MappingTables!$C$35),T2719,0))</f>
        <v>0</v>
      </c>
      <c r="V2719" s="85">
        <f>IF(ISNA(IF(AND(VLOOKUP(CONCATENATE($D2719,$G2719),CSRFinput!$B:$E,4,0)=0,OR(H2719=MappingTables!$C$34,H2719=MappingTables!$C$35)),1,VLOOKUP(CONCATENATE($D2719,$G2719),CSRFinput!$B:$E,4,0))),0,IF(AND(VLOOKUP(CONCATENATE($D2719,$G2719),CSRFinput!$B:$E,4,0)=0,OR(H2719=MappingTables!$C$34,H2719=MappingTables!$C$35)),1,VLOOKUP(CONCATENATE($D2719,$G2719),CSRFinput!$B:$E,4,0)))</f>
        <v>0.054776304963434752</v>
      </c>
      <c r="W2719" s="85">
        <f>IF(B2719="",0,+$T2719*$V2719)</f>
        <v>3.981263845617124</v>
      </c>
      <c r="X2719" s="85">
        <f>IF(B2719="",0,IF(OR(H2719=MappingTables!$C$34,H2719=MappingTables!$C$35),W2719,0))</f>
        <v>0</v>
      </c>
    </row>
    <row r="2720" spans="2:24" s="0" customFormat="0" ht="15">
      <c r="B2720" s="69" t="s">
        <v>752</v>
      </c>
      <c r="C2720" s="70" t="s">
        <v>753</v>
      </c>
      <c r="D2720" s="70" t="s">
        <v>1</v>
      </c>
      <c r="E2720" s="70" t="s">
        <v>1</v>
      </c>
      <c r="F2720" s="70"/>
      <c r="G2720" s="70" t="s">
        <v>61</v>
      </c>
      <c r="H2720" s="70" t="s">
        <v>178</v>
      </c>
      <c r="I2720" s="70" t="s">
        <v>181</v>
      </c>
      <c r="J2720" s="71">
        <f>IF(OR(I2720=0,I2720=""),"unrated",VLOOKUP(I2720,MappingTables!$B$19:$C$31,2,FALSE))</f>
        <v>3</v>
      </c>
      <c r="K2720" s="72">
        <v>5.063402034537564</v>
      </c>
      <c r="L2720" s="70">
        <v>1.4301520379643288</v>
      </c>
      <c r="M2720" s="71">
        <f>IF(L2720&lt;1,1,L2720)</f>
        <v>1.4301520379643288</v>
      </c>
      <c r="N2720" s="70" t="s">
        <v>141</v>
      </c>
      <c r="O2720" s="71">
        <f>INDEX(DurClassMapping,MATCH(M2720,MappingTables!$D$4:$D$8,-1),1)</f>
        <v>1</v>
      </c>
      <c r="P2720" s="73">
        <f>IF(M2720=$A$1,1,$M2720-INDEX(MappingTables!$E$4:$E$8,MATCH(O2720,MappingTables!$B$4:$B$8,0)))</f>
        <v>1.4301520379643288</v>
      </c>
      <c r="Q2720" s="71">
        <f>IF(B2720="",0,INDEX(ModelParameters!$D$6:$K$10,MATCH($O2720,ModelParameters!$B$6:$B$10,0),MATCH($J2720,ModelParameters!$D$5:$K$5,0)))</f>
        <v>0.025</v>
      </c>
      <c r="R2720" s="71">
        <f>IF(B2720="",0,INDEX(ModelParameters!$D$13:$K$17,MATCH($O2720,ModelParameters!$B$13:$B$17,0),MATCH($J2720,ModelParameters!$D$5:$K$5,0)))</f>
        <v>0</v>
      </c>
      <c r="S2720" s="160">
        <f>IF(B2720="",0,MIN(IF($N2720="Other Bond TM",ModelParameters!$N$21,1)*(P2720*Q2720+R2720),1))</f>
        <v>0.035753800949108224</v>
      </c>
      <c r="T2720" s="85">
        <f>IF(B2720="",0,$S2720*$K2720)</f>
        <v>0.18103586846816568</v>
      </c>
      <c r="U2720" s="85">
        <f>IF(B2720="",0,IF(OR(H2720=MappingTables!$C$34,H2720=MappingTables!$C$35),T2720,0))</f>
        <v>0</v>
      </c>
      <c r="V2720" s="85">
        <f>IF(ISNA(IF(AND(VLOOKUP(CONCATENATE($D2720,$G2720),CSRFinput!$B:$E,4,0)=0,OR(H2720=MappingTables!$C$34,H2720=MappingTables!$C$35)),1,VLOOKUP(CONCATENATE($D2720,$G2720),CSRFinput!$B:$E,4,0))),0,IF(AND(VLOOKUP(CONCATENATE($D2720,$G2720),CSRFinput!$B:$E,4,0)=0,OR(H2720=MappingTables!$C$34,H2720=MappingTables!$C$35)),1,VLOOKUP(CONCATENATE($D2720,$G2720),CSRFinput!$B:$E,4,0)))</f>
        <v>0.054776304963434752</v>
      </c>
      <c r="W2720" s="85">
        <f>IF(B2720="",0,+$T2720*$V2720)</f>
        <v>0.009916475940532504</v>
      </c>
      <c r="X2720" s="85">
        <f>IF(B2720="",0,IF(OR(H2720=MappingTables!$C$34,H2720=MappingTables!$C$35),W2720,0))</f>
        <v>0</v>
      </c>
    </row>
    <row r="2721" spans="2:24" s="0" customFormat="0" ht="15">
      <c r="B2721" s="69">
        <v>21521373</v>
      </c>
      <c r="C2721" s="70" t="s">
        <v>1413</v>
      </c>
      <c r="D2721" s="70" t="s">
        <v>1</v>
      </c>
      <c r="E2721" s="70" t="s">
        <v>1</v>
      </c>
      <c r="F2721" s="70"/>
      <c r="G2721" s="70" t="s">
        <v>61</v>
      </c>
      <c r="H2721" s="70" t="s">
        <v>178</v>
      </c>
      <c r="I2721" s="70" t="s">
        <v>179</v>
      </c>
      <c r="J2721" s="71">
        <f>IF(OR(I2721=0,I2721=""),"unrated",VLOOKUP(I2721,MappingTables!$B$19:$C$31,2,FALSE))</f>
        <v>4</v>
      </c>
      <c r="K2721" s="72">
        <v>343.8674480814672</v>
      </c>
      <c r="L2721" s="70">
        <v>6.7410565276712936</v>
      </c>
      <c r="M2721" s="71">
        <f>IF(L2721&lt;1,1,L2721)</f>
        <v>6.7410565276712936</v>
      </c>
      <c r="N2721" s="70" t="s">
        <v>141</v>
      </c>
      <c r="O2721" s="71">
        <f>INDEX(DurClassMapping,MATCH(M2721,MappingTables!$D$4:$D$8,-1),1)</f>
        <v>2</v>
      </c>
      <c r="P2721" s="73">
        <f>IF(M2721=$A$1,1,$M2721-INDEX(MappingTables!$E$4:$E$8,MATCH(O2721,MappingTables!$B$4:$B$8,0)))</f>
        <v>1.7410565276712938</v>
      </c>
      <c r="Q2721" s="71">
        <f>IF(B2721="",0,INDEX(ModelParameters!$D$6:$K$10,MATCH($O2721,ModelParameters!$B$6:$B$10,0),MATCH($J2721,ModelParameters!$D$5:$K$5,0)))</f>
        <v>0.025</v>
      </c>
      <c r="R2721" s="71">
        <f>IF(B2721="",0,INDEX(ModelParameters!$D$13:$K$17,MATCH($O2721,ModelParameters!$B$13:$B$17,0),MATCH($J2721,ModelParameters!$D$5:$K$5,0)))</f>
        <v>0.225</v>
      </c>
      <c r="S2721" s="160">
        <f>IF(B2721="",0,MIN(IF($N2721="Other Bond TM",ModelParameters!$N$21,1)*(P2721*Q2721+R2721),1))</f>
        <v>0.26852641319178232</v>
      </c>
      <c r="T2721" s="85">
        <f>IF(B2721="",0,$S2721*$K2721)</f>
        <v>92.337492446727824</v>
      </c>
      <c r="U2721" s="85">
        <f>IF(B2721="",0,IF(OR(H2721=MappingTables!$C$34,H2721=MappingTables!$C$35),T2721,0))</f>
        <v>0</v>
      </c>
      <c r="V2721" s="85">
        <f>IF(ISNA(IF(AND(VLOOKUP(CONCATENATE($D2721,$G2721),CSRFinput!$B:$E,4,0)=0,OR(H2721=MappingTables!$C$34,H2721=MappingTables!$C$35)),1,VLOOKUP(CONCATENATE($D2721,$G2721),CSRFinput!$B:$E,4,0))),0,IF(AND(VLOOKUP(CONCATENATE($D2721,$G2721),CSRFinput!$B:$E,4,0)=0,OR(H2721=MappingTables!$C$34,H2721=MappingTables!$C$35)),1,VLOOKUP(CONCATENATE($D2721,$G2721),CSRFinput!$B:$E,4,0)))</f>
        <v>0.054776304963434752</v>
      </c>
      <c r="W2721" s="85">
        <f>IF(B2721="",0,+$T2721*$V2721)</f>
        <v>5.057906645820816</v>
      </c>
      <c r="X2721" s="85">
        <f>IF(B2721="",0,IF(OR(H2721=MappingTables!$C$34,H2721=MappingTables!$C$35),W2721,0))</f>
        <v>0</v>
      </c>
    </row>
    <row r="2722" spans="2:24" s="0" customFormat="0" ht="15">
      <c r="B2722" s="69">
        <v>7663108</v>
      </c>
      <c r="C2722" s="70" t="s">
        <v>2558</v>
      </c>
      <c r="D2722" s="70" t="s">
        <v>1</v>
      </c>
      <c r="E2722" s="70" t="s">
        <v>1</v>
      </c>
      <c r="F2722" s="70"/>
      <c r="G2722" s="70" t="s">
        <v>61</v>
      </c>
      <c r="H2722" s="70" t="s">
        <v>178</v>
      </c>
      <c r="I2722" s="70" t="s">
        <v>181</v>
      </c>
      <c r="J2722" s="71">
        <f>IF(OR(I2722=0,I2722=""),"unrated",VLOOKUP(I2722,MappingTables!$B$19:$C$31,2,FALSE))</f>
        <v>3</v>
      </c>
      <c r="K2722" s="72">
        <v>704.6411364203332</v>
      </c>
      <c r="L2722" s="70">
        <v>0.79453036569269568</v>
      </c>
      <c r="M2722" s="71">
        <f>IF(L2722&lt;1,1,L2722)</f>
        <v>1</v>
      </c>
      <c r="N2722" s="70" t="s">
        <v>141</v>
      </c>
      <c r="O2722" s="71">
        <f>INDEX(DurClassMapping,MATCH(M2722,MappingTables!$D$4:$D$8,-1),1)</f>
        <v>1</v>
      </c>
      <c r="P2722" s="73">
        <f>IF(M2722=$A$1,1,$M2722-INDEX(MappingTables!$E$4:$E$8,MATCH(O2722,MappingTables!$B$4:$B$8,0)))</f>
        <v>1</v>
      </c>
      <c r="Q2722" s="71">
        <f>IF(B2722="",0,INDEX(ModelParameters!$D$6:$K$10,MATCH($O2722,ModelParameters!$B$6:$B$10,0),MATCH($J2722,ModelParameters!$D$5:$K$5,0)))</f>
        <v>0.025</v>
      </c>
      <c r="R2722" s="71">
        <f>IF(B2722="",0,INDEX(ModelParameters!$D$13:$K$17,MATCH($O2722,ModelParameters!$B$13:$B$17,0),MATCH($J2722,ModelParameters!$D$5:$K$5,0)))</f>
        <v>0</v>
      </c>
      <c r="S2722" s="160">
        <f>IF(B2722="",0,MIN(IF($N2722="Other Bond TM",ModelParameters!$N$21,1)*(P2722*Q2722+R2722),1))</f>
        <v>0.025</v>
      </c>
      <c r="T2722" s="85">
        <f>IF(B2722="",0,$S2722*$K2722)</f>
        <v>17.616028410508332</v>
      </c>
      <c r="U2722" s="85">
        <f>IF(B2722="",0,IF(OR(H2722=MappingTables!$C$34,H2722=MappingTables!$C$35),T2722,0))</f>
        <v>0</v>
      </c>
      <c r="V2722" s="85">
        <f>IF(ISNA(IF(AND(VLOOKUP(CONCATENATE($D2722,$G2722),CSRFinput!$B:$E,4,0)=0,OR(H2722=MappingTables!$C$34,H2722=MappingTables!$C$35)),1,VLOOKUP(CONCATENATE($D2722,$G2722),CSRFinput!$B:$E,4,0))),0,IF(AND(VLOOKUP(CONCATENATE($D2722,$G2722),CSRFinput!$B:$E,4,0)=0,OR(H2722=MappingTables!$C$34,H2722=MappingTables!$C$35)),1,VLOOKUP(CONCATENATE($D2722,$G2722),CSRFinput!$B:$E,4,0)))</f>
        <v>0.054776304963434752</v>
      </c>
      <c r="W2722" s="85">
        <f>IF(B2722="",0,+$T2722*$V2722)</f>
        <v>0.9649409444585352</v>
      </c>
      <c r="X2722" s="85">
        <f>IF(B2722="",0,IF(OR(H2722=MappingTables!$C$34,H2722=MappingTables!$C$35),W2722,0))</f>
        <v>0</v>
      </c>
    </row>
    <row r="2723" spans="2:24" s="0" customFormat="0" ht="15">
      <c r="B2723" s="69">
        <v>4310929</v>
      </c>
      <c r="C2723" s="70" t="s">
        <v>2566</v>
      </c>
      <c r="D2723" s="70" t="s">
        <v>1</v>
      </c>
      <c r="E2723" s="70" t="s">
        <v>1</v>
      </c>
      <c r="F2723" s="70"/>
      <c r="G2723" s="70" t="s">
        <v>61</v>
      </c>
      <c r="H2723" s="70" t="s">
        <v>178</v>
      </c>
      <c r="I2723" s="70" t="s">
        <v>179</v>
      </c>
      <c r="J2723" s="71">
        <f>IF(OR(I2723=0,I2723=""),"unrated",VLOOKUP(I2723,MappingTables!$B$19:$C$31,2,FALSE))</f>
        <v>4</v>
      </c>
      <c r="K2723" s="72">
        <v>2295.9443177300312</v>
      </c>
      <c r="L2723" s="70">
        <v>1.043144011196049</v>
      </c>
      <c r="M2723" s="71">
        <f>IF(L2723&lt;1,1,L2723)</f>
        <v>1.043144011196049</v>
      </c>
      <c r="N2723" s="70" t="s">
        <v>141</v>
      </c>
      <c r="O2723" s="71">
        <f>INDEX(DurClassMapping,MATCH(M2723,MappingTables!$D$4:$D$8,-1),1)</f>
        <v>1</v>
      </c>
      <c r="P2723" s="73">
        <f>IF(M2723=$A$1,1,$M2723-INDEX(MappingTables!$E$4:$E$8,MATCH(O2723,MappingTables!$B$4:$B$8,0)))</f>
        <v>1.043144011196049</v>
      </c>
      <c r="Q2723" s="71">
        <f>IF(B2723="",0,INDEX(ModelParameters!$D$6:$K$10,MATCH($O2723,ModelParameters!$B$6:$B$10,0),MATCH($J2723,ModelParameters!$D$5:$K$5,0)))</f>
        <v>0.045</v>
      </c>
      <c r="R2723" s="71">
        <f>IF(B2723="",0,INDEX(ModelParameters!$D$13:$K$17,MATCH($O2723,ModelParameters!$B$13:$B$17,0),MATCH($J2723,ModelParameters!$D$5:$K$5,0)))</f>
        <v>0</v>
      </c>
      <c r="S2723" s="160">
        <f>IF(B2723="",0,MIN(IF($N2723="Other Bond TM",ModelParameters!$N$21,1)*(P2723*Q2723+R2723),1))</f>
        <v>0.046941480503822208</v>
      </c>
      <c r="T2723" s="85">
        <f>IF(B2723="",0,$S2723*$K2723)</f>
        <v>107.77502542858564</v>
      </c>
      <c r="U2723" s="85">
        <f>IF(B2723="",0,IF(OR(H2723=MappingTables!$C$34,H2723=MappingTables!$C$35),T2723,0))</f>
        <v>0</v>
      </c>
      <c r="V2723" s="85">
        <f>IF(ISNA(IF(AND(VLOOKUP(CONCATENATE($D2723,$G2723),CSRFinput!$B:$E,4,0)=0,OR(H2723=MappingTables!$C$34,H2723=MappingTables!$C$35)),1,VLOOKUP(CONCATENATE($D2723,$G2723),CSRFinput!$B:$E,4,0))),0,IF(AND(VLOOKUP(CONCATENATE($D2723,$G2723),CSRFinput!$B:$E,4,0)=0,OR(H2723=MappingTables!$C$34,H2723=MappingTables!$C$35)),1,VLOOKUP(CONCATENATE($D2723,$G2723),CSRFinput!$B:$E,4,0)))</f>
        <v>0.054776304963434752</v>
      </c>
      <c r="W2723" s="85">
        <f>IF(B2723="",0,+$T2723*$V2723)</f>
        <v>5.9035176603181432</v>
      </c>
      <c r="X2723" s="85">
        <f>IF(B2723="",0,IF(OR(H2723=MappingTables!$C$34,H2723=MappingTables!$C$35),W2723,0))</f>
        <v>0</v>
      </c>
    </row>
    <row r="2724" spans="2:24" s="0" customFormat="0" ht="15">
      <c r="B2724" s="69" t="s">
        <v>1806</v>
      </c>
      <c r="C2724" s="70" t="s">
        <v>1807</v>
      </c>
      <c r="D2724" s="70" t="s">
        <v>1</v>
      </c>
      <c r="E2724" s="70" t="s">
        <v>1</v>
      </c>
      <c r="F2724" s="70"/>
      <c r="G2724" s="70" t="s">
        <v>61</v>
      </c>
      <c r="H2724" s="70" t="s">
        <v>178</v>
      </c>
      <c r="I2724" s="70" t="s">
        <v>216</v>
      </c>
      <c r="J2724" s="71">
        <f>IF(OR(I2724=0,I2724=""),"unrated",VLOOKUP(I2724,MappingTables!$B$19:$C$31,2,FALSE))</f>
        <v>0</v>
      </c>
      <c r="K2724" s="72">
        <v>680.09692720917272</v>
      </c>
      <c r="L2724" s="70">
        <v>0.53238365776518928</v>
      </c>
      <c r="M2724" s="71">
        <f>IF(L2724&lt;1,1,L2724)</f>
        <v>1</v>
      </c>
      <c r="N2724" s="70" t="s">
        <v>141</v>
      </c>
      <c r="O2724" s="71">
        <f>INDEX(DurClassMapping,MATCH(M2724,MappingTables!$D$4:$D$8,-1),1)</f>
        <v>1</v>
      </c>
      <c r="P2724" s="73">
        <f>IF(M2724=$A$1,1,$M2724-INDEX(MappingTables!$E$4:$E$8,MATCH(O2724,MappingTables!$B$4:$B$8,0)))</f>
        <v>1</v>
      </c>
      <c r="Q2724" s="71">
        <f>IF(B2724="",0,INDEX(ModelParameters!$D$6:$K$10,MATCH($O2724,ModelParameters!$B$6:$B$10,0),MATCH($J2724,ModelParameters!$D$5:$K$5,0)))</f>
        <v>0.0090000000000000016</v>
      </c>
      <c r="R2724" s="71">
        <f>IF(B2724="",0,INDEX(ModelParameters!$D$13:$K$17,MATCH($O2724,ModelParameters!$B$13:$B$17,0),MATCH($J2724,ModelParameters!$D$5:$K$5,0)))</f>
        <v>0</v>
      </c>
      <c r="S2724" s="160">
        <f>IF(B2724="",0,MIN(IF($N2724="Other Bond TM",ModelParameters!$N$21,1)*(P2724*Q2724+R2724),1))</f>
        <v>0.0090000000000000016</v>
      </c>
      <c r="T2724" s="85">
        <f>IF(B2724="",0,$S2724*$K2724)</f>
        <v>6.1208723448825552</v>
      </c>
      <c r="U2724" s="85">
        <f>IF(B2724="",0,IF(OR(H2724=MappingTables!$C$34,H2724=MappingTables!$C$35),T2724,0))</f>
        <v>0</v>
      </c>
      <c r="V2724" s="85">
        <f>IF(ISNA(IF(AND(VLOOKUP(CONCATENATE($D2724,$G2724),CSRFinput!$B:$E,4,0)=0,OR(H2724=MappingTables!$C$34,H2724=MappingTables!$C$35)),1,VLOOKUP(CONCATENATE($D2724,$G2724),CSRFinput!$B:$E,4,0))),0,IF(AND(VLOOKUP(CONCATENATE($D2724,$G2724),CSRFinput!$B:$E,4,0)=0,OR(H2724=MappingTables!$C$34,H2724=MappingTables!$C$35)),1,VLOOKUP(CONCATENATE($D2724,$G2724),CSRFinput!$B:$E,4,0)))</f>
        <v>0.054776304963434752</v>
      </c>
      <c r="W2724" s="85">
        <f>IF(B2724="",0,+$T2724*$V2724)</f>
        <v>0.3352787702055408</v>
      </c>
      <c r="X2724" s="85">
        <f>IF(B2724="",0,IF(OR(H2724=MappingTables!$C$34,H2724=MappingTables!$C$35),W2724,0))</f>
        <v>0</v>
      </c>
    </row>
    <row r="2725" spans="2:24" s="0" customFormat="0" ht="15">
      <c r="B2725" s="69">
        <v>18657604</v>
      </c>
      <c r="C2725" s="70" t="s">
        <v>2567</v>
      </c>
      <c r="D2725" s="70" t="s">
        <v>1</v>
      </c>
      <c r="E2725" s="70" t="s">
        <v>1</v>
      </c>
      <c r="F2725" s="70"/>
      <c r="G2725" s="70" t="s">
        <v>61</v>
      </c>
      <c r="H2725" s="70" t="s">
        <v>178</v>
      </c>
      <c r="I2725" s="70" t="s">
        <v>179</v>
      </c>
      <c r="J2725" s="71">
        <f>IF(OR(I2725=0,I2725=""),"unrated",VLOOKUP(I2725,MappingTables!$B$19:$C$31,2,FALSE))</f>
        <v>4</v>
      </c>
      <c r="K2725" s="72">
        <v>671.96927187945968</v>
      </c>
      <c r="L2725" s="70">
        <v>0.72438066089287008</v>
      </c>
      <c r="M2725" s="71">
        <f>IF(L2725&lt;1,1,L2725)</f>
        <v>1</v>
      </c>
      <c r="N2725" s="70" t="s">
        <v>141</v>
      </c>
      <c r="O2725" s="71">
        <f>INDEX(DurClassMapping,MATCH(M2725,MappingTables!$D$4:$D$8,-1),1)</f>
        <v>1</v>
      </c>
      <c r="P2725" s="73">
        <f>IF(M2725=$A$1,1,$M2725-INDEX(MappingTables!$E$4:$E$8,MATCH(O2725,MappingTables!$B$4:$B$8,0)))</f>
        <v>1</v>
      </c>
      <c r="Q2725" s="71">
        <f>IF(B2725="",0,INDEX(ModelParameters!$D$6:$K$10,MATCH($O2725,ModelParameters!$B$6:$B$10,0),MATCH($J2725,ModelParameters!$D$5:$K$5,0)))</f>
        <v>0.045</v>
      </c>
      <c r="R2725" s="71">
        <f>IF(B2725="",0,INDEX(ModelParameters!$D$13:$K$17,MATCH($O2725,ModelParameters!$B$13:$B$17,0),MATCH($J2725,ModelParameters!$D$5:$K$5,0)))</f>
        <v>0</v>
      </c>
      <c r="S2725" s="160">
        <f>IF(B2725="",0,MIN(IF($N2725="Other Bond TM",ModelParameters!$N$21,1)*(P2725*Q2725+R2725),1))</f>
        <v>0.045</v>
      </c>
      <c r="T2725" s="85">
        <f>IF(B2725="",0,$S2725*$K2725)</f>
        <v>30.238617234575684</v>
      </c>
      <c r="U2725" s="85">
        <f>IF(B2725="",0,IF(OR(H2725=MappingTables!$C$34,H2725=MappingTables!$C$35),T2725,0))</f>
        <v>0</v>
      </c>
      <c r="V2725" s="85">
        <f>IF(ISNA(IF(AND(VLOOKUP(CONCATENATE($D2725,$G2725),CSRFinput!$B:$E,4,0)=0,OR(H2725=MappingTables!$C$34,H2725=MappingTables!$C$35)),1,VLOOKUP(CONCATENATE($D2725,$G2725),CSRFinput!$B:$E,4,0))),0,IF(AND(VLOOKUP(CONCATENATE($D2725,$G2725),CSRFinput!$B:$E,4,0)=0,OR(H2725=MappingTables!$C$34,H2725=MappingTables!$C$35)),1,VLOOKUP(CONCATENATE($D2725,$G2725),CSRFinput!$B:$E,4,0)))</f>
        <v>0.054776304963434752</v>
      </c>
      <c r="W2725" s="85">
        <f>IF(B2725="",0,+$T2725*$V2725)</f>
        <v>1.6563597193136918</v>
      </c>
      <c r="X2725" s="85">
        <f>IF(B2725="",0,IF(OR(H2725=MappingTables!$C$34,H2725=MappingTables!$C$35),W2725,0))</f>
        <v>0</v>
      </c>
    </row>
    <row r="2726" spans="2:24" s="0" customFormat="0" ht="15">
      <c r="B2726" s="69">
        <v>24432378</v>
      </c>
      <c r="C2726" s="70" t="s">
        <v>2568</v>
      </c>
      <c r="D2726" s="70" t="s">
        <v>1</v>
      </c>
      <c r="E2726" s="70" t="s">
        <v>1</v>
      </c>
      <c r="F2726" s="70"/>
      <c r="G2726" s="70" t="s">
        <v>61</v>
      </c>
      <c r="H2726" s="70" t="s">
        <v>178</v>
      </c>
      <c r="I2726" s="70" t="s">
        <v>181</v>
      </c>
      <c r="J2726" s="71">
        <f>IF(OR(I2726=0,I2726=""),"unrated",VLOOKUP(I2726,MappingTables!$B$19:$C$31,2,FALSE))</f>
        <v>3</v>
      </c>
      <c r="K2726" s="72">
        <v>2354.7397945665292</v>
      </c>
      <c r="L2726" s="70">
        <v>4.8340296969183648</v>
      </c>
      <c r="M2726" s="71">
        <f>IF(L2726&lt;1,1,L2726)</f>
        <v>4.8340296969183648</v>
      </c>
      <c r="N2726" s="70" t="s">
        <v>141</v>
      </c>
      <c r="O2726" s="71">
        <f>INDEX(DurClassMapping,MATCH(M2726,MappingTables!$D$4:$D$8,-1),1)</f>
        <v>1</v>
      </c>
      <c r="P2726" s="73">
        <f>IF(M2726=$A$1,1,$M2726-INDEX(MappingTables!$E$4:$E$8,MATCH(O2726,MappingTables!$B$4:$B$8,0)))</f>
        <v>4.8340296969183648</v>
      </c>
      <c r="Q2726" s="71">
        <f>IF(B2726="",0,INDEX(ModelParameters!$D$6:$K$10,MATCH($O2726,ModelParameters!$B$6:$B$10,0),MATCH($J2726,ModelParameters!$D$5:$K$5,0)))</f>
        <v>0.025</v>
      </c>
      <c r="R2726" s="71">
        <f>IF(B2726="",0,INDEX(ModelParameters!$D$13:$K$17,MATCH($O2726,ModelParameters!$B$13:$B$17,0),MATCH($J2726,ModelParameters!$D$5:$K$5,0)))</f>
        <v>0</v>
      </c>
      <c r="S2726" s="160">
        <f>IF(B2726="",0,MIN(IF($N2726="Other Bond TM",ModelParameters!$N$21,1)*(P2726*Q2726+R2726),1))</f>
        <v>0.12085074242295912</v>
      </c>
      <c r="T2726" s="85">
        <f>IF(B2726="",0,$S2726*$K2726)</f>
        <v>284.57205238625132</v>
      </c>
      <c r="U2726" s="85">
        <f>IF(B2726="",0,IF(OR(H2726=MappingTables!$C$34,H2726=MappingTables!$C$35),T2726,0))</f>
        <v>0</v>
      </c>
      <c r="V2726" s="85">
        <f>IF(ISNA(IF(AND(VLOOKUP(CONCATENATE($D2726,$G2726),CSRFinput!$B:$E,4,0)=0,OR(H2726=MappingTables!$C$34,H2726=MappingTables!$C$35)),1,VLOOKUP(CONCATENATE($D2726,$G2726),CSRFinput!$B:$E,4,0))),0,IF(AND(VLOOKUP(CONCATENATE($D2726,$G2726),CSRFinput!$B:$E,4,0)=0,OR(H2726=MappingTables!$C$34,H2726=MappingTables!$C$35)),1,VLOOKUP(CONCATENATE($D2726,$G2726),CSRFinput!$B:$E,4,0)))</f>
        <v>0.054776304963434752</v>
      </c>
      <c r="W2726" s="85">
        <f>IF(B2726="",0,+$T2726*$V2726)</f>
        <v>15.587805525579832</v>
      </c>
      <c r="X2726" s="85">
        <f>IF(B2726="",0,IF(OR(H2726=MappingTables!$C$34,H2726=MappingTables!$C$35),W2726,0))</f>
        <v>0</v>
      </c>
    </row>
    <row r="2727" spans="2:24" s="0" customFormat="0" ht="15">
      <c r="B2727" s="69">
        <v>19748440</v>
      </c>
      <c r="C2727" s="70" t="s">
        <v>989</v>
      </c>
      <c r="D2727" s="70" t="s">
        <v>1</v>
      </c>
      <c r="E2727" s="70" t="s">
        <v>1</v>
      </c>
      <c r="F2727" s="70"/>
      <c r="G2727" s="70" t="s">
        <v>61</v>
      </c>
      <c r="H2727" s="70" t="s">
        <v>178</v>
      </c>
      <c r="I2727" s="70" t="s">
        <v>181</v>
      </c>
      <c r="J2727" s="71">
        <f>IF(OR(I2727=0,I2727=""),"unrated",VLOOKUP(I2727,MappingTables!$B$19:$C$31,2,FALSE))</f>
        <v>3</v>
      </c>
      <c r="K2727" s="72">
        <v>4657.1477502137848</v>
      </c>
      <c r="L2727" s="70">
        <v>7.151005666933832</v>
      </c>
      <c r="M2727" s="71">
        <f>IF(L2727&lt;1,1,L2727)</f>
        <v>7.151005666933832</v>
      </c>
      <c r="N2727" s="70" t="s">
        <v>141</v>
      </c>
      <c r="O2727" s="71">
        <f>INDEX(DurClassMapping,MATCH(M2727,MappingTables!$D$4:$D$8,-1),1)</f>
        <v>2</v>
      </c>
      <c r="P2727" s="73">
        <f>IF(M2727=$A$1,1,$M2727-INDEX(MappingTables!$E$4:$E$8,MATCH(O2727,MappingTables!$B$4:$B$8,0)))</f>
        <v>2.1510056669338324</v>
      </c>
      <c r="Q2727" s="71">
        <f>IF(B2727="",0,INDEX(ModelParameters!$D$6:$K$10,MATCH($O2727,ModelParameters!$B$6:$B$10,0),MATCH($J2727,ModelParameters!$D$5:$K$5,0)))</f>
        <v>0.015</v>
      </c>
      <c r="R2727" s="71">
        <f>IF(B2727="",0,INDEX(ModelParameters!$D$13:$K$17,MATCH($O2727,ModelParameters!$B$13:$B$17,0),MATCH($J2727,ModelParameters!$D$5:$K$5,0)))</f>
        <v>0.125</v>
      </c>
      <c r="S2727" s="160">
        <f>IF(B2727="",0,MIN(IF($N2727="Other Bond TM",ModelParameters!$N$21,1)*(P2727*Q2727+R2727),1))</f>
        <v>0.15726508500400748</v>
      </c>
      <c r="T2727" s="85">
        <f>IF(B2727="",0,$S2727*$K2727)</f>
        <v>732.40673681359312</v>
      </c>
      <c r="U2727" s="85">
        <f>IF(B2727="",0,IF(OR(H2727=MappingTables!$C$34,H2727=MappingTables!$C$35),T2727,0))</f>
        <v>0</v>
      </c>
      <c r="V2727" s="85">
        <f>IF(ISNA(IF(AND(VLOOKUP(CONCATENATE($D2727,$G2727),CSRFinput!$B:$E,4,0)=0,OR(H2727=MappingTables!$C$34,H2727=MappingTables!$C$35)),1,VLOOKUP(CONCATENATE($D2727,$G2727),CSRFinput!$B:$E,4,0))),0,IF(AND(VLOOKUP(CONCATENATE($D2727,$G2727),CSRFinput!$B:$E,4,0)=0,OR(H2727=MappingTables!$C$34,H2727=MappingTables!$C$35)),1,VLOOKUP(CONCATENATE($D2727,$G2727),CSRFinput!$B:$E,4,0)))</f>
        <v>0.054776304963434752</v>
      </c>
      <c r="W2727" s="85">
        <f>IF(B2727="",0,+$T2727*$V2727)</f>
        <v>40.118534772975472</v>
      </c>
      <c r="X2727" s="85">
        <f>IF(B2727="",0,IF(OR(H2727=MappingTables!$C$34,H2727=MappingTables!$C$35),W2727,0))</f>
        <v>0</v>
      </c>
    </row>
    <row r="2728" spans="2:24" s="0" customFormat="0" ht="15">
      <c r="B2728" s="69">
        <v>21089955</v>
      </c>
      <c r="C2728" s="70" t="s">
        <v>580</v>
      </c>
      <c r="D2728" s="70" t="s">
        <v>1</v>
      </c>
      <c r="E2728" s="70" t="s">
        <v>1</v>
      </c>
      <c r="F2728" s="70"/>
      <c r="G2728" s="70" t="s">
        <v>61</v>
      </c>
      <c r="H2728" s="70" t="s">
        <v>178</v>
      </c>
      <c r="I2728" s="70" t="s">
        <v>184</v>
      </c>
      <c r="J2728" s="71">
        <f>IF(OR(I2728=0,I2728=""),"unrated",VLOOKUP(I2728,MappingTables!$B$19:$C$31,2,FALSE))</f>
        <v>5</v>
      </c>
      <c r="K2728" s="72">
        <v>5024.5190009353488</v>
      </c>
      <c r="L2728" s="70">
        <v>6.8502346861639112</v>
      </c>
      <c r="M2728" s="71">
        <f>IF(L2728&lt;1,1,L2728)</f>
        <v>6.8502346861639112</v>
      </c>
      <c r="N2728" s="70" t="s">
        <v>141</v>
      </c>
      <c r="O2728" s="71">
        <f>INDEX(DurClassMapping,MATCH(M2728,MappingTables!$D$4:$D$8,-1),1)</f>
        <v>2</v>
      </c>
      <c r="P2728" s="73">
        <f>IF(M2728=$A$1,1,$M2728-INDEX(MappingTables!$E$4:$E$8,MATCH(O2728,MappingTables!$B$4:$B$8,0)))</f>
        <v>1.8502346861639108</v>
      </c>
      <c r="Q2728" s="71">
        <f>IF(B2728="",0,INDEX(ModelParameters!$D$6:$K$10,MATCH($O2728,ModelParameters!$B$6:$B$10,0),MATCH($J2728,ModelParameters!$D$5:$K$5,0)))</f>
        <v>0.042</v>
      </c>
      <c r="R2728" s="71">
        <f>IF(B2728="",0,INDEX(ModelParameters!$D$13:$K$17,MATCH($O2728,ModelParameters!$B$13:$B$17,0),MATCH($J2728,ModelParameters!$D$5:$K$5,0)))</f>
        <v>0.375</v>
      </c>
      <c r="S2728" s="160">
        <f>IF(B2728="",0,MIN(IF($N2728="Other Bond TM",ModelParameters!$N$21,1)*(P2728*Q2728+R2728),1))</f>
        <v>0.45270985681888424</v>
      </c>
      <c r="T2728" s="85">
        <f>IF(B2728="",0,$S2728*$K2728)</f>
        <v>2274.6492774972052</v>
      </c>
      <c r="U2728" s="85">
        <f>IF(B2728="",0,IF(OR(H2728=MappingTables!$C$34,H2728=MappingTables!$C$35),T2728,0))</f>
        <v>0</v>
      </c>
      <c r="V2728" s="85">
        <f>IF(ISNA(IF(AND(VLOOKUP(CONCATENATE($D2728,$G2728),CSRFinput!$B:$E,4,0)=0,OR(H2728=MappingTables!$C$34,H2728=MappingTables!$C$35)),1,VLOOKUP(CONCATENATE($D2728,$G2728),CSRFinput!$B:$E,4,0))),0,IF(AND(VLOOKUP(CONCATENATE($D2728,$G2728),CSRFinput!$B:$E,4,0)=0,OR(H2728=MappingTables!$C$34,H2728=MappingTables!$C$35)),1,VLOOKUP(CONCATENATE($D2728,$G2728),CSRFinput!$B:$E,4,0)))</f>
        <v>0.054776304963434752</v>
      </c>
      <c r="W2728" s="85">
        <f>IF(B2728="",0,+$T2728*$V2728)</f>
        <v>124.59688250904344</v>
      </c>
      <c r="X2728" s="85">
        <f>IF(B2728="",0,IF(OR(H2728=MappingTables!$C$34,H2728=MappingTables!$C$35),W2728,0))</f>
        <v>0</v>
      </c>
    </row>
    <row r="2729" spans="2:24" s="0" customFormat="0" ht="15">
      <c r="B2729" s="69">
        <v>16064048</v>
      </c>
      <c r="C2729" s="70" t="s">
        <v>2134</v>
      </c>
      <c r="D2729" s="70" t="s">
        <v>1</v>
      </c>
      <c r="E2729" s="70" t="s">
        <v>1</v>
      </c>
      <c r="F2729" s="70"/>
      <c r="G2729" s="70" t="s">
        <v>61</v>
      </c>
      <c r="H2729" s="70" t="s">
        <v>178</v>
      </c>
      <c r="I2729" s="70" t="s">
        <v>179</v>
      </c>
      <c r="J2729" s="71">
        <f>IF(OR(I2729=0,I2729=""),"unrated",VLOOKUP(I2729,MappingTables!$B$19:$C$31,2,FALSE))</f>
        <v>4</v>
      </c>
      <c r="K2729" s="72">
        <v>15225.461483174676</v>
      </c>
      <c r="L2729" s="70">
        <v>0.27123322224343056</v>
      </c>
      <c r="M2729" s="71">
        <f>IF(L2729&lt;1,1,L2729)</f>
        <v>1</v>
      </c>
      <c r="N2729" s="70" t="s">
        <v>141</v>
      </c>
      <c r="O2729" s="71">
        <f>INDEX(DurClassMapping,MATCH(M2729,MappingTables!$D$4:$D$8,-1),1)</f>
        <v>1</v>
      </c>
      <c r="P2729" s="73">
        <f>IF(M2729=$A$1,1,$M2729-INDEX(MappingTables!$E$4:$E$8,MATCH(O2729,MappingTables!$B$4:$B$8,0)))</f>
        <v>1</v>
      </c>
      <c r="Q2729" s="71">
        <f>IF(B2729="",0,INDEX(ModelParameters!$D$6:$K$10,MATCH($O2729,ModelParameters!$B$6:$B$10,0),MATCH($J2729,ModelParameters!$D$5:$K$5,0)))</f>
        <v>0.045</v>
      </c>
      <c r="R2729" s="71">
        <f>IF(B2729="",0,INDEX(ModelParameters!$D$13:$K$17,MATCH($O2729,ModelParameters!$B$13:$B$17,0),MATCH($J2729,ModelParameters!$D$5:$K$5,0)))</f>
        <v>0</v>
      </c>
      <c r="S2729" s="160">
        <f>IF(B2729="",0,MIN(IF($N2729="Other Bond TM",ModelParameters!$N$21,1)*(P2729*Q2729+R2729),1))</f>
        <v>0.045</v>
      </c>
      <c r="T2729" s="85">
        <f>IF(B2729="",0,$S2729*$K2729)</f>
        <v>685.14576674286048</v>
      </c>
      <c r="U2729" s="85">
        <f>IF(B2729="",0,IF(OR(H2729=MappingTables!$C$34,H2729=MappingTables!$C$35),T2729,0))</f>
        <v>0</v>
      </c>
      <c r="V2729" s="85">
        <f>IF(ISNA(IF(AND(VLOOKUP(CONCATENATE($D2729,$G2729),CSRFinput!$B:$E,4,0)=0,OR(H2729=MappingTables!$C$34,H2729=MappingTables!$C$35)),1,VLOOKUP(CONCATENATE($D2729,$G2729),CSRFinput!$B:$E,4,0))),0,IF(AND(VLOOKUP(CONCATENATE($D2729,$G2729),CSRFinput!$B:$E,4,0)=0,OR(H2729=MappingTables!$C$34,H2729=MappingTables!$C$35)),1,VLOOKUP(CONCATENATE($D2729,$G2729),CSRFinput!$B:$E,4,0)))</f>
        <v>0.054776304963434752</v>
      </c>
      <c r="W2729" s="85">
        <f>IF(B2729="",0,+$T2729*$V2729)</f>
        <v>37.529753463513256</v>
      </c>
      <c r="X2729" s="85">
        <f>IF(B2729="",0,IF(OR(H2729=MappingTables!$C$34,H2729=MappingTables!$C$35),W2729,0))</f>
        <v>0</v>
      </c>
    </row>
    <row r="2730" spans="2:24" s="0" customFormat="0" ht="15">
      <c r="B2730" s="69" t="s">
        <v>2473</v>
      </c>
      <c r="C2730" s="70" t="s">
        <v>2474</v>
      </c>
      <c r="D2730" s="70" t="s">
        <v>1</v>
      </c>
      <c r="E2730" s="70" t="s">
        <v>1</v>
      </c>
      <c r="F2730" s="70"/>
      <c r="G2730" s="70" t="s">
        <v>61</v>
      </c>
      <c r="H2730" s="70" t="s">
        <v>178</v>
      </c>
      <c r="I2730" s="70" t="s">
        <v>181</v>
      </c>
      <c r="J2730" s="71">
        <f>IF(OR(I2730=0,I2730=""),"unrated",VLOOKUP(I2730,MappingTables!$B$19:$C$31,2,FALSE))</f>
        <v>3</v>
      </c>
      <c r="K2730" s="72">
        <v>975.29618261977904</v>
      </c>
      <c r="L2730" s="70">
        <v>0.53630581312713088</v>
      </c>
      <c r="M2730" s="71">
        <f>IF(L2730&lt;1,1,L2730)</f>
        <v>1</v>
      </c>
      <c r="N2730" s="70" t="s">
        <v>141</v>
      </c>
      <c r="O2730" s="71">
        <f>INDEX(DurClassMapping,MATCH(M2730,MappingTables!$D$4:$D$8,-1),1)</f>
        <v>1</v>
      </c>
      <c r="P2730" s="73">
        <f>IF(M2730=$A$1,1,$M2730-INDEX(MappingTables!$E$4:$E$8,MATCH(O2730,MappingTables!$B$4:$B$8,0)))</f>
        <v>1</v>
      </c>
      <c r="Q2730" s="71">
        <f>IF(B2730="",0,INDEX(ModelParameters!$D$6:$K$10,MATCH($O2730,ModelParameters!$B$6:$B$10,0),MATCH($J2730,ModelParameters!$D$5:$K$5,0)))</f>
        <v>0.025</v>
      </c>
      <c r="R2730" s="71">
        <f>IF(B2730="",0,INDEX(ModelParameters!$D$13:$K$17,MATCH($O2730,ModelParameters!$B$13:$B$17,0),MATCH($J2730,ModelParameters!$D$5:$K$5,0)))</f>
        <v>0</v>
      </c>
      <c r="S2730" s="160">
        <f>IF(B2730="",0,MIN(IF($N2730="Other Bond TM",ModelParameters!$N$21,1)*(P2730*Q2730+R2730),1))</f>
        <v>0.025</v>
      </c>
      <c r="T2730" s="85">
        <f>IF(B2730="",0,$S2730*$K2730)</f>
        <v>24.382404565494476</v>
      </c>
      <c r="U2730" s="85">
        <f>IF(B2730="",0,IF(OR(H2730=MappingTables!$C$34,H2730=MappingTables!$C$35),T2730,0))</f>
        <v>0</v>
      </c>
      <c r="V2730" s="85">
        <f>IF(ISNA(IF(AND(VLOOKUP(CONCATENATE($D2730,$G2730),CSRFinput!$B:$E,4,0)=0,OR(H2730=MappingTables!$C$34,H2730=MappingTables!$C$35)),1,VLOOKUP(CONCATENATE($D2730,$G2730),CSRFinput!$B:$E,4,0))),0,IF(AND(VLOOKUP(CONCATENATE($D2730,$G2730),CSRFinput!$B:$E,4,0)=0,OR(H2730=MappingTables!$C$34,H2730=MappingTables!$C$35)),1,VLOOKUP(CONCATENATE($D2730,$G2730),CSRFinput!$B:$E,4,0)))</f>
        <v>0.054776304963434752</v>
      </c>
      <c r="W2730" s="85">
        <f>IF(B2730="",0,+$T2730*$V2730)</f>
        <v>1.3355780282213692</v>
      </c>
      <c r="X2730" s="85">
        <f>IF(B2730="",0,IF(OR(H2730=MappingTables!$C$34,H2730=MappingTables!$C$35),W2730,0))</f>
        <v>0</v>
      </c>
    </row>
    <row r="2731" spans="2:24" s="0" customFormat="0" ht="15">
      <c r="B2731" s="69">
        <v>11984772</v>
      </c>
      <c r="C2731" s="70" t="s">
        <v>1197</v>
      </c>
      <c r="D2731" s="70" t="s">
        <v>1</v>
      </c>
      <c r="E2731" s="70" t="s">
        <v>1</v>
      </c>
      <c r="F2731" s="70"/>
      <c r="G2731" s="70" t="s">
        <v>61</v>
      </c>
      <c r="H2731" s="70" t="s">
        <v>178</v>
      </c>
      <c r="I2731" s="70" t="s">
        <v>179</v>
      </c>
      <c r="J2731" s="71">
        <f>IF(OR(I2731=0,I2731=""),"unrated",VLOOKUP(I2731,MappingTables!$B$19:$C$31,2,FALSE))</f>
        <v>4</v>
      </c>
      <c r="K2731" s="72">
        <v>17179.169176514944</v>
      </c>
      <c r="L2731" s="70">
        <v>2.2890742592514104</v>
      </c>
      <c r="M2731" s="71">
        <f>IF(L2731&lt;1,1,L2731)</f>
        <v>2.2890742592514104</v>
      </c>
      <c r="N2731" s="70" t="s">
        <v>141</v>
      </c>
      <c r="O2731" s="71">
        <f>INDEX(DurClassMapping,MATCH(M2731,MappingTables!$D$4:$D$8,-1),1)</f>
        <v>1</v>
      </c>
      <c r="P2731" s="73">
        <f>IF(M2731=$A$1,1,$M2731-INDEX(MappingTables!$E$4:$E$8,MATCH(O2731,MappingTables!$B$4:$B$8,0)))</f>
        <v>2.2890742592514104</v>
      </c>
      <c r="Q2731" s="71">
        <f>IF(B2731="",0,INDEX(ModelParameters!$D$6:$K$10,MATCH($O2731,ModelParameters!$B$6:$B$10,0),MATCH($J2731,ModelParameters!$D$5:$K$5,0)))</f>
        <v>0.045</v>
      </c>
      <c r="R2731" s="71">
        <f>IF(B2731="",0,INDEX(ModelParameters!$D$13:$K$17,MATCH($O2731,ModelParameters!$B$13:$B$17,0),MATCH($J2731,ModelParameters!$D$5:$K$5,0)))</f>
        <v>0</v>
      </c>
      <c r="S2731" s="160">
        <f>IF(B2731="",0,MIN(IF($N2731="Other Bond TM",ModelParameters!$N$21,1)*(P2731*Q2731+R2731),1))</f>
        <v>0.10300834166631346</v>
      </c>
      <c r="T2731" s="85">
        <f>IF(B2731="",0,$S2731*$K2731)</f>
        <v>1769.5977280778522</v>
      </c>
      <c r="U2731" s="85">
        <f>IF(B2731="",0,IF(OR(H2731=MappingTables!$C$34,H2731=MappingTables!$C$35),T2731,0))</f>
        <v>0</v>
      </c>
      <c r="V2731" s="85">
        <f>IF(ISNA(IF(AND(VLOOKUP(CONCATENATE($D2731,$G2731),CSRFinput!$B:$E,4,0)=0,OR(H2731=MappingTables!$C$34,H2731=MappingTables!$C$35)),1,VLOOKUP(CONCATENATE($D2731,$G2731),CSRFinput!$B:$E,4,0))),0,IF(AND(VLOOKUP(CONCATENATE($D2731,$G2731),CSRFinput!$B:$E,4,0)=0,OR(H2731=MappingTables!$C$34,H2731=MappingTables!$C$35)),1,VLOOKUP(CONCATENATE($D2731,$G2731),CSRFinput!$B:$E,4,0)))</f>
        <v>0.054776304963434752</v>
      </c>
      <c r="W2731" s="85">
        <f>IF(B2731="",0,+$T2731*$V2731)</f>
        <v>96.932024815793728</v>
      </c>
      <c r="X2731" s="85">
        <f>IF(B2731="",0,IF(OR(H2731=MappingTables!$C$34,H2731=MappingTables!$C$35),W2731,0))</f>
        <v>0</v>
      </c>
    </row>
    <row r="2732" spans="2:24" s="0" customFormat="0" ht="15">
      <c r="B2732" s="69" t="s">
        <v>2544</v>
      </c>
      <c r="C2732" s="70" t="s">
        <v>2545</v>
      </c>
      <c r="D2732" s="70" t="s">
        <v>1</v>
      </c>
      <c r="E2732" s="70" t="s">
        <v>1</v>
      </c>
      <c r="F2732" s="70"/>
      <c r="G2732" s="70" t="s">
        <v>61</v>
      </c>
      <c r="H2732" s="70" t="s">
        <v>178</v>
      </c>
      <c r="I2732" s="70" t="s">
        <v>198</v>
      </c>
      <c r="J2732" s="71" t="str">
        <f>IF(OR(I2732=0,I2732=""),"unrated",VLOOKUP(I2732,MappingTables!$B$19:$C$31,2,FALSE))</f>
        <v>unrated</v>
      </c>
      <c r="K2732" s="72">
        <v>477.45919831142376</v>
      </c>
      <c r="L2732" s="70">
        <v>14.875340021577388</v>
      </c>
      <c r="M2732" s="71">
        <f>IF(L2732&lt;1,1,L2732)</f>
        <v>14.875340021577388</v>
      </c>
      <c r="N2732" s="70" t="s">
        <v>141</v>
      </c>
      <c r="O2732" s="71">
        <f>INDEX(DurClassMapping,MATCH(M2732,MappingTables!$D$4:$D$8,-1),1)</f>
        <v>3</v>
      </c>
      <c r="P2732" s="73">
        <f>IF(M2732=$A$1,1,$M2732-INDEX(MappingTables!$E$4:$E$8,MATCH(O2732,MappingTables!$B$4:$B$8,0)))</f>
        <v>4.875340021577388</v>
      </c>
      <c r="Q2732" s="71">
        <f>IF(B2732="",0,INDEX(ModelParameters!$D$6:$K$10,MATCH($O2732,ModelParameters!$B$6:$B$10,0),MATCH($J2732,ModelParameters!$D$5:$K$5,0)))</f>
        <v>0.012</v>
      </c>
      <c r="R2732" s="71">
        <f>IF(B2732="",0,INDEX(ModelParameters!$D$13:$K$17,MATCH($O2732,ModelParameters!$B$13:$B$17,0),MATCH($J2732,ModelParameters!$D$5:$K$5,0)))</f>
        <v>0.235</v>
      </c>
      <c r="S2732" s="160">
        <f>IF(B2732="",0,MIN(IF($N2732="Other Bond TM",ModelParameters!$N$21,1)*(P2732*Q2732+R2732),1))</f>
        <v>0.29350408025892864</v>
      </c>
      <c r="T2732" s="85">
        <f>IF(B2732="",0,$S2732*$K2732)</f>
        <v>140.13622286155984</v>
      </c>
      <c r="U2732" s="85">
        <f>IF(B2732="",0,IF(OR(H2732=MappingTables!$C$34,H2732=MappingTables!$C$35),T2732,0))</f>
        <v>0</v>
      </c>
      <c r="V2732" s="85">
        <f>IF(ISNA(IF(AND(VLOOKUP(CONCATENATE($D2732,$G2732),CSRFinput!$B:$E,4,0)=0,OR(H2732=MappingTables!$C$34,H2732=MappingTables!$C$35)),1,VLOOKUP(CONCATENATE($D2732,$G2732),CSRFinput!$B:$E,4,0))),0,IF(AND(VLOOKUP(CONCATENATE($D2732,$G2732),CSRFinput!$B:$E,4,0)=0,OR(H2732=MappingTables!$C$34,H2732=MappingTables!$C$35)),1,VLOOKUP(CONCATENATE($D2732,$G2732),CSRFinput!$B:$E,4,0)))</f>
        <v>0.054776304963434752</v>
      </c>
      <c r="W2732" s="85">
        <f>IF(B2732="",0,+$T2732*$V2732)</f>
        <v>7.6761444798886592</v>
      </c>
      <c r="X2732" s="85">
        <f>IF(B2732="",0,IF(OR(H2732=MappingTables!$C$34,H2732=MappingTables!$C$35),W2732,0))</f>
        <v>0</v>
      </c>
    </row>
    <row r="2733" spans="2:24" s="0" customFormat="0" ht="15">
      <c r="B2733" s="69">
        <v>14620691</v>
      </c>
      <c r="C2733" s="70" t="s">
        <v>2569</v>
      </c>
      <c r="D2733" s="70" t="s">
        <v>1</v>
      </c>
      <c r="E2733" s="70" t="s">
        <v>1</v>
      </c>
      <c r="F2733" s="70"/>
      <c r="G2733" s="70" t="s">
        <v>61</v>
      </c>
      <c r="H2733" s="70" t="s">
        <v>178</v>
      </c>
      <c r="I2733" s="70" t="s">
        <v>179</v>
      </c>
      <c r="J2733" s="71">
        <f>IF(OR(I2733=0,I2733=""),"unrated",VLOOKUP(I2733,MappingTables!$B$19:$C$31,2,FALSE))</f>
        <v>4</v>
      </c>
      <c r="K2733" s="72">
        <v>26380.6887190215</v>
      </c>
      <c r="L2733" s="70">
        <v>2.3356671657852736</v>
      </c>
      <c r="M2733" s="71">
        <f>IF(L2733&lt;1,1,L2733)</f>
        <v>2.3356671657852736</v>
      </c>
      <c r="N2733" s="70" t="s">
        <v>141</v>
      </c>
      <c r="O2733" s="71">
        <f>INDEX(DurClassMapping,MATCH(M2733,MappingTables!$D$4:$D$8,-1),1)</f>
        <v>1</v>
      </c>
      <c r="P2733" s="73">
        <f>IF(M2733=$A$1,1,$M2733-INDEX(MappingTables!$E$4:$E$8,MATCH(O2733,MappingTables!$B$4:$B$8,0)))</f>
        <v>2.3356671657852736</v>
      </c>
      <c r="Q2733" s="71">
        <f>IF(B2733="",0,INDEX(ModelParameters!$D$6:$K$10,MATCH($O2733,ModelParameters!$B$6:$B$10,0),MATCH($J2733,ModelParameters!$D$5:$K$5,0)))</f>
        <v>0.045</v>
      </c>
      <c r="R2733" s="71">
        <f>IF(B2733="",0,INDEX(ModelParameters!$D$13:$K$17,MATCH($O2733,ModelParameters!$B$13:$B$17,0),MATCH($J2733,ModelParameters!$D$5:$K$5,0)))</f>
        <v>0</v>
      </c>
      <c r="S2733" s="160">
        <f>IF(B2733="",0,MIN(IF($N2733="Other Bond TM",ModelParameters!$N$21,1)*(P2733*Q2733+R2733),1))</f>
        <v>0.1051050224603373</v>
      </c>
      <c r="T2733" s="85">
        <f>IF(B2733="",0,$S2733*$K2733)</f>
        <v>2772.7428803319216</v>
      </c>
      <c r="U2733" s="85">
        <f>IF(B2733="",0,IF(OR(H2733=MappingTables!$C$34,H2733=MappingTables!$C$35),T2733,0))</f>
        <v>0</v>
      </c>
      <c r="V2733" s="85">
        <f>IF(ISNA(IF(AND(VLOOKUP(CONCATENATE($D2733,$G2733),CSRFinput!$B:$E,4,0)=0,OR(H2733=MappingTables!$C$34,H2733=MappingTables!$C$35)),1,VLOOKUP(CONCATENATE($D2733,$G2733),CSRFinput!$B:$E,4,0))),0,IF(AND(VLOOKUP(CONCATENATE($D2733,$G2733),CSRFinput!$B:$E,4,0)=0,OR(H2733=MappingTables!$C$34,H2733=MappingTables!$C$35)),1,VLOOKUP(CONCATENATE($D2733,$G2733),CSRFinput!$B:$E,4,0)))</f>
        <v>0.054776304963434752</v>
      </c>
      <c r="W2733" s="85">
        <f>IF(B2733="",0,+$T2733*$V2733)</f>
        <v>151.88060959825382</v>
      </c>
      <c r="X2733" s="85">
        <f>IF(B2733="",0,IF(OR(H2733=MappingTables!$C$34,H2733=MappingTables!$C$35),W2733,0))</f>
        <v>0</v>
      </c>
    </row>
    <row r="2734" spans="2:24" s="0" customFormat="0" ht="15">
      <c r="B2734" s="69">
        <v>11388706</v>
      </c>
      <c r="C2734" s="70" t="s">
        <v>2570</v>
      </c>
      <c r="D2734" s="70" t="s">
        <v>1</v>
      </c>
      <c r="E2734" s="70" t="s">
        <v>1</v>
      </c>
      <c r="F2734" s="70"/>
      <c r="G2734" s="70" t="s">
        <v>61</v>
      </c>
      <c r="H2734" s="70" t="s">
        <v>178</v>
      </c>
      <c r="I2734" s="70" t="s">
        <v>181</v>
      </c>
      <c r="J2734" s="71">
        <f>IF(OR(I2734=0,I2734=""),"unrated",VLOOKUP(I2734,MappingTables!$B$19:$C$31,2,FALSE))</f>
        <v>3</v>
      </c>
      <c r="K2734" s="72">
        <v>457.58749120565256</v>
      </c>
      <c r="L2734" s="70">
        <v>0.041094175040620096</v>
      </c>
      <c r="M2734" s="71">
        <f>IF(L2734&lt;1,1,L2734)</f>
        <v>1</v>
      </c>
      <c r="N2734" s="70" t="s">
        <v>141</v>
      </c>
      <c r="O2734" s="71">
        <f>INDEX(DurClassMapping,MATCH(M2734,MappingTables!$D$4:$D$8,-1),1)</f>
        <v>1</v>
      </c>
      <c r="P2734" s="73">
        <f>IF(M2734=$A$1,1,$M2734-INDEX(MappingTables!$E$4:$E$8,MATCH(O2734,MappingTables!$B$4:$B$8,0)))</f>
        <v>1</v>
      </c>
      <c r="Q2734" s="71">
        <f>IF(B2734="",0,INDEX(ModelParameters!$D$6:$K$10,MATCH($O2734,ModelParameters!$B$6:$B$10,0),MATCH($J2734,ModelParameters!$D$5:$K$5,0)))</f>
        <v>0.025</v>
      </c>
      <c r="R2734" s="71">
        <f>IF(B2734="",0,INDEX(ModelParameters!$D$13:$K$17,MATCH($O2734,ModelParameters!$B$13:$B$17,0),MATCH($J2734,ModelParameters!$D$5:$K$5,0)))</f>
        <v>0</v>
      </c>
      <c r="S2734" s="160">
        <f>IF(B2734="",0,MIN(IF($N2734="Other Bond TM",ModelParameters!$N$21,1)*(P2734*Q2734+R2734),1))</f>
        <v>0.025</v>
      </c>
      <c r="T2734" s="85">
        <f>IF(B2734="",0,$S2734*$K2734)</f>
        <v>11.439687280141314</v>
      </c>
      <c r="U2734" s="85">
        <f>IF(B2734="",0,IF(OR(H2734=MappingTables!$C$34,H2734=MappingTables!$C$35),T2734,0))</f>
        <v>0</v>
      </c>
      <c r="V2734" s="85">
        <f>IF(ISNA(IF(AND(VLOOKUP(CONCATENATE($D2734,$G2734),CSRFinput!$B:$E,4,0)=0,OR(H2734=MappingTables!$C$34,H2734=MappingTables!$C$35)),1,VLOOKUP(CONCATENATE($D2734,$G2734),CSRFinput!$B:$E,4,0))),0,IF(AND(VLOOKUP(CONCATENATE($D2734,$G2734),CSRFinput!$B:$E,4,0)=0,OR(H2734=MappingTables!$C$34,H2734=MappingTables!$C$35)),1,VLOOKUP(CONCATENATE($D2734,$G2734),CSRFinput!$B:$E,4,0)))</f>
        <v>0.054776304963434752</v>
      </c>
      <c r="W2734" s="85">
        <f>IF(B2734="",0,+$T2734*$V2734)</f>
        <v>0.62662379914334608</v>
      </c>
      <c r="X2734" s="85">
        <f>IF(B2734="",0,IF(OR(H2734=MappingTables!$C$34,H2734=MappingTables!$C$35),W2734,0))</f>
        <v>0</v>
      </c>
    </row>
    <row r="2735" spans="2:24" s="0" customFormat="0" ht="15">
      <c r="B2735" s="69">
        <v>24423127</v>
      </c>
      <c r="C2735" s="70" t="s">
        <v>2571</v>
      </c>
      <c r="D2735" s="70" t="s">
        <v>1</v>
      </c>
      <c r="E2735" s="70" t="s">
        <v>1</v>
      </c>
      <c r="F2735" s="70"/>
      <c r="G2735" s="70" t="s">
        <v>61</v>
      </c>
      <c r="H2735" s="70" t="s">
        <v>178</v>
      </c>
      <c r="I2735" s="70" t="s">
        <v>181</v>
      </c>
      <c r="J2735" s="71">
        <f>IF(OR(I2735=0,I2735=""),"unrated",VLOOKUP(I2735,MappingTables!$B$19:$C$31,2,FALSE))</f>
        <v>3</v>
      </c>
      <c r="K2735" s="72">
        <v>14639.499335305626</v>
      </c>
      <c r="L2735" s="70">
        <v>6.503580724245124</v>
      </c>
      <c r="M2735" s="71">
        <f>IF(L2735&lt;1,1,L2735)</f>
        <v>6.503580724245124</v>
      </c>
      <c r="N2735" s="70" t="s">
        <v>141</v>
      </c>
      <c r="O2735" s="71">
        <f>INDEX(DurClassMapping,MATCH(M2735,MappingTables!$D$4:$D$8,-1),1)</f>
        <v>2</v>
      </c>
      <c r="P2735" s="73">
        <f>IF(M2735=$A$1,1,$M2735-INDEX(MappingTables!$E$4:$E$8,MATCH(O2735,MappingTables!$B$4:$B$8,0)))</f>
        <v>1.5035807242451238</v>
      </c>
      <c r="Q2735" s="71">
        <f>IF(B2735="",0,INDEX(ModelParameters!$D$6:$K$10,MATCH($O2735,ModelParameters!$B$6:$B$10,0),MATCH($J2735,ModelParameters!$D$5:$K$5,0)))</f>
        <v>0.015</v>
      </c>
      <c r="R2735" s="71">
        <f>IF(B2735="",0,INDEX(ModelParameters!$D$13:$K$17,MATCH($O2735,ModelParameters!$B$13:$B$17,0),MATCH($J2735,ModelParameters!$D$5:$K$5,0)))</f>
        <v>0.125</v>
      </c>
      <c r="S2735" s="160">
        <f>IF(B2735="",0,MIN(IF($N2735="Other Bond TM",ModelParameters!$N$21,1)*(P2735*Q2735+R2735),1))</f>
        <v>0.14755371086367686</v>
      </c>
      <c r="T2735" s="85">
        <f>IF(B2735="",0,$S2735*$K2735)</f>
        <v>2160.112452110676</v>
      </c>
      <c r="U2735" s="85">
        <f>IF(B2735="",0,IF(OR(H2735=MappingTables!$C$34,H2735=MappingTables!$C$35),T2735,0))</f>
        <v>0</v>
      </c>
      <c r="V2735" s="85">
        <f>IF(ISNA(IF(AND(VLOOKUP(CONCATENATE($D2735,$G2735),CSRFinput!$B:$E,4,0)=0,OR(H2735=MappingTables!$C$34,H2735=MappingTables!$C$35)),1,VLOOKUP(CONCATENATE($D2735,$G2735),CSRFinput!$B:$E,4,0))),0,IF(AND(VLOOKUP(CONCATENATE($D2735,$G2735),CSRFinput!$B:$E,4,0)=0,OR(H2735=MappingTables!$C$34,H2735=MappingTables!$C$35)),1,VLOOKUP(CONCATENATE($D2735,$G2735),CSRFinput!$B:$E,4,0)))</f>
        <v>0.054776304963434752</v>
      </c>
      <c r="W2735" s="85">
        <f>IF(B2735="",0,+$T2735*$V2735)</f>
        <v>118.32297843212722</v>
      </c>
      <c r="X2735" s="85">
        <f>IF(B2735="",0,IF(OR(H2735=MappingTables!$C$34,H2735=MappingTables!$C$35),W2735,0))</f>
        <v>0</v>
      </c>
    </row>
    <row r="2736" spans="2:24" s="0" customFormat="0" ht="15">
      <c r="B2736" s="69">
        <v>19155670</v>
      </c>
      <c r="C2736" s="70" t="s">
        <v>2572</v>
      </c>
      <c r="D2736" s="70" t="s">
        <v>1</v>
      </c>
      <c r="E2736" s="70" t="s">
        <v>1</v>
      </c>
      <c r="F2736" s="70"/>
      <c r="G2736" s="70" t="s">
        <v>61</v>
      </c>
      <c r="H2736" s="70" t="s">
        <v>178</v>
      </c>
      <c r="I2736" s="70" t="s">
        <v>181</v>
      </c>
      <c r="J2736" s="71">
        <f>IF(OR(I2736=0,I2736=""),"unrated",VLOOKUP(I2736,MappingTables!$B$19:$C$31,2,FALSE))</f>
        <v>3</v>
      </c>
      <c r="K2736" s="72">
        <v>141.11815705787284</v>
      </c>
      <c r="L2736" s="70">
        <v>4.6588881858038152</v>
      </c>
      <c r="M2736" s="71">
        <f>IF(L2736&lt;1,1,L2736)</f>
        <v>4.6588881858038152</v>
      </c>
      <c r="N2736" s="70" t="s">
        <v>141</v>
      </c>
      <c r="O2736" s="71">
        <f>INDEX(DurClassMapping,MATCH(M2736,MappingTables!$D$4:$D$8,-1),1)</f>
        <v>1</v>
      </c>
      <c r="P2736" s="73">
        <f>IF(M2736=$A$1,1,$M2736-INDEX(MappingTables!$E$4:$E$8,MATCH(O2736,MappingTables!$B$4:$B$8,0)))</f>
        <v>4.6588881858038152</v>
      </c>
      <c r="Q2736" s="71">
        <f>IF(B2736="",0,INDEX(ModelParameters!$D$6:$K$10,MATCH($O2736,ModelParameters!$B$6:$B$10,0),MATCH($J2736,ModelParameters!$D$5:$K$5,0)))</f>
        <v>0.025</v>
      </c>
      <c r="R2736" s="71">
        <f>IF(B2736="",0,INDEX(ModelParameters!$D$13:$K$17,MATCH($O2736,ModelParameters!$B$13:$B$17,0),MATCH($J2736,ModelParameters!$D$5:$K$5,0)))</f>
        <v>0</v>
      </c>
      <c r="S2736" s="160">
        <f>IF(B2736="",0,MIN(IF($N2736="Other Bond TM",ModelParameters!$N$21,1)*(P2736*Q2736+R2736),1))</f>
        <v>0.11647220464509538</v>
      </c>
      <c r="T2736" s="85">
        <f>IF(B2736="",0,$S2736*$K2736)</f>
        <v>16.436342867983278</v>
      </c>
      <c r="U2736" s="85">
        <f>IF(B2736="",0,IF(OR(H2736=MappingTables!$C$34,H2736=MappingTables!$C$35),T2736,0))</f>
        <v>0</v>
      </c>
      <c r="V2736" s="85">
        <f>IF(ISNA(IF(AND(VLOOKUP(CONCATENATE($D2736,$G2736),CSRFinput!$B:$E,4,0)=0,OR(H2736=MappingTables!$C$34,H2736=MappingTables!$C$35)),1,VLOOKUP(CONCATENATE($D2736,$G2736),CSRFinput!$B:$E,4,0))),0,IF(AND(VLOOKUP(CONCATENATE($D2736,$G2736),CSRFinput!$B:$E,4,0)=0,OR(H2736=MappingTables!$C$34,H2736=MappingTables!$C$35)),1,VLOOKUP(CONCATENATE($D2736,$G2736),CSRFinput!$B:$E,4,0)))</f>
        <v>0.054776304963434752</v>
      </c>
      <c r="W2736" s="85">
        <f>IF(B2736="",0,+$T2736*$V2736)</f>
        <v>0.90032212942022784</v>
      </c>
      <c r="X2736" s="85">
        <f>IF(B2736="",0,IF(OR(H2736=MappingTables!$C$34,H2736=MappingTables!$C$35),W2736,0))</f>
        <v>0</v>
      </c>
    </row>
    <row r="2737" spans="2:24" s="0" customFormat="0" ht="15">
      <c r="B2737" s="69">
        <v>12147490</v>
      </c>
      <c r="C2737" s="70" t="s">
        <v>1978</v>
      </c>
      <c r="D2737" s="70" t="s">
        <v>1</v>
      </c>
      <c r="E2737" s="70" t="s">
        <v>1</v>
      </c>
      <c r="F2737" s="70"/>
      <c r="G2737" s="70" t="s">
        <v>61</v>
      </c>
      <c r="H2737" s="70" t="s">
        <v>178</v>
      </c>
      <c r="I2737" s="70" t="s">
        <v>188</v>
      </c>
      <c r="J2737" s="71">
        <f>IF(OR(I2737=0,I2737=""),"unrated",VLOOKUP(I2737,MappingTables!$B$19:$C$31,2,FALSE))</f>
        <v>2</v>
      </c>
      <c r="K2737" s="72">
        <v>2568.5376758908804</v>
      </c>
      <c r="L2737" s="70">
        <v>0.49236818973403912</v>
      </c>
      <c r="M2737" s="71">
        <f>IF(L2737&lt;1,1,L2737)</f>
        <v>1</v>
      </c>
      <c r="N2737" s="70" t="s">
        <v>141</v>
      </c>
      <c r="O2737" s="71">
        <f>INDEX(DurClassMapping,MATCH(M2737,MappingTables!$D$4:$D$8,-1),1)</f>
        <v>1</v>
      </c>
      <c r="P2737" s="73">
        <f>IF(M2737=$A$1,1,$M2737-INDEX(MappingTables!$E$4:$E$8,MATCH(O2737,MappingTables!$B$4:$B$8,0)))</f>
        <v>1</v>
      </c>
      <c r="Q2737" s="71">
        <f>IF(B2737="",0,INDEX(ModelParameters!$D$6:$K$10,MATCH($O2737,ModelParameters!$B$6:$B$10,0),MATCH($J2737,ModelParameters!$D$5:$K$5,0)))</f>
        <v>0.013999999999999998</v>
      </c>
      <c r="R2737" s="71">
        <f>IF(B2737="",0,INDEX(ModelParameters!$D$13:$K$17,MATCH($O2737,ModelParameters!$B$13:$B$17,0),MATCH($J2737,ModelParameters!$D$5:$K$5,0)))</f>
        <v>0</v>
      </c>
      <c r="S2737" s="160">
        <f>IF(B2737="",0,MIN(IF($N2737="Other Bond TM",ModelParameters!$N$21,1)*(P2737*Q2737+R2737),1))</f>
        <v>0.013999999999999998</v>
      </c>
      <c r="T2737" s="85">
        <f>IF(B2737="",0,$S2737*$K2737)</f>
        <v>35.959527462472324</v>
      </c>
      <c r="U2737" s="85">
        <f>IF(B2737="",0,IF(OR(H2737=MappingTables!$C$34,H2737=MappingTables!$C$35),T2737,0))</f>
        <v>0</v>
      </c>
      <c r="V2737" s="85">
        <f>IF(ISNA(IF(AND(VLOOKUP(CONCATENATE($D2737,$G2737),CSRFinput!$B:$E,4,0)=0,OR(H2737=MappingTables!$C$34,H2737=MappingTables!$C$35)),1,VLOOKUP(CONCATENATE($D2737,$G2737),CSRFinput!$B:$E,4,0))),0,IF(AND(VLOOKUP(CONCATENATE($D2737,$G2737),CSRFinput!$B:$E,4,0)=0,OR(H2737=MappingTables!$C$34,H2737=MappingTables!$C$35)),1,VLOOKUP(CONCATENATE($D2737,$G2737),CSRFinput!$B:$E,4,0)))</f>
        <v>0.054776304963434752</v>
      </c>
      <c r="W2737" s="85">
        <f>IF(B2737="",0,+$T2737*$V2737)</f>
        <v>1.9697300426253908</v>
      </c>
      <c r="X2737" s="85">
        <f>IF(B2737="",0,IF(OR(H2737=MappingTables!$C$34,H2737=MappingTables!$C$35),W2737,0))</f>
        <v>0</v>
      </c>
    </row>
    <row r="2738" spans="2:24" s="0" customFormat="0" ht="15">
      <c r="B2738" s="69">
        <v>14954232</v>
      </c>
      <c r="C2738" s="70" t="s">
        <v>276</v>
      </c>
      <c r="D2738" s="70" t="s">
        <v>1</v>
      </c>
      <c r="E2738" s="70" t="s">
        <v>1</v>
      </c>
      <c r="F2738" s="70"/>
      <c r="G2738" s="70" t="s">
        <v>61</v>
      </c>
      <c r="H2738" s="70" t="s">
        <v>178</v>
      </c>
      <c r="I2738" s="70" t="s">
        <v>179</v>
      </c>
      <c r="J2738" s="71">
        <f>IF(OR(I2738=0,I2738=""),"unrated",VLOOKUP(I2738,MappingTables!$B$19:$C$31,2,FALSE))</f>
        <v>4</v>
      </c>
      <c r="K2738" s="72">
        <v>46.766065811695128</v>
      </c>
      <c r="L2738" s="70">
        <v>1.5328351343935204</v>
      </c>
      <c r="M2738" s="71">
        <f>IF(L2738&lt;1,1,L2738)</f>
        <v>1.5328351343935204</v>
      </c>
      <c r="N2738" s="70" t="s">
        <v>141</v>
      </c>
      <c r="O2738" s="71">
        <f>INDEX(DurClassMapping,MATCH(M2738,MappingTables!$D$4:$D$8,-1),1)</f>
        <v>1</v>
      </c>
      <c r="P2738" s="73">
        <f>IF(M2738=$A$1,1,$M2738-INDEX(MappingTables!$E$4:$E$8,MATCH(O2738,MappingTables!$B$4:$B$8,0)))</f>
        <v>1.5328351343935204</v>
      </c>
      <c r="Q2738" s="71">
        <f>IF(B2738="",0,INDEX(ModelParameters!$D$6:$K$10,MATCH($O2738,ModelParameters!$B$6:$B$10,0),MATCH($J2738,ModelParameters!$D$5:$K$5,0)))</f>
        <v>0.045</v>
      </c>
      <c r="R2738" s="71">
        <f>IF(B2738="",0,INDEX(ModelParameters!$D$13:$K$17,MATCH($O2738,ModelParameters!$B$13:$B$17,0),MATCH($J2738,ModelParameters!$D$5:$K$5,0)))</f>
        <v>0</v>
      </c>
      <c r="S2738" s="160">
        <f>IF(B2738="",0,MIN(IF($N2738="Other Bond TM",ModelParameters!$N$21,1)*(P2738*Q2738+R2738),1))</f>
        <v>0.068977581047708416</v>
      </c>
      <c r="T2738" s="85">
        <f>IF(B2738="",0,$S2738*$K2738)</f>
        <v>3.2258100948086664</v>
      </c>
      <c r="U2738" s="85">
        <f>IF(B2738="",0,IF(OR(H2738=MappingTables!$C$34,H2738=MappingTables!$C$35),T2738,0))</f>
        <v>0</v>
      </c>
      <c r="V2738" s="85">
        <f>IF(ISNA(IF(AND(VLOOKUP(CONCATENATE($D2738,$G2738),CSRFinput!$B:$E,4,0)=0,OR(H2738=MappingTables!$C$34,H2738=MappingTables!$C$35)),1,VLOOKUP(CONCATENATE($D2738,$G2738),CSRFinput!$B:$E,4,0))),0,IF(AND(VLOOKUP(CONCATENATE($D2738,$G2738),CSRFinput!$B:$E,4,0)=0,OR(H2738=MappingTables!$C$34,H2738=MappingTables!$C$35)),1,VLOOKUP(CONCATENATE($D2738,$G2738),CSRFinput!$B:$E,4,0)))</f>
        <v>0.054776304963434752</v>
      </c>
      <c r="W2738" s="85">
        <f>IF(B2738="",0,+$T2738*$V2738)</f>
        <v>0.17669795750736588</v>
      </c>
      <c r="X2738" s="85">
        <f>IF(B2738="",0,IF(OR(H2738=MappingTables!$C$34,H2738=MappingTables!$C$35),W2738,0))</f>
        <v>0</v>
      </c>
    </row>
    <row r="2739" spans="2:24" s="0" customFormat="0" ht="15">
      <c r="B2739" s="69">
        <v>17939593</v>
      </c>
      <c r="C2739" s="70" t="s">
        <v>2416</v>
      </c>
      <c r="D2739" s="70" t="s">
        <v>1</v>
      </c>
      <c r="E2739" s="70" t="s">
        <v>1</v>
      </c>
      <c r="F2739" s="70"/>
      <c r="G2739" s="70" t="s">
        <v>61</v>
      </c>
      <c r="H2739" s="70" t="s">
        <v>178</v>
      </c>
      <c r="I2739" s="70" t="s">
        <v>204</v>
      </c>
      <c r="J2739" s="71">
        <f>IF(OR(I2739=0,I2739=""),"unrated",VLOOKUP(I2739,MappingTables!$B$19:$C$31,2,FALSE))</f>
        <v>6</v>
      </c>
      <c r="K2739" s="72">
        <v>17558.285133929806</v>
      </c>
      <c r="L2739" s="70">
        <v>0.7753516686285304</v>
      </c>
      <c r="M2739" s="71">
        <f>IF(L2739&lt;1,1,L2739)</f>
        <v>1</v>
      </c>
      <c r="N2739" s="70" t="s">
        <v>141</v>
      </c>
      <c r="O2739" s="71">
        <f>INDEX(DurClassMapping,MATCH(M2739,MappingTables!$D$4:$D$8,-1),1)</f>
        <v>1</v>
      </c>
      <c r="P2739" s="73">
        <f>IF(M2739=$A$1,1,$M2739-INDEX(MappingTables!$E$4:$E$8,MATCH(O2739,MappingTables!$B$4:$B$8,0)))</f>
        <v>1</v>
      </c>
      <c r="Q2739" s="71">
        <f>IF(B2739="",0,INDEX(ModelParameters!$D$6:$K$10,MATCH($O2739,ModelParameters!$B$6:$B$10,0),MATCH($J2739,ModelParameters!$D$5:$K$5,0)))</f>
        <v>0.075</v>
      </c>
      <c r="R2739" s="71">
        <f>IF(B2739="",0,INDEX(ModelParameters!$D$13:$K$17,MATCH($O2739,ModelParameters!$B$13:$B$17,0),MATCH($J2739,ModelParameters!$D$5:$K$5,0)))</f>
        <v>0</v>
      </c>
      <c r="S2739" s="160">
        <f>IF(B2739="",0,MIN(IF($N2739="Other Bond TM",ModelParameters!$N$21,1)*(P2739*Q2739+R2739),1))</f>
        <v>0.075</v>
      </c>
      <c r="T2739" s="85">
        <f>IF(B2739="",0,$S2739*$K2739)</f>
        <v>1316.8713850447354</v>
      </c>
      <c r="U2739" s="85">
        <f>IF(B2739="",0,IF(OR(H2739=MappingTables!$C$34,H2739=MappingTables!$C$35),T2739,0))</f>
        <v>0</v>
      </c>
      <c r="V2739" s="85">
        <f>IF(ISNA(IF(AND(VLOOKUP(CONCATENATE($D2739,$G2739),CSRFinput!$B:$E,4,0)=0,OR(H2739=MappingTables!$C$34,H2739=MappingTables!$C$35)),1,VLOOKUP(CONCATENATE($D2739,$G2739),CSRFinput!$B:$E,4,0))),0,IF(AND(VLOOKUP(CONCATENATE($D2739,$G2739),CSRFinput!$B:$E,4,0)=0,OR(H2739=MappingTables!$C$34,H2739=MappingTables!$C$35)),1,VLOOKUP(CONCATENATE($D2739,$G2739),CSRFinput!$B:$E,4,0)))</f>
        <v>0.054776304963434752</v>
      </c>
      <c r="W2739" s="85">
        <f>IF(B2739="",0,+$T2739*$V2739)</f>
        <v>72.133348584831136</v>
      </c>
      <c r="X2739" s="85">
        <f>IF(B2739="",0,IF(OR(H2739=MappingTables!$C$34,H2739=MappingTables!$C$35),W2739,0))</f>
        <v>0</v>
      </c>
    </row>
    <row r="2740" spans="2:24" s="0" customFormat="0" ht="15">
      <c r="B2740" s="69">
        <v>18188305</v>
      </c>
      <c r="C2740" s="70" t="s">
        <v>2138</v>
      </c>
      <c r="D2740" s="70" t="s">
        <v>1</v>
      </c>
      <c r="E2740" s="70" t="s">
        <v>1</v>
      </c>
      <c r="F2740" s="70"/>
      <c r="G2740" s="70" t="s">
        <v>61</v>
      </c>
      <c r="H2740" s="70" t="s">
        <v>178</v>
      </c>
      <c r="I2740" s="70" t="s">
        <v>188</v>
      </c>
      <c r="J2740" s="71">
        <f>IF(OR(I2740=0,I2740=""),"unrated",VLOOKUP(I2740,MappingTables!$B$19:$C$31,2,FALSE))</f>
        <v>2</v>
      </c>
      <c r="K2740" s="72">
        <v>7.8442120054708144</v>
      </c>
      <c r="L2740" s="70">
        <v>0.86775478592521744</v>
      </c>
      <c r="M2740" s="71">
        <f>IF(L2740&lt;1,1,L2740)</f>
        <v>1</v>
      </c>
      <c r="N2740" s="70" t="s">
        <v>141</v>
      </c>
      <c r="O2740" s="71">
        <f>INDEX(DurClassMapping,MATCH(M2740,MappingTables!$D$4:$D$8,-1),1)</f>
        <v>1</v>
      </c>
      <c r="P2740" s="73">
        <f>IF(M2740=$A$1,1,$M2740-INDEX(MappingTables!$E$4:$E$8,MATCH(O2740,MappingTables!$B$4:$B$8,0)))</f>
        <v>1</v>
      </c>
      <c r="Q2740" s="71">
        <f>IF(B2740="",0,INDEX(ModelParameters!$D$6:$K$10,MATCH($O2740,ModelParameters!$B$6:$B$10,0),MATCH($J2740,ModelParameters!$D$5:$K$5,0)))</f>
        <v>0.013999999999999998</v>
      </c>
      <c r="R2740" s="71">
        <f>IF(B2740="",0,INDEX(ModelParameters!$D$13:$K$17,MATCH($O2740,ModelParameters!$B$13:$B$17,0),MATCH($J2740,ModelParameters!$D$5:$K$5,0)))</f>
        <v>0</v>
      </c>
      <c r="S2740" s="160">
        <f>IF(B2740="",0,MIN(IF($N2740="Other Bond TM",ModelParameters!$N$21,1)*(P2740*Q2740+R2740),1))</f>
        <v>0.013999999999999998</v>
      </c>
      <c r="T2740" s="85">
        <f>IF(B2740="",0,$S2740*$K2740)</f>
        <v>0.10981896807659138</v>
      </c>
      <c r="U2740" s="85">
        <f>IF(B2740="",0,IF(OR(H2740=MappingTables!$C$34,H2740=MappingTables!$C$35),T2740,0))</f>
        <v>0</v>
      </c>
      <c r="V2740" s="85">
        <f>IF(ISNA(IF(AND(VLOOKUP(CONCATENATE($D2740,$G2740),CSRFinput!$B:$E,4,0)=0,OR(H2740=MappingTables!$C$34,H2740=MappingTables!$C$35)),1,VLOOKUP(CONCATENATE($D2740,$G2740),CSRFinput!$B:$E,4,0))),0,IF(AND(VLOOKUP(CONCATENATE($D2740,$G2740),CSRFinput!$B:$E,4,0)=0,OR(H2740=MappingTables!$C$34,H2740=MappingTables!$C$35)),1,VLOOKUP(CONCATENATE($D2740,$G2740),CSRFinput!$B:$E,4,0)))</f>
        <v>0.054776304963434752</v>
      </c>
      <c r="W2740" s="85">
        <f>IF(B2740="",0,+$T2740*$V2740)</f>
        <v>0.0060154772861330752</v>
      </c>
      <c r="X2740" s="85">
        <f>IF(B2740="",0,IF(OR(H2740=MappingTables!$C$34,H2740=MappingTables!$C$35),W2740,0))</f>
        <v>0</v>
      </c>
    </row>
    <row r="2741" spans="2:24" s="0" customFormat="0" ht="15">
      <c r="B2741" s="69">
        <v>16975009</v>
      </c>
      <c r="C2741" s="70" t="s">
        <v>1114</v>
      </c>
      <c r="D2741" s="70" t="s">
        <v>1</v>
      </c>
      <c r="E2741" s="70" t="s">
        <v>1</v>
      </c>
      <c r="F2741" s="70"/>
      <c r="G2741" s="70" t="s">
        <v>61</v>
      </c>
      <c r="H2741" s="70" t="s">
        <v>178</v>
      </c>
      <c r="I2741" s="70" t="s">
        <v>181</v>
      </c>
      <c r="J2741" s="71">
        <f>IF(OR(I2741=0,I2741=""),"unrated",VLOOKUP(I2741,MappingTables!$B$19:$C$31,2,FALSE))</f>
        <v>3</v>
      </c>
      <c r="K2741" s="72">
        <v>518.04645854558192</v>
      </c>
      <c r="L2741" s="70">
        <v>0.78076631314664592</v>
      </c>
      <c r="M2741" s="71">
        <f>IF(L2741&lt;1,1,L2741)</f>
        <v>1</v>
      </c>
      <c r="N2741" s="70" t="s">
        <v>141</v>
      </c>
      <c r="O2741" s="71">
        <f>INDEX(DurClassMapping,MATCH(M2741,MappingTables!$D$4:$D$8,-1),1)</f>
        <v>1</v>
      </c>
      <c r="P2741" s="73">
        <f>IF(M2741=$A$1,1,$M2741-INDEX(MappingTables!$E$4:$E$8,MATCH(O2741,MappingTables!$B$4:$B$8,0)))</f>
        <v>1</v>
      </c>
      <c r="Q2741" s="71">
        <f>IF(B2741="",0,INDEX(ModelParameters!$D$6:$K$10,MATCH($O2741,ModelParameters!$B$6:$B$10,0),MATCH($J2741,ModelParameters!$D$5:$K$5,0)))</f>
        <v>0.025</v>
      </c>
      <c r="R2741" s="71">
        <f>IF(B2741="",0,INDEX(ModelParameters!$D$13:$K$17,MATCH($O2741,ModelParameters!$B$13:$B$17,0),MATCH($J2741,ModelParameters!$D$5:$K$5,0)))</f>
        <v>0</v>
      </c>
      <c r="S2741" s="160">
        <f>IF(B2741="",0,MIN(IF($N2741="Other Bond TM",ModelParameters!$N$21,1)*(P2741*Q2741+R2741),1))</f>
        <v>0.025</v>
      </c>
      <c r="T2741" s="85">
        <f>IF(B2741="",0,$S2741*$K2741)</f>
        <v>12.951161463639548</v>
      </c>
      <c r="U2741" s="85">
        <f>IF(B2741="",0,IF(OR(H2741=MappingTables!$C$34,H2741=MappingTables!$C$35),T2741,0))</f>
        <v>0</v>
      </c>
      <c r="V2741" s="85">
        <f>IF(ISNA(IF(AND(VLOOKUP(CONCATENATE($D2741,$G2741),CSRFinput!$B:$E,4,0)=0,OR(H2741=MappingTables!$C$34,H2741=MappingTables!$C$35)),1,VLOOKUP(CONCATENATE($D2741,$G2741),CSRFinput!$B:$E,4,0))),0,IF(AND(VLOOKUP(CONCATENATE($D2741,$G2741),CSRFinput!$B:$E,4,0)=0,OR(H2741=MappingTables!$C$34,H2741=MappingTables!$C$35)),1,VLOOKUP(CONCATENATE($D2741,$G2741),CSRFinput!$B:$E,4,0)))</f>
        <v>0.054776304963434752</v>
      </c>
      <c r="W2741" s="85">
        <f>IF(B2741="",0,+$T2741*$V2741)</f>
        <v>0.70941676996300392</v>
      </c>
      <c r="X2741" s="85">
        <f>IF(B2741="",0,IF(OR(H2741=MappingTables!$C$34,H2741=MappingTables!$C$35),W2741,0))</f>
        <v>0</v>
      </c>
    </row>
    <row r="2742" spans="2:24" s="0" customFormat="0" ht="15">
      <c r="B2742" s="69">
        <v>17478578</v>
      </c>
      <c r="C2742" s="70" t="s">
        <v>2200</v>
      </c>
      <c r="D2742" s="70" t="s">
        <v>1</v>
      </c>
      <c r="E2742" s="70" t="s">
        <v>1</v>
      </c>
      <c r="F2742" s="70"/>
      <c r="G2742" s="70" t="s">
        <v>61</v>
      </c>
      <c r="H2742" s="70" t="s">
        <v>178</v>
      </c>
      <c r="I2742" s="70" t="s">
        <v>179</v>
      </c>
      <c r="J2742" s="71">
        <f>IF(OR(I2742=0,I2742=""),"unrated",VLOOKUP(I2742,MappingTables!$B$19:$C$31,2,FALSE))</f>
        <v>4</v>
      </c>
      <c r="K2742" s="72">
        <v>182.57595047350444</v>
      </c>
      <c r="L2742" s="70">
        <v>0.5571615491233544</v>
      </c>
      <c r="M2742" s="71">
        <f>IF(L2742&lt;1,1,L2742)</f>
        <v>1</v>
      </c>
      <c r="N2742" s="70" t="s">
        <v>141</v>
      </c>
      <c r="O2742" s="71">
        <f>INDEX(DurClassMapping,MATCH(M2742,MappingTables!$D$4:$D$8,-1),1)</f>
        <v>1</v>
      </c>
      <c r="P2742" s="73">
        <f>IF(M2742=$A$1,1,$M2742-INDEX(MappingTables!$E$4:$E$8,MATCH(O2742,MappingTables!$B$4:$B$8,0)))</f>
        <v>1</v>
      </c>
      <c r="Q2742" s="71">
        <f>IF(B2742="",0,INDEX(ModelParameters!$D$6:$K$10,MATCH($O2742,ModelParameters!$B$6:$B$10,0),MATCH($J2742,ModelParameters!$D$5:$K$5,0)))</f>
        <v>0.045</v>
      </c>
      <c r="R2742" s="71">
        <f>IF(B2742="",0,INDEX(ModelParameters!$D$13:$K$17,MATCH($O2742,ModelParameters!$B$13:$B$17,0),MATCH($J2742,ModelParameters!$D$5:$K$5,0)))</f>
        <v>0</v>
      </c>
      <c r="S2742" s="160">
        <f>IF(B2742="",0,MIN(IF($N2742="Other Bond TM",ModelParameters!$N$21,1)*(P2742*Q2742+R2742),1))</f>
        <v>0.045</v>
      </c>
      <c r="T2742" s="85">
        <f>IF(B2742="",0,$S2742*$K2742)</f>
        <v>8.2159177713076992</v>
      </c>
      <c r="U2742" s="85">
        <f>IF(B2742="",0,IF(OR(H2742=MappingTables!$C$34,H2742=MappingTables!$C$35),T2742,0))</f>
        <v>0</v>
      </c>
      <c r="V2742" s="85">
        <f>IF(ISNA(IF(AND(VLOOKUP(CONCATENATE($D2742,$G2742),CSRFinput!$B:$E,4,0)=0,OR(H2742=MappingTables!$C$34,H2742=MappingTables!$C$35)),1,VLOOKUP(CONCATENATE($D2742,$G2742),CSRFinput!$B:$E,4,0))),0,IF(AND(VLOOKUP(CONCATENATE($D2742,$G2742),CSRFinput!$B:$E,4,0)=0,OR(H2742=MappingTables!$C$34,H2742=MappingTables!$C$35)),1,VLOOKUP(CONCATENATE($D2742,$G2742),CSRFinput!$B:$E,4,0)))</f>
        <v>0.054776304963434752</v>
      </c>
      <c r="W2742" s="85">
        <f>IF(B2742="",0,+$T2742*$V2742)</f>
        <v>0.45003761739565376</v>
      </c>
      <c r="X2742" s="85">
        <f>IF(B2742="",0,IF(OR(H2742=MappingTables!$C$34,H2742=MappingTables!$C$35),W2742,0))</f>
        <v>0</v>
      </c>
    </row>
    <row r="2743" spans="2:24" s="0" customFormat="0" ht="15">
      <c r="B2743" s="69">
        <v>13637351</v>
      </c>
      <c r="C2743" s="70" t="s">
        <v>1008</v>
      </c>
      <c r="D2743" s="70" t="s">
        <v>1</v>
      </c>
      <c r="E2743" s="70" t="s">
        <v>1</v>
      </c>
      <c r="F2743" s="70"/>
      <c r="G2743" s="70" t="s">
        <v>61</v>
      </c>
      <c r="H2743" s="70" t="s">
        <v>178</v>
      </c>
      <c r="I2743" s="70" t="s">
        <v>184</v>
      </c>
      <c r="J2743" s="71">
        <f>IF(OR(I2743=0,I2743=""),"unrated",VLOOKUP(I2743,MappingTables!$B$19:$C$31,2,FALSE))</f>
        <v>5</v>
      </c>
      <c r="K2743" s="72">
        <v>11.980537255609966</v>
      </c>
      <c r="L2743" s="70">
        <v>0.087670344556109856</v>
      </c>
      <c r="M2743" s="71">
        <f>IF(L2743&lt;1,1,L2743)</f>
        <v>1</v>
      </c>
      <c r="N2743" s="70" t="s">
        <v>141</v>
      </c>
      <c r="O2743" s="71">
        <f>INDEX(DurClassMapping,MATCH(M2743,MappingTables!$D$4:$D$8,-1),1)</f>
        <v>1</v>
      </c>
      <c r="P2743" s="73">
        <f>IF(M2743=$A$1,1,$M2743-INDEX(MappingTables!$E$4:$E$8,MATCH(O2743,MappingTables!$B$4:$B$8,0)))</f>
        <v>1</v>
      </c>
      <c r="Q2743" s="71">
        <f>IF(B2743="",0,INDEX(ModelParameters!$D$6:$K$10,MATCH($O2743,ModelParameters!$B$6:$B$10,0),MATCH($J2743,ModelParameters!$D$5:$K$5,0)))</f>
        <v>0.075</v>
      </c>
      <c r="R2743" s="71">
        <f>IF(B2743="",0,INDEX(ModelParameters!$D$13:$K$17,MATCH($O2743,ModelParameters!$B$13:$B$17,0),MATCH($J2743,ModelParameters!$D$5:$K$5,0)))</f>
        <v>0</v>
      </c>
      <c r="S2743" s="160">
        <f>IF(B2743="",0,MIN(IF($N2743="Other Bond TM",ModelParameters!$N$21,1)*(P2743*Q2743+R2743),1))</f>
        <v>0.075</v>
      </c>
      <c r="T2743" s="85">
        <f>IF(B2743="",0,$S2743*$K2743)</f>
        <v>0.89854029417074736</v>
      </c>
      <c r="U2743" s="85">
        <f>IF(B2743="",0,IF(OR(H2743=MappingTables!$C$34,H2743=MappingTables!$C$35),T2743,0))</f>
        <v>0</v>
      </c>
      <c r="V2743" s="85">
        <f>IF(ISNA(IF(AND(VLOOKUP(CONCATENATE($D2743,$G2743),CSRFinput!$B:$E,4,0)=0,OR(H2743=MappingTables!$C$34,H2743=MappingTables!$C$35)),1,VLOOKUP(CONCATENATE($D2743,$G2743),CSRFinput!$B:$E,4,0))),0,IF(AND(VLOOKUP(CONCATENATE($D2743,$G2743),CSRFinput!$B:$E,4,0)=0,OR(H2743=MappingTables!$C$34,H2743=MappingTables!$C$35)),1,VLOOKUP(CONCATENATE($D2743,$G2743),CSRFinput!$B:$E,4,0)))</f>
        <v>0.054776304963434752</v>
      </c>
      <c r="W2743" s="85">
        <f>IF(B2743="",0,+$T2743*$V2743)</f>
        <v>0.049218717175431224</v>
      </c>
      <c r="X2743" s="85">
        <f>IF(B2743="",0,IF(OR(H2743=MappingTables!$C$34,H2743=MappingTables!$C$35),W2743,0))</f>
        <v>0</v>
      </c>
    </row>
    <row r="2744" spans="2:24" s="0" customFormat="0" ht="15">
      <c r="B2744" s="69">
        <v>11386216</v>
      </c>
      <c r="C2744" s="70" t="s">
        <v>2573</v>
      </c>
      <c r="D2744" s="70" t="s">
        <v>1</v>
      </c>
      <c r="E2744" s="70" t="s">
        <v>1</v>
      </c>
      <c r="F2744" s="70"/>
      <c r="G2744" s="70" t="s">
        <v>61</v>
      </c>
      <c r="H2744" s="70" t="s">
        <v>178</v>
      </c>
      <c r="I2744" s="70" t="s">
        <v>188</v>
      </c>
      <c r="J2744" s="71">
        <f>IF(OR(I2744=0,I2744=""),"unrated",VLOOKUP(I2744,MappingTables!$B$19:$C$31,2,FALSE))</f>
        <v>2</v>
      </c>
      <c r="K2744" s="72">
        <v>90062.621074146176</v>
      </c>
      <c r="L2744" s="70">
        <v>15.459229418541936</v>
      </c>
      <c r="M2744" s="71">
        <f>IF(L2744&lt;1,1,L2744)</f>
        <v>15.459229418541936</v>
      </c>
      <c r="N2744" s="70" t="s">
        <v>141</v>
      </c>
      <c r="O2744" s="71">
        <f>INDEX(DurClassMapping,MATCH(M2744,MappingTables!$D$4:$D$8,-1),1)</f>
        <v>4</v>
      </c>
      <c r="P2744" s="73">
        <f>IF(M2744=$A$1,1,$M2744-INDEX(MappingTables!$E$4:$E$8,MATCH(O2744,MappingTables!$B$4:$B$8,0)))</f>
        <v>0.45922941854193592</v>
      </c>
      <c r="Q2744" s="71">
        <f>IF(B2744="",0,INDEX(ModelParameters!$D$6:$K$10,MATCH($O2744,ModelParameters!$B$6:$B$10,0),MATCH($J2744,ModelParameters!$D$5:$K$5,0)))</f>
        <v>0.005</v>
      </c>
      <c r="R2744" s="71">
        <f>IF(B2744="",0,INDEX(ModelParameters!$D$13:$K$17,MATCH($O2744,ModelParameters!$B$13:$B$17,0),MATCH($J2744,ModelParameters!$D$5:$K$5,0)))</f>
        <v>0.13</v>
      </c>
      <c r="S2744" s="160">
        <f>IF(B2744="",0,MIN(IF($N2744="Other Bond TM",ModelParameters!$N$21,1)*(P2744*Q2744+R2744),1))</f>
        <v>0.13229614709270968</v>
      </c>
      <c r="T2744" s="85">
        <f>IF(B2744="",0,$S2744*$K2744)</f>
        <v>11914.937765180216</v>
      </c>
      <c r="U2744" s="85">
        <f>IF(B2744="",0,IF(OR(H2744=MappingTables!$C$34,H2744=MappingTables!$C$35),T2744,0))</f>
        <v>0</v>
      </c>
      <c r="V2744" s="85">
        <f>IF(ISNA(IF(AND(VLOOKUP(CONCATENATE($D2744,$G2744),CSRFinput!$B:$E,4,0)=0,OR(H2744=MappingTables!$C$34,H2744=MappingTables!$C$35)),1,VLOOKUP(CONCATENATE($D2744,$G2744),CSRFinput!$B:$E,4,0))),0,IF(AND(VLOOKUP(CONCATENATE($D2744,$G2744),CSRFinput!$B:$E,4,0)=0,OR(H2744=MappingTables!$C$34,H2744=MappingTables!$C$35)),1,VLOOKUP(CONCATENATE($D2744,$G2744),CSRFinput!$B:$E,4,0)))</f>
        <v>0.054776304963434752</v>
      </c>
      <c r="W2744" s="85">
        <f>IF(B2744="",0,+$T2744*$V2744)</f>
        <v>652.6562646458572</v>
      </c>
      <c r="X2744" s="85">
        <f>IF(B2744="",0,IF(OR(H2744=MappingTables!$C$34,H2744=MappingTables!$C$35),W2744,0))</f>
        <v>0</v>
      </c>
    </row>
    <row r="2745" spans="2:24" s="0" customFormat="0" ht="15">
      <c r="B2745" s="69">
        <v>20996856</v>
      </c>
      <c r="C2745" s="70" t="s">
        <v>1794</v>
      </c>
      <c r="D2745" s="70" t="s">
        <v>1</v>
      </c>
      <c r="E2745" s="70" t="s">
        <v>1</v>
      </c>
      <c r="F2745" s="70"/>
      <c r="G2745" s="70" t="s">
        <v>61</v>
      </c>
      <c r="H2745" s="70" t="s">
        <v>178</v>
      </c>
      <c r="I2745" s="70" t="s">
        <v>181</v>
      </c>
      <c r="J2745" s="71">
        <f>IF(OR(I2745=0,I2745=""),"unrated",VLOOKUP(I2745,MappingTables!$B$19:$C$31,2,FALSE))</f>
        <v>3</v>
      </c>
      <c r="K2745" s="72">
        <v>4605.3209596094296</v>
      </c>
      <c r="L2745" s="70">
        <v>0.74521192626810832</v>
      </c>
      <c r="M2745" s="71">
        <f>IF(L2745&lt;1,1,L2745)</f>
        <v>1</v>
      </c>
      <c r="N2745" s="70" t="s">
        <v>141</v>
      </c>
      <c r="O2745" s="71">
        <f>INDEX(DurClassMapping,MATCH(M2745,MappingTables!$D$4:$D$8,-1),1)</f>
        <v>1</v>
      </c>
      <c r="P2745" s="73">
        <f>IF(M2745=$A$1,1,$M2745-INDEX(MappingTables!$E$4:$E$8,MATCH(O2745,MappingTables!$B$4:$B$8,0)))</f>
        <v>1</v>
      </c>
      <c r="Q2745" s="71">
        <f>IF(B2745="",0,INDEX(ModelParameters!$D$6:$K$10,MATCH($O2745,ModelParameters!$B$6:$B$10,0),MATCH($J2745,ModelParameters!$D$5:$K$5,0)))</f>
        <v>0.025</v>
      </c>
      <c r="R2745" s="71">
        <f>IF(B2745="",0,INDEX(ModelParameters!$D$13:$K$17,MATCH($O2745,ModelParameters!$B$13:$B$17,0),MATCH($J2745,ModelParameters!$D$5:$K$5,0)))</f>
        <v>0</v>
      </c>
      <c r="S2745" s="160">
        <f>IF(B2745="",0,MIN(IF($N2745="Other Bond TM",ModelParameters!$N$21,1)*(P2745*Q2745+R2745),1))</f>
        <v>0.025</v>
      </c>
      <c r="T2745" s="85">
        <f>IF(B2745="",0,$S2745*$K2745)</f>
        <v>115.13302399023574</v>
      </c>
      <c r="U2745" s="85">
        <f>IF(B2745="",0,IF(OR(H2745=MappingTables!$C$34,H2745=MappingTables!$C$35),T2745,0))</f>
        <v>0</v>
      </c>
      <c r="V2745" s="85">
        <f>IF(ISNA(IF(AND(VLOOKUP(CONCATENATE($D2745,$G2745),CSRFinput!$B:$E,4,0)=0,OR(H2745=MappingTables!$C$34,H2745=MappingTables!$C$35)),1,VLOOKUP(CONCATENATE($D2745,$G2745),CSRFinput!$B:$E,4,0))),0,IF(AND(VLOOKUP(CONCATENATE($D2745,$G2745),CSRFinput!$B:$E,4,0)=0,OR(H2745=MappingTables!$C$34,H2745=MappingTables!$C$35)),1,VLOOKUP(CONCATENATE($D2745,$G2745),CSRFinput!$B:$E,4,0)))</f>
        <v>0.054776304963434752</v>
      </c>
      <c r="W2745" s="85">
        <f>IF(B2745="",0,+$T2745*$V2745)</f>
        <v>6.3065616334516024</v>
      </c>
      <c r="X2745" s="85">
        <f>IF(B2745="",0,IF(OR(H2745=MappingTables!$C$34,H2745=MappingTables!$C$35),W2745,0))</f>
        <v>0</v>
      </c>
    </row>
    <row r="2746" spans="2:24" s="0" customFormat="0" ht="15">
      <c r="B2746" s="69" t="s">
        <v>2223</v>
      </c>
      <c r="C2746" s="70" t="s">
        <v>2224</v>
      </c>
      <c r="D2746" s="70" t="s">
        <v>1</v>
      </c>
      <c r="E2746" s="70" t="s">
        <v>1</v>
      </c>
      <c r="F2746" s="70"/>
      <c r="G2746" s="70" t="s">
        <v>61</v>
      </c>
      <c r="H2746" s="70" t="s">
        <v>178</v>
      </c>
      <c r="I2746" s="70" t="s">
        <v>181</v>
      </c>
      <c r="J2746" s="71">
        <f>IF(OR(I2746=0,I2746=""),"unrated",VLOOKUP(I2746,MappingTables!$B$19:$C$31,2,FALSE))</f>
        <v>3</v>
      </c>
      <c r="K2746" s="72">
        <v>2662.7178754821428</v>
      </c>
      <c r="L2746" s="70">
        <v>10.575790225825452</v>
      </c>
      <c r="M2746" s="71">
        <f>IF(L2746&lt;1,1,L2746)</f>
        <v>10.575790225825452</v>
      </c>
      <c r="N2746" s="70" t="s">
        <v>141</v>
      </c>
      <c r="O2746" s="71">
        <f>INDEX(DurClassMapping,MATCH(M2746,MappingTables!$D$4:$D$8,-1),1)</f>
        <v>3</v>
      </c>
      <c r="P2746" s="73">
        <f>IF(M2746=$A$1,1,$M2746-INDEX(MappingTables!$E$4:$E$8,MATCH(O2746,MappingTables!$B$4:$B$8,0)))</f>
        <v>0.57579022582545216</v>
      </c>
      <c r="Q2746" s="71">
        <f>IF(B2746="",0,INDEX(ModelParameters!$D$6:$K$10,MATCH($O2746,ModelParameters!$B$6:$B$10,0),MATCH($J2746,ModelParameters!$D$5:$K$5,0)))</f>
        <v>0.01</v>
      </c>
      <c r="R2746" s="71">
        <f>IF(B2746="",0,INDEX(ModelParameters!$D$13:$K$17,MATCH($O2746,ModelParameters!$B$13:$B$17,0),MATCH($J2746,ModelParameters!$D$5:$K$5,0)))</f>
        <v>0.2</v>
      </c>
      <c r="S2746" s="160">
        <f>IF(B2746="",0,MIN(IF($N2746="Other Bond TM",ModelParameters!$N$21,1)*(P2746*Q2746+R2746),1))</f>
        <v>0.20575790225825452</v>
      </c>
      <c r="T2746" s="85">
        <f>IF(B2746="",0,$S2746*$K2746)</f>
        <v>547.87524436476192</v>
      </c>
      <c r="U2746" s="85">
        <f>IF(B2746="",0,IF(OR(H2746=MappingTables!$C$34,H2746=MappingTables!$C$35),T2746,0))</f>
        <v>0</v>
      </c>
      <c r="V2746" s="85">
        <f>IF(ISNA(IF(AND(VLOOKUP(CONCATENATE($D2746,$G2746),CSRFinput!$B:$E,4,0)=0,OR(H2746=MappingTables!$C$34,H2746=MappingTables!$C$35)),1,VLOOKUP(CONCATENATE($D2746,$G2746),CSRFinput!$B:$E,4,0))),0,IF(AND(VLOOKUP(CONCATENATE($D2746,$G2746),CSRFinput!$B:$E,4,0)=0,OR(H2746=MappingTables!$C$34,H2746=MappingTables!$C$35)),1,VLOOKUP(CONCATENATE($D2746,$G2746),CSRFinput!$B:$E,4,0)))</f>
        <v>0.054776304963434752</v>
      </c>
      <c r="W2746" s="85">
        <f>IF(B2746="",0,+$T2746*$V2746)</f>
        <v>30.010581467240536</v>
      </c>
      <c r="X2746" s="85">
        <f>IF(B2746="",0,IF(OR(H2746=MappingTables!$C$34,H2746=MappingTables!$C$35),W2746,0))</f>
        <v>0</v>
      </c>
    </row>
    <row r="2747" spans="2:24" s="0" customFormat="0" ht="15">
      <c r="B2747" s="69" t="s">
        <v>2463</v>
      </c>
      <c r="C2747" s="70" t="s">
        <v>2464</v>
      </c>
      <c r="D2747" s="70" t="s">
        <v>1</v>
      </c>
      <c r="E2747" s="70" t="s">
        <v>1</v>
      </c>
      <c r="F2747" s="70"/>
      <c r="G2747" s="70" t="s">
        <v>61</v>
      </c>
      <c r="H2747" s="70" t="s">
        <v>178</v>
      </c>
      <c r="I2747" s="70" t="s">
        <v>188</v>
      </c>
      <c r="J2747" s="71">
        <f>IF(OR(I2747=0,I2747=""),"unrated",VLOOKUP(I2747,MappingTables!$B$19:$C$31,2,FALSE))</f>
        <v>2</v>
      </c>
      <c r="K2747" s="72">
        <v>492.84084901364152</v>
      </c>
      <c r="L2747" s="70">
        <v>5.127529052452924</v>
      </c>
      <c r="M2747" s="71">
        <f>IF(L2747&lt;1,1,L2747)</f>
        <v>5.127529052452924</v>
      </c>
      <c r="N2747" s="70" t="s">
        <v>141</v>
      </c>
      <c r="O2747" s="71">
        <f>INDEX(DurClassMapping,MATCH(M2747,MappingTables!$D$4:$D$8,-1),1)</f>
        <v>2</v>
      </c>
      <c r="P2747" s="73">
        <f>IF(M2747=$A$1,1,$M2747-INDEX(MappingTables!$E$4:$E$8,MATCH(O2747,MappingTables!$B$4:$B$8,0)))</f>
        <v>0.12752905245292378</v>
      </c>
      <c r="Q2747" s="71">
        <f>IF(B2747="",0,INDEX(ModelParameters!$D$6:$K$10,MATCH($O2747,ModelParameters!$B$6:$B$10,0),MATCH($J2747,ModelParameters!$D$5:$K$5,0)))</f>
        <v>0.0069999999999999992</v>
      </c>
      <c r="R2747" s="71">
        <f>IF(B2747="",0,INDEX(ModelParameters!$D$13:$K$17,MATCH($O2747,ModelParameters!$B$13:$B$17,0),MATCH($J2747,ModelParameters!$D$5:$K$5,0)))</f>
        <v>0.070000000000000008</v>
      </c>
      <c r="S2747" s="160">
        <f>IF(B2747="",0,MIN(IF($N2747="Other Bond TM",ModelParameters!$N$21,1)*(P2747*Q2747+R2747),1))</f>
        <v>0.070892703367170472</v>
      </c>
      <c r="T2747" s="85">
        <f>IF(B2747="",0,$S2747*$K2747)</f>
        <v>34.938820116348536</v>
      </c>
      <c r="U2747" s="85">
        <f>IF(B2747="",0,IF(OR(H2747=MappingTables!$C$34,H2747=MappingTables!$C$35),T2747,0))</f>
        <v>0</v>
      </c>
      <c r="V2747" s="85">
        <f>IF(ISNA(IF(AND(VLOOKUP(CONCATENATE($D2747,$G2747),CSRFinput!$B:$E,4,0)=0,OR(H2747=MappingTables!$C$34,H2747=MappingTables!$C$35)),1,VLOOKUP(CONCATENATE($D2747,$G2747),CSRFinput!$B:$E,4,0))),0,IF(AND(VLOOKUP(CONCATENATE($D2747,$G2747),CSRFinput!$B:$E,4,0)=0,OR(H2747=MappingTables!$C$34,H2747=MappingTables!$C$35)),1,VLOOKUP(CONCATENATE($D2747,$G2747),CSRFinput!$B:$E,4,0)))</f>
        <v>0.054776304963434752</v>
      </c>
      <c r="W2747" s="85">
        <f>IF(B2747="",0,+$T2747*$V2747)</f>
        <v>1.9138194657556964</v>
      </c>
      <c r="X2747" s="85">
        <f>IF(B2747="",0,IF(OR(H2747=MappingTables!$C$34,H2747=MappingTables!$C$35),W2747,0))</f>
        <v>0</v>
      </c>
    </row>
    <row r="2748" spans="2:24" s="0" customFormat="0" ht="15">
      <c r="B2748" s="69" t="s">
        <v>2574</v>
      </c>
      <c r="C2748" s="70" t="s">
        <v>2575</v>
      </c>
      <c r="D2748" s="70" t="s">
        <v>1</v>
      </c>
      <c r="E2748" s="70" t="s">
        <v>1</v>
      </c>
      <c r="F2748" s="70"/>
      <c r="G2748" s="70" t="s">
        <v>61</v>
      </c>
      <c r="H2748" s="70" t="s">
        <v>178</v>
      </c>
      <c r="I2748" s="70" t="s">
        <v>181</v>
      </c>
      <c r="J2748" s="71">
        <f>IF(OR(I2748=0,I2748=""),"unrated",VLOOKUP(I2748,MappingTables!$B$19:$C$31,2,FALSE))</f>
        <v>3</v>
      </c>
      <c r="K2748" s="72">
        <v>1382.6472415955392</v>
      </c>
      <c r="L2748" s="70">
        <v>3.6530356568877912</v>
      </c>
      <c r="M2748" s="71">
        <f>IF(L2748&lt;1,1,L2748)</f>
        <v>3.6530356568877912</v>
      </c>
      <c r="N2748" s="70" t="s">
        <v>141</v>
      </c>
      <c r="O2748" s="71">
        <f>INDEX(DurClassMapping,MATCH(M2748,MappingTables!$D$4:$D$8,-1),1)</f>
        <v>1</v>
      </c>
      <c r="P2748" s="73">
        <f>IF(M2748=$A$1,1,$M2748-INDEX(MappingTables!$E$4:$E$8,MATCH(O2748,MappingTables!$B$4:$B$8,0)))</f>
        <v>3.6530356568877912</v>
      </c>
      <c r="Q2748" s="71">
        <f>IF(B2748="",0,INDEX(ModelParameters!$D$6:$K$10,MATCH($O2748,ModelParameters!$B$6:$B$10,0),MATCH($J2748,ModelParameters!$D$5:$K$5,0)))</f>
        <v>0.025</v>
      </c>
      <c r="R2748" s="71">
        <f>IF(B2748="",0,INDEX(ModelParameters!$D$13:$K$17,MATCH($O2748,ModelParameters!$B$13:$B$17,0),MATCH($J2748,ModelParameters!$D$5:$K$5,0)))</f>
        <v>0</v>
      </c>
      <c r="S2748" s="160">
        <f>IF(B2748="",0,MIN(IF($N2748="Other Bond TM",ModelParameters!$N$21,1)*(P2748*Q2748+R2748),1))</f>
        <v>0.091325891422194768</v>
      </c>
      <c r="T2748" s="85">
        <f>IF(B2748="",0,$S2748*$K2748)</f>
        <v>126.27149186115132</v>
      </c>
      <c r="U2748" s="85">
        <f>IF(B2748="",0,IF(OR(H2748=MappingTables!$C$34,H2748=MappingTables!$C$35),T2748,0))</f>
        <v>0</v>
      </c>
      <c r="V2748" s="85">
        <f>IF(ISNA(IF(AND(VLOOKUP(CONCATENATE($D2748,$G2748),CSRFinput!$B:$E,4,0)=0,OR(H2748=MappingTables!$C$34,H2748=MappingTables!$C$35)),1,VLOOKUP(CONCATENATE($D2748,$G2748),CSRFinput!$B:$E,4,0))),0,IF(AND(VLOOKUP(CONCATENATE($D2748,$G2748),CSRFinput!$B:$E,4,0)=0,OR(H2748=MappingTables!$C$34,H2748=MappingTables!$C$35)),1,VLOOKUP(CONCATENATE($D2748,$G2748),CSRFinput!$B:$E,4,0)))</f>
        <v>0.054776304963434752</v>
      </c>
      <c r="W2748" s="85">
        <f>IF(B2748="",0,+$T2748*$V2748)</f>
        <v>6.9166857463742944</v>
      </c>
      <c r="X2748" s="85">
        <f>IF(B2748="",0,IF(OR(H2748=MappingTables!$C$34,H2748=MappingTables!$C$35),W2748,0))</f>
        <v>0</v>
      </c>
    </row>
    <row r="2749" spans="2:24" s="0" customFormat="0" ht="15">
      <c r="B2749" s="69">
        <v>12833960</v>
      </c>
      <c r="C2749" s="70" t="s">
        <v>2576</v>
      </c>
      <c r="D2749" s="70" t="s">
        <v>1</v>
      </c>
      <c r="E2749" s="70" t="s">
        <v>1</v>
      </c>
      <c r="F2749" s="70"/>
      <c r="G2749" s="70" t="s">
        <v>61</v>
      </c>
      <c r="H2749" s="70" t="s">
        <v>178</v>
      </c>
      <c r="I2749" s="70" t="s">
        <v>181</v>
      </c>
      <c r="J2749" s="71">
        <f>IF(OR(I2749=0,I2749=""),"unrated",VLOOKUP(I2749,MappingTables!$B$19:$C$31,2,FALSE))</f>
        <v>3</v>
      </c>
      <c r="K2749" s="72">
        <v>429.00591366265896</v>
      </c>
      <c r="L2749" s="70">
        <v>0.78076962238228368</v>
      </c>
      <c r="M2749" s="71">
        <f>IF(L2749&lt;1,1,L2749)</f>
        <v>1</v>
      </c>
      <c r="N2749" s="70" t="s">
        <v>141</v>
      </c>
      <c r="O2749" s="71">
        <f>INDEX(DurClassMapping,MATCH(M2749,MappingTables!$D$4:$D$8,-1),1)</f>
        <v>1</v>
      </c>
      <c r="P2749" s="73">
        <f>IF(M2749=$A$1,1,$M2749-INDEX(MappingTables!$E$4:$E$8,MATCH(O2749,MappingTables!$B$4:$B$8,0)))</f>
        <v>1</v>
      </c>
      <c r="Q2749" s="71">
        <f>IF(B2749="",0,INDEX(ModelParameters!$D$6:$K$10,MATCH($O2749,ModelParameters!$B$6:$B$10,0),MATCH($J2749,ModelParameters!$D$5:$K$5,0)))</f>
        <v>0.025</v>
      </c>
      <c r="R2749" s="71">
        <f>IF(B2749="",0,INDEX(ModelParameters!$D$13:$K$17,MATCH($O2749,ModelParameters!$B$13:$B$17,0),MATCH($J2749,ModelParameters!$D$5:$K$5,0)))</f>
        <v>0</v>
      </c>
      <c r="S2749" s="160">
        <f>IF(B2749="",0,MIN(IF($N2749="Other Bond TM",ModelParameters!$N$21,1)*(P2749*Q2749+R2749),1))</f>
        <v>0.025</v>
      </c>
      <c r="T2749" s="85">
        <f>IF(B2749="",0,$S2749*$K2749)</f>
        <v>10.725147841566474</v>
      </c>
      <c r="U2749" s="85">
        <f>IF(B2749="",0,IF(OR(H2749=MappingTables!$C$34,H2749=MappingTables!$C$35),T2749,0))</f>
        <v>0</v>
      </c>
      <c r="V2749" s="85">
        <f>IF(ISNA(IF(AND(VLOOKUP(CONCATENATE($D2749,$G2749),CSRFinput!$B:$E,4,0)=0,OR(H2749=MappingTables!$C$34,H2749=MappingTables!$C$35)),1,VLOOKUP(CONCATENATE($D2749,$G2749),CSRFinput!$B:$E,4,0))),0,IF(AND(VLOOKUP(CONCATENATE($D2749,$G2749),CSRFinput!$B:$E,4,0)=0,OR(H2749=MappingTables!$C$34,H2749=MappingTables!$C$35)),1,VLOOKUP(CONCATENATE($D2749,$G2749),CSRFinput!$B:$E,4,0)))</f>
        <v>0.054776304963434752</v>
      </c>
      <c r="W2749" s="85">
        <f>IF(B2749="",0,+$T2749*$V2749)</f>
        <v>0.58748396894756928</v>
      </c>
      <c r="X2749" s="85">
        <f>IF(B2749="",0,IF(OR(H2749=MappingTables!$C$34,H2749=MappingTables!$C$35),W2749,0))</f>
        <v>0</v>
      </c>
    </row>
    <row r="2750" spans="2:24" s="0" customFormat="0" ht="15">
      <c r="B2750" s="69" t="s">
        <v>2277</v>
      </c>
      <c r="C2750" s="70" t="s">
        <v>2278</v>
      </c>
      <c r="D2750" s="70" t="s">
        <v>1</v>
      </c>
      <c r="E2750" s="70" t="s">
        <v>1</v>
      </c>
      <c r="F2750" s="70"/>
      <c r="G2750" s="70" t="s">
        <v>61</v>
      </c>
      <c r="H2750" s="70" t="s">
        <v>178</v>
      </c>
      <c r="I2750" s="70" t="s">
        <v>181</v>
      </c>
      <c r="J2750" s="71">
        <f>IF(OR(I2750=0,I2750=""),"unrated",VLOOKUP(I2750,MappingTables!$B$19:$C$31,2,FALSE))</f>
        <v>3</v>
      </c>
      <c r="K2750" s="72">
        <v>2.4671434998632476</v>
      </c>
      <c r="L2750" s="70">
        <v>1.7787680265654172</v>
      </c>
      <c r="M2750" s="71">
        <f>IF(L2750&lt;1,1,L2750)</f>
        <v>1.7787680265654172</v>
      </c>
      <c r="N2750" s="70" t="s">
        <v>141</v>
      </c>
      <c r="O2750" s="71">
        <f>INDEX(DurClassMapping,MATCH(M2750,MappingTables!$D$4:$D$8,-1),1)</f>
        <v>1</v>
      </c>
      <c r="P2750" s="73">
        <f>IF(M2750=$A$1,1,$M2750-INDEX(MappingTables!$E$4:$E$8,MATCH(O2750,MappingTables!$B$4:$B$8,0)))</f>
        <v>1.7787680265654172</v>
      </c>
      <c r="Q2750" s="71">
        <f>IF(B2750="",0,INDEX(ModelParameters!$D$6:$K$10,MATCH($O2750,ModelParameters!$B$6:$B$10,0),MATCH($J2750,ModelParameters!$D$5:$K$5,0)))</f>
        <v>0.025</v>
      </c>
      <c r="R2750" s="71">
        <f>IF(B2750="",0,INDEX(ModelParameters!$D$13:$K$17,MATCH($O2750,ModelParameters!$B$13:$B$17,0),MATCH($J2750,ModelParameters!$D$5:$K$5,0)))</f>
        <v>0</v>
      </c>
      <c r="S2750" s="160">
        <f>IF(B2750="",0,MIN(IF($N2750="Other Bond TM",ModelParameters!$N$21,1)*(P2750*Q2750+R2750),1))</f>
        <v>0.044469200664135424</v>
      </c>
      <c r="T2750" s="85">
        <f>IF(B2750="",0,$S2750*$K2750)</f>
        <v>0.10971189936263614</v>
      </c>
      <c r="U2750" s="85">
        <f>IF(B2750="",0,IF(OR(H2750=MappingTables!$C$34,H2750=MappingTables!$C$35),T2750,0))</f>
        <v>0</v>
      </c>
      <c r="V2750" s="85">
        <f>IF(ISNA(IF(AND(VLOOKUP(CONCATENATE($D2750,$G2750),CSRFinput!$B:$E,4,0)=0,OR(H2750=MappingTables!$C$34,H2750=MappingTables!$C$35)),1,VLOOKUP(CONCATENATE($D2750,$G2750),CSRFinput!$B:$E,4,0))),0,IF(AND(VLOOKUP(CONCATENATE($D2750,$G2750),CSRFinput!$B:$E,4,0)=0,OR(H2750=MappingTables!$C$34,H2750=MappingTables!$C$35)),1,VLOOKUP(CONCATENATE($D2750,$G2750),CSRFinput!$B:$E,4,0)))</f>
        <v>0.054776304963434752</v>
      </c>
      <c r="W2750" s="85">
        <f>IF(B2750="",0,+$T2750*$V2750)</f>
        <v>0.0060096124576054208</v>
      </c>
      <c r="X2750" s="85">
        <f>IF(B2750="",0,IF(OR(H2750=MappingTables!$C$34,H2750=MappingTables!$C$35),W2750,0))</f>
        <v>0</v>
      </c>
    </row>
    <row r="2751" spans="2:24" s="0" customFormat="0" ht="15">
      <c r="B2751" s="69">
        <v>630159</v>
      </c>
      <c r="C2751" s="70" t="s">
        <v>2577</v>
      </c>
      <c r="D2751" s="70" t="s">
        <v>1</v>
      </c>
      <c r="E2751" s="70" t="s">
        <v>1</v>
      </c>
      <c r="F2751" s="70"/>
      <c r="G2751" s="70" t="s">
        <v>61</v>
      </c>
      <c r="H2751" s="70" t="s">
        <v>178</v>
      </c>
      <c r="I2751" s="70" t="s">
        <v>181</v>
      </c>
      <c r="J2751" s="71">
        <f>IF(OR(I2751=0,I2751=""),"unrated",VLOOKUP(I2751,MappingTables!$B$19:$C$31,2,FALSE))</f>
        <v>3</v>
      </c>
      <c r="K2751" s="72">
        <v>1522.5994237409126</v>
      </c>
      <c r="L2751" s="70">
        <v>10.527174227101062</v>
      </c>
      <c r="M2751" s="71">
        <f>IF(L2751&lt;1,1,L2751)</f>
        <v>10.527174227101062</v>
      </c>
      <c r="N2751" s="70" t="s">
        <v>141</v>
      </c>
      <c r="O2751" s="71">
        <f>INDEX(DurClassMapping,MATCH(M2751,MappingTables!$D$4:$D$8,-1),1)</f>
        <v>3</v>
      </c>
      <c r="P2751" s="73">
        <f>IF(M2751=$A$1,1,$M2751-INDEX(MappingTables!$E$4:$E$8,MATCH(O2751,MappingTables!$B$4:$B$8,0)))</f>
        <v>0.527174227101062</v>
      </c>
      <c r="Q2751" s="71">
        <f>IF(B2751="",0,INDEX(ModelParameters!$D$6:$K$10,MATCH($O2751,ModelParameters!$B$6:$B$10,0),MATCH($J2751,ModelParameters!$D$5:$K$5,0)))</f>
        <v>0.01</v>
      </c>
      <c r="R2751" s="71">
        <f>IF(B2751="",0,INDEX(ModelParameters!$D$13:$K$17,MATCH($O2751,ModelParameters!$B$13:$B$17,0),MATCH($J2751,ModelParameters!$D$5:$K$5,0)))</f>
        <v>0.2</v>
      </c>
      <c r="S2751" s="160">
        <f>IF(B2751="",0,MIN(IF($N2751="Other Bond TM",ModelParameters!$N$21,1)*(P2751*Q2751+R2751),1))</f>
        <v>0.20527174227101064</v>
      </c>
      <c r="T2751" s="85">
        <f>IF(B2751="",0,$S2751*$K2751)</f>
        <v>312.54663649213392</v>
      </c>
      <c r="U2751" s="85">
        <f>IF(B2751="",0,IF(OR(H2751=MappingTables!$C$34,H2751=MappingTables!$C$35),T2751,0))</f>
        <v>0</v>
      </c>
      <c r="V2751" s="85">
        <f>IF(ISNA(IF(AND(VLOOKUP(CONCATENATE($D2751,$G2751),CSRFinput!$B:$E,4,0)=0,OR(H2751=MappingTables!$C$34,H2751=MappingTables!$C$35)),1,VLOOKUP(CONCATENATE($D2751,$G2751),CSRFinput!$B:$E,4,0))),0,IF(AND(VLOOKUP(CONCATENATE($D2751,$G2751),CSRFinput!$B:$E,4,0)=0,OR(H2751=MappingTables!$C$34,H2751=MappingTables!$C$35)),1,VLOOKUP(CONCATENATE($D2751,$G2751),CSRFinput!$B:$E,4,0)))</f>
        <v>0.054776304963434752</v>
      </c>
      <c r="W2751" s="85">
        <f>IF(B2751="",0,+$T2751*$V2751)</f>
        <v>17.120149875788914</v>
      </c>
      <c r="X2751" s="85">
        <f>IF(B2751="",0,IF(OR(H2751=MappingTables!$C$34,H2751=MappingTables!$C$35),W2751,0))</f>
        <v>0</v>
      </c>
    </row>
    <row r="2752" spans="2:24" s="0" customFormat="0" ht="15">
      <c r="B2752" s="69">
        <v>7169615</v>
      </c>
      <c r="C2752" s="70" t="s">
        <v>1350</v>
      </c>
      <c r="D2752" s="70" t="s">
        <v>1</v>
      </c>
      <c r="E2752" s="70" t="s">
        <v>1</v>
      </c>
      <c r="F2752" s="70"/>
      <c r="G2752" s="70" t="s">
        <v>61</v>
      </c>
      <c r="H2752" s="70" t="s">
        <v>178</v>
      </c>
      <c r="I2752" s="70" t="s">
        <v>179</v>
      </c>
      <c r="J2752" s="71">
        <f>IF(OR(I2752=0,I2752=""),"unrated",VLOOKUP(I2752,MappingTables!$B$19:$C$31,2,FALSE))</f>
        <v>4</v>
      </c>
      <c r="K2752" s="72">
        <v>24457.40351730382</v>
      </c>
      <c r="L2752" s="70">
        <v>1.3804289137447856</v>
      </c>
      <c r="M2752" s="71">
        <f>IF(L2752&lt;1,1,L2752)</f>
        <v>1.3804289137447856</v>
      </c>
      <c r="N2752" s="70" t="s">
        <v>141</v>
      </c>
      <c r="O2752" s="71">
        <f>INDEX(DurClassMapping,MATCH(M2752,MappingTables!$D$4:$D$8,-1),1)</f>
        <v>1</v>
      </c>
      <c r="P2752" s="73">
        <f>IF(M2752=$A$1,1,$M2752-INDEX(MappingTables!$E$4:$E$8,MATCH(O2752,MappingTables!$B$4:$B$8,0)))</f>
        <v>1.3804289137447856</v>
      </c>
      <c r="Q2752" s="71">
        <f>IF(B2752="",0,INDEX(ModelParameters!$D$6:$K$10,MATCH($O2752,ModelParameters!$B$6:$B$10,0),MATCH($J2752,ModelParameters!$D$5:$K$5,0)))</f>
        <v>0.045</v>
      </c>
      <c r="R2752" s="71">
        <f>IF(B2752="",0,INDEX(ModelParameters!$D$13:$K$17,MATCH($O2752,ModelParameters!$B$13:$B$17,0),MATCH($J2752,ModelParameters!$D$5:$K$5,0)))</f>
        <v>0</v>
      </c>
      <c r="S2752" s="160">
        <f>IF(B2752="",0,MIN(IF($N2752="Other Bond TM",ModelParameters!$N$21,1)*(P2752*Q2752+R2752),1))</f>
        <v>0.062119301118515352</v>
      </c>
      <c r="T2752" s="85">
        <f>IF(B2752="",0,$S2752*$K2752)</f>
        <v>1519.2768136684326</v>
      </c>
      <c r="U2752" s="85">
        <f>IF(B2752="",0,IF(OR(H2752=MappingTables!$C$34,H2752=MappingTables!$C$35),T2752,0))</f>
        <v>0</v>
      </c>
      <c r="V2752" s="85">
        <f>IF(ISNA(IF(AND(VLOOKUP(CONCATENATE($D2752,$G2752),CSRFinput!$B:$E,4,0)=0,OR(H2752=MappingTables!$C$34,H2752=MappingTables!$C$35)),1,VLOOKUP(CONCATENATE($D2752,$G2752),CSRFinput!$B:$E,4,0))),0,IF(AND(VLOOKUP(CONCATENATE($D2752,$G2752),CSRFinput!$B:$E,4,0)=0,OR(H2752=MappingTables!$C$34,H2752=MappingTables!$C$35)),1,VLOOKUP(CONCATENATE($D2752,$G2752),CSRFinput!$B:$E,4,0)))</f>
        <v>0.054776304963434752</v>
      </c>
      <c r="W2752" s="85">
        <f>IF(B2752="",0,+$T2752*$V2752)</f>
        <v>83.220370069377504</v>
      </c>
      <c r="X2752" s="85">
        <f>IF(B2752="",0,IF(OR(H2752=MappingTables!$C$34,H2752=MappingTables!$C$35),W2752,0))</f>
        <v>0</v>
      </c>
    </row>
    <row r="2753" spans="2:24" s="0" customFormat="0" ht="15">
      <c r="B2753" s="69">
        <v>24865540</v>
      </c>
      <c r="C2753" s="70" t="s">
        <v>2578</v>
      </c>
      <c r="D2753" s="70" t="s">
        <v>1</v>
      </c>
      <c r="E2753" s="70" t="s">
        <v>1</v>
      </c>
      <c r="F2753" s="70"/>
      <c r="G2753" s="70" t="s">
        <v>61</v>
      </c>
      <c r="H2753" s="70" t="s">
        <v>178</v>
      </c>
      <c r="I2753" s="70" t="s">
        <v>181</v>
      </c>
      <c r="J2753" s="71">
        <f>IF(OR(I2753=0,I2753=""),"unrated",VLOOKUP(I2753,MappingTables!$B$19:$C$31,2,FALSE))</f>
        <v>3</v>
      </c>
      <c r="K2753" s="72">
        <v>2961.0052246316056</v>
      </c>
      <c r="L2753" s="70">
        <v>0.3452061186071108</v>
      </c>
      <c r="M2753" s="71">
        <f>IF(L2753&lt;1,1,L2753)</f>
        <v>1</v>
      </c>
      <c r="N2753" s="70" t="s">
        <v>141</v>
      </c>
      <c r="O2753" s="71">
        <f>INDEX(DurClassMapping,MATCH(M2753,MappingTables!$D$4:$D$8,-1),1)</f>
        <v>1</v>
      </c>
      <c r="P2753" s="73">
        <f>IF(M2753=$A$1,1,$M2753-INDEX(MappingTables!$E$4:$E$8,MATCH(O2753,MappingTables!$B$4:$B$8,0)))</f>
        <v>1</v>
      </c>
      <c r="Q2753" s="71">
        <f>IF(B2753="",0,INDEX(ModelParameters!$D$6:$K$10,MATCH($O2753,ModelParameters!$B$6:$B$10,0),MATCH($J2753,ModelParameters!$D$5:$K$5,0)))</f>
        <v>0.025</v>
      </c>
      <c r="R2753" s="71">
        <f>IF(B2753="",0,INDEX(ModelParameters!$D$13:$K$17,MATCH($O2753,ModelParameters!$B$13:$B$17,0),MATCH($J2753,ModelParameters!$D$5:$K$5,0)))</f>
        <v>0</v>
      </c>
      <c r="S2753" s="160">
        <f>IF(B2753="",0,MIN(IF($N2753="Other Bond TM",ModelParameters!$N$21,1)*(P2753*Q2753+R2753),1))</f>
        <v>0.025</v>
      </c>
      <c r="T2753" s="85">
        <f>IF(B2753="",0,$S2753*$K2753)</f>
        <v>74.025130615790128</v>
      </c>
      <c r="U2753" s="85">
        <f>IF(B2753="",0,IF(OR(H2753=MappingTables!$C$34,H2753=MappingTables!$C$35),T2753,0))</f>
        <v>0</v>
      </c>
      <c r="V2753" s="85">
        <f>IF(ISNA(IF(AND(VLOOKUP(CONCATENATE($D2753,$G2753),CSRFinput!$B:$E,4,0)=0,OR(H2753=MappingTables!$C$34,H2753=MappingTables!$C$35)),1,VLOOKUP(CONCATENATE($D2753,$G2753),CSRFinput!$B:$E,4,0))),0,IF(AND(VLOOKUP(CONCATENATE($D2753,$G2753),CSRFinput!$B:$E,4,0)=0,OR(H2753=MappingTables!$C$34,H2753=MappingTables!$C$35)),1,VLOOKUP(CONCATENATE($D2753,$G2753),CSRFinput!$B:$E,4,0)))</f>
        <v>0.054776304963434752</v>
      </c>
      <c r="W2753" s="85">
        <f>IF(B2753="",0,+$T2753*$V2753)</f>
        <v>4.0548231295686104</v>
      </c>
      <c r="X2753" s="85">
        <f>IF(B2753="",0,IF(OR(H2753=MappingTables!$C$34,H2753=MappingTables!$C$35),W2753,0))</f>
        <v>0</v>
      </c>
    </row>
    <row r="2754" spans="2:24" s="0" customFormat="0" ht="15">
      <c r="B2754" s="69">
        <v>13326754</v>
      </c>
      <c r="C2754" s="70" t="s">
        <v>2579</v>
      </c>
      <c r="D2754" s="70" t="s">
        <v>1</v>
      </c>
      <c r="E2754" s="70" t="s">
        <v>1</v>
      </c>
      <c r="F2754" s="70"/>
      <c r="G2754" s="70" t="s">
        <v>61</v>
      </c>
      <c r="H2754" s="70" t="s">
        <v>178</v>
      </c>
      <c r="I2754" s="70" t="s">
        <v>179</v>
      </c>
      <c r="J2754" s="71">
        <f>IF(OR(I2754=0,I2754=""),"unrated",VLOOKUP(I2754,MappingTables!$B$19:$C$31,2,FALSE))</f>
        <v>4</v>
      </c>
      <c r="K2754" s="72">
        <v>191.35774780215796</v>
      </c>
      <c r="L2754" s="70">
        <v>1.0728979904861576</v>
      </c>
      <c r="M2754" s="71">
        <f>IF(L2754&lt;1,1,L2754)</f>
        <v>1.0728979904861576</v>
      </c>
      <c r="N2754" s="70" t="s">
        <v>141</v>
      </c>
      <c r="O2754" s="71">
        <f>INDEX(DurClassMapping,MATCH(M2754,MappingTables!$D$4:$D$8,-1),1)</f>
        <v>1</v>
      </c>
      <c r="P2754" s="73">
        <f>IF(M2754=$A$1,1,$M2754-INDEX(MappingTables!$E$4:$E$8,MATCH(O2754,MappingTables!$B$4:$B$8,0)))</f>
        <v>1.0728979904861576</v>
      </c>
      <c r="Q2754" s="71">
        <f>IF(B2754="",0,INDEX(ModelParameters!$D$6:$K$10,MATCH($O2754,ModelParameters!$B$6:$B$10,0),MATCH($J2754,ModelParameters!$D$5:$K$5,0)))</f>
        <v>0.045</v>
      </c>
      <c r="R2754" s="71">
        <f>IF(B2754="",0,INDEX(ModelParameters!$D$13:$K$17,MATCH($O2754,ModelParameters!$B$13:$B$17,0),MATCH($J2754,ModelParameters!$D$5:$K$5,0)))</f>
        <v>0</v>
      </c>
      <c r="S2754" s="160">
        <f>IF(B2754="",0,MIN(IF($N2754="Other Bond TM",ModelParameters!$N$21,1)*(P2754*Q2754+R2754),1))</f>
        <v>0.04828040957187708</v>
      </c>
      <c r="T2754" s="85">
        <f>IF(B2754="",0,$S2754*$K2754)</f>
        <v>9.2388304386401488</v>
      </c>
      <c r="U2754" s="85">
        <f>IF(B2754="",0,IF(OR(H2754=MappingTables!$C$34,H2754=MappingTables!$C$35),T2754,0))</f>
        <v>0</v>
      </c>
      <c r="V2754" s="85">
        <f>IF(ISNA(IF(AND(VLOOKUP(CONCATENATE($D2754,$G2754),CSRFinput!$B:$E,4,0)=0,OR(H2754=MappingTables!$C$34,H2754=MappingTables!$C$35)),1,VLOOKUP(CONCATENATE($D2754,$G2754),CSRFinput!$B:$E,4,0))),0,IF(AND(VLOOKUP(CONCATENATE($D2754,$G2754),CSRFinput!$B:$E,4,0)=0,OR(H2754=MappingTables!$C$34,H2754=MappingTables!$C$35)),1,VLOOKUP(CONCATENATE($D2754,$G2754),CSRFinput!$B:$E,4,0)))</f>
        <v>0.054776304963434752</v>
      </c>
      <c r="W2754" s="85">
        <f>IF(B2754="",0,+$T2754*$V2754)</f>
        <v>0.5060689936124164</v>
      </c>
      <c r="X2754" s="85">
        <f>IF(B2754="",0,IF(OR(H2754=MappingTables!$C$34,H2754=MappingTables!$C$35),W2754,0))</f>
        <v>0</v>
      </c>
    </row>
    <row r="2755" spans="2:24" s="0" customFormat="0" ht="15">
      <c r="B2755" s="69">
        <v>7591116</v>
      </c>
      <c r="C2755" s="70" t="s">
        <v>2580</v>
      </c>
      <c r="D2755" s="70" t="s">
        <v>1</v>
      </c>
      <c r="E2755" s="70" t="s">
        <v>1</v>
      </c>
      <c r="F2755" s="70"/>
      <c r="G2755" s="70" t="s">
        <v>61</v>
      </c>
      <c r="H2755" s="70" t="s">
        <v>178</v>
      </c>
      <c r="I2755" s="70" t="s">
        <v>181</v>
      </c>
      <c r="J2755" s="71">
        <f>IF(OR(I2755=0,I2755=""),"unrated",VLOOKUP(I2755,MappingTables!$B$19:$C$31,2,FALSE))</f>
        <v>3</v>
      </c>
      <c r="K2755" s="72">
        <v>7665.5038740424544</v>
      </c>
      <c r="L2755" s="70">
        <v>2.7789165518029204</v>
      </c>
      <c r="M2755" s="71">
        <f>IF(L2755&lt;1,1,L2755)</f>
        <v>2.7789165518029204</v>
      </c>
      <c r="N2755" s="70" t="s">
        <v>141</v>
      </c>
      <c r="O2755" s="71">
        <f>INDEX(DurClassMapping,MATCH(M2755,MappingTables!$D$4:$D$8,-1),1)</f>
        <v>1</v>
      </c>
      <c r="P2755" s="73">
        <f>IF(M2755=$A$1,1,$M2755-INDEX(MappingTables!$E$4:$E$8,MATCH(O2755,MappingTables!$B$4:$B$8,0)))</f>
        <v>2.7789165518029204</v>
      </c>
      <c r="Q2755" s="71">
        <f>IF(B2755="",0,INDEX(ModelParameters!$D$6:$K$10,MATCH($O2755,ModelParameters!$B$6:$B$10,0),MATCH($J2755,ModelParameters!$D$5:$K$5,0)))</f>
        <v>0.025</v>
      </c>
      <c r="R2755" s="71">
        <f>IF(B2755="",0,INDEX(ModelParameters!$D$13:$K$17,MATCH($O2755,ModelParameters!$B$13:$B$17,0),MATCH($J2755,ModelParameters!$D$5:$K$5,0)))</f>
        <v>0</v>
      </c>
      <c r="S2755" s="160">
        <f>IF(B2755="",0,MIN(IF($N2755="Other Bond TM",ModelParameters!$N$21,1)*(P2755*Q2755+R2755),1))</f>
        <v>0.069472913795073016</v>
      </c>
      <c r="T2755" s="85">
        <f>IF(B2755="",0,$S2755*$K2755)</f>
        <v>532.5448898371496</v>
      </c>
      <c r="U2755" s="85">
        <f>IF(B2755="",0,IF(OR(H2755=MappingTables!$C$34,H2755=MappingTables!$C$35),T2755,0))</f>
        <v>0</v>
      </c>
      <c r="V2755" s="85">
        <f>IF(ISNA(IF(AND(VLOOKUP(CONCATENATE($D2755,$G2755),CSRFinput!$B:$E,4,0)=0,OR(H2755=MappingTables!$C$34,H2755=MappingTables!$C$35)),1,VLOOKUP(CONCATENATE($D2755,$G2755),CSRFinput!$B:$E,4,0))),0,IF(AND(VLOOKUP(CONCATENATE($D2755,$G2755),CSRFinput!$B:$E,4,0)=0,OR(H2755=MappingTables!$C$34,H2755=MappingTables!$C$35)),1,VLOOKUP(CONCATENATE($D2755,$G2755),CSRFinput!$B:$E,4,0)))</f>
        <v>0.054776304963434752</v>
      </c>
      <c r="W2755" s="85">
        <f>IF(B2755="",0,+$T2755*$V2755)</f>
        <v>29.170841292438476</v>
      </c>
      <c r="X2755" s="85">
        <f>IF(B2755="",0,IF(OR(H2755=MappingTables!$C$34,H2755=MappingTables!$C$35),W2755,0))</f>
        <v>0</v>
      </c>
    </row>
    <row r="2756" spans="2:24" s="0" customFormat="0" ht="15">
      <c r="B2756" s="69">
        <v>18760720</v>
      </c>
      <c r="C2756" s="70" t="s">
        <v>2581</v>
      </c>
      <c r="D2756" s="70" t="s">
        <v>1</v>
      </c>
      <c r="E2756" s="70" t="s">
        <v>1</v>
      </c>
      <c r="F2756" s="70"/>
      <c r="G2756" s="70" t="s">
        <v>61</v>
      </c>
      <c r="H2756" s="70" t="s">
        <v>178</v>
      </c>
      <c r="I2756" s="70" t="s">
        <v>184</v>
      </c>
      <c r="J2756" s="71">
        <f>IF(OR(I2756=0,I2756=""),"unrated",VLOOKUP(I2756,MappingTables!$B$19:$C$31,2,FALSE))</f>
        <v>5</v>
      </c>
      <c r="K2756" s="72">
        <v>32760.2994692913</v>
      </c>
      <c r="L2756" s="70">
        <v>0.95590840952661632</v>
      </c>
      <c r="M2756" s="71">
        <f>IF(L2756&lt;1,1,L2756)</f>
        <v>1</v>
      </c>
      <c r="N2756" s="70" t="s">
        <v>141</v>
      </c>
      <c r="O2756" s="71">
        <f>INDEX(DurClassMapping,MATCH(M2756,MappingTables!$D$4:$D$8,-1),1)</f>
        <v>1</v>
      </c>
      <c r="P2756" s="73">
        <f>IF(M2756=$A$1,1,$M2756-INDEX(MappingTables!$E$4:$E$8,MATCH(O2756,MappingTables!$B$4:$B$8,0)))</f>
        <v>1</v>
      </c>
      <c r="Q2756" s="71">
        <f>IF(B2756="",0,INDEX(ModelParameters!$D$6:$K$10,MATCH($O2756,ModelParameters!$B$6:$B$10,0),MATCH($J2756,ModelParameters!$D$5:$K$5,0)))</f>
        <v>0.075</v>
      </c>
      <c r="R2756" s="71">
        <f>IF(B2756="",0,INDEX(ModelParameters!$D$13:$K$17,MATCH($O2756,ModelParameters!$B$13:$B$17,0),MATCH($J2756,ModelParameters!$D$5:$K$5,0)))</f>
        <v>0</v>
      </c>
      <c r="S2756" s="160">
        <f>IF(B2756="",0,MIN(IF($N2756="Other Bond TM",ModelParameters!$N$21,1)*(P2756*Q2756+R2756),1))</f>
        <v>0.075</v>
      </c>
      <c r="T2756" s="85">
        <f>IF(B2756="",0,$S2756*$K2756)</f>
        <v>2457.0224601968476</v>
      </c>
      <c r="U2756" s="85">
        <f>IF(B2756="",0,IF(OR(H2756=MappingTables!$C$34,H2756=MappingTables!$C$35),T2756,0))</f>
        <v>0</v>
      </c>
      <c r="V2756" s="85">
        <f>IF(ISNA(IF(AND(VLOOKUP(CONCATENATE($D2756,$G2756),CSRFinput!$B:$E,4,0)=0,OR(H2756=MappingTables!$C$34,H2756=MappingTables!$C$35)),1,VLOOKUP(CONCATENATE($D2756,$G2756),CSRFinput!$B:$E,4,0))),0,IF(AND(VLOOKUP(CONCATENATE($D2756,$G2756),CSRFinput!$B:$E,4,0)=0,OR(H2756=MappingTables!$C$34,H2756=MappingTables!$C$35)),1,VLOOKUP(CONCATENATE($D2756,$G2756),CSRFinput!$B:$E,4,0)))</f>
        <v>0.054776304963434752</v>
      </c>
      <c r="W2756" s="85">
        <f>IF(B2756="",0,+$T2756*$V2756)</f>
        <v>134.58661158175124</v>
      </c>
      <c r="X2756" s="85">
        <f>IF(B2756="",0,IF(OR(H2756=MappingTables!$C$34,H2756=MappingTables!$C$35),W2756,0))</f>
        <v>0</v>
      </c>
    </row>
    <row r="2757" spans="2:24" s="0" customFormat="0" ht="15">
      <c r="B2757" s="69" t="s">
        <v>2582</v>
      </c>
      <c r="C2757" s="70" t="s">
        <v>2583</v>
      </c>
      <c r="D2757" s="70" t="s">
        <v>1</v>
      </c>
      <c r="E2757" s="70" t="s">
        <v>1</v>
      </c>
      <c r="F2757" s="70"/>
      <c r="G2757" s="70" t="s">
        <v>61</v>
      </c>
      <c r="H2757" s="70" t="s">
        <v>178</v>
      </c>
      <c r="I2757" s="70" t="s">
        <v>198</v>
      </c>
      <c r="J2757" s="71" t="str">
        <f>IF(OR(I2757=0,I2757=""),"unrated",VLOOKUP(I2757,MappingTables!$B$19:$C$31,2,FALSE))</f>
        <v>unrated</v>
      </c>
      <c r="K2757" s="72">
        <v>4.4467618280482304</v>
      </c>
      <c r="L2757" s="70">
        <v>2.5759005436143268</v>
      </c>
      <c r="M2757" s="71">
        <f>IF(L2757&lt;1,1,L2757)</f>
        <v>2.5759005436143268</v>
      </c>
      <c r="N2757" s="70" t="s">
        <v>141</v>
      </c>
      <c r="O2757" s="71">
        <f>INDEX(DurClassMapping,MATCH(M2757,MappingTables!$D$4:$D$8,-1),1)</f>
        <v>1</v>
      </c>
      <c r="P2757" s="73">
        <f>IF(M2757=$A$1,1,$M2757-INDEX(MappingTables!$E$4:$E$8,MATCH(O2757,MappingTables!$B$4:$B$8,0)))</f>
        <v>2.5759005436143268</v>
      </c>
      <c r="Q2757" s="71">
        <f>IF(B2757="",0,INDEX(ModelParameters!$D$6:$K$10,MATCH($O2757,ModelParameters!$B$6:$B$10,0),MATCH($J2757,ModelParameters!$D$5:$K$5,0)))</f>
        <v>0.03</v>
      </c>
      <c r="R2757" s="71">
        <f>IF(B2757="",0,INDEX(ModelParameters!$D$13:$K$17,MATCH($O2757,ModelParameters!$B$13:$B$17,0),MATCH($J2757,ModelParameters!$D$5:$K$5,0)))</f>
        <v>0</v>
      </c>
      <c r="S2757" s="160">
        <f>IF(B2757="",0,MIN(IF($N2757="Other Bond TM",ModelParameters!$N$21,1)*(P2757*Q2757+R2757),1))</f>
        <v>0.077277016308429792</v>
      </c>
      <c r="T2757" s="85">
        <f>IF(B2757="",0,$S2757*$K2757)</f>
        <v>0.3436324863057862</v>
      </c>
      <c r="U2757" s="85">
        <f>IF(B2757="",0,IF(OR(H2757=MappingTables!$C$34,H2757=MappingTables!$C$35),T2757,0))</f>
        <v>0</v>
      </c>
      <c r="V2757" s="85">
        <f>IF(ISNA(IF(AND(VLOOKUP(CONCATENATE($D2757,$G2757),CSRFinput!$B:$E,4,0)=0,OR(H2757=MappingTables!$C$34,H2757=MappingTables!$C$35)),1,VLOOKUP(CONCATENATE($D2757,$G2757),CSRFinput!$B:$E,4,0))),0,IF(AND(VLOOKUP(CONCATENATE($D2757,$G2757),CSRFinput!$B:$E,4,0)=0,OR(H2757=MappingTables!$C$34,H2757=MappingTables!$C$35)),1,VLOOKUP(CONCATENATE($D2757,$G2757),CSRFinput!$B:$E,4,0)))</f>
        <v>0.054776304963434752</v>
      </c>
      <c r="W2757" s="85">
        <f>IF(B2757="",0,+$T2757*$V2757)</f>
        <v>0.01882291786522906</v>
      </c>
      <c r="X2757" s="85">
        <f>IF(B2757="",0,IF(OR(H2757=MappingTables!$C$34,H2757=MappingTables!$C$35),W2757,0))</f>
        <v>0</v>
      </c>
    </row>
    <row r="2758" spans="2:24" s="0" customFormat="0" ht="15">
      <c r="B2758" s="69" t="s">
        <v>186</v>
      </c>
      <c r="C2758" s="70" t="s">
        <v>187</v>
      </c>
      <c r="D2758" s="70" t="s">
        <v>1</v>
      </c>
      <c r="E2758" s="70" t="s">
        <v>1</v>
      </c>
      <c r="F2758" s="70"/>
      <c r="G2758" s="70" t="s">
        <v>61</v>
      </c>
      <c r="H2758" s="70" t="s">
        <v>178</v>
      </c>
      <c r="I2758" s="70" t="s">
        <v>188</v>
      </c>
      <c r="J2758" s="71">
        <f>IF(OR(I2758=0,I2758=""),"unrated",VLOOKUP(I2758,MappingTables!$B$19:$C$31,2,FALSE))</f>
        <v>2</v>
      </c>
      <c r="K2758" s="72">
        <v>1.4512439226813966</v>
      </c>
      <c r="L2758" s="70">
        <v>0.56712387244128792</v>
      </c>
      <c r="M2758" s="71">
        <f>IF(L2758&lt;1,1,L2758)</f>
        <v>1</v>
      </c>
      <c r="N2758" s="70" t="s">
        <v>141</v>
      </c>
      <c r="O2758" s="71">
        <f>INDEX(DurClassMapping,MATCH(M2758,MappingTables!$D$4:$D$8,-1),1)</f>
        <v>1</v>
      </c>
      <c r="P2758" s="73">
        <f>IF(M2758=$A$1,1,$M2758-INDEX(MappingTables!$E$4:$E$8,MATCH(O2758,MappingTables!$B$4:$B$8,0)))</f>
        <v>1</v>
      </c>
      <c r="Q2758" s="71">
        <f>IF(B2758="",0,INDEX(ModelParameters!$D$6:$K$10,MATCH($O2758,ModelParameters!$B$6:$B$10,0),MATCH($J2758,ModelParameters!$D$5:$K$5,0)))</f>
        <v>0.013999999999999998</v>
      </c>
      <c r="R2758" s="71">
        <f>IF(B2758="",0,INDEX(ModelParameters!$D$13:$K$17,MATCH($O2758,ModelParameters!$B$13:$B$17,0),MATCH($J2758,ModelParameters!$D$5:$K$5,0)))</f>
        <v>0</v>
      </c>
      <c r="S2758" s="160">
        <f>IF(B2758="",0,MIN(IF($N2758="Other Bond TM",ModelParameters!$N$21,1)*(P2758*Q2758+R2758),1))</f>
        <v>0.013999999999999998</v>
      </c>
      <c r="T2758" s="85">
        <f>IF(B2758="",0,$S2758*$K2758)</f>
        <v>0.020317414917539552</v>
      </c>
      <c r="U2758" s="85">
        <f>IF(B2758="",0,IF(OR(H2758=MappingTables!$C$34,H2758=MappingTables!$C$35),T2758,0))</f>
        <v>0</v>
      </c>
      <c r="V2758" s="85">
        <f>IF(ISNA(IF(AND(VLOOKUP(CONCATENATE($D2758,$G2758),CSRFinput!$B:$E,4,0)=0,OR(H2758=MappingTables!$C$34,H2758=MappingTables!$C$35)),1,VLOOKUP(CONCATENATE($D2758,$G2758),CSRFinput!$B:$E,4,0))),0,IF(AND(VLOOKUP(CONCATENATE($D2758,$G2758),CSRFinput!$B:$E,4,0)=0,OR(H2758=MappingTables!$C$34,H2758=MappingTables!$C$35)),1,VLOOKUP(CONCATENATE($D2758,$G2758),CSRFinput!$B:$E,4,0)))</f>
        <v>0.054776304963434752</v>
      </c>
      <c r="W2758" s="85">
        <f>IF(B2758="",0,+$T2758*$V2758)</f>
        <v>0.0011129129155917848</v>
      </c>
      <c r="X2758" s="85">
        <f>IF(B2758="",0,IF(OR(H2758=MappingTables!$C$34,H2758=MappingTables!$C$35),W2758,0))</f>
        <v>0</v>
      </c>
    </row>
    <row r="2759" spans="2:24" s="0" customFormat="0" ht="15">
      <c r="B2759" s="69">
        <v>19686822</v>
      </c>
      <c r="C2759" s="70" t="s">
        <v>2078</v>
      </c>
      <c r="D2759" s="70" t="s">
        <v>1</v>
      </c>
      <c r="E2759" s="70" t="s">
        <v>1</v>
      </c>
      <c r="F2759" s="70"/>
      <c r="G2759" s="70" t="s">
        <v>61</v>
      </c>
      <c r="H2759" s="70" t="s">
        <v>178</v>
      </c>
      <c r="I2759" s="70" t="s">
        <v>184</v>
      </c>
      <c r="J2759" s="71">
        <f>IF(OR(I2759=0,I2759=""),"unrated",VLOOKUP(I2759,MappingTables!$B$19:$C$31,2,FALSE))</f>
        <v>5</v>
      </c>
      <c r="K2759" s="72">
        <v>121.97989712340972</v>
      </c>
      <c r="L2759" s="70">
        <v>1.3266628779844114</v>
      </c>
      <c r="M2759" s="71">
        <f>IF(L2759&lt;1,1,L2759)</f>
        <v>1.3266628779844114</v>
      </c>
      <c r="N2759" s="70" t="s">
        <v>141</v>
      </c>
      <c r="O2759" s="71">
        <f>INDEX(DurClassMapping,MATCH(M2759,MappingTables!$D$4:$D$8,-1),1)</f>
        <v>1</v>
      </c>
      <c r="P2759" s="73">
        <f>IF(M2759=$A$1,1,$M2759-INDEX(MappingTables!$E$4:$E$8,MATCH(O2759,MappingTables!$B$4:$B$8,0)))</f>
        <v>1.3266628779844114</v>
      </c>
      <c r="Q2759" s="71">
        <f>IF(B2759="",0,INDEX(ModelParameters!$D$6:$K$10,MATCH($O2759,ModelParameters!$B$6:$B$10,0),MATCH($J2759,ModelParameters!$D$5:$K$5,0)))</f>
        <v>0.075</v>
      </c>
      <c r="R2759" s="71">
        <f>IF(B2759="",0,INDEX(ModelParameters!$D$13:$K$17,MATCH($O2759,ModelParameters!$B$13:$B$17,0),MATCH($J2759,ModelParameters!$D$5:$K$5,0)))</f>
        <v>0</v>
      </c>
      <c r="S2759" s="160">
        <f>IF(B2759="",0,MIN(IF($N2759="Other Bond TM",ModelParameters!$N$21,1)*(P2759*Q2759+R2759),1))</f>
        <v>0.099499715848830848</v>
      </c>
      <c r="T2759" s="85">
        <f>IF(B2759="",0,$S2759*$K2759)</f>
        <v>12.136965103048886</v>
      </c>
      <c r="U2759" s="85">
        <f>IF(B2759="",0,IF(OR(H2759=MappingTables!$C$34,H2759=MappingTables!$C$35),T2759,0))</f>
        <v>0</v>
      </c>
      <c r="V2759" s="85">
        <f>IF(ISNA(IF(AND(VLOOKUP(CONCATENATE($D2759,$G2759),CSRFinput!$B:$E,4,0)=0,OR(H2759=MappingTables!$C$34,H2759=MappingTables!$C$35)),1,VLOOKUP(CONCATENATE($D2759,$G2759),CSRFinput!$B:$E,4,0))),0,IF(AND(VLOOKUP(CONCATENATE($D2759,$G2759),CSRFinput!$B:$E,4,0)=0,OR(H2759=MappingTables!$C$34,H2759=MappingTables!$C$35)),1,VLOOKUP(CONCATENATE($D2759,$G2759),CSRFinput!$B:$E,4,0)))</f>
        <v>0.054776304963434752</v>
      </c>
      <c r="W2759" s="85">
        <f>IF(B2759="",0,+$T2759*$V2759)</f>
        <v>0.66481810181517112</v>
      </c>
      <c r="X2759" s="85">
        <f>IF(B2759="",0,IF(OR(H2759=MappingTables!$C$34,H2759=MappingTables!$C$35),W2759,0))</f>
        <v>0</v>
      </c>
    </row>
    <row r="2760" spans="2:24" s="0" customFormat="0" ht="15">
      <c r="B2760" s="69">
        <v>18047814</v>
      </c>
      <c r="C2760" s="70" t="s">
        <v>2259</v>
      </c>
      <c r="D2760" s="70" t="s">
        <v>1</v>
      </c>
      <c r="E2760" s="70" t="s">
        <v>1</v>
      </c>
      <c r="F2760" s="70"/>
      <c r="G2760" s="70" t="s">
        <v>61</v>
      </c>
      <c r="H2760" s="70" t="s">
        <v>178</v>
      </c>
      <c r="I2760" s="70" t="s">
        <v>181</v>
      </c>
      <c r="J2760" s="71">
        <f>IF(OR(I2760=0,I2760=""),"unrated",VLOOKUP(I2760,MappingTables!$B$19:$C$31,2,FALSE))</f>
        <v>3</v>
      </c>
      <c r="K2760" s="72">
        <v>1767.1146265189764</v>
      </c>
      <c r="L2760" s="70">
        <v>0.72731346291740784</v>
      </c>
      <c r="M2760" s="71">
        <f>IF(L2760&lt;1,1,L2760)</f>
        <v>1</v>
      </c>
      <c r="N2760" s="70" t="s">
        <v>141</v>
      </c>
      <c r="O2760" s="71">
        <f>INDEX(DurClassMapping,MATCH(M2760,MappingTables!$D$4:$D$8,-1),1)</f>
        <v>1</v>
      </c>
      <c r="P2760" s="73">
        <f>IF(M2760=$A$1,1,$M2760-INDEX(MappingTables!$E$4:$E$8,MATCH(O2760,MappingTables!$B$4:$B$8,0)))</f>
        <v>1</v>
      </c>
      <c r="Q2760" s="71">
        <f>IF(B2760="",0,INDEX(ModelParameters!$D$6:$K$10,MATCH($O2760,ModelParameters!$B$6:$B$10,0),MATCH($J2760,ModelParameters!$D$5:$K$5,0)))</f>
        <v>0.025</v>
      </c>
      <c r="R2760" s="71">
        <f>IF(B2760="",0,INDEX(ModelParameters!$D$13:$K$17,MATCH($O2760,ModelParameters!$B$13:$B$17,0),MATCH($J2760,ModelParameters!$D$5:$K$5,0)))</f>
        <v>0</v>
      </c>
      <c r="S2760" s="160">
        <f>IF(B2760="",0,MIN(IF($N2760="Other Bond TM",ModelParameters!$N$21,1)*(P2760*Q2760+R2760),1))</f>
        <v>0.025</v>
      </c>
      <c r="T2760" s="85">
        <f>IF(B2760="",0,$S2760*$K2760)</f>
        <v>44.177865662974408</v>
      </c>
      <c r="U2760" s="85">
        <f>IF(B2760="",0,IF(OR(H2760=MappingTables!$C$34,H2760=MappingTables!$C$35),T2760,0))</f>
        <v>0</v>
      </c>
      <c r="V2760" s="85">
        <f>IF(ISNA(IF(AND(VLOOKUP(CONCATENATE($D2760,$G2760),CSRFinput!$B:$E,4,0)=0,OR(H2760=MappingTables!$C$34,H2760=MappingTables!$C$35)),1,VLOOKUP(CONCATENATE($D2760,$G2760),CSRFinput!$B:$E,4,0))),0,IF(AND(VLOOKUP(CONCATENATE($D2760,$G2760),CSRFinput!$B:$E,4,0)=0,OR(H2760=MappingTables!$C$34,H2760=MappingTables!$C$35)),1,VLOOKUP(CONCATENATE($D2760,$G2760),CSRFinput!$B:$E,4,0)))</f>
        <v>0.054776304963434752</v>
      </c>
      <c r="W2760" s="85">
        <f>IF(B2760="",0,+$T2760*$V2760)</f>
        <v>2.4199002421887392</v>
      </c>
      <c r="X2760" s="85">
        <f>IF(B2760="",0,IF(OR(H2760=MappingTables!$C$34,H2760=MappingTables!$C$35),W2760,0))</f>
        <v>0</v>
      </c>
    </row>
    <row r="2761" spans="2:24" s="0" customFormat="0" ht="15">
      <c r="B2761" s="69" t="s">
        <v>934</v>
      </c>
      <c r="C2761" s="70" t="s">
        <v>935</v>
      </c>
      <c r="D2761" s="70" t="s">
        <v>1</v>
      </c>
      <c r="E2761" s="70" t="s">
        <v>1</v>
      </c>
      <c r="F2761" s="70"/>
      <c r="G2761" s="70" t="s">
        <v>61</v>
      </c>
      <c r="H2761" s="70" t="s">
        <v>178</v>
      </c>
      <c r="I2761" s="70" t="s">
        <v>513</v>
      </c>
      <c r="J2761" s="71">
        <f>IF(OR(I2761=0,I2761=""),"unrated",VLOOKUP(I2761,MappingTables!$B$19:$C$31,2,FALSE))</f>
        <v>6</v>
      </c>
      <c r="K2761" s="72">
        <v>813.86637009881104</v>
      </c>
      <c r="L2761" s="70">
        <v>2.5376514304858308</v>
      </c>
      <c r="M2761" s="71">
        <f>IF(L2761&lt;1,1,L2761)</f>
        <v>2.5376514304858308</v>
      </c>
      <c r="N2761" s="70" t="s">
        <v>141</v>
      </c>
      <c r="O2761" s="71">
        <f>INDEX(DurClassMapping,MATCH(M2761,MappingTables!$D$4:$D$8,-1),1)</f>
        <v>1</v>
      </c>
      <c r="P2761" s="73">
        <f>IF(M2761=$A$1,1,$M2761-INDEX(MappingTables!$E$4:$E$8,MATCH(O2761,MappingTables!$B$4:$B$8,0)))</f>
        <v>2.5376514304858308</v>
      </c>
      <c r="Q2761" s="71">
        <f>IF(B2761="",0,INDEX(ModelParameters!$D$6:$K$10,MATCH($O2761,ModelParameters!$B$6:$B$10,0),MATCH($J2761,ModelParameters!$D$5:$K$5,0)))</f>
        <v>0.075</v>
      </c>
      <c r="R2761" s="71">
        <f>IF(B2761="",0,INDEX(ModelParameters!$D$13:$K$17,MATCH($O2761,ModelParameters!$B$13:$B$17,0),MATCH($J2761,ModelParameters!$D$5:$K$5,0)))</f>
        <v>0</v>
      </c>
      <c r="S2761" s="160">
        <f>IF(B2761="",0,MIN(IF($N2761="Other Bond TM",ModelParameters!$N$21,1)*(P2761*Q2761+R2761),1))</f>
        <v>0.19032385728643732</v>
      </c>
      <c r="T2761" s="85">
        <f>IF(B2761="",0,$S2761*$K2761)</f>
        <v>154.89818687291688</v>
      </c>
      <c r="U2761" s="85">
        <f>IF(B2761="",0,IF(OR(H2761=MappingTables!$C$34,H2761=MappingTables!$C$35),T2761,0))</f>
        <v>0</v>
      </c>
      <c r="V2761" s="85">
        <f>IF(ISNA(IF(AND(VLOOKUP(CONCATENATE($D2761,$G2761),CSRFinput!$B:$E,4,0)=0,OR(H2761=MappingTables!$C$34,H2761=MappingTables!$C$35)),1,VLOOKUP(CONCATENATE($D2761,$G2761),CSRFinput!$B:$E,4,0))),0,IF(AND(VLOOKUP(CONCATENATE($D2761,$G2761),CSRFinput!$B:$E,4,0)=0,OR(H2761=MappingTables!$C$34,H2761=MappingTables!$C$35)),1,VLOOKUP(CONCATENATE($D2761,$G2761),CSRFinput!$B:$E,4,0)))</f>
        <v>0.054776304963434752</v>
      </c>
      <c r="W2761" s="85">
        <f>IF(B2761="",0,+$T2761*$V2761)</f>
        <v>8.4847503224340016</v>
      </c>
      <c r="X2761" s="85">
        <f>IF(B2761="",0,IF(OR(H2761=MappingTables!$C$34,H2761=MappingTables!$C$35),W2761,0))</f>
        <v>0</v>
      </c>
    </row>
    <row r="2762" spans="2:24" s="0" customFormat="0" ht="15">
      <c r="B2762" s="69">
        <v>17296778</v>
      </c>
      <c r="C2762" s="70" t="s">
        <v>2584</v>
      </c>
      <c r="D2762" s="70" t="s">
        <v>1</v>
      </c>
      <c r="E2762" s="70" t="s">
        <v>1</v>
      </c>
      <c r="F2762" s="70"/>
      <c r="G2762" s="70" t="s">
        <v>61</v>
      </c>
      <c r="H2762" s="70" t="s">
        <v>178</v>
      </c>
      <c r="I2762" s="70" t="s">
        <v>188</v>
      </c>
      <c r="J2762" s="71">
        <f>IF(OR(I2762=0,I2762=""),"unrated",VLOOKUP(I2762,MappingTables!$B$19:$C$31,2,FALSE))</f>
        <v>2</v>
      </c>
      <c r="K2762" s="72">
        <v>53.298450256853464</v>
      </c>
      <c r="L2762" s="70">
        <v>6.384542440398412</v>
      </c>
      <c r="M2762" s="71">
        <f>IF(L2762&lt;1,1,L2762)</f>
        <v>6.384542440398412</v>
      </c>
      <c r="N2762" s="70" t="s">
        <v>141</v>
      </c>
      <c r="O2762" s="71">
        <f>INDEX(DurClassMapping,MATCH(M2762,MappingTables!$D$4:$D$8,-1),1)</f>
        <v>2</v>
      </c>
      <c r="P2762" s="73">
        <f>IF(M2762=$A$1,1,$M2762-INDEX(MappingTables!$E$4:$E$8,MATCH(O2762,MappingTables!$B$4:$B$8,0)))</f>
        <v>1.3845424403984116</v>
      </c>
      <c r="Q2762" s="71">
        <f>IF(B2762="",0,INDEX(ModelParameters!$D$6:$K$10,MATCH($O2762,ModelParameters!$B$6:$B$10,0),MATCH($J2762,ModelParameters!$D$5:$K$5,0)))</f>
        <v>0.0069999999999999992</v>
      </c>
      <c r="R2762" s="71">
        <f>IF(B2762="",0,INDEX(ModelParameters!$D$13:$K$17,MATCH($O2762,ModelParameters!$B$13:$B$17,0),MATCH($J2762,ModelParameters!$D$5:$K$5,0)))</f>
        <v>0.070000000000000008</v>
      </c>
      <c r="S2762" s="160">
        <f>IF(B2762="",0,MIN(IF($N2762="Other Bond TM",ModelParameters!$N$21,1)*(P2762*Q2762+R2762),1))</f>
        <v>0.07969179708278888</v>
      </c>
      <c r="T2762" s="85">
        <f>IF(B2762="",0,$S2762*$K2762)</f>
        <v>4.2474492826962832</v>
      </c>
      <c r="U2762" s="85">
        <f>IF(B2762="",0,IF(OR(H2762=MappingTables!$C$34,H2762=MappingTables!$C$35),T2762,0))</f>
        <v>0</v>
      </c>
      <c r="V2762" s="85">
        <f>IF(ISNA(IF(AND(VLOOKUP(CONCATENATE($D2762,$G2762),CSRFinput!$B:$E,4,0)=0,OR(H2762=MappingTables!$C$34,H2762=MappingTables!$C$35)),1,VLOOKUP(CONCATENATE($D2762,$G2762),CSRFinput!$B:$E,4,0))),0,IF(AND(VLOOKUP(CONCATENATE($D2762,$G2762),CSRFinput!$B:$E,4,0)=0,OR(H2762=MappingTables!$C$34,H2762=MappingTables!$C$35)),1,VLOOKUP(CONCATENATE($D2762,$G2762),CSRFinput!$B:$E,4,0)))</f>
        <v>0.054776304963434752</v>
      </c>
      <c r="W2762" s="85">
        <f>IF(B2762="",0,+$T2762*$V2762)</f>
        <v>0.23265957722569376</v>
      </c>
      <c r="X2762" s="85">
        <f>IF(B2762="",0,IF(OR(H2762=MappingTables!$C$34,H2762=MappingTables!$C$35),W2762,0))</f>
        <v>0</v>
      </c>
    </row>
    <row r="2763" spans="2:24" s="0" customFormat="0" ht="15">
      <c r="B2763" s="69">
        <v>20925605</v>
      </c>
      <c r="C2763" s="70" t="s">
        <v>2274</v>
      </c>
      <c r="D2763" s="70" t="s">
        <v>1</v>
      </c>
      <c r="E2763" s="70" t="s">
        <v>1</v>
      </c>
      <c r="F2763" s="70"/>
      <c r="G2763" s="70" t="s">
        <v>61</v>
      </c>
      <c r="H2763" s="70" t="s">
        <v>178</v>
      </c>
      <c r="I2763" s="70" t="s">
        <v>188</v>
      </c>
      <c r="J2763" s="71">
        <f>IF(OR(I2763=0,I2763=""),"unrated",VLOOKUP(I2763,MappingTables!$B$19:$C$31,2,FALSE))</f>
        <v>2</v>
      </c>
      <c r="K2763" s="72">
        <v>459.99892449951952</v>
      </c>
      <c r="L2763" s="70">
        <v>0.703576969109084</v>
      </c>
      <c r="M2763" s="71">
        <f>IF(L2763&lt;1,1,L2763)</f>
        <v>1</v>
      </c>
      <c r="N2763" s="70" t="s">
        <v>141</v>
      </c>
      <c r="O2763" s="71">
        <f>INDEX(DurClassMapping,MATCH(M2763,MappingTables!$D$4:$D$8,-1),1)</f>
        <v>1</v>
      </c>
      <c r="P2763" s="73">
        <f>IF(M2763=$A$1,1,$M2763-INDEX(MappingTables!$E$4:$E$8,MATCH(O2763,MappingTables!$B$4:$B$8,0)))</f>
        <v>1</v>
      </c>
      <c r="Q2763" s="71">
        <f>IF(B2763="",0,INDEX(ModelParameters!$D$6:$K$10,MATCH($O2763,ModelParameters!$B$6:$B$10,0),MATCH($J2763,ModelParameters!$D$5:$K$5,0)))</f>
        <v>0.013999999999999998</v>
      </c>
      <c r="R2763" s="71">
        <f>IF(B2763="",0,INDEX(ModelParameters!$D$13:$K$17,MATCH($O2763,ModelParameters!$B$13:$B$17,0),MATCH($J2763,ModelParameters!$D$5:$K$5,0)))</f>
        <v>0</v>
      </c>
      <c r="S2763" s="160">
        <f>IF(B2763="",0,MIN(IF($N2763="Other Bond TM",ModelParameters!$N$21,1)*(P2763*Q2763+R2763),1))</f>
        <v>0.013999999999999998</v>
      </c>
      <c r="T2763" s="85">
        <f>IF(B2763="",0,$S2763*$K2763)</f>
        <v>6.439984942993272</v>
      </c>
      <c r="U2763" s="85">
        <f>IF(B2763="",0,IF(OR(H2763=MappingTables!$C$34,H2763=MappingTables!$C$35),T2763,0))</f>
        <v>0</v>
      </c>
      <c r="V2763" s="85">
        <f>IF(ISNA(IF(AND(VLOOKUP(CONCATENATE($D2763,$G2763),CSRFinput!$B:$E,4,0)=0,OR(H2763=MappingTables!$C$34,H2763=MappingTables!$C$35)),1,VLOOKUP(CONCATENATE($D2763,$G2763),CSRFinput!$B:$E,4,0))),0,IF(AND(VLOOKUP(CONCATENATE($D2763,$G2763),CSRFinput!$B:$E,4,0)=0,OR(H2763=MappingTables!$C$34,H2763=MappingTables!$C$35)),1,VLOOKUP(CONCATENATE($D2763,$G2763),CSRFinput!$B:$E,4,0)))</f>
        <v>0.054776304963434752</v>
      </c>
      <c r="W2763" s="85">
        <f>IF(B2763="",0,+$T2763*$V2763)</f>
        <v>0.35275857919732744</v>
      </c>
      <c r="X2763" s="85">
        <f>IF(B2763="",0,IF(OR(H2763=MappingTables!$C$34,H2763=MappingTables!$C$35),W2763,0))</f>
        <v>0</v>
      </c>
    </row>
    <row r="2764" spans="2:24" s="0" customFormat="0" ht="15">
      <c r="B2764" s="69">
        <v>11798507</v>
      </c>
      <c r="C2764" s="70" t="s">
        <v>2043</v>
      </c>
      <c r="D2764" s="70" t="s">
        <v>1</v>
      </c>
      <c r="E2764" s="70" t="s">
        <v>1</v>
      </c>
      <c r="F2764" s="70"/>
      <c r="G2764" s="70" t="s">
        <v>61</v>
      </c>
      <c r="H2764" s="70" t="s">
        <v>178</v>
      </c>
      <c r="I2764" s="70" t="s">
        <v>181</v>
      </c>
      <c r="J2764" s="71">
        <f>IF(OR(I2764=0,I2764=""),"unrated",VLOOKUP(I2764,MappingTables!$B$19:$C$31,2,FALSE))</f>
        <v>3</v>
      </c>
      <c r="K2764" s="72">
        <v>2994.6993035058152</v>
      </c>
      <c r="L2764" s="70">
        <v>5.2204847141873936</v>
      </c>
      <c r="M2764" s="71">
        <f>IF(L2764&lt;1,1,L2764)</f>
        <v>5.2204847141873936</v>
      </c>
      <c r="N2764" s="70" t="s">
        <v>141</v>
      </c>
      <c r="O2764" s="71">
        <f>INDEX(DurClassMapping,MATCH(M2764,MappingTables!$D$4:$D$8,-1),1)</f>
        <v>2</v>
      </c>
      <c r="P2764" s="73">
        <f>IF(M2764=$A$1,1,$M2764-INDEX(MappingTables!$E$4:$E$8,MATCH(O2764,MappingTables!$B$4:$B$8,0)))</f>
        <v>0.22048471418739356</v>
      </c>
      <c r="Q2764" s="71">
        <f>IF(B2764="",0,INDEX(ModelParameters!$D$6:$K$10,MATCH($O2764,ModelParameters!$B$6:$B$10,0),MATCH($J2764,ModelParameters!$D$5:$K$5,0)))</f>
        <v>0.015</v>
      </c>
      <c r="R2764" s="71">
        <f>IF(B2764="",0,INDEX(ModelParameters!$D$13:$K$17,MATCH($O2764,ModelParameters!$B$13:$B$17,0),MATCH($J2764,ModelParameters!$D$5:$K$5,0)))</f>
        <v>0.125</v>
      </c>
      <c r="S2764" s="160">
        <f>IF(B2764="",0,MIN(IF($N2764="Other Bond TM",ModelParameters!$N$21,1)*(P2764*Q2764+R2764),1))</f>
        <v>0.1283072707128109</v>
      </c>
      <c r="T2764" s="85">
        <f>IF(B2764="",0,$S2764*$K2764)</f>
        <v>384.24169423838688</v>
      </c>
      <c r="U2764" s="85">
        <f>IF(B2764="",0,IF(OR(H2764=MappingTables!$C$34,H2764=MappingTables!$C$35),T2764,0))</f>
        <v>0</v>
      </c>
      <c r="V2764" s="85">
        <f>IF(ISNA(IF(AND(VLOOKUP(CONCATENATE($D2764,$G2764),CSRFinput!$B:$E,4,0)=0,OR(H2764=MappingTables!$C$34,H2764=MappingTables!$C$35)),1,VLOOKUP(CONCATENATE($D2764,$G2764),CSRFinput!$B:$E,4,0))),0,IF(AND(VLOOKUP(CONCATENATE($D2764,$G2764),CSRFinput!$B:$E,4,0)=0,OR(H2764=MappingTables!$C$34,H2764=MappingTables!$C$35)),1,VLOOKUP(CONCATENATE($D2764,$G2764),CSRFinput!$B:$E,4,0)))</f>
        <v>0.054776304963434752</v>
      </c>
      <c r="W2764" s="85">
        <f>IF(B2764="",0,+$T2764*$V2764)</f>
        <v>21.047340223268732</v>
      </c>
      <c r="X2764" s="85">
        <f>IF(B2764="",0,IF(OR(H2764=MappingTables!$C$34,H2764=MappingTables!$C$35),W2764,0))</f>
        <v>0</v>
      </c>
    </row>
    <row r="2765" spans="2:24" s="0" customFormat="0" ht="15">
      <c r="B2765" s="69" t="s">
        <v>1508</v>
      </c>
      <c r="C2765" s="70" t="s">
        <v>1509</v>
      </c>
      <c r="D2765" s="70" t="s">
        <v>1</v>
      </c>
      <c r="E2765" s="70" t="s">
        <v>1</v>
      </c>
      <c r="F2765" s="70"/>
      <c r="G2765" s="70" t="s">
        <v>61</v>
      </c>
      <c r="H2765" s="70" t="s">
        <v>178</v>
      </c>
      <c r="I2765" s="70" t="s">
        <v>181</v>
      </c>
      <c r="J2765" s="71">
        <f>IF(OR(I2765=0,I2765=""),"unrated",VLOOKUP(I2765,MappingTables!$B$19:$C$31,2,FALSE))</f>
        <v>3</v>
      </c>
      <c r="K2765" s="72">
        <v>6.9848936383184888</v>
      </c>
      <c r="L2765" s="70">
        <v>2.2668482637816064</v>
      </c>
      <c r="M2765" s="71">
        <f>IF(L2765&lt;1,1,L2765)</f>
        <v>2.2668482637816064</v>
      </c>
      <c r="N2765" s="70" t="s">
        <v>141</v>
      </c>
      <c r="O2765" s="71">
        <f>INDEX(DurClassMapping,MATCH(M2765,MappingTables!$D$4:$D$8,-1),1)</f>
        <v>1</v>
      </c>
      <c r="P2765" s="73">
        <f>IF(M2765=$A$1,1,$M2765-INDEX(MappingTables!$E$4:$E$8,MATCH(O2765,MappingTables!$B$4:$B$8,0)))</f>
        <v>2.2668482637816064</v>
      </c>
      <c r="Q2765" s="71">
        <f>IF(B2765="",0,INDEX(ModelParameters!$D$6:$K$10,MATCH($O2765,ModelParameters!$B$6:$B$10,0),MATCH($J2765,ModelParameters!$D$5:$K$5,0)))</f>
        <v>0.025</v>
      </c>
      <c r="R2765" s="71">
        <f>IF(B2765="",0,INDEX(ModelParameters!$D$13:$K$17,MATCH($O2765,ModelParameters!$B$13:$B$17,0),MATCH($J2765,ModelParameters!$D$5:$K$5,0)))</f>
        <v>0</v>
      </c>
      <c r="S2765" s="160">
        <f>IF(B2765="",0,MIN(IF($N2765="Other Bond TM",ModelParameters!$N$21,1)*(P2765*Q2765+R2765),1))</f>
        <v>0.05667120659454016</v>
      </c>
      <c r="T2765" s="85">
        <f>IF(B2765="",0,$S2765*$K2765)</f>
        <v>0.3958423504180364</v>
      </c>
      <c r="U2765" s="85">
        <f>IF(B2765="",0,IF(OR(H2765=MappingTables!$C$34,H2765=MappingTables!$C$35),T2765,0))</f>
        <v>0</v>
      </c>
      <c r="V2765" s="85">
        <f>IF(ISNA(IF(AND(VLOOKUP(CONCATENATE($D2765,$G2765),CSRFinput!$B:$E,4,0)=0,OR(H2765=MappingTables!$C$34,H2765=MappingTables!$C$35)),1,VLOOKUP(CONCATENATE($D2765,$G2765),CSRFinput!$B:$E,4,0))),0,IF(AND(VLOOKUP(CONCATENATE($D2765,$G2765),CSRFinput!$B:$E,4,0)=0,OR(H2765=MappingTables!$C$34,H2765=MappingTables!$C$35)),1,VLOOKUP(CONCATENATE($D2765,$G2765),CSRFinput!$B:$E,4,0)))</f>
        <v>0.054776304963434752</v>
      </c>
      <c r="W2765" s="85">
        <f>IF(B2765="",0,+$T2765*$V2765)</f>
        <v>0.021682781303941164</v>
      </c>
      <c r="X2765" s="85">
        <f>IF(B2765="",0,IF(OR(H2765=MappingTables!$C$34,H2765=MappingTables!$C$35),W2765,0))</f>
        <v>0</v>
      </c>
    </row>
    <row r="2766" spans="2:24" s="0" customFormat="0" ht="15">
      <c r="B2766" s="69">
        <v>22211284</v>
      </c>
      <c r="C2766" s="70" t="s">
        <v>2585</v>
      </c>
      <c r="D2766" s="70" t="s">
        <v>1</v>
      </c>
      <c r="E2766" s="70" t="s">
        <v>1</v>
      </c>
      <c r="F2766" s="70"/>
      <c r="G2766" s="70" t="s">
        <v>61</v>
      </c>
      <c r="H2766" s="70" t="s">
        <v>178</v>
      </c>
      <c r="I2766" s="70" t="s">
        <v>198</v>
      </c>
      <c r="J2766" s="71" t="str">
        <f>IF(OR(I2766=0,I2766=""),"unrated",VLOOKUP(I2766,MappingTables!$B$19:$C$31,2,FALSE))</f>
        <v>unrated</v>
      </c>
      <c r="K2766" s="72">
        <v>195.37596686943976</v>
      </c>
      <c r="L2766" s="70">
        <v>3.5093248494147112</v>
      </c>
      <c r="M2766" s="71">
        <f>IF(L2766&lt;1,1,L2766)</f>
        <v>3.5093248494147112</v>
      </c>
      <c r="N2766" s="70" t="s">
        <v>141</v>
      </c>
      <c r="O2766" s="71">
        <f>INDEX(DurClassMapping,MATCH(M2766,MappingTables!$D$4:$D$8,-1),1)</f>
        <v>1</v>
      </c>
      <c r="P2766" s="73">
        <f>IF(M2766=$A$1,1,$M2766-INDEX(MappingTables!$E$4:$E$8,MATCH(O2766,MappingTables!$B$4:$B$8,0)))</f>
        <v>3.5093248494147112</v>
      </c>
      <c r="Q2766" s="71">
        <f>IF(B2766="",0,INDEX(ModelParameters!$D$6:$K$10,MATCH($O2766,ModelParameters!$B$6:$B$10,0),MATCH($J2766,ModelParameters!$D$5:$K$5,0)))</f>
        <v>0.03</v>
      </c>
      <c r="R2766" s="71">
        <f>IF(B2766="",0,INDEX(ModelParameters!$D$13:$K$17,MATCH($O2766,ModelParameters!$B$13:$B$17,0),MATCH($J2766,ModelParameters!$D$5:$K$5,0)))</f>
        <v>0</v>
      </c>
      <c r="S2766" s="160">
        <f>IF(B2766="",0,MIN(IF($N2766="Other Bond TM",ModelParameters!$N$21,1)*(P2766*Q2766+R2766),1))</f>
        <v>0.10527974548244134</v>
      </c>
      <c r="T2766" s="85">
        <f>IF(B2766="",0,$S2766*$K2766)</f>
        <v>20.569132065400508</v>
      </c>
      <c r="U2766" s="85">
        <f>IF(B2766="",0,IF(OR(H2766=MappingTables!$C$34,H2766=MappingTables!$C$35),T2766,0))</f>
        <v>0</v>
      </c>
      <c r="V2766" s="85">
        <f>IF(ISNA(IF(AND(VLOOKUP(CONCATENATE($D2766,$G2766),CSRFinput!$B:$E,4,0)=0,OR(H2766=MappingTables!$C$34,H2766=MappingTables!$C$35)),1,VLOOKUP(CONCATENATE($D2766,$G2766),CSRFinput!$B:$E,4,0))),0,IF(AND(VLOOKUP(CONCATENATE($D2766,$G2766),CSRFinput!$B:$E,4,0)=0,OR(H2766=MappingTables!$C$34,H2766=MappingTables!$C$35)),1,VLOOKUP(CONCATENATE($D2766,$G2766),CSRFinput!$B:$E,4,0)))</f>
        <v>0.054776304963434752</v>
      </c>
      <c r="W2766" s="85">
        <f>IF(B2766="",0,+$T2766*$V2766)</f>
        <v>1.1267010508475428</v>
      </c>
      <c r="X2766" s="85">
        <f>IF(B2766="",0,IF(OR(H2766=MappingTables!$C$34,H2766=MappingTables!$C$35),W2766,0))</f>
        <v>0</v>
      </c>
    </row>
    <row r="2767" spans="2:24" s="0" customFormat="0" ht="15">
      <c r="B2767" s="69">
        <v>14692677</v>
      </c>
      <c r="C2767" s="70" t="s">
        <v>2064</v>
      </c>
      <c r="D2767" s="70" t="s">
        <v>1</v>
      </c>
      <c r="E2767" s="70" t="s">
        <v>1</v>
      </c>
      <c r="F2767" s="70"/>
      <c r="G2767" s="70" t="s">
        <v>61</v>
      </c>
      <c r="H2767" s="70" t="s">
        <v>178</v>
      </c>
      <c r="I2767" s="70" t="s">
        <v>181</v>
      </c>
      <c r="J2767" s="71">
        <f>IF(OR(I2767=0,I2767=""),"unrated",VLOOKUP(I2767,MappingTables!$B$19:$C$31,2,FALSE))</f>
        <v>3</v>
      </c>
      <c r="K2767" s="72">
        <v>9531.4425442116992</v>
      </c>
      <c r="L2767" s="70">
        <v>1.6055605845887862</v>
      </c>
      <c r="M2767" s="71">
        <f>IF(L2767&lt;1,1,L2767)</f>
        <v>1.6055605845887862</v>
      </c>
      <c r="N2767" s="70" t="s">
        <v>141</v>
      </c>
      <c r="O2767" s="71">
        <f>INDEX(DurClassMapping,MATCH(M2767,MappingTables!$D$4:$D$8,-1),1)</f>
        <v>1</v>
      </c>
      <c r="P2767" s="73">
        <f>IF(M2767=$A$1,1,$M2767-INDEX(MappingTables!$E$4:$E$8,MATCH(O2767,MappingTables!$B$4:$B$8,0)))</f>
        <v>1.6055605845887862</v>
      </c>
      <c r="Q2767" s="71">
        <f>IF(B2767="",0,INDEX(ModelParameters!$D$6:$K$10,MATCH($O2767,ModelParameters!$B$6:$B$10,0),MATCH($J2767,ModelParameters!$D$5:$K$5,0)))</f>
        <v>0.025</v>
      </c>
      <c r="R2767" s="71">
        <f>IF(B2767="",0,INDEX(ModelParameters!$D$13:$K$17,MATCH($O2767,ModelParameters!$B$13:$B$17,0),MATCH($J2767,ModelParameters!$D$5:$K$5,0)))</f>
        <v>0</v>
      </c>
      <c r="S2767" s="160">
        <f>IF(B2767="",0,MIN(IF($N2767="Other Bond TM",ModelParameters!$N$21,1)*(P2767*Q2767+R2767),1))</f>
        <v>0.040139014614719656</v>
      </c>
      <c r="T2767" s="85">
        <f>IF(B2767="",0,$S2767*$K2767)</f>
        <v>382.58271158147408</v>
      </c>
      <c r="U2767" s="85">
        <f>IF(B2767="",0,IF(OR(H2767=MappingTables!$C$34,H2767=MappingTables!$C$35),T2767,0))</f>
        <v>0</v>
      </c>
      <c r="V2767" s="85">
        <f>IF(ISNA(IF(AND(VLOOKUP(CONCATENATE($D2767,$G2767),CSRFinput!$B:$E,4,0)=0,OR(H2767=MappingTables!$C$34,H2767=MappingTables!$C$35)),1,VLOOKUP(CONCATENATE($D2767,$G2767),CSRFinput!$B:$E,4,0))),0,IF(AND(VLOOKUP(CONCATENATE($D2767,$G2767),CSRFinput!$B:$E,4,0)=0,OR(H2767=MappingTables!$C$34,H2767=MappingTables!$C$35)),1,VLOOKUP(CONCATENATE($D2767,$G2767),CSRFinput!$B:$E,4,0)))</f>
        <v>0.054776304963434752</v>
      </c>
      <c r="W2767" s="85">
        <f>IF(B2767="",0,+$T2767*$V2767)</f>
        <v>20.956467283324624</v>
      </c>
      <c r="X2767" s="85">
        <f>IF(B2767="",0,IF(OR(H2767=MappingTables!$C$34,H2767=MappingTables!$C$35),W2767,0))</f>
        <v>0</v>
      </c>
    </row>
    <row r="2768" spans="2:24" s="0" customFormat="0" ht="15">
      <c r="B2768" s="69">
        <v>19647685</v>
      </c>
      <c r="C2768" s="70" t="s">
        <v>1987</v>
      </c>
      <c r="D2768" s="70" t="s">
        <v>1</v>
      </c>
      <c r="E2768" s="70" t="s">
        <v>1</v>
      </c>
      <c r="F2768" s="70"/>
      <c r="G2768" s="70" t="s">
        <v>61</v>
      </c>
      <c r="H2768" s="70" t="s">
        <v>178</v>
      </c>
      <c r="I2768" s="70" t="s">
        <v>184</v>
      </c>
      <c r="J2768" s="71">
        <f>IF(OR(I2768=0,I2768=""),"unrated",VLOOKUP(I2768,MappingTables!$B$19:$C$31,2,FALSE))</f>
        <v>5</v>
      </c>
      <c r="K2768" s="72">
        <v>34190.571042216376</v>
      </c>
      <c r="L2768" s="70">
        <v>6.8588552482675248</v>
      </c>
      <c r="M2768" s="71">
        <f>IF(L2768&lt;1,1,L2768)</f>
        <v>6.8588552482675248</v>
      </c>
      <c r="N2768" s="70" t="s">
        <v>141</v>
      </c>
      <c r="O2768" s="71">
        <f>INDEX(DurClassMapping,MATCH(M2768,MappingTables!$D$4:$D$8,-1),1)</f>
        <v>2</v>
      </c>
      <c r="P2768" s="73">
        <f>IF(M2768=$A$1,1,$M2768-INDEX(MappingTables!$E$4:$E$8,MATCH(O2768,MappingTables!$B$4:$B$8,0)))</f>
        <v>1.8588552482675248</v>
      </c>
      <c r="Q2768" s="71">
        <f>IF(B2768="",0,INDEX(ModelParameters!$D$6:$K$10,MATCH($O2768,ModelParameters!$B$6:$B$10,0),MATCH($J2768,ModelParameters!$D$5:$K$5,0)))</f>
        <v>0.042</v>
      </c>
      <c r="R2768" s="71">
        <f>IF(B2768="",0,INDEX(ModelParameters!$D$13:$K$17,MATCH($O2768,ModelParameters!$B$13:$B$17,0),MATCH($J2768,ModelParameters!$D$5:$K$5,0)))</f>
        <v>0.375</v>
      </c>
      <c r="S2768" s="160">
        <f>IF(B2768="",0,MIN(IF($N2768="Other Bond TM",ModelParameters!$N$21,1)*(P2768*Q2768+R2768),1))</f>
        <v>0.45307192042723608</v>
      </c>
      <c r="T2768" s="85">
        <f>IF(B2768="",0,$S2768*$K2768)</f>
        <v>15490.787682600818</v>
      </c>
      <c r="U2768" s="85">
        <f>IF(B2768="",0,IF(OR(H2768=MappingTables!$C$34,H2768=MappingTables!$C$35),T2768,0))</f>
        <v>0</v>
      </c>
      <c r="V2768" s="85">
        <f>IF(ISNA(IF(AND(VLOOKUP(CONCATENATE($D2768,$G2768),CSRFinput!$B:$E,4,0)=0,OR(H2768=MappingTables!$C$34,H2768=MappingTables!$C$35)),1,VLOOKUP(CONCATENATE($D2768,$G2768),CSRFinput!$B:$E,4,0))),0,IF(AND(VLOOKUP(CONCATENATE($D2768,$G2768),CSRFinput!$B:$E,4,0)=0,OR(H2768=MappingTables!$C$34,H2768=MappingTables!$C$35)),1,VLOOKUP(CONCATENATE($D2768,$G2768),CSRFinput!$B:$E,4,0)))</f>
        <v>0.054776304963434752</v>
      </c>
      <c r="W2768" s="85">
        <f>IF(B2768="",0,+$T2768*$V2768)</f>
        <v>848.52811022596112</v>
      </c>
      <c r="X2768" s="85">
        <f>IF(B2768="",0,IF(OR(H2768=MappingTables!$C$34,H2768=MappingTables!$C$35),W2768,0))</f>
        <v>0</v>
      </c>
    </row>
    <row r="2769" spans="2:24" s="0" customFormat="0" ht="15">
      <c r="B2769" s="69" t="s">
        <v>1956</v>
      </c>
      <c r="C2769" s="70" t="s">
        <v>1957</v>
      </c>
      <c r="D2769" s="70" t="s">
        <v>1</v>
      </c>
      <c r="E2769" s="70" t="s">
        <v>1</v>
      </c>
      <c r="F2769" s="70"/>
      <c r="G2769" s="70" t="s">
        <v>61</v>
      </c>
      <c r="H2769" s="70" t="s">
        <v>178</v>
      </c>
      <c r="I2769" s="70" t="s">
        <v>198</v>
      </c>
      <c r="J2769" s="71" t="str">
        <f>IF(OR(I2769=0,I2769=""),"unrated",VLOOKUP(I2769,MappingTables!$B$19:$C$31,2,FALSE))</f>
        <v>unrated</v>
      </c>
      <c r="K2769" s="72">
        <v>1.829159610676102</v>
      </c>
      <c r="L2769" s="70">
        <v>0.013698744056722094</v>
      </c>
      <c r="M2769" s="71">
        <f>IF(L2769&lt;1,1,L2769)</f>
        <v>1</v>
      </c>
      <c r="N2769" s="70" t="s">
        <v>141</v>
      </c>
      <c r="O2769" s="71">
        <f>INDEX(DurClassMapping,MATCH(M2769,MappingTables!$D$4:$D$8,-1),1)</f>
        <v>1</v>
      </c>
      <c r="P2769" s="73">
        <f>IF(M2769=$A$1,1,$M2769-INDEX(MappingTables!$E$4:$E$8,MATCH(O2769,MappingTables!$B$4:$B$8,0)))</f>
        <v>1</v>
      </c>
      <c r="Q2769" s="71">
        <f>IF(B2769="",0,INDEX(ModelParameters!$D$6:$K$10,MATCH($O2769,ModelParameters!$B$6:$B$10,0),MATCH($J2769,ModelParameters!$D$5:$K$5,0)))</f>
        <v>0.03</v>
      </c>
      <c r="R2769" s="71">
        <f>IF(B2769="",0,INDEX(ModelParameters!$D$13:$K$17,MATCH($O2769,ModelParameters!$B$13:$B$17,0),MATCH($J2769,ModelParameters!$D$5:$K$5,0)))</f>
        <v>0</v>
      </c>
      <c r="S2769" s="160">
        <f>IF(B2769="",0,MIN(IF($N2769="Other Bond TM",ModelParameters!$N$21,1)*(P2769*Q2769+R2769),1))</f>
        <v>0.03</v>
      </c>
      <c r="T2769" s="85">
        <f>IF(B2769="",0,$S2769*$K2769)</f>
        <v>0.054874788320283056</v>
      </c>
      <c r="U2769" s="85">
        <f>IF(B2769="",0,IF(OR(H2769=MappingTables!$C$34,H2769=MappingTables!$C$35),T2769,0))</f>
        <v>0</v>
      </c>
      <c r="V2769" s="85">
        <f>IF(ISNA(IF(AND(VLOOKUP(CONCATENATE($D2769,$G2769),CSRFinput!$B:$E,4,0)=0,OR(H2769=MappingTables!$C$34,H2769=MappingTables!$C$35)),1,VLOOKUP(CONCATENATE($D2769,$G2769),CSRFinput!$B:$E,4,0))),0,IF(AND(VLOOKUP(CONCATENATE($D2769,$G2769),CSRFinput!$B:$E,4,0)=0,OR(H2769=MappingTables!$C$34,H2769=MappingTables!$C$35)),1,VLOOKUP(CONCATENATE($D2769,$G2769),CSRFinput!$B:$E,4,0)))</f>
        <v>0.054776304963434752</v>
      </c>
      <c r="W2769" s="85">
        <f>IF(B2769="",0,+$T2769*$V2769)</f>
        <v>0.003005838139835752</v>
      </c>
      <c r="X2769" s="85">
        <f>IF(B2769="",0,IF(OR(H2769=MappingTables!$C$34,H2769=MappingTables!$C$35),W2769,0))</f>
        <v>0</v>
      </c>
    </row>
    <row r="2770" spans="2:24" s="0" customFormat="0" ht="15">
      <c r="B2770" s="69">
        <v>16973570</v>
      </c>
      <c r="C2770" s="70" t="s">
        <v>2460</v>
      </c>
      <c r="D2770" s="70" t="s">
        <v>1</v>
      </c>
      <c r="E2770" s="70" t="s">
        <v>1</v>
      </c>
      <c r="F2770" s="70"/>
      <c r="G2770" s="70" t="s">
        <v>61</v>
      </c>
      <c r="H2770" s="70" t="s">
        <v>178</v>
      </c>
      <c r="I2770" s="70" t="s">
        <v>179</v>
      </c>
      <c r="J2770" s="71">
        <f>IF(OR(I2770=0,I2770=""),"unrated",VLOOKUP(I2770,MappingTables!$B$19:$C$31,2,FALSE))</f>
        <v>4</v>
      </c>
      <c r="K2770" s="72">
        <v>14129.40896112321</v>
      </c>
      <c r="L2770" s="70">
        <v>1.874546254970226</v>
      </c>
      <c r="M2770" s="71">
        <f>IF(L2770&lt;1,1,L2770)</f>
        <v>1.874546254970226</v>
      </c>
      <c r="N2770" s="70" t="s">
        <v>141</v>
      </c>
      <c r="O2770" s="71">
        <f>INDEX(DurClassMapping,MATCH(M2770,MappingTables!$D$4:$D$8,-1),1)</f>
        <v>1</v>
      </c>
      <c r="P2770" s="73">
        <f>IF(M2770=$A$1,1,$M2770-INDEX(MappingTables!$E$4:$E$8,MATCH(O2770,MappingTables!$B$4:$B$8,0)))</f>
        <v>1.874546254970226</v>
      </c>
      <c r="Q2770" s="71">
        <f>IF(B2770="",0,INDEX(ModelParameters!$D$6:$K$10,MATCH($O2770,ModelParameters!$B$6:$B$10,0),MATCH($J2770,ModelParameters!$D$5:$K$5,0)))</f>
        <v>0.045</v>
      </c>
      <c r="R2770" s="71">
        <f>IF(B2770="",0,INDEX(ModelParameters!$D$13:$K$17,MATCH($O2770,ModelParameters!$B$13:$B$17,0),MATCH($J2770,ModelParameters!$D$5:$K$5,0)))</f>
        <v>0</v>
      </c>
      <c r="S2770" s="160">
        <f>IF(B2770="",0,MIN(IF($N2770="Other Bond TM",ModelParameters!$N$21,1)*(P2770*Q2770+R2770),1))</f>
        <v>0.08435458147366016</v>
      </c>
      <c r="T2770" s="85">
        <f>IF(B2770="",0,$S2770*$K2770)</f>
        <v>1191.8803793857318</v>
      </c>
      <c r="U2770" s="85">
        <f>IF(B2770="",0,IF(OR(H2770=MappingTables!$C$34,H2770=MappingTables!$C$35),T2770,0))</f>
        <v>0</v>
      </c>
      <c r="V2770" s="85">
        <f>IF(ISNA(IF(AND(VLOOKUP(CONCATENATE($D2770,$G2770),CSRFinput!$B:$E,4,0)=0,OR(H2770=MappingTables!$C$34,H2770=MappingTables!$C$35)),1,VLOOKUP(CONCATENATE($D2770,$G2770),CSRFinput!$B:$E,4,0))),0,IF(AND(VLOOKUP(CONCATENATE($D2770,$G2770),CSRFinput!$B:$E,4,0)=0,OR(H2770=MappingTables!$C$34,H2770=MappingTables!$C$35)),1,VLOOKUP(CONCATENATE($D2770,$G2770),CSRFinput!$B:$E,4,0)))</f>
        <v>0.054776304963434752</v>
      </c>
      <c r="W2770" s="85">
        <f>IF(B2770="",0,+$T2770*$V2770)</f>
        <v>65.286803141167168</v>
      </c>
      <c r="X2770" s="85">
        <f>IF(B2770="",0,IF(OR(H2770=MappingTables!$C$34,H2770=MappingTables!$C$35),W2770,0))</f>
        <v>0</v>
      </c>
    </row>
    <row r="2771" spans="2:24" s="0" customFormat="0" ht="15">
      <c r="B2771" s="69">
        <v>11866824</v>
      </c>
      <c r="C2771" s="70" t="s">
        <v>2586</v>
      </c>
      <c r="D2771" s="70" t="s">
        <v>1</v>
      </c>
      <c r="E2771" s="70" t="s">
        <v>1</v>
      </c>
      <c r="F2771" s="70"/>
      <c r="G2771" s="70" t="s">
        <v>61</v>
      </c>
      <c r="H2771" s="70" t="s">
        <v>178</v>
      </c>
      <c r="I2771" s="70" t="s">
        <v>181</v>
      </c>
      <c r="J2771" s="71">
        <f>IF(OR(I2771=0,I2771=""),"unrated",VLOOKUP(I2771,MappingTables!$B$19:$C$31,2,FALSE))</f>
        <v>3</v>
      </c>
      <c r="K2771" s="72">
        <v>308.72745971004828</v>
      </c>
      <c r="L2771" s="70">
        <v>2.2540522321205572</v>
      </c>
      <c r="M2771" s="71">
        <f>IF(L2771&lt;1,1,L2771)</f>
        <v>2.2540522321205572</v>
      </c>
      <c r="N2771" s="70" t="s">
        <v>141</v>
      </c>
      <c r="O2771" s="71">
        <f>INDEX(DurClassMapping,MATCH(M2771,MappingTables!$D$4:$D$8,-1),1)</f>
        <v>1</v>
      </c>
      <c r="P2771" s="73">
        <f>IF(M2771=$A$1,1,$M2771-INDEX(MappingTables!$E$4:$E$8,MATCH(O2771,MappingTables!$B$4:$B$8,0)))</f>
        <v>2.2540522321205572</v>
      </c>
      <c r="Q2771" s="71">
        <f>IF(B2771="",0,INDEX(ModelParameters!$D$6:$K$10,MATCH($O2771,ModelParameters!$B$6:$B$10,0),MATCH($J2771,ModelParameters!$D$5:$K$5,0)))</f>
        <v>0.025</v>
      </c>
      <c r="R2771" s="71">
        <f>IF(B2771="",0,INDEX(ModelParameters!$D$13:$K$17,MATCH($O2771,ModelParameters!$B$13:$B$17,0),MATCH($J2771,ModelParameters!$D$5:$K$5,0)))</f>
        <v>0</v>
      </c>
      <c r="S2771" s="160">
        <f>IF(B2771="",0,MIN(IF($N2771="Other Bond TM",ModelParameters!$N$21,1)*(P2771*Q2771+R2771),1))</f>
        <v>0.056351305803013928</v>
      </c>
      <c r="T2771" s="85">
        <f>IF(B2771="",0,$S2771*$K2771)</f>
        <v>17.397195491908594</v>
      </c>
      <c r="U2771" s="85">
        <f>IF(B2771="",0,IF(OR(H2771=MappingTables!$C$34,H2771=MappingTables!$C$35),T2771,0))</f>
        <v>0</v>
      </c>
      <c r="V2771" s="85">
        <f>IF(ISNA(IF(AND(VLOOKUP(CONCATENATE($D2771,$G2771),CSRFinput!$B:$E,4,0)=0,OR(H2771=MappingTables!$C$34,H2771=MappingTables!$C$35)),1,VLOOKUP(CONCATENATE($D2771,$G2771),CSRFinput!$B:$E,4,0))),0,IF(AND(VLOOKUP(CONCATENATE($D2771,$G2771),CSRFinput!$B:$E,4,0)=0,OR(H2771=MappingTables!$C$34,H2771=MappingTables!$C$35)),1,VLOOKUP(CONCATENATE($D2771,$G2771),CSRFinput!$B:$E,4,0)))</f>
        <v>0.054776304963434752</v>
      </c>
      <c r="W2771" s="85">
        <f>IF(B2771="",0,+$T2771*$V2771)</f>
        <v>0.95295408577327744</v>
      </c>
      <c r="X2771" s="85">
        <f>IF(B2771="",0,IF(OR(H2771=MappingTables!$C$34,H2771=MappingTables!$C$35),W2771,0))</f>
        <v>0</v>
      </c>
    </row>
    <row r="2772" spans="2:24" s="0" customFormat="0" ht="15">
      <c r="B2772" s="69" t="s">
        <v>1788</v>
      </c>
      <c r="C2772" s="70" t="s">
        <v>1789</v>
      </c>
      <c r="D2772" s="70" t="s">
        <v>1</v>
      </c>
      <c r="E2772" s="70" t="s">
        <v>1</v>
      </c>
      <c r="F2772" s="70"/>
      <c r="G2772" s="70" t="s">
        <v>61</v>
      </c>
      <c r="H2772" s="70" t="s">
        <v>178</v>
      </c>
      <c r="I2772" s="70" t="s">
        <v>181</v>
      </c>
      <c r="J2772" s="71">
        <f>IF(OR(I2772=0,I2772=""),"unrated",VLOOKUP(I2772,MappingTables!$B$19:$C$31,2,FALSE))</f>
        <v>3</v>
      </c>
      <c r="K2772" s="72">
        <v>15858.896461063332</v>
      </c>
      <c r="L2772" s="70">
        <v>4.4882735860192984</v>
      </c>
      <c r="M2772" s="71">
        <f>IF(L2772&lt;1,1,L2772)</f>
        <v>4.4882735860192984</v>
      </c>
      <c r="N2772" s="70" t="s">
        <v>141</v>
      </c>
      <c r="O2772" s="71">
        <f>INDEX(DurClassMapping,MATCH(M2772,MappingTables!$D$4:$D$8,-1),1)</f>
        <v>1</v>
      </c>
      <c r="P2772" s="73">
        <f>IF(M2772=$A$1,1,$M2772-INDEX(MappingTables!$E$4:$E$8,MATCH(O2772,MappingTables!$B$4:$B$8,0)))</f>
        <v>4.4882735860192984</v>
      </c>
      <c r="Q2772" s="71">
        <f>IF(B2772="",0,INDEX(ModelParameters!$D$6:$K$10,MATCH($O2772,ModelParameters!$B$6:$B$10,0),MATCH($J2772,ModelParameters!$D$5:$K$5,0)))</f>
        <v>0.025</v>
      </c>
      <c r="R2772" s="71">
        <f>IF(B2772="",0,INDEX(ModelParameters!$D$13:$K$17,MATCH($O2772,ModelParameters!$B$13:$B$17,0),MATCH($J2772,ModelParameters!$D$5:$K$5,0)))</f>
        <v>0</v>
      </c>
      <c r="S2772" s="160">
        <f>IF(B2772="",0,MIN(IF($N2772="Other Bond TM",ModelParameters!$N$21,1)*(P2772*Q2772+R2772),1))</f>
        <v>0.11220683965048246</v>
      </c>
      <c r="T2772" s="85">
        <f>IF(B2772="",0,$S2772*$K2772)</f>
        <v>1779.4766522401372</v>
      </c>
      <c r="U2772" s="85">
        <f>IF(B2772="",0,IF(OR(H2772=MappingTables!$C$34,H2772=MappingTables!$C$35),T2772,0))</f>
        <v>0</v>
      </c>
      <c r="V2772" s="85">
        <f>IF(ISNA(IF(AND(VLOOKUP(CONCATENATE($D2772,$G2772),CSRFinput!$B:$E,4,0)=0,OR(H2772=MappingTables!$C$34,H2772=MappingTables!$C$35)),1,VLOOKUP(CONCATENATE($D2772,$G2772),CSRFinput!$B:$E,4,0))),0,IF(AND(VLOOKUP(CONCATENATE($D2772,$G2772),CSRFinput!$B:$E,4,0)=0,OR(H2772=MappingTables!$C$34,H2772=MappingTables!$C$35)),1,VLOOKUP(CONCATENATE($D2772,$G2772),CSRFinput!$B:$E,4,0)))</f>
        <v>0.054776304963434752</v>
      </c>
      <c r="W2772" s="85">
        <f>IF(B2772="",0,+$T2772*$V2772)</f>
        <v>97.47315577841768</v>
      </c>
      <c r="X2772" s="85">
        <f>IF(B2772="",0,IF(OR(H2772=MappingTables!$C$34,H2772=MappingTables!$C$35),W2772,0))</f>
        <v>0</v>
      </c>
    </row>
    <row r="2773" spans="2:24" s="0" customFormat="0" ht="15">
      <c r="B2773" s="69">
        <v>21045590</v>
      </c>
      <c r="C2773" s="70" t="s">
        <v>2587</v>
      </c>
      <c r="D2773" s="70" t="s">
        <v>1</v>
      </c>
      <c r="E2773" s="70" t="s">
        <v>1</v>
      </c>
      <c r="F2773" s="70"/>
      <c r="G2773" s="70" t="s">
        <v>61</v>
      </c>
      <c r="H2773" s="70" t="s">
        <v>178</v>
      </c>
      <c r="I2773" s="70" t="s">
        <v>188</v>
      </c>
      <c r="J2773" s="71">
        <f>IF(OR(I2773=0,I2773=""),"unrated",VLOOKUP(I2773,MappingTables!$B$19:$C$31,2,FALSE))</f>
        <v>2</v>
      </c>
      <c r="K2773" s="72">
        <v>1882.8949312857236</v>
      </c>
      <c r="L2773" s="70">
        <v>4.0880308410725496</v>
      </c>
      <c r="M2773" s="71">
        <f>IF(L2773&lt;1,1,L2773)</f>
        <v>4.0880308410725496</v>
      </c>
      <c r="N2773" s="70" t="s">
        <v>141</v>
      </c>
      <c r="O2773" s="71">
        <f>INDEX(DurClassMapping,MATCH(M2773,MappingTables!$D$4:$D$8,-1),1)</f>
        <v>1</v>
      </c>
      <c r="P2773" s="73">
        <f>IF(M2773=$A$1,1,$M2773-INDEX(MappingTables!$E$4:$E$8,MATCH(O2773,MappingTables!$B$4:$B$8,0)))</f>
        <v>4.0880308410725496</v>
      </c>
      <c r="Q2773" s="71">
        <f>IF(B2773="",0,INDEX(ModelParameters!$D$6:$K$10,MATCH($O2773,ModelParameters!$B$6:$B$10,0),MATCH($J2773,ModelParameters!$D$5:$K$5,0)))</f>
        <v>0.013999999999999998</v>
      </c>
      <c r="R2773" s="71">
        <f>IF(B2773="",0,INDEX(ModelParameters!$D$13:$K$17,MATCH($O2773,ModelParameters!$B$13:$B$17,0),MATCH($J2773,ModelParameters!$D$5:$K$5,0)))</f>
        <v>0</v>
      </c>
      <c r="S2773" s="160">
        <f>IF(B2773="",0,MIN(IF($N2773="Other Bond TM",ModelParameters!$N$21,1)*(P2773*Q2773+R2773),1))</f>
        <v>0.05723243177501568</v>
      </c>
      <c r="T2773" s="85">
        <f>IF(B2773="",0,$S2773*$K2773)</f>
        <v>107.76265569433302</v>
      </c>
      <c r="U2773" s="85">
        <f>IF(B2773="",0,IF(OR(H2773=MappingTables!$C$34,H2773=MappingTables!$C$35),T2773,0))</f>
        <v>0</v>
      </c>
      <c r="V2773" s="85">
        <f>IF(ISNA(IF(AND(VLOOKUP(CONCATENATE($D2773,$G2773),CSRFinput!$B:$E,4,0)=0,OR(H2773=MappingTables!$C$34,H2773=MappingTables!$C$35)),1,VLOOKUP(CONCATENATE($D2773,$G2773),CSRFinput!$B:$E,4,0))),0,IF(AND(VLOOKUP(CONCATENATE($D2773,$G2773),CSRFinput!$B:$E,4,0)=0,OR(H2773=MappingTables!$C$34,H2773=MappingTables!$C$35)),1,VLOOKUP(CONCATENATE($D2773,$G2773),CSRFinput!$B:$E,4,0)))</f>
        <v>0.054776304963434752</v>
      </c>
      <c r="W2773" s="85">
        <f>IF(B2773="",0,+$T2773*$V2773)</f>
        <v>5.902840091982404</v>
      </c>
      <c r="X2773" s="85">
        <f>IF(B2773="",0,IF(OR(H2773=MappingTables!$C$34,H2773=MappingTables!$C$35),W2773,0))</f>
        <v>0</v>
      </c>
    </row>
    <row r="2774" spans="2:24" s="0" customFormat="0" ht="15">
      <c r="B2774" s="69">
        <v>24824154</v>
      </c>
      <c r="C2774" s="70" t="s">
        <v>2588</v>
      </c>
      <c r="D2774" s="70" t="s">
        <v>1</v>
      </c>
      <c r="E2774" s="70" t="s">
        <v>1</v>
      </c>
      <c r="F2774" s="70"/>
      <c r="G2774" s="70" t="s">
        <v>61</v>
      </c>
      <c r="H2774" s="70" t="s">
        <v>178</v>
      </c>
      <c r="I2774" s="70" t="s">
        <v>220</v>
      </c>
      <c r="J2774" s="71">
        <f>IF(OR(I2774=0,I2774=""),"unrated",VLOOKUP(I2774,MappingTables!$B$19:$C$31,2,FALSE))</f>
        <v>1</v>
      </c>
      <c r="K2774" s="72">
        <v>17054.530377568958</v>
      </c>
      <c r="L2774" s="70">
        <v>0.035617366350934884</v>
      </c>
      <c r="M2774" s="71">
        <f>IF(L2774&lt;1,1,L2774)</f>
        <v>1</v>
      </c>
      <c r="N2774" s="70" t="s">
        <v>141</v>
      </c>
      <c r="O2774" s="71">
        <f>INDEX(DurClassMapping,MATCH(M2774,MappingTables!$D$4:$D$8,-1),1)</f>
        <v>1</v>
      </c>
      <c r="P2774" s="73">
        <f>IF(M2774=$A$1,1,$M2774-INDEX(MappingTables!$E$4:$E$8,MATCH(O2774,MappingTables!$B$4:$B$8,0)))</f>
        <v>1</v>
      </c>
      <c r="Q2774" s="71">
        <f>IF(B2774="",0,INDEX(ModelParameters!$D$6:$K$10,MATCH($O2774,ModelParameters!$B$6:$B$10,0),MATCH($J2774,ModelParameters!$D$5:$K$5,0)))</f>
        <v>0.011000000000000002</v>
      </c>
      <c r="R2774" s="71">
        <f>IF(B2774="",0,INDEX(ModelParameters!$D$13:$K$17,MATCH($O2774,ModelParameters!$B$13:$B$17,0),MATCH($J2774,ModelParameters!$D$5:$K$5,0)))</f>
        <v>0</v>
      </c>
      <c r="S2774" s="160">
        <f>IF(B2774="",0,MIN(IF($N2774="Other Bond TM",ModelParameters!$N$21,1)*(P2774*Q2774+R2774),1))</f>
        <v>0.011000000000000002</v>
      </c>
      <c r="T2774" s="85">
        <f>IF(B2774="",0,$S2774*$K2774)</f>
        <v>187.59983415325856</v>
      </c>
      <c r="U2774" s="85">
        <f>IF(B2774="",0,IF(OR(H2774=MappingTables!$C$34,H2774=MappingTables!$C$35),T2774,0))</f>
        <v>0</v>
      </c>
      <c r="V2774" s="85">
        <f>IF(ISNA(IF(AND(VLOOKUP(CONCATENATE($D2774,$G2774),CSRFinput!$B:$E,4,0)=0,OR(H2774=MappingTables!$C$34,H2774=MappingTables!$C$35)),1,VLOOKUP(CONCATENATE($D2774,$G2774),CSRFinput!$B:$E,4,0))),0,IF(AND(VLOOKUP(CONCATENATE($D2774,$G2774),CSRFinput!$B:$E,4,0)=0,OR(H2774=MappingTables!$C$34,H2774=MappingTables!$C$35)),1,VLOOKUP(CONCATENATE($D2774,$G2774),CSRFinput!$B:$E,4,0)))</f>
        <v>0.054776304963434752</v>
      </c>
      <c r="W2774" s="85">
        <f>IF(B2774="",0,+$T2774*$V2774)</f>
        <v>10.276025726668672</v>
      </c>
      <c r="X2774" s="85">
        <f>IF(B2774="",0,IF(OR(H2774=MappingTables!$C$34,H2774=MappingTables!$C$35),W2774,0))</f>
        <v>0</v>
      </c>
    </row>
    <row r="2775" spans="2:24" s="0" customFormat="0" ht="15">
      <c r="B2775" s="69">
        <v>17246494</v>
      </c>
      <c r="C2775" s="70" t="s">
        <v>241</v>
      </c>
      <c r="D2775" s="70" t="s">
        <v>1</v>
      </c>
      <c r="E2775" s="70" t="s">
        <v>1</v>
      </c>
      <c r="F2775" s="70"/>
      <c r="G2775" s="70" t="s">
        <v>61</v>
      </c>
      <c r="H2775" s="70" t="s">
        <v>178</v>
      </c>
      <c r="I2775" s="70" t="s">
        <v>181</v>
      </c>
      <c r="J2775" s="71">
        <f>IF(OR(I2775=0,I2775=""),"unrated",VLOOKUP(I2775,MappingTables!$B$19:$C$31,2,FALSE))</f>
        <v>3</v>
      </c>
      <c r="K2775" s="72">
        <v>12.38035751371296</v>
      </c>
      <c r="L2775" s="70">
        <v>0.4943196690011424</v>
      </c>
      <c r="M2775" s="71">
        <f>IF(L2775&lt;1,1,L2775)</f>
        <v>1</v>
      </c>
      <c r="N2775" s="70" t="s">
        <v>141</v>
      </c>
      <c r="O2775" s="71">
        <f>INDEX(DurClassMapping,MATCH(M2775,MappingTables!$D$4:$D$8,-1),1)</f>
        <v>1</v>
      </c>
      <c r="P2775" s="73">
        <f>IF(M2775=$A$1,1,$M2775-INDEX(MappingTables!$E$4:$E$8,MATCH(O2775,MappingTables!$B$4:$B$8,0)))</f>
        <v>1</v>
      </c>
      <c r="Q2775" s="71">
        <f>IF(B2775="",0,INDEX(ModelParameters!$D$6:$K$10,MATCH($O2775,ModelParameters!$B$6:$B$10,0),MATCH($J2775,ModelParameters!$D$5:$K$5,0)))</f>
        <v>0.025</v>
      </c>
      <c r="R2775" s="71">
        <f>IF(B2775="",0,INDEX(ModelParameters!$D$13:$K$17,MATCH($O2775,ModelParameters!$B$13:$B$17,0),MATCH($J2775,ModelParameters!$D$5:$K$5,0)))</f>
        <v>0</v>
      </c>
      <c r="S2775" s="160">
        <f>IF(B2775="",0,MIN(IF($N2775="Other Bond TM",ModelParameters!$N$21,1)*(P2775*Q2775+R2775),1))</f>
        <v>0.025</v>
      </c>
      <c r="T2775" s="85">
        <f>IF(B2775="",0,$S2775*$K2775)</f>
        <v>0.309508937842824</v>
      </c>
      <c r="U2775" s="85">
        <f>IF(B2775="",0,IF(OR(H2775=MappingTables!$C$34,H2775=MappingTables!$C$35),T2775,0))</f>
        <v>0</v>
      </c>
      <c r="V2775" s="85">
        <f>IF(ISNA(IF(AND(VLOOKUP(CONCATENATE($D2775,$G2775),CSRFinput!$B:$E,4,0)=0,OR(H2775=MappingTables!$C$34,H2775=MappingTables!$C$35)),1,VLOOKUP(CONCATENATE($D2775,$G2775),CSRFinput!$B:$E,4,0))),0,IF(AND(VLOOKUP(CONCATENATE($D2775,$G2775),CSRFinput!$B:$E,4,0)=0,OR(H2775=MappingTables!$C$34,H2775=MappingTables!$C$35)),1,VLOOKUP(CONCATENATE($D2775,$G2775),CSRFinput!$B:$E,4,0)))</f>
        <v>0.054776304963434752</v>
      </c>
      <c r="W2775" s="85">
        <f>IF(B2775="",0,+$T2775*$V2775)</f>
        <v>0.016953755968187298</v>
      </c>
      <c r="X2775" s="85">
        <f>IF(B2775="",0,IF(OR(H2775=MappingTables!$C$34,H2775=MappingTables!$C$35),W2775,0))</f>
        <v>0</v>
      </c>
    </row>
    <row r="2776" spans="2:24" s="0" customFormat="0" ht="15">
      <c r="B2776" s="69">
        <v>20579161</v>
      </c>
      <c r="C2776" s="70" t="s">
        <v>1685</v>
      </c>
      <c r="D2776" s="70" t="s">
        <v>1</v>
      </c>
      <c r="E2776" s="70" t="s">
        <v>1</v>
      </c>
      <c r="F2776" s="70"/>
      <c r="G2776" s="70" t="s">
        <v>61</v>
      </c>
      <c r="H2776" s="70" t="s">
        <v>178</v>
      </c>
      <c r="I2776" s="70" t="s">
        <v>181</v>
      </c>
      <c r="J2776" s="71">
        <f>IF(OR(I2776=0,I2776=""),"unrated",VLOOKUP(I2776,MappingTables!$B$19:$C$31,2,FALSE))</f>
        <v>3</v>
      </c>
      <c r="K2776" s="72">
        <v>5656.3790295566272</v>
      </c>
      <c r="L2776" s="70">
        <v>1.4388362089039868</v>
      </c>
      <c r="M2776" s="71">
        <f>IF(L2776&lt;1,1,L2776)</f>
        <v>1.4388362089039868</v>
      </c>
      <c r="N2776" s="70" t="s">
        <v>141</v>
      </c>
      <c r="O2776" s="71">
        <f>INDEX(DurClassMapping,MATCH(M2776,MappingTables!$D$4:$D$8,-1),1)</f>
        <v>1</v>
      </c>
      <c r="P2776" s="73">
        <f>IF(M2776=$A$1,1,$M2776-INDEX(MappingTables!$E$4:$E$8,MATCH(O2776,MappingTables!$B$4:$B$8,0)))</f>
        <v>1.4388362089039868</v>
      </c>
      <c r="Q2776" s="71">
        <f>IF(B2776="",0,INDEX(ModelParameters!$D$6:$K$10,MATCH($O2776,ModelParameters!$B$6:$B$10,0),MATCH($J2776,ModelParameters!$D$5:$K$5,0)))</f>
        <v>0.025</v>
      </c>
      <c r="R2776" s="71">
        <f>IF(B2776="",0,INDEX(ModelParameters!$D$13:$K$17,MATCH($O2776,ModelParameters!$B$13:$B$17,0),MATCH($J2776,ModelParameters!$D$5:$K$5,0)))</f>
        <v>0</v>
      </c>
      <c r="S2776" s="160">
        <f>IF(B2776="",0,MIN(IF($N2776="Other Bond TM",ModelParameters!$N$21,1)*(P2776*Q2776+R2776),1))</f>
        <v>0.035970905222599672</v>
      </c>
      <c r="T2776" s="85">
        <f>IF(B2776="",0,$S2776*$K2776)</f>
        <v>203.46507397528176</v>
      </c>
      <c r="U2776" s="85">
        <f>IF(B2776="",0,IF(OR(H2776=MappingTables!$C$34,H2776=MappingTables!$C$35),T2776,0))</f>
        <v>0</v>
      </c>
      <c r="V2776" s="85">
        <f>IF(ISNA(IF(AND(VLOOKUP(CONCATENATE($D2776,$G2776),CSRFinput!$B:$E,4,0)=0,OR(H2776=MappingTables!$C$34,H2776=MappingTables!$C$35)),1,VLOOKUP(CONCATENATE($D2776,$G2776),CSRFinput!$B:$E,4,0))),0,IF(AND(VLOOKUP(CONCATENATE($D2776,$G2776),CSRFinput!$B:$E,4,0)=0,OR(H2776=MappingTables!$C$34,H2776=MappingTables!$C$35)),1,VLOOKUP(CONCATENATE($D2776,$G2776),CSRFinput!$B:$E,4,0)))</f>
        <v>0.054776304963434752</v>
      </c>
      <c r="W2776" s="85">
        <f>IF(B2776="",0,+$T2776*$V2776)</f>
        <v>11.145064941477844</v>
      </c>
      <c r="X2776" s="85">
        <f>IF(B2776="",0,IF(OR(H2776=MappingTables!$C$34,H2776=MappingTables!$C$35),W2776,0))</f>
        <v>0</v>
      </c>
    </row>
    <row r="2777" spans="2:24" s="0" customFormat="0" ht="15">
      <c r="B2777" s="69" t="s">
        <v>232</v>
      </c>
      <c r="C2777" s="70" t="s">
        <v>233</v>
      </c>
      <c r="D2777" s="70" t="s">
        <v>1</v>
      </c>
      <c r="E2777" s="70" t="s">
        <v>1</v>
      </c>
      <c r="F2777" s="70"/>
      <c r="G2777" s="70" t="s">
        <v>61</v>
      </c>
      <c r="H2777" s="70" t="s">
        <v>178</v>
      </c>
      <c r="I2777" s="70" t="s">
        <v>181</v>
      </c>
      <c r="J2777" s="71">
        <f>IF(OR(I2777=0,I2777=""),"unrated",VLOOKUP(I2777,MappingTables!$B$19:$C$31,2,FALSE))</f>
        <v>3</v>
      </c>
      <c r="K2777" s="72">
        <v>11.523372198873012</v>
      </c>
      <c r="L2777" s="70">
        <v>1.0959232957764788</v>
      </c>
      <c r="M2777" s="71">
        <f>IF(L2777&lt;1,1,L2777)</f>
        <v>1.0959232957764788</v>
      </c>
      <c r="N2777" s="70" t="s">
        <v>141</v>
      </c>
      <c r="O2777" s="71">
        <f>INDEX(DurClassMapping,MATCH(M2777,MappingTables!$D$4:$D$8,-1),1)</f>
        <v>1</v>
      </c>
      <c r="P2777" s="73">
        <f>IF(M2777=$A$1,1,$M2777-INDEX(MappingTables!$E$4:$E$8,MATCH(O2777,MappingTables!$B$4:$B$8,0)))</f>
        <v>1.0959232957764788</v>
      </c>
      <c r="Q2777" s="71">
        <f>IF(B2777="",0,INDEX(ModelParameters!$D$6:$K$10,MATCH($O2777,ModelParameters!$B$6:$B$10,0),MATCH($J2777,ModelParameters!$D$5:$K$5,0)))</f>
        <v>0.025</v>
      </c>
      <c r="R2777" s="71">
        <f>IF(B2777="",0,INDEX(ModelParameters!$D$13:$K$17,MATCH($O2777,ModelParameters!$B$13:$B$17,0),MATCH($J2777,ModelParameters!$D$5:$K$5,0)))</f>
        <v>0</v>
      </c>
      <c r="S2777" s="160">
        <f>IF(B2777="",0,MIN(IF($N2777="Other Bond TM",ModelParameters!$N$21,1)*(P2777*Q2777+R2777),1))</f>
        <v>0.027398082394411972</v>
      </c>
      <c r="T2777" s="85">
        <f>IF(B2777="",0,$S2777*$K2777)</f>
        <v>0.31571830096619908</v>
      </c>
      <c r="U2777" s="85">
        <f>IF(B2777="",0,IF(OR(H2777=MappingTables!$C$34,H2777=MappingTables!$C$35),T2777,0))</f>
        <v>0</v>
      </c>
      <c r="V2777" s="85">
        <f>IF(ISNA(IF(AND(VLOOKUP(CONCATENATE($D2777,$G2777),CSRFinput!$B:$E,4,0)=0,OR(H2777=MappingTables!$C$34,H2777=MappingTables!$C$35)),1,VLOOKUP(CONCATENATE($D2777,$G2777),CSRFinput!$B:$E,4,0))),0,IF(AND(VLOOKUP(CONCATENATE($D2777,$G2777),CSRFinput!$B:$E,4,0)=0,OR(H2777=MappingTables!$C$34,H2777=MappingTables!$C$35)),1,VLOOKUP(CONCATENATE($D2777,$G2777),CSRFinput!$B:$E,4,0)))</f>
        <v>0.054776304963434752</v>
      </c>
      <c r="W2777" s="85">
        <f>IF(B2777="",0,+$T2777*$V2777)</f>
        <v>0.017293881936262</v>
      </c>
      <c r="X2777" s="85">
        <f>IF(B2777="",0,IF(OR(H2777=MappingTables!$C$34,H2777=MappingTables!$C$35),W2777,0))</f>
        <v>0</v>
      </c>
    </row>
    <row r="2778" spans="2:24" s="0" customFormat="0" ht="15">
      <c r="B2778" s="69">
        <v>17468382</v>
      </c>
      <c r="C2778" s="70" t="s">
        <v>1252</v>
      </c>
      <c r="D2778" s="70" t="s">
        <v>1</v>
      </c>
      <c r="E2778" s="70" t="s">
        <v>1</v>
      </c>
      <c r="F2778" s="70"/>
      <c r="G2778" s="70" t="s">
        <v>61</v>
      </c>
      <c r="H2778" s="70" t="s">
        <v>178</v>
      </c>
      <c r="I2778" s="70" t="s">
        <v>179</v>
      </c>
      <c r="J2778" s="71">
        <f>IF(OR(I2778=0,I2778=""),"unrated",VLOOKUP(I2778,MappingTables!$B$19:$C$31,2,FALSE))</f>
        <v>4</v>
      </c>
      <c r="K2778" s="72">
        <v>163.08524643723742</v>
      </c>
      <c r="L2778" s="70">
        <v>4.2477881773556808</v>
      </c>
      <c r="M2778" s="71">
        <f>IF(L2778&lt;1,1,L2778)</f>
        <v>4.2477881773556808</v>
      </c>
      <c r="N2778" s="70" t="s">
        <v>141</v>
      </c>
      <c r="O2778" s="71">
        <f>INDEX(DurClassMapping,MATCH(M2778,MappingTables!$D$4:$D$8,-1),1)</f>
        <v>1</v>
      </c>
      <c r="P2778" s="73">
        <f>IF(M2778=$A$1,1,$M2778-INDEX(MappingTables!$E$4:$E$8,MATCH(O2778,MappingTables!$B$4:$B$8,0)))</f>
        <v>4.2477881773556808</v>
      </c>
      <c r="Q2778" s="71">
        <f>IF(B2778="",0,INDEX(ModelParameters!$D$6:$K$10,MATCH($O2778,ModelParameters!$B$6:$B$10,0),MATCH($J2778,ModelParameters!$D$5:$K$5,0)))</f>
        <v>0.045</v>
      </c>
      <c r="R2778" s="71">
        <f>IF(B2778="",0,INDEX(ModelParameters!$D$13:$K$17,MATCH($O2778,ModelParameters!$B$13:$B$17,0),MATCH($J2778,ModelParameters!$D$5:$K$5,0)))</f>
        <v>0</v>
      </c>
      <c r="S2778" s="160">
        <f>IF(B2778="",0,MIN(IF($N2778="Other Bond TM",ModelParameters!$N$21,1)*(P2778*Q2778+R2778),1))</f>
        <v>0.19115046798100564</v>
      </c>
      <c r="T2778" s="85">
        <f>IF(B2778="",0,$S2778*$K2778)</f>
        <v>31.173821177275572</v>
      </c>
      <c r="U2778" s="85">
        <f>IF(B2778="",0,IF(OR(H2778=MappingTables!$C$34,H2778=MappingTables!$C$35),T2778,0))</f>
        <v>0</v>
      </c>
      <c r="V2778" s="85">
        <f>IF(ISNA(IF(AND(VLOOKUP(CONCATENATE($D2778,$G2778),CSRFinput!$B:$E,4,0)=0,OR(H2778=MappingTables!$C$34,H2778=MappingTables!$C$35)),1,VLOOKUP(CONCATENATE($D2778,$G2778),CSRFinput!$B:$E,4,0))),0,IF(AND(VLOOKUP(CONCATENATE($D2778,$G2778),CSRFinput!$B:$E,4,0)=0,OR(H2778=MappingTables!$C$34,H2778=MappingTables!$C$35)),1,VLOOKUP(CONCATENATE($D2778,$G2778),CSRFinput!$B:$E,4,0)))</f>
        <v>0.054776304963434752</v>
      </c>
      <c r="W2778" s="85">
        <f>IF(B2778="",0,+$T2778*$V2778)</f>
        <v>1.7075867356820274</v>
      </c>
      <c r="X2778" s="85">
        <f>IF(B2778="",0,IF(OR(H2778=MappingTables!$C$34,H2778=MappingTables!$C$35),W2778,0))</f>
        <v>0</v>
      </c>
    </row>
    <row r="2779" spans="2:24" s="0" customFormat="0" ht="15">
      <c r="B2779" s="69">
        <v>21236159</v>
      </c>
      <c r="C2779" s="70" t="s">
        <v>447</v>
      </c>
      <c r="D2779" s="70" t="s">
        <v>1</v>
      </c>
      <c r="E2779" s="70" t="s">
        <v>1</v>
      </c>
      <c r="F2779" s="70"/>
      <c r="G2779" s="70" t="s">
        <v>61</v>
      </c>
      <c r="H2779" s="70" t="s">
        <v>178</v>
      </c>
      <c r="I2779" s="70" t="s">
        <v>184</v>
      </c>
      <c r="J2779" s="71">
        <f>IF(OR(I2779=0,I2779=""),"unrated",VLOOKUP(I2779,MappingTables!$B$19:$C$31,2,FALSE))</f>
        <v>5</v>
      </c>
      <c r="K2779" s="72">
        <v>11278.047807909756</v>
      </c>
      <c r="L2779" s="70">
        <v>0.9683391221614648</v>
      </c>
      <c r="M2779" s="71">
        <f>IF(L2779&lt;1,1,L2779)</f>
        <v>1</v>
      </c>
      <c r="N2779" s="70" t="s">
        <v>141</v>
      </c>
      <c r="O2779" s="71">
        <f>INDEX(DurClassMapping,MATCH(M2779,MappingTables!$D$4:$D$8,-1),1)</f>
        <v>1</v>
      </c>
      <c r="P2779" s="73">
        <f>IF(M2779=$A$1,1,$M2779-INDEX(MappingTables!$E$4:$E$8,MATCH(O2779,MappingTables!$B$4:$B$8,0)))</f>
        <v>1</v>
      </c>
      <c r="Q2779" s="71">
        <f>IF(B2779="",0,INDEX(ModelParameters!$D$6:$K$10,MATCH($O2779,ModelParameters!$B$6:$B$10,0),MATCH($J2779,ModelParameters!$D$5:$K$5,0)))</f>
        <v>0.075</v>
      </c>
      <c r="R2779" s="71">
        <f>IF(B2779="",0,INDEX(ModelParameters!$D$13:$K$17,MATCH($O2779,ModelParameters!$B$13:$B$17,0),MATCH($J2779,ModelParameters!$D$5:$K$5,0)))</f>
        <v>0</v>
      </c>
      <c r="S2779" s="160">
        <f>IF(B2779="",0,MIN(IF($N2779="Other Bond TM",ModelParameters!$N$21,1)*(P2779*Q2779+R2779),1))</f>
        <v>0.075</v>
      </c>
      <c r="T2779" s="85">
        <f>IF(B2779="",0,$S2779*$K2779)</f>
        <v>845.85358559323168</v>
      </c>
      <c r="U2779" s="85">
        <f>IF(B2779="",0,IF(OR(H2779=MappingTables!$C$34,H2779=MappingTables!$C$35),T2779,0))</f>
        <v>0</v>
      </c>
      <c r="V2779" s="85">
        <f>IF(ISNA(IF(AND(VLOOKUP(CONCATENATE($D2779,$G2779),CSRFinput!$B:$E,4,0)=0,OR(H2779=MappingTables!$C$34,H2779=MappingTables!$C$35)),1,VLOOKUP(CONCATENATE($D2779,$G2779),CSRFinput!$B:$E,4,0))),0,IF(AND(VLOOKUP(CONCATENATE($D2779,$G2779),CSRFinput!$B:$E,4,0)=0,OR(H2779=MappingTables!$C$34,H2779=MappingTables!$C$35)),1,VLOOKUP(CONCATENATE($D2779,$G2779),CSRFinput!$B:$E,4,0)))</f>
        <v>0.054776304963434752</v>
      </c>
      <c r="W2779" s="85">
        <f>IF(B2779="",0,+$T2779*$V2779)</f>
        <v>46.332733958869616</v>
      </c>
      <c r="X2779" s="85">
        <f>IF(B2779="",0,IF(OR(H2779=MappingTables!$C$34,H2779=MappingTables!$C$35),W2779,0))</f>
        <v>0</v>
      </c>
    </row>
    <row r="2780" spans="2:24" s="0" customFormat="0" ht="15">
      <c r="B2780" s="69">
        <v>23207412</v>
      </c>
      <c r="C2780" s="70" t="s">
        <v>2589</v>
      </c>
      <c r="D2780" s="70" t="s">
        <v>1</v>
      </c>
      <c r="E2780" s="70" t="s">
        <v>1</v>
      </c>
      <c r="F2780" s="70"/>
      <c r="G2780" s="70" t="s">
        <v>61</v>
      </c>
      <c r="H2780" s="70" t="s">
        <v>178</v>
      </c>
      <c r="I2780" s="70" t="s">
        <v>188</v>
      </c>
      <c r="J2780" s="71">
        <f>IF(OR(I2780=0,I2780=""),"unrated",VLOOKUP(I2780,MappingTables!$B$19:$C$31,2,FALSE))</f>
        <v>2</v>
      </c>
      <c r="K2780" s="72">
        <v>142.5665876323471</v>
      </c>
      <c r="L2780" s="70">
        <v>0.32573847919125748</v>
      </c>
      <c r="M2780" s="71">
        <f>IF(L2780&lt;1,1,L2780)</f>
        <v>1</v>
      </c>
      <c r="N2780" s="70" t="s">
        <v>141</v>
      </c>
      <c r="O2780" s="71">
        <f>INDEX(DurClassMapping,MATCH(M2780,MappingTables!$D$4:$D$8,-1),1)</f>
        <v>1</v>
      </c>
      <c r="P2780" s="73">
        <f>IF(M2780=$A$1,1,$M2780-INDEX(MappingTables!$E$4:$E$8,MATCH(O2780,MappingTables!$B$4:$B$8,0)))</f>
        <v>1</v>
      </c>
      <c r="Q2780" s="71">
        <f>IF(B2780="",0,INDEX(ModelParameters!$D$6:$K$10,MATCH($O2780,ModelParameters!$B$6:$B$10,0),MATCH($J2780,ModelParameters!$D$5:$K$5,0)))</f>
        <v>0.013999999999999998</v>
      </c>
      <c r="R2780" s="71">
        <f>IF(B2780="",0,INDEX(ModelParameters!$D$13:$K$17,MATCH($O2780,ModelParameters!$B$13:$B$17,0),MATCH($J2780,ModelParameters!$D$5:$K$5,0)))</f>
        <v>0</v>
      </c>
      <c r="S2780" s="160">
        <f>IF(B2780="",0,MIN(IF($N2780="Other Bond TM",ModelParameters!$N$21,1)*(P2780*Q2780+R2780),1))</f>
        <v>0.013999999999999998</v>
      </c>
      <c r="T2780" s="85">
        <f>IF(B2780="",0,$S2780*$K2780)</f>
        <v>1.9959322268528592</v>
      </c>
      <c r="U2780" s="85">
        <f>IF(B2780="",0,IF(OR(H2780=MappingTables!$C$34,H2780=MappingTables!$C$35),T2780,0))</f>
        <v>0</v>
      </c>
      <c r="V2780" s="85">
        <f>IF(ISNA(IF(AND(VLOOKUP(CONCATENATE($D2780,$G2780),CSRFinput!$B:$E,4,0)=0,OR(H2780=MappingTables!$C$34,H2780=MappingTables!$C$35)),1,VLOOKUP(CONCATENATE($D2780,$G2780),CSRFinput!$B:$E,4,0))),0,IF(AND(VLOOKUP(CONCATENATE($D2780,$G2780),CSRFinput!$B:$E,4,0)=0,OR(H2780=MappingTables!$C$34,H2780=MappingTables!$C$35)),1,VLOOKUP(CONCATENATE($D2780,$G2780),CSRFinput!$B:$E,4,0)))</f>
        <v>0.054776304963434752</v>
      </c>
      <c r="W2780" s="85">
        <f>IF(B2780="",0,+$T2780*$V2780)</f>
        <v>0.10932979234443966</v>
      </c>
      <c r="X2780" s="85">
        <f>IF(B2780="",0,IF(OR(H2780=MappingTables!$C$34,H2780=MappingTables!$C$35),W2780,0))</f>
        <v>0</v>
      </c>
    </row>
    <row r="2781" spans="2:24" s="0" customFormat="0" ht="15">
      <c r="B2781" s="69">
        <v>13303727</v>
      </c>
      <c r="C2781" s="70" t="s">
        <v>2590</v>
      </c>
      <c r="D2781" s="70" t="s">
        <v>1</v>
      </c>
      <c r="E2781" s="70" t="s">
        <v>1</v>
      </c>
      <c r="F2781" s="70"/>
      <c r="G2781" s="70" t="s">
        <v>61</v>
      </c>
      <c r="H2781" s="70" t="s">
        <v>178</v>
      </c>
      <c r="I2781" s="70" t="s">
        <v>220</v>
      </c>
      <c r="J2781" s="71">
        <f>IF(OR(I2781=0,I2781=""),"unrated",VLOOKUP(I2781,MappingTables!$B$19:$C$31,2,FALSE))</f>
        <v>1</v>
      </c>
      <c r="K2781" s="72">
        <v>391.12342129148448</v>
      </c>
      <c r="L2781" s="70">
        <v>1.0813715098376682</v>
      </c>
      <c r="M2781" s="71">
        <f>IF(L2781&lt;1,1,L2781)</f>
        <v>1.0813715098376682</v>
      </c>
      <c r="N2781" s="70" t="s">
        <v>141</v>
      </c>
      <c r="O2781" s="71">
        <f>INDEX(DurClassMapping,MATCH(M2781,MappingTables!$D$4:$D$8,-1),1)</f>
        <v>1</v>
      </c>
      <c r="P2781" s="73">
        <f>IF(M2781=$A$1,1,$M2781-INDEX(MappingTables!$E$4:$E$8,MATCH(O2781,MappingTables!$B$4:$B$8,0)))</f>
        <v>1.0813715098376682</v>
      </c>
      <c r="Q2781" s="71">
        <f>IF(B2781="",0,INDEX(ModelParameters!$D$6:$K$10,MATCH($O2781,ModelParameters!$B$6:$B$10,0),MATCH($J2781,ModelParameters!$D$5:$K$5,0)))</f>
        <v>0.011000000000000002</v>
      </c>
      <c r="R2781" s="71">
        <f>IF(B2781="",0,INDEX(ModelParameters!$D$13:$K$17,MATCH($O2781,ModelParameters!$B$13:$B$17,0),MATCH($J2781,ModelParameters!$D$5:$K$5,0)))</f>
        <v>0</v>
      </c>
      <c r="S2781" s="160">
        <f>IF(B2781="",0,MIN(IF($N2781="Other Bond TM",ModelParameters!$N$21,1)*(P2781*Q2781+R2781),1))</f>
        <v>0.011895086608214352</v>
      </c>
      <c r="T2781" s="85">
        <f>IF(B2781="",0,$S2781*$K2781)</f>
        <v>4.6524469707633168</v>
      </c>
      <c r="U2781" s="85">
        <f>IF(B2781="",0,IF(OR(H2781=MappingTables!$C$34,H2781=MappingTables!$C$35),T2781,0))</f>
        <v>0</v>
      </c>
      <c r="V2781" s="85">
        <f>IF(ISNA(IF(AND(VLOOKUP(CONCATENATE($D2781,$G2781),CSRFinput!$B:$E,4,0)=0,OR(H2781=MappingTables!$C$34,H2781=MappingTables!$C$35)),1,VLOOKUP(CONCATENATE($D2781,$G2781),CSRFinput!$B:$E,4,0))),0,IF(AND(VLOOKUP(CONCATENATE($D2781,$G2781),CSRFinput!$B:$E,4,0)=0,OR(H2781=MappingTables!$C$34,H2781=MappingTables!$C$35)),1,VLOOKUP(CONCATENATE($D2781,$G2781),CSRFinput!$B:$E,4,0)))</f>
        <v>0.054776304963434752</v>
      </c>
      <c r="W2781" s="85">
        <f>IF(B2781="",0,+$T2781*$V2781)</f>
        <v>0.25484385409673964</v>
      </c>
      <c r="X2781" s="85">
        <f>IF(B2781="",0,IF(OR(H2781=MappingTables!$C$34,H2781=MappingTables!$C$35),W2781,0))</f>
        <v>0</v>
      </c>
    </row>
    <row r="2782" spans="2:24" s="0" customFormat="0" ht="15">
      <c r="B2782" s="69" t="s">
        <v>919</v>
      </c>
      <c r="C2782" s="70" t="s">
        <v>920</v>
      </c>
      <c r="D2782" s="70" t="s">
        <v>1</v>
      </c>
      <c r="E2782" s="70" t="s">
        <v>1</v>
      </c>
      <c r="F2782" s="70"/>
      <c r="G2782" s="70" t="s">
        <v>61</v>
      </c>
      <c r="H2782" s="70" t="s">
        <v>178</v>
      </c>
      <c r="I2782" s="70" t="s">
        <v>181</v>
      </c>
      <c r="J2782" s="71">
        <f>IF(OR(I2782=0,I2782=""),"unrated",VLOOKUP(I2782,MappingTables!$B$19:$C$31,2,FALSE))</f>
        <v>3</v>
      </c>
      <c r="K2782" s="72">
        <v>118.60505241224232</v>
      </c>
      <c r="L2782" s="70">
        <v>4.2461038280308904</v>
      </c>
      <c r="M2782" s="71">
        <f>IF(L2782&lt;1,1,L2782)</f>
        <v>4.2461038280308904</v>
      </c>
      <c r="N2782" s="70" t="s">
        <v>141</v>
      </c>
      <c r="O2782" s="71">
        <f>INDEX(DurClassMapping,MATCH(M2782,MappingTables!$D$4:$D$8,-1),1)</f>
        <v>1</v>
      </c>
      <c r="P2782" s="73">
        <f>IF(M2782=$A$1,1,$M2782-INDEX(MappingTables!$E$4:$E$8,MATCH(O2782,MappingTables!$B$4:$B$8,0)))</f>
        <v>4.2461038280308904</v>
      </c>
      <c r="Q2782" s="71">
        <f>IF(B2782="",0,INDEX(ModelParameters!$D$6:$K$10,MATCH($O2782,ModelParameters!$B$6:$B$10,0),MATCH($J2782,ModelParameters!$D$5:$K$5,0)))</f>
        <v>0.025</v>
      </c>
      <c r="R2782" s="71">
        <f>IF(B2782="",0,INDEX(ModelParameters!$D$13:$K$17,MATCH($O2782,ModelParameters!$B$13:$B$17,0),MATCH($J2782,ModelParameters!$D$5:$K$5,0)))</f>
        <v>0</v>
      </c>
      <c r="S2782" s="160">
        <f>IF(B2782="",0,MIN(IF($N2782="Other Bond TM",ModelParameters!$N$21,1)*(P2782*Q2782+R2782),1))</f>
        <v>0.10615259570077228</v>
      </c>
      <c r="T2782" s="85">
        <f>IF(B2782="",0,$S2782*$K2782)</f>
        <v>12.590234176785666</v>
      </c>
      <c r="U2782" s="85">
        <f>IF(B2782="",0,IF(OR(H2782=MappingTables!$C$34,H2782=MappingTables!$C$35),T2782,0))</f>
        <v>0</v>
      </c>
      <c r="V2782" s="85">
        <f>IF(ISNA(IF(AND(VLOOKUP(CONCATENATE($D2782,$G2782),CSRFinput!$B:$E,4,0)=0,OR(H2782=MappingTables!$C$34,H2782=MappingTables!$C$35)),1,VLOOKUP(CONCATENATE($D2782,$G2782),CSRFinput!$B:$E,4,0))),0,IF(AND(VLOOKUP(CONCATENATE($D2782,$G2782),CSRFinput!$B:$E,4,0)=0,OR(H2782=MappingTables!$C$34,H2782=MappingTables!$C$35)),1,VLOOKUP(CONCATENATE($D2782,$G2782),CSRFinput!$B:$E,4,0)))</f>
        <v>0.054776304963434752</v>
      </c>
      <c r="W2782" s="85">
        <f>IF(B2782="",0,+$T2782*$V2782)</f>
        <v>0.68964650682867056</v>
      </c>
      <c r="X2782" s="85">
        <f>IF(B2782="",0,IF(OR(H2782=MappingTables!$C$34,H2782=MappingTables!$C$35),W2782,0))</f>
        <v>0</v>
      </c>
    </row>
    <row r="2783" spans="2:24" s="0" customFormat="0" ht="15">
      <c r="B2783" s="69" t="s">
        <v>2235</v>
      </c>
      <c r="C2783" s="70" t="s">
        <v>2236</v>
      </c>
      <c r="D2783" s="70" t="s">
        <v>1</v>
      </c>
      <c r="E2783" s="70" t="s">
        <v>1</v>
      </c>
      <c r="F2783" s="70"/>
      <c r="G2783" s="70" t="s">
        <v>61</v>
      </c>
      <c r="H2783" s="70" t="s">
        <v>178</v>
      </c>
      <c r="I2783" s="70" t="s">
        <v>188</v>
      </c>
      <c r="J2783" s="71">
        <f>IF(OR(I2783=0,I2783=""),"unrated",VLOOKUP(I2783,MappingTables!$B$19:$C$31,2,FALSE))</f>
        <v>2</v>
      </c>
      <c r="K2783" s="72">
        <v>46.260173255471312</v>
      </c>
      <c r="L2783" s="70">
        <v>1.945650747625136</v>
      </c>
      <c r="M2783" s="71">
        <f>IF(L2783&lt;1,1,L2783)</f>
        <v>1.945650747625136</v>
      </c>
      <c r="N2783" s="70" t="s">
        <v>141</v>
      </c>
      <c r="O2783" s="71">
        <f>INDEX(DurClassMapping,MATCH(M2783,MappingTables!$D$4:$D$8,-1),1)</f>
        <v>1</v>
      </c>
      <c r="P2783" s="73">
        <f>IF(M2783=$A$1,1,$M2783-INDEX(MappingTables!$E$4:$E$8,MATCH(O2783,MappingTables!$B$4:$B$8,0)))</f>
        <v>1.945650747625136</v>
      </c>
      <c r="Q2783" s="71">
        <f>IF(B2783="",0,INDEX(ModelParameters!$D$6:$K$10,MATCH($O2783,ModelParameters!$B$6:$B$10,0),MATCH($J2783,ModelParameters!$D$5:$K$5,0)))</f>
        <v>0.013999999999999998</v>
      </c>
      <c r="R2783" s="71">
        <f>IF(B2783="",0,INDEX(ModelParameters!$D$13:$K$17,MATCH($O2783,ModelParameters!$B$13:$B$17,0),MATCH($J2783,ModelParameters!$D$5:$K$5,0)))</f>
        <v>0</v>
      </c>
      <c r="S2783" s="160">
        <f>IF(B2783="",0,MIN(IF($N2783="Other Bond TM",ModelParameters!$N$21,1)*(P2783*Q2783+R2783),1))</f>
        <v>0.0272391104667519</v>
      </c>
      <c r="T2783" s="85">
        <f>IF(B2783="",0,$S2783*$K2783)</f>
        <v>1.2600859695168652</v>
      </c>
      <c r="U2783" s="85">
        <f>IF(B2783="",0,IF(OR(H2783=MappingTables!$C$34,H2783=MappingTables!$C$35),T2783,0))</f>
        <v>0</v>
      </c>
      <c r="V2783" s="85">
        <f>IF(ISNA(IF(AND(VLOOKUP(CONCATENATE($D2783,$G2783),CSRFinput!$B:$E,4,0)=0,OR(H2783=MappingTables!$C$34,H2783=MappingTables!$C$35)),1,VLOOKUP(CONCATENATE($D2783,$G2783),CSRFinput!$B:$E,4,0))),0,IF(AND(VLOOKUP(CONCATENATE($D2783,$G2783),CSRFinput!$B:$E,4,0)=0,OR(H2783=MappingTables!$C$34,H2783=MappingTables!$C$35)),1,VLOOKUP(CONCATENATE($D2783,$G2783),CSRFinput!$B:$E,4,0)))</f>
        <v>0.054776304963434752</v>
      </c>
      <c r="W2783" s="85">
        <f>IF(B2783="",0,+$T2783*$V2783)</f>
        <v>0.069022853346401152</v>
      </c>
      <c r="X2783" s="85">
        <f>IF(B2783="",0,IF(OR(H2783=MappingTables!$C$34,H2783=MappingTables!$C$35),W2783,0))</f>
        <v>0</v>
      </c>
    </row>
    <row r="2784" spans="2:24" s="0" customFormat="0" ht="15">
      <c r="B2784" s="69" t="s">
        <v>2119</v>
      </c>
      <c r="C2784" s="70" t="s">
        <v>2120</v>
      </c>
      <c r="D2784" s="70" t="s">
        <v>1</v>
      </c>
      <c r="E2784" s="70" t="s">
        <v>1</v>
      </c>
      <c r="F2784" s="70"/>
      <c r="G2784" s="70" t="s">
        <v>61</v>
      </c>
      <c r="H2784" s="70" t="s">
        <v>178</v>
      </c>
      <c r="I2784" s="70" t="s">
        <v>188</v>
      </c>
      <c r="J2784" s="71">
        <f>IF(OR(I2784=0,I2784=""),"unrated",VLOOKUP(I2784,MappingTables!$B$19:$C$31,2,FALSE))</f>
        <v>2</v>
      </c>
      <c r="K2784" s="72">
        <v>538.08200869375944</v>
      </c>
      <c r="L2784" s="70">
        <v>8.415776252759536</v>
      </c>
      <c r="M2784" s="71">
        <f>IF(L2784&lt;1,1,L2784)</f>
        <v>8.415776252759536</v>
      </c>
      <c r="N2784" s="70" t="s">
        <v>141</v>
      </c>
      <c r="O2784" s="71">
        <f>INDEX(DurClassMapping,MATCH(M2784,MappingTables!$D$4:$D$8,-1),1)</f>
        <v>2</v>
      </c>
      <c r="P2784" s="73">
        <f>IF(M2784=$A$1,1,$M2784-INDEX(MappingTables!$E$4:$E$8,MATCH(O2784,MappingTables!$B$4:$B$8,0)))</f>
        <v>3.4157762527595352</v>
      </c>
      <c r="Q2784" s="71">
        <f>IF(B2784="",0,INDEX(ModelParameters!$D$6:$K$10,MATCH($O2784,ModelParameters!$B$6:$B$10,0),MATCH($J2784,ModelParameters!$D$5:$K$5,0)))</f>
        <v>0.0069999999999999992</v>
      </c>
      <c r="R2784" s="71">
        <f>IF(B2784="",0,INDEX(ModelParameters!$D$13:$K$17,MATCH($O2784,ModelParameters!$B$13:$B$17,0),MATCH($J2784,ModelParameters!$D$5:$K$5,0)))</f>
        <v>0.070000000000000008</v>
      </c>
      <c r="S2784" s="160">
        <f>IF(B2784="",0,MIN(IF($N2784="Other Bond TM",ModelParameters!$N$21,1)*(P2784*Q2784+R2784),1))</f>
        <v>0.093910433769316752</v>
      </c>
      <c r="T2784" s="85">
        <f>IF(B2784="",0,$S2784*$K2784)</f>
        <v>50.531514839896216</v>
      </c>
      <c r="U2784" s="85">
        <f>IF(B2784="",0,IF(OR(H2784=MappingTables!$C$34,H2784=MappingTables!$C$35),T2784,0))</f>
        <v>0</v>
      </c>
      <c r="V2784" s="85">
        <f>IF(ISNA(IF(AND(VLOOKUP(CONCATENATE($D2784,$G2784),CSRFinput!$B:$E,4,0)=0,OR(H2784=MappingTables!$C$34,H2784=MappingTables!$C$35)),1,VLOOKUP(CONCATENATE($D2784,$G2784),CSRFinput!$B:$E,4,0))),0,IF(AND(VLOOKUP(CONCATENATE($D2784,$G2784),CSRFinput!$B:$E,4,0)=0,OR(H2784=MappingTables!$C$34,H2784=MappingTables!$C$35)),1,VLOOKUP(CONCATENATE($D2784,$G2784),CSRFinput!$B:$E,4,0)))</f>
        <v>0.054776304963434752</v>
      </c>
      <c r="W2784" s="85">
        <f>IF(B2784="",0,+$T2784*$V2784)</f>
        <v>2.767929667134484</v>
      </c>
      <c r="X2784" s="85">
        <f>IF(B2784="",0,IF(OR(H2784=MappingTables!$C$34,H2784=MappingTables!$C$35),W2784,0))</f>
        <v>0</v>
      </c>
    </row>
    <row r="2785" spans="2:24" s="0" customFormat="0" ht="15">
      <c r="B2785" s="69">
        <v>24190973</v>
      </c>
      <c r="C2785" s="70" t="s">
        <v>1709</v>
      </c>
      <c r="D2785" s="70" t="s">
        <v>1</v>
      </c>
      <c r="E2785" s="70" t="s">
        <v>1</v>
      </c>
      <c r="F2785" s="70"/>
      <c r="G2785" s="70" t="s">
        <v>61</v>
      </c>
      <c r="H2785" s="70" t="s">
        <v>178</v>
      </c>
      <c r="I2785" s="70" t="s">
        <v>188</v>
      </c>
      <c r="J2785" s="71">
        <f>IF(OR(I2785=0,I2785=""),"unrated",VLOOKUP(I2785,MappingTables!$B$19:$C$31,2,FALSE))</f>
        <v>2</v>
      </c>
      <c r="K2785" s="72">
        <v>256.467644303604</v>
      </c>
      <c r="L2785" s="70">
        <v>2.6270411495754452</v>
      </c>
      <c r="M2785" s="71">
        <f>IF(L2785&lt;1,1,L2785)</f>
        <v>2.6270411495754452</v>
      </c>
      <c r="N2785" s="70" t="s">
        <v>141</v>
      </c>
      <c r="O2785" s="71">
        <f>INDEX(DurClassMapping,MATCH(M2785,MappingTables!$D$4:$D$8,-1),1)</f>
        <v>1</v>
      </c>
      <c r="P2785" s="73">
        <f>IF(M2785=$A$1,1,$M2785-INDEX(MappingTables!$E$4:$E$8,MATCH(O2785,MappingTables!$B$4:$B$8,0)))</f>
        <v>2.6270411495754452</v>
      </c>
      <c r="Q2785" s="71">
        <f>IF(B2785="",0,INDEX(ModelParameters!$D$6:$K$10,MATCH($O2785,ModelParameters!$B$6:$B$10,0),MATCH($J2785,ModelParameters!$D$5:$K$5,0)))</f>
        <v>0.013999999999999998</v>
      </c>
      <c r="R2785" s="71">
        <f>IF(B2785="",0,INDEX(ModelParameters!$D$13:$K$17,MATCH($O2785,ModelParameters!$B$13:$B$17,0),MATCH($J2785,ModelParameters!$D$5:$K$5,0)))</f>
        <v>0</v>
      </c>
      <c r="S2785" s="160">
        <f>IF(B2785="",0,MIN(IF($N2785="Other Bond TM",ModelParameters!$N$21,1)*(P2785*Q2785+R2785),1))</f>
        <v>0.036778576094056232</v>
      </c>
      <c r="T2785" s="85">
        <f>IF(B2785="",0,$S2785*$K2785)</f>
        <v>9.4325147716834448</v>
      </c>
      <c r="U2785" s="85">
        <f>IF(B2785="",0,IF(OR(H2785=MappingTables!$C$34,H2785=MappingTables!$C$35),T2785,0))</f>
        <v>0</v>
      </c>
      <c r="V2785" s="85">
        <f>IF(ISNA(IF(AND(VLOOKUP(CONCATENATE($D2785,$G2785),CSRFinput!$B:$E,4,0)=0,OR(H2785=MappingTables!$C$34,H2785=MappingTables!$C$35)),1,VLOOKUP(CONCATENATE($D2785,$G2785),CSRFinput!$B:$E,4,0))),0,IF(AND(VLOOKUP(CONCATENATE($D2785,$G2785),CSRFinput!$B:$E,4,0)=0,OR(H2785=MappingTables!$C$34,H2785=MappingTables!$C$35)),1,VLOOKUP(CONCATENATE($D2785,$G2785),CSRFinput!$B:$E,4,0)))</f>
        <v>0.054776304963434752</v>
      </c>
      <c r="W2785" s="85">
        <f>IF(B2785="",0,+$T2785*$V2785)</f>
        <v>0.51667830570583552</v>
      </c>
      <c r="X2785" s="85">
        <f>IF(B2785="",0,IF(OR(H2785=MappingTables!$C$34,H2785=MappingTables!$C$35),W2785,0))</f>
        <v>0</v>
      </c>
    </row>
    <row r="2786" spans="2:24" s="0" customFormat="0" ht="15">
      <c r="B2786" s="69" t="s">
        <v>2591</v>
      </c>
      <c r="C2786" s="70" t="s">
        <v>2592</v>
      </c>
      <c r="D2786" s="70" t="s">
        <v>1</v>
      </c>
      <c r="E2786" s="70" t="s">
        <v>1</v>
      </c>
      <c r="F2786" s="70"/>
      <c r="G2786" s="70" t="s">
        <v>61</v>
      </c>
      <c r="H2786" s="70" t="s">
        <v>178</v>
      </c>
      <c r="I2786" s="70" t="s">
        <v>198</v>
      </c>
      <c r="J2786" s="71" t="str">
        <f>IF(OR(I2786=0,I2786=""),"unrated",VLOOKUP(I2786,MappingTables!$B$19:$C$31,2,FALSE))</f>
        <v>unrated</v>
      </c>
      <c r="K2786" s="72">
        <v>105725.63004848738</v>
      </c>
      <c r="L2786" s="70">
        <v>4.1063382263142808</v>
      </c>
      <c r="M2786" s="71">
        <f>IF(L2786&lt;1,1,L2786)</f>
        <v>4.1063382263142808</v>
      </c>
      <c r="N2786" s="70" t="s">
        <v>141</v>
      </c>
      <c r="O2786" s="71">
        <f>INDEX(DurClassMapping,MATCH(M2786,MappingTables!$D$4:$D$8,-1),1)</f>
        <v>1</v>
      </c>
      <c r="P2786" s="73">
        <f>IF(M2786=$A$1,1,$M2786-INDEX(MappingTables!$E$4:$E$8,MATCH(O2786,MappingTables!$B$4:$B$8,0)))</f>
        <v>4.1063382263142808</v>
      </c>
      <c r="Q2786" s="71">
        <f>IF(B2786="",0,INDEX(ModelParameters!$D$6:$K$10,MATCH($O2786,ModelParameters!$B$6:$B$10,0),MATCH($J2786,ModelParameters!$D$5:$K$5,0)))</f>
        <v>0.03</v>
      </c>
      <c r="R2786" s="71">
        <f>IF(B2786="",0,INDEX(ModelParameters!$D$13:$K$17,MATCH($O2786,ModelParameters!$B$13:$B$17,0),MATCH($J2786,ModelParameters!$D$5:$K$5,0)))</f>
        <v>0</v>
      </c>
      <c r="S2786" s="160">
        <f>IF(B2786="",0,MIN(IF($N2786="Other Bond TM",ModelParameters!$N$21,1)*(P2786*Q2786+R2786),1))</f>
        <v>0.12319014678942842</v>
      </c>
      <c r="T2786" s="85">
        <f>IF(B2786="",0,$S2786*$K2786)</f>
        <v>13024.355885077964</v>
      </c>
      <c r="U2786" s="85">
        <f>IF(B2786="",0,IF(OR(H2786=MappingTables!$C$34,H2786=MappingTables!$C$35),T2786,0))</f>
        <v>0</v>
      </c>
      <c r="V2786" s="85">
        <f>IF(ISNA(IF(AND(VLOOKUP(CONCATENATE($D2786,$G2786),CSRFinput!$B:$E,4,0)=0,OR(H2786=MappingTables!$C$34,H2786=MappingTables!$C$35)),1,VLOOKUP(CONCATENATE($D2786,$G2786),CSRFinput!$B:$E,4,0))),0,IF(AND(VLOOKUP(CONCATENATE($D2786,$G2786),CSRFinput!$B:$E,4,0)=0,OR(H2786=MappingTables!$C$34,H2786=MappingTables!$C$35)),1,VLOOKUP(CONCATENATE($D2786,$G2786),CSRFinput!$B:$E,4,0)))</f>
        <v>0.054776304963434752</v>
      </c>
      <c r="W2786" s="85">
        <f>IF(B2786="",0,+$T2786*$V2786)</f>
        <v>713.4260899133368</v>
      </c>
      <c r="X2786" s="85">
        <f>IF(B2786="",0,IF(OR(H2786=MappingTables!$C$34,H2786=MappingTables!$C$35),W2786,0))</f>
        <v>0</v>
      </c>
    </row>
    <row r="2787" spans="2:24" s="0" customFormat="0" ht="15">
      <c r="B2787" s="69">
        <v>19743068</v>
      </c>
      <c r="C2787" s="70" t="s">
        <v>2593</v>
      </c>
      <c r="D2787" s="70" t="s">
        <v>1</v>
      </c>
      <c r="E2787" s="70" t="s">
        <v>1</v>
      </c>
      <c r="F2787" s="70"/>
      <c r="G2787" s="70" t="s">
        <v>61</v>
      </c>
      <c r="H2787" s="70" t="s">
        <v>178</v>
      </c>
      <c r="I2787" s="70" t="s">
        <v>184</v>
      </c>
      <c r="J2787" s="71">
        <f>IF(OR(I2787=0,I2787=""),"unrated",VLOOKUP(I2787,MappingTables!$B$19:$C$31,2,FALSE))</f>
        <v>5</v>
      </c>
      <c r="K2787" s="72">
        <v>5974.4536510346616</v>
      </c>
      <c r="L2787" s="70">
        <v>9.57528257932324</v>
      </c>
      <c r="M2787" s="71">
        <f>IF(L2787&lt;1,1,L2787)</f>
        <v>9.57528257932324</v>
      </c>
      <c r="N2787" s="70" t="s">
        <v>141</v>
      </c>
      <c r="O2787" s="71">
        <f>INDEX(DurClassMapping,MATCH(M2787,MappingTables!$D$4:$D$8,-1),1)</f>
        <v>2</v>
      </c>
      <c r="P2787" s="73">
        <f>IF(M2787=$A$1,1,$M2787-INDEX(MappingTables!$E$4:$E$8,MATCH(O2787,MappingTables!$B$4:$B$8,0)))</f>
        <v>4.57528257932324</v>
      </c>
      <c r="Q2787" s="71">
        <f>IF(B2787="",0,INDEX(ModelParameters!$D$6:$K$10,MATCH($O2787,ModelParameters!$B$6:$B$10,0),MATCH($J2787,ModelParameters!$D$5:$K$5,0)))</f>
        <v>0.042</v>
      </c>
      <c r="R2787" s="71">
        <f>IF(B2787="",0,INDEX(ModelParameters!$D$13:$K$17,MATCH($O2787,ModelParameters!$B$13:$B$17,0),MATCH($J2787,ModelParameters!$D$5:$K$5,0)))</f>
        <v>0.375</v>
      </c>
      <c r="S2787" s="160">
        <f>IF(B2787="",0,MIN(IF($N2787="Other Bond TM",ModelParameters!$N$21,1)*(P2787*Q2787+R2787),1))</f>
        <v>0.56716186833157608</v>
      </c>
      <c r="T2787" s="85">
        <f>IF(B2787="",0,$S2787*$K2787)</f>
        <v>3388.4822949812252</v>
      </c>
      <c r="U2787" s="85">
        <f>IF(B2787="",0,IF(OR(H2787=MappingTables!$C$34,H2787=MappingTables!$C$35),T2787,0))</f>
        <v>0</v>
      </c>
      <c r="V2787" s="85">
        <f>IF(ISNA(IF(AND(VLOOKUP(CONCATENATE($D2787,$G2787),CSRFinput!$B:$E,4,0)=0,OR(H2787=MappingTables!$C$34,H2787=MappingTables!$C$35)),1,VLOOKUP(CONCATENATE($D2787,$G2787),CSRFinput!$B:$E,4,0))),0,IF(AND(VLOOKUP(CONCATENATE($D2787,$G2787),CSRFinput!$B:$E,4,0)=0,OR(H2787=MappingTables!$C$34,H2787=MappingTables!$C$35)),1,VLOOKUP(CONCATENATE($D2787,$G2787),CSRFinput!$B:$E,4,0)))</f>
        <v>0.054776304963434752</v>
      </c>
      <c r="W2787" s="85">
        <f>IF(B2787="",0,+$T2787*$V2787)</f>
        <v>185.60853955309088</v>
      </c>
      <c r="X2787" s="85">
        <f>IF(B2787="",0,IF(OR(H2787=MappingTables!$C$34,H2787=MappingTables!$C$35),W2787,0))</f>
        <v>0</v>
      </c>
    </row>
    <row r="2788" spans="2:24" s="0" customFormat="0" ht="15">
      <c r="B2788" s="69">
        <v>18594112</v>
      </c>
      <c r="C2788" s="70" t="s">
        <v>1777</v>
      </c>
      <c r="D2788" s="70" t="s">
        <v>1</v>
      </c>
      <c r="E2788" s="70" t="s">
        <v>1</v>
      </c>
      <c r="F2788" s="70"/>
      <c r="G2788" s="70" t="s">
        <v>61</v>
      </c>
      <c r="H2788" s="70" t="s">
        <v>178</v>
      </c>
      <c r="I2788" s="70" t="s">
        <v>179</v>
      </c>
      <c r="J2788" s="71">
        <f>IF(OR(I2788=0,I2788=""),"unrated",VLOOKUP(I2788,MappingTables!$B$19:$C$31,2,FALSE))</f>
        <v>4</v>
      </c>
      <c r="K2788" s="72">
        <v>14034.07588980509</v>
      </c>
      <c r="L2788" s="70">
        <v>4.4566294014814</v>
      </c>
      <c r="M2788" s="71">
        <f>IF(L2788&lt;1,1,L2788)</f>
        <v>4.4566294014814</v>
      </c>
      <c r="N2788" s="70" t="s">
        <v>141</v>
      </c>
      <c r="O2788" s="71">
        <f>INDEX(DurClassMapping,MATCH(M2788,MappingTables!$D$4:$D$8,-1),1)</f>
        <v>1</v>
      </c>
      <c r="P2788" s="73">
        <f>IF(M2788=$A$1,1,$M2788-INDEX(MappingTables!$E$4:$E$8,MATCH(O2788,MappingTables!$B$4:$B$8,0)))</f>
        <v>4.4566294014814</v>
      </c>
      <c r="Q2788" s="71">
        <f>IF(B2788="",0,INDEX(ModelParameters!$D$6:$K$10,MATCH($O2788,ModelParameters!$B$6:$B$10,0),MATCH($J2788,ModelParameters!$D$5:$K$5,0)))</f>
        <v>0.045</v>
      </c>
      <c r="R2788" s="71">
        <f>IF(B2788="",0,INDEX(ModelParameters!$D$13:$K$17,MATCH($O2788,ModelParameters!$B$13:$B$17,0),MATCH($J2788,ModelParameters!$D$5:$K$5,0)))</f>
        <v>0</v>
      </c>
      <c r="S2788" s="160">
        <f>IF(B2788="",0,MIN(IF($N2788="Other Bond TM",ModelParameters!$N$21,1)*(P2788*Q2788+R2788),1))</f>
        <v>0.200548323066663</v>
      </c>
      <c r="T2788" s="85">
        <f>IF(B2788="",0,$S2788*$K2788)</f>
        <v>2814.5103854906968</v>
      </c>
      <c r="U2788" s="85">
        <f>IF(B2788="",0,IF(OR(H2788=MappingTables!$C$34,H2788=MappingTables!$C$35),T2788,0))</f>
        <v>0</v>
      </c>
      <c r="V2788" s="85">
        <f>IF(ISNA(IF(AND(VLOOKUP(CONCATENATE($D2788,$G2788),CSRFinput!$B:$E,4,0)=0,OR(H2788=MappingTables!$C$34,H2788=MappingTables!$C$35)),1,VLOOKUP(CONCATENATE($D2788,$G2788),CSRFinput!$B:$E,4,0))),0,IF(AND(VLOOKUP(CONCATENATE($D2788,$G2788),CSRFinput!$B:$E,4,0)=0,OR(H2788=MappingTables!$C$34,H2788=MappingTables!$C$35)),1,VLOOKUP(CONCATENATE($D2788,$G2788),CSRFinput!$B:$E,4,0)))</f>
        <v>0.054776304963434752</v>
      </c>
      <c r="W2788" s="85">
        <f>IF(B2788="",0,+$T2788*$V2788)</f>
        <v>154.16847919839274</v>
      </c>
      <c r="X2788" s="85">
        <f>IF(B2788="",0,IF(OR(H2788=MappingTables!$C$34,H2788=MappingTables!$C$35),W2788,0))</f>
        <v>0</v>
      </c>
    </row>
    <row r="2789" spans="2:24" s="0" customFormat="0" ht="15">
      <c r="B2789" s="69">
        <v>13711234</v>
      </c>
      <c r="C2789" s="70" t="s">
        <v>2262</v>
      </c>
      <c r="D2789" s="70" t="s">
        <v>1</v>
      </c>
      <c r="E2789" s="70" t="s">
        <v>1</v>
      </c>
      <c r="F2789" s="70"/>
      <c r="G2789" s="70" t="s">
        <v>61</v>
      </c>
      <c r="H2789" s="70" t="s">
        <v>178</v>
      </c>
      <c r="I2789" s="70" t="s">
        <v>179</v>
      </c>
      <c r="J2789" s="71">
        <f>IF(OR(I2789=0,I2789=""),"unrated",VLOOKUP(I2789,MappingTables!$B$19:$C$31,2,FALSE))</f>
        <v>4</v>
      </c>
      <c r="K2789" s="72">
        <v>33347.673098530808</v>
      </c>
      <c r="L2789" s="70">
        <v>11.782478313924134</v>
      </c>
      <c r="M2789" s="71">
        <f>IF(L2789&lt;1,1,L2789)</f>
        <v>11.782478313924134</v>
      </c>
      <c r="N2789" s="70" t="s">
        <v>141</v>
      </c>
      <c r="O2789" s="71">
        <f>INDEX(DurClassMapping,MATCH(M2789,MappingTables!$D$4:$D$8,-1),1)</f>
        <v>3</v>
      </c>
      <c r="P2789" s="73">
        <f>IF(M2789=$A$1,1,$M2789-INDEX(MappingTables!$E$4:$E$8,MATCH(O2789,MappingTables!$B$4:$B$8,0)))</f>
        <v>1.782478313924134</v>
      </c>
      <c r="Q2789" s="71">
        <f>IF(B2789="",0,INDEX(ModelParameters!$D$6:$K$10,MATCH($O2789,ModelParameters!$B$6:$B$10,0),MATCH($J2789,ModelParameters!$D$5:$K$5,0)))</f>
        <v>0.018000000000000002</v>
      </c>
      <c r="R2789" s="71">
        <f>IF(B2789="",0,INDEX(ModelParameters!$D$13:$K$17,MATCH($O2789,ModelParameters!$B$13:$B$17,0),MATCH($J2789,ModelParameters!$D$5:$K$5,0)))</f>
        <v>0.34999999999999996</v>
      </c>
      <c r="S2789" s="160">
        <f>IF(B2789="",0,MIN(IF($N2789="Other Bond TM",ModelParameters!$N$21,1)*(P2789*Q2789+R2789),1))</f>
        <v>0.3820846096506344</v>
      </c>
      <c r="T2789" s="85">
        <f>IF(B2789="",0,$S2789*$K2789)</f>
        <v>12741.632658609106</v>
      </c>
      <c r="U2789" s="85">
        <f>IF(B2789="",0,IF(OR(H2789=MappingTables!$C$34,H2789=MappingTables!$C$35),T2789,0))</f>
        <v>0</v>
      </c>
      <c r="V2789" s="85">
        <f>IF(ISNA(IF(AND(VLOOKUP(CONCATENATE($D2789,$G2789),CSRFinput!$B:$E,4,0)=0,OR(H2789=MappingTables!$C$34,H2789=MappingTables!$C$35)),1,VLOOKUP(CONCATENATE($D2789,$G2789),CSRFinput!$B:$E,4,0))),0,IF(AND(VLOOKUP(CONCATENATE($D2789,$G2789),CSRFinput!$B:$E,4,0)=0,OR(H2789=MappingTables!$C$34,H2789=MappingTables!$C$35)),1,VLOOKUP(CONCATENATE($D2789,$G2789),CSRFinput!$B:$E,4,0)))</f>
        <v>0.054776304963434752</v>
      </c>
      <c r="W2789" s="85">
        <f>IF(B2789="",0,+$T2789*$V2789)</f>
        <v>697.93955624003232</v>
      </c>
      <c r="X2789" s="85">
        <f>IF(B2789="",0,IF(OR(H2789=MappingTables!$C$34,H2789=MappingTables!$C$35),W2789,0))</f>
        <v>0</v>
      </c>
    </row>
    <row r="2790" spans="2:24" s="0" customFormat="0" ht="15">
      <c r="B2790" s="69" t="s">
        <v>874</v>
      </c>
      <c r="C2790" s="70" t="s">
        <v>875</v>
      </c>
      <c r="D2790" s="70" t="s">
        <v>1</v>
      </c>
      <c r="E2790" s="70" t="s">
        <v>1</v>
      </c>
      <c r="F2790" s="70"/>
      <c r="G2790" s="70" t="s">
        <v>61</v>
      </c>
      <c r="H2790" s="70" t="s">
        <v>178</v>
      </c>
      <c r="I2790" s="70" t="s">
        <v>513</v>
      </c>
      <c r="J2790" s="71">
        <f>IF(OR(I2790=0,I2790=""),"unrated",VLOOKUP(I2790,MappingTables!$B$19:$C$31,2,FALSE))</f>
        <v>6</v>
      </c>
      <c r="K2790" s="72">
        <v>330.51681244349084</v>
      </c>
      <c r="L2790" s="70">
        <v>28.586650781649496</v>
      </c>
      <c r="M2790" s="71">
        <f>IF(L2790&lt;1,1,L2790)</f>
        <v>28.586650781649496</v>
      </c>
      <c r="N2790" s="70" t="s">
        <v>141</v>
      </c>
      <c r="O2790" s="71">
        <f>INDEX(DurClassMapping,MATCH(M2790,MappingTables!$D$4:$D$8,-1),1)</f>
        <v>5</v>
      </c>
      <c r="P2790" s="73">
        <f>IF(M2790=$A$1,1,$M2790-INDEX(MappingTables!$E$4:$E$8,MATCH(O2790,MappingTables!$B$4:$B$8,0)))</f>
        <v>8.586650781649496</v>
      </c>
      <c r="Q2790" s="71">
        <f>IF(B2790="",0,INDEX(ModelParameters!$D$6:$K$10,MATCH($O2790,ModelParameters!$B$6:$B$10,0),MATCH($J2790,ModelParameters!$D$5:$K$5,0)))</f>
        <v>0.005</v>
      </c>
      <c r="R2790" s="71">
        <f>IF(B2790="",0,INDEX(ModelParameters!$D$13:$K$17,MATCH($O2790,ModelParameters!$B$13:$B$17,0),MATCH($J2790,ModelParameters!$D$5:$K$5,0)))</f>
        <v>0.635</v>
      </c>
      <c r="S2790" s="160">
        <f>IF(B2790="",0,MIN(IF($N2790="Other Bond TM",ModelParameters!$N$21,1)*(P2790*Q2790+R2790),1))</f>
        <v>0.67793325390824744</v>
      </c>
      <c r="T2790" s="85">
        <f>IF(B2790="",0,$S2790*$K2790)</f>
        <v>224.06833813119768</v>
      </c>
      <c r="U2790" s="85">
        <f>IF(B2790="",0,IF(OR(H2790=MappingTables!$C$34,H2790=MappingTables!$C$35),T2790,0))</f>
        <v>0</v>
      </c>
      <c r="V2790" s="85">
        <f>IF(ISNA(IF(AND(VLOOKUP(CONCATENATE($D2790,$G2790),CSRFinput!$B:$E,4,0)=0,OR(H2790=MappingTables!$C$34,H2790=MappingTables!$C$35)),1,VLOOKUP(CONCATENATE($D2790,$G2790),CSRFinput!$B:$E,4,0))),0,IF(AND(VLOOKUP(CONCATENATE($D2790,$G2790),CSRFinput!$B:$E,4,0)=0,OR(H2790=MappingTables!$C$34,H2790=MappingTables!$C$35)),1,VLOOKUP(CONCATENATE($D2790,$G2790),CSRFinput!$B:$E,4,0)))</f>
        <v>0.054776304963434752</v>
      </c>
      <c r="W2790" s="85">
        <f>IF(B2790="",0,+$T2790*$V2790)</f>
        <v>12.2736356221245</v>
      </c>
      <c r="X2790" s="85">
        <f>IF(B2790="",0,IF(OR(H2790=MappingTables!$C$34,H2790=MappingTables!$C$35),W2790,0))</f>
        <v>0</v>
      </c>
    </row>
    <row r="2791" spans="2:24" s="0" customFormat="0" ht="15">
      <c r="B2791" s="69">
        <v>10407144</v>
      </c>
      <c r="C2791" s="70" t="s">
        <v>2594</v>
      </c>
      <c r="D2791" s="70" t="s">
        <v>1</v>
      </c>
      <c r="E2791" s="70" t="s">
        <v>1</v>
      </c>
      <c r="F2791" s="70"/>
      <c r="G2791" s="70" t="s">
        <v>61</v>
      </c>
      <c r="H2791" s="70" t="s">
        <v>178</v>
      </c>
      <c r="I2791" s="70" t="s">
        <v>179</v>
      </c>
      <c r="J2791" s="71">
        <f>IF(OR(I2791=0,I2791=""),"unrated",VLOOKUP(I2791,MappingTables!$B$19:$C$31,2,FALSE))</f>
        <v>4</v>
      </c>
      <c r="K2791" s="72">
        <v>4681.0204498309144</v>
      </c>
      <c r="L2791" s="70">
        <v>4.049875628996368</v>
      </c>
      <c r="M2791" s="71">
        <f>IF(L2791&lt;1,1,L2791)</f>
        <v>4.049875628996368</v>
      </c>
      <c r="N2791" s="70" t="s">
        <v>141</v>
      </c>
      <c r="O2791" s="71">
        <f>INDEX(DurClassMapping,MATCH(M2791,MappingTables!$D$4:$D$8,-1),1)</f>
        <v>1</v>
      </c>
      <c r="P2791" s="73">
        <f>IF(M2791=$A$1,1,$M2791-INDEX(MappingTables!$E$4:$E$8,MATCH(O2791,MappingTables!$B$4:$B$8,0)))</f>
        <v>4.049875628996368</v>
      </c>
      <c r="Q2791" s="71">
        <f>IF(B2791="",0,INDEX(ModelParameters!$D$6:$K$10,MATCH($O2791,ModelParameters!$B$6:$B$10,0),MATCH($J2791,ModelParameters!$D$5:$K$5,0)))</f>
        <v>0.045</v>
      </c>
      <c r="R2791" s="71">
        <f>IF(B2791="",0,INDEX(ModelParameters!$D$13:$K$17,MATCH($O2791,ModelParameters!$B$13:$B$17,0),MATCH($J2791,ModelParameters!$D$5:$K$5,0)))</f>
        <v>0</v>
      </c>
      <c r="S2791" s="160">
        <f>IF(B2791="",0,MIN(IF($N2791="Other Bond TM",ModelParameters!$N$21,1)*(P2791*Q2791+R2791),1))</f>
        <v>0.18224440330483656</v>
      </c>
      <c r="T2791" s="85">
        <f>IF(B2791="",0,$S2791*$K2791)</f>
        <v>853.08977873717248</v>
      </c>
      <c r="U2791" s="85">
        <f>IF(B2791="",0,IF(OR(H2791=MappingTables!$C$34,H2791=MappingTables!$C$35),T2791,0))</f>
        <v>0</v>
      </c>
      <c r="V2791" s="85">
        <f>IF(ISNA(IF(AND(VLOOKUP(CONCATENATE($D2791,$G2791),CSRFinput!$B:$E,4,0)=0,OR(H2791=MappingTables!$C$34,H2791=MappingTables!$C$35)),1,VLOOKUP(CONCATENATE($D2791,$G2791),CSRFinput!$B:$E,4,0))),0,IF(AND(VLOOKUP(CONCATENATE($D2791,$G2791),CSRFinput!$B:$E,4,0)=0,OR(H2791=MappingTables!$C$34,H2791=MappingTables!$C$35)),1,VLOOKUP(CONCATENATE($D2791,$G2791),CSRFinput!$B:$E,4,0)))</f>
        <v>0.054776304963434752</v>
      </c>
      <c r="W2791" s="85">
        <f>IF(B2791="",0,+$T2791*$V2791)</f>
        <v>46.729105881296432</v>
      </c>
      <c r="X2791" s="85">
        <f>IF(B2791="",0,IF(OR(H2791=MappingTables!$C$34,H2791=MappingTables!$C$35),W2791,0))</f>
        <v>0</v>
      </c>
    </row>
    <row r="2792" spans="2:24" s="0" customFormat="0" ht="15">
      <c r="B2792" s="69">
        <v>22554064</v>
      </c>
      <c r="C2792" s="70" t="s">
        <v>1592</v>
      </c>
      <c r="D2792" s="70" t="s">
        <v>1</v>
      </c>
      <c r="E2792" s="70" t="s">
        <v>1</v>
      </c>
      <c r="F2792" s="70"/>
      <c r="G2792" s="70" t="s">
        <v>61</v>
      </c>
      <c r="H2792" s="70" t="s">
        <v>178</v>
      </c>
      <c r="I2792" s="70" t="s">
        <v>184</v>
      </c>
      <c r="J2792" s="71">
        <f>IF(OR(I2792=0,I2792=""),"unrated",VLOOKUP(I2792,MappingTables!$B$19:$C$31,2,FALSE))</f>
        <v>5</v>
      </c>
      <c r="K2792" s="72">
        <v>997.67543367976448</v>
      </c>
      <c r="L2792" s="70">
        <v>1.3507518639573768</v>
      </c>
      <c r="M2792" s="71">
        <f>IF(L2792&lt;1,1,L2792)</f>
        <v>1.3507518639573768</v>
      </c>
      <c r="N2792" s="70" t="s">
        <v>141</v>
      </c>
      <c r="O2792" s="71">
        <f>INDEX(DurClassMapping,MATCH(M2792,MappingTables!$D$4:$D$8,-1),1)</f>
        <v>1</v>
      </c>
      <c r="P2792" s="73">
        <f>IF(M2792=$A$1,1,$M2792-INDEX(MappingTables!$E$4:$E$8,MATCH(O2792,MappingTables!$B$4:$B$8,0)))</f>
        <v>1.3507518639573768</v>
      </c>
      <c r="Q2792" s="71">
        <f>IF(B2792="",0,INDEX(ModelParameters!$D$6:$K$10,MATCH($O2792,ModelParameters!$B$6:$B$10,0),MATCH($J2792,ModelParameters!$D$5:$K$5,0)))</f>
        <v>0.075</v>
      </c>
      <c r="R2792" s="71">
        <f>IF(B2792="",0,INDEX(ModelParameters!$D$13:$K$17,MATCH($O2792,ModelParameters!$B$13:$B$17,0),MATCH($J2792,ModelParameters!$D$5:$K$5,0)))</f>
        <v>0</v>
      </c>
      <c r="S2792" s="160">
        <f>IF(B2792="",0,MIN(IF($N2792="Other Bond TM",ModelParameters!$N$21,1)*(P2792*Q2792+R2792),1))</f>
        <v>0.10130638979680326</v>
      </c>
      <c r="T2792" s="85">
        <f>IF(B2792="",0,$S2792*$K2792)</f>
        <v>101.07089637505694</v>
      </c>
      <c r="U2792" s="85">
        <f>IF(B2792="",0,IF(OR(H2792=MappingTables!$C$34,H2792=MappingTables!$C$35),T2792,0))</f>
        <v>0</v>
      </c>
      <c r="V2792" s="85">
        <f>IF(ISNA(IF(AND(VLOOKUP(CONCATENATE($D2792,$G2792),CSRFinput!$B:$E,4,0)=0,OR(H2792=MappingTables!$C$34,H2792=MappingTables!$C$35)),1,VLOOKUP(CONCATENATE($D2792,$G2792),CSRFinput!$B:$E,4,0))),0,IF(AND(VLOOKUP(CONCATENATE($D2792,$G2792),CSRFinput!$B:$E,4,0)=0,OR(H2792=MappingTables!$C$34,H2792=MappingTables!$C$35)),1,VLOOKUP(CONCATENATE($D2792,$G2792),CSRFinput!$B:$E,4,0)))</f>
        <v>0.054776304963434752</v>
      </c>
      <c r="W2792" s="85">
        <f>IF(B2792="",0,+$T2792*$V2792)</f>
        <v>5.536290242767832</v>
      </c>
      <c r="X2792" s="85">
        <f>IF(B2792="",0,IF(OR(H2792=MappingTables!$C$34,H2792=MappingTables!$C$35),W2792,0))</f>
        <v>0</v>
      </c>
    </row>
    <row r="2793" spans="2:24" s="0" customFormat="0" ht="15">
      <c r="B2793" s="69">
        <v>23543699</v>
      </c>
      <c r="C2793" s="70" t="s">
        <v>2595</v>
      </c>
      <c r="D2793" s="70" t="s">
        <v>1</v>
      </c>
      <c r="E2793" s="70" t="s">
        <v>1</v>
      </c>
      <c r="F2793" s="70"/>
      <c r="G2793" s="70" t="s">
        <v>61</v>
      </c>
      <c r="H2793" s="70" t="s">
        <v>178</v>
      </c>
      <c r="I2793" s="70" t="s">
        <v>188</v>
      </c>
      <c r="J2793" s="71">
        <f>IF(OR(I2793=0,I2793=""),"unrated",VLOOKUP(I2793,MappingTables!$B$19:$C$31,2,FALSE))</f>
        <v>2</v>
      </c>
      <c r="K2793" s="72">
        <v>3509.1065575304352</v>
      </c>
      <c r="L2793" s="70">
        <v>2.4640472754515508</v>
      </c>
      <c r="M2793" s="71">
        <f>IF(L2793&lt;1,1,L2793)</f>
        <v>2.4640472754515508</v>
      </c>
      <c r="N2793" s="70" t="s">
        <v>141</v>
      </c>
      <c r="O2793" s="71">
        <f>INDEX(DurClassMapping,MATCH(M2793,MappingTables!$D$4:$D$8,-1),1)</f>
        <v>1</v>
      </c>
      <c r="P2793" s="73">
        <f>IF(M2793=$A$1,1,$M2793-INDEX(MappingTables!$E$4:$E$8,MATCH(O2793,MappingTables!$B$4:$B$8,0)))</f>
        <v>2.4640472754515508</v>
      </c>
      <c r="Q2793" s="71">
        <f>IF(B2793="",0,INDEX(ModelParameters!$D$6:$K$10,MATCH($O2793,ModelParameters!$B$6:$B$10,0),MATCH($J2793,ModelParameters!$D$5:$K$5,0)))</f>
        <v>0.013999999999999998</v>
      </c>
      <c r="R2793" s="71">
        <f>IF(B2793="",0,INDEX(ModelParameters!$D$13:$K$17,MATCH($O2793,ModelParameters!$B$13:$B$17,0),MATCH($J2793,ModelParameters!$D$5:$K$5,0)))</f>
        <v>0</v>
      </c>
      <c r="S2793" s="160">
        <f>IF(B2793="",0,MIN(IF($N2793="Other Bond TM",ModelParameters!$N$21,1)*(P2793*Q2793+R2793),1))</f>
        <v>0.034496661856321704</v>
      </c>
      <c r="T2793" s="85">
        <f>IF(B2793="",0,$S2793*$K2793)</f>
        <v>121.05246233292852</v>
      </c>
      <c r="U2793" s="85">
        <f>IF(B2793="",0,IF(OR(H2793=MappingTables!$C$34,H2793=MappingTables!$C$35),T2793,0))</f>
        <v>0</v>
      </c>
      <c r="V2793" s="85">
        <f>IF(ISNA(IF(AND(VLOOKUP(CONCATENATE($D2793,$G2793),CSRFinput!$B:$E,4,0)=0,OR(H2793=MappingTables!$C$34,H2793=MappingTables!$C$35)),1,VLOOKUP(CONCATENATE($D2793,$G2793),CSRFinput!$B:$E,4,0))),0,IF(AND(VLOOKUP(CONCATENATE($D2793,$G2793),CSRFinput!$B:$E,4,0)=0,OR(H2793=MappingTables!$C$34,H2793=MappingTables!$C$35)),1,VLOOKUP(CONCATENATE($D2793,$G2793),CSRFinput!$B:$E,4,0)))</f>
        <v>0.054776304963434752</v>
      </c>
      <c r="W2793" s="85">
        <f>IF(B2793="",0,+$T2793*$V2793)</f>
        <v>6.6308065933231912</v>
      </c>
      <c r="X2793" s="85">
        <f>IF(B2793="",0,IF(OR(H2793=MappingTables!$C$34,H2793=MappingTables!$C$35),W2793,0))</f>
        <v>0</v>
      </c>
    </row>
    <row r="2794" spans="2:24" s="0" customFormat="0" ht="15">
      <c r="B2794" s="69">
        <v>23351454</v>
      </c>
      <c r="C2794" s="70" t="s">
        <v>2596</v>
      </c>
      <c r="D2794" s="70" t="s">
        <v>1</v>
      </c>
      <c r="E2794" s="70" t="s">
        <v>1</v>
      </c>
      <c r="F2794" s="70"/>
      <c r="G2794" s="70" t="s">
        <v>61</v>
      </c>
      <c r="H2794" s="70" t="s">
        <v>178</v>
      </c>
      <c r="I2794" s="70" t="s">
        <v>181</v>
      </c>
      <c r="J2794" s="71">
        <f>IF(OR(I2794=0,I2794=""),"unrated",VLOOKUP(I2794,MappingTables!$B$19:$C$31,2,FALSE))</f>
        <v>3</v>
      </c>
      <c r="K2794" s="72">
        <v>13791.36026609832</v>
      </c>
      <c r="L2794" s="70">
        <v>6.8764297664330008</v>
      </c>
      <c r="M2794" s="71">
        <f>IF(L2794&lt;1,1,L2794)</f>
        <v>6.8764297664330008</v>
      </c>
      <c r="N2794" s="70" t="s">
        <v>141</v>
      </c>
      <c r="O2794" s="71">
        <f>INDEX(DurClassMapping,MATCH(M2794,MappingTables!$D$4:$D$8,-1),1)</f>
        <v>2</v>
      </c>
      <c r="P2794" s="73">
        <f>IF(M2794=$A$1,1,$M2794-INDEX(MappingTables!$E$4:$E$8,MATCH(O2794,MappingTables!$B$4:$B$8,0)))</f>
        <v>1.8764297664330004</v>
      </c>
      <c r="Q2794" s="71">
        <f>IF(B2794="",0,INDEX(ModelParameters!$D$6:$K$10,MATCH($O2794,ModelParameters!$B$6:$B$10,0),MATCH($J2794,ModelParameters!$D$5:$K$5,0)))</f>
        <v>0.015</v>
      </c>
      <c r="R2794" s="71">
        <f>IF(B2794="",0,INDEX(ModelParameters!$D$13:$K$17,MATCH($O2794,ModelParameters!$B$13:$B$17,0),MATCH($J2794,ModelParameters!$D$5:$K$5,0)))</f>
        <v>0.125</v>
      </c>
      <c r="S2794" s="160">
        <f>IF(B2794="",0,MIN(IF($N2794="Other Bond TM",ModelParameters!$N$21,1)*(P2794*Q2794+R2794),1))</f>
        <v>0.153146446496495</v>
      </c>
      <c r="T2794" s="85">
        <f>IF(B2794="",0,$S2794*$K2794)</f>
        <v>2112.0978171059132</v>
      </c>
      <c r="U2794" s="85">
        <f>IF(B2794="",0,IF(OR(H2794=MappingTables!$C$34,H2794=MappingTables!$C$35),T2794,0))</f>
        <v>0</v>
      </c>
      <c r="V2794" s="85">
        <f>IF(ISNA(IF(AND(VLOOKUP(CONCATENATE($D2794,$G2794),CSRFinput!$B:$E,4,0)=0,OR(H2794=MappingTables!$C$34,H2794=MappingTables!$C$35)),1,VLOOKUP(CONCATENATE($D2794,$G2794),CSRFinput!$B:$E,4,0))),0,IF(AND(VLOOKUP(CONCATENATE($D2794,$G2794),CSRFinput!$B:$E,4,0)=0,OR(H2794=MappingTables!$C$34,H2794=MappingTables!$C$35)),1,VLOOKUP(CONCATENATE($D2794,$G2794),CSRFinput!$B:$E,4,0)))</f>
        <v>0.054776304963434752</v>
      </c>
      <c r="W2794" s="85">
        <f>IF(B2794="",0,+$T2794*$V2794)</f>
        <v>115.69291414239834</v>
      </c>
      <c r="X2794" s="85">
        <f>IF(B2794="",0,IF(OR(H2794=MappingTables!$C$34,H2794=MappingTables!$C$35),W2794,0))</f>
        <v>0</v>
      </c>
    </row>
    <row r="2795" spans="2:24" s="0" customFormat="0" ht="15">
      <c r="B2795" s="69">
        <v>14384096</v>
      </c>
      <c r="C2795" s="70" t="s">
        <v>1885</v>
      </c>
      <c r="D2795" s="70" t="s">
        <v>1</v>
      </c>
      <c r="E2795" s="70" t="s">
        <v>1</v>
      </c>
      <c r="F2795" s="70"/>
      <c r="G2795" s="70" t="s">
        <v>61</v>
      </c>
      <c r="H2795" s="70" t="s">
        <v>178</v>
      </c>
      <c r="I2795" s="70" t="s">
        <v>188</v>
      </c>
      <c r="J2795" s="71">
        <f>IF(OR(I2795=0,I2795=""),"unrated",VLOOKUP(I2795,MappingTables!$B$19:$C$31,2,FALSE))</f>
        <v>2</v>
      </c>
      <c r="K2795" s="72">
        <v>1242.7357995862954</v>
      </c>
      <c r="L2795" s="70">
        <v>1.419239060020368</v>
      </c>
      <c r="M2795" s="71">
        <f>IF(L2795&lt;1,1,L2795)</f>
        <v>1.419239060020368</v>
      </c>
      <c r="N2795" s="70" t="s">
        <v>141</v>
      </c>
      <c r="O2795" s="71">
        <f>INDEX(DurClassMapping,MATCH(M2795,MappingTables!$D$4:$D$8,-1),1)</f>
        <v>1</v>
      </c>
      <c r="P2795" s="73">
        <f>IF(M2795=$A$1,1,$M2795-INDEX(MappingTables!$E$4:$E$8,MATCH(O2795,MappingTables!$B$4:$B$8,0)))</f>
        <v>1.419239060020368</v>
      </c>
      <c r="Q2795" s="71">
        <f>IF(B2795="",0,INDEX(ModelParameters!$D$6:$K$10,MATCH($O2795,ModelParameters!$B$6:$B$10,0),MATCH($J2795,ModelParameters!$D$5:$K$5,0)))</f>
        <v>0.013999999999999998</v>
      </c>
      <c r="R2795" s="71">
        <f>IF(B2795="",0,INDEX(ModelParameters!$D$13:$K$17,MATCH($O2795,ModelParameters!$B$13:$B$17,0),MATCH($J2795,ModelParameters!$D$5:$K$5,0)))</f>
        <v>0</v>
      </c>
      <c r="S2795" s="160">
        <f>IF(B2795="",0,MIN(IF($N2795="Other Bond TM",ModelParameters!$N$21,1)*(P2795*Q2795+R2795),1))</f>
        <v>0.019869346840285152</v>
      </c>
      <c r="T2795" s="85">
        <f>IF(B2795="",0,$S2795*$K2795)</f>
        <v>24.692348632819196</v>
      </c>
      <c r="U2795" s="85">
        <f>IF(B2795="",0,IF(OR(H2795=MappingTables!$C$34,H2795=MappingTables!$C$35),T2795,0))</f>
        <v>0</v>
      </c>
      <c r="V2795" s="85">
        <f>IF(ISNA(IF(AND(VLOOKUP(CONCATENATE($D2795,$G2795),CSRFinput!$B:$E,4,0)=0,OR(H2795=MappingTables!$C$34,H2795=MappingTables!$C$35)),1,VLOOKUP(CONCATENATE($D2795,$G2795),CSRFinput!$B:$E,4,0))),0,IF(AND(VLOOKUP(CONCATENATE($D2795,$G2795),CSRFinput!$B:$E,4,0)=0,OR(H2795=MappingTables!$C$34,H2795=MappingTables!$C$35)),1,VLOOKUP(CONCATENATE($D2795,$G2795),CSRFinput!$B:$E,4,0)))</f>
        <v>0.054776304963434752</v>
      </c>
      <c r="W2795" s="85">
        <f>IF(B2795="",0,+$T2795*$V2795)</f>
        <v>1.3525556189747556</v>
      </c>
      <c r="X2795" s="85">
        <f>IF(B2795="",0,IF(OR(H2795=MappingTables!$C$34,H2795=MappingTables!$C$35),W2795,0))</f>
        <v>0</v>
      </c>
    </row>
    <row r="2796" spans="2:24" s="0" customFormat="0" ht="15">
      <c r="B2796" s="69">
        <v>11479489</v>
      </c>
      <c r="C2796" s="70" t="s">
        <v>1318</v>
      </c>
      <c r="D2796" s="70" t="s">
        <v>1</v>
      </c>
      <c r="E2796" s="70" t="s">
        <v>1</v>
      </c>
      <c r="F2796" s="70"/>
      <c r="G2796" s="70" t="s">
        <v>61</v>
      </c>
      <c r="H2796" s="70" t="s">
        <v>178</v>
      </c>
      <c r="I2796" s="70" t="s">
        <v>198</v>
      </c>
      <c r="J2796" s="71" t="str">
        <f>IF(OR(I2796=0,I2796=""),"unrated",VLOOKUP(I2796,MappingTables!$B$19:$C$31,2,FALSE))</f>
        <v>unrated</v>
      </c>
      <c r="K2796" s="72">
        <v>104.65515753171314</v>
      </c>
      <c r="L2796" s="70">
        <v>0.095888608263190352</v>
      </c>
      <c r="M2796" s="71">
        <f>IF(L2796&lt;1,1,L2796)</f>
        <v>1</v>
      </c>
      <c r="N2796" s="70" t="s">
        <v>141</v>
      </c>
      <c r="O2796" s="71">
        <f>INDEX(DurClassMapping,MATCH(M2796,MappingTables!$D$4:$D$8,-1),1)</f>
        <v>1</v>
      </c>
      <c r="P2796" s="73">
        <f>IF(M2796=$A$1,1,$M2796-INDEX(MappingTables!$E$4:$E$8,MATCH(O2796,MappingTables!$B$4:$B$8,0)))</f>
        <v>1</v>
      </c>
      <c r="Q2796" s="71">
        <f>IF(B2796="",0,INDEX(ModelParameters!$D$6:$K$10,MATCH($O2796,ModelParameters!$B$6:$B$10,0),MATCH($J2796,ModelParameters!$D$5:$K$5,0)))</f>
        <v>0.03</v>
      </c>
      <c r="R2796" s="71">
        <f>IF(B2796="",0,INDEX(ModelParameters!$D$13:$K$17,MATCH($O2796,ModelParameters!$B$13:$B$17,0),MATCH($J2796,ModelParameters!$D$5:$K$5,0)))</f>
        <v>0</v>
      </c>
      <c r="S2796" s="160">
        <f>IF(B2796="",0,MIN(IF($N2796="Other Bond TM",ModelParameters!$N$21,1)*(P2796*Q2796+R2796),1))</f>
        <v>0.03</v>
      </c>
      <c r="T2796" s="85">
        <f>IF(B2796="",0,$S2796*$K2796)</f>
        <v>3.1396547259513944</v>
      </c>
      <c r="U2796" s="85">
        <f>IF(B2796="",0,IF(OR(H2796=MappingTables!$C$34,H2796=MappingTables!$C$35),T2796,0))</f>
        <v>0</v>
      </c>
      <c r="V2796" s="85">
        <f>IF(ISNA(IF(AND(VLOOKUP(CONCATENATE($D2796,$G2796),CSRFinput!$B:$E,4,0)=0,OR(H2796=MappingTables!$C$34,H2796=MappingTables!$C$35)),1,VLOOKUP(CONCATENATE($D2796,$G2796),CSRFinput!$B:$E,4,0))),0,IF(AND(VLOOKUP(CONCATENATE($D2796,$G2796),CSRFinput!$B:$E,4,0)=0,OR(H2796=MappingTables!$C$34,H2796=MappingTables!$C$35)),1,VLOOKUP(CONCATENATE($D2796,$G2796),CSRFinput!$B:$E,4,0)))</f>
        <v>0.054776304963434752</v>
      </c>
      <c r="W2796" s="85">
        <f>IF(B2796="",0,+$T2796*$V2796)</f>
        <v>0.17197868474860272</v>
      </c>
      <c r="X2796" s="85">
        <f>IF(B2796="",0,IF(OR(H2796=MappingTables!$C$34,H2796=MappingTables!$C$35),W2796,0))</f>
        <v>0</v>
      </c>
    </row>
    <row r="2797" spans="2:24" s="0" customFormat="0" ht="15">
      <c r="B2797" s="69" t="s">
        <v>1524</v>
      </c>
      <c r="C2797" s="70" t="s">
        <v>1525</v>
      </c>
      <c r="D2797" s="70" t="s">
        <v>1</v>
      </c>
      <c r="E2797" s="70" t="s">
        <v>1</v>
      </c>
      <c r="F2797" s="70"/>
      <c r="G2797" s="70" t="s">
        <v>61</v>
      </c>
      <c r="H2797" s="70" t="s">
        <v>178</v>
      </c>
      <c r="I2797" s="70" t="s">
        <v>184</v>
      </c>
      <c r="J2797" s="71">
        <f>IF(OR(I2797=0,I2797=""),"unrated",VLOOKUP(I2797,MappingTables!$B$19:$C$31,2,FALSE))</f>
        <v>5</v>
      </c>
      <c r="K2797" s="72">
        <v>321.93640300659228</v>
      </c>
      <c r="L2797" s="70">
        <v>1.0172963471171232</v>
      </c>
      <c r="M2797" s="71">
        <f>IF(L2797&lt;1,1,L2797)</f>
        <v>1.0172963471171232</v>
      </c>
      <c r="N2797" s="70" t="s">
        <v>141</v>
      </c>
      <c r="O2797" s="71">
        <f>INDEX(DurClassMapping,MATCH(M2797,MappingTables!$D$4:$D$8,-1),1)</f>
        <v>1</v>
      </c>
      <c r="P2797" s="73">
        <f>IF(M2797=$A$1,1,$M2797-INDEX(MappingTables!$E$4:$E$8,MATCH(O2797,MappingTables!$B$4:$B$8,0)))</f>
        <v>1.0172963471171232</v>
      </c>
      <c r="Q2797" s="71">
        <f>IF(B2797="",0,INDEX(ModelParameters!$D$6:$K$10,MATCH($O2797,ModelParameters!$B$6:$B$10,0),MATCH($J2797,ModelParameters!$D$5:$K$5,0)))</f>
        <v>0.075</v>
      </c>
      <c r="R2797" s="71">
        <f>IF(B2797="",0,INDEX(ModelParameters!$D$13:$K$17,MATCH($O2797,ModelParameters!$B$13:$B$17,0),MATCH($J2797,ModelParameters!$D$5:$K$5,0)))</f>
        <v>0</v>
      </c>
      <c r="S2797" s="160">
        <f>IF(B2797="",0,MIN(IF($N2797="Other Bond TM",ModelParameters!$N$21,1)*(P2797*Q2797+R2797),1))</f>
        <v>0.07629722603378424</v>
      </c>
      <c r="T2797" s="85">
        <f>IF(B2797="",0,$S2797*$K2797)</f>
        <v>24.562854508697428</v>
      </c>
      <c r="U2797" s="85">
        <f>IF(B2797="",0,IF(OR(H2797=MappingTables!$C$34,H2797=MappingTables!$C$35),T2797,0))</f>
        <v>0</v>
      </c>
      <c r="V2797" s="85">
        <f>IF(ISNA(IF(AND(VLOOKUP(CONCATENATE($D2797,$G2797),CSRFinput!$B:$E,4,0)=0,OR(H2797=MappingTables!$C$34,H2797=MappingTables!$C$35)),1,VLOOKUP(CONCATENATE($D2797,$G2797),CSRFinput!$B:$E,4,0))),0,IF(AND(VLOOKUP(CONCATENATE($D2797,$G2797),CSRFinput!$B:$E,4,0)=0,OR(H2797=MappingTables!$C$34,H2797=MappingTables!$C$35)),1,VLOOKUP(CONCATENATE($D2797,$G2797),CSRFinput!$B:$E,4,0)))</f>
        <v>0.054776304963434752</v>
      </c>
      <c r="W2797" s="85">
        <f>IF(B2797="",0,+$T2797*$V2797)</f>
        <v>1.3454624093408886</v>
      </c>
      <c r="X2797" s="85">
        <f>IF(B2797="",0,IF(OR(H2797=MappingTables!$C$34,H2797=MappingTables!$C$35),W2797,0))</f>
        <v>0</v>
      </c>
    </row>
    <row r="2798" spans="2:24" s="0" customFormat="0" ht="15">
      <c r="B2798" s="69">
        <v>2628622</v>
      </c>
      <c r="C2798" s="70" t="s">
        <v>1564</v>
      </c>
      <c r="D2798" s="70" t="s">
        <v>1</v>
      </c>
      <c r="E2798" s="70" t="s">
        <v>1</v>
      </c>
      <c r="F2798" s="70"/>
      <c r="G2798" s="70" t="s">
        <v>61</v>
      </c>
      <c r="H2798" s="70" t="s">
        <v>178</v>
      </c>
      <c r="I2798" s="70" t="s">
        <v>181</v>
      </c>
      <c r="J2798" s="71">
        <f>IF(OR(I2798=0,I2798=""),"unrated",VLOOKUP(I2798,MappingTables!$B$19:$C$31,2,FALSE))</f>
        <v>3</v>
      </c>
      <c r="K2798" s="72">
        <v>8344.045947583728</v>
      </c>
      <c r="L2798" s="70">
        <v>11.951725402113492</v>
      </c>
      <c r="M2798" s="71">
        <f>IF(L2798&lt;1,1,L2798)</f>
        <v>11.951725402113492</v>
      </c>
      <c r="N2798" s="70" t="s">
        <v>141</v>
      </c>
      <c r="O2798" s="71">
        <f>INDEX(DurClassMapping,MATCH(M2798,MappingTables!$D$4:$D$8,-1),1)</f>
        <v>3</v>
      </c>
      <c r="P2798" s="73">
        <f>IF(M2798=$A$1,1,$M2798-INDEX(MappingTables!$E$4:$E$8,MATCH(O2798,MappingTables!$B$4:$B$8,0)))</f>
        <v>1.9517254021134924</v>
      </c>
      <c r="Q2798" s="71">
        <f>IF(B2798="",0,INDEX(ModelParameters!$D$6:$K$10,MATCH($O2798,ModelParameters!$B$6:$B$10,0),MATCH($J2798,ModelParameters!$D$5:$K$5,0)))</f>
        <v>0.01</v>
      </c>
      <c r="R2798" s="71">
        <f>IF(B2798="",0,INDEX(ModelParameters!$D$13:$K$17,MATCH($O2798,ModelParameters!$B$13:$B$17,0),MATCH($J2798,ModelParameters!$D$5:$K$5,0)))</f>
        <v>0.2</v>
      </c>
      <c r="S2798" s="160">
        <f>IF(B2798="",0,MIN(IF($N2798="Other Bond TM",ModelParameters!$N$21,1)*(P2798*Q2798+R2798),1))</f>
        <v>0.21951725402113492</v>
      </c>
      <c r="T2798" s="85">
        <f>IF(B2798="",0,$S2798*$K2798)</f>
        <v>1831.6620538397588</v>
      </c>
      <c r="U2798" s="85">
        <f>IF(B2798="",0,IF(OR(H2798=MappingTables!$C$34,H2798=MappingTables!$C$35),T2798,0))</f>
        <v>0</v>
      </c>
      <c r="V2798" s="85">
        <f>IF(ISNA(IF(AND(VLOOKUP(CONCATENATE($D2798,$G2798),CSRFinput!$B:$E,4,0)=0,OR(H2798=MappingTables!$C$34,H2798=MappingTables!$C$35)),1,VLOOKUP(CONCATENATE($D2798,$G2798),CSRFinput!$B:$E,4,0))),0,IF(AND(VLOOKUP(CONCATENATE($D2798,$G2798),CSRFinput!$B:$E,4,0)=0,OR(H2798=MappingTables!$C$34,H2798=MappingTables!$C$35)),1,VLOOKUP(CONCATENATE($D2798,$G2798),CSRFinput!$B:$E,4,0)))</f>
        <v>0.054776304963434752</v>
      </c>
      <c r="W2798" s="85">
        <f>IF(B2798="",0,+$T2798*$V2798)</f>
        <v>100.33167925107788</v>
      </c>
      <c r="X2798" s="85">
        <f>IF(B2798="",0,IF(OR(H2798=MappingTables!$C$34,H2798=MappingTables!$C$35),W2798,0))</f>
        <v>0</v>
      </c>
    </row>
    <row r="2799" spans="2:24" s="0" customFormat="0" ht="15">
      <c r="B2799" s="69">
        <v>22017486</v>
      </c>
      <c r="C2799" s="70" t="s">
        <v>2306</v>
      </c>
      <c r="D2799" s="70" t="s">
        <v>1</v>
      </c>
      <c r="E2799" s="70" t="s">
        <v>1</v>
      </c>
      <c r="F2799" s="70"/>
      <c r="G2799" s="70" t="s">
        <v>61</v>
      </c>
      <c r="H2799" s="70" t="s">
        <v>178</v>
      </c>
      <c r="I2799" s="70" t="s">
        <v>179</v>
      </c>
      <c r="J2799" s="71">
        <f>IF(OR(I2799=0,I2799=""),"unrated",VLOOKUP(I2799,MappingTables!$B$19:$C$31,2,FALSE))</f>
        <v>4</v>
      </c>
      <c r="K2799" s="72">
        <v>361.2886712747592</v>
      </c>
      <c r="L2799" s="70">
        <v>1.9134377324857548</v>
      </c>
      <c r="M2799" s="71">
        <f>IF(L2799&lt;1,1,L2799)</f>
        <v>1.9134377324857548</v>
      </c>
      <c r="N2799" s="70" t="s">
        <v>141</v>
      </c>
      <c r="O2799" s="71">
        <f>INDEX(DurClassMapping,MATCH(M2799,MappingTables!$D$4:$D$8,-1),1)</f>
        <v>1</v>
      </c>
      <c r="P2799" s="73">
        <f>IF(M2799=$A$1,1,$M2799-INDEX(MappingTables!$E$4:$E$8,MATCH(O2799,MappingTables!$B$4:$B$8,0)))</f>
        <v>1.9134377324857548</v>
      </c>
      <c r="Q2799" s="71">
        <f>IF(B2799="",0,INDEX(ModelParameters!$D$6:$K$10,MATCH($O2799,ModelParameters!$B$6:$B$10,0),MATCH($J2799,ModelParameters!$D$5:$K$5,0)))</f>
        <v>0.045</v>
      </c>
      <c r="R2799" s="71">
        <f>IF(B2799="",0,INDEX(ModelParameters!$D$13:$K$17,MATCH($O2799,ModelParameters!$B$13:$B$17,0),MATCH($J2799,ModelParameters!$D$5:$K$5,0)))</f>
        <v>0</v>
      </c>
      <c r="S2799" s="160">
        <f>IF(B2799="",0,MIN(IF($N2799="Other Bond TM",ModelParameters!$N$21,1)*(P2799*Q2799+R2799),1))</f>
        <v>0.08610469796185896</v>
      </c>
      <c r="T2799" s="85">
        <f>IF(B2799="",0,$S2799*$K2799)</f>
        <v>31.108651917154488</v>
      </c>
      <c r="U2799" s="85">
        <f>IF(B2799="",0,IF(OR(H2799=MappingTables!$C$34,H2799=MappingTables!$C$35),T2799,0))</f>
        <v>0</v>
      </c>
      <c r="V2799" s="85">
        <f>IF(ISNA(IF(AND(VLOOKUP(CONCATENATE($D2799,$G2799),CSRFinput!$B:$E,4,0)=0,OR(H2799=MappingTables!$C$34,H2799=MappingTables!$C$35)),1,VLOOKUP(CONCATENATE($D2799,$G2799),CSRFinput!$B:$E,4,0))),0,IF(AND(VLOOKUP(CONCATENATE($D2799,$G2799),CSRFinput!$B:$E,4,0)=0,OR(H2799=MappingTables!$C$34,H2799=MappingTables!$C$35)),1,VLOOKUP(CONCATENATE($D2799,$G2799),CSRFinput!$B:$E,4,0)))</f>
        <v>0.054776304963434752</v>
      </c>
      <c r="W2799" s="85">
        <f>IF(B2799="",0,+$T2799*$V2799)</f>
        <v>1.7040170044153934</v>
      </c>
      <c r="X2799" s="85">
        <f>IF(B2799="",0,IF(OR(H2799=MappingTables!$C$34,H2799=MappingTables!$C$35),W2799,0))</f>
        <v>0</v>
      </c>
    </row>
    <row r="2800" spans="2:24" s="0" customFormat="0" ht="15">
      <c r="B2800" s="69" t="s">
        <v>2597</v>
      </c>
      <c r="C2800" s="70" t="s">
        <v>2598</v>
      </c>
      <c r="D2800" s="70" t="s">
        <v>1</v>
      </c>
      <c r="E2800" s="70" t="s">
        <v>1</v>
      </c>
      <c r="F2800" s="70"/>
      <c r="G2800" s="70" t="s">
        <v>61</v>
      </c>
      <c r="H2800" s="70" t="s">
        <v>178</v>
      </c>
      <c r="I2800" s="70" t="s">
        <v>220</v>
      </c>
      <c r="J2800" s="71">
        <f>IF(OR(I2800=0,I2800=""),"unrated",VLOOKUP(I2800,MappingTables!$B$19:$C$31,2,FALSE))</f>
        <v>1</v>
      </c>
      <c r="K2800" s="72">
        <v>1754.4841041612156</v>
      </c>
      <c r="L2800" s="70">
        <v>0.076710715251507712</v>
      </c>
      <c r="M2800" s="71">
        <f>IF(L2800&lt;1,1,L2800)</f>
        <v>1</v>
      </c>
      <c r="N2800" s="70" t="s">
        <v>141</v>
      </c>
      <c r="O2800" s="71">
        <f>INDEX(DurClassMapping,MATCH(M2800,MappingTables!$D$4:$D$8,-1),1)</f>
        <v>1</v>
      </c>
      <c r="P2800" s="73">
        <f>IF(M2800=$A$1,1,$M2800-INDEX(MappingTables!$E$4:$E$8,MATCH(O2800,MappingTables!$B$4:$B$8,0)))</f>
        <v>1</v>
      </c>
      <c r="Q2800" s="71">
        <f>IF(B2800="",0,INDEX(ModelParameters!$D$6:$K$10,MATCH($O2800,ModelParameters!$B$6:$B$10,0),MATCH($J2800,ModelParameters!$D$5:$K$5,0)))</f>
        <v>0.011000000000000002</v>
      </c>
      <c r="R2800" s="71">
        <f>IF(B2800="",0,INDEX(ModelParameters!$D$13:$K$17,MATCH($O2800,ModelParameters!$B$13:$B$17,0),MATCH($J2800,ModelParameters!$D$5:$K$5,0)))</f>
        <v>0</v>
      </c>
      <c r="S2800" s="160">
        <f>IF(B2800="",0,MIN(IF($N2800="Other Bond TM",ModelParameters!$N$21,1)*(P2800*Q2800+R2800),1))</f>
        <v>0.011000000000000002</v>
      </c>
      <c r="T2800" s="85">
        <f>IF(B2800="",0,$S2800*$K2800)</f>
        <v>19.299325145773372</v>
      </c>
      <c r="U2800" s="85">
        <f>IF(B2800="",0,IF(OR(H2800=MappingTables!$C$34,H2800=MappingTables!$C$35),T2800,0))</f>
        <v>0</v>
      </c>
      <c r="V2800" s="85">
        <f>IF(ISNA(IF(AND(VLOOKUP(CONCATENATE($D2800,$G2800),CSRFinput!$B:$E,4,0)=0,OR(H2800=MappingTables!$C$34,H2800=MappingTables!$C$35)),1,VLOOKUP(CONCATENATE($D2800,$G2800),CSRFinput!$B:$E,4,0))),0,IF(AND(VLOOKUP(CONCATENATE($D2800,$G2800),CSRFinput!$B:$E,4,0)=0,OR(H2800=MappingTables!$C$34,H2800=MappingTables!$C$35)),1,VLOOKUP(CONCATENATE($D2800,$G2800),CSRFinput!$B:$E,4,0)))</f>
        <v>0.054776304963434752</v>
      </c>
      <c r="W2800" s="85">
        <f>IF(B2800="",0,+$T2800*$V2800)</f>
        <v>1.0571457197733672</v>
      </c>
      <c r="X2800" s="85">
        <f>IF(B2800="",0,IF(OR(H2800=MappingTables!$C$34,H2800=MappingTables!$C$35),W2800,0))</f>
        <v>0</v>
      </c>
    </row>
    <row r="2801" spans="2:24" s="0" customFormat="0" ht="15">
      <c r="B2801" s="69">
        <v>23936142</v>
      </c>
      <c r="C2801" s="70" t="s">
        <v>1948</v>
      </c>
      <c r="D2801" s="70" t="s">
        <v>1</v>
      </c>
      <c r="E2801" s="70" t="s">
        <v>1</v>
      </c>
      <c r="F2801" s="70"/>
      <c r="G2801" s="70" t="s">
        <v>61</v>
      </c>
      <c r="H2801" s="70" t="s">
        <v>178</v>
      </c>
      <c r="I2801" s="70" t="s">
        <v>188</v>
      </c>
      <c r="J2801" s="71">
        <f>IF(OR(I2801=0,I2801=""),"unrated",VLOOKUP(I2801,MappingTables!$B$19:$C$31,2,FALSE))</f>
        <v>2</v>
      </c>
      <c r="K2801" s="72">
        <v>73.001016374508272</v>
      </c>
      <c r="L2801" s="70">
        <v>2.45626324368914</v>
      </c>
      <c r="M2801" s="71">
        <f>IF(L2801&lt;1,1,L2801)</f>
        <v>2.45626324368914</v>
      </c>
      <c r="N2801" s="70" t="s">
        <v>141</v>
      </c>
      <c r="O2801" s="71">
        <f>INDEX(DurClassMapping,MATCH(M2801,MappingTables!$D$4:$D$8,-1),1)</f>
        <v>1</v>
      </c>
      <c r="P2801" s="73">
        <f>IF(M2801=$A$1,1,$M2801-INDEX(MappingTables!$E$4:$E$8,MATCH(O2801,MappingTables!$B$4:$B$8,0)))</f>
        <v>2.45626324368914</v>
      </c>
      <c r="Q2801" s="71">
        <f>IF(B2801="",0,INDEX(ModelParameters!$D$6:$K$10,MATCH($O2801,ModelParameters!$B$6:$B$10,0),MATCH($J2801,ModelParameters!$D$5:$K$5,0)))</f>
        <v>0.013999999999999998</v>
      </c>
      <c r="R2801" s="71">
        <f>IF(B2801="",0,INDEX(ModelParameters!$D$13:$K$17,MATCH($O2801,ModelParameters!$B$13:$B$17,0),MATCH($J2801,ModelParameters!$D$5:$K$5,0)))</f>
        <v>0</v>
      </c>
      <c r="S2801" s="160">
        <f>IF(B2801="",0,MIN(IF($N2801="Other Bond TM",ModelParameters!$N$21,1)*(P2801*Q2801+R2801),1))</f>
        <v>0.034387685411647952</v>
      </c>
      <c r="T2801" s="85">
        <f>IF(B2801="",0,$S2801*$K2801)</f>
        <v>2.5103359858171516</v>
      </c>
      <c r="U2801" s="85">
        <f>IF(B2801="",0,IF(OR(H2801=MappingTables!$C$34,H2801=MappingTables!$C$35),T2801,0))</f>
        <v>0</v>
      </c>
      <c r="V2801" s="85">
        <f>IF(ISNA(IF(AND(VLOOKUP(CONCATENATE($D2801,$G2801),CSRFinput!$B:$E,4,0)=0,OR(H2801=MappingTables!$C$34,H2801=MappingTables!$C$35)),1,VLOOKUP(CONCATENATE($D2801,$G2801),CSRFinput!$B:$E,4,0))),0,IF(AND(VLOOKUP(CONCATENATE($D2801,$G2801),CSRFinput!$B:$E,4,0)=0,OR(H2801=MappingTables!$C$34,H2801=MappingTables!$C$35)),1,VLOOKUP(CONCATENATE($D2801,$G2801),CSRFinput!$B:$E,4,0)))</f>
        <v>0.054776304963434752</v>
      </c>
      <c r="W2801" s="85">
        <f>IF(B2801="",0,+$T2801*$V2801)</f>
        <v>0.13750692951980492</v>
      </c>
      <c r="X2801" s="85">
        <f>IF(B2801="",0,IF(OR(H2801=MappingTables!$C$34,H2801=MappingTables!$C$35),W2801,0))</f>
        <v>0</v>
      </c>
    </row>
    <row r="2802" spans="2:24" s="0" customFormat="0" ht="15">
      <c r="B2802" s="69" t="s">
        <v>2599</v>
      </c>
      <c r="C2802" s="70" t="s">
        <v>2600</v>
      </c>
      <c r="D2802" s="70" t="s">
        <v>1</v>
      </c>
      <c r="E2802" s="70" t="s">
        <v>1</v>
      </c>
      <c r="F2802" s="70"/>
      <c r="G2802" s="70" t="s">
        <v>61</v>
      </c>
      <c r="H2802" s="70" t="s">
        <v>178</v>
      </c>
      <c r="I2802" s="70" t="s">
        <v>181</v>
      </c>
      <c r="J2802" s="71">
        <f>IF(OR(I2802=0,I2802=""),"unrated",VLOOKUP(I2802,MappingTables!$B$19:$C$31,2,FALSE))</f>
        <v>3</v>
      </c>
      <c r="K2802" s="72">
        <v>28.6867689633712</v>
      </c>
      <c r="L2802" s="70">
        <v>0.28767456107923212</v>
      </c>
      <c r="M2802" s="71">
        <f>IF(L2802&lt;1,1,L2802)</f>
        <v>1</v>
      </c>
      <c r="N2802" s="70" t="s">
        <v>141</v>
      </c>
      <c r="O2802" s="71">
        <f>INDEX(DurClassMapping,MATCH(M2802,MappingTables!$D$4:$D$8,-1),1)</f>
        <v>1</v>
      </c>
      <c r="P2802" s="73">
        <f>IF(M2802=$A$1,1,$M2802-INDEX(MappingTables!$E$4:$E$8,MATCH(O2802,MappingTables!$B$4:$B$8,0)))</f>
        <v>1</v>
      </c>
      <c r="Q2802" s="71">
        <f>IF(B2802="",0,INDEX(ModelParameters!$D$6:$K$10,MATCH($O2802,ModelParameters!$B$6:$B$10,0),MATCH($J2802,ModelParameters!$D$5:$K$5,0)))</f>
        <v>0.025</v>
      </c>
      <c r="R2802" s="71">
        <f>IF(B2802="",0,INDEX(ModelParameters!$D$13:$K$17,MATCH($O2802,ModelParameters!$B$13:$B$17,0),MATCH($J2802,ModelParameters!$D$5:$K$5,0)))</f>
        <v>0</v>
      </c>
      <c r="S2802" s="160">
        <f>IF(B2802="",0,MIN(IF($N2802="Other Bond TM",ModelParameters!$N$21,1)*(P2802*Q2802+R2802),1))</f>
        <v>0.025</v>
      </c>
      <c r="T2802" s="85">
        <f>IF(B2802="",0,$S2802*$K2802)</f>
        <v>0.71716922408428008</v>
      </c>
      <c r="U2802" s="85">
        <f>IF(B2802="",0,IF(OR(H2802=MappingTables!$C$34,H2802=MappingTables!$C$35),T2802,0))</f>
        <v>0</v>
      </c>
      <c r="V2802" s="85">
        <f>IF(ISNA(IF(AND(VLOOKUP(CONCATENATE($D2802,$G2802),CSRFinput!$B:$E,4,0)=0,OR(H2802=MappingTables!$C$34,H2802=MappingTables!$C$35)),1,VLOOKUP(CONCATENATE($D2802,$G2802),CSRFinput!$B:$E,4,0))),0,IF(AND(VLOOKUP(CONCATENATE($D2802,$G2802),CSRFinput!$B:$E,4,0)=0,OR(H2802=MappingTables!$C$34,H2802=MappingTables!$C$35)),1,VLOOKUP(CONCATENATE($D2802,$G2802),CSRFinput!$B:$E,4,0)))</f>
        <v>0.054776304963434752</v>
      </c>
      <c r="W2802" s="85">
        <f>IF(B2802="",0,+$T2802*$V2802)</f>
        <v>0.039283880128830408</v>
      </c>
      <c r="X2802" s="85">
        <f>IF(B2802="",0,IF(OR(H2802=MappingTables!$C$34,H2802=MappingTables!$C$35),W2802,0))</f>
        <v>0</v>
      </c>
    </row>
    <row r="2803" spans="2:24" s="0" customFormat="0" ht="15">
      <c r="B2803" s="69" t="s">
        <v>2601</v>
      </c>
      <c r="C2803" s="70" t="s">
        <v>2602</v>
      </c>
      <c r="D2803" s="70" t="s">
        <v>1</v>
      </c>
      <c r="E2803" s="70" t="s">
        <v>1</v>
      </c>
      <c r="F2803" s="70"/>
      <c r="G2803" s="70" t="s">
        <v>61</v>
      </c>
      <c r="H2803" s="70" t="s">
        <v>178</v>
      </c>
      <c r="I2803" s="70" t="s">
        <v>184</v>
      </c>
      <c r="J2803" s="71">
        <f>IF(OR(I2803=0,I2803=""),"unrated",VLOOKUP(I2803,MappingTables!$B$19:$C$31,2,FALSE))</f>
        <v>5</v>
      </c>
      <c r="K2803" s="72">
        <v>13405.349926947738</v>
      </c>
      <c r="L2803" s="70">
        <v>10.19601484740574</v>
      </c>
      <c r="M2803" s="71">
        <f>IF(L2803&lt;1,1,L2803)</f>
        <v>10.19601484740574</v>
      </c>
      <c r="N2803" s="70" t="s">
        <v>141</v>
      </c>
      <c r="O2803" s="71">
        <f>INDEX(DurClassMapping,MATCH(M2803,MappingTables!$D$4:$D$8,-1),1)</f>
        <v>3</v>
      </c>
      <c r="P2803" s="73">
        <f>IF(M2803=$A$1,1,$M2803-INDEX(MappingTables!$E$4:$E$8,MATCH(O2803,MappingTables!$B$4:$B$8,0)))</f>
        <v>0.19601484740574016</v>
      </c>
      <c r="Q2803" s="71">
        <f>IF(B2803="",0,INDEX(ModelParameters!$D$6:$K$10,MATCH($O2803,ModelParameters!$B$6:$B$10,0),MATCH($J2803,ModelParameters!$D$5:$K$5,0)))</f>
        <v>0.005</v>
      </c>
      <c r="R2803" s="71">
        <f>IF(B2803="",0,INDEX(ModelParameters!$D$13:$K$17,MATCH($O2803,ModelParameters!$B$13:$B$17,0),MATCH($J2803,ModelParameters!$D$5:$K$5,0)))</f>
        <v>0.585</v>
      </c>
      <c r="S2803" s="160">
        <f>IF(B2803="",0,MIN(IF($N2803="Other Bond TM",ModelParameters!$N$21,1)*(P2803*Q2803+R2803),1))</f>
        <v>0.58598007423702872</v>
      </c>
      <c r="T2803" s="85">
        <f>IF(B2803="",0,$S2803*$K2803)</f>
        <v>7855.2679453661824</v>
      </c>
      <c r="U2803" s="85">
        <f>IF(B2803="",0,IF(OR(H2803=MappingTables!$C$34,H2803=MappingTables!$C$35),T2803,0))</f>
        <v>0</v>
      </c>
      <c r="V2803" s="85">
        <f>IF(ISNA(IF(AND(VLOOKUP(CONCATENATE($D2803,$G2803),CSRFinput!$B:$E,4,0)=0,OR(H2803=MappingTables!$C$34,H2803=MappingTables!$C$35)),1,VLOOKUP(CONCATENATE($D2803,$G2803),CSRFinput!$B:$E,4,0))),0,IF(AND(VLOOKUP(CONCATENATE($D2803,$G2803),CSRFinput!$B:$E,4,0)=0,OR(H2803=MappingTables!$C$34,H2803=MappingTables!$C$35)),1,VLOOKUP(CONCATENATE($D2803,$G2803),CSRFinput!$B:$E,4,0)))</f>
        <v>0.054776304963434752</v>
      </c>
      <c r="W2803" s="85">
        <f>IF(B2803="",0,+$T2803*$V2803)</f>
        <v>430.28255254487152</v>
      </c>
      <c r="X2803" s="85">
        <f>IF(B2803="",0,IF(OR(H2803=MappingTables!$C$34,H2803=MappingTables!$C$35),W2803,0))</f>
        <v>0</v>
      </c>
    </row>
    <row r="2804" spans="2:24" s="0" customFormat="0" ht="15">
      <c r="B2804" s="69">
        <v>18768984</v>
      </c>
      <c r="C2804" s="70" t="s">
        <v>2603</v>
      </c>
      <c r="D2804" s="70" t="s">
        <v>1</v>
      </c>
      <c r="E2804" s="70" t="s">
        <v>1</v>
      </c>
      <c r="F2804" s="70"/>
      <c r="G2804" s="70" t="s">
        <v>61</v>
      </c>
      <c r="H2804" s="70" t="s">
        <v>178</v>
      </c>
      <c r="I2804" s="70" t="s">
        <v>220</v>
      </c>
      <c r="J2804" s="71">
        <f>IF(OR(I2804=0,I2804=""),"unrated",VLOOKUP(I2804,MappingTables!$B$19:$C$31,2,FALSE))</f>
        <v>1</v>
      </c>
      <c r="K2804" s="72">
        <v>43.159358396167048</v>
      </c>
      <c r="L2804" s="70">
        <v>0.99919370603108176</v>
      </c>
      <c r="M2804" s="71">
        <f>IF(L2804&lt;1,1,L2804)</f>
        <v>1</v>
      </c>
      <c r="N2804" s="70" t="s">
        <v>141</v>
      </c>
      <c r="O2804" s="71">
        <f>INDEX(DurClassMapping,MATCH(M2804,MappingTables!$D$4:$D$8,-1),1)</f>
        <v>1</v>
      </c>
      <c r="P2804" s="73">
        <f>IF(M2804=$A$1,1,$M2804-INDEX(MappingTables!$E$4:$E$8,MATCH(O2804,MappingTables!$B$4:$B$8,0)))</f>
        <v>1</v>
      </c>
      <c r="Q2804" s="71">
        <f>IF(B2804="",0,INDEX(ModelParameters!$D$6:$K$10,MATCH($O2804,ModelParameters!$B$6:$B$10,0),MATCH($J2804,ModelParameters!$D$5:$K$5,0)))</f>
        <v>0.011000000000000002</v>
      </c>
      <c r="R2804" s="71">
        <f>IF(B2804="",0,INDEX(ModelParameters!$D$13:$K$17,MATCH($O2804,ModelParameters!$B$13:$B$17,0),MATCH($J2804,ModelParameters!$D$5:$K$5,0)))</f>
        <v>0</v>
      </c>
      <c r="S2804" s="160">
        <f>IF(B2804="",0,MIN(IF($N2804="Other Bond TM",ModelParameters!$N$21,1)*(P2804*Q2804+R2804),1))</f>
        <v>0.011000000000000002</v>
      </c>
      <c r="T2804" s="85">
        <f>IF(B2804="",0,$S2804*$K2804)</f>
        <v>0.4747529423578376</v>
      </c>
      <c r="U2804" s="85">
        <f>IF(B2804="",0,IF(OR(H2804=MappingTables!$C$34,H2804=MappingTables!$C$35),T2804,0))</f>
        <v>0</v>
      </c>
      <c r="V2804" s="85">
        <f>IF(ISNA(IF(AND(VLOOKUP(CONCATENATE($D2804,$G2804),CSRFinput!$B:$E,4,0)=0,OR(H2804=MappingTables!$C$34,H2804=MappingTables!$C$35)),1,VLOOKUP(CONCATENATE($D2804,$G2804),CSRFinput!$B:$E,4,0))),0,IF(AND(VLOOKUP(CONCATENATE($D2804,$G2804),CSRFinput!$B:$E,4,0)=0,OR(H2804=MappingTables!$C$34,H2804=MappingTables!$C$35)),1,VLOOKUP(CONCATENATE($D2804,$G2804),CSRFinput!$B:$E,4,0)))</f>
        <v>0.054776304963434752</v>
      </c>
      <c r="W2804" s="85">
        <f>IF(B2804="",0,+$T2804*$V2804)</f>
        <v>0.026005211952880872</v>
      </c>
      <c r="X2804" s="85">
        <f>IF(B2804="",0,IF(OR(H2804=MappingTables!$C$34,H2804=MappingTables!$C$35),W2804,0))</f>
        <v>0</v>
      </c>
    </row>
    <row r="2805" spans="2:24" s="0" customFormat="0" ht="15">
      <c r="B2805" s="69" t="s">
        <v>1044</v>
      </c>
      <c r="C2805" s="70" t="s">
        <v>1045</v>
      </c>
      <c r="D2805" s="70" t="s">
        <v>1</v>
      </c>
      <c r="E2805" s="70" t="s">
        <v>1</v>
      </c>
      <c r="F2805" s="70"/>
      <c r="G2805" s="70" t="s">
        <v>61</v>
      </c>
      <c r="H2805" s="70" t="s">
        <v>178</v>
      </c>
      <c r="I2805" s="70" t="s">
        <v>198</v>
      </c>
      <c r="J2805" s="71" t="str">
        <f>IF(OR(I2805=0,I2805=""),"unrated",VLOOKUP(I2805,MappingTables!$B$19:$C$31,2,FALSE))</f>
        <v>unrated</v>
      </c>
      <c r="K2805" s="72">
        <v>129.3129825297082</v>
      </c>
      <c r="L2805" s="70">
        <v>0.087671319258832912</v>
      </c>
      <c r="M2805" s="71">
        <f>IF(L2805&lt;1,1,L2805)</f>
        <v>1</v>
      </c>
      <c r="N2805" s="70" t="s">
        <v>141</v>
      </c>
      <c r="O2805" s="71">
        <f>INDEX(DurClassMapping,MATCH(M2805,MappingTables!$D$4:$D$8,-1),1)</f>
        <v>1</v>
      </c>
      <c r="P2805" s="73">
        <f>IF(M2805=$A$1,1,$M2805-INDEX(MappingTables!$E$4:$E$8,MATCH(O2805,MappingTables!$B$4:$B$8,0)))</f>
        <v>1</v>
      </c>
      <c r="Q2805" s="71">
        <f>IF(B2805="",0,INDEX(ModelParameters!$D$6:$K$10,MATCH($O2805,ModelParameters!$B$6:$B$10,0),MATCH($J2805,ModelParameters!$D$5:$K$5,0)))</f>
        <v>0.03</v>
      </c>
      <c r="R2805" s="71">
        <f>IF(B2805="",0,INDEX(ModelParameters!$D$13:$K$17,MATCH($O2805,ModelParameters!$B$13:$B$17,0),MATCH($J2805,ModelParameters!$D$5:$K$5,0)))</f>
        <v>0</v>
      </c>
      <c r="S2805" s="160">
        <f>IF(B2805="",0,MIN(IF($N2805="Other Bond TM",ModelParameters!$N$21,1)*(P2805*Q2805+R2805),1))</f>
        <v>0.03</v>
      </c>
      <c r="T2805" s="85">
        <f>IF(B2805="",0,$S2805*$K2805)</f>
        <v>3.8793894758912456</v>
      </c>
      <c r="U2805" s="85">
        <f>IF(B2805="",0,IF(OR(H2805=MappingTables!$C$34,H2805=MappingTables!$C$35),T2805,0))</f>
        <v>0</v>
      </c>
      <c r="V2805" s="85">
        <f>IF(ISNA(IF(AND(VLOOKUP(CONCATENATE($D2805,$G2805),CSRFinput!$B:$E,4,0)=0,OR(H2805=MappingTables!$C$34,H2805=MappingTables!$C$35)),1,VLOOKUP(CONCATENATE($D2805,$G2805),CSRFinput!$B:$E,4,0))),0,IF(AND(VLOOKUP(CONCATENATE($D2805,$G2805),CSRFinput!$B:$E,4,0)=0,OR(H2805=MappingTables!$C$34,H2805=MappingTables!$C$35)),1,VLOOKUP(CONCATENATE($D2805,$G2805),CSRFinput!$B:$E,4,0)))</f>
        <v>0.054776304963434752</v>
      </c>
      <c r="W2805" s="85">
        <f>IF(B2805="",0,+$T2805*$V2805)</f>
        <v>0.2124986210033582</v>
      </c>
      <c r="X2805" s="85">
        <f>IF(B2805="",0,IF(OR(H2805=MappingTables!$C$34,H2805=MappingTables!$C$35),W2805,0))</f>
        <v>0</v>
      </c>
    </row>
    <row r="2806" spans="2:24" s="0" customFormat="0" ht="15">
      <c r="B2806" s="69">
        <v>14851913</v>
      </c>
      <c r="C2806" s="70" t="s">
        <v>2604</v>
      </c>
      <c r="D2806" s="70" t="s">
        <v>1</v>
      </c>
      <c r="E2806" s="70" t="s">
        <v>1</v>
      </c>
      <c r="F2806" s="70"/>
      <c r="G2806" s="70" t="s">
        <v>61</v>
      </c>
      <c r="H2806" s="70" t="s">
        <v>178</v>
      </c>
      <c r="I2806" s="70" t="s">
        <v>181</v>
      </c>
      <c r="J2806" s="71">
        <f>IF(OR(I2806=0,I2806=""),"unrated",VLOOKUP(I2806,MappingTables!$B$19:$C$31,2,FALSE))</f>
        <v>3</v>
      </c>
      <c r="K2806" s="72">
        <v>1076.6608444013222</v>
      </c>
      <c r="L2806" s="70">
        <v>1.9300375957001704</v>
      </c>
      <c r="M2806" s="71">
        <f>IF(L2806&lt;1,1,L2806)</f>
        <v>1.9300375957001704</v>
      </c>
      <c r="N2806" s="70" t="s">
        <v>141</v>
      </c>
      <c r="O2806" s="71">
        <f>INDEX(DurClassMapping,MATCH(M2806,MappingTables!$D$4:$D$8,-1),1)</f>
        <v>1</v>
      </c>
      <c r="P2806" s="73">
        <f>IF(M2806=$A$1,1,$M2806-INDEX(MappingTables!$E$4:$E$8,MATCH(O2806,MappingTables!$B$4:$B$8,0)))</f>
        <v>1.9300375957001704</v>
      </c>
      <c r="Q2806" s="71">
        <f>IF(B2806="",0,INDEX(ModelParameters!$D$6:$K$10,MATCH($O2806,ModelParameters!$B$6:$B$10,0),MATCH($J2806,ModelParameters!$D$5:$K$5,0)))</f>
        <v>0.025</v>
      </c>
      <c r="R2806" s="71">
        <f>IF(B2806="",0,INDEX(ModelParameters!$D$13:$K$17,MATCH($O2806,ModelParameters!$B$13:$B$17,0),MATCH($J2806,ModelParameters!$D$5:$K$5,0)))</f>
        <v>0</v>
      </c>
      <c r="S2806" s="160">
        <f>IF(B2806="",0,MIN(IF($N2806="Other Bond TM",ModelParameters!$N$21,1)*(P2806*Q2806+R2806),1))</f>
        <v>0.048250939892504256</v>
      </c>
      <c r="T2806" s="85">
        <f>IF(B2806="",0,$S2806*$K2806)</f>
        <v>51.94989768782108</v>
      </c>
      <c r="U2806" s="85">
        <f>IF(B2806="",0,IF(OR(H2806=MappingTables!$C$34,H2806=MappingTables!$C$35),T2806,0))</f>
        <v>0</v>
      </c>
      <c r="V2806" s="85">
        <f>IF(ISNA(IF(AND(VLOOKUP(CONCATENATE($D2806,$G2806),CSRFinput!$B:$E,4,0)=0,OR(H2806=MappingTables!$C$34,H2806=MappingTables!$C$35)),1,VLOOKUP(CONCATENATE($D2806,$G2806),CSRFinput!$B:$E,4,0))),0,IF(AND(VLOOKUP(CONCATENATE($D2806,$G2806),CSRFinput!$B:$E,4,0)=0,OR(H2806=MappingTables!$C$34,H2806=MappingTables!$C$35)),1,VLOOKUP(CONCATENATE($D2806,$G2806),CSRFinput!$B:$E,4,0)))</f>
        <v>0.054776304963434752</v>
      </c>
      <c r="W2806" s="85">
        <f>IF(B2806="",0,+$T2806*$V2806)</f>
        <v>2.8456234385673212</v>
      </c>
      <c r="X2806" s="85">
        <f>IF(B2806="",0,IF(OR(H2806=MappingTables!$C$34,H2806=MappingTables!$C$35),W2806,0))</f>
        <v>0</v>
      </c>
    </row>
    <row r="2807" spans="2:24" s="0" customFormat="0" ht="15">
      <c r="B2807" s="69">
        <v>22185540</v>
      </c>
      <c r="C2807" s="70" t="s">
        <v>2023</v>
      </c>
      <c r="D2807" s="70" t="s">
        <v>1</v>
      </c>
      <c r="E2807" s="70" t="s">
        <v>1</v>
      </c>
      <c r="F2807" s="70"/>
      <c r="G2807" s="70" t="s">
        <v>61</v>
      </c>
      <c r="H2807" s="70" t="s">
        <v>178</v>
      </c>
      <c r="I2807" s="70" t="s">
        <v>220</v>
      </c>
      <c r="J2807" s="71">
        <f>IF(OR(I2807=0,I2807=""),"unrated",VLOOKUP(I2807,MappingTables!$B$19:$C$31,2,FALSE))</f>
        <v>1</v>
      </c>
      <c r="K2807" s="72">
        <v>2932.394702134054</v>
      </c>
      <c r="L2807" s="70">
        <v>1.0118413254447074</v>
      </c>
      <c r="M2807" s="71">
        <f>IF(L2807&lt;1,1,L2807)</f>
        <v>1.0118413254447074</v>
      </c>
      <c r="N2807" s="70" t="s">
        <v>141</v>
      </c>
      <c r="O2807" s="71">
        <f>INDEX(DurClassMapping,MATCH(M2807,MappingTables!$D$4:$D$8,-1),1)</f>
        <v>1</v>
      </c>
      <c r="P2807" s="73">
        <f>IF(M2807=$A$1,1,$M2807-INDEX(MappingTables!$E$4:$E$8,MATCH(O2807,MappingTables!$B$4:$B$8,0)))</f>
        <v>1.0118413254447074</v>
      </c>
      <c r="Q2807" s="71">
        <f>IF(B2807="",0,INDEX(ModelParameters!$D$6:$K$10,MATCH($O2807,ModelParameters!$B$6:$B$10,0),MATCH($J2807,ModelParameters!$D$5:$K$5,0)))</f>
        <v>0.011000000000000002</v>
      </c>
      <c r="R2807" s="71">
        <f>IF(B2807="",0,INDEX(ModelParameters!$D$13:$K$17,MATCH($O2807,ModelParameters!$B$13:$B$17,0),MATCH($J2807,ModelParameters!$D$5:$K$5,0)))</f>
        <v>0</v>
      </c>
      <c r="S2807" s="160">
        <f>IF(B2807="",0,MIN(IF($N2807="Other Bond TM",ModelParameters!$N$21,1)*(P2807*Q2807+R2807),1))</f>
        <v>0.011130254579891784</v>
      </c>
      <c r="T2807" s="85">
        <f>IF(B2807="",0,$S2807*$K2807)</f>
        <v>32.638299563477956</v>
      </c>
      <c r="U2807" s="85">
        <f>IF(B2807="",0,IF(OR(H2807=MappingTables!$C$34,H2807=MappingTables!$C$35),T2807,0))</f>
        <v>0</v>
      </c>
      <c r="V2807" s="85">
        <f>IF(ISNA(IF(AND(VLOOKUP(CONCATENATE($D2807,$G2807),CSRFinput!$B:$E,4,0)=0,OR(H2807=MappingTables!$C$34,H2807=MappingTables!$C$35)),1,VLOOKUP(CONCATENATE($D2807,$G2807),CSRFinput!$B:$E,4,0))),0,IF(AND(VLOOKUP(CONCATENATE($D2807,$G2807),CSRFinput!$B:$E,4,0)=0,OR(H2807=MappingTables!$C$34,H2807=MappingTables!$C$35)),1,VLOOKUP(CONCATENATE($D2807,$G2807),CSRFinput!$B:$E,4,0)))</f>
        <v>0.054776304963434752</v>
      </c>
      <c r="W2807" s="85">
        <f>IF(B2807="",0,+$T2807*$V2807)</f>
        <v>1.787805450377008</v>
      </c>
      <c r="X2807" s="85">
        <f>IF(B2807="",0,IF(OR(H2807=MappingTables!$C$34,H2807=MappingTables!$C$35),W2807,0))</f>
        <v>0</v>
      </c>
    </row>
    <row r="2808" spans="2:24" s="0" customFormat="0" ht="15">
      <c r="B2808" s="69">
        <v>20902600</v>
      </c>
      <c r="C2808" s="70" t="s">
        <v>1412</v>
      </c>
      <c r="D2808" s="70" t="s">
        <v>1</v>
      </c>
      <c r="E2808" s="70" t="s">
        <v>1</v>
      </c>
      <c r="F2808" s="70"/>
      <c r="G2808" s="70" t="s">
        <v>61</v>
      </c>
      <c r="H2808" s="70" t="s">
        <v>178</v>
      </c>
      <c r="I2808" s="70" t="s">
        <v>184</v>
      </c>
      <c r="J2808" s="71">
        <f>IF(OR(I2808=0,I2808=""),"unrated",VLOOKUP(I2808,MappingTables!$B$19:$C$31,2,FALSE))</f>
        <v>5</v>
      </c>
      <c r="K2808" s="72">
        <v>729.59534102552672</v>
      </c>
      <c r="L2808" s="70">
        <v>1.3935574025421742</v>
      </c>
      <c r="M2808" s="71">
        <f>IF(L2808&lt;1,1,L2808)</f>
        <v>1.3935574025421742</v>
      </c>
      <c r="N2808" s="70" t="s">
        <v>141</v>
      </c>
      <c r="O2808" s="71">
        <f>INDEX(DurClassMapping,MATCH(M2808,MappingTables!$D$4:$D$8,-1),1)</f>
        <v>1</v>
      </c>
      <c r="P2808" s="73">
        <f>IF(M2808=$A$1,1,$M2808-INDEX(MappingTables!$E$4:$E$8,MATCH(O2808,MappingTables!$B$4:$B$8,0)))</f>
        <v>1.3935574025421742</v>
      </c>
      <c r="Q2808" s="71">
        <f>IF(B2808="",0,INDEX(ModelParameters!$D$6:$K$10,MATCH($O2808,ModelParameters!$B$6:$B$10,0),MATCH($J2808,ModelParameters!$D$5:$K$5,0)))</f>
        <v>0.075</v>
      </c>
      <c r="R2808" s="71">
        <f>IF(B2808="",0,INDEX(ModelParameters!$D$13:$K$17,MATCH($O2808,ModelParameters!$B$13:$B$17,0),MATCH($J2808,ModelParameters!$D$5:$K$5,0)))</f>
        <v>0</v>
      </c>
      <c r="S2808" s="160">
        <f>IF(B2808="",0,MIN(IF($N2808="Other Bond TM",ModelParameters!$N$21,1)*(P2808*Q2808+R2808),1))</f>
        <v>0.10451680519066306</v>
      </c>
      <c r="T2808" s="85">
        <f>IF(B2808="",0,$S2808*$K2808)</f>
        <v>76.254974125980352</v>
      </c>
      <c r="U2808" s="85">
        <f>IF(B2808="",0,IF(OR(H2808=MappingTables!$C$34,H2808=MappingTables!$C$35),T2808,0))</f>
        <v>0</v>
      </c>
      <c r="V2808" s="85">
        <f>IF(ISNA(IF(AND(VLOOKUP(CONCATENATE($D2808,$G2808),CSRFinput!$B:$E,4,0)=0,OR(H2808=MappingTables!$C$34,H2808=MappingTables!$C$35)),1,VLOOKUP(CONCATENATE($D2808,$G2808),CSRFinput!$B:$E,4,0))),0,IF(AND(VLOOKUP(CONCATENATE($D2808,$G2808),CSRFinput!$B:$E,4,0)=0,OR(H2808=MappingTables!$C$34,H2808=MappingTables!$C$35)),1,VLOOKUP(CONCATENATE($D2808,$G2808),CSRFinput!$B:$E,4,0)))</f>
        <v>0.054776304963434752</v>
      </c>
      <c r="W2808" s="85">
        <f>IF(B2808="",0,+$T2808*$V2808)</f>
        <v>4.1769657177035256</v>
      </c>
      <c r="X2808" s="85">
        <f>IF(B2808="",0,IF(OR(H2808=MappingTables!$C$34,H2808=MappingTables!$C$35),W2808,0))</f>
        <v>0</v>
      </c>
    </row>
    <row r="2809" spans="2:24" s="0" customFormat="0" ht="15">
      <c r="B2809" s="69">
        <v>20668384</v>
      </c>
      <c r="C2809" s="70" t="s">
        <v>2605</v>
      </c>
      <c r="D2809" s="70" t="s">
        <v>1</v>
      </c>
      <c r="E2809" s="70" t="s">
        <v>1</v>
      </c>
      <c r="F2809" s="70"/>
      <c r="G2809" s="70" t="s">
        <v>61</v>
      </c>
      <c r="H2809" s="70" t="s">
        <v>178</v>
      </c>
      <c r="I2809" s="70" t="s">
        <v>220</v>
      </c>
      <c r="J2809" s="71">
        <f>IF(OR(I2809=0,I2809=""),"unrated",VLOOKUP(I2809,MappingTables!$B$19:$C$31,2,FALSE))</f>
        <v>1</v>
      </c>
      <c r="K2809" s="72">
        <v>4414.661608439844</v>
      </c>
      <c r="L2809" s="70">
        <v>4.2963852910861896</v>
      </c>
      <c r="M2809" s="71">
        <f>IF(L2809&lt;1,1,L2809)</f>
        <v>4.2963852910861896</v>
      </c>
      <c r="N2809" s="70" t="s">
        <v>141</v>
      </c>
      <c r="O2809" s="71">
        <f>INDEX(DurClassMapping,MATCH(M2809,MappingTables!$D$4:$D$8,-1),1)</f>
        <v>1</v>
      </c>
      <c r="P2809" s="73">
        <f>IF(M2809=$A$1,1,$M2809-INDEX(MappingTables!$E$4:$E$8,MATCH(O2809,MappingTables!$B$4:$B$8,0)))</f>
        <v>4.2963852910861896</v>
      </c>
      <c r="Q2809" s="71">
        <f>IF(B2809="",0,INDEX(ModelParameters!$D$6:$K$10,MATCH($O2809,ModelParameters!$B$6:$B$10,0),MATCH($J2809,ModelParameters!$D$5:$K$5,0)))</f>
        <v>0.011000000000000002</v>
      </c>
      <c r="R2809" s="71">
        <f>IF(B2809="",0,INDEX(ModelParameters!$D$13:$K$17,MATCH($O2809,ModelParameters!$B$13:$B$17,0),MATCH($J2809,ModelParameters!$D$5:$K$5,0)))</f>
        <v>0</v>
      </c>
      <c r="S2809" s="160">
        <f>IF(B2809="",0,MIN(IF($N2809="Other Bond TM",ModelParameters!$N$21,1)*(P2809*Q2809+R2809),1))</f>
        <v>0.047260238201948096</v>
      </c>
      <c r="T2809" s="85">
        <f>IF(B2809="",0,$S2809*$K2809)</f>
        <v>208.63795919586232</v>
      </c>
      <c r="U2809" s="85">
        <f>IF(B2809="",0,IF(OR(H2809=MappingTables!$C$34,H2809=MappingTables!$C$35),T2809,0))</f>
        <v>0</v>
      </c>
      <c r="V2809" s="85">
        <f>IF(ISNA(IF(AND(VLOOKUP(CONCATENATE($D2809,$G2809),CSRFinput!$B:$E,4,0)=0,OR(H2809=MappingTables!$C$34,H2809=MappingTables!$C$35)),1,VLOOKUP(CONCATENATE($D2809,$G2809),CSRFinput!$B:$E,4,0))),0,IF(AND(VLOOKUP(CONCATENATE($D2809,$G2809),CSRFinput!$B:$E,4,0)=0,OR(H2809=MappingTables!$C$34,H2809=MappingTables!$C$35)),1,VLOOKUP(CONCATENATE($D2809,$G2809),CSRFinput!$B:$E,4,0)))</f>
        <v>0.054776304963434752</v>
      </c>
      <c r="W2809" s="85">
        <f>IF(B2809="",0,+$T2809*$V2809)</f>
        <v>11.42841647986121</v>
      </c>
      <c r="X2809" s="85">
        <f>IF(B2809="",0,IF(OR(H2809=MappingTables!$C$34,H2809=MappingTables!$C$35),W2809,0))</f>
        <v>0</v>
      </c>
    </row>
    <row r="2810" spans="2:24" s="0" customFormat="0" ht="15">
      <c r="B2810" s="69">
        <v>19074346</v>
      </c>
      <c r="C2810" s="70" t="s">
        <v>1705</v>
      </c>
      <c r="D2810" s="70" t="s">
        <v>1</v>
      </c>
      <c r="E2810" s="70" t="s">
        <v>1</v>
      </c>
      <c r="F2810" s="70"/>
      <c r="G2810" s="70" t="s">
        <v>61</v>
      </c>
      <c r="H2810" s="70" t="s">
        <v>178</v>
      </c>
      <c r="I2810" s="70" t="s">
        <v>184</v>
      </c>
      <c r="J2810" s="71">
        <f>IF(OR(I2810=0,I2810=""),"unrated",VLOOKUP(I2810,MappingTables!$B$19:$C$31,2,FALSE))</f>
        <v>5</v>
      </c>
      <c r="K2810" s="72">
        <v>25722.949022860952</v>
      </c>
      <c r="L2810" s="70">
        <v>2.8501647021634116</v>
      </c>
      <c r="M2810" s="71">
        <f>IF(L2810&lt;1,1,L2810)</f>
        <v>2.8501647021634116</v>
      </c>
      <c r="N2810" s="70" t="s">
        <v>141</v>
      </c>
      <c r="O2810" s="71">
        <f>INDEX(DurClassMapping,MATCH(M2810,MappingTables!$D$4:$D$8,-1),1)</f>
        <v>1</v>
      </c>
      <c r="P2810" s="73">
        <f>IF(M2810=$A$1,1,$M2810-INDEX(MappingTables!$E$4:$E$8,MATCH(O2810,MappingTables!$B$4:$B$8,0)))</f>
        <v>2.8501647021634116</v>
      </c>
      <c r="Q2810" s="71">
        <f>IF(B2810="",0,INDEX(ModelParameters!$D$6:$K$10,MATCH($O2810,ModelParameters!$B$6:$B$10,0),MATCH($J2810,ModelParameters!$D$5:$K$5,0)))</f>
        <v>0.075</v>
      </c>
      <c r="R2810" s="71">
        <f>IF(B2810="",0,INDEX(ModelParameters!$D$13:$K$17,MATCH($O2810,ModelParameters!$B$13:$B$17,0),MATCH($J2810,ModelParameters!$D$5:$K$5,0)))</f>
        <v>0</v>
      </c>
      <c r="S2810" s="160">
        <f>IF(B2810="",0,MIN(IF($N2810="Other Bond TM",ModelParameters!$N$21,1)*(P2810*Q2810+R2810),1))</f>
        <v>0.21376235266225588</v>
      </c>
      <c r="T2810" s="85">
        <f>IF(B2810="",0,$S2810*$K2810)</f>
        <v>5498.5981005380328</v>
      </c>
      <c r="U2810" s="85">
        <f>IF(B2810="",0,IF(OR(H2810=MappingTables!$C$34,H2810=MappingTables!$C$35),T2810,0))</f>
        <v>0</v>
      </c>
      <c r="V2810" s="85">
        <f>IF(ISNA(IF(AND(VLOOKUP(CONCATENATE($D2810,$G2810),CSRFinput!$B:$E,4,0)=0,OR(H2810=MappingTables!$C$34,H2810=MappingTables!$C$35)),1,VLOOKUP(CONCATENATE($D2810,$G2810),CSRFinput!$B:$E,4,0))),0,IF(AND(VLOOKUP(CONCATENATE($D2810,$G2810),CSRFinput!$B:$E,4,0)=0,OR(H2810=MappingTables!$C$34,H2810=MappingTables!$C$35)),1,VLOOKUP(CONCATENATE($D2810,$G2810),CSRFinput!$B:$E,4,0)))</f>
        <v>0.054776304963434752</v>
      </c>
      <c r="W2810" s="85">
        <f>IF(B2810="",0,+$T2810*$V2810)</f>
        <v>301.19288642643436</v>
      </c>
      <c r="X2810" s="85">
        <f>IF(B2810="",0,IF(OR(H2810=MappingTables!$C$34,H2810=MappingTables!$C$35),W2810,0))</f>
        <v>0</v>
      </c>
    </row>
    <row r="2811" spans="2:24" s="0" customFormat="0" ht="15">
      <c r="B2811" s="69">
        <v>14526947</v>
      </c>
      <c r="C2811" s="70" t="s">
        <v>2606</v>
      </c>
      <c r="D2811" s="70" t="s">
        <v>1</v>
      </c>
      <c r="E2811" s="70" t="s">
        <v>1</v>
      </c>
      <c r="F2811" s="70"/>
      <c r="G2811" s="70" t="s">
        <v>61</v>
      </c>
      <c r="H2811" s="70" t="s">
        <v>178</v>
      </c>
      <c r="I2811" s="70" t="s">
        <v>188</v>
      </c>
      <c r="J2811" s="71">
        <f>IF(OR(I2811=0,I2811=""),"unrated",VLOOKUP(I2811,MappingTables!$B$19:$C$31,2,FALSE))</f>
        <v>2</v>
      </c>
      <c r="K2811" s="72">
        <v>53364.121731789488</v>
      </c>
      <c r="L2811" s="70">
        <v>3.2980826072674364</v>
      </c>
      <c r="M2811" s="71">
        <f>IF(L2811&lt;1,1,L2811)</f>
        <v>3.2980826072674364</v>
      </c>
      <c r="N2811" s="70" t="s">
        <v>141</v>
      </c>
      <c r="O2811" s="71">
        <f>INDEX(DurClassMapping,MATCH(M2811,MappingTables!$D$4:$D$8,-1),1)</f>
        <v>1</v>
      </c>
      <c r="P2811" s="73">
        <f>IF(M2811=$A$1,1,$M2811-INDEX(MappingTables!$E$4:$E$8,MATCH(O2811,MappingTables!$B$4:$B$8,0)))</f>
        <v>3.2980826072674364</v>
      </c>
      <c r="Q2811" s="71">
        <f>IF(B2811="",0,INDEX(ModelParameters!$D$6:$K$10,MATCH($O2811,ModelParameters!$B$6:$B$10,0),MATCH($J2811,ModelParameters!$D$5:$K$5,0)))</f>
        <v>0.013999999999999998</v>
      </c>
      <c r="R2811" s="71">
        <f>IF(B2811="",0,INDEX(ModelParameters!$D$13:$K$17,MATCH($O2811,ModelParameters!$B$13:$B$17,0),MATCH($J2811,ModelParameters!$D$5:$K$5,0)))</f>
        <v>0</v>
      </c>
      <c r="S2811" s="160">
        <f>IF(B2811="",0,MIN(IF($N2811="Other Bond TM",ModelParameters!$N$21,1)*(P2811*Q2811+R2811),1))</f>
        <v>0.046173156501744104</v>
      </c>
      <c r="T2811" s="85">
        <f>IF(B2811="",0,$S2811*$K2811)</f>
        <v>2463.98994430004</v>
      </c>
      <c r="U2811" s="85">
        <f>IF(B2811="",0,IF(OR(H2811=MappingTables!$C$34,H2811=MappingTables!$C$35),T2811,0))</f>
        <v>0</v>
      </c>
      <c r="V2811" s="85">
        <f>IF(ISNA(IF(AND(VLOOKUP(CONCATENATE($D2811,$G2811),CSRFinput!$B:$E,4,0)=0,OR(H2811=MappingTables!$C$34,H2811=MappingTables!$C$35)),1,VLOOKUP(CONCATENATE($D2811,$G2811),CSRFinput!$B:$E,4,0))),0,IF(AND(VLOOKUP(CONCATENATE($D2811,$G2811),CSRFinput!$B:$E,4,0)=0,OR(H2811=MappingTables!$C$34,H2811=MappingTables!$C$35)),1,VLOOKUP(CONCATENATE($D2811,$G2811),CSRFinput!$B:$E,4,0)))</f>
        <v>0.054776304963434752</v>
      </c>
      <c r="W2811" s="85">
        <f>IF(B2811="",0,+$T2811*$V2811)</f>
        <v>134.9682646158156</v>
      </c>
      <c r="X2811" s="85">
        <f>IF(B2811="",0,IF(OR(H2811=MappingTables!$C$34,H2811=MappingTables!$C$35),W2811,0))</f>
        <v>0</v>
      </c>
    </row>
    <row r="2812" spans="2:24" s="0" customFormat="0" ht="15">
      <c r="B2812" s="69">
        <v>8959372</v>
      </c>
      <c r="C2812" s="70" t="s">
        <v>2607</v>
      </c>
      <c r="D2812" s="70" t="s">
        <v>1</v>
      </c>
      <c r="E2812" s="70" t="s">
        <v>1</v>
      </c>
      <c r="F2812" s="70"/>
      <c r="G2812" s="70" t="s">
        <v>61</v>
      </c>
      <c r="H2812" s="70" t="s">
        <v>178</v>
      </c>
      <c r="I2812" s="70" t="s">
        <v>179</v>
      </c>
      <c r="J2812" s="71">
        <f>IF(OR(I2812=0,I2812=""),"unrated",VLOOKUP(I2812,MappingTables!$B$19:$C$31,2,FALSE))</f>
        <v>4</v>
      </c>
      <c r="K2812" s="72">
        <v>594.7384158291468</v>
      </c>
      <c r="L2812" s="70">
        <v>4.972965839452896</v>
      </c>
      <c r="M2812" s="71">
        <f>IF(L2812&lt;1,1,L2812)</f>
        <v>4.972965839452896</v>
      </c>
      <c r="N2812" s="70" t="s">
        <v>141</v>
      </c>
      <c r="O2812" s="71">
        <f>INDEX(DurClassMapping,MATCH(M2812,MappingTables!$D$4:$D$8,-1),1)</f>
        <v>1</v>
      </c>
      <c r="P2812" s="73">
        <f>IF(M2812=$A$1,1,$M2812-INDEX(MappingTables!$E$4:$E$8,MATCH(O2812,MappingTables!$B$4:$B$8,0)))</f>
        <v>4.972965839452896</v>
      </c>
      <c r="Q2812" s="71">
        <f>IF(B2812="",0,INDEX(ModelParameters!$D$6:$K$10,MATCH($O2812,ModelParameters!$B$6:$B$10,0),MATCH($J2812,ModelParameters!$D$5:$K$5,0)))</f>
        <v>0.045</v>
      </c>
      <c r="R2812" s="71">
        <f>IF(B2812="",0,INDEX(ModelParameters!$D$13:$K$17,MATCH($O2812,ModelParameters!$B$13:$B$17,0),MATCH($J2812,ModelParameters!$D$5:$K$5,0)))</f>
        <v>0</v>
      </c>
      <c r="S2812" s="160">
        <f>IF(B2812="",0,MIN(IF($N2812="Other Bond TM",ModelParameters!$N$21,1)*(P2812*Q2812+R2812),1))</f>
        <v>0.22378346277538032</v>
      </c>
      <c r="T2812" s="85">
        <f>IF(B2812="",0,$S2812*$K2812)</f>
        <v>133.09262213979054</v>
      </c>
      <c r="U2812" s="85">
        <f>IF(B2812="",0,IF(OR(H2812=MappingTables!$C$34,H2812=MappingTables!$C$35),T2812,0))</f>
        <v>0</v>
      </c>
      <c r="V2812" s="85">
        <f>IF(ISNA(IF(AND(VLOOKUP(CONCATENATE($D2812,$G2812),CSRFinput!$B:$E,4,0)=0,OR(H2812=MappingTables!$C$34,H2812=MappingTables!$C$35)),1,VLOOKUP(CONCATENATE($D2812,$G2812),CSRFinput!$B:$E,4,0))),0,IF(AND(VLOOKUP(CONCATENATE($D2812,$G2812),CSRFinput!$B:$E,4,0)=0,OR(H2812=MappingTables!$C$34,H2812=MappingTables!$C$35)),1,VLOOKUP(CONCATENATE($D2812,$G2812),CSRFinput!$B:$E,4,0)))</f>
        <v>0.054776304963434752</v>
      </c>
      <c r="W2812" s="85">
        <f>IF(B2812="",0,+$T2812*$V2812)</f>
        <v>7.2903220587123552</v>
      </c>
      <c r="X2812" s="85">
        <f>IF(B2812="",0,IF(OR(H2812=MappingTables!$C$34,H2812=MappingTables!$C$35),W2812,0))</f>
        <v>0</v>
      </c>
    </row>
    <row r="2813" spans="2:24" s="0" customFormat="0" ht="15">
      <c r="B2813" s="69" t="s">
        <v>2608</v>
      </c>
      <c r="C2813" s="70" t="s">
        <v>2609</v>
      </c>
      <c r="D2813" s="70" t="s">
        <v>1</v>
      </c>
      <c r="E2813" s="70" t="s">
        <v>1</v>
      </c>
      <c r="F2813" s="70"/>
      <c r="G2813" s="70" t="s">
        <v>61</v>
      </c>
      <c r="H2813" s="70" t="s">
        <v>178</v>
      </c>
      <c r="I2813" s="70" t="s">
        <v>204</v>
      </c>
      <c r="J2813" s="71">
        <f>IF(OR(I2813=0,I2813=""),"unrated",VLOOKUP(I2813,MappingTables!$B$19:$C$31,2,FALSE))</f>
        <v>6</v>
      </c>
      <c r="K2813" s="72">
        <v>17694.823621485332</v>
      </c>
      <c r="L2813" s="70">
        <v>0.087667870346071696</v>
      </c>
      <c r="M2813" s="71">
        <f>IF(L2813&lt;1,1,L2813)</f>
        <v>1</v>
      </c>
      <c r="N2813" s="70" t="s">
        <v>141</v>
      </c>
      <c r="O2813" s="71">
        <f>INDEX(DurClassMapping,MATCH(M2813,MappingTables!$D$4:$D$8,-1),1)</f>
        <v>1</v>
      </c>
      <c r="P2813" s="73">
        <f>IF(M2813=$A$1,1,$M2813-INDEX(MappingTables!$E$4:$E$8,MATCH(O2813,MappingTables!$B$4:$B$8,0)))</f>
        <v>1</v>
      </c>
      <c r="Q2813" s="71">
        <f>IF(B2813="",0,INDEX(ModelParameters!$D$6:$K$10,MATCH($O2813,ModelParameters!$B$6:$B$10,0),MATCH($J2813,ModelParameters!$D$5:$K$5,0)))</f>
        <v>0.075</v>
      </c>
      <c r="R2813" s="71">
        <f>IF(B2813="",0,INDEX(ModelParameters!$D$13:$K$17,MATCH($O2813,ModelParameters!$B$13:$B$17,0),MATCH($J2813,ModelParameters!$D$5:$K$5,0)))</f>
        <v>0</v>
      </c>
      <c r="S2813" s="160">
        <f>IF(B2813="",0,MIN(IF($N2813="Other Bond TM",ModelParameters!$N$21,1)*(P2813*Q2813+R2813),1))</f>
        <v>0.075</v>
      </c>
      <c r="T2813" s="85">
        <f>IF(B2813="",0,$S2813*$K2813)</f>
        <v>1327.1117716113998</v>
      </c>
      <c r="U2813" s="85">
        <f>IF(B2813="",0,IF(OR(H2813=MappingTables!$C$34,H2813=MappingTables!$C$35),T2813,0))</f>
        <v>0</v>
      </c>
      <c r="V2813" s="85">
        <f>IF(ISNA(IF(AND(VLOOKUP(CONCATENATE($D2813,$G2813),CSRFinput!$B:$E,4,0)=0,OR(H2813=MappingTables!$C$34,H2813=MappingTables!$C$35)),1,VLOOKUP(CONCATENATE($D2813,$G2813),CSRFinput!$B:$E,4,0))),0,IF(AND(VLOOKUP(CONCATENATE($D2813,$G2813),CSRFinput!$B:$E,4,0)=0,OR(H2813=MappingTables!$C$34,H2813=MappingTables!$C$35)),1,VLOOKUP(CONCATENATE($D2813,$G2813),CSRFinput!$B:$E,4,0)))</f>
        <v>0.054776304963434752</v>
      </c>
      <c r="W2813" s="85">
        <f>IF(B2813="",0,+$T2813*$V2813)</f>
        <v>72.694279122350208</v>
      </c>
      <c r="X2813" s="85">
        <f>IF(B2813="",0,IF(OR(H2813=MappingTables!$C$34,H2813=MappingTables!$C$35),W2813,0))</f>
        <v>0</v>
      </c>
    </row>
    <row r="2814" spans="2:24" s="0" customFormat="0" ht="15">
      <c r="B2814" s="69">
        <v>9870815</v>
      </c>
      <c r="C2814" s="70" t="s">
        <v>2038</v>
      </c>
      <c r="D2814" s="70" t="s">
        <v>1</v>
      </c>
      <c r="E2814" s="70" t="s">
        <v>1</v>
      </c>
      <c r="F2814" s="70"/>
      <c r="G2814" s="70" t="s">
        <v>61</v>
      </c>
      <c r="H2814" s="70" t="s">
        <v>178</v>
      </c>
      <c r="I2814" s="70" t="s">
        <v>179</v>
      </c>
      <c r="J2814" s="71">
        <f>IF(OR(I2814=0,I2814=""),"unrated",VLOOKUP(I2814,MappingTables!$B$19:$C$31,2,FALSE))</f>
        <v>4</v>
      </c>
      <c r="K2814" s="72">
        <v>1170.227264671081</v>
      </c>
      <c r="L2814" s="70">
        <v>3.816115232165056</v>
      </c>
      <c r="M2814" s="71">
        <f>IF(L2814&lt;1,1,L2814)</f>
        <v>3.816115232165056</v>
      </c>
      <c r="N2814" s="70" t="s">
        <v>141</v>
      </c>
      <c r="O2814" s="71">
        <f>INDEX(DurClassMapping,MATCH(M2814,MappingTables!$D$4:$D$8,-1),1)</f>
        <v>1</v>
      </c>
      <c r="P2814" s="73">
        <f>IF(M2814=$A$1,1,$M2814-INDEX(MappingTables!$E$4:$E$8,MATCH(O2814,MappingTables!$B$4:$B$8,0)))</f>
        <v>3.816115232165056</v>
      </c>
      <c r="Q2814" s="71">
        <f>IF(B2814="",0,INDEX(ModelParameters!$D$6:$K$10,MATCH($O2814,ModelParameters!$B$6:$B$10,0),MATCH($J2814,ModelParameters!$D$5:$K$5,0)))</f>
        <v>0.045</v>
      </c>
      <c r="R2814" s="71">
        <f>IF(B2814="",0,INDEX(ModelParameters!$D$13:$K$17,MATCH($O2814,ModelParameters!$B$13:$B$17,0),MATCH($J2814,ModelParameters!$D$5:$K$5,0)))</f>
        <v>0</v>
      </c>
      <c r="S2814" s="160">
        <f>IF(B2814="",0,MIN(IF($N2814="Other Bond TM",ModelParameters!$N$21,1)*(P2814*Q2814+R2814),1))</f>
        <v>0.17172518544742752</v>
      </c>
      <c r="T2814" s="85">
        <f>IF(B2814="",0,$S2814*$K2814)</f>
        <v>200.9574940412772</v>
      </c>
      <c r="U2814" s="85">
        <f>IF(B2814="",0,IF(OR(H2814=MappingTables!$C$34,H2814=MappingTables!$C$35),T2814,0))</f>
        <v>0</v>
      </c>
      <c r="V2814" s="85">
        <f>IF(ISNA(IF(AND(VLOOKUP(CONCATENATE($D2814,$G2814),CSRFinput!$B:$E,4,0)=0,OR(H2814=MappingTables!$C$34,H2814=MappingTables!$C$35)),1,VLOOKUP(CONCATENATE($D2814,$G2814),CSRFinput!$B:$E,4,0))),0,IF(AND(VLOOKUP(CONCATENATE($D2814,$G2814),CSRFinput!$B:$E,4,0)=0,OR(H2814=MappingTables!$C$34,H2814=MappingTables!$C$35)),1,VLOOKUP(CONCATENATE($D2814,$G2814),CSRFinput!$B:$E,4,0)))</f>
        <v>0.054776304963434752</v>
      </c>
      <c r="W2814" s="85">
        <f>IF(B2814="",0,+$T2814*$V2814)</f>
        <v>11.007708978292622</v>
      </c>
      <c r="X2814" s="85">
        <f>IF(B2814="",0,IF(OR(H2814=MappingTables!$C$34,H2814=MappingTables!$C$35),W2814,0))</f>
        <v>0</v>
      </c>
    </row>
    <row r="2815" spans="2:24" s="0" customFormat="0" ht="15">
      <c r="B2815" s="69" t="s">
        <v>896</v>
      </c>
      <c r="C2815" s="70" t="s">
        <v>897</v>
      </c>
      <c r="D2815" s="70" t="s">
        <v>1</v>
      </c>
      <c r="E2815" s="70" t="s">
        <v>1</v>
      </c>
      <c r="F2815" s="70"/>
      <c r="G2815" s="70" t="s">
        <v>61</v>
      </c>
      <c r="H2815" s="70" t="s">
        <v>178</v>
      </c>
      <c r="I2815" s="70" t="s">
        <v>181</v>
      </c>
      <c r="J2815" s="71">
        <f>IF(OR(I2815=0,I2815=""),"unrated",VLOOKUP(I2815,MappingTables!$B$19:$C$31,2,FALSE))</f>
        <v>3</v>
      </c>
      <c r="K2815" s="72">
        <v>1373.2549896107164</v>
      </c>
      <c r="L2815" s="70">
        <v>4.471794616440436</v>
      </c>
      <c r="M2815" s="71">
        <f>IF(L2815&lt;1,1,L2815)</f>
        <v>4.471794616440436</v>
      </c>
      <c r="N2815" s="70" t="s">
        <v>141</v>
      </c>
      <c r="O2815" s="71">
        <f>INDEX(DurClassMapping,MATCH(M2815,MappingTables!$D$4:$D$8,-1),1)</f>
        <v>1</v>
      </c>
      <c r="P2815" s="73">
        <f>IF(M2815=$A$1,1,$M2815-INDEX(MappingTables!$E$4:$E$8,MATCH(O2815,MappingTables!$B$4:$B$8,0)))</f>
        <v>4.471794616440436</v>
      </c>
      <c r="Q2815" s="71">
        <f>IF(B2815="",0,INDEX(ModelParameters!$D$6:$K$10,MATCH($O2815,ModelParameters!$B$6:$B$10,0),MATCH($J2815,ModelParameters!$D$5:$K$5,0)))</f>
        <v>0.025</v>
      </c>
      <c r="R2815" s="71">
        <f>IF(B2815="",0,INDEX(ModelParameters!$D$13:$K$17,MATCH($O2815,ModelParameters!$B$13:$B$17,0),MATCH($J2815,ModelParameters!$D$5:$K$5,0)))</f>
        <v>0</v>
      </c>
      <c r="S2815" s="160">
        <f>IF(B2815="",0,MIN(IF($N2815="Other Bond TM",ModelParameters!$N$21,1)*(P2815*Q2815+R2815),1))</f>
        <v>0.1117948654110109</v>
      </c>
      <c r="T2815" s="85">
        <f>IF(B2815="",0,$S2815*$K2815)</f>
        <v>153.52285673852922</v>
      </c>
      <c r="U2815" s="85">
        <f>IF(B2815="",0,IF(OR(H2815=MappingTables!$C$34,H2815=MappingTables!$C$35),T2815,0))</f>
        <v>0</v>
      </c>
      <c r="V2815" s="85">
        <f>IF(ISNA(IF(AND(VLOOKUP(CONCATENATE($D2815,$G2815),CSRFinput!$B:$E,4,0)=0,OR(H2815=MappingTables!$C$34,H2815=MappingTables!$C$35)),1,VLOOKUP(CONCATENATE($D2815,$G2815),CSRFinput!$B:$E,4,0))),0,IF(AND(VLOOKUP(CONCATENATE($D2815,$G2815),CSRFinput!$B:$E,4,0)=0,OR(H2815=MappingTables!$C$34,H2815=MappingTables!$C$35)),1,VLOOKUP(CONCATENATE($D2815,$G2815),CSRFinput!$B:$E,4,0)))</f>
        <v>0.054776304963434752</v>
      </c>
      <c r="W2815" s="85">
        <f>IF(B2815="",0,+$T2815*$V2815)</f>
        <v>8.4094148195673808</v>
      </c>
      <c r="X2815" s="85">
        <f>IF(B2815="",0,IF(OR(H2815=MappingTables!$C$34,H2815=MappingTables!$C$35),W2815,0))</f>
        <v>0</v>
      </c>
    </row>
    <row r="2816" spans="2:24" s="0" customFormat="0" ht="15">
      <c r="B2816" s="69" t="s">
        <v>1822</v>
      </c>
      <c r="C2816" s="70" t="s">
        <v>1823</v>
      </c>
      <c r="D2816" s="70" t="s">
        <v>1</v>
      </c>
      <c r="E2816" s="70" t="s">
        <v>1</v>
      </c>
      <c r="F2816" s="70"/>
      <c r="G2816" s="70" t="s">
        <v>61</v>
      </c>
      <c r="H2816" s="70" t="s">
        <v>178</v>
      </c>
      <c r="I2816" s="70" t="s">
        <v>179</v>
      </c>
      <c r="J2816" s="71">
        <f>IF(OR(I2816=0,I2816=""),"unrated",VLOOKUP(I2816,MappingTables!$B$19:$C$31,2,FALSE))</f>
        <v>4</v>
      </c>
      <c r="K2816" s="72">
        <v>122.4471369513591</v>
      </c>
      <c r="L2816" s="70">
        <v>1.95671741576722</v>
      </c>
      <c r="M2816" s="71">
        <f>IF(L2816&lt;1,1,L2816)</f>
        <v>1.95671741576722</v>
      </c>
      <c r="N2816" s="70" t="s">
        <v>141</v>
      </c>
      <c r="O2816" s="71">
        <f>INDEX(DurClassMapping,MATCH(M2816,MappingTables!$D$4:$D$8,-1),1)</f>
        <v>1</v>
      </c>
      <c r="P2816" s="73">
        <f>IF(M2816=$A$1,1,$M2816-INDEX(MappingTables!$E$4:$E$8,MATCH(O2816,MappingTables!$B$4:$B$8,0)))</f>
        <v>1.95671741576722</v>
      </c>
      <c r="Q2816" s="71">
        <f>IF(B2816="",0,INDEX(ModelParameters!$D$6:$K$10,MATCH($O2816,ModelParameters!$B$6:$B$10,0),MATCH($J2816,ModelParameters!$D$5:$K$5,0)))</f>
        <v>0.045</v>
      </c>
      <c r="R2816" s="71">
        <f>IF(B2816="",0,INDEX(ModelParameters!$D$13:$K$17,MATCH($O2816,ModelParameters!$B$13:$B$17,0),MATCH($J2816,ModelParameters!$D$5:$K$5,0)))</f>
        <v>0</v>
      </c>
      <c r="S2816" s="160">
        <f>IF(B2816="",0,MIN(IF($N2816="Other Bond TM",ModelParameters!$N$21,1)*(P2816*Q2816+R2816),1))</f>
        <v>0.088052283709524896</v>
      </c>
      <c r="T2816" s="85">
        <f>IF(B2816="",0,$S2816*$K2816)</f>
        <v>10.78175004226012</v>
      </c>
      <c r="U2816" s="85">
        <f>IF(B2816="",0,IF(OR(H2816=MappingTables!$C$34,H2816=MappingTables!$C$35),T2816,0))</f>
        <v>0</v>
      </c>
      <c r="V2816" s="85">
        <f>IF(ISNA(IF(AND(VLOOKUP(CONCATENATE($D2816,$G2816),CSRFinput!$B:$E,4,0)=0,OR(H2816=MappingTables!$C$34,H2816=MappingTables!$C$35)),1,VLOOKUP(CONCATENATE($D2816,$G2816),CSRFinput!$B:$E,4,0))),0,IF(AND(VLOOKUP(CONCATENATE($D2816,$G2816),CSRFinput!$B:$E,4,0)=0,OR(H2816=MappingTables!$C$34,H2816=MappingTables!$C$35)),1,VLOOKUP(CONCATENATE($D2816,$G2816),CSRFinput!$B:$E,4,0)))</f>
        <v>0.054776304963434752</v>
      </c>
      <c r="W2816" s="85">
        <f>IF(B2816="",0,+$T2816*$V2816)</f>
        <v>0.59058442835436584</v>
      </c>
      <c r="X2816" s="85">
        <f>IF(B2816="",0,IF(OR(H2816=MappingTables!$C$34,H2816=MappingTables!$C$35),W2816,0))</f>
        <v>0</v>
      </c>
    </row>
    <row r="2817" spans="2:24" s="0" customFormat="0" ht="15">
      <c r="B2817" s="69">
        <v>2073509</v>
      </c>
      <c r="C2817" s="70" t="s">
        <v>2610</v>
      </c>
      <c r="D2817" s="70" t="s">
        <v>1</v>
      </c>
      <c r="E2817" s="70" t="s">
        <v>1</v>
      </c>
      <c r="F2817" s="70"/>
      <c r="G2817" s="70" t="s">
        <v>61</v>
      </c>
      <c r="H2817" s="70" t="s">
        <v>178</v>
      </c>
      <c r="I2817" s="70" t="s">
        <v>181</v>
      </c>
      <c r="J2817" s="71">
        <f>IF(OR(I2817=0,I2817=""),"unrated",VLOOKUP(I2817,MappingTables!$B$19:$C$31,2,FALSE))</f>
        <v>3</v>
      </c>
      <c r="K2817" s="72">
        <v>1571240.3869628906</v>
      </c>
      <c r="L2817" s="70">
        <v>0.12876457387149092</v>
      </c>
      <c r="M2817" s="71">
        <f>IF(L2817&lt;1,1,L2817)</f>
        <v>1</v>
      </c>
      <c r="N2817" s="70" t="s">
        <v>141</v>
      </c>
      <c r="O2817" s="71">
        <f>INDEX(DurClassMapping,MATCH(M2817,MappingTables!$D$4:$D$8,-1),1)</f>
        <v>1</v>
      </c>
      <c r="P2817" s="73">
        <f>IF(M2817=$A$1,1,$M2817-INDEX(MappingTables!$E$4:$E$8,MATCH(O2817,MappingTables!$B$4:$B$8,0)))</f>
        <v>1</v>
      </c>
      <c r="Q2817" s="71">
        <f>IF(B2817="",0,INDEX(ModelParameters!$D$6:$K$10,MATCH($O2817,ModelParameters!$B$6:$B$10,0),MATCH($J2817,ModelParameters!$D$5:$K$5,0)))</f>
        <v>0.025</v>
      </c>
      <c r="R2817" s="71">
        <f>IF(B2817="",0,INDEX(ModelParameters!$D$13:$K$17,MATCH($O2817,ModelParameters!$B$13:$B$17,0),MATCH($J2817,ModelParameters!$D$5:$K$5,0)))</f>
        <v>0</v>
      </c>
      <c r="S2817" s="160">
        <f>IF(B2817="",0,MIN(IF($N2817="Other Bond TM",ModelParameters!$N$21,1)*(P2817*Q2817+R2817),1))</f>
        <v>0.025</v>
      </c>
      <c r="T2817" s="85">
        <f>IF(B2817="",0,$S2817*$K2817)</f>
        <v>39281.009674072264</v>
      </c>
      <c r="U2817" s="85">
        <f>IF(B2817="",0,IF(OR(H2817=MappingTables!$C$34,H2817=MappingTables!$C$35),T2817,0))</f>
        <v>0</v>
      </c>
      <c r="V2817" s="85">
        <f>IF(ISNA(IF(AND(VLOOKUP(CONCATENATE($D2817,$G2817),CSRFinput!$B:$E,4,0)=0,OR(H2817=MappingTables!$C$34,H2817=MappingTables!$C$35)),1,VLOOKUP(CONCATENATE($D2817,$G2817),CSRFinput!$B:$E,4,0))),0,IF(AND(VLOOKUP(CONCATENATE($D2817,$G2817),CSRFinput!$B:$E,4,0)=0,OR(H2817=MappingTables!$C$34,H2817=MappingTables!$C$35)),1,VLOOKUP(CONCATENATE($D2817,$G2817),CSRFinput!$B:$E,4,0)))</f>
        <v>0.054776304963434752</v>
      </c>
      <c r="W2817" s="85">
        <f>IF(B2817="",0,+$T2817*$V2817)</f>
        <v>2151.6685651786132</v>
      </c>
      <c r="X2817" s="85">
        <f>IF(B2817="",0,IF(OR(H2817=MappingTables!$C$34,H2817=MappingTables!$C$35),W2817,0))</f>
        <v>0</v>
      </c>
    </row>
    <row r="2818" spans="2:24" s="0" customFormat="0" ht="15">
      <c r="B2818" s="69">
        <v>11418404</v>
      </c>
      <c r="C2818" s="70" t="s">
        <v>2611</v>
      </c>
      <c r="D2818" s="70" t="s">
        <v>1</v>
      </c>
      <c r="E2818" s="70" t="s">
        <v>1</v>
      </c>
      <c r="F2818" s="70"/>
      <c r="G2818" s="70" t="s">
        <v>61</v>
      </c>
      <c r="H2818" s="70" t="s">
        <v>178</v>
      </c>
      <c r="I2818" s="70" t="s">
        <v>188</v>
      </c>
      <c r="J2818" s="71">
        <f>IF(OR(I2818=0,I2818=""),"unrated",VLOOKUP(I2818,MappingTables!$B$19:$C$31,2,FALSE))</f>
        <v>2</v>
      </c>
      <c r="K2818" s="72">
        <v>42.602518730632736</v>
      </c>
      <c r="L2818" s="70">
        <v>0.082189960983946672</v>
      </c>
      <c r="M2818" s="71">
        <f>IF(L2818&lt;1,1,L2818)</f>
        <v>1</v>
      </c>
      <c r="N2818" s="70" t="s">
        <v>141</v>
      </c>
      <c r="O2818" s="71">
        <f>INDEX(DurClassMapping,MATCH(M2818,MappingTables!$D$4:$D$8,-1),1)</f>
        <v>1</v>
      </c>
      <c r="P2818" s="73">
        <f>IF(M2818=$A$1,1,$M2818-INDEX(MappingTables!$E$4:$E$8,MATCH(O2818,MappingTables!$B$4:$B$8,0)))</f>
        <v>1</v>
      </c>
      <c r="Q2818" s="71">
        <f>IF(B2818="",0,INDEX(ModelParameters!$D$6:$K$10,MATCH($O2818,ModelParameters!$B$6:$B$10,0),MATCH($J2818,ModelParameters!$D$5:$K$5,0)))</f>
        <v>0.013999999999999998</v>
      </c>
      <c r="R2818" s="71">
        <f>IF(B2818="",0,INDEX(ModelParameters!$D$13:$K$17,MATCH($O2818,ModelParameters!$B$13:$B$17,0),MATCH($J2818,ModelParameters!$D$5:$K$5,0)))</f>
        <v>0</v>
      </c>
      <c r="S2818" s="160">
        <f>IF(B2818="",0,MIN(IF($N2818="Other Bond TM",ModelParameters!$N$21,1)*(P2818*Q2818+R2818),1))</f>
        <v>0.013999999999999998</v>
      </c>
      <c r="T2818" s="85">
        <f>IF(B2818="",0,$S2818*$K2818)</f>
        <v>0.59643526222885824</v>
      </c>
      <c r="U2818" s="85">
        <f>IF(B2818="",0,IF(OR(H2818=MappingTables!$C$34,H2818=MappingTables!$C$35),T2818,0))</f>
        <v>0</v>
      </c>
      <c r="V2818" s="85">
        <f>IF(ISNA(IF(AND(VLOOKUP(CONCATENATE($D2818,$G2818),CSRFinput!$B:$E,4,0)=0,OR(H2818=MappingTables!$C$34,H2818=MappingTables!$C$35)),1,VLOOKUP(CONCATENATE($D2818,$G2818),CSRFinput!$B:$E,4,0))),0,IF(AND(VLOOKUP(CONCATENATE($D2818,$G2818),CSRFinput!$B:$E,4,0)=0,OR(H2818=MappingTables!$C$34,H2818=MappingTables!$C$35)),1,VLOOKUP(CONCATENATE($D2818,$G2818),CSRFinput!$B:$E,4,0)))</f>
        <v>0.054776304963434752</v>
      </c>
      <c r="W2818" s="85">
        <f>IF(B2818="",0,+$T2818*$V2818)</f>
        <v>0.032670519814794116</v>
      </c>
      <c r="X2818" s="85">
        <f>IF(B2818="",0,IF(OR(H2818=MappingTables!$C$34,H2818=MappingTables!$C$35),W2818,0))</f>
        <v>0</v>
      </c>
    </row>
    <row r="2819" spans="2:24" s="0" customFormat="0" ht="15">
      <c r="B2819" s="69">
        <v>21365025</v>
      </c>
      <c r="C2819" s="70" t="s">
        <v>281</v>
      </c>
      <c r="D2819" s="70" t="s">
        <v>1</v>
      </c>
      <c r="E2819" s="70" t="s">
        <v>1</v>
      </c>
      <c r="F2819" s="70"/>
      <c r="G2819" s="70" t="s">
        <v>61</v>
      </c>
      <c r="H2819" s="70" t="s">
        <v>178</v>
      </c>
      <c r="I2819" s="70" t="s">
        <v>216</v>
      </c>
      <c r="J2819" s="71">
        <f>IF(OR(I2819=0,I2819=""),"unrated",VLOOKUP(I2819,MappingTables!$B$19:$C$31,2,FALSE))</f>
        <v>0</v>
      </c>
      <c r="K2819" s="72">
        <v>548.435438406234</v>
      </c>
      <c r="L2819" s="70">
        <v>0.82398088665582096</v>
      </c>
      <c r="M2819" s="71">
        <f>IF(L2819&lt;1,1,L2819)</f>
        <v>1</v>
      </c>
      <c r="N2819" s="70" t="s">
        <v>141</v>
      </c>
      <c r="O2819" s="71">
        <f>INDEX(DurClassMapping,MATCH(M2819,MappingTables!$D$4:$D$8,-1),1)</f>
        <v>1</v>
      </c>
      <c r="P2819" s="73">
        <f>IF(M2819=$A$1,1,$M2819-INDEX(MappingTables!$E$4:$E$8,MATCH(O2819,MappingTables!$B$4:$B$8,0)))</f>
        <v>1</v>
      </c>
      <c r="Q2819" s="71">
        <f>IF(B2819="",0,INDEX(ModelParameters!$D$6:$K$10,MATCH($O2819,ModelParameters!$B$6:$B$10,0),MATCH($J2819,ModelParameters!$D$5:$K$5,0)))</f>
        <v>0.0090000000000000016</v>
      </c>
      <c r="R2819" s="71">
        <f>IF(B2819="",0,INDEX(ModelParameters!$D$13:$K$17,MATCH($O2819,ModelParameters!$B$13:$B$17,0),MATCH($J2819,ModelParameters!$D$5:$K$5,0)))</f>
        <v>0</v>
      </c>
      <c r="S2819" s="160">
        <f>IF(B2819="",0,MIN(IF($N2819="Other Bond TM",ModelParameters!$N$21,1)*(P2819*Q2819+R2819),1))</f>
        <v>0.0090000000000000016</v>
      </c>
      <c r="T2819" s="85">
        <f>IF(B2819="",0,$S2819*$K2819)</f>
        <v>4.9359189456561064</v>
      </c>
      <c r="U2819" s="85">
        <f>IF(B2819="",0,IF(OR(H2819=MappingTables!$C$34,H2819=MappingTables!$C$35),T2819,0))</f>
        <v>0</v>
      </c>
      <c r="V2819" s="85">
        <f>IF(ISNA(IF(AND(VLOOKUP(CONCATENATE($D2819,$G2819),CSRFinput!$B:$E,4,0)=0,OR(H2819=MappingTables!$C$34,H2819=MappingTables!$C$35)),1,VLOOKUP(CONCATENATE($D2819,$G2819),CSRFinput!$B:$E,4,0))),0,IF(AND(VLOOKUP(CONCATENATE($D2819,$G2819),CSRFinput!$B:$E,4,0)=0,OR(H2819=MappingTables!$C$34,H2819=MappingTables!$C$35)),1,VLOOKUP(CONCATENATE($D2819,$G2819),CSRFinput!$B:$E,4,0)))</f>
        <v>0.054776304963434752</v>
      </c>
      <c r="W2819" s="85">
        <f>IF(B2819="",0,+$T2819*$V2819)</f>
        <v>0.27037140144205424</v>
      </c>
      <c r="X2819" s="85">
        <f>IF(B2819="",0,IF(OR(H2819=MappingTables!$C$34,H2819=MappingTables!$C$35),W2819,0))</f>
        <v>0</v>
      </c>
    </row>
    <row r="2820" spans="2:24" s="0" customFormat="0" ht="15">
      <c r="B2820" s="69">
        <v>17490485</v>
      </c>
      <c r="C2820" s="70" t="s">
        <v>2204</v>
      </c>
      <c r="D2820" s="70" t="s">
        <v>1</v>
      </c>
      <c r="E2820" s="70" t="s">
        <v>1</v>
      </c>
      <c r="F2820" s="70"/>
      <c r="G2820" s="70" t="s">
        <v>61</v>
      </c>
      <c r="H2820" s="70" t="s">
        <v>178</v>
      </c>
      <c r="I2820" s="70" t="s">
        <v>181</v>
      </c>
      <c r="J2820" s="71">
        <f>IF(OR(I2820=0,I2820=""),"unrated",VLOOKUP(I2820,MappingTables!$B$19:$C$31,2,FALSE))</f>
        <v>3</v>
      </c>
      <c r="K2820" s="72">
        <v>704.48359196666248</v>
      </c>
      <c r="L2820" s="70">
        <v>0.57697902592945704</v>
      </c>
      <c r="M2820" s="71">
        <f>IF(L2820&lt;1,1,L2820)</f>
        <v>1</v>
      </c>
      <c r="N2820" s="70" t="s">
        <v>141</v>
      </c>
      <c r="O2820" s="71">
        <f>INDEX(DurClassMapping,MATCH(M2820,MappingTables!$D$4:$D$8,-1),1)</f>
        <v>1</v>
      </c>
      <c r="P2820" s="73">
        <f>IF(M2820=$A$1,1,$M2820-INDEX(MappingTables!$E$4:$E$8,MATCH(O2820,MappingTables!$B$4:$B$8,0)))</f>
        <v>1</v>
      </c>
      <c r="Q2820" s="71">
        <f>IF(B2820="",0,INDEX(ModelParameters!$D$6:$K$10,MATCH($O2820,ModelParameters!$B$6:$B$10,0),MATCH($J2820,ModelParameters!$D$5:$K$5,0)))</f>
        <v>0.025</v>
      </c>
      <c r="R2820" s="71">
        <f>IF(B2820="",0,INDEX(ModelParameters!$D$13:$K$17,MATCH($O2820,ModelParameters!$B$13:$B$17,0),MATCH($J2820,ModelParameters!$D$5:$K$5,0)))</f>
        <v>0</v>
      </c>
      <c r="S2820" s="160">
        <f>IF(B2820="",0,MIN(IF($N2820="Other Bond TM",ModelParameters!$N$21,1)*(P2820*Q2820+R2820),1))</f>
        <v>0.025</v>
      </c>
      <c r="T2820" s="85">
        <f>IF(B2820="",0,$S2820*$K2820)</f>
        <v>17.612089799166566</v>
      </c>
      <c r="U2820" s="85">
        <f>IF(B2820="",0,IF(OR(H2820=MappingTables!$C$34,H2820=MappingTables!$C$35),T2820,0))</f>
        <v>0</v>
      </c>
      <c r="V2820" s="85">
        <f>IF(ISNA(IF(AND(VLOOKUP(CONCATENATE($D2820,$G2820),CSRFinput!$B:$E,4,0)=0,OR(H2820=MappingTables!$C$34,H2820=MappingTables!$C$35)),1,VLOOKUP(CONCATENATE($D2820,$G2820),CSRFinput!$B:$E,4,0))),0,IF(AND(VLOOKUP(CONCATENATE($D2820,$G2820),CSRFinput!$B:$E,4,0)=0,OR(H2820=MappingTables!$C$34,H2820=MappingTables!$C$35)),1,VLOOKUP(CONCATENATE($D2820,$G2820),CSRFinput!$B:$E,4,0)))</f>
        <v>0.054776304963434752</v>
      </c>
      <c r="W2820" s="85">
        <f>IF(B2820="",0,+$T2820*$V2820)</f>
        <v>0.96472520188254608</v>
      </c>
      <c r="X2820" s="85">
        <f>IF(B2820="",0,IF(OR(H2820=MappingTables!$C$34,H2820=MappingTables!$C$35),W2820,0))</f>
        <v>0</v>
      </c>
    </row>
    <row r="2821" spans="2:24" s="0" customFormat="0" ht="15">
      <c r="B2821" s="69" t="s">
        <v>2601</v>
      </c>
      <c r="C2821" s="70" t="s">
        <v>2602</v>
      </c>
      <c r="D2821" s="70" t="s">
        <v>1</v>
      </c>
      <c r="E2821" s="70" t="s">
        <v>1</v>
      </c>
      <c r="F2821" s="70"/>
      <c r="G2821" s="70" t="s">
        <v>61</v>
      </c>
      <c r="H2821" s="70" t="s">
        <v>178</v>
      </c>
      <c r="I2821" s="70" t="s">
        <v>184</v>
      </c>
      <c r="J2821" s="71">
        <f>IF(OR(I2821=0,I2821=""),"unrated",VLOOKUP(I2821,MappingTables!$B$19:$C$31,2,FALSE))</f>
        <v>5</v>
      </c>
      <c r="K2821" s="72">
        <v>6320.0941683934912</v>
      </c>
      <c r="L2821" s="70">
        <v>10.196014847405738</v>
      </c>
      <c r="M2821" s="71">
        <f>IF(L2821&lt;1,1,L2821)</f>
        <v>10.196014847405738</v>
      </c>
      <c r="N2821" s="70" t="s">
        <v>141</v>
      </c>
      <c r="O2821" s="71">
        <f>INDEX(DurClassMapping,MATCH(M2821,MappingTables!$D$4:$D$8,-1),1)</f>
        <v>3</v>
      </c>
      <c r="P2821" s="73">
        <f>IF(M2821=$A$1,1,$M2821-INDEX(MappingTables!$E$4:$E$8,MATCH(O2821,MappingTables!$B$4:$B$8,0)))</f>
        <v>0.19601484740573836</v>
      </c>
      <c r="Q2821" s="71">
        <f>IF(B2821="",0,INDEX(ModelParameters!$D$6:$K$10,MATCH($O2821,ModelParameters!$B$6:$B$10,0),MATCH($J2821,ModelParameters!$D$5:$K$5,0)))</f>
        <v>0.005</v>
      </c>
      <c r="R2821" s="71">
        <f>IF(B2821="",0,INDEX(ModelParameters!$D$13:$K$17,MATCH($O2821,ModelParameters!$B$13:$B$17,0),MATCH($J2821,ModelParameters!$D$5:$K$5,0)))</f>
        <v>0.585</v>
      </c>
      <c r="S2821" s="160">
        <f>IF(B2821="",0,MIN(IF($N2821="Other Bond TM",ModelParameters!$N$21,1)*(P2821*Q2821+R2821),1))</f>
        <v>0.58598007423702872</v>
      </c>
      <c r="T2821" s="85">
        <f>IF(B2821="",0,$S2821*$K2821)</f>
        <v>3703.4492499802304</v>
      </c>
      <c r="U2821" s="85">
        <f>IF(B2821="",0,IF(OR(H2821=MappingTables!$C$34,H2821=MappingTables!$C$35),T2821,0))</f>
        <v>0</v>
      </c>
      <c r="V2821" s="85">
        <f>IF(ISNA(IF(AND(VLOOKUP(CONCATENATE($D2821,$G2821),CSRFinput!$B:$E,4,0)=0,OR(H2821=MappingTables!$C$34,H2821=MappingTables!$C$35)),1,VLOOKUP(CONCATENATE($D2821,$G2821),CSRFinput!$B:$E,4,0))),0,IF(AND(VLOOKUP(CONCATENATE($D2821,$G2821),CSRFinput!$B:$E,4,0)=0,OR(H2821=MappingTables!$C$34,H2821=MappingTables!$C$35)),1,VLOOKUP(CONCATENATE($D2821,$G2821),CSRFinput!$B:$E,4,0)))</f>
        <v>0.054776304963434752</v>
      </c>
      <c r="W2821" s="85">
        <f>IF(B2821="",0,+$T2821*$V2821)</f>
        <v>202.86126553352084</v>
      </c>
      <c r="X2821" s="85">
        <f>IF(B2821="",0,IF(OR(H2821=MappingTables!$C$34,H2821=MappingTables!$C$35),W2821,0))</f>
        <v>0</v>
      </c>
    </row>
    <row r="2822" spans="2:24" s="0" customFormat="0" ht="15">
      <c r="B2822" s="69" t="s">
        <v>2612</v>
      </c>
      <c r="C2822" s="70" t="s">
        <v>2613</v>
      </c>
      <c r="D2822" s="70" t="s">
        <v>1</v>
      </c>
      <c r="E2822" s="70" t="s">
        <v>1</v>
      </c>
      <c r="F2822" s="70"/>
      <c r="G2822" s="70" t="s">
        <v>61</v>
      </c>
      <c r="H2822" s="70" t="s">
        <v>178</v>
      </c>
      <c r="I2822" s="70" t="s">
        <v>179</v>
      </c>
      <c r="J2822" s="71">
        <f>IF(OR(I2822=0,I2822=""),"unrated",VLOOKUP(I2822,MappingTables!$B$19:$C$31,2,FALSE))</f>
        <v>4</v>
      </c>
      <c r="K2822" s="72">
        <v>9725.3582472848896</v>
      </c>
      <c r="L2822" s="70">
        <v>4.116846709362496</v>
      </c>
      <c r="M2822" s="71">
        <f>IF(L2822&lt;1,1,L2822)</f>
        <v>4.116846709362496</v>
      </c>
      <c r="N2822" s="70" t="s">
        <v>141</v>
      </c>
      <c r="O2822" s="71">
        <f>INDEX(DurClassMapping,MATCH(M2822,MappingTables!$D$4:$D$8,-1),1)</f>
        <v>1</v>
      </c>
      <c r="P2822" s="73">
        <f>IF(M2822=$A$1,1,$M2822-INDEX(MappingTables!$E$4:$E$8,MATCH(O2822,MappingTables!$B$4:$B$8,0)))</f>
        <v>4.116846709362496</v>
      </c>
      <c r="Q2822" s="71">
        <f>IF(B2822="",0,INDEX(ModelParameters!$D$6:$K$10,MATCH($O2822,ModelParameters!$B$6:$B$10,0),MATCH($J2822,ModelParameters!$D$5:$K$5,0)))</f>
        <v>0.045</v>
      </c>
      <c r="R2822" s="71">
        <f>IF(B2822="",0,INDEX(ModelParameters!$D$13:$K$17,MATCH($O2822,ModelParameters!$B$13:$B$17,0),MATCH($J2822,ModelParameters!$D$5:$K$5,0)))</f>
        <v>0</v>
      </c>
      <c r="S2822" s="160">
        <f>IF(B2822="",0,MIN(IF($N2822="Other Bond TM",ModelParameters!$N$21,1)*(P2822*Q2822+R2822),1))</f>
        <v>0.18525810192131228</v>
      </c>
      <c r="T2822" s="85">
        <f>IF(B2822="",0,$S2822*$K2822)</f>
        <v>1801.7014093967792</v>
      </c>
      <c r="U2822" s="85">
        <f>IF(B2822="",0,IF(OR(H2822=MappingTables!$C$34,H2822=MappingTables!$C$35),T2822,0))</f>
        <v>0</v>
      </c>
      <c r="V2822" s="85">
        <f>IF(ISNA(IF(AND(VLOOKUP(CONCATENATE($D2822,$G2822),CSRFinput!$B:$E,4,0)=0,OR(H2822=MappingTables!$C$34,H2822=MappingTables!$C$35)),1,VLOOKUP(CONCATENATE($D2822,$G2822),CSRFinput!$B:$E,4,0))),0,IF(AND(VLOOKUP(CONCATENATE($D2822,$G2822),CSRFinput!$B:$E,4,0)=0,OR(H2822=MappingTables!$C$34,H2822=MappingTables!$C$35)),1,VLOOKUP(CONCATENATE($D2822,$G2822),CSRFinput!$B:$E,4,0)))</f>
        <v>0.054776304963434752</v>
      </c>
      <c r="W2822" s="85">
        <f>IF(B2822="",0,+$T2822*$V2822)</f>
        <v>98.690545854168176</v>
      </c>
      <c r="X2822" s="85">
        <f>IF(B2822="",0,IF(OR(H2822=MappingTables!$C$34,H2822=MappingTables!$C$35),W2822,0))</f>
        <v>0</v>
      </c>
    </row>
    <row r="2823" spans="2:24" s="0" customFormat="0" ht="15">
      <c r="B2823" s="69" t="s">
        <v>2614</v>
      </c>
      <c r="C2823" s="70" t="s">
        <v>2615</v>
      </c>
      <c r="D2823" s="70" t="s">
        <v>1</v>
      </c>
      <c r="E2823" s="70" t="s">
        <v>1</v>
      </c>
      <c r="F2823" s="70"/>
      <c r="G2823" s="70" t="s">
        <v>61</v>
      </c>
      <c r="H2823" s="70" t="s">
        <v>178</v>
      </c>
      <c r="I2823" s="70" t="s">
        <v>179</v>
      </c>
      <c r="J2823" s="71">
        <f>IF(OR(I2823=0,I2823=""),"unrated",VLOOKUP(I2823,MappingTables!$B$19:$C$31,2,FALSE))</f>
        <v>4</v>
      </c>
      <c r="K2823" s="72">
        <v>107.46347227626898</v>
      </c>
      <c r="L2823" s="70">
        <v>3.243494757031314</v>
      </c>
      <c r="M2823" s="71">
        <f>IF(L2823&lt;1,1,L2823)</f>
        <v>3.243494757031314</v>
      </c>
      <c r="N2823" s="70" t="s">
        <v>141</v>
      </c>
      <c r="O2823" s="71">
        <f>INDEX(DurClassMapping,MATCH(M2823,MappingTables!$D$4:$D$8,-1),1)</f>
        <v>1</v>
      </c>
      <c r="P2823" s="73">
        <f>IF(M2823=$A$1,1,$M2823-INDEX(MappingTables!$E$4:$E$8,MATCH(O2823,MappingTables!$B$4:$B$8,0)))</f>
        <v>3.243494757031314</v>
      </c>
      <c r="Q2823" s="71">
        <f>IF(B2823="",0,INDEX(ModelParameters!$D$6:$K$10,MATCH($O2823,ModelParameters!$B$6:$B$10,0),MATCH($J2823,ModelParameters!$D$5:$K$5,0)))</f>
        <v>0.045</v>
      </c>
      <c r="R2823" s="71">
        <f>IF(B2823="",0,INDEX(ModelParameters!$D$13:$K$17,MATCH($O2823,ModelParameters!$B$13:$B$17,0),MATCH($J2823,ModelParameters!$D$5:$K$5,0)))</f>
        <v>0</v>
      </c>
      <c r="S2823" s="160">
        <f>IF(B2823="",0,MIN(IF($N2823="Other Bond TM",ModelParameters!$N$21,1)*(P2823*Q2823+R2823),1))</f>
        <v>0.14595726406640914</v>
      </c>
      <c r="T2823" s="85">
        <f>IF(B2823="",0,$S2823*$K2823)</f>
        <v>15.685074400520626</v>
      </c>
      <c r="U2823" s="85">
        <f>IF(B2823="",0,IF(OR(H2823=MappingTables!$C$34,H2823=MappingTables!$C$35),T2823,0))</f>
        <v>0</v>
      </c>
      <c r="V2823" s="85">
        <f>IF(ISNA(IF(AND(VLOOKUP(CONCATENATE($D2823,$G2823),CSRFinput!$B:$E,4,0)=0,OR(H2823=MappingTables!$C$34,H2823=MappingTables!$C$35)),1,VLOOKUP(CONCATENATE($D2823,$G2823),CSRFinput!$B:$E,4,0))),0,IF(AND(VLOOKUP(CONCATENATE($D2823,$G2823),CSRFinput!$B:$E,4,0)=0,OR(H2823=MappingTables!$C$34,H2823=MappingTables!$C$35)),1,VLOOKUP(CONCATENATE($D2823,$G2823),CSRFinput!$B:$E,4,0)))</f>
        <v>0.054776304963434752</v>
      </c>
      <c r="W2823" s="85">
        <f>IF(B2823="",0,+$T2823*$V2823)</f>
        <v>0.85917041873708144</v>
      </c>
      <c r="X2823" s="85">
        <f>IF(B2823="",0,IF(OR(H2823=MappingTables!$C$34,H2823=MappingTables!$C$35),W2823,0))</f>
        <v>0</v>
      </c>
    </row>
    <row r="2824" spans="2:24" s="0" customFormat="0" ht="15">
      <c r="B2824" s="69">
        <v>13098149</v>
      </c>
      <c r="C2824" s="70" t="s">
        <v>974</v>
      </c>
      <c r="D2824" s="70" t="s">
        <v>1</v>
      </c>
      <c r="E2824" s="70" t="s">
        <v>1</v>
      </c>
      <c r="F2824" s="70"/>
      <c r="G2824" s="70" t="s">
        <v>61</v>
      </c>
      <c r="H2824" s="70" t="s">
        <v>178</v>
      </c>
      <c r="I2824" s="70" t="s">
        <v>188</v>
      </c>
      <c r="J2824" s="71">
        <f>IF(OR(I2824=0,I2824=""),"unrated",VLOOKUP(I2824,MappingTables!$B$19:$C$31,2,FALSE))</f>
        <v>2</v>
      </c>
      <c r="K2824" s="72">
        <v>1387.2592241368768</v>
      </c>
      <c r="L2824" s="70">
        <v>0.87846602426814736</v>
      </c>
      <c r="M2824" s="71">
        <f>IF(L2824&lt;1,1,L2824)</f>
        <v>1</v>
      </c>
      <c r="N2824" s="70" t="s">
        <v>141</v>
      </c>
      <c r="O2824" s="71">
        <f>INDEX(DurClassMapping,MATCH(M2824,MappingTables!$D$4:$D$8,-1),1)</f>
        <v>1</v>
      </c>
      <c r="P2824" s="73">
        <f>IF(M2824=$A$1,1,$M2824-INDEX(MappingTables!$E$4:$E$8,MATCH(O2824,MappingTables!$B$4:$B$8,0)))</f>
        <v>1</v>
      </c>
      <c r="Q2824" s="71">
        <f>IF(B2824="",0,INDEX(ModelParameters!$D$6:$K$10,MATCH($O2824,ModelParameters!$B$6:$B$10,0),MATCH($J2824,ModelParameters!$D$5:$K$5,0)))</f>
        <v>0.013999999999999998</v>
      </c>
      <c r="R2824" s="71">
        <f>IF(B2824="",0,INDEX(ModelParameters!$D$13:$K$17,MATCH($O2824,ModelParameters!$B$13:$B$17,0),MATCH($J2824,ModelParameters!$D$5:$K$5,0)))</f>
        <v>0</v>
      </c>
      <c r="S2824" s="160">
        <f>IF(B2824="",0,MIN(IF($N2824="Other Bond TM",ModelParameters!$N$21,1)*(P2824*Q2824+R2824),1))</f>
        <v>0.013999999999999998</v>
      </c>
      <c r="T2824" s="85">
        <f>IF(B2824="",0,$S2824*$K2824)</f>
        <v>19.421629137916272</v>
      </c>
      <c r="U2824" s="85">
        <f>IF(B2824="",0,IF(OR(H2824=MappingTables!$C$34,H2824=MappingTables!$C$35),T2824,0))</f>
        <v>0</v>
      </c>
      <c r="V2824" s="85">
        <f>IF(ISNA(IF(AND(VLOOKUP(CONCATENATE($D2824,$G2824),CSRFinput!$B:$E,4,0)=0,OR(H2824=MappingTables!$C$34,H2824=MappingTables!$C$35)),1,VLOOKUP(CONCATENATE($D2824,$G2824),CSRFinput!$B:$E,4,0))),0,IF(AND(VLOOKUP(CONCATENATE($D2824,$G2824),CSRFinput!$B:$E,4,0)=0,OR(H2824=MappingTables!$C$34,H2824=MappingTables!$C$35)),1,VLOOKUP(CONCATENATE($D2824,$G2824),CSRFinput!$B:$E,4,0)))</f>
        <v>0.054776304963434752</v>
      </c>
      <c r="W2824" s="85">
        <f>IF(B2824="",0,+$T2824*$V2824)</f>
        <v>1.0638450805452322</v>
      </c>
      <c r="X2824" s="85">
        <f>IF(B2824="",0,IF(OR(H2824=MappingTables!$C$34,H2824=MappingTables!$C$35),W2824,0))</f>
        <v>0</v>
      </c>
    </row>
    <row r="2825" spans="2:24" s="0" customFormat="0" ht="15">
      <c r="B2825" s="69" t="s">
        <v>221</v>
      </c>
      <c r="C2825" s="70" t="s">
        <v>222</v>
      </c>
      <c r="D2825" s="70" t="s">
        <v>1</v>
      </c>
      <c r="E2825" s="70" t="s">
        <v>1</v>
      </c>
      <c r="F2825" s="70"/>
      <c r="G2825" s="70" t="s">
        <v>61</v>
      </c>
      <c r="H2825" s="70" t="s">
        <v>178</v>
      </c>
      <c r="I2825" s="70" t="s">
        <v>188</v>
      </c>
      <c r="J2825" s="71">
        <f>IF(OR(I2825=0,I2825=""),"unrated",VLOOKUP(I2825,MappingTables!$B$19:$C$31,2,FALSE))</f>
        <v>2</v>
      </c>
      <c r="K2825" s="72">
        <v>424.97879573871112</v>
      </c>
      <c r="L2825" s="70">
        <v>4.0910253368704264</v>
      </c>
      <c r="M2825" s="71">
        <f>IF(L2825&lt;1,1,L2825)</f>
        <v>4.0910253368704264</v>
      </c>
      <c r="N2825" s="70" t="s">
        <v>141</v>
      </c>
      <c r="O2825" s="71">
        <f>INDEX(DurClassMapping,MATCH(M2825,MappingTables!$D$4:$D$8,-1),1)</f>
        <v>1</v>
      </c>
      <c r="P2825" s="73">
        <f>IF(M2825=$A$1,1,$M2825-INDEX(MappingTables!$E$4:$E$8,MATCH(O2825,MappingTables!$B$4:$B$8,0)))</f>
        <v>4.0910253368704264</v>
      </c>
      <c r="Q2825" s="71">
        <f>IF(B2825="",0,INDEX(ModelParameters!$D$6:$K$10,MATCH($O2825,ModelParameters!$B$6:$B$10,0),MATCH($J2825,ModelParameters!$D$5:$K$5,0)))</f>
        <v>0.013999999999999998</v>
      </c>
      <c r="R2825" s="71">
        <f>IF(B2825="",0,INDEX(ModelParameters!$D$13:$K$17,MATCH($O2825,ModelParameters!$B$13:$B$17,0),MATCH($J2825,ModelParameters!$D$5:$K$5,0)))</f>
        <v>0</v>
      </c>
      <c r="S2825" s="160">
        <f>IF(B2825="",0,MIN(IF($N2825="Other Bond TM",ModelParameters!$N$21,1)*(P2825*Q2825+R2825),1))</f>
        <v>0.057274354716185968</v>
      </c>
      <c r="T2825" s="85">
        <f>IF(B2825="",0,$S2825*$K2825)</f>
        <v>24.34038629399648</v>
      </c>
      <c r="U2825" s="85">
        <f>IF(B2825="",0,IF(OR(H2825=MappingTables!$C$34,H2825=MappingTables!$C$35),T2825,0))</f>
        <v>0</v>
      </c>
      <c r="V2825" s="85">
        <f>IF(ISNA(IF(AND(VLOOKUP(CONCATENATE($D2825,$G2825),CSRFinput!$B:$E,4,0)=0,OR(H2825=MappingTables!$C$34,H2825=MappingTables!$C$35)),1,VLOOKUP(CONCATENATE($D2825,$G2825),CSRFinput!$B:$E,4,0))),0,IF(AND(VLOOKUP(CONCATENATE($D2825,$G2825),CSRFinput!$B:$E,4,0)=0,OR(H2825=MappingTables!$C$34,H2825=MappingTables!$C$35)),1,VLOOKUP(CONCATENATE($D2825,$G2825),CSRFinput!$B:$E,4,0)))</f>
        <v>0.054776304963434752</v>
      </c>
      <c r="W2825" s="85">
        <f>IF(B2825="",0,+$T2825*$V2825)</f>
        <v>1.3332764225677586</v>
      </c>
      <c r="X2825" s="85">
        <f>IF(B2825="",0,IF(OR(H2825=MappingTables!$C$34,H2825=MappingTables!$C$35),W2825,0))</f>
        <v>0</v>
      </c>
    </row>
    <row r="2826" spans="2:24" s="0" customFormat="0" ht="15">
      <c r="B2826" s="69">
        <v>21237289</v>
      </c>
      <c r="C2826" s="70" t="s">
        <v>1139</v>
      </c>
      <c r="D2826" s="70" t="s">
        <v>1</v>
      </c>
      <c r="E2826" s="70" t="s">
        <v>1</v>
      </c>
      <c r="F2826" s="70"/>
      <c r="G2826" s="70" t="s">
        <v>61</v>
      </c>
      <c r="H2826" s="70" t="s">
        <v>178</v>
      </c>
      <c r="I2826" s="70" t="s">
        <v>179</v>
      </c>
      <c r="J2826" s="71">
        <f>IF(OR(I2826=0,I2826=""),"unrated",VLOOKUP(I2826,MappingTables!$B$19:$C$31,2,FALSE))</f>
        <v>4</v>
      </c>
      <c r="K2826" s="72">
        <v>16228.229268058708</v>
      </c>
      <c r="L2826" s="70">
        <v>3.4751110545929528</v>
      </c>
      <c r="M2826" s="71">
        <f>IF(L2826&lt;1,1,L2826)</f>
        <v>3.4751110545929528</v>
      </c>
      <c r="N2826" s="70" t="s">
        <v>141</v>
      </c>
      <c r="O2826" s="71">
        <f>INDEX(DurClassMapping,MATCH(M2826,MappingTables!$D$4:$D$8,-1),1)</f>
        <v>1</v>
      </c>
      <c r="P2826" s="73">
        <f>IF(M2826=$A$1,1,$M2826-INDEX(MappingTables!$E$4:$E$8,MATCH(O2826,MappingTables!$B$4:$B$8,0)))</f>
        <v>3.4751110545929528</v>
      </c>
      <c r="Q2826" s="71">
        <f>IF(B2826="",0,INDEX(ModelParameters!$D$6:$K$10,MATCH($O2826,ModelParameters!$B$6:$B$10,0),MATCH($J2826,ModelParameters!$D$5:$K$5,0)))</f>
        <v>0.045</v>
      </c>
      <c r="R2826" s="71">
        <f>IF(B2826="",0,INDEX(ModelParameters!$D$13:$K$17,MATCH($O2826,ModelParameters!$B$13:$B$17,0),MATCH($J2826,ModelParameters!$D$5:$K$5,0)))</f>
        <v>0</v>
      </c>
      <c r="S2826" s="160">
        <f>IF(B2826="",0,MIN(IF($N2826="Other Bond TM",ModelParameters!$N$21,1)*(P2826*Q2826+R2826),1))</f>
        <v>0.15637999745668288</v>
      </c>
      <c r="T2826" s="85">
        <f>IF(B2826="",0,$S2826*$K2826)</f>
        <v>2537.7704516654876</v>
      </c>
      <c r="U2826" s="85">
        <f>IF(B2826="",0,IF(OR(H2826=MappingTables!$C$34,H2826=MappingTables!$C$35),T2826,0))</f>
        <v>0</v>
      </c>
      <c r="V2826" s="85">
        <f>IF(ISNA(IF(AND(VLOOKUP(CONCATENATE($D2826,$G2826),CSRFinput!$B:$E,4,0)=0,OR(H2826=MappingTables!$C$34,H2826=MappingTables!$C$35)),1,VLOOKUP(CONCATENATE($D2826,$G2826),CSRFinput!$B:$E,4,0))),0,IF(AND(VLOOKUP(CONCATENATE($D2826,$G2826),CSRFinput!$B:$E,4,0)=0,OR(H2826=MappingTables!$C$34,H2826=MappingTables!$C$35)),1,VLOOKUP(CONCATENATE($D2826,$G2826),CSRFinput!$B:$E,4,0)))</f>
        <v>0.054776304963434752</v>
      </c>
      <c r="W2826" s="85">
        <f>IF(B2826="",0,+$T2826*$V2826)</f>
        <v>139.00968818762232</v>
      </c>
      <c r="X2826" s="85">
        <f>IF(B2826="",0,IF(OR(H2826=MappingTables!$C$34,H2826=MappingTables!$C$35),W2826,0))</f>
        <v>0</v>
      </c>
    </row>
    <row r="2827" spans="2:24" s="0" customFormat="0" ht="15">
      <c r="B2827" s="69">
        <v>18055851</v>
      </c>
      <c r="C2827" s="70" t="s">
        <v>2565</v>
      </c>
      <c r="D2827" s="70" t="s">
        <v>1</v>
      </c>
      <c r="E2827" s="70" t="s">
        <v>1</v>
      </c>
      <c r="F2827" s="70"/>
      <c r="G2827" s="70" t="s">
        <v>61</v>
      </c>
      <c r="H2827" s="70" t="s">
        <v>178</v>
      </c>
      <c r="I2827" s="70" t="s">
        <v>181</v>
      </c>
      <c r="J2827" s="71">
        <f>IF(OR(I2827=0,I2827=""),"unrated",VLOOKUP(I2827,MappingTables!$B$19:$C$31,2,FALSE))</f>
        <v>3</v>
      </c>
      <c r="K2827" s="72">
        <v>521.18629954007192</v>
      </c>
      <c r="L2827" s="70">
        <v>2.629908397927216</v>
      </c>
      <c r="M2827" s="71">
        <f>IF(L2827&lt;1,1,L2827)</f>
        <v>2.629908397927216</v>
      </c>
      <c r="N2827" s="70" t="s">
        <v>141</v>
      </c>
      <c r="O2827" s="71">
        <f>INDEX(DurClassMapping,MATCH(M2827,MappingTables!$D$4:$D$8,-1),1)</f>
        <v>1</v>
      </c>
      <c r="P2827" s="73">
        <f>IF(M2827=$A$1,1,$M2827-INDEX(MappingTables!$E$4:$E$8,MATCH(O2827,MappingTables!$B$4:$B$8,0)))</f>
        <v>2.629908397927216</v>
      </c>
      <c r="Q2827" s="71">
        <f>IF(B2827="",0,INDEX(ModelParameters!$D$6:$K$10,MATCH($O2827,ModelParameters!$B$6:$B$10,0),MATCH($J2827,ModelParameters!$D$5:$K$5,0)))</f>
        <v>0.025</v>
      </c>
      <c r="R2827" s="71">
        <f>IF(B2827="",0,INDEX(ModelParameters!$D$13:$K$17,MATCH($O2827,ModelParameters!$B$13:$B$17,0),MATCH($J2827,ModelParameters!$D$5:$K$5,0)))</f>
        <v>0</v>
      </c>
      <c r="S2827" s="160">
        <f>IF(B2827="",0,MIN(IF($N2827="Other Bond TM",ModelParameters!$N$21,1)*(P2827*Q2827+R2827),1))</f>
        <v>0.0657477099481804</v>
      </c>
      <c r="T2827" s="85">
        <f>IF(B2827="",0,$S2827*$K2827)</f>
        <v>34.266805651126112</v>
      </c>
      <c r="U2827" s="85">
        <f>IF(B2827="",0,IF(OR(H2827=MappingTables!$C$34,H2827=MappingTables!$C$35),T2827,0))</f>
        <v>0</v>
      </c>
      <c r="V2827" s="85">
        <f>IF(ISNA(IF(AND(VLOOKUP(CONCATENATE($D2827,$G2827),CSRFinput!$B:$E,4,0)=0,OR(H2827=MappingTables!$C$34,H2827=MappingTables!$C$35)),1,VLOOKUP(CONCATENATE($D2827,$G2827),CSRFinput!$B:$E,4,0))),0,IF(AND(VLOOKUP(CONCATENATE($D2827,$G2827),CSRFinput!$B:$E,4,0)=0,OR(H2827=MappingTables!$C$34,H2827=MappingTables!$C$35)),1,VLOOKUP(CONCATENATE($D2827,$G2827),CSRFinput!$B:$E,4,0)))</f>
        <v>0.054776304963434752</v>
      </c>
      <c r="W2827" s="85">
        <f>IF(B2827="",0,+$T2827*$V2827)</f>
        <v>1.8770089964688336</v>
      </c>
      <c r="X2827" s="85">
        <f>IF(B2827="",0,IF(OR(H2827=MappingTables!$C$34,H2827=MappingTables!$C$35),W2827,0))</f>
        <v>0</v>
      </c>
    </row>
    <row r="2828" spans="2:24" s="0" customFormat="0" ht="15">
      <c r="B2828" s="69" t="s">
        <v>1680</v>
      </c>
      <c r="C2828" s="70" t="s">
        <v>1681</v>
      </c>
      <c r="D2828" s="70" t="s">
        <v>1</v>
      </c>
      <c r="E2828" s="70" t="s">
        <v>1</v>
      </c>
      <c r="F2828" s="70"/>
      <c r="G2828" s="70" t="s">
        <v>61</v>
      </c>
      <c r="H2828" s="70" t="s">
        <v>178</v>
      </c>
      <c r="I2828" s="70" t="s">
        <v>179</v>
      </c>
      <c r="J2828" s="71">
        <f>IF(OR(I2828=0,I2828=""),"unrated",VLOOKUP(I2828,MappingTables!$B$19:$C$31,2,FALSE))</f>
        <v>4</v>
      </c>
      <c r="K2828" s="72">
        <v>4460.8341366208424</v>
      </c>
      <c r="L2828" s="70">
        <v>5.2448286569162336</v>
      </c>
      <c r="M2828" s="71">
        <f>IF(L2828&lt;1,1,L2828)</f>
        <v>5.2448286569162336</v>
      </c>
      <c r="N2828" s="70" t="s">
        <v>141</v>
      </c>
      <c r="O2828" s="71">
        <f>INDEX(DurClassMapping,MATCH(M2828,MappingTables!$D$4:$D$8,-1),1)</f>
        <v>2</v>
      </c>
      <c r="P2828" s="73">
        <f>IF(M2828=$A$1,1,$M2828-INDEX(MappingTables!$E$4:$E$8,MATCH(O2828,MappingTables!$B$4:$B$8,0)))</f>
        <v>0.24482865691623344</v>
      </c>
      <c r="Q2828" s="71">
        <f>IF(B2828="",0,INDEX(ModelParameters!$D$6:$K$10,MATCH($O2828,ModelParameters!$B$6:$B$10,0),MATCH($J2828,ModelParameters!$D$5:$K$5,0)))</f>
        <v>0.025</v>
      </c>
      <c r="R2828" s="71">
        <f>IF(B2828="",0,INDEX(ModelParameters!$D$13:$K$17,MATCH($O2828,ModelParameters!$B$13:$B$17,0),MATCH($J2828,ModelParameters!$D$5:$K$5,0)))</f>
        <v>0.225</v>
      </c>
      <c r="S2828" s="160">
        <f>IF(B2828="",0,MIN(IF($N2828="Other Bond TM",ModelParameters!$N$21,1)*(P2828*Q2828+R2828),1))</f>
        <v>0.23112071642290584</v>
      </c>
      <c r="T2828" s="85">
        <f>IF(B2828="",0,$S2828*$K2828)</f>
        <v>1030.9911814995638</v>
      </c>
      <c r="U2828" s="85">
        <f>IF(B2828="",0,IF(OR(H2828=MappingTables!$C$34,H2828=MappingTables!$C$35),T2828,0))</f>
        <v>0</v>
      </c>
      <c r="V2828" s="85">
        <f>IF(ISNA(IF(AND(VLOOKUP(CONCATENATE($D2828,$G2828),CSRFinput!$B:$E,4,0)=0,OR(H2828=MappingTables!$C$34,H2828=MappingTables!$C$35)),1,VLOOKUP(CONCATENATE($D2828,$G2828),CSRFinput!$B:$E,4,0))),0,IF(AND(VLOOKUP(CONCATENATE($D2828,$G2828),CSRFinput!$B:$E,4,0)=0,OR(H2828=MappingTables!$C$34,H2828=MappingTables!$C$35)),1,VLOOKUP(CONCATENATE($D2828,$G2828),CSRFinput!$B:$E,4,0)))</f>
        <v>0.054776304963434752</v>
      </c>
      <c r="W2828" s="85">
        <f>IF(B2828="",0,+$T2828*$V2828)</f>
        <v>56.473887372432008</v>
      </c>
      <c r="X2828" s="85">
        <f>IF(B2828="",0,IF(OR(H2828=MappingTables!$C$34,H2828=MappingTables!$C$35),W2828,0))</f>
        <v>0</v>
      </c>
    </row>
    <row r="2829" spans="2:24" s="0" customFormat="0" ht="15">
      <c r="B2829" s="69">
        <v>21836613</v>
      </c>
      <c r="C2829" s="70" t="s">
        <v>859</v>
      </c>
      <c r="D2829" s="70" t="s">
        <v>1</v>
      </c>
      <c r="E2829" s="70" t="s">
        <v>1</v>
      </c>
      <c r="F2829" s="70"/>
      <c r="G2829" s="70" t="s">
        <v>61</v>
      </c>
      <c r="H2829" s="70" t="s">
        <v>178</v>
      </c>
      <c r="I2829" s="70" t="s">
        <v>188</v>
      </c>
      <c r="J2829" s="71">
        <f>IF(OR(I2829=0,I2829=""),"unrated",VLOOKUP(I2829,MappingTables!$B$19:$C$31,2,FALSE))</f>
        <v>2</v>
      </c>
      <c r="K2829" s="72">
        <v>6.3116976478538552</v>
      </c>
      <c r="L2829" s="70">
        <v>2.0048538475401452</v>
      </c>
      <c r="M2829" s="71">
        <f>IF(L2829&lt;1,1,L2829)</f>
        <v>2.0048538475401452</v>
      </c>
      <c r="N2829" s="70" t="s">
        <v>141</v>
      </c>
      <c r="O2829" s="71">
        <f>INDEX(DurClassMapping,MATCH(M2829,MappingTables!$D$4:$D$8,-1),1)</f>
        <v>1</v>
      </c>
      <c r="P2829" s="73">
        <f>IF(M2829=$A$1,1,$M2829-INDEX(MappingTables!$E$4:$E$8,MATCH(O2829,MappingTables!$B$4:$B$8,0)))</f>
        <v>2.0048538475401452</v>
      </c>
      <c r="Q2829" s="71">
        <f>IF(B2829="",0,INDEX(ModelParameters!$D$6:$K$10,MATCH($O2829,ModelParameters!$B$6:$B$10,0),MATCH($J2829,ModelParameters!$D$5:$K$5,0)))</f>
        <v>0.013999999999999998</v>
      </c>
      <c r="R2829" s="71">
        <f>IF(B2829="",0,INDEX(ModelParameters!$D$13:$K$17,MATCH($O2829,ModelParameters!$B$13:$B$17,0),MATCH($J2829,ModelParameters!$D$5:$K$5,0)))</f>
        <v>0</v>
      </c>
      <c r="S2829" s="160">
        <f>IF(B2829="",0,MIN(IF($N2829="Other Bond TM",ModelParameters!$N$21,1)*(P2829*Q2829+R2829),1))</f>
        <v>0.028067953865562032</v>
      </c>
      <c r="T2829" s="85">
        <f>IF(B2829="",0,$S2829*$K2829)</f>
        <v>0.17715643839333842</v>
      </c>
      <c r="U2829" s="85">
        <f>IF(B2829="",0,IF(OR(H2829=MappingTables!$C$34,H2829=MappingTables!$C$35),T2829,0))</f>
        <v>0</v>
      </c>
      <c r="V2829" s="85">
        <f>IF(ISNA(IF(AND(VLOOKUP(CONCATENATE($D2829,$G2829),CSRFinput!$B:$E,4,0)=0,OR(H2829=MappingTables!$C$34,H2829=MappingTables!$C$35)),1,VLOOKUP(CONCATENATE($D2829,$G2829),CSRFinput!$B:$E,4,0))),0,IF(AND(VLOOKUP(CONCATENATE($D2829,$G2829),CSRFinput!$B:$E,4,0)=0,OR(H2829=MappingTables!$C$34,H2829=MappingTables!$C$35)),1,VLOOKUP(CONCATENATE($D2829,$G2829),CSRFinput!$B:$E,4,0)))</f>
        <v>0.054776304963434752</v>
      </c>
      <c r="W2829" s="85">
        <f>IF(B2829="",0,+$T2829*$V2829)</f>
        <v>0.0097039750956694464</v>
      </c>
      <c r="X2829" s="85">
        <f>IF(B2829="",0,IF(OR(H2829=MappingTables!$C$34,H2829=MappingTables!$C$35),W2829,0))</f>
        <v>0</v>
      </c>
    </row>
    <row r="2830" spans="2:24" s="0" customFormat="0" ht="15">
      <c r="B2830" s="69">
        <v>24923220</v>
      </c>
      <c r="C2830" s="70" t="s">
        <v>1408</v>
      </c>
      <c r="D2830" s="70" t="s">
        <v>1</v>
      </c>
      <c r="E2830" s="70" t="s">
        <v>1</v>
      </c>
      <c r="F2830" s="70"/>
      <c r="G2830" s="70" t="s">
        <v>61</v>
      </c>
      <c r="H2830" s="70" t="s">
        <v>178</v>
      </c>
      <c r="I2830" s="70" t="s">
        <v>184</v>
      </c>
      <c r="J2830" s="71">
        <f>IF(OR(I2830=0,I2830=""),"unrated",VLOOKUP(I2830,MappingTables!$B$19:$C$31,2,FALSE))</f>
        <v>5</v>
      </c>
      <c r="K2830" s="72">
        <v>82461.343887175168</v>
      </c>
      <c r="L2830" s="70">
        <v>2.6700476894532404</v>
      </c>
      <c r="M2830" s="71">
        <f>IF(L2830&lt;1,1,L2830)</f>
        <v>2.6700476894532404</v>
      </c>
      <c r="N2830" s="70" t="s">
        <v>141</v>
      </c>
      <c r="O2830" s="71">
        <f>INDEX(DurClassMapping,MATCH(M2830,MappingTables!$D$4:$D$8,-1),1)</f>
        <v>1</v>
      </c>
      <c r="P2830" s="73">
        <f>IF(M2830=$A$1,1,$M2830-INDEX(MappingTables!$E$4:$E$8,MATCH(O2830,MappingTables!$B$4:$B$8,0)))</f>
        <v>2.6700476894532404</v>
      </c>
      <c r="Q2830" s="71">
        <f>IF(B2830="",0,INDEX(ModelParameters!$D$6:$K$10,MATCH($O2830,ModelParameters!$B$6:$B$10,0),MATCH($J2830,ModelParameters!$D$5:$K$5,0)))</f>
        <v>0.075</v>
      </c>
      <c r="R2830" s="71">
        <f>IF(B2830="",0,INDEX(ModelParameters!$D$13:$K$17,MATCH($O2830,ModelParameters!$B$13:$B$17,0),MATCH($J2830,ModelParameters!$D$5:$K$5,0)))</f>
        <v>0</v>
      </c>
      <c r="S2830" s="160">
        <f>IF(B2830="",0,MIN(IF($N2830="Other Bond TM",ModelParameters!$N$21,1)*(P2830*Q2830+R2830),1))</f>
        <v>0.20025357670899304</v>
      </c>
      <c r="T2830" s="85">
        <f>IF(B2830="",0,$S2830*$K2830)</f>
        <v>16513.179053637086</v>
      </c>
      <c r="U2830" s="85">
        <f>IF(B2830="",0,IF(OR(H2830=MappingTables!$C$34,H2830=MappingTables!$C$35),T2830,0))</f>
        <v>0</v>
      </c>
      <c r="V2830" s="85">
        <f>IF(ISNA(IF(AND(VLOOKUP(CONCATENATE($D2830,$G2830),CSRFinput!$B:$E,4,0)=0,OR(H2830=MappingTables!$C$34,H2830=MappingTables!$C$35)),1,VLOOKUP(CONCATENATE($D2830,$G2830),CSRFinput!$B:$E,4,0))),0,IF(AND(VLOOKUP(CONCATENATE($D2830,$G2830),CSRFinput!$B:$E,4,0)=0,OR(H2830=MappingTables!$C$34,H2830=MappingTables!$C$35)),1,VLOOKUP(CONCATENATE($D2830,$G2830),CSRFinput!$B:$E,4,0)))</f>
        <v>0.054776304963434752</v>
      </c>
      <c r="W2830" s="85">
        <f>IF(B2830="",0,+$T2830*$V2830)</f>
        <v>904.530931757828</v>
      </c>
      <c r="X2830" s="85">
        <f>IF(B2830="",0,IF(OR(H2830=MappingTables!$C$34,H2830=MappingTables!$C$35),W2830,0))</f>
        <v>0</v>
      </c>
    </row>
    <row r="2831" spans="2:24" s="0" customFormat="0" ht="15">
      <c r="B2831" s="69">
        <v>12294996</v>
      </c>
      <c r="C2831" s="70" t="s">
        <v>1201</v>
      </c>
      <c r="D2831" s="70" t="s">
        <v>1</v>
      </c>
      <c r="E2831" s="70" t="s">
        <v>1</v>
      </c>
      <c r="F2831" s="70"/>
      <c r="G2831" s="70" t="s">
        <v>61</v>
      </c>
      <c r="H2831" s="70" t="s">
        <v>178</v>
      </c>
      <c r="I2831" s="70" t="s">
        <v>188</v>
      </c>
      <c r="J2831" s="71">
        <f>IF(OR(I2831=0,I2831=""),"unrated",VLOOKUP(I2831,MappingTables!$B$19:$C$31,2,FALSE))</f>
        <v>2</v>
      </c>
      <c r="K2831" s="72">
        <v>75.282125262670304</v>
      </c>
      <c r="L2831" s="70">
        <v>0.48219043407310424</v>
      </c>
      <c r="M2831" s="71">
        <f>IF(L2831&lt;1,1,L2831)</f>
        <v>1</v>
      </c>
      <c r="N2831" s="70" t="s">
        <v>141</v>
      </c>
      <c r="O2831" s="71">
        <f>INDEX(DurClassMapping,MATCH(M2831,MappingTables!$D$4:$D$8,-1),1)</f>
        <v>1</v>
      </c>
      <c r="P2831" s="73">
        <f>IF(M2831=$A$1,1,$M2831-INDEX(MappingTables!$E$4:$E$8,MATCH(O2831,MappingTables!$B$4:$B$8,0)))</f>
        <v>1</v>
      </c>
      <c r="Q2831" s="71">
        <f>IF(B2831="",0,INDEX(ModelParameters!$D$6:$K$10,MATCH($O2831,ModelParameters!$B$6:$B$10,0),MATCH($J2831,ModelParameters!$D$5:$K$5,0)))</f>
        <v>0.013999999999999998</v>
      </c>
      <c r="R2831" s="71">
        <f>IF(B2831="",0,INDEX(ModelParameters!$D$13:$K$17,MATCH($O2831,ModelParameters!$B$13:$B$17,0),MATCH($J2831,ModelParameters!$D$5:$K$5,0)))</f>
        <v>0</v>
      </c>
      <c r="S2831" s="160">
        <f>IF(B2831="",0,MIN(IF($N2831="Other Bond TM",ModelParameters!$N$21,1)*(P2831*Q2831+R2831),1))</f>
        <v>0.013999999999999998</v>
      </c>
      <c r="T2831" s="85">
        <f>IF(B2831="",0,$S2831*$K2831)</f>
        <v>1.053949753677384</v>
      </c>
      <c r="U2831" s="85">
        <f>IF(B2831="",0,IF(OR(H2831=MappingTables!$C$34,H2831=MappingTables!$C$35),T2831,0))</f>
        <v>0</v>
      </c>
      <c r="V2831" s="85">
        <f>IF(ISNA(IF(AND(VLOOKUP(CONCATENATE($D2831,$G2831),CSRFinput!$B:$E,4,0)=0,OR(H2831=MappingTables!$C$34,H2831=MappingTables!$C$35)),1,VLOOKUP(CONCATENATE($D2831,$G2831),CSRFinput!$B:$E,4,0))),0,IF(AND(VLOOKUP(CONCATENATE($D2831,$G2831),CSRFinput!$B:$E,4,0)=0,OR(H2831=MappingTables!$C$34,H2831=MappingTables!$C$35)),1,VLOOKUP(CONCATENATE($D2831,$G2831),CSRFinput!$B:$E,4,0)))</f>
        <v>0.054776304963434752</v>
      </c>
      <c r="W2831" s="85">
        <f>IF(B2831="",0,+$T2831*$V2831)</f>
        <v>0.057731473123569328</v>
      </c>
      <c r="X2831" s="85">
        <f>IF(B2831="",0,IF(OR(H2831=MappingTables!$C$34,H2831=MappingTables!$C$35),W2831,0))</f>
        <v>0</v>
      </c>
    </row>
    <row r="2832" spans="2:24" s="0" customFormat="0" ht="15">
      <c r="B2832" s="69">
        <v>18568285</v>
      </c>
      <c r="C2832" s="70" t="s">
        <v>2616</v>
      </c>
      <c r="D2832" s="70" t="s">
        <v>1</v>
      </c>
      <c r="E2832" s="70" t="s">
        <v>1</v>
      </c>
      <c r="F2832" s="70"/>
      <c r="G2832" s="70" t="s">
        <v>61</v>
      </c>
      <c r="H2832" s="70" t="s">
        <v>178</v>
      </c>
      <c r="I2832" s="70" t="s">
        <v>188</v>
      </c>
      <c r="J2832" s="71">
        <f>IF(OR(I2832=0,I2832=""),"unrated",VLOOKUP(I2832,MappingTables!$B$19:$C$31,2,FALSE))</f>
        <v>2</v>
      </c>
      <c r="K2832" s="72">
        <v>2696.7911799363252</v>
      </c>
      <c r="L2832" s="70">
        <v>0.86245920937478544</v>
      </c>
      <c r="M2832" s="71">
        <f>IF(L2832&lt;1,1,L2832)</f>
        <v>1</v>
      </c>
      <c r="N2832" s="70" t="s">
        <v>141</v>
      </c>
      <c r="O2832" s="71">
        <f>INDEX(DurClassMapping,MATCH(M2832,MappingTables!$D$4:$D$8,-1),1)</f>
        <v>1</v>
      </c>
      <c r="P2832" s="73">
        <f>IF(M2832=$A$1,1,$M2832-INDEX(MappingTables!$E$4:$E$8,MATCH(O2832,MappingTables!$B$4:$B$8,0)))</f>
        <v>1</v>
      </c>
      <c r="Q2832" s="71">
        <f>IF(B2832="",0,INDEX(ModelParameters!$D$6:$K$10,MATCH($O2832,ModelParameters!$B$6:$B$10,0),MATCH($J2832,ModelParameters!$D$5:$K$5,0)))</f>
        <v>0.013999999999999998</v>
      </c>
      <c r="R2832" s="71">
        <f>IF(B2832="",0,INDEX(ModelParameters!$D$13:$K$17,MATCH($O2832,ModelParameters!$B$13:$B$17,0),MATCH($J2832,ModelParameters!$D$5:$K$5,0)))</f>
        <v>0</v>
      </c>
      <c r="S2832" s="160">
        <f>IF(B2832="",0,MIN(IF($N2832="Other Bond TM",ModelParameters!$N$21,1)*(P2832*Q2832+R2832),1))</f>
        <v>0.013999999999999998</v>
      </c>
      <c r="T2832" s="85">
        <f>IF(B2832="",0,$S2832*$K2832)</f>
        <v>37.755076519108552</v>
      </c>
      <c r="U2832" s="85">
        <f>IF(B2832="",0,IF(OR(H2832=MappingTables!$C$34,H2832=MappingTables!$C$35),T2832,0))</f>
        <v>0</v>
      </c>
      <c r="V2832" s="85">
        <f>IF(ISNA(IF(AND(VLOOKUP(CONCATENATE($D2832,$G2832),CSRFinput!$B:$E,4,0)=0,OR(H2832=MappingTables!$C$34,H2832=MappingTables!$C$35)),1,VLOOKUP(CONCATENATE($D2832,$G2832),CSRFinput!$B:$E,4,0))),0,IF(AND(VLOOKUP(CONCATENATE($D2832,$G2832),CSRFinput!$B:$E,4,0)=0,OR(H2832=MappingTables!$C$34,H2832=MappingTables!$C$35)),1,VLOOKUP(CONCATENATE($D2832,$G2832),CSRFinput!$B:$E,4,0)))</f>
        <v>0.054776304963434752</v>
      </c>
      <c r="W2832" s="85">
        <f>IF(B2832="",0,+$T2832*$V2832)</f>
        <v>2.0680835853285044</v>
      </c>
      <c r="X2832" s="85">
        <f>IF(B2832="",0,IF(OR(H2832=MappingTables!$C$34,H2832=MappingTables!$C$35),W2832,0))</f>
        <v>0</v>
      </c>
    </row>
    <row r="2833" spans="2:24" s="0" customFormat="0" ht="15">
      <c r="B2833" s="69">
        <v>19566679</v>
      </c>
      <c r="C2833" s="70" t="s">
        <v>1469</v>
      </c>
      <c r="D2833" s="70" t="s">
        <v>1</v>
      </c>
      <c r="E2833" s="70" t="s">
        <v>1</v>
      </c>
      <c r="F2833" s="70"/>
      <c r="G2833" s="70" t="s">
        <v>61</v>
      </c>
      <c r="H2833" s="70" t="s">
        <v>178</v>
      </c>
      <c r="I2833" s="70" t="s">
        <v>179</v>
      </c>
      <c r="J2833" s="71">
        <f>IF(OR(I2833=0,I2833=""),"unrated",VLOOKUP(I2833,MappingTables!$B$19:$C$31,2,FALSE))</f>
        <v>4</v>
      </c>
      <c r="K2833" s="72">
        <v>3224.1203939185788</v>
      </c>
      <c r="L2833" s="70">
        <v>3.91109789676772</v>
      </c>
      <c r="M2833" s="71">
        <f>IF(L2833&lt;1,1,L2833)</f>
        <v>3.91109789676772</v>
      </c>
      <c r="N2833" s="70" t="s">
        <v>141</v>
      </c>
      <c r="O2833" s="71">
        <f>INDEX(DurClassMapping,MATCH(M2833,MappingTables!$D$4:$D$8,-1),1)</f>
        <v>1</v>
      </c>
      <c r="P2833" s="73">
        <f>IF(M2833=$A$1,1,$M2833-INDEX(MappingTables!$E$4:$E$8,MATCH(O2833,MappingTables!$B$4:$B$8,0)))</f>
        <v>3.91109789676772</v>
      </c>
      <c r="Q2833" s="71">
        <f>IF(B2833="",0,INDEX(ModelParameters!$D$6:$K$10,MATCH($O2833,ModelParameters!$B$6:$B$10,0),MATCH($J2833,ModelParameters!$D$5:$K$5,0)))</f>
        <v>0.045</v>
      </c>
      <c r="R2833" s="71">
        <f>IF(B2833="",0,INDEX(ModelParameters!$D$13:$K$17,MATCH($O2833,ModelParameters!$B$13:$B$17,0),MATCH($J2833,ModelParameters!$D$5:$K$5,0)))</f>
        <v>0</v>
      </c>
      <c r="S2833" s="160">
        <f>IF(B2833="",0,MIN(IF($N2833="Other Bond TM",ModelParameters!$N$21,1)*(P2833*Q2833+R2833),1))</f>
        <v>0.17599940535454742</v>
      </c>
      <c r="T2833" s="85">
        <f>IF(B2833="",0,$S2833*$K2833)</f>
        <v>567.44327212113912</v>
      </c>
      <c r="U2833" s="85">
        <f>IF(B2833="",0,IF(OR(H2833=MappingTables!$C$34,H2833=MappingTables!$C$35),T2833,0))</f>
        <v>0</v>
      </c>
      <c r="V2833" s="85">
        <f>IF(ISNA(IF(AND(VLOOKUP(CONCATENATE($D2833,$G2833),CSRFinput!$B:$E,4,0)=0,OR(H2833=MappingTables!$C$34,H2833=MappingTables!$C$35)),1,VLOOKUP(CONCATENATE($D2833,$G2833),CSRFinput!$B:$E,4,0))),0,IF(AND(VLOOKUP(CONCATENATE($D2833,$G2833),CSRFinput!$B:$E,4,0)=0,OR(H2833=MappingTables!$C$34,H2833=MappingTables!$C$35)),1,VLOOKUP(CONCATENATE($D2833,$G2833),CSRFinput!$B:$E,4,0)))</f>
        <v>0.054776304963434752</v>
      </c>
      <c r="W2833" s="85">
        <f>IF(B2833="",0,+$T2833*$V2833)</f>
        <v>31.082445723156808</v>
      </c>
      <c r="X2833" s="85">
        <f>IF(B2833="",0,IF(OR(H2833=MappingTables!$C$34,H2833=MappingTables!$C$35),W2833,0))</f>
        <v>0</v>
      </c>
    </row>
    <row r="2834" spans="2:24" s="0" customFormat="0" ht="15">
      <c r="B2834" s="69">
        <v>21838363</v>
      </c>
      <c r="C2834" s="70" t="s">
        <v>2480</v>
      </c>
      <c r="D2834" s="70" t="s">
        <v>1</v>
      </c>
      <c r="E2834" s="70" t="s">
        <v>1</v>
      </c>
      <c r="F2834" s="70"/>
      <c r="G2834" s="70" t="s">
        <v>61</v>
      </c>
      <c r="H2834" s="70" t="s">
        <v>178</v>
      </c>
      <c r="I2834" s="70" t="s">
        <v>181</v>
      </c>
      <c r="J2834" s="71">
        <f>IF(OR(I2834=0,I2834=""),"unrated",VLOOKUP(I2834,MappingTables!$B$19:$C$31,2,FALSE))</f>
        <v>3</v>
      </c>
      <c r="K2834" s="72">
        <v>54293.087945414016</v>
      </c>
      <c r="L2834" s="70">
        <v>5.2204168176978808</v>
      </c>
      <c r="M2834" s="71">
        <f>IF(L2834&lt;1,1,L2834)</f>
        <v>5.2204168176978808</v>
      </c>
      <c r="N2834" s="70" t="s">
        <v>141</v>
      </c>
      <c r="O2834" s="71">
        <f>INDEX(DurClassMapping,MATCH(M2834,MappingTables!$D$4:$D$8,-1),1)</f>
        <v>2</v>
      </c>
      <c r="P2834" s="73">
        <f>IF(M2834=$A$1,1,$M2834-INDEX(MappingTables!$E$4:$E$8,MATCH(O2834,MappingTables!$B$4:$B$8,0)))</f>
        <v>0.22041681769788112</v>
      </c>
      <c r="Q2834" s="71">
        <f>IF(B2834="",0,INDEX(ModelParameters!$D$6:$K$10,MATCH($O2834,ModelParameters!$B$6:$B$10,0),MATCH($J2834,ModelParameters!$D$5:$K$5,0)))</f>
        <v>0.015</v>
      </c>
      <c r="R2834" s="71">
        <f>IF(B2834="",0,INDEX(ModelParameters!$D$13:$K$17,MATCH($O2834,ModelParameters!$B$13:$B$17,0),MATCH($J2834,ModelParameters!$D$5:$K$5,0)))</f>
        <v>0.125</v>
      </c>
      <c r="S2834" s="160">
        <f>IF(B2834="",0,MIN(IF($N2834="Other Bond TM",ModelParameters!$N$21,1)*(P2834*Q2834+R2834),1))</f>
        <v>0.12830625226546822</v>
      </c>
      <c r="T2834" s="85">
        <f>IF(B2834="",0,$S2834*$K2834)</f>
        <v>6966.1426381955416</v>
      </c>
      <c r="U2834" s="85">
        <f>IF(B2834="",0,IF(OR(H2834=MappingTables!$C$34,H2834=MappingTables!$C$35),T2834,0))</f>
        <v>0</v>
      </c>
      <c r="V2834" s="85">
        <f>IF(ISNA(IF(AND(VLOOKUP(CONCATENATE($D2834,$G2834),CSRFinput!$B:$E,4,0)=0,OR(H2834=MappingTables!$C$34,H2834=MappingTables!$C$35)),1,VLOOKUP(CONCATENATE($D2834,$G2834),CSRFinput!$B:$E,4,0))),0,IF(AND(VLOOKUP(CONCATENATE($D2834,$G2834),CSRFinput!$B:$E,4,0)=0,OR(H2834=MappingTables!$C$34,H2834=MappingTables!$C$35)),1,VLOOKUP(CONCATENATE($D2834,$G2834),CSRFinput!$B:$E,4,0)))</f>
        <v>0.054776304963434752</v>
      </c>
      <c r="W2834" s="85">
        <f>IF(B2834="",0,+$T2834*$V2834)</f>
        <v>381.57955356858488</v>
      </c>
      <c r="X2834" s="85">
        <f>IF(B2834="",0,IF(OR(H2834=MappingTables!$C$34,H2834=MappingTables!$C$35),W2834,0))</f>
        <v>0</v>
      </c>
    </row>
    <row r="2835" spans="2:24" s="0" customFormat="0" ht="15">
      <c r="B2835" s="69">
        <v>24178485</v>
      </c>
      <c r="C2835" s="70" t="s">
        <v>2617</v>
      </c>
      <c r="D2835" s="70" t="s">
        <v>1</v>
      </c>
      <c r="E2835" s="70" t="s">
        <v>1</v>
      </c>
      <c r="F2835" s="70"/>
      <c r="G2835" s="70" t="s">
        <v>61</v>
      </c>
      <c r="H2835" s="70" t="s">
        <v>178</v>
      </c>
      <c r="I2835" s="70" t="s">
        <v>220</v>
      </c>
      <c r="J2835" s="71">
        <f>IF(OR(I2835=0,I2835=""),"unrated",VLOOKUP(I2835,MappingTables!$B$19:$C$31,2,FALSE))</f>
        <v>1</v>
      </c>
      <c r="K2835" s="72">
        <v>2687.814735823638</v>
      </c>
      <c r="L2835" s="70">
        <v>0.076709828918836592</v>
      </c>
      <c r="M2835" s="71">
        <f>IF(L2835&lt;1,1,L2835)</f>
        <v>1</v>
      </c>
      <c r="N2835" s="70" t="s">
        <v>141</v>
      </c>
      <c r="O2835" s="71">
        <f>INDEX(DurClassMapping,MATCH(M2835,MappingTables!$D$4:$D$8,-1),1)</f>
        <v>1</v>
      </c>
      <c r="P2835" s="73">
        <f>IF(M2835=$A$1,1,$M2835-INDEX(MappingTables!$E$4:$E$8,MATCH(O2835,MappingTables!$B$4:$B$8,0)))</f>
        <v>1</v>
      </c>
      <c r="Q2835" s="71">
        <f>IF(B2835="",0,INDEX(ModelParameters!$D$6:$K$10,MATCH($O2835,ModelParameters!$B$6:$B$10,0),MATCH($J2835,ModelParameters!$D$5:$K$5,0)))</f>
        <v>0.011000000000000002</v>
      </c>
      <c r="R2835" s="71">
        <f>IF(B2835="",0,INDEX(ModelParameters!$D$13:$K$17,MATCH($O2835,ModelParameters!$B$13:$B$17,0),MATCH($J2835,ModelParameters!$D$5:$K$5,0)))</f>
        <v>0</v>
      </c>
      <c r="S2835" s="160">
        <f>IF(B2835="",0,MIN(IF($N2835="Other Bond TM",ModelParameters!$N$21,1)*(P2835*Q2835+R2835),1))</f>
        <v>0.011000000000000002</v>
      </c>
      <c r="T2835" s="85">
        <f>IF(B2835="",0,$S2835*$K2835)</f>
        <v>29.56596209406002</v>
      </c>
      <c r="U2835" s="85">
        <f>IF(B2835="",0,IF(OR(H2835=MappingTables!$C$34,H2835=MappingTables!$C$35),T2835,0))</f>
        <v>0</v>
      </c>
      <c r="V2835" s="85">
        <f>IF(ISNA(IF(AND(VLOOKUP(CONCATENATE($D2835,$G2835),CSRFinput!$B:$E,4,0)=0,OR(H2835=MappingTables!$C$34,H2835=MappingTables!$C$35)),1,VLOOKUP(CONCATENATE($D2835,$G2835),CSRFinput!$B:$E,4,0))),0,IF(AND(VLOOKUP(CONCATENATE($D2835,$G2835),CSRFinput!$B:$E,4,0)=0,OR(H2835=MappingTables!$C$34,H2835=MappingTables!$C$35)),1,VLOOKUP(CONCATENATE($D2835,$G2835),CSRFinput!$B:$E,4,0)))</f>
        <v>0.054776304963434752</v>
      </c>
      <c r="W2835" s="85">
        <f>IF(B2835="",0,+$T2835*$V2835)</f>
        <v>1.6195141562015836</v>
      </c>
      <c r="X2835" s="85">
        <f>IF(B2835="",0,IF(OR(H2835=MappingTables!$C$34,H2835=MappingTables!$C$35),W2835,0))</f>
        <v>0</v>
      </c>
    </row>
    <row r="2836" spans="2:24" s="0" customFormat="0" ht="15">
      <c r="B2836" s="69" t="s">
        <v>2618</v>
      </c>
      <c r="C2836" s="70" t="s">
        <v>2619</v>
      </c>
      <c r="D2836" s="70" t="s">
        <v>1</v>
      </c>
      <c r="E2836" s="70" t="s">
        <v>1</v>
      </c>
      <c r="F2836" s="70"/>
      <c r="G2836" s="70" t="s">
        <v>61</v>
      </c>
      <c r="H2836" s="70" t="s">
        <v>178</v>
      </c>
      <c r="I2836" s="70" t="s">
        <v>179</v>
      </c>
      <c r="J2836" s="71">
        <f>IF(OR(I2836=0,I2836=""),"unrated",VLOOKUP(I2836,MappingTables!$B$19:$C$31,2,FALSE))</f>
        <v>4</v>
      </c>
      <c r="K2836" s="72">
        <v>10628.291245248468</v>
      </c>
      <c r="L2836" s="70">
        <v>5.1495204036728392</v>
      </c>
      <c r="M2836" s="71">
        <f>IF(L2836&lt;1,1,L2836)</f>
        <v>5.1495204036728392</v>
      </c>
      <c r="N2836" s="70" t="s">
        <v>141</v>
      </c>
      <c r="O2836" s="71">
        <f>INDEX(DurClassMapping,MATCH(M2836,MappingTables!$D$4:$D$8,-1),1)</f>
        <v>2</v>
      </c>
      <c r="P2836" s="73">
        <f>IF(M2836=$A$1,1,$M2836-INDEX(MappingTables!$E$4:$E$8,MATCH(O2836,MappingTables!$B$4:$B$8,0)))</f>
        <v>0.14952040367283904</v>
      </c>
      <c r="Q2836" s="71">
        <f>IF(B2836="",0,INDEX(ModelParameters!$D$6:$K$10,MATCH($O2836,ModelParameters!$B$6:$B$10,0),MATCH($J2836,ModelParameters!$D$5:$K$5,0)))</f>
        <v>0.025</v>
      </c>
      <c r="R2836" s="71">
        <f>IF(B2836="",0,INDEX(ModelParameters!$D$13:$K$17,MATCH($O2836,ModelParameters!$B$13:$B$17,0),MATCH($J2836,ModelParameters!$D$5:$K$5,0)))</f>
        <v>0.225</v>
      </c>
      <c r="S2836" s="160">
        <f>IF(B2836="",0,MIN(IF($N2836="Other Bond TM",ModelParameters!$N$21,1)*(P2836*Q2836+R2836),1))</f>
        <v>0.228738010091821</v>
      </c>
      <c r="T2836" s="85">
        <f>IF(B2836="",0,$S2836*$K2836)</f>
        <v>2431.0941901144568</v>
      </c>
      <c r="U2836" s="85">
        <f>IF(B2836="",0,IF(OR(H2836=MappingTables!$C$34,H2836=MappingTables!$C$35),T2836,0))</f>
        <v>0</v>
      </c>
      <c r="V2836" s="85">
        <f>IF(ISNA(IF(AND(VLOOKUP(CONCATENATE($D2836,$G2836),CSRFinput!$B:$E,4,0)=0,OR(H2836=MappingTables!$C$34,H2836=MappingTables!$C$35)),1,VLOOKUP(CONCATENATE($D2836,$G2836),CSRFinput!$B:$E,4,0))),0,IF(AND(VLOOKUP(CONCATENATE($D2836,$G2836),CSRFinput!$B:$E,4,0)=0,OR(H2836=MappingTables!$C$34,H2836=MappingTables!$C$35)),1,VLOOKUP(CONCATENATE($D2836,$G2836),CSRFinput!$B:$E,4,0)))</f>
        <v>0.054776304963434752</v>
      </c>
      <c r="W2836" s="85">
        <f>IF(B2836="",0,+$T2836*$V2836)</f>
        <v>133.16635675254392</v>
      </c>
      <c r="X2836" s="85">
        <f>IF(B2836="",0,IF(OR(H2836=MappingTables!$C$34,H2836=MappingTables!$C$35),W2836,0))</f>
        <v>0</v>
      </c>
    </row>
    <row r="2837" spans="2:24" s="0" customFormat="0" ht="15">
      <c r="B2837" s="69">
        <v>24867329</v>
      </c>
      <c r="C2837" s="70" t="s">
        <v>1150</v>
      </c>
      <c r="D2837" s="70" t="s">
        <v>1</v>
      </c>
      <c r="E2837" s="70" t="s">
        <v>1</v>
      </c>
      <c r="F2837" s="70"/>
      <c r="G2837" s="70" t="s">
        <v>61</v>
      </c>
      <c r="H2837" s="70" t="s">
        <v>178</v>
      </c>
      <c r="I2837" s="70" t="s">
        <v>181</v>
      </c>
      <c r="J2837" s="71">
        <f>IF(OR(I2837=0,I2837=""),"unrated",VLOOKUP(I2837,MappingTables!$B$19:$C$31,2,FALSE))</f>
        <v>3</v>
      </c>
      <c r="K2837" s="72">
        <v>1376.312708048996</v>
      </c>
      <c r="L2837" s="70">
        <v>0.85443256570207856</v>
      </c>
      <c r="M2837" s="71">
        <f>IF(L2837&lt;1,1,L2837)</f>
        <v>1</v>
      </c>
      <c r="N2837" s="70" t="s">
        <v>141</v>
      </c>
      <c r="O2837" s="71">
        <f>INDEX(DurClassMapping,MATCH(M2837,MappingTables!$D$4:$D$8,-1),1)</f>
        <v>1</v>
      </c>
      <c r="P2837" s="73">
        <f>IF(M2837=$A$1,1,$M2837-INDEX(MappingTables!$E$4:$E$8,MATCH(O2837,MappingTables!$B$4:$B$8,0)))</f>
        <v>1</v>
      </c>
      <c r="Q2837" s="71">
        <f>IF(B2837="",0,INDEX(ModelParameters!$D$6:$K$10,MATCH($O2837,ModelParameters!$B$6:$B$10,0),MATCH($J2837,ModelParameters!$D$5:$K$5,0)))</f>
        <v>0.025</v>
      </c>
      <c r="R2837" s="71">
        <f>IF(B2837="",0,INDEX(ModelParameters!$D$13:$K$17,MATCH($O2837,ModelParameters!$B$13:$B$17,0),MATCH($J2837,ModelParameters!$D$5:$K$5,0)))</f>
        <v>0</v>
      </c>
      <c r="S2837" s="160">
        <f>IF(B2837="",0,MIN(IF($N2837="Other Bond TM",ModelParameters!$N$21,1)*(P2837*Q2837+R2837),1))</f>
        <v>0.025</v>
      </c>
      <c r="T2837" s="85">
        <f>IF(B2837="",0,$S2837*$K2837)</f>
        <v>34.4078177012249</v>
      </c>
      <c r="U2837" s="85">
        <f>IF(B2837="",0,IF(OR(H2837=MappingTables!$C$34,H2837=MappingTables!$C$35),T2837,0))</f>
        <v>0</v>
      </c>
      <c r="V2837" s="85">
        <f>IF(ISNA(IF(AND(VLOOKUP(CONCATENATE($D2837,$G2837),CSRFinput!$B:$E,4,0)=0,OR(H2837=MappingTables!$C$34,H2837=MappingTables!$C$35)),1,VLOOKUP(CONCATENATE($D2837,$G2837),CSRFinput!$B:$E,4,0))),0,IF(AND(VLOOKUP(CONCATENATE($D2837,$G2837),CSRFinput!$B:$E,4,0)=0,OR(H2837=MappingTables!$C$34,H2837=MappingTables!$C$35)),1,VLOOKUP(CONCATENATE($D2837,$G2837),CSRFinput!$B:$E,4,0)))</f>
        <v>0.054776304963434752</v>
      </c>
      <c r="W2837" s="85">
        <f>IF(B2837="",0,+$T2837*$V2837)</f>
        <v>1.8847331155285636</v>
      </c>
      <c r="X2837" s="85">
        <f>IF(B2837="",0,IF(OR(H2837=MappingTables!$C$34,H2837=MappingTables!$C$35),W2837,0))</f>
        <v>0</v>
      </c>
    </row>
    <row r="2838" spans="2:24" s="0" customFormat="0" ht="15">
      <c r="B2838" s="69">
        <v>224422</v>
      </c>
      <c r="C2838" s="70" t="s">
        <v>2620</v>
      </c>
      <c r="D2838" s="70" t="s">
        <v>1</v>
      </c>
      <c r="E2838" s="70" t="s">
        <v>1</v>
      </c>
      <c r="F2838" s="70"/>
      <c r="G2838" s="70" t="s">
        <v>61</v>
      </c>
      <c r="H2838" s="70" t="s">
        <v>178</v>
      </c>
      <c r="I2838" s="70" t="s">
        <v>184</v>
      </c>
      <c r="J2838" s="71">
        <f>IF(OR(I2838=0,I2838=""),"unrated",VLOOKUP(I2838,MappingTables!$B$19:$C$31,2,FALSE))</f>
        <v>5</v>
      </c>
      <c r="K2838" s="72">
        <v>536.01054529030592</v>
      </c>
      <c r="L2838" s="70">
        <v>4.719978869388768</v>
      </c>
      <c r="M2838" s="71">
        <f>IF(L2838&lt;1,1,L2838)</f>
        <v>4.719978869388768</v>
      </c>
      <c r="N2838" s="70" t="s">
        <v>141</v>
      </c>
      <c r="O2838" s="71">
        <f>INDEX(DurClassMapping,MATCH(M2838,MappingTables!$D$4:$D$8,-1),1)</f>
        <v>1</v>
      </c>
      <c r="P2838" s="73">
        <f>IF(M2838=$A$1,1,$M2838-INDEX(MappingTables!$E$4:$E$8,MATCH(O2838,MappingTables!$B$4:$B$8,0)))</f>
        <v>4.719978869388768</v>
      </c>
      <c r="Q2838" s="71">
        <f>IF(B2838="",0,INDEX(ModelParameters!$D$6:$K$10,MATCH($O2838,ModelParameters!$B$6:$B$10,0),MATCH($J2838,ModelParameters!$D$5:$K$5,0)))</f>
        <v>0.075</v>
      </c>
      <c r="R2838" s="71">
        <f>IF(B2838="",0,INDEX(ModelParameters!$D$13:$K$17,MATCH($O2838,ModelParameters!$B$13:$B$17,0),MATCH($J2838,ModelParameters!$D$5:$K$5,0)))</f>
        <v>0</v>
      </c>
      <c r="S2838" s="160">
        <f>IF(B2838="",0,MIN(IF($N2838="Other Bond TM",ModelParameters!$N$21,1)*(P2838*Q2838+R2838),1))</f>
        <v>0.3539984152041576</v>
      </c>
      <c r="T2838" s="85">
        <f>IF(B2838="",0,$S2838*$K2838)</f>
        <v>189.74688356548464</v>
      </c>
      <c r="U2838" s="85">
        <f>IF(B2838="",0,IF(OR(H2838=MappingTables!$C$34,H2838=MappingTables!$C$35),T2838,0))</f>
        <v>0</v>
      </c>
      <c r="V2838" s="85">
        <f>IF(ISNA(IF(AND(VLOOKUP(CONCATENATE($D2838,$G2838),CSRFinput!$B:$E,4,0)=0,OR(H2838=MappingTables!$C$34,H2838=MappingTables!$C$35)),1,VLOOKUP(CONCATENATE($D2838,$G2838),CSRFinput!$B:$E,4,0))),0,IF(AND(VLOOKUP(CONCATENATE($D2838,$G2838),CSRFinput!$B:$E,4,0)=0,OR(H2838=MappingTables!$C$34,H2838=MappingTables!$C$35)),1,VLOOKUP(CONCATENATE($D2838,$G2838),CSRFinput!$B:$E,4,0)))</f>
        <v>0.054776304963434752</v>
      </c>
      <c r="W2838" s="85">
        <f>IF(B2838="",0,+$T2838*$V2838)</f>
        <v>10.393633160044332</v>
      </c>
      <c r="X2838" s="85">
        <f>IF(B2838="",0,IF(OR(H2838=MappingTables!$C$34,H2838=MappingTables!$C$35),W2838,0))</f>
        <v>0</v>
      </c>
    </row>
    <row r="2839" spans="2:24" s="0" customFormat="0" ht="15">
      <c r="B2839" s="69" t="s">
        <v>1749</v>
      </c>
      <c r="C2839" s="70" t="s">
        <v>1750</v>
      </c>
      <c r="D2839" s="70" t="s">
        <v>1</v>
      </c>
      <c r="E2839" s="70" t="s">
        <v>1</v>
      </c>
      <c r="F2839" s="70"/>
      <c r="G2839" s="70" t="s">
        <v>61</v>
      </c>
      <c r="H2839" s="70" t="s">
        <v>178</v>
      </c>
      <c r="I2839" s="70" t="s">
        <v>198</v>
      </c>
      <c r="J2839" s="71" t="str">
        <f>IF(OR(I2839=0,I2839=""),"unrated",VLOOKUP(I2839,MappingTables!$B$19:$C$31,2,FALSE))</f>
        <v>unrated</v>
      </c>
      <c r="K2839" s="72">
        <v>2.845026584534358</v>
      </c>
      <c r="L2839" s="70">
        <v>1.7034722733178482</v>
      </c>
      <c r="M2839" s="71">
        <f>IF(L2839&lt;1,1,L2839)</f>
        <v>1.7034722733178482</v>
      </c>
      <c r="N2839" s="70" t="s">
        <v>141</v>
      </c>
      <c r="O2839" s="71">
        <f>INDEX(DurClassMapping,MATCH(M2839,MappingTables!$D$4:$D$8,-1),1)</f>
        <v>1</v>
      </c>
      <c r="P2839" s="73">
        <f>IF(M2839=$A$1,1,$M2839-INDEX(MappingTables!$E$4:$E$8,MATCH(O2839,MappingTables!$B$4:$B$8,0)))</f>
        <v>1.7034722733178482</v>
      </c>
      <c r="Q2839" s="71">
        <f>IF(B2839="",0,INDEX(ModelParameters!$D$6:$K$10,MATCH($O2839,ModelParameters!$B$6:$B$10,0),MATCH($J2839,ModelParameters!$D$5:$K$5,0)))</f>
        <v>0.03</v>
      </c>
      <c r="R2839" s="71">
        <f>IF(B2839="",0,INDEX(ModelParameters!$D$13:$K$17,MATCH($O2839,ModelParameters!$B$13:$B$17,0),MATCH($J2839,ModelParameters!$D$5:$K$5,0)))</f>
        <v>0</v>
      </c>
      <c r="S2839" s="160">
        <f>IF(B2839="",0,MIN(IF($N2839="Other Bond TM",ModelParameters!$N$21,1)*(P2839*Q2839+R2839),1))</f>
        <v>0.05110416819953544</v>
      </c>
      <c r="T2839" s="85">
        <f>IF(B2839="",0,$S2839*$K2839)</f>
        <v>0.14539271710819368</v>
      </c>
      <c r="U2839" s="85">
        <f>IF(B2839="",0,IF(OR(H2839=MappingTables!$C$34,H2839=MappingTables!$C$35),T2839,0))</f>
        <v>0</v>
      </c>
      <c r="V2839" s="85">
        <f>IF(ISNA(IF(AND(VLOOKUP(CONCATENATE($D2839,$G2839),CSRFinput!$B:$E,4,0)=0,OR(H2839=MappingTables!$C$34,H2839=MappingTables!$C$35)),1,VLOOKUP(CONCATENATE($D2839,$G2839),CSRFinput!$B:$E,4,0))),0,IF(AND(VLOOKUP(CONCATENATE($D2839,$G2839),CSRFinput!$B:$E,4,0)=0,OR(H2839=MappingTables!$C$34,H2839=MappingTables!$C$35)),1,VLOOKUP(CONCATENATE($D2839,$G2839),CSRFinput!$B:$E,4,0)))</f>
        <v>0.054776304963434752</v>
      </c>
      <c r="W2839" s="85">
        <f>IF(B2839="",0,+$T2839*$V2839)</f>
        <v>0.0079640758117808144</v>
      </c>
      <c r="X2839" s="85">
        <f>IF(B2839="",0,IF(OR(H2839=MappingTables!$C$34,H2839=MappingTables!$C$35),W2839,0))</f>
        <v>0</v>
      </c>
    </row>
    <row r="2840" spans="2:24" s="0" customFormat="0" ht="15">
      <c r="B2840" s="69" t="s">
        <v>2621</v>
      </c>
      <c r="C2840" s="70" t="s">
        <v>2622</v>
      </c>
      <c r="D2840" s="70" t="s">
        <v>1</v>
      </c>
      <c r="E2840" s="70" t="s">
        <v>1</v>
      </c>
      <c r="F2840" s="70"/>
      <c r="G2840" s="70" t="s">
        <v>61</v>
      </c>
      <c r="H2840" s="70" t="s">
        <v>178</v>
      </c>
      <c r="I2840" s="70" t="s">
        <v>184</v>
      </c>
      <c r="J2840" s="71">
        <f>IF(OR(I2840=0,I2840=""),"unrated",VLOOKUP(I2840,MappingTables!$B$19:$C$31,2,FALSE))</f>
        <v>5</v>
      </c>
      <c r="K2840" s="72">
        <v>445.14116492143048</v>
      </c>
      <c r="L2840" s="70">
        <v>3.205079612817512</v>
      </c>
      <c r="M2840" s="71">
        <f>IF(L2840&lt;1,1,L2840)</f>
        <v>3.205079612817512</v>
      </c>
      <c r="N2840" s="70" t="s">
        <v>141</v>
      </c>
      <c r="O2840" s="71">
        <f>INDEX(DurClassMapping,MATCH(M2840,MappingTables!$D$4:$D$8,-1),1)</f>
        <v>1</v>
      </c>
      <c r="P2840" s="73">
        <f>IF(M2840=$A$1,1,$M2840-INDEX(MappingTables!$E$4:$E$8,MATCH(O2840,MappingTables!$B$4:$B$8,0)))</f>
        <v>3.205079612817512</v>
      </c>
      <c r="Q2840" s="71">
        <f>IF(B2840="",0,INDEX(ModelParameters!$D$6:$K$10,MATCH($O2840,ModelParameters!$B$6:$B$10,0),MATCH($J2840,ModelParameters!$D$5:$K$5,0)))</f>
        <v>0.075</v>
      </c>
      <c r="R2840" s="71">
        <f>IF(B2840="",0,INDEX(ModelParameters!$D$13:$K$17,MATCH($O2840,ModelParameters!$B$13:$B$17,0),MATCH($J2840,ModelParameters!$D$5:$K$5,0)))</f>
        <v>0</v>
      </c>
      <c r="S2840" s="160">
        <f>IF(B2840="",0,MIN(IF($N2840="Other Bond TM",ModelParameters!$N$21,1)*(P2840*Q2840+R2840),1))</f>
        <v>0.2403809709613134</v>
      </c>
      <c r="T2840" s="85">
        <f>IF(B2840="",0,$S2840*$K2840)</f>
        <v>107.0034654386636</v>
      </c>
      <c r="U2840" s="85">
        <f>IF(B2840="",0,IF(OR(H2840=MappingTables!$C$34,H2840=MappingTables!$C$35),T2840,0))</f>
        <v>0</v>
      </c>
      <c r="V2840" s="85">
        <f>IF(ISNA(IF(AND(VLOOKUP(CONCATENATE($D2840,$G2840),CSRFinput!$B:$E,4,0)=0,OR(H2840=MappingTables!$C$34,H2840=MappingTables!$C$35)),1,VLOOKUP(CONCATENATE($D2840,$G2840),CSRFinput!$B:$E,4,0))),0,IF(AND(VLOOKUP(CONCATENATE($D2840,$G2840),CSRFinput!$B:$E,4,0)=0,OR(H2840=MappingTables!$C$34,H2840=MappingTables!$C$35)),1,VLOOKUP(CONCATENATE($D2840,$G2840),CSRFinput!$B:$E,4,0)))</f>
        <v>0.054776304963434752</v>
      </c>
      <c r="W2840" s="85">
        <f>IF(B2840="",0,+$T2840*$V2840)</f>
        <v>5.861254455012588</v>
      </c>
      <c r="X2840" s="85">
        <f>IF(B2840="",0,IF(OR(H2840=MappingTables!$C$34,H2840=MappingTables!$C$35),W2840,0))</f>
        <v>0</v>
      </c>
    </row>
    <row r="2841" spans="2:24" s="0" customFormat="0" ht="15">
      <c r="B2841" s="69">
        <v>20810865</v>
      </c>
      <c r="C2841" s="70" t="s">
        <v>2623</v>
      </c>
      <c r="D2841" s="70" t="s">
        <v>1</v>
      </c>
      <c r="E2841" s="70" t="s">
        <v>1</v>
      </c>
      <c r="F2841" s="70"/>
      <c r="G2841" s="70" t="s">
        <v>61</v>
      </c>
      <c r="H2841" s="70" t="s">
        <v>178</v>
      </c>
      <c r="I2841" s="70" t="s">
        <v>181</v>
      </c>
      <c r="J2841" s="71">
        <f>IF(OR(I2841=0,I2841=""),"unrated",VLOOKUP(I2841,MappingTables!$B$19:$C$31,2,FALSE))</f>
        <v>3</v>
      </c>
      <c r="K2841" s="72">
        <v>1216.1792246619184</v>
      </c>
      <c r="L2841" s="70">
        <v>7.164321997744684</v>
      </c>
      <c r="M2841" s="71">
        <f>IF(L2841&lt;1,1,L2841)</f>
        <v>7.164321997744684</v>
      </c>
      <c r="N2841" s="70" t="s">
        <v>141</v>
      </c>
      <c r="O2841" s="71">
        <f>INDEX(DurClassMapping,MATCH(M2841,MappingTables!$D$4:$D$8,-1),1)</f>
        <v>2</v>
      </c>
      <c r="P2841" s="73">
        <f>IF(M2841=$A$1,1,$M2841-INDEX(MappingTables!$E$4:$E$8,MATCH(O2841,MappingTables!$B$4:$B$8,0)))</f>
        <v>2.1643219977446844</v>
      </c>
      <c r="Q2841" s="71">
        <f>IF(B2841="",0,INDEX(ModelParameters!$D$6:$K$10,MATCH($O2841,ModelParameters!$B$6:$B$10,0),MATCH($J2841,ModelParameters!$D$5:$K$5,0)))</f>
        <v>0.015</v>
      </c>
      <c r="R2841" s="71">
        <f>IF(B2841="",0,INDEX(ModelParameters!$D$13:$K$17,MATCH($O2841,ModelParameters!$B$13:$B$17,0),MATCH($J2841,ModelParameters!$D$5:$K$5,0)))</f>
        <v>0.125</v>
      </c>
      <c r="S2841" s="160">
        <f>IF(B2841="",0,MIN(IF($N2841="Other Bond TM",ModelParameters!$N$21,1)*(P2841*Q2841+R2841),1))</f>
        <v>0.15746482996617026</v>
      </c>
      <c r="T2841" s="85">
        <f>IF(B2841="",0,$S2841*$K2841)</f>
        <v>191.50545481977776</v>
      </c>
      <c r="U2841" s="85">
        <f>IF(B2841="",0,IF(OR(H2841=MappingTables!$C$34,H2841=MappingTables!$C$35),T2841,0))</f>
        <v>0</v>
      </c>
      <c r="V2841" s="85">
        <f>IF(ISNA(IF(AND(VLOOKUP(CONCATENATE($D2841,$G2841),CSRFinput!$B:$E,4,0)=0,OR(H2841=MappingTables!$C$34,H2841=MappingTables!$C$35)),1,VLOOKUP(CONCATENATE($D2841,$G2841),CSRFinput!$B:$E,4,0))),0,IF(AND(VLOOKUP(CONCATENATE($D2841,$G2841),CSRFinput!$B:$E,4,0)=0,OR(H2841=MappingTables!$C$34,H2841=MappingTables!$C$35)),1,VLOOKUP(CONCATENATE($D2841,$G2841),CSRFinput!$B:$E,4,0)))</f>
        <v>0.054776304963434752</v>
      </c>
      <c r="W2841" s="85">
        <f>IF(B2841="",0,+$T2841*$V2841)</f>
        <v>10.489961195369422</v>
      </c>
      <c r="X2841" s="85">
        <f>IF(B2841="",0,IF(OR(H2841=MappingTables!$C$34,H2841=MappingTables!$C$35),W2841,0))</f>
        <v>0</v>
      </c>
    </row>
    <row r="2842" spans="2:24" s="0" customFormat="0" ht="15">
      <c r="B2842" s="69">
        <v>14942238</v>
      </c>
      <c r="C2842" s="70" t="s">
        <v>2624</v>
      </c>
      <c r="D2842" s="70" t="s">
        <v>1</v>
      </c>
      <c r="E2842" s="70" t="s">
        <v>1</v>
      </c>
      <c r="F2842" s="70"/>
      <c r="G2842" s="70" t="s">
        <v>61</v>
      </c>
      <c r="H2842" s="70" t="s">
        <v>178</v>
      </c>
      <c r="I2842" s="70" t="s">
        <v>184</v>
      </c>
      <c r="J2842" s="71">
        <f>IF(OR(I2842=0,I2842=""),"unrated",VLOOKUP(I2842,MappingTables!$B$19:$C$31,2,FALSE))</f>
        <v>5</v>
      </c>
      <c r="K2842" s="72">
        <v>330.85119062598268</v>
      </c>
      <c r="L2842" s="70">
        <v>2.0414020182169104</v>
      </c>
      <c r="M2842" s="71">
        <f>IF(L2842&lt;1,1,L2842)</f>
        <v>2.0414020182169104</v>
      </c>
      <c r="N2842" s="70" t="s">
        <v>141</v>
      </c>
      <c r="O2842" s="71">
        <f>INDEX(DurClassMapping,MATCH(M2842,MappingTables!$D$4:$D$8,-1),1)</f>
        <v>1</v>
      </c>
      <c r="P2842" s="73">
        <f>IF(M2842=$A$1,1,$M2842-INDEX(MappingTables!$E$4:$E$8,MATCH(O2842,MappingTables!$B$4:$B$8,0)))</f>
        <v>2.0414020182169104</v>
      </c>
      <c r="Q2842" s="71">
        <f>IF(B2842="",0,INDEX(ModelParameters!$D$6:$K$10,MATCH($O2842,ModelParameters!$B$6:$B$10,0),MATCH($J2842,ModelParameters!$D$5:$K$5,0)))</f>
        <v>0.075</v>
      </c>
      <c r="R2842" s="71">
        <f>IF(B2842="",0,INDEX(ModelParameters!$D$13:$K$17,MATCH($O2842,ModelParameters!$B$13:$B$17,0),MATCH($J2842,ModelParameters!$D$5:$K$5,0)))</f>
        <v>0</v>
      </c>
      <c r="S2842" s="160">
        <f>IF(B2842="",0,MIN(IF($N2842="Other Bond TM",ModelParameters!$N$21,1)*(P2842*Q2842+R2842),1))</f>
        <v>0.15310515136626826</v>
      </c>
      <c r="T2842" s="85">
        <f>IF(B2842="",0,$S2842*$K2842)</f>
        <v>50.655021620501152</v>
      </c>
      <c r="U2842" s="85">
        <f>IF(B2842="",0,IF(OR(H2842=MappingTables!$C$34,H2842=MappingTables!$C$35),T2842,0))</f>
        <v>0</v>
      </c>
      <c r="V2842" s="85">
        <f>IF(ISNA(IF(AND(VLOOKUP(CONCATENATE($D2842,$G2842),CSRFinput!$B:$E,4,0)=0,OR(H2842=MappingTables!$C$34,H2842=MappingTables!$C$35)),1,VLOOKUP(CONCATENATE($D2842,$G2842),CSRFinput!$B:$E,4,0))),0,IF(AND(VLOOKUP(CONCATENATE($D2842,$G2842),CSRFinput!$B:$E,4,0)=0,OR(H2842=MappingTables!$C$34,H2842=MappingTables!$C$35)),1,VLOOKUP(CONCATENATE($D2842,$G2842),CSRFinput!$B:$E,4,0)))</f>
        <v>0.054776304963434752</v>
      </c>
      <c r="W2842" s="85">
        <f>IF(B2842="",0,+$T2842*$V2842)</f>
        <v>2.774694912213952</v>
      </c>
      <c r="X2842" s="85">
        <f>IF(B2842="",0,IF(OR(H2842=MappingTables!$C$34,H2842=MappingTables!$C$35),W2842,0))</f>
        <v>0</v>
      </c>
    </row>
    <row r="2843" spans="2:24" s="0" customFormat="0" ht="15">
      <c r="B2843" s="69">
        <v>21105300</v>
      </c>
      <c r="C2843" s="70" t="s">
        <v>2625</v>
      </c>
      <c r="D2843" s="70" t="s">
        <v>1</v>
      </c>
      <c r="E2843" s="70" t="s">
        <v>1</v>
      </c>
      <c r="F2843" s="70"/>
      <c r="G2843" s="70" t="s">
        <v>61</v>
      </c>
      <c r="H2843" s="70" t="s">
        <v>178</v>
      </c>
      <c r="I2843" s="70" t="s">
        <v>181</v>
      </c>
      <c r="J2843" s="71">
        <f>IF(OR(I2843=0,I2843=""),"unrated",VLOOKUP(I2843,MappingTables!$B$19:$C$31,2,FALSE))</f>
        <v>3</v>
      </c>
      <c r="K2843" s="72">
        <v>4613.9129453791608</v>
      </c>
      <c r="L2843" s="70">
        <v>0.087671934478323536</v>
      </c>
      <c r="M2843" s="71">
        <f>IF(L2843&lt;1,1,L2843)</f>
        <v>1</v>
      </c>
      <c r="N2843" s="70" t="s">
        <v>141</v>
      </c>
      <c r="O2843" s="71">
        <f>INDEX(DurClassMapping,MATCH(M2843,MappingTables!$D$4:$D$8,-1),1)</f>
        <v>1</v>
      </c>
      <c r="P2843" s="73">
        <f>IF(M2843=$A$1,1,$M2843-INDEX(MappingTables!$E$4:$E$8,MATCH(O2843,MappingTables!$B$4:$B$8,0)))</f>
        <v>1</v>
      </c>
      <c r="Q2843" s="71">
        <f>IF(B2843="",0,INDEX(ModelParameters!$D$6:$K$10,MATCH($O2843,ModelParameters!$B$6:$B$10,0),MATCH($J2843,ModelParameters!$D$5:$K$5,0)))</f>
        <v>0.025</v>
      </c>
      <c r="R2843" s="71">
        <f>IF(B2843="",0,INDEX(ModelParameters!$D$13:$K$17,MATCH($O2843,ModelParameters!$B$13:$B$17,0),MATCH($J2843,ModelParameters!$D$5:$K$5,0)))</f>
        <v>0</v>
      </c>
      <c r="S2843" s="160">
        <f>IF(B2843="",0,MIN(IF($N2843="Other Bond TM",ModelParameters!$N$21,1)*(P2843*Q2843+R2843),1))</f>
        <v>0.025</v>
      </c>
      <c r="T2843" s="85">
        <f>IF(B2843="",0,$S2843*$K2843)</f>
        <v>115.34782363447902</v>
      </c>
      <c r="U2843" s="85">
        <f>IF(B2843="",0,IF(OR(H2843=MappingTables!$C$34,H2843=MappingTables!$C$35),T2843,0))</f>
        <v>0</v>
      </c>
      <c r="V2843" s="85">
        <f>IF(ISNA(IF(AND(VLOOKUP(CONCATENATE($D2843,$G2843),CSRFinput!$B:$E,4,0)=0,OR(H2843=MappingTables!$C$34,H2843=MappingTables!$C$35)),1,VLOOKUP(CONCATENATE($D2843,$G2843),CSRFinput!$B:$E,4,0))),0,IF(AND(VLOOKUP(CONCATENATE($D2843,$G2843),CSRFinput!$B:$E,4,0)=0,OR(H2843=MappingTables!$C$34,H2843=MappingTables!$C$35)),1,VLOOKUP(CONCATENATE($D2843,$G2843),CSRFinput!$B:$E,4,0)))</f>
        <v>0.054776304963434752</v>
      </c>
      <c r="W2843" s="85">
        <f>IF(B2843="",0,+$T2843*$V2843)</f>
        <v>6.3183275642707104</v>
      </c>
      <c r="X2843" s="85">
        <f>IF(B2843="",0,IF(OR(H2843=MappingTables!$C$34,H2843=MappingTables!$C$35),W2843,0))</f>
        <v>0</v>
      </c>
    </row>
    <row r="2844" spans="2:24" s="0" customFormat="0" ht="15">
      <c r="B2844" s="69" t="s">
        <v>1511</v>
      </c>
      <c r="C2844" s="70" t="s">
        <v>1512</v>
      </c>
      <c r="D2844" s="70" t="s">
        <v>1</v>
      </c>
      <c r="E2844" s="70" t="s">
        <v>1</v>
      </c>
      <c r="F2844" s="70"/>
      <c r="G2844" s="70" t="s">
        <v>61</v>
      </c>
      <c r="H2844" s="70" t="s">
        <v>178</v>
      </c>
      <c r="I2844" s="70" t="s">
        <v>179</v>
      </c>
      <c r="J2844" s="71">
        <f>IF(OR(I2844=0,I2844=""),"unrated",VLOOKUP(I2844,MappingTables!$B$19:$C$31,2,FALSE))</f>
        <v>4</v>
      </c>
      <c r="K2844" s="72">
        <v>8850.23880496248</v>
      </c>
      <c r="L2844" s="70">
        <v>2.9551150299474072</v>
      </c>
      <c r="M2844" s="71">
        <f>IF(L2844&lt;1,1,L2844)</f>
        <v>2.9551150299474072</v>
      </c>
      <c r="N2844" s="70" t="s">
        <v>141</v>
      </c>
      <c r="O2844" s="71">
        <f>INDEX(DurClassMapping,MATCH(M2844,MappingTables!$D$4:$D$8,-1),1)</f>
        <v>1</v>
      </c>
      <c r="P2844" s="73">
        <f>IF(M2844=$A$1,1,$M2844-INDEX(MappingTables!$E$4:$E$8,MATCH(O2844,MappingTables!$B$4:$B$8,0)))</f>
        <v>2.9551150299474072</v>
      </c>
      <c r="Q2844" s="71">
        <f>IF(B2844="",0,INDEX(ModelParameters!$D$6:$K$10,MATCH($O2844,ModelParameters!$B$6:$B$10,0),MATCH($J2844,ModelParameters!$D$5:$K$5,0)))</f>
        <v>0.045</v>
      </c>
      <c r="R2844" s="71">
        <f>IF(B2844="",0,INDEX(ModelParameters!$D$13:$K$17,MATCH($O2844,ModelParameters!$B$13:$B$17,0),MATCH($J2844,ModelParameters!$D$5:$K$5,0)))</f>
        <v>0</v>
      </c>
      <c r="S2844" s="160">
        <f>IF(B2844="",0,MIN(IF($N2844="Other Bond TM",ModelParameters!$N$21,1)*(P2844*Q2844+R2844),1))</f>
        <v>0.13298017634763332</v>
      </c>
      <c r="T2844" s="85">
        <f>IF(B2844="",0,$S2844*$K2844)</f>
        <v>1176.9063170025782</v>
      </c>
      <c r="U2844" s="85">
        <f>IF(B2844="",0,IF(OR(H2844=MappingTables!$C$34,H2844=MappingTables!$C$35),T2844,0))</f>
        <v>0</v>
      </c>
      <c r="V2844" s="85">
        <f>IF(ISNA(IF(AND(VLOOKUP(CONCATENATE($D2844,$G2844),CSRFinput!$B:$E,4,0)=0,OR(H2844=MappingTables!$C$34,H2844=MappingTables!$C$35)),1,VLOOKUP(CONCATENATE($D2844,$G2844),CSRFinput!$B:$E,4,0))),0,IF(AND(VLOOKUP(CONCATENATE($D2844,$G2844),CSRFinput!$B:$E,4,0)=0,OR(H2844=MappingTables!$C$34,H2844=MappingTables!$C$35)),1,VLOOKUP(CONCATENATE($D2844,$G2844),CSRFinput!$B:$E,4,0)))</f>
        <v>0.054776304963434752</v>
      </c>
      <c r="W2844" s="85">
        <f>IF(B2844="",0,+$T2844*$V2844)</f>
        <v>64.46657933352604</v>
      </c>
      <c r="X2844" s="85">
        <f>IF(B2844="",0,IF(OR(H2844=MappingTables!$C$34,H2844=MappingTables!$C$35),W2844,0))</f>
        <v>0</v>
      </c>
    </row>
    <row r="2845" spans="2:24" s="0" customFormat="0" ht="15">
      <c r="B2845" s="69">
        <v>23625022</v>
      </c>
      <c r="C2845" s="70" t="s">
        <v>2505</v>
      </c>
      <c r="D2845" s="70" t="s">
        <v>1</v>
      </c>
      <c r="E2845" s="70" t="s">
        <v>1</v>
      </c>
      <c r="F2845" s="70"/>
      <c r="G2845" s="70" t="s">
        <v>61</v>
      </c>
      <c r="H2845" s="70" t="s">
        <v>178</v>
      </c>
      <c r="I2845" s="70" t="s">
        <v>188</v>
      </c>
      <c r="J2845" s="71">
        <f>IF(OR(I2845=0,I2845=""),"unrated",VLOOKUP(I2845,MappingTables!$B$19:$C$31,2,FALSE))</f>
        <v>2</v>
      </c>
      <c r="K2845" s="72">
        <v>915.04069721658368</v>
      </c>
      <c r="L2845" s="70">
        <v>1.4907507556304092</v>
      </c>
      <c r="M2845" s="71">
        <f>IF(L2845&lt;1,1,L2845)</f>
        <v>1.4907507556304092</v>
      </c>
      <c r="N2845" s="70" t="s">
        <v>141</v>
      </c>
      <c r="O2845" s="71">
        <f>INDEX(DurClassMapping,MATCH(M2845,MappingTables!$D$4:$D$8,-1),1)</f>
        <v>1</v>
      </c>
      <c r="P2845" s="73">
        <f>IF(M2845=$A$1,1,$M2845-INDEX(MappingTables!$E$4:$E$8,MATCH(O2845,MappingTables!$B$4:$B$8,0)))</f>
        <v>1.4907507556304092</v>
      </c>
      <c r="Q2845" s="71">
        <f>IF(B2845="",0,INDEX(ModelParameters!$D$6:$K$10,MATCH($O2845,ModelParameters!$B$6:$B$10,0),MATCH($J2845,ModelParameters!$D$5:$K$5,0)))</f>
        <v>0.013999999999999998</v>
      </c>
      <c r="R2845" s="71">
        <f>IF(B2845="",0,INDEX(ModelParameters!$D$13:$K$17,MATCH($O2845,ModelParameters!$B$13:$B$17,0),MATCH($J2845,ModelParameters!$D$5:$K$5,0)))</f>
        <v>0</v>
      </c>
      <c r="S2845" s="160">
        <f>IF(B2845="",0,MIN(IF($N2845="Other Bond TM",ModelParameters!$N$21,1)*(P2845*Q2845+R2845),1))</f>
        <v>0.020870510578825724</v>
      </c>
      <c r="T2845" s="85">
        <f>IF(B2845="",0,$S2845*$K2845)</f>
        <v>19.097366551314776</v>
      </c>
      <c r="U2845" s="85">
        <f>IF(B2845="",0,IF(OR(H2845=MappingTables!$C$34,H2845=MappingTables!$C$35),T2845,0))</f>
        <v>0</v>
      </c>
      <c r="V2845" s="85">
        <f>IF(ISNA(IF(AND(VLOOKUP(CONCATENATE($D2845,$G2845),CSRFinput!$B:$E,4,0)=0,OR(H2845=MappingTables!$C$34,H2845=MappingTables!$C$35)),1,VLOOKUP(CONCATENATE($D2845,$G2845),CSRFinput!$B:$E,4,0))),0,IF(AND(VLOOKUP(CONCATENATE($D2845,$G2845),CSRFinput!$B:$E,4,0)=0,OR(H2845=MappingTables!$C$34,H2845=MappingTables!$C$35)),1,VLOOKUP(CONCATENATE($D2845,$G2845),CSRFinput!$B:$E,4,0)))</f>
        <v>0.054776304963434752</v>
      </c>
      <c r="W2845" s="85">
        <f>IF(B2845="",0,+$T2845*$V2845)</f>
        <v>1.0460831742133166</v>
      </c>
      <c r="X2845" s="85">
        <f>IF(B2845="",0,IF(OR(H2845=MappingTables!$C$34,H2845=MappingTables!$C$35),W2845,0))</f>
        <v>0</v>
      </c>
    </row>
    <row r="2846" spans="2:24" s="0" customFormat="0" ht="15">
      <c r="B2846" s="69">
        <v>22892551</v>
      </c>
      <c r="C2846" s="70" t="s">
        <v>659</v>
      </c>
      <c r="D2846" s="70" t="s">
        <v>1</v>
      </c>
      <c r="E2846" s="70" t="s">
        <v>1</v>
      </c>
      <c r="F2846" s="70"/>
      <c r="G2846" s="70" t="s">
        <v>61</v>
      </c>
      <c r="H2846" s="70" t="s">
        <v>178</v>
      </c>
      <c r="I2846" s="70" t="s">
        <v>181</v>
      </c>
      <c r="J2846" s="71">
        <f>IF(OR(I2846=0,I2846=""),"unrated",VLOOKUP(I2846,MappingTables!$B$19:$C$31,2,FALSE))</f>
        <v>3</v>
      </c>
      <c r="K2846" s="72">
        <v>7962.1442877556352</v>
      </c>
      <c r="L2846" s="70">
        <v>8.4679031631569264</v>
      </c>
      <c r="M2846" s="71">
        <f>IF(L2846&lt;1,1,L2846)</f>
        <v>8.4679031631569264</v>
      </c>
      <c r="N2846" s="70" t="s">
        <v>141</v>
      </c>
      <c r="O2846" s="71">
        <f>INDEX(DurClassMapping,MATCH(M2846,MappingTables!$D$4:$D$8,-1),1)</f>
        <v>2</v>
      </c>
      <c r="P2846" s="73">
        <f>IF(M2846=$A$1,1,$M2846-INDEX(MappingTables!$E$4:$E$8,MATCH(O2846,MappingTables!$B$4:$B$8,0)))</f>
        <v>3.467903163156926</v>
      </c>
      <c r="Q2846" s="71">
        <f>IF(B2846="",0,INDEX(ModelParameters!$D$6:$K$10,MATCH($O2846,ModelParameters!$B$6:$B$10,0),MATCH($J2846,ModelParameters!$D$5:$K$5,0)))</f>
        <v>0.015</v>
      </c>
      <c r="R2846" s="71">
        <f>IF(B2846="",0,INDEX(ModelParameters!$D$13:$K$17,MATCH($O2846,ModelParameters!$B$13:$B$17,0),MATCH($J2846,ModelParameters!$D$5:$K$5,0)))</f>
        <v>0.125</v>
      </c>
      <c r="S2846" s="160">
        <f>IF(B2846="",0,MIN(IF($N2846="Other Bond TM",ModelParameters!$N$21,1)*(P2846*Q2846+R2846),1))</f>
        <v>0.1770185474473539</v>
      </c>
      <c r="T2846" s="85">
        <f>IF(B2846="",0,$S2846*$K2846)</f>
        <v>1409.4472163847486</v>
      </c>
      <c r="U2846" s="85">
        <f>IF(B2846="",0,IF(OR(H2846=MappingTables!$C$34,H2846=MappingTables!$C$35),T2846,0))</f>
        <v>0</v>
      </c>
      <c r="V2846" s="85">
        <f>IF(ISNA(IF(AND(VLOOKUP(CONCATENATE($D2846,$G2846),CSRFinput!$B:$E,4,0)=0,OR(H2846=MappingTables!$C$34,H2846=MappingTables!$C$35)),1,VLOOKUP(CONCATENATE($D2846,$G2846),CSRFinput!$B:$E,4,0))),0,IF(AND(VLOOKUP(CONCATENATE($D2846,$G2846),CSRFinput!$B:$E,4,0)=0,OR(H2846=MappingTables!$C$34,H2846=MappingTables!$C$35)),1,VLOOKUP(CONCATENATE($D2846,$G2846),CSRFinput!$B:$E,4,0)))</f>
        <v>0.054776304963434752</v>
      </c>
      <c r="W2846" s="85">
        <f>IF(B2846="",0,+$T2846*$V2846)</f>
        <v>77.2043105545552</v>
      </c>
      <c r="X2846" s="85">
        <f>IF(B2846="",0,IF(OR(H2846=MappingTables!$C$34,H2846=MappingTables!$C$35),W2846,0))</f>
        <v>0</v>
      </c>
    </row>
    <row r="2847" spans="2:24" s="0" customFormat="0" ht="15">
      <c r="B2847" s="69" t="s">
        <v>761</v>
      </c>
      <c r="C2847" s="70" t="s">
        <v>762</v>
      </c>
      <c r="D2847" s="70" t="s">
        <v>1</v>
      </c>
      <c r="E2847" s="70" t="s">
        <v>1</v>
      </c>
      <c r="F2847" s="70"/>
      <c r="G2847" s="70" t="s">
        <v>61</v>
      </c>
      <c r="H2847" s="70" t="s">
        <v>178</v>
      </c>
      <c r="I2847" s="70" t="s">
        <v>188</v>
      </c>
      <c r="J2847" s="71">
        <f>IF(OR(I2847=0,I2847=""),"unrated",VLOOKUP(I2847,MappingTables!$B$19:$C$31,2,FALSE))</f>
        <v>2</v>
      </c>
      <c r="K2847" s="72">
        <v>28.851387200084348</v>
      </c>
      <c r="L2847" s="70">
        <v>2.5683996127000616</v>
      </c>
      <c r="M2847" s="71">
        <f>IF(L2847&lt;1,1,L2847)</f>
        <v>2.5683996127000616</v>
      </c>
      <c r="N2847" s="70" t="s">
        <v>141</v>
      </c>
      <c r="O2847" s="71">
        <f>INDEX(DurClassMapping,MATCH(M2847,MappingTables!$D$4:$D$8,-1),1)</f>
        <v>1</v>
      </c>
      <c r="P2847" s="73">
        <f>IF(M2847=$A$1,1,$M2847-INDEX(MappingTables!$E$4:$E$8,MATCH(O2847,MappingTables!$B$4:$B$8,0)))</f>
        <v>2.5683996127000616</v>
      </c>
      <c r="Q2847" s="71">
        <f>IF(B2847="",0,INDEX(ModelParameters!$D$6:$K$10,MATCH($O2847,ModelParameters!$B$6:$B$10,0),MATCH($J2847,ModelParameters!$D$5:$K$5,0)))</f>
        <v>0.013999999999999998</v>
      </c>
      <c r="R2847" s="71">
        <f>IF(B2847="",0,INDEX(ModelParameters!$D$13:$K$17,MATCH($O2847,ModelParameters!$B$13:$B$17,0),MATCH($J2847,ModelParameters!$D$5:$K$5,0)))</f>
        <v>0</v>
      </c>
      <c r="S2847" s="160">
        <f>IF(B2847="",0,MIN(IF($N2847="Other Bond TM",ModelParameters!$N$21,1)*(P2847*Q2847+R2847),1))</f>
        <v>0.03595759457780086</v>
      </c>
      <c r="T2847" s="85">
        <f>IF(B2847="",0,$S2847*$K2847)</f>
        <v>1.037426483947786</v>
      </c>
      <c r="U2847" s="85">
        <f>IF(B2847="",0,IF(OR(H2847=MappingTables!$C$34,H2847=MappingTables!$C$35),T2847,0))</f>
        <v>0</v>
      </c>
      <c r="V2847" s="85">
        <f>IF(ISNA(IF(AND(VLOOKUP(CONCATENATE($D2847,$G2847),CSRFinput!$B:$E,4,0)=0,OR(H2847=MappingTables!$C$34,H2847=MappingTables!$C$35)),1,VLOOKUP(CONCATENATE($D2847,$G2847),CSRFinput!$B:$E,4,0))),0,IF(AND(VLOOKUP(CONCATENATE($D2847,$G2847),CSRFinput!$B:$E,4,0)=0,OR(H2847=MappingTables!$C$34,H2847=MappingTables!$C$35)),1,VLOOKUP(CONCATENATE($D2847,$G2847),CSRFinput!$B:$E,4,0)))</f>
        <v>0.054776304963434752</v>
      </c>
      <c r="W2847" s="85">
        <f>IF(B2847="",0,+$T2847*$V2847)</f>
        <v>0.056826389461867776</v>
      </c>
      <c r="X2847" s="85">
        <f>IF(B2847="",0,IF(OR(H2847=MappingTables!$C$34,H2847=MappingTables!$C$35),W2847,0))</f>
        <v>0</v>
      </c>
    </row>
    <row r="2848" spans="2:24" s="0" customFormat="0" ht="15">
      <c r="B2848" s="69" t="s">
        <v>1615</v>
      </c>
      <c r="C2848" s="70" t="s">
        <v>1616</v>
      </c>
      <c r="D2848" s="70" t="s">
        <v>1</v>
      </c>
      <c r="E2848" s="70" t="s">
        <v>1</v>
      </c>
      <c r="F2848" s="70"/>
      <c r="G2848" s="70" t="s">
        <v>61</v>
      </c>
      <c r="H2848" s="70" t="s">
        <v>178</v>
      </c>
      <c r="I2848" s="70" t="s">
        <v>184</v>
      </c>
      <c r="J2848" s="71">
        <f>IF(OR(I2848=0,I2848=""),"unrated",VLOOKUP(I2848,MappingTables!$B$19:$C$31,2,FALSE))</f>
        <v>5</v>
      </c>
      <c r="K2848" s="72">
        <v>632.09856732308368</v>
      </c>
      <c r="L2848" s="70">
        <v>0.837586858312092</v>
      </c>
      <c r="M2848" s="71">
        <f>IF(L2848&lt;1,1,L2848)</f>
        <v>1</v>
      </c>
      <c r="N2848" s="70" t="s">
        <v>141</v>
      </c>
      <c r="O2848" s="71">
        <f>INDEX(DurClassMapping,MATCH(M2848,MappingTables!$D$4:$D$8,-1),1)</f>
        <v>1</v>
      </c>
      <c r="P2848" s="73">
        <f>IF(M2848=$A$1,1,$M2848-INDEX(MappingTables!$E$4:$E$8,MATCH(O2848,MappingTables!$B$4:$B$8,0)))</f>
        <v>1</v>
      </c>
      <c r="Q2848" s="71">
        <f>IF(B2848="",0,INDEX(ModelParameters!$D$6:$K$10,MATCH($O2848,ModelParameters!$B$6:$B$10,0),MATCH($J2848,ModelParameters!$D$5:$K$5,0)))</f>
        <v>0.075</v>
      </c>
      <c r="R2848" s="71">
        <f>IF(B2848="",0,INDEX(ModelParameters!$D$13:$K$17,MATCH($O2848,ModelParameters!$B$13:$B$17,0),MATCH($J2848,ModelParameters!$D$5:$K$5,0)))</f>
        <v>0</v>
      </c>
      <c r="S2848" s="160">
        <f>IF(B2848="",0,MIN(IF($N2848="Other Bond TM",ModelParameters!$N$21,1)*(P2848*Q2848+R2848),1))</f>
        <v>0.075</v>
      </c>
      <c r="T2848" s="85">
        <f>IF(B2848="",0,$S2848*$K2848)</f>
        <v>47.407392549231272</v>
      </c>
      <c r="U2848" s="85">
        <f>IF(B2848="",0,IF(OR(H2848=MappingTables!$C$34,H2848=MappingTables!$C$35),T2848,0))</f>
        <v>0</v>
      </c>
      <c r="V2848" s="85">
        <f>IF(ISNA(IF(AND(VLOOKUP(CONCATENATE($D2848,$G2848),CSRFinput!$B:$E,4,0)=0,OR(H2848=MappingTables!$C$34,H2848=MappingTables!$C$35)),1,VLOOKUP(CONCATENATE($D2848,$G2848),CSRFinput!$B:$E,4,0))),0,IF(AND(VLOOKUP(CONCATENATE($D2848,$G2848),CSRFinput!$B:$E,4,0)=0,OR(H2848=MappingTables!$C$34,H2848=MappingTables!$C$35)),1,VLOOKUP(CONCATENATE($D2848,$G2848),CSRFinput!$B:$E,4,0)))</f>
        <v>0.054776304963434752</v>
      </c>
      <c r="W2848" s="85">
        <f>IF(B2848="",0,+$T2848*$V2848)</f>
        <v>2.5968017917979568</v>
      </c>
      <c r="X2848" s="85">
        <f>IF(B2848="",0,IF(OR(H2848=MappingTables!$C$34,H2848=MappingTables!$C$35),W2848,0))</f>
        <v>0</v>
      </c>
    </row>
    <row r="2849" spans="2:24" s="0" customFormat="0" ht="15">
      <c r="B2849" s="69" t="s">
        <v>1274</v>
      </c>
      <c r="C2849" s="70" t="s">
        <v>1275</v>
      </c>
      <c r="D2849" s="70" t="s">
        <v>1</v>
      </c>
      <c r="E2849" s="70" t="s">
        <v>1</v>
      </c>
      <c r="F2849" s="70"/>
      <c r="G2849" s="70" t="s">
        <v>61</v>
      </c>
      <c r="H2849" s="70" t="s">
        <v>178</v>
      </c>
      <c r="I2849" s="70" t="s">
        <v>216</v>
      </c>
      <c r="J2849" s="71">
        <f>IF(OR(I2849=0,I2849=""),"unrated",VLOOKUP(I2849,MappingTables!$B$19:$C$31,2,FALSE))</f>
        <v>0</v>
      </c>
      <c r="K2849" s="72">
        <v>3891.1733061620464</v>
      </c>
      <c r="L2849" s="70">
        <v>0.44372013362713</v>
      </c>
      <c r="M2849" s="71">
        <f>IF(L2849&lt;1,1,L2849)</f>
        <v>1</v>
      </c>
      <c r="N2849" s="70" t="s">
        <v>141</v>
      </c>
      <c r="O2849" s="71">
        <f>INDEX(DurClassMapping,MATCH(M2849,MappingTables!$D$4:$D$8,-1),1)</f>
        <v>1</v>
      </c>
      <c r="P2849" s="73">
        <f>IF(M2849=$A$1,1,$M2849-INDEX(MappingTables!$E$4:$E$8,MATCH(O2849,MappingTables!$B$4:$B$8,0)))</f>
        <v>1</v>
      </c>
      <c r="Q2849" s="71">
        <f>IF(B2849="",0,INDEX(ModelParameters!$D$6:$K$10,MATCH($O2849,ModelParameters!$B$6:$B$10,0),MATCH($J2849,ModelParameters!$D$5:$K$5,0)))</f>
        <v>0.0090000000000000016</v>
      </c>
      <c r="R2849" s="71">
        <f>IF(B2849="",0,INDEX(ModelParameters!$D$13:$K$17,MATCH($O2849,ModelParameters!$B$13:$B$17,0),MATCH($J2849,ModelParameters!$D$5:$K$5,0)))</f>
        <v>0</v>
      </c>
      <c r="S2849" s="160">
        <f>IF(B2849="",0,MIN(IF($N2849="Other Bond TM",ModelParameters!$N$21,1)*(P2849*Q2849+R2849),1))</f>
        <v>0.0090000000000000016</v>
      </c>
      <c r="T2849" s="85">
        <f>IF(B2849="",0,$S2849*$K2849)</f>
        <v>35.02055975545842</v>
      </c>
      <c r="U2849" s="85">
        <f>IF(B2849="",0,IF(OR(H2849=MappingTables!$C$34,H2849=MappingTables!$C$35),T2849,0))</f>
        <v>0</v>
      </c>
      <c r="V2849" s="85">
        <f>IF(ISNA(IF(AND(VLOOKUP(CONCATENATE($D2849,$G2849),CSRFinput!$B:$E,4,0)=0,OR(H2849=MappingTables!$C$34,H2849=MappingTables!$C$35)),1,VLOOKUP(CONCATENATE($D2849,$G2849),CSRFinput!$B:$E,4,0))),0,IF(AND(VLOOKUP(CONCATENATE($D2849,$G2849),CSRFinput!$B:$E,4,0)=0,OR(H2849=MappingTables!$C$34,H2849=MappingTables!$C$35)),1,VLOOKUP(CONCATENATE($D2849,$G2849),CSRFinput!$B:$E,4,0)))</f>
        <v>0.054776304963434752</v>
      </c>
      <c r="W2849" s="85">
        <f>IF(B2849="",0,+$T2849*$V2849)</f>
        <v>1.9182968611551804</v>
      </c>
      <c r="X2849" s="85">
        <f>IF(B2849="",0,IF(OR(H2849=MappingTables!$C$34,H2849=MappingTables!$C$35),W2849,0))</f>
        <v>0</v>
      </c>
    </row>
    <row r="2850" spans="2:24" s="0" customFormat="0" ht="15">
      <c r="B2850" s="69">
        <v>16209406</v>
      </c>
      <c r="C2850" s="70" t="s">
        <v>2626</v>
      </c>
      <c r="D2850" s="70" t="s">
        <v>1</v>
      </c>
      <c r="E2850" s="70" t="s">
        <v>1</v>
      </c>
      <c r="F2850" s="70"/>
      <c r="G2850" s="70" t="s">
        <v>61</v>
      </c>
      <c r="H2850" s="70" t="s">
        <v>178</v>
      </c>
      <c r="I2850" s="70" t="s">
        <v>181</v>
      </c>
      <c r="J2850" s="71">
        <f>IF(OR(I2850=0,I2850=""),"unrated",VLOOKUP(I2850,MappingTables!$B$19:$C$31,2,FALSE))</f>
        <v>3</v>
      </c>
      <c r="K2850" s="72">
        <v>3592.104084344128</v>
      </c>
      <c r="L2850" s="70">
        <v>5.578916737901444</v>
      </c>
      <c r="M2850" s="71">
        <f>IF(L2850&lt;1,1,L2850)</f>
        <v>5.578916737901444</v>
      </c>
      <c r="N2850" s="70" t="s">
        <v>141</v>
      </c>
      <c r="O2850" s="71">
        <f>INDEX(DurClassMapping,MATCH(M2850,MappingTables!$D$4:$D$8,-1),1)</f>
        <v>2</v>
      </c>
      <c r="P2850" s="73">
        <f>IF(M2850=$A$1,1,$M2850-INDEX(MappingTables!$E$4:$E$8,MATCH(O2850,MappingTables!$B$4:$B$8,0)))</f>
        <v>0.5789167379014444</v>
      </c>
      <c r="Q2850" s="71">
        <f>IF(B2850="",0,INDEX(ModelParameters!$D$6:$K$10,MATCH($O2850,ModelParameters!$B$6:$B$10,0),MATCH($J2850,ModelParameters!$D$5:$K$5,0)))</f>
        <v>0.015</v>
      </c>
      <c r="R2850" s="71">
        <f>IF(B2850="",0,INDEX(ModelParameters!$D$13:$K$17,MATCH($O2850,ModelParameters!$B$13:$B$17,0),MATCH($J2850,ModelParameters!$D$5:$K$5,0)))</f>
        <v>0.125</v>
      </c>
      <c r="S2850" s="160">
        <f>IF(B2850="",0,MIN(IF($N2850="Other Bond TM",ModelParameters!$N$21,1)*(P2850*Q2850+R2850),1))</f>
        <v>0.13368375106852168</v>
      </c>
      <c r="T2850" s="85">
        <f>IF(B2850="",0,$S2850*$K2850)</f>
        <v>480.2059482236804</v>
      </c>
      <c r="U2850" s="85">
        <f>IF(B2850="",0,IF(OR(H2850=MappingTables!$C$34,H2850=MappingTables!$C$35),T2850,0))</f>
        <v>0</v>
      </c>
      <c r="V2850" s="85">
        <f>IF(ISNA(IF(AND(VLOOKUP(CONCATENATE($D2850,$G2850),CSRFinput!$B:$E,4,0)=0,OR(H2850=MappingTables!$C$34,H2850=MappingTables!$C$35)),1,VLOOKUP(CONCATENATE($D2850,$G2850),CSRFinput!$B:$E,4,0))),0,IF(AND(VLOOKUP(CONCATENATE($D2850,$G2850),CSRFinput!$B:$E,4,0)=0,OR(H2850=MappingTables!$C$34,H2850=MappingTables!$C$35)),1,VLOOKUP(CONCATENATE($D2850,$G2850),CSRFinput!$B:$E,4,0)))</f>
        <v>0.054776304963434752</v>
      </c>
      <c r="W2850" s="85">
        <f>IF(B2850="",0,+$T2850*$V2850)</f>
        <v>26.303907465155676</v>
      </c>
      <c r="X2850" s="85">
        <f>IF(B2850="",0,IF(OR(H2850=MappingTables!$C$34,H2850=MappingTables!$C$35),W2850,0))</f>
        <v>0</v>
      </c>
    </row>
    <row r="2851" spans="2:24" s="0" customFormat="0" ht="15">
      <c r="B2851" s="69">
        <v>23510510</v>
      </c>
      <c r="C2851" s="70" t="s">
        <v>1698</v>
      </c>
      <c r="D2851" s="70" t="s">
        <v>1</v>
      </c>
      <c r="E2851" s="70" t="s">
        <v>1</v>
      </c>
      <c r="F2851" s="70"/>
      <c r="G2851" s="70" t="s">
        <v>61</v>
      </c>
      <c r="H2851" s="70" t="s">
        <v>178</v>
      </c>
      <c r="I2851" s="70" t="s">
        <v>181</v>
      </c>
      <c r="J2851" s="71">
        <f>IF(OR(I2851=0,I2851=""),"unrated",VLOOKUP(I2851,MappingTables!$B$19:$C$31,2,FALSE))</f>
        <v>3</v>
      </c>
      <c r="K2851" s="72">
        <v>4682.958589142704</v>
      </c>
      <c r="L2851" s="70">
        <v>1.4116599001363986</v>
      </c>
      <c r="M2851" s="71">
        <f>IF(L2851&lt;1,1,L2851)</f>
        <v>1.4116599001363986</v>
      </c>
      <c r="N2851" s="70" t="s">
        <v>141</v>
      </c>
      <c r="O2851" s="71">
        <f>INDEX(DurClassMapping,MATCH(M2851,MappingTables!$D$4:$D$8,-1),1)</f>
        <v>1</v>
      </c>
      <c r="P2851" s="73">
        <f>IF(M2851=$A$1,1,$M2851-INDEX(MappingTables!$E$4:$E$8,MATCH(O2851,MappingTables!$B$4:$B$8,0)))</f>
        <v>1.4116599001363986</v>
      </c>
      <c r="Q2851" s="71">
        <f>IF(B2851="",0,INDEX(ModelParameters!$D$6:$K$10,MATCH($O2851,ModelParameters!$B$6:$B$10,0),MATCH($J2851,ModelParameters!$D$5:$K$5,0)))</f>
        <v>0.025</v>
      </c>
      <c r="R2851" s="71">
        <f>IF(B2851="",0,INDEX(ModelParameters!$D$13:$K$17,MATCH($O2851,ModelParameters!$B$13:$B$17,0),MATCH($J2851,ModelParameters!$D$5:$K$5,0)))</f>
        <v>0</v>
      </c>
      <c r="S2851" s="160">
        <f>IF(B2851="",0,MIN(IF($N2851="Other Bond TM",ModelParameters!$N$21,1)*(P2851*Q2851+R2851),1))</f>
        <v>0.035291497503409964</v>
      </c>
      <c r="T2851" s="85">
        <f>IF(B2851="",0,$S2851*$K2851)</f>
        <v>165.26862135730198</v>
      </c>
      <c r="U2851" s="85">
        <f>IF(B2851="",0,IF(OR(H2851=MappingTables!$C$34,H2851=MappingTables!$C$35),T2851,0))</f>
        <v>0</v>
      </c>
      <c r="V2851" s="85">
        <f>IF(ISNA(IF(AND(VLOOKUP(CONCATENATE($D2851,$G2851),CSRFinput!$B:$E,4,0)=0,OR(H2851=MappingTables!$C$34,H2851=MappingTables!$C$35)),1,VLOOKUP(CONCATENATE($D2851,$G2851),CSRFinput!$B:$E,4,0))),0,IF(AND(VLOOKUP(CONCATENATE($D2851,$G2851),CSRFinput!$B:$E,4,0)=0,OR(H2851=MappingTables!$C$34,H2851=MappingTables!$C$35)),1,VLOOKUP(CONCATENATE($D2851,$G2851),CSRFinput!$B:$E,4,0)))</f>
        <v>0.054776304963434752</v>
      </c>
      <c r="W2851" s="85">
        <f>IF(B2851="",0,+$T2851*$V2851)</f>
        <v>9.052804404354</v>
      </c>
      <c r="X2851" s="85">
        <f>IF(B2851="",0,IF(OR(H2851=MappingTables!$C$34,H2851=MappingTables!$C$35),W2851,0))</f>
        <v>0</v>
      </c>
    </row>
    <row r="2852" spans="2:24" s="0" customFormat="0" ht="15">
      <c r="B2852" s="69">
        <v>12606189</v>
      </c>
      <c r="C2852" s="70" t="s">
        <v>1032</v>
      </c>
      <c r="D2852" s="70" t="s">
        <v>1</v>
      </c>
      <c r="E2852" s="70" t="s">
        <v>1</v>
      </c>
      <c r="F2852" s="70"/>
      <c r="G2852" s="70" t="s">
        <v>61</v>
      </c>
      <c r="H2852" s="70" t="s">
        <v>178</v>
      </c>
      <c r="I2852" s="70" t="s">
        <v>198</v>
      </c>
      <c r="J2852" s="71" t="str">
        <f>IF(OR(I2852=0,I2852=""),"unrated",VLOOKUP(I2852,MappingTables!$B$19:$C$31,2,FALSE))</f>
        <v>unrated</v>
      </c>
      <c r="K2852" s="72">
        <v>1348.5654880603138</v>
      </c>
      <c r="L2852" s="70">
        <v>0.087669643704979296</v>
      </c>
      <c r="M2852" s="71">
        <f>IF(L2852&lt;1,1,L2852)</f>
        <v>1</v>
      </c>
      <c r="N2852" s="70" t="s">
        <v>141</v>
      </c>
      <c r="O2852" s="71">
        <f>INDEX(DurClassMapping,MATCH(M2852,MappingTables!$D$4:$D$8,-1),1)</f>
        <v>1</v>
      </c>
      <c r="P2852" s="73">
        <f>IF(M2852=$A$1,1,$M2852-INDEX(MappingTables!$E$4:$E$8,MATCH(O2852,MappingTables!$B$4:$B$8,0)))</f>
        <v>1</v>
      </c>
      <c r="Q2852" s="71">
        <f>IF(B2852="",0,INDEX(ModelParameters!$D$6:$K$10,MATCH($O2852,ModelParameters!$B$6:$B$10,0),MATCH($J2852,ModelParameters!$D$5:$K$5,0)))</f>
        <v>0.03</v>
      </c>
      <c r="R2852" s="71">
        <f>IF(B2852="",0,INDEX(ModelParameters!$D$13:$K$17,MATCH($O2852,ModelParameters!$B$13:$B$17,0),MATCH($J2852,ModelParameters!$D$5:$K$5,0)))</f>
        <v>0</v>
      </c>
      <c r="S2852" s="160">
        <f>IF(B2852="",0,MIN(IF($N2852="Other Bond TM",ModelParameters!$N$21,1)*(P2852*Q2852+R2852),1))</f>
        <v>0.03</v>
      </c>
      <c r="T2852" s="85">
        <f>IF(B2852="",0,$S2852*$K2852)</f>
        <v>40.456964641809416</v>
      </c>
      <c r="U2852" s="85">
        <f>IF(B2852="",0,IF(OR(H2852=MappingTables!$C$34,H2852=MappingTables!$C$35),T2852,0))</f>
        <v>0</v>
      </c>
      <c r="V2852" s="85">
        <f>IF(ISNA(IF(AND(VLOOKUP(CONCATENATE($D2852,$G2852),CSRFinput!$B:$E,4,0)=0,OR(H2852=MappingTables!$C$34,H2852=MappingTables!$C$35)),1,VLOOKUP(CONCATENATE($D2852,$G2852),CSRFinput!$B:$E,4,0))),0,IF(AND(VLOOKUP(CONCATENATE($D2852,$G2852),CSRFinput!$B:$E,4,0)=0,OR(H2852=MappingTables!$C$34,H2852=MappingTables!$C$35)),1,VLOOKUP(CONCATENATE($D2852,$G2852),CSRFinput!$B:$E,4,0)))</f>
        <v>0.054776304963434752</v>
      </c>
      <c r="W2852" s="85">
        <f>IF(B2852="",0,+$T2852*$V2852)</f>
        <v>2.2160830331146496</v>
      </c>
      <c r="X2852" s="85">
        <f>IF(B2852="",0,IF(OR(H2852=MappingTables!$C$34,H2852=MappingTables!$C$35),W2852,0))</f>
        <v>0</v>
      </c>
    </row>
    <row r="2853" spans="2:24" s="0" customFormat="0" ht="15">
      <c r="B2853" s="69">
        <v>13452757</v>
      </c>
      <c r="C2853" s="70" t="s">
        <v>1054</v>
      </c>
      <c r="D2853" s="70" t="s">
        <v>1</v>
      </c>
      <c r="E2853" s="70" t="s">
        <v>1</v>
      </c>
      <c r="F2853" s="70"/>
      <c r="G2853" s="70" t="s">
        <v>61</v>
      </c>
      <c r="H2853" s="70" t="s">
        <v>178</v>
      </c>
      <c r="I2853" s="70" t="s">
        <v>179</v>
      </c>
      <c r="J2853" s="71">
        <f>IF(OR(I2853=0,I2853=""),"unrated",VLOOKUP(I2853,MappingTables!$B$19:$C$31,2,FALSE))</f>
        <v>4</v>
      </c>
      <c r="K2853" s="72">
        <v>9724.300688846488</v>
      </c>
      <c r="L2853" s="70">
        <v>1.1370705613249828</v>
      </c>
      <c r="M2853" s="71">
        <f>IF(L2853&lt;1,1,L2853)</f>
        <v>1.1370705613249828</v>
      </c>
      <c r="N2853" s="70" t="s">
        <v>141</v>
      </c>
      <c r="O2853" s="71">
        <f>INDEX(DurClassMapping,MATCH(M2853,MappingTables!$D$4:$D$8,-1),1)</f>
        <v>1</v>
      </c>
      <c r="P2853" s="73">
        <f>IF(M2853=$A$1,1,$M2853-INDEX(MappingTables!$E$4:$E$8,MATCH(O2853,MappingTables!$B$4:$B$8,0)))</f>
        <v>1.1370705613249828</v>
      </c>
      <c r="Q2853" s="71">
        <f>IF(B2853="",0,INDEX(ModelParameters!$D$6:$K$10,MATCH($O2853,ModelParameters!$B$6:$B$10,0),MATCH($J2853,ModelParameters!$D$5:$K$5,0)))</f>
        <v>0.045</v>
      </c>
      <c r="R2853" s="71">
        <f>IF(B2853="",0,INDEX(ModelParameters!$D$13:$K$17,MATCH($O2853,ModelParameters!$B$13:$B$17,0),MATCH($J2853,ModelParameters!$D$5:$K$5,0)))</f>
        <v>0</v>
      </c>
      <c r="S2853" s="160">
        <f>IF(B2853="",0,MIN(IF($N2853="Other Bond TM",ModelParameters!$N$21,1)*(P2853*Q2853+R2853),1))</f>
        <v>0.051168175259624224</v>
      </c>
      <c r="T2853" s="85">
        <f>IF(B2853="",0,$S2853*$K2853)</f>
        <v>497.5747219241816</v>
      </c>
      <c r="U2853" s="85">
        <f>IF(B2853="",0,IF(OR(H2853=MappingTables!$C$34,H2853=MappingTables!$C$35),T2853,0))</f>
        <v>0</v>
      </c>
      <c r="V2853" s="85">
        <f>IF(ISNA(IF(AND(VLOOKUP(CONCATENATE($D2853,$G2853),CSRFinput!$B:$E,4,0)=0,OR(H2853=MappingTables!$C$34,H2853=MappingTables!$C$35)),1,VLOOKUP(CONCATENATE($D2853,$G2853),CSRFinput!$B:$E,4,0))),0,IF(AND(VLOOKUP(CONCATENATE($D2853,$G2853),CSRFinput!$B:$E,4,0)=0,OR(H2853=MappingTables!$C$34,H2853=MappingTables!$C$35)),1,VLOOKUP(CONCATENATE($D2853,$G2853),CSRFinput!$B:$E,4,0)))</f>
        <v>0.054776304963434752</v>
      </c>
      <c r="W2853" s="85">
        <f>IF(B2853="",0,+$T2853*$V2853)</f>
        <v>27.255304710215216</v>
      </c>
      <c r="X2853" s="85">
        <f>IF(B2853="",0,IF(OR(H2853=MappingTables!$C$34,H2853=MappingTables!$C$35),W2853,0))</f>
        <v>0</v>
      </c>
    </row>
    <row r="2854" spans="2:24" s="0" customFormat="0" ht="15">
      <c r="B2854" s="69">
        <v>15815020</v>
      </c>
      <c r="C2854" s="70" t="s">
        <v>343</v>
      </c>
      <c r="D2854" s="70" t="s">
        <v>1</v>
      </c>
      <c r="E2854" s="70" t="s">
        <v>1</v>
      </c>
      <c r="F2854" s="70"/>
      <c r="G2854" s="70" t="s">
        <v>61</v>
      </c>
      <c r="H2854" s="70" t="s">
        <v>178</v>
      </c>
      <c r="I2854" s="70" t="s">
        <v>181</v>
      </c>
      <c r="J2854" s="71">
        <f>IF(OR(I2854=0,I2854=""),"unrated",VLOOKUP(I2854,MappingTables!$B$19:$C$31,2,FALSE))</f>
        <v>3</v>
      </c>
      <c r="K2854" s="72">
        <v>13.403274459664346</v>
      </c>
      <c r="L2854" s="70">
        <v>1.1392457491742392</v>
      </c>
      <c r="M2854" s="71">
        <f>IF(L2854&lt;1,1,L2854)</f>
        <v>1.1392457491742392</v>
      </c>
      <c r="N2854" s="70" t="s">
        <v>141</v>
      </c>
      <c r="O2854" s="71">
        <f>INDEX(DurClassMapping,MATCH(M2854,MappingTables!$D$4:$D$8,-1),1)</f>
        <v>1</v>
      </c>
      <c r="P2854" s="73">
        <f>IF(M2854=$A$1,1,$M2854-INDEX(MappingTables!$E$4:$E$8,MATCH(O2854,MappingTables!$B$4:$B$8,0)))</f>
        <v>1.1392457491742392</v>
      </c>
      <c r="Q2854" s="71">
        <f>IF(B2854="",0,INDEX(ModelParameters!$D$6:$K$10,MATCH($O2854,ModelParameters!$B$6:$B$10,0),MATCH($J2854,ModelParameters!$D$5:$K$5,0)))</f>
        <v>0.025</v>
      </c>
      <c r="R2854" s="71">
        <f>IF(B2854="",0,INDEX(ModelParameters!$D$13:$K$17,MATCH($O2854,ModelParameters!$B$13:$B$17,0),MATCH($J2854,ModelParameters!$D$5:$K$5,0)))</f>
        <v>0</v>
      </c>
      <c r="S2854" s="160">
        <f>IF(B2854="",0,MIN(IF($N2854="Other Bond TM",ModelParameters!$N$21,1)*(P2854*Q2854+R2854),1))</f>
        <v>0.02848114372935598</v>
      </c>
      <c r="T2854" s="85">
        <f>IF(B2854="",0,$S2854*$K2854)</f>
        <v>0.38174058632970632</v>
      </c>
      <c r="U2854" s="85">
        <f>IF(B2854="",0,IF(OR(H2854=MappingTables!$C$34,H2854=MappingTables!$C$35),T2854,0))</f>
        <v>0</v>
      </c>
      <c r="V2854" s="85">
        <f>IF(ISNA(IF(AND(VLOOKUP(CONCATENATE($D2854,$G2854),CSRFinput!$B:$E,4,0)=0,OR(H2854=MappingTables!$C$34,H2854=MappingTables!$C$35)),1,VLOOKUP(CONCATENATE($D2854,$G2854),CSRFinput!$B:$E,4,0))),0,IF(AND(VLOOKUP(CONCATENATE($D2854,$G2854),CSRFinput!$B:$E,4,0)=0,OR(H2854=MappingTables!$C$34,H2854=MappingTables!$C$35)),1,VLOOKUP(CONCATENATE($D2854,$G2854),CSRFinput!$B:$E,4,0)))</f>
        <v>0.054776304963434752</v>
      </c>
      <c r="W2854" s="85">
        <f>IF(B2854="",0,+$T2854*$V2854)</f>
        <v>0.020910338773716384</v>
      </c>
      <c r="X2854" s="85">
        <f>IF(B2854="",0,IF(OR(H2854=MappingTables!$C$34,H2854=MappingTables!$C$35),W2854,0))</f>
        <v>0</v>
      </c>
    </row>
    <row r="2855" spans="2:24" s="0" customFormat="0" ht="15">
      <c r="B2855" s="69">
        <v>21534674</v>
      </c>
      <c r="C2855" s="70" t="s">
        <v>1973</v>
      </c>
      <c r="D2855" s="70" t="s">
        <v>1</v>
      </c>
      <c r="E2855" s="70" t="s">
        <v>1</v>
      </c>
      <c r="F2855" s="70"/>
      <c r="G2855" s="70" t="s">
        <v>61</v>
      </c>
      <c r="H2855" s="70" t="s">
        <v>178</v>
      </c>
      <c r="I2855" s="70" t="s">
        <v>179</v>
      </c>
      <c r="J2855" s="71">
        <f>IF(OR(I2855=0,I2855=""),"unrated",VLOOKUP(I2855,MappingTables!$B$19:$C$31,2,FALSE))</f>
        <v>4</v>
      </c>
      <c r="K2855" s="72">
        <v>15199.80756888789</v>
      </c>
      <c r="L2855" s="70">
        <v>3.3181188490075352</v>
      </c>
      <c r="M2855" s="71">
        <f>IF(L2855&lt;1,1,L2855)</f>
        <v>3.3181188490075352</v>
      </c>
      <c r="N2855" s="70" t="s">
        <v>141</v>
      </c>
      <c r="O2855" s="71">
        <f>INDEX(DurClassMapping,MATCH(M2855,MappingTables!$D$4:$D$8,-1),1)</f>
        <v>1</v>
      </c>
      <c r="P2855" s="73">
        <f>IF(M2855=$A$1,1,$M2855-INDEX(MappingTables!$E$4:$E$8,MATCH(O2855,MappingTables!$B$4:$B$8,0)))</f>
        <v>3.3181188490075352</v>
      </c>
      <c r="Q2855" s="71">
        <f>IF(B2855="",0,INDEX(ModelParameters!$D$6:$K$10,MATCH($O2855,ModelParameters!$B$6:$B$10,0),MATCH($J2855,ModelParameters!$D$5:$K$5,0)))</f>
        <v>0.045</v>
      </c>
      <c r="R2855" s="71">
        <f>IF(B2855="",0,INDEX(ModelParameters!$D$13:$K$17,MATCH($O2855,ModelParameters!$B$13:$B$17,0),MATCH($J2855,ModelParameters!$D$5:$K$5,0)))</f>
        <v>0</v>
      </c>
      <c r="S2855" s="160">
        <f>IF(B2855="",0,MIN(IF($N2855="Other Bond TM",ModelParameters!$N$21,1)*(P2855*Q2855+R2855),1))</f>
        <v>0.14931534820533906</v>
      </c>
      <c r="T2855" s="85">
        <f>IF(B2855="",0,$S2855*$K2855)</f>
        <v>2269.5645598026436</v>
      </c>
      <c r="U2855" s="85">
        <f>IF(B2855="",0,IF(OR(H2855=MappingTables!$C$34,H2855=MappingTables!$C$35),T2855,0))</f>
        <v>0</v>
      </c>
      <c r="V2855" s="85">
        <f>IF(ISNA(IF(AND(VLOOKUP(CONCATENATE($D2855,$G2855),CSRFinput!$B:$E,4,0)=0,OR(H2855=MappingTables!$C$34,H2855=MappingTables!$C$35)),1,VLOOKUP(CONCATENATE($D2855,$G2855),CSRFinput!$B:$E,4,0))),0,IF(AND(VLOOKUP(CONCATENATE($D2855,$G2855),CSRFinput!$B:$E,4,0)=0,OR(H2855=MappingTables!$C$34,H2855=MappingTables!$C$35)),1,VLOOKUP(CONCATENATE($D2855,$G2855),CSRFinput!$B:$E,4,0)))</f>
        <v>0.054776304963434752</v>
      </c>
      <c r="W2855" s="85">
        <f>IF(B2855="",0,+$T2855*$V2855)</f>
        <v>124.31836046195314</v>
      </c>
      <c r="X2855" s="85">
        <f>IF(B2855="",0,IF(OR(H2855=MappingTables!$C$34,H2855=MappingTables!$C$35),W2855,0))</f>
        <v>0</v>
      </c>
    </row>
    <row r="2856" spans="2:24" s="0" customFormat="0" ht="15">
      <c r="B2856" s="69">
        <v>13428954</v>
      </c>
      <c r="C2856" s="70" t="s">
        <v>1348</v>
      </c>
      <c r="D2856" s="70" t="s">
        <v>1</v>
      </c>
      <c r="E2856" s="70" t="s">
        <v>1</v>
      </c>
      <c r="F2856" s="70"/>
      <c r="G2856" s="70" t="s">
        <v>61</v>
      </c>
      <c r="H2856" s="70" t="s">
        <v>178</v>
      </c>
      <c r="I2856" s="70" t="s">
        <v>181</v>
      </c>
      <c r="J2856" s="71">
        <f>IF(OR(I2856=0,I2856=""),"unrated",VLOOKUP(I2856,MappingTables!$B$19:$C$31,2,FALSE))</f>
        <v>3</v>
      </c>
      <c r="K2856" s="72">
        <v>118.80797387449626</v>
      </c>
      <c r="L2856" s="70">
        <v>2.9581945970601024</v>
      </c>
      <c r="M2856" s="71">
        <f>IF(L2856&lt;1,1,L2856)</f>
        <v>2.9581945970601024</v>
      </c>
      <c r="N2856" s="70" t="s">
        <v>141</v>
      </c>
      <c r="O2856" s="71">
        <f>INDEX(DurClassMapping,MATCH(M2856,MappingTables!$D$4:$D$8,-1),1)</f>
        <v>1</v>
      </c>
      <c r="P2856" s="73">
        <f>IF(M2856=$A$1,1,$M2856-INDEX(MappingTables!$E$4:$E$8,MATCH(O2856,MappingTables!$B$4:$B$8,0)))</f>
        <v>2.9581945970601024</v>
      </c>
      <c r="Q2856" s="71">
        <f>IF(B2856="",0,INDEX(ModelParameters!$D$6:$K$10,MATCH($O2856,ModelParameters!$B$6:$B$10,0),MATCH($J2856,ModelParameters!$D$5:$K$5,0)))</f>
        <v>0.025</v>
      </c>
      <c r="R2856" s="71">
        <f>IF(B2856="",0,INDEX(ModelParameters!$D$13:$K$17,MATCH($O2856,ModelParameters!$B$13:$B$17,0),MATCH($J2856,ModelParameters!$D$5:$K$5,0)))</f>
        <v>0</v>
      </c>
      <c r="S2856" s="160">
        <f>IF(B2856="",0,MIN(IF($N2856="Other Bond TM",ModelParameters!$N$21,1)*(P2856*Q2856+R2856),1))</f>
        <v>0.07395486492650256</v>
      </c>
      <c r="T2856" s="85">
        <f>IF(B2856="",0,$S2856*$K2856)</f>
        <v>8.786427660079816</v>
      </c>
      <c r="U2856" s="85">
        <f>IF(B2856="",0,IF(OR(H2856=MappingTables!$C$34,H2856=MappingTables!$C$35),T2856,0))</f>
        <v>0</v>
      </c>
      <c r="V2856" s="85">
        <f>IF(ISNA(IF(AND(VLOOKUP(CONCATENATE($D2856,$G2856),CSRFinput!$B:$E,4,0)=0,OR(H2856=MappingTables!$C$34,H2856=MappingTables!$C$35)),1,VLOOKUP(CONCATENATE($D2856,$G2856),CSRFinput!$B:$E,4,0))),0,IF(AND(VLOOKUP(CONCATENATE($D2856,$G2856),CSRFinput!$B:$E,4,0)=0,OR(H2856=MappingTables!$C$34,H2856=MappingTables!$C$35)),1,VLOOKUP(CONCATENATE($D2856,$G2856),CSRFinput!$B:$E,4,0)))</f>
        <v>0.054776304963434752</v>
      </c>
      <c r="W2856" s="85">
        <f>IF(B2856="",0,+$T2856*$V2856)</f>
        <v>0.48128804104769048</v>
      </c>
      <c r="X2856" s="85">
        <f>IF(B2856="",0,IF(OR(H2856=MappingTables!$C$34,H2856=MappingTables!$C$35),W2856,0))</f>
        <v>0</v>
      </c>
    </row>
    <row r="2857" spans="2:24" s="0" customFormat="0" ht="15">
      <c r="B2857" s="69" t="s">
        <v>2399</v>
      </c>
      <c r="C2857" s="70" t="s">
        <v>2400</v>
      </c>
      <c r="D2857" s="70" t="s">
        <v>1</v>
      </c>
      <c r="E2857" s="70" t="s">
        <v>1</v>
      </c>
      <c r="F2857" s="70"/>
      <c r="G2857" s="70" t="s">
        <v>61</v>
      </c>
      <c r="H2857" s="70" t="s">
        <v>178</v>
      </c>
      <c r="I2857" s="70" t="s">
        <v>198</v>
      </c>
      <c r="J2857" s="71" t="str">
        <f>IF(OR(I2857=0,I2857=""),"unrated",VLOOKUP(I2857,MappingTables!$B$19:$C$31,2,FALSE))</f>
        <v>unrated</v>
      </c>
      <c r="K2857" s="72">
        <v>10102.532094550114</v>
      </c>
      <c r="L2857" s="70">
        <v>16.266203229623092</v>
      </c>
      <c r="M2857" s="71">
        <f>IF(L2857&lt;1,1,L2857)</f>
        <v>16.266203229623092</v>
      </c>
      <c r="N2857" s="70" t="s">
        <v>141</v>
      </c>
      <c r="O2857" s="71">
        <f>INDEX(DurClassMapping,MATCH(M2857,MappingTables!$D$4:$D$8,-1),1)</f>
        <v>4</v>
      </c>
      <c r="P2857" s="73">
        <f>IF(M2857=$A$1,1,$M2857-INDEX(MappingTables!$E$4:$E$8,MATCH(O2857,MappingTables!$B$4:$B$8,0)))</f>
        <v>1.2662032296230912</v>
      </c>
      <c r="Q2857" s="71">
        <f>IF(B2857="",0,INDEX(ModelParameters!$D$6:$K$10,MATCH($O2857,ModelParameters!$B$6:$B$10,0),MATCH($J2857,ModelParameters!$D$5:$K$5,0)))</f>
        <v>0.012</v>
      </c>
      <c r="R2857" s="71">
        <f>IF(B2857="",0,INDEX(ModelParameters!$D$13:$K$17,MATCH($O2857,ModelParameters!$B$13:$B$17,0),MATCH($J2857,ModelParameters!$D$5:$K$5,0)))</f>
        <v>0.295</v>
      </c>
      <c r="S2857" s="160">
        <f>IF(B2857="",0,MIN(IF($N2857="Other Bond TM",ModelParameters!$N$21,1)*(P2857*Q2857+R2857),1))</f>
        <v>0.31019443875547708</v>
      </c>
      <c r="T2857" s="85">
        <f>IF(B2857="",0,$S2857*$K2857)</f>
        <v>3133.7492730781668</v>
      </c>
      <c r="U2857" s="85">
        <f>IF(B2857="",0,IF(OR(H2857=MappingTables!$C$34,H2857=MappingTables!$C$35),T2857,0))</f>
        <v>0</v>
      </c>
      <c r="V2857" s="85">
        <f>IF(ISNA(IF(AND(VLOOKUP(CONCATENATE($D2857,$G2857),CSRFinput!$B:$E,4,0)=0,OR(H2857=MappingTables!$C$34,H2857=MappingTables!$C$35)),1,VLOOKUP(CONCATENATE($D2857,$G2857),CSRFinput!$B:$E,4,0))),0,IF(AND(VLOOKUP(CONCATENATE($D2857,$G2857),CSRFinput!$B:$E,4,0)=0,OR(H2857=MappingTables!$C$34,H2857=MappingTables!$C$35)),1,VLOOKUP(CONCATENATE($D2857,$G2857),CSRFinput!$B:$E,4,0)))</f>
        <v>0.054776304963434752</v>
      </c>
      <c r="W2857" s="85">
        <f>IF(B2857="",0,+$T2857*$V2857)</f>
        <v>171.65520586107164</v>
      </c>
      <c r="X2857" s="85">
        <f>IF(B2857="",0,IF(OR(H2857=MappingTables!$C$34,H2857=MappingTables!$C$35),W2857,0))</f>
        <v>0</v>
      </c>
    </row>
    <row r="2858" spans="2:24" s="0" customFormat="0" ht="15">
      <c r="B2858" s="69" t="s">
        <v>1901</v>
      </c>
      <c r="C2858" s="70" t="s">
        <v>1902</v>
      </c>
      <c r="D2858" s="70" t="s">
        <v>1</v>
      </c>
      <c r="E2858" s="70" t="s">
        <v>1</v>
      </c>
      <c r="F2858" s="70"/>
      <c r="G2858" s="70" t="s">
        <v>61</v>
      </c>
      <c r="H2858" s="70" t="s">
        <v>178</v>
      </c>
      <c r="I2858" s="70" t="s">
        <v>220</v>
      </c>
      <c r="J2858" s="71">
        <f>IF(OR(I2858=0,I2858=""),"unrated",VLOOKUP(I2858,MappingTables!$B$19:$C$31,2,FALSE))</f>
        <v>1</v>
      </c>
      <c r="K2858" s="72">
        <v>1043.8918467554312</v>
      </c>
      <c r="L2858" s="70">
        <v>1.3821327611637708</v>
      </c>
      <c r="M2858" s="71">
        <f>IF(L2858&lt;1,1,L2858)</f>
        <v>1.3821327611637708</v>
      </c>
      <c r="N2858" s="70" t="s">
        <v>141</v>
      </c>
      <c r="O2858" s="71">
        <f>INDEX(DurClassMapping,MATCH(M2858,MappingTables!$D$4:$D$8,-1),1)</f>
        <v>1</v>
      </c>
      <c r="P2858" s="73">
        <f>IF(M2858=$A$1,1,$M2858-INDEX(MappingTables!$E$4:$E$8,MATCH(O2858,MappingTables!$B$4:$B$8,0)))</f>
        <v>1.3821327611637708</v>
      </c>
      <c r="Q2858" s="71">
        <f>IF(B2858="",0,INDEX(ModelParameters!$D$6:$K$10,MATCH($O2858,ModelParameters!$B$6:$B$10,0),MATCH($J2858,ModelParameters!$D$5:$K$5,0)))</f>
        <v>0.011000000000000002</v>
      </c>
      <c r="R2858" s="71">
        <f>IF(B2858="",0,INDEX(ModelParameters!$D$13:$K$17,MATCH($O2858,ModelParameters!$B$13:$B$17,0),MATCH($J2858,ModelParameters!$D$5:$K$5,0)))</f>
        <v>0</v>
      </c>
      <c r="S2858" s="160">
        <f>IF(B2858="",0,MIN(IF($N2858="Other Bond TM",ModelParameters!$N$21,1)*(P2858*Q2858+R2858),1))</f>
        <v>0.01520346037280148</v>
      </c>
      <c r="T2858" s="85">
        <f>IF(B2858="",0,$S2858*$K2858)</f>
        <v>15.870768325636754</v>
      </c>
      <c r="U2858" s="85">
        <f>IF(B2858="",0,IF(OR(H2858=MappingTables!$C$34,H2858=MappingTables!$C$35),T2858,0))</f>
        <v>0</v>
      </c>
      <c r="V2858" s="85">
        <f>IF(ISNA(IF(AND(VLOOKUP(CONCATENATE($D2858,$G2858),CSRFinput!$B:$E,4,0)=0,OR(H2858=MappingTables!$C$34,H2858=MappingTables!$C$35)),1,VLOOKUP(CONCATENATE($D2858,$G2858),CSRFinput!$B:$E,4,0))),0,IF(AND(VLOOKUP(CONCATENATE($D2858,$G2858),CSRFinput!$B:$E,4,0)=0,OR(H2858=MappingTables!$C$34,H2858=MappingTables!$C$35)),1,VLOOKUP(CONCATENATE($D2858,$G2858),CSRFinput!$B:$E,4,0)))</f>
        <v>0.054776304963434752</v>
      </c>
      <c r="W2858" s="85">
        <f>IF(B2858="",0,+$T2858*$V2858)</f>
        <v>0.86934204580909968</v>
      </c>
      <c r="X2858" s="85">
        <f>IF(B2858="",0,IF(OR(H2858=MappingTables!$C$34,H2858=MappingTables!$C$35),W2858,0))</f>
        <v>0</v>
      </c>
    </row>
    <row r="2859" spans="2:24" s="0" customFormat="0" ht="15">
      <c r="B2859" s="69">
        <v>4151959</v>
      </c>
      <c r="C2859" s="70" t="s">
        <v>2627</v>
      </c>
      <c r="D2859" s="70" t="s">
        <v>1</v>
      </c>
      <c r="E2859" s="70" t="s">
        <v>1</v>
      </c>
      <c r="F2859" s="70"/>
      <c r="G2859" s="70" t="s">
        <v>61</v>
      </c>
      <c r="H2859" s="70" t="s">
        <v>178</v>
      </c>
      <c r="I2859" s="70" t="s">
        <v>181</v>
      </c>
      <c r="J2859" s="71">
        <f>IF(OR(I2859=0,I2859=""),"unrated",VLOOKUP(I2859,MappingTables!$B$19:$C$31,2,FALSE))</f>
        <v>3</v>
      </c>
      <c r="K2859" s="72">
        <v>5.0334362189350016</v>
      </c>
      <c r="L2859" s="70">
        <v>0.95617899027814592</v>
      </c>
      <c r="M2859" s="71">
        <f>IF(L2859&lt;1,1,L2859)</f>
        <v>1</v>
      </c>
      <c r="N2859" s="70" t="s">
        <v>141</v>
      </c>
      <c r="O2859" s="71">
        <f>INDEX(DurClassMapping,MATCH(M2859,MappingTables!$D$4:$D$8,-1),1)</f>
        <v>1</v>
      </c>
      <c r="P2859" s="73">
        <f>IF(M2859=$A$1,1,$M2859-INDEX(MappingTables!$E$4:$E$8,MATCH(O2859,MappingTables!$B$4:$B$8,0)))</f>
        <v>1</v>
      </c>
      <c r="Q2859" s="71">
        <f>IF(B2859="",0,INDEX(ModelParameters!$D$6:$K$10,MATCH($O2859,ModelParameters!$B$6:$B$10,0),MATCH($J2859,ModelParameters!$D$5:$K$5,0)))</f>
        <v>0.025</v>
      </c>
      <c r="R2859" s="71">
        <f>IF(B2859="",0,INDEX(ModelParameters!$D$13:$K$17,MATCH($O2859,ModelParameters!$B$13:$B$17,0),MATCH($J2859,ModelParameters!$D$5:$K$5,0)))</f>
        <v>0</v>
      </c>
      <c r="S2859" s="160">
        <f>IF(B2859="",0,MIN(IF($N2859="Other Bond TM",ModelParameters!$N$21,1)*(P2859*Q2859+R2859),1))</f>
        <v>0.025</v>
      </c>
      <c r="T2859" s="85">
        <f>IF(B2859="",0,$S2859*$K2859)</f>
        <v>0.12583590547337506</v>
      </c>
      <c r="U2859" s="85">
        <f>IF(B2859="",0,IF(OR(H2859=MappingTables!$C$34,H2859=MappingTables!$C$35),T2859,0))</f>
        <v>0</v>
      </c>
      <c r="V2859" s="85">
        <f>IF(ISNA(IF(AND(VLOOKUP(CONCATENATE($D2859,$G2859),CSRFinput!$B:$E,4,0)=0,OR(H2859=MappingTables!$C$34,H2859=MappingTables!$C$35)),1,VLOOKUP(CONCATENATE($D2859,$G2859),CSRFinput!$B:$E,4,0))),0,IF(AND(VLOOKUP(CONCATENATE($D2859,$G2859),CSRFinput!$B:$E,4,0)=0,OR(H2859=MappingTables!$C$34,H2859=MappingTables!$C$35)),1,VLOOKUP(CONCATENATE($D2859,$G2859),CSRFinput!$B:$E,4,0)))</f>
        <v>0.054776304963434752</v>
      </c>
      <c r="W2859" s="85">
        <f>IF(B2859="",0,+$T2859*$V2859)</f>
        <v>0.0068928259335595408</v>
      </c>
      <c r="X2859" s="85">
        <f>IF(B2859="",0,IF(OR(H2859=MappingTables!$C$34,H2859=MappingTables!$C$35),W2859,0))</f>
        <v>0</v>
      </c>
    </row>
    <row r="2860" spans="2:24" s="0" customFormat="0" ht="15">
      <c r="B2860" s="69">
        <v>19653090</v>
      </c>
      <c r="C2860" s="70" t="s">
        <v>2086</v>
      </c>
      <c r="D2860" s="70" t="s">
        <v>1</v>
      </c>
      <c r="E2860" s="70" t="s">
        <v>1</v>
      </c>
      <c r="F2860" s="70"/>
      <c r="G2860" s="70" t="s">
        <v>61</v>
      </c>
      <c r="H2860" s="70" t="s">
        <v>178</v>
      </c>
      <c r="I2860" s="70" t="s">
        <v>184</v>
      </c>
      <c r="J2860" s="71">
        <f>IF(OR(I2860=0,I2860=""),"unrated",VLOOKUP(I2860,MappingTables!$B$19:$C$31,2,FALSE))</f>
        <v>5</v>
      </c>
      <c r="K2860" s="72">
        <v>5680.6515916245704</v>
      </c>
      <c r="L2860" s="70">
        <v>0.37807954343555368</v>
      </c>
      <c r="M2860" s="71">
        <f>IF(L2860&lt;1,1,L2860)</f>
        <v>1</v>
      </c>
      <c r="N2860" s="70" t="s">
        <v>141</v>
      </c>
      <c r="O2860" s="71">
        <f>INDEX(DurClassMapping,MATCH(M2860,MappingTables!$D$4:$D$8,-1),1)</f>
        <v>1</v>
      </c>
      <c r="P2860" s="73">
        <f>IF(M2860=$A$1,1,$M2860-INDEX(MappingTables!$E$4:$E$8,MATCH(O2860,MappingTables!$B$4:$B$8,0)))</f>
        <v>1</v>
      </c>
      <c r="Q2860" s="71">
        <f>IF(B2860="",0,INDEX(ModelParameters!$D$6:$K$10,MATCH($O2860,ModelParameters!$B$6:$B$10,0),MATCH($J2860,ModelParameters!$D$5:$K$5,0)))</f>
        <v>0.075</v>
      </c>
      <c r="R2860" s="71">
        <f>IF(B2860="",0,INDEX(ModelParameters!$D$13:$K$17,MATCH($O2860,ModelParameters!$B$13:$B$17,0),MATCH($J2860,ModelParameters!$D$5:$K$5,0)))</f>
        <v>0</v>
      </c>
      <c r="S2860" s="160">
        <f>IF(B2860="",0,MIN(IF($N2860="Other Bond TM",ModelParameters!$N$21,1)*(P2860*Q2860+R2860),1))</f>
        <v>0.075</v>
      </c>
      <c r="T2860" s="85">
        <f>IF(B2860="",0,$S2860*$K2860)</f>
        <v>426.0488693718428</v>
      </c>
      <c r="U2860" s="85">
        <f>IF(B2860="",0,IF(OR(H2860=MappingTables!$C$34,H2860=MappingTables!$C$35),T2860,0))</f>
        <v>0</v>
      </c>
      <c r="V2860" s="85">
        <f>IF(ISNA(IF(AND(VLOOKUP(CONCATENATE($D2860,$G2860),CSRFinput!$B:$E,4,0)=0,OR(H2860=MappingTables!$C$34,H2860=MappingTables!$C$35)),1,VLOOKUP(CONCATENATE($D2860,$G2860),CSRFinput!$B:$E,4,0))),0,IF(AND(VLOOKUP(CONCATENATE($D2860,$G2860),CSRFinput!$B:$E,4,0)=0,OR(H2860=MappingTables!$C$34,H2860=MappingTables!$C$35)),1,VLOOKUP(CONCATENATE($D2860,$G2860),CSRFinput!$B:$E,4,0)))</f>
        <v>0.054776304963434752</v>
      </c>
      <c r="W2860" s="85">
        <f>IF(B2860="",0,+$T2860*$V2860)</f>
        <v>23.337382798038636</v>
      </c>
      <c r="X2860" s="85">
        <f>IF(B2860="",0,IF(OR(H2860=MappingTables!$C$34,H2860=MappingTables!$C$35),W2860,0))</f>
        <v>0</v>
      </c>
    </row>
    <row r="2861" spans="2:24" s="0" customFormat="0" ht="15">
      <c r="B2861" s="69" t="s">
        <v>1990</v>
      </c>
      <c r="C2861" s="70" t="s">
        <v>1991</v>
      </c>
      <c r="D2861" s="70" t="s">
        <v>1</v>
      </c>
      <c r="E2861" s="70" t="s">
        <v>1</v>
      </c>
      <c r="F2861" s="70"/>
      <c r="G2861" s="70" t="s">
        <v>61</v>
      </c>
      <c r="H2861" s="70" t="s">
        <v>178</v>
      </c>
      <c r="I2861" s="70" t="s">
        <v>181</v>
      </c>
      <c r="J2861" s="71">
        <f>IF(OR(I2861=0,I2861=""),"unrated",VLOOKUP(I2861,MappingTables!$B$19:$C$31,2,FALSE))</f>
        <v>3</v>
      </c>
      <c r="K2861" s="72">
        <v>4156.74369280222</v>
      </c>
      <c r="L2861" s="70">
        <v>13.839539378837262</v>
      </c>
      <c r="M2861" s="71">
        <f>IF(L2861&lt;1,1,L2861)</f>
        <v>13.839539378837262</v>
      </c>
      <c r="N2861" s="70" t="s">
        <v>141</v>
      </c>
      <c r="O2861" s="71">
        <f>INDEX(DurClassMapping,MATCH(M2861,MappingTables!$D$4:$D$8,-1),1)</f>
        <v>3</v>
      </c>
      <c r="P2861" s="73">
        <f>IF(M2861=$A$1,1,$M2861-INDEX(MappingTables!$E$4:$E$8,MATCH(O2861,MappingTables!$B$4:$B$8,0)))</f>
        <v>3.8395393788372624</v>
      </c>
      <c r="Q2861" s="71">
        <f>IF(B2861="",0,INDEX(ModelParameters!$D$6:$K$10,MATCH($O2861,ModelParameters!$B$6:$B$10,0),MATCH($J2861,ModelParameters!$D$5:$K$5,0)))</f>
        <v>0.01</v>
      </c>
      <c r="R2861" s="71">
        <f>IF(B2861="",0,INDEX(ModelParameters!$D$13:$K$17,MATCH($O2861,ModelParameters!$B$13:$B$17,0),MATCH($J2861,ModelParameters!$D$5:$K$5,0)))</f>
        <v>0.2</v>
      </c>
      <c r="S2861" s="160">
        <f>IF(B2861="",0,MIN(IF($N2861="Other Bond TM",ModelParameters!$N$21,1)*(P2861*Q2861+R2861),1))</f>
        <v>0.23839539378837264</v>
      </c>
      <c r="T2861" s="85">
        <f>IF(B2861="",0,$S2861*$K2861)</f>
        <v>990.94854952291936</v>
      </c>
      <c r="U2861" s="85">
        <f>IF(B2861="",0,IF(OR(H2861=MappingTables!$C$34,H2861=MappingTables!$C$35),T2861,0))</f>
        <v>0</v>
      </c>
      <c r="V2861" s="85">
        <f>IF(ISNA(IF(AND(VLOOKUP(CONCATENATE($D2861,$G2861),CSRFinput!$B:$E,4,0)=0,OR(H2861=MappingTables!$C$34,H2861=MappingTables!$C$35)),1,VLOOKUP(CONCATENATE($D2861,$G2861),CSRFinput!$B:$E,4,0))),0,IF(AND(VLOOKUP(CONCATENATE($D2861,$G2861),CSRFinput!$B:$E,4,0)=0,OR(H2861=MappingTables!$C$34,H2861=MappingTables!$C$35)),1,VLOOKUP(CONCATENATE($D2861,$G2861),CSRFinput!$B:$E,4,0)))</f>
        <v>0.054776304963434752</v>
      </c>
      <c r="W2861" s="85">
        <f>IF(B2861="",0,+$T2861*$V2861)</f>
        <v>54.28049995174076</v>
      </c>
      <c r="X2861" s="85">
        <f>IF(B2861="",0,IF(OR(H2861=MappingTables!$C$34,H2861=MappingTables!$C$35),W2861,0))</f>
        <v>0</v>
      </c>
    </row>
    <row r="2862" spans="2:24" s="0" customFormat="0" ht="15">
      <c r="B2862" s="69" t="s">
        <v>2226</v>
      </c>
      <c r="C2862" s="70" t="s">
        <v>2227</v>
      </c>
      <c r="D2862" s="70" t="s">
        <v>1</v>
      </c>
      <c r="E2862" s="70" t="s">
        <v>1</v>
      </c>
      <c r="F2862" s="70"/>
      <c r="G2862" s="70" t="s">
        <v>61</v>
      </c>
      <c r="H2862" s="70" t="s">
        <v>178</v>
      </c>
      <c r="I2862" s="70" t="s">
        <v>181</v>
      </c>
      <c r="J2862" s="71">
        <f>IF(OR(I2862=0,I2862=""),"unrated",VLOOKUP(I2862,MappingTables!$B$19:$C$31,2,FALSE))</f>
        <v>3</v>
      </c>
      <c r="K2862" s="72">
        <v>0.29893399835310052</v>
      </c>
      <c r="L2862" s="70">
        <v>0.71855251452942168</v>
      </c>
      <c r="M2862" s="71">
        <f>IF(L2862&lt;1,1,L2862)</f>
        <v>1</v>
      </c>
      <c r="N2862" s="70" t="s">
        <v>141</v>
      </c>
      <c r="O2862" s="71">
        <f>INDEX(DurClassMapping,MATCH(M2862,MappingTables!$D$4:$D$8,-1),1)</f>
        <v>1</v>
      </c>
      <c r="P2862" s="73">
        <f>IF(M2862=$A$1,1,$M2862-INDEX(MappingTables!$E$4:$E$8,MATCH(O2862,MappingTables!$B$4:$B$8,0)))</f>
        <v>1</v>
      </c>
      <c r="Q2862" s="71">
        <f>IF(B2862="",0,INDEX(ModelParameters!$D$6:$K$10,MATCH($O2862,ModelParameters!$B$6:$B$10,0),MATCH($J2862,ModelParameters!$D$5:$K$5,0)))</f>
        <v>0.025</v>
      </c>
      <c r="R2862" s="71">
        <f>IF(B2862="",0,INDEX(ModelParameters!$D$13:$K$17,MATCH($O2862,ModelParameters!$B$13:$B$17,0),MATCH($J2862,ModelParameters!$D$5:$K$5,0)))</f>
        <v>0</v>
      </c>
      <c r="S2862" s="160">
        <f>IF(B2862="",0,MIN(IF($N2862="Other Bond TM",ModelParameters!$N$21,1)*(P2862*Q2862+R2862),1))</f>
        <v>0.025</v>
      </c>
      <c r="T2862" s="85">
        <f>IF(B2862="",0,$S2862*$K2862)</f>
        <v>0.0074733499588275136</v>
      </c>
      <c r="U2862" s="85">
        <f>IF(B2862="",0,IF(OR(H2862=MappingTables!$C$34,H2862=MappingTables!$C$35),T2862,0))</f>
        <v>0</v>
      </c>
      <c r="V2862" s="85">
        <f>IF(ISNA(IF(AND(VLOOKUP(CONCATENATE($D2862,$G2862),CSRFinput!$B:$E,4,0)=0,OR(H2862=MappingTables!$C$34,H2862=MappingTables!$C$35)),1,VLOOKUP(CONCATENATE($D2862,$G2862),CSRFinput!$B:$E,4,0))),0,IF(AND(VLOOKUP(CONCATENATE($D2862,$G2862),CSRFinput!$B:$E,4,0)=0,OR(H2862=MappingTables!$C$34,H2862=MappingTables!$C$35)),1,VLOOKUP(CONCATENATE($D2862,$G2862),CSRFinput!$B:$E,4,0)))</f>
        <v>0.054776304963434752</v>
      </c>
      <c r="W2862" s="85">
        <f>IF(B2862="",0,+$T2862*$V2862)</f>
        <v>0.00040936249644320848</v>
      </c>
      <c r="X2862" s="85">
        <f>IF(B2862="",0,IF(OR(H2862=MappingTables!$C$34,H2862=MappingTables!$C$35),W2862,0))</f>
        <v>0</v>
      </c>
    </row>
    <row r="2863" spans="2:24" s="0" customFormat="0" ht="15">
      <c r="B2863" s="69" t="s">
        <v>921</v>
      </c>
      <c r="C2863" s="70" t="s">
        <v>922</v>
      </c>
      <c r="D2863" s="70" t="s">
        <v>1</v>
      </c>
      <c r="E2863" s="70" t="s">
        <v>1</v>
      </c>
      <c r="F2863" s="70"/>
      <c r="G2863" s="70" t="s">
        <v>61</v>
      </c>
      <c r="H2863" s="70" t="s">
        <v>178</v>
      </c>
      <c r="I2863" s="70" t="s">
        <v>179</v>
      </c>
      <c r="J2863" s="71">
        <f>IF(OR(I2863=0,I2863=""),"unrated",VLOOKUP(I2863,MappingTables!$B$19:$C$31,2,FALSE))</f>
        <v>4</v>
      </c>
      <c r="K2863" s="72">
        <v>30491.359325883892</v>
      </c>
      <c r="L2863" s="70">
        <v>1.8960839612075236</v>
      </c>
      <c r="M2863" s="71">
        <f>IF(L2863&lt;1,1,L2863)</f>
        <v>1.8960839612075236</v>
      </c>
      <c r="N2863" s="70" t="s">
        <v>141</v>
      </c>
      <c r="O2863" s="71">
        <f>INDEX(DurClassMapping,MATCH(M2863,MappingTables!$D$4:$D$8,-1),1)</f>
        <v>1</v>
      </c>
      <c r="P2863" s="73">
        <f>IF(M2863=$A$1,1,$M2863-INDEX(MappingTables!$E$4:$E$8,MATCH(O2863,MappingTables!$B$4:$B$8,0)))</f>
        <v>1.8960839612075236</v>
      </c>
      <c r="Q2863" s="71">
        <f>IF(B2863="",0,INDEX(ModelParameters!$D$6:$K$10,MATCH($O2863,ModelParameters!$B$6:$B$10,0),MATCH($J2863,ModelParameters!$D$5:$K$5,0)))</f>
        <v>0.045</v>
      </c>
      <c r="R2863" s="71">
        <f>IF(B2863="",0,INDEX(ModelParameters!$D$13:$K$17,MATCH($O2863,ModelParameters!$B$13:$B$17,0),MATCH($J2863,ModelParameters!$D$5:$K$5,0)))</f>
        <v>0</v>
      </c>
      <c r="S2863" s="160">
        <f>IF(B2863="",0,MIN(IF($N2863="Other Bond TM",ModelParameters!$N$21,1)*(P2863*Q2863+R2863),1))</f>
        <v>0.08532377825433856</v>
      </c>
      <c r="T2863" s="85">
        <f>IF(B2863="",0,$S2863*$K2863)</f>
        <v>2601.6379817950756</v>
      </c>
      <c r="U2863" s="85">
        <f>IF(B2863="",0,IF(OR(H2863=MappingTables!$C$34,H2863=MappingTables!$C$35),T2863,0))</f>
        <v>0</v>
      </c>
      <c r="V2863" s="85">
        <f>IF(ISNA(IF(AND(VLOOKUP(CONCATENATE($D2863,$G2863),CSRFinput!$B:$E,4,0)=0,OR(H2863=MappingTables!$C$34,H2863=MappingTables!$C$35)),1,VLOOKUP(CONCATENATE($D2863,$G2863),CSRFinput!$B:$E,4,0))),0,IF(AND(VLOOKUP(CONCATENATE($D2863,$G2863),CSRFinput!$B:$E,4,0)=0,OR(H2863=MappingTables!$C$34,H2863=MappingTables!$C$35)),1,VLOOKUP(CONCATENATE($D2863,$G2863),CSRFinput!$B:$E,4,0)))</f>
        <v>0.054776304963434752</v>
      </c>
      <c r="W2863" s="85">
        <f>IF(B2863="",0,+$T2863*$V2863)</f>
        <v>142.50811549526196</v>
      </c>
      <c r="X2863" s="85">
        <f>IF(B2863="",0,IF(OR(H2863=MappingTables!$C$34,H2863=MappingTables!$C$35),W2863,0))</f>
        <v>0</v>
      </c>
    </row>
    <row r="2864" spans="2:24" s="0" customFormat="0" ht="15">
      <c r="B2864" s="69" t="s">
        <v>1656</v>
      </c>
      <c r="C2864" s="70" t="s">
        <v>1657</v>
      </c>
      <c r="D2864" s="70" t="s">
        <v>1</v>
      </c>
      <c r="E2864" s="70" t="s">
        <v>1</v>
      </c>
      <c r="F2864" s="70"/>
      <c r="G2864" s="70" t="s">
        <v>61</v>
      </c>
      <c r="H2864" s="70" t="s">
        <v>178</v>
      </c>
      <c r="I2864" s="70" t="s">
        <v>188</v>
      </c>
      <c r="J2864" s="71">
        <f>IF(OR(I2864=0,I2864=""),"unrated",VLOOKUP(I2864,MappingTables!$B$19:$C$31,2,FALSE))</f>
        <v>2</v>
      </c>
      <c r="K2864" s="72">
        <v>191.95743692993024</v>
      </c>
      <c r="L2864" s="70">
        <v>4.6093063548375752</v>
      </c>
      <c r="M2864" s="71">
        <f>IF(L2864&lt;1,1,L2864)</f>
        <v>4.6093063548375752</v>
      </c>
      <c r="N2864" s="70" t="s">
        <v>141</v>
      </c>
      <c r="O2864" s="71">
        <f>INDEX(DurClassMapping,MATCH(M2864,MappingTables!$D$4:$D$8,-1),1)</f>
        <v>1</v>
      </c>
      <c r="P2864" s="73">
        <f>IF(M2864=$A$1,1,$M2864-INDEX(MappingTables!$E$4:$E$8,MATCH(O2864,MappingTables!$B$4:$B$8,0)))</f>
        <v>4.6093063548375752</v>
      </c>
      <c r="Q2864" s="71">
        <f>IF(B2864="",0,INDEX(ModelParameters!$D$6:$K$10,MATCH($O2864,ModelParameters!$B$6:$B$10,0),MATCH($J2864,ModelParameters!$D$5:$K$5,0)))</f>
        <v>0.013999999999999998</v>
      </c>
      <c r="R2864" s="71">
        <f>IF(B2864="",0,INDEX(ModelParameters!$D$13:$K$17,MATCH($O2864,ModelParameters!$B$13:$B$17,0),MATCH($J2864,ModelParameters!$D$5:$K$5,0)))</f>
        <v>0</v>
      </c>
      <c r="S2864" s="160">
        <f>IF(B2864="",0,MIN(IF($N2864="Other Bond TM",ModelParameters!$N$21,1)*(P2864*Q2864+R2864),1))</f>
        <v>0.06453028896772604</v>
      </c>
      <c r="T2864" s="85">
        <f>IF(B2864="",0,$S2864*$K2864)</f>
        <v>12.387068874592444</v>
      </c>
      <c r="U2864" s="85">
        <f>IF(B2864="",0,IF(OR(H2864=MappingTables!$C$34,H2864=MappingTables!$C$35),T2864,0))</f>
        <v>0</v>
      </c>
      <c r="V2864" s="85">
        <f>IF(ISNA(IF(AND(VLOOKUP(CONCATENATE($D2864,$G2864),CSRFinput!$B:$E,4,0)=0,OR(H2864=MappingTables!$C$34,H2864=MappingTables!$C$35)),1,VLOOKUP(CONCATENATE($D2864,$G2864),CSRFinput!$B:$E,4,0))),0,IF(AND(VLOOKUP(CONCATENATE($D2864,$G2864),CSRFinput!$B:$E,4,0)=0,OR(H2864=MappingTables!$C$34,H2864=MappingTables!$C$35)),1,VLOOKUP(CONCATENATE($D2864,$G2864),CSRFinput!$B:$E,4,0)))</f>
        <v>0.054776304963434752</v>
      </c>
      <c r="W2864" s="85">
        <f>IF(B2864="",0,+$T2864*$V2864)</f>
        <v>0.67851786227774624</v>
      </c>
      <c r="X2864" s="85">
        <f>IF(B2864="",0,IF(OR(H2864=MappingTables!$C$34,H2864=MappingTables!$C$35),W2864,0))</f>
        <v>0</v>
      </c>
    </row>
    <row r="2865" spans="2:24" s="0" customFormat="0" ht="15">
      <c r="B2865" s="69">
        <v>19843127</v>
      </c>
      <c r="C2865" s="70" t="s">
        <v>1674</v>
      </c>
      <c r="D2865" s="70" t="s">
        <v>1</v>
      </c>
      <c r="E2865" s="70" t="s">
        <v>1</v>
      </c>
      <c r="F2865" s="70"/>
      <c r="G2865" s="70" t="s">
        <v>61</v>
      </c>
      <c r="H2865" s="70" t="s">
        <v>178</v>
      </c>
      <c r="I2865" s="70" t="s">
        <v>188</v>
      </c>
      <c r="J2865" s="71">
        <f>IF(OR(I2865=0,I2865=""),"unrated",VLOOKUP(I2865,MappingTables!$B$19:$C$31,2,FALSE))</f>
        <v>2</v>
      </c>
      <c r="K2865" s="72">
        <v>2785.296936416044</v>
      </c>
      <c r="L2865" s="70">
        <v>1.639680092239334</v>
      </c>
      <c r="M2865" s="71">
        <f>IF(L2865&lt;1,1,L2865)</f>
        <v>1.639680092239334</v>
      </c>
      <c r="N2865" s="70" t="s">
        <v>141</v>
      </c>
      <c r="O2865" s="71">
        <f>INDEX(DurClassMapping,MATCH(M2865,MappingTables!$D$4:$D$8,-1),1)</f>
        <v>1</v>
      </c>
      <c r="P2865" s="73">
        <f>IF(M2865=$A$1,1,$M2865-INDEX(MappingTables!$E$4:$E$8,MATCH(O2865,MappingTables!$B$4:$B$8,0)))</f>
        <v>1.639680092239334</v>
      </c>
      <c r="Q2865" s="71">
        <f>IF(B2865="",0,INDEX(ModelParameters!$D$6:$K$10,MATCH($O2865,ModelParameters!$B$6:$B$10,0),MATCH($J2865,ModelParameters!$D$5:$K$5,0)))</f>
        <v>0.013999999999999998</v>
      </c>
      <c r="R2865" s="71">
        <f>IF(B2865="",0,INDEX(ModelParameters!$D$13:$K$17,MATCH($O2865,ModelParameters!$B$13:$B$17,0),MATCH($J2865,ModelParameters!$D$5:$K$5,0)))</f>
        <v>0</v>
      </c>
      <c r="S2865" s="160">
        <f>IF(B2865="",0,MIN(IF($N2865="Other Bond TM",ModelParameters!$N$21,1)*(P2865*Q2865+R2865),1))</f>
        <v>0.022955521291350672</v>
      </c>
      <c r="T2865" s="85">
        <f>IF(B2865="",0,$S2865*$K2865)</f>
        <v>63.937943126632296</v>
      </c>
      <c r="U2865" s="85">
        <f>IF(B2865="",0,IF(OR(H2865=MappingTables!$C$34,H2865=MappingTables!$C$35),T2865,0))</f>
        <v>0</v>
      </c>
      <c r="V2865" s="85">
        <f>IF(ISNA(IF(AND(VLOOKUP(CONCATENATE($D2865,$G2865),CSRFinput!$B:$E,4,0)=0,OR(H2865=MappingTables!$C$34,H2865=MappingTables!$C$35)),1,VLOOKUP(CONCATENATE($D2865,$G2865),CSRFinput!$B:$E,4,0))),0,IF(AND(VLOOKUP(CONCATENATE($D2865,$G2865),CSRFinput!$B:$E,4,0)=0,OR(H2865=MappingTables!$C$34,H2865=MappingTables!$C$35)),1,VLOOKUP(CONCATENATE($D2865,$G2865),CSRFinput!$B:$E,4,0)))</f>
        <v>0.054776304963434752</v>
      </c>
      <c r="W2865" s="85">
        <f>IF(B2865="",0,+$T2865*$V2865)</f>
        <v>3.5022842714391576</v>
      </c>
      <c r="X2865" s="85">
        <f>IF(B2865="",0,IF(OR(H2865=MappingTables!$C$34,H2865=MappingTables!$C$35),W2865,0))</f>
        <v>0</v>
      </c>
    </row>
    <row r="2866" spans="2:24" s="0" customFormat="0" ht="15">
      <c r="B2866" s="69">
        <v>12610612</v>
      </c>
      <c r="C2866" s="70" t="s">
        <v>533</v>
      </c>
      <c r="D2866" s="70" t="s">
        <v>1</v>
      </c>
      <c r="E2866" s="70" t="s">
        <v>1</v>
      </c>
      <c r="F2866" s="70"/>
      <c r="G2866" s="70" t="s">
        <v>61</v>
      </c>
      <c r="H2866" s="70" t="s">
        <v>178</v>
      </c>
      <c r="I2866" s="70" t="s">
        <v>188</v>
      </c>
      <c r="J2866" s="71">
        <f>IF(OR(I2866=0,I2866=""),"unrated",VLOOKUP(I2866,MappingTables!$B$19:$C$31,2,FALSE))</f>
        <v>2</v>
      </c>
      <c r="K2866" s="72">
        <v>125.68159180614548</v>
      </c>
      <c r="L2866" s="70">
        <v>0.6407656150590236</v>
      </c>
      <c r="M2866" s="71">
        <f>IF(L2866&lt;1,1,L2866)</f>
        <v>1</v>
      </c>
      <c r="N2866" s="70" t="s">
        <v>141</v>
      </c>
      <c r="O2866" s="71">
        <f>INDEX(DurClassMapping,MATCH(M2866,MappingTables!$D$4:$D$8,-1),1)</f>
        <v>1</v>
      </c>
      <c r="P2866" s="73">
        <f>IF(M2866=$A$1,1,$M2866-INDEX(MappingTables!$E$4:$E$8,MATCH(O2866,MappingTables!$B$4:$B$8,0)))</f>
        <v>1</v>
      </c>
      <c r="Q2866" s="71">
        <f>IF(B2866="",0,INDEX(ModelParameters!$D$6:$K$10,MATCH($O2866,ModelParameters!$B$6:$B$10,0),MATCH($J2866,ModelParameters!$D$5:$K$5,0)))</f>
        <v>0.013999999999999998</v>
      </c>
      <c r="R2866" s="71">
        <f>IF(B2866="",0,INDEX(ModelParameters!$D$13:$K$17,MATCH($O2866,ModelParameters!$B$13:$B$17,0),MATCH($J2866,ModelParameters!$D$5:$K$5,0)))</f>
        <v>0</v>
      </c>
      <c r="S2866" s="160">
        <f>IF(B2866="",0,MIN(IF($N2866="Other Bond TM",ModelParameters!$N$21,1)*(P2866*Q2866+R2866),1))</f>
        <v>0.013999999999999998</v>
      </c>
      <c r="T2866" s="85">
        <f>IF(B2866="",0,$S2866*$K2866)</f>
        <v>1.7595422852860366</v>
      </c>
      <c r="U2866" s="85">
        <f>IF(B2866="",0,IF(OR(H2866=MappingTables!$C$34,H2866=MappingTables!$C$35),T2866,0))</f>
        <v>0</v>
      </c>
      <c r="V2866" s="85">
        <f>IF(ISNA(IF(AND(VLOOKUP(CONCATENATE($D2866,$G2866),CSRFinput!$B:$E,4,0)=0,OR(H2866=MappingTables!$C$34,H2866=MappingTables!$C$35)),1,VLOOKUP(CONCATENATE($D2866,$G2866),CSRFinput!$B:$E,4,0))),0,IF(AND(VLOOKUP(CONCATENATE($D2866,$G2866),CSRFinput!$B:$E,4,0)=0,OR(H2866=MappingTables!$C$34,H2866=MappingTables!$C$35)),1,VLOOKUP(CONCATENATE($D2866,$G2866),CSRFinput!$B:$E,4,0)))</f>
        <v>0.054776304963434752</v>
      </c>
      <c r="W2866" s="85">
        <f>IF(B2866="",0,+$T2866*$V2866)</f>
        <v>0.096381224814886848</v>
      </c>
      <c r="X2866" s="85">
        <f>IF(B2866="",0,IF(OR(H2866=MappingTables!$C$34,H2866=MappingTables!$C$35),W2866,0))</f>
        <v>0</v>
      </c>
    </row>
    <row r="2867" spans="2:24" s="0" customFormat="0" ht="15">
      <c r="B2867" s="69" t="s">
        <v>1239</v>
      </c>
      <c r="C2867" s="70" t="s">
        <v>1240</v>
      </c>
      <c r="D2867" s="70" t="s">
        <v>1</v>
      </c>
      <c r="E2867" s="70" t="s">
        <v>1</v>
      </c>
      <c r="F2867" s="70"/>
      <c r="G2867" s="70" t="s">
        <v>61</v>
      </c>
      <c r="H2867" s="70" t="s">
        <v>178</v>
      </c>
      <c r="I2867" s="70" t="s">
        <v>181</v>
      </c>
      <c r="J2867" s="71">
        <f>IF(OR(I2867=0,I2867=""),"unrated",VLOOKUP(I2867,MappingTables!$B$19:$C$31,2,FALSE))</f>
        <v>3</v>
      </c>
      <c r="K2867" s="72">
        <v>23341.002811390004</v>
      </c>
      <c r="L2867" s="70">
        <v>2.5701662064311096</v>
      </c>
      <c r="M2867" s="71">
        <f>IF(L2867&lt;1,1,L2867)</f>
        <v>2.5701662064311096</v>
      </c>
      <c r="N2867" s="70" t="s">
        <v>141</v>
      </c>
      <c r="O2867" s="71">
        <f>INDEX(DurClassMapping,MATCH(M2867,MappingTables!$D$4:$D$8,-1),1)</f>
        <v>1</v>
      </c>
      <c r="P2867" s="73">
        <f>IF(M2867=$A$1,1,$M2867-INDEX(MappingTables!$E$4:$E$8,MATCH(O2867,MappingTables!$B$4:$B$8,0)))</f>
        <v>2.5701662064311096</v>
      </c>
      <c r="Q2867" s="71">
        <f>IF(B2867="",0,INDEX(ModelParameters!$D$6:$K$10,MATCH($O2867,ModelParameters!$B$6:$B$10,0),MATCH($J2867,ModelParameters!$D$5:$K$5,0)))</f>
        <v>0.025</v>
      </c>
      <c r="R2867" s="71">
        <f>IF(B2867="",0,INDEX(ModelParameters!$D$13:$K$17,MATCH($O2867,ModelParameters!$B$13:$B$17,0),MATCH($J2867,ModelParameters!$D$5:$K$5,0)))</f>
        <v>0</v>
      </c>
      <c r="S2867" s="160">
        <f>IF(B2867="",0,MIN(IF($N2867="Other Bond TM",ModelParameters!$N$21,1)*(P2867*Q2867+R2867),1))</f>
        <v>0.064254155160777744</v>
      </c>
      <c r="T2867" s="85">
        <f>IF(B2867="",0,$S2867*$K2867)</f>
        <v>1499.7564162512028</v>
      </c>
      <c r="U2867" s="85">
        <f>IF(B2867="",0,IF(OR(H2867=MappingTables!$C$34,H2867=MappingTables!$C$35),T2867,0))</f>
        <v>0</v>
      </c>
      <c r="V2867" s="85">
        <f>IF(ISNA(IF(AND(VLOOKUP(CONCATENATE($D2867,$G2867),CSRFinput!$B:$E,4,0)=0,OR(H2867=MappingTables!$C$34,H2867=MappingTables!$C$35)),1,VLOOKUP(CONCATENATE($D2867,$G2867),CSRFinput!$B:$E,4,0))),0,IF(AND(VLOOKUP(CONCATENATE($D2867,$G2867),CSRFinput!$B:$E,4,0)=0,OR(H2867=MappingTables!$C$34,H2867=MappingTables!$C$35)),1,VLOOKUP(CONCATENATE($D2867,$G2867),CSRFinput!$B:$E,4,0)))</f>
        <v>0.054776304963434752</v>
      </c>
      <c r="W2867" s="85">
        <f>IF(B2867="",0,+$T2867*$V2867)</f>
        <v>82.151114827443872</v>
      </c>
      <c r="X2867" s="85">
        <f>IF(B2867="",0,IF(OR(H2867=MappingTables!$C$34,H2867=MappingTables!$C$35),W2867,0))</f>
        <v>0</v>
      </c>
    </row>
    <row r="2868" spans="2:24" s="0" customFormat="0" ht="15">
      <c r="B2868" s="69">
        <v>19743067</v>
      </c>
      <c r="C2868" s="70" t="s">
        <v>2628</v>
      </c>
      <c r="D2868" s="70" t="s">
        <v>1</v>
      </c>
      <c r="E2868" s="70" t="s">
        <v>1</v>
      </c>
      <c r="F2868" s="70"/>
      <c r="G2868" s="70" t="s">
        <v>61</v>
      </c>
      <c r="H2868" s="70" t="s">
        <v>178</v>
      </c>
      <c r="I2868" s="70" t="s">
        <v>220</v>
      </c>
      <c r="J2868" s="71">
        <f>IF(OR(I2868=0,I2868=""),"unrated",VLOOKUP(I2868,MappingTables!$B$19:$C$31,2,FALSE))</f>
        <v>1</v>
      </c>
      <c r="K2868" s="72">
        <v>95370.412694438576</v>
      </c>
      <c r="L2868" s="70">
        <v>0.3690523437611496</v>
      </c>
      <c r="M2868" s="71">
        <f>IF(L2868&lt;1,1,L2868)</f>
        <v>1</v>
      </c>
      <c r="N2868" s="70" t="s">
        <v>141</v>
      </c>
      <c r="O2868" s="71">
        <f>INDEX(DurClassMapping,MATCH(M2868,MappingTables!$D$4:$D$8,-1),1)</f>
        <v>1</v>
      </c>
      <c r="P2868" s="73">
        <f>IF(M2868=$A$1,1,$M2868-INDEX(MappingTables!$E$4:$E$8,MATCH(O2868,MappingTables!$B$4:$B$8,0)))</f>
        <v>1</v>
      </c>
      <c r="Q2868" s="71">
        <f>IF(B2868="",0,INDEX(ModelParameters!$D$6:$K$10,MATCH($O2868,ModelParameters!$B$6:$B$10,0),MATCH($J2868,ModelParameters!$D$5:$K$5,0)))</f>
        <v>0.011000000000000002</v>
      </c>
      <c r="R2868" s="71">
        <f>IF(B2868="",0,INDEX(ModelParameters!$D$13:$K$17,MATCH($O2868,ModelParameters!$B$13:$B$17,0),MATCH($J2868,ModelParameters!$D$5:$K$5,0)))</f>
        <v>0</v>
      </c>
      <c r="S2868" s="160">
        <f>IF(B2868="",0,MIN(IF($N2868="Other Bond TM",ModelParameters!$N$21,1)*(P2868*Q2868+R2868),1))</f>
        <v>0.011000000000000002</v>
      </c>
      <c r="T2868" s="85">
        <f>IF(B2868="",0,$S2868*$K2868)</f>
        <v>1049.0745396388244</v>
      </c>
      <c r="U2868" s="85">
        <f>IF(B2868="",0,IF(OR(H2868=MappingTables!$C$34,H2868=MappingTables!$C$35),T2868,0))</f>
        <v>0</v>
      </c>
      <c r="V2868" s="85">
        <f>IF(ISNA(IF(AND(VLOOKUP(CONCATENATE($D2868,$G2868),CSRFinput!$B:$E,4,0)=0,OR(H2868=MappingTables!$C$34,H2868=MappingTables!$C$35)),1,VLOOKUP(CONCATENATE($D2868,$G2868),CSRFinput!$B:$E,4,0))),0,IF(AND(VLOOKUP(CONCATENATE($D2868,$G2868),CSRFinput!$B:$E,4,0)=0,OR(H2868=MappingTables!$C$34,H2868=MappingTables!$C$35)),1,VLOOKUP(CONCATENATE($D2868,$G2868),CSRFinput!$B:$E,4,0)))</f>
        <v>0.054776304963434752</v>
      </c>
      <c r="W2868" s="85">
        <f>IF(B2868="",0,+$T2868*$V2868)</f>
        <v>57.464426912631168</v>
      </c>
      <c r="X2868" s="85">
        <f>IF(B2868="",0,IF(OR(H2868=MappingTables!$C$34,H2868=MappingTables!$C$35),W2868,0))</f>
        <v>0</v>
      </c>
    </row>
    <row r="2869" spans="2:24" s="0" customFormat="0" ht="15">
      <c r="B2869" s="69">
        <v>19494656</v>
      </c>
      <c r="C2869" s="70" t="s">
        <v>2629</v>
      </c>
      <c r="D2869" s="70" t="s">
        <v>1</v>
      </c>
      <c r="E2869" s="70" t="s">
        <v>1</v>
      </c>
      <c r="F2869" s="70"/>
      <c r="G2869" s="70" t="s">
        <v>61</v>
      </c>
      <c r="H2869" s="70" t="s">
        <v>178</v>
      </c>
      <c r="I2869" s="70" t="s">
        <v>184</v>
      </c>
      <c r="J2869" s="71">
        <f>IF(OR(I2869=0,I2869=""),"unrated",VLOOKUP(I2869,MappingTables!$B$19:$C$31,2,FALSE))</f>
        <v>5</v>
      </c>
      <c r="K2869" s="72">
        <v>6164.4343616500808</v>
      </c>
      <c r="L2869" s="70">
        <v>0.29315108667042168</v>
      </c>
      <c r="M2869" s="71">
        <f>IF(L2869&lt;1,1,L2869)</f>
        <v>1</v>
      </c>
      <c r="N2869" s="70" t="s">
        <v>141</v>
      </c>
      <c r="O2869" s="71">
        <f>INDEX(DurClassMapping,MATCH(M2869,MappingTables!$D$4:$D$8,-1),1)</f>
        <v>1</v>
      </c>
      <c r="P2869" s="73">
        <f>IF(M2869=$A$1,1,$M2869-INDEX(MappingTables!$E$4:$E$8,MATCH(O2869,MappingTables!$B$4:$B$8,0)))</f>
        <v>1</v>
      </c>
      <c r="Q2869" s="71">
        <f>IF(B2869="",0,INDEX(ModelParameters!$D$6:$K$10,MATCH($O2869,ModelParameters!$B$6:$B$10,0),MATCH($J2869,ModelParameters!$D$5:$K$5,0)))</f>
        <v>0.075</v>
      </c>
      <c r="R2869" s="71">
        <f>IF(B2869="",0,INDEX(ModelParameters!$D$13:$K$17,MATCH($O2869,ModelParameters!$B$13:$B$17,0),MATCH($J2869,ModelParameters!$D$5:$K$5,0)))</f>
        <v>0</v>
      </c>
      <c r="S2869" s="160">
        <f>IF(B2869="",0,MIN(IF($N2869="Other Bond TM",ModelParameters!$N$21,1)*(P2869*Q2869+R2869),1))</f>
        <v>0.075</v>
      </c>
      <c r="T2869" s="85">
        <f>IF(B2869="",0,$S2869*$K2869)</f>
        <v>462.332577123756</v>
      </c>
      <c r="U2869" s="85">
        <f>IF(B2869="",0,IF(OR(H2869=MappingTables!$C$34,H2869=MappingTables!$C$35),T2869,0))</f>
        <v>0</v>
      </c>
      <c r="V2869" s="85">
        <f>IF(ISNA(IF(AND(VLOOKUP(CONCATENATE($D2869,$G2869),CSRFinput!$B:$E,4,0)=0,OR(H2869=MappingTables!$C$34,H2869=MappingTables!$C$35)),1,VLOOKUP(CONCATENATE($D2869,$G2869),CSRFinput!$B:$E,4,0))),0,IF(AND(VLOOKUP(CONCATENATE($D2869,$G2869),CSRFinput!$B:$E,4,0)=0,OR(H2869=MappingTables!$C$34,H2869=MappingTables!$C$35)),1,VLOOKUP(CONCATENATE($D2869,$G2869),CSRFinput!$B:$E,4,0)))</f>
        <v>0.054776304963434752</v>
      </c>
      <c r="W2869" s="85">
        <f>IF(B2869="",0,+$T2869*$V2869)</f>
        <v>25.32487023906158</v>
      </c>
      <c r="X2869" s="85">
        <f>IF(B2869="",0,IF(OR(H2869=MappingTables!$C$34,H2869=MappingTables!$C$35),W2869,0))</f>
        <v>0</v>
      </c>
    </row>
    <row r="2870" spans="2:24" s="0" customFormat="0" ht="15">
      <c r="B2870" s="69">
        <v>23545454</v>
      </c>
      <c r="C2870" s="70" t="s">
        <v>1450</v>
      </c>
      <c r="D2870" s="70" t="s">
        <v>1</v>
      </c>
      <c r="E2870" s="70" t="s">
        <v>1</v>
      </c>
      <c r="F2870" s="70"/>
      <c r="G2870" s="70" t="s">
        <v>61</v>
      </c>
      <c r="H2870" s="70" t="s">
        <v>178</v>
      </c>
      <c r="I2870" s="70" t="s">
        <v>181</v>
      </c>
      <c r="J2870" s="71">
        <f>IF(OR(I2870=0,I2870=""),"unrated",VLOOKUP(I2870,MappingTables!$B$19:$C$31,2,FALSE))</f>
        <v>3</v>
      </c>
      <c r="K2870" s="72">
        <v>597.64397105198376</v>
      </c>
      <c r="L2870" s="70">
        <v>0.032878356264996036</v>
      </c>
      <c r="M2870" s="71">
        <f>IF(L2870&lt;1,1,L2870)</f>
        <v>1</v>
      </c>
      <c r="N2870" s="70" t="s">
        <v>141</v>
      </c>
      <c r="O2870" s="71">
        <f>INDEX(DurClassMapping,MATCH(M2870,MappingTables!$D$4:$D$8,-1),1)</f>
        <v>1</v>
      </c>
      <c r="P2870" s="73">
        <f>IF(M2870=$A$1,1,$M2870-INDEX(MappingTables!$E$4:$E$8,MATCH(O2870,MappingTables!$B$4:$B$8,0)))</f>
        <v>1</v>
      </c>
      <c r="Q2870" s="71">
        <f>IF(B2870="",0,INDEX(ModelParameters!$D$6:$K$10,MATCH($O2870,ModelParameters!$B$6:$B$10,0),MATCH($J2870,ModelParameters!$D$5:$K$5,0)))</f>
        <v>0.025</v>
      </c>
      <c r="R2870" s="71">
        <f>IF(B2870="",0,INDEX(ModelParameters!$D$13:$K$17,MATCH($O2870,ModelParameters!$B$13:$B$17,0),MATCH($J2870,ModelParameters!$D$5:$K$5,0)))</f>
        <v>0</v>
      </c>
      <c r="S2870" s="160">
        <f>IF(B2870="",0,MIN(IF($N2870="Other Bond TM",ModelParameters!$N$21,1)*(P2870*Q2870+R2870),1))</f>
        <v>0.025</v>
      </c>
      <c r="T2870" s="85">
        <f>IF(B2870="",0,$S2870*$K2870)</f>
        <v>14.941099276299594</v>
      </c>
      <c r="U2870" s="85">
        <f>IF(B2870="",0,IF(OR(H2870=MappingTables!$C$34,H2870=MappingTables!$C$35),T2870,0))</f>
        <v>0</v>
      </c>
      <c r="V2870" s="85">
        <f>IF(ISNA(IF(AND(VLOOKUP(CONCATENATE($D2870,$G2870),CSRFinput!$B:$E,4,0)=0,OR(H2870=MappingTables!$C$34,H2870=MappingTables!$C$35)),1,VLOOKUP(CONCATENATE($D2870,$G2870),CSRFinput!$B:$E,4,0))),0,IF(AND(VLOOKUP(CONCATENATE($D2870,$G2870),CSRFinput!$B:$E,4,0)=0,OR(H2870=MappingTables!$C$34,H2870=MappingTables!$C$35)),1,VLOOKUP(CONCATENATE($D2870,$G2870),CSRFinput!$B:$E,4,0)))</f>
        <v>0.054776304963434752</v>
      </c>
      <c r="W2870" s="85">
        <f>IF(B2870="",0,+$T2870*$V2870)</f>
        <v>0.8184182104475408</v>
      </c>
      <c r="X2870" s="85">
        <f>IF(B2870="",0,IF(OR(H2870=MappingTables!$C$34,H2870=MappingTables!$C$35),W2870,0))</f>
        <v>0</v>
      </c>
    </row>
    <row r="2871" spans="2:24" s="0" customFormat="0" ht="15">
      <c r="B2871" s="69" t="s">
        <v>2630</v>
      </c>
      <c r="C2871" s="70" t="s">
        <v>2631</v>
      </c>
      <c r="D2871" s="70" t="s">
        <v>1</v>
      </c>
      <c r="E2871" s="70" t="s">
        <v>1</v>
      </c>
      <c r="F2871" s="70"/>
      <c r="G2871" s="70" t="s">
        <v>61</v>
      </c>
      <c r="H2871" s="70" t="s">
        <v>178</v>
      </c>
      <c r="I2871" s="70" t="s">
        <v>198</v>
      </c>
      <c r="J2871" s="71" t="str">
        <f>IF(OR(I2871=0,I2871=""),"unrated",VLOOKUP(I2871,MappingTables!$B$19:$C$31,2,FALSE))</f>
        <v>unrated</v>
      </c>
      <c r="K2871" s="72">
        <v>0.12048355868525392</v>
      </c>
      <c r="L2871" s="70">
        <v>0.26301437423301192</v>
      </c>
      <c r="M2871" s="71">
        <f>IF(L2871&lt;1,1,L2871)</f>
        <v>1</v>
      </c>
      <c r="N2871" s="70" t="s">
        <v>141</v>
      </c>
      <c r="O2871" s="71">
        <f>INDEX(DurClassMapping,MATCH(M2871,MappingTables!$D$4:$D$8,-1),1)</f>
        <v>1</v>
      </c>
      <c r="P2871" s="73">
        <f>IF(M2871=$A$1,1,$M2871-INDEX(MappingTables!$E$4:$E$8,MATCH(O2871,MappingTables!$B$4:$B$8,0)))</f>
        <v>1</v>
      </c>
      <c r="Q2871" s="71">
        <f>IF(B2871="",0,INDEX(ModelParameters!$D$6:$K$10,MATCH($O2871,ModelParameters!$B$6:$B$10,0),MATCH($J2871,ModelParameters!$D$5:$K$5,0)))</f>
        <v>0.03</v>
      </c>
      <c r="R2871" s="71">
        <f>IF(B2871="",0,INDEX(ModelParameters!$D$13:$K$17,MATCH($O2871,ModelParameters!$B$13:$B$17,0),MATCH($J2871,ModelParameters!$D$5:$K$5,0)))</f>
        <v>0</v>
      </c>
      <c r="S2871" s="160">
        <f>IF(B2871="",0,MIN(IF($N2871="Other Bond TM",ModelParameters!$N$21,1)*(P2871*Q2871+R2871),1))</f>
        <v>0.03</v>
      </c>
      <c r="T2871" s="85">
        <f>IF(B2871="",0,$S2871*$K2871)</f>
        <v>0.0036145067605576176</v>
      </c>
      <c r="U2871" s="85">
        <f>IF(B2871="",0,IF(OR(H2871=MappingTables!$C$34,H2871=MappingTables!$C$35),T2871,0))</f>
        <v>0</v>
      </c>
      <c r="V2871" s="85">
        <f>IF(ISNA(IF(AND(VLOOKUP(CONCATENATE($D2871,$G2871),CSRFinput!$B:$E,4,0)=0,OR(H2871=MappingTables!$C$34,H2871=MappingTables!$C$35)),1,VLOOKUP(CONCATENATE($D2871,$G2871),CSRFinput!$B:$E,4,0))),0,IF(AND(VLOOKUP(CONCATENATE($D2871,$G2871),CSRFinput!$B:$E,4,0)=0,OR(H2871=MappingTables!$C$34,H2871=MappingTables!$C$35)),1,VLOOKUP(CONCATENATE($D2871,$G2871),CSRFinput!$B:$E,4,0)))</f>
        <v>0.054776304963434752</v>
      </c>
      <c r="W2871" s="85">
        <f>IF(B2871="",0,+$T2871*$V2871)</f>
        <v>0.00019798932460870068</v>
      </c>
      <c r="X2871" s="85">
        <f>IF(B2871="",0,IF(OR(H2871=MappingTables!$C$34,H2871=MappingTables!$C$35),W2871,0))</f>
        <v>0</v>
      </c>
    </row>
    <row r="2872" spans="2:24" s="0" customFormat="0" ht="15">
      <c r="B2872" s="69">
        <v>20204088</v>
      </c>
      <c r="C2872" s="70" t="s">
        <v>2058</v>
      </c>
      <c r="D2872" s="70" t="s">
        <v>1</v>
      </c>
      <c r="E2872" s="70" t="s">
        <v>1</v>
      </c>
      <c r="F2872" s="70"/>
      <c r="G2872" s="70" t="s">
        <v>61</v>
      </c>
      <c r="H2872" s="70" t="s">
        <v>178</v>
      </c>
      <c r="I2872" s="70" t="s">
        <v>181</v>
      </c>
      <c r="J2872" s="71">
        <f>IF(OR(I2872=0,I2872=""),"unrated",VLOOKUP(I2872,MappingTables!$B$19:$C$31,2,FALSE))</f>
        <v>3</v>
      </c>
      <c r="K2872" s="72">
        <v>1885.649657146266</v>
      </c>
      <c r="L2872" s="70">
        <v>7.1689602326672152</v>
      </c>
      <c r="M2872" s="71">
        <f>IF(L2872&lt;1,1,L2872)</f>
        <v>7.1689602326672152</v>
      </c>
      <c r="N2872" s="70" t="s">
        <v>141</v>
      </c>
      <c r="O2872" s="71">
        <f>INDEX(DurClassMapping,MATCH(M2872,MappingTables!$D$4:$D$8,-1),1)</f>
        <v>2</v>
      </c>
      <c r="P2872" s="73">
        <f>IF(M2872=$A$1,1,$M2872-INDEX(MappingTables!$E$4:$E$8,MATCH(O2872,MappingTables!$B$4:$B$8,0)))</f>
        <v>2.1689602326672156</v>
      </c>
      <c r="Q2872" s="71">
        <f>IF(B2872="",0,INDEX(ModelParameters!$D$6:$K$10,MATCH($O2872,ModelParameters!$B$6:$B$10,0),MATCH($J2872,ModelParameters!$D$5:$K$5,0)))</f>
        <v>0.015</v>
      </c>
      <c r="R2872" s="71">
        <f>IF(B2872="",0,INDEX(ModelParameters!$D$13:$K$17,MATCH($O2872,ModelParameters!$B$13:$B$17,0),MATCH($J2872,ModelParameters!$D$5:$K$5,0)))</f>
        <v>0.125</v>
      </c>
      <c r="S2872" s="160">
        <f>IF(B2872="",0,MIN(IF($N2872="Other Bond TM",ModelParameters!$N$21,1)*(P2872*Q2872+R2872),1))</f>
        <v>0.15753440349000824</v>
      </c>
      <c r="T2872" s="85">
        <f>IF(B2872="",0,$S2872*$K2872)</f>
        <v>297.05469392967556</v>
      </c>
      <c r="U2872" s="85">
        <f>IF(B2872="",0,IF(OR(H2872=MappingTables!$C$34,H2872=MappingTables!$C$35),T2872,0))</f>
        <v>0</v>
      </c>
      <c r="V2872" s="85">
        <f>IF(ISNA(IF(AND(VLOOKUP(CONCATENATE($D2872,$G2872),CSRFinput!$B:$E,4,0)=0,OR(H2872=MappingTables!$C$34,H2872=MappingTables!$C$35)),1,VLOOKUP(CONCATENATE($D2872,$G2872),CSRFinput!$B:$E,4,0))),0,IF(AND(VLOOKUP(CONCATENATE($D2872,$G2872),CSRFinput!$B:$E,4,0)=0,OR(H2872=MappingTables!$C$34,H2872=MappingTables!$C$35)),1,VLOOKUP(CONCATENATE($D2872,$G2872),CSRFinput!$B:$E,4,0)))</f>
        <v>0.054776304963434752</v>
      </c>
      <c r="W2872" s="85">
        <f>IF(B2872="",0,+$T2872*$V2872)</f>
        <v>16.271558505511682</v>
      </c>
      <c r="X2872" s="85">
        <f>IF(B2872="",0,IF(OR(H2872=MappingTables!$C$34,H2872=MappingTables!$C$35),W2872,0))</f>
        <v>0</v>
      </c>
    </row>
    <row r="2873" spans="2:24" s="0" customFormat="0" ht="15">
      <c r="B2873" s="69">
        <v>13721933</v>
      </c>
      <c r="C2873" s="70" t="s">
        <v>2632</v>
      </c>
      <c r="D2873" s="70" t="s">
        <v>1</v>
      </c>
      <c r="E2873" s="70" t="s">
        <v>1</v>
      </c>
      <c r="F2873" s="70"/>
      <c r="G2873" s="70" t="s">
        <v>61</v>
      </c>
      <c r="H2873" s="70" t="s">
        <v>178</v>
      </c>
      <c r="I2873" s="70" t="s">
        <v>179</v>
      </c>
      <c r="J2873" s="71">
        <f>IF(OR(I2873=0,I2873=""),"unrated",VLOOKUP(I2873,MappingTables!$B$19:$C$31,2,FALSE))</f>
        <v>4</v>
      </c>
      <c r="K2873" s="72">
        <v>513.07055053732744</v>
      </c>
      <c r="L2873" s="70">
        <v>0.041092594505656896</v>
      </c>
      <c r="M2873" s="71">
        <f>IF(L2873&lt;1,1,L2873)</f>
        <v>1</v>
      </c>
      <c r="N2873" s="70" t="s">
        <v>141</v>
      </c>
      <c r="O2873" s="71">
        <f>INDEX(DurClassMapping,MATCH(M2873,MappingTables!$D$4:$D$8,-1),1)</f>
        <v>1</v>
      </c>
      <c r="P2873" s="73">
        <f>IF(M2873=$A$1,1,$M2873-INDEX(MappingTables!$E$4:$E$8,MATCH(O2873,MappingTables!$B$4:$B$8,0)))</f>
        <v>1</v>
      </c>
      <c r="Q2873" s="71">
        <f>IF(B2873="",0,INDEX(ModelParameters!$D$6:$K$10,MATCH($O2873,ModelParameters!$B$6:$B$10,0),MATCH($J2873,ModelParameters!$D$5:$K$5,0)))</f>
        <v>0.045</v>
      </c>
      <c r="R2873" s="71">
        <f>IF(B2873="",0,INDEX(ModelParameters!$D$13:$K$17,MATCH($O2873,ModelParameters!$B$13:$B$17,0),MATCH($J2873,ModelParameters!$D$5:$K$5,0)))</f>
        <v>0</v>
      </c>
      <c r="S2873" s="160">
        <f>IF(B2873="",0,MIN(IF($N2873="Other Bond TM",ModelParameters!$N$21,1)*(P2873*Q2873+R2873),1))</f>
        <v>0.045</v>
      </c>
      <c r="T2873" s="85">
        <f>IF(B2873="",0,$S2873*$K2873)</f>
        <v>23.088174774179736</v>
      </c>
      <c r="U2873" s="85">
        <f>IF(B2873="",0,IF(OR(H2873=MappingTables!$C$34,H2873=MappingTables!$C$35),T2873,0))</f>
        <v>0</v>
      </c>
      <c r="V2873" s="85">
        <f>IF(ISNA(IF(AND(VLOOKUP(CONCATENATE($D2873,$G2873),CSRFinput!$B:$E,4,0)=0,OR(H2873=MappingTables!$C$34,H2873=MappingTables!$C$35)),1,VLOOKUP(CONCATENATE($D2873,$G2873),CSRFinput!$B:$E,4,0))),0,IF(AND(VLOOKUP(CONCATENATE($D2873,$G2873),CSRFinput!$B:$E,4,0)=0,OR(H2873=MappingTables!$C$34,H2873=MappingTables!$C$35)),1,VLOOKUP(CONCATENATE($D2873,$G2873),CSRFinput!$B:$E,4,0)))</f>
        <v>0.054776304963434752</v>
      </c>
      <c r="W2873" s="85">
        <f>IF(B2873="",0,+$T2873*$V2873)</f>
        <v>1.2646849024795504</v>
      </c>
      <c r="X2873" s="85">
        <f>IF(B2873="",0,IF(OR(H2873=MappingTables!$C$34,H2873=MappingTables!$C$35),W2873,0))</f>
        <v>0</v>
      </c>
    </row>
    <row r="2874" spans="2:24" s="0" customFormat="0" ht="15">
      <c r="B2874" s="69">
        <v>10661715</v>
      </c>
      <c r="C2874" s="70" t="s">
        <v>2633</v>
      </c>
      <c r="D2874" s="70" t="s">
        <v>1</v>
      </c>
      <c r="E2874" s="70" t="s">
        <v>1</v>
      </c>
      <c r="F2874" s="70"/>
      <c r="G2874" s="70" t="s">
        <v>61</v>
      </c>
      <c r="H2874" s="70" t="s">
        <v>178</v>
      </c>
      <c r="I2874" s="70" t="s">
        <v>181</v>
      </c>
      <c r="J2874" s="71">
        <f>IF(OR(I2874=0,I2874=""),"unrated",VLOOKUP(I2874,MappingTables!$B$19:$C$31,2,FALSE))</f>
        <v>3</v>
      </c>
      <c r="K2874" s="72">
        <v>893.79768928193328</v>
      </c>
      <c r="L2874" s="70">
        <v>4.7952980285999888</v>
      </c>
      <c r="M2874" s="71">
        <f>IF(L2874&lt;1,1,L2874)</f>
        <v>4.7952980285999888</v>
      </c>
      <c r="N2874" s="70" t="s">
        <v>141</v>
      </c>
      <c r="O2874" s="71">
        <f>INDEX(DurClassMapping,MATCH(M2874,MappingTables!$D$4:$D$8,-1),1)</f>
        <v>1</v>
      </c>
      <c r="P2874" s="73">
        <f>IF(M2874=$A$1,1,$M2874-INDEX(MappingTables!$E$4:$E$8,MATCH(O2874,MappingTables!$B$4:$B$8,0)))</f>
        <v>4.7952980285999888</v>
      </c>
      <c r="Q2874" s="71">
        <f>IF(B2874="",0,INDEX(ModelParameters!$D$6:$K$10,MATCH($O2874,ModelParameters!$B$6:$B$10,0),MATCH($J2874,ModelParameters!$D$5:$K$5,0)))</f>
        <v>0.025</v>
      </c>
      <c r="R2874" s="71">
        <f>IF(B2874="",0,INDEX(ModelParameters!$D$13:$K$17,MATCH($O2874,ModelParameters!$B$13:$B$17,0),MATCH($J2874,ModelParameters!$D$5:$K$5,0)))</f>
        <v>0</v>
      </c>
      <c r="S2874" s="160">
        <f>IF(B2874="",0,MIN(IF($N2874="Other Bond TM",ModelParameters!$N$21,1)*(P2874*Q2874+R2874),1))</f>
        <v>0.11988245071499972</v>
      </c>
      <c r="T2874" s="85">
        <f>IF(B2874="",0,$S2874*$K2874)</f>
        <v>107.15065743452202</v>
      </c>
      <c r="U2874" s="85">
        <f>IF(B2874="",0,IF(OR(H2874=MappingTables!$C$34,H2874=MappingTables!$C$35),T2874,0))</f>
        <v>0</v>
      </c>
      <c r="V2874" s="85">
        <f>IF(ISNA(IF(AND(VLOOKUP(CONCATENATE($D2874,$G2874),CSRFinput!$B:$E,4,0)=0,OR(H2874=MappingTables!$C$34,H2874=MappingTables!$C$35)),1,VLOOKUP(CONCATENATE($D2874,$G2874),CSRFinput!$B:$E,4,0))),0,IF(AND(VLOOKUP(CONCATENATE($D2874,$G2874),CSRFinput!$B:$E,4,0)=0,OR(H2874=MappingTables!$C$34,H2874=MappingTables!$C$35)),1,VLOOKUP(CONCATENATE($D2874,$G2874),CSRFinput!$B:$E,4,0)))</f>
        <v>0.054776304963434752</v>
      </c>
      <c r="W2874" s="85">
        <f>IF(B2874="",0,+$T2874*$V2874)</f>
        <v>5.8693170886659056</v>
      </c>
      <c r="X2874" s="85">
        <f>IF(B2874="",0,IF(OR(H2874=MappingTables!$C$34,H2874=MappingTables!$C$35),W2874,0))</f>
        <v>0</v>
      </c>
    </row>
    <row r="2875" spans="2:24" s="0" customFormat="0" ht="15">
      <c r="B2875" s="69">
        <v>12792348</v>
      </c>
      <c r="C2875" s="70" t="s">
        <v>2634</v>
      </c>
      <c r="D2875" s="70" t="s">
        <v>1</v>
      </c>
      <c r="E2875" s="70" t="s">
        <v>1</v>
      </c>
      <c r="F2875" s="70"/>
      <c r="G2875" s="70" t="s">
        <v>61</v>
      </c>
      <c r="H2875" s="70" t="s">
        <v>178</v>
      </c>
      <c r="I2875" s="70" t="s">
        <v>220</v>
      </c>
      <c r="J2875" s="71">
        <f>IF(OR(I2875=0,I2875=""),"unrated",VLOOKUP(I2875,MappingTables!$B$19:$C$31,2,FALSE))</f>
        <v>1</v>
      </c>
      <c r="K2875" s="72">
        <v>279.35100770560468</v>
      </c>
      <c r="L2875" s="70">
        <v>0.8138012285234352</v>
      </c>
      <c r="M2875" s="71">
        <f>IF(L2875&lt;1,1,L2875)</f>
        <v>1</v>
      </c>
      <c r="N2875" s="70" t="s">
        <v>141</v>
      </c>
      <c r="O2875" s="71">
        <f>INDEX(DurClassMapping,MATCH(M2875,MappingTables!$D$4:$D$8,-1),1)</f>
        <v>1</v>
      </c>
      <c r="P2875" s="73">
        <f>IF(M2875=$A$1,1,$M2875-INDEX(MappingTables!$E$4:$E$8,MATCH(O2875,MappingTables!$B$4:$B$8,0)))</f>
        <v>1</v>
      </c>
      <c r="Q2875" s="71">
        <f>IF(B2875="",0,INDEX(ModelParameters!$D$6:$K$10,MATCH($O2875,ModelParameters!$B$6:$B$10,0),MATCH($J2875,ModelParameters!$D$5:$K$5,0)))</f>
        <v>0.011000000000000002</v>
      </c>
      <c r="R2875" s="71">
        <f>IF(B2875="",0,INDEX(ModelParameters!$D$13:$K$17,MATCH($O2875,ModelParameters!$B$13:$B$17,0),MATCH($J2875,ModelParameters!$D$5:$K$5,0)))</f>
        <v>0</v>
      </c>
      <c r="S2875" s="160">
        <f>IF(B2875="",0,MIN(IF($N2875="Other Bond TM",ModelParameters!$N$21,1)*(P2875*Q2875+R2875),1))</f>
        <v>0.011000000000000002</v>
      </c>
      <c r="T2875" s="85">
        <f>IF(B2875="",0,$S2875*$K2875)</f>
        <v>3.0728610847616516</v>
      </c>
      <c r="U2875" s="85">
        <f>IF(B2875="",0,IF(OR(H2875=MappingTables!$C$34,H2875=MappingTables!$C$35),T2875,0))</f>
        <v>0</v>
      </c>
      <c r="V2875" s="85">
        <f>IF(ISNA(IF(AND(VLOOKUP(CONCATENATE($D2875,$G2875),CSRFinput!$B:$E,4,0)=0,OR(H2875=MappingTables!$C$34,H2875=MappingTables!$C$35)),1,VLOOKUP(CONCATENATE($D2875,$G2875),CSRFinput!$B:$E,4,0))),0,IF(AND(VLOOKUP(CONCATENATE($D2875,$G2875),CSRFinput!$B:$E,4,0)=0,OR(H2875=MappingTables!$C$34,H2875=MappingTables!$C$35)),1,VLOOKUP(CONCATENATE($D2875,$G2875),CSRFinput!$B:$E,4,0)))</f>
        <v>0.054776304963434752</v>
      </c>
      <c r="W2875" s="85">
        <f>IF(B2875="",0,+$T2875*$V2875)</f>
        <v>0.16831997588917516</v>
      </c>
      <c r="X2875" s="85">
        <f>IF(B2875="",0,IF(OR(H2875=MappingTables!$C$34,H2875=MappingTables!$C$35),W2875,0))</f>
        <v>0</v>
      </c>
    </row>
    <row r="2876" spans="2:24" s="0" customFormat="0" ht="15">
      <c r="B2876" s="69">
        <v>20631186</v>
      </c>
      <c r="C2876" s="70" t="s">
        <v>2635</v>
      </c>
      <c r="D2876" s="70" t="s">
        <v>1</v>
      </c>
      <c r="E2876" s="70" t="s">
        <v>1</v>
      </c>
      <c r="F2876" s="70"/>
      <c r="G2876" s="70" t="s">
        <v>61</v>
      </c>
      <c r="H2876" s="70" t="s">
        <v>178</v>
      </c>
      <c r="I2876" s="70" t="s">
        <v>179</v>
      </c>
      <c r="J2876" s="71">
        <f>IF(OR(I2876=0,I2876=""),"unrated",VLOOKUP(I2876,MappingTables!$B$19:$C$31,2,FALSE))</f>
        <v>4</v>
      </c>
      <c r="K2876" s="72">
        <v>3757.86732220646</v>
      </c>
      <c r="L2876" s="70">
        <v>1.1781327392110678</v>
      </c>
      <c r="M2876" s="71">
        <f>IF(L2876&lt;1,1,L2876)</f>
        <v>1.1781327392110678</v>
      </c>
      <c r="N2876" s="70" t="s">
        <v>141</v>
      </c>
      <c r="O2876" s="71">
        <f>INDEX(DurClassMapping,MATCH(M2876,MappingTables!$D$4:$D$8,-1),1)</f>
        <v>1</v>
      </c>
      <c r="P2876" s="73">
        <f>IF(M2876=$A$1,1,$M2876-INDEX(MappingTables!$E$4:$E$8,MATCH(O2876,MappingTables!$B$4:$B$8,0)))</f>
        <v>1.1781327392110678</v>
      </c>
      <c r="Q2876" s="71">
        <f>IF(B2876="",0,INDEX(ModelParameters!$D$6:$K$10,MATCH($O2876,ModelParameters!$B$6:$B$10,0),MATCH($J2876,ModelParameters!$D$5:$K$5,0)))</f>
        <v>0.045</v>
      </c>
      <c r="R2876" s="71">
        <f>IF(B2876="",0,INDEX(ModelParameters!$D$13:$K$17,MATCH($O2876,ModelParameters!$B$13:$B$17,0),MATCH($J2876,ModelParameters!$D$5:$K$5,0)))</f>
        <v>0</v>
      </c>
      <c r="S2876" s="160">
        <f>IF(B2876="",0,MIN(IF($N2876="Other Bond TM",ModelParameters!$N$21,1)*(P2876*Q2876+R2876),1))</f>
        <v>0.053015973264498048</v>
      </c>
      <c r="T2876" s="85">
        <f>IF(B2876="",0,$S2876*$K2876)</f>
        <v>199.22699348562856</v>
      </c>
      <c r="U2876" s="85">
        <f>IF(B2876="",0,IF(OR(H2876=MappingTables!$C$34,H2876=MappingTables!$C$35),T2876,0))</f>
        <v>0</v>
      </c>
      <c r="V2876" s="85">
        <f>IF(ISNA(IF(AND(VLOOKUP(CONCATENATE($D2876,$G2876),CSRFinput!$B:$E,4,0)=0,OR(H2876=MappingTables!$C$34,H2876=MappingTables!$C$35)),1,VLOOKUP(CONCATENATE($D2876,$G2876),CSRFinput!$B:$E,4,0))),0,IF(AND(VLOOKUP(CONCATENATE($D2876,$G2876),CSRFinput!$B:$E,4,0)=0,OR(H2876=MappingTables!$C$34,H2876=MappingTables!$C$35)),1,VLOOKUP(CONCATENATE($D2876,$G2876),CSRFinput!$B:$E,4,0)))</f>
        <v>0.054776304963434752</v>
      </c>
      <c r="W2876" s="85">
        <f>IF(B2876="",0,+$T2876*$V2876)</f>
        <v>10.912918552117018</v>
      </c>
      <c r="X2876" s="85">
        <f>IF(B2876="",0,IF(OR(H2876=MappingTables!$C$34,H2876=MappingTables!$C$35),W2876,0))</f>
        <v>0</v>
      </c>
    </row>
    <row r="2877" spans="2:24" s="0" customFormat="0" ht="15">
      <c r="B2877" s="69">
        <v>13244697</v>
      </c>
      <c r="C2877" s="70" t="s">
        <v>2636</v>
      </c>
      <c r="D2877" s="70" t="s">
        <v>1</v>
      </c>
      <c r="E2877" s="70" t="s">
        <v>1</v>
      </c>
      <c r="F2877" s="70"/>
      <c r="G2877" s="70" t="s">
        <v>61</v>
      </c>
      <c r="H2877" s="70" t="s">
        <v>178</v>
      </c>
      <c r="I2877" s="70" t="s">
        <v>188</v>
      </c>
      <c r="J2877" s="71">
        <f>IF(OR(I2877=0,I2877=""),"unrated",VLOOKUP(I2877,MappingTables!$B$19:$C$31,2,FALSE))</f>
        <v>2</v>
      </c>
      <c r="K2877" s="72">
        <v>33.74087668370216</v>
      </c>
      <c r="L2877" s="70">
        <v>1.0292273954949968</v>
      </c>
      <c r="M2877" s="71">
        <f>IF(L2877&lt;1,1,L2877)</f>
        <v>1.0292273954949968</v>
      </c>
      <c r="N2877" s="70" t="s">
        <v>141</v>
      </c>
      <c r="O2877" s="71">
        <f>INDEX(DurClassMapping,MATCH(M2877,MappingTables!$D$4:$D$8,-1),1)</f>
        <v>1</v>
      </c>
      <c r="P2877" s="73">
        <f>IF(M2877=$A$1,1,$M2877-INDEX(MappingTables!$E$4:$E$8,MATCH(O2877,MappingTables!$B$4:$B$8,0)))</f>
        <v>1.0292273954949968</v>
      </c>
      <c r="Q2877" s="71">
        <f>IF(B2877="",0,INDEX(ModelParameters!$D$6:$K$10,MATCH($O2877,ModelParameters!$B$6:$B$10,0),MATCH($J2877,ModelParameters!$D$5:$K$5,0)))</f>
        <v>0.013999999999999998</v>
      </c>
      <c r="R2877" s="71">
        <f>IF(B2877="",0,INDEX(ModelParameters!$D$13:$K$17,MATCH($O2877,ModelParameters!$B$13:$B$17,0),MATCH($J2877,ModelParameters!$D$5:$K$5,0)))</f>
        <v>0</v>
      </c>
      <c r="S2877" s="160">
        <f>IF(B2877="",0,MIN(IF($N2877="Other Bond TM",ModelParameters!$N$21,1)*(P2877*Q2877+R2877),1))</f>
        <v>0.014409183536929954</v>
      </c>
      <c r="T2877" s="85">
        <f>IF(B2877="",0,$S2877*$K2877)</f>
        <v>0.48617848483238496</v>
      </c>
      <c r="U2877" s="85">
        <f>IF(B2877="",0,IF(OR(H2877=MappingTables!$C$34,H2877=MappingTables!$C$35),T2877,0))</f>
        <v>0</v>
      </c>
      <c r="V2877" s="85">
        <f>IF(ISNA(IF(AND(VLOOKUP(CONCATENATE($D2877,$G2877),CSRFinput!$B:$E,4,0)=0,OR(H2877=MappingTables!$C$34,H2877=MappingTables!$C$35)),1,VLOOKUP(CONCATENATE($D2877,$G2877),CSRFinput!$B:$E,4,0))),0,IF(AND(VLOOKUP(CONCATENATE($D2877,$G2877),CSRFinput!$B:$E,4,0)=0,OR(H2877=MappingTables!$C$34,H2877=MappingTables!$C$35)),1,VLOOKUP(CONCATENATE($D2877,$G2877),CSRFinput!$B:$E,4,0)))</f>
        <v>0.054776304963434752</v>
      </c>
      <c r="W2877" s="85">
        <f>IF(B2877="",0,+$T2877*$V2877)</f>
        <v>0.026631060951839356</v>
      </c>
      <c r="X2877" s="85">
        <f>IF(B2877="",0,IF(OR(H2877=MappingTables!$C$34,H2877=MappingTables!$C$35),W2877,0))</f>
        <v>0</v>
      </c>
    </row>
    <row r="2878" spans="2:24" s="0" customFormat="0" ht="15">
      <c r="B2878" s="69">
        <v>14256169</v>
      </c>
      <c r="C2878" s="70" t="s">
        <v>2637</v>
      </c>
      <c r="D2878" s="70" t="s">
        <v>1</v>
      </c>
      <c r="E2878" s="70" t="s">
        <v>1</v>
      </c>
      <c r="F2878" s="70"/>
      <c r="G2878" s="70" t="s">
        <v>61</v>
      </c>
      <c r="H2878" s="70" t="s">
        <v>178</v>
      </c>
      <c r="I2878" s="70" t="s">
        <v>181</v>
      </c>
      <c r="J2878" s="71">
        <f>IF(OR(I2878=0,I2878=""),"unrated",VLOOKUP(I2878,MappingTables!$B$19:$C$31,2,FALSE))</f>
        <v>3</v>
      </c>
      <c r="K2878" s="72">
        <v>1743.436966259762</v>
      </c>
      <c r="L2878" s="70">
        <v>1.382658418190254</v>
      </c>
      <c r="M2878" s="71">
        <f>IF(L2878&lt;1,1,L2878)</f>
        <v>1.382658418190254</v>
      </c>
      <c r="N2878" s="70" t="s">
        <v>141</v>
      </c>
      <c r="O2878" s="71">
        <f>INDEX(DurClassMapping,MATCH(M2878,MappingTables!$D$4:$D$8,-1),1)</f>
        <v>1</v>
      </c>
      <c r="P2878" s="73">
        <f>IF(M2878=$A$1,1,$M2878-INDEX(MappingTables!$E$4:$E$8,MATCH(O2878,MappingTables!$B$4:$B$8,0)))</f>
        <v>1.382658418190254</v>
      </c>
      <c r="Q2878" s="71">
        <f>IF(B2878="",0,INDEX(ModelParameters!$D$6:$K$10,MATCH($O2878,ModelParameters!$B$6:$B$10,0),MATCH($J2878,ModelParameters!$D$5:$K$5,0)))</f>
        <v>0.025</v>
      </c>
      <c r="R2878" s="71">
        <f>IF(B2878="",0,INDEX(ModelParameters!$D$13:$K$17,MATCH($O2878,ModelParameters!$B$13:$B$17,0),MATCH($J2878,ModelParameters!$D$5:$K$5,0)))</f>
        <v>0</v>
      </c>
      <c r="S2878" s="160">
        <f>IF(B2878="",0,MIN(IF($N2878="Other Bond TM",ModelParameters!$N$21,1)*(P2878*Q2878+R2878),1))</f>
        <v>0.034566460454756352</v>
      </c>
      <c r="T2878" s="85">
        <f>IF(B2878="",0,$S2878*$K2878)</f>
        <v>60.26444494957844</v>
      </c>
      <c r="U2878" s="85">
        <f>IF(B2878="",0,IF(OR(H2878=MappingTables!$C$34,H2878=MappingTables!$C$35),T2878,0))</f>
        <v>0</v>
      </c>
      <c r="V2878" s="85">
        <f>IF(ISNA(IF(AND(VLOOKUP(CONCATENATE($D2878,$G2878),CSRFinput!$B:$E,4,0)=0,OR(H2878=MappingTables!$C$34,H2878=MappingTables!$C$35)),1,VLOOKUP(CONCATENATE($D2878,$G2878),CSRFinput!$B:$E,4,0))),0,IF(AND(VLOOKUP(CONCATENATE($D2878,$G2878),CSRFinput!$B:$E,4,0)=0,OR(H2878=MappingTables!$C$34,H2878=MappingTables!$C$35)),1,VLOOKUP(CONCATENATE($D2878,$G2878),CSRFinput!$B:$E,4,0)))</f>
        <v>0.054776304963434752</v>
      </c>
      <c r="W2878" s="85">
        <f>IF(B2878="",0,+$T2878*$V2878)</f>
        <v>3.301063615010234</v>
      </c>
      <c r="X2878" s="85">
        <f>IF(B2878="",0,IF(OR(H2878=MappingTables!$C$34,H2878=MappingTables!$C$35),W2878,0))</f>
        <v>0</v>
      </c>
    </row>
    <row r="2879" spans="2:24" s="0" customFormat="0" ht="15">
      <c r="B2879" s="69">
        <v>11986935</v>
      </c>
      <c r="C2879" s="70" t="s">
        <v>2638</v>
      </c>
      <c r="D2879" s="70" t="s">
        <v>1</v>
      </c>
      <c r="E2879" s="70" t="s">
        <v>1</v>
      </c>
      <c r="F2879" s="70"/>
      <c r="G2879" s="70" t="s">
        <v>61</v>
      </c>
      <c r="H2879" s="70" t="s">
        <v>178</v>
      </c>
      <c r="I2879" s="70" t="s">
        <v>179</v>
      </c>
      <c r="J2879" s="71">
        <f>IF(OR(I2879=0,I2879=""),"unrated",VLOOKUP(I2879,MappingTables!$B$19:$C$31,2,FALSE))</f>
        <v>4</v>
      </c>
      <c r="K2879" s="72">
        <v>17902.077831547872</v>
      </c>
      <c r="L2879" s="70">
        <v>5.4784958743096832</v>
      </c>
      <c r="M2879" s="71">
        <f>IF(L2879&lt;1,1,L2879)</f>
        <v>5.4784958743096832</v>
      </c>
      <c r="N2879" s="70" t="s">
        <v>141</v>
      </c>
      <c r="O2879" s="71">
        <f>INDEX(DurClassMapping,MATCH(M2879,MappingTables!$D$4:$D$8,-1),1)</f>
        <v>2</v>
      </c>
      <c r="P2879" s="73">
        <f>IF(M2879=$A$1,1,$M2879-INDEX(MappingTables!$E$4:$E$8,MATCH(O2879,MappingTables!$B$4:$B$8,0)))</f>
        <v>0.47849587430968296</v>
      </c>
      <c r="Q2879" s="71">
        <f>IF(B2879="",0,INDEX(ModelParameters!$D$6:$K$10,MATCH($O2879,ModelParameters!$B$6:$B$10,0),MATCH($J2879,ModelParameters!$D$5:$K$5,0)))</f>
        <v>0.025</v>
      </c>
      <c r="R2879" s="71">
        <f>IF(B2879="",0,INDEX(ModelParameters!$D$13:$K$17,MATCH($O2879,ModelParameters!$B$13:$B$17,0),MATCH($J2879,ModelParameters!$D$5:$K$5,0)))</f>
        <v>0.225</v>
      </c>
      <c r="S2879" s="160">
        <f>IF(B2879="",0,MIN(IF($N2879="Other Bond TM",ModelParameters!$N$21,1)*(P2879*Q2879+R2879),1))</f>
        <v>0.23696239685774208</v>
      </c>
      <c r="T2879" s="85">
        <f>IF(B2879="",0,$S2879*$K2879)</f>
        <v>4242.1192716974336</v>
      </c>
      <c r="U2879" s="85">
        <f>IF(B2879="",0,IF(OR(H2879=MappingTables!$C$34,H2879=MappingTables!$C$35),T2879,0))</f>
        <v>0</v>
      </c>
      <c r="V2879" s="85">
        <f>IF(ISNA(IF(AND(VLOOKUP(CONCATENATE($D2879,$G2879),CSRFinput!$B:$E,4,0)=0,OR(H2879=MappingTables!$C$34,H2879=MappingTables!$C$35)),1,VLOOKUP(CONCATENATE($D2879,$G2879),CSRFinput!$B:$E,4,0))),0,IF(AND(VLOOKUP(CONCATENATE($D2879,$G2879),CSRFinput!$B:$E,4,0)=0,OR(H2879=MappingTables!$C$34,H2879=MappingTables!$C$35)),1,VLOOKUP(CONCATENATE($D2879,$G2879),CSRFinput!$B:$E,4,0)))</f>
        <v>0.054776304963434752</v>
      </c>
      <c r="W2879" s="85">
        <f>IF(B2879="",0,+$T2879*$V2879)</f>
        <v>232.36761891776236</v>
      </c>
      <c r="X2879" s="85">
        <f>IF(B2879="",0,IF(OR(H2879=MappingTables!$C$34,H2879=MappingTables!$C$35),W2879,0))</f>
        <v>0</v>
      </c>
    </row>
    <row r="2880" spans="2:24" s="0" customFormat="0" ht="15">
      <c r="B2880" s="69">
        <v>606023</v>
      </c>
      <c r="C2880" s="70" t="s">
        <v>2639</v>
      </c>
      <c r="D2880" s="70" t="s">
        <v>1</v>
      </c>
      <c r="E2880" s="70" t="s">
        <v>1</v>
      </c>
      <c r="F2880" s="70"/>
      <c r="G2880" s="70" t="s">
        <v>61</v>
      </c>
      <c r="H2880" s="70" t="s">
        <v>178</v>
      </c>
      <c r="I2880" s="70" t="s">
        <v>181</v>
      </c>
      <c r="J2880" s="71">
        <f>IF(OR(I2880=0,I2880=""),"unrated",VLOOKUP(I2880,MappingTables!$B$19:$C$31,2,FALSE))</f>
        <v>3</v>
      </c>
      <c r="K2880" s="72">
        <v>1853.0101680292868</v>
      </c>
      <c r="L2880" s="70">
        <v>10.100475705054034</v>
      </c>
      <c r="M2880" s="71">
        <f>IF(L2880&lt;1,1,L2880)</f>
        <v>10.100475705054034</v>
      </c>
      <c r="N2880" s="70" t="s">
        <v>141</v>
      </c>
      <c r="O2880" s="71">
        <f>INDEX(DurClassMapping,MATCH(M2880,MappingTables!$D$4:$D$8,-1),1)</f>
        <v>3</v>
      </c>
      <c r="P2880" s="73">
        <f>IF(M2880=$A$1,1,$M2880-INDEX(MappingTables!$E$4:$E$8,MATCH(O2880,MappingTables!$B$4:$B$8,0)))</f>
        <v>0.10047570505403414</v>
      </c>
      <c r="Q2880" s="71">
        <f>IF(B2880="",0,INDEX(ModelParameters!$D$6:$K$10,MATCH($O2880,ModelParameters!$B$6:$B$10,0),MATCH($J2880,ModelParameters!$D$5:$K$5,0)))</f>
        <v>0.01</v>
      </c>
      <c r="R2880" s="71">
        <f>IF(B2880="",0,INDEX(ModelParameters!$D$13:$K$17,MATCH($O2880,ModelParameters!$B$13:$B$17,0),MATCH($J2880,ModelParameters!$D$5:$K$5,0)))</f>
        <v>0.2</v>
      </c>
      <c r="S2880" s="160">
        <f>IF(B2880="",0,MIN(IF($N2880="Other Bond TM",ModelParameters!$N$21,1)*(P2880*Q2880+R2880),1))</f>
        <v>0.20100475705054036</v>
      </c>
      <c r="T2880" s="85">
        <f>IF(B2880="",0,$S2880*$K2880)</f>
        <v>372.46385863690776</v>
      </c>
      <c r="U2880" s="85">
        <f>IF(B2880="",0,IF(OR(H2880=MappingTables!$C$34,H2880=MappingTables!$C$35),T2880,0))</f>
        <v>0</v>
      </c>
      <c r="V2880" s="85">
        <f>IF(ISNA(IF(AND(VLOOKUP(CONCATENATE($D2880,$G2880),CSRFinput!$B:$E,4,0)=0,OR(H2880=MappingTables!$C$34,H2880=MappingTables!$C$35)),1,VLOOKUP(CONCATENATE($D2880,$G2880),CSRFinput!$B:$E,4,0))),0,IF(AND(VLOOKUP(CONCATENATE($D2880,$G2880),CSRFinput!$B:$E,4,0)=0,OR(H2880=MappingTables!$C$34,H2880=MappingTables!$C$35)),1,VLOOKUP(CONCATENATE($D2880,$G2880),CSRFinput!$B:$E,4,0)))</f>
        <v>0.054776304963434752</v>
      </c>
      <c r="W2880" s="85">
        <f>IF(B2880="",0,+$T2880*$V2880)</f>
        <v>20.402193908552912</v>
      </c>
      <c r="X2880" s="85">
        <f>IF(B2880="",0,IF(OR(H2880=MappingTables!$C$34,H2880=MappingTables!$C$35),W2880,0))</f>
        <v>0</v>
      </c>
    </row>
    <row r="2881" spans="2:24" s="0" customFormat="0" ht="15">
      <c r="B2881" s="69">
        <v>22698145</v>
      </c>
      <c r="C2881" s="70" t="s">
        <v>2640</v>
      </c>
      <c r="D2881" s="70" t="s">
        <v>1</v>
      </c>
      <c r="E2881" s="70" t="s">
        <v>1</v>
      </c>
      <c r="F2881" s="70"/>
      <c r="G2881" s="70" t="s">
        <v>61</v>
      </c>
      <c r="H2881" s="70" t="s">
        <v>178</v>
      </c>
      <c r="I2881" s="70" t="s">
        <v>181</v>
      </c>
      <c r="J2881" s="71">
        <f>IF(OR(I2881=0,I2881=""),"unrated",VLOOKUP(I2881,MappingTables!$B$19:$C$31,2,FALSE))</f>
        <v>3</v>
      </c>
      <c r="K2881" s="72">
        <v>5872.2295522199144</v>
      </c>
      <c r="L2881" s="70">
        <v>3.9483375685658168</v>
      </c>
      <c r="M2881" s="71">
        <f>IF(L2881&lt;1,1,L2881)</f>
        <v>3.9483375685658168</v>
      </c>
      <c r="N2881" s="70" t="s">
        <v>141</v>
      </c>
      <c r="O2881" s="71">
        <f>INDEX(DurClassMapping,MATCH(M2881,MappingTables!$D$4:$D$8,-1),1)</f>
        <v>1</v>
      </c>
      <c r="P2881" s="73">
        <f>IF(M2881=$A$1,1,$M2881-INDEX(MappingTables!$E$4:$E$8,MATCH(O2881,MappingTables!$B$4:$B$8,0)))</f>
        <v>3.9483375685658168</v>
      </c>
      <c r="Q2881" s="71">
        <f>IF(B2881="",0,INDEX(ModelParameters!$D$6:$K$10,MATCH($O2881,ModelParameters!$B$6:$B$10,0),MATCH($J2881,ModelParameters!$D$5:$K$5,0)))</f>
        <v>0.025</v>
      </c>
      <c r="R2881" s="71">
        <f>IF(B2881="",0,INDEX(ModelParameters!$D$13:$K$17,MATCH($O2881,ModelParameters!$B$13:$B$17,0),MATCH($J2881,ModelParameters!$D$5:$K$5,0)))</f>
        <v>0</v>
      </c>
      <c r="S2881" s="160">
        <f>IF(B2881="",0,MIN(IF($N2881="Other Bond TM",ModelParameters!$N$21,1)*(P2881*Q2881+R2881),1))</f>
        <v>0.098708439214145424</v>
      </c>
      <c r="T2881" s="85">
        <f>IF(B2881="",0,$S2881*$K2881)</f>
        <v>579.63861380680784</v>
      </c>
      <c r="U2881" s="85">
        <f>IF(B2881="",0,IF(OR(H2881=MappingTables!$C$34,H2881=MappingTables!$C$35),T2881,0))</f>
        <v>0</v>
      </c>
      <c r="V2881" s="85">
        <f>IF(ISNA(IF(AND(VLOOKUP(CONCATENATE($D2881,$G2881),CSRFinput!$B:$E,4,0)=0,OR(H2881=MappingTables!$C$34,H2881=MappingTables!$C$35)),1,VLOOKUP(CONCATENATE($D2881,$G2881),CSRFinput!$B:$E,4,0))),0,IF(AND(VLOOKUP(CONCATENATE($D2881,$G2881),CSRFinput!$B:$E,4,0)=0,OR(H2881=MappingTables!$C$34,H2881=MappingTables!$C$35)),1,VLOOKUP(CONCATENATE($D2881,$G2881),CSRFinput!$B:$E,4,0)))</f>
        <v>0.054776304963434752</v>
      </c>
      <c r="W2881" s="85">
        <f>IF(B2881="",0,+$T2881*$V2881)</f>
        <v>31.750461478464288</v>
      </c>
      <c r="X2881" s="85">
        <f>IF(B2881="",0,IF(OR(H2881=MappingTables!$C$34,H2881=MappingTables!$C$35),W2881,0))</f>
        <v>0</v>
      </c>
    </row>
    <row r="2882" spans="2:24" s="0" customFormat="0" ht="15">
      <c r="B2882" s="69">
        <v>22455331</v>
      </c>
      <c r="C2882" s="70" t="s">
        <v>674</v>
      </c>
      <c r="D2882" s="70" t="s">
        <v>1</v>
      </c>
      <c r="E2882" s="70" t="s">
        <v>1</v>
      </c>
      <c r="F2882" s="70"/>
      <c r="G2882" s="70" t="s">
        <v>61</v>
      </c>
      <c r="H2882" s="70" t="s">
        <v>178</v>
      </c>
      <c r="I2882" s="70" t="s">
        <v>188</v>
      </c>
      <c r="J2882" s="71">
        <f>IF(OR(I2882=0,I2882=""),"unrated",VLOOKUP(I2882,MappingTables!$B$19:$C$31,2,FALSE))</f>
        <v>2</v>
      </c>
      <c r="K2882" s="72">
        <v>570.40746693800224</v>
      </c>
      <c r="L2882" s="70">
        <v>2.1931272749990104</v>
      </c>
      <c r="M2882" s="71">
        <f>IF(L2882&lt;1,1,L2882)</f>
        <v>2.1931272749990104</v>
      </c>
      <c r="N2882" s="70" t="s">
        <v>141</v>
      </c>
      <c r="O2882" s="71">
        <f>INDEX(DurClassMapping,MATCH(M2882,MappingTables!$D$4:$D$8,-1),1)</f>
        <v>1</v>
      </c>
      <c r="P2882" s="73">
        <f>IF(M2882=$A$1,1,$M2882-INDEX(MappingTables!$E$4:$E$8,MATCH(O2882,MappingTables!$B$4:$B$8,0)))</f>
        <v>2.1931272749990104</v>
      </c>
      <c r="Q2882" s="71">
        <f>IF(B2882="",0,INDEX(ModelParameters!$D$6:$K$10,MATCH($O2882,ModelParameters!$B$6:$B$10,0),MATCH($J2882,ModelParameters!$D$5:$K$5,0)))</f>
        <v>0.013999999999999998</v>
      </c>
      <c r="R2882" s="71">
        <f>IF(B2882="",0,INDEX(ModelParameters!$D$13:$K$17,MATCH($O2882,ModelParameters!$B$13:$B$17,0),MATCH($J2882,ModelParameters!$D$5:$K$5,0)))</f>
        <v>0</v>
      </c>
      <c r="S2882" s="160">
        <f>IF(B2882="",0,MIN(IF($N2882="Other Bond TM",ModelParameters!$N$21,1)*(P2882*Q2882+R2882),1))</f>
        <v>0.03070378184998614</v>
      </c>
      <c r="T2882" s="85">
        <f>IF(B2882="",0,$S2882*$K2882)</f>
        <v>17.513666430467602</v>
      </c>
      <c r="U2882" s="85">
        <f>IF(B2882="",0,IF(OR(H2882=MappingTables!$C$34,H2882=MappingTables!$C$35),T2882,0))</f>
        <v>0</v>
      </c>
      <c r="V2882" s="85">
        <f>IF(ISNA(IF(AND(VLOOKUP(CONCATENATE($D2882,$G2882),CSRFinput!$B:$E,4,0)=0,OR(H2882=MappingTables!$C$34,H2882=MappingTables!$C$35)),1,VLOOKUP(CONCATENATE($D2882,$G2882),CSRFinput!$B:$E,4,0))),0,IF(AND(VLOOKUP(CONCATENATE($D2882,$G2882),CSRFinput!$B:$E,4,0)=0,OR(H2882=MappingTables!$C$34,H2882=MappingTables!$C$35)),1,VLOOKUP(CONCATENATE($D2882,$G2882),CSRFinput!$B:$E,4,0)))</f>
        <v>0.054776304963434752</v>
      </c>
      <c r="W2882" s="85">
        <f>IF(B2882="",0,+$T2882*$V2882)</f>
        <v>0.95933393342316304</v>
      </c>
      <c r="X2882" s="85">
        <f>IF(B2882="",0,IF(OR(H2882=MappingTables!$C$34,H2882=MappingTables!$C$35),W2882,0))</f>
        <v>0</v>
      </c>
    </row>
    <row r="2883" spans="2:24" s="0" customFormat="0" ht="15">
      <c r="B2883" s="69">
        <v>24769619</v>
      </c>
      <c r="C2883" s="70" t="s">
        <v>2641</v>
      </c>
      <c r="D2883" s="70" t="s">
        <v>1</v>
      </c>
      <c r="E2883" s="70" t="s">
        <v>1</v>
      </c>
      <c r="F2883" s="70"/>
      <c r="G2883" s="70" t="s">
        <v>61</v>
      </c>
      <c r="H2883" s="70" t="s">
        <v>178</v>
      </c>
      <c r="I2883" s="70" t="s">
        <v>181</v>
      </c>
      <c r="J2883" s="71">
        <f>IF(OR(I2883=0,I2883=""),"unrated",VLOOKUP(I2883,MappingTables!$B$19:$C$31,2,FALSE))</f>
        <v>3</v>
      </c>
      <c r="K2883" s="72">
        <v>1507.8985127282856</v>
      </c>
      <c r="L2883" s="70">
        <v>4.8616811137244168</v>
      </c>
      <c r="M2883" s="71">
        <f>IF(L2883&lt;1,1,L2883)</f>
        <v>4.8616811137244168</v>
      </c>
      <c r="N2883" s="70" t="s">
        <v>141</v>
      </c>
      <c r="O2883" s="71">
        <f>INDEX(DurClassMapping,MATCH(M2883,MappingTables!$D$4:$D$8,-1),1)</f>
        <v>1</v>
      </c>
      <c r="P2883" s="73">
        <f>IF(M2883=$A$1,1,$M2883-INDEX(MappingTables!$E$4:$E$8,MATCH(O2883,MappingTables!$B$4:$B$8,0)))</f>
        <v>4.8616811137244168</v>
      </c>
      <c r="Q2883" s="71">
        <f>IF(B2883="",0,INDEX(ModelParameters!$D$6:$K$10,MATCH($O2883,ModelParameters!$B$6:$B$10,0),MATCH($J2883,ModelParameters!$D$5:$K$5,0)))</f>
        <v>0.025</v>
      </c>
      <c r="R2883" s="71">
        <f>IF(B2883="",0,INDEX(ModelParameters!$D$13:$K$17,MATCH($O2883,ModelParameters!$B$13:$B$17,0),MATCH($J2883,ModelParameters!$D$5:$K$5,0)))</f>
        <v>0</v>
      </c>
      <c r="S2883" s="160">
        <f>IF(B2883="",0,MIN(IF($N2883="Other Bond TM",ModelParameters!$N$21,1)*(P2883*Q2883+R2883),1))</f>
        <v>0.12154202784311042</v>
      </c>
      <c r="T2883" s="85">
        <f>IF(B2883="",0,$S2883*$K2883)</f>
        <v>183.27304301860608</v>
      </c>
      <c r="U2883" s="85">
        <f>IF(B2883="",0,IF(OR(H2883=MappingTables!$C$34,H2883=MappingTables!$C$35),T2883,0))</f>
        <v>0</v>
      </c>
      <c r="V2883" s="85">
        <f>IF(ISNA(IF(AND(VLOOKUP(CONCATENATE($D2883,$G2883),CSRFinput!$B:$E,4,0)=0,OR(H2883=MappingTables!$C$34,H2883=MappingTables!$C$35)),1,VLOOKUP(CONCATENATE($D2883,$G2883),CSRFinput!$B:$E,4,0))),0,IF(AND(VLOOKUP(CONCATENATE($D2883,$G2883),CSRFinput!$B:$E,4,0)=0,OR(H2883=MappingTables!$C$34,H2883=MappingTables!$C$35)),1,VLOOKUP(CONCATENATE($D2883,$G2883),CSRFinput!$B:$E,4,0)))</f>
        <v>0.054776304963434752</v>
      </c>
      <c r="W2883" s="85">
        <f>IF(B2883="",0,+$T2883*$V2883)</f>
        <v>10.039020095963864</v>
      </c>
      <c r="X2883" s="85">
        <f>IF(B2883="",0,IF(OR(H2883=MappingTables!$C$34,H2883=MappingTables!$C$35),W2883,0))</f>
        <v>0</v>
      </c>
    </row>
    <row r="2884" spans="2:24" s="0" customFormat="0" ht="15">
      <c r="B2884" s="69" t="s">
        <v>2642</v>
      </c>
      <c r="C2884" s="70" t="s">
        <v>2643</v>
      </c>
      <c r="D2884" s="70" t="s">
        <v>1</v>
      </c>
      <c r="E2884" s="70" t="s">
        <v>1</v>
      </c>
      <c r="F2884" s="70"/>
      <c r="G2884" s="70" t="s">
        <v>61</v>
      </c>
      <c r="H2884" s="70" t="s">
        <v>178</v>
      </c>
      <c r="I2884" s="70" t="s">
        <v>198</v>
      </c>
      <c r="J2884" s="71" t="str">
        <f>IF(OR(I2884=0,I2884=""),"unrated",VLOOKUP(I2884,MappingTables!$B$19:$C$31,2,FALSE))</f>
        <v>unrated</v>
      </c>
      <c r="K2884" s="72">
        <v>28571.74640189102</v>
      </c>
      <c r="L2884" s="70">
        <v>2.7284805153939232</v>
      </c>
      <c r="M2884" s="71">
        <f>IF(L2884&lt;1,1,L2884)</f>
        <v>2.7284805153939232</v>
      </c>
      <c r="N2884" s="70" t="s">
        <v>141</v>
      </c>
      <c r="O2884" s="71">
        <f>INDEX(DurClassMapping,MATCH(M2884,MappingTables!$D$4:$D$8,-1),1)</f>
        <v>1</v>
      </c>
      <c r="P2884" s="73">
        <f>IF(M2884=$A$1,1,$M2884-INDEX(MappingTables!$E$4:$E$8,MATCH(O2884,MappingTables!$B$4:$B$8,0)))</f>
        <v>2.7284805153939232</v>
      </c>
      <c r="Q2884" s="71">
        <f>IF(B2884="",0,INDEX(ModelParameters!$D$6:$K$10,MATCH($O2884,ModelParameters!$B$6:$B$10,0),MATCH($J2884,ModelParameters!$D$5:$K$5,0)))</f>
        <v>0.03</v>
      </c>
      <c r="R2884" s="71">
        <f>IF(B2884="",0,INDEX(ModelParameters!$D$13:$K$17,MATCH($O2884,ModelParameters!$B$13:$B$17,0),MATCH($J2884,ModelParameters!$D$5:$K$5,0)))</f>
        <v>0</v>
      </c>
      <c r="S2884" s="160">
        <f>IF(B2884="",0,MIN(IF($N2884="Other Bond TM",ModelParameters!$N$21,1)*(P2884*Q2884+R2884),1))</f>
        <v>0.081854415461817696</v>
      </c>
      <c r="T2884" s="85">
        <f>IF(B2884="",0,$S2884*$K2884)</f>
        <v>2338.7236004500824</v>
      </c>
      <c r="U2884" s="85">
        <f>IF(B2884="",0,IF(OR(H2884=MappingTables!$C$34,H2884=MappingTables!$C$35),T2884,0))</f>
        <v>0</v>
      </c>
      <c r="V2884" s="85">
        <f>IF(ISNA(IF(AND(VLOOKUP(CONCATENATE($D2884,$G2884),CSRFinput!$B:$E,4,0)=0,OR(H2884=MappingTables!$C$34,H2884=MappingTables!$C$35)),1,VLOOKUP(CONCATENATE($D2884,$G2884),CSRFinput!$B:$E,4,0))),0,IF(AND(VLOOKUP(CONCATENATE($D2884,$G2884),CSRFinput!$B:$E,4,0)=0,OR(H2884=MappingTables!$C$34,H2884=MappingTables!$C$35)),1,VLOOKUP(CONCATENATE($D2884,$G2884),CSRFinput!$B:$E,4,0)))</f>
        <v>0.054776304963434752</v>
      </c>
      <c r="W2884" s="85">
        <f>IF(B2884="",0,+$T2884*$V2884)</f>
        <v>128.10663716343584</v>
      </c>
      <c r="X2884" s="85">
        <f>IF(B2884="",0,IF(OR(H2884=MappingTables!$C$34,H2884=MappingTables!$C$35),W2884,0))</f>
        <v>0</v>
      </c>
    </row>
    <row r="2885" spans="2:24" s="0" customFormat="0" ht="15">
      <c r="B2885" s="69">
        <v>17252200</v>
      </c>
      <c r="C2885" s="70" t="s">
        <v>2313</v>
      </c>
      <c r="D2885" s="70" t="s">
        <v>1</v>
      </c>
      <c r="E2885" s="70" t="s">
        <v>1</v>
      </c>
      <c r="F2885" s="70"/>
      <c r="G2885" s="70" t="s">
        <v>61</v>
      </c>
      <c r="H2885" s="70" t="s">
        <v>178</v>
      </c>
      <c r="I2885" s="70" t="s">
        <v>181</v>
      </c>
      <c r="J2885" s="71">
        <f>IF(OR(I2885=0,I2885=""),"unrated",VLOOKUP(I2885,MappingTables!$B$19:$C$31,2,FALSE))</f>
        <v>3</v>
      </c>
      <c r="K2885" s="72">
        <v>13491.995465356972</v>
      </c>
      <c r="L2885" s="70">
        <v>0.50504470662681664</v>
      </c>
      <c r="M2885" s="71">
        <f>IF(L2885&lt;1,1,L2885)</f>
        <v>1</v>
      </c>
      <c r="N2885" s="70" t="s">
        <v>141</v>
      </c>
      <c r="O2885" s="71">
        <f>INDEX(DurClassMapping,MATCH(M2885,MappingTables!$D$4:$D$8,-1),1)</f>
        <v>1</v>
      </c>
      <c r="P2885" s="73">
        <f>IF(M2885=$A$1,1,$M2885-INDEX(MappingTables!$E$4:$E$8,MATCH(O2885,MappingTables!$B$4:$B$8,0)))</f>
        <v>1</v>
      </c>
      <c r="Q2885" s="71">
        <f>IF(B2885="",0,INDEX(ModelParameters!$D$6:$K$10,MATCH($O2885,ModelParameters!$B$6:$B$10,0),MATCH($J2885,ModelParameters!$D$5:$K$5,0)))</f>
        <v>0.025</v>
      </c>
      <c r="R2885" s="71">
        <f>IF(B2885="",0,INDEX(ModelParameters!$D$13:$K$17,MATCH($O2885,ModelParameters!$B$13:$B$17,0),MATCH($J2885,ModelParameters!$D$5:$K$5,0)))</f>
        <v>0</v>
      </c>
      <c r="S2885" s="160">
        <f>IF(B2885="",0,MIN(IF($N2885="Other Bond TM",ModelParameters!$N$21,1)*(P2885*Q2885+R2885),1))</f>
        <v>0.025</v>
      </c>
      <c r="T2885" s="85">
        <f>IF(B2885="",0,$S2885*$K2885)</f>
        <v>337.29988663392436</v>
      </c>
      <c r="U2885" s="85">
        <f>IF(B2885="",0,IF(OR(H2885=MappingTables!$C$34,H2885=MappingTables!$C$35),T2885,0))</f>
        <v>0</v>
      </c>
      <c r="V2885" s="85">
        <f>IF(ISNA(IF(AND(VLOOKUP(CONCATENATE($D2885,$G2885),CSRFinput!$B:$E,4,0)=0,OR(H2885=MappingTables!$C$34,H2885=MappingTables!$C$35)),1,VLOOKUP(CONCATENATE($D2885,$G2885),CSRFinput!$B:$E,4,0))),0,IF(AND(VLOOKUP(CONCATENATE($D2885,$G2885),CSRFinput!$B:$E,4,0)=0,OR(H2885=MappingTables!$C$34,H2885=MappingTables!$C$35)),1,VLOOKUP(CONCATENATE($D2885,$G2885),CSRFinput!$B:$E,4,0)))</f>
        <v>0.054776304963434752</v>
      </c>
      <c r="W2885" s="85">
        <f>IF(B2885="",0,+$T2885*$V2885)</f>
        <v>18.476041454391812</v>
      </c>
      <c r="X2885" s="85">
        <f>IF(B2885="",0,IF(OR(H2885=MappingTables!$C$34,H2885=MappingTables!$C$35),W2885,0))</f>
        <v>0</v>
      </c>
    </row>
    <row r="2886" spans="2:24" s="0" customFormat="0" ht="15">
      <c r="B2886" s="69">
        <v>23134848</v>
      </c>
      <c r="C2886" s="70" t="s">
        <v>2454</v>
      </c>
      <c r="D2886" s="70" t="s">
        <v>1</v>
      </c>
      <c r="E2886" s="70" t="s">
        <v>1</v>
      </c>
      <c r="F2886" s="70"/>
      <c r="G2886" s="70" t="s">
        <v>61</v>
      </c>
      <c r="H2886" s="70" t="s">
        <v>178</v>
      </c>
      <c r="I2886" s="70" t="s">
        <v>181</v>
      </c>
      <c r="J2886" s="71">
        <f>IF(OR(I2886=0,I2886=""),"unrated",VLOOKUP(I2886,MappingTables!$B$19:$C$31,2,FALSE))</f>
        <v>3</v>
      </c>
      <c r="K2886" s="72">
        <v>59.191301874000512</v>
      </c>
      <c r="L2886" s="70">
        <v>4.1537249357847312</v>
      </c>
      <c r="M2886" s="71">
        <f>IF(L2886&lt;1,1,L2886)</f>
        <v>4.1537249357847312</v>
      </c>
      <c r="N2886" s="70" t="s">
        <v>141</v>
      </c>
      <c r="O2886" s="71">
        <f>INDEX(DurClassMapping,MATCH(M2886,MappingTables!$D$4:$D$8,-1),1)</f>
        <v>1</v>
      </c>
      <c r="P2886" s="73">
        <f>IF(M2886=$A$1,1,$M2886-INDEX(MappingTables!$E$4:$E$8,MATCH(O2886,MappingTables!$B$4:$B$8,0)))</f>
        <v>4.1537249357847312</v>
      </c>
      <c r="Q2886" s="71">
        <f>IF(B2886="",0,INDEX(ModelParameters!$D$6:$K$10,MATCH($O2886,ModelParameters!$B$6:$B$10,0),MATCH($J2886,ModelParameters!$D$5:$K$5,0)))</f>
        <v>0.025</v>
      </c>
      <c r="R2886" s="71">
        <f>IF(B2886="",0,INDEX(ModelParameters!$D$13:$K$17,MATCH($O2886,ModelParameters!$B$13:$B$17,0),MATCH($J2886,ModelParameters!$D$5:$K$5,0)))</f>
        <v>0</v>
      </c>
      <c r="S2886" s="160">
        <f>IF(B2886="",0,MIN(IF($N2886="Other Bond TM",ModelParameters!$N$21,1)*(P2886*Q2886+R2886),1))</f>
        <v>0.10384312339461828</v>
      </c>
      <c r="T2886" s="85">
        <f>IF(B2886="",0,$S2886*$K2886)</f>
        <v>6.1466096643899352</v>
      </c>
      <c r="U2886" s="85">
        <f>IF(B2886="",0,IF(OR(H2886=MappingTables!$C$34,H2886=MappingTables!$C$35),T2886,0))</f>
        <v>0</v>
      </c>
      <c r="V2886" s="85">
        <f>IF(ISNA(IF(AND(VLOOKUP(CONCATENATE($D2886,$G2886),CSRFinput!$B:$E,4,0)=0,OR(H2886=MappingTables!$C$34,H2886=MappingTables!$C$35)),1,VLOOKUP(CONCATENATE($D2886,$G2886),CSRFinput!$B:$E,4,0))),0,IF(AND(VLOOKUP(CONCATENATE($D2886,$G2886),CSRFinput!$B:$E,4,0)=0,OR(H2886=MappingTables!$C$34,H2886=MappingTables!$C$35)),1,VLOOKUP(CONCATENATE($D2886,$G2886),CSRFinput!$B:$E,4,0)))</f>
        <v>0.054776304963434752</v>
      </c>
      <c r="W2886" s="85">
        <f>IF(B2886="",0,+$T2886*$V2886)</f>
        <v>0.3366885654678184</v>
      </c>
      <c r="X2886" s="85">
        <f>IF(B2886="",0,IF(OR(H2886=MappingTables!$C$34,H2886=MappingTables!$C$35),W2886,0))</f>
        <v>0</v>
      </c>
    </row>
    <row r="2887" spans="2:24" s="0" customFormat="0" ht="15">
      <c r="B2887" s="69">
        <v>20630023</v>
      </c>
      <c r="C2887" s="70" t="s">
        <v>2644</v>
      </c>
      <c r="D2887" s="70" t="s">
        <v>1</v>
      </c>
      <c r="E2887" s="70" t="s">
        <v>1</v>
      </c>
      <c r="F2887" s="70"/>
      <c r="G2887" s="70" t="s">
        <v>61</v>
      </c>
      <c r="H2887" s="70" t="s">
        <v>178</v>
      </c>
      <c r="I2887" s="70" t="s">
        <v>179</v>
      </c>
      <c r="J2887" s="71">
        <f>IF(OR(I2887=0,I2887=""),"unrated",VLOOKUP(I2887,MappingTables!$B$19:$C$31,2,FALSE))</f>
        <v>4</v>
      </c>
      <c r="K2887" s="72">
        <v>2333.7975289015628</v>
      </c>
      <c r="L2887" s="70">
        <v>2.9933044331950104</v>
      </c>
      <c r="M2887" s="71">
        <f>IF(L2887&lt;1,1,L2887)</f>
        <v>2.9933044331950104</v>
      </c>
      <c r="N2887" s="70" t="s">
        <v>141</v>
      </c>
      <c r="O2887" s="71">
        <f>INDEX(DurClassMapping,MATCH(M2887,MappingTables!$D$4:$D$8,-1),1)</f>
        <v>1</v>
      </c>
      <c r="P2887" s="73">
        <f>IF(M2887=$A$1,1,$M2887-INDEX(MappingTables!$E$4:$E$8,MATCH(O2887,MappingTables!$B$4:$B$8,0)))</f>
        <v>2.9933044331950104</v>
      </c>
      <c r="Q2887" s="71">
        <f>IF(B2887="",0,INDEX(ModelParameters!$D$6:$K$10,MATCH($O2887,ModelParameters!$B$6:$B$10,0),MATCH($J2887,ModelParameters!$D$5:$K$5,0)))</f>
        <v>0.045</v>
      </c>
      <c r="R2887" s="71">
        <f>IF(B2887="",0,INDEX(ModelParameters!$D$13:$K$17,MATCH($O2887,ModelParameters!$B$13:$B$17,0),MATCH($J2887,ModelParameters!$D$5:$K$5,0)))</f>
        <v>0</v>
      </c>
      <c r="S2887" s="160">
        <f>IF(B2887="",0,MIN(IF($N2887="Other Bond TM",ModelParameters!$N$21,1)*(P2887*Q2887+R2887),1))</f>
        <v>0.13469869949377548</v>
      </c>
      <c r="T2887" s="85">
        <f>IF(B2887="",0,$S2887*$K2887)</f>
        <v>314.35949202482736</v>
      </c>
      <c r="U2887" s="85">
        <f>IF(B2887="",0,IF(OR(H2887=MappingTables!$C$34,H2887=MappingTables!$C$35),T2887,0))</f>
        <v>0</v>
      </c>
      <c r="V2887" s="85">
        <f>IF(ISNA(IF(AND(VLOOKUP(CONCATENATE($D2887,$G2887),CSRFinput!$B:$E,4,0)=0,OR(H2887=MappingTables!$C$34,H2887=MappingTables!$C$35)),1,VLOOKUP(CONCATENATE($D2887,$G2887),CSRFinput!$B:$E,4,0))),0,IF(AND(VLOOKUP(CONCATENATE($D2887,$G2887),CSRFinput!$B:$E,4,0)=0,OR(H2887=MappingTables!$C$34,H2887=MappingTables!$C$35)),1,VLOOKUP(CONCATENATE($D2887,$G2887),CSRFinput!$B:$E,4,0)))</f>
        <v>0.054776304963434752</v>
      </c>
      <c r="W2887" s="85">
        <f>IF(B2887="",0,+$T2887*$V2887)</f>
        <v>17.21945140330238</v>
      </c>
      <c r="X2887" s="85">
        <f>IF(B2887="",0,IF(OR(H2887=MappingTables!$C$34,H2887=MappingTables!$C$35),W2887,0))</f>
        <v>0</v>
      </c>
    </row>
    <row r="2888" spans="2:24" s="0" customFormat="0" ht="15">
      <c r="B2888" s="69">
        <v>23212108</v>
      </c>
      <c r="C2888" s="70" t="s">
        <v>2645</v>
      </c>
      <c r="D2888" s="70" t="s">
        <v>1</v>
      </c>
      <c r="E2888" s="70" t="s">
        <v>1</v>
      </c>
      <c r="F2888" s="70"/>
      <c r="G2888" s="70" t="s">
        <v>61</v>
      </c>
      <c r="H2888" s="70" t="s">
        <v>178</v>
      </c>
      <c r="I2888" s="70" t="s">
        <v>181</v>
      </c>
      <c r="J2888" s="71">
        <f>IF(OR(I2888=0,I2888=""),"unrated",VLOOKUP(I2888,MappingTables!$B$19:$C$31,2,FALSE))</f>
        <v>3</v>
      </c>
      <c r="K2888" s="72">
        <v>133.33992756059516</v>
      </c>
      <c r="L2888" s="70">
        <v>0.1561625529250223</v>
      </c>
      <c r="M2888" s="71">
        <f>IF(L2888&lt;1,1,L2888)</f>
        <v>1</v>
      </c>
      <c r="N2888" s="70" t="s">
        <v>141</v>
      </c>
      <c r="O2888" s="71">
        <f>INDEX(DurClassMapping,MATCH(M2888,MappingTables!$D$4:$D$8,-1),1)</f>
        <v>1</v>
      </c>
      <c r="P2888" s="73">
        <f>IF(M2888=$A$1,1,$M2888-INDEX(MappingTables!$E$4:$E$8,MATCH(O2888,MappingTables!$B$4:$B$8,0)))</f>
        <v>1</v>
      </c>
      <c r="Q2888" s="71">
        <f>IF(B2888="",0,INDEX(ModelParameters!$D$6:$K$10,MATCH($O2888,ModelParameters!$B$6:$B$10,0),MATCH($J2888,ModelParameters!$D$5:$K$5,0)))</f>
        <v>0.025</v>
      </c>
      <c r="R2888" s="71">
        <f>IF(B2888="",0,INDEX(ModelParameters!$D$13:$K$17,MATCH($O2888,ModelParameters!$B$13:$B$17,0),MATCH($J2888,ModelParameters!$D$5:$K$5,0)))</f>
        <v>0</v>
      </c>
      <c r="S2888" s="160">
        <f>IF(B2888="",0,MIN(IF($N2888="Other Bond TM",ModelParameters!$N$21,1)*(P2888*Q2888+R2888),1))</f>
        <v>0.025</v>
      </c>
      <c r="T2888" s="85">
        <f>IF(B2888="",0,$S2888*$K2888)</f>
        <v>3.3334981890148788</v>
      </c>
      <c r="U2888" s="85">
        <f>IF(B2888="",0,IF(OR(H2888=MappingTables!$C$34,H2888=MappingTables!$C$35),T2888,0))</f>
        <v>0</v>
      </c>
      <c r="V2888" s="85">
        <f>IF(ISNA(IF(AND(VLOOKUP(CONCATENATE($D2888,$G2888),CSRFinput!$B:$E,4,0)=0,OR(H2888=MappingTables!$C$34,H2888=MappingTables!$C$35)),1,VLOOKUP(CONCATENATE($D2888,$G2888),CSRFinput!$B:$E,4,0))),0,IF(AND(VLOOKUP(CONCATENATE($D2888,$G2888),CSRFinput!$B:$E,4,0)=0,OR(H2888=MappingTables!$C$34,H2888=MappingTables!$C$35)),1,VLOOKUP(CONCATENATE($D2888,$G2888),CSRFinput!$B:$E,4,0)))</f>
        <v>0.054776304963434752</v>
      </c>
      <c r="W2888" s="85">
        <f>IF(B2888="",0,+$T2888*$V2888)</f>
        <v>0.18259671339653648</v>
      </c>
      <c r="X2888" s="85">
        <f>IF(B2888="",0,IF(OR(H2888=MappingTables!$C$34,H2888=MappingTables!$C$35),W2888,0))</f>
        <v>0</v>
      </c>
    </row>
    <row r="2889" spans="2:24" s="0" customFormat="0" ht="15">
      <c r="B2889" s="69">
        <v>22028344</v>
      </c>
      <c r="C2889" s="70" t="s">
        <v>2646</v>
      </c>
      <c r="D2889" s="70" t="s">
        <v>1</v>
      </c>
      <c r="E2889" s="70" t="s">
        <v>1</v>
      </c>
      <c r="F2889" s="70"/>
      <c r="G2889" s="70" t="s">
        <v>61</v>
      </c>
      <c r="H2889" s="70" t="s">
        <v>178</v>
      </c>
      <c r="I2889" s="70" t="s">
        <v>179</v>
      </c>
      <c r="J2889" s="71">
        <f>IF(OR(I2889=0,I2889=""),"unrated",VLOOKUP(I2889,MappingTables!$B$19:$C$31,2,FALSE))</f>
        <v>4</v>
      </c>
      <c r="K2889" s="72">
        <v>3916.587667658532</v>
      </c>
      <c r="L2889" s="70">
        <v>3.7664767262160248</v>
      </c>
      <c r="M2889" s="71">
        <f>IF(L2889&lt;1,1,L2889)</f>
        <v>3.7664767262160248</v>
      </c>
      <c r="N2889" s="70" t="s">
        <v>141</v>
      </c>
      <c r="O2889" s="71">
        <f>INDEX(DurClassMapping,MATCH(M2889,MappingTables!$D$4:$D$8,-1),1)</f>
        <v>1</v>
      </c>
      <c r="P2889" s="73">
        <f>IF(M2889=$A$1,1,$M2889-INDEX(MappingTables!$E$4:$E$8,MATCH(O2889,MappingTables!$B$4:$B$8,0)))</f>
        <v>3.7664767262160248</v>
      </c>
      <c r="Q2889" s="71">
        <f>IF(B2889="",0,INDEX(ModelParameters!$D$6:$K$10,MATCH($O2889,ModelParameters!$B$6:$B$10,0),MATCH($J2889,ModelParameters!$D$5:$K$5,0)))</f>
        <v>0.045</v>
      </c>
      <c r="R2889" s="71">
        <f>IF(B2889="",0,INDEX(ModelParameters!$D$13:$K$17,MATCH($O2889,ModelParameters!$B$13:$B$17,0),MATCH($J2889,ModelParameters!$D$5:$K$5,0)))</f>
        <v>0</v>
      </c>
      <c r="S2889" s="160">
        <f>IF(B2889="",0,MIN(IF($N2889="Other Bond TM",ModelParameters!$N$21,1)*(P2889*Q2889+R2889),1))</f>
        <v>0.1694914526797211</v>
      </c>
      <c r="T2889" s="85">
        <f>IF(B2889="",0,$S2889*$K2889)</f>
        <v>663.8281333389252</v>
      </c>
      <c r="U2889" s="85">
        <f>IF(B2889="",0,IF(OR(H2889=MappingTables!$C$34,H2889=MappingTables!$C$35),T2889,0))</f>
        <v>0</v>
      </c>
      <c r="V2889" s="85">
        <f>IF(ISNA(IF(AND(VLOOKUP(CONCATENATE($D2889,$G2889),CSRFinput!$B:$E,4,0)=0,OR(H2889=MappingTables!$C$34,H2889=MappingTables!$C$35)),1,VLOOKUP(CONCATENATE($D2889,$G2889),CSRFinput!$B:$E,4,0))),0,IF(AND(VLOOKUP(CONCATENATE($D2889,$G2889),CSRFinput!$B:$E,4,0)=0,OR(H2889=MappingTables!$C$34,H2889=MappingTables!$C$35)),1,VLOOKUP(CONCATENATE($D2889,$G2889),CSRFinput!$B:$E,4,0)))</f>
        <v>0.054776304963434752</v>
      </c>
      <c r="W2889" s="85">
        <f>IF(B2889="",0,+$T2889*$V2889)</f>
        <v>36.3620522750806</v>
      </c>
      <c r="X2889" s="85">
        <f>IF(B2889="",0,IF(OR(H2889=MappingTables!$C$34,H2889=MappingTables!$C$35),W2889,0))</f>
        <v>0</v>
      </c>
    </row>
    <row r="2890" spans="2:24" s="0" customFormat="0" ht="15">
      <c r="B2890" s="69">
        <v>15219111</v>
      </c>
      <c r="C2890" s="70" t="s">
        <v>2054</v>
      </c>
      <c r="D2890" s="70" t="s">
        <v>1</v>
      </c>
      <c r="E2890" s="70" t="s">
        <v>1</v>
      </c>
      <c r="F2890" s="70"/>
      <c r="G2890" s="70" t="s">
        <v>61</v>
      </c>
      <c r="H2890" s="70" t="s">
        <v>178</v>
      </c>
      <c r="I2890" s="70" t="s">
        <v>179</v>
      </c>
      <c r="J2890" s="71">
        <f>IF(OR(I2890=0,I2890=""),"unrated",VLOOKUP(I2890,MappingTables!$B$19:$C$31,2,FALSE))</f>
        <v>4</v>
      </c>
      <c r="K2890" s="72">
        <v>2781.0480696178968</v>
      </c>
      <c r="L2890" s="70">
        <v>0.032876552779613128</v>
      </c>
      <c r="M2890" s="71">
        <f>IF(L2890&lt;1,1,L2890)</f>
        <v>1</v>
      </c>
      <c r="N2890" s="70" t="s">
        <v>141</v>
      </c>
      <c r="O2890" s="71">
        <f>INDEX(DurClassMapping,MATCH(M2890,MappingTables!$D$4:$D$8,-1),1)</f>
        <v>1</v>
      </c>
      <c r="P2890" s="73">
        <f>IF(M2890=$A$1,1,$M2890-INDEX(MappingTables!$E$4:$E$8,MATCH(O2890,MappingTables!$B$4:$B$8,0)))</f>
        <v>1</v>
      </c>
      <c r="Q2890" s="71">
        <f>IF(B2890="",0,INDEX(ModelParameters!$D$6:$K$10,MATCH($O2890,ModelParameters!$B$6:$B$10,0),MATCH($J2890,ModelParameters!$D$5:$K$5,0)))</f>
        <v>0.045</v>
      </c>
      <c r="R2890" s="71">
        <f>IF(B2890="",0,INDEX(ModelParameters!$D$13:$K$17,MATCH($O2890,ModelParameters!$B$13:$B$17,0),MATCH($J2890,ModelParameters!$D$5:$K$5,0)))</f>
        <v>0</v>
      </c>
      <c r="S2890" s="160">
        <f>IF(B2890="",0,MIN(IF($N2890="Other Bond TM",ModelParameters!$N$21,1)*(P2890*Q2890+R2890),1))</f>
        <v>0.045</v>
      </c>
      <c r="T2890" s="85">
        <f>IF(B2890="",0,$S2890*$K2890)</f>
        <v>125.14716313280536</v>
      </c>
      <c r="U2890" s="85">
        <f>IF(B2890="",0,IF(OR(H2890=MappingTables!$C$34,H2890=MappingTables!$C$35),T2890,0))</f>
        <v>0</v>
      </c>
      <c r="V2890" s="85">
        <f>IF(ISNA(IF(AND(VLOOKUP(CONCATENATE($D2890,$G2890),CSRFinput!$B:$E,4,0)=0,OR(H2890=MappingTables!$C$34,H2890=MappingTables!$C$35)),1,VLOOKUP(CONCATENATE($D2890,$G2890),CSRFinput!$B:$E,4,0))),0,IF(AND(VLOOKUP(CONCATENATE($D2890,$G2890),CSRFinput!$B:$E,4,0)=0,OR(H2890=MappingTables!$C$34,H2890=MappingTables!$C$35)),1,VLOOKUP(CONCATENATE($D2890,$G2890),CSRFinput!$B:$E,4,0)))</f>
        <v>0.054776304963434752</v>
      </c>
      <c r="W2890" s="85">
        <f>IF(B2890="",0,+$T2890*$V2890)</f>
        <v>6.8550991730712648</v>
      </c>
      <c r="X2890" s="85">
        <f>IF(B2890="",0,IF(OR(H2890=MappingTables!$C$34,H2890=MappingTables!$C$35),W2890,0))</f>
        <v>0</v>
      </c>
    </row>
    <row r="2891" spans="2:24" s="0" customFormat="0" ht="15">
      <c r="B2891" s="69">
        <v>18923343</v>
      </c>
      <c r="C2891" s="70" t="s">
        <v>2184</v>
      </c>
      <c r="D2891" s="70" t="s">
        <v>1</v>
      </c>
      <c r="E2891" s="70" t="s">
        <v>1</v>
      </c>
      <c r="F2891" s="70"/>
      <c r="G2891" s="70" t="s">
        <v>61</v>
      </c>
      <c r="H2891" s="70" t="s">
        <v>178</v>
      </c>
      <c r="I2891" s="70" t="s">
        <v>179</v>
      </c>
      <c r="J2891" s="71">
        <f>IF(OR(I2891=0,I2891=""),"unrated",VLOOKUP(I2891,MappingTables!$B$19:$C$31,2,FALSE))</f>
        <v>4</v>
      </c>
      <c r="K2891" s="72">
        <v>11429.789168225384</v>
      </c>
      <c r="L2891" s="70">
        <v>4.040596856801536</v>
      </c>
      <c r="M2891" s="71">
        <f>IF(L2891&lt;1,1,L2891)</f>
        <v>4.040596856801536</v>
      </c>
      <c r="N2891" s="70" t="s">
        <v>141</v>
      </c>
      <c r="O2891" s="71">
        <f>INDEX(DurClassMapping,MATCH(M2891,MappingTables!$D$4:$D$8,-1),1)</f>
        <v>1</v>
      </c>
      <c r="P2891" s="73">
        <f>IF(M2891=$A$1,1,$M2891-INDEX(MappingTables!$E$4:$E$8,MATCH(O2891,MappingTables!$B$4:$B$8,0)))</f>
        <v>4.040596856801536</v>
      </c>
      <c r="Q2891" s="71">
        <f>IF(B2891="",0,INDEX(ModelParameters!$D$6:$K$10,MATCH($O2891,ModelParameters!$B$6:$B$10,0),MATCH($J2891,ModelParameters!$D$5:$K$5,0)))</f>
        <v>0.045</v>
      </c>
      <c r="R2891" s="71">
        <f>IF(B2891="",0,INDEX(ModelParameters!$D$13:$K$17,MATCH($O2891,ModelParameters!$B$13:$B$17,0),MATCH($J2891,ModelParameters!$D$5:$K$5,0)))</f>
        <v>0</v>
      </c>
      <c r="S2891" s="160">
        <f>IF(B2891="",0,MIN(IF($N2891="Other Bond TM",ModelParameters!$N$21,1)*(P2891*Q2891+R2891),1))</f>
        <v>0.18182685855606912</v>
      </c>
      <c r="T2891" s="85">
        <f>IF(B2891="",0,$S2891*$K2891)</f>
        <v>2078.242658416608</v>
      </c>
      <c r="U2891" s="85">
        <f>IF(B2891="",0,IF(OR(H2891=MappingTables!$C$34,H2891=MappingTables!$C$35),T2891,0))</f>
        <v>0</v>
      </c>
      <c r="V2891" s="85">
        <f>IF(ISNA(IF(AND(VLOOKUP(CONCATENATE($D2891,$G2891),CSRFinput!$B:$E,4,0)=0,OR(H2891=MappingTables!$C$34,H2891=MappingTables!$C$35)),1,VLOOKUP(CONCATENATE($D2891,$G2891),CSRFinput!$B:$E,4,0))),0,IF(AND(VLOOKUP(CONCATENATE($D2891,$G2891),CSRFinput!$B:$E,4,0)=0,OR(H2891=MappingTables!$C$34,H2891=MappingTables!$C$35)),1,VLOOKUP(CONCATENATE($D2891,$G2891),CSRFinput!$B:$E,4,0)))</f>
        <v>0.054776304963434752</v>
      </c>
      <c r="W2891" s="85">
        <f>IF(B2891="",0,+$T2891*$V2891)</f>
        <v>113.83845364544748</v>
      </c>
      <c r="X2891" s="85">
        <f>IF(B2891="",0,IF(OR(H2891=MappingTables!$C$34,H2891=MappingTables!$C$35),W2891,0))</f>
        <v>0</v>
      </c>
    </row>
    <row r="2892" spans="2:24" s="0" customFormat="0" ht="15">
      <c r="B2892" s="69" t="s">
        <v>1899</v>
      </c>
      <c r="C2892" s="70" t="s">
        <v>1900</v>
      </c>
      <c r="D2892" s="70" t="s">
        <v>1</v>
      </c>
      <c r="E2892" s="70" t="s">
        <v>1</v>
      </c>
      <c r="F2892" s="70"/>
      <c r="G2892" s="70" t="s">
        <v>61</v>
      </c>
      <c r="H2892" s="70" t="s">
        <v>178</v>
      </c>
      <c r="I2892" s="70" t="s">
        <v>181</v>
      </c>
      <c r="J2892" s="71">
        <f>IF(OR(I2892=0,I2892=""),"unrated",VLOOKUP(I2892,MappingTables!$B$19:$C$31,2,FALSE))</f>
        <v>3</v>
      </c>
      <c r="K2892" s="72">
        <v>3.7696431432772296</v>
      </c>
      <c r="L2892" s="70">
        <v>2.8428151193076056</v>
      </c>
      <c r="M2892" s="71">
        <f>IF(L2892&lt;1,1,L2892)</f>
        <v>2.8428151193076056</v>
      </c>
      <c r="N2892" s="70" t="s">
        <v>141</v>
      </c>
      <c r="O2892" s="71">
        <f>INDEX(DurClassMapping,MATCH(M2892,MappingTables!$D$4:$D$8,-1),1)</f>
        <v>1</v>
      </c>
      <c r="P2892" s="73">
        <f>IF(M2892=$A$1,1,$M2892-INDEX(MappingTables!$E$4:$E$8,MATCH(O2892,MappingTables!$B$4:$B$8,0)))</f>
        <v>2.8428151193076056</v>
      </c>
      <c r="Q2892" s="71">
        <f>IF(B2892="",0,INDEX(ModelParameters!$D$6:$K$10,MATCH($O2892,ModelParameters!$B$6:$B$10,0),MATCH($J2892,ModelParameters!$D$5:$K$5,0)))</f>
        <v>0.025</v>
      </c>
      <c r="R2892" s="71">
        <f>IF(B2892="",0,INDEX(ModelParameters!$D$13:$K$17,MATCH($O2892,ModelParameters!$B$13:$B$17,0),MATCH($J2892,ModelParameters!$D$5:$K$5,0)))</f>
        <v>0</v>
      </c>
      <c r="S2892" s="160">
        <f>IF(B2892="",0,MIN(IF($N2892="Other Bond TM",ModelParameters!$N$21,1)*(P2892*Q2892+R2892),1))</f>
        <v>0.071070377982690144</v>
      </c>
      <c r="T2892" s="85">
        <f>IF(B2892="",0,$S2892*$K2892)</f>
        <v>0.26790996305256888</v>
      </c>
      <c r="U2892" s="85">
        <f>IF(B2892="",0,IF(OR(H2892=MappingTables!$C$34,H2892=MappingTables!$C$35),T2892,0))</f>
        <v>0</v>
      </c>
      <c r="V2892" s="85">
        <f>IF(ISNA(IF(AND(VLOOKUP(CONCATENATE($D2892,$G2892),CSRFinput!$B:$E,4,0)=0,OR(H2892=MappingTables!$C$34,H2892=MappingTables!$C$35)),1,VLOOKUP(CONCATENATE($D2892,$G2892),CSRFinput!$B:$E,4,0))),0,IF(AND(VLOOKUP(CONCATENATE($D2892,$G2892),CSRFinput!$B:$E,4,0)=0,OR(H2892=MappingTables!$C$34,H2892=MappingTables!$C$35)),1,VLOOKUP(CONCATENATE($D2892,$G2892),CSRFinput!$B:$E,4,0)))</f>
        <v>0.054776304963434752</v>
      </c>
      <c r="W2892" s="85">
        <f>IF(B2892="",0,+$T2892*$V2892)</f>
        <v>0.014675117838910048</v>
      </c>
      <c r="X2892" s="85">
        <f>IF(B2892="",0,IF(OR(H2892=MappingTables!$C$34,H2892=MappingTables!$C$35),W2892,0))</f>
        <v>0</v>
      </c>
    </row>
    <row r="2893" spans="2:24" s="0" customFormat="0" ht="15">
      <c r="B2893" s="69" t="s">
        <v>2647</v>
      </c>
      <c r="C2893" s="70" t="s">
        <v>2648</v>
      </c>
      <c r="D2893" s="70" t="s">
        <v>1</v>
      </c>
      <c r="E2893" s="70" t="s">
        <v>1</v>
      </c>
      <c r="F2893" s="70"/>
      <c r="G2893" s="70" t="s">
        <v>61</v>
      </c>
      <c r="H2893" s="70" t="s">
        <v>178</v>
      </c>
      <c r="I2893" s="70" t="s">
        <v>188</v>
      </c>
      <c r="J2893" s="71">
        <f>IF(OR(I2893=0,I2893=""),"unrated",VLOOKUP(I2893,MappingTables!$B$19:$C$31,2,FALSE))</f>
        <v>2</v>
      </c>
      <c r="K2893" s="72">
        <v>41.935363162103744</v>
      </c>
      <c r="L2893" s="70">
        <v>0.79653319828745312</v>
      </c>
      <c r="M2893" s="71">
        <f>IF(L2893&lt;1,1,L2893)</f>
        <v>1</v>
      </c>
      <c r="N2893" s="70" t="s">
        <v>141</v>
      </c>
      <c r="O2893" s="71">
        <f>INDEX(DurClassMapping,MATCH(M2893,MappingTables!$D$4:$D$8,-1),1)</f>
        <v>1</v>
      </c>
      <c r="P2893" s="73">
        <f>IF(M2893=$A$1,1,$M2893-INDEX(MappingTables!$E$4:$E$8,MATCH(O2893,MappingTables!$B$4:$B$8,0)))</f>
        <v>1</v>
      </c>
      <c r="Q2893" s="71">
        <f>IF(B2893="",0,INDEX(ModelParameters!$D$6:$K$10,MATCH($O2893,ModelParameters!$B$6:$B$10,0),MATCH($J2893,ModelParameters!$D$5:$K$5,0)))</f>
        <v>0.013999999999999998</v>
      </c>
      <c r="R2893" s="71">
        <f>IF(B2893="",0,INDEX(ModelParameters!$D$13:$K$17,MATCH($O2893,ModelParameters!$B$13:$B$17,0),MATCH($J2893,ModelParameters!$D$5:$K$5,0)))</f>
        <v>0</v>
      </c>
      <c r="S2893" s="160">
        <f>IF(B2893="",0,MIN(IF($N2893="Other Bond TM",ModelParameters!$N$21,1)*(P2893*Q2893+R2893),1))</f>
        <v>0.013999999999999998</v>
      </c>
      <c r="T2893" s="85">
        <f>IF(B2893="",0,$S2893*$K2893)</f>
        <v>0.58709508426945232</v>
      </c>
      <c r="U2893" s="85">
        <f>IF(B2893="",0,IF(OR(H2893=MappingTables!$C$34,H2893=MappingTables!$C$35),T2893,0))</f>
        <v>0</v>
      </c>
      <c r="V2893" s="85">
        <f>IF(ISNA(IF(AND(VLOOKUP(CONCATENATE($D2893,$G2893),CSRFinput!$B:$E,4,0)=0,OR(H2893=MappingTables!$C$34,H2893=MappingTables!$C$35)),1,VLOOKUP(CONCATENATE($D2893,$G2893),CSRFinput!$B:$E,4,0))),0,IF(AND(VLOOKUP(CONCATENATE($D2893,$G2893),CSRFinput!$B:$E,4,0)=0,OR(H2893=MappingTables!$C$34,H2893=MappingTables!$C$35)),1,VLOOKUP(CONCATENATE($D2893,$G2893),CSRFinput!$B:$E,4,0)))</f>
        <v>0.054776304963434752</v>
      </c>
      <c r="W2893" s="85">
        <f>IF(B2893="",0,+$T2893*$V2893)</f>
        <v>0.032158899378476948</v>
      </c>
      <c r="X2893" s="85">
        <f>IF(B2893="",0,IF(OR(H2893=MappingTables!$C$34,H2893=MappingTables!$C$35),W2893,0))</f>
        <v>0</v>
      </c>
    </row>
    <row r="2894" spans="2:24" s="0" customFormat="0" ht="15">
      <c r="B2894" s="69">
        <v>23170669</v>
      </c>
      <c r="C2894" s="70" t="s">
        <v>1359</v>
      </c>
      <c r="D2894" s="70" t="s">
        <v>1</v>
      </c>
      <c r="E2894" s="70" t="s">
        <v>1</v>
      </c>
      <c r="F2894" s="70"/>
      <c r="G2894" s="70" t="s">
        <v>61</v>
      </c>
      <c r="H2894" s="70" t="s">
        <v>178</v>
      </c>
      <c r="I2894" s="70" t="s">
        <v>184</v>
      </c>
      <c r="J2894" s="71">
        <f>IF(OR(I2894=0,I2894=""),"unrated",VLOOKUP(I2894,MappingTables!$B$19:$C$31,2,FALSE))</f>
        <v>5</v>
      </c>
      <c r="K2894" s="72">
        <v>24633.4279921163</v>
      </c>
      <c r="L2894" s="70">
        <v>10.76973602272808</v>
      </c>
      <c r="M2894" s="71">
        <f>IF(L2894&lt;1,1,L2894)</f>
        <v>10.76973602272808</v>
      </c>
      <c r="N2894" s="70" t="s">
        <v>141</v>
      </c>
      <c r="O2894" s="71">
        <f>INDEX(DurClassMapping,MATCH(M2894,MappingTables!$D$4:$D$8,-1),1)</f>
        <v>3</v>
      </c>
      <c r="P2894" s="73">
        <f>IF(M2894=$A$1,1,$M2894-INDEX(MappingTables!$E$4:$E$8,MATCH(O2894,MappingTables!$B$4:$B$8,0)))</f>
        <v>0.7697360227280808</v>
      </c>
      <c r="Q2894" s="71">
        <f>IF(B2894="",0,INDEX(ModelParameters!$D$6:$K$10,MATCH($O2894,ModelParameters!$B$6:$B$10,0),MATCH($J2894,ModelParameters!$D$5:$K$5,0)))</f>
        <v>0.005</v>
      </c>
      <c r="R2894" s="71">
        <f>IF(B2894="",0,INDEX(ModelParameters!$D$13:$K$17,MATCH($O2894,ModelParameters!$B$13:$B$17,0),MATCH($J2894,ModelParameters!$D$5:$K$5,0)))</f>
        <v>0.585</v>
      </c>
      <c r="S2894" s="160">
        <f>IF(B2894="",0,MIN(IF($N2894="Other Bond TM",ModelParameters!$N$21,1)*(P2894*Q2894+R2894),1))</f>
        <v>0.58884868011364032</v>
      </c>
      <c r="T2894" s="85">
        <f>IF(B2894="",0,$S2894*$K2894)</f>
        <v>14505.361559832084</v>
      </c>
      <c r="U2894" s="85">
        <f>IF(B2894="",0,IF(OR(H2894=MappingTables!$C$34,H2894=MappingTables!$C$35),T2894,0))</f>
        <v>0</v>
      </c>
      <c r="V2894" s="85">
        <f>IF(ISNA(IF(AND(VLOOKUP(CONCATENATE($D2894,$G2894),CSRFinput!$B:$E,4,0)=0,OR(H2894=MappingTables!$C$34,H2894=MappingTables!$C$35)),1,VLOOKUP(CONCATENATE($D2894,$G2894),CSRFinput!$B:$E,4,0))),0,IF(AND(VLOOKUP(CONCATENATE($D2894,$G2894),CSRFinput!$B:$E,4,0)=0,OR(H2894=MappingTables!$C$34,H2894=MappingTables!$C$35)),1,VLOOKUP(CONCATENATE($D2894,$G2894),CSRFinput!$B:$E,4,0)))</f>
        <v>0.054776304963434752</v>
      </c>
      <c r="W2894" s="85">
        <f>IF(B2894="",0,+$T2894*$V2894)</f>
        <v>794.55010840624592</v>
      </c>
      <c r="X2894" s="85">
        <f>IF(B2894="",0,IF(OR(H2894=MappingTables!$C$34,H2894=MappingTables!$C$35),W2894,0))</f>
        <v>0</v>
      </c>
    </row>
    <row r="2895" spans="2:24" s="0" customFormat="0" ht="15">
      <c r="B2895" s="69">
        <v>11522747</v>
      </c>
      <c r="C2895" s="70" t="s">
        <v>1672</v>
      </c>
      <c r="D2895" s="70" t="s">
        <v>1</v>
      </c>
      <c r="E2895" s="70" t="s">
        <v>1</v>
      </c>
      <c r="F2895" s="70"/>
      <c r="G2895" s="70" t="s">
        <v>61</v>
      </c>
      <c r="H2895" s="70" t="s">
        <v>178</v>
      </c>
      <c r="I2895" s="70" t="s">
        <v>188</v>
      </c>
      <c r="J2895" s="71">
        <f>IF(OR(I2895=0,I2895=""),"unrated",VLOOKUP(I2895,MappingTables!$B$19:$C$31,2,FALSE))</f>
        <v>2</v>
      </c>
      <c r="K2895" s="72">
        <v>23.523971575750916</v>
      </c>
      <c r="L2895" s="70">
        <v>0.13150483072108996</v>
      </c>
      <c r="M2895" s="71">
        <f>IF(L2895&lt;1,1,L2895)</f>
        <v>1</v>
      </c>
      <c r="N2895" s="70" t="s">
        <v>141</v>
      </c>
      <c r="O2895" s="71">
        <f>INDEX(DurClassMapping,MATCH(M2895,MappingTables!$D$4:$D$8,-1),1)</f>
        <v>1</v>
      </c>
      <c r="P2895" s="73">
        <f>IF(M2895=$A$1,1,$M2895-INDEX(MappingTables!$E$4:$E$8,MATCH(O2895,MappingTables!$B$4:$B$8,0)))</f>
        <v>1</v>
      </c>
      <c r="Q2895" s="71">
        <f>IF(B2895="",0,INDEX(ModelParameters!$D$6:$K$10,MATCH($O2895,ModelParameters!$B$6:$B$10,0),MATCH($J2895,ModelParameters!$D$5:$K$5,0)))</f>
        <v>0.013999999999999998</v>
      </c>
      <c r="R2895" s="71">
        <f>IF(B2895="",0,INDEX(ModelParameters!$D$13:$K$17,MATCH($O2895,ModelParameters!$B$13:$B$17,0),MATCH($J2895,ModelParameters!$D$5:$K$5,0)))</f>
        <v>0</v>
      </c>
      <c r="S2895" s="160">
        <f>IF(B2895="",0,MIN(IF($N2895="Other Bond TM",ModelParameters!$N$21,1)*(P2895*Q2895+R2895),1))</f>
        <v>0.013999999999999998</v>
      </c>
      <c r="T2895" s="85">
        <f>IF(B2895="",0,$S2895*$K2895)</f>
        <v>0.32933560206051284</v>
      </c>
      <c r="U2895" s="85">
        <f>IF(B2895="",0,IF(OR(H2895=MappingTables!$C$34,H2895=MappingTables!$C$35),T2895,0))</f>
        <v>0</v>
      </c>
      <c r="V2895" s="85">
        <f>IF(ISNA(IF(AND(VLOOKUP(CONCATENATE($D2895,$G2895),CSRFinput!$B:$E,4,0)=0,OR(H2895=MappingTables!$C$34,H2895=MappingTables!$C$35)),1,VLOOKUP(CONCATENATE($D2895,$G2895),CSRFinput!$B:$E,4,0))),0,IF(AND(VLOOKUP(CONCATENATE($D2895,$G2895),CSRFinput!$B:$E,4,0)=0,OR(H2895=MappingTables!$C$34,H2895=MappingTables!$C$35)),1,VLOOKUP(CONCATENATE($D2895,$G2895),CSRFinput!$B:$E,4,0)))</f>
        <v>0.054776304963434752</v>
      </c>
      <c r="W2895" s="85">
        <f>IF(B2895="",0,+$T2895*$V2895)</f>
        <v>0.01803978737378304</v>
      </c>
      <c r="X2895" s="85">
        <f>IF(B2895="",0,IF(OR(H2895=MappingTables!$C$34,H2895=MappingTables!$C$35),W2895,0))</f>
        <v>0</v>
      </c>
    </row>
    <row r="2896" spans="2:24" s="0" customFormat="0" ht="15">
      <c r="B2896" s="69">
        <v>21999296</v>
      </c>
      <c r="C2896" s="70" t="s">
        <v>2649</v>
      </c>
      <c r="D2896" s="70" t="s">
        <v>1</v>
      </c>
      <c r="E2896" s="70" t="s">
        <v>1</v>
      </c>
      <c r="F2896" s="70"/>
      <c r="G2896" s="70" t="s">
        <v>61</v>
      </c>
      <c r="H2896" s="70" t="s">
        <v>178</v>
      </c>
      <c r="I2896" s="70" t="s">
        <v>184</v>
      </c>
      <c r="J2896" s="71">
        <f>IF(OR(I2896=0,I2896=""),"unrated",VLOOKUP(I2896,MappingTables!$B$19:$C$31,2,FALSE))</f>
        <v>5</v>
      </c>
      <c r="K2896" s="72">
        <v>33.81544860065896</v>
      </c>
      <c r="L2896" s="70">
        <v>2.1903713106539024</v>
      </c>
      <c r="M2896" s="71">
        <f>IF(L2896&lt;1,1,L2896)</f>
        <v>2.1903713106539024</v>
      </c>
      <c r="N2896" s="70" t="s">
        <v>141</v>
      </c>
      <c r="O2896" s="71">
        <f>INDEX(DurClassMapping,MATCH(M2896,MappingTables!$D$4:$D$8,-1),1)</f>
        <v>1</v>
      </c>
      <c r="P2896" s="73">
        <f>IF(M2896=$A$1,1,$M2896-INDEX(MappingTables!$E$4:$E$8,MATCH(O2896,MappingTables!$B$4:$B$8,0)))</f>
        <v>2.1903713106539024</v>
      </c>
      <c r="Q2896" s="71">
        <f>IF(B2896="",0,INDEX(ModelParameters!$D$6:$K$10,MATCH($O2896,ModelParameters!$B$6:$B$10,0),MATCH($J2896,ModelParameters!$D$5:$K$5,0)))</f>
        <v>0.075</v>
      </c>
      <c r="R2896" s="71">
        <f>IF(B2896="",0,INDEX(ModelParameters!$D$13:$K$17,MATCH($O2896,ModelParameters!$B$13:$B$17,0),MATCH($J2896,ModelParameters!$D$5:$K$5,0)))</f>
        <v>0</v>
      </c>
      <c r="S2896" s="160">
        <f>IF(B2896="",0,MIN(IF($N2896="Other Bond TM",ModelParameters!$N$21,1)*(P2896*Q2896+R2896),1))</f>
        <v>0.16427784829904268</v>
      </c>
      <c r="T2896" s="85">
        <f>IF(B2896="",0,$S2896*$K2896)</f>
        <v>5.555129135383128</v>
      </c>
      <c r="U2896" s="85">
        <f>IF(B2896="",0,IF(OR(H2896=MappingTables!$C$34,H2896=MappingTables!$C$35),T2896,0))</f>
        <v>0</v>
      </c>
      <c r="V2896" s="85">
        <f>IF(ISNA(IF(AND(VLOOKUP(CONCATENATE($D2896,$G2896),CSRFinput!$B:$E,4,0)=0,OR(H2896=MappingTables!$C$34,H2896=MappingTables!$C$35)),1,VLOOKUP(CONCATENATE($D2896,$G2896),CSRFinput!$B:$E,4,0))),0,IF(AND(VLOOKUP(CONCATENATE($D2896,$G2896),CSRFinput!$B:$E,4,0)=0,OR(H2896=MappingTables!$C$34,H2896=MappingTables!$C$35)),1,VLOOKUP(CONCATENATE($D2896,$G2896),CSRFinput!$B:$E,4,0)))</f>
        <v>0.054776304963434752</v>
      </c>
      <c r="W2896" s="85">
        <f>IF(B2896="",0,+$T2896*$V2896)</f>
        <v>0.30428944763100784</v>
      </c>
      <c r="X2896" s="85">
        <f>IF(B2896="",0,IF(OR(H2896=MappingTables!$C$34,H2896=MappingTables!$C$35),W2896,0))</f>
        <v>0</v>
      </c>
    </row>
    <row r="2897" spans="2:24" s="0" customFormat="0" ht="15">
      <c r="B2897" s="69">
        <v>17020265</v>
      </c>
      <c r="C2897" s="70" t="s">
        <v>1212</v>
      </c>
      <c r="D2897" s="70" t="s">
        <v>1</v>
      </c>
      <c r="E2897" s="70" t="s">
        <v>1</v>
      </c>
      <c r="F2897" s="70"/>
      <c r="G2897" s="70" t="s">
        <v>61</v>
      </c>
      <c r="H2897" s="70" t="s">
        <v>178</v>
      </c>
      <c r="I2897" s="70" t="s">
        <v>181</v>
      </c>
      <c r="J2897" s="71">
        <f>IF(OR(I2897=0,I2897=""),"unrated",VLOOKUP(I2897,MappingTables!$B$19:$C$31,2,FALSE))</f>
        <v>3</v>
      </c>
      <c r="K2897" s="72">
        <v>136.6339151069148</v>
      </c>
      <c r="L2897" s="70">
        <v>0.33972902128659392</v>
      </c>
      <c r="M2897" s="71">
        <f>IF(L2897&lt;1,1,L2897)</f>
        <v>1</v>
      </c>
      <c r="N2897" s="70" t="s">
        <v>141</v>
      </c>
      <c r="O2897" s="71">
        <f>INDEX(DurClassMapping,MATCH(M2897,MappingTables!$D$4:$D$8,-1),1)</f>
        <v>1</v>
      </c>
      <c r="P2897" s="73">
        <f>IF(M2897=$A$1,1,$M2897-INDEX(MappingTables!$E$4:$E$8,MATCH(O2897,MappingTables!$B$4:$B$8,0)))</f>
        <v>1</v>
      </c>
      <c r="Q2897" s="71">
        <f>IF(B2897="",0,INDEX(ModelParameters!$D$6:$K$10,MATCH($O2897,ModelParameters!$B$6:$B$10,0),MATCH($J2897,ModelParameters!$D$5:$K$5,0)))</f>
        <v>0.025</v>
      </c>
      <c r="R2897" s="71">
        <f>IF(B2897="",0,INDEX(ModelParameters!$D$13:$K$17,MATCH($O2897,ModelParameters!$B$13:$B$17,0),MATCH($J2897,ModelParameters!$D$5:$K$5,0)))</f>
        <v>0</v>
      </c>
      <c r="S2897" s="160">
        <f>IF(B2897="",0,MIN(IF($N2897="Other Bond TM",ModelParameters!$N$21,1)*(P2897*Q2897+R2897),1))</f>
        <v>0.025</v>
      </c>
      <c r="T2897" s="85">
        <f>IF(B2897="",0,$S2897*$K2897)</f>
        <v>3.4158478776728704</v>
      </c>
      <c r="U2897" s="85">
        <f>IF(B2897="",0,IF(OR(H2897=MappingTables!$C$34,H2897=MappingTables!$C$35),T2897,0))</f>
        <v>0</v>
      </c>
      <c r="V2897" s="85">
        <f>IF(ISNA(IF(AND(VLOOKUP(CONCATENATE($D2897,$G2897),CSRFinput!$B:$E,4,0)=0,OR(H2897=MappingTables!$C$34,H2897=MappingTables!$C$35)),1,VLOOKUP(CONCATENATE($D2897,$G2897),CSRFinput!$B:$E,4,0))),0,IF(AND(VLOOKUP(CONCATENATE($D2897,$G2897),CSRFinput!$B:$E,4,0)=0,OR(H2897=MappingTables!$C$34,H2897=MappingTables!$C$35)),1,VLOOKUP(CONCATENATE($D2897,$G2897),CSRFinput!$B:$E,4,0)))</f>
        <v>0.054776304963434752</v>
      </c>
      <c r="W2897" s="85">
        <f>IF(B2897="",0,+$T2897*$V2897)</f>
        <v>0.18710752505611052</v>
      </c>
      <c r="X2897" s="85">
        <f>IF(B2897="",0,IF(OR(H2897=MappingTables!$C$34,H2897=MappingTables!$C$35),W2897,0))</f>
        <v>0</v>
      </c>
    </row>
    <row r="2898" spans="2:24" s="0" customFormat="0" ht="15">
      <c r="B2898" s="69">
        <v>20993770</v>
      </c>
      <c r="C2898" s="70" t="s">
        <v>2250</v>
      </c>
      <c r="D2898" s="70" t="s">
        <v>1</v>
      </c>
      <c r="E2898" s="70" t="s">
        <v>1</v>
      </c>
      <c r="F2898" s="70"/>
      <c r="G2898" s="70" t="s">
        <v>61</v>
      </c>
      <c r="H2898" s="70" t="s">
        <v>178</v>
      </c>
      <c r="I2898" s="70" t="s">
        <v>181</v>
      </c>
      <c r="J2898" s="71">
        <f>IF(OR(I2898=0,I2898=""),"unrated",VLOOKUP(I2898,MappingTables!$B$19:$C$31,2,FALSE))</f>
        <v>3</v>
      </c>
      <c r="K2898" s="72">
        <v>587.31321906211712</v>
      </c>
      <c r="L2898" s="70">
        <v>8.0542790698876064</v>
      </c>
      <c r="M2898" s="71">
        <f>IF(L2898&lt;1,1,L2898)</f>
        <v>8.0542790698876064</v>
      </c>
      <c r="N2898" s="70" t="s">
        <v>141</v>
      </c>
      <c r="O2898" s="71">
        <f>INDEX(DurClassMapping,MATCH(M2898,MappingTables!$D$4:$D$8,-1),1)</f>
        <v>2</v>
      </c>
      <c r="P2898" s="73">
        <f>IF(M2898=$A$1,1,$M2898-INDEX(MappingTables!$E$4:$E$8,MATCH(O2898,MappingTables!$B$4:$B$8,0)))</f>
        <v>3.054279069887606</v>
      </c>
      <c r="Q2898" s="71">
        <f>IF(B2898="",0,INDEX(ModelParameters!$D$6:$K$10,MATCH($O2898,ModelParameters!$B$6:$B$10,0),MATCH($J2898,ModelParameters!$D$5:$K$5,0)))</f>
        <v>0.015</v>
      </c>
      <c r="R2898" s="71">
        <f>IF(B2898="",0,INDEX(ModelParameters!$D$13:$K$17,MATCH($O2898,ModelParameters!$B$13:$B$17,0),MATCH($J2898,ModelParameters!$D$5:$K$5,0)))</f>
        <v>0.125</v>
      </c>
      <c r="S2898" s="160">
        <f>IF(B2898="",0,MIN(IF($N2898="Other Bond TM",ModelParameters!$N$21,1)*(P2898*Q2898+R2898),1))</f>
        <v>0.17081418604831408</v>
      </c>
      <c r="T2898" s="85">
        <f>IF(B2898="",0,$S2898*$K2898)</f>
        <v>100.32142946951072</v>
      </c>
      <c r="U2898" s="85">
        <f>IF(B2898="",0,IF(OR(H2898=MappingTables!$C$34,H2898=MappingTables!$C$35),T2898,0))</f>
        <v>0</v>
      </c>
      <c r="V2898" s="85">
        <f>IF(ISNA(IF(AND(VLOOKUP(CONCATENATE($D2898,$G2898),CSRFinput!$B:$E,4,0)=0,OR(H2898=MappingTables!$C$34,H2898=MappingTables!$C$35)),1,VLOOKUP(CONCATENATE($D2898,$G2898),CSRFinput!$B:$E,4,0))),0,IF(AND(VLOOKUP(CONCATENATE($D2898,$G2898),CSRFinput!$B:$E,4,0)=0,OR(H2898=MappingTables!$C$34,H2898=MappingTables!$C$35)),1,VLOOKUP(CONCATENATE($D2898,$G2898),CSRFinput!$B:$E,4,0)))</f>
        <v>0.054776304963434752</v>
      </c>
      <c r="W2898" s="85">
        <f>IF(B2898="",0,+$T2898*$V2898)</f>
        <v>5.4952372149896288</v>
      </c>
      <c r="X2898" s="85">
        <f>IF(B2898="",0,IF(OR(H2898=MappingTables!$C$34,H2898=MappingTables!$C$35),W2898,0))</f>
        <v>0</v>
      </c>
    </row>
    <row r="2899" spans="2:24" s="0" customFormat="0" ht="15">
      <c r="B2899" s="69">
        <v>21006783</v>
      </c>
      <c r="C2899" s="70" t="s">
        <v>1629</v>
      </c>
      <c r="D2899" s="70" t="s">
        <v>1</v>
      </c>
      <c r="E2899" s="70" t="s">
        <v>1</v>
      </c>
      <c r="F2899" s="70"/>
      <c r="G2899" s="70" t="s">
        <v>61</v>
      </c>
      <c r="H2899" s="70" t="s">
        <v>178</v>
      </c>
      <c r="I2899" s="70" t="s">
        <v>181</v>
      </c>
      <c r="J2899" s="71">
        <f>IF(OR(I2899=0,I2899=""),"unrated",VLOOKUP(I2899,MappingTables!$B$19:$C$31,2,FALSE))</f>
        <v>3</v>
      </c>
      <c r="K2899" s="72">
        <v>1011.999404379308</v>
      </c>
      <c r="L2899" s="70">
        <v>1.436985714844277</v>
      </c>
      <c r="M2899" s="71">
        <f>IF(L2899&lt;1,1,L2899)</f>
        <v>1.436985714844277</v>
      </c>
      <c r="N2899" s="70" t="s">
        <v>141</v>
      </c>
      <c r="O2899" s="71">
        <f>INDEX(DurClassMapping,MATCH(M2899,MappingTables!$D$4:$D$8,-1),1)</f>
        <v>1</v>
      </c>
      <c r="P2899" s="73">
        <f>IF(M2899=$A$1,1,$M2899-INDEX(MappingTables!$E$4:$E$8,MATCH(O2899,MappingTables!$B$4:$B$8,0)))</f>
        <v>1.436985714844277</v>
      </c>
      <c r="Q2899" s="71">
        <f>IF(B2899="",0,INDEX(ModelParameters!$D$6:$K$10,MATCH($O2899,ModelParameters!$B$6:$B$10,0),MATCH($J2899,ModelParameters!$D$5:$K$5,0)))</f>
        <v>0.025</v>
      </c>
      <c r="R2899" s="71">
        <f>IF(B2899="",0,INDEX(ModelParameters!$D$13:$K$17,MATCH($O2899,ModelParameters!$B$13:$B$17,0),MATCH($J2899,ModelParameters!$D$5:$K$5,0)))</f>
        <v>0</v>
      </c>
      <c r="S2899" s="160">
        <f>IF(B2899="",0,MIN(IF($N2899="Other Bond TM",ModelParameters!$N$21,1)*(P2899*Q2899+R2899),1))</f>
        <v>0.035924642871106928</v>
      </c>
      <c r="T2899" s="85">
        <f>IF(B2899="",0,$S2899*$K2899)</f>
        <v>36.355717188099568</v>
      </c>
      <c r="U2899" s="85">
        <f>IF(B2899="",0,IF(OR(H2899=MappingTables!$C$34,H2899=MappingTables!$C$35),T2899,0))</f>
        <v>0</v>
      </c>
      <c r="V2899" s="85">
        <f>IF(ISNA(IF(AND(VLOOKUP(CONCATENATE($D2899,$G2899),CSRFinput!$B:$E,4,0)=0,OR(H2899=MappingTables!$C$34,H2899=MappingTables!$C$35)),1,VLOOKUP(CONCATENATE($D2899,$G2899),CSRFinput!$B:$E,4,0))),0,IF(AND(VLOOKUP(CONCATENATE($D2899,$G2899),CSRFinput!$B:$E,4,0)=0,OR(H2899=MappingTables!$C$34,H2899=MappingTables!$C$35)),1,VLOOKUP(CONCATENATE($D2899,$G2899),CSRFinput!$B:$E,4,0)))</f>
        <v>0.054776304963434752</v>
      </c>
      <c r="W2899" s="85">
        <f>IF(B2899="",0,+$T2899*$V2899)</f>
        <v>1.9914318518597284</v>
      </c>
      <c r="X2899" s="85">
        <f>IF(B2899="",0,IF(OR(H2899=MappingTables!$C$34,H2899=MappingTables!$C$35),W2899,0))</f>
        <v>0</v>
      </c>
    </row>
    <row r="2900" spans="2:24" s="0" customFormat="0" ht="15">
      <c r="B2900" s="69">
        <v>13112162</v>
      </c>
      <c r="C2900" s="70" t="s">
        <v>1009</v>
      </c>
      <c r="D2900" s="70" t="s">
        <v>1</v>
      </c>
      <c r="E2900" s="70" t="s">
        <v>1</v>
      </c>
      <c r="F2900" s="70"/>
      <c r="G2900" s="70" t="s">
        <v>61</v>
      </c>
      <c r="H2900" s="70" t="s">
        <v>178</v>
      </c>
      <c r="I2900" s="70" t="s">
        <v>181</v>
      </c>
      <c r="J2900" s="71">
        <f>IF(OR(I2900=0,I2900=""),"unrated",VLOOKUP(I2900,MappingTables!$B$19:$C$31,2,FALSE))</f>
        <v>3</v>
      </c>
      <c r="K2900" s="72">
        <v>15868.05973982368</v>
      </c>
      <c r="L2900" s="70">
        <v>1.3460041122257946</v>
      </c>
      <c r="M2900" s="71">
        <f>IF(L2900&lt;1,1,L2900)</f>
        <v>1.3460041122257946</v>
      </c>
      <c r="N2900" s="70" t="s">
        <v>141</v>
      </c>
      <c r="O2900" s="71">
        <f>INDEX(DurClassMapping,MATCH(M2900,MappingTables!$D$4:$D$8,-1),1)</f>
        <v>1</v>
      </c>
      <c r="P2900" s="73">
        <f>IF(M2900=$A$1,1,$M2900-INDEX(MappingTables!$E$4:$E$8,MATCH(O2900,MappingTables!$B$4:$B$8,0)))</f>
        <v>1.3460041122257946</v>
      </c>
      <c r="Q2900" s="71">
        <f>IF(B2900="",0,INDEX(ModelParameters!$D$6:$K$10,MATCH($O2900,ModelParameters!$B$6:$B$10,0),MATCH($J2900,ModelParameters!$D$5:$K$5,0)))</f>
        <v>0.025</v>
      </c>
      <c r="R2900" s="71">
        <f>IF(B2900="",0,INDEX(ModelParameters!$D$13:$K$17,MATCH($O2900,ModelParameters!$B$13:$B$17,0),MATCH($J2900,ModelParameters!$D$5:$K$5,0)))</f>
        <v>0</v>
      </c>
      <c r="S2900" s="160">
        <f>IF(B2900="",0,MIN(IF($N2900="Other Bond TM",ModelParameters!$N$21,1)*(P2900*Q2900+R2900),1))</f>
        <v>0.033650102805644864</v>
      </c>
      <c r="T2900" s="85">
        <f>IF(B2900="",0,$S2900*$K2900)</f>
        <v>533.96184157118112</v>
      </c>
      <c r="U2900" s="85">
        <f>IF(B2900="",0,IF(OR(H2900=MappingTables!$C$34,H2900=MappingTables!$C$35),T2900,0))</f>
        <v>0</v>
      </c>
      <c r="V2900" s="85">
        <f>IF(ISNA(IF(AND(VLOOKUP(CONCATENATE($D2900,$G2900),CSRFinput!$B:$E,4,0)=0,OR(H2900=MappingTables!$C$34,H2900=MappingTables!$C$35)),1,VLOOKUP(CONCATENATE($D2900,$G2900),CSRFinput!$B:$E,4,0))),0,IF(AND(VLOOKUP(CONCATENATE($D2900,$G2900),CSRFinput!$B:$E,4,0)=0,OR(H2900=MappingTables!$C$34,H2900=MappingTables!$C$35)),1,VLOOKUP(CONCATENATE($D2900,$G2900),CSRFinput!$B:$E,4,0)))</f>
        <v>0.054776304963434752</v>
      </c>
      <c r="W2900" s="85">
        <f>IF(B2900="",0,+$T2900*$V2900)</f>
        <v>29.248456672740252</v>
      </c>
      <c r="X2900" s="85">
        <f>IF(B2900="",0,IF(OR(H2900=MappingTables!$C$34,H2900=MappingTables!$C$35),W2900,0))</f>
        <v>0</v>
      </c>
    </row>
    <row r="2901" spans="2:24" s="0" customFormat="0" ht="15">
      <c r="B2901" s="69">
        <v>18701432</v>
      </c>
      <c r="C2901" s="70" t="s">
        <v>1022</v>
      </c>
      <c r="D2901" s="70" t="s">
        <v>1</v>
      </c>
      <c r="E2901" s="70" t="s">
        <v>1</v>
      </c>
      <c r="F2901" s="70"/>
      <c r="G2901" s="70" t="s">
        <v>61</v>
      </c>
      <c r="H2901" s="70" t="s">
        <v>178</v>
      </c>
      <c r="I2901" s="70" t="s">
        <v>184</v>
      </c>
      <c r="J2901" s="71">
        <f>IF(OR(I2901=0,I2901=""),"unrated",VLOOKUP(I2901,MappingTables!$B$19:$C$31,2,FALSE))</f>
        <v>5</v>
      </c>
      <c r="K2901" s="72">
        <v>19653.369833441292</v>
      </c>
      <c r="L2901" s="70">
        <v>6.4093114441995872</v>
      </c>
      <c r="M2901" s="71">
        <f>IF(L2901&lt;1,1,L2901)</f>
        <v>6.4093114441995872</v>
      </c>
      <c r="N2901" s="70" t="s">
        <v>141</v>
      </c>
      <c r="O2901" s="71">
        <f>INDEX(DurClassMapping,MATCH(M2901,MappingTables!$D$4:$D$8,-1),1)</f>
        <v>2</v>
      </c>
      <c r="P2901" s="73">
        <f>IF(M2901=$A$1,1,$M2901-INDEX(MappingTables!$E$4:$E$8,MATCH(O2901,MappingTables!$B$4:$B$8,0)))</f>
        <v>1.409311444199587</v>
      </c>
      <c r="Q2901" s="71">
        <f>IF(B2901="",0,INDEX(ModelParameters!$D$6:$K$10,MATCH($O2901,ModelParameters!$B$6:$B$10,0),MATCH($J2901,ModelParameters!$D$5:$K$5,0)))</f>
        <v>0.042</v>
      </c>
      <c r="R2901" s="71">
        <f>IF(B2901="",0,INDEX(ModelParameters!$D$13:$K$17,MATCH($O2901,ModelParameters!$B$13:$B$17,0),MATCH($J2901,ModelParameters!$D$5:$K$5,0)))</f>
        <v>0.375</v>
      </c>
      <c r="S2901" s="160">
        <f>IF(B2901="",0,MIN(IF($N2901="Other Bond TM",ModelParameters!$N$21,1)*(P2901*Q2901+R2901),1))</f>
        <v>0.43419108065638264</v>
      </c>
      <c r="T2901" s="85">
        <f>IF(B2901="",0,$S2901*$K2901)</f>
        <v>8533.3178865214256</v>
      </c>
      <c r="U2901" s="85">
        <f>IF(B2901="",0,IF(OR(H2901=MappingTables!$C$34,H2901=MappingTables!$C$35),T2901,0))</f>
        <v>0</v>
      </c>
      <c r="V2901" s="85">
        <f>IF(ISNA(IF(AND(VLOOKUP(CONCATENATE($D2901,$G2901),CSRFinput!$B:$E,4,0)=0,OR(H2901=MappingTables!$C$34,H2901=MappingTables!$C$35)),1,VLOOKUP(CONCATENATE($D2901,$G2901),CSRFinput!$B:$E,4,0))),0,IF(AND(VLOOKUP(CONCATENATE($D2901,$G2901),CSRFinput!$B:$E,4,0)=0,OR(H2901=MappingTables!$C$34,H2901=MappingTables!$C$35)),1,VLOOKUP(CONCATENATE($D2901,$G2901),CSRFinput!$B:$E,4,0)))</f>
        <v>0.054776304963434752</v>
      </c>
      <c r="W2901" s="85">
        <f>IF(B2901="",0,+$T2901*$V2901)</f>
        <v>467.42362290203008</v>
      </c>
      <c r="X2901" s="85">
        <f>IF(B2901="",0,IF(OR(H2901=MappingTables!$C$34,H2901=MappingTables!$C$35),W2901,0))</f>
        <v>0</v>
      </c>
    </row>
    <row r="2902" spans="2:24" s="0" customFormat="0" ht="15">
      <c r="B2902" s="69">
        <v>6350672</v>
      </c>
      <c r="C2902" s="70" t="s">
        <v>2486</v>
      </c>
      <c r="D2902" s="70" t="s">
        <v>1</v>
      </c>
      <c r="E2902" s="70" t="s">
        <v>1</v>
      </c>
      <c r="F2902" s="70"/>
      <c r="G2902" s="70" t="s">
        <v>61</v>
      </c>
      <c r="H2902" s="70" t="s">
        <v>178</v>
      </c>
      <c r="I2902" s="70" t="s">
        <v>181</v>
      </c>
      <c r="J2902" s="71">
        <f>IF(OR(I2902=0,I2902=""),"unrated",VLOOKUP(I2902,MappingTables!$B$19:$C$31,2,FALSE))</f>
        <v>3</v>
      </c>
      <c r="K2902" s="72">
        <v>6.0281261187658808</v>
      </c>
      <c r="L2902" s="70">
        <v>1.1621333346996922</v>
      </c>
      <c r="M2902" s="71">
        <f>IF(L2902&lt;1,1,L2902)</f>
        <v>1.1621333346996922</v>
      </c>
      <c r="N2902" s="70" t="s">
        <v>141</v>
      </c>
      <c r="O2902" s="71">
        <f>INDEX(DurClassMapping,MATCH(M2902,MappingTables!$D$4:$D$8,-1),1)</f>
        <v>1</v>
      </c>
      <c r="P2902" s="73">
        <f>IF(M2902=$A$1,1,$M2902-INDEX(MappingTables!$E$4:$E$8,MATCH(O2902,MappingTables!$B$4:$B$8,0)))</f>
        <v>1.1621333346996922</v>
      </c>
      <c r="Q2902" s="71">
        <f>IF(B2902="",0,INDEX(ModelParameters!$D$6:$K$10,MATCH($O2902,ModelParameters!$B$6:$B$10,0),MATCH($J2902,ModelParameters!$D$5:$K$5,0)))</f>
        <v>0.025</v>
      </c>
      <c r="R2902" s="71">
        <f>IF(B2902="",0,INDEX(ModelParameters!$D$13:$K$17,MATCH($O2902,ModelParameters!$B$13:$B$17,0),MATCH($J2902,ModelParameters!$D$5:$K$5,0)))</f>
        <v>0</v>
      </c>
      <c r="S2902" s="160">
        <f>IF(B2902="",0,MIN(IF($N2902="Other Bond TM",ModelParameters!$N$21,1)*(P2902*Q2902+R2902),1))</f>
        <v>0.029053333367492308</v>
      </c>
      <c r="T2902" s="85">
        <f>IF(B2902="",0,$S2902*$K2902)</f>
        <v>0.17513715770979266</v>
      </c>
      <c r="U2902" s="85">
        <f>IF(B2902="",0,IF(OR(H2902=MappingTables!$C$34,H2902=MappingTables!$C$35),T2902,0))</f>
        <v>0</v>
      </c>
      <c r="V2902" s="85">
        <f>IF(ISNA(IF(AND(VLOOKUP(CONCATENATE($D2902,$G2902),CSRFinput!$B:$E,4,0)=0,OR(H2902=MappingTables!$C$34,H2902=MappingTables!$C$35)),1,VLOOKUP(CONCATENATE($D2902,$G2902),CSRFinput!$B:$E,4,0))),0,IF(AND(VLOOKUP(CONCATENATE($D2902,$G2902),CSRFinput!$B:$E,4,0)=0,OR(H2902=MappingTables!$C$34,H2902=MappingTables!$C$35)),1,VLOOKUP(CONCATENATE($D2902,$G2902),CSRFinput!$B:$E,4,0)))</f>
        <v>0.054776304963434752</v>
      </c>
      <c r="W2902" s="85">
        <f>IF(B2902="",0,+$T2902*$V2902)</f>
        <v>0.0095933663611407712</v>
      </c>
      <c r="X2902" s="85">
        <f>IF(B2902="",0,IF(OR(H2902=MappingTables!$C$34,H2902=MappingTables!$C$35),W2902,0))</f>
        <v>0</v>
      </c>
    </row>
    <row r="2903" spans="2:24" s="0" customFormat="0" ht="15">
      <c r="B2903" s="69">
        <v>17055919</v>
      </c>
      <c r="C2903" s="70" t="s">
        <v>2483</v>
      </c>
      <c r="D2903" s="70" t="s">
        <v>1</v>
      </c>
      <c r="E2903" s="70" t="s">
        <v>1</v>
      </c>
      <c r="F2903" s="70"/>
      <c r="G2903" s="70" t="s">
        <v>61</v>
      </c>
      <c r="H2903" s="70" t="s">
        <v>178</v>
      </c>
      <c r="I2903" s="70" t="s">
        <v>188</v>
      </c>
      <c r="J2903" s="71">
        <f>IF(OR(I2903=0,I2903=""),"unrated",VLOOKUP(I2903,MappingTables!$B$19:$C$31,2,FALSE))</f>
        <v>2</v>
      </c>
      <c r="K2903" s="72">
        <v>575.39934881683424</v>
      </c>
      <c r="L2903" s="70">
        <v>0.43237763762654544</v>
      </c>
      <c r="M2903" s="71">
        <f>IF(L2903&lt;1,1,L2903)</f>
        <v>1</v>
      </c>
      <c r="N2903" s="70" t="s">
        <v>141</v>
      </c>
      <c r="O2903" s="71">
        <f>INDEX(DurClassMapping,MATCH(M2903,MappingTables!$D$4:$D$8,-1),1)</f>
        <v>1</v>
      </c>
      <c r="P2903" s="73">
        <f>IF(M2903=$A$1,1,$M2903-INDEX(MappingTables!$E$4:$E$8,MATCH(O2903,MappingTables!$B$4:$B$8,0)))</f>
        <v>1</v>
      </c>
      <c r="Q2903" s="71">
        <f>IF(B2903="",0,INDEX(ModelParameters!$D$6:$K$10,MATCH($O2903,ModelParameters!$B$6:$B$10,0),MATCH($J2903,ModelParameters!$D$5:$K$5,0)))</f>
        <v>0.013999999999999998</v>
      </c>
      <c r="R2903" s="71">
        <f>IF(B2903="",0,INDEX(ModelParameters!$D$13:$K$17,MATCH($O2903,ModelParameters!$B$13:$B$17,0),MATCH($J2903,ModelParameters!$D$5:$K$5,0)))</f>
        <v>0</v>
      </c>
      <c r="S2903" s="160">
        <f>IF(B2903="",0,MIN(IF($N2903="Other Bond TM",ModelParameters!$N$21,1)*(P2903*Q2903+R2903),1))</f>
        <v>0.013999999999999998</v>
      </c>
      <c r="T2903" s="85">
        <f>IF(B2903="",0,$S2903*$K2903)</f>
        <v>8.0555908834356784</v>
      </c>
      <c r="U2903" s="85">
        <f>IF(B2903="",0,IF(OR(H2903=MappingTables!$C$34,H2903=MappingTables!$C$35),T2903,0))</f>
        <v>0</v>
      </c>
      <c r="V2903" s="85">
        <f>IF(ISNA(IF(AND(VLOOKUP(CONCATENATE($D2903,$G2903),CSRFinput!$B:$E,4,0)=0,OR(H2903=MappingTables!$C$34,H2903=MappingTables!$C$35)),1,VLOOKUP(CONCATENATE($D2903,$G2903),CSRFinput!$B:$E,4,0))),0,IF(AND(VLOOKUP(CONCATENATE($D2903,$G2903),CSRFinput!$B:$E,4,0)=0,OR(H2903=MappingTables!$C$34,H2903=MappingTables!$C$35)),1,VLOOKUP(CONCATENATE($D2903,$G2903),CSRFinput!$B:$E,4,0)))</f>
        <v>0.054776304963434752</v>
      </c>
      <c r="W2903" s="85">
        <f>IF(B2903="",0,+$T2903*$V2903)</f>
        <v>0.44125550289173752</v>
      </c>
      <c r="X2903" s="85">
        <f>IF(B2903="",0,IF(OR(H2903=MappingTables!$C$34,H2903=MappingTables!$C$35),W2903,0))</f>
        <v>0</v>
      </c>
    </row>
    <row r="2904" spans="2:24" s="0" customFormat="0" ht="15">
      <c r="B2904" s="69" t="s">
        <v>2650</v>
      </c>
      <c r="C2904" s="70" t="s">
        <v>2651</v>
      </c>
      <c r="D2904" s="70" t="s">
        <v>1</v>
      </c>
      <c r="E2904" s="70" t="s">
        <v>1</v>
      </c>
      <c r="F2904" s="70"/>
      <c r="G2904" s="70" t="s">
        <v>61</v>
      </c>
      <c r="H2904" s="70" t="s">
        <v>178</v>
      </c>
      <c r="I2904" s="70" t="s">
        <v>204</v>
      </c>
      <c r="J2904" s="71">
        <f>IF(OR(I2904=0,I2904=""),"unrated",VLOOKUP(I2904,MappingTables!$B$19:$C$31,2,FALSE))</f>
        <v>6</v>
      </c>
      <c r="K2904" s="72">
        <v>8865.8943319511552</v>
      </c>
      <c r="L2904" s="70">
        <v>0.087669484347836144</v>
      </c>
      <c r="M2904" s="71">
        <f>IF(L2904&lt;1,1,L2904)</f>
        <v>1</v>
      </c>
      <c r="N2904" s="70" t="s">
        <v>141</v>
      </c>
      <c r="O2904" s="71">
        <f>INDEX(DurClassMapping,MATCH(M2904,MappingTables!$D$4:$D$8,-1),1)</f>
        <v>1</v>
      </c>
      <c r="P2904" s="73">
        <f>IF(M2904=$A$1,1,$M2904-INDEX(MappingTables!$E$4:$E$8,MATCH(O2904,MappingTables!$B$4:$B$8,0)))</f>
        <v>1</v>
      </c>
      <c r="Q2904" s="71">
        <f>IF(B2904="",0,INDEX(ModelParameters!$D$6:$K$10,MATCH($O2904,ModelParameters!$B$6:$B$10,0),MATCH($J2904,ModelParameters!$D$5:$K$5,0)))</f>
        <v>0.075</v>
      </c>
      <c r="R2904" s="71">
        <f>IF(B2904="",0,INDEX(ModelParameters!$D$13:$K$17,MATCH($O2904,ModelParameters!$B$13:$B$17,0),MATCH($J2904,ModelParameters!$D$5:$K$5,0)))</f>
        <v>0</v>
      </c>
      <c r="S2904" s="160">
        <f>IF(B2904="",0,MIN(IF($N2904="Other Bond TM",ModelParameters!$N$21,1)*(P2904*Q2904+R2904),1))</f>
        <v>0.075</v>
      </c>
      <c r="T2904" s="85">
        <f>IF(B2904="",0,$S2904*$K2904)</f>
        <v>664.94207489633656</v>
      </c>
      <c r="U2904" s="85">
        <f>IF(B2904="",0,IF(OR(H2904=MappingTables!$C$34,H2904=MappingTables!$C$35),T2904,0))</f>
        <v>0</v>
      </c>
      <c r="V2904" s="85">
        <f>IF(ISNA(IF(AND(VLOOKUP(CONCATENATE($D2904,$G2904),CSRFinput!$B:$E,4,0)=0,OR(H2904=MappingTables!$C$34,H2904=MappingTables!$C$35)),1,VLOOKUP(CONCATENATE($D2904,$G2904),CSRFinput!$B:$E,4,0))),0,IF(AND(VLOOKUP(CONCATENATE($D2904,$G2904),CSRFinput!$B:$E,4,0)=0,OR(H2904=MappingTables!$C$34,H2904=MappingTables!$C$35)),1,VLOOKUP(CONCATENATE($D2904,$G2904),CSRFinput!$B:$E,4,0)))</f>
        <v>0.054776304963434752</v>
      </c>
      <c r="W2904" s="85">
        <f>IF(B2904="",0,+$T2904*$V2904)</f>
        <v>36.423069877540808</v>
      </c>
      <c r="X2904" s="85">
        <f>IF(B2904="",0,IF(OR(H2904=MappingTables!$C$34,H2904=MappingTables!$C$35),W2904,0))</f>
        <v>0</v>
      </c>
    </row>
    <row r="2905" spans="2:24" s="0" customFormat="0" ht="15">
      <c r="B2905" s="69">
        <v>15493714</v>
      </c>
      <c r="C2905" s="70" t="s">
        <v>2188</v>
      </c>
      <c r="D2905" s="70" t="s">
        <v>1</v>
      </c>
      <c r="E2905" s="70" t="s">
        <v>1</v>
      </c>
      <c r="F2905" s="70"/>
      <c r="G2905" s="70" t="s">
        <v>61</v>
      </c>
      <c r="H2905" s="70" t="s">
        <v>178</v>
      </c>
      <c r="I2905" s="70" t="s">
        <v>181</v>
      </c>
      <c r="J2905" s="71">
        <f>IF(OR(I2905=0,I2905=""),"unrated",VLOOKUP(I2905,MappingTables!$B$19:$C$31,2,FALSE))</f>
        <v>3</v>
      </c>
      <c r="K2905" s="72">
        <v>60.349691812561304</v>
      </c>
      <c r="L2905" s="70">
        <v>1.7398427913434346</v>
      </c>
      <c r="M2905" s="71">
        <f>IF(L2905&lt;1,1,L2905)</f>
        <v>1.7398427913434346</v>
      </c>
      <c r="N2905" s="70" t="s">
        <v>141</v>
      </c>
      <c r="O2905" s="71">
        <f>INDEX(DurClassMapping,MATCH(M2905,MappingTables!$D$4:$D$8,-1),1)</f>
        <v>1</v>
      </c>
      <c r="P2905" s="73">
        <f>IF(M2905=$A$1,1,$M2905-INDEX(MappingTables!$E$4:$E$8,MATCH(O2905,MappingTables!$B$4:$B$8,0)))</f>
        <v>1.7398427913434346</v>
      </c>
      <c r="Q2905" s="71">
        <f>IF(B2905="",0,INDEX(ModelParameters!$D$6:$K$10,MATCH($O2905,ModelParameters!$B$6:$B$10,0),MATCH($J2905,ModelParameters!$D$5:$K$5,0)))</f>
        <v>0.025</v>
      </c>
      <c r="R2905" s="71">
        <f>IF(B2905="",0,INDEX(ModelParameters!$D$13:$K$17,MATCH($O2905,ModelParameters!$B$13:$B$17,0),MATCH($J2905,ModelParameters!$D$5:$K$5,0)))</f>
        <v>0</v>
      </c>
      <c r="S2905" s="160">
        <f>IF(B2905="",0,MIN(IF($N2905="Other Bond TM",ModelParameters!$N$21,1)*(P2905*Q2905+R2905),1))</f>
        <v>0.043496069783585872</v>
      </c>
      <c r="T2905" s="85">
        <f>IF(B2905="",0,$S2905*$K2905)</f>
        <v>2.6249744064970672</v>
      </c>
      <c r="U2905" s="85">
        <f>IF(B2905="",0,IF(OR(H2905=MappingTables!$C$34,H2905=MappingTables!$C$35),T2905,0))</f>
        <v>0</v>
      </c>
      <c r="V2905" s="85">
        <f>IF(ISNA(IF(AND(VLOOKUP(CONCATENATE($D2905,$G2905),CSRFinput!$B:$E,4,0)=0,OR(H2905=MappingTables!$C$34,H2905=MappingTables!$C$35)),1,VLOOKUP(CONCATENATE($D2905,$G2905),CSRFinput!$B:$E,4,0))),0,IF(AND(VLOOKUP(CONCATENATE($D2905,$G2905),CSRFinput!$B:$E,4,0)=0,OR(H2905=MappingTables!$C$34,H2905=MappingTables!$C$35)),1,VLOOKUP(CONCATENATE($D2905,$G2905),CSRFinput!$B:$E,4,0)))</f>
        <v>0.054776304963434752</v>
      </c>
      <c r="W2905" s="85">
        <f>IF(B2905="",0,+$T2905*$V2905)</f>
        <v>0.14378639861149448</v>
      </c>
      <c r="X2905" s="85">
        <f>IF(B2905="",0,IF(OR(H2905=MappingTables!$C$34,H2905=MappingTables!$C$35),W2905,0))</f>
        <v>0</v>
      </c>
    </row>
    <row r="2906" spans="2:24" s="0" customFormat="0" ht="15">
      <c r="B2906" s="69">
        <v>8383612</v>
      </c>
      <c r="C2906" s="70" t="s">
        <v>633</v>
      </c>
      <c r="D2906" s="70" t="s">
        <v>1</v>
      </c>
      <c r="E2906" s="70" t="s">
        <v>1</v>
      </c>
      <c r="F2906" s="70"/>
      <c r="G2906" s="70" t="s">
        <v>61</v>
      </c>
      <c r="H2906" s="70" t="s">
        <v>178</v>
      </c>
      <c r="I2906" s="70" t="s">
        <v>179</v>
      </c>
      <c r="J2906" s="71">
        <f>IF(OR(I2906=0,I2906=""),"unrated",VLOOKUP(I2906,MappingTables!$B$19:$C$31,2,FALSE))</f>
        <v>4</v>
      </c>
      <c r="K2906" s="72">
        <v>2552.7123521481748</v>
      </c>
      <c r="L2906" s="70">
        <v>4.3246703816153968</v>
      </c>
      <c r="M2906" s="71">
        <f>IF(L2906&lt;1,1,L2906)</f>
        <v>4.3246703816153968</v>
      </c>
      <c r="N2906" s="70" t="s">
        <v>141</v>
      </c>
      <c r="O2906" s="71">
        <f>INDEX(DurClassMapping,MATCH(M2906,MappingTables!$D$4:$D$8,-1),1)</f>
        <v>1</v>
      </c>
      <c r="P2906" s="73">
        <f>IF(M2906=$A$1,1,$M2906-INDEX(MappingTables!$E$4:$E$8,MATCH(O2906,MappingTables!$B$4:$B$8,0)))</f>
        <v>4.3246703816153968</v>
      </c>
      <c r="Q2906" s="71">
        <f>IF(B2906="",0,INDEX(ModelParameters!$D$6:$K$10,MATCH($O2906,ModelParameters!$B$6:$B$10,0),MATCH($J2906,ModelParameters!$D$5:$K$5,0)))</f>
        <v>0.045</v>
      </c>
      <c r="R2906" s="71">
        <f>IF(B2906="",0,INDEX(ModelParameters!$D$13:$K$17,MATCH($O2906,ModelParameters!$B$13:$B$17,0),MATCH($J2906,ModelParameters!$D$5:$K$5,0)))</f>
        <v>0</v>
      </c>
      <c r="S2906" s="160">
        <f>IF(B2906="",0,MIN(IF($N2906="Other Bond TM",ModelParameters!$N$21,1)*(P2906*Q2906+R2906),1))</f>
        <v>0.19461016717269284</v>
      </c>
      <c r="T2906" s="85">
        <f>IF(B2906="",0,$S2906*$K2906)</f>
        <v>496.78377759535424</v>
      </c>
      <c r="U2906" s="85">
        <f>IF(B2906="",0,IF(OR(H2906=MappingTables!$C$34,H2906=MappingTables!$C$35),T2906,0))</f>
        <v>0</v>
      </c>
      <c r="V2906" s="85">
        <f>IF(ISNA(IF(AND(VLOOKUP(CONCATENATE($D2906,$G2906),CSRFinput!$B:$E,4,0)=0,OR(H2906=MappingTables!$C$34,H2906=MappingTables!$C$35)),1,VLOOKUP(CONCATENATE($D2906,$G2906),CSRFinput!$B:$E,4,0))),0,IF(AND(VLOOKUP(CONCATENATE($D2906,$G2906),CSRFinput!$B:$E,4,0)=0,OR(H2906=MappingTables!$C$34,H2906=MappingTables!$C$35)),1,VLOOKUP(CONCATENATE($D2906,$G2906),CSRFinput!$B:$E,4,0)))</f>
        <v>0.054776304963434752</v>
      </c>
      <c r="W2906" s="85">
        <f>IF(B2906="",0,+$T2906*$V2906)</f>
        <v>27.211979702450268</v>
      </c>
      <c r="X2906" s="85">
        <f>IF(B2906="",0,IF(OR(H2906=MappingTables!$C$34,H2906=MappingTables!$C$35),W2906,0))</f>
        <v>0</v>
      </c>
    </row>
    <row r="2907" spans="2:24" s="0" customFormat="0" ht="15">
      <c r="B2907" s="69">
        <v>22081352</v>
      </c>
      <c r="C2907" s="70" t="s">
        <v>2652</v>
      </c>
      <c r="D2907" s="70" t="s">
        <v>1</v>
      </c>
      <c r="E2907" s="70" t="s">
        <v>1</v>
      </c>
      <c r="F2907" s="70"/>
      <c r="G2907" s="70" t="s">
        <v>61</v>
      </c>
      <c r="H2907" s="70" t="s">
        <v>178</v>
      </c>
      <c r="I2907" s="70" t="s">
        <v>184</v>
      </c>
      <c r="J2907" s="71">
        <f>IF(OR(I2907=0,I2907=""),"unrated",VLOOKUP(I2907,MappingTables!$B$19:$C$31,2,FALSE))</f>
        <v>5</v>
      </c>
      <c r="K2907" s="72">
        <v>200.91123061826516</v>
      </c>
      <c r="L2907" s="70">
        <v>1.4828801682315592</v>
      </c>
      <c r="M2907" s="71">
        <f>IF(L2907&lt;1,1,L2907)</f>
        <v>1.4828801682315592</v>
      </c>
      <c r="N2907" s="70" t="s">
        <v>141</v>
      </c>
      <c r="O2907" s="71">
        <f>INDEX(DurClassMapping,MATCH(M2907,MappingTables!$D$4:$D$8,-1),1)</f>
        <v>1</v>
      </c>
      <c r="P2907" s="73">
        <f>IF(M2907=$A$1,1,$M2907-INDEX(MappingTables!$E$4:$E$8,MATCH(O2907,MappingTables!$B$4:$B$8,0)))</f>
        <v>1.4828801682315592</v>
      </c>
      <c r="Q2907" s="71">
        <f>IF(B2907="",0,INDEX(ModelParameters!$D$6:$K$10,MATCH($O2907,ModelParameters!$B$6:$B$10,0),MATCH($J2907,ModelParameters!$D$5:$K$5,0)))</f>
        <v>0.075</v>
      </c>
      <c r="R2907" s="71">
        <f>IF(B2907="",0,INDEX(ModelParameters!$D$13:$K$17,MATCH($O2907,ModelParameters!$B$13:$B$17,0),MATCH($J2907,ModelParameters!$D$5:$K$5,0)))</f>
        <v>0</v>
      </c>
      <c r="S2907" s="160">
        <f>IF(B2907="",0,MIN(IF($N2907="Other Bond TM",ModelParameters!$N$21,1)*(P2907*Q2907+R2907),1))</f>
        <v>0.11121601261736692</v>
      </c>
      <c r="T2907" s="85">
        <f>IF(B2907="",0,$S2907*$K2907)</f>
        <v>22.344545959411692</v>
      </c>
      <c r="U2907" s="85">
        <f>IF(B2907="",0,IF(OR(H2907=MappingTables!$C$34,H2907=MappingTables!$C$35),T2907,0))</f>
        <v>0</v>
      </c>
      <c r="V2907" s="85">
        <f>IF(ISNA(IF(AND(VLOOKUP(CONCATENATE($D2907,$G2907),CSRFinput!$B:$E,4,0)=0,OR(H2907=MappingTables!$C$34,H2907=MappingTables!$C$35)),1,VLOOKUP(CONCATENATE($D2907,$G2907),CSRFinput!$B:$E,4,0))),0,IF(AND(VLOOKUP(CONCATENATE($D2907,$G2907),CSRFinput!$B:$E,4,0)=0,OR(H2907=MappingTables!$C$34,H2907=MappingTables!$C$35)),1,VLOOKUP(CONCATENATE($D2907,$G2907),CSRFinput!$B:$E,4,0)))</f>
        <v>0.054776304963434752</v>
      </c>
      <c r="W2907" s="85">
        <f>IF(B2907="",0,+$T2907*$V2907)</f>
        <v>1.2239516637422188</v>
      </c>
      <c r="X2907" s="85">
        <f>IF(B2907="",0,IF(OR(H2907=MappingTables!$C$34,H2907=MappingTables!$C$35),W2907,0))</f>
        <v>0</v>
      </c>
    </row>
    <row r="2908" spans="2:24" s="0" customFormat="0" ht="15">
      <c r="B2908" s="69">
        <v>24747314</v>
      </c>
      <c r="C2908" s="70" t="s">
        <v>1080</v>
      </c>
      <c r="D2908" s="70" t="s">
        <v>1</v>
      </c>
      <c r="E2908" s="70" t="s">
        <v>1</v>
      </c>
      <c r="F2908" s="70"/>
      <c r="G2908" s="70" t="s">
        <v>61</v>
      </c>
      <c r="H2908" s="70" t="s">
        <v>178</v>
      </c>
      <c r="I2908" s="70" t="s">
        <v>181</v>
      </c>
      <c r="J2908" s="71">
        <f>IF(OR(I2908=0,I2908=""),"unrated",VLOOKUP(I2908,MappingTables!$B$19:$C$31,2,FALSE))</f>
        <v>3</v>
      </c>
      <c r="K2908" s="72">
        <v>753.30972088545008</v>
      </c>
      <c r="L2908" s="70">
        <v>1.8651104959455856</v>
      </c>
      <c r="M2908" s="71">
        <f>IF(L2908&lt;1,1,L2908)</f>
        <v>1.8651104959455856</v>
      </c>
      <c r="N2908" s="70" t="s">
        <v>141</v>
      </c>
      <c r="O2908" s="71">
        <f>INDEX(DurClassMapping,MATCH(M2908,MappingTables!$D$4:$D$8,-1),1)</f>
        <v>1</v>
      </c>
      <c r="P2908" s="73">
        <f>IF(M2908=$A$1,1,$M2908-INDEX(MappingTables!$E$4:$E$8,MATCH(O2908,MappingTables!$B$4:$B$8,0)))</f>
        <v>1.8651104959455856</v>
      </c>
      <c r="Q2908" s="71">
        <f>IF(B2908="",0,INDEX(ModelParameters!$D$6:$K$10,MATCH($O2908,ModelParameters!$B$6:$B$10,0),MATCH($J2908,ModelParameters!$D$5:$K$5,0)))</f>
        <v>0.025</v>
      </c>
      <c r="R2908" s="71">
        <f>IF(B2908="",0,INDEX(ModelParameters!$D$13:$K$17,MATCH($O2908,ModelParameters!$B$13:$B$17,0),MATCH($J2908,ModelParameters!$D$5:$K$5,0)))</f>
        <v>0</v>
      </c>
      <c r="S2908" s="160">
        <f>IF(B2908="",0,MIN(IF($N2908="Other Bond TM",ModelParameters!$N$21,1)*(P2908*Q2908+R2908),1))</f>
        <v>0.04662776239863964</v>
      </c>
      <c r="T2908" s="85">
        <f>IF(B2908="",0,$S2908*$K2908)</f>
        <v>35.125146678032308</v>
      </c>
      <c r="U2908" s="85">
        <f>IF(B2908="",0,IF(OR(H2908=MappingTables!$C$34,H2908=MappingTables!$C$35),T2908,0))</f>
        <v>0</v>
      </c>
      <c r="V2908" s="85">
        <f>IF(ISNA(IF(AND(VLOOKUP(CONCATENATE($D2908,$G2908),CSRFinput!$B:$E,4,0)=0,OR(H2908=MappingTables!$C$34,H2908=MappingTables!$C$35)),1,VLOOKUP(CONCATENATE($D2908,$G2908),CSRFinput!$B:$E,4,0))),0,IF(AND(VLOOKUP(CONCATENATE($D2908,$G2908),CSRFinput!$B:$E,4,0)=0,OR(H2908=MappingTables!$C$34,H2908=MappingTables!$C$35)),1,VLOOKUP(CONCATENATE($D2908,$G2908),CSRFinput!$B:$E,4,0)))</f>
        <v>0.054776304963434752</v>
      </c>
      <c r="W2908" s="85">
        <f>IF(B2908="",0,+$T2908*$V2908)</f>
        <v>1.9240257463212748</v>
      </c>
      <c r="X2908" s="85">
        <f>IF(B2908="",0,IF(OR(H2908=MappingTables!$C$34,H2908=MappingTables!$C$35),W2908,0))</f>
        <v>0</v>
      </c>
    </row>
    <row r="2909" spans="2:24" s="0" customFormat="0" ht="15">
      <c r="B2909" s="69" t="s">
        <v>2391</v>
      </c>
      <c r="C2909" s="70" t="s">
        <v>2392</v>
      </c>
      <c r="D2909" s="70" t="s">
        <v>1</v>
      </c>
      <c r="E2909" s="70" t="s">
        <v>1</v>
      </c>
      <c r="F2909" s="70"/>
      <c r="G2909" s="70" t="s">
        <v>61</v>
      </c>
      <c r="H2909" s="70" t="s">
        <v>178</v>
      </c>
      <c r="I2909" s="70" t="s">
        <v>179</v>
      </c>
      <c r="J2909" s="71">
        <f>IF(OR(I2909=0,I2909=""),"unrated",VLOOKUP(I2909,MappingTables!$B$19:$C$31,2,FALSE))</f>
        <v>4</v>
      </c>
      <c r="K2909" s="72">
        <v>2964.918757730244</v>
      </c>
      <c r="L2909" s="70">
        <v>15.672653314879012</v>
      </c>
      <c r="M2909" s="71">
        <f>IF(L2909&lt;1,1,L2909)</f>
        <v>15.672653314879012</v>
      </c>
      <c r="N2909" s="70" t="s">
        <v>141</v>
      </c>
      <c r="O2909" s="71">
        <f>INDEX(DurClassMapping,MATCH(M2909,MappingTables!$D$4:$D$8,-1),1)</f>
        <v>4</v>
      </c>
      <c r="P2909" s="73">
        <f>IF(M2909=$A$1,1,$M2909-INDEX(MappingTables!$E$4:$E$8,MATCH(O2909,MappingTables!$B$4:$B$8,0)))</f>
        <v>0.67265331487901216</v>
      </c>
      <c r="Q2909" s="71">
        <f>IF(B2909="",0,INDEX(ModelParameters!$D$6:$K$10,MATCH($O2909,ModelParameters!$B$6:$B$10,0),MATCH($J2909,ModelParameters!$D$5:$K$5,0)))</f>
        <v>0.005</v>
      </c>
      <c r="R2909" s="71">
        <f>IF(B2909="",0,INDEX(ModelParameters!$D$13:$K$17,MATCH($O2909,ModelParameters!$B$13:$B$17,0),MATCH($J2909,ModelParameters!$D$5:$K$5,0)))</f>
        <v>0.44</v>
      </c>
      <c r="S2909" s="160">
        <f>IF(B2909="",0,MIN(IF($N2909="Other Bond TM",ModelParameters!$N$21,1)*(P2909*Q2909+R2909),1))</f>
        <v>0.44336326657439504</v>
      </c>
      <c r="T2909" s="85">
        <f>IF(B2909="",0,$S2909*$K2909)</f>
        <v>1314.5360655549784</v>
      </c>
      <c r="U2909" s="85">
        <f>IF(B2909="",0,IF(OR(H2909=MappingTables!$C$34,H2909=MappingTables!$C$35),T2909,0))</f>
        <v>0</v>
      </c>
      <c r="V2909" s="85">
        <f>IF(ISNA(IF(AND(VLOOKUP(CONCATENATE($D2909,$G2909),CSRFinput!$B:$E,4,0)=0,OR(H2909=MappingTables!$C$34,H2909=MappingTables!$C$35)),1,VLOOKUP(CONCATENATE($D2909,$G2909),CSRFinput!$B:$E,4,0))),0,IF(AND(VLOOKUP(CONCATENATE($D2909,$G2909),CSRFinput!$B:$E,4,0)=0,OR(H2909=MappingTables!$C$34,H2909=MappingTables!$C$35)),1,VLOOKUP(CONCATENATE($D2909,$G2909),CSRFinput!$B:$E,4,0)))</f>
        <v>0.054776304963434752</v>
      </c>
      <c r="W2909" s="85">
        <f>IF(B2909="",0,+$T2909*$V2909)</f>
        <v>72.00542841227316</v>
      </c>
      <c r="X2909" s="85">
        <f>IF(B2909="",0,IF(OR(H2909=MappingTables!$C$34,H2909=MappingTables!$C$35),W2909,0))</f>
        <v>0</v>
      </c>
    </row>
    <row r="2910" spans="2:24" s="0" customFormat="0" ht="15">
      <c r="B2910" s="69">
        <v>19476392</v>
      </c>
      <c r="C2910" s="70" t="s">
        <v>2653</v>
      </c>
      <c r="D2910" s="70" t="s">
        <v>1</v>
      </c>
      <c r="E2910" s="70" t="s">
        <v>1</v>
      </c>
      <c r="F2910" s="70"/>
      <c r="G2910" s="70" t="s">
        <v>61</v>
      </c>
      <c r="H2910" s="70" t="s">
        <v>178</v>
      </c>
      <c r="I2910" s="70" t="s">
        <v>188</v>
      </c>
      <c r="J2910" s="71">
        <f>IF(OR(I2910=0,I2910=""),"unrated",VLOOKUP(I2910,MappingTables!$B$19:$C$31,2,FALSE))</f>
        <v>2</v>
      </c>
      <c r="K2910" s="72">
        <v>913210.02960205072</v>
      </c>
      <c r="L2910" s="70">
        <v>8.0858124520426752</v>
      </c>
      <c r="M2910" s="71">
        <f>IF(L2910&lt;1,1,L2910)</f>
        <v>8.0858124520426752</v>
      </c>
      <c r="N2910" s="70" t="s">
        <v>141</v>
      </c>
      <c r="O2910" s="71">
        <f>INDEX(DurClassMapping,MATCH(M2910,MappingTables!$D$4:$D$8,-1),1)</f>
        <v>2</v>
      </c>
      <c r="P2910" s="73">
        <f>IF(M2910=$A$1,1,$M2910-INDEX(MappingTables!$E$4:$E$8,MATCH(O2910,MappingTables!$B$4:$B$8,0)))</f>
        <v>3.085812452042676</v>
      </c>
      <c r="Q2910" s="71">
        <f>IF(B2910="",0,INDEX(ModelParameters!$D$6:$K$10,MATCH($O2910,ModelParameters!$B$6:$B$10,0),MATCH($J2910,ModelParameters!$D$5:$K$5,0)))</f>
        <v>0.0069999999999999992</v>
      </c>
      <c r="R2910" s="71">
        <f>IF(B2910="",0,INDEX(ModelParameters!$D$13:$K$17,MATCH($O2910,ModelParameters!$B$13:$B$17,0),MATCH($J2910,ModelParameters!$D$5:$K$5,0)))</f>
        <v>0.070000000000000008</v>
      </c>
      <c r="S2910" s="160">
        <f>IF(B2910="",0,MIN(IF($N2910="Other Bond TM",ModelParameters!$N$21,1)*(P2910*Q2910+R2910),1))</f>
        <v>0.09160068716429872</v>
      </c>
      <c r="T2910" s="85">
        <f>IF(B2910="",0,$S2910*$K2910)</f>
        <v>83650.666236877424</v>
      </c>
      <c r="U2910" s="85">
        <f>IF(B2910="",0,IF(OR(H2910=MappingTables!$C$34,H2910=MappingTables!$C$35),T2910,0))</f>
        <v>0</v>
      </c>
      <c r="V2910" s="85">
        <f>IF(ISNA(IF(AND(VLOOKUP(CONCATENATE($D2910,$G2910),CSRFinput!$B:$E,4,0)=0,OR(H2910=MappingTables!$C$34,H2910=MappingTables!$C$35)),1,VLOOKUP(CONCATENATE($D2910,$G2910),CSRFinput!$B:$E,4,0))),0,IF(AND(VLOOKUP(CONCATENATE($D2910,$G2910),CSRFinput!$B:$E,4,0)=0,OR(H2910=MappingTables!$C$34,H2910=MappingTables!$C$35)),1,VLOOKUP(CONCATENATE($D2910,$G2910),CSRFinput!$B:$E,4,0)))</f>
        <v>0.054776304963434752</v>
      </c>
      <c r="W2910" s="85">
        <f>IF(B2910="",0,+$T2910*$V2910)</f>
        <v>4582.0744041856936</v>
      </c>
      <c r="X2910" s="85">
        <f>IF(B2910="",0,IF(OR(H2910=MappingTables!$C$34,H2910=MappingTables!$C$35),W2910,0))</f>
        <v>0</v>
      </c>
    </row>
    <row r="2911" spans="2:24" s="0" customFormat="0" ht="15">
      <c r="B2911" s="69">
        <v>1693856</v>
      </c>
      <c r="C2911" s="70" t="s">
        <v>1116</v>
      </c>
      <c r="D2911" s="70" t="s">
        <v>1</v>
      </c>
      <c r="E2911" s="70" t="s">
        <v>1</v>
      </c>
      <c r="F2911" s="70"/>
      <c r="G2911" s="70" t="s">
        <v>61</v>
      </c>
      <c r="H2911" s="70" t="s">
        <v>178</v>
      </c>
      <c r="I2911" s="70" t="s">
        <v>179</v>
      </c>
      <c r="J2911" s="71">
        <f>IF(OR(I2911=0,I2911=""),"unrated",VLOOKUP(I2911,MappingTables!$B$19:$C$31,2,FALSE))</f>
        <v>4</v>
      </c>
      <c r="K2911" s="72">
        <v>2089.3810247535416</v>
      </c>
      <c r="L2911" s="70">
        <v>9.5335247079088656</v>
      </c>
      <c r="M2911" s="71">
        <f>IF(L2911&lt;1,1,L2911)</f>
        <v>9.5335247079088656</v>
      </c>
      <c r="N2911" s="70" t="s">
        <v>141</v>
      </c>
      <c r="O2911" s="71">
        <f>INDEX(DurClassMapping,MATCH(M2911,MappingTables!$D$4:$D$8,-1),1)</f>
        <v>2</v>
      </c>
      <c r="P2911" s="73">
        <f>IF(M2911=$A$1,1,$M2911-INDEX(MappingTables!$E$4:$E$8,MATCH(O2911,MappingTables!$B$4:$B$8,0)))</f>
        <v>4.5335247079088656</v>
      </c>
      <c r="Q2911" s="71">
        <f>IF(B2911="",0,INDEX(ModelParameters!$D$6:$K$10,MATCH($O2911,ModelParameters!$B$6:$B$10,0),MATCH($J2911,ModelParameters!$D$5:$K$5,0)))</f>
        <v>0.025</v>
      </c>
      <c r="R2911" s="71">
        <f>IF(B2911="",0,INDEX(ModelParameters!$D$13:$K$17,MATCH($O2911,ModelParameters!$B$13:$B$17,0),MATCH($J2911,ModelParameters!$D$5:$K$5,0)))</f>
        <v>0.225</v>
      </c>
      <c r="S2911" s="160">
        <f>IF(B2911="",0,MIN(IF($N2911="Other Bond TM",ModelParameters!$N$21,1)*(P2911*Q2911+R2911),1))</f>
        <v>0.33833811769772164</v>
      </c>
      <c r="T2911" s="85">
        <f>IF(B2911="",0,$S2911*$K2911)</f>
        <v>706.91724306845</v>
      </c>
      <c r="U2911" s="85">
        <f>IF(B2911="",0,IF(OR(H2911=MappingTables!$C$34,H2911=MappingTables!$C$35),T2911,0))</f>
        <v>0</v>
      </c>
      <c r="V2911" s="85">
        <f>IF(ISNA(IF(AND(VLOOKUP(CONCATENATE($D2911,$G2911),CSRFinput!$B:$E,4,0)=0,OR(H2911=MappingTables!$C$34,H2911=MappingTables!$C$35)),1,VLOOKUP(CONCATENATE($D2911,$G2911),CSRFinput!$B:$E,4,0))),0,IF(AND(VLOOKUP(CONCATENATE($D2911,$G2911),CSRFinput!$B:$E,4,0)=0,OR(H2911=MappingTables!$C$34,H2911=MappingTables!$C$35)),1,VLOOKUP(CONCATENATE($D2911,$G2911),CSRFinput!$B:$E,4,0)))</f>
        <v>0.054776304963434752</v>
      </c>
      <c r="W2911" s="85">
        <f>IF(B2911="",0,+$T2911*$V2911)</f>
        <v>38.722314490227952</v>
      </c>
      <c r="X2911" s="85">
        <f>IF(B2911="",0,IF(OR(H2911=MappingTables!$C$34,H2911=MappingTables!$C$35),W2911,0))</f>
        <v>0</v>
      </c>
    </row>
    <row r="2912" spans="2:24" s="0" customFormat="0" ht="15">
      <c r="B2912" s="69">
        <v>19334513</v>
      </c>
      <c r="C2912" s="70" t="s">
        <v>2252</v>
      </c>
      <c r="D2912" s="70" t="s">
        <v>1</v>
      </c>
      <c r="E2912" s="70" t="s">
        <v>1</v>
      </c>
      <c r="F2912" s="70"/>
      <c r="G2912" s="70" t="s">
        <v>61</v>
      </c>
      <c r="H2912" s="70" t="s">
        <v>178</v>
      </c>
      <c r="I2912" s="70" t="s">
        <v>184</v>
      </c>
      <c r="J2912" s="71">
        <f>IF(OR(I2912=0,I2912=""),"unrated",VLOOKUP(I2912,MappingTables!$B$19:$C$31,2,FALSE))</f>
        <v>5</v>
      </c>
      <c r="K2912" s="72">
        <v>6819.756173640784</v>
      </c>
      <c r="L2912" s="70">
        <v>2.948041918715678</v>
      </c>
      <c r="M2912" s="71">
        <f>IF(L2912&lt;1,1,L2912)</f>
        <v>2.948041918715678</v>
      </c>
      <c r="N2912" s="70" t="s">
        <v>141</v>
      </c>
      <c r="O2912" s="71">
        <f>INDEX(DurClassMapping,MATCH(M2912,MappingTables!$D$4:$D$8,-1),1)</f>
        <v>1</v>
      </c>
      <c r="P2912" s="73">
        <f>IF(M2912=$A$1,1,$M2912-INDEX(MappingTables!$E$4:$E$8,MATCH(O2912,MappingTables!$B$4:$B$8,0)))</f>
        <v>2.948041918715678</v>
      </c>
      <c r="Q2912" s="71">
        <f>IF(B2912="",0,INDEX(ModelParameters!$D$6:$K$10,MATCH($O2912,ModelParameters!$B$6:$B$10,0),MATCH($J2912,ModelParameters!$D$5:$K$5,0)))</f>
        <v>0.075</v>
      </c>
      <c r="R2912" s="71">
        <f>IF(B2912="",0,INDEX(ModelParameters!$D$13:$K$17,MATCH($O2912,ModelParameters!$B$13:$B$17,0),MATCH($J2912,ModelParameters!$D$5:$K$5,0)))</f>
        <v>0</v>
      </c>
      <c r="S2912" s="160">
        <f>IF(B2912="",0,MIN(IF($N2912="Other Bond TM",ModelParameters!$N$21,1)*(P2912*Q2912+R2912),1))</f>
        <v>0.22110314390367584</v>
      </c>
      <c r="T2912" s="85">
        <f>IF(B2912="",0,$S2912*$K2912)</f>
        <v>1507.8695306484802</v>
      </c>
      <c r="U2912" s="85">
        <f>IF(B2912="",0,IF(OR(H2912=MappingTables!$C$34,H2912=MappingTables!$C$35),T2912,0))</f>
        <v>0</v>
      </c>
      <c r="V2912" s="85">
        <f>IF(ISNA(IF(AND(VLOOKUP(CONCATENATE($D2912,$G2912),CSRFinput!$B:$E,4,0)=0,OR(H2912=MappingTables!$C$34,H2912=MappingTables!$C$35)),1,VLOOKUP(CONCATENATE($D2912,$G2912),CSRFinput!$B:$E,4,0))),0,IF(AND(VLOOKUP(CONCATENATE($D2912,$G2912),CSRFinput!$B:$E,4,0)=0,OR(H2912=MappingTables!$C$34,H2912=MappingTables!$C$35)),1,VLOOKUP(CONCATENATE($D2912,$G2912),CSRFinput!$B:$E,4,0)))</f>
        <v>0.054776304963434752</v>
      </c>
      <c r="W2912" s="85">
        <f>IF(B2912="",0,+$T2912*$V2912)</f>
        <v>82.595521255872368</v>
      </c>
      <c r="X2912" s="85">
        <f>IF(B2912="",0,IF(OR(H2912=MappingTables!$C$34,H2912=MappingTables!$C$35),W2912,0))</f>
        <v>0</v>
      </c>
    </row>
    <row r="2913" spans="2:24" s="0" customFormat="0" ht="15">
      <c r="B2913" s="69">
        <v>19573516</v>
      </c>
      <c r="C2913" s="70" t="s">
        <v>2031</v>
      </c>
      <c r="D2913" s="70" t="s">
        <v>1</v>
      </c>
      <c r="E2913" s="70" t="s">
        <v>1</v>
      </c>
      <c r="F2913" s="70"/>
      <c r="G2913" s="70" t="s">
        <v>61</v>
      </c>
      <c r="H2913" s="70" t="s">
        <v>178</v>
      </c>
      <c r="I2913" s="70" t="s">
        <v>188</v>
      </c>
      <c r="J2913" s="71">
        <f>IF(OR(I2913=0,I2913=""),"unrated",VLOOKUP(I2913,MappingTables!$B$19:$C$31,2,FALSE))</f>
        <v>2</v>
      </c>
      <c r="K2913" s="72">
        <v>156.71786125844236</v>
      </c>
      <c r="L2913" s="70">
        <v>0.11781144725211012</v>
      </c>
      <c r="M2913" s="71">
        <f>IF(L2913&lt;1,1,L2913)</f>
        <v>1</v>
      </c>
      <c r="N2913" s="70" t="s">
        <v>141</v>
      </c>
      <c r="O2913" s="71">
        <f>INDEX(DurClassMapping,MATCH(M2913,MappingTables!$D$4:$D$8,-1),1)</f>
        <v>1</v>
      </c>
      <c r="P2913" s="73">
        <f>IF(M2913=$A$1,1,$M2913-INDEX(MappingTables!$E$4:$E$8,MATCH(O2913,MappingTables!$B$4:$B$8,0)))</f>
        <v>1</v>
      </c>
      <c r="Q2913" s="71">
        <f>IF(B2913="",0,INDEX(ModelParameters!$D$6:$K$10,MATCH($O2913,ModelParameters!$B$6:$B$10,0),MATCH($J2913,ModelParameters!$D$5:$K$5,0)))</f>
        <v>0.013999999999999998</v>
      </c>
      <c r="R2913" s="71">
        <f>IF(B2913="",0,INDEX(ModelParameters!$D$13:$K$17,MATCH($O2913,ModelParameters!$B$13:$B$17,0),MATCH($J2913,ModelParameters!$D$5:$K$5,0)))</f>
        <v>0</v>
      </c>
      <c r="S2913" s="160">
        <f>IF(B2913="",0,MIN(IF($N2913="Other Bond TM",ModelParameters!$N$21,1)*(P2913*Q2913+R2913),1))</f>
        <v>0.013999999999999998</v>
      </c>
      <c r="T2913" s="85">
        <f>IF(B2913="",0,$S2913*$K2913)</f>
        <v>2.1940500576181928</v>
      </c>
      <c r="U2913" s="85">
        <f>IF(B2913="",0,IF(OR(H2913=MappingTables!$C$34,H2913=MappingTables!$C$35),T2913,0))</f>
        <v>0</v>
      </c>
      <c r="V2913" s="85">
        <f>IF(ISNA(IF(AND(VLOOKUP(CONCATENATE($D2913,$G2913),CSRFinput!$B:$E,4,0)=0,OR(H2913=MappingTables!$C$34,H2913=MappingTables!$C$35)),1,VLOOKUP(CONCATENATE($D2913,$G2913),CSRFinput!$B:$E,4,0))),0,IF(AND(VLOOKUP(CONCATENATE($D2913,$G2913),CSRFinput!$B:$E,4,0)=0,OR(H2913=MappingTables!$C$34,H2913=MappingTables!$C$35)),1,VLOOKUP(CONCATENATE($D2913,$G2913),CSRFinput!$B:$E,4,0)))</f>
        <v>0.054776304963434752</v>
      </c>
      <c r="W2913" s="85">
        <f>IF(B2913="",0,+$T2913*$V2913)</f>
        <v>0.12018195506113572</v>
      </c>
      <c r="X2913" s="85">
        <f>IF(B2913="",0,IF(OR(H2913=MappingTables!$C$34,H2913=MappingTables!$C$35),W2913,0))</f>
        <v>0</v>
      </c>
    </row>
    <row r="2914" spans="2:24" s="0" customFormat="0" ht="15">
      <c r="B2914" s="69">
        <v>6845989</v>
      </c>
      <c r="C2914" s="70" t="s">
        <v>2654</v>
      </c>
      <c r="D2914" s="70" t="s">
        <v>1</v>
      </c>
      <c r="E2914" s="70" t="s">
        <v>1</v>
      </c>
      <c r="F2914" s="70"/>
      <c r="G2914" s="70" t="s">
        <v>61</v>
      </c>
      <c r="H2914" s="70" t="s">
        <v>178</v>
      </c>
      <c r="I2914" s="70" t="s">
        <v>220</v>
      </c>
      <c r="J2914" s="71">
        <f>IF(OR(I2914=0,I2914=""),"unrated",VLOOKUP(I2914,MappingTables!$B$19:$C$31,2,FALSE))</f>
        <v>1</v>
      </c>
      <c r="K2914" s="72">
        <v>1154688.720703125</v>
      </c>
      <c r="L2914" s="70">
        <v>6.77881001690416</v>
      </c>
      <c r="M2914" s="71">
        <f>IF(L2914&lt;1,1,L2914)</f>
        <v>6.77881001690416</v>
      </c>
      <c r="N2914" s="70" t="s">
        <v>141</v>
      </c>
      <c r="O2914" s="71">
        <f>INDEX(DurClassMapping,MATCH(M2914,MappingTables!$D$4:$D$8,-1),1)</f>
        <v>2</v>
      </c>
      <c r="P2914" s="73">
        <f>IF(M2914=$A$1,1,$M2914-INDEX(MappingTables!$E$4:$E$8,MATCH(O2914,MappingTables!$B$4:$B$8,0)))</f>
        <v>1.7788100169041598</v>
      </c>
      <c r="Q2914" s="71">
        <f>IF(B2914="",0,INDEX(ModelParameters!$D$6:$K$10,MATCH($O2914,ModelParameters!$B$6:$B$10,0),MATCH($J2914,ModelParameters!$D$5:$K$5,0)))</f>
        <v>0.006</v>
      </c>
      <c r="R2914" s="71">
        <f>IF(B2914="",0,INDEX(ModelParameters!$D$13:$K$17,MATCH($O2914,ModelParameters!$B$13:$B$17,0),MATCH($J2914,ModelParameters!$D$5:$K$5,0)))</f>
        <v>0.055</v>
      </c>
      <c r="S2914" s="160">
        <f>IF(B2914="",0,MIN(IF($N2914="Other Bond TM",ModelParameters!$N$21,1)*(P2914*Q2914+R2914),1))</f>
        <v>0.065672860101424968</v>
      </c>
      <c r="T2914" s="85">
        <f>IF(B2914="",0,$S2914*$K2914)</f>
        <v>75831.71081542968</v>
      </c>
      <c r="U2914" s="85">
        <f>IF(B2914="",0,IF(OR(H2914=MappingTables!$C$34,H2914=MappingTables!$C$35),T2914,0))</f>
        <v>0</v>
      </c>
      <c r="V2914" s="85">
        <f>IF(ISNA(IF(AND(VLOOKUP(CONCATENATE($D2914,$G2914),CSRFinput!$B:$E,4,0)=0,OR(H2914=MappingTables!$C$34,H2914=MappingTables!$C$35)),1,VLOOKUP(CONCATENATE($D2914,$G2914),CSRFinput!$B:$E,4,0))),0,IF(AND(VLOOKUP(CONCATENATE($D2914,$G2914),CSRFinput!$B:$E,4,0)=0,OR(H2914=MappingTables!$C$34,H2914=MappingTables!$C$35)),1,VLOOKUP(CONCATENATE($D2914,$G2914),CSRFinput!$B:$E,4,0)))</f>
        <v>0.054776304963434752</v>
      </c>
      <c r="W2914" s="85">
        <f>IF(B2914="",0,+$T2914*$V2914)</f>
        <v>4153.7809175249704</v>
      </c>
      <c r="X2914" s="85">
        <f>IF(B2914="",0,IF(OR(H2914=MappingTables!$C$34,H2914=MappingTables!$C$35),W2914,0))</f>
        <v>0</v>
      </c>
    </row>
    <row r="2915" spans="2:24" s="0" customFormat="0" ht="15">
      <c r="B2915" s="69">
        <v>21722265</v>
      </c>
      <c r="C2915" s="70" t="s">
        <v>192</v>
      </c>
      <c r="D2915" s="70" t="s">
        <v>1</v>
      </c>
      <c r="E2915" s="70" t="s">
        <v>1</v>
      </c>
      <c r="F2915" s="70"/>
      <c r="G2915" s="70" t="s">
        <v>61</v>
      </c>
      <c r="H2915" s="70" t="s">
        <v>178</v>
      </c>
      <c r="I2915" s="70" t="s">
        <v>179</v>
      </c>
      <c r="J2915" s="71">
        <f>IF(OR(I2915=0,I2915=""),"unrated",VLOOKUP(I2915,MappingTables!$B$19:$C$31,2,FALSE))</f>
        <v>4</v>
      </c>
      <c r="K2915" s="72">
        <v>64.461387665428688</v>
      </c>
      <c r="L2915" s="70">
        <v>4.4523654479743512</v>
      </c>
      <c r="M2915" s="71">
        <f>IF(L2915&lt;1,1,L2915)</f>
        <v>4.4523654479743512</v>
      </c>
      <c r="N2915" s="70" t="s">
        <v>141</v>
      </c>
      <c r="O2915" s="71">
        <f>INDEX(DurClassMapping,MATCH(M2915,MappingTables!$D$4:$D$8,-1),1)</f>
        <v>1</v>
      </c>
      <c r="P2915" s="73">
        <f>IF(M2915=$A$1,1,$M2915-INDEX(MappingTables!$E$4:$E$8,MATCH(O2915,MappingTables!$B$4:$B$8,0)))</f>
        <v>4.4523654479743512</v>
      </c>
      <c r="Q2915" s="71">
        <f>IF(B2915="",0,INDEX(ModelParameters!$D$6:$K$10,MATCH($O2915,ModelParameters!$B$6:$B$10,0),MATCH($J2915,ModelParameters!$D$5:$K$5,0)))</f>
        <v>0.045</v>
      </c>
      <c r="R2915" s="71">
        <f>IF(B2915="",0,INDEX(ModelParameters!$D$13:$K$17,MATCH($O2915,ModelParameters!$B$13:$B$17,0),MATCH($J2915,ModelParameters!$D$5:$K$5,0)))</f>
        <v>0</v>
      </c>
      <c r="S2915" s="160">
        <f>IF(B2915="",0,MIN(IF($N2915="Other Bond TM",ModelParameters!$N$21,1)*(P2915*Q2915+R2915),1))</f>
        <v>0.2003564451588458</v>
      </c>
      <c r="T2915" s="85">
        <f>IF(B2915="",0,$S2915*$K2915)</f>
        <v>12.915254482651562</v>
      </c>
      <c r="U2915" s="85">
        <f>IF(B2915="",0,IF(OR(H2915=MappingTables!$C$34,H2915=MappingTables!$C$35),T2915,0))</f>
        <v>0</v>
      </c>
      <c r="V2915" s="85">
        <f>IF(ISNA(IF(AND(VLOOKUP(CONCATENATE($D2915,$G2915),CSRFinput!$B:$E,4,0)=0,OR(H2915=MappingTables!$C$34,H2915=MappingTables!$C$35)),1,VLOOKUP(CONCATENATE($D2915,$G2915),CSRFinput!$B:$E,4,0))),0,IF(AND(VLOOKUP(CONCATENATE($D2915,$G2915),CSRFinput!$B:$E,4,0)=0,OR(H2915=MappingTables!$C$34,H2915=MappingTables!$C$35)),1,VLOOKUP(CONCATENATE($D2915,$G2915),CSRFinput!$B:$E,4,0)))</f>
        <v>0.054776304963434752</v>
      </c>
      <c r="W2915" s="85">
        <f>IF(B2915="",0,+$T2915*$V2915)</f>
        <v>0.70744991822208968</v>
      </c>
      <c r="X2915" s="85">
        <f>IF(B2915="",0,IF(OR(H2915=MappingTables!$C$34,H2915=MappingTables!$C$35),W2915,0))</f>
        <v>0</v>
      </c>
    </row>
    <row r="2916" spans="2:24" s="0" customFormat="0" ht="15">
      <c r="B2916" s="69">
        <v>13109400</v>
      </c>
      <c r="C2916" s="70" t="s">
        <v>1866</v>
      </c>
      <c r="D2916" s="70" t="s">
        <v>1</v>
      </c>
      <c r="E2916" s="70" t="s">
        <v>1</v>
      </c>
      <c r="F2916" s="70"/>
      <c r="G2916" s="70" t="s">
        <v>61</v>
      </c>
      <c r="H2916" s="70" t="s">
        <v>178</v>
      </c>
      <c r="I2916" s="70" t="s">
        <v>184</v>
      </c>
      <c r="J2916" s="71">
        <f>IF(OR(I2916=0,I2916=""),"unrated",VLOOKUP(I2916,MappingTables!$B$19:$C$31,2,FALSE))</f>
        <v>5</v>
      </c>
      <c r="K2916" s="72">
        <v>4613.198005386448</v>
      </c>
      <c r="L2916" s="70">
        <v>0.96156412018419216</v>
      </c>
      <c r="M2916" s="71">
        <f>IF(L2916&lt;1,1,L2916)</f>
        <v>1</v>
      </c>
      <c r="N2916" s="70" t="s">
        <v>141</v>
      </c>
      <c r="O2916" s="71">
        <f>INDEX(DurClassMapping,MATCH(M2916,MappingTables!$D$4:$D$8,-1),1)</f>
        <v>1</v>
      </c>
      <c r="P2916" s="73">
        <f>IF(M2916=$A$1,1,$M2916-INDEX(MappingTables!$E$4:$E$8,MATCH(O2916,MappingTables!$B$4:$B$8,0)))</f>
        <v>1</v>
      </c>
      <c r="Q2916" s="71">
        <f>IF(B2916="",0,INDEX(ModelParameters!$D$6:$K$10,MATCH($O2916,ModelParameters!$B$6:$B$10,0),MATCH($J2916,ModelParameters!$D$5:$K$5,0)))</f>
        <v>0.075</v>
      </c>
      <c r="R2916" s="71">
        <f>IF(B2916="",0,INDEX(ModelParameters!$D$13:$K$17,MATCH($O2916,ModelParameters!$B$13:$B$17,0),MATCH($J2916,ModelParameters!$D$5:$K$5,0)))</f>
        <v>0</v>
      </c>
      <c r="S2916" s="160">
        <f>IF(B2916="",0,MIN(IF($N2916="Other Bond TM",ModelParameters!$N$21,1)*(P2916*Q2916+R2916),1))</f>
        <v>0.075</v>
      </c>
      <c r="T2916" s="85">
        <f>IF(B2916="",0,$S2916*$K2916)</f>
        <v>345.9898504039836</v>
      </c>
      <c r="U2916" s="85">
        <f>IF(B2916="",0,IF(OR(H2916=MappingTables!$C$34,H2916=MappingTables!$C$35),T2916,0))</f>
        <v>0</v>
      </c>
      <c r="V2916" s="85">
        <f>IF(ISNA(IF(AND(VLOOKUP(CONCATENATE($D2916,$G2916),CSRFinput!$B:$E,4,0)=0,OR(H2916=MappingTables!$C$34,H2916=MappingTables!$C$35)),1,VLOOKUP(CONCATENATE($D2916,$G2916),CSRFinput!$B:$E,4,0))),0,IF(AND(VLOOKUP(CONCATENATE($D2916,$G2916),CSRFinput!$B:$E,4,0)=0,OR(H2916=MappingTables!$C$34,H2916=MappingTables!$C$35)),1,VLOOKUP(CONCATENATE($D2916,$G2916),CSRFinput!$B:$E,4,0)))</f>
        <v>0.054776304963434752</v>
      </c>
      <c r="W2916" s="85">
        <f>IF(B2916="",0,+$T2916*$V2916)</f>
        <v>18.952045559981776</v>
      </c>
      <c r="X2916" s="85">
        <f>IF(B2916="",0,IF(OR(H2916=MappingTables!$C$34,H2916=MappingTables!$C$35),W2916,0))</f>
        <v>0</v>
      </c>
    </row>
    <row r="2917" spans="2:24" s="0" customFormat="0" ht="15">
      <c r="B2917" s="69" t="s">
        <v>1555</v>
      </c>
      <c r="C2917" s="70" t="s">
        <v>1556</v>
      </c>
      <c r="D2917" s="70" t="s">
        <v>1</v>
      </c>
      <c r="E2917" s="70" t="s">
        <v>1</v>
      </c>
      <c r="F2917" s="70"/>
      <c r="G2917" s="70" t="s">
        <v>61</v>
      </c>
      <c r="H2917" s="70" t="s">
        <v>178</v>
      </c>
      <c r="I2917" s="70" t="s">
        <v>188</v>
      </c>
      <c r="J2917" s="71">
        <f>IF(OR(I2917=0,I2917=""),"unrated",VLOOKUP(I2917,MappingTables!$B$19:$C$31,2,FALSE))</f>
        <v>2</v>
      </c>
      <c r="K2917" s="72">
        <v>338.69603090194336</v>
      </c>
      <c r="L2917" s="70">
        <v>1.4271266826699474</v>
      </c>
      <c r="M2917" s="71">
        <f>IF(L2917&lt;1,1,L2917)</f>
        <v>1.4271266826699474</v>
      </c>
      <c r="N2917" s="70" t="s">
        <v>141</v>
      </c>
      <c r="O2917" s="71">
        <f>INDEX(DurClassMapping,MATCH(M2917,MappingTables!$D$4:$D$8,-1),1)</f>
        <v>1</v>
      </c>
      <c r="P2917" s="73">
        <f>IF(M2917=$A$1,1,$M2917-INDEX(MappingTables!$E$4:$E$8,MATCH(O2917,MappingTables!$B$4:$B$8,0)))</f>
        <v>1.4271266826699474</v>
      </c>
      <c r="Q2917" s="71">
        <f>IF(B2917="",0,INDEX(ModelParameters!$D$6:$K$10,MATCH($O2917,ModelParameters!$B$6:$B$10,0),MATCH($J2917,ModelParameters!$D$5:$K$5,0)))</f>
        <v>0.013999999999999998</v>
      </c>
      <c r="R2917" s="71">
        <f>IF(B2917="",0,INDEX(ModelParameters!$D$13:$K$17,MATCH($O2917,ModelParameters!$B$13:$B$17,0),MATCH($J2917,ModelParameters!$D$5:$K$5,0)))</f>
        <v>0</v>
      </c>
      <c r="S2917" s="160">
        <f>IF(B2917="",0,MIN(IF($N2917="Other Bond TM",ModelParameters!$N$21,1)*(P2917*Q2917+R2917),1))</f>
        <v>0.01997977355737926</v>
      </c>
      <c r="T2917" s="85">
        <f>IF(B2917="",0,$S2917*$K2917)</f>
        <v>6.7670700022039568</v>
      </c>
      <c r="U2917" s="85">
        <f>IF(B2917="",0,IF(OR(H2917=MappingTables!$C$34,H2917=MappingTables!$C$35),T2917,0))</f>
        <v>0</v>
      </c>
      <c r="V2917" s="85">
        <f>IF(ISNA(IF(AND(VLOOKUP(CONCATENATE($D2917,$G2917),CSRFinput!$B:$E,4,0)=0,OR(H2917=MappingTables!$C$34,H2917=MappingTables!$C$35)),1,VLOOKUP(CONCATENATE($D2917,$G2917),CSRFinput!$B:$E,4,0))),0,IF(AND(VLOOKUP(CONCATENATE($D2917,$G2917),CSRFinput!$B:$E,4,0)=0,OR(H2917=MappingTables!$C$34,H2917=MappingTables!$C$35)),1,VLOOKUP(CONCATENATE($D2917,$G2917),CSRFinput!$B:$E,4,0)))</f>
        <v>0.054776304963434752</v>
      </c>
      <c r="W2917" s="85">
        <f>IF(B2917="",0,+$T2917*$V2917)</f>
        <v>0.37067509014963504</v>
      </c>
      <c r="X2917" s="85">
        <f>IF(B2917="",0,IF(OR(H2917=MappingTables!$C$34,H2917=MappingTables!$C$35),W2917,0))</f>
        <v>0</v>
      </c>
    </row>
    <row r="2918" spans="2:24" s="0" customFormat="0" ht="15">
      <c r="B2918" s="69">
        <v>455581</v>
      </c>
      <c r="C2918" s="70" t="s">
        <v>2655</v>
      </c>
      <c r="D2918" s="70" t="s">
        <v>1</v>
      </c>
      <c r="E2918" s="70" t="s">
        <v>1</v>
      </c>
      <c r="F2918" s="70"/>
      <c r="G2918" s="70" t="s">
        <v>61</v>
      </c>
      <c r="H2918" s="70" t="s">
        <v>178</v>
      </c>
      <c r="I2918" s="70" t="s">
        <v>181</v>
      </c>
      <c r="J2918" s="71">
        <f>IF(OR(I2918=0,I2918=""),"unrated",VLOOKUP(I2918,MappingTables!$B$19:$C$31,2,FALSE))</f>
        <v>3</v>
      </c>
      <c r="K2918" s="72">
        <v>4789.9031929163392</v>
      </c>
      <c r="L2918" s="70">
        <v>11.337438137742406</v>
      </c>
      <c r="M2918" s="71">
        <f>IF(L2918&lt;1,1,L2918)</f>
        <v>11.337438137742406</v>
      </c>
      <c r="N2918" s="70" t="s">
        <v>141</v>
      </c>
      <c r="O2918" s="71">
        <f>INDEX(DurClassMapping,MATCH(M2918,MappingTables!$D$4:$D$8,-1),1)</f>
        <v>3</v>
      </c>
      <c r="P2918" s="73">
        <f>IF(M2918=$A$1,1,$M2918-INDEX(MappingTables!$E$4:$E$8,MATCH(O2918,MappingTables!$B$4:$B$8,0)))</f>
        <v>1.3374381377424064</v>
      </c>
      <c r="Q2918" s="71">
        <f>IF(B2918="",0,INDEX(ModelParameters!$D$6:$K$10,MATCH($O2918,ModelParameters!$B$6:$B$10,0),MATCH($J2918,ModelParameters!$D$5:$K$5,0)))</f>
        <v>0.01</v>
      </c>
      <c r="R2918" s="71">
        <f>IF(B2918="",0,INDEX(ModelParameters!$D$13:$K$17,MATCH($O2918,ModelParameters!$B$13:$B$17,0),MATCH($J2918,ModelParameters!$D$5:$K$5,0)))</f>
        <v>0.2</v>
      </c>
      <c r="S2918" s="160">
        <f>IF(B2918="",0,MIN(IF($N2918="Other Bond TM",ModelParameters!$N$21,1)*(P2918*Q2918+R2918),1))</f>
        <v>0.21337438137742408</v>
      </c>
      <c r="T2918" s="85">
        <f>IF(B2918="",0,$S2918*$K2918)</f>
        <v>1022.0426306462722</v>
      </c>
      <c r="U2918" s="85">
        <f>IF(B2918="",0,IF(OR(H2918=MappingTables!$C$34,H2918=MappingTables!$C$35),T2918,0))</f>
        <v>0</v>
      </c>
      <c r="V2918" s="85">
        <f>IF(ISNA(IF(AND(VLOOKUP(CONCATENATE($D2918,$G2918),CSRFinput!$B:$E,4,0)=0,OR(H2918=MappingTables!$C$34,H2918=MappingTables!$C$35)),1,VLOOKUP(CONCATENATE($D2918,$G2918),CSRFinput!$B:$E,4,0))),0,IF(AND(VLOOKUP(CONCATENATE($D2918,$G2918),CSRFinput!$B:$E,4,0)=0,OR(H2918=MappingTables!$C$34,H2918=MappingTables!$C$35)),1,VLOOKUP(CONCATENATE($D2918,$G2918),CSRFinput!$B:$E,4,0)))</f>
        <v>0.054776304963434752</v>
      </c>
      <c r="W2918" s="85">
        <f>IF(B2918="",0,+$T2918*$V2918)</f>
        <v>55.983718821911312</v>
      </c>
      <c r="X2918" s="85">
        <f>IF(B2918="",0,IF(OR(H2918=MappingTables!$C$34,H2918=MappingTables!$C$35),W2918,0))</f>
        <v>0</v>
      </c>
    </row>
    <row r="2919" spans="2:24" s="0" customFormat="0" ht="15">
      <c r="B2919" s="69">
        <v>17101589</v>
      </c>
      <c r="C2919" s="70" t="s">
        <v>2656</v>
      </c>
      <c r="D2919" s="70" t="s">
        <v>1</v>
      </c>
      <c r="E2919" s="70" t="s">
        <v>1</v>
      </c>
      <c r="F2919" s="70"/>
      <c r="G2919" s="70" t="s">
        <v>61</v>
      </c>
      <c r="H2919" s="70" t="s">
        <v>178</v>
      </c>
      <c r="I2919" s="70" t="s">
        <v>198</v>
      </c>
      <c r="J2919" s="71" t="str">
        <f>IF(OR(I2919=0,I2919=""),"unrated",VLOOKUP(I2919,MappingTables!$B$19:$C$31,2,FALSE))</f>
        <v>unrated</v>
      </c>
      <c r="K2919" s="72">
        <v>0.057972732129988488</v>
      </c>
      <c r="L2919" s="70">
        <v>0.435621105230824</v>
      </c>
      <c r="M2919" s="71">
        <f>IF(L2919&lt;1,1,L2919)</f>
        <v>1</v>
      </c>
      <c r="N2919" s="70" t="s">
        <v>141</v>
      </c>
      <c r="O2919" s="71">
        <f>INDEX(DurClassMapping,MATCH(M2919,MappingTables!$D$4:$D$8,-1),1)</f>
        <v>1</v>
      </c>
      <c r="P2919" s="73">
        <f>IF(M2919=$A$1,1,$M2919-INDEX(MappingTables!$E$4:$E$8,MATCH(O2919,MappingTables!$B$4:$B$8,0)))</f>
        <v>1</v>
      </c>
      <c r="Q2919" s="71">
        <f>IF(B2919="",0,INDEX(ModelParameters!$D$6:$K$10,MATCH($O2919,ModelParameters!$B$6:$B$10,0),MATCH($J2919,ModelParameters!$D$5:$K$5,0)))</f>
        <v>0.03</v>
      </c>
      <c r="R2919" s="71">
        <f>IF(B2919="",0,INDEX(ModelParameters!$D$13:$K$17,MATCH($O2919,ModelParameters!$B$13:$B$17,0),MATCH($J2919,ModelParameters!$D$5:$K$5,0)))</f>
        <v>0</v>
      </c>
      <c r="S2919" s="160">
        <f>IF(B2919="",0,MIN(IF($N2919="Other Bond TM",ModelParameters!$N$21,1)*(P2919*Q2919+R2919),1))</f>
        <v>0.03</v>
      </c>
      <c r="T2919" s="85">
        <f>IF(B2919="",0,$S2919*$K2919)</f>
        <v>0.0017391819638996546</v>
      </c>
      <c r="U2919" s="85">
        <f>IF(B2919="",0,IF(OR(H2919=MappingTables!$C$34,H2919=MappingTables!$C$35),T2919,0))</f>
        <v>0</v>
      </c>
      <c r="V2919" s="85">
        <f>IF(ISNA(IF(AND(VLOOKUP(CONCATENATE($D2919,$G2919),CSRFinput!$B:$E,4,0)=0,OR(H2919=MappingTables!$C$34,H2919=MappingTables!$C$35)),1,VLOOKUP(CONCATENATE($D2919,$G2919),CSRFinput!$B:$E,4,0))),0,IF(AND(VLOOKUP(CONCATENATE($D2919,$G2919),CSRFinput!$B:$E,4,0)=0,OR(H2919=MappingTables!$C$34,H2919=MappingTables!$C$35)),1,VLOOKUP(CONCATENATE($D2919,$G2919),CSRFinput!$B:$E,4,0)))</f>
        <v>0.054776304963434752</v>
      </c>
      <c r="W2919" s="85">
        <f>IF(B2919="",0,+$T2919*$V2919)</f>
        <v>0.000095265961641472848</v>
      </c>
      <c r="X2919" s="85">
        <f>IF(B2919="",0,IF(OR(H2919=MappingTables!$C$34,H2919=MappingTables!$C$35),W2919,0))</f>
        <v>0</v>
      </c>
    </row>
    <row r="2920" spans="2:24" s="0" customFormat="0" ht="15">
      <c r="B2920" s="69" t="s">
        <v>2201</v>
      </c>
      <c r="C2920" s="70" t="s">
        <v>2202</v>
      </c>
      <c r="D2920" s="70" t="s">
        <v>1</v>
      </c>
      <c r="E2920" s="70" t="s">
        <v>1</v>
      </c>
      <c r="F2920" s="70"/>
      <c r="G2920" s="70" t="s">
        <v>61</v>
      </c>
      <c r="H2920" s="70" t="s">
        <v>178</v>
      </c>
      <c r="I2920" s="70" t="s">
        <v>184</v>
      </c>
      <c r="J2920" s="71">
        <f>IF(OR(I2920=0,I2920=""),"unrated",VLOOKUP(I2920,MappingTables!$B$19:$C$31,2,FALSE))</f>
        <v>5</v>
      </c>
      <c r="K2920" s="72">
        <v>408.94091572249424</v>
      </c>
      <c r="L2920" s="70">
        <v>2.7628663716234264</v>
      </c>
      <c r="M2920" s="71">
        <f>IF(L2920&lt;1,1,L2920)</f>
        <v>2.7628663716234264</v>
      </c>
      <c r="N2920" s="70" t="s">
        <v>141</v>
      </c>
      <c r="O2920" s="71">
        <f>INDEX(DurClassMapping,MATCH(M2920,MappingTables!$D$4:$D$8,-1),1)</f>
        <v>1</v>
      </c>
      <c r="P2920" s="73">
        <f>IF(M2920=$A$1,1,$M2920-INDEX(MappingTables!$E$4:$E$8,MATCH(O2920,MappingTables!$B$4:$B$8,0)))</f>
        <v>2.7628663716234264</v>
      </c>
      <c r="Q2920" s="71">
        <f>IF(B2920="",0,INDEX(ModelParameters!$D$6:$K$10,MATCH($O2920,ModelParameters!$B$6:$B$10,0),MATCH($J2920,ModelParameters!$D$5:$K$5,0)))</f>
        <v>0.075</v>
      </c>
      <c r="R2920" s="71">
        <f>IF(B2920="",0,INDEX(ModelParameters!$D$13:$K$17,MATCH($O2920,ModelParameters!$B$13:$B$17,0),MATCH($J2920,ModelParameters!$D$5:$K$5,0)))</f>
        <v>0</v>
      </c>
      <c r="S2920" s="160">
        <f>IF(B2920="",0,MIN(IF($N2920="Other Bond TM",ModelParameters!$N$21,1)*(P2920*Q2920+R2920),1))</f>
        <v>0.207214977871757</v>
      </c>
      <c r="T2920" s="85">
        <f>IF(B2920="",0,$S2920*$K2920)</f>
        <v>84.738682802292688</v>
      </c>
      <c r="U2920" s="85">
        <f>IF(B2920="",0,IF(OR(H2920=MappingTables!$C$34,H2920=MappingTables!$C$35),T2920,0))</f>
        <v>0</v>
      </c>
      <c r="V2920" s="85">
        <f>IF(ISNA(IF(AND(VLOOKUP(CONCATENATE($D2920,$G2920),CSRFinput!$B:$E,4,0)=0,OR(H2920=MappingTables!$C$34,H2920=MappingTables!$C$35)),1,VLOOKUP(CONCATENATE($D2920,$G2920),CSRFinput!$B:$E,4,0))),0,IF(AND(VLOOKUP(CONCATENATE($D2920,$G2920),CSRFinput!$B:$E,4,0)=0,OR(H2920=MappingTables!$C$34,H2920=MappingTables!$C$35)),1,VLOOKUP(CONCATENATE($D2920,$G2920),CSRFinput!$B:$E,4,0)))</f>
        <v>0.054776304963434752</v>
      </c>
      <c r="W2920" s="85">
        <f>IF(B2920="",0,+$T2920*$V2920)</f>
        <v>4.6416719313781488</v>
      </c>
      <c r="X2920" s="85">
        <f>IF(B2920="",0,IF(OR(H2920=MappingTables!$C$34,H2920=MappingTables!$C$35),W2920,0))</f>
        <v>0</v>
      </c>
    </row>
    <row r="2921" spans="2:24" s="0" customFormat="0" ht="15">
      <c r="B2921" s="69" t="s">
        <v>2478</v>
      </c>
      <c r="C2921" s="70" t="s">
        <v>2479</v>
      </c>
      <c r="D2921" s="70" t="s">
        <v>1</v>
      </c>
      <c r="E2921" s="70" t="s">
        <v>1</v>
      </c>
      <c r="F2921" s="70"/>
      <c r="G2921" s="70" t="s">
        <v>61</v>
      </c>
      <c r="H2921" s="70" t="s">
        <v>178</v>
      </c>
      <c r="I2921" s="70" t="s">
        <v>513</v>
      </c>
      <c r="J2921" s="71">
        <f>IF(OR(I2921=0,I2921=""),"unrated",VLOOKUP(I2921,MappingTables!$B$19:$C$31,2,FALSE))</f>
        <v>6</v>
      </c>
      <c r="K2921" s="72">
        <v>2113.408172276042</v>
      </c>
      <c r="L2921" s="70">
        <v>16.584695787214664</v>
      </c>
      <c r="M2921" s="71">
        <f>IF(L2921&lt;1,1,L2921)</f>
        <v>16.584695787214664</v>
      </c>
      <c r="N2921" s="70" t="s">
        <v>141</v>
      </c>
      <c r="O2921" s="71">
        <f>INDEX(DurClassMapping,MATCH(M2921,MappingTables!$D$4:$D$8,-1),1)</f>
        <v>4</v>
      </c>
      <c r="P2921" s="73">
        <f>IF(M2921=$A$1,1,$M2921-INDEX(MappingTables!$E$4:$E$8,MATCH(O2921,MappingTables!$B$4:$B$8,0)))</f>
        <v>1.5846957872146632</v>
      </c>
      <c r="Q2921" s="71">
        <f>IF(B2921="",0,INDEX(ModelParameters!$D$6:$K$10,MATCH($O2921,ModelParameters!$B$6:$B$10,0),MATCH($J2921,ModelParameters!$D$5:$K$5,0)))</f>
        <v>0.005</v>
      </c>
      <c r="R2921" s="71">
        <f>IF(B2921="",0,INDEX(ModelParameters!$D$13:$K$17,MATCH($O2921,ModelParameters!$B$13:$B$17,0),MATCH($J2921,ModelParameters!$D$5:$K$5,0)))</f>
        <v>0.61</v>
      </c>
      <c r="S2921" s="160">
        <f>IF(B2921="",0,MIN(IF($N2921="Other Bond TM",ModelParameters!$N$21,1)*(P2921*Q2921+R2921),1))</f>
        <v>0.61792347893607336</v>
      </c>
      <c r="T2921" s="85">
        <f>IF(B2921="",0,$S2921*$K2921)</f>
        <v>1305.9245302247402</v>
      </c>
      <c r="U2921" s="85">
        <f>IF(B2921="",0,IF(OR(H2921=MappingTables!$C$34,H2921=MappingTables!$C$35),T2921,0))</f>
        <v>0</v>
      </c>
      <c r="V2921" s="85">
        <f>IF(ISNA(IF(AND(VLOOKUP(CONCATENATE($D2921,$G2921),CSRFinput!$B:$E,4,0)=0,OR(H2921=MappingTables!$C$34,H2921=MappingTables!$C$35)),1,VLOOKUP(CONCATENATE($D2921,$G2921),CSRFinput!$B:$E,4,0))),0,IF(AND(VLOOKUP(CONCATENATE($D2921,$G2921),CSRFinput!$B:$E,4,0)=0,OR(H2921=MappingTables!$C$34,H2921=MappingTables!$C$35)),1,VLOOKUP(CONCATENATE($D2921,$G2921),CSRFinput!$B:$E,4,0)))</f>
        <v>0.054776304963434752</v>
      </c>
      <c r="W2921" s="85">
        <f>IF(B2921="",0,+$T2921*$V2921)</f>
        <v>71.53372032682064</v>
      </c>
      <c r="X2921" s="85">
        <f>IF(B2921="",0,IF(OR(H2921=MappingTables!$C$34,H2921=MappingTables!$C$35),W2921,0))</f>
        <v>0</v>
      </c>
    </row>
    <row r="2922" spans="2:24" s="0" customFormat="0" ht="15">
      <c r="B2922" s="69">
        <v>13167407</v>
      </c>
      <c r="C2922" s="70" t="s">
        <v>2657</v>
      </c>
      <c r="D2922" s="70" t="s">
        <v>1</v>
      </c>
      <c r="E2922" s="70" t="s">
        <v>1</v>
      </c>
      <c r="F2922" s="70"/>
      <c r="G2922" s="70" t="s">
        <v>61</v>
      </c>
      <c r="H2922" s="70" t="s">
        <v>178</v>
      </c>
      <c r="I2922" s="70" t="s">
        <v>179</v>
      </c>
      <c r="J2922" s="71">
        <f>IF(OR(I2922=0,I2922=""),"unrated",VLOOKUP(I2922,MappingTables!$B$19:$C$31,2,FALSE))</f>
        <v>4</v>
      </c>
      <c r="K2922" s="72">
        <v>4120.950000215812</v>
      </c>
      <c r="L2922" s="70">
        <v>5.1836631065660088</v>
      </c>
      <c r="M2922" s="71">
        <f>IF(L2922&lt;1,1,L2922)</f>
        <v>5.1836631065660088</v>
      </c>
      <c r="N2922" s="70" t="s">
        <v>141</v>
      </c>
      <c r="O2922" s="71">
        <f>INDEX(DurClassMapping,MATCH(M2922,MappingTables!$D$4:$D$8,-1),1)</f>
        <v>2</v>
      </c>
      <c r="P2922" s="73">
        <f>IF(M2922=$A$1,1,$M2922-INDEX(MappingTables!$E$4:$E$8,MATCH(O2922,MappingTables!$B$4:$B$8,0)))</f>
        <v>0.1836631065660086</v>
      </c>
      <c r="Q2922" s="71">
        <f>IF(B2922="",0,INDEX(ModelParameters!$D$6:$K$10,MATCH($O2922,ModelParameters!$B$6:$B$10,0),MATCH($J2922,ModelParameters!$D$5:$K$5,0)))</f>
        <v>0.025</v>
      </c>
      <c r="R2922" s="71">
        <f>IF(B2922="",0,INDEX(ModelParameters!$D$13:$K$17,MATCH($O2922,ModelParameters!$B$13:$B$17,0),MATCH($J2922,ModelParameters!$D$5:$K$5,0)))</f>
        <v>0.225</v>
      </c>
      <c r="S2922" s="160">
        <f>IF(B2922="",0,MIN(IF($N2922="Other Bond TM",ModelParameters!$N$21,1)*(P2922*Q2922+R2922),1))</f>
        <v>0.22959157766415024</v>
      </c>
      <c r="T2922" s="85">
        <f>IF(B2922="",0,$S2922*$K2922)</f>
        <v>946.13541202462848</v>
      </c>
      <c r="U2922" s="85">
        <f>IF(B2922="",0,IF(OR(H2922=MappingTables!$C$34,H2922=MappingTables!$C$35),T2922,0))</f>
        <v>0</v>
      </c>
      <c r="V2922" s="85">
        <f>IF(ISNA(IF(AND(VLOOKUP(CONCATENATE($D2922,$G2922),CSRFinput!$B:$E,4,0)=0,OR(H2922=MappingTables!$C$34,H2922=MappingTables!$C$35)),1,VLOOKUP(CONCATENATE($D2922,$G2922),CSRFinput!$B:$E,4,0))),0,IF(AND(VLOOKUP(CONCATENATE($D2922,$G2922),CSRFinput!$B:$E,4,0)=0,OR(H2922=MappingTables!$C$34,H2922=MappingTables!$C$35)),1,VLOOKUP(CONCATENATE($D2922,$G2922),CSRFinput!$B:$E,4,0)))</f>
        <v>0.054776304963434752</v>
      </c>
      <c r="W2922" s="85">
        <f>IF(B2922="",0,+$T2922*$V2922)</f>
        <v>51.825801865766048</v>
      </c>
      <c r="X2922" s="85">
        <f>IF(B2922="",0,IF(OR(H2922=MappingTables!$C$34,H2922=MappingTables!$C$35),W2922,0))</f>
        <v>0</v>
      </c>
    </row>
    <row r="2923" spans="2:24" s="0" customFormat="0" ht="15">
      <c r="B2923" s="69">
        <v>12177002</v>
      </c>
      <c r="C2923" s="70" t="s">
        <v>2658</v>
      </c>
      <c r="D2923" s="70" t="s">
        <v>1</v>
      </c>
      <c r="E2923" s="70" t="s">
        <v>1</v>
      </c>
      <c r="F2923" s="70"/>
      <c r="G2923" s="70" t="s">
        <v>61</v>
      </c>
      <c r="H2923" s="70" t="s">
        <v>178</v>
      </c>
      <c r="I2923" s="70" t="s">
        <v>181</v>
      </c>
      <c r="J2923" s="71">
        <f>IF(OR(I2923=0,I2923=""),"unrated",VLOOKUP(I2923,MappingTables!$B$19:$C$31,2,FALSE))</f>
        <v>3</v>
      </c>
      <c r="K2923" s="72">
        <v>270.69251809925232</v>
      </c>
      <c r="L2923" s="70">
        <v>5.2623889025153888</v>
      </c>
      <c r="M2923" s="71">
        <f>IF(L2923&lt;1,1,L2923)</f>
        <v>5.2623889025153888</v>
      </c>
      <c r="N2923" s="70" t="s">
        <v>141</v>
      </c>
      <c r="O2923" s="71">
        <f>INDEX(DurClassMapping,MATCH(M2923,MappingTables!$D$4:$D$8,-1),1)</f>
        <v>2</v>
      </c>
      <c r="P2923" s="73">
        <f>IF(M2923=$A$1,1,$M2923-INDEX(MappingTables!$E$4:$E$8,MATCH(O2923,MappingTables!$B$4:$B$8,0)))</f>
        <v>0.26238890251538916</v>
      </c>
      <c r="Q2923" s="71">
        <f>IF(B2923="",0,INDEX(ModelParameters!$D$6:$K$10,MATCH($O2923,ModelParameters!$B$6:$B$10,0),MATCH($J2923,ModelParameters!$D$5:$K$5,0)))</f>
        <v>0.015</v>
      </c>
      <c r="R2923" s="71">
        <f>IF(B2923="",0,INDEX(ModelParameters!$D$13:$K$17,MATCH($O2923,ModelParameters!$B$13:$B$17,0),MATCH($J2923,ModelParameters!$D$5:$K$5,0)))</f>
        <v>0.125</v>
      </c>
      <c r="S2923" s="160">
        <f>IF(B2923="",0,MIN(IF($N2923="Other Bond TM",ModelParameters!$N$21,1)*(P2923*Q2923+R2923),1))</f>
        <v>0.12893583353773084</v>
      </c>
      <c r="T2923" s="85">
        <f>IF(B2923="",0,$S2923*$K2923)</f>
        <v>34.901965453554388</v>
      </c>
      <c r="U2923" s="85">
        <f>IF(B2923="",0,IF(OR(H2923=MappingTables!$C$34,H2923=MappingTables!$C$35),T2923,0))</f>
        <v>0</v>
      </c>
      <c r="V2923" s="85">
        <f>IF(ISNA(IF(AND(VLOOKUP(CONCATENATE($D2923,$G2923),CSRFinput!$B:$E,4,0)=0,OR(H2923=MappingTables!$C$34,H2923=MappingTables!$C$35)),1,VLOOKUP(CONCATENATE($D2923,$G2923),CSRFinput!$B:$E,4,0))),0,IF(AND(VLOOKUP(CONCATENATE($D2923,$G2923),CSRFinput!$B:$E,4,0)=0,OR(H2923=MappingTables!$C$34,H2923=MappingTables!$C$35)),1,VLOOKUP(CONCATENATE($D2923,$G2923),CSRFinput!$B:$E,4,0)))</f>
        <v>0.054776304963434752</v>
      </c>
      <c r="W2923" s="85">
        <f>IF(B2923="",0,+$T2923*$V2923)</f>
        <v>1.9118007035071596</v>
      </c>
      <c r="X2923" s="85">
        <f>IF(B2923="",0,IF(OR(H2923=MappingTables!$C$34,H2923=MappingTables!$C$35),W2923,0))</f>
        <v>0</v>
      </c>
    </row>
    <row r="2924" spans="2:24" s="0" customFormat="0" ht="15">
      <c r="B2924" s="69" t="s">
        <v>1952</v>
      </c>
      <c r="C2924" s="70" t="s">
        <v>1953</v>
      </c>
      <c r="D2924" s="70" t="s">
        <v>1</v>
      </c>
      <c r="E2924" s="70" t="s">
        <v>1</v>
      </c>
      <c r="F2924" s="70"/>
      <c r="G2924" s="70" t="s">
        <v>61</v>
      </c>
      <c r="H2924" s="70" t="s">
        <v>178</v>
      </c>
      <c r="I2924" s="70" t="s">
        <v>198</v>
      </c>
      <c r="J2924" s="71" t="str">
        <f>IF(OR(I2924=0,I2924=""),"unrated",VLOOKUP(I2924,MappingTables!$B$19:$C$31,2,FALSE))</f>
        <v>unrated</v>
      </c>
      <c r="K2924" s="72">
        <v>461.59768746547384</v>
      </c>
      <c r="L2924" s="70">
        <v>0.74285669124543328</v>
      </c>
      <c r="M2924" s="71">
        <f>IF(L2924&lt;1,1,L2924)</f>
        <v>1</v>
      </c>
      <c r="N2924" s="70" t="s">
        <v>141</v>
      </c>
      <c r="O2924" s="71">
        <f>INDEX(DurClassMapping,MATCH(M2924,MappingTables!$D$4:$D$8,-1),1)</f>
        <v>1</v>
      </c>
      <c r="P2924" s="73">
        <f>IF(M2924=$A$1,1,$M2924-INDEX(MappingTables!$E$4:$E$8,MATCH(O2924,MappingTables!$B$4:$B$8,0)))</f>
        <v>1</v>
      </c>
      <c r="Q2924" s="71">
        <f>IF(B2924="",0,INDEX(ModelParameters!$D$6:$K$10,MATCH($O2924,ModelParameters!$B$6:$B$10,0),MATCH($J2924,ModelParameters!$D$5:$K$5,0)))</f>
        <v>0.03</v>
      </c>
      <c r="R2924" s="71">
        <f>IF(B2924="",0,INDEX(ModelParameters!$D$13:$K$17,MATCH($O2924,ModelParameters!$B$13:$B$17,0),MATCH($J2924,ModelParameters!$D$5:$K$5,0)))</f>
        <v>0</v>
      </c>
      <c r="S2924" s="160">
        <f>IF(B2924="",0,MIN(IF($N2924="Other Bond TM",ModelParameters!$N$21,1)*(P2924*Q2924+R2924),1))</f>
        <v>0.03</v>
      </c>
      <c r="T2924" s="85">
        <f>IF(B2924="",0,$S2924*$K2924)</f>
        <v>13.847930623964214</v>
      </c>
      <c r="U2924" s="85">
        <f>IF(B2924="",0,IF(OR(H2924=MappingTables!$C$34,H2924=MappingTables!$C$35),T2924,0))</f>
        <v>0</v>
      </c>
      <c r="V2924" s="85">
        <f>IF(ISNA(IF(AND(VLOOKUP(CONCATENATE($D2924,$G2924),CSRFinput!$B:$E,4,0)=0,OR(H2924=MappingTables!$C$34,H2924=MappingTables!$C$35)),1,VLOOKUP(CONCATENATE($D2924,$G2924),CSRFinput!$B:$E,4,0))),0,IF(AND(VLOOKUP(CONCATENATE($D2924,$G2924),CSRFinput!$B:$E,4,0)=0,OR(H2924=MappingTables!$C$34,H2924=MappingTables!$C$35)),1,VLOOKUP(CONCATENATE($D2924,$G2924),CSRFinput!$B:$E,4,0)))</f>
        <v>0.054776304963434752</v>
      </c>
      <c r="W2924" s="85">
        <f>IF(B2924="",0,+$T2924*$V2924)</f>
        <v>0.75853847097075104</v>
      </c>
      <c r="X2924" s="85">
        <f>IF(B2924="",0,IF(OR(H2924=MappingTables!$C$34,H2924=MappingTables!$C$35),W2924,0))</f>
        <v>0</v>
      </c>
    </row>
    <row r="2925" spans="2:24" s="0" customFormat="0" ht="15">
      <c r="B2925" s="69" t="s">
        <v>2180</v>
      </c>
      <c r="C2925" s="70" t="s">
        <v>2181</v>
      </c>
      <c r="D2925" s="70" t="s">
        <v>1</v>
      </c>
      <c r="E2925" s="70" t="s">
        <v>1</v>
      </c>
      <c r="F2925" s="70"/>
      <c r="G2925" s="70" t="s">
        <v>61</v>
      </c>
      <c r="H2925" s="70" t="s">
        <v>178</v>
      </c>
      <c r="I2925" s="70" t="s">
        <v>181</v>
      </c>
      <c r="J2925" s="71">
        <f>IF(OR(I2925=0,I2925=""),"unrated",VLOOKUP(I2925,MappingTables!$B$19:$C$31,2,FALSE))</f>
        <v>3</v>
      </c>
      <c r="K2925" s="72">
        <v>31598.959168831108</v>
      </c>
      <c r="L2925" s="70">
        <v>1.9680542739955052</v>
      </c>
      <c r="M2925" s="71">
        <f>IF(L2925&lt;1,1,L2925)</f>
        <v>1.9680542739955052</v>
      </c>
      <c r="N2925" s="70" t="s">
        <v>141</v>
      </c>
      <c r="O2925" s="71">
        <f>INDEX(DurClassMapping,MATCH(M2925,MappingTables!$D$4:$D$8,-1),1)</f>
        <v>1</v>
      </c>
      <c r="P2925" s="73">
        <f>IF(M2925=$A$1,1,$M2925-INDEX(MappingTables!$E$4:$E$8,MATCH(O2925,MappingTables!$B$4:$B$8,0)))</f>
        <v>1.9680542739955052</v>
      </c>
      <c r="Q2925" s="71">
        <f>IF(B2925="",0,INDEX(ModelParameters!$D$6:$K$10,MATCH($O2925,ModelParameters!$B$6:$B$10,0),MATCH($J2925,ModelParameters!$D$5:$K$5,0)))</f>
        <v>0.025</v>
      </c>
      <c r="R2925" s="71">
        <f>IF(B2925="",0,INDEX(ModelParameters!$D$13:$K$17,MATCH($O2925,ModelParameters!$B$13:$B$17,0),MATCH($J2925,ModelParameters!$D$5:$K$5,0)))</f>
        <v>0</v>
      </c>
      <c r="S2925" s="160">
        <f>IF(B2925="",0,MIN(IF($N2925="Other Bond TM",ModelParameters!$N$21,1)*(P2925*Q2925+R2925),1))</f>
        <v>0.049201356849887632</v>
      </c>
      <c r="T2925" s="85">
        <f>IF(B2925="",0,$S2925*$K2925)</f>
        <v>1554.7116661506882</v>
      </c>
      <c r="U2925" s="85">
        <f>IF(B2925="",0,IF(OR(H2925=MappingTables!$C$34,H2925=MappingTables!$C$35),T2925,0))</f>
        <v>0</v>
      </c>
      <c r="V2925" s="85">
        <f>IF(ISNA(IF(AND(VLOOKUP(CONCATENATE($D2925,$G2925),CSRFinput!$B:$E,4,0)=0,OR(H2925=MappingTables!$C$34,H2925=MappingTables!$C$35)),1,VLOOKUP(CONCATENATE($D2925,$G2925),CSRFinput!$B:$E,4,0))),0,IF(AND(VLOOKUP(CONCATENATE($D2925,$G2925),CSRFinput!$B:$E,4,0)=0,OR(H2925=MappingTables!$C$34,H2925=MappingTables!$C$35)),1,VLOOKUP(CONCATENATE($D2925,$G2925),CSRFinput!$B:$E,4,0)))</f>
        <v>0.054776304963434752</v>
      </c>
      <c r="W2925" s="85">
        <f>IF(B2925="",0,+$T2925*$V2925)</f>
        <v>85.161360355279856</v>
      </c>
      <c r="X2925" s="85">
        <f>IF(B2925="",0,IF(OR(H2925=MappingTables!$C$34,H2925=MappingTables!$C$35),W2925,0))</f>
        <v>0</v>
      </c>
    </row>
    <row r="2926" spans="2:24" s="0" customFormat="0" ht="15">
      <c r="B2926" s="69">
        <v>17020835</v>
      </c>
      <c r="C2926" s="70" t="s">
        <v>2028</v>
      </c>
      <c r="D2926" s="70" t="s">
        <v>1</v>
      </c>
      <c r="E2926" s="70" t="s">
        <v>1</v>
      </c>
      <c r="F2926" s="70"/>
      <c r="G2926" s="70" t="s">
        <v>61</v>
      </c>
      <c r="H2926" s="70" t="s">
        <v>178</v>
      </c>
      <c r="I2926" s="70" t="s">
        <v>179</v>
      </c>
      <c r="J2926" s="71">
        <f>IF(OR(I2926=0,I2926=""),"unrated",VLOOKUP(I2926,MappingTables!$B$19:$C$31,2,FALSE))</f>
        <v>4</v>
      </c>
      <c r="K2926" s="72">
        <v>10801.645786946142</v>
      </c>
      <c r="L2926" s="70">
        <v>2.3477879887787076</v>
      </c>
      <c r="M2926" s="71">
        <f>IF(L2926&lt;1,1,L2926)</f>
        <v>2.3477879887787076</v>
      </c>
      <c r="N2926" s="70" t="s">
        <v>141</v>
      </c>
      <c r="O2926" s="71">
        <f>INDEX(DurClassMapping,MATCH(M2926,MappingTables!$D$4:$D$8,-1),1)</f>
        <v>1</v>
      </c>
      <c r="P2926" s="73">
        <f>IF(M2926=$A$1,1,$M2926-INDEX(MappingTables!$E$4:$E$8,MATCH(O2926,MappingTables!$B$4:$B$8,0)))</f>
        <v>2.3477879887787076</v>
      </c>
      <c r="Q2926" s="71">
        <f>IF(B2926="",0,INDEX(ModelParameters!$D$6:$K$10,MATCH($O2926,ModelParameters!$B$6:$B$10,0),MATCH($J2926,ModelParameters!$D$5:$K$5,0)))</f>
        <v>0.045</v>
      </c>
      <c r="R2926" s="71">
        <f>IF(B2926="",0,INDEX(ModelParameters!$D$13:$K$17,MATCH($O2926,ModelParameters!$B$13:$B$17,0),MATCH($J2926,ModelParameters!$D$5:$K$5,0)))</f>
        <v>0</v>
      </c>
      <c r="S2926" s="160">
        <f>IF(B2926="",0,MIN(IF($N2926="Other Bond TM",ModelParameters!$N$21,1)*(P2926*Q2926+R2926),1))</f>
        <v>0.10565045949504184</v>
      </c>
      <c r="T2926" s="85">
        <f>IF(B2926="",0,$S2926*$K2926)</f>
        <v>1141.198840693543</v>
      </c>
      <c r="U2926" s="85">
        <f>IF(B2926="",0,IF(OR(H2926=MappingTables!$C$34,H2926=MappingTables!$C$35),T2926,0))</f>
        <v>0</v>
      </c>
      <c r="V2926" s="85">
        <f>IF(ISNA(IF(AND(VLOOKUP(CONCATENATE($D2926,$G2926),CSRFinput!$B:$E,4,0)=0,OR(H2926=MappingTables!$C$34,H2926=MappingTables!$C$35)),1,VLOOKUP(CONCATENATE($D2926,$G2926),CSRFinput!$B:$E,4,0))),0,IF(AND(VLOOKUP(CONCATENATE($D2926,$G2926),CSRFinput!$B:$E,4,0)=0,OR(H2926=MappingTables!$C$34,H2926=MappingTables!$C$35)),1,VLOOKUP(CONCATENATE($D2926,$G2926),CSRFinput!$B:$E,4,0)))</f>
        <v>0.054776304963434752</v>
      </c>
      <c r="W2926" s="85">
        <f>IF(B2926="",0,+$T2926*$V2926)</f>
        <v>62.510655721747704</v>
      </c>
      <c r="X2926" s="85">
        <f>IF(B2926="",0,IF(OR(H2926=MappingTables!$C$34,H2926=MappingTables!$C$35),W2926,0))</f>
        <v>0</v>
      </c>
    </row>
    <row r="2927" spans="2:24" s="0" customFormat="0" ht="15">
      <c r="B2927" s="69" t="s">
        <v>2608</v>
      </c>
      <c r="C2927" s="70" t="s">
        <v>2609</v>
      </c>
      <c r="D2927" s="70" t="s">
        <v>1</v>
      </c>
      <c r="E2927" s="70" t="s">
        <v>1</v>
      </c>
      <c r="F2927" s="70"/>
      <c r="G2927" s="70" t="s">
        <v>61</v>
      </c>
      <c r="H2927" s="70" t="s">
        <v>178</v>
      </c>
      <c r="I2927" s="70" t="s">
        <v>204</v>
      </c>
      <c r="J2927" s="71">
        <f>IF(OR(I2927=0,I2927=""),"unrated",VLOOKUP(I2927,MappingTables!$B$19:$C$31,2,FALSE))</f>
        <v>6</v>
      </c>
      <c r="K2927" s="72">
        <v>37531.925351325408</v>
      </c>
      <c r="L2927" s="70">
        <v>0.08766787034606912</v>
      </c>
      <c r="M2927" s="71">
        <f>IF(L2927&lt;1,1,L2927)</f>
        <v>1</v>
      </c>
      <c r="N2927" s="70" t="s">
        <v>141</v>
      </c>
      <c r="O2927" s="71">
        <f>INDEX(DurClassMapping,MATCH(M2927,MappingTables!$D$4:$D$8,-1),1)</f>
        <v>1</v>
      </c>
      <c r="P2927" s="73">
        <f>IF(M2927=$A$1,1,$M2927-INDEX(MappingTables!$E$4:$E$8,MATCH(O2927,MappingTables!$B$4:$B$8,0)))</f>
        <v>1</v>
      </c>
      <c r="Q2927" s="71">
        <f>IF(B2927="",0,INDEX(ModelParameters!$D$6:$K$10,MATCH($O2927,ModelParameters!$B$6:$B$10,0),MATCH($J2927,ModelParameters!$D$5:$K$5,0)))</f>
        <v>0.075</v>
      </c>
      <c r="R2927" s="71">
        <f>IF(B2927="",0,INDEX(ModelParameters!$D$13:$K$17,MATCH($O2927,ModelParameters!$B$13:$B$17,0),MATCH($J2927,ModelParameters!$D$5:$K$5,0)))</f>
        <v>0</v>
      </c>
      <c r="S2927" s="160">
        <f>IF(B2927="",0,MIN(IF($N2927="Other Bond TM",ModelParameters!$N$21,1)*(P2927*Q2927+R2927),1))</f>
        <v>0.075</v>
      </c>
      <c r="T2927" s="85">
        <f>IF(B2927="",0,$S2927*$K2927)</f>
        <v>2814.8944013494056</v>
      </c>
      <c r="U2927" s="85">
        <f>IF(B2927="",0,IF(OR(H2927=MappingTables!$C$34,H2927=MappingTables!$C$35),T2927,0))</f>
        <v>0</v>
      </c>
      <c r="V2927" s="85">
        <f>IF(ISNA(IF(AND(VLOOKUP(CONCATENATE($D2927,$G2927),CSRFinput!$B:$E,4,0)=0,OR(H2927=MappingTables!$C$34,H2927=MappingTables!$C$35)),1,VLOOKUP(CONCATENATE($D2927,$G2927),CSRFinput!$B:$E,4,0))),0,IF(AND(VLOOKUP(CONCATENATE($D2927,$G2927),CSRFinput!$B:$E,4,0)=0,OR(H2927=MappingTables!$C$34,H2927=MappingTables!$C$35)),1,VLOOKUP(CONCATENATE($D2927,$G2927),CSRFinput!$B:$E,4,0)))</f>
        <v>0.054776304963434752</v>
      </c>
      <c r="W2927" s="85">
        <f>IF(B2927="",0,+$T2927*$V2927)</f>
        <v>154.18951416818016</v>
      </c>
      <c r="X2927" s="85">
        <f>IF(B2927="",0,IF(OR(H2927=MappingTables!$C$34,H2927=MappingTables!$C$35),W2927,0))</f>
        <v>0</v>
      </c>
    </row>
    <row r="2928" spans="2:24" s="0" customFormat="0" ht="15">
      <c r="B2928" s="69" t="s">
        <v>1569</v>
      </c>
      <c r="C2928" s="70" t="s">
        <v>1570</v>
      </c>
      <c r="D2928" s="70" t="s">
        <v>1</v>
      </c>
      <c r="E2928" s="70" t="s">
        <v>1</v>
      </c>
      <c r="F2928" s="70"/>
      <c r="G2928" s="70" t="s">
        <v>61</v>
      </c>
      <c r="H2928" s="70" t="s">
        <v>178</v>
      </c>
      <c r="I2928" s="70" t="s">
        <v>179</v>
      </c>
      <c r="J2928" s="71">
        <f>IF(OR(I2928=0,I2928=""),"unrated",VLOOKUP(I2928,MappingTables!$B$19:$C$31,2,FALSE))</f>
        <v>4</v>
      </c>
      <c r="K2928" s="72">
        <v>92.312010738571536</v>
      </c>
      <c r="L2928" s="70">
        <v>2.6785875914170544</v>
      </c>
      <c r="M2928" s="71">
        <f>IF(L2928&lt;1,1,L2928)</f>
        <v>2.6785875914170544</v>
      </c>
      <c r="N2928" s="70" t="s">
        <v>141</v>
      </c>
      <c r="O2928" s="71">
        <f>INDEX(DurClassMapping,MATCH(M2928,MappingTables!$D$4:$D$8,-1),1)</f>
        <v>1</v>
      </c>
      <c r="P2928" s="73">
        <f>IF(M2928=$A$1,1,$M2928-INDEX(MappingTables!$E$4:$E$8,MATCH(O2928,MappingTables!$B$4:$B$8,0)))</f>
        <v>2.6785875914170544</v>
      </c>
      <c r="Q2928" s="71">
        <f>IF(B2928="",0,INDEX(ModelParameters!$D$6:$K$10,MATCH($O2928,ModelParameters!$B$6:$B$10,0),MATCH($J2928,ModelParameters!$D$5:$K$5,0)))</f>
        <v>0.045</v>
      </c>
      <c r="R2928" s="71">
        <f>IF(B2928="",0,INDEX(ModelParameters!$D$13:$K$17,MATCH($O2928,ModelParameters!$B$13:$B$17,0),MATCH($J2928,ModelParameters!$D$5:$K$5,0)))</f>
        <v>0</v>
      </c>
      <c r="S2928" s="160">
        <f>IF(B2928="",0,MIN(IF($N2928="Other Bond TM",ModelParameters!$N$21,1)*(P2928*Q2928+R2928),1))</f>
        <v>0.12053644161376744</v>
      </c>
      <c r="T2928" s="85">
        <f>IF(B2928="",0,$S2928*$K2928)</f>
        <v>11.1269612926393</v>
      </c>
      <c r="U2928" s="85">
        <f>IF(B2928="",0,IF(OR(H2928=MappingTables!$C$34,H2928=MappingTables!$C$35),T2928,0))</f>
        <v>0</v>
      </c>
      <c r="V2928" s="85">
        <f>IF(ISNA(IF(AND(VLOOKUP(CONCATENATE($D2928,$G2928),CSRFinput!$B:$E,4,0)=0,OR(H2928=MappingTables!$C$34,H2928=MappingTables!$C$35)),1,VLOOKUP(CONCATENATE($D2928,$G2928),CSRFinput!$B:$E,4,0))),0,IF(AND(VLOOKUP(CONCATENATE($D2928,$G2928),CSRFinput!$B:$E,4,0)=0,OR(H2928=MappingTables!$C$34,H2928=MappingTables!$C$35)),1,VLOOKUP(CONCATENATE($D2928,$G2928),CSRFinput!$B:$E,4,0)))</f>
        <v>0.054776304963434752</v>
      </c>
      <c r="W2928" s="85">
        <f>IF(B2928="",0,+$T2928*$V2928)</f>
        <v>0.6094938250819444</v>
      </c>
      <c r="X2928" s="85">
        <f>IF(B2928="",0,IF(OR(H2928=MappingTables!$C$34,H2928=MappingTables!$C$35),W2928,0))</f>
        <v>0</v>
      </c>
    </row>
    <row r="2929" spans="2:24" s="0" customFormat="0" ht="15">
      <c r="B2929" s="69">
        <v>22466874</v>
      </c>
      <c r="C2929" s="70" t="s">
        <v>1191</v>
      </c>
      <c r="D2929" s="70" t="s">
        <v>1</v>
      </c>
      <c r="E2929" s="70" t="s">
        <v>1</v>
      </c>
      <c r="F2929" s="70"/>
      <c r="G2929" s="70" t="s">
        <v>61</v>
      </c>
      <c r="H2929" s="70" t="s">
        <v>178</v>
      </c>
      <c r="I2929" s="70" t="s">
        <v>179</v>
      </c>
      <c r="J2929" s="71">
        <f>IF(OR(I2929=0,I2929=""),"unrated",VLOOKUP(I2929,MappingTables!$B$19:$C$31,2,FALSE))</f>
        <v>4</v>
      </c>
      <c r="K2929" s="72">
        <v>35434.520505746884</v>
      </c>
      <c r="L2929" s="70">
        <v>3.5871499909421608</v>
      </c>
      <c r="M2929" s="71">
        <f>IF(L2929&lt;1,1,L2929)</f>
        <v>3.5871499909421608</v>
      </c>
      <c r="N2929" s="70" t="s">
        <v>141</v>
      </c>
      <c r="O2929" s="71">
        <f>INDEX(DurClassMapping,MATCH(M2929,MappingTables!$D$4:$D$8,-1),1)</f>
        <v>1</v>
      </c>
      <c r="P2929" s="73">
        <f>IF(M2929=$A$1,1,$M2929-INDEX(MappingTables!$E$4:$E$8,MATCH(O2929,MappingTables!$B$4:$B$8,0)))</f>
        <v>3.5871499909421608</v>
      </c>
      <c r="Q2929" s="71">
        <f>IF(B2929="",0,INDEX(ModelParameters!$D$6:$K$10,MATCH($O2929,ModelParameters!$B$6:$B$10,0),MATCH($J2929,ModelParameters!$D$5:$K$5,0)))</f>
        <v>0.045</v>
      </c>
      <c r="R2929" s="71">
        <f>IF(B2929="",0,INDEX(ModelParameters!$D$13:$K$17,MATCH($O2929,ModelParameters!$B$13:$B$17,0),MATCH($J2929,ModelParameters!$D$5:$K$5,0)))</f>
        <v>0</v>
      </c>
      <c r="S2929" s="160">
        <f>IF(B2929="",0,MIN(IF($N2929="Other Bond TM",ModelParameters!$N$21,1)*(P2929*Q2929+R2929),1))</f>
        <v>0.16142174959239724</v>
      </c>
      <c r="T2929" s="85">
        <f>IF(B2929="",0,$S2929*$K2929)</f>
        <v>5719.9022960053392</v>
      </c>
      <c r="U2929" s="85">
        <f>IF(B2929="",0,IF(OR(H2929=MappingTables!$C$34,H2929=MappingTables!$C$35),T2929,0))</f>
        <v>0</v>
      </c>
      <c r="V2929" s="85">
        <f>IF(ISNA(IF(AND(VLOOKUP(CONCATENATE($D2929,$G2929),CSRFinput!$B:$E,4,0)=0,OR(H2929=MappingTables!$C$34,H2929=MappingTables!$C$35)),1,VLOOKUP(CONCATENATE($D2929,$G2929),CSRFinput!$B:$E,4,0))),0,IF(AND(VLOOKUP(CONCATENATE($D2929,$G2929),CSRFinput!$B:$E,4,0)=0,OR(H2929=MappingTables!$C$34,H2929=MappingTables!$C$35)),1,VLOOKUP(CONCATENATE($D2929,$G2929),CSRFinput!$B:$E,4,0)))</f>
        <v>0.054776304963434752</v>
      </c>
      <c r="W2929" s="85">
        <f>IF(B2929="",0,+$T2929*$V2929)</f>
        <v>313.31511252703912</v>
      </c>
      <c r="X2929" s="85">
        <f>IF(B2929="",0,IF(OR(H2929=MappingTables!$C$34,H2929=MappingTables!$C$35),W2929,0))</f>
        <v>0</v>
      </c>
    </row>
    <row r="2930" spans="2:24" s="0" customFormat="0" ht="15">
      <c r="B2930" s="69">
        <v>21704763</v>
      </c>
      <c r="C2930" s="70" t="s">
        <v>2659</v>
      </c>
      <c r="D2930" s="70" t="s">
        <v>1</v>
      </c>
      <c r="E2930" s="70" t="s">
        <v>1</v>
      </c>
      <c r="F2930" s="70"/>
      <c r="G2930" s="70" t="s">
        <v>61</v>
      </c>
      <c r="H2930" s="70" t="s">
        <v>178</v>
      </c>
      <c r="I2930" s="70" t="s">
        <v>188</v>
      </c>
      <c r="J2930" s="71">
        <f>IF(OR(I2930=0,I2930=""),"unrated",VLOOKUP(I2930,MappingTables!$B$19:$C$31,2,FALSE))</f>
        <v>2</v>
      </c>
      <c r="K2930" s="72">
        <v>28.455287849123364</v>
      </c>
      <c r="L2930" s="70">
        <v>0.94747209310464992</v>
      </c>
      <c r="M2930" s="71">
        <f>IF(L2930&lt;1,1,L2930)</f>
        <v>1</v>
      </c>
      <c r="N2930" s="70" t="s">
        <v>141</v>
      </c>
      <c r="O2930" s="71">
        <f>INDEX(DurClassMapping,MATCH(M2930,MappingTables!$D$4:$D$8,-1),1)</f>
        <v>1</v>
      </c>
      <c r="P2930" s="73">
        <f>IF(M2930=$A$1,1,$M2930-INDEX(MappingTables!$E$4:$E$8,MATCH(O2930,MappingTables!$B$4:$B$8,0)))</f>
        <v>1</v>
      </c>
      <c r="Q2930" s="71">
        <f>IF(B2930="",0,INDEX(ModelParameters!$D$6:$K$10,MATCH($O2930,ModelParameters!$B$6:$B$10,0),MATCH($J2930,ModelParameters!$D$5:$K$5,0)))</f>
        <v>0.013999999999999998</v>
      </c>
      <c r="R2930" s="71">
        <f>IF(B2930="",0,INDEX(ModelParameters!$D$13:$K$17,MATCH($O2930,ModelParameters!$B$13:$B$17,0),MATCH($J2930,ModelParameters!$D$5:$K$5,0)))</f>
        <v>0</v>
      </c>
      <c r="S2930" s="160">
        <f>IF(B2930="",0,MIN(IF($N2930="Other Bond TM",ModelParameters!$N$21,1)*(P2930*Q2930+R2930),1))</f>
        <v>0.013999999999999998</v>
      </c>
      <c r="T2930" s="85">
        <f>IF(B2930="",0,$S2930*$K2930)</f>
        <v>0.39837402988772704</v>
      </c>
      <c r="U2930" s="85">
        <f>IF(B2930="",0,IF(OR(H2930=MappingTables!$C$34,H2930=MappingTables!$C$35),T2930,0))</f>
        <v>0</v>
      </c>
      <c r="V2930" s="85">
        <f>IF(ISNA(IF(AND(VLOOKUP(CONCATENATE($D2930,$G2930),CSRFinput!$B:$E,4,0)=0,OR(H2930=MappingTables!$C$34,H2930=MappingTables!$C$35)),1,VLOOKUP(CONCATENATE($D2930,$G2930),CSRFinput!$B:$E,4,0))),0,IF(AND(VLOOKUP(CONCATENATE($D2930,$G2930),CSRFinput!$B:$E,4,0)=0,OR(H2930=MappingTables!$C$34,H2930=MappingTables!$C$35)),1,VLOOKUP(CONCATENATE($D2930,$G2930),CSRFinput!$B:$E,4,0)))</f>
        <v>0.054776304963434752</v>
      </c>
      <c r="W2930" s="85">
        <f>IF(B2930="",0,+$T2930*$V2930)</f>
        <v>0.021821457350642608</v>
      </c>
      <c r="X2930" s="85">
        <f>IF(B2930="",0,IF(OR(H2930=MappingTables!$C$34,H2930=MappingTables!$C$35),W2930,0))</f>
        <v>0</v>
      </c>
    </row>
    <row r="2931" spans="2:24" s="0" customFormat="0" ht="15">
      <c r="B2931" s="69">
        <v>19863533</v>
      </c>
      <c r="C2931" s="70" t="s">
        <v>2422</v>
      </c>
      <c r="D2931" s="70" t="s">
        <v>1</v>
      </c>
      <c r="E2931" s="70" t="s">
        <v>1</v>
      </c>
      <c r="F2931" s="70"/>
      <c r="G2931" s="70" t="s">
        <v>61</v>
      </c>
      <c r="H2931" s="70" t="s">
        <v>178</v>
      </c>
      <c r="I2931" s="70" t="s">
        <v>188</v>
      </c>
      <c r="J2931" s="71">
        <f>IF(OR(I2931=0,I2931=""),"unrated",VLOOKUP(I2931,MappingTables!$B$19:$C$31,2,FALSE))</f>
        <v>2</v>
      </c>
      <c r="K2931" s="72">
        <v>88.526922418478032</v>
      </c>
      <c r="L2931" s="70">
        <v>0.30637777331245252</v>
      </c>
      <c r="M2931" s="71">
        <f>IF(L2931&lt;1,1,L2931)</f>
        <v>1</v>
      </c>
      <c r="N2931" s="70" t="s">
        <v>141</v>
      </c>
      <c r="O2931" s="71">
        <f>INDEX(DurClassMapping,MATCH(M2931,MappingTables!$D$4:$D$8,-1),1)</f>
        <v>1</v>
      </c>
      <c r="P2931" s="73">
        <f>IF(M2931=$A$1,1,$M2931-INDEX(MappingTables!$E$4:$E$8,MATCH(O2931,MappingTables!$B$4:$B$8,0)))</f>
        <v>1</v>
      </c>
      <c r="Q2931" s="71">
        <f>IF(B2931="",0,INDEX(ModelParameters!$D$6:$K$10,MATCH($O2931,ModelParameters!$B$6:$B$10,0),MATCH($J2931,ModelParameters!$D$5:$K$5,0)))</f>
        <v>0.013999999999999998</v>
      </c>
      <c r="R2931" s="71">
        <f>IF(B2931="",0,INDEX(ModelParameters!$D$13:$K$17,MATCH($O2931,ModelParameters!$B$13:$B$17,0),MATCH($J2931,ModelParameters!$D$5:$K$5,0)))</f>
        <v>0</v>
      </c>
      <c r="S2931" s="160">
        <f>IF(B2931="",0,MIN(IF($N2931="Other Bond TM",ModelParameters!$N$21,1)*(P2931*Q2931+R2931),1))</f>
        <v>0.013999999999999998</v>
      </c>
      <c r="T2931" s="85">
        <f>IF(B2931="",0,$S2931*$K2931)</f>
        <v>1.2393769138586924</v>
      </c>
      <c r="U2931" s="85">
        <f>IF(B2931="",0,IF(OR(H2931=MappingTables!$C$34,H2931=MappingTables!$C$35),T2931,0))</f>
        <v>0</v>
      </c>
      <c r="V2931" s="85">
        <f>IF(ISNA(IF(AND(VLOOKUP(CONCATENATE($D2931,$G2931),CSRFinput!$B:$E,4,0)=0,OR(H2931=MappingTables!$C$34,H2931=MappingTables!$C$35)),1,VLOOKUP(CONCATENATE($D2931,$G2931),CSRFinput!$B:$E,4,0))),0,IF(AND(VLOOKUP(CONCATENATE($D2931,$G2931),CSRFinput!$B:$E,4,0)=0,OR(H2931=MappingTables!$C$34,H2931=MappingTables!$C$35)),1,VLOOKUP(CONCATENATE($D2931,$G2931),CSRFinput!$B:$E,4,0)))</f>
        <v>0.054776304963434752</v>
      </c>
      <c r="W2931" s="85">
        <f>IF(B2931="",0,+$T2931*$V2931)</f>
        <v>0.067888487798164336</v>
      </c>
      <c r="X2931" s="85">
        <f>IF(B2931="",0,IF(OR(H2931=MappingTables!$C$34,H2931=MappingTables!$C$35),W2931,0))</f>
        <v>0</v>
      </c>
    </row>
    <row r="2932" spans="2:24" s="0" customFormat="0" ht="15">
      <c r="B2932" s="69">
        <v>19863554</v>
      </c>
      <c r="C2932" s="70" t="s">
        <v>2660</v>
      </c>
      <c r="D2932" s="70" t="s">
        <v>1</v>
      </c>
      <c r="E2932" s="70" t="s">
        <v>1</v>
      </c>
      <c r="F2932" s="70"/>
      <c r="G2932" s="70" t="s">
        <v>61</v>
      </c>
      <c r="H2932" s="70" t="s">
        <v>178</v>
      </c>
      <c r="I2932" s="70" t="s">
        <v>216</v>
      </c>
      <c r="J2932" s="71">
        <f>IF(OR(I2932=0,I2932=""),"unrated",VLOOKUP(I2932,MappingTables!$B$19:$C$31,2,FALSE))</f>
        <v>0</v>
      </c>
      <c r="K2932" s="72">
        <v>1394.1166640867916</v>
      </c>
      <c r="L2932" s="70">
        <v>0.20821909137497708</v>
      </c>
      <c r="M2932" s="71">
        <f>IF(L2932&lt;1,1,L2932)</f>
        <v>1</v>
      </c>
      <c r="N2932" s="70" t="s">
        <v>141</v>
      </c>
      <c r="O2932" s="71">
        <f>INDEX(DurClassMapping,MATCH(M2932,MappingTables!$D$4:$D$8,-1),1)</f>
        <v>1</v>
      </c>
      <c r="P2932" s="73">
        <f>IF(M2932=$A$1,1,$M2932-INDEX(MappingTables!$E$4:$E$8,MATCH(O2932,MappingTables!$B$4:$B$8,0)))</f>
        <v>1</v>
      </c>
      <c r="Q2932" s="71">
        <f>IF(B2932="",0,INDEX(ModelParameters!$D$6:$K$10,MATCH($O2932,ModelParameters!$B$6:$B$10,0),MATCH($J2932,ModelParameters!$D$5:$K$5,0)))</f>
        <v>0.0090000000000000016</v>
      </c>
      <c r="R2932" s="71">
        <f>IF(B2932="",0,INDEX(ModelParameters!$D$13:$K$17,MATCH($O2932,ModelParameters!$B$13:$B$17,0),MATCH($J2932,ModelParameters!$D$5:$K$5,0)))</f>
        <v>0</v>
      </c>
      <c r="S2932" s="160">
        <f>IF(B2932="",0,MIN(IF($N2932="Other Bond TM",ModelParameters!$N$21,1)*(P2932*Q2932+R2932),1))</f>
        <v>0.0090000000000000016</v>
      </c>
      <c r="T2932" s="85">
        <f>IF(B2932="",0,$S2932*$K2932)</f>
        <v>12.547049976781126</v>
      </c>
      <c r="U2932" s="85">
        <f>IF(B2932="",0,IF(OR(H2932=MappingTables!$C$34,H2932=MappingTables!$C$35),T2932,0))</f>
        <v>0</v>
      </c>
      <c r="V2932" s="85">
        <f>IF(ISNA(IF(AND(VLOOKUP(CONCATENATE($D2932,$G2932),CSRFinput!$B:$E,4,0)=0,OR(H2932=MappingTables!$C$34,H2932=MappingTables!$C$35)),1,VLOOKUP(CONCATENATE($D2932,$G2932),CSRFinput!$B:$E,4,0))),0,IF(AND(VLOOKUP(CONCATENATE($D2932,$G2932),CSRFinput!$B:$E,4,0)=0,OR(H2932=MappingTables!$C$34,H2932=MappingTables!$C$35)),1,VLOOKUP(CONCATENATE($D2932,$G2932),CSRFinput!$B:$E,4,0)))</f>
        <v>0.054776304963434752</v>
      </c>
      <c r="W2932" s="85">
        <f>IF(B2932="",0,+$T2932*$V2932)</f>
        <v>0.68728103591962</v>
      </c>
      <c r="X2932" s="85">
        <f>IF(B2932="",0,IF(OR(H2932=MappingTables!$C$34,H2932=MappingTables!$C$35),W2932,0))</f>
        <v>0</v>
      </c>
    </row>
    <row r="2933" spans="2:24" s="0" customFormat="0" ht="15">
      <c r="B2933" s="69">
        <v>19602155</v>
      </c>
      <c r="C2933" s="70" t="s">
        <v>563</v>
      </c>
      <c r="D2933" s="70" t="s">
        <v>1</v>
      </c>
      <c r="E2933" s="70" t="s">
        <v>1</v>
      </c>
      <c r="F2933" s="70"/>
      <c r="G2933" s="70" t="s">
        <v>61</v>
      </c>
      <c r="H2933" s="70" t="s">
        <v>178</v>
      </c>
      <c r="I2933" s="70" t="s">
        <v>179</v>
      </c>
      <c r="J2933" s="71">
        <f>IF(OR(I2933=0,I2933=""),"unrated",VLOOKUP(I2933,MappingTables!$B$19:$C$31,2,FALSE))</f>
        <v>4</v>
      </c>
      <c r="K2933" s="72">
        <v>731.95372595403664</v>
      </c>
      <c r="L2933" s="70">
        <v>6.2837076335710952</v>
      </c>
      <c r="M2933" s="71">
        <f>IF(L2933&lt;1,1,L2933)</f>
        <v>6.2837076335710952</v>
      </c>
      <c r="N2933" s="70" t="s">
        <v>141</v>
      </c>
      <c r="O2933" s="71">
        <f>INDEX(DurClassMapping,MATCH(M2933,MappingTables!$D$4:$D$8,-1),1)</f>
        <v>2</v>
      </c>
      <c r="P2933" s="73">
        <f>IF(M2933=$A$1,1,$M2933-INDEX(MappingTables!$E$4:$E$8,MATCH(O2933,MappingTables!$B$4:$B$8,0)))</f>
        <v>1.2837076335710948</v>
      </c>
      <c r="Q2933" s="71">
        <f>IF(B2933="",0,INDEX(ModelParameters!$D$6:$K$10,MATCH($O2933,ModelParameters!$B$6:$B$10,0),MATCH($J2933,ModelParameters!$D$5:$K$5,0)))</f>
        <v>0.025</v>
      </c>
      <c r="R2933" s="71">
        <f>IF(B2933="",0,INDEX(ModelParameters!$D$13:$K$17,MATCH($O2933,ModelParameters!$B$13:$B$17,0),MATCH($J2933,ModelParameters!$D$5:$K$5,0)))</f>
        <v>0.225</v>
      </c>
      <c r="S2933" s="160">
        <f>IF(B2933="",0,MIN(IF($N2933="Other Bond TM",ModelParameters!$N$21,1)*(P2933*Q2933+R2933),1))</f>
        <v>0.2570926908392774</v>
      </c>
      <c r="T2933" s="85">
        <f>IF(B2933="",0,$S2933*$K2933)</f>
        <v>188.17995297535832</v>
      </c>
      <c r="U2933" s="85">
        <f>IF(B2933="",0,IF(OR(H2933=MappingTables!$C$34,H2933=MappingTables!$C$35),T2933,0))</f>
        <v>0</v>
      </c>
      <c r="V2933" s="85">
        <f>IF(ISNA(IF(AND(VLOOKUP(CONCATENATE($D2933,$G2933),CSRFinput!$B:$E,4,0)=0,OR(H2933=MappingTables!$C$34,H2933=MappingTables!$C$35)),1,VLOOKUP(CONCATENATE($D2933,$G2933),CSRFinput!$B:$E,4,0))),0,IF(AND(VLOOKUP(CONCATENATE($D2933,$G2933),CSRFinput!$B:$E,4,0)=0,OR(H2933=MappingTables!$C$34,H2933=MappingTables!$C$35)),1,VLOOKUP(CONCATENATE($D2933,$G2933),CSRFinput!$B:$E,4,0)))</f>
        <v>0.054776304963434752</v>
      </c>
      <c r="W2933" s="85">
        <f>IF(B2933="",0,+$T2933*$V2933)</f>
        <v>10.307802492183038</v>
      </c>
      <c r="X2933" s="85">
        <f>IF(B2933="",0,IF(OR(H2933=MappingTables!$C$34,H2933=MappingTables!$C$35),W2933,0))</f>
        <v>0</v>
      </c>
    </row>
    <row r="2934" spans="2:24" s="0" customFormat="0" ht="15">
      <c r="B2934" s="69">
        <v>22913218</v>
      </c>
      <c r="C2934" s="70" t="s">
        <v>685</v>
      </c>
      <c r="D2934" s="70" t="s">
        <v>1</v>
      </c>
      <c r="E2934" s="70" t="s">
        <v>1</v>
      </c>
      <c r="F2934" s="70"/>
      <c r="G2934" s="70" t="s">
        <v>61</v>
      </c>
      <c r="H2934" s="70" t="s">
        <v>178</v>
      </c>
      <c r="I2934" s="70" t="s">
        <v>179</v>
      </c>
      <c r="J2934" s="71">
        <f>IF(OR(I2934=0,I2934=""),"unrated",VLOOKUP(I2934,MappingTables!$B$19:$C$31,2,FALSE))</f>
        <v>4</v>
      </c>
      <c r="K2934" s="72">
        <v>8813.7013201170416</v>
      </c>
      <c r="L2934" s="70">
        <v>2.2193878668686892</v>
      </c>
      <c r="M2934" s="71">
        <f>IF(L2934&lt;1,1,L2934)</f>
        <v>2.2193878668686892</v>
      </c>
      <c r="N2934" s="70" t="s">
        <v>141</v>
      </c>
      <c r="O2934" s="71">
        <f>INDEX(DurClassMapping,MATCH(M2934,MappingTables!$D$4:$D$8,-1),1)</f>
        <v>1</v>
      </c>
      <c r="P2934" s="73">
        <f>IF(M2934=$A$1,1,$M2934-INDEX(MappingTables!$E$4:$E$8,MATCH(O2934,MappingTables!$B$4:$B$8,0)))</f>
        <v>2.2193878668686892</v>
      </c>
      <c r="Q2934" s="71">
        <f>IF(B2934="",0,INDEX(ModelParameters!$D$6:$K$10,MATCH($O2934,ModelParameters!$B$6:$B$10,0),MATCH($J2934,ModelParameters!$D$5:$K$5,0)))</f>
        <v>0.045</v>
      </c>
      <c r="R2934" s="71">
        <f>IF(B2934="",0,INDEX(ModelParameters!$D$13:$K$17,MATCH($O2934,ModelParameters!$B$13:$B$17,0),MATCH($J2934,ModelParameters!$D$5:$K$5,0)))</f>
        <v>0</v>
      </c>
      <c r="S2934" s="160">
        <f>IF(B2934="",0,MIN(IF($N2934="Other Bond TM",ModelParameters!$N$21,1)*(P2934*Q2934+R2934),1))</f>
        <v>0.099872454009091008</v>
      </c>
      <c r="T2934" s="85">
        <f>IF(B2934="",0,$S2934*$K2934)</f>
        <v>880.24597974325392</v>
      </c>
      <c r="U2934" s="85">
        <f>IF(B2934="",0,IF(OR(H2934=MappingTables!$C$34,H2934=MappingTables!$C$35),T2934,0))</f>
        <v>0</v>
      </c>
      <c r="V2934" s="85">
        <f>IF(ISNA(IF(AND(VLOOKUP(CONCATENATE($D2934,$G2934),CSRFinput!$B:$E,4,0)=0,OR(H2934=MappingTables!$C$34,H2934=MappingTables!$C$35)),1,VLOOKUP(CONCATENATE($D2934,$G2934),CSRFinput!$B:$E,4,0))),0,IF(AND(VLOOKUP(CONCATENATE($D2934,$G2934),CSRFinput!$B:$E,4,0)=0,OR(H2934=MappingTables!$C$34,H2934=MappingTables!$C$35)),1,VLOOKUP(CONCATENATE($D2934,$G2934),CSRFinput!$B:$E,4,0)))</f>
        <v>0.054776304963434752</v>
      </c>
      <c r="W2934" s="85">
        <f>IF(B2934="",0,+$T2934*$V2934)</f>
        <v>48.216622229253888</v>
      </c>
      <c r="X2934" s="85">
        <f>IF(B2934="",0,IF(OR(H2934=MappingTables!$C$34,H2934=MappingTables!$C$35),W2934,0))</f>
        <v>0</v>
      </c>
    </row>
    <row r="2935" spans="2:24" s="0" customFormat="0" ht="15">
      <c r="B2935" s="69">
        <v>4300429</v>
      </c>
      <c r="C2935" s="70" t="s">
        <v>1967</v>
      </c>
      <c r="D2935" s="70" t="s">
        <v>1</v>
      </c>
      <c r="E2935" s="70" t="s">
        <v>1</v>
      </c>
      <c r="F2935" s="70"/>
      <c r="G2935" s="70" t="s">
        <v>61</v>
      </c>
      <c r="H2935" s="70" t="s">
        <v>178</v>
      </c>
      <c r="I2935" s="70" t="s">
        <v>181</v>
      </c>
      <c r="J2935" s="71">
        <f>IF(OR(I2935=0,I2935=""),"unrated",VLOOKUP(I2935,MappingTables!$B$19:$C$31,2,FALSE))</f>
        <v>3</v>
      </c>
      <c r="K2935" s="72">
        <v>204.29014414017816</v>
      </c>
      <c r="L2935" s="70">
        <v>1.0662760364724588</v>
      </c>
      <c r="M2935" s="71">
        <f>IF(L2935&lt;1,1,L2935)</f>
        <v>1.0662760364724588</v>
      </c>
      <c r="N2935" s="70" t="s">
        <v>141</v>
      </c>
      <c r="O2935" s="71">
        <f>INDEX(DurClassMapping,MATCH(M2935,MappingTables!$D$4:$D$8,-1),1)</f>
        <v>1</v>
      </c>
      <c r="P2935" s="73">
        <f>IF(M2935=$A$1,1,$M2935-INDEX(MappingTables!$E$4:$E$8,MATCH(O2935,MappingTables!$B$4:$B$8,0)))</f>
        <v>1.0662760364724588</v>
      </c>
      <c r="Q2935" s="71">
        <f>IF(B2935="",0,INDEX(ModelParameters!$D$6:$K$10,MATCH($O2935,ModelParameters!$B$6:$B$10,0),MATCH($J2935,ModelParameters!$D$5:$K$5,0)))</f>
        <v>0.025</v>
      </c>
      <c r="R2935" s="71">
        <f>IF(B2935="",0,INDEX(ModelParameters!$D$13:$K$17,MATCH($O2935,ModelParameters!$B$13:$B$17,0),MATCH($J2935,ModelParameters!$D$5:$K$5,0)))</f>
        <v>0</v>
      </c>
      <c r="S2935" s="160">
        <f>IF(B2935="",0,MIN(IF($N2935="Other Bond TM",ModelParameters!$N$21,1)*(P2935*Q2935+R2935),1))</f>
        <v>0.026656900911811472</v>
      </c>
      <c r="T2935" s="85">
        <f>IF(B2935="",0,$S2935*$K2935)</f>
        <v>5.445742129604412</v>
      </c>
      <c r="U2935" s="85">
        <f>IF(B2935="",0,IF(OR(H2935=MappingTables!$C$34,H2935=MappingTables!$C$35),T2935,0))</f>
        <v>0</v>
      </c>
      <c r="V2935" s="85">
        <f>IF(ISNA(IF(AND(VLOOKUP(CONCATENATE($D2935,$G2935),CSRFinput!$B:$E,4,0)=0,OR(H2935=MappingTables!$C$34,H2935=MappingTables!$C$35)),1,VLOOKUP(CONCATENATE($D2935,$G2935),CSRFinput!$B:$E,4,0))),0,IF(AND(VLOOKUP(CONCATENATE($D2935,$G2935),CSRFinput!$B:$E,4,0)=0,OR(H2935=MappingTables!$C$34,H2935=MappingTables!$C$35)),1,VLOOKUP(CONCATENATE($D2935,$G2935),CSRFinput!$B:$E,4,0)))</f>
        <v>0.054776304963434752</v>
      </c>
      <c r="W2935" s="85">
        <f>IF(B2935="",0,+$T2935*$V2935)</f>
        <v>0.29829763164343588</v>
      </c>
      <c r="X2935" s="85">
        <f>IF(B2935="",0,IF(OR(H2935=MappingTables!$C$34,H2935=MappingTables!$C$35),W2935,0))</f>
        <v>0</v>
      </c>
    </row>
    <row r="2936" spans="2:24" s="0" customFormat="0" ht="15">
      <c r="B2936" s="69">
        <v>17398317</v>
      </c>
      <c r="C2936" s="70" t="s">
        <v>2661</v>
      </c>
      <c r="D2936" s="70" t="s">
        <v>1</v>
      </c>
      <c r="E2936" s="70" t="s">
        <v>1</v>
      </c>
      <c r="F2936" s="70"/>
      <c r="G2936" s="70" t="s">
        <v>61</v>
      </c>
      <c r="H2936" s="70" t="s">
        <v>178</v>
      </c>
      <c r="I2936" s="70" t="s">
        <v>181</v>
      </c>
      <c r="J2936" s="71">
        <f>IF(OR(I2936=0,I2936=""),"unrated",VLOOKUP(I2936,MappingTables!$B$19:$C$31,2,FALSE))</f>
        <v>3</v>
      </c>
      <c r="K2936" s="72">
        <v>28.814171517410028</v>
      </c>
      <c r="L2936" s="70">
        <v>6.5448080588425552</v>
      </c>
      <c r="M2936" s="71">
        <f>IF(L2936&lt;1,1,L2936)</f>
        <v>6.5448080588425552</v>
      </c>
      <c r="N2936" s="70" t="s">
        <v>141</v>
      </c>
      <c r="O2936" s="71">
        <f>INDEX(DurClassMapping,MATCH(M2936,MappingTables!$D$4:$D$8,-1),1)</f>
        <v>2</v>
      </c>
      <c r="P2936" s="73">
        <f>IF(M2936=$A$1,1,$M2936-INDEX(MappingTables!$E$4:$E$8,MATCH(O2936,MappingTables!$B$4:$B$8,0)))</f>
        <v>1.5448080588425554</v>
      </c>
      <c r="Q2936" s="71">
        <f>IF(B2936="",0,INDEX(ModelParameters!$D$6:$K$10,MATCH($O2936,ModelParameters!$B$6:$B$10,0),MATCH($J2936,ModelParameters!$D$5:$K$5,0)))</f>
        <v>0.015</v>
      </c>
      <c r="R2936" s="71">
        <f>IF(B2936="",0,INDEX(ModelParameters!$D$13:$K$17,MATCH($O2936,ModelParameters!$B$13:$B$17,0),MATCH($J2936,ModelParameters!$D$5:$K$5,0)))</f>
        <v>0.125</v>
      </c>
      <c r="S2936" s="160">
        <f>IF(B2936="",0,MIN(IF($N2936="Other Bond TM",ModelParameters!$N$21,1)*(P2936*Q2936+R2936),1))</f>
        <v>0.14817212088263834</v>
      </c>
      <c r="T2936" s="85">
        <f>IF(B2936="",0,$S2936*$K2936)</f>
        <v>4.2694569052107536</v>
      </c>
      <c r="U2936" s="85">
        <f>IF(B2936="",0,IF(OR(H2936=MappingTables!$C$34,H2936=MappingTables!$C$35),T2936,0))</f>
        <v>0</v>
      </c>
      <c r="V2936" s="85">
        <f>IF(ISNA(IF(AND(VLOOKUP(CONCATENATE($D2936,$G2936),CSRFinput!$B:$E,4,0)=0,OR(H2936=MappingTables!$C$34,H2936=MappingTables!$C$35)),1,VLOOKUP(CONCATENATE($D2936,$G2936),CSRFinput!$B:$E,4,0))),0,IF(AND(VLOOKUP(CONCATENATE($D2936,$G2936),CSRFinput!$B:$E,4,0)=0,OR(H2936=MappingTables!$C$34,H2936=MappingTables!$C$35)),1,VLOOKUP(CONCATENATE($D2936,$G2936),CSRFinput!$B:$E,4,0)))</f>
        <v>0.054776304963434752</v>
      </c>
      <c r="W2936" s="85">
        <f>IF(B2936="",0,+$T2936*$V2936)</f>
        <v>0.23386507346806656</v>
      </c>
      <c r="X2936" s="85">
        <f>IF(B2936="",0,IF(OR(H2936=MappingTables!$C$34,H2936=MappingTables!$C$35),W2936,0))</f>
        <v>0</v>
      </c>
    </row>
    <row r="2937" spans="2:24" s="0" customFormat="0" ht="15">
      <c r="B2937" s="69">
        <v>13658089</v>
      </c>
      <c r="C2937" s="70" t="s">
        <v>2662</v>
      </c>
      <c r="D2937" s="70" t="s">
        <v>1</v>
      </c>
      <c r="E2937" s="70" t="s">
        <v>1</v>
      </c>
      <c r="F2937" s="70"/>
      <c r="G2937" s="70" t="s">
        <v>61</v>
      </c>
      <c r="H2937" s="70" t="s">
        <v>178</v>
      </c>
      <c r="I2937" s="70" t="s">
        <v>204</v>
      </c>
      <c r="J2937" s="71">
        <f>IF(OR(I2937=0,I2937=""),"unrated",VLOOKUP(I2937,MappingTables!$B$19:$C$31,2,FALSE))</f>
        <v>6</v>
      </c>
      <c r="K2937" s="72">
        <v>51.730281282745072</v>
      </c>
      <c r="L2937" s="70">
        <v>0.16986122921218962</v>
      </c>
      <c r="M2937" s="71">
        <f>IF(L2937&lt;1,1,L2937)</f>
        <v>1</v>
      </c>
      <c r="N2937" s="70" t="s">
        <v>141</v>
      </c>
      <c r="O2937" s="71">
        <f>INDEX(DurClassMapping,MATCH(M2937,MappingTables!$D$4:$D$8,-1),1)</f>
        <v>1</v>
      </c>
      <c r="P2937" s="73">
        <f>IF(M2937=$A$1,1,$M2937-INDEX(MappingTables!$E$4:$E$8,MATCH(O2937,MappingTables!$B$4:$B$8,0)))</f>
        <v>1</v>
      </c>
      <c r="Q2937" s="71">
        <f>IF(B2937="",0,INDEX(ModelParameters!$D$6:$K$10,MATCH($O2937,ModelParameters!$B$6:$B$10,0),MATCH($J2937,ModelParameters!$D$5:$K$5,0)))</f>
        <v>0.075</v>
      </c>
      <c r="R2937" s="71">
        <f>IF(B2937="",0,INDEX(ModelParameters!$D$13:$K$17,MATCH($O2937,ModelParameters!$B$13:$B$17,0),MATCH($J2937,ModelParameters!$D$5:$K$5,0)))</f>
        <v>0</v>
      </c>
      <c r="S2937" s="160">
        <f>IF(B2937="",0,MIN(IF($N2937="Other Bond TM",ModelParameters!$N$21,1)*(P2937*Q2937+R2937),1))</f>
        <v>0.075</v>
      </c>
      <c r="T2937" s="85">
        <f>IF(B2937="",0,$S2937*$K2937)</f>
        <v>3.8797710962058808</v>
      </c>
      <c r="U2937" s="85">
        <f>IF(B2937="",0,IF(OR(H2937=MappingTables!$C$34,H2937=MappingTables!$C$35),T2937,0))</f>
        <v>0</v>
      </c>
      <c r="V2937" s="85">
        <f>IF(ISNA(IF(AND(VLOOKUP(CONCATENATE($D2937,$G2937),CSRFinput!$B:$E,4,0)=0,OR(H2937=MappingTables!$C$34,H2937=MappingTables!$C$35)),1,VLOOKUP(CONCATENATE($D2937,$G2937),CSRFinput!$B:$E,4,0))),0,IF(AND(VLOOKUP(CONCATENATE($D2937,$G2937),CSRFinput!$B:$E,4,0)=0,OR(H2937=MappingTables!$C$34,H2937=MappingTables!$C$35)),1,VLOOKUP(CONCATENATE($D2937,$G2937),CSRFinput!$B:$E,4,0)))</f>
        <v>0.054776304963434752</v>
      </c>
      <c r="W2937" s="85">
        <f>IF(B2937="",0,+$T2937*$V2937)</f>
        <v>0.21251952475409284</v>
      </c>
      <c r="X2937" s="85">
        <f>IF(B2937="",0,IF(OR(H2937=MappingTables!$C$34,H2937=MappingTables!$C$35),W2937,0))</f>
        <v>0</v>
      </c>
    </row>
    <row r="2938" spans="2:24" s="0" customFormat="0" ht="15">
      <c r="B2938" s="69" t="s">
        <v>2663</v>
      </c>
      <c r="C2938" s="70" t="s">
        <v>2664</v>
      </c>
      <c r="D2938" s="70" t="s">
        <v>1</v>
      </c>
      <c r="E2938" s="70" t="s">
        <v>1</v>
      </c>
      <c r="F2938" s="70"/>
      <c r="G2938" s="70" t="s">
        <v>61</v>
      </c>
      <c r="H2938" s="70" t="s">
        <v>178</v>
      </c>
      <c r="I2938" s="70" t="s">
        <v>181</v>
      </c>
      <c r="J2938" s="71">
        <f>IF(OR(I2938=0,I2938=""),"unrated",VLOOKUP(I2938,MappingTables!$B$19:$C$31,2,FALSE))</f>
        <v>3</v>
      </c>
      <c r="K2938" s="72">
        <v>0.28516564215385436</v>
      </c>
      <c r="L2938" s="70">
        <v>0.9972778749947176</v>
      </c>
      <c r="M2938" s="71">
        <f>IF(L2938&lt;1,1,L2938)</f>
        <v>1</v>
      </c>
      <c r="N2938" s="70" t="s">
        <v>141</v>
      </c>
      <c r="O2938" s="71">
        <f>INDEX(DurClassMapping,MATCH(M2938,MappingTables!$D$4:$D$8,-1),1)</f>
        <v>1</v>
      </c>
      <c r="P2938" s="73">
        <f>IF(M2938=$A$1,1,$M2938-INDEX(MappingTables!$E$4:$E$8,MATCH(O2938,MappingTables!$B$4:$B$8,0)))</f>
        <v>1</v>
      </c>
      <c r="Q2938" s="71">
        <f>IF(B2938="",0,INDEX(ModelParameters!$D$6:$K$10,MATCH($O2938,ModelParameters!$B$6:$B$10,0),MATCH($J2938,ModelParameters!$D$5:$K$5,0)))</f>
        <v>0.025</v>
      </c>
      <c r="R2938" s="71">
        <f>IF(B2938="",0,INDEX(ModelParameters!$D$13:$K$17,MATCH($O2938,ModelParameters!$B$13:$B$17,0),MATCH($J2938,ModelParameters!$D$5:$K$5,0)))</f>
        <v>0</v>
      </c>
      <c r="S2938" s="160">
        <f>IF(B2938="",0,MIN(IF($N2938="Other Bond TM",ModelParameters!$N$21,1)*(P2938*Q2938+R2938),1))</f>
        <v>0.025</v>
      </c>
      <c r="T2938" s="85">
        <f>IF(B2938="",0,$S2938*$K2938)</f>
        <v>0.00712914105384636</v>
      </c>
      <c r="U2938" s="85">
        <f>IF(B2938="",0,IF(OR(H2938=MappingTables!$C$34,H2938=MappingTables!$C$35),T2938,0))</f>
        <v>0</v>
      </c>
      <c r="V2938" s="85">
        <f>IF(ISNA(IF(AND(VLOOKUP(CONCATENATE($D2938,$G2938),CSRFinput!$B:$E,4,0)=0,OR(H2938=MappingTables!$C$34,H2938=MappingTables!$C$35)),1,VLOOKUP(CONCATENATE($D2938,$G2938),CSRFinput!$B:$E,4,0))),0,IF(AND(VLOOKUP(CONCATENATE($D2938,$G2938),CSRFinput!$B:$E,4,0)=0,OR(H2938=MappingTables!$C$34,H2938=MappingTables!$C$35)),1,VLOOKUP(CONCATENATE($D2938,$G2938),CSRFinput!$B:$E,4,0)))</f>
        <v>0.054776304963434752</v>
      </c>
      <c r="W2938" s="85">
        <f>IF(B2938="",0,+$T2938*$V2938)</f>
        <v>0.0003905080044928308</v>
      </c>
      <c r="X2938" s="85">
        <f>IF(B2938="",0,IF(OR(H2938=MappingTables!$C$34,H2938=MappingTables!$C$35),W2938,0))</f>
        <v>0</v>
      </c>
    </row>
    <row r="2939" spans="2:24" s="0" customFormat="0" ht="15">
      <c r="B2939" s="69">
        <v>23654834</v>
      </c>
      <c r="C2939" s="70" t="s">
        <v>2665</v>
      </c>
      <c r="D2939" s="70" t="s">
        <v>1</v>
      </c>
      <c r="E2939" s="70" t="s">
        <v>1</v>
      </c>
      <c r="F2939" s="70"/>
      <c r="G2939" s="70" t="s">
        <v>61</v>
      </c>
      <c r="H2939" s="70" t="s">
        <v>178</v>
      </c>
      <c r="I2939" s="70" t="s">
        <v>188</v>
      </c>
      <c r="J2939" s="71">
        <f>IF(OR(I2939=0,I2939=""),"unrated",VLOOKUP(I2939,MappingTables!$B$19:$C$31,2,FALSE))</f>
        <v>2</v>
      </c>
      <c r="K2939" s="72">
        <v>2074.3276835256912</v>
      </c>
      <c r="L2939" s="70">
        <v>2.4863335117998416</v>
      </c>
      <c r="M2939" s="71">
        <f>IF(L2939&lt;1,1,L2939)</f>
        <v>2.4863335117998416</v>
      </c>
      <c r="N2939" s="70" t="s">
        <v>141</v>
      </c>
      <c r="O2939" s="71">
        <f>INDEX(DurClassMapping,MATCH(M2939,MappingTables!$D$4:$D$8,-1),1)</f>
        <v>1</v>
      </c>
      <c r="P2939" s="73">
        <f>IF(M2939=$A$1,1,$M2939-INDEX(MappingTables!$E$4:$E$8,MATCH(O2939,MappingTables!$B$4:$B$8,0)))</f>
        <v>2.4863335117998416</v>
      </c>
      <c r="Q2939" s="71">
        <f>IF(B2939="",0,INDEX(ModelParameters!$D$6:$K$10,MATCH($O2939,ModelParameters!$B$6:$B$10,0),MATCH($J2939,ModelParameters!$D$5:$K$5,0)))</f>
        <v>0.013999999999999998</v>
      </c>
      <c r="R2939" s="71">
        <f>IF(B2939="",0,INDEX(ModelParameters!$D$13:$K$17,MATCH($O2939,ModelParameters!$B$13:$B$17,0),MATCH($J2939,ModelParameters!$D$5:$K$5,0)))</f>
        <v>0</v>
      </c>
      <c r="S2939" s="160">
        <f>IF(B2939="",0,MIN(IF($N2939="Other Bond TM",ModelParameters!$N$21,1)*(P2939*Q2939+R2939),1))</f>
        <v>0.03480866916519778</v>
      </c>
      <c r="T2939" s="85">
        <f>IF(B2939="",0,$S2939*$K2939)</f>
        <v>72.204586076056848</v>
      </c>
      <c r="U2939" s="85">
        <f>IF(B2939="",0,IF(OR(H2939=MappingTables!$C$34,H2939=MappingTables!$C$35),T2939,0))</f>
        <v>0</v>
      </c>
      <c r="V2939" s="85">
        <f>IF(ISNA(IF(AND(VLOOKUP(CONCATENATE($D2939,$G2939),CSRFinput!$B:$E,4,0)=0,OR(H2939=MappingTables!$C$34,H2939=MappingTables!$C$35)),1,VLOOKUP(CONCATENATE($D2939,$G2939),CSRFinput!$B:$E,4,0))),0,IF(AND(VLOOKUP(CONCATENATE($D2939,$G2939),CSRFinput!$B:$E,4,0)=0,OR(H2939=MappingTables!$C$34,H2939=MappingTables!$C$35)),1,VLOOKUP(CONCATENATE($D2939,$G2939),CSRFinput!$B:$E,4,0)))</f>
        <v>0.054776304963434752</v>
      </c>
      <c r="W2939" s="85">
        <f>IF(B2939="",0,+$T2939*$V2939)</f>
        <v>3.9551004266606648</v>
      </c>
      <c r="X2939" s="85">
        <f>IF(B2939="",0,IF(OR(H2939=MappingTables!$C$34,H2939=MappingTables!$C$35),W2939,0))</f>
        <v>0</v>
      </c>
    </row>
    <row r="2940" spans="2:24" s="0" customFormat="0" ht="15">
      <c r="B2940" s="69">
        <v>19929932</v>
      </c>
      <c r="C2940" s="70" t="s">
        <v>271</v>
      </c>
      <c r="D2940" s="70" t="s">
        <v>1</v>
      </c>
      <c r="E2940" s="70" t="s">
        <v>1</v>
      </c>
      <c r="F2940" s="70"/>
      <c r="G2940" s="70" t="s">
        <v>61</v>
      </c>
      <c r="H2940" s="70" t="s">
        <v>178</v>
      </c>
      <c r="I2940" s="70" t="s">
        <v>188</v>
      </c>
      <c r="J2940" s="71">
        <f>IF(OR(I2940=0,I2940=""),"unrated",VLOOKUP(I2940,MappingTables!$B$19:$C$31,2,FALSE))</f>
        <v>2</v>
      </c>
      <c r="K2940" s="72">
        <v>2705.2549947327364</v>
      </c>
      <c r="L2940" s="70">
        <v>0.40245493537678776</v>
      </c>
      <c r="M2940" s="71">
        <f>IF(L2940&lt;1,1,L2940)</f>
        <v>1</v>
      </c>
      <c r="N2940" s="70" t="s">
        <v>141</v>
      </c>
      <c r="O2940" s="71">
        <f>INDEX(DurClassMapping,MATCH(M2940,MappingTables!$D$4:$D$8,-1),1)</f>
        <v>1</v>
      </c>
      <c r="P2940" s="73">
        <f>IF(M2940=$A$1,1,$M2940-INDEX(MappingTables!$E$4:$E$8,MATCH(O2940,MappingTables!$B$4:$B$8,0)))</f>
        <v>1</v>
      </c>
      <c r="Q2940" s="71">
        <f>IF(B2940="",0,INDEX(ModelParameters!$D$6:$K$10,MATCH($O2940,ModelParameters!$B$6:$B$10,0),MATCH($J2940,ModelParameters!$D$5:$K$5,0)))</f>
        <v>0.013999999999999998</v>
      </c>
      <c r="R2940" s="71">
        <f>IF(B2940="",0,INDEX(ModelParameters!$D$13:$K$17,MATCH($O2940,ModelParameters!$B$13:$B$17,0),MATCH($J2940,ModelParameters!$D$5:$K$5,0)))</f>
        <v>0</v>
      </c>
      <c r="S2940" s="160">
        <f>IF(B2940="",0,MIN(IF($N2940="Other Bond TM",ModelParameters!$N$21,1)*(P2940*Q2940+R2940),1))</f>
        <v>0.013999999999999998</v>
      </c>
      <c r="T2940" s="85">
        <f>IF(B2940="",0,$S2940*$K2940)</f>
        <v>37.873569926258304</v>
      </c>
      <c r="U2940" s="85">
        <f>IF(B2940="",0,IF(OR(H2940=MappingTables!$C$34,H2940=MappingTables!$C$35),T2940,0))</f>
        <v>0</v>
      </c>
      <c r="V2940" s="85">
        <f>IF(ISNA(IF(AND(VLOOKUP(CONCATENATE($D2940,$G2940),CSRFinput!$B:$E,4,0)=0,OR(H2940=MappingTables!$C$34,H2940=MappingTables!$C$35)),1,VLOOKUP(CONCATENATE($D2940,$G2940),CSRFinput!$B:$E,4,0))),0,IF(AND(VLOOKUP(CONCATENATE($D2940,$G2940),CSRFinput!$B:$E,4,0)=0,OR(H2940=MappingTables!$C$34,H2940=MappingTables!$C$35)),1,VLOOKUP(CONCATENATE($D2940,$G2940),CSRFinput!$B:$E,4,0)))</f>
        <v>0.054776304963434752</v>
      </c>
      <c r="W2940" s="85">
        <f>IF(B2940="",0,+$T2940*$V2940)</f>
        <v>2.074574216334696</v>
      </c>
      <c r="X2940" s="85">
        <f>IF(B2940="",0,IF(OR(H2940=MappingTables!$C$34,H2940=MappingTables!$C$35),W2940,0))</f>
        <v>0</v>
      </c>
    </row>
    <row r="2941" spans="2:24" s="0" customFormat="0" ht="15">
      <c r="B2941" s="69" t="s">
        <v>2666</v>
      </c>
      <c r="C2941" s="70" t="s">
        <v>2667</v>
      </c>
      <c r="D2941" s="70" t="s">
        <v>1</v>
      </c>
      <c r="E2941" s="70" t="s">
        <v>1</v>
      </c>
      <c r="F2941" s="70"/>
      <c r="G2941" s="70" t="s">
        <v>61</v>
      </c>
      <c r="H2941" s="70" t="s">
        <v>178</v>
      </c>
      <c r="I2941" s="70" t="s">
        <v>198</v>
      </c>
      <c r="J2941" s="71" t="str">
        <f>IF(OR(I2941=0,I2941=""),"unrated",VLOOKUP(I2941,MappingTables!$B$19:$C$31,2,FALSE))</f>
        <v>unrated</v>
      </c>
      <c r="K2941" s="72">
        <v>0.5601398291558364</v>
      </c>
      <c r="L2941" s="70">
        <v>0.2246579403482422</v>
      </c>
      <c r="M2941" s="71">
        <f>IF(L2941&lt;1,1,L2941)</f>
        <v>1</v>
      </c>
      <c r="N2941" s="70" t="s">
        <v>141</v>
      </c>
      <c r="O2941" s="71">
        <f>INDEX(DurClassMapping,MATCH(M2941,MappingTables!$D$4:$D$8,-1),1)</f>
        <v>1</v>
      </c>
      <c r="P2941" s="73">
        <f>IF(M2941=$A$1,1,$M2941-INDEX(MappingTables!$E$4:$E$8,MATCH(O2941,MappingTables!$B$4:$B$8,0)))</f>
        <v>1</v>
      </c>
      <c r="Q2941" s="71">
        <f>IF(B2941="",0,INDEX(ModelParameters!$D$6:$K$10,MATCH($O2941,ModelParameters!$B$6:$B$10,0),MATCH($J2941,ModelParameters!$D$5:$K$5,0)))</f>
        <v>0.03</v>
      </c>
      <c r="R2941" s="71">
        <f>IF(B2941="",0,INDEX(ModelParameters!$D$13:$K$17,MATCH($O2941,ModelParameters!$B$13:$B$17,0),MATCH($J2941,ModelParameters!$D$5:$K$5,0)))</f>
        <v>0</v>
      </c>
      <c r="S2941" s="160">
        <f>IF(B2941="",0,MIN(IF($N2941="Other Bond TM",ModelParameters!$N$21,1)*(P2941*Q2941+R2941),1))</f>
        <v>0.03</v>
      </c>
      <c r="T2941" s="85">
        <f>IF(B2941="",0,$S2941*$K2941)</f>
        <v>0.01680419487467509</v>
      </c>
      <c r="U2941" s="85">
        <f>IF(B2941="",0,IF(OR(H2941=MappingTables!$C$34,H2941=MappingTables!$C$35),T2941,0))</f>
        <v>0</v>
      </c>
      <c r="V2941" s="85">
        <f>IF(ISNA(IF(AND(VLOOKUP(CONCATENATE($D2941,$G2941),CSRFinput!$B:$E,4,0)=0,OR(H2941=MappingTables!$C$34,H2941=MappingTables!$C$35)),1,VLOOKUP(CONCATENATE($D2941,$G2941),CSRFinput!$B:$E,4,0))),0,IF(AND(VLOOKUP(CONCATENATE($D2941,$G2941),CSRFinput!$B:$E,4,0)=0,OR(H2941=MappingTables!$C$34,H2941=MappingTables!$C$35)),1,VLOOKUP(CONCATENATE($D2941,$G2941),CSRFinput!$B:$E,4,0)))</f>
        <v>0.054776304963434752</v>
      </c>
      <c r="W2941" s="85">
        <f>IF(B2941="",0,+$T2941*$V2941)</f>
        <v>0.00092047170312019008</v>
      </c>
      <c r="X2941" s="85">
        <f>IF(B2941="",0,IF(OR(H2941=MappingTables!$C$34,H2941=MappingTables!$C$35),W2941,0))</f>
        <v>0</v>
      </c>
    </row>
    <row r="2942" spans="2:24" s="0" customFormat="0" ht="15">
      <c r="B2942" s="69">
        <v>22062042</v>
      </c>
      <c r="C2942" s="70" t="s">
        <v>588</v>
      </c>
      <c r="D2942" s="70" t="s">
        <v>1</v>
      </c>
      <c r="E2942" s="70" t="s">
        <v>1</v>
      </c>
      <c r="F2942" s="70"/>
      <c r="G2942" s="70" t="s">
        <v>61</v>
      </c>
      <c r="H2942" s="70" t="s">
        <v>178</v>
      </c>
      <c r="I2942" s="70" t="s">
        <v>188</v>
      </c>
      <c r="J2942" s="71">
        <f>IF(OR(I2942=0,I2942=""),"unrated",VLOOKUP(I2942,MappingTables!$B$19:$C$31,2,FALSE))</f>
        <v>2</v>
      </c>
      <c r="K2942" s="72">
        <v>1949.8973435633864</v>
      </c>
      <c r="L2942" s="70">
        <v>2.0466491804198472</v>
      </c>
      <c r="M2942" s="71">
        <f>IF(L2942&lt;1,1,L2942)</f>
        <v>2.0466491804198472</v>
      </c>
      <c r="N2942" s="70" t="s">
        <v>141</v>
      </c>
      <c r="O2942" s="71">
        <f>INDEX(DurClassMapping,MATCH(M2942,MappingTables!$D$4:$D$8,-1),1)</f>
        <v>1</v>
      </c>
      <c r="P2942" s="73">
        <f>IF(M2942=$A$1,1,$M2942-INDEX(MappingTables!$E$4:$E$8,MATCH(O2942,MappingTables!$B$4:$B$8,0)))</f>
        <v>2.0466491804198472</v>
      </c>
      <c r="Q2942" s="71">
        <f>IF(B2942="",0,INDEX(ModelParameters!$D$6:$K$10,MATCH($O2942,ModelParameters!$B$6:$B$10,0),MATCH($J2942,ModelParameters!$D$5:$K$5,0)))</f>
        <v>0.013999999999999998</v>
      </c>
      <c r="R2942" s="71">
        <f>IF(B2942="",0,INDEX(ModelParameters!$D$13:$K$17,MATCH($O2942,ModelParameters!$B$13:$B$17,0),MATCH($J2942,ModelParameters!$D$5:$K$5,0)))</f>
        <v>0</v>
      </c>
      <c r="S2942" s="160">
        <f>IF(B2942="",0,MIN(IF($N2942="Other Bond TM",ModelParameters!$N$21,1)*(P2942*Q2942+R2942),1))</f>
        <v>0.028653088525877856</v>
      </c>
      <c r="T2942" s="85">
        <f>IF(B2942="",0,$S2942*$K2942)</f>
        <v>55.870581201495784</v>
      </c>
      <c r="U2942" s="85">
        <f>IF(B2942="",0,IF(OR(H2942=MappingTables!$C$34,H2942=MappingTables!$C$35),T2942,0))</f>
        <v>0</v>
      </c>
      <c r="V2942" s="85">
        <f>IF(ISNA(IF(AND(VLOOKUP(CONCATENATE($D2942,$G2942),CSRFinput!$B:$E,4,0)=0,OR(H2942=MappingTables!$C$34,H2942=MappingTables!$C$35)),1,VLOOKUP(CONCATENATE($D2942,$G2942),CSRFinput!$B:$E,4,0))),0,IF(AND(VLOOKUP(CONCATENATE($D2942,$G2942),CSRFinput!$B:$E,4,0)=0,OR(H2942=MappingTables!$C$34,H2942=MappingTables!$C$35)),1,VLOOKUP(CONCATENATE($D2942,$G2942),CSRFinput!$B:$E,4,0)))</f>
        <v>0.054776304963434752</v>
      </c>
      <c r="W2942" s="85">
        <f>IF(B2942="",0,+$T2942*$V2942)</f>
        <v>3.060383994377478</v>
      </c>
      <c r="X2942" s="85">
        <f>IF(B2942="",0,IF(OR(H2942=MappingTables!$C$34,H2942=MappingTables!$C$35),W2942,0))</f>
        <v>0</v>
      </c>
    </row>
    <row r="2943" spans="2:24" s="0" customFormat="0" ht="15">
      <c r="B2943" s="69" t="s">
        <v>1635</v>
      </c>
      <c r="C2943" s="70" t="s">
        <v>1636</v>
      </c>
      <c r="D2943" s="70" t="s">
        <v>1</v>
      </c>
      <c r="E2943" s="70" t="s">
        <v>1</v>
      </c>
      <c r="F2943" s="70"/>
      <c r="G2943" s="70" t="s">
        <v>61</v>
      </c>
      <c r="H2943" s="70" t="s">
        <v>178</v>
      </c>
      <c r="I2943" s="70" t="s">
        <v>188</v>
      </c>
      <c r="J2943" s="71">
        <f>IF(OR(I2943=0,I2943=""),"unrated",VLOOKUP(I2943,MappingTables!$B$19:$C$31,2,FALSE))</f>
        <v>2</v>
      </c>
      <c r="K2943" s="72">
        <v>0.61022630087626264</v>
      </c>
      <c r="L2943" s="70">
        <v>1.4292184404873766</v>
      </c>
      <c r="M2943" s="71">
        <f>IF(L2943&lt;1,1,L2943)</f>
        <v>1.4292184404873766</v>
      </c>
      <c r="N2943" s="70" t="s">
        <v>141</v>
      </c>
      <c r="O2943" s="71">
        <f>INDEX(DurClassMapping,MATCH(M2943,MappingTables!$D$4:$D$8,-1),1)</f>
        <v>1</v>
      </c>
      <c r="P2943" s="73">
        <f>IF(M2943=$A$1,1,$M2943-INDEX(MappingTables!$E$4:$E$8,MATCH(O2943,MappingTables!$B$4:$B$8,0)))</f>
        <v>1.4292184404873766</v>
      </c>
      <c r="Q2943" s="71">
        <f>IF(B2943="",0,INDEX(ModelParameters!$D$6:$K$10,MATCH($O2943,ModelParameters!$B$6:$B$10,0),MATCH($J2943,ModelParameters!$D$5:$K$5,0)))</f>
        <v>0.013999999999999998</v>
      </c>
      <c r="R2943" s="71">
        <f>IF(B2943="",0,INDEX(ModelParameters!$D$13:$K$17,MATCH($O2943,ModelParameters!$B$13:$B$17,0),MATCH($J2943,ModelParameters!$D$5:$K$5,0)))</f>
        <v>0</v>
      </c>
      <c r="S2943" s="160">
        <f>IF(B2943="",0,MIN(IF($N2943="Other Bond TM",ModelParameters!$N$21,1)*(P2943*Q2943+R2943),1))</f>
        <v>0.020009058166823272</v>
      </c>
      <c r="T2943" s="85">
        <f>IF(B2943="",0,$S2943*$K2943)</f>
        <v>0.012210053549158536</v>
      </c>
      <c r="U2943" s="85">
        <f>IF(B2943="",0,IF(OR(H2943=MappingTables!$C$34,H2943=MappingTables!$C$35),T2943,0))</f>
        <v>0</v>
      </c>
      <c r="V2943" s="85">
        <f>IF(ISNA(IF(AND(VLOOKUP(CONCATENATE($D2943,$G2943),CSRFinput!$B:$E,4,0)=0,OR(H2943=MappingTables!$C$34,H2943=MappingTables!$C$35)),1,VLOOKUP(CONCATENATE($D2943,$G2943),CSRFinput!$B:$E,4,0))),0,IF(AND(VLOOKUP(CONCATENATE($D2943,$G2943),CSRFinput!$B:$E,4,0)=0,OR(H2943=MappingTables!$C$34,H2943=MappingTables!$C$35)),1,VLOOKUP(CONCATENATE($D2943,$G2943),CSRFinput!$B:$E,4,0)))</f>
        <v>0.054776304963434752</v>
      </c>
      <c r="W2943" s="85">
        <f>IF(B2943="",0,+$T2943*$V2943)</f>
        <v>0.0006688216168285768</v>
      </c>
      <c r="X2943" s="85">
        <f>IF(B2943="",0,IF(OR(H2943=MappingTables!$C$34,H2943=MappingTables!$C$35),W2943,0))</f>
        <v>0</v>
      </c>
    </row>
    <row r="2944" spans="2:24" s="0" customFormat="0" ht="15">
      <c r="B2944" s="69">
        <v>19013622</v>
      </c>
      <c r="C2944" s="70" t="s">
        <v>854</v>
      </c>
      <c r="D2944" s="70" t="s">
        <v>1</v>
      </c>
      <c r="E2944" s="70" t="s">
        <v>1</v>
      </c>
      <c r="F2944" s="70"/>
      <c r="G2944" s="70" t="s">
        <v>61</v>
      </c>
      <c r="H2944" s="70" t="s">
        <v>178</v>
      </c>
      <c r="I2944" s="70" t="s">
        <v>179</v>
      </c>
      <c r="J2944" s="71">
        <f>IF(OR(I2944=0,I2944=""),"unrated",VLOOKUP(I2944,MappingTables!$B$19:$C$31,2,FALSE))</f>
        <v>4</v>
      </c>
      <c r="K2944" s="72">
        <v>5910.5657745698984</v>
      </c>
      <c r="L2944" s="70">
        <v>0.33972785070410304</v>
      </c>
      <c r="M2944" s="71">
        <f>IF(L2944&lt;1,1,L2944)</f>
        <v>1</v>
      </c>
      <c r="N2944" s="70" t="s">
        <v>141</v>
      </c>
      <c r="O2944" s="71">
        <f>INDEX(DurClassMapping,MATCH(M2944,MappingTables!$D$4:$D$8,-1),1)</f>
        <v>1</v>
      </c>
      <c r="P2944" s="73">
        <f>IF(M2944=$A$1,1,$M2944-INDEX(MappingTables!$E$4:$E$8,MATCH(O2944,MappingTables!$B$4:$B$8,0)))</f>
        <v>1</v>
      </c>
      <c r="Q2944" s="71">
        <f>IF(B2944="",0,INDEX(ModelParameters!$D$6:$K$10,MATCH($O2944,ModelParameters!$B$6:$B$10,0),MATCH($J2944,ModelParameters!$D$5:$K$5,0)))</f>
        <v>0.045</v>
      </c>
      <c r="R2944" s="71">
        <f>IF(B2944="",0,INDEX(ModelParameters!$D$13:$K$17,MATCH($O2944,ModelParameters!$B$13:$B$17,0),MATCH($J2944,ModelParameters!$D$5:$K$5,0)))</f>
        <v>0</v>
      </c>
      <c r="S2944" s="160">
        <f>IF(B2944="",0,MIN(IF($N2944="Other Bond TM",ModelParameters!$N$21,1)*(P2944*Q2944+R2944),1))</f>
        <v>0.045</v>
      </c>
      <c r="T2944" s="85">
        <f>IF(B2944="",0,$S2944*$K2944)</f>
        <v>265.9754598556454</v>
      </c>
      <c r="U2944" s="85">
        <f>IF(B2944="",0,IF(OR(H2944=MappingTables!$C$34,H2944=MappingTables!$C$35),T2944,0))</f>
        <v>0</v>
      </c>
      <c r="V2944" s="85">
        <f>IF(ISNA(IF(AND(VLOOKUP(CONCATENATE($D2944,$G2944),CSRFinput!$B:$E,4,0)=0,OR(H2944=MappingTables!$C$34,H2944=MappingTables!$C$35)),1,VLOOKUP(CONCATENATE($D2944,$G2944),CSRFinput!$B:$E,4,0))),0,IF(AND(VLOOKUP(CONCATENATE($D2944,$G2944),CSRFinput!$B:$E,4,0)=0,OR(H2944=MappingTables!$C$34,H2944=MappingTables!$C$35)),1,VLOOKUP(CONCATENATE($D2944,$G2944),CSRFinput!$B:$E,4,0)))</f>
        <v>0.054776304963434752</v>
      </c>
      <c r="W2944" s="85">
        <f>IF(B2944="",0,+$T2944*$V2944)</f>
        <v>14.56915290184263</v>
      </c>
      <c r="X2944" s="85">
        <f>IF(B2944="",0,IF(OR(H2944=MappingTables!$C$34,H2944=MappingTables!$C$35),W2944,0))</f>
        <v>0</v>
      </c>
    </row>
    <row r="2945" spans="2:24" s="0" customFormat="0" ht="15">
      <c r="B2945" s="69">
        <v>488603</v>
      </c>
      <c r="C2945" s="70" t="s">
        <v>2668</v>
      </c>
      <c r="D2945" s="70" t="s">
        <v>1</v>
      </c>
      <c r="E2945" s="70" t="s">
        <v>1</v>
      </c>
      <c r="F2945" s="70"/>
      <c r="G2945" s="70" t="s">
        <v>61</v>
      </c>
      <c r="H2945" s="70" t="s">
        <v>178</v>
      </c>
      <c r="I2945" s="70" t="s">
        <v>184</v>
      </c>
      <c r="J2945" s="71">
        <f>IF(OR(I2945=0,I2945=""),"unrated",VLOOKUP(I2945,MappingTables!$B$19:$C$31,2,FALSE))</f>
        <v>5</v>
      </c>
      <c r="K2945" s="72">
        <v>689.33916396903976</v>
      </c>
      <c r="L2945" s="70">
        <v>8.9888152939141328</v>
      </c>
      <c r="M2945" s="71">
        <f>IF(L2945&lt;1,1,L2945)</f>
        <v>8.9888152939141328</v>
      </c>
      <c r="N2945" s="70" t="s">
        <v>141</v>
      </c>
      <c r="O2945" s="71">
        <f>INDEX(DurClassMapping,MATCH(M2945,MappingTables!$D$4:$D$8,-1),1)</f>
        <v>2</v>
      </c>
      <c r="P2945" s="73">
        <f>IF(M2945=$A$1,1,$M2945-INDEX(MappingTables!$E$4:$E$8,MATCH(O2945,MappingTables!$B$4:$B$8,0)))</f>
        <v>3.9888152939141328</v>
      </c>
      <c r="Q2945" s="71">
        <f>IF(B2945="",0,INDEX(ModelParameters!$D$6:$K$10,MATCH($O2945,ModelParameters!$B$6:$B$10,0),MATCH($J2945,ModelParameters!$D$5:$K$5,0)))</f>
        <v>0.042</v>
      </c>
      <c r="R2945" s="71">
        <f>IF(B2945="",0,INDEX(ModelParameters!$D$13:$K$17,MATCH($O2945,ModelParameters!$B$13:$B$17,0),MATCH($J2945,ModelParameters!$D$5:$K$5,0)))</f>
        <v>0.375</v>
      </c>
      <c r="S2945" s="160">
        <f>IF(B2945="",0,MIN(IF($N2945="Other Bond TM",ModelParameters!$N$21,1)*(P2945*Q2945+R2945),1))</f>
        <v>0.5425302423443936</v>
      </c>
      <c r="T2945" s="85">
        <f>IF(B2945="",0,$S2945*$K2945)</f>
        <v>373.98734368560488</v>
      </c>
      <c r="U2945" s="85">
        <f>IF(B2945="",0,IF(OR(H2945=MappingTables!$C$34,H2945=MappingTables!$C$35),T2945,0))</f>
        <v>0</v>
      </c>
      <c r="V2945" s="85">
        <f>IF(ISNA(IF(AND(VLOOKUP(CONCATENATE($D2945,$G2945),CSRFinput!$B:$E,4,0)=0,OR(H2945=MappingTables!$C$34,H2945=MappingTables!$C$35)),1,VLOOKUP(CONCATENATE($D2945,$G2945),CSRFinput!$B:$E,4,0))),0,IF(AND(VLOOKUP(CONCATENATE($D2945,$G2945),CSRFinput!$B:$E,4,0)=0,OR(H2945=MappingTables!$C$34,H2945=MappingTables!$C$35)),1,VLOOKUP(CONCATENATE($D2945,$G2945),CSRFinput!$B:$E,4,0)))</f>
        <v>0.054776304963434752</v>
      </c>
      <c r="W2945" s="85">
        <f>IF(B2945="",0,+$T2945*$V2945)</f>
        <v>20.485644790187576</v>
      </c>
      <c r="X2945" s="85">
        <f>IF(B2945="",0,IF(OR(H2945=MappingTables!$C$34,H2945=MappingTables!$C$35),W2945,0))</f>
        <v>0</v>
      </c>
    </row>
    <row r="2946" spans="2:24" s="0" customFormat="0" ht="15">
      <c r="B2946" s="69">
        <v>14742106</v>
      </c>
      <c r="C2946" s="70" t="s">
        <v>2396</v>
      </c>
      <c r="D2946" s="70" t="s">
        <v>1</v>
      </c>
      <c r="E2946" s="70" t="s">
        <v>1</v>
      </c>
      <c r="F2946" s="70"/>
      <c r="G2946" s="70" t="s">
        <v>61</v>
      </c>
      <c r="H2946" s="70" t="s">
        <v>178</v>
      </c>
      <c r="I2946" s="70" t="s">
        <v>181</v>
      </c>
      <c r="J2946" s="71">
        <f>IF(OR(I2946=0,I2946=""),"unrated",VLOOKUP(I2946,MappingTables!$B$19:$C$31,2,FALSE))</f>
        <v>3</v>
      </c>
      <c r="K2946" s="72">
        <v>7.1281198785698632</v>
      </c>
      <c r="L2946" s="70">
        <v>0.076712572640499904</v>
      </c>
      <c r="M2946" s="71">
        <f>IF(L2946&lt;1,1,L2946)</f>
        <v>1</v>
      </c>
      <c r="N2946" s="70" t="s">
        <v>141</v>
      </c>
      <c r="O2946" s="71">
        <f>INDEX(DurClassMapping,MATCH(M2946,MappingTables!$D$4:$D$8,-1),1)</f>
        <v>1</v>
      </c>
      <c r="P2946" s="73">
        <f>IF(M2946=$A$1,1,$M2946-INDEX(MappingTables!$E$4:$E$8,MATCH(O2946,MappingTables!$B$4:$B$8,0)))</f>
        <v>1</v>
      </c>
      <c r="Q2946" s="71">
        <f>IF(B2946="",0,INDEX(ModelParameters!$D$6:$K$10,MATCH($O2946,ModelParameters!$B$6:$B$10,0),MATCH($J2946,ModelParameters!$D$5:$K$5,0)))</f>
        <v>0.025</v>
      </c>
      <c r="R2946" s="71">
        <f>IF(B2946="",0,INDEX(ModelParameters!$D$13:$K$17,MATCH($O2946,ModelParameters!$B$13:$B$17,0),MATCH($J2946,ModelParameters!$D$5:$K$5,0)))</f>
        <v>0</v>
      </c>
      <c r="S2946" s="160">
        <f>IF(B2946="",0,MIN(IF($N2946="Other Bond TM",ModelParameters!$N$21,1)*(P2946*Q2946+R2946),1))</f>
        <v>0.025</v>
      </c>
      <c r="T2946" s="85">
        <f>IF(B2946="",0,$S2946*$K2946)</f>
        <v>0.17820299696424658</v>
      </c>
      <c r="U2946" s="85">
        <f>IF(B2946="",0,IF(OR(H2946=MappingTables!$C$34,H2946=MappingTables!$C$35),T2946,0))</f>
        <v>0</v>
      </c>
      <c r="V2946" s="85">
        <f>IF(ISNA(IF(AND(VLOOKUP(CONCATENATE($D2946,$G2946),CSRFinput!$B:$E,4,0)=0,OR(H2946=MappingTables!$C$34,H2946=MappingTables!$C$35)),1,VLOOKUP(CONCATENATE($D2946,$G2946),CSRFinput!$B:$E,4,0))),0,IF(AND(VLOOKUP(CONCATENATE($D2946,$G2946),CSRFinput!$B:$E,4,0)=0,OR(H2946=MappingTables!$C$34,H2946=MappingTables!$C$35)),1,VLOOKUP(CONCATENATE($D2946,$G2946),CSRFinput!$B:$E,4,0)))</f>
        <v>0.054776304963434752</v>
      </c>
      <c r="W2946" s="85">
        <f>IF(B2946="",0,+$T2946*$V2946)</f>
        <v>0.0097613017071116064</v>
      </c>
      <c r="X2946" s="85">
        <f>IF(B2946="",0,IF(OR(H2946=MappingTables!$C$34,H2946=MappingTables!$C$35),W2946,0))</f>
        <v>0</v>
      </c>
    </row>
    <row r="2947" spans="2:24" s="0" customFormat="0" ht="15">
      <c r="B2947" s="69">
        <v>24601963</v>
      </c>
      <c r="C2947" s="70" t="s">
        <v>2669</v>
      </c>
      <c r="D2947" s="70" t="s">
        <v>1</v>
      </c>
      <c r="E2947" s="70" t="s">
        <v>1</v>
      </c>
      <c r="F2947" s="70"/>
      <c r="G2947" s="70" t="s">
        <v>61</v>
      </c>
      <c r="H2947" s="70" t="s">
        <v>178</v>
      </c>
      <c r="I2947" s="70" t="s">
        <v>198</v>
      </c>
      <c r="J2947" s="71" t="str">
        <f>IF(OR(I2947=0,I2947=""),"unrated",VLOOKUP(I2947,MappingTables!$B$19:$C$31,2,FALSE))</f>
        <v>unrated</v>
      </c>
      <c r="K2947" s="72">
        <v>4904.7138805443616</v>
      </c>
      <c r="L2947" s="70">
        <v>0.746483641203776</v>
      </c>
      <c r="M2947" s="71">
        <f>IF(L2947&lt;1,1,L2947)</f>
        <v>1</v>
      </c>
      <c r="N2947" s="70" t="s">
        <v>141</v>
      </c>
      <c r="O2947" s="71">
        <f>INDEX(DurClassMapping,MATCH(M2947,MappingTables!$D$4:$D$8,-1),1)</f>
        <v>1</v>
      </c>
      <c r="P2947" s="73">
        <f>IF(M2947=$A$1,1,$M2947-INDEX(MappingTables!$E$4:$E$8,MATCH(O2947,MappingTables!$B$4:$B$8,0)))</f>
        <v>1</v>
      </c>
      <c r="Q2947" s="71">
        <f>IF(B2947="",0,INDEX(ModelParameters!$D$6:$K$10,MATCH($O2947,ModelParameters!$B$6:$B$10,0),MATCH($J2947,ModelParameters!$D$5:$K$5,0)))</f>
        <v>0.03</v>
      </c>
      <c r="R2947" s="71">
        <f>IF(B2947="",0,INDEX(ModelParameters!$D$13:$K$17,MATCH($O2947,ModelParameters!$B$13:$B$17,0),MATCH($J2947,ModelParameters!$D$5:$K$5,0)))</f>
        <v>0</v>
      </c>
      <c r="S2947" s="160">
        <f>IF(B2947="",0,MIN(IF($N2947="Other Bond TM",ModelParameters!$N$21,1)*(P2947*Q2947+R2947),1))</f>
        <v>0.03</v>
      </c>
      <c r="T2947" s="85">
        <f>IF(B2947="",0,$S2947*$K2947)</f>
        <v>147.14141641633086</v>
      </c>
      <c r="U2947" s="85">
        <f>IF(B2947="",0,IF(OR(H2947=MappingTables!$C$34,H2947=MappingTables!$C$35),T2947,0))</f>
        <v>0</v>
      </c>
      <c r="V2947" s="85">
        <f>IF(ISNA(IF(AND(VLOOKUP(CONCATENATE($D2947,$G2947),CSRFinput!$B:$E,4,0)=0,OR(H2947=MappingTables!$C$34,H2947=MappingTables!$C$35)),1,VLOOKUP(CONCATENATE($D2947,$G2947),CSRFinput!$B:$E,4,0))),0,IF(AND(VLOOKUP(CONCATENATE($D2947,$G2947),CSRFinput!$B:$E,4,0)=0,OR(H2947=MappingTables!$C$34,H2947=MappingTables!$C$35)),1,VLOOKUP(CONCATENATE($D2947,$G2947),CSRFinput!$B:$E,4,0)))</f>
        <v>0.054776304963434752</v>
      </c>
      <c r="W2947" s="85">
        <f>IF(B2947="",0,+$T2947*$V2947)</f>
        <v>8.0598630983726848</v>
      </c>
      <c r="X2947" s="85">
        <f>IF(B2947="",0,IF(OR(H2947=MappingTables!$C$34,H2947=MappingTables!$C$35),W2947,0))</f>
        <v>0</v>
      </c>
    </row>
    <row r="2948" spans="2:24" s="0" customFormat="0" ht="15">
      <c r="B2948" s="69">
        <v>22361562</v>
      </c>
      <c r="C2948" s="70" t="s">
        <v>2670</v>
      </c>
      <c r="D2948" s="70" t="s">
        <v>1</v>
      </c>
      <c r="E2948" s="70" t="s">
        <v>1</v>
      </c>
      <c r="F2948" s="70"/>
      <c r="G2948" s="70" t="s">
        <v>61</v>
      </c>
      <c r="H2948" s="70" t="s">
        <v>178</v>
      </c>
      <c r="I2948" s="70" t="s">
        <v>188</v>
      </c>
      <c r="J2948" s="71">
        <f>IF(OR(I2948=0,I2948=""),"unrated",VLOOKUP(I2948,MappingTables!$B$19:$C$31,2,FALSE))</f>
        <v>2</v>
      </c>
      <c r="K2948" s="72">
        <v>1919.157460674422</v>
      </c>
      <c r="L2948" s="70">
        <v>1.1277697994712466</v>
      </c>
      <c r="M2948" s="71">
        <f>IF(L2948&lt;1,1,L2948)</f>
        <v>1.1277697994712466</v>
      </c>
      <c r="N2948" s="70" t="s">
        <v>141</v>
      </c>
      <c r="O2948" s="71">
        <f>INDEX(DurClassMapping,MATCH(M2948,MappingTables!$D$4:$D$8,-1),1)</f>
        <v>1</v>
      </c>
      <c r="P2948" s="73">
        <f>IF(M2948=$A$1,1,$M2948-INDEX(MappingTables!$E$4:$E$8,MATCH(O2948,MappingTables!$B$4:$B$8,0)))</f>
        <v>1.1277697994712466</v>
      </c>
      <c r="Q2948" s="71">
        <f>IF(B2948="",0,INDEX(ModelParameters!$D$6:$K$10,MATCH($O2948,ModelParameters!$B$6:$B$10,0),MATCH($J2948,ModelParameters!$D$5:$K$5,0)))</f>
        <v>0.013999999999999998</v>
      </c>
      <c r="R2948" s="71">
        <f>IF(B2948="",0,INDEX(ModelParameters!$D$13:$K$17,MATCH($O2948,ModelParameters!$B$13:$B$17,0),MATCH($J2948,ModelParameters!$D$5:$K$5,0)))</f>
        <v>0</v>
      </c>
      <c r="S2948" s="160">
        <f>IF(B2948="",0,MIN(IF($N2948="Other Bond TM",ModelParameters!$N$21,1)*(P2948*Q2948+R2948),1))</f>
        <v>0.015788777192597448</v>
      </c>
      <c r="T2948" s="85">
        <f>IF(B2948="",0,$S2948*$K2948)</f>
        <v>30.301149544099552</v>
      </c>
      <c r="U2948" s="85">
        <f>IF(B2948="",0,IF(OR(H2948=MappingTables!$C$34,H2948=MappingTables!$C$35),T2948,0))</f>
        <v>0</v>
      </c>
      <c r="V2948" s="85">
        <f>IF(ISNA(IF(AND(VLOOKUP(CONCATENATE($D2948,$G2948),CSRFinput!$B:$E,4,0)=0,OR(H2948=MappingTables!$C$34,H2948=MappingTables!$C$35)),1,VLOOKUP(CONCATENATE($D2948,$G2948),CSRFinput!$B:$E,4,0))),0,IF(AND(VLOOKUP(CONCATENATE($D2948,$G2948),CSRFinput!$B:$E,4,0)=0,OR(H2948=MappingTables!$C$34,H2948=MappingTables!$C$35)),1,VLOOKUP(CONCATENATE($D2948,$G2948),CSRFinput!$B:$E,4,0)))</f>
        <v>0.054776304963434752</v>
      </c>
      <c r="W2948" s="85">
        <f>IF(B2948="",0,+$T2948*$V2948)</f>
        <v>1.659785008170239</v>
      </c>
      <c r="X2948" s="85">
        <f>IF(B2948="",0,IF(OR(H2948=MappingTables!$C$34,H2948=MappingTables!$C$35),W2948,0))</f>
        <v>0</v>
      </c>
    </row>
    <row r="2949" spans="2:24" s="0" customFormat="0" ht="15">
      <c r="B2949" s="69">
        <v>21753703</v>
      </c>
      <c r="C2949" s="70" t="s">
        <v>877</v>
      </c>
      <c r="D2949" s="70" t="s">
        <v>1</v>
      </c>
      <c r="E2949" s="70" t="s">
        <v>1</v>
      </c>
      <c r="F2949" s="70"/>
      <c r="G2949" s="70" t="s">
        <v>61</v>
      </c>
      <c r="H2949" s="70" t="s">
        <v>178</v>
      </c>
      <c r="I2949" s="70" t="s">
        <v>188</v>
      </c>
      <c r="J2949" s="71">
        <f>IF(OR(I2949=0,I2949=""),"unrated",VLOOKUP(I2949,MappingTables!$B$19:$C$31,2,FALSE))</f>
        <v>2</v>
      </c>
      <c r="K2949" s="72">
        <v>524.35516803668712</v>
      </c>
      <c r="L2949" s="70">
        <v>0.087672905052262384</v>
      </c>
      <c r="M2949" s="71">
        <f>IF(L2949&lt;1,1,L2949)</f>
        <v>1</v>
      </c>
      <c r="N2949" s="70" t="s">
        <v>141</v>
      </c>
      <c r="O2949" s="71">
        <f>INDEX(DurClassMapping,MATCH(M2949,MappingTables!$D$4:$D$8,-1),1)</f>
        <v>1</v>
      </c>
      <c r="P2949" s="73">
        <f>IF(M2949=$A$1,1,$M2949-INDEX(MappingTables!$E$4:$E$8,MATCH(O2949,MappingTables!$B$4:$B$8,0)))</f>
        <v>1</v>
      </c>
      <c r="Q2949" s="71">
        <f>IF(B2949="",0,INDEX(ModelParameters!$D$6:$K$10,MATCH($O2949,ModelParameters!$B$6:$B$10,0),MATCH($J2949,ModelParameters!$D$5:$K$5,0)))</f>
        <v>0.013999999999999998</v>
      </c>
      <c r="R2949" s="71">
        <f>IF(B2949="",0,INDEX(ModelParameters!$D$13:$K$17,MATCH($O2949,ModelParameters!$B$13:$B$17,0),MATCH($J2949,ModelParameters!$D$5:$K$5,0)))</f>
        <v>0</v>
      </c>
      <c r="S2949" s="160">
        <f>IF(B2949="",0,MIN(IF($N2949="Other Bond TM",ModelParameters!$N$21,1)*(P2949*Q2949+R2949),1))</f>
        <v>0.013999999999999998</v>
      </c>
      <c r="T2949" s="85">
        <f>IF(B2949="",0,$S2949*$K2949)</f>
        <v>7.3409723525136192</v>
      </c>
      <c r="U2949" s="85">
        <f>IF(B2949="",0,IF(OR(H2949=MappingTables!$C$34,H2949=MappingTables!$C$35),T2949,0))</f>
        <v>0</v>
      </c>
      <c r="V2949" s="85">
        <f>IF(ISNA(IF(AND(VLOOKUP(CONCATENATE($D2949,$G2949),CSRFinput!$B:$E,4,0)=0,OR(H2949=MappingTables!$C$34,H2949=MappingTables!$C$35)),1,VLOOKUP(CONCATENATE($D2949,$G2949),CSRFinput!$B:$E,4,0))),0,IF(AND(VLOOKUP(CONCATENATE($D2949,$G2949),CSRFinput!$B:$E,4,0)=0,OR(H2949=MappingTables!$C$34,H2949=MappingTables!$C$35)),1,VLOOKUP(CONCATENATE($D2949,$G2949),CSRFinput!$B:$E,4,0)))</f>
        <v>0.054776304963434752</v>
      </c>
      <c r="W2949" s="85">
        <f>IF(B2949="",0,+$T2949*$V2949)</f>
        <v>0.40211134030942904</v>
      </c>
      <c r="X2949" s="85">
        <f>IF(B2949="",0,IF(OR(H2949=MappingTables!$C$34,H2949=MappingTables!$C$35),W2949,0))</f>
        <v>0</v>
      </c>
    </row>
    <row r="2950" spans="2:24" s="0" customFormat="0" ht="15">
      <c r="B2950" s="69">
        <v>15637323</v>
      </c>
      <c r="C2950" s="70" t="s">
        <v>2524</v>
      </c>
      <c r="D2950" s="70" t="s">
        <v>1</v>
      </c>
      <c r="E2950" s="70" t="s">
        <v>1</v>
      </c>
      <c r="F2950" s="70"/>
      <c r="G2950" s="70" t="s">
        <v>61</v>
      </c>
      <c r="H2950" s="70" t="s">
        <v>178</v>
      </c>
      <c r="I2950" s="70" t="s">
        <v>188</v>
      </c>
      <c r="J2950" s="71">
        <f>IF(OR(I2950=0,I2950=""),"unrated",VLOOKUP(I2950,MappingTables!$B$19:$C$31,2,FALSE))</f>
        <v>2</v>
      </c>
      <c r="K2950" s="72">
        <v>0.11388037715674744</v>
      </c>
      <c r="L2950" s="70">
        <v>0.060271162001512296</v>
      </c>
      <c r="M2950" s="71">
        <f>IF(L2950&lt;1,1,L2950)</f>
        <v>1</v>
      </c>
      <c r="N2950" s="70" t="s">
        <v>141</v>
      </c>
      <c r="O2950" s="71">
        <f>INDEX(DurClassMapping,MATCH(M2950,MappingTables!$D$4:$D$8,-1),1)</f>
        <v>1</v>
      </c>
      <c r="P2950" s="73">
        <f>IF(M2950=$A$1,1,$M2950-INDEX(MappingTables!$E$4:$E$8,MATCH(O2950,MappingTables!$B$4:$B$8,0)))</f>
        <v>1</v>
      </c>
      <c r="Q2950" s="71">
        <f>IF(B2950="",0,INDEX(ModelParameters!$D$6:$K$10,MATCH($O2950,ModelParameters!$B$6:$B$10,0),MATCH($J2950,ModelParameters!$D$5:$K$5,0)))</f>
        <v>0.013999999999999998</v>
      </c>
      <c r="R2950" s="71">
        <f>IF(B2950="",0,INDEX(ModelParameters!$D$13:$K$17,MATCH($O2950,ModelParameters!$B$13:$B$17,0),MATCH($J2950,ModelParameters!$D$5:$K$5,0)))</f>
        <v>0</v>
      </c>
      <c r="S2950" s="160">
        <f>IF(B2950="",0,MIN(IF($N2950="Other Bond TM",ModelParameters!$N$21,1)*(P2950*Q2950+R2950),1))</f>
        <v>0.013999999999999998</v>
      </c>
      <c r="T2950" s="85">
        <f>IF(B2950="",0,$S2950*$K2950)</f>
        <v>0.001594325280194464</v>
      </c>
      <c r="U2950" s="85">
        <f>IF(B2950="",0,IF(OR(H2950=MappingTables!$C$34,H2950=MappingTables!$C$35),T2950,0))</f>
        <v>0</v>
      </c>
      <c r="V2950" s="85">
        <f>IF(ISNA(IF(AND(VLOOKUP(CONCATENATE($D2950,$G2950),CSRFinput!$B:$E,4,0)=0,OR(H2950=MappingTables!$C$34,H2950=MappingTables!$C$35)),1,VLOOKUP(CONCATENATE($D2950,$G2950),CSRFinput!$B:$E,4,0))),0,IF(AND(VLOOKUP(CONCATENATE($D2950,$G2950),CSRFinput!$B:$E,4,0)=0,OR(H2950=MappingTables!$C$34,H2950=MappingTables!$C$35)),1,VLOOKUP(CONCATENATE($D2950,$G2950),CSRFinput!$B:$E,4,0)))</f>
        <v>0.054776304963434752</v>
      </c>
      <c r="W2950" s="85">
        <f>IF(B2950="",0,+$T2950*$V2950)</f>
        <v>0.00008733124775884552</v>
      </c>
      <c r="X2950" s="85">
        <f>IF(B2950="",0,IF(OR(H2950=MappingTables!$C$34,H2950=MappingTables!$C$35),W2950,0))</f>
        <v>0</v>
      </c>
    </row>
    <row r="2951" spans="2:24" s="0" customFormat="0" ht="15">
      <c r="B2951" s="69">
        <v>21740949</v>
      </c>
      <c r="C2951" s="70" t="s">
        <v>1924</v>
      </c>
      <c r="D2951" s="70" t="s">
        <v>1</v>
      </c>
      <c r="E2951" s="70" t="s">
        <v>1</v>
      </c>
      <c r="F2951" s="70"/>
      <c r="G2951" s="70" t="s">
        <v>61</v>
      </c>
      <c r="H2951" s="70" t="s">
        <v>178</v>
      </c>
      <c r="I2951" s="70" t="s">
        <v>181</v>
      </c>
      <c r="J2951" s="71">
        <f>IF(OR(I2951=0,I2951=""),"unrated",VLOOKUP(I2951,MappingTables!$B$19:$C$31,2,FALSE))</f>
        <v>3</v>
      </c>
      <c r="K2951" s="72">
        <v>5875.8148807180272</v>
      </c>
      <c r="L2951" s="70">
        <v>4.1475426879386312</v>
      </c>
      <c r="M2951" s="71">
        <f>IF(L2951&lt;1,1,L2951)</f>
        <v>4.1475426879386312</v>
      </c>
      <c r="N2951" s="70" t="s">
        <v>141</v>
      </c>
      <c r="O2951" s="71">
        <f>INDEX(DurClassMapping,MATCH(M2951,MappingTables!$D$4:$D$8,-1),1)</f>
        <v>1</v>
      </c>
      <c r="P2951" s="73">
        <f>IF(M2951=$A$1,1,$M2951-INDEX(MappingTables!$E$4:$E$8,MATCH(O2951,MappingTables!$B$4:$B$8,0)))</f>
        <v>4.1475426879386312</v>
      </c>
      <c r="Q2951" s="71">
        <f>IF(B2951="",0,INDEX(ModelParameters!$D$6:$K$10,MATCH($O2951,ModelParameters!$B$6:$B$10,0),MATCH($J2951,ModelParameters!$D$5:$K$5,0)))</f>
        <v>0.025</v>
      </c>
      <c r="R2951" s="71">
        <f>IF(B2951="",0,INDEX(ModelParameters!$D$13:$K$17,MATCH($O2951,ModelParameters!$B$13:$B$17,0),MATCH($J2951,ModelParameters!$D$5:$K$5,0)))</f>
        <v>0</v>
      </c>
      <c r="S2951" s="160">
        <f>IF(B2951="",0,MIN(IF($N2951="Other Bond TM",ModelParameters!$N$21,1)*(P2951*Q2951+R2951),1))</f>
        <v>0.10368856719846578</v>
      </c>
      <c r="T2951" s="85">
        <f>IF(B2951="",0,$S2951*$K2951)</f>
        <v>609.25482610507632</v>
      </c>
      <c r="U2951" s="85">
        <f>IF(B2951="",0,IF(OR(H2951=MappingTables!$C$34,H2951=MappingTables!$C$35),T2951,0))</f>
        <v>0</v>
      </c>
      <c r="V2951" s="85">
        <f>IF(ISNA(IF(AND(VLOOKUP(CONCATENATE($D2951,$G2951),CSRFinput!$B:$E,4,0)=0,OR(H2951=MappingTables!$C$34,H2951=MappingTables!$C$35)),1,VLOOKUP(CONCATENATE($D2951,$G2951),CSRFinput!$B:$E,4,0))),0,IF(AND(VLOOKUP(CONCATENATE($D2951,$G2951),CSRFinput!$B:$E,4,0)=0,OR(H2951=MappingTables!$C$34,H2951=MappingTables!$C$35)),1,VLOOKUP(CONCATENATE($D2951,$G2951),CSRFinput!$B:$E,4,0)))</f>
        <v>0.054776304963434752</v>
      </c>
      <c r="W2951" s="85">
        <f>IF(B2951="",0,+$T2951*$V2951)</f>
        <v>33.372728155176068</v>
      </c>
      <c r="X2951" s="85">
        <f>IF(B2951="",0,IF(OR(H2951=MappingTables!$C$34,H2951=MappingTables!$C$35),W2951,0))</f>
        <v>0</v>
      </c>
    </row>
    <row r="2952" spans="2:24" s="0" customFormat="0" ht="15">
      <c r="B2952" s="69">
        <v>21742335</v>
      </c>
      <c r="C2952" s="70" t="s">
        <v>2671</v>
      </c>
      <c r="D2952" s="70" t="s">
        <v>1</v>
      </c>
      <c r="E2952" s="70" t="s">
        <v>1</v>
      </c>
      <c r="F2952" s="70"/>
      <c r="G2952" s="70" t="s">
        <v>61</v>
      </c>
      <c r="H2952" s="70" t="s">
        <v>178</v>
      </c>
      <c r="I2952" s="70" t="s">
        <v>179</v>
      </c>
      <c r="J2952" s="71">
        <f>IF(OR(I2952=0,I2952=""),"unrated",VLOOKUP(I2952,MappingTables!$B$19:$C$31,2,FALSE))</f>
        <v>4</v>
      </c>
      <c r="K2952" s="72">
        <v>45845.745479711096</v>
      </c>
      <c r="L2952" s="70">
        <v>2.2407524281876672</v>
      </c>
      <c r="M2952" s="71">
        <f>IF(L2952&lt;1,1,L2952)</f>
        <v>2.2407524281876672</v>
      </c>
      <c r="N2952" s="70" t="s">
        <v>141</v>
      </c>
      <c r="O2952" s="71">
        <f>INDEX(DurClassMapping,MATCH(M2952,MappingTables!$D$4:$D$8,-1),1)</f>
        <v>1</v>
      </c>
      <c r="P2952" s="73">
        <f>IF(M2952=$A$1,1,$M2952-INDEX(MappingTables!$E$4:$E$8,MATCH(O2952,MappingTables!$B$4:$B$8,0)))</f>
        <v>2.2407524281876672</v>
      </c>
      <c r="Q2952" s="71">
        <f>IF(B2952="",0,INDEX(ModelParameters!$D$6:$K$10,MATCH($O2952,ModelParameters!$B$6:$B$10,0),MATCH($J2952,ModelParameters!$D$5:$K$5,0)))</f>
        <v>0.045</v>
      </c>
      <c r="R2952" s="71">
        <f>IF(B2952="",0,INDEX(ModelParameters!$D$13:$K$17,MATCH($O2952,ModelParameters!$B$13:$B$17,0),MATCH($J2952,ModelParameters!$D$5:$K$5,0)))</f>
        <v>0</v>
      </c>
      <c r="S2952" s="160">
        <f>IF(B2952="",0,MIN(IF($N2952="Other Bond TM",ModelParameters!$N$21,1)*(P2952*Q2952+R2952),1))</f>
        <v>0.10083385926844502</v>
      </c>
      <c r="T2952" s="85">
        <f>IF(B2952="",0,$S2952*$K2952)</f>
        <v>4622.8034477581376</v>
      </c>
      <c r="U2952" s="85">
        <f>IF(B2952="",0,IF(OR(H2952=MappingTables!$C$34,H2952=MappingTables!$C$35),T2952,0))</f>
        <v>0</v>
      </c>
      <c r="V2952" s="85">
        <f>IF(ISNA(IF(AND(VLOOKUP(CONCATENATE($D2952,$G2952),CSRFinput!$B:$E,4,0)=0,OR(H2952=MappingTables!$C$34,H2952=MappingTables!$C$35)),1,VLOOKUP(CONCATENATE($D2952,$G2952),CSRFinput!$B:$E,4,0))),0,IF(AND(VLOOKUP(CONCATENATE($D2952,$G2952),CSRFinput!$B:$E,4,0)=0,OR(H2952=MappingTables!$C$34,H2952=MappingTables!$C$35)),1,VLOOKUP(CONCATENATE($D2952,$G2952),CSRFinput!$B:$E,4,0)))</f>
        <v>0.054776304963434752</v>
      </c>
      <c r="W2952" s="85">
        <f>IF(B2952="",0,+$T2952*$V2952)</f>
        <v>253.22009144041736</v>
      </c>
      <c r="X2952" s="85">
        <f>IF(B2952="",0,IF(OR(H2952=MappingTables!$C$34,H2952=MappingTables!$C$35),W2952,0))</f>
        <v>0</v>
      </c>
    </row>
    <row r="2953" spans="2:24" s="0" customFormat="0" ht="15">
      <c r="B2953" s="69">
        <v>21917533</v>
      </c>
      <c r="C2953" s="70" t="s">
        <v>1939</v>
      </c>
      <c r="D2953" s="70" t="s">
        <v>1</v>
      </c>
      <c r="E2953" s="70" t="s">
        <v>1</v>
      </c>
      <c r="F2953" s="70"/>
      <c r="G2953" s="70" t="s">
        <v>61</v>
      </c>
      <c r="H2953" s="70" t="s">
        <v>178</v>
      </c>
      <c r="I2953" s="70" t="s">
        <v>188</v>
      </c>
      <c r="J2953" s="71">
        <f>IF(OR(I2953=0,I2953=""),"unrated",VLOOKUP(I2953,MappingTables!$B$19:$C$31,2,FALSE))</f>
        <v>2</v>
      </c>
      <c r="K2953" s="72">
        <v>2254.6663749093456</v>
      </c>
      <c r="L2953" s="70">
        <v>1.0302515961884356</v>
      </c>
      <c r="M2953" s="71">
        <f>IF(L2953&lt;1,1,L2953)</f>
        <v>1.0302515961884356</v>
      </c>
      <c r="N2953" s="70" t="s">
        <v>141</v>
      </c>
      <c r="O2953" s="71">
        <f>INDEX(DurClassMapping,MATCH(M2953,MappingTables!$D$4:$D$8,-1),1)</f>
        <v>1</v>
      </c>
      <c r="P2953" s="73">
        <f>IF(M2953=$A$1,1,$M2953-INDEX(MappingTables!$E$4:$E$8,MATCH(O2953,MappingTables!$B$4:$B$8,0)))</f>
        <v>1.0302515961884356</v>
      </c>
      <c r="Q2953" s="71">
        <f>IF(B2953="",0,INDEX(ModelParameters!$D$6:$K$10,MATCH($O2953,ModelParameters!$B$6:$B$10,0),MATCH($J2953,ModelParameters!$D$5:$K$5,0)))</f>
        <v>0.013999999999999998</v>
      </c>
      <c r="R2953" s="71">
        <f>IF(B2953="",0,INDEX(ModelParameters!$D$13:$K$17,MATCH($O2953,ModelParameters!$B$13:$B$17,0),MATCH($J2953,ModelParameters!$D$5:$K$5,0)))</f>
        <v>0</v>
      </c>
      <c r="S2953" s="160">
        <f>IF(B2953="",0,MIN(IF($N2953="Other Bond TM",ModelParameters!$N$21,1)*(P2953*Q2953+R2953),1))</f>
        <v>0.014423522346638096</v>
      </c>
      <c r="T2953" s="85">
        <f>IF(B2953="",0,$S2953*$K2953)</f>
        <v>32.520230842718456</v>
      </c>
      <c r="U2953" s="85">
        <f>IF(B2953="",0,IF(OR(H2953=MappingTables!$C$34,H2953=MappingTables!$C$35),T2953,0))</f>
        <v>0</v>
      </c>
      <c r="V2953" s="85">
        <f>IF(ISNA(IF(AND(VLOOKUP(CONCATENATE($D2953,$G2953),CSRFinput!$B:$E,4,0)=0,OR(H2953=MappingTables!$C$34,H2953=MappingTables!$C$35)),1,VLOOKUP(CONCATENATE($D2953,$G2953),CSRFinput!$B:$E,4,0))),0,IF(AND(VLOOKUP(CONCATENATE($D2953,$G2953),CSRFinput!$B:$E,4,0)=0,OR(H2953=MappingTables!$C$34,H2953=MappingTables!$C$35)),1,VLOOKUP(CONCATENATE($D2953,$G2953),CSRFinput!$B:$E,4,0)))</f>
        <v>0.054776304963434752</v>
      </c>
      <c r="W2953" s="85">
        <f>IF(B2953="",0,+$T2953*$V2953)</f>
        <v>1.7813380821220428</v>
      </c>
      <c r="X2953" s="85">
        <f>IF(B2953="",0,IF(OR(H2953=MappingTables!$C$34,H2953=MappingTables!$C$35),W2953,0))</f>
        <v>0</v>
      </c>
    </row>
    <row r="2954" spans="2:24" s="0" customFormat="0" ht="15">
      <c r="B2954" s="69">
        <v>21227556</v>
      </c>
      <c r="C2954" s="70" t="s">
        <v>2449</v>
      </c>
      <c r="D2954" s="70" t="s">
        <v>1</v>
      </c>
      <c r="E2954" s="70" t="s">
        <v>1</v>
      </c>
      <c r="F2954" s="70"/>
      <c r="G2954" s="70" t="s">
        <v>61</v>
      </c>
      <c r="H2954" s="70" t="s">
        <v>178</v>
      </c>
      <c r="I2954" s="70" t="s">
        <v>181</v>
      </c>
      <c r="J2954" s="71">
        <f>IF(OR(I2954=0,I2954=""),"unrated",VLOOKUP(I2954,MappingTables!$B$19:$C$31,2,FALSE))</f>
        <v>3</v>
      </c>
      <c r="K2954" s="72">
        <v>1632.2188986269568</v>
      </c>
      <c r="L2954" s="70">
        <v>3.6691697368141888</v>
      </c>
      <c r="M2954" s="71">
        <f>IF(L2954&lt;1,1,L2954)</f>
        <v>3.6691697368141888</v>
      </c>
      <c r="N2954" s="70" t="s">
        <v>141</v>
      </c>
      <c r="O2954" s="71">
        <f>INDEX(DurClassMapping,MATCH(M2954,MappingTables!$D$4:$D$8,-1),1)</f>
        <v>1</v>
      </c>
      <c r="P2954" s="73">
        <f>IF(M2954=$A$1,1,$M2954-INDEX(MappingTables!$E$4:$E$8,MATCH(O2954,MappingTables!$B$4:$B$8,0)))</f>
        <v>3.6691697368141888</v>
      </c>
      <c r="Q2954" s="71">
        <f>IF(B2954="",0,INDEX(ModelParameters!$D$6:$K$10,MATCH($O2954,ModelParameters!$B$6:$B$10,0),MATCH($J2954,ModelParameters!$D$5:$K$5,0)))</f>
        <v>0.025</v>
      </c>
      <c r="R2954" s="71">
        <f>IF(B2954="",0,INDEX(ModelParameters!$D$13:$K$17,MATCH($O2954,ModelParameters!$B$13:$B$17,0),MATCH($J2954,ModelParameters!$D$5:$K$5,0)))</f>
        <v>0</v>
      </c>
      <c r="S2954" s="160">
        <f>IF(B2954="",0,MIN(IF($N2954="Other Bond TM",ModelParameters!$N$21,1)*(P2954*Q2954+R2954),1))</f>
        <v>0.091729243420354704</v>
      </c>
      <c r="T2954" s="85">
        <f>IF(B2954="",0,$S2954*$K2954)</f>
        <v>149.7222046674554</v>
      </c>
      <c r="U2954" s="85">
        <f>IF(B2954="",0,IF(OR(H2954=MappingTables!$C$34,H2954=MappingTables!$C$35),T2954,0))</f>
        <v>0</v>
      </c>
      <c r="V2954" s="85">
        <f>IF(ISNA(IF(AND(VLOOKUP(CONCATENATE($D2954,$G2954),CSRFinput!$B:$E,4,0)=0,OR(H2954=MappingTables!$C$34,H2954=MappingTables!$C$35)),1,VLOOKUP(CONCATENATE($D2954,$G2954),CSRFinput!$B:$E,4,0))),0,IF(AND(VLOOKUP(CONCATENATE($D2954,$G2954),CSRFinput!$B:$E,4,0)=0,OR(H2954=MappingTables!$C$34,H2954=MappingTables!$C$35)),1,VLOOKUP(CONCATENATE($D2954,$G2954),CSRFinput!$B:$E,4,0)))</f>
        <v>0.054776304963434752</v>
      </c>
      <c r="W2954" s="85">
        <f>IF(B2954="",0,+$T2954*$V2954)</f>
        <v>8.2012291426623312</v>
      </c>
      <c r="X2954" s="85">
        <f>IF(B2954="",0,IF(OR(H2954=MappingTables!$C$34,H2954=MappingTables!$C$35),W2954,0))</f>
        <v>0</v>
      </c>
    </row>
    <row r="2955" spans="2:24" s="0" customFormat="0" ht="15">
      <c r="B2955" s="69">
        <v>18714525</v>
      </c>
      <c r="C2955" s="70" t="s">
        <v>1747</v>
      </c>
      <c r="D2955" s="70" t="s">
        <v>1</v>
      </c>
      <c r="E2955" s="70" t="s">
        <v>1</v>
      </c>
      <c r="F2955" s="70"/>
      <c r="G2955" s="70" t="s">
        <v>61</v>
      </c>
      <c r="H2955" s="70" t="s">
        <v>178</v>
      </c>
      <c r="I2955" s="70" t="s">
        <v>181</v>
      </c>
      <c r="J2955" s="71">
        <f>IF(OR(I2955=0,I2955=""),"unrated",VLOOKUP(I2955,MappingTables!$B$19:$C$31,2,FALSE))</f>
        <v>3</v>
      </c>
      <c r="K2955" s="72">
        <v>15500.054742450714</v>
      </c>
      <c r="L2955" s="70">
        <v>6.9495694659032648</v>
      </c>
      <c r="M2955" s="71">
        <f>IF(L2955&lt;1,1,L2955)</f>
        <v>6.9495694659032648</v>
      </c>
      <c r="N2955" s="70" t="s">
        <v>141</v>
      </c>
      <c r="O2955" s="71">
        <f>INDEX(DurClassMapping,MATCH(M2955,MappingTables!$D$4:$D$8,-1),1)</f>
        <v>2</v>
      </c>
      <c r="P2955" s="73">
        <f>IF(M2955=$A$1,1,$M2955-INDEX(MappingTables!$E$4:$E$8,MATCH(O2955,MappingTables!$B$4:$B$8,0)))</f>
        <v>1.9495694659032648</v>
      </c>
      <c r="Q2955" s="71">
        <f>IF(B2955="",0,INDEX(ModelParameters!$D$6:$K$10,MATCH($O2955,ModelParameters!$B$6:$B$10,0),MATCH($J2955,ModelParameters!$D$5:$K$5,0)))</f>
        <v>0.015</v>
      </c>
      <c r="R2955" s="71">
        <f>IF(B2955="",0,INDEX(ModelParameters!$D$13:$K$17,MATCH($O2955,ModelParameters!$B$13:$B$17,0),MATCH($J2955,ModelParameters!$D$5:$K$5,0)))</f>
        <v>0.125</v>
      </c>
      <c r="S2955" s="160">
        <f>IF(B2955="",0,MIN(IF($N2955="Other Bond TM",ModelParameters!$N$21,1)*(P2955*Q2955+R2955),1))</f>
        <v>0.15424354198854898</v>
      </c>
      <c r="T2955" s="85">
        <f>IF(B2955="",0,$S2955*$K2955)</f>
        <v>2390.7833444920048</v>
      </c>
      <c r="U2955" s="85">
        <f>IF(B2955="",0,IF(OR(H2955=MappingTables!$C$34,H2955=MappingTables!$C$35),T2955,0))</f>
        <v>0</v>
      </c>
      <c r="V2955" s="85">
        <f>IF(ISNA(IF(AND(VLOOKUP(CONCATENATE($D2955,$G2955),CSRFinput!$B:$E,4,0)=0,OR(H2955=MappingTables!$C$34,H2955=MappingTables!$C$35)),1,VLOOKUP(CONCATENATE($D2955,$G2955),CSRFinput!$B:$E,4,0))),0,IF(AND(VLOOKUP(CONCATENATE($D2955,$G2955),CSRFinput!$B:$E,4,0)=0,OR(H2955=MappingTables!$C$34,H2955=MappingTables!$C$35)),1,VLOOKUP(CONCATENATE($D2955,$G2955),CSRFinput!$B:$E,4,0)))</f>
        <v>0.054776304963434752</v>
      </c>
      <c r="W2955" s="85">
        <f>IF(B2955="",0,+$T2955*$V2955)</f>
        <v>130.95827757939454</v>
      </c>
      <c r="X2955" s="85">
        <f>IF(B2955="",0,IF(OR(H2955=MappingTables!$C$34,H2955=MappingTables!$C$35),W2955,0))</f>
        <v>0</v>
      </c>
    </row>
    <row r="2956" spans="2:24" s="0" customFormat="0" ht="15">
      <c r="B2956" s="69" t="s">
        <v>1903</v>
      </c>
      <c r="C2956" s="70" t="s">
        <v>1904</v>
      </c>
      <c r="D2956" s="70" t="s">
        <v>1</v>
      </c>
      <c r="E2956" s="70" t="s">
        <v>1</v>
      </c>
      <c r="F2956" s="70"/>
      <c r="G2956" s="70" t="s">
        <v>61</v>
      </c>
      <c r="H2956" s="70" t="s">
        <v>178</v>
      </c>
      <c r="I2956" s="70" t="s">
        <v>181</v>
      </c>
      <c r="J2956" s="71">
        <f>IF(OR(I2956=0,I2956=""),"unrated",VLOOKUP(I2956,MappingTables!$B$19:$C$31,2,FALSE))</f>
        <v>3</v>
      </c>
      <c r="K2956" s="72">
        <v>4.5147597371845832</v>
      </c>
      <c r="L2956" s="70">
        <v>0.764392021488056</v>
      </c>
      <c r="M2956" s="71">
        <f>IF(L2956&lt;1,1,L2956)</f>
        <v>1</v>
      </c>
      <c r="N2956" s="70" t="s">
        <v>141</v>
      </c>
      <c r="O2956" s="71">
        <f>INDEX(DurClassMapping,MATCH(M2956,MappingTables!$D$4:$D$8,-1),1)</f>
        <v>1</v>
      </c>
      <c r="P2956" s="73">
        <f>IF(M2956=$A$1,1,$M2956-INDEX(MappingTables!$E$4:$E$8,MATCH(O2956,MappingTables!$B$4:$B$8,0)))</f>
        <v>1</v>
      </c>
      <c r="Q2956" s="71">
        <f>IF(B2956="",0,INDEX(ModelParameters!$D$6:$K$10,MATCH($O2956,ModelParameters!$B$6:$B$10,0),MATCH($J2956,ModelParameters!$D$5:$K$5,0)))</f>
        <v>0.025</v>
      </c>
      <c r="R2956" s="71">
        <f>IF(B2956="",0,INDEX(ModelParameters!$D$13:$K$17,MATCH($O2956,ModelParameters!$B$13:$B$17,0),MATCH($J2956,ModelParameters!$D$5:$K$5,0)))</f>
        <v>0</v>
      </c>
      <c r="S2956" s="160">
        <f>IF(B2956="",0,MIN(IF($N2956="Other Bond TM",ModelParameters!$N$21,1)*(P2956*Q2956+R2956),1))</f>
        <v>0.025</v>
      </c>
      <c r="T2956" s="85">
        <f>IF(B2956="",0,$S2956*$K2956)</f>
        <v>0.1128689934296146</v>
      </c>
      <c r="U2956" s="85">
        <f>IF(B2956="",0,IF(OR(H2956=MappingTables!$C$34,H2956=MappingTables!$C$35),T2956,0))</f>
        <v>0</v>
      </c>
      <c r="V2956" s="85">
        <f>IF(ISNA(IF(AND(VLOOKUP(CONCATENATE($D2956,$G2956),CSRFinput!$B:$E,4,0)=0,OR(H2956=MappingTables!$C$34,H2956=MappingTables!$C$35)),1,VLOOKUP(CONCATENATE($D2956,$G2956),CSRFinput!$B:$E,4,0))),0,IF(AND(VLOOKUP(CONCATENATE($D2956,$G2956),CSRFinput!$B:$E,4,0)=0,OR(H2956=MappingTables!$C$34,H2956=MappingTables!$C$35)),1,VLOOKUP(CONCATENATE($D2956,$G2956),CSRFinput!$B:$E,4,0)))</f>
        <v>0.054776304963434752</v>
      </c>
      <c r="W2956" s="85">
        <f>IF(B2956="",0,+$T2956*$V2956)</f>
        <v>0.0061825464050164824</v>
      </c>
      <c r="X2956" s="85">
        <f>IF(B2956="",0,IF(OR(H2956=MappingTables!$C$34,H2956=MappingTables!$C$35),W2956,0))</f>
        <v>0</v>
      </c>
    </row>
    <row r="2957" spans="2:24" s="0" customFormat="0" ht="15">
      <c r="B2957" s="69" t="s">
        <v>622</v>
      </c>
      <c r="C2957" s="70" t="s">
        <v>623</v>
      </c>
      <c r="D2957" s="70" t="s">
        <v>1</v>
      </c>
      <c r="E2957" s="70" t="s">
        <v>1</v>
      </c>
      <c r="F2957" s="70"/>
      <c r="G2957" s="70" t="s">
        <v>61</v>
      </c>
      <c r="H2957" s="70" t="s">
        <v>178</v>
      </c>
      <c r="I2957" s="70" t="s">
        <v>198</v>
      </c>
      <c r="J2957" s="71" t="str">
        <f>IF(OR(I2957=0,I2957=""),"unrated",VLOOKUP(I2957,MappingTables!$B$19:$C$31,2,FALSE))</f>
        <v>unrated</v>
      </c>
      <c r="K2957" s="72">
        <v>0.12048355868525392</v>
      </c>
      <c r="L2957" s="70">
        <v>0.24383687859497528</v>
      </c>
      <c r="M2957" s="71">
        <f>IF(L2957&lt;1,1,L2957)</f>
        <v>1</v>
      </c>
      <c r="N2957" s="70" t="s">
        <v>141</v>
      </c>
      <c r="O2957" s="71">
        <f>INDEX(DurClassMapping,MATCH(M2957,MappingTables!$D$4:$D$8,-1),1)</f>
        <v>1</v>
      </c>
      <c r="P2957" s="73">
        <f>IF(M2957=$A$1,1,$M2957-INDEX(MappingTables!$E$4:$E$8,MATCH(O2957,MappingTables!$B$4:$B$8,0)))</f>
        <v>1</v>
      </c>
      <c r="Q2957" s="71">
        <f>IF(B2957="",0,INDEX(ModelParameters!$D$6:$K$10,MATCH($O2957,ModelParameters!$B$6:$B$10,0),MATCH($J2957,ModelParameters!$D$5:$K$5,0)))</f>
        <v>0.03</v>
      </c>
      <c r="R2957" s="71">
        <f>IF(B2957="",0,INDEX(ModelParameters!$D$13:$K$17,MATCH($O2957,ModelParameters!$B$13:$B$17,0),MATCH($J2957,ModelParameters!$D$5:$K$5,0)))</f>
        <v>0</v>
      </c>
      <c r="S2957" s="160">
        <f>IF(B2957="",0,MIN(IF($N2957="Other Bond TM",ModelParameters!$N$21,1)*(P2957*Q2957+R2957),1))</f>
        <v>0.03</v>
      </c>
      <c r="T2957" s="85">
        <f>IF(B2957="",0,$S2957*$K2957)</f>
        <v>0.0036145067605576176</v>
      </c>
      <c r="U2957" s="85">
        <f>IF(B2957="",0,IF(OR(H2957=MappingTables!$C$34,H2957=MappingTables!$C$35),T2957,0))</f>
        <v>0</v>
      </c>
      <c r="V2957" s="85">
        <f>IF(ISNA(IF(AND(VLOOKUP(CONCATENATE($D2957,$G2957),CSRFinput!$B:$E,4,0)=0,OR(H2957=MappingTables!$C$34,H2957=MappingTables!$C$35)),1,VLOOKUP(CONCATENATE($D2957,$G2957),CSRFinput!$B:$E,4,0))),0,IF(AND(VLOOKUP(CONCATENATE($D2957,$G2957),CSRFinput!$B:$E,4,0)=0,OR(H2957=MappingTables!$C$34,H2957=MappingTables!$C$35)),1,VLOOKUP(CONCATENATE($D2957,$G2957),CSRFinput!$B:$E,4,0)))</f>
        <v>0.054776304963434752</v>
      </c>
      <c r="W2957" s="85">
        <f>IF(B2957="",0,+$T2957*$V2957)</f>
        <v>0.00019798932460870068</v>
      </c>
      <c r="X2957" s="85">
        <f>IF(B2957="",0,IF(OR(H2957=MappingTables!$C$34,H2957=MappingTables!$C$35),W2957,0))</f>
        <v>0</v>
      </c>
    </row>
    <row r="2958" spans="2:24" s="0" customFormat="0" ht="15">
      <c r="B2958" s="69" t="s">
        <v>2353</v>
      </c>
      <c r="C2958" s="70" t="s">
        <v>2354</v>
      </c>
      <c r="D2958" s="70" t="s">
        <v>1</v>
      </c>
      <c r="E2958" s="70" t="s">
        <v>1</v>
      </c>
      <c r="F2958" s="70"/>
      <c r="G2958" s="70" t="s">
        <v>61</v>
      </c>
      <c r="H2958" s="70" t="s">
        <v>178</v>
      </c>
      <c r="I2958" s="70" t="s">
        <v>181</v>
      </c>
      <c r="J2958" s="71">
        <f>IF(OR(I2958=0,I2958=""),"unrated",VLOOKUP(I2958,MappingTables!$B$19:$C$31,2,FALSE))</f>
        <v>3</v>
      </c>
      <c r="K2958" s="72">
        <v>257.83491061342364</v>
      </c>
      <c r="L2958" s="70">
        <v>8.7145787900164112</v>
      </c>
      <c r="M2958" s="71">
        <f>IF(L2958&lt;1,1,L2958)</f>
        <v>8.7145787900164112</v>
      </c>
      <c r="N2958" s="70" t="s">
        <v>141</v>
      </c>
      <c r="O2958" s="71">
        <f>INDEX(DurClassMapping,MATCH(M2958,MappingTables!$D$4:$D$8,-1),1)</f>
        <v>2</v>
      </c>
      <c r="P2958" s="73">
        <f>IF(M2958=$A$1,1,$M2958-INDEX(MappingTables!$E$4:$E$8,MATCH(O2958,MappingTables!$B$4:$B$8,0)))</f>
        <v>3.7145787900164112</v>
      </c>
      <c r="Q2958" s="71">
        <f>IF(B2958="",0,INDEX(ModelParameters!$D$6:$K$10,MATCH($O2958,ModelParameters!$B$6:$B$10,0),MATCH($J2958,ModelParameters!$D$5:$K$5,0)))</f>
        <v>0.015</v>
      </c>
      <c r="R2958" s="71">
        <f>IF(B2958="",0,INDEX(ModelParameters!$D$13:$K$17,MATCH($O2958,ModelParameters!$B$13:$B$17,0),MATCH($J2958,ModelParameters!$D$5:$K$5,0)))</f>
        <v>0.125</v>
      </c>
      <c r="S2958" s="160">
        <f>IF(B2958="",0,MIN(IF($N2958="Other Bond TM",ModelParameters!$N$21,1)*(P2958*Q2958+R2958),1))</f>
        <v>0.18071868185024616</v>
      </c>
      <c r="T2958" s="85">
        <f>IF(B2958="",0,$S2958*$K2958)</f>
        <v>46.595585181033968</v>
      </c>
      <c r="U2958" s="85">
        <f>IF(B2958="",0,IF(OR(H2958=MappingTables!$C$34,H2958=MappingTables!$C$35),T2958,0))</f>
        <v>0</v>
      </c>
      <c r="V2958" s="85">
        <f>IF(ISNA(IF(AND(VLOOKUP(CONCATENATE($D2958,$G2958),CSRFinput!$B:$E,4,0)=0,OR(H2958=MappingTables!$C$34,H2958=MappingTables!$C$35)),1,VLOOKUP(CONCATENATE($D2958,$G2958),CSRFinput!$B:$E,4,0))),0,IF(AND(VLOOKUP(CONCATENATE($D2958,$G2958),CSRFinput!$B:$E,4,0)=0,OR(H2958=MappingTables!$C$34,H2958=MappingTables!$C$35)),1,VLOOKUP(CONCATENATE($D2958,$G2958),CSRFinput!$B:$E,4,0)))</f>
        <v>0.054776304963434752</v>
      </c>
      <c r="W2958" s="85">
        <f>IF(B2958="",0,+$T2958*$V2958)</f>
        <v>2.552333983826018</v>
      </c>
      <c r="X2958" s="85">
        <f>IF(B2958="",0,IF(OR(H2958=MappingTables!$C$34,H2958=MappingTables!$C$35),W2958,0))</f>
        <v>0</v>
      </c>
    </row>
    <row r="2959" spans="2:24" s="0" customFormat="0" ht="15">
      <c r="B2959" s="69">
        <v>16080750</v>
      </c>
      <c r="C2959" s="70" t="s">
        <v>2519</v>
      </c>
      <c r="D2959" s="70" t="s">
        <v>1</v>
      </c>
      <c r="E2959" s="70" t="s">
        <v>1</v>
      </c>
      <c r="F2959" s="70"/>
      <c r="G2959" s="70" t="s">
        <v>61</v>
      </c>
      <c r="H2959" s="70" t="s">
        <v>178</v>
      </c>
      <c r="I2959" s="70" t="s">
        <v>220</v>
      </c>
      <c r="J2959" s="71">
        <f>IF(OR(I2959=0,I2959=""),"unrated",VLOOKUP(I2959,MappingTables!$B$19:$C$31,2,FALSE))</f>
        <v>1</v>
      </c>
      <c r="K2959" s="72">
        <v>14.467544629993086</v>
      </c>
      <c r="L2959" s="70">
        <v>0.28219358029727272</v>
      </c>
      <c r="M2959" s="71">
        <f>IF(L2959&lt;1,1,L2959)</f>
        <v>1</v>
      </c>
      <c r="N2959" s="70" t="s">
        <v>141</v>
      </c>
      <c r="O2959" s="71">
        <f>INDEX(DurClassMapping,MATCH(M2959,MappingTables!$D$4:$D$8,-1),1)</f>
        <v>1</v>
      </c>
      <c r="P2959" s="73">
        <f>IF(M2959=$A$1,1,$M2959-INDEX(MappingTables!$E$4:$E$8,MATCH(O2959,MappingTables!$B$4:$B$8,0)))</f>
        <v>1</v>
      </c>
      <c r="Q2959" s="71">
        <f>IF(B2959="",0,INDEX(ModelParameters!$D$6:$K$10,MATCH($O2959,ModelParameters!$B$6:$B$10,0),MATCH($J2959,ModelParameters!$D$5:$K$5,0)))</f>
        <v>0.011000000000000002</v>
      </c>
      <c r="R2959" s="71">
        <f>IF(B2959="",0,INDEX(ModelParameters!$D$13:$K$17,MATCH($O2959,ModelParameters!$B$13:$B$17,0),MATCH($J2959,ModelParameters!$D$5:$K$5,0)))</f>
        <v>0</v>
      </c>
      <c r="S2959" s="160">
        <f>IF(B2959="",0,MIN(IF($N2959="Other Bond TM",ModelParameters!$N$21,1)*(P2959*Q2959+R2959),1))</f>
        <v>0.011000000000000002</v>
      </c>
      <c r="T2959" s="85">
        <f>IF(B2959="",0,$S2959*$K2959)</f>
        <v>0.15914299092992396</v>
      </c>
      <c r="U2959" s="85">
        <f>IF(B2959="",0,IF(OR(H2959=MappingTables!$C$34,H2959=MappingTables!$C$35),T2959,0))</f>
        <v>0</v>
      </c>
      <c r="V2959" s="85">
        <f>IF(ISNA(IF(AND(VLOOKUP(CONCATENATE($D2959,$G2959),CSRFinput!$B:$E,4,0)=0,OR(H2959=MappingTables!$C$34,H2959=MappingTables!$C$35)),1,VLOOKUP(CONCATENATE($D2959,$G2959),CSRFinput!$B:$E,4,0))),0,IF(AND(VLOOKUP(CONCATENATE($D2959,$G2959),CSRFinput!$B:$E,4,0)=0,OR(H2959=MappingTables!$C$34,H2959=MappingTables!$C$35)),1,VLOOKUP(CONCATENATE($D2959,$G2959),CSRFinput!$B:$E,4,0)))</f>
        <v>0.054776304963434752</v>
      </c>
      <c r="W2959" s="85">
        <f>IF(B2959="",0,+$T2959*$V2959)</f>
        <v>0.0087172650039706448</v>
      </c>
      <c r="X2959" s="85">
        <f>IF(B2959="",0,IF(OR(H2959=MappingTables!$C$34,H2959=MappingTables!$C$35),W2959,0))</f>
        <v>0</v>
      </c>
    </row>
    <row r="2960" spans="2:24" s="0" customFormat="0" ht="15">
      <c r="B2960" s="69" t="s">
        <v>2672</v>
      </c>
      <c r="C2960" s="70" t="s">
        <v>2673</v>
      </c>
      <c r="D2960" s="70" t="s">
        <v>1</v>
      </c>
      <c r="E2960" s="70" t="s">
        <v>1</v>
      </c>
      <c r="F2960" s="70"/>
      <c r="G2960" s="70" t="s">
        <v>61</v>
      </c>
      <c r="H2960" s="70" t="s">
        <v>178</v>
      </c>
      <c r="I2960" s="70" t="s">
        <v>220</v>
      </c>
      <c r="J2960" s="71">
        <f>IF(OR(I2960=0,I2960=""),"unrated",VLOOKUP(I2960,MappingTables!$B$19:$C$31,2,FALSE))</f>
        <v>1</v>
      </c>
      <c r="K2960" s="72">
        <v>243.38206604901624</v>
      </c>
      <c r="L2960" s="70">
        <v>1.8379973172241496</v>
      </c>
      <c r="M2960" s="71">
        <f>IF(L2960&lt;1,1,L2960)</f>
        <v>1.8379973172241496</v>
      </c>
      <c r="N2960" s="70" t="s">
        <v>141</v>
      </c>
      <c r="O2960" s="71">
        <f>INDEX(DurClassMapping,MATCH(M2960,MappingTables!$D$4:$D$8,-1),1)</f>
        <v>1</v>
      </c>
      <c r="P2960" s="73">
        <f>IF(M2960=$A$1,1,$M2960-INDEX(MappingTables!$E$4:$E$8,MATCH(O2960,MappingTables!$B$4:$B$8,0)))</f>
        <v>1.8379973172241496</v>
      </c>
      <c r="Q2960" s="71">
        <f>IF(B2960="",0,INDEX(ModelParameters!$D$6:$K$10,MATCH($O2960,ModelParameters!$B$6:$B$10,0),MATCH($J2960,ModelParameters!$D$5:$K$5,0)))</f>
        <v>0.011000000000000002</v>
      </c>
      <c r="R2960" s="71">
        <f>IF(B2960="",0,INDEX(ModelParameters!$D$13:$K$17,MATCH($O2960,ModelParameters!$B$13:$B$17,0),MATCH($J2960,ModelParameters!$D$5:$K$5,0)))</f>
        <v>0</v>
      </c>
      <c r="S2960" s="160">
        <f>IF(B2960="",0,MIN(IF($N2960="Other Bond TM",ModelParameters!$N$21,1)*(P2960*Q2960+R2960),1))</f>
        <v>0.020217970489465648</v>
      </c>
      <c r="T2960" s="85">
        <f>IF(B2960="",0,$S2960*$K2960)</f>
        <v>4.9206914290441896</v>
      </c>
      <c r="U2960" s="85">
        <f>IF(B2960="",0,IF(OR(H2960=MappingTables!$C$34,H2960=MappingTables!$C$35),T2960,0))</f>
        <v>0</v>
      </c>
      <c r="V2960" s="85">
        <f>IF(ISNA(IF(AND(VLOOKUP(CONCATENATE($D2960,$G2960),CSRFinput!$B:$E,4,0)=0,OR(H2960=MappingTables!$C$34,H2960=MappingTables!$C$35)),1,VLOOKUP(CONCATENATE($D2960,$G2960),CSRFinput!$B:$E,4,0))),0,IF(AND(VLOOKUP(CONCATENATE($D2960,$G2960),CSRFinput!$B:$E,4,0)=0,OR(H2960=MappingTables!$C$34,H2960=MappingTables!$C$35)),1,VLOOKUP(CONCATENATE($D2960,$G2960),CSRFinput!$B:$E,4,0)))</f>
        <v>0.054776304963434752</v>
      </c>
      <c r="W2960" s="85">
        <f>IF(B2960="",0,+$T2960*$V2960)</f>
        <v>0.26953729434828404</v>
      </c>
      <c r="X2960" s="85">
        <f>IF(B2960="",0,IF(OR(H2960=MappingTables!$C$34,H2960=MappingTables!$C$35),W2960,0))</f>
        <v>0</v>
      </c>
    </row>
    <row r="2961" spans="2:24" s="0" customFormat="0" ht="15">
      <c r="B2961" s="69" t="s">
        <v>2674</v>
      </c>
      <c r="C2961" s="70" t="s">
        <v>2675</v>
      </c>
      <c r="D2961" s="70" t="s">
        <v>1</v>
      </c>
      <c r="E2961" s="70" t="s">
        <v>1</v>
      </c>
      <c r="F2961" s="70"/>
      <c r="G2961" s="70" t="s">
        <v>61</v>
      </c>
      <c r="H2961" s="70" t="s">
        <v>178</v>
      </c>
      <c r="I2961" s="70" t="s">
        <v>179</v>
      </c>
      <c r="J2961" s="71">
        <f>IF(OR(I2961=0,I2961=""),"unrated",VLOOKUP(I2961,MappingTables!$B$19:$C$31,2,FALSE))</f>
        <v>4</v>
      </c>
      <c r="K2961" s="72">
        <v>28507.602145118916</v>
      </c>
      <c r="L2961" s="70">
        <v>5.2708268718804904</v>
      </c>
      <c r="M2961" s="71">
        <f>IF(L2961&lt;1,1,L2961)</f>
        <v>5.2708268718804904</v>
      </c>
      <c r="N2961" s="70" t="s">
        <v>141</v>
      </c>
      <c r="O2961" s="71">
        <f>INDEX(DurClassMapping,MATCH(M2961,MappingTables!$D$4:$D$8,-1),1)</f>
        <v>2</v>
      </c>
      <c r="P2961" s="73">
        <f>IF(M2961=$A$1,1,$M2961-INDEX(MappingTables!$E$4:$E$8,MATCH(O2961,MappingTables!$B$4:$B$8,0)))</f>
        <v>0.27082687188049004</v>
      </c>
      <c r="Q2961" s="71">
        <f>IF(B2961="",0,INDEX(ModelParameters!$D$6:$K$10,MATCH($O2961,ModelParameters!$B$6:$B$10,0),MATCH($J2961,ModelParameters!$D$5:$K$5,0)))</f>
        <v>0.025</v>
      </c>
      <c r="R2961" s="71">
        <f>IF(B2961="",0,INDEX(ModelParameters!$D$13:$K$17,MATCH($O2961,ModelParameters!$B$13:$B$17,0),MATCH($J2961,ModelParameters!$D$5:$K$5,0)))</f>
        <v>0.225</v>
      </c>
      <c r="S2961" s="160">
        <f>IF(B2961="",0,MIN(IF($N2961="Other Bond TM",ModelParameters!$N$21,1)*(P2961*Q2961+R2961),1))</f>
        <v>0.23177067179701224</v>
      </c>
      <c r="T2961" s="85">
        <f>IF(B2961="",0,$S2961*$K2961)</f>
        <v>6607.2261004961584</v>
      </c>
      <c r="U2961" s="85">
        <f>IF(B2961="",0,IF(OR(H2961=MappingTables!$C$34,H2961=MappingTables!$C$35),T2961,0))</f>
        <v>0</v>
      </c>
      <c r="V2961" s="85">
        <f>IF(ISNA(IF(AND(VLOOKUP(CONCATENATE($D2961,$G2961),CSRFinput!$B:$E,4,0)=0,OR(H2961=MappingTables!$C$34,H2961=MappingTables!$C$35)),1,VLOOKUP(CONCATENATE($D2961,$G2961),CSRFinput!$B:$E,4,0))),0,IF(AND(VLOOKUP(CONCATENATE($D2961,$G2961),CSRFinput!$B:$E,4,0)=0,OR(H2961=MappingTables!$C$34,H2961=MappingTables!$C$35)),1,VLOOKUP(CONCATENATE($D2961,$G2961),CSRFinput!$B:$E,4,0)))</f>
        <v>0.054776304963434752</v>
      </c>
      <c r="W2961" s="85">
        <f>IF(B2961="",0,+$T2961*$V2961)</f>
        <v>361.91943184314336</v>
      </c>
      <c r="X2961" s="85">
        <f>IF(B2961="",0,IF(OR(H2961=MappingTables!$C$34,H2961=MappingTables!$C$35),W2961,0))</f>
        <v>0</v>
      </c>
    </row>
    <row r="2962" spans="2:24" s="0" customFormat="0" ht="15">
      <c r="B2962" s="69">
        <v>18764711</v>
      </c>
      <c r="C2962" s="70" t="s">
        <v>2676</v>
      </c>
      <c r="D2962" s="70" t="s">
        <v>1</v>
      </c>
      <c r="E2962" s="70" t="s">
        <v>1</v>
      </c>
      <c r="F2962" s="70"/>
      <c r="G2962" s="70" t="s">
        <v>61</v>
      </c>
      <c r="H2962" s="70" t="s">
        <v>178</v>
      </c>
      <c r="I2962" s="70" t="s">
        <v>184</v>
      </c>
      <c r="J2962" s="71">
        <f>IF(OR(I2962=0,I2962=""),"unrated",VLOOKUP(I2962,MappingTables!$B$19:$C$31,2,FALSE))</f>
        <v>5</v>
      </c>
      <c r="K2962" s="72">
        <v>147.49001338810766</v>
      </c>
      <c r="L2962" s="70">
        <v>0.81993218039163024</v>
      </c>
      <c r="M2962" s="71">
        <f>IF(L2962&lt;1,1,L2962)</f>
        <v>1</v>
      </c>
      <c r="N2962" s="70" t="s">
        <v>141</v>
      </c>
      <c r="O2962" s="71">
        <f>INDEX(DurClassMapping,MATCH(M2962,MappingTables!$D$4:$D$8,-1),1)</f>
        <v>1</v>
      </c>
      <c r="P2962" s="73">
        <f>IF(M2962=$A$1,1,$M2962-INDEX(MappingTables!$E$4:$E$8,MATCH(O2962,MappingTables!$B$4:$B$8,0)))</f>
        <v>1</v>
      </c>
      <c r="Q2962" s="71">
        <f>IF(B2962="",0,INDEX(ModelParameters!$D$6:$K$10,MATCH($O2962,ModelParameters!$B$6:$B$10,0),MATCH($J2962,ModelParameters!$D$5:$K$5,0)))</f>
        <v>0.075</v>
      </c>
      <c r="R2962" s="71">
        <f>IF(B2962="",0,INDEX(ModelParameters!$D$13:$K$17,MATCH($O2962,ModelParameters!$B$13:$B$17,0),MATCH($J2962,ModelParameters!$D$5:$K$5,0)))</f>
        <v>0</v>
      </c>
      <c r="S2962" s="160">
        <f>IF(B2962="",0,MIN(IF($N2962="Other Bond TM",ModelParameters!$N$21,1)*(P2962*Q2962+R2962),1))</f>
        <v>0.075</v>
      </c>
      <c r="T2962" s="85">
        <f>IF(B2962="",0,$S2962*$K2962)</f>
        <v>11.061751004108074</v>
      </c>
      <c r="U2962" s="85">
        <f>IF(B2962="",0,IF(OR(H2962=MappingTables!$C$34,H2962=MappingTables!$C$35),T2962,0))</f>
        <v>0</v>
      </c>
      <c r="V2962" s="85">
        <f>IF(ISNA(IF(AND(VLOOKUP(CONCATENATE($D2962,$G2962),CSRFinput!$B:$E,4,0)=0,OR(H2962=MappingTables!$C$34,H2962=MappingTables!$C$35)),1,VLOOKUP(CONCATENATE($D2962,$G2962),CSRFinput!$B:$E,4,0))),0,IF(AND(VLOOKUP(CONCATENATE($D2962,$G2962),CSRFinput!$B:$E,4,0)=0,OR(H2962=MappingTables!$C$34,H2962=MappingTables!$C$35)),1,VLOOKUP(CONCATENATE($D2962,$G2962),CSRFinput!$B:$E,4,0)))</f>
        <v>0.054776304963434752</v>
      </c>
      <c r="W2962" s="85">
        <f>IF(B2962="",0,+$T2962*$V2962)</f>
        <v>0.6059218464306044</v>
      </c>
      <c r="X2962" s="85">
        <f>IF(B2962="",0,IF(OR(H2962=MappingTables!$C$34,H2962=MappingTables!$C$35),W2962,0))</f>
        <v>0</v>
      </c>
    </row>
    <row r="2963" spans="2:24" s="0" customFormat="0" ht="15">
      <c r="B2963" s="69">
        <v>13136867</v>
      </c>
      <c r="C2963" s="70" t="s">
        <v>2677</v>
      </c>
      <c r="D2963" s="70" t="s">
        <v>1</v>
      </c>
      <c r="E2963" s="70" t="s">
        <v>1</v>
      </c>
      <c r="F2963" s="70"/>
      <c r="G2963" s="70" t="s">
        <v>61</v>
      </c>
      <c r="H2963" s="70" t="s">
        <v>178</v>
      </c>
      <c r="I2963" s="70" t="s">
        <v>188</v>
      </c>
      <c r="J2963" s="71">
        <f>IF(OR(I2963=0,I2963=""),"unrated",VLOOKUP(I2963,MappingTables!$B$19:$C$31,2,FALSE))</f>
        <v>2</v>
      </c>
      <c r="K2963" s="72">
        <v>13869.832810865456</v>
      </c>
      <c r="L2963" s="70">
        <v>0.98887061173060368</v>
      </c>
      <c r="M2963" s="71">
        <f>IF(L2963&lt;1,1,L2963)</f>
        <v>1</v>
      </c>
      <c r="N2963" s="70" t="s">
        <v>141</v>
      </c>
      <c r="O2963" s="71">
        <f>INDEX(DurClassMapping,MATCH(M2963,MappingTables!$D$4:$D$8,-1),1)</f>
        <v>1</v>
      </c>
      <c r="P2963" s="73">
        <f>IF(M2963=$A$1,1,$M2963-INDEX(MappingTables!$E$4:$E$8,MATCH(O2963,MappingTables!$B$4:$B$8,0)))</f>
        <v>1</v>
      </c>
      <c r="Q2963" s="71">
        <f>IF(B2963="",0,INDEX(ModelParameters!$D$6:$K$10,MATCH($O2963,ModelParameters!$B$6:$B$10,0),MATCH($J2963,ModelParameters!$D$5:$K$5,0)))</f>
        <v>0.013999999999999998</v>
      </c>
      <c r="R2963" s="71">
        <f>IF(B2963="",0,INDEX(ModelParameters!$D$13:$K$17,MATCH($O2963,ModelParameters!$B$13:$B$17,0),MATCH($J2963,ModelParameters!$D$5:$K$5,0)))</f>
        <v>0</v>
      </c>
      <c r="S2963" s="160">
        <f>IF(B2963="",0,MIN(IF($N2963="Other Bond TM",ModelParameters!$N$21,1)*(P2963*Q2963+R2963),1))</f>
        <v>0.013999999999999998</v>
      </c>
      <c r="T2963" s="85">
        <f>IF(B2963="",0,$S2963*$K2963)</f>
        <v>194.17765935211632</v>
      </c>
      <c r="U2963" s="85">
        <f>IF(B2963="",0,IF(OR(H2963=MappingTables!$C$34,H2963=MappingTables!$C$35),T2963,0))</f>
        <v>0</v>
      </c>
      <c r="V2963" s="85">
        <f>IF(ISNA(IF(AND(VLOOKUP(CONCATENATE($D2963,$G2963),CSRFinput!$B:$E,4,0)=0,OR(H2963=MappingTables!$C$34,H2963=MappingTables!$C$35)),1,VLOOKUP(CONCATENATE($D2963,$G2963),CSRFinput!$B:$E,4,0))),0,IF(AND(VLOOKUP(CONCATENATE($D2963,$G2963),CSRFinput!$B:$E,4,0)=0,OR(H2963=MappingTables!$C$34,H2963=MappingTables!$C$35)),1,VLOOKUP(CONCATENATE($D2963,$G2963),CSRFinput!$B:$E,4,0)))</f>
        <v>0.054776304963434752</v>
      </c>
      <c r="W2963" s="85">
        <f>IF(B2963="",0,+$T2963*$V2963)</f>
        <v>10.636334685757474</v>
      </c>
      <c r="X2963" s="85">
        <f>IF(B2963="",0,IF(OR(H2963=MappingTables!$C$34,H2963=MappingTables!$C$35),W2963,0))</f>
        <v>0</v>
      </c>
    </row>
    <row r="2964" spans="2:24" s="0" customFormat="0" ht="15">
      <c r="B2964" s="69" t="s">
        <v>2541</v>
      </c>
      <c r="C2964" s="70" t="s">
        <v>2542</v>
      </c>
      <c r="D2964" s="70" t="s">
        <v>1</v>
      </c>
      <c r="E2964" s="70" t="s">
        <v>1</v>
      </c>
      <c r="F2964" s="70"/>
      <c r="G2964" s="70" t="s">
        <v>61</v>
      </c>
      <c r="H2964" s="70" t="s">
        <v>178</v>
      </c>
      <c r="I2964" s="70" t="s">
        <v>181</v>
      </c>
      <c r="J2964" s="71">
        <f>IF(OR(I2964=0,I2964=""),"unrated",VLOOKUP(I2964,MappingTables!$B$19:$C$31,2,FALSE))</f>
        <v>3</v>
      </c>
      <c r="K2964" s="72">
        <v>74.394627424355584</v>
      </c>
      <c r="L2964" s="70">
        <v>2.9538484740009476</v>
      </c>
      <c r="M2964" s="71">
        <f>IF(L2964&lt;1,1,L2964)</f>
        <v>2.9538484740009476</v>
      </c>
      <c r="N2964" s="70" t="s">
        <v>141</v>
      </c>
      <c r="O2964" s="71">
        <f>INDEX(DurClassMapping,MATCH(M2964,MappingTables!$D$4:$D$8,-1),1)</f>
        <v>1</v>
      </c>
      <c r="P2964" s="73">
        <f>IF(M2964=$A$1,1,$M2964-INDEX(MappingTables!$E$4:$E$8,MATCH(O2964,MappingTables!$B$4:$B$8,0)))</f>
        <v>2.9538484740009476</v>
      </c>
      <c r="Q2964" s="71">
        <f>IF(B2964="",0,INDEX(ModelParameters!$D$6:$K$10,MATCH($O2964,ModelParameters!$B$6:$B$10,0),MATCH($J2964,ModelParameters!$D$5:$K$5,0)))</f>
        <v>0.025</v>
      </c>
      <c r="R2964" s="71">
        <f>IF(B2964="",0,INDEX(ModelParameters!$D$13:$K$17,MATCH($O2964,ModelParameters!$B$13:$B$17,0),MATCH($J2964,ModelParameters!$D$5:$K$5,0)))</f>
        <v>0</v>
      </c>
      <c r="S2964" s="160">
        <f>IF(B2964="",0,MIN(IF($N2964="Other Bond TM",ModelParameters!$N$21,1)*(P2964*Q2964+R2964),1))</f>
        <v>0.073846211850023696</v>
      </c>
      <c r="T2964" s="85">
        <f>IF(B2964="",0,$S2964*$K2964)</f>
        <v>5.4937614172825456</v>
      </c>
      <c r="U2964" s="85">
        <f>IF(B2964="",0,IF(OR(H2964=MappingTables!$C$34,H2964=MappingTables!$C$35),T2964,0))</f>
        <v>0</v>
      </c>
      <c r="V2964" s="85">
        <f>IF(ISNA(IF(AND(VLOOKUP(CONCATENATE($D2964,$G2964),CSRFinput!$B:$E,4,0)=0,OR(H2964=MappingTables!$C$34,H2964=MappingTables!$C$35)),1,VLOOKUP(CONCATENATE($D2964,$G2964),CSRFinput!$B:$E,4,0))),0,IF(AND(VLOOKUP(CONCATENATE($D2964,$G2964),CSRFinput!$B:$E,4,0)=0,OR(H2964=MappingTables!$C$34,H2964=MappingTables!$C$35)),1,VLOOKUP(CONCATENATE($D2964,$G2964),CSRFinput!$B:$E,4,0)))</f>
        <v>0.054776304963434752</v>
      </c>
      <c r="W2964" s="85">
        <f>IF(B2964="",0,+$T2964*$V2964)</f>
        <v>0.30092795078942024</v>
      </c>
      <c r="X2964" s="85">
        <f>IF(B2964="",0,IF(OR(H2964=MappingTables!$C$34,H2964=MappingTables!$C$35),W2964,0))</f>
        <v>0</v>
      </c>
    </row>
    <row r="2965" spans="2:24" s="0" customFormat="0" ht="15">
      <c r="B2965" s="69">
        <v>21247047</v>
      </c>
      <c r="C2965" s="70" t="s">
        <v>2678</v>
      </c>
      <c r="D2965" s="70" t="s">
        <v>1</v>
      </c>
      <c r="E2965" s="70" t="s">
        <v>1</v>
      </c>
      <c r="F2965" s="70"/>
      <c r="G2965" s="70" t="s">
        <v>61</v>
      </c>
      <c r="H2965" s="70" t="s">
        <v>178</v>
      </c>
      <c r="I2965" s="70" t="s">
        <v>184</v>
      </c>
      <c r="J2965" s="71">
        <f>IF(OR(I2965=0,I2965=""),"unrated",VLOOKUP(I2965,MappingTables!$B$19:$C$31,2,FALSE))</f>
        <v>5</v>
      </c>
      <c r="K2965" s="72">
        <v>58.912990655346008</v>
      </c>
      <c r="L2965" s="70">
        <v>0.77437843295173696</v>
      </c>
      <c r="M2965" s="71">
        <f>IF(L2965&lt;1,1,L2965)</f>
        <v>1</v>
      </c>
      <c r="N2965" s="70" t="s">
        <v>141</v>
      </c>
      <c r="O2965" s="71">
        <f>INDEX(DurClassMapping,MATCH(M2965,MappingTables!$D$4:$D$8,-1),1)</f>
        <v>1</v>
      </c>
      <c r="P2965" s="73">
        <f>IF(M2965=$A$1,1,$M2965-INDEX(MappingTables!$E$4:$E$8,MATCH(O2965,MappingTables!$B$4:$B$8,0)))</f>
        <v>1</v>
      </c>
      <c r="Q2965" s="71">
        <f>IF(B2965="",0,INDEX(ModelParameters!$D$6:$K$10,MATCH($O2965,ModelParameters!$B$6:$B$10,0),MATCH($J2965,ModelParameters!$D$5:$K$5,0)))</f>
        <v>0.075</v>
      </c>
      <c r="R2965" s="71">
        <f>IF(B2965="",0,INDEX(ModelParameters!$D$13:$K$17,MATCH($O2965,ModelParameters!$B$13:$B$17,0),MATCH($J2965,ModelParameters!$D$5:$K$5,0)))</f>
        <v>0</v>
      </c>
      <c r="S2965" s="160">
        <f>IF(B2965="",0,MIN(IF($N2965="Other Bond TM",ModelParameters!$N$21,1)*(P2965*Q2965+R2965),1))</f>
        <v>0.075</v>
      </c>
      <c r="T2965" s="85">
        <f>IF(B2965="",0,$S2965*$K2965)</f>
        <v>4.4184742991509504</v>
      </c>
      <c r="U2965" s="85">
        <f>IF(B2965="",0,IF(OR(H2965=MappingTables!$C$34,H2965=MappingTables!$C$35),T2965,0))</f>
        <v>0</v>
      </c>
      <c r="V2965" s="85">
        <f>IF(ISNA(IF(AND(VLOOKUP(CONCATENATE($D2965,$G2965),CSRFinput!$B:$E,4,0)=0,OR(H2965=MappingTables!$C$34,H2965=MappingTables!$C$35)),1,VLOOKUP(CONCATENATE($D2965,$G2965),CSRFinput!$B:$E,4,0))),0,IF(AND(VLOOKUP(CONCATENATE($D2965,$G2965),CSRFinput!$B:$E,4,0)=0,OR(H2965=MappingTables!$C$34,H2965=MappingTables!$C$35)),1,VLOOKUP(CONCATENATE($D2965,$G2965),CSRFinput!$B:$E,4,0)))</f>
        <v>0.054776304963434752</v>
      </c>
      <c r="W2965" s="85">
        <f>IF(B2965="",0,+$T2965*$V2965)</f>
        <v>0.24202769568339108</v>
      </c>
      <c r="X2965" s="85">
        <f>IF(B2965="",0,IF(OR(H2965=MappingTables!$C$34,H2965=MappingTables!$C$35),W2965,0))</f>
        <v>0</v>
      </c>
    </row>
    <row r="2966" spans="2:24" s="0" customFormat="0" ht="15">
      <c r="B2966" s="69">
        <v>15456588</v>
      </c>
      <c r="C2966" s="70" t="s">
        <v>2679</v>
      </c>
      <c r="D2966" s="70" t="s">
        <v>1</v>
      </c>
      <c r="E2966" s="70" t="s">
        <v>1</v>
      </c>
      <c r="F2966" s="70"/>
      <c r="G2966" s="70" t="s">
        <v>61</v>
      </c>
      <c r="H2966" s="70" t="s">
        <v>178</v>
      </c>
      <c r="I2966" s="70" t="s">
        <v>181</v>
      </c>
      <c r="J2966" s="71">
        <f>IF(OR(I2966=0,I2966=""),"unrated",VLOOKUP(I2966,MappingTables!$B$19:$C$31,2,FALSE))</f>
        <v>3</v>
      </c>
      <c r="K2966" s="72">
        <v>44.019506260685696</v>
      </c>
      <c r="L2966" s="70">
        <v>1.8427988268459112</v>
      </c>
      <c r="M2966" s="71">
        <f>IF(L2966&lt;1,1,L2966)</f>
        <v>1.8427988268459112</v>
      </c>
      <c r="N2966" s="70" t="s">
        <v>141</v>
      </c>
      <c r="O2966" s="71">
        <f>INDEX(DurClassMapping,MATCH(M2966,MappingTables!$D$4:$D$8,-1),1)</f>
        <v>1</v>
      </c>
      <c r="P2966" s="73">
        <f>IF(M2966=$A$1,1,$M2966-INDEX(MappingTables!$E$4:$E$8,MATCH(O2966,MappingTables!$B$4:$B$8,0)))</f>
        <v>1.8427988268459112</v>
      </c>
      <c r="Q2966" s="71">
        <f>IF(B2966="",0,INDEX(ModelParameters!$D$6:$K$10,MATCH($O2966,ModelParameters!$B$6:$B$10,0),MATCH($J2966,ModelParameters!$D$5:$K$5,0)))</f>
        <v>0.025</v>
      </c>
      <c r="R2966" s="71">
        <f>IF(B2966="",0,INDEX(ModelParameters!$D$13:$K$17,MATCH($O2966,ModelParameters!$B$13:$B$17,0),MATCH($J2966,ModelParameters!$D$5:$K$5,0)))</f>
        <v>0</v>
      </c>
      <c r="S2966" s="160">
        <f>IF(B2966="",0,MIN(IF($N2966="Other Bond TM",ModelParameters!$N$21,1)*(P2966*Q2966+R2966),1))</f>
        <v>0.046069970671147776</v>
      </c>
      <c r="T2966" s="85">
        <f>IF(B2966="",0,$S2966*$K2966)</f>
        <v>2.027977362388196</v>
      </c>
      <c r="U2966" s="85">
        <f>IF(B2966="",0,IF(OR(H2966=MappingTables!$C$34,H2966=MappingTables!$C$35),T2966,0))</f>
        <v>0</v>
      </c>
      <c r="V2966" s="85">
        <f>IF(ISNA(IF(AND(VLOOKUP(CONCATENATE($D2966,$G2966),CSRFinput!$B:$E,4,0)=0,OR(H2966=MappingTables!$C$34,H2966=MappingTables!$C$35)),1,VLOOKUP(CONCATENATE($D2966,$G2966),CSRFinput!$B:$E,4,0))),0,IF(AND(VLOOKUP(CONCATENATE($D2966,$G2966),CSRFinput!$B:$E,4,0)=0,OR(H2966=MappingTables!$C$34,H2966=MappingTables!$C$35)),1,VLOOKUP(CONCATENATE($D2966,$G2966),CSRFinput!$B:$E,4,0)))</f>
        <v>0.054776304963434752</v>
      </c>
      <c r="W2966" s="85">
        <f>IF(B2966="",0,+$T2966*$V2966)</f>
        <v>0.11108510646111786</v>
      </c>
      <c r="X2966" s="85">
        <f>IF(B2966="",0,IF(OR(H2966=MappingTables!$C$34,H2966=MappingTables!$C$35),W2966,0))</f>
        <v>0</v>
      </c>
    </row>
    <row r="2967" spans="2:24" s="0" customFormat="0" ht="15">
      <c r="B2967" s="69">
        <v>24432662</v>
      </c>
      <c r="C2967" s="70" t="s">
        <v>2680</v>
      </c>
      <c r="D2967" s="70" t="s">
        <v>1</v>
      </c>
      <c r="E2967" s="70" t="s">
        <v>1</v>
      </c>
      <c r="F2967" s="70"/>
      <c r="G2967" s="70" t="s">
        <v>61</v>
      </c>
      <c r="H2967" s="70" t="s">
        <v>178</v>
      </c>
      <c r="I2967" s="70" t="s">
        <v>184</v>
      </c>
      <c r="J2967" s="71">
        <f>IF(OR(I2967=0,I2967=""),"unrated",VLOOKUP(I2967,MappingTables!$B$19:$C$31,2,FALSE))</f>
        <v>5</v>
      </c>
      <c r="K2967" s="72">
        <v>13073.313866806978</v>
      </c>
      <c r="L2967" s="70">
        <v>2.1344880171268956</v>
      </c>
      <c r="M2967" s="71">
        <f>IF(L2967&lt;1,1,L2967)</f>
        <v>2.1344880171268956</v>
      </c>
      <c r="N2967" s="70" t="s">
        <v>141</v>
      </c>
      <c r="O2967" s="71">
        <f>INDEX(DurClassMapping,MATCH(M2967,MappingTables!$D$4:$D$8,-1),1)</f>
        <v>1</v>
      </c>
      <c r="P2967" s="73">
        <f>IF(M2967=$A$1,1,$M2967-INDEX(MappingTables!$E$4:$E$8,MATCH(O2967,MappingTables!$B$4:$B$8,0)))</f>
        <v>2.1344880171268956</v>
      </c>
      <c r="Q2967" s="71">
        <f>IF(B2967="",0,INDEX(ModelParameters!$D$6:$K$10,MATCH($O2967,ModelParameters!$B$6:$B$10,0),MATCH($J2967,ModelParameters!$D$5:$K$5,0)))</f>
        <v>0.075</v>
      </c>
      <c r="R2967" s="71">
        <f>IF(B2967="",0,INDEX(ModelParameters!$D$13:$K$17,MATCH($O2967,ModelParameters!$B$13:$B$17,0),MATCH($J2967,ModelParameters!$D$5:$K$5,0)))</f>
        <v>0</v>
      </c>
      <c r="S2967" s="160">
        <f>IF(B2967="",0,MIN(IF($N2967="Other Bond TM",ModelParameters!$N$21,1)*(P2967*Q2967+R2967),1))</f>
        <v>0.16008660128451716</v>
      </c>
      <c r="T2967" s="85">
        <f>IF(B2967="",0,$S2967*$K2967)</f>
        <v>2092.8623844628776</v>
      </c>
      <c r="U2967" s="85">
        <f>IF(B2967="",0,IF(OR(H2967=MappingTables!$C$34,H2967=MappingTables!$C$35),T2967,0))</f>
        <v>0</v>
      </c>
      <c r="V2967" s="85">
        <f>IF(ISNA(IF(AND(VLOOKUP(CONCATENATE($D2967,$G2967),CSRFinput!$B:$E,4,0)=0,OR(H2967=MappingTables!$C$34,H2967=MappingTables!$C$35)),1,VLOOKUP(CONCATENATE($D2967,$G2967),CSRFinput!$B:$E,4,0))),0,IF(AND(VLOOKUP(CONCATENATE($D2967,$G2967),CSRFinput!$B:$E,4,0)=0,OR(H2967=MappingTables!$C$34,H2967=MappingTables!$C$35)),1,VLOOKUP(CONCATENATE($D2967,$G2967),CSRFinput!$B:$E,4,0)))</f>
        <v>0.054776304963434752</v>
      </c>
      <c r="W2967" s="85">
        <f>IF(B2967="",0,+$T2967*$V2967)</f>
        <v>114.63926821783982</v>
      </c>
      <c r="X2967" s="85">
        <f>IF(B2967="",0,IF(OR(H2967=MappingTables!$C$34,H2967=MappingTables!$C$35),W2967,0))</f>
        <v>0</v>
      </c>
    </row>
    <row r="2968" spans="2:24" s="0" customFormat="0" ht="15">
      <c r="B2968" s="69">
        <v>19485230</v>
      </c>
      <c r="C2968" s="70" t="s">
        <v>1647</v>
      </c>
      <c r="D2968" s="70" t="s">
        <v>1</v>
      </c>
      <c r="E2968" s="70" t="s">
        <v>1</v>
      </c>
      <c r="F2968" s="70"/>
      <c r="G2968" s="70" t="s">
        <v>61</v>
      </c>
      <c r="H2968" s="70" t="s">
        <v>178</v>
      </c>
      <c r="I2968" s="70" t="s">
        <v>181</v>
      </c>
      <c r="J2968" s="71">
        <f>IF(OR(I2968=0,I2968=""),"unrated",VLOOKUP(I2968,MappingTables!$B$19:$C$31,2,FALSE))</f>
        <v>3</v>
      </c>
      <c r="K2968" s="72">
        <v>413.74019089614392</v>
      </c>
      <c r="L2968" s="70">
        <v>3.3533107568027584</v>
      </c>
      <c r="M2968" s="71">
        <f>IF(L2968&lt;1,1,L2968)</f>
        <v>3.3533107568027584</v>
      </c>
      <c r="N2968" s="70" t="s">
        <v>141</v>
      </c>
      <c r="O2968" s="71">
        <f>INDEX(DurClassMapping,MATCH(M2968,MappingTables!$D$4:$D$8,-1),1)</f>
        <v>1</v>
      </c>
      <c r="P2968" s="73">
        <f>IF(M2968=$A$1,1,$M2968-INDEX(MappingTables!$E$4:$E$8,MATCH(O2968,MappingTables!$B$4:$B$8,0)))</f>
        <v>3.3533107568027584</v>
      </c>
      <c r="Q2968" s="71">
        <f>IF(B2968="",0,INDEX(ModelParameters!$D$6:$K$10,MATCH($O2968,ModelParameters!$B$6:$B$10,0),MATCH($J2968,ModelParameters!$D$5:$K$5,0)))</f>
        <v>0.025</v>
      </c>
      <c r="R2968" s="71">
        <f>IF(B2968="",0,INDEX(ModelParameters!$D$13:$K$17,MATCH($O2968,ModelParameters!$B$13:$B$17,0),MATCH($J2968,ModelParameters!$D$5:$K$5,0)))</f>
        <v>0</v>
      </c>
      <c r="S2968" s="160">
        <f>IF(B2968="",0,MIN(IF($N2968="Other Bond TM",ModelParameters!$N$21,1)*(P2968*Q2968+R2968),1))</f>
        <v>0.08383276892006896</v>
      </c>
      <c r="T2968" s="85">
        <f>IF(B2968="",0,$S2968*$K2968)</f>
        <v>34.68498581634166</v>
      </c>
      <c r="U2968" s="85">
        <f>IF(B2968="",0,IF(OR(H2968=MappingTables!$C$34,H2968=MappingTables!$C$35),T2968,0))</f>
        <v>0</v>
      </c>
      <c r="V2968" s="85">
        <f>IF(ISNA(IF(AND(VLOOKUP(CONCATENATE($D2968,$G2968),CSRFinput!$B:$E,4,0)=0,OR(H2968=MappingTables!$C$34,H2968=MappingTables!$C$35)),1,VLOOKUP(CONCATENATE($D2968,$G2968),CSRFinput!$B:$E,4,0))),0,IF(AND(VLOOKUP(CONCATENATE($D2968,$G2968),CSRFinput!$B:$E,4,0)=0,OR(H2968=MappingTables!$C$34,H2968=MappingTables!$C$35)),1,VLOOKUP(CONCATENATE($D2968,$G2968),CSRFinput!$B:$E,4,0)))</f>
        <v>0.054776304963434752</v>
      </c>
      <c r="W2968" s="85">
        <f>IF(B2968="",0,+$T2968*$V2968)</f>
        <v>1.8999153607283396</v>
      </c>
      <c r="X2968" s="85">
        <f>IF(B2968="",0,IF(OR(H2968=MappingTables!$C$34,H2968=MappingTables!$C$35),W2968,0))</f>
        <v>0</v>
      </c>
    </row>
    <row r="2969" spans="2:24" s="0" customFormat="0" ht="15">
      <c r="B2969" s="69">
        <v>8675037</v>
      </c>
      <c r="C2969" s="70" t="s">
        <v>2681</v>
      </c>
      <c r="D2969" s="70" t="s">
        <v>1</v>
      </c>
      <c r="E2969" s="70" t="s">
        <v>1</v>
      </c>
      <c r="F2969" s="70"/>
      <c r="G2969" s="70" t="s">
        <v>61</v>
      </c>
      <c r="H2969" s="70" t="s">
        <v>178</v>
      </c>
      <c r="I2969" s="70" t="s">
        <v>181</v>
      </c>
      <c r="J2969" s="71">
        <f>IF(OR(I2969=0,I2969=""),"unrated",VLOOKUP(I2969,MappingTables!$B$19:$C$31,2,FALSE))</f>
        <v>3</v>
      </c>
      <c r="K2969" s="72">
        <v>50.816705555813992</v>
      </c>
      <c r="L2969" s="70">
        <v>13.87301316458574</v>
      </c>
      <c r="M2969" s="71">
        <f>IF(L2969&lt;1,1,L2969)</f>
        <v>13.87301316458574</v>
      </c>
      <c r="N2969" s="70" t="s">
        <v>141</v>
      </c>
      <c r="O2969" s="71">
        <f>INDEX(DurClassMapping,MATCH(M2969,MappingTables!$D$4:$D$8,-1),1)</f>
        <v>3</v>
      </c>
      <c r="P2969" s="73">
        <f>IF(M2969=$A$1,1,$M2969-INDEX(MappingTables!$E$4:$E$8,MATCH(O2969,MappingTables!$B$4:$B$8,0)))</f>
        <v>3.8730131645857392</v>
      </c>
      <c r="Q2969" s="71">
        <f>IF(B2969="",0,INDEX(ModelParameters!$D$6:$K$10,MATCH($O2969,ModelParameters!$B$6:$B$10,0),MATCH($J2969,ModelParameters!$D$5:$K$5,0)))</f>
        <v>0.01</v>
      </c>
      <c r="R2969" s="71">
        <f>IF(B2969="",0,INDEX(ModelParameters!$D$13:$K$17,MATCH($O2969,ModelParameters!$B$13:$B$17,0),MATCH($J2969,ModelParameters!$D$5:$K$5,0)))</f>
        <v>0.2</v>
      </c>
      <c r="S2969" s="160">
        <f>IF(B2969="",0,MIN(IF($N2969="Other Bond TM",ModelParameters!$N$21,1)*(P2969*Q2969+R2969),1))</f>
        <v>0.2387301316458574</v>
      </c>
      <c r="T2969" s="85">
        <f>IF(B2969="",0,$S2969*$K2969)</f>
        <v>12.131478807148246</v>
      </c>
      <c r="U2969" s="85">
        <f>IF(B2969="",0,IF(OR(H2969=MappingTables!$C$34,H2969=MappingTables!$C$35),T2969,0))</f>
        <v>0</v>
      </c>
      <c r="V2969" s="85">
        <f>IF(ISNA(IF(AND(VLOOKUP(CONCATENATE($D2969,$G2969),CSRFinput!$B:$E,4,0)=0,OR(H2969=MappingTables!$C$34,H2969=MappingTables!$C$35)),1,VLOOKUP(CONCATENATE($D2969,$G2969),CSRFinput!$B:$E,4,0))),0,IF(AND(VLOOKUP(CONCATENATE($D2969,$G2969),CSRFinput!$B:$E,4,0)=0,OR(H2969=MappingTables!$C$34,H2969=MappingTables!$C$35)),1,VLOOKUP(CONCATENATE($D2969,$G2969),CSRFinput!$B:$E,4,0)))</f>
        <v>0.054776304963434752</v>
      </c>
      <c r="W2969" s="85">
        <f>IF(B2969="",0,+$T2969*$V2969)</f>
        <v>0.66451758279779808</v>
      </c>
      <c r="X2969" s="85">
        <f>IF(B2969="",0,IF(OR(H2969=MappingTables!$C$34,H2969=MappingTables!$C$35),W2969,0))</f>
        <v>0</v>
      </c>
    </row>
    <row r="2970" spans="2:24" s="0" customFormat="0" ht="15">
      <c r="B2970" s="69">
        <v>22033217</v>
      </c>
      <c r="C2970" s="70" t="s">
        <v>1346</v>
      </c>
      <c r="D2970" s="70" t="s">
        <v>1</v>
      </c>
      <c r="E2970" s="70" t="s">
        <v>1</v>
      </c>
      <c r="F2970" s="70"/>
      <c r="G2970" s="70" t="s">
        <v>61</v>
      </c>
      <c r="H2970" s="70" t="s">
        <v>178</v>
      </c>
      <c r="I2970" s="70" t="s">
        <v>184</v>
      </c>
      <c r="J2970" s="71">
        <f>IF(OR(I2970=0,I2970=""),"unrated",VLOOKUP(I2970,MappingTables!$B$19:$C$31,2,FALSE))</f>
        <v>5</v>
      </c>
      <c r="K2970" s="72">
        <v>35920.544478490732</v>
      </c>
      <c r="L2970" s="70">
        <v>1.4775211635618938</v>
      </c>
      <c r="M2970" s="71">
        <f>IF(L2970&lt;1,1,L2970)</f>
        <v>1.4775211635618938</v>
      </c>
      <c r="N2970" s="70" t="s">
        <v>141</v>
      </c>
      <c r="O2970" s="71">
        <f>INDEX(DurClassMapping,MATCH(M2970,MappingTables!$D$4:$D$8,-1),1)</f>
        <v>1</v>
      </c>
      <c r="P2970" s="73">
        <f>IF(M2970=$A$1,1,$M2970-INDEX(MappingTables!$E$4:$E$8,MATCH(O2970,MappingTables!$B$4:$B$8,0)))</f>
        <v>1.4775211635618938</v>
      </c>
      <c r="Q2970" s="71">
        <f>IF(B2970="",0,INDEX(ModelParameters!$D$6:$K$10,MATCH($O2970,ModelParameters!$B$6:$B$10,0),MATCH($J2970,ModelParameters!$D$5:$K$5,0)))</f>
        <v>0.075</v>
      </c>
      <c r="R2970" s="71">
        <f>IF(B2970="",0,INDEX(ModelParameters!$D$13:$K$17,MATCH($O2970,ModelParameters!$B$13:$B$17,0),MATCH($J2970,ModelParameters!$D$5:$K$5,0)))</f>
        <v>0</v>
      </c>
      <c r="S2970" s="160">
        <f>IF(B2970="",0,MIN(IF($N2970="Other Bond TM",ModelParameters!$N$21,1)*(P2970*Q2970+R2970),1))</f>
        <v>0.11081408726714204</v>
      </c>
      <c r="T2970" s="85">
        <f>IF(B2970="",0,$S2970*$K2970)</f>
        <v>3980.5023505227288</v>
      </c>
      <c r="U2970" s="85">
        <f>IF(B2970="",0,IF(OR(H2970=MappingTables!$C$34,H2970=MappingTables!$C$35),T2970,0))</f>
        <v>0</v>
      </c>
      <c r="V2970" s="85">
        <f>IF(ISNA(IF(AND(VLOOKUP(CONCATENATE($D2970,$G2970),CSRFinput!$B:$E,4,0)=0,OR(H2970=MappingTables!$C$34,H2970=MappingTables!$C$35)),1,VLOOKUP(CONCATENATE($D2970,$G2970),CSRFinput!$B:$E,4,0))),0,IF(AND(VLOOKUP(CONCATENATE($D2970,$G2970),CSRFinput!$B:$E,4,0)=0,OR(H2970=MappingTables!$C$34,H2970=MappingTables!$C$35)),1,VLOOKUP(CONCATENATE($D2970,$G2970),CSRFinput!$B:$E,4,0)))</f>
        <v>0.054776304963434752</v>
      </c>
      <c r="W2970" s="85">
        <f>IF(B2970="",0,+$T2970*$V2970)</f>
        <v>218.03721065990184</v>
      </c>
      <c r="X2970" s="85">
        <f>IF(B2970="",0,IF(OR(H2970=MappingTables!$C$34,H2970=MappingTables!$C$35),W2970,0))</f>
        <v>0</v>
      </c>
    </row>
    <row r="2971" spans="2:24" s="0" customFormat="0" ht="15">
      <c r="B2971" s="69" t="s">
        <v>723</v>
      </c>
      <c r="C2971" s="70" t="s">
        <v>724</v>
      </c>
      <c r="D2971" s="70" t="s">
        <v>1</v>
      </c>
      <c r="E2971" s="70" t="s">
        <v>1</v>
      </c>
      <c r="F2971" s="70"/>
      <c r="G2971" s="70" t="s">
        <v>61</v>
      </c>
      <c r="H2971" s="70" t="s">
        <v>178</v>
      </c>
      <c r="I2971" s="70" t="s">
        <v>181</v>
      </c>
      <c r="J2971" s="71">
        <f>IF(OR(I2971=0,I2971=""),"unrated",VLOOKUP(I2971,MappingTables!$B$19:$C$31,2,FALSE))</f>
        <v>3</v>
      </c>
      <c r="K2971" s="72">
        <v>480.5945236641836</v>
      </c>
      <c r="L2971" s="70">
        <v>8.5303502039563968</v>
      </c>
      <c r="M2971" s="71">
        <f>IF(L2971&lt;1,1,L2971)</f>
        <v>8.5303502039563968</v>
      </c>
      <c r="N2971" s="70" t="s">
        <v>141</v>
      </c>
      <c r="O2971" s="71">
        <f>INDEX(DurClassMapping,MATCH(M2971,MappingTables!$D$4:$D$8,-1),1)</f>
        <v>2</v>
      </c>
      <c r="P2971" s="73">
        <f>IF(M2971=$A$1,1,$M2971-INDEX(MappingTables!$E$4:$E$8,MATCH(O2971,MappingTables!$B$4:$B$8,0)))</f>
        <v>3.5303502039563968</v>
      </c>
      <c r="Q2971" s="71">
        <f>IF(B2971="",0,INDEX(ModelParameters!$D$6:$K$10,MATCH($O2971,ModelParameters!$B$6:$B$10,0),MATCH($J2971,ModelParameters!$D$5:$K$5,0)))</f>
        <v>0.015</v>
      </c>
      <c r="R2971" s="71">
        <f>IF(B2971="",0,INDEX(ModelParameters!$D$13:$K$17,MATCH($O2971,ModelParameters!$B$13:$B$17,0),MATCH($J2971,ModelParameters!$D$5:$K$5,0)))</f>
        <v>0.125</v>
      </c>
      <c r="S2971" s="160">
        <f>IF(B2971="",0,MIN(IF($N2971="Other Bond TM",ModelParameters!$N$21,1)*(P2971*Q2971+R2971),1))</f>
        <v>0.17795525305934596</v>
      </c>
      <c r="T2971" s="85">
        <f>IF(B2971="",0,$S2971*$K2971)</f>
        <v>85.524320077595616</v>
      </c>
      <c r="U2971" s="85">
        <f>IF(B2971="",0,IF(OR(H2971=MappingTables!$C$34,H2971=MappingTables!$C$35),T2971,0))</f>
        <v>0</v>
      </c>
      <c r="V2971" s="85">
        <f>IF(ISNA(IF(AND(VLOOKUP(CONCATENATE($D2971,$G2971),CSRFinput!$B:$E,4,0)=0,OR(H2971=MappingTables!$C$34,H2971=MappingTables!$C$35)),1,VLOOKUP(CONCATENATE($D2971,$G2971),CSRFinput!$B:$E,4,0))),0,IF(AND(VLOOKUP(CONCATENATE($D2971,$G2971),CSRFinput!$B:$E,4,0)=0,OR(H2971=MappingTables!$C$34,H2971=MappingTables!$C$35)),1,VLOOKUP(CONCATENATE($D2971,$G2971),CSRFinput!$B:$E,4,0)))</f>
        <v>0.054776304963434752</v>
      </c>
      <c r="W2971" s="85">
        <f>IF(B2971="",0,+$T2971*$V2971)</f>
        <v>4.684706238360784</v>
      </c>
      <c r="X2971" s="85">
        <f>IF(B2971="",0,IF(OR(H2971=MappingTables!$C$34,H2971=MappingTables!$C$35),W2971,0))</f>
        <v>0</v>
      </c>
    </row>
    <row r="2972" spans="2:24" s="0" customFormat="0" ht="15">
      <c r="B2972" s="69" t="s">
        <v>2682</v>
      </c>
      <c r="C2972" s="70" t="s">
        <v>2683</v>
      </c>
      <c r="D2972" s="70" t="s">
        <v>1</v>
      </c>
      <c r="E2972" s="70" t="s">
        <v>1</v>
      </c>
      <c r="F2972" s="70"/>
      <c r="G2972" s="70" t="s">
        <v>61</v>
      </c>
      <c r="H2972" s="70" t="s">
        <v>178</v>
      </c>
      <c r="I2972" s="70" t="s">
        <v>198</v>
      </c>
      <c r="J2972" s="71" t="str">
        <f>IF(OR(I2972=0,I2972=""),"unrated",VLOOKUP(I2972,MappingTables!$B$19:$C$31,2,FALSE))</f>
        <v>unrated</v>
      </c>
      <c r="K2972" s="72">
        <v>278.5301116730078</v>
      </c>
      <c r="L2972" s="70">
        <v>4.7578466122562952</v>
      </c>
      <c r="M2972" s="71">
        <f>IF(L2972&lt;1,1,L2972)</f>
        <v>4.7578466122562952</v>
      </c>
      <c r="N2972" s="70" t="s">
        <v>141</v>
      </c>
      <c r="O2972" s="71">
        <f>INDEX(DurClassMapping,MATCH(M2972,MappingTables!$D$4:$D$8,-1),1)</f>
        <v>1</v>
      </c>
      <c r="P2972" s="73">
        <f>IF(M2972=$A$1,1,$M2972-INDEX(MappingTables!$E$4:$E$8,MATCH(O2972,MappingTables!$B$4:$B$8,0)))</f>
        <v>4.7578466122562952</v>
      </c>
      <c r="Q2972" s="71">
        <f>IF(B2972="",0,INDEX(ModelParameters!$D$6:$K$10,MATCH($O2972,ModelParameters!$B$6:$B$10,0),MATCH($J2972,ModelParameters!$D$5:$K$5,0)))</f>
        <v>0.03</v>
      </c>
      <c r="R2972" s="71">
        <f>IF(B2972="",0,INDEX(ModelParameters!$D$13:$K$17,MATCH($O2972,ModelParameters!$B$13:$B$17,0),MATCH($J2972,ModelParameters!$D$5:$K$5,0)))</f>
        <v>0</v>
      </c>
      <c r="S2972" s="160">
        <f>IF(B2972="",0,MIN(IF($N2972="Other Bond TM",ModelParameters!$N$21,1)*(P2972*Q2972+R2972),1))</f>
        <v>0.14273539836768886</v>
      </c>
      <c r="T2972" s="85">
        <f>IF(B2972="",0,$S2972*$K2972)</f>
        <v>39.756106447043632</v>
      </c>
      <c r="U2972" s="85">
        <f>IF(B2972="",0,IF(OR(H2972=MappingTables!$C$34,H2972=MappingTables!$C$35),T2972,0))</f>
        <v>0</v>
      </c>
      <c r="V2972" s="85">
        <f>IF(ISNA(IF(AND(VLOOKUP(CONCATENATE($D2972,$G2972),CSRFinput!$B:$E,4,0)=0,OR(H2972=MappingTables!$C$34,H2972=MappingTables!$C$35)),1,VLOOKUP(CONCATENATE($D2972,$G2972),CSRFinput!$B:$E,4,0))),0,IF(AND(VLOOKUP(CONCATENATE($D2972,$G2972),CSRFinput!$B:$E,4,0)=0,OR(H2972=MappingTables!$C$34,H2972=MappingTables!$C$35)),1,VLOOKUP(CONCATENATE($D2972,$G2972),CSRFinput!$B:$E,4,0)))</f>
        <v>0.054776304963434752</v>
      </c>
      <c r="W2972" s="85">
        <f>IF(B2972="",0,+$T2972*$V2972)</f>
        <v>2.1776926109020364</v>
      </c>
      <c r="X2972" s="85">
        <f>IF(B2972="",0,IF(OR(H2972=MappingTables!$C$34,H2972=MappingTables!$C$35),W2972,0))</f>
        <v>0</v>
      </c>
    </row>
    <row r="2973" spans="2:24" s="0" customFormat="0" ht="15">
      <c r="B2973" s="69" t="s">
        <v>515</v>
      </c>
      <c r="C2973" s="70" t="s">
        <v>516</v>
      </c>
      <c r="D2973" s="70" t="s">
        <v>1</v>
      </c>
      <c r="E2973" s="70" t="s">
        <v>1</v>
      </c>
      <c r="F2973" s="70"/>
      <c r="G2973" s="70" t="s">
        <v>61</v>
      </c>
      <c r="H2973" s="70" t="s">
        <v>178</v>
      </c>
      <c r="I2973" s="70" t="s">
        <v>198</v>
      </c>
      <c r="J2973" s="71" t="str">
        <f>IF(OR(I2973=0,I2973=""),"unrated",VLOOKUP(I2973,MappingTables!$B$19:$C$31,2,FALSE))</f>
        <v>unrated</v>
      </c>
      <c r="K2973" s="72">
        <v>8230.0906462630592</v>
      </c>
      <c r="L2973" s="70">
        <v>7.948702609870136</v>
      </c>
      <c r="M2973" s="71">
        <f>IF(L2973&lt;1,1,L2973)</f>
        <v>7.948702609870136</v>
      </c>
      <c r="N2973" s="70" t="s">
        <v>141</v>
      </c>
      <c r="O2973" s="71">
        <f>INDEX(DurClassMapping,MATCH(M2973,MappingTables!$D$4:$D$8,-1),1)</f>
        <v>2</v>
      </c>
      <c r="P2973" s="73">
        <f>IF(M2973=$A$1,1,$M2973-INDEX(MappingTables!$E$4:$E$8,MATCH(O2973,MappingTables!$B$4:$B$8,0)))</f>
        <v>2.9487026098701356</v>
      </c>
      <c r="Q2973" s="71">
        <f>IF(B2973="",0,INDEX(ModelParameters!$D$6:$K$10,MATCH($O2973,ModelParameters!$B$6:$B$10,0),MATCH($J2973,ModelParameters!$D$5:$K$5,0)))</f>
        <v>0.017000000000000002</v>
      </c>
      <c r="R2973" s="71">
        <f>IF(B2973="",0,INDEX(ModelParameters!$D$13:$K$17,MATCH($O2973,ModelParameters!$B$13:$B$17,0),MATCH($J2973,ModelParameters!$D$5:$K$5,0)))</f>
        <v>0.15</v>
      </c>
      <c r="S2973" s="160">
        <f>IF(B2973="",0,MIN(IF($N2973="Other Bond TM",ModelParameters!$N$21,1)*(P2973*Q2973+R2973),1))</f>
        <v>0.20012794436779228</v>
      </c>
      <c r="T2973" s="85">
        <f>IF(B2973="",0,$S2973*$K2973)</f>
        <v>1647.0711229972212</v>
      </c>
      <c r="U2973" s="85">
        <f>IF(B2973="",0,IF(OR(H2973=MappingTables!$C$34,H2973=MappingTables!$C$35),T2973,0))</f>
        <v>0</v>
      </c>
      <c r="V2973" s="85">
        <f>IF(ISNA(IF(AND(VLOOKUP(CONCATENATE($D2973,$G2973),CSRFinput!$B:$E,4,0)=0,OR(H2973=MappingTables!$C$34,H2973=MappingTables!$C$35)),1,VLOOKUP(CONCATENATE($D2973,$G2973),CSRFinput!$B:$E,4,0))),0,IF(AND(VLOOKUP(CONCATENATE($D2973,$G2973),CSRFinput!$B:$E,4,0)=0,OR(H2973=MappingTables!$C$34,H2973=MappingTables!$C$35)),1,VLOOKUP(CONCATENATE($D2973,$G2973),CSRFinput!$B:$E,4,0)))</f>
        <v>0.054776304963434752</v>
      </c>
      <c r="W2973" s="85">
        <f>IF(B2973="",0,+$T2973*$V2973)</f>
        <v>90.220470129762752</v>
      </c>
      <c r="X2973" s="85">
        <f>IF(B2973="",0,IF(OR(H2973=MappingTables!$C$34,H2973=MappingTables!$C$35),W2973,0))</f>
        <v>0</v>
      </c>
    </row>
    <row r="2974" spans="2:24" s="0" customFormat="0" ht="15">
      <c r="B2974" s="69" t="s">
        <v>2684</v>
      </c>
      <c r="C2974" s="70" t="s">
        <v>2685</v>
      </c>
      <c r="D2974" s="70" t="s">
        <v>1</v>
      </c>
      <c r="E2974" s="70" t="s">
        <v>1</v>
      </c>
      <c r="F2974" s="70"/>
      <c r="G2974" s="70" t="s">
        <v>61</v>
      </c>
      <c r="H2974" s="70" t="s">
        <v>178</v>
      </c>
      <c r="I2974" s="70" t="s">
        <v>198</v>
      </c>
      <c r="J2974" s="71" t="str">
        <f>IF(OR(I2974=0,I2974=""),"unrated",VLOOKUP(I2974,MappingTables!$B$19:$C$31,2,FALSE))</f>
        <v>unrated</v>
      </c>
      <c r="K2974" s="72">
        <v>4565.1707469426472</v>
      </c>
      <c r="L2974" s="70">
        <v>16.676219997156106</v>
      </c>
      <c r="M2974" s="71">
        <f>IF(L2974&lt;1,1,L2974)</f>
        <v>16.676219997156106</v>
      </c>
      <c r="N2974" s="70" t="s">
        <v>141</v>
      </c>
      <c r="O2974" s="71">
        <f>INDEX(DurClassMapping,MATCH(M2974,MappingTables!$D$4:$D$8,-1),1)</f>
        <v>4</v>
      </c>
      <c r="P2974" s="73">
        <f>IF(M2974=$A$1,1,$M2974-INDEX(MappingTables!$E$4:$E$8,MATCH(O2974,MappingTables!$B$4:$B$8,0)))</f>
        <v>1.6762199971561068</v>
      </c>
      <c r="Q2974" s="71">
        <f>IF(B2974="",0,INDEX(ModelParameters!$D$6:$K$10,MATCH($O2974,ModelParameters!$B$6:$B$10,0),MATCH($J2974,ModelParameters!$D$5:$K$5,0)))</f>
        <v>0.012</v>
      </c>
      <c r="R2974" s="71">
        <f>IF(B2974="",0,INDEX(ModelParameters!$D$13:$K$17,MATCH($O2974,ModelParameters!$B$13:$B$17,0),MATCH($J2974,ModelParameters!$D$5:$K$5,0)))</f>
        <v>0.295</v>
      </c>
      <c r="S2974" s="160">
        <f>IF(B2974="",0,MIN(IF($N2974="Other Bond TM",ModelParameters!$N$21,1)*(P2974*Q2974+R2974),1))</f>
        <v>0.31511463996587324</v>
      </c>
      <c r="T2974" s="85">
        <f>IF(B2974="",0,$S2974*$K2974)</f>
        <v>1438.5521363055688</v>
      </c>
      <c r="U2974" s="85">
        <f>IF(B2974="",0,IF(OR(H2974=MappingTables!$C$34,H2974=MappingTables!$C$35),T2974,0))</f>
        <v>0</v>
      </c>
      <c r="V2974" s="85">
        <f>IF(ISNA(IF(AND(VLOOKUP(CONCATENATE($D2974,$G2974),CSRFinput!$B:$E,4,0)=0,OR(H2974=MappingTables!$C$34,H2974=MappingTables!$C$35)),1,VLOOKUP(CONCATENATE($D2974,$G2974),CSRFinput!$B:$E,4,0))),0,IF(AND(VLOOKUP(CONCATENATE($D2974,$G2974),CSRFinput!$B:$E,4,0)=0,OR(H2974=MappingTables!$C$34,H2974=MappingTables!$C$35)),1,VLOOKUP(CONCATENATE($D2974,$G2974),CSRFinput!$B:$E,4,0)))</f>
        <v>0.054776304963434752</v>
      </c>
      <c r="W2974" s="85">
        <f>IF(B2974="",0,+$T2974*$V2974)</f>
        <v>78.7985705240744</v>
      </c>
      <c r="X2974" s="85">
        <f>IF(B2974="",0,IF(OR(H2974=MappingTables!$C$34,H2974=MappingTables!$C$35),W2974,0))</f>
        <v>0</v>
      </c>
    </row>
    <row r="2975" spans="2:24" s="0" customFormat="0" ht="15">
      <c r="B2975" s="69">
        <v>15798271</v>
      </c>
      <c r="C2975" s="70" t="s">
        <v>2686</v>
      </c>
      <c r="D2975" s="70" t="s">
        <v>1</v>
      </c>
      <c r="E2975" s="70" t="s">
        <v>1</v>
      </c>
      <c r="F2975" s="70"/>
      <c r="G2975" s="70" t="s">
        <v>61</v>
      </c>
      <c r="H2975" s="70" t="s">
        <v>178</v>
      </c>
      <c r="I2975" s="70" t="s">
        <v>181</v>
      </c>
      <c r="J2975" s="71">
        <f>IF(OR(I2975=0,I2975=""),"unrated",VLOOKUP(I2975,MappingTables!$B$19:$C$31,2,FALSE))</f>
        <v>3</v>
      </c>
      <c r="K2975" s="72">
        <v>733.82688560779312</v>
      </c>
      <c r="L2975" s="70">
        <v>2.2356352020103772</v>
      </c>
      <c r="M2975" s="71">
        <f>IF(L2975&lt;1,1,L2975)</f>
        <v>2.2356352020103772</v>
      </c>
      <c r="N2975" s="70" t="s">
        <v>141</v>
      </c>
      <c r="O2975" s="71">
        <f>INDEX(DurClassMapping,MATCH(M2975,MappingTables!$D$4:$D$8,-1),1)</f>
        <v>1</v>
      </c>
      <c r="P2975" s="73">
        <f>IF(M2975=$A$1,1,$M2975-INDEX(MappingTables!$E$4:$E$8,MATCH(O2975,MappingTables!$B$4:$B$8,0)))</f>
        <v>2.2356352020103772</v>
      </c>
      <c r="Q2975" s="71">
        <f>IF(B2975="",0,INDEX(ModelParameters!$D$6:$K$10,MATCH($O2975,ModelParameters!$B$6:$B$10,0),MATCH($J2975,ModelParameters!$D$5:$K$5,0)))</f>
        <v>0.025</v>
      </c>
      <c r="R2975" s="71">
        <f>IF(B2975="",0,INDEX(ModelParameters!$D$13:$K$17,MATCH($O2975,ModelParameters!$B$13:$B$17,0),MATCH($J2975,ModelParameters!$D$5:$K$5,0)))</f>
        <v>0</v>
      </c>
      <c r="S2975" s="160">
        <f>IF(B2975="",0,MIN(IF($N2975="Other Bond TM",ModelParameters!$N$21,1)*(P2975*Q2975+R2975),1))</f>
        <v>0.055890880050259432</v>
      </c>
      <c r="T2975" s="85">
        <f>IF(B2975="",0,$S2975*$K2975)</f>
        <v>41.014230441160616</v>
      </c>
      <c r="U2975" s="85">
        <f>IF(B2975="",0,IF(OR(H2975=MappingTables!$C$34,H2975=MappingTables!$C$35),T2975,0))</f>
        <v>0</v>
      </c>
      <c r="V2975" s="85">
        <f>IF(ISNA(IF(AND(VLOOKUP(CONCATENATE($D2975,$G2975),CSRFinput!$B:$E,4,0)=0,OR(H2975=MappingTables!$C$34,H2975=MappingTables!$C$35)),1,VLOOKUP(CONCATENATE($D2975,$G2975),CSRFinput!$B:$E,4,0))),0,IF(AND(VLOOKUP(CONCATENATE($D2975,$G2975),CSRFinput!$B:$E,4,0)=0,OR(H2975=MappingTables!$C$34,H2975=MappingTables!$C$35)),1,VLOOKUP(CONCATENATE($D2975,$G2975),CSRFinput!$B:$E,4,0)))</f>
        <v>0.054776304963434752</v>
      </c>
      <c r="W2975" s="85">
        <f>IF(B2975="",0,+$T2975*$V2975)</f>
        <v>2.2466079944856028</v>
      </c>
      <c r="X2975" s="85">
        <f>IF(B2975="",0,IF(OR(H2975=MappingTables!$C$34,H2975=MappingTables!$C$35),W2975,0))</f>
        <v>0</v>
      </c>
    </row>
    <row r="2976" spans="2:24" s="0" customFormat="0" ht="15">
      <c r="B2976" s="69">
        <v>15887203</v>
      </c>
      <c r="C2976" s="70" t="s">
        <v>416</v>
      </c>
      <c r="D2976" s="70" t="s">
        <v>1</v>
      </c>
      <c r="E2976" s="70" t="s">
        <v>1</v>
      </c>
      <c r="F2976" s="70"/>
      <c r="G2976" s="70" t="s">
        <v>61</v>
      </c>
      <c r="H2976" s="70" t="s">
        <v>178</v>
      </c>
      <c r="I2976" s="70" t="s">
        <v>188</v>
      </c>
      <c r="J2976" s="71">
        <f>IF(OR(I2976=0,I2976=""),"unrated",VLOOKUP(I2976,MappingTables!$B$19:$C$31,2,FALSE))</f>
        <v>2</v>
      </c>
      <c r="K2976" s="72">
        <v>123.33534121035558</v>
      </c>
      <c r="L2976" s="70">
        <v>0.013694717343330292</v>
      </c>
      <c r="M2976" s="71">
        <f>IF(L2976&lt;1,1,L2976)</f>
        <v>1</v>
      </c>
      <c r="N2976" s="70" t="s">
        <v>141</v>
      </c>
      <c r="O2976" s="71">
        <f>INDEX(DurClassMapping,MATCH(M2976,MappingTables!$D$4:$D$8,-1),1)</f>
        <v>1</v>
      </c>
      <c r="P2976" s="73">
        <f>IF(M2976=$A$1,1,$M2976-INDEX(MappingTables!$E$4:$E$8,MATCH(O2976,MappingTables!$B$4:$B$8,0)))</f>
        <v>1</v>
      </c>
      <c r="Q2976" s="71">
        <f>IF(B2976="",0,INDEX(ModelParameters!$D$6:$K$10,MATCH($O2976,ModelParameters!$B$6:$B$10,0),MATCH($J2976,ModelParameters!$D$5:$K$5,0)))</f>
        <v>0.013999999999999998</v>
      </c>
      <c r="R2976" s="71">
        <f>IF(B2976="",0,INDEX(ModelParameters!$D$13:$K$17,MATCH($O2976,ModelParameters!$B$13:$B$17,0),MATCH($J2976,ModelParameters!$D$5:$K$5,0)))</f>
        <v>0</v>
      </c>
      <c r="S2976" s="160">
        <f>IF(B2976="",0,MIN(IF($N2976="Other Bond TM",ModelParameters!$N$21,1)*(P2976*Q2976+R2976),1))</f>
        <v>0.013999999999999998</v>
      </c>
      <c r="T2976" s="85">
        <f>IF(B2976="",0,$S2976*$K2976)</f>
        <v>1.7266947769449778</v>
      </c>
      <c r="U2976" s="85">
        <f>IF(B2976="",0,IF(OR(H2976=MappingTables!$C$34,H2976=MappingTables!$C$35),T2976,0))</f>
        <v>0</v>
      </c>
      <c r="V2976" s="85">
        <f>IF(ISNA(IF(AND(VLOOKUP(CONCATENATE($D2976,$G2976),CSRFinput!$B:$E,4,0)=0,OR(H2976=MappingTables!$C$34,H2976=MappingTables!$C$35)),1,VLOOKUP(CONCATENATE($D2976,$G2976),CSRFinput!$B:$E,4,0))),0,IF(AND(VLOOKUP(CONCATENATE($D2976,$G2976),CSRFinput!$B:$E,4,0)=0,OR(H2976=MappingTables!$C$34,H2976=MappingTables!$C$35)),1,VLOOKUP(CONCATENATE($D2976,$G2976),CSRFinput!$B:$E,4,0)))</f>
        <v>0.054776304963434752</v>
      </c>
      <c r="W2976" s="85">
        <f>IF(B2976="",0,+$T2976*$V2976)</f>
        <v>0.094581959680708048</v>
      </c>
      <c r="X2976" s="85">
        <f>IF(B2976="",0,IF(OR(H2976=MappingTables!$C$34,H2976=MappingTables!$C$35),W2976,0))</f>
        <v>0</v>
      </c>
    </row>
    <row r="2977" spans="2:24" s="0" customFormat="0" ht="15">
      <c r="B2977" s="69">
        <v>17290604</v>
      </c>
      <c r="C2977" s="70" t="s">
        <v>2687</v>
      </c>
      <c r="D2977" s="70" t="s">
        <v>1</v>
      </c>
      <c r="E2977" s="70" t="s">
        <v>1</v>
      </c>
      <c r="F2977" s="70"/>
      <c r="G2977" s="70" t="s">
        <v>61</v>
      </c>
      <c r="H2977" s="70" t="s">
        <v>178</v>
      </c>
      <c r="I2977" s="70" t="s">
        <v>184</v>
      </c>
      <c r="J2977" s="71">
        <f>IF(OR(I2977=0,I2977=""),"unrated",VLOOKUP(I2977,MappingTables!$B$19:$C$31,2,FALSE))</f>
        <v>5</v>
      </c>
      <c r="K2977" s="72">
        <v>1121.2128310056842</v>
      </c>
      <c r="L2977" s="70">
        <v>0.53262882731916792</v>
      </c>
      <c r="M2977" s="71">
        <f>IF(L2977&lt;1,1,L2977)</f>
        <v>1</v>
      </c>
      <c r="N2977" s="70" t="s">
        <v>141</v>
      </c>
      <c r="O2977" s="71">
        <f>INDEX(DurClassMapping,MATCH(M2977,MappingTables!$D$4:$D$8,-1),1)</f>
        <v>1</v>
      </c>
      <c r="P2977" s="73">
        <f>IF(M2977=$A$1,1,$M2977-INDEX(MappingTables!$E$4:$E$8,MATCH(O2977,MappingTables!$B$4:$B$8,0)))</f>
        <v>1</v>
      </c>
      <c r="Q2977" s="71">
        <f>IF(B2977="",0,INDEX(ModelParameters!$D$6:$K$10,MATCH($O2977,ModelParameters!$B$6:$B$10,0),MATCH($J2977,ModelParameters!$D$5:$K$5,0)))</f>
        <v>0.075</v>
      </c>
      <c r="R2977" s="71">
        <f>IF(B2977="",0,INDEX(ModelParameters!$D$13:$K$17,MATCH($O2977,ModelParameters!$B$13:$B$17,0),MATCH($J2977,ModelParameters!$D$5:$K$5,0)))</f>
        <v>0</v>
      </c>
      <c r="S2977" s="160">
        <f>IF(B2977="",0,MIN(IF($N2977="Other Bond TM",ModelParameters!$N$21,1)*(P2977*Q2977+R2977),1))</f>
        <v>0.075</v>
      </c>
      <c r="T2977" s="85">
        <f>IF(B2977="",0,$S2977*$K2977)</f>
        <v>84.090962325426304</v>
      </c>
      <c r="U2977" s="85">
        <f>IF(B2977="",0,IF(OR(H2977=MappingTables!$C$34,H2977=MappingTables!$C$35),T2977,0))</f>
        <v>0</v>
      </c>
      <c r="V2977" s="85">
        <f>IF(ISNA(IF(AND(VLOOKUP(CONCATENATE($D2977,$G2977),CSRFinput!$B:$E,4,0)=0,OR(H2977=MappingTables!$C$34,H2977=MappingTables!$C$35)),1,VLOOKUP(CONCATENATE($D2977,$G2977),CSRFinput!$B:$E,4,0))),0,IF(AND(VLOOKUP(CONCATENATE($D2977,$G2977),CSRFinput!$B:$E,4,0)=0,OR(H2977=MappingTables!$C$34,H2977=MappingTables!$C$35)),1,VLOOKUP(CONCATENATE($D2977,$G2977),CSRFinput!$B:$E,4,0)))</f>
        <v>0.054776304963434752</v>
      </c>
      <c r="W2977" s="85">
        <f>IF(B2977="",0,+$T2977*$V2977)</f>
        <v>4.6061921970062544</v>
      </c>
      <c r="X2977" s="85">
        <f>IF(B2977="",0,IF(OR(H2977=MappingTables!$C$34,H2977=MappingTables!$C$35),W2977,0))</f>
        <v>0</v>
      </c>
    </row>
    <row r="2978" spans="2:24" s="0" customFormat="0" ht="15">
      <c r="B2978" s="69">
        <v>18009033</v>
      </c>
      <c r="C2978" s="70" t="s">
        <v>741</v>
      </c>
      <c r="D2978" s="70" t="s">
        <v>1</v>
      </c>
      <c r="E2978" s="70" t="s">
        <v>1</v>
      </c>
      <c r="F2978" s="70"/>
      <c r="G2978" s="70" t="s">
        <v>61</v>
      </c>
      <c r="H2978" s="70" t="s">
        <v>178</v>
      </c>
      <c r="I2978" s="70" t="s">
        <v>184</v>
      </c>
      <c r="J2978" s="71">
        <f>IF(OR(I2978=0,I2978=""),"unrated",VLOOKUP(I2978,MappingTables!$B$19:$C$31,2,FALSE))</f>
        <v>5</v>
      </c>
      <c r="K2978" s="72">
        <v>54.097717193378816</v>
      </c>
      <c r="L2978" s="70">
        <v>0.77513699063890368</v>
      </c>
      <c r="M2978" s="71">
        <f>IF(L2978&lt;1,1,L2978)</f>
        <v>1</v>
      </c>
      <c r="N2978" s="70" t="s">
        <v>141</v>
      </c>
      <c r="O2978" s="71">
        <f>INDEX(DurClassMapping,MATCH(M2978,MappingTables!$D$4:$D$8,-1),1)</f>
        <v>1</v>
      </c>
      <c r="P2978" s="73">
        <f>IF(M2978=$A$1,1,$M2978-INDEX(MappingTables!$E$4:$E$8,MATCH(O2978,MappingTables!$B$4:$B$8,0)))</f>
        <v>1</v>
      </c>
      <c r="Q2978" s="71">
        <f>IF(B2978="",0,INDEX(ModelParameters!$D$6:$K$10,MATCH($O2978,ModelParameters!$B$6:$B$10,0),MATCH($J2978,ModelParameters!$D$5:$K$5,0)))</f>
        <v>0.075</v>
      </c>
      <c r="R2978" s="71">
        <f>IF(B2978="",0,INDEX(ModelParameters!$D$13:$K$17,MATCH($O2978,ModelParameters!$B$13:$B$17,0),MATCH($J2978,ModelParameters!$D$5:$K$5,0)))</f>
        <v>0</v>
      </c>
      <c r="S2978" s="160">
        <f>IF(B2978="",0,MIN(IF($N2978="Other Bond TM",ModelParameters!$N$21,1)*(P2978*Q2978+R2978),1))</f>
        <v>0.075</v>
      </c>
      <c r="T2978" s="85">
        <f>IF(B2978="",0,$S2978*$K2978)</f>
        <v>4.0573287895034112</v>
      </c>
      <c r="U2978" s="85">
        <f>IF(B2978="",0,IF(OR(H2978=MappingTables!$C$34,H2978=MappingTables!$C$35),T2978,0))</f>
        <v>0</v>
      </c>
      <c r="V2978" s="85">
        <f>IF(ISNA(IF(AND(VLOOKUP(CONCATENATE($D2978,$G2978),CSRFinput!$B:$E,4,0)=0,OR(H2978=MappingTables!$C$34,H2978=MappingTables!$C$35)),1,VLOOKUP(CONCATENATE($D2978,$G2978),CSRFinput!$B:$E,4,0))),0,IF(AND(VLOOKUP(CONCATENATE($D2978,$G2978),CSRFinput!$B:$E,4,0)=0,OR(H2978=MappingTables!$C$34,H2978=MappingTables!$C$35)),1,VLOOKUP(CONCATENATE($D2978,$G2978),CSRFinput!$B:$E,4,0)))</f>
        <v>0.054776304963434752</v>
      </c>
      <c r="W2978" s="85">
        <f>IF(B2978="",0,+$T2978*$V2978)</f>
        <v>0.22224547911076244</v>
      </c>
      <c r="X2978" s="85">
        <f>IF(B2978="",0,IF(OR(H2978=MappingTables!$C$34,H2978=MappingTables!$C$35),W2978,0))</f>
        <v>0</v>
      </c>
    </row>
    <row r="2979" spans="2:24" s="0" customFormat="0" ht="15">
      <c r="B2979" s="69" t="s">
        <v>1230</v>
      </c>
      <c r="C2979" s="70" t="s">
        <v>1231</v>
      </c>
      <c r="D2979" s="70" t="s">
        <v>1</v>
      </c>
      <c r="E2979" s="70" t="s">
        <v>1</v>
      </c>
      <c r="F2979" s="70"/>
      <c r="G2979" s="70" t="s">
        <v>61</v>
      </c>
      <c r="H2979" s="70" t="s">
        <v>178</v>
      </c>
      <c r="I2979" s="70" t="s">
        <v>179</v>
      </c>
      <c r="J2979" s="71">
        <f>IF(OR(I2979=0,I2979=""),"unrated",VLOOKUP(I2979,MappingTables!$B$19:$C$31,2,FALSE))</f>
        <v>4</v>
      </c>
      <c r="K2979" s="72">
        <v>1652.6366898694832</v>
      </c>
      <c r="L2979" s="70">
        <v>0.99960489724238416</v>
      </c>
      <c r="M2979" s="71">
        <f>IF(L2979&lt;1,1,L2979)</f>
        <v>1</v>
      </c>
      <c r="N2979" s="70" t="s">
        <v>141</v>
      </c>
      <c r="O2979" s="71">
        <f>INDEX(DurClassMapping,MATCH(M2979,MappingTables!$D$4:$D$8,-1),1)</f>
        <v>1</v>
      </c>
      <c r="P2979" s="73">
        <f>IF(M2979=$A$1,1,$M2979-INDEX(MappingTables!$E$4:$E$8,MATCH(O2979,MappingTables!$B$4:$B$8,0)))</f>
        <v>1</v>
      </c>
      <c r="Q2979" s="71">
        <f>IF(B2979="",0,INDEX(ModelParameters!$D$6:$K$10,MATCH($O2979,ModelParameters!$B$6:$B$10,0),MATCH($J2979,ModelParameters!$D$5:$K$5,0)))</f>
        <v>0.045</v>
      </c>
      <c r="R2979" s="71">
        <f>IF(B2979="",0,INDEX(ModelParameters!$D$13:$K$17,MATCH($O2979,ModelParameters!$B$13:$B$17,0),MATCH($J2979,ModelParameters!$D$5:$K$5,0)))</f>
        <v>0</v>
      </c>
      <c r="S2979" s="160">
        <f>IF(B2979="",0,MIN(IF($N2979="Other Bond TM",ModelParameters!$N$21,1)*(P2979*Q2979+R2979),1))</f>
        <v>0.045</v>
      </c>
      <c r="T2979" s="85">
        <f>IF(B2979="",0,$S2979*$K2979)</f>
        <v>74.368651044126736</v>
      </c>
      <c r="U2979" s="85">
        <f>IF(B2979="",0,IF(OR(H2979=MappingTables!$C$34,H2979=MappingTables!$C$35),T2979,0))</f>
        <v>0</v>
      </c>
      <c r="V2979" s="85">
        <f>IF(ISNA(IF(AND(VLOOKUP(CONCATENATE($D2979,$G2979),CSRFinput!$B:$E,4,0)=0,OR(H2979=MappingTables!$C$34,H2979=MappingTables!$C$35)),1,VLOOKUP(CONCATENATE($D2979,$G2979),CSRFinput!$B:$E,4,0))),0,IF(AND(VLOOKUP(CONCATENATE($D2979,$G2979),CSRFinput!$B:$E,4,0)=0,OR(H2979=MappingTables!$C$34,H2979=MappingTables!$C$35)),1,VLOOKUP(CONCATENATE($D2979,$G2979),CSRFinput!$B:$E,4,0)))</f>
        <v>0.054776304963434752</v>
      </c>
      <c r="W2979" s="85">
        <f>IF(B2979="",0,+$T2979*$V2979)</f>
        <v>4.0736399093123464</v>
      </c>
      <c r="X2979" s="85">
        <f>IF(B2979="",0,IF(OR(H2979=MappingTables!$C$34,H2979=MappingTables!$C$35),W2979,0))</f>
        <v>0</v>
      </c>
    </row>
    <row r="2980" spans="2:24" s="0" customFormat="0" ht="15">
      <c r="B2980" s="69">
        <v>22081367</v>
      </c>
      <c r="C2980" s="70" t="s">
        <v>2243</v>
      </c>
      <c r="D2980" s="70" t="s">
        <v>1</v>
      </c>
      <c r="E2980" s="70" t="s">
        <v>1</v>
      </c>
      <c r="F2980" s="70"/>
      <c r="G2980" s="70" t="s">
        <v>61</v>
      </c>
      <c r="H2980" s="70" t="s">
        <v>178</v>
      </c>
      <c r="I2980" s="70" t="s">
        <v>179</v>
      </c>
      <c r="J2980" s="71">
        <f>IF(OR(I2980=0,I2980=""),"unrated",VLOOKUP(I2980,MappingTables!$B$19:$C$31,2,FALSE))</f>
        <v>4</v>
      </c>
      <c r="K2980" s="72">
        <v>173.98531787049356</v>
      </c>
      <c r="L2980" s="70">
        <v>1.510245783313042</v>
      </c>
      <c r="M2980" s="71">
        <f>IF(L2980&lt;1,1,L2980)</f>
        <v>1.510245783313042</v>
      </c>
      <c r="N2980" s="70" t="s">
        <v>141</v>
      </c>
      <c r="O2980" s="71">
        <f>INDEX(DurClassMapping,MATCH(M2980,MappingTables!$D$4:$D$8,-1),1)</f>
        <v>1</v>
      </c>
      <c r="P2980" s="73">
        <f>IF(M2980=$A$1,1,$M2980-INDEX(MappingTables!$E$4:$E$8,MATCH(O2980,MappingTables!$B$4:$B$8,0)))</f>
        <v>1.510245783313042</v>
      </c>
      <c r="Q2980" s="71">
        <f>IF(B2980="",0,INDEX(ModelParameters!$D$6:$K$10,MATCH($O2980,ModelParameters!$B$6:$B$10,0),MATCH($J2980,ModelParameters!$D$5:$K$5,0)))</f>
        <v>0.045</v>
      </c>
      <c r="R2980" s="71">
        <f>IF(B2980="",0,INDEX(ModelParameters!$D$13:$K$17,MATCH($O2980,ModelParameters!$B$13:$B$17,0),MATCH($J2980,ModelParameters!$D$5:$K$5,0)))</f>
        <v>0</v>
      </c>
      <c r="S2980" s="160">
        <f>IF(B2980="",0,MIN(IF($N2980="Other Bond TM",ModelParameters!$N$21,1)*(P2980*Q2980+R2980),1))</f>
        <v>0.067961060249086896</v>
      </c>
      <c r="T2980" s="85">
        <f>IF(B2980="",0,$S2980*$K2980)</f>
        <v>11.824226670253146</v>
      </c>
      <c r="U2980" s="85">
        <f>IF(B2980="",0,IF(OR(H2980=MappingTables!$C$34,H2980=MappingTables!$C$35),T2980,0))</f>
        <v>0</v>
      </c>
      <c r="V2980" s="85">
        <f>IF(ISNA(IF(AND(VLOOKUP(CONCATENATE($D2980,$G2980),CSRFinput!$B:$E,4,0)=0,OR(H2980=MappingTables!$C$34,H2980=MappingTables!$C$35)),1,VLOOKUP(CONCATENATE($D2980,$G2980),CSRFinput!$B:$E,4,0))),0,IF(AND(VLOOKUP(CONCATENATE($D2980,$G2980),CSRFinput!$B:$E,4,0)=0,OR(H2980=MappingTables!$C$34,H2980=MappingTables!$C$35)),1,VLOOKUP(CONCATENATE($D2980,$G2980),CSRFinput!$B:$E,4,0)))</f>
        <v>0.054776304963434752</v>
      </c>
      <c r="W2980" s="85">
        <f>IF(B2980="",0,+$T2980*$V2980)</f>
        <v>0.64768744604656504</v>
      </c>
      <c r="X2980" s="85">
        <f>IF(B2980="",0,IF(OR(H2980=MappingTables!$C$34,H2980=MappingTables!$C$35),W2980,0))</f>
        <v>0</v>
      </c>
    </row>
    <row r="2981" spans="2:24" s="0" customFormat="0" ht="15">
      <c r="B2981" s="69">
        <v>15148669</v>
      </c>
      <c r="C2981" s="70" t="s">
        <v>2688</v>
      </c>
      <c r="D2981" s="70" t="s">
        <v>1</v>
      </c>
      <c r="E2981" s="70" t="s">
        <v>1</v>
      </c>
      <c r="F2981" s="70"/>
      <c r="G2981" s="70" t="s">
        <v>61</v>
      </c>
      <c r="H2981" s="70" t="s">
        <v>178</v>
      </c>
      <c r="I2981" s="70" t="s">
        <v>181</v>
      </c>
      <c r="J2981" s="71">
        <f>IF(OR(I2981=0,I2981=""),"unrated",VLOOKUP(I2981,MappingTables!$B$19:$C$31,2,FALSE))</f>
        <v>3</v>
      </c>
      <c r="K2981" s="72">
        <v>45293.150583608352</v>
      </c>
      <c r="L2981" s="70">
        <v>1.7748295844134272</v>
      </c>
      <c r="M2981" s="71">
        <f>IF(L2981&lt;1,1,L2981)</f>
        <v>1.7748295844134272</v>
      </c>
      <c r="N2981" s="70" t="s">
        <v>141</v>
      </c>
      <c r="O2981" s="71">
        <f>INDEX(DurClassMapping,MATCH(M2981,MappingTables!$D$4:$D$8,-1),1)</f>
        <v>1</v>
      </c>
      <c r="P2981" s="73">
        <f>IF(M2981=$A$1,1,$M2981-INDEX(MappingTables!$E$4:$E$8,MATCH(O2981,MappingTables!$B$4:$B$8,0)))</f>
        <v>1.7748295844134272</v>
      </c>
      <c r="Q2981" s="71">
        <f>IF(B2981="",0,INDEX(ModelParameters!$D$6:$K$10,MATCH($O2981,ModelParameters!$B$6:$B$10,0),MATCH($J2981,ModelParameters!$D$5:$K$5,0)))</f>
        <v>0.025</v>
      </c>
      <c r="R2981" s="71">
        <f>IF(B2981="",0,INDEX(ModelParameters!$D$13:$K$17,MATCH($O2981,ModelParameters!$B$13:$B$17,0),MATCH($J2981,ModelParameters!$D$5:$K$5,0)))</f>
        <v>0</v>
      </c>
      <c r="S2981" s="160">
        <f>IF(B2981="",0,MIN(IF($N2981="Other Bond TM",ModelParameters!$N$21,1)*(P2981*Q2981+R2981),1))</f>
        <v>0.044370739610335688</v>
      </c>
      <c r="T2981" s="85">
        <f>IF(B2981="",0,$S2981*$K2981)</f>
        <v>2009.69059067701</v>
      </c>
      <c r="U2981" s="85">
        <f>IF(B2981="",0,IF(OR(H2981=MappingTables!$C$34,H2981=MappingTables!$C$35),T2981,0))</f>
        <v>0</v>
      </c>
      <c r="V2981" s="85">
        <f>IF(ISNA(IF(AND(VLOOKUP(CONCATENATE($D2981,$G2981),CSRFinput!$B:$E,4,0)=0,OR(H2981=MappingTables!$C$34,H2981=MappingTables!$C$35)),1,VLOOKUP(CONCATENATE($D2981,$G2981),CSRFinput!$B:$E,4,0))),0,IF(AND(VLOOKUP(CONCATENATE($D2981,$G2981),CSRFinput!$B:$E,4,0)=0,OR(H2981=MappingTables!$C$34,H2981=MappingTables!$C$35)),1,VLOOKUP(CONCATENATE($D2981,$G2981),CSRFinput!$B:$E,4,0)))</f>
        <v>0.054776304963434752</v>
      </c>
      <c r="W2981" s="85">
        <f>IF(B2981="",0,+$T2981*$V2981)</f>
        <v>110.08342467706922</v>
      </c>
      <c r="X2981" s="85">
        <f>IF(B2981="",0,IF(OR(H2981=MappingTables!$C$34,H2981=MappingTables!$C$35),W2981,0))</f>
        <v>0</v>
      </c>
    </row>
    <row r="2982" spans="2:24" s="0" customFormat="0" ht="15">
      <c r="B2982" s="69" t="s">
        <v>2393</v>
      </c>
      <c r="C2982" s="70" t="s">
        <v>2394</v>
      </c>
      <c r="D2982" s="70" t="s">
        <v>1</v>
      </c>
      <c r="E2982" s="70" t="s">
        <v>1</v>
      </c>
      <c r="F2982" s="70"/>
      <c r="G2982" s="70" t="s">
        <v>61</v>
      </c>
      <c r="H2982" s="70" t="s">
        <v>178</v>
      </c>
      <c r="I2982" s="70" t="s">
        <v>198</v>
      </c>
      <c r="J2982" s="71" t="str">
        <f>IF(OR(I2982=0,I2982=""),"unrated",VLOOKUP(I2982,MappingTables!$B$19:$C$31,2,FALSE))</f>
        <v>unrated</v>
      </c>
      <c r="K2982" s="72">
        <v>43.827398357613552</v>
      </c>
      <c r="L2982" s="70">
        <v>27.653165952314712</v>
      </c>
      <c r="M2982" s="71">
        <f>IF(L2982&lt;1,1,L2982)</f>
        <v>27.653165952314712</v>
      </c>
      <c r="N2982" s="70" t="s">
        <v>141</v>
      </c>
      <c r="O2982" s="71">
        <f>INDEX(DurClassMapping,MATCH(M2982,MappingTables!$D$4:$D$8,-1),1)</f>
        <v>5</v>
      </c>
      <c r="P2982" s="73">
        <f>IF(M2982=$A$1,1,$M2982-INDEX(MappingTables!$E$4:$E$8,MATCH(O2982,MappingTables!$B$4:$B$8,0)))</f>
        <v>7.653165952314712</v>
      </c>
      <c r="Q2982" s="71">
        <f>IF(B2982="",0,INDEX(ModelParameters!$D$6:$K$10,MATCH($O2982,ModelParameters!$B$6:$B$10,0),MATCH($J2982,ModelParameters!$D$5:$K$5,0)))</f>
        <v>0.005</v>
      </c>
      <c r="R2982" s="71">
        <f>IF(B2982="",0,INDEX(ModelParameters!$D$13:$K$17,MATCH($O2982,ModelParameters!$B$13:$B$17,0),MATCH($J2982,ModelParameters!$D$5:$K$5,0)))</f>
        <v>0.355</v>
      </c>
      <c r="S2982" s="160">
        <f>IF(B2982="",0,MIN(IF($N2982="Other Bond TM",ModelParameters!$N$21,1)*(P2982*Q2982+R2982),1))</f>
        <v>0.39326582976157352</v>
      </c>
      <c r="T2982" s="85">
        <f>IF(B2982="",0,$S2982*$K2982)</f>
        <v>17.23581818139792</v>
      </c>
      <c r="U2982" s="85">
        <f>IF(B2982="",0,IF(OR(H2982=MappingTables!$C$34,H2982=MappingTables!$C$35),T2982,0))</f>
        <v>0</v>
      </c>
      <c r="V2982" s="85">
        <f>IF(ISNA(IF(AND(VLOOKUP(CONCATENATE($D2982,$G2982),CSRFinput!$B:$E,4,0)=0,OR(H2982=MappingTables!$C$34,H2982=MappingTables!$C$35)),1,VLOOKUP(CONCATENATE($D2982,$G2982),CSRFinput!$B:$E,4,0))),0,IF(AND(VLOOKUP(CONCATENATE($D2982,$G2982),CSRFinput!$B:$E,4,0)=0,OR(H2982=MappingTables!$C$34,H2982=MappingTables!$C$35)),1,VLOOKUP(CONCATENATE($D2982,$G2982),CSRFinput!$B:$E,4,0)))</f>
        <v>0.054776304963434752</v>
      </c>
      <c r="W2982" s="85">
        <f>IF(B2982="",0,+$T2982*$V2982)</f>
        <v>0.94411443299856592</v>
      </c>
      <c r="X2982" s="85">
        <f>IF(B2982="",0,IF(OR(H2982=MappingTables!$C$34,H2982=MappingTables!$C$35),W2982,0))</f>
        <v>0</v>
      </c>
    </row>
    <row r="2983" spans="2:24" s="0" customFormat="0" ht="15">
      <c r="B2983" s="69">
        <v>21644220</v>
      </c>
      <c r="C2983" s="70" t="s">
        <v>2689</v>
      </c>
      <c r="D2983" s="70" t="s">
        <v>1</v>
      </c>
      <c r="E2983" s="70" t="s">
        <v>1</v>
      </c>
      <c r="F2983" s="70"/>
      <c r="G2983" s="70" t="s">
        <v>61</v>
      </c>
      <c r="H2983" s="70" t="s">
        <v>178</v>
      </c>
      <c r="I2983" s="70" t="s">
        <v>184</v>
      </c>
      <c r="J2983" s="71">
        <f>IF(OR(I2983=0,I2983=""),"unrated",VLOOKUP(I2983,MappingTables!$B$19:$C$31,2,FALSE))</f>
        <v>5</v>
      </c>
      <c r="K2983" s="72">
        <v>10459.818918627326</v>
      </c>
      <c r="L2983" s="70">
        <v>15.59615151140418</v>
      </c>
      <c r="M2983" s="71">
        <f>IF(L2983&lt;1,1,L2983)</f>
        <v>15.59615151140418</v>
      </c>
      <c r="N2983" s="70" t="s">
        <v>141</v>
      </c>
      <c r="O2983" s="71">
        <f>INDEX(DurClassMapping,MATCH(M2983,MappingTables!$D$4:$D$8,-1),1)</f>
        <v>4</v>
      </c>
      <c r="P2983" s="73">
        <f>IF(M2983=$A$1,1,$M2983-INDEX(MappingTables!$E$4:$E$8,MATCH(O2983,MappingTables!$B$4:$B$8,0)))</f>
        <v>0.59615151140418024</v>
      </c>
      <c r="Q2983" s="71">
        <f>IF(B2983="",0,INDEX(ModelParameters!$D$6:$K$10,MATCH($O2983,ModelParameters!$B$6:$B$10,0),MATCH($J2983,ModelParameters!$D$5:$K$5,0)))</f>
        <v>0.005</v>
      </c>
      <c r="R2983" s="71">
        <f>IF(B2983="",0,INDEX(ModelParameters!$D$13:$K$17,MATCH($O2983,ModelParameters!$B$13:$B$17,0),MATCH($J2983,ModelParameters!$D$5:$K$5,0)))</f>
        <v>0.61</v>
      </c>
      <c r="S2983" s="160">
        <f>IF(B2983="",0,MIN(IF($N2983="Other Bond TM",ModelParameters!$N$21,1)*(P2983*Q2983+R2983),1))</f>
        <v>0.61298075755702088</v>
      </c>
      <c r="T2983" s="85">
        <f>IF(B2983="",0,$S2983*$K2983)</f>
        <v>6411.6677246494376</v>
      </c>
      <c r="U2983" s="85">
        <f>IF(B2983="",0,IF(OR(H2983=MappingTables!$C$34,H2983=MappingTables!$C$35),T2983,0))</f>
        <v>0</v>
      </c>
      <c r="V2983" s="85">
        <f>IF(ISNA(IF(AND(VLOOKUP(CONCATENATE($D2983,$G2983),CSRFinput!$B:$E,4,0)=0,OR(H2983=MappingTables!$C$34,H2983=MappingTables!$C$35)),1,VLOOKUP(CONCATENATE($D2983,$G2983),CSRFinput!$B:$E,4,0))),0,IF(AND(VLOOKUP(CONCATENATE($D2983,$G2983),CSRFinput!$B:$E,4,0)=0,OR(H2983=MappingTables!$C$34,H2983=MappingTables!$C$35)),1,VLOOKUP(CONCATENATE($D2983,$G2983),CSRFinput!$B:$E,4,0)))</f>
        <v>0.054776304963434752</v>
      </c>
      <c r="W2983" s="85">
        <f>IF(B2983="",0,+$T2983*$V2983)</f>
        <v>351.2074666096094</v>
      </c>
      <c r="X2983" s="85">
        <f>IF(B2983="",0,IF(OR(H2983=MappingTables!$C$34,H2983=MappingTables!$C$35),W2983,0))</f>
        <v>0</v>
      </c>
    </row>
    <row r="2984" spans="2:24" s="0" customFormat="0" ht="15">
      <c r="B2984" s="69">
        <v>17095269</v>
      </c>
      <c r="C2984" s="70" t="s">
        <v>2690</v>
      </c>
      <c r="D2984" s="70" t="s">
        <v>1</v>
      </c>
      <c r="E2984" s="70" t="s">
        <v>1</v>
      </c>
      <c r="F2984" s="70"/>
      <c r="G2984" s="70" t="s">
        <v>61</v>
      </c>
      <c r="H2984" s="70" t="s">
        <v>178</v>
      </c>
      <c r="I2984" s="70" t="s">
        <v>204</v>
      </c>
      <c r="J2984" s="71">
        <f>IF(OR(I2984=0,I2984=""),"unrated",VLOOKUP(I2984,MappingTables!$B$19:$C$31,2,FALSE))</f>
        <v>6</v>
      </c>
      <c r="K2984" s="72">
        <v>4458.818997530452</v>
      </c>
      <c r="L2984" s="70">
        <v>5.0222179516215904</v>
      </c>
      <c r="M2984" s="71">
        <f>IF(L2984&lt;1,1,L2984)</f>
        <v>5.0222179516215904</v>
      </c>
      <c r="N2984" s="70" t="s">
        <v>141</v>
      </c>
      <c r="O2984" s="71">
        <f>INDEX(DurClassMapping,MATCH(M2984,MappingTables!$D$4:$D$8,-1),1)</f>
        <v>2</v>
      </c>
      <c r="P2984" s="73">
        <f>IF(M2984=$A$1,1,$M2984-INDEX(MappingTables!$E$4:$E$8,MATCH(O2984,MappingTables!$B$4:$B$8,0)))</f>
        <v>0.022217951621590792</v>
      </c>
      <c r="Q2984" s="71">
        <f>IF(B2984="",0,INDEX(ModelParameters!$D$6:$K$10,MATCH($O2984,ModelParameters!$B$6:$B$10,0),MATCH($J2984,ModelParameters!$D$5:$K$5,0)))</f>
        <v>0.042</v>
      </c>
      <c r="R2984" s="71">
        <f>IF(B2984="",0,INDEX(ModelParameters!$D$13:$K$17,MATCH($O2984,ModelParameters!$B$13:$B$17,0),MATCH($J2984,ModelParameters!$D$5:$K$5,0)))</f>
        <v>0.375</v>
      </c>
      <c r="S2984" s="160">
        <f>IF(B2984="",0,MIN(IF($N2984="Other Bond TM",ModelParameters!$N$21,1)*(P2984*Q2984+R2984),1))</f>
        <v>0.3759331539681068</v>
      </c>
      <c r="T2984" s="85">
        <f>IF(B2984="",0,$S2984*$K2984)</f>
        <v>1676.2178887145354</v>
      </c>
      <c r="U2984" s="85">
        <f>IF(B2984="",0,IF(OR(H2984=MappingTables!$C$34,H2984=MappingTables!$C$35),T2984,0))</f>
        <v>0</v>
      </c>
      <c r="V2984" s="85">
        <f>IF(ISNA(IF(AND(VLOOKUP(CONCATENATE($D2984,$G2984),CSRFinput!$B:$E,4,0)=0,OR(H2984=MappingTables!$C$34,H2984=MappingTables!$C$35)),1,VLOOKUP(CONCATENATE($D2984,$G2984),CSRFinput!$B:$E,4,0))),0,IF(AND(VLOOKUP(CONCATENATE($D2984,$G2984),CSRFinput!$B:$E,4,0)=0,OR(H2984=MappingTables!$C$34,H2984=MappingTables!$C$35)),1,VLOOKUP(CONCATENATE($D2984,$G2984),CSRFinput!$B:$E,4,0)))</f>
        <v>0.054776304963434752</v>
      </c>
      <c r="W2984" s="85">
        <f>IF(B2984="",0,+$T2984*$V2984)</f>
        <v>91.817022257392128</v>
      </c>
      <c r="X2984" s="85">
        <f>IF(B2984="",0,IF(OR(H2984=MappingTables!$C$34,H2984=MappingTables!$C$35),W2984,0))</f>
        <v>0</v>
      </c>
    </row>
    <row r="2985" spans="2:24" s="0" customFormat="0" ht="15">
      <c r="B2985" s="69" t="s">
        <v>258</v>
      </c>
      <c r="C2985" s="70" t="s">
        <v>259</v>
      </c>
      <c r="D2985" s="70" t="s">
        <v>1</v>
      </c>
      <c r="E2985" s="70" t="s">
        <v>1</v>
      </c>
      <c r="F2985" s="70"/>
      <c r="G2985" s="70" t="s">
        <v>61</v>
      </c>
      <c r="H2985" s="70" t="s">
        <v>178</v>
      </c>
      <c r="I2985" s="70" t="s">
        <v>198</v>
      </c>
      <c r="J2985" s="71" t="str">
        <f>IF(OR(I2985=0,I2985=""),"unrated",VLOOKUP(I2985,MappingTables!$B$19:$C$31,2,FALSE))</f>
        <v>unrated</v>
      </c>
      <c r="K2985" s="72">
        <v>2100.71841609272</v>
      </c>
      <c r="L2985" s="70">
        <v>2.916535600885072</v>
      </c>
      <c r="M2985" s="71">
        <f>IF(L2985&lt;1,1,L2985)</f>
        <v>2.916535600885072</v>
      </c>
      <c r="N2985" s="70" t="s">
        <v>141</v>
      </c>
      <c r="O2985" s="71">
        <f>INDEX(DurClassMapping,MATCH(M2985,MappingTables!$D$4:$D$8,-1),1)</f>
        <v>1</v>
      </c>
      <c r="P2985" s="73">
        <f>IF(M2985=$A$1,1,$M2985-INDEX(MappingTables!$E$4:$E$8,MATCH(O2985,MappingTables!$B$4:$B$8,0)))</f>
        <v>2.916535600885072</v>
      </c>
      <c r="Q2985" s="71">
        <f>IF(B2985="",0,INDEX(ModelParameters!$D$6:$K$10,MATCH($O2985,ModelParameters!$B$6:$B$10,0),MATCH($J2985,ModelParameters!$D$5:$K$5,0)))</f>
        <v>0.03</v>
      </c>
      <c r="R2985" s="71">
        <f>IF(B2985="",0,INDEX(ModelParameters!$D$13:$K$17,MATCH($O2985,ModelParameters!$B$13:$B$17,0),MATCH($J2985,ModelParameters!$D$5:$K$5,0)))</f>
        <v>0</v>
      </c>
      <c r="S2985" s="160">
        <f>IF(B2985="",0,MIN(IF($N2985="Other Bond TM",ModelParameters!$N$21,1)*(P2985*Q2985+R2985),1))</f>
        <v>0.08749606802655216</v>
      </c>
      <c r="T2985" s="85">
        <f>IF(B2985="",0,$S2985*$K2985)</f>
        <v>183.80460143907952</v>
      </c>
      <c r="U2985" s="85">
        <f>IF(B2985="",0,IF(OR(H2985=MappingTables!$C$34,H2985=MappingTables!$C$35),T2985,0))</f>
        <v>0</v>
      </c>
      <c r="V2985" s="85">
        <f>IF(ISNA(IF(AND(VLOOKUP(CONCATENATE($D2985,$G2985),CSRFinput!$B:$E,4,0)=0,OR(H2985=MappingTables!$C$34,H2985=MappingTables!$C$35)),1,VLOOKUP(CONCATENATE($D2985,$G2985),CSRFinput!$B:$E,4,0))),0,IF(AND(VLOOKUP(CONCATENATE($D2985,$G2985),CSRFinput!$B:$E,4,0)=0,OR(H2985=MappingTables!$C$34,H2985=MappingTables!$C$35)),1,VLOOKUP(CONCATENATE($D2985,$G2985),CSRFinput!$B:$E,4,0)))</f>
        <v>0.054776304963434752</v>
      </c>
      <c r="W2985" s="85">
        <f>IF(B2985="",0,+$T2985*$V2985)</f>
        <v>10.068136902109598</v>
      </c>
      <c r="X2985" s="85">
        <f>IF(B2985="",0,IF(OR(H2985=MappingTables!$C$34,H2985=MappingTables!$C$35),W2985,0))</f>
        <v>0</v>
      </c>
    </row>
    <row r="2986" spans="2:24" s="0" customFormat="0" ht="15">
      <c r="B2986" s="69">
        <v>8584154</v>
      </c>
      <c r="C2986" s="70" t="s">
        <v>1867</v>
      </c>
      <c r="D2986" s="70" t="s">
        <v>1</v>
      </c>
      <c r="E2986" s="70" t="s">
        <v>1</v>
      </c>
      <c r="F2986" s="70"/>
      <c r="G2986" s="70" t="s">
        <v>61</v>
      </c>
      <c r="H2986" s="70" t="s">
        <v>178</v>
      </c>
      <c r="I2986" s="70" t="s">
        <v>181</v>
      </c>
      <c r="J2986" s="71">
        <f>IF(OR(I2986=0,I2986=""),"unrated",VLOOKUP(I2986,MappingTables!$B$19:$C$31,2,FALSE))</f>
        <v>3</v>
      </c>
      <c r="K2986" s="72">
        <v>292.50934940355136</v>
      </c>
      <c r="L2986" s="70">
        <v>0.36438318305628376</v>
      </c>
      <c r="M2986" s="71">
        <f>IF(L2986&lt;1,1,L2986)</f>
        <v>1</v>
      </c>
      <c r="N2986" s="70" t="s">
        <v>141</v>
      </c>
      <c r="O2986" s="71">
        <f>INDEX(DurClassMapping,MATCH(M2986,MappingTables!$D$4:$D$8,-1),1)</f>
        <v>1</v>
      </c>
      <c r="P2986" s="73">
        <f>IF(M2986=$A$1,1,$M2986-INDEX(MappingTables!$E$4:$E$8,MATCH(O2986,MappingTables!$B$4:$B$8,0)))</f>
        <v>1</v>
      </c>
      <c r="Q2986" s="71">
        <f>IF(B2986="",0,INDEX(ModelParameters!$D$6:$K$10,MATCH($O2986,ModelParameters!$B$6:$B$10,0),MATCH($J2986,ModelParameters!$D$5:$K$5,0)))</f>
        <v>0.025</v>
      </c>
      <c r="R2986" s="71">
        <f>IF(B2986="",0,INDEX(ModelParameters!$D$13:$K$17,MATCH($O2986,ModelParameters!$B$13:$B$17,0),MATCH($J2986,ModelParameters!$D$5:$K$5,0)))</f>
        <v>0</v>
      </c>
      <c r="S2986" s="160">
        <f>IF(B2986="",0,MIN(IF($N2986="Other Bond TM",ModelParameters!$N$21,1)*(P2986*Q2986+R2986),1))</f>
        <v>0.025</v>
      </c>
      <c r="T2986" s="85">
        <f>IF(B2986="",0,$S2986*$K2986)</f>
        <v>7.312733735088784</v>
      </c>
      <c r="U2986" s="85">
        <f>IF(B2986="",0,IF(OR(H2986=MappingTables!$C$34,H2986=MappingTables!$C$35),T2986,0))</f>
        <v>0</v>
      </c>
      <c r="V2986" s="85">
        <f>IF(ISNA(IF(AND(VLOOKUP(CONCATENATE($D2986,$G2986),CSRFinput!$B:$E,4,0)=0,OR(H2986=MappingTables!$C$34,H2986=MappingTables!$C$35)),1,VLOOKUP(CONCATENATE($D2986,$G2986),CSRFinput!$B:$E,4,0))),0,IF(AND(VLOOKUP(CONCATENATE($D2986,$G2986),CSRFinput!$B:$E,4,0)=0,OR(H2986=MappingTables!$C$34,H2986=MappingTables!$C$35)),1,VLOOKUP(CONCATENATE($D2986,$G2986),CSRFinput!$B:$E,4,0)))</f>
        <v>0.054776304963434752</v>
      </c>
      <c r="W2986" s="85">
        <f>IF(B2986="",0,+$T2986*$V2986)</f>
        <v>0.40056453318962056</v>
      </c>
      <c r="X2986" s="85">
        <f>IF(B2986="",0,IF(OR(H2986=MappingTables!$C$34,H2986=MappingTables!$C$35),W2986,0))</f>
        <v>0</v>
      </c>
    </row>
    <row r="2987" spans="2:24" s="0" customFormat="0" ht="15">
      <c r="B2987" s="69">
        <v>12657547</v>
      </c>
      <c r="C2987" s="70" t="s">
        <v>2691</v>
      </c>
      <c r="D2987" s="70" t="s">
        <v>1</v>
      </c>
      <c r="E2987" s="70" t="s">
        <v>1</v>
      </c>
      <c r="F2987" s="70"/>
      <c r="G2987" s="70" t="s">
        <v>61</v>
      </c>
      <c r="H2987" s="70" t="s">
        <v>178</v>
      </c>
      <c r="I2987" s="70" t="s">
        <v>188</v>
      </c>
      <c r="J2987" s="71">
        <f>IF(OR(I2987=0,I2987=""),"unrated",VLOOKUP(I2987,MappingTables!$B$19:$C$31,2,FALSE))</f>
        <v>2</v>
      </c>
      <c r="K2987" s="72">
        <v>6378.9917707930848</v>
      </c>
      <c r="L2987" s="70">
        <v>0.7457542289772144</v>
      </c>
      <c r="M2987" s="71">
        <f>IF(L2987&lt;1,1,L2987)</f>
        <v>1</v>
      </c>
      <c r="N2987" s="70" t="s">
        <v>141</v>
      </c>
      <c r="O2987" s="71">
        <f>INDEX(DurClassMapping,MATCH(M2987,MappingTables!$D$4:$D$8,-1),1)</f>
        <v>1</v>
      </c>
      <c r="P2987" s="73">
        <f>IF(M2987=$A$1,1,$M2987-INDEX(MappingTables!$E$4:$E$8,MATCH(O2987,MappingTables!$B$4:$B$8,0)))</f>
        <v>1</v>
      </c>
      <c r="Q2987" s="71">
        <f>IF(B2987="",0,INDEX(ModelParameters!$D$6:$K$10,MATCH($O2987,ModelParameters!$B$6:$B$10,0),MATCH($J2987,ModelParameters!$D$5:$K$5,0)))</f>
        <v>0.013999999999999998</v>
      </c>
      <c r="R2987" s="71">
        <f>IF(B2987="",0,INDEX(ModelParameters!$D$13:$K$17,MATCH($O2987,ModelParameters!$B$13:$B$17,0),MATCH($J2987,ModelParameters!$D$5:$K$5,0)))</f>
        <v>0</v>
      </c>
      <c r="S2987" s="160">
        <f>IF(B2987="",0,MIN(IF($N2987="Other Bond TM",ModelParameters!$N$21,1)*(P2987*Q2987+R2987),1))</f>
        <v>0.013999999999999998</v>
      </c>
      <c r="T2987" s="85">
        <f>IF(B2987="",0,$S2987*$K2987)</f>
        <v>89.305884791103168</v>
      </c>
      <c r="U2987" s="85">
        <f>IF(B2987="",0,IF(OR(H2987=MappingTables!$C$34,H2987=MappingTables!$C$35),T2987,0))</f>
        <v>0</v>
      </c>
      <c r="V2987" s="85">
        <f>IF(ISNA(IF(AND(VLOOKUP(CONCATENATE($D2987,$G2987),CSRFinput!$B:$E,4,0)=0,OR(H2987=MappingTables!$C$34,H2987=MappingTables!$C$35)),1,VLOOKUP(CONCATENATE($D2987,$G2987),CSRFinput!$B:$E,4,0))),0,IF(AND(VLOOKUP(CONCATENATE($D2987,$G2987),CSRFinput!$B:$E,4,0)=0,OR(H2987=MappingTables!$C$34,H2987=MappingTables!$C$35)),1,VLOOKUP(CONCATENATE($D2987,$G2987),CSRFinput!$B:$E,4,0)))</f>
        <v>0.054776304963434752</v>
      </c>
      <c r="W2987" s="85">
        <f>IF(B2987="",0,+$T2987*$V2987)</f>
        <v>4.8918463803468368</v>
      </c>
      <c r="X2987" s="85">
        <f>IF(B2987="",0,IF(OR(H2987=MappingTables!$C$34,H2987=MappingTables!$C$35),W2987,0))</f>
        <v>0</v>
      </c>
    </row>
    <row r="2988" spans="2:24" s="0" customFormat="0" ht="15">
      <c r="B2988" s="69">
        <v>17491187</v>
      </c>
      <c r="C2988" s="70" t="s">
        <v>2187</v>
      </c>
      <c r="D2988" s="70" t="s">
        <v>1</v>
      </c>
      <c r="E2988" s="70" t="s">
        <v>1</v>
      </c>
      <c r="F2988" s="70"/>
      <c r="G2988" s="70" t="s">
        <v>61</v>
      </c>
      <c r="H2988" s="70" t="s">
        <v>178</v>
      </c>
      <c r="I2988" s="70" t="s">
        <v>184</v>
      </c>
      <c r="J2988" s="71">
        <f>IF(OR(I2988=0,I2988=""),"unrated",VLOOKUP(I2988,MappingTables!$B$19:$C$31,2,FALSE))</f>
        <v>5</v>
      </c>
      <c r="K2988" s="72">
        <v>85.918343489656208</v>
      </c>
      <c r="L2988" s="70">
        <v>1.5195079102304094</v>
      </c>
      <c r="M2988" s="71">
        <f>IF(L2988&lt;1,1,L2988)</f>
        <v>1.5195079102304094</v>
      </c>
      <c r="N2988" s="70" t="s">
        <v>141</v>
      </c>
      <c r="O2988" s="71">
        <f>INDEX(DurClassMapping,MATCH(M2988,MappingTables!$D$4:$D$8,-1),1)</f>
        <v>1</v>
      </c>
      <c r="P2988" s="73">
        <f>IF(M2988=$A$1,1,$M2988-INDEX(MappingTables!$E$4:$E$8,MATCH(O2988,MappingTables!$B$4:$B$8,0)))</f>
        <v>1.5195079102304094</v>
      </c>
      <c r="Q2988" s="71">
        <f>IF(B2988="",0,INDEX(ModelParameters!$D$6:$K$10,MATCH($O2988,ModelParameters!$B$6:$B$10,0),MATCH($J2988,ModelParameters!$D$5:$K$5,0)))</f>
        <v>0.075</v>
      </c>
      <c r="R2988" s="71">
        <f>IF(B2988="",0,INDEX(ModelParameters!$D$13:$K$17,MATCH($O2988,ModelParameters!$B$13:$B$17,0),MATCH($J2988,ModelParameters!$D$5:$K$5,0)))</f>
        <v>0</v>
      </c>
      <c r="S2988" s="160">
        <f>IF(B2988="",0,MIN(IF($N2988="Other Bond TM",ModelParameters!$N$21,1)*(P2988*Q2988+R2988),1))</f>
        <v>0.1139630932672807</v>
      </c>
      <c r="T2988" s="85">
        <f>IF(B2988="",0,$S2988*$K2988)</f>
        <v>9.7915201924819504</v>
      </c>
      <c r="U2988" s="85">
        <f>IF(B2988="",0,IF(OR(H2988=MappingTables!$C$34,H2988=MappingTables!$C$35),T2988,0))</f>
        <v>0</v>
      </c>
      <c r="V2988" s="85">
        <f>IF(ISNA(IF(AND(VLOOKUP(CONCATENATE($D2988,$G2988),CSRFinput!$B:$E,4,0)=0,OR(H2988=MappingTables!$C$34,H2988=MappingTables!$C$35)),1,VLOOKUP(CONCATENATE($D2988,$G2988),CSRFinput!$B:$E,4,0))),0,IF(AND(VLOOKUP(CONCATENATE($D2988,$G2988),CSRFinput!$B:$E,4,0)=0,OR(H2988=MappingTables!$C$34,H2988=MappingTables!$C$35)),1,VLOOKUP(CONCATENATE($D2988,$G2988),CSRFinput!$B:$E,4,0)))</f>
        <v>0.054776304963434752</v>
      </c>
      <c r="W2988" s="85">
        <f>IF(B2988="",0,+$T2988*$V2988)</f>
        <v>0.53634329611902064</v>
      </c>
      <c r="X2988" s="85">
        <f>IF(B2988="",0,IF(OR(H2988=MappingTables!$C$34,H2988=MappingTables!$C$35),W2988,0))</f>
        <v>0</v>
      </c>
    </row>
    <row r="2989" spans="2:24" s="0" customFormat="0" ht="15">
      <c r="B2989" s="69">
        <v>19203904</v>
      </c>
      <c r="C2989" s="70" t="s">
        <v>2692</v>
      </c>
      <c r="D2989" s="70" t="s">
        <v>1</v>
      </c>
      <c r="E2989" s="70" t="s">
        <v>1</v>
      </c>
      <c r="F2989" s="70"/>
      <c r="G2989" s="70" t="s">
        <v>61</v>
      </c>
      <c r="H2989" s="70" t="s">
        <v>178</v>
      </c>
      <c r="I2989" s="70" t="s">
        <v>179</v>
      </c>
      <c r="J2989" s="71">
        <f>IF(OR(I2989=0,I2989=""),"unrated",VLOOKUP(I2989,MappingTables!$B$19:$C$31,2,FALSE))</f>
        <v>4</v>
      </c>
      <c r="K2989" s="72">
        <v>6054.1681227287416</v>
      </c>
      <c r="L2989" s="70">
        <v>2.9193169029223228</v>
      </c>
      <c r="M2989" s="71">
        <f>IF(L2989&lt;1,1,L2989)</f>
        <v>2.9193169029223228</v>
      </c>
      <c r="N2989" s="70" t="s">
        <v>141</v>
      </c>
      <c r="O2989" s="71">
        <f>INDEX(DurClassMapping,MATCH(M2989,MappingTables!$D$4:$D$8,-1),1)</f>
        <v>1</v>
      </c>
      <c r="P2989" s="73">
        <f>IF(M2989=$A$1,1,$M2989-INDEX(MappingTables!$E$4:$E$8,MATCH(O2989,MappingTables!$B$4:$B$8,0)))</f>
        <v>2.9193169029223228</v>
      </c>
      <c r="Q2989" s="71">
        <f>IF(B2989="",0,INDEX(ModelParameters!$D$6:$K$10,MATCH($O2989,ModelParameters!$B$6:$B$10,0),MATCH($J2989,ModelParameters!$D$5:$K$5,0)))</f>
        <v>0.045</v>
      </c>
      <c r="R2989" s="71">
        <f>IF(B2989="",0,INDEX(ModelParameters!$D$13:$K$17,MATCH($O2989,ModelParameters!$B$13:$B$17,0),MATCH($J2989,ModelParameters!$D$5:$K$5,0)))</f>
        <v>0</v>
      </c>
      <c r="S2989" s="160">
        <f>IF(B2989="",0,MIN(IF($N2989="Other Bond TM",ModelParameters!$N$21,1)*(P2989*Q2989+R2989),1))</f>
        <v>0.13136926063150454</v>
      </c>
      <c r="T2989" s="85">
        <f>IF(B2989="",0,$S2989*$K2989)</f>
        <v>795.33159002169856</v>
      </c>
      <c r="U2989" s="85">
        <f>IF(B2989="",0,IF(OR(H2989=MappingTables!$C$34,H2989=MappingTables!$C$35),T2989,0))</f>
        <v>0</v>
      </c>
      <c r="V2989" s="85">
        <f>IF(ISNA(IF(AND(VLOOKUP(CONCATENATE($D2989,$G2989),CSRFinput!$B:$E,4,0)=0,OR(H2989=MappingTables!$C$34,H2989=MappingTables!$C$35)),1,VLOOKUP(CONCATENATE($D2989,$G2989),CSRFinput!$B:$E,4,0))),0,IF(AND(VLOOKUP(CONCATENATE($D2989,$G2989),CSRFinput!$B:$E,4,0)=0,OR(H2989=MappingTables!$C$34,H2989=MappingTables!$C$35)),1,VLOOKUP(CONCATENATE($D2989,$G2989),CSRFinput!$B:$E,4,0)))</f>
        <v>0.054776304963434752</v>
      </c>
      <c r="W2989" s="85">
        <f>IF(B2989="",0,+$T2989*$V2989)</f>
        <v>43.565325722082024</v>
      </c>
      <c r="X2989" s="85">
        <f>IF(B2989="",0,IF(OR(H2989=MappingTables!$C$34,H2989=MappingTables!$C$35),W2989,0))</f>
        <v>0</v>
      </c>
    </row>
    <row r="2990" spans="2:24" s="0" customFormat="0" ht="15">
      <c r="B2990" s="69">
        <v>9126831</v>
      </c>
      <c r="C2990" s="70" t="s">
        <v>2693</v>
      </c>
      <c r="D2990" s="70" t="s">
        <v>1</v>
      </c>
      <c r="E2990" s="70" t="s">
        <v>1</v>
      </c>
      <c r="F2990" s="70"/>
      <c r="G2990" s="70" t="s">
        <v>61</v>
      </c>
      <c r="H2990" s="70" t="s">
        <v>178</v>
      </c>
      <c r="I2990" s="70" t="s">
        <v>179</v>
      </c>
      <c r="J2990" s="71">
        <f>IF(OR(I2990=0,I2990=""),"unrated",VLOOKUP(I2990,MappingTables!$B$19:$C$31,2,FALSE))</f>
        <v>4</v>
      </c>
      <c r="K2990" s="72">
        <v>755.02937225771104</v>
      </c>
      <c r="L2990" s="70">
        <v>3.58228807339967</v>
      </c>
      <c r="M2990" s="71">
        <f>IF(L2990&lt;1,1,L2990)</f>
        <v>3.58228807339967</v>
      </c>
      <c r="N2990" s="70" t="s">
        <v>141</v>
      </c>
      <c r="O2990" s="71">
        <f>INDEX(DurClassMapping,MATCH(M2990,MappingTables!$D$4:$D$8,-1),1)</f>
        <v>1</v>
      </c>
      <c r="P2990" s="73">
        <f>IF(M2990=$A$1,1,$M2990-INDEX(MappingTables!$E$4:$E$8,MATCH(O2990,MappingTables!$B$4:$B$8,0)))</f>
        <v>3.58228807339967</v>
      </c>
      <c r="Q2990" s="71">
        <f>IF(B2990="",0,INDEX(ModelParameters!$D$6:$K$10,MATCH($O2990,ModelParameters!$B$6:$B$10,0),MATCH($J2990,ModelParameters!$D$5:$K$5,0)))</f>
        <v>0.045</v>
      </c>
      <c r="R2990" s="71">
        <f>IF(B2990="",0,INDEX(ModelParameters!$D$13:$K$17,MATCH($O2990,ModelParameters!$B$13:$B$17,0),MATCH($J2990,ModelParameters!$D$5:$K$5,0)))</f>
        <v>0</v>
      </c>
      <c r="S2990" s="160">
        <f>IF(B2990="",0,MIN(IF($N2990="Other Bond TM",ModelParameters!$N$21,1)*(P2990*Q2990+R2990),1))</f>
        <v>0.16120296330298514</v>
      </c>
      <c r="T2990" s="85">
        <f>IF(B2990="",0,$S2990*$K2990)</f>
        <v>121.7129721887357</v>
      </c>
      <c r="U2990" s="85">
        <f>IF(B2990="",0,IF(OR(H2990=MappingTables!$C$34,H2990=MappingTables!$C$35),T2990,0))</f>
        <v>0</v>
      </c>
      <c r="V2990" s="85">
        <f>IF(ISNA(IF(AND(VLOOKUP(CONCATENATE($D2990,$G2990),CSRFinput!$B:$E,4,0)=0,OR(H2990=MappingTables!$C$34,H2990=MappingTables!$C$35)),1,VLOOKUP(CONCATENATE($D2990,$G2990),CSRFinput!$B:$E,4,0))),0,IF(AND(VLOOKUP(CONCATENATE($D2990,$G2990),CSRFinput!$B:$E,4,0)=0,OR(H2990=MappingTables!$C$34,H2990=MappingTables!$C$35)),1,VLOOKUP(CONCATENATE($D2990,$G2990),CSRFinput!$B:$E,4,0)))</f>
        <v>0.054776304963434752</v>
      </c>
      <c r="W2990" s="85">
        <f>IF(B2990="",0,+$T2990*$V2990)</f>
        <v>6.6669868826162392</v>
      </c>
      <c r="X2990" s="85">
        <f>IF(B2990="",0,IF(OR(H2990=MappingTables!$C$34,H2990=MappingTables!$C$35),W2990,0))</f>
        <v>0</v>
      </c>
    </row>
    <row r="2991" spans="2:24" s="0" customFormat="0" ht="15">
      <c r="B2991" s="69">
        <v>14122091</v>
      </c>
      <c r="C2991" s="70" t="s">
        <v>2694</v>
      </c>
      <c r="D2991" s="70" t="s">
        <v>1</v>
      </c>
      <c r="E2991" s="70" t="s">
        <v>1</v>
      </c>
      <c r="F2991" s="70"/>
      <c r="G2991" s="70" t="s">
        <v>61</v>
      </c>
      <c r="H2991" s="70" t="s">
        <v>178</v>
      </c>
      <c r="I2991" s="70" t="s">
        <v>188</v>
      </c>
      <c r="J2991" s="71">
        <f>IF(OR(I2991=0,I2991=""),"unrated",VLOOKUP(I2991,MappingTables!$B$19:$C$31,2,FALSE))</f>
        <v>2</v>
      </c>
      <c r="K2991" s="72">
        <v>22217.815876260308</v>
      </c>
      <c r="L2991" s="70">
        <v>0.37771604193617112</v>
      </c>
      <c r="M2991" s="71">
        <f>IF(L2991&lt;1,1,L2991)</f>
        <v>1</v>
      </c>
      <c r="N2991" s="70" t="s">
        <v>141</v>
      </c>
      <c r="O2991" s="71">
        <f>INDEX(DurClassMapping,MATCH(M2991,MappingTables!$D$4:$D$8,-1),1)</f>
        <v>1</v>
      </c>
      <c r="P2991" s="73">
        <f>IF(M2991=$A$1,1,$M2991-INDEX(MappingTables!$E$4:$E$8,MATCH(O2991,MappingTables!$B$4:$B$8,0)))</f>
        <v>1</v>
      </c>
      <c r="Q2991" s="71">
        <f>IF(B2991="",0,INDEX(ModelParameters!$D$6:$K$10,MATCH($O2991,ModelParameters!$B$6:$B$10,0),MATCH($J2991,ModelParameters!$D$5:$K$5,0)))</f>
        <v>0.013999999999999998</v>
      </c>
      <c r="R2991" s="71">
        <f>IF(B2991="",0,INDEX(ModelParameters!$D$13:$K$17,MATCH($O2991,ModelParameters!$B$13:$B$17,0),MATCH($J2991,ModelParameters!$D$5:$K$5,0)))</f>
        <v>0</v>
      </c>
      <c r="S2991" s="160">
        <f>IF(B2991="",0,MIN(IF($N2991="Other Bond TM",ModelParameters!$N$21,1)*(P2991*Q2991+R2991),1))</f>
        <v>0.013999999999999998</v>
      </c>
      <c r="T2991" s="85">
        <f>IF(B2991="",0,$S2991*$K2991)</f>
        <v>311.04942226764428</v>
      </c>
      <c r="U2991" s="85">
        <f>IF(B2991="",0,IF(OR(H2991=MappingTables!$C$34,H2991=MappingTables!$C$35),T2991,0))</f>
        <v>0</v>
      </c>
      <c r="V2991" s="85">
        <f>IF(ISNA(IF(AND(VLOOKUP(CONCATENATE($D2991,$G2991),CSRFinput!$B:$E,4,0)=0,OR(H2991=MappingTables!$C$34,H2991=MappingTables!$C$35)),1,VLOOKUP(CONCATENATE($D2991,$G2991),CSRFinput!$B:$E,4,0))),0,IF(AND(VLOOKUP(CONCATENATE($D2991,$G2991),CSRFinput!$B:$E,4,0)=0,OR(H2991=MappingTables!$C$34,H2991=MappingTables!$C$35)),1,VLOOKUP(CONCATENATE($D2991,$G2991),CSRFinput!$B:$E,4,0)))</f>
        <v>0.054776304963434752</v>
      </c>
      <c r="W2991" s="85">
        <f>IF(B2991="",0,+$T2991*$V2991)</f>
        <v>17.038138012832676</v>
      </c>
      <c r="X2991" s="85">
        <f>IF(B2991="",0,IF(OR(H2991=MappingTables!$C$34,H2991=MappingTables!$C$35),W2991,0))</f>
        <v>0</v>
      </c>
    </row>
    <row r="2992" spans="2:24" s="0" customFormat="0" ht="15">
      <c r="B2992" s="69">
        <v>18702634</v>
      </c>
      <c r="C2992" s="70" t="s">
        <v>975</v>
      </c>
      <c r="D2992" s="70" t="s">
        <v>1</v>
      </c>
      <c r="E2992" s="70" t="s">
        <v>1</v>
      </c>
      <c r="F2992" s="70"/>
      <c r="G2992" s="70" t="s">
        <v>61</v>
      </c>
      <c r="H2992" s="70" t="s">
        <v>178</v>
      </c>
      <c r="I2992" s="70" t="s">
        <v>184</v>
      </c>
      <c r="J2992" s="71">
        <f>IF(OR(I2992=0,I2992=""),"unrated",VLOOKUP(I2992,MappingTables!$B$19:$C$31,2,FALSE))</f>
        <v>5</v>
      </c>
      <c r="K2992" s="72">
        <v>4223.765793046204</v>
      </c>
      <c r="L2992" s="70">
        <v>0.9504453931288512</v>
      </c>
      <c r="M2992" s="71">
        <f>IF(L2992&lt;1,1,L2992)</f>
        <v>1</v>
      </c>
      <c r="N2992" s="70" t="s">
        <v>141</v>
      </c>
      <c r="O2992" s="71">
        <f>INDEX(DurClassMapping,MATCH(M2992,MappingTables!$D$4:$D$8,-1),1)</f>
        <v>1</v>
      </c>
      <c r="P2992" s="73">
        <f>IF(M2992=$A$1,1,$M2992-INDEX(MappingTables!$E$4:$E$8,MATCH(O2992,MappingTables!$B$4:$B$8,0)))</f>
        <v>1</v>
      </c>
      <c r="Q2992" s="71">
        <f>IF(B2992="",0,INDEX(ModelParameters!$D$6:$K$10,MATCH($O2992,ModelParameters!$B$6:$B$10,0),MATCH($J2992,ModelParameters!$D$5:$K$5,0)))</f>
        <v>0.075</v>
      </c>
      <c r="R2992" s="71">
        <f>IF(B2992="",0,INDEX(ModelParameters!$D$13:$K$17,MATCH($O2992,ModelParameters!$B$13:$B$17,0),MATCH($J2992,ModelParameters!$D$5:$K$5,0)))</f>
        <v>0</v>
      </c>
      <c r="S2992" s="160">
        <f>IF(B2992="",0,MIN(IF($N2992="Other Bond TM",ModelParameters!$N$21,1)*(P2992*Q2992+R2992),1))</f>
        <v>0.075</v>
      </c>
      <c r="T2992" s="85">
        <f>IF(B2992="",0,$S2992*$K2992)</f>
        <v>316.78243447846528</v>
      </c>
      <c r="U2992" s="85">
        <f>IF(B2992="",0,IF(OR(H2992=MappingTables!$C$34,H2992=MappingTables!$C$35),T2992,0))</f>
        <v>0</v>
      </c>
      <c r="V2992" s="85">
        <f>IF(ISNA(IF(AND(VLOOKUP(CONCATENATE($D2992,$G2992),CSRFinput!$B:$E,4,0)=0,OR(H2992=MappingTables!$C$34,H2992=MappingTables!$C$35)),1,VLOOKUP(CONCATENATE($D2992,$G2992),CSRFinput!$B:$E,4,0))),0,IF(AND(VLOOKUP(CONCATENATE($D2992,$G2992),CSRFinput!$B:$E,4,0)=0,OR(H2992=MappingTables!$C$34,H2992=MappingTables!$C$35)),1,VLOOKUP(CONCATENATE($D2992,$G2992),CSRFinput!$B:$E,4,0)))</f>
        <v>0.054776304963434752</v>
      </c>
      <c r="W2992" s="85">
        <f>IF(B2992="",0,+$T2992*$V2992)</f>
        <v>17.352171238051704</v>
      </c>
      <c r="X2992" s="85">
        <f>IF(B2992="",0,IF(OR(H2992=MappingTables!$C$34,H2992=MappingTables!$C$35),W2992,0))</f>
        <v>0</v>
      </c>
    </row>
    <row r="2993" spans="2:24" s="0" customFormat="0" ht="15">
      <c r="B2993" s="69">
        <v>12544779</v>
      </c>
      <c r="C2993" s="70" t="s">
        <v>2695</v>
      </c>
      <c r="D2993" s="70" t="s">
        <v>1</v>
      </c>
      <c r="E2993" s="70" t="s">
        <v>1</v>
      </c>
      <c r="F2993" s="70"/>
      <c r="G2993" s="70" t="s">
        <v>61</v>
      </c>
      <c r="H2993" s="70" t="s">
        <v>178</v>
      </c>
      <c r="I2993" s="70" t="s">
        <v>181</v>
      </c>
      <c r="J2993" s="71">
        <f>IF(OR(I2993=0,I2993=""),"unrated",VLOOKUP(I2993,MappingTables!$B$19:$C$31,2,FALSE))</f>
        <v>3</v>
      </c>
      <c r="K2993" s="72">
        <v>597.57572315520088</v>
      </c>
      <c r="L2993" s="70">
        <v>0.5992533215010228</v>
      </c>
      <c r="M2993" s="71">
        <f>IF(L2993&lt;1,1,L2993)</f>
        <v>1</v>
      </c>
      <c r="N2993" s="70" t="s">
        <v>141</v>
      </c>
      <c r="O2993" s="71">
        <f>INDEX(DurClassMapping,MATCH(M2993,MappingTables!$D$4:$D$8,-1),1)</f>
        <v>1</v>
      </c>
      <c r="P2993" s="73">
        <f>IF(M2993=$A$1,1,$M2993-INDEX(MappingTables!$E$4:$E$8,MATCH(O2993,MappingTables!$B$4:$B$8,0)))</f>
        <v>1</v>
      </c>
      <c r="Q2993" s="71">
        <f>IF(B2993="",0,INDEX(ModelParameters!$D$6:$K$10,MATCH($O2993,ModelParameters!$B$6:$B$10,0),MATCH($J2993,ModelParameters!$D$5:$K$5,0)))</f>
        <v>0.025</v>
      </c>
      <c r="R2993" s="71">
        <f>IF(B2993="",0,INDEX(ModelParameters!$D$13:$K$17,MATCH($O2993,ModelParameters!$B$13:$B$17,0),MATCH($J2993,ModelParameters!$D$5:$K$5,0)))</f>
        <v>0</v>
      </c>
      <c r="S2993" s="160">
        <f>IF(B2993="",0,MIN(IF($N2993="Other Bond TM",ModelParameters!$N$21,1)*(P2993*Q2993+R2993),1))</f>
        <v>0.025</v>
      </c>
      <c r="T2993" s="85">
        <f>IF(B2993="",0,$S2993*$K2993)</f>
        <v>14.939393078880024</v>
      </c>
      <c r="U2993" s="85">
        <f>IF(B2993="",0,IF(OR(H2993=MappingTables!$C$34,H2993=MappingTables!$C$35),T2993,0))</f>
        <v>0</v>
      </c>
      <c r="V2993" s="85">
        <f>IF(ISNA(IF(AND(VLOOKUP(CONCATENATE($D2993,$G2993),CSRFinput!$B:$E,4,0)=0,OR(H2993=MappingTables!$C$34,H2993=MappingTables!$C$35)),1,VLOOKUP(CONCATENATE($D2993,$G2993),CSRFinput!$B:$E,4,0))),0,IF(AND(VLOOKUP(CONCATENATE($D2993,$G2993),CSRFinput!$B:$E,4,0)=0,OR(H2993=MappingTables!$C$34,H2993=MappingTables!$C$35)),1,VLOOKUP(CONCATENATE($D2993,$G2993),CSRFinput!$B:$E,4,0)))</f>
        <v>0.054776304963434752</v>
      </c>
      <c r="W2993" s="85">
        <f>IF(B2993="",0,+$T2993*$V2993)</f>
        <v>0.81832475125735856</v>
      </c>
      <c r="X2993" s="85">
        <f>IF(B2993="",0,IF(OR(H2993=MappingTables!$C$34,H2993=MappingTables!$C$35),W2993,0))</f>
        <v>0</v>
      </c>
    </row>
    <row r="2994" spans="2:24" s="0" customFormat="0" ht="15">
      <c r="B2994" s="69">
        <v>17020309</v>
      </c>
      <c r="C2994" s="70" t="s">
        <v>1322</v>
      </c>
      <c r="D2994" s="70" t="s">
        <v>1</v>
      </c>
      <c r="E2994" s="70" t="s">
        <v>1</v>
      </c>
      <c r="F2994" s="70"/>
      <c r="G2994" s="70" t="s">
        <v>61</v>
      </c>
      <c r="H2994" s="70" t="s">
        <v>178</v>
      </c>
      <c r="I2994" s="70" t="s">
        <v>188</v>
      </c>
      <c r="J2994" s="71">
        <f>IF(OR(I2994=0,I2994=""),"unrated",VLOOKUP(I2994,MappingTables!$B$19:$C$31,2,FALSE))</f>
        <v>2</v>
      </c>
      <c r="K2994" s="72">
        <v>52.226828914378504</v>
      </c>
      <c r="L2994" s="70">
        <v>0.4328779476961192</v>
      </c>
      <c r="M2994" s="71">
        <f>IF(L2994&lt;1,1,L2994)</f>
        <v>1</v>
      </c>
      <c r="N2994" s="70" t="s">
        <v>141</v>
      </c>
      <c r="O2994" s="71">
        <f>INDEX(DurClassMapping,MATCH(M2994,MappingTables!$D$4:$D$8,-1),1)</f>
        <v>1</v>
      </c>
      <c r="P2994" s="73">
        <f>IF(M2994=$A$1,1,$M2994-INDEX(MappingTables!$E$4:$E$8,MATCH(O2994,MappingTables!$B$4:$B$8,0)))</f>
        <v>1</v>
      </c>
      <c r="Q2994" s="71">
        <f>IF(B2994="",0,INDEX(ModelParameters!$D$6:$K$10,MATCH($O2994,ModelParameters!$B$6:$B$10,0),MATCH($J2994,ModelParameters!$D$5:$K$5,0)))</f>
        <v>0.013999999999999998</v>
      </c>
      <c r="R2994" s="71">
        <f>IF(B2994="",0,INDEX(ModelParameters!$D$13:$K$17,MATCH($O2994,ModelParameters!$B$13:$B$17,0),MATCH($J2994,ModelParameters!$D$5:$K$5,0)))</f>
        <v>0</v>
      </c>
      <c r="S2994" s="160">
        <f>IF(B2994="",0,MIN(IF($N2994="Other Bond TM",ModelParameters!$N$21,1)*(P2994*Q2994+R2994),1))</f>
        <v>0.013999999999999998</v>
      </c>
      <c r="T2994" s="85">
        <f>IF(B2994="",0,$S2994*$K2994)</f>
        <v>0.73117560480129888</v>
      </c>
      <c r="U2994" s="85">
        <f>IF(B2994="",0,IF(OR(H2994=MappingTables!$C$34,H2994=MappingTables!$C$35),T2994,0))</f>
        <v>0</v>
      </c>
      <c r="V2994" s="85">
        <f>IF(ISNA(IF(AND(VLOOKUP(CONCATENATE($D2994,$G2994),CSRFinput!$B:$E,4,0)=0,OR(H2994=MappingTables!$C$34,H2994=MappingTables!$C$35)),1,VLOOKUP(CONCATENATE($D2994,$G2994),CSRFinput!$B:$E,4,0))),0,IF(AND(VLOOKUP(CONCATENATE($D2994,$G2994),CSRFinput!$B:$E,4,0)=0,OR(H2994=MappingTables!$C$34,H2994=MappingTables!$C$35)),1,VLOOKUP(CONCATENATE($D2994,$G2994),CSRFinput!$B:$E,4,0)))</f>
        <v>0.054776304963434752</v>
      </c>
      <c r="W2994" s="85">
        <f>IF(B2994="",0,+$T2994*$V2994)</f>
        <v>0.0400510979104198</v>
      </c>
      <c r="X2994" s="85">
        <f>IF(B2994="",0,IF(OR(H2994=MappingTables!$C$34,H2994=MappingTables!$C$35),W2994,0))</f>
        <v>0</v>
      </c>
    </row>
    <row r="2995" spans="2:24" s="0" customFormat="0" ht="15">
      <c r="B2995" s="69">
        <v>22246382</v>
      </c>
      <c r="C2995" s="70" t="s">
        <v>2696</v>
      </c>
      <c r="D2995" s="70" t="s">
        <v>1</v>
      </c>
      <c r="E2995" s="70" t="s">
        <v>1</v>
      </c>
      <c r="F2995" s="70"/>
      <c r="G2995" s="70" t="s">
        <v>61</v>
      </c>
      <c r="H2995" s="70" t="s">
        <v>178</v>
      </c>
      <c r="I2995" s="70" t="s">
        <v>181</v>
      </c>
      <c r="J2995" s="71">
        <f>IF(OR(I2995=0,I2995=""),"unrated",VLOOKUP(I2995,MappingTables!$B$19:$C$31,2,FALSE))</f>
        <v>3</v>
      </c>
      <c r="K2995" s="72">
        <v>7.950642809816024</v>
      </c>
      <c r="L2995" s="70">
        <v>1.1405795953447266</v>
      </c>
      <c r="M2995" s="71">
        <f>IF(L2995&lt;1,1,L2995)</f>
        <v>1.1405795953447266</v>
      </c>
      <c r="N2995" s="70" t="s">
        <v>141</v>
      </c>
      <c r="O2995" s="71">
        <f>INDEX(DurClassMapping,MATCH(M2995,MappingTables!$D$4:$D$8,-1),1)</f>
        <v>1</v>
      </c>
      <c r="P2995" s="73">
        <f>IF(M2995=$A$1,1,$M2995-INDEX(MappingTables!$E$4:$E$8,MATCH(O2995,MappingTables!$B$4:$B$8,0)))</f>
        <v>1.1405795953447266</v>
      </c>
      <c r="Q2995" s="71">
        <f>IF(B2995="",0,INDEX(ModelParameters!$D$6:$K$10,MATCH($O2995,ModelParameters!$B$6:$B$10,0),MATCH($J2995,ModelParameters!$D$5:$K$5,0)))</f>
        <v>0.025</v>
      </c>
      <c r="R2995" s="71">
        <f>IF(B2995="",0,INDEX(ModelParameters!$D$13:$K$17,MATCH($O2995,ModelParameters!$B$13:$B$17,0),MATCH($J2995,ModelParameters!$D$5:$K$5,0)))</f>
        <v>0</v>
      </c>
      <c r="S2995" s="160">
        <f>IF(B2995="",0,MIN(IF($N2995="Other Bond TM",ModelParameters!$N$21,1)*(P2995*Q2995+R2995),1))</f>
        <v>0.028514489883618168</v>
      </c>
      <c r="T2995" s="85">
        <f>IF(B2995="",0,$S2995*$K2995)</f>
        <v>0.22670852396876052</v>
      </c>
      <c r="U2995" s="85">
        <f>IF(B2995="",0,IF(OR(H2995=MappingTables!$C$34,H2995=MappingTables!$C$35),T2995,0))</f>
        <v>0</v>
      </c>
      <c r="V2995" s="85">
        <f>IF(ISNA(IF(AND(VLOOKUP(CONCATENATE($D2995,$G2995),CSRFinput!$B:$E,4,0)=0,OR(H2995=MappingTables!$C$34,H2995=MappingTables!$C$35)),1,VLOOKUP(CONCATENATE($D2995,$G2995),CSRFinput!$B:$E,4,0))),0,IF(AND(VLOOKUP(CONCATENATE($D2995,$G2995),CSRFinput!$B:$E,4,0)=0,OR(H2995=MappingTables!$C$34,H2995=MappingTables!$C$35)),1,VLOOKUP(CONCATENATE($D2995,$G2995),CSRFinput!$B:$E,4,0)))</f>
        <v>0.054776304963434752</v>
      </c>
      <c r="W2995" s="85">
        <f>IF(B2995="",0,+$T2995*$V2995)</f>
        <v>0.012418255246722986</v>
      </c>
      <c r="X2995" s="85">
        <f>IF(B2995="",0,IF(OR(H2995=MappingTables!$C$34,H2995=MappingTables!$C$35),W2995,0))</f>
        <v>0</v>
      </c>
    </row>
    <row r="2996" spans="2:24" s="0" customFormat="0" ht="15">
      <c r="B2996" s="69">
        <v>19863537</v>
      </c>
      <c r="C2996" s="70" t="s">
        <v>1599</v>
      </c>
      <c r="D2996" s="70" t="s">
        <v>1</v>
      </c>
      <c r="E2996" s="70" t="s">
        <v>1</v>
      </c>
      <c r="F2996" s="70"/>
      <c r="G2996" s="70" t="s">
        <v>61</v>
      </c>
      <c r="H2996" s="70" t="s">
        <v>178</v>
      </c>
      <c r="I2996" s="70" t="s">
        <v>220</v>
      </c>
      <c r="J2996" s="71">
        <f>IF(OR(I2996=0,I2996=""),"unrated",VLOOKUP(I2996,MappingTables!$B$19:$C$31,2,FALSE))</f>
        <v>1</v>
      </c>
      <c r="K2996" s="72">
        <v>3393.4078142301604</v>
      </c>
      <c r="L2996" s="70">
        <v>1.2928872292503824</v>
      </c>
      <c r="M2996" s="71">
        <f>IF(L2996&lt;1,1,L2996)</f>
        <v>1.2928872292503824</v>
      </c>
      <c r="N2996" s="70" t="s">
        <v>141</v>
      </c>
      <c r="O2996" s="71">
        <f>INDEX(DurClassMapping,MATCH(M2996,MappingTables!$D$4:$D$8,-1),1)</f>
        <v>1</v>
      </c>
      <c r="P2996" s="73">
        <f>IF(M2996=$A$1,1,$M2996-INDEX(MappingTables!$E$4:$E$8,MATCH(O2996,MappingTables!$B$4:$B$8,0)))</f>
        <v>1.2928872292503824</v>
      </c>
      <c r="Q2996" s="71">
        <f>IF(B2996="",0,INDEX(ModelParameters!$D$6:$K$10,MATCH($O2996,ModelParameters!$B$6:$B$10,0),MATCH($J2996,ModelParameters!$D$5:$K$5,0)))</f>
        <v>0.011000000000000002</v>
      </c>
      <c r="R2996" s="71">
        <f>IF(B2996="",0,INDEX(ModelParameters!$D$13:$K$17,MATCH($O2996,ModelParameters!$B$13:$B$17,0),MATCH($J2996,ModelParameters!$D$5:$K$5,0)))</f>
        <v>0</v>
      </c>
      <c r="S2996" s="160">
        <f>IF(B2996="",0,MIN(IF($N2996="Other Bond TM",ModelParameters!$N$21,1)*(P2996*Q2996+R2996),1))</f>
        <v>0.014221759521754208</v>
      </c>
      <c r="T2996" s="85">
        <f>IF(B2996="",0,$S2996*$K2996)</f>
        <v>48.26022989322292</v>
      </c>
      <c r="U2996" s="85">
        <f>IF(B2996="",0,IF(OR(H2996=MappingTables!$C$34,H2996=MappingTables!$C$35),T2996,0))</f>
        <v>0</v>
      </c>
      <c r="V2996" s="85">
        <f>IF(ISNA(IF(AND(VLOOKUP(CONCATENATE($D2996,$G2996),CSRFinput!$B:$E,4,0)=0,OR(H2996=MappingTables!$C$34,H2996=MappingTables!$C$35)),1,VLOOKUP(CONCATENATE($D2996,$G2996),CSRFinput!$B:$E,4,0))),0,IF(AND(VLOOKUP(CONCATENATE($D2996,$G2996),CSRFinput!$B:$E,4,0)=0,OR(H2996=MappingTables!$C$34,H2996=MappingTables!$C$35)),1,VLOOKUP(CONCATENATE($D2996,$G2996),CSRFinput!$B:$E,4,0)))</f>
        <v>0.054776304963434752</v>
      </c>
      <c r="W2996" s="85">
        <f>IF(B2996="",0,+$T2996*$V2996)</f>
        <v>2.6435170702366492</v>
      </c>
      <c r="X2996" s="85">
        <f>IF(B2996="",0,IF(OR(H2996=MappingTables!$C$34,H2996=MappingTables!$C$35),W2996,0))</f>
        <v>0</v>
      </c>
    </row>
    <row r="2997" spans="2:24" s="0" customFormat="0" ht="15">
      <c r="B2997" s="69" t="s">
        <v>190</v>
      </c>
      <c r="C2997" s="70" t="s">
        <v>191</v>
      </c>
      <c r="D2997" s="70" t="s">
        <v>1</v>
      </c>
      <c r="E2997" s="70" t="s">
        <v>1</v>
      </c>
      <c r="F2997" s="70"/>
      <c r="G2997" s="70" t="s">
        <v>61</v>
      </c>
      <c r="H2997" s="70" t="s">
        <v>178</v>
      </c>
      <c r="I2997" s="70" t="s">
        <v>188</v>
      </c>
      <c r="J2997" s="71">
        <f>IF(OR(I2997=0,I2997=""),"unrated",VLOOKUP(I2997,MappingTables!$B$19:$C$31,2,FALSE))</f>
        <v>2</v>
      </c>
      <c r="K2997" s="72">
        <v>20335.43718894258</v>
      </c>
      <c r="L2997" s="70">
        <v>1.7673373213959326</v>
      </c>
      <c r="M2997" s="71">
        <f>IF(L2997&lt;1,1,L2997)</f>
        <v>1.7673373213959326</v>
      </c>
      <c r="N2997" s="70" t="s">
        <v>141</v>
      </c>
      <c r="O2997" s="71">
        <f>INDEX(DurClassMapping,MATCH(M2997,MappingTables!$D$4:$D$8,-1),1)</f>
        <v>1</v>
      </c>
      <c r="P2997" s="73">
        <f>IF(M2997=$A$1,1,$M2997-INDEX(MappingTables!$E$4:$E$8,MATCH(O2997,MappingTables!$B$4:$B$8,0)))</f>
        <v>1.7673373213959326</v>
      </c>
      <c r="Q2997" s="71">
        <f>IF(B2997="",0,INDEX(ModelParameters!$D$6:$K$10,MATCH($O2997,ModelParameters!$B$6:$B$10,0),MATCH($J2997,ModelParameters!$D$5:$K$5,0)))</f>
        <v>0.013999999999999998</v>
      </c>
      <c r="R2997" s="71">
        <f>IF(B2997="",0,INDEX(ModelParameters!$D$13:$K$17,MATCH($O2997,ModelParameters!$B$13:$B$17,0),MATCH($J2997,ModelParameters!$D$5:$K$5,0)))</f>
        <v>0</v>
      </c>
      <c r="S2997" s="160">
        <f>IF(B2997="",0,MIN(IF($N2997="Other Bond TM",ModelParameters!$N$21,1)*(P2997*Q2997+R2997),1))</f>
        <v>0.024742722499543056</v>
      </c>
      <c r="T2997" s="85">
        <f>IF(B2997="",0,$S2997*$K2997)</f>
        <v>503.15407927289408</v>
      </c>
      <c r="U2997" s="85">
        <f>IF(B2997="",0,IF(OR(H2997=MappingTables!$C$34,H2997=MappingTables!$C$35),T2997,0))</f>
        <v>0</v>
      </c>
      <c r="V2997" s="85">
        <f>IF(ISNA(IF(AND(VLOOKUP(CONCATENATE($D2997,$G2997),CSRFinput!$B:$E,4,0)=0,OR(H2997=MappingTables!$C$34,H2997=MappingTables!$C$35)),1,VLOOKUP(CONCATENATE($D2997,$G2997),CSRFinput!$B:$E,4,0))),0,IF(AND(VLOOKUP(CONCATENATE($D2997,$G2997),CSRFinput!$B:$E,4,0)=0,OR(H2997=MappingTables!$C$34,H2997=MappingTables!$C$35)),1,VLOOKUP(CONCATENATE($D2997,$G2997),CSRFinput!$B:$E,4,0)))</f>
        <v>0.054776304963434752</v>
      </c>
      <c r="W2997" s="85">
        <f>IF(B2997="",0,+$T2997*$V2997)</f>
        <v>27.560921289848272</v>
      </c>
      <c r="X2997" s="85">
        <f>IF(B2997="",0,IF(OR(H2997=MappingTables!$C$34,H2997=MappingTables!$C$35),W2997,0))</f>
        <v>0</v>
      </c>
    </row>
    <row r="2998" spans="2:24" s="0" customFormat="0" ht="15">
      <c r="B2998" s="69">
        <v>12853219</v>
      </c>
      <c r="C2998" s="70" t="s">
        <v>1738</v>
      </c>
      <c r="D2998" s="70" t="s">
        <v>1</v>
      </c>
      <c r="E2998" s="70" t="s">
        <v>1</v>
      </c>
      <c r="F2998" s="70"/>
      <c r="G2998" s="70" t="s">
        <v>61</v>
      </c>
      <c r="H2998" s="70" t="s">
        <v>178</v>
      </c>
      <c r="I2998" s="70" t="s">
        <v>181</v>
      </c>
      <c r="J2998" s="71">
        <f>IF(OR(I2998=0,I2998=""),"unrated",VLOOKUP(I2998,MappingTables!$B$19:$C$31,2,FALSE))</f>
        <v>3</v>
      </c>
      <c r="K2998" s="72">
        <v>15.550849843313432</v>
      </c>
      <c r="L2998" s="70">
        <v>1.2804493486289676</v>
      </c>
      <c r="M2998" s="71">
        <f>IF(L2998&lt;1,1,L2998)</f>
        <v>1.2804493486289676</v>
      </c>
      <c r="N2998" s="70" t="s">
        <v>141</v>
      </c>
      <c r="O2998" s="71">
        <f>INDEX(DurClassMapping,MATCH(M2998,MappingTables!$D$4:$D$8,-1),1)</f>
        <v>1</v>
      </c>
      <c r="P2998" s="73">
        <f>IF(M2998=$A$1,1,$M2998-INDEX(MappingTables!$E$4:$E$8,MATCH(O2998,MappingTables!$B$4:$B$8,0)))</f>
        <v>1.2804493486289676</v>
      </c>
      <c r="Q2998" s="71">
        <f>IF(B2998="",0,INDEX(ModelParameters!$D$6:$K$10,MATCH($O2998,ModelParameters!$B$6:$B$10,0),MATCH($J2998,ModelParameters!$D$5:$K$5,0)))</f>
        <v>0.025</v>
      </c>
      <c r="R2998" s="71">
        <f>IF(B2998="",0,INDEX(ModelParameters!$D$13:$K$17,MATCH($O2998,ModelParameters!$B$13:$B$17,0),MATCH($J2998,ModelParameters!$D$5:$K$5,0)))</f>
        <v>0</v>
      </c>
      <c r="S2998" s="160">
        <f>IF(B2998="",0,MIN(IF($N2998="Other Bond TM",ModelParameters!$N$21,1)*(P2998*Q2998+R2998),1))</f>
        <v>0.032011233715724196</v>
      </c>
      <c r="T2998" s="85">
        <f>IF(B2998="",0,$S2998*$K2998)</f>
        <v>0.4978018888124392</v>
      </c>
      <c r="U2998" s="85">
        <f>IF(B2998="",0,IF(OR(H2998=MappingTables!$C$34,H2998=MappingTables!$C$35),T2998,0))</f>
        <v>0</v>
      </c>
      <c r="V2998" s="85">
        <f>IF(ISNA(IF(AND(VLOOKUP(CONCATENATE($D2998,$G2998),CSRFinput!$B:$E,4,0)=0,OR(H2998=MappingTables!$C$34,H2998=MappingTables!$C$35)),1,VLOOKUP(CONCATENATE($D2998,$G2998),CSRFinput!$B:$E,4,0))),0,IF(AND(VLOOKUP(CONCATENATE($D2998,$G2998),CSRFinput!$B:$E,4,0)=0,OR(H2998=MappingTables!$C$34,H2998=MappingTables!$C$35)),1,VLOOKUP(CONCATENATE($D2998,$G2998),CSRFinput!$B:$E,4,0)))</f>
        <v>0.054776304963434752</v>
      </c>
      <c r="W2998" s="85">
        <f>IF(B2998="",0,+$T2998*$V2998)</f>
        <v>0.027267748072964008</v>
      </c>
      <c r="X2998" s="85">
        <f>IF(B2998="",0,IF(OR(H2998=MappingTables!$C$34,H2998=MappingTables!$C$35),W2998,0))</f>
        <v>0</v>
      </c>
    </row>
    <row r="2999" spans="2:24" s="0" customFormat="0" ht="15">
      <c r="B2999" s="69">
        <v>13123509</v>
      </c>
      <c r="C2999" s="70" t="s">
        <v>1367</v>
      </c>
      <c r="D2999" s="70" t="s">
        <v>1</v>
      </c>
      <c r="E2999" s="70" t="s">
        <v>1</v>
      </c>
      <c r="F2999" s="70"/>
      <c r="G2999" s="70" t="s">
        <v>61</v>
      </c>
      <c r="H2999" s="70" t="s">
        <v>178</v>
      </c>
      <c r="I2999" s="70" t="s">
        <v>179</v>
      </c>
      <c r="J2999" s="71">
        <f>IF(OR(I2999=0,I2999=""),"unrated",VLOOKUP(I2999,MappingTables!$B$19:$C$31,2,FALSE))</f>
        <v>4</v>
      </c>
      <c r="K2999" s="72">
        <v>126.27383640787678</v>
      </c>
      <c r="L2999" s="70">
        <v>0.041096795293621664</v>
      </c>
      <c r="M2999" s="71">
        <f>IF(L2999&lt;1,1,L2999)</f>
        <v>1</v>
      </c>
      <c r="N2999" s="70" t="s">
        <v>141</v>
      </c>
      <c r="O2999" s="71">
        <f>INDEX(DurClassMapping,MATCH(M2999,MappingTables!$D$4:$D$8,-1),1)</f>
        <v>1</v>
      </c>
      <c r="P2999" s="73">
        <f>IF(M2999=$A$1,1,$M2999-INDEX(MappingTables!$E$4:$E$8,MATCH(O2999,MappingTables!$B$4:$B$8,0)))</f>
        <v>1</v>
      </c>
      <c r="Q2999" s="71">
        <f>IF(B2999="",0,INDEX(ModelParameters!$D$6:$K$10,MATCH($O2999,ModelParameters!$B$6:$B$10,0),MATCH($J2999,ModelParameters!$D$5:$K$5,0)))</f>
        <v>0.045</v>
      </c>
      <c r="R2999" s="71">
        <f>IF(B2999="",0,INDEX(ModelParameters!$D$13:$K$17,MATCH($O2999,ModelParameters!$B$13:$B$17,0),MATCH($J2999,ModelParameters!$D$5:$K$5,0)))</f>
        <v>0</v>
      </c>
      <c r="S2999" s="160">
        <f>IF(B2999="",0,MIN(IF($N2999="Other Bond TM",ModelParameters!$N$21,1)*(P2999*Q2999+R2999),1))</f>
        <v>0.045</v>
      </c>
      <c r="T2999" s="85">
        <f>IF(B2999="",0,$S2999*$K2999)</f>
        <v>5.6823226383544544</v>
      </c>
      <c r="U2999" s="85">
        <f>IF(B2999="",0,IF(OR(H2999=MappingTables!$C$34,H2999=MappingTables!$C$35),T2999,0))</f>
        <v>0</v>
      </c>
      <c r="V2999" s="85">
        <f>IF(ISNA(IF(AND(VLOOKUP(CONCATENATE($D2999,$G2999),CSRFinput!$B:$E,4,0)=0,OR(H2999=MappingTables!$C$34,H2999=MappingTables!$C$35)),1,VLOOKUP(CONCATENATE($D2999,$G2999),CSRFinput!$B:$E,4,0))),0,IF(AND(VLOOKUP(CONCATENATE($D2999,$G2999),CSRFinput!$B:$E,4,0)=0,OR(H2999=MappingTables!$C$34,H2999=MappingTables!$C$35)),1,VLOOKUP(CONCATENATE($D2999,$G2999),CSRFinput!$B:$E,4,0)))</f>
        <v>0.054776304963434752</v>
      </c>
      <c r="W2999" s="85">
        <f>IF(B2999="",0,+$T2999*$V2999)</f>
        <v>0.31125663773913276</v>
      </c>
      <c r="X2999" s="85">
        <f>IF(B2999="",0,IF(OR(H2999=MappingTables!$C$34,H2999=MappingTables!$C$35),W2999,0))</f>
        <v>0</v>
      </c>
    </row>
    <row r="3000" spans="2:24" s="0" customFormat="0" ht="15">
      <c r="B3000" s="69">
        <v>17407831</v>
      </c>
      <c r="C3000" s="70" t="s">
        <v>333</v>
      </c>
      <c r="D3000" s="70" t="s">
        <v>1</v>
      </c>
      <c r="E3000" s="70" t="s">
        <v>1</v>
      </c>
      <c r="F3000" s="70"/>
      <c r="G3000" s="70" t="s">
        <v>61</v>
      </c>
      <c r="H3000" s="70" t="s">
        <v>178</v>
      </c>
      <c r="I3000" s="70" t="s">
        <v>198</v>
      </c>
      <c r="J3000" s="71" t="str">
        <f>IF(OR(I3000=0,I3000=""),"unrated",VLOOKUP(I3000,MappingTables!$B$19:$C$31,2,FALSE))</f>
        <v>unrated</v>
      </c>
      <c r="K3000" s="72">
        <v>40.158604764601128</v>
      </c>
      <c r="L3000" s="70">
        <v>2.345192973924492</v>
      </c>
      <c r="M3000" s="71">
        <f>IF(L3000&lt;1,1,L3000)</f>
        <v>2.345192973924492</v>
      </c>
      <c r="N3000" s="70" t="s">
        <v>141</v>
      </c>
      <c r="O3000" s="71">
        <f>INDEX(DurClassMapping,MATCH(M3000,MappingTables!$D$4:$D$8,-1),1)</f>
        <v>1</v>
      </c>
      <c r="P3000" s="73">
        <f>IF(M3000=$A$1,1,$M3000-INDEX(MappingTables!$E$4:$E$8,MATCH(O3000,MappingTables!$B$4:$B$8,0)))</f>
        <v>2.345192973924492</v>
      </c>
      <c r="Q3000" s="71">
        <f>IF(B3000="",0,INDEX(ModelParameters!$D$6:$K$10,MATCH($O3000,ModelParameters!$B$6:$B$10,0),MATCH($J3000,ModelParameters!$D$5:$K$5,0)))</f>
        <v>0.03</v>
      </c>
      <c r="R3000" s="71">
        <f>IF(B3000="",0,INDEX(ModelParameters!$D$13:$K$17,MATCH($O3000,ModelParameters!$B$13:$B$17,0),MATCH($J3000,ModelParameters!$D$5:$K$5,0)))</f>
        <v>0</v>
      </c>
      <c r="S3000" s="160">
        <f>IF(B3000="",0,MIN(IF($N3000="Other Bond TM",ModelParameters!$N$21,1)*(P3000*Q3000+R3000),1))</f>
        <v>0.07035578921773476</v>
      </c>
      <c r="T3000" s="85">
        <f>IF(B3000="",0,$S3000*$K3000)</f>
        <v>2.825390332096596</v>
      </c>
      <c r="U3000" s="85">
        <f>IF(B3000="",0,IF(OR(H3000=MappingTables!$C$34,H3000=MappingTables!$C$35),T3000,0))</f>
        <v>0</v>
      </c>
      <c r="V3000" s="85">
        <f>IF(ISNA(IF(AND(VLOOKUP(CONCATENATE($D3000,$G3000),CSRFinput!$B:$E,4,0)=0,OR(H3000=MappingTables!$C$34,H3000=MappingTables!$C$35)),1,VLOOKUP(CONCATENATE($D3000,$G3000),CSRFinput!$B:$E,4,0))),0,IF(AND(VLOOKUP(CONCATENATE($D3000,$G3000),CSRFinput!$B:$E,4,0)=0,OR(H3000=MappingTables!$C$34,H3000=MappingTables!$C$35)),1,VLOOKUP(CONCATENATE($D3000,$G3000),CSRFinput!$B:$E,4,0)))</f>
        <v>0.054776304963434752</v>
      </c>
      <c r="W3000" s="85">
        <f>IF(B3000="",0,+$T3000*$V3000)</f>
        <v>0.15476444247166334</v>
      </c>
      <c r="X3000" s="85">
        <f>IF(B3000="",0,IF(OR(H3000=MappingTables!$C$34,H3000=MappingTables!$C$35),W3000,0))</f>
        <v>0</v>
      </c>
    </row>
    <row r="3001" spans="2:24" s="0" customFormat="0" ht="15">
      <c r="B3001" s="69">
        <v>24247289</v>
      </c>
      <c r="C3001" s="70" t="s">
        <v>1725</v>
      </c>
      <c r="D3001" s="70" t="s">
        <v>1</v>
      </c>
      <c r="E3001" s="70" t="s">
        <v>1</v>
      </c>
      <c r="F3001" s="70"/>
      <c r="G3001" s="70" t="s">
        <v>61</v>
      </c>
      <c r="H3001" s="70" t="s">
        <v>178</v>
      </c>
      <c r="I3001" s="70" t="s">
        <v>188</v>
      </c>
      <c r="J3001" s="71">
        <f>IF(OR(I3001=0,I3001=""),"unrated",VLOOKUP(I3001,MappingTables!$B$19:$C$31,2,FALSE))</f>
        <v>2</v>
      </c>
      <c r="K3001" s="72">
        <v>1169.904003992562</v>
      </c>
      <c r="L3001" s="70">
        <v>4.4328723613222536</v>
      </c>
      <c r="M3001" s="71">
        <f>IF(L3001&lt;1,1,L3001)</f>
        <v>4.4328723613222536</v>
      </c>
      <c r="N3001" s="70" t="s">
        <v>141</v>
      </c>
      <c r="O3001" s="71">
        <f>INDEX(DurClassMapping,MATCH(M3001,MappingTables!$D$4:$D$8,-1),1)</f>
        <v>1</v>
      </c>
      <c r="P3001" s="73">
        <f>IF(M3001=$A$1,1,$M3001-INDEX(MappingTables!$E$4:$E$8,MATCH(O3001,MappingTables!$B$4:$B$8,0)))</f>
        <v>4.4328723613222536</v>
      </c>
      <c r="Q3001" s="71">
        <f>IF(B3001="",0,INDEX(ModelParameters!$D$6:$K$10,MATCH($O3001,ModelParameters!$B$6:$B$10,0),MATCH($J3001,ModelParameters!$D$5:$K$5,0)))</f>
        <v>0.013999999999999998</v>
      </c>
      <c r="R3001" s="71">
        <f>IF(B3001="",0,INDEX(ModelParameters!$D$13:$K$17,MATCH($O3001,ModelParameters!$B$13:$B$17,0),MATCH($J3001,ModelParameters!$D$5:$K$5,0)))</f>
        <v>0</v>
      </c>
      <c r="S3001" s="160">
        <f>IF(B3001="",0,MIN(IF($N3001="Other Bond TM",ModelParameters!$N$21,1)*(P3001*Q3001+R3001),1))</f>
        <v>0.062060213058511544</v>
      </c>
      <c r="T3001" s="85">
        <f>IF(B3001="",0,$S3001*$K3001)</f>
        <v>72.604491745784128</v>
      </c>
      <c r="U3001" s="85">
        <f>IF(B3001="",0,IF(OR(H3001=MappingTables!$C$34,H3001=MappingTables!$C$35),T3001,0))</f>
        <v>0</v>
      </c>
      <c r="V3001" s="85">
        <f>IF(ISNA(IF(AND(VLOOKUP(CONCATENATE($D3001,$G3001),CSRFinput!$B:$E,4,0)=0,OR(H3001=MappingTables!$C$34,H3001=MappingTables!$C$35)),1,VLOOKUP(CONCATENATE($D3001,$G3001),CSRFinput!$B:$E,4,0))),0,IF(AND(VLOOKUP(CONCATENATE($D3001,$G3001),CSRFinput!$B:$E,4,0)=0,OR(H3001=MappingTables!$C$34,H3001=MappingTables!$C$35)),1,VLOOKUP(CONCATENATE($D3001,$G3001),CSRFinput!$B:$E,4,0)))</f>
        <v>0.054776304963434752</v>
      </c>
      <c r="W3001" s="85">
        <f>IF(B3001="",0,+$T3001*$V3001)</f>
        <v>3.9770057815822528</v>
      </c>
      <c r="X3001" s="85">
        <f>IF(B3001="",0,IF(OR(H3001=MappingTables!$C$34,H3001=MappingTables!$C$35),W3001,0))</f>
        <v>0</v>
      </c>
    </row>
    <row r="3002" spans="2:24" s="0" customFormat="0" ht="15">
      <c r="B3002" s="69">
        <v>16642340</v>
      </c>
      <c r="C3002" s="70" t="s">
        <v>1876</v>
      </c>
      <c r="D3002" s="70" t="s">
        <v>1</v>
      </c>
      <c r="E3002" s="70" t="s">
        <v>1</v>
      </c>
      <c r="F3002" s="70"/>
      <c r="G3002" s="70" t="s">
        <v>61</v>
      </c>
      <c r="H3002" s="70" t="s">
        <v>178</v>
      </c>
      <c r="I3002" s="70" t="s">
        <v>181</v>
      </c>
      <c r="J3002" s="71">
        <f>IF(OR(I3002=0,I3002=""),"unrated",VLOOKUP(I3002,MappingTables!$B$19:$C$31,2,FALSE))</f>
        <v>3</v>
      </c>
      <c r="K3002" s="72">
        <v>15398.521477201394</v>
      </c>
      <c r="L3002" s="70">
        <v>3.9658747357000536</v>
      </c>
      <c r="M3002" s="71">
        <f>IF(L3002&lt;1,1,L3002)</f>
        <v>3.9658747357000536</v>
      </c>
      <c r="N3002" s="70" t="s">
        <v>141</v>
      </c>
      <c r="O3002" s="71">
        <f>INDEX(DurClassMapping,MATCH(M3002,MappingTables!$D$4:$D$8,-1),1)</f>
        <v>1</v>
      </c>
      <c r="P3002" s="73">
        <f>IF(M3002=$A$1,1,$M3002-INDEX(MappingTables!$E$4:$E$8,MATCH(O3002,MappingTables!$B$4:$B$8,0)))</f>
        <v>3.9658747357000536</v>
      </c>
      <c r="Q3002" s="71">
        <f>IF(B3002="",0,INDEX(ModelParameters!$D$6:$K$10,MATCH($O3002,ModelParameters!$B$6:$B$10,0),MATCH($J3002,ModelParameters!$D$5:$K$5,0)))</f>
        <v>0.025</v>
      </c>
      <c r="R3002" s="71">
        <f>IF(B3002="",0,INDEX(ModelParameters!$D$13:$K$17,MATCH($O3002,ModelParameters!$B$13:$B$17,0),MATCH($J3002,ModelParameters!$D$5:$K$5,0)))</f>
        <v>0</v>
      </c>
      <c r="S3002" s="160">
        <f>IF(B3002="",0,MIN(IF($N3002="Other Bond TM",ModelParameters!$N$21,1)*(P3002*Q3002+R3002),1))</f>
        <v>0.099146868392501344</v>
      </c>
      <c r="T3002" s="85">
        <f>IF(B3002="",0,$S3002*$K3002)</f>
        <v>1526.7151823391918</v>
      </c>
      <c r="U3002" s="85">
        <f>IF(B3002="",0,IF(OR(H3002=MappingTables!$C$34,H3002=MappingTables!$C$35),T3002,0))</f>
        <v>0</v>
      </c>
      <c r="V3002" s="85">
        <f>IF(ISNA(IF(AND(VLOOKUP(CONCATENATE($D3002,$G3002),CSRFinput!$B:$E,4,0)=0,OR(H3002=MappingTables!$C$34,H3002=MappingTables!$C$35)),1,VLOOKUP(CONCATENATE($D3002,$G3002),CSRFinput!$B:$E,4,0))),0,IF(AND(VLOOKUP(CONCATENATE($D3002,$G3002),CSRFinput!$B:$E,4,0)=0,OR(H3002=MappingTables!$C$34,H3002=MappingTables!$C$35)),1,VLOOKUP(CONCATENATE($D3002,$G3002),CSRFinput!$B:$E,4,0)))</f>
        <v>0.054776304963434752</v>
      </c>
      <c r="W3002" s="85">
        <f>IF(B3002="",0,+$T3002*$V3002)</f>
        <v>83.627816420117472</v>
      </c>
      <c r="X3002" s="85">
        <f>IF(B3002="",0,IF(OR(H3002=MappingTables!$C$34,H3002=MappingTables!$C$35),W3002,0))</f>
        <v>0</v>
      </c>
    </row>
    <row r="3003" spans="2:24" s="0" customFormat="0" ht="15">
      <c r="B3003" s="69">
        <v>13167407</v>
      </c>
      <c r="C3003" s="70" t="s">
        <v>2657</v>
      </c>
      <c r="D3003" s="70" t="s">
        <v>1</v>
      </c>
      <c r="E3003" s="70" t="s">
        <v>1</v>
      </c>
      <c r="F3003" s="70"/>
      <c r="G3003" s="70" t="s">
        <v>61</v>
      </c>
      <c r="H3003" s="70" t="s">
        <v>178</v>
      </c>
      <c r="I3003" s="70" t="s">
        <v>179</v>
      </c>
      <c r="J3003" s="71">
        <f>IF(OR(I3003=0,I3003=""),"unrated",VLOOKUP(I3003,MappingTables!$B$19:$C$31,2,FALSE))</f>
        <v>4</v>
      </c>
      <c r="K3003" s="72">
        <v>1942.8655131367096</v>
      </c>
      <c r="L3003" s="70">
        <v>5.1836631065660096</v>
      </c>
      <c r="M3003" s="71">
        <f>IF(L3003&lt;1,1,L3003)</f>
        <v>5.1836631065660096</v>
      </c>
      <c r="N3003" s="70" t="s">
        <v>141</v>
      </c>
      <c r="O3003" s="71">
        <f>INDEX(DurClassMapping,MATCH(M3003,MappingTables!$D$4:$D$8,-1),1)</f>
        <v>2</v>
      </c>
      <c r="P3003" s="73">
        <f>IF(M3003=$A$1,1,$M3003-INDEX(MappingTables!$E$4:$E$8,MATCH(O3003,MappingTables!$B$4:$B$8,0)))</f>
        <v>0.18366310656600948</v>
      </c>
      <c r="Q3003" s="71">
        <f>IF(B3003="",0,INDEX(ModelParameters!$D$6:$K$10,MATCH($O3003,ModelParameters!$B$6:$B$10,0),MATCH($J3003,ModelParameters!$D$5:$K$5,0)))</f>
        <v>0.025</v>
      </c>
      <c r="R3003" s="71">
        <f>IF(B3003="",0,INDEX(ModelParameters!$D$13:$K$17,MATCH($O3003,ModelParameters!$B$13:$B$17,0),MATCH($J3003,ModelParameters!$D$5:$K$5,0)))</f>
        <v>0.225</v>
      </c>
      <c r="S3003" s="160">
        <f>IF(B3003="",0,MIN(IF($N3003="Other Bond TM",ModelParameters!$N$21,1)*(P3003*Q3003+R3003),1))</f>
        <v>0.22959157766415024</v>
      </c>
      <c r="T3003" s="85">
        <f>IF(B3003="",0,$S3003*$K3003)</f>
        <v>446.065558350326</v>
      </c>
      <c r="U3003" s="85">
        <f>IF(B3003="",0,IF(OR(H3003=MappingTables!$C$34,H3003=MappingTables!$C$35),T3003,0))</f>
        <v>0</v>
      </c>
      <c r="V3003" s="85">
        <f>IF(ISNA(IF(AND(VLOOKUP(CONCATENATE($D3003,$G3003),CSRFinput!$B:$E,4,0)=0,OR(H3003=MappingTables!$C$34,H3003=MappingTables!$C$35)),1,VLOOKUP(CONCATENATE($D3003,$G3003),CSRFinput!$B:$E,4,0))),0,IF(AND(VLOOKUP(CONCATENATE($D3003,$G3003),CSRFinput!$B:$E,4,0)=0,OR(H3003=MappingTables!$C$34,H3003=MappingTables!$C$35)),1,VLOOKUP(CONCATENATE($D3003,$G3003),CSRFinput!$B:$E,4,0)))</f>
        <v>0.054776304963434752</v>
      </c>
      <c r="W3003" s="85">
        <f>IF(B3003="",0,+$T3003*$V3003)</f>
        <v>24.433823057882256</v>
      </c>
      <c r="X3003" s="85">
        <f>IF(B3003="",0,IF(OR(H3003=MappingTables!$C$34,H3003=MappingTables!$C$35),W3003,0))</f>
        <v>0</v>
      </c>
    </row>
    <row r="3004" spans="2:24" s="0" customFormat="0" ht="15">
      <c r="B3004" s="69">
        <v>11359229</v>
      </c>
      <c r="C3004" s="70" t="s">
        <v>411</v>
      </c>
      <c r="D3004" s="70" t="s">
        <v>1</v>
      </c>
      <c r="E3004" s="70" t="s">
        <v>1</v>
      </c>
      <c r="F3004" s="70"/>
      <c r="G3004" s="70" t="s">
        <v>61</v>
      </c>
      <c r="H3004" s="70" t="s">
        <v>178</v>
      </c>
      <c r="I3004" s="70" t="s">
        <v>181</v>
      </c>
      <c r="J3004" s="71">
        <f>IF(OR(I3004=0,I3004=""),"unrated",VLOOKUP(I3004,MappingTables!$B$19:$C$31,2,FALSE))</f>
        <v>3</v>
      </c>
      <c r="K3004" s="72">
        <v>150.94762262669036</v>
      </c>
      <c r="L3004" s="70">
        <v>4.6467810239827104</v>
      </c>
      <c r="M3004" s="71">
        <f>IF(L3004&lt;1,1,L3004)</f>
        <v>4.6467810239827104</v>
      </c>
      <c r="N3004" s="70" t="s">
        <v>141</v>
      </c>
      <c r="O3004" s="71">
        <f>INDEX(DurClassMapping,MATCH(M3004,MappingTables!$D$4:$D$8,-1),1)</f>
        <v>1</v>
      </c>
      <c r="P3004" s="73">
        <f>IF(M3004=$A$1,1,$M3004-INDEX(MappingTables!$E$4:$E$8,MATCH(O3004,MappingTables!$B$4:$B$8,0)))</f>
        <v>4.6467810239827104</v>
      </c>
      <c r="Q3004" s="71">
        <f>IF(B3004="",0,INDEX(ModelParameters!$D$6:$K$10,MATCH($O3004,ModelParameters!$B$6:$B$10,0),MATCH($J3004,ModelParameters!$D$5:$K$5,0)))</f>
        <v>0.025</v>
      </c>
      <c r="R3004" s="71">
        <f>IF(B3004="",0,INDEX(ModelParameters!$D$13:$K$17,MATCH($O3004,ModelParameters!$B$13:$B$17,0),MATCH($J3004,ModelParameters!$D$5:$K$5,0)))</f>
        <v>0</v>
      </c>
      <c r="S3004" s="160">
        <f>IF(B3004="",0,MIN(IF($N3004="Other Bond TM",ModelParameters!$N$21,1)*(P3004*Q3004+R3004),1))</f>
        <v>0.11616952559956778</v>
      </c>
      <c r="T3004" s="85">
        <f>IF(B3004="",0,$S3004*$K3004)</f>
        <v>17.535513710925202</v>
      </c>
      <c r="U3004" s="85">
        <f>IF(B3004="",0,IF(OR(H3004=MappingTables!$C$34,H3004=MappingTables!$C$35),T3004,0))</f>
        <v>0</v>
      </c>
      <c r="V3004" s="85">
        <f>IF(ISNA(IF(AND(VLOOKUP(CONCATENATE($D3004,$G3004),CSRFinput!$B:$E,4,0)=0,OR(H3004=MappingTables!$C$34,H3004=MappingTables!$C$35)),1,VLOOKUP(CONCATENATE($D3004,$G3004),CSRFinput!$B:$E,4,0))),0,IF(AND(VLOOKUP(CONCATENATE($D3004,$G3004),CSRFinput!$B:$E,4,0)=0,OR(H3004=MappingTables!$C$34,H3004=MappingTables!$C$35)),1,VLOOKUP(CONCATENATE($D3004,$G3004),CSRFinput!$B:$E,4,0)))</f>
        <v>0.054776304963434752</v>
      </c>
      <c r="W3004" s="85">
        <f>IF(B3004="",0,+$T3004*$V3004)</f>
        <v>0.96053064672013024</v>
      </c>
      <c r="X3004" s="85">
        <f>IF(B3004="",0,IF(OR(H3004=MappingTables!$C$34,H3004=MappingTables!$C$35),W3004,0))</f>
        <v>0</v>
      </c>
    </row>
    <row r="3005" spans="2:24" s="0" customFormat="0" ht="15">
      <c r="B3005" s="69">
        <v>20668384</v>
      </c>
      <c r="C3005" s="70" t="s">
        <v>2605</v>
      </c>
      <c r="D3005" s="70" t="s">
        <v>1</v>
      </c>
      <c r="E3005" s="70" t="s">
        <v>1</v>
      </c>
      <c r="F3005" s="70"/>
      <c r="G3005" s="70" t="s">
        <v>61</v>
      </c>
      <c r="H3005" s="70" t="s">
        <v>178</v>
      </c>
      <c r="I3005" s="70" t="s">
        <v>220</v>
      </c>
      <c r="J3005" s="71">
        <f>IF(OR(I3005=0,I3005=""),"unrated",VLOOKUP(I3005,MappingTables!$B$19:$C$31,2,FALSE))</f>
        <v>1</v>
      </c>
      <c r="K3005" s="72">
        <v>9363.7977684172176</v>
      </c>
      <c r="L3005" s="70">
        <v>4.2963852910861984</v>
      </c>
      <c r="M3005" s="71">
        <f>IF(L3005&lt;1,1,L3005)</f>
        <v>4.2963852910861984</v>
      </c>
      <c r="N3005" s="70" t="s">
        <v>141</v>
      </c>
      <c r="O3005" s="71">
        <f>INDEX(DurClassMapping,MATCH(M3005,MappingTables!$D$4:$D$8,-1),1)</f>
        <v>1</v>
      </c>
      <c r="P3005" s="73">
        <f>IF(M3005=$A$1,1,$M3005-INDEX(MappingTables!$E$4:$E$8,MATCH(O3005,MappingTables!$B$4:$B$8,0)))</f>
        <v>4.2963852910861984</v>
      </c>
      <c r="Q3005" s="71">
        <f>IF(B3005="",0,INDEX(ModelParameters!$D$6:$K$10,MATCH($O3005,ModelParameters!$B$6:$B$10,0),MATCH($J3005,ModelParameters!$D$5:$K$5,0)))</f>
        <v>0.011000000000000002</v>
      </c>
      <c r="R3005" s="71">
        <f>IF(B3005="",0,INDEX(ModelParameters!$D$13:$K$17,MATCH($O3005,ModelParameters!$B$13:$B$17,0),MATCH($J3005,ModelParameters!$D$5:$K$5,0)))</f>
        <v>0</v>
      </c>
      <c r="S3005" s="160">
        <f>IF(B3005="",0,MIN(IF($N3005="Other Bond TM",ModelParameters!$N$21,1)*(P3005*Q3005+R3005),1))</f>
        <v>0.047260238201948192</v>
      </c>
      <c r="T3005" s="85">
        <f>IF(B3005="",0,$S3005*$K3005)</f>
        <v>442.53531301026864</v>
      </c>
      <c r="U3005" s="85">
        <f>IF(B3005="",0,IF(OR(H3005=MappingTables!$C$34,H3005=MappingTables!$C$35),T3005,0))</f>
        <v>0</v>
      </c>
      <c r="V3005" s="85">
        <f>IF(ISNA(IF(AND(VLOOKUP(CONCATENATE($D3005,$G3005),CSRFinput!$B:$E,4,0)=0,OR(H3005=MappingTables!$C$34,H3005=MappingTables!$C$35)),1,VLOOKUP(CONCATENATE($D3005,$G3005),CSRFinput!$B:$E,4,0))),0,IF(AND(VLOOKUP(CONCATENATE($D3005,$G3005),CSRFinput!$B:$E,4,0)=0,OR(H3005=MappingTables!$C$34,H3005=MappingTables!$C$35)),1,VLOOKUP(CONCATENATE($D3005,$G3005),CSRFinput!$B:$E,4,0)))</f>
        <v>0.054776304963434752</v>
      </c>
      <c r="W3005" s="85">
        <f>IF(B3005="",0,+$T3005*$V3005)</f>
        <v>24.240449262539528</v>
      </c>
      <c r="X3005" s="85">
        <f>IF(B3005="",0,IF(OR(H3005=MappingTables!$C$34,H3005=MappingTables!$C$35),W3005,0))</f>
        <v>0</v>
      </c>
    </row>
    <row r="3006" spans="2:24" s="0" customFormat="0" ht="15">
      <c r="B3006" s="69">
        <v>6350660</v>
      </c>
      <c r="C3006" s="70" t="s">
        <v>2225</v>
      </c>
      <c r="D3006" s="70" t="s">
        <v>1</v>
      </c>
      <c r="E3006" s="70" t="s">
        <v>1</v>
      </c>
      <c r="F3006" s="70"/>
      <c r="G3006" s="70" t="s">
        <v>61</v>
      </c>
      <c r="H3006" s="70" t="s">
        <v>178</v>
      </c>
      <c r="I3006" s="70" t="s">
        <v>179</v>
      </c>
      <c r="J3006" s="71">
        <f>IF(OR(I3006=0,I3006=""),"unrated",VLOOKUP(I3006,MappingTables!$B$19:$C$31,2,FALSE))</f>
        <v>4</v>
      </c>
      <c r="K3006" s="72">
        <v>10807.865334250898</v>
      </c>
      <c r="L3006" s="70">
        <v>2.0322417841268872</v>
      </c>
      <c r="M3006" s="71">
        <f>IF(L3006&lt;1,1,L3006)</f>
        <v>2.0322417841268872</v>
      </c>
      <c r="N3006" s="70" t="s">
        <v>141</v>
      </c>
      <c r="O3006" s="71">
        <f>INDEX(DurClassMapping,MATCH(M3006,MappingTables!$D$4:$D$8,-1),1)</f>
        <v>1</v>
      </c>
      <c r="P3006" s="73">
        <f>IF(M3006=$A$1,1,$M3006-INDEX(MappingTables!$E$4:$E$8,MATCH(O3006,MappingTables!$B$4:$B$8,0)))</f>
        <v>2.0322417841268872</v>
      </c>
      <c r="Q3006" s="71">
        <f>IF(B3006="",0,INDEX(ModelParameters!$D$6:$K$10,MATCH($O3006,ModelParameters!$B$6:$B$10,0),MATCH($J3006,ModelParameters!$D$5:$K$5,0)))</f>
        <v>0.045</v>
      </c>
      <c r="R3006" s="71">
        <f>IF(B3006="",0,INDEX(ModelParameters!$D$13:$K$17,MATCH($O3006,ModelParameters!$B$13:$B$17,0),MATCH($J3006,ModelParameters!$D$5:$K$5,0)))</f>
        <v>0</v>
      </c>
      <c r="S3006" s="160">
        <f>IF(B3006="",0,MIN(IF($N3006="Other Bond TM",ModelParameters!$N$21,1)*(P3006*Q3006+R3006),1))</f>
        <v>0.09145088028570992</v>
      </c>
      <c r="T3006" s="85">
        <f>IF(B3006="",0,$S3006*$K3006)</f>
        <v>988.38879882665328</v>
      </c>
      <c r="U3006" s="85">
        <f>IF(B3006="",0,IF(OR(H3006=MappingTables!$C$34,H3006=MappingTables!$C$35),T3006,0))</f>
        <v>0</v>
      </c>
      <c r="V3006" s="85">
        <f>IF(ISNA(IF(AND(VLOOKUP(CONCATENATE($D3006,$G3006),CSRFinput!$B:$E,4,0)=0,OR(H3006=MappingTables!$C$34,H3006=MappingTables!$C$35)),1,VLOOKUP(CONCATENATE($D3006,$G3006),CSRFinput!$B:$E,4,0))),0,IF(AND(VLOOKUP(CONCATENATE($D3006,$G3006),CSRFinput!$B:$E,4,0)=0,OR(H3006=MappingTables!$C$34,H3006=MappingTables!$C$35)),1,VLOOKUP(CONCATENATE($D3006,$G3006),CSRFinput!$B:$E,4,0)))</f>
        <v>0.054776304963434752</v>
      </c>
      <c r="W3006" s="85">
        <f>IF(B3006="",0,+$T3006*$V3006)</f>
        <v>54.14028626697172</v>
      </c>
      <c r="X3006" s="85">
        <f>IF(B3006="",0,IF(OR(H3006=MappingTables!$C$34,H3006=MappingTables!$C$35),W3006,0))</f>
        <v>0</v>
      </c>
    </row>
    <row r="3007" spans="2:24" s="0" customFormat="0" ht="15">
      <c r="B3007" s="69">
        <v>17542240</v>
      </c>
      <c r="C3007" s="70" t="s">
        <v>1454</v>
      </c>
      <c r="D3007" s="70" t="s">
        <v>1</v>
      </c>
      <c r="E3007" s="70" t="s">
        <v>1</v>
      </c>
      <c r="F3007" s="70"/>
      <c r="G3007" s="70" t="s">
        <v>61</v>
      </c>
      <c r="H3007" s="70" t="s">
        <v>178</v>
      </c>
      <c r="I3007" s="70" t="s">
        <v>181</v>
      </c>
      <c r="J3007" s="71">
        <f>IF(OR(I3007=0,I3007=""),"unrated",VLOOKUP(I3007,MappingTables!$B$19:$C$31,2,FALSE))</f>
        <v>3</v>
      </c>
      <c r="K3007" s="72">
        <v>2331.0677694415712</v>
      </c>
      <c r="L3007" s="70">
        <v>2.94264739971288</v>
      </c>
      <c r="M3007" s="71">
        <f>IF(L3007&lt;1,1,L3007)</f>
        <v>2.94264739971288</v>
      </c>
      <c r="N3007" s="70" t="s">
        <v>141</v>
      </c>
      <c r="O3007" s="71">
        <f>INDEX(DurClassMapping,MATCH(M3007,MappingTables!$D$4:$D$8,-1),1)</f>
        <v>1</v>
      </c>
      <c r="P3007" s="73">
        <f>IF(M3007=$A$1,1,$M3007-INDEX(MappingTables!$E$4:$E$8,MATCH(O3007,MappingTables!$B$4:$B$8,0)))</f>
        <v>2.94264739971288</v>
      </c>
      <c r="Q3007" s="71">
        <f>IF(B3007="",0,INDEX(ModelParameters!$D$6:$K$10,MATCH($O3007,ModelParameters!$B$6:$B$10,0),MATCH($J3007,ModelParameters!$D$5:$K$5,0)))</f>
        <v>0.025</v>
      </c>
      <c r="R3007" s="71">
        <f>IF(B3007="",0,INDEX(ModelParameters!$D$13:$K$17,MATCH($O3007,ModelParameters!$B$13:$B$17,0),MATCH($J3007,ModelParameters!$D$5:$K$5,0)))</f>
        <v>0</v>
      </c>
      <c r="S3007" s="160">
        <f>IF(B3007="",0,MIN(IF($N3007="Other Bond TM",ModelParameters!$N$21,1)*(P3007*Q3007+R3007),1))</f>
        <v>0.073566184992822016</v>
      </c>
      <c r="T3007" s="85">
        <f>IF(B3007="",0,$S3007*$K3007)</f>
        <v>171.4877627575436</v>
      </c>
      <c r="U3007" s="85">
        <f>IF(B3007="",0,IF(OR(H3007=MappingTables!$C$34,H3007=MappingTables!$C$35),T3007,0))</f>
        <v>0</v>
      </c>
      <c r="V3007" s="85">
        <f>IF(ISNA(IF(AND(VLOOKUP(CONCATENATE($D3007,$G3007),CSRFinput!$B:$E,4,0)=0,OR(H3007=MappingTables!$C$34,H3007=MappingTables!$C$35)),1,VLOOKUP(CONCATENATE($D3007,$G3007),CSRFinput!$B:$E,4,0))),0,IF(AND(VLOOKUP(CONCATENATE($D3007,$G3007),CSRFinput!$B:$E,4,0)=0,OR(H3007=MappingTables!$C$34,H3007=MappingTables!$C$35)),1,VLOOKUP(CONCATENATE($D3007,$G3007),CSRFinput!$B:$E,4,0)))</f>
        <v>0.054776304963434752</v>
      </c>
      <c r="W3007" s="85">
        <f>IF(B3007="",0,+$T3007*$V3007)</f>
        <v>9.3934659903043568</v>
      </c>
      <c r="X3007" s="85">
        <f>IF(B3007="",0,IF(OR(H3007=MappingTables!$C$34,H3007=MappingTables!$C$35),W3007,0))</f>
        <v>0</v>
      </c>
    </row>
    <row r="3008" spans="2:24" s="0" customFormat="0" ht="15">
      <c r="B3008" s="69">
        <v>9424878</v>
      </c>
      <c r="C3008" s="70" t="s">
        <v>2405</v>
      </c>
      <c r="D3008" s="70" t="s">
        <v>1</v>
      </c>
      <c r="E3008" s="70" t="s">
        <v>1</v>
      </c>
      <c r="F3008" s="70"/>
      <c r="G3008" s="70" t="s">
        <v>61</v>
      </c>
      <c r="H3008" s="70" t="s">
        <v>178</v>
      </c>
      <c r="I3008" s="70" t="s">
        <v>188</v>
      </c>
      <c r="J3008" s="71">
        <f>IF(OR(I3008=0,I3008=""),"unrated",VLOOKUP(I3008,MappingTables!$B$19:$C$31,2,FALSE))</f>
        <v>2</v>
      </c>
      <c r="K3008" s="72">
        <v>6.8556390966250048</v>
      </c>
      <c r="L3008" s="70">
        <v>1.0567460613918676</v>
      </c>
      <c r="M3008" s="71">
        <f>IF(L3008&lt;1,1,L3008)</f>
        <v>1.0567460613918676</v>
      </c>
      <c r="N3008" s="70" t="s">
        <v>141</v>
      </c>
      <c r="O3008" s="71">
        <f>INDEX(DurClassMapping,MATCH(M3008,MappingTables!$D$4:$D$8,-1),1)</f>
        <v>1</v>
      </c>
      <c r="P3008" s="73">
        <f>IF(M3008=$A$1,1,$M3008-INDEX(MappingTables!$E$4:$E$8,MATCH(O3008,MappingTables!$B$4:$B$8,0)))</f>
        <v>1.0567460613918676</v>
      </c>
      <c r="Q3008" s="71">
        <f>IF(B3008="",0,INDEX(ModelParameters!$D$6:$K$10,MATCH($O3008,ModelParameters!$B$6:$B$10,0),MATCH($J3008,ModelParameters!$D$5:$K$5,0)))</f>
        <v>0.013999999999999998</v>
      </c>
      <c r="R3008" s="71">
        <f>IF(B3008="",0,INDEX(ModelParameters!$D$13:$K$17,MATCH($O3008,ModelParameters!$B$13:$B$17,0),MATCH($J3008,ModelParameters!$D$5:$K$5,0)))</f>
        <v>0</v>
      </c>
      <c r="S3008" s="160">
        <f>IF(B3008="",0,MIN(IF($N3008="Other Bond TM",ModelParameters!$N$21,1)*(P3008*Q3008+R3008),1))</f>
        <v>0.014794444859486144</v>
      </c>
      <c r="T3008" s="85">
        <f>IF(B3008="",0,$S3008*$K3008)</f>
        <v>0.10142537459155604</v>
      </c>
      <c r="U3008" s="85">
        <f>IF(B3008="",0,IF(OR(H3008=MappingTables!$C$34,H3008=MappingTables!$C$35),T3008,0))</f>
        <v>0</v>
      </c>
      <c r="V3008" s="85">
        <f>IF(ISNA(IF(AND(VLOOKUP(CONCATENATE($D3008,$G3008),CSRFinput!$B:$E,4,0)=0,OR(H3008=MappingTables!$C$34,H3008=MappingTables!$C$35)),1,VLOOKUP(CONCATENATE($D3008,$G3008),CSRFinput!$B:$E,4,0))),0,IF(AND(VLOOKUP(CONCATENATE($D3008,$G3008),CSRFinput!$B:$E,4,0)=0,OR(H3008=MappingTables!$C$34,H3008=MappingTables!$C$35)),1,VLOOKUP(CONCATENATE($D3008,$G3008),CSRFinput!$B:$E,4,0)))</f>
        <v>0.054776304963434752</v>
      </c>
      <c r="W3008" s="85">
        <f>IF(B3008="",0,+$T3008*$V3008)</f>
        <v>0.00555570724965768</v>
      </c>
      <c r="X3008" s="85">
        <f>IF(B3008="",0,IF(OR(H3008=MappingTables!$C$34,H3008=MappingTables!$C$35),W3008,0))</f>
        <v>0</v>
      </c>
    </row>
    <row r="3009" spans="2:24" s="0" customFormat="0" ht="15">
      <c r="B3009" s="69" t="s">
        <v>2697</v>
      </c>
      <c r="C3009" s="70" t="s">
        <v>2698</v>
      </c>
      <c r="D3009" s="70" t="s">
        <v>1</v>
      </c>
      <c r="E3009" s="70" t="s">
        <v>1</v>
      </c>
      <c r="F3009" s="70"/>
      <c r="G3009" s="70" t="s">
        <v>61</v>
      </c>
      <c r="H3009" s="70" t="s">
        <v>178</v>
      </c>
      <c r="I3009" s="70" t="s">
        <v>198</v>
      </c>
      <c r="J3009" s="71" t="str">
        <f>IF(OR(I3009=0,I3009=""),"unrated",VLOOKUP(I3009,MappingTables!$B$19:$C$31,2,FALSE))</f>
        <v>unrated</v>
      </c>
      <c r="K3009" s="72">
        <v>18.886765074038744</v>
      </c>
      <c r="L3009" s="70">
        <v>0.0876713192588252</v>
      </c>
      <c r="M3009" s="71">
        <f>IF(L3009&lt;1,1,L3009)</f>
        <v>1</v>
      </c>
      <c r="N3009" s="70" t="s">
        <v>141</v>
      </c>
      <c r="O3009" s="71">
        <f>INDEX(DurClassMapping,MATCH(M3009,MappingTables!$D$4:$D$8,-1),1)</f>
        <v>1</v>
      </c>
      <c r="P3009" s="73">
        <f>IF(M3009=$A$1,1,$M3009-INDEX(MappingTables!$E$4:$E$8,MATCH(O3009,MappingTables!$B$4:$B$8,0)))</f>
        <v>1</v>
      </c>
      <c r="Q3009" s="71">
        <f>IF(B3009="",0,INDEX(ModelParameters!$D$6:$K$10,MATCH($O3009,ModelParameters!$B$6:$B$10,0),MATCH($J3009,ModelParameters!$D$5:$K$5,0)))</f>
        <v>0.03</v>
      </c>
      <c r="R3009" s="71">
        <f>IF(B3009="",0,INDEX(ModelParameters!$D$13:$K$17,MATCH($O3009,ModelParameters!$B$13:$B$17,0),MATCH($J3009,ModelParameters!$D$5:$K$5,0)))</f>
        <v>0</v>
      </c>
      <c r="S3009" s="160">
        <f>IF(B3009="",0,MIN(IF($N3009="Other Bond TM",ModelParameters!$N$21,1)*(P3009*Q3009+R3009),1))</f>
        <v>0.03</v>
      </c>
      <c r="T3009" s="85">
        <f>IF(B3009="",0,$S3009*$K3009)</f>
        <v>0.56660295222116232</v>
      </c>
      <c r="U3009" s="85">
        <f>IF(B3009="",0,IF(OR(H3009=MappingTables!$C$34,H3009=MappingTables!$C$35),T3009,0))</f>
        <v>0</v>
      </c>
      <c r="V3009" s="85">
        <f>IF(ISNA(IF(AND(VLOOKUP(CONCATENATE($D3009,$G3009),CSRFinput!$B:$E,4,0)=0,OR(H3009=MappingTables!$C$34,H3009=MappingTables!$C$35)),1,VLOOKUP(CONCATENATE($D3009,$G3009),CSRFinput!$B:$E,4,0))),0,IF(AND(VLOOKUP(CONCATENATE($D3009,$G3009),CSRFinput!$B:$E,4,0)=0,OR(H3009=MappingTables!$C$34,H3009=MappingTables!$C$35)),1,VLOOKUP(CONCATENATE($D3009,$G3009),CSRFinput!$B:$E,4,0)))</f>
        <v>0.054776304963434752</v>
      </c>
      <c r="W3009" s="85">
        <f>IF(B3009="",0,+$T3009*$V3009)</f>
        <v>0.031036416104048836</v>
      </c>
      <c r="X3009" s="85">
        <f>IF(B3009="",0,IF(OR(H3009=MappingTables!$C$34,H3009=MappingTables!$C$35),W3009,0))</f>
        <v>0</v>
      </c>
    </row>
    <row r="3010" spans="2:24" s="0" customFormat="0" ht="15">
      <c r="B3010" s="69">
        <v>17470939</v>
      </c>
      <c r="C3010" s="70" t="s">
        <v>2013</v>
      </c>
      <c r="D3010" s="70" t="s">
        <v>1</v>
      </c>
      <c r="E3010" s="70" t="s">
        <v>1</v>
      </c>
      <c r="F3010" s="70"/>
      <c r="G3010" s="70" t="s">
        <v>61</v>
      </c>
      <c r="H3010" s="70" t="s">
        <v>178</v>
      </c>
      <c r="I3010" s="70" t="s">
        <v>188</v>
      </c>
      <c r="J3010" s="71">
        <f>IF(OR(I3010=0,I3010=""),"unrated",VLOOKUP(I3010,MappingTables!$B$19:$C$31,2,FALSE))</f>
        <v>2</v>
      </c>
      <c r="K3010" s="72">
        <v>423.08834806108848</v>
      </c>
      <c r="L3010" s="70">
        <v>3.5617232062777388</v>
      </c>
      <c r="M3010" s="71">
        <f>IF(L3010&lt;1,1,L3010)</f>
        <v>3.5617232062777388</v>
      </c>
      <c r="N3010" s="70" t="s">
        <v>141</v>
      </c>
      <c r="O3010" s="71">
        <f>INDEX(DurClassMapping,MATCH(M3010,MappingTables!$D$4:$D$8,-1),1)</f>
        <v>1</v>
      </c>
      <c r="P3010" s="73">
        <f>IF(M3010=$A$1,1,$M3010-INDEX(MappingTables!$E$4:$E$8,MATCH(O3010,MappingTables!$B$4:$B$8,0)))</f>
        <v>3.5617232062777388</v>
      </c>
      <c r="Q3010" s="71">
        <f>IF(B3010="",0,INDEX(ModelParameters!$D$6:$K$10,MATCH($O3010,ModelParameters!$B$6:$B$10,0),MATCH($J3010,ModelParameters!$D$5:$K$5,0)))</f>
        <v>0.013999999999999998</v>
      </c>
      <c r="R3010" s="71">
        <f>IF(B3010="",0,INDEX(ModelParameters!$D$13:$K$17,MATCH($O3010,ModelParameters!$B$13:$B$17,0),MATCH($J3010,ModelParameters!$D$5:$K$5,0)))</f>
        <v>0</v>
      </c>
      <c r="S3010" s="160">
        <f>IF(B3010="",0,MIN(IF($N3010="Other Bond TM",ModelParameters!$N$21,1)*(P3010*Q3010+R3010),1))</f>
        <v>0.049864124887888336</v>
      </c>
      <c r="T3010" s="85">
        <f>IF(B3010="",0,$S3010*$K3010)</f>
        <v>21.096930226328484</v>
      </c>
      <c r="U3010" s="85">
        <f>IF(B3010="",0,IF(OR(H3010=MappingTables!$C$34,H3010=MappingTables!$C$35),T3010,0))</f>
        <v>0</v>
      </c>
      <c r="V3010" s="85">
        <f>IF(ISNA(IF(AND(VLOOKUP(CONCATENATE($D3010,$G3010),CSRFinput!$B:$E,4,0)=0,OR(H3010=MappingTables!$C$34,H3010=MappingTables!$C$35)),1,VLOOKUP(CONCATENATE($D3010,$G3010),CSRFinput!$B:$E,4,0))),0,IF(AND(VLOOKUP(CONCATENATE($D3010,$G3010),CSRFinput!$B:$E,4,0)=0,OR(H3010=MappingTables!$C$34,H3010=MappingTables!$C$35)),1,VLOOKUP(CONCATENATE($D3010,$G3010),CSRFinput!$B:$E,4,0)))</f>
        <v>0.054776304963434752</v>
      </c>
      <c r="W3010" s="85">
        <f>IF(B3010="",0,+$T3010*$V3010)</f>
        <v>1.1556118838696736</v>
      </c>
      <c r="X3010" s="85">
        <f>IF(B3010="",0,IF(OR(H3010=MappingTables!$C$34,H3010=MappingTables!$C$35),W3010,0))</f>
        <v>0</v>
      </c>
    </row>
    <row r="3011" spans="2:24" s="0" customFormat="0" ht="15">
      <c r="B3011" s="69">
        <v>21851167</v>
      </c>
      <c r="C3011" s="70" t="s">
        <v>2699</v>
      </c>
      <c r="D3011" s="70" t="s">
        <v>1</v>
      </c>
      <c r="E3011" s="70" t="s">
        <v>1</v>
      </c>
      <c r="F3011" s="70"/>
      <c r="G3011" s="70" t="s">
        <v>61</v>
      </c>
      <c r="H3011" s="70" t="s">
        <v>178</v>
      </c>
      <c r="I3011" s="70" t="s">
        <v>181</v>
      </c>
      <c r="J3011" s="71">
        <f>IF(OR(I3011=0,I3011=""),"unrated",VLOOKUP(I3011,MappingTables!$B$19:$C$31,2,FALSE))</f>
        <v>3</v>
      </c>
      <c r="K3011" s="72">
        <v>2446.0867622286684</v>
      </c>
      <c r="L3011" s="70">
        <v>7.4720859342020064</v>
      </c>
      <c r="M3011" s="71">
        <f>IF(L3011&lt;1,1,L3011)</f>
        <v>7.4720859342020064</v>
      </c>
      <c r="N3011" s="70" t="s">
        <v>141</v>
      </c>
      <c r="O3011" s="71">
        <f>INDEX(DurClassMapping,MATCH(M3011,MappingTables!$D$4:$D$8,-1),1)</f>
        <v>2</v>
      </c>
      <c r="P3011" s="73">
        <f>IF(M3011=$A$1,1,$M3011-INDEX(MappingTables!$E$4:$E$8,MATCH(O3011,MappingTables!$B$4:$B$8,0)))</f>
        <v>2.4720859342020072</v>
      </c>
      <c r="Q3011" s="71">
        <f>IF(B3011="",0,INDEX(ModelParameters!$D$6:$K$10,MATCH($O3011,ModelParameters!$B$6:$B$10,0),MATCH($J3011,ModelParameters!$D$5:$K$5,0)))</f>
        <v>0.015</v>
      </c>
      <c r="R3011" s="71">
        <f>IF(B3011="",0,INDEX(ModelParameters!$D$13:$K$17,MATCH($O3011,ModelParameters!$B$13:$B$17,0),MATCH($J3011,ModelParameters!$D$5:$K$5,0)))</f>
        <v>0.125</v>
      </c>
      <c r="S3011" s="160">
        <f>IF(B3011="",0,MIN(IF($N3011="Other Bond TM",ModelParameters!$N$21,1)*(P3011*Q3011+R3011),1))</f>
        <v>0.1620812890130301</v>
      </c>
      <c r="T3011" s="85">
        <f>IF(B3011="",0,$S3011*$K3011)</f>
        <v>396.46489545973176</v>
      </c>
      <c r="U3011" s="85">
        <f>IF(B3011="",0,IF(OR(H3011=MappingTables!$C$34,H3011=MappingTables!$C$35),T3011,0))</f>
        <v>0</v>
      </c>
      <c r="V3011" s="85">
        <f>IF(ISNA(IF(AND(VLOOKUP(CONCATENATE($D3011,$G3011),CSRFinput!$B:$E,4,0)=0,OR(H3011=MappingTables!$C$34,H3011=MappingTables!$C$35)),1,VLOOKUP(CONCATENATE($D3011,$G3011),CSRFinput!$B:$E,4,0))),0,IF(AND(VLOOKUP(CONCATENATE($D3011,$G3011),CSRFinput!$B:$E,4,0)=0,OR(H3011=MappingTables!$C$34,H3011=MappingTables!$C$35)),1,VLOOKUP(CONCATENATE($D3011,$G3011),CSRFinput!$B:$E,4,0)))</f>
        <v>0.054776304963434752</v>
      </c>
      <c r="W3011" s="85">
        <f>IF(B3011="",0,+$T3011*$V3011)</f>
        <v>21.716882020998548</v>
      </c>
      <c r="X3011" s="85">
        <f>IF(B3011="",0,IF(OR(H3011=MappingTables!$C$34,H3011=MappingTables!$C$35),W3011,0))</f>
        <v>0</v>
      </c>
    </row>
    <row r="3012" spans="2:24" s="0" customFormat="0" ht="15">
      <c r="B3012" s="69">
        <v>16199153</v>
      </c>
      <c r="C3012" s="70" t="s">
        <v>206</v>
      </c>
      <c r="D3012" s="70" t="s">
        <v>1</v>
      </c>
      <c r="E3012" s="70" t="s">
        <v>1</v>
      </c>
      <c r="F3012" s="70"/>
      <c r="G3012" s="70" t="s">
        <v>61</v>
      </c>
      <c r="H3012" s="70" t="s">
        <v>178</v>
      </c>
      <c r="I3012" s="70" t="s">
        <v>181</v>
      </c>
      <c r="J3012" s="71">
        <f>IF(OR(I3012=0,I3012=""),"unrated",VLOOKUP(I3012,MappingTables!$B$19:$C$31,2,FALSE))</f>
        <v>3</v>
      </c>
      <c r="K3012" s="72">
        <v>5060.1284341084744</v>
      </c>
      <c r="L3012" s="70">
        <v>0.28789372665819392</v>
      </c>
      <c r="M3012" s="71">
        <f>IF(L3012&lt;1,1,L3012)</f>
        <v>1</v>
      </c>
      <c r="N3012" s="70" t="s">
        <v>141</v>
      </c>
      <c r="O3012" s="71">
        <f>INDEX(DurClassMapping,MATCH(M3012,MappingTables!$D$4:$D$8,-1),1)</f>
        <v>1</v>
      </c>
      <c r="P3012" s="73">
        <f>IF(M3012=$A$1,1,$M3012-INDEX(MappingTables!$E$4:$E$8,MATCH(O3012,MappingTables!$B$4:$B$8,0)))</f>
        <v>1</v>
      </c>
      <c r="Q3012" s="71">
        <f>IF(B3012="",0,INDEX(ModelParameters!$D$6:$K$10,MATCH($O3012,ModelParameters!$B$6:$B$10,0),MATCH($J3012,ModelParameters!$D$5:$K$5,0)))</f>
        <v>0.025</v>
      </c>
      <c r="R3012" s="71">
        <f>IF(B3012="",0,INDEX(ModelParameters!$D$13:$K$17,MATCH($O3012,ModelParameters!$B$13:$B$17,0),MATCH($J3012,ModelParameters!$D$5:$K$5,0)))</f>
        <v>0</v>
      </c>
      <c r="S3012" s="160">
        <f>IF(B3012="",0,MIN(IF($N3012="Other Bond TM",ModelParameters!$N$21,1)*(P3012*Q3012+R3012),1))</f>
        <v>0.025</v>
      </c>
      <c r="T3012" s="85">
        <f>IF(B3012="",0,$S3012*$K3012)</f>
        <v>126.50321085271188</v>
      </c>
      <c r="U3012" s="85">
        <f>IF(B3012="",0,IF(OR(H3012=MappingTables!$C$34,H3012=MappingTables!$C$35),T3012,0))</f>
        <v>0</v>
      </c>
      <c r="V3012" s="85">
        <f>IF(ISNA(IF(AND(VLOOKUP(CONCATENATE($D3012,$G3012),CSRFinput!$B:$E,4,0)=0,OR(H3012=MappingTables!$C$34,H3012=MappingTables!$C$35)),1,VLOOKUP(CONCATENATE($D3012,$G3012),CSRFinput!$B:$E,4,0))),0,IF(AND(VLOOKUP(CONCATENATE($D3012,$G3012),CSRFinput!$B:$E,4,0)=0,OR(H3012=MappingTables!$C$34,H3012=MappingTables!$C$35)),1,VLOOKUP(CONCATENATE($D3012,$G3012),CSRFinput!$B:$E,4,0)))</f>
        <v>0.054776304963434752</v>
      </c>
      <c r="W3012" s="85">
        <f>IF(B3012="",0,+$T3012*$V3012)</f>
        <v>6.9293784565218344</v>
      </c>
      <c r="X3012" s="85">
        <f>IF(B3012="",0,IF(OR(H3012=MappingTables!$C$34,H3012=MappingTables!$C$35),W3012,0))</f>
        <v>0</v>
      </c>
    </row>
    <row r="3013" spans="2:24" s="0" customFormat="0" ht="15">
      <c r="B3013" s="69">
        <v>23457587</v>
      </c>
      <c r="C3013" s="70" t="s">
        <v>2403</v>
      </c>
      <c r="D3013" s="70" t="s">
        <v>1</v>
      </c>
      <c r="E3013" s="70" t="s">
        <v>1</v>
      </c>
      <c r="F3013" s="70"/>
      <c r="G3013" s="70" t="s">
        <v>61</v>
      </c>
      <c r="H3013" s="70" t="s">
        <v>178</v>
      </c>
      <c r="I3013" s="70" t="s">
        <v>181</v>
      </c>
      <c r="J3013" s="71">
        <f>IF(OR(I3013=0,I3013=""),"unrated",VLOOKUP(I3013,MappingTables!$B$19:$C$31,2,FALSE))</f>
        <v>3</v>
      </c>
      <c r="K3013" s="72">
        <v>113.93612781782618</v>
      </c>
      <c r="L3013" s="70">
        <v>1.4514994316332772</v>
      </c>
      <c r="M3013" s="71">
        <f>IF(L3013&lt;1,1,L3013)</f>
        <v>1.4514994316332772</v>
      </c>
      <c r="N3013" s="70" t="s">
        <v>141</v>
      </c>
      <c r="O3013" s="71">
        <f>INDEX(DurClassMapping,MATCH(M3013,MappingTables!$D$4:$D$8,-1),1)</f>
        <v>1</v>
      </c>
      <c r="P3013" s="73">
        <f>IF(M3013=$A$1,1,$M3013-INDEX(MappingTables!$E$4:$E$8,MATCH(O3013,MappingTables!$B$4:$B$8,0)))</f>
        <v>1.4514994316332772</v>
      </c>
      <c r="Q3013" s="71">
        <f>IF(B3013="",0,INDEX(ModelParameters!$D$6:$K$10,MATCH($O3013,ModelParameters!$B$6:$B$10,0),MATCH($J3013,ModelParameters!$D$5:$K$5,0)))</f>
        <v>0.025</v>
      </c>
      <c r="R3013" s="71">
        <f>IF(B3013="",0,INDEX(ModelParameters!$D$13:$K$17,MATCH($O3013,ModelParameters!$B$13:$B$17,0),MATCH($J3013,ModelParameters!$D$5:$K$5,0)))</f>
        <v>0</v>
      </c>
      <c r="S3013" s="160">
        <f>IF(B3013="",0,MIN(IF($N3013="Other Bond TM",ModelParameters!$N$21,1)*(P3013*Q3013+R3013),1))</f>
        <v>0.036287485790831928</v>
      </c>
      <c r="T3013" s="85">
        <f>IF(B3013="",0,$S3013*$K3013)</f>
        <v>4.1344556192517776</v>
      </c>
      <c r="U3013" s="85">
        <f>IF(B3013="",0,IF(OR(H3013=MappingTables!$C$34,H3013=MappingTables!$C$35),T3013,0))</f>
        <v>0</v>
      </c>
      <c r="V3013" s="85">
        <f>IF(ISNA(IF(AND(VLOOKUP(CONCATENATE($D3013,$G3013),CSRFinput!$B:$E,4,0)=0,OR(H3013=MappingTables!$C$34,H3013=MappingTables!$C$35)),1,VLOOKUP(CONCATENATE($D3013,$G3013),CSRFinput!$B:$E,4,0))),0,IF(AND(VLOOKUP(CONCATENATE($D3013,$G3013),CSRFinput!$B:$E,4,0)=0,OR(H3013=MappingTables!$C$34,H3013=MappingTables!$C$35)),1,VLOOKUP(CONCATENATE($D3013,$G3013),CSRFinput!$B:$E,4,0)))</f>
        <v>0.054776304963434752</v>
      </c>
      <c r="W3013" s="85">
        <f>IF(B3013="",0,+$T3013*$V3013)</f>
        <v>0.22647020185792184</v>
      </c>
      <c r="X3013" s="85">
        <f>IF(B3013="",0,IF(OR(H3013=MappingTables!$C$34,H3013=MappingTables!$C$35),W3013,0))</f>
        <v>0</v>
      </c>
    </row>
    <row r="3014" spans="2:24" s="0" customFormat="0" ht="15">
      <c r="B3014" s="69">
        <v>18788641</v>
      </c>
      <c r="C3014" s="70" t="s">
        <v>2319</v>
      </c>
      <c r="D3014" s="70" t="s">
        <v>1</v>
      </c>
      <c r="E3014" s="70" t="s">
        <v>1</v>
      </c>
      <c r="F3014" s="70"/>
      <c r="G3014" s="70" t="s">
        <v>61</v>
      </c>
      <c r="H3014" s="70" t="s">
        <v>178</v>
      </c>
      <c r="I3014" s="70" t="s">
        <v>179</v>
      </c>
      <c r="J3014" s="71">
        <f>IF(OR(I3014=0,I3014=""),"unrated",VLOOKUP(I3014,MappingTables!$B$19:$C$31,2,FALSE))</f>
        <v>4</v>
      </c>
      <c r="K3014" s="72">
        <v>601.04920645846232</v>
      </c>
      <c r="L3014" s="70">
        <v>5.5884787663786856</v>
      </c>
      <c r="M3014" s="71">
        <f>IF(L3014&lt;1,1,L3014)</f>
        <v>5.5884787663786856</v>
      </c>
      <c r="N3014" s="70" t="s">
        <v>141</v>
      </c>
      <c r="O3014" s="71">
        <f>INDEX(DurClassMapping,MATCH(M3014,MappingTables!$D$4:$D$8,-1),1)</f>
        <v>2</v>
      </c>
      <c r="P3014" s="73">
        <f>IF(M3014=$A$1,1,$M3014-INDEX(MappingTables!$E$4:$E$8,MATCH(O3014,MappingTables!$B$4:$B$8,0)))</f>
        <v>0.5884787663786852</v>
      </c>
      <c r="Q3014" s="71">
        <f>IF(B3014="",0,INDEX(ModelParameters!$D$6:$K$10,MATCH($O3014,ModelParameters!$B$6:$B$10,0),MATCH($J3014,ModelParameters!$D$5:$K$5,0)))</f>
        <v>0.025</v>
      </c>
      <c r="R3014" s="71">
        <f>IF(B3014="",0,INDEX(ModelParameters!$D$13:$K$17,MATCH($O3014,ModelParameters!$B$13:$B$17,0),MATCH($J3014,ModelParameters!$D$5:$K$5,0)))</f>
        <v>0.225</v>
      </c>
      <c r="S3014" s="160">
        <f>IF(B3014="",0,MIN(IF($N3014="Other Bond TM",ModelParameters!$N$21,1)*(P3014*Q3014+R3014),1))</f>
        <v>0.23971196915946712</v>
      </c>
      <c r="T3014" s="85">
        <f>IF(B3014="",0,$S3014*$K3014)</f>
        <v>144.07868884189312</v>
      </c>
      <c r="U3014" s="85">
        <f>IF(B3014="",0,IF(OR(H3014=MappingTables!$C$34,H3014=MappingTables!$C$35),T3014,0))</f>
        <v>0</v>
      </c>
      <c r="V3014" s="85">
        <f>IF(ISNA(IF(AND(VLOOKUP(CONCATENATE($D3014,$G3014),CSRFinput!$B:$E,4,0)=0,OR(H3014=MappingTables!$C$34,H3014=MappingTables!$C$35)),1,VLOOKUP(CONCATENATE($D3014,$G3014),CSRFinput!$B:$E,4,0))),0,IF(AND(VLOOKUP(CONCATENATE($D3014,$G3014),CSRFinput!$B:$E,4,0)=0,OR(H3014=MappingTables!$C$34,H3014=MappingTables!$C$35)),1,VLOOKUP(CONCATENATE($D3014,$G3014),CSRFinput!$B:$E,4,0)))</f>
        <v>0.054776304963434752</v>
      </c>
      <c r="W3014" s="85">
        <f>IF(B3014="",0,+$T3014*$V3014)</f>
        <v>7.8920981987353616</v>
      </c>
      <c r="X3014" s="85">
        <f>IF(B3014="",0,IF(OR(H3014=MappingTables!$C$34,H3014=MappingTables!$C$35),W3014,0))</f>
        <v>0</v>
      </c>
    </row>
    <row r="3015" spans="2:24" s="0" customFormat="0" ht="15">
      <c r="B3015" s="69">
        <v>15645431</v>
      </c>
      <c r="C3015" s="70" t="s">
        <v>2700</v>
      </c>
      <c r="D3015" s="70" t="s">
        <v>1</v>
      </c>
      <c r="E3015" s="70" t="s">
        <v>1</v>
      </c>
      <c r="F3015" s="70"/>
      <c r="G3015" s="70" t="s">
        <v>61</v>
      </c>
      <c r="H3015" s="70" t="s">
        <v>178</v>
      </c>
      <c r="I3015" s="70" t="s">
        <v>188</v>
      </c>
      <c r="J3015" s="71">
        <f>IF(OR(I3015=0,I3015=""),"unrated",VLOOKUP(I3015,MappingTables!$B$19:$C$31,2,FALSE))</f>
        <v>2</v>
      </c>
      <c r="K3015" s="72">
        <v>156.96720015809162</v>
      </c>
      <c r="L3015" s="70">
        <v>0.060270970486199536</v>
      </c>
      <c r="M3015" s="71">
        <f>IF(L3015&lt;1,1,L3015)</f>
        <v>1</v>
      </c>
      <c r="N3015" s="70" t="s">
        <v>141</v>
      </c>
      <c r="O3015" s="71">
        <f>INDEX(DurClassMapping,MATCH(M3015,MappingTables!$D$4:$D$8,-1),1)</f>
        <v>1</v>
      </c>
      <c r="P3015" s="73">
        <f>IF(M3015=$A$1,1,$M3015-INDEX(MappingTables!$E$4:$E$8,MATCH(O3015,MappingTables!$B$4:$B$8,0)))</f>
        <v>1</v>
      </c>
      <c r="Q3015" s="71">
        <f>IF(B3015="",0,INDEX(ModelParameters!$D$6:$K$10,MATCH($O3015,ModelParameters!$B$6:$B$10,0),MATCH($J3015,ModelParameters!$D$5:$K$5,0)))</f>
        <v>0.013999999999999998</v>
      </c>
      <c r="R3015" s="71">
        <f>IF(B3015="",0,INDEX(ModelParameters!$D$13:$K$17,MATCH($O3015,ModelParameters!$B$13:$B$17,0),MATCH($J3015,ModelParameters!$D$5:$K$5,0)))</f>
        <v>0</v>
      </c>
      <c r="S3015" s="160">
        <f>IF(B3015="",0,MIN(IF($N3015="Other Bond TM",ModelParameters!$N$21,1)*(P3015*Q3015+R3015),1))</f>
        <v>0.013999999999999998</v>
      </c>
      <c r="T3015" s="85">
        <f>IF(B3015="",0,$S3015*$K3015)</f>
        <v>2.1975408022132824</v>
      </c>
      <c r="U3015" s="85">
        <f>IF(B3015="",0,IF(OR(H3015=MappingTables!$C$34,H3015=MappingTables!$C$35),T3015,0))</f>
        <v>0</v>
      </c>
      <c r="V3015" s="85">
        <f>IF(ISNA(IF(AND(VLOOKUP(CONCATENATE($D3015,$G3015),CSRFinput!$B:$E,4,0)=0,OR(H3015=MappingTables!$C$34,H3015=MappingTables!$C$35)),1,VLOOKUP(CONCATENATE($D3015,$G3015),CSRFinput!$B:$E,4,0))),0,IF(AND(VLOOKUP(CONCATENATE($D3015,$G3015),CSRFinput!$B:$E,4,0)=0,OR(H3015=MappingTables!$C$34,H3015=MappingTables!$C$35)),1,VLOOKUP(CONCATENATE($D3015,$G3015),CSRFinput!$B:$E,4,0)))</f>
        <v>0.054776304963434752</v>
      </c>
      <c r="W3015" s="85">
        <f>IF(B3015="",0,+$T3015*$V3015)</f>
        <v>0.12037316515162582</v>
      </c>
      <c r="X3015" s="85">
        <f>IF(B3015="",0,IF(OR(H3015=MappingTables!$C$34,H3015=MappingTables!$C$35),W3015,0))</f>
        <v>0</v>
      </c>
    </row>
    <row r="3016" spans="2:24" s="0" customFormat="0" ht="15">
      <c r="B3016" s="69">
        <v>18764711</v>
      </c>
      <c r="C3016" s="70" t="s">
        <v>2676</v>
      </c>
      <c r="D3016" s="70" t="s">
        <v>1</v>
      </c>
      <c r="E3016" s="70" t="s">
        <v>1</v>
      </c>
      <c r="F3016" s="70"/>
      <c r="G3016" s="70" t="s">
        <v>61</v>
      </c>
      <c r="H3016" s="70" t="s">
        <v>178</v>
      </c>
      <c r="I3016" s="70" t="s">
        <v>184</v>
      </c>
      <c r="J3016" s="71">
        <f>IF(OR(I3016=0,I3016=""),"unrated",VLOOKUP(I3016,MappingTables!$B$19:$C$31,2,FALSE))</f>
        <v>5</v>
      </c>
      <c r="K3016" s="72">
        <v>312.83635772985816</v>
      </c>
      <c r="L3016" s="70">
        <v>0.81993218039162384</v>
      </c>
      <c r="M3016" s="71">
        <f>IF(L3016&lt;1,1,L3016)</f>
        <v>1</v>
      </c>
      <c r="N3016" s="70" t="s">
        <v>141</v>
      </c>
      <c r="O3016" s="71">
        <f>INDEX(DurClassMapping,MATCH(M3016,MappingTables!$D$4:$D$8,-1),1)</f>
        <v>1</v>
      </c>
      <c r="P3016" s="73">
        <f>IF(M3016=$A$1,1,$M3016-INDEX(MappingTables!$E$4:$E$8,MATCH(O3016,MappingTables!$B$4:$B$8,0)))</f>
        <v>1</v>
      </c>
      <c r="Q3016" s="71">
        <f>IF(B3016="",0,INDEX(ModelParameters!$D$6:$K$10,MATCH($O3016,ModelParameters!$B$6:$B$10,0),MATCH($J3016,ModelParameters!$D$5:$K$5,0)))</f>
        <v>0.075</v>
      </c>
      <c r="R3016" s="71">
        <f>IF(B3016="",0,INDEX(ModelParameters!$D$13:$K$17,MATCH($O3016,ModelParameters!$B$13:$B$17,0),MATCH($J3016,ModelParameters!$D$5:$K$5,0)))</f>
        <v>0</v>
      </c>
      <c r="S3016" s="160">
        <f>IF(B3016="",0,MIN(IF($N3016="Other Bond TM",ModelParameters!$N$21,1)*(P3016*Q3016+R3016),1))</f>
        <v>0.075</v>
      </c>
      <c r="T3016" s="85">
        <f>IF(B3016="",0,$S3016*$K3016)</f>
        <v>23.46272682973936</v>
      </c>
      <c r="U3016" s="85">
        <f>IF(B3016="",0,IF(OR(H3016=MappingTables!$C$34,H3016=MappingTables!$C$35),T3016,0))</f>
        <v>0</v>
      </c>
      <c r="V3016" s="85">
        <f>IF(ISNA(IF(AND(VLOOKUP(CONCATENATE($D3016,$G3016),CSRFinput!$B:$E,4,0)=0,OR(H3016=MappingTables!$C$34,H3016=MappingTables!$C$35)),1,VLOOKUP(CONCATENATE($D3016,$G3016),CSRFinput!$B:$E,4,0))),0,IF(AND(VLOOKUP(CONCATENATE($D3016,$G3016),CSRFinput!$B:$E,4,0)=0,OR(H3016=MappingTables!$C$34,H3016=MappingTables!$C$35)),1,VLOOKUP(CONCATENATE($D3016,$G3016),CSRFinput!$B:$E,4,0)))</f>
        <v>0.054776304963434752</v>
      </c>
      <c r="W3016" s="85">
        <f>IF(B3016="",0,+$T3016*$V3016)</f>
        <v>1.285201480099566</v>
      </c>
      <c r="X3016" s="85">
        <f>IF(B3016="",0,IF(OR(H3016=MappingTables!$C$34,H3016=MappingTables!$C$35),W3016,0))</f>
        <v>0</v>
      </c>
    </row>
    <row r="3017" spans="2:24" s="0" customFormat="0" ht="15">
      <c r="B3017" s="69">
        <v>13524479</v>
      </c>
      <c r="C3017" s="70" t="s">
        <v>2701</v>
      </c>
      <c r="D3017" s="70" t="s">
        <v>1</v>
      </c>
      <c r="E3017" s="70" t="s">
        <v>1</v>
      </c>
      <c r="F3017" s="70"/>
      <c r="G3017" s="70" t="s">
        <v>61</v>
      </c>
      <c r="H3017" s="70" t="s">
        <v>178</v>
      </c>
      <c r="I3017" s="70" t="s">
        <v>181</v>
      </c>
      <c r="J3017" s="71">
        <f>IF(OR(I3017=0,I3017=""),"unrated",VLOOKUP(I3017,MappingTables!$B$19:$C$31,2,FALSE))</f>
        <v>3</v>
      </c>
      <c r="K3017" s="72">
        <v>86.08779924449184</v>
      </c>
      <c r="L3017" s="70">
        <v>15.982512866714568</v>
      </c>
      <c r="M3017" s="71">
        <f>IF(L3017&lt;1,1,L3017)</f>
        <v>15.982512866714568</v>
      </c>
      <c r="N3017" s="70" t="s">
        <v>141</v>
      </c>
      <c r="O3017" s="71">
        <f>INDEX(DurClassMapping,MATCH(M3017,MappingTables!$D$4:$D$8,-1),1)</f>
        <v>4</v>
      </c>
      <c r="P3017" s="73">
        <f>IF(M3017=$A$1,1,$M3017-INDEX(MappingTables!$E$4:$E$8,MATCH(O3017,MappingTables!$B$4:$B$8,0)))</f>
        <v>0.98251286671456832</v>
      </c>
      <c r="Q3017" s="71">
        <f>IF(B3017="",0,INDEX(ModelParameters!$D$6:$K$10,MATCH($O3017,ModelParameters!$B$6:$B$10,0),MATCH($J3017,ModelParameters!$D$5:$K$5,0)))</f>
        <v>0.01</v>
      </c>
      <c r="R3017" s="71">
        <f>IF(B3017="",0,INDEX(ModelParameters!$D$13:$K$17,MATCH($O3017,ModelParameters!$B$13:$B$17,0),MATCH($J3017,ModelParameters!$D$5:$K$5,0)))</f>
        <v>0.25</v>
      </c>
      <c r="S3017" s="160">
        <f>IF(B3017="",0,MIN(IF($N3017="Other Bond TM",ModelParameters!$N$21,1)*(P3017*Q3017+R3017),1))</f>
        <v>0.25982512866714568</v>
      </c>
      <c r="T3017" s="85">
        <f>IF(B3017="",0,$S3017*$K3017)</f>
        <v>22.367773515371504</v>
      </c>
      <c r="U3017" s="85">
        <f>IF(B3017="",0,IF(OR(H3017=MappingTables!$C$34,H3017=MappingTables!$C$35),T3017,0))</f>
        <v>0</v>
      </c>
      <c r="V3017" s="85">
        <f>IF(ISNA(IF(AND(VLOOKUP(CONCATENATE($D3017,$G3017),CSRFinput!$B:$E,4,0)=0,OR(H3017=MappingTables!$C$34,H3017=MappingTables!$C$35)),1,VLOOKUP(CONCATENATE($D3017,$G3017),CSRFinput!$B:$E,4,0))),0,IF(AND(VLOOKUP(CONCATENATE($D3017,$G3017),CSRFinput!$B:$E,4,0)=0,OR(H3017=MappingTables!$C$34,H3017=MappingTables!$C$35)),1,VLOOKUP(CONCATENATE($D3017,$G3017),CSRFinput!$B:$E,4,0)))</f>
        <v>0.054776304963434752</v>
      </c>
      <c r="W3017" s="85">
        <f>IF(B3017="",0,+$T3017*$V3017)</f>
        <v>1.2252239834310286</v>
      </c>
      <c r="X3017" s="85">
        <f>IF(B3017="",0,IF(OR(H3017=MappingTables!$C$34,H3017=MappingTables!$C$35),W3017,0))</f>
        <v>0</v>
      </c>
    </row>
    <row r="3018" spans="2:24" s="0" customFormat="0" ht="15">
      <c r="B3018" s="69" t="s">
        <v>981</v>
      </c>
      <c r="C3018" s="70" t="s">
        <v>982</v>
      </c>
      <c r="D3018" s="70" t="s">
        <v>1</v>
      </c>
      <c r="E3018" s="70" t="s">
        <v>1</v>
      </c>
      <c r="F3018" s="70"/>
      <c r="G3018" s="70" t="s">
        <v>61</v>
      </c>
      <c r="H3018" s="70" t="s">
        <v>178</v>
      </c>
      <c r="I3018" s="70" t="s">
        <v>179</v>
      </c>
      <c r="J3018" s="71">
        <f>IF(OR(I3018=0,I3018=""),"unrated",VLOOKUP(I3018,MappingTables!$B$19:$C$31,2,FALSE))</f>
        <v>4</v>
      </c>
      <c r="K3018" s="72">
        <v>10962.354455832278</v>
      </c>
      <c r="L3018" s="70">
        <v>3.1683806691812432</v>
      </c>
      <c r="M3018" s="71">
        <f>IF(L3018&lt;1,1,L3018)</f>
        <v>3.1683806691812432</v>
      </c>
      <c r="N3018" s="70" t="s">
        <v>141</v>
      </c>
      <c r="O3018" s="71">
        <f>INDEX(DurClassMapping,MATCH(M3018,MappingTables!$D$4:$D$8,-1),1)</f>
        <v>1</v>
      </c>
      <c r="P3018" s="73">
        <f>IF(M3018=$A$1,1,$M3018-INDEX(MappingTables!$E$4:$E$8,MATCH(O3018,MappingTables!$B$4:$B$8,0)))</f>
        <v>3.1683806691812432</v>
      </c>
      <c r="Q3018" s="71">
        <f>IF(B3018="",0,INDEX(ModelParameters!$D$6:$K$10,MATCH($O3018,ModelParameters!$B$6:$B$10,0),MATCH($J3018,ModelParameters!$D$5:$K$5,0)))</f>
        <v>0.045</v>
      </c>
      <c r="R3018" s="71">
        <f>IF(B3018="",0,INDEX(ModelParameters!$D$13:$K$17,MATCH($O3018,ModelParameters!$B$13:$B$17,0),MATCH($J3018,ModelParameters!$D$5:$K$5,0)))</f>
        <v>0</v>
      </c>
      <c r="S3018" s="160">
        <f>IF(B3018="",0,MIN(IF($N3018="Other Bond TM",ModelParameters!$N$21,1)*(P3018*Q3018+R3018),1))</f>
        <v>0.14257713011315596</v>
      </c>
      <c r="T3018" s="85">
        <f>IF(B3018="",0,$S3018*$K3018)</f>
        <v>1562.9810375957336</v>
      </c>
      <c r="U3018" s="85">
        <f>IF(B3018="",0,IF(OR(H3018=MappingTables!$C$34,H3018=MappingTables!$C$35),T3018,0))</f>
        <v>0</v>
      </c>
      <c r="V3018" s="85">
        <f>IF(ISNA(IF(AND(VLOOKUP(CONCATENATE($D3018,$G3018),CSRFinput!$B:$E,4,0)=0,OR(H3018=MappingTables!$C$34,H3018=MappingTables!$C$35)),1,VLOOKUP(CONCATENATE($D3018,$G3018),CSRFinput!$B:$E,4,0))),0,IF(AND(VLOOKUP(CONCATENATE($D3018,$G3018),CSRFinput!$B:$E,4,0)=0,OR(H3018=MappingTables!$C$34,H3018=MappingTables!$C$35)),1,VLOOKUP(CONCATENATE($D3018,$G3018),CSRFinput!$B:$E,4,0)))</f>
        <v>0.054776304963434752</v>
      </c>
      <c r="W3018" s="85">
        <f>IF(B3018="",0,+$T3018*$V3018)</f>
        <v>85.614325967409584</v>
      </c>
      <c r="X3018" s="85">
        <f>IF(B3018="",0,IF(OR(H3018=MappingTables!$C$34,H3018=MappingTables!$C$35),W3018,0))</f>
        <v>0</v>
      </c>
    </row>
    <row r="3019" spans="2:24" s="0" customFormat="0" ht="15">
      <c r="B3019" s="69">
        <v>261329</v>
      </c>
      <c r="C3019" s="70" t="s">
        <v>1768</v>
      </c>
      <c r="D3019" s="70" t="s">
        <v>1</v>
      </c>
      <c r="E3019" s="70" t="s">
        <v>1</v>
      </c>
      <c r="F3019" s="70"/>
      <c r="G3019" s="70" t="s">
        <v>61</v>
      </c>
      <c r="H3019" s="70" t="s">
        <v>178</v>
      </c>
      <c r="I3019" s="70" t="s">
        <v>179</v>
      </c>
      <c r="J3019" s="71">
        <f>IF(OR(I3019=0,I3019=""),"unrated",VLOOKUP(I3019,MappingTables!$B$19:$C$31,2,FALSE))</f>
        <v>4</v>
      </c>
      <c r="K3019" s="72">
        <v>1648.3407255026728</v>
      </c>
      <c r="L3019" s="70">
        <v>7.4602049293023904</v>
      </c>
      <c r="M3019" s="71">
        <f>IF(L3019&lt;1,1,L3019)</f>
        <v>7.4602049293023904</v>
      </c>
      <c r="N3019" s="70" t="s">
        <v>141</v>
      </c>
      <c r="O3019" s="71">
        <f>INDEX(DurClassMapping,MATCH(M3019,MappingTables!$D$4:$D$8,-1),1)</f>
        <v>2</v>
      </c>
      <c r="P3019" s="73">
        <f>IF(M3019=$A$1,1,$M3019-INDEX(MappingTables!$E$4:$E$8,MATCH(O3019,MappingTables!$B$4:$B$8,0)))</f>
        <v>2.4602049293023896</v>
      </c>
      <c r="Q3019" s="71">
        <f>IF(B3019="",0,INDEX(ModelParameters!$D$6:$K$10,MATCH($O3019,ModelParameters!$B$6:$B$10,0),MATCH($J3019,ModelParameters!$D$5:$K$5,0)))</f>
        <v>0.025</v>
      </c>
      <c r="R3019" s="71">
        <f>IF(B3019="",0,INDEX(ModelParameters!$D$13:$K$17,MATCH($O3019,ModelParameters!$B$13:$B$17,0),MATCH($J3019,ModelParameters!$D$5:$K$5,0)))</f>
        <v>0.225</v>
      </c>
      <c r="S3019" s="160">
        <f>IF(B3019="",0,MIN(IF($N3019="Other Bond TM",ModelParameters!$N$21,1)*(P3019*Q3019+R3019),1))</f>
        <v>0.28650512323255972</v>
      </c>
      <c r="T3019" s="85">
        <f>IF(B3019="",0,$S3019*$K3019)</f>
        <v>472.25806268939016</v>
      </c>
      <c r="U3019" s="85">
        <f>IF(B3019="",0,IF(OR(H3019=MappingTables!$C$34,H3019=MappingTables!$C$35),T3019,0))</f>
        <v>0</v>
      </c>
      <c r="V3019" s="85">
        <f>IF(ISNA(IF(AND(VLOOKUP(CONCATENATE($D3019,$G3019),CSRFinput!$B:$E,4,0)=0,OR(H3019=MappingTables!$C$34,H3019=MappingTables!$C$35)),1,VLOOKUP(CONCATENATE($D3019,$G3019),CSRFinput!$B:$E,4,0))),0,IF(AND(VLOOKUP(CONCATENATE($D3019,$G3019),CSRFinput!$B:$E,4,0)=0,OR(H3019=MappingTables!$C$34,H3019=MappingTables!$C$35)),1,VLOOKUP(CONCATENATE($D3019,$G3019),CSRFinput!$B:$E,4,0)))</f>
        <v>0.054776304963434752</v>
      </c>
      <c r="W3019" s="85">
        <f>IF(B3019="",0,+$T3019*$V3019)</f>
        <v>25.868551663314924</v>
      </c>
      <c r="X3019" s="85">
        <f>IF(B3019="",0,IF(OR(H3019=MappingTables!$C$34,H3019=MappingTables!$C$35),W3019,0))</f>
        <v>0</v>
      </c>
    </row>
    <row r="3020" spans="2:24" s="0" customFormat="0" ht="15">
      <c r="B3020" s="69">
        <v>20971137</v>
      </c>
      <c r="C3020" s="70" t="s">
        <v>2020</v>
      </c>
      <c r="D3020" s="70" t="s">
        <v>1</v>
      </c>
      <c r="E3020" s="70" t="s">
        <v>1</v>
      </c>
      <c r="F3020" s="70"/>
      <c r="G3020" s="70" t="s">
        <v>61</v>
      </c>
      <c r="H3020" s="70" t="s">
        <v>178</v>
      </c>
      <c r="I3020" s="70" t="s">
        <v>184</v>
      </c>
      <c r="J3020" s="71">
        <f>IF(OR(I3020=0,I3020=""),"unrated",VLOOKUP(I3020,MappingTables!$B$19:$C$31,2,FALSE))</f>
        <v>5</v>
      </c>
      <c r="K3020" s="72">
        <v>2366.6982301817188</v>
      </c>
      <c r="L3020" s="70">
        <v>0.6931695866017716</v>
      </c>
      <c r="M3020" s="71">
        <f>IF(L3020&lt;1,1,L3020)</f>
        <v>1</v>
      </c>
      <c r="N3020" s="70" t="s">
        <v>141</v>
      </c>
      <c r="O3020" s="71">
        <f>INDEX(DurClassMapping,MATCH(M3020,MappingTables!$D$4:$D$8,-1),1)</f>
        <v>1</v>
      </c>
      <c r="P3020" s="73">
        <f>IF(M3020=$A$1,1,$M3020-INDEX(MappingTables!$E$4:$E$8,MATCH(O3020,MappingTables!$B$4:$B$8,0)))</f>
        <v>1</v>
      </c>
      <c r="Q3020" s="71">
        <f>IF(B3020="",0,INDEX(ModelParameters!$D$6:$K$10,MATCH($O3020,ModelParameters!$B$6:$B$10,0),MATCH($J3020,ModelParameters!$D$5:$K$5,0)))</f>
        <v>0.075</v>
      </c>
      <c r="R3020" s="71">
        <f>IF(B3020="",0,INDEX(ModelParameters!$D$13:$K$17,MATCH($O3020,ModelParameters!$B$13:$B$17,0),MATCH($J3020,ModelParameters!$D$5:$K$5,0)))</f>
        <v>0</v>
      </c>
      <c r="S3020" s="160">
        <f>IF(B3020="",0,MIN(IF($N3020="Other Bond TM",ModelParameters!$N$21,1)*(P3020*Q3020+R3020),1))</f>
        <v>0.075</v>
      </c>
      <c r="T3020" s="85">
        <f>IF(B3020="",0,$S3020*$K3020)</f>
        <v>177.50236726362892</v>
      </c>
      <c r="U3020" s="85">
        <f>IF(B3020="",0,IF(OR(H3020=MappingTables!$C$34,H3020=MappingTables!$C$35),T3020,0))</f>
        <v>0</v>
      </c>
      <c r="V3020" s="85">
        <f>IF(ISNA(IF(AND(VLOOKUP(CONCATENATE($D3020,$G3020),CSRFinput!$B:$E,4,0)=0,OR(H3020=MappingTables!$C$34,H3020=MappingTables!$C$35)),1,VLOOKUP(CONCATENATE($D3020,$G3020),CSRFinput!$B:$E,4,0))),0,IF(AND(VLOOKUP(CONCATENATE($D3020,$G3020),CSRFinput!$B:$E,4,0)=0,OR(H3020=MappingTables!$C$34,H3020=MappingTables!$C$35)),1,VLOOKUP(CONCATENATE($D3020,$G3020),CSRFinput!$B:$E,4,0)))</f>
        <v>0.054776304963434752</v>
      </c>
      <c r="W3020" s="85">
        <f>IF(B3020="",0,+$T3020*$V3020)</f>
        <v>9.722923800964136</v>
      </c>
      <c r="X3020" s="85">
        <f>IF(B3020="",0,IF(OR(H3020=MappingTables!$C$34,H3020=MappingTables!$C$35),W3020,0))</f>
        <v>0</v>
      </c>
    </row>
    <row r="3021" spans="2:24" s="0" customFormat="0" ht="15">
      <c r="B3021" s="69">
        <v>16128864</v>
      </c>
      <c r="C3021" s="70" t="s">
        <v>2503</v>
      </c>
      <c r="D3021" s="70" t="s">
        <v>1</v>
      </c>
      <c r="E3021" s="70" t="s">
        <v>1</v>
      </c>
      <c r="F3021" s="70"/>
      <c r="G3021" s="70" t="s">
        <v>61</v>
      </c>
      <c r="H3021" s="70" t="s">
        <v>178</v>
      </c>
      <c r="I3021" s="70" t="s">
        <v>181</v>
      </c>
      <c r="J3021" s="71">
        <f>IF(OR(I3021=0,I3021=""),"unrated",VLOOKUP(I3021,MappingTables!$B$19:$C$31,2,FALSE))</f>
        <v>3</v>
      </c>
      <c r="K3021" s="72">
        <v>4886.1170442983048</v>
      </c>
      <c r="L3021" s="70">
        <v>3.822837060797332</v>
      </c>
      <c r="M3021" s="71">
        <f>IF(L3021&lt;1,1,L3021)</f>
        <v>3.822837060797332</v>
      </c>
      <c r="N3021" s="70" t="s">
        <v>141</v>
      </c>
      <c r="O3021" s="71">
        <f>INDEX(DurClassMapping,MATCH(M3021,MappingTables!$D$4:$D$8,-1),1)</f>
        <v>1</v>
      </c>
      <c r="P3021" s="73">
        <f>IF(M3021=$A$1,1,$M3021-INDEX(MappingTables!$E$4:$E$8,MATCH(O3021,MappingTables!$B$4:$B$8,0)))</f>
        <v>3.822837060797332</v>
      </c>
      <c r="Q3021" s="71">
        <f>IF(B3021="",0,INDEX(ModelParameters!$D$6:$K$10,MATCH($O3021,ModelParameters!$B$6:$B$10,0),MATCH($J3021,ModelParameters!$D$5:$K$5,0)))</f>
        <v>0.025</v>
      </c>
      <c r="R3021" s="71">
        <f>IF(B3021="",0,INDEX(ModelParameters!$D$13:$K$17,MATCH($O3021,ModelParameters!$B$13:$B$17,0),MATCH($J3021,ModelParameters!$D$5:$K$5,0)))</f>
        <v>0</v>
      </c>
      <c r="S3021" s="160">
        <f>IF(B3021="",0,MIN(IF($N3021="Other Bond TM",ModelParameters!$N$21,1)*(P3021*Q3021+R3021),1))</f>
        <v>0.095570926519933312</v>
      </c>
      <c r="T3021" s="85">
        <f>IF(B3021="",0,$S3021*$K3021)</f>
        <v>466.97073300842712</v>
      </c>
      <c r="U3021" s="85">
        <f>IF(B3021="",0,IF(OR(H3021=MappingTables!$C$34,H3021=MappingTables!$C$35),T3021,0))</f>
        <v>0</v>
      </c>
      <c r="V3021" s="85">
        <f>IF(ISNA(IF(AND(VLOOKUP(CONCATENATE($D3021,$G3021),CSRFinput!$B:$E,4,0)=0,OR(H3021=MappingTables!$C$34,H3021=MappingTables!$C$35)),1,VLOOKUP(CONCATENATE($D3021,$G3021),CSRFinput!$B:$E,4,0))),0,IF(AND(VLOOKUP(CONCATENATE($D3021,$G3021),CSRFinput!$B:$E,4,0)=0,OR(H3021=MappingTables!$C$34,H3021=MappingTables!$C$35)),1,VLOOKUP(CONCATENATE($D3021,$G3021),CSRFinput!$B:$E,4,0)))</f>
        <v>0.054776304963434752</v>
      </c>
      <c r="W3021" s="85">
        <f>IF(B3021="",0,+$T3021*$V3021)</f>
        <v>25.578931280268272</v>
      </c>
      <c r="X3021" s="85">
        <f>IF(B3021="",0,IF(OR(H3021=MappingTables!$C$34,H3021=MappingTables!$C$35),W3021,0))</f>
        <v>0</v>
      </c>
    </row>
    <row r="3022" spans="2:24" s="0" customFormat="0" ht="15">
      <c r="B3022" s="69">
        <v>11911975</v>
      </c>
      <c r="C3022" s="70" t="s">
        <v>2415</v>
      </c>
      <c r="D3022" s="70" t="s">
        <v>1</v>
      </c>
      <c r="E3022" s="70" t="s">
        <v>1</v>
      </c>
      <c r="F3022" s="70"/>
      <c r="G3022" s="70" t="s">
        <v>61</v>
      </c>
      <c r="H3022" s="70" t="s">
        <v>178</v>
      </c>
      <c r="I3022" s="70" t="s">
        <v>181</v>
      </c>
      <c r="J3022" s="71">
        <f>IF(OR(I3022=0,I3022=""),"unrated",VLOOKUP(I3022,MappingTables!$B$19:$C$31,2,FALSE))</f>
        <v>3</v>
      </c>
      <c r="K3022" s="72">
        <v>1173.8386011957068</v>
      </c>
      <c r="L3022" s="70">
        <v>0.28935067830899412</v>
      </c>
      <c r="M3022" s="71">
        <f>IF(L3022&lt;1,1,L3022)</f>
        <v>1</v>
      </c>
      <c r="N3022" s="70" t="s">
        <v>141</v>
      </c>
      <c r="O3022" s="71">
        <f>INDEX(DurClassMapping,MATCH(M3022,MappingTables!$D$4:$D$8,-1),1)</f>
        <v>1</v>
      </c>
      <c r="P3022" s="73">
        <f>IF(M3022=$A$1,1,$M3022-INDEX(MappingTables!$E$4:$E$8,MATCH(O3022,MappingTables!$B$4:$B$8,0)))</f>
        <v>1</v>
      </c>
      <c r="Q3022" s="71">
        <f>IF(B3022="",0,INDEX(ModelParameters!$D$6:$K$10,MATCH($O3022,ModelParameters!$B$6:$B$10,0),MATCH($J3022,ModelParameters!$D$5:$K$5,0)))</f>
        <v>0.025</v>
      </c>
      <c r="R3022" s="71">
        <f>IF(B3022="",0,INDEX(ModelParameters!$D$13:$K$17,MATCH($O3022,ModelParameters!$B$13:$B$17,0),MATCH($J3022,ModelParameters!$D$5:$K$5,0)))</f>
        <v>0</v>
      </c>
      <c r="S3022" s="160">
        <f>IF(B3022="",0,MIN(IF($N3022="Other Bond TM",ModelParameters!$N$21,1)*(P3022*Q3022+R3022),1))</f>
        <v>0.025</v>
      </c>
      <c r="T3022" s="85">
        <f>IF(B3022="",0,$S3022*$K3022)</f>
        <v>29.345965029892672</v>
      </c>
      <c r="U3022" s="85">
        <f>IF(B3022="",0,IF(OR(H3022=MappingTables!$C$34,H3022=MappingTables!$C$35),T3022,0))</f>
        <v>0</v>
      </c>
      <c r="V3022" s="85">
        <f>IF(ISNA(IF(AND(VLOOKUP(CONCATENATE($D3022,$G3022),CSRFinput!$B:$E,4,0)=0,OR(H3022=MappingTables!$C$34,H3022=MappingTables!$C$35)),1,VLOOKUP(CONCATENATE($D3022,$G3022),CSRFinput!$B:$E,4,0))),0,IF(AND(VLOOKUP(CONCATENATE($D3022,$G3022),CSRFinput!$B:$E,4,0)=0,OR(H3022=MappingTables!$C$34,H3022=MappingTables!$C$35)),1,VLOOKUP(CONCATENATE($D3022,$G3022),CSRFinput!$B:$E,4,0)))</f>
        <v>0.054776304963434752</v>
      </c>
      <c r="W3022" s="85">
        <f>IF(B3022="",0,+$T3022*$V3022)</f>
        <v>1.6074635299236926</v>
      </c>
      <c r="X3022" s="85">
        <f>IF(B3022="",0,IF(OR(H3022=MappingTables!$C$34,H3022=MappingTables!$C$35),W3022,0))</f>
        <v>0</v>
      </c>
    </row>
    <row r="3023" spans="2:24" s="0" customFormat="0" ht="15">
      <c r="B3023" s="69">
        <v>3625061</v>
      </c>
      <c r="C3023" s="70" t="s">
        <v>1577</v>
      </c>
      <c r="D3023" s="70" t="s">
        <v>1</v>
      </c>
      <c r="E3023" s="70" t="s">
        <v>1</v>
      </c>
      <c r="F3023" s="70"/>
      <c r="G3023" s="70" t="s">
        <v>61</v>
      </c>
      <c r="H3023" s="70" t="s">
        <v>178</v>
      </c>
      <c r="I3023" s="70" t="s">
        <v>181</v>
      </c>
      <c r="J3023" s="71">
        <f>IF(OR(I3023=0,I3023=""),"unrated",VLOOKUP(I3023,MappingTables!$B$19:$C$31,2,FALSE))</f>
        <v>3</v>
      </c>
      <c r="K3023" s="72">
        <v>15.004645671001088</v>
      </c>
      <c r="L3023" s="70">
        <v>11.129810604136462</v>
      </c>
      <c r="M3023" s="71">
        <f>IF(L3023&lt;1,1,L3023)</f>
        <v>11.129810604136462</v>
      </c>
      <c r="N3023" s="70" t="s">
        <v>141</v>
      </c>
      <c r="O3023" s="71">
        <f>INDEX(DurClassMapping,MATCH(M3023,MappingTables!$D$4:$D$8,-1),1)</f>
        <v>3</v>
      </c>
      <c r="P3023" s="73">
        <f>IF(M3023=$A$1,1,$M3023-INDEX(MappingTables!$E$4:$E$8,MATCH(O3023,MappingTables!$B$4:$B$8,0)))</f>
        <v>1.1298106041364626</v>
      </c>
      <c r="Q3023" s="71">
        <f>IF(B3023="",0,INDEX(ModelParameters!$D$6:$K$10,MATCH($O3023,ModelParameters!$B$6:$B$10,0),MATCH($J3023,ModelParameters!$D$5:$K$5,0)))</f>
        <v>0.01</v>
      </c>
      <c r="R3023" s="71">
        <f>IF(B3023="",0,INDEX(ModelParameters!$D$13:$K$17,MATCH($O3023,ModelParameters!$B$13:$B$17,0),MATCH($J3023,ModelParameters!$D$5:$K$5,0)))</f>
        <v>0.2</v>
      </c>
      <c r="S3023" s="160">
        <f>IF(B3023="",0,MIN(IF($N3023="Other Bond TM",ModelParameters!$N$21,1)*(P3023*Q3023+R3023),1))</f>
        <v>0.21129810604136464</v>
      </c>
      <c r="T3023" s="85">
        <f>IF(B3023="",0,$S3023*$K3023)</f>
        <v>3.1704532121042908</v>
      </c>
      <c r="U3023" s="85">
        <f>IF(B3023="",0,IF(OR(H3023=MappingTables!$C$34,H3023=MappingTables!$C$35),T3023,0))</f>
        <v>0</v>
      </c>
      <c r="V3023" s="85">
        <f>IF(ISNA(IF(AND(VLOOKUP(CONCATENATE($D3023,$G3023),CSRFinput!$B:$E,4,0)=0,OR(H3023=MappingTables!$C$34,H3023=MappingTables!$C$35)),1,VLOOKUP(CONCATENATE($D3023,$G3023),CSRFinput!$B:$E,4,0))),0,IF(AND(VLOOKUP(CONCATENATE($D3023,$G3023),CSRFinput!$B:$E,4,0)=0,OR(H3023=MappingTables!$C$34,H3023=MappingTables!$C$35)),1,VLOOKUP(CONCATENATE($D3023,$G3023),CSRFinput!$B:$E,4,0)))</f>
        <v>0.054776304963434752</v>
      </c>
      <c r="W3023" s="85">
        <f>IF(B3023="",0,+$T3023*$V3023)</f>
        <v>0.17366571201852594</v>
      </c>
      <c r="X3023" s="85">
        <f>IF(B3023="",0,IF(OR(H3023=MappingTables!$C$34,H3023=MappingTables!$C$35),W3023,0))</f>
        <v>0</v>
      </c>
    </row>
    <row r="3024" spans="2:24" s="0" customFormat="0" ht="15">
      <c r="B3024" s="69">
        <v>17481459</v>
      </c>
      <c r="C3024" s="70" t="s">
        <v>2193</v>
      </c>
      <c r="D3024" s="70" t="s">
        <v>1</v>
      </c>
      <c r="E3024" s="70" t="s">
        <v>1</v>
      </c>
      <c r="F3024" s="70"/>
      <c r="G3024" s="70" t="s">
        <v>61</v>
      </c>
      <c r="H3024" s="70" t="s">
        <v>178</v>
      </c>
      <c r="I3024" s="70" t="s">
        <v>188</v>
      </c>
      <c r="J3024" s="71">
        <f>IF(OR(I3024=0,I3024=""),"unrated",VLOOKUP(I3024,MappingTables!$B$19:$C$31,2,FALSE))</f>
        <v>2</v>
      </c>
      <c r="K3024" s="72">
        <v>2834.724922108666</v>
      </c>
      <c r="L3024" s="70">
        <v>0.5769958872356976</v>
      </c>
      <c r="M3024" s="71">
        <f>IF(L3024&lt;1,1,L3024)</f>
        <v>1</v>
      </c>
      <c r="N3024" s="70" t="s">
        <v>141</v>
      </c>
      <c r="O3024" s="71">
        <f>INDEX(DurClassMapping,MATCH(M3024,MappingTables!$D$4:$D$8,-1),1)</f>
        <v>1</v>
      </c>
      <c r="P3024" s="73">
        <f>IF(M3024=$A$1,1,$M3024-INDEX(MappingTables!$E$4:$E$8,MATCH(O3024,MappingTables!$B$4:$B$8,0)))</f>
        <v>1</v>
      </c>
      <c r="Q3024" s="71">
        <f>IF(B3024="",0,INDEX(ModelParameters!$D$6:$K$10,MATCH($O3024,ModelParameters!$B$6:$B$10,0),MATCH($J3024,ModelParameters!$D$5:$K$5,0)))</f>
        <v>0.013999999999999998</v>
      </c>
      <c r="R3024" s="71">
        <f>IF(B3024="",0,INDEX(ModelParameters!$D$13:$K$17,MATCH($O3024,ModelParameters!$B$13:$B$17,0),MATCH($J3024,ModelParameters!$D$5:$K$5,0)))</f>
        <v>0</v>
      </c>
      <c r="S3024" s="160">
        <f>IF(B3024="",0,MIN(IF($N3024="Other Bond TM",ModelParameters!$N$21,1)*(P3024*Q3024+R3024),1))</f>
        <v>0.013999999999999998</v>
      </c>
      <c r="T3024" s="85">
        <f>IF(B3024="",0,$S3024*$K3024)</f>
        <v>39.686148909521312</v>
      </c>
      <c r="U3024" s="85">
        <f>IF(B3024="",0,IF(OR(H3024=MappingTables!$C$34,H3024=MappingTables!$C$35),T3024,0))</f>
        <v>0</v>
      </c>
      <c r="V3024" s="85">
        <f>IF(ISNA(IF(AND(VLOOKUP(CONCATENATE($D3024,$G3024),CSRFinput!$B:$E,4,0)=0,OR(H3024=MappingTables!$C$34,H3024=MappingTables!$C$35)),1,VLOOKUP(CONCATENATE($D3024,$G3024),CSRFinput!$B:$E,4,0))),0,IF(AND(VLOOKUP(CONCATENATE($D3024,$G3024),CSRFinput!$B:$E,4,0)=0,OR(H3024=MappingTables!$C$34,H3024=MappingTables!$C$35)),1,VLOOKUP(CONCATENATE($D3024,$G3024),CSRFinput!$B:$E,4,0)))</f>
        <v>0.054776304963434752</v>
      </c>
      <c r="W3024" s="85">
        <f>IF(B3024="",0,+$T3024*$V3024)</f>
        <v>2.1738605954922228</v>
      </c>
      <c r="X3024" s="85">
        <f>IF(B3024="",0,IF(OR(H3024=MappingTables!$C$34,H3024=MappingTables!$C$35),W3024,0))</f>
        <v>0</v>
      </c>
    </row>
    <row r="3025" spans="2:24" s="0" customFormat="0" ht="15">
      <c r="B3025" s="69">
        <v>20798798</v>
      </c>
      <c r="C3025" s="70" t="s">
        <v>2702</v>
      </c>
      <c r="D3025" s="70" t="s">
        <v>1</v>
      </c>
      <c r="E3025" s="70" t="s">
        <v>1</v>
      </c>
      <c r="F3025" s="70"/>
      <c r="G3025" s="70" t="s">
        <v>61</v>
      </c>
      <c r="H3025" s="70" t="s">
        <v>178</v>
      </c>
      <c r="I3025" s="70" t="s">
        <v>179</v>
      </c>
      <c r="J3025" s="71">
        <f>IF(OR(I3025=0,I3025=""),"unrated",VLOOKUP(I3025,MappingTables!$B$19:$C$31,2,FALSE))</f>
        <v>4</v>
      </c>
      <c r="K3025" s="72">
        <v>9233.8507199365856</v>
      </c>
      <c r="L3025" s="70">
        <v>4.3475045008770504</v>
      </c>
      <c r="M3025" s="71">
        <f>IF(L3025&lt;1,1,L3025)</f>
        <v>4.3475045008770504</v>
      </c>
      <c r="N3025" s="70" t="s">
        <v>141</v>
      </c>
      <c r="O3025" s="71">
        <f>INDEX(DurClassMapping,MATCH(M3025,MappingTables!$D$4:$D$8,-1),1)</f>
        <v>1</v>
      </c>
      <c r="P3025" s="73">
        <f>IF(M3025=$A$1,1,$M3025-INDEX(MappingTables!$E$4:$E$8,MATCH(O3025,MappingTables!$B$4:$B$8,0)))</f>
        <v>4.3475045008770504</v>
      </c>
      <c r="Q3025" s="71">
        <f>IF(B3025="",0,INDEX(ModelParameters!$D$6:$K$10,MATCH($O3025,ModelParameters!$B$6:$B$10,0),MATCH($J3025,ModelParameters!$D$5:$K$5,0)))</f>
        <v>0.045</v>
      </c>
      <c r="R3025" s="71">
        <f>IF(B3025="",0,INDEX(ModelParameters!$D$13:$K$17,MATCH($O3025,ModelParameters!$B$13:$B$17,0),MATCH($J3025,ModelParameters!$D$5:$K$5,0)))</f>
        <v>0</v>
      </c>
      <c r="S3025" s="160">
        <f>IF(B3025="",0,MIN(IF($N3025="Other Bond TM",ModelParameters!$N$21,1)*(P3025*Q3025+R3025),1))</f>
        <v>0.19563770253946728</v>
      </c>
      <c r="T3025" s="85">
        <f>IF(B3025="",0,$S3025*$K3025)</f>
        <v>1806.4893404407996</v>
      </c>
      <c r="U3025" s="85">
        <f>IF(B3025="",0,IF(OR(H3025=MappingTables!$C$34,H3025=MappingTables!$C$35),T3025,0))</f>
        <v>0</v>
      </c>
      <c r="V3025" s="85">
        <f>IF(ISNA(IF(AND(VLOOKUP(CONCATENATE($D3025,$G3025),CSRFinput!$B:$E,4,0)=0,OR(H3025=MappingTables!$C$34,H3025=MappingTables!$C$35)),1,VLOOKUP(CONCATENATE($D3025,$G3025),CSRFinput!$B:$E,4,0))),0,IF(AND(VLOOKUP(CONCATENATE($D3025,$G3025),CSRFinput!$B:$E,4,0)=0,OR(H3025=MappingTables!$C$34,H3025=MappingTables!$C$35)),1,VLOOKUP(CONCATENATE($D3025,$G3025),CSRFinput!$B:$E,4,0)))</f>
        <v>0.054776304963434752</v>
      </c>
      <c r="W3025" s="85">
        <f>IF(B3025="",0,+$T3025*$V3025)</f>
        <v>98.952811025179328</v>
      </c>
      <c r="X3025" s="85">
        <f>IF(B3025="",0,IF(OR(H3025=MappingTables!$C$34,H3025=MappingTables!$C$35),W3025,0))</f>
        <v>0</v>
      </c>
    </row>
    <row r="3026" spans="2:24" s="0" customFormat="0" ht="15">
      <c r="B3026" s="69">
        <v>16058106</v>
      </c>
      <c r="C3026" s="70" t="s">
        <v>850</v>
      </c>
      <c r="D3026" s="70" t="s">
        <v>1</v>
      </c>
      <c r="E3026" s="70" t="s">
        <v>1</v>
      </c>
      <c r="F3026" s="70"/>
      <c r="G3026" s="70" t="s">
        <v>61</v>
      </c>
      <c r="H3026" s="70" t="s">
        <v>178</v>
      </c>
      <c r="I3026" s="70" t="s">
        <v>188</v>
      </c>
      <c r="J3026" s="71">
        <f>IF(OR(I3026=0,I3026=""),"unrated",VLOOKUP(I3026,MappingTables!$B$19:$C$31,2,FALSE))</f>
        <v>2</v>
      </c>
      <c r="K3026" s="72">
        <v>75954.178107752384</v>
      </c>
      <c r="L3026" s="70">
        <v>2.17210464984086</v>
      </c>
      <c r="M3026" s="71">
        <f>IF(L3026&lt;1,1,L3026)</f>
        <v>2.17210464984086</v>
      </c>
      <c r="N3026" s="70" t="s">
        <v>141</v>
      </c>
      <c r="O3026" s="71">
        <f>INDEX(DurClassMapping,MATCH(M3026,MappingTables!$D$4:$D$8,-1),1)</f>
        <v>1</v>
      </c>
      <c r="P3026" s="73">
        <f>IF(M3026=$A$1,1,$M3026-INDEX(MappingTables!$E$4:$E$8,MATCH(O3026,MappingTables!$B$4:$B$8,0)))</f>
        <v>2.17210464984086</v>
      </c>
      <c r="Q3026" s="71">
        <f>IF(B3026="",0,INDEX(ModelParameters!$D$6:$K$10,MATCH($O3026,ModelParameters!$B$6:$B$10,0),MATCH($J3026,ModelParameters!$D$5:$K$5,0)))</f>
        <v>0.013999999999999998</v>
      </c>
      <c r="R3026" s="71">
        <f>IF(B3026="",0,INDEX(ModelParameters!$D$13:$K$17,MATCH($O3026,ModelParameters!$B$13:$B$17,0),MATCH($J3026,ModelParameters!$D$5:$K$5,0)))</f>
        <v>0</v>
      </c>
      <c r="S3026" s="160">
        <f>IF(B3026="",0,MIN(IF($N3026="Other Bond TM",ModelParameters!$N$21,1)*(P3026*Q3026+R3026),1))</f>
        <v>0.030409465097772032</v>
      </c>
      <c r="T3026" s="85">
        <f>IF(B3026="",0,$S3026*$K3026)</f>
        <v>2309.7259281976568</v>
      </c>
      <c r="U3026" s="85">
        <f>IF(B3026="",0,IF(OR(H3026=MappingTables!$C$34,H3026=MappingTables!$C$35),T3026,0))</f>
        <v>0</v>
      </c>
      <c r="V3026" s="85">
        <f>IF(ISNA(IF(AND(VLOOKUP(CONCATENATE($D3026,$G3026),CSRFinput!$B:$E,4,0)=0,OR(H3026=MappingTables!$C$34,H3026=MappingTables!$C$35)),1,VLOOKUP(CONCATENATE($D3026,$G3026),CSRFinput!$B:$E,4,0))),0,IF(AND(VLOOKUP(CONCATENATE($D3026,$G3026),CSRFinput!$B:$E,4,0)=0,OR(H3026=MappingTables!$C$34,H3026=MappingTables!$C$35)),1,VLOOKUP(CONCATENATE($D3026,$G3026),CSRFinput!$B:$E,4,0)))</f>
        <v>0.054776304963434752</v>
      </c>
      <c r="W3026" s="85">
        <f>IF(B3026="",0,+$T3026*$V3026)</f>
        <v>126.51825182490724</v>
      </c>
      <c r="X3026" s="85">
        <f>IF(B3026="",0,IF(OR(H3026=MappingTables!$C$34,H3026=MappingTables!$C$35),W3026,0))</f>
        <v>0</v>
      </c>
    </row>
    <row r="3027" spans="2:24" s="0" customFormat="0" ht="15">
      <c r="B3027" s="69">
        <v>20647449</v>
      </c>
      <c r="C3027" s="70" t="s">
        <v>862</v>
      </c>
      <c r="D3027" s="70" t="s">
        <v>1</v>
      </c>
      <c r="E3027" s="70" t="s">
        <v>1</v>
      </c>
      <c r="F3027" s="70"/>
      <c r="G3027" s="70" t="s">
        <v>61</v>
      </c>
      <c r="H3027" s="70" t="s">
        <v>178</v>
      </c>
      <c r="I3027" s="70" t="s">
        <v>181</v>
      </c>
      <c r="J3027" s="71">
        <f>IF(OR(I3027=0,I3027=""),"unrated",VLOOKUP(I3027,MappingTables!$B$19:$C$31,2,FALSE))</f>
        <v>3</v>
      </c>
      <c r="K3027" s="72">
        <v>20746.074738401936</v>
      </c>
      <c r="L3027" s="70">
        <v>3.9536698620611096</v>
      </c>
      <c r="M3027" s="71">
        <f>IF(L3027&lt;1,1,L3027)</f>
        <v>3.9536698620611096</v>
      </c>
      <c r="N3027" s="70" t="s">
        <v>141</v>
      </c>
      <c r="O3027" s="71">
        <f>INDEX(DurClassMapping,MATCH(M3027,MappingTables!$D$4:$D$8,-1),1)</f>
        <v>1</v>
      </c>
      <c r="P3027" s="73">
        <f>IF(M3027=$A$1,1,$M3027-INDEX(MappingTables!$E$4:$E$8,MATCH(O3027,MappingTables!$B$4:$B$8,0)))</f>
        <v>3.9536698620611096</v>
      </c>
      <c r="Q3027" s="71">
        <f>IF(B3027="",0,INDEX(ModelParameters!$D$6:$K$10,MATCH($O3027,ModelParameters!$B$6:$B$10,0),MATCH($J3027,ModelParameters!$D$5:$K$5,0)))</f>
        <v>0.025</v>
      </c>
      <c r="R3027" s="71">
        <f>IF(B3027="",0,INDEX(ModelParameters!$D$13:$K$17,MATCH($O3027,ModelParameters!$B$13:$B$17,0),MATCH($J3027,ModelParameters!$D$5:$K$5,0)))</f>
        <v>0</v>
      </c>
      <c r="S3027" s="160">
        <f>IF(B3027="",0,MIN(IF($N3027="Other Bond TM",ModelParameters!$N$21,1)*(P3027*Q3027+R3027),1))</f>
        <v>0.098841746551527728</v>
      </c>
      <c r="T3027" s="85">
        <f>IF(B3027="",0,$S3027*$K3027)</f>
        <v>2050.5782612321764</v>
      </c>
      <c r="U3027" s="85">
        <f>IF(B3027="",0,IF(OR(H3027=MappingTables!$C$34,H3027=MappingTables!$C$35),T3027,0))</f>
        <v>0</v>
      </c>
      <c r="V3027" s="85">
        <f>IF(ISNA(IF(AND(VLOOKUP(CONCATENATE($D3027,$G3027),CSRFinput!$B:$E,4,0)=0,OR(H3027=MappingTables!$C$34,H3027=MappingTables!$C$35)),1,VLOOKUP(CONCATENATE($D3027,$G3027),CSRFinput!$B:$E,4,0))),0,IF(AND(VLOOKUP(CONCATENATE($D3027,$G3027),CSRFinput!$B:$E,4,0)=0,OR(H3027=MappingTables!$C$34,H3027=MappingTables!$C$35)),1,VLOOKUP(CONCATENATE($D3027,$G3027),CSRFinput!$B:$E,4,0)))</f>
        <v>0.054776304963434752</v>
      </c>
      <c r="W3027" s="85">
        <f>IF(B3027="",0,+$T3027*$V3027)</f>
        <v>112.32310018864346</v>
      </c>
      <c r="X3027" s="85">
        <f>IF(B3027="",0,IF(OR(H3027=MappingTables!$C$34,H3027=MappingTables!$C$35),W3027,0))</f>
        <v>0</v>
      </c>
    </row>
    <row r="3028" spans="2:24" s="0" customFormat="0" ht="15">
      <c r="B3028" s="69">
        <v>18724774</v>
      </c>
      <c r="C3028" s="70" t="s">
        <v>1092</v>
      </c>
      <c r="D3028" s="70" t="s">
        <v>1</v>
      </c>
      <c r="E3028" s="70" t="s">
        <v>1</v>
      </c>
      <c r="F3028" s="70"/>
      <c r="G3028" s="70" t="s">
        <v>61</v>
      </c>
      <c r="H3028" s="70" t="s">
        <v>178</v>
      </c>
      <c r="I3028" s="70" t="s">
        <v>179</v>
      </c>
      <c r="J3028" s="71">
        <f>IF(OR(I3028=0,I3028=""),"unrated",VLOOKUP(I3028,MappingTables!$B$19:$C$31,2,FALSE))</f>
        <v>4</v>
      </c>
      <c r="K3028" s="72">
        <v>565.95487230125648</v>
      </c>
      <c r="L3028" s="70">
        <v>0.97018505831660304</v>
      </c>
      <c r="M3028" s="71">
        <f>IF(L3028&lt;1,1,L3028)</f>
        <v>1</v>
      </c>
      <c r="N3028" s="70" t="s">
        <v>141</v>
      </c>
      <c r="O3028" s="71">
        <f>INDEX(DurClassMapping,MATCH(M3028,MappingTables!$D$4:$D$8,-1),1)</f>
        <v>1</v>
      </c>
      <c r="P3028" s="73">
        <f>IF(M3028=$A$1,1,$M3028-INDEX(MappingTables!$E$4:$E$8,MATCH(O3028,MappingTables!$B$4:$B$8,0)))</f>
        <v>1</v>
      </c>
      <c r="Q3028" s="71">
        <f>IF(B3028="",0,INDEX(ModelParameters!$D$6:$K$10,MATCH($O3028,ModelParameters!$B$6:$B$10,0),MATCH($J3028,ModelParameters!$D$5:$K$5,0)))</f>
        <v>0.045</v>
      </c>
      <c r="R3028" s="71">
        <f>IF(B3028="",0,INDEX(ModelParameters!$D$13:$K$17,MATCH($O3028,ModelParameters!$B$13:$B$17,0),MATCH($J3028,ModelParameters!$D$5:$K$5,0)))</f>
        <v>0</v>
      </c>
      <c r="S3028" s="160">
        <f>IF(B3028="",0,MIN(IF($N3028="Other Bond TM",ModelParameters!$N$21,1)*(P3028*Q3028+R3028),1))</f>
        <v>0.045</v>
      </c>
      <c r="T3028" s="85">
        <f>IF(B3028="",0,$S3028*$K3028)</f>
        <v>25.467969253556544</v>
      </c>
      <c r="U3028" s="85">
        <f>IF(B3028="",0,IF(OR(H3028=MappingTables!$C$34,H3028=MappingTables!$C$35),T3028,0))</f>
        <v>0</v>
      </c>
      <c r="V3028" s="85">
        <f>IF(ISNA(IF(AND(VLOOKUP(CONCATENATE($D3028,$G3028),CSRFinput!$B:$E,4,0)=0,OR(H3028=MappingTables!$C$34,H3028=MappingTables!$C$35)),1,VLOOKUP(CONCATENATE($D3028,$G3028),CSRFinput!$B:$E,4,0))),0,IF(AND(VLOOKUP(CONCATENATE($D3028,$G3028),CSRFinput!$B:$E,4,0)=0,OR(H3028=MappingTables!$C$34,H3028=MappingTables!$C$35)),1,VLOOKUP(CONCATENATE($D3028,$G3028),CSRFinput!$B:$E,4,0)))</f>
        <v>0.054776304963434752</v>
      </c>
      <c r="W3028" s="85">
        <f>IF(B3028="",0,+$T3028*$V3028)</f>
        <v>1.395041250632193</v>
      </c>
      <c r="X3028" s="85">
        <f>IF(B3028="",0,IF(OR(H3028=MappingTables!$C$34,H3028=MappingTables!$C$35),W3028,0))</f>
        <v>0</v>
      </c>
    </row>
    <row r="3029" spans="2:24" s="0" customFormat="0" ht="15">
      <c r="B3029" s="69">
        <v>4881645</v>
      </c>
      <c r="C3029" s="70" t="s">
        <v>2214</v>
      </c>
      <c r="D3029" s="70" t="s">
        <v>1</v>
      </c>
      <c r="E3029" s="70" t="s">
        <v>1</v>
      </c>
      <c r="F3029" s="70"/>
      <c r="G3029" s="70" t="s">
        <v>61</v>
      </c>
      <c r="H3029" s="70" t="s">
        <v>178</v>
      </c>
      <c r="I3029" s="70" t="s">
        <v>179</v>
      </c>
      <c r="J3029" s="71">
        <f>IF(OR(I3029=0,I3029=""),"unrated",VLOOKUP(I3029,MappingTables!$B$19:$C$31,2,FALSE))</f>
        <v>4</v>
      </c>
      <c r="K3029" s="72">
        <v>1496.6244032036052</v>
      </c>
      <c r="L3029" s="70">
        <v>3.0586613202030332</v>
      </c>
      <c r="M3029" s="71">
        <f>IF(L3029&lt;1,1,L3029)</f>
        <v>3.0586613202030332</v>
      </c>
      <c r="N3029" s="70" t="s">
        <v>141</v>
      </c>
      <c r="O3029" s="71">
        <f>INDEX(DurClassMapping,MATCH(M3029,MappingTables!$D$4:$D$8,-1),1)</f>
        <v>1</v>
      </c>
      <c r="P3029" s="73">
        <f>IF(M3029=$A$1,1,$M3029-INDEX(MappingTables!$E$4:$E$8,MATCH(O3029,MappingTables!$B$4:$B$8,0)))</f>
        <v>3.0586613202030332</v>
      </c>
      <c r="Q3029" s="71">
        <f>IF(B3029="",0,INDEX(ModelParameters!$D$6:$K$10,MATCH($O3029,ModelParameters!$B$6:$B$10,0),MATCH($J3029,ModelParameters!$D$5:$K$5,0)))</f>
        <v>0.045</v>
      </c>
      <c r="R3029" s="71">
        <f>IF(B3029="",0,INDEX(ModelParameters!$D$13:$K$17,MATCH($O3029,ModelParameters!$B$13:$B$17,0),MATCH($J3029,ModelParameters!$D$5:$K$5,0)))</f>
        <v>0</v>
      </c>
      <c r="S3029" s="160">
        <f>IF(B3029="",0,MIN(IF($N3029="Other Bond TM",ModelParameters!$N$21,1)*(P3029*Q3029+R3029),1))</f>
        <v>0.1376397594091365</v>
      </c>
      <c r="T3029" s="85">
        <f>IF(B3029="",0,$S3029*$K3029)</f>
        <v>205.99502278278672</v>
      </c>
      <c r="U3029" s="85">
        <f>IF(B3029="",0,IF(OR(H3029=MappingTables!$C$34,H3029=MappingTables!$C$35),T3029,0))</f>
        <v>0</v>
      </c>
      <c r="V3029" s="85">
        <f>IF(ISNA(IF(AND(VLOOKUP(CONCATENATE($D3029,$G3029),CSRFinput!$B:$E,4,0)=0,OR(H3029=MappingTables!$C$34,H3029=MappingTables!$C$35)),1,VLOOKUP(CONCATENATE($D3029,$G3029),CSRFinput!$B:$E,4,0))),0,IF(AND(VLOOKUP(CONCATENATE($D3029,$G3029),CSRFinput!$B:$E,4,0)=0,OR(H3029=MappingTables!$C$34,H3029=MappingTables!$C$35)),1,VLOOKUP(CONCATENATE($D3029,$G3029),CSRFinput!$B:$E,4,0)))</f>
        <v>0.054776304963434752</v>
      </c>
      <c r="W3029" s="85">
        <f>IF(B3029="",0,+$T3029*$V3029)</f>
        <v>11.283646188899616</v>
      </c>
      <c r="X3029" s="85">
        <f>IF(B3029="",0,IF(OR(H3029=MappingTables!$C$34,H3029=MappingTables!$C$35),W3029,0))</f>
        <v>0</v>
      </c>
    </row>
    <row r="3030" spans="2:24" s="0" customFormat="0" ht="15">
      <c r="B3030" s="69">
        <v>12177002</v>
      </c>
      <c r="C3030" s="70" t="s">
        <v>2658</v>
      </c>
      <c r="D3030" s="70" t="s">
        <v>1</v>
      </c>
      <c r="E3030" s="70" t="s">
        <v>1</v>
      </c>
      <c r="F3030" s="70"/>
      <c r="G3030" s="70" t="s">
        <v>61</v>
      </c>
      <c r="H3030" s="70" t="s">
        <v>178</v>
      </c>
      <c r="I3030" s="70" t="s">
        <v>181</v>
      </c>
      <c r="J3030" s="71">
        <f>IF(OR(I3030=0,I3030=""),"unrated",VLOOKUP(I3030,MappingTables!$B$19:$C$31,2,FALSE))</f>
        <v>3</v>
      </c>
      <c r="K3030" s="72">
        <v>127.62085393918368</v>
      </c>
      <c r="L3030" s="70">
        <v>5.2623889025153888</v>
      </c>
      <c r="M3030" s="71">
        <f>IF(L3030&lt;1,1,L3030)</f>
        <v>5.2623889025153888</v>
      </c>
      <c r="N3030" s="70" t="s">
        <v>141</v>
      </c>
      <c r="O3030" s="71">
        <f>INDEX(DurClassMapping,MATCH(M3030,MappingTables!$D$4:$D$8,-1),1)</f>
        <v>2</v>
      </c>
      <c r="P3030" s="73">
        <f>IF(M3030=$A$1,1,$M3030-INDEX(MappingTables!$E$4:$E$8,MATCH(O3030,MappingTables!$B$4:$B$8,0)))</f>
        <v>0.26238890251538916</v>
      </c>
      <c r="Q3030" s="71">
        <f>IF(B3030="",0,INDEX(ModelParameters!$D$6:$K$10,MATCH($O3030,ModelParameters!$B$6:$B$10,0),MATCH($J3030,ModelParameters!$D$5:$K$5,0)))</f>
        <v>0.015</v>
      </c>
      <c r="R3030" s="71">
        <f>IF(B3030="",0,INDEX(ModelParameters!$D$13:$K$17,MATCH($O3030,ModelParameters!$B$13:$B$17,0),MATCH($J3030,ModelParameters!$D$5:$K$5,0)))</f>
        <v>0.125</v>
      </c>
      <c r="S3030" s="160">
        <f>IF(B3030="",0,MIN(IF($N3030="Other Bond TM",ModelParameters!$N$21,1)*(P3030*Q3030+R3030),1))</f>
        <v>0.12893583353773084</v>
      </c>
      <c r="T3030" s="85">
        <f>IF(B3030="",0,$S3030*$K3030)</f>
        <v>16.454901179445646</v>
      </c>
      <c r="U3030" s="85">
        <f>IF(B3030="",0,IF(OR(H3030=MappingTables!$C$34,H3030=MappingTables!$C$35),T3030,0))</f>
        <v>0</v>
      </c>
      <c r="V3030" s="85">
        <f>IF(ISNA(IF(AND(VLOOKUP(CONCATENATE($D3030,$G3030),CSRFinput!$B:$E,4,0)=0,OR(H3030=MappingTables!$C$34,H3030=MappingTables!$C$35)),1,VLOOKUP(CONCATENATE($D3030,$G3030),CSRFinput!$B:$E,4,0))),0,IF(AND(VLOOKUP(CONCATENATE($D3030,$G3030),CSRFinput!$B:$E,4,0)=0,OR(H3030=MappingTables!$C$34,H3030=MappingTables!$C$35)),1,VLOOKUP(CONCATENATE($D3030,$G3030),CSRFinput!$B:$E,4,0)))</f>
        <v>0.054776304963434752</v>
      </c>
      <c r="W3030" s="85">
        <f>IF(B3030="",0,+$T3030*$V3030)</f>
        <v>0.90133868514849696</v>
      </c>
      <c r="X3030" s="85">
        <f>IF(B3030="",0,IF(OR(H3030=MappingTables!$C$34,H3030=MappingTables!$C$35),W3030,0))</f>
        <v>0</v>
      </c>
    </row>
    <row r="3031" spans="2:24" s="0" customFormat="0" ht="15">
      <c r="B3031" s="69">
        <v>24432378</v>
      </c>
      <c r="C3031" s="70" t="s">
        <v>2568</v>
      </c>
      <c r="D3031" s="70" t="s">
        <v>1</v>
      </c>
      <c r="E3031" s="70" t="s">
        <v>1</v>
      </c>
      <c r="F3031" s="70"/>
      <c r="G3031" s="70" t="s">
        <v>61</v>
      </c>
      <c r="H3031" s="70" t="s">
        <v>178</v>
      </c>
      <c r="I3031" s="70" t="s">
        <v>181</v>
      </c>
      <c r="J3031" s="71">
        <f>IF(OR(I3031=0,I3031=""),"unrated",VLOOKUP(I3031,MappingTables!$B$19:$C$31,2,FALSE))</f>
        <v>3</v>
      </c>
      <c r="K3031" s="72">
        <v>1110.1670097972322</v>
      </c>
      <c r="L3031" s="70">
        <v>4.8340296969183632</v>
      </c>
      <c r="M3031" s="71">
        <f>IF(L3031&lt;1,1,L3031)</f>
        <v>4.8340296969183632</v>
      </c>
      <c r="N3031" s="70" t="s">
        <v>141</v>
      </c>
      <c r="O3031" s="71">
        <f>INDEX(DurClassMapping,MATCH(M3031,MappingTables!$D$4:$D$8,-1),1)</f>
        <v>1</v>
      </c>
      <c r="P3031" s="73">
        <f>IF(M3031=$A$1,1,$M3031-INDEX(MappingTables!$E$4:$E$8,MATCH(O3031,MappingTables!$B$4:$B$8,0)))</f>
        <v>4.8340296969183632</v>
      </c>
      <c r="Q3031" s="71">
        <f>IF(B3031="",0,INDEX(ModelParameters!$D$6:$K$10,MATCH($O3031,ModelParameters!$B$6:$B$10,0),MATCH($J3031,ModelParameters!$D$5:$K$5,0)))</f>
        <v>0.025</v>
      </c>
      <c r="R3031" s="71">
        <f>IF(B3031="",0,INDEX(ModelParameters!$D$13:$K$17,MATCH($O3031,ModelParameters!$B$13:$B$17,0),MATCH($J3031,ModelParameters!$D$5:$K$5,0)))</f>
        <v>0</v>
      </c>
      <c r="S3031" s="160">
        <f>IF(B3031="",0,MIN(IF($N3031="Other Bond TM",ModelParameters!$N$21,1)*(P3031*Q3031+R3031),1))</f>
        <v>0.12085074242295908</v>
      </c>
      <c r="T3031" s="85">
        <f>IF(B3031="",0,$S3031*$K3031)</f>
        <v>134.16450734747198</v>
      </c>
      <c r="U3031" s="85">
        <f>IF(B3031="",0,IF(OR(H3031=MappingTables!$C$34,H3031=MappingTables!$C$35),T3031,0))</f>
        <v>0</v>
      </c>
      <c r="V3031" s="85">
        <f>IF(ISNA(IF(AND(VLOOKUP(CONCATENATE($D3031,$G3031),CSRFinput!$B:$E,4,0)=0,OR(H3031=MappingTables!$C$34,H3031=MappingTables!$C$35)),1,VLOOKUP(CONCATENATE($D3031,$G3031),CSRFinput!$B:$E,4,0))),0,IF(AND(VLOOKUP(CONCATENATE($D3031,$G3031),CSRFinput!$B:$E,4,0)=0,OR(H3031=MappingTables!$C$34,H3031=MappingTables!$C$35)),1,VLOOKUP(CONCATENATE($D3031,$G3031),CSRFinput!$B:$E,4,0)))</f>
        <v>0.054776304963434752</v>
      </c>
      <c r="W3031" s="85">
        <f>IF(B3031="",0,+$T3031*$V3031)</f>
        <v>7.3490359697341072</v>
      </c>
      <c r="X3031" s="85">
        <f>IF(B3031="",0,IF(OR(H3031=MappingTables!$C$34,H3031=MappingTables!$C$35),W3031,0))</f>
        <v>0</v>
      </c>
    </row>
    <row r="3032" spans="2:24" s="0" customFormat="0" ht="15">
      <c r="B3032" s="69">
        <v>22927476</v>
      </c>
      <c r="C3032" s="70" t="s">
        <v>2703</v>
      </c>
      <c r="D3032" s="70" t="s">
        <v>1</v>
      </c>
      <c r="E3032" s="70" t="s">
        <v>1</v>
      </c>
      <c r="F3032" s="70"/>
      <c r="G3032" s="70" t="s">
        <v>61</v>
      </c>
      <c r="H3032" s="70" t="s">
        <v>178</v>
      </c>
      <c r="I3032" s="70" t="s">
        <v>216</v>
      </c>
      <c r="J3032" s="71">
        <f>IF(OR(I3032=0,I3032=""),"unrated",VLOOKUP(I3032,MappingTables!$B$19:$C$31,2,FALSE))</f>
        <v>0</v>
      </c>
      <c r="K3032" s="72">
        <v>3087.3801531284224</v>
      </c>
      <c r="L3032" s="70">
        <v>0.2301372847254758</v>
      </c>
      <c r="M3032" s="71">
        <f>IF(L3032&lt;1,1,L3032)</f>
        <v>1</v>
      </c>
      <c r="N3032" s="70" t="s">
        <v>141</v>
      </c>
      <c r="O3032" s="71">
        <f>INDEX(DurClassMapping,MATCH(M3032,MappingTables!$D$4:$D$8,-1),1)</f>
        <v>1</v>
      </c>
      <c r="P3032" s="73">
        <f>IF(M3032=$A$1,1,$M3032-INDEX(MappingTables!$E$4:$E$8,MATCH(O3032,MappingTables!$B$4:$B$8,0)))</f>
        <v>1</v>
      </c>
      <c r="Q3032" s="71">
        <f>IF(B3032="",0,INDEX(ModelParameters!$D$6:$K$10,MATCH($O3032,ModelParameters!$B$6:$B$10,0),MATCH($J3032,ModelParameters!$D$5:$K$5,0)))</f>
        <v>0.0090000000000000016</v>
      </c>
      <c r="R3032" s="71">
        <f>IF(B3032="",0,INDEX(ModelParameters!$D$13:$K$17,MATCH($O3032,ModelParameters!$B$13:$B$17,0),MATCH($J3032,ModelParameters!$D$5:$K$5,0)))</f>
        <v>0</v>
      </c>
      <c r="S3032" s="160">
        <f>IF(B3032="",0,MIN(IF($N3032="Other Bond TM",ModelParameters!$N$21,1)*(P3032*Q3032+R3032),1))</f>
        <v>0.0090000000000000016</v>
      </c>
      <c r="T3032" s="85">
        <f>IF(B3032="",0,$S3032*$K3032)</f>
        <v>27.786421378155808</v>
      </c>
      <c r="U3032" s="85">
        <f>IF(B3032="",0,IF(OR(H3032=MappingTables!$C$34,H3032=MappingTables!$C$35),T3032,0))</f>
        <v>0</v>
      </c>
      <c r="V3032" s="85">
        <f>IF(ISNA(IF(AND(VLOOKUP(CONCATENATE($D3032,$G3032),CSRFinput!$B:$E,4,0)=0,OR(H3032=MappingTables!$C$34,H3032=MappingTables!$C$35)),1,VLOOKUP(CONCATENATE($D3032,$G3032),CSRFinput!$B:$E,4,0))),0,IF(AND(VLOOKUP(CONCATENATE($D3032,$G3032),CSRFinput!$B:$E,4,0)=0,OR(H3032=MappingTables!$C$34,H3032=MappingTables!$C$35)),1,VLOOKUP(CONCATENATE($D3032,$G3032),CSRFinput!$B:$E,4,0)))</f>
        <v>0.054776304963434752</v>
      </c>
      <c r="W3032" s="85">
        <f>IF(B3032="",0,+$T3032*$V3032)</f>
        <v>1.5220374912523656</v>
      </c>
      <c r="X3032" s="85">
        <f>IF(B3032="",0,IF(OR(H3032=MappingTables!$C$34,H3032=MappingTables!$C$35),W3032,0))</f>
        <v>0</v>
      </c>
    </row>
    <row r="3033" spans="2:24" s="0" customFormat="0" ht="15">
      <c r="B3033" s="69">
        <v>22698143</v>
      </c>
      <c r="C3033" s="70" t="s">
        <v>1563</v>
      </c>
      <c r="D3033" s="70" t="s">
        <v>1</v>
      </c>
      <c r="E3033" s="70" t="s">
        <v>1</v>
      </c>
      <c r="F3033" s="70"/>
      <c r="G3033" s="70" t="s">
        <v>61</v>
      </c>
      <c r="H3033" s="70" t="s">
        <v>178</v>
      </c>
      <c r="I3033" s="70" t="s">
        <v>179</v>
      </c>
      <c r="J3033" s="71">
        <f>IF(OR(I3033=0,I3033=""),"unrated",VLOOKUP(I3033,MappingTables!$B$19:$C$31,2,FALSE))</f>
        <v>4</v>
      </c>
      <c r="K3033" s="72">
        <v>185.92173036253656</v>
      </c>
      <c r="L3033" s="70">
        <v>2.3465338609374232</v>
      </c>
      <c r="M3033" s="71">
        <f>IF(L3033&lt;1,1,L3033)</f>
        <v>2.3465338609374232</v>
      </c>
      <c r="N3033" s="70" t="s">
        <v>141</v>
      </c>
      <c r="O3033" s="71">
        <f>INDEX(DurClassMapping,MATCH(M3033,MappingTables!$D$4:$D$8,-1),1)</f>
        <v>1</v>
      </c>
      <c r="P3033" s="73">
        <f>IF(M3033=$A$1,1,$M3033-INDEX(MappingTables!$E$4:$E$8,MATCH(O3033,MappingTables!$B$4:$B$8,0)))</f>
        <v>2.3465338609374232</v>
      </c>
      <c r="Q3033" s="71">
        <f>IF(B3033="",0,INDEX(ModelParameters!$D$6:$K$10,MATCH($O3033,ModelParameters!$B$6:$B$10,0),MATCH($J3033,ModelParameters!$D$5:$K$5,0)))</f>
        <v>0.045</v>
      </c>
      <c r="R3033" s="71">
        <f>IF(B3033="",0,INDEX(ModelParameters!$D$13:$K$17,MATCH($O3033,ModelParameters!$B$13:$B$17,0),MATCH($J3033,ModelParameters!$D$5:$K$5,0)))</f>
        <v>0</v>
      </c>
      <c r="S3033" s="160">
        <f>IF(B3033="",0,MIN(IF($N3033="Other Bond TM",ModelParameters!$N$21,1)*(P3033*Q3033+R3033),1))</f>
        <v>0.10559402374218404</v>
      </c>
      <c r="T3033" s="85">
        <f>IF(B3033="",0,$S3033*$K3033)</f>
        <v>19.63222361008962</v>
      </c>
      <c r="U3033" s="85">
        <f>IF(B3033="",0,IF(OR(H3033=MappingTables!$C$34,H3033=MappingTables!$C$35),T3033,0))</f>
        <v>0</v>
      </c>
      <c r="V3033" s="85">
        <f>IF(ISNA(IF(AND(VLOOKUP(CONCATENATE($D3033,$G3033),CSRFinput!$B:$E,4,0)=0,OR(H3033=MappingTables!$C$34,H3033=MappingTables!$C$35)),1,VLOOKUP(CONCATENATE($D3033,$G3033),CSRFinput!$B:$E,4,0))),0,IF(AND(VLOOKUP(CONCATENATE($D3033,$G3033),CSRFinput!$B:$E,4,0)=0,OR(H3033=MappingTables!$C$34,H3033=MappingTables!$C$35)),1,VLOOKUP(CONCATENATE($D3033,$G3033),CSRFinput!$B:$E,4,0)))</f>
        <v>0.054776304963434752</v>
      </c>
      <c r="W3033" s="85">
        <f>IF(B3033="",0,+$T3033*$V3033)</f>
        <v>1.0753806675766132</v>
      </c>
      <c r="X3033" s="85">
        <f>IF(B3033="",0,IF(OR(H3033=MappingTables!$C$34,H3033=MappingTables!$C$35),W3033,0))</f>
        <v>0</v>
      </c>
    </row>
    <row r="3034" spans="2:24" s="0" customFormat="0" ht="15">
      <c r="B3034" s="69">
        <v>18651825</v>
      </c>
      <c r="C3034" s="70" t="s">
        <v>2704</v>
      </c>
      <c r="D3034" s="70" t="s">
        <v>1</v>
      </c>
      <c r="E3034" s="70" t="s">
        <v>1</v>
      </c>
      <c r="F3034" s="70"/>
      <c r="G3034" s="70" t="s">
        <v>61</v>
      </c>
      <c r="H3034" s="70" t="s">
        <v>178</v>
      </c>
      <c r="I3034" s="70" t="s">
        <v>188</v>
      </c>
      <c r="J3034" s="71">
        <f>IF(OR(I3034=0,I3034=""),"unrated",VLOOKUP(I3034,MappingTables!$B$19:$C$31,2,FALSE))</f>
        <v>2</v>
      </c>
      <c r="K3034" s="72">
        <v>1474117.2409057618</v>
      </c>
      <c r="L3034" s="70">
        <v>9.5817509356586544</v>
      </c>
      <c r="M3034" s="71">
        <f>IF(L3034&lt;1,1,L3034)</f>
        <v>9.5817509356586544</v>
      </c>
      <c r="N3034" s="70" t="s">
        <v>141</v>
      </c>
      <c r="O3034" s="71">
        <f>INDEX(DurClassMapping,MATCH(M3034,MappingTables!$D$4:$D$8,-1),1)</f>
        <v>2</v>
      </c>
      <c r="P3034" s="73">
        <f>IF(M3034=$A$1,1,$M3034-INDEX(MappingTables!$E$4:$E$8,MATCH(O3034,MappingTables!$B$4:$B$8,0)))</f>
        <v>4.5817509356586544</v>
      </c>
      <c r="Q3034" s="71">
        <f>IF(B3034="",0,INDEX(ModelParameters!$D$6:$K$10,MATCH($O3034,ModelParameters!$B$6:$B$10,0),MATCH($J3034,ModelParameters!$D$5:$K$5,0)))</f>
        <v>0.0069999999999999992</v>
      </c>
      <c r="R3034" s="71">
        <f>IF(B3034="",0,INDEX(ModelParameters!$D$13:$K$17,MATCH($O3034,ModelParameters!$B$13:$B$17,0),MATCH($J3034,ModelParameters!$D$5:$K$5,0)))</f>
        <v>0.070000000000000008</v>
      </c>
      <c r="S3034" s="160">
        <f>IF(B3034="",0,MIN(IF($N3034="Other Bond TM",ModelParameters!$N$21,1)*(P3034*Q3034+R3034),1))</f>
        <v>0.10207225654961058</v>
      </c>
      <c r="T3034" s="85">
        <f>IF(B3034="",0,$S3034*$K3034)</f>
        <v>150466.47319793702</v>
      </c>
      <c r="U3034" s="85">
        <f>IF(B3034="",0,IF(OR(H3034=MappingTables!$C$34,H3034=MappingTables!$C$35),T3034,0))</f>
        <v>0</v>
      </c>
      <c r="V3034" s="85">
        <f>IF(ISNA(IF(AND(VLOOKUP(CONCATENATE($D3034,$G3034),CSRFinput!$B:$E,4,0)=0,OR(H3034=MappingTables!$C$34,H3034=MappingTables!$C$35)),1,VLOOKUP(CONCATENATE($D3034,$G3034),CSRFinput!$B:$E,4,0))),0,IF(AND(VLOOKUP(CONCATENATE($D3034,$G3034),CSRFinput!$B:$E,4,0)=0,OR(H3034=MappingTables!$C$34,H3034=MappingTables!$C$35)),1,VLOOKUP(CONCATENATE($D3034,$G3034),CSRFinput!$B:$E,4,0)))</f>
        <v>0.054776304963434752</v>
      </c>
      <c r="W3034" s="85">
        <f>IF(B3034="",0,+$T3034*$V3034)</f>
        <v>8241.99742266268</v>
      </c>
      <c r="X3034" s="85">
        <f>IF(B3034="",0,IF(OR(H3034=MappingTables!$C$34,H3034=MappingTables!$C$35),W3034,0))</f>
        <v>0</v>
      </c>
    </row>
    <row r="3035" spans="2:24" s="0" customFormat="0" ht="15">
      <c r="B3035" s="69">
        <v>23654834</v>
      </c>
      <c r="C3035" s="70" t="s">
        <v>2665</v>
      </c>
      <c r="D3035" s="70" t="s">
        <v>1</v>
      </c>
      <c r="E3035" s="70" t="s">
        <v>1</v>
      </c>
      <c r="F3035" s="70"/>
      <c r="G3035" s="70" t="s">
        <v>61</v>
      </c>
      <c r="H3035" s="70" t="s">
        <v>178</v>
      </c>
      <c r="I3035" s="70" t="s">
        <v>188</v>
      </c>
      <c r="J3035" s="71">
        <f>IF(OR(I3035=0,I3035=""),"unrated",VLOOKUP(I3035,MappingTables!$B$19:$C$31,2,FALSE))</f>
        <v>2</v>
      </c>
      <c r="K3035" s="72">
        <v>4399.790211958716</v>
      </c>
      <c r="L3035" s="70">
        <v>2.4863335117998416</v>
      </c>
      <c r="M3035" s="71">
        <f>IF(L3035&lt;1,1,L3035)</f>
        <v>2.4863335117998416</v>
      </c>
      <c r="N3035" s="70" t="s">
        <v>141</v>
      </c>
      <c r="O3035" s="71">
        <f>INDEX(DurClassMapping,MATCH(M3035,MappingTables!$D$4:$D$8,-1),1)</f>
        <v>1</v>
      </c>
      <c r="P3035" s="73">
        <f>IF(M3035=$A$1,1,$M3035-INDEX(MappingTables!$E$4:$E$8,MATCH(O3035,MappingTables!$B$4:$B$8,0)))</f>
        <v>2.4863335117998416</v>
      </c>
      <c r="Q3035" s="71">
        <f>IF(B3035="",0,INDEX(ModelParameters!$D$6:$K$10,MATCH($O3035,ModelParameters!$B$6:$B$10,0),MATCH($J3035,ModelParameters!$D$5:$K$5,0)))</f>
        <v>0.013999999999999998</v>
      </c>
      <c r="R3035" s="71">
        <f>IF(B3035="",0,INDEX(ModelParameters!$D$13:$K$17,MATCH($O3035,ModelParameters!$B$13:$B$17,0),MATCH($J3035,ModelParameters!$D$5:$K$5,0)))</f>
        <v>0</v>
      </c>
      <c r="S3035" s="160">
        <f>IF(B3035="",0,MIN(IF($N3035="Other Bond TM",ModelParameters!$N$21,1)*(P3035*Q3035+R3035),1))</f>
        <v>0.03480866916519778</v>
      </c>
      <c r="T3035" s="85">
        <f>IF(B3035="",0,$S3035*$K3035)</f>
        <v>153.15084188434636</v>
      </c>
      <c r="U3035" s="85">
        <f>IF(B3035="",0,IF(OR(H3035=MappingTables!$C$34,H3035=MappingTables!$C$35),T3035,0))</f>
        <v>0</v>
      </c>
      <c r="V3035" s="85">
        <f>IF(ISNA(IF(AND(VLOOKUP(CONCATENATE($D3035,$G3035),CSRFinput!$B:$E,4,0)=0,OR(H3035=MappingTables!$C$34,H3035=MappingTables!$C$35)),1,VLOOKUP(CONCATENATE($D3035,$G3035),CSRFinput!$B:$E,4,0))),0,IF(AND(VLOOKUP(CONCATENATE($D3035,$G3035),CSRFinput!$B:$E,4,0)=0,OR(H3035=MappingTables!$C$34,H3035=MappingTables!$C$35)),1,VLOOKUP(CONCATENATE($D3035,$G3035),CSRFinput!$B:$E,4,0)))</f>
        <v>0.054776304963434752</v>
      </c>
      <c r="W3035" s="85">
        <f>IF(B3035="",0,+$T3035*$V3035)</f>
        <v>8.3890372204637328</v>
      </c>
      <c r="X3035" s="85">
        <f>IF(B3035="",0,IF(OR(H3035=MappingTables!$C$34,H3035=MappingTables!$C$35),W3035,0))</f>
        <v>0</v>
      </c>
    </row>
    <row r="3036" spans="2:24" s="0" customFormat="0" ht="15">
      <c r="B3036" s="69">
        <v>23299441</v>
      </c>
      <c r="C3036" s="70" t="s">
        <v>2258</v>
      </c>
      <c r="D3036" s="70" t="s">
        <v>1</v>
      </c>
      <c r="E3036" s="70" t="s">
        <v>1</v>
      </c>
      <c r="F3036" s="70"/>
      <c r="G3036" s="70" t="s">
        <v>61</v>
      </c>
      <c r="H3036" s="70" t="s">
        <v>178</v>
      </c>
      <c r="I3036" s="70" t="s">
        <v>184</v>
      </c>
      <c r="J3036" s="71">
        <f>IF(OR(I3036=0,I3036=""),"unrated",VLOOKUP(I3036,MappingTables!$B$19:$C$31,2,FALSE))</f>
        <v>5</v>
      </c>
      <c r="K3036" s="72">
        <v>827.6615928524168</v>
      </c>
      <c r="L3036" s="70">
        <v>2.190039694834122</v>
      </c>
      <c r="M3036" s="71">
        <f>IF(L3036&lt;1,1,L3036)</f>
        <v>2.190039694834122</v>
      </c>
      <c r="N3036" s="70" t="s">
        <v>141</v>
      </c>
      <c r="O3036" s="71">
        <f>INDEX(DurClassMapping,MATCH(M3036,MappingTables!$D$4:$D$8,-1),1)</f>
        <v>1</v>
      </c>
      <c r="P3036" s="73">
        <f>IF(M3036=$A$1,1,$M3036-INDEX(MappingTables!$E$4:$E$8,MATCH(O3036,MappingTables!$B$4:$B$8,0)))</f>
        <v>2.190039694834122</v>
      </c>
      <c r="Q3036" s="71">
        <f>IF(B3036="",0,INDEX(ModelParameters!$D$6:$K$10,MATCH($O3036,ModelParameters!$B$6:$B$10,0),MATCH($J3036,ModelParameters!$D$5:$K$5,0)))</f>
        <v>0.075</v>
      </c>
      <c r="R3036" s="71">
        <f>IF(B3036="",0,INDEX(ModelParameters!$D$13:$K$17,MATCH($O3036,ModelParameters!$B$13:$B$17,0),MATCH($J3036,ModelParameters!$D$5:$K$5,0)))</f>
        <v>0</v>
      </c>
      <c r="S3036" s="160">
        <f>IF(B3036="",0,MIN(IF($N3036="Other Bond TM",ModelParameters!$N$21,1)*(P3036*Q3036+R3036),1))</f>
        <v>0.16425297711255912</v>
      </c>
      <c r="T3036" s="85">
        <f>IF(B3036="",0,$S3036*$K3036)</f>
        <v>135.94588066773224</v>
      </c>
      <c r="U3036" s="85">
        <f>IF(B3036="",0,IF(OR(H3036=MappingTables!$C$34,H3036=MappingTables!$C$35),T3036,0))</f>
        <v>0</v>
      </c>
      <c r="V3036" s="85">
        <f>IF(ISNA(IF(AND(VLOOKUP(CONCATENATE($D3036,$G3036),CSRFinput!$B:$E,4,0)=0,OR(H3036=MappingTables!$C$34,H3036=MappingTables!$C$35)),1,VLOOKUP(CONCATENATE($D3036,$G3036),CSRFinput!$B:$E,4,0))),0,IF(AND(VLOOKUP(CONCATENATE($D3036,$G3036),CSRFinput!$B:$E,4,0)=0,OR(H3036=MappingTables!$C$34,H3036=MappingTables!$C$35)),1,VLOOKUP(CONCATENATE($D3036,$G3036),CSRFinput!$B:$E,4,0)))</f>
        <v>0.054776304963434752</v>
      </c>
      <c r="W3036" s="85">
        <f>IF(B3036="",0,+$T3036*$V3036)</f>
        <v>7.4466130179784096</v>
      </c>
      <c r="X3036" s="85">
        <f>IF(B3036="",0,IF(OR(H3036=MappingTables!$C$34,H3036=MappingTables!$C$35),W3036,0))</f>
        <v>0</v>
      </c>
    </row>
    <row r="3037" spans="2:24" s="0" customFormat="0" ht="15">
      <c r="B3037" s="69" t="s">
        <v>2110</v>
      </c>
      <c r="C3037" s="70" t="s">
        <v>2111</v>
      </c>
      <c r="D3037" s="70" t="s">
        <v>1</v>
      </c>
      <c r="E3037" s="70" t="s">
        <v>1</v>
      </c>
      <c r="F3037" s="70"/>
      <c r="G3037" s="70" t="s">
        <v>61</v>
      </c>
      <c r="H3037" s="70" t="s">
        <v>178</v>
      </c>
      <c r="I3037" s="70" t="s">
        <v>204</v>
      </c>
      <c r="J3037" s="71">
        <f>IF(OR(I3037=0,I3037=""),"unrated",VLOOKUP(I3037,MappingTables!$B$19:$C$31,2,FALSE))</f>
        <v>6</v>
      </c>
      <c r="K3037" s="72">
        <v>1923.3640875673028</v>
      </c>
      <c r="L3037" s="70">
        <v>0.08767203525916776</v>
      </c>
      <c r="M3037" s="71">
        <f>IF(L3037&lt;1,1,L3037)</f>
        <v>1</v>
      </c>
      <c r="N3037" s="70" t="s">
        <v>141</v>
      </c>
      <c r="O3037" s="71">
        <f>INDEX(DurClassMapping,MATCH(M3037,MappingTables!$D$4:$D$8,-1),1)</f>
        <v>1</v>
      </c>
      <c r="P3037" s="73">
        <f>IF(M3037=$A$1,1,$M3037-INDEX(MappingTables!$E$4:$E$8,MATCH(O3037,MappingTables!$B$4:$B$8,0)))</f>
        <v>1</v>
      </c>
      <c r="Q3037" s="71">
        <f>IF(B3037="",0,INDEX(ModelParameters!$D$6:$K$10,MATCH($O3037,ModelParameters!$B$6:$B$10,0),MATCH($J3037,ModelParameters!$D$5:$K$5,0)))</f>
        <v>0.075</v>
      </c>
      <c r="R3037" s="71">
        <f>IF(B3037="",0,INDEX(ModelParameters!$D$13:$K$17,MATCH($O3037,ModelParameters!$B$13:$B$17,0),MATCH($J3037,ModelParameters!$D$5:$K$5,0)))</f>
        <v>0</v>
      </c>
      <c r="S3037" s="160">
        <f>IF(B3037="",0,MIN(IF($N3037="Other Bond TM",ModelParameters!$N$21,1)*(P3037*Q3037+R3037),1))</f>
        <v>0.075</v>
      </c>
      <c r="T3037" s="85">
        <f>IF(B3037="",0,$S3037*$K3037)</f>
        <v>144.2523065675477</v>
      </c>
      <c r="U3037" s="85">
        <f>IF(B3037="",0,IF(OR(H3037=MappingTables!$C$34,H3037=MappingTables!$C$35),T3037,0))</f>
        <v>0</v>
      </c>
      <c r="V3037" s="85">
        <f>IF(ISNA(IF(AND(VLOOKUP(CONCATENATE($D3037,$G3037),CSRFinput!$B:$E,4,0)=0,OR(H3037=MappingTables!$C$34,H3037=MappingTables!$C$35)),1,VLOOKUP(CONCATENATE($D3037,$G3037),CSRFinput!$B:$E,4,0))),0,IF(AND(VLOOKUP(CONCATENATE($D3037,$G3037),CSRFinput!$B:$E,4,0)=0,OR(H3037=MappingTables!$C$34,H3037=MappingTables!$C$35)),1,VLOOKUP(CONCATENATE($D3037,$G3037),CSRFinput!$B:$E,4,0)))</f>
        <v>0.054776304963434752</v>
      </c>
      <c r="W3037" s="85">
        <f>IF(B3037="",0,+$T3037*$V3037)</f>
        <v>7.9016083362228736</v>
      </c>
      <c r="X3037" s="85">
        <f>IF(B3037="",0,IF(OR(H3037=MappingTables!$C$34,H3037=MappingTables!$C$35),W3037,0))</f>
        <v>0</v>
      </c>
    </row>
    <row r="3038" spans="2:24" s="0" customFormat="0" ht="15">
      <c r="B3038" s="69">
        <v>21521372</v>
      </c>
      <c r="C3038" s="70" t="s">
        <v>2705</v>
      </c>
      <c r="D3038" s="70" t="s">
        <v>1</v>
      </c>
      <c r="E3038" s="70" t="s">
        <v>1</v>
      </c>
      <c r="F3038" s="70"/>
      <c r="G3038" s="70" t="s">
        <v>61</v>
      </c>
      <c r="H3038" s="70" t="s">
        <v>178</v>
      </c>
      <c r="I3038" s="70" t="s">
        <v>179</v>
      </c>
      <c r="J3038" s="71">
        <f>IF(OR(I3038=0,I3038=""),"unrated",VLOOKUP(I3038,MappingTables!$B$19:$C$31,2,FALSE))</f>
        <v>4</v>
      </c>
      <c r="K3038" s="72">
        <v>20.457347589153976</v>
      </c>
      <c r="L3038" s="70">
        <v>2.051211248677756</v>
      </c>
      <c r="M3038" s="71">
        <f>IF(L3038&lt;1,1,L3038)</f>
        <v>2.051211248677756</v>
      </c>
      <c r="N3038" s="70" t="s">
        <v>141</v>
      </c>
      <c r="O3038" s="71">
        <f>INDEX(DurClassMapping,MATCH(M3038,MappingTables!$D$4:$D$8,-1),1)</f>
        <v>1</v>
      </c>
      <c r="P3038" s="73">
        <f>IF(M3038=$A$1,1,$M3038-INDEX(MappingTables!$E$4:$E$8,MATCH(O3038,MappingTables!$B$4:$B$8,0)))</f>
        <v>2.051211248677756</v>
      </c>
      <c r="Q3038" s="71">
        <f>IF(B3038="",0,INDEX(ModelParameters!$D$6:$K$10,MATCH($O3038,ModelParameters!$B$6:$B$10,0),MATCH($J3038,ModelParameters!$D$5:$K$5,0)))</f>
        <v>0.045</v>
      </c>
      <c r="R3038" s="71">
        <f>IF(B3038="",0,INDEX(ModelParameters!$D$13:$K$17,MATCH($O3038,ModelParameters!$B$13:$B$17,0),MATCH($J3038,ModelParameters!$D$5:$K$5,0)))</f>
        <v>0</v>
      </c>
      <c r="S3038" s="160">
        <f>IF(B3038="",0,MIN(IF($N3038="Other Bond TM",ModelParameters!$N$21,1)*(P3038*Q3038+R3038),1))</f>
        <v>0.092304506190499008</v>
      </c>
      <c r="T3038" s="85">
        <f>IF(B3038="",0,$S3038*$K3038)</f>
        <v>1.8883053671842532</v>
      </c>
      <c r="U3038" s="85">
        <f>IF(B3038="",0,IF(OR(H3038=MappingTables!$C$34,H3038=MappingTables!$C$35),T3038,0))</f>
        <v>0</v>
      </c>
      <c r="V3038" s="85">
        <f>IF(ISNA(IF(AND(VLOOKUP(CONCATENATE($D3038,$G3038),CSRFinput!$B:$E,4,0)=0,OR(H3038=MappingTables!$C$34,H3038=MappingTables!$C$35)),1,VLOOKUP(CONCATENATE($D3038,$G3038),CSRFinput!$B:$E,4,0))),0,IF(AND(VLOOKUP(CONCATENATE($D3038,$G3038),CSRFinput!$B:$E,4,0)=0,OR(H3038=MappingTables!$C$34,H3038=MappingTables!$C$35)),1,VLOOKUP(CONCATENATE($D3038,$G3038),CSRFinput!$B:$E,4,0)))</f>
        <v>0.054776304963434752</v>
      </c>
      <c r="W3038" s="85">
        <f>IF(B3038="",0,+$T3038*$V3038)</f>
        <v>0.1034343906569753</v>
      </c>
      <c r="X3038" s="85">
        <f>IF(B3038="",0,IF(OR(H3038=MappingTables!$C$34,H3038=MappingTables!$C$35),W3038,0))</f>
        <v>0</v>
      </c>
    </row>
    <row r="3039" spans="2:24" s="0" customFormat="0" ht="15">
      <c r="B3039" s="69">
        <v>22857467</v>
      </c>
      <c r="C3039" s="70" t="s">
        <v>201</v>
      </c>
      <c r="D3039" s="70" t="s">
        <v>1</v>
      </c>
      <c r="E3039" s="70" t="s">
        <v>1</v>
      </c>
      <c r="F3039" s="70"/>
      <c r="G3039" s="70" t="s">
        <v>61</v>
      </c>
      <c r="H3039" s="70" t="s">
        <v>178</v>
      </c>
      <c r="I3039" s="70" t="s">
        <v>188</v>
      </c>
      <c r="J3039" s="71">
        <f>IF(OR(I3039=0,I3039=""),"unrated",VLOOKUP(I3039,MappingTables!$B$19:$C$31,2,FALSE))</f>
        <v>2</v>
      </c>
      <c r="K3039" s="72">
        <v>2406.0583973055568</v>
      </c>
      <c r="L3039" s="70">
        <v>2.2987275115994376</v>
      </c>
      <c r="M3039" s="71">
        <f>IF(L3039&lt;1,1,L3039)</f>
        <v>2.2987275115994376</v>
      </c>
      <c r="N3039" s="70" t="s">
        <v>141</v>
      </c>
      <c r="O3039" s="71">
        <f>INDEX(DurClassMapping,MATCH(M3039,MappingTables!$D$4:$D$8,-1),1)</f>
        <v>1</v>
      </c>
      <c r="P3039" s="73">
        <f>IF(M3039=$A$1,1,$M3039-INDEX(MappingTables!$E$4:$E$8,MATCH(O3039,MappingTables!$B$4:$B$8,0)))</f>
        <v>2.2987275115994376</v>
      </c>
      <c r="Q3039" s="71">
        <f>IF(B3039="",0,INDEX(ModelParameters!$D$6:$K$10,MATCH($O3039,ModelParameters!$B$6:$B$10,0),MATCH($J3039,ModelParameters!$D$5:$K$5,0)))</f>
        <v>0.013999999999999998</v>
      </c>
      <c r="R3039" s="71">
        <f>IF(B3039="",0,INDEX(ModelParameters!$D$13:$K$17,MATCH($O3039,ModelParameters!$B$13:$B$17,0),MATCH($J3039,ModelParameters!$D$5:$K$5,0)))</f>
        <v>0</v>
      </c>
      <c r="S3039" s="160">
        <f>IF(B3039="",0,MIN(IF($N3039="Other Bond TM",ModelParameters!$N$21,1)*(P3039*Q3039+R3039),1))</f>
        <v>0.032182185162392124</v>
      </c>
      <c r="T3039" s="85">
        <f>IF(B3039="",0,$S3039*$K3039)</f>
        <v>77.432216853615856</v>
      </c>
      <c r="U3039" s="85">
        <f>IF(B3039="",0,IF(OR(H3039=MappingTables!$C$34,H3039=MappingTables!$C$35),T3039,0))</f>
        <v>0</v>
      </c>
      <c r="V3039" s="85">
        <f>IF(ISNA(IF(AND(VLOOKUP(CONCATENATE($D3039,$G3039),CSRFinput!$B:$E,4,0)=0,OR(H3039=MappingTables!$C$34,H3039=MappingTables!$C$35)),1,VLOOKUP(CONCATENATE($D3039,$G3039),CSRFinput!$B:$E,4,0))),0,IF(AND(VLOOKUP(CONCATENATE($D3039,$G3039),CSRFinput!$B:$E,4,0)=0,OR(H3039=MappingTables!$C$34,H3039=MappingTables!$C$35)),1,VLOOKUP(CONCATENATE($D3039,$G3039),CSRFinput!$B:$E,4,0)))</f>
        <v>0.054776304963434752</v>
      </c>
      <c r="W3039" s="85">
        <f>IF(B3039="",0,+$T3039*$V3039)</f>
        <v>4.2414507243684744</v>
      </c>
      <c r="X3039" s="85">
        <f>IF(B3039="",0,IF(OR(H3039=MappingTables!$C$34,H3039=MappingTables!$C$35),W3039,0))</f>
        <v>0</v>
      </c>
    </row>
    <row r="3040" spans="2:24" s="0" customFormat="0" ht="15">
      <c r="B3040" s="69">
        <v>12256073</v>
      </c>
      <c r="C3040" s="70" t="s">
        <v>2706</v>
      </c>
      <c r="D3040" s="70" t="s">
        <v>1</v>
      </c>
      <c r="E3040" s="70" t="s">
        <v>1</v>
      </c>
      <c r="F3040" s="70"/>
      <c r="G3040" s="70" t="s">
        <v>61</v>
      </c>
      <c r="H3040" s="70" t="s">
        <v>178</v>
      </c>
      <c r="I3040" s="70" t="s">
        <v>181</v>
      </c>
      <c r="J3040" s="71">
        <f>IF(OR(I3040=0,I3040=""),"unrated",VLOOKUP(I3040,MappingTables!$B$19:$C$31,2,FALSE))</f>
        <v>3</v>
      </c>
      <c r="K3040" s="72">
        <v>2.398989918070276</v>
      </c>
      <c r="L3040" s="70">
        <v>0.54996296476713576</v>
      </c>
      <c r="M3040" s="71">
        <f>IF(L3040&lt;1,1,L3040)</f>
        <v>1</v>
      </c>
      <c r="N3040" s="70" t="s">
        <v>141</v>
      </c>
      <c r="O3040" s="71">
        <f>INDEX(DurClassMapping,MATCH(M3040,MappingTables!$D$4:$D$8,-1),1)</f>
        <v>1</v>
      </c>
      <c r="P3040" s="73">
        <f>IF(M3040=$A$1,1,$M3040-INDEX(MappingTables!$E$4:$E$8,MATCH(O3040,MappingTables!$B$4:$B$8,0)))</f>
        <v>1</v>
      </c>
      <c r="Q3040" s="71">
        <f>IF(B3040="",0,INDEX(ModelParameters!$D$6:$K$10,MATCH($O3040,ModelParameters!$B$6:$B$10,0),MATCH($J3040,ModelParameters!$D$5:$K$5,0)))</f>
        <v>0.025</v>
      </c>
      <c r="R3040" s="71">
        <f>IF(B3040="",0,INDEX(ModelParameters!$D$13:$K$17,MATCH($O3040,ModelParameters!$B$13:$B$17,0),MATCH($J3040,ModelParameters!$D$5:$K$5,0)))</f>
        <v>0</v>
      </c>
      <c r="S3040" s="160">
        <f>IF(B3040="",0,MIN(IF($N3040="Other Bond TM",ModelParameters!$N$21,1)*(P3040*Q3040+R3040),1))</f>
        <v>0.025</v>
      </c>
      <c r="T3040" s="85">
        <f>IF(B3040="",0,$S3040*$K3040)</f>
        <v>0.059974747951756904</v>
      </c>
      <c r="U3040" s="85">
        <f>IF(B3040="",0,IF(OR(H3040=MappingTables!$C$34,H3040=MappingTables!$C$35),T3040,0))</f>
        <v>0</v>
      </c>
      <c r="V3040" s="85">
        <f>IF(ISNA(IF(AND(VLOOKUP(CONCATENATE($D3040,$G3040),CSRFinput!$B:$E,4,0)=0,OR(H3040=MappingTables!$C$34,H3040=MappingTables!$C$35)),1,VLOOKUP(CONCATENATE($D3040,$G3040),CSRFinput!$B:$E,4,0))),0,IF(AND(VLOOKUP(CONCATENATE($D3040,$G3040),CSRFinput!$B:$E,4,0)=0,OR(H3040=MappingTables!$C$34,H3040=MappingTables!$C$35)),1,VLOOKUP(CONCATENATE($D3040,$G3040),CSRFinput!$B:$E,4,0)))</f>
        <v>0.054776304963434752</v>
      </c>
      <c r="W3040" s="85">
        <f>IF(B3040="",0,+$T3040*$V3040)</f>
        <v>0.0032851950839105704</v>
      </c>
      <c r="X3040" s="85">
        <f>IF(B3040="",0,IF(OR(H3040=MappingTables!$C$34,H3040=MappingTables!$C$35),W3040,0))</f>
        <v>0</v>
      </c>
    </row>
    <row r="3041" spans="2:24" s="0" customFormat="0" ht="15">
      <c r="B3041" s="69">
        <v>19686821</v>
      </c>
      <c r="C3041" s="70" t="s">
        <v>2555</v>
      </c>
      <c r="D3041" s="70" t="s">
        <v>1</v>
      </c>
      <c r="E3041" s="70" t="s">
        <v>1</v>
      </c>
      <c r="F3041" s="70"/>
      <c r="G3041" s="70" t="s">
        <v>61</v>
      </c>
      <c r="H3041" s="70" t="s">
        <v>178</v>
      </c>
      <c r="I3041" s="70" t="s">
        <v>179</v>
      </c>
      <c r="J3041" s="71">
        <f>IF(OR(I3041=0,I3041=""),"unrated",VLOOKUP(I3041,MappingTables!$B$19:$C$31,2,FALSE))</f>
        <v>4</v>
      </c>
      <c r="K3041" s="72">
        <v>11366.405102716062</v>
      </c>
      <c r="L3041" s="70">
        <v>3.1587935072442096</v>
      </c>
      <c r="M3041" s="71">
        <f>IF(L3041&lt;1,1,L3041)</f>
        <v>3.1587935072442096</v>
      </c>
      <c r="N3041" s="70" t="s">
        <v>141</v>
      </c>
      <c r="O3041" s="71">
        <f>INDEX(DurClassMapping,MATCH(M3041,MappingTables!$D$4:$D$8,-1),1)</f>
        <v>1</v>
      </c>
      <c r="P3041" s="73">
        <f>IF(M3041=$A$1,1,$M3041-INDEX(MappingTables!$E$4:$E$8,MATCH(O3041,MappingTables!$B$4:$B$8,0)))</f>
        <v>3.1587935072442096</v>
      </c>
      <c r="Q3041" s="71">
        <f>IF(B3041="",0,INDEX(ModelParameters!$D$6:$K$10,MATCH($O3041,ModelParameters!$B$6:$B$10,0),MATCH($J3041,ModelParameters!$D$5:$K$5,0)))</f>
        <v>0.045</v>
      </c>
      <c r="R3041" s="71">
        <f>IF(B3041="",0,INDEX(ModelParameters!$D$13:$K$17,MATCH($O3041,ModelParameters!$B$13:$B$17,0),MATCH($J3041,ModelParameters!$D$5:$K$5,0)))</f>
        <v>0</v>
      </c>
      <c r="S3041" s="160">
        <f>IF(B3041="",0,MIN(IF($N3041="Other Bond TM",ModelParameters!$N$21,1)*(P3041*Q3041+R3041),1))</f>
        <v>0.14214570782598942</v>
      </c>
      <c r="T3041" s="85">
        <f>IF(B3041="",0,$S3041*$K3041)</f>
        <v>1615.6856987625126</v>
      </c>
      <c r="U3041" s="85">
        <f>IF(B3041="",0,IF(OR(H3041=MappingTables!$C$34,H3041=MappingTables!$C$35),T3041,0))</f>
        <v>0</v>
      </c>
      <c r="V3041" s="85">
        <f>IF(ISNA(IF(AND(VLOOKUP(CONCATENATE($D3041,$G3041),CSRFinput!$B:$E,4,0)=0,OR(H3041=MappingTables!$C$34,H3041=MappingTables!$C$35)),1,VLOOKUP(CONCATENATE($D3041,$G3041),CSRFinput!$B:$E,4,0))),0,IF(AND(VLOOKUP(CONCATENATE($D3041,$G3041),CSRFinput!$B:$E,4,0)=0,OR(H3041=MappingTables!$C$34,H3041=MappingTables!$C$35)),1,VLOOKUP(CONCATENATE($D3041,$G3041),CSRFinput!$B:$E,4,0)))</f>
        <v>0.054776304963434752</v>
      </c>
      <c r="W3041" s="85">
        <f>IF(B3041="",0,+$T3041*$V3041)</f>
        <v>88.501292560475568</v>
      </c>
      <c r="X3041" s="85">
        <f>IF(B3041="",0,IF(OR(H3041=MappingTables!$C$34,H3041=MappingTables!$C$35),W3041,0))</f>
        <v>0</v>
      </c>
    </row>
    <row r="3042" spans="2:24" s="0" customFormat="0" ht="15">
      <c r="B3042" s="69">
        <v>17346000</v>
      </c>
      <c r="C3042" s="70" t="s">
        <v>2707</v>
      </c>
      <c r="D3042" s="70" t="s">
        <v>1</v>
      </c>
      <c r="E3042" s="70" t="s">
        <v>1</v>
      </c>
      <c r="F3042" s="70"/>
      <c r="G3042" s="70" t="s">
        <v>61</v>
      </c>
      <c r="H3042" s="70" t="s">
        <v>178</v>
      </c>
      <c r="I3042" s="70" t="s">
        <v>179</v>
      </c>
      <c r="J3042" s="71">
        <f>IF(OR(I3042=0,I3042=""),"unrated",VLOOKUP(I3042,MappingTables!$B$19:$C$31,2,FALSE))</f>
        <v>4</v>
      </c>
      <c r="K3042" s="72">
        <v>13472.834062060084</v>
      </c>
      <c r="L3042" s="70">
        <v>0.087675831436771952</v>
      </c>
      <c r="M3042" s="71">
        <f>IF(L3042&lt;1,1,L3042)</f>
        <v>1</v>
      </c>
      <c r="N3042" s="70" t="s">
        <v>141</v>
      </c>
      <c r="O3042" s="71">
        <f>INDEX(DurClassMapping,MATCH(M3042,MappingTables!$D$4:$D$8,-1),1)</f>
        <v>1</v>
      </c>
      <c r="P3042" s="73">
        <f>IF(M3042=$A$1,1,$M3042-INDEX(MappingTables!$E$4:$E$8,MATCH(O3042,MappingTables!$B$4:$B$8,0)))</f>
        <v>1</v>
      </c>
      <c r="Q3042" s="71">
        <f>IF(B3042="",0,INDEX(ModelParameters!$D$6:$K$10,MATCH($O3042,ModelParameters!$B$6:$B$10,0),MATCH($J3042,ModelParameters!$D$5:$K$5,0)))</f>
        <v>0.045</v>
      </c>
      <c r="R3042" s="71">
        <f>IF(B3042="",0,INDEX(ModelParameters!$D$13:$K$17,MATCH($O3042,ModelParameters!$B$13:$B$17,0),MATCH($J3042,ModelParameters!$D$5:$K$5,0)))</f>
        <v>0</v>
      </c>
      <c r="S3042" s="160">
        <f>IF(B3042="",0,MIN(IF($N3042="Other Bond TM",ModelParameters!$N$21,1)*(P3042*Q3042+R3042),1))</f>
        <v>0.045</v>
      </c>
      <c r="T3042" s="85">
        <f>IF(B3042="",0,$S3042*$K3042)</f>
        <v>606.27753279270384</v>
      </c>
      <c r="U3042" s="85">
        <f>IF(B3042="",0,IF(OR(H3042=MappingTables!$C$34,H3042=MappingTables!$C$35),T3042,0))</f>
        <v>0</v>
      </c>
      <c r="V3042" s="85">
        <f>IF(ISNA(IF(AND(VLOOKUP(CONCATENATE($D3042,$G3042),CSRFinput!$B:$E,4,0)=0,OR(H3042=MappingTables!$C$34,H3042=MappingTables!$C$35)),1,VLOOKUP(CONCATENATE($D3042,$G3042),CSRFinput!$B:$E,4,0))),0,IF(AND(VLOOKUP(CONCATENATE($D3042,$G3042),CSRFinput!$B:$E,4,0)=0,OR(H3042=MappingTables!$C$34,H3042=MappingTables!$C$35)),1,VLOOKUP(CONCATENATE($D3042,$G3042),CSRFinput!$B:$E,4,0)))</f>
        <v>0.054776304963434752</v>
      </c>
      <c r="W3042" s="85">
        <f>IF(B3042="",0,+$T3042*$V3042)</f>
        <v>33.20964302873196</v>
      </c>
      <c r="X3042" s="85">
        <f>IF(B3042="",0,IF(OR(H3042=MappingTables!$C$34,H3042=MappingTables!$C$35),W3042,0))</f>
        <v>0</v>
      </c>
    </row>
    <row r="3043" spans="2:24" s="0" customFormat="0" ht="15">
      <c r="B3043" s="69">
        <v>18073286</v>
      </c>
      <c r="C3043" s="70" t="s">
        <v>1004</v>
      </c>
      <c r="D3043" s="70" t="s">
        <v>1</v>
      </c>
      <c r="E3043" s="70" t="s">
        <v>1</v>
      </c>
      <c r="F3043" s="70"/>
      <c r="G3043" s="70" t="s">
        <v>61</v>
      </c>
      <c r="H3043" s="70" t="s">
        <v>178</v>
      </c>
      <c r="I3043" s="70" t="s">
        <v>179</v>
      </c>
      <c r="J3043" s="71">
        <f>IF(OR(I3043=0,I3043=""),"unrated",VLOOKUP(I3043,MappingTables!$B$19:$C$31,2,FALSE))</f>
        <v>4</v>
      </c>
      <c r="K3043" s="72">
        <v>258.22608774555432</v>
      </c>
      <c r="L3043" s="70">
        <v>0.78056242582610656</v>
      </c>
      <c r="M3043" s="71">
        <f>IF(L3043&lt;1,1,L3043)</f>
        <v>1</v>
      </c>
      <c r="N3043" s="70" t="s">
        <v>141</v>
      </c>
      <c r="O3043" s="71">
        <f>INDEX(DurClassMapping,MATCH(M3043,MappingTables!$D$4:$D$8,-1),1)</f>
        <v>1</v>
      </c>
      <c r="P3043" s="73">
        <f>IF(M3043=$A$1,1,$M3043-INDEX(MappingTables!$E$4:$E$8,MATCH(O3043,MappingTables!$B$4:$B$8,0)))</f>
        <v>1</v>
      </c>
      <c r="Q3043" s="71">
        <f>IF(B3043="",0,INDEX(ModelParameters!$D$6:$K$10,MATCH($O3043,ModelParameters!$B$6:$B$10,0),MATCH($J3043,ModelParameters!$D$5:$K$5,0)))</f>
        <v>0.045</v>
      </c>
      <c r="R3043" s="71">
        <f>IF(B3043="",0,INDEX(ModelParameters!$D$13:$K$17,MATCH($O3043,ModelParameters!$B$13:$B$17,0),MATCH($J3043,ModelParameters!$D$5:$K$5,0)))</f>
        <v>0</v>
      </c>
      <c r="S3043" s="160">
        <f>IF(B3043="",0,MIN(IF($N3043="Other Bond TM",ModelParameters!$N$21,1)*(P3043*Q3043+R3043),1))</f>
        <v>0.045</v>
      </c>
      <c r="T3043" s="85">
        <f>IF(B3043="",0,$S3043*$K3043)</f>
        <v>11.620173948549944</v>
      </c>
      <c r="U3043" s="85">
        <f>IF(B3043="",0,IF(OR(H3043=MappingTables!$C$34,H3043=MappingTables!$C$35),T3043,0))</f>
        <v>0</v>
      </c>
      <c r="V3043" s="85">
        <f>IF(ISNA(IF(AND(VLOOKUP(CONCATENATE($D3043,$G3043),CSRFinput!$B:$E,4,0)=0,OR(H3043=MappingTables!$C$34,H3043=MappingTables!$C$35)),1,VLOOKUP(CONCATENATE($D3043,$G3043),CSRFinput!$B:$E,4,0))),0,IF(AND(VLOOKUP(CONCATENATE($D3043,$G3043),CSRFinput!$B:$E,4,0)=0,OR(H3043=MappingTables!$C$34,H3043=MappingTables!$C$35)),1,VLOOKUP(CONCATENATE($D3043,$G3043),CSRFinput!$B:$E,4,0)))</f>
        <v>0.054776304963434752</v>
      </c>
      <c r="W3043" s="85">
        <f>IF(B3043="",0,+$T3043*$V3043)</f>
        <v>0.63651019193393152</v>
      </c>
      <c r="X3043" s="85">
        <f>IF(B3043="",0,IF(OR(H3043=MappingTables!$C$34,H3043=MappingTables!$C$35),W3043,0))</f>
        <v>0</v>
      </c>
    </row>
    <row r="3044" spans="2:24" s="0" customFormat="0" ht="15">
      <c r="B3044" s="69">
        <v>14897112</v>
      </c>
      <c r="C3044" s="70" t="s">
        <v>2708</v>
      </c>
      <c r="D3044" s="70" t="s">
        <v>1</v>
      </c>
      <c r="E3044" s="70" t="s">
        <v>1</v>
      </c>
      <c r="F3044" s="70"/>
      <c r="G3044" s="70" t="s">
        <v>61</v>
      </c>
      <c r="H3044" s="70" t="s">
        <v>178</v>
      </c>
      <c r="I3044" s="70" t="s">
        <v>181</v>
      </c>
      <c r="J3044" s="71">
        <f>IF(OR(I3044=0,I3044=""),"unrated",VLOOKUP(I3044,MappingTables!$B$19:$C$31,2,FALSE))</f>
        <v>3</v>
      </c>
      <c r="K3044" s="72">
        <v>1986.3546380740608</v>
      </c>
      <c r="L3044" s="70">
        <v>0.96516269589983856</v>
      </c>
      <c r="M3044" s="71">
        <f>IF(L3044&lt;1,1,L3044)</f>
        <v>1</v>
      </c>
      <c r="N3044" s="70" t="s">
        <v>141</v>
      </c>
      <c r="O3044" s="71">
        <f>INDEX(DurClassMapping,MATCH(M3044,MappingTables!$D$4:$D$8,-1),1)</f>
        <v>1</v>
      </c>
      <c r="P3044" s="73">
        <f>IF(M3044=$A$1,1,$M3044-INDEX(MappingTables!$E$4:$E$8,MATCH(O3044,MappingTables!$B$4:$B$8,0)))</f>
        <v>1</v>
      </c>
      <c r="Q3044" s="71">
        <f>IF(B3044="",0,INDEX(ModelParameters!$D$6:$K$10,MATCH($O3044,ModelParameters!$B$6:$B$10,0),MATCH($J3044,ModelParameters!$D$5:$K$5,0)))</f>
        <v>0.025</v>
      </c>
      <c r="R3044" s="71">
        <f>IF(B3044="",0,INDEX(ModelParameters!$D$13:$K$17,MATCH($O3044,ModelParameters!$B$13:$B$17,0),MATCH($J3044,ModelParameters!$D$5:$K$5,0)))</f>
        <v>0</v>
      </c>
      <c r="S3044" s="160">
        <f>IF(B3044="",0,MIN(IF($N3044="Other Bond TM",ModelParameters!$N$21,1)*(P3044*Q3044+R3044),1))</f>
        <v>0.025</v>
      </c>
      <c r="T3044" s="85">
        <f>IF(B3044="",0,$S3044*$K3044)</f>
        <v>49.65886595185152</v>
      </c>
      <c r="U3044" s="85">
        <f>IF(B3044="",0,IF(OR(H3044=MappingTables!$C$34,H3044=MappingTables!$C$35),T3044,0))</f>
        <v>0</v>
      </c>
      <c r="V3044" s="85">
        <f>IF(ISNA(IF(AND(VLOOKUP(CONCATENATE($D3044,$G3044),CSRFinput!$B:$E,4,0)=0,OR(H3044=MappingTables!$C$34,H3044=MappingTables!$C$35)),1,VLOOKUP(CONCATENATE($D3044,$G3044),CSRFinput!$B:$E,4,0))),0,IF(AND(VLOOKUP(CONCATENATE($D3044,$G3044),CSRFinput!$B:$E,4,0)=0,OR(H3044=MappingTables!$C$34,H3044=MappingTables!$C$35)),1,VLOOKUP(CONCATENATE($D3044,$G3044),CSRFinput!$B:$E,4,0)))</f>
        <v>0.054776304963434752</v>
      </c>
      <c r="W3044" s="85">
        <f>IF(B3044="",0,+$T3044*$V3044)</f>
        <v>2.7201291855169452</v>
      </c>
      <c r="X3044" s="85">
        <f>IF(B3044="",0,IF(OR(H3044=MappingTables!$C$34,H3044=MappingTables!$C$35),W3044,0))</f>
        <v>0</v>
      </c>
    </row>
    <row r="3045" spans="2:24" s="0" customFormat="0" ht="15">
      <c r="B3045" s="69">
        <v>17328098</v>
      </c>
      <c r="C3045" s="70" t="s">
        <v>814</v>
      </c>
      <c r="D3045" s="70" t="s">
        <v>1</v>
      </c>
      <c r="E3045" s="70" t="s">
        <v>1</v>
      </c>
      <c r="F3045" s="70"/>
      <c r="G3045" s="70" t="s">
        <v>61</v>
      </c>
      <c r="H3045" s="70" t="s">
        <v>178</v>
      </c>
      <c r="I3045" s="70" t="s">
        <v>184</v>
      </c>
      <c r="J3045" s="71">
        <f>IF(OR(I3045=0,I3045=""),"unrated",VLOOKUP(I3045,MappingTables!$B$19:$C$31,2,FALSE))</f>
        <v>5</v>
      </c>
      <c r="K3045" s="72">
        <v>47667.085330407592</v>
      </c>
      <c r="L3045" s="70">
        <v>7.1311565246048592</v>
      </c>
      <c r="M3045" s="71">
        <f>IF(L3045&lt;1,1,L3045)</f>
        <v>7.1311565246048592</v>
      </c>
      <c r="N3045" s="70" t="s">
        <v>141</v>
      </c>
      <c r="O3045" s="71">
        <f>INDEX(DurClassMapping,MATCH(M3045,MappingTables!$D$4:$D$8,-1),1)</f>
        <v>2</v>
      </c>
      <c r="P3045" s="73">
        <f>IF(M3045=$A$1,1,$M3045-INDEX(MappingTables!$E$4:$E$8,MATCH(O3045,MappingTables!$B$4:$B$8,0)))</f>
        <v>2.1311565246048588</v>
      </c>
      <c r="Q3045" s="71">
        <f>IF(B3045="",0,INDEX(ModelParameters!$D$6:$K$10,MATCH($O3045,ModelParameters!$B$6:$B$10,0),MATCH($J3045,ModelParameters!$D$5:$K$5,0)))</f>
        <v>0.042</v>
      </c>
      <c r="R3045" s="71">
        <f>IF(B3045="",0,INDEX(ModelParameters!$D$13:$K$17,MATCH($O3045,ModelParameters!$B$13:$B$17,0),MATCH($J3045,ModelParameters!$D$5:$K$5,0)))</f>
        <v>0.375</v>
      </c>
      <c r="S3045" s="160">
        <f>IF(B3045="",0,MIN(IF($N3045="Other Bond TM",ModelParameters!$N$21,1)*(P3045*Q3045+R3045),1))</f>
        <v>0.46450857403340408</v>
      </c>
      <c r="T3045" s="85">
        <f>IF(B3045="",0,$S3045*$K3045)</f>
        <v>22141.769835156224</v>
      </c>
      <c r="U3045" s="85">
        <f>IF(B3045="",0,IF(OR(H3045=MappingTables!$C$34,H3045=MappingTables!$C$35),T3045,0))</f>
        <v>0</v>
      </c>
      <c r="V3045" s="85">
        <f>IF(ISNA(IF(AND(VLOOKUP(CONCATENATE($D3045,$G3045),CSRFinput!$B:$E,4,0)=0,OR(H3045=MappingTables!$C$34,H3045=MappingTables!$C$35)),1,VLOOKUP(CONCATENATE($D3045,$G3045),CSRFinput!$B:$E,4,0))),0,IF(AND(VLOOKUP(CONCATENATE($D3045,$G3045),CSRFinput!$B:$E,4,0)=0,OR(H3045=MappingTables!$C$34,H3045=MappingTables!$C$35)),1,VLOOKUP(CONCATENATE($D3045,$G3045),CSRFinput!$B:$E,4,0)))</f>
        <v>0.054776304963434752</v>
      </c>
      <c r="W3045" s="85">
        <f>IF(B3045="",0,+$T3045*$V3045)</f>
        <v>1212.8443369206978</v>
      </c>
      <c r="X3045" s="85">
        <f>IF(B3045="",0,IF(OR(H3045=MappingTables!$C$34,H3045=MappingTables!$C$35),W3045,0))</f>
        <v>0</v>
      </c>
    </row>
    <row r="3046" spans="2:24" s="0" customFormat="0" ht="15">
      <c r="B3046" s="69">
        <v>15888940</v>
      </c>
      <c r="C3046" s="70" t="s">
        <v>2709</v>
      </c>
      <c r="D3046" s="70" t="s">
        <v>1</v>
      </c>
      <c r="E3046" s="70" t="s">
        <v>1</v>
      </c>
      <c r="F3046" s="70"/>
      <c r="G3046" s="70" t="s">
        <v>61</v>
      </c>
      <c r="H3046" s="70" t="s">
        <v>178</v>
      </c>
      <c r="I3046" s="70" t="s">
        <v>181</v>
      </c>
      <c r="J3046" s="71">
        <f>IF(OR(I3046=0,I3046=""),"unrated",VLOOKUP(I3046,MappingTables!$B$19:$C$31,2,FALSE))</f>
        <v>3</v>
      </c>
      <c r="K3046" s="72">
        <v>18658.848212189036</v>
      </c>
      <c r="L3046" s="70">
        <v>3.849663693522996</v>
      </c>
      <c r="M3046" s="71">
        <f>IF(L3046&lt;1,1,L3046)</f>
        <v>3.849663693522996</v>
      </c>
      <c r="N3046" s="70" t="s">
        <v>141</v>
      </c>
      <c r="O3046" s="71">
        <f>INDEX(DurClassMapping,MATCH(M3046,MappingTables!$D$4:$D$8,-1),1)</f>
        <v>1</v>
      </c>
      <c r="P3046" s="73">
        <f>IF(M3046=$A$1,1,$M3046-INDEX(MappingTables!$E$4:$E$8,MATCH(O3046,MappingTables!$B$4:$B$8,0)))</f>
        <v>3.849663693522996</v>
      </c>
      <c r="Q3046" s="71">
        <f>IF(B3046="",0,INDEX(ModelParameters!$D$6:$K$10,MATCH($O3046,ModelParameters!$B$6:$B$10,0),MATCH($J3046,ModelParameters!$D$5:$K$5,0)))</f>
        <v>0.025</v>
      </c>
      <c r="R3046" s="71">
        <f>IF(B3046="",0,INDEX(ModelParameters!$D$13:$K$17,MATCH($O3046,ModelParameters!$B$13:$B$17,0),MATCH($J3046,ModelParameters!$D$5:$K$5,0)))</f>
        <v>0</v>
      </c>
      <c r="S3046" s="160">
        <f>IF(B3046="",0,MIN(IF($N3046="Other Bond TM",ModelParameters!$N$21,1)*(P3046*Q3046+R3046),1))</f>
        <v>0.096241592338074896</v>
      </c>
      <c r="T3046" s="85">
        <f>IF(B3046="",0,$S3046*$K3046)</f>
        <v>1795.7572631355152</v>
      </c>
      <c r="U3046" s="85">
        <f>IF(B3046="",0,IF(OR(H3046=MappingTables!$C$34,H3046=MappingTables!$C$35),T3046,0))</f>
        <v>0</v>
      </c>
      <c r="V3046" s="85">
        <f>IF(ISNA(IF(AND(VLOOKUP(CONCATENATE($D3046,$G3046),CSRFinput!$B:$E,4,0)=0,OR(H3046=MappingTables!$C$34,H3046=MappingTables!$C$35)),1,VLOOKUP(CONCATENATE($D3046,$G3046),CSRFinput!$B:$E,4,0))),0,IF(AND(VLOOKUP(CONCATENATE($D3046,$G3046),CSRFinput!$B:$E,4,0)=0,OR(H3046=MappingTables!$C$34,H3046=MappingTables!$C$35)),1,VLOOKUP(CONCATENATE($D3046,$G3046),CSRFinput!$B:$E,4,0)))</f>
        <v>0.054776304963434752</v>
      </c>
      <c r="W3046" s="85">
        <f>IF(B3046="",0,+$T3046*$V3046)</f>
        <v>98.364947485813936</v>
      </c>
      <c r="X3046" s="85">
        <f>IF(B3046="",0,IF(OR(H3046=MappingTables!$C$34,H3046=MappingTables!$C$35),W3046,0))</f>
        <v>0</v>
      </c>
    </row>
    <row r="3047" spans="2:24" s="0" customFormat="0" ht="15">
      <c r="B3047" s="69" t="s">
        <v>2710</v>
      </c>
      <c r="C3047" s="70" t="s">
        <v>2711</v>
      </c>
      <c r="D3047" s="70" t="s">
        <v>1</v>
      </c>
      <c r="E3047" s="70" t="s">
        <v>1</v>
      </c>
      <c r="F3047" s="70"/>
      <c r="G3047" s="70" t="s">
        <v>61</v>
      </c>
      <c r="H3047" s="70" t="s">
        <v>178</v>
      </c>
      <c r="I3047" s="70" t="s">
        <v>198</v>
      </c>
      <c r="J3047" s="71" t="str">
        <f>IF(OR(I3047=0,I3047=""),"unrated",VLOOKUP(I3047,MappingTables!$B$19:$C$31,2,FALSE))</f>
        <v>unrated</v>
      </c>
      <c r="K3047" s="72">
        <v>1317.928980817523</v>
      </c>
      <c r="L3047" s="70">
        <v>0.087672116468026288</v>
      </c>
      <c r="M3047" s="71">
        <f>IF(L3047&lt;1,1,L3047)</f>
        <v>1</v>
      </c>
      <c r="N3047" s="70" t="s">
        <v>141</v>
      </c>
      <c r="O3047" s="71">
        <f>INDEX(DurClassMapping,MATCH(M3047,MappingTables!$D$4:$D$8,-1),1)</f>
        <v>1</v>
      </c>
      <c r="P3047" s="73">
        <f>IF(M3047=$A$1,1,$M3047-INDEX(MappingTables!$E$4:$E$8,MATCH(O3047,MappingTables!$B$4:$B$8,0)))</f>
        <v>1</v>
      </c>
      <c r="Q3047" s="71">
        <f>IF(B3047="",0,INDEX(ModelParameters!$D$6:$K$10,MATCH($O3047,ModelParameters!$B$6:$B$10,0),MATCH($J3047,ModelParameters!$D$5:$K$5,0)))</f>
        <v>0.03</v>
      </c>
      <c r="R3047" s="71">
        <f>IF(B3047="",0,INDEX(ModelParameters!$D$13:$K$17,MATCH($O3047,ModelParameters!$B$13:$B$17,0),MATCH($J3047,ModelParameters!$D$5:$K$5,0)))</f>
        <v>0</v>
      </c>
      <c r="S3047" s="160">
        <f>IF(B3047="",0,MIN(IF($N3047="Other Bond TM",ModelParameters!$N$21,1)*(P3047*Q3047+R3047),1))</f>
        <v>0.03</v>
      </c>
      <c r="T3047" s="85">
        <f>IF(B3047="",0,$S3047*$K3047)</f>
        <v>39.537869424525688</v>
      </c>
      <c r="U3047" s="85">
        <f>IF(B3047="",0,IF(OR(H3047=MappingTables!$C$34,H3047=MappingTables!$C$35),T3047,0))</f>
        <v>0</v>
      </c>
      <c r="V3047" s="85">
        <f>IF(ISNA(IF(AND(VLOOKUP(CONCATENATE($D3047,$G3047),CSRFinput!$B:$E,4,0)=0,OR(H3047=MappingTables!$C$34,H3047=MappingTables!$C$35)),1,VLOOKUP(CONCATENATE($D3047,$G3047),CSRFinput!$B:$E,4,0))),0,IF(AND(VLOOKUP(CONCATENATE($D3047,$G3047),CSRFinput!$B:$E,4,0)=0,OR(H3047=MappingTables!$C$34,H3047=MappingTables!$C$35)),1,VLOOKUP(CONCATENATE($D3047,$G3047),CSRFinput!$B:$E,4,0)))</f>
        <v>0.054776304963434752</v>
      </c>
      <c r="W3047" s="85">
        <f>IF(B3047="",0,+$T3047*$V3047)</f>
        <v>2.1657383932022816</v>
      </c>
      <c r="X3047" s="85">
        <f>IF(B3047="",0,IF(OR(H3047=MappingTables!$C$34,H3047=MappingTables!$C$35),W3047,0))</f>
        <v>0</v>
      </c>
    </row>
    <row r="3048" spans="2:24" s="0" customFormat="0" ht="15">
      <c r="B3048" s="69">
        <v>14674577</v>
      </c>
      <c r="C3048" s="70" t="s">
        <v>1737</v>
      </c>
      <c r="D3048" s="70" t="s">
        <v>1</v>
      </c>
      <c r="E3048" s="70" t="s">
        <v>1</v>
      </c>
      <c r="F3048" s="70"/>
      <c r="G3048" s="70" t="s">
        <v>61</v>
      </c>
      <c r="H3048" s="70" t="s">
        <v>178</v>
      </c>
      <c r="I3048" s="70" t="s">
        <v>181</v>
      </c>
      <c r="J3048" s="71">
        <f>IF(OR(I3048=0,I3048=""),"unrated",VLOOKUP(I3048,MappingTables!$B$19:$C$31,2,FALSE))</f>
        <v>3</v>
      </c>
      <c r="K3048" s="72">
        <v>10988.26355999018</v>
      </c>
      <c r="L3048" s="70">
        <v>5.5640133385653704</v>
      </c>
      <c r="M3048" s="71">
        <f>IF(L3048&lt;1,1,L3048)</f>
        <v>5.5640133385653704</v>
      </c>
      <c r="N3048" s="70" t="s">
        <v>141</v>
      </c>
      <c r="O3048" s="71">
        <f>INDEX(DurClassMapping,MATCH(M3048,MappingTables!$D$4:$D$8,-1),1)</f>
        <v>2</v>
      </c>
      <c r="P3048" s="73">
        <f>IF(M3048=$A$1,1,$M3048-INDEX(MappingTables!$E$4:$E$8,MATCH(O3048,MappingTables!$B$4:$B$8,0)))</f>
        <v>0.56401333856537048</v>
      </c>
      <c r="Q3048" s="71">
        <f>IF(B3048="",0,INDEX(ModelParameters!$D$6:$K$10,MATCH($O3048,ModelParameters!$B$6:$B$10,0),MATCH($J3048,ModelParameters!$D$5:$K$5,0)))</f>
        <v>0.015</v>
      </c>
      <c r="R3048" s="71">
        <f>IF(B3048="",0,INDEX(ModelParameters!$D$13:$K$17,MATCH($O3048,ModelParameters!$B$13:$B$17,0),MATCH($J3048,ModelParameters!$D$5:$K$5,0)))</f>
        <v>0.125</v>
      </c>
      <c r="S3048" s="160">
        <f>IF(B3048="",0,MIN(IF($N3048="Other Bond TM",ModelParameters!$N$21,1)*(P3048*Q3048+R3048),1))</f>
        <v>0.13346020007848056</v>
      </c>
      <c r="T3048" s="85">
        <f>IF(B3048="",0,$S3048*$K3048)</f>
        <v>1466.4958532313664</v>
      </c>
      <c r="U3048" s="85">
        <f>IF(B3048="",0,IF(OR(H3048=MappingTables!$C$34,H3048=MappingTables!$C$35),T3048,0))</f>
        <v>0</v>
      </c>
      <c r="V3048" s="85">
        <f>IF(ISNA(IF(AND(VLOOKUP(CONCATENATE($D3048,$G3048),CSRFinput!$B:$E,4,0)=0,OR(H3048=MappingTables!$C$34,H3048=MappingTables!$C$35)),1,VLOOKUP(CONCATENATE($D3048,$G3048),CSRFinput!$B:$E,4,0))),0,IF(AND(VLOOKUP(CONCATENATE($D3048,$G3048),CSRFinput!$B:$E,4,0)=0,OR(H3048=MappingTables!$C$34,H3048=MappingTables!$C$35)),1,VLOOKUP(CONCATENATE($D3048,$G3048),CSRFinput!$B:$E,4,0)))</f>
        <v>0.054776304963434752</v>
      </c>
      <c r="W3048" s="85">
        <f>IF(B3048="",0,+$T3048*$V3048)</f>
        <v>80.329224084213776</v>
      </c>
      <c r="X3048" s="85">
        <f>IF(B3048="",0,IF(OR(H3048=MappingTables!$C$34,H3048=MappingTables!$C$35),W3048,0))</f>
        <v>0</v>
      </c>
    </row>
    <row r="3049" spans="2:24" s="0" customFormat="0" ht="15">
      <c r="B3049" s="69">
        <v>4079035</v>
      </c>
      <c r="C3049" s="70" t="s">
        <v>2390</v>
      </c>
      <c r="D3049" s="70" t="s">
        <v>1</v>
      </c>
      <c r="E3049" s="70" t="s">
        <v>1</v>
      </c>
      <c r="F3049" s="70"/>
      <c r="G3049" s="70" t="s">
        <v>61</v>
      </c>
      <c r="H3049" s="70" t="s">
        <v>178</v>
      </c>
      <c r="I3049" s="70" t="s">
        <v>181</v>
      </c>
      <c r="J3049" s="71">
        <f>IF(OR(I3049=0,I3049=""),"unrated",VLOOKUP(I3049,MappingTables!$B$19:$C$31,2,FALSE))</f>
        <v>3</v>
      </c>
      <c r="K3049" s="72">
        <v>227.42209403162196</v>
      </c>
      <c r="L3049" s="70">
        <v>12.152501903115466</v>
      </c>
      <c r="M3049" s="71">
        <f>IF(L3049&lt;1,1,L3049)</f>
        <v>12.152501903115466</v>
      </c>
      <c r="N3049" s="70" t="s">
        <v>141</v>
      </c>
      <c r="O3049" s="71">
        <f>INDEX(DurClassMapping,MATCH(M3049,MappingTables!$D$4:$D$8,-1),1)</f>
        <v>3</v>
      </c>
      <c r="P3049" s="73">
        <f>IF(M3049=$A$1,1,$M3049-INDEX(MappingTables!$E$4:$E$8,MATCH(O3049,MappingTables!$B$4:$B$8,0)))</f>
        <v>2.152501903115466</v>
      </c>
      <c r="Q3049" s="71">
        <f>IF(B3049="",0,INDEX(ModelParameters!$D$6:$K$10,MATCH($O3049,ModelParameters!$B$6:$B$10,0),MATCH($J3049,ModelParameters!$D$5:$K$5,0)))</f>
        <v>0.01</v>
      </c>
      <c r="R3049" s="71">
        <f>IF(B3049="",0,INDEX(ModelParameters!$D$13:$K$17,MATCH($O3049,ModelParameters!$B$13:$B$17,0),MATCH($J3049,ModelParameters!$D$5:$K$5,0)))</f>
        <v>0.2</v>
      </c>
      <c r="S3049" s="160">
        <f>IF(B3049="",0,MIN(IF($N3049="Other Bond TM",ModelParameters!$N$21,1)*(P3049*Q3049+R3049),1))</f>
        <v>0.22152501903115468</v>
      </c>
      <c r="T3049" s="85">
        <f>IF(B3049="",0,$S3049*$K3049)</f>
        <v>50.379683708460096</v>
      </c>
      <c r="U3049" s="85">
        <f>IF(B3049="",0,IF(OR(H3049=MappingTables!$C$34,H3049=MappingTables!$C$35),T3049,0))</f>
        <v>0</v>
      </c>
      <c r="V3049" s="85">
        <f>IF(ISNA(IF(AND(VLOOKUP(CONCATENATE($D3049,$G3049),CSRFinput!$B:$E,4,0)=0,OR(H3049=MappingTables!$C$34,H3049=MappingTables!$C$35)),1,VLOOKUP(CONCATENATE($D3049,$G3049),CSRFinput!$B:$E,4,0))),0,IF(AND(VLOOKUP(CONCATENATE($D3049,$G3049),CSRFinput!$B:$E,4,0)=0,OR(H3049=MappingTables!$C$34,H3049=MappingTables!$C$35)),1,VLOOKUP(CONCATENATE($D3049,$G3049),CSRFinput!$B:$E,4,0)))</f>
        <v>0.054776304963434752</v>
      </c>
      <c r="W3049" s="85">
        <f>IF(B3049="",0,+$T3049*$V3049)</f>
        <v>2.759612918775996</v>
      </c>
      <c r="X3049" s="85">
        <f>IF(B3049="",0,IF(OR(H3049=MappingTables!$C$34,H3049=MappingTables!$C$35),W3049,0))</f>
        <v>0</v>
      </c>
    </row>
    <row r="3050" spans="2:24" s="0" customFormat="0" ht="15">
      <c r="B3050" s="69">
        <v>12012728</v>
      </c>
      <c r="C3050" s="70" t="s">
        <v>1919</v>
      </c>
      <c r="D3050" s="70" t="s">
        <v>1</v>
      </c>
      <c r="E3050" s="70" t="s">
        <v>1</v>
      </c>
      <c r="F3050" s="70"/>
      <c r="G3050" s="70" t="s">
        <v>61</v>
      </c>
      <c r="H3050" s="70" t="s">
        <v>178</v>
      </c>
      <c r="I3050" s="70" t="s">
        <v>188</v>
      </c>
      <c r="J3050" s="71">
        <f>IF(OR(I3050=0,I3050=""),"unrated",VLOOKUP(I3050,MappingTables!$B$19:$C$31,2,FALSE))</f>
        <v>2</v>
      </c>
      <c r="K3050" s="72">
        <v>0.48482384725233144</v>
      </c>
      <c r="L3050" s="70">
        <v>0.41643939012425544</v>
      </c>
      <c r="M3050" s="71">
        <f>IF(L3050&lt;1,1,L3050)</f>
        <v>1</v>
      </c>
      <c r="N3050" s="70" t="s">
        <v>141</v>
      </c>
      <c r="O3050" s="71">
        <f>INDEX(DurClassMapping,MATCH(M3050,MappingTables!$D$4:$D$8,-1),1)</f>
        <v>1</v>
      </c>
      <c r="P3050" s="73">
        <f>IF(M3050=$A$1,1,$M3050-INDEX(MappingTables!$E$4:$E$8,MATCH(O3050,MappingTables!$B$4:$B$8,0)))</f>
        <v>1</v>
      </c>
      <c r="Q3050" s="71">
        <f>IF(B3050="",0,INDEX(ModelParameters!$D$6:$K$10,MATCH($O3050,ModelParameters!$B$6:$B$10,0),MATCH($J3050,ModelParameters!$D$5:$K$5,0)))</f>
        <v>0.013999999999999998</v>
      </c>
      <c r="R3050" s="71">
        <f>IF(B3050="",0,INDEX(ModelParameters!$D$13:$K$17,MATCH($O3050,ModelParameters!$B$13:$B$17,0),MATCH($J3050,ModelParameters!$D$5:$K$5,0)))</f>
        <v>0</v>
      </c>
      <c r="S3050" s="160">
        <f>IF(B3050="",0,MIN(IF($N3050="Other Bond TM",ModelParameters!$N$21,1)*(P3050*Q3050+R3050),1))</f>
        <v>0.013999999999999998</v>
      </c>
      <c r="T3050" s="85">
        <f>IF(B3050="",0,$S3050*$K3050)</f>
        <v>0.00678753386153264</v>
      </c>
      <c r="U3050" s="85">
        <f>IF(B3050="",0,IF(OR(H3050=MappingTables!$C$34,H3050=MappingTables!$C$35),T3050,0))</f>
        <v>0</v>
      </c>
      <c r="V3050" s="85">
        <f>IF(ISNA(IF(AND(VLOOKUP(CONCATENATE($D3050,$G3050),CSRFinput!$B:$E,4,0)=0,OR(H3050=MappingTables!$C$34,H3050=MappingTables!$C$35)),1,VLOOKUP(CONCATENATE($D3050,$G3050),CSRFinput!$B:$E,4,0))),0,IF(AND(VLOOKUP(CONCATENATE($D3050,$G3050),CSRFinput!$B:$E,4,0)=0,OR(H3050=MappingTables!$C$34,H3050=MappingTables!$C$35)),1,VLOOKUP(CONCATENATE($D3050,$G3050),CSRFinput!$B:$E,4,0)))</f>
        <v>0.054776304963434752</v>
      </c>
      <c r="W3050" s="85">
        <f>IF(B3050="",0,+$T3050*$V3050)</f>
        <v>0.00037179602474895176</v>
      </c>
      <c r="X3050" s="85">
        <f>IF(B3050="",0,IF(OR(H3050=MappingTables!$C$34,H3050=MappingTables!$C$35),W3050,0))</f>
        <v>0</v>
      </c>
    </row>
    <row r="3051" spans="2:24" s="0" customFormat="0" ht="15">
      <c r="B3051" s="69">
        <v>14165699</v>
      </c>
      <c r="C3051" s="70" t="s">
        <v>749</v>
      </c>
      <c r="D3051" s="70" t="s">
        <v>1</v>
      </c>
      <c r="E3051" s="70" t="s">
        <v>1</v>
      </c>
      <c r="F3051" s="70"/>
      <c r="G3051" s="70" t="s">
        <v>61</v>
      </c>
      <c r="H3051" s="70" t="s">
        <v>178</v>
      </c>
      <c r="I3051" s="70" t="s">
        <v>188</v>
      </c>
      <c r="J3051" s="71">
        <f>IF(OR(I3051=0,I3051=""),"unrated",VLOOKUP(I3051,MappingTables!$B$19:$C$31,2,FALSE))</f>
        <v>2</v>
      </c>
      <c r="K3051" s="72">
        <v>1710.0376309918222</v>
      </c>
      <c r="L3051" s="70">
        <v>5.6725502795262408</v>
      </c>
      <c r="M3051" s="71">
        <f>IF(L3051&lt;1,1,L3051)</f>
        <v>5.6725502795262408</v>
      </c>
      <c r="N3051" s="70" t="s">
        <v>141</v>
      </c>
      <c r="O3051" s="71">
        <f>INDEX(DurClassMapping,MATCH(M3051,MappingTables!$D$4:$D$8,-1),1)</f>
        <v>2</v>
      </c>
      <c r="P3051" s="73">
        <f>IF(M3051=$A$1,1,$M3051-INDEX(MappingTables!$E$4:$E$8,MATCH(O3051,MappingTables!$B$4:$B$8,0)))</f>
        <v>0.67255027952624056</v>
      </c>
      <c r="Q3051" s="71">
        <f>IF(B3051="",0,INDEX(ModelParameters!$D$6:$K$10,MATCH($O3051,ModelParameters!$B$6:$B$10,0),MATCH($J3051,ModelParameters!$D$5:$K$5,0)))</f>
        <v>0.0069999999999999992</v>
      </c>
      <c r="R3051" s="71">
        <f>IF(B3051="",0,INDEX(ModelParameters!$D$13:$K$17,MATCH($O3051,ModelParameters!$B$13:$B$17,0),MATCH($J3051,ModelParameters!$D$5:$K$5,0)))</f>
        <v>0.070000000000000008</v>
      </c>
      <c r="S3051" s="160">
        <f>IF(B3051="",0,MIN(IF($N3051="Other Bond TM",ModelParameters!$N$21,1)*(P3051*Q3051+R3051),1))</f>
        <v>0.074707851956683696</v>
      </c>
      <c r="T3051" s="85">
        <f>IF(B3051="",0,$S3051*$K3051)</f>
        <v>127.75323817649516</v>
      </c>
      <c r="U3051" s="85">
        <f>IF(B3051="",0,IF(OR(H3051=MappingTables!$C$34,H3051=MappingTables!$C$35),T3051,0))</f>
        <v>0</v>
      </c>
      <c r="V3051" s="85">
        <f>IF(ISNA(IF(AND(VLOOKUP(CONCATENATE($D3051,$G3051),CSRFinput!$B:$E,4,0)=0,OR(H3051=MappingTables!$C$34,H3051=MappingTables!$C$35)),1,VLOOKUP(CONCATENATE($D3051,$G3051),CSRFinput!$B:$E,4,0))),0,IF(AND(VLOOKUP(CONCATENATE($D3051,$G3051),CSRFinput!$B:$E,4,0)=0,OR(H3051=MappingTables!$C$34,H3051=MappingTables!$C$35)),1,VLOOKUP(CONCATENATE($D3051,$G3051),CSRFinput!$B:$E,4,0)))</f>
        <v>0.054776304963434752</v>
      </c>
      <c r="W3051" s="85">
        <f>IF(B3051="",0,+$T3051*$V3051)</f>
        <v>6.9978503344220144</v>
      </c>
      <c r="X3051" s="85">
        <f>IF(B3051="",0,IF(OR(H3051=MappingTables!$C$34,H3051=MappingTables!$C$35),W3051,0))</f>
        <v>0</v>
      </c>
    </row>
    <row r="3052" spans="2:24" s="0" customFormat="0" ht="15">
      <c r="B3052" s="69">
        <v>15445565</v>
      </c>
      <c r="C3052" s="70" t="s">
        <v>325</v>
      </c>
      <c r="D3052" s="70" t="s">
        <v>1</v>
      </c>
      <c r="E3052" s="70" t="s">
        <v>1</v>
      </c>
      <c r="F3052" s="70"/>
      <c r="G3052" s="70" t="s">
        <v>61</v>
      </c>
      <c r="H3052" s="70" t="s">
        <v>178</v>
      </c>
      <c r="I3052" s="70" t="s">
        <v>181</v>
      </c>
      <c r="J3052" s="71">
        <f>IF(OR(I3052=0,I3052=""),"unrated",VLOOKUP(I3052,MappingTables!$B$19:$C$31,2,FALSE))</f>
        <v>3</v>
      </c>
      <c r="K3052" s="72">
        <v>13.877429466148016</v>
      </c>
      <c r="L3052" s="70">
        <v>6.1263382973602896</v>
      </c>
      <c r="M3052" s="71">
        <f>IF(L3052&lt;1,1,L3052)</f>
        <v>6.1263382973602896</v>
      </c>
      <c r="N3052" s="70" t="s">
        <v>141</v>
      </c>
      <c r="O3052" s="71">
        <f>INDEX(DurClassMapping,MATCH(M3052,MappingTables!$D$4:$D$8,-1),1)</f>
        <v>2</v>
      </c>
      <c r="P3052" s="73">
        <f>IF(M3052=$A$1,1,$M3052-INDEX(MappingTables!$E$4:$E$8,MATCH(O3052,MappingTables!$B$4:$B$8,0)))</f>
        <v>1.1263382973602898</v>
      </c>
      <c r="Q3052" s="71">
        <f>IF(B3052="",0,INDEX(ModelParameters!$D$6:$K$10,MATCH($O3052,ModelParameters!$B$6:$B$10,0),MATCH($J3052,ModelParameters!$D$5:$K$5,0)))</f>
        <v>0.015</v>
      </c>
      <c r="R3052" s="71">
        <f>IF(B3052="",0,INDEX(ModelParameters!$D$13:$K$17,MATCH($O3052,ModelParameters!$B$13:$B$17,0),MATCH($J3052,ModelParameters!$D$5:$K$5,0)))</f>
        <v>0.125</v>
      </c>
      <c r="S3052" s="160">
        <f>IF(B3052="",0,MIN(IF($N3052="Other Bond TM",ModelParameters!$N$21,1)*(P3052*Q3052+R3052),1))</f>
        <v>0.14189507446040434</v>
      </c>
      <c r="T3052" s="85">
        <f>IF(B3052="",0,$S3052*$K3052)</f>
        <v>1.969138887418082</v>
      </c>
      <c r="U3052" s="85">
        <f>IF(B3052="",0,IF(OR(H3052=MappingTables!$C$34,H3052=MappingTables!$C$35),T3052,0))</f>
        <v>0</v>
      </c>
      <c r="V3052" s="85">
        <f>IF(ISNA(IF(AND(VLOOKUP(CONCATENATE($D3052,$G3052),CSRFinput!$B:$E,4,0)=0,OR(H3052=MappingTables!$C$34,H3052=MappingTables!$C$35)),1,VLOOKUP(CONCATENATE($D3052,$G3052),CSRFinput!$B:$E,4,0))),0,IF(AND(VLOOKUP(CONCATENATE($D3052,$G3052),CSRFinput!$B:$E,4,0)=0,OR(H3052=MappingTables!$C$34,H3052=MappingTables!$C$35)),1,VLOOKUP(CONCATENATE($D3052,$G3052),CSRFinput!$B:$E,4,0)))</f>
        <v>0.054776304963434752</v>
      </c>
      <c r="W3052" s="85">
        <f>IF(B3052="",0,+$T3052*$V3052)</f>
        <v>0.10786215221257148</v>
      </c>
      <c r="X3052" s="85">
        <f>IF(B3052="",0,IF(OR(H3052=MappingTables!$C$34,H3052=MappingTables!$C$35),W3052,0))</f>
        <v>0</v>
      </c>
    </row>
    <row r="3053" spans="2:24" s="0" customFormat="0" ht="15">
      <c r="B3053" s="69">
        <v>23264061</v>
      </c>
      <c r="C3053" s="70" t="s">
        <v>936</v>
      </c>
      <c r="D3053" s="70" t="s">
        <v>1</v>
      </c>
      <c r="E3053" s="70" t="s">
        <v>1</v>
      </c>
      <c r="F3053" s="70"/>
      <c r="G3053" s="70" t="s">
        <v>61</v>
      </c>
      <c r="H3053" s="70" t="s">
        <v>178</v>
      </c>
      <c r="I3053" s="70" t="s">
        <v>220</v>
      </c>
      <c r="J3053" s="71">
        <f>IF(OR(I3053=0,I3053=""),"unrated",VLOOKUP(I3053,MappingTables!$B$19:$C$31,2,FALSE))</f>
        <v>1</v>
      </c>
      <c r="K3053" s="72">
        <v>6411.470042761056</v>
      </c>
      <c r="L3053" s="70">
        <v>0.1534269516470175</v>
      </c>
      <c r="M3053" s="71">
        <f>IF(L3053&lt;1,1,L3053)</f>
        <v>1</v>
      </c>
      <c r="N3053" s="70" t="s">
        <v>141</v>
      </c>
      <c r="O3053" s="71">
        <f>INDEX(DurClassMapping,MATCH(M3053,MappingTables!$D$4:$D$8,-1),1)</f>
        <v>1</v>
      </c>
      <c r="P3053" s="73">
        <f>IF(M3053=$A$1,1,$M3053-INDEX(MappingTables!$E$4:$E$8,MATCH(O3053,MappingTables!$B$4:$B$8,0)))</f>
        <v>1</v>
      </c>
      <c r="Q3053" s="71">
        <f>IF(B3053="",0,INDEX(ModelParameters!$D$6:$K$10,MATCH($O3053,ModelParameters!$B$6:$B$10,0),MATCH($J3053,ModelParameters!$D$5:$K$5,0)))</f>
        <v>0.011000000000000002</v>
      </c>
      <c r="R3053" s="71">
        <f>IF(B3053="",0,INDEX(ModelParameters!$D$13:$K$17,MATCH($O3053,ModelParameters!$B$13:$B$17,0),MATCH($J3053,ModelParameters!$D$5:$K$5,0)))</f>
        <v>0</v>
      </c>
      <c r="S3053" s="160">
        <f>IF(B3053="",0,MIN(IF($N3053="Other Bond TM",ModelParameters!$N$21,1)*(P3053*Q3053+R3053),1))</f>
        <v>0.011000000000000002</v>
      </c>
      <c r="T3053" s="85">
        <f>IF(B3053="",0,$S3053*$K3053)</f>
        <v>70.526170470371624</v>
      </c>
      <c r="U3053" s="85">
        <f>IF(B3053="",0,IF(OR(H3053=MappingTables!$C$34,H3053=MappingTables!$C$35),T3053,0))</f>
        <v>0</v>
      </c>
      <c r="V3053" s="85">
        <f>IF(ISNA(IF(AND(VLOOKUP(CONCATENATE($D3053,$G3053),CSRFinput!$B:$E,4,0)=0,OR(H3053=MappingTables!$C$34,H3053=MappingTables!$C$35)),1,VLOOKUP(CONCATENATE($D3053,$G3053),CSRFinput!$B:$E,4,0))),0,IF(AND(VLOOKUP(CONCATENATE($D3053,$G3053),CSRFinput!$B:$E,4,0)=0,OR(H3053=MappingTables!$C$34,H3053=MappingTables!$C$35)),1,VLOOKUP(CONCATENATE($D3053,$G3053),CSRFinput!$B:$E,4,0)))</f>
        <v>0.054776304963434752</v>
      </c>
      <c r="W3053" s="85">
        <f>IF(B3053="",0,+$T3053*$V3053)</f>
        <v>3.8631630215882632</v>
      </c>
      <c r="X3053" s="85">
        <f>IF(B3053="",0,IF(OR(H3053=MappingTables!$C$34,H3053=MappingTables!$C$35),W3053,0))</f>
        <v>0</v>
      </c>
    </row>
    <row r="3054" spans="2:24" s="0" customFormat="0" ht="15">
      <c r="B3054" s="69">
        <v>13321922</v>
      </c>
      <c r="C3054" s="70" t="s">
        <v>2712</v>
      </c>
      <c r="D3054" s="70" t="s">
        <v>1</v>
      </c>
      <c r="E3054" s="70" t="s">
        <v>1</v>
      </c>
      <c r="F3054" s="70"/>
      <c r="G3054" s="70" t="s">
        <v>61</v>
      </c>
      <c r="H3054" s="70" t="s">
        <v>178</v>
      </c>
      <c r="I3054" s="70" t="s">
        <v>220</v>
      </c>
      <c r="J3054" s="71">
        <f>IF(OR(I3054=0,I3054=""),"unrated",VLOOKUP(I3054,MappingTables!$B$19:$C$31,2,FALSE))</f>
        <v>1</v>
      </c>
      <c r="K3054" s="72">
        <v>11.31398491266994</v>
      </c>
      <c r="L3054" s="70">
        <v>1.0119851131683864</v>
      </c>
      <c r="M3054" s="71">
        <f>IF(L3054&lt;1,1,L3054)</f>
        <v>1.0119851131683864</v>
      </c>
      <c r="N3054" s="70" t="s">
        <v>141</v>
      </c>
      <c r="O3054" s="71">
        <f>INDEX(DurClassMapping,MATCH(M3054,MappingTables!$D$4:$D$8,-1),1)</f>
        <v>1</v>
      </c>
      <c r="P3054" s="73">
        <f>IF(M3054=$A$1,1,$M3054-INDEX(MappingTables!$E$4:$E$8,MATCH(O3054,MappingTables!$B$4:$B$8,0)))</f>
        <v>1.0119851131683864</v>
      </c>
      <c r="Q3054" s="71">
        <f>IF(B3054="",0,INDEX(ModelParameters!$D$6:$K$10,MATCH($O3054,ModelParameters!$B$6:$B$10,0),MATCH($J3054,ModelParameters!$D$5:$K$5,0)))</f>
        <v>0.011000000000000002</v>
      </c>
      <c r="R3054" s="71">
        <f>IF(B3054="",0,INDEX(ModelParameters!$D$13:$K$17,MATCH($O3054,ModelParameters!$B$13:$B$17,0),MATCH($J3054,ModelParameters!$D$5:$K$5,0)))</f>
        <v>0</v>
      </c>
      <c r="S3054" s="160">
        <f>IF(B3054="",0,MIN(IF($N3054="Other Bond TM",ModelParameters!$N$21,1)*(P3054*Q3054+R3054),1))</f>
        <v>0.01113183624485225</v>
      </c>
      <c r="T3054" s="85">
        <f>IF(B3054="",0,$S3054*$K3054)</f>
        <v>0.12594542732457078</v>
      </c>
      <c r="U3054" s="85">
        <f>IF(B3054="",0,IF(OR(H3054=MappingTables!$C$34,H3054=MappingTables!$C$35),T3054,0))</f>
        <v>0</v>
      </c>
      <c r="V3054" s="85">
        <f>IF(ISNA(IF(AND(VLOOKUP(CONCATENATE($D3054,$G3054),CSRFinput!$B:$E,4,0)=0,OR(H3054=MappingTables!$C$34,H3054=MappingTables!$C$35)),1,VLOOKUP(CONCATENATE($D3054,$G3054),CSRFinput!$B:$E,4,0))),0,IF(AND(VLOOKUP(CONCATENATE($D3054,$G3054),CSRFinput!$B:$E,4,0)=0,OR(H3054=MappingTables!$C$34,H3054=MappingTables!$C$35)),1,VLOOKUP(CONCATENATE($D3054,$G3054),CSRFinput!$B:$E,4,0)))</f>
        <v>0.054776304963434752</v>
      </c>
      <c r="W3054" s="85">
        <f>IF(B3054="",0,+$T3054*$V3054)</f>
        <v>0.0068988251358807976</v>
      </c>
      <c r="X3054" s="85">
        <f>IF(B3054="",0,IF(OR(H3054=MappingTables!$C$34,H3054=MappingTables!$C$35),W3054,0))</f>
        <v>0</v>
      </c>
    </row>
    <row r="3055" spans="2:24" s="0" customFormat="0" ht="15">
      <c r="B3055" s="69">
        <v>19184780</v>
      </c>
      <c r="C3055" s="70" t="s">
        <v>2158</v>
      </c>
      <c r="D3055" s="70" t="s">
        <v>1</v>
      </c>
      <c r="E3055" s="70" t="s">
        <v>1</v>
      </c>
      <c r="F3055" s="70"/>
      <c r="G3055" s="70" t="s">
        <v>61</v>
      </c>
      <c r="H3055" s="70" t="s">
        <v>178</v>
      </c>
      <c r="I3055" s="70" t="s">
        <v>184</v>
      </c>
      <c r="J3055" s="71">
        <f>IF(OR(I3055=0,I3055=""),"unrated",VLOOKUP(I3055,MappingTables!$B$19:$C$31,2,FALSE))</f>
        <v>5</v>
      </c>
      <c r="K3055" s="72">
        <v>96.90365496004032</v>
      </c>
      <c r="L3055" s="70">
        <v>0.17260348568745432</v>
      </c>
      <c r="M3055" s="71">
        <f>IF(L3055&lt;1,1,L3055)</f>
        <v>1</v>
      </c>
      <c r="N3055" s="70" t="s">
        <v>141</v>
      </c>
      <c r="O3055" s="71">
        <f>INDEX(DurClassMapping,MATCH(M3055,MappingTables!$D$4:$D$8,-1),1)</f>
        <v>1</v>
      </c>
      <c r="P3055" s="73">
        <f>IF(M3055=$A$1,1,$M3055-INDEX(MappingTables!$E$4:$E$8,MATCH(O3055,MappingTables!$B$4:$B$8,0)))</f>
        <v>1</v>
      </c>
      <c r="Q3055" s="71">
        <f>IF(B3055="",0,INDEX(ModelParameters!$D$6:$K$10,MATCH($O3055,ModelParameters!$B$6:$B$10,0),MATCH($J3055,ModelParameters!$D$5:$K$5,0)))</f>
        <v>0.075</v>
      </c>
      <c r="R3055" s="71">
        <f>IF(B3055="",0,INDEX(ModelParameters!$D$13:$K$17,MATCH($O3055,ModelParameters!$B$13:$B$17,0),MATCH($J3055,ModelParameters!$D$5:$K$5,0)))</f>
        <v>0</v>
      </c>
      <c r="S3055" s="160">
        <f>IF(B3055="",0,MIN(IF($N3055="Other Bond TM",ModelParameters!$N$21,1)*(P3055*Q3055+R3055),1))</f>
        <v>0.075</v>
      </c>
      <c r="T3055" s="85">
        <f>IF(B3055="",0,$S3055*$K3055)</f>
        <v>7.2677741220030224</v>
      </c>
      <c r="U3055" s="85">
        <f>IF(B3055="",0,IF(OR(H3055=MappingTables!$C$34,H3055=MappingTables!$C$35),T3055,0))</f>
        <v>0</v>
      </c>
      <c r="V3055" s="85">
        <f>IF(ISNA(IF(AND(VLOOKUP(CONCATENATE($D3055,$G3055),CSRFinput!$B:$E,4,0)=0,OR(H3055=MappingTables!$C$34,H3055=MappingTables!$C$35)),1,VLOOKUP(CONCATENATE($D3055,$G3055),CSRFinput!$B:$E,4,0))),0,IF(AND(VLOOKUP(CONCATENATE($D3055,$G3055),CSRFinput!$B:$E,4,0)=0,OR(H3055=MappingTables!$C$34,H3055=MappingTables!$C$35)),1,VLOOKUP(CONCATENATE($D3055,$G3055),CSRFinput!$B:$E,4,0)))</f>
        <v>0.054776304963434752</v>
      </c>
      <c r="W3055" s="85">
        <f>IF(B3055="",0,+$T3055*$V3055)</f>
        <v>0.3981018117121968</v>
      </c>
      <c r="X3055" s="85">
        <f>IF(B3055="",0,IF(OR(H3055=MappingTables!$C$34,H3055=MappingTables!$C$35),W3055,0))</f>
        <v>0</v>
      </c>
    </row>
    <row r="3056" spans="2:24" s="0" customFormat="0" ht="15">
      <c r="B3056" s="69">
        <v>14504610</v>
      </c>
      <c r="C3056" s="70" t="s">
        <v>2713</v>
      </c>
      <c r="D3056" s="70" t="s">
        <v>1</v>
      </c>
      <c r="E3056" s="70" t="s">
        <v>1</v>
      </c>
      <c r="F3056" s="70"/>
      <c r="G3056" s="70" t="s">
        <v>61</v>
      </c>
      <c r="H3056" s="70" t="s">
        <v>178</v>
      </c>
      <c r="I3056" s="70" t="s">
        <v>188</v>
      </c>
      <c r="J3056" s="71">
        <f>IF(OR(I3056=0,I3056=""),"unrated",VLOOKUP(I3056,MappingTables!$B$19:$C$31,2,FALSE))</f>
        <v>2</v>
      </c>
      <c r="K3056" s="72">
        <v>732.28897211076016</v>
      </c>
      <c r="L3056" s="70">
        <v>0.51365689539667184</v>
      </c>
      <c r="M3056" s="71">
        <f>IF(L3056&lt;1,1,L3056)</f>
        <v>1</v>
      </c>
      <c r="N3056" s="70" t="s">
        <v>141</v>
      </c>
      <c r="O3056" s="71">
        <f>INDEX(DurClassMapping,MATCH(M3056,MappingTables!$D$4:$D$8,-1),1)</f>
        <v>1</v>
      </c>
      <c r="P3056" s="73">
        <f>IF(M3056=$A$1,1,$M3056-INDEX(MappingTables!$E$4:$E$8,MATCH(O3056,MappingTables!$B$4:$B$8,0)))</f>
        <v>1</v>
      </c>
      <c r="Q3056" s="71">
        <f>IF(B3056="",0,INDEX(ModelParameters!$D$6:$K$10,MATCH($O3056,ModelParameters!$B$6:$B$10,0),MATCH($J3056,ModelParameters!$D$5:$K$5,0)))</f>
        <v>0.013999999999999998</v>
      </c>
      <c r="R3056" s="71">
        <f>IF(B3056="",0,INDEX(ModelParameters!$D$13:$K$17,MATCH($O3056,ModelParameters!$B$13:$B$17,0),MATCH($J3056,ModelParameters!$D$5:$K$5,0)))</f>
        <v>0</v>
      </c>
      <c r="S3056" s="160">
        <f>IF(B3056="",0,MIN(IF($N3056="Other Bond TM",ModelParameters!$N$21,1)*(P3056*Q3056+R3056),1))</f>
        <v>0.013999999999999998</v>
      </c>
      <c r="T3056" s="85">
        <f>IF(B3056="",0,$S3056*$K3056)</f>
        <v>10.252045609550642</v>
      </c>
      <c r="U3056" s="85">
        <f>IF(B3056="",0,IF(OR(H3056=MappingTables!$C$34,H3056=MappingTables!$C$35),T3056,0))</f>
        <v>0</v>
      </c>
      <c r="V3056" s="85">
        <f>IF(ISNA(IF(AND(VLOOKUP(CONCATENATE($D3056,$G3056),CSRFinput!$B:$E,4,0)=0,OR(H3056=MappingTables!$C$34,H3056=MappingTables!$C$35)),1,VLOOKUP(CONCATENATE($D3056,$G3056),CSRFinput!$B:$E,4,0))),0,IF(AND(VLOOKUP(CONCATENATE($D3056,$G3056),CSRFinput!$B:$E,4,0)=0,OR(H3056=MappingTables!$C$34,H3056=MappingTables!$C$35)),1,VLOOKUP(CONCATENATE($D3056,$G3056),CSRFinput!$B:$E,4,0)))</f>
        <v>0.054776304963434752</v>
      </c>
      <c r="W3056" s="85">
        <f>IF(B3056="",0,+$T3056*$V3056)</f>
        <v>0.56156917680778832</v>
      </c>
      <c r="X3056" s="85">
        <f>IF(B3056="",0,IF(OR(H3056=MappingTables!$C$34,H3056=MappingTables!$C$35),W3056,0))</f>
        <v>0</v>
      </c>
    </row>
    <row r="3057" spans="2:24" s="0" customFormat="0" ht="15">
      <c r="B3057" s="69">
        <v>19486457</v>
      </c>
      <c r="C3057" s="70" t="s">
        <v>1827</v>
      </c>
      <c r="D3057" s="70" t="s">
        <v>1</v>
      </c>
      <c r="E3057" s="70" t="s">
        <v>1</v>
      </c>
      <c r="F3057" s="70"/>
      <c r="G3057" s="70" t="s">
        <v>61</v>
      </c>
      <c r="H3057" s="70" t="s">
        <v>178</v>
      </c>
      <c r="I3057" s="70" t="s">
        <v>181</v>
      </c>
      <c r="J3057" s="71">
        <f>IF(OR(I3057=0,I3057=""),"unrated",VLOOKUP(I3057,MappingTables!$B$19:$C$31,2,FALSE))</f>
        <v>3</v>
      </c>
      <c r="K3057" s="72">
        <v>9.0650245979009104</v>
      </c>
      <c r="L3057" s="70">
        <v>0.95891899777027712</v>
      </c>
      <c r="M3057" s="71">
        <f>IF(L3057&lt;1,1,L3057)</f>
        <v>1</v>
      </c>
      <c r="N3057" s="70" t="s">
        <v>141</v>
      </c>
      <c r="O3057" s="71">
        <f>INDEX(DurClassMapping,MATCH(M3057,MappingTables!$D$4:$D$8,-1),1)</f>
        <v>1</v>
      </c>
      <c r="P3057" s="73">
        <f>IF(M3057=$A$1,1,$M3057-INDEX(MappingTables!$E$4:$E$8,MATCH(O3057,MappingTables!$B$4:$B$8,0)))</f>
        <v>1</v>
      </c>
      <c r="Q3057" s="71">
        <f>IF(B3057="",0,INDEX(ModelParameters!$D$6:$K$10,MATCH($O3057,ModelParameters!$B$6:$B$10,0),MATCH($J3057,ModelParameters!$D$5:$K$5,0)))</f>
        <v>0.025</v>
      </c>
      <c r="R3057" s="71">
        <f>IF(B3057="",0,INDEX(ModelParameters!$D$13:$K$17,MATCH($O3057,ModelParameters!$B$13:$B$17,0),MATCH($J3057,ModelParameters!$D$5:$K$5,0)))</f>
        <v>0</v>
      </c>
      <c r="S3057" s="160">
        <f>IF(B3057="",0,MIN(IF($N3057="Other Bond TM",ModelParameters!$N$21,1)*(P3057*Q3057+R3057),1))</f>
        <v>0.025</v>
      </c>
      <c r="T3057" s="85">
        <f>IF(B3057="",0,$S3057*$K3057)</f>
        <v>0.22662561494752276</v>
      </c>
      <c r="U3057" s="85">
        <f>IF(B3057="",0,IF(OR(H3057=MappingTables!$C$34,H3057=MappingTables!$C$35),T3057,0))</f>
        <v>0</v>
      </c>
      <c r="V3057" s="85">
        <f>IF(ISNA(IF(AND(VLOOKUP(CONCATENATE($D3057,$G3057),CSRFinput!$B:$E,4,0)=0,OR(H3057=MappingTables!$C$34,H3057=MappingTables!$C$35)),1,VLOOKUP(CONCATENATE($D3057,$G3057),CSRFinput!$B:$E,4,0))),0,IF(AND(VLOOKUP(CONCATENATE($D3057,$G3057),CSRFinput!$B:$E,4,0)=0,OR(H3057=MappingTables!$C$34,H3057=MappingTables!$C$35)),1,VLOOKUP(CONCATENATE($D3057,$G3057),CSRFinput!$B:$E,4,0)))</f>
        <v>0.054776304963434752</v>
      </c>
      <c r="W3057" s="85">
        <f>IF(B3057="",0,+$T3057*$V3057)</f>
        <v>0.012413713796891444</v>
      </c>
      <c r="X3057" s="85">
        <f>IF(B3057="",0,IF(OR(H3057=MappingTables!$C$34,H3057=MappingTables!$C$35),W3057,0))</f>
        <v>0</v>
      </c>
    </row>
    <row r="3058" spans="2:24" s="0" customFormat="0" ht="15">
      <c r="B3058" s="69" t="s">
        <v>1976</v>
      </c>
      <c r="C3058" s="70" t="s">
        <v>1977</v>
      </c>
      <c r="D3058" s="70" t="s">
        <v>1</v>
      </c>
      <c r="E3058" s="70" t="s">
        <v>1</v>
      </c>
      <c r="F3058" s="70"/>
      <c r="G3058" s="70" t="s">
        <v>61</v>
      </c>
      <c r="H3058" s="70" t="s">
        <v>178</v>
      </c>
      <c r="I3058" s="70" t="s">
        <v>184</v>
      </c>
      <c r="J3058" s="71">
        <f>IF(OR(I3058=0,I3058=""),"unrated",VLOOKUP(I3058,MappingTables!$B$19:$C$31,2,FALSE))</f>
        <v>5</v>
      </c>
      <c r="K3058" s="72">
        <v>16060.695812184286</v>
      </c>
      <c r="L3058" s="70">
        <v>7.1916988105898552</v>
      </c>
      <c r="M3058" s="71">
        <f>IF(L3058&lt;1,1,L3058)</f>
        <v>7.1916988105898552</v>
      </c>
      <c r="N3058" s="70" t="s">
        <v>141</v>
      </c>
      <c r="O3058" s="71">
        <f>INDEX(DurClassMapping,MATCH(M3058,MappingTables!$D$4:$D$8,-1),1)</f>
        <v>2</v>
      </c>
      <c r="P3058" s="73">
        <f>IF(M3058=$A$1,1,$M3058-INDEX(MappingTables!$E$4:$E$8,MATCH(O3058,MappingTables!$B$4:$B$8,0)))</f>
        <v>2.1916988105898552</v>
      </c>
      <c r="Q3058" s="71">
        <f>IF(B3058="",0,INDEX(ModelParameters!$D$6:$K$10,MATCH($O3058,ModelParameters!$B$6:$B$10,0),MATCH($J3058,ModelParameters!$D$5:$K$5,0)))</f>
        <v>0.042</v>
      </c>
      <c r="R3058" s="71">
        <f>IF(B3058="",0,INDEX(ModelParameters!$D$13:$K$17,MATCH($O3058,ModelParameters!$B$13:$B$17,0),MATCH($J3058,ModelParameters!$D$5:$K$5,0)))</f>
        <v>0.375</v>
      </c>
      <c r="S3058" s="160">
        <f>IF(B3058="",0,MIN(IF($N3058="Other Bond TM",ModelParameters!$N$21,1)*(P3058*Q3058+R3058),1))</f>
        <v>0.46705135004477392</v>
      </c>
      <c r="T3058" s="85">
        <f>IF(B3058="",0,$S3058*$K3058)</f>
        <v>7501.1696617391168</v>
      </c>
      <c r="U3058" s="85">
        <f>IF(B3058="",0,IF(OR(H3058=MappingTables!$C$34,H3058=MappingTables!$C$35),T3058,0))</f>
        <v>0</v>
      </c>
      <c r="V3058" s="85">
        <f>IF(ISNA(IF(AND(VLOOKUP(CONCATENATE($D3058,$G3058),CSRFinput!$B:$E,4,0)=0,OR(H3058=MappingTables!$C$34,H3058=MappingTables!$C$35)),1,VLOOKUP(CONCATENATE($D3058,$G3058),CSRFinput!$B:$E,4,0))),0,IF(AND(VLOOKUP(CONCATENATE($D3058,$G3058),CSRFinput!$B:$E,4,0)=0,OR(H3058=MappingTables!$C$34,H3058=MappingTables!$C$35)),1,VLOOKUP(CONCATENATE($D3058,$G3058),CSRFinput!$B:$E,4,0)))</f>
        <v>0.054776304963434752</v>
      </c>
      <c r="W3058" s="85">
        <f>IF(B3058="",0,+$T3058*$V3058)</f>
        <v>410.88635697388664</v>
      </c>
      <c r="X3058" s="85">
        <f>IF(B3058="",0,IF(OR(H3058=MappingTables!$C$34,H3058=MappingTables!$C$35),W3058,0))</f>
        <v>0</v>
      </c>
    </row>
    <row r="3059" spans="2:24" s="0" customFormat="0" ht="15">
      <c r="B3059" s="69">
        <v>12749535</v>
      </c>
      <c r="C3059" s="70" t="s">
        <v>1792</v>
      </c>
      <c r="D3059" s="70" t="s">
        <v>1</v>
      </c>
      <c r="E3059" s="70" t="s">
        <v>1</v>
      </c>
      <c r="F3059" s="70"/>
      <c r="G3059" s="70" t="s">
        <v>61</v>
      </c>
      <c r="H3059" s="70" t="s">
        <v>178</v>
      </c>
      <c r="I3059" s="70" t="s">
        <v>188</v>
      </c>
      <c r="J3059" s="71">
        <f>IF(OR(I3059=0,I3059=""),"unrated",VLOOKUP(I3059,MappingTables!$B$19:$C$31,2,FALSE))</f>
        <v>2</v>
      </c>
      <c r="K3059" s="72">
        <v>2362.4833128027396</v>
      </c>
      <c r="L3059" s="70">
        <v>0.79020809515011328</v>
      </c>
      <c r="M3059" s="71">
        <f>IF(L3059&lt;1,1,L3059)</f>
        <v>1</v>
      </c>
      <c r="N3059" s="70" t="s">
        <v>141</v>
      </c>
      <c r="O3059" s="71">
        <f>INDEX(DurClassMapping,MATCH(M3059,MappingTables!$D$4:$D$8,-1),1)</f>
        <v>1</v>
      </c>
      <c r="P3059" s="73">
        <f>IF(M3059=$A$1,1,$M3059-INDEX(MappingTables!$E$4:$E$8,MATCH(O3059,MappingTables!$B$4:$B$8,0)))</f>
        <v>1</v>
      </c>
      <c r="Q3059" s="71">
        <f>IF(B3059="",0,INDEX(ModelParameters!$D$6:$K$10,MATCH($O3059,ModelParameters!$B$6:$B$10,0),MATCH($J3059,ModelParameters!$D$5:$K$5,0)))</f>
        <v>0.013999999999999998</v>
      </c>
      <c r="R3059" s="71">
        <f>IF(B3059="",0,INDEX(ModelParameters!$D$13:$K$17,MATCH($O3059,ModelParameters!$B$13:$B$17,0),MATCH($J3059,ModelParameters!$D$5:$K$5,0)))</f>
        <v>0</v>
      </c>
      <c r="S3059" s="160">
        <f>IF(B3059="",0,MIN(IF($N3059="Other Bond TM",ModelParameters!$N$21,1)*(P3059*Q3059+R3059),1))</f>
        <v>0.013999999999999998</v>
      </c>
      <c r="T3059" s="85">
        <f>IF(B3059="",0,$S3059*$K3059)</f>
        <v>33.074766379238348</v>
      </c>
      <c r="U3059" s="85">
        <f>IF(B3059="",0,IF(OR(H3059=MappingTables!$C$34,H3059=MappingTables!$C$35),T3059,0))</f>
        <v>0</v>
      </c>
      <c r="V3059" s="85">
        <f>IF(ISNA(IF(AND(VLOOKUP(CONCATENATE($D3059,$G3059),CSRFinput!$B:$E,4,0)=0,OR(H3059=MappingTables!$C$34,H3059=MappingTables!$C$35)),1,VLOOKUP(CONCATENATE($D3059,$G3059),CSRFinput!$B:$E,4,0))),0,IF(AND(VLOOKUP(CONCATENATE($D3059,$G3059),CSRFinput!$B:$E,4,0)=0,OR(H3059=MappingTables!$C$34,H3059=MappingTables!$C$35)),1,VLOOKUP(CONCATENATE($D3059,$G3059),CSRFinput!$B:$E,4,0)))</f>
        <v>0.054776304963434752</v>
      </c>
      <c r="W3059" s="85">
        <f>IF(B3059="",0,+$T3059*$V3059)</f>
        <v>1.8117134897835184</v>
      </c>
      <c r="X3059" s="85">
        <f>IF(B3059="",0,IF(OR(H3059=MappingTables!$C$34,H3059=MappingTables!$C$35),W3059,0))</f>
        <v>0</v>
      </c>
    </row>
    <row r="3060" spans="2:24" s="0" customFormat="0" ht="15">
      <c r="B3060" s="69">
        <v>2294874</v>
      </c>
      <c r="C3060" s="70" t="s">
        <v>1543</v>
      </c>
      <c r="D3060" s="70" t="s">
        <v>1</v>
      </c>
      <c r="E3060" s="70" t="s">
        <v>1</v>
      </c>
      <c r="F3060" s="70"/>
      <c r="G3060" s="70" t="s">
        <v>61</v>
      </c>
      <c r="H3060" s="70" t="s">
        <v>178</v>
      </c>
      <c r="I3060" s="70" t="s">
        <v>181</v>
      </c>
      <c r="J3060" s="71">
        <f>IF(OR(I3060=0,I3060=""),"unrated",VLOOKUP(I3060,MappingTables!$B$19:$C$31,2,FALSE))</f>
        <v>3</v>
      </c>
      <c r="K3060" s="72">
        <v>1370.3199675891454</v>
      </c>
      <c r="L3060" s="70">
        <v>9.2226065206561392</v>
      </c>
      <c r="M3060" s="71">
        <f>IF(L3060&lt;1,1,L3060)</f>
        <v>9.2226065206561392</v>
      </c>
      <c r="N3060" s="70" t="s">
        <v>141</v>
      </c>
      <c r="O3060" s="71">
        <f>INDEX(DurClassMapping,MATCH(M3060,MappingTables!$D$4:$D$8,-1),1)</f>
        <v>2</v>
      </c>
      <c r="P3060" s="73">
        <f>IF(M3060=$A$1,1,$M3060-INDEX(MappingTables!$E$4:$E$8,MATCH(O3060,MappingTables!$B$4:$B$8,0)))</f>
        <v>4.2226065206561392</v>
      </c>
      <c r="Q3060" s="71">
        <f>IF(B3060="",0,INDEX(ModelParameters!$D$6:$K$10,MATCH($O3060,ModelParameters!$B$6:$B$10,0),MATCH($J3060,ModelParameters!$D$5:$K$5,0)))</f>
        <v>0.015</v>
      </c>
      <c r="R3060" s="71">
        <f>IF(B3060="",0,INDEX(ModelParameters!$D$13:$K$17,MATCH($O3060,ModelParameters!$B$13:$B$17,0),MATCH($J3060,ModelParameters!$D$5:$K$5,0)))</f>
        <v>0.125</v>
      </c>
      <c r="S3060" s="160">
        <f>IF(B3060="",0,MIN(IF($N3060="Other Bond TM",ModelParameters!$N$21,1)*(P3060*Q3060+R3060),1))</f>
        <v>0.18833909780984208</v>
      </c>
      <c r="T3060" s="85">
        <f>IF(B3060="",0,$S3060*$K3060)</f>
        <v>258.08482640655172</v>
      </c>
      <c r="U3060" s="85">
        <f>IF(B3060="",0,IF(OR(H3060=MappingTables!$C$34,H3060=MappingTables!$C$35),T3060,0))</f>
        <v>0</v>
      </c>
      <c r="V3060" s="85">
        <f>IF(ISNA(IF(AND(VLOOKUP(CONCATENATE($D3060,$G3060),CSRFinput!$B:$E,4,0)=0,OR(H3060=MappingTables!$C$34,H3060=MappingTables!$C$35)),1,VLOOKUP(CONCATENATE($D3060,$G3060),CSRFinput!$B:$E,4,0))),0,IF(AND(VLOOKUP(CONCATENATE($D3060,$G3060),CSRFinput!$B:$E,4,0)=0,OR(H3060=MappingTables!$C$34,H3060=MappingTables!$C$35)),1,VLOOKUP(CONCATENATE($D3060,$G3060),CSRFinput!$B:$E,4,0)))</f>
        <v>0.054776304963434752</v>
      </c>
      <c r="W3060" s="85">
        <f>IF(B3060="",0,+$T3060*$V3060)</f>
        <v>14.136933157680396</v>
      </c>
      <c r="X3060" s="85">
        <f>IF(B3060="",0,IF(OR(H3060=MappingTables!$C$34,H3060=MappingTables!$C$35),W3060,0))</f>
        <v>0</v>
      </c>
    </row>
    <row r="3061" spans="2:24" s="0" customFormat="0" ht="15">
      <c r="B3061" s="69">
        <v>556907</v>
      </c>
      <c r="C3061" s="70" t="s">
        <v>185</v>
      </c>
      <c r="D3061" s="70" t="s">
        <v>1</v>
      </c>
      <c r="E3061" s="70" t="s">
        <v>1</v>
      </c>
      <c r="F3061" s="70"/>
      <c r="G3061" s="70" t="s">
        <v>61</v>
      </c>
      <c r="H3061" s="70" t="s">
        <v>178</v>
      </c>
      <c r="I3061" s="70" t="s">
        <v>181</v>
      </c>
      <c r="J3061" s="71">
        <f>IF(OR(I3061=0,I3061=""),"unrated",VLOOKUP(I3061,MappingTables!$B$19:$C$31,2,FALSE))</f>
        <v>3</v>
      </c>
      <c r="K3061" s="72">
        <v>1269.6819173629438</v>
      </c>
      <c r="L3061" s="70">
        <v>10.092964184757764</v>
      </c>
      <c r="M3061" s="71">
        <f>IF(L3061&lt;1,1,L3061)</f>
        <v>10.092964184757764</v>
      </c>
      <c r="N3061" s="70" t="s">
        <v>141</v>
      </c>
      <c r="O3061" s="71">
        <f>INDEX(DurClassMapping,MATCH(M3061,MappingTables!$D$4:$D$8,-1),1)</f>
        <v>3</v>
      </c>
      <c r="P3061" s="73">
        <f>IF(M3061=$A$1,1,$M3061-INDEX(MappingTables!$E$4:$E$8,MATCH(O3061,MappingTables!$B$4:$B$8,0)))</f>
        <v>0.092964184757763136</v>
      </c>
      <c r="Q3061" s="71">
        <f>IF(B3061="",0,INDEX(ModelParameters!$D$6:$K$10,MATCH($O3061,ModelParameters!$B$6:$B$10,0),MATCH($J3061,ModelParameters!$D$5:$K$5,0)))</f>
        <v>0.01</v>
      </c>
      <c r="R3061" s="71">
        <f>IF(B3061="",0,INDEX(ModelParameters!$D$13:$K$17,MATCH($O3061,ModelParameters!$B$13:$B$17,0),MATCH($J3061,ModelParameters!$D$5:$K$5,0)))</f>
        <v>0.2</v>
      </c>
      <c r="S3061" s="160">
        <f>IF(B3061="",0,MIN(IF($N3061="Other Bond TM",ModelParameters!$N$21,1)*(P3061*Q3061+R3061),1))</f>
        <v>0.20092964184757764</v>
      </c>
      <c r="T3061" s="85">
        <f>IF(B3061="",0,$S3061*$K3061)</f>
        <v>255.11673291608196</v>
      </c>
      <c r="U3061" s="85">
        <f>IF(B3061="",0,IF(OR(H3061=MappingTables!$C$34,H3061=MappingTables!$C$35),T3061,0))</f>
        <v>0</v>
      </c>
      <c r="V3061" s="85">
        <f>IF(ISNA(IF(AND(VLOOKUP(CONCATENATE($D3061,$G3061),CSRFinput!$B:$E,4,0)=0,OR(H3061=MappingTables!$C$34,H3061=MappingTables!$C$35)),1,VLOOKUP(CONCATENATE($D3061,$G3061),CSRFinput!$B:$E,4,0))),0,IF(AND(VLOOKUP(CONCATENATE($D3061,$G3061),CSRFinput!$B:$E,4,0)=0,OR(H3061=MappingTables!$C$34,H3061=MappingTables!$C$35)),1,VLOOKUP(CONCATENATE($D3061,$G3061),CSRFinput!$B:$E,4,0)))</f>
        <v>0.054776304963434752</v>
      </c>
      <c r="W3061" s="85">
        <f>IF(B3061="",0,+$T3061*$V3061)</f>
        <v>13.974351963486438</v>
      </c>
      <c r="X3061" s="85">
        <f>IF(B3061="",0,IF(OR(H3061=MappingTables!$C$34,H3061=MappingTables!$C$35),W3061,0))</f>
        <v>0</v>
      </c>
    </row>
    <row r="3062" spans="2:24" s="0" customFormat="0" ht="15">
      <c r="B3062" s="69">
        <v>20647448</v>
      </c>
      <c r="C3062" s="70" t="s">
        <v>1043</v>
      </c>
      <c r="D3062" s="70" t="s">
        <v>1</v>
      </c>
      <c r="E3062" s="70" t="s">
        <v>1</v>
      </c>
      <c r="F3062" s="70"/>
      <c r="G3062" s="70" t="s">
        <v>61</v>
      </c>
      <c r="H3062" s="70" t="s">
        <v>178</v>
      </c>
      <c r="I3062" s="70" t="s">
        <v>181</v>
      </c>
      <c r="J3062" s="71">
        <f>IF(OR(I3062=0,I3062=""),"unrated",VLOOKUP(I3062,MappingTables!$B$19:$C$31,2,FALSE))</f>
        <v>3</v>
      </c>
      <c r="K3062" s="72">
        <v>2680.0774762531244</v>
      </c>
      <c r="L3062" s="70">
        <v>4.9746233968077656</v>
      </c>
      <c r="M3062" s="71">
        <f>IF(L3062&lt;1,1,L3062)</f>
        <v>4.9746233968077656</v>
      </c>
      <c r="N3062" s="70" t="s">
        <v>141</v>
      </c>
      <c r="O3062" s="71">
        <f>INDEX(DurClassMapping,MATCH(M3062,MappingTables!$D$4:$D$8,-1),1)</f>
        <v>1</v>
      </c>
      <c r="P3062" s="73">
        <f>IF(M3062=$A$1,1,$M3062-INDEX(MappingTables!$E$4:$E$8,MATCH(O3062,MappingTables!$B$4:$B$8,0)))</f>
        <v>4.9746233968077656</v>
      </c>
      <c r="Q3062" s="71">
        <f>IF(B3062="",0,INDEX(ModelParameters!$D$6:$K$10,MATCH($O3062,ModelParameters!$B$6:$B$10,0),MATCH($J3062,ModelParameters!$D$5:$K$5,0)))</f>
        <v>0.025</v>
      </c>
      <c r="R3062" s="71">
        <f>IF(B3062="",0,INDEX(ModelParameters!$D$13:$K$17,MATCH($O3062,ModelParameters!$B$13:$B$17,0),MATCH($J3062,ModelParameters!$D$5:$K$5,0)))</f>
        <v>0</v>
      </c>
      <c r="S3062" s="160">
        <f>IF(B3062="",0,MIN(IF($N3062="Other Bond TM",ModelParameters!$N$21,1)*(P3062*Q3062+R3062),1))</f>
        <v>0.12436558492019414</v>
      </c>
      <c r="T3062" s="85">
        <f>IF(B3062="",0,$S3062*$K3062)</f>
        <v>333.30940296565756</v>
      </c>
      <c r="U3062" s="85">
        <f>IF(B3062="",0,IF(OR(H3062=MappingTables!$C$34,H3062=MappingTables!$C$35),T3062,0))</f>
        <v>0</v>
      </c>
      <c r="V3062" s="85">
        <f>IF(ISNA(IF(AND(VLOOKUP(CONCATENATE($D3062,$G3062),CSRFinput!$B:$E,4,0)=0,OR(H3062=MappingTables!$C$34,H3062=MappingTables!$C$35)),1,VLOOKUP(CONCATENATE($D3062,$G3062),CSRFinput!$B:$E,4,0))),0,IF(AND(VLOOKUP(CONCATENATE($D3062,$G3062),CSRFinput!$B:$E,4,0)=0,OR(H3062=MappingTables!$C$34,H3062=MappingTables!$C$35)),1,VLOOKUP(CONCATENATE($D3062,$G3062),CSRFinput!$B:$E,4,0)))</f>
        <v>0.054776304963434752</v>
      </c>
      <c r="W3062" s="85">
        <f>IF(B3062="",0,+$T3062*$V3062)</f>
        <v>18.257457504027224</v>
      </c>
      <c r="X3062" s="85">
        <f>IF(B3062="",0,IF(OR(H3062=MappingTables!$C$34,H3062=MappingTables!$C$35),W3062,0))</f>
        <v>0</v>
      </c>
    </row>
    <row r="3063" spans="2:24" s="0" customFormat="0" ht="15">
      <c r="B3063" s="69">
        <v>18101061</v>
      </c>
      <c r="C3063" s="70" t="s">
        <v>2341</v>
      </c>
      <c r="D3063" s="70" t="s">
        <v>1</v>
      </c>
      <c r="E3063" s="70" t="s">
        <v>1</v>
      </c>
      <c r="F3063" s="70"/>
      <c r="G3063" s="70" t="s">
        <v>61</v>
      </c>
      <c r="H3063" s="70" t="s">
        <v>178</v>
      </c>
      <c r="I3063" s="70" t="s">
        <v>179</v>
      </c>
      <c r="J3063" s="71">
        <f>IF(OR(I3063=0,I3063=""),"unrated",VLOOKUP(I3063,MappingTables!$B$19:$C$31,2,FALSE))</f>
        <v>4</v>
      </c>
      <c r="K3063" s="72">
        <v>10166.544489710186</v>
      </c>
      <c r="L3063" s="70">
        <v>0.86408684065540272</v>
      </c>
      <c r="M3063" s="71">
        <f>IF(L3063&lt;1,1,L3063)</f>
        <v>1</v>
      </c>
      <c r="N3063" s="70" t="s">
        <v>141</v>
      </c>
      <c r="O3063" s="71">
        <f>INDEX(DurClassMapping,MATCH(M3063,MappingTables!$D$4:$D$8,-1),1)</f>
        <v>1</v>
      </c>
      <c r="P3063" s="73">
        <f>IF(M3063=$A$1,1,$M3063-INDEX(MappingTables!$E$4:$E$8,MATCH(O3063,MappingTables!$B$4:$B$8,0)))</f>
        <v>1</v>
      </c>
      <c r="Q3063" s="71">
        <f>IF(B3063="",0,INDEX(ModelParameters!$D$6:$K$10,MATCH($O3063,ModelParameters!$B$6:$B$10,0),MATCH($J3063,ModelParameters!$D$5:$K$5,0)))</f>
        <v>0.045</v>
      </c>
      <c r="R3063" s="71">
        <f>IF(B3063="",0,INDEX(ModelParameters!$D$13:$K$17,MATCH($O3063,ModelParameters!$B$13:$B$17,0),MATCH($J3063,ModelParameters!$D$5:$K$5,0)))</f>
        <v>0</v>
      </c>
      <c r="S3063" s="160">
        <f>IF(B3063="",0,MIN(IF($N3063="Other Bond TM",ModelParameters!$N$21,1)*(P3063*Q3063+R3063),1))</f>
        <v>0.045</v>
      </c>
      <c r="T3063" s="85">
        <f>IF(B3063="",0,$S3063*$K3063)</f>
        <v>457.49450203695832</v>
      </c>
      <c r="U3063" s="85">
        <f>IF(B3063="",0,IF(OR(H3063=MappingTables!$C$34,H3063=MappingTables!$C$35),T3063,0))</f>
        <v>0</v>
      </c>
      <c r="V3063" s="85">
        <f>IF(ISNA(IF(AND(VLOOKUP(CONCATENATE($D3063,$G3063),CSRFinput!$B:$E,4,0)=0,OR(H3063=MappingTables!$C$34,H3063=MappingTables!$C$35)),1,VLOOKUP(CONCATENATE($D3063,$G3063),CSRFinput!$B:$E,4,0))),0,IF(AND(VLOOKUP(CONCATENATE($D3063,$G3063),CSRFinput!$B:$E,4,0)=0,OR(H3063=MappingTables!$C$34,H3063=MappingTables!$C$35)),1,VLOOKUP(CONCATENATE($D3063,$G3063),CSRFinput!$B:$E,4,0)))</f>
        <v>0.054776304963434752</v>
      </c>
      <c r="W3063" s="85">
        <f>IF(B3063="",0,+$T3063*$V3063)</f>
        <v>25.059858362671152</v>
      </c>
      <c r="X3063" s="85">
        <f>IF(B3063="",0,IF(OR(H3063=MappingTables!$C$34,H3063=MappingTables!$C$35),W3063,0))</f>
        <v>0</v>
      </c>
    </row>
    <row r="3064" spans="2:24" s="0" customFormat="0" ht="15">
      <c r="B3064" s="69">
        <v>9454013</v>
      </c>
      <c r="C3064" s="70" t="s">
        <v>2139</v>
      </c>
      <c r="D3064" s="70" t="s">
        <v>1</v>
      </c>
      <c r="E3064" s="70" t="s">
        <v>1</v>
      </c>
      <c r="F3064" s="70"/>
      <c r="G3064" s="70" t="s">
        <v>61</v>
      </c>
      <c r="H3064" s="70" t="s">
        <v>178</v>
      </c>
      <c r="I3064" s="70" t="s">
        <v>204</v>
      </c>
      <c r="J3064" s="71">
        <f>IF(OR(I3064=0,I3064=""),"unrated",VLOOKUP(I3064,MappingTables!$B$19:$C$31,2,FALSE))</f>
        <v>6</v>
      </c>
      <c r="K3064" s="72">
        <v>186.27828679497144</v>
      </c>
      <c r="L3064" s="70">
        <v>3.318941335131488</v>
      </c>
      <c r="M3064" s="71">
        <f>IF(L3064&lt;1,1,L3064)</f>
        <v>3.318941335131488</v>
      </c>
      <c r="N3064" s="70" t="s">
        <v>141</v>
      </c>
      <c r="O3064" s="71">
        <f>INDEX(DurClassMapping,MATCH(M3064,MappingTables!$D$4:$D$8,-1),1)</f>
        <v>1</v>
      </c>
      <c r="P3064" s="73">
        <f>IF(M3064=$A$1,1,$M3064-INDEX(MappingTables!$E$4:$E$8,MATCH(O3064,MappingTables!$B$4:$B$8,0)))</f>
        <v>3.318941335131488</v>
      </c>
      <c r="Q3064" s="71">
        <f>IF(B3064="",0,INDEX(ModelParameters!$D$6:$K$10,MATCH($O3064,ModelParameters!$B$6:$B$10,0),MATCH($J3064,ModelParameters!$D$5:$K$5,0)))</f>
        <v>0.075</v>
      </c>
      <c r="R3064" s="71">
        <f>IF(B3064="",0,INDEX(ModelParameters!$D$13:$K$17,MATCH($O3064,ModelParameters!$B$13:$B$17,0),MATCH($J3064,ModelParameters!$D$5:$K$5,0)))</f>
        <v>0</v>
      </c>
      <c r="S3064" s="160">
        <f>IF(B3064="",0,MIN(IF($N3064="Other Bond TM",ModelParameters!$N$21,1)*(P3064*Q3064+R3064),1))</f>
        <v>0.2489206001348616</v>
      </c>
      <c r="T3064" s="85">
        <f>IF(B3064="",0,$S3064*$K3064)</f>
        <v>46.36850294109816</v>
      </c>
      <c r="U3064" s="85">
        <f>IF(B3064="",0,IF(OR(H3064=MappingTables!$C$34,H3064=MappingTables!$C$35),T3064,0))</f>
        <v>0</v>
      </c>
      <c r="V3064" s="85">
        <f>IF(ISNA(IF(AND(VLOOKUP(CONCATENATE($D3064,$G3064),CSRFinput!$B:$E,4,0)=0,OR(H3064=MappingTables!$C$34,H3064=MappingTables!$C$35)),1,VLOOKUP(CONCATENATE($D3064,$G3064),CSRFinput!$B:$E,4,0))),0,IF(AND(VLOOKUP(CONCATENATE($D3064,$G3064),CSRFinput!$B:$E,4,0)=0,OR(H3064=MappingTables!$C$34,H3064=MappingTables!$C$35)),1,VLOOKUP(CONCATENATE($D3064,$G3064),CSRFinput!$B:$E,4,0)))</f>
        <v>0.054776304963434752</v>
      </c>
      <c r="W3064" s="85">
        <f>IF(B3064="",0,+$T3064*$V3064)</f>
        <v>2.5398952577995136</v>
      </c>
      <c r="X3064" s="85">
        <f>IF(B3064="",0,IF(OR(H3064=MappingTables!$C$34,H3064=MappingTables!$C$35),W3064,0))</f>
        <v>0</v>
      </c>
    </row>
    <row r="3065" spans="2:24" s="0" customFormat="0" ht="15">
      <c r="B3065" s="69">
        <v>16711402</v>
      </c>
      <c r="C3065" s="70" t="s">
        <v>1477</v>
      </c>
      <c r="D3065" s="70" t="s">
        <v>1</v>
      </c>
      <c r="E3065" s="70" t="s">
        <v>1</v>
      </c>
      <c r="F3065" s="70"/>
      <c r="G3065" s="70" t="s">
        <v>61</v>
      </c>
      <c r="H3065" s="70" t="s">
        <v>178</v>
      </c>
      <c r="I3065" s="70" t="s">
        <v>184</v>
      </c>
      <c r="J3065" s="71">
        <f>IF(OR(I3065=0,I3065=""),"unrated",VLOOKUP(I3065,MappingTables!$B$19:$C$31,2,FALSE))</f>
        <v>5</v>
      </c>
      <c r="K3065" s="72">
        <v>123.4327248098678</v>
      </c>
      <c r="L3065" s="70">
        <v>0.087671079105127168</v>
      </c>
      <c r="M3065" s="71">
        <f>IF(L3065&lt;1,1,L3065)</f>
        <v>1</v>
      </c>
      <c r="N3065" s="70" t="s">
        <v>141</v>
      </c>
      <c r="O3065" s="71">
        <f>INDEX(DurClassMapping,MATCH(M3065,MappingTables!$D$4:$D$8,-1),1)</f>
        <v>1</v>
      </c>
      <c r="P3065" s="73">
        <f>IF(M3065=$A$1,1,$M3065-INDEX(MappingTables!$E$4:$E$8,MATCH(O3065,MappingTables!$B$4:$B$8,0)))</f>
        <v>1</v>
      </c>
      <c r="Q3065" s="71">
        <f>IF(B3065="",0,INDEX(ModelParameters!$D$6:$K$10,MATCH($O3065,ModelParameters!$B$6:$B$10,0),MATCH($J3065,ModelParameters!$D$5:$K$5,0)))</f>
        <v>0.075</v>
      </c>
      <c r="R3065" s="71">
        <f>IF(B3065="",0,INDEX(ModelParameters!$D$13:$K$17,MATCH($O3065,ModelParameters!$B$13:$B$17,0),MATCH($J3065,ModelParameters!$D$5:$K$5,0)))</f>
        <v>0</v>
      </c>
      <c r="S3065" s="160">
        <f>IF(B3065="",0,MIN(IF($N3065="Other Bond TM",ModelParameters!$N$21,1)*(P3065*Q3065+R3065),1))</f>
        <v>0.075</v>
      </c>
      <c r="T3065" s="85">
        <f>IF(B3065="",0,$S3065*$K3065)</f>
        <v>9.2574543607400864</v>
      </c>
      <c r="U3065" s="85">
        <f>IF(B3065="",0,IF(OR(H3065=MappingTables!$C$34,H3065=MappingTables!$C$35),T3065,0))</f>
        <v>0</v>
      </c>
      <c r="V3065" s="85">
        <f>IF(ISNA(IF(AND(VLOOKUP(CONCATENATE($D3065,$G3065),CSRFinput!$B:$E,4,0)=0,OR(H3065=MappingTables!$C$34,H3065=MappingTables!$C$35)),1,VLOOKUP(CONCATENATE($D3065,$G3065),CSRFinput!$B:$E,4,0))),0,IF(AND(VLOOKUP(CONCATENATE($D3065,$G3065),CSRFinput!$B:$E,4,0)=0,OR(H3065=MappingTables!$C$34,H3065=MappingTables!$C$35)),1,VLOOKUP(CONCATENATE($D3065,$G3065),CSRFinput!$B:$E,4,0)))</f>
        <v>0.054776304963434752</v>
      </c>
      <c r="W3065" s="85">
        <f>IF(B3065="",0,+$T3065*$V3065)</f>
        <v>0.50708914324897792</v>
      </c>
      <c r="X3065" s="85">
        <f>IF(B3065="",0,IF(OR(H3065=MappingTables!$C$34,H3065=MappingTables!$C$35),W3065,0))</f>
        <v>0</v>
      </c>
    </row>
    <row r="3066" spans="2:24" s="0" customFormat="0" ht="15">
      <c r="B3066" s="69">
        <v>15307241</v>
      </c>
      <c r="C3066" s="70" t="s">
        <v>2714</v>
      </c>
      <c r="D3066" s="70" t="s">
        <v>1</v>
      </c>
      <c r="E3066" s="70" t="s">
        <v>1</v>
      </c>
      <c r="F3066" s="70"/>
      <c r="G3066" s="70" t="s">
        <v>61</v>
      </c>
      <c r="H3066" s="70" t="s">
        <v>178</v>
      </c>
      <c r="I3066" s="70" t="s">
        <v>188</v>
      </c>
      <c r="J3066" s="71">
        <f>IF(OR(I3066=0,I3066=""),"unrated",VLOOKUP(I3066,MappingTables!$B$19:$C$31,2,FALSE))</f>
        <v>2</v>
      </c>
      <c r="K3066" s="72">
        <v>1270.5108406032306</v>
      </c>
      <c r="L3066" s="70">
        <v>1.8965582199815112</v>
      </c>
      <c r="M3066" s="71">
        <f>IF(L3066&lt;1,1,L3066)</f>
        <v>1.8965582199815112</v>
      </c>
      <c r="N3066" s="70" t="s">
        <v>141</v>
      </c>
      <c r="O3066" s="71">
        <f>INDEX(DurClassMapping,MATCH(M3066,MappingTables!$D$4:$D$8,-1),1)</f>
        <v>1</v>
      </c>
      <c r="P3066" s="73">
        <f>IF(M3066=$A$1,1,$M3066-INDEX(MappingTables!$E$4:$E$8,MATCH(O3066,MappingTables!$B$4:$B$8,0)))</f>
        <v>1.8965582199815112</v>
      </c>
      <c r="Q3066" s="71">
        <f>IF(B3066="",0,INDEX(ModelParameters!$D$6:$K$10,MATCH($O3066,ModelParameters!$B$6:$B$10,0),MATCH($J3066,ModelParameters!$D$5:$K$5,0)))</f>
        <v>0.013999999999999998</v>
      </c>
      <c r="R3066" s="71">
        <f>IF(B3066="",0,INDEX(ModelParameters!$D$13:$K$17,MATCH($O3066,ModelParameters!$B$13:$B$17,0),MATCH($J3066,ModelParameters!$D$5:$K$5,0)))</f>
        <v>0</v>
      </c>
      <c r="S3066" s="160">
        <f>IF(B3066="",0,MIN(IF($N3066="Other Bond TM",ModelParameters!$N$21,1)*(P3066*Q3066+R3066),1))</f>
        <v>0.026551815079741156</v>
      </c>
      <c r="T3066" s="85">
        <f>IF(B3066="",0,$S3066*$K3066)</f>
        <v>33.734368896503468</v>
      </c>
      <c r="U3066" s="85">
        <f>IF(B3066="",0,IF(OR(H3066=MappingTables!$C$34,H3066=MappingTables!$C$35),T3066,0))</f>
        <v>0</v>
      </c>
      <c r="V3066" s="85">
        <f>IF(ISNA(IF(AND(VLOOKUP(CONCATENATE($D3066,$G3066),CSRFinput!$B:$E,4,0)=0,OR(H3066=MappingTables!$C$34,H3066=MappingTables!$C$35)),1,VLOOKUP(CONCATENATE($D3066,$G3066),CSRFinput!$B:$E,4,0))),0,IF(AND(VLOOKUP(CONCATENATE($D3066,$G3066),CSRFinput!$B:$E,4,0)=0,OR(H3066=MappingTables!$C$34,H3066=MappingTables!$C$35)),1,VLOOKUP(CONCATENATE($D3066,$G3066),CSRFinput!$B:$E,4,0)))</f>
        <v>0.054776304963434752</v>
      </c>
      <c r="W3066" s="85">
        <f>IF(B3066="",0,+$T3066*$V3066)</f>
        <v>1.847844078423882</v>
      </c>
      <c r="X3066" s="85">
        <f>IF(B3066="",0,IF(OR(H3066=MappingTables!$C$34,H3066=MappingTables!$C$35),W3066,0))</f>
        <v>0</v>
      </c>
    </row>
    <row r="3067" spans="2:24" s="0" customFormat="0" ht="15">
      <c r="B3067" s="69">
        <v>20763534</v>
      </c>
      <c r="C3067" s="70" t="s">
        <v>2335</v>
      </c>
      <c r="D3067" s="70" t="s">
        <v>1</v>
      </c>
      <c r="E3067" s="70" t="s">
        <v>1</v>
      </c>
      <c r="F3067" s="70"/>
      <c r="G3067" s="70" t="s">
        <v>61</v>
      </c>
      <c r="H3067" s="70" t="s">
        <v>178</v>
      </c>
      <c r="I3067" s="70" t="s">
        <v>179</v>
      </c>
      <c r="J3067" s="71">
        <f>IF(OR(I3067=0,I3067=""),"unrated",VLOOKUP(I3067,MappingTables!$B$19:$C$31,2,FALSE))</f>
        <v>4</v>
      </c>
      <c r="K3067" s="72">
        <v>1251.1503110895992</v>
      </c>
      <c r="L3067" s="70">
        <v>3.2870935622003952</v>
      </c>
      <c r="M3067" s="71">
        <f>IF(L3067&lt;1,1,L3067)</f>
        <v>3.2870935622003952</v>
      </c>
      <c r="N3067" s="70" t="s">
        <v>141</v>
      </c>
      <c r="O3067" s="71">
        <f>INDEX(DurClassMapping,MATCH(M3067,MappingTables!$D$4:$D$8,-1),1)</f>
        <v>1</v>
      </c>
      <c r="P3067" s="73">
        <f>IF(M3067=$A$1,1,$M3067-INDEX(MappingTables!$E$4:$E$8,MATCH(O3067,MappingTables!$B$4:$B$8,0)))</f>
        <v>3.2870935622003952</v>
      </c>
      <c r="Q3067" s="71">
        <f>IF(B3067="",0,INDEX(ModelParameters!$D$6:$K$10,MATCH($O3067,ModelParameters!$B$6:$B$10,0),MATCH($J3067,ModelParameters!$D$5:$K$5,0)))</f>
        <v>0.045</v>
      </c>
      <c r="R3067" s="71">
        <f>IF(B3067="",0,INDEX(ModelParameters!$D$13:$K$17,MATCH($O3067,ModelParameters!$B$13:$B$17,0),MATCH($J3067,ModelParameters!$D$5:$K$5,0)))</f>
        <v>0</v>
      </c>
      <c r="S3067" s="160">
        <f>IF(B3067="",0,MIN(IF($N3067="Other Bond TM",ModelParameters!$N$21,1)*(P3067*Q3067+R3067),1))</f>
        <v>0.14791921029901778</v>
      </c>
      <c r="T3067" s="85">
        <f>IF(B3067="",0,$S3067*$K3067)</f>
        <v>185.06916598174392</v>
      </c>
      <c r="U3067" s="85">
        <f>IF(B3067="",0,IF(OR(H3067=MappingTables!$C$34,H3067=MappingTables!$C$35),T3067,0))</f>
        <v>0</v>
      </c>
      <c r="V3067" s="85">
        <f>IF(ISNA(IF(AND(VLOOKUP(CONCATENATE($D3067,$G3067),CSRFinput!$B:$E,4,0)=0,OR(H3067=MappingTables!$C$34,H3067=MappingTables!$C$35)),1,VLOOKUP(CONCATENATE($D3067,$G3067),CSRFinput!$B:$E,4,0))),0,IF(AND(VLOOKUP(CONCATENATE($D3067,$G3067),CSRFinput!$B:$E,4,0)=0,OR(H3067=MappingTables!$C$34,H3067=MappingTables!$C$35)),1,VLOOKUP(CONCATENATE($D3067,$G3067),CSRFinput!$B:$E,4,0)))</f>
        <v>0.054776304963434752</v>
      </c>
      <c r="W3067" s="85">
        <f>IF(B3067="",0,+$T3067*$V3067)</f>
        <v>10.13740507514453</v>
      </c>
      <c r="X3067" s="85">
        <f>IF(B3067="",0,IF(OR(H3067=MappingTables!$C$34,H3067=MappingTables!$C$35),W3067,0))</f>
        <v>0</v>
      </c>
    </row>
    <row r="3068" spans="2:24" s="0" customFormat="0" ht="15">
      <c r="B3068" s="69" t="s">
        <v>1533</v>
      </c>
      <c r="C3068" s="70" t="s">
        <v>1534</v>
      </c>
      <c r="D3068" s="70" t="s">
        <v>1</v>
      </c>
      <c r="E3068" s="70" t="s">
        <v>1</v>
      </c>
      <c r="F3068" s="70"/>
      <c r="G3068" s="70" t="s">
        <v>61</v>
      </c>
      <c r="H3068" s="70" t="s">
        <v>178</v>
      </c>
      <c r="I3068" s="70" t="s">
        <v>184</v>
      </c>
      <c r="J3068" s="71">
        <f>IF(OR(I3068=0,I3068=""),"unrated",VLOOKUP(I3068,MappingTables!$B$19:$C$31,2,FALSE))</f>
        <v>5</v>
      </c>
      <c r="K3068" s="72">
        <v>110.36487164011114</v>
      </c>
      <c r="L3068" s="70">
        <v>6.1176586178715408</v>
      </c>
      <c r="M3068" s="71">
        <f>IF(L3068&lt;1,1,L3068)</f>
        <v>6.1176586178715408</v>
      </c>
      <c r="N3068" s="70" t="s">
        <v>141</v>
      </c>
      <c r="O3068" s="71">
        <f>INDEX(DurClassMapping,MATCH(M3068,MappingTables!$D$4:$D$8,-1),1)</f>
        <v>2</v>
      </c>
      <c r="P3068" s="73">
        <f>IF(M3068=$A$1,1,$M3068-INDEX(MappingTables!$E$4:$E$8,MATCH(O3068,MappingTables!$B$4:$B$8,0)))</f>
        <v>1.117658617871541</v>
      </c>
      <c r="Q3068" s="71">
        <f>IF(B3068="",0,INDEX(ModelParameters!$D$6:$K$10,MATCH($O3068,ModelParameters!$B$6:$B$10,0),MATCH($J3068,ModelParameters!$D$5:$K$5,0)))</f>
        <v>0.042</v>
      </c>
      <c r="R3068" s="71">
        <f>IF(B3068="",0,INDEX(ModelParameters!$D$13:$K$17,MATCH($O3068,ModelParameters!$B$13:$B$17,0),MATCH($J3068,ModelParameters!$D$5:$K$5,0)))</f>
        <v>0.375</v>
      </c>
      <c r="S3068" s="160">
        <f>IF(B3068="",0,MIN(IF($N3068="Other Bond TM",ModelParameters!$N$21,1)*(P3068*Q3068+R3068),1))</f>
        <v>0.42194166195060472</v>
      </c>
      <c r="T3068" s="85">
        <f>IF(B3068="",0,$S3068*$K3068)</f>
        <v>46.567537360793656</v>
      </c>
      <c r="U3068" s="85">
        <f>IF(B3068="",0,IF(OR(H3068=MappingTables!$C$34,H3068=MappingTables!$C$35),T3068,0))</f>
        <v>0</v>
      </c>
      <c r="V3068" s="85">
        <f>IF(ISNA(IF(AND(VLOOKUP(CONCATENATE($D3068,$G3068),CSRFinput!$B:$E,4,0)=0,OR(H3068=MappingTables!$C$34,H3068=MappingTables!$C$35)),1,VLOOKUP(CONCATENATE($D3068,$G3068),CSRFinput!$B:$E,4,0))),0,IF(AND(VLOOKUP(CONCATENATE($D3068,$G3068),CSRFinput!$B:$E,4,0)=0,OR(H3068=MappingTables!$C$34,H3068=MappingTables!$C$35)),1,VLOOKUP(CONCATENATE($D3068,$G3068),CSRFinput!$B:$E,4,0)))</f>
        <v>0.054776304963434752</v>
      </c>
      <c r="W3068" s="85">
        <f>IF(B3068="",0,+$T3068*$V3068)</f>
        <v>2.5507976278709748</v>
      </c>
      <c r="X3068" s="85">
        <f>IF(B3068="",0,IF(OR(H3068=MappingTables!$C$34,H3068=MappingTables!$C$35),W3068,0))</f>
        <v>0</v>
      </c>
    </row>
    <row r="3069" spans="2:24" s="0" customFormat="0" ht="15">
      <c r="B3069" s="69">
        <v>17619857</v>
      </c>
      <c r="C3069" s="70" t="s">
        <v>2715</v>
      </c>
      <c r="D3069" s="70" t="s">
        <v>1</v>
      </c>
      <c r="E3069" s="70" t="s">
        <v>1</v>
      </c>
      <c r="F3069" s="70"/>
      <c r="G3069" s="70" t="s">
        <v>61</v>
      </c>
      <c r="H3069" s="70" t="s">
        <v>178</v>
      </c>
      <c r="I3069" s="70" t="s">
        <v>179</v>
      </c>
      <c r="J3069" s="71">
        <f>IF(OR(I3069=0,I3069=""),"unrated",VLOOKUP(I3069,MappingTables!$B$19:$C$31,2,FALSE))</f>
        <v>4</v>
      </c>
      <c r="K3069" s="72">
        <v>77.556410707978688</v>
      </c>
      <c r="L3069" s="70">
        <v>0.087673447823867696</v>
      </c>
      <c r="M3069" s="71">
        <f>IF(L3069&lt;1,1,L3069)</f>
        <v>1</v>
      </c>
      <c r="N3069" s="70" t="s">
        <v>141</v>
      </c>
      <c r="O3069" s="71">
        <f>INDEX(DurClassMapping,MATCH(M3069,MappingTables!$D$4:$D$8,-1),1)</f>
        <v>1</v>
      </c>
      <c r="P3069" s="73">
        <f>IF(M3069=$A$1,1,$M3069-INDEX(MappingTables!$E$4:$E$8,MATCH(O3069,MappingTables!$B$4:$B$8,0)))</f>
        <v>1</v>
      </c>
      <c r="Q3069" s="71">
        <f>IF(B3069="",0,INDEX(ModelParameters!$D$6:$K$10,MATCH($O3069,ModelParameters!$B$6:$B$10,0),MATCH($J3069,ModelParameters!$D$5:$K$5,0)))</f>
        <v>0.045</v>
      </c>
      <c r="R3069" s="71">
        <f>IF(B3069="",0,INDEX(ModelParameters!$D$13:$K$17,MATCH($O3069,ModelParameters!$B$13:$B$17,0),MATCH($J3069,ModelParameters!$D$5:$K$5,0)))</f>
        <v>0</v>
      </c>
      <c r="S3069" s="160">
        <f>IF(B3069="",0,MIN(IF($N3069="Other Bond TM",ModelParameters!$N$21,1)*(P3069*Q3069+R3069),1))</f>
        <v>0.045</v>
      </c>
      <c r="T3069" s="85">
        <f>IF(B3069="",0,$S3069*$K3069)</f>
        <v>3.4900384818590408</v>
      </c>
      <c r="U3069" s="85">
        <f>IF(B3069="",0,IF(OR(H3069=MappingTables!$C$34,H3069=MappingTables!$C$35),T3069,0))</f>
        <v>0</v>
      </c>
      <c r="V3069" s="85">
        <f>IF(ISNA(IF(AND(VLOOKUP(CONCATENATE($D3069,$G3069),CSRFinput!$B:$E,4,0)=0,OR(H3069=MappingTables!$C$34,H3069=MappingTables!$C$35)),1,VLOOKUP(CONCATENATE($D3069,$G3069),CSRFinput!$B:$E,4,0))),0,IF(AND(VLOOKUP(CONCATENATE($D3069,$G3069),CSRFinput!$B:$E,4,0)=0,OR(H3069=MappingTables!$C$34,H3069=MappingTables!$C$35)),1,VLOOKUP(CONCATENATE($D3069,$G3069),CSRFinput!$B:$E,4,0)))</f>
        <v>0.054776304963434752</v>
      </c>
      <c r="W3069" s="85">
        <f>IF(B3069="",0,+$T3069*$V3069)</f>
        <v>0.19117141221643368</v>
      </c>
      <c r="X3069" s="85">
        <f>IF(B3069="",0,IF(OR(H3069=MappingTables!$C$34,H3069=MappingTables!$C$35),W3069,0))</f>
        <v>0</v>
      </c>
    </row>
    <row r="3070" spans="2:24" s="0" customFormat="0" ht="15">
      <c r="B3070" s="69" t="s">
        <v>2716</v>
      </c>
      <c r="C3070" s="70" t="s">
        <v>2717</v>
      </c>
      <c r="D3070" s="70" t="s">
        <v>1</v>
      </c>
      <c r="E3070" s="70" t="s">
        <v>1</v>
      </c>
      <c r="F3070" s="70"/>
      <c r="G3070" s="70" t="s">
        <v>61</v>
      </c>
      <c r="H3070" s="70" t="s">
        <v>178</v>
      </c>
      <c r="I3070" s="70" t="s">
        <v>179</v>
      </c>
      <c r="J3070" s="71">
        <f>IF(OR(I3070=0,I3070=""),"unrated",VLOOKUP(I3070,MappingTables!$B$19:$C$31,2,FALSE))</f>
        <v>4</v>
      </c>
      <c r="K3070" s="72">
        <v>14410.817186421634</v>
      </c>
      <c r="L3070" s="70">
        <v>5.190454607203632</v>
      </c>
      <c r="M3070" s="71">
        <f>IF(L3070&lt;1,1,L3070)</f>
        <v>5.190454607203632</v>
      </c>
      <c r="N3070" s="70" t="s">
        <v>141</v>
      </c>
      <c r="O3070" s="71">
        <f>INDEX(DurClassMapping,MATCH(M3070,MappingTables!$D$4:$D$8,-1),1)</f>
        <v>2</v>
      </c>
      <c r="P3070" s="73">
        <f>IF(M3070=$A$1,1,$M3070-INDEX(MappingTables!$E$4:$E$8,MATCH(O3070,MappingTables!$B$4:$B$8,0)))</f>
        <v>0.19045460720363216</v>
      </c>
      <c r="Q3070" s="71">
        <f>IF(B3070="",0,INDEX(ModelParameters!$D$6:$K$10,MATCH($O3070,ModelParameters!$B$6:$B$10,0),MATCH($J3070,ModelParameters!$D$5:$K$5,0)))</f>
        <v>0.025</v>
      </c>
      <c r="R3070" s="71">
        <f>IF(B3070="",0,INDEX(ModelParameters!$D$13:$K$17,MATCH($O3070,ModelParameters!$B$13:$B$17,0),MATCH($J3070,ModelParameters!$D$5:$K$5,0)))</f>
        <v>0.225</v>
      </c>
      <c r="S3070" s="160">
        <f>IF(B3070="",0,MIN(IF($N3070="Other Bond TM",ModelParameters!$N$21,1)*(P3070*Q3070+R3070),1))</f>
        <v>0.2297613651800908</v>
      </c>
      <c r="T3070" s="85">
        <f>IF(B3070="",0,$S3070*$K3070)</f>
        <v>3311.04903011295</v>
      </c>
      <c r="U3070" s="85">
        <f>IF(B3070="",0,IF(OR(H3070=MappingTables!$C$34,H3070=MappingTables!$C$35),T3070,0))</f>
        <v>0</v>
      </c>
      <c r="V3070" s="85">
        <f>IF(ISNA(IF(AND(VLOOKUP(CONCATENATE($D3070,$G3070),CSRFinput!$B:$E,4,0)=0,OR(H3070=MappingTables!$C$34,H3070=MappingTables!$C$35)),1,VLOOKUP(CONCATENATE($D3070,$G3070),CSRFinput!$B:$E,4,0))),0,IF(AND(VLOOKUP(CONCATENATE($D3070,$G3070),CSRFinput!$B:$E,4,0)=0,OR(H3070=MappingTables!$C$34,H3070=MappingTables!$C$35)),1,VLOOKUP(CONCATENATE($D3070,$G3070),CSRFinput!$B:$E,4,0)))</f>
        <v>0.054776304963434752</v>
      </c>
      <c r="W3070" s="85">
        <f>IF(B3070="",0,+$T3070*$V3070)</f>
        <v>181.3670314223518</v>
      </c>
      <c r="X3070" s="85">
        <f>IF(B3070="",0,IF(OR(H3070=MappingTables!$C$34,H3070=MappingTables!$C$35),W3070,0))</f>
        <v>0</v>
      </c>
    </row>
    <row r="3071" spans="2:24" s="0" customFormat="0" ht="15">
      <c r="B3071" s="69">
        <v>23488989</v>
      </c>
      <c r="C3071" s="70" t="s">
        <v>823</v>
      </c>
      <c r="D3071" s="70" t="s">
        <v>1</v>
      </c>
      <c r="E3071" s="70" t="s">
        <v>1</v>
      </c>
      <c r="F3071" s="70"/>
      <c r="G3071" s="70" t="s">
        <v>61</v>
      </c>
      <c r="H3071" s="70" t="s">
        <v>178</v>
      </c>
      <c r="I3071" s="70" t="s">
        <v>181</v>
      </c>
      <c r="J3071" s="71">
        <f>IF(OR(I3071=0,I3071=""),"unrated",VLOOKUP(I3071,MappingTables!$B$19:$C$31,2,FALSE))</f>
        <v>3</v>
      </c>
      <c r="K3071" s="72">
        <v>1274.516098078301</v>
      </c>
      <c r="L3071" s="70">
        <v>4.3517224501222152</v>
      </c>
      <c r="M3071" s="71">
        <f>IF(L3071&lt;1,1,L3071)</f>
        <v>4.3517224501222152</v>
      </c>
      <c r="N3071" s="70" t="s">
        <v>141</v>
      </c>
      <c r="O3071" s="71">
        <f>INDEX(DurClassMapping,MATCH(M3071,MappingTables!$D$4:$D$8,-1),1)</f>
        <v>1</v>
      </c>
      <c r="P3071" s="73">
        <f>IF(M3071=$A$1,1,$M3071-INDEX(MappingTables!$E$4:$E$8,MATCH(O3071,MappingTables!$B$4:$B$8,0)))</f>
        <v>4.3517224501222152</v>
      </c>
      <c r="Q3071" s="71">
        <f>IF(B3071="",0,INDEX(ModelParameters!$D$6:$K$10,MATCH($O3071,ModelParameters!$B$6:$B$10,0),MATCH($J3071,ModelParameters!$D$5:$K$5,0)))</f>
        <v>0.025</v>
      </c>
      <c r="R3071" s="71">
        <f>IF(B3071="",0,INDEX(ModelParameters!$D$13:$K$17,MATCH($O3071,ModelParameters!$B$13:$B$17,0),MATCH($J3071,ModelParameters!$D$5:$K$5,0)))</f>
        <v>0</v>
      </c>
      <c r="S3071" s="160">
        <f>IF(B3071="",0,MIN(IF($N3071="Other Bond TM",ModelParameters!$N$21,1)*(P3071*Q3071+R3071),1))</f>
        <v>0.1087930612530554</v>
      </c>
      <c r="T3071" s="85">
        <f>IF(B3071="",0,$S3071*$K3071)</f>
        <v>138.65850792623774</v>
      </c>
      <c r="U3071" s="85">
        <f>IF(B3071="",0,IF(OR(H3071=MappingTables!$C$34,H3071=MappingTables!$C$35),T3071,0))</f>
        <v>0</v>
      </c>
      <c r="V3071" s="85">
        <f>IF(ISNA(IF(AND(VLOOKUP(CONCATENATE($D3071,$G3071),CSRFinput!$B:$E,4,0)=0,OR(H3071=MappingTables!$C$34,H3071=MappingTables!$C$35)),1,VLOOKUP(CONCATENATE($D3071,$G3071),CSRFinput!$B:$E,4,0))),0,IF(AND(VLOOKUP(CONCATENATE($D3071,$G3071),CSRFinput!$B:$E,4,0)=0,OR(H3071=MappingTables!$C$34,H3071=MappingTables!$C$35)),1,VLOOKUP(CONCATENATE($D3071,$G3071),CSRFinput!$B:$E,4,0)))</f>
        <v>0.054776304963434752</v>
      </c>
      <c r="W3071" s="85">
        <f>IF(B3071="",0,+$T3071*$V3071)</f>
        <v>7.5952007159424336</v>
      </c>
      <c r="X3071" s="85">
        <f>IF(B3071="",0,IF(OR(H3071=MappingTables!$C$34,H3071=MappingTables!$C$35),W3071,0))</f>
        <v>0</v>
      </c>
    </row>
    <row r="3072" spans="2:24" s="0" customFormat="0" ht="15">
      <c r="B3072" s="69" t="s">
        <v>2546</v>
      </c>
      <c r="C3072" s="70" t="s">
        <v>2547</v>
      </c>
      <c r="D3072" s="70" t="s">
        <v>1</v>
      </c>
      <c r="E3072" s="70" t="s">
        <v>1</v>
      </c>
      <c r="F3072" s="70"/>
      <c r="G3072" s="70" t="s">
        <v>61</v>
      </c>
      <c r="H3072" s="70" t="s">
        <v>178</v>
      </c>
      <c r="I3072" s="70" t="s">
        <v>181</v>
      </c>
      <c r="J3072" s="71">
        <f>IF(OR(I3072=0,I3072=""),"unrated",VLOOKUP(I3072,MappingTables!$B$19:$C$31,2,FALSE))</f>
        <v>3</v>
      </c>
      <c r="K3072" s="72">
        <v>9692.2074830320528</v>
      </c>
      <c r="L3072" s="70">
        <v>14.518323638893234</v>
      </c>
      <c r="M3072" s="71">
        <f>IF(L3072&lt;1,1,L3072)</f>
        <v>14.518323638893234</v>
      </c>
      <c r="N3072" s="70" t="s">
        <v>141</v>
      </c>
      <c r="O3072" s="71">
        <f>INDEX(DurClassMapping,MATCH(M3072,MappingTables!$D$4:$D$8,-1),1)</f>
        <v>3</v>
      </c>
      <c r="P3072" s="73">
        <f>IF(M3072=$A$1,1,$M3072-INDEX(MappingTables!$E$4:$E$8,MATCH(O3072,MappingTables!$B$4:$B$8,0)))</f>
        <v>4.5183236388932336</v>
      </c>
      <c r="Q3072" s="71">
        <f>IF(B3072="",0,INDEX(ModelParameters!$D$6:$K$10,MATCH($O3072,ModelParameters!$B$6:$B$10,0),MATCH($J3072,ModelParameters!$D$5:$K$5,0)))</f>
        <v>0.01</v>
      </c>
      <c r="R3072" s="71">
        <f>IF(B3072="",0,INDEX(ModelParameters!$D$13:$K$17,MATCH($O3072,ModelParameters!$B$13:$B$17,0),MATCH($J3072,ModelParameters!$D$5:$K$5,0)))</f>
        <v>0.2</v>
      </c>
      <c r="S3072" s="160">
        <f>IF(B3072="",0,MIN(IF($N3072="Other Bond TM",ModelParameters!$N$21,1)*(P3072*Q3072+R3072),1))</f>
        <v>0.24518323638893236</v>
      </c>
      <c r="T3072" s="85">
        <f>IF(B3072="",0,$S3072*$K3072)</f>
        <v>2376.3667984428268</v>
      </c>
      <c r="U3072" s="85">
        <f>IF(B3072="",0,IF(OR(H3072=MappingTables!$C$34,H3072=MappingTables!$C$35),T3072,0))</f>
        <v>0</v>
      </c>
      <c r="V3072" s="85">
        <f>IF(ISNA(IF(AND(VLOOKUP(CONCATENATE($D3072,$G3072),CSRFinput!$B:$E,4,0)=0,OR(H3072=MappingTables!$C$34,H3072=MappingTables!$C$35)),1,VLOOKUP(CONCATENATE($D3072,$G3072),CSRFinput!$B:$E,4,0))),0,IF(AND(VLOOKUP(CONCATENATE($D3072,$G3072),CSRFinput!$B:$E,4,0)=0,OR(H3072=MappingTables!$C$34,H3072=MappingTables!$C$35)),1,VLOOKUP(CONCATENATE($D3072,$G3072),CSRFinput!$B:$E,4,0)))</f>
        <v>0.054776304963434752</v>
      </c>
      <c r="W3072" s="85">
        <f>IF(B3072="",0,+$T3072*$V3072)</f>
        <v>130.16859245648536</v>
      </c>
      <c r="X3072" s="85">
        <f>IF(B3072="",0,IF(OR(H3072=MappingTables!$C$34,H3072=MappingTables!$C$35),W3072,0))</f>
        <v>0</v>
      </c>
    </row>
    <row r="3073" spans="2:24" s="0" customFormat="0" ht="15">
      <c r="B3073" s="69">
        <v>13102389</v>
      </c>
      <c r="C3073" s="70" t="s">
        <v>1284</v>
      </c>
      <c r="D3073" s="70" t="s">
        <v>1</v>
      </c>
      <c r="E3073" s="70" t="s">
        <v>1</v>
      </c>
      <c r="F3073" s="70"/>
      <c r="G3073" s="70" t="s">
        <v>61</v>
      </c>
      <c r="H3073" s="70" t="s">
        <v>178</v>
      </c>
      <c r="I3073" s="70" t="s">
        <v>188</v>
      </c>
      <c r="J3073" s="71">
        <f>IF(OR(I3073=0,I3073=""),"unrated",VLOOKUP(I3073,MappingTables!$B$19:$C$31,2,FALSE))</f>
        <v>2</v>
      </c>
      <c r="K3073" s="72">
        <v>464.64190178458048</v>
      </c>
      <c r="L3073" s="70">
        <v>0.87846518812640688</v>
      </c>
      <c r="M3073" s="71">
        <f>IF(L3073&lt;1,1,L3073)</f>
        <v>1</v>
      </c>
      <c r="N3073" s="70" t="s">
        <v>141</v>
      </c>
      <c r="O3073" s="71">
        <f>INDEX(DurClassMapping,MATCH(M3073,MappingTables!$D$4:$D$8,-1),1)</f>
        <v>1</v>
      </c>
      <c r="P3073" s="73">
        <f>IF(M3073=$A$1,1,$M3073-INDEX(MappingTables!$E$4:$E$8,MATCH(O3073,MappingTables!$B$4:$B$8,0)))</f>
        <v>1</v>
      </c>
      <c r="Q3073" s="71">
        <f>IF(B3073="",0,INDEX(ModelParameters!$D$6:$K$10,MATCH($O3073,ModelParameters!$B$6:$B$10,0),MATCH($J3073,ModelParameters!$D$5:$K$5,0)))</f>
        <v>0.013999999999999998</v>
      </c>
      <c r="R3073" s="71">
        <f>IF(B3073="",0,INDEX(ModelParameters!$D$13:$K$17,MATCH($O3073,ModelParameters!$B$13:$B$17,0),MATCH($J3073,ModelParameters!$D$5:$K$5,0)))</f>
        <v>0</v>
      </c>
      <c r="S3073" s="160">
        <f>IF(B3073="",0,MIN(IF($N3073="Other Bond TM",ModelParameters!$N$21,1)*(P3073*Q3073+R3073),1))</f>
        <v>0.013999999999999998</v>
      </c>
      <c r="T3073" s="85">
        <f>IF(B3073="",0,$S3073*$K3073)</f>
        <v>6.5049866249841256</v>
      </c>
      <c r="U3073" s="85">
        <f>IF(B3073="",0,IF(OR(H3073=MappingTables!$C$34,H3073=MappingTables!$C$35),T3073,0))</f>
        <v>0</v>
      </c>
      <c r="V3073" s="85">
        <f>IF(ISNA(IF(AND(VLOOKUP(CONCATENATE($D3073,$G3073),CSRFinput!$B:$E,4,0)=0,OR(H3073=MappingTables!$C$34,H3073=MappingTables!$C$35)),1,VLOOKUP(CONCATENATE($D3073,$G3073),CSRFinput!$B:$E,4,0))),0,IF(AND(VLOOKUP(CONCATENATE($D3073,$G3073),CSRFinput!$B:$E,4,0)=0,OR(H3073=MappingTables!$C$34,H3073=MappingTables!$C$35)),1,VLOOKUP(CONCATENATE($D3073,$G3073),CSRFinput!$B:$E,4,0)))</f>
        <v>0.054776304963434752</v>
      </c>
      <c r="W3073" s="85">
        <f>IF(B3073="",0,+$T3073*$V3073)</f>
        <v>0.35631913115319464</v>
      </c>
      <c r="X3073" s="85">
        <f>IF(B3073="",0,IF(OR(H3073=MappingTables!$C$34,H3073=MappingTables!$C$35),W3073,0))</f>
        <v>0</v>
      </c>
    </row>
    <row r="3074" spans="2:24" s="0" customFormat="0" ht="15">
      <c r="B3074" s="69" t="s">
        <v>2718</v>
      </c>
      <c r="C3074" s="70" t="s">
        <v>2719</v>
      </c>
      <c r="D3074" s="70" t="s">
        <v>1</v>
      </c>
      <c r="E3074" s="70" t="s">
        <v>1</v>
      </c>
      <c r="F3074" s="70"/>
      <c r="G3074" s="70" t="s">
        <v>61</v>
      </c>
      <c r="H3074" s="70" t="s">
        <v>178</v>
      </c>
      <c r="I3074" s="70" t="s">
        <v>179</v>
      </c>
      <c r="J3074" s="71">
        <f>IF(OR(I3074=0,I3074=""),"unrated",VLOOKUP(I3074,MappingTables!$B$19:$C$31,2,FALSE))</f>
        <v>4</v>
      </c>
      <c r="K3074" s="72">
        <v>3215.6020701521496</v>
      </c>
      <c r="L3074" s="70">
        <v>10.394584089232308</v>
      </c>
      <c r="M3074" s="71">
        <f>IF(L3074&lt;1,1,L3074)</f>
        <v>10.394584089232308</v>
      </c>
      <c r="N3074" s="70" t="s">
        <v>141</v>
      </c>
      <c r="O3074" s="71">
        <f>INDEX(DurClassMapping,MATCH(M3074,MappingTables!$D$4:$D$8,-1),1)</f>
        <v>3</v>
      </c>
      <c r="P3074" s="73">
        <f>IF(M3074=$A$1,1,$M3074-INDEX(MappingTables!$E$4:$E$8,MATCH(O3074,MappingTables!$B$4:$B$8,0)))</f>
        <v>0.39458408923230872</v>
      </c>
      <c r="Q3074" s="71">
        <f>IF(B3074="",0,INDEX(ModelParameters!$D$6:$K$10,MATCH($O3074,ModelParameters!$B$6:$B$10,0),MATCH($J3074,ModelParameters!$D$5:$K$5,0)))</f>
        <v>0.018000000000000002</v>
      </c>
      <c r="R3074" s="71">
        <f>IF(B3074="",0,INDEX(ModelParameters!$D$13:$K$17,MATCH($O3074,ModelParameters!$B$13:$B$17,0),MATCH($J3074,ModelParameters!$D$5:$K$5,0)))</f>
        <v>0.34999999999999996</v>
      </c>
      <c r="S3074" s="160">
        <f>IF(B3074="",0,MIN(IF($N3074="Other Bond TM",ModelParameters!$N$21,1)*(P3074*Q3074+R3074),1))</f>
        <v>0.35710251360618156</v>
      </c>
      <c r="T3074" s="85">
        <f>IF(B3074="",0,$S3074*$K3074)</f>
        <v>1148.2995820085736</v>
      </c>
      <c r="U3074" s="85">
        <f>IF(B3074="",0,IF(OR(H3074=MappingTables!$C$34,H3074=MappingTables!$C$35),T3074,0))</f>
        <v>0</v>
      </c>
      <c r="V3074" s="85">
        <f>IF(ISNA(IF(AND(VLOOKUP(CONCATENATE($D3074,$G3074),CSRFinput!$B:$E,4,0)=0,OR(H3074=MappingTables!$C$34,H3074=MappingTables!$C$35)),1,VLOOKUP(CONCATENATE($D3074,$G3074),CSRFinput!$B:$E,4,0))),0,IF(AND(VLOOKUP(CONCATENATE($D3074,$G3074),CSRFinput!$B:$E,4,0)=0,OR(H3074=MappingTables!$C$34,H3074=MappingTables!$C$35)),1,VLOOKUP(CONCATENATE($D3074,$G3074),CSRFinput!$B:$E,4,0)))</f>
        <v>0.054776304963434752</v>
      </c>
      <c r="W3074" s="85">
        <f>IF(B3074="",0,+$T3074*$V3074)</f>
        <v>62.899608093486288</v>
      </c>
      <c r="X3074" s="85">
        <f>IF(B3074="",0,IF(OR(H3074=MappingTables!$C$34,H3074=MappingTables!$C$35),W3074,0))</f>
        <v>0</v>
      </c>
    </row>
    <row r="3075" spans="2:24" s="0" customFormat="0" ht="15">
      <c r="B3075" s="69">
        <v>18555381</v>
      </c>
      <c r="C3075" s="70" t="s">
        <v>2211</v>
      </c>
      <c r="D3075" s="70" t="s">
        <v>1</v>
      </c>
      <c r="E3075" s="70" t="s">
        <v>1</v>
      </c>
      <c r="F3075" s="70"/>
      <c r="G3075" s="70" t="s">
        <v>61</v>
      </c>
      <c r="H3075" s="70" t="s">
        <v>178</v>
      </c>
      <c r="I3075" s="70" t="s">
        <v>181</v>
      </c>
      <c r="J3075" s="71">
        <f>IF(OR(I3075=0,I3075=""),"unrated",VLOOKUP(I3075,MappingTables!$B$19:$C$31,2,FALSE))</f>
        <v>3</v>
      </c>
      <c r="K3075" s="72">
        <v>424.86713923524664</v>
      </c>
      <c r="L3075" s="70">
        <v>0.93623607825171488</v>
      </c>
      <c r="M3075" s="71">
        <f>IF(L3075&lt;1,1,L3075)</f>
        <v>1</v>
      </c>
      <c r="N3075" s="70" t="s">
        <v>141</v>
      </c>
      <c r="O3075" s="71">
        <f>INDEX(DurClassMapping,MATCH(M3075,MappingTables!$D$4:$D$8,-1),1)</f>
        <v>1</v>
      </c>
      <c r="P3075" s="73">
        <f>IF(M3075=$A$1,1,$M3075-INDEX(MappingTables!$E$4:$E$8,MATCH(O3075,MappingTables!$B$4:$B$8,0)))</f>
        <v>1</v>
      </c>
      <c r="Q3075" s="71">
        <f>IF(B3075="",0,INDEX(ModelParameters!$D$6:$K$10,MATCH($O3075,ModelParameters!$B$6:$B$10,0),MATCH($J3075,ModelParameters!$D$5:$K$5,0)))</f>
        <v>0.025</v>
      </c>
      <c r="R3075" s="71">
        <f>IF(B3075="",0,INDEX(ModelParameters!$D$13:$K$17,MATCH($O3075,ModelParameters!$B$13:$B$17,0),MATCH($J3075,ModelParameters!$D$5:$K$5,0)))</f>
        <v>0</v>
      </c>
      <c r="S3075" s="160">
        <f>IF(B3075="",0,MIN(IF($N3075="Other Bond TM",ModelParameters!$N$21,1)*(P3075*Q3075+R3075),1))</f>
        <v>0.025</v>
      </c>
      <c r="T3075" s="85">
        <f>IF(B3075="",0,$S3075*$K3075)</f>
        <v>10.621678480881168</v>
      </c>
      <c r="U3075" s="85">
        <f>IF(B3075="",0,IF(OR(H3075=MappingTables!$C$34,H3075=MappingTables!$C$35),T3075,0))</f>
        <v>0</v>
      </c>
      <c r="V3075" s="85">
        <f>IF(ISNA(IF(AND(VLOOKUP(CONCATENATE($D3075,$G3075),CSRFinput!$B:$E,4,0)=0,OR(H3075=MappingTables!$C$34,H3075=MappingTables!$C$35)),1,VLOOKUP(CONCATENATE($D3075,$G3075),CSRFinput!$B:$E,4,0))),0,IF(AND(VLOOKUP(CONCATENATE($D3075,$G3075),CSRFinput!$B:$E,4,0)=0,OR(H3075=MappingTables!$C$34,H3075=MappingTables!$C$35)),1,VLOOKUP(CONCATENATE($D3075,$G3075),CSRFinput!$B:$E,4,0)))</f>
        <v>0.054776304963434752</v>
      </c>
      <c r="W3075" s="85">
        <f>IF(B3075="",0,+$T3075*$V3075)</f>
        <v>0.5818162996922992</v>
      </c>
      <c r="X3075" s="85">
        <f>IF(B3075="",0,IF(OR(H3075=MappingTables!$C$34,H3075=MappingTables!$C$35),W3075,0))</f>
        <v>0</v>
      </c>
    </row>
    <row r="3076" spans="2:24" s="0" customFormat="0" ht="15">
      <c r="B3076" s="69">
        <v>6429424</v>
      </c>
      <c r="C3076" s="70" t="s">
        <v>2535</v>
      </c>
      <c r="D3076" s="70" t="s">
        <v>1</v>
      </c>
      <c r="E3076" s="70" t="s">
        <v>1</v>
      </c>
      <c r="F3076" s="70"/>
      <c r="G3076" s="70" t="s">
        <v>61</v>
      </c>
      <c r="H3076" s="70" t="s">
        <v>178</v>
      </c>
      <c r="I3076" s="70" t="s">
        <v>181</v>
      </c>
      <c r="J3076" s="71">
        <f>IF(OR(I3076=0,I3076=""),"unrated",VLOOKUP(I3076,MappingTables!$B$19:$C$31,2,FALSE))</f>
        <v>3</v>
      </c>
      <c r="K3076" s="72">
        <v>9274.1334873761584</v>
      </c>
      <c r="L3076" s="70">
        <v>1.772954897556654</v>
      </c>
      <c r="M3076" s="71">
        <f>IF(L3076&lt;1,1,L3076)</f>
        <v>1.772954897556654</v>
      </c>
      <c r="N3076" s="70" t="s">
        <v>141</v>
      </c>
      <c r="O3076" s="71">
        <f>INDEX(DurClassMapping,MATCH(M3076,MappingTables!$D$4:$D$8,-1),1)</f>
        <v>1</v>
      </c>
      <c r="P3076" s="73">
        <f>IF(M3076=$A$1,1,$M3076-INDEX(MappingTables!$E$4:$E$8,MATCH(O3076,MappingTables!$B$4:$B$8,0)))</f>
        <v>1.772954897556654</v>
      </c>
      <c r="Q3076" s="71">
        <f>IF(B3076="",0,INDEX(ModelParameters!$D$6:$K$10,MATCH($O3076,ModelParameters!$B$6:$B$10,0),MATCH($J3076,ModelParameters!$D$5:$K$5,0)))</f>
        <v>0.025</v>
      </c>
      <c r="R3076" s="71">
        <f>IF(B3076="",0,INDEX(ModelParameters!$D$13:$K$17,MATCH($O3076,ModelParameters!$B$13:$B$17,0),MATCH($J3076,ModelParameters!$D$5:$K$5,0)))</f>
        <v>0</v>
      </c>
      <c r="S3076" s="160">
        <f>IF(B3076="",0,MIN(IF($N3076="Other Bond TM",ModelParameters!$N$21,1)*(P3076*Q3076+R3076),1))</f>
        <v>0.044323872438916352</v>
      </c>
      <c r="T3076" s="85">
        <f>IF(B3076="",0,$S3076*$K3076)</f>
        <v>411.06550967594336</v>
      </c>
      <c r="U3076" s="85">
        <f>IF(B3076="",0,IF(OR(H3076=MappingTables!$C$34,H3076=MappingTables!$C$35),T3076,0))</f>
        <v>0</v>
      </c>
      <c r="V3076" s="85">
        <f>IF(ISNA(IF(AND(VLOOKUP(CONCATENATE($D3076,$G3076),CSRFinput!$B:$E,4,0)=0,OR(H3076=MappingTables!$C$34,H3076=MappingTables!$C$35)),1,VLOOKUP(CONCATENATE($D3076,$G3076),CSRFinput!$B:$E,4,0))),0,IF(AND(VLOOKUP(CONCATENATE($D3076,$G3076),CSRFinput!$B:$E,4,0)=0,OR(H3076=MappingTables!$C$34,H3076=MappingTables!$C$35)),1,VLOOKUP(CONCATENATE($D3076,$G3076),CSRFinput!$B:$E,4,0)))</f>
        <v>0.054776304963434752</v>
      </c>
      <c r="W3076" s="85">
        <f>IF(B3076="",0,+$T3076*$V3076)</f>
        <v>22.516649717959212</v>
      </c>
      <c r="X3076" s="85">
        <f>IF(B3076="",0,IF(OR(H3076=MappingTables!$C$34,H3076=MappingTables!$C$35),W3076,0))</f>
        <v>0</v>
      </c>
    </row>
    <row r="3077" spans="2:24" s="0" customFormat="0" ht="15">
      <c r="B3077" s="69">
        <v>20986313</v>
      </c>
      <c r="C3077" s="70" t="s">
        <v>2720</v>
      </c>
      <c r="D3077" s="70" t="s">
        <v>1</v>
      </c>
      <c r="E3077" s="70" t="s">
        <v>1</v>
      </c>
      <c r="F3077" s="70"/>
      <c r="G3077" s="70" t="s">
        <v>61</v>
      </c>
      <c r="H3077" s="70" t="s">
        <v>178</v>
      </c>
      <c r="I3077" s="70" t="s">
        <v>184</v>
      </c>
      <c r="J3077" s="71">
        <f>IF(OR(I3077=0,I3077=""),"unrated",VLOOKUP(I3077,MappingTables!$B$19:$C$31,2,FALSE))</f>
        <v>5</v>
      </c>
      <c r="K3077" s="72">
        <v>4065.4582023702368</v>
      </c>
      <c r="L3077" s="70">
        <v>0.6931695866017684</v>
      </c>
      <c r="M3077" s="71">
        <f>IF(L3077&lt;1,1,L3077)</f>
        <v>1</v>
      </c>
      <c r="N3077" s="70" t="s">
        <v>141</v>
      </c>
      <c r="O3077" s="71">
        <f>INDEX(DurClassMapping,MATCH(M3077,MappingTables!$D$4:$D$8,-1),1)</f>
        <v>1</v>
      </c>
      <c r="P3077" s="73">
        <f>IF(M3077=$A$1,1,$M3077-INDEX(MappingTables!$E$4:$E$8,MATCH(O3077,MappingTables!$B$4:$B$8,0)))</f>
        <v>1</v>
      </c>
      <c r="Q3077" s="71">
        <f>IF(B3077="",0,INDEX(ModelParameters!$D$6:$K$10,MATCH($O3077,ModelParameters!$B$6:$B$10,0),MATCH($J3077,ModelParameters!$D$5:$K$5,0)))</f>
        <v>0.075</v>
      </c>
      <c r="R3077" s="71">
        <f>IF(B3077="",0,INDEX(ModelParameters!$D$13:$K$17,MATCH($O3077,ModelParameters!$B$13:$B$17,0),MATCH($J3077,ModelParameters!$D$5:$K$5,0)))</f>
        <v>0</v>
      </c>
      <c r="S3077" s="160">
        <f>IF(B3077="",0,MIN(IF($N3077="Other Bond TM",ModelParameters!$N$21,1)*(P3077*Q3077+R3077),1))</f>
        <v>0.075</v>
      </c>
      <c r="T3077" s="85">
        <f>IF(B3077="",0,$S3077*$K3077)</f>
        <v>304.90936517776772</v>
      </c>
      <c r="U3077" s="85">
        <f>IF(B3077="",0,IF(OR(H3077=MappingTables!$C$34,H3077=MappingTables!$C$35),T3077,0))</f>
        <v>0</v>
      </c>
      <c r="V3077" s="85">
        <f>IF(ISNA(IF(AND(VLOOKUP(CONCATENATE($D3077,$G3077),CSRFinput!$B:$E,4,0)=0,OR(H3077=MappingTables!$C$34,H3077=MappingTables!$C$35)),1,VLOOKUP(CONCATENATE($D3077,$G3077),CSRFinput!$B:$E,4,0))),0,IF(AND(VLOOKUP(CONCATENATE($D3077,$G3077),CSRFinput!$B:$E,4,0)=0,OR(H3077=MappingTables!$C$34,H3077=MappingTables!$C$35)),1,VLOOKUP(CONCATENATE($D3077,$G3077),CSRFinput!$B:$E,4,0)))</f>
        <v>0.054776304963434752</v>
      </c>
      <c r="W3077" s="85">
        <f>IF(B3077="",0,+$T3077*$V3077)</f>
        <v>16.701808373184698</v>
      </c>
      <c r="X3077" s="85">
        <f>IF(B3077="",0,IF(OR(H3077=MappingTables!$C$34,H3077=MappingTables!$C$35),W3077,0))</f>
        <v>0</v>
      </c>
    </row>
    <row r="3078" spans="2:24" s="0" customFormat="0" ht="15">
      <c r="B3078" s="69">
        <v>2924639</v>
      </c>
      <c r="C3078" s="70" t="s">
        <v>2721</v>
      </c>
      <c r="D3078" s="70" t="s">
        <v>1</v>
      </c>
      <c r="E3078" s="70" t="s">
        <v>1</v>
      </c>
      <c r="F3078" s="70"/>
      <c r="G3078" s="70" t="s">
        <v>61</v>
      </c>
      <c r="H3078" s="70" t="s">
        <v>178</v>
      </c>
      <c r="I3078" s="70" t="s">
        <v>181</v>
      </c>
      <c r="J3078" s="71">
        <f>IF(OR(I3078=0,I3078=""),"unrated",VLOOKUP(I3078,MappingTables!$B$19:$C$31,2,FALSE))</f>
        <v>3</v>
      </c>
      <c r="K3078" s="72">
        <v>9.7813868318935984</v>
      </c>
      <c r="L3078" s="70">
        <v>10.89873909958542</v>
      </c>
      <c r="M3078" s="71">
        <f>IF(L3078&lt;1,1,L3078)</f>
        <v>10.89873909958542</v>
      </c>
      <c r="N3078" s="70" t="s">
        <v>141</v>
      </c>
      <c r="O3078" s="71">
        <f>INDEX(DurClassMapping,MATCH(M3078,MappingTables!$D$4:$D$8,-1),1)</f>
        <v>3</v>
      </c>
      <c r="P3078" s="73">
        <f>IF(M3078=$A$1,1,$M3078-INDEX(MappingTables!$E$4:$E$8,MATCH(O3078,MappingTables!$B$4:$B$8,0)))</f>
        <v>0.89873909958541984</v>
      </c>
      <c r="Q3078" s="71">
        <f>IF(B3078="",0,INDEX(ModelParameters!$D$6:$K$10,MATCH($O3078,ModelParameters!$B$6:$B$10,0),MATCH($J3078,ModelParameters!$D$5:$K$5,0)))</f>
        <v>0.01</v>
      </c>
      <c r="R3078" s="71">
        <f>IF(B3078="",0,INDEX(ModelParameters!$D$13:$K$17,MATCH($O3078,ModelParameters!$B$13:$B$17,0),MATCH($J3078,ModelParameters!$D$5:$K$5,0)))</f>
        <v>0.2</v>
      </c>
      <c r="S3078" s="160">
        <f>IF(B3078="",0,MIN(IF($N3078="Other Bond TM",ModelParameters!$N$21,1)*(P3078*Q3078+R3078),1))</f>
        <v>0.2089873909958542</v>
      </c>
      <c r="T3078" s="85">
        <f>IF(B3078="",0,$S3078*$K3078)</f>
        <v>2.0441865143186472</v>
      </c>
      <c r="U3078" s="85">
        <f>IF(B3078="",0,IF(OR(H3078=MappingTables!$C$34,H3078=MappingTables!$C$35),T3078,0))</f>
        <v>0</v>
      </c>
      <c r="V3078" s="85">
        <f>IF(ISNA(IF(AND(VLOOKUP(CONCATENATE($D3078,$G3078),CSRFinput!$B:$E,4,0)=0,OR(H3078=MappingTables!$C$34,H3078=MappingTables!$C$35)),1,VLOOKUP(CONCATENATE($D3078,$G3078),CSRFinput!$B:$E,4,0))),0,IF(AND(VLOOKUP(CONCATENATE($D3078,$G3078),CSRFinput!$B:$E,4,0)=0,OR(H3078=MappingTables!$C$34,H3078=MappingTables!$C$35)),1,VLOOKUP(CONCATENATE($D3078,$G3078),CSRFinput!$B:$E,4,0)))</f>
        <v>0.054776304963434752</v>
      </c>
      <c r="W3078" s="85">
        <f>IF(B3078="",0,+$T3078*$V3078)</f>
        <v>0.1119729839104589</v>
      </c>
      <c r="X3078" s="85">
        <f>IF(B3078="",0,IF(OR(H3078=MappingTables!$C$34,H3078=MappingTables!$C$35),W3078,0))</f>
        <v>0</v>
      </c>
    </row>
    <row r="3079" spans="2:24" s="0" customFormat="0" ht="15">
      <c r="B3079" s="69" t="s">
        <v>2722</v>
      </c>
      <c r="C3079" s="70" t="s">
        <v>2723</v>
      </c>
      <c r="D3079" s="70" t="s">
        <v>1</v>
      </c>
      <c r="E3079" s="70" t="s">
        <v>1</v>
      </c>
      <c r="F3079" s="70"/>
      <c r="G3079" s="70" t="s">
        <v>61</v>
      </c>
      <c r="H3079" s="70" t="s">
        <v>178</v>
      </c>
      <c r="I3079" s="70" t="s">
        <v>179</v>
      </c>
      <c r="J3079" s="71">
        <f>IF(OR(I3079=0,I3079=""),"unrated",VLOOKUP(I3079,MappingTables!$B$19:$C$31,2,FALSE))</f>
        <v>4</v>
      </c>
      <c r="K3079" s="72">
        <v>456.48997416402184</v>
      </c>
      <c r="L3079" s="70">
        <v>4.1185639341809504</v>
      </c>
      <c r="M3079" s="71">
        <f>IF(L3079&lt;1,1,L3079)</f>
        <v>4.1185639341809504</v>
      </c>
      <c r="N3079" s="70" t="s">
        <v>141</v>
      </c>
      <c r="O3079" s="71">
        <f>INDEX(DurClassMapping,MATCH(M3079,MappingTables!$D$4:$D$8,-1),1)</f>
        <v>1</v>
      </c>
      <c r="P3079" s="73">
        <f>IF(M3079=$A$1,1,$M3079-INDEX(MappingTables!$E$4:$E$8,MATCH(O3079,MappingTables!$B$4:$B$8,0)))</f>
        <v>4.1185639341809504</v>
      </c>
      <c r="Q3079" s="71">
        <f>IF(B3079="",0,INDEX(ModelParameters!$D$6:$K$10,MATCH($O3079,ModelParameters!$B$6:$B$10,0),MATCH($J3079,ModelParameters!$D$5:$K$5,0)))</f>
        <v>0.045</v>
      </c>
      <c r="R3079" s="71">
        <f>IF(B3079="",0,INDEX(ModelParameters!$D$13:$K$17,MATCH($O3079,ModelParameters!$B$13:$B$17,0),MATCH($J3079,ModelParameters!$D$5:$K$5,0)))</f>
        <v>0</v>
      </c>
      <c r="S3079" s="160">
        <f>IF(B3079="",0,MIN(IF($N3079="Other Bond TM",ModelParameters!$N$21,1)*(P3079*Q3079+R3079),1))</f>
        <v>0.18533537703814276</v>
      </c>
      <c r="T3079" s="85">
        <f>IF(B3079="",0,$S3079*$K3079)</f>
        <v>84.60374147582104</v>
      </c>
      <c r="U3079" s="85">
        <f>IF(B3079="",0,IF(OR(H3079=MappingTables!$C$34,H3079=MappingTables!$C$35),T3079,0))</f>
        <v>0</v>
      </c>
      <c r="V3079" s="85">
        <f>IF(ISNA(IF(AND(VLOOKUP(CONCATENATE($D3079,$G3079),CSRFinput!$B:$E,4,0)=0,OR(H3079=MappingTables!$C$34,H3079=MappingTables!$C$35)),1,VLOOKUP(CONCATENATE($D3079,$G3079),CSRFinput!$B:$E,4,0))),0,IF(AND(VLOOKUP(CONCATENATE($D3079,$G3079),CSRFinput!$B:$E,4,0)=0,OR(H3079=MappingTables!$C$34,H3079=MappingTables!$C$35)),1,VLOOKUP(CONCATENATE($D3079,$G3079),CSRFinput!$B:$E,4,0)))</f>
        <v>0.054776304963434752</v>
      </c>
      <c r="W3079" s="85">
        <f>IF(B3079="",0,+$T3079*$V3079)</f>
        <v>4.6342803441271664</v>
      </c>
      <c r="X3079" s="85">
        <f>IF(B3079="",0,IF(OR(H3079=MappingTables!$C$34,H3079=MappingTables!$C$35),W3079,0))</f>
        <v>0</v>
      </c>
    </row>
    <row r="3080" spans="2:24" s="0" customFormat="0" ht="15">
      <c r="B3080" s="69">
        <v>23237422</v>
      </c>
      <c r="C3080" s="70" t="s">
        <v>2273</v>
      </c>
      <c r="D3080" s="70" t="s">
        <v>1</v>
      </c>
      <c r="E3080" s="70" t="s">
        <v>1</v>
      </c>
      <c r="F3080" s="70"/>
      <c r="G3080" s="70" t="s">
        <v>61</v>
      </c>
      <c r="H3080" s="70" t="s">
        <v>178</v>
      </c>
      <c r="I3080" s="70" t="s">
        <v>220</v>
      </c>
      <c r="J3080" s="71">
        <f>IF(OR(I3080=0,I3080=""),"unrated",VLOOKUP(I3080,MappingTables!$B$19:$C$31,2,FALSE))</f>
        <v>1</v>
      </c>
      <c r="K3080" s="72">
        <v>2831.6889114919364</v>
      </c>
      <c r="L3080" s="70">
        <v>0.1561600221038078</v>
      </c>
      <c r="M3080" s="71">
        <f>IF(L3080&lt;1,1,L3080)</f>
        <v>1</v>
      </c>
      <c r="N3080" s="70" t="s">
        <v>141</v>
      </c>
      <c r="O3080" s="71">
        <f>INDEX(DurClassMapping,MATCH(M3080,MappingTables!$D$4:$D$8,-1),1)</f>
        <v>1</v>
      </c>
      <c r="P3080" s="73">
        <f>IF(M3080=$A$1,1,$M3080-INDEX(MappingTables!$E$4:$E$8,MATCH(O3080,MappingTables!$B$4:$B$8,0)))</f>
        <v>1</v>
      </c>
      <c r="Q3080" s="71">
        <f>IF(B3080="",0,INDEX(ModelParameters!$D$6:$K$10,MATCH($O3080,ModelParameters!$B$6:$B$10,0),MATCH($J3080,ModelParameters!$D$5:$K$5,0)))</f>
        <v>0.011000000000000002</v>
      </c>
      <c r="R3080" s="71">
        <f>IF(B3080="",0,INDEX(ModelParameters!$D$13:$K$17,MATCH($O3080,ModelParameters!$B$13:$B$17,0),MATCH($J3080,ModelParameters!$D$5:$K$5,0)))</f>
        <v>0</v>
      </c>
      <c r="S3080" s="160">
        <f>IF(B3080="",0,MIN(IF($N3080="Other Bond TM",ModelParameters!$N$21,1)*(P3080*Q3080+R3080),1))</f>
        <v>0.011000000000000002</v>
      </c>
      <c r="T3080" s="85">
        <f>IF(B3080="",0,$S3080*$K3080)</f>
        <v>31.148578026411304</v>
      </c>
      <c r="U3080" s="85">
        <f>IF(B3080="",0,IF(OR(H3080=MappingTables!$C$34,H3080=MappingTables!$C$35),T3080,0))</f>
        <v>0</v>
      </c>
      <c r="V3080" s="85">
        <f>IF(ISNA(IF(AND(VLOOKUP(CONCATENATE($D3080,$G3080),CSRFinput!$B:$E,4,0)=0,OR(H3080=MappingTables!$C$34,H3080=MappingTables!$C$35)),1,VLOOKUP(CONCATENATE($D3080,$G3080),CSRFinput!$B:$E,4,0))),0,IF(AND(VLOOKUP(CONCATENATE($D3080,$G3080),CSRFinput!$B:$E,4,0)=0,OR(H3080=MappingTables!$C$34,H3080=MappingTables!$C$35)),1,VLOOKUP(CONCATENATE($D3080,$G3080),CSRFinput!$B:$E,4,0)))</f>
        <v>0.054776304963434752</v>
      </c>
      <c r="W3080" s="85">
        <f>IF(B3080="",0,+$T3080*$V3080)</f>
        <v>1.7062040091520482</v>
      </c>
      <c r="X3080" s="85">
        <f>IF(B3080="",0,IF(OR(H3080=MappingTables!$C$34,H3080=MappingTables!$C$35),W3080,0))</f>
        <v>0</v>
      </c>
    </row>
    <row r="3081" spans="2:24" s="0" customFormat="0" ht="15">
      <c r="B3081" s="69">
        <v>1902559</v>
      </c>
      <c r="C3081" s="70" t="s">
        <v>1947</v>
      </c>
      <c r="D3081" s="70" t="s">
        <v>1</v>
      </c>
      <c r="E3081" s="70" t="s">
        <v>1</v>
      </c>
      <c r="F3081" s="70"/>
      <c r="G3081" s="70" t="s">
        <v>61</v>
      </c>
      <c r="H3081" s="70" t="s">
        <v>178</v>
      </c>
      <c r="I3081" s="70" t="s">
        <v>181</v>
      </c>
      <c r="J3081" s="71">
        <f>IF(OR(I3081=0,I3081=""),"unrated",VLOOKUP(I3081,MappingTables!$B$19:$C$31,2,FALSE))</f>
        <v>3</v>
      </c>
      <c r="K3081" s="72">
        <v>1392.162885107662</v>
      </c>
      <c r="L3081" s="70">
        <v>11.295454031541744</v>
      </c>
      <c r="M3081" s="71">
        <f>IF(L3081&lt;1,1,L3081)</f>
        <v>11.295454031541744</v>
      </c>
      <c r="N3081" s="70" t="s">
        <v>141</v>
      </c>
      <c r="O3081" s="71">
        <f>INDEX(DurClassMapping,MATCH(M3081,MappingTables!$D$4:$D$8,-1),1)</f>
        <v>3</v>
      </c>
      <c r="P3081" s="73">
        <f>IF(M3081=$A$1,1,$M3081-INDEX(MappingTables!$E$4:$E$8,MATCH(O3081,MappingTables!$B$4:$B$8,0)))</f>
        <v>1.2954540315417446</v>
      </c>
      <c r="Q3081" s="71">
        <f>IF(B3081="",0,INDEX(ModelParameters!$D$6:$K$10,MATCH($O3081,ModelParameters!$B$6:$B$10,0),MATCH($J3081,ModelParameters!$D$5:$K$5,0)))</f>
        <v>0.01</v>
      </c>
      <c r="R3081" s="71">
        <f>IF(B3081="",0,INDEX(ModelParameters!$D$13:$K$17,MATCH($O3081,ModelParameters!$B$13:$B$17,0),MATCH($J3081,ModelParameters!$D$5:$K$5,0)))</f>
        <v>0.2</v>
      </c>
      <c r="S3081" s="160">
        <f>IF(B3081="",0,MIN(IF($N3081="Other Bond TM",ModelParameters!$N$21,1)*(P3081*Q3081+R3081),1))</f>
        <v>0.21295454031541748</v>
      </c>
      <c r="T3081" s="85">
        <f>IF(B3081="",0,$S3081*$K3081)</f>
        <v>296.46740724228748</v>
      </c>
      <c r="U3081" s="85">
        <f>IF(B3081="",0,IF(OR(H3081=MappingTables!$C$34,H3081=MappingTables!$C$35),T3081,0))</f>
        <v>0</v>
      </c>
      <c r="V3081" s="85">
        <f>IF(ISNA(IF(AND(VLOOKUP(CONCATENATE($D3081,$G3081),CSRFinput!$B:$E,4,0)=0,OR(H3081=MappingTables!$C$34,H3081=MappingTables!$C$35)),1,VLOOKUP(CONCATENATE($D3081,$G3081),CSRFinput!$B:$E,4,0))),0,IF(AND(VLOOKUP(CONCATENATE($D3081,$G3081),CSRFinput!$B:$E,4,0)=0,OR(H3081=MappingTables!$C$34,H3081=MappingTables!$C$35)),1,VLOOKUP(CONCATENATE($D3081,$G3081),CSRFinput!$B:$E,4,0)))</f>
        <v>0.054776304963434752</v>
      </c>
      <c r="W3081" s="85">
        <f>IF(B3081="",0,+$T3081*$V3081)</f>
        <v>16.239389110822344</v>
      </c>
      <c r="X3081" s="85">
        <f>IF(B3081="",0,IF(OR(H3081=MappingTables!$C$34,H3081=MappingTables!$C$35),W3081,0))</f>
        <v>0</v>
      </c>
    </row>
    <row r="3082" spans="2:24" s="0" customFormat="0" ht="15">
      <c r="B3082" s="69" t="s">
        <v>1917</v>
      </c>
      <c r="C3082" s="70" t="s">
        <v>1918</v>
      </c>
      <c r="D3082" s="70" t="s">
        <v>1</v>
      </c>
      <c r="E3082" s="70" t="s">
        <v>1</v>
      </c>
      <c r="F3082" s="70"/>
      <c r="G3082" s="70" t="s">
        <v>61</v>
      </c>
      <c r="H3082" s="70" t="s">
        <v>178</v>
      </c>
      <c r="I3082" s="70" t="s">
        <v>198</v>
      </c>
      <c r="J3082" s="71" t="str">
        <f>IF(OR(I3082=0,I3082=""),"unrated",VLOOKUP(I3082,MappingTables!$B$19:$C$31,2,FALSE))</f>
        <v>unrated</v>
      </c>
      <c r="K3082" s="72">
        <v>0.42012251138104864</v>
      </c>
      <c r="L3082" s="70">
        <v>0.20548406501550036</v>
      </c>
      <c r="M3082" s="71">
        <f>IF(L3082&lt;1,1,L3082)</f>
        <v>1</v>
      </c>
      <c r="N3082" s="70" t="s">
        <v>141</v>
      </c>
      <c r="O3082" s="71">
        <f>INDEX(DurClassMapping,MATCH(M3082,MappingTables!$D$4:$D$8,-1),1)</f>
        <v>1</v>
      </c>
      <c r="P3082" s="73">
        <f>IF(M3082=$A$1,1,$M3082-INDEX(MappingTables!$E$4:$E$8,MATCH(O3082,MappingTables!$B$4:$B$8,0)))</f>
        <v>1</v>
      </c>
      <c r="Q3082" s="71">
        <f>IF(B3082="",0,INDEX(ModelParameters!$D$6:$K$10,MATCH($O3082,ModelParameters!$B$6:$B$10,0),MATCH($J3082,ModelParameters!$D$5:$K$5,0)))</f>
        <v>0.03</v>
      </c>
      <c r="R3082" s="71">
        <f>IF(B3082="",0,INDEX(ModelParameters!$D$13:$K$17,MATCH($O3082,ModelParameters!$B$13:$B$17,0),MATCH($J3082,ModelParameters!$D$5:$K$5,0)))</f>
        <v>0</v>
      </c>
      <c r="S3082" s="160">
        <f>IF(B3082="",0,MIN(IF($N3082="Other Bond TM",ModelParameters!$N$21,1)*(P3082*Q3082+R3082),1))</f>
        <v>0.03</v>
      </c>
      <c r="T3082" s="85">
        <f>IF(B3082="",0,$S3082*$K3082)</f>
        <v>0.012603675341431458</v>
      </c>
      <c r="U3082" s="85">
        <f>IF(B3082="",0,IF(OR(H3082=MappingTables!$C$34,H3082=MappingTables!$C$35),T3082,0))</f>
        <v>0</v>
      </c>
      <c r="V3082" s="85">
        <f>IF(ISNA(IF(AND(VLOOKUP(CONCATENATE($D3082,$G3082),CSRFinput!$B:$E,4,0)=0,OR(H3082=MappingTables!$C$34,H3082=MappingTables!$C$35)),1,VLOOKUP(CONCATENATE($D3082,$G3082),CSRFinput!$B:$E,4,0))),0,IF(AND(VLOOKUP(CONCATENATE($D3082,$G3082),CSRFinput!$B:$E,4,0)=0,OR(H3082=MappingTables!$C$34,H3082=MappingTables!$C$35)),1,VLOOKUP(CONCATENATE($D3082,$G3082),CSRFinput!$B:$E,4,0)))</f>
        <v>0.054776304963434752</v>
      </c>
      <c r="W3082" s="85">
        <f>IF(B3082="",0,+$T3082*$V3082)</f>
        <v>0.00069038276416237216</v>
      </c>
      <c r="X3082" s="85">
        <f>IF(B3082="",0,IF(OR(H3082=MappingTables!$C$34,H3082=MappingTables!$C$35),W3082,0))</f>
        <v>0</v>
      </c>
    </row>
    <row r="3083" spans="2:24" s="0" customFormat="0" ht="15">
      <c r="B3083" s="69" t="s">
        <v>1755</v>
      </c>
      <c r="C3083" s="70" t="s">
        <v>1756</v>
      </c>
      <c r="D3083" s="70" t="s">
        <v>1</v>
      </c>
      <c r="E3083" s="70" t="s">
        <v>1</v>
      </c>
      <c r="F3083" s="70"/>
      <c r="G3083" s="70" t="s">
        <v>61</v>
      </c>
      <c r="H3083" s="70" t="s">
        <v>178</v>
      </c>
      <c r="I3083" s="70" t="s">
        <v>181</v>
      </c>
      <c r="J3083" s="71">
        <f>IF(OR(I3083=0,I3083=""),"unrated",VLOOKUP(I3083,MappingTables!$B$19:$C$31,2,FALSE))</f>
        <v>3</v>
      </c>
      <c r="K3083" s="72">
        <v>1600.8168021474998</v>
      </c>
      <c r="L3083" s="70">
        <v>1.2642790627056424</v>
      </c>
      <c r="M3083" s="71">
        <f>IF(L3083&lt;1,1,L3083)</f>
        <v>1.2642790627056424</v>
      </c>
      <c r="N3083" s="70" t="s">
        <v>141</v>
      </c>
      <c r="O3083" s="71">
        <f>INDEX(DurClassMapping,MATCH(M3083,MappingTables!$D$4:$D$8,-1),1)</f>
        <v>1</v>
      </c>
      <c r="P3083" s="73">
        <f>IF(M3083=$A$1,1,$M3083-INDEX(MappingTables!$E$4:$E$8,MATCH(O3083,MappingTables!$B$4:$B$8,0)))</f>
        <v>1.2642790627056424</v>
      </c>
      <c r="Q3083" s="71">
        <f>IF(B3083="",0,INDEX(ModelParameters!$D$6:$K$10,MATCH($O3083,ModelParameters!$B$6:$B$10,0),MATCH($J3083,ModelParameters!$D$5:$K$5,0)))</f>
        <v>0.025</v>
      </c>
      <c r="R3083" s="71">
        <f>IF(B3083="",0,INDEX(ModelParameters!$D$13:$K$17,MATCH($O3083,ModelParameters!$B$13:$B$17,0),MATCH($J3083,ModelParameters!$D$5:$K$5,0)))</f>
        <v>0</v>
      </c>
      <c r="S3083" s="160">
        <f>IF(B3083="",0,MIN(IF($N3083="Other Bond TM",ModelParameters!$N$21,1)*(P3083*Q3083+R3083),1))</f>
        <v>0.03160697656764106</v>
      </c>
      <c r="T3083" s="85">
        <f>IF(B3083="",0,$S3083*$K3083)</f>
        <v>50.596979154562128</v>
      </c>
      <c r="U3083" s="85">
        <f>IF(B3083="",0,IF(OR(H3083=MappingTables!$C$34,H3083=MappingTables!$C$35),T3083,0))</f>
        <v>0</v>
      </c>
      <c r="V3083" s="85">
        <f>IF(ISNA(IF(AND(VLOOKUP(CONCATENATE($D3083,$G3083),CSRFinput!$B:$E,4,0)=0,OR(H3083=MappingTables!$C$34,H3083=MappingTables!$C$35)),1,VLOOKUP(CONCATENATE($D3083,$G3083),CSRFinput!$B:$E,4,0))),0,IF(AND(VLOOKUP(CONCATENATE($D3083,$G3083),CSRFinput!$B:$E,4,0)=0,OR(H3083=MappingTables!$C$34,H3083=MappingTables!$C$35)),1,VLOOKUP(CONCATENATE($D3083,$G3083),CSRFinput!$B:$E,4,0)))</f>
        <v>0.054776304963434752</v>
      </c>
      <c r="W3083" s="85">
        <f>IF(B3083="",0,+$T3083*$V3083)</f>
        <v>2.7715155603988464</v>
      </c>
      <c r="X3083" s="85">
        <f>IF(B3083="",0,IF(OR(H3083=MappingTables!$C$34,H3083=MappingTables!$C$35),W3083,0))</f>
        <v>0</v>
      </c>
    </row>
    <row r="3084" spans="2:24" s="0" customFormat="0" ht="15">
      <c r="B3084" s="69" t="s">
        <v>2724</v>
      </c>
      <c r="C3084" s="70" t="s">
        <v>2725</v>
      </c>
      <c r="D3084" s="70" t="s">
        <v>1</v>
      </c>
      <c r="E3084" s="70" t="s">
        <v>1</v>
      </c>
      <c r="F3084" s="70"/>
      <c r="G3084" s="70" t="s">
        <v>61</v>
      </c>
      <c r="H3084" s="70" t="s">
        <v>178</v>
      </c>
      <c r="I3084" s="70" t="s">
        <v>204</v>
      </c>
      <c r="J3084" s="71">
        <f>IF(OR(I3084=0,I3084=""),"unrated",VLOOKUP(I3084,MappingTables!$B$19:$C$31,2,FALSE))</f>
        <v>6</v>
      </c>
      <c r="K3084" s="72">
        <v>45121.716917383736</v>
      </c>
      <c r="L3084" s="70">
        <v>4.148430341893764</v>
      </c>
      <c r="M3084" s="71">
        <f>IF(L3084&lt;1,1,L3084)</f>
        <v>4.148430341893764</v>
      </c>
      <c r="N3084" s="70" t="s">
        <v>141</v>
      </c>
      <c r="O3084" s="71">
        <f>INDEX(DurClassMapping,MATCH(M3084,MappingTables!$D$4:$D$8,-1),1)</f>
        <v>1</v>
      </c>
      <c r="P3084" s="73">
        <f>IF(M3084=$A$1,1,$M3084-INDEX(MappingTables!$E$4:$E$8,MATCH(O3084,MappingTables!$B$4:$B$8,0)))</f>
        <v>4.148430341893764</v>
      </c>
      <c r="Q3084" s="71">
        <f>IF(B3084="",0,INDEX(ModelParameters!$D$6:$K$10,MATCH($O3084,ModelParameters!$B$6:$B$10,0),MATCH($J3084,ModelParameters!$D$5:$K$5,0)))</f>
        <v>0.075</v>
      </c>
      <c r="R3084" s="71">
        <f>IF(B3084="",0,INDEX(ModelParameters!$D$13:$K$17,MATCH($O3084,ModelParameters!$B$13:$B$17,0),MATCH($J3084,ModelParameters!$D$5:$K$5,0)))</f>
        <v>0</v>
      </c>
      <c r="S3084" s="160">
        <f>IF(B3084="",0,MIN(IF($N3084="Other Bond TM",ModelParameters!$N$21,1)*(P3084*Q3084+R3084),1))</f>
        <v>0.31113227564203232</v>
      </c>
      <c r="T3084" s="85">
        <f>IF(B3084="",0,$S3084*$K3084)</f>
        <v>14038.82246538119</v>
      </c>
      <c r="U3084" s="85">
        <f>IF(B3084="",0,IF(OR(H3084=MappingTables!$C$34,H3084=MappingTables!$C$35),T3084,0))</f>
        <v>0</v>
      </c>
      <c r="V3084" s="85">
        <f>IF(ISNA(IF(AND(VLOOKUP(CONCATENATE($D3084,$G3084),CSRFinput!$B:$E,4,0)=0,OR(H3084=MappingTables!$C$34,H3084=MappingTables!$C$35)),1,VLOOKUP(CONCATENATE($D3084,$G3084),CSRFinput!$B:$E,4,0))),0,IF(AND(VLOOKUP(CONCATENATE($D3084,$G3084),CSRFinput!$B:$E,4,0)=0,OR(H3084=MappingTables!$C$34,H3084=MappingTables!$C$35)),1,VLOOKUP(CONCATENATE($D3084,$G3084),CSRFinput!$B:$E,4,0)))</f>
        <v>0.054776304963434752</v>
      </c>
      <c r="W3084" s="85">
        <f>IF(B3084="",0,+$T3084*$V3084)</f>
        <v>768.99482069123904</v>
      </c>
      <c r="X3084" s="85">
        <f>IF(B3084="",0,IF(OR(H3084=MappingTables!$C$34,H3084=MappingTables!$C$35),W3084,0))</f>
        <v>0</v>
      </c>
    </row>
    <row r="3085" spans="2:24" s="0" customFormat="0" ht="15">
      <c r="B3085" s="69" t="s">
        <v>824</v>
      </c>
      <c r="C3085" s="70" t="s">
        <v>825</v>
      </c>
      <c r="D3085" s="70" t="s">
        <v>1</v>
      </c>
      <c r="E3085" s="70" t="s">
        <v>1</v>
      </c>
      <c r="F3085" s="70"/>
      <c r="G3085" s="70" t="s">
        <v>61</v>
      </c>
      <c r="H3085" s="70" t="s">
        <v>178</v>
      </c>
      <c r="I3085" s="70" t="s">
        <v>179</v>
      </c>
      <c r="J3085" s="71">
        <f>IF(OR(I3085=0,I3085=""),"unrated",VLOOKUP(I3085,MappingTables!$B$19:$C$31,2,FALSE))</f>
        <v>4</v>
      </c>
      <c r="K3085" s="72">
        <v>2175.7426332592928</v>
      </c>
      <c r="L3085" s="70">
        <v>0.087672042342182032</v>
      </c>
      <c r="M3085" s="71">
        <f>IF(L3085&lt;1,1,L3085)</f>
        <v>1</v>
      </c>
      <c r="N3085" s="70" t="s">
        <v>141</v>
      </c>
      <c r="O3085" s="71">
        <f>INDEX(DurClassMapping,MATCH(M3085,MappingTables!$D$4:$D$8,-1),1)</f>
        <v>1</v>
      </c>
      <c r="P3085" s="73">
        <f>IF(M3085=$A$1,1,$M3085-INDEX(MappingTables!$E$4:$E$8,MATCH(O3085,MappingTables!$B$4:$B$8,0)))</f>
        <v>1</v>
      </c>
      <c r="Q3085" s="71">
        <f>IF(B3085="",0,INDEX(ModelParameters!$D$6:$K$10,MATCH($O3085,ModelParameters!$B$6:$B$10,0),MATCH($J3085,ModelParameters!$D$5:$K$5,0)))</f>
        <v>0.045</v>
      </c>
      <c r="R3085" s="71">
        <f>IF(B3085="",0,INDEX(ModelParameters!$D$13:$K$17,MATCH($O3085,ModelParameters!$B$13:$B$17,0),MATCH($J3085,ModelParameters!$D$5:$K$5,0)))</f>
        <v>0</v>
      </c>
      <c r="S3085" s="160">
        <f>IF(B3085="",0,MIN(IF($N3085="Other Bond TM",ModelParameters!$N$21,1)*(P3085*Q3085+R3085),1))</f>
        <v>0.045</v>
      </c>
      <c r="T3085" s="85">
        <f>IF(B3085="",0,$S3085*$K3085)</f>
        <v>97.90841849666816</v>
      </c>
      <c r="U3085" s="85">
        <f>IF(B3085="",0,IF(OR(H3085=MappingTables!$C$34,H3085=MappingTables!$C$35),T3085,0))</f>
        <v>0</v>
      </c>
      <c r="V3085" s="85">
        <f>IF(ISNA(IF(AND(VLOOKUP(CONCATENATE($D3085,$G3085),CSRFinput!$B:$E,4,0)=0,OR(H3085=MappingTables!$C$34,H3085=MappingTables!$C$35)),1,VLOOKUP(CONCATENATE($D3085,$G3085),CSRFinput!$B:$E,4,0))),0,IF(AND(VLOOKUP(CONCATENATE($D3085,$G3085),CSRFinput!$B:$E,4,0)=0,OR(H3085=MappingTables!$C$34,H3085=MappingTables!$C$35)),1,VLOOKUP(CONCATENATE($D3085,$G3085),CSRFinput!$B:$E,4,0)))</f>
        <v>0.054776304963434752</v>
      </c>
      <c r="W3085" s="85">
        <f>IF(B3085="",0,+$T3085*$V3085)</f>
        <v>5.3630613900610912</v>
      </c>
      <c r="X3085" s="85">
        <f>IF(B3085="",0,IF(OR(H3085=MappingTables!$C$34,H3085=MappingTables!$C$35),W3085,0))</f>
        <v>0</v>
      </c>
    </row>
    <row r="3086" spans="2:24" s="0" customFormat="0" ht="15">
      <c r="B3086" s="69">
        <v>16972044</v>
      </c>
      <c r="C3086" s="70" t="s">
        <v>2726</v>
      </c>
      <c r="D3086" s="70" t="s">
        <v>1</v>
      </c>
      <c r="E3086" s="70" t="s">
        <v>1</v>
      </c>
      <c r="F3086" s="70"/>
      <c r="G3086" s="70" t="s">
        <v>61</v>
      </c>
      <c r="H3086" s="70" t="s">
        <v>178</v>
      </c>
      <c r="I3086" s="70" t="s">
        <v>179</v>
      </c>
      <c r="J3086" s="71">
        <f>IF(OR(I3086=0,I3086=""),"unrated",VLOOKUP(I3086,MappingTables!$B$19:$C$31,2,FALSE))</f>
        <v>4</v>
      </c>
      <c r="K3086" s="72">
        <v>592.23704882408432</v>
      </c>
      <c r="L3086" s="70">
        <v>0.41096100215776448</v>
      </c>
      <c r="M3086" s="71">
        <f>IF(L3086&lt;1,1,L3086)</f>
        <v>1</v>
      </c>
      <c r="N3086" s="70" t="s">
        <v>141</v>
      </c>
      <c r="O3086" s="71">
        <f>INDEX(DurClassMapping,MATCH(M3086,MappingTables!$D$4:$D$8,-1),1)</f>
        <v>1</v>
      </c>
      <c r="P3086" s="73">
        <f>IF(M3086=$A$1,1,$M3086-INDEX(MappingTables!$E$4:$E$8,MATCH(O3086,MappingTables!$B$4:$B$8,0)))</f>
        <v>1</v>
      </c>
      <c r="Q3086" s="71">
        <f>IF(B3086="",0,INDEX(ModelParameters!$D$6:$K$10,MATCH($O3086,ModelParameters!$B$6:$B$10,0),MATCH($J3086,ModelParameters!$D$5:$K$5,0)))</f>
        <v>0.045</v>
      </c>
      <c r="R3086" s="71">
        <f>IF(B3086="",0,INDEX(ModelParameters!$D$13:$K$17,MATCH($O3086,ModelParameters!$B$13:$B$17,0),MATCH($J3086,ModelParameters!$D$5:$K$5,0)))</f>
        <v>0</v>
      </c>
      <c r="S3086" s="160">
        <f>IF(B3086="",0,MIN(IF($N3086="Other Bond TM",ModelParameters!$N$21,1)*(P3086*Q3086+R3086),1))</f>
        <v>0.045</v>
      </c>
      <c r="T3086" s="85">
        <f>IF(B3086="",0,$S3086*$K3086)</f>
        <v>26.650667197083796</v>
      </c>
      <c r="U3086" s="85">
        <f>IF(B3086="",0,IF(OR(H3086=MappingTables!$C$34,H3086=MappingTables!$C$35),T3086,0))</f>
        <v>0</v>
      </c>
      <c r="V3086" s="85">
        <f>IF(ISNA(IF(AND(VLOOKUP(CONCATENATE($D3086,$G3086),CSRFinput!$B:$E,4,0)=0,OR(H3086=MappingTables!$C$34,H3086=MappingTables!$C$35)),1,VLOOKUP(CONCATENATE($D3086,$G3086),CSRFinput!$B:$E,4,0))),0,IF(AND(VLOOKUP(CONCATENATE($D3086,$G3086),CSRFinput!$B:$E,4,0)=0,OR(H3086=MappingTables!$C$34,H3086=MappingTables!$C$35)),1,VLOOKUP(CONCATENATE($D3086,$G3086),CSRFinput!$B:$E,4,0)))</f>
        <v>0.054776304963434752</v>
      </c>
      <c r="W3086" s="85">
        <f>IF(B3086="",0,+$T3086*$V3086)</f>
        <v>1.4598250738664688</v>
      </c>
      <c r="X3086" s="85">
        <f>IF(B3086="",0,IF(OR(H3086=MappingTables!$C$34,H3086=MappingTables!$C$35),W3086,0))</f>
        <v>0</v>
      </c>
    </row>
    <row r="3087" spans="2:24" s="0" customFormat="0" ht="15">
      <c r="B3087" s="69">
        <v>23159574</v>
      </c>
      <c r="C3087" s="70" t="s">
        <v>2011</v>
      </c>
      <c r="D3087" s="70" t="s">
        <v>1</v>
      </c>
      <c r="E3087" s="70" t="s">
        <v>1</v>
      </c>
      <c r="F3087" s="70"/>
      <c r="G3087" s="70" t="s">
        <v>61</v>
      </c>
      <c r="H3087" s="70" t="s">
        <v>178</v>
      </c>
      <c r="I3087" s="70" t="s">
        <v>220</v>
      </c>
      <c r="J3087" s="71">
        <f>IF(OR(I3087=0,I3087=""),"unrated",VLOOKUP(I3087,MappingTables!$B$19:$C$31,2,FALSE))</f>
        <v>1</v>
      </c>
      <c r="K3087" s="72">
        <v>4072.607160386784</v>
      </c>
      <c r="L3087" s="70">
        <v>0.1561630968512201</v>
      </c>
      <c r="M3087" s="71">
        <f>IF(L3087&lt;1,1,L3087)</f>
        <v>1</v>
      </c>
      <c r="N3087" s="70" t="s">
        <v>141</v>
      </c>
      <c r="O3087" s="71">
        <f>INDEX(DurClassMapping,MATCH(M3087,MappingTables!$D$4:$D$8,-1),1)</f>
        <v>1</v>
      </c>
      <c r="P3087" s="73">
        <f>IF(M3087=$A$1,1,$M3087-INDEX(MappingTables!$E$4:$E$8,MATCH(O3087,MappingTables!$B$4:$B$8,0)))</f>
        <v>1</v>
      </c>
      <c r="Q3087" s="71">
        <f>IF(B3087="",0,INDEX(ModelParameters!$D$6:$K$10,MATCH($O3087,ModelParameters!$B$6:$B$10,0),MATCH($J3087,ModelParameters!$D$5:$K$5,0)))</f>
        <v>0.011000000000000002</v>
      </c>
      <c r="R3087" s="71">
        <f>IF(B3087="",0,INDEX(ModelParameters!$D$13:$K$17,MATCH($O3087,ModelParameters!$B$13:$B$17,0),MATCH($J3087,ModelParameters!$D$5:$K$5,0)))</f>
        <v>0</v>
      </c>
      <c r="S3087" s="160">
        <f>IF(B3087="",0,MIN(IF($N3087="Other Bond TM",ModelParameters!$N$21,1)*(P3087*Q3087+R3087),1))</f>
        <v>0.011000000000000002</v>
      </c>
      <c r="T3087" s="85">
        <f>IF(B3087="",0,$S3087*$K3087)</f>
        <v>44.798678764254632</v>
      </c>
      <c r="U3087" s="85">
        <f>IF(B3087="",0,IF(OR(H3087=MappingTables!$C$34,H3087=MappingTables!$C$35),T3087,0))</f>
        <v>0</v>
      </c>
      <c r="V3087" s="85">
        <f>IF(ISNA(IF(AND(VLOOKUP(CONCATENATE($D3087,$G3087),CSRFinput!$B:$E,4,0)=0,OR(H3087=MappingTables!$C$34,H3087=MappingTables!$C$35)),1,VLOOKUP(CONCATENATE($D3087,$G3087),CSRFinput!$B:$E,4,0))),0,IF(AND(VLOOKUP(CONCATENATE($D3087,$G3087),CSRFinput!$B:$E,4,0)=0,OR(H3087=MappingTables!$C$34,H3087=MappingTables!$C$35)),1,VLOOKUP(CONCATENATE($D3087,$G3087),CSRFinput!$B:$E,4,0)))</f>
        <v>0.054776304963434752</v>
      </c>
      <c r="W3087" s="85">
        <f>IF(B3087="",0,+$T3087*$V3087)</f>
        <v>2.45390608994976</v>
      </c>
      <c r="X3087" s="85">
        <f>IF(B3087="",0,IF(OR(H3087=MappingTables!$C$34,H3087=MappingTables!$C$35),W3087,0))</f>
        <v>0</v>
      </c>
    </row>
    <row r="3088" spans="2:24" s="0" customFormat="0" ht="15">
      <c r="B3088" s="69">
        <v>14921124</v>
      </c>
      <c r="C3088" s="70" t="s">
        <v>1593</v>
      </c>
      <c r="D3088" s="70" t="s">
        <v>1</v>
      </c>
      <c r="E3088" s="70" t="s">
        <v>1</v>
      </c>
      <c r="F3088" s="70"/>
      <c r="G3088" s="70" t="s">
        <v>61</v>
      </c>
      <c r="H3088" s="70" t="s">
        <v>178</v>
      </c>
      <c r="I3088" s="70" t="s">
        <v>181</v>
      </c>
      <c r="J3088" s="71">
        <f>IF(OR(I3088=0,I3088=""),"unrated",VLOOKUP(I3088,MappingTables!$B$19:$C$31,2,FALSE))</f>
        <v>3</v>
      </c>
      <c r="K3088" s="72">
        <v>568.7921217612384</v>
      </c>
      <c r="L3088" s="70">
        <v>1.7128419428338686</v>
      </c>
      <c r="M3088" s="71">
        <f>IF(L3088&lt;1,1,L3088)</f>
        <v>1.7128419428338686</v>
      </c>
      <c r="N3088" s="70" t="s">
        <v>141</v>
      </c>
      <c r="O3088" s="71">
        <f>INDEX(DurClassMapping,MATCH(M3088,MappingTables!$D$4:$D$8,-1),1)</f>
        <v>1</v>
      </c>
      <c r="P3088" s="73">
        <f>IF(M3088=$A$1,1,$M3088-INDEX(MappingTables!$E$4:$E$8,MATCH(O3088,MappingTables!$B$4:$B$8,0)))</f>
        <v>1.7128419428338686</v>
      </c>
      <c r="Q3088" s="71">
        <f>IF(B3088="",0,INDEX(ModelParameters!$D$6:$K$10,MATCH($O3088,ModelParameters!$B$6:$B$10,0),MATCH($J3088,ModelParameters!$D$5:$K$5,0)))</f>
        <v>0.025</v>
      </c>
      <c r="R3088" s="71">
        <f>IF(B3088="",0,INDEX(ModelParameters!$D$13:$K$17,MATCH($O3088,ModelParameters!$B$13:$B$17,0),MATCH($J3088,ModelParameters!$D$5:$K$5,0)))</f>
        <v>0</v>
      </c>
      <c r="S3088" s="160">
        <f>IF(B3088="",0,MIN(IF($N3088="Other Bond TM",ModelParameters!$N$21,1)*(P3088*Q3088+R3088),1))</f>
        <v>0.04282104857084672</v>
      </c>
      <c r="T3088" s="85">
        <f>IF(B3088="",0,$S3088*$K3088)</f>
        <v>24.356275072652948</v>
      </c>
      <c r="U3088" s="85">
        <f>IF(B3088="",0,IF(OR(H3088=MappingTables!$C$34,H3088=MappingTables!$C$35),T3088,0))</f>
        <v>0</v>
      </c>
      <c r="V3088" s="85">
        <f>IF(ISNA(IF(AND(VLOOKUP(CONCATENATE($D3088,$G3088),CSRFinput!$B:$E,4,0)=0,OR(H3088=MappingTables!$C$34,H3088=MappingTables!$C$35)),1,VLOOKUP(CONCATENATE($D3088,$G3088),CSRFinput!$B:$E,4,0))),0,IF(AND(VLOOKUP(CONCATENATE($D3088,$G3088),CSRFinput!$B:$E,4,0)=0,OR(H3088=MappingTables!$C$34,H3088=MappingTables!$C$35)),1,VLOOKUP(CONCATENATE($D3088,$G3088),CSRFinput!$B:$E,4,0)))</f>
        <v>0.054776304963434752</v>
      </c>
      <c r="W3088" s="85">
        <f>IF(B3088="",0,+$T3088*$V3088)</f>
        <v>1.334146751152942</v>
      </c>
      <c r="X3088" s="85">
        <f>IF(B3088="",0,IF(OR(H3088=MappingTables!$C$34,H3088=MappingTables!$C$35),W3088,0))</f>
        <v>0</v>
      </c>
    </row>
    <row r="3089" spans="2:24" s="0" customFormat="0" ht="15">
      <c r="B3089" s="69">
        <v>20630023</v>
      </c>
      <c r="C3089" s="70" t="s">
        <v>2644</v>
      </c>
      <c r="D3089" s="70" t="s">
        <v>1</v>
      </c>
      <c r="E3089" s="70" t="s">
        <v>1</v>
      </c>
      <c r="F3089" s="70"/>
      <c r="G3089" s="70" t="s">
        <v>61</v>
      </c>
      <c r="H3089" s="70" t="s">
        <v>178</v>
      </c>
      <c r="I3089" s="70" t="s">
        <v>179</v>
      </c>
      <c r="J3089" s="71">
        <f>IF(OR(I3089=0,I3089=""),"unrated",VLOOKUP(I3089,MappingTables!$B$19:$C$31,2,FALSE))</f>
        <v>4</v>
      </c>
      <c r="K3089" s="72">
        <v>4950.1434155765832</v>
      </c>
      <c r="L3089" s="70">
        <v>2.9933044331950112</v>
      </c>
      <c r="M3089" s="71">
        <f>IF(L3089&lt;1,1,L3089)</f>
        <v>2.9933044331950112</v>
      </c>
      <c r="N3089" s="70" t="s">
        <v>141</v>
      </c>
      <c r="O3089" s="71">
        <f>INDEX(DurClassMapping,MATCH(M3089,MappingTables!$D$4:$D$8,-1),1)</f>
        <v>1</v>
      </c>
      <c r="P3089" s="73">
        <f>IF(M3089=$A$1,1,$M3089-INDEX(MappingTables!$E$4:$E$8,MATCH(O3089,MappingTables!$B$4:$B$8,0)))</f>
        <v>2.9933044331950112</v>
      </c>
      <c r="Q3089" s="71">
        <f>IF(B3089="",0,INDEX(ModelParameters!$D$6:$K$10,MATCH($O3089,ModelParameters!$B$6:$B$10,0),MATCH($J3089,ModelParameters!$D$5:$K$5,0)))</f>
        <v>0.045</v>
      </c>
      <c r="R3089" s="71">
        <f>IF(B3089="",0,INDEX(ModelParameters!$D$13:$K$17,MATCH($O3089,ModelParameters!$B$13:$B$17,0),MATCH($J3089,ModelParameters!$D$5:$K$5,0)))</f>
        <v>0</v>
      </c>
      <c r="S3089" s="160">
        <f>IF(B3089="",0,MIN(IF($N3089="Other Bond TM",ModelParameters!$N$21,1)*(P3089*Q3089+R3089),1))</f>
        <v>0.1346986994937755</v>
      </c>
      <c r="T3089" s="85">
        <f>IF(B3089="",0,$S3089*$K3089)</f>
        <v>666.77788038584152</v>
      </c>
      <c r="U3089" s="85">
        <f>IF(B3089="",0,IF(OR(H3089=MappingTables!$C$34,H3089=MappingTables!$C$35),T3089,0))</f>
        <v>0</v>
      </c>
      <c r="V3089" s="85">
        <f>IF(ISNA(IF(AND(VLOOKUP(CONCATENATE($D3089,$G3089),CSRFinput!$B:$E,4,0)=0,OR(H3089=MappingTables!$C$34,H3089=MappingTables!$C$35)),1,VLOOKUP(CONCATENATE($D3089,$G3089),CSRFinput!$B:$E,4,0))),0,IF(AND(VLOOKUP(CONCATENATE($D3089,$G3089),CSRFinput!$B:$E,4,0)=0,OR(H3089=MappingTables!$C$34,H3089=MappingTables!$C$35)),1,VLOOKUP(CONCATENATE($D3089,$G3089),CSRFinput!$B:$E,4,0)))</f>
        <v>0.054776304963434752</v>
      </c>
      <c r="W3089" s="85">
        <f>IF(B3089="",0,+$T3089*$V3089)</f>
        <v>36.52362851888748</v>
      </c>
      <c r="X3089" s="85">
        <f>IF(B3089="",0,IF(OR(H3089=MappingTables!$C$34,H3089=MappingTables!$C$35),W3089,0))</f>
        <v>0</v>
      </c>
    </row>
    <row r="3090" spans="2:24" s="0" customFormat="0" ht="15">
      <c r="B3090" s="69">
        <v>8917854</v>
      </c>
      <c r="C3090" s="70" t="s">
        <v>1928</v>
      </c>
      <c r="D3090" s="70" t="s">
        <v>1</v>
      </c>
      <c r="E3090" s="70" t="s">
        <v>1</v>
      </c>
      <c r="F3090" s="70"/>
      <c r="G3090" s="70" t="s">
        <v>61</v>
      </c>
      <c r="H3090" s="70" t="s">
        <v>178</v>
      </c>
      <c r="I3090" s="70" t="s">
        <v>181</v>
      </c>
      <c r="J3090" s="71">
        <f>IF(OR(I3090=0,I3090=""),"unrated",VLOOKUP(I3090,MappingTables!$B$19:$C$31,2,FALSE))</f>
        <v>3</v>
      </c>
      <c r="K3090" s="72">
        <v>3555.907948049748</v>
      </c>
      <c r="L3090" s="70">
        <v>0.69700689986842536</v>
      </c>
      <c r="M3090" s="71">
        <f>IF(L3090&lt;1,1,L3090)</f>
        <v>1</v>
      </c>
      <c r="N3090" s="70" t="s">
        <v>141</v>
      </c>
      <c r="O3090" s="71">
        <f>INDEX(DurClassMapping,MATCH(M3090,MappingTables!$D$4:$D$8,-1),1)</f>
        <v>1</v>
      </c>
      <c r="P3090" s="73">
        <f>IF(M3090=$A$1,1,$M3090-INDEX(MappingTables!$E$4:$E$8,MATCH(O3090,MappingTables!$B$4:$B$8,0)))</f>
        <v>1</v>
      </c>
      <c r="Q3090" s="71">
        <f>IF(B3090="",0,INDEX(ModelParameters!$D$6:$K$10,MATCH($O3090,ModelParameters!$B$6:$B$10,0),MATCH($J3090,ModelParameters!$D$5:$K$5,0)))</f>
        <v>0.025</v>
      </c>
      <c r="R3090" s="71">
        <f>IF(B3090="",0,INDEX(ModelParameters!$D$13:$K$17,MATCH($O3090,ModelParameters!$B$13:$B$17,0),MATCH($J3090,ModelParameters!$D$5:$K$5,0)))</f>
        <v>0</v>
      </c>
      <c r="S3090" s="160">
        <f>IF(B3090="",0,MIN(IF($N3090="Other Bond TM",ModelParameters!$N$21,1)*(P3090*Q3090+R3090),1))</f>
        <v>0.025</v>
      </c>
      <c r="T3090" s="85">
        <f>IF(B3090="",0,$S3090*$K3090)</f>
        <v>88.897698701243712</v>
      </c>
      <c r="U3090" s="85">
        <f>IF(B3090="",0,IF(OR(H3090=MappingTables!$C$34,H3090=MappingTables!$C$35),T3090,0))</f>
        <v>0</v>
      </c>
      <c r="V3090" s="85">
        <f>IF(ISNA(IF(AND(VLOOKUP(CONCATENATE($D3090,$G3090),CSRFinput!$B:$E,4,0)=0,OR(H3090=MappingTables!$C$34,H3090=MappingTables!$C$35)),1,VLOOKUP(CONCATENATE($D3090,$G3090),CSRFinput!$B:$E,4,0))),0,IF(AND(VLOOKUP(CONCATENATE($D3090,$G3090),CSRFinput!$B:$E,4,0)=0,OR(H3090=MappingTables!$C$34,H3090=MappingTables!$C$35)),1,VLOOKUP(CONCATENATE($D3090,$G3090),CSRFinput!$B:$E,4,0)))</f>
        <v>0.054776304963434752</v>
      </c>
      <c r="W3090" s="85">
        <f>IF(B3090="",0,+$T3090*$V3090)</f>
        <v>4.869487454606864</v>
      </c>
      <c r="X3090" s="85">
        <f>IF(B3090="",0,IF(OR(H3090=MappingTables!$C$34,H3090=MappingTables!$C$35),W3090,0))</f>
        <v>0</v>
      </c>
    </row>
    <row r="3091" spans="2:24" s="0" customFormat="0" ht="15">
      <c r="B3091" s="69" t="s">
        <v>864</v>
      </c>
      <c r="C3091" s="70" t="s">
        <v>865</v>
      </c>
      <c r="D3091" s="70" t="s">
        <v>1</v>
      </c>
      <c r="E3091" s="70" t="s">
        <v>1</v>
      </c>
      <c r="F3091" s="70"/>
      <c r="G3091" s="70" t="s">
        <v>61</v>
      </c>
      <c r="H3091" s="70" t="s">
        <v>178</v>
      </c>
      <c r="I3091" s="70" t="s">
        <v>181</v>
      </c>
      <c r="J3091" s="71">
        <f>IF(OR(I3091=0,I3091=""),"unrated",VLOOKUP(I3091,MappingTables!$B$19:$C$31,2,FALSE))</f>
        <v>3</v>
      </c>
      <c r="K3091" s="72">
        <v>8.967496773923952</v>
      </c>
      <c r="L3091" s="70">
        <v>0.39726081052851304</v>
      </c>
      <c r="M3091" s="71">
        <f>IF(L3091&lt;1,1,L3091)</f>
        <v>1</v>
      </c>
      <c r="N3091" s="70" t="s">
        <v>141</v>
      </c>
      <c r="O3091" s="71">
        <f>INDEX(DurClassMapping,MATCH(M3091,MappingTables!$D$4:$D$8,-1),1)</f>
        <v>1</v>
      </c>
      <c r="P3091" s="73">
        <f>IF(M3091=$A$1,1,$M3091-INDEX(MappingTables!$E$4:$E$8,MATCH(O3091,MappingTables!$B$4:$B$8,0)))</f>
        <v>1</v>
      </c>
      <c r="Q3091" s="71">
        <f>IF(B3091="",0,INDEX(ModelParameters!$D$6:$K$10,MATCH($O3091,ModelParameters!$B$6:$B$10,0),MATCH($J3091,ModelParameters!$D$5:$K$5,0)))</f>
        <v>0.025</v>
      </c>
      <c r="R3091" s="71">
        <f>IF(B3091="",0,INDEX(ModelParameters!$D$13:$K$17,MATCH($O3091,ModelParameters!$B$13:$B$17,0),MATCH($J3091,ModelParameters!$D$5:$K$5,0)))</f>
        <v>0</v>
      </c>
      <c r="S3091" s="160">
        <f>IF(B3091="",0,MIN(IF($N3091="Other Bond TM",ModelParameters!$N$21,1)*(P3091*Q3091+R3091),1))</f>
        <v>0.025</v>
      </c>
      <c r="T3091" s="85">
        <f>IF(B3091="",0,$S3091*$K3091)</f>
        <v>0.2241874193480988</v>
      </c>
      <c r="U3091" s="85">
        <f>IF(B3091="",0,IF(OR(H3091=MappingTables!$C$34,H3091=MappingTables!$C$35),T3091,0))</f>
        <v>0</v>
      </c>
      <c r="V3091" s="85">
        <f>IF(ISNA(IF(AND(VLOOKUP(CONCATENATE($D3091,$G3091),CSRFinput!$B:$E,4,0)=0,OR(H3091=MappingTables!$C$34,H3091=MappingTables!$C$35)),1,VLOOKUP(CONCATENATE($D3091,$G3091),CSRFinput!$B:$E,4,0))),0,IF(AND(VLOOKUP(CONCATENATE($D3091,$G3091),CSRFinput!$B:$E,4,0)=0,OR(H3091=MappingTables!$C$34,H3091=MappingTables!$C$35)),1,VLOOKUP(CONCATENATE($D3091,$G3091),CSRFinput!$B:$E,4,0)))</f>
        <v>0.054776304963434752</v>
      </c>
      <c r="W3091" s="85">
        <f>IF(B3091="",0,+$T3091*$V3091)</f>
        <v>0.012280158451176892</v>
      </c>
      <c r="X3091" s="85">
        <f>IF(B3091="",0,IF(OR(H3091=MappingTables!$C$34,H3091=MappingTables!$C$35),W3091,0))</f>
        <v>0</v>
      </c>
    </row>
    <row r="3092" spans="2:24" s="0" customFormat="0" ht="15">
      <c r="B3092" s="69">
        <v>17398317</v>
      </c>
      <c r="C3092" s="70" t="s">
        <v>2661</v>
      </c>
      <c r="D3092" s="70" t="s">
        <v>1</v>
      </c>
      <c r="E3092" s="70" t="s">
        <v>1</v>
      </c>
      <c r="F3092" s="70"/>
      <c r="G3092" s="70" t="s">
        <v>61</v>
      </c>
      <c r="H3092" s="70" t="s">
        <v>178</v>
      </c>
      <c r="I3092" s="70" t="s">
        <v>181</v>
      </c>
      <c r="J3092" s="71">
        <f>IF(OR(I3092=0,I3092=""),"unrated",VLOOKUP(I3092,MappingTables!$B$19:$C$31,2,FALSE))</f>
        <v>3</v>
      </c>
      <c r="K3092" s="72">
        <v>13.584746268770574</v>
      </c>
      <c r="L3092" s="70">
        <v>6.5448080588425512</v>
      </c>
      <c r="M3092" s="71">
        <f>IF(L3092&lt;1,1,L3092)</f>
        <v>6.5448080588425512</v>
      </c>
      <c r="N3092" s="70" t="s">
        <v>141</v>
      </c>
      <c r="O3092" s="71">
        <f>INDEX(DurClassMapping,MATCH(M3092,MappingTables!$D$4:$D$8,-1),1)</f>
        <v>2</v>
      </c>
      <c r="P3092" s="73">
        <f>IF(M3092=$A$1,1,$M3092-INDEX(MappingTables!$E$4:$E$8,MATCH(O3092,MappingTables!$B$4:$B$8,0)))</f>
        <v>1.544808058842551</v>
      </c>
      <c r="Q3092" s="71">
        <f>IF(B3092="",0,INDEX(ModelParameters!$D$6:$K$10,MATCH($O3092,ModelParameters!$B$6:$B$10,0),MATCH($J3092,ModelParameters!$D$5:$K$5,0)))</f>
        <v>0.015</v>
      </c>
      <c r="R3092" s="71">
        <f>IF(B3092="",0,INDEX(ModelParameters!$D$13:$K$17,MATCH($O3092,ModelParameters!$B$13:$B$17,0),MATCH($J3092,ModelParameters!$D$5:$K$5,0)))</f>
        <v>0.125</v>
      </c>
      <c r="S3092" s="160">
        <f>IF(B3092="",0,MIN(IF($N3092="Other Bond TM",ModelParameters!$N$21,1)*(P3092*Q3092+R3092),1))</f>
        <v>0.14817212088263826</v>
      </c>
      <c r="T3092" s="85">
        <f>IF(B3092="",0,$S3092*$K3092)</f>
        <v>2.0128806662962428</v>
      </c>
      <c r="U3092" s="85">
        <f>IF(B3092="",0,IF(OR(H3092=MappingTables!$C$34,H3092=MappingTables!$C$35),T3092,0))</f>
        <v>0</v>
      </c>
      <c r="V3092" s="85">
        <f>IF(ISNA(IF(AND(VLOOKUP(CONCATENATE($D3092,$G3092),CSRFinput!$B:$E,4,0)=0,OR(H3092=MappingTables!$C$34,H3092=MappingTables!$C$35)),1,VLOOKUP(CONCATENATE($D3092,$G3092),CSRFinput!$B:$E,4,0))),0,IF(AND(VLOOKUP(CONCATENATE($D3092,$G3092),CSRFinput!$B:$E,4,0)=0,OR(H3092=MappingTables!$C$34,H3092=MappingTables!$C$35)),1,VLOOKUP(CONCATENATE($D3092,$G3092),CSRFinput!$B:$E,4,0)))</f>
        <v>0.054776304963434752</v>
      </c>
      <c r="W3092" s="85">
        <f>IF(B3092="",0,+$T3092*$V3092)</f>
        <v>0.11025816523204472</v>
      </c>
      <c r="X3092" s="85">
        <f>IF(B3092="",0,IF(OR(H3092=MappingTables!$C$34,H3092=MappingTables!$C$35),W3092,0))</f>
        <v>0</v>
      </c>
    </row>
    <row r="3093" spans="2:24" s="0" customFormat="0" ht="15">
      <c r="B3093" s="69">
        <v>16963941</v>
      </c>
      <c r="C3093" s="70" t="s">
        <v>2727</v>
      </c>
      <c r="D3093" s="70" t="s">
        <v>1</v>
      </c>
      <c r="E3093" s="70" t="s">
        <v>1</v>
      </c>
      <c r="F3093" s="70"/>
      <c r="G3093" s="70" t="s">
        <v>61</v>
      </c>
      <c r="H3093" s="70" t="s">
        <v>178</v>
      </c>
      <c r="I3093" s="70" t="s">
        <v>184</v>
      </c>
      <c r="J3093" s="71">
        <f>IF(OR(I3093=0,I3093=""),"unrated",VLOOKUP(I3093,MappingTables!$B$19:$C$31,2,FALSE))</f>
        <v>5</v>
      </c>
      <c r="K3093" s="72">
        <v>739.9134594964416</v>
      </c>
      <c r="L3093" s="70">
        <v>5.7441958677401616</v>
      </c>
      <c r="M3093" s="71">
        <f>IF(L3093&lt;1,1,L3093)</f>
        <v>5.7441958677401616</v>
      </c>
      <c r="N3093" s="70" t="s">
        <v>141</v>
      </c>
      <c r="O3093" s="71">
        <f>INDEX(DurClassMapping,MATCH(M3093,MappingTables!$D$4:$D$8,-1),1)</f>
        <v>2</v>
      </c>
      <c r="P3093" s="73">
        <f>IF(M3093=$A$1,1,$M3093-INDEX(MappingTables!$E$4:$E$8,MATCH(O3093,MappingTables!$B$4:$B$8,0)))</f>
        <v>0.74419586774016192</v>
      </c>
      <c r="Q3093" s="71">
        <f>IF(B3093="",0,INDEX(ModelParameters!$D$6:$K$10,MATCH($O3093,ModelParameters!$B$6:$B$10,0),MATCH($J3093,ModelParameters!$D$5:$K$5,0)))</f>
        <v>0.042</v>
      </c>
      <c r="R3093" s="71">
        <f>IF(B3093="",0,INDEX(ModelParameters!$D$13:$K$17,MATCH($O3093,ModelParameters!$B$13:$B$17,0),MATCH($J3093,ModelParameters!$D$5:$K$5,0)))</f>
        <v>0.375</v>
      </c>
      <c r="S3093" s="160">
        <f>IF(B3093="",0,MIN(IF($N3093="Other Bond TM",ModelParameters!$N$21,1)*(P3093*Q3093+R3093),1))</f>
        <v>0.4062562264450868</v>
      </c>
      <c r="T3093" s="85">
        <f>IF(B3093="",0,$S3093*$K3093)</f>
        <v>300.59444995095396</v>
      </c>
      <c r="U3093" s="85">
        <f>IF(B3093="",0,IF(OR(H3093=MappingTables!$C$34,H3093=MappingTables!$C$35),T3093,0))</f>
        <v>0</v>
      </c>
      <c r="V3093" s="85">
        <f>IF(ISNA(IF(AND(VLOOKUP(CONCATENATE($D3093,$G3093),CSRFinput!$B:$E,4,0)=0,OR(H3093=MappingTables!$C$34,H3093=MappingTables!$C$35)),1,VLOOKUP(CONCATENATE($D3093,$G3093),CSRFinput!$B:$E,4,0))),0,IF(AND(VLOOKUP(CONCATENATE($D3093,$G3093),CSRFinput!$B:$E,4,0)=0,OR(H3093=MappingTables!$C$34,H3093=MappingTables!$C$35)),1,VLOOKUP(CONCATENATE($D3093,$G3093),CSRFinput!$B:$E,4,0)))</f>
        <v>0.054776304963434752</v>
      </c>
      <c r="W3093" s="85">
        <f>IF(B3093="",0,+$T3093*$V3093)</f>
        <v>16.465453260829378</v>
      </c>
      <c r="X3093" s="85">
        <f>IF(B3093="",0,IF(OR(H3093=MappingTables!$C$34,H3093=MappingTables!$C$35),W3093,0))</f>
        <v>0</v>
      </c>
    </row>
    <row r="3094" spans="2:24" s="0" customFormat="0" ht="15">
      <c r="B3094" s="69">
        <v>2924639</v>
      </c>
      <c r="C3094" s="70" t="s">
        <v>2721</v>
      </c>
      <c r="D3094" s="70" t="s">
        <v>1</v>
      </c>
      <c r="E3094" s="70" t="s">
        <v>1</v>
      </c>
      <c r="F3094" s="70"/>
      <c r="G3094" s="70" t="s">
        <v>61</v>
      </c>
      <c r="H3094" s="70" t="s">
        <v>178</v>
      </c>
      <c r="I3094" s="70" t="s">
        <v>181</v>
      </c>
      <c r="J3094" s="71">
        <f>IF(OR(I3094=0,I3094=""),"unrated",VLOOKUP(I3094,MappingTables!$B$19:$C$31,2,FALSE))</f>
        <v>3</v>
      </c>
      <c r="K3094" s="72">
        <v>20.74698727333786</v>
      </c>
      <c r="L3094" s="70">
        <v>10.898739099585426</v>
      </c>
      <c r="M3094" s="71">
        <f>IF(L3094&lt;1,1,L3094)</f>
        <v>10.898739099585426</v>
      </c>
      <c r="N3094" s="70" t="s">
        <v>141</v>
      </c>
      <c r="O3094" s="71">
        <f>INDEX(DurClassMapping,MATCH(M3094,MappingTables!$D$4:$D$8,-1),1)</f>
        <v>3</v>
      </c>
      <c r="P3094" s="73">
        <f>IF(M3094=$A$1,1,$M3094-INDEX(MappingTables!$E$4:$E$8,MATCH(O3094,MappingTables!$B$4:$B$8,0)))</f>
        <v>0.89873909958542704</v>
      </c>
      <c r="Q3094" s="71">
        <f>IF(B3094="",0,INDEX(ModelParameters!$D$6:$K$10,MATCH($O3094,ModelParameters!$B$6:$B$10,0),MATCH($J3094,ModelParameters!$D$5:$K$5,0)))</f>
        <v>0.01</v>
      </c>
      <c r="R3094" s="71">
        <f>IF(B3094="",0,INDEX(ModelParameters!$D$13:$K$17,MATCH($O3094,ModelParameters!$B$13:$B$17,0),MATCH($J3094,ModelParameters!$D$5:$K$5,0)))</f>
        <v>0.2</v>
      </c>
      <c r="S3094" s="160">
        <f>IF(B3094="",0,MIN(IF($N3094="Other Bond TM",ModelParameters!$N$21,1)*(P3094*Q3094+R3094),1))</f>
        <v>0.20898739099585428</v>
      </c>
      <c r="T3094" s="85">
        <f>IF(B3094="",0,$S3094*$K3094)</f>
        <v>4.3358587412790728</v>
      </c>
      <c r="U3094" s="85">
        <f>IF(B3094="",0,IF(OR(H3094=MappingTables!$C$34,H3094=MappingTables!$C$35),T3094,0))</f>
        <v>0</v>
      </c>
      <c r="V3094" s="85">
        <f>IF(ISNA(IF(AND(VLOOKUP(CONCATENATE($D3094,$G3094),CSRFinput!$B:$E,4,0)=0,OR(H3094=MappingTables!$C$34,H3094=MappingTables!$C$35)),1,VLOOKUP(CONCATENATE($D3094,$G3094),CSRFinput!$B:$E,4,0))),0,IF(AND(VLOOKUP(CONCATENATE($D3094,$G3094),CSRFinput!$B:$E,4,0)=0,OR(H3094=MappingTables!$C$34,H3094=MappingTables!$C$35)),1,VLOOKUP(CONCATENATE($D3094,$G3094),CSRFinput!$B:$E,4,0)))</f>
        <v>0.054776304963434752</v>
      </c>
      <c r="W3094" s="85">
        <f>IF(B3094="",0,+$T3094*$V3094)</f>
        <v>0.23750232069067684</v>
      </c>
      <c r="X3094" s="85">
        <f>IF(B3094="",0,IF(OR(H3094=MappingTables!$C$34,H3094=MappingTables!$C$35),W3094,0))</f>
        <v>0</v>
      </c>
    </row>
    <row r="3095" spans="2:24" s="0" customFormat="0" ht="15">
      <c r="B3095" s="69" t="s">
        <v>1608</v>
      </c>
      <c r="C3095" s="70" t="s">
        <v>1609</v>
      </c>
      <c r="D3095" s="70" t="s">
        <v>1</v>
      </c>
      <c r="E3095" s="70" t="s">
        <v>1</v>
      </c>
      <c r="F3095" s="70"/>
      <c r="G3095" s="70" t="s">
        <v>61</v>
      </c>
      <c r="H3095" s="70" t="s">
        <v>178</v>
      </c>
      <c r="I3095" s="70" t="s">
        <v>188</v>
      </c>
      <c r="J3095" s="71">
        <f>IF(OR(I3095=0,I3095=""),"unrated",VLOOKUP(I3095,MappingTables!$B$19:$C$31,2,FALSE))</f>
        <v>2</v>
      </c>
      <c r="K3095" s="72">
        <v>604.80367390546544</v>
      </c>
      <c r="L3095" s="70">
        <v>2.3304099010916596</v>
      </c>
      <c r="M3095" s="71">
        <f>IF(L3095&lt;1,1,L3095)</f>
        <v>2.3304099010916596</v>
      </c>
      <c r="N3095" s="70" t="s">
        <v>141</v>
      </c>
      <c r="O3095" s="71">
        <f>INDEX(DurClassMapping,MATCH(M3095,MappingTables!$D$4:$D$8,-1),1)</f>
        <v>1</v>
      </c>
      <c r="P3095" s="73">
        <f>IF(M3095=$A$1,1,$M3095-INDEX(MappingTables!$E$4:$E$8,MATCH(O3095,MappingTables!$B$4:$B$8,0)))</f>
        <v>2.3304099010916596</v>
      </c>
      <c r="Q3095" s="71">
        <f>IF(B3095="",0,INDEX(ModelParameters!$D$6:$K$10,MATCH($O3095,ModelParameters!$B$6:$B$10,0),MATCH($J3095,ModelParameters!$D$5:$K$5,0)))</f>
        <v>0.013999999999999998</v>
      </c>
      <c r="R3095" s="71">
        <f>IF(B3095="",0,INDEX(ModelParameters!$D$13:$K$17,MATCH($O3095,ModelParameters!$B$13:$B$17,0),MATCH($J3095,ModelParameters!$D$5:$K$5,0)))</f>
        <v>0</v>
      </c>
      <c r="S3095" s="160">
        <f>IF(B3095="",0,MIN(IF($N3095="Other Bond TM",ModelParameters!$N$21,1)*(P3095*Q3095+R3095),1))</f>
        <v>0.032625738615283228</v>
      </c>
      <c r="T3095" s="85">
        <f>IF(B3095="",0,$S3095*$K3095)</f>
        <v>19.732166578402708</v>
      </c>
      <c r="U3095" s="85">
        <f>IF(B3095="",0,IF(OR(H3095=MappingTables!$C$34,H3095=MappingTables!$C$35),T3095,0))</f>
        <v>0</v>
      </c>
      <c r="V3095" s="85">
        <f>IF(ISNA(IF(AND(VLOOKUP(CONCATENATE($D3095,$G3095),CSRFinput!$B:$E,4,0)=0,OR(H3095=MappingTables!$C$34,H3095=MappingTables!$C$35)),1,VLOOKUP(CONCATENATE($D3095,$G3095),CSRFinput!$B:$E,4,0))),0,IF(AND(VLOOKUP(CONCATENATE($D3095,$G3095),CSRFinput!$B:$E,4,0)=0,OR(H3095=MappingTables!$C$34,H3095=MappingTables!$C$35)),1,VLOOKUP(CONCATENATE($D3095,$G3095),CSRFinput!$B:$E,4,0)))</f>
        <v>0.054776304963434752</v>
      </c>
      <c r="W3095" s="85">
        <f>IF(B3095="",0,+$T3095*$V3095)</f>
        <v>1.0808551740878816</v>
      </c>
      <c r="X3095" s="85">
        <f>IF(B3095="",0,IF(OR(H3095=MappingTables!$C$34,H3095=MappingTables!$C$35),W3095,0))</f>
        <v>0</v>
      </c>
    </row>
    <row r="3096" spans="2:24" s="0" customFormat="0" ht="15">
      <c r="B3096" s="69">
        <v>14041518</v>
      </c>
      <c r="C3096" s="70" t="s">
        <v>2728</v>
      </c>
      <c r="D3096" s="70" t="s">
        <v>1</v>
      </c>
      <c r="E3096" s="70" t="s">
        <v>1</v>
      </c>
      <c r="F3096" s="70"/>
      <c r="G3096" s="70" t="s">
        <v>61</v>
      </c>
      <c r="H3096" s="70" t="s">
        <v>178</v>
      </c>
      <c r="I3096" s="70" t="s">
        <v>181</v>
      </c>
      <c r="J3096" s="71">
        <f>IF(OR(I3096=0,I3096=""),"unrated",VLOOKUP(I3096,MappingTables!$B$19:$C$31,2,FALSE))</f>
        <v>3</v>
      </c>
      <c r="K3096" s="72">
        <v>43.769281431476432</v>
      </c>
      <c r="L3096" s="70">
        <v>1.2880102107575552</v>
      </c>
      <c r="M3096" s="71">
        <f>IF(L3096&lt;1,1,L3096)</f>
        <v>1.2880102107575552</v>
      </c>
      <c r="N3096" s="70" t="s">
        <v>141</v>
      </c>
      <c r="O3096" s="71">
        <f>INDEX(DurClassMapping,MATCH(M3096,MappingTables!$D$4:$D$8,-1),1)</f>
        <v>1</v>
      </c>
      <c r="P3096" s="73">
        <f>IF(M3096=$A$1,1,$M3096-INDEX(MappingTables!$E$4:$E$8,MATCH(O3096,MappingTables!$B$4:$B$8,0)))</f>
        <v>1.2880102107575552</v>
      </c>
      <c r="Q3096" s="71">
        <f>IF(B3096="",0,INDEX(ModelParameters!$D$6:$K$10,MATCH($O3096,ModelParameters!$B$6:$B$10,0),MATCH($J3096,ModelParameters!$D$5:$K$5,0)))</f>
        <v>0.025</v>
      </c>
      <c r="R3096" s="71">
        <f>IF(B3096="",0,INDEX(ModelParameters!$D$13:$K$17,MATCH($O3096,ModelParameters!$B$13:$B$17,0),MATCH($J3096,ModelParameters!$D$5:$K$5,0)))</f>
        <v>0</v>
      </c>
      <c r="S3096" s="160">
        <f>IF(B3096="",0,MIN(IF($N3096="Other Bond TM",ModelParameters!$N$21,1)*(P3096*Q3096+R3096),1))</f>
        <v>0.032200255268938884</v>
      </c>
      <c r="T3096" s="85">
        <f>IF(B3096="",0,$S3096*$K3096)</f>
        <v>1.4093820350315676</v>
      </c>
      <c r="U3096" s="85">
        <f>IF(B3096="",0,IF(OR(H3096=MappingTables!$C$34,H3096=MappingTables!$C$35),T3096,0))</f>
        <v>0</v>
      </c>
      <c r="V3096" s="85">
        <f>IF(ISNA(IF(AND(VLOOKUP(CONCATENATE($D3096,$G3096),CSRFinput!$B:$E,4,0)=0,OR(H3096=MappingTables!$C$34,H3096=MappingTables!$C$35)),1,VLOOKUP(CONCATENATE($D3096,$G3096),CSRFinput!$B:$E,4,0))),0,IF(AND(VLOOKUP(CONCATENATE($D3096,$G3096),CSRFinput!$B:$E,4,0)=0,OR(H3096=MappingTables!$C$34,H3096=MappingTables!$C$35)),1,VLOOKUP(CONCATENATE($D3096,$G3096),CSRFinput!$B:$E,4,0)))</f>
        <v>0.054776304963434752</v>
      </c>
      <c r="W3096" s="85">
        <f>IF(B3096="",0,+$T3096*$V3096)</f>
        <v>0.077200740160875424</v>
      </c>
      <c r="X3096" s="85">
        <f>IF(B3096="",0,IF(OR(H3096=MappingTables!$C$34,H3096=MappingTables!$C$35),W3096,0))</f>
        <v>0</v>
      </c>
    </row>
    <row r="3097" spans="2:24" s="0" customFormat="0" ht="15">
      <c r="B3097" s="69">
        <v>21045688</v>
      </c>
      <c r="C3097" s="70" t="s">
        <v>2729</v>
      </c>
      <c r="D3097" s="70" t="s">
        <v>1</v>
      </c>
      <c r="E3097" s="70" t="s">
        <v>1</v>
      </c>
      <c r="F3097" s="70"/>
      <c r="G3097" s="70" t="s">
        <v>61</v>
      </c>
      <c r="H3097" s="70" t="s">
        <v>178</v>
      </c>
      <c r="I3097" s="70" t="s">
        <v>220</v>
      </c>
      <c r="J3097" s="71">
        <f>IF(OR(I3097=0,I3097=""),"unrated",VLOOKUP(I3097,MappingTables!$B$19:$C$31,2,FALSE))</f>
        <v>1</v>
      </c>
      <c r="K3097" s="72">
        <v>1491256.2561035156</v>
      </c>
      <c r="L3097" s="70">
        <v>10.054930642763496</v>
      </c>
      <c r="M3097" s="71">
        <f>IF(L3097&lt;1,1,L3097)</f>
        <v>10.054930642763496</v>
      </c>
      <c r="N3097" s="70" t="s">
        <v>141</v>
      </c>
      <c r="O3097" s="71">
        <f>INDEX(DurClassMapping,MATCH(M3097,MappingTables!$D$4:$D$8,-1),1)</f>
        <v>3</v>
      </c>
      <c r="P3097" s="73">
        <f>IF(M3097=$A$1,1,$M3097-INDEX(MappingTables!$E$4:$E$8,MATCH(O3097,MappingTables!$B$4:$B$8,0)))</f>
        <v>0.054930642763496352</v>
      </c>
      <c r="Q3097" s="71">
        <f>IF(B3097="",0,INDEX(ModelParameters!$D$6:$K$10,MATCH($O3097,ModelParameters!$B$6:$B$10,0),MATCH($J3097,ModelParameters!$D$5:$K$5,0)))</f>
        <v>0.005</v>
      </c>
      <c r="R3097" s="71">
        <f>IF(B3097="",0,INDEX(ModelParameters!$D$13:$K$17,MATCH($O3097,ModelParameters!$B$13:$B$17,0),MATCH($J3097,ModelParameters!$D$5:$K$5,0)))</f>
        <v>0.085</v>
      </c>
      <c r="S3097" s="160">
        <f>IF(B3097="",0,MIN(IF($N3097="Other Bond TM",ModelParameters!$N$21,1)*(P3097*Q3097+R3097),1))</f>
        <v>0.085274653213817488</v>
      </c>
      <c r="T3097" s="85">
        <f>IF(B3097="",0,$S3097*$K3097)</f>
        <v>127166.36009216308</v>
      </c>
      <c r="U3097" s="85">
        <f>IF(B3097="",0,IF(OR(H3097=MappingTables!$C$34,H3097=MappingTables!$C$35),T3097,0))</f>
        <v>0</v>
      </c>
      <c r="V3097" s="85">
        <f>IF(ISNA(IF(AND(VLOOKUP(CONCATENATE($D3097,$G3097),CSRFinput!$B:$E,4,0)=0,OR(H3097=MappingTables!$C$34,H3097=MappingTables!$C$35)),1,VLOOKUP(CONCATENATE($D3097,$G3097),CSRFinput!$B:$E,4,0))),0,IF(AND(VLOOKUP(CONCATENATE($D3097,$G3097),CSRFinput!$B:$E,4,0)=0,OR(H3097=MappingTables!$C$34,H3097=MappingTables!$C$35)),1,VLOOKUP(CONCATENATE($D3097,$G3097),CSRFinput!$B:$E,4,0)))</f>
        <v>0.054776304963434752</v>
      </c>
      <c r="W3097" s="85">
        <f>IF(B3097="",0,+$T3097*$V3097)</f>
        <v>6965.703321498284</v>
      </c>
      <c r="X3097" s="85">
        <f>IF(B3097="",0,IF(OR(H3097=MappingTables!$C$34,H3097=MappingTables!$C$35),W3097,0))</f>
        <v>0</v>
      </c>
    </row>
    <row r="3098" spans="2:24" s="0" customFormat="0" ht="15">
      <c r="B3098" s="69" t="s">
        <v>483</v>
      </c>
      <c r="C3098" s="70" t="s">
        <v>484</v>
      </c>
      <c r="D3098" s="70" t="s">
        <v>1</v>
      </c>
      <c r="E3098" s="70" t="s">
        <v>1</v>
      </c>
      <c r="F3098" s="70"/>
      <c r="G3098" s="70" t="s">
        <v>61</v>
      </c>
      <c r="H3098" s="70" t="s">
        <v>178</v>
      </c>
      <c r="I3098" s="70" t="s">
        <v>181</v>
      </c>
      <c r="J3098" s="71">
        <f>IF(OR(I3098=0,I3098=""),"unrated",VLOOKUP(I3098,MappingTables!$B$19:$C$31,2,FALSE))</f>
        <v>3</v>
      </c>
      <c r="K3098" s="72">
        <v>497.66876217128936</v>
      </c>
      <c r="L3098" s="70">
        <v>4.1202290004319088</v>
      </c>
      <c r="M3098" s="71">
        <f>IF(L3098&lt;1,1,L3098)</f>
        <v>4.1202290004319088</v>
      </c>
      <c r="N3098" s="70" t="s">
        <v>141</v>
      </c>
      <c r="O3098" s="71">
        <f>INDEX(DurClassMapping,MATCH(M3098,MappingTables!$D$4:$D$8,-1),1)</f>
        <v>1</v>
      </c>
      <c r="P3098" s="73">
        <f>IF(M3098=$A$1,1,$M3098-INDEX(MappingTables!$E$4:$E$8,MATCH(O3098,MappingTables!$B$4:$B$8,0)))</f>
        <v>4.1202290004319088</v>
      </c>
      <c r="Q3098" s="71">
        <f>IF(B3098="",0,INDEX(ModelParameters!$D$6:$K$10,MATCH($O3098,ModelParameters!$B$6:$B$10,0),MATCH($J3098,ModelParameters!$D$5:$K$5,0)))</f>
        <v>0.025</v>
      </c>
      <c r="R3098" s="71">
        <f>IF(B3098="",0,INDEX(ModelParameters!$D$13:$K$17,MATCH($O3098,ModelParameters!$B$13:$B$17,0),MATCH($J3098,ModelParameters!$D$5:$K$5,0)))</f>
        <v>0</v>
      </c>
      <c r="S3098" s="160">
        <f>IF(B3098="",0,MIN(IF($N3098="Other Bond TM",ModelParameters!$N$21,1)*(P3098*Q3098+R3098),1))</f>
        <v>0.10300572501079774</v>
      </c>
      <c r="T3098" s="85">
        <f>IF(B3098="",0,$S3098*$K3098)</f>
        <v>51.262731662679928</v>
      </c>
      <c r="U3098" s="85">
        <f>IF(B3098="",0,IF(OR(H3098=MappingTables!$C$34,H3098=MappingTables!$C$35),T3098,0))</f>
        <v>0</v>
      </c>
      <c r="V3098" s="85">
        <f>IF(ISNA(IF(AND(VLOOKUP(CONCATENATE($D3098,$G3098),CSRFinput!$B:$E,4,0)=0,OR(H3098=MappingTables!$C$34,H3098=MappingTables!$C$35)),1,VLOOKUP(CONCATENATE($D3098,$G3098),CSRFinput!$B:$E,4,0))),0,IF(AND(VLOOKUP(CONCATENATE($D3098,$G3098),CSRFinput!$B:$E,4,0)=0,OR(H3098=MappingTables!$C$34,H3098=MappingTables!$C$35)),1,VLOOKUP(CONCATENATE($D3098,$G3098),CSRFinput!$B:$E,4,0)))</f>
        <v>0.054776304963434752</v>
      </c>
      <c r="W3098" s="85">
        <f>IF(B3098="",0,+$T3098*$V3098)</f>
        <v>2.807983022813678</v>
      </c>
      <c r="X3098" s="85">
        <f>IF(B3098="",0,IF(OR(H3098=MappingTables!$C$34,H3098=MappingTables!$C$35),W3098,0))</f>
        <v>0</v>
      </c>
    </row>
    <row r="3099" spans="2:24" s="0" customFormat="0" ht="15">
      <c r="B3099" s="69">
        <v>17170631</v>
      </c>
      <c r="C3099" s="70" t="s">
        <v>2192</v>
      </c>
      <c r="D3099" s="70" t="s">
        <v>1</v>
      </c>
      <c r="E3099" s="70" t="s">
        <v>1</v>
      </c>
      <c r="F3099" s="70"/>
      <c r="G3099" s="70" t="s">
        <v>61</v>
      </c>
      <c r="H3099" s="70" t="s">
        <v>178</v>
      </c>
      <c r="I3099" s="70" t="s">
        <v>184</v>
      </c>
      <c r="J3099" s="71">
        <f>IF(OR(I3099=0,I3099=""),"unrated",VLOOKUP(I3099,MappingTables!$B$19:$C$31,2,FALSE))</f>
        <v>5</v>
      </c>
      <c r="K3099" s="72">
        <v>2636.7048292719404</v>
      </c>
      <c r="L3099" s="70">
        <v>6.359632090868444</v>
      </c>
      <c r="M3099" s="71">
        <f>IF(L3099&lt;1,1,L3099)</f>
        <v>6.359632090868444</v>
      </c>
      <c r="N3099" s="70" t="s">
        <v>141</v>
      </c>
      <c r="O3099" s="71">
        <f>INDEX(DurClassMapping,MATCH(M3099,MappingTables!$D$4:$D$8,-1),1)</f>
        <v>2</v>
      </c>
      <c r="P3099" s="73">
        <f>IF(M3099=$A$1,1,$M3099-INDEX(MappingTables!$E$4:$E$8,MATCH(O3099,MappingTables!$B$4:$B$8,0)))</f>
        <v>1.3596320908684438</v>
      </c>
      <c r="Q3099" s="71">
        <f>IF(B3099="",0,INDEX(ModelParameters!$D$6:$K$10,MATCH($O3099,ModelParameters!$B$6:$B$10,0),MATCH($J3099,ModelParameters!$D$5:$K$5,0)))</f>
        <v>0.042</v>
      </c>
      <c r="R3099" s="71">
        <f>IF(B3099="",0,INDEX(ModelParameters!$D$13:$K$17,MATCH($O3099,ModelParameters!$B$13:$B$17,0),MATCH($J3099,ModelParameters!$D$5:$K$5,0)))</f>
        <v>0.375</v>
      </c>
      <c r="S3099" s="160">
        <f>IF(B3099="",0,MIN(IF($N3099="Other Bond TM",ModelParameters!$N$21,1)*(P3099*Q3099+R3099),1))</f>
        <v>0.43210454781647464</v>
      </c>
      <c r="T3099" s="85">
        <f>IF(B3099="",0,$S3099*$K3099)</f>
        <v>1139.3321479780668</v>
      </c>
      <c r="U3099" s="85">
        <f>IF(B3099="",0,IF(OR(H3099=MappingTables!$C$34,H3099=MappingTables!$C$35),T3099,0))</f>
        <v>0</v>
      </c>
      <c r="V3099" s="85">
        <f>IF(ISNA(IF(AND(VLOOKUP(CONCATENATE($D3099,$G3099),CSRFinput!$B:$E,4,0)=0,OR(H3099=MappingTables!$C$34,H3099=MappingTables!$C$35)),1,VLOOKUP(CONCATENATE($D3099,$G3099),CSRFinput!$B:$E,4,0))),0,IF(AND(VLOOKUP(CONCATENATE($D3099,$G3099),CSRFinput!$B:$E,4,0)=0,OR(H3099=MappingTables!$C$34,H3099=MappingTables!$C$35)),1,VLOOKUP(CONCATENATE($D3099,$G3099),CSRFinput!$B:$E,4,0)))</f>
        <v>0.054776304963434752</v>
      </c>
      <c r="W3099" s="85">
        <f>IF(B3099="",0,+$T3099*$V3099)</f>
        <v>62.40840519229176</v>
      </c>
      <c r="X3099" s="85">
        <f>IF(B3099="",0,IF(OR(H3099=MappingTables!$C$34,H3099=MappingTables!$C$35),W3099,0))</f>
        <v>0</v>
      </c>
    </row>
    <row r="3100" spans="2:24" s="0" customFormat="0" ht="15">
      <c r="B3100" s="69">
        <v>21994047</v>
      </c>
      <c r="C3100" s="70" t="s">
        <v>2730</v>
      </c>
      <c r="D3100" s="70" t="s">
        <v>1</v>
      </c>
      <c r="E3100" s="70" t="s">
        <v>1</v>
      </c>
      <c r="F3100" s="70"/>
      <c r="G3100" s="70" t="s">
        <v>61</v>
      </c>
      <c r="H3100" s="70" t="s">
        <v>178</v>
      </c>
      <c r="I3100" s="70" t="s">
        <v>181</v>
      </c>
      <c r="J3100" s="71">
        <f>IF(OR(I3100=0,I3100=""),"unrated",VLOOKUP(I3100,MappingTables!$B$19:$C$31,2,FALSE))</f>
        <v>3</v>
      </c>
      <c r="K3100" s="72">
        <v>20783.301048162232</v>
      </c>
      <c r="L3100" s="70">
        <v>5.447287291183616</v>
      </c>
      <c r="M3100" s="71">
        <f>IF(L3100&lt;1,1,L3100)</f>
        <v>5.447287291183616</v>
      </c>
      <c r="N3100" s="70" t="s">
        <v>141</v>
      </c>
      <c r="O3100" s="71">
        <f>INDEX(DurClassMapping,MATCH(M3100,MappingTables!$D$4:$D$8,-1),1)</f>
        <v>2</v>
      </c>
      <c r="P3100" s="73">
        <f>IF(M3100=$A$1,1,$M3100-INDEX(MappingTables!$E$4:$E$8,MATCH(O3100,MappingTables!$B$4:$B$8,0)))</f>
        <v>0.44728729118361608</v>
      </c>
      <c r="Q3100" s="71">
        <f>IF(B3100="",0,INDEX(ModelParameters!$D$6:$K$10,MATCH($O3100,ModelParameters!$B$6:$B$10,0),MATCH($J3100,ModelParameters!$D$5:$K$5,0)))</f>
        <v>0.015</v>
      </c>
      <c r="R3100" s="71">
        <f>IF(B3100="",0,INDEX(ModelParameters!$D$13:$K$17,MATCH($O3100,ModelParameters!$B$13:$B$17,0),MATCH($J3100,ModelParameters!$D$5:$K$5,0)))</f>
        <v>0.125</v>
      </c>
      <c r="S3100" s="160">
        <f>IF(B3100="",0,MIN(IF($N3100="Other Bond TM",ModelParameters!$N$21,1)*(P3100*Q3100+R3100),1))</f>
        <v>0.13170930936775424</v>
      </c>
      <c r="T3100" s="85">
        <f>IF(B3100="",0,$S3100*$K3100)</f>
        <v>2737.3542274355704</v>
      </c>
      <c r="U3100" s="85">
        <f>IF(B3100="",0,IF(OR(H3100=MappingTables!$C$34,H3100=MappingTables!$C$35),T3100,0))</f>
        <v>0</v>
      </c>
      <c r="V3100" s="85">
        <f>IF(ISNA(IF(AND(VLOOKUP(CONCATENATE($D3100,$G3100),CSRFinput!$B:$E,4,0)=0,OR(H3100=MappingTables!$C$34,H3100=MappingTables!$C$35)),1,VLOOKUP(CONCATENATE($D3100,$G3100),CSRFinput!$B:$E,4,0))),0,IF(AND(VLOOKUP(CONCATENATE($D3100,$G3100),CSRFinput!$B:$E,4,0)=0,OR(H3100=MappingTables!$C$34,H3100=MappingTables!$C$35)),1,VLOOKUP(CONCATENATE($D3100,$G3100),CSRFinput!$B:$E,4,0)))</f>
        <v>0.054776304963434752</v>
      </c>
      <c r="W3100" s="85">
        <f>IF(B3100="",0,+$T3100*$V3100)</f>
        <v>149.94214995495816</v>
      </c>
      <c r="X3100" s="85">
        <f>IF(B3100="",0,IF(OR(H3100=MappingTables!$C$34,H3100=MappingTables!$C$35),W3100,0))</f>
        <v>0</v>
      </c>
    </row>
    <row r="3101" spans="2:24" s="0" customFormat="0" ht="15">
      <c r="B3101" s="69">
        <v>20253637</v>
      </c>
      <c r="C3101" s="70" t="s">
        <v>2122</v>
      </c>
      <c r="D3101" s="70" t="s">
        <v>1</v>
      </c>
      <c r="E3101" s="70" t="s">
        <v>1</v>
      </c>
      <c r="F3101" s="70"/>
      <c r="G3101" s="70" t="s">
        <v>61</v>
      </c>
      <c r="H3101" s="70" t="s">
        <v>178</v>
      </c>
      <c r="I3101" s="70" t="s">
        <v>188</v>
      </c>
      <c r="J3101" s="71">
        <f>IF(OR(I3101=0,I3101=""),"unrated",VLOOKUP(I3101,MappingTables!$B$19:$C$31,2,FALSE))</f>
        <v>2</v>
      </c>
      <c r="K3101" s="72">
        <v>650.7730722174168</v>
      </c>
      <c r="L3101" s="70">
        <v>18.111069521811408</v>
      </c>
      <c r="M3101" s="71">
        <f>IF(L3101&lt;1,1,L3101)</f>
        <v>18.111069521811408</v>
      </c>
      <c r="N3101" s="70" t="s">
        <v>141</v>
      </c>
      <c r="O3101" s="71">
        <f>INDEX(DurClassMapping,MATCH(M3101,MappingTables!$D$4:$D$8,-1),1)</f>
        <v>4</v>
      </c>
      <c r="P3101" s="73">
        <f>IF(M3101=$A$1,1,$M3101-INDEX(MappingTables!$E$4:$E$8,MATCH(O3101,MappingTables!$B$4:$B$8,0)))</f>
        <v>3.1110695218114088</v>
      </c>
      <c r="Q3101" s="71">
        <f>IF(B3101="",0,INDEX(ModelParameters!$D$6:$K$10,MATCH($O3101,ModelParameters!$B$6:$B$10,0),MATCH($J3101,ModelParameters!$D$5:$K$5,0)))</f>
        <v>0.005</v>
      </c>
      <c r="R3101" s="71">
        <f>IF(B3101="",0,INDEX(ModelParameters!$D$13:$K$17,MATCH($O3101,ModelParameters!$B$13:$B$17,0),MATCH($J3101,ModelParameters!$D$5:$K$5,0)))</f>
        <v>0.13</v>
      </c>
      <c r="S3101" s="160">
        <f>IF(B3101="",0,MIN(IF($N3101="Other Bond TM",ModelParameters!$N$21,1)*(P3101*Q3101+R3101),1))</f>
        <v>0.14555534760905706</v>
      </c>
      <c r="T3101" s="85">
        <f>IF(B3101="",0,$S3101*$K3101)</f>
        <v>94.723500741220096</v>
      </c>
      <c r="U3101" s="85">
        <f>IF(B3101="",0,IF(OR(H3101=MappingTables!$C$34,H3101=MappingTables!$C$35),T3101,0))</f>
        <v>0</v>
      </c>
      <c r="V3101" s="85">
        <f>IF(ISNA(IF(AND(VLOOKUP(CONCATENATE($D3101,$G3101),CSRFinput!$B:$E,4,0)=0,OR(H3101=MappingTables!$C$34,H3101=MappingTables!$C$35)),1,VLOOKUP(CONCATENATE($D3101,$G3101),CSRFinput!$B:$E,4,0))),0,IF(AND(VLOOKUP(CONCATENATE($D3101,$G3101),CSRFinput!$B:$E,4,0)=0,OR(H3101=MappingTables!$C$34,H3101=MappingTables!$C$35)),1,VLOOKUP(CONCATENATE($D3101,$G3101),CSRFinput!$B:$E,4,0)))</f>
        <v>0.054776304963434752</v>
      </c>
      <c r="W3101" s="85">
        <f>IF(B3101="",0,+$T3101*$V3101)</f>
        <v>5.1886033638052096</v>
      </c>
      <c r="X3101" s="85">
        <f>IF(B3101="",0,IF(OR(H3101=MappingTables!$C$34,H3101=MappingTables!$C$35),W3101,0))</f>
        <v>0</v>
      </c>
    </row>
    <row r="3102" spans="2:24" s="0" customFormat="0" ht="15">
      <c r="B3102" s="69">
        <v>7811728</v>
      </c>
      <c r="C3102" s="70" t="s">
        <v>2731</v>
      </c>
      <c r="D3102" s="70" t="s">
        <v>1</v>
      </c>
      <c r="E3102" s="70" t="s">
        <v>1</v>
      </c>
      <c r="F3102" s="70"/>
      <c r="G3102" s="70" t="s">
        <v>61</v>
      </c>
      <c r="H3102" s="70" t="s">
        <v>178</v>
      </c>
      <c r="I3102" s="70" t="s">
        <v>188</v>
      </c>
      <c r="J3102" s="71">
        <f>IF(OR(I3102=0,I3102=""),"unrated",VLOOKUP(I3102,MappingTables!$B$19:$C$31,2,FALSE))</f>
        <v>2</v>
      </c>
      <c r="K3102" s="72">
        <v>1.0960352406338312</v>
      </c>
      <c r="L3102" s="70">
        <v>0.8904241993131816</v>
      </c>
      <c r="M3102" s="71">
        <f>IF(L3102&lt;1,1,L3102)</f>
        <v>1</v>
      </c>
      <c r="N3102" s="70" t="s">
        <v>141</v>
      </c>
      <c r="O3102" s="71">
        <f>INDEX(DurClassMapping,MATCH(M3102,MappingTables!$D$4:$D$8,-1),1)</f>
        <v>1</v>
      </c>
      <c r="P3102" s="73">
        <f>IF(M3102=$A$1,1,$M3102-INDEX(MappingTables!$E$4:$E$8,MATCH(O3102,MappingTables!$B$4:$B$8,0)))</f>
        <v>1</v>
      </c>
      <c r="Q3102" s="71">
        <f>IF(B3102="",0,INDEX(ModelParameters!$D$6:$K$10,MATCH($O3102,ModelParameters!$B$6:$B$10,0),MATCH($J3102,ModelParameters!$D$5:$K$5,0)))</f>
        <v>0.013999999999999998</v>
      </c>
      <c r="R3102" s="71">
        <f>IF(B3102="",0,INDEX(ModelParameters!$D$13:$K$17,MATCH($O3102,ModelParameters!$B$13:$B$17,0),MATCH($J3102,ModelParameters!$D$5:$K$5,0)))</f>
        <v>0</v>
      </c>
      <c r="S3102" s="160">
        <f>IF(B3102="",0,MIN(IF($N3102="Other Bond TM",ModelParameters!$N$21,1)*(P3102*Q3102+R3102),1))</f>
        <v>0.013999999999999998</v>
      </c>
      <c r="T3102" s="85">
        <f>IF(B3102="",0,$S3102*$K3102)</f>
        <v>0.015344493368873636</v>
      </c>
      <c r="U3102" s="85">
        <f>IF(B3102="",0,IF(OR(H3102=MappingTables!$C$34,H3102=MappingTables!$C$35),T3102,0))</f>
        <v>0</v>
      </c>
      <c r="V3102" s="85">
        <f>IF(ISNA(IF(AND(VLOOKUP(CONCATENATE($D3102,$G3102),CSRFinput!$B:$E,4,0)=0,OR(H3102=MappingTables!$C$34,H3102=MappingTables!$C$35)),1,VLOOKUP(CONCATENATE($D3102,$G3102),CSRFinput!$B:$E,4,0))),0,IF(AND(VLOOKUP(CONCATENATE($D3102,$G3102),CSRFinput!$B:$E,4,0)=0,OR(H3102=MappingTables!$C$34,H3102=MappingTables!$C$35)),1,VLOOKUP(CONCATENATE($D3102,$G3102),CSRFinput!$B:$E,4,0)))</f>
        <v>0.054776304963434752</v>
      </c>
      <c r="W3102" s="85">
        <f>IF(B3102="",0,+$T3102*$V3102)</f>
        <v>0.00084051464828282448</v>
      </c>
      <c r="X3102" s="85">
        <f>IF(B3102="",0,IF(OR(H3102=MappingTables!$C$34,H3102=MappingTables!$C$35),W3102,0))</f>
        <v>0</v>
      </c>
    </row>
    <row r="3103" spans="2:24" s="0" customFormat="0" ht="15">
      <c r="B3103" s="69">
        <v>19503968</v>
      </c>
      <c r="C3103" s="70" t="s">
        <v>1974</v>
      </c>
      <c r="D3103" s="70" t="s">
        <v>1</v>
      </c>
      <c r="E3103" s="70" t="s">
        <v>1</v>
      </c>
      <c r="F3103" s="70"/>
      <c r="G3103" s="70" t="s">
        <v>61</v>
      </c>
      <c r="H3103" s="70" t="s">
        <v>178</v>
      </c>
      <c r="I3103" s="70" t="s">
        <v>181</v>
      </c>
      <c r="J3103" s="71">
        <f>IF(OR(I3103=0,I3103=""),"unrated",VLOOKUP(I3103,MappingTables!$B$19:$C$31,2,FALSE))</f>
        <v>3</v>
      </c>
      <c r="K3103" s="72">
        <v>6985.4798667164656</v>
      </c>
      <c r="L3103" s="70">
        <v>4.7950041570350584</v>
      </c>
      <c r="M3103" s="71">
        <f>IF(L3103&lt;1,1,L3103)</f>
        <v>4.7950041570350584</v>
      </c>
      <c r="N3103" s="70" t="s">
        <v>141</v>
      </c>
      <c r="O3103" s="71">
        <f>INDEX(DurClassMapping,MATCH(M3103,MappingTables!$D$4:$D$8,-1),1)</f>
        <v>1</v>
      </c>
      <c r="P3103" s="73">
        <f>IF(M3103=$A$1,1,$M3103-INDEX(MappingTables!$E$4:$E$8,MATCH(O3103,MappingTables!$B$4:$B$8,0)))</f>
        <v>4.7950041570350584</v>
      </c>
      <c r="Q3103" s="71">
        <f>IF(B3103="",0,INDEX(ModelParameters!$D$6:$K$10,MATCH($O3103,ModelParameters!$B$6:$B$10,0),MATCH($J3103,ModelParameters!$D$5:$K$5,0)))</f>
        <v>0.025</v>
      </c>
      <c r="R3103" s="71">
        <f>IF(B3103="",0,INDEX(ModelParameters!$D$13:$K$17,MATCH($O3103,ModelParameters!$B$13:$B$17,0),MATCH($J3103,ModelParameters!$D$5:$K$5,0)))</f>
        <v>0</v>
      </c>
      <c r="S3103" s="160">
        <f>IF(B3103="",0,MIN(IF($N3103="Other Bond TM",ModelParameters!$N$21,1)*(P3103*Q3103+R3103),1))</f>
        <v>0.11987510392587646</v>
      </c>
      <c r="T3103" s="85">
        <f>IF(B3103="",0,$S3103*$K3103)</f>
        <v>837.38512499475408</v>
      </c>
      <c r="U3103" s="85">
        <f>IF(B3103="",0,IF(OR(H3103=MappingTables!$C$34,H3103=MappingTables!$C$35),T3103,0))</f>
        <v>0</v>
      </c>
      <c r="V3103" s="85">
        <f>IF(ISNA(IF(AND(VLOOKUP(CONCATENATE($D3103,$G3103),CSRFinput!$B:$E,4,0)=0,OR(H3103=MappingTables!$C$34,H3103=MappingTables!$C$35)),1,VLOOKUP(CONCATENATE($D3103,$G3103),CSRFinput!$B:$E,4,0))),0,IF(AND(VLOOKUP(CONCATENATE($D3103,$G3103),CSRFinput!$B:$E,4,0)=0,OR(H3103=MappingTables!$C$34,H3103=MappingTables!$C$35)),1,VLOOKUP(CONCATENATE($D3103,$G3103),CSRFinput!$B:$E,4,0)))</f>
        <v>0.054776304963434752</v>
      </c>
      <c r="W3103" s="85">
        <f>IF(B3103="",0,+$T3103*$V3103)</f>
        <v>45.868862978556576</v>
      </c>
      <c r="X3103" s="85">
        <f>IF(B3103="",0,IF(OR(H3103=MappingTables!$C$34,H3103=MappingTables!$C$35),W3103,0))</f>
        <v>0</v>
      </c>
    </row>
    <row r="3104" spans="2:24" s="0" customFormat="0" ht="15">
      <c r="B3104" s="69">
        <v>3515308</v>
      </c>
      <c r="C3104" s="70" t="s">
        <v>1550</v>
      </c>
      <c r="D3104" s="70" t="s">
        <v>1</v>
      </c>
      <c r="E3104" s="70" t="s">
        <v>1</v>
      </c>
      <c r="F3104" s="70"/>
      <c r="G3104" s="70" t="s">
        <v>61</v>
      </c>
      <c r="H3104" s="70" t="s">
        <v>178</v>
      </c>
      <c r="I3104" s="70" t="s">
        <v>188</v>
      </c>
      <c r="J3104" s="71">
        <f>IF(OR(I3104=0,I3104=""),"unrated",VLOOKUP(I3104,MappingTables!$B$19:$C$31,2,FALSE))</f>
        <v>2</v>
      </c>
      <c r="K3104" s="72">
        <v>903.81229940062592</v>
      </c>
      <c r="L3104" s="70">
        <v>0.28767298344065268</v>
      </c>
      <c r="M3104" s="71">
        <f>IF(L3104&lt;1,1,L3104)</f>
        <v>1</v>
      </c>
      <c r="N3104" s="70" t="s">
        <v>141</v>
      </c>
      <c r="O3104" s="71">
        <f>INDEX(DurClassMapping,MATCH(M3104,MappingTables!$D$4:$D$8,-1),1)</f>
        <v>1</v>
      </c>
      <c r="P3104" s="73">
        <f>IF(M3104=$A$1,1,$M3104-INDEX(MappingTables!$E$4:$E$8,MATCH(O3104,MappingTables!$B$4:$B$8,0)))</f>
        <v>1</v>
      </c>
      <c r="Q3104" s="71">
        <f>IF(B3104="",0,INDEX(ModelParameters!$D$6:$K$10,MATCH($O3104,ModelParameters!$B$6:$B$10,0),MATCH($J3104,ModelParameters!$D$5:$K$5,0)))</f>
        <v>0.013999999999999998</v>
      </c>
      <c r="R3104" s="71">
        <f>IF(B3104="",0,INDEX(ModelParameters!$D$13:$K$17,MATCH($O3104,ModelParameters!$B$13:$B$17,0),MATCH($J3104,ModelParameters!$D$5:$K$5,0)))</f>
        <v>0</v>
      </c>
      <c r="S3104" s="160">
        <f>IF(B3104="",0,MIN(IF($N3104="Other Bond TM",ModelParameters!$N$21,1)*(P3104*Q3104+R3104),1))</f>
        <v>0.013999999999999998</v>
      </c>
      <c r="T3104" s="85">
        <f>IF(B3104="",0,$S3104*$K3104)</f>
        <v>12.653372191608762</v>
      </c>
      <c r="U3104" s="85">
        <f>IF(B3104="",0,IF(OR(H3104=MappingTables!$C$34,H3104=MappingTables!$C$35),T3104,0))</f>
        <v>0</v>
      </c>
      <c r="V3104" s="85">
        <f>IF(ISNA(IF(AND(VLOOKUP(CONCATENATE($D3104,$G3104),CSRFinput!$B:$E,4,0)=0,OR(H3104=MappingTables!$C$34,H3104=MappingTables!$C$35)),1,VLOOKUP(CONCATENATE($D3104,$G3104),CSRFinput!$B:$E,4,0))),0,IF(AND(VLOOKUP(CONCATENATE($D3104,$G3104),CSRFinput!$B:$E,4,0)=0,OR(H3104=MappingTables!$C$34,H3104=MappingTables!$C$35)),1,VLOOKUP(CONCATENATE($D3104,$G3104),CSRFinput!$B:$E,4,0)))</f>
        <v>0.054776304963434752</v>
      </c>
      <c r="W3104" s="85">
        <f>IF(B3104="",0,+$T3104*$V3104)</f>
        <v>0.69310497398340632</v>
      </c>
      <c r="X3104" s="85">
        <f>IF(B3104="",0,IF(OR(H3104=MappingTables!$C$34,H3104=MappingTables!$C$35),W3104,0))</f>
        <v>0</v>
      </c>
    </row>
    <row r="3105" spans="2:24" s="0" customFormat="0" ht="15">
      <c r="B3105" s="69">
        <v>24408435</v>
      </c>
      <c r="C3105" s="70" t="s">
        <v>845</v>
      </c>
      <c r="D3105" s="70" t="s">
        <v>1</v>
      </c>
      <c r="E3105" s="70" t="s">
        <v>1</v>
      </c>
      <c r="F3105" s="70"/>
      <c r="G3105" s="70" t="s">
        <v>61</v>
      </c>
      <c r="H3105" s="70" t="s">
        <v>178</v>
      </c>
      <c r="I3105" s="70" t="s">
        <v>188</v>
      </c>
      <c r="J3105" s="71">
        <f>IF(OR(I3105=0,I3105=""),"unrated",VLOOKUP(I3105,MappingTables!$B$19:$C$31,2,FALSE))</f>
        <v>2</v>
      </c>
      <c r="K3105" s="72">
        <v>68.008053752607056</v>
      </c>
      <c r="L3105" s="70">
        <v>1.7203060330823602</v>
      </c>
      <c r="M3105" s="71">
        <f>IF(L3105&lt;1,1,L3105)</f>
        <v>1.7203060330823602</v>
      </c>
      <c r="N3105" s="70" t="s">
        <v>141</v>
      </c>
      <c r="O3105" s="71">
        <f>INDEX(DurClassMapping,MATCH(M3105,MappingTables!$D$4:$D$8,-1),1)</f>
        <v>1</v>
      </c>
      <c r="P3105" s="73">
        <f>IF(M3105=$A$1,1,$M3105-INDEX(MappingTables!$E$4:$E$8,MATCH(O3105,MappingTables!$B$4:$B$8,0)))</f>
        <v>1.7203060330823602</v>
      </c>
      <c r="Q3105" s="71">
        <f>IF(B3105="",0,INDEX(ModelParameters!$D$6:$K$10,MATCH($O3105,ModelParameters!$B$6:$B$10,0),MATCH($J3105,ModelParameters!$D$5:$K$5,0)))</f>
        <v>0.013999999999999998</v>
      </c>
      <c r="R3105" s="71">
        <f>IF(B3105="",0,INDEX(ModelParameters!$D$13:$K$17,MATCH($O3105,ModelParameters!$B$13:$B$17,0),MATCH($J3105,ModelParameters!$D$5:$K$5,0)))</f>
        <v>0</v>
      </c>
      <c r="S3105" s="160">
        <f>IF(B3105="",0,MIN(IF($N3105="Other Bond TM",ModelParameters!$N$21,1)*(P3105*Q3105+R3105),1))</f>
        <v>0.02408428446315304</v>
      </c>
      <c r="T3105" s="85">
        <f>IF(B3105="",0,$S3105*$K3105)</f>
        <v>1.637925312363191</v>
      </c>
      <c r="U3105" s="85">
        <f>IF(B3105="",0,IF(OR(H3105=MappingTables!$C$34,H3105=MappingTables!$C$35),T3105,0))</f>
        <v>0</v>
      </c>
      <c r="V3105" s="85">
        <f>IF(ISNA(IF(AND(VLOOKUP(CONCATENATE($D3105,$G3105),CSRFinput!$B:$E,4,0)=0,OR(H3105=MappingTables!$C$34,H3105=MappingTables!$C$35)),1,VLOOKUP(CONCATENATE($D3105,$G3105),CSRFinput!$B:$E,4,0))),0,IF(AND(VLOOKUP(CONCATENATE($D3105,$G3105),CSRFinput!$B:$E,4,0)=0,OR(H3105=MappingTables!$C$34,H3105=MappingTables!$C$35)),1,VLOOKUP(CONCATENATE($D3105,$G3105),CSRFinput!$B:$E,4,0)))</f>
        <v>0.054776304963434752</v>
      </c>
      <c r="W3105" s="85">
        <f>IF(B3105="",0,+$T3105*$V3105)</f>
        <v>0.08971949641733528</v>
      </c>
      <c r="X3105" s="85">
        <f>IF(B3105="",0,IF(OR(H3105=MappingTables!$C$34,H3105=MappingTables!$C$35),W3105,0))</f>
        <v>0</v>
      </c>
    </row>
    <row r="3106" spans="2:24" s="0" customFormat="0" ht="15">
      <c r="B3106" s="69">
        <v>15342010</v>
      </c>
      <c r="C3106" s="70" t="s">
        <v>2518</v>
      </c>
      <c r="D3106" s="70" t="s">
        <v>1</v>
      </c>
      <c r="E3106" s="70" t="s">
        <v>1</v>
      </c>
      <c r="F3106" s="70"/>
      <c r="G3106" s="70" t="s">
        <v>61</v>
      </c>
      <c r="H3106" s="70" t="s">
        <v>178</v>
      </c>
      <c r="I3106" s="70" t="s">
        <v>220</v>
      </c>
      <c r="J3106" s="71">
        <f>IF(OR(I3106=0,I3106=""),"unrated",VLOOKUP(I3106,MappingTables!$B$19:$C$31,2,FALSE))</f>
        <v>1</v>
      </c>
      <c r="K3106" s="72">
        <v>152.02601418525506</v>
      </c>
      <c r="L3106" s="70">
        <v>1.7746263147165668</v>
      </c>
      <c r="M3106" s="71">
        <f>IF(L3106&lt;1,1,L3106)</f>
        <v>1.7746263147165668</v>
      </c>
      <c r="N3106" s="70" t="s">
        <v>141</v>
      </c>
      <c r="O3106" s="71">
        <f>INDEX(DurClassMapping,MATCH(M3106,MappingTables!$D$4:$D$8,-1),1)</f>
        <v>1</v>
      </c>
      <c r="P3106" s="73">
        <f>IF(M3106=$A$1,1,$M3106-INDEX(MappingTables!$E$4:$E$8,MATCH(O3106,MappingTables!$B$4:$B$8,0)))</f>
        <v>1.7746263147165668</v>
      </c>
      <c r="Q3106" s="71">
        <f>IF(B3106="",0,INDEX(ModelParameters!$D$6:$K$10,MATCH($O3106,ModelParameters!$B$6:$B$10,0),MATCH($J3106,ModelParameters!$D$5:$K$5,0)))</f>
        <v>0.011000000000000002</v>
      </c>
      <c r="R3106" s="71">
        <f>IF(B3106="",0,INDEX(ModelParameters!$D$13:$K$17,MATCH($O3106,ModelParameters!$B$13:$B$17,0),MATCH($J3106,ModelParameters!$D$5:$K$5,0)))</f>
        <v>0</v>
      </c>
      <c r="S3106" s="160">
        <f>IF(B3106="",0,MIN(IF($N3106="Other Bond TM",ModelParameters!$N$21,1)*(P3106*Q3106+R3106),1))</f>
        <v>0.019520889461882236</v>
      </c>
      <c r="T3106" s="85">
        <f>IF(B3106="",0,$S3106*$K3106)</f>
        <v>2.9676830182409048</v>
      </c>
      <c r="U3106" s="85">
        <f>IF(B3106="",0,IF(OR(H3106=MappingTables!$C$34,H3106=MappingTables!$C$35),T3106,0))</f>
        <v>0</v>
      </c>
      <c r="V3106" s="85">
        <f>IF(ISNA(IF(AND(VLOOKUP(CONCATENATE($D3106,$G3106),CSRFinput!$B:$E,4,0)=0,OR(H3106=MappingTables!$C$34,H3106=MappingTables!$C$35)),1,VLOOKUP(CONCATENATE($D3106,$G3106),CSRFinput!$B:$E,4,0))),0,IF(AND(VLOOKUP(CONCATENATE($D3106,$G3106),CSRFinput!$B:$E,4,0)=0,OR(H3106=MappingTables!$C$34,H3106=MappingTables!$C$35)),1,VLOOKUP(CONCATENATE($D3106,$G3106),CSRFinput!$B:$E,4,0)))</f>
        <v>0.054776304963434752</v>
      </c>
      <c r="W3106" s="85">
        <f>IF(B3106="",0,+$T3106*$V3106)</f>
        <v>0.16255871004197032</v>
      </c>
      <c r="X3106" s="85">
        <f>IF(B3106="",0,IF(OR(H3106=MappingTables!$C$34,H3106=MappingTables!$C$35),W3106,0))</f>
        <v>0</v>
      </c>
    </row>
    <row r="3107" spans="2:24" s="0" customFormat="0" ht="15">
      <c r="B3107" s="69" t="s">
        <v>868</v>
      </c>
      <c r="C3107" s="70" t="s">
        <v>869</v>
      </c>
      <c r="D3107" s="70" t="s">
        <v>1</v>
      </c>
      <c r="E3107" s="70" t="s">
        <v>1</v>
      </c>
      <c r="F3107" s="70"/>
      <c r="G3107" s="70" t="s">
        <v>61</v>
      </c>
      <c r="H3107" s="70" t="s">
        <v>178</v>
      </c>
      <c r="I3107" s="70" t="s">
        <v>181</v>
      </c>
      <c r="J3107" s="71">
        <f>IF(OR(I3107=0,I3107=""),"unrated",VLOOKUP(I3107,MappingTables!$B$19:$C$31,2,FALSE))</f>
        <v>3</v>
      </c>
      <c r="K3107" s="72">
        <v>6654.4761107922248</v>
      </c>
      <c r="L3107" s="70">
        <v>6.1310228489710488</v>
      </c>
      <c r="M3107" s="71">
        <f>IF(L3107&lt;1,1,L3107)</f>
        <v>6.1310228489710488</v>
      </c>
      <c r="N3107" s="70" t="s">
        <v>141</v>
      </c>
      <c r="O3107" s="71">
        <f>INDEX(DurClassMapping,MATCH(M3107,MappingTables!$D$4:$D$8,-1),1)</f>
        <v>2</v>
      </c>
      <c r="P3107" s="73">
        <f>IF(M3107=$A$1,1,$M3107-INDEX(MappingTables!$E$4:$E$8,MATCH(O3107,MappingTables!$B$4:$B$8,0)))</f>
        <v>1.1310228489710488</v>
      </c>
      <c r="Q3107" s="71">
        <f>IF(B3107="",0,INDEX(ModelParameters!$D$6:$K$10,MATCH($O3107,ModelParameters!$B$6:$B$10,0),MATCH($J3107,ModelParameters!$D$5:$K$5,0)))</f>
        <v>0.015</v>
      </c>
      <c r="R3107" s="71">
        <f>IF(B3107="",0,INDEX(ModelParameters!$D$13:$K$17,MATCH($O3107,ModelParameters!$B$13:$B$17,0),MATCH($J3107,ModelParameters!$D$5:$K$5,0)))</f>
        <v>0.125</v>
      </c>
      <c r="S3107" s="160">
        <f>IF(B3107="",0,MIN(IF($N3107="Other Bond TM",ModelParameters!$N$21,1)*(P3107*Q3107+R3107),1))</f>
        <v>0.14196534273456574</v>
      </c>
      <c r="T3107" s="85">
        <f>IF(B3107="",0,$S3107*$K3107)</f>
        <v>944.70498178759824</v>
      </c>
      <c r="U3107" s="85">
        <f>IF(B3107="",0,IF(OR(H3107=MappingTables!$C$34,H3107=MappingTables!$C$35),T3107,0))</f>
        <v>0</v>
      </c>
      <c r="V3107" s="85">
        <f>IF(ISNA(IF(AND(VLOOKUP(CONCATENATE($D3107,$G3107),CSRFinput!$B:$E,4,0)=0,OR(H3107=MappingTables!$C$34,H3107=MappingTables!$C$35)),1,VLOOKUP(CONCATENATE($D3107,$G3107),CSRFinput!$B:$E,4,0))),0,IF(AND(VLOOKUP(CONCATENATE($D3107,$G3107),CSRFinput!$B:$E,4,0)=0,OR(H3107=MappingTables!$C$34,H3107=MappingTables!$C$35)),1,VLOOKUP(CONCATENATE($D3107,$G3107),CSRFinput!$B:$E,4,0)))</f>
        <v>0.054776304963434752</v>
      </c>
      <c r="W3107" s="85">
        <f>IF(B3107="",0,+$T3107*$V3107)</f>
        <v>51.747448182873552</v>
      </c>
      <c r="X3107" s="85">
        <f>IF(B3107="",0,IF(OR(H3107=MappingTables!$C$34,H3107=MappingTables!$C$35),W3107,0))</f>
        <v>0</v>
      </c>
    </row>
    <row r="3108" spans="2:24" s="0" customFormat="0" ht="15">
      <c r="B3108" s="69">
        <v>19714686</v>
      </c>
      <c r="C3108" s="70" t="s">
        <v>2732</v>
      </c>
      <c r="D3108" s="70" t="s">
        <v>1</v>
      </c>
      <c r="E3108" s="70" t="s">
        <v>1</v>
      </c>
      <c r="F3108" s="70"/>
      <c r="G3108" s="70" t="s">
        <v>61</v>
      </c>
      <c r="H3108" s="70" t="s">
        <v>178</v>
      </c>
      <c r="I3108" s="70" t="s">
        <v>216</v>
      </c>
      <c r="J3108" s="71">
        <f>IF(OR(I3108=0,I3108=""),"unrated",VLOOKUP(I3108,MappingTables!$B$19:$C$31,2,FALSE))</f>
        <v>0</v>
      </c>
      <c r="K3108" s="72">
        <v>8164.4960098566</v>
      </c>
      <c r="L3108" s="70">
        <v>0.20821909137497352</v>
      </c>
      <c r="M3108" s="71">
        <f>IF(L3108&lt;1,1,L3108)</f>
        <v>1</v>
      </c>
      <c r="N3108" s="70" t="s">
        <v>141</v>
      </c>
      <c r="O3108" s="71">
        <f>INDEX(DurClassMapping,MATCH(M3108,MappingTables!$D$4:$D$8,-1),1)</f>
        <v>1</v>
      </c>
      <c r="P3108" s="73">
        <f>IF(M3108=$A$1,1,$M3108-INDEX(MappingTables!$E$4:$E$8,MATCH(O3108,MappingTables!$B$4:$B$8,0)))</f>
        <v>1</v>
      </c>
      <c r="Q3108" s="71">
        <f>IF(B3108="",0,INDEX(ModelParameters!$D$6:$K$10,MATCH($O3108,ModelParameters!$B$6:$B$10,0),MATCH($J3108,ModelParameters!$D$5:$K$5,0)))</f>
        <v>0.0090000000000000016</v>
      </c>
      <c r="R3108" s="71">
        <f>IF(B3108="",0,INDEX(ModelParameters!$D$13:$K$17,MATCH($O3108,ModelParameters!$B$13:$B$17,0),MATCH($J3108,ModelParameters!$D$5:$K$5,0)))</f>
        <v>0</v>
      </c>
      <c r="S3108" s="160">
        <f>IF(B3108="",0,MIN(IF($N3108="Other Bond TM",ModelParameters!$N$21,1)*(P3108*Q3108+R3108),1))</f>
        <v>0.0090000000000000016</v>
      </c>
      <c r="T3108" s="85">
        <f>IF(B3108="",0,$S3108*$K3108)</f>
        <v>73.480464088709408</v>
      </c>
      <c r="U3108" s="85">
        <f>IF(B3108="",0,IF(OR(H3108=MappingTables!$C$34,H3108=MappingTables!$C$35),T3108,0))</f>
        <v>0</v>
      </c>
      <c r="V3108" s="85">
        <f>IF(ISNA(IF(AND(VLOOKUP(CONCATENATE($D3108,$G3108),CSRFinput!$B:$E,4,0)=0,OR(H3108=MappingTables!$C$34,H3108=MappingTables!$C$35)),1,VLOOKUP(CONCATENATE($D3108,$G3108),CSRFinput!$B:$E,4,0))),0,IF(AND(VLOOKUP(CONCATENATE($D3108,$G3108),CSRFinput!$B:$E,4,0)=0,OR(H3108=MappingTables!$C$34,H3108=MappingTables!$C$35)),1,VLOOKUP(CONCATENATE($D3108,$G3108),CSRFinput!$B:$E,4,0)))</f>
        <v>0.054776304963434752</v>
      </c>
      <c r="W3108" s="85">
        <f>IF(B3108="",0,+$T3108*$V3108)</f>
        <v>4.0249883097778624</v>
      </c>
      <c r="X3108" s="85">
        <f>IF(B3108="",0,IF(OR(H3108=MappingTables!$C$34,H3108=MappingTables!$C$35),W3108,0))</f>
        <v>0</v>
      </c>
    </row>
    <row r="3109" spans="2:24" s="0" customFormat="0" ht="15">
      <c r="B3109" s="69">
        <v>17860436</v>
      </c>
      <c r="C3109" s="70" t="s">
        <v>2733</v>
      </c>
      <c r="D3109" s="70" t="s">
        <v>1</v>
      </c>
      <c r="E3109" s="70" t="s">
        <v>1</v>
      </c>
      <c r="F3109" s="70"/>
      <c r="G3109" s="70" t="s">
        <v>61</v>
      </c>
      <c r="H3109" s="70" t="s">
        <v>178</v>
      </c>
      <c r="I3109" s="70" t="s">
        <v>181</v>
      </c>
      <c r="J3109" s="71">
        <f>IF(OR(I3109=0,I3109=""),"unrated",VLOOKUP(I3109,MappingTables!$B$19:$C$31,2,FALSE))</f>
        <v>3</v>
      </c>
      <c r="K3109" s="72">
        <v>12697.76145976129</v>
      </c>
      <c r="L3109" s="70">
        <v>15.27868822662509</v>
      </c>
      <c r="M3109" s="71">
        <f>IF(L3109&lt;1,1,L3109)</f>
        <v>15.27868822662509</v>
      </c>
      <c r="N3109" s="70" t="s">
        <v>141</v>
      </c>
      <c r="O3109" s="71">
        <f>INDEX(DurClassMapping,MATCH(M3109,MappingTables!$D$4:$D$8,-1),1)</f>
        <v>4</v>
      </c>
      <c r="P3109" s="73">
        <f>IF(M3109=$A$1,1,$M3109-INDEX(MappingTables!$E$4:$E$8,MATCH(O3109,MappingTables!$B$4:$B$8,0)))</f>
        <v>0.2786882266250892</v>
      </c>
      <c r="Q3109" s="71">
        <f>IF(B3109="",0,INDEX(ModelParameters!$D$6:$K$10,MATCH($O3109,ModelParameters!$B$6:$B$10,0),MATCH($J3109,ModelParameters!$D$5:$K$5,0)))</f>
        <v>0.01</v>
      </c>
      <c r="R3109" s="71">
        <f>IF(B3109="",0,INDEX(ModelParameters!$D$13:$K$17,MATCH($O3109,ModelParameters!$B$13:$B$17,0),MATCH($J3109,ModelParameters!$D$5:$K$5,0)))</f>
        <v>0.25</v>
      </c>
      <c r="S3109" s="160">
        <f>IF(B3109="",0,MIN(IF($N3109="Other Bond TM",ModelParameters!$N$21,1)*(P3109*Q3109+R3109),1))</f>
        <v>0.25278688226625092</v>
      </c>
      <c r="T3109" s="85">
        <f>IF(B3109="",0,$S3109*$K3109)</f>
        <v>3209.8275311736156</v>
      </c>
      <c r="U3109" s="85">
        <f>IF(B3109="",0,IF(OR(H3109=MappingTables!$C$34,H3109=MappingTables!$C$35),T3109,0))</f>
        <v>0</v>
      </c>
      <c r="V3109" s="85">
        <f>IF(ISNA(IF(AND(VLOOKUP(CONCATENATE($D3109,$G3109),CSRFinput!$B:$E,4,0)=0,OR(H3109=MappingTables!$C$34,H3109=MappingTables!$C$35)),1,VLOOKUP(CONCATENATE($D3109,$G3109),CSRFinput!$B:$E,4,0))),0,IF(AND(VLOOKUP(CONCATENATE($D3109,$G3109),CSRFinput!$B:$E,4,0)=0,OR(H3109=MappingTables!$C$34,H3109=MappingTables!$C$35)),1,VLOOKUP(CONCATENATE($D3109,$G3109),CSRFinput!$B:$E,4,0)))</f>
        <v>0.054776304963434752</v>
      </c>
      <c r="W3109" s="85">
        <f>IF(B3109="",0,+$T3109*$V3109)</f>
        <v>175.82249172759484</v>
      </c>
      <c r="X3109" s="85">
        <f>IF(B3109="",0,IF(OR(H3109=MappingTables!$C$34,H3109=MappingTables!$C$35),W3109,0))</f>
        <v>0</v>
      </c>
    </row>
    <row r="3110" spans="2:24" s="0" customFormat="0" ht="15">
      <c r="B3110" s="69" t="s">
        <v>2591</v>
      </c>
      <c r="C3110" s="70" t="s">
        <v>2592</v>
      </c>
      <c r="D3110" s="70" t="s">
        <v>1</v>
      </c>
      <c r="E3110" s="70" t="s">
        <v>1</v>
      </c>
      <c r="F3110" s="70"/>
      <c r="G3110" s="70" t="s">
        <v>61</v>
      </c>
      <c r="H3110" s="70" t="s">
        <v>178</v>
      </c>
      <c r="I3110" s="70" t="s">
        <v>198</v>
      </c>
      <c r="J3110" s="71" t="str">
        <f>IF(OR(I3110=0,I3110=""),"unrated",VLOOKUP(I3110,MappingTables!$B$19:$C$31,2,FALSE))</f>
        <v>unrated</v>
      </c>
      <c r="K3110" s="72">
        <v>49845.467784183424</v>
      </c>
      <c r="L3110" s="70">
        <v>4.1063382263142792</v>
      </c>
      <c r="M3110" s="71">
        <f>IF(L3110&lt;1,1,L3110)</f>
        <v>4.1063382263142792</v>
      </c>
      <c r="N3110" s="70" t="s">
        <v>141</v>
      </c>
      <c r="O3110" s="71">
        <f>INDEX(DurClassMapping,MATCH(M3110,MappingTables!$D$4:$D$8,-1),1)</f>
        <v>1</v>
      </c>
      <c r="P3110" s="73">
        <f>IF(M3110=$A$1,1,$M3110-INDEX(MappingTables!$E$4:$E$8,MATCH(O3110,MappingTables!$B$4:$B$8,0)))</f>
        <v>4.1063382263142792</v>
      </c>
      <c r="Q3110" s="71">
        <f>IF(B3110="",0,INDEX(ModelParameters!$D$6:$K$10,MATCH($O3110,ModelParameters!$B$6:$B$10,0),MATCH($J3110,ModelParameters!$D$5:$K$5,0)))</f>
        <v>0.03</v>
      </c>
      <c r="R3110" s="71">
        <f>IF(B3110="",0,INDEX(ModelParameters!$D$13:$K$17,MATCH($O3110,ModelParameters!$B$13:$B$17,0),MATCH($J3110,ModelParameters!$D$5:$K$5,0)))</f>
        <v>0</v>
      </c>
      <c r="S3110" s="160">
        <f>IF(B3110="",0,MIN(IF($N3110="Other Bond TM",ModelParameters!$N$21,1)*(P3110*Q3110+R3110),1))</f>
        <v>0.12319014678942838</v>
      </c>
      <c r="T3110" s="85">
        <f>IF(B3110="",0,$S3110*$K3110)</f>
        <v>6140.4704931212792</v>
      </c>
      <c r="U3110" s="85">
        <f>IF(B3110="",0,IF(OR(H3110=MappingTables!$C$34,H3110=MappingTables!$C$35),T3110,0))</f>
        <v>0</v>
      </c>
      <c r="V3110" s="85">
        <f>IF(ISNA(IF(AND(VLOOKUP(CONCATENATE($D3110,$G3110),CSRFinput!$B:$E,4,0)=0,OR(H3110=MappingTables!$C$34,H3110=MappingTables!$C$35)),1,VLOOKUP(CONCATENATE($D3110,$G3110),CSRFinput!$B:$E,4,0))),0,IF(AND(VLOOKUP(CONCATENATE($D3110,$G3110),CSRFinput!$B:$E,4,0)=0,OR(H3110=MappingTables!$C$34,H3110=MappingTables!$C$35)),1,VLOOKUP(CONCATENATE($D3110,$G3110),CSRFinput!$B:$E,4,0)))</f>
        <v>0.054776304963434752</v>
      </c>
      <c r="W3110" s="85">
        <f>IF(B3110="",0,+$T3110*$V3110)</f>
        <v>336.35228435018376</v>
      </c>
      <c r="X3110" s="85">
        <f>IF(B3110="",0,IF(OR(H3110=MappingTables!$C$34,H3110=MappingTables!$C$35),W3110,0))</f>
        <v>0</v>
      </c>
    </row>
    <row r="3111" spans="2:24" s="0" customFormat="0" ht="15">
      <c r="B3111" s="69">
        <v>18931659</v>
      </c>
      <c r="C3111" s="70" t="s">
        <v>849</v>
      </c>
      <c r="D3111" s="70" t="s">
        <v>1</v>
      </c>
      <c r="E3111" s="70" t="s">
        <v>1</v>
      </c>
      <c r="F3111" s="70"/>
      <c r="G3111" s="70" t="s">
        <v>61</v>
      </c>
      <c r="H3111" s="70" t="s">
        <v>178</v>
      </c>
      <c r="I3111" s="70" t="s">
        <v>181</v>
      </c>
      <c r="J3111" s="71">
        <f>IF(OR(I3111=0,I3111=""),"unrated",VLOOKUP(I3111,MappingTables!$B$19:$C$31,2,FALSE))</f>
        <v>3</v>
      </c>
      <c r="K3111" s="72">
        <v>11589.01818206259</v>
      </c>
      <c r="L3111" s="70">
        <v>15.807763471287968</v>
      </c>
      <c r="M3111" s="71">
        <f>IF(L3111&lt;1,1,L3111)</f>
        <v>15.807763471287968</v>
      </c>
      <c r="N3111" s="70" t="s">
        <v>141</v>
      </c>
      <c r="O3111" s="71">
        <f>INDEX(DurClassMapping,MATCH(M3111,MappingTables!$D$4:$D$8,-1),1)</f>
        <v>4</v>
      </c>
      <c r="P3111" s="73">
        <f>IF(M3111=$A$1,1,$M3111-INDEX(MappingTables!$E$4:$E$8,MATCH(O3111,MappingTables!$B$4:$B$8,0)))</f>
        <v>0.80776347128796816</v>
      </c>
      <c r="Q3111" s="71">
        <f>IF(B3111="",0,INDEX(ModelParameters!$D$6:$K$10,MATCH($O3111,ModelParameters!$B$6:$B$10,0),MATCH($J3111,ModelParameters!$D$5:$K$5,0)))</f>
        <v>0.01</v>
      </c>
      <c r="R3111" s="71">
        <f>IF(B3111="",0,INDEX(ModelParameters!$D$13:$K$17,MATCH($O3111,ModelParameters!$B$13:$B$17,0),MATCH($J3111,ModelParameters!$D$5:$K$5,0)))</f>
        <v>0.25</v>
      </c>
      <c r="S3111" s="160">
        <f>IF(B3111="",0,MIN(IF($N3111="Other Bond TM",ModelParameters!$N$21,1)*(P3111*Q3111+R3111),1))</f>
        <v>0.25807763471287968</v>
      </c>
      <c r="T3111" s="85">
        <f>IF(B3111="",0,$S3111*$K3111)</f>
        <v>2990.86640107127</v>
      </c>
      <c r="U3111" s="85">
        <f>IF(B3111="",0,IF(OR(H3111=MappingTables!$C$34,H3111=MappingTables!$C$35),T3111,0))</f>
        <v>0</v>
      </c>
      <c r="V3111" s="85">
        <f>IF(ISNA(IF(AND(VLOOKUP(CONCATENATE($D3111,$G3111),CSRFinput!$B:$E,4,0)=0,OR(H3111=MappingTables!$C$34,H3111=MappingTables!$C$35)),1,VLOOKUP(CONCATENATE($D3111,$G3111),CSRFinput!$B:$E,4,0))),0,IF(AND(VLOOKUP(CONCATENATE($D3111,$G3111),CSRFinput!$B:$E,4,0)=0,OR(H3111=MappingTables!$C$34,H3111=MappingTables!$C$35)),1,VLOOKUP(CONCATENATE($D3111,$G3111),CSRFinput!$B:$E,4,0)))</f>
        <v>0.054776304963434752</v>
      </c>
      <c r="W3111" s="85">
        <f>IF(B3111="",0,+$T3111*$V3111)</f>
        <v>163.82861008997046</v>
      </c>
      <c r="X3111" s="85">
        <f>IF(B3111="",0,IF(OR(H3111=MappingTables!$C$34,H3111=MappingTables!$C$35),W3111,0))</f>
        <v>0</v>
      </c>
    </row>
    <row r="3112" spans="2:24" s="0" customFormat="0" ht="15">
      <c r="B3112" s="69">
        <v>21457733</v>
      </c>
      <c r="C3112" s="70" t="s">
        <v>2734</v>
      </c>
      <c r="D3112" s="70" t="s">
        <v>1</v>
      </c>
      <c r="E3112" s="70" t="s">
        <v>1</v>
      </c>
      <c r="F3112" s="70"/>
      <c r="G3112" s="70" t="s">
        <v>61</v>
      </c>
      <c r="H3112" s="70" t="s">
        <v>178</v>
      </c>
      <c r="I3112" s="70" t="s">
        <v>181</v>
      </c>
      <c r="J3112" s="71">
        <f>IF(OR(I3112=0,I3112=""),"unrated",VLOOKUP(I3112,MappingTables!$B$19:$C$31,2,FALSE))</f>
        <v>3</v>
      </c>
      <c r="K3112" s="72">
        <v>4640.7977551910728</v>
      </c>
      <c r="L3112" s="70">
        <v>7.8415526574926176</v>
      </c>
      <c r="M3112" s="71">
        <f>IF(L3112&lt;1,1,L3112)</f>
        <v>7.8415526574926176</v>
      </c>
      <c r="N3112" s="70" t="s">
        <v>141</v>
      </c>
      <c r="O3112" s="71">
        <f>INDEX(DurClassMapping,MATCH(M3112,MappingTables!$D$4:$D$8,-1),1)</f>
        <v>2</v>
      </c>
      <c r="P3112" s="73">
        <f>IF(M3112=$A$1,1,$M3112-INDEX(MappingTables!$E$4:$E$8,MATCH(O3112,MappingTables!$B$4:$B$8,0)))</f>
        <v>2.8415526574926176</v>
      </c>
      <c r="Q3112" s="71">
        <f>IF(B3112="",0,INDEX(ModelParameters!$D$6:$K$10,MATCH($O3112,ModelParameters!$B$6:$B$10,0),MATCH($J3112,ModelParameters!$D$5:$K$5,0)))</f>
        <v>0.015</v>
      </c>
      <c r="R3112" s="71">
        <f>IF(B3112="",0,INDEX(ModelParameters!$D$13:$K$17,MATCH($O3112,ModelParameters!$B$13:$B$17,0),MATCH($J3112,ModelParameters!$D$5:$K$5,0)))</f>
        <v>0.125</v>
      </c>
      <c r="S3112" s="160">
        <f>IF(B3112="",0,MIN(IF($N3112="Other Bond TM",ModelParameters!$N$21,1)*(P3112*Q3112+R3112),1))</f>
        <v>0.16762328986238928</v>
      </c>
      <c r="T3112" s="85">
        <f>IF(B3112="",0,$S3112*$K3112)</f>
        <v>777.90578731111856</v>
      </c>
      <c r="U3112" s="85">
        <f>IF(B3112="",0,IF(OR(H3112=MappingTables!$C$34,H3112=MappingTables!$C$35),T3112,0))</f>
        <v>0</v>
      </c>
      <c r="V3112" s="85">
        <f>IF(ISNA(IF(AND(VLOOKUP(CONCATENATE($D3112,$G3112),CSRFinput!$B:$E,4,0)=0,OR(H3112=MappingTables!$C$34,H3112=MappingTables!$C$35)),1,VLOOKUP(CONCATENATE($D3112,$G3112),CSRFinput!$B:$E,4,0))),0,IF(AND(VLOOKUP(CONCATENATE($D3112,$G3112),CSRFinput!$B:$E,4,0)=0,OR(H3112=MappingTables!$C$34,H3112=MappingTables!$C$35)),1,VLOOKUP(CONCATENATE($D3112,$G3112),CSRFinput!$B:$E,4,0)))</f>
        <v>0.054776304963434752</v>
      </c>
      <c r="W3112" s="85">
        <f>IF(B3112="",0,+$T3112*$V3112)</f>
        <v>42.610804638574648</v>
      </c>
      <c r="X3112" s="85">
        <f>IF(B3112="",0,IF(OR(H3112=MappingTables!$C$34,H3112=MappingTables!$C$35),W3112,0))</f>
        <v>0</v>
      </c>
    </row>
    <row r="3113" spans="2:24" s="0" customFormat="0" ht="15">
      <c r="B3113" s="69" t="s">
        <v>2735</v>
      </c>
      <c r="C3113" s="70" t="s">
        <v>2736</v>
      </c>
      <c r="D3113" s="70" t="s">
        <v>1</v>
      </c>
      <c r="E3113" s="70" t="s">
        <v>1</v>
      </c>
      <c r="F3113" s="70"/>
      <c r="G3113" s="70" t="s">
        <v>61</v>
      </c>
      <c r="H3113" s="70" t="s">
        <v>178</v>
      </c>
      <c r="I3113" s="70" t="s">
        <v>198</v>
      </c>
      <c r="J3113" s="71" t="str">
        <f>IF(OR(I3113=0,I3113=""),"unrated",VLOOKUP(I3113,MappingTables!$B$19:$C$31,2,FALSE))</f>
        <v>unrated</v>
      </c>
      <c r="K3113" s="72">
        <v>2.3291165900914948</v>
      </c>
      <c r="L3113" s="70">
        <v>0.068494801932684816</v>
      </c>
      <c r="M3113" s="71">
        <f>IF(L3113&lt;1,1,L3113)</f>
        <v>1</v>
      </c>
      <c r="N3113" s="70" t="s">
        <v>141</v>
      </c>
      <c r="O3113" s="71">
        <f>INDEX(DurClassMapping,MATCH(M3113,MappingTables!$D$4:$D$8,-1),1)</f>
        <v>1</v>
      </c>
      <c r="P3113" s="73">
        <f>IF(M3113=$A$1,1,$M3113-INDEX(MappingTables!$E$4:$E$8,MATCH(O3113,MappingTables!$B$4:$B$8,0)))</f>
        <v>1</v>
      </c>
      <c r="Q3113" s="71">
        <f>IF(B3113="",0,INDEX(ModelParameters!$D$6:$K$10,MATCH($O3113,ModelParameters!$B$6:$B$10,0),MATCH($J3113,ModelParameters!$D$5:$K$5,0)))</f>
        <v>0.03</v>
      </c>
      <c r="R3113" s="71">
        <f>IF(B3113="",0,INDEX(ModelParameters!$D$13:$K$17,MATCH($O3113,ModelParameters!$B$13:$B$17,0),MATCH($J3113,ModelParameters!$D$5:$K$5,0)))</f>
        <v>0</v>
      </c>
      <c r="S3113" s="160">
        <f>IF(B3113="",0,MIN(IF($N3113="Other Bond TM",ModelParameters!$N$21,1)*(P3113*Q3113+R3113),1))</f>
        <v>0.03</v>
      </c>
      <c r="T3113" s="85">
        <f>IF(B3113="",0,$S3113*$K3113)</f>
        <v>0.06987349770274484</v>
      </c>
      <c r="U3113" s="85">
        <f>IF(B3113="",0,IF(OR(H3113=MappingTables!$C$34,H3113=MappingTables!$C$35),T3113,0))</f>
        <v>0</v>
      </c>
      <c r="V3113" s="85">
        <f>IF(ISNA(IF(AND(VLOOKUP(CONCATENATE($D3113,$G3113),CSRFinput!$B:$E,4,0)=0,OR(H3113=MappingTables!$C$34,H3113=MappingTables!$C$35)),1,VLOOKUP(CONCATENATE($D3113,$G3113),CSRFinput!$B:$E,4,0))),0,IF(AND(VLOOKUP(CONCATENATE($D3113,$G3113),CSRFinput!$B:$E,4,0)=0,OR(H3113=MappingTables!$C$34,H3113=MappingTables!$C$35)),1,VLOOKUP(CONCATENATE($D3113,$G3113),CSRFinput!$B:$E,4,0)))</f>
        <v>0.054776304963434752</v>
      </c>
      <c r="W3113" s="85">
        <f>IF(B3113="",0,+$T3113*$V3113)</f>
        <v>0.0038274120190274088</v>
      </c>
      <c r="X3113" s="85">
        <f>IF(B3113="",0,IF(OR(H3113=MappingTables!$C$34,H3113=MappingTables!$C$35),W3113,0))</f>
        <v>0</v>
      </c>
    </row>
    <row r="3114" spans="2:24" s="0" customFormat="0" ht="15">
      <c r="B3114" s="69">
        <v>16963941</v>
      </c>
      <c r="C3114" s="70" t="s">
        <v>2727</v>
      </c>
      <c r="D3114" s="70" t="s">
        <v>1</v>
      </c>
      <c r="E3114" s="70" t="s">
        <v>1</v>
      </c>
      <c r="F3114" s="70"/>
      <c r="G3114" s="70" t="s">
        <v>61</v>
      </c>
      <c r="H3114" s="70" t="s">
        <v>178</v>
      </c>
      <c r="I3114" s="70" t="s">
        <v>184</v>
      </c>
      <c r="J3114" s="71">
        <f>IF(OR(I3114=0,I3114=""),"unrated",VLOOKUP(I3114,MappingTables!$B$19:$C$31,2,FALSE))</f>
        <v>5</v>
      </c>
      <c r="K3114" s="72">
        <v>348.84003520391868</v>
      </c>
      <c r="L3114" s="70">
        <v>5.7441958677401672</v>
      </c>
      <c r="M3114" s="71">
        <f>IF(L3114&lt;1,1,L3114)</f>
        <v>5.7441958677401672</v>
      </c>
      <c r="N3114" s="70" t="s">
        <v>141</v>
      </c>
      <c r="O3114" s="71">
        <f>INDEX(DurClassMapping,MATCH(M3114,MappingTables!$D$4:$D$8,-1),1)</f>
        <v>2</v>
      </c>
      <c r="P3114" s="73">
        <f>IF(M3114=$A$1,1,$M3114-INDEX(MappingTables!$E$4:$E$8,MATCH(O3114,MappingTables!$B$4:$B$8,0)))</f>
        <v>0.7441958677401672</v>
      </c>
      <c r="Q3114" s="71">
        <f>IF(B3114="",0,INDEX(ModelParameters!$D$6:$K$10,MATCH($O3114,ModelParameters!$B$6:$B$10,0),MATCH($J3114,ModelParameters!$D$5:$K$5,0)))</f>
        <v>0.042</v>
      </c>
      <c r="R3114" s="71">
        <f>IF(B3114="",0,INDEX(ModelParameters!$D$13:$K$17,MATCH($O3114,ModelParameters!$B$13:$B$17,0),MATCH($J3114,ModelParameters!$D$5:$K$5,0)))</f>
        <v>0.375</v>
      </c>
      <c r="S3114" s="160">
        <f>IF(B3114="",0,MIN(IF($N3114="Other Bond TM",ModelParameters!$N$21,1)*(P3114*Q3114+R3114),1))</f>
        <v>0.40625622644508704</v>
      </c>
      <c r="T3114" s="85">
        <f>IF(B3114="",0,$S3114*$K3114)</f>
        <v>141.71843633491532</v>
      </c>
      <c r="U3114" s="85">
        <f>IF(B3114="",0,IF(OR(H3114=MappingTables!$C$34,H3114=MappingTables!$C$35),T3114,0))</f>
        <v>0</v>
      </c>
      <c r="V3114" s="85">
        <f>IF(ISNA(IF(AND(VLOOKUP(CONCATENATE($D3114,$G3114),CSRFinput!$B:$E,4,0)=0,OR(H3114=MappingTables!$C$34,H3114=MappingTables!$C$35)),1,VLOOKUP(CONCATENATE($D3114,$G3114),CSRFinput!$B:$E,4,0))),0,IF(AND(VLOOKUP(CONCATENATE($D3114,$G3114),CSRFinput!$B:$E,4,0)=0,OR(H3114=MappingTables!$C$34,H3114=MappingTables!$C$35)),1,VLOOKUP(CONCATENATE($D3114,$G3114),CSRFinput!$B:$E,4,0)))</f>
        <v>0.054776304963434752</v>
      </c>
      <c r="W3114" s="85">
        <f>IF(B3114="",0,+$T3114*$V3114)</f>
        <v>7.7628122876224336</v>
      </c>
      <c r="X3114" s="85">
        <f>IF(B3114="",0,IF(OR(H3114=MappingTables!$C$34,H3114=MappingTables!$C$35),W3114,0))</f>
        <v>0</v>
      </c>
    </row>
    <row r="3115" spans="2:24" s="0" customFormat="0" ht="15">
      <c r="B3115" s="69">
        <v>16166347</v>
      </c>
      <c r="C3115" s="70" t="s">
        <v>956</v>
      </c>
      <c r="D3115" s="70" t="s">
        <v>1</v>
      </c>
      <c r="E3115" s="70" t="s">
        <v>1</v>
      </c>
      <c r="F3115" s="70"/>
      <c r="G3115" s="70" t="s">
        <v>61</v>
      </c>
      <c r="H3115" s="70" t="s">
        <v>178</v>
      </c>
      <c r="I3115" s="70" t="s">
        <v>220</v>
      </c>
      <c r="J3115" s="71">
        <f>IF(OR(I3115=0,I3115=""),"unrated",VLOOKUP(I3115,MappingTables!$B$19:$C$31,2,FALSE))</f>
        <v>1</v>
      </c>
      <c r="K3115" s="72">
        <v>278.505263475169</v>
      </c>
      <c r="L3115" s="70">
        <v>0.33150987126471136</v>
      </c>
      <c r="M3115" s="71">
        <f>IF(L3115&lt;1,1,L3115)</f>
        <v>1</v>
      </c>
      <c r="N3115" s="70" t="s">
        <v>141</v>
      </c>
      <c r="O3115" s="71">
        <f>INDEX(DurClassMapping,MATCH(M3115,MappingTables!$D$4:$D$8,-1),1)</f>
        <v>1</v>
      </c>
      <c r="P3115" s="73">
        <f>IF(M3115=$A$1,1,$M3115-INDEX(MappingTables!$E$4:$E$8,MATCH(O3115,MappingTables!$B$4:$B$8,0)))</f>
        <v>1</v>
      </c>
      <c r="Q3115" s="71">
        <f>IF(B3115="",0,INDEX(ModelParameters!$D$6:$K$10,MATCH($O3115,ModelParameters!$B$6:$B$10,0),MATCH($J3115,ModelParameters!$D$5:$K$5,0)))</f>
        <v>0.011000000000000002</v>
      </c>
      <c r="R3115" s="71">
        <f>IF(B3115="",0,INDEX(ModelParameters!$D$13:$K$17,MATCH($O3115,ModelParameters!$B$13:$B$17,0),MATCH($J3115,ModelParameters!$D$5:$K$5,0)))</f>
        <v>0</v>
      </c>
      <c r="S3115" s="160">
        <f>IF(B3115="",0,MIN(IF($N3115="Other Bond TM",ModelParameters!$N$21,1)*(P3115*Q3115+R3115),1))</f>
        <v>0.011000000000000002</v>
      </c>
      <c r="T3115" s="85">
        <f>IF(B3115="",0,$S3115*$K3115)</f>
        <v>3.0635578982268588</v>
      </c>
      <c r="U3115" s="85">
        <f>IF(B3115="",0,IF(OR(H3115=MappingTables!$C$34,H3115=MappingTables!$C$35),T3115,0))</f>
        <v>0</v>
      </c>
      <c r="V3115" s="85">
        <f>IF(ISNA(IF(AND(VLOOKUP(CONCATENATE($D3115,$G3115),CSRFinput!$B:$E,4,0)=0,OR(H3115=MappingTables!$C$34,H3115=MappingTables!$C$35)),1,VLOOKUP(CONCATENATE($D3115,$G3115),CSRFinput!$B:$E,4,0))),0,IF(AND(VLOOKUP(CONCATENATE($D3115,$G3115),CSRFinput!$B:$E,4,0)=0,OR(H3115=MappingTables!$C$34,H3115=MappingTables!$C$35)),1,VLOOKUP(CONCATENATE($D3115,$G3115),CSRFinput!$B:$E,4,0)))</f>
        <v>0.054776304963434752</v>
      </c>
      <c r="W3115" s="85">
        <f>IF(B3115="",0,+$T3115*$V3115)</f>
        <v>0.16781038170641364</v>
      </c>
      <c r="X3115" s="85">
        <f>IF(B3115="",0,IF(OR(H3115=MappingTables!$C$34,H3115=MappingTables!$C$35),W3115,0))</f>
        <v>0</v>
      </c>
    </row>
    <row r="3116" spans="2:24" s="0" customFormat="0" ht="15">
      <c r="B3116" s="69">
        <v>19969512</v>
      </c>
      <c r="C3116" s="70" t="s">
        <v>2737</v>
      </c>
      <c r="D3116" s="70" t="s">
        <v>1</v>
      </c>
      <c r="E3116" s="70" t="s">
        <v>1</v>
      </c>
      <c r="F3116" s="70"/>
      <c r="G3116" s="70" t="s">
        <v>61</v>
      </c>
      <c r="H3116" s="70" t="s">
        <v>178</v>
      </c>
      <c r="I3116" s="70" t="s">
        <v>181</v>
      </c>
      <c r="J3116" s="71">
        <f>IF(OR(I3116=0,I3116=""),"unrated",VLOOKUP(I3116,MappingTables!$B$19:$C$31,2,FALSE))</f>
        <v>3</v>
      </c>
      <c r="K3116" s="72">
        <v>1518977.05078125</v>
      </c>
      <c r="L3116" s="70">
        <v>7.9837458291343408</v>
      </c>
      <c r="M3116" s="71">
        <f>IF(L3116&lt;1,1,L3116)</f>
        <v>7.9837458291343408</v>
      </c>
      <c r="N3116" s="70" t="s">
        <v>141</v>
      </c>
      <c r="O3116" s="71">
        <f>INDEX(DurClassMapping,MATCH(M3116,MappingTables!$D$4:$D$8,-1),1)</f>
        <v>2</v>
      </c>
      <c r="P3116" s="73">
        <f>IF(M3116=$A$1,1,$M3116-INDEX(MappingTables!$E$4:$E$8,MATCH(O3116,MappingTables!$B$4:$B$8,0)))</f>
        <v>2.9837458291343408</v>
      </c>
      <c r="Q3116" s="71">
        <f>IF(B3116="",0,INDEX(ModelParameters!$D$6:$K$10,MATCH($O3116,ModelParameters!$B$6:$B$10,0),MATCH($J3116,ModelParameters!$D$5:$K$5,0)))</f>
        <v>0.015</v>
      </c>
      <c r="R3116" s="71">
        <f>IF(B3116="",0,INDEX(ModelParameters!$D$13:$K$17,MATCH($O3116,ModelParameters!$B$13:$B$17,0),MATCH($J3116,ModelParameters!$D$5:$K$5,0)))</f>
        <v>0.125</v>
      </c>
      <c r="S3116" s="160">
        <f>IF(B3116="",0,MIN(IF($N3116="Other Bond TM",ModelParameters!$N$21,1)*(P3116*Q3116+R3116),1))</f>
        <v>0.1697561874370151</v>
      </c>
      <c r="T3116" s="85">
        <f>IF(B3116="",0,$S3116*$K3116)</f>
        <v>257855.75294494624</v>
      </c>
      <c r="U3116" s="85">
        <f>IF(B3116="",0,IF(OR(H3116=MappingTables!$C$34,H3116=MappingTables!$C$35),T3116,0))</f>
        <v>0</v>
      </c>
      <c r="V3116" s="85">
        <f>IF(ISNA(IF(AND(VLOOKUP(CONCATENATE($D3116,$G3116),CSRFinput!$B:$E,4,0)=0,OR(H3116=MappingTables!$C$34,H3116=MappingTables!$C$35)),1,VLOOKUP(CONCATENATE($D3116,$G3116),CSRFinput!$B:$E,4,0))),0,IF(AND(VLOOKUP(CONCATENATE($D3116,$G3116),CSRFinput!$B:$E,4,0)=0,OR(H3116=MappingTables!$C$34,H3116=MappingTables!$C$35)),1,VLOOKUP(CONCATENATE($D3116,$G3116),CSRFinput!$B:$E,4,0)))</f>
        <v>0.054776304963434752</v>
      </c>
      <c r="W3116" s="85">
        <f>IF(B3116="",0,+$T3116*$V3116)</f>
        <v>14124.385359888466</v>
      </c>
      <c r="X3116" s="85">
        <f>IF(B3116="",0,IF(OR(H3116=MappingTables!$C$34,H3116=MappingTables!$C$35),W3116,0))</f>
        <v>0</v>
      </c>
    </row>
    <row r="3117" spans="2:24" s="0" customFormat="0" ht="15">
      <c r="B3117" s="69">
        <v>22463789</v>
      </c>
      <c r="C3117" s="70" t="s">
        <v>1733</v>
      </c>
      <c r="D3117" s="70" t="s">
        <v>1</v>
      </c>
      <c r="E3117" s="70" t="s">
        <v>1</v>
      </c>
      <c r="F3117" s="70"/>
      <c r="G3117" s="70" t="s">
        <v>61</v>
      </c>
      <c r="H3117" s="70" t="s">
        <v>178</v>
      </c>
      <c r="I3117" s="70" t="s">
        <v>179</v>
      </c>
      <c r="J3117" s="71">
        <f>IF(OR(I3117=0,I3117=""),"unrated",VLOOKUP(I3117,MappingTables!$B$19:$C$31,2,FALSE))</f>
        <v>4</v>
      </c>
      <c r="K3117" s="72">
        <v>4113.9973803308624</v>
      </c>
      <c r="L3117" s="70">
        <v>16.091513516501382</v>
      </c>
      <c r="M3117" s="71">
        <f>IF(L3117&lt;1,1,L3117)</f>
        <v>16.091513516501382</v>
      </c>
      <c r="N3117" s="70" t="s">
        <v>141</v>
      </c>
      <c r="O3117" s="71">
        <f>INDEX(DurClassMapping,MATCH(M3117,MappingTables!$D$4:$D$8,-1),1)</f>
        <v>4</v>
      </c>
      <c r="P3117" s="73">
        <f>IF(M3117=$A$1,1,$M3117-INDEX(MappingTables!$E$4:$E$8,MATCH(O3117,MappingTables!$B$4:$B$8,0)))</f>
        <v>1.091513516501383</v>
      </c>
      <c r="Q3117" s="71">
        <f>IF(B3117="",0,INDEX(ModelParameters!$D$6:$K$10,MATCH($O3117,ModelParameters!$B$6:$B$10,0),MATCH($J3117,ModelParameters!$D$5:$K$5,0)))</f>
        <v>0.005</v>
      </c>
      <c r="R3117" s="71">
        <f>IF(B3117="",0,INDEX(ModelParameters!$D$13:$K$17,MATCH($O3117,ModelParameters!$B$13:$B$17,0),MATCH($J3117,ModelParameters!$D$5:$K$5,0)))</f>
        <v>0.44</v>
      </c>
      <c r="S3117" s="160">
        <f>IF(B3117="",0,MIN(IF($N3117="Other Bond TM",ModelParameters!$N$21,1)*(P3117*Q3117+R3117),1))</f>
        <v>0.44545756758250696</v>
      </c>
      <c r="T3117" s="85">
        <f>IF(B3117="",0,$S3117*$K3117)</f>
        <v>1832.6112660829916</v>
      </c>
      <c r="U3117" s="85">
        <f>IF(B3117="",0,IF(OR(H3117=MappingTables!$C$34,H3117=MappingTables!$C$35),T3117,0))</f>
        <v>0</v>
      </c>
      <c r="V3117" s="85">
        <f>IF(ISNA(IF(AND(VLOOKUP(CONCATENATE($D3117,$G3117),CSRFinput!$B:$E,4,0)=0,OR(H3117=MappingTables!$C$34,H3117=MappingTables!$C$35)),1,VLOOKUP(CONCATENATE($D3117,$G3117),CSRFinput!$B:$E,4,0))),0,IF(AND(VLOOKUP(CONCATENATE($D3117,$G3117),CSRFinput!$B:$E,4,0)=0,OR(H3117=MappingTables!$C$34,H3117=MappingTables!$C$35)),1,VLOOKUP(CONCATENATE($D3117,$G3117),CSRFinput!$B:$E,4,0)))</f>
        <v>0.054776304963434752</v>
      </c>
      <c r="W3117" s="85">
        <f>IF(B3117="",0,+$T3117*$V3117)</f>
        <v>100.38367359038822</v>
      </c>
      <c r="X3117" s="85">
        <f>IF(B3117="",0,IF(OR(H3117=MappingTables!$C$34,H3117=MappingTables!$C$35),W3117,0))</f>
        <v>0</v>
      </c>
    </row>
    <row r="3118" spans="2:24" s="0" customFormat="0" ht="15">
      <c r="B3118" s="69">
        <v>19664799</v>
      </c>
      <c r="C3118" s="70" t="s">
        <v>2738</v>
      </c>
      <c r="D3118" s="70" t="s">
        <v>1</v>
      </c>
      <c r="E3118" s="70" t="s">
        <v>1</v>
      </c>
      <c r="F3118" s="70"/>
      <c r="G3118" s="70" t="s">
        <v>61</v>
      </c>
      <c r="H3118" s="70" t="s">
        <v>178</v>
      </c>
      <c r="I3118" s="70" t="s">
        <v>220</v>
      </c>
      <c r="J3118" s="71">
        <f>IF(OR(I3118=0,I3118=""),"unrated",VLOOKUP(I3118,MappingTables!$B$19:$C$31,2,FALSE))</f>
        <v>1</v>
      </c>
      <c r="K3118" s="72">
        <v>655.37262523691376</v>
      </c>
      <c r="L3118" s="70">
        <v>0.29041047371505612</v>
      </c>
      <c r="M3118" s="71">
        <f>IF(L3118&lt;1,1,L3118)</f>
        <v>1</v>
      </c>
      <c r="N3118" s="70" t="s">
        <v>141</v>
      </c>
      <c r="O3118" s="71">
        <f>INDEX(DurClassMapping,MATCH(M3118,MappingTables!$D$4:$D$8,-1),1)</f>
        <v>1</v>
      </c>
      <c r="P3118" s="73">
        <f>IF(M3118=$A$1,1,$M3118-INDEX(MappingTables!$E$4:$E$8,MATCH(O3118,MappingTables!$B$4:$B$8,0)))</f>
        <v>1</v>
      </c>
      <c r="Q3118" s="71">
        <f>IF(B3118="",0,INDEX(ModelParameters!$D$6:$K$10,MATCH($O3118,ModelParameters!$B$6:$B$10,0),MATCH($J3118,ModelParameters!$D$5:$K$5,0)))</f>
        <v>0.011000000000000002</v>
      </c>
      <c r="R3118" s="71">
        <f>IF(B3118="",0,INDEX(ModelParameters!$D$13:$K$17,MATCH($O3118,ModelParameters!$B$13:$B$17,0),MATCH($J3118,ModelParameters!$D$5:$K$5,0)))</f>
        <v>0</v>
      </c>
      <c r="S3118" s="160">
        <f>IF(B3118="",0,MIN(IF($N3118="Other Bond TM",ModelParameters!$N$21,1)*(P3118*Q3118+R3118),1))</f>
        <v>0.011000000000000002</v>
      </c>
      <c r="T3118" s="85">
        <f>IF(B3118="",0,$S3118*$K3118)</f>
        <v>7.2090988776060528</v>
      </c>
      <c r="U3118" s="85">
        <f>IF(B3118="",0,IF(OR(H3118=MappingTables!$C$34,H3118=MappingTables!$C$35),T3118,0))</f>
        <v>0</v>
      </c>
      <c r="V3118" s="85">
        <f>IF(ISNA(IF(AND(VLOOKUP(CONCATENATE($D3118,$G3118),CSRFinput!$B:$E,4,0)=0,OR(H3118=MappingTables!$C$34,H3118=MappingTables!$C$35)),1,VLOOKUP(CONCATENATE($D3118,$G3118),CSRFinput!$B:$E,4,0))),0,IF(AND(VLOOKUP(CONCATENATE($D3118,$G3118),CSRFinput!$B:$E,4,0)=0,OR(H3118=MappingTables!$C$34,H3118=MappingTables!$C$35)),1,VLOOKUP(CONCATENATE($D3118,$G3118),CSRFinput!$B:$E,4,0)))</f>
        <v>0.054776304963434752</v>
      </c>
      <c r="W3118" s="85">
        <f>IF(B3118="",0,+$T3118*$V3118)</f>
        <v>0.39488779863130432</v>
      </c>
      <c r="X3118" s="85">
        <f>IF(B3118="",0,IF(OR(H3118=MappingTables!$C$34,H3118=MappingTables!$C$35),W3118,0))</f>
        <v>0</v>
      </c>
    </row>
    <row r="3119" spans="2:24" s="0" customFormat="0" ht="15">
      <c r="B3119" s="69" t="s">
        <v>2061</v>
      </c>
      <c r="C3119" s="70" t="s">
        <v>2062</v>
      </c>
      <c r="D3119" s="70" t="s">
        <v>1</v>
      </c>
      <c r="E3119" s="70" t="s">
        <v>1</v>
      </c>
      <c r="F3119" s="70"/>
      <c r="G3119" s="70" t="s">
        <v>61</v>
      </c>
      <c r="H3119" s="70" t="s">
        <v>178</v>
      </c>
      <c r="I3119" s="70" t="s">
        <v>188</v>
      </c>
      <c r="J3119" s="71">
        <f>IF(OR(I3119=0,I3119=""),"unrated",VLOOKUP(I3119,MappingTables!$B$19:$C$31,2,FALSE))</f>
        <v>2</v>
      </c>
      <c r="K3119" s="72">
        <v>184.04468891824132</v>
      </c>
      <c r="L3119" s="70">
        <v>1.2886377443907146</v>
      </c>
      <c r="M3119" s="71">
        <f>IF(L3119&lt;1,1,L3119)</f>
        <v>1.2886377443907146</v>
      </c>
      <c r="N3119" s="70" t="s">
        <v>141</v>
      </c>
      <c r="O3119" s="71">
        <f>INDEX(DurClassMapping,MATCH(M3119,MappingTables!$D$4:$D$8,-1),1)</f>
        <v>1</v>
      </c>
      <c r="P3119" s="73">
        <f>IF(M3119=$A$1,1,$M3119-INDEX(MappingTables!$E$4:$E$8,MATCH(O3119,MappingTables!$B$4:$B$8,0)))</f>
        <v>1.2886377443907146</v>
      </c>
      <c r="Q3119" s="71">
        <f>IF(B3119="",0,INDEX(ModelParameters!$D$6:$K$10,MATCH($O3119,ModelParameters!$B$6:$B$10,0),MATCH($J3119,ModelParameters!$D$5:$K$5,0)))</f>
        <v>0.013999999999999998</v>
      </c>
      <c r="R3119" s="71">
        <f>IF(B3119="",0,INDEX(ModelParameters!$D$13:$K$17,MATCH($O3119,ModelParameters!$B$13:$B$17,0),MATCH($J3119,ModelParameters!$D$5:$K$5,0)))</f>
        <v>0</v>
      </c>
      <c r="S3119" s="160">
        <f>IF(B3119="",0,MIN(IF($N3119="Other Bond TM",ModelParameters!$N$21,1)*(P3119*Q3119+R3119),1))</f>
        <v>0.018040928421470004</v>
      </c>
      <c r="T3119" s="85">
        <f>IF(B3119="",0,$S3119*$K3119)</f>
        <v>3.3203370591257052</v>
      </c>
      <c r="U3119" s="85">
        <f>IF(B3119="",0,IF(OR(H3119=MappingTables!$C$34,H3119=MappingTables!$C$35),T3119,0))</f>
        <v>0</v>
      </c>
      <c r="V3119" s="85">
        <f>IF(ISNA(IF(AND(VLOOKUP(CONCATENATE($D3119,$G3119),CSRFinput!$B:$E,4,0)=0,OR(H3119=MappingTables!$C$34,H3119=MappingTables!$C$35)),1,VLOOKUP(CONCATENATE($D3119,$G3119),CSRFinput!$B:$E,4,0))),0,IF(AND(VLOOKUP(CONCATENATE($D3119,$G3119),CSRFinput!$B:$E,4,0)=0,OR(H3119=MappingTables!$C$34,H3119=MappingTables!$C$35)),1,VLOOKUP(CONCATENATE($D3119,$G3119),CSRFinput!$B:$E,4,0)))</f>
        <v>0.054776304963434752</v>
      </c>
      <c r="W3119" s="85">
        <f>IF(B3119="",0,+$T3119*$V3119)</f>
        <v>0.18187579533206372</v>
      </c>
      <c r="X3119" s="85">
        <f>IF(B3119="",0,IF(OR(H3119=MappingTables!$C$34,H3119=MappingTables!$C$35),W3119,0))</f>
        <v>0</v>
      </c>
    </row>
    <row r="3120" spans="2:24" s="0" customFormat="0" ht="15">
      <c r="B3120" s="69">
        <v>22410558</v>
      </c>
      <c r="C3120" s="70" t="s">
        <v>796</v>
      </c>
      <c r="D3120" s="70" t="s">
        <v>1</v>
      </c>
      <c r="E3120" s="70" t="s">
        <v>1</v>
      </c>
      <c r="F3120" s="70"/>
      <c r="G3120" s="70" t="s">
        <v>61</v>
      </c>
      <c r="H3120" s="70" t="s">
        <v>178</v>
      </c>
      <c r="I3120" s="70" t="s">
        <v>198</v>
      </c>
      <c r="J3120" s="71" t="str">
        <f>IF(OR(I3120=0,I3120=""),"unrated",VLOOKUP(I3120,MappingTables!$B$19:$C$31,2,FALSE))</f>
        <v>unrated</v>
      </c>
      <c r="K3120" s="72">
        <v>16351.47047724573</v>
      </c>
      <c r="L3120" s="70">
        <v>2.9358227984488892</v>
      </c>
      <c r="M3120" s="71">
        <f>IF(L3120&lt;1,1,L3120)</f>
        <v>2.9358227984488892</v>
      </c>
      <c r="N3120" s="70" t="s">
        <v>141</v>
      </c>
      <c r="O3120" s="71">
        <f>INDEX(DurClassMapping,MATCH(M3120,MappingTables!$D$4:$D$8,-1),1)</f>
        <v>1</v>
      </c>
      <c r="P3120" s="73">
        <f>IF(M3120=$A$1,1,$M3120-INDEX(MappingTables!$E$4:$E$8,MATCH(O3120,MappingTables!$B$4:$B$8,0)))</f>
        <v>2.9358227984488892</v>
      </c>
      <c r="Q3120" s="71">
        <f>IF(B3120="",0,INDEX(ModelParameters!$D$6:$K$10,MATCH($O3120,ModelParameters!$B$6:$B$10,0),MATCH($J3120,ModelParameters!$D$5:$K$5,0)))</f>
        <v>0.03</v>
      </c>
      <c r="R3120" s="71">
        <f>IF(B3120="",0,INDEX(ModelParameters!$D$13:$K$17,MATCH($O3120,ModelParameters!$B$13:$B$17,0),MATCH($J3120,ModelParameters!$D$5:$K$5,0)))</f>
        <v>0</v>
      </c>
      <c r="S3120" s="160">
        <f>IF(B3120="",0,MIN(IF($N3120="Other Bond TM",ModelParameters!$N$21,1)*(P3120*Q3120+R3120),1))</f>
        <v>0.088074683953466672</v>
      </c>
      <c r="T3120" s="85">
        <f>IF(B3120="",0,$S3120*$K3120)</f>
        <v>1440.1505944578584</v>
      </c>
      <c r="U3120" s="85">
        <f>IF(B3120="",0,IF(OR(H3120=MappingTables!$C$34,H3120=MappingTables!$C$35),T3120,0))</f>
        <v>0</v>
      </c>
      <c r="V3120" s="85">
        <f>IF(ISNA(IF(AND(VLOOKUP(CONCATENATE($D3120,$G3120),CSRFinput!$B:$E,4,0)=0,OR(H3120=MappingTables!$C$34,H3120=MappingTables!$C$35)),1,VLOOKUP(CONCATENATE($D3120,$G3120),CSRFinput!$B:$E,4,0))),0,IF(AND(VLOOKUP(CONCATENATE($D3120,$G3120),CSRFinput!$B:$E,4,0)=0,OR(H3120=MappingTables!$C$34,H3120=MappingTables!$C$35)),1,VLOOKUP(CONCATENATE($D3120,$G3120),CSRFinput!$B:$E,4,0)))</f>
        <v>0.054776304963434752</v>
      </c>
      <c r="W3120" s="85">
        <f>IF(B3120="",0,+$T3120*$V3120)</f>
        <v>78.886128155295504</v>
      </c>
      <c r="X3120" s="85">
        <f>IF(B3120="",0,IF(OR(H3120=MappingTables!$C$34,H3120=MappingTables!$C$35),W3120,0))</f>
        <v>0</v>
      </c>
    </row>
    <row r="3121" spans="2:24" s="0" customFormat="0" ht="15">
      <c r="B3121" s="69">
        <v>12633911</v>
      </c>
      <c r="C3121" s="70" t="s">
        <v>2126</v>
      </c>
      <c r="D3121" s="70" t="s">
        <v>1</v>
      </c>
      <c r="E3121" s="70" t="s">
        <v>1</v>
      </c>
      <c r="F3121" s="70"/>
      <c r="G3121" s="70" t="s">
        <v>61</v>
      </c>
      <c r="H3121" s="70" t="s">
        <v>178</v>
      </c>
      <c r="I3121" s="70" t="s">
        <v>220</v>
      </c>
      <c r="J3121" s="71">
        <f>IF(OR(I3121=0,I3121=""),"unrated",VLOOKUP(I3121,MappingTables!$B$19:$C$31,2,FALSE))</f>
        <v>1</v>
      </c>
      <c r="K3121" s="72">
        <v>951.46485850182944</v>
      </c>
      <c r="L3121" s="70">
        <v>0.76130128597780528</v>
      </c>
      <c r="M3121" s="71">
        <f>IF(L3121&lt;1,1,L3121)</f>
        <v>1</v>
      </c>
      <c r="N3121" s="70" t="s">
        <v>141</v>
      </c>
      <c r="O3121" s="71">
        <f>INDEX(DurClassMapping,MATCH(M3121,MappingTables!$D$4:$D$8,-1),1)</f>
        <v>1</v>
      </c>
      <c r="P3121" s="73">
        <f>IF(M3121=$A$1,1,$M3121-INDEX(MappingTables!$E$4:$E$8,MATCH(O3121,MappingTables!$B$4:$B$8,0)))</f>
        <v>1</v>
      </c>
      <c r="Q3121" s="71">
        <f>IF(B3121="",0,INDEX(ModelParameters!$D$6:$K$10,MATCH($O3121,ModelParameters!$B$6:$B$10,0),MATCH($J3121,ModelParameters!$D$5:$K$5,0)))</f>
        <v>0.011000000000000002</v>
      </c>
      <c r="R3121" s="71">
        <f>IF(B3121="",0,INDEX(ModelParameters!$D$13:$K$17,MATCH($O3121,ModelParameters!$B$13:$B$17,0),MATCH($J3121,ModelParameters!$D$5:$K$5,0)))</f>
        <v>0</v>
      </c>
      <c r="S3121" s="160">
        <f>IF(B3121="",0,MIN(IF($N3121="Other Bond TM",ModelParameters!$N$21,1)*(P3121*Q3121+R3121),1))</f>
        <v>0.011000000000000002</v>
      </c>
      <c r="T3121" s="85">
        <f>IF(B3121="",0,$S3121*$K3121)</f>
        <v>10.466113443520126</v>
      </c>
      <c r="U3121" s="85">
        <f>IF(B3121="",0,IF(OR(H3121=MappingTables!$C$34,H3121=MappingTables!$C$35),T3121,0))</f>
        <v>0</v>
      </c>
      <c r="V3121" s="85">
        <f>IF(ISNA(IF(AND(VLOOKUP(CONCATENATE($D3121,$G3121),CSRFinput!$B:$E,4,0)=0,OR(H3121=MappingTables!$C$34,H3121=MappingTables!$C$35)),1,VLOOKUP(CONCATENATE($D3121,$G3121),CSRFinput!$B:$E,4,0))),0,IF(AND(VLOOKUP(CONCATENATE($D3121,$G3121),CSRFinput!$B:$E,4,0)=0,OR(H3121=MappingTables!$C$34,H3121=MappingTables!$C$35)),1,VLOOKUP(CONCATENATE($D3121,$G3121),CSRFinput!$B:$E,4,0)))</f>
        <v>0.054776304963434752</v>
      </c>
      <c r="W3121" s="85">
        <f>IF(B3121="",0,+$T3121*$V3121)</f>
        <v>0.57329502176416272</v>
      </c>
      <c r="X3121" s="85">
        <f>IF(B3121="",0,IF(OR(H3121=MappingTables!$C$34,H3121=MappingTables!$C$35),W3121,0))</f>
        <v>0</v>
      </c>
    </row>
    <row r="3122" spans="2:24" s="0" customFormat="0" ht="15">
      <c r="B3122" s="69">
        <v>18152805</v>
      </c>
      <c r="C3122" s="70" t="s">
        <v>2739</v>
      </c>
      <c r="D3122" s="70" t="s">
        <v>1</v>
      </c>
      <c r="E3122" s="70" t="s">
        <v>1</v>
      </c>
      <c r="F3122" s="70"/>
      <c r="G3122" s="70" t="s">
        <v>61</v>
      </c>
      <c r="H3122" s="70" t="s">
        <v>178</v>
      </c>
      <c r="I3122" s="70" t="s">
        <v>179</v>
      </c>
      <c r="J3122" s="71">
        <f>IF(OR(I3122=0,I3122=""),"unrated",VLOOKUP(I3122,MappingTables!$B$19:$C$31,2,FALSE))</f>
        <v>4</v>
      </c>
      <c r="K3122" s="72">
        <v>18893.798537573472</v>
      </c>
      <c r="L3122" s="70">
        <v>6.6712310742278728</v>
      </c>
      <c r="M3122" s="71">
        <f>IF(L3122&lt;1,1,L3122)</f>
        <v>6.6712310742278728</v>
      </c>
      <c r="N3122" s="70" t="s">
        <v>141</v>
      </c>
      <c r="O3122" s="71">
        <f>INDEX(DurClassMapping,MATCH(M3122,MappingTables!$D$4:$D$8,-1),1)</f>
        <v>2</v>
      </c>
      <c r="P3122" s="73">
        <f>IF(M3122=$A$1,1,$M3122-INDEX(MappingTables!$E$4:$E$8,MATCH(O3122,MappingTables!$B$4:$B$8,0)))</f>
        <v>1.6712310742278724</v>
      </c>
      <c r="Q3122" s="71">
        <f>IF(B3122="",0,INDEX(ModelParameters!$D$6:$K$10,MATCH($O3122,ModelParameters!$B$6:$B$10,0),MATCH($J3122,ModelParameters!$D$5:$K$5,0)))</f>
        <v>0.025</v>
      </c>
      <c r="R3122" s="71">
        <f>IF(B3122="",0,INDEX(ModelParameters!$D$13:$K$17,MATCH($O3122,ModelParameters!$B$13:$B$17,0),MATCH($J3122,ModelParameters!$D$5:$K$5,0)))</f>
        <v>0.225</v>
      </c>
      <c r="S3122" s="160">
        <f>IF(B3122="",0,MIN(IF($N3122="Other Bond TM",ModelParameters!$N$21,1)*(P3122*Q3122+R3122),1))</f>
        <v>0.2667807768556968</v>
      </c>
      <c r="T3122" s="85">
        <f>IF(B3122="",0,$S3122*$K3122)</f>
        <v>5040.5022516088784</v>
      </c>
      <c r="U3122" s="85">
        <f>IF(B3122="",0,IF(OR(H3122=MappingTables!$C$34,H3122=MappingTables!$C$35),T3122,0))</f>
        <v>0</v>
      </c>
      <c r="V3122" s="85">
        <f>IF(ISNA(IF(AND(VLOOKUP(CONCATENATE($D3122,$G3122),CSRFinput!$B:$E,4,0)=0,OR(H3122=MappingTables!$C$34,H3122=MappingTables!$C$35)),1,VLOOKUP(CONCATENATE($D3122,$G3122),CSRFinput!$B:$E,4,0))),0,IF(AND(VLOOKUP(CONCATENATE($D3122,$G3122),CSRFinput!$B:$E,4,0)=0,OR(H3122=MappingTables!$C$34,H3122=MappingTables!$C$35)),1,VLOOKUP(CONCATENATE($D3122,$G3122),CSRFinput!$B:$E,4,0)))</f>
        <v>0.054776304963434752</v>
      </c>
      <c r="W3122" s="85">
        <f>IF(B3122="",0,+$T3122*$V3122)</f>
        <v>276.10008850300744</v>
      </c>
      <c r="X3122" s="85">
        <f>IF(B3122="",0,IF(OR(H3122=MappingTables!$C$34,H3122=MappingTables!$C$35),W3122,0))</f>
        <v>0</v>
      </c>
    </row>
    <row r="3123" spans="2:24" s="0" customFormat="0" ht="15">
      <c r="B3123" s="69">
        <v>23595946</v>
      </c>
      <c r="C3123" s="70" t="s">
        <v>2241</v>
      </c>
      <c r="D3123" s="70" t="s">
        <v>1</v>
      </c>
      <c r="E3123" s="70" t="s">
        <v>1</v>
      </c>
      <c r="F3123" s="70"/>
      <c r="G3123" s="70" t="s">
        <v>61</v>
      </c>
      <c r="H3123" s="70" t="s">
        <v>178</v>
      </c>
      <c r="I3123" s="70" t="s">
        <v>188</v>
      </c>
      <c r="J3123" s="71">
        <f>IF(OR(I3123=0,I3123=""),"unrated",VLOOKUP(I3123,MappingTables!$B$19:$C$31,2,FALSE))</f>
        <v>2</v>
      </c>
      <c r="K3123" s="72">
        <v>943.79850229427184</v>
      </c>
      <c r="L3123" s="70">
        <v>1.4895832938932896</v>
      </c>
      <c r="M3123" s="71">
        <f>IF(L3123&lt;1,1,L3123)</f>
        <v>1.4895832938932896</v>
      </c>
      <c r="N3123" s="70" t="s">
        <v>141</v>
      </c>
      <c r="O3123" s="71">
        <f>INDEX(DurClassMapping,MATCH(M3123,MappingTables!$D$4:$D$8,-1),1)</f>
        <v>1</v>
      </c>
      <c r="P3123" s="73">
        <f>IF(M3123=$A$1,1,$M3123-INDEX(MappingTables!$E$4:$E$8,MATCH(O3123,MappingTables!$B$4:$B$8,0)))</f>
        <v>1.4895832938932896</v>
      </c>
      <c r="Q3123" s="71">
        <f>IF(B3123="",0,INDEX(ModelParameters!$D$6:$K$10,MATCH($O3123,ModelParameters!$B$6:$B$10,0),MATCH($J3123,ModelParameters!$D$5:$K$5,0)))</f>
        <v>0.013999999999999998</v>
      </c>
      <c r="R3123" s="71">
        <f>IF(B3123="",0,INDEX(ModelParameters!$D$13:$K$17,MATCH($O3123,ModelParameters!$B$13:$B$17,0),MATCH($J3123,ModelParameters!$D$5:$K$5,0)))</f>
        <v>0</v>
      </c>
      <c r="S3123" s="160">
        <f>IF(B3123="",0,MIN(IF($N3123="Other Bond TM",ModelParameters!$N$21,1)*(P3123*Q3123+R3123),1))</f>
        <v>0.020854166114506052</v>
      </c>
      <c r="T3123" s="85">
        <f>IF(B3123="",0,$S3123*$K3123)</f>
        <v>19.682130745466764</v>
      </c>
      <c r="U3123" s="85">
        <f>IF(B3123="",0,IF(OR(H3123=MappingTables!$C$34,H3123=MappingTables!$C$35),T3123,0))</f>
        <v>0</v>
      </c>
      <c r="V3123" s="85">
        <f>IF(ISNA(IF(AND(VLOOKUP(CONCATENATE($D3123,$G3123),CSRFinput!$B:$E,4,0)=0,OR(H3123=MappingTables!$C$34,H3123=MappingTables!$C$35)),1,VLOOKUP(CONCATENATE($D3123,$G3123),CSRFinput!$B:$E,4,0))),0,IF(AND(VLOOKUP(CONCATENATE($D3123,$G3123),CSRFinput!$B:$E,4,0)=0,OR(H3123=MappingTables!$C$34,H3123=MappingTables!$C$35)),1,VLOOKUP(CONCATENATE($D3123,$G3123),CSRFinput!$B:$E,4,0)))</f>
        <v>0.054776304963434752</v>
      </c>
      <c r="W3123" s="85">
        <f>IF(B3123="",0,+$T3123*$V3123)</f>
        <v>1.0781143960438828</v>
      </c>
      <c r="X3123" s="85">
        <f>IF(B3123="",0,IF(OR(H3123=MappingTables!$C$34,H3123=MappingTables!$C$35),W3123,0))</f>
        <v>0</v>
      </c>
    </row>
    <row r="3124" spans="2:24" s="0" customFormat="0" ht="15">
      <c r="B3124" s="69">
        <v>18684448</v>
      </c>
      <c r="C3124" s="70" t="s">
        <v>2244</v>
      </c>
      <c r="D3124" s="70" t="s">
        <v>1</v>
      </c>
      <c r="E3124" s="70" t="s">
        <v>1</v>
      </c>
      <c r="F3124" s="70"/>
      <c r="G3124" s="70" t="s">
        <v>61</v>
      </c>
      <c r="H3124" s="70" t="s">
        <v>178</v>
      </c>
      <c r="I3124" s="70" t="s">
        <v>179</v>
      </c>
      <c r="J3124" s="71">
        <f>IF(OR(I3124=0,I3124=""),"unrated",VLOOKUP(I3124,MappingTables!$B$19:$C$31,2,FALSE))</f>
        <v>4</v>
      </c>
      <c r="K3124" s="72">
        <v>1522.4491038441078</v>
      </c>
      <c r="L3124" s="70">
        <v>2.7680884261803088</v>
      </c>
      <c r="M3124" s="71">
        <f>IF(L3124&lt;1,1,L3124)</f>
        <v>2.7680884261803088</v>
      </c>
      <c r="N3124" s="70" t="s">
        <v>141</v>
      </c>
      <c r="O3124" s="71">
        <f>INDEX(DurClassMapping,MATCH(M3124,MappingTables!$D$4:$D$8,-1),1)</f>
        <v>1</v>
      </c>
      <c r="P3124" s="73">
        <f>IF(M3124=$A$1,1,$M3124-INDEX(MappingTables!$E$4:$E$8,MATCH(O3124,MappingTables!$B$4:$B$8,0)))</f>
        <v>2.7680884261803088</v>
      </c>
      <c r="Q3124" s="71">
        <f>IF(B3124="",0,INDEX(ModelParameters!$D$6:$K$10,MATCH($O3124,ModelParameters!$B$6:$B$10,0),MATCH($J3124,ModelParameters!$D$5:$K$5,0)))</f>
        <v>0.045</v>
      </c>
      <c r="R3124" s="71">
        <f>IF(B3124="",0,INDEX(ModelParameters!$D$13:$K$17,MATCH($O3124,ModelParameters!$B$13:$B$17,0),MATCH($J3124,ModelParameters!$D$5:$K$5,0)))</f>
        <v>0</v>
      </c>
      <c r="S3124" s="160">
        <f>IF(B3124="",0,MIN(IF($N3124="Other Bond TM",ModelParameters!$N$21,1)*(P3124*Q3124+R3124),1))</f>
        <v>0.1245639791781139</v>
      </c>
      <c r="T3124" s="85">
        <f>IF(B3124="",0,$S3124*$K3124)</f>
        <v>189.64231847097564</v>
      </c>
      <c r="U3124" s="85">
        <f>IF(B3124="",0,IF(OR(H3124=MappingTables!$C$34,H3124=MappingTables!$C$35),T3124,0))</f>
        <v>0</v>
      </c>
      <c r="V3124" s="85">
        <f>IF(ISNA(IF(AND(VLOOKUP(CONCATENATE($D3124,$G3124),CSRFinput!$B:$E,4,0)=0,OR(H3124=MappingTables!$C$34,H3124=MappingTables!$C$35)),1,VLOOKUP(CONCATENATE($D3124,$G3124),CSRFinput!$B:$E,4,0))),0,IF(AND(VLOOKUP(CONCATENATE($D3124,$G3124),CSRFinput!$B:$E,4,0)=0,OR(H3124=MappingTables!$C$34,H3124=MappingTables!$C$35)),1,VLOOKUP(CONCATENATE($D3124,$G3124),CSRFinput!$B:$E,4,0)))</f>
        <v>0.054776304963434752</v>
      </c>
      <c r="W3124" s="85">
        <f>IF(B3124="",0,+$T3124*$V3124)</f>
        <v>10.387905470538976</v>
      </c>
      <c r="X3124" s="85">
        <f>IF(B3124="",0,IF(OR(H3124=MappingTables!$C$34,H3124=MappingTables!$C$35),W3124,0))</f>
        <v>0</v>
      </c>
    </row>
    <row r="3125" spans="2:24" s="0" customFormat="0" ht="15">
      <c r="B3125" s="69">
        <v>21917532</v>
      </c>
      <c r="C3125" s="70" t="s">
        <v>941</v>
      </c>
      <c r="D3125" s="70" t="s">
        <v>1</v>
      </c>
      <c r="E3125" s="70" t="s">
        <v>1</v>
      </c>
      <c r="F3125" s="70"/>
      <c r="G3125" s="70" t="s">
        <v>61</v>
      </c>
      <c r="H3125" s="70" t="s">
        <v>178</v>
      </c>
      <c r="I3125" s="70" t="s">
        <v>188</v>
      </c>
      <c r="J3125" s="71">
        <f>IF(OR(I3125=0,I3125=""),"unrated",VLOOKUP(I3125,MappingTables!$B$19:$C$31,2,FALSE))</f>
        <v>2</v>
      </c>
      <c r="K3125" s="72">
        <v>217.31019898155608</v>
      </c>
      <c r="L3125" s="70">
        <v>1.0285937831986486</v>
      </c>
      <c r="M3125" s="71">
        <f>IF(L3125&lt;1,1,L3125)</f>
        <v>1.0285937831986486</v>
      </c>
      <c r="N3125" s="70" t="s">
        <v>141</v>
      </c>
      <c r="O3125" s="71">
        <f>INDEX(DurClassMapping,MATCH(M3125,MappingTables!$D$4:$D$8,-1),1)</f>
        <v>1</v>
      </c>
      <c r="P3125" s="73">
        <f>IF(M3125=$A$1,1,$M3125-INDEX(MappingTables!$E$4:$E$8,MATCH(O3125,MappingTables!$B$4:$B$8,0)))</f>
        <v>1.0285937831986486</v>
      </c>
      <c r="Q3125" s="71">
        <f>IF(B3125="",0,INDEX(ModelParameters!$D$6:$K$10,MATCH($O3125,ModelParameters!$B$6:$B$10,0),MATCH($J3125,ModelParameters!$D$5:$K$5,0)))</f>
        <v>0.013999999999999998</v>
      </c>
      <c r="R3125" s="71">
        <f>IF(B3125="",0,INDEX(ModelParameters!$D$13:$K$17,MATCH($O3125,ModelParameters!$B$13:$B$17,0),MATCH($J3125,ModelParameters!$D$5:$K$5,0)))</f>
        <v>0</v>
      </c>
      <c r="S3125" s="160">
        <f>IF(B3125="",0,MIN(IF($N3125="Other Bond TM",ModelParameters!$N$21,1)*(P3125*Q3125+R3125),1))</f>
        <v>0.01440031296478108</v>
      </c>
      <c r="T3125" s="85">
        <f>IF(B3125="",0,$S3125*$K3125)</f>
        <v>3.1293348757732584</v>
      </c>
      <c r="U3125" s="85">
        <f>IF(B3125="",0,IF(OR(H3125=MappingTables!$C$34,H3125=MappingTables!$C$35),T3125,0))</f>
        <v>0</v>
      </c>
      <c r="V3125" s="85">
        <f>IF(ISNA(IF(AND(VLOOKUP(CONCATENATE($D3125,$G3125),CSRFinput!$B:$E,4,0)=0,OR(H3125=MappingTables!$C$34,H3125=MappingTables!$C$35)),1,VLOOKUP(CONCATENATE($D3125,$G3125),CSRFinput!$B:$E,4,0))),0,IF(AND(VLOOKUP(CONCATENATE($D3125,$G3125),CSRFinput!$B:$E,4,0)=0,OR(H3125=MappingTables!$C$34,H3125=MappingTables!$C$35)),1,VLOOKUP(CONCATENATE($D3125,$G3125),CSRFinput!$B:$E,4,0)))</f>
        <v>0.054776304963434752</v>
      </c>
      <c r="W3125" s="85">
        <f>IF(B3125="",0,+$T3125*$V3125)</f>
        <v>0.17141340148806822</v>
      </c>
      <c r="X3125" s="85">
        <f>IF(B3125="",0,IF(OR(H3125=MappingTables!$C$34,H3125=MappingTables!$C$35),W3125,0))</f>
        <v>0</v>
      </c>
    </row>
    <row r="3126" spans="2:24" s="0" customFormat="0" ht="15">
      <c r="B3126" s="69" t="s">
        <v>2618</v>
      </c>
      <c r="C3126" s="70" t="s">
        <v>2619</v>
      </c>
      <c r="D3126" s="70" t="s">
        <v>1</v>
      </c>
      <c r="E3126" s="70" t="s">
        <v>1</v>
      </c>
      <c r="F3126" s="70"/>
      <c r="G3126" s="70" t="s">
        <v>61</v>
      </c>
      <c r="H3126" s="70" t="s">
        <v>178</v>
      </c>
      <c r="I3126" s="70" t="s">
        <v>179</v>
      </c>
      <c r="J3126" s="71">
        <f>IF(OR(I3126=0,I3126=""),"unrated",VLOOKUP(I3126,MappingTables!$B$19:$C$31,2,FALSE))</f>
        <v>4</v>
      </c>
      <c r="K3126" s="72">
        <v>22543.329177055456</v>
      </c>
      <c r="L3126" s="70">
        <v>5.1495204036728352</v>
      </c>
      <c r="M3126" s="71">
        <f>IF(L3126&lt;1,1,L3126)</f>
        <v>5.1495204036728352</v>
      </c>
      <c r="N3126" s="70" t="s">
        <v>141</v>
      </c>
      <c r="O3126" s="71">
        <f>INDEX(DurClassMapping,MATCH(M3126,MappingTables!$D$4:$D$8,-1),1)</f>
        <v>2</v>
      </c>
      <c r="P3126" s="73">
        <f>IF(M3126=$A$1,1,$M3126-INDEX(MappingTables!$E$4:$E$8,MATCH(O3126,MappingTables!$B$4:$B$8,0)))</f>
        <v>0.14952040367283548</v>
      </c>
      <c r="Q3126" s="71">
        <f>IF(B3126="",0,INDEX(ModelParameters!$D$6:$K$10,MATCH($O3126,ModelParameters!$B$6:$B$10,0),MATCH($J3126,ModelParameters!$D$5:$K$5,0)))</f>
        <v>0.025</v>
      </c>
      <c r="R3126" s="71">
        <f>IF(B3126="",0,INDEX(ModelParameters!$D$13:$K$17,MATCH($O3126,ModelParameters!$B$13:$B$17,0),MATCH($J3126,ModelParameters!$D$5:$K$5,0)))</f>
        <v>0.225</v>
      </c>
      <c r="S3126" s="160">
        <f>IF(B3126="",0,MIN(IF($N3126="Other Bond TM",ModelParameters!$N$21,1)*(P3126*Q3126+R3126),1))</f>
        <v>0.22873801009182092</v>
      </c>
      <c r="T3126" s="85">
        <f>IF(B3126="",0,$S3126*$K3126)</f>
        <v>5156.516256804552</v>
      </c>
      <c r="U3126" s="85">
        <f>IF(B3126="",0,IF(OR(H3126=MappingTables!$C$34,H3126=MappingTables!$C$35),T3126,0))</f>
        <v>0</v>
      </c>
      <c r="V3126" s="85">
        <f>IF(ISNA(IF(AND(VLOOKUP(CONCATENATE($D3126,$G3126),CSRFinput!$B:$E,4,0)=0,OR(H3126=MappingTables!$C$34,H3126=MappingTables!$C$35)),1,VLOOKUP(CONCATENATE($D3126,$G3126),CSRFinput!$B:$E,4,0))),0,IF(AND(VLOOKUP(CONCATENATE($D3126,$G3126),CSRFinput!$B:$E,4,0)=0,OR(H3126=MappingTables!$C$34,H3126=MappingTables!$C$35)),1,VLOOKUP(CONCATENATE($D3126,$G3126),CSRFinput!$B:$E,4,0)))</f>
        <v>0.054776304963434752</v>
      </c>
      <c r="W3126" s="85">
        <f>IF(B3126="",0,+$T3126*$V3126)</f>
        <v>282.45490703163516</v>
      </c>
      <c r="X3126" s="85">
        <f>IF(B3126="",0,IF(OR(H3126=MappingTables!$C$34,H3126=MappingTables!$C$35),W3126,0))</f>
        <v>0</v>
      </c>
    </row>
    <row r="3127" spans="2:24" s="0" customFormat="0" ht="15">
      <c r="B3127" s="69" t="s">
        <v>2740</v>
      </c>
      <c r="C3127" s="70" t="s">
        <v>2741</v>
      </c>
      <c r="D3127" s="70" t="s">
        <v>1</v>
      </c>
      <c r="E3127" s="70" t="s">
        <v>1</v>
      </c>
      <c r="F3127" s="70"/>
      <c r="G3127" s="70" t="s">
        <v>61</v>
      </c>
      <c r="H3127" s="70" t="s">
        <v>178</v>
      </c>
      <c r="I3127" s="70" t="s">
        <v>181</v>
      </c>
      <c r="J3127" s="71">
        <f>IF(OR(I3127=0,I3127=""),"unrated",VLOOKUP(I3127,MappingTables!$B$19:$C$31,2,FALSE))</f>
        <v>3</v>
      </c>
      <c r="K3127" s="72">
        <v>15457.331618676872</v>
      </c>
      <c r="L3127" s="70">
        <v>2.204740402988886</v>
      </c>
      <c r="M3127" s="71">
        <f>IF(L3127&lt;1,1,L3127)</f>
        <v>2.204740402988886</v>
      </c>
      <c r="N3127" s="70" t="s">
        <v>141</v>
      </c>
      <c r="O3127" s="71">
        <f>INDEX(DurClassMapping,MATCH(M3127,MappingTables!$D$4:$D$8,-1),1)</f>
        <v>1</v>
      </c>
      <c r="P3127" s="73">
        <f>IF(M3127=$A$1,1,$M3127-INDEX(MappingTables!$E$4:$E$8,MATCH(O3127,MappingTables!$B$4:$B$8,0)))</f>
        <v>2.204740402988886</v>
      </c>
      <c r="Q3127" s="71">
        <f>IF(B3127="",0,INDEX(ModelParameters!$D$6:$K$10,MATCH($O3127,ModelParameters!$B$6:$B$10,0),MATCH($J3127,ModelParameters!$D$5:$K$5,0)))</f>
        <v>0.025</v>
      </c>
      <c r="R3127" s="71">
        <f>IF(B3127="",0,INDEX(ModelParameters!$D$13:$K$17,MATCH($O3127,ModelParameters!$B$13:$B$17,0),MATCH($J3127,ModelParameters!$D$5:$K$5,0)))</f>
        <v>0</v>
      </c>
      <c r="S3127" s="160">
        <f>IF(B3127="",0,MIN(IF($N3127="Other Bond TM",ModelParameters!$N$21,1)*(P3127*Q3127+R3127),1))</f>
        <v>0.055118510074722152</v>
      </c>
      <c r="T3127" s="85">
        <f>IF(B3127="",0,$S3127*$K3127)</f>
        <v>851.9850885523624</v>
      </c>
      <c r="U3127" s="85">
        <f>IF(B3127="",0,IF(OR(H3127=MappingTables!$C$34,H3127=MappingTables!$C$35),T3127,0))</f>
        <v>0</v>
      </c>
      <c r="V3127" s="85">
        <f>IF(ISNA(IF(AND(VLOOKUP(CONCATENATE($D3127,$G3127),CSRFinput!$B:$E,4,0)=0,OR(H3127=MappingTables!$C$34,H3127=MappingTables!$C$35)),1,VLOOKUP(CONCATENATE($D3127,$G3127),CSRFinput!$B:$E,4,0))),0,IF(AND(VLOOKUP(CONCATENATE($D3127,$G3127),CSRFinput!$B:$E,4,0)=0,OR(H3127=MappingTables!$C$34,H3127=MappingTables!$C$35)),1,VLOOKUP(CONCATENATE($D3127,$G3127),CSRFinput!$B:$E,4,0)))</f>
        <v>0.054776304963434752</v>
      </c>
      <c r="W3127" s="85">
        <f>IF(B3127="",0,+$T3127*$V3127)</f>
        <v>46.668595034843168</v>
      </c>
      <c r="X3127" s="85">
        <f>IF(B3127="",0,IF(OR(H3127=MappingTables!$C$34,H3127=MappingTables!$C$35),W3127,0))</f>
        <v>0</v>
      </c>
    </row>
    <row r="3128" spans="2:24" s="0" customFormat="0" ht="15">
      <c r="B3128" s="69">
        <v>13551324</v>
      </c>
      <c r="C3128" s="70" t="s">
        <v>2742</v>
      </c>
      <c r="D3128" s="70" t="s">
        <v>1</v>
      </c>
      <c r="E3128" s="70" t="s">
        <v>1</v>
      </c>
      <c r="F3128" s="70"/>
      <c r="G3128" s="70" t="s">
        <v>61</v>
      </c>
      <c r="H3128" s="70" t="s">
        <v>178</v>
      </c>
      <c r="I3128" s="70" t="s">
        <v>188</v>
      </c>
      <c r="J3128" s="71">
        <f>IF(OR(I3128=0,I3128=""),"unrated",VLOOKUP(I3128,MappingTables!$B$19:$C$31,2,FALSE))</f>
        <v>2</v>
      </c>
      <c r="K3128" s="72">
        <v>1027.7237832179726</v>
      </c>
      <c r="L3128" s="70">
        <v>5.633535919632588</v>
      </c>
      <c r="M3128" s="71">
        <f>IF(L3128&lt;1,1,L3128)</f>
        <v>5.633535919632588</v>
      </c>
      <c r="N3128" s="70" t="s">
        <v>141</v>
      </c>
      <c r="O3128" s="71">
        <f>INDEX(DurClassMapping,MATCH(M3128,MappingTables!$D$4:$D$8,-1),1)</f>
        <v>2</v>
      </c>
      <c r="P3128" s="73">
        <f>IF(M3128=$A$1,1,$M3128-INDEX(MappingTables!$E$4:$E$8,MATCH(O3128,MappingTables!$B$4:$B$8,0)))</f>
        <v>0.63353591963258808</v>
      </c>
      <c r="Q3128" s="71">
        <f>IF(B3128="",0,INDEX(ModelParameters!$D$6:$K$10,MATCH($O3128,ModelParameters!$B$6:$B$10,0),MATCH($J3128,ModelParameters!$D$5:$K$5,0)))</f>
        <v>0.0069999999999999992</v>
      </c>
      <c r="R3128" s="71">
        <f>IF(B3128="",0,INDEX(ModelParameters!$D$13:$K$17,MATCH($O3128,ModelParameters!$B$13:$B$17,0),MATCH($J3128,ModelParameters!$D$5:$K$5,0)))</f>
        <v>0.070000000000000008</v>
      </c>
      <c r="S3128" s="160">
        <f>IF(B3128="",0,MIN(IF($N3128="Other Bond TM",ModelParameters!$N$21,1)*(P3128*Q3128+R3128),1))</f>
        <v>0.074434751437428128</v>
      </c>
      <c r="T3128" s="85">
        <f>IF(B3128="",0,$S3128*$K3128)</f>
        <v>76.498364350163056</v>
      </c>
      <c r="U3128" s="85">
        <f>IF(B3128="",0,IF(OR(H3128=MappingTables!$C$34,H3128=MappingTables!$C$35),T3128,0))</f>
        <v>0</v>
      </c>
      <c r="V3128" s="85">
        <f>IF(ISNA(IF(AND(VLOOKUP(CONCATENATE($D3128,$G3128),CSRFinput!$B:$E,4,0)=0,OR(H3128=MappingTables!$C$34,H3128=MappingTables!$C$35)),1,VLOOKUP(CONCATENATE($D3128,$G3128),CSRFinput!$B:$E,4,0))),0,IF(AND(VLOOKUP(CONCATENATE($D3128,$G3128),CSRFinput!$B:$E,4,0)=0,OR(H3128=MappingTables!$C$34,H3128=MappingTables!$C$35)),1,VLOOKUP(CONCATENATE($D3128,$G3128),CSRFinput!$B:$E,4,0)))</f>
        <v>0.054776304963434752</v>
      </c>
      <c r="W3128" s="85">
        <f>IF(B3128="",0,+$T3128*$V3128)</f>
        <v>4.1902977348484776</v>
      </c>
      <c r="X3128" s="85">
        <f>IF(B3128="",0,IF(OR(H3128=MappingTables!$C$34,H3128=MappingTables!$C$35),W3128,0))</f>
        <v>0</v>
      </c>
    </row>
    <row r="3129" spans="2:24" s="0" customFormat="0" ht="15">
      <c r="B3129" s="69">
        <v>11082668</v>
      </c>
      <c r="C3129" s="70" t="s">
        <v>1238</v>
      </c>
      <c r="D3129" s="70" t="s">
        <v>1</v>
      </c>
      <c r="E3129" s="70" t="s">
        <v>1</v>
      </c>
      <c r="F3129" s="70"/>
      <c r="G3129" s="70" t="s">
        <v>61</v>
      </c>
      <c r="H3129" s="70" t="s">
        <v>178</v>
      </c>
      <c r="I3129" s="70" t="s">
        <v>179</v>
      </c>
      <c r="J3129" s="71">
        <f>IF(OR(I3129=0,I3129=""),"unrated",VLOOKUP(I3129,MappingTables!$B$19:$C$31,2,FALSE))</f>
        <v>4</v>
      </c>
      <c r="K3129" s="72">
        <v>3185.6416952922888</v>
      </c>
      <c r="L3129" s="70">
        <v>0.45011182496554888</v>
      </c>
      <c r="M3129" s="71">
        <f>IF(L3129&lt;1,1,L3129)</f>
        <v>1</v>
      </c>
      <c r="N3129" s="70" t="s">
        <v>141</v>
      </c>
      <c r="O3129" s="71">
        <f>INDEX(DurClassMapping,MATCH(M3129,MappingTables!$D$4:$D$8,-1),1)</f>
        <v>1</v>
      </c>
      <c r="P3129" s="73">
        <f>IF(M3129=$A$1,1,$M3129-INDEX(MappingTables!$E$4:$E$8,MATCH(O3129,MappingTables!$B$4:$B$8,0)))</f>
        <v>1</v>
      </c>
      <c r="Q3129" s="71">
        <f>IF(B3129="",0,INDEX(ModelParameters!$D$6:$K$10,MATCH($O3129,ModelParameters!$B$6:$B$10,0),MATCH($J3129,ModelParameters!$D$5:$K$5,0)))</f>
        <v>0.045</v>
      </c>
      <c r="R3129" s="71">
        <f>IF(B3129="",0,INDEX(ModelParameters!$D$13:$K$17,MATCH($O3129,ModelParameters!$B$13:$B$17,0),MATCH($J3129,ModelParameters!$D$5:$K$5,0)))</f>
        <v>0</v>
      </c>
      <c r="S3129" s="160">
        <f>IF(B3129="",0,MIN(IF($N3129="Other Bond TM",ModelParameters!$N$21,1)*(P3129*Q3129+R3129),1))</f>
        <v>0.045</v>
      </c>
      <c r="T3129" s="85">
        <f>IF(B3129="",0,$S3129*$K3129)</f>
        <v>143.35387628815298</v>
      </c>
      <c r="U3129" s="85">
        <f>IF(B3129="",0,IF(OR(H3129=MappingTables!$C$34,H3129=MappingTables!$C$35),T3129,0))</f>
        <v>0</v>
      </c>
      <c r="V3129" s="85">
        <f>IF(ISNA(IF(AND(VLOOKUP(CONCATENATE($D3129,$G3129),CSRFinput!$B:$E,4,0)=0,OR(H3129=MappingTables!$C$34,H3129=MappingTables!$C$35)),1,VLOOKUP(CONCATENATE($D3129,$G3129),CSRFinput!$B:$E,4,0))),0,IF(AND(VLOOKUP(CONCATENATE($D3129,$G3129),CSRFinput!$B:$E,4,0)=0,OR(H3129=MappingTables!$C$34,H3129=MappingTables!$C$35)),1,VLOOKUP(CONCATENATE($D3129,$G3129),CSRFinput!$B:$E,4,0)))</f>
        <v>0.054776304963434752</v>
      </c>
      <c r="W3129" s="85">
        <f>IF(B3129="",0,+$T3129*$V3129)</f>
        <v>7.8523956452503648</v>
      </c>
      <c r="X3129" s="85">
        <f>IF(B3129="",0,IF(OR(H3129=MappingTables!$C$34,H3129=MappingTables!$C$35),W3129,0))</f>
        <v>0</v>
      </c>
    </row>
    <row r="3130" spans="2:24" s="0" customFormat="0" ht="15">
      <c r="B3130" s="69">
        <v>476261</v>
      </c>
      <c r="C3130" s="70" t="s">
        <v>2743</v>
      </c>
      <c r="D3130" s="70" t="s">
        <v>1</v>
      </c>
      <c r="E3130" s="70" t="s">
        <v>1</v>
      </c>
      <c r="F3130" s="70"/>
      <c r="G3130" s="70" t="s">
        <v>61</v>
      </c>
      <c r="H3130" s="70" t="s">
        <v>178</v>
      </c>
      <c r="I3130" s="70" t="s">
        <v>181</v>
      </c>
      <c r="J3130" s="71">
        <f>IF(OR(I3130=0,I3130=""),"unrated",VLOOKUP(I3130,MappingTables!$B$19:$C$31,2,FALSE))</f>
        <v>3</v>
      </c>
      <c r="K3130" s="72">
        <v>1759.7605821896994</v>
      </c>
      <c r="L3130" s="70">
        <v>7.719212739962112</v>
      </c>
      <c r="M3130" s="71">
        <f>IF(L3130&lt;1,1,L3130)</f>
        <v>7.719212739962112</v>
      </c>
      <c r="N3130" s="70" t="s">
        <v>141</v>
      </c>
      <c r="O3130" s="71">
        <f>INDEX(DurClassMapping,MATCH(M3130,MappingTables!$D$4:$D$8,-1),1)</f>
        <v>2</v>
      </c>
      <c r="P3130" s="73">
        <f>IF(M3130=$A$1,1,$M3130-INDEX(MappingTables!$E$4:$E$8,MATCH(O3130,MappingTables!$B$4:$B$8,0)))</f>
        <v>2.7192127399621128</v>
      </c>
      <c r="Q3130" s="71">
        <f>IF(B3130="",0,INDEX(ModelParameters!$D$6:$K$10,MATCH($O3130,ModelParameters!$B$6:$B$10,0),MATCH($J3130,ModelParameters!$D$5:$K$5,0)))</f>
        <v>0.015</v>
      </c>
      <c r="R3130" s="71">
        <f>IF(B3130="",0,INDEX(ModelParameters!$D$13:$K$17,MATCH($O3130,ModelParameters!$B$13:$B$17,0),MATCH($J3130,ModelParameters!$D$5:$K$5,0)))</f>
        <v>0.125</v>
      </c>
      <c r="S3130" s="160">
        <f>IF(B3130="",0,MIN(IF($N3130="Other Bond TM",ModelParameters!$N$21,1)*(P3130*Q3130+R3130),1))</f>
        <v>0.16578819109943168</v>
      </c>
      <c r="T3130" s="85">
        <f>IF(B3130="",0,$S3130*$K3130)</f>
        <v>291.74752368931304</v>
      </c>
      <c r="U3130" s="85">
        <f>IF(B3130="",0,IF(OR(H3130=MappingTables!$C$34,H3130=MappingTables!$C$35),T3130,0))</f>
        <v>0</v>
      </c>
      <c r="V3130" s="85">
        <f>IF(ISNA(IF(AND(VLOOKUP(CONCATENATE($D3130,$G3130),CSRFinput!$B:$E,4,0)=0,OR(H3130=MappingTables!$C$34,H3130=MappingTables!$C$35)),1,VLOOKUP(CONCATENATE($D3130,$G3130),CSRFinput!$B:$E,4,0))),0,IF(AND(VLOOKUP(CONCATENATE($D3130,$G3130),CSRFinput!$B:$E,4,0)=0,OR(H3130=MappingTables!$C$34,H3130=MappingTables!$C$35)),1,VLOOKUP(CONCATENATE($D3130,$G3130),CSRFinput!$B:$E,4,0)))</f>
        <v>0.054776304963434752</v>
      </c>
      <c r="W3130" s="85">
        <f>IF(B3130="",0,+$T3130*$V3130)</f>
        <v>15.980851329932716</v>
      </c>
      <c r="X3130" s="85">
        <f>IF(B3130="",0,IF(OR(H3130=MappingTables!$C$34,H3130=MappingTables!$C$35),W3130,0))</f>
        <v>0</v>
      </c>
    </row>
    <row r="3131" spans="2:24" s="0" customFormat="0" ht="15">
      <c r="B3131" s="69">
        <v>15018891</v>
      </c>
      <c r="C3131" s="70" t="s">
        <v>2744</v>
      </c>
      <c r="D3131" s="70" t="s">
        <v>1</v>
      </c>
      <c r="E3131" s="70" t="s">
        <v>1</v>
      </c>
      <c r="F3131" s="70"/>
      <c r="G3131" s="70" t="s">
        <v>61</v>
      </c>
      <c r="H3131" s="70" t="s">
        <v>178</v>
      </c>
      <c r="I3131" s="70" t="s">
        <v>220</v>
      </c>
      <c r="J3131" s="71">
        <f>IF(OR(I3131=0,I3131=""),"unrated",VLOOKUP(I3131,MappingTables!$B$19:$C$31,2,FALSE))</f>
        <v>1</v>
      </c>
      <c r="K3131" s="72">
        <v>5.871450523303368</v>
      </c>
      <c r="L3131" s="70">
        <v>1.1238634322598558</v>
      </c>
      <c r="M3131" s="71">
        <f>IF(L3131&lt;1,1,L3131)</f>
        <v>1.1238634322598558</v>
      </c>
      <c r="N3131" s="70" t="s">
        <v>141</v>
      </c>
      <c r="O3131" s="71">
        <f>INDEX(DurClassMapping,MATCH(M3131,MappingTables!$D$4:$D$8,-1),1)</f>
        <v>1</v>
      </c>
      <c r="P3131" s="73">
        <f>IF(M3131=$A$1,1,$M3131-INDEX(MappingTables!$E$4:$E$8,MATCH(O3131,MappingTables!$B$4:$B$8,0)))</f>
        <v>1.1238634322598558</v>
      </c>
      <c r="Q3131" s="71">
        <f>IF(B3131="",0,INDEX(ModelParameters!$D$6:$K$10,MATCH($O3131,ModelParameters!$B$6:$B$10,0),MATCH($J3131,ModelParameters!$D$5:$K$5,0)))</f>
        <v>0.011000000000000002</v>
      </c>
      <c r="R3131" s="71">
        <f>IF(B3131="",0,INDEX(ModelParameters!$D$13:$K$17,MATCH($O3131,ModelParameters!$B$13:$B$17,0),MATCH($J3131,ModelParameters!$D$5:$K$5,0)))</f>
        <v>0</v>
      </c>
      <c r="S3131" s="160">
        <f>IF(B3131="",0,MIN(IF($N3131="Other Bond TM",ModelParameters!$N$21,1)*(P3131*Q3131+R3131),1))</f>
        <v>0.012362497754858414</v>
      </c>
      <c r="T3131" s="85">
        <f>IF(B3131="",0,$S3131*$K3131)</f>
        <v>0.072585793912100144</v>
      </c>
      <c r="U3131" s="85">
        <f>IF(B3131="",0,IF(OR(H3131=MappingTables!$C$34,H3131=MappingTables!$C$35),T3131,0))</f>
        <v>0</v>
      </c>
      <c r="V3131" s="85">
        <f>IF(ISNA(IF(AND(VLOOKUP(CONCATENATE($D3131,$G3131),CSRFinput!$B:$E,4,0)=0,OR(H3131=MappingTables!$C$34,H3131=MappingTables!$C$35)),1,VLOOKUP(CONCATENATE($D3131,$G3131),CSRFinput!$B:$E,4,0))),0,IF(AND(VLOOKUP(CONCATENATE($D3131,$G3131),CSRFinput!$B:$E,4,0)=0,OR(H3131=MappingTables!$C$34,H3131=MappingTables!$C$35)),1,VLOOKUP(CONCATENATE($D3131,$G3131),CSRFinput!$B:$E,4,0)))</f>
        <v>0.054776304963434752</v>
      </c>
      <c r="W3131" s="85">
        <f>IF(B3131="",0,+$T3131*$V3131)</f>
        <v>0.0039759815833422232</v>
      </c>
      <c r="X3131" s="85">
        <f>IF(B3131="",0,IF(OR(H3131=MappingTables!$C$34,H3131=MappingTables!$C$35),W3131,0))</f>
        <v>0</v>
      </c>
    </row>
    <row r="3132" spans="2:24" s="0" customFormat="0" ht="15">
      <c r="B3132" s="69">
        <v>19854529</v>
      </c>
      <c r="C3132" s="70" t="s">
        <v>1264</v>
      </c>
      <c r="D3132" s="70" t="s">
        <v>1</v>
      </c>
      <c r="E3132" s="70" t="s">
        <v>1</v>
      </c>
      <c r="F3132" s="70"/>
      <c r="G3132" s="70" t="s">
        <v>61</v>
      </c>
      <c r="H3132" s="70" t="s">
        <v>178</v>
      </c>
      <c r="I3132" s="70" t="s">
        <v>179</v>
      </c>
      <c r="J3132" s="71">
        <f>IF(OR(I3132=0,I3132=""),"unrated",VLOOKUP(I3132,MappingTables!$B$19:$C$31,2,FALSE))</f>
        <v>4</v>
      </c>
      <c r="K3132" s="72">
        <v>120.26668192051824</v>
      </c>
      <c r="L3132" s="70">
        <v>1.8602436695139796</v>
      </c>
      <c r="M3132" s="71">
        <f>IF(L3132&lt;1,1,L3132)</f>
        <v>1.8602436695139796</v>
      </c>
      <c r="N3132" s="70" t="s">
        <v>141</v>
      </c>
      <c r="O3132" s="71">
        <f>INDEX(DurClassMapping,MATCH(M3132,MappingTables!$D$4:$D$8,-1),1)</f>
        <v>1</v>
      </c>
      <c r="P3132" s="73">
        <f>IF(M3132=$A$1,1,$M3132-INDEX(MappingTables!$E$4:$E$8,MATCH(O3132,MappingTables!$B$4:$B$8,0)))</f>
        <v>1.8602436695139796</v>
      </c>
      <c r="Q3132" s="71">
        <f>IF(B3132="",0,INDEX(ModelParameters!$D$6:$K$10,MATCH($O3132,ModelParameters!$B$6:$B$10,0),MATCH($J3132,ModelParameters!$D$5:$K$5,0)))</f>
        <v>0.045</v>
      </c>
      <c r="R3132" s="71">
        <f>IF(B3132="",0,INDEX(ModelParameters!$D$13:$K$17,MATCH($O3132,ModelParameters!$B$13:$B$17,0),MATCH($J3132,ModelParameters!$D$5:$K$5,0)))</f>
        <v>0</v>
      </c>
      <c r="S3132" s="160">
        <f>IF(B3132="",0,MIN(IF($N3132="Other Bond TM",ModelParameters!$N$21,1)*(P3132*Q3132+R3132),1))</f>
        <v>0.083710965128129072</v>
      </c>
      <c r="T3132" s="85">
        <f>IF(B3132="",0,$S3132*$K3132)</f>
        <v>10.067640016324294</v>
      </c>
      <c r="U3132" s="85">
        <f>IF(B3132="",0,IF(OR(H3132=MappingTables!$C$34,H3132=MappingTables!$C$35),T3132,0))</f>
        <v>0</v>
      </c>
      <c r="V3132" s="85">
        <f>IF(ISNA(IF(AND(VLOOKUP(CONCATENATE($D3132,$G3132),CSRFinput!$B:$E,4,0)=0,OR(H3132=MappingTables!$C$34,H3132=MappingTables!$C$35)),1,VLOOKUP(CONCATENATE($D3132,$G3132),CSRFinput!$B:$E,4,0))),0,IF(AND(VLOOKUP(CONCATENATE($D3132,$G3132),CSRFinput!$B:$E,4,0)=0,OR(H3132=MappingTables!$C$34,H3132=MappingTables!$C$35)),1,VLOOKUP(CONCATENATE($D3132,$G3132),CSRFinput!$B:$E,4,0)))</f>
        <v>0.054776304963434752</v>
      </c>
      <c r="W3132" s="85">
        <f>IF(B3132="",0,+$T3132*$V3132)</f>
        <v>0.55146811979625872</v>
      </c>
      <c r="X3132" s="85">
        <f>IF(B3132="",0,IF(OR(H3132=MappingTables!$C$34,H3132=MappingTables!$C$35),W3132,0))</f>
        <v>0</v>
      </c>
    </row>
    <row r="3133" spans="2:24" s="0" customFormat="0" ht="15">
      <c r="B3133" s="69">
        <v>13384013</v>
      </c>
      <c r="C3133" s="70" t="s">
        <v>2745</v>
      </c>
      <c r="D3133" s="70" t="s">
        <v>1</v>
      </c>
      <c r="E3133" s="70" t="s">
        <v>1</v>
      </c>
      <c r="F3133" s="70"/>
      <c r="G3133" s="70" t="s">
        <v>61</v>
      </c>
      <c r="H3133" s="70" t="s">
        <v>178</v>
      </c>
      <c r="I3133" s="70" t="s">
        <v>179</v>
      </c>
      <c r="J3133" s="71">
        <f>IF(OR(I3133=0,I3133=""),"unrated",VLOOKUP(I3133,MappingTables!$B$19:$C$31,2,FALSE))</f>
        <v>4</v>
      </c>
      <c r="K3133" s="72">
        <v>767.27801767564208</v>
      </c>
      <c r="L3133" s="70">
        <v>0.1123269374069272</v>
      </c>
      <c r="M3133" s="71">
        <f>IF(L3133&lt;1,1,L3133)</f>
        <v>1</v>
      </c>
      <c r="N3133" s="70" t="s">
        <v>141</v>
      </c>
      <c r="O3133" s="71">
        <f>INDEX(DurClassMapping,MATCH(M3133,MappingTables!$D$4:$D$8,-1),1)</f>
        <v>1</v>
      </c>
      <c r="P3133" s="73">
        <f>IF(M3133=$A$1,1,$M3133-INDEX(MappingTables!$E$4:$E$8,MATCH(O3133,MappingTables!$B$4:$B$8,0)))</f>
        <v>1</v>
      </c>
      <c r="Q3133" s="71">
        <f>IF(B3133="",0,INDEX(ModelParameters!$D$6:$K$10,MATCH($O3133,ModelParameters!$B$6:$B$10,0),MATCH($J3133,ModelParameters!$D$5:$K$5,0)))</f>
        <v>0.045</v>
      </c>
      <c r="R3133" s="71">
        <f>IF(B3133="",0,INDEX(ModelParameters!$D$13:$K$17,MATCH($O3133,ModelParameters!$B$13:$B$17,0),MATCH($J3133,ModelParameters!$D$5:$K$5,0)))</f>
        <v>0</v>
      </c>
      <c r="S3133" s="160">
        <f>IF(B3133="",0,MIN(IF($N3133="Other Bond TM",ModelParameters!$N$21,1)*(P3133*Q3133+R3133),1))</f>
        <v>0.045</v>
      </c>
      <c r="T3133" s="85">
        <f>IF(B3133="",0,$S3133*$K3133)</f>
        <v>34.527510795403892</v>
      </c>
      <c r="U3133" s="85">
        <f>IF(B3133="",0,IF(OR(H3133=MappingTables!$C$34,H3133=MappingTables!$C$35),T3133,0))</f>
        <v>0</v>
      </c>
      <c r="V3133" s="85">
        <f>IF(ISNA(IF(AND(VLOOKUP(CONCATENATE($D3133,$G3133),CSRFinput!$B:$E,4,0)=0,OR(H3133=MappingTables!$C$34,H3133=MappingTables!$C$35)),1,VLOOKUP(CONCATENATE($D3133,$G3133),CSRFinput!$B:$E,4,0))),0,IF(AND(VLOOKUP(CONCATENATE($D3133,$G3133),CSRFinput!$B:$E,4,0)=0,OR(H3133=MappingTables!$C$34,H3133=MappingTables!$C$35)),1,VLOOKUP(CONCATENATE($D3133,$G3133),CSRFinput!$B:$E,4,0)))</f>
        <v>0.054776304963434752</v>
      </c>
      <c r="W3133" s="85">
        <f>IF(B3133="",0,+$T3133*$V3133)</f>
        <v>1.8912894609573292</v>
      </c>
      <c r="X3133" s="85">
        <f>IF(B3133="",0,IF(OR(H3133=MappingTables!$C$34,H3133=MappingTables!$C$35),W3133,0))</f>
        <v>0</v>
      </c>
    </row>
    <row r="3134" spans="2:24" s="0" customFormat="0" ht="15">
      <c r="B3134" s="69">
        <v>19155670</v>
      </c>
      <c r="C3134" s="70" t="s">
        <v>2572</v>
      </c>
      <c r="D3134" s="70" t="s">
        <v>1</v>
      </c>
      <c r="E3134" s="70" t="s">
        <v>1</v>
      </c>
      <c r="F3134" s="70"/>
      <c r="G3134" s="70" t="s">
        <v>61</v>
      </c>
      <c r="H3134" s="70" t="s">
        <v>178</v>
      </c>
      <c r="I3134" s="70" t="s">
        <v>181</v>
      </c>
      <c r="J3134" s="71">
        <f>IF(OR(I3134=0,I3134=""),"unrated",VLOOKUP(I3134,MappingTables!$B$19:$C$31,2,FALSE))</f>
        <v>3</v>
      </c>
      <c r="K3134" s="72">
        <v>299.32121674820472</v>
      </c>
      <c r="L3134" s="70">
        <v>4.6588881858038104</v>
      </c>
      <c r="M3134" s="71">
        <f>IF(L3134&lt;1,1,L3134)</f>
        <v>4.6588881858038104</v>
      </c>
      <c r="N3134" s="70" t="s">
        <v>141</v>
      </c>
      <c r="O3134" s="71">
        <f>INDEX(DurClassMapping,MATCH(M3134,MappingTables!$D$4:$D$8,-1),1)</f>
        <v>1</v>
      </c>
      <c r="P3134" s="73">
        <f>IF(M3134=$A$1,1,$M3134-INDEX(MappingTables!$E$4:$E$8,MATCH(O3134,MappingTables!$B$4:$B$8,0)))</f>
        <v>4.6588881858038104</v>
      </c>
      <c r="Q3134" s="71">
        <f>IF(B3134="",0,INDEX(ModelParameters!$D$6:$K$10,MATCH($O3134,ModelParameters!$B$6:$B$10,0),MATCH($J3134,ModelParameters!$D$5:$K$5,0)))</f>
        <v>0.025</v>
      </c>
      <c r="R3134" s="71">
        <f>IF(B3134="",0,INDEX(ModelParameters!$D$13:$K$17,MATCH($O3134,ModelParameters!$B$13:$B$17,0),MATCH($J3134,ModelParameters!$D$5:$K$5,0)))</f>
        <v>0</v>
      </c>
      <c r="S3134" s="160">
        <f>IF(B3134="",0,MIN(IF($N3134="Other Bond TM",ModelParameters!$N$21,1)*(P3134*Q3134+R3134),1))</f>
        <v>0.11647220464509528</v>
      </c>
      <c r="T3134" s="85">
        <f>IF(B3134="",0,$S3134*$K3134)</f>
        <v>34.86260201171582</v>
      </c>
      <c r="U3134" s="85">
        <f>IF(B3134="",0,IF(OR(H3134=MappingTables!$C$34,H3134=MappingTables!$C$35),T3134,0))</f>
        <v>0</v>
      </c>
      <c r="V3134" s="85">
        <f>IF(ISNA(IF(AND(VLOOKUP(CONCATENATE($D3134,$G3134),CSRFinput!$B:$E,4,0)=0,OR(H3134=MappingTables!$C$34,H3134=MappingTables!$C$35)),1,VLOOKUP(CONCATENATE($D3134,$G3134),CSRFinput!$B:$E,4,0))),0,IF(AND(VLOOKUP(CONCATENATE($D3134,$G3134),CSRFinput!$B:$E,4,0)=0,OR(H3134=MappingTables!$C$34,H3134=MappingTables!$C$35)),1,VLOOKUP(CONCATENATE($D3134,$G3134),CSRFinput!$B:$E,4,0)))</f>
        <v>0.054776304963434752</v>
      </c>
      <c r="W3134" s="85">
        <f>IF(B3134="",0,+$T3134*$V3134)</f>
        <v>1.9096445196125996</v>
      </c>
      <c r="X3134" s="85">
        <f>IF(B3134="",0,IF(OR(H3134=MappingTables!$C$34,H3134=MappingTables!$C$35),W3134,0))</f>
        <v>0</v>
      </c>
    </row>
    <row r="3135" spans="2:24" s="0" customFormat="0" ht="15">
      <c r="B3135" s="69" t="s">
        <v>2746</v>
      </c>
      <c r="C3135" s="70" t="s">
        <v>2747</v>
      </c>
      <c r="D3135" s="70" t="s">
        <v>1</v>
      </c>
      <c r="E3135" s="70" t="s">
        <v>1</v>
      </c>
      <c r="F3135" s="70"/>
      <c r="G3135" s="70" t="s">
        <v>61</v>
      </c>
      <c r="H3135" s="70" t="s">
        <v>178</v>
      </c>
      <c r="I3135" s="70" t="s">
        <v>184</v>
      </c>
      <c r="J3135" s="71">
        <f>IF(OR(I3135=0,I3135=""),"unrated",VLOOKUP(I3135,MappingTables!$B$19:$C$31,2,FALSE))</f>
        <v>5</v>
      </c>
      <c r="K3135" s="72">
        <v>2458.8576076394644</v>
      </c>
      <c r="L3135" s="70">
        <v>3.1974303709756556</v>
      </c>
      <c r="M3135" s="71">
        <f>IF(L3135&lt;1,1,L3135)</f>
        <v>3.1974303709756556</v>
      </c>
      <c r="N3135" s="70" t="s">
        <v>141</v>
      </c>
      <c r="O3135" s="71">
        <f>INDEX(DurClassMapping,MATCH(M3135,MappingTables!$D$4:$D$8,-1),1)</f>
        <v>1</v>
      </c>
      <c r="P3135" s="73">
        <f>IF(M3135=$A$1,1,$M3135-INDEX(MappingTables!$E$4:$E$8,MATCH(O3135,MappingTables!$B$4:$B$8,0)))</f>
        <v>3.1974303709756556</v>
      </c>
      <c r="Q3135" s="71">
        <f>IF(B3135="",0,INDEX(ModelParameters!$D$6:$K$10,MATCH($O3135,ModelParameters!$B$6:$B$10,0),MATCH($J3135,ModelParameters!$D$5:$K$5,0)))</f>
        <v>0.075</v>
      </c>
      <c r="R3135" s="71">
        <f>IF(B3135="",0,INDEX(ModelParameters!$D$13:$K$17,MATCH($O3135,ModelParameters!$B$13:$B$17,0),MATCH($J3135,ModelParameters!$D$5:$K$5,0)))</f>
        <v>0</v>
      </c>
      <c r="S3135" s="160">
        <f>IF(B3135="",0,MIN(IF($N3135="Other Bond TM",ModelParameters!$N$21,1)*(P3135*Q3135+R3135),1))</f>
        <v>0.2398072778231742</v>
      </c>
      <c r="T3135" s="85">
        <f>IF(B3135="",0,$S3135*$K3135)</f>
        <v>589.65194944282248</v>
      </c>
      <c r="U3135" s="85">
        <f>IF(B3135="",0,IF(OR(H3135=MappingTables!$C$34,H3135=MappingTables!$C$35),T3135,0))</f>
        <v>0</v>
      </c>
      <c r="V3135" s="85">
        <f>IF(ISNA(IF(AND(VLOOKUP(CONCATENATE($D3135,$G3135),CSRFinput!$B:$E,4,0)=0,OR(H3135=MappingTables!$C$34,H3135=MappingTables!$C$35)),1,VLOOKUP(CONCATENATE($D3135,$G3135),CSRFinput!$B:$E,4,0))),0,IF(AND(VLOOKUP(CONCATENATE($D3135,$G3135),CSRFinput!$B:$E,4,0)=0,OR(H3135=MappingTables!$C$34,H3135=MappingTables!$C$35)),1,VLOOKUP(CONCATENATE($D3135,$G3135),CSRFinput!$B:$E,4,0)))</f>
        <v>0.054776304963434752</v>
      </c>
      <c r="W3135" s="85">
        <f>IF(B3135="",0,+$T3135*$V3135)</f>
        <v>32.298955004963852</v>
      </c>
      <c r="X3135" s="85">
        <f>IF(B3135="",0,IF(OR(H3135=MappingTables!$C$34,H3135=MappingTables!$C$35),W3135,0))</f>
        <v>0</v>
      </c>
    </row>
    <row r="3136" spans="2:24" s="0" customFormat="0" ht="15">
      <c r="B3136" s="69">
        <v>8140507</v>
      </c>
      <c r="C3136" s="70" t="s">
        <v>1052</v>
      </c>
      <c r="D3136" s="70" t="s">
        <v>1</v>
      </c>
      <c r="E3136" s="70" t="s">
        <v>1</v>
      </c>
      <c r="F3136" s="70"/>
      <c r="G3136" s="70" t="s">
        <v>61</v>
      </c>
      <c r="H3136" s="70" t="s">
        <v>178</v>
      </c>
      <c r="I3136" s="70" t="s">
        <v>179</v>
      </c>
      <c r="J3136" s="71">
        <f>IF(OR(I3136=0,I3136=""),"unrated",VLOOKUP(I3136,MappingTables!$B$19:$C$31,2,FALSE))</f>
        <v>4</v>
      </c>
      <c r="K3136" s="72">
        <v>11859.244993960362</v>
      </c>
      <c r="L3136" s="70">
        <v>11.930633820278644</v>
      </c>
      <c r="M3136" s="71">
        <f>IF(L3136&lt;1,1,L3136)</f>
        <v>11.930633820278644</v>
      </c>
      <c r="N3136" s="70" t="s">
        <v>141</v>
      </c>
      <c r="O3136" s="71">
        <f>INDEX(DurClassMapping,MATCH(M3136,MappingTables!$D$4:$D$8,-1),1)</f>
        <v>3</v>
      </c>
      <c r="P3136" s="73">
        <f>IF(M3136=$A$1,1,$M3136-INDEX(MappingTables!$E$4:$E$8,MATCH(O3136,MappingTables!$B$4:$B$8,0)))</f>
        <v>1.9306338202786436</v>
      </c>
      <c r="Q3136" s="71">
        <f>IF(B3136="",0,INDEX(ModelParameters!$D$6:$K$10,MATCH($O3136,ModelParameters!$B$6:$B$10,0),MATCH($J3136,ModelParameters!$D$5:$K$5,0)))</f>
        <v>0.018000000000000002</v>
      </c>
      <c r="R3136" s="71">
        <f>IF(B3136="",0,INDEX(ModelParameters!$D$13:$K$17,MATCH($O3136,ModelParameters!$B$13:$B$17,0),MATCH($J3136,ModelParameters!$D$5:$K$5,0)))</f>
        <v>0.34999999999999996</v>
      </c>
      <c r="S3136" s="160">
        <f>IF(B3136="",0,MIN(IF($N3136="Other Bond TM",ModelParameters!$N$21,1)*(P3136*Q3136+R3136),1))</f>
        <v>0.3847514087650156</v>
      </c>
      <c r="T3136" s="85">
        <f>IF(B3136="",0,$S3136*$K3136)</f>
        <v>4562.8612183157072</v>
      </c>
      <c r="U3136" s="85">
        <f>IF(B3136="",0,IF(OR(H3136=MappingTables!$C$34,H3136=MappingTables!$C$35),T3136,0))</f>
        <v>0</v>
      </c>
      <c r="V3136" s="85">
        <f>IF(ISNA(IF(AND(VLOOKUP(CONCATENATE($D3136,$G3136),CSRFinput!$B:$E,4,0)=0,OR(H3136=MappingTables!$C$34,H3136=MappingTables!$C$35)),1,VLOOKUP(CONCATENATE($D3136,$G3136),CSRFinput!$B:$E,4,0))),0,IF(AND(VLOOKUP(CONCATENATE($D3136,$G3136),CSRFinput!$B:$E,4,0)=0,OR(H3136=MappingTables!$C$34,H3136=MappingTables!$C$35)),1,VLOOKUP(CONCATENATE($D3136,$G3136),CSRFinput!$B:$E,4,0)))</f>
        <v>0.054776304963434752</v>
      </c>
      <c r="W3136" s="85">
        <f>IF(B3136="",0,+$T3136*$V3136)</f>
        <v>249.93667760029064</v>
      </c>
      <c r="X3136" s="85">
        <f>IF(B3136="",0,IF(OR(H3136=MappingTables!$C$34,H3136=MappingTables!$C$35),W3136,0))</f>
        <v>0</v>
      </c>
    </row>
    <row r="3137" spans="2:24" s="0" customFormat="0" ht="15">
      <c r="B3137" s="69">
        <v>18550857</v>
      </c>
      <c r="C3137" s="70" t="s">
        <v>2451</v>
      </c>
      <c r="D3137" s="70" t="s">
        <v>1</v>
      </c>
      <c r="E3137" s="70" t="s">
        <v>1</v>
      </c>
      <c r="F3137" s="70"/>
      <c r="G3137" s="70" t="s">
        <v>61</v>
      </c>
      <c r="H3137" s="70" t="s">
        <v>178</v>
      </c>
      <c r="I3137" s="70" t="s">
        <v>179</v>
      </c>
      <c r="J3137" s="71">
        <f>IF(OR(I3137=0,I3137=""),"unrated",VLOOKUP(I3137,MappingTables!$B$19:$C$31,2,FALSE))</f>
        <v>4</v>
      </c>
      <c r="K3137" s="72">
        <v>40.89827268282916</v>
      </c>
      <c r="L3137" s="70">
        <v>0.093150246000871792</v>
      </c>
      <c r="M3137" s="71">
        <f>IF(L3137&lt;1,1,L3137)</f>
        <v>1</v>
      </c>
      <c r="N3137" s="70" t="s">
        <v>141</v>
      </c>
      <c r="O3137" s="71">
        <f>INDEX(DurClassMapping,MATCH(M3137,MappingTables!$D$4:$D$8,-1),1)</f>
        <v>1</v>
      </c>
      <c r="P3137" s="73">
        <f>IF(M3137=$A$1,1,$M3137-INDEX(MappingTables!$E$4:$E$8,MATCH(O3137,MappingTables!$B$4:$B$8,0)))</f>
        <v>1</v>
      </c>
      <c r="Q3137" s="71">
        <f>IF(B3137="",0,INDEX(ModelParameters!$D$6:$K$10,MATCH($O3137,ModelParameters!$B$6:$B$10,0),MATCH($J3137,ModelParameters!$D$5:$K$5,0)))</f>
        <v>0.045</v>
      </c>
      <c r="R3137" s="71">
        <f>IF(B3137="",0,INDEX(ModelParameters!$D$13:$K$17,MATCH($O3137,ModelParameters!$B$13:$B$17,0),MATCH($J3137,ModelParameters!$D$5:$K$5,0)))</f>
        <v>0</v>
      </c>
      <c r="S3137" s="160">
        <f>IF(B3137="",0,MIN(IF($N3137="Other Bond TM",ModelParameters!$N$21,1)*(P3137*Q3137+R3137),1))</f>
        <v>0.045</v>
      </c>
      <c r="T3137" s="85">
        <f>IF(B3137="",0,$S3137*$K3137)</f>
        <v>1.840422270727312</v>
      </c>
      <c r="U3137" s="85">
        <f>IF(B3137="",0,IF(OR(H3137=MappingTables!$C$34,H3137=MappingTables!$C$35),T3137,0))</f>
        <v>0</v>
      </c>
      <c r="V3137" s="85">
        <f>IF(ISNA(IF(AND(VLOOKUP(CONCATENATE($D3137,$G3137),CSRFinput!$B:$E,4,0)=0,OR(H3137=MappingTables!$C$34,H3137=MappingTables!$C$35)),1,VLOOKUP(CONCATENATE($D3137,$G3137),CSRFinput!$B:$E,4,0))),0,IF(AND(VLOOKUP(CONCATENATE($D3137,$G3137),CSRFinput!$B:$E,4,0)=0,OR(H3137=MappingTables!$C$34,H3137=MappingTables!$C$35)),1,VLOOKUP(CONCATENATE($D3137,$G3137),CSRFinput!$B:$E,4,0)))</f>
        <v>0.054776304963434752</v>
      </c>
      <c r="W3137" s="85">
        <f>IF(B3137="",0,+$T3137*$V3137)</f>
        <v>0.10081153156285632</v>
      </c>
      <c r="X3137" s="85">
        <f>IF(B3137="",0,IF(OR(H3137=MappingTables!$C$34,H3137=MappingTables!$C$35),W3137,0))</f>
        <v>0</v>
      </c>
    </row>
    <row r="3138" spans="2:24" s="0" customFormat="0" ht="15">
      <c r="B3138" s="69">
        <v>16192333</v>
      </c>
      <c r="C3138" s="70" t="s">
        <v>448</v>
      </c>
      <c r="D3138" s="70" t="s">
        <v>1</v>
      </c>
      <c r="E3138" s="70" t="s">
        <v>1</v>
      </c>
      <c r="F3138" s="70"/>
      <c r="G3138" s="70" t="s">
        <v>61</v>
      </c>
      <c r="H3138" s="70" t="s">
        <v>178</v>
      </c>
      <c r="I3138" s="70" t="s">
        <v>181</v>
      </c>
      <c r="J3138" s="71">
        <f>IF(OR(I3138=0,I3138=""),"unrated",VLOOKUP(I3138,MappingTables!$B$19:$C$31,2,FALSE))</f>
        <v>3</v>
      </c>
      <c r="K3138" s="72">
        <v>13308.120041271512</v>
      </c>
      <c r="L3138" s="70">
        <v>4.6114690090342264</v>
      </c>
      <c r="M3138" s="71">
        <f>IF(L3138&lt;1,1,L3138)</f>
        <v>4.6114690090342264</v>
      </c>
      <c r="N3138" s="70" t="s">
        <v>141</v>
      </c>
      <c r="O3138" s="71">
        <f>INDEX(DurClassMapping,MATCH(M3138,MappingTables!$D$4:$D$8,-1),1)</f>
        <v>1</v>
      </c>
      <c r="P3138" s="73">
        <f>IF(M3138=$A$1,1,$M3138-INDEX(MappingTables!$E$4:$E$8,MATCH(O3138,MappingTables!$B$4:$B$8,0)))</f>
        <v>4.6114690090342264</v>
      </c>
      <c r="Q3138" s="71">
        <f>IF(B3138="",0,INDEX(ModelParameters!$D$6:$K$10,MATCH($O3138,ModelParameters!$B$6:$B$10,0),MATCH($J3138,ModelParameters!$D$5:$K$5,0)))</f>
        <v>0.025</v>
      </c>
      <c r="R3138" s="71">
        <f>IF(B3138="",0,INDEX(ModelParameters!$D$13:$K$17,MATCH($O3138,ModelParameters!$B$13:$B$17,0),MATCH($J3138,ModelParameters!$D$5:$K$5,0)))</f>
        <v>0</v>
      </c>
      <c r="S3138" s="160">
        <f>IF(B3138="",0,MIN(IF($N3138="Other Bond TM",ModelParameters!$N$21,1)*(P3138*Q3138+R3138),1))</f>
        <v>0.11528672522585566</v>
      </c>
      <c r="T3138" s="85">
        <f>IF(B3138="",0,$S3138*$K3138)</f>
        <v>1534.2495784707716</v>
      </c>
      <c r="U3138" s="85">
        <f>IF(B3138="",0,IF(OR(H3138=MappingTables!$C$34,H3138=MappingTables!$C$35),T3138,0))</f>
        <v>0</v>
      </c>
      <c r="V3138" s="85">
        <f>IF(ISNA(IF(AND(VLOOKUP(CONCATENATE($D3138,$G3138),CSRFinput!$B:$E,4,0)=0,OR(H3138=MappingTables!$C$34,H3138=MappingTables!$C$35)),1,VLOOKUP(CONCATENATE($D3138,$G3138),CSRFinput!$B:$E,4,0))),0,IF(AND(VLOOKUP(CONCATENATE($D3138,$G3138),CSRFinput!$B:$E,4,0)=0,OR(H3138=MappingTables!$C$34,H3138=MappingTables!$C$35)),1,VLOOKUP(CONCATENATE($D3138,$G3138),CSRFinput!$B:$E,4,0)))</f>
        <v>0.054776304963434752</v>
      </c>
      <c r="W3138" s="85">
        <f>IF(B3138="",0,+$T3138*$V3138)</f>
        <v>84.040522800336208</v>
      </c>
      <c r="X3138" s="85">
        <f>IF(B3138="",0,IF(OR(H3138=MappingTables!$C$34,H3138=MappingTables!$C$35),W3138,0))</f>
        <v>0</v>
      </c>
    </row>
    <row r="3139" spans="2:24" s="0" customFormat="0" ht="15">
      <c r="B3139" s="69">
        <v>14591488</v>
      </c>
      <c r="C3139" s="70" t="s">
        <v>822</v>
      </c>
      <c r="D3139" s="70" t="s">
        <v>1</v>
      </c>
      <c r="E3139" s="70" t="s">
        <v>1</v>
      </c>
      <c r="F3139" s="70"/>
      <c r="G3139" s="70" t="s">
        <v>61</v>
      </c>
      <c r="H3139" s="70" t="s">
        <v>178</v>
      </c>
      <c r="I3139" s="70" t="s">
        <v>181</v>
      </c>
      <c r="J3139" s="71">
        <f>IF(OR(I3139=0,I3139=""),"unrated",VLOOKUP(I3139,MappingTables!$B$19:$C$31,2,FALSE))</f>
        <v>3</v>
      </c>
      <c r="K3139" s="72">
        <v>875.08856996186976</v>
      </c>
      <c r="L3139" s="70">
        <v>1.4466719102757734</v>
      </c>
      <c r="M3139" s="71">
        <f>IF(L3139&lt;1,1,L3139)</f>
        <v>1.4466719102757734</v>
      </c>
      <c r="N3139" s="70" t="s">
        <v>141</v>
      </c>
      <c r="O3139" s="71">
        <f>INDEX(DurClassMapping,MATCH(M3139,MappingTables!$D$4:$D$8,-1),1)</f>
        <v>1</v>
      </c>
      <c r="P3139" s="73">
        <f>IF(M3139=$A$1,1,$M3139-INDEX(MappingTables!$E$4:$E$8,MATCH(O3139,MappingTables!$B$4:$B$8,0)))</f>
        <v>1.4466719102757734</v>
      </c>
      <c r="Q3139" s="71">
        <f>IF(B3139="",0,INDEX(ModelParameters!$D$6:$K$10,MATCH($O3139,ModelParameters!$B$6:$B$10,0),MATCH($J3139,ModelParameters!$D$5:$K$5,0)))</f>
        <v>0.025</v>
      </c>
      <c r="R3139" s="71">
        <f>IF(B3139="",0,INDEX(ModelParameters!$D$13:$K$17,MATCH($O3139,ModelParameters!$B$13:$B$17,0),MATCH($J3139,ModelParameters!$D$5:$K$5,0)))</f>
        <v>0</v>
      </c>
      <c r="S3139" s="160">
        <f>IF(B3139="",0,MIN(IF($N3139="Other Bond TM",ModelParameters!$N$21,1)*(P3139*Q3139+R3139),1))</f>
        <v>0.036166797756894336</v>
      </c>
      <c r="T3139" s="85">
        <f>IF(B3139="",0,$S3139*$K3139)</f>
        <v>31.649151329180828</v>
      </c>
      <c r="U3139" s="85">
        <f>IF(B3139="",0,IF(OR(H3139=MappingTables!$C$34,H3139=MappingTables!$C$35),T3139,0))</f>
        <v>0</v>
      </c>
      <c r="V3139" s="85">
        <f>IF(ISNA(IF(AND(VLOOKUP(CONCATENATE($D3139,$G3139),CSRFinput!$B:$E,4,0)=0,OR(H3139=MappingTables!$C$34,H3139=MappingTables!$C$35)),1,VLOOKUP(CONCATENATE($D3139,$G3139),CSRFinput!$B:$E,4,0))),0,IF(AND(VLOOKUP(CONCATENATE($D3139,$G3139),CSRFinput!$B:$E,4,0)=0,OR(H3139=MappingTables!$C$34,H3139=MappingTables!$C$35)),1,VLOOKUP(CONCATENATE($D3139,$G3139),CSRFinput!$B:$E,4,0)))</f>
        <v>0.054776304963434752</v>
      </c>
      <c r="W3139" s="85">
        <f>IF(B3139="",0,+$T3139*$V3139)</f>
        <v>1.7336235650411054</v>
      </c>
      <c r="X3139" s="85">
        <f>IF(B3139="",0,IF(OR(H3139=MappingTables!$C$34,H3139=MappingTables!$C$35),W3139,0))</f>
        <v>0</v>
      </c>
    </row>
    <row r="3140" spans="2:24" s="0" customFormat="0" ht="15">
      <c r="B3140" s="69">
        <v>20691835</v>
      </c>
      <c r="C3140" s="70" t="s">
        <v>2748</v>
      </c>
      <c r="D3140" s="70" t="s">
        <v>1</v>
      </c>
      <c r="E3140" s="70" t="s">
        <v>1</v>
      </c>
      <c r="F3140" s="70"/>
      <c r="G3140" s="70" t="s">
        <v>61</v>
      </c>
      <c r="H3140" s="70" t="s">
        <v>178</v>
      </c>
      <c r="I3140" s="70" t="s">
        <v>179</v>
      </c>
      <c r="J3140" s="71">
        <f>IF(OR(I3140=0,I3140=""),"unrated",VLOOKUP(I3140,MappingTables!$B$19:$C$31,2,FALSE))</f>
        <v>4</v>
      </c>
      <c r="K3140" s="72">
        <v>29450.634676102204</v>
      </c>
      <c r="L3140" s="70">
        <v>3.2090239524719256</v>
      </c>
      <c r="M3140" s="71">
        <f>IF(L3140&lt;1,1,L3140)</f>
        <v>3.2090239524719256</v>
      </c>
      <c r="N3140" s="70" t="s">
        <v>141</v>
      </c>
      <c r="O3140" s="71">
        <f>INDEX(DurClassMapping,MATCH(M3140,MappingTables!$D$4:$D$8,-1),1)</f>
        <v>1</v>
      </c>
      <c r="P3140" s="73">
        <f>IF(M3140=$A$1,1,$M3140-INDEX(MappingTables!$E$4:$E$8,MATCH(O3140,MappingTables!$B$4:$B$8,0)))</f>
        <v>3.2090239524719256</v>
      </c>
      <c r="Q3140" s="71">
        <f>IF(B3140="",0,INDEX(ModelParameters!$D$6:$K$10,MATCH($O3140,ModelParameters!$B$6:$B$10,0),MATCH($J3140,ModelParameters!$D$5:$K$5,0)))</f>
        <v>0.045</v>
      </c>
      <c r="R3140" s="71">
        <f>IF(B3140="",0,INDEX(ModelParameters!$D$13:$K$17,MATCH($O3140,ModelParameters!$B$13:$B$17,0),MATCH($J3140,ModelParameters!$D$5:$K$5,0)))</f>
        <v>0</v>
      </c>
      <c r="S3140" s="160">
        <f>IF(B3140="",0,MIN(IF($N3140="Other Bond TM",ModelParameters!$N$21,1)*(P3140*Q3140+R3140),1))</f>
        <v>0.14440607786123664</v>
      </c>
      <c r="T3140" s="85">
        <f>IF(B3140="",0,$S3140*$K3140)</f>
        <v>4252.8506441000496</v>
      </c>
      <c r="U3140" s="85">
        <f>IF(B3140="",0,IF(OR(H3140=MappingTables!$C$34,H3140=MappingTables!$C$35),T3140,0))</f>
        <v>0</v>
      </c>
      <c r="V3140" s="85">
        <f>IF(ISNA(IF(AND(VLOOKUP(CONCATENATE($D3140,$G3140),CSRFinput!$B:$E,4,0)=0,OR(H3140=MappingTables!$C$34,H3140=MappingTables!$C$35)),1,VLOOKUP(CONCATENATE($D3140,$G3140),CSRFinput!$B:$E,4,0))),0,IF(AND(VLOOKUP(CONCATENATE($D3140,$G3140),CSRFinput!$B:$E,4,0)=0,OR(H3140=MappingTables!$C$34,H3140=MappingTables!$C$35)),1,VLOOKUP(CONCATENATE($D3140,$G3140),CSRFinput!$B:$E,4,0)))</f>
        <v>0.054776304963434752</v>
      </c>
      <c r="W3140" s="85">
        <f>IF(B3140="",0,+$T3140*$V3140)</f>
        <v>232.95544384516428</v>
      </c>
      <c r="X3140" s="85">
        <f>IF(B3140="",0,IF(OR(H3140=MappingTables!$C$34,H3140=MappingTables!$C$35),W3140,0))</f>
        <v>0</v>
      </c>
    </row>
    <row r="3141" spans="2:24" s="0" customFormat="0" ht="15">
      <c r="B3141" s="69">
        <v>21811316</v>
      </c>
      <c r="C3141" s="70" t="s">
        <v>1597</v>
      </c>
      <c r="D3141" s="70" t="s">
        <v>1</v>
      </c>
      <c r="E3141" s="70" t="s">
        <v>1</v>
      </c>
      <c r="F3141" s="70"/>
      <c r="G3141" s="70" t="s">
        <v>61</v>
      </c>
      <c r="H3141" s="70" t="s">
        <v>178</v>
      </c>
      <c r="I3141" s="70" t="s">
        <v>181</v>
      </c>
      <c r="J3141" s="71">
        <f>IF(OR(I3141=0,I3141=""),"unrated",VLOOKUP(I3141,MappingTables!$B$19:$C$31,2,FALSE))</f>
        <v>3</v>
      </c>
      <c r="K3141" s="72">
        <v>281.01153434928024</v>
      </c>
      <c r="L3141" s="70">
        <v>3.6467491322595152</v>
      </c>
      <c r="M3141" s="71">
        <f>IF(L3141&lt;1,1,L3141)</f>
        <v>3.6467491322595152</v>
      </c>
      <c r="N3141" s="70" t="s">
        <v>141</v>
      </c>
      <c r="O3141" s="71">
        <f>INDEX(DurClassMapping,MATCH(M3141,MappingTables!$D$4:$D$8,-1),1)</f>
        <v>1</v>
      </c>
      <c r="P3141" s="73">
        <f>IF(M3141=$A$1,1,$M3141-INDEX(MappingTables!$E$4:$E$8,MATCH(O3141,MappingTables!$B$4:$B$8,0)))</f>
        <v>3.6467491322595152</v>
      </c>
      <c r="Q3141" s="71">
        <f>IF(B3141="",0,INDEX(ModelParameters!$D$6:$K$10,MATCH($O3141,ModelParameters!$B$6:$B$10,0),MATCH($J3141,ModelParameters!$D$5:$K$5,0)))</f>
        <v>0.025</v>
      </c>
      <c r="R3141" s="71">
        <f>IF(B3141="",0,INDEX(ModelParameters!$D$13:$K$17,MATCH($O3141,ModelParameters!$B$13:$B$17,0),MATCH($J3141,ModelParameters!$D$5:$K$5,0)))</f>
        <v>0</v>
      </c>
      <c r="S3141" s="160">
        <f>IF(B3141="",0,MIN(IF($N3141="Other Bond TM",ModelParameters!$N$21,1)*(P3141*Q3141+R3141),1))</f>
        <v>0.091168728306487888</v>
      </c>
      <c r="T3141" s="85">
        <f>IF(B3141="",0,$S3141*$K3141)</f>
        <v>25.619464226078816</v>
      </c>
      <c r="U3141" s="85">
        <f>IF(B3141="",0,IF(OR(H3141=MappingTables!$C$34,H3141=MappingTables!$C$35),T3141,0))</f>
        <v>0</v>
      </c>
      <c r="V3141" s="85">
        <f>IF(ISNA(IF(AND(VLOOKUP(CONCATENATE($D3141,$G3141),CSRFinput!$B:$E,4,0)=0,OR(H3141=MappingTables!$C$34,H3141=MappingTables!$C$35)),1,VLOOKUP(CONCATENATE($D3141,$G3141),CSRFinput!$B:$E,4,0))),0,IF(AND(VLOOKUP(CONCATENATE($D3141,$G3141),CSRFinput!$B:$E,4,0)=0,OR(H3141=MappingTables!$C$34,H3141=MappingTables!$C$35)),1,VLOOKUP(CONCATENATE($D3141,$G3141),CSRFinput!$B:$E,4,0)))</f>
        <v>0.054776304963434752</v>
      </c>
      <c r="W3141" s="85">
        <f>IF(B3141="",0,+$T3141*$V3141)</f>
        <v>1.4033395854475002</v>
      </c>
      <c r="X3141" s="85">
        <f>IF(B3141="",0,IF(OR(H3141=MappingTables!$C$34,H3141=MappingTables!$C$35),W3141,0))</f>
        <v>0</v>
      </c>
    </row>
    <row r="3142" spans="2:24" s="0" customFormat="0" ht="15">
      <c r="B3142" s="69">
        <v>17267347</v>
      </c>
      <c r="C3142" s="70" t="s">
        <v>1817</v>
      </c>
      <c r="D3142" s="70" t="s">
        <v>1</v>
      </c>
      <c r="E3142" s="70" t="s">
        <v>1</v>
      </c>
      <c r="F3142" s="70"/>
      <c r="G3142" s="70" t="s">
        <v>61</v>
      </c>
      <c r="H3142" s="70" t="s">
        <v>178</v>
      </c>
      <c r="I3142" s="70" t="s">
        <v>188</v>
      </c>
      <c r="J3142" s="71">
        <f>IF(OR(I3142=0,I3142=""),"unrated",VLOOKUP(I3142,MappingTables!$B$19:$C$31,2,FALSE))</f>
        <v>2</v>
      </c>
      <c r="K3142" s="72">
        <v>471.4244644065372</v>
      </c>
      <c r="L3142" s="70">
        <v>0.99091668420412576</v>
      </c>
      <c r="M3142" s="71">
        <f>IF(L3142&lt;1,1,L3142)</f>
        <v>1</v>
      </c>
      <c r="N3142" s="70" t="s">
        <v>141</v>
      </c>
      <c r="O3142" s="71">
        <f>INDEX(DurClassMapping,MATCH(M3142,MappingTables!$D$4:$D$8,-1),1)</f>
        <v>1</v>
      </c>
      <c r="P3142" s="73">
        <f>IF(M3142=$A$1,1,$M3142-INDEX(MappingTables!$E$4:$E$8,MATCH(O3142,MappingTables!$B$4:$B$8,0)))</f>
        <v>1</v>
      </c>
      <c r="Q3142" s="71">
        <f>IF(B3142="",0,INDEX(ModelParameters!$D$6:$K$10,MATCH($O3142,ModelParameters!$B$6:$B$10,0),MATCH($J3142,ModelParameters!$D$5:$K$5,0)))</f>
        <v>0.013999999999999998</v>
      </c>
      <c r="R3142" s="71">
        <f>IF(B3142="",0,INDEX(ModelParameters!$D$13:$K$17,MATCH($O3142,ModelParameters!$B$13:$B$17,0),MATCH($J3142,ModelParameters!$D$5:$K$5,0)))</f>
        <v>0</v>
      </c>
      <c r="S3142" s="160">
        <f>IF(B3142="",0,MIN(IF($N3142="Other Bond TM",ModelParameters!$N$21,1)*(P3142*Q3142+R3142),1))</f>
        <v>0.013999999999999998</v>
      </c>
      <c r="T3142" s="85">
        <f>IF(B3142="",0,$S3142*$K3142)</f>
        <v>6.59994250169152</v>
      </c>
      <c r="U3142" s="85">
        <f>IF(B3142="",0,IF(OR(H3142=MappingTables!$C$34,H3142=MappingTables!$C$35),T3142,0))</f>
        <v>0</v>
      </c>
      <c r="V3142" s="85">
        <f>IF(ISNA(IF(AND(VLOOKUP(CONCATENATE($D3142,$G3142),CSRFinput!$B:$E,4,0)=0,OR(H3142=MappingTables!$C$34,H3142=MappingTables!$C$35)),1,VLOOKUP(CONCATENATE($D3142,$G3142),CSRFinput!$B:$E,4,0))),0,IF(AND(VLOOKUP(CONCATENATE($D3142,$G3142),CSRFinput!$B:$E,4,0)=0,OR(H3142=MappingTables!$C$34,H3142=MappingTables!$C$35)),1,VLOOKUP(CONCATENATE($D3142,$G3142),CSRFinput!$B:$E,4,0)))</f>
        <v>0.054776304963434752</v>
      </c>
      <c r="W3142" s="85">
        <f>IF(B3142="",0,+$T3142*$V3142)</f>
        <v>0.3615204632137892</v>
      </c>
      <c r="X3142" s="85">
        <f>IF(B3142="",0,IF(OR(H3142=MappingTables!$C$34,H3142=MappingTables!$C$35),W3142,0))</f>
        <v>0</v>
      </c>
    </row>
    <row r="3143" spans="2:24" s="0" customFormat="0" ht="15">
      <c r="B3143" s="69">
        <v>488603</v>
      </c>
      <c r="C3143" s="70" t="s">
        <v>2668</v>
      </c>
      <c r="D3143" s="70" t="s">
        <v>1</v>
      </c>
      <c r="E3143" s="70" t="s">
        <v>1</v>
      </c>
      <c r="F3143" s="70"/>
      <c r="G3143" s="70" t="s">
        <v>61</v>
      </c>
      <c r="H3143" s="70" t="s">
        <v>178</v>
      </c>
      <c r="I3143" s="70" t="s">
        <v>184</v>
      </c>
      <c r="J3143" s="71">
        <f>IF(OR(I3143=0,I3143=""),"unrated",VLOOKUP(I3143,MappingTables!$B$19:$C$31,2,FALSE))</f>
        <v>5</v>
      </c>
      <c r="K3143" s="72">
        <v>324.99624806129928</v>
      </c>
      <c r="L3143" s="70">
        <v>8.9888152939141312</v>
      </c>
      <c r="M3143" s="71">
        <f>IF(L3143&lt;1,1,L3143)</f>
        <v>8.9888152939141312</v>
      </c>
      <c r="N3143" s="70" t="s">
        <v>141</v>
      </c>
      <c r="O3143" s="71">
        <f>INDEX(DurClassMapping,MATCH(M3143,MappingTables!$D$4:$D$8,-1),1)</f>
        <v>2</v>
      </c>
      <c r="P3143" s="73">
        <f>IF(M3143=$A$1,1,$M3143-INDEX(MappingTables!$E$4:$E$8,MATCH(O3143,MappingTables!$B$4:$B$8,0)))</f>
        <v>3.9888152939141312</v>
      </c>
      <c r="Q3143" s="71">
        <f>IF(B3143="",0,INDEX(ModelParameters!$D$6:$K$10,MATCH($O3143,ModelParameters!$B$6:$B$10,0),MATCH($J3143,ModelParameters!$D$5:$K$5,0)))</f>
        <v>0.042</v>
      </c>
      <c r="R3143" s="71">
        <f>IF(B3143="",0,INDEX(ModelParameters!$D$13:$K$17,MATCH($O3143,ModelParameters!$B$13:$B$17,0),MATCH($J3143,ModelParameters!$D$5:$K$5,0)))</f>
        <v>0.375</v>
      </c>
      <c r="S3143" s="160">
        <f>IF(B3143="",0,MIN(IF($N3143="Other Bond TM",ModelParameters!$N$21,1)*(P3143*Q3143+R3143),1))</f>
        <v>0.54253024234439352</v>
      </c>
      <c r="T3143" s="85">
        <f>IF(B3143="",0,$S3143*$K3143)</f>
        <v>176.32029322171534</v>
      </c>
      <c r="U3143" s="85">
        <f>IF(B3143="",0,IF(OR(H3143=MappingTables!$C$34,H3143=MappingTables!$C$35),T3143,0))</f>
        <v>0</v>
      </c>
      <c r="V3143" s="85">
        <f>IF(ISNA(IF(AND(VLOOKUP(CONCATENATE($D3143,$G3143),CSRFinput!$B:$E,4,0)=0,OR(H3143=MappingTables!$C$34,H3143=MappingTables!$C$35)),1,VLOOKUP(CONCATENATE($D3143,$G3143),CSRFinput!$B:$E,4,0))),0,IF(AND(VLOOKUP(CONCATENATE($D3143,$G3143),CSRFinput!$B:$E,4,0)=0,OR(H3143=MappingTables!$C$34,H3143=MappingTables!$C$35)),1,VLOOKUP(CONCATENATE($D3143,$G3143),CSRFinput!$B:$E,4,0)))</f>
        <v>0.054776304963434752</v>
      </c>
      <c r="W3143" s="85">
        <f>IF(B3143="",0,+$T3143*$V3143)</f>
        <v>9.6581741527549168</v>
      </c>
      <c r="X3143" s="85">
        <f>IF(B3143="",0,IF(OR(H3143=MappingTables!$C$34,H3143=MappingTables!$C$35),W3143,0))</f>
        <v>0</v>
      </c>
    </row>
    <row r="3144" spans="2:24" s="0" customFormat="0" ht="15">
      <c r="B3144" s="69">
        <v>17795766</v>
      </c>
      <c r="C3144" s="70" t="s">
        <v>873</v>
      </c>
      <c r="D3144" s="70" t="s">
        <v>1</v>
      </c>
      <c r="E3144" s="70" t="s">
        <v>1</v>
      </c>
      <c r="F3144" s="70"/>
      <c r="G3144" s="70" t="s">
        <v>61</v>
      </c>
      <c r="H3144" s="70" t="s">
        <v>178</v>
      </c>
      <c r="I3144" s="70" t="s">
        <v>181</v>
      </c>
      <c r="J3144" s="71">
        <f>IF(OR(I3144=0,I3144=""),"unrated",VLOOKUP(I3144,MappingTables!$B$19:$C$31,2,FALSE))</f>
        <v>3</v>
      </c>
      <c r="K3144" s="72">
        <v>407.34744351668504</v>
      </c>
      <c r="L3144" s="70">
        <v>4.83460118507626</v>
      </c>
      <c r="M3144" s="71">
        <f>IF(L3144&lt;1,1,L3144)</f>
        <v>4.83460118507626</v>
      </c>
      <c r="N3144" s="70" t="s">
        <v>141</v>
      </c>
      <c r="O3144" s="71">
        <f>INDEX(DurClassMapping,MATCH(M3144,MappingTables!$D$4:$D$8,-1),1)</f>
        <v>1</v>
      </c>
      <c r="P3144" s="73">
        <f>IF(M3144=$A$1,1,$M3144-INDEX(MappingTables!$E$4:$E$8,MATCH(O3144,MappingTables!$B$4:$B$8,0)))</f>
        <v>4.83460118507626</v>
      </c>
      <c r="Q3144" s="71">
        <f>IF(B3144="",0,INDEX(ModelParameters!$D$6:$K$10,MATCH($O3144,ModelParameters!$B$6:$B$10,0),MATCH($J3144,ModelParameters!$D$5:$K$5,0)))</f>
        <v>0.025</v>
      </c>
      <c r="R3144" s="71">
        <f>IF(B3144="",0,INDEX(ModelParameters!$D$13:$K$17,MATCH($O3144,ModelParameters!$B$13:$B$17,0),MATCH($J3144,ModelParameters!$D$5:$K$5,0)))</f>
        <v>0</v>
      </c>
      <c r="S3144" s="160">
        <f>IF(B3144="",0,MIN(IF($N3144="Other Bond TM",ModelParameters!$N$21,1)*(P3144*Q3144+R3144),1))</f>
        <v>0.12086502962690652</v>
      </c>
      <c r="T3144" s="85">
        <f>IF(B3144="",0,$S3144*$K3144)</f>
        <v>49.23406082908876</v>
      </c>
      <c r="U3144" s="85">
        <f>IF(B3144="",0,IF(OR(H3144=MappingTables!$C$34,H3144=MappingTables!$C$35),T3144,0))</f>
        <v>0</v>
      </c>
      <c r="V3144" s="85">
        <f>IF(ISNA(IF(AND(VLOOKUP(CONCATENATE($D3144,$G3144),CSRFinput!$B:$E,4,0)=0,OR(H3144=MappingTables!$C$34,H3144=MappingTables!$C$35)),1,VLOOKUP(CONCATENATE($D3144,$G3144),CSRFinput!$B:$E,4,0))),0,IF(AND(VLOOKUP(CONCATENATE($D3144,$G3144),CSRFinput!$B:$E,4,0)=0,OR(H3144=MappingTables!$C$34,H3144=MappingTables!$C$35)),1,VLOOKUP(CONCATENATE($D3144,$G3144),CSRFinput!$B:$E,4,0)))</f>
        <v>0.054776304963434752</v>
      </c>
      <c r="W3144" s="85">
        <f>IF(B3144="",0,+$T3144*$V3144)</f>
        <v>2.6968599305624636</v>
      </c>
      <c r="X3144" s="85">
        <f>IF(B3144="",0,IF(OR(H3144=MappingTables!$C$34,H3144=MappingTables!$C$35),W3144,0))</f>
        <v>0</v>
      </c>
    </row>
    <row r="3145" spans="2:24" s="0" customFormat="0" ht="15">
      <c r="B3145" s="69">
        <v>6831738</v>
      </c>
      <c r="C3145" s="70" t="s">
        <v>2749</v>
      </c>
      <c r="D3145" s="70" t="s">
        <v>1</v>
      </c>
      <c r="E3145" s="70" t="s">
        <v>1</v>
      </c>
      <c r="F3145" s="70"/>
      <c r="G3145" s="70" t="s">
        <v>61</v>
      </c>
      <c r="H3145" s="70" t="s">
        <v>178</v>
      </c>
      <c r="I3145" s="70" t="s">
        <v>181</v>
      </c>
      <c r="J3145" s="71">
        <f>IF(OR(I3145=0,I3145=""),"unrated",VLOOKUP(I3145,MappingTables!$B$19:$C$31,2,FALSE))</f>
        <v>3</v>
      </c>
      <c r="K3145" s="72">
        <v>1649.9288889258972</v>
      </c>
      <c r="L3145" s="70">
        <v>1.2538042124719266</v>
      </c>
      <c r="M3145" s="71">
        <f>IF(L3145&lt;1,1,L3145)</f>
        <v>1.2538042124719266</v>
      </c>
      <c r="N3145" s="70" t="s">
        <v>141</v>
      </c>
      <c r="O3145" s="71">
        <f>INDEX(DurClassMapping,MATCH(M3145,MappingTables!$D$4:$D$8,-1),1)</f>
        <v>1</v>
      </c>
      <c r="P3145" s="73">
        <f>IF(M3145=$A$1,1,$M3145-INDEX(MappingTables!$E$4:$E$8,MATCH(O3145,MappingTables!$B$4:$B$8,0)))</f>
        <v>1.2538042124719266</v>
      </c>
      <c r="Q3145" s="71">
        <f>IF(B3145="",0,INDEX(ModelParameters!$D$6:$K$10,MATCH($O3145,ModelParameters!$B$6:$B$10,0),MATCH($J3145,ModelParameters!$D$5:$K$5,0)))</f>
        <v>0.025</v>
      </c>
      <c r="R3145" s="71">
        <f>IF(B3145="",0,INDEX(ModelParameters!$D$13:$K$17,MATCH($O3145,ModelParameters!$B$13:$B$17,0),MATCH($J3145,ModelParameters!$D$5:$K$5,0)))</f>
        <v>0</v>
      </c>
      <c r="S3145" s="160">
        <f>IF(B3145="",0,MIN(IF($N3145="Other Bond TM",ModelParameters!$N$21,1)*(P3145*Q3145+R3145),1))</f>
        <v>0.031345105311798168</v>
      </c>
      <c r="T3145" s="85">
        <f>IF(B3145="",0,$S3145*$K3145)</f>
        <v>51.717194780360384</v>
      </c>
      <c r="U3145" s="85">
        <f>IF(B3145="",0,IF(OR(H3145=MappingTables!$C$34,H3145=MappingTables!$C$35),T3145,0))</f>
        <v>0</v>
      </c>
      <c r="V3145" s="85">
        <f>IF(ISNA(IF(AND(VLOOKUP(CONCATENATE($D3145,$G3145),CSRFinput!$B:$E,4,0)=0,OR(H3145=MappingTables!$C$34,H3145=MappingTables!$C$35)),1,VLOOKUP(CONCATENATE($D3145,$G3145),CSRFinput!$B:$E,4,0))),0,IF(AND(VLOOKUP(CONCATENATE($D3145,$G3145),CSRFinput!$B:$E,4,0)=0,OR(H3145=MappingTables!$C$34,H3145=MappingTables!$C$35)),1,VLOOKUP(CONCATENATE($D3145,$G3145),CSRFinput!$B:$E,4,0)))</f>
        <v>0.054776304963434752</v>
      </c>
      <c r="W3145" s="85">
        <f>IF(B3145="",0,+$T3145*$V3145)</f>
        <v>2.8328768331423764</v>
      </c>
      <c r="X3145" s="85">
        <f>IF(B3145="",0,IF(OR(H3145=MappingTables!$C$34,H3145=MappingTables!$C$35),W3145,0))</f>
        <v>0</v>
      </c>
    </row>
    <row r="3146" spans="2:24" s="0" customFormat="0" ht="15">
      <c r="B3146" s="69" t="s">
        <v>1025</v>
      </c>
      <c r="C3146" s="70" t="s">
        <v>1026</v>
      </c>
      <c r="D3146" s="70" t="s">
        <v>1</v>
      </c>
      <c r="E3146" s="70" t="s">
        <v>1</v>
      </c>
      <c r="F3146" s="70"/>
      <c r="G3146" s="70" t="s">
        <v>61</v>
      </c>
      <c r="H3146" s="70" t="s">
        <v>178</v>
      </c>
      <c r="I3146" s="70" t="s">
        <v>179</v>
      </c>
      <c r="J3146" s="71">
        <f>IF(OR(I3146=0,I3146=""),"unrated",VLOOKUP(I3146,MappingTables!$B$19:$C$31,2,FALSE))</f>
        <v>4</v>
      </c>
      <c r="K3146" s="72">
        <v>4383.0949534891312</v>
      </c>
      <c r="L3146" s="70">
        <v>3.3685353789140488</v>
      </c>
      <c r="M3146" s="71">
        <f>IF(L3146&lt;1,1,L3146)</f>
        <v>3.3685353789140488</v>
      </c>
      <c r="N3146" s="70" t="s">
        <v>141</v>
      </c>
      <c r="O3146" s="71">
        <f>INDEX(DurClassMapping,MATCH(M3146,MappingTables!$D$4:$D$8,-1),1)</f>
        <v>1</v>
      </c>
      <c r="P3146" s="73">
        <f>IF(M3146=$A$1,1,$M3146-INDEX(MappingTables!$E$4:$E$8,MATCH(O3146,MappingTables!$B$4:$B$8,0)))</f>
        <v>3.3685353789140488</v>
      </c>
      <c r="Q3146" s="71">
        <f>IF(B3146="",0,INDEX(ModelParameters!$D$6:$K$10,MATCH($O3146,ModelParameters!$B$6:$B$10,0),MATCH($J3146,ModelParameters!$D$5:$K$5,0)))</f>
        <v>0.045</v>
      </c>
      <c r="R3146" s="71">
        <f>IF(B3146="",0,INDEX(ModelParameters!$D$13:$K$17,MATCH($O3146,ModelParameters!$B$13:$B$17,0),MATCH($J3146,ModelParameters!$D$5:$K$5,0)))</f>
        <v>0</v>
      </c>
      <c r="S3146" s="160">
        <f>IF(B3146="",0,MIN(IF($N3146="Other Bond TM",ModelParameters!$N$21,1)*(P3146*Q3146+R3146),1))</f>
        <v>0.15158409205113218</v>
      </c>
      <c r="T3146" s="85">
        <f>IF(B3146="",0,$S3146*$K3146)</f>
        <v>664.40746889854952</v>
      </c>
      <c r="U3146" s="85">
        <f>IF(B3146="",0,IF(OR(H3146=MappingTables!$C$34,H3146=MappingTables!$C$35),T3146,0))</f>
        <v>0</v>
      </c>
      <c r="V3146" s="85">
        <f>IF(ISNA(IF(AND(VLOOKUP(CONCATENATE($D3146,$G3146),CSRFinput!$B:$E,4,0)=0,OR(H3146=MappingTables!$C$34,H3146=MappingTables!$C$35)),1,VLOOKUP(CONCATENATE($D3146,$G3146),CSRFinput!$B:$E,4,0))),0,IF(AND(VLOOKUP(CONCATENATE($D3146,$G3146),CSRFinput!$B:$E,4,0)=0,OR(H3146=MappingTables!$C$34,H3146=MappingTables!$C$35)),1,VLOOKUP(CONCATENATE($D3146,$G3146),CSRFinput!$B:$E,4,0)))</f>
        <v>0.054776304963434752</v>
      </c>
      <c r="W3146" s="85">
        <f>IF(B3146="",0,+$T3146*$V3146)</f>
        <v>36.393786136370736</v>
      </c>
      <c r="X3146" s="85">
        <f>IF(B3146="",0,IF(OR(H3146=MappingTables!$C$34,H3146=MappingTables!$C$35),W3146,0))</f>
        <v>0</v>
      </c>
    </row>
    <row r="3147" spans="2:24" s="0" customFormat="0" ht="15">
      <c r="B3147" s="69" t="s">
        <v>2159</v>
      </c>
      <c r="C3147" s="70" t="s">
        <v>2160</v>
      </c>
      <c r="D3147" s="70" t="s">
        <v>1</v>
      </c>
      <c r="E3147" s="70" t="s">
        <v>1</v>
      </c>
      <c r="F3147" s="70"/>
      <c r="G3147" s="70" t="s">
        <v>61</v>
      </c>
      <c r="H3147" s="70" t="s">
        <v>178</v>
      </c>
      <c r="I3147" s="70" t="s">
        <v>179</v>
      </c>
      <c r="J3147" s="71">
        <f>IF(OR(I3147=0,I3147=""),"unrated",VLOOKUP(I3147,MappingTables!$B$19:$C$31,2,FALSE))</f>
        <v>4</v>
      </c>
      <c r="K3147" s="72">
        <v>10160.148446542726</v>
      </c>
      <c r="L3147" s="70">
        <v>3.6606570555519128</v>
      </c>
      <c r="M3147" s="71">
        <f>IF(L3147&lt;1,1,L3147)</f>
        <v>3.6606570555519128</v>
      </c>
      <c r="N3147" s="70" t="s">
        <v>141</v>
      </c>
      <c r="O3147" s="71">
        <f>INDEX(DurClassMapping,MATCH(M3147,MappingTables!$D$4:$D$8,-1),1)</f>
        <v>1</v>
      </c>
      <c r="P3147" s="73">
        <f>IF(M3147=$A$1,1,$M3147-INDEX(MappingTables!$E$4:$E$8,MATCH(O3147,MappingTables!$B$4:$B$8,0)))</f>
        <v>3.6606570555519128</v>
      </c>
      <c r="Q3147" s="71">
        <f>IF(B3147="",0,INDEX(ModelParameters!$D$6:$K$10,MATCH($O3147,ModelParameters!$B$6:$B$10,0),MATCH($J3147,ModelParameters!$D$5:$K$5,0)))</f>
        <v>0.045</v>
      </c>
      <c r="R3147" s="71">
        <f>IF(B3147="",0,INDEX(ModelParameters!$D$13:$K$17,MATCH($O3147,ModelParameters!$B$13:$B$17,0),MATCH($J3147,ModelParameters!$D$5:$K$5,0)))</f>
        <v>0</v>
      </c>
      <c r="S3147" s="160">
        <f>IF(B3147="",0,MIN(IF($N3147="Other Bond TM",ModelParameters!$N$21,1)*(P3147*Q3147+R3147),1))</f>
        <v>0.16472956749983608</v>
      </c>
      <c r="T3147" s="85">
        <f>IF(B3147="",0,$S3147*$K3147)</f>
        <v>1673.6768593331146</v>
      </c>
      <c r="U3147" s="85">
        <f>IF(B3147="",0,IF(OR(H3147=MappingTables!$C$34,H3147=MappingTables!$C$35),T3147,0))</f>
        <v>0</v>
      </c>
      <c r="V3147" s="85">
        <f>IF(ISNA(IF(AND(VLOOKUP(CONCATENATE($D3147,$G3147),CSRFinput!$B:$E,4,0)=0,OR(H3147=MappingTables!$C$34,H3147=MappingTables!$C$35)),1,VLOOKUP(CONCATENATE($D3147,$G3147),CSRFinput!$B:$E,4,0))),0,IF(AND(VLOOKUP(CONCATENATE($D3147,$G3147),CSRFinput!$B:$E,4,0)=0,OR(H3147=MappingTables!$C$34,H3147=MappingTables!$C$35)),1,VLOOKUP(CONCATENATE($D3147,$G3147),CSRFinput!$B:$E,4,0)))</f>
        <v>0.054776304963434752</v>
      </c>
      <c r="W3147" s="85">
        <f>IF(B3147="",0,+$T3147*$V3147)</f>
        <v>91.677834057074384</v>
      </c>
      <c r="X3147" s="85">
        <f>IF(B3147="",0,IF(OR(H3147=MappingTables!$C$34,H3147=MappingTables!$C$35),W3147,0))</f>
        <v>0</v>
      </c>
    </row>
    <row r="3148" spans="2:24" s="0" customFormat="0" ht="15">
      <c r="B3148" s="69">
        <v>17236825</v>
      </c>
      <c r="C3148" s="70" t="s">
        <v>1882</v>
      </c>
      <c r="D3148" s="70" t="s">
        <v>1</v>
      </c>
      <c r="E3148" s="70" t="s">
        <v>1</v>
      </c>
      <c r="F3148" s="70"/>
      <c r="G3148" s="70" t="s">
        <v>61</v>
      </c>
      <c r="H3148" s="70" t="s">
        <v>178</v>
      </c>
      <c r="I3148" s="70" t="s">
        <v>181</v>
      </c>
      <c r="J3148" s="71">
        <f>IF(OR(I3148=0,I3148=""),"unrated",VLOOKUP(I3148,MappingTables!$B$19:$C$31,2,FALSE))</f>
        <v>3</v>
      </c>
      <c r="K3148" s="72">
        <v>7850.027125231648</v>
      </c>
      <c r="L3148" s="70">
        <v>3.9916119161075624</v>
      </c>
      <c r="M3148" s="71">
        <f>IF(L3148&lt;1,1,L3148)</f>
        <v>3.9916119161075624</v>
      </c>
      <c r="N3148" s="70" t="s">
        <v>141</v>
      </c>
      <c r="O3148" s="71">
        <f>INDEX(DurClassMapping,MATCH(M3148,MappingTables!$D$4:$D$8,-1),1)</f>
        <v>1</v>
      </c>
      <c r="P3148" s="73">
        <f>IF(M3148=$A$1,1,$M3148-INDEX(MappingTables!$E$4:$E$8,MATCH(O3148,MappingTables!$B$4:$B$8,0)))</f>
        <v>3.9916119161075624</v>
      </c>
      <c r="Q3148" s="71">
        <f>IF(B3148="",0,INDEX(ModelParameters!$D$6:$K$10,MATCH($O3148,ModelParameters!$B$6:$B$10,0),MATCH($J3148,ModelParameters!$D$5:$K$5,0)))</f>
        <v>0.025</v>
      </c>
      <c r="R3148" s="71">
        <f>IF(B3148="",0,INDEX(ModelParameters!$D$13:$K$17,MATCH($O3148,ModelParameters!$B$13:$B$17,0),MATCH($J3148,ModelParameters!$D$5:$K$5,0)))</f>
        <v>0</v>
      </c>
      <c r="S3148" s="160">
        <f>IF(B3148="",0,MIN(IF($N3148="Other Bond TM",ModelParameters!$N$21,1)*(P3148*Q3148+R3148),1))</f>
        <v>0.099790297902689056</v>
      </c>
      <c r="T3148" s="85">
        <f>IF(B3148="",0,$S3148*$K3148)</f>
        <v>783.356545371056</v>
      </c>
      <c r="U3148" s="85">
        <f>IF(B3148="",0,IF(OR(H3148=MappingTables!$C$34,H3148=MappingTables!$C$35),T3148,0))</f>
        <v>0</v>
      </c>
      <c r="V3148" s="85">
        <f>IF(ISNA(IF(AND(VLOOKUP(CONCATENATE($D3148,$G3148),CSRFinput!$B:$E,4,0)=0,OR(H3148=MappingTables!$C$34,H3148=MappingTables!$C$35)),1,VLOOKUP(CONCATENATE($D3148,$G3148),CSRFinput!$B:$E,4,0))),0,IF(AND(VLOOKUP(CONCATENATE($D3148,$G3148),CSRFinput!$B:$E,4,0)=0,OR(H3148=MappingTables!$C$34,H3148=MappingTables!$C$35)),1,VLOOKUP(CONCATENATE($D3148,$G3148),CSRFinput!$B:$E,4,0)))</f>
        <v>0.054776304963434752</v>
      </c>
      <c r="W3148" s="85">
        <f>IF(B3148="",0,+$T3148*$V3148)</f>
        <v>42.90937702434768</v>
      </c>
      <c r="X3148" s="85">
        <f>IF(B3148="",0,IF(OR(H3148=MappingTables!$C$34,H3148=MappingTables!$C$35),W3148,0))</f>
        <v>0</v>
      </c>
    </row>
    <row r="3149" spans="2:24" s="0" customFormat="0" ht="15">
      <c r="B3149" s="69" t="s">
        <v>2035</v>
      </c>
      <c r="C3149" s="70" t="s">
        <v>2036</v>
      </c>
      <c r="D3149" s="70" t="s">
        <v>1</v>
      </c>
      <c r="E3149" s="70" t="s">
        <v>1</v>
      </c>
      <c r="F3149" s="70"/>
      <c r="G3149" s="70" t="s">
        <v>61</v>
      </c>
      <c r="H3149" s="70" t="s">
        <v>178</v>
      </c>
      <c r="I3149" s="70" t="s">
        <v>188</v>
      </c>
      <c r="J3149" s="71">
        <f>IF(OR(I3149=0,I3149=""),"unrated",VLOOKUP(I3149,MappingTables!$B$19:$C$31,2,FALSE))</f>
        <v>2</v>
      </c>
      <c r="K3149" s="72">
        <v>530.10750032160856</v>
      </c>
      <c r="L3149" s="70">
        <v>4.3651283586620728</v>
      </c>
      <c r="M3149" s="71">
        <f>IF(L3149&lt;1,1,L3149)</f>
        <v>4.3651283586620728</v>
      </c>
      <c r="N3149" s="70" t="s">
        <v>141</v>
      </c>
      <c r="O3149" s="71">
        <f>INDEX(DurClassMapping,MATCH(M3149,MappingTables!$D$4:$D$8,-1),1)</f>
        <v>1</v>
      </c>
      <c r="P3149" s="73">
        <f>IF(M3149=$A$1,1,$M3149-INDEX(MappingTables!$E$4:$E$8,MATCH(O3149,MappingTables!$B$4:$B$8,0)))</f>
        <v>4.3651283586620728</v>
      </c>
      <c r="Q3149" s="71">
        <f>IF(B3149="",0,INDEX(ModelParameters!$D$6:$K$10,MATCH($O3149,ModelParameters!$B$6:$B$10,0),MATCH($J3149,ModelParameters!$D$5:$K$5,0)))</f>
        <v>0.013999999999999998</v>
      </c>
      <c r="R3149" s="71">
        <f>IF(B3149="",0,INDEX(ModelParameters!$D$13:$K$17,MATCH($O3149,ModelParameters!$B$13:$B$17,0),MATCH($J3149,ModelParameters!$D$5:$K$5,0)))</f>
        <v>0</v>
      </c>
      <c r="S3149" s="160">
        <f>IF(B3149="",0,MIN(IF($N3149="Other Bond TM",ModelParameters!$N$21,1)*(P3149*Q3149+R3149),1))</f>
        <v>0.061111797021269016</v>
      </c>
      <c r="T3149" s="85">
        <f>IF(B3149="",0,$S3149*$K3149)</f>
        <v>32.395821959106444</v>
      </c>
      <c r="U3149" s="85">
        <f>IF(B3149="",0,IF(OR(H3149=MappingTables!$C$34,H3149=MappingTables!$C$35),T3149,0))</f>
        <v>0</v>
      </c>
      <c r="V3149" s="85">
        <f>IF(ISNA(IF(AND(VLOOKUP(CONCATENATE($D3149,$G3149),CSRFinput!$B:$E,4,0)=0,OR(H3149=MappingTables!$C$34,H3149=MappingTables!$C$35)),1,VLOOKUP(CONCATENATE($D3149,$G3149),CSRFinput!$B:$E,4,0))),0,IF(AND(VLOOKUP(CONCATENATE($D3149,$G3149),CSRFinput!$B:$E,4,0)=0,OR(H3149=MappingTables!$C$34,H3149=MappingTables!$C$35)),1,VLOOKUP(CONCATENATE($D3149,$G3149),CSRFinput!$B:$E,4,0)))</f>
        <v>0.054776304963434752</v>
      </c>
      <c r="W3149" s="85">
        <f>IF(B3149="",0,+$T3149*$V3149)</f>
        <v>1.7745234231731508</v>
      </c>
      <c r="X3149" s="85">
        <f>IF(B3149="",0,IF(OR(H3149=MappingTables!$C$34,H3149=MappingTables!$C$35),W3149,0))</f>
        <v>0</v>
      </c>
    </row>
    <row r="3150" spans="2:24" s="0" customFormat="0" ht="15">
      <c r="B3150" s="69">
        <v>23207341</v>
      </c>
      <c r="C3150" s="70" t="s">
        <v>2495</v>
      </c>
      <c r="D3150" s="70" t="s">
        <v>1</v>
      </c>
      <c r="E3150" s="70" t="s">
        <v>1</v>
      </c>
      <c r="F3150" s="70"/>
      <c r="G3150" s="70" t="s">
        <v>61</v>
      </c>
      <c r="H3150" s="70" t="s">
        <v>178</v>
      </c>
      <c r="I3150" s="70" t="s">
        <v>188</v>
      </c>
      <c r="J3150" s="71">
        <f>IF(OR(I3150=0,I3150=""),"unrated",VLOOKUP(I3150,MappingTables!$B$19:$C$31,2,FALSE))</f>
        <v>2</v>
      </c>
      <c r="K3150" s="72">
        <v>933.83085662198464</v>
      </c>
      <c r="L3150" s="70">
        <v>2.4419979100904176</v>
      </c>
      <c r="M3150" s="71">
        <f>IF(L3150&lt;1,1,L3150)</f>
        <v>2.4419979100904176</v>
      </c>
      <c r="N3150" s="70" t="s">
        <v>141</v>
      </c>
      <c r="O3150" s="71">
        <f>INDEX(DurClassMapping,MATCH(M3150,MappingTables!$D$4:$D$8,-1),1)</f>
        <v>1</v>
      </c>
      <c r="P3150" s="73">
        <f>IF(M3150=$A$1,1,$M3150-INDEX(MappingTables!$E$4:$E$8,MATCH(O3150,MappingTables!$B$4:$B$8,0)))</f>
        <v>2.4419979100904176</v>
      </c>
      <c r="Q3150" s="71">
        <f>IF(B3150="",0,INDEX(ModelParameters!$D$6:$K$10,MATCH($O3150,ModelParameters!$B$6:$B$10,0),MATCH($J3150,ModelParameters!$D$5:$K$5,0)))</f>
        <v>0.013999999999999998</v>
      </c>
      <c r="R3150" s="71">
        <f>IF(B3150="",0,INDEX(ModelParameters!$D$13:$K$17,MATCH($O3150,ModelParameters!$B$13:$B$17,0),MATCH($J3150,ModelParameters!$D$5:$K$5,0)))</f>
        <v>0</v>
      </c>
      <c r="S3150" s="160">
        <f>IF(B3150="",0,MIN(IF($N3150="Other Bond TM",ModelParameters!$N$21,1)*(P3150*Q3150+R3150),1))</f>
        <v>0.03418797074126584</v>
      </c>
      <c r="T3150" s="85">
        <f>IF(B3150="",0,$S3150*$K3150)</f>
        <v>31.925782003483624</v>
      </c>
      <c r="U3150" s="85">
        <f>IF(B3150="",0,IF(OR(H3150=MappingTables!$C$34,H3150=MappingTables!$C$35),T3150,0))</f>
        <v>0</v>
      </c>
      <c r="V3150" s="85">
        <f>IF(ISNA(IF(AND(VLOOKUP(CONCATENATE($D3150,$G3150),CSRFinput!$B:$E,4,0)=0,OR(H3150=MappingTables!$C$34,H3150=MappingTables!$C$35)),1,VLOOKUP(CONCATENATE($D3150,$G3150),CSRFinput!$B:$E,4,0))),0,IF(AND(VLOOKUP(CONCATENATE($D3150,$G3150),CSRFinput!$B:$E,4,0)=0,OR(H3150=MappingTables!$C$34,H3150=MappingTables!$C$35)),1,VLOOKUP(CONCATENATE($D3150,$G3150),CSRFinput!$B:$E,4,0)))</f>
        <v>0.054776304963434752</v>
      </c>
      <c r="W3150" s="85">
        <f>IF(B3150="",0,+$T3150*$V3150)</f>
        <v>1.748776371218956</v>
      </c>
      <c r="X3150" s="85">
        <f>IF(B3150="",0,IF(OR(H3150=MappingTables!$C$34,H3150=MappingTables!$C$35),W3150,0))</f>
        <v>0</v>
      </c>
    </row>
    <row r="3151" spans="2:24" s="0" customFormat="0" ht="15">
      <c r="B3151" s="69">
        <v>13340381</v>
      </c>
      <c r="C3151" s="70" t="s">
        <v>2750</v>
      </c>
      <c r="D3151" s="70" t="s">
        <v>1</v>
      </c>
      <c r="E3151" s="70" t="s">
        <v>1</v>
      </c>
      <c r="F3151" s="70"/>
      <c r="G3151" s="70" t="s">
        <v>61</v>
      </c>
      <c r="H3151" s="70" t="s">
        <v>178</v>
      </c>
      <c r="I3151" s="70" t="s">
        <v>179</v>
      </c>
      <c r="J3151" s="71">
        <f>IF(OR(I3151=0,I3151=""),"unrated",VLOOKUP(I3151,MappingTables!$B$19:$C$31,2,FALSE))</f>
        <v>4</v>
      </c>
      <c r="K3151" s="72">
        <v>279.62206555209296</v>
      </c>
      <c r="L3151" s="70">
        <v>0.10959118699665004</v>
      </c>
      <c r="M3151" s="71">
        <f>IF(L3151&lt;1,1,L3151)</f>
        <v>1</v>
      </c>
      <c r="N3151" s="70" t="s">
        <v>141</v>
      </c>
      <c r="O3151" s="71">
        <f>INDEX(DurClassMapping,MATCH(M3151,MappingTables!$D$4:$D$8,-1),1)</f>
        <v>1</v>
      </c>
      <c r="P3151" s="73">
        <f>IF(M3151=$A$1,1,$M3151-INDEX(MappingTables!$E$4:$E$8,MATCH(O3151,MappingTables!$B$4:$B$8,0)))</f>
        <v>1</v>
      </c>
      <c r="Q3151" s="71">
        <f>IF(B3151="",0,INDEX(ModelParameters!$D$6:$K$10,MATCH($O3151,ModelParameters!$B$6:$B$10,0),MATCH($J3151,ModelParameters!$D$5:$K$5,0)))</f>
        <v>0.045</v>
      </c>
      <c r="R3151" s="71">
        <f>IF(B3151="",0,INDEX(ModelParameters!$D$13:$K$17,MATCH($O3151,ModelParameters!$B$13:$B$17,0),MATCH($J3151,ModelParameters!$D$5:$K$5,0)))</f>
        <v>0</v>
      </c>
      <c r="S3151" s="160">
        <f>IF(B3151="",0,MIN(IF($N3151="Other Bond TM",ModelParameters!$N$21,1)*(P3151*Q3151+R3151),1))</f>
        <v>0.045</v>
      </c>
      <c r="T3151" s="85">
        <f>IF(B3151="",0,$S3151*$K3151)</f>
        <v>12.582992949844182</v>
      </c>
      <c r="U3151" s="85">
        <f>IF(B3151="",0,IF(OR(H3151=MappingTables!$C$34,H3151=MappingTables!$C$35),T3151,0))</f>
        <v>0</v>
      </c>
      <c r="V3151" s="85">
        <f>IF(ISNA(IF(AND(VLOOKUP(CONCATENATE($D3151,$G3151),CSRFinput!$B:$E,4,0)=0,OR(H3151=MappingTables!$C$34,H3151=MappingTables!$C$35)),1,VLOOKUP(CONCATENATE($D3151,$G3151),CSRFinput!$B:$E,4,0))),0,IF(AND(VLOOKUP(CONCATENATE($D3151,$G3151),CSRFinput!$B:$E,4,0)=0,OR(H3151=MappingTables!$C$34,H3151=MappingTables!$C$35)),1,VLOOKUP(CONCATENATE($D3151,$G3151),CSRFinput!$B:$E,4,0)))</f>
        <v>0.054776304963434752</v>
      </c>
      <c r="W3151" s="85">
        <f>IF(B3151="",0,+$T3151*$V3151)</f>
        <v>0.6892498591734144</v>
      </c>
      <c r="X3151" s="85">
        <f>IF(B3151="",0,IF(OR(H3151=MappingTables!$C$34,H3151=MappingTables!$C$35),W3151,0))</f>
        <v>0</v>
      </c>
    </row>
    <row r="3152" spans="2:24" s="0" customFormat="0" ht="15">
      <c r="B3152" s="69">
        <v>17634082</v>
      </c>
      <c r="C3152" s="70" t="s">
        <v>2751</v>
      </c>
      <c r="D3152" s="70" t="s">
        <v>1</v>
      </c>
      <c r="E3152" s="70" t="s">
        <v>1</v>
      </c>
      <c r="F3152" s="70"/>
      <c r="G3152" s="70" t="s">
        <v>61</v>
      </c>
      <c r="H3152" s="70" t="s">
        <v>178</v>
      </c>
      <c r="I3152" s="70" t="s">
        <v>188</v>
      </c>
      <c r="J3152" s="71">
        <f>IF(OR(I3152=0,I3152=""),"unrated",VLOOKUP(I3152,MappingTables!$B$19:$C$31,2,FALSE))</f>
        <v>2</v>
      </c>
      <c r="K3152" s="72">
        <v>1035280.6854248046</v>
      </c>
      <c r="L3152" s="70">
        <v>6.2788516504243928</v>
      </c>
      <c r="M3152" s="71">
        <f>IF(L3152&lt;1,1,L3152)</f>
        <v>6.2788516504243928</v>
      </c>
      <c r="N3152" s="70" t="s">
        <v>141</v>
      </c>
      <c r="O3152" s="71">
        <f>INDEX(DurClassMapping,MATCH(M3152,MappingTables!$D$4:$D$8,-1),1)</f>
        <v>2</v>
      </c>
      <c r="P3152" s="73">
        <f>IF(M3152=$A$1,1,$M3152-INDEX(MappingTables!$E$4:$E$8,MATCH(O3152,MappingTables!$B$4:$B$8,0)))</f>
        <v>1.278851650424393</v>
      </c>
      <c r="Q3152" s="71">
        <f>IF(B3152="",0,INDEX(ModelParameters!$D$6:$K$10,MATCH($O3152,ModelParameters!$B$6:$B$10,0),MATCH($J3152,ModelParameters!$D$5:$K$5,0)))</f>
        <v>0.0069999999999999992</v>
      </c>
      <c r="R3152" s="71">
        <f>IF(B3152="",0,INDEX(ModelParameters!$D$13:$K$17,MATCH($O3152,ModelParameters!$B$13:$B$17,0),MATCH($J3152,ModelParameters!$D$5:$K$5,0)))</f>
        <v>0.070000000000000008</v>
      </c>
      <c r="S3152" s="160">
        <f>IF(B3152="",0,MIN(IF($N3152="Other Bond TM",ModelParameters!$N$21,1)*(P3152*Q3152+R3152),1))</f>
        <v>0.078951961552970752</v>
      </c>
      <c r="T3152" s="85">
        <f>IF(B3152="",0,$S3152*$K3152)</f>
        <v>81737.440872192384</v>
      </c>
      <c r="U3152" s="85">
        <f>IF(B3152="",0,IF(OR(H3152=MappingTables!$C$34,H3152=MappingTables!$C$35),T3152,0))</f>
        <v>0</v>
      </c>
      <c r="V3152" s="85">
        <f>IF(ISNA(IF(AND(VLOOKUP(CONCATENATE($D3152,$G3152),CSRFinput!$B:$E,4,0)=0,OR(H3152=MappingTables!$C$34,H3152=MappingTables!$C$35)),1,VLOOKUP(CONCATENATE($D3152,$G3152),CSRFinput!$B:$E,4,0))),0,IF(AND(VLOOKUP(CONCATENATE($D3152,$G3152),CSRFinput!$B:$E,4,0)=0,OR(H3152=MappingTables!$C$34,H3152=MappingTables!$C$35)),1,VLOOKUP(CONCATENATE($D3152,$G3152),CSRFinput!$B:$E,4,0)))</f>
        <v>0.054776304963434752</v>
      </c>
      <c r="W3152" s="85">
        <f>IF(B3152="",0,+$T3152*$V3152)</f>
        <v>4477.2749881459264</v>
      </c>
      <c r="X3152" s="85">
        <f>IF(B3152="",0,IF(OR(H3152=MappingTables!$C$34,H3152=MappingTables!$C$35),W3152,0))</f>
        <v>0</v>
      </c>
    </row>
    <row r="3153" spans="2:24" s="0" customFormat="0" ht="15">
      <c r="B3153" s="69">
        <v>22963703</v>
      </c>
      <c r="C3153" s="70" t="s">
        <v>2752</v>
      </c>
      <c r="D3153" s="70" t="s">
        <v>1</v>
      </c>
      <c r="E3153" s="70" t="s">
        <v>1</v>
      </c>
      <c r="F3153" s="70"/>
      <c r="G3153" s="70" t="s">
        <v>61</v>
      </c>
      <c r="H3153" s="70" t="s">
        <v>178</v>
      </c>
      <c r="I3153" s="70" t="s">
        <v>220</v>
      </c>
      <c r="J3153" s="71">
        <f>IF(OR(I3153=0,I3153=""),"unrated",VLOOKUP(I3153,MappingTables!$B$19:$C$31,2,FALSE))</f>
        <v>1</v>
      </c>
      <c r="K3153" s="72">
        <v>11.40788833807213</v>
      </c>
      <c r="L3153" s="70">
        <v>20.738364577234108</v>
      </c>
      <c r="M3153" s="71">
        <f>IF(L3153&lt;1,1,L3153)</f>
        <v>20.738364577234108</v>
      </c>
      <c r="N3153" s="70" t="s">
        <v>141</v>
      </c>
      <c r="O3153" s="71">
        <f>INDEX(DurClassMapping,MATCH(M3153,MappingTables!$D$4:$D$8,-1),1)</f>
        <v>5</v>
      </c>
      <c r="P3153" s="73">
        <f>IF(M3153=$A$1,1,$M3153-INDEX(MappingTables!$E$4:$E$8,MATCH(O3153,MappingTables!$B$4:$B$8,0)))</f>
        <v>0.73836457723410832</v>
      </c>
      <c r="Q3153" s="71">
        <f>IF(B3153="",0,INDEX(ModelParameters!$D$6:$K$10,MATCH($O3153,ModelParameters!$B$6:$B$10,0),MATCH($J3153,ModelParameters!$D$5:$K$5,0)))</f>
        <v>0.005</v>
      </c>
      <c r="R3153" s="71">
        <f>IF(B3153="",0,INDEX(ModelParameters!$D$13:$K$17,MATCH($O3153,ModelParameters!$B$13:$B$17,0),MATCH($J3153,ModelParameters!$D$5:$K$5,0)))</f>
        <v>0.135</v>
      </c>
      <c r="S3153" s="160">
        <f>IF(B3153="",0,MIN(IF($N3153="Other Bond TM",ModelParameters!$N$21,1)*(P3153*Q3153+R3153),1))</f>
        <v>0.13869182288617054</v>
      </c>
      <c r="T3153" s="85">
        <f>IF(B3153="",0,$S3153*$K3153)</f>
        <v>1.5821808288891104</v>
      </c>
      <c r="U3153" s="85">
        <f>IF(B3153="",0,IF(OR(H3153=MappingTables!$C$34,H3153=MappingTables!$C$35),T3153,0))</f>
        <v>0</v>
      </c>
      <c r="V3153" s="85">
        <f>IF(ISNA(IF(AND(VLOOKUP(CONCATENATE($D3153,$G3153),CSRFinput!$B:$E,4,0)=0,OR(H3153=MappingTables!$C$34,H3153=MappingTables!$C$35)),1,VLOOKUP(CONCATENATE($D3153,$G3153),CSRFinput!$B:$E,4,0))),0,IF(AND(VLOOKUP(CONCATENATE($D3153,$G3153),CSRFinput!$B:$E,4,0)=0,OR(H3153=MappingTables!$C$34,H3153=MappingTables!$C$35)),1,VLOOKUP(CONCATENATE($D3153,$G3153),CSRFinput!$B:$E,4,0)))</f>
        <v>0.054776304963434752</v>
      </c>
      <c r="W3153" s="85">
        <f>IF(B3153="",0,+$T3153*$V3153)</f>
        <v>0.086666019590529888</v>
      </c>
      <c r="X3153" s="85">
        <f>IF(B3153="",0,IF(OR(H3153=MappingTables!$C$34,H3153=MappingTables!$C$35),W3153,0))</f>
        <v>0</v>
      </c>
    </row>
    <row r="3154" spans="2:24" s="0" customFormat="0" ht="15">
      <c r="B3154" s="69">
        <v>22266463</v>
      </c>
      <c r="C3154" s="70" t="s">
        <v>2753</v>
      </c>
      <c r="D3154" s="70" t="s">
        <v>1</v>
      </c>
      <c r="E3154" s="70" t="s">
        <v>1</v>
      </c>
      <c r="F3154" s="70"/>
      <c r="G3154" s="70" t="s">
        <v>61</v>
      </c>
      <c r="H3154" s="70" t="s">
        <v>178</v>
      </c>
      <c r="I3154" s="70" t="s">
        <v>181</v>
      </c>
      <c r="J3154" s="71">
        <f>IF(OR(I3154=0,I3154=""),"unrated",VLOOKUP(I3154,MappingTables!$B$19:$C$31,2,FALSE))</f>
        <v>3</v>
      </c>
      <c r="K3154" s="72">
        <v>559.38645530413488</v>
      </c>
      <c r="L3154" s="70">
        <v>8.311153582746272</v>
      </c>
      <c r="M3154" s="71">
        <f>IF(L3154&lt;1,1,L3154)</f>
        <v>8.311153582746272</v>
      </c>
      <c r="N3154" s="70" t="s">
        <v>141</v>
      </c>
      <c r="O3154" s="71">
        <f>INDEX(DurClassMapping,MATCH(M3154,MappingTables!$D$4:$D$8,-1),1)</f>
        <v>2</v>
      </c>
      <c r="P3154" s="73">
        <f>IF(M3154=$A$1,1,$M3154-INDEX(MappingTables!$E$4:$E$8,MATCH(O3154,MappingTables!$B$4:$B$8,0)))</f>
        <v>3.3111535827462716</v>
      </c>
      <c r="Q3154" s="71">
        <f>IF(B3154="",0,INDEX(ModelParameters!$D$6:$K$10,MATCH($O3154,ModelParameters!$B$6:$B$10,0),MATCH($J3154,ModelParameters!$D$5:$K$5,0)))</f>
        <v>0.015</v>
      </c>
      <c r="R3154" s="71">
        <f>IF(B3154="",0,INDEX(ModelParameters!$D$13:$K$17,MATCH($O3154,ModelParameters!$B$13:$B$17,0),MATCH($J3154,ModelParameters!$D$5:$K$5,0)))</f>
        <v>0.125</v>
      </c>
      <c r="S3154" s="160">
        <f>IF(B3154="",0,MIN(IF($N3154="Other Bond TM",ModelParameters!$N$21,1)*(P3154*Q3154+R3154),1))</f>
        <v>0.17466730374119408</v>
      </c>
      <c r="T3154" s="85">
        <f>IF(B3154="",0,$S3154*$K3154)</f>
        <v>97.706523897317216</v>
      </c>
      <c r="U3154" s="85">
        <f>IF(B3154="",0,IF(OR(H3154=MappingTables!$C$34,H3154=MappingTables!$C$35),T3154,0))</f>
        <v>0</v>
      </c>
      <c r="V3154" s="85">
        <f>IF(ISNA(IF(AND(VLOOKUP(CONCATENATE($D3154,$G3154),CSRFinput!$B:$E,4,0)=0,OR(H3154=MappingTables!$C$34,H3154=MappingTables!$C$35)),1,VLOOKUP(CONCATENATE($D3154,$G3154),CSRFinput!$B:$E,4,0))),0,IF(AND(VLOOKUP(CONCATENATE($D3154,$G3154),CSRFinput!$B:$E,4,0)=0,OR(H3154=MappingTables!$C$34,H3154=MappingTables!$C$35)),1,VLOOKUP(CONCATENATE($D3154,$G3154),CSRFinput!$B:$E,4,0)))</f>
        <v>0.054776304963434752</v>
      </c>
      <c r="W3154" s="85">
        <f>IF(B3154="",0,+$T3154*$V3154)</f>
        <v>5.3520023499165728</v>
      </c>
      <c r="X3154" s="85">
        <f>IF(B3154="",0,IF(OR(H3154=MappingTables!$C$34,H3154=MappingTables!$C$35),W3154,0))</f>
        <v>0</v>
      </c>
    </row>
    <row r="3155" spans="2:24" s="0" customFormat="0" ht="15">
      <c r="B3155" s="69" t="s">
        <v>1996</v>
      </c>
      <c r="C3155" s="70" t="s">
        <v>1997</v>
      </c>
      <c r="D3155" s="70" t="s">
        <v>1</v>
      </c>
      <c r="E3155" s="70" t="s">
        <v>1</v>
      </c>
      <c r="F3155" s="70"/>
      <c r="G3155" s="70" t="s">
        <v>61</v>
      </c>
      <c r="H3155" s="70" t="s">
        <v>178</v>
      </c>
      <c r="I3155" s="70" t="s">
        <v>198</v>
      </c>
      <c r="J3155" s="71" t="str">
        <f>IF(OR(I3155=0,I3155=""),"unrated",VLOOKUP(I3155,MappingTables!$B$19:$C$31,2,FALSE))</f>
        <v>unrated</v>
      </c>
      <c r="K3155" s="72">
        <v>589.87170720753376</v>
      </c>
      <c r="L3155" s="70">
        <v>4.1162732345115064</v>
      </c>
      <c r="M3155" s="71">
        <f>IF(L3155&lt;1,1,L3155)</f>
        <v>4.1162732345115064</v>
      </c>
      <c r="N3155" s="70" t="s">
        <v>141</v>
      </c>
      <c r="O3155" s="71">
        <f>INDEX(DurClassMapping,MATCH(M3155,MappingTables!$D$4:$D$8,-1),1)</f>
        <v>1</v>
      </c>
      <c r="P3155" s="73">
        <f>IF(M3155=$A$1,1,$M3155-INDEX(MappingTables!$E$4:$E$8,MATCH(O3155,MappingTables!$B$4:$B$8,0)))</f>
        <v>4.1162732345115064</v>
      </c>
      <c r="Q3155" s="71">
        <f>IF(B3155="",0,INDEX(ModelParameters!$D$6:$K$10,MATCH($O3155,ModelParameters!$B$6:$B$10,0),MATCH($J3155,ModelParameters!$D$5:$K$5,0)))</f>
        <v>0.03</v>
      </c>
      <c r="R3155" s="71">
        <f>IF(B3155="",0,INDEX(ModelParameters!$D$13:$K$17,MATCH($O3155,ModelParameters!$B$13:$B$17,0),MATCH($J3155,ModelParameters!$D$5:$K$5,0)))</f>
        <v>0</v>
      </c>
      <c r="S3155" s="160">
        <f>IF(B3155="",0,MIN(IF($N3155="Other Bond TM",ModelParameters!$N$21,1)*(P3155*Q3155+R3155),1))</f>
        <v>0.1234881970353452</v>
      </c>
      <c r="T3155" s="85">
        <f>IF(B3155="",0,$S3155*$K3155)</f>
        <v>72.842193605219376</v>
      </c>
      <c r="U3155" s="85">
        <f>IF(B3155="",0,IF(OR(H3155=MappingTables!$C$34,H3155=MappingTables!$C$35),T3155,0))</f>
        <v>0</v>
      </c>
      <c r="V3155" s="85">
        <f>IF(ISNA(IF(AND(VLOOKUP(CONCATENATE($D3155,$G3155),CSRFinput!$B:$E,4,0)=0,OR(H3155=MappingTables!$C$34,H3155=MappingTables!$C$35)),1,VLOOKUP(CONCATENATE($D3155,$G3155),CSRFinput!$B:$E,4,0))),0,IF(AND(VLOOKUP(CONCATENATE($D3155,$G3155),CSRFinput!$B:$E,4,0)=0,OR(H3155=MappingTables!$C$34,H3155=MappingTables!$C$35)),1,VLOOKUP(CONCATENATE($D3155,$G3155),CSRFinput!$B:$E,4,0)))</f>
        <v>0.054776304963434752</v>
      </c>
      <c r="W3155" s="85">
        <f>IF(B3155="",0,+$T3155*$V3155)</f>
        <v>3.9900262111250536</v>
      </c>
      <c r="X3155" s="85">
        <f>IF(B3155="",0,IF(OR(H3155=MappingTables!$C$34,H3155=MappingTables!$C$35),W3155,0))</f>
        <v>0</v>
      </c>
    </row>
    <row r="3156" spans="2:24" s="0" customFormat="0" ht="15">
      <c r="B3156" s="69">
        <v>22259428</v>
      </c>
      <c r="C3156" s="70" t="s">
        <v>2231</v>
      </c>
      <c r="D3156" s="70" t="s">
        <v>1</v>
      </c>
      <c r="E3156" s="70" t="s">
        <v>1</v>
      </c>
      <c r="F3156" s="70"/>
      <c r="G3156" s="70" t="s">
        <v>61</v>
      </c>
      <c r="H3156" s="70" t="s">
        <v>178</v>
      </c>
      <c r="I3156" s="70" t="s">
        <v>179</v>
      </c>
      <c r="J3156" s="71">
        <f>IF(OR(I3156=0,I3156=""),"unrated",VLOOKUP(I3156,MappingTables!$B$19:$C$31,2,FALSE))</f>
        <v>4</v>
      </c>
      <c r="K3156" s="72">
        <v>696.28256351597336</v>
      </c>
      <c r="L3156" s="70">
        <v>5.3141312581339584</v>
      </c>
      <c r="M3156" s="71">
        <f>IF(L3156&lt;1,1,L3156)</f>
        <v>5.3141312581339584</v>
      </c>
      <c r="N3156" s="70" t="s">
        <v>141</v>
      </c>
      <c r="O3156" s="71">
        <f>INDEX(DurClassMapping,MATCH(M3156,MappingTables!$D$4:$D$8,-1),1)</f>
        <v>2</v>
      </c>
      <c r="P3156" s="73">
        <f>IF(M3156=$A$1,1,$M3156-INDEX(MappingTables!$E$4:$E$8,MATCH(O3156,MappingTables!$B$4:$B$8,0)))</f>
        <v>0.31413125813395836</v>
      </c>
      <c r="Q3156" s="71">
        <f>IF(B3156="",0,INDEX(ModelParameters!$D$6:$K$10,MATCH($O3156,ModelParameters!$B$6:$B$10,0),MATCH($J3156,ModelParameters!$D$5:$K$5,0)))</f>
        <v>0.025</v>
      </c>
      <c r="R3156" s="71">
        <f>IF(B3156="",0,INDEX(ModelParameters!$D$13:$K$17,MATCH($O3156,ModelParameters!$B$13:$B$17,0),MATCH($J3156,ModelParameters!$D$5:$K$5,0)))</f>
        <v>0.225</v>
      </c>
      <c r="S3156" s="160">
        <f>IF(B3156="",0,MIN(IF($N3156="Other Bond TM",ModelParameters!$N$21,1)*(P3156*Q3156+R3156),1))</f>
        <v>0.23285328145334896</v>
      </c>
      <c r="T3156" s="85">
        <f>IF(B3156="",0,$S3156*$K3156)</f>
        <v>162.13167973344428</v>
      </c>
      <c r="U3156" s="85">
        <f>IF(B3156="",0,IF(OR(H3156=MappingTables!$C$34,H3156=MappingTables!$C$35),T3156,0))</f>
        <v>0</v>
      </c>
      <c r="V3156" s="85">
        <f>IF(ISNA(IF(AND(VLOOKUP(CONCATENATE($D3156,$G3156),CSRFinput!$B:$E,4,0)=0,OR(H3156=MappingTables!$C$34,H3156=MappingTables!$C$35)),1,VLOOKUP(CONCATENATE($D3156,$G3156),CSRFinput!$B:$E,4,0))),0,IF(AND(VLOOKUP(CONCATENATE($D3156,$G3156),CSRFinput!$B:$E,4,0)=0,OR(H3156=MappingTables!$C$34,H3156=MappingTables!$C$35)),1,VLOOKUP(CONCATENATE($D3156,$G3156),CSRFinput!$B:$E,4,0)))</f>
        <v>0.054776304963434752</v>
      </c>
      <c r="W3156" s="85">
        <f>IF(B3156="",0,+$T3156*$V3156)</f>
        <v>8.8809743333130784</v>
      </c>
      <c r="X3156" s="85">
        <f>IF(B3156="",0,IF(OR(H3156=MappingTables!$C$34,H3156=MappingTables!$C$35),W3156,0))</f>
        <v>0</v>
      </c>
    </row>
    <row r="3157" spans="2:24" s="0" customFormat="0" ht="15">
      <c r="B3157" s="69">
        <v>6292911</v>
      </c>
      <c r="C3157" s="70" t="s">
        <v>2754</v>
      </c>
      <c r="D3157" s="70" t="s">
        <v>1</v>
      </c>
      <c r="E3157" s="70" t="s">
        <v>1</v>
      </c>
      <c r="F3157" s="70"/>
      <c r="G3157" s="70" t="s">
        <v>61</v>
      </c>
      <c r="H3157" s="70" t="s">
        <v>178</v>
      </c>
      <c r="I3157" s="70" t="s">
        <v>181</v>
      </c>
      <c r="J3157" s="71">
        <f>IF(OR(I3157=0,I3157=""),"unrated",VLOOKUP(I3157,MappingTables!$B$19:$C$31,2,FALSE))</f>
        <v>3</v>
      </c>
      <c r="K3157" s="72">
        <v>223.13194803030528</v>
      </c>
      <c r="L3157" s="70">
        <v>1.8535279904026048</v>
      </c>
      <c r="M3157" s="71">
        <f>IF(L3157&lt;1,1,L3157)</f>
        <v>1.8535279904026048</v>
      </c>
      <c r="N3157" s="70" t="s">
        <v>141</v>
      </c>
      <c r="O3157" s="71">
        <f>INDEX(DurClassMapping,MATCH(M3157,MappingTables!$D$4:$D$8,-1),1)</f>
        <v>1</v>
      </c>
      <c r="P3157" s="73">
        <f>IF(M3157=$A$1,1,$M3157-INDEX(MappingTables!$E$4:$E$8,MATCH(O3157,MappingTables!$B$4:$B$8,0)))</f>
        <v>1.8535279904026048</v>
      </c>
      <c r="Q3157" s="71">
        <f>IF(B3157="",0,INDEX(ModelParameters!$D$6:$K$10,MATCH($O3157,ModelParameters!$B$6:$B$10,0),MATCH($J3157,ModelParameters!$D$5:$K$5,0)))</f>
        <v>0.025</v>
      </c>
      <c r="R3157" s="71">
        <f>IF(B3157="",0,INDEX(ModelParameters!$D$13:$K$17,MATCH($O3157,ModelParameters!$B$13:$B$17,0),MATCH($J3157,ModelParameters!$D$5:$K$5,0)))</f>
        <v>0</v>
      </c>
      <c r="S3157" s="160">
        <f>IF(B3157="",0,MIN(IF($N3157="Other Bond TM",ModelParameters!$N$21,1)*(P3157*Q3157+R3157),1))</f>
        <v>0.04633819976006512</v>
      </c>
      <c r="T3157" s="85">
        <f>IF(B3157="",0,$S3157*$K3157)</f>
        <v>10.339532780680756</v>
      </c>
      <c r="U3157" s="85">
        <f>IF(B3157="",0,IF(OR(H3157=MappingTables!$C$34,H3157=MappingTables!$C$35),T3157,0))</f>
        <v>0</v>
      </c>
      <c r="V3157" s="85">
        <f>IF(ISNA(IF(AND(VLOOKUP(CONCATENATE($D3157,$G3157),CSRFinput!$B:$E,4,0)=0,OR(H3157=MappingTables!$C$34,H3157=MappingTables!$C$35)),1,VLOOKUP(CONCATENATE($D3157,$G3157),CSRFinput!$B:$E,4,0))),0,IF(AND(VLOOKUP(CONCATENATE($D3157,$G3157),CSRFinput!$B:$E,4,0)=0,OR(H3157=MappingTables!$C$34,H3157=MappingTables!$C$35)),1,VLOOKUP(CONCATENATE($D3157,$G3157),CSRFinput!$B:$E,4,0)))</f>
        <v>0.054776304963434752</v>
      </c>
      <c r="W3157" s="85">
        <f>IF(B3157="",0,+$T3157*$V3157)</f>
        <v>0.56636140077399968</v>
      </c>
      <c r="X3157" s="85">
        <f>IF(B3157="",0,IF(OR(H3157=MappingTables!$C$34,H3157=MappingTables!$C$35),W3157,0))</f>
        <v>0</v>
      </c>
    </row>
    <row r="3158" spans="2:24" s="0" customFormat="0" ht="15">
      <c r="B3158" s="69">
        <v>21127133</v>
      </c>
      <c r="C3158" s="70" t="s">
        <v>2755</v>
      </c>
      <c r="D3158" s="70" t="s">
        <v>1</v>
      </c>
      <c r="E3158" s="70" t="s">
        <v>1</v>
      </c>
      <c r="F3158" s="70"/>
      <c r="G3158" s="70" t="s">
        <v>61</v>
      </c>
      <c r="H3158" s="70" t="s">
        <v>178</v>
      </c>
      <c r="I3158" s="70" t="s">
        <v>198</v>
      </c>
      <c r="J3158" s="71" t="str">
        <f>IF(OR(I3158=0,I3158=""),"unrated",VLOOKUP(I3158,MappingTables!$B$19:$C$31,2,FALSE))</f>
        <v>unrated</v>
      </c>
      <c r="K3158" s="72">
        <v>185.1424023455558</v>
      </c>
      <c r="L3158" s="70">
        <v>7.4200057196687424</v>
      </c>
      <c r="M3158" s="71">
        <f>IF(L3158&lt;1,1,L3158)</f>
        <v>7.4200057196687424</v>
      </c>
      <c r="N3158" s="70" t="s">
        <v>141</v>
      </c>
      <c r="O3158" s="71">
        <f>INDEX(DurClassMapping,MATCH(M3158,MappingTables!$D$4:$D$8,-1),1)</f>
        <v>2</v>
      </c>
      <c r="P3158" s="73">
        <f>IF(M3158=$A$1,1,$M3158-INDEX(MappingTables!$E$4:$E$8,MATCH(O3158,MappingTables!$B$4:$B$8,0)))</f>
        <v>2.420005719668742</v>
      </c>
      <c r="Q3158" s="71">
        <f>IF(B3158="",0,INDEX(ModelParameters!$D$6:$K$10,MATCH($O3158,ModelParameters!$B$6:$B$10,0),MATCH($J3158,ModelParameters!$D$5:$K$5,0)))</f>
        <v>0.017000000000000002</v>
      </c>
      <c r="R3158" s="71">
        <f>IF(B3158="",0,INDEX(ModelParameters!$D$13:$K$17,MATCH($O3158,ModelParameters!$B$13:$B$17,0),MATCH($J3158,ModelParameters!$D$5:$K$5,0)))</f>
        <v>0.15</v>
      </c>
      <c r="S3158" s="160">
        <f>IF(B3158="",0,MIN(IF($N3158="Other Bond TM",ModelParameters!$N$21,1)*(P3158*Q3158+R3158),1))</f>
        <v>0.1911400972343686</v>
      </c>
      <c r="T3158" s="85">
        <f>IF(B3158="",0,$S3158*$K3158)</f>
        <v>35.388136786534132</v>
      </c>
      <c r="U3158" s="85">
        <f>IF(B3158="",0,IF(OR(H3158=MappingTables!$C$34,H3158=MappingTables!$C$35),T3158,0))</f>
        <v>0</v>
      </c>
      <c r="V3158" s="85">
        <f>IF(ISNA(IF(AND(VLOOKUP(CONCATENATE($D3158,$G3158),CSRFinput!$B:$E,4,0)=0,OR(H3158=MappingTables!$C$34,H3158=MappingTables!$C$35)),1,VLOOKUP(CONCATENATE($D3158,$G3158),CSRFinput!$B:$E,4,0))),0,IF(AND(VLOOKUP(CONCATENATE($D3158,$G3158),CSRFinput!$B:$E,4,0)=0,OR(H3158=MappingTables!$C$34,H3158=MappingTables!$C$35)),1,VLOOKUP(CONCATENATE($D3158,$G3158),CSRFinput!$B:$E,4,0)))</f>
        <v>0.054776304963434752</v>
      </c>
      <c r="W3158" s="85">
        <f>IF(B3158="",0,+$T3158*$V3158)</f>
        <v>1.9384313727069376</v>
      </c>
      <c r="X3158" s="85">
        <f>IF(B3158="",0,IF(OR(H3158=MappingTables!$C$34,H3158=MappingTables!$C$35),W3158,0))</f>
        <v>0</v>
      </c>
    </row>
    <row r="3159" spans="2:24" s="0" customFormat="0" ht="15">
      <c r="B3159" s="69">
        <v>19319314</v>
      </c>
      <c r="C3159" s="70" t="s">
        <v>2389</v>
      </c>
      <c r="D3159" s="70" t="s">
        <v>1</v>
      </c>
      <c r="E3159" s="70" t="s">
        <v>1</v>
      </c>
      <c r="F3159" s="70"/>
      <c r="G3159" s="70" t="s">
        <v>61</v>
      </c>
      <c r="H3159" s="70" t="s">
        <v>178</v>
      </c>
      <c r="I3159" s="70" t="s">
        <v>181</v>
      </c>
      <c r="J3159" s="71">
        <f>IF(OR(I3159=0,I3159=""),"unrated",VLOOKUP(I3159,MappingTables!$B$19:$C$31,2,FALSE))</f>
        <v>3</v>
      </c>
      <c r="K3159" s="72">
        <v>1224.48028685375</v>
      </c>
      <c r="L3159" s="70">
        <v>14.955208538595694</v>
      </c>
      <c r="M3159" s="71">
        <f>IF(L3159&lt;1,1,L3159)</f>
        <v>14.955208538595694</v>
      </c>
      <c r="N3159" s="70" t="s">
        <v>141</v>
      </c>
      <c r="O3159" s="71">
        <f>INDEX(DurClassMapping,MATCH(M3159,MappingTables!$D$4:$D$8,-1),1)</f>
        <v>3</v>
      </c>
      <c r="P3159" s="73">
        <f>IF(M3159=$A$1,1,$M3159-INDEX(MappingTables!$E$4:$E$8,MATCH(O3159,MappingTables!$B$4:$B$8,0)))</f>
        <v>4.9552085385956952</v>
      </c>
      <c r="Q3159" s="71">
        <f>IF(B3159="",0,INDEX(ModelParameters!$D$6:$K$10,MATCH($O3159,ModelParameters!$B$6:$B$10,0),MATCH($J3159,ModelParameters!$D$5:$K$5,0)))</f>
        <v>0.01</v>
      </c>
      <c r="R3159" s="71">
        <f>IF(B3159="",0,INDEX(ModelParameters!$D$13:$K$17,MATCH($O3159,ModelParameters!$B$13:$B$17,0),MATCH($J3159,ModelParameters!$D$5:$K$5,0)))</f>
        <v>0.2</v>
      </c>
      <c r="S3159" s="160">
        <f>IF(B3159="",0,MIN(IF($N3159="Other Bond TM",ModelParameters!$N$21,1)*(P3159*Q3159+R3159),1))</f>
        <v>0.24955208538595696</v>
      </c>
      <c r="T3159" s="85">
        <f>IF(B3159="",0,$S3159*$K3159)</f>
        <v>305.57160909834808</v>
      </c>
      <c r="U3159" s="85">
        <f>IF(B3159="",0,IF(OR(H3159=MappingTables!$C$34,H3159=MappingTables!$C$35),T3159,0))</f>
        <v>0</v>
      </c>
      <c r="V3159" s="85">
        <f>IF(ISNA(IF(AND(VLOOKUP(CONCATENATE($D3159,$G3159),CSRFinput!$B:$E,4,0)=0,OR(H3159=MappingTables!$C$34,H3159=MappingTables!$C$35)),1,VLOOKUP(CONCATENATE($D3159,$G3159),CSRFinput!$B:$E,4,0))),0,IF(AND(VLOOKUP(CONCATENATE($D3159,$G3159),CSRFinput!$B:$E,4,0)=0,OR(H3159=MappingTables!$C$34,H3159=MappingTables!$C$35)),1,VLOOKUP(CONCATENATE($D3159,$G3159),CSRFinput!$B:$E,4,0)))</f>
        <v>0.054776304963434752</v>
      </c>
      <c r="W3159" s="85">
        <f>IF(B3159="",0,+$T3159*$V3159)</f>
        <v>16.738083648138588</v>
      </c>
      <c r="X3159" s="85">
        <f>IF(B3159="",0,IF(OR(H3159=MappingTables!$C$34,H3159=MappingTables!$C$35),W3159,0))</f>
        <v>0</v>
      </c>
    </row>
    <row r="3160" spans="2:24" s="0" customFormat="0" ht="15">
      <c r="B3160" s="69">
        <v>14591485</v>
      </c>
      <c r="C3160" s="70" t="s">
        <v>2756</v>
      </c>
      <c r="D3160" s="70" t="s">
        <v>1</v>
      </c>
      <c r="E3160" s="70" t="s">
        <v>1</v>
      </c>
      <c r="F3160" s="70"/>
      <c r="G3160" s="70" t="s">
        <v>61</v>
      </c>
      <c r="H3160" s="70" t="s">
        <v>178</v>
      </c>
      <c r="I3160" s="70" t="s">
        <v>179</v>
      </c>
      <c r="J3160" s="71">
        <f>IF(OR(I3160=0,I3160=""),"unrated",VLOOKUP(I3160,MappingTables!$B$19:$C$31,2,FALSE))</f>
        <v>4</v>
      </c>
      <c r="K3160" s="72">
        <v>1202.7457852604268</v>
      </c>
      <c r="L3160" s="70">
        <v>1.5054639098996628</v>
      </c>
      <c r="M3160" s="71">
        <f>IF(L3160&lt;1,1,L3160)</f>
        <v>1.5054639098996628</v>
      </c>
      <c r="N3160" s="70" t="s">
        <v>141</v>
      </c>
      <c r="O3160" s="71">
        <f>INDEX(DurClassMapping,MATCH(M3160,MappingTables!$D$4:$D$8,-1),1)</f>
        <v>1</v>
      </c>
      <c r="P3160" s="73">
        <f>IF(M3160=$A$1,1,$M3160-INDEX(MappingTables!$E$4:$E$8,MATCH(O3160,MappingTables!$B$4:$B$8,0)))</f>
        <v>1.5054639098996628</v>
      </c>
      <c r="Q3160" s="71">
        <f>IF(B3160="",0,INDEX(ModelParameters!$D$6:$K$10,MATCH($O3160,ModelParameters!$B$6:$B$10,0),MATCH($J3160,ModelParameters!$D$5:$K$5,0)))</f>
        <v>0.045</v>
      </c>
      <c r="R3160" s="71">
        <f>IF(B3160="",0,INDEX(ModelParameters!$D$13:$K$17,MATCH($O3160,ModelParameters!$B$13:$B$17,0),MATCH($J3160,ModelParameters!$D$5:$K$5,0)))</f>
        <v>0</v>
      </c>
      <c r="S3160" s="160">
        <f>IF(B3160="",0,MIN(IF($N3160="Other Bond TM",ModelParameters!$N$21,1)*(P3160*Q3160+R3160),1))</f>
        <v>0.067745875945484824</v>
      </c>
      <c r="T3160" s="85">
        <f>IF(B3160="",0,$S3160*$K3160)</f>
        <v>81.4810667622076</v>
      </c>
      <c r="U3160" s="85">
        <f>IF(B3160="",0,IF(OR(H3160=MappingTables!$C$34,H3160=MappingTables!$C$35),T3160,0))</f>
        <v>0</v>
      </c>
      <c r="V3160" s="85">
        <f>IF(ISNA(IF(AND(VLOOKUP(CONCATENATE($D3160,$G3160),CSRFinput!$B:$E,4,0)=0,OR(H3160=MappingTables!$C$34,H3160=MappingTables!$C$35)),1,VLOOKUP(CONCATENATE($D3160,$G3160),CSRFinput!$B:$E,4,0))),0,IF(AND(VLOOKUP(CONCATENATE($D3160,$G3160),CSRFinput!$B:$E,4,0)=0,OR(H3160=MappingTables!$C$34,H3160=MappingTables!$C$35)),1,VLOOKUP(CONCATENATE($D3160,$G3160),CSRFinput!$B:$E,4,0)))</f>
        <v>0.054776304963434752</v>
      </c>
      <c r="W3160" s="85">
        <f>IF(B3160="",0,+$T3160*$V3160)</f>
        <v>4.4632317617126712</v>
      </c>
      <c r="X3160" s="85">
        <f>IF(B3160="",0,IF(OR(H3160=MappingTables!$C$34,H3160=MappingTables!$C$35),W3160,0))</f>
        <v>0</v>
      </c>
    </row>
    <row r="3161" spans="2:24" s="0" customFormat="0" ht="15">
      <c r="B3161" s="69">
        <v>17296039</v>
      </c>
      <c r="C3161" s="70" t="s">
        <v>2128</v>
      </c>
      <c r="D3161" s="70" t="s">
        <v>1</v>
      </c>
      <c r="E3161" s="70" t="s">
        <v>1</v>
      </c>
      <c r="F3161" s="70"/>
      <c r="G3161" s="70" t="s">
        <v>61</v>
      </c>
      <c r="H3161" s="70" t="s">
        <v>178</v>
      </c>
      <c r="I3161" s="70" t="s">
        <v>181</v>
      </c>
      <c r="J3161" s="71">
        <f>IF(OR(I3161=0,I3161=""),"unrated",VLOOKUP(I3161,MappingTables!$B$19:$C$31,2,FALSE))</f>
        <v>3</v>
      </c>
      <c r="K3161" s="72">
        <v>1928.78194650257</v>
      </c>
      <c r="L3161" s="70">
        <v>2.1699861217137096</v>
      </c>
      <c r="M3161" s="71">
        <f>IF(L3161&lt;1,1,L3161)</f>
        <v>2.1699861217137096</v>
      </c>
      <c r="N3161" s="70" t="s">
        <v>141</v>
      </c>
      <c r="O3161" s="71">
        <f>INDEX(DurClassMapping,MATCH(M3161,MappingTables!$D$4:$D$8,-1),1)</f>
        <v>1</v>
      </c>
      <c r="P3161" s="73">
        <f>IF(M3161=$A$1,1,$M3161-INDEX(MappingTables!$E$4:$E$8,MATCH(O3161,MappingTables!$B$4:$B$8,0)))</f>
        <v>2.1699861217137096</v>
      </c>
      <c r="Q3161" s="71">
        <f>IF(B3161="",0,INDEX(ModelParameters!$D$6:$K$10,MATCH($O3161,ModelParameters!$B$6:$B$10,0),MATCH($J3161,ModelParameters!$D$5:$K$5,0)))</f>
        <v>0.025</v>
      </c>
      <c r="R3161" s="71">
        <f>IF(B3161="",0,INDEX(ModelParameters!$D$13:$K$17,MATCH($O3161,ModelParameters!$B$13:$B$17,0),MATCH($J3161,ModelParameters!$D$5:$K$5,0)))</f>
        <v>0</v>
      </c>
      <c r="S3161" s="160">
        <f>IF(B3161="",0,MIN(IF($N3161="Other Bond TM",ModelParameters!$N$21,1)*(P3161*Q3161+R3161),1))</f>
        <v>0.054249653042842736</v>
      </c>
      <c r="T3161" s="85">
        <f>IF(B3161="",0,$S3161*$K3161)</f>
        <v>104.63575139306328</v>
      </c>
      <c r="U3161" s="85">
        <f>IF(B3161="",0,IF(OR(H3161=MappingTables!$C$34,H3161=MappingTables!$C$35),T3161,0))</f>
        <v>0</v>
      </c>
      <c r="V3161" s="85">
        <f>IF(ISNA(IF(AND(VLOOKUP(CONCATENATE($D3161,$G3161),CSRFinput!$B:$E,4,0)=0,OR(H3161=MappingTables!$C$34,H3161=MappingTables!$C$35)),1,VLOOKUP(CONCATENATE($D3161,$G3161),CSRFinput!$B:$E,4,0))),0,IF(AND(VLOOKUP(CONCATENATE($D3161,$G3161),CSRFinput!$B:$E,4,0)=0,OR(H3161=MappingTables!$C$34,H3161=MappingTables!$C$35)),1,VLOOKUP(CONCATENATE($D3161,$G3161),CSRFinput!$B:$E,4,0)))</f>
        <v>0.054776304963434752</v>
      </c>
      <c r="W3161" s="85">
        <f>IF(B3161="",0,+$T3161*$V3161)</f>
        <v>5.7315598283845776</v>
      </c>
      <c r="X3161" s="85">
        <f>IF(B3161="",0,IF(OR(H3161=MappingTables!$C$34,H3161=MappingTables!$C$35),W3161,0))</f>
        <v>0</v>
      </c>
    </row>
    <row r="3162" spans="2:24" s="0" customFormat="0" ht="15">
      <c r="B3162" s="69">
        <v>21230807</v>
      </c>
      <c r="C3162" s="70" t="s">
        <v>2757</v>
      </c>
      <c r="D3162" s="70" t="s">
        <v>1</v>
      </c>
      <c r="E3162" s="70" t="s">
        <v>1</v>
      </c>
      <c r="F3162" s="70"/>
      <c r="G3162" s="70" t="s">
        <v>61</v>
      </c>
      <c r="H3162" s="70" t="s">
        <v>178</v>
      </c>
      <c r="I3162" s="70" t="s">
        <v>198</v>
      </c>
      <c r="J3162" s="71" t="str">
        <f>IF(OR(I3162=0,I3162=""),"unrated",VLOOKUP(I3162,MappingTables!$B$19:$C$31,2,FALSE))</f>
        <v>unrated</v>
      </c>
      <c r="K3162" s="72">
        <v>43.742984298398664</v>
      </c>
      <c r="L3162" s="70">
        <v>3.9458469268163568</v>
      </c>
      <c r="M3162" s="71">
        <f>IF(L3162&lt;1,1,L3162)</f>
        <v>3.9458469268163568</v>
      </c>
      <c r="N3162" s="70" t="s">
        <v>141</v>
      </c>
      <c r="O3162" s="71">
        <f>INDEX(DurClassMapping,MATCH(M3162,MappingTables!$D$4:$D$8,-1),1)</f>
        <v>1</v>
      </c>
      <c r="P3162" s="73">
        <f>IF(M3162=$A$1,1,$M3162-INDEX(MappingTables!$E$4:$E$8,MATCH(O3162,MappingTables!$B$4:$B$8,0)))</f>
        <v>3.9458469268163568</v>
      </c>
      <c r="Q3162" s="71">
        <f>IF(B3162="",0,INDEX(ModelParameters!$D$6:$K$10,MATCH($O3162,ModelParameters!$B$6:$B$10,0),MATCH($J3162,ModelParameters!$D$5:$K$5,0)))</f>
        <v>0.03</v>
      </c>
      <c r="R3162" s="71">
        <f>IF(B3162="",0,INDEX(ModelParameters!$D$13:$K$17,MATCH($O3162,ModelParameters!$B$13:$B$17,0),MATCH($J3162,ModelParameters!$D$5:$K$5,0)))</f>
        <v>0</v>
      </c>
      <c r="S3162" s="160">
        <f>IF(B3162="",0,MIN(IF($N3162="Other Bond TM",ModelParameters!$N$21,1)*(P3162*Q3162+R3162),1))</f>
        <v>0.1183754078044907</v>
      </c>
      <c r="T3162" s="85">
        <f>IF(B3162="",0,$S3162*$K3162)</f>
        <v>5.1780936049083752</v>
      </c>
      <c r="U3162" s="85">
        <f>IF(B3162="",0,IF(OR(H3162=MappingTables!$C$34,H3162=MappingTables!$C$35),T3162,0))</f>
        <v>0</v>
      </c>
      <c r="V3162" s="85">
        <f>IF(ISNA(IF(AND(VLOOKUP(CONCATENATE($D3162,$G3162),CSRFinput!$B:$E,4,0)=0,OR(H3162=MappingTables!$C$34,H3162=MappingTables!$C$35)),1,VLOOKUP(CONCATENATE($D3162,$G3162),CSRFinput!$B:$E,4,0))),0,IF(AND(VLOOKUP(CONCATENATE($D3162,$G3162),CSRFinput!$B:$E,4,0)=0,OR(H3162=MappingTables!$C$34,H3162=MappingTables!$C$35)),1,VLOOKUP(CONCATENATE($D3162,$G3162),CSRFinput!$B:$E,4,0)))</f>
        <v>0.054776304963434752</v>
      </c>
      <c r="W3162" s="85">
        <f>IF(B3162="",0,+$T3162*$V3162)</f>
        <v>0.28363683443167244</v>
      </c>
      <c r="X3162" s="85">
        <f>IF(B3162="",0,IF(OR(H3162=MappingTables!$C$34,H3162=MappingTables!$C$35),W3162,0))</f>
        <v>0</v>
      </c>
    </row>
    <row r="3163" spans="2:24" s="0" customFormat="0" ht="15">
      <c r="B3163" s="69" t="s">
        <v>1641</v>
      </c>
      <c r="C3163" s="70" t="s">
        <v>1642</v>
      </c>
      <c r="D3163" s="70" t="s">
        <v>1</v>
      </c>
      <c r="E3163" s="70" t="s">
        <v>1</v>
      </c>
      <c r="F3163" s="70"/>
      <c r="G3163" s="70" t="s">
        <v>61</v>
      </c>
      <c r="H3163" s="70" t="s">
        <v>178</v>
      </c>
      <c r="I3163" s="70" t="s">
        <v>181</v>
      </c>
      <c r="J3163" s="71">
        <f>IF(OR(I3163=0,I3163=""),"unrated",VLOOKUP(I3163,MappingTables!$B$19:$C$31,2,FALSE))</f>
        <v>3</v>
      </c>
      <c r="K3163" s="72">
        <v>3765.264189374308</v>
      </c>
      <c r="L3163" s="70">
        <v>3.3133008548339328</v>
      </c>
      <c r="M3163" s="71">
        <f>IF(L3163&lt;1,1,L3163)</f>
        <v>3.3133008548339328</v>
      </c>
      <c r="N3163" s="70" t="s">
        <v>141</v>
      </c>
      <c r="O3163" s="71">
        <f>INDEX(DurClassMapping,MATCH(M3163,MappingTables!$D$4:$D$8,-1),1)</f>
        <v>1</v>
      </c>
      <c r="P3163" s="73">
        <f>IF(M3163=$A$1,1,$M3163-INDEX(MappingTables!$E$4:$E$8,MATCH(O3163,MappingTables!$B$4:$B$8,0)))</f>
        <v>3.3133008548339328</v>
      </c>
      <c r="Q3163" s="71">
        <f>IF(B3163="",0,INDEX(ModelParameters!$D$6:$K$10,MATCH($O3163,ModelParameters!$B$6:$B$10,0),MATCH($J3163,ModelParameters!$D$5:$K$5,0)))</f>
        <v>0.025</v>
      </c>
      <c r="R3163" s="71">
        <f>IF(B3163="",0,INDEX(ModelParameters!$D$13:$K$17,MATCH($O3163,ModelParameters!$B$13:$B$17,0),MATCH($J3163,ModelParameters!$D$5:$K$5,0)))</f>
        <v>0</v>
      </c>
      <c r="S3163" s="160">
        <f>IF(B3163="",0,MIN(IF($N3163="Other Bond TM",ModelParameters!$N$21,1)*(P3163*Q3163+R3163),1))</f>
        <v>0.082832521370848336</v>
      </c>
      <c r="T3163" s="85">
        <f>IF(B3163="",0,$S3163*$K3163)</f>
        <v>311.88632643323728</v>
      </c>
      <c r="U3163" s="85">
        <f>IF(B3163="",0,IF(OR(H3163=MappingTables!$C$34,H3163=MappingTables!$C$35),T3163,0))</f>
        <v>0</v>
      </c>
      <c r="V3163" s="85">
        <f>IF(ISNA(IF(AND(VLOOKUP(CONCATENATE($D3163,$G3163),CSRFinput!$B:$E,4,0)=0,OR(H3163=MappingTables!$C$34,H3163=MappingTables!$C$35)),1,VLOOKUP(CONCATENATE($D3163,$G3163),CSRFinput!$B:$E,4,0))),0,IF(AND(VLOOKUP(CONCATENATE($D3163,$G3163),CSRFinput!$B:$E,4,0)=0,OR(H3163=MappingTables!$C$34,H3163=MappingTables!$C$35)),1,VLOOKUP(CONCATENATE($D3163,$G3163),CSRFinput!$B:$E,4,0)))</f>
        <v>0.054776304963434752</v>
      </c>
      <c r="W3163" s="85">
        <f>IF(B3163="",0,+$T3163*$V3163)</f>
        <v>17.083980530632366</v>
      </c>
      <c r="X3163" s="85">
        <f>IF(B3163="",0,IF(OR(H3163=MappingTables!$C$34,H3163=MappingTables!$C$35),W3163,0))</f>
        <v>0</v>
      </c>
    </row>
    <row r="3164" spans="2:24" s="0" customFormat="0" ht="15">
      <c r="B3164" s="69">
        <v>21238959</v>
      </c>
      <c r="C3164" s="70" t="s">
        <v>772</v>
      </c>
      <c r="D3164" s="70" t="s">
        <v>1</v>
      </c>
      <c r="E3164" s="70" t="s">
        <v>1</v>
      </c>
      <c r="F3164" s="70"/>
      <c r="G3164" s="70" t="s">
        <v>61</v>
      </c>
      <c r="H3164" s="70" t="s">
        <v>178</v>
      </c>
      <c r="I3164" s="70" t="s">
        <v>184</v>
      </c>
      <c r="J3164" s="71">
        <f>IF(OR(I3164=0,I3164=""),"unrated",VLOOKUP(I3164,MappingTables!$B$19:$C$31,2,FALSE))</f>
        <v>5</v>
      </c>
      <c r="K3164" s="72">
        <v>14297.365147756062</v>
      </c>
      <c r="L3164" s="70">
        <v>0.97621438379118704</v>
      </c>
      <c r="M3164" s="71">
        <f>IF(L3164&lt;1,1,L3164)</f>
        <v>1</v>
      </c>
      <c r="N3164" s="70" t="s">
        <v>141</v>
      </c>
      <c r="O3164" s="71">
        <f>INDEX(DurClassMapping,MATCH(M3164,MappingTables!$D$4:$D$8,-1),1)</f>
        <v>1</v>
      </c>
      <c r="P3164" s="73">
        <f>IF(M3164=$A$1,1,$M3164-INDEX(MappingTables!$E$4:$E$8,MATCH(O3164,MappingTables!$B$4:$B$8,0)))</f>
        <v>1</v>
      </c>
      <c r="Q3164" s="71">
        <f>IF(B3164="",0,INDEX(ModelParameters!$D$6:$K$10,MATCH($O3164,ModelParameters!$B$6:$B$10,0),MATCH($J3164,ModelParameters!$D$5:$K$5,0)))</f>
        <v>0.075</v>
      </c>
      <c r="R3164" s="71">
        <f>IF(B3164="",0,INDEX(ModelParameters!$D$13:$K$17,MATCH($O3164,ModelParameters!$B$13:$B$17,0),MATCH($J3164,ModelParameters!$D$5:$K$5,0)))</f>
        <v>0</v>
      </c>
      <c r="S3164" s="160">
        <f>IF(B3164="",0,MIN(IF($N3164="Other Bond TM",ModelParameters!$N$21,1)*(P3164*Q3164+R3164),1))</f>
        <v>0.075</v>
      </c>
      <c r="T3164" s="85">
        <f>IF(B3164="",0,$S3164*$K3164)</f>
        <v>1072.3023860817046</v>
      </c>
      <c r="U3164" s="85">
        <f>IF(B3164="",0,IF(OR(H3164=MappingTables!$C$34,H3164=MappingTables!$C$35),T3164,0))</f>
        <v>0</v>
      </c>
      <c r="V3164" s="85">
        <f>IF(ISNA(IF(AND(VLOOKUP(CONCATENATE($D3164,$G3164),CSRFinput!$B:$E,4,0)=0,OR(H3164=MappingTables!$C$34,H3164=MappingTables!$C$35)),1,VLOOKUP(CONCATENATE($D3164,$G3164),CSRFinput!$B:$E,4,0))),0,IF(AND(VLOOKUP(CONCATENATE($D3164,$G3164),CSRFinput!$B:$E,4,0)=0,OR(H3164=MappingTables!$C$34,H3164=MappingTables!$C$35)),1,VLOOKUP(CONCATENATE($D3164,$G3164),CSRFinput!$B:$E,4,0)))</f>
        <v>0.054776304963434752</v>
      </c>
      <c r="W3164" s="85">
        <f>IF(B3164="",0,+$T3164*$V3164)</f>
        <v>58.7367625130302</v>
      </c>
      <c r="X3164" s="85">
        <f>IF(B3164="",0,IF(OR(H3164=MappingTables!$C$34,H3164=MappingTables!$C$35),W3164,0))</f>
        <v>0</v>
      </c>
    </row>
    <row r="3165" spans="2:24" s="0" customFormat="0" ht="15">
      <c r="B3165" s="69">
        <v>23207309</v>
      </c>
      <c r="C3165" s="70" t="s">
        <v>2381</v>
      </c>
      <c r="D3165" s="70" t="s">
        <v>1</v>
      </c>
      <c r="E3165" s="70" t="s">
        <v>1</v>
      </c>
      <c r="F3165" s="70"/>
      <c r="G3165" s="70" t="s">
        <v>61</v>
      </c>
      <c r="H3165" s="70" t="s">
        <v>178</v>
      </c>
      <c r="I3165" s="70" t="s">
        <v>179</v>
      </c>
      <c r="J3165" s="71">
        <f>IF(OR(I3165=0,I3165=""),"unrated",VLOOKUP(I3165,MappingTables!$B$19:$C$31,2,FALSE))</f>
        <v>4</v>
      </c>
      <c r="K3165" s="72">
        <v>52743.620399132408</v>
      </c>
      <c r="L3165" s="70">
        <v>1.3139096461894358</v>
      </c>
      <c r="M3165" s="71">
        <f>IF(L3165&lt;1,1,L3165)</f>
        <v>1.3139096461894358</v>
      </c>
      <c r="N3165" s="70" t="s">
        <v>141</v>
      </c>
      <c r="O3165" s="71">
        <f>INDEX(DurClassMapping,MATCH(M3165,MappingTables!$D$4:$D$8,-1),1)</f>
        <v>1</v>
      </c>
      <c r="P3165" s="73">
        <f>IF(M3165=$A$1,1,$M3165-INDEX(MappingTables!$E$4:$E$8,MATCH(O3165,MappingTables!$B$4:$B$8,0)))</f>
        <v>1.3139096461894358</v>
      </c>
      <c r="Q3165" s="71">
        <f>IF(B3165="",0,INDEX(ModelParameters!$D$6:$K$10,MATCH($O3165,ModelParameters!$B$6:$B$10,0),MATCH($J3165,ModelParameters!$D$5:$K$5,0)))</f>
        <v>0.045</v>
      </c>
      <c r="R3165" s="71">
        <f>IF(B3165="",0,INDEX(ModelParameters!$D$13:$K$17,MATCH($O3165,ModelParameters!$B$13:$B$17,0),MATCH($J3165,ModelParameters!$D$5:$K$5,0)))</f>
        <v>0</v>
      </c>
      <c r="S3165" s="160">
        <f>IF(B3165="",0,MIN(IF($N3165="Other Bond TM",ModelParameters!$N$21,1)*(P3165*Q3165+R3165),1))</f>
        <v>0.059125934078524608</v>
      </c>
      <c r="T3165" s="85">
        <f>IF(B3165="",0,$S3165*$K3165)</f>
        <v>3118.5158227818284</v>
      </c>
      <c r="U3165" s="85">
        <f>IF(B3165="",0,IF(OR(H3165=MappingTables!$C$34,H3165=MappingTables!$C$35),T3165,0))</f>
        <v>0</v>
      </c>
      <c r="V3165" s="85">
        <f>IF(ISNA(IF(AND(VLOOKUP(CONCATENATE($D3165,$G3165),CSRFinput!$B:$E,4,0)=0,OR(H3165=MappingTables!$C$34,H3165=MappingTables!$C$35)),1,VLOOKUP(CONCATENATE($D3165,$G3165),CSRFinput!$B:$E,4,0))),0,IF(AND(VLOOKUP(CONCATENATE($D3165,$G3165),CSRFinput!$B:$E,4,0)=0,OR(H3165=MappingTables!$C$34,H3165=MappingTables!$C$35)),1,VLOOKUP(CONCATENATE($D3165,$G3165),CSRFinput!$B:$E,4,0)))</f>
        <v>0.054776304963434752</v>
      </c>
      <c r="W3165" s="85">
        <f>IF(B3165="",0,+$T3165*$V3165)</f>
        <v>170.82077374199408</v>
      </c>
      <c r="X3165" s="85">
        <f>IF(B3165="",0,IF(OR(H3165=MappingTables!$C$34,H3165=MappingTables!$C$35),W3165,0))</f>
        <v>0</v>
      </c>
    </row>
    <row r="3166" spans="2:24" s="0" customFormat="0" ht="15">
      <c r="B3166" s="69" t="s">
        <v>1752</v>
      </c>
      <c r="C3166" s="70" t="s">
        <v>1753</v>
      </c>
      <c r="D3166" s="70" t="s">
        <v>1</v>
      </c>
      <c r="E3166" s="70" t="s">
        <v>1</v>
      </c>
      <c r="F3166" s="70"/>
      <c r="G3166" s="70" t="s">
        <v>61</v>
      </c>
      <c r="H3166" s="70" t="s">
        <v>178</v>
      </c>
      <c r="I3166" s="70" t="s">
        <v>188</v>
      </c>
      <c r="J3166" s="71">
        <f>IF(OR(I3166=0,I3166=""),"unrated",VLOOKUP(I3166,MappingTables!$B$19:$C$31,2,FALSE))</f>
        <v>2</v>
      </c>
      <c r="K3166" s="72">
        <v>214.58175619993184</v>
      </c>
      <c r="L3166" s="70">
        <v>5.5711557764243344</v>
      </c>
      <c r="M3166" s="71">
        <f>IF(L3166&lt;1,1,L3166)</f>
        <v>5.5711557764243344</v>
      </c>
      <c r="N3166" s="70" t="s">
        <v>141</v>
      </c>
      <c r="O3166" s="71">
        <f>INDEX(DurClassMapping,MATCH(M3166,MappingTables!$D$4:$D$8,-1),1)</f>
        <v>2</v>
      </c>
      <c r="P3166" s="73">
        <f>IF(M3166=$A$1,1,$M3166-INDEX(MappingTables!$E$4:$E$8,MATCH(O3166,MappingTables!$B$4:$B$8,0)))</f>
        <v>0.57115577642433472</v>
      </c>
      <c r="Q3166" s="71">
        <f>IF(B3166="",0,INDEX(ModelParameters!$D$6:$K$10,MATCH($O3166,ModelParameters!$B$6:$B$10,0),MATCH($J3166,ModelParameters!$D$5:$K$5,0)))</f>
        <v>0.0069999999999999992</v>
      </c>
      <c r="R3166" s="71">
        <f>IF(B3166="",0,INDEX(ModelParameters!$D$13:$K$17,MATCH($O3166,ModelParameters!$B$13:$B$17,0),MATCH($J3166,ModelParameters!$D$5:$K$5,0)))</f>
        <v>0.070000000000000008</v>
      </c>
      <c r="S3166" s="160">
        <f>IF(B3166="",0,MIN(IF($N3166="Other Bond TM",ModelParameters!$N$21,1)*(P3166*Q3166+R3166),1))</f>
        <v>0.073998090434970352</v>
      </c>
      <c r="T3166" s="85">
        <f>IF(B3166="",0,$S3166*$K3166)</f>
        <v>15.878640200977318</v>
      </c>
      <c r="U3166" s="85">
        <f>IF(B3166="",0,IF(OR(H3166=MappingTables!$C$34,H3166=MappingTables!$C$35),T3166,0))</f>
        <v>0</v>
      </c>
      <c r="V3166" s="85">
        <f>IF(ISNA(IF(AND(VLOOKUP(CONCATENATE($D3166,$G3166),CSRFinput!$B:$E,4,0)=0,OR(H3166=MappingTables!$C$34,H3166=MappingTables!$C$35)),1,VLOOKUP(CONCATENATE($D3166,$G3166),CSRFinput!$B:$E,4,0))),0,IF(AND(VLOOKUP(CONCATENATE($D3166,$G3166),CSRFinput!$B:$E,4,0)=0,OR(H3166=MappingTables!$C$34,H3166=MappingTables!$C$35)),1,VLOOKUP(CONCATENATE($D3166,$G3166),CSRFinput!$B:$E,4,0)))</f>
        <v>0.054776304963434752</v>
      </c>
      <c r="W3166" s="85">
        <f>IF(B3166="",0,+$T3166*$V3166)</f>
        <v>0.86977323805338848</v>
      </c>
      <c r="X3166" s="85">
        <f>IF(B3166="",0,IF(OR(H3166=MappingTables!$C$34,H3166=MappingTables!$C$35),W3166,0))</f>
        <v>0</v>
      </c>
    </row>
    <row r="3167" spans="2:24" s="0" customFormat="0" ht="15">
      <c r="B3167" s="69">
        <v>21860320</v>
      </c>
      <c r="C3167" s="70" t="s">
        <v>1035</v>
      </c>
      <c r="D3167" s="70" t="s">
        <v>1</v>
      </c>
      <c r="E3167" s="70" t="s">
        <v>1</v>
      </c>
      <c r="F3167" s="70"/>
      <c r="G3167" s="70" t="s">
        <v>61</v>
      </c>
      <c r="H3167" s="70" t="s">
        <v>178</v>
      </c>
      <c r="I3167" s="70" t="s">
        <v>181</v>
      </c>
      <c r="J3167" s="71">
        <f>IF(OR(I3167=0,I3167=""),"unrated",VLOOKUP(I3167,MappingTables!$B$19:$C$31,2,FALSE))</f>
        <v>3</v>
      </c>
      <c r="K3167" s="72">
        <v>7.4880740953983248</v>
      </c>
      <c r="L3167" s="70">
        <v>1.9403171800170352</v>
      </c>
      <c r="M3167" s="71">
        <f>IF(L3167&lt;1,1,L3167)</f>
        <v>1.9403171800170352</v>
      </c>
      <c r="N3167" s="70" t="s">
        <v>141</v>
      </c>
      <c r="O3167" s="71">
        <f>INDEX(DurClassMapping,MATCH(M3167,MappingTables!$D$4:$D$8,-1),1)</f>
        <v>1</v>
      </c>
      <c r="P3167" s="73">
        <f>IF(M3167=$A$1,1,$M3167-INDEX(MappingTables!$E$4:$E$8,MATCH(O3167,MappingTables!$B$4:$B$8,0)))</f>
        <v>1.9403171800170352</v>
      </c>
      <c r="Q3167" s="71">
        <f>IF(B3167="",0,INDEX(ModelParameters!$D$6:$K$10,MATCH($O3167,ModelParameters!$B$6:$B$10,0),MATCH($J3167,ModelParameters!$D$5:$K$5,0)))</f>
        <v>0.025</v>
      </c>
      <c r="R3167" s="71">
        <f>IF(B3167="",0,INDEX(ModelParameters!$D$13:$K$17,MATCH($O3167,ModelParameters!$B$13:$B$17,0),MATCH($J3167,ModelParameters!$D$5:$K$5,0)))</f>
        <v>0</v>
      </c>
      <c r="S3167" s="160">
        <f>IF(B3167="",0,MIN(IF($N3167="Other Bond TM",ModelParameters!$N$21,1)*(P3167*Q3167+R3167),1))</f>
        <v>0.048507929500425888</v>
      </c>
      <c r="T3167" s="85">
        <f>IF(B3167="",0,$S3167*$K3167)</f>
        <v>0.3632309703135472</v>
      </c>
      <c r="U3167" s="85">
        <f>IF(B3167="",0,IF(OR(H3167=MappingTables!$C$34,H3167=MappingTables!$C$35),T3167,0))</f>
        <v>0</v>
      </c>
      <c r="V3167" s="85">
        <f>IF(ISNA(IF(AND(VLOOKUP(CONCATENATE($D3167,$G3167),CSRFinput!$B:$E,4,0)=0,OR(H3167=MappingTables!$C$34,H3167=MappingTables!$C$35)),1,VLOOKUP(CONCATENATE($D3167,$G3167),CSRFinput!$B:$E,4,0))),0,IF(AND(VLOOKUP(CONCATENATE($D3167,$G3167),CSRFinput!$B:$E,4,0)=0,OR(H3167=MappingTables!$C$34,H3167=MappingTables!$C$35)),1,VLOOKUP(CONCATENATE($D3167,$G3167),CSRFinput!$B:$E,4,0)))</f>
        <v>0.054776304963434752</v>
      </c>
      <c r="W3167" s="85">
        <f>IF(B3167="",0,+$T3167*$V3167)</f>
        <v>0.019896450402059176</v>
      </c>
      <c r="X3167" s="85">
        <f>IF(B3167="",0,IF(OR(H3167=MappingTables!$C$34,H3167=MappingTables!$C$35),W3167,0))</f>
        <v>0</v>
      </c>
    </row>
    <row r="3168" spans="2:24" s="0" customFormat="0" ht="15">
      <c r="B3168" s="69">
        <v>19003893</v>
      </c>
      <c r="C3168" s="70" t="s">
        <v>2130</v>
      </c>
      <c r="D3168" s="70" t="s">
        <v>1</v>
      </c>
      <c r="E3168" s="70" t="s">
        <v>1</v>
      </c>
      <c r="F3168" s="70"/>
      <c r="G3168" s="70" t="s">
        <v>61</v>
      </c>
      <c r="H3168" s="70" t="s">
        <v>178</v>
      </c>
      <c r="I3168" s="70" t="s">
        <v>181</v>
      </c>
      <c r="J3168" s="71">
        <f>IF(OR(I3168=0,I3168=""),"unrated",VLOOKUP(I3168,MappingTables!$B$19:$C$31,2,FALSE))</f>
        <v>3</v>
      </c>
      <c r="K3168" s="72">
        <v>480.05382611950336</v>
      </c>
      <c r="L3168" s="70">
        <v>1.0669652925543398</v>
      </c>
      <c r="M3168" s="71">
        <f>IF(L3168&lt;1,1,L3168)</f>
        <v>1.0669652925543398</v>
      </c>
      <c r="N3168" s="70" t="s">
        <v>141</v>
      </c>
      <c r="O3168" s="71">
        <f>INDEX(DurClassMapping,MATCH(M3168,MappingTables!$D$4:$D$8,-1),1)</f>
        <v>1</v>
      </c>
      <c r="P3168" s="73">
        <f>IF(M3168=$A$1,1,$M3168-INDEX(MappingTables!$E$4:$E$8,MATCH(O3168,MappingTables!$B$4:$B$8,0)))</f>
        <v>1.0669652925543398</v>
      </c>
      <c r="Q3168" s="71">
        <f>IF(B3168="",0,INDEX(ModelParameters!$D$6:$K$10,MATCH($O3168,ModelParameters!$B$6:$B$10,0),MATCH($J3168,ModelParameters!$D$5:$K$5,0)))</f>
        <v>0.025</v>
      </c>
      <c r="R3168" s="71">
        <f>IF(B3168="",0,INDEX(ModelParameters!$D$13:$K$17,MATCH($O3168,ModelParameters!$B$13:$B$17,0),MATCH($J3168,ModelParameters!$D$5:$K$5,0)))</f>
        <v>0</v>
      </c>
      <c r="S3168" s="160">
        <f>IF(B3168="",0,MIN(IF($N3168="Other Bond TM",ModelParameters!$N$21,1)*(P3168*Q3168+R3168),1))</f>
        <v>0.026674132313858496</v>
      </c>
      <c r="T3168" s="85">
        <f>IF(B3168="",0,$S3168*$K3168)</f>
        <v>12.805019275685654</v>
      </c>
      <c r="U3168" s="85">
        <f>IF(B3168="",0,IF(OR(H3168=MappingTables!$C$34,H3168=MappingTables!$C$35),T3168,0))</f>
        <v>0</v>
      </c>
      <c r="V3168" s="85">
        <f>IF(ISNA(IF(AND(VLOOKUP(CONCATENATE($D3168,$G3168),CSRFinput!$B:$E,4,0)=0,OR(H3168=MappingTables!$C$34,H3168=MappingTables!$C$35)),1,VLOOKUP(CONCATENATE($D3168,$G3168),CSRFinput!$B:$E,4,0))),0,IF(AND(VLOOKUP(CONCATENATE($D3168,$G3168),CSRFinput!$B:$E,4,0)=0,OR(H3168=MappingTables!$C$34,H3168=MappingTables!$C$35)),1,VLOOKUP(CONCATENATE($D3168,$G3168),CSRFinput!$B:$E,4,0)))</f>
        <v>0.054776304963434752</v>
      </c>
      <c r="W3168" s="85">
        <f>IF(B3168="",0,+$T3168*$V3168)</f>
        <v>0.70141164090761776</v>
      </c>
      <c r="X3168" s="85">
        <f>IF(B3168="",0,IF(OR(H3168=MappingTables!$C$34,H3168=MappingTables!$C$35),W3168,0))</f>
        <v>0</v>
      </c>
    </row>
    <row r="3169" spans="2:24" s="0" customFormat="0" ht="15">
      <c r="B3169" s="69">
        <v>12334819</v>
      </c>
      <c r="C3169" s="70" t="s">
        <v>408</v>
      </c>
      <c r="D3169" s="70" t="s">
        <v>1</v>
      </c>
      <c r="E3169" s="70" t="s">
        <v>1</v>
      </c>
      <c r="F3169" s="70"/>
      <c r="G3169" s="70" t="s">
        <v>61</v>
      </c>
      <c r="H3169" s="70" t="s">
        <v>178</v>
      </c>
      <c r="I3169" s="70" t="s">
        <v>188</v>
      </c>
      <c r="J3169" s="71">
        <f>IF(OR(I3169=0,I3169=""),"unrated",VLOOKUP(I3169,MappingTables!$B$19:$C$31,2,FALSE))</f>
        <v>2</v>
      </c>
      <c r="K3169" s="72">
        <v>204.80768390001088</v>
      </c>
      <c r="L3169" s="70">
        <v>0.58495998073493328</v>
      </c>
      <c r="M3169" s="71">
        <f>IF(L3169&lt;1,1,L3169)</f>
        <v>1</v>
      </c>
      <c r="N3169" s="70" t="s">
        <v>141</v>
      </c>
      <c r="O3169" s="71">
        <f>INDEX(DurClassMapping,MATCH(M3169,MappingTables!$D$4:$D$8,-1),1)</f>
        <v>1</v>
      </c>
      <c r="P3169" s="73">
        <f>IF(M3169=$A$1,1,$M3169-INDEX(MappingTables!$E$4:$E$8,MATCH(O3169,MappingTables!$B$4:$B$8,0)))</f>
        <v>1</v>
      </c>
      <c r="Q3169" s="71">
        <f>IF(B3169="",0,INDEX(ModelParameters!$D$6:$K$10,MATCH($O3169,ModelParameters!$B$6:$B$10,0),MATCH($J3169,ModelParameters!$D$5:$K$5,0)))</f>
        <v>0.013999999999999998</v>
      </c>
      <c r="R3169" s="71">
        <f>IF(B3169="",0,INDEX(ModelParameters!$D$13:$K$17,MATCH($O3169,ModelParameters!$B$13:$B$17,0),MATCH($J3169,ModelParameters!$D$5:$K$5,0)))</f>
        <v>0</v>
      </c>
      <c r="S3169" s="160">
        <f>IF(B3169="",0,MIN(IF($N3169="Other Bond TM",ModelParameters!$N$21,1)*(P3169*Q3169+R3169),1))</f>
        <v>0.013999999999999998</v>
      </c>
      <c r="T3169" s="85">
        <f>IF(B3169="",0,$S3169*$K3169)</f>
        <v>2.867307574600152</v>
      </c>
      <c r="U3169" s="85">
        <f>IF(B3169="",0,IF(OR(H3169=MappingTables!$C$34,H3169=MappingTables!$C$35),T3169,0))</f>
        <v>0</v>
      </c>
      <c r="V3169" s="85">
        <f>IF(ISNA(IF(AND(VLOOKUP(CONCATENATE($D3169,$G3169),CSRFinput!$B:$E,4,0)=0,OR(H3169=MappingTables!$C$34,H3169=MappingTables!$C$35)),1,VLOOKUP(CONCATENATE($D3169,$G3169),CSRFinput!$B:$E,4,0))),0,IF(AND(VLOOKUP(CONCATENATE($D3169,$G3169),CSRFinput!$B:$E,4,0)=0,OR(H3169=MappingTables!$C$34,H3169=MappingTables!$C$35)),1,VLOOKUP(CONCATENATE($D3169,$G3169),CSRFinput!$B:$E,4,0)))</f>
        <v>0.054776304963434752</v>
      </c>
      <c r="W3169" s="85">
        <f>IF(B3169="",0,+$T3169*$V3169)</f>
        <v>0.15706051413026436</v>
      </c>
      <c r="X3169" s="85">
        <f>IF(B3169="",0,IF(OR(H3169=MappingTables!$C$34,H3169=MappingTables!$C$35),W3169,0))</f>
        <v>0</v>
      </c>
    </row>
    <row r="3170" spans="2:24" s="0" customFormat="0" ht="15">
      <c r="B3170" s="69">
        <v>17267345</v>
      </c>
      <c r="C3170" s="70" t="s">
        <v>2484</v>
      </c>
      <c r="D3170" s="70" t="s">
        <v>1</v>
      </c>
      <c r="E3170" s="70" t="s">
        <v>1</v>
      </c>
      <c r="F3170" s="70"/>
      <c r="G3170" s="70" t="s">
        <v>61</v>
      </c>
      <c r="H3170" s="70" t="s">
        <v>178</v>
      </c>
      <c r="I3170" s="70" t="s">
        <v>188</v>
      </c>
      <c r="J3170" s="71">
        <f>IF(OR(I3170=0,I3170=""),"unrated",VLOOKUP(I3170,MappingTables!$B$19:$C$31,2,FALSE))</f>
        <v>2</v>
      </c>
      <c r="K3170" s="72">
        <v>2130.8218339308404</v>
      </c>
      <c r="L3170" s="70">
        <v>2.407460676252918</v>
      </c>
      <c r="M3170" s="71">
        <f>IF(L3170&lt;1,1,L3170)</f>
        <v>2.407460676252918</v>
      </c>
      <c r="N3170" s="70" t="s">
        <v>141</v>
      </c>
      <c r="O3170" s="71">
        <f>INDEX(DurClassMapping,MATCH(M3170,MappingTables!$D$4:$D$8,-1),1)</f>
        <v>1</v>
      </c>
      <c r="P3170" s="73">
        <f>IF(M3170=$A$1,1,$M3170-INDEX(MappingTables!$E$4:$E$8,MATCH(O3170,MappingTables!$B$4:$B$8,0)))</f>
        <v>2.407460676252918</v>
      </c>
      <c r="Q3170" s="71">
        <f>IF(B3170="",0,INDEX(ModelParameters!$D$6:$K$10,MATCH($O3170,ModelParameters!$B$6:$B$10,0),MATCH($J3170,ModelParameters!$D$5:$K$5,0)))</f>
        <v>0.013999999999999998</v>
      </c>
      <c r="R3170" s="71">
        <f>IF(B3170="",0,INDEX(ModelParameters!$D$13:$K$17,MATCH($O3170,ModelParameters!$B$13:$B$17,0),MATCH($J3170,ModelParameters!$D$5:$K$5,0)))</f>
        <v>0</v>
      </c>
      <c r="S3170" s="160">
        <f>IF(B3170="",0,MIN(IF($N3170="Other Bond TM",ModelParameters!$N$21,1)*(P3170*Q3170+R3170),1))</f>
        <v>0.033704449467540852</v>
      </c>
      <c r="T3170" s="85">
        <f>IF(B3170="",0,$S3170*$K3170)</f>
        <v>71.818176826054736</v>
      </c>
      <c r="U3170" s="85">
        <f>IF(B3170="",0,IF(OR(H3170=MappingTables!$C$34,H3170=MappingTables!$C$35),T3170,0))</f>
        <v>0</v>
      </c>
      <c r="V3170" s="85">
        <f>IF(ISNA(IF(AND(VLOOKUP(CONCATENATE($D3170,$G3170),CSRFinput!$B:$E,4,0)=0,OR(H3170=MappingTables!$C$34,H3170=MappingTables!$C$35)),1,VLOOKUP(CONCATENATE($D3170,$G3170),CSRFinput!$B:$E,4,0))),0,IF(AND(VLOOKUP(CONCATENATE($D3170,$G3170),CSRFinput!$B:$E,4,0)=0,OR(H3170=MappingTables!$C$34,H3170=MappingTables!$C$35)),1,VLOOKUP(CONCATENATE($D3170,$G3170),CSRFinput!$B:$E,4,0)))</f>
        <v>0.054776304963434752</v>
      </c>
      <c r="W3170" s="85">
        <f>IF(B3170="",0,+$T3170*$V3170)</f>
        <v>3.9339343557418568</v>
      </c>
      <c r="X3170" s="85">
        <f>IF(B3170="",0,IF(OR(H3170=MappingTables!$C$34,H3170=MappingTables!$C$35),W3170,0))</f>
        <v>0</v>
      </c>
    </row>
    <row r="3171" spans="2:24" s="0" customFormat="0" ht="15">
      <c r="B3171" s="69">
        <v>13162715</v>
      </c>
      <c r="C3171" s="70" t="s">
        <v>2522</v>
      </c>
      <c r="D3171" s="70" t="s">
        <v>1</v>
      </c>
      <c r="E3171" s="70" t="s">
        <v>1</v>
      </c>
      <c r="F3171" s="70"/>
      <c r="G3171" s="70" t="s">
        <v>61</v>
      </c>
      <c r="H3171" s="70" t="s">
        <v>178</v>
      </c>
      <c r="I3171" s="70" t="s">
        <v>181</v>
      </c>
      <c r="J3171" s="71">
        <f>IF(OR(I3171=0,I3171=""),"unrated",VLOOKUP(I3171,MappingTables!$B$19:$C$31,2,FALSE))</f>
        <v>3</v>
      </c>
      <c r="K3171" s="72">
        <v>1674.1726276295628</v>
      </c>
      <c r="L3171" s="70">
        <v>0.9881748290620344</v>
      </c>
      <c r="M3171" s="71">
        <f>IF(L3171&lt;1,1,L3171)</f>
        <v>1</v>
      </c>
      <c r="N3171" s="70" t="s">
        <v>141</v>
      </c>
      <c r="O3171" s="71">
        <f>INDEX(DurClassMapping,MATCH(M3171,MappingTables!$D$4:$D$8,-1),1)</f>
        <v>1</v>
      </c>
      <c r="P3171" s="73">
        <f>IF(M3171=$A$1,1,$M3171-INDEX(MappingTables!$E$4:$E$8,MATCH(O3171,MappingTables!$B$4:$B$8,0)))</f>
        <v>1</v>
      </c>
      <c r="Q3171" s="71">
        <f>IF(B3171="",0,INDEX(ModelParameters!$D$6:$K$10,MATCH($O3171,ModelParameters!$B$6:$B$10,0),MATCH($J3171,ModelParameters!$D$5:$K$5,0)))</f>
        <v>0.025</v>
      </c>
      <c r="R3171" s="71">
        <f>IF(B3171="",0,INDEX(ModelParameters!$D$13:$K$17,MATCH($O3171,ModelParameters!$B$13:$B$17,0),MATCH($J3171,ModelParameters!$D$5:$K$5,0)))</f>
        <v>0</v>
      </c>
      <c r="S3171" s="160">
        <f>IF(B3171="",0,MIN(IF($N3171="Other Bond TM",ModelParameters!$N$21,1)*(P3171*Q3171+R3171),1))</f>
        <v>0.025</v>
      </c>
      <c r="T3171" s="85">
        <f>IF(B3171="",0,$S3171*$K3171)</f>
        <v>41.854315690739072</v>
      </c>
      <c r="U3171" s="85">
        <f>IF(B3171="",0,IF(OR(H3171=MappingTables!$C$34,H3171=MappingTables!$C$35),T3171,0))</f>
        <v>0</v>
      </c>
      <c r="V3171" s="85">
        <f>IF(ISNA(IF(AND(VLOOKUP(CONCATENATE($D3171,$G3171),CSRFinput!$B:$E,4,0)=0,OR(H3171=MappingTables!$C$34,H3171=MappingTables!$C$35)),1,VLOOKUP(CONCATENATE($D3171,$G3171),CSRFinput!$B:$E,4,0))),0,IF(AND(VLOOKUP(CONCATENATE($D3171,$G3171),CSRFinput!$B:$E,4,0)=0,OR(H3171=MappingTables!$C$34,H3171=MappingTables!$C$35)),1,VLOOKUP(CONCATENATE($D3171,$G3171),CSRFinput!$B:$E,4,0)))</f>
        <v>0.054776304963434752</v>
      </c>
      <c r="W3171" s="85">
        <f>IF(B3171="",0,+$T3171*$V3171)</f>
        <v>2.2926247603117956</v>
      </c>
      <c r="X3171" s="85">
        <f>IF(B3171="",0,IF(OR(H3171=MappingTables!$C$34,H3171=MappingTables!$C$35),W3171,0))</f>
        <v>0</v>
      </c>
    </row>
    <row r="3172" spans="2:24" s="0" customFormat="0" ht="15">
      <c r="B3172" s="69">
        <v>14352945</v>
      </c>
      <c r="C3172" s="70" t="s">
        <v>2527</v>
      </c>
      <c r="D3172" s="70" t="s">
        <v>1</v>
      </c>
      <c r="E3172" s="70" t="s">
        <v>1</v>
      </c>
      <c r="F3172" s="70"/>
      <c r="G3172" s="70" t="s">
        <v>61</v>
      </c>
      <c r="H3172" s="70" t="s">
        <v>178</v>
      </c>
      <c r="I3172" s="70" t="s">
        <v>179</v>
      </c>
      <c r="J3172" s="71">
        <f>IF(OR(I3172=0,I3172=""),"unrated",VLOOKUP(I3172,MappingTables!$B$19:$C$31,2,FALSE))</f>
        <v>4</v>
      </c>
      <c r="K3172" s="72">
        <v>18372.593278763916</v>
      </c>
      <c r="L3172" s="70">
        <v>3.14782753110672</v>
      </c>
      <c r="M3172" s="71">
        <f>IF(L3172&lt;1,1,L3172)</f>
        <v>3.14782753110672</v>
      </c>
      <c r="N3172" s="70" t="s">
        <v>141</v>
      </c>
      <c r="O3172" s="71">
        <f>INDEX(DurClassMapping,MATCH(M3172,MappingTables!$D$4:$D$8,-1),1)</f>
        <v>1</v>
      </c>
      <c r="P3172" s="73">
        <f>IF(M3172=$A$1,1,$M3172-INDEX(MappingTables!$E$4:$E$8,MATCH(O3172,MappingTables!$B$4:$B$8,0)))</f>
        <v>3.14782753110672</v>
      </c>
      <c r="Q3172" s="71">
        <f>IF(B3172="",0,INDEX(ModelParameters!$D$6:$K$10,MATCH($O3172,ModelParameters!$B$6:$B$10,0),MATCH($J3172,ModelParameters!$D$5:$K$5,0)))</f>
        <v>0.045</v>
      </c>
      <c r="R3172" s="71">
        <f>IF(B3172="",0,INDEX(ModelParameters!$D$13:$K$17,MATCH($O3172,ModelParameters!$B$13:$B$17,0),MATCH($J3172,ModelParameters!$D$5:$K$5,0)))</f>
        <v>0</v>
      </c>
      <c r="S3172" s="160">
        <f>IF(B3172="",0,MIN(IF($N3172="Other Bond TM",ModelParameters!$N$21,1)*(P3172*Q3172+R3172),1))</f>
        <v>0.14165223889980238</v>
      </c>
      <c r="T3172" s="85">
        <f>IF(B3172="",0,$S3172*$K3172)</f>
        <v>2602.51897233237</v>
      </c>
      <c r="U3172" s="85">
        <f>IF(B3172="",0,IF(OR(H3172=MappingTables!$C$34,H3172=MappingTables!$C$35),T3172,0))</f>
        <v>0</v>
      </c>
      <c r="V3172" s="85">
        <f>IF(ISNA(IF(AND(VLOOKUP(CONCATENATE($D3172,$G3172),CSRFinput!$B:$E,4,0)=0,OR(H3172=MappingTables!$C$34,H3172=MappingTables!$C$35)),1,VLOOKUP(CONCATENATE($D3172,$G3172),CSRFinput!$B:$E,4,0))),0,IF(AND(VLOOKUP(CONCATENATE($D3172,$G3172),CSRFinput!$B:$E,4,0)=0,OR(H3172=MappingTables!$C$34,H3172=MappingTables!$C$35)),1,VLOOKUP(CONCATENATE($D3172,$G3172),CSRFinput!$B:$E,4,0)))</f>
        <v>0.054776304963434752</v>
      </c>
      <c r="W3172" s="85">
        <f>IF(B3172="",0,+$T3172*$V3172)</f>
        <v>142.55637290160272</v>
      </c>
      <c r="X3172" s="85">
        <f>IF(B3172="",0,IF(OR(H3172=MappingTables!$C$34,H3172=MappingTables!$C$35),W3172,0))</f>
        <v>0</v>
      </c>
    </row>
    <row r="3173" spans="2:24" s="0" customFormat="0" ht="15">
      <c r="B3173" s="69">
        <v>3797504</v>
      </c>
      <c r="C3173" s="70" t="s">
        <v>2758</v>
      </c>
      <c r="D3173" s="70" t="s">
        <v>1</v>
      </c>
      <c r="E3173" s="70" t="s">
        <v>1</v>
      </c>
      <c r="F3173" s="70"/>
      <c r="G3173" s="70" t="s">
        <v>61</v>
      </c>
      <c r="H3173" s="70" t="s">
        <v>178</v>
      </c>
      <c r="I3173" s="70" t="s">
        <v>184</v>
      </c>
      <c r="J3173" s="71">
        <f>IF(OR(I3173=0,I3173=""),"unrated",VLOOKUP(I3173,MappingTables!$B$19:$C$31,2,FALSE))</f>
        <v>5</v>
      </c>
      <c r="K3173" s="72">
        <v>1672.9570283589638</v>
      </c>
      <c r="L3173" s="70">
        <v>0.45479535413022744</v>
      </c>
      <c r="M3173" s="71">
        <f>IF(L3173&lt;1,1,L3173)</f>
        <v>1</v>
      </c>
      <c r="N3173" s="70" t="s">
        <v>141</v>
      </c>
      <c r="O3173" s="71">
        <f>INDEX(DurClassMapping,MATCH(M3173,MappingTables!$D$4:$D$8,-1),1)</f>
        <v>1</v>
      </c>
      <c r="P3173" s="73">
        <f>IF(M3173=$A$1,1,$M3173-INDEX(MappingTables!$E$4:$E$8,MATCH(O3173,MappingTables!$B$4:$B$8,0)))</f>
        <v>1</v>
      </c>
      <c r="Q3173" s="71">
        <f>IF(B3173="",0,INDEX(ModelParameters!$D$6:$K$10,MATCH($O3173,ModelParameters!$B$6:$B$10,0),MATCH($J3173,ModelParameters!$D$5:$K$5,0)))</f>
        <v>0.075</v>
      </c>
      <c r="R3173" s="71">
        <f>IF(B3173="",0,INDEX(ModelParameters!$D$13:$K$17,MATCH($O3173,ModelParameters!$B$13:$B$17,0),MATCH($J3173,ModelParameters!$D$5:$K$5,0)))</f>
        <v>0</v>
      </c>
      <c r="S3173" s="160">
        <f>IF(B3173="",0,MIN(IF($N3173="Other Bond TM",ModelParameters!$N$21,1)*(P3173*Q3173+R3173),1))</f>
        <v>0.075</v>
      </c>
      <c r="T3173" s="85">
        <f>IF(B3173="",0,$S3173*$K3173)</f>
        <v>125.47177712692228</v>
      </c>
      <c r="U3173" s="85">
        <f>IF(B3173="",0,IF(OR(H3173=MappingTables!$C$34,H3173=MappingTables!$C$35),T3173,0))</f>
        <v>0</v>
      </c>
      <c r="V3173" s="85">
        <f>IF(ISNA(IF(AND(VLOOKUP(CONCATENATE($D3173,$G3173),CSRFinput!$B:$E,4,0)=0,OR(H3173=MappingTables!$C$34,H3173=MappingTables!$C$35)),1,VLOOKUP(CONCATENATE($D3173,$G3173),CSRFinput!$B:$E,4,0))),0,IF(AND(VLOOKUP(CONCATENATE($D3173,$G3173),CSRFinput!$B:$E,4,0)=0,OR(H3173=MappingTables!$C$34,H3173=MappingTables!$C$35)),1,VLOOKUP(CONCATENATE($D3173,$G3173),CSRFinput!$B:$E,4,0)))</f>
        <v>0.054776304963434752</v>
      </c>
      <c r="W3173" s="85">
        <f>IF(B3173="",0,+$T3173*$V3173)</f>
        <v>6.872880328208412</v>
      </c>
      <c r="X3173" s="85">
        <f>IF(B3173="",0,IF(OR(H3173=MappingTables!$C$34,H3173=MappingTables!$C$35),W3173,0))</f>
        <v>0</v>
      </c>
    </row>
    <row r="3174" spans="2:24" s="0" customFormat="0" ht="15">
      <c r="B3174" s="69" t="s">
        <v>928</v>
      </c>
      <c r="C3174" s="70" t="s">
        <v>929</v>
      </c>
      <c r="D3174" s="70" t="s">
        <v>1</v>
      </c>
      <c r="E3174" s="70" t="s">
        <v>1</v>
      </c>
      <c r="F3174" s="70"/>
      <c r="G3174" s="70" t="s">
        <v>61</v>
      </c>
      <c r="H3174" s="70" t="s">
        <v>178</v>
      </c>
      <c r="I3174" s="70" t="s">
        <v>198</v>
      </c>
      <c r="J3174" s="71" t="str">
        <f>IF(OR(I3174=0,I3174=""),"unrated",VLOOKUP(I3174,MappingTables!$B$19:$C$31,2,FALSE))</f>
        <v>unrated</v>
      </c>
      <c r="K3174" s="72">
        <v>0.12048355868525392</v>
      </c>
      <c r="L3174" s="70">
        <v>0.12876808986802502</v>
      </c>
      <c r="M3174" s="71">
        <f>IF(L3174&lt;1,1,L3174)</f>
        <v>1</v>
      </c>
      <c r="N3174" s="70" t="s">
        <v>141</v>
      </c>
      <c r="O3174" s="71">
        <f>INDEX(DurClassMapping,MATCH(M3174,MappingTables!$D$4:$D$8,-1),1)</f>
        <v>1</v>
      </c>
      <c r="P3174" s="73">
        <f>IF(M3174=$A$1,1,$M3174-INDEX(MappingTables!$E$4:$E$8,MATCH(O3174,MappingTables!$B$4:$B$8,0)))</f>
        <v>1</v>
      </c>
      <c r="Q3174" s="71">
        <f>IF(B3174="",0,INDEX(ModelParameters!$D$6:$K$10,MATCH($O3174,ModelParameters!$B$6:$B$10,0),MATCH($J3174,ModelParameters!$D$5:$K$5,0)))</f>
        <v>0.03</v>
      </c>
      <c r="R3174" s="71">
        <f>IF(B3174="",0,INDEX(ModelParameters!$D$13:$K$17,MATCH($O3174,ModelParameters!$B$13:$B$17,0),MATCH($J3174,ModelParameters!$D$5:$K$5,0)))</f>
        <v>0</v>
      </c>
      <c r="S3174" s="160">
        <f>IF(B3174="",0,MIN(IF($N3174="Other Bond TM",ModelParameters!$N$21,1)*(P3174*Q3174+R3174),1))</f>
        <v>0.03</v>
      </c>
      <c r="T3174" s="85">
        <f>IF(B3174="",0,$S3174*$K3174)</f>
        <v>0.0036145067605576176</v>
      </c>
      <c r="U3174" s="85">
        <f>IF(B3174="",0,IF(OR(H3174=MappingTables!$C$34,H3174=MappingTables!$C$35),T3174,0))</f>
        <v>0</v>
      </c>
      <c r="V3174" s="85">
        <f>IF(ISNA(IF(AND(VLOOKUP(CONCATENATE($D3174,$G3174),CSRFinput!$B:$E,4,0)=0,OR(H3174=MappingTables!$C$34,H3174=MappingTables!$C$35)),1,VLOOKUP(CONCATENATE($D3174,$G3174),CSRFinput!$B:$E,4,0))),0,IF(AND(VLOOKUP(CONCATENATE($D3174,$G3174),CSRFinput!$B:$E,4,0)=0,OR(H3174=MappingTables!$C$34,H3174=MappingTables!$C$35)),1,VLOOKUP(CONCATENATE($D3174,$G3174),CSRFinput!$B:$E,4,0)))</f>
        <v>0.054776304963434752</v>
      </c>
      <c r="W3174" s="85">
        <f>IF(B3174="",0,+$T3174*$V3174)</f>
        <v>0.00019798932460870068</v>
      </c>
      <c r="X3174" s="85">
        <f>IF(B3174="",0,IF(OR(H3174=MappingTables!$C$34,H3174=MappingTables!$C$35),W3174,0))</f>
        <v>0</v>
      </c>
    </row>
    <row r="3175" spans="2:24" s="0" customFormat="0" ht="15">
      <c r="B3175" s="69" t="s">
        <v>337</v>
      </c>
      <c r="C3175" s="70" t="s">
        <v>338</v>
      </c>
      <c r="D3175" s="70" t="s">
        <v>1</v>
      </c>
      <c r="E3175" s="70" t="s">
        <v>1</v>
      </c>
      <c r="F3175" s="70"/>
      <c r="G3175" s="70" t="s">
        <v>61</v>
      </c>
      <c r="H3175" s="70" t="s">
        <v>178</v>
      </c>
      <c r="I3175" s="70" t="s">
        <v>198</v>
      </c>
      <c r="J3175" s="71" t="str">
        <f>IF(OR(I3175=0,I3175=""),"unrated",VLOOKUP(I3175,MappingTables!$B$19:$C$31,2,FALSE))</f>
        <v>unrated</v>
      </c>
      <c r="K3175" s="72">
        <v>0.056803250890731808</v>
      </c>
      <c r="L3175" s="70">
        <v>0.28767006436802496</v>
      </c>
      <c r="M3175" s="71">
        <f>IF(L3175&lt;1,1,L3175)</f>
        <v>1</v>
      </c>
      <c r="N3175" s="70" t="s">
        <v>141</v>
      </c>
      <c r="O3175" s="71">
        <f>INDEX(DurClassMapping,MATCH(M3175,MappingTables!$D$4:$D$8,-1),1)</f>
        <v>1</v>
      </c>
      <c r="P3175" s="73">
        <f>IF(M3175=$A$1,1,$M3175-INDEX(MappingTables!$E$4:$E$8,MATCH(O3175,MappingTables!$B$4:$B$8,0)))</f>
        <v>1</v>
      </c>
      <c r="Q3175" s="71">
        <f>IF(B3175="",0,INDEX(ModelParameters!$D$6:$K$10,MATCH($O3175,ModelParameters!$B$6:$B$10,0),MATCH($J3175,ModelParameters!$D$5:$K$5,0)))</f>
        <v>0.03</v>
      </c>
      <c r="R3175" s="71">
        <f>IF(B3175="",0,INDEX(ModelParameters!$D$13:$K$17,MATCH($O3175,ModelParameters!$B$13:$B$17,0),MATCH($J3175,ModelParameters!$D$5:$K$5,0)))</f>
        <v>0</v>
      </c>
      <c r="S3175" s="160">
        <f>IF(B3175="",0,MIN(IF($N3175="Other Bond TM",ModelParameters!$N$21,1)*(P3175*Q3175+R3175),1))</f>
        <v>0.03</v>
      </c>
      <c r="T3175" s="85">
        <f>IF(B3175="",0,$S3175*$K3175)</f>
        <v>0.0017040975267219542</v>
      </c>
      <c r="U3175" s="85">
        <f>IF(B3175="",0,IF(OR(H3175=MappingTables!$C$34,H3175=MappingTables!$C$35),T3175,0))</f>
        <v>0</v>
      </c>
      <c r="V3175" s="85">
        <f>IF(ISNA(IF(AND(VLOOKUP(CONCATENATE($D3175,$G3175),CSRFinput!$B:$E,4,0)=0,OR(H3175=MappingTables!$C$34,H3175=MappingTables!$C$35)),1,VLOOKUP(CONCATENATE($D3175,$G3175),CSRFinput!$B:$E,4,0))),0,IF(AND(VLOOKUP(CONCATENATE($D3175,$G3175),CSRFinput!$B:$E,4,0)=0,OR(H3175=MappingTables!$C$34,H3175=MappingTables!$C$35)),1,VLOOKUP(CONCATENATE($D3175,$G3175),CSRFinput!$B:$E,4,0)))</f>
        <v>0.054776304963434752</v>
      </c>
      <c r="W3175" s="85">
        <f>IF(B3175="",0,+$T3175*$V3175)</f>
        <v>0.000093344165811156672</v>
      </c>
      <c r="X3175" s="85">
        <f>IF(B3175="",0,IF(OR(H3175=MappingTables!$C$34,H3175=MappingTables!$C$35),W3175,0))</f>
        <v>0</v>
      </c>
    </row>
    <row r="3176" spans="2:24" s="0" customFormat="0" ht="15">
      <c r="B3176" s="69" t="s">
        <v>2475</v>
      </c>
      <c r="C3176" s="70" t="s">
        <v>2476</v>
      </c>
      <c r="D3176" s="70" t="s">
        <v>1</v>
      </c>
      <c r="E3176" s="70" t="s">
        <v>1</v>
      </c>
      <c r="F3176" s="70"/>
      <c r="G3176" s="70" t="s">
        <v>61</v>
      </c>
      <c r="H3176" s="70" t="s">
        <v>178</v>
      </c>
      <c r="I3176" s="70" t="s">
        <v>181</v>
      </c>
      <c r="J3176" s="71">
        <f>IF(OR(I3176=0,I3176=""),"unrated",VLOOKUP(I3176,MappingTables!$B$19:$C$31,2,FALSE))</f>
        <v>3</v>
      </c>
      <c r="K3176" s="72">
        <v>316.07060762851472</v>
      </c>
      <c r="L3176" s="70">
        <v>1.3721083796599378</v>
      </c>
      <c r="M3176" s="71">
        <f>IF(L3176&lt;1,1,L3176)</f>
        <v>1.3721083796599378</v>
      </c>
      <c r="N3176" s="70" t="s">
        <v>141</v>
      </c>
      <c r="O3176" s="71">
        <f>INDEX(DurClassMapping,MATCH(M3176,MappingTables!$D$4:$D$8,-1),1)</f>
        <v>1</v>
      </c>
      <c r="P3176" s="73">
        <f>IF(M3176=$A$1,1,$M3176-INDEX(MappingTables!$E$4:$E$8,MATCH(O3176,MappingTables!$B$4:$B$8,0)))</f>
        <v>1.3721083796599378</v>
      </c>
      <c r="Q3176" s="71">
        <f>IF(B3176="",0,INDEX(ModelParameters!$D$6:$K$10,MATCH($O3176,ModelParameters!$B$6:$B$10,0),MATCH($J3176,ModelParameters!$D$5:$K$5,0)))</f>
        <v>0.025</v>
      </c>
      <c r="R3176" s="71">
        <f>IF(B3176="",0,INDEX(ModelParameters!$D$13:$K$17,MATCH($O3176,ModelParameters!$B$13:$B$17,0),MATCH($J3176,ModelParameters!$D$5:$K$5,0)))</f>
        <v>0</v>
      </c>
      <c r="S3176" s="160">
        <f>IF(B3176="",0,MIN(IF($N3176="Other Bond TM",ModelParameters!$N$21,1)*(P3176*Q3176+R3176),1))</f>
        <v>0.034302709491498448</v>
      </c>
      <c r="T3176" s="85">
        <f>IF(B3176="",0,$S3176*$K3176)</f>
        <v>10.842078232282332</v>
      </c>
      <c r="U3176" s="85">
        <f>IF(B3176="",0,IF(OR(H3176=MappingTables!$C$34,H3176=MappingTables!$C$35),T3176,0))</f>
        <v>0</v>
      </c>
      <c r="V3176" s="85">
        <f>IF(ISNA(IF(AND(VLOOKUP(CONCATENATE($D3176,$G3176),CSRFinput!$B:$E,4,0)=0,OR(H3176=MappingTables!$C$34,H3176=MappingTables!$C$35)),1,VLOOKUP(CONCATENATE($D3176,$G3176),CSRFinput!$B:$E,4,0))),0,IF(AND(VLOOKUP(CONCATENATE($D3176,$G3176),CSRFinput!$B:$E,4,0)=0,OR(H3176=MappingTables!$C$34,H3176=MappingTables!$C$35)),1,VLOOKUP(CONCATENATE($D3176,$G3176),CSRFinput!$B:$E,4,0)))</f>
        <v>0.054776304963434752</v>
      </c>
      <c r="W3176" s="85">
        <f>IF(B3176="",0,+$T3176*$V3176)</f>
        <v>0.59388898368891464</v>
      </c>
      <c r="X3176" s="85">
        <f>IF(B3176="",0,IF(OR(H3176=MappingTables!$C$34,H3176=MappingTables!$C$35),W3176,0))</f>
        <v>0</v>
      </c>
    </row>
    <row r="3177" spans="2:24" s="0" customFormat="0" ht="15">
      <c r="B3177" s="69">
        <v>20993773</v>
      </c>
      <c r="C3177" s="70" t="s">
        <v>1121</v>
      </c>
      <c r="D3177" s="70" t="s">
        <v>1</v>
      </c>
      <c r="E3177" s="70" t="s">
        <v>1</v>
      </c>
      <c r="F3177" s="70"/>
      <c r="G3177" s="70" t="s">
        <v>61</v>
      </c>
      <c r="H3177" s="70" t="s">
        <v>178</v>
      </c>
      <c r="I3177" s="70" t="s">
        <v>181</v>
      </c>
      <c r="J3177" s="71">
        <f>IF(OR(I3177=0,I3177=""),"unrated",VLOOKUP(I3177,MappingTables!$B$19:$C$31,2,FALSE))</f>
        <v>3</v>
      </c>
      <c r="K3177" s="72">
        <v>3071.3212164799588</v>
      </c>
      <c r="L3177" s="70">
        <v>7.7491547861221408</v>
      </c>
      <c r="M3177" s="71">
        <f>IF(L3177&lt;1,1,L3177)</f>
        <v>7.7491547861221408</v>
      </c>
      <c r="N3177" s="70" t="s">
        <v>141</v>
      </c>
      <c r="O3177" s="71">
        <f>INDEX(DurClassMapping,MATCH(M3177,MappingTables!$D$4:$D$8,-1),1)</f>
        <v>2</v>
      </c>
      <c r="P3177" s="73">
        <f>IF(M3177=$A$1,1,$M3177-INDEX(MappingTables!$E$4:$E$8,MATCH(O3177,MappingTables!$B$4:$B$8,0)))</f>
        <v>2.7491547861221416</v>
      </c>
      <c r="Q3177" s="71">
        <f>IF(B3177="",0,INDEX(ModelParameters!$D$6:$K$10,MATCH($O3177,ModelParameters!$B$6:$B$10,0),MATCH($J3177,ModelParameters!$D$5:$K$5,0)))</f>
        <v>0.015</v>
      </c>
      <c r="R3177" s="71">
        <f>IF(B3177="",0,INDEX(ModelParameters!$D$13:$K$17,MATCH($O3177,ModelParameters!$B$13:$B$17,0),MATCH($J3177,ModelParameters!$D$5:$K$5,0)))</f>
        <v>0.125</v>
      </c>
      <c r="S3177" s="160">
        <f>IF(B3177="",0,MIN(IF($N3177="Other Bond TM",ModelParameters!$N$21,1)*(P3177*Q3177+R3177),1))</f>
        <v>0.16623732179183212</v>
      </c>
      <c r="T3177" s="85">
        <f>IF(B3177="",0,$S3177*$K3177)</f>
        <v>510.56821339006016</v>
      </c>
      <c r="U3177" s="85">
        <f>IF(B3177="",0,IF(OR(H3177=MappingTables!$C$34,H3177=MappingTables!$C$35),T3177,0))</f>
        <v>0</v>
      </c>
      <c r="V3177" s="85">
        <f>IF(ISNA(IF(AND(VLOOKUP(CONCATENATE($D3177,$G3177),CSRFinput!$B:$E,4,0)=0,OR(H3177=MappingTables!$C$34,H3177=MappingTables!$C$35)),1,VLOOKUP(CONCATENATE($D3177,$G3177),CSRFinput!$B:$E,4,0))),0,IF(AND(VLOOKUP(CONCATENATE($D3177,$G3177),CSRFinput!$B:$E,4,0)=0,OR(H3177=MappingTables!$C$34,H3177=MappingTables!$C$35)),1,VLOOKUP(CONCATENATE($D3177,$G3177),CSRFinput!$B:$E,4,0)))</f>
        <v>0.054776304963434752</v>
      </c>
      <c r="W3177" s="85">
        <f>IF(B3177="",0,+$T3177*$V3177)</f>
        <v>27.967040161289968</v>
      </c>
      <c r="X3177" s="85">
        <f>IF(B3177="",0,IF(OR(H3177=MappingTables!$C$34,H3177=MappingTables!$C$35),W3177,0))</f>
        <v>0</v>
      </c>
    </row>
    <row r="3178" spans="2:24" s="0" customFormat="0" ht="15">
      <c r="B3178" s="69">
        <v>13220916</v>
      </c>
      <c r="C3178" s="70" t="s">
        <v>1643</v>
      </c>
      <c r="D3178" s="70" t="s">
        <v>1</v>
      </c>
      <c r="E3178" s="70" t="s">
        <v>1</v>
      </c>
      <c r="F3178" s="70"/>
      <c r="G3178" s="70" t="s">
        <v>61</v>
      </c>
      <c r="H3178" s="70" t="s">
        <v>178</v>
      </c>
      <c r="I3178" s="70" t="s">
        <v>179</v>
      </c>
      <c r="J3178" s="71">
        <f>IF(OR(I3178=0,I3178=""),"unrated",VLOOKUP(I3178,MappingTables!$B$19:$C$31,2,FALSE))</f>
        <v>4</v>
      </c>
      <c r="K3178" s="72">
        <v>134.20622428085172</v>
      </c>
      <c r="L3178" s="70">
        <v>5.448406638125596</v>
      </c>
      <c r="M3178" s="71">
        <f>IF(L3178&lt;1,1,L3178)</f>
        <v>5.448406638125596</v>
      </c>
      <c r="N3178" s="70" t="s">
        <v>141</v>
      </c>
      <c r="O3178" s="71">
        <f>INDEX(DurClassMapping,MATCH(M3178,MappingTables!$D$4:$D$8,-1),1)</f>
        <v>2</v>
      </c>
      <c r="P3178" s="73">
        <f>IF(M3178=$A$1,1,$M3178-INDEX(MappingTables!$E$4:$E$8,MATCH(O3178,MappingTables!$B$4:$B$8,0)))</f>
        <v>0.44840663812559624</v>
      </c>
      <c r="Q3178" s="71">
        <f>IF(B3178="",0,INDEX(ModelParameters!$D$6:$K$10,MATCH($O3178,ModelParameters!$B$6:$B$10,0),MATCH($J3178,ModelParameters!$D$5:$K$5,0)))</f>
        <v>0.025</v>
      </c>
      <c r="R3178" s="71">
        <f>IF(B3178="",0,INDEX(ModelParameters!$D$13:$K$17,MATCH($O3178,ModelParameters!$B$13:$B$17,0),MATCH($J3178,ModelParameters!$D$5:$K$5,0)))</f>
        <v>0.225</v>
      </c>
      <c r="S3178" s="160">
        <f>IF(B3178="",0,MIN(IF($N3178="Other Bond TM",ModelParameters!$N$21,1)*(P3178*Q3178+R3178),1))</f>
        <v>0.23621016595313992</v>
      </c>
      <c r="T3178" s="85">
        <f>IF(B3178="",0,$S3178*$K3178)</f>
        <v>31.7008745093243</v>
      </c>
      <c r="U3178" s="85">
        <f>IF(B3178="",0,IF(OR(H3178=MappingTables!$C$34,H3178=MappingTables!$C$35),T3178,0))</f>
        <v>0</v>
      </c>
      <c r="V3178" s="85">
        <f>IF(ISNA(IF(AND(VLOOKUP(CONCATENATE($D3178,$G3178),CSRFinput!$B:$E,4,0)=0,OR(H3178=MappingTables!$C$34,H3178=MappingTables!$C$35)),1,VLOOKUP(CONCATENATE($D3178,$G3178),CSRFinput!$B:$E,4,0))),0,IF(AND(VLOOKUP(CONCATENATE($D3178,$G3178),CSRFinput!$B:$E,4,0)=0,OR(H3178=MappingTables!$C$34,H3178=MappingTables!$C$35)),1,VLOOKUP(CONCATENATE($D3178,$G3178),CSRFinput!$B:$E,4,0)))</f>
        <v>0.054776304963434752</v>
      </c>
      <c r="W3178" s="85">
        <f>IF(B3178="",0,+$T3178*$V3178)</f>
        <v>1.736456769730323</v>
      </c>
      <c r="X3178" s="85">
        <f>IF(B3178="",0,IF(OR(H3178=MappingTables!$C$34,H3178=MappingTables!$C$35),W3178,0))</f>
        <v>0</v>
      </c>
    </row>
    <row r="3179" spans="2:24" s="0" customFormat="0" ht="15">
      <c r="B3179" s="69" t="s">
        <v>2536</v>
      </c>
      <c r="C3179" s="70" t="s">
        <v>2537</v>
      </c>
      <c r="D3179" s="70" t="s">
        <v>1</v>
      </c>
      <c r="E3179" s="70" t="s">
        <v>1</v>
      </c>
      <c r="F3179" s="70"/>
      <c r="G3179" s="70" t="s">
        <v>61</v>
      </c>
      <c r="H3179" s="70" t="s">
        <v>178</v>
      </c>
      <c r="I3179" s="70" t="s">
        <v>179</v>
      </c>
      <c r="J3179" s="71">
        <f>IF(OR(I3179=0,I3179=""),"unrated",VLOOKUP(I3179,MappingTables!$B$19:$C$31,2,FALSE))</f>
        <v>4</v>
      </c>
      <c r="K3179" s="72">
        <v>50411.139585431736</v>
      </c>
      <c r="L3179" s="70">
        <v>4.4018614741792472</v>
      </c>
      <c r="M3179" s="71">
        <f>IF(L3179&lt;1,1,L3179)</f>
        <v>4.4018614741792472</v>
      </c>
      <c r="N3179" s="70" t="s">
        <v>141</v>
      </c>
      <c r="O3179" s="71">
        <f>INDEX(DurClassMapping,MATCH(M3179,MappingTables!$D$4:$D$8,-1),1)</f>
        <v>1</v>
      </c>
      <c r="P3179" s="73">
        <f>IF(M3179=$A$1,1,$M3179-INDEX(MappingTables!$E$4:$E$8,MATCH(O3179,MappingTables!$B$4:$B$8,0)))</f>
        <v>4.4018614741792472</v>
      </c>
      <c r="Q3179" s="71">
        <f>IF(B3179="",0,INDEX(ModelParameters!$D$6:$K$10,MATCH($O3179,ModelParameters!$B$6:$B$10,0),MATCH($J3179,ModelParameters!$D$5:$K$5,0)))</f>
        <v>0.045</v>
      </c>
      <c r="R3179" s="71">
        <f>IF(B3179="",0,INDEX(ModelParameters!$D$13:$K$17,MATCH($O3179,ModelParameters!$B$13:$B$17,0),MATCH($J3179,ModelParameters!$D$5:$K$5,0)))</f>
        <v>0</v>
      </c>
      <c r="S3179" s="160">
        <f>IF(B3179="",0,MIN(IF($N3179="Other Bond TM",ModelParameters!$N$21,1)*(P3179*Q3179+R3179),1))</f>
        <v>0.19808376633806612</v>
      </c>
      <c r="T3179" s="85">
        <f>IF(B3179="",0,$S3179*$K3179)</f>
        <v>9985.628394476296</v>
      </c>
      <c r="U3179" s="85">
        <f>IF(B3179="",0,IF(OR(H3179=MappingTables!$C$34,H3179=MappingTables!$C$35),T3179,0))</f>
        <v>0</v>
      </c>
      <c r="V3179" s="85">
        <f>IF(ISNA(IF(AND(VLOOKUP(CONCATENATE($D3179,$G3179),CSRFinput!$B:$E,4,0)=0,OR(H3179=MappingTables!$C$34,H3179=MappingTables!$C$35)),1,VLOOKUP(CONCATENATE($D3179,$G3179),CSRFinput!$B:$E,4,0))),0,IF(AND(VLOOKUP(CONCATENATE($D3179,$G3179),CSRFinput!$B:$E,4,0)=0,OR(H3179=MappingTables!$C$34,H3179=MappingTables!$C$35)),1,VLOOKUP(CONCATENATE($D3179,$G3179),CSRFinput!$B:$E,4,0)))</f>
        <v>0.054776304963434752</v>
      </c>
      <c r="W3179" s="85">
        <f>IF(B3179="",0,+$T3179*$V3179)</f>
        <v>546.97582618736688</v>
      </c>
      <c r="X3179" s="85">
        <f>IF(B3179="",0,IF(OR(H3179=MappingTables!$C$34,H3179=MappingTables!$C$35),W3179,0))</f>
        <v>0</v>
      </c>
    </row>
    <row r="3180" spans="2:24" s="0" customFormat="0" ht="15">
      <c r="B3180" s="69">
        <v>18657665</v>
      </c>
      <c r="C3180" s="70" t="s">
        <v>2759</v>
      </c>
      <c r="D3180" s="70" t="s">
        <v>1</v>
      </c>
      <c r="E3180" s="70" t="s">
        <v>1</v>
      </c>
      <c r="F3180" s="70"/>
      <c r="G3180" s="70" t="s">
        <v>61</v>
      </c>
      <c r="H3180" s="70" t="s">
        <v>178</v>
      </c>
      <c r="I3180" s="70" t="s">
        <v>181</v>
      </c>
      <c r="J3180" s="71">
        <f>IF(OR(I3180=0,I3180=""),"unrated",VLOOKUP(I3180,MappingTables!$B$19:$C$31,2,FALSE))</f>
        <v>3</v>
      </c>
      <c r="K3180" s="72">
        <v>4165.3970845346992</v>
      </c>
      <c r="L3180" s="70">
        <v>0.94039520587306064</v>
      </c>
      <c r="M3180" s="71">
        <f>IF(L3180&lt;1,1,L3180)</f>
        <v>1</v>
      </c>
      <c r="N3180" s="70" t="s">
        <v>141</v>
      </c>
      <c r="O3180" s="71">
        <f>INDEX(DurClassMapping,MATCH(M3180,MappingTables!$D$4:$D$8,-1),1)</f>
        <v>1</v>
      </c>
      <c r="P3180" s="73">
        <f>IF(M3180=$A$1,1,$M3180-INDEX(MappingTables!$E$4:$E$8,MATCH(O3180,MappingTables!$B$4:$B$8,0)))</f>
        <v>1</v>
      </c>
      <c r="Q3180" s="71">
        <f>IF(B3180="",0,INDEX(ModelParameters!$D$6:$K$10,MATCH($O3180,ModelParameters!$B$6:$B$10,0),MATCH($J3180,ModelParameters!$D$5:$K$5,0)))</f>
        <v>0.025</v>
      </c>
      <c r="R3180" s="71">
        <f>IF(B3180="",0,INDEX(ModelParameters!$D$13:$K$17,MATCH($O3180,ModelParameters!$B$13:$B$17,0),MATCH($J3180,ModelParameters!$D$5:$K$5,0)))</f>
        <v>0</v>
      </c>
      <c r="S3180" s="160">
        <f>IF(B3180="",0,MIN(IF($N3180="Other Bond TM",ModelParameters!$N$21,1)*(P3180*Q3180+R3180),1))</f>
        <v>0.025</v>
      </c>
      <c r="T3180" s="85">
        <f>IF(B3180="",0,$S3180*$K3180)</f>
        <v>104.1349271133675</v>
      </c>
      <c r="U3180" s="85">
        <f>IF(B3180="",0,IF(OR(H3180=MappingTables!$C$34,H3180=MappingTables!$C$35),T3180,0))</f>
        <v>0</v>
      </c>
      <c r="V3180" s="85">
        <f>IF(ISNA(IF(AND(VLOOKUP(CONCATENATE($D3180,$G3180),CSRFinput!$B:$E,4,0)=0,OR(H3180=MappingTables!$C$34,H3180=MappingTables!$C$35)),1,VLOOKUP(CONCATENATE($D3180,$G3180),CSRFinput!$B:$E,4,0))),0,IF(AND(VLOOKUP(CONCATENATE($D3180,$G3180),CSRFinput!$B:$E,4,0)=0,OR(H3180=MappingTables!$C$34,H3180=MappingTables!$C$35)),1,VLOOKUP(CONCATENATE($D3180,$G3180),CSRFinput!$B:$E,4,0)))</f>
        <v>0.054776304963434752</v>
      </c>
      <c r="W3180" s="85">
        <f>IF(B3180="",0,+$T3180*$V3180)</f>
        <v>5.7041265249068688</v>
      </c>
      <c r="X3180" s="85">
        <f>IF(B3180="",0,IF(OR(H3180=MappingTables!$C$34,H3180=MappingTables!$C$35),W3180,0))</f>
        <v>0</v>
      </c>
    </row>
    <row r="3181" spans="2:24" s="0" customFormat="0" ht="15">
      <c r="B3181" s="69">
        <v>21563202</v>
      </c>
      <c r="C3181" s="70" t="s">
        <v>1122</v>
      </c>
      <c r="D3181" s="70" t="s">
        <v>1</v>
      </c>
      <c r="E3181" s="70" t="s">
        <v>1</v>
      </c>
      <c r="F3181" s="70"/>
      <c r="G3181" s="70" t="s">
        <v>61</v>
      </c>
      <c r="H3181" s="70" t="s">
        <v>178</v>
      </c>
      <c r="I3181" s="70" t="s">
        <v>184</v>
      </c>
      <c r="J3181" s="71">
        <f>IF(OR(I3181=0,I3181=""),"unrated",VLOOKUP(I3181,MappingTables!$B$19:$C$31,2,FALSE))</f>
        <v>5</v>
      </c>
      <c r="K3181" s="72">
        <v>2805.5264750466536</v>
      </c>
      <c r="L3181" s="70">
        <v>1.82109431475074</v>
      </c>
      <c r="M3181" s="71">
        <f>IF(L3181&lt;1,1,L3181)</f>
        <v>1.82109431475074</v>
      </c>
      <c r="N3181" s="70" t="s">
        <v>141</v>
      </c>
      <c r="O3181" s="71">
        <f>INDEX(DurClassMapping,MATCH(M3181,MappingTables!$D$4:$D$8,-1),1)</f>
        <v>1</v>
      </c>
      <c r="P3181" s="73">
        <f>IF(M3181=$A$1,1,$M3181-INDEX(MappingTables!$E$4:$E$8,MATCH(O3181,MappingTables!$B$4:$B$8,0)))</f>
        <v>1.82109431475074</v>
      </c>
      <c r="Q3181" s="71">
        <f>IF(B3181="",0,INDEX(ModelParameters!$D$6:$K$10,MATCH($O3181,ModelParameters!$B$6:$B$10,0),MATCH($J3181,ModelParameters!$D$5:$K$5,0)))</f>
        <v>0.075</v>
      </c>
      <c r="R3181" s="71">
        <f>IF(B3181="",0,INDEX(ModelParameters!$D$13:$K$17,MATCH($O3181,ModelParameters!$B$13:$B$17,0),MATCH($J3181,ModelParameters!$D$5:$K$5,0)))</f>
        <v>0</v>
      </c>
      <c r="S3181" s="160">
        <f>IF(B3181="",0,MIN(IF($N3181="Other Bond TM",ModelParameters!$N$21,1)*(P3181*Q3181+R3181),1))</f>
        <v>0.1365820736063055</v>
      </c>
      <c r="T3181" s="85">
        <f>IF(B3181="",0,$S3181*$K3181)</f>
        <v>383.18462351926088</v>
      </c>
      <c r="U3181" s="85">
        <f>IF(B3181="",0,IF(OR(H3181=MappingTables!$C$34,H3181=MappingTables!$C$35),T3181,0))</f>
        <v>0</v>
      </c>
      <c r="V3181" s="85">
        <f>IF(ISNA(IF(AND(VLOOKUP(CONCATENATE($D3181,$G3181),CSRFinput!$B:$E,4,0)=0,OR(H3181=MappingTables!$C$34,H3181=MappingTables!$C$35)),1,VLOOKUP(CONCATENATE($D3181,$G3181),CSRFinput!$B:$E,4,0))),0,IF(AND(VLOOKUP(CONCATENATE($D3181,$G3181),CSRFinput!$B:$E,4,0)=0,OR(H3181=MappingTables!$C$34,H3181=MappingTables!$C$35)),1,VLOOKUP(CONCATENATE($D3181,$G3181),CSRFinput!$B:$E,4,0)))</f>
        <v>0.054776304963434752</v>
      </c>
      <c r="W3181" s="85">
        <f>IF(B3181="",0,+$T3181*$V3181)</f>
        <v>20.989437795189968</v>
      </c>
      <c r="X3181" s="85">
        <f>IF(B3181="",0,IF(OR(H3181=MappingTables!$C$34,H3181=MappingTables!$C$35),W3181,0))</f>
        <v>0</v>
      </c>
    </row>
    <row r="3182" spans="2:24" s="0" customFormat="0" ht="15">
      <c r="B3182" s="69">
        <v>17069409</v>
      </c>
      <c r="C3182" s="70" t="s">
        <v>2760</v>
      </c>
      <c r="D3182" s="70" t="s">
        <v>1</v>
      </c>
      <c r="E3182" s="70" t="s">
        <v>1</v>
      </c>
      <c r="F3182" s="70"/>
      <c r="G3182" s="70" t="s">
        <v>61</v>
      </c>
      <c r="H3182" s="70" t="s">
        <v>178</v>
      </c>
      <c r="I3182" s="70" t="s">
        <v>181</v>
      </c>
      <c r="J3182" s="71">
        <f>IF(OR(I3182=0,I3182=""),"unrated",VLOOKUP(I3182,MappingTables!$B$19:$C$31,2,FALSE))</f>
        <v>3</v>
      </c>
      <c r="K3182" s="72">
        <v>307.49016427616032</v>
      </c>
      <c r="L3182" s="70">
        <v>0.347943179898785</v>
      </c>
      <c r="M3182" s="71">
        <f>IF(L3182&lt;1,1,L3182)</f>
        <v>1</v>
      </c>
      <c r="N3182" s="70" t="s">
        <v>141</v>
      </c>
      <c r="O3182" s="71">
        <f>INDEX(DurClassMapping,MATCH(M3182,MappingTables!$D$4:$D$8,-1),1)</f>
        <v>1</v>
      </c>
      <c r="P3182" s="73">
        <f>IF(M3182=$A$1,1,$M3182-INDEX(MappingTables!$E$4:$E$8,MATCH(O3182,MappingTables!$B$4:$B$8,0)))</f>
        <v>1</v>
      </c>
      <c r="Q3182" s="71">
        <f>IF(B3182="",0,INDEX(ModelParameters!$D$6:$K$10,MATCH($O3182,ModelParameters!$B$6:$B$10,0),MATCH($J3182,ModelParameters!$D$5:$K$5,0)))</f>
        <v>0.025</v>
      </c>
      <c r="R3182" s="71">
        <f>IF(B3182="",0,INDEX(ModelParameters!$D$13:$K$17,MATCH($O3182,ModelParameters!$B$13:$B$17,0),MATCH($J3182,ModelParameters!$D$5:$K$5,0)))</f>
        <v>0</v>
      </c>
      <c r="S3182" s="160">
        <f>IF(B3182="",0,MIN(IF($N3182="Other Bond TM",ModelParameters!$N$21,1)*(P3182*Q3182+R3182),1))</f>
        <v>0.025</v>
      </c>
      <c r="T3182" s="85">
        <f>IF(B3182="",0,$S3182*$K3182)</f>
        <v>7.687254106904008</v>
      </c>
      <c r="U3182" s="85">
        <f>IF(B3182="",0,IF(OR(H3182=MappingTables!$C$34,H3182=MappingTables!$C$35),T3182,0))</f>
        <v>0</v>
      </c>
      <c r="V3182" s="85">
        <f>IF(ISNA(IF(AND(VLOOKUP(CONCATENATE($D3182,$G3182),CSRFinput!$B:$E,4,0)=0,OR(H3182=MappingTables!$C$34,H3182=MappingTables!$C$35)),1,VLOOKUP(CONCATENATE($D3182,$G3182),CSRFinput!$B:$E,4,0))),0,IF(AND(VLOOKUP(CONCATENATE($D3182,$G3182),CSRFinput!$B:$E,4,0)=0,OR(H3182=MappingTables!$C$34,H3182=MappingTables!$C$35)),1,VLOOKUP(CONCATENATE($D3182,$G3182),CSRFinput!$B:$E,4,0)))</f>
        <v>0.054776304963434752</v>
      </c>
      <c r="W3182" s="85">
        <f>IF(B3182="",0,+$T3182*$V3182)</f>
        <v>0.42107937529119024</v>
      </c>
      <c r="X3182" s="85">
        <f>IF(B3182="",0,IF(OR(H3182=MappingTables!$C$34,H3182=MappingTables!$C$35),W3182,0))</f>
        <v>0</v>
      </c>
    </row>
    <row r="3183" spans="2:24" s="0" customFormat="0" ht="15">
      <c r="B3183" s="69" t="s">
        <v>2369</v>
      </c>
      <c r="C3183" s="70" t="s">
        <v>2370</v>
      </c>
      <c r="D3183" s="70" t="s">
        <v>1</v>
      </c>
      <c r="E3183" s="70" t="s">
        <v>1</v>
      </c>
      <c r="F3183" s="70"/>
      <c r="G3183" s="70" t="s">
        <v>61</v>
      </c>
      <c r="H3183" s="70" t="s">
        <v>178</v>
      </c>
      <c r="I3183" s="70" t="s">
        <v>179</v>
      </c>
      <c r="J3183" s="71">
        <f>IF(OR(I3183=0,I3183=""),"unrated",VLOOKUP(I3183,MappingTables!$B$19:$C$31,2,FALSE))</f>
        <v>4</v>
      </c>
      <c r="K3183" s="72">
        <v>161.53732769729624</v>
      </c>
      <c r="L3183" s="70">
        <v>0.54520862630571584</v>
      </c>
      <c r="M3183" s="71">
        <f>IF(L3183&lt;1,1,L3183)</f>
        <v>1</v>
      </c>
      <c r="N3183" s="70" t="s">
        <v>141</v>
      </c>
      <c r="O3183" s="71">
        <f>INDEX(DurClassMapping,MATCH(M3183,MappingTables!$D$4:$D$8,-1),1)</f>
        <v>1</v>
      </c>
      <c r="P3183" s="73">
        <f>IF(M3183=$A$1,1,$M3183-INDEX(MappingTables!$E$4:$E$8,MATCH(O3183,MappingTables!$B$4:$B$8,0)))</f>
        <v>1</v>
      </c>
      <c r="Q3183" s="71">
        <f>IF(B3183="",0,INDEX(ModelParameters!$D$6:$K$10,MATCH($O3183,ModelParameters!$B$6:$B$10,0),MATCH($J3183,ModelParameters!$D$5:$K$5,0)))</f>
        <v>0.045</v>
      </c>
      <c r="R3183" s="71">
        <f>IF(B3183="",0,INDEX(ModelParameters!$D$13:$K$17,MATCH($O3183,ModelParameters!$B$13:$B$17,0),MATCH($J3183,ModelParameters!$D$5:$K$5,0)))</f>
        <v>0</v>
      </c>
      <c r="S3183" s="160">
        <f>IF(B3183="",0,MIN(IF($N3183="Other Bond TM",ModelParameters!$N$21,1)*(P3183*Q3183+R3183),1))</f>
        <v>0.045</v>
      </c>
      <c r="T3183" s="85">
        <f>IF(B3183="",0,$S3183*$K3183)</f>
        <v>7.2691797463783296</v>
      </c>
      <c r="U3183" s="85">
        <f>IF(B3183="",0,IF(OR(H3183=MappingTables!$C$34,H3183=MappingTables!$C$35),T3183,0))</f>
        <v>0</v>
      </c>
      <c r="V3183" s="85">
        <f>IF(ISNA(IF(AND(VLOOKUP(CONCATENATE($D3183,$G3183),CSRFinput!$B:$E,4,0)=0,OR(H3183=MappingTables!$C$34,H3183=MappingTables!$C$35)),1,VLOOKUP(CONCATENATE($D3183,$G3183),CSRFinput!$B:$E,4,0))),0,IF(AND(VLOOKUP(CONCATENATE($D3183,$G3183),CSRFinput!$B:$E,4,0)=0,OR(H3183=MappingTables!$C$34,H3183=MappingTables!$C$35)),1,VLOOKUP(CONCATENATE($D3183,$G3183),CSRFinput!$B:$E,4,0)))</f>
        <v>0.054776304963434752</v>
      </c>
      <c r="W3183" s="85">
        <f>IF(B3183="",0,+$T3183*$V3183)</f>
        <v>0.39817880662164264</v>
      </c>
      <c r="X3183" s="85">
        <f>IF(B3183="",0,IF(OR(H3183=MappingTables!$C$34,H3183=MappingTables!$C$35),W3183,0))</f>
        <v>0</v>
      </c>
    </row>
    <row r="3184" spans="2:24" s="0" customFormat="0" ht="15">
      <c r="B3184" s="69">
        <v>21742335</v>
      </c>
      <c r="C3184" s="70" t="s">
        <v>2671</v>
      </c>
      <c r="D3184" s="70" t="s">
        <v>1</v>
      </c>
      <c r="E3184" s="70" t="s">
        <v>1</v>
      </c>
      <c r="F3184" s="70"/>
      <c r="G3184" s="70" t="s">
        <v>61</v>
      </c>
      <c r="H3184" s="70" t="s">
        <v>178</v>
      </c>
      <c r="I3184" s="70" t="s">
        <v>179</v>
      </c>
      <c r="J3184" s="71">
        <f>IF(OR(I3184=0,I3184=""),"unrated",VLOOKUP(I3184,MappingTables!$B$19:$C$31,2,FALSE))</f>
        <v>4</v>
      </c>
      <c r="K3184" s="72">
        <v>21614.4621536132</v>
      </c>
      <c r="L3184" s="70">
        <v>2.2407524281876692</v>
      </c>
      <c r="M3184" s="71">
        <f>IF(L3184&lt;1,1,L3184)</f>
        <v>2.2407524281876692</v>
      </c>
      <c r="N3184" s="70" t="s">
        <v>141</v>
      </c>
      <c r="O3184" s="71">
        <f>INDEX(DurClassMapping,MATCH(M3184,MappingTables!$D$4:$D$8,-1),1)</f>
        <v>1</v>
      </c>
      <c r="P3184" s="73">
        <f>IF(M3184=$A$1,1,$M3184-INDEX(MappingTables!$E$4:$E$8,MATCH(O3184,MappingTables!$B$4:$B$8,0)))</f>
        <v>2.2407524281876692</v>
      </c>
      <c r="Q3184" s="71">
        <f>IF(B3184="",0,INDEX(ModelParameters!$D$6:$K$10,MATCH($O3184,ModelParameters!$B$6:$B$10,0),MATCH($J3184,ModelParameters!$D$5:$K$5,0)))</f>
        <v>0.045</v>
      </c>
      <c r="R3184" s="71">
        <f>IF(B3184="",0,INDEX(ModelParameters!$D$13:$K$17,MATCH($O3184,ModelParameters!$B$13:$B$17,0),MATCH($J3184,ModelParameters!$D$5:$K$5,0)))</f>
        <v>0</v>
      </c>
      <c r="S3184" s="160">
        <f>IF(B3184="",0,MIN(IF($N3184="Other Bond TM",ModelParameters!$N$21,1)*(P3184*Q3184+R3184),1))</f>
        <v>0.10083385926844512</v>
      </c>
      <c r="T3184" s="85">
        <f>IF(B3184="",0,$S3184*$K3184)</f>
        <v>2179.4696349605668</v>
      </c>
      <c r="U3184" s="85">
        <f>IF(B3184="",0,IF(OR(H3184=MappingTables!$C$34,H3184=MappingTables!$C$35),T3184,0))</f>
        <v>0</v>
      </c>
      <c r="V3184" s="85">
        <f>IF(ISNA(IF(AND(VLOOKUP(CONCATENATE($D3184,$G3184),CSRFinput!$B:$E,4,0)=0,OR(H3184=MappingTables!$C$34,H3184=MappingTables!$C$35)),1,VLOOKUP(CONCATENATE($D3184,$G3184),CSRFinput!$B:$E,4,0))),0,IF(AND(VLOOKUP(CONCATENATE($D3184,$G3184),CSRFinput!$B:$E,4,0)=0,OR(H3184=MappingTables!$C$34,H3184=MappingTables!$C$35)),1,VLOOKUP(CONCATENATE($D3184,$G3184),CSRFinput!$B:$E,4,0)))</f>
        <v>0.054776304963434752</v>
      </c>
      <c r="W3184" s="85">
        <f>IF(B3184="",0,+$T3184*$V3184)</f>
        <v>119.38329338314584</v>
      </c>
      <c r="X3184" s="85">
        <f>IF(B3184="",0,IF(OR(H3184=MappingTables!$C$34,H3184=MappingTables!$C$35),W3184,0))</f>
        <v>0</v>
      </c>
    </row>
    <row r="3185" spans="2:24" s="0" customFormat="0" ht="15">
      <c r="B3185" s="69">
        <v>17901009</v>
      </c>
      <c r="C3185" s="70" t="s">
        <v>1336</v>
      </c>
      <c r="D3185" s="70" t="s">
        <v>1</v>
      </c>
      <c r="E3185" s="70" t="s">
        <v>1</v>
      </c>
      <c r="F3185" s="70"/>
      <c r="G3185" s="70" t="s">
        <v>61</v>
      </c>
      <c r="H3185" s="70" t="s">
        <v>178</v>
      </c>
      <c r="I3185" s="70" t="s">
        <v>188</v>
      </c>
      <c r="J3185" s="71">
        <f>IF(OR(I3185=0,I3185=""),"unrated",VLOOKUP(I3185,MappingTables!$B$19:$C$31,2,FALSE))</f>
        <v>2</v>
      </c>
      <c r="K3185" s="72">
        <v>4777.3080694462448</v>
      </c>
      <c r="L3185" s="70">
        <v>0.73852203066019888</v>
      </c>
      <c r="M3185" s="71">
        <f>IF(L3185&lt;1,1,L3185)</f>
        <v>1</v>
      </c>
      <c r="N3185" s="70" t="s">
        <v>141</v>
      </c>
      <c r="O3185" s="71">
        <f>INDEX(DurClassMapping,MATCH(M3185,MappingTables!$D$4:$D$8,-1),1)</f>
        <v>1</v>
      </c>
      <c r="P3185" s="73">
        <f>IF(M3185=$A$1,1,$M3185-INDEX(MappingTables!$E$4:$E$8,MATCH(O3185,MappingTables!$B$4:$B$8,0)))</f>
        <v>1</v>
      </c>
      <c r="Q3185" s="71">
        <f>IF(B3185="",0,INDEX(ModelParameters!$D$6:$K$10,MATCH($O3185,ModelParameters!$B$6:$B$10,0),MATCH($J3185,ModelParameters!$D$5:$K$5,0)))</f>
        <v>0.013999999999999998</v>
      </c>
      <c r="R3185" s="71">
        <f>IF(B3185="",0,INDEX(ModelParameters!$D$13:$K$17,MATCH($O3185,ModelParameters!$B$13:$B$17,0),MATCH($J3185,ModelParameters!$D$5:$K$5,0)))</f>
        <v>0</v>
      </c>
      <c r="S3185" s="160">
        <f>IF(B3185="",0,MIN(IF($N3185="Other Bond TM",ModelParameters!$N$21,1)*(P3185*Q3185+R3185),1))</f>
        <v>0.013999999999999998</v>
      </c>
      <c r="T3185" s="85">
        <f>IF(B3185="",0,$S3185*$K3185)</f>
        <v>66.882312972247416</v>
      </c>
      <c r="U3185" s="85">
        <f>IF(B3185="",0,IF(OR(H3185=MappingTables!$C$34,H3185=MappingTables!$C$35),T3185,0))</f>
        <v>0</v>
      </c>
      <c r="V3185" s="85">
        <f>IF(ISNA(IF(AND(VLOOKUP(CONCATENATE($D3185,$G3185),CSRFinput!$B:$E,4,0)=0,OR(H3185=MappingTables!$C$34,H3185=MappingTables!$C$35)),1,VLOOKUP(CONCATENATE($D3185,$G3185),CSRFinput!$B:$E,4,0))),0,IF(AND(VLOOKUP(CONCATENATE($D3185,$G3185),CSRFinput!$B:$E,4,0)=0,OR(H3185=MappingTables!$C$34,H3185=MappingTables!$C$35)),1,VLOOKUP(CONCATENATE($D3185,$G3185),CSRFinput!$B:$E,4,0)))</f>
        <v>0.054776304963434752</v>
      </c>
      <c r="W3185" s="85">
        <f>IF(B3185="",0,+$T3185*$V3185)</f>
        <v>3.6635659720277128</v>
      </c>
      <c r="X3185" s="85">
        <f>IF(B3185="",0,IF(OR(H3185=MappingTables!$C$34,H3185=MappingTables!$C$35),W3185,0))</f>
        <v>0</v>
      </c>
    </row>
    <row r="3186" spans="2:24" s="0" customFormat="0" ht="15">
      <c r="B3186" s="69">
        <v>23248120</v>
      </c>
      <c r="C3186" s="70" t="s">
        <v>2548</v>
      </c>
      <c r="D3186" s="70" t="s">
        <v>1</v>
      </c>
      <c r="E3186" s="70" t="s">
        <v>1</v>
      </c>
      <c r="F3186" s="70"/>
      <c r="G3186" s="70" t="s">
        <v>61</v>
      </c>
      <c r="H3186" s="70" t="s">
        <v>178</v>
      </c>
      <c r="I3186" s="70" t="s">
        <v>220</v>
      </c>
      <c r="J3186" s="71">
        <f>IF(OR(I3186=0,I3186=""),"unrated",VLOOKUP(I3186,MappingTables!$B$19:$C$31,2,FALSE))</f>
        <v>1</v>
      </c>
      <c r="K3186" s="72">
        <v>10777.52806596961</v>
      </c>
      <c r="L3186" s="70">
        <v>0.15068741275869572</v>
      </c>
      <c r="M3186" s="71">
        <f>IF(L3186&lt;1,1,L3186)</f>
        <v>1</v>
      </c>
      <c r="N3186" s="70" t="s">
        <v>141</v>
      </c>
      <c r="O3186" s="71">
        <f>INDEX(DurClassMapping,MATCH(M3186,MappingTables!$D$4:$D$8,-1),1)</f>
        <v>1</v>
      </c>
      <c r="P3186" s="73">
        <f>IF(M3186=$A$1,1,$M3186-INDEX(MappingTables!$E$4:$E$8,MATCH(O3186,MappingTables!$B$4:$B$8,0)))</f>
        <v>1</v>
      </c>
      <c r="Q3186" s="71">
        <f>IF(B3186="",0,INDEX(ModelParameters!$D$6:$K$10,MATCH($O3186,ModelParameters!$B$6:$B$10,0),MATCH($J3186,ModelParameters!$D$5:$K$5,0)))</f>
        <v>0.011000000000000002</v>
      </c>
      <c r="R3186" s="71">
        <f>IF(B3186="",0,INDEX(ModelParameters!$D$13:$K$17,MATCH($O3186,ModelParameters!$B$13:$B$17,0),MATCH($J3186,ModelParameters!$D$5:$K$5,0)))</f>
        <v>0</v>
      </c>
      <c r="S3186" s="160">
        <f>IF(B3186="",0,MIN(IF($N3186="Other Bond TM",ModelParameters!$N$21,1)*(P3186*Q3186+R3186),1))</f>
        <v>0.011000000000000002</v>
      </c>
      <c r="T3186" s="85">
        <f>IF(B3186="",0,$S3186*$K3186)</f>
        <v>118.55280872566572</v>
      </c>
      <c r="U3186" s="85">
        <f>IF(B3186="",0,IF(OR(H3186=MappingTables!$C$34,H3186=MappingTables!$C$35),T3186,0))</f>
        <v>0</v>
      </c>
      <c r="V3186" s="85">
        <f>IF(ISNA(IF(AND(VLOOKUP(CONCATENATE($D3186,$G3186),CSRFinput!$B:$E,4,0)=0,OR(H3186=MappingTables!$C$34,H3186=MappingTables!$C$35)),1,VLOOKUP(CONCATENATE($D3186,$G3186),CSRFinput!$B:$E,4,0))),0,IF(AND(VLOOKUP(CONCATENATE($D3186,$G3186),CSRFinput!$B:$E,4,0)=0,OR(H3186=MappingTables!$C$34,H3186=MappingTables!$C$35)),1,VLOOKUP(CONCATENATE($D3186,$G3186),CSRFinput!$B:$E,4,0)))</f>
        <v>0.054776304963434752</v>
      </c>
      <c r="W3186" s="85">
        <f>IF(B3186="",0,+$T3186*$V3186)</f>
        <v>6.4938848050288136</v>
      </c>
      <c r="X3186" s="85">
        <f>IF(B3186="",0,IF(OR(H3186=MappingTables!$C$34,H3186=MappingTables!$C$35),W3186,0))</f>
        <v>0</v>
      </c>
    </row>
    <row r="3187" spans="2:24" s="0" customFormat="0" ht="15">
      <c r="B3187" s="69">
        <v>15834520</v>
      </c>
      <c r="C3187" s="70" t="s">
        <v>2245</v>
      </c>
      <c r="D3187" s="70" t="s">
        <v>1</v>
      </c>
      <c r="E3187" s="70" t="s">
        <v>1</v>
      </c>
      <c r="F3187" s="70"/>
      <c r="G3187" s="70" t="s">
        <v>61</v>
      </c>
      <c r="H3187" s="70" t="s">
        <v>178</v>
      </c>
      <c r="I3187" s="70" t="s">
        <v>181</v>
      </c>
      <c r="J3187" s="71">
        <f>IF(OR(I3187=0,I3187=""),"unrated",VLOOKUP(I3187,MappingTables!$B$19:$C$31,2,FALSE))</f>
        <v>3</v>
      </c>
      <c r="K3187" s="72">
        <v>163.33158935131346</v>
      </c>
      <c r="L3187" s="70">
        <v>0.78230629500132576</v>
      </c>
      <c r="M3187" s="71">
        <f>IF(L3187&lt;1,1,L3187)</f>
        <v>1</v>
      </c>
      <c r="N3187" s="70" t="s">
        <v>141</v>
      </c>
      <c r="O3187" s="71">
        <f>INDEX(DurClassMapping,MATCH(M3187,MappingTables!$D$4:$D$8,-1),1)</f>
        <v>1</v>
      </c>
      <c r="P3187" s="73">
        <f>IF(M3187=$A$1,1,$M3187-INDEX(MappingTables!$E$4:$E$8,MATCH(O3187,MappingTables!$B$4:$B$8,0)))</f>
        <v>1</v>
      </c>
      <c r="Q3187" s="71">
        <f>IF(B3187="",0,INDEX(ModelParameters!$D$6:$K$10,MATCH($O3187,ModelParameters!$B$6:$B$10,0),MATCH($J3187,ModelParameters!$D$5:$K$5,0)))</f>
        <v>0.025</v>
      </c>
      <c r="R3187" s="71">
        <f>IF(B3187="",0,INDEX(ModelParameters!$D$13:$K$17,MATCH($O3187,ModelParameters!$B$13:$B$17,0),MATCH($J3187,ModelParameters!$D$5:$K$5,0)))</f>
        <v>0</v>
      </c>
      <c r="S3187" s="160">
        <f>IF(B3187="",0,MIN(IF($N3187="Other Bond TM",ModelParameters!$N$21,1)*(P3187*Q3187+R3187),1))</f>
        <v>0.025</v>
      </c>
      <c r="T3187" s="85">
        <f>IF(B3187="",0,$S3187*$K3187)</f>
        <v>4.0832897337828368</v>
      </c>
      <c r="U3187" s="85">
        <f>IF(B3187="",0,IF(OR(H3187=MappingTables!$C$34,H3187=MappingTables!$C$35),T3187,0))</f>
        <v>0</v>
      </c>
      <c r="V3187" s="85">
        <f>IF(ISNA(IF(AND(VLOOKUP(CONCATENATE($D3187,$G3187),CSRFinput!$B:$E,4,0)=0,OR(H3187=MappingTables!$C$34,H3187=MappingTables!$C$35)),1,VLOOKUP(CONCATENATE($D3187,$G3187),CSRFinput!$B:$E,4,0))),0,IF(AND(VLOOKUP(CONCATENATE($D3187,$G3187),CSRFinput!$B:$E,4,0)=0,OR(H3187=MappingTables!$C$34,H3187=MappingTables!$C$35)),1,VLOOKUP(CONCATENATE($D3187,$G3187),CSRFinput!$B:$E,4,0)))</f>
        <v>0.054776304963434752</v>
      </c>
      <c r="W3187" s="85">
        <f>IF(B3187="",0,+$T3187*$V3187)</f>
        <v>0.22366752371175096</v>
      </c>
      <c r="X3187" s="85">
        <f>IF(B3187="",0,IF(OR(H3187=MappingTables!$C$34,H3187=MappingTables!$C$35),W3187,0))</f>
        <v>0</v>
      </c>
    </row>
    <row r="3188" spans="2:24" s="0" customFormat="0" ht="15">
      <c r="B3188" s="69">
        <v>6924798</v>
      </c>
      <c r="C3188" s="70" t="s">
        <v>2761</v>
      </c>
      <c r="D3188" s="70" t="s">
        <v>1</v>
      </c>
      <c r="E3188" s="70" t="s">
        <v>1</v>
      </c>
      <c r="F3188" s="70"/>
      <c r="G3188" s="70" t="s">
        <v>61</v>
      </c>
      <c r="H3188" s="70" t="s">
        <v>178</v>
      </c>
      <c r="I3188" s="70" t="s">
        <v>184</v>
      </c>
      <c r="J3188" s="71">
        <f>IF(OR(I3188=0,I3188=""),"unrated",VLOOKUP(I3188,MappingTables!$B$19:$C$31,2,FALSE))</f>
        <v>5</v>
      </c>
      <c r="K3188" s="72">
        <v>248.24282635123848</v>
      </c>
      <c r="L3188" s="70">
        <v>2.2703925636308672</v>
      </c>
      <c r="M3188" s="71">
        <f>IF(L3188&lt;1,1,L3188)</f>
        <v>2.2703925636308672</v>
      </c>
      <c r="N3188" s="70" t="s">
        <v>141</v>
      </c>
      <c r="O3188" s="71">
        <f>INDEX(DurClassMapping,MATCH(M3188,MappingTables!$D$4:$D$8,-1),1)</f>
        <v>1</v>
      </c>
      <c r="P3188" s="73">
        <f>IF(M3188=$A$1,1,$M3188-INDEX(MappingTables!$E$4:$E$8,MATCH(O3188,MappingTables!$B$4:$B$8,0)))</f>
        <v>2.2703925636308672</v>
      </c>
      <c r="Q3188" s="71">
        <f>IF(B3188="",0,INDEX(ModelParameters!$D$6:$K$10,MATCH($O3188,ModelParameters!$B$6:$B$10,0),MATCH($J3188,ModelParameters!$D$5:$K$5,0)))</f>
        <v>0.075</v>
      </c>
      <c r="R3188" s="71">
        <f>IF(B3188="",0,INDEX(ModelParameters!$D$13:$K$17,MATCH($O3188,ModelParameters!$B$13:$B$17,0),MATCH($J3188,ModelParameters!$D$5:$K$5,0)))</f>
        <v>0</v>
      </c>
      <c r="S3188" s="160">
        <f>IF(B3188="",0,MIN(IF($N3188="Other Bond TM",ModelParameters!$N$21,1)*(P3188*Q3188+R3188),1))</f>
        <v>0.17027944227231504</v>
      </c>
      <c r="T3188" s="85">
        <f>IF(B3188="",0,$S3188*$K3188)</f>
        <v>42.27065001919204</v>
      </c>
      <c r="U3188" s="85">
        <f>IF(B3188="",0,IF(OR(H3188=MappingTables!$C$34,H3188=MappingTables!$C$35),T3188,0))</f>
        <v>0</v>
      </c>
      <c r="V3188" s="85">
        <f>IF(ISNA(IF(AND(VLOOKUP(CONCATENATE($D3188,$G3188),CSRFinput!$B:$E,4,0)=0,OR(H3188=MappingTables!$C$34,H3188=MappingTables!$C$35)),1,VLOOKUP(CONCATENATE($D3188,$G3188),CSRFinput!$B:$E,4,0))),0,IF(AND(VLOOKUP(CONCATENATE($D3188,$G3188),CSRFinput!$B:$E,4,0)=0,OR(H3188=MappingTables!$C$34,H3188=MappingTables!$C$35)),1,VLOOKUP(CONCATENATE($D3188,$G3188),CSRFinput!$B:$E,4,0)))</f>
        <v>0.054776304963434752</v>
      </c>
      <c r="W3188" s="85">
        <f>IF(B3188="",0,+$T3188*$V3188)</f>
        <v>2.3154300164538824</v>
      </c>
      <c r="X3188" s="85">
        <f>IF(B3188="",0,IF(OR(H3188=MappingTables!$C$34,H3188=MappingTables!$C$35),W3188,0))</f>
        <v>0</v>
      </c>
    </row>
    <row r="3189" spans="2:24" s="0" customFormat="0" ht="15">
      <c r="B3189" s="69" t="s">
        <v>2266</v>
      </c>
      <c r="C3189" s="70" t="s">
        <v>2267</v>
      </c>
      <c r="D3189" s="70" t="s">
        <v>1</v>
      </c>
      <c r="E3189" s="70" t="s">
        <v>1</v>
      </c>
      <c r="F3189" s="70"/>
      <c r="G3189" s="70" t="s">
        <v>61</v>
      </c>
      <c r="H3189" s="70" t="s">
        <v>178</v>
      </c>
      <c r="I3189" s="70" t="s">
        <v>181</v>
      </c>
      <c r="J3189" s="71">
        <f>IF(OR(I3189=0,I3189=""),"unrated",VLOOKUP(I3189,MappingTables!$B$19:$C$31,2,FALSE))</f>
        <v>3</v>
      </c>
      <c r="K3189" s="72">
        <v>58.687138165576256</v>
      </c>
      <c r="L3189" s="70">
        <v>0.98821378610937664</v>
      </c>
      <c r="M3189" s="71">
        <f>IF(L3189&lt;1,1,L3189)</f>
        <v>1</v>
      </c>
      <c r="N3189" s="70" t="s">
        <v>141</v>
      </c>
      <c r="O3189" s="71">
        <f>INDEX(DurClassMapping,MATCH(M3189,MappingTables!$D$4:$D$8,-1),1)</f>
        <v>1</v>
      </c>
      <c r="P3189" s="73">
        <f>IF(M3189=$A$1,1,$M3189-INDEX(MappingTables!$E$4:$E$8,MATCH(O3189,MappingTables!$B$4:$B$8,0)))</f>
        <v>1</v>
      </c>
      <c r="Q3189" s="71">
        <f>IF(B3189="",0,INDEX(ModelParameters!$D$6:$K$10,MATCH($O3189,ModelParameters!$B$6:$B$10,0),MATCH($J3189,ModelParameters!$D$5:$K$5,0)))</f>
        <v>0.025</v>
      </c>
      <c r="R3189" s="71">
        <f>IF(B3189="",0,INDEX(ModelParameters!$D$13:$K$17,MATCH($O3189,ModelParameters!$B$13:$B$17,0),MATCH($J3189,ModelParameters!$D$5:$K$5,0)))</f>
        <v>0</v>
      </c>
      <c r="S3189" s="160">
        <f>IF(B3189="",0,MIN(IF($N3189="Other Bond TM",ModelParameters!$N$21,1)*(P3189*Q3189+R3189),1))</f>
        <v>0.025</v>
      </c>
      <c r="T3189" s="85">
        <f>IF(B3189="",0,$S3189*$K3189)</f>
        <v>1.4671784541394066</v>
      </c>
      <c r="U3189" s="85">
        <f>IF(B3189="",0,IF(OR(H3189=MappingTables!$C$34,H3189=MappingTables!$C$35),T3189,0))</f>
        <v>0</v>
      </c>
      <c r="V3189" s="85">
        <f>IF(ISNA(IF(AND(VLOOKUP(CONCATENATE($D3189,$G3189),CSRFinput!$B:$E,4,0)=0,OR(H3189=MappingTables!$C$34,H3189=MappingTables!$C$35)),1,VLOOKUP(CONCATENATE($D3189,$G3189),CSRFinput!$B:$E,4,0))),0,IF(AND(VLOOKUP(CONCATENATE($D3189,$G3189),CSRFinput!$B:$E,4,0)=0,OR(H3189=MappingTables!$C$34,H3189=MappingTables!$C$35)),1,VLOOKUP(CONCATENATE($D3189,$G3189),CSRFinput!$B:$E,4,0)))</f>
        <v>0.054776304963434752</v>
      </c>
      <c r="W3189" s="85">
        <f>IF(B3189="",0,+$T3189*$V3189)</f>
        <v>0.080366614439720896</v>
      </c>
      <c r="X3189" s="85">
        <f>IF(B3189="",0,IF(OR(H3189=MappingTables!$C$34,H3189=MappingTables!$C$35),W3189,0))</f>
        <v>0</v>
      </c>
    </row>
    <row r="3190" spans="2:24" s="0" customFormat="0" ht="15">
      <c r="B3190" s="69">
        <v>21736767</v>
      </c>
      <c r="C3190" s="70" t="s">
        <v>2762</v>
      </c>
      <c r="D3190" s="70" t="s">
        <v>1</v>
      </c>
      <c r="E3190" s="70" t="s">
        <v>1</v>
      </c>
      <c r="F3190" s="70"/>
      <c r="G3190" s="70" t="s">
        <v>61</v>
      </c>
      <c r="H3190" s="70" t="s">
        <v>178</v>
      </c>
      <c r="I3190" s="70" t="s">
        <v>181</v>
      </c>
      <c r="J3190" s="71">
        <f>IF(OR(I3190=0,I3190=""),"unrated",VLOOKUP(I3190,MappingTables!$B$19:$C$31,2,FALSE))</f>
        <v>3</v>
      </c>
      <c r="K3190" s="72">
        <v>1182.8336188671564</v>
      </c>
      <c r="L3190" s="70">
        <v>0.057537231622814808</v>
      </c>
      <c r="M3190" s="71">
        <f>IF(L3190&lt;1,1,L3190)</f>
        <v>1</v>
      </c>
      <c r="N3190" s="70" t="s">
        <v>141</v>
      </c>
      <c r="O3190" s="71">
        <f>INDEX(DurClassMapping,MATCH(M3190,MappingTables!$D$4:$D$8,-1),1)</f>
        <v>1</v>
      </c>
      <c r="P3190" s="73">
        <f>IF(M3190=$A$1,1,$M3190-INDEX(MappingTables!$E$4:$E$8,MATCH(O3190,MappingTables!$B$4:$B$8,0)))</f>
        <v>1</v>
      </c>
      <c r="Q3190" s="71">
        <f>IF(B3190="",0,INDEX(ModelParameters!$D$6:$K$10,MATCH($O3190,ModelParameters!$B$6:$B$10,0),MATCH($J3190,ModelParameters!$D$5:$K$5,0)))</f>
        <v>0.025</v>
      </c>
      <c r="R3190" s="71">
        <f>IF(B3190="",0,INDEX(ModelParameters!$D$13:$K$17,MATCH($O3190,ModelParameters!$B$13:$B$17,0),MATCH($J3190,ModelParameters!$D$5:$K$5,0)))</f>
        <v>0</v>
      </c>
      <c r="S3190" s="160">
        <f>IF(B3190="",0,MIN(IF($N3190="Other Bond TM",ModelParameters!$N$21,1)*(P3190*Q3190+R3190),1))</f>
        <v>0.025</v>
      </c>
      <c r="T3190" s="85">
        <f>IF(B3190="",0,$S3190*$K3190)</f>
        <v>29.570840471678912</v>
      </c>
      <c r="U3190" s="85">
        <f>IF(B3190="",0,IF(OR(H3190=MappingTables!$C$34,H3190=MappingTables!$C$35),T3190,0))</f>
        <v>0</v>
      </c>
      <c r="V3190" s="85">
        <f>IF(ISNA(IF(AND(VLOOKUP(CONCATENATE($D3190,$G3190),CSRFinput!$B:$E,4,0)=0,OR(H3190=MappingTables!$C$34,H3190=MappingTables!$C$35)),1,VLOOKUP(CONCATENATE($D3190,$G3190),CSRFinput!$B:$E,4,0))),0,IF(AND(VLOOKUP(CONCATENATE($D3190,$G3190),CSRFinput!$B:$E,4,0)=0,OR(H3190=MappingTables!$C$34,H3190=MappingTables!$C$35)),1,VLOOKUP(CONCATENATE($D3190,$G3190),CSRFinput!$B:$E,4,0)))</f>
        <v>0.054776304963434752</v>
      </c>
      <c r="W3190" s="85">
        <f>IF(B3190="",0,+$T3190*$V3190)</f>
        <v>1.619781375701763</v>
      </c>
      <c r="X3190" s="85">
        <f>IF(B3190="",0,IF(OR(H3190=MappingTables!$C$34,H3190=MappingTables!$C$35),W3190,0))</f>
        <v>0</v>
      </c>
    </row>
    <row r="3191" spans="2:24" s="0" customFormat="0" ht="15">
      <c r="B3191" s="69">
        <v>19664799</v>
      </c>
      <c r="C3191" s="70" t="s">
        <v>2738</v>
      </c>
      <c r="D3191" s="70" t="s">
        <v>1</v>
      </c>
      <c r="E3191" s="70" t="s">
        <v>1</v>
      </c>
      <c r="F3191" s="70"/>
      <c r="G3191" s="70" t="s">
        <v>61</v>
      </c>
      <c r="H3191" s="70" t="s">
        <v>178</v>
      </c>
      <c r="I3191" s="70" t="s">
        <v>220</v>
      </c>
      <c r="J3191" s="71">
        <f>IF(OR(I3191=0,I3191=""),"unrated",VLOOKUP(I3191,MappingTables!$B$19:$C$31,2,FALSE))</f>
        <v>1</v>
      </c>
      <c r="K3191" s="72">
        <v>308.98236371711488</v>
      </c>
      <c r="L3191" s="70">
        <v>0.290410473715053</v>
      </c>
      <c r="M3191" s="71">
        <f>IF(L3191&lt;1,1,L3191)</f>
        <v>1</v>
      </c>
      <c r="N3191" s="70" t="s">
        <v>141</v>
      </c>
      <c r="O3191" s="71">
        <f>INDEX(DurClassMapping,MATCH(M3191,MappingTables!$D$4:$D$8,-1),1)</f>
        <v>1</v>
      </c>
      <c r="P3191" s="73">
        <f>IF(M3191=$A$1,1,$M3191-INDEX(MappingTables!$E$4:$E$8,MATCH(O3191,MappingTables!$B$4:$B$8,0)))</f>
        <v>1</v>
      </c>
      <c r="Q3191" s="71">
        <f>IF(B3191="",0,INDEX(ModelParameters!$D$6:$K$10,MATCH($O3191,ModelParameters!$B$6:$B$10,0),MATCH($J3191,ModelParameters!$D$5:$K$5,0)))</f>
        <v>0.011000000000000002</v>
      </c>
      <c r="R3191" s="71">
        <f>IF(B3191="",0,INDEX(ModelParameters!$D$13:$K$17,MATCH($O3191,ModelParameters!$B$13:$B$17,0),MATCH($J3191,ModelParameters!$D$5:$K$5,0)))</f>
        <v>0</v>
      </c>
      <c r="S3191" s="160">
        <f>IF(B3191="",0,MIN(IF($N3191="Other Bond TM",ModelParameters!$N$21,1)*(P3191*Q3191+R3191),1))</f>
        <v>0.011000000000000002</v>
      </c>
      <c r="T3191" s="85">
        <f>IF(B3191="",0,$S3191*$K3191)</f>
        <v>3.398806000888264</v>
      </c>
      <c r="U3191" s="85">
        <f>IF(B3191="",0,IF(OR(H3191=MappingTables!$C$34,H3191=MappingTables!$C$35),T3191,0))</f>
        <v>0</v>
      </c>
      <c r="V3191" s="85">
        <f>IF(ISNA(IF(AND(VLOOKUP(CONCATENATE($D3191,$G3191),CSRFinput!$B:$E,4,0)=0,OR(H3191=MappingTables!$C$34,H3191=MappingTables!$C$35)),1,VLOOKUP(CONCATENATE($D3191,$G3191),CSRFinput!$B:$E,4,0))),0,IF(AND(VLOOKUP(CONCATENATE($D3191,$G3191),CSRFinput!$B:$E,4,0)=0,OR(H3191=MappingTables!$C$34,H3191=MappingTables!$C$35)),1,VLOOKUP(CONCATENATE($D3191,$G3191),CSRFinput!$B:$E,4,0)))</f>
        <v>0.054776304963434752</v>
      </c>
      <c r="W3191" s="85">
        <f>IF(B3191="",0,+$T3191*$V3191)</f>
        <v>0.18617403401620764</v>
      </c>
      <c r="X3191" s="85">
        <f>IF(B3191="",0,IF(OR(H3191=MappingTables!$C$34,H3191=MappingTables!$C$35),W3191,0))</f>
        <v>0</v>
      </c>
    </row>
    <row r="3192" spans="2:24" s="0" customFormat="0" ht="15">
      <c r="B3192" s="69">
        <v>20928443</v>
      </c>
      <c r="C3192" s="70" t="s">
        <v>2763</v>
      </c>
      <c r="D3192" s="70" t="s">
        <v>1</v>
      </c>
      <c r="E3192" s="70" t="s">
        <v>1</v>
      </c>
      <c r="F3192" s="70"/>
      <c r="G3192" s="70" t="s">
        <v>61</v>
      </c>
      <c r="H3192" s="70" t="s">
        <v>178</v>
      </c>
      <c r="I3192" s="70" t="s">
        <v>198</v>
      </c>
      <c r="J3192" s="71" t="str">
        <f>IF(OR(I3192=0,I3192=""),"unrated",VLOOKUP(I3192,MappingTables!$B$19:$C$31,2,FALSE))</f>
        <v>unrated</v>
      </c>
      <c r="K3192" s="72">
        <v>31183.14159970722</v>
      </c>
      <c r="L3192" s="70">
        <v>3.8574327310979</v>
      </c>
      <c r="M3192" s="71">
        <f>IF(L3192&lt;1,1,L3192)</f>
        <v>3.8574327310979</v>
      </c>
      <c r="N3192" s="70" t="s">
        <v>141</v>
      </c>
      <c r="O3192" s="71">
        <f>INDEX(DurClassMapping,MATCH(M3192,MappingTables!$D$4:$D$8,-1),1)</f>
        <v>1</v>
      </c>
      <c r="P3192" s="73">
        <f>IF(M3192=$A$1,1,$M3192-INDEX(MappingTables!$E$4:$E$8,MATCH(O3192,MappingTables!$B$4:$B$8,0)))</f>
        <v>3.8574327310979</v>
      </c>
      <c r="Q3192" s="71">
        <f>IF(B3192="",0,INDEX(ModelParameters!$D$6:$K$10,MATCH($O3192,ModelParameters!$B$6:$B$10,0),MATCH($J3192,ModelParameters!$D$5:$K$5,0)))</f>
        <v>0.03</v>
      </c>
      <c r="R3192" s="71">
        <f>IF(B3192="",0,INDEX(ModelParameters!$D$13:$K$17,MATCH($O3192,ModelParameters!$B$13:$B$17,0),MATCH($J3192,ModelParameters!$D$5:$K$5,0)))</f>
        <v>0</v>
      </c>
      <c r="S3192" s="160">
        <f>IF(B3192="",0,MIN(IF($N3192="Other Bond TM",ModelParameters!$N$21,1)*(P3192*Q3192+R3192),1))</f>
        <v>0.115722981932937</v>
      </c>
      <c r="T3192" s="85">
        <f>IF(B3192="",0,$S3192*$K3192)</f>
        <v>3608.6061319551352</v>
      </c>
      <c r="U3192" s="85">
        <f>IF(B3192="",0,IF(OR(H3192=MappingTables!$C$34,H3192=MappingTables!$C$35),T3192,0))</f>
        <v>0</v>
      </c>
      <c r="V3192" s="85">
        <f>IF(ISNA(IF(AND(VLOOKUP(CONCATENATE($D3192,$G3192),CSRFinput!$B:$E,4,0)=0,OR(H3192=MappingTables!$C$34,H3192=MappingTables!$C$35)),1,VLOOKUP(CONCATENATE($D3192,$G3192),CSRFinput!$B:$E,4,0))),0,IF(AND(VLOOKUP(CONCATENATE($D3192,$G3192),CSRFinput!$B:$E,4,0)=0,OR(H3192=MappingTables!$C$34,H3192=MappingTables!$C$35)),1,VLOOKUP(CONCATENATE($D3192,$G3192),CSRFinput!$B:$E,4,0)))</f>
        <v>0.054776304963434752</v>
      </c>
      <c r="W3192" s="85">
        <f>IF(B3192="",0,+$T3192*$V3192)</f>
        <v>197.66610997689516</v>
      </c>
      <c r="X3192" s="85">
        <f>IF(B3192="",0,IF(OR(H3192=MappingTables!$C$34,H3192=MappingTables!$C$35),W3192,0))</f>
        <v>0</v>
      </c>
    </row>
    <row r="3193" spans="2:24" s="0" customFormat="0" ht="15">
      <c r="B3193" s="69">
        <v>19612064</v>
      </c>
      <c r="C3193" s="70" t="s">
        <v>1216</v>
      </c>
      <c r="D3193" s="70" t="s">
        <v>1</v>
      </c>
      <c r="E3193" s="70" t="s">
        <v>1</v>
      </c>
      <c r="F3193" s="70"/>
      <c r="G3193" s="70" t="s">
        <v>61</v>
      </c>
      <c r="H3193" s="70" t="s">
        <v>178</v>
      </c>
      <c r="I3193" s="70" t="s">
        <v>179</v>
      </c>
      <c r="J3193" s="71">
        <f>IF(OR(I3193=0,I3193=""),"unrated",VLOOKUP(I3193,MappingTables!$B$19:$C$31,2,FALSE))</f>
        <v>4</v>
      </c>
      <c r="K3193" s="72">
        <v>20767.901127777272</v>
      </c>
      <c r="L3193" s="70">
        <v>6.9711491930286</v>
      </c>
      <c r="M3193" s="71">
        <f>IF(L3193&lt;1,1,L3193)</f>
        <v>6.9711491930286</v>
      </c>
      <c r="N3193" s="70" t="s">
        <v>141</v>
      </c>
      <c r="O3193" s="71">
        <f>INDEX(DurClassMapping,MATCH(M3193,MappingTables!$D$4:$D$8,-1),1)</f>
        <v>2</v>
      </c>
      <c r="P3193" s="73">
        <f>IF(M3193=$A$1,1,$M3193-INDEX(MappingTables!$E$4:$E$8,MATCH(O3193,MappingTables!$B$4:$B$8,0)))</f>
        <v>1.9711491930286</v>
      </c>
      <c r="Q3193" s="71">
        <f>IF(B3193="",0,INDEX(ModelParameters!$D$6:$K$10,MATCH($O3193,ModelParameters!$B$6:$B$10,0),MATCH($J3193,ModelParameters!$D$5:$K$5,0)))</f>
        <v>0.025</v>
      </c>
      <c r="R3193" s="71">
        <f>IF(B3193="",0,INDEX(ModelParameters!$D$13:$K$17,MATCH($O3193,ModelParameters!$B$13:$B$17,0),MATCH($J3193,ModelParameters!$D$5:$K$5,0)))</f>
        <v>0.225</v>
      </c>
      <c r="S3193" s="160">
        <f>IF(B3193="",0,MIN(IF($N3193="Other Bond TM",ModelParameters!$N$21,1)*(P3193*Q3193+R3193),1))</f>
        <v>0.274278729825715</v>
      </c>
      <c r="T3193" s="85">
        <f>IF(B3193="",0,$S3193*$K3193)</f>
        <v>5696.1935424727848</v>
      </c>
      <c r="U3193" s="85">
        <f>IF(B3193="",0,IF(OR(H3193=MappingTables!$C$34,H3193=MappingTables!$C$35),T3193,0))</f>
        <v>0</v>
      </c>
      <c r="V3193" s="85">
        <f>IF(ISNA(IF(AND(VLOOKUP(CONCATENATE($D3193,$G3193),CSRFinput!$B:$E,4,0)=0,OR(H3193=MappingTables!$C$34,H3193=MappingTables!$C$35)),1,VLOOKUP(CONCATENATE($D3193,$G3193),CSRFinput!$B:$E,4,0))),0,IF(AND(VLOOKUP(CONCATENATE($D3193,$G3193),CSRFinput!$B:$E,4,0)=0,OR(H3193=MappingTables!$C$34,H3193=MappingTables!$C$35)),1,VLOOKUP(CONCATENATE($D3193,$G3193),CSRFinput!$B:$E,4,0)))</f>
        <v>0.054776304963434752</v>
      </c>
      <c r="W3193" s="85">
        <f>IF(B3193="",0,+$T3193*$V3193)</f>
        <v>312.016434613237</v>
      </c>
      <c r="X3193" s="85">
        <f>IF(B3193="",0,IF(OR(H3193=MappingTables!$C$34,H3193=MappingTables!$C$35),W3193,0))</f>
        <v>0</v>
      </c>
    </row>
    <row r="3194" spans="2:24" s="0" customFormat="0" ht="15">
      <c r="B3194" s="69" t="s">
        <v>2764</v>
      </c>
      <c r="C3194" s="70" t="s">
        <v>2765</v>
      </c>
      <c r="D3194" s="70" t="s">
        <v>1</v>
      </c>
      <c r="E3194" s="70" t="s">
        <v>1</v>
      </c>
      <c r="F3194" s="70"/>
      <c r="G3194" s="70" t="s">
        <v>61</v>
      </c>
      <c r="H3194" s="70" t="s">
        <v>178</v>
      </c>
      <c r="I3194" s="70" t="s">
        <v>181</v>
      </c>
      <c r="J3194" s="71">
        <f>IF(OR(I3194=0,I3194=""),"unrated",VLOOKUP(I3194,MappingTables!$B$19:$C$31,2,FALSE))</f>
        <v>3</v>
      </c>
      <c r="K3194" s="72">
        <v>0.29542689009050372</v>
      </c>
      <c r="L3194" s="70">
        <v>1.919028094786078</v>
      </c>
      <c r="M3194" s="71">
        <f>IF(L3194&lt;1,1,L3194)</f>
        <v>1.919028094786078</v>
      </c>
      <c r="N3194" s="70" t="s">
        <v>141</v>
      </c>
      <c r="O3194" s="71">
        <f>INDEX(DurClassMapping,MATCH(M3194,MappingTables!$D$4:$D$8,-1),1)</f>
        <v>1</v>
      </c>
      <c r="P3194" s="73">
        <f>IF(M3194=$A$1,1,$M3194-INDEX(MappingTables!$E$4:$E$8,MATCH(O3194,MappingTables!$B$4:$B$8,0)))</f>
        <v>1.919028094786078</v>
      </c>
      <c r="Q3194" s="71">
        <f>IF(B3194="",0,INDEX(ModelParameters!$D$6:$K$10,MATCH($O3194,ModelParameters!$B$6:$B$10,0),MATCH($J3194,ModelParameters!$D$5:$K$5,0)))</f>
        <v>0.025</v>
      </c>
      <c r="R3194" s="71">
        <f>IF(B3194="",0,INDEX(ModelParameters!$D$13:$K$17,MATCH($O3194,ModelParameters!$B$13:$B$17,0),MATCH($J3194,ModelParameters!$D$5:$K$5,0)))</f>
        <v>0</v>
      </c>
      <c r="S3194" s="160">
        <f>IF(B3194="",0,MIN(IF($N3194="Other Bond TM",ModelParameters!$N$21,1)*(P3194*Q3194+R3194),1))</f>
        <v>0.04797570236965196</v>
      </c>
      <c r="T3194" s="85">
        <f>IF(B3194="",0,$S3194*$K3194)</f>
        <v>0.014173312550973886</v>
      </c>
      <c r="U3194" s="85">
        <f>IF(B3194="",0,IF(OR(H3194=MappingTables!$C$34,H3194=MappingTables!$C$35),T3194,0))</f>
        <v>0</v>
      </c>
      <c r="V3194" s="85">
        <f>IF(ISNA(IF(AND(VLOOKUP(CONCATENATE($D3194,$G3194),CSRFinput!$B:$E,4,0)=0,OR(H3194=MappingTables!$C$34,H3194=MappingTables!$C$35)),1,VLOOKUP(CONCATENATE($D3194,$G3194),CSRFinput!$B:$E,4,0))),0,IF(AND(VLOOKUP(CONCATENATE($D3194,$G3194),CSRFinput!$B:$E,4,0)=0,OR(H3194=MappingTables!$C$34,H3194=MappingTables!$C$35)),1,VLOOKUP(CONCATENATE($D3194,$G3194),CSRFinput!$B:$E,4,0)))</f>
        <v>0.054776304963434752</v>
      </c>
      <c r="W3194" s="85">
        <f>IF(B3194="",0,+$T3194*$V3194)</f>
        <v>0.00077636169063422304</v>
      </c>
      <c r="X3194" s="85">
        <f>IF(B3194="",0,IF(OR(H3194=MappingTables!$C$34,H3194=MappingTables!$C$35),W3194,0))</f>
        <v>0</v>
      </c>
    </row>
    <row r="3195" spans="2:24" s="0" customFormat="0" ht="15">
      <c r="B3195" s="69" t="s">
        <v>1808</v>
      </c>
      <c r="C3195" s="70" t="s">
        <v>1809</v>
      </c>
      <c r="D3195" s="70" t="s">
        <v>1</v>
      </c>
      <c r="E3195" s="70" t="s">
        <v>1</v>
      </c>
      <c r="F3195" s="70"/>
      <c r="G3195" s="70" t="s">
        <v>61</v>
      </c>
      <c r="H3195" s="70" t="s">
        <v>178</v>
      </c>
      <c r="I3195" s="70" t="s">
        <v>184</v>
      </c>
      <c r="J3195" s="71">
        <f>IF(OR(I3195=0,I3195=""),"unrated",VLOOKUP(I3195,MappingTables!$B$19:$C$31,2,FALSE))</f>
        <v>5</v>
      </c>
      <c r="K3195" s="72">
        <v>127.81445804039264</v>
      </c>
      <c r="L3195" s="70">
        <v>3.9248254199023464</v>
      </c>
      <c r="M3195" s="71">
        <f>IF(L3195&lt;1,1,L3195)</f>
        <v>3.9248254199023464</v>
      </c>
      <c r="N3195" s="70" t="s">
        <v>141</v>
      </c>
      <c r="O3195" s="71">
        <f>INDEX(DurClassMapping,MATCH(M3195,MappingTables!$D$4:$D$8,-1),1)</f>
        <v>1</v>
      </c>
      <c r="P3195" s="73">
        <f>IF(M3195=$A$1,1,$M3195-INDEX(MappingTables!$E$4:$E$8,MATCH(O3195,MappingTables!$B$4:$B$8,0)))</f>
        <v>3.9248254199023464</v>
      </c>
      <c r="Q3195" s="71">
        <f>IF(B3195="",0,INDEX(ModelParameters!$D$6:$K$10,MATCH($O3195,ModelParameters!$B$6:$B$10,0),MATCH($J3195,ModelParameters!$D$5:$K$5,0)))</f>
        <v>0.075</v>
      </c>
      <c r="R3195" s="71">
        <f>IF(B3195="",0,INDEX(ModelParameters!$D$13:$K$17,MATCH($O3195,ModelParameters!$B$13:$B$17,0),MATCH($J3195,ModelParameters!$D$5:$K$5,0)))</f>
        <v>0</v>
      </c>
      <c r="S3195" s="160">
        <f>IF(B3195="",0,MIN(IF($N3195="Other Bond TM",ModelParameters!$N$21,1)*(P3195*Q3195+R3195),1))</f>
        <v>0.29436190649267596</v>
      </c>
      <c r="T3195" s="85">
        <f>IF(B3195="",0,$S3195*$K3195)</f>
        <v>37.623707546098112</v>
      </c>
      <c r="U3195" s="85">
        <f>IF(B3195="",0,IF(OR(H3195=MappingTables!$C$34,H3195=MappingTables!$C$35),T3195,0))</f>
        <v>0</v>
      </c>
      <c r="V3195" s="85">
        <f>IF(ISNA(IF(AND(VLOOKUP(CONCATENATE($D3195,$G3195),CSRFinput!$B:$E,4,0)=0,OR(H3195=MappingTables!$C$34,H3195=MappingTables!$C$35)),1,VLOOKUP(CONCATENATE($D3195,$G3195),CSRFinput!$B:$E,4,0))),0,IF(AND(VLOOKUP(CONCATENATE($D3195,$G3195),CSRFinput!$B:$E,4,0)=0,OR(H3195=MappingTables!$C$34,H3195=MappingTables!$C$35)),1,VLOOKUP(CONCATENATE($D3195,$G3195),CSRFinput!$B:$E,4,0)))</f>
        <v>0.054776304963434752</v>
      </c>
      <c r="W3195" s="85">
        <f>IF(B3195="",0,+$T3195*$V3195)</f>
        <v>2.0608876784001512</v>
      </c>
      <c r="X3195" s="85">
        <f>IF(B3195="",0,IF(OR(H3195=MappingTables!$C$34,H3195=MappingTables!$C$35),W3195,0))</f>
        <v>0</v>
      </c>
    </row>
    <row r="3196" spans="2:24" s="0" customFormat="0" ht="15">
      <c r="B3196" s="69">
        <v>15456588</v>
      </c>
      <c r="C3196" s="70" t="s">
        <v>2679</v>
      </c>
      <c r="D3196" s="70" t="s">
        <v>1</v>
      </c>
      <c r="E3196" s="70" t="s">
        <v>1</v>
      </c>
      <c r="F3196" s="70"/>
      <c r="G3196" s="70" t="s">
        <v>61</v>
      </c>
      <c r="H3196" s="70" t="s">
        <v>178</v>
      </c>
      <c r="I3196" s="70" t="s">
        <v>181</v>
      </c>
      <c r="J3196" s="71">
        <f>IF(OR(I3196=0,I3196=""),"unrated",VLOOKUP(I3196,MappingTables!$B$19:$C$31,2,FALSE))</f>
        <v>3</v>
      </c>
      <c r="K3196" s="72">
        <v>20.753462336339152</v>
      </c>
      <c r="L3196" s="70">
        <v>1.8427988268459136</v>
      </c>
      <c r="M3196" s="71">
        <f>IF(L3196&lt;1,1,L3196)</f>
        <v>1.8427988268459136</v>
      </c>
      <c r="N3196" s="70" t="s">
        <v>141</v>
      </c>
      <c r="O3196" s="71">
        <f>INDEX(DurClassMapping,MATCH(M3196,MappingTables!$D$4:$D$8,-1),1)</f>
        <v>1</v>
      </c>
      <c r="P3196" s="73">
        <f>IF(M3196=$A$1,1,$M3196-INDEX(MappingTables!$E$4:$E$8,MATCH(O3196,MappingTables!$B$4:$B$8,0)))</f>
        <v>1.8427988268459136</v>
      </c>
      <c r="Q3196" s="71">
        <f>IF(B3196="",0,INDEX(ModelParameters!$D$6:$K$10,MATCH($O3196,ModelParameters!$B$6:$B$10,0),MATCH($J3196,ModelParameters!$D$5:$K$5,0)))</f>
        <v>0.025</v>
      </c>
      <c r="R3196" s="71">
        <f>IF(B3196="",0,INDEX(ModelParameters!$D$13:$K$17,MATCH($O3196,ModelParameters!$B$13:$B$17,0),MATCH($J3196,ModelParameters!$D$5:$K$5,0)))</f>
        <v>0</v>
      </c>
      <c r="S3196" s="160">
        <f>IF(B3196="",0,MIN(IF($N3196="Other Bond TM",ModelParameters!$N$21,1)*(P3196*Q3196+R3196),1))</f>
        <v>0.04606997067114784</v>
      </c>
      <c r="T3196" s="85">
        <f>IF(B3196="",0,$S3196*$K3196)</f>
        <v>0.956111401159916</v>
      </c>
      <c r="U3196" s="85">
        <f>IF(B3196="",0,IF(OR(H3196=MappingTables!$C$34,H3196=MappingTables!$C$35),T3196,0))</f>
        <v>0</v>
      </c>
      <c r="V3196" s="85">
        <f>IF(ISNA(IF(AND(VLOOKUP(CONCATENATE($D3196,$G3196),CSRFinput!$B:$E,4,0)=0,OR(H3196=MappingTables!$C$34,H3196=MappingTables!$C$35)),1,VLOOKUP(CONCATENATE($D3196,$G3196),CSRFinput!$B:$E,4,0))),0,IF(AND(VLOOKUP(CONCATENATE($D3196,$G3196),CSRFinput!$B:$E,4,0)=0,OR(H3196=MappingTables!$C$34,H3196=MappingTables!$C$35)),1,VLOOKUP(CONCATENATE($D3196,$G3196),CSRFinput!$B:$E,4,0)))</f>
        <v>0.054776304963434752</v>
      </c>
      <c r="W3196" s="85">
        <f>IF(B3196="",0,+$T3196*$V3196)</f>
        <v>0.052372249688952464</v>
      </c>
      <c r="X3196" s="85">
        <f>IF(B3196="",0,IF(OR(H3196=MappingTables!$C$34,H3196=MappingTables!$C$35),W3196,0))</f>
        <v>0</v>
      </c>
    </row>
    <row r="3197" spans="2:24" s="0" customFormat="0" ht="15">
      <c r="B3197" s="69">
        <v>23675253</v>
      </c>
      <c r="C3197" s="70" t="s">
        <v>2766</v>
      </c>
      <c r="D3197" s="70" t="s">
        <v>1</v>
      </c>
      <c r="E3197" s="70" t="s">
        <v>1</v>
      </c>
      <c r="F3197" s="70"/>
      <c r="G3197" s="70" t="s">
        <v>61</v>
      </c>
      <c r="H3197" s="70" t="s">
        <v>178</v>
      </c>
      <c r="I3197" s="70" t="s">
        <v>181</v>
      </c>
      <c r="J3197" s="71">
        <f>IF(OR(I3197=0,I3197=""),"unrated",VLOOKUP(I3197,MappingTables!$B$19:$C$31,2,FALSE))</f>
        <v>3</v>
      </c>
      <c r="K3197" s="72">
        <v>15.179421263497978</v>
      </c>
      <c r="L3197" s="70">
        <v>1.1037767925632552</v>
      </c>
      <c r="M3197" s="71">
        <f>IF(L3197&lt;1,1,L3197)</f>
        <v>1.1037767925632552</v>
      </c>
      <c r="N3197" s="70" t="s">
        <v>141</v>
      </c>
      <c r="O3197" s="71">
        <f>INDEX(DurClassMapping,MATCH(M3197,MappingTables!$D$4:$D$8,-1),1)</f>
        <v>1</v>
      </c>
      <c r="P3197" s="73">
        <f>IF(M3197=$A$1,1,$M3197-INDEX(MappingTables!$E$4:$E$8,MATCH(O3197,MappingTables!$B$4:$B$8,0)))</f>
        <v>1.1037767925632552</v>
      </c>
      <c r="Q3197" s="71">
        <f>IF(B3197="",0,INDEX(ModelParameters!$D$6:$K$10,MATCH($O3197,ModelParameters!$B$6:$B$10,0),MATCH($J3197,ModelParameters!$D$5:$K$5,0)))</f>
        <v>0.025</v>
      </c>
      <c r="R3197" s="71">
        <f>IF(B3197="",0,INDEX(ModelParameters!$D$13:$K$17,MATCH($O3197,ModelParameters!$B$13:$B$17,0),MATCH($J3197,ModelParameters!$D$5:$K$5,0)))</f>
        <v>0</v>
      </c>
      <c r="S3197" s="160">
        <f>IF(B3197="",0,MIN(IF($N3197="Other Bond TM",ModelParameters!$N$21,1)*(P3197*Q3197+R3197),1))</f>
        <v>0.02759441981408138</v>
      </c>
      <c r="T3197" s="85">
        <f>IF(B3197="",0,$S3197*$K3197)</f>
        <v>0.41886732287975688</v>
      </c>
      <c r="U3197" s="85">
        <f>IF(B3197="",0,IF(OR(H3197=MappingTables!$C$34,H3197=MappingTables!$C$35),T3197,0))</f>
        <v>0</v>
      </c>
      <c r="V3197" s="85">
        <f>IF(ISNA(IF(AND(VLOOKUP(CONCATENATE($D3197,$G3197),CSRFinput!$B:$E,4,0)=0,OR(H3197=MappingTables!$C$34,H3197=MappingTables!$C$35)),1,VLOOKUP(CONCATENATE($D3197,$G3197),CSRFinput!$B:$E,4,0))),0,IF(AND(VLOOKUP(CONCATENATE($D3197,$G3197),CSRFinput!$B:$E,4,0)=0,OR(H3197=MappingTables!$C$34,H3197=MappingTables!$C$35)),1,VLOOKUP(CONCATENATE($D3197,$G3197),CSRFinput!$B:$E,4,0)))</f>
        <v>0.054776304963434752</v>
      </c>
      <c r="W3197" s="85">
        <f>IF(B3197="",0,+$T3197*$V3197)</f>
        <v>0.022944004217279052</v>
      </c>
      <c r="X3197" s="85">
        <f>IF(B3197="",0,IF(OR(H3197=MappingTables!$C$34,H3197=MappingTables!$C$35),W3197,0))</f>
        <v>0</v>
      </c>
    </row>
    <row r="3198" spans="2:24" s="0" customFormat="0" ht="15">
      <c r="B3198" s="69">
        <v>11252201</v>
      </c>
      <c r="C3198" s="70" t="s">
        <v>2767</v>
      </c>
      <c r="D3198" s="70" t="s">
        <v>1</v>
      </c>
      <c r="E3198" s="70" t="s">
        <v>1</v>
      </c>
      <c r="F3198" s="70"/>
      <c r="G3198" s="70" t="s">
        <v>61</v>
      </c>
      <c r="H3198" s="70" t="s">
        <v>178</v>
      </c>
      <c r="I3198" s="70" t="s">
        <v>188</v>
      </c>
      <c r="J3198" s="71">
        <f>IF(OR(I3198=0,I3198=""),"unrated",VLOOKUP(I3198,MappingTables!$B$19:$C$31,2,FALSE))</f>
        <v>2</v>
      </c>
      <c r="K3198" s="72">
        <v>402.11357457864648</v>
      </c>
      <c r="L3198" s="70">
        <v>0.01369769193891101</v>
      </c>
      <c r="M3198" s="71">
        <f>IF(L3198&lt;1,1,L3198)</f>
        <v>1</v>
      </c>
      <c r="N3198" s="70" t="s">
        <v>141</v>
      </c>
      <c r="O3198" s="71">
        <f>INDEX(DurClassMapping,MATCH(M3198,MappingTables!$D$4:$D$8,-1),1)</f>
        <v>1</v>
      </c>
      <c r="P3198" s="73">
        <f>IF(M3198=$A$1,1,$M3198-INDEX(MappingTables!$E$4:$E$8,MATCH(O3198,MappingTables!$B$4:$B$8,0)))</f>
        <v>1</v>
      </c>
      <c r="Q3198" s="71">
        <f>IF(B3198="",0,INDEX(ModelParameters!$D$6:$K$10,MATCH($O3198,ModelParameters!$B$6:$B$10,0),MATCH($J3198,ModelParameters!$D$5:$K$5,0)))</f>
        <v>0.013999999999999998</v>
      </c>
      <c r="R3198" s="71">
        <f>IF(B3198="",0,INDEX(ModelParameters!$D$13:$K$17,MATCH($O3198,ModelParameters!$B$13:$B$17,0),MATCH($J3198,ModelParameters!$D$5:$K$5,0)))</f>
        <v>0</v>
      </c>
      <c r="S3198" s="160">
        <f>IF(B3198="",0,MIN(IF($N3198="Other Bond TM",ModelParameters!$N$21,1)*(P3198*Q3198+R3198),1))</f>
        <v>0.013999999999999998</v>
      </c>
      <c r="T3198" s="85">
        <f>IF(B3198="",0,$S3198*$K3198)</f>
        <v>5.6295900441010504</v>
      </c>
      <c r="U3198" s="85">
        <f>IF(B3198="",0,IF(OR(H3198=MappingTables!$C$34,H3198=MappingTables!$C$35),T3198,0))</f>
        <v>0</v>
      </c>
      <c r="V3198" s="85">
        <f>IF(ISNA(IF(AND(VLOOKUP(CONCATENATE($D3198,$G3198),CSRFinput!$B:$E,4,0)=0,OR(H3198=MappingTables!$C$34,H3198=MappingTables!$C$35)),1,VLOOKUP(CONCATENATE($D3198,$G3198),CSRFinput!$B:$E,4,0))),0,IF(AND(VLOOKUP(CONCATENATE($D3198,$G3198),CSRFinput!$B:$E,4,0)=0,OR(H3198=MappingTables!$C$34,H3198=MappingTables!$C$35)),1,VLOOKUP(CONCATENATE($D3198,$G3198),CSRFinput!$B:$E,4,0)))</f>
        <v>0.054776304963434752</v>
      </c>
      <c r="W3198" s="85">
        <f>IF(B3198="",0,+$T3198*$V3198)</f>
        <v>0.3083681410747952</v>
      </c>
      <c r="X3198" s="85">
        <f>IF(B3198="",0,IF(OR(H3198=MappingTables!$C$34,H3198=MappingTables!$C$35),W3198,0))</f>
        <v>0</v>
      </c>
    </row>
    <row r="3199" spans="2:24" s="0" customFormat="0" ht="15">
      <c r="B3199" s="69" t="s">
        <v>2328</v>
      </c>
      <c r="C3199" s="70" t="s">
        <v>2329</v>
      </c>
      <c r="D3199" s="70" t="s">
        <v>1</v>
      </c>
      <c r="E3199" s="70" t="s">
        <v>1</v>
      </c>
      <c r="F3199" s="70"/>
      <c r="G3199" s="70" t="s">
        <v>61</v>
      </c>
      <c r="H3199" s="70" t="s">
        <v>178</v>
      </c>
      <c r="I3199" s="70" t="s">
        <v>181</v>
      </c>
      <c r="J3199" s="71">
        <f>IF(OR(I3199=0,I3199=""),"unrated",VLOOKUP(I3199,MappingTables!$B$19:$C$31,2,FALSE))</f>
        <v>3</v>
      </c>
      <c r="K3199" s="72">
        <v>6442.3374127533536</v>
      </c>
      <c r="L3199" s="70">
        <v>1.3906210233985578</v>
      </c>
      <c r="M3199" s="71">
        <f>IF(L3199&lt;1,1,L3199)</f>
        <v>1.3906210233985578</v>
      </c>
      <c r="N3199" s="70" t="s">
        <v>141</v>
      </c>
      <c r="O3199" s="71">
        <f>INDEX(DurClassMapping,MATCH(M3199,MappingTables!$D$4:$D$8,-1),1)</f>
        <v>1</v>
      </c>
      <c r="P3199" s="73">
        <f>IF(M3199=$A$1,1,$M3199-INDEX(MappingTables!$E$4:$E$8,MATCH(O3199,MappingTables!$B$4:$B$8,0)))</f>
        <v>1.3906210233985578</v>
      </c>
      <c r="Q3199" s="71">
        <f>IF(B3199="",0,INDEX(ModelParameters!$D$6:$K$10,MATCH($O3199,ModelParameters!$B$6:$B$10,0),MATCH($J3199,ModelParameters!$D$5:$K$5,0)))</f>
        <v>0.025</v>
      </c>
      <c r="R3199" s="71">
        <f>IF(B3199="",0,INDEX(ModelParameters!$D$13:$K$17,MATCH($O3199,ModelParameters!$B$13:$B$17,0),MATCH($J3199,ModelParameters!$D$5:$K$5,0)))</f>
        <v>0</v>
      </c>
      <c r="S3199" s="160">
        <f>IF(B3199="",0,MIN(IF($N3199="Other Bond TM",ModelParameters!$N$21,1)*(P3199*Q3199+R3199),1))</f>
        <v>0.034765525584963952</v>
      </c>
      <c r="T3199" s="85">
        <f>IF(B3199="",0,$S3199*$K3199)</f>
        <v>223.97124615004716</v>
      </c>
      <c r="U3199" s="85">
        <f>IF(B3199="",0,IF(OR(H3199=MappingTables!$C$34,H3199=MappingTables!$C$35),T3199,0))</f>
        <v>0</v>
      </c>
      <c r="V3199" s="85">
        <f>IF(ISNA(IF(AND(VLOOKUP(CONCATENATE($D3199,$G3199),CSRFinput!$B:$E,4,0)=0,OR(H3199=MappingTables!$C$34,H3199=MappingTables!$C$35)),1,VLOOKUP(CONCATENATE($D3199,$G3199),CSRFinput!$B:$E,4,0))),0,IF(AND(VLOOKUP(CONCATENATE($D3199,$G3199),CSRFinput!$B:$E,4,0)=0,OR(H3199=MappingTables!$C$34,H3199=MappingTables!$C$35)),1,VLOOKUP(CONCATENATE($D3199,$G3199),CSRFinput!$B:$E,4,0)))</f>
        <v>0.054776304963434752</v>
      </c>
      <c r="W3199" s="85">
        <f>IF(B3199="",0,+$T3199*$V3199)</f>
        <v>12.268317282155496</v>
      </c>
      <c r="X3199" s="85">
        <f>IF(B3199="",0,IF(OR(H3199=MappingTables!$C$34,H3199=MappingTables!$C$35),W3199,0))</f>
        <v>0</v>
      </c>
    </row>
    <row r="3200" spans="2:24" s="0" customFormat="0" ht="15">
      <c r="B3200" s="69">
        <v>19498823</v>
      </c>
      <c r="C3200" s="70" t="s">
        <v>1891</v>
      </c>
      <c r="D3200" s="70" t="s">
        <v>1</v>
      </c>
      <c r="E3200" s="70" t="s">
        <v>1</v>
      </c>
      <c r="F3200" s="70"/>
      <c r="G3200" s="70" t="s">
        <v>61</v>
      </c>
      <c r="H3200" s="70" t="s">
        <v>178</v>
      </c>
      <c r="I3200" s="70" t="s">
        <v>188</v>
      </c>
      <c r="J3200" s="71">
        <f>IF(OR(I3200=0,I3200=""),"unrated",VLOOKUP(I3200,MappingTables!$B$19:$C$31,2,FALSE))</f>
        <v>2</v>
      </c>
      <c r="K3200" s="72">
        <v>1.7078655564202336</v>
      </c>
      <c r="L3200" s="70">
        <v>1.2946810680329008</v>
      </c>
      <c r="M3200" s="71">
        <f>IF(L3200&lt;1,1,L3200)</f>
        <v>1.2946810680329008</v>
      </c>
      <c r="N3200" s="70" t="s">
        <v>141</v>
      </c>
      <c r="O3200" s="71">
        <f>INDEX(DurClassMapping,MATCH(M3200,MappingTables!$D$4:$D$8,-1),1)</f>
        <v>1</v>
      </c>
      <c r="P3200" s="73">
        <f>IF(M3200=$A$1,1,$M3200-INDEX(MappingTables!$E$4:$E$8,MATCH(O3200,MappingTables!$B$4:$B$8,0)))</f>
        <v>1.2946810680329008</v>
      </c>
      <c r="Q3200" s="71">
        <f>IF(B3200="",0,INDEX(ModelParameters!$D$6:$K$10,MATCH($O3200,ModelParameters!$B$6:$B$10,0),MATCH($J3200,ModelParameters!$D$5:$K$5,0)))</f>
        <v>0.013999999999999998</v>
      </c>
      <c r="R3200" s="71">
        <f>IF(B3200="",0,INDEX(ModelParameters!$D$13:$K$17,MATCH($O3200,ModelParameters!$B$13:$B$17,0),MATCH($J3200,ModelParameters!$D$5:$K$5,0)))</f>
        <v>0</v>
      </c>
      <c r="S3200" s="160">
        <f>IF(B3200="",0,MIN(IF($N3200="Other Bond TM",ModelParameters!$N$21,1)*(P3200*Q3200+R3200),1))</f>
        <v>0.018125534952460608</v>
      </c>
      <c r="T3200" s="85">
        <f>IF(B3200="",0,$S3200*$K3200)</f>
        <v>0.030955976836998532</v>
      </c>
      <c r="U3200" s="85">
        <f>IF(B3200="",0,IF(OR(H3200=MappingTables!$C$34,H3200=MappingTables!$C$35),T3200,0))</f>
        <v>0</v>
      </c>
      <c r="V3200" s="85">
        <f>IF(ISNA(IF(AND(VLOOKUP(CONCATENATE($D3200,$G3200),CSRFinput!$B:$E,4,0)=0,OR(H3200=MappingTables!$C$34,H3200=MappingTables!$C$35)),1,VLOOKUP(CONCATENATE($D3200,$G3200),CSRFinput!$B:$E,4,0))),0,IF(AND(VLOOKUP(CONCATENATE($D3200,$G3200),CSRFinput!$B:$E,4,0)=0,OR(H3200=MappingTables!$C$34,H3200=MappingTables!$C$35)),1,VLOOKUP(CONCATENATE($D3200,$G3200),CSRFinput!$B:$E,4,0)))</f>
        <v>0.054776304963434752</v>
      </c>
      <c r="W3200" s="85">
        <f>IF(B3200="",0,+$T3200*$V3200)</f>
        <v>0.001695654027664454</v>
      </c>
      <c r="X3200" s="85">
        <f>IF(B3200="",0,IF(OR(H3200=MappingTables!$C$34,H3200=MappingTables!$C$35),W3200,0))</f>
        <v>0</v>
      </c>
    </row>
    <row r="3201" spans="2:24" s="0" customFormat="0" ht="15">
      <c r="B3201" s="69">
        <v>4934205</v>
      </c>
      <c r="C3201" s="70" t="s">
        <v>2768</v>
      </c>
      <c r="D3201" s="70" t="s">
        <v>1</v>
      </c>
      <c r="E3201" s="70" t="s">
        <v>1</v>
      </c>
      <c r="F3201" s="70"/>
      <c r="G3201" s="70" t="s">
        <v>61</v>
      </c>
      <c r="H3201" s="70" t="s">
        <v>178</v>
      </c>
      <c r="I3201" s="70" t="s">
        <v>181</v>
      </c>
      <c r="J3201" s="71">
        <f>IF(OR(I3201=0,I3201=""),"unrated",VLOOKUP(I3201,MappingTables!$B$19:$C$31,2,FALSE))</f>
        <v>3</v>
      </c>
      <c r="K3201" s="72">
        <v>740.45248921603088</v>
      </c>
      <c r="L3201" s="70">
        <v>2.8890395192053496</v>
      </c>
      <c r="M3201" s="71">
        <f>IF(L3201&lt;1,1,L3201)</f>
        <v>2.8890395192053496</v>
      </c>
      <c r="N3201" s="70" t="s">
        <v>141</v>
      </c>
      <c r="O3201" s="71">
        <f>INDEX(DurClassMapping,MATCH(M3201,MappingTables!$D$4:$D$8,-1),1)</f>
        <v>1</v>
      </c>
      <c r="P3201" s="73">
        <f>IF(M3201=$A$1,1,$M3201-INDEX(MappingTables!$E$4:$E$8,MATCH(O3201,MappingTables!$B$4:$B$8,0)))</f>
        <v>2.8890395192053496</v>
      </c>
      <c r="Q3201" s="71">
        <f>IF(B3201="",0,INDEX(ModelParameters!$D$6:$K$10,MATCH($O3201,ModelParameters!$B$6:$B$10,0),MATCH($J3201,ModelParameters!$D$5:$K$5,0)))</f>
        <v>0.025</v>
      </c>
      <c r="R3201" s="71">
        <f>IF(B3201="",0,INDEX(ModelParameters!$D$13:$K$17,MATCH($O3201,ModelParameters!$B$13:$B$17,0),MATCH($J3201,ModelParameters!$D$5:$K$5,0)))</f>
        <v>0</v>
      </c>
      <c r="S3201" s="160">
        <f>IF(B3201="",0,MIN(IF($N3201="Other Bond TM",ModelParameters!$N$21,1)*(P3201*Q3201+R3201),1))</f>
        <v>0.072225987980133744</v>
      </c>
      <c r="T3201" s="85">
        <f>IF(B3201="",0,$S3201*$K3201)</f>
        <v>53.47991258597716</v>
      </c>
      <c r="U3201" s="85">
        <f>IF(B3201="",0,IF(OR(H3201=MappingTables!$C$34,H3201=MappingTables!$C$35),T3201,0))</f>
        <v>0</v>
      </c>
      <c r="V3201" s="85">
        <f>IF(ISNA(IF(AND(VLOOKUP(CONCATENATE($D3201,$G3201),CSRFinput!$B:$E,4,0)=0,OR(H3201=MappingTables!$C$34,H3201=MappingTables!$C$35)),1,VLOOKUP(CONCATENATE($D3201,$G3201),CSRFinput!$B:$E,4,0))),0,IF(AND(VLOOKUP(CONCATENATE($D3201,$G3201),CSRFinput!$B:$E,4,0)=0,OR(H3201=MappingTables!$C$34,H3201=MappingTables!$C$35)),1,VLOOKUP(CONCATENATE($D3201,$G3201),CSRFinput!$B:$E,4,0)))</f>
        <v>0.054776304963434752</v>
      </c>
      <c r="W3201" s="85">
        <f>IF(B3201="",0,+$T3201*$V3201)</f>
        <v>2.9294320012273176</v>
      </c>
      <c r="X3201" s="85">
        <f>IF(B3201="",0,IF(OR(H3201=MappingTables!$C$34,H3201=MappingTables!$C$35),W3201,0))</f>
        <v>0</v>
      </c>
    </row>
    <row r="3202" spans="2:24" s="0" customFormat="0" ht="15">
      <c r="B3202" s="69">
        <v>16209406</v>
      </c>
      <c r="C3202" s="70" t="s">
        <v>2626</v>
      </c>
      <c r="D3202" s="70" t="s">
        <v>1</v>
      </c>
      <c r="E3202" s="70" t="s">
        <v>1</v>
      </c>
      <c r="F3202" s="70"/>
      <c r="G3202" s="70" t="s">
        <v>61</v>
      </c>
      <c r="H3202" s="70" t="s">
        <v>178</v>
      </c>
      <c r="I3202" s="70" t="s">
        <v>181</v>
      </c>
      <c r="J3202" s="71">
        <f>IF(OR(I3202=0,I3202=""),"unrated",VLOOKUP(I3202,MappingTables!$B$19:$C$31,2,FALSE))</f>
        <v>3</v>
      </c>
      <c r="K3202" s="72">
        <v>7619.0972700086736</v>
      </c>
      <c r="L3202" s="70">
        <v>5.5789167379014432</v>
      </c>
      <c r="M3202" s="71">
        <f>IF(L3202&lt;1,1,L3202)</f>
        <v>5.5789167379014432</v>
      </c>
      <c r="N3202" s="70" t="s">
        <v>141</v>
      </c>
      <c r="O3202" s="71">
        <f>INDEX(DurClassMapping,MATCH(M3202,MappingTables!$D$4:$D$8,-1),1)</f>
        <v>2</v>
      </c>
      <c r="P3202" s="73">
        <f>IF(M3202=$A$1,1,$M3202-INDEX(MappingTables!$E$4:$E$8,MATCH(O3202,MappingTables!$B$4:$B$8,0)))</f>
        <v>0.57891673790144352</v>
      </c>
      <c r="Q3202" s="71">
        <f>IF(B3202="",0,INDEX(ModelParameters!$D$6:$K$10,MATCH($O3202,ModelParameters!$B$6:$B$10,0),MATCH($J3202,ModelParameters!$D$5:$K$5,0)))</f>
        <v>0.015</v>
      </c>
      <c r="R3202" s="71">
        <f>IF(B3202="",0,INDEX(ModelParameters!$D$13:$K$17,MATCH($O3202,ModelParameters!$B$13:$B$17,0),MATCH($J3202,ModelParameters!$D$5:$K$5,0)))</f>
        <v>0.125</v>
      </c>
      <c r="S3202" s="160">
        <f>IF(B3202="",0,MIN(IF($N3202="Other Bond TM",ModelParameters!$N$21,1)*(P3202*Q3202+R3202),1))</f>
        <v>0.13368375106852166</v>
      </c>
      <c r="T3202" s="85">
        <f>IF(B3202="",0,$S3202*$K3202)</f>
        <v>1018.5495028106926</v>
      </c>
      <c r="U3202" s="85">
        <f>IF(B3202="",0,IF(OR(H3202=MappingTables!$C$34,H3202=MappingTables!$C$35),T3202,0))</f>
        <v>0</v>
      </c>
      <c r="V3202" s="85">
        <f>IF(ISNA(IF(AND(VLOOKUP(CONCATENATE($D3202,$G3202),CSRFinput!$B:$E,4,0)=0,OR(H3202=MappingTables!$C$34,H3202=MappingTables!$C$35)),1,VLOOKUP(CONCATENATE($D3202,$G3202),CSRFinput!$B:$E,4,0))),0,IF(AND(VLOOKUP(CONCATENATE($D3202,$G3202),CSRFinput!$B:$E,4,0)=0,OR(H3202=MappingTables!$C$34,H3202=MappingTables!$C$35)),1,VLOOKUP(CONCATENATE($D3202,$G3202),CSRFinput!$B:$E,4,0)))</f>
        <v>0.054776304963434752</v>
      </c>
      <c r="W3202" s="85">
        <f>IF(B3202="",0,+$T3202*$V3202)</f>
        <v>55.792378186313336</v>
      </c>
      <c r="X3202" s="85">
        <f>IF(B3202="",0,IF(OR(H3202=MappingTables!$C$34,H3202=MappingTables!$C$35),W3202,0))</f>
        <v>0</v>
      </c>
    </row>
    <row r="3203" spans="2:24" s="0" customFormat="0" ht="15">
      <c r="B3203" s="69">
        <v>20370879</v>
      </c>
      <c r="C3203" s="70" t="s">
        <v>2769</v>
      </c>
      <c r="D3203" s="70" t="s">
        <v>1</v>
      </c>
      <c r="E3203" s="70" t="s">
        <v>1</v>
      </c>
      <c r="F3203" s="70"/>
      <c r="G3203" s="70" t="s">
        <v>61</v>
      </c>
      <c r="H3203" s="70" t="s">
        <v>178</v>
      </c>
      <c r="I3203" s="70" t="s">
        <v>181</v>
      </c>
      <c r="J3203" s="71">
        <f>IF(OR(I3203=0,I3203=""),"unrated",VLOOKUP(I3203,MappingTables!$B$19:$C$31,2,FALSE))</f>
        <v>3</v>
      </c>
      <c r="K3203" s="72">
        <v>1409.3794865005448</v>
      </c>
      <c r="L3203" s="70">
        <v>4.9147371828934536</v>
      </c>
      <c r="M3203" s="71">
        <f>IF(L3203&lt;1,1,L3203)</f>
        <v>4.9147371828934536</v>
      </c>
      <c r="N3203" s="70" t="s">
        <v>141</v>
      </c>
      <c r="O3203" s="71">
        <f>INDEX(DurClassMapping,MATCH(M3203,MappingTables!$D$4:$D$8,-1),1)</f>
        <v>1</v>
      </c>
      <c r="P3203" s="73">
        <f>IF(M3203=$A$1,1,$M3203-INDEX(MappingTables!$E$4:$E$8,MATCH(O3203,MappingTables!$B$4:$B$8,0)))</f>
        <v>4.9147371828934536</v>
      </c>
      <c r="Q3203" s="71">
        <f>IF(B3203="",0,INDEX(ModelParameters!$D$6:$K$10,MATCH($O3203,ModelParameters!$B$6:$B$10,0),MATCH($J3203,ModelParameters!$D$5:$K$5,0)))</f>
        <v>0.025</v>
      </c>
      <c r="R3203" s="71">
        <f>IF(B3203="",0,INDEX(ModelParameters!$D$13:$K$17,MATCH($O3203,ModelParameters!$B$13:$B$17,0),MATCH($J3203,ModelParameters!$D$5:$K$5,0)))</f>
        <v>0</v>
      </c>
      <c r="S3203" s="160">
        <f>IF(B3203="",0,MIN(IF($N3203="Other Bond TM",ModelParameters!$N$21,1)*(P3203*Q3203+R3203),1))</f>
        <v>0.12286842957233634</v>
      </c>
      <c r="T3203" s="85">
        <f>IF(B3203="",0,$S3203*$K3203)</f>
        <v>173.16824417778776</v>
      </c>
      <c r="U3203" s="85">
        <f>IF(B3203="",0,IF(OR(H3203=MappingTables!$C$34,H3203=MappingTables!$C$35),T3203,0))</f>
        <v>0</v>
      </c>
      <c r="V3203" s="85">
        <f>IF(ISNA(IF(AND(VLOOKUP(CONCATENATE($D3203,$G3203),CSRFinput!$B:$E,4,0)=0,OR(H3203=MappingTables!$C$34,H3203=MappingTables!$C$35)),1,VLOOKUP(CONCATENATE($D3203,$G3203),CSRFinput!$B:$E,4,0))),0,IF(AND(VLOOKUP(CONCATENATE($D3203,$G3203),CSRFinput!$B:$E,4,0)=0,OR(H3203=MappingTables!$C$34,H3203=MappingTables!$C$35)),1,VLOOKUP(CONCATENATE($D3203,$G3203),CSRFinput!$B:$E,4,0)))</f>
        <v>0.054776304963434752</v>
      </c>
      <c r="W3203" s="85">
        <f>IF(B3203="",0,+$T3203*$V3203)</f>
        <v>9.4855165530650368</v>
      </c>
      <c r="X3203" s="85">
        <f>IF(B3203="",0,IF(OR(H3203=MappingTables!$C$34,H3203=MappingTables!$C$35),W3203,0))</f>
        <v>0</v>
      </c>
    </row>
    <row r="3204" spans="2:24" s="0" customFormat="0" ht="15">
      <c r="B3204" s="69">
        <v>24931064</v>
      </c>
      <c r="C3204" s="70" t="s">
        <v>199</v>
      </c>
      <c r="D3204" s="70" t="s">
        <v>1</v>
      </c>
      <c r="E3204" s="70" t="s">
        <v>1</v>
      </c>
      <c r="F3204" s="70"/>
      <c r="G3204" s="70" t="s">
        <v>61</v>
      </c>
      <c r="H3204" s="70" t="s">
        <v>178</v>
      </c>
      <c r="I3204" s="70" t="s">
        <v>188</v>
      </c>
      <c r="J3204" s="71">
        <f>IF(OR(I3204=0,I3204=""),"unrated",VLOOKUP(I3204,MappingTables!$B$19:$C$31,2,FALSE))</f>
        <v>2</v>
      </c>
      <c r="K3204" s="72">
        <v>1822.2758233110856</v>
      </c>
      <c r="L3204" s="70">
        <v>1.8146612885169072</v>
      </c>
      <c r="M3204" s="71">
        <f>IF(L3204&lt;1,1,L3204)</f>
        <v>1.8146612885169072</v>
      </c>
      <c r="N3204" s="70" t="s">
        <v>141</v>
      </c>
      <c r="O3204" s="71">
        <f>INDEX(DurClassMapping,MATCH(M3204,MappingTables!$D$4:$D$8,-1),1)</f>
        <v>1</v>
      </c>
      <c r="P3204" s="73">
        <f>IF(M3204=$A$1,1,$M3204-INDEX(MappingTables!$E$4:$E$8,MATCH(O3204,MappingTables!$B$4:$B$8,0)))</f>
        <v>1.8146612885169072</v>
      </c>
      <c r="Q3204" s="71">
        <f>IF(B3204="",0,INDEX(ModelParameters!$D$6:$K$10,MATCH($O3204,ModelParameters!$B$6:$B$10,0),MATCH($J3204,ModelParameters!$D$5:$K$5,0)))</f>
        <v>0.013999999999999998</v>
      </c>
      <c r="R3204" s="71">
        <f>IF(B3204="",0,INDEX(ModelParameters!$D$13:$K$17,MATCH($O3204,ModelParameters!$B$13:$B$17,0),MATCH($J3204,ModelParameters!$D$5:$K$5,0)))</f>
        <v>0</v>
      </c>
      <c r="S3204" s="160">
        <f>IF(B3204="",0,MIN(IF($N3204="Other Bond TM",ModelParameters!$N$21,1)*(P3204*Q3204+R3204),1))</f>
        <v>0.025405258039236696</v>
      </c>
      <c r="T3204" s="85">
        <f>IF(B3204="",0,$S3204*$K3204)</f>
        <v>46.295387509880624</v>
      </c>
      <c r="U3204" s="85">
        <f>IF(B3204="",0,IF(OR(H3204=MappingTables!$C$34,H3204=MappingTables!$C$35),T3204,0))</f>
        <v>0</v>
      </c>
      <c r="V3204" s="85">
        <f>IF(ISNA(IF(AND(VLOOKUP(CONCATENATE($D3204,$G3204),CSRFinput!$B:$E,4,0)=0,OR(H3204=MappingTables!$C$34,H3204=MappingTables!$C$35)),1,VLOOKUP(CONCATENATE($D3204,$G3204),CSRFinput!$B:$E,4,0))),0,IF(AND(VLOOKUP(CONCATENATE($D3204,$G3204),CSRFinput!$B:$E,4,0)=0,OR(H3204=MappingTables!$C$34,H3204=MappingTables!$C$35)),1,VLOOKUP(CONCATENATE($D3204,$G3204),CSRFinput!$B:$E,4,0)))</f>
        <v>0.054776304963434752</v>
      </c>
      <c r="W3204" s="85">
        <f>IF(B3204="",0,+$T3204*$V3204)</f>
        <v>2.5358902646416092</v>
      </c>
      <c r="X3204" s="85">
        <f>IF(B3204="",0,IF(OR(H3204=MappingTables!$C$34,H3204=MappingTables!$C$35),W3204,0))</f>
        <v>0</v>
      </c>
    </row>
    <row r="3205" spans="2:24" s="0" customFormat="0" ht="15">
      <c r="B3205" s="69">
        <v>22289596</v>
      </c>
      <c r="C3205" s="70" t="s">
        <v>2242</v>
      </c>
      <c r="D3205" s="70" t="s">
        <v>1</v>
      </c>
      <c r="E3205" s="70" t="s">
        <v>1</v>
      </c>
      <c r="F3205" s="70"/>
      <c r="G3205" s="70" t="s">
        <v>61</v>
      </c>
      <c r="H3205" s="70" t="s">
        <v>178</v>
      </c>
      <c r="I3205" s="70" t="s">
        <v>181</v>
      </c>
      <c r="J3205" s="71">
        <f>IF(OR(I3205=0,I3205=""),"unrated",VLOOKUP(I3205,MappingTables!$B$19:$C$31,2,FALSE))</f>
        <v>3</v>
      </c>
      <c r="K3205" s="72">
        <v>135.0959802412435</v>
      </c>
      <c r="L3205" s="70">
        <v>0.2082201449537432</v>
      </c>
      <c r="M3205" s="71">
        <f>IF(L3205&lt;1,1,L3205)</f>
        <v>1</v>
      </c>
      <c r="N3205" s="70" t="s">
        <v>141</v>
      </c>
      <c r="O3205" s="71">
        <f>INDEX(DurClassMapping,MATCH(M3205,MappingTables!$D$4:$D$8,-1),1)</f>
        <v>1</v>
      </c>
      <c r="P3205" s="73">
        <f>IF(M3205=$A$1,1,$M3205-INDEX(MappingTables!$E$4:$E$8,MATCH(O3205,MappingTables!$B$4:$B$8,0)))</f>
        <v>1</v>
      </c>
      <c r="Q3205" s="71">
        <f>IF(B3205="",0,INDEX(ModelParameters!$D$6:$K$10,MATCH($O3205,ModelParameters!$B$6:$B$10,0),MATCH($J3205,ModelParameters!$D$5:$K$5,0)))</f>
        <v>0.025</v>
      </c>
      <c r="R3205" s="71">
        <f>IF(B3205="",0,INDEX(ModelParameters!$D$13:$K$17,MATCH($O3205,ModelParameters!$B$13:$B$17,0),MATCH($J3205,ModelParameters!$D$5:$K$5,0)))</f>
        <v>0</v>
      </c>
      <c r="S3205" s="160">
        <f>IF(B3205="",0,MIN(IF($N3205="Other Bond TM",ModelParameters!$N$21,1)*(P3205*Q3205+R3205),1))</f>
        <v>0.025</v>
      </c>
      <c r="T3205" s="85">
        <f>IF(B3205="",0,$S3205*$K3205)</f>
        <v>3.3773995060310876</v>
      </c>
      <c r="U3205" s="85">
        <f>IF(B3205="",0,IF(OR(H3205=MappingTables!$C$34,H3205=MappingTables!$C$35),T3205,0))</f>
        <v>0</v>
      </c>
      <c r="V3205" s="85">
        <f>IF(ISNA(IF(AND(VLOOKUP(CONCATENATE($D3205,$G3205),CSRFinput!$B:$E,4,0)=0,OR(H3205=MappingTables!$C$34,H3205=MappingTables!$C$35)),1,VLOOKUP(CONCATENATE($D3205,$G3205),CSRFinput!$B:$E,4,0))),0,IF(AND(VLOOKUP(CONCATENATE($D3205,$G3205),CSRFinput!$B:$E,4,0)=0,OR(H3205=MappingTables!$C$34,H3205=MappingTables!$C$35)),1,VLOOKUP(CONCATENATE($D3205,$G3205),CSRFinput!$B:$E,4,0)))</f>
        <v>0.054776304963434752</v>
      </c>
      <c r="W3205" s="85">
        <f>IF(B3205="",0,+$T3205*$V3205)</f>
        <v>0.18500146532571276</v>
      </c>
      <c r="X3205" s="85">
        <f>IF(B3205="",0,IF(OR(H3205=MappingTables!$C$34,H3205=MappingTables!$C$35),W3205,0))</f>
        <v>0</v>
      </c>
    </row>
    <row r="3206" spans="2:24" s="0" customFormat="0" ht="15">
      <c r="B3206" s="69">
        <v>22246383</v>
      </c>
      <c r="C3206" s="70" t="s">
        <v>597</v>
      </c>
      <c r="D3206" s="70" t="s">
        <v>1</v>
      </c>
      <c r="E3206" s="70" t="s">
        <v>1</v>
      </c>
      <c r="F3206" s="70"/>
      <c r="G3206" s="70" t="s">
        <v>61</v>
      </c>
      <c r="H3206" s="70" t="s">
        <v>178</v>
      </c>
      <c r="I3206" s="70" t="s">
        <v>179</v>
      </c>
      <c r="J3206" s="71">
        <f>IF(OR(I3206=0,I3206=""),"unrated",VLOOKUP(I3206,MappingTables!$B$19:$C$31,2,FALSE))</f>
        <v>4</v>
      </c>
      <c r="K3206" s="72">
        <v>11250.795924071346</v>
      </c>
      <c r="L3206" s="70">
        <v>4.0502503069802616</v>
      </c>
      <c r="M3206" s="71">
        <f>IF(L3206&lt;1,1,L3206)</f>
        <v>4.0502503069802616</v>
      </c>
      <c r="N3206" s="70" t="s">
        <v>141</v>
      </c>
      <c r="O3206" s="71">
        <f>INDEX(DurClassMapping,MATCH(M3206,MappingTables!$D$4:$D$8,-1),1)</f>
        <v>1</v>
      </c>
      <c r="P3206" s="73">
        <f>IF(M3206=$A$1,1,$M3206-INDEX(MappingTables!$E$4:$E$8,MATCH(O3206,MappingTables!$B$4:$B$8,0)))</f>
        <v>4.0502503069802616</v>
      </c>
      <c r="Q3206" s="71">
        <f>IF(B3206="",0,INDEX(ModelParameters!$D$6:$K$10,MATCH($O3206,ModelParameters!$B$6:$B$10,0),MATCH($J3206,ModelParameters!$D$5:$K$5,0)))</f>
        <v>0.045</v>
      </c>
      <c r="R3206" s="71">
        <f>IF(B3206="",0,INDEX(ModelParameters!$D$13:$K$17,MATCH($O3206,ModelParameters!$B$13:$B$17,0),MATCH($J3206,ModelParameters!$D$5:$K$5,0)))</f>
        <v>0</v>
      </c>
      <c r="S3206" s="160">
        <f>IF(B3206="",0,MIN(IF($N3206="Other Bond TM",ModelParameters!$N$21,1)*(P3206*Q3206+R3206),1))</f>
        <v>0.1822612638141118</v>
      </c>
      <c r="T3206" s="85">
        <f>IF(B3206="",0,$S3206*$K3206)</f>
        <v>2050.5842840359016</v>
      </c>
      <c r="U3206" s="85">
        <f>IF(B3206="",0,IF(OR(H3206=MappingTables!$C$34,H3206=MappingTables!$C$35),T3206,0))</f>
        <v>0</v>
      </c>
      <c r="V3206" s="85">
        <f>IF(ISNA(IF(AND(VLOOKUP(CONCATENATE($D3206,$G3206),CSRFinput!$B:$E,4,0)=0,OR(H3206=MappingTables!$C$34,H3206=MappingTables!$C$35)),1,VLOOKUP(CONCATENATE($D3206,$G3206),CSRFinput!$B:$E,4,0))),0,IF(AND(VLOOKUP(CONCATENATE($D3206,$G3206),CSRFinput!$B:$E,4,0)=0,OR(H3206=MappingTables!$C$34,H3206=MappingTables!$C$35)),1,VLOOKUP(CONCATENATE($D3206,$G3206),CSRFinput!$B:$E,4,0)))</f>
        <v>0.054776304963434752</v>
      </c>
      <c r="W3206" s="85">
        <f>IF(B3206="",0,+$T3206*$V3206)</f>
        <v>112.32343009557706</v>
      </c>
      <c r="X3206" s="85">
        <f>IF(B3206="",0,IF(OR(H3206=MappingTables!$C$34,H3206=MappingTables!$C$35),W3206,0))</f>
        <v>0</v>
      </c>
    </row>
    <row r="3207" spans="2:24" s="0" customFormat="0" ht="15">
      <c r="B3207" s="69">
        <v>12519276</v>
      </c>
      <c r="C3207" s="70" t="s">
        <v>2002</v>
      </c>
      <c r="D3207" s="70" t="s">
        <v>1</v>
      </c>
      <c r="E3207" s="70" t="s">
        <v>1</v>
      </c>
      <c r="F3207" s="70"/>
      <c r="G3207" s="70" t="s">
        <v>61</v>
      </c>
      <c r="H3207" s="70" t="s">
        <v>178</v>
      </c>
      <c r="I3207" s="70" t="s">
        <v>184</v>
      </c>
      <c r="J3207" s="71">
        <f>IF(OR(I3207=0,I3207=""),"unrated",VLOOKUP(I3207,MappingTables!$B$19:$C$31,2,FALSE))</f>
        <v>5</v>
      </c>
      <c r="K3207" s="72">
        <v>91.440908843772864</v>
      </c>
      <c r="L3207" s="70">
        <v>0.7776165474593128</v>
      </c>
      <c r="M3207" s="71">
        <f>IF(L3207&lt;1,1,L3207)</f>
        <v>1</v>
      </c>
      <c r="N3207" s="70" t="s">
        <v>141</v>
      </c>
      <c r="O3207" s="71">
        <f>INDEX(DurClassMapping,MATCH(M3207,MappingTables!$D$4:$D$8,-1),1)</f>
        <v>1</v>
      </c>
      <c r="P3207" s="73">
        <f>IF(M3207=$A$1,1,$M3207-INDEX(MappingTables!$E$4:$E$8,MATCH(O3207,MappingTables!$B$4:$B$8,0)))</f>
        <v>1</v>
      </c>
      <c r="Q3207" s="71">
        <f>IF(B3207="",0,INDEX(ModelParameters!$D$6:$K$10,MATCH($O3207,ModelParameters!$B$6:$B$10,0),MATCH($J3207,ModelParameters!$D$5:$K$5,0)))</f>
        <v>0.075</v>
      </c>
      <c r="R3207" s="71">
        <f>IF(B3207="",0,INDEX(ModelParameters!$D$13:$K$17,MATCH($O3207,ModelParameters!$B$13:$B$17,0),MATCH($J3207,ModelParameters!$D$5:$K$5,0)))</f>
        <v>0</v>
      </c>
      <c r="S3207" s="160">
        <f>IF(B3207="",0,MIN(IF($N3207="Other Bond TM",ModelParameters!$N$21,1)*(P3207*Q3207+R3207),1))</f>
        <v>0.075</v>
      </c>
      <c r="T3207" s="85">
        <f>IF(B3207="",0,$S3207*$K3207)</f>
        <v>6.858068163282964</v>
      </c>
      <c r="U3207" s="85">
        <f>IF(B3207="",0,IF(OR(H3207=MappingTables!$C$34,H3207=MappingTables!$C$35),T3207,0))</f>
        <v>0</v>
      </c>
      <c r="V3207" s="85">
        <f>IF(ISNA(IF(AND(VLOOKUP(CONCATENATE($D3207,$G3207),CSRFinput!$B:$E,4,0)=0,OR(H3207=MappingTables!$C$34,H3207=MappingTables!$C$35)),1,VLOOKUP(CONCATENATE($D3207,$G3207),CSRFinput!$B:$E,4,0))),0,IF(AND(VLOOKUP(CONCATENATE($D3207,$G3207),CSRFinput!$B:$E,4,0)=0,OR(H3207=MappingTables!$C$34,H3207=MappingTables!$C$35)),1,VLOOKUP(CONCATENATE($D3207,$G3207),CSRFinput!$B:$E,4,0)))</f>
        <v>0.054776304963434752</v>
      </c>
      <c r="W3207" s="85">
        <f>IF(B3207="",0,+$T3207*$V3207)</f>
        <v>0.37565963317201048</v>
      </c>
      <c r="X3207" s="85">
        <f>IF(B3207="",0,IF(OR(H3207=MappingTables!$C$34,H3207=MappingTables!$C$35),W3207,0))</f>
        <v>0</v>
      </c>
    </row>
    <row r="3208" spans="2:24" s="0" customFormat="0" ht="15">
      <c r="B3208" s="69">
        <v>13524479</v>
      </c>
      <c r="C3208" s="70" t="s">
        <v>2701</v>
      </c>
      <c r="D3208" s="70" t="s">
        <v>1</v>
      </c>
      <c r="E3208" s="70" t="s">
        <v>1</v>
      </c>
      <c r="F3208" s="70"/>
      <c r="G3208" s="70" t="s">
        <v>61</v>
      </c>
      <c r="H3208" s="70" t="s">
        <v>178</v>
      </c>
      <c r="I3208" s="70" t="s">
        <v>181</v>
      </c>
      <c r="J3208" s="71">
        <f>IF(OR(I3208=0,I3208=""),"unrated",VLOOKUP(I3208,MappingTables!$B$19:$C$31,2,FALSE))</f>
        <v>3</v>
      </c>
      <c r="K3208" s="72">
        <v>40.5870045139116</v>
      </c>
      <c r="L3208" s="70">
        <v>15.98251286671457</v>
      </c>
      <c r="M3208" s="71">
        <f>IF(L3208&lt;1,1,L3208)</f>
        <v>15.98251286671457</v>
      </c>
      <c r="N3208" s="70" t="s">
        <v>141</v>
      </c>
      <c r="O3208" s="71">
        <f>INDEX(DurClassMapping,MATCH(M3208,MappingTables!$D$4:$D$8,-1),1)</f>
        <v>4</v>
      </c>
      <c r="P3208" s="73">
        <f>IF(M3208=$A$1,1,$M3208-INDEX(MappingTables!$E$4:$E$8,MATCH(O3208,MappingTables!$B$4:$B$8,0)))</f>
        <v>0.98251286671457024</v>
      </c>
      <c r="Q3208" s="71">
        <f>IF(B3208="",0,INDEX(ModelParameters!$D$6:$K$10,MATCH($O3208,ModelParameters!$B$6:$B$10,0),MATCH($J3208,ModelParameters!$D$5:$K$5,0)))</f>
        <v>0.01</v>
      </c>
      <c r="R3208" s="71">
        <f>IF(B3208="",0,INDEX(ModelParameters!$D$13:$K$17,MATCH($O3208,ModelParameters!$B$13:$B$17,0),MATCH($J3208,ModelParameters!$D$5:$K$5,0)))</f>
        <v>0.25</v>
      </c>
      <c r="S3208" s="160">
        <f>IF(B3208="",0,MIN(IF($N3208="Other Bond TM",ModelParameters!$N$21,1)*(P3208*Q3208+R3208),1))</f>
        <v>0.25982512866714568</v>
      </c>
      <c r="T3208" s="85">
        <f>IF(B3208="",0,$S3208*$K3208)</f>
        <v>10.545523670041104</v>
      </c>
      <c r="U3208" s="85">
        <f>IF(B3208="",0,IF(OR(H3208=MappingTables!$C$34,H3208=MappingTables!$C$35),T3208,0))</f>
        <v>0</v>
      </c>
      <c r="V3208" s="85">
        <f>IF(ISNA(IF(AND(VLOOKUP(CONCATENATE($D3208,$G3208),CSRFinput!$B:$E,4,0)=0,OR(H3208=MappingTables!$C$34,H3208=MappingTables!$C$35)),1,VLOOKUP(CONCATENATE($D3208,$G3208),CSRFinput!$B:$E,4,0))),0,IF(AND(VLOOKUP(CONCATENATE($D3208,$G3208),CSRFinput!$B:$E,4,0)=0,OR(H3208=MappingTables!$C$34,H3208=MappingTables!$C$35)),1,VLOOKUP(CONCATENATE($D3208,$G3208),CSRFinput!$B:$E,4,0)))</f>
        <v>0.054776304963434752</v>
      </c>
      <c r="W3208" s="85">
        <f>IF(B3208="",0,+$T3208*$V3208)</f>
        <v>0.5776448205492912</v>
      </c>
      <c r="X3208" s="85">
        <f>IF(B3208="",0,IF(OR(H3208=MappingTables!$C$34,H3208=MappingTables!$C$35),W3208,0))</f>
        <v>0</v>
      </c>
    </row>
    <row r="3209" spans="2:24" s="0" customFormat="0" ht="15">
      <c r="B3209" s="69">
        <v>21736767</v>
      </c>
      <c r="C3209" s="70" t="s">
        <v>2762</v>
      </c>
      <c r="D3209" s="70" t="s">
        <v>1</v>
      </c>
      <c r="E3209" s="70" t="s">
        <v>1</v>
      </c>
      <c r="F3209" s="70"/>
      <c r="G3209" s="70" t="s">
        <v>61</v>
      </c>
      <c r="H3209" s="70" t="s">
        <v>178</v>
      </c>
      <c r="I3209" s="70" t="s">
        <v>181</v>
      </c>
      <c r="J3209" s="71">
        <f>IF(OR(I3209=0,I3209=""),"unrated",VLOOKUP(I3209,MappingTables!$B$19:$C$31,2,FALSE))</f>
        <v>3</v>
      </c>
      <c r="K3209" s="72">
        <v>2508.8706186573132</v>
      </c>
      <c r="L3209" s="70">
        <v>0.057537231622820008</v>
      </c>
      <c r="M3209" s="71">
        <f>IF(L3209&lt;1,1,L3209)</f>
        <v>1</v>
      </c>
      <c r="N3209" s="70" t="s">
        <v>141</v>
      </c>
      <c r="O3209" s="71">
        <f>INDEX(DurClassMapping,MATCH(M3209,MappingTables!$D$4:$D$8,-1),1)</f>
        <v>1</v>
      </c>
      <c r="P3209" s="73">
        <f>IF(M3209=$A$1,1,$M3209-INDEX(MappingTables!$E$4:$E$8,MATCH(O3209,MappingTables!$B$4:$B$8,0)))</f>
        <v>1</v>
      </c>
      <c r="Q3209" s="71">
        <f>IF(B3209="",0,INDEX(ModelParameters!$D$6:$K$10,MATCH($O3209,ModelParameters!$B$6:$B$10,0),MATCH($J3209,ModelParameters!$D$5:$K$5,0)))</f>
        <v>0.025</v>
      </c>
      <c r="R3209" s="71">
        <f>IF(B3209="",0,INDEX(ModelParameters!$D$13:$K$17,MATCH($O3209,ModelParameters!$B$13:$B$17,0),MATCH($J3209,ModelParameters!$D$5:$K$5,0)))</f>
        <v>0</v>
      </c>
      <c r="S3209" s="160">
        <f>IF(B3209="",0,MIN(IF($N3209="Other Bond TM",ModelParameters!$N$21,1)*(P3209*Q3209+R3209),1))</f>
        <v>0.025</v>
      </c>
      <c r="T3209" s="85">
        <f>IF(B3209="",0,$S3209*$K3209)</f>
        <v>62.721765466432824</v>
      </c>
      <c r="U3209" s="85">
        <f>IF(B3209="",0,IF(OR(H3209=MappingTables!$C$34,H3209=MappingTables!$C$35),T3209,0))</f>
        <v>0</v>
      </c>
      <c r="V3209" s="85">
        <f>IF(ISNA(IF(AND(VLOOKUP(CONCATENATE($D3209,$G3209),CSRFinput!$B:$E,4,0)=0,OR(H3209=MappingTables!$C$34,H3209=MappingTables!$C$35)),1,VLOOKUP(CONCATENATE($D3209,$G3209),CSRFinput!$B:$E,4,0))),0,IF(AND(VLOOKUP(CONCATENATE($D3209,$G3209),CSRFinput!$B:$E,4,0)=0,OR(H3209=MappingTables!$C$34,H3209=MappingTables!$C$35)),1,VLOOKUP(CONCATENATE($D3209,$G3209),CSRFinput!$B:$E,4,0)))</f>
        <v>0.054776304963434752</v>
      </c>
      <c r="W3209" s="85">
        <f>IF(B3209="",0,+$T3209*$V3209)</f>
        <v>3.4356665530343552</v>
      </c>
      <c r="X3209" s="85">
        <f>IF(B3209="",0,IF(OR(H3209=MappingTables!$C$34,H3209=MappingTables!$C$35),W3209,0))</f>
        <v>0</v>
      </c>
    </row>
    <row r="3210" spans="2:24" s="0" customFormat="0" ht="15">
      <c r="B3210" s="69">
        <v>19641203</v>
      </c>
      <c r="C3210" s="70" t="s">
        <v>2770</v>
      </c>
      <c r="D3210" s="70" t="s">
        <v>1</v>
      </c>
      <c r="E3210" s="70" t="s">
        <v>1</v>
      </c>
      <c r="F3210" s="70"/>
      <c r="G3210" s="70" t="s">
        <v>61</v>
      </c>
      <c r="H3210" s="70" t="s">
        <v>178</v>
      </c>
      <c r="I3210" s="70" t="s">
        <v>184</v>
      </c>
      <c r="J3210" s="71">
        <f>IF(OR(I3210=0,I3210=""),"unrated",VLOOKUP(I3210,MappingTables!$B$19:$C$31,2,FALSE))</f>
        <v>5</v>
      </c>
      <c r="K3210" s="72">
        <v>121.3268067099983</v>
      </c>
      <c r="L3210" s="70">
        <v>0.29315272995921576</v>
      </c>
      <c r="M3210" s="71">
        <f>IF(L3210&lt;1,1,L3210)</f>
        <v>1</v>
      </c>
      <c r="N3210" s="70" t="s">
        <v>141</v>
      </c>
      <c r="O3210" s="71">
        <f>INDEX(DurClassMapping,MATCH(M3210,MappingTables!$D$4:$D$8,-1),1)</f>
        <v>1</v>
      </c>
      <c r="P3210" s="73">
        <f>IF(M3210=$A$1,1,$M3210-INDEX(MappingTables!$E$4:$E$8,MATCH(O3210,MappingTables!$B$4:$B$8,0)))</f>
        <v>1</v>
      </c>
      <c r="Q3210" s="71">
        <f>IF(B3210="",0,INDEX(ModelParameters!$D$6:$K$10,MATCH($O3210,ModelParameters!$B$6:$B$10,0),MATCH($J3210,ModelParameters!$D$5:$K$5,0)))</f>
        <v>0.075</v>
      </c>
      <c r="R3210" s="71">
        <f>IF(B3210="",0,INDEX(ModelParameters!$D$13:$K$17,MATCH($O3210,ModelParameters!$B$13:$B$17,0),MATCH($J3210,ModelParameters!$D$5:$K$5,0)))</f>
        <v>0</v>
      </c>
      <c r="S3210" s="160">
        <f>IF(B3210="",0,MIN(IF($N3210="Other Bond TM",ModelParameters!$N$21,1)*(P3210*Q3210+R3210),1))</f>
        <v>0.075</v>
      </c>
      <c r="T3210" s="85">
        <f>IF(B3210="",0,$S3210*$K3210)</f>
        <v>9.099510503249872</v>
      </c>
      <c r="U3210" s="85">
        <f>IF(B3210="",0,IF(OR(H3210=MappingTables!$C$34,H3210=MappingTables!$C$35),T3210,0))</f>
        <v>0</v>
      </c>
      <c r="V3210" s="85">
        <f>IF(ISNA(IF(AND(VLOOKUP(CONCATENATE($D3210,$G3210),CSRFinput!$B:$E,4,0)=0,OR(H3210=MappingTables!$C$34,H3210=MappingTables!$C$35)),1,VLOOKUP(CONCATENATE($D3210,$G3210),CSRFinput!$B:$E,4,0))),0,IF(AND(VLOOKUP(CONCATENATE($D3210,$G3210),CSRFinput!$B:$E,4,0)=0,OR(H3210=MappingTables!$C$34,H3210=MappingTables!$C$35)),1,VLOOKUP(CONCATENATE($D3210,$G3210),CSRFinput!$B:$E,4,0)))</f>
        <v>0.054776304963434752</v>
      </c>
      <c r="W3210" s="85">
        <f>IF(B3210="",0,+$T3210*$V3210)</f>
        <v>0.49843756234399264</v>
      </c>
      <c r="X3210" s="85">
        <f>IF(B3210="",0,IF(OR(H3210=MappingTables!$C$34,H3210=MappingTables!$C$35),W3210,0))</f>
        <v>0</v>
      </c>
    </row>
    <row r="3211" spans="2:24" s="0" customFormat="0" ht="15">
      <c r="B3211" s="69">
        <v>10875059</v>
      </c>
      <c r="C3211" s="70" t="s">
        <v>1579</v>
      </c>
      <c r="D3211" s="70" t="s">
        <v>1</v>
      </c>
      <c r="E3211" s="70" t="s">
        <v>1</v>
      </c>
      <c r="F3211" s="70"/>
      <c r="G3211" s="70" t="s">
        <v>61</v>
      </c>
      <c r="H3211" s="70" t="s">
        <v>178</v>
      </c>
      <c r="I3211" s="70" t="s">
        <v>204</v>
      </c>
      <c r="J3211" s="71">
        <f>IF(OR(I3211=0,I3211=""),"unrated",VLOOKUP(I3211,MappingTables!$B$19:$C$31,2,FALSE))</f>
        <v>6</v>
      </c>
      <c r="K3211" s="72">
        <v>44.546727096863696</v>
      </c>
      <c r="L3211" s="70">
        <v>0.30137351815950396</v>
      </c>
      <c r="M3211" s="71">
        <f>IF(L3211&lt;1,1,L3211)</f>
        <v>1</v>
      </c>
      <c r="N3211" s="70" t="s">
        <v>141</v>
      </c>
      <c r="O3211" s="71">
        <f>INDEX(DurClassMapping,MATCH(M3211,MappingTables!$D$4:$D$8,-1),1)</f>
        <v>1</v>
      </c>
      <c r="P3211" s="73">
        <f>IF(M3211=$A$1,1,$M3211-INDEX(MappingTables!$E$4:$E$8,MATCH(O3211,MappingTables!$B$4:$B$8,0)))</f>
        <v>1</v>
      </c>
      <c r="Q3211" s="71">
        <f>IF(B3211="",0,INDEX(ModelParameters!$D$6:$K$10,MATCH($O3211,ModelParameters!$B$6:$B$10,0),MATCH($J3211,ModelParameters!$D$5:$K$5,0)))</f>
        <v>0.075</v>
      </c>
      <c r="R3211" s="71">
        <f>IF(B3211="",0,INDEX(ModelParameters!$D$13:$K$17,MATCH($O3211,ModelParameters!$B$13:$B$17,0),MATCH($J3211,ModelParameters!$D$5:$K$5,0)))</f>
        <v>0</v>
      </c>
      <c r="S3211" s="160">
        <f>IF(B3211="",0,MIN(IF($N3211="Other Bond TM",ModelParameters!$N$21,1)*(P3211*Q3211+R3211),1))</f>
        <v>0.075</v>
      </c>
      <c r="T3211" s="85">
        <f>IF(B3211="",0,$S3211*$K3211)</f>
        <v>3.3410045322647776</v>
      </c>
      <c r="U3211" s="85">
        <f>IF(B3211="",0,IF(OR(H3211=MappingTables!$C$34,H3211=MappingTables!$C$35),T3211,0))</f>
        <v>0</v>
      </c>
      <c r="V3211" s="85">
        <f>IF(ISNA(IF(AND(VLOOKUP(CONCATENATE($D3211,$G3211),CSRFinput!$B:$E,4,0)=0,OR(H3211=MappingTables!$C$34,H3211=MappingTables!$C$35)),1,VLOOKUP(CONCATENATE($D3211,$G3211),CSRFinput!$B:$E,4,0))),0,IF(AND(VLOOKUP(CONCATENATE($D3211,$G3211),CSRFinput!$B:$E,4,0)=0,OR(H3211=MappingTables!$C$34,H3211=MappingTables!$C$35)),1,VLOOKUP(CONCATENATE($D3211,$G3211),CSRFinput!$B:$E,4,0)))</f>
        <v>0.054776304963434752</v>
      </c>
      <c r="W3211" s="85">
        <f>IF(B3211="",0,+$T3211*$V3211)</f>
        <v>0.18300788314355312</v>
      </c>
      <c r="X3211" s="85">
        <f>IF(B3211="",0,IF(OR(H3211=MappingTables!$C$34,H3211=MappingTables!$C$35),W3211,0))</f>
        <v>0</v>
      </c>
    </row>
    <row r="3212" spans="2:24" s="0" customFormat="0" ht="15">
      <c r="B3212" s="69">
        <v>8173683</v>
      </c>
      <c r="C3212" s="70" t="s">
        <v>2323</v>
      </c>
      <c r="D3212" s="70" t="s">
        <v>1</v>
      </c>
      <c r="E3212" s="70" t="s">
        <v>1</v>
      </c>
      <c r="F3212" s="70"/>
      <c r="G3212" s="70" t="s">
        <v>61</v>
      </c>
      <c r="H3212" s="70" t="s">
        <v>178</v>
      </c>
      <c r="I3212" s="70" t="s">
        <v>181</v>
      </c>
      <c r="J3212" s="71">
        <f>IF(OR(I3212=0,I3212=""),"unrated",VLOOKUP(I3212,MappingTables!$B$19:$C$31,2,FALSE))</f>
        <v>3</v>
      </c>
      <c r="K3212" s="72">
        <v>285.41665206754824</v>
      </c>
      <c r="L3212" s="70">
        <v>0.1698652163056013</v>
      </c>
      <c r="M3212" s="71">
        <f>IF(L3212&lt;1,1,L3212)</f>
        <v>1</v>
      </c>
      <c r="N3212" s="70" t="s">
        <v>141</v>
      </c>
      <c r="O3212" s="71">
        <f>INDEX(DurClassMapping,MATCH(M3212,MappingTables!$D$4:$D$8,-1),1)</f>
        <v>1</v>
      </c>
      <c r="P3212" s="73">
        <f>IF(M3212=$A$1,1,$M3212-INDEX(MappingTables!$E$4:$E$8,MATCH(O3212,MappingTables!$B$4:$B$8,0)))</f>
        <v>1</v>
      </c>
      <c r="Q3212" s="71">
        <f>IF(B3212="",0,INDEX(ModelParameters!$D$6:$K$10,MATCH($O3212,ModelParameters!$B$6:$B$10,0),MATCH($J3212,ModelParameters!$D$5:$K$5,0)))</f>
        <v>0.025</v>
      </c>
      <c r="R3212" s="71">
        <f>IF(B3212="",0,INDEX(ModelParameters!$D$13:$K$17,MATCH($O3212,ModelParameters!$B$13:$B$17,0),MATCH($J3212,ModelParameters!$D$5:$K$5,0)))</f>
        <v>0</v>
      </c>
      <c r="S3212" s="160">
        <f>IF(B3212="",0,MIN(IF($N3212="Other Bond TM",ModelParameters!$N$21,1)*(P3212*Q3212+R3212),1))</f>
        <v>0.025</v>
      </c>
      <c r="T3212" s="85">
        <f>IF(B3212="",0,$S3212*$K3212)</f>
        <v>7.1354163016887064</v>
      </c>
      <c r="U3212" s="85">
        <f>IF(B3212="",0,IF(OR(H3212=MappingTables!$C$34,H3212=MappingTables!$C$35),T3212,0))</f>
        <v>0</v>
      </c>
      <c r="V3212" s="85">
        <f>IF(ISNA(IF(AND(VLOOKUP(CONCATENATE($D3212,$G3212),CSRFinput!$B:$E,4,0)=0,OR(H3212=MappingTables!$C$34,H3212=MappingTables!$C$35)),1,VLOOKUP(CONCATENATE($D3212,$G3212),CSRFinput!$B:$E,4,0))),0,IF(AND(VLOOKUP(CONCATENATE($D3212,$G3212),CSRFinput!$B:$E,4,0)=0,OR(H3212=MappingTables!$C$34,H3212=MappingTables!$C$35)),1,VLOOKUP(CONCATENATE($D3212,$G3212),CSRFinput!$B:$E,4,0)))</f>
        <v>0.054776304963434752</v>
      </c>
      <c r="W3212" s="85">
        <f>IF(B3212="",0,+$T3212*$V3212)</f>
        <v>0.39085173938236432</v>
      </c>
      <c r="X3212" s="85">
        <f>IF(B3212="",0,IF(OR(H3212=MappingTables!$C$34,H3212=MappingTables!$C$35),W3212,0))</f>
        <v>0</v>
      </c>
    </row>
    <row r="3213" spans="2:24" s="0" customFormat="0" ht="15">
      <c r="B3213" s="69">
        <v>23531113</v>
      </c>
      <c r="C3213" s="70" t="s">
        <v>2771</v>
      </c>
      <c r="D3213" s="70" t="s">
        <v>1</v>
      </c>
      <c r="E3213" s="70" t="s">
        <v>1</v>
      </c>
      <c r="F3213" s="70"/>
      <c r="G3213" s="70" t="s">
        <v>61</v>
      </c>
      <c r="H3213" s="70" t="s">
        <v>178</v>
      </c>
      <c r="I3213" s="70" t="s">
        <v>220</v>
      </c>
      <c r="J3213" s="71">
        <f>IF(OR(I3213=0,I3213=""),"unrated",VLOOKUP(I3213,MappingTables!$B$19:$C$31,2,FALSE))</f>
        <v>1</v>
      </c>
      <c r="K3213" s="72">
        <v>539.15556485566944</v>
      </c>
      <c r="L3213" s="70">
        <v>2.346941938792982</v>
      </c>
      <c r="M3213" s="71">
        <f>IF(L3213&lt;1,1,L3213)</f>
        <v>2.346941938792982</v>
      </c>
      <c r="N3213" s="70" t="s">
        <v>141</v>
      </c>
      <c r="O3213" s="71">
        <f>INDEX(DurClassMapping,MATCH(M3213,MappingTables!$D$4:$D$8,-1),1)</f>
        <v>1</v>
      </c>
      <c r="P3213" s="73">
        <f>IF(M3213=$A$1,1,$M3213-INDEX(MappingTables!$E$4:$E$8,MATCH(O3213,MappingTables!$B$4:$B$8,0)))</f>
        <v>2.346941938792982</v>
      </c>
      <c r="Q3213" s="71">
        <f>IF(B3213="",0,INDEX(ModelParameters!$D$6:$K$10,MATCH($O3213,ModelParameters!$B$6:$B$10,0),MATCH($J3213,ModelParameters!$D$5:$K$5,0)))</f>
        <v>0.011000000000000002</v>
      </c>
      <c r="R3213" s="71">
        <f>IF(B3213="",0,INDEX(ModelParameters!$D$13:$K$17,MATCH($O3213,ModelParameters!$B$13:$B$17,0),MATCH($J3213,ModelParameters!$D$5:$K$5,0)))</f>
        <v>0</v>
      </c>
      <c r="S3213" s="160">
        <f>IF(B3213="",0,MIN(IF($N3213="Other Bond TM",ModelParameters!$N$21,1)*(P3213*Q3213+R3213),1))</f>
        <v>0.025816361326722808</v>
      </c>
      <c r="T3213" s="85">
        <f>IF(B3213="",0,$S3213*$K3213)</f>
        <v>13.919034873627296</v>
      </c>
      <c r="U3213" s="85">
        <f>IF(B3213="",0,IF(OR(H3213=MappingTables!$C$34,H3213=MappingTables!$C$35),T3213,0))</f>
        <v>0</v>
      </c>
      <c r="V3213" s="85">
        <f>IF(ISNA(IF(AND(VLOOKUP(CONCATENATE($D3213,$G3213),CSRFinput!$B:$E,4,0)=0,OR(H3213=MappingTables!$C$34,H3213=MappingTables!$C$35)),1,VLOOKUP(CONCATENATE($D3213,$G3213),CSRFinput!$B:$E,4,0))),0,IF(AND(VLOOKUP(CONCATENATE($D3213,$G3213),CSRFinput!$B:$E,4,0)=0,OR(H3213=MappingTables!$C$34,H3213=MappingTables!$C$35)),1,VLOOKUP(CONCATENATE($D3213,$G3213),CSRFinput!$B:$E,4,0)))</f>
        <v>0.054776304963434752</v>
      </c>
      <c r="W3213" s="85">
        <f>IF(B3213="",0,+$T3213*$V3213)</f>
        <v>0.76243329903449232</v>
      </c>
      <c r="X3213" s="85">
        <f>IF(B3213="",0,IF(OR(H3213=MappingTables!$C$34,H3213=MappingTables!$C$35),W3213,0))</f>
        <v>0</v>
      </c>
    </row>
    <row r="3214" spans="2:24" s="0" customFormat="0" ht="15">
      <c r="B3214" s="69">
        <v>11841708</v>
      </c>
      <c r="C3214" s="70" t="s">
        <v>696</v>
      </c>
      <c r="D3214" s="70" t="s">
        <v>1</v>
      </c>
      <c r="E3214" s="70" t="s">
        <v>1</v>
      </c>
      <c r="F3214" s="70"/>
      <c r="G3214" s="70" t="s">
        <v>61</v>
      </c>
      <c r="H3214" s="70" t="s">
        <v>178</v>
      </c>
      <c r="I3214" s="70" t="s">
        <v>181</v>
      </c>
      <c r="J3214" s="71">
        <f>IF(OR(I3214=0,I3214=""),"unrated",VLOOKUP(I3214,MappingTables!$B$19:$C$31,2,FALSE))</f>
        <v>3</v>
      </c>
      <c r="K3214" s="72">
        <v>1998.2824995858688</v>
      </c>
      <c r="L3214" s="70">
        <v>0.22191559585352564</v>
      </c>
      <c r="M3214" s="71">
        <f>IF(L3214&lt;1,1,L3214)</f>
        <v>1</v>
      </c>
      <c r="N3214" s="70" t="s">
        <v>141</v>
      </c>
      <c r="O3214" s="71">
        <f>INDEX(DurClassMapping,MATCH(M3214,MappingTables!$D$4:$D$8,-1),1)</f>
        <v>1</v>
      </c>
      <c r="P3214" s="73">
        <f>IF(M3214=$A$1,1,$M3214-INDEX(MappingTables!$E$4:$E$8,MATCH(O3214,MappingTables!$B$4:$B$8,0)))</f>
        <v>1</v>
      </c>
      <c r="Q3214" s="71">
        <f>IF(B3214="",0,INDEX(ModelParameters!$D$6:$K$10,MATCH($O3214,ModelParameters!$B$6:$B$10,0),MATCH($J3214,ModelParameters!$D$5:$K$5,0)))</f>
        <v>0.025</v>
      </c>
      <c r="R3214" s="71">
        <f>IF(B3214="",0,INDEX(ModelParameters!$D$13:$K$17,MATCH($O3214,ModelParameters!$B$13:$B$17,0),MATCH($J3214,ModelParameters!$D$5:$K$5,0)))</f>
        <v>0</v>
      </c>
      <c r="S3214" s="160">
        <f>IF(B3214="",0,MIN(IF($N3214="Other Bond TM",ModelParameters!$N$21,1)*(P3214*Q3214+R3214),1))</f>
        <v>0.025</v>
      </c>
      <c r="T3214" s="85">
        <f>IF(B3214="",0,$S3214*$K3214)</f>
        <v>49.95706248964672</v>
      </c>
      <c r="U3214" s="85">
        <f>IF(B3214="",0,IF(OR(H3214=MappingTables!$C$34,H3214=MappingTables!$C$35),T3214,0))</f>
        <v>0</v>
      </c>
      <c r="V3214" s="85">
        <f>IF(ISNA(IF(AND(VLOOKUP(CONCATENATE($D3214,$G3214),CSRFinput!$B:$E,4,0)=0,OR(H3214=MappingTables!$C$34,H3214=MappingTables!$C$35)),1,VLOOKUP(CONCATENATE($D3214,$G3214),CSRFinput!$B:$E,4,0))),0,IF(AND(VLOOKUP(CONCATENATE($D3214,$G3214),CSRFinput!$B:$E,4,0)=0,OR(H3214=MappingTables!$C$34,H3214=MappingTables!$C$35)),1,VLOOKUP(CONCATENATE($D3214,$G3214),CSRFinput!$B:$E,4,0)))</f>
        <v>0.054776304963434752</v>
      </c>
      <c r="W3214" s="85">
        <f>IF(B3214="",0,+$T3214*$V3214)</f>
        <v>2.7364632900102556</v>
      </c>
      <c r="X3214" s="85">
        <f>IF(B3214="",0,IF(OR(H3214=MappingTables!$C$34,H3214=MappingTables!$C$35),W3214,0))</f>
        <v>0</v>
      </c>
    </row>
    <row r="3215" spans="2:24" s="0" customFormat="0" ht="15">
      <c r="B3215" s="69">
        <v>8439558</v>
      </c>
      <c r="C3215" s="70" t="s">
        <v>2042</v>
      </c>
      <c r="D3215" s="70" t="s">
        <v>1</v>
      </c>
      <c r="E3215" s="70" t="s">
        <v>1</v>
      </c>
      <c r="F3215" s="70"/>
      <c r="G3215" s="70" t="s">
        <v>61</v>
      </c>
      <c r="H3215" s="70" t="s">
        <v>178</v>
      </c>
      <c r="I3215" s="70" t="s">
        <v>181</v>
      </c>
      <c r="J3215" s="71">
        <f>IF(OR(I3215=0,I3215=""),"unrated",VLOOKUP(I3215,MappingTables!$B$19:$C$31,2,FALSE))</f>
        <v>3</v>
      </c>
      <c r="K3215" s="72">
        <v>10.000233710213742</v>
      </c>
      <c r="L3215" s="70">
        <v>0.3397245894644102</v>
      </c>
      <c r="M3215" s="71">
        <f>IF(L3215&lt;1,1,L3215)</f>
        <v>1</v>
      </c>
      <c r="N3215" s="70" t="s">
        <v>141</v>
      </c>
      <c r="O3215" s="71">
        <f>INDEX(DurClassMapping,MATCH(M3215,MappingTables!$D$4:$D$8,-1),1)</f>
        <v>1</v>
      </c>
      <c r="P3215" s="73">
        <f>IF(M3215=$A$1,1,$M3215-INDEX(MappingTables!$E$4:$E$8,MATCH(O3215,MappingTables!$B$4:$B$8,0)))</f>
        <v>1</v>
      </c>
      <c r="Q3215" s="71">
        <f>IF(B3215="",0,INDEX(ModelParameters!$D$6:$K$10,MATCH($O3215,ModelParameters!$B$6:$B$10,0),MATCH($J3215,ModelParameters!$D$5:$K$5,0)))</f>
        <v>0.025</v>
      </c>
      <c r="R3215" s="71">
        <f>IF(B3215="",0,INDEX(ModelParameters!$D$13:$K$17,MATCH($O3215,ModelParameters!$B$13:$B$17,0),MATCH($J3215,ModelParameters!$D$5:$K$5,0)))</f>
        <v>0</v>
      </c>
      <c r="S3215" s="160">
        <f>IF(B3215="",0,MIN(IF($N3215="Other Bond TM",ModelParameters!$N$21,1)*(P3215*Q3215+R3215),1))</f>
        <v>0.025</v>
      </c>
      <c r="T3215" s="85">
        <f>IF(B3215="",0,$S3215*$K3215)</f>
        <v>0.25000584275534356</v>
      </c>
      <c r="U3215" s="85">
        <f>IF(B3215="",0,IF(OR(H3215=MappingTables!$C$34,H3215=MappingTables!$C$35),T3215,0))</f>
        <v>0</v>
      </c>
      <c r="V3215" s="85">
        <f>IF(ISNA(IF(AND(VLOOKUP(CONCATENATE($D3215,$G3215),CSRFinput!$B:$E,4,0)=0,OR(H3215=MappingTables!$C$34,H3215=MappingTables!$C$35)),1,VLOOKUP(CONCATENATE($D3215,$G3215),CSRFinput!$B:$E,4,0))),0,IF(AND(VLOOKUP(CONCATENATE($D3215,$G3215),CSRFinput!$B:$E,4,0)=0,OR(H3215=MappingTables!$C$34,H3215=MappingTables!$C$35)),1,VLOOKUP(CONCATENATE($D3215,$G3215),CSRFinput!$B:$E,4,0)))</f>
        <v>0.054776304963434752</v>
      </c>
      <c r="W3215" s="85">
        <f>IF(B3215="",0,+$T3215*$V3215)</f>
        <v>0.013694396285407212</v>
      </c>
      <c r="X3215" s="85">
        <f>IF(B3215="",0,IF(OR(H3215=MappingTables!$C$34,H3215=MappingTables!$C$35),W3215,0))</f>
        <v>0</v>
      </c>
    </row>
    <row r="3216" spans="2:24" s="0" customFormat="0" ht="15">
      <c r="B3216" s="69" t="s">
        <v>2253</v>
      </c>
      <c r="C3216" s="70" t="s">
        <v>2254</v>
      </c>
      <c r="D3216" s="70" t="s">
        <v>1</v>
      </c>
      <c r="E3216" s="70" t="s">
        <v>1</v>
      </c>
      <c r="F3216" s="70"/>
      <c r="G3216" s="70" t="s">
        <v>61</v>
      </c>
      <c r="H3216" s="70" t="s">
        <v>178</v>
      </c>
      <c r="I3216" s="70" t="s">
        <v>198</v>
      </c>
      <c r="J3216" s="71" t="str">
        <f>IF(OR(I3216=0,I3216=""),"unrated",VLOOKUP(I3216,MappingTables!$B$19:$C$31,2,FALSE))</f>
        <v>unrated</v>
      </c>
      <c r="K3216" s="72">
        <v>232.11793771519228</v>
      </c>
      <c r="L3216" s="70">
        <v>0.67569741916487792</v>
      </c>
      <c r="M3216" s="71">
        <f>IF(L3216&lt;1,1,L3216)</f>
        <v>1</v>
      </c>
      <c r="N3216" s="70" t="s">
        <v>141</v>
      </c>
      <c r="O3216" s="71">
        <f>INDEX(DurClassMapping,MATCH(M3216,MappingTables!$D$4:$D$8,-1),1)</f>
        <v>1</v>
      </c>
      <c r="P3216" s="73">
        <f>IF(M3216=$A$1,1,$M3216-INDEX(MappingTables!$E$4:$E$8,MATCH(O3216,MappingTables!$B$4:$B$8,0)))</f>
        <v>1</v>
      </c>
      <c r="Q3216" s="71">
        <f>IF(B3216="",0,INDEX(ModelParameters!$D$6:$K$10,MATCH($O3216,ModelParameters!$B$6:$B$10,0),MATCH($J3216,ModelParameters!$D$5:$K$5,0)))</f>
        <v>0.03</v>
      </c>
      <c r="R3216" s="71">
        <f>IF(B3216="",0,INDEX(ModelParameters!$D$13:$K$17,MATCH($O3216,ModelParameters!$B$13:$B$17,0),MATCH($J3216,ModelParameters!$D$5:$K$5,0)))</f>
        <v>0</v>
      </c>
      <c r="S3216" s="160">
        <f>IF(B3216="",0,MIN(IF($N3216="Other Bond TM",ModelParameters!$N$21,1)*(P3216*Q3216+R3216),1))</f>
        <v>0.03</v>
      </c>
      <c r="T3216" s="85">
        <f>IF(B3216="",0,$S3216*$K3216)</f>
        <v>6.963538131455768</v>
      </c>
      <c r="U3216" s="85">
        <f>IF(B3216="",0,IF(OR(H3216=MappingTables!$C$34,H3216=MappingTables!$C$35),T3216,0))</f>
        <v>0</v>
      </c>
      <c r="V3216" s="85">
        <f>IF(ISNA(IF(AND(VLOOKUP(CONCATENATE($D3216,$G3216),CSRFinput!$B:$E,4,0)=0,OR(H3216=MappingTables!$C$34,H3216=MappingTables!$C$35)),1,VLOOKUP(CONCATENATE($D3216,$G3216),CSRFinput!$B:$E,4,0))),0,IF(AND(VLOOKUP(CONCATENATE($D3216,$G3216),CSRFinput!$B:$E,4,0)=0,OR(H3216=MappingTables!$C$34,H3216=MappingTables!$C$35)),1,VLOOKUP(CONCATENATE($D3216,$G3216),CSRFinput!$B:$E,4,0)))</f>
        <v>0.054776304963434752</v>
      </c>
      <c r="W3216" s="85">
        <f>IF(B3216="",0,+$T3216*$V3216)</f>
        <v>0.38143688831312768</v>
      </c>
      <c r="X3216" s="85">
        <f>IF(B3216="",0,IF(OR(H3216=MappingTables!$C$34,H3216=MappingTables!$C$35),W3216,0))</f>
        <v>0</v>
      </c>
    </row>
    <row r="3217" spans="2:24" s="0" customFormat="0" ht="15">
      <c r="B3217" s="69">
        <v>18768984</v>
      </c>
      <c r="C3217" s="70" t="s">
        <v>2603</v>
      </c>
      <c r="D3217" s="70" t="s">
        <v>1</v>
      </c>
      <c r="E3217" s="70" t="s">
        <v>1</v>
      </c>
      <c r="F3217" s="70"/>
      <c r="G3217" s="70" t="s">
        <v>61</v>
      </c>
      <c r="H3217" s="70" t="s">
        <v>178</v>
      </c>
      <c r="I3217" s="70" t="s">
        <v>220</v>
      </c>
      <c r="J3217" s="71">
        <f>IF(OR(I3217=0,I3217=""),"unrated",VLOOKUP(I3217,MappingTables!$B$19:$C$31,2,FALSE))</f>
        <v>1</v>
      </c>
      <c r="K3217" s="72">
        <v>91.54393692748544</v>
      </c>
      <c r="L3217" s="70">
        <v>0.9991937060310776</v>
      </c>
      <c r="M3217" s="71">
        <f>IF(L3217&lt;1,1,L3217)</f>
        <v>1</v>
      </c>
      <c r="N3217" s="70" t="s">
        <v>141</v>
      </c>
      <c r="O3217" s="71">
        <f>INDEX(DurClassMapping,MATCH(M3217,MappingTables!$D$4:$D$8,-1),1)</f>
        <v>1</v>
      </c>
      <c r="P3217" s="73">
        <f>IF(M3217=$A$1,1,$M3217-INDEX(MappingTables!$E$4:$E$8,MATCH(O3217,MappingTables!$B$4:$B$8,0)))</f>
        <v>1</v>
      </c>
      <c r="Q3217" s="71">
        <f>IF(B3217="",0,INDEX(ModelParameters!$D$6:$K$10,MATCH($O3217,ModelParameters!$B$6:$B$10,0),MATCH($J3217,ModelParameters!$D$5:$K$5,0)))</f>
        <v>0.011000000000000002</v>
      </c>
      <c r="R3217" s="71">
        <f>IF(B3217="",0,INDEX(ModelParameters!$D$13:$K$17,MATCH($O3217,ModelParameters!$B$13:$B$17,0),MATCH($J3217,ModelParameters!$D$5:$K$5,0)))</f>
        <v>0</v>
      </c>
      <c r="S3217" s="160">
        <f>IF(B3217="",0,MIN(IF($N3217="Other Bond TM",ModelParameters!$N$21,1)*(P3217*Q3217+R3217),1))</f>
        <v>0.011000000000000002</v>
      </c>
      <c r="T3217" s="85">
        <f>IF(B3217="",0,$S3217*$K3217)</f>
        <v>1.0069833062023398</v>
      </c>
      <c r="U3217" s="85">
        <f>IF(B3217="",0,IF(OR(H3217=MappingTables!$C$34,H3217=MappingTables!$C$35),T3217,0))</f>
        <v>0</v>
      </c>
      <c r="V3217" s="85">
        <f>IF(ISNA(IF(AND(VLOOKUP(CONCATENATE($D3217,$G3217),CSRFinput!$B:$E,4,0)=0,OR(H3217=MappingTables!$C$34,H3217=MappingTables!$C$35)),1,VLOOKUP(CONCATENATE($D3217,$G3217),CSRFinput!$B:$E,4,0))),0,IF(AND(VLOOKUP(CONCATENATE($D3217,$G3217),CSRFinput!$B:$E,4,0)=0,OR(H3217=MappingTables!$C$34,H3217=MappingTables!$C$35)),1,VLOOKUP(CONCATENATE($D3217,$G3217),CSRFinput!$B:$E,4,0)))</f>
        <v>0.054776304963434752</v>
      </c>
      <c r="W3217" s="85">
        <f>IF(B3217="",0,+$T3217*$V3217)</f>
        <v>0.055158824673627168</v>
      </c>
      <c r="X3217" s="85">
        <f>IF(B3217="",0,IF(OR(H3217=MappingTables!$C$34,H3217=MappingTables!$C$35),W3217,0))</f>
        <v>0</v>
      </c>
    </row>
    <row r="3218" spans="2:24" s="0" customFormat="0" ht="15">
      <c r="B3218" s="69">
        <v>13044717</v>
      </c>
      <c r="C3218" s="70" t="s">
        <v>1073</v>
      </c>
      <c r="D3218" s="70" t="s">
        <v>1</v>
      </c>
      <c r="E3218" s="70" t="s">
        <v>1</v>
      </c>
      <c r="F3218" s="70"/>
      <c r="G3218" s="70" t="s">
        <v>61</v>
      </c>
      <c r="H3218" s="70" t="s">
        <v>178</v>
      </c>
      <c r="I3218" s="70" t="s">
        <v>188</v>
      </c>
      <c r="J3218" s="71">
        <f>IF(OR(I3218=0,I3218=""),"unrated",VLOOKUP(I3218,MappingTables!$B$19:$C$31,2,FALSE))</f>
        <v>2</v>
      </c>
      <c r="K3218" s="72">
        <v>5493.2912592021248</v>
      </c>
      <c r="L3218" s="70">
        <v>0.93760428385767184</v>
      </c>
      <c r="M3218" s="71">
        <f>IF(L3218&lt;1,1,L3218)</f>
        <v>1</v>
      </c>
      <c r="N3218" s="70" t="s">
        <v>141</v>
      </c>
      <c r="O3218" s="71">
        <f>INDEX(DurClassMapping,MATCH(M3218,MappingTables!$D$4:$D$8,-1),1)</f>
        <v>1</v>
      </c>
      <c r="P3218" s="73">
        <f>IF(M3218=$A$1,1,$M3218-INDEX(MappingTables!$E$4:$E$8,MATCH(O3218,MappingTables!$B$4:$B$8,0)))</f>
        <v>1</v>
      </c>
      <c r="Q3218" s="71">
        <f>IF(B3218="",0,INDEX(ModelParameters!$D$6:$K$10,MATCH($O3218,ModelParameters!$B$6:$B$10,0),MATCH($J3218,ModelParameters!$D$5:$K$5,0)))</f>
        <v>0.013999999999999998</v>
      </c>
      <c r="R3218" s="71">
        <f>IF(B3218="",0,INDEX(ModelParameters!$D$13:$K$17,MATCH($O3218,ModelParameters!$B$13:$B$17,0),MATCH($J3218,ModelParameters!$D$5:$K$5,0)))</f>
        <v>0</v>
      </c>
      <c r="S3218" s="160">
        <f>IF(B3218="",0,MIN(IF($N3218="Other Bond TM",ModelParameters!$N$21,1)*(P3218*Q3218+R3218),1))</f>
        <v>0.013999999999999998</v>
      </c>
      <c r="T3218" s="85">
        <f>IF(B3218="",0,$S3218*$K3218)</f>
        <v>76.906077628829728</v>
      </c>
      <c r="U3218" s="85">
        <f>IF(B3218="",0,IF(OR(H3218=MappingTables!$C$34,H3218=MappingTables!$C$35),T3218,0))</f>
        <v>0</v>
      </c>
      <c r="V3218" s="85">
        <f>IF(ISNA(IF(AND(VLOOKUP(CONCATENATE($D3218,$G3218),CSRFinput!$B:$E,4,0)=0,OR(H3218=MappingTables!$C$34,H3218=MappingTables!$C$35)),1,VLOOKUP(CONCATENATE($D3218,$G3218),CSRFinput!$B:$E,4,0))),0,IF(AND(VLOOKUP(CONCATENATE($D3218,$G3218),CSRFinput!$B:$E,4,0)=0,OR(H3218=MappingTables!$C$34,H3218=MappingTables!$C$35)),1,VLOOKUP(CONCATENATE($D3218,$G3218),CSRFinput!$B:$E,4,0)))</f>
        <v>0.054776304963434752</v>
      </c>
      <c r="W3218" s="85">
        <f>IF(B3218="",0,+$T3218*$V3218)</f>
        <v>4.2126307617383648</v>
      </c>
      <c r="X3218" s="85">
        <f>IF(B3218="",0,IF(OR(H3218=MappingTables!$C$34,H3218=MappingTables!$C$35),W3218,0))</f>
        <v>0</v>
      </c>
    </row>
    <row r="3219" spans="2:24" s="0" customFormat="0" ht="15">
      <c r="B3219" s="69">
        <v>20505301</v>
      </c>
      <c r="C3219" s="70" t="s">
        <v>2772</v>
      </c>
      <c r="D3219" s="70" t="s">
        <v>1</v>
      </c>
      <c r="E3219" s="70" t="s">
        <v>1</v>
      </c>
      <c r="F3219" s="70"/>
      <c r="G3219" s="70" t="s">
        <v>61</v>
      </c>
      <c r="H3219" s="70" t="s">
        <v>178</v>
      </c>
      <c r="I3219" s="70" t="s">
        <v>188</v>
      </c>
      <c r="J3219" s="71">
        <f>IF(OR(I3219=0,I3219=""),"unrated",VLOOKUP(I3219,MappingTables!$B$19:$C$31,2,FALSE))</f>
        <v>2</v>
      </c>
      <c r="K3219" s="72">
        <v>10059.388531667922</v>
      </c>
      <c r="L3219" s="70">
        <v>7.1554327909936848</v>
      </c>
      <c r="M3219" s="71">
        <f>IF(L3219&lt;1,1,L3219)</f>
        <v>7.1554327909936848</v>
      </c>
      <c r="N3219" s="70" t="s">
        <v>141</v>
      </c>
      <c r="O3219" s="71">
        <f>INDEX(DurClassMapping,MATCH(M3219,MappingTables!$D$4:$D$8,-1),1)</f>
        <v>2</v>
      </c>
      <c r="P3219" s="73">
        <f>IF(M3219=$A$1,1,$M3219-INDEX(MappingTables!$E$4:$E$8,MATCH(O3219,MappingTables!$B$4:$B$8,0)))</f>
        <v>2.1554327909936852</v>
      </c>
      <c r="Q3219" s="71">
        <f>IF(B3219="",0,INDEX(ModelParameters!$D$6:$K$10,MATCH($O3219,ModelParameters!$B$6:$B$10,0),MATCH($J3219,ModelParameters!$D$5:$K$5,0)))</f>
        <v>0.0069999999999999992</v>
      </c>
      <c r="R3219" s="71">
        <f>IF(B3219="",0,INDEX(ModelParameters!$D$13:$K$17,MATCH($O3219,ModelParameters!$B$13:$B$17,0),MATCH($J3219,ModelParameters!$D$5:$K$5,0)))</f>
        <v>0.070000000000000008</v>
      </c>
      <c r="S3219" s="160">
        <f>IF(B3219="",0,MIN(IF($N3219="Other Bond TM",ModelParameters!$N$21,1)*(P3219*Q3219+R3219),1))</f>
        <v>0.085088029536955792</v>
      </c>
      <c r="T3219" s="85">
        <f>IF(B3219="",0,$S3219*$K3219)</f>
        <v>855.93354850627456</v>
      </c>
      <c r="U3219" s="85">
        <f>IF(B3219="",0,IF(OR(H3219=MappingTables!$C$34,H3219=MappingTables!$C$35),T3219,0))</f>
        <v>0</v>
      </c>
      <c r="V3219" s="85">
        <f>IF(ISNA(IF(AND(VLOOKUP(CONCATENATE($D3219,$G3219),CSRFinput!$B:$E,4,0)=0,OR(H3219=MappingTables!$C$34,H3219=MappingTables!$C$35)),1,VLOOKUP(CONCATENATE($D3219,$G3219),CSRFinput!$B:$E,4,0))),0,IF(AND(VLOOKUP(CONCATENATE($D3219,$G3219),CSRFinput!$B:$E,4,0)=0,OR(H3219=MappingTables!$C$34,H3219=MappingTables!$C$35)),1,VLOOKUP(CONCATENATE($D3219,$G3219),CSRFinput!$B:$E,4,0)))</f>
        <v>0.054776304963434752</v>
      </c>
      <c r="W3219" s="85">
        <f>IF(B3219="",0,+$T3219*$V3219)</f>
        <v>46.884877081414568</v>
      </c>
      <c r="X3219" s="85">
        <f>IF(B3219="",0,IF(OR(H3219=MappingTables!$C$34,H3219=MappingTables!$C$35),W3219,0))</f>
        <v>0</v>
      </c>
    </row>
    <row r="3220" spans="2:24" s="0" customFormat="0" ht="15">
      <c r="B3220" s="69">
        <v>21906280</v>
      </c>
      <c r="C3220" s="70" t="s">
        <v>801</v>
      </c>
      <c r="D3220" s="70" t="s">
        <v>1</v>
      </c>
      <c r="E3220" s="70" t="s">
        <v>1</v>
      </c>
      <c r="F3220" s="70"/>
      <c r="G3220" s="70" t="s">
        <v>61</v>
      </c>
      <c r="H3220" s="70" t="s">
        <v>178</v>
      </c>
      <c r="I3220" s="70" t="s">
        <v>179</v>
      </c>
      <c r="J3220" s="71">
        <f>IF(OR(I3220=0,I3220=""),"unrated",VLOOKUP(I3220,MappingTables!$B$19:$C$31,2,FALSE))</f>
        <v>4</v>
      </c>
      <c r="K3220" s="72">
        <v>10204.826640742738</v>
      </c>
      <c r="L3220" s="70">
        <v>6.1665780718108952</v>
      </c>
      <c r="M3220" s="71">
        <f>IF(L3220&lt;1,1,L3220)</f>
        <v>6.1665780718108952</v>
      </c>
      <c r="N3220" s="70" t="s">
        <v>141</v>
      </c>
      <c r="O3220" s="71">
        <f>INDEX(DurClassMapping,MATCH(M3220,MappingTables!$D$4:$D$8,-1),1)</f>
        <v>2</v>
      </c>
      <c r="P3220" s="73">
        <f>IF(M3220=$A$1,1,$M3220-INDEX(MappingTables!$E$4:$E$8,MATCH(O3220,MappingTables!$B$4:$B$8,0)))</f>
        <v>1.1665780718108954</v>
      </c>
      <c r="Q3220" s="71">
        <f>IF(B3220="",0,INDEX(ModelParameters!$D$6:$K$10,MATCH($O3220,ModelParameters!$B$6:$B$10,0),MATCH($J3220,ModelParameters!$D$5:$K$5,0)))</f>
        <v>0.025</v>
      </c>
      <c r="R3220" s="71">
        <f>IF(B3220="",0,INDEX(ModelParameters!$D$13:$K$17,MATCH($O3220,ModelParameters!$B$13:$B$17,0),MATCH($J3220,ModelParameters!$D$5:$K$5,0)))</f>
        <v>0.225</v>
      </c>
      <c r="S3220" s="160">
        <f>IF(B3220="",0,MIN(IF($N3220="Other Bond TM",ModelParameters!$N$21,1)*(P3220*Q3220+R3220),1))</f>
        <v>0.25416445179527236</v>
      </c>
      <c r="T3220" s="85">
        <f>IF(B3220="",0,$S3220*$K3220)</f>
        <v>2593.7041688101688</v>
      </c>
      <c r="U3220" s="85">
        <f>IF(B3220="",0,IF(OR(H3220=MappingTables!$C$34,H3220=MappingTables!$C$35),T3220,0))</f>
        <v>0</v>
      </c>
      <c r="V3220" s="85">
        <f>IF(ISNA(IF(AND(VLOOKUP(CONCATENATE($D3220,$G3220),CSRFinput!$B:$E,4,0)=0,OR(H3220=MappingTables!$C$34,H3220=MappingTables!$C$35)),1,VLOOKUP(CONCATENATE($D3220,$G3220),CSRFinput!$B:$E,4,0))),0,IF(AND(VLOOKUP(CONCATENATE($D3220,$G3220),CSRFinput!$B:$E,4,0)=0,OR(H3220=MappingTables!$C$34,H3220=MappingTables!$C$35)),1,VLOOKUP(CONCATENATE($D3220,$G3220),CSRFinput!$B:$E,4,0)))</f>
        <v>0.054776304963434752</v>
      </c>
      <c r="W3220" s="85">
        <f>IF(B3220="",0,+$T3220*$V3220)</f>
        <v>142.07353053567786</v>
      </c>
      <c r="X3220" s="85">
        <f>IF(B3220="",0,IF(OR(H3220=MappingTables!$C$34,H3220=MappingTables!$C$35),W3220,0))</f>
        <v>0</v>
      </c>
    </row>
    <row r="3221" spans="2:24" s="0" customFormat="0" ht="15">
      <c r="B3221" s="69">
        <v>12667442</v>
      </c>
      <c r="C3221" s="70" t="s">
        <v>2144</v>
      </c>
      <c r="D3221" s="70" t="s">
        <v>1</v>
      </c>
      <c r="E3221" s="70" t="s">
        <v>1</v>
      </c>
      <c r="F3221" s="70"/>
      <c r="G3221" s="70" t="s">
        <v>61</v>
      </c>
      <c r="H3221" s="70" t="s">
        <v>178</v>
      </c>
      <c r="I3221" s="70" t="s">
        <v>181</v>
      </c>
      <c r="J3221" s="71">
        <f>IF(OR(I3221=0,I3221=""),"unrated",VLOOKUP(I3221,MappingTables!$B$19:$C$31,2,FALSE))</f>
        <v>3</v>
      </c>
      <c r="K3221" s="72">
        <v>12013.73988083629</v>
      </c>
      <c r="L3221" s="70">
        <v>1.62572666773697</v>
      </c>
      <c r="M3221" s="71">
        <f>IF(L3221&lt;1,1,L3221)</f>
        <v>1.62572666773697</v>
      </c>
      <c r="N3221" s="70" t="s">
        <v>141</v>
      </c>
      <c r="O3221" s="71">
        <f>INDEX(DurClassMapping,MATCH(M3221,MappingTables!$D$4:$D$8,-1),1)</f>
        <v>1</v>
      </c>
      <c r="P3221" s="73">
        <f>IF(M3221=$A$1,1,$M3221-INDEX(MappingTables!$E$4:$E$8,MATCH(O3221,MappingTables!$B$4:$B$8,0)))</f>
        <v>1.62572666773697</v>
      </c>
      <c r="Q3221" s="71">
        <f>IF(B3221="",0,INDEX(ModelParameters!$D$6:$K$10,MATCH($O3221,ModelParameters!$B$6:$B$10,0),MATCH($J3221,ModelParameters!$D$5:$K$5,0)))</f>
        <v>0.025</v>
      </c>
      <c r="R3221" s="71">
        <f>IF(B3221="",0,INDEX(ModelParameters!$D$13:$K$17,MATCH($O3221,ModelParameters!$B$13:$B$17,0),MATCH($J3221,ModelParameters!$D$5:$K$5,0)))</f>
        <v>0</v>
      </c>
      <c r="S3221" s="160">
        <f>IF(B3221="",0,MIN(IF($N3221="Other Bond TM",ModelParameters!$N$21,1)*(P3221*Q3221+R3221),1))</f>
        <v>0.040643166693424248</v>
      </c>
      <c r="T3221" s="85">
        <f>IF(B3221="",0,$S3221*$K3221)</f>
        <v>488.27643258826816</v>
      </c>
      <c r="U3221" s="85">
        <f>IF(B3221="",0,IF(OR(H3221=MappingTables!$C$34,H3221=MappingTables!$C$35),T3221,0))</f>
        <v>0</v>
      </c>
      <c r="V3221" s="85">
        <f>IF(ISNA(IF(AND(VLOOKUP(CONCATENATE($D3221,$G3221),CSRFinput!$B:$E,4,0)=0,OR(H3221=MappingTables!$C$34,H3221=MappingTables!$C$35)),1,VLOOKUP(CONCATENATE($D3221,$G3221),CSRFinput!$B:$E,4,0))),0,IF(AND(VLOOKUP(CONCATENATE($D3221,$G3221),CSRFinput!$B:$E,4,0)=0,OR(H3221=MappingTables!$C$34,H3221=MappingTables!$C$35)),1,VLOOKUP(CONCATENATE($D3221,$G3221),CSRFinput!$B:$E,4,0)))</f>
        <v>0.054776304963434752</v>
      </c>
      <c r="W3221" s="85">
        <f>IF(B3221="",0,+$T3221*$V3221)</f>
        <v>26.745978777912968</v>
      </c>
      <c r="X3221" s="85">
        <f>IF(B3221="",0,IF(OR(H3221=MappingTables!$C$34,H3221=MappingTables!$C$35),W3221,0))</f>
        <v>0</v>
      </c>
    </row>
    <row r="3222" spans="2:24" s="0" customFormat="0" ht="15">
      <c r="B3222" s="69">
        <v>20541270</v>
      </c>
      <c r="C3222" s="70" t="s">
        <v>2041</v>
      </c>
      <c r="D3222" s="70" t="s">
        <v>1</v>
      </c>
      <c r="E3222" s="70" t="s">
        <v>1</v>
      </c>
      <c r="F3222" s="70"/>
      <c r="G3222" s="70" t="s">
        <v>61</v>
      </c>
      <c r="H3222" s="70" t="s">
        <v>178</v>
      </c>
      <c r="I3222" s="70" t="s">
        <v>181</v>
      </c>
      <c r="J3222" s="71">
        <f>IF(OR(I3222=0,I3222=""),"unrated",VLOOKUP(I3222,MappingTables!$B$19:$C$31,2,FALSE))</f>
        <v>3</v>
      </c>
      <c r="K3222" s="72">
        <v>9086.5253487245696</v>
      </c>
      <c r="L3222" s="70">
        <v>3.1974104812289664</v>
      </c>
      <c r="M3222" s="71">
        <f>IF(L3222&lt;1,1,L3222)</f>
        <v>3.1974104812289664</v>
      </c>
      <c r="N3222" s="70" t="s">
        <v>141</v>
      </c>
      <c r="O3222" s="71">
        <f>INDEX(DurClassMapping,MATCH(M3222,MappingTables!$D$4:$D$8,-1),1)</f>
        <v>1</v>
      </c>
      <c r="P3222" s="73">
        <f>IF(M3222=$A$1,1,$M3222-INDEX(MappingTables!$E$4:$E$8,MATCH(O3222,MappingTables!$B$4:$B$8,0)))</f>
        <v>3.1974104812289664</v>
      </c>
      <c r="Q3222" s="71">
        <f>IF(B3222="",0,INDEX(ModelParameters!$D$6:$K$10,MATCH($O3222,ModelParameters!$B$6:$B$10,0),MATCH($J3222,ModelParameters!$D$5:$K$5,0)))</f>
        <v>0.025</v>
      </c>
      <c r="R3222" s="71">
        <f>IF(B3222="",0,INDEX(ModelParameters!$D$13:$K$17,MATCH($O3222,ModelParameters!$B$13:$B$17,0),MATCH($J3222,ModelParameters!$D$5:$K$5,0)))</f>
        <v>0</v>
      </c>
      <c r="S3222" s="160">
        <f>IF(B3222="",0,MIN(IF($N3222="Other Bond TM",ModelParameters!$N$21,1)*(P3222*Q3222+R3222),1))</f>
        <v>0.07993526203072416</v>
      </c>
      <c r="T3222" s="85">
        <f>IF(B3222="",0,$S3222*$K3222)</f>
        <v>726.33378469911584</v>
      </c>
      <c r="U3222" s="85">
        <f>IF(B3222="",0,IF(OR(H3222=MappingTables!$C$34,H3222=MappingTables!$C$35),T3222,0))</f>
        <v>0</v>
      </c>
      <c r="V3222" s="85">
        <f>IF(ISNA(IF(AND(VLOOKUP(CONCATENATE($D3222,$G3222),CSRFinput!$B:$E,4,0)=0,OR(H3222=MappingTables!$C$34,H3222=MappingTables!$C$35)),1,VLOOKUP(CONCATENATE($D3222,$G3222),CSRFinput!$B:$E,4,0))),0,IF(AND(VLOOKUP(CONCATENATE($D3222,$G3222),CSRFinput!$B:$E,4,0)=0,OR(H3222=MappingTables!$C$34,H3222=MappingTables!$C$35)),1,VLOOKUP(CONCATENATE($D3222,$G3222),CSRFinput!$B:$E,4,0)))</f>
        <v>0.054776304963434752</v>
      </c>
      <c r="W3222" s="85">
        <f>IF(B3222="",0,+$T3222*$V3222)</f>
        <v>39.785880895924528</v>
      </c>
      <c r="X3222" s="85">
        <f>IF(B3222="",0,IF(OR(H3222=MappingTables!$C$34,H3222=MappingTables!$C$35),W3222,0))</f>
        <v>0</v>
      </c>
    </row>
    <row r="3223" spans="2:24" s="0" customFormat="0" ht="15">
      <c r="B3223" s="69">
        <v>21999296</v>
      </c>
      <c r="C3223" s="70" t="s">
        <v>2649</v>
      </c>
      <c r="D3223" s="70" t="s">
        <v>1</v>
      </c>
      <c r="E3223" s="70" t="s">
        <v>1</v>
      </c>
      <c r="F3223" s="70"/>
      <c r="G3223" s="70" t="s">
        <v>61</v>
      </c>
      <c r="H3223" s="70" t="s">
        <v>178</v>
      </c>
      <c r="I3223" s="70" t="s">
        <v>184</v>
      </c>
      <c r="J3223" s="71">
        <f>IF(OR(I3223=0,I3223=""),"unrated",VLOOKUP(I3223,MappingTables!$B$19:$C$31,2,FALSE))</f>
        <v>5</v>
      </c>
      <c r="K3223" s="72">
        <v>15.942651302836242</v>
      </c>
      <c r="L3223" s="70">
        <v>2.190371310653902</v>
      </c>
      <c r="M3223" s="71">
        <f>IF(L3223&lt;1,1,L3223)</f>
        <v>2.190371310653902</v>
      </c>
      <c r="N3223" s="70" t="s">
        <v>141</v>
      </c>
      <c r="O3223" s="71">
        <f>INDEX(DurClassMapping,MATCH(M3223,MappingTables!$D$4:$D$8,-1),1)</f>
        <v>1</v>
      </c>
      <c r="P3223" s="73">
        <f>IF(M3223=$A$1,1,$M3223-INDEX(MappingTables!$E$4:$E$8,MATCH(O3223,MappingTables!$B$4:$B$8,0)))</f>
        <v>2.190371310653902</v>
      </c>
      <c r="Q3223" s="71">
        <f>IF(B3223="",0,INDEX(ModelParameters!$D$6:$K$10,MATCH($O3223,ModelParameters!$B$6:$B$10,0),MATCH($J3223,ModelParameters!$D$5:$K$5,0)))</f>
        <v>0.075</v>
      </c>
      <c r="R3223" s="71">
        <f>IF(B3223="",0,INDEX(ModelParameters!$D$13:$K$17,MATCH($O3223,ModelParameters!$B$13:$B$17,0),MATCH($J3223,ModelParameters!$D$5:$K$5,0)))</f>
        <v>0</v>
      </c>
      <c r="S3223" s="160">
        <f>IF(B3223="",0,MIN(IF($N3223="Other Bond TM",ModelParameters!$N$21,1)*(P3223*Q3223+R3223),1))</f>
        <v>0.16427784829904266</v>
      </c>
      <c r="T3223" s="85">
        <f>IF(B3223="",0,$S3223*$K3223)</f>
        <v>2.6190244522118668</v>
      </c>
      <c r="U3223" s="85">
        <f>IF(B3223="",0,IF(OR(H3223=MappingTables!$C$34,H3223=MappingTables!$C$35),T3223,0))</f>
        <v>0</v>
      </c>
      <c r="V3223" s="85">
        <f>IF(ISNA(IF(AND(VLOOKUP(CONCATENATE($D3223,$G3223),CSRFinput!$B:$E,4,0)=0,OR(H3223=MappingTables!$C$34,H3223=MappingTables!$C$35)),1,VLOOKUP(CONCATENATE($D3223,$G3223),CSRFinput!$B:$E,4,0))),0,IF(AND(VLOOKUP(CONCATENATE($D3223,$G3223),CSRFinput!$B:$E,4,0)=0,OR(H3223=MappingTables!$C$34,H3223=MappingTables!$C$35)),1,VLOOKUP(CONCATENATE($D3223,$G3223),CSRFinput!$B:$E,4,0)))</f>
        <v>0.054776304963434752</v>
      </c>
      <c r="W3223" s="85">
        <f>IF(B3223="",0,+$T3223*$V3223)</f>
        <v>0.14346048210104986</v>
      </c>
      <c r="X3223" s="85">
        <f>IF(B3223="",0,IF(OR(H3223=MappingTables!$C$34,H3223=MappingTables!$C$35),W3223,0))</f>
        <v>0</v>
      </c>
    </row>
    <row r="3224" spans="2:24" s="0" customFormat="0" ht="15">
      <c r="B3224" s="69">
        <v>14897748</v>
      </c>
      <c r="C3224" s="70" t="s">
        <v>2773</v>
      </c>
      <c r="D3224" s="70" t="s">
        <v>1</v>
      </c>
      <c r="E3224" s="70" t="s">
        <v>1</v>
      </c>
      <c r="F3224" s="70"/>
      <c r="G3224" s="70" t="s">
        <v>61</v>
      </c>
      <c r="H3224" s="70" t="s">
        <v>178</v>
      </c>
      <c r="I3224" s="70" t="s">
        <v>184</v>
      </c>
      <c r="J3224" s="71">
        <f>IF(OR(I3224=0,I3224=""),"unrated",VLOOKUP(I3224,MappingTables!$B$19:$C$31,2,FALSE))</f>
        <v>5</v>
      </c>
      <c r="K3224" s="72">
        <v>832.7385748098416</v>
      </c>
      <c r="L3224" s="70">
        <v>0.087668086058667584</v>
      </c>
      <c r="M3224" s="71">
        <f>IF(L3224&lt;1,1,L3224)</f>
        <v>1</v>
      </c>
      <c r="N3224" s="70" t="s">
        <v>141</v>
      </c>
      <c r="O3224" s="71">
        <f>INDEX(DurClassMapping,MATCH(M3224,MappingTables!$D$4:$D$8,-1),1)</f>
        <v>1</v>
      </c>
      <c r="P3224" s="73">
        <f>IF(M3224=$A$1,1,$M3224-INDEX(MappingTables!$E$4:$E$8,MATCH(O3224,MappingTables!$B$4:$B$8,0)))</f>
        <v>1</v>
      </c>
      <c r="Q3224" s="71">
        <f>IF(B3224="",0,INDEX(ModelParameters!$D$6:$K$10,MATCH($O3224,ModelParameters!$B$6:$B$10,0),MATCH($J3224,ModelParameters!$D$5:$K$5,0)))</f>
        <v>0.075</v>
      </c>
      <c r="R3224" s="71">
        <f>IF(B3224="",0,INDEX(ModelParameters!$D$13:$K$17,MATCH($O3224,ModelParameters!$B$13:$B$17,0),MATCH($J3224,ModelParameters!$D$5:$K$5,0)))</f>
        <v>0</v>
      </c>
      <c r="S3224" s="160">
        <f>IF(B3224="",0,MIN(IF($N3224="Other Bond TM",ModelParameters!$N$21,1)*(P3224*Q3224+R3224),1))</f>
        <v>0.075</v>
      </c>
      <c r="T3224" s="85">
        <f>IF(B3224="",0,$S3224*$K3224)</f>
        <v>62.45539311073812</v>
      </c>
      <c r="U3224" s="85">
        <f>IF(B3224="",0,IF(OR(H3224=MappingTables!$C$34,H3224=MappingTables!$C$35),T3224,0))</f>
        <v>0</v>
      </c>
      <c r="V3224" s="85">
        <f>IF(ISNA(IF(AND(VLOOKUP(CONCATENATE($D3224,$G3224),CSRFinput!$B:$E,4,0)=0,OR(H3224=MappingTables!$C$34,H3224=MappingTables!$C$35)),1,VLOOKUP(CONCATENATE($D3224,$G3224),CSRFinput!$B:$E,4,0))),0,IF(AND(VLOOKUP(CONCATENATE($D3224,$G3224),CSRFinput!$B:$E,4,0)=0,OR(H3224=MappingTables!$C$34,H3224=MappingTables!$C$35)),1,VLOOKUP(CONCATENATE($D3224,$G3224),CSRFinput!$B:$E,4,0)))</f>
        <v>0.054776304963434752</v>
      </c>
      <c r="W3224" s="85">
        <f>IF(B3224="",0,+$T3224*$V3224)</f>
        <v>3.4210756596449932</v>
      </c>
      <c r="X3224" s="85">
        <f>IF(B3224="",0,IF(OR(H3224=MappingTables!$C$34,H3224=MappingTables!$C$35),W3224,0))</f>
        <v>0</v>
      </c>
    </row>
    <row r="3225" spans="2:24" s="0" customFormat="0" ht="15">
      <c r="B3225" s="69">
        <v>24477235</v>
      </c>
      <c r="C3225" s="70" t="s">
        <v>930</v>
      </c>
      <c r="D3225" s="70" t="s">
        <v>1</v>
      </c>
      <c r="E3225" s="70" t="s">
        <v>1</v>
      </c>
      <c r="F3225" s="70"/>
      <c r="G3225" s="70" t="s">
        <v>61</v>
      </c>
      <c r="H3225" s="70" t="s">
        <v>178</v>
      </c>
      <c r="I3225" s="70" t="s">
        <v>181</v>
      </c>
      <c r="J3225" s="71">
        <f>IF(OR(I3225=0,I3225=""),"unrated",VLOOKUP(I3225,MappingTables!$B$19:$C$31,2,FALSE))</f>
        <v>3</v>
      </c>
      <c r="K3225" s="72">
        <v>369.8518578341176</v>
      </c>
      <c r="L3225" s="70">
        <v>16.812512653732814</v>
      </c>
      <c r="M3225" s="71">
        <f>IF(L3225&lt;1,1,L3225)</f>
        <v>16.812512653732814</v>
      </c>
      <c r="N3225" s="70" t="s">
        <v>141</v>
      </c>
      <c r="O3225" s="71">
        <f>INDEX(DurClassMapping,MATCH(M3225,MappingTables!$D$4:$D$8,-1),1)</f>
        <v>4</v>
      </c>
      <c r="P3225" s="73">
        <f>IF(M3225=$A$1,1,$M3225-INDEX(MappingTables!$E$4:$E$8,MATCH(O3225,MappingTables!$B$4:$B$8,0)))</f>
        <v>1.8125126537328136</v>
      </c>
      <c r="Q3225" s="71">
        <f>IF(B3225="",0,INDEX(ModelParameters!$D$6:$K$10,MATCH($O3225,ModelParameters!$B$6:$B$10,0),MATCH($J3225,ModelParameters!$D$5:$K$5,0)))</f>
        <v>0.01</v>
      </c>
      <c r="R3225" s="71">
        <f>IF(B3225="",0,INDEX(ModelParameters!$D$13:$K$17,MATCH($O3225,ModelParameters!$B$13:$B$17,0),MATCH($J3225,ModelParameters!$D$5:$K$5,0)))</f>
        <v>0.25</v>
      </c>
      <c r="S3225" s="160">
        <f>IF(B3225="",0,MIN(IF($N3225="Other Bond TM",ModelParameters!$N$21,1)*(P3225*Q3225+R3225),1))</f>
        <v>0.26812512653732812</v>
      </c>
      <c r="T3225" s="85">
        <f>IF(B3225="",0,$S3225*$K3225)</f>
        <v>99.166576181838672</v>
      </c>
      <c r="U3225" s="85">
        <f>IF(B3225="",0,IF(OR(H3225=MappingTables!$C$34,H3225=MappingTables!$C$35),T3225,0))</f>
        <v>0</v>
      </c>
      <c r="V3225" s="85">
        <f>IF(ISNA(IF(AND(VLOOKUP(CONCATENATE($D3225,$G3225),CSRFinput!$B:$E,4,0)=0,OR(H3225=MappingTables!$C$34,H3225=MappingTables!$C$35)),1,VLOOKUP(CONCATENATE($D3225,$G3225),CSRFinput!$B:$E,4,0))),0,IF(AND(VLOOKUP(CONCATENATE($D3225,$G3225),CSRFinput!$B:$E,4,0)=0,OR(H3225=MappingTables!$C$34,H3225=MappingTables!$C$35)),1,VLOOKUP(CONCATENATE($D3225,$G3225),CSRFinput!$B:$E,4,0)))</f>
        <v>0.054776304963434752</v>
      </c>
      <c r="W3225" s="85">
        <f>IF(B3225="",0,+$T3225*$V3225)</f>
        <v>5.43197861911608</v>
      </c>
      <c r="X3225" s="85">
        <f>IF(B3225="",0,IF(OR(H3225=MappingTables!$C$34,H3225=MappingTables!$C$35),W3225,0))</f>
        <v>0</v>
      </c>
    </row>
    <row r="3226" spans="2:24" s="0" customFormat="0" ht="15">
      <c r="B3226" s="69">
        <v>19162906</v>
      </c>
      <c r="C3226" s="70" t="s">
        <v>1329</v>
      </c>
      <c r="D3226" s="70" t="s">
        <v>1</v>
      </c>
      <c r="E3226" s="70" t="s">
        <v>1</v>
      </c>
      <c r="F3226" s="70"/>
      <c r="G3226" s="70" t="s">
        <v>61</v>
      </c>
      <c r="H3226" s="70" t="s">
        <v>178</v>
      </c>
      <c r="I3226" s="70" t="s">
        <v>179</v>
      </c>
      <c r="J3226" s="71">
        <f>IF(OR(I3226=0,I3226=""),"unrated",VLOOKUP(I3226,MappingTables!$B$19:$C$31,2,FALSE))</f>
        <v>4</v>
      </c>
      <c r="K3226" s="72">
        <v>195.3789088038176</v>
      </c>
      <c r="L3226" s="70">
        <v>2.8506316317628508</v>
      </c>
      <c r="M3226" s="71">
        <f>IF(L3226&lt;1,1,L3226)</f>
        <v>2.8506316317628508</v>
      </c>
      <c r="N3226" s="70" t="s">
        <v>141</v>
      </c>
      <c r="O3226" s="71">
        <f>INDEX(DurClassMapping,MATCH(M3226,MappingTables!$D$4:$D$8,-1),1)</f>
        <v>1</v>
      </c>
      <c r="P3226" s="73">
        <f>IF(M3226=$A$1,1,$M3226-INDEX(MappingTables!$E$4:$E$8,MATCH(O3226,MappingTables!$B$4:$B$8,0)))</f>
        <v>2.8506316317628508</v>
      </c>
      <c r="Q3226" s="71">
        <f>IF(B3226="",0,INDEX(ModelParameters!$D$6:$K$10,MATCH($O3226,ModelParameters!$B$6:$B$10,0),MATCH($J3226,ModelParameters!$D$5:$K$5,0)))</f>
        <v>0.045</v>
      </c>
      <c r="R3226" s="71">
        <f>IF(B3226="",0,INDEX(ModelParameters!$D$13:$K$17,MATCH($O3226,ModelParameters!$B$13:$B$17,0),MATCH($J3226,ModelParameters!$D$5:$K$5,0)))</f>
        <v>0</v>
      </c>
      <c r="S3226" s="160">
        <f>IF(B3226="",0,MIN(IF($N3226="Other Bond TM",ModelParameters!$N$21,1)*(P3226*Q3226+R3226),1))</f>
        <v>0.12827842342932826</v>
      </c>
      <c r="T3226" s="85">
        <f>IF(B3226="",0,$S3226*$K3226)</f>
        <v>25.062898392696228</v>
      </c>
      <c r="U3226" s="85">
        <f>IF(B3226="",0,IF(OR(H3226=MappingTables!$C$34,H3226=MappingTables!$C$35),T3226,0))</f>
        <v>0</v>
      </c>
      <c r="V3226" s="85">
        <f>IF(ISNA(IF(AND(VLOOKUP(CONCATENATE($D3226,$G3226),CSRFinput!$B:$E,4,0)=0,OR(H3226=MappingTables!$C$34,H3226=MappingTables!$C$35)),1,VLOOKUP(CONCATENATE($D3226,$G3226),CSRFinput!$B:$E,4,0))),0,IF(AND(VLOOKUP(CONCATENATE($D3226,$G3226),CSRFinput!$B:$E,4,0)=0,OR(H3226=MappingTables!$C$34,H3226=MappingTables!$C$35)),1,VLOOKUP(CONCATENATE($D3226,$G3226),CSRFinput!$B:$E,4,0)))</f>
        <v>0.054776304963434752</v>
      </c>
      <c r="W3226" s="85">
        <f>IF(B3226="",0,+$T3226*$V3226)</f>
        <v>1.3728529656259074</v>
      </c>
      <c r="X3226" s="85">
        <f>IF(B3226="",0,IF(OR(H3226=MappingTables!$C$34,H3226=MappingTables!$C$35),W3226,0))</f>
        <v>0</v>
      </c>
    </row>
    <row r="3227" spans="2:24" s="0" customFormat="0" ht="15">
      <c r="B3227" s="69" t="s">
        <v>1414</v>
      </c>
      <c r="C3227" s="70" t="s">
        <v>1415</v>
      </c>
      <c r="D3227" s="70" t="s">
        <v>1</v>
      </c>
      <c r="E3227" s="70" t="s">
        <v>1</v>
      </c>
      <c r="F3227" s="70"/>
      <c r="G3227" s="70" t="s">
        <v>61</v>
      </c>
      <c r="H3227" s="70" t="s">
        <v>178</v>
      </c>
      <c r="I3227" s="70" t="s">
        <v>181</v>
      </c>
      <c r="J3227" s="71">
        <f>IF(OR(I3227=0,I3227=""),"unrated",VLOOKUP(I3227,MappingTables!$B$19:$C$31,2,FALSE))</f>
        <v>3</v>
      </c>
      <c r="K3227" s="72">
        <v>4.5334146774334224</v>
      </c>
      <c r="L3227" s="70">
        <v>0.16712144375067794</v>
      </c>
      <c r="M3227" s="71">
        <f>IF(L3227&lt;1,1,L3227)</f>
        <v>1</v>
      </c>
      <c r="N3227" s="70" t="s">
        <v>141</v>
      </c>
      <c r="O3227" s="71">
        <f>INDEX(DurClassMapping,MATCH(M3227,MappingTables!$D$4:$D$8,-1),1)</f>
        <v>1</v>
      </c>
      <c r="P3227" s="73">
        <f>IF(M3227=$A$1,1,$M3227-INDEX(MappingTables!$E$4:$E$8,MATCH(O3227,MappingTables!$B$4:$B$8,0)))</f>
        <v>1</v>
      </c>
      <c r="Q3227" s="71">
        <f>IF(B3227="",0,INDEX(ModelParameters!$D$6:$K$10,MATCH($O3227,ModelParameters!$B$6:$B$10,0),MATCH($J3227,ModelParameters!$D$5:$K$5,0)))</f>
        <v>0.025</v>
      </c>
      <c r="R3227" s="71">
        <f>IF(B3227="",0,INDEX(ModelParameters!$D$13:$K$17,MATCH($O3227,ModelParameters!$B$13:$B$17,0),MATCH($J3227,ModelParameters!$D$5:$K$5,0)))</f>
        <v>0</v>
      </c>
      <c r="S3227" s="160">
        <f>IF(B3227="",0,MIN(IF($N3227="Other Bond TM",ModelParameters!$N$21,1)*(P3227*Q3227+R3227),1))</f>
        <v>0.025</v>
      </c>
      <c r="T3227" s="85">
        <f>IF(B3227="",0,$S3227*$K3227)</f>
        <v>0.11333536693583556</v>
      </c>
      <c r="U3227" s="85">
        <f>IF(B3227="",0,IF(OR(H3227=MappingTables!$C$34,H3227=MappingTables!$C$35),T3227,0))</f>
        <v>0</v>
      </c>
      <c r="V3227" s="85">
        <f>IF(ISNA(IF(AND(VLOOKUP(CONCATENATE($D3227,$G3227),CSRFinput!$B:$E,4,0)=0,OR(H3227=MappingTables!$C$34,H3227=MappingTables!$C$35)),1,VLOOKUP(CONCATENATE($D3227,$G3227),CSRFinput!$B:$E,4,0))),0,IF(AND(VLOOKUP(CONCATENATE($D3227,$G3227),CSRFinput!$B:$E,4,0)=0,OR(H3227=MappingTables!$C$34,H3227=MappingTables!$C$35)),1,VLOOKUP(CONCATENATE($D3227,$G3227),CSRFinput!$B:$E,4,0)))</f>
        <v>0.054776304963434752</v>
      </c>
      <c r="W3227" s="85">
        <f>IF(B3227="",0,+$T3227*$V3227)</f>
        <v>0.0062080926224201088</v>
      </c>
      <c r="X3227" s="85">
        <f>IF(B3227="",0,IF(OR(H3227=MappingTables!$C$34,H3227=MappingTables!$C$35),W3227,0))</f>
        <v>0</v>
      </c>
    </row>
    <row r="3228" spans="2:24" s="0" customFormat="0" ht="15">
      <c r="B3228" s="69">
        <v>18745959</v>
      </c>
      <c r="C3228" s="70" t="s">
        <v>1676</v>
      </c>
      <c r="D3228" s="70" t="s">
        <v>1</v>
      </c>
      <c r="E3228" s="70" t="s">
        <v>1</v>
      </c>
      <c r="F3228" s="70"/>
      <c r="G3228" s="70" t="s">
        <v>61</v>
      </c>
      <c r="H3228" s="70" t="s">
        <v>178</v>
      </c>
      <c r="I3228" s="70" t="s">
        <v>188</v>
      </c>
      <c r="J3228" s="71">
        <f>IF(OR(I3228=0,I3228=""),"unrated",VLOOKUP(I3228,MappingTables!$B$19:$C$31,2,FALSE))</f>
        <v>2</v>
      </c>
      <c r="K3228" s="72">
        <v>3855.9926226400968</v>
      </c>
      <c r="L3228" s="70">
        <v>0.94992988005405792</v>
      </c>
      <c r="M3228" s="71">
        <f>IF(L3228&lt;1,1,L3228)</f>
        <v>1</v>
      </c>
      <c r="N3228" s="70" t="s">
        <v>141</v>
      </c>
      <c r="O3228" s="71">
        <f>INDEX(DurClassMapping,MATCH(M3228,MappingTables!$D$4:$D$8,-1),1)</f>
        <v>1</v>
      </c>
      <c r="P3228" s="73">
        <f>IF(M3228=$A$1,1,$M3228-INDEX(MappingTables!$E$4:$E$8,MATCH(O3228,MappingTables!$B$4:$B$8,0)))</f>
        <v>1</v>
      </c>
      <c r="Q3228" s="71">
        <f>IF(B3228="",0,INDEX(ModelParameters!$D$6:$K$10,MATCH($O3228,ModelParameters!$B$6:$B$10,0),MATCH($J3228,ModelParameters!$D$5:$K$5,0)))</f>
        <v>0.013999999999999998</v>
      </c>
      <c r="R3228" s="71">
        <f>IF(B3228="",0,INDEX(ModelParameters!$D$13:$K$17,MATCH($O3228,ModelParameters!$B$13:$B$17,0),MATCH($J3228,ModelParameters!$D$5:$K$5,0)))</f>
        <v>0</v>
      </c>
      <c r="S3228" s="160">
        <f>IF(B3228="",0,MIN(IF($N3228="Other Bond TM",ModelParameters!$N$21,1)*(P3228*Q3228+R3228),1))</f>
        <v>0.013999999999999998</v>
      </c>
      <c r="T3228" s="85">
        <f>IF(B3228="",0,$S3228*$K3228)</f>
        <v>53.983896716961344</v>
      </c>
      <c r="U3228" s="85">
        <f>IF(B3228="",0,IF(OR(H3228=MappingTables!$C$34,H3228=MappingTables!$C$35),T3228,0))</f>
        <v>0</v>
      </c>
      <c r="V3228" s="85">
        <f>IF(ISNA(IF(AND(VLOOKUP(CONCATENATE($D3228,$G3228),CSRFinput!$B:$E,4,0)=0,OR(H3228=MappingTables!$C$34,H3228=MappingTables!$C$35)),1,VLOOKUP(CONCATENATE($D3228,$G3228),CSRFinput!$B:$E,4,0))),0,IF(AND(VLOOKUP(CONCATENATE($D3228,$G3228),CSRFinput!$B:$E,4,0)=0,OR(H3228=MappingTables!$C$34,H3228=MappingTables!$C$35)),1,VLOOKUP(CONCATENATE($D3228,$G3228),CSRFinput!$B:$E,4,0)))</f>
        <v>0.054776304963434752</v>
      </c>
      <c r="W3228" s="85">
        <f>IF(B3228="",0,+$T3228*$V3228)</f>
        <v>2.9570383896828388</v>
      </c>
      <c r="X3228" s="85">
        <f>IF(B3228="",0,IF(OR(H3228=MappingTables!$C$34,H3228=MappingTables!$C$35),W3228,0))</f>
        <v>0</v>
      </c>
    </row>
    <row r="3229" spans="2:24" s="0" customFormat="0" ht="15">
      <c r="B3229" s="69">
        <v>14276868</v>
      </c>
      <c r="C3229" s="70" t="s">
        <v>330</v>
      </c>
      <c r="D3229" s="70" t="s">
        <v>1</v>
      </c>
      <c r="E3229" s="70" t="s">
        <v>1</v>
      </c>
      <c r="F3229" s="70"/>
      <c r="G3229" s="70" t="s">
        <v>61</v>
      </c>
      <c r="H3229" s="70" t="s">
        <v>178</v>
      </c>
      <c r="I3229" s="70" t="s">
        <v>188</v>
      </c>
      <c r="J3229" s="71">
        <f>IF(OR(I3229=0,I3229=""),"unrated",VLOOKUP(I3229,MappingTables!$B$19:$C$31,2,FALSE))</f>
        <v>2</v>
      </c>
      <c r="K3229" s="72">
        <v>37.77845195804872</v>
      </c>
      <c r="L3229" s="70">
        <v>0.41917884641230576</v>
      </c>
      <c r="M3229" s="71">
        <f>IF(L3229&lt;1,1,L3229)</f>
        <v>1</v>
      </c>
      <c r="N3229" s="70" t="s">
        <v>141</v>
      </c>
      <c r="O3229" s="71">
        <f>INDEX(DurClassMapping,MATCH(M3229,MappingTables!$D$4:$D$8,-1),1)</f>
        <v>1</v>
      </c>
      <c r="P3229" s="73">
        <f>IF(M3229=$A$1,1,$M3229-INDEX(MappingTables!$E$4:$E$8,MATCH(O3229,MappingTables!$B$4:$B$8,0)))</f>
        <v>1</v>
      </c>
      <c r="Q3229" s="71">
        <f>IF(B3229="",0,INDEX(ModelParameters!$D$6:$K$10,MATCH($O3229,ModelParameters!$B$6:$B$10,0),MATCH($J3229,ModelParameters!$D$5:$K$5,0)))</f>
        <v>0.013999999999999998</v>
      </c>
      <c r="R3229" s="71">
        <f>IF(B3229="",0,INDEX(ModelParameters!$D$13:$K$17,MATCH($O3229,ModelParameters!$B$13:$B$17,0),MATCH($J3229,ModelParameters!$D$5:$K$5,0)))</f>
        <v>0</v>
      </c>
      <c r="S3229" s="160">
        <f>IF(B3229="",0,MIN(IF($N3229="Other Bond TM",ModelParameters!$N$21,1)*(P3229*Q3229+R3229),1))</f>
        <v>0.013999999999999998</v>
      </c>
      <c r="T3229" s="85">
        <f>IF(B3229="",0,$S3229*$K3229)</f>
        <v>0.52889832741268208</v>
      </c>
      <c r="U3229" s="85">
        <f>IF(B3229="",0,IF(OR(H3229=MappingTables!$C$34,H3229=MappingTables!$C$35),T3229,0))</f>
        <v>0</v>
      </c>
      <c r="V3229" s="85">
        <f>IF(ISNA(IF(AND(VLOOKUP(CONCATENATE($D3229,$G3229),CSRFinput!$B:$E,4,0)=0,OR(H3229=MappingTables!$C$34,H3229=MappingTables!$C$35)),1,VLOOKUP(CONCATENATE($D3229,$G3229),CSRFinput!$B:$E,4,0))),0,IF(AND(VLOOKUP(CONCATENATE($D3229,$G3229),CSRFinput!$B:$E,4,0)=0,OR(H3229=MappingTables!$C$34,H3229=MappingTables!$C$35)),1,VLOOKUP(CONCATENATE($D3229,$G3229),CSRFinput!$B:$E,4,0)))</f>
        <v>0.054776304963434752</v>
      </c>
      <c r="W3229" s="85">
        <f>IF(B3229="",0,+$T3229*$V3229)</f>
        <v>0.028971096077007636</v>
      </c>
      <c r="X3229" s="85">
        <f>IF(B3229="",0,IF(OR(H3229=MappingTables!$C$34,H3229=MappingTables!$C$35),W3229,0))</f>
        <v>0</v>
      </c>
    </row>
    <row r="3230" spans="2:24" s="0" customFormat="0" ht="15">
      <c r="B3230" s="69" t="s">
        <v>2666</v>
      </c>
      <c r="C3230" s="70" t="s">
        <v>2667</v>
      </c>
      <c r="D3230" s="70" t="s">
        <v>1</v>
      </c>
      <c r="E3230" s="70" t="s">
        <v>1</v>
      </c>
      <c r="F3230" s="70"/>
      <c r="G3230" s="70" t="s">
        <v>61</v>
      </c>
      <c r="H3230" s="70" t="s">
        <v>178</v>
      </c>
      <c r="I3230" s="70" t="s">
        <v>198</v>
      </c>
      <c r="J3230" s="71" t="str">
        <f>IF(OR(I3230=0,I3230=""),"unrated",VLOOKUP(I3230,MappingTables!$B$19:$C$31,2,FALSE))</f>
        <v>unrated</v>
      </c>
      <c r="K3230" s="72">
        <v>0.26408386006998212</v>
      </c>
      <c r="L3230" s="70">
        <v>0.22465794034823648</v>
      </c>
      <c r="M3230" s="71">
        <f>IF(L3230&lt;1,1,L3230)</f>
        <v>1</v>
      </c>
      <c r="N3230" s="70" t="s">
        <v>141</v>
      </c>
      <c r="O3230" s="71">
        <f>INDEX(DurClassMapping,MATCH(M3230,MappingTables!$D$4:$D$8,-1),1)</f>
        <v>1</v>
      </c>
      <c r="P3230" s="73">
        <f>IF(M3230=$A$1,1,$M3230-INDEX(MappingTables!$E$4:$E$8,MATCH(O3230,MappingTables!$B$4:$B$8,0)))</f>
        <v>1</v>
      </c>
      <c r="Q3230" s="71">
        <f>IF(B3230="",0,INDEX(ModelParameters!$D$6:$K$10,MATCH($O3230,ModelParameters!$B$6:$B$10,0),MATCH($J3230,ModelParameters!$D$5:$K$5,0)))</f>
        <v>0.03</v>
      </c>
      <c r="R3230" s="71">
        <f>IF(B3230="",0,INDEX(ModelParameters!$D$13:$K$17,MATCH($O3230,ModelParameters!$B$13:$B$17,0),MATCH($J3230,ModelParameters!$D$5:$K$5,0)))</f>
        <v>0</v>
      </c>
      <c r="S3230" s="160">
        <f>IF(B3230="",0,MIN(IF($N3230="Other Bond TM",ModelParameters!$N$21,1)*(P3230*Q3230+R3230),1))</f>
        <v>0.03</v>
      </c>
      <c r="T3230" s="85">
        <f>IF(B3230="",0,$S3230*$K3230)</f>
        <v>0.0079225158020994624</v>
      </c>
      <c r="U3230" s="85">
        <f>IF(B3230="",0,IF(OR(H3230=MappingTables!$C$34,H3230=MappingTables!$C$35),T3230,0))</f>
        <v>0</v>
      </c>
      <c r="V3230" s="85">
        <f>IF(ISNA(IF(AND(VLOOKUP(CONCATENATE($D3230,$G3230),CSRFinput!$B:$E,4,0)=0,OR(H3230=MappingTables!$C$34,H3230=MappingTables!$C$35)),1,VLOOKUP(CONCATENATE($D3230,$G3230),CSRFinput!$B:$E,4,0))),0,IF(AND(VLOOKUP(CONCATENATE($D3230,$G3230),CSRFinput!$B:$E,4,0)=0,OR(H3230=MappingTables!$C$34,H3230=MappingTables!$C$35)),1,VLOOKUP(CONCATENATE($D3230,$G3230),CSRFinput!$B:$E,4,0)))</f>
        <v>0.054776304963434752</v>
      </c>
      <c r="W3230" s="85">
        <f>IF(B3230="",0,+$T3230*$V3230)</f>
        <v>0.00043396614165343112</v>
      </c>
      <c r="X3230" s="85">
        <f>IF(B3230="",0,IF(OR(H3230=MappingTables!$C$34,H3230=MappingTables!$C$35),W3230,0))</f>
        <v>0</v>
      </c>
    </row>
    <row r="3231" spans="2:24" s="0" customFormat="0" ht="15">
      <c r="B3231" s="69">
        <v>22964845</v>
      </c>
      <c r="C3231" s="70" t="s">
        <v>1473</v>
      </c>
      <c r="D3231" s="70" t="s">
        <v>1</v>
      </c>
      <c r="E3231" s="70" t="s">
        <v>1</v>
      </c>
      <c r="F3231" s="70"/>
      <c r="G3231" s="70" t="s">
        <v>61</v>
      </c>
      <c r="H3231" s="70" t="s">
        <v>178</v>
      </c>
      <c r="I3231" s="70" t="s">
        <v>179</v>
      </c>
      <c r="J3231" s="71">
        <f>IF(OR(I3231=0,I3231=""),"unrated",VLOOKUP(I3231,MappingTables!$B$19:$C$31,2,FALSE))</f>
        <v>4</v>
      </c>
      <c r="K3231" s="72">
        <v>152.58903320755002</v>
      </c>
      <c r="L3231" s="70">
        <v>1.3082040741314464</v>
      </c>
      <c r="M3231" s="71">
        <f>IF(L3231&lt;1,1,L3231)</f>
        <v>1.3082040741314464</v>
      </c>
      <c r="N3231" s="70" t="s">
        <v>141</v>
      </c>
      <c r="O3231" s="71">
        <f>INDEX(DurClassMapping,MATCH(M3231,MappingTables!$D$4:$D$8,-1),1)</f>
        <v>1</v>
      </c>
      <c r="P3231" s="73">
        <f>IF(M3231=$A$1,1,$M3231-INDEX(MappingTables!$E$4:$E$8,MATCH(O3231,MappingTables!$B$4:$B$8,0)))</f>
        <v>1.3082040741314464</v>
      </c>
      <c r="Q3231" s="71">
        <f>IF(B3231="",0,INDEX(ModelParameters!$D$6:$K$10,MATCH($O3231,ModelParameters!$B$6:$B$10,0),MATCH($J3231,ModelParameters!$D$5:$K$5,0)))</f>
        <v>0.045</v>
      </c>
      <c r="R3231" s="71">
        <f>IF(B3231="",0,INDEX(ModelParameters!$D$13:$K$17,MATCH($O3231,ModelParameters!$B$13:$B$17,0),MATCH($J3231,ModelParameters!$D$5:$K$5,0)))</f>
        <v>0</v>
      </c>
      <c r="S3231" s="160">
        <f>IF(B3231="",0,MIN(IF($N3231="Other Bond TM",ModelParameters!$N$21,1)*(P3231*Q3231+R3231),1))</f>
        <v>0.058869183335915088</v>
      </c>
      <c r="T3231" s="85">
        <f>IF(B3231="",0,$S3231*$K3231)</f>
        <v>8.9827917709452976</v>
      </c>
      <c r="U3231" s="85">
        <f>IF(B3231="",0,IF(OR(H3231=MappingTables!$C$34,H3231=MappingTables!$C$35),T3231,0))</f>
        <v>0</v>
      </c>
      <c r="V3231" s="85">
        <f>IF(ISNA(IF(AND(VLOOKUP(CONCATENATE($D3231,$G3231),CSRFinput!$B:$E,4,0)=0,OR(H3231=MappingTables!$C$34,H3231=MappingTables!$C$35)),1,VLOOKUP(CONCATENATE($D3231,$G3231),CSRFinput!$B:$E,4,0))),0,IF(AND(VLOOKUP(CONCATENATE($D3231,$G3231),CSRFinput!$B:$E,4,0)=0,OR(H3231=MappingTables!$C$34,H3231=MappingTables!$C$35)),1,VLOOKUP(CONCATENATE($D3231,$G3231),CSRFinput!$B:$E,4,0)))</f>
        <v>0.054776304963434752</v>
      </c>
      <c r="W3231" s="85">
        <f>IF(B3231="",0,+$T3231*$V3231)</f>
        <v>0.49204414146833176</v>
      </c>
      <c r="X3231" s="85">
        <f>IF(B3231="",0,IF(OR(H3231=MappingTables!$C$34,H3231=MappingTables!$C$35),W3231,0))</f>
        <v>0</v>
      </c>
    </row>
    <row r="3232" spans="2:24" s="0" customFormat="0" ht="15">
      <c r="B3232" s="69">
        <v>20370879</v>
      </c>
      <c r="C3232" s="70" t="s">
        <v>2769</v>
      </c>
      <c r="D3232" s="70" t="s">
        <v>1</v>
      </c>
      <c r="E3232" s="70" t="s">
        <v>1</v>
      </c>
      <c r="F3232" s="70"/>
      <c r="G3232" s="70" t="s">
        <v>61</v>
      </c>
      <c r="H3232" s="70" t="s">
        <v>178</v>
      </c>
      <c r="I3232" s="70" t="s">
        <v>181</v>
      </c>
      <c r="J3232" s="71">
        <f>IF(OR(I3232=0,I3232=""),"unrated",VLOOKUP(I3232,MappingTables!$B$19:$C$31,2,FALSE))</f>
        <v>3</v>
      </c>
      <c r="K3232" s="72">
        <v>2989.3898244377592</v>
      </c>
      <c r="L3232" s="70">
        <v>4.9147371828934528</v>
      </c>
      <c r="M3232" s="71">
        <f>IF(L3232&lt;1,1,L3232)</f>
        <v>4.9147371828934528</v>
      </c>
      <c r="N3232" s="70" t="s">
        <v>141</v>
      </c>
      <c r="O3232" s="71">
        <f>INDEX(DurClassMapping,MATCH(M3232,MappingTables!$D$4:$D$8,-1),1)</f>
        <v>1</v>
      </c>
      <c r="P3232" s="73">
        <f>IF(M3232=$A$1,1,$M3232-INDEX(MappingTables!$E$4:$E$8,MATCH(O3232,MappingTables!$B$4:$B$8,0)))</f>
        <v>4.9147371828934528</v>
      </c>
      <c r="Q3232" s="71">
        <f>IF(B3232="",0,INDEX(ModelParameters!$D$6:$K$10,MATCH($O3232,ModelParameters!$B$6:$B$10,0),MATCH($J3232,ModelParameters!$D$5:$K$5,0)))</f>
        <v>0.025</v>
      </c>
      <c r="R3232" s="71">
        <f>IF(B3232="",0,INDEX(ModelParameters!$D$13:$K$17,MATCH($O3232,ModelParameters!$B$13:$B$17,0),MATCH($J3232,ModelParameters!$D$5:$K$5,0)))</f>
        <v>0</v>
      </c>
      <c r="S3232" s="160">
        <f>IF(B3232="",0,MIN(IF($N3232="Other Bond TM",ModelParameters!$N$21,1)*(P3232*Q3232+R3232),1))</f>
        <v>0.12286842957233634</v>
      </c>
      <c r="T3232" s="85">
        <f>IF(B3232="",0,$S3232*$K3232)</f>
        <v>367.30163310818968</v>
      </c>
      <c r="U3232" s="85">
        <f>IF(B3232="",0,IF(OR(H3232=MappingTables!$C$34,H3232=MappingTables!$C$35),T3232,0))</f>
        <v>0</v>
      </c>
      <c r="V3232" s="85">
        <f>IF(ISNA(IF(AND(VLOOKUP(CONCATENATE($D3232,$G3232),CSRFinput!$B:$E,4,0)=0,OR(H3232=MappingTables!$C$34,H3232=MappingTables!$C$35)),1,VLOOKUP(CONCATENATE($D3232,$G3232),CSRFinput!$B:$E,4,0))),0,IF(AND(VLOOKUP(CONCATENATE($D3232,$G3232),CSRFinput!$B:$E,4,0)=0,OR(H3232=MappingTables!$C$34,H3232=MappingTables!$C$35)),1,VLOOKUP(CONCATENATE($D3232,$G3232),CSRFinput!$B:$E,4,0)))</f>
        <v>0.054776304963434752</v>
      </c>
      <c r="W3232" s="85">
        <f>IF(B3232="",0,+$T3232*$V3232)</f>
        <v>20.119426268701824</v>
      </c>
      <c r="X3232" s="85">
        <f>IF(B3232="",0,IF(OR(H3232=MappingTables!$C$34,H3232=MappingTables!$C$35),W3232,0))</f>
        <v>0</v>
      </c>
    </row>
    <row r="3233" spans="2:24" s="0" customFormat="0" ht="15">
      <c r="B3233" s="69">
        <v>12774289</v>
      </c>
      <c r="C3233" s="70" t="s">
        <v>2774</v>
      </c>
      <c r="D3233" s="70" t="s">
        <v>1</v>
      </c>
      <c r="E3233" s="70" t="s">
        <v>1</v>
      </c>
      <c r="F3233" s="70"/>
      <c r="G3233" s="70" t="s">
        <v>61</v>
      </c>
      <c r="H3233" s="70" t="s">
        <v>178</v>
      </c>
      <c r="I3233" s="70" t="s">
        <v>188</v>
      </c>
      <c r="J3233" s="71">
        <f>IF(OR(I3233=0,I3233=""),"unrated",VLOOKUP(I3233,MappingTables!$B$19:$C$31,2,FALSE))</f>
        <v>2</v>
      </c>
      <c r="K3233" s="72">
        <v>1157.9956227175804</v>
      </c>
      <c r="L3233" s="70">
        <v>0.80980957054215824</v>
      </c>
      <c r="M3233" s="71">
        <f>IF(L3233&lt;1,1,L3233)</f>
        <v>1</v>
      </c>
      <c r="N3233" s="70" t="s">
        <v>141</v>
      </c>
      <c r="O3233" s="71">
        <f>INDEX(DurClassMapping,MATCH(M3233,MappingTables!$D$4:$D$8,-1),1)</f>
        <v>1</v>
      </c>
      <c r="P3233" s="73">
        <f>IF(M3233=$A$1,1,$M3233-INDEX(MappingTables!$E$4:$E$8,MATCH(O3233,MappingTables!$B$4:$B$8,0)))</f>
        <v>1</v>
      </c>
      <c r="Q3233" s="71">
        <f>IF(B3233="",0,INDEX(ModelParameters!$D$6:$K$10,MATCH($O3233,ModelParameters!$B$6:$B$10,0),MATCH($J3233,ModelParameters!$D$5:$K$5,0)))</f>
        <v>0.013999999999999998</v>
      </c>
      <c r="R3233" s="71">
        <f>IF(B3233="",0,INDEX(ModelParameters!$D$13:$K$17,MATCH($O3233,ModelParameters!$B$13:$B$17,0),MATCH($J3233,ModelParameters!$D$5:$K$5,0)))</f>
        <v>0</v>
      </c>
      <c r="S3233" s="160">
        <f>IF(B3233="",0,MIN(IF($N3233="Other Bond TM",ModelParameters!$N$21,1)*(P3233*Q3233+R3233),1))</f>
        <v>0.013999999999999998</v>
      </c>
      <c r="T3233" s="85">
        <f>IF(B3233="",0,$S3233*$K3233)</f>
        <v>16.211938718046124</v>
      </c>
      <c r="U3233" s="85">
        <f>IF(B3233="",0,IF(OR(H3233=MappingTables!$C$34,H3233=MappingTables!$C$35),T3233,0))</f>
        <v>0</v>
      </c>
      <c r="V3233" s="85">
        <f>IF(ISNA(IF(AND(VLOOKUP(CONCATENATE($D3233,$G3233),CSRFinput!$B:$E,4,0)=0,OR(H3233=MappingTables!$C$34,H3233=MappingTables!$C$35)),1,VLOOKUP(CONCATENATE($D3233,$G3233),CSRFinput!$B:$E,4,0))),0,IF(AND(VLOOKUP(CONCATENATE($D3233,$G3233),CSRFinput!$B:$E,4,0)=0,OR(H3233=MappingTables!$C$34,H3233=MappingTables!$C$35)),1,VLOOKUP(CONCATENATE($D3233,$G3233),CSRFinput!$B:$E,4,0)))</f>
        <v>0.054776304963434752</v>
      </c>
      <c r="W3233" s="85">
        <f>IF(B3233="",0,+$T3233*$V3233)</f>
        <v>0.88803009926820992</v>
      </c>
      <c r="X3233" s="85">
        <f>IF(B3233="",0,IF(OR(H3233=MappingTables!$C$34,H3233=MappingTables!$C$35),W3233,0))</f>
        <v>0</v>
      </c>
    </row>
    <row r="3234" spans="2:24" s="0" customFormat="0" ht="15">
      <c r="B3234" s="69" t="s">
        <v>1478</v>
      </c>
      <c r="C3234" s="70" t="s">
        <v>1479</v>
      </c>
      <c r="D3234" s="70" t="s">
        <v>1</v>
      </c>
      <c r="E3234" s="70" t="s">
        <v>1</v>
      </c>
      <c r="F3234" s="70"/>
      <c r="G3234" s="70" t="s">
        <v>61</v>
      </c>
      <c r="H3234" s="70" t="s">
        <v>178</v>
      </c>
      <c r="I3234" s="70" t="s">
        <v>181</v>
      </c>
      <c r="J3234" s="71">
        <f>IF(OR(I3234=0,I3234=""),"unrated",VLOOKUP(I3234,MappingTables!$B$19:$C$31,2,FALSE))</f>
        <v>3</v>
      </c>
      <c r="K3234" s="72">
        <v>4.7470416099621584</v>
      </c>
      <c r="L3234" s="70">
        <v>2.8190141573623824</v>
      </c>
      <c r="M3234" s="71">
        <f>IF(L3234&lt;1,1,L3234)</f>
        <v>2.8190141573623824</v>
      </c>
      <c r="N3234" s="70" t="s">
        <v>141</v>
      </c>
      <c r="O3234" s="71">
        <f>INDEX(DurClassMapping,MATCH(M3234,MappingTables!$D$4:$D$8,-1),1)</f>
        <v>1</v>
      </c>
      <c r="P3234" s="73">
        <f>IF(M3234=$A$1,1,$M3234-INDEX(MappingTables!$E$4:$E$8,MATCH(O3234,MappingTables!$B$4:$B$8,0)))</f>
        <v>2.8190141573623824</v>
      </c>
      <c r="Q3234" s="71">
        <f>IF(B3234="",0,INDEX(ModelParameters!$D$6:$K$10,MATCH($O3234,ModelParameters!$B$6:$B$10,0),MATCH($J3234,ModelParameters!$D$5:$K$5,0)))</f>
        <v>0.025</v>
      </c>
      <c r="R3234" s="71">
        <f>IF(B3234="",0,INDEX(ModelParameters!$D$13:$K$17,MATCH($O3234,ModelParameters!$B$13:$B$17,0),MATCH($J3234,ModelParameters!$D$5:$K$5,0)))</f>
        <v>0</v>
      </c>
      <c r="S3234" s="160">
        <f>IF(B3234="",0,MIN(IF($N3234="Other Bond TM",ModelParameters!$N$21,1)*(P3234*Q3234+R3234),1))</f>
        <v>0.07047535393405956</v>
      </c>
      <c r="T3234" s="85">
        <f>IF(B3234="",0,$S3234*$K3234)</f>
        <v>0.334549437601791</v>
      </c>
      <c r="U3234" s="85">
        <f>IF(B3234="",0,IF(OR(H3234=MappingTables!$C$34,H3234=MappingTables!$C$35),T3234,0))</f>
        <v>0</v>
      </c>
      <c r="V3234" s="85">
        <f>IF(ISNA(IF(AND(VLOOKUP(CONCATENATE($D3234,$G3234),CSRFinput!$B:$E,4,0)=0,OR(H3234=MappingTables!$C$34,H3234=MappingTables!$C$35)),1,VLOOKUP(CONCATENATE($D3234,$G3234),CSRFinput!$B:$E,4,0))),0,IF(AND(VLOOKUP(CONCATENATE($D3234,$G3234),CSRFinput!$B:$E,4,0)=0,OR(H3234=MappingTables!$C$34,H3234=MappingTables!$C$35)),1,VLOOKUP(CONCATENATE($D3234,$G3234),CSRFinput!$B:$E,4,0)))</f>
        <v>0.054776304963434752</v>
      </c>
      <c r="W3234" s="85">
        <f>IF(B3234="",0,+$T3234*$V3234)</f>
        <v>0.018325382019421288</v>
      </c>
      <c r="X3234" s="85">
        <f>IF(B3234="",0,IF(OR(H3234=MappingTables!$C$34,H3234=MappingTables!$C$35),W3234,0))</f>
        <v>0</v>
      </c>
    </row>
    <row r="3235" spans="2:24" s="0" customFormat="0" ht="15">
      <c r="B3235" s="69">
        <v>22317281</v>
      </c>
      <c r="C3235" s="70" t="s">
        <v>2775</v>
      </c>
      <c r="D3235" s="70" t="s">
        <v>1</v>
      </c>
      <c r="E3235" s="70" t="s">
        <v>1</v>
      </c>
      <c r="F3235" s="70"/>
      <c r="G3235" s="70" t="s">
        <v>61</v>
      </c>
      <c r="H3235" s="70" t="s">
        <v>178</v>
      </c>
      <c r="I3235" s="70" t="s">
        <v>181</v>
      </c>
      <c r="J3235" s="71">
        <f>IF(OR(I3235=0,I3235=""),"unrated",VLOOKUP(I3235,MappingTables!$B$19:$C$31,2,FALSE))</f>
        <v>3</v>
      </c>
      <c r="K3235" s="72">
        <v>2614.1573523754272</v>
      </c>
      <c r="L3235" s="70">
        <v>1.1378510302468006</v>
      </c>
      <c r="M3235" s="71">
        <f>IF(L3235&lt;1,1,L3235)</f>
        <v>1.1378510302468006</v>
      </c>
      <c r="N3235" s="70" t="s">
        <v>141</v>
      </c>
      <c r="O3235" s="71">
        <f>INDEX(DurClassMapping,MATCH(M3235,MappingTables!$D$4:$D$8,-1),1)</f>
        <v>1</v>
      </c>
      <c r="P3235" s="73">
        <f>IF(M3235=$A$1,1,$M3235-INDEX(MappingTables!$E$4:$E$8,MATCH(O3235,MappingTables!$B$4:$B$8,0)))</f>
        <v>1.1378510302468006</v>
      </c>
      <c r="Q3235" s="71">
        <f>IF(B3235="",0,INDEX(ModelParameters!$D$6:$K$10,MATCH($O3235,ModelParameters!$B$6:$B$10,0),MATCH($J3235,ModelParameters!$D$5:$K$5,0)))</f>
        <v>0.025</v>
      </c>
      <c r="R3235" s="71">
        <f>IF(B3235="",0,INDEX(ModelParameters!$D$13:$K$17,MATCH($O3235,ModelParameters!$B$13:$B$17,0),MATCH($J3235,ModelParameters!$D$5:$K$5,0)))</f>
        <v>0</v>
      </c>
      <c r="S3235" s="160">
        <f>IF(B3235="",0,MIN(IF($N3235="Other Bond TM",ModelParameters!$N$21,1)*(P3235*Q3235+R3235),1))</f>
        <v>0.028446275756170016</v>
      </c>
      <c r="T3235" s="85">
        <f>IF(B3235="",0,$S3235*$K3235)</f>
        <v>74.36304091569072</v>
      </c>
      <c r="U3235" s="85">
        <f>IF(B3235="",0,IF(OR(H3235=MappingTables!$C$34,H3235=MappingTables!$C$35),T3235,0))</f>
        <v>0</v>
      </c>
      <c r="V3235" s="85">
        <f>IF(ISNA(IF(AND(VLOOKUP(CONCATENATE($D3235,$G3235),CSRFinput!$B:$E,4,0)=0,OR(H3235=MappingTables!$C$34,H3235=MappingTables!$C$35)),1,VLOOKUP(CONCATENATE($D3235,$G3235),CSRFinput!$B:$E,4,0))),0,IF(AND(VLOOKUP(CONCATENATE($D3235,$G3235),CSRFinput!$B:$E,4,0)=0,OR(H3235=MappingTables!$C$34,H3235=MappingTables!$C$35)),1,VLOOKUP(CONCATENATE($D3235,$G3235),CSRFinput!$B:$E,4,0)))</f>
        <v>0.054776304963434752</v>
      </c>
      <c r="W3235" s="85">
        <f>IF(B3235="",0,+$T3235*$V3235)</f>
        <v>4.0733326072062512</v>
      </c>
      <c r="X3235" s="85">
        <f>IF(B3235="",0,IF(OR(H3235=MappingTables!$C$34,H3235=MappingTables!$C$35),W3235,0))</f>
        <v>0</v>
      </c>
    </row>
    <row r="3236" spans="2:24" s="0" customFormat="0" ht="15">
      <c r="B3236" s="69">
        <v>21322737</v>
      </c>
      <c r="C3236" s="70" t="s">
        <v>2776</v>
      </c>
      <c r="D3236" s="70" t="s">
        <v>1</v>
      </c>
      <c r="E3236" s="70" t="s">
        <v>1</v>
      </c>
      <c r="F3236" s="70"/>
      <c r="G3236" s="70" t="s">
        <v>61</v>
      </c>
      <c r="H3236" s="70" t="s">
        <v>178</v>
      </c>
      <c r="I3236" s="70" t="s">
        <v>181</v>
      </c>
      <c r="J3236" s="71">
        <f>IF(OR(I3236=0,I3236=""),"unrated",VLOOKUP(I3236,MappingTables!$B$19:$C$31,2,FALSE))</f>
        <v>3</v>
      </c>
      <c r="K3236" s="72">
        <v>6042.9781867143312</v>
      </c>
      <c r="L3236" s="70">
        <v>4.3144449817192144</v>
      </c>
      <c r="M3236" s="71">
        <f>IF(L3236&lt;1,1,L3236)</f>
        <v>4.3144449817192144</v>
      </c>
      <c r="N3236" s="70" t="s">
        <v>141</v>
      </c>
      <c r="O3236" s="71">
        <f>INDEX(DurClassMapping,MATCH(M3236,MappingTables!$D$4:$D$8,-1),1)</f>
        <v>1</v>
      </c>
      <c r="P3236" s="73">
        <f>IF(M3236=$A$1,1,$M3236-INDEX(MappingTables!$E$4:$E$8,MATCH(O3236,MappingTables!$B$4:$B$8,0)))</f>
        <v>4.3144449817192144</v>
      </c>
      <c r="Q3236" s="71">
        <f>IF(B3236="",0,INDEX(ModelParameters!$D$6:$K$10,MATCH($O3236,ModelParameters!$B$6:$B$10,0),MATCH($J3236,ModelParameters!$D$5:$K$5,0)))</f>
        <v>0.025</v>
      </c>
      <c r="R3236" s="71">
        <f>IF(B3236="",0,INDEX(ModelParameters!$D$13:$K$17,MATCH($O3236,ModelParameters!$B$13:$B$17,0),MATCH($J3236,ModelParameters!$D$5:$K$5,0)))</f>
        <v>0</v>
      </c>
      <c r="S3236" s="160">
        <f>IF(B3236="",0,MIN(IF($N3236="Other Bond TM",ModelParameters!$N$21,1)*(P3236*Q3236+R3236),1))</f>
        <v>0.10786112454298036</v>
      </c>
      <c r="T3236" s="85">
        <f>IF(B3236="",0,$S3236*$K3236)</f>
        <v>651.80242280770816</v>
      </c>
      <c r="U3236" s="85">
        <f>IF(B3236="",0,IF(OR(H3236=MappingTables!$C$34,H3236=MappingTables!$C$35),T3236,0))</f>
        <v>0</v>
      </c>
      <c r="V3236" s="85">
        <f>IF(ISNA(IF(AND(VLOOKUP(CONCATENATE($D3236,$G3236),CSRFinput!$B:$E,4,0)=0,OR(H3236=MappingTables!$C$34,H3236=MappingTables!$C$35)),1,VLOOKUP(CONCATENATE($D3236,$G3236),CSRFinput!$B:$E,4,0))),0,IF(AND(VLOOKUP(CONCATENATE($D3236,$G3236),CSRFinput!$B:$E,4,0)=0,OR(H3236=MappingTables!$C$34,H3236=MappingTables!$C$35)),1,VLOOKUP(CONCATENATE($D3236,$G3236),CSRFinput!$B:$E,4,0)))</f>
        <v>0.054776304963434752</v>
      </c>
      <c r="W3236" s="85">
        <f>IF(B3236="",0,+$T3236*$V3236)</f>
        <v>35.703328287620656</v>
      </c>
      <c r="X3236" s="85">
        <f>IF(B3236="",0,IF(OR(H3236=MappingTables!$C$34,H3236=MappingTables!$C$35),W3236,0))</f>
        <v>0</v>
      </c>
    </row>
    <row r="3237" spans="2:24" s="0" customFormat="0" ht="15">
      <c r="B3237" s="69" t="s">
        <v>2467</v>
      </c>
      <c r="C3237" s="70" t="s">
        <v>2468</v>
      </c>
      <c r="D3237" s="70" t="s">
        <v>1</v>
      </c>
      <c r="E3237" s="70" t="s">
        <v>1</v>
      </c>
      <c r="F3237" s="70"/>
      <c r="G3237" s="70" t="s">
        <v>61</v>
      </c>
      <c r="H3237" s="70" t="s">
        <v>178</v>
      </c>
      <c r="I3237" s="70" t="s">
        <v>181</v>
      </c>
      <c r="J3237" s="71">
        <f>IF(OR(I3237=0,I3237=""),"unrated",VLOOKUP(I3237,MappingTables!$B$19:$C$31,2,FALSE))</f>
        <v>3</v>
      </c>
      <c r="K3237" s="72">
        <v>4245.195427287276</v>
      </c>
      <c r="L3237" s="70">
        <v>1.3839211581398374</v>
      </c>
      <c r="M3237" s="71">
        <f>IF(L3237&lt;1,1,L3237)</f>
        <v>1.3839211581398374</v>
      </c>
      <c r="N3237" s="70" t="s">
        <v>141</v>
      </c>
      <c r="O3237" s="71">
        <f>INDEX(DurClassMapping,MATCH(M3237,MappingTables!$D$4:$D$8,-1),1)</f>
        <v>1</v>
      </c>
      <c r="P3237" s="73">
        <f>IF(M3237=$A$1,1,$M3237-INDEX(MappingTables!$E$4:$E$8,MATCH(O3237,MappingTables!$B$4:$B$8,0)))</f>
        <v>1.3839211581398374</v>
      </c>
      <c r="Q3237" s="71">
        <f>IF(B3237="",0,INDEX(ModelParameters!$D$6:$K$10,MATCH($O3237,ModelParameters!$B$6:$B$10,0),MATCH($J3237,ModelParameters!$D$5:$K$5,0)))</f>
        <v>0.025</v>
      </c>
      <c r="R3237" s="71">
        <f>IF(B3237="",0,INDEX(ModelParameters!$D$13:$K$17,MATCH($O3237,ModelParameters!$B$13:$B$17,0),MATCH($J3237,ModelParameters!$D$5:$K$5,0)))</f>
        <v>0</v>
      </c>
      <c r="S3237" s="160">
        <f>IF(B3237="",0,MIN(IF($N3237="Other Bond TM",ModelParameters!$N$21,1)*(P3237*Q3237+R3237),1))</f>
        <v>0.034598028953495936</v>
      </c>
      <c r="T3237" s="85">
        <f>IF(B3237="",0,$S3237*$K3237)</f>
        <v>146.87539430653374</v>
      </c>
      <c r="U3237" s="85">
        <f>IF(B3237="",0,IF(OR(H3237=MappingTables!$C$34,H3237=MappingTables!$C$35),T3237,0))</f>
        <v>0</v>
      </c>
      <c r="V3237" s="85">
        <f>IF(ISNA(IF(AND(VLOOKUP(CONCATENATE($D3237,$G3237),CSRFinput!$B:$E,4,0)=0,OR(H3237=MappingTables!$C$34,H3237=MappingTables!$C$35)),1,VLOOKUP(CONCATENATE($D3237,$G3237),CSRFinput!$B:$E,4,0))),0,IF(AND(VLOOKUP(CONCATENATE($D3237,$G3237),CSRFinput!$B:$E,4,0)=0,OR(H3237=MappingTables!$C$34,H3237=MappingTables!$C$35)),1,VLOOKUP(CONCATENATE($D3237,$G3237),CSRFinput!$B:$E,4,0)))</f>
        <v>0.054776304963434752</v>
      </c>
      <c r="W3237" s="85">
        <f>IF(B3237="",0,+$T3237*$V3237)</f>
        <v>8.0452913901594208</v>
      </c>
      <c r="X3237" s="85">
        <f>IF(B3237="",0,IF(OR(H3237=MappingTables!$C$34,H3237=MappingTables!$C$35),W3237,0))</f>
        <v>0</v>
      </c>
    </row>
    <row r="3238" spans="2:24" s="0" customFormat="0" ht="15">
      <c r="B3238" s="69">
        <v>24304012</v>
      </c>
      <c r="C3238" s="70" t="s">
        <v>2777</v>
      </c>
      <c r="D3238" s="70" t="s">
        <v>1</v>
      </c>
      <c r="E3238" s="70" t="s">
        <v>1</v>
      </c>
      <c r="F3238" s="70"/>
      <c r="G3238" s="70" t="s">
        <v>61</v>
      </c>
      <c r="H3238" s="70" t="s">
        <v>178</v>
      </c>
      <c r="I3238" s="70" t="s">
        <v>188</v>
      </c>
      <c r="J3238" s="71">
        <f>IF(OR(I3238=0,I3238=""),"unrated",VLOOKUP(I3238,MappingTables!$B$19:$C$31,2,FALSE))</f>
        <v>2</v>
      </c>
      <c r="K3238" s="72">
        <v>1071.5883091468874</v>
      </c>
      <c r="L3238" s="70">
        <v>6.0685348478737184</v>
      </c>
      <c r="M3238" s="71">
        <f>IF(L3238&lt;1,1,L3238)</f>
        <v>6.0685348478737184</v>
      </c>
      <c r="N3238" s="70" t="s">
        <v>141</v>
      </c>
      <c r="O3238" s="71">
        <f>INDEX(DurClassMapping,MATCH(M3238,MappingTables!$D$4:$D$8,-1),1)</f>
        <v>2</v>
      </c>
      <c r="P3238" s="73">
        <f>IF(M3238=$A$1,1,$M3238-INDEX(MappingTables!$E$4:$E$8,MATCH(O3238,MappingTables!$B$4:$B$8,0)))</f>
        <v>1.0685348478737184</v>
      </c>
      <c r="Q3238" s="71">
        <f>IF(B3238="",0,INDEX(ModelParameters!$D$6:$K$10,MATCH($O3238,ModelParameters!$B$6:$B$10,0),MATCH($J3238,ModelParameters!$D$5:$K$5,0)))</f>
        <v>0.0069999999999999992</v>
      </c>
      <c r="R3238" s="71">
        <f>IF(B3238="",0,INDEX(ModelParameters!$D$13:$K$17,MATCH($O3238,ModelParameters!$B$13:$B$17,0),MATCH($J3238,ModelParameters!$D$5:$K$5,0)))</f>
        <v>0.070000000000000008</v>
      </c>
      <c r="S3238" s="160">
        <f>IF(B3238="",0,MIN(IF($N3238="Other Bond TM",ModelParameters!$N$21,1)*(P3238*Q3238+R3238),1))</f>
        <v>0.077479743935116032</v>
      </c>
      <c r="T3238" s="85">
        <f>IF(B3238="",0,$S3238*$K3238)</f>
        <v>83.026387796564784</v>
      </c>
      <c r="U3238" s="85">
        <f>IF(B3238="",0,IF(OR(H3238=MappingTables!$C$34,H3238=MappingTables!$C$35),T3238,0))</f>
        <v>0</v>
      </c>
      <c r="V3238" s="85">
        <f>IF(ISNA(IF(AND(VLOOKUP(CONCATENATE($D3238,$G3238),CSRFinput!$B:$E,4,0)=0,OR(H3238=MappingTables!$C$34,H3238=MappingTables!$C$35)),1,VLOOKUP(CONCATENATE($D3238,$G3238),CSRFinput!$B:$E,4,0))),0,IF(AND(VLOOKUP(CONCATENATE($D3238,$G3238),CSRFinput!$B:$E,4,0)=0,OR(H3238=MappingTables!$C$34,H3238=MappingTables!$C$35)),1,VLOOKUP(CONCATENATE($D3238,$G3238),CSRFinput!$B:$E,4,0)))</f>
        <v>0.054776304963434752</v>
      </c>
      <c r="W3238" s="85">
        <f>IF(B3238="",0,+$T3238*$V3238)</f>
        <v>4.5478787379570304</v>
      </c>
      <c r="X3238" s="85">
        <f>IF(B3238="",0,IF(OR(H3238=MappingTables!$C$34,H3238=MappingTables!$C$35),W3238,0))</f>
        <v>0</v>
      </c>
    </row>
    <row r="3239" spans="2:24" s="0" customFormat="0" ht="15">
      <c r="B3239" s="69">
        <v>8941452</v>
      </c>
      <c r="C3239" s="70" t="s">
        <v>2778</v>
      </c>
      <c r="D3239" s="70" t="s">
        <v>1</v>
      </c>
      <c r="E3239" s="70" t="s">
        <v>1</v>
      </c>
      <c r="F3239" s="70"/>
      <c r="G3239" s="70" t="s">
        <v>61</v>
      </c>
      <c r="H3239" s="70" t="s">
        <v>178</v>
      </c>
      <c r="I3239" s="70" t="s">
        <v>188</v>
      </c>
      <c r="J3239" s="71">
        <f>IF(OR(I3239=0,I3239=""),"unrated",VLOOKUP(I3239,MappingTables!$B$19:$C$31,2,FALSE))</f>
        <v>2</v>
      </c>
      <c r="K3239" s="72">
        <v>0.124108280402688</v>
      </c>
      <c r="L3239" s="70">
        <v>0.3232876826095234</v>
      </c>
      <c r="M3239" s="71">
        <f>IF(L3239&lt;1,1,L3239)</f>
        <v>1</v>
      </c>
      <c r="N3239" s="70" t="s">
        <v>141</v>
      </c>
      <c r="O3239" s="71">
        <f>INDEX(DurClassMapping,MATCH(M3239,MappingTables!$D$4:$D$8,-1),1)</f>
        <v>1</v>
      </c>
      <c r="P3239" s="73">
        <f>IF(M3239=$A$1,1,$M3239-INDEX(MappingTables!$E$4:$E$8,MATCH(O3239,MappingTables!$B$4:$B$8,0)))</f>
        <v>1</v>
      </c>
      <c r="Q3239" s="71">
        <f>IF(B3239="",0,INDEX(ModelParameters!$D$6:$K$10,MATCH($O3239,ModelParameters!$B$6:$B$10,0),MATCH($J3239,ModelParameters!$D$5:$K$5,0)))</f>
        <v>0.013999999999999998</v>
      </c>
      <c r="R3239" s="71">
        <f>IF(B3239="",0,INDEX(ModelParameters!$D$13:$K$17,MATCH($O3239,ModelParameters!$B$13:$B$17,0),MATCH($J3239,ModelParameters!$D$5:$K$5,0)))</f>
        <v>0</v>
      </c>
      <c r="S3239" s="160">
        <f>IF(B3239="",0,MIN(IF($N3239="Other Bond TM",ModelParameters!$N$21,1)*(P3239*Q3239+R3239),1))</f>
        <v>0.013999999999999998</v>
      </c>
      <c r="T3239" s="85">
        <f>IF(B3239="",0,$S3239*$K3239)</f>
        <v>0.0017375159256376318</v>
      </c>
      <c r="U3239" s="85">
        <f>IF(B3239="",0,IF(OR(H3239=MappingTables!$C$34,H3239=MappingTables!$C$35),T3239,0))</f>
        <v>0</v>
      </c>
      <c r="V3239" s="85">
        <f>IF(ISNA(IF(AND(VLOOKUP(CONCATENATE($D3239,$G3239),CSRFinput!$B:$E,4,0)=0,OR(H3239=MappingTables!$C$34,H3239=MappingTables!$C$35)),1,VLOOKUP(CONCATENATE($D3239,$G3239),CSRFinput!$B:$E,4,0))),0,IF(AND(VLOOKUP(CONCATENATE($D3239,$G3239),CSRFinput!$B:$E,4,0)=0,OR(H3239=MappingTables!$C$34,H3239=MappingTables!$C$35)),1,VLOOKUP(CONCATENATE($D3239,$G3239),CSRFinput!$B:$E,4,0)))</f>
        <v>0.054776304963434752</v>
      </c>
      <c r="W3239" s="85">
        <f>IF(B3239="",0,+$T3239*$V3239)</f>
        <v>0.000095174702221551552</v>
      </c>
      <c r="X3239" s="85">
        <f>IF(B3239="",0,IF(OR(H3239=MappingTables!$C$34,H3239=MappingTables!$C$35),W3239,0))</f>
        <v>0</v>
      </c>
    </row>
    <row r="3240" spans="2:24" s="0" customFormat="0" ht="15">
      <c r="B3240" s="69">
        <v>21555127</v>
      </c>
      <c r="C3240" s="70" t="s">
        <v>1117</v>
      </c>
      <c r="D3240" s="70" t="s">
        <v>1</v>
      </c>
      <c r="E3240" s="70" t="s">
        <v>1</v>
      </c>
      <c r="F3240" s="70"/>
      <c r="G3240" s="70" t="s">
        <v>61</v>
      </c>
      <c r="H3240" s="70" t="s">
        <v>178</v>
      </c>
      <c r="I3240" s="70" t="s">
        <v>181</v>
      </c>
      <c r="J3240" s="71">
        <f>IF(OR(I3240=0,I3240=""),"unrated",VLOOKUP(I3240,MappingTables!$B$19:$C$31,2,FALSE))</f>
        <v>3</v>
      </c>
      <c r="K3240" s="72">
        <v>2821.2009397108272</v>
      </c>
      <c r="L3240" s="70">
        <v>1.6968634461308996</v>
      </c>
      <c r="M3240" s="71">
        <f>IF(L3240&lt;1,1,L3240)</f>
        <v>1.6968634461308996</v>
      </c>
      <c r="N3240" s="70" t="s">
        <v>141</v>
      </c>
      <c r="O3240" s="71">
        <f>INDEX(DurClassMapping,MATCH(M3240,MappingTables!$D$4:$D$8,-1),1)</f>
        <v>1</v>
      </c>
      <c r="P3240" s="73">
        <f>IF(M3240=$A$1,1,$M3240-INDEX(MappingTables!$E$4:$E$8,MATCH(O3240,MappingTables!$B$4:$B$8,0)))</f>
        <v>1.6968634461308996</v>
      </c>
      <c r="Q3240" s="71">
        <f>IF(B3240="",0,INDEX(ModelParameters!$D$6:$K$10,MATCH($O3240,ModelParameters!$B$6:$B$10,0),MATCH($J3240,ModelParameters!$D$5:$K$5,0)))</f>
        <v>0.025</v>
      </c>
      <c r="R3240" s="71">
        <f>IF(B3240="",0,INDEX(ModelParameters!$D$13:$K$17,MATCH($O3240,ModelParameters!$B$13:$B$17,0),MATCH($J3240,ModelParameters!$D$5:$K$5,0)))</f>
        <v>0</v>
      </c>
      <c r="S3240" s="160">
        <f>IF(B3240="",0,MIN(IF($N3240="Other Bond TM",ModelParameters!$N$21,1)*(P3240*Q3240+R3240),1))</f>
        <v>0.042421586153272488</v>
      </c>
      <c r="T3240" s="85">
        <f>IF(B3240="",0,$S3240*$K3240)</f>
        <v>119.67981871963616</v>
      </c>
      <c r="U3240" s="85">
        <f>IF(B3240="",0,IF(OR(H3240=MappingTables!$C$34,H3240=MappingTables!$C$35),T3240,0))</f>
        <v>0</v>
      </c>
      <c r="V3240" s="85">
        <f>IF(ISNA(IF(AND(VLOOKUP(CONCATENATE($D3240,$G3240),CSRFinput!$B:$E,4,0)=0,OR(H3240=MappingTables!$C$34,H3240=MappingTables!$C$35)),1,VLOOKUP(CONCATENATE($D3240,$G3240),CSRFinput!$B:$E,4,0))),0,IF(AND(VLOOKUP(CONCATENATE($D3240,$G3240),CSRFinput!$B:$E,4,0)=0,OR(H3240=MappingTables!$C$34,H3240=MappingTables!$C$35)),1,VLOOKUP(CONCATENATE($D3240,$G3240),CSRFinput!$B:$E,4,0)))</f>
        <v>0.054776304963434752</v>
      </c>
      <c r="W3240" s="85">
        <f>IF(B3240="",0,+$T3240*$V3240)</f>
        <v>6.5556182481553776</v>
      </c>
      <c r="X3240" s="85">
        <f>IF(B3240="",0,IF(OR(H3240=MappingTables!$C$34,H3240=MappingTables!$C$35),W3240,0))</f>
        <v>0</v>
      </c>
    </row>
    <row r="3241" spans="2:24" s="0" customFormat="0" ht="15">
      <c r="B3241" s="69">
        <v>17392711</v>
      </c>
      <c r="C3241" s="70" t="s">
        <v>2073</v>
      </c>
      <c r="D3241" s="70" t="s">
        <v>1</v>
      </c>
      <c r="E3241" s="70" t="s">
        <v>1</v>
      </c>
      <c r="F3241" s="70"/>
      <c r="G3241" s="70" t="s">
        <v>61</v>
      </c>
      <c r="H3241" s="70" t="s">
        <v>178</v>
      </c>
      <c r="I3241" s="70" t="s">
        <v>179</v>
      </c>
      <c r="J3241" s="71">
        <f>IF(OR(I3241=0,I3241=""),"unrated",VLOOKUP(I3241,MappingTables!$B$19:$C$31,2,FALSE))</f>
        <v>4</v>
      </c>
      <c r="K3241" s="72">
        <v>463.32333402582608</v>
      </c>
      <c r="L3241" s="70">
        <v>1.0233294089562722</v>
      </c>
      <c r="M3241" s="71">
        <f>IF(L3241&lt;1,1,L3241)</f>
        <v>1.0233294089562722</v>
      </c>
      <c r="N3241" s="70" t="s">
        <v>141</v>
      </c>
      <c r="O3241" s="71">
        <f>INDEX(DurClassMapping,MATCH(M3241,MappingTables!$D$4:$D$8,-1),1)</f>
        <v>1</v>
      </c>
      <c r="P3241" s="73">
        <f>IF(M3241=$A$1,1,$M3241-INDEX(MappingTables!$E$4:$E$8,MATCH(O3241,MappingTables!$B$4:$B$8,0)))</f>
        <v>1.0233294089562722</v>
      </c>
      <c r="Q3241" s="71">
        <f>IF(B3241="",0,INDEX(ModelParameters!$D$6:$K$10,MATCH($O3241,ModelParameters!$B$6:$B$10,0),MATCH($J3241,ModelParameters!$D$5:$K$5,0)))</f>
        <v>0.045</v>
      </c>
      <c r="R3241" s="71">
        <f>IF(B3241="",0,INDEX(ModelParameters!$D$13:$K$17,MATCH($O3241,ModelParameters!$B$13:$B$17,0),MATCH($J3241,ModelParameters!$D$5:$K$5,0)))</f>
        <v>0</v>
      </c>
      <c r="S3241" s="160">
        <f>IF(B3241="",0,MIN(IF($N3241="Other Bond TM",ModelParameters!$N$21,1)*(P3241*Q3241+R3241),1))</f>
        <v>0.04604982340303224</v>
      </c>
      <c r="T3241" s="85">
        <f>IF(B3241="",0,$S3241*$K3241)</f>
        <v>21.335957710393412</v>
      </c>
      <c r="U3241" s="85">
        <f>IF(B3241="",0,IF(OR(H3241=MappingTables!$C$34,H3241=MappingTables!$C$35),T3241,0))</f>
        <v>0</v>
      </c>
      <c r="V3241" s="85">
        <f>IF(ISNA(IF(AND(VLOOKUP(CONCATENATE($D3241,$G3241),CSRFinput!$B:$E,4,0)=0,OR(H3241=MappingTables!$C$34,H3241=MappingTables!$C$35)),1,VLOOKUP(CONCATENATE($D3241,$G3241),CSRFinput!$B:$E,4,0))),0,IF(AND(VLOOKUP(CONCATENATE($D3241,$G3241),CSRFinput!$B:$E,4,0)=0,OR(H3241=MappingTables!$C$34,H3241=MappingTables!$C$35)),1,VLOOKUP(CONCATENATE($D3241,$G3241),CSRFinput!$B:$E,4,0)))</f>
        <v>0.054776304963434752</v>
      </c>
      <c r="W3241" s="85">
        <f>IF(B3241="",0,+$T3241*$V3241)</f>
        <v>1.1687049262314566</v>
      </c>
      <c r="X3241" s="85">
        <f>IF(B3241="",0,IF(OR(H3241=MappingTables!$C$34,H3241=MappingTables!$C$35),W3241,0))</f>
        <v>0</v>
      </c>
    </row>
    <row r="3242" spans="2:24" s="0" customFormat="0" ht="15">
      <c r="B3242" s="69">
        <v>21282457</v>
      </c>
      <c r="C3242" s="70" t="s">
        <v>2779</v>
      </c>
      <c r="D3242" s="70" t="s">
        <v>1</v>
      </c>
      <c r="E3242" s="70" t="s">
        <v>1</v>
      </c>
      <c r="F3242" s="70"/>
      <c r="G3242" s="70" t="s">
        <v>61</v>
      </c>
      <c r="H3242" s="70" t="s">
        <v>178</v>
      </c>
      <c r="I3242" s="70" t="s">
        <v>181</v>
      </c>
      <c r="J3242" s="71">
        <f>IF(OR(I3242=0,I3242=""),"unrated",VLOOKUP(I3242,MappingTables!$B$19:$C$31,2,FALSE))</f>
        <v>3</v>
      </c>
      <c r="K3242" s="72">
        <v>92.39314064870752</v>
      </c>
      <c r="L3242" s="70">
        <v>7.513838768697984</v>
      </c>
      <c r="M3242" s="71">
        <f>IF(L3242&lt;1,1,L3242)</f>
        <v>7.513838768697984</v>
      </c>
      <c r="N3242" s="70" t="s">
        <v>141</v>
      </c>
      <c r="O3242" s="71">
        <f>INDEX(DurClassMapping,MATCH(M3242,MappingTables!$D$4:$D$8,-1),1)</f>
        <v>2</v>
      </c>
      <c r="P3242" s="73">
        <f>IF(M3242=$A$1,1,$M3242-INDEX(MappingTables!$E$4:$E$8,MATCH(O3242,MappingTables!$B$4:$B$8,0)))</f>
        <v>2.513838768697984</v>
      </c>
      <c r="Q3242" s="71">
        <f>IF(B3242="",0,INDEX(ModelParameters!$D$6:$K$10,MATCH($O3242,ModelParameters!$B$6:$B$10,0),MATCH($J3242,ModelParameters!$D$5:$K$5,0)))</f>
        <v>0.015</v>
      </c>
      <c r="R3242" s="71">
        <f>IF(B3242="",0,INDEX(ModelParameters!$D$13:$K$17,MATCH($O3242,ModelParameters!$B$13:$B$17,0),MATCH($J3242,ModelParameters!$D$5:$K$5,0)))</f>
        <v>0.125</v>
      </c>
      <c r="S3242" s="160">
        <f>IF(B3242="",0,MIN(IF($N3242="Other Bond TM",ModelParameters!$N$21,1)*(P3242*Q3242+R3242),1))</f>
        <v>0.16270758153046976</v>
      </c>
      <c r="T3242" s="85">
        <f>IF(B3242="",0,$S3242*$K3242)</f>
        <v>15.03306446495574</v>
      </c>
      <c r="U3242" s="85">
        <f>IF(B3242="",0,IF(OR(H3242=MappingTables!$C$34,H3242=MappingTables!$C$35),T3242,0))</f>
        <v>0</v>
      </c>
      <c r="V3242" s="85">
        <f>IF(ISNA(IF(AND(VLOOKUP(CONCATENATE($D3242,$G3242),CSRFinput!$B:$E,4,0)=0,OR(H3242=MappingTables!$C$34,H3242=MappingTables!$C$35)),1,VLOOKUP(CONCATENATE($D3242,$G3242),CSRFinput!$B:$E,4,0))),0,IF(AND(VLOOKUP(CONCATENATE($D3242,$G3242),CSRFinput!$B:$E,4,0)=0,OR(H3242=MappingTables!$C$34,H3242=MappingTables!$C$35)),1,VLOOKUP(CONCATENATE($D3242,$G3242),CSRFinput!$B:$E,4,0)))</f>
        <v>0.054776304963434752</v>
      </c>
      <c r="W3242" s="85">
        <f>IF(B3242="",0,+$T3242*$V3242)</f>
        <v>0.82345572366738976</v>
      </c>
      <c r="X3242" s="85">
        <f>IF(B3242="",0,IF(OR(H3242=MappingTables!$C$34,H3242=MappingTables!$C$35),W3242,0))</f>
        <v>0</v>
      </c>
    </row>
    <row r="3243" spans="2:24" s="0" customFormat="0" ht="15">
      <c r="B3243" s="69" t="s">
        <v>1730</v>
      </c>
      <c r="C3243" s="70" t="s">
        <v>1731</v>
      </c>
      <c r="D3243" s="70" t="s">
        <v>1</v>
      </c>
      <c r="E3243" s="70" t="s">
        <v>1</v>
      </c>
      <c r="F3243" s="70"/>
      <c r="G3243" s="70" t="s">
        <v>61</v>
      </c>
      <c r="H3243" s="70" t="s">
        <v>178</v>
      </c>
      <c r="I3243" s="70" t="s">
        <v>181</v>
      </c>
      <c r="J3243" s="71">
        <f>IF(OR(I3243=0,I3243=""),"unrated",VLOOKUP(I3243,MappingTables!$B$19:$C$31,2,FALSE))</f>
        <v>3</v>
      </c>
      <c r="K3243" s="72">
        <v>1.4811702777125488</v>
      </c>
      <c r="L3243" s="70">
        <v>1.1253931370245404</v>
      </c>
      <c r="M3243" s="71">
        <f>IF(L3243&lt;1,1,L3243)</f>
        <v>1.1253931370245404</v>
      </c>
      <c r="N3243" s="70" t="s">
        <v>141</v>
      </c>
      <c r="O3243" s="71">
        <f>INDEX(DurClassMapping,MATCH(M3243,MappingTables!$D$4:$D$8,-1),1)</f>
        <v>1</v>
      </c>
      <c r="P3243" s="73">
        <f>IF(M3243=$A$1,1,$M3243-INDEX(MappingTables!$E$4:$E$8,MATCH(O3243,MappingTables!$B$4:$B$8,0)))</f>
        <v>1.1253931370245404</v>
      </c>
      <c r="Q3243" s="71">
        <f>IF(B3243="",0,INDEX(ModelParameters!$D$6:$K$10,MATCH($O3243,ModelParameters!$B$6:$B$10,0),MATCH($J3243,ModelParameters!$D$5:$K$5,0)))</f>
        <v>0.025</v>
      </c>
      <c r="R3243" s="71">
        <f>IF(B3243="",0,INDEX(ModelParameters!$D$13:$K$17,MATCH($O3243,ModelParameters!$B$13:$B$17,0),MATCH($J3243,ModelParameters!$D$5:$K$5,0)))</f>
        <v>0</v>
      </c>
      <c r="S3243" s="160">
        <f>IF(B3243="",0,MIN(IF($N3243="Other Bond TM",ModelParameters!$N$21,1)*(P3243*Q3243+R3243),1))</f>
        <v>0.028134828425613512</v>
      </c>
      <c r="T3243" s="85">
        <f>IF(B3243="",0,$S3243*$K3243)</f>
        <v>0.04167247163256088</v>
      </c>
      <c r="U3243" s="85">
        <f>IF(B3243="",0,IF(OR(H3243=MappingTables!$C$34,H3243=MappingTables!$C$35),T3243,0))</f>
        <v>0</v>
      </c>
      <c r="V3243" s="85">
        <f>IF(ISNA(IF(AND(VLOOKUP(CONCATENATE($D3243,$G3243),CSRFinput!$B:$E,4,0)=0,OR(H3243=MappingTables!$C$34,H3243=MappingTables!$C$35)),1,VLOOKUP(CONCATENATE($D3243,$G3243),CSRFinput!$B:$E,4,0))),0,IF(AND(VLOOKUP(CONCATENATE($D3243,$G3243),CSRFinput!$B:$E,4,0)=0,OR(H3243=MappingTables!$C$34,H3243=MappingTables!$C$35)),1,VLOOKUP(CONCATENATE($D3243,$G3243),CSRFinput!$B:$E,4,0)))</f>
        <v>0.054776304963434752</v>
      </c>
      <c r="W3243" s="85">
        <f>IF(B3243="",0,+$T3243*$V3243)</f>
        <v>0.0022826640147252388</v>
      </c>
      <c r="X3243" s="85">
        <f>IF(B3243="",0,IF(OR(H3243=MappingTables!$C$34,H3243=MappingTables!$C$35),W3243,0))</f>
        <v>0</v>
      </c>
    </row>
    <row r="3244" spans="2:24" s="0" customFormat="0" ht="15">
      <c r="B3244" s="69">
        <v>18760720</v>
      </c>
      <c r="C3244" s="70" t="s">
        <v>2581</v>
      </c>
      <c r="D3244" s="70" t="s">
        <v>1</v>
      </c>
      <c r="E3244" s="70" t="s">
        <v>1</v>
      </c>
      <c r="F3244" s="70"/>
      <c r="G3244" s="70" t="s">
        <v>61</v>
      </c>
      <c r="H3244" s="70" t="s">
        <v>178</v>
      </c>
      <c r="I3244" s="70" t="s">
        <v>184</v>
      </c>
      <c r="J3244" s="71">
        <f>IF(OR(I3244=0,I3244=""),"unrated",VLOOKUP(I3244,MappingTables!$B$19:$C$31,2,FALSE))</f>
        <v>5</v>
      </c>
      <c r="K3244" s="72">
        <v>15445.190074043408</v>
      </c>
      <c r="L3244" s="70">
        <v>0.95590840952661392</v>
      </c>
      <c r="M3244" s="71">
        <f>IF(L3244&lt;1,1,L3244)</f>
        <v>1</v>
      </c>
      <c r="N3244" s="70" t="s">
        <v>141</v>
      </c>
      <c r="O3244" s="71">
        <f>INDEX(DurClassMapping,MATCH(M3244,MappingTables!$D$4:$D$8,-1),1)</f>
        <v>1</v>
      </c>
      <c r="P3244" s="73">
        <f>IF(M3244=$A$1,1,$M3244-INDEX(MappingTables!$E$4:$E$8,MATCH(O3244,MappingTables!$B$4:$B$8,0)))</f>
        <v>1</v>
      </c>
      <c r="Q3244" s="71">
        <f>IF(B3244="",0,INDEX(ModelParameters!$D$6:$K$10,MATCH($O3244,ModelParameters!$B$6:$B$10,0),MATCH($J3244,ModelParameters!$D$5:$K$5,0)))</f>
        <v>0.075</v>
      </c>
      <c r="R3244" s="71">
        <f>IF(B3244="",0,INDEX(ModelParameters!$D$13:$K$17,MATCH($O3244,ModelParameters!$B$13:$B$17,0),MATCH($J3244,ModelParameters!$D$5:$K$5,0)))</f>
        <v>0</v>
      </c>
      <c r="S3244" s="160">
        <f>IF(B3244="",0,MIN(IF($N3244="Other Bond TM",ModelParameters!$N$21,1)*(P3244*Q3244+R3244),1))</f>
        <v>0.075</v>
      </c>
      <c r="T3244" s="85">
        <f>IF(B3244="",0,$S3244*$K3244)</f>
        <v>1158.3892555532556</v>
      </c>
      <c r="U3244" s="85">
        <f>IF(B3244="",0,IF(OR(H3244=MappingTables!$C$34,H3244=MappingTables!$C$35),T3244,0))</f>
        <v>0</v>
      </c>
      <c r="V3244" s="85">
        <f>IF(ISNA(IF(AND(VLOOKUP(CONCATENATE($D3244,$G3244),CSRFinput!$B:$E,4,0)=0,OR(H3244=MappingTables!$C$34,H3244=MappingTables!$C$35)),1,VLOOKUP(CONCATENATE($D3244,$G3244),CSRFinput!$B:$E,4,0))),0,IF(AND(VLOOKUP(CONCATENATE($D3244,$G3244),CSRFinput!$B:$E,4,0)=0,OR(H3244=MappingTables!$C$34,H3244=MappingTables!$C$35)),1,VLOOKUP(CONCATENATE($D3244,$G3244),CSRFinput!$B:$E,4,0)))</f>
        <v>0.054776304963434752</v>
      </c>
      <c r="W3244" s="85">
        <f>IF(B3244="",0,+$T3244*$V3244)</f>
        <v>63.452283128551288</v>
      </c>
      <c r="X3244" s="85">
        <f>IF(B3244="",0,IF(OR(H3244=MappingTables!$C$34,H3244=MappingTables!$C$35),W3244,0))</f>
        <v>0</v>
      </c>
    </row>
    <row r="3245" spans="2:24" s="0" customFormat="0" ht="15">
      <c r="B3245" s="69">
        <v>20942445</v>
      </c>
      <c r="C3245" s="70" t="s">
        <v>1364</v>
      </c>
      <c r="D3245" s="70" t="s">
        <v>1</v>
      </c>
      <c r="E3245" s="70" t="s">
        <v>1</v>
      </c>
      <c r="F3245" s="70"/>
      <c r="G3245" s="70" t="s">
        <v>61</v>
      </c>
      <c r="H3245" s="70" t="s">
        <v>178</v>
      </c>
      <c r="I3245" s="70" t="s">
        <v>181</v>
      </c>
      <c r="J3245" s="71">
        <f>IF(OR(I3245=0,I3245=""),"unrated",VLOOKUP(I3245,MappingTables!$B$19:$C$31,2,FALSE))</f>
        <v>3</v>
      </c>
      <c r="K3245" s="72">
        <v>17644.046534283316</v>
      </c>
      <c r="L3245" s="70">
        <v>3.5247791985054788</v>
      </c>
      <c r="M3245" s="71">
        <f>IF(L3245&lt;1,1,L3245)</f>
        <v>3.5247791985054788</v>
      </c>
      <c r="N3245" s="70" t="s">
        <v>141</v>
      </c>
      <c r="O3245" s="71">
        <f>INDEX(DurClassMapping,MATCH(M3245,MappingTables!$D$4:$D$8,-1),1)</f>
        <v>1</v>
      </c>
      <c r="P3245" s="73">
        <f>IF(M3245=$A$1,1,$M3245-INDEX(MappingTables!$E$4:$E$8,MATCH(O3245,MappingTables!$B$4:$B$8,0)))</f>
        <v>3.5247791985054788</v>
      </c>
      <c r="Q3245" s="71">
        <f>IF(B3245="",0,INDEX(ModelParameters!$D$6:$K$10,MATCH($O3245,ModelParameters!$B$6:$B$10,0),MATCH($J3245,ModelParameters!$D$5:$K$5,0)))</f>
        <v>0.025</v>
      </c>
      <c r="R3245" s="71">
        <f>IF(B3245="",0,INDEX(ModelParameters!$D$13:$K$17,MATCH($O3245,ModelParameters!$B$13:$B$17,0),MATCH($J3245,ModelParameters!$D$5:$K$5,0)))</f>
        <v>0</v>
      </c>
      <c r="S3245" s="160">
        <f>IF(B3245="",0,MIN(IF($N3245="Other Bond TM",ModelParameters!$N$21,1)*(P3245*Q3245+R3245),1))</f>
        <v>0.088119479962636976</v>
      </c>
      <c r="T3245" s="85">
        <f>IF(B3245="",0,$S3245*$K3245)</f>
        <v>1554.784205037613</v>
      </c>
      <c r="U3245" s="85">
        <f>IF(B3245="",0,IF(OR(H3245=MappingTables!$C$34,H3245=MappingTables!$C$35),T3245,0))</f>
        <v>0</v>
      </c>
      <c r="V3245" s="85">
        <f>IF(ISNA(IF(AND(VLOOKUP(CONCATENATE($D3245,$G3245),CSRFinput!$B:$E,4,0)=0,OR(H3245=MappingTables!$C$34,H3245=MappingTables!$C$35)),1,VLOOKUP(CONCATENATE($D3245,$G3245),CSRFinput!$B:$E,4,0))),0,IF(AND(VLOOKUP(CONCATENATE($D3245,$G3245),CSRFinput!$B:$E,4,0)=0,OR(H3245=MappingTables!$C$34,H3245=MappingTables!$C$35)),1,VLOOKUP(CONCATENATE($D3245,$G3245),CSRFinput!$B:$E,4,0)))</f>
        <v>0.054776304963434752</v>
      </c>
      <c r="W3245" s="85">
        <f>IF(B3245="",0,+$T3245*$V3245)</f>
        <v>85.16533376747176</v>
      </c>
      <c r="X3245" s="85">
        <f>IF(B3245="",0,IF(OR(H3245=MappingTables!$C$34,H3245=MappingTables!$C$35),W3245,0))</f>
        <v>0</v>
      </c>
    </row>
    <row r="3246" spans="2:24" s="0" customFormat="0" ht="15">
      <c r="B3246" s="69">
        <v>15869357</v>
      </c>
      <c r="C3246" s="70" t="s">
        <v>2780</v>
      </c>
      <c r="D3246" s="70" t="s">
        <v>1</v>
      </c>
      <c r="E3246" s="70" t="s">
        <v>1</v>
      </c>
      <c r="F3246" s="70"/>
      <c r="G3246" s="70" t="s">
        <v>61</v>
      </c>
      <c r="H3246" s="70" t="s">
        <v>178</v>
      </c>
      <c r="I3246" s="70" t="s">
        <v>181</v>
      </c>
      <c r="J3246" s="71">
        <f>IF(OR(I3246=0,I3246=""),"unrated",VLOOKUP(I3246,MappingTables!$B$19:$C$31,2,FALSE))</f>
        <v>3</v>
      </c>
      <c r="K3246" s="72">
        <v>23255.068698384456</v>
      </c>
      <c r="L3246" s="70">
        <v>3.9247419539080864</v>
      </c>
      <c r="M3246" s="71">
        <f>IF(L3246&lt;1,1,L3246)</f>
        <v>3.9247419539080864</v>
      </c>
      <c r="N3246" s="70" t="s">
        <v>141</v>
      </c>
      <c r="O3246" s="71">
        <f>INDEX(DurClassMapping,MATCH(M3246,MappingTables!$D$4:$D$8,-1),1)</f>
        <v>1</v>
      </c>
      <c r="P3246" s="73">
        <f>IF(M3246=$A$1,1,$M3246-INDEX(MappingTables!$E$4:$E$8,MATCH(O3246,MappingTables!$B$4:$B$8,0)))</f>
        <v>3.9247419539080864</v>
      </c>
      <c r="Q3246" s="71">
        <f>IF(B3246="",0,INDEX(ModelParameters!$D$6:$K$10,MATCH($O3246,ModelParameters!$B$6:$B$10,0),MATCH($J3246,ModelParameters!$D$5:$K$5,0)))</f>
        <v>0.025</v>
      </c>
      <c r="R3246" s="71">
        <f>IF(B3246="",0,INDEX(ModelParameters!$D$13:$K$17,MATCH($O3246,ModelParameters!$B$13:$B$17,0),MATCH($J3246,ModelParameters!$D$5:$K$5,0)))</f>
        <v>0</v>
      </c>
      <c r="S3246" s="160">
        <f>IF(B3246="",0,MIN(IF($N3246="Other Bond TM",ModelParameters!$N$21,1)*(P3246*Q3246+R3246),1))</f>
        <v>0.098118548847702176</v>
      </c>
      <c r="T3246" s="85">
        <f>IF(B3246="",0,$S3246*$K3246)</f>
        <v>2281.7535940391052</v>
      </c>
      <c r="U3246" s="85">
        <f>IF(B3246="",0,IF(OR(H3246=MappingTables!$C$34,H3246=MappingTables!$C$35),T3246,0))</f>
        <v>0</v>
      </c>
      <c r="V3246" s="85">
        <f>IF(ISNA(IF(AND(VLOOKUP(CONCATENATE($D3246,$G3246),CSRFinput!$B:$E,4,0)=0,OR(H3246=MappingTables!$C$34,H3246=MappingTables!$C$35)),1,VLOOKUP(CONCATENATE($D3246,$G3246),CSRFinput!$B:$E,4,0))),0,IF(AND(VLOOKUP(CONCATENATE($D3246,$G3246),CSRFinput!$B:$E,4,0)=0,OR(H3246=MappingTables!$C$34,H3246=MappingTables!$C$35)),1,VLOOKUP(CONCATENATE($D3246,$G3246),CSRFinput!$B:$E,4,0)))</f>
        <v>0.054776304963434752</v>
      </c>
      <c r="W3246" s="85">
        <f>IF(B3246="",0,+$T3246*$V3246)</f>
        <v>124.98603071849934</v>
      </c>
      <c r="X3246" s="85">
        <f>IF(B3246="",0,IF(OR(H3246=MappingTables!$C$34,H3246=MappingTables!$C$35),W3246,0))</f>
        <v>0</v>
      </c>
    </row>
    <row r="3247" spans="2:24" s="0" customFormat="0" ht="15">
      <c r="B3247" s="69">
        <v>22029360</v>
      </c>
      <c r="C3247" s="70" t="s">
        <v>1758</v>
      </c>
      <c r="D3247" s="70" t="s">
        <v>1</v>
      </c>
      <c r="E3247" s="70" t="s">
        <v>1</v>
      </c>
      <c r="F3247" s="70"/>
      <c r="G3247" s="70" t="s">
        <v>61</v>
      </c>
      <c r="H3247" s="70" t="s">
        <v>178</v>
      </c>
      <c r="I3247" s="70" t="s">
        <v>179</v>
      </c>
      <c r="J3247" s="71">
        <f>IF(OR(I3247=0,I3247=""),"unrated",VLOOKUP(I3247,MappingTables!$B$19:$C$31,2,FALSE))</f>
        <v>4</v>
      </c>
      <c r="K3247" s="72">
        <v>1740.8130658755776</v>
      </c>
      <c r="L3247" s="70">
        <v>4.9913986418491104</v>
      </c>
      <c r="M3247" s="71">
        <f>IF(L3247&lt;1,1,L3247)</f>
        <v>4.9913986418491104</v>
      </c>
      <c r="N3247" s="70" t="s">
        <v>141</v>
      </c>
      <c r="O3247" s="71">
        <f>INDEX(DurClassMapping,MATCH(M3247,MappingTables!$D$4:$D$8,-1),1)</f>
        <v>1</v>
      </c>
      <c r="P3247" s="73">
        <f>IF(M3247=$A$1,1,$M3247-INDEX(MappingTables!$E$4:$E$8,MATCH(O3247,MappingTables!$B$4:$B$8,0)))</f>
        <v>4.9913986418491104</v>
      </c>
      <c r="Q3247" s="71">
        <f>IF(B3247="",0,INDEX(ModelParameters!$D$6:$K$10,MATCH($O3247,ModelParameters!$B$6:$B$10,0),MATCH($J3247,ModelParameters!$D$5:$K$5,0)))</f>
        <v>0.045</v>
      </c>
      <c r="R3247" s="71">
        <f>IF(B3247="",0,INDEX(ModelParameters!$D$13:$K$17,MATCH($O3247,ModelParameters!$B$13:$B$17,0),MATCH($J3247,ModelParameters!$D$5:$K$5,0)))</f>
        <v>0</v>
      </c>
      <c r="S3247" s="160">
        <f>IF(B3247="",0,MIN(IF($N3247="Other Bond TM",ModelParameters!$N$21,1)*(P3247*Q3247+R3247),1))</f>
        <v>0.22461293888320992</v>
      </c>
      <c r="T3247" s="85">
        <f>IF(B3247="",0,$S3247*$K3247)</f>
        <v>391.00913877260448</v>
      </c>
      <c r="U3247" s="85">
        <f>IF(B3247="",0,IF(OR(H3247=MappingTables!$C$34,H3247=MappingTables!$C$35),T3247,0))</f>
        <v>0</v>
      </c>
      <c r="V3247" s="85">
        <f>IF(ISNA(IF(AND(VLOOKUP(CONCATENATE($D3247,$G3247),CSRFinput!$B:$E,4,0)=0,OR(H3247=MappingTables!$C$34,H3247=MappingTables!$C$35)),1,VLOOKUP(CONCATENATE($D3247,$G3247),CSRFinput!$B:$E,4,0))),0,IF(AND(VLOOKUP(CONCATENATE($D3247,$G3247),CSRFinput!$B:$E,4,0)=0,OR(H3247=MappingTables!$C$34,H3247=MappingTables!$C$35)),1,VLOOKUP(CONCATENATE($D3247,$G3247),CSRFinput!$B:$E,4,0)))</f>
        <v>0.054776304963434752</v>
      </c>
      <c r="W3247" s="85">
        <f>IF(B3247="",0,+$T3247*$V3247)</f>
        <v>21.418035828898164</v>
      </c>
      <c r="X3247" s="85">
        <f>IF(B3247="",0,IF(OR(H3247=MappingTables!$C$34,H3247=MappingTables!$C$35),W3247,0))</f>
        <v>0</v>
      </c>
    </row>
    <row r="3248" spans="2:24" s="0" customFormat="0" ht="15">
      <c r="B3248" s="69">
        <v>22211284</v>
      </c>
      <c r="C3248" s="70" t="s">
        <v>2585</v>
      </c>
      <c r="D3248" s="70" t="s">
        <v>1</v>
      </c>
      <c r="E3248" s="70" t="s">
        <v>1</v>
      </c>
      <c r="F3248" s="70"/>
      <c r="G3248" s="70" t="s">
        <v>61</v>
      </c>
      <c r="H3248" s="70" t="s">
        <v>178</v>
      </c>
      <c r="I3248" s="70" t="s">
        <v>198</v>
      </c>
      <c r="J3248" s="71" t="str">
        <f>IF(OR(I3248=0,I3248=""),"unrated",VLOOKUP(I3248,MappingTables!$B$19:$C$31,2,FALSE))</f>
        <v>unrated</v>
      </c>
      <c r="K3248" s="72">
        <v>414.4057245636144</v>
      </c>
      <c r="L3248" s="70">
        <v>3.5093248494147156</v>
      </c>
      <c r="M3248" s="71">
        <f>IF(L3248&lt;1,1,L3248)</f>
        <v>3.5093248494147156</v>
      </c>
      <c r="N3248" s="70" t="s">
        <v>141</v>
      </c>
      <c r="O3248" s="71">
        <f>INDEX(DurClassMapping,MATCH(M3248,MappingTables!$D$4:$D$8,-1),1)</f>
        <v>1</v>
      </c>
      <c r="P3248" s="73">
        <f>IF(M3248=$A$1,1,$M3248-INDEX(MappingTables!$E$4:$E$8,MATCH(O3248,MappingTables!$B$4:$B$8,0)))</f>
        <v>3.5093248494147156</v>
      </c>
      <c r="Q3248" s="71">
        <f>IF(B3248="",0,INDEX(ModelParameters!$D$6:$K$10,MATCH($O3248,ModelParameters!$B$6:$B$10,0),MATCH($J3248,ModelParameters!$D$5:$K$5,0)))</f>
        <v>0.03</v>
      </c>
      <c r="R3248" s="71">
        <f>IF(B3248="",0,INDEX(ModelParameters!$D$13:$K$17,MATCH($O3248,ModelParameters!$B$13:$B$17,0),MATCH($J3248,ModelParameters!$D$5:$K$5,0)))</f>
        <v>0</v>
      </c>
      <c r="S3248" s="160">
        <f>IF(B3248="",0,MIN(IF($N3248="Other Bond TM",ModelParameters!$N$21,1)*(P3248*Q3248+R3248),1))</f>
        <v>0.10527974548244146</v>
      </c>
      <c r="T3248" s="85">
        <f>IF(B3248="",0,$S3248*$K3248)</f>
        <v>43.628529208524064</v>
      </c>
      <c r="U3248" s="85">
        <f>IF(B3248="",0,IF(OR(H3248=MappingTables!$C$34,H3248=MappingTables!$C$35),T3248,0))</f>
        <v>0</v>
      </c>
      <c r="V3248" s="85">
        <f>IF(ISNA(IF(AND(VLOOKUP(CONCATENATE($D3248,$G3248),CSRFinput!$B:$E,4,0)=0,OR(H3248=MappingTables!$C$34,H3248=MappingTables!$C$35)),1,VLOOKUP(CONCATENATE($D3248,$G3248),CSRFinput!$B:$E,4,0))),0,IF(AND(VLOOKUP(CONCATENATE($D3248,$G3248),CSRFinput!$B:$E,4,0)=0,OR(H3248=MappingTables!$C$34,H3248=MappingTables!$C$35)),1,VLOOKUP(CONCATENATE($D3248,$G3248),CSRFinput!$B:$E,4,0)))</f>
        <v>0.054776304963434752</v>
      </c>
      <c r="W3248" s="85">
        <f>IF(B3248="",0,+$T3248*$V3248)</f>
        <v>2.3898096210322344</v>
      </c>
      <c r="X3248" s="85">
        <f>IF(B3248="",0,IF(OR(H3248=MappingTables!$C$34,H3248=MappingTables!$C$35),W3248,0))</f>
        <v>0</v>
      </c>
    </row>
    <row r="3249" spans="2:24" s="0" customFormat="0" ht="15">
      <c r="B3249" s="69" t="s">
        <v>2781</v>
      </c>
      <c r="C3249" s="70" t="s">
        <v>2782</v>
      </c>
      <c r="D3249" s="70" t="s">
        <v>1</v>
      </c>
      <c r="E3249" s="70" t="s">
        <v>1</v>
      </c>
      <c r="F3249" s="70"/>
      <c r="G3249" s="70" t="s">
        <v>61</v>
      </c>
      <c r="H3249" s="70" t="s">
        <v>178</v>
      </c>
      <c r="I3249" s="70" t="s">
        <v>220</v>
      </c>
      <c r="J3249" s="71">
        <f>IF(OR(I3249=0,I3249=""),"unrated",VLOOKUP(I3249,MappingTables!$B$19:$C$31,2,FALSE))</f>
        <v>1</v>
      </c>
      <c r="K3249" s="72">
        <v>326.78838653286504</v>
      </c>
      <c r="L3249" s="70">
        <v>1.522289091629652</v>
      </c>
      <c r="M3249" s="71">
        <f>IF(L3249&lt;1,1,L3249)</f>
        <v>1.522289091629652</v>
      </c>
      <c r="N3249" s="70" t="s">
        <v>141</v>
      </c>
      <c r="O3249" s="71">
        <f>INDEX(DurClassMapping,MATCH(M3249,MappingTables!$D$4:$D$8,-1),1)</f>
        <v>1</v>
      </c>
      <c r="P3249" s="73">
        <f>IF(M3249=$A$1,1,$M3249-INDEX(MappingTables!$E$4:$E$8,MATCH(O3249,MappingTables!$B$4:$B$8,0)))</f>
        <v>1.522289091629652</v>
      </c>
      <c r="Q3249" s="71">
        <f>IF(B3249="",0,INDEX(ModelParameters!$D$6:$K$10,MATCH($O3249,ModelParameters!$B$6:$B$10,0),MATCH($J3249,ModelParameters!$D$5:$K$5,0)))</f>
        <v>0.011000000000000002</v>
      </c>
      <c r="R3249" s="71">
        <f>IF(B3249="",0,INDEX(ModelParameters!$D$13:$K$17,MATCH($O3249,ModelParameters!$B$13:$B$17,0),MATCH($J3249,ModelParameters!$D$5:$K$5,0)))</f>
        <v>0</v>
      </c>
      <c r="S3249" s="160">
        <f>IF(B3249="",0,MIN(IF($N3249="Other Bond TM",ModelParameters!$N$21,1)*(P3249*Q3249+R3249),1))</f>
        <v>0.016745180007926176</v>
      </c>
      <c r="T3249" s="85">
        <f>IF(B3249="",0,$S3249*$K3249)</f>
        <v>5.4721303569925832</v>
      </c>
      <c r="U3249" s="85">
        <f>IF(B3249="",0,IF(OR(H3249=MappingTables!$C$34,H3249=MappingTables!$C$35),T3249,0))</f>
        <v>0</v>
      </c>
      <c r="V3249" s="85">
        <f>IF(ISNA(IF(AND(VLOOKUP(CONCATENATE($D3249,$G3249),CSRFinput!$B:$E,4,0)=0,OR(H3249=MappingTables!$C$34,H3249=MappingTables!$C$35)),1,VLOOKUP(CONCATENATE($D3249,$G3249),CSRFinput!$B:$E,4,0))),0,IF(AND(VLOOKUP(CONCATENATE($D3249,$G3249),CSRFinput!$B:$E,4,0)=0,OR(H3249=MappingTables!$C$34,H3249=MappingTables!$C$35)),1,VLOOKUP(CONCATENATE($D3249,$G3249),CSRFinput!$B:$E,4,0)))</f>
        <v>0.054776304963434752</v>
      </c>
      <c r="W3249" s="85">
        <f>IF(B3249="",0,+$T3249*$V3249)</f>
        <v>0.29974308123429484</v>
      </c>
      <c r="X3249" s="85">
        <f>IF(B3249="",0,IF(OR(H3249=MappingTables!$C$34,H3249=MappingTables!$C$35),W3249,0))</f>
        <v>0</v>
      </c>
    </row>
    <row r="3250" spans="2:24" s="0" customFormat="0" ht="15">
      <c r="B3250" s="69" t="s">
        <v>1000</v>
      </c>
      <c r="C3250" s="70" t="s">
        <v>1001</v>
      </c>
      <c r="D3250" s="70" t="s">
        <v>1</v>
      </c>
      <c r="E3250" s="70" t="s">
        <v>1</v>
      </c>
      <c r="F3250" s="70"/>
      <c r="G3250" s="70" t="s">
        <v>61</v>
      </c>
      <c r="H3250" s="70" t="s">
        <v>178</v>
      </c>
      <c r="I3250" s="70" t="s">
        <v>188</v>
      </c>
      <c r="J3250" s="71">
        <f>IF(OR(I3250=0,I3250=""),"unrated",VLOOKUP(I3250,MappingTables!$B$19:$C$31,2,FALSE))</f>
        <v>2</v>
      </c>
      <c r="K3250" s="72">
        <v>4283.8676558608664</v>
      </c>
      <c r="L3250" s="70">
        <v>8.5473243785668752</v>
      </c>
      <c r="M3250" s="71">
        <f>IF(L3250&lt;1,1,L3250)</f>
        <v>8.5473243785668752</v>
      </c>
      <c r="N3250" s="70" t="s">
        <v>141</v>
      </c>
      <c r="O3250" s="71">
        <f>INDEX(DurClassMapping,MATCH(M3250,MappingTables!$D$4:$D$8,-1),1)</f>
        <v>2</v>
      </c>
      <c r="P3250" s="73">
        <f>IF(M3250=$A$1,1,$M3250-INDEX(MappingTables!$E$4:$E$8,MATCH(O3250,MappingTables!$B$4:$B$8,0)))</f>
        <v>3.5473243785668752</v>
      </c>
      <c r="Q3250" s="71">
        <f>IF(B3250="",0,INDEX(ModelParameters!$D$6:$K$10,MATCH($O3250,ModelParameters!$B$6:$B$10,0),MATCH($J3250,ModelParameters!$D$5:$K$5,0)))</f>
        <v>0.0069999999999999992</v>
      </c>
      <c r="R3250" s="71">
        <f>IF(B3250="",0,INDEX(ModelParameters!$D$13:$K$17,MATCH($O3250,ModelParameters!$B$13:$B$17,0),MATCH($J3250,ModelParameters!$D$5:$K$5,0)))</f>
        <v>0.070000000000000008</v>
      </c>
      <c r="S3250" s="160">
        <f>IF(B3250="",0,MIN(IF($N3250="Other Bond TM",ModelParameters!$N$21,1)*(P3250*Q3250+R3250),1))</f>
        <v>0.094831270649968128</v>
      </c>
      <c r="T3250" s="85">
        <f>IF(B3250="",0,$S3250*$K3250)</f>
        <v>406.2446131015864</v>
      </c>
      <c r="U3250" s="85">
        <f>IF(B3250="",0,IF(OR(H3250=MappingTables!$C$34,H3250=MappingTables!$C$35),T3250,0))</f>
        <v>0</v>
      </c>
      <c r="V3250" s="85">
        <f>IF(ISNA(IF(AND(VLOOKUP(CONCATENATE($D3250,$G3250),CSRFinput!$B:$E,4,0)=0,OR(H3250=MappingTables!$C$34,H3250=MappingTables!$C$35)),1,VLOOKUP(CONCATENATE($D3250,$G3250),CSRFinput!$B:$E,4,0))),0,IF(AND(VLOOKUP(CONCATENATE($D3250,$G3250),CSRFinput!$B:$E,4,0)=0,OR(H3250=MappingTables!$C$34,H3250=MappingTables!$C$35)),1,VLOOKUP(CONCATENATE($D3250,$G3250),CSRFinput!$B:$E,4,0)))</f>
        <v>0.054776304963434752</v>
      </c>
      <c r="W3250" s="85">
        <f>IF(B3250="",0,+$T3250*$V3250)</f>
        <v>22.252578817005056</v>
      </c>
      <c r="X3250" s="85">
        <f>IF(B3250="",0,IF(OR(H3250=MappingTables!$C$34,H3250=MappingTables!$C$35),W3250,0))</f>
        <v>0</v>
      </c>
    </row>
    <row r="3251" spans="2:24" s="0" customFormat="0" ht="15">
      <c r="B3251" s="69">
        <v>17055915</v>
      </c>
      <c r="C3251" s="70" t="s">
        <v>2177</v>
      </c>
      <c r="D3251" s="70" t="s">
        <v>1</v>
      </c>
      <c r="E3251" s="70" t="s">
        <v>1</v>
      </c>
      <c r="F3251" s="70"/>
      <c r="G3251" s="70" t="s">
        <v>61</v>
      </c>
      <c r="H3251" s="70" t="s">
        <v>178</v>
      </c>
      <c r="I3251" s="70" t="s">
        <v>188</v>
      </c>
      <c r="J3251" s="71">
        <f>IF(OR(I3251=0,I3251=""),"unrated",VLOOKUP(I3251,MappingTables!$B$19:$C$31,2,FALSE))</f>
        <v>2</v>
      </c>
      <c r="K3251" s="72">
        <v>2257.3815534389456</v>
      </c>
      <c r="L3251" s="70">
        <v>0.39662160793709696</v>
      </c>
      <c r="M3251" s="71">
        <f>IF(L3251&lt;1,1,L3251)</f>
        <v>1</v>
      </c>
      <c r="N3251" s="70" t="s">
        <v>141</v>
      </c>
      <c r="O3251" s="71">
        <f>INDEX(DurClassMapping,MATCH(M3251,MappingTables!$D$4:$D$8,-1),1)</f>
        <v>1</v>
      </c>
      <c r="P3251" s="73">
        <f>IF(M3251=$A$1,1,$M3251-INDEX(MappingTables!$E$4:$E$8,MATCH(O3251,MappingTables!$B$4:$B$8,0)))</f>
        <v>1</v>
      </c>
      <c r="Q3251" s="71">
        <f>IF(B3251="",0,INDEX(ModelParameters!$D$6:$K$10,MATCH($O3251,ModelParameters!$B$6:$B$10,0),MATCH($J3251,ModelParameters!$D$5:$K$5,0)))</f>
        <v>0.013999999999999998</v>
      </c>
      <c r="R3251" s="71">
        <f>IF(B3251="",0,INDEX(ModelParameters!$D$13:$K$17,MATCH($O3251,ModelParameters!$B$13:$B$17,0),MATCH($J3251,ModelParameters!$D$5:$K$5,0)))</f>
        <v>0</v>
      </c>
      <c r="S3251" s="160">
        <f>IF(B3251="",0,MIN(IF($N3251="Other Bond TM",ModelParameters!$N$21,1)*(P3251*Q3251+R3251),1))</f>
        <v>0.013999999999999998</v>
      </c>
      <c r="T3251" s="85">
        <f>IF(B3251="",0,$S3251*$K3251)</f>
        <v>31.603341748145232</v>
      </c>
      <c r="U3251" s="85">
        <f>IF(B3251="",0,IF(OR(H3251=MappingTables!$C$34,H3251=MappingTables!$C$35),T3251,0))</f>
        <v>0</v>
      </c>
      <c r="V3251" s="85">
        <f>IF(ISNA(IF(AND(VLOOKUP(CONCATENATE($D3251,$G3251),CSRFinput!$B:$E,4,0)=0,OR(H3251=MappingTables!$C$34,H3251=MappingTables!$C$35)),1,VLOOKUP(CONCATENATE($D3251,$G3251),CSRFinput!$B:$E,4,0))),0,IF(AND(VLOOKUP(CONCATENATE($D3251,$G3251),CSRFinput!$B:$E,4,0)=0,OR(H3251=MappingTables!$C$34,H3251=MappingTables!$C$35)),1,VLOOKUP(CONCATENATE($D3251,$G3251),CSRFinput!$B:$E,4,0)))</f>
        <v>0.054776304963434752</v>
      </c>
      <c r="W3251" s="85">
        <f>IF(B3251="",0,+$T3251*$V3251)</f>
        <v>1.7311142854600526</v>
      </c>
      <c r="X3251" s="85">
        <f>IF(B3251="",0,IF(OR(H3251=MappingTables!$C$34,H3251=MappingTables!$C$35),W3251,0))</f>
        <v>0</v>
      </c>
    </row>
    <row r="3252" spans="2:24" s="0" customFormat="0" ht="15">
      <c r="B3252" s="69" t="s">
        <v>2506</v>
      </c>
      <c r="C3252" s="70" t="s">
        <v>2507</v>
      </c>
      <c r="D3252" s="70" t="s">
        <v>1</v>
      </c>
      <c r="E3252" s="70" t="s">
        <v>1</v>
      </c>
      <c r="F3252" s="70"/>
      <c r="G3252" s="70" t="s">
        <v>61</v>
      </c>
      <c r="H3252" s="70" t="s">
        <v>178</v>
      </c>
      <c r="I3252" s="70" t="s">
        <v>179</v>
      </c>
      <c r="J3252" s="71">
        <f>IF(OR(I3252=0,I3252=""),"unrated",VLOOKUP(I3252,MappingTables!$B$19:$C$31,2,FALSE))</f>
        <v>4</v>
      </c>
      <c r="K3252" s="72">
        <v>546.77209420642176</v>
      </c>
      <c r="L3252" s="70">
        <v>14.367580172038758</v>
      </c>
      <c r="M3252" s="71">
        <f>IF(L3252&lt;1,1,L3252)</f>
        <v>14.367580172038758</v>
      </c>
      <c r="N3252" s="70" t="s">
        <v>141</v>
      </c>
      <c r="O3252" s="71">
        <f>INDEX(DurClassMapping,MATCH(M3252,MappingTables!$D$4:$D$8,-1),1)</f>
        <v>3</v>
      </c>
      <c r="P3252" s="73">
        <f>IF(M3252=$A$1,1,$M3252-INDEX(MappingTables!$E$4:$E$8,MATCH(O3252,MappingTables!$B$4:$B$8,0)))</f>
        <v>4.3675801720387584</v>
      </c>
      <c r="Q3252" s="71">
        <f>IF(B3252="",0,INDEX(ModelParameters!$D$6:$K$10,MATCH($O3252,ModelParameters!$B$6:$B$10,0),MATCH($J3252,ModelParameters!$D$5:$K$5,0)))</f>
        <v>0.018000000000000002</v>
      </c>
      <c r="R3252" s="71">
        <f>IF(B3252="",0,INDEX(ModelParameters!$D$13:$K$17,MATCH($O3252,ModelParameters!$B$13:$B$17,0),MATCH($J3252,ModelParameters!$D$5:$K$5,0)))</f>
        <v>0.34999999999999996</v>
      </c>
      <c r="S3252" s="160">
        <f>IF(B3252="",0,MIN(IF($N3252="Other Bond TM",ModelParameters!$N$21,1)*(P3252*Q3252+R3252),1))</f>
        <v>0.42861644309669768</v>
      </c>
      <c r="T3252" s="85">
        <f>IF(B3252="",0,$S3252*$K3252)</f>
        <v>234.355510203289</v>
      </c>
      <c r="U3252" s="85">
        <f>IF(B3252="",0,IF(OR(H3252=MappingTables!$C$34,H3252=MappingTables!$C$35),T3252,0))</f>
        <v>0</v>
      </c>
      <c r="V3252" s="85">
        <f>IF(ISNA(IF(AND(VLOOKUP(CONCATENATE($D3252,$G3252),CSRFinput!$B:$E,4,0)=0,OR(H3252=MappingTables!$C$34,H3252=MappingTables!$C$35)),1,VLOOKUP(CONCATENATE($D3252,$G3252),CSRFinput!$B:$E,4,0))),0,IF(AND(VLOOKUP(CONCATENATE($D3252,$G3252),CSRFinput!$B:$E,4,0)=0,OR(H3252=MappingTables!$C$34,H3252=MappingTables!$C$35)),1,VLOOKUP(CONCATENATE($D3252,$G3252),CSRFinput!$B:$E,4,0)))</f>
        <v>0.054776304963434752</v>
      </c>
      <c r="W3252" s="85">
        <f>IF(B3252="",0,+$T3252*$V3252)</f>
        <v>12.837128896756704</v>
      </c>
      <c r="X3252" s="85">
        <f>IF(B3252="",0,IF(OR(H3252=MappingTables!$C$34,H3252=MappingTables!$C$35),W3252,0))</f>
        <v>0</v>
      </c>
    </row>
    <row r="3253" spans="2:24" s="0" customFormat="0" ht="15">
      <c r="B3253" s="69">
        <v>22723302</v>
      </c>
      <c r="C3253" s="70" t="s">
        <v>2410</v>
      </c>
      <c r="D3253" s="70" t="s">
        <v>1</v>
      </c>
      <c r="E3253" s="70" t="s">
        <v>1</v>
      </c>
      <c r="F3253" s="70"/>
      <c r="G3253" s="70" t="s">
        <v>61</v>
      </c>
      <c r="H3253" s="70" t="s">
        <v>178</v>
      </c>
      <c r="I3253" s="70" t="s">
        <v>188</v>
      </c>
      <c r="J3253" s="71">
        <f>IF(OR(I3253=0,I3253=""),"unrated",VLOOKUP(I3253,MappingTables!$B$19:$C$31,2,FALSE))</f>
        <v>2</v>
      </c>
      <c r="K3253" s="72">
        <v>348.68775563045288</v>
      </c>
      <c r="L3253" s="70">
        <v>4.1535986528675528</v>
      </c>
      <c r="M3253" s="71">
        <f>IF(L3253&lt;1,1,L3253)</f>
        <v>4.1535986528675528</v>
      </c>
      <c r="N3253" s="70" t="s">
        <v>141</v>
      </c>
      <c r="O3253" s="71">
        <f>INDEX(DurClassMapping,MATCH(M3253,MappingTables!$D$4:$D$8,-1),1)</f>
        <v>1</v>
      </c>
      <c r="P3253" s="73">
        <f>IF(M3253=$A$1,1,$M3253-INDEX(MappingTables!$E$4:$E$8,MATCH(O3253,MappingTables!$B$4:$B$8,0)))</f>
        <v>4.1535986528675528</v>
      </c>
      <c r="Q3253" s="71">
        <f>IF(B3253="",0,INDEX(ModelParameters!$D$6:$K$10,MATCH($O3253,ModelParameters!$B$6:$B$10,0),MATCH($J3253,ModelParameters!$D$5:$K$5,0)))</f>
        <v>0.013999999999999998</v>
      </c>
      <c r="R3253" s="71">
        <f>IF(B3253="",0,INDEX(ModelParameters!$D$13:$K$17,MATCH($O3253,ModelParameters!$B$13:$B$17,0),MATCH($J3253,ModelParameters!$D$5:$K$5,0)))</f>
        <v>0</v>
      </c>
      <c r="S3253" s="160">
        <f>IF(B3253="",0,MIN(IF($N3253="Other Bond TM",ModelParameters!$N$21,1)*(P3253*Q3253+R3253),1))</f>
        <v>0.058150381140145728</v>
      </c>
      <c r="T3253" s="85">
        <f>IF(B3253="",0,$S3253*$K3253)</f>
        <v>20.276325888812832</v>
      </c>
      <c r="U3253" s="85">
        <f>IF(B3253="",0,IF(OR(H3253=MappingTables!$C$34,H3253=MappingTables!$C$35),T3253,0))</f>
        <v>0</v>
      </c>
      <c r="V3253" s="85">
        <f>IF(ISNA(IF(AND(VLOOKUP(CONCATENATE($D3253,$G3253),CSRFinput!$B:$E,4,0)=0,OR(H3253=MappingTables!$C$34,H3253=MappingTables!$C$35)),1,VLOOKUP(CONCATENATE($D3253,$G3253),CSRFinput!$B:$E,4,0))),0,IF(AND(VLOOKUP(CONCATENATE($D3253,$G3253),CSRFinput!$B:$E,4,0)=0,OR(H3253=MappingTables!$C$34,H3253=MappingTables!$C$35)),1,VLOOKUP(CONCATENATE($D3253,$G3253),CSRFinput!$B:$E,4,0)))</f>
        <v>0.054776304963434752</v>
      </c>
      <c r="W3253" s="85">
        <f>IF(B3253="",0,+$T3253*$V3253)</f>
        <v>1.1106622104235988</v>
      </c>
      <c r="X3253" s="85">
        <f>IF(B3253="",0,IF(OR(H3253=MappingTables!$C$34,H3253=MappingTables!$C$35),W3253,0))</f>
        <v>0</v>
      </c>
    </row>
    <row r="3254" spans="2:24" s="0" customFormat="0" ht="15">
      <c r="B3254" s="69">
        <v>11821209</v>
      </c>
      <c r="C3254" s="70" t="s">
        <v>1878</v>
      </c>
      <c r="D3254" s="70" t="s">
        <v>1</v>
      </c>
      <c r="E3254" s="70" t="s">
        <v>1</v>
      </c>
      <c r="F3254" s="70"/>
      <c r="G3254" s="70" t="s">
        <v>61</v>
      </c>
      <c r="H3254" s="70" t="s">
        <v>178</v>
      </c>
      <c r="I3254" s="70" t="s">
        <v>181</v>
      </c>
      <c r="J3254" s="71">
        <f>IF(OR(I3254=0,I3254=""),"unrated",VLOOKUP(I3254,MappingTables!$B$19:$C$31,2,FALSE))</f>
        <v>3</v>
      </c>
      <c r="K3254" s="72">
        <v>3044.5554756894216</v>
      </c>
      <c r="L3254" s="70">
        <v>0.28702845498331636</v>
      </c>
      <c r="M3254" s="71">
        <f>IF(L3254&lt;1,1,L3254)</f>
        <v>1</v>
      </c>
      <c r="N3254" s="70" t="s">
        <v>141</v>
      </c>
      <c r="O3254" s="71">
        <f>INDEX(DurClassMapping,MATCH(M3254,MappingTables!$D$4:$D$8,-1),1)</f>
        <v>1</v>
      </c>
      <c r="P3254" s="73">
        <f>IF(M3254=$A$1,1,$M3254-INDEX(MappingTables!$E$4:$E$8,MATCH(O3254,MappingTables!$B$4:$B$8,0)))</f>
        <v>1</v>
      </c>
      <c r="Q3254" s="71">
        <f>IF(B3254="",0,INDEX(ModelParameters!$D$6:$K$10,MATCH($O3254,ModelParameters!$B$6:$B$10,0),MATCH($J3254,ModelParameters!$D$5:$K$5,0)))</f>
        <v>0.025</v>
      </c>
      <c r="R3254" s="71">
        <f>IF(B3254="",0,INDEX(ModelParameters!$D$13:$K$17,MATCH($O3254,ModelParameters!$B$13:$B$17,0),MATCH($J3254,ModelParameters!$D$5:$K$5,0)))</f>
        <v>0</v>
      </c>
      <c r="S3254" s="160">
        <f>IF(B3254="",0,MIN(IF($N3254="Other Bond TM",ModelParameters!$N$21,1)*(P3254*Q3254+R3254),1))</f>
        <v>0.025</v>
      </c>
      <c r="T3254" s="85">
        <f>IF(B3254="",0,$S3254*$K3254)</f>
        <v>76.113886892235536</v>
      </c>
      <c r="U3254" s="85">
        <f>IF(B3254="",0,IF(OR(H3254=MappingTables!$C$34,H3254=MappingTables!$C$35),T3254,0))</f>
        <v>0</v>
      </c>
      <c r="V3254" s="85">
        <f>IF(ISNA(IF(AND(VLOOKUP(CONCATENATE($D3254,$G3254),CSRFinput!$B:$E,4,0)=0,OR(H3254=MappingTables!$C$34,H3254=MappingTables!$C$35)),1,VLOOKUP(CONCATENATE($D3254,$G3254),CSRFinput!$B:$E,4,0))),0,IF(AND(VLOOKUP(CONCATENATE($D3254,$G3254),CSRFinput!$B:$E,4,0)=0,OR(H3254=MappingTables!$C$34,H3254=MappingTables!$C$35)),1,VLOOKUP(CONCATENATE($D3254,$G3254),CSRFinput!$B:$E,4,0)))</f>
        <v>0.054776304963434752</v>
      </c>
      <c r="W3254" s="85">
        <f>IF(B3254="",0,+$T3254*$V3254)</f>
        <v>4.1692374803614728</v>
      </c>
      <c r="X3254" s="85">
        <f>IF(B3254="",0,IF(OR(H3254=MappingTables!$C$34,H3254=MappingTables!$C$35),W3254,0))</f>
        <v>0</v>
      </c>
    </row>
    <row r="3255" spans="2:24" s="0" customFormat="0" ht="15">
      <c r="B3255" s="69">
        <v>9511665</v>
      </c>
      <c r="C3255" s="70" t="s">
        <v>2783</v>
      </c>
      <c r="D3255" s="70" t="s">
        <v>1</v>
      </c>
      <c r="E3255" s="70" t="s">
        <v>1</v>
      </c>
      <c r="F3255" s="70"/>
      <c r="G3255" s="70" t="s">
        <v>61</v>
      </c>
      <c r="H3255" s="70" t="s">
        <v>178</v>
      </c>
      <c r="I3255" s="70" t="s">
        <v>188</v>
      </c>
      <c r="J3255" s="71">
        <f>IF(OR(I3255=0,I3255=""),"unrated",VLOOKUP(I3255,MappingTables!$B$19:$C$31,2,FALSE))</f>
        <v>2</v>
      </c>
      <c r="K3255" s="72">
        <v>1.2517152941293422</v>
      </c>
      <c r="L3255" s="70">
        <v>1.1119376409548954</v>
      </c>
      <c r="M3255" s="71">
        <f>IF(L3255&lt;1,1,L3255)</f>
        <v>1.1119376409548954</v>
      </c>
      <c r="N3255" s="70" t="s">
        <v>141</v>
      </c>
      <c r="O3255" s="71">
        <f>INDEX(DurClassMapping,MATCH(M3255,MappingTables!$D$4:$D$8,-1),1)</f>
        <v>1</v>
      </c>
      <c r="P3255" s="73">
        <f>IF(M3255=$A$1,1,$M3255-INDEX(MappingTables!$E$4:$E$8,MATCH(O3255,MappingTables!$B$4:$B$8,0)))</f>
        <v>1.1119376409548954</v>
      </c>
      <c r="Q3255" s="71">
        <f>IF(B3255="",0,INDEX(ModelParameters!$D$6:$K$10,MATCH($O3255,ModelParameters!$B$6:$B$10,0),MATCH($J3255,ModelParameters!$D$5:$K$5,0)))</f>
        <v>0.013999999999999998</v>
      </c>
      <c r="R3255" s="71">
        <f>IF(B3255="",0,INDEX(ModelParameters!$D$13:$K$17,MATCH($O3255,ModelParameters!$B$13:$B$17,0),MATCH($J3255,ModelParameters!$D$5:$K$5,0)))</f>
        <v>0</v>
      </c>
      <c r="S3255" s="160">
        <f>IF(B3255="",0,MIN(IF($N3255="Other Bond TM",ModelParameters!$N$21,1)*(P3255*Q3255+R3255),1))</f>
        <v>0.015567126973368534</v>
      </c>
      <c r="T3255" s="85">
        <f>IF(B3255="",0,$S3255*$K3255)</f>
        <v>0.019485610918218812</v>
      </c>
      <c r="U3255" s="85">
        <f>IF(B3255="",0,IF(OR(H3255=MappingTables!$C$34,H3255=MappingTables!$C$35),T3255,0))</f>
        <v>0</v>
      </c>
      <c r="V3255" s="85">
        <f>IF(ISNA(IF(AND(VLOOKUP(CONCATENATE($D3255,$G3255),CSRFinput!$B:$E,4,0)=0,OR(H3255=MappingTables!$C$34,H3255=MappingTables!$C$35)),1,VLOOKUP(CONCATENATE($D3255,$G3255),CSRFinput!$B:$E,4,0))),0,IF(AND(VLOOKUP(CONCATENATE($D3255,$G3255),CSRFinput!$B:$E,4,0)=0,OR(H3255=MappingTables!$C$34,H3255=MappingTables!$C$35)),1,VLOOKUP(CONCATENATE($D3255,$G3255),CSRFinput!$B:$E,4,0)))</f>
        <v>0.054776304963434752</v>
      </c>
      <c r="W3255" s="85">
        <f>IF(B3255="",0,+$T3255*$V3255)</f>
        <v>0.0010673497660551874</v>
      </c>
      <c r="X3255" s="85">
        <f>IF(B3255="",0,IF(OR(H3255=MappingTables!$C$34,H3255=MappingTables!$C$35),W3255,0))</f>
        <v>0</v>
      </c>
    </row>
    <row r="3256" spans="2:24" s="0" customFormat="0" ht="15">
      <c r="B3256" s="69">
        <v>14767410</v>
      </c>
      <c r="C3256" s="70" t="s">
        <v>2784</v>
      </c>
      <c r="D3256" s="70" t="s">
        <v>1</v>
      </c>
      <c r="E3256" s="70" t="s">
        <v>1</v>
      </c>
      <c r="F3256" s="70"/>
      <c r="G3256" s="70" t="s">
        <v>61</v>
      </c>
      <c r="H3256" s="70" t="s">
        <v>178</v>
      </c>
      <c r="I3256" s="70" t="s">
        <v>220</v>
      </c>
      <c r="J3256" s="71">
        <f>IF(OR(I3256=0,I3256=""),"unrated",VLOOKUP(I3256,MappingTables!$B$19:$C$31,2,FALSE))</f>
        <v>1</v>
      </c>
      <c r="K3256" s="72">
        <v>690.24565977008856</v>
      </c>
      <c r="L3256" s="70">
        <v>1.6570146893901788</v>
      </c>
      <c r="M3256" s="71">
        <f>IF(L3256&lt;1,1,L3256)</f>
        <v>1.6570146893901788</v>
      </c>
      <c r="N3256" s="70" t="s">
        <v>141</v>
      </c>
      <c r="O3256" s="71">
        <f>INDEX(DurClassMapping,MATCH(M3256,MappingTables!$D$4:$D$8,-1),1)</f>
        <v>1</v>
      </c>
      <c r="P3256" s="73">
        <f>IF(M3256=$A$1,1,$M3256-INDEX(MappingTables!$E$4:$E$8,MATCH(O3256,MappingTables!$B$4:$B$8,0)))</f>
        <v>1.6570146893901788</v>
      </c>
      <c r="Q3256" s="71">
        <f>IF(B3256="",0,INDEX(ModelParameters!$D$6:$K$10,MATCH($O3256,ModelParameters!$B$6:$B$10,0),MATCH($J3256,ModelParameters!$D$5:$K$5,0)))</f>
        <v>0.011000000000000002</v>
      </c>
      <c r="R3256" s="71">
        <f>IF(B3256="",0,INDEX(ModelParameters!$D$13:$K$17,MATCH($O3256,ModelParameters!$B$13:$B$17,0),MATCH($J3256,ModelParameters!$D$5:$K$5,0)))</f>
        <v>0</v>
      </c>
      <c r="S3256" s="160">
        <f>IF(B3256="",0,MIN(IF($N3256="Other Bond TM",ModelParameters!$N$21,1)*(P3256*Q3256+R3256),1))</f>
        <v>0.018227161583291968</v>
      </c>
      <c r="T3256" s="85">
        <f>IF(B3256="",0,$S3256*$K3256)</f>
        <v>12.581219172795378</v>
      </c>
      <c r="U3256" s="85">
        <f>IF(B3256="",0,IF(OR(H3256=MappingTables!$C$34,H3256=MappingTables!$C$35),T3256,0))</f>
        <v>0</v>
      </c>
      <c r="V3256" s="85">
        <f>IF(ISNA(IF(AND(VLOOKUP(CONCATENATE($D3256,$G3256),CSRFinput!$B:$E,4,0)=0,OR(H3256=MappingTables!$C$34,H3256=MappingTables!$C$35)),1,VLOOKUP(CONCATENATE($D3256,$G3256),CSRFinput!$B:$E,4,0))),0,IF(AND(VLOOKUP(CONCATENATE($D3256,$G3256),CSRFinput!$B:$E,4,0)=0,OR(H3256=MappingTables!$C$34,H3256=MappingTables!$C$35)),1,VLOOKUP(CONCATENATE($D3256,$G3256),CSRFinput!$B:$E,4,0)))</f>
        <v>0.054776304963434752</v>
      </c>
      <c r="W3256" s="85">
        <f>IF(B3256="",0,+$T3256*$V3256)</f>
        <v>0.68915269822085192</v>
      </c>
      <c r="X3256" s="85">
        <f>IF(B3256="",0,IF(OR(H3256=MappingTables!$C$34,H3256=MappingTables!$C$35),W3256,0))</f>
        <v>0</v>
      </c>
    </row>
    <row r="3257" spans="2:24" s="0" customFormat="0" ht="15">
      <c r="B3257" s="69">
        <v>17147379</v>
      </c>
      <c r="C3257" s="70" t="s">
        <v>2785</v>
      </c>
      <c r="D3257" s="70" t="s">
        <v>1</v>
      </c>
      <c r="E3257" s="70" t="s">
        <v>1</v>
      </c>
      <c r="F3257" s="70"/>
      <c r="G3257" s="70" t="s">
        <v>61</v>
      </c>
      <c r="H3257" s="70" t="s">
        <v>178</v>
      </c>
      <c r="I3257" s="70" t="s">
        <v>181</v>
      </c>
      <c r="J3257" s="71">
        <f>IF(OR(I3257=0,I3257=""),"unrated",VLOOKUP(I3257,MappingTables!$B$19:$C$31,2,FALSE))</f>
        <v>3</v>
      </c>
      <c r="K3257" s="72">
        <v>198.17645934813088</v>
      </c>
      <c r="L3257" s="70">
        <v>6.132012926151024</v>
      </c>
      <c r="M3257" s="71">
        <f>IF(L3257&lt;1,1,L3257)</f>
        <v>6.132012926151024</v>
      </c>
      <c r="N3257" s="70" t="s">
        <v>141</v>
      </c>
      <c r="O3257" s="71">
        <f>INDEX(DurClassMapping,MATCH(M3257,MappingTables!$D$4:$D$8,-1),1)</f>
        <v>2</v>
      </c>
      <c r="P3257" s="73">
        <f>IF(M3257=$A$1,1,$M3257-INDEX(MappingTables!$E$4:$E$8,MATCH(O3257,MappingTables!$B$4:$B$8,0)))</f>
        <v>1.1320129261510238</v>
      </c>
      <c r="Q3257" s="71">
        <f>IF(B3257="",0,INDEX(ModelParameters!$D$6:$K$10,MATCH($O3257,ModelParameters!$B$6:$B$10,0),MATCH($J3257,ModelParameters!$D$5:$K$5,0)))</f>
        <v>0.015</v>
      </c>
      <c r="R3257" s="71">
        <f>IF(B3257="",0,INDEX(ModelParameters!$D$13:$K$17,MATCH($O3257,ModelParameters!$B$13:$B$17,0),MATCH($J3257,ModelParameters!$D$5:$K$5,0)))</f>
        <v>0.125</v>
      </c>
      <c r="S3257" s="160">
        <f>IF(B3257="",0,MIN(IF($N3257="Other Bond TM",ModelParameters!$N$21,1)*(P3257*Q3257+R3257),1))</f>
        <v>0.14198019389226534</v>
      </c>
      <c r="T3257" s="85">
        <f>IF(B3257="",0,$S3257*$K3257)</f>
        <v>28.13713212313026</v>
      </c>
      <c r="U3257" s="85">
        <f>IF(B3257="",0,IF(OR(H3257=MappingTables!$C$34,H3257=MappingTables!$C$35),T3257,0))</f>
        <v>0</v>
      </c>
      <c r="V3257" s="85">
        <f>IF(ISNA(IF(AND(VLOOKUP(CONCATENATE($D3257,$G3257),CSRFinput!$B:$E,4,0)=0,OR(H3257=MappingTables!$C$34,H3257=MappingTables!$C$35)),1,VLOOKUP(CONCATENATE($D3257,$G3257),CSRFinput!$B:$E,4,0))),0,IF(AND(VLOOKUP(CONCATENATE($D3257,$G3257),CSRFinput!$B:$E,4,0)=0,OR(H3257=MappingTables!$C$34,H3257=MappingTables!$C$35)),1,VLOOKUP(CONCATENATE($D3257,$G3257),CSRFinput!$B:$E,4,0)))</f>
        <v>0.054776304963434752</v>
      </c>
      <c r="W3257" s="85">
        <f>IF(B3257="",0,+$T3257*$V3257)</f>
        <v>1.5412481299730396</v>
      </c>
      <c r="X3257" s="85">
        <f>IF(B3257="",0,IF(OR(H3257=MappingTables!$C$34,H3257=MappingTables!$C$35),W3257,0))</f>
        <v>0</v>
      </c>
    </row>
    <row r="3258" spans="2:24" s="0" customFormat="0" ht="15">
      <c r="B3258" s="69">
        <v>203287</v>
      </c>
      <c r="C3258" s="70" t="s">
        <v>2032</v>
      </c>
      <c r="D3258" s="70" t="s">
        <v>1</v>
      </c>
      <c r="E3258" s="70" t="s">
        <v>1</v>
      </c>
      <c r="F3258" s="70"/>
      <c r="G3258" s="70" t="s">
        <v>61</v>
      </c>
      <c r="H3258" s="70" t="s">
        <v>178</v>
      </c>
      <c r="I3258" s="70" t="s">
        <v>181</v>
      </c>
      <c r="J3258" s="71">
        <f>IF(OR(I3258=0,I3258=""),"unrated",VLOOKUP(I3258,MappingTables!$B$19:$C$31,2,FALSE))</f>
        <v>3</v>
      </c>
      <c r="K3258" s="72">
        <v>18275.88830228564</v>
      </c>
      <c r="L3258" s="70">
        <v>3.1168052516605008</v>
      </c>
      <c r="M3258" s="71">
        <f>IF(L3258&lt;1,1,L3258)</f>
        <v>3.1168052516605008</v>
      </c>
      <c r="N3258" s="70" t="s">
        <v>141</v>
      </c>
      <c r="O3258" s="71">
        <f>INDEX(DurClassMapping,MATCH(M3258,MappingTables!$D$4:$D$8,-1),1)</f>
        <v>1</v>
      </c>
      <c r="P3258" s="73">
        <f>IF(M3258=$A$1,1,$M3258-INDEX(MappingTables!$E$4:$E$8,MATCH(O3258,MappingTables!$B$4:$B$8,0)))</f>
        <v>3.1168052516605008</v>
      </c>
      <c r="Q3258" s="71">
        <f>IF(B3258="",0,INDEX(ModelParameters!$D$6:$K$10,MATCH($O3258,ModelParameters!$B$6:$B$10,0),MATCH($J3258,ModelParameters!$D$5:$K$5,0)))</f>
        <v>0.025</v>
      </c>
      <c r="R3258" s="71">
        <f>IF(B3258="",0,INDEX(ModelParameters!$D$13:$K$17,MATCH($O3258,ModelParameters!$B$13:$B$17,0),MATCH($J3258,ModelParameters!$D$5:$K$5,0)))</f>
        <v>0</v>
      </c>
      <c r="S3258" s="160">
        <f>IF(B3258="",0,MIN(IF($N3258="Other Bond TM",ModelParameters!$N$21,1)*(P3258*Q3258+R3258),1))</f>
        <v>0.077920131291512528</v>
      </c>
      <c r="T3258" s="85">
        <f>IF(B3258="",0,$S3258*$K3258)</f>
        <v>1424.059615983115</v>
      </c>
      <c r="U3258" s="85">
        <f>IF(B3258="",0,IF(OR(H3258=MappingTables!$C$34,H3258=MappingTables!$C$35),T3258,0))</f>
        <v>0</v>
      </c>
      <c r="V3258" s="85">
        <f>IF(ISNA(IF(AND(VLOOKUP(CONCATENATE($D3258,$G3258),CSRFinput!$B:$E,4,0)=0,OR(H3258=MappingTables!$C$34,H3258=MappingTables!$C$35)),1,VLOOKUP(CONCATENATE($D3258,$G3258),CSRFinput!$B:$E,4,0))),0,IF(AND(VLOOKUP(CONCATENATE($D3258,$G3258),CSRFinput!$B:$E,4,0)=0,OR(H3258=MappingTables!$C$34,H3258=MappingTables!$C$35)),1,VLOOKUP(CONCATENATE($D3258,$G3258),CSRFinput!$B:$E,4,0)))</f>
        <v>0.054776304963434752</v>
      </c>
      <c r="W3258" s="85">
        <f>IF(B3258="",0,+$T3258*$V3258)</f>
        <v>78.004723811202896</v>
      </c>
      <c r="X3258" s="85">
        <f>IF(B3258="",0,IF(OR(H3258=MappingTables!$C$34,H3258=MappingTables!$C$35),W3258,0))</f>
        <v>0</v>
      </c>
    </row>
    <row r="3259" spans="2:24" s="0" customFormat="0" ht="15">
      <c r="B3259" s="69">
        <v>20892696</v>
      </c>
      <c r="C3259" s="70" t="s">
        <v>838</v>
      </c>
      <c r="D3259" s="70" t="s">
        <v>1</v>
      </c>
      <c r="E3259" s="70" t="s">
        <v>1</v>
      </c>
      <c r="F3259" s="70"/>
      <c r="G3259" s="70" t="s">
        <v>61</v>
      </c>
      <c r="H3259" s="70" t="s">
        <v>178</v>
      </c>
      <c r="I3259" s="70" t="s">
        <v>188</v>
      </c>
      <c r="J3259" s="71">
        <f>IF(OR(I3259=0,I3259=""),"unrated",VLOOKUP(I3259,MappingTables!$B$19:$C$31,2,FALSE))</f>
        <v>2</v>
      </c>
      <c r="K3259" s="72">
        <v>1568177.0324707032</v>
      </c>
      <c r="L3259" s="70">
        <v>6.455771535159608</v>
      </c>
      <c r="M3259" s="71">
        <f>IF(L3259&lt;1,1,L3259)</f>
        <v>6.455771535159608</v>
      </c>
      <c r="N3259" s="70" t="s">
        <v>141</v>
      </c>
      <c r="O3259" s="71">
        <f>INDEX(DurClassMapping,MATCH(M3259,MappingTables!$D$4:$D$8,-1),1)</f>
        <v>2</v>
      </c>
      <c r="P3259" s="73">
        <f>IF(M3259=$A$1,1,$M3259-INDEX(MappingTables!$E$4:$E$8,MATCH(O3259,MappingTables!$B$4:$B$8,0)))</f>
        <v>1.4557715351596076</v>
      </c>
      <c r="Q3259" s="71">
        <f>IF(B3259="",0,INDEX(ModelParameters!$D$6:$K$10,MATCH($O3259,ModelParameters!$B$6:$B$10,0),MATCH($J3259,ModelParameters!$D$5:$K$5,0)))</f>
        <v>0.0069999999999999992</v>
      </c>
      <c r="R3259" s="71">
        <f>IF(B3259="",0,INDEX(ModelParameters!$D$13:$K$17,MATCH($O3259,ModelParameters!$B$13:$B$17,0),MATCH($J3259,ModelParameters!$D$5:$K$5,0)))</f>
        <v>0.070000000000000008</v>
      </c>
      <c r="S3259" s="160">
        <f>IF(B3259="",0,MIN(IF($N3259="Other Bond TM",ModelParameters!$N$21,1)*(P3259*Q3259+R3259),1))</f>
        <v>0.080190400746117264</v>
      </c>
      <c r="T3259" s="85">
        <f>IF(B3259="",0,$S3259*$K3259)</f>
        <v>125752.74467468262</v>
      </c>
      <c r="U3259" s="85">
        <f>IF(B3259="",0,IF(OR(H3259=MappingTables!$C$34,H3259=MappingTables!$C$35),T3259,0))</f>
        <v>0</v>
      </c>
      <c r="V3259" s="85">
        <f>IF(ISNA(IF(AND(VLOOKUP(CONCATENATE($D3259,$G3259),CSRFinput!$B:$E,4,0)=0,OR(H3259=MappingTables!$C$34,H3259=MappingTables!$C$35)),1,VLOOKUP(CONCATENATE($D3259,$G3259),CSRFinput!$B:$E,4,0))),0,IF(AND(VLOOKUP(CONCATENATE($D3259,$G3259),CSRFinput!$B:$E,4,0)=0,OR(H3259=MappingTables!$C$34,H3259=MappingTables!$C$35)),1,VLOOKUP(CONCATENATE($D3259,$G3259),CSRFinput!$B:$E,4,0)))</f>
        <v>0.054776304963434752</v>
      </c>
      <c r="W3259" s="85">
        <f>IF(B3259="",0,+$T3259*$V3259)</f>
        <v>6888.27069228936</v>
      </c>
      <c r="X3259" s="85">
        <f>IF(B3259="",0,IF(OR(H3259=MappingTables!$C$34,H3259=MappingTables!$C$35),W3259,0))</f>
        <v>0</v>
      </c>
    </row>
    <row r="3260" spans="2:24" s="0" customFormat="0" ht="15">
      <c r="B3260" s="69">
        <v>16080840</v>
      </c>
      <c r="C3260" s="70" t="s">
        <v>2216</v>
      </c>
      <c r="D3260" s="70" t="s">
        <v>1</v>
      </c>
      <c r="E3260" s="70" t="s">
        <v>1</v>
      </c>
      <c r="F3260" s="70"/>
      <c r="G3260" s="70" t="s">
        <v>61</v>
      </c>
      <c r="H3260" s="70" t="s">
        <v>178</v>
      </c>
      <c r="I3260" s="70" t="s">
        <v>181</v>
      </c>
      <c r="J3260" s="71">
        <f>IF(OR(I3260=0,I3260=""),"unrated",VLOOKUP(I3260,MappingTables!$B$19:$C$31,2,FALSE))</f>
        <v>3</v>
      </c>
      <c r="K3260" s="72">
        <v>5223.995675022772</v>
      </c>
      <c r="L3260" s="70">
        <v>0.29041101298014784</v>
      </c>
      <c r="M3260" s="71">
        <f>IF(L3260&lt;1,1,L3260)</f>
        <v>1</v>
      </c>
      <c r="N3260" s="70" t="s">
        <v>141</v>
      </c>
      <c r="O3260" s="71">
        <f>INDEX(DurClassMapping,MATCH(M3260,MappingTables!$D$4:$D$8,-1),1)</f>
        <v>1</v>
      </c>
      <c r="P3260" s="73">
        <f>IF(M3260=$A$1,1,$M3260-INDEX(MappingTables!$E$4:$E$8,MATCH(O3260,MappingTables!$B$4:$B$8,0)))</f>
        <v>1</v>
      </c>
      <c r="Q3260" s="71">
        <f>IF(B3260="",0,INDEX(ModelParameters!$D$6:$K$10,MATCH($O3260,ModelParameters!$B$6:$B$10,0),MATCH($J3260,ModelParameters!$D$5:$K$5,0)))</f>
        <v>0.025</v>
      </c>
      <c r="R3260" s="71">
        <f>IF(B3260="",0,INDEX(ModelParameters!$D$13:$K$17,MATCH($O3260,ModelParameters!$B$13:$B$17,0),MATCH($J3260,ModelParameters!$D$5:$K$5,0)))</f>
        <v>0</v>
      </c>
      <c r="S3260" s="160">
        <f>IF(B3260="",0,MIN(IF($N3260="Other Bond TM",ModelParameters!$N$21,1)*(P3260*Q3260+R3260),1))</f>
        <v>0.025</v>
      </c>
      <c r="T3260" s="85">
        <f>IF(B3260="",0,$S3260*$K3260)</f>
        <v>130.59989187556932</v>
      </c>
      <c r="U3260" s="85">
        <f>IF(B3260="",0,IF(OR(H3260=MappingTables!$C$34,H3260=MappingTables!$C$35),T3260,0))</f>
        <v>0</v>
      </c>
      <c r="V3260" s="85">
        <f>IF(ISNA(IF(AND(VLOOKUP(CONCATENATE($D3260,$G3260),CSRFinput!$B:$E,4,0)=0,OR(H3260=MappingTables!$C$34,H3260=MappingTables!$C$35)),1,VLOOKUP(CONCATENATE($D3260,$G3260),CSRFinput!$B:$E,4,0))),0,IF(AND(VLOOKUP(CONCATENATE($D3260,$G3260),CSRFinput!$B:$E,4,0)=0,OR(H3260=MappingTables!$C$34,H3260=MappingTables!$C$35)),1,VLOOKUP(CONCATENATE($D3260,$G3260),CSRFinput!$B:$E,4,0)))</f>
        <v>0.054776304963434752</v>
      </c>
      <c r="W3260" s="85">
        <f>IF(B3260="",0,+$T3260*$V3260)</f>
        <v>7.1537795055677896</v>
      </c>
      <c r="X3260" s="85">
        <f>IF(B3260="",0,IF(OR(H3260=MappingTables!$C$34,H3260=MappingTables!$C$35),W3260,0))</f>
        <v>0</v>
      </c>
    </row>
    <row r="3261" spans="2:24" s="0" customFormat="0" ht="15">
      <c r="B3261" s="69" t="s">
        <v>2697</v>
      </c>
      <c r="C3261" s="70" t="s">
        <v>2698</v>
      </c>
      <c r="D3261" s="70" t="s">
        <v>1</v>
      </c>
      <c r="E3261" s="70" t="s">
        <v>1</v>
      </c>
      <c r="F3261" s="70"/>
      <c r="G3261" s="70" t="s">
        <v>61</v>
      </c>
      <c r="H3261" s="70" t="s">
        <v>178</v>
      </c>
      <c r="I3261" s="70" t="s">
        <v>198</v>
      </c>
      <c r="J3261" s="71" t="str">
        <f>IF(OR(I3261=0,I3261=""),"unrated",VLOOKUP(I3261,MappingTables!$B$19:$C$31,2,FALSE))</f>
        <v>unrated</v>
      </c>
      <c r="K3261" s="72">
        <v>40.0601143029296</v>
      </c>
      <c r="L3261" s="70">
        <v>0.087671319258825536</v>
      </c>
      <c r="M3261" s="71">
        <f>IF(L3261&lt;1,1,L3261)</f>
        <v>1</v>
      </c>
      <c r="N3261" s="70" t="s">
        <v>141</v>
      </c>
      <c r="O3261" s="71">
        <f>INDEX(DurClassMapping,MATCH(M3261,MappingTables!$D$4:$D$8,-1),1)</f>
        <v>1</v>
      </c>
      <c r="P3261" s="73">
        <f>IF(M3261=$A$1,1,$M3261-INDEX(MappingTables!$E$4:$E$8,MATCH(O3261,MappingTables!$B$4:$B$8,0)))</f>
        <v>1</v>
      </c>
      <c r="Q3261" s="71">
        <f>IF(B3261="",0,INDEX(ModelParameters!$D$6:$K$10,MATCH($O3261,ModelParameters!$B$6:$B$10,0),MATCH($J3261,ModelParameters!$D$5:$K$5,0)))</f>
        <v>0.03</v>
      </c>
      <c r="R3261" s="71">
        <f>IF(B3261="",0,INDEX(ModelParameters!$D$13:$K$17,MATCH($O3261,ModelParameters!$B$13:$B$17,0),MATCH($J3261,ModelParameters!$D$5:$K$5,0)))</f>
        <v>0</v>
      </c>
      <c r="S3261" s="160">
        <f>IF(B3261="",0,MIN(IF($N3261="Other Bond TM",ModelParameters!$N$21,1)*(P3261*Q3261+R3261),1))</f>
        <v>0.03</v>
      </c>
      <c r="T3261" s="85">
        <f>IF(B3261="",0,$S3261*$K3261)</f>
        <v>1.2018034290878878</v>
      </c>
      <c r="U3261" s="85">
        <f>IF(B3261="",0,IF(OR(H3261=MappingTables!$C$34,H3261=MappingTables!$C$35),T3261,0))</f>
        <v>0</v>
      </c>
      <c r="V3261" s="85">
        <f>IF(ISNA(IF(AND(VLOOKUP(CONCATENATE($D3261,$G3261),CSRFinput!$B:$E,4,0)=0,OR(H3261=MappingTables!$C$34,H3261=MappingTables!$C$35)),1,VLOOKUP(CONCATENATE($D3261,$G3261),CSRFinput!$B:$E,4,0))),0,IF(AND(VLOOKUP(CONCATENATE($D3261,$G3261),CSRFinput!$B:$E,4,0)=0,OR(H3261=MappingTables!$C$34,H3261=MappingTables!$C$35)),1,VLOOKUP(CONCATENATE($D3261,$G3261),CSRFinput!$B:$E,4,0)))</f>
        <v>0.054776304963434752</v>
      </c>
      <c r="W3261" s="85">
        <f>IF(B3261="",0,+$T3261*$V3261)</f>
        <v>0.065830351137819776</v>
      </c>
      <c r="X3261" s="85">
        <f>IF(B3261="",0,IF(OR(H3261=MappingTables!$C$34,H3261=MappingTables!$C$35),W3261,0))</f>
        <v>0</v>
      </c>
    </row>
    <row r="3262" spans="2:24" s="0" customFormat="0" ht="15">
      <c r="B3262" s="69" t="s">
        <v>389</v>
      </c>
      <c r="C3262" s="70" t="s">
        <v>390</v>
      </c>
      <c r="D3262" s="70" t="s">
        <v>1</v>
      </c>
      <c r="E3262" s="70" t="s">
        <v>1</v>
      </c>
      <c r="F3262" s="70"/>
      <c r="G3262" s="70" t="s">
        <v>61</v>
      </c>
      <c r="H3262" s="70" t="s">
        <v>178</v>
      </c>
      <c r="I3262" s="70" t="s">
        <v>198</v>
      </c>
      <c r="J3262" s="71" t="str">
        <f>IF(OR(I3262=0,I3262=""),"unrated",VLOOKUP(I3262,MappingTables!$B$19:$C$31,2,FALSE))</f>
        <v>unrated</v>
      </c>
      <c r="K3262" s="72">
        <v>903.35581599286112</v>
      </c>
      <c r="L3262" s="70">
        <v>0.79527100563746848</v>
      </c>
      <c r="M3262" s="71">
        <f>IF(L3262&lt;1,1,L3262)</f>
        <v>1</v>
      </c>
      <c r="N3262" s="70" t="s">
        <v>141</v>
      </c>
      <c r="O3262" s="71">
        <f>INDEX(DurClassMapping,MATCH(M3262,MappingTables!$D$4:$D$8,-1),1)</f>
        <v>1</v>
      </c>
      <c r="P3262" s="73">
        <f>IF(M3262=$A$1,1,$M3262-INDEX(MappingTables!$E$4:$E$8,MATCH(O3262,MappingTables!$B$4:$B$8,0)))</f>
        <v>1</v>
      </c>
      <c r="Q3262" s="71">
        <f>IF(B3262="",0,INDEX(ModelParameters!$D$6:$K$10,MATCH($O3262,ModelParameters!$B$6:$B$10,0),MATCH($J3262,ModelParameters!$D$5:$K$5,0)))</f>
        <v>0.03</v>
      </c>
      <c r="R3262" s="71">
        <f>IF(B3262="",0,INDEX(ModelParameters!$D$13:$K$17,MATCH($O3262,ModelParameters!$B$13:$B$17,0),MATCH($J3262,ModelParameters!$D$5:$K$5,0)))</f>
        <v>0</v>
      </c>
      <c r="S3262" s="160">
        <f>IF(B3262="",0,MIN(IF($N3262="Other Bond TM",ModelParameters!$N$21,1)*(P3262*Q3262+R3262),1))</f>
        <v>0.03</v>
      </c>
      <c r="T3262" s="85">
        <f>IF(B3262="",0,$S3262*$K3262)</f>
        <v>27.100674479785832</v>
      </c>
      <c r="U3262" s="85">
        <f>IF(B3262="",0,IF(OR(H3262=MappingTables!$C$34,H3262=MappingTables!$C$35),T3262,0))</f>
        <v>0</v>
      </c>
      <c r="V3262" s="85">
        <f>IF(ISNA(IF(AND(VLOOKUP(CONCATENATE($D3262,$G3262),CSRFinput!$B:$E,4,0)=0,OR(H3262=MappingTables!$C$34,H3262=MappingTables!$C$35)),1,VLOOKUP(CONCATENATE($D3262,$G3262),CSRFinput!$B:$E,4,0))),0,IF(AND(VLOOKUP(CONCATENATE($D3262,$G3262),CSRFinput!$B:$E,4,0)=0,OR(H3262=MappingTables!$C$34,H3262=MappingTables!$C$35)),1,VLOOKUP(CONCATENATE($D3262,$G3262),CSRFinput!$B:$E,4,0)))</f>
        <v>0.054776304963434752</v>
      </c>
      <c r="W3262" s="85">
        <f>IF(B3262="",0,+$T3262*$V3262)</f>
        <v>1.4844748100195224</v>
      </c>
      <c r="X3262" s="85">
        <f>IF(B3262="",0,IF(OR(H3262=MappingTables!$C$34,H3262=MappingTables!$C$35),W3262,0))</f>
        <v>0</v>
      </c>
    </row>
    <row r="3263" spans="2:24" s="0" customFormat="0" ht="15">
      <c r="B3263" s="69" t="s">
        <v>803</v>
      </c>
      <c r="C3263" s="70" t="s">
        <v>804</v>
      </c>
      <c r="D3263" s="70" t="s">
        <v>1</v>
      </c>
      <c r="E3263" s="70" t="s">
        <v>1</v>
      </c>
      <c r="F3263" s="70"/>
      <c r="G3263" s="70" t="s">
        <v>61</v>
      </c>
      <c r="H3263" s="70" t="s">
        <v>178</v>
      </c>
      <c r="I3263" s="70" t="s">
        <v>181</v>
      </c>
      <c r="J3263" s="71">
        <f>IF(OR(I3263=0,I3263=""),"unrated",VLOOKUP(I3263,MappingTables!$B$19:$C$31,2,FALSE))</f>
        <v>3</v>
      </c>
      <c r="K3263" s="72">
        <v>62.712097507217352</v>
      </c>
      <c r="L3263" s="70">
        <v>5.3256001669339968</v>
      </c>
      <c r="M3263" s="71">
        <f>IF(L3263&lt;1,1,L3263)</f>
        <v>5.3256001669339968</v>
      </c>
      <c r="N3263" s="70" t="s">
        <v>141</v>
      </c>
      <c r="O3263" s="71">
        <f>INDEX(DurClassMapping,MATCH(M3263,MappingTables!$D$4:$D$8,-1),1)</f>
        <v>2</v>
      </c>
      <c r="P3263" s="73">
        <f>IF(M3263=$A$1,1,$M3263-INDEX(MappingTables!$E$4:$E$8,MATCH(O3263,MappingTables!$B$4:$B$8,0)))</f>
        <v>0.32560016693399696</v>
      </c>
      <c r="Q3263" s="71">
        <f>IF(B3263="",0,INDEX(ModelParameters!$D$6:$K$10,MATCH($O3263,ModelParameters!$B$6:$B$10,0),MATCH($J3263,ModelParameters!$D$5:$K$5,0)))</f>
        <v>0.015</v>
      </c>
      <c r="R3263" s="71">
        <f>IF(B3263="",0,INDEX(ModelParameters!$D$13:$K$17,MATCH($O3263,ModelParameters!$B$13:$B$17,0),MATCH($J3263,ModelParameters!$D$5:$K$5,0)))</f>
        <v>0.125</v>
      </c>
      <c r="S3263" s="160">
        <f>IF(B3263="",0,MIN(IF($N3263="Other Bond TM",ModelParameters!$N$21,1)*(P3263*Q3263+R3263),1))</f>
        <v>0.12988400250400994</v>
      </c>
      <c r="T3263" s="85">
        <f>IF(B3263="",0,$S3263*$K3263)</f>
        <v>8.1452982296591344</v>
      </c>
      <c r="U3263" s="85">
        <f>IF(B3263="",0,IF(OR(H3263=MappingTables!$C$34,H3263=MappingTables!$C$35),T3263,0))</f>
        <v>0</v>
      </c>
      <c r="V3263" s="85">
        <f>IF(ISNA(IF(AND(VLOOKUP(CONCATENATE($D3263,$G3263),CSRFinput!$B:$E,4,0)=0,OR(H3263=MappingTables!$C$34,H3263=MappingTables!$C$35)),1,VLOOKUP(CONCATENATE($D3263,$G3263),CSRFinput!$B:$E,4,0))),0,IF(AND(VLOOKUP(CONCATENATE($D3263,$G3263),CSRFinput!$B:$E,4,0)=0,OR(H3263=MappingTables!$C$34,H3263=MappingTables!$C$35)),1,VLOOKUP(CONCATENATE($D3263,$G3263),CSRFinput!$B:$E,4,0)))</f>
        <v>0.054776304963434752</v>
      </c>
      <c r="W3263" s="85">
        <f>IF(B3263="",0,+$T3263*$V3263)</f>
        <v>0.446169339845934</v>
      </c>
      <c r="X3263" s="85">
        <f>IF(B3263="",0,IF(OR(H3263=MappingTables!$C$34,H3263=MappingTables!$C$35),W3263,0))</f>
        <v>0</v>
      </c>
    </row>
    <row r="3264" spans="2:24" s="0" customFormat="0" ht="15">
      <c r="B3264" s="69">
        <v>15540828</v>
      </c>
      <c r="C3264" s="70" t="s">
        <v>2786</v>
      </c>
      <c r="D3264" s="70" t="s">
        <v>1</v>
      </c>
      <c r="E3264" s="70" t="s">
        <v>1</v>
      </c>
      <c r="F3264" s="70"/>
      <c r="G3264" s="70" t="s">
        <v>61</v>
      </c>
      <c r="H3264" s="70" t="s">
        <v>178</v>
      </c>
      <c r="I3264" s="70" t="s">
        <v>188</v>
      </c>
      <c r="J3264" s="71">
        <f>IF(OR(I3264=0,I3264=""),"unrated",VLOOKUP(I3264,MappingTables!$B$19:$C$31,2,FALSE))</f>
        <v>2</v>
      </c>
      <c r="K3264" s="72">
        <v>2279.692882315944</v>
      </c>
      <c r="L3264" s="70">
        <v>0.19451919740575384</v>
      </c>
      <c r="M3264" s="71">
        <f>IF(L3264&lt;1,1,L3264)</f>
        <v>1</v>
      </c>
      <c r="N3264" s="70" t="s">
        <v>141</v>
      </c>
      <c r="O3264" s="71">
        <f>INDEX(DurClassMapping,MATCH(M3264,MappingTables!$D$4:$D$8,-1),1)</f>
        <v>1</v>
      </c>
      <c r="P3264" s="73">
        <f>IF(M3264=$A$1,1,$M3264-INDEX(MappingTables!$E$4:$E$8,MATCH(O3264,MappingTables!$B$4:$B$8,0)))</f>
        <v>1</v>
      </c>
      <c r="Q3264" s="71">
        <f>IF(B3264="",0,INDEX(ModelParameters!$D$6:$K$10,MATCH($O3264,ModelParameters!$B$6:$B$10,0),MATCH($J3264,ModelParameters!$D$5:$K$5,0)))</f>
        <v>0.013999999999999998</v>
      </c>
      <c r="R3264" s="71">
        <f>IF(B3264="",0,INDEX(ModelParameters!$D$13:$K$17,MATCH($O3264,ModelParameters!$B$13:$B$17,0),MATCH($J3264,ModelParameters!$D$5:$K$5,0)))</f>
        <v>0</v>
      </c>
      <c r="S3264" s="160">
        <f>IF(B3264="",0,MIN(IF($N3264="Other Bond TM",ModelParameters!$N$21,1)*(P3264*Q3264+R3264),1))</f>
        <v>0.013999999999999998</v>
      </c>
      <c r="T3264" s="85">
        <f>IF(B3264="",0,$S3264*$K3264)</f>
        <v>31.915700352423216</v>
      </c>
      <c r="U3264" s="85">
        <f>IF(B3264="",0,IF(OR(H3264=MappingTables!$C$34,H3264=MappingTables!$C$35),T3264,0))</f>
        <v>0</v>
      </c>
      <c r="V3264" s="85">
        <f>IF(ISNA(IF(AND(VLOOKUP(CONCATENATE($D3264,$G3264),CSRFinput!$B:$E,4,0)=0,OR(H3264=MappingTables!$C$34,H3264=MappingTables!$C$35)),1,VLOOKUP(CONCATENATE($D3264,$G3264),CSRFinput!$B:$E,4,0))),0,IF(AND(VLOOKUP(CONCATENATE($D3264,$G3264),CSRFinput!$B:$E,4,0)=0,OR(H3264=MappingTables!$C$34,H3264=MappingTables!$C$35)),1,VLOOKUP(CONCATENATE($D3264,$G3264),CSRFinput!$B:$E,4,0)))</f>
        <v>0.054776304963434752</v>
      </c>
      <c r="W3264" s="85">
        <f>IF(B3264="",0,+$T3264*$V3264)</f>
        <v>1.748224135625936</v>
      </c>
      <c r="X3264" s="85">
        <f>IF(B3264="",0,IF(OR(H3264=MappingTables!$C$34,H3264=MappingTables!$C$35),W3264,0))</f>
        <v>0</v>
      </c>
    </row>
    <row r="3265" spans="2:24" s="0" customFormat="0" ht="15">
      <c r="B3265" s="69" t="s">
        <v>2196</v>
      </c>
      <c r="C3265" s="70" t="s">
        <v>2197</v>
      </c>
      <c r="D3265" s="70" t="s">
        <v>1</v>
      </c>
      <c r="E3265" s="70" t="s">
        <v>1</v>
      </c>
      <c r="F3265" s="70"/>
      <c r="G3265" s="70" t="s">
        <v>61</v>
      </c>
      <c r="H3265" s="70" t="s">
        <v>178</v>
      </c>
      <c r="I3265" s="70" t="s">
        <v>181</v>
      </c>
      <c r="J3265" s="71">
        <f>IF(OR(I3265=0,I3265=""),"unrated",VLOOKUP(I3265,MappingTables!$B$19:$C$31,2,FALSE))</f>
        <v>3</v>
      </c>
      <c r="K3265" s="72">
        <v>11.669062824334782</v>
      </c>
      <c r="L3265" s="70">
        <v>0.6739770340250756</v>
      </c>
      <c r="M3265" s="71">
        <f>IF(L3265&lt;1,1,L3265)</f>
        <v>1</v>
      </c>
      <c r="N3265" s="70" t="s">
        <v>141</v>
      </c>
      <c r="O3265" s="71">
        <f>INDEX(DurClassMapping,MATCH(M3265,MappingTables!$D$4:$D$8,-1),1)</f>
        <v>1</v>
      </c>
      <c r="P3265" s="73">
        <f>IF(M3265=$A$1,1,$M3265-INDEX(MappingTables!$E$4:$E$8,MATCH(O3265,MappingTables!$B$4:$B$8,0)))</f>
        <v>1</v>
      </c>
      <c r="Q3265" s="71">
        <f>IF(B3265="",0,INDEX(ModelParameters!$D$6:$K$10,MATCH($O3265,ModelParameters!$B$6:$B$10,0),MATCH($J3265,ModelParameters!$D$5:$K$5,0)))</f>
        <v>0.025</v>
      </c>
      <c r="R3265" s="71">
        <f>IF(B3265="",0,INDEX(ModelParameters!$D$13:$K$17,MATCH($O3265,ModelParameters!$B$13:$B$17,0),MATCH($J3265,ModelParameters!$D$5:$K$5,0)))</f>
        <v>0</v>
      </c>
      <c r="S3265" s="160">
        <f>IF(B3265="",0,MIN(IF($N3265="Other Bond TM",ModelParameters!$N$21,1)*(P3265*Q3265+R3265),1))</f>
        <v>0.025</v>
      </c>
      <c r="T3265" s="85">
        <f>IF(B3265="",0,$S3265*$K3265)</f>
        <v>0.29172657060836952</v>
      </c>
      <c r="U3265" s="85">
        <f>IF(B3265="",0,IF(OR(H3265=MappingTables!$C$34,H3265=MappingTables!$C$35),T3265,0))</f>
        <v>0</v>
      </c>
      <c r="V3265" s="85">
        <f>IF(ISNA(IF(AND(VLOOKUP(CONCATENATE($D3265,$G3265),CSRFinput!$B:$E,4,0)=0,OR(H3265=MappingTables!$C$34,H3265=MappingTables!$C$35)),1,VLOOKUP(CONCATENATE($D3265,$G3265),CSRFinput!$B:$E,4,0))),0,IF(AND(VLOOKUP(CONCATENATE($D3265,$G3265),CSRFinput!$B:$E,4,0)=0,OR(H3265=MappingTables!$C$34,H3265=MappingTables!$C$35)),1,VLOOKUP(CONCATENATE($D3265,$G3265),CSRFinput!$B:$E,4,0)))</f>
        <v>0.054776304963434752</v>
      </c>
      <c r="W3265" s="85">
        <f>IF(B3265="",0,+$T3265*$V3265)</f>
        <v>0.015979703597581032</v>
      </c>
      <c r="X3265" s="85">
        <f>IF(B3265="",0,IF(OR(H3265=MappingTables!$C$34,H3265=MappingTables!$C$35),W3265,0))</f>
        <v>0</v>
      </c>
    </row>
    <row r="3266" spans="2:24" s="0" customFormat="0" ht="15">
      <c r="B3266" s="69">
        <v>22213236</v>
      </c>
      <c r="C3266" s="70" t="s">
        <v>1873</v>
      </c>
      <c r="D3266" s="70" t="s">
        <v>1</v>
      </c>
      <c r="E3266" s="70" t="s">
        <v>1</v>
      </c>
      <c r="F3266" s="70"/>
      <c r="G3266" s="70" t="s">
        <v>61</v>
      </c>
      <c r="H3266" s="70" t="s">
        <v>178</v>
      </c>
      <c r="I3266" s="70" t="s">
        <v>179</v>
      </c>
      <c r="J3266" s="71">
        <f>IF(OR(I3266=0,I3266=""),"unrated",VLOOKUP(I3266,MappingTables!$B$19:$C$31,2,FALSE))</f>
        <v>4</v>
      </c>
      <c r="K3266" s="72">
        <v>116.22043126446436</v>
      </c>
      <c r="L3266" s="70">
        <v>1.9935097583774736</v>
      </c>
      <c r="M3266" s="71">
        <f>IF(L3266&lt;1,1,L3266)</f>
        <v>1.9935097583774736</v>
      </c>
      <c r="N3266" s="70" t="s">
        <v>141</v>
      </c>
      <c r="O3266" s="71">
        <f>INDEX(DurClassMapping,MATCH(M3266,MappingTables!$D$4:$D$8,-1),1)</f>
        <v>1</v>
      </c>
      <c r="P3266" s="73">
        <f>IF(M3266=$A$1,1,$M3266-INDEX(MappingTables!$E$4:$E$8,MATCH(O3266,MappingTables!$B$4:$B$8,0)))</f>
        <v>1.9935097583774736</v>
      </c>
      <c r="Q3266" s="71">
        <f>IF(B3266="",0,INDEX(ModelParameters!$D$6:$K$10,MATCH($O3266,ModelParameters!$B$6:$B$10,0),MATCH($J3266,ModelParameters!$D$5:$K$5,0)))</f>
        <v>0.045</v>
      </c>
      <c r="R3266" s="71">
        <f>IF(B3266="",0,INDEX(ModelParameters!$D$13:$K$17,MATCH($O3266,ModelParameters!$B$13:$B$17,0),MATCH($J3266,ModelParameters!$D$5:$K$5,0)))</f>
        <v>0</v>
      </c>
      <c r="S3266" s="160">
        <f>IF(B3266="",0,MIN(IF($N3266="Other Bond TM",ModelParameters!$N$21,1)*(P3266*Q3266+R3266),1))</f>
        <v>0.089707939126986304</v>
      </c>
      <c r="T3266" s="85">
        <f>IF(B3266="",0,$S3266*$K3266)</f>
        <v>10.425895373184664</v>
      </c>
      <c r="U3266" s="85">
        <f>IF(B3266="",0,IF(OR(H3266=MappingTables!$C$34,H3266=MappingTables!$C$35),T3266,0))</f>
        <v>0</v>
      </c>
      <c r="V3266" s="85">
        <f>IF(ISNA(IF(AND(VLOOKUP(CONCATENATE($D3266,$G3266),CSRFinput!$B:$E,4,0)=0,OR(H3266=MappingTables!$C$34,H3266=MappingTables!$C$35)),1,VLOOKUP(CONCATENATE($D3266,$G3266),CSRFinput!$B:$E,4,0))),0,IF(AND(VLOOKUP(CONCATENATE($D3266,$G3266),CSRFinput!$B:$E,4,0)=0,OR(H3266=MappingTables!$C$34,H3266=MappingTables!$C$35)),1,VLOOKUP(CONCATENATE($D3266,$G3266),CSRFinput!$B:$E,4,0)))</f>
        <v>0.054776304963434752</v>
      </c>
      <c r="W3266" s="85">
        <f>IF(B3266="",0,+$T3266*$V3266)</f>
        <v>0.57109202447842656</v>
      </c>
      <c r="X3266" s="85">
        <f>IF(B3266="",0,IF(OR(H3266=MappingTables!$C$34,H3266=MappingTables!$C$35),W3266,0))</f>
        <v>0</v>
      </c>
    </row>
    <row r="3267" spans="2:24" s="0" customFormat="0" ht="15">
      <c r="B3267" s="69">
        <v>17095257</v>
      </c>
      <c r="C3267" s="70" t="s">
        <v>1368</v>
      </c>
      <c r="D3267" s="70" t="s">
        <v>1</v>
      </c>
      <c r="E3267" s="70" t="s">
        <v>1</v>
      </c>
      <c r="F3267" s="70"/>
      <c r="G3267" s="70" t="s">
        <v>61</v>
      </c>
      <c r="H3267" s="70" t="s">
        <v>178</v>
      </c>
      <c r="I3267" s="70" t="s">
        <v>181</v>
      </c>
      <c r="J3267" s="71">
        <f>IF(OR(I3267=0,I3267=""),"unrated",VLOOKUP(I3267,MappingTables!$B$19:$C$31,2,FALSE))</f>
        <v>3</v>
      </c>
      <c r="K3267" s="72">
        <v>1611.2944926045</v>
      </c>
      <c r="L3267" s="70">
        <v>2.3278519499581168</v>
      </c>
      <c r="M3267" s="71">
        <f>IF(L3267&lt;1,1,L3267)</f>
        <v>2.3278519499581168</v>
      </c>
      <c r="N3267" s="70" t="s">
        <v>141</v>
      </c>
      <c r="O3267" s="71">
        <f>INDEX(DurClassMapping,MATCH(M3267,MappingTables!$D$4:$D$8,-1),1)</f>
        <v>1</v>
      </c>
      <c r="P3267" s="73">
        <f>IF(M3267=$A$1,1,$M3267-INDEX(MappingTables!$E$4:$E$8,MATCH(O3267,MappingTables!$B$4:$B$8,0)))</f>
        <v>2.3278519499581168</v>
      </c>
      <c r="Q3267" s="71">
        <f>IF(B3267="",0,INDEX(ModelParameters!$D$6:$K$10,MATCH($O3267,ModelParameters!$B$6:$B$10,0),MATCH($J3267,ModelParameters!$D$5:$K$5,0)))</f>
        <v>0.025</v>
      </c>
      <c r="R3267" s="71">
        <f>IF(B3267="",0,INDEX(ModelParameters!$D$13:$K$17,MATCH($O3267,ModelParameters!$B$13:$B$17,0),MATCH($J3267,ModelParameters!$D$5:$K$5,0)))</f>
        <v>0</v>
      </c>
      <c r="S3267" s="160">
        <f>IF(B3267="",0,MIN(IF($N3267="Other Bond TM",ModelParameters!$N$21,1)*(P3267*Q3267+R3267),1))</f>
        <v>0.058196298748952928</v>
      </c>
      <c r="T3267" s="85">
        <f>IF(B3267="",0,$S3267*$K3267)</f>
        <v>93.771375664154</v>
      </c>
      <c r="U3267" s="85">
        <f>IF(B3267="",0,IF(OR(H3267=MappingTables!$C$34,H3267=MappingTables!$C$35),T3267,0))</f>
        <v>0</v>
      </c>
      <c r="V3267" s="85">
        <f>IF(ISNA(IF(AND(VLOOKUP(CONCATENATE($D3267,$G3267),CSRFinput!$B:$E,4,0)=0,OR(H3267=MappingTables!$C$34,H3267=MappingTables!$C$35)),1,VLOOKUP(CONCATENATE($D3267,$G3267),CSRFinput!$B:$E,4,0))),0,IF(AND(VLOOKUP(CONCATENATE($D3267,$G3267),CSRFinput!$B:$E,4,0)=0,OR(H3267=MappingTables!$C$34,H3267=MappingTables!$C$35)),1,VLOOKUP(CONCATENATE($D3267,$G3267),CSRFinput!$B:$E,4,0)))</f>
        <v>0.054776304963434752</v>
      </c>
      <c r="W3267" s="85">
        <f>IF(B3267="",0,+$T3267*$V3267)</f>
        <v>5.136449470220504</v>
      </c>
      <c r="X3267" s="85">
        <f>IF(B3267="",0,IF(OR(H3267=MappingTables!$C$34,H3267=MappingTables!$C$35),W3267,0))</f>
        <v>0</v>
      </c>
    </row>
    <row r="3268" spans="2:24" s="0" customFormat="0" ht="15">
      <c r="B3268" s="69" t="s">
        <v>2094</v>
      </c>
      <c r="C3268" s="70" t="s">
        <v>2095</v>
      </c>
      <c r="D3268" s="70" t="s">
        <v>1</v>
      </c>
      <c r="E3268" s="70" t="s">
        <v>1</v>
      </c>
      <c r="F3268" s="70"/>
      <c r="G3268" s="70" t="s">
        <v>61</v>
      </c>
      <c r="H3268" s="70" t="s">
        <v>178</v>
      </c>
      <c r="I3268" s="70" t="s">
        <v>184</v>
      </c>
      <c r="J3268" s="71">
        <f>IF(OR(I3268=0,I3268=""),"unrated",VLOOKUP(I3268,MappingTables!$B$19:$C$31,2,FALSE))</f>
        <v>5</v>
      </c>
      <c r="K3268" s="72">
        <v>70.085283522296192</v>
      </c>
      <c r="L3268" s="70">
        <v>2.39771856778373</v>
      </c>
      <c r="M3268" s="71">
        <f>IF(L3268&lt;1,1,L3268)</f>
        <v>2.39771856778373</v>
      </c>
      <c r="N3268" s="70" t="s">
        <v>141</v>
      </c>
      <c r="O3268" s="71">
        <f>INDEX(DurClassMapping,MATCH(M3268,MappingTables!$D$4:$D$8,-1),1)</f>
        <v>1</v>
      </c>
      <c r="P3268" s="73">
        <f>IF(M3268=$A$1,1,$M3268-INDEX(MappingTables!$E$4:$E$8,MATCH(O3268,MappingTables!$B$4:$B$8,0)))</f>
        <v>2.39771856778373</v>
      </c>
      <c r="Q3268" s="71">
        <f>IF(B3268="",0,INDEX(ModelParameters!$D$6:$K$10,MATCH($O3268,ModelParameters!$B$6:$B$10,0),MATCH($J3268,ModelParameters!$D$5:$K$5,0)))</f>
        <v>0.075</v>
      </c>
      <c r="R3268" s="71">
        <f>IF(B3268="",0,INDEX(ModelParameters!$D$13:$K$17,MATCH($O3268,ModelParameters!$B$13:$B$17,0),MATCH($J3268,ModelParameters!$D$5:$K$5,0)))</f>
        <v>0</v>
      </c>
      <c r="S3268" s="160">
        <f>IF(B3268="",0,MIN(IF($N3268="Other Bond TM",ModelParameters!$N$21,1)*(P3268*Q3268+R3268),1))</f>
        <v>0.17982889258377974</v>
      </c>
      <c r="T3268" s="85">
        <f>IF(B3268="",0,$S3268*$K3268)</f>
        <v>12.60335892223475</v>
      </c>
      <c r="U3268" s="85">
        <f>IF(B3268="",0,IF(OR(H3268=MappingTables!$C$34,H3268=MappingTables!$C$35),T3268,0))</f>
        <v>0</v>
      </c>
      <c r="V3268" s="85">
        <f>IF(ISNA(IF(AND(VLOOKUP(CONCATENATE($D3268,$G3268),CSRFinput!$B:$E,4,0)=0,OR(H3268=MappingTables!$C$34,H3268=MappingTables!$C$35)),1,VLOOKUP(CONCATENATE($D3268,$G3268),CSRFinput!$B:$E,4,0))),0,IF(AND(VLOOKUP(CONCATENATE($D3268,$G3268),CSRFinput!$B:$E,4,0)=0,OR(H3268=MappingTables!$C$34,H3268=MappingTables!$C$35)),1,VLOOKUP(CONCATENATE($D3268,$G3268),CSRFinput!$B:$E,4,0)))</f>
        <v>0.054776304963434752</v>
      </c>
      <c r="W3268" s="85">
        <f>IF(B3268="",0,+$T3268*$V3268)</f>
        <v>0.69036543188795704</v>
      </c>
      <c r="X3268" s="85">
        <f>IF(B3268="",0,IF(OR(H3268=MappingTables!$C$34,H3268=MappingTables!$C$35),W3268,0))</f>
        <v>0</v>
      </c>
    </row>
    <row r="3269" spans="2:24" s="0" customFormat="0" ht="15">
      <c r="B3269" s="69">
        <v>22865681</v>
      </c>
      <c r="C3269" s="70" t="s">
        <v>235</v>
      </c>
      <c r="D3269" s="70" t="s">
        <v>1</v>
      </c>
      <c r="E3269" s="70" t="s">
        <v>1</v>
      </c>
      <c r="F3269" s="70"/>
      <c r="G3269" s="70" t="s">
        <v>61</v>
      </c>
      <c r="H3269" s="70" t="s">
        <v>178</v>
      </c>
      <c r="I3269" s="70" t="s">
        <v>204</v>
      </c>
      <c r="J3269" s="71">
        <f>IF(OR(I3269=0,I3269=""),"unrated",VLOOKUP(I3269,MappingTables!$B$19:$C$31,2,FALSE))</f>
        <v>6</v>
      </c>
      <c r="K3269" s="72">
        <v>233.08278515792572</v>
      </c>
      <c r="L3269" s="70">
        <v>2.2525675531128116</v>
      </c>
      <c r="M3269" s="71">
        <f>IF(L3269&lt;1,1,L3269)</f>
        <v>2.2525675531128116</v>
      </c>
      <c r="N3269" s="70" t="s">
        <v>141</v>
      </c>
      <c r="O3269" s="71">
        <f>INDEX(DurClassMapping,MATCH(M3269,MappingTables!$D$4:$D$8,-1),1)</f>
        <v>1</v>
      </c>
      <c r="P3269" s="73">
        <f>IF(M3269=$A$1,1,$M3269-INDEX(MappingTables!$E$4:$E$8,MATCH(O3269,MappingTables!$B$4:$B$8,0)))</f>
        <v>2.2525675531128116</v>
      </c>
      <c r="Q3269" s="71">
        <f>IF(B3269="",0,INDEX(ModelParameters!$D$6:$K$10,MATCH($O3269,ModelParameters!$B$6:$B$10,0),MATCH($J3269,ModelParameters!$D$5:$K$5,0)))</f>
        <v>0.075</v>
      </c>
      <c r="R3269" s="71">
        <f>IF(B3269="",0,INDEX(ModelParameters!$D$13:$K$17,MATCH($O3269,ModelParameters!$B$13:$B$17,0),MATCH($J3269,ModelParameters!$D$5:$K$5,0)))</f>
        <v>0</v>
      </c>
      <c r="S3269" s="160">
        <f>IF(B3269="",0,MIN(IF($N3269="Other Bond TM",ModelParameters!$N$21,1)*(P3269*Q3269+R3269),1))</f>
        <v>0.16894256648346088</v>
      </c>
      <c r="T3269" s="85">
        <f>IF(B3269="",0,$S3269*$K3269)</f>
        <v>39.377603927693096</v>
      </c>
      <c r="U3269" s="85">
        <f>IF(B3269="",0,IF(OR(H3269=MappingTables!$C$34,H3269=MappingTables!$C$35),T3269,0))</f>
        <v>0</v>
      </c>
      <c r="V3269" s="85">
        <f>IF(ISNA(IF(AND(VLOOKUP(CONCATENATE($D3269,$G3269),CSRFinput!$B:$E,4,0)=0,OR(H3269=MappingTables!$C$34,H3269=MappingTables!$C$35)),1,VLOOKUP(CONCATENATE($D3269,$G3269),CSRFinput!$B:$E,4,0))),0,IF(AND(VLOOKUP(CONCATENATE($D3269,$G3269),CSRFinput!$B:$E,4,0)=0,OR(H3269=MappingTables!$C$34,H3269=MappingTables!$C$35)),1,VLOOKUP(CONCATENATE($D3269,$G3269),CSRFinput!$B:$E,4,0)))</f>
        <v>0.054776304963434752</v>
      </c>
      <c r="W3269" s="85">
        <f>IF(B3269="",0,+$T3269*$V3269)</f>
        <v>2.1569596414726632</v>
      </c>
      <c r="X3269" s="85">
        <f>IF(B3269="",0,IF(OR(H3269=MappingTables!$C$34,H3269=MappingTables!$C$35),W3269,0))</f>
        <v>0</v>
      </c>
    </row>
    <row r="3270" spans="2:24" s="0" customFormat="0" ht="15">
      <c r="B3270" s="69">
        <v>15839017</v>
      </c>
      <c r="C3270" s="70" t="s">
        <v>2489</v>
      </c>
      <c r="D3270" s="70" t="s">
        <v>1</v>
      </c>
      <c r="E3270" s="70" t="s">
        <v>1</v>
      </c>
      <c r="F3270" s="70"/>
      <c r="G3270" s="70" t="s">
        <v>61</v>
      </c>
      <c r="H3270" s="70" t="s">
        <v>178</v>
      </c>
      <c r="I3270" s="70" t="s">
        <v>181</v>
      </c>
      <c r="J3270" s="71">
        <f>IF(OR(I3270=0,I3270=""),"unrated",VLOOKUP(I3270,MappingTables!$B$19:$C$31,2,FALSE))</f>
        <v>3</v>
      </c>
      <c r="K3270" s="72">
        <v>1670.9022544504382</v>
      </c>
      <c r="L3270" s="70">
        <v>5.099645769690792</v>
      </c>
      <c r="M3270" s="71">
        <f>IF(L3270&lt;1,1,L3270)</f>
        <v>5.099645769690792</v>
      </c>
      <c r="N3270" s="70" t="s">
        <v>141</v>
      </c>
      <c r="O3270" s="71">
        <f>INDEX(DurClassMapping,MATCH(M3270,MappingTables!$D$4:$D$8,-1),1)</f>
        <v>2</v>
      </c>
      <c r="P3270" s="73">
        <f>IF(M3270=$A$1,1,$M3270-INDEX(MappingTables!$E$4:$E$8,MATCH(O3270,MappingTables!$B$4:$B$8,0)))</f>
        <v>0.09964576969079176</v>
      </c>
      <c r="Q3270" s="71">
        <f>IF(B3270="",0,INDEX(ModelParameters!$D$6:$K$10,MATCH($O3270,ModelParameters!$B$6:$B$10,0),MATCH($J3270,ModelParameters!$D$5:$K$5,0)))</f>
        <v>0.015</v>
      </c>
      <c r="R3270" s="71">
        <f>IF(B3270="",0,INDEX(ModelParameters!$D$13:$K$17,MATCH($O3270,ModelParameters!$B$13:$B$17,0),MATCH($J3270,ModelParameters!$D$5:$K$5,0)))</f>
        <v>0.125</v>
      </c>
      <c r="S3270" s="160">
        <f>IF(B3270="",0,MIN(IF($N3270="Other Bond TM",ModelParameters!$N$21,1)*(P3270*Q3270+R3270),1))</f>
        <v>0.12649468654536188</v>
      </c>
      <c r="T3270" s="85">
        <f>IF(B3270="",0,$S3270*$K3270)</f>
        <v>211.36025692464672</v>
      </c>
      <c r="U3270" s="85">
        <f>IF(B3270="",0,IF(OR(H3270=MappingTables!$C$34,H3270=MappingTables!$C$35),T3270,0))</f>
        <v>0</v>
      </c>
      <c r="V3270" s="85">
        <f>IF(ISNA(IF(AND(VLOOKUP(CONCATENATE($D3270,$G3270),CSRFinput!$B:$E,4,0)=0,OR(H3270=MappingTables!$C$34,H3270=MappingTables!$C$35)),1,VLOOKUP(CONCATENATE($D3270,$G3270),CSRFinput!$B:$E,4,0))),0,IF(AND(VLOOKUP(CONCATENATE($D3270,$G3270),CSRFinput!$B:$E,4,0)=0,OR(H3270=MappingTables!$C$34,H3270=MappingTables!$C$35)),1,VLOOKUP(CONCATENATE($D3270,$G3270),CSRFinput!$B:$E,4,0)))</f>
        <v>0.054776304963434752</v>
      </c>
      <c r="W3270" s="85">
        <f>IF(B3270="",0,+$T3270*$V3270)</f>
        <v>11.57753389045437</v>
      </c>
      <c r="X3270" s="85">
        <f>IF(B3270="",0,IF(OR(H3270=MappingTables!$C$34,H3270=MappingTables!$C$35),W3270,0))</f>
        <v>0</v>
      </c>
    </row>
    <row r="3271" spans="2:24" s="0" customFormat="0" ht="15">
      <c r="B3271" s="69">
        <v>17782763</v>
      </c>
      <c r="C3271" s="70" t="s">
        <v>1169</v>
      </c>
      <c r="D3271" s="70" t="s">
        <v>1</v>
      </c>
      <c r="E3271" s="70" t="s">
        <v>1</v>
      </c>
      <c r="F3271" s="70"/>
      <c r="G3271" s="70" t="s">
        <v>61</v>
      </c>
      <c r="H3271" s="70" t="s">
        <v>178</v>
      </c>
      <c r="I3271" s="70" t="s">
        <v>181</v>
      </c>
      <c r="J3271" s="71">
        <f>IF(OR(I3271=0,I3271=""),"unrated",VLOOKUP(I3271,MappingTables!$B$19:$C$31,2,FALSE))</f>
        <v>3</v>
      </c>
      <c r="K3271" s="72">
        <v>16343.114792340918</v>
      </c>
      <c r="L3271" s="70">
        <v>4.83218080434658</v>
      </c>
      <c r="M3271" s="71">
        <f>IF(L3271&lt;1,1,L3271)</f>
        <v>4.83218080434658</v>
      </c>
      <c r="N3271" s="70" t="s">
        <v>141</v>
      </c>
      <c r="O3271" s="71">
        <f>INDEX(DurClassMapping,MATCH(M3271,MappingTables!$D$4:$D$8,-1),1)</f>
        <v>1</v>
      </c>
      <c r="P3271" s="73">
        <f>IF(M3271=$A$1,1,$M3271-INDEX(MappingTables!$E$4:$E$8,MATCH(O3271,MappingTables!$B$4:$B$8,0)))</f>
        <v>4.83218080434658</v>
      </c>
      <c r="Q3271" s="71">
        <f>IF(B3271="",0,INDEX(ModelParameters!$D$6:$K$10,MATCH($O3271,ModelParameters!$B$6:$B$10,0),MATCH($J3271,ModelParameters!$D$5:$K$5,0)))</f>
        <v>0.025</v>
      </c>
      <c r="R3271" s="71">
        <f>IF(B3271="",0,INDEX(ModelParameters!$D$13:$K$17,MATCH($O3271,ModelParameters!$B$13:$B$17,0),MATCH($J3271,ModelParameters!$D$5:$K$5,0)))</f>
        <v>0</v>
      </c>
      <c r="S3271" s="160">
        <f>IF(B3271="",0,MIN(IF($N3271="Other Bond TM",ModelParameters!$N$21,1)*(P3271*Q3271+R3271),1))</f>
        <v>0.1208045201086645</v>
      </c>
      <c r="T3271" s="85">
        <f>IF(B3271="",0,$S3271*$K3271)</f>
        <v>1974.3221395695604</v>
      </c>
      <c r="U3271" s="85">
        <f>IF(B3271="",0,IF(OR(H3271=MappingTables!$C$34,H3271=MappingTables!$C$35),T3271,0))</f>
        <v>0</v>
      </c>
      <c r="V3271" s="85">
        <f>IF(ISNA(IF(AND(VLOOKUP(CONCATENATE($D3271,$G3271),CSRFinput!$B:$E,4,0)=0,OR(H3271=MappingTables!$C$34,H3271=MappingTables!$C$35)),1,VLOOKUP(CONCATENATE($D3271,$G3271),CSRFinput!$B:$E,4,0))),0,IF(AND(VLOOKUP(CONCATENATE($D3271,$G3271),CSRFinput!$B:$E,4,0)=0,OR(H3271=MappingTables!$C$34,H3271=MappingTables!$C$35)),1,VLOOKUP(CONCATENATE($D3271,$G3271),CSRFinput!$B:$E,4,0)))</f>
        <v>0.054776304963434752</v>
      </c>
      <c r="W3271" s="85">
        <f>IF(B3271="",0,+$T3271*$V3271)</f>
        <v>108.14607161312324</v>
      </c>
      <c r="X3271" s="85">
        <f>IF(B3271="",0,IF(OR(H3271=MappingTables!$C$34,H3271=MappingTables!$C$35),W3271,0))</f>
        <v>0</v>
      </c>
    </row>
    <row r="3272" spans="2:24" s="0" customFormat="0" ht="15">
      <c r="B3272" s="69" t="s">
        <v>1992</v>
      </c>
      <c r="C3272" s="70" t="s">
        <v>1993</v>
      </c>
      <c r="D3272" s="70" t="s">
        <v>1</v>
      </c>
      <c r="E3272" s="70" t="s">
        <v>1</v>
      </c>
      <c r="F3272" s="70"/>
      <c r="G3272" s="70" t="s">
        <v>61</v>
      </c>
      <c r="H3272" s="70" t="s">
        <v>178</v>
      </c>
      <c r="I3272" s="70" t="s">
        <v>198</v>
      </c>
      <c r="J3272" s="71" t="str">
        <f>IF(OR(I3272=0,I3272=""),"unrated",VLOOKUP(I3272,MappingTables!$B$19:$C$31,2,FALSE))</f>
        <v>unrated</v>
      </c>
      <c r="K3272" s="72">
        <v>130.83004147940252</v>
      </c>
      <c r="L3272" s="70">
        <v>7.9903130625526384</v>
      </c>
      <c r="M3272" s="71">
        <f>IF(L3272&lt;1,1,L3272)</f>
        <v>7.9903130625526384</v>
      </c>
      <c r="N3272" s="70" t="s">
        <v>141</v>
      </c>
      <c r="O3272" s="71">
        <f>INDEX(DurClassMapping,MATCH(M3272,MappingTables!$D$4:$D$8,-1),1)</f>
        <v>2</v>
      </c>
      <c r="P3272" s="73">
        <f>IF(M3272=$A$1,1,$M3272-INDEX(MappingTables!$E$4:$E$8,MATCH(O3272,MappingTables!$B$4:$B$8,0)))</f>
        <v>2.990313062552638</v>
      </c>
      <c r="Q3272" s="71">
        <f>IF(B3272="",0,INDEX(ModelParameters!$D$6:$K$10,MATCH($O3272,ModelParameters!$B$6:$B$10,0),MATCH($J3272,ModelParameters!$D$5:$K$5,0)))</f>
        <v>0.017000000000000002</v>
      </c>
      <c r="R3272" s="71">
        <f>IF(B3272="",0,INDEX(ModelParameters!$D$13:$K$17,MATCH($O3272,ModelParameters!$B$13:$B$17,0),MATCH($J3272,ModelParameters!$D$5:$K$5,0)))</f>
        <v>0.15</v>
      </c>
      <c r="S3272" s="160">
        <f>IF(B3272="",0,MIN(IF($N3272="Other Bond TM",ModelParameters!$N$21,1)*(P3272*Q3272+R3272),1))</f>
        <v>0.20083532206339484</v>
      </c>
      <c r="T3272" s="85">
        <f>IF(B3272="",0,$S3272*$K3272)</f>
        <v>26.275293516083112</v>
      </c>
      <c r="U3272" s="85">
        <f>IF(B3272="",0,IF(OR(H3272=MappingTables!$C$34,H3272=MappingTables!$C$35),T3272,0))</f>
        <v>0</v>
      </c>
      <c r="V3272" s="85">
        <f>IF(ISNA(IF(AND(VLOOKUP(CONCATENATE($D3272,$G3272),CSRFinput!$B:$E,4,0)=0,OR(H3272=MappingTables!$C$34,H3272=MappingTables!$C$35)),1,VLOOKUP(CONCATENATE($D3272,$G3272),CSRFinput!$B:$E,4,0))),0,IF(AND(VLOOKUP(CONCATENATE($D3272,$G3272),CSRFinput!$B:$E,4,0)=0,OR(H3272=MappingTables!$C$34,H3272=MappingTables!$C$35)),1,VLOOKUP(CONCATENATE($D3272,$G3272),CSRFinput!$B:$E,4,0)))</f>
        <v>0.054776304963434752</v>
      </c>
      <c r="W3272" s="85">
        <f>IF(B3272="",0,+$T3272*$V3272)</f>
        <v>1.4392634906407284</v>
      </c>
      <c r="X3272" s="85">
        <f>IF(B3272="",0,IF(OR(H3272=MappingTables!$C$34,H3272=MappingTables!$C$35),W3272,0))</f>
        <v>0</v>
      </c>
    </row>
    <row r="3273" spans="2:24" s="0" customFormat="0" ht="15">
      <c r="B3273" s="69">
        <v>13102511</v>
      </c>
      <c r="C3273" s="70" t="s">
        <v>2787</v>
      </c>
      <c r="D3273" s="70" t="s">
        <v>1</v>
      </c>
      <c r="E3273" s="70" t="s">
        <v>1</v>
      </c>
      <c r="F3273" s="70"/>
      <c r="G3273" s="70" t="s">
        <v>61</v>
      </c>
      <c r="H3273" s="70" t="s">
        <v>178</v>
      </c>
      <c r="I3273" s="70" t="s">
        <v>179</v>
      </c>
      <c r="J3273" s="71">
        <f>IF(OR(I3273=0,I3273=""),"unrated",VLOOKUP(I3273,MappingTables!$B$19:$C$31,2,FALSE))</f>
        <v>4</v>
      </c>
      <c r="K3273" s="72">
        <v>4510.7145944992384</v>
      </c>
      <c r="L3273" s="70">
        <v>1.2536641935859952</v>
      </c>
      <c r="M3273" s="71">
        <f>IF(L3273&lt;1,1,L3273)</f>
        <v>1.2536641935859952</v>
      </c>
      <c r="N3273" s="70" t="s">
        <v>141</v>
      </c>
      <c r="O3273" s="71">
        <f>INDEX(DurClassMapping,MATCH(M3273,MappingTables!$D$4:$D$8,-1),1)</f>
        <v>1</v>
      </c>
      <c r="P3273" s="73">
        <f>IF(M3273=$A$1,1,$M3273-INDEX(MappingTables!$E$4:$E$8,MATCH(O3273,MappingTables!$B$4:$B$8,0)))</f>
        <v>1.2536641935859952</v>
      </c>
      <c r="Q3273" s="71">
        <f>IF(B3273="",0,INDEX(ModelParameters!$D$6:$K$10,MATCH($O3273,ModelParameters!$B$6:$B$10,0),MATCH($J3273,ModelParameters!$D$5:$K$5,0)))</f>
        <v>0.045</v>
      </c>
      <c r="R3273" s="71">
        <f>IF(B3273="",0,INDEX(ModelParameters!$D$13:$K$17,MATCH($O3273,ModelParameters!$B$13:$B$17,0),MATCH($J3273,ModelParameters!$D$5:$K$5,0)))</f>
        <v>0</v>
      </c>
      <c r="S3273" s="160">
        <f>IF(B3273="",0,MIN(IF($N3273="Other Bond TM",ModelParameters!$N$21,1)*(P3273*Q3273+R3273),1))</f>
        <v>0.056414888711369776</v>
      </c>
      <c r="T3273" s="85">
        <f>IF(B3273="",0,$S3273*$K3273)</f>
        <v>254.47146185742596</v>
      </c>
      <c r="U3273" s="85">
        <f>IF(B3273="",0,IF(OR(H3273=MappingTables!$C$34,H3273=MappingTables!$C$35),T3273,0))</f>
        <v>0</v>
      </c>
      <c r="V3273" s="85">
        <f>IF(ISNA(IF(AND(VLOOKUP(CONCATENATE($D3273,$G3273),CSRFinput!$B:$E,4,0)=0,OR(H3273=MappingTables!$C$34,H3273=MappingTables!$C$35)),1,VLOOKUP(CONCATENATE($D3273,$G3273),CSRFinput!$B:$E,4,0))),0,IF(AND(VLOOKUP(CONCATENATE($D3273,$G3273),CSRFinput!$B:$E,4,0)=0,OR(H3273=MappingTables!$C$34,H3273=MappingTables!$C$35)),1,VLOOKUP(CONCATENATE($D3273,$G3273),CSRFinput!$B:$E,4,0)))</f>
        <v>0.054776304963434752</v>
      </c>
      <c r="W3273" s="85">
        <f>IF(B3273="",0,+$T3273*$V3273)</f>
        <v>13.939006399193418</v>
      </c>
      <c r="X3273" s="85">
        <f>IF(B3273="",0,IF(OR(H3273=MappingTables!$C$34,H3273=MappingTables!$C$35),W3273,0))</f>
        <v>0</v>
      </c>
    </row>
    <row r="3274" spans="2:24" s="0" customFormat="0" ht="15">
      <c r="B3274" s="69" t="s">
        <v>648</v>
      </c>
      <c r="C3274" s="70" t="s">
        <v>649</v>
      </c>
      <c r="D3274" s="70" t="s">
        <v>1</v>
      </c>
      <c r="E3274" s="70" t="s">
        <v>1</v>
      </c>
      <c r="F3274" s="70"/>
      <c r="G3274" s="70" t="s">
        <v>61</v>
      </c>
      <c r="H3274" s="70" t="s">
        <v>178</v>
      </c>
      <c r="I3274" s="70" t="s">
        <v>181</v>
      </c>
      <c r="J3274" s="71">
        <f>IF(OR(I3274=0,I3274=""),"unrated",VLOOKUP(I3274,MappingTables!$B$19:$C$31,2,FALSE))</f>
        <v>3</v>
      </c>
      <c r="K3274" s="72">
        <v>17469.71025588967</v>
      </c>
      <c r="L3274" s="70">
        <v>14.500971769948902</v>
      </c>
      <c r="M3274" s="71">
        <f>IF(L3274&lt;1,1,L3274)</f>
        <v>14.500971769948902</v>
      </c>
      <c r="N3274" s="70" t="s">
        <v>141</v>
      </c>
      <c r="O3274" s="71">
        <f>INDEX(DurClassMapping,MATCH(M3274,MappingTables!$D$4:$D$8,-1),1)</f>
        <v>3</v>
      </c>
      <c r="P3274" s="73">
        <f>IF(M3274=$A$1,1,$M3274-INDEX(MappingTables!$E$4:$E$8,MATCH(O3274,MappingTables!$B$4:$B$8,0)))</f>
        <v>4.5009717699489024</v>
      </c>
      <c r="Q3274" s="71">
        <f>IF(B3274="",0,INDEX(ModelParameters!$D$6:$K$10,MATCH($O3274,ModelParameters!$B$6:$B$10,0),MATCH($J3274,ModelParameters!$D$5:$K$5,0)))</f>
        <v>0.01</v>
      </c>
      <c r="R3274" s="71">
        <f>IF(B3274="",0,INDEX(ModelParameters!$D$13:$K$17,MATCH($O3274,ModelParameters!$B$13:$B$17,0),MATCH($J3274,ModelParameters!$D$5:$K$5,0)))</f>
        <v>0.2</v>
      </c>
      <c r="S3274" s="160">
        <f>IF(B3274="",0,MIN(IF($N3274="Other Bond TM",ModelParameters!$N$21,1)*(P3274*Q3274+R3274),1))</f>
        <v>0.24500971769948904</v>
      </c>
      <c r="T3274" s="85">
        <f>IF(B3274="",0,$S3274*$K3274)</f>
        <v>4280.248778087396</v>
      </c>
      <c r="U3274" s="85">
        <f>IF(B3274="",0,IF(OR(H3274=MappingTables!$C$34,H3274=MappingTables!$C$35),T3274,0))</f>
        <v>0</v>
      </c>
      <c r="V3274" s="85">
        <f>IF(ISNA(IF(AND(VLOOKUP(CONCATENATE($D3274,$G3274),CSRFinput!$B:$E,4,0)=0,OR(H3274=MappingTables!$C$34,H3274=MappingTables!$C$35)),1,VLOOKUP(CONCATENATE($D3274,$G3274),CSRFinput!$B:$E,4,0))),0,IF(AND(VLOOKUP(CONCATENATE($D3274,$G3274),CSRFinput!$B:$E,4,0)=0,OR(H3274=MappingTables!$C$34,H3274=MappingTables!$C$35)),1,VLOOKUP(CONCATENATE($D3274,$G3274),CSRFinput!$B:$E,4,0)))</f>
        <v>0.054776304963434752</v>
      </c>
      <c r="W3274" s="85">
        <f>IF(B3274="",0,+$T3274*$V3274)</f>
        <v>234.4562123878842</v>
      </c>
      <c r="X3274" s="85">
        <f>IF(B3274="",0,IF(OR(H3274=MappingTables!$C$34,H3274=MappingTables!$C$35),W3274,0))</f>
        <v>0</v>
      </c>
    </row>
    <row r="3275" spans="2:24" s="0" customFormat="0" ht="15">
      <c r="B3275" s="69">
        <v>23162553</v>
      </c>
      <c r="C3275" s="70" t="s">
        <v>654</v>
      </c>
      <c r="D3275" s="70" t="s">
        <v>1</v>
      </c>
      <c r="E3275" s="70" t="s">
        <v>1</v>
      </c>
      <c r="F3275" s="70"/>
      <c r="G3275" s="70" t="s">
        <v>61</v>
      </c>
      <c r="H3275" s="70" t="s">
        <v>178</v>
      </c>
      <c r="I3275" s="70" t="s">
        <v>181</v>
      </c>
      <c r="J3275" s="71">
        <f>IF(OR(I3275=0,I3275=""),"unrated",VLOOKUP(I3275,MappingTables!$B$19:$C$31,2,FALSE))</f>
        <v>3</v>
      </c>
      <c r="K3275" s="72">
        <v>14051.454991307854</v>
      </c>
      <c r="L3275" s="70">
        <v>8.8059490166432976</v>
      </c>
      <c r="M3275" s="71">
        <f>IF(L3275&lt;1,1,L3275)</f>
        <v>8.8059490166432976</v>
      </c>
      <c r="N3275" s="70" t="s">
        <v>141</v>
      </c>
      <c r="O3275" s="71">
        <f>INDEX(DurClassMapping,MATCH(M3275,MappingTables!$D$4:$D$8,-1),1)</f>
        <v>2</v>
      </c>
      <c r="P3275" s="73">
        <f>IF(M3275=$A$1,1,$M3275-INDEX(MappingTables!$E$4:$E$8,MATCH(O3275,MappingTables!$B$4:$B$8,0)))</f>
        <v>3.8059490166432984</v>
      </c>
      <c r="Q3275" s="71">
        <f>IF(B3275="",0,INDEX(ModelParameters!$D$6:$K$10,MATCH($O3275,ModelParameters!$B$6:$B$10,0),MATCH($J3275,ModelParameters!$D$5:$K$5,0)))</f>
        <v>0.015</v>
      </c>
      <c r="R3275" s="71">
        <f>IF(B3275="",0,INDEX(ModelParameters!$D$13:$K$17,MATCH($O3275,ModelParameters!$B$13:$B$17,0),MATCH($J3275,ModelParameters!$D$5:$K$5,0)))</f>
        <v>0.125</v>
      </c>
      <c r="S3275" s="160">
        <f>IF(B3275="",0,MIN(IF($N3275="Other Bond TM",ModelParameters!$N$21,1)*(P3275*Q3275+R3275),1))</f>
        <v>0.18208923524964948</v>
      </c>
      <c r="T3275" s="85">
        <f>IF(B3275="",0,$S3275*$K3275)</f>
        <v>2558.6186935121172</v>
      </c>
      <c r="U3275" s="85">
        <f>IF(B3275="",0,IF(OR(H3275=MappingTables!$C$34,H3275=MappingTables!$C$35),T3275,0))</f>
        <v>0</v>
      </c>
      <c r="V3275" s="85">
        <f>IF(ISNA(IF(AND(VLOOKUP(CONCATENATE($D3275,$G3275),CSRFinput!$B:$E,4,0)=0,OR(H3275=MappingTables!$C$34,H3275=MappingTables!$C$35)),1,VLOOKUP(CONCATENATE($D3275,$G3275),CSRFinput!$B:$E,4,0))),0,IF(AND(VLOOKUP(CONCATENATE($D3275,$G3275),CSRFinput!$B:$E,4,0)=0,OR(H3275=MappingTables!$C$34,H3275=MappingTables!$C$35)),1,VLOOKUP(CONCATENATE($D3275,$G3275),CSRFinput!$B:$E,4,0)))</f>
        <v>0.054776304963434752</v>
      </c>
      <c r="W3275" s="85">
        <f>IF(B3275="",0,+$T3275*$V3275)</f>
        <v>140.15167784096474</v>
      </c>
      <c r="X3275" s="85">
        <f>IF(B3275="",0,IF(OR(H3275=MappingTables!$C$34,H3275=MappingTables!$C$35),W3275,0))</f>
        <v>0</v>
      </c>
    </row>
    <row r="3276" spans="2:24" s="0" customFormat="0" ht="15">
      <c r="B3276" s="69">
        <v>18052009</v>
      </c>
      <c r="C3276" s="70" t="s">
        <v>2140</v>
      </c>
      <c r="D3276" s="70" t="s">
        <v>1</v>
      </c>
      <c r="E3276" s="70" t="s">
        <v>1</v>
      </c>
      <c r="F3276" s="70"/>
      <c r="G3276" s="70" t="s">
        <v>61</v>
      </c>
      <c r="H3276" s="70" t="s">
        <v>178</v>
      </c>
      <c r="I3276" s="70" t="s">
        <v>179</v>
      </c>
      <c r="J3276" s="71">
        <f>IF(OR(I3276=0,I3276=""),"unrated",VLOOKUP(I3276,MappingTables!$B$19:$C$31,2,FALSE))</f>
        <v>4</v>
      </c>
      <c r="K3276" s="72">
        <v>11117.778598751368</v>
      </c>
      <c r="L3276" s="70">
        <v>0.09314865898328536</v>
      </c>
      <c r="M3276" s="71">
        <f>IF(L3276&lt;1,1,L3276)</f>
        <v>1</v>
      </c>
      <c r="N3276" s="70" t="s">
        <v>141</v>
      </c>
      <c r="O3276" s="71">
        <f>INDEX(DurClassMapping,MATCH(M3276,MappingTables!$D$4:$D$8,-1),1)</f>
        <v>1</v>
      </c>
      <c r="P3276" s="73">
        <f>IF(M3276=$A$1,1,$M3276-INDEX(MappingTables!$E$4:$E$8,MATCH(O3276,MappingTables!$B$4:$B$8,0)))</f>
        <v>1</v>
      </c>
      <c r="Q3276" s="71">
        <f>IF(B3276="",0,INDEX(ModelParameters!$D$6:$K$10,MATCH($O3276,ModelParameters!$B$6:$B$10,0),MATCH($J3276,ModelParameters!$D$5:$K$5,0)))</f>
        <v>0.045</v>
      </c>
      <c r="R3276" s="71">
        <f>IF(B3276="",0,INDEX(ModelParameters!$D$13:$K$17,MATCH($O3276,ModelParameters!$B$13:$B$17,0),MATCH($J3276,ModelParameters!$D$5:$K$5,0)))</f>
        <v>0</v>
      </c>
      <c r="S3276" s="160">
        <f>IF(B3276="",0,MIN(IF($N3276="Other Bond TM",ModelParameters!$N$21,1)*(P3276*Q3276+R3276),1))</f>
        <v>0.045</v>
      </c>
      <c r="T3276" s="85">
        <f>IF(B3276="",0,$S3276*$K3276)</f>
        <v>500.30003694381152</v>
      </c>
      <c r="U3276" s="85">
        <f>IF(B3276="",0,IF(OR(H3276=MappingTables!$C$34,H3276=MappingTables!$C$35),T3276,0))</f>
        <v>0</v>
      </c>
      <c r="V3276" s="85">
        <f>IF(ISNA(IF(AND(VLOOKUP(CONCATENATE($D3276,$G3276),CSRFinput!$B:$E,4,0)=0,OR(H3276=MappingTables!$C$34,H3276=MappingTables!$C$35)),1,VLOOKUP(CONCATENATE($D3276,$G3276),CSRFinput!$B:$E,4,0))),0,IF(AND(VLOOKUP(CONCATENATE($D3276,$G3276),CSRFinput!$B:$E,4,0)=0,OR(H3276=MappingTables!$C$34,H3276=MappingTables!$C$35)),1,VLOOKUP(CONCATENATE($D3276,$G3276),CSRFinput!$B:$E,4,0)))</f>
        <v>0.054776304963434752</v>
      </c>
      <c r="W3276" s="85">
        <f>IF(B3276="",0,+$T3276*$V3276)</f>
        <v>27.404587396851892</v>
      </c>
      <c r="X3276" s="85">
        <f>IF(B3276="",0,IF(OR(H3276=MappingTables!$C$34,H3276=MappingTables!$C$35),W3276,0))</f>
        <v>0</v>
      </c>
    </row>
    <row r="3277" spans="2:24" s="0" customFormat="0" ht="15">
      <c r="B3277" s="69">
        <v>24176488</v>
      </c>
      <c r="C3277" s="70" t="s">
        <v>1452</v>
      </c>
      <c r="D3277" s="70" t="s">
        <v>1</v>
      </c>
      <c r="E3277" s="70" t="s">
        <v>1</v>
      </c>
      <c r="F3277" s="70"/>
      <c r="G3277" s="70" t="s">
        <v>61</v>
      </c>
      <c r="H3277" s="70" t="s">
        <v>178</v>
      </c>
      <c r="I3277" s="70" t="s">
        <v>184</v>
      </c>
      <c r="J3277" s="71">
        <f>IF(OR(I3277=0,I3277=""),"unrated",VLOOKUP(I3277,MappingTables!$B$19:$C$31,2,FALSE))</f>
        <v>5</v>
      </c>
      <c r="K3277" s="72">
        <v>4978.8199606394632</v>
      </c>
      <c r="L3277" s="70">
        <v>2.6281618444396124</v>
      </c>
      <c r="M3277" s="71">
        <f>IF(L3277&lt;1,1,L3277)</f>
        <v>2.6281618444396124</v>
      </c>
      <c r="N3277" s="70" t="s">
        <v>141</v>
      </c>
      <c r="O3277" s="71">
        <f>INDEX(DurClassMapping,MATCH(M3277,MappingTables!$D$4:$D$8,-1),1)</f>
        <v>1</v>
      </c>
      <c r="P3277" s="73">
        <f>IF(M3277=$A$1,1,$M3277-INDEX(MappingTables!$E$4:$E$8,MATCH(O3277,MappingTables!$B$4:$B$8,0)))</f>
        <v>2.6281618444396124</v>
      </c>
      <c r="Q3277" s="71">
        <f>IF(B3277="",0,INDEX(ModelParameters!$D$6:$K$10,MATCH($O3277,ModelParameters!$B$6:$B$10,0),MATCH($J3277,ModelParameters!$D$5:$K$5,0)))</f>
        <v>0.075</v>
      </c>
      <c r="R3277" s="71">
        <f>IF(B3277="",0,INDEX(ModelParameters!$D$13:$K$17,MATCH($O3277,ModelParameters!$B$13:$B$17,0),MATCH($J3277,ModelParameters!$D$5:$K$5,0)))</f>
        <v>0</v>
      </c>
      <c r="S3277" s="160">
        <f>IF(B3277="",0,MIN(IF($N3277="Other Bond TM",ModelParameters!$N$21,1)*(P3277*Q3277+R3277),1))</f>
        <v>0.19711213833297092</v>
      </c>
      <c r="T3277" s="85">
        <f>IF(B3277="",0,$S3277*$K3277)</f>
        <v>981.38584881652256</v>
      </c>
      <c r="U3277" s="85">
        <f>IF(B3277="",0,IF(OR(H3277=MappingTables!$C$34,H3277=MappingTables!$C$35),T3277,0))</f>
        <v>0</v>
      </c>
      <c r="V3277" s="85">
        <f>IF(ISNA(IF(AND(VLOOKUP(CONCATENATE($D3277,$G3277),CSRFinput!$B:$E,4,0)=0,OR(H3277=MappingTables!$C$34,H3277=MappingTables!$C$35)),1,VLOOKUP(CONCATENATE($D3277,$G3277),CSRFinput!$B:$E,4,0))),0,IF(AND(VLOOKUP(CONCATENATE($D3277,$G3277),CSRFinput!$B:$E,4,0)=0,OR(H3277=MappingTables!$C$34,H3277=MappingTables!$C$35)),1,VLOOKUP(CONCATENATE($D3277,$G3277),CSRFinput!$B:$E,4,0)))</f>
        <v>0.054776304963434752</v>
      </c>
      <c r="W3277" s="85">
        <f>IF(B3277="",0,+$T3277*$V3277)</f>
        <v>53.756690541573112</v>
      </c>
      <c r="X3277" s="85">
        <f>IF(B3277="",0,IF(OR(H3277=MappingTables!$C$34,H3277=MappingTables!$C$35),W3277,0))</f>
        <v>0</v>
      </c>
    </row>
    <row r="3278" spans="2:24" s="0" customFormat="0" ht="15">
      <c r="B3278" s="69">
        <v>8584176</v>
      </c>
      <c r="C3278" s="70" t="s">
        <v>225</v>
      </c>
      <c r="D3278" s="70" t="s">
        <v>1</v>
      </c>
      <c r="E3278" s="70" t="s">
        <v>1</v>
      </c>
      <c r="F3278" s="70"/>
      <c r="G3278" s="70" t="s">
        <v>61</v>
      </c>
      <c r="H3278" s="70" t="s">
        <v>178</v>
      </c>
      <c r="I3278" s="70" t="s">
        <v>181</v>
      </c>
      <c r="J3278" s="71">
        <f>IF(OR(I3278=0,I3278=""),"unrated",VLOOKUP(I3278,MappingTables!$B$19:$C$31,2,FALSE))</f>
        <v>3</v>
      </c>
      <c r="K3278" s="72">
        <v>0.11446696217933732</v>
      </c>
      <c r="L3278" s="70">
        <v>0.03835815437719908</v>
      </c>
      <c r="M3278" s="71">
        <f>IF(L3278&lt;1,1,L3278)</f>
        <v>1</v>
      </c>
      <c r="N3278" s="70" t="s">
        <v>141</v>
      </c>
      <c r="O3278" s="71">
        <f>INDEX(DurClassMapping,MATCH(M3278,MappingTables!$D$4:$D$8,-1),1)</f>
        <v>1</v>
      </c>
      <c r="P3278" s="73">
        <f>IF(M3278=$A$1,1,$M3278-INDEX(MappingTables!$E$4:$E$8,MATCH(O3278,MappingTables!$B$4:$B$8,0)))</f>
        <v>1</v>
      </c>
      <c r="Q3278" s="71">
        <f>IF(B3278="",0,INDEX(ModelParameters!$D$6:$K$10,MATCH($O3278,ModelParameters!$B$6:$B$10,0),MATCH($J3278,ModelParameters!$D$5:$K$5,0)))</f>
        <v>0.025</v>
      </c>
      <c r="R3278" s="71">
        <f>IF(B3278="",0,INDEX(ModelParameters!$D$13:$K$17,MATCH($O3278,ModelParameters!$B$13:$B$17,0),MATCH($J3278,ModelParameters!$D$5:$K$5,0)))</f>
        <v>0</v>
      </c>
      <c r="S3278" s="160">
        <f>IF(B3278="",0,MIN(IF($N3278="Other Bond TM",ModelParameters!$N$21,1)*(P3278*Q3278+R3278),1))</f>
        <v>0.025</v>
      </c>
      <c r="T3278" s="85">
        <f>IF(B3278="",0,$S3278*$K3278)</f>
        <v>0.0028616740544834332</v>
      </c>
      <c r="U3278" s="85">
        <f>IF(B3278="",0,IF(OR(H3278=MappingTables!$C$34,H3278=MappingTables!$C$35),T3278,0))</f>
        <v>0</v>
      </c>
      <c r="V3278" s="85">
        <f>IF(ISNA(IF(AND(VLOOKUP(CONCATENATE($D3278,$G3278),CSRFinput!$B:$E,4,0)=0,OR(H3278=MappingTables!$C$34,H3278=MappingTables!$C$35)),1,VLOOKUP(CONCATENATE($D3278,$G3278),CSRFinput!$B:$E,4,0))),0,IF(AND(VLOOKUP(CONCATENATE($D3278,$G3278),CSRFinput!$B:$E,4,0)=0,OR(H3278=MappingTables!$C$34,H3278=MappingTables!$C$35)),1,VLOOKUP(CONCATENATE($D3278,$G3278),CSRFinput!$B:$E,4,0)))</f>
        <v>0.054776304963434752</v>
      </c>
      <c r="W3278" s="85">
        <f>IF(B3278="",0,+$T3278*$V3278)</f>
        <v>0.00015675193071433332</v>
      </c>
      <c r="X3278" s="85">
        <f>IF(B3278="",0,IF(OR(H3278=MappingTables!$C$34,H3278=MappingTables!$C$35),W3278,0))</f>
        <v>0</v>
      </c>
    </row>
    <row r="3279" spans="2:24" s="0" customFormat="0" ht="15">
      <c r="B3279" s="69" t="s">
        <v>2788</v>
      </c>
      <c r="C3279" s="70" t="s">
        <v>2789</v>
      </c>
      <c r="D3279" s="70" t="s">
        <v>1</v>
      </c>
      <c r="E3279" s="70" t="s">
        <v>1</v>
      </c>
      <c r="F3279" s="70"/>
      <c r="G3279" s="70" t="s">
        <v>61</v>
      </c>
      <c r="H3279" s="70" t="s">
        <v>178</v>
      </c>
      <c r="I3279" s="70" t="s">
        <v>184</v>
      </c>
      <c r="J3279" s="71">
        <f>IF(OR(I3279=0,I3279=""),"unrated",VLOOKUP(I3279,MappingTables!$B$19:$C$31,2,FALSE))</f>
        <v>5</v>
      </c>
      <c r="K3279" s="72">
        <v>244.24724351124076</v>
      </c>
      <c r="L3279" s="70">
        <v>5.2101504139424464</v>
      </c>
      <c r="M3279" s="71">
        <f>IF(L3279&lt;1,1,L3279)</f>
        <v>5.2101504139424464</v>
      </c>
      <c r="N3279" s="70" t="s">
        <v>141</v>
      </c>
      <c r="O3279" s="71">
        <f>INDEX(DurClassMapping,MATCH(M3279,MappingTables!$D$4:$D$8,-1),1)</f>
        <v>2</v>
      </c>
      <c r="P3279" s="73">
        <f>IF(M3279=$A$1,1,$M3279-INDEX(MappingTables!$E$4:$E$8,MATCH(O3279,MappingTables!$B$4:$B$8,0)))</f>
        <v>0.21015041394244616</v>
      </c>
      <c r="Q3279" s="71">
        <f>IF(B3279="",0,INDEX(ModelParameters!$D$6:$K$10,MATCH($O3279,ModelParameters!$B$6:$B$10,0),MATCH($J3279,ModelParameters!$D$5:$K$5,0)))</f>
        <v>0.042</v>
      </c>
      <c r="R3279" s="71">
        <f>IF(B3279="",0,INDEX(ModelParameters!$D$13:$K$17,MATCH($O3279,ModelParameters!$B$13:$B$17,0),MATCH($J3279,ModelParameters!$D$5:$K$5,0)))</f>
        <v>0.375</v>
      </c>
      <c r="S3279" s="160">
        <f>IF(B3279="",0,MIN(IF($N3279="Other Bond TM",ModelParameters!$N$21,1)*(P3279*Q3279+R3279),1))</f>
        <v>0.3838263173855828</v>
      </c>
      <c r="T3279" s="85">
        <f>IF(B3279="",0,$S3279*$K3279)</f>
        <v>93.748520008499216</v>
      </c>
      <c r="U3279" s="85">
        <f>IF(B3279="",0,IF(OR(H3279=MappingTables!$C$34,H3279=MappingTables!$C$35),T3279,0))</f>
        <v>0</v>
      </c>
      <c r="V3279" s="85">
        <f>IF(ISNA(IF(AND(VLOOKUP(CONCATENATE($D3279,$G3279),CSRFinput!$B:$E,4,0)=0,OR(H3279=MappingTables!$C$34,H3279=MappingTables!$C$35)),1,VLOOKUP(CONCATENATE($D3279,$G3279),CSRFinput!$B:$E,4,0))),0,IF(AND(VLOOKUP(CONCATENATE($D3279,$G3279),CSRFinput!$B:$E,4,0)=0,OR(H3279=MappingTables!$C$34,H3279=MappingTables!$C$35)),1,VLOOKUP(CONCATENATE($D3279,$G3279),CSRFinput!$B:$E,4,0)))</f>
        <v>0.054776304963434752</v>
      </c>
      <c r="W3279" s="85">
        <f>IF(B3279="",0,+$T3279*$V3279)</f>
        <v>5.1351975218562176</v>
      </c>
      <c r="X3279" s="85">
        <f>IF(B3279="",0,IF(OR(H3279=MappingTables!$C$34,H3279=MappingTables!$C$35),W3279,0))</f>
        <v>0</v>
      </c>
    </row>
    <row r="3280" spans="2:24" s="0" customFormat="0" ht="15">
      <c r="B3280" s="69">
        <v>22902513</v>
      </c>
      <c r="C3280" s="70" t="s">
        <v>1074</v>
      </c>
      <c r="D3280" s="70" t="s">
        <v>1</v>
      </c>
      <c r="E3280" s="70" t="s">
        <v>1</v>
      </c>
      <c r="F3280" s="70"/>
      <c r="G3280" s="70" t="s">
        <v>61</v>
      </c>
      <c r="H3280" s="70" t="s">
        <v>178</v>
      </c>
      <c r="I3280" s="70" t="s">
        <v>181</v>
      </c>
      <c r="J3280" s="71">
        <f>IF(OR(I3280=0,I3280=""),"unrated",VLOOKUP(I3280,MappingTables!$B$19:$C$31,2,FALSE))</f>
        <v>3</v>
      </c>
      <c r="K3280" s="72">
        <v>358.71654431422672</v>
      </c>
      <c r="L3280" s="70">
        <v>7.7754204871971504</v>
      </c>
      <c r="M3280" s="71">
        <f>IF(L3280&lt;1,1,L3280)</f>
        <v>7.7754204871971504</v>
      </c>
      <c r="N3280" s="70" t="s">
        <v>141</v>
      </c>
      <c r="O3280" s="71">
        <f>INDEX(DurClassMapping,MATCH(M3280,MappingTables!$D$4:$D$8,-1),1)</f>
        <v>2</v>
      </c>
      <c r="P3280" s="73">
        <f>IF(M3280=$A$1,1,$M3280-INDEX(MappingTables!$E$4:$E$8,MATCH(O3280,MappingTables!$B$4:$B$8,0)))</f>
        <v>2.7754204871971496</v>
      </c>
      <c r="Q3280" s="71">
        <f>IF(B3280="",0,INDEX(ModelParameters!$D$6:$K$10,MATCH($O3280,ModelParameters!$B$6:$B$10,0),MATCH($J3280,ModelParameters!$D$5:$K$5,0)))</f>
        <v>0.015</v>
      </c>
      <c r="R3280" s="71">
        <f>IF(B3280="",0,INDEX(ModelParameters!$D$13:$K$17,MATCH($O3280,ModelParameters!$B$13:$B$17,0),MATCH($J3280,ModelParameters!$D$5:$K$5,0)))</f>
        <v>0.125</v>
      </c>
      <c r="S3280" s="160">
        <f>IF(B3280="",0,MIN(IF($N3280="Other Bond TM",ModelParameters!$N$21,1)*(P3280*Q3280+R3280),1))</f>
        <v>0.16663130730795724</v>
      </c>
      <c r="T3280" s="85">
        <f>IF(B3280="",0,$S3280*$K3280)</f>
        <v>59.773406732072384</v>
      </c>
      <c r="U3280" s="85">
        <f>IF(B3280="",0,IF(OR(H3280=MappingTables!$C$34,H3280=MappingTables!$C$35),T3280,0))</f>
        <v>0</v>
      </c>
      <c r="V3280" s="85">
        <f>IF(ISNA(IF(AND(VLOOKUP(CONCATENATE($D3280,$G3280),CSRFinput!$B:$E,4,0)=0,OR(H3280=MappingTables!$C$34,H3280=MappingTables!$C$35)),1,VLOOKUP(CONCATENATE($D3280,$G3280),CSRFinput!$B:$E,4,0))),0,IF(AND(VLOOKUP(CONCATENATE($D3280,$G3280),CSRFinput!$B:$E,4,0)=0,OR(H3280=MappingTables!$C$34,H3280=MappingTables!$C$35)),1,VLOOKUP(CONCATENATE($D3280,$G3280),CSRFinput!$B:$E,4,0)))</f>
        <v>0.054776304963434752</v>
      </c>
      <c r="W3280" s="85">
        <f>IF(B3280="",0,+$T3280*$V3280)</f>
        <v>3.2741663558594208</v>
      </c>
      <c r="X3280" s="85">
        <f>IF(B3280="",0,IF(OR(H3280=MappingTables!$C$34,H3280=MappingTables!$C$35),W3280,0))</f>
        <v>0</v>
      </c>
    </row>
    <row r="3281" spans="2:24" s="0" customFormat="0" ht="15">
      <c r="B3281" s="69" t="s">
        <v>1580</v>
      </c>
      <c r="C3281" s="70" t="s">
        <v>1581</v>
      </c>
      <c r="D3281" s="70" t="s">
        <v>1</v>
      </c>
      <c r="E3281" s="70" t="s">
        <v>1</v>
      </c>
      <c r="F3281" s="70"/>
      <c r="G3281" s="70" t="s">
        <v>61</v>
      </c>
      <c r="H3281" s="70" t="s">
        <v>178</v>
      </c>
      <c r="I3281" s="70" t="s">
        <v>181</v>
      </c>
      <c r="J3281" s="71">
        <f>IF(OR(I3281=0,I3281=""),"unrated",VLOOKUP(I3281,MappingTables!$B$19:$C$31,2,FALSE))</f>
        <v>3</v>
      </c>
      <c r="K3281" s="72">
        <v>306.93097994510628</v>
      </c>
      <c r="L3281" s="70">
        <v>8.4919735268224016</v>
      </c>
      <c r="M3281" s="71">
        <f>IF(L3281&lt;1,1,L3281)</f>
        <v>8.4919735268224016</v>
      </c>
      <c r="N3281" s="70" t="s">
        <v>141</v>
      </c>
      <c r="O3281" s="71">
        <f>INDEX(DurClassMapping,MATCH(M3281,MappingTables!$D$4:$D$8,-1),1)</f>
        <v>2</v>
      </c>
      <c r="P3281" s="73">
        <f>IF(M3281=$A$1,1,$M3281-INDEX(MappingTables!$E$4:$E$8,MATCH(O3281,MappingTables!$B$4:$B$8,0)))</f>
        <v>3.4919735268224024</v>
      </c>
      <c r="Q3281" s="71">
        <f>IF(B3281="",0,INDEX(ModelParameters!$D$6:$K$10,MATCH($O3281,ModelParameters!$B$6:$B$10,0),MATCH($J3281,ModelParameters!$D$5:$K$5,0)))</f>
        <v>0.015</v>
      </c>
      <c r="R3281" s="71">
        <f>IF(B3281="",0,INDEX(ModelParameters!$D$13:$K$17,MATCH($O3281,ModelParameters!$B$13:$B$17,0),MATCH($J3281,ModelParameters!$D$5:$K$5,0)))</f>
        <v>0.125</v>
      </c>
      <c r="S3281" s="160">
        <f>IF(B3281="",0,MIN(IF($N3281="Other Bond TM",ModelParameters!$N$21,1)*(P3281*Q3281+R3281),1))</f>
        <v>0.17737960290233604</v>
      </c>
      <c r="T3281" s="85">
        <f>IF(B3281="",0,$S3281*$K3281)</f>
        <v>54.443295341087816</v>
      </c>
      <c r="U3281" s="85">
        <f>IF(B3281="",0,IF(OR(H3281=MappingTables!$C$34,H3281=MappingTables!$C$35),T3281,0))</f>
        <v>0</v>
      </c>
      <c r="V3281" s="85">
        <f>IF(ISNA(IF(AND(VLOOKUP(CONCATENATE($D3281,$G3281),CSRFinput!$B:$E,4,0)=0,OR(H3281=MappingTables!$C$34,H3281=MappingTables!$C$35)),1,VLOOKUP(CONCATENATE($D3281,$G3281),CSRFinput!$B:$E,4,0))),0,IF(AND(VLOOKUP(CONCATENATE($D3281,$G3281),CSRFinput!$B:$E,4,0)=0,OR(H3281=MappingTables!$C$34,H3281=MappingTables!$C$35)),1,VLOOKUP(CONCATENATE($D3281,$G3281),CSRFinput!$B:$E,4,0)))</f>
        <v>0.054776304963434752</v>
      </c>
      <c r="W3281" s="85">
        <f>IF(B3281="",0,+$T3281*$V3281)</f>
        <v>2.9822025488177732</v>
      </c>
      <c r="X3281" s="85">
        <f>IF(B3281="",0,IF(OR(H3281=MappingTables!$C$34,H3281=MappingTables!$C$35),W3281,0))</f>
        <v>0</v>
      </c>
    </row>
    <row r="3282" spans="2:24" s="0" customFormat="0" ht="15">
      <c r="B3282" s="69">
        <v>17012996</v>
      </c>
      <c r="C3282" s="70" t="s">
        <v>2790</v>
      </c>
      <c r="D3282" s="70" t="s">
        <v>1</v>
      </c>
      <c r="E3282" s="70" t="s">
        <v>1</v>
      </c>
      <c r="F3282" s="70"/>
      <c r="G3282" s="70" t="s">
        <v>61</v>
      </c>
      <c r="H3282" s="70" t="s">
        <v>178</v>
      </c>
      <c r="I3282" s="70" t="s">
        <v>181</v>
      </c>
      <c r="J3282" s="71">
        <f>IF(OR(I3282=0,I3282=""),"unrated",VLOOKUP(I3282,MappingTables!$B$19:$C$31,2,FALSE))</f>
        <v>3</v>
      </c>
      <c r="K3282" s="72">
        <v>11.717607861718524</v>
      </c>
      <c r="L3282" s="70">
        <v>0.11780955793386252</v>
      </c>
      <c r="M3282" s="71">
        <f>IF(L3282&lt;1,1,L3282)</f>
        <v>1</v>
      </c>
      <c r="N3282" s="70" t="s">
        <v>141</v>
      </c>
      <c r="O3282" s="71">
        <f>INDEX(DurClassMapping,MATCH(M3282,MappingTables!$D$4:$D$8,-1),1)</f>
        <v>1</v>
      </c>
      <c r="P3282" s="73">
        <f>IF(M3282=$A$1,1,$M3282-INDEX(MappingTables!$E$4:$E$8,MATCH(O3282,MappingTables!$B$4:$B$8,0)))</f>
        <v>1</v>
      </c>
      <c r="Q3282" s="71">
        <f>IF(B3282="",0,INDEX(ModelParameters!$D$6:$K$10,MATCH($O3282,ModelParameters!$B$6:$B$10,0),MATCH($J3282,ModelParameters!$D$5:$K$5,0)))</f>
        <v>0.025</v>
      </c>
      <c r="R3282" s="71">
        <f>IF(B3282="",0,INDEX(ModelParameters!$D$13:$K$17,MATCH($O3282,ModelParameters!$B$13:$B$17,0),MATCH($J3282,ModelParameters!$D$5:$K$5,0)))</f>
        <v>0</v>
      </c>
      <c r="S3282" s="160">
        <f>IF(B3282="",0,MIN(IF($N3282="Other Bond TM",ModelParameters!$N$21,1)*(P3282*Q3282+R3282),1))</f>
        <v>0.025</v>
      </c>
      <c r="T3282" s="85">
        <f>IF(B3282="",0,$S3282*$K3282)</f>
        <v>0.29294019654296312</v>
      </c>
      <c r="U3282" s="85">
        <f>IF(B3282="",0,IF(OR(H3282=MappingTables!$C$34,H3282=MappingTables!$C$35),T3282,0))</f>
        <v>0</v>
      </c>
      <c r="V3282" s="85">
        <f>IF(ISNA(IF(AND(VLOOKUP(CONCATENATE($D3282,$G3282),CSRFinput!$B:$E,4,0)=0,OR(H3282=MappingTables!$C$34,H3282=MappingTables!$C$35)),1,VLOOKUP(CONCATENATE($D3282,$G3282),CSRFinput!$B:$E,4,0))),0,IF(AND(VLOOKUP(CONCATENATE($D3282,$G3282),CSRFinput!$B:$E,4,0)=0,OR(H3282=MappingTables!$C$34,H3282=MappingTables!$C$35)),1,VLOOKUP(CONCATENATE($D3282,$G3282),CSRFinput!$B:$E,4,0)))</f>
        <v>0.054776304963434752</v>
      </c>
      <c r="W3282" s="85">
        <f>IF(B3282="",0,+$T3282*$V3282)</f>
        <v>0.016046181541885862</v>
      </c>
      <c r="X3282" s="85">
        <f>IF(B3282="",0,IF(OR(H3282=MappingTables!$C$34,H3282=MappingTables!$C$35),W3282,0))</f>
        <v>0</v>
      </c>
    </row>
    <row r="3283" spans="2:24" s="0" customFormat="0" ht="15">
      <c r="B3283" s="69">
        <v>14805194</v>
      </c>
      <c r="C3283" s="70" t="s">
        <v>2027</v>
      </c>
      <c r="D3283" s="70" t="s">
        <v>1</v>
      </c>
      <c r="E3283" s="70" t="s">
        <v>1</v>
      </c>
      <c r="F3283" s="70"/>
      <c r="G3283" s="70" t="s">
        <v>61</v>
      </c>
      <c r="H3283" s="70" t="s">
        <v>178</v>
      </c>
      <c r="I3283" s="70" t="s">
        <v>220</v>
      </c>
      <c r="J3283" s="71">
        <f>IF(OR(I3283=0,I3283=""),"unrated",VLOOKUP(I3283,MappingTables!$B$19:$C$31,2,FALSE))</f>
        <v>1</v>
      </c>
      <c r="K3283" s="72">
        <v>962.32235366214352</v>
      </c>
      <c r="L3283" s="70">
        <v>0.20273943977761344</v>
      </c>
      <c r="M3283" s="71">
        <f>IF(L3283&lt;1,1,L3283)</f>
        <v>1</v>
      </c>
      <c r="N3283" s="70" t="s">
        <v>141</v>
      </c>
      <c r="O3283" s="71">
        <f>INDEX(DurClassMapping,MATCH(M3283,MappingTables!$D$4:$D$8,-1),1)</f>
        <v>1</v>
      </c>
      <c r="P3283" s="73">
        <f>IF(M3283=$A$1,1,$M3283-INDEX(MappingTables!$E$4:$E$8,MATCH(O3283,MappingTables!$B$4:$B$8,0)))</f>
        <v>1</v>
      </c>
      <c r="Q3283" s="71">
        <f>IF(B3283="",0,INDEX(ModelParameters!$D$6:$K$10,MATCH($O3283,ModelParameters!$B$6:$B$10,0),MATCH($J3283,ModelParameters!$D$5:$K$5,0)))</f>
        <v>0.011000000000000002</v>
      </c>
      <c r="R3283" s="71">
        <f>IF(B3283="",0,INDEX(ModelParameters!$D$13:$K$17,MATCH($O3283,ModelParameters!$B$13:$B$17,0),MATCH($J3283,ModelParameters!$D$5:$K$5,0)))</f>
        <v>0</v>
      </c>
      <c r="S3283" s="160">
        <f>IF(B3283="",0,MIN(IF($N3283="Other Bond TM",ModelParameters!$N$21,1)*(P3283*Q3283+R3283),1))</f>
        <v>0.011000000000000002</v>
      </c>
      <c r="T3283" s="85">
        <f>IF(B3283="",0,$S3283*$K3283)</f>
        <v>10.58554589028358</v>
      </c>
      <c r="U3283" s="85">
        <f>IF(B3283="",0,IF(OR(H3283=MappingTables!$C$34,H3283=MappingTables!$C$35),T3283,0))</f>
        <v>0</v>
      </c>
      <c r="V3283" s="85">
        <f>IF(ISNA(IF(AND(VLOOKUP(CONCATENATE($D3283,$G3283),CSRFinput!$B:$E,4,0)=0,OR(H3283=MappingTables!$C$34,H3283=MappingTables!$C$35)),1,VLOOKUP(CONCATENATE($D3283,$G3283),CSRFinput!$B:$E,4,0))),0,IF(AND(VLOOKUP(CONCATENATE($D3283,$G3283),CSRFinput!$B:$E,4,0)=0,OR(H3283=MappingTables!$C$34,H3283=MappingTables!$C$35)),1,VLOOKUP(CONCATENATE($D3283,$G3283),CSRFinput!$B:$E,4,0)))</f>
        <v>0.054776304963434752</v>
      </c>
      <c r="W3283" s="85">
        <f>IF(B3283="",0,+$T3283*$V3283)</f>
        <v>0.5798370898906068</v>
      </c>
      <c r="X3283" s="85">
        <f>IF(B3283="",0,IF(OR(H3283=MappingTables!$C$34,H3283=MappingTables!$C$35),W3283,0))</f>
        <v>0</v>
      </c>
    </row>
    <row r="3284" spans="2:24" s="0" customFormat="0" ht="15">
      <c r="B3284" s="69">
        <v>6831738</v>
      </c>
      <c r="C3284" s="70" t="s">
        <v>2749</v>
      </c>
      <c r="D3284" s="70" t="s">
        <v>1</v>
      </c>
      <c r="E3284" s="70" t="s">
        <v>1</v>
      </c>
      <c r="F3284" s="70"/>
      <c r="G3284" s="70" t="s">
        <v>61</v>
      </c>
      <c r="H3284" s="70" t="s">
        <v>178</v>
      </c>
      <c r="I3284" s="70" t="s">
        <v>181</v>
      </c>
      <c r="J3284" s="71">
        <f>IF(OR(I3284=0,I3284=""),"unrated",VLOOKUP(I3284,MappingTables!$B$19:$C$31,2,FALSE))</f>
        <v>3</v>
      </c>
      <c r="K3284" s="72">
        <v>777.87644529356688</v>
      </c>
      <c r="L3284" s="70">
        <v>1.2538042124719264</v>
      </c>
      <c r="M3284" s="71">
        <f>IF(L3284&lt;1,1,L3284)</f>
        <v>1.2538042124719264</v>
      </c>
      <c r="N3284" s="70" t="s">
        <v>141</v>
      </c>
      <c r="O3284" s="71">
        <f>INDEX(DurClassMapping,MATCH(M3284,MappingTables!$D$4:$D$8,-1),1)</f>
        <v>1</v>
      </c>
      <c r="P3284" s="73">
        <f>IF(M3284=$A$1,1,$M3284-INDEX(MappingTables!$E$4:$E$8,MATCH(O3284,MappingTables!$B$4:$B$8,0)))</f>
        <v>1.2538042124719264</v>
      </c>
      <c r="Q3284" s="71">
        <f>IF(B3284="",0,INDEX(ModelParameters!$D$6:$K$10,MATCH($O3284,ModelParameters!$B$6:$B$10,0),MATCH($J3284,ModelParameters!$D$5:$K$5,0)))</f>
        <v>0.025</v>
      </c>
      <c r="R3284" s="71">
        <f>IF(B3284="",0,INDEX(ModelParameters!$D$13:$K$17,MATCH($O3284,ModelParameters!$B$13:$B$17,0),MATCH($J3284,ModelParameters!$D$5:$K$5,0)))</f>
        <v>0</v>
      </c>
      <c r="S3284" s="160">
        <f>IF(B3284="",0,MIN(IF($N3284="Other Bond TM",ModelParameters!$N$21,1)*(P3284*Q3284+R3284),1))</f>
        <v>0.03134510531179816</v>
      </c>
      <c r="T3284" s="85">
        <f>IF(B3284="",0,$S3284*$K3284)</f>
        <v>24.382619097294056</v>
      </c>
      <c r="U3284" s="85">
        <f>IF(B3284="",0,IF(OR(H3284=MappingTables!$C$34,H3284=MappingTables!$C$35),T3284,0))</f>
        <v>0</v>
      </c>
      <c r="V3284" s="85">
        <f>IF(ISNA(IF(AND(VLOOKUP(CONCATENATE($D3284,$G3284),CSRFinput!$B:$E,4,0)=0,OR(H3284=MappingTables!$C$34,H3284=MappingTables!$C$35)),1,VLOOKUP(CONCATENATE($D3284,$G3284),CSRFinput!$B:$E,4,0))),0,IF(AND(VLOOKUP(CONCATENATE($D3284,$G3284),CSRFinput!$B:$E,4,0)=0,OR(H3284=MappingTables!$C$34,H3284=MappingTables!$C$35)),1,VLOOKUP(CONCATENATE($D3284,$G3284),CSRFinput!$B:$E,4,0)))</f>
        <v>0.054776304963434752</v>
      </c>
      <c r="W3284" s="85">
        <f>IF(B3284="",0,+$T3284*$V3284)</f>
        <v>1.3355897794806474</v>
      </c>
      <c r="X3284" s="85">
        <f>IF(B3284="",0,IF(OR(H3284=MappingTables!$C$34,H3284=MappingTables!$C$35),W3284,0))</f>
        <v>0</v>
      </c>
    </row>
    <row r="3285" spans="2:24" s="0" customFormat="0" ht="15">
      <c r="B3285" s="69">
        <v>21005390</v>
      </c>
      <c r="C3285" s="70" t="s">
        <v>2791</v>
      </c>
      <c r="D3285" s="70" t="s">
        <v>1</v>
      </c>
      <c r="E3285" s="70" t="s">
        <v>1</v>
      </c>
      <c r="F3285" s="70"/>
      <c r="G3285" s="70" t="s">
        <v>61</v>
      </c>
      <c r="H3285" s="70" t="s">
        <v>178</v>
      </c>
      <c r="I3285" s="70" t="s">
        <v>181</v>
      </c>
      <c r="J3285" s="71">
        <f>IF(OR(I3285=0,I3285=""),"unrated",VLOOKUP(I3285,MappingTables!$B$19:$C$31,2,FALSE))</f>
        <v>3</v>
      </c>
      <c r="K3285" s="72">
        <v>3904.132890076568</v>
      </c>
      <c r="L3285" s="70">
        <v>7.5684702793877792</v>
      </c>
      <c r="M3285" s="71">
        <f>IF(L3285&lt;1,1,L3285)</f>
        <v>7.5684702793877792</v>
      </c>
      <c r="N3285" s="70" t="s">
        <v>141</v>
      </c>
      <c r="O3285" s="71">
        <f>INDEX(DurClassMapping,MATCH(M3285,MappingTables!$D$4:$D$8,-1),1)</f>
        <v>2</v>
      </c>
      <c r="P3285" s="73">
        <f>IF(M3285=$A$1,1,$M3285-INDEX(MappingTables!$E$4:$E$8,MATCH(O3285,MappingTables!$B$4:$B$8,0)))</f>
        <v>2.5684702793877792</v>
      </c>
      <c r="Q3285" s="71">
        <f>IF(B3285="",0,INDEX(ModelParameters!$D$6:$K$10,MATCH($O3285,ModelParameters!$B$6:$B$10,0),MATCH($J3285,ModelParameters!$D$5:$K$5,0)))</f>
        <v>0.015</v>
      </c>
      <c r="R3285" s="71">
        <f>IF(B3285="",0,INDEX(ModelParameters!$D$13:$K$17,MATCH($O3285,ModelParameters!$B$13:$B$17,0),MATCH($J3285,ModelParameters!$D$5:$K$5,0)))</f>
        <v>0.125</v>
      </c>
      <c r="S3285" s="160">
        <f>IF(B3285="",0,MIN(IF($N3285="Other Bond TM",ModelParameters!$N$21,1)*(P3285*Q3285+R3285),1))</f>
        <v>0.1635270541908167</v>
      </c>
      <c r="T3285" s="85">
        <f>IF(B3285="",0,$S3285*$K3285)</f>
        <v>638.4313506837008</v>
      </c>
      <c r="U3285" s="85">
        <f>IF(B3285="",0,IF(OR(H3285=MappingTables!$C$34,H3285=MappingTables!$C$35),T3285,0))</f>
        <v>0</v>
      </c>
      <c r="V3285" s="85">
        <f>IF(ISNA(IF(AND(VLOOKUP(CONCATENATE($D3285,$G3285),CSRFinput!$B:$E,4,0)=0,OR(H3285=MappingTables!$C$34,H3285=MappingTables!$C$35)),1,VLOOKUP(CONCATENATE($D3285,$G3285),CSRFinput!$B:$E,4,0))),0,IF(AND(VLOOKUP(CONCATENATE($D3285,$G3285),CSRFinput!$B:$E,4,0)=0,OR(H3285=MappingTables!$C$34,H3285=MappingTables!$C$35)),1,VLOOKUP(CONCATENATE($D3285,$G3285),CSRFinput!$B:$E,4,0)))</f>
        <v>0.054776304963434752</v>
      </c>
      <c r="W3285" s="85">
        <f>IF(B3285="",0,+$T3285*$V3285)</f>
        <v>34.970910363267956</v>
      </c>
      <c r="X3285" s="85">
        <f>IF(B3285="",0,IF(OR(H3285=MappingTables!$C$34,H3285=MappingTables!$C$35),W3285,0))</f>
        <v>0</v>
      </c>
    </row>
    <row r="3286" spans="2:24" s="0" customFormat="0" ht="15">
      <c r="B3286" s="69" t="s">
        <v>1326</v>
      </c>
      <c r="C3286" s="70" t="s">
        <v>1327</v>
      </c>
      <c r="D3286" s="70" t="s">
        <v>1</v>
      </c>
      <c r="E3286" s="70" t="s">
        <v>1</v>
      </c>
      <c r="F3286" s="70"/>
      <c r="G3286" s="70" t="s">
        <v>61</v>
      </c>
      <c r="H3286" s="70" t="s">
        <v>178</v>
      </c>
      <c r="I3286" s="70" t="s">
        <v>181</v>
      </c>
      <c r="J3286" s="71">
        <f>IF(OR(I3286=0,I3286=""),"unrated",VLOOKUP(I3286,MappingTables!$B$19:$C$31,2,FALSE))</f>
        <v>3</v>
      </c>
      <c r="K3286" s="72">
        <v>1671.449161117673</v>
      </c>
      <c r="L3286" s="70">
        <v>7.709064803972064</v>
      </c>
      <c r="M3286" s="71">
        <f>IF(L3286&lt;1,1,L3286)</f>
        <v>7.709064803972064</v>
      </c>
      <c r="N3286" s="70" t="s">
        <v>141</v>
      </c>
      <c r="O3286" s="71">
        <f>INDEX(DurClassMapping,MATCH(M3286,MappingTables!$D$4:$D$8,-1),1)</f>
        <v>2</v>
      </c>
      <c r="P3286" s="73">
        <f>IF(M3286=$A$1,1,$M3286-INDEX(MappingTables!$E$4:$E$8,MATCH(O3286,MappingTables!$B$4:$B$8,0)))</f>
        <v>2.7090648039720636</v>
      </c>
      <c r="Q3286" s="71">
        <f>IF(B3286="",0,INDEX(ModelParameters!$D$6:$K$10,MATCH($O3286,ModelParameters!$B$6:$B$10,0),MATCH($J3286,ModelParameters!$D$5:$K$5,0)))</f>
        <v>0.015</v>
      </c>
      <c r="R3286" s="71">
        <f>IF(B3286="",0,INDEX(ModelParameters!$D$13:$K$17,MATCH($O3286,ModelParameters!$B$13:$B$17,0),MATCH($J3286,ModelParameters!$D$5:$K$5,0)))</f>
        <v>0.125</v>
      </c>
      <c r="S3286" s="160">
        <f>IF(B3286="",0,MIN(IF($N3286="Other Bond TM",ModelParameters!$N$21,1)*(P3286*Q3286+R3286),1))</f>
        <v>0.16563597205958098</v>
      </c>
      <c r="T3286" s="85">
        <f>IF(B3286="",0,$S3286*$K3286)</f>
        <v>276.85210654989692</v>
      </c>
      <c r="U3286" s="85">
        <f>IF(B3286="",0,IF(OR(H3286=MappingTables!$C$34,H3286=MappingTables!$C$35),T3286,0))</f>
        <v>0</v>
      </c>
      <c r="V3286" s="85">
        <f>IF(ISNA(IF(AND(VLOOKUP(CONCATENATE($D3286,$G3286),CSRFinput!$B:$E,4,0)=0,OR(H3286=MappingTables!$C$34,H3286=MappingTables!$C$35)),1,VLOOKUP(CONCATENATE($D3286,$G3286),CSRFinput!$B:$E,4,0))),0,IF(AND(VLOOKUP(CONCATENATE($D3286,$G3286),CSRFinput!$B:$E,4,0)=0,OR(H3286=MappingTables!$C$34,H3286=MappingTables!$C$35)),1,VLOOKUP(CONCATENATE($D3286,$G3286),CSRFinput!$B:$E,4,0)))</f>
        <v>0.054776304963434752</v>
      </c>
      <c r="W3286" s="85">
        <f>IF(B3286="",0,+$T3286*$V3286)</f>
        <v>15.164935418146486</v>
      </c>
      <c r="X3286" s="85">
        <f>IF(B3286="",0,IF(OR(H3286=MappingTables!$C$34,H3286=MappingTables!$C$35),W3286,0))</f>
        <v>0</v>
      </c>
    </row>
    <row r="3287" spans="2:24" s="0" customFormat="0" ht="15">
      <c r="B3287" s="69">
        <v>21736766</v>
      </c>
      <c r="C3287" s="70" t="s">
        <v>2792</v>
      </c>
      <c r="D3287" s="70" t="s">
        <v>1</v>
      </c>
      <c r="E3287" s="70" t="s">
        <v>1</v>
      </c>
      <c r="F3287" s="70"/>
      <c r="G3287" s="70" t="s">
        <v>61</v>
      </c>
      <c r="H3287" s="70" t="s">
        <v>178</v>
      </c>
      <c r="I3287" s="70" t="s">
        <v>181</v>
      </c>
      <c r="J3287" s="71">
        <f>IF(OR(I3287=0,I3287=""),"unrated",VLOOKUP(I3287,MappingTables!$B$19:$C$31,2,FALSE))</f>
        <v>3</v>
      </c>
      <c r="K3287" s="72">
        <v>15956.481033064598</v>
      </c>
      <c r="L3287" s="70">
        <v>7.7786091419404432</v>
      </c>
      <c r="M3287" s="71">
        <f>IF(L3287&lt;1,1,L3287)</f>
        <v>7.7786091419404432</v>
      </c>
      <c r="N3287" s="70" t="s">
        <v>141</v>
      </c>
      <c r="O3287" s="71">
        <f>INDEX(DurClassMapping,MATCH(M3287,MappingTables!$D$4:$D$8,-1),1)</f>
        <v>2</v>
      </c>
      <c r="P3287" s="73">
        <f>IF(M3287=$A$1,1,$M3287-INDEX(MappingTables!$E$4:$E$8,MATCH(O3287,MappingTables!$B$4:$B$8,0)))</f>
        <v>2.7786091419404436</v>
      </c>
      <c r="Q3287" s="71">
        <f>IF(B3287="",0,INDEX(ModelParameters!$D$6:$K$10,MATCH($O3287,ModelParameters!$B$6:$B$10,0),MATCH($J3287,ModelParameters!$D$5:$K$5,0)))</f>
        <v>0.015</v>
      </c>
      <c r="R3287" s="71">
        <f>IF(B3287="",0,INDEX(ModelParameters!$D$13:$K$17,MATCH($O3287,ModelParameters!$B$13:$B$17,0),MATCH($J3287,ModelParameters!$D$5:$K$5,0)))</f>
        <v>0.125</v>
      </c>
      <c r="S3287" s="160">
        <f>IF(B3287="",0,MIN(IF($N3287="Other Bond TM",ModelParameters!$N$21,1)*(P3287*Q3287+R3287),1))</f>
        <v>0.16667913712910664</v>
      </c>
      <c r="T3287" s="85">
        <f>IF(B3287="",0,$S3287*$K3287)</f>
        <v>2659.6124902081632</v>
      </c>
      <c r="U3287" s="85">
        <f>IF(B3287="",0,IF(OR(H3287=MappingTables!$C$34,H3287=MappingTables!$C$35),T3287,0))</f>
        <v>0</v>
      </c>
      <c r="V3287" s="85">
        <f>IF(ISNA(IF(AND(VLOOKUP(CONCATENATE($D3287,$G3287),CSRFinput!$B:$E,4,0)=0,OR(H3287=MappingTables!$C$34,H3287=MappingTables!$C$35)),1,VLOOKUP(CONCATENATE($D3287,$G3287),CSRFinput!$B:$E,4,0))),0,IF(AND(VLOOKUP(CONCATENATE($D3287,$G3287),CSRFinput!$B:$E,4,0)=0,OR(H3287=MappingTables!$C$34,H3287=MappingTables!$C$35)),1,VLOOKUP(CONCATENATE($D3287,$G3287),CSRFinput!$B:$E,4,0)))</f>
        <v>0.054776304963434752</v>
      </c>
      <c r="W3287" s="85">
        <f>IF(B3287="",0,+$T3287*$V3287)</f>
        <v>145.68374484820248</v>
      </c>
      <c r="X3287" s="85">
        <f>IF(B3287="",0,IF(OR(H3287=MappingTables!$C$34,H3287=MappingTables!$C$35),W3287,0))</f>
        <v>0</v>
      </c>
    </row>
    <row r="3288" spans="2:24" s="0" customFormat="0" ht="15">
      <c r="B3288" s="69" t="s">
        <v>2647</v>
      </c>
      <c r="C3288" s="70" t="s">
        <v>2648</v>
      </c>
      <c r="D3288" s="70" t="s">
        <v>1</v>
      </c>
      <c r="E3288" s="70" t="s">
        <v>1</v>
      </c>
      <c r="F3288" s="70"/>
      <c r="G3288" s="70" t="s">
        <v>61</v>
      </c>
      <c r="H3288" s="70" t="s">
        <v>178</v>
      </c>
      <c r="I3288" s="70" t="s">
        <v>188</v>
      </c>
      <c r="J3288" s="71">
        <f>IF(OR(I3288=0,I3288=""),"unrated",VLOOKUP(I3288,MappingTables!$B$19:$C$31,2,FALSE))</f>
        <v>2</v>
      </c>
      <c r="K3288" s="72">
        <v>88.947759717549664</v>
      </c>
      <c r="L3288" s="70">
        <v>0.79653319828744752</v>
      </c>
      <c r="M3288" s="71">
        <f>IF(L3288&lt;1,1,L3288)</f>
        <v>1</v>
      </c>
      <c r="N3288" s="70" t="s">
        <v>141</v>
      </c>
      <c r="O3288" s="71">
        <f>INDEX(DurClassMapping,MATCH(M3288,MappingTables!$D$4:$D$8,-1),1)</f>
        <v>1</v>
      </c>
      <c r="P3288" s="73">
        <f>IF(M3288=$A$1,1,$M3288-INDEX(MappingTables!$E$4:$E$8,MATCH(O3288,MappingTables!$B$4:$B$8,0)))</f>
        <v>1</v>
      </c>
      <c r="Q3288" s="71">
        <f>IF(B3288="",0,INDEX(ModelParameters!$D$6:$K$10,MATCH($O3288,ModelParameters!$B$6:$B$10,0),MATCH($J3288,ModelParameters!$D$5:$K$5,0)))</f>
        <v>0.013999999999999998</v>
      </c>
      <c r="R3288" s="71">
        <f>IF(B3288="",0,INDEX(ModelParameters!$D$13:$K$17,MATCH($O3288,ModelParameters!$B$13:$B$17,0),MATCH($J3288,ModelParameters!$D$5:$K$5,0)))</f>
        <v>0</v>
      </c>
      <c r="S3288" s="160">
        <f>IF(B3288="",0,MIN(IF($N3288="Other Bond TM",ModelParameters!$N$21,1)*(P3288*Q3288+R3288),1))</f>
        <v>0.013999999999999998</v>
      </c>
      <c r="T3288" s="85">
        <f>IF(B3288="",0,$S3288*$K3288)</f>
        <v>1.245268636045695</v>
      </c>
      <c r="U3288" s="85">
        <f>IF(B3288="",0,IF(OR(H3288=MappingTables!$C$34,H3288=MappingTables!$C$35),T3288,0))</f>
        <v>0</v>
      </c>
      <c r="V3288" s="85">
        <f>IF(ISNA(IF(AND(VLOOKUP(CONCATENATE($D3288,$G3288),CSRFinput!$B:$E,4,0)=0,OR(H3288=MappingTables!$C$34,H3288=MappingTables!$C$35)),1,VLOOKUP(CONCATENATE($D3288,$G3288),CSRFinput!$B:$E,4,0))),0,IF(AND(VLOOKUP(CONCATENATE($D3288,$G3288),CSRFinput!$B:$E,4,0)=0,OR(H3288=MappingTables!$C$34,H3288=MappingTables!$C$35)),1,VLOOKUP(CONCATENATE($D3288,$G3288),CSRFinput!$B:$E,4,0)))</f>
        <v>0.054776304963434752</v>
      </c>
      <c r="W3288" s="85">
        <f>IF(B3288="",0,+$T3288*$V3288)</f>
        <v>0.068211214569439432</v>
      </c>
      <c r="X3288" s="85">
        <f>IF(B3288="",0,IF(OR(H3288=MappingTables!$C$34,H3288=MappingTables!$C$35),W3288,0))</f>
        <v>0</v>
      </c>
    </row>
    <row r="3289" spans="2:24" s="0" customFormat="0" ht="15">
      <c r="B3289" s="69">
        <v>12266947</v>
      </c>
      <c r="C3289" s="70" t="s">
        <v>2793</v>
      </c>
      <c r="D3289" s="70" t="s">
        <v>1</v>
      </c>
      <c r="E3289" s="70" t="s">
        <v>1</v>
      </c>
      <c r="F3289" s="70"/>
      <c r="G3289" s="70" t="s">
        <v>61</v>
      </c>
      <c r="H3289" s="70" t="s">
        <v>178</v>
      </c>
      <c r="I3289" s="70" t="s">
        <v>181</v>
      </c>
      <c r="J3289" s="71">
        <f>IF(OR(I3289=0,I3289=""),"unrated",VLOOKUP(I3289,MappingTables!$B$19:$C$31,2,FALSE))</f>
        <v>3</v>
      </c>
      <c r="K3289" s="72">
        <v>136.7355461122387</v>
      </c>
      <c r="L3289" s="70">
        <v>14.029192268736852</v>
      </c>
      <c r="M3289" s="71">
        <f>IF(L3289&lt;1,1,L3289)</f>
        <v>14.029192268736852</v>
      </c>
      <c r="N3289" s="70" t="s">
        <v>141</v>
      </c>
      <c r="O3289" s="71">
        <f>INDEX(DurClassMapping,MATCH(M3289,MappingTables!$D$4:$D$8,-1),1)</f>
        <v>3</v>
      </c>
      <c r="P3289" s="73">
        <f>IF(M3289=$A$1,1,$M3289-INDEX(MappingTables!$E$4:$E$8,MATCH(O3289,MappingTables!$B$4:$B$8,0)))</f>
        <v>4.0291922687368512</v>
      </c>
      <c r="Q3289" s="71">
        <f>IF(B3289="",0,INDEX(ModelParameters!$D$6:$K$10,MATCH($O3289,ModelParameters!$B$6:$B$10,0),MATCH($J3289,ModelParameters!$D$5:$K$5,0)))</f>
        <v>0.01</v>
      </c>
      <c r="R3289" s="71">
        <f>IF(B3289="",0,INDEX(ModelParameters!$D$13:$K$17,MATCH($O3289,ModelParameters!$B$13:$B$17,0),MATCH($J3289,ModelParameters!$D$5:$K$5,0)))</f>
        <v>0.2</v>
      </c>
      <c r="S3289" s="160">
        <f>IF(B3289="",0,MIN(IF($N3289="Other Bond TM",ModelParameters!$N$21,1)*(P3289*Q3289+R3289),1))</f>
        <v>0.24029192268736856</v>
      </c>
      <c r="T3289" s="85">
        <f>IF(B3289="",0,$S3289*$K3289)</f>
        <v>32.856447275017176</v>
      </c>
      <c r="U3289" s="85">
        <f>IF(B3289="",0,IF(OR(H3289=MappingTables!$C$34,H3289=MappingTables!$C$35),T3289,0))</f>
        <v>0</v>
      </c>
      <c r="V3289" s="85">
        <f>IF(ISNA(IF(AND(VLOOKUP(CONCATENATE($D3289,$G3289),CSRFinput!$B:$E,4,0)=0,OR(H3289=MappingTables!$C$34,H3289=MappingTables!$C$35)),1,VLOOKUP(CONCATENATE($D3289,$G3289),CSRFinput!$B:$E,4,0))),0,IF(AND(VLOOKUP(CONCATENATE($D3289,$G3289),CSRFinput!$B:$E,4,0)=0,OR(H3289=MappingTables!$C$34,H3289=MappingTables!$C$35)),1,VLOOKUP(CONCATENATE($D3289,$G3289),CSRFinput!$B:$E,4,0)))</f>
        <v>0.054776304963434752</v>
      </c>
      <c r="W3289" s="85">
        <f>IF(B3289="",0,+$T3289*$V3289)</f>
        <v>1.7997547759513554</v>
      </c>
      <c r="X3289" s="85">
        <f>IF(B3289="",0,IF(OR(H3289=MappingTables!$C$34,H3289=MappingTables!$C$35),W3289,0))</f>
        <v>0</v>
      </c>
    </row>
    <row r="3290" spans="2:24" s="0" customFormat="0" ht="15">
      <c r="B3290" s="69" t="s">
        <v>665</v>
      </c>
      <c r="C3290" s="70" t="s">
        <v>666</v>
      </c>
      <c r="D3290" s="70" t="s">
        <v>1</v>
      </c>
      <c r="E3290" s="70" t="s">
        <v>1</v>
      </c>
      <c r="F3290" s="70"/>
      <c r="G3290" s="70" t="s">
        <v>61</v>
      </c>
      <c r="H3290" s="70" t="s">
        <v>178</v>
      </c>
      <c r="I3290" s="70" t="s">
        <v>181</v>
      </c>
      <c r="J3290" s="71">
        <f>IF(OR(I3290=0,I3290=""),"unrated",VLOOKUP(I3290,MappingTables!$B$19:$C$31,2,FALSE))</f>
        <v>3</v>
      </c>
      <c r="K3290" s="72">
        <v>8620.5647021129312</v>
      </c>
      <c r="L3290" s="70">
        <v>2.337957533441844</v>
      </c>
      <c r="M3290" s="71">
        <f>IF(L3290&lt;1,1,L3290)</f>
        <v>2.337957533441844</v>
      </c>
      <c r="N3290" s="70" t="s">
        <v>141</v>
      </c>
      <c r="O3290" s="71">
        <f>INDEX(DurClassMapping,MATCH(M3290,MappingTables!$D$4:$D$8,-1),1)</f>
        <v>1</v>
      </c>
      <c r="P3290" s="73">
        <f>IF(M3290=$A$1,1,$M3290-INDEX(MappingTables!$E$4:$E$8,MATCH(O3290,MappingTables!$B$4:$B$8,0)))</f>
        <v>2.337957533441844</v>
      </c>
      <c r="Q3290" s="71">
        <f>IF(B3290="",0,INDEX(ModelParameters!$D$6:$K$10,MATCH($O3290,ModelParameters!$B$6:$B$10,0),MATCH($J3290,ModelParameters!$D$5:$K$5,0)))</f>
        <v>0.025</v>
      </c>
      <c r="R3290" s="71">
        <f>IF(B3290="",0,INDEX(ModelParameters!$D$13:$K$17,MATCH($O3290,ModelParameters!$B$13:$B$17,0),MATCH($J3290,ModelParameters!$D$5:$K$5,0)))</f>
        <v>0</v>
      </c>
      <c r="S3290" s="160">
        <f>IF(B3290="",0,MIN(IF($N3290="Other Bond TM",ModelParameters!$N$21,1)*(P3290*Q3290+R3290),1))</f>
        <v>0.058448938336046096</v>
      </c>
      <c r="T3290" s="85">
        <f>IF(B3290="",0,$S3290*$K3290)</f>
        <v>503.86285469569432</v>
      </c>
      <c r="U3290" s="85">
        <f>IF(B3290="",0,IF(OR(H3290=MappingTables!$C$34,H3290=MappingTables!$C$35),T3290,0))</f>
        <v>0</v>
      </c>
      <c r="V3290" s="85">
        <f>IF(ISNA(IF(AND(VLOOKUP(CONCATENATE($D3290,$G3290),CSRFinput!$B:$E,4,0)=0,OR(H3290=MappingTables!$C$34,H3290=MappingTables!$C$35)),1,VLOOKUP(CONCATENATE($D3290,$G3290),CSRFinput!$B:$E,4,0))),0,IF(AND(VLOOKUP(CONCATENATE($D3290,$G3290),CSRFinput!$B:$E,4,0)=0,OR(H3290=MappingTables!$C$34,H3290=MappingTables!$C$35)),1,VLOOKUP(CONCATENATE($D3290,$G3290),CSRFinput!$B:$E,4,0)))</f>
        <v>0.054776304963434752</v>
      </c>
      <c r="W3290" s="85">
        <f>IF(B3290="",0,+$T3290*$V3290)</f>
        <v>27.599745388558164</v>
      </c>
      <c r="X3290" s="85">
        <f>IF(B3290="",0,IF(OR(H3290=MappingTables!$C$34,H3290=MappingTables!$C$35),W3290,0))</f>
        <v>0</v>
      </c>
    </row>
    <row r="3291" spans="2:24" s="0" customFormat="0" ht="15">
      <c r="B3291" s="69">
        <v>18762283</v>
      </c>
      <c r="C3291" s="70" t="s">
        <v>1177</v>
      </c>
      <c r="D3291" s="70" t="s">
        <v>1</v>
      </c>
      <c r="E3291" s="70" t="s">
        <v>1</v>
      </c>
      <c r="F3291" s="70"/>
      <c r="G3291" s="70" t="s">
        <v>61</v>
      </c>
      <c r="H3291" s="70" t="s">
        <v>178</v>
      </c>
      <c r="I3291" s="70" t="s">
        <v>179</v>
      </c>
      <c r="J3291" s="71">
        <f>IF(OR(I3291=0,I3291=""),"unrated",VLOOKUP(I3291,MappingTables!$B$19:$C$31,2,FALSE))</f>
        <v>4</v>
      </c>
      <c r="K3291" s="72">
        <v>4101.2530097746968</v>
      </c>
      <c r="L3291" s="70">
        <v>0.99352459819594224</v>
      </c>
      <c r="M3291" s="71">
        <f>IF(L3291&lt;1,1,L3291)</f>
        <v>1</v>
      </c>
      <c r="N3291" s="70" t="s">
        <v>141</v>
      </c>
      <c r="O3291" s="71">
        <f>INDEX(DurClassMapping,MATCH(M3291,MappingTables!$D$4:$D$8,-1),1)</f>
        <v>1</v>
      </c>
      <c r="P3291" s="73">
        <f>IF(M3291=$A$1,1,$M3291-INDEX(MappingTables!$E$4:$E$8,MATCH(O3291,MappingTables!$B$4:$B$8,0)))</f>
        <v>1</v>
      </c>
      <c r="Q3291" s="71">
        <f>IF(B3291="",0,INDEX(ModelParameters!$D$6:$K$10,MATCH($O3291,ModelParameters!$B$6:$B$10,0),MATCH($J3291,ModelParameters!$D$5:$K$5,0)))</f>
        <v>0.045</v>
      </c>
      <c r="R3291" s="71">
        <f>IF(B3291="",0,INDEX(ModelParameters!$D$13:$K$17,MATCH($O3291,ModelParameters!$B$13:$B$17,0),MATCH($J3291,ModelParameters!$D$5:$K$5,0)))</f>
        <v>0</v>
      </c>
      <c r="S3291" s="160">
        <f>IF(B3291="",0,MIN(IF($N3291="Other Bond TM",ModelParameters!$N$21,1)*(P3291*Q3291+R3291),1))</f>
        <v>0.045</v>
      </c>
      <c r="T3291" s="85">
        <f>IF(B3291="",0,$S3291*$K3291)</f>
        <v>184.55638543986136</v>
      </c>
      <c r="U3291" s="85">
        <f>IF(B3291="",0,IF(OR(H3291=MappingTables!$C$34,H3291=MappingTables!$C$35),T3291,0))</f>
        <v>0</v>
      </c>
      <c r="V3291" s="85">
        <f>IF(ISNA(IF(AND(VLOOKUP(CONCATENATE($D3291,$G3291),CSRFinput!$B:$E,4,0)=0,OR(H3291=MappingTables!$C$34,H3291=MappingTables!$C$35)),1,VLOOKUP(CONCATENATE($D3291,$G3291),CSRFinput!$B:$E,4,0))),0,IF(AND(VLOOKUP(CONCATENATE($D3291,$G3291),CSRFinput!$B:$E,4,0)=0,OR(H3291=MappingTables!$C$34,H3291=MappingTables!$C$35)),1,VLOOKUP(CONCATENATE($D3291,$G3291),CSRFinput!$B:$E,4,0)))</f>
        <v>0.054776304963434752</v>
      </c>
      <c r="W3291" s="85">
        <f>IF(B3291="",0,+$T3291*$V3291)</f>
        <v>10.109316851803054</v>
      </c>
      <c r="X3291" s="85">
        <f>IF(B3291="",0,IF(OR(H3291=MappingTables!$C$34,H3291=MappingTables!$C$35),W3291,0))</f>
        <v>0</v>
      </c>
    </row>
    <row r="3292" spans="2:24" s="0" customFormat="0" ht="15">
      <c r="B3292" s="69">
        <v>14418870</v>
      </c>
      <c r="C3292" s="70" t="s">
        <v>2794</v>
      </c>
      <c r="D3292" s="70" t="s">
        <v>1</v>
      </c>
      <c r="E3292" s="70" t="s">
        <v>1</v>
      </c>
      <c r="F3292" s="70"/>
      <c r="G3292" s="70" t="s">
        <v>61</v>
      </c>
      <c r="H3292" s="70" t="s">
        <v>178</v>
      </c>
      <c r="I3292" s="70" t="s">
        <v>188</v>
      </c>
      <c r="J3292" s="71">
        <f>IF(OR(I3292=0,I3292=""),"unrated",VLOOKUP(I3292,MappingTables!$B$19:$C$31,2,FALSE))</f>
        <v>2</v>
      </c>
      <c r="K3292" s="72">
        <v>236.21515018204168</v>
      </c>
      <c r="L3292" s="70">
        <v>1.857712132744656</v>
      </c>
      <c r="M3292" s="71">
        <f>IF(L3292&lt;1,1,L3292)</f>
        <v>1.857712132744656</v>
      </c>
      <c r="N3292" s="70" t="s">
        <v>141</v>
      </c>
      <c r="O3292" s="71">
        <f>INDEX(DurClassMapping,MATCH(M3292,MappingTables!$D$4:$D$8,-1),1)</f>
        <v>1</v>
      </c>
      <c r="P3292" s="73">
        <f>IF(M3292=$A$1,1,$M3292-INDEX(MappingTables!$E$4:$E$8,MATCH(O3292,MappingTables!$B$4:$B$8,0)))</f>
        <v>1.857712132744656</v>
      </c>
      <c r="Q3292" s="71">
        <f>IF(B3292="",0,INDEX(ModelParameters!$D$6:$K$10,MATCH($O3292,ModelParameters!$B$6:$B$10,0),MATCH($J3292,ModelParameters!$D$5:$K$5,0)))</f>
        <v>0.013999999999999998</v>
      </c>
      <c r="R3292" s="71">
        <f>IF(B3292="",0,INDEX(ModelParameters!$D$13:$K$17,MATCH($O3292,ModelParameters!$B$13:$B$17,0),MATCH($J3292,ModelParameters!$D$5:$K$5,0)))</f>
        <v>0</v>
      </c>
      <c r="S3292" s="160">
        <f>IF(B3292="",0,MIN(IF($N3292="Other Bond TM",ModelParameters!$N$21,1)*(P3292*Q3292+R3292),1))</f>
        <v>0.026007969858425184</v>
      </c>
      <c r="T3292" s="85">
        <f>IF(B3292="",0,$S3292*$K3292)</f>
        <v>6.1434765060379192</v>
      </c>
      <c r="U3292" s="85">
        <f>IF(B3292="",0,IF(OR(H3292=MappingTables!$C$34,H3292=MappingTables!$C$35),T3292,0))</f>
        <v>0</v>
      </c>
      <c r="V3292" s="85">
        <f>IF(ISNA(IF(AND(VLOOKUP(CONCATENATE($D3292,$G3292),CSRFinput!$B:$E,4,0)=0,OR(H3292=MappingTables!$C$34,H3292=MappingTables!$C$35)),1,VLOOKUP(CONCATENATE($D3292,$G3292),CSRFinput!$B:$E,4,0))),0,IF(AND(VLOOKUP(CONCATENATE($D3292,$G3292),CSRFinput!$B:$E,4,0)=0,OR(H3292=MappingTables!$C$34,H3292=MappingTables!$C$35)),1,VLOOKUP(CONCATENATE($D3292,$G3292),CSRFinput!$B:$E,4,0)))</f>
        <v>0.054776304963434752</v>
      </c>
      <c r="W3292" s="85">
        <f>IF(B3292="",0,+$T3292*$V3292)</f>
        <v>0.33651694263042964</v>
      </c>
      <c r="X3292" s="85">
        <f>IF(B3292="",0,IF(OR(H3292=MappingTables!$C$34,H3292=MappingTables!$C$35),W3292,0))</f>
        <v>0</v>
      </c>
    </row>
    <row r="3293" spans="2:24" s="0" customFormat="0" ht="15">
      <c r="B3293" s="69" t="s">
        <v>2795</v>
      </c>
      <c r="C3293" s="70" t="s">
        <v>2796</v>
      </c>
      <c r="D3293" s="70" t="s">
        <v>1</v>
      </c>
      <c r="E3293" s="70" t="s">
        <v>1</v>
      </c>
      <c r="F3293" s="70"/>
      <c r="G3293" s="70" t="s">
        <v>61</v>
      </c>
      <c r="H3293" s="70" t="s">
        <v>178</v>
      </c>
      <c r="I3293" s="70" t="s">
        <v>198</v>
      </c>
      <c r="J3293" s="71" t="str">
        <f>IF(OR(I3293=0,I3293=""),"unrated",VLOOKUP(I3293,MappingTables!$B$19:$C$31,2,FALSE))</f>
        <v>unrated</v>
      </c>
      <c r="K3293" s="72">
        <v>4533.912208130964</v>
      </c>
      <c r="L3293" s="70">
        <v>5.1594508961388152</v>
      </c>
      <c r="M3293" s="71">
        <f>IF(L3293&lt;1,1,L3293)</f>
        <v>5.1594508961388152</v>
      </c>
      <c r="N3293" s="70" t="s">
        <v>141</v>
      </c>
      <c r="O3293" s="71">
        <f>INDEX(DurClassMapping,MATCH(M3293,MappingTables!$D$4:$D$8,-1),1)</f>
        <v>2</v>
      </c>
      <c r="P3293" s="73">
        <f>IF(M3293=$A$1,1,$M3293-INDEX(MappingTables!$E$4:$E$8,MATCH(O3293,MappingTables!$B$4:$B$8,0)))</f>
        <v>0.15945089613881524</v>
      </c>
      <c r="Q3293" s="71">
        <f>IF(B3293="",0,INDEX(ModelParameters!$D$6:$K$10,MATCH($O3293,ModelParameters!$B$6:$B$10,0),MATCH($J3293,ModelParameters!$D$5:$K$5,0)))</f>
        <v>0.017000000000000002</v>
      </c>
      <c r="R3293" s="71">
        <f>IF(B3293="",0,INDEX(ModelParameters!$D$13:$K$17,MATCH($O3293,ModelParameters!$B$13:$B$17,0),MATCH($J3293,ModelParameters!$D$5:$K$5,0)))</f>
        <v>0.15</v>
      </c>
      <c r="S3293" s="160">
        <f>IF(B3293="",0,MIN(IF($N3293="Other Bond TM",ModelParameters!$N$21,1)*(P3293*Q3293+R3293),1))</f>
        <v>0.15271066523435986</v>
      </c>
      <c r="T3293" s="85">
        <f>IF(B3293="",0,$S3293*$K3293)</f>
        <v>692.37674941786496</v>
      </c>
      <c r="U3293" s="85">
        <f>IF(B3293="",0,IF(OR(H3293=MappingTables!$C$34,H3293=MappingTables!$C$35),T3293,0))</f>
        <v>0</v>
      </c>
      <c r="V3293" s="85">
        <f>IF(ISNA(IF(AND(VLOOKUP(CONCATENATE($D3293,$G3293),CSRFinput!$B:$E,4,0)=0,OR(H3293=MappingTables!$C$34,H3293=MappingTables!$C$35)),1,VLOOKUP(CONCATENATE($D3293,$G3293),CSRFinput!$B:$E,4,0))),0,IF(AND(VLOOKUP(CONCATENATE($D3293,$G3293),CSRFinput!$B:$E,4,0)=0,OR(H3293=MappingTables!$C$34,H3293=MappingTables!$C$35)),1,VLOOKUP(CONCATENATE($D3293,$G3293),CSRFinput!$B:$E,4,0)))</f>
        <v>0.054776304963434752</v>
      </c>
      <c r="W3293" s="85">
        <f>IF(B3293="",0,+$T3293*$V3293)</f>
        <v>37.925839975704616</v>
      </c>
      <c r="X3293" s="85">
        <f>IF(B3293="",0,IF(OR(H3293=MappingTables!$C$34,H3293=MappingTables!$C$35),W3293,0))</f>
        <v>0</v>
      </c>
    </row>
    <row r="3294" spans="2:24" s="0" customFormat="0" ht="15">
      <c r="B3294" s="69" t="s">
        <v>2520</v>
      </c>
      <c r="C3294" s="70" t="s">
        <v>2521</v>
      </c>
      <c r="D3294" s="70" t="s">
        <v>1</v>
      </c>
      <c r="E3294" s="70" t="s">
        <v>1</v>
      </c>
      <c r="F3294" s="70"/>
      <c r="G3294" s="70" t="s">
        <v>61</v>
      </c>
      <c r="H3294" s="70" t="s">
        <v>178</v>
      </c>
      <c r="I3294" s="70" t="s">
        <v>184</v>
      </c>
      <c r="J3294" s="71">
        <f>IF(OR(I3294=0,I3294=""),"unrated",VLOOKUP(I3294,MappingTables!$B$19:$C$31,2,FALSE))</f>
        <v>5</v>
      </c>
      <c r="K3294" s="72">
        <v>254.90562257892852</v>
      </c>
      <c r="L3294" s="70">
        <v>0.41644101813292336</v>
      </c>
      <c r="M3294" s="71">
        <f>IF(L3294&lt;1,1,L3294)</f>
        <v>1</v>
      </c>
      <c r="N3294" s="70" t="s">
        <v>141</v>
      </c>
      <c r="O3294" s="71">
        <f>INDEX(DurClassMapping,MATCH(M3294,MappingTables!$D$4:$D$8,-1),1)</f>
        <v>1</v>
      </c>
      <c r="P3294" s="73">
        <f>IF(M3294=$A$1,1,$M3294-INDEX(MappingTables!$E$4:$E$8,MATCH(O3294,MappingTables!$B$4:$B$8,0)))</f>
        <v>1</v>
      </c>
      <c r="Q3294" s="71">
        <f>IF(B3294="",0,INDEX(ModelParameters!$D$6:$K$10,MATCH($O3294,ModelParameters!$B$6:$B$10,0),MATCH($J3294,ModelParameters!$D$5:$K$5,0)))</f>
        <v>0.075</v>
      </c>
      <c r="R3294" s="71">
        <f>IF(B3294="",0,INDEX(ModelParameters!$D$13:$K$17,MATCH($O3294,ModelParameters!$B$13:$B$17,0),MATCH($J3294,ModelParameters!$D$5:$K$5,0)))</f>
        <v>0</v>
      </c>
      <c r="S3294" s="160">
        <f>IF(B3294="",0,MIN(IF($N3294="Other Bond TM",ModelParameters!$N$21,1)*(P3294*Q3294+R3294),1))</f>
        <v>0.075</v>
      </c>
      <c r="T3294" s="85">
        <f>IF(B3294="",0,$S3294*$K3294)</f>
        <v>19.117921693419636</v>
      </c>
      <c r="U3294" s="85">
        <f>IF(B3294="",0,IF(OR(H3294=MappingTables!$C$34,H3294=MappingTables!$C$35),T3294,0))</f>
        <v>0</v>
      </c>
      <c r="V3294" s="85">
        <f>IF(ISNA(IF(AND(VLOOKUP(CONCATENATE($D3294,$G3294),CSRFinput!$B:$E,4,0)=0,OR(H3294=MappingTables!$C$34,H3294=MappingTables!$C$35)),1,VLOOKUP(CONCATENATE($D3294,$G3294),CSRFinput!$B:$E,4,0))),0,IF(AND(VLOOKUP(CONCATENATE($D3294,$G3294),CSRFinput!$B:$E,4,0)=0,OR(H3294=MappingTables!$C$34,H3294=MappingTables!$C$35)),1,VLOOKUP(CONCATENATE($D3294,$G3294),CSRFinput!$B:$E,4,0)))</f>
        <v>0.054776304963434752</v>
      </c>
      <c r="W3294" s="85">
        <f>IF(B3294="",0,+$T3294*$V3294)</f>
        <v>1.0472091089458188</v>
      </c>
      <c r="X3294" s="85">
        <f>IF(B3294="",0,IF(OR(H3294=MappingTables!$C$34,H3294=MappingTables!$C$35),W3294,0))</f>
        <v>0</v>
      </c>
    </row>
    <row r="3295" spans="2:24" s="0" customFormat="0" ht="15">
      <c r="B3295" s="69" t="s">
        <v>2171</v>
      </c>
      <c r="C3295" s="70" t="s">
        <v>2172</v>
      </c>
      <c r="D3295" s="70" t="s">
        <v>1</v>
      </c>
      <c r="E3295" s="70" t="s">
        <v>1</v>
      </c>
      <c r="F3295" s="70"/>
      <c r="G3295" s="70" t="s">
        <v>61</v>
      </c>
      <c r="H3295" s="70" t="s">
        <v>178</v>
      </c>
      <c r="I3295" s="70" t="s">
        <v>220</v>
      </c>
      <c r="J3295" s="71">
        <f>IF(OR(I3295=0,I3295=""),"unrated",VLOOKUP(I3295,MappingTables!$B$19:$C$31,2,FALSE))</f>
        <v>1</v>
      </c>
      <c r="K3295" s="72">
        <v>4.7005576974784568</v>
      </c>
      <c r="L3295" s="70">
        <v>2.5356502595550264</v>
      </c>
      <c r="M3295" s="71">
        <f>IF(L3295&lt;1,1,L3295)</f>
        <v>2.5356502595550264</v>
      </c>
      <c r="N3295" s="70" t="s">
        <v>141</v>
      </c>
      <c r="O3295" s="71">
        <f>INDEX(DurClassMapping,MATCH(M3295,MappingTables!$D$4:$D$8,-1),1)</f>
        <v>1</v>
      </c>
      <c r="P3295" s="73">
        <f>IF(M3295=$A$1,1,$M3295-INDEX(MappingTables!$E$4:$E$8,MATCH(O3295,MappingTables!$B$4:$B$8,0)))</f>
        <v>2.5356502595550264</v>
      </c>
      <c r="Q3295" s="71">
        <f>IF(B3295="",0,INDEX(ModelParameters!$D$6:$K$10,MATCH($O3295,ModelParameters!$B$6:$B$10,0),MATCH($J3295,ModelParameters!$D$5:$K$5,0)))</f>
        <v>0.011000000000000002</v>
      </c>
      <c r="R3295" s="71">
        <f>IF(B3295="",0,INDEX(ModelParameters!$D$13:$K$17,MATCH($O3295,ModelParameters!$B$13:$B$17,0),MATCH($J3295,ModelParameters!$D$5:$K$5,0)))</f>
        <v>0</v>
      </c>
      <c r="S3295" s="160">
        <f>IF(B3295="",0,MIN(IF($N3295="Other Bond TM",ModelParameters!$N$21,1)*(P3295*Q3295+R3295),1))</f>
        <v>0.027892152855105292</v>
      </c>
      <c r="T3295" s="85">
        <f>IF(B3295="",0,$S3295*$K3295)</f>
        <v>0.1311086738023109</v>
      </c>
      <c r="U3295" s="85">
        <f>IF(B3295="",0,IF(OR(H3295=MappingTables!$C$34,H3295=MappingTables!$C$35),T3295,0))</f>
        <v>0</v>
      </c>
      <c r="V3295" s="85">
        <f>IF(ISNA(IF(AND(VLOOKUP(CONCATENATE($D3295,$G3295),CSRFinput!$B:$E,4,0)=0,OR(H3295=MappingTables!$C$34,H3295=MappingTables!$C$35)),1,VLOOKUP(CONCATENATE($D3295,$G3295),CSRFinput!$B:$E,4,0))),0,IF(AND(VLOOKUP(CONCATENATE($D3295,$G3295),CSRFinput!$B:$E,4,0)=0,OR(H3295=MappingTables!$C$34,H3295=MappingTables!$C$35)),1,VLOOKUP(CONCATENATE($D3295,$G3295),CSRFinput!$B:$E,4,0)))</f>
        <v>0.054776304963434752</v>
      </c>
      <c r="W3295" s="85">
        <f>IF(B3295="",0,+$T3295*$V3295)</f>
        <v>0.0071816486995468704</v>
      </c>
      <c r="X3295" s="85">
        <f>IF(B3295="",0,IF(OR(H3295=MappingTables!$C$34,H3295=MappingTables!$C$35),W3295,0))</f>
        <v>0</v>
      </c>
    </row>
    <row r="3296" spans="2:24" s="0" customFormat="0" ht="15">
      <c r="B3296" s="69">
        <v>20233235</v>
      </c>
      <c r="C3296" s="70" t="s">
        <v>2797</v>
      </c>
      <c r="D3296" s="70" t="s">
        <v>1</v>
      </c>
      <c r="E3296" s="70" t="s">
        <v>1</v>
      </c>
      <c r="F3296" s="70"/>
      <c r="G3296" s="70" t="s">
        <v>61</v>
      </c>
      <c r="H3296" s="70" t="s">
        <v>178</v>
      </c>
      <c r="I3296" s="70" t="s">
        <v>188</v>
      </c>
      <c r="J3296" s="71">
        <f>IF(OR(I3296=0,I3296=""),"unrated",VLOOKUP(I3296,MappingTables!$B$19:$C$31,2,FALSE))</f>
        <v>2</v>
      </c>
      <c r="K3296" s="72">
        <v>4958.7753687621328</v>
      </c>
      <c r="L3296" s="70">
        <v>3.323061419780786</v>
      </c>
      <c r="M3296" s="71">
        <f>IF(L3296&lt;1,1,L3296)</f>
        <v>3.323061419780786</v>
      </c>
      <c r="N3296" s="70" t="s">
        <v>141</v>
      </c>
      <c r="O3296" s="71">
        <f>INDEX(DurClassMapping,MATCH(M3296,MappingTables!$D$4:$D$8,-1),1)</f>
        <v>1</v>
      </c>
      <c r="P3296" s="73">
        <f>IF(M3296=$A$1,1,$M3296-INDEX(MappingTables!$E$4:$E$8,MATCH(O3296,MappingTables!$B$4:$B$8,0)))</f>
        <v>3.323061419780786</v>
      </c>
      <c r="Q3296" s="71">
        <f>IF(B3296="",0,INDEX(ModelParameters!$D$6:$K$10,MATCH($O3296,ModelParameters!$B$6:$B$10,0),MATCH($J3296,ModelParameters!$D$5:$K$5,0)))</f>
        <v>0.013999999999999998</v>
      </c>
      <c r="R3296" s="71">
        <f>IF(B3296="",0,INDEX(ModelParameters!$D$13:$K$17,MATCH($O3296,ModelParameters!$B$13:$B$17,0),MATCH($J3296,ModelParameters!$D$5:$K$5,0)))</f>
        <v>0</v>
      </c>
      <c r="S3296" s="160">
        <f>IF(B3296="",0,MIN(IF($N3296="Other Bond TM",ModelParameters!$N$21,1)*(P3296*Q3296+R3296),1))</f>
        <v>0.046522859876931</v>
      </c>
      <c r="T3296" s="85">
        <f>IF(B3296="",0,$S3296*$K3296)</f>
        <v>230.69641164209752</v>
      </c>
      <c r="U3296" s="85">
        <f>IF(B3296="",0,IF(OR(H3296=MappingTables!$C$34,H3296=MappingTables!$C$35),T3296,0))</f>
        <v>0</v>
      </c>
      <c r="V3296" s="85">
        <f>IF(ISNA(IF(AND(VLOOKUP(CONCATENATE($D3296,$G3296),CSRFinput!$B:$E,4,0)=0,OR(H3296=MappingTables!$C$34,H3296=MappingTables!$C$35)),1,VLOOKUP(CONCATENATE($D3296,$G3296),CSRFinput!$B:$E,4,0))),0,IF(AND(VLOOKUP(CONCATENATE($D3296,$G3296),CSRFinput!$B:$E,4,0)=0,OR(H3296=MappingTables!$C$34,H3296=MappingTables!$C$35)),1,VLOOKUP(CONCATENATE($D3296,$G3296),CSRFinput!$B:$E,4,0)))</f>
        <v>0.054776304963434752</v>
      </c>
      <c r="W3296" s="85">
        <f>IF(B3296="",0,+$T3296*$V3296)</f>
        <v>12.636696998077614</v>
      </c>
      <c r="X3296" s="85">
        <f>IF(B3296="",0,IF(OR(H3296=MappingTables!$C$34,H3296=MappingTables!$C$35),W3296,0))</f>
        <v>0</v>
      </c>
    </row>
    <row r="3297" spans="2:24" s="0" customFormat="0" ht="15">
      <c r="B3297" s="69">
        <v>7062459</v>
      </c>
      <c r="C3297" s="70" t="s">
        <v>2798</v>
      </c>
      <c r="D3297" s="70" t="s">
        <v>1</v>
      </c>
      <c r="E3297" s="70" t="s">
        <v>1</v>
      </c>
      <c r="F3297" s="70"/>
      <c r="G3297" s="70" t="s">
        <v>61</v>
      </c>
      <c r="H3297" s="70" t="s">
        <v>178</v>
      </c>
      <c r="I3297" s="70" t="s">
        <v>179</v>
      </c>
      <c r="J3297" s="71">
        <f>IF(OR(I3297=0,I3297=""),"unrated",VLOOKUP(I3297,MappingTables!$B$19:$C$31,2,FALSE))</f>
        <v>4</v>
      </c>
      <c r="K3297" s="72">
        <v>242.8810567910114</v>
      </c>
      <c r="L3297" s="70">
        <v>12.34727561273029</v>
      </c>
      <c r="M3297" s="71">
        <f>IF(L3297&lt;1,1,L3297)</f>
        <v>12.34727561273029</v>
      </c>
      <c r="N3297" s="70" t="s">
        <v>141</v>
      </c>
      <c r="O3297" s="71">
        <f>INDEX(DurClassMapping,MATCH(M3297,MappingTables!$D$4:$D$8,-1),1)</f>
        <v>3</v>
      </c>
      <c r="P3297" s="73">
        <f>IF(M3297=$A$1,1,$M3297-INDEX(MappingTables!$E$4:$E$8,MATCH(O3297,MappingTables!$B$4:$B$8,0)))</f>
        <v>2.3472756127302892</v>
      </c>
      <c r="Q3297" s="71">
        <f>IF(B3297="",0,INDEX(ModelParameters!$D$6:$K$10,MATCH($O3297,ModelParameters!$B$6:$B$10,0),MATCH($J3297,ModelParameters!$D$5:$K$5,0)))</f>
        <v>0.018000000000000002</v>
      </c>
      <c r="R3297" s="71">
        <f>IF(B3297="",0,INDEX(ModelParameters!$D$13:$K$17,MATCH($O3297,ModelParameters!$B$13:$B$17,0),MATCH($J3297,ModelParameters!$D$5:$K$5,0)))</f>
        <v>0.34999999999999996</v>
      </c>
      <c r="S3297" s="160">
        <f>IF(B3297="",0,MIN(IF($N3297="Other Bond TM",ModelParameters!$N$21,1)*(P3297*Q3297+R3297),1))</f>
        <v>0.3922509610291452</v>
      </c>
      <c r="T3297" s="85">
        <f>IF(B3297="",0,$S3297*$K3297)</f>
        <v>95.270327942048624</v>
      </c>
      <c r="U3297" s="85">
        <f>IF(B3297="",0,IF(OR(H3297=MappingTables!$C$34,H3297=MappingTables!$C$35),T3297,0))</f>
        <v>0</v>
      </c>
      <c r="V3297" s="85">
        <f>IF(ISNA(IF(AND(VLOOKUP(CONCATENATE($D3297,$G3297),CSRFinput!$B:$E,4,0)=0,OR(H3297=MappingTables!$C$34,H3297=MappingTables!$C$35)),1,VLOOKUP(CONCATENATE($D3297,$G3297),CSRFinput!$B:$E,4,0))),0,IF(AND(VLOOKUP(CONCATENATE($D3297,$G3297),CSRFinput!$B:$E,4,0)=0,OR(H3297=MappingTables!$C$34,H3297=MappingTables!$C$35)),1,VLOOKUP(CONCATENATE($D3297,$G3297),CSRFinput!$B:$E,4,0)))</f>
        <v>0.054776304963434752</v>
      </c>
      <c r="W3297" s="85">
        <f>IF(B3297="",0,+$T3297*$V3297)</f>
        <v>5.2185565373200944</v>
      </c>
      <c r="X3297" s="85">
        <f>IF(B3297="",0,IF(OR(H3297=MappingTables!$C$34,H3297=MappingTables!$C$35),W3297,0))</f>
        <v>0</v>
      </c>
    </row>
    <row r="3298" spans="2:24" s="0" customFormat="0" ht="15">
      <c r="B3298" s="69" t="s">
        <v>1544</v>
      </c>
      <c r="C3298" s="70" t="s">
        <v>1545</v>
      </c>
      <c r="D3298" s="70" t="s">
        <v>1</v>
      </c>
      <c r="E3298" s="70" t="s">
        <v>1</v>
      </c>
      <c r="F3298" s="70"/>
      <c r="G3298" s="70" t="s">
        <v>61</v>
      </c>
      <c r="H3298" s="70" t="s">
        <v>178</v>
      </c>
      <c r="I3298" s="70" t="s">
        <v>184</v>
      </c>
      <c r="J3298" s="71">
        <f>IF(OR(I3298=0,I3298=""),"unrated",VLOOKUP(I3298,MappingTables!$B$19:$C$31,2,FALSE))</f>
        <v>5</v>
      </c>
      <c r="K3298" s="72">
        <v>56.487018744827136</v>
      </c>
      <c r="L3298" s="70">
        <v>7.840547524246056</v>
      </c>
      <c r="M3298" s="71">
        <f>IF(L3298&lt;1,1,L3298)</f>
        <v>7.840547524246056</v>
      </c>
      <c r="N3298" s="70" t="s">
        <v>141</v>
      </c>
      <c r="O3298" s="71">
        <f>INDEX(DurClassMapping,MATCH(M3298,MappingTables!$D$4:$D$8,-1),1)</f>
        <v>2</v>
      </c>
      <c r="P3298" s="73">
        <f>IF(M3298=$A$1,1,$M3298-INDEX(MappingTables!$E$4:$E$8,MATCH(O3298,MappingTables!$B$4:$B$8,0)))</f>
        <v>2.8405475242460564</v>
      </c>
      <c r="Q3298" s="71">
        <f>IF(B3298="",0,INDEX(ModelParameters!$D$6:$K$10,MATCH($O3298,ModelParameters!$B$6:$B$10,0),MATCH($J3298,ModelParameters!$D$5:$K$5,0)))</f>
        <v>0.042</v>
      </c>
      <c r="R3298" s="71">
        <f>IF(B3298="",0,INDEX(ModelParameters!$D$13:$K$17,MATCH($O3298,ModelParameters!$B$13:$B$17,0),MATCH($J3298,ModelParameters!$D$5:$K$5,0)))</f>
        <v>0.375</v>
      </c>
      <c r="S3298" s="160">
        <f>IF(B3298="",0,MIN(IF($N3298="Other Bond TM",ModelParameters!$N$21,1)*(P3298*Q3298+R3298),1))</f>
        <v>0.4943029960183344</v>
      </c>
      <c r="T3298" s="85">
        <f>IF(B3298="",0,$S3298*$K3298)</f>
        <v>27.921702601711864</v>
      </c>
      <c r="U3298" s="85">
        <f>IF(B3298="",0,IF(OR(H3298=MappingTables!$C$34,H3298=MappingTables!$C$35),T3298,0))</f>
        <v>0</v>
      </c>
      <c r="V3298" s="85">
        <f>IF(ISNA(IF(AND(VLOOKUP(CONCATENATE($D3298,$G3298),CSRFinput!$B:$E,4,0)=0,OR(H3298=MappingTables!$C$34,H3298=MappingTables!$C$35)),1,VLOOKUP(CONCATENATE($D3298,$G3298),CSRFinput!$B:$E,4,0))),0,IF(AND(VLOOKUP(CONCATENATE($D3298,$G3298),CSRFinput!$B:$E,4,0)=0,OR(H3298=MappingTables!$C$34,H3298=MappingTables!$C$35)),1,VLOOKUP(CONCATENATE($D3298,$G3298),CSRFinput!$B:$E,4,0)))</f>
        <v>0.054776304963434752</v>
      </c>
      <c r="W3298" s="85">
        <f>IF(B3298="",0,+$T3298*$V3298)</f>
        <v>1.5294476968096986</v>
      </c>
      <c r="X3298" s="85">
        <f>IF(B3298="",0,IF(OR(H3298=MappingTables!$C$34,H3298=MappingTables!$C$35),W3298,0))</f>
        <v>0</v>
      </c>
    </row>
    <row r="3299" spans="2:24" s="0" customFormat="0" ht="15">
      <c r="B3299" s="69" t="s">
        <v>1471</v>
      </c>
      <c r="C3299" s="70" t="s">
        <v>1472</v>
      </c>
      <c r="D3299" s="70" t="s">
        <v>1</v>
      </c>
      <c r="E3299" s="70" t="s">
        <v>1</v>
      </c>
      <c r="F3299" s="70"/>
      <c r="G3299" s="70" t="s">
        <v>61</v>
      </c>
      <c r="H3299" s="70" t="s">
        <v>178</v>
      </c>
      <c r="I3299" s="70" t="s">
        <v>181</v>
      </c>
      <c r="J3299" s="71">
        <f>IF(OR(I3299=0,I3299=""),"unrated",VLOOKUP(I3299,MappingTables!$B$19:$C$31,2,FALSE))</f>
        <v>3</v>
      </c>
      <c r="K3299" s="72">
        <v>0.087437032463479616</v>
      </c>
      <c r="L3299" s="70">
        <v>0.21370060071858324</v>
      </c>
      <c r="M3299" s="71">
        <f>IF(L3299&lt;1,1,L3299)</f>
        <v>1</v>
      </c>
      <c r="N3299" s="70" t="s">
        <v>141</v>
      </c>
      <c r="O3299" s="71">
        <f>INDEX(DurClassMapping,MATCH(M3299,MappingTables!$D$4:$D$8,-1),1)</f>
        <v>1</v>
      </c>
      <c r="P3299" s="73">
        <f>IF(M3299=$A$1,1,$M3299-INDEX(MappingTables!$E$4:$E$8,MATCH(O3299,MappingTables!$B$4:$B$8,0)))</f>
        <v>1</v>
      </c>
      <c r="Q3299" s="71">
        <f>IF(B3299="",0,INDEX(ModelParameters!$D$6:$K$10,MATCH($O3299,ModelParameters!$B$6:$B$10,0),MATCH($J3299,ModelParameters!$D$5:$K$5,0)))</f>
        <v>0.025</v>
      </c>
      <c r="R3299" s="71">
        <f>IF(B3299="",0,INDEX(ModelParameters!$D$13:$K$17,MATCH($O3299,ModelParameters!$B$13:$B$17,0),MATCH($J3299,ModelParameters!$D$5:$K$5,0)))</f>
        <v>0</v>
      </c>
      <c r="S3299" s="160">
        <f>IF(B3299="",0,MIN(IF($N3299="Other Bond TM",ModelParameters!$N$21,1)*(P3299*Q3299+R3299),1))</f>
        <v>0.025</v>
      </c>
      <c r="T3299" s="85">
        <f>IF(B3299="",0,$S3299*$K3299)</f>
        <v>0.0021859258115869904</v>
      </c>
      <c r="U3299" s="85">
        <f>IF(B3299="",0,IF(OR(H3299=MappingTables!$C$34,H3299=MappingTables!$C$35),T3299,0))</f>
        <v>0</v>
      </c>
      <c r="V3299" s="85">
        <f>IF(ISNA(IF(AND(VLOOKUP(CONCATENATE($D3299,$G3299),CSRFinput!$B:$E,4,0)=0,OR(H3299=MappingTables!$C$34,H3299=MappingTables!$C$35)),1,VLOOKUP(CONCATENATE($D3299,$G3299),CSRFinput!$B:$E,4,0))),0,IF(AND(VLOOKUP(CONCATENATE($D3299,$G3299),CSRFinput!$B:$E,4,0)=0,OR(H3299=MappingTables!$C$34,H3299=MappingTables!$C$35)),1,VLOOKUP(CONCATENATE($D3299,$G3299),CSRFinput!$B:$E,4,0)))</f>
        <v>0.054776304963434752</v>
      </c>
      <c r="W3299" s="85">
        <f>IF(B3299="",0,+$T3299*$V3299)</f>
        <v>0.0001197369388829326</v>
      </c>
      <c r="X3299" s="85">
        <f>IF(B3299="",0,IF(OR(H3299=MappingTables!$C$34,H3299=MappingTables!$C$35),W3299,0))</f>
        <v>0</v>
      </c>
    </row>
    <row r="3300" spans="2:24" s="0" customFormat="0" ht="15">
      <c r="B3300" s="69">
        <v>14946321</v>
      </c>
      <c r="C3300" s="70" t="s">
        <v>1941</v>
      </c>
      <c r="D3300" s="70" t="s">
        <v>1</v>
      </c>
      <c r="E3300" s="70" t="s">
        <v>1</v>
      </c>
      <c r="F3300" s="70"/>
      <c r="G3300" s="70" t="s">
        <v>61</v>
      </c>
      <c r="H3300" s="70" t="s">
        <v>178</v>
      </c>
      <c r="I3300" s="70" t="s">
        <v>204</v>
      </c>
      <c r="J3300" s="71">
        <f>IF(OR(I3300=0,I3300=""),"unrated",VLOOKUP(I3300,MappingTables!$B$19:$C$31,2,FALSE))</f>
        <v>6</v>
      </c>
      <c r="K3300" s="72">
        <v>1837.017574689508</v>
      </c>
      <c r="L3300" s="70">
        <v>0.087676107556431024</v>
      </c>
      <c r="M3300" s="71">
        <f>IF(L3300&lt;1,1,L3300)</f>
        <v>1</v>
      </c>
      <c r="N3300" s="70" t="s">
        <v>141</v>
      </c>
      <c r="O3300" s="71">
        <f>INDEX(DurClassMapping,MATCH(M3300,MappingTables!$D$4:$D$8,-1),1)</f>
        <v>1</v>
      </c>
      <c r="P3300" s="73">
        <f>IF(M3300=$A$1,1,$M3300-INDEX(MappingTables!$E$4:$E$8,MATCH(O3300,MappingTables!$B$4:$B$8,0)))</f>
        <v>1</v>
      </c>
      <c r="Q3300" s="71">
        <f>IF(B3300="",0,INDEX(ModelParameters!$D$6:$K$10,MATCH($O3300,ModelParameters!$B$6:$B$10,0),MATCH($J3300,ModelParameters!$D$5:$K$5,0)))</f>
        <v>0.075</v>
      </c>
      <c r="R3300" s="71">
        <f>IF(B3300="",0,INDEX(ModelParameters!$D$13:$K$17,MATCH($O3300,ModelParameters!$B$13:$B$17,0),MATCH($J3300,ModelParameters!$D$5:$K$5,0)))</f>
        <v>0</v>
      </c>
      <c r="S3300" s="160">
        <f>IF(B3300="",0,MIN(IF($N3300="Other Bond TM",ModelParameters!$N$21,1)*(P3300*Q3300+R3300),1))</f>
        <v>0.075</v>
      </c>
      <c r="T3300" s="85">
        <f>IF(B3300="",0,$S3300*$K3300)</f>
        <v>137.77631810171308</v>
      </c>
      <c r="U3300" s="85">
        <f>IF(B3300="",0,IF(OR(H3300=MappingTables!$C$34,H3300=MappingTables!$C$35),T3300,0))</f>
        <v>0</v>
      </c>
      <c r="V3300" s="85">
        <f>IF(ISNA(IF(AND(VLOOKUP(CONCATENATE($D3300,$G3300),CSRFinput!$B:$E,4,0)=0,OR(H3300=MappingTables!$C$34,H3300=MappingTables!$C$35)),1,VLOOKUP(CONCATENATE($D3300,$G3300),CSRFinput!$B:$E,4,0))),0,IF(AND(VLOOKUP(CONCATENATE($D3300,$G3300),CSRFinput!$B:$E,4,0)=0,OR(H3300=MappingTables!$C$34,H3300=MappingTables!$C$35)),1,VLOOKUP(CONCATENATE($D3300,$G3300),CSRFinput!$B:$E,4,0)))</f>
        <v>0.054776304963434752</v>
      </c>
      <c r="W3300" s="85">
        <f>IF(B3300="",0,+$T3300*$V3300)</f>
        <v>7.546877617078632</v>
      </c>
      <c r="X3300" s="85">
        <f>IF(B3300="",0,IF(OR(H3300=MappingTables!$C$34,H3300=MappingTables!$C$35),W3300,0))</f>
        <v>0</v>
      </c>
    </row>
    <row r="3301" spans="2:24" s="0" customFormat="0" ht="15">
      <c r="B3301" s="69">
        <v>8247517</v>
      </c>
      <c r="C3301" s="70" t="s">
        <v>2799</v>
      </c>
      <c r="D3301" s="70" t="s">
        <v>1</v>
      </c>
      <c r="E3301" s="70" t="s">
        <v>1</v>
      </c>
      <c r="F3301" s="70"/>
      <c r="G3301" s="70" t="s">
        <v>61</v>
      </c>
      <c r="H3301" s="70" t="s">
        <v>178</v>
      </c>
      <c r="I3301" s="70" t="s">
        <v>181</v>
      </c>
      <c r="J3301" s="71">
        <f>IF(OR(I3301=0,I3301=""),"unrated",VLOOKUP(I3301,MappingTables!$B$19:$C$31,2,FALSE))</f>
        <v>3</v>
      </c>
      <c r="K3301" s="72">
        <v>1.3751221200826644</v>
      </c>
      <c r="L3301" s="70">
        <v>0.36712577780356136</v>
      </c>
      <c r="M3301" s="71">
        <f>IF(L3301&lt;1,1,L3301)</f>
        <v>1</v>
      </c>
      <c r="N3301" s="70" t="s">
        <v>141</v>
      </c>
      <c r="O3301" s="71">
        <f>INDEX(DurClassMapping,MATCH(M3301,MappingTables!$D$4:$D$8,-1),1)</f>
        <v>1</v>
      </c>
      <c r="P3301" s="73">
        <f>IF(M3301=$A$1,1,$M3301-INDEX(MappingTables!$E$4:$E$8,MATCH(O3301,MappingTables!$B$4:$B$8,0)))</f>
        <v>1</v>
      </c>
      <c r="Q3301" s="71">
        <f>IF(B3301="",0,INDEX(ModelParameters!$D$6:$K$10,MATCH($O3301,ModelParameters!$B$6:$B$10,0),MATCH($J3301,ModelParameters!$D$5:$K$5,0)))</f>
        <v>0.025</v>
      </c>
      <c r="R3301" s="71">
        <f>IF(B3301="",0,INDEX(ModelParameters!$D$13:$K$17,MATCH($O3301,ModelParameters!$B$13:$B$17,0),MATCH($J3301,ModelParameters!$D$5:$K$5,0)))</f>
        <v>0</v>
      </c>
      <c r="S3301" s="160">
        <f>IF(B3301="",0,MIN(IF($N3301="Other Bond TM",ModelParameters!$N$21,1)*(P3301*Q3301+R3301),1))</f>
        <v>0.025</v>
      </c>
      <c r="T3301" s="85">
        <f>IF(B3301="",0,$S3301*$K3301)</f>
        <v>0.034378053002066608</v>
      </c>
      <c r="U3301" s="85">
        <f>IF(B3301="",0,IF(OR(H3301=MappingTables!$C$34,H3301=MappingTables!$C$35),T3301,0))</f>
        <v>0</v>
      </c>
      <c r="V3301" s="85">
        <f>IF(ISNA(IF(AND(VLOOKUP(CONCATENATE($D3301,$G3301),CSRFinput!$B:$E,4,0)=0,OR(H3301=MappingTables!$C$34,H3301=MappingTables!$C$35)),1,VLOOKUP(CONCATENATE($D3301,$G3301),CSRFinput!$B:$E,4,0))),0,IF(AND(VLOOKUP(CONCATENATE($D3301,$G3301),CSRFinput!$B:$E,4,0)=0,OR(H3301=MappingTables!$C$34,H3301=MappingTables!$C$35)),1,VLOOKUP(CONCATENATE($D3301,$G3301),CSRFinput!$B:$E,4,0)))</f>
        <v>0.054776304963434752</v>
      </c>
      <c r="W3301" s="85">
        <f>IF(B3301="",0,+$T3301*$V3301)</f>
        <v>0.001883102715290324</v>
      </c>
      <c r="X3301" s="85">
        <f>IF(B3301="",0,IF(OR(H3301=MappingTables!$C$34,H3301=MappingTables!$C$35),W3301,0))</f>
        <v>0</v>
      </c>
    </row>
    <row r="3302" spans="2:24" s="0" customFormat="0" ht="15">
      <c r="B3302" s="69">
        <v>22444256</v>
      </c>
      <c r="C3302" s="70" t="s">
        <v>2800</v>
      </c>
      <c r="D3302" s="70" t="s">
        <v>1</v>
      </c>
      <c r="E3302" s="70" t="s">
        <v>1</v>
      </c>
      <c r="F3302" s="70"/>
      <c r="G3302" s="70" t="s">
        <v>61</v>
      </c>
      <c r="H3302" s="70" t="s">
        <v>178</v>
      </c>
      <c r="I3302" s="70" t="s">
        <v>181</v>
      </c>
      <c r="J3302" s="71">
        <f>IF(OR(I3302=0,I3302=""),"unrated",VLOOKUP(I3302,MappingTables!$B$19:$C$31,2,FALSE))</f>
        <v>3</v>
      </c>
      <c r="K3302" s="72">
        <v>5841.116431267492</v>
      </c>
      <c r="L3302" s="70">
        <v>7.2670441047775136</v>
      </c>
      <c r="M3302" s="71">
        <f>IF(L3302&lt;1,1,L3302)</f>
        <v>7.2670441047775136</v>
      </c>
      <c r="N3302" s="70" t="s">
        <v>141</v>
      </c>
      <c r="O3302" s="71">
        <f>INDEX(DurClassMapping,MATCH(M3302,MappingTables!$D$4:$D$8,-1),1)</f>
        <v>2</v>
      </c>
      <c r="P3302" s="73">
        <f>IF(M3302=$A$1,1,$M3302-INDEX(MappingTables!$E$4:$E$8,MATCH(O3302,MappingTables!$B$4:$B$8,0)))</f>
        <v>2.267044104777514</v>
      </c>
      <c r="Q3302" s="71">
        <f>IF(B3302="",0,INDEX(ModelParameters!$D$6:$K$10,MATCH($O3302,ModelParameters!$B$6:$B$10,0),MATCH($J3302,ModelParameters!$D$5:$K$5,0)))</f>
        <v>0.015</v>
      </c>
      <c r="R3302" s="71">
        <f>IF(B3302="",0,INDEX(ModelParameters!$D$13:$K$17,MATCH($O3302,ModelParameters!$B$13:$B$17,0),MATCH($J3302,ModelParameters!$D$5:$K$5,0)))</f>
        <v>0.125</v>
      </c>
      <c r="S3302" s="160">
        <f>IF(B3302="",0,MIN(IF($N3302="Other Bond TM",ModelParameters!$N$21,1)*(P3302*Q3302+R3302),1))</f>
        <v>0.1590056615716627</v>
      </c>
      <c r="T3302" s="85">
        <f>IF(B3302="",0,$S3302*$K3302)</f>
        <v>928.77058247079712</v>
      </c>
      <c r="U3302" s="85">
        <f>IF(B3302="",0,IF(OR(H3302=MappingTables!$C$34,H3302=MappingTables!$C$35),T3302,0))</f>
        <v>0</v>
      </c>
      <c r="V3302" s="85">
        <f>IF(ISNA(IF(AND(VLOOKUP(CONCATENATE($D3302,$G3302),CSRFinput!$B:$E,4,0)=0,OR(H3302=MappingTables!$C$34,H3302=MappingTables!$C$35)),1,VLOOKUP(CONCATENATE($D3302,$G3302),CSRFinput!$B:$E,4,0))),0,IF(AND(VLOOKUP(CONCATENATE($D3302,$G3302),CSRFinput!$B:$E,4,0)=0,OR(H3302=MappingTables!$C$34,H3302=MappingTables!$C$35)),1,VLOOKUP(CONCATENATE($D3302,$G3302),CSRFinput!$B:$E,4,0)))</f>
        <v>0.054776304963434752</v>
      </c>
      <c r="W3302" s="85">
        <f>IF(B3302="",0,+$T3302*$V3302)</f>
        <v>50.874620666487312</v>
      </c>
      <c r="X3302" s="85">
        <f>IF(B3302="",0,IF(OR(H3302=MappingTables!$C$34,H3302=MappingTables!$C$35),W3302,0))</f>
        <v>0</v>
      </c>
    </row>
    <row r="3303" spans="2:24" s="0" customFormat="0" ht="15">
      <c r="B3303" s="69">
        <v>21391641</v>
      </c>
      <c r="C3303" s="70" t="s">
        <v>2499</v>
      </c>
      <c r="D3303" s="70" t="s">
        <v>1</v>
      </c>
      <c r="E3303" s="70" t="s">
        <v>1</v>
      </c>
      <c r="F3303" s="70"/>
      <c r="G3303" s="70" t="s">
        <v>61</v>
      </c>
      <c r="H3303" s="70" t="s">
        <v>178</v>
      </c>
      <c r="I3303" s="70" t="s">
        <v>188</v>
      </c>
      <c r="J3303" s="71">
        <f>IF(OR(I3303=0,I3303=""),"unrated",VLOOKUP(I3303,MappingTables!$B$19:$C$31,2,FALSE))</f>
        <v>2</v>
      </c>
      <c r="K3303" s="72">
        <v>2847.8209104007624</v>
      </c>
      <c r="L3303" s="70">
        <v>1.7201782146864542</v>
      </c>
      <c r="M3303" s="71">
        <f>IF(L3303&lt;1,1,L3303)</f>
        <v>1.7201782146864542</v>
      </c>
      <c r="N3303" s="70" t="s">
        <v>141</v>
      </c>
      <c r="O3303" s="71">
        <f>INDEX(DurClassMapping,MATCH(M3303,MappingTables!$D$4:$D$8,-1),1)</f>
        <v>1</v>
      </c>
      <c r="P3303" s="73">
        <f>IF(M3303=$A$1,1,$M3303-INDEX(MappingTables!$E$4:$E$8,MATCH(O3303,MappingTables!$B$4:$B$8,0)))</f>
        <v>1.7201782146864542</v>
      </c>
      <c r="Q3303" s="71">
        <f>IF(B3303="",0,INDEX(ModelParameters!$D$6:$K$10,MATCH($O3303,ModelParameters!$B$6:$B$10,0),MATCH($J3303,ModelParameters!$D$5:$K$5,0)))</f>
        <v>0.013999999999999998</v>
      </c>
      <c r="R3303" s="71">
        <f>IF(B3303="",0,INDEX(ModelParameters!$D$13:$K$17,MATCH($O3303,ModelParameters!$B$13:$B$17,0),MATCH($J3303,ModelParameters!$D$5:$K$5,0)))</f>
        <v>0</v>
      </c>
      <c r="S3303" s="160">
        <f>IF(B3303="",0,MIN(IF($N3303="Other Bond TM",ModelParameters!$N$21,1)*(P3303*Q3303+R3303),1))</f>
        <v>0.024082495005610356</v>
      </c>
      <c r="T3303" s="85">
        <f>IF(B3303="",0,$S3303*$K3303)</f>
        <v>68.582632851599104</v>
      </c>
      <c r="U3303" s="85">
        <f>IF(B3303="",0,IF(OR(H3303=MappingTables!$C$34,H3303=MappingTables!$C$35),T3303,0))</f>
        <v>0</v>
      </c>
      <c r="V3303" s="85">
        <f>IF(ISNA(IF(AND(VLOOKUP(CONCATENATE($D3303,$G3303),CSRFinput!$B:$E,4,0)=0,OR(H3303=MappingTables!$C$34,H3303=MappingTables!$C$35)),1,VLOOKUP(CONCATENATE($D3303,$G3303),CSRFinput!$B:$E,4,0))),0,IF(AND(VLOOKUP(CONCATENATE($D3303,$G3303),CSRFinput!$B:$E,4,0)=0,OR(H3303=MappingTables!$C$34,H3303=MappingTables!$C$35)),1,VLOOKUP(CONCATENATE($D3303,$G3303),CSRFinput!$B:$E,4,0)))</f>
        <v>0.054776304963434752</v>
      </c>
      <c r="W3303" s="85">
        <f>IF(B3303="",0,+$T3303*$V3303)</f>
        <v>3.7567032122744712</v>
      </c>
      <c r="X3303" s="85">
        <f>IF(B3303="",0,IF(OR(H3303=MappingTables!$C$34,H3303=MappingTables!$C$35),W3303,0))</f>
        <v>0</v>
      </c>
    </row>
    <row r="3304" spans="2:24" s="0" customFormat="0" ht="15">
      <c r="B3304" s="69">
        <v>15329729</v>
      </c>
      <c r="C3304" s="70" t="s">
        <v>2801</v>
      </c>
      <c r="D3304" s="70" t="s">
        <v>1</v>
      </c>
      <c r="E3304" s="70" t="s">
        <v>1</v>
      </c>
      <c r="F3304" s="70"/>
      <c r="G3304" s="70" t="s">
        <v>61</v>
      </c>
      <c r="H3304" s="70" t="s">
        <v>178</v>
      </c>
      <c r="I3304" s="70" t="s">
        <v>181</v>
      </c>
      <c r="J3304" s="71">
        <f>IF(OR(I3304=0,I3304=""),"unrated",VLOOKUP(I3304,MappingTables!$B$19:$C$31,2,FALSE))</f>
        <v>3</v>
      </c>
      <c r="K3304" s="72">
        <v>989.13434639452288</v>
      </c>
      <c r="L3304" s="70">
        <v>0.33898499179669012</v>
      </c>
      <c r="M3304" s="71">
        <f>IF(L3304&lt;1,1,L3304)</f>
        <v>1</v>
      </c>
      <c r="N3304" s="70" t="s">
        <v>141</v>
      </c>
      <c r="O3304" s="71">
        <f>INDEX(DurClassMapping,MATCH(M3304,MappingTables!$D$4:$D$8,-1),1)</f>
        <v>1</v>
      </c>
      <c r="P3304" s="73">
        <f>IF(M3304=$A$1,1,$M3304-INDEX(MappingTables!$E$4:$E$8,MATCH(O3304,MappingTables!$B$4:$B$8,0)))</f>
        <v>1</v>
      </c>
      <c r="Q3304" s="71">
        <f>IF(B3304="",0,INDEX(ModelParameters!$D$6:$K$10,MATCH($O3304,ModelParameters!$B$6:$B$10,0),MATCH($J3304,ModelParameters!$D$5:$K$5,0)))</f>
        <v>0.025</v>
      </c>
      <c r="R3304" s="71">
        <f>IF(B3304="",0,INDEX(ModelParameters!$D$13:$K$17,MATCH($O3304,ModelParameters!$B$13:$B$17,0),MATCH($J3304,ModelParameters!$D$5:$K$5,0)))</f>
        <v>0</v>
      </c>
      <c r="S3304" s="160">
        <f>IF(B3304="",0,MIN(IF($N3304="Other Bond TM",ModelParameters!$N$21,1)*(P3304*Q3304+R3304),1))</f>
        <v>0.025</v>
      </c>
      <c r="T3304" s="85">
        <f>IF(B3304="",0,$S3304*$K3304)</f>
        <v>24.728358659863072</v>
      </c>
      <c r="U3304" s="85">
        <f>IF(B3304="",0,IF(OR(H3304=MappingTables!$C$34,H3304=MappingTables!$C$35),T3304,0))</f>
        <v>0</v>
      </c>
      <c r="V3304" s="85">
        <f>IF(ISNA(IF(AND(VLOOKUP(CONCATENATE($D3304,$G3304),CSRFinput!$B:$E,4,0)=0,OR(H3304=MappingTables!$C$34,H3304=MappingTables!$C$35)),1,VLOOKUP(CONCATENATE($D3304,$G3304),CSRFinput!$B:$E,4,0))),0,IF(AND(VLOOKUP(CONCATENATE($D3304,$G3304),CSRFinput!$B:$E,4,0)=0,OR(H3304=MappingTables!$C$34,H3304=MappingTables!$C$35)),1,VLOOKUP(CONCATENATE($D3304,$G3304),CSRFinput!$B:$E,4,0)))</f>
        <v>0.054776304963434752</v>
      </c>
      <c r="W3304" s="85">
        <f>IF(B3304="",0,+$T3304*$V3304)</f>
        <v>1.3545281151978524</v>
      </c>
      <c r="X3304" s="85">
        <f>IF(B3304="",0,IF(OR(H3304=MappingTables!$C$34,H3304=MappingTables!$C$35),W3304,0))</f>
        <v>0</v>
      </c>
    </row>
    <row r="3305" spans="2:24" s="0" customFormat="0" ht="15">
      <c r="B3305" s="69">
        <v>21507543</v>
      </c>
      <c r="C3305" s="70" t="s">
        <v>2802</v>
      </c>
      <c r="D3305" s="70" t="s">
        <v>1</v>
      </c>
      <c r="E3305" s="70" t="s">
        <v>1</v>
      </c>
      <c r="F3305" s="70"/>
      <c r="G3305" s="70" t="s">
        <v>61</v>
      </c>
      <c r="H3305" s="70" t="s">
        <v>178</v>
      </c>
      <c r="I3305" s="70" t="s">
        <v>181</v>
      </c>
      <c r="J3305" s="71">
        <f>IF(OR(I3305=0,I3305=""),"unrated",VLOOKUP(I3305,MappingTables!$B$19:$C$31,2,FALSE))</f>
        <v>3</v>
      </c>
      <c r="K3305" s="72">
        <v>3777.6718010635968</v>
      </c>
      <c r="L3305" s="70">
        <v>6.935017917351204</v>
      </c>
      <c r="M3305" s="71">
        <f>IF(L3305&lt;1,1,L3305)</f>
        <v>6.935017917351204</v>
      </c>
      <c r="N3305" s="70" t="s">
        <v>141</v>
      </c>
      <c r="O3305" s="71">
        <f>INDEX(DurClassMapping,MATCH(M3305,MappingTables!$D$4:$D$8,-1),1)</f>
        <v>2</v>
      </c>
      <c r="P3305" s="73">
        <f>IF(M3305=$A$1,1,$M3305-INDEX(MappingTables!$E$4:$E$8,MATCH(O3305,MappingTables!$B$4:$B$8,0)))</f>
        <v>1.935017917351204</v>
      </c>
      <c r="Q3305" s="71">
        <f>IF(B3305="",0,INDEX(ModelParameters!$D$6:$K$10,MATCH($O3305,ModelParameters!$B$6:$B$10,0),MATCH($J3305,ModelParameters!$D$5:$K$5,0)))</f>
        <v>0.015</v>
      </c>
      <c r="R3305" s="71">
        <f>IF(B3305="",0,INDEX(ModelParameters!$D$13:$K$17,MATCH($O3305,ModelParameters!$B$13:$B$17,0),MATCH($J3305,ModelParameters!$D$5:$K$5,0)))</f>
        <v>0.125</v>
      </c>
      <c r="S3305" s="160">
        <f>IF(B3305="",0,MIN(IF($N3305="Other Bond TM",ModelParameters!$N$21,1)*(P3305*Q3305+R3305),1))</f>
        <v>0.15402526876026806</v>
      </c>
      <c r="T3305" s="85">
        <f>IF(B3305="",0,$S3305*$K3305)</f>
        <v>581.85691444690648</v>
      </c>
      <c r="U3305" s="85">
        <f>IF(B3305="",0,IF(OR(H3305=MappingTables!$C$34,H3305=MappingTables!$C$35),T3305,0))</f>
        <v>0</v>
      </c>
      <c r="V3305" s="85">
        <f>IF(ISNA(IF(AND(VLOOKUP(CONCATENATE($D3305,$G3305),CSRFinput!$B:$E,4,0)=0,OR(H3305=MappingTables!$C$34,H3305=MappingTables!$C$35)),1,VLOOKUP(CONCATENATE($D3305,$G3305),CSRFinput!$B:$E,4,0))),0,IF(AND(VLOOKUP(CONCATENATE($D3305,$G3305),CSRFinput!$B:$E,4,0)=0,OR(H3305=MappingTables!$C$34,H3305=MappingTables!$C$35)),1,VLOOKUP(CONCATENATE($D3305,$G3305),CSRFinput!$B:$E,4,0)))</f>
        <v>0.054776304963434752</v>
      </c>
      <c r="W3305" s="85">
        <f>IF(B3305="",0,+$T3305*$V3305)</f>
        <v>31.871971790826912</v>
      </c>
      <c r="X3305" s="85">
        <f>IF(B3305="",0,IF(OR(H3305=MappingTables!$C$34,H3305=MappingTables!$C$35),W3305,0))</f>
        <v>0</v>
      </c>
    </row>
    <row r="3306" spans="2:24" s="0" customFormat="0" ht="15">
      <c r="B3306" s="69">
        <v>19619422</v>
      </c>
      <c r="C3306" s="70" t="s">
        <v>2803</v>
      </c>
      <c r="D3306" s="70" t="s">
        <v>1</v>
      </c>
      <c r="E3306" s="70" t="s">
        <v>1</v>
      </c>
      <c r="F3306" s="70"/>
      <c r="G3306" s="70" t="s">
        <v>61</v>
      </c>
      <c r="H3306" s="70" t="s">
        <v>178</v>
      </c>
      <c r="I3306" s="70" t="s">
        <v>179</v>
      </c>
      <c r="J3306" s="71">
        <f>IF(OR(I3306=0,I3306=""),"unrated",VLOOKUP(I3306,MappingTables!$B$19:$C$31,2,FALSE))</f>
        <v>4</v>
      </c>
      <c r="K3306" s="72">
        <v>1572.8448393617466</v>
      </c>
      <c r="L3306" s="70">
        <v>1.3490516784606734</v>
      </c>
      <c r="M3306" s="71">
        <f>IF(L3306&lt;1,1,L3306)</f>
        <v>1.3490516784606734</v>
      </c>
      <c r="N3306" s="70" t="s">
        <v>141</v>
      </c>
      <c r="O3306" s="71">
        <f>INDEX(DurClassMapping,MATCH(M3306,MappingTables!$D$4:$D$8,-1),1)</f>
        <v>1</v>
      </c>
      <c r="P3306" s="73">
        <f>IF(M3306=$A$1,1,$M3306-INDEX(MappingTables!$E$4:$E$8,MATCH(O3306,MappingTables!$B$4:$B$8,0)))</f>
        <v>1.3490516784606734</v>
      </c>
      <c r="Q3306" s="71">
        <f>IF(B3306="",0,INDEX(ModelParameters!$D$6:$K$10,MATCH($O3306,ModelParameters!$B$6:$B$10,0),MATCH($J3306,ModelParameters!$D$5:$K$5,0)))</f>
        <v>0.045</v>
      </c>
      <c r="R3306" s="71">
        <f>IF(B3306="",0,INDEX(ModelParameters!$D$13:$K$17,MATCH($O3306,ModelParameters!$B$13:$B$17,0),MATCH($J3306,ModelParameters!$D$5:$K$5,0)))</f>
        <v>0</v>
      </c>
      <c r="S3306" s="160">
        <f>IF(B3306="",0,MIN(IF($N3306="Other Bond TM",ModelParameters!$N$21,1)*(P3306*Q3306+R3306),1))</f>
        <v>0.060707325530730296</v>
      </c>
      <c r="T3306" s="85">
        <f>IF(B3306="",0,$S3306*$K3306)</f>
        <v>95.483203672462752</v>
      </c>
      <c r="U3306" s="85">
        <f>IF(B3306="",0,IF(OR(H3306=MappingTables!$C$34,H3306=MappingTables!$C$35),T3306,0))</f>
        <v>0</v>
      </c>
      <c r="V3306" s="85">
        <f>IF(ISNA(IF(AND(VLOOKUP(CONCATENATE($D3306,$G3306),CSRFinput!$B:$E,4,0)=0,OR(H3306=MappingTables!$C$34,H3306=MappingTables!$C$35)),1,VLOOKUP(CONCATENATE($D3306,$G3306),CSRFinput!$B:$E,4,0))),0,IF(AND(VLOOKUP(CONCATENATE($D3306,$G3306),CSRFinput!$B:$E,4,0)=0,OR(H3306=MappingTables!$C$34,H3306=MappingTables!$C$35)),1,VLOOKUP(CONCATENATE($D3306,$G3306),CSRFinput!$B:$E,4,0)))</f>
        <v>0.054776304963434752</v>
      </c>
      <c r="W3306" s="85">
        <f>IF(B3306="",0,+$T3306*$V3306)</f>
        <v>5.2302170832485728</v>
      </c>
      <c r="X3306" s="85">
        <f>IF(B3306="",0,IF(OR(H3306=MappingTables!$C$34,H3306=MappingTables!$C$35),W3306,0))</f>
        <v>0</v>
      </c>
    </row>
    <row r="3307" spans="2:24" s="0" customFormat="0" ht="15">
      <c r="B3307" s="69">
        <v>11413498</v>
      </c>
      <c r="C3307" s="70" t="s">
        <v>1975</v>
      </c>
      <c r="D3307" s="70" t="s">
        <v>1</v>
      </c>
      <c r="E3307" s="70" t="s">
        <v>1</v>
      </c>
      <c r="F3307" s="70"/>
      <c r="G3307" s="70" t="s">
        <v>61</v>
      </c>
      <c r="H3307" s="70" t="s">
        <v>178</v>
      </c>
      <c r="I3307" s="70" t="s">
        <v>188</v>
      </c>
      <c r="J3307" s="71">
        <f>IF(OR(I3307=0,I3307=""),"unrated",VLOOKUP(I3307,MappingTables!$B$19:$C$31,2,FALSE))</f>
        <v>2</v>
      </c>
      <c r="K3307" s="72">
        <v>153.8416012589609</v>
      </c>
      <c r="L3307" s="70">
        <v>4.796002285263124</v>
      </c>
      <c r="M3307" s="71">
        <f>IF(L3307&lt;1,1,L3307)</f>
        <v>4.796002285263124</v>
      </c>
      <c r="N3307" s="70" t="s">
        <v>141</v>
      </c>
      <c r="O3307" s="71">
        <f>INDEX(DurClassMapping,MATCH(M3307,MappingTables!$D$4:$D$8,-1),1)</f>
        <v>1</v>
      </c>
      <c r="P3307" s="73">
        <f>IF(M3307=$A$1,1,$M3307-INDEX(MappingTables!$E$4:$E$8,MATCH(O3307,MappingTables!$B$4:$B$8,0)))</f>
        <v>4.796002285263124</v>
      </c>
      <c r="Q3307" s="71">
        <f>IF(B3307="",0,INDEX(ModelParameters!$D$6:$K$10,MATCH($O3307,ModelParameters!$B$6:$B$10,0),MATCH($J3307,ModelParameters!$D$5:$K$5,0)))</f>
        <v>0.013999999999999998</v>
      </c>
      <c r="R3307" s="71">
        <f>IF(B3307="",0,INDEX(ModelParameters!$D$13:$K$17,MATCH($O3307,ModelParameters!$B$13:$B$17,0),MATCH($J3307,ModelParameters!$D$5:$K$5,0)))</f>
        <v>0</v>
      </c>
      <c r="S3307" s="160">
        <f>IF(B3307="",0,MIN(IF($N3307="Other Bond TM",ModelParameters!$N$21,1)*(P3307*Q3307+R3307),1))</f>
        <v>0.067144031993683728</v>
      </c>
      <c r="T3307" s="85">
        <f>IF(B3307="",0,$S3307*$K3307)</f>
        <v>10.329545396891206</v>
      </c>
      <c r="U3307" s="85">
        <f>IF(B3307="",0,IF(OR(H3307=MappingTables!$C$34,H3307=MappingTables!$C$35),T3307,0))</f>
        <v>0</v>
      </c>
      <c r="V3307" s="85">
        <f>IF(ISNA(IF(AND(VLOOKUP(CONCATENATE($D3307,$G3307),CSRFinput!$B:$E,4,0)=0,OR(H3307=MappingTables!$C$34,H3307=MappingTables!$C$35)),1,VLOOKUP(CONCATENATE($D3307,$G3307),CSRFinput!$B:$E,4,0))),0,IF(AND(VLOOKUP(CONCATENATE($D3307,$G3307),CSRFinput!$B:$E,4,0)=0,OR(H3307=MappingTables!$C$34,H3307=MappingTables!$C$35)),1,VLOOKUP(CONCATENATE($D3307,$G3307),CSRFinput!$B:$E,4,0)))</f>
        <v>0.054776304963434752</v>
      </c>
      <c r="W3307" s="85">
        <f>IF(B3307="",0,+$T3307*$V3307)</f>
        <v>0.5658143287937564</v>
      </c>
      <c r="X3307" s="85">
        <f>IF(B3307="",0,IF(OR(H3307=MappingTables!$C$34,H3307=MappingTables!$C$35),W3307,0))</f>
        <v>0</v>
      </c>
    </row>
    <row r="3308" spans="2:24" s="0" customFormat="0" ht="15">
      <c r="B3308" s="69">
        <v>13275738</v>
      </c>
      <c r="C3308" s="70" t="s">
        <v>510</v>
      </c>
      <c r="D3308" s="70" t="s">
        <v>1</v>
      </c>
      <c r="E3308" s="70" t="s">
        <v>1</v>
      </c>
      <c r="F3308" s="70"/>
      <c r="G3308" s="70" t="s">
        <v>61</v>
      </c>
      <c r="H3308" s="70" t="s">
        <v>178</v>
      </c>
      <c r="I3308" s="70" t="s">
        <v>179</v>
      </c>
      <c r="J3308" s="71">
        <f>IF(OR(I3308=0,I3308=""),"unrated",VLOOKUP(I3308,MappingTables!$B$19:$C$31,2,FALSE))</f>
        <v>4</v>
      </c>
      <c r="K3308" s="72">
        <v>5804.391965580356</v>
      </c>
      <c r="L3308" s="70">
        <v>3.0732287497980396</v>
      </c>
      <c r="M3308" s="71">
        <f>IF(L3308&lt;1,1,L3308)</f>
        <v>3.0732287497980396</v>
      </c>
      <c r="N3308" s="70" t="s">
        <v>141</v>
      </c>
      <c r="O3308" s="71">
        <f>INDEX(DurClassMapping,MATCH(M3308,MappingTables!$D$4:$D$8,-1),1)</f>
        <v>1</v>
      </c>
      <c r="P3308" s="73">
        <f>IF(M3308=$A$1,1,$M3308-INDEX(MappingTables!$E$4:$E$8,MATCH(O3308,MappingTables!$B$4:$B$8,0)))</f>
        <v>3.0732287497980396</v>
      </c>
      <c r="Q3308" s="71">
        <f>IF(B3308="",0,INDEX(ModelParameters!$D$6:$K$10,MATCH($O3308,ModelParameters!$B$6:$B$10,0),MATCH($J3308,ModelParameters!$D$5:$K$5,0)))</f>
        <v>0.045</v>
      </c>
      <c r="R3308" s="71">
        <f>IF(B3308="",0,INDEX(ModelParameters!$D$13:$K$17,MATCH($O3308,ModelParameters!$B$13:$B$17,0),MATCH($J3308,ModelParameters!$D$5:$K$5,0)))</f>
        <v>0</v>
      </c>
      <c r="S3308" s="160">
        <f>IF(B3308="",0,MIN(IF($N3308="Other Bond TM",ModelParameters!$N$21,1)*(P3308*Q3308+R3308),1))</f>
        <v>0.13829529374091176</v>
      </c>
      <c r="T3308" s="85">
        <f>IF(B3308="",0,$S3308*$K3308)</f>
        <v>802.72009186732352</v>
      </c>
      <c r="U3308" s="85">
        <f>IF(B3308="",0,IF(OR(H3308=MappingTables!$C$34,H3308=MappingTables!$C$35),T3308,0))</f>
        <v>0</v>
      </c>
      <c r="V3308" s="85">
        <f>IF(ISNA(IF(AND(VLOOKUP(CONCATENATE($D3308,$G3308),CSRFinput!$B:$E,4,0)=0,OR(H3308=MappingTables!$C$34,H3308=MappingTables!$C$35)),1,VLOOKUP(CONCATENATE($D3308,$G3308),CSRFinput!$B:$E,4,0))),0,IF(AND(VLOOKUP(CONCATENATE($D3308,$G3308),CSRFinput!$B:$E,4,0)=0,OR(H3308=MappingTables!$C$34,H3308=MappingTables!$C$35)),1,VLOOKUP(CONCATENATE($D3308,$G3308),CSRFinput!$B:$E,4,0)))</f>
        <v>0.054776304963434752</v>
      </c>
      <c r="W3308" s="85">
        <f>IF(B3308="",0,+$T3308*$V3308)</f>
        <v>43.970040552400872</v>
      </c>
      <c r="X3308" s="85">
        <f>IF(B3308="",0,IF(OR(H3308=MappingTables!$C$34,H3308=MappingTables!$C$35),W3308,0))</f>
        <v>0</v>
      </c>
    </row>
    <row r="3309" spans="2:24" s="0" customFormat="0" ht="15">
      <c r="B3309" s="69">
        <v>17602723</v>
      </c>
      <c r="C3309" s="70" t="s">
        <v>858</v>
      </c>
      <c r="D3309" s="70" t="s">
        <v>1</v>
      </c>
      <c r="E3309" s="70" t="s">
        <v>1</v>
      </c>
      <c r="F3309" s="70"/>
      <c r="G3309" s="70" t="s">
        <v>61</v>
      </c>
      <c r="H3309" s="70" t="s">
        <v>178</v>
      </c>
      <c r="I3309" s="70" t="s">
        <v>188</v>
      </c>
      <c r="J3309" s="71">
        <f>IF(OR(I3309=0,I3309=""),"unrated",VLOOKUP(I3309,MappingTables!$B$19:$C$31,2,FALSE))</f>
        <v>2</v>
      </c>
      <c r="K3309" s="72">
        <v>1899.07693127254</v>
      </c>
      <c r="L3309" s="70">
        <v>0.55205464582571552</v>
      </c>
      <c r="M3309" s="71">
        <f>IF(L3309&lt;1,1,L3309)</f>
        <v>1</v>
      </c>
      <c r="N3309" s="70" t="s">
        <v>141</v>
      </c>
      <c r="O3309" s="71">
        <f>INDEX(DurClassMapping,MATCH(M3309,MappingTables!$D$4:$D$8,-1),1)</f>
        <v>1</v>
      </c>
      <c r="P3309" s="73">
        <f>IF(M3309=$A$1,1,$M3309-INDEX(MappingTables!$E$4:$E$8,MATCH(O3309,MappingTables!$B$4:$B$8,0)))</f>
        <v>1</v>
      </c>
      <c r="Q3309" s="71">
        <f>IF(B3309="",0,INDEX(ModelParameters!$D$6:$K$10,MATCH($O3309,ModelParameters!$B$6:$B$10,0),MATCH($J3309,ModelParameters!$D$5:$K$5,0)))</f>
        <v>0.013999999999999998</v>
      </c>
      <c r="R3309" s="71">
        <f>IF(B3309="",0,INDEX(ModelParameters!$D$13:$K$17,MATCH($O3309,ModelParameters!$B$13:$B$17,0),MATCH($J3309,ModelParameters!$D$5:$K$5,0)))</f>
        <v>0</v>
      </c>
      <c r="S3309" s="160">
        <f>IF(B3309="",0,MIN(IF($N3309="Other Bond TM",ModelParameters!$N$21,1)*(P3309*Q3309+R3309),1))</f>
        <v>0.013999999999999998</v>
      </c>
      <c r="T3309" s="85">
        <f>IF(B3309="",0,$S3309*$K3309)</f>
        <v>26.587077037815556</v>
      </c>
      <c r="U3309" s="85">
        <f>IF(B3309="",0,IF(OR(H3309=MappingTables!$C$34,H3309=MappingTables!$C$35),T3309,0))</f>
        <v>0</v>
      </c>
      <c r="V3309" s="85">
        <f>IF(ISNA(IF(AND(VLOOKUP(CONCATENATE($D3309,$G3309),CSRFinput!$B:$E,4,0)=0,OR(H3309=MappingTables!$C$34,H3309=MappingTables!$C$35)),1,VLOOKUP(CONCATENATE($D3309,$G3309),CSRFinput!$B:$E,4,0))),0,IF(AND(VLOOKUP(CONCATENATE($D3309,$G3309),CSRFinput!$B:$E,4,0)=0,OR(H3309=MappingTables!$C$34,H3309=MappingTables!$C$35)),1,VLOOKUP(CONCATENATE($D3309,$G3309),CSRFinput!$B:$E,4,0)))</f>
        <v>0.054776304963434752</v>
      </c>
      <c r="W3309" s="85">
        <f>IF(B3309="",0,+$T3309*$V3309)</f>
        <v>1.4563418399097186</v>
      </c>
      <c r="X3309" s="85">
        <f>IF(B3309="",0,IF(OR(H3309=MappingTables!$C$34,H3309=MappingTables!$C$35),W3309,0))</f>
        <v>0</v>
      </c>
    </row>
    <row r="3310" spans="2:24" s="0" customFormat="0" ht="15">
      <c r="B3310" s="69">
        <v>22273777</v>
      </c>
      <c r="C3310" s="70" t="s">
        <v>2804</v>
      </c>
      <c r="D3310" s="70" t="s">
        <v>1</v>
      </c>
      <c r="E3310" s="70" t="s">
        <v>1</v>
      </c>
      <c r="F3310" s="70"/>
      <c r="G3310" s="70" t="s">
        <v>61</v>
      </c>
      <c r="H3310" s="70" t="s">
        <v>178</v>
      </c>
      <c r="I3310" s="70" t="s">
        <v>188</v>
      </c>
      <c r="J3310" s="71">
        <f>IF(OR(I3310=0,I3310=""),"unrated",VLOOKUP(I3310,MappingTables!$B$19:$C$31,2,FALSE))</f>
        <v>2</v>
      </c>
      <c r="K3310" s="72">
        <v>59.77209752426084</v>
      </c>
      <c r="L3310" s="70">
        <v>2.0350704848837408</v>
      </c>
      <c r="M3310" s="71">
        <f>IF(L3310&lt;1,1,L3310)</f>
        <v>2.0350704848837408</v>
      </c>
      <c r="N3310" s="70" t="s">
        <v>141</v>
      </c>
      <c r="O3310" s="71">
        <f>INDEX(DurClassMapping,MATCH(M3310,MappingTables!$D$4:$D$8,-1),1)</f>
        <v>1</v>
      </c>
      <c r="P3310" s="73">
        <f>IF(M3310=$A$1,1,$M3310-INDEX(MappingTables!$E$4:$E$8,MATCH(O3310,MappingTables!$B$4:$B$8,0)))</f>
        <v>2.0350704848837408</v>
      </c>
      <c r="Q3310" s="71">
        <f>IF(B3310="",0,INDEX(ModelParameters!$D$6:$K$10,MATCH($O3310,ModelParameters!$B$6:$B$10,0),MATCH($J3310,ModelParameters!$D$5:$K$5,0)))</f>
        <v>0.013999999999999998</v>
      </c>
      <c r="R3310" s="71">
        <f>IF(B3310="",0,INDEX(ModelParameters!$D$13:$K$17,MATCH($O3310,ModelParameters!$B$13:$B$17,0),MATCH($J3310,ModelParameters!$D$5:$K$5,0)))</f>
        <v>0</v>
      </c>
      <c r="S3310" s="160">
        <f>IF(B3310="",0,MIN(IF($N3310="Other Bond TM",ModelParameters!$N$21,1)*(P3310*Q3310+R3310),1))</f>
        <v>0.028490986788372372</v>
      </c>
      <c r="T3310" s="85">
        <f>IF(B3310="",0,$S3310*$K3310)</f>
        <v>1.7029660408770204</v>
      </c>
      <c r="U3310" s="85">
        <f>IF(B3310="",0,IF(OR(H3310=MappingTables!$C$34,H3310=MappingTables!$C$35),T3310,0))</f>
        <v>0</v>
      </c>
      <c r="V3310" s="85">
        <f>IF(ISNA(IF(AND(VLOOKUP(CONCATENATE($D3310,$G3310),CSRFinput!$B:$E,4,0)=0,OR(H3310=MappingTables!$C$34,H3310=MappingTables!$C$35)),1,VLOOKUP(CONCATENATE($D3310,$G3310),CSRFinput!$B:$E,4,0))),0,IF(AND(VLOOKUP(CONCATENATE($D3310,$G3310),CSRFinput!$B:$E,4,0)=0,OR(H3310=MappingTables!$C$34,H3310=MappingTables!$C$35)),1,VLOOKUP(CONCATENATE($D3310,$G3310),CSRFinput!$B:$E,4,0)))</f>
        <v>0.054776304963434752</v>
      </c>
      <c r="W3310" s="85">
        <f>IF(B3310="",0,+$T3310*$V3310)</f>
        <v>0.093282187197452768</v>
      </c>
      <c r="X3310" s="85">
        <f>IF(B3310="",0,IF(OR(H3310=MappingTables!$C$34,H3310=MappingTables!$C$35),W3310,0))</f>
        <v>0</v>
      </c>
    </row>
    <row r="3311" spans="2:24" s="0" customFormat="0" ht="15">
      <c r="B3311" s="69">
        <v>13302590</v>
      </c>
      <c r="C3311" s="70" t="s">
        <v>905</v>
      </c>
      <c r="D3311" s="70" t="s">
        <v>1</v>
      </c>
      <c r="E3311" s="70" t="s">
        <v>1</v>
      </c>
      <c r="F3311" s="70"/>
      <c r="G3311" s="70" t="s">
        <v>61</v>
      </c>
      <c r="H3311" s="70" t="s">
        <v>178</v>
      </c>
      <c r="I3311" s="70" t="s">
        <v>184</v>
      </c>
      <c r="J3311" s="71">
        <f>IF(OR(I3311=0,I3311=""),"unrated",VLOOKUP(I3311,MappingTables!$B$19:$C$31,2,FALSE))</f>
        <v>5</v>
      </c>
      <c r="K3311" s="72">
        <v>157.70351453922212</v>
      </c>
      <c r="L3311" s="70">
        <v>1.5054415741759412</v>
      </c>
      <c r="M3311" s="71">
        <f>IF(L3311&lt;1,1,L3311)</f>
        <v>1.5054415741759412</v>
      </c>
      <c r="N3311" s="70" t="s">
        <v>141</v>
      </c>
      <c r="O3311" s="71">
        <f>INDEX(DurClassMapping,MATCH(M3311,MappingTables!$D$4:$D$8,-1),1)</f>
        <v>1</v>
      </c>
      <c r="P3311" s="73">
        <f>IF(M3311=$A$1,1,$M3311-INDEX(MappingTables!$E$4:$E$8,MATCH(O3311,MappingTables!$B$4:$B$8,0)))</f>
        <v>1.5054415741759412</v>
      </c>
      <c r="Q3311" s="71">
        <f>IF(B3311="",0,INDEX(ModelParameters!$D$6:$K$10,MATCH($O3311,ModelParameters!$B$6:$B$10,0),MATCH($J3311,ModelParameters!$D$5:$K$5,0)))</f>
        <v>0.075</v>
      </c>
      <c r="R3311" s="71">
        <f>IF(B3311="",0,INDEX(ModelParameters!$D$13:$K$17,MATCH($O3311,ModelParameters!$B$13:$B$17,0),MATCH($J3311,ModelParameters!$D$5:$K$5,0)))</f>
        <v>0</v>
      </c>
      <c r="S3311" s="160">
        <f>IF(B3311="",0,MIN(IF($N3311="Other Bond TM",ModelParameters!$N$21,1)*(P3311*Q3311+R3311),1))</f>
        <v>0.11290811806319558</v>
      </c>
      <c r="T3311" s="85">
        <f>IF(B3311="",0,$S3311*$K3311)</f>
        <v>17.806007038575374</v>
      </c>
      <c r="U3311" s="85">
        <f>IF(B3311="",0,IF(OR(H3311=MappingTables!$C$34,H3311=MappingTables!$C$35),T3311,0))</f>
        <v>0</v>
      </c>
      <c r="V3311" s="85">
        <f>IF(ISNA(IF(AND(VLOOKUP(CONCATENATE($D3311,$G3311),CSRFinput!$B:$E,4,0)=0,OR(H3311=MappingTables!$C$34,H3311=MappingTables!$C$35)),1,VLOOKUP(CONCATENATE($D3311,$G3311),CSRFinput!$B:$E,4,0))),0,IF(AND(VLOOKUP(CONCATENATE($D3311,$G3311),CSRFinput!$B:$E,4,0)=0,OR(H3311=MappingTables!$C$34,H3311=MappingTables!$C$35)),1,VLOOKUP(CONCATENATE($D3311,$G3311),CSRFinput!$B:$E,4,0)))</f>
        <v>0.054776304963434752</v>
      </c>
      <c r="W3311" s="85">
        <f>IF(B3311="",0,+$T3311*$V3311)</f>
        <v>0.9753472717260704</v>
      </c>
      <c r="X3311" s="85">
        <f>IF(B3311="",0,IF(OR(H3311=MappingTables!$C$34,H3311=MappingTables!$C$35),W3311,0))</f>
        <v>0</v>
      </c>
    </row>
    <row r="3312" spans="2:24" s="0" customFormat="0" ht="15">
      <c r="B3312" s="69">
        <v>22676178</v>
      </c>
      <c r="C3312" s="70" t="s">
        <v>2068</v>
      </c>
      <c r="D3312" s="70" t="s">
        <v>1</v>
      </c>
      <c r="E3312" s="70" t="s">
        <v>1</v>
      </c>
      <c r="F3312" s="70"/>
      <c r="G3312" s="70" t="s">
        <v>61</v>
      </c>
      <c r="H3312" s="70" t="s">
        <v>178</v>
      </c>
      <c r="I3312" s="70" t="s">
        <v>181</v>
      </c>
      <c r="J3312" s="71">
        <f>IF(OR(I3312=0,I3312=""),"unrated",VLOOKUP(I3312,MappingTables!$B$19:$C$31,2,FALSE))</f>
        <v>3</v>
      </c>
      <c r="K3312" s="72">
        <v>19083.558469512384</v>
      </c>
      <c r="L3312" s="70">
        <v>4.263979245124912</v>
      </c>
      <c r="M3312" s="71">
        <f>IF(L3312&lt;1,1,L3312)</f>
        <v>4.263979245124912</v>
      </c>
      <c r="N3312" s="70" t="s">
        <v>141</v>
      </c>
      <c r="O3312" s="71">
        <f>INDEX(DurClassMapping,MATCH(M3312,MappingTables!$D$4:$D$8,-1),1)</f>
        <v>1</v>
      </c>
      <c r="P3312" s="73">
        <f>IF(M3312=$A$1,1,$M3312-INDEX(MappingTables!$E$4:$E$8,MATCH(O3312,MappingTables!$B$4:$B$8,0)))</f>
        <v>4.263979245124912</v>
      </c>
      <c r="Q3312" s="71">
        <f>IF(B3312="",0,INDEX(ModelParameters!$D$6:$K$10,MATCH($O3312,ModelParameters!$B$6:$B$10,0),MATCH($J3312,ModelParameters!$D$5:$K$5,0)))</f>
        <v>0.025</v>
      </c>
      <c r="R3312" s="71">
        <f>IF(B3312="",0,INDEX(ModelParameters!$D$13:$K$17,MATCH($O3312,ModelParameters!$B$13:$B$17,0),MATCH($J3312,ModelParameters!$D$5:$K$5,0)))</f>
        <v>0</v>
      </c>
      <c r="S3312" s="160">
        <f>IF(B3312="",0,MIN(IF($N3312="Other Bond TM",ModelParameters!$N$21,1)*(P3312*Q3312+R3312),1))</f>
        <v>0.10659948112812282</v>
      </c>
      <c r="T3312" s="85">
        <f>IF(B3312="",0,$S3312*$K3312)</f>
        <v>2034.2974309282136</v>
      </c>
      <c r="U3312" s="85">
        <f>IF(B3312="",0,IF(OR(H3312=MappingTables!$C$34,H3312=MappingTables!$C$35),T3312,0))</f>
        <v>0</v>
      </c>
      <c r="V3312" s="85">
        <f>IF(ISNA(IF(AND(VLOOKUP(CONCATENATE($D3312,$G3312),CSRFinput!$B:$E,4,0)=0,OR(H3312=MappingTables!$C$34,H3312=MappingTables!$C$35)),1,VLOOKUP(CONCATENATE($D3312,$G3312),CSRFinput!$B:$E,4,0))),0,IF(AND(VLOOKUP(CONCATENATE($D3312,$G3312),CSRFinput!$B:$E,4,0)=0,OR(H3312=MappingTables!$C$34,H3312=MappingTables!$C$35)),1,VLOOKUP(CONCATENATE($D3312,$G3312),CSRFinput!$B:$E,4,0)))</f>
        <v>0.054776304963434752</v>
      </c>
      <c r="W3312" s="85">
        <f>IF(B3312="",0,+$T3312*$V3312)</f>
        <v>111.43129646285566</v>
      </c>
      <c r="X3312" s="85">
        <f>IF(B3312="",0,IF(OR(H3312=MappingTables!$C$34,H3312=MappingTables!$C$35),W3312,0))</f>
        <v>0</v>
      </c>
    </row>
    <row r="3313" spans="2:24" s="0" customFormat="0" ht="15">
      <c r="B3313" s="69">
        <v>16682604</v>
      </c>
      <c r="C3313" s="70" t="s">
        <v>1797</v>
      </c>
      <c r="D3313" s="70" t="s">
        <v>1</v>
      </c>
      <c r="E3313" s="70" t="s">
        <v>1</v>
      </c>
      <c r="F3313" s="70"/>
      <c r="G3313" s="70" t="s">
        <v>61</v>
      </c>
      <c r="H3313" s="70" t="s">
        <v>178</v>
      </c>
      <c r="I3313" s="70" t="s">
        <v>181</v>
      </c>
      <c r="J3313" s="71">
        <f>IF(OR(I3313=0,I3313=""),"unrated",VLOOKUP(I3313,MappingTables!$B$19:$C$31,2,FALSE))</f>
        <v>3</v>
      </c>
      <c r="K3313" s="72">
        <v>274.5634197582574</v>
      </c>
      <c r="L3313" s="70">
        <v>0.37534672099947488</v>
      </c>
      <c r="M3313" s="71">
        <f>IF(L3313&lt;1,1,L3313)</f>
        <v>1</v>
      </c>
      <c r="N3313" s="70" t="s">
        <v>141</v>
      </c>
      <c r="O3313" s="71">
        <f>INDEX(DurClassMapping,MATCH(M3313,MappingTables!$D$4:$D$8,-1),1)</f>
        <v>1</v>
      </c>
      <c r="P3313" s="73">
        <f>IF(M3313=$A$1,1,$M3313-INDEX(MappingTables!$E$4:$E$8,MATCH(O3313,MappingTables!$B$4:$B$8,0)))</f>
        <v>1</v>
      </c>
      <c r="Q3313" s="71">
        <f>IF(B3313="",0,INDEX(ModelParameters!$D$6:$K$10,MATCH($O3313,ModelParameters!$B$6:$B$10,0),MATCH($J3313,ModelParameters!$D$5:$K$5,0)))</f>
        <v>0.025</v>
      </c>
      <c r="R3313" s="71">
        <f>IF(B3313="",0,INDEX(ModelParameters!$D$13:$K$17,MATCH($O3313,ModelParameters!$B$13:$B$17,0),MATCH($J3313,ModelParameters!$D$5:$K$5,0)))</f>
        <v>0</v>
      </c>
      <c r="S3313" s="160">
        <f>IF(B3313="",0,MIN(IF($N3313="Other Bond TM",ModelParameters!$N$21,1)*(P3313*Q3313+R3313),1))</f>
        <v>0.025</v>
      </c>
      <c r="T3313" s="85">
        <f>IF(B3313="",0,$S3313*$K3313)</f>
        <v>6.8640854939564352</v>
      </c>
      <c r="U3313" s="85">
        <f>IF(B3313="",0,IF(OR(H3313=MappingTables!$C$34,H3313=MappingTables!$C$35),T3313,0))</f>
        <v>0</v>
      </c>
      <c r="V3313" s="85">
        <f>IF(ISNA(IF(AND(VLOOKUP(CONCATENATE($D3313,$G3313),CSRFinput!$B:$E,4,0)=0,OR(H3313=MappingTables!$C$34,H3313=MappingTables!$C$35)),1,VLOOKUP(CONCATENATE($D3313,$G3313),CSRFinput!$B:$E,4,0))),0,IF(AND(VLOOKUP(CONCATENATE($D3313,$G3313),CSRFinput!$B:$E,4,0)=0,OR(H3313=MappingTables!$C$34,H3313=MappingTables!$C$35)),1,VLOOKUP(CONCATENATE($D3313,$G3313),CSRFinput!$B:$E,4,0)))</f>
        <v>0.054776304963434752</v>
      </c>
      <c r="W3313" s="85">
        <f>IF(B3313="",0,+$T3313*$V3313)</f>
        <v>0.3759892403120464</v>
      </c>
      <c r="X3313" s="85">
        <f>IF(B3313="",0,IF(OR(H3313=MappingTables!$C$34,H3313=MappingTables!$C$35),W3313,0))</f>
        <v>0</v>
      </c>
    </row>
    <row r="3314" spans="2:24" s="0" customFormat="0" ht="15">
      <c r="B3314" s="69">
        <v>20679275</v>
      </c>
      <c r="C3314" s="70" t="s">
        <v>916</v>
      </c>
      <c r="D3314" s="70" t="s">
        <v>1</v>
      </c>
      <c r="E3314" s="70" t="s">
        <v>1</v>
      </c>
      <c r="F3314" s="70"/>
      <c r="G3314" s="70" t="s">
        <v>61</v>
      </c>
      <c r="H3314" s="70" t="s">
        <v>178</v>
      </c>
      <c r="I3314" s="70" t="s">
        <v>179</v>
      </c>
      <c r="J3314" s="71">
        <f>IF(OR(I3314=0,I3314=""),"unrated",VLOOKUP(I3314,MappingTables!$B$19:$C$31,2,FALSE))</f>
        <v>4</v>
      </c>
      <c r="K3314" s="72">
        <v>8174.7693894105488</v>
      </c>
      <c r="L3314" s="70">
        <v>1.3454751111547376</v>
      </c>
      <c r="M3314" s="71">
        <f>IF(L3314&lt;1,1,L3314)</f>
        <v>1.3454751111547376</v>
      </c>
      <c r="N3314" s="70" t="s">
        <v>141</v>
      </c>
      <c r="O3314" s="71">
        <f>INDEX(DurClassMapping,MATCH(M3314,MappingTables!$D$4:$D$8,-1),1)</f>
        <v>1</v>
      </c>
      <c r="P3314" s="73">
        <f>IF(M3314=$A$1,1,$M3314-INDEX(MappingTables!$E$4:$E$8,MATCH(O3314,MappingTables!$B$4:$B$8,0)))</f>
        <v>1.3454751111547376</v>
      </c>
      <c r="Q3314" s="71">
        <f>IF(B3314="",0,INDEX(ModelParameters!$D$6:$K$10,MATCH($O3314,ModelParameters!$B$6:$B$10,0),MATCH($J3314,ModelParameters!$D$5:$K$5,0)))</f>
        <v>0.045</v>
      </c>
      <c r="R3314" s="71">
        <f>IF(B3314="",0,INDEX(ModelParameters!$D$13:$K$17,MATCH($O3314,ModelParameters!$B$13:$B$17,0),MATCH($J3314,ModelParameters!$D$5:$K$5,0)))</f>
        <v>0</v>
      </c>
      <c r="S3314" s="160">
        <f>IF(B3314="",0,MIN(IF($N3314="Other Bond TM",ModelParameters!$N$21,1)*(P3314*Q3314+R3314),1))</f>
        <v>0.060546380001963192</v>
      </c>
      <c r="T3314" s="85">
        <f>IF(B3314="",0,$S3314*$K3314)</f>
        <v>494.95269387966776</v>
      </c>
      <c r="U3314" s="85">
        <f>IF(B3314="",0,IF(OR(H3314=MappingTables!$C$34,H3314=MappingTables!$C$35),T3314,0))</f>
        <v>0</v>
      </c>
      <c r="V3314" s="85">
        <f>IF(ISNA(IF(AND(VLOOKUP(CONCATENATE($D3314,$G3314),CSRFinput!$B:$E,4,0)=0,OR(H3314=MappingTables!$C$34,H3314=MappingTables!$C$35)),1,VLOOKUP(CONCATENATE($D3314,$G3314),CSRFinput!$B:$E,4,0))),0,IF(AND(VLOOKUP(CONCATENATE($D3314,$G3314),CSRFinput!$B:$E,4,0)=0,OR(H3314=MappingTables!$C$34,H3314=MappingTables!$C$35)),1,VLOOKUP(CONCATENATE($D3314,$G3314),CSRFinput!$B:$E,4,0)))</f>
        <v>0.054776304963434752</v>
      </c>
      <c r="W3314" s="85">
        <f>IF(B3314="",0,+$T3314*$V3314)</f>
        <v>27.111679702426244</v>
      </c>
      <c r="X3314" s="85">
        <f>IF(B3314="",0,IF(OR(H3314=MappingTables!$C$34,H3314=MappingTables!$C$35),W3314,0))</f>
        <v>0</v>
      </c>
    </row>
    <row r="3315" spans="2:24" s="0" customFormat="0" ht="15">
      <c r="B3315" s="69">
        <v>9322301</v>
      </c>
      <c r="C3315" s="70" t="s">
        <v>373</v>
      </c>
      <c r="D3315" s="70" t="s">
        <v>1</v>
      </c>
      <c r="E3315" s="70" t="s">
        <v>1</v>
      </c>
      <c r="F3315" s="70"/>
      <c r="G3315" s="70" t="s">
        <v>61</v>
      </c>
      <c r="H3315" s="70" t="s">
        <v>178</v>
      </c>
      <c r="I3315" s="70" t="s">
        <v>188</v>
      </c>
      <c r="J3315" s="71">
        <f>IF(OR(I3315=0,I3315=""),"unrated",VLOOKUP(I3315,MappingTables!$B$19:$C$31,2,FALSE))</f>
        <v>2</v>
      </c>
      <c r="K3315" s="72">
        <v>2479.380338537766</v>
      </c>
      <c r="L3315" s="70">
        <v>3.7283390409382104</v>
      </c>
      <c r="M3315" s="71">
        <f>IF(L3315&lt;1,1,L3315)</f>
        <v>3.7283390409382104</v>
      </c>
      <c r="N3315" s="70" t="s">
        <v>141</v>
      </c>
      <c r="O3315" s="71">
        <f>INDEX(DurClassMapping,MATCH(M3315,MappingTables!$D$4:$D$8,-1),1)</f>
        <v>1</v>
      </c>
      <c r="P3315" s="73">
        <f>IF(M3315=$A$1,1,$M3315-INDEX(MappingTables!$E$4:$E$8,MATCH(O3315,MappingTables!$B$4:$B$8,0)))</f>
        <v>3.7283390409382104</v>
      </c>
      <c r="Q3315" s="71">
        <f>IF(B3315="",0,INDEX(ModelParameters!$D$6:$K$10,MATCH($O3315,ModelParameters!$B$6:$B$10,0),MATCH($J3315,ModelParameters!$D$5:$K$5,0)))</f>
        <v>0.013999999999999998</v>
      </c>
      <c r="R3315" s="71">
        <f>IF(B3315="",0,INDEX(ModelParameters!$D$13:$K$17,MATCH($O3315,ModelParameters!$B$13:$B$17,0),MATCH($J3315,ModelParameters!$D$5:$K$5,0)))</f>
        <v>0</v>
      </c>
      <c r="S3315" s="160">
        <f>IF(B3315="",0,MIN(IF($N3315="Other Bond TM",ModelParameters!$N$21,1)*(P3315*Q3315+R3315),1))</f>
        <v>0.052196746573134936</v>
      </c>
      <c r="T3315" s="85">
        <f>IF(B3315="",0,$S3315*$K3315)</f>
        <v>129.41558718906928</v>
      </c>
      <c r="U3315" s="85">
        <f>IF(B3315="",0,IF(OR(H3315=MappingTables!$C$34,H3315=MappingTables!$C$35),T3315,0))</f>
        <v>0</v>
      </c>
      <c r="V3315" s="85">
        <f>IF(ISNA(IF(AND(VLOOKUP(CONCATENATE($D3315,$G3315),CSRFinput!$B:$E,4,0)=0,OR(H3315=MappingTables!$C$34,H3315=MappingTables!$C$35)),1,VLOOKUP(CONCATENATE($D3315,$G3315),CSRFinput!$B:$E,4,0))),0,IF(AND(VLOOKUP(CONCATENATE($D3315,$G3315),CSRFinput!$B:$E,4,0)=0,OR(H3315=MappingTables!$C$34,H3315=MappingTables!$C$35)),1,VLOOKUP(CONCATENATE($D3315,$G3315),CSRFinput!$B:$E,4,0)))</f>
        <v>0.054776304963434752</v>
      </c>
      <c r="W3315" s="85">
        <f>IF(B3315="",0,+$T3315*$V3315)</f>
        <v>7.0889076708904384</v>
      </c>
      <c r="X3315" s="85">
        <f>IF(B3315="",0,IF(OR(H3315=MappingTables!$C$34,H3315=MappingTables!$C$35),W3315,0))</f>
        <v>0</v>
      </c>
    </row>
    <row r="3316" spans="2:24" s="0" customFormat="0" ht="15">
      <c r="B3316" s="69">
        <v>13482143</v>
      </c>
      <c r="C3316" s="70" t="s">
        <v>357</v>
      </c>
      <c r="D3316" s="70" t="s">
        <v>1</v>
      </c>
      <c r="E3316" s="70" t="s">
        <v>1</v>
      </c>
      <c r="F3316" s="70"/>
      <c r="G3316" s="70" t="s">
        <v>61</v>
      </c>
      <c r="H3316" s="70" t="s">
        <v>178</v>
      </c>
      <c r="I3316" s="70" t="s">
        <v>184</v>
      </c>
      <c r="J3316" s="71">
        <f>IF(OR(I3316=0,I3316=""),"unrated",VLOOKUP(I3316,MappingTables!$B$19:$C$31,2,FALSE))</f>
        <v>5</v>
      </c>
      <c r="K3316" s="72">
        <v>393.6730805999624</v>
      </c>
      <c r="L3316" s="70">
        <v>5.0006862202507664</v>
      </c>
      <c r="M3316" s="71">
        <f>IF(L3316&lt;1,1,L3316)</f>
        <v>5.0006862202507664</v>
      </c>
      <c r="N3316" s="70" t="s">
        <v>141</v>
      </c>
      <c r="O3316" s="71">
        <f>INDEX(DurClassMapping,MATCH(M3316,MappingTables!$D$4:$D$8,-1),1)</f>
        <v>2</v>
      </c>
      <c r="P3316" s="73">
        <f>IF(M3316=$A$1,1,$M3316-INDEX(MappingTables!$E$4:$E$8,MATCH(O3316,MappingTables!$B$4:$B$8,0)))</f>
        <v>0.00068622025076603424</v>
      </c>
      <c r="Q3316" s="71">
        <f>IF(B3316="",0,INDEX(ModelParameters!$D$6:$K$10,MATCH($O3316,ModelParameters!$B$6:$B$10,0),MATCH($J3316,ModelParameters!$D$5:$K$5,0)))</f>
        <v>0.042</v>
      </c>
      <c r="R3316" s="71">
        <f>IF(B3316="",0,INDEX(ModelParameters!$D$13:$K$17,MATCH($O3316,ModelParameters!$B$13:$B$17,0),MATCH($J3316,ModelParameters!$D$5:$K$5,0)))</f>
        <v>0.375</v>
      </c>
      <c r="S3316" s="160">
        <f>IF(B3316="",0,MIN(IF($N3316="Other Bond TM",ModelParameters!$N$21,1)*(P3316*Q3316+R3316),1))</f>
        <v>0.37502882125053216</v>
      </c>
      <c r="T3316" s="85">
        <f>IF(B3316="",0,$S3316*$K3316)</f>
        <v>147.63875137546964</v>
      </c>
      <c r="U3316" s="85">
        <f>IF(B3316="",0,IF(OR(H3316=MappingTables!$C$34,H3316=MappingTables!$C$35),T3316,0))</f>
        <v>0</v>
      </c>
      <c r="V3316" s="85">
        <f>IF(ISNA(IF(AND(VLOOKUP(CONCATENATE($D3316,$G3316),CSRFinput!$B:$E,4,0)=0,OR(H3316=MappingTables!$C$34,H3316=MappingTables!$C$35)),1,VLOOKUP(CONCATENATE($D3316,$G3316),CSRFinput!$B:$E,4,0))),0,IF(AND(VLOOKUP(CONCATENATE($D3316,$G3316),CSRFinput!$B:$E,4,0)=0,OR(H3316=MappingTables!$C$34,H3316=MappingTables!$C$35)),1,VLOOKUP(CONCATENATE($D3316,$G3316),CSRFinput!$B:$E,4,0)))</f>
        <v>0.054776304963434752</v>
      </c>
      <c r="W3316" s="85">
        <f>IF(B3316="",0,+$T3316*$V3316)</f>
        <v>8.0871052697634464</v>
      </c>
      <c r="X3316" s="85">
        <f>IF(B3316="",0,IF(OR(H3316=MappingTables!$C$34,H3316=MappingTables!$C$35),W3316,0))</f>
        <v>0</v>
      </c>
    </row>
    <row r="3317" spans="2:24" s="0" customFormat="0" ht="15">
      <c r="B3317" s="69">
        <v>17012996</v>
      </c>
      <c r="C3317" s="70" t="s">
        <v>2790</v>
      </c>
      <c r="D3317" s="70" t="s">
        <v>1</v>
      </c>
      <c r="E3317" s="70" t="s">
        <v>1</v>
      </c>
      <c r="F3317" s="70"/>
      <c r="G3317" s="70" t="s">
        <v>61</v>
      </c>
      <c r="H3317" s="70" t="s">
        <v>178</v>
      </c>
      <c r="I3317" s="70" t="s">
        <v>181</v>
      </c>
      <c r="J3317" s="71">
        <f>IF(OR(I3317=0,I3317=""),"unrated",VLOOKUP(I3317,MappingTables!$B$19:$C$31,2,FALSE))</f>
        <v>3</v>
      </c>
      <c r="K3317" s="72">
        <v>24.853843874706028</v>
      </c>
      <c r="L3317" s="70">
        <v>0.11780955793386762</v>
      </c>
      <c r="M3317" s="71">
        <f>IF(L3317&lt;1,1,L3317)</f>
        <v>1</v>
      </c>
      <c r="N3317" s="70" t="s">
        <v>141</v>
      </c>
      <c r="O3317" s="71">
        <f>INDEX(DurClassMapping,MATCH(M3317,MappingTables!$D$4:$D$8,-1),1)</f>
        <v>1</v>
      </c>
      <c r="P3317" s="73">
        <f>IF(M3317=$A$1,1,$M3317-INDEX(MappingTables!$E$4:$E$8,MATCH(O3317,MappingTables!$B$4:$B$8,0)))</f>
        <v>1</v>
      </c>
      <c r="Q3317" s="71">
        <f>IF(B3317="",0,INDEX(ModelParameters!$D$6:$K$10,MATCH($O3317,ModelParameters!$B$6:$B$10,0),MATCH($J3317,ModelParameters!$D$5:$K$5,0)))</f>
        <v>0.025</v>
      </c>
      <c r="R3317" s="71">
        <f>IF(B3317="",0,INDEX(ModelParameters!$D$13:$K$17,MATCH($O3317,ModelParameters!$B$13:$B$17,0),MATCH($J3317,ModelParameters!$D$5:$K$5,0)))</f>
        <v>0</v>
      </c>
      <c r="S3317" s="160">
        <f>IF(B3317="",0,MIN(IF($N3317="Other Bond TM",ModelParameters!$N$21,1)*(P3317*Q3317+R3317),1))</f>
        <v>0.025</v>
      </c>
      <c r="T3317" s="85">
        <f>IF(B3317="",0,$S3317*$K3317)</f>
        <v>0.62134609686765072</v>
      </c>
      <c r="U3317" s="85">
        <f>IF(B3317="",0,IF(OR(H3317=MappingTables!$C$34,H3317=MappingTables!$C$35),T3317,0))</f>
        <v>0</v>
      </c>
      <c r="V3317" s="85">
        <f>IF(ISNA(IF(AND(VLOOKUP(CONCATENATE($D3317,$G3317),CSRFinput!$B:$E,4,0)=0,OR(H3317=MappingTables!$C$34,H3317=MappingTables!$C$35)),1,VLOOKUP(CONCATENATE($D3317,$G3317),CSRFinput!$B:$E,4,0))),0,IF(AND(VLOOKUP(CONCATENATE($D3317,$G3317),CSRFinput!$B:$E,4,0)=0,OR(H3317=MappingTables!$C$34,H3317=MappingTables!$C$35)),1,VLOOKUP(CONCATENATE($D3317,$G3317),CSRFinput!$B:$E,4,0)))</f>
        <v>0.054776304963434752</v>
      </c>
      <c r="W3317" s="85">
        <f>IF(B3317="",0,+$T3317*$V3317)</f>
        <v>0.034035043289862308</v>
      </c>
      <c r="X3317" s="85">
        <f>IF(B3317="",0,IF(OR(H3317=MappingTables!$C$34,H3317=MappingTables!$C$35),W3317,0))</f>
        <v>0</v>
      </c>
    </row>
    <row r="3318" spans="2:24" s="0" customFormat="0" ht="15">
      <c r="B3318" s="69">
        <v>14496882</v>
      </c>
      <c r="C3318" s="70" t="s">
        <v>1433</v>
      </c>
      <c r="D3318" s="70" t="s">
        <v>1</v>
      </c>
      <c r="E3318" s="70" t="s">
        <v>1</v>
      </c>
      <c r="F3318" s="70"/>
      <c r="G3318" s="70" t="s">
        <v>61</v>
      </c>
      <c r="H3318" s="70" t="s">
        <v>178</v>
      </c>
      <c r="I3318" s="70" t="s">
        <v>184</v>
      </c>
      <c r="J3318" s="71">
        <f>IF(OR(I3318=0,I3318=""),"unrated",VLOOKUP(I3318,MappingTables!$B$19:$C$31,2,FALSE))</f>
        <v>5</v>
      </c>
      <c r="K3318" s="72">
        <v>253.40604135158296</v>
      </c>
      <c r="L3318" s="70">
        <v>1.2614078433956592</v>
      </c>
      <c r="M3318" s="71">
        <f>IF(L3318&lt;1,1,L3318)</f>
        <v>1.2614078433956592</v>
      </c>
      <c r="N3318" s="70" t="s">
        <v>141</v>
      </c>
      <c r="O3318" s="71">
        <f>INDEX(DurClassMapping,MATCH(M3318,MappingTables!$D$4:$D$8,-1),1)</f>
        <v>1</v>
      </c>
      <c r="P3318" s="73">
        <f>IF(M3318=$A$1,1,$M3318-INDEX(MappingTables!$E$4:$E$8,MATCH(O3318,MappingTables!$B$4:$B$8,0)))</f>
        <v>1.2614078433956592</v>
      </c>
      <c r="Q3318" s="71">
        <f>IF(B3318="",0,INDEX(ModelParameters!$D$6:$K$10,MATCH($O3318,ModelParameters!$B$6:$B$10,0),MATCH($J3318,ModelParameters!$D$5:$K$5,0)))</f>
        <v>0.075</v>
      </c>
      <c r="R3318" s="71">
        <f>IF(B3318="",0,INDEX(ModelParameters!$D$13:$K$17,MATCH($O3318,ModelParameters!$B$13:$B$17,0),MATCH($J3318,ModelParameters!$D$5:$K$5,0)))</f>
        <v>0</v>
      </c>
      <c r="S3318" s="160">
        <f>IF(B3318="",0,MIN(IF($N3318="Other Bond TM",ModelParameters!$N$21,1)*(P3318*Q3318+R3318),1))</f>
        <v>0.094605588254674432</v>
      </c>
      <c r="T3318" s="85">
        <f>IF(B3318="",0,$S3318*$K3318)</f>
        <v>23.97362760935486</v>
      </c>
      <c r="U3318" s="85">
        <f>IF(B3318="",0,IF(OR(H3318=MappingTables!$C$34,H3318=MappingTables!$C$35),T3318,0))</f>
        <v>0</v>
      </c>
      <c r="V3318" s="85">
        <f>IF(ISNA(IF(AND(VLOOKUP(CONCATENATE($D3318,$G3318),CSRFinput!$B:$E,4,0)=0,OR(H3318=MappingTables!$C$34,H3318=MappingTables!$C$35)),1,VLOOKUP(CONCATENATE($D3318,$G3318),CSRFinput!$B:$E,4,0))),0,IF(AND(VLOOKUP(CONCATENATE($D3318,$G3318),CSRFinput!$B:$E,4,0)=0,OR(H3318=MappingTables!$C$34,H3318=MappingTables!$C$35)),1,VLOOKUP(CONCATENATE($D3318,$G3318),CSRFinput!$B:$E,4,0)))</f>
        <v>0.054776304963434752</v>
      </c>
      <c r="W3318" s="85">
        <f>IF(B3318="",0,+$T3318*$V3318)</f>
        <v>1.3131867370098412</v>
      </c>
      <c r="X3318" s="85">
        <f>IF(B3318="",0,IF(OR(H3318=MappingTables!$C$34,H3318=MappingTables!$C$35),W3318,0))</f>
        <v>0</v>
      </c>
    </row>
    <row r="3319" spans="2:24" s="0" customFormat="0" ht="15">
      <c r="B3319" s="69">
        <v>15798271</v>
      </c>
      <c r="C3319" s="70" t="s">
        <v>2686</v>
      </c>
      <c r="D3319" s="70" t="s">
        <v>1</v>
      </c>
      <c r="E3319" s="70" t="s">
        <v>1</v>
      </c>
      <c r="F3319" s="70"/>
      <c r="G3319" s="70" t="s">
        <v>61</v>
      </c>
      <c r="H3319" s="70" t="s">
        <v>178</v>
      </c>
      <c r="I3319" s="70" t="s">
        <v>181</v>
      </c>
      <c r="J3319" s="71">
        <f>IF(OR(I3319=0,I3319=""),"unrated",VLOOKUP(I3319,MappingTables!$B$19:$C$31,2,FALSE))</f>
        <v>3</v>
      </c>
      <c r="K3319" s="72">
        <v>345.97045549886228</v>
      </c>
      <c r="L3319" s="70">
        <v>2.2356352020103784</v>
      </c>
      <c r="M3319" s="71">
        <f>IF(L3319&lt;1,1,L3319)</f>
        <v>2.2356352020103784</v>
      </c>
      <c r="N3319" s="70" t="s">
        <v>141</v>
      </c>
      <c r="O3319" s="71">
        <f>INDEX(DurClassMapping,MATCH(M3319,MappingTables!$D$4:$D$8,-1),1)</f>
        <v>1</v>
      </c>
      <c r="P3319" s="73">
        <f>IF(M3319=$A$1,1,$M3319-INDEX(MappingTables!$E$4:$E$8,MATCH(O3319,MappingTables!$B$4:$B$8,0)))</f>
        <v>2.2356352020103784</v>
      </c>
      <c r="Q3319" s="71">
        <f>IF(B3319="",0,INDEX(ModelParameters!$D$6:$K$10,MATCH($O3319,ModelParameters!$B$6:$B$10,0),MATCH($J3319,ModelParameters!$D$5:$K$5,0)))</f>
        <v>0.025</v>
      </c>
      <c r="R3319" s="71">
        <f>IF(B3319="",0,INDEX(ModelParameters!$D$13:$K$17,MATCH($O3319,ModelParameters!$B$13:$B$17,0),MATCH($J3319,ModelParameters!$D$5:$K$5,0)))</f>
        <v>0</v>
      </c>
      <c r="S3319" s="160">
        <f>IF(B3319="",0,MIN(IF($N3319="Other Bond TM",ModelParameters!$N$21,1)*(P3319*Q3319+R3319),1))</f>
        <v>0.055890880050259464</v>
      </c>
      <c r="T3319" s="85">
        <f>IF(B3319="",0,$S3319*$K3319)</f>
        <v>19.336593229220544</v>
      </c>
      <c r="U3319" s="85">
        <f>IF(B3319="",0,IF(OR(H3319=MappingTables!$C$34,H3319=MappingTables!$C$35),T3319,0))</f>
        <v>0</v>
      </c>
      <c r="V3319" s="85">
        <f>IF(ISNA(IF(AND(VLOOKUP(CONCATENATE($D3319,$G3319),CSRFinput!$B:$E,4,0)=0,OR(H3319=MappingTables!$C$34,H3319=MappingTables!$C$35)),1,VLOOKUP(CONCATENATE($D3319,$G3319),CSRFinput!$B:$E,4,0))),0,IF(AND(VLOOKUP(CONCATENATE($D3319,$G3319),CSRFinput!$B:$E,4,0)=0,OR(H3319=MappingTables!$C$34,H3319=MappingTables!$C$35)),1,VLOOKUP(CONCATENATE($D3319,$G3319),CSRFinput!$B:$E,4,0)))</f>
        <v>0.054776304963434752</v>
      </c>
      <c r="W3319" s="85">
        <f>IF(B3319="",0,+$T3319*$V3319)</f>
        <v>1.059187127677672</v>
      </c>
      <c r="X3319" s="85">
        <f>IF(B3319="",0,IF(OR(H3319=MappingTables!$C$34,H3319=MappingTables!$C$35),W3319,0))</f>
        <v>0</v>
      </c>
    </row>
    <row r="3320" spans="2:24" s="0" customFormat="0" ht="15">
      <c r="B3320" s="69">
        <v>11583646</v>
      </c>
      <c r="C3320" s="70" t="s">
        <v>1671</v>
      </c>
      <c r="D3320" s="70" t="s">
        <v>1</v>
      </c>
      <c r="E3320" s="70" t="s">
        <v>1</v>
      </c>
      <c r="F3320" s="70"/>
      <c r="G3320" s="70" t="s">
        <v>61</v>
      </c>
      <c r="H3320" s="70" t="s">
        <v>178</v>
      </c>
      <c r="I3320" s="70" t="s">
        <v>181</v>
      </c>
      <c r="J3320" s="71">
        <f>IF(OR(I3320=0,I3320=""),"unrated",VLOOKUP(I3320,MappingTables!$B$19:$C$31,2,FALSE))</f>
        <v>3</v>
      </c>
      <c r="K3320" s="72">
        <v>1355.785087070294</v>
      </c>
      <c r="L3320" s="70">
        <v>4.5669056680606232</v>
      </c>
      <c r="M3320" s="71">
        <f>IF(L3320&lt;1,1,L3320)</f>
        <v>4.5669056680606232</v>
      </c>
      <c r="N3320" s="70" t="s">
        <v>141</v>
      </c>
      <c r="O3320" s="71">
        <f>INDEX(DurClassMapping,MATCH(M3320,MappingTables!$D$4:$D$8,-1),1)</f>
        <v>1</v>
      </c>
      <c r="P3320" s="73">
        <f>IF(M3320=$A$1,1,$M3320-INDEX(MappingTables!$E$4:$E$8,MATCH(O3320,MappingTables!$B$4:$B$8,0)))</f>
        <v>4.5669056680606232</v>
      </c>
      <c r="Q3320" s="71">
        <f>IF(B3320="",0,INDEX(ModelParameters!$D$6:$K$10,MATCH($O3320,ModelParameters!$B$6:$B$10,0),MATCH($J3320,ModelParameters!$D$5:$K$5,0)))</f>
        <v>0.025</v>
      </c>
      <c r="R3320" s="71">
        <f>IF(B3320="",0,INDEX(ModelParameters!$D$13:$K$17,MATCH($O3320,ModelParameters!$B$13:$B$17,0),MATCH($J3320,ModelParameters!$D$5:$K$5,0)))</f>
        <v>0</v>
      </c>
      <c r="S3320" s="160">
        <f>IF(B3320="",0,MIN(IF($N3320="Other Bond TM",ModelParameters!$N$21,1)*(P3320*Q3320+R3320),1))</f>
        <v>0.11417264170151558</v>
      </c>
      <c r="T3320" s="85">
        <f>IF(B3320="",0,$S3320*$K3320)</f>
        <v>154.79356497033478</v>
      </c>
      <c r="U3320" s="85">
        <f>IF(B3320="",0,IF(OR(H3320=MappingTables!$C$34,H3320=MappingTables!$C$35),T3320,0))</f>
        <v>0</v>
      </c>
      <c r="V3320" s="85">
        <f>IF(ISNA(IF(AND(VLOOKUP(CONCATENATE($D3320,$G3320),CSRFinput!$B:$E,4,0)=0,OR(H3320=MappingTables!$C$34,H3320=MappingTables!$C$35)),1,VLOOKUP(CONCATENATE($D3320,$G3320),CSRFinput!$B:$E,4,0))),0,IF(AND(VLOOKUP(CONCATENATE($D3320,$G3320),CSRFinput!$B:$E,4,0)=0,OR(H3320=MappingTables!$C$34,H3320=MappingTables!$C$35)),1,VLOOKUP(CONCATENATE($D3320,$G3320),CSRFinput!$B:$E,4,0)))</f>
        <v>0.054776304963434752</v>
      </c>
      <c r="W3320" s="85">
        <f>IF(B3320="",0,+$T3320*$V3320)</f>
        <v>8.4790195211923104</v>
      </c>
      <c r="X3320" s="85">
        <f>IF(B3320="",0,IF(OR(H3320=MappingTables!$C$34,H3320=MappingTables!$C$35),W3320,0))</f>
        <v>0</v>
      </c>
    </row>
    <row r="3321" spans="2:24" s="0" customFormat="0" ht="15">
      <c r="B3321" s="69" t="s">
        <v>2805</v>
      </c>
      <c r="C3321" s="70" t="s">
        <v>2806</v>
      </c>
      <c r="D3321" s="70" t="s">
        <v>1</v>
      </c>
      <c r="E3321" s="70" t="s">
        <v>1</v>
      </c>
      <c r="F3321" s="70"/>
      <c r="G3321" s="70" t="s">
        <v>61</v>
      </c>
      <c r="H3321" s="70" t="s">
        <v>178</v>
      </c>
      <c r="I3321" s="70" t="s">
        <v>181</v>
      </c>
      <c r="J3321" s="71">
        <f>IF(OR(I3321=0,I3321=""),"unrated",VLOOKUP(I3321,MappingTables!$B$19:$C$31,2,FALSE))</f>
        <v>3</v>
      </c>
      <c r="K3321" s="72">
        <v>4.435280589906388</v>
      </c>
      <c r="L3321" s="70">
        <v>2.8732243456382648</v>
      </c>
      <c r="M3321" s="71">
        <f>IF(L3321&lt;1,1,L3321)</f>
        <v>2.8732243456382648</v>
      </c>
      <c r="N3321" s="70" t="s">
        <v>141</v>
      </c>
      <c r="O3321" s="71">
        <f>INDEX(DurClassMapping,MATCH(M3321,MappingTables!$D$4:$D$8,-1),1)</f>
        <v>1</v>
      </c>
      <c r="P3321" s="73">
        <f>IF(M3321=$A$1,1,$M3321-INDEX(MappingTables!$E$4:$E$8,MATCH(O3321,MappingTables!$B$4:$B$8,0)))</f>
        <v>2.8732243456382648</v>
      </c>
      <c r="Q3321" s="71">
        <f>IF(B3321="",0,INDEX(ModelParameters!$D$6:$K$10,MATCH($O3321,ModelParameters!$B$6:$B$10,0),MATCH($J3321,ModelParameters!$D$5:$K$5,0)))</f>
        <v>0.025</v>
      </c>
      <c r="R3321" s="71">
        <f>IF(B3321="",0,INDEX(ModelParameters!$D$13:$K$17,MATCH($O3321,ModelParameters!$B$13:$B$17,0),MATCH($J3321,ModelParameters!$D$5:$K$5,0)))</f>
        <v>0</v>
      </c>
      <c r="S3321" s="160">
        <f>IF(B3321="",0,MIN(IF($N3321="Other Bond TM",ModelParameters!$N$21,1)*(P3321*Q3321+R3321),1))</f>
        <v>0.071830608640956624</v>
      </c>
      <c r="T3321" s="85">
        <f>IF(B3321="",0,$S3321*$K3321)</f>
        <v>0.31858890426639704</v>
      </c>
      <c r="U3321" s="85">
        <f>IF(B3321="",0,IF(OR(H3321=MappingTables!$C$34,H3321=MappingTables!$C$35),T3321,0))</f>
        <v>0</v>
      </c>
      <c r="V3321" s="85">
        <f>IF(ISNA(IF(AND(VLOOKUP(CONCATENATE($D3321,$G3321),CSRFinput!$B:$E,4,0)=0,OR(H3321=MappingTables!$C$34,H3321=MappingTables!$C$35)),1,VLOOKUP(CONCATENATE($D3321,$G3321),CSRFinput!$B:$E,4,0))),0,IF(AND(VLOOKUP(CONCATENATE($D3321,$G3321),CSRFinput!$B:$E,4,0)=0,OR(H3321=MappingTables!$C$34,H3321=MappingTables!$C$35)),1,VLOOKUP(CONCATENATE($D3321,$G3321),CSRFinput!$B:$E,4,0)))</f>
        <v>0.054776304963434752</v>
      </c>
      <c r="W3321" s="85">
        <f>IF(B3321="",0,+$T3321*$V3321)</f>
        <v>0.017451122978062682</v>
      </c>
      <c r="X3321" s="85">
        <f>IF(B3321="",0,IF(OR(H3321=MappingTables!$C$34,H3321=MappingTables!$C$35),W3321,0))</f>
        <v>0</v>
      </c>
    </row>
    <row r="3322" spans="2:24" s="0" customFormat="0" ht="15">
      <c r="B3322" s="69">
        <v>23170668</v>
      </c>
      <c r="C3322" s="70" t="s">
        <v>994</v>
      </c>
      <c r="D3322" s="70" t="s">
        <v>1</v>
      </c>
      <c r="E3322" s="70" t="s">
        <v>1</v>
      </c>
      <c r="F3322" s="70"/>
      <c r="G3322" s="70" t="s">
        <v>61</v>
      </c>
      <c r="H3322" s="70" t="s">
        <v>178</v>
      </c>
      <c r="I3322" s="70" t="s">
        <v>188</v>
      </c>
      <c r="J3322" s="71">
        <f>IF(OR(I3322=0,I3322=""),"unrated",VLOOKUP(I3322,MappingTables!$B$19:$C$31,2,FALSE))</f>
        <v>2</v>
      </c>
      <c r="K3322" s="72">
        <v>2.6433305404065628</v>
      </c>
      <c r="L3322" s="70">
        <v>0.16712158180662426</v>
      </c>
      <c r="M3322" s="71">
        <f>IF(L3322&lt;1,1,L3322)</f>
        <v>1</v>
      </c>
      <c r="N3322" s="70" t="s">
        <v>141</v>
      </c>
      <c r="O3322" s="71">
        <f>INDEX(DurClassMapping,MATCH(M3322,MappingTables!$D$4:$D$8,-1),1)</f>
        <v>1</v>
      </c>
      <c r="P3322" s="73">
        <f>IF(M3322=$A$1,1,$M3322-INDEX(MappingTables!$E$4:$E$8,MATCH(O3322,MappingTables!$B$4:$B$8,0)))</f>
        <v>1</v>
      </c>
      <c r="Q3322" s="71">
        <f>IF(B3322="",0,INDEX(ModelParameters!$D$6:$K$10,MATCH($O3322,ModelParameters!$B$6:$B$10,0),MATCH($J3322,ModelParameters!$D$5:$K$5,0)))</f>
        <v>0.013999999999999998</v>
      </c>
      <c r="R3322" s="71">
        <f>IF(B3322="",0,INDEX(ModelParameters!$D$13:$K$17,MATCH($O3322,ModelParameters!$B$13:$B$17,0),MATCH($J3322,ModelParameters!$D$5:$K$5,0)))</f>
        <v>0</v>
      </c>
      <c r="S3322" s="160">
        <f>IF(B3322="",0,MIN(IF($N3322="Other Bond TM",ModelParameters!$N$21,1)*(P3322*Q3322+R3322),1))</f>
        <v>0.013999999999999998</v>
      </c>
      <c r="T3322" s="85">
        <f>IF(B3322="",0,$S3322*$K3322)</f>
        <v>0.037006627565691872</v>
      </c>
      <c r="U3322" s="85">
        <f>IF(B3322="",0,IF(OR(H3322=MappingTables!$C$34,H3322=MappingTables!$C$35),T3322,0))</f>
        <v>0</v>
      </c>
      <c r="V3322" s="85">
        <f>IF(ISNA(IF(AND(VLOOKUP(CONCATENATE($D3322,$G3322),CSRFinput!$B:$E,4,0)=0,OR(H3322=MappingTables!$C$34,H3322=MappingTables!$C$35)),1,VLOOKUP(CONCATENATE($D3322,$G3322),CSRFinput!$B:$E,4,0))),0,IF(AND(VLOOKUP(CONCATENATE($D3322,$G3322),CSRFinput!$B:$E,4,0)=0,OR(H3322=MappingTables!$C$34,H3322=MappingTables!$C$35)),1,VLOOKUP(CONCATENATE($D3322,$G3322),CSRFinput!$B:$E,4,0)))</f>
        <v>0.054776304963434752</v>
      </c>
      <c r="W3322" s="85">
        <f>IF(B3322="",0,+$T3322*$V3322)</f>
        <v>0.0020270863172065892</v>
      </c>
      <c r="X3322" s="85">
        <f>IF(B3322="",0,IF(OR(H3322=MappingTables!$C$34,H3322=MappingTables!$C$35),W3322,0))</f>
        <v>0</v>
      </c>
    </row>
    <row r="3323" spans="2:24" s="0" customFormat="0" ht="15">
      <c r="B3323" s="69">
        <v>17614602</v>
      </c>
      <c r="C3323" s="70" t="s">
        <v>2022</v>
      </c>
      <c r="D3323" s="70" t="s">
        <v>1</v>
      </c>
      <c r="E3323" s="70" t="s">
        <v>1</v>
      </c>
      <c r="F3323" s="70"/>
      <c r="G3323" s="70" t="s">
        <v>61</v>
      </c>
      <c r="H3323" s="70" t="s">
        <v>178</v>
      </c>
      <c r="I3323" s="70" t="s">
        <v>179</v>
      </c>
      <c r="J3323" s="71">
        <f>IF(OR(I3323=0,I3323=""),"unrated",VLOOKUP(I3323,MappingTables!$B$19:$C$31,2,FALSE))</f>
        <v>4</v>
      </c>
      <c r="K3323" s="72">
        <v>4999.565825486376</v>
      </c>
      <c r="L3323" s="70">
        <v>3.9484233498795992</v>
      </c>
      <c r="M3323" s="71">
        <f>IF(L3323&lt;1,1,L3323)</f>
        <v>3.9484233498795992</v>
      </c>
      <c r="N3323" s="70" t="s">
        <v>141</v>
      </c>
      <c r="O3323" s="71">
        <f>INDEX(DurClassMapping,MATCH(M3323,MappingTables!$D$4:$D$8,-1),1)</f>
        <v>1</v>
      </c>
      <c r="P3323" s="73">
        <f>IF(M3323=$A$1,1,$M3323-INDEX(MappingTables!$E$4:$E$8,MATCH(O3323,MappingTables!$B$4:$B$8,0)))</f>
        <v>3.9484233498795992</v>
      </c>
      <c r="Q3323" s="71">
        <f>IF(B3323="",0,INDEX(ModelParameters!$D$6:$K$10,MATCH($O3323,ModelParameters!$B$6:$B$10,0),MATCH($J3323,ModelParameters!$D$5:$K$5,0)))</f>
        <v>0.045</v>
      </c>
      <c r="R3323" s="71">
        <f>IF(B3323="",0,INDEX(ModelParameters!$D$13:$K$17,MATCH($O3323,ModelParameters!$B$13:$B$17,0),MATCH($J3323,ModelParameters!$D$5:$K$5,0)))</f>
        <v>0</v>
      </c>
      <c r="S3323" s="160">
        <f>IF(B3323="",0,MIN(IF($N3323="Other Bond TM",ModelParameters!$N$21,1)*(P3323*Q3323+R3323),1))</f>
        <v>0.17767905074458198</v>
      </c>
      <c r="T3323" s="85">
        <f>IF(B3323="",0,$S3323*$K3323)</f>
        <v>888.31811000747168</v>
      </c>
      <c r="U3323" s="85">
        <f>IF(B3323="",0,IF(OR(H3323=MappingTables!$C$34,H3323=MappingTables!$C$35),T3323,0))</f>
        <v>0</v>
      </c>
      <c r="V3323" s="85">
        <f>IF(ISNA(IF(AND(VLOOKUP(CONCATENATE($D3323,$G3323),CSRFinput!$B:$E,4,0)=0,OR(H3323=MappingTables!$C$34,H3323=MappingTables!$C$35)),1,VLOOKUP(CONCATENATE($D3323,$G3323),CSRFinput!$B:$E,4,0))),0,IF(AND(VLOOKUP(CONCATENATE($D3323,$G3323),CSRFinput!$B:$E,4,0)=0,OR(H3323=MappingTables!$C$34,H3323=MappingTables!$C$35)),1,VLOOKUP(CONCATENATE($D3323,$G3323),CSRFinput!$B:$E,4,0)))</f>
        <v>0.054776304963434752</v>
      </c>
      <c r="W3323" s="85">
        <f>IF(B3323="",0,+$T3323*$V3323)</f>
        <v>48.658783698311248</v>
      </c>
      <c r="X3323" s="85">
        <f>IF(B3323="",0,IF(OR(H3323=MappingTables!$C$34,H3323=MappingTables!$C$35),W3323,0))</f>
        <v>0</v>
      </c>
    </row>
    <row r="3324" spans="2:24" s="0" customFormat="0" ht="15">
      <c r="B3324" s="69" t="s">
        <v>2764</v>
      </c>
      <c r="C3324" s="70" t="s">
        <v>2765</v>
      </c>
      <c r="D3324" s="70" t="s">
        <v>1</v>
      </c>
      <c r="E3324" s="70" t="s">
        <v>1</v>
      </c>
      <c r="F3324" s="70"/>
      <c r="G3324" s="70" t="s">
        <v>61</v>
      </c>
      <c r="H3324" s="70" t="s">
        <v>178</v>
      </c>
      <c r="I3324" s="70" t="s">
        <v>181</v>
      </c>
      <c r="J3324" s="71">
        <f>IF(OR(I3324=0,I3324=""),"unrated",VLOOKUP(I3324,MappingTables!$B$19:$C$31,2,FALSE))</f>
        <v>3</v>
      </c>
      <c r="K3324" s="72">
        <v>0.6266205386777076</v>
      </c>
      <c r="L3324" s="70">
        <v>1.919028094786078</v>
      </c>
      <c r="M3324" s="71">
        <f>IF(L3324&lt;1,1,L3324)</f>
        <v>1.919028094786078</v>
      </c>
      <c r="N3324" s="70" t="s">
        <v>141</v>
      </c>
      <c r="O3324" s="71">
        <f>INDEX(DurClassMapping,MATCH(M3324,MappingTables!$D$4:$D$8,-1),1)</f>
        <v>1</v>
      </c>
      <c r="P3324" s="73">
        <f>IF(M3324=$A$1,1,$M3324-INDEX(MappingTables!$E$4:$E$8,MATCH(O3324,MappingTables!$B$4:$B$8,0)))</f>
        <v>1.919028094786078</v>
      </c>
      <c r="Q3324" s="71">
        <f>IF(B3324="",0,INDEX(ModelParameters!$D$6:$K$10,MATCH($O3324,ModelParameters!$B$6:$B$10,0),MATCH($J3324,ModelParameters!$D$5:$K$5,0)))</f>
        <v>0.025</v>
      </c>
      <c r="R3324" s="71">
        <f>IF(B3324="",0,INDEX(ModelParameters!$D$13:$K$17,MATCH($O3324,ModelParameters!$B$13:$B$17,0),MATCH($J3324,ModelParameters!$D$5:$K$5,0)))</f>
        <v>0</v>
      </c>
      <c r="S3324" s="160">
        <f>IF(B3324="",0,MIN(IF($N3324="Other Bond TM",ModelParameters!$N$21,1)*(P3324*Q3324+R3324),1))</f>
        <v>0.047975702369651952</v>
      </c>
      <c r="T3324" s="85">
        <f>IF(B3324="",0,$S3324*$K3324)</f>
        <v>0.03006256046231268</v>
      </c>
      <c r="U3324" s="85">
        <f>IF(B3324="",0,IF(OR(H3324=MappingTables!$C$34,H3324=MappingTables!$C$35),T3324,0))</f>
        <v>0</v>
      </c>
      <c r="V3324" s="85">
        <f>IF(ISNA(IF(AND(VLOOKUP(CONCATENATE($D3324,$G3324),CSRFinput!$B:$E,4,0)=0,OR(H3324=MappingTables!$C$34,H3324=MappingTables!$C$35)),1,VLOOKUP(CONCATENATE($D3324,$G3324),CSRFinput!$B:$E,4,0))),0,IF(AND(VLOOKUP(CONCATENATE($D3324,$G3324),CSRFinput!$B:$E,4,0)=0,OR(H3324=MappingTables!$C$34,H3324=MappingTables!$C$35)),1,VLOOKUP(CONCATENATE($D3324,$G3324),CSRFinput!$B:$E,4,0)))</f>
        <v>0.054776304963434752</v>
      </c>
      <c r="W3324" s="85">
        <f>IF(B3324="",0,+$T3324*$V3324)</f>
        <v>0.0016467159798653354</v>
      </c>
      <c r="X3324" s="85">
        <f>IF(B3324="",0,IF(OR(H3324=MappingTables!$C$34,H3324=MappingTables!$C$35),W3324,0))</f>
        <v>0</v>
      </c>
    </row>
    <row r="3325" spans="2:24" s="0" customFormat="0" ht="15">
      <c r="B3325" s="69">
        <v>22106685</v>
      </c>
      <c r="C3325" s="70" t="s">
        <v>1518</v>
      </c>
      <c r="D3325" s="70" t="s">
        <v>1</v>
      </c>
      <c r="E3325" s="70" t="s">
        <v>1</v>
      </c>
      <c r="F3325" s="70"/>
      <c r="G3325" s="70" t="s">
        <v>61</v>
      </c>
      <c r="H3325" s="70" t="s">
        <v>178</v>
      </c>
      <c r="I3325" s="70" t="s">
        <v>179</v>
      </c>
      <c r="J3325" s="71">
        <f>IF(OR(I3325=0,I3325=""),"unrated",VLOOKUP(I3325,MappingTables!$B$19:$C$31,2,FALSE))</f>
        <v>4</v>
      </c>
      <c r="K3325" s="72">
        <v>79065.056913551376</v>
      </c>
      <c r="L3325" s="70">
        <v>6.125053266256016</v>
      </c>
      <c r="M3325" s="71">
        <f>IF(L3325&lt;1,1,L3325)</f>
        <v>6.125053266256016</v>
      </c>
      <c r="N3325" s="70" t="s">
        <v>141</v>
      </c>
      <c r="O3325" s="71">
        <f>INDEX(DurClassMapping,MATCH(M3325,MappingTables!$D$4:$D$8,-1),1)</f>
        <v>2</v>
      </c>
      <c r="P3325" s="73">
        <f>IF(M3325=$A$1,1,$M3325-INDEX(MappingTables!$E$4:$E$8,MATCH(O3325,MappingTables!$B$4:$B$8,0)))</f>
        <v>1.1250532662560158</v>
      </c>
      <c r="Q3325" s="71">
        <f>IF(B3325="",0,INDEX(ModelParameters!$D$6:$K$10,MATCH($O3325,ModelParameters!$B$6:$B$10,0),MATCH($J3325,ModelParameters!$D$5:$K$5,0)))</f>
        <v>0.025</v>
      </c>
      <c r="R3325" s="71">
        <f>IF(B3325="",0,INDEX(ModelParameters!$D$13:$K$17,MATCH($O3325,ModelParameters!$B$13:$B$17,0),MATCH($J3325,ModelParameters!$D$5:$K$5,0)))</f>
        <v>0.225</v>
      </c>
      <c r="S3325" s="160">
        <f>IF(B3325="",0,MIN(IF($N3325="Other Bond TM",ModelParameters!$N$21,1)*(P3325*Q3325+R3325),1))</f>
        <v>0.2531263316564004</v>
      </c>
      <c r="T3325" s="85">
        <f>IF(B3325="",0,$S3325*$K3325)</f>
        <v>20013.44781873178</v>
      </c>
      <c r="U3325" s="85">
        <f>IF(B3325="",0,IF(OR(H3325=MappingTables!$C$34,H3325=MappingTables!$C$35),T3325,0))</f>
        <v>0</v>
      </c>
      <c r="V3325" s="85">
        <f>IF(ISNA(IF(AND(VLOOKUP(CONCATENATE($D3325,$G3325),CSRFinput!$B:$E,4,0)=0,OR(H3325=MappingTables!$C$34,H3325=MappingTables!$C$35)),1,VLOOKUP(CONCATENATE($D3325,$G3325),CSRFinput!$B:$E,4,0))),0,IF(AND(VLOOKUP(CONCATENATE($D3325,$G3325),CSRFinput!$B:$E,4,0)=0,OR(H3325=MappingTables!$C$34,H3325=MappingTables!$C$35)),1,VLOOKUP(CONCATENATE($D3325,$G3325),CSRFinput!$B:$E,4,0)))</f>
        <v>0.054776304963434752</v>
      </c>
      <c r="W3325" s="85">
        <f>IF(B3325="",0,+$T3325*$V3325)</f>
        <v>1096.26272108864</v>
      </c>
      <c r="X3325" s="85">
        <f>IF(B3325="",0,IF(OR(H3325=MappingTables!$C$34,H3325=MappingTables!$C$35),W3325,0))</f>
        <v>0</v>
      </c>
    </row>
    <row r="3326" spans="2:24" s="0" customFormat="0" ht="15">
      <c r="B3326" s="69">
        <v>9818321</v>
      </c>
      <c r="C3326" s="70" t="s">
        <v>1884</v>
      </c>
      <c r="D3326" s="70" t="s">
        <v>1</v>
      </c>
      <c r="E3326" s="70" t="s">
        <v>1</v>
      </c>
      <c r="F3326" s="70"/>
      <c r="G3326" s="70" t="s">
        <v>61</v>
      </c>
      <c r="H3326" s="70" t="s">
        <v>178</v>
      </c>
      <c r="I3326" s="70" t="s">
        <v>181</v>
      </c>
      <c r="J3326" s="71">
        <f>IF(OR(I3326=0,I3326=""),"unrated",VLOOKUP(I3326,MappingTables!$B$19:$C$31,2,FALSE))</f>
        <v>3</v>
      </c>
      <c r="K3326" s="72">
        <v>1410.9873904802342</v>
      </c>
      <c r="L3326" s="70">
        <v>4.6183279922314544</v>
      </c>
      <c r="M3326" s="71">
        <f>IF(L3326&lt;1,1,L3326)</f>
        <v>4.6183279922314544</v>
      </c>
      <c r="N3326" s="70" t="s">
        <v>141</v>
      </c>
      <c r="O3326" s="71">
        <f>INDEX(DurClassMapping,MATCH(M3326,MappingTables!$D$4:$D$8,-1),1)</f>
        <v>1</v>
      </c>
      <c r="P3326" s="73">
        <f>IF(M3326=$A$1,1,$M3326-INDEX(MappingTables!$E$4:$E$8,MATCH(O3326,MappingTables!$B$4:$B$8,0)))</f>
        <v>4.6183279922314544</v>
      </c>
      <c r="Q3326" s="71">
        <f>IF(B3326="",0,INDEX(ModelParameters!$D$6:$K$10,MATCH($O3326,ModelParameters!$B$6:$B$10,0),MATCH($J3326,ModelParameters!$D$5:$K$5,0)))</f>
        <v>0.025</v>
      </c>
      <c r="R3326" s="71">
        <f>IF(B3326="",0,INDEX(ModelParameters!$D$13:$K$17,MATCH($O3326,ModelParameters!$B$13:$B$17,0),MATCH($J3326,ModelParameters!$D$5:$K$5,0)))</f>
        <v>0</v>
      </c>
      <c r="S3326" s="160">
        <f>IF(B3326="",0,MIN(IF($N3326="Other Bond TM",ModelParameters!$N$21,1)*(P3326*Q3326+R3326),1))</f>
        <v>0.11545819980578636</v>
      </c>
      <c r="T3326" s="85">
        <f>IF(B3326="",0,$S3326*$K3326)</f>
        <v>162.91006405351198</v>
      </c>
      <c r="U3326" s="85">
        <f>IF(B3326="",0,IF(OR(H3326=MappingTables!$C$34,H3326=MappingTables!$C$35),T3326,0))</f>
        <v>0</v>
      </c>
      <c r="V3326" s="85">
        <f>IF(ISNA(IF(AND(VLOOKUP(CONCATENATE($D3326,$G3326),CSRFinput!$B:$E,4,0)=0,OR(H3326=MappingTables!$C$34,H3326=MappingTables!$C$35)),1,VLOOKUP(CONCATENATE($D3326,$G3326),CSRFinput!$B:$E,4,0))),0,IF(AND(VLOOKUP(CONCATENATE($D3326,$G3326),CSRFinput!$B:$E,4,0)=0,OR(H3326=MappingTables!$C$34,H3326=MappingTables!$C$35)),1,VLOOKUP(CONCATENATE($D3326,$G3326),CSRFinput!$B:$E,4,0)))</f>
        <v>0.054776304963434752</v>
      </c>
      <c r="W3326" s="85">
        <f>IF(B3326="",0,+$T3326*$V3326)</f>
        <v>8.9236113502078624</v>
      </c>
      <c r="X3326" s="85">
        <f>IF(B3326="",0,IF(OR(H3326=MappingTables!$C$34,H3326=MappingTables!$C$35),W3326,0))</f>
        <v>0</v>
      </c>
    </row>
    <row r="3327" spans="2:24" s="0" customFormat="0" ht="15">
      <c r="B3327" s="69">
        <v>13656300</v>
      </c>
      <c r="C3327" s="70" t="s">
        <v>2010</v>
      </c>
      <c r="D3327" s="70" t="s">
        <v>1</v>
      </c>
      <c r="E3327" s="70" t="s">
        <v>1</v>
      </c>
      <c r="F3327" s="70"/>
      <c r="G3327" s="70" t="s">
        <v>61</v>
      </c>
      <c r="H3327" s="70" t="s">
        <v>178</v>
      </c>
      <c r="I3327" s="70" t="s">
        <v>188</v>
      </c>
      <c r="J3327" s="71">
        <f>IF(OR(I3327=0,I3327=""),"unrated",VLOOKUP(I3327,MappingTables!$B$19:$C$31,2,FALSE))</f>
        <v>2</v>
      </c>
      <c r="K3327" s="72">
        <v>182.29899223528072</v>
      </c>
      <c r="L3327" s="70">
        <v>0.69955552968500168</v>
      </c>
      <c r="M3327" s="71">
        <f>IF(L3327&lt;1,1,L3327)</f>
        <v>1</v>
      </c>
      <c r="N3327" s="70" t="s">
        <v>141</v>
      </c>
      <c r="O3327" s="71">
        <f>INDEX(DurClassMapping,MATCH(M3327,MappingTables!$D$4:$D$8,-1),1)</f>
        <v>1</v>
      </c>
      <c r="P3327" s="73">
        <f>IF(M3327=$A$1,1,$M3327-INDEX(MappingTables!$E$4:$E$8,MATCH(O3327,MappingTables!$B$4:$B$8,0)))</f>
        <v>1</v>
      </c>
      <c r="Q3327" s="71">
        <f>IF(B3327="",0,INDEX(ModelParameters!$D$6:$K$10,MATCH($O3327,ModelParameters!$B$6:$B$10,0),MATCH($J3327,ModelParameters!$D$5:$K$5,0)))</f>
        <v>0.013999999999999998</v>
      </c>
      <c r="R3327" s="71">
        <f>IF(B3327="",0,INDEX(ModelParameters!$D$13:$K$17,MATCH($O3327,ModelParameters!$B$13:$B$17,0),MATCH($J3327,ModelParameters!$D$5:$K$5,0)))</f>
        <v>0</v>
      </c>
      <c r="S3327" s="160">
        <f>IF(B3327="",0,MIN(IF($N3327="Other Bond TM",ModelParameters!$N$21,1)*(P3327*Q3327+R3327),1))</f>
        <v>0.013999999999999998</v>
      </c>
      <c r="T3327" s="85">
        <f>IF(B3327="",0,$S3327*$K3327)</f>
        <v>2.55218589129393</v>
      </c>
      <c r="U3327" s="85">
        <f>IF(B3327="",0,IF(OR(H3327=MappingTables!$C$34,H3327=MappingTables!$C$35),T3327,0))</f>
        <v>0</v>
      </c>
      <c r="V3327" s="85">
        <f>IF(ISNA(IF(AND(VLOOKUP(CONCATENATE($D3327,$G3327),CSRFinput!$B:$E,4,0)=0,OR(H3327=MappingTables!$C$34,H3327=MappingTables!$C$35)),1,VLOOKUP(CONCATENATE($D3327,$G3327),CSRFinput!$B:$E,4,0))),0,IF(AND(VLOOKUP(CONCATENATE($D3327,$G3327),CSRFinput!$B:$E,4,0)=0,OR(H3327=MappingTables!$C$34,H3327=MappingTables!$C$35)),1,VLOOKUP(CONCATENATE($D3327,$G3327),CSRFinput!$B:$E,4,0)))</f>
        <v>0.054776304963434752</v>
      </c>
      <c r="W3327" s="85">
        <f>IF(B3327="",0,+$T3327*$V3327)</f>
        <v>0.13979931270489184</v>
      </c>
      <c r="X3327" s="85">
        <f>IF(B3327="",0,IF(OR(H3327=MappingTables!$C$34,H3327=MappingTables!$C$35),W3327,0))</f>
        <v>0</v>
      </c>
    </row>
    <row r="3328" spans="2:24" s="0" customFormat="0" ht="15">
      <c r="B3328" s="69">
        <v>11372165</v>
      </c>
      <c r="C3328" s="70" t="s">
        <v>2807</v>
      </c>
      <c r="D3328" s="70" t="s">
        <v>1</v>
      </c>
      <c r="E3328" s="70" t="s">
        <v>1</v>
      </c>
      <c r="F3328" s="70"/>
      <c r="G3328" s="70" t="s">
        <v>61</v>
      </c>
      <c r="H3328" s="70" t="s">
        <v>178</v>
      </c>
      <c r="I3328" s="70" t="s">
        <v>198</v>
      </c>
      <c r="J3328" s="71" t="str">
        <f>IF(OR(I3328=0,I3328=""),"unrated",VLOOKUP(I3328,MappingTables!$B$19:$C$31,2,FALSE))</f>
        <v>unrated</v>
      </c>
      <c r="K3328" s="72">
        <v>81.034186477288464</v>
      </c>
      <c r="L3328" s="70">
        <v>2.4277784450681192</v>
      </c>
      <c r="M3328" s="71">
        <f>IF(L3328&lt;1,1,L3328)</f>
        <v>2.4277784450681192</v>
      </c>
      <c r="N3328" s="70" t="s">
        <v>141</v>
      </c>
      <c r="O3328" s="71">
        <f>INDEX(DurClassMapping,MATCH(M3328,MappingTables!$D$4:$D$8,-1),1)</f>
        <v>1</v>
      </c>
      <c r="P3328" s="73">
        <f>IF(M3328=$A$1,1,$M3328-INDEX(MappingTables!$E$4:$E$8,MATCH(O3328,MappingTables!$B$4:$B$8,0)))</f>
        <v>2.4277784450681192</v>
      </c>
      <c r="Q3328" s="71">
        <f>IF(B3328="",0,INDEX(ModelParameters!$D$6:$K$10,MATCH($O3328,ModelParameters!$B$6:$B$10,0),MATCH($J3328,ModelParameters!$D$5:$K$5,0)))</f>
        <v>0.03</v>
      </c>
      <c r="R3328" s="71">
        <f>IF(B3328="",0,INDEX(ModelParameters!$D$13:$K$17,MATCH($O3328,ModelParameters!$B$13:$B$17,0),MATCH($J3328,ModelParameters!$D$5:$K$5,0)))</f>
        <v>0</v>
      </c>
      <c r="S3328" s="160">
        <f>IF(B3328="",0,MIN(IF($N3328="Other Bond TM",ModelParameters!$N$21,1)*(P3328*Q3328+R3328),1))</f>
        <v>0.072833353352043584</v>
      </c>
      <c r="T3328" s="85">
        <f>IF(B3328="",0,$S3328*$K3328)</f>
        <v>5.9019915372957424</v>
      </c>
      <c r="U3328" s="85">
        <f>IF(B3328="",0,IF(OR(H3328=MappingTables!$C$34,H3328=MappingTables!$C$35),T3328,0))</f>
        <v>0</v>
      </c>
      <c r="V3328" s="85">
        <f>IF(ISNA(IF(AND(VLOOKUP(CONCATENATE($D3328,$G3328),CSRFinput!$B:$E,4,0)=0,OR(H3328=MappingTables!$C$34,H3328=MappingTables!$C$35)),1,VLOOKUP(CONCATENATE($D3328,$G3328),CSRFinput!$B:$E,4,0))),0,IF(AND(VLOOKUP(CONCATENATE($D3328,$G3328),CSRFinput!$B:$E,4,0)=0,OR(H3328=MappingTables!$C$34,H3328=MappingTables!$C$35)),1,VLOOKUP(CONCATENATE($D3328,$G3328),CSRFinput!$B:$E,4,0)))</f>
        <v>0.054776304963434752</v>
      </c>
      <c r="W3328" s="85">
        <f>IF(B3328="",0,+$T3328*$V3328)</f>
        <v>0.32328928833852272</v>
      </c>
      <c r="X3328" s="85">
        <f>IF(B3328="",0,IF(OR(H3328=MappingTables!$C$34,H3328=MappingTables!$C$35),W3328,0))</f>
        <v>0</v>
      </c>
    </row>
    <row r="3329" spans="2:24" s="0" customFormat="0" ht="15">
      <c r="B3329" s="69" t="s">
        <v>1603</v>
      </c>
      <c r="C3329" s="70" t="s">
        <v>1604</v>
      </c>
      <c r="D3329" s="70" t="s">
        <v>1</v>
      </c>
      <c r="E3329" s="70" t="s">
        <v>1</v>
      </c>
      <c r="F3329" s="70"/>
      <c r="G3329" s="70" t="s">
        <v>61</v>
      </c>
      <c r="H3329" s="70" t="s">
        <v>178</v>
      </c>
      <c r="I3329" s="70" t="s">
        <v>181</v>
      </c>
      <c r="J3329" s="71">
        <f>IF(OR(I3329=0,I3329=""),"unrated",VLOOKUP(I3329,MappingTables!$B$19:$C$31,2,FALSE))</f>
        <v>3</v>
      </c>
      <c r="K3329" s="72">
        <v>166.758135043218</v>
      </c>
      <c r="L3329" s="70">
        <v>2.4029411139217856</v>
      </c>
      <c r="M3329" s="71">
        <f>IF(L3329&lt;1,1,L3329)</f>
        <v>2.4029411139217856</v>
      </c>
      <c r="N3329" s="70" t="s">
        <v>141</v>
      </c>
      <c r="O3329" s="71">
        <f>INDEX(DurClassMapping,MATCH(M3329,MappingTables!$D$4:$D$8,-1),1)</f>
        <v>1</v>
      </c>
      <c r="P3329" s="73">
        <f>IF(M3329=$A$1,1,$M3329-INDEX(MappingTables!$E$4:$E$8,MATCH(O3329,MappingTables!$B$4:$B$8,0)))</f>
        <v>2.4029411139217856</v>
      </c>
      <c r="Q3329" s="71">
        <f>IF(B3329="",0,INDEX(ModelParameters!$D$6:$K$10,MATCH($O3329,ModelParameters!$B$6:$B$10,0),MATCH($J3329,ModelParameters!$D$5:$K$5,0)))</f>
        <v>0.025</v>
      </c>
      <c r="R3329" s="71">
        <f>IF(B3329="",0,INDEX(ModelParameters!$D$13:$K$17,MATCH($O3329,ModelParameters!$B$13:$B$17,0),MATCH($J3329,ModelParameters!$D$5:$K$5,0)))</f>
        <v>0</v>
      </c>
      <c r="S3329" s="160">
        <f>IF(B3329="",0,MIN(IF($N3329="Other Bond TM",ModelParameters!$N$21,1)*(P3329*Q3329+R3329),1))</f>
        <v>0.06007352784804464</v>
      </c>
      <c r="T3329" s="85">
        <f>IF(B3329="",0,$S3329*$K3329)</f>
        <v>10.017749469406746</v>
      </c>
      <c r="U3329" s="85">
        <f>IF(B3329="",0,IF(OR(H3329=MappingTables!$C$34,H3329=MappingTables!$C$35),T3329,0))</f>
        <v>0</v>
      </c>
      <c r="V3329" s="85">
        <f>IF(ISNA(IF(AND(VLOOKUP(CONCATENATE($D3329,$G3329),CSRFinput!$B:$E,4,0)=0,OR(H3329=MappingTables!$C$34,H3329=MappingTables!$C$35)),1,VLOOKUP(CONCATENATE($D3329,$G3329),CSRFinput!$B:$E,4,0))),0,IF(AND(VLOOKUP(CONCATENATE($D3329,$G3329),CSRFinput!$B:$E,4,0)=0,OR(H3329=MappingTables!$C$34,H3329=MappingTables!$C$35)),1,VLOOKUP(CONCATENATE($D3329,$G3329),CSRFinput!$B:$E,4,0)))</f>
        <v>0.054776304963434752</v>
      </c>
      <c r="W3329" s="85">
        <f>IF(B3329="",0,+$T3329*$V3329)</f>
        <v>0.54873529998351064</v>
      </c>
      <c r="X3329" s="85">
        <f>IF(B3329="",0,IF(OR(H3329=MappingTables!$C$34,H3329=MappingTables!$C$35),W3329,0))</f>
        <v>0</v>
      </c>
    </row>
    <row r="3330" spans="2:24" s="0" customFormat="0" ht="15">
      <c r="B3330" s="69" t="s">
        <v>1618</v>
      </c>
      <c r="C3330" s="70" t="s">
        <v>1619</v>
      </c>
      <c r="D3330" s="70" t="s">
        <v>1</v>
      </c>
      <c r="E3330" s="70" t="s">
        <v>1</v>
      </c>
      <c r="F3330" s="70"/>
      <c r="G3330" s="70" t="s">
        <v>61</v>
      </c>
      <c r="H3330" s="70" t="s">
        <v>178</v>
      </c>
      <c r="I3330" s="70" t="s">
        <v>181</v>
      </c>
      <c r="J3330" s="71">
        <f>IF(OR(I3330=0,I3330=""),"unrated",VLOOKUP(I3330,MappingTables!$B$19:$C$31,2,FALSE))</f>
        <v>3</v>
      </c>
      <c r="K3330" s="72">
        <v>17980.960769117256</v>
      </c>
      <c r="L3330" s="70">
        <v>6.0624722693139352</v>
      </c>
      <c r="M3330" s="71">
        <f>IF(L3330&lt;1,1,L3330)</f>
        <v>6.0624722693139352</v>
      </c>
      <c r="N3330" s="70" t="s">
        <v>141</v>
      </c>
      <c r="O3330" s="71">
        <f>INDEX(DurClassMapping,MATCH(M3330,MappingTables!$D$4:$D$8,-1),1)</f>
        <v>2</v>
      </c>
      <c r="P3330" s="73">
        <f>IF(M3330=$A$1,1,$M3330-INDEX(MappingTables!$E$4:$E$8,MATCH(O3330,MappingTables!$B$4:$B$8,0)))</f>
        <v>1.0624722693139352</v>
      </c>
      <c r="Q3330" s="71">
        <f>IF(B3330="",0,INDEX(ModelParameters!$D$6:$K$10,MATCH($O3330,ModelParameters!$B$6:$B$10,0),MATCH($J3330,ModelParameters!$D$5:$K$5,0)))</f>
        <v>0.015</v>
      </c>
      <c r="R3330" s="71">
        <f>IF(B3330="",0,INDEX(ModelParameters!$D$13:$K$17,MATCH($O3330,ModelParameters!$B$13:$B$17,0),MATCH($J3330,ModelParameters!$D$5:$K$5,0)))</f>
        <v>0.125</v>
      </c>
      <c r="S3330" s="160">
        <f>IF(B3330="",0,MIN(IF($N3330="Other Bond TM",ModelParameters!$N$21,1)*(P3330*Q3330+R3330),1))</f>
        <v>0.14093708403970904</v>
      </c>
      <c r="T3330" s="85">
        <f>IF(B3330="",0,$S3330*$K3330)</f>
        <v>2534.18417903179</v>
      </c>
      <c r="U3330" s="85">
        <f>IF(B3330="",0,IF(OR(H3330=MappingTables!$C$34,H3330=MappingTables!$C$35),T3330,0))</f>
        <v>0</v>
      </c>
      <c r="V3330" s="85">
        <f>IF(ISNA(IF(AND(VLOOKUP(CONCATENATE($D3330,$G3330),CSRFinput!$B:$E,4,0)=0,OR(H3330=MappingTables!$C$34,H3330=MappingTables!$C$35)),1,VLOOKUP(CONCATENATE($D3330,$G3330),CSRFinput!$B:$E,4,0))),0,IF(AND(VLOOKUP(CONCATENATE($D3330,$G3330),CSRFinput!$B:$E,4,0)=0,OR(H3330=MappingTables!$C$34,H3330=MappingTables!$C$35)),1,VLOOKUP(CONCATENATE($D3330,$G3330),CSRFinput!$B:$E,4,0)))</f>
        <v>0.054776304963434752</v>
      </c>
      <c r="W3330" s="85">
        <f>IF(B3330="",0,+$T3330*$V3330)</f>
        <v>138.81324542415686</v>
      </c>
      <c r="X3330" s="85">
        <f>IF(B3330="",0,IF(OR(H3330=MappingTables!$C$34,H3330=MappingTables!$C$35),W3330,0))</f>
        <v>0</v>
      </c>
    </row>
    <row r="3331" spans="2:24" s="0" customFormat="0" ht="15">
      <c r="B3331" s="69">
        <v>22520327</v>
      </c>
      <c r="C3331" s="70" t="s">
        <v>2557</v>
      </c>
      <c r="D3331" s="70" t="s">
        <v>1</v>
      </c>
      <c r="E3331" s="70" t="s">
        <v>1</v>
      </c>
      <c r="F3331" s="70"/>
      <c r="G3331" s="70" t="s">
        <v>61</v>
      </c>
      <c r="H3331" s="70" t="s">
        <v>178</v>
      </c>
      <c r="I3331" s="70" t="s">
        <v>181</v>
      </c>
      <c r="J3331" s="71">
        <f>IF(OR(I3331=0,I3331=""),"unrated",VLOOKUP(I3331,MappingTables!$B$19:$C$31,2,FALSE))</f>
        <v>3</v>
      </c>
      <c r="K3331" s="72">
        <v>1119.439849893032</v>
      </c>
      <c r="L3331" s="70">
        <v>4.0728554141014824</v>
      </c>
      <c r="M3331" s="71">
        <f>IF(L3331&lt;1,1,L3331)</f>
        <v>4.0728554141014824</v>
      </c>
      <c r="N3331" s="70" t="s">
        <v>141</v>
      </c>
      <c r="O3331" s="71">
        <f>INDEX(DurClassMapping,MATCH(M3331,MappingTables!$D$4:$D$8,-1),1)</f>
        <v>1</v>
      </c>
      <c r="P3331" s="73">
        <f>IF(M3331=$A$1,1,$M3331-INDEX(MappingTables!$E$4:$E$8,MATCH(O3331,MappingTables!$B$4:$B$8,0)))</f>
        <v>4.0728554141014824</v>
      </c>
      <c r="Q3331" s="71">
        <f>IF(B3331="",0,INDEX(ModelParameters!$D$6:$K$10,MATCH($O3331,ModelParameters!$B$6:$B$10,0),MATCH($J3331,ModelParameters!$D$5:$K$5,0)))</f>
        <v>0.025</v>
      </c>
      <c r="R3331" s="71">
        <f>IF(B3331="",0,INDEX(ModelParameters!$D$13:$K$17,MATCH($O3331,ModelParameters!$B$13:$B$17,0),MATCH($J3331,ModelParameters!$D$5:$K$5,0)))</f>
        <v>0</v>
      </c>
      <c r="S3331" s="160">
        <f>IF(B3331="",0,MIN(IF($N3331="Other Bond TM",ModelParameters!$N$21,1)*(P3331*Q3331+R3331),1))</f>
        <v>0.10182138535253706</v>
      </c>
      <c r="T3331" s="85">
        <f>IF(B3331="",0,$S3331*$K3331)</f>
        <v>113.98291633494466</v>
      </c>
      <c r="U3331" s="85">
        <f>IF(B3331="",0,IF(OR(H3331=MappingTables!$C$34,H3331=MappingTables!$C$35),T3331,0))</f>
        <v>0</v>
      </c>
      <c r="V3331" s="85">
        <f>IF(ISNA(IF(AND(VLOOKUP(CONCATENATE($D3331,$G3331),CSRFinput!$B:$E,4,0)=0,OR(H3331=MappingTables!$C$34,H3331=MappingTables!$C$35)),1,VLOOKUP(CONCATENATE($D3331,$G3331),CSRFinput!$B:$E,4,0))),0,IF(AND(VLOOKUP(CONCATENATE($D3331,$G3331),CSRFinput!$B:$E,4,0)=0,OR(H3331=MappingTables!$C$34,H3331=MappingTables!$C$35)),1,VLOOKUP(CONCATENATE($D3331,$G3331),CSRFinput!$B:$E,4,0)))</f>
        <v>0.054776304963434752</v>
      </c>
      <c r="W3331" s="85">
        <f>IF(B3331="",0,+$T3331*$V3331)</f>
        <v>6.2435629857845976</v>
      </c>
      <c r="X3331" s="85">
        <f>IF(B3331="",0,IF(OR(H3331=MappingTables!$C$34,H3331=MappingTables!$C$35),W3331,0))</f>
        <v>0</v>
      </c>
    </row>
    <row r="3332" spans="2:24" s="0" customFormat="0" ht="15">
      <c r="B3332" s="69">
        <v>23482942</v>
      </c>
      <c r="C3332" s="70" t="s">
        <v>2808</v>
      </c>
      <c r="D3332" s="70" t="s">
        <v>1</v>
      </c>
      <c r="E3332" s="70" t="s">
        <v>1</v>
      </c>
      <c r="F3332" s="70"/>
      <c r="G3332" s="70" t="s">
        <v>61</v>
      </c>
      <c r="H3332" s="70" t="s">
        <v>178</v>
      </c>
      <c r="I3332" s="70" t="s">
        <v>188</v>
      </c>
      <c r="J3332" s="71">
        <f>IF(OR(I3332=0,I3332=""),"unrated",VLOOKUP(I3332,MappingTables!$B$19:$C$31,2,FALSE))</f>
        <v>2</v>
      </c>
      <c r="K3332" s="72">
        <v>3397.7511243442432</v>
      </c>
      <c r="L3332" s="70">
        <v>2.4124614323280348</v>
      </c>
      <c r="M3332" s="71">
        <f>IF(L3332&lt;1,1,L3332)</f>
        <v>2.4124614323280348</v>
      </c>
      <c r="N3332" s="70" t="s">
        <v>141</v>
      </c>
      <c r="O3332" s="71">
        <f>INDEX(DurClassMapping,MATCH(M3332,MappingTables!$D$4:$D$8,-1),1)</f>
        <v>1</v>
      </c>
      <c r="P3332" s="73">
        <f>IF(M3332=$A$1,1,$M3332-INDEX(MappingTables!$E$4:$E$8,MATCH(O3332,MappingTables!$B$4:$B$8,0)))</f>
        <v>2.4124614323280348</v>
      </c>
      <c r="Q3332" s="71">
        <f>IF(B3332="",0,INDEX(ModelParameters!$D$6:$K$10,MATCH($O3332,ModelParameters!$B$6:$B$10,0),MATCH($J3332,ModelParameters!$D$5:$K$5,0)))</f>
        <v>0.013999999999999998</v>
      </c>
      <c r="R3332" s="71">
        <f>IF(B3332="",0,INDEX(ModelParameters!$D$13:$K$17,MATCH($O3332,ModelParameters!$B$13:$B$17,0),MATCH($J3332,ModelParameters!$D$5:$K$5,0)))</f>
        <v>0</v>
      </c>
      <c r="S3332" s="160">
        <f>IF(B3332="",0,MIN(IF($N3332="Other Bond TM",ModelParameters!$N$21,1)*(P3332*Q3332+R3332),1))</f>
        <v>0.033774460052592484</v>
      </c>
      <c r="T3332" s="85">
        <f>IF(B3332="",0,$S3332*$K3332)</f>
        <v>114.75720961781584</v>
      </c>
      <c r="U3332" s="85">
        <f>IF(B3332="",0,IF(OR(H3332=MappingTables!$C$34,H3332=MappingTables!$C$35),T3332,0))</f>
        <v>0</v>
      </c>
      <c r="V3332" s="85">
        <f>IF(ISNA(IF(AND(VLOOKUP(CONCATENATE($D3332,$G3332),CSRFinput!$B:$E,4,0)=0,OR(H3332=MappingTables!$C$34,H3332=MappingTables!$C$35)),1,VLOOKUP(CONCATENATE($D3332,$G3332),CSRFinput!$B:$E,4,0))),0,IF(AND(VLOOKUP(CONCATENATE($D3332,$G3332),CSRFinput!$B:$E,4,0)=0,OR(H3332=MappingTables!$C$34,H3332=MappingTables!$C$35)),1,VLOOKUP(CONCATENATE($D3332,$G3332),CSRFinput!$B:$E,4,0)))</f>
        <v>0.054776304963434752</v>
      </c>
      <c r="W3332" s="85">
        <f>IF(B3332="",0,+$T3332*$V3332)</f>
        <v>6.2859759107782888</v>
      </c>
      <c r="X3332" s="85">
        <f>IF(B3332="",0,IF(OR(H3332=MappingTables!$C$34,H3332=MappingTables!$C$35),W3332,0))</f>
        <v>0</v>
      </c>
    </row>
    <row r="3333" spans="2:24" s="0" customFormat="0" ht="15">
      <c r="B3333" s="69">
        <v>10849654</v>
      </c>
      <c r="C3333" s="70" t="s">
        <v>2809</v>
      </c>
      <c r="D3333" s="70" t="s">
        <v>1</v>
      </c>
      <c r="E3333" s="70" t="s">
        <v>1</v>
      </c>
      <c r="F3333" s="70"/>
      <c r="G3333" s="70" t="s">
        <v>61</v>
      </c>
      <c r="H3333" s="70" t="s">
        <v>178</v>
      </c>
      <c r="I3333" s="70" t="s">
        <v>181</v>
      </c>
      <c r="J3333" s="71">
        <f>IF(OR(I3333=0,I3333=""),"unrated",VLOOKUP(I3333,MappingTables!$B$19:$C$31,2,FALSE))</f>
        <v>3</v>
      </c>
      <c r="K3333" s="72">
        <v>3725.098581220776</v>
      </c>
      <c r="L3333" s="70">
        <v>10.763705341931206</v>
      </c>
      <c r="M3333" s="71">
        <f>IF(L3333&lt;1,1,L3333)</f>
        <v>10.763705341931206</v>
      </c>
      <c r="N3333" s="70" t="s">
        <v>141</v>
      </c>
      <c r="O3333" s="71">
        <f>INDEX(DurClassMapping,MATCH(M3333,MappingTables!$D$4:$D$8,-1),1)</f>
        <v>3</v>
      </c>
      <c r="P3333" s="73">
        <f>IF(M3333=$A$1,1,$M3333-INDEX(MappingTables!$E$4:$E$8,MATCH(O3333,MappingTables!$B$4:$B$8,0)))</f>
        <v>0.76370534193120672</v>
      </c>
      <c r="Q3333" s="71">
        <f>IF(B3333="",0,INDEX(ModelParameters!$D$6:$K$10,MATCH($O3333,ModelParameters!$B$6:$B$10,0),MATCH($J3333,ModelParameters!$D$5:$K$5,0)))</f>
        <v>0.01</v>
      </c>
      <c r="R3333" s="71">
        <f>IF(B3333="",0,INDEX(ModelParameters!$D$13:$K$17,MATCH($O3333,ModelParameters!$B$13:$B$17,0),MATCH($J3333,ModelParameters!$D$5:$K$5,0)))</f>
        <v>0.2</v>
      </c>
      <c r="S3333" s="160">
        <f>IF(B3333="",0,MIN(IF($N3333="Other Bond TM",ModelParameters!$N$21,1)*(P3333*Q3333+R3333),1))</f>
        <v>0.20763705341931208</v>
      </c>
      <c r="T3333" s="85">
        <f>IF(B3333="",0,$S3333*$K3333)</f>
        <v>773.46849310114192</v>
      </c>
      <c r="U3333" s="85">
        <f>IF(B3333="",0,IF(OR(H3333=MappingTables!$C$34,H3333=MappingTables!$C$35),T3333,0))</f>
        <v>0</v>
      </c>
      <c r="V3333" s="85">
        <f>IF(ISNA(IF(AND(VLOOKUP(CONCATENATE($D3333,$G3333),CSRFinput!$B:$E,4,0)=0,OR(H3333=MappingTables!$C$34,H3333=MappingTables!$C$35)),1,VLOOKUP(CONCATENATE($D3333,$G3333),CSRFinput!$B:$E,4,0))),0,IF(AND(VLOOKUP(CONCATENATE($D3333,$G3333),CSRFinput!$B:$E,4,0)=0,OR(H3333=MappingTables!$C$34,H3333=MappingTables!$C$35)),1,VLOOKUP(CONCATENATE($D3333,$G3333),CSRFinput!$B:$E,4,0)))</f>
        <v>0.054776304963434752</v>
      </c>
      <c r="W3333" s="85">
        <f>IF(B3333="",0,+$T3333*$V3333)</f>
        <v>42.36774605771648</v>
      </c>
      <c r="X3333" s="85">
        <f>IF(B3333="",0,IF(OR(H3333=MappingTables!$C$34,H3333=MappingTables!$C$35),W3333,0))</f>
        <v>0</v>
      </c>
    </row>
    <row r="3334" spans="2:24" s="0" customFormat="0" ht="15">
      <c r="B3334" s="69">
        <v>22227999</v>
      </c>
      <c r="C3334" s="70" t="s">
        <v>2810</v>
      </c>
      <c r="D3334" s="70" t="s">
        <v>1</v>
      </c>
      <c r="E3334" s="70" t="s">
        <v>1</v>
      </c>
      <c r="F3334" s="70"/>
      <c r="G3334" s="70" t="s">
        <v>61</v>
      </c>
      <c r="H3334" s="70" t="s">
        <v>178</v>
      </c>
      <c r="I3334" s="70" t="s">
        <v>179</v>
      </c>
      <c r="J3334" s="71">
        <f>IF(OR(I3334=0,I3334=""),"unrated",VLOOKUP(I3334,MappingTables!$B$19:$C$31,2,FALSE))</f>
        <v>4</v>
      </c>
      <c r="K3334" s="72">
        <v>3824.8139717178448</v>
      </c>
      <c r="L3334" s="70">
        <v>3.7977709250672376</v>
      </c>
      <c r="M3334" s="71">
        <f>IF(L3334&lt;1,1,L3334)</f>
        <v>3.7977709250672376</v>
      </c>
      <c r="N3334" s="70" t="s">
        <v>141</v>
      </c>
      <c r="O3334" s="71">
        <f>INDEX(DurClassMapping,MATCH(M3334,MappingTables!$D$4:$D$8,-1),1)</f>
        <v>1</v>
      </c>
      <c r="P3334" s="73">
        <f>IF(M3334=$A$1,1,$M3334-INDEX(MappingTables!$E$4:$E$8,MATCH(O3334,MappingTables!$B$4:$B$8,0)))</f>
        <v>3.7977709250672376</v>
      </c>
      <c r="Q3334" s="71">
        <f>IF(B3334="",0,INDEX(ModelParameters!$D$6:$K$10,MATCH($O3334,ModelParameters!$B$6:$B$10,0),MATCH($J3334,ModelParameters!$D$5:$K$5,0)))</f>
        <v>0.045</v>
      </c>
      <c r="R3334" s="71">
        <f>IF(B3334="",0,INDEX(ModelParameters!$D$13:$K$17,MATCH($O3334,ModelParameters!$B$13:$B$17,0),MATCH($J3334,ModelParameters!$D$5:$K$5,0)))</f>
        <v>0</v>
      </c>
      <c r="S3334" s="160">
        <f>IF(B3334="",0,MIN(IF($N3334="Other Bond TM",ModelParameters!$N$21,1)*(P3334*Q3334+R3334),1))</f>
        <v>0.1708996916280257</v>
      </c>
      <c r="T3334" s="85">
        <f>IF(B3334="",0,$S3334*$K3334)</f>
        <v>653.65952830114392</v>
      </c>
      <c r="U3334" s="85">
        <f>IF(B3334="",0,IF(OR(H3334=MappingTables!$C$34,H3334=MappingTables!$C$35),T3334,0))</f>
        <v>0</v>
      </c>
      <c r="V3334" s="85">
        <f>IF(ISNA(IF(AND(VLOOKUP(CONCATENATE($D3334,$G3334),CSRFinput!$B:$E,4,0)=0,OR(H3334=MappingTables!$C$34,H3334=MappingTables!$C$35)),1,VLOOKUP(CONCATENATE($D3334,$G3334),CSRFinput!$B:$E,4,0))),0,IF(AND(VLOOKUP(CONCATENATE($D3334,$G3334),CSRFinput!$B:$E,4,0)=0,OR(H3334=MappingTables!$C$34,H3334=MappingTables!$C$35)),1,VLOOKUP(CONCATENATE($D3334,$G3334),CSRFinput!$B:$E,4,0)))</f>
        <v>0.054776304963434752</v>
      </c>
      <c r="W3334" s="85">
        <f>IF(B3334="",0,+$T3334*$V3334)</f>
        <v>35.805053664478372</v>
      </c>
      <c r="X3334" s="85">
        <f>IF(B3334="",0,IF(OR(H3334=MappingTables!$C$34,H3334=MappingTables!$C$35),W3334,0))</f>
        <v>0</v>
      </c>
    </row>
    <row r="3335" spans="2:24" s="0" customFormat="0" ht="15">
      <c r="B3335" s="69">
        <v>21874281</v>
      </c>
      <c r="C3335" s="70" t="s">
        <v>760</v>
      </c>
      <c r="D3335" s="70" t="s">
        <v>1</v>
      </c>
      <c r="E3335" s="70" t="s">
        <v>1</v>
      </c>
      <c r="F3335" s="70"/>
      <c r="G3335" s="70" t="s">
        <v>61</v>
      </c>
      <c r="H3335" s="70" t="s">
        <v>178</v>
      </c>
      <c r="I3335" s="70" t="s">
        <v>179</v>
      </c>
      <c r="J3335" s="71">
        <f>IF(OR(I3335=0,I3335=""),"unrated",VLOOKUP(I3335,MappingTables!$B$19:$C$31,2,FALSE))</f>
        <v>4</v>
      </c>
      <c r="K3335" s="72">
        <v>11778.084133847322</v>
      </c>
      <c r="L3335" s="70">
        <v>5.1280484910618752</v>
      </c>
      <c r="M3335" s="71">
        <f>IF(L3335&lt;1,1,L3335)</f>
        <v>5.1280484910618752</v>
      </c>
      <c r="N3335" s="70" t="s">
        <v>141</v>
      </c>
      <c r="O3335" s="71">
        <f>INDEX(DurClassMapping,MATCH(M3335,MappingTables!$D$4:$D$8,-1),1)</f>
        <v>2</v>
      </c>
      <c r="P3335" s="73">
        <f>IF(M3335=$A$1,1,$M3335-INDEX(MappingTables!$E$4:$E$8,MATCH(O3335,MappingTables!$B$4:$B$8,0)))</f>
        <v>0.12804849106187532</v>
      </c>
      <c r="Q3335" s="71">
        <f>IF(B3335="",0,INDEX(ModelParameters!$D$6:$K$10,MATCH($O3335,ModelParameters!$B$6:$B$10,0),MATCH($J3335,ModelParameters!$D$5:$K$5,0)))</f>
        <v>0.025</v>
      </c>
      <c r="R3335" s="71">
        <f>IF(B3335="",0,INDEX(ModelParameters!$D$13:$K$17,MATCH($O3335,ModelParameters!$B$13:$B$17,0),MATCH($J3335,ModelParameters!$D$5:$K$5,0)))</f>
        <v>0.225</v>
      </c>
      <c r="S3335" s="160">
        <f>IF(B3335="",0,MIN(IF($N3335="Other Bond TM",ModelParameters!$N$21,1)*(P3335*Q3335+R3335),1))</f>
        <v>0.22820121227654688</v>
      </c>
      <c r="T3335" s="85">
        <f>IF(B3335="",0,$S3335*$K3335)</f>
        <v>2687.7730776391216</v>
      </c>
      <c r="U3335" s="85">
        <f>IF(B3335="",0,IF(OR(H3335=MappingTables!$C$34,H3335=MappingTables!$C$35),T3335,0))</f>
        <v>0</v>
      </c>
      <c r="V3335" s="85">
        <f>IF(ISNA(IF(AND(VLOOKUP(CONCATENATE($D3335,$G3335),CSRFinput!$B:$E,4,0)=0,OR(H3335=MappingTables!$C$34,H3335=MappingTables!$C$35)),1,VLOOKUP(CONCATENATE($D3335,$G3335),CSRFinput!$B:$E,4,0))),0,IF(AND(VLOOKUP(CONCATENATE($D3335,$G3335),CSRFinput!$B:$E,4,0)=0,OR(H3335=MappingTables!$C$34,H3335=MappingTables!$C$35)),1,VLOOKUP(CONCATENATE($D3335,$G3335),CSRFinput!$B:$E,4,0)))</f>
        <v>0.054776304963434752</v>
      </c>
      <c r="W3335" s="85">
        <f>IF(B3335="",0,+$T3335*$V3335)</f>
        <v>147.22627777327014</v>
      </c>
      <c r="X3335" s="85">
        <f>IF(B3335="",0,IF(OR(H3335=MappingTables!$C$34,H3335=MappingTables!$C$35),W3335,0))</f>
        <v>0</v>
      </c>
    </row>
    <row r="3336" spans="2:24" s="0" customFormat="0" ht="15">
      <c r="B3336" s="69">
        <v>15646987</v>
      </c>
      <c r="C3336" s="70" t="s">
        <v>983</v>
      </c>
      <c r="D3336" s="70" t="s">
        <v>1</v>
      </c>
      <c r="E3336" s="70" t="s">
        <v>1</v>
      </c>
      <c r="F3336" s="70"/>
      <c r="G3336" s="70" t="s">
        <v>61</v>
      </c>
      <c r="H3336" s="70" t="s">
        <v>178</v>
      </c>
      <c r="I3336" s="70" t="s">
        <v>220</v>
      </c>
      <c r="J3336" s="71">
        <f>IF(OR(I3336=0,I3336=""),"unrated",VLOOKUP(I3336,MappingTables!$B$19:$C$31,2,FALSE))</f>
        <v>1</v>
      </c>
      <c r="K3336" s="72">
        <v>254.9972251263538</v>
      </c>
      <c r="L3336" s="70">
        <v>0.060276641719533664</v>
      </c>
      <c r="M3336" s="71">
        <f>IF(L3336&lt;1,1,L3336)</f>
        <v>1</v>
      </c>
      <c r="N3336" s="70" t="s">
        <v>141</v>
      </c>
      <c r="O3336" s="71">
        <f>INDEX(DurClassMapping,MATCH(M3336,MappingTables!$D$4:$D$8,-1),1)</f>
        <v>1</v>
      </c>
      <c r="P3336" s="73">
        <f>IF(M3336=$A$1,1,$M3336-INDEX(MappingTables!$E$4:$E$8,MATCH(O3336,MappingTables!$B$4:$B$8,0)))</f>
        <v>1</v>
      </c>
      <c r="Q3336" s="71">
        <f>IF(B3336="",0,INDEX(ModelParameters!$D$6:$K$10,MATCH($O3336,ModelParameters!$B$6:$B$10,0),MATCH($J3336,ModelParameters!$D$5:$K$5,0)))</f>
        <v>0.011000000000000002</v>
      </c>
      <c r="R3336" s="71">
        <f>IF(B3336="",0,INDEX(ModelParameters!$D$13:$K$17,MATCH($O3336,ModelParameters!$B$13:$B$17,0),MATCH($J3336,ModelParameters!$D$5:$K$5,0)))</f>
        <v>0</v>
      </c>
      <c r="S3336" s="160">
        <f>IF(B3336="",0,MIN(IF($N3336="Other Bond TM",ModelParameters!$N$21,1)*(P3336*Q3336+R3336),1))</f>
        <v>0.011000000000000002</v>
      </c>
      <c r="T3336" s="85">
        <f>IF(B3336="",0,$S3336*$K3336)</f>
        <v>2.8049694763898924</v>
      </c>
      <c r="U3336" s="85">
        <f>IF(B3336="",0,IF(OR(H3336=MappingTables!$C$34,H3336=MappingTables!$C$35),T3336,0))</f>
        <v>0</v>
      </c>
      <c r="V3336" s="85">
        <f>IF(ISNA(IF(AND(VLOOKUP(CONCATENATE($D3336,$G3336),CSRFinput!$B:$E,4,0)=0,OR(H3336=MappingTables!$C$34,H3336=MappingTables!$C$35)),1,VLOOKUP(CONCATENATE($D3336,$G3336),CSRFinput!$B:$E,4,0))),0,IF(AND(VLOOKUP(CONCATENATE($D3336,$G3336),CSRFinput!$B:$E,4,0)=0,OR(H3336=MappingTables!$C$34,H3336=MappingTables!$C$35)),1,VLOOKUP(CONCATENATE($D3336,$G3336),CSRFinput!$B:$E,4,0)))</f>
        <v>0.054776304963434752</v>
      </c>
      <c r="W3336" s="85">
        <f>IF(B3336="",0,+$T3336*$V3336)</f>
        <v>0.15364586345185862</v>
      </c>
      <c r="X3336" s="85">
        <f>IF(B3336="",0,IF(OR(H3336=MappingTables!$C$34,H3336=MappingTables!$C$35),W3336,0))</f>
        <v>0</v>
      </c>
    </row>
    <row r="3337" spans="2:24" s="0" customFormat="0" ht="15">
      <c r="B3337" s="69">
        <v>4934205</v>
      </c>
      <c r="C3337" s="70" t="s">
        <v>2768</v>
      </c>
      <c r="D3337" s="70" t="s">
        <v>1</v>
      </c>
      <c r="E3337" s="70" t="s">
        <v>1</v>
      </c>
      <c r="F3337" s="70"/>
      <c r="G3337" s="70" t="s">
        <v>61</v>
      </c>
      <c r="H3337" s="70" t="s">
        <v>178</v>
      </c>
      <c r="I3337" s="70" t="s">
        <v>181</v>
      </c>
      <c r="J3337" s="71">
        <f>IF(OR(I3337=0,I3337=""),"unrated",VLOOKUP(I3337,MappingTables!$B$19:$C$31,2,FALSE))</f>
        <v>3</v>
      </c>
      <c r="K3337" s="72">
        <v>1570.5501306967848</v>
      </c>
      <c r="L3337" s="70">
        <v>2.889039519205352</v>
      </c>
      <c r="M3337" s="71">
        <f>IF(L3337&lt;1,1,L3337)</f>
        <v>2.889039519205352</v>
      </c>
      <c r="N3337" s="70" t="s">
        <v>141</v>
      </c>
      <c r="O3337" s="71">
        <f>INDEX(DurClassMapping,MATCH(M3337,MappingTables!$D$4:$D$8,-1),1)</f>
        <v>1</v>
      </c>
      <c r="P3337" s="73">
        <f>IF(M3337=$A$1,1,$M3337-INDEX(MappingTables!$E$4:$E$8,MATCH(O3337,MappingTables!$B$4:$B$8,0)))</f>
        <v>2.889039519205352</v>
      </c>
      <c r="Q3337" s="71">
        <f>IF(B3337="",0,INDEX(ModelParameters!$D$6:$K$10,MATCH($O3337,ModelParameters!$B$6:$B$10,0),MATCH($J3337,ModelParameters!$D$5:$K$5,0)))</f>
        <v>0.025</v>
      </c>
      <c r="R3337" s="71">
        <f>IF(B3337="",0,INDEX(ModelParameters!$D$13:$K$17,MATCH($O3337,ModelParameters!$B$13:$B$17,0),MATCH($J3337,ModelParameters!$D$5:$K$5,0)))</f>
        <v>0</v>
      </c>
      <c r="S3337" s="160">
        <f>IF(B3337="",0,MIN(IF($N3337="Other Bond TM",ModelParameters!$N$21,1)*(P3337*Q3337+R3337),1))</f>
        <v>0.072225987980133792</v>
      </c>
      <c r="T3337" s="85">
        <f>IF(B3337="",0,$S3337*$K3337)</f>
        <v>113.43453486190356</v>
      </c>
      <c r="U3337" s="85">
        <f>IF(B3337="",0,IF(OR(H3337=MappingTables!$C$34,H3337=MappingTables!$C$35),T3337,0))</f>
        <v>0</v>
      </c>
      <c r="V3337" s="85">
        <f>IF(ISNA(IF(AND(VLOOKUP(CONCATENATE($D3337,$G3337),CSRFinput!$B:$E,4,0)=0,OR(H3337=MappingTables!$C$34,H3337=MappingTables!$C$35)),1,VLOOKUP(CONCATENATE($D3337,$G3337),CSRFinput!$B:$E,4,0))),0,IF(AND(VLOOKUP(CONCATENATE($D3337,$G3337),CSRFinput!$B:$E,4,0)=0,OR(H3337=MappingTables!$C$34,H3337=MappingTables!$C$35)),1,VLOOKUP(CONCATENATE($D3337,$G3337),CSRFinput!$B:$E,4,0)))</f>
        <v>0.054776304963434752</v>
      </c>
      <c r="W3337" s="85">
        <f>IF(B3337="",0,+$T3337*$V3337)</f>
        <v>6.2135246749810008</v>
      </c>
      <c r="X3337" s="85">
        <f>IF(B3337="",0,IF(OR(H3337=MappingTables!$C$34,H3337=MappingTables!$C$35),W3337,0))</f>
        <v>0</v>
      </c>
    </row>
    <row r="3338" spans="2:24" s="0" customFormat="0" ht="15">
      <c r="B3338" s="69">
        <v>21329474</v>
      </c>
      <c r="C3338" s="70" t="s">
        <v>2811</v>
      </c>
      <c r="D3338" s="70" t="s">
        <v>1</v>
      </c>
      <c r="E3338" s="70" t="s">
        <v>1</v>
      </c>
      <c r="F3338" s="70"/>
      <c r="G3338" s="70" t="s">
        <v>61</v>
      </c>
      <c r="H3338" s="70" t="s">
        <v>178</v>
      </c>
      <c r="I3338" s="70" t="s">
        <v>181</v>
      </c>
      <c r="J3338" s="71">
        <f>IF(OR(I3338=0,I3338=""),"unrated",VLOOKUP(I3338,MappingTables!$B$19:$C$31,2,FALSE))</f>
        <v>3</v>
      </c>
      <c r="K3338" s="72">
        <v>7535.5888200186224</v>
      </c>
      <c r="L3338" s="70">
        <v>4.3840519011792288</v>
      </c>
      <c r="M3338" s="71">
        <f>IF(L3338&lt;1,1,L3338)</f>
        <v>4.3840519011792288</v>
      </c>
      <c r="N3338" s="70" t="s">
        <v>141</v>
      </c>
      <c r="O3338" s="71">
        <f>INDEX(DurClassMapping,MATCH(M3338,MappingTables!$D$4:$D$8,-1),1)</f>
        <v>1</v>
      </c>
      <c r="P3338" s="73">
        <f>IF(M3338=$A$1,1,$M3338-INDEX(MappingTables!$E$4:$E$8,MATCH(O3338,MappingTables!$B$4:$B$8,0)))</f>
        <v>4.3840519011792288</v>
      </c>
      <c r="Q3338" s="71">
        <f>IF(B3338="",0,INDEX(ModelParameters!$D$6:$K$10,MATCH($O3338,ModelParameters!$B$6:$B$10,0),MATCH($J3338,ModelParameters!$D$5:$K$5,0)))</f>
        <v>0.025</v>
      </c>
      <c r="R3338" s="71">
        <f>IF(B3338="",0,INDEX(ModelParameters!$D$13:$K$17,MATCH($O3338,ModelParameters!$B$13:$B$17,0),MATCH($J3338,ModelParameters!$D$5:$K$5,0)))</f>
        <v>0</v>
      </c>
      <c r="S3338" s="160">
        <f>IF(B3338="",0,MIN(IF($N3338="Other Bond TM",ModelParameters!$N$21,1)*(P3338*Q3338+R3338),1))</f>
        <v>0.10960129752948072</v>
      </c>
      <c r="T3338" s="85">
        <f>IF(B3338="",0,$S3338*$K3338)</f>
        <v>825.9103123226896</v>
      </c>
      <c r="U3338" s="85">
        <f>IF(B3338="",0,IF(OR(H3338=MappingTables!$C$34,H3338=MappingTables!$C$35),T3338,0))</f>
        <v>0</v>
      </c>
      <c r="V3338" s="85">
        <f>IF(ISNA(IF(AND(VLOOKUP(CONCATENATE($D3338,$G3338),CSRFinput!$B:$E,4,0)=0,OR(H3338=MappingTables!$C$34,H3338=MappingTables!$C$35)),1,VLOOKUP(CONCATENATE($D3338,$G3338),CSRFinput!$B:$E,4,0))),0,IF(AND(VLOOKUP(CONCATENATE($D3338,$G3338),CSRFinput!$B:$E,4,0)=0,OR(H3338=MappingTables!$C$34,H3338=MappingTables!$C$35)),1,VLOOKUP(CONCATENATE($D3338,$G3338),CSRFinput!$B:$E,4,0)))</f>
        <v>0.054776304963434752</v>
      </c>
      <c r="W3338" s="85">
        <f>IF(B3338="",0,+$T3338*$V3338)</f>
        <v>45.240315140233296</v>
      </c>
      <c r="X3338" s="85">
        <f>IF(B3338="",0,IF(OR(H3338=MappingTables!$C$34,H3338=MappingTables!$C$35),W3338,0))</f>
        <v>0</v>
      </c>
    </row>
    <row r="3339" spans="2:24" s="0" customFormat="0" ht="15">
      <c r="B3339" s="69">
        <v>20847807</v>
      </c>
      <c r="C3339" s="70" t="s">
        <v>2418</v>
      </c>
      <c r="D3339" s="70" t="s">
        <v>1</v>
      </c>
      <c r="E3339" s="70" t="s">
        <v>1</v>
      </c>
      <c r="F3339" s="70"/>
      <c r="G3339" s="70" t="s">
        <v>61</v>
      </c>
      <c r="H3339" s="70" t="s">
        <v>178</v>
      </c>
      <c r="I3339" s="70" t="s">
        <v>181</v>
      </c>
      <c r="J3339" s="71">
        <f>IF(OR(I3339=0,I3339=""),"unrated",VLOOKUP(I3339,MappingTables!$B$19:$C$31,2,FALSE))</f>
        <v>3</v>
      </c>
      <c r="K3339" s="72">
        <v>99.956675475462368</v>
      </c>
      <c r="L3339" s="70">
        <v>1.685567614203786</v>
      </c>
      <c r="M3339" s="71">
        <f>IF(L3339&lt;1,1,L3339)</f>
        <v>1.685567614203786</v>
      </c>
      <c r="N3339" s="70" t="s">
        <v>141</v>
      </c>
      <c r="O3339" s="71">
        <f>INDEX(DurClassMapping,MATCH(M3339,MappingTables!$D$4:$D$8,-1),1)</f>
        <v>1</v>
      </c>
      <c r="P3339" s="73">
        <f>IF(M3339=$A$1,1,$M3339-INDEX(MappingTables!$E$4:$E$8,MATCH(O3339,MappingTables!$B$4:$B$8,0)))</f>
        <v>1.685567614203786</v>
      </c>
      <c r="Q3339" s="71">
        <f>IF(B3339="",0,INDEX(ModelParameters!$D$6:$K$10,MATCH($O3339,ModelParameters!$B$6:$B$10,0),MATCH($J3339,ModelParameters!$D$5:$K$5,0)))</f>
        <v>0.025</v>
      </c>
      <c r="R3339" s="71">
        <f>IF(B3339="",0,INDEX(ModelParameters!$D$13:$K$17,MATCH($O3339,ModelParameters!$B$13:$B$17,0),MATCH($J3339,ModelParameters!$D$5:$K$5,0)))</f>
        <v>0</v>
      </c>
      <c r="S3339" s="160">
        <f>IF(B3339="",0,MIN(IF($N3339="Other Bond TM",ModelParameters!$N$21,1)*(P3339*Q3339+R3339),1))</f>
        <v>0.042139190355094656</v>
      </c>
      <c r="T3339" s="85">
        <f>IF(B3339="",0,$S3339*$K3339)</f>
        <v>4.2120933751229304</v>
      </c>
      <c r="U3339" s="85">
        <f>IF(B3339="",0,IF(OR(H3339=MappingTables!$C$34,H3339=MappingTables!$C$35),T3339,0))</f>
        <v>0</v>
      </c>
      <c r="V3339" s="85">
        <f>IF(ISNA(IF(AND(VLOOKUP(CONCATENATE($D3339,$G3339),CSRFinput!$B:$E,4,0)=0,OR(H3339=MappingTables!$C$34,H3339=MappingTables!$C$35)),1,VLOOKUP(CONCATENATE($D3339,$G3339),CSRFinput!$B:$E,4,0))),0,IF(AND(VLOOKUP(CONCATENATE($D3339,$G3339),CSRFinput!$B:$E,4,0)=0,OR(H3339=MappingTables!$C$34,H3339=MappingTables!$C$35)),1,VLOOKUP(CONCATENATE($D3339,$G3339),CSRFinput!$B:$E,4,0)))</f>
        <v>0.054776304963434752</v>
      </c>
      <c r="W3339" s="85">
        <f>IF(B3339="",0,+$T3339*$V3339)</f>
        <v>0.2307229112501968</v>
      </c>
      <c r="X3339" s="85">
        <f>IF(B3339="",0,IF(OR(H3339=MappingTables!$C$34,H3339=MappingTables!$C$35),W3339,0))</f>
        <v>0</v>
      </c>
    </row>
    <row r="3340" spans="2:24" s="0" customFormat="0" ht="15">
      <c r="B3340" s="69">
        <v>16963936</v>
      </c>
      <c r="C3340" s="70" t="s">
        <v>2431</v>
      </c>
      <c r="D3340" s="70" t="s">
        <v>1</v>
      </c>
      <c r="E3340" s="70" t="s">
        <v>1</v>
      </c>
      <c r="F3340" s="70"/>
      <c r="G3340" s="70" t="s">
        <v>61</v>
      </c>
      <c r="H3340" s="70" t="s">
        <v>178</v>
      </c>
      <c r="I3340" s="70" t="s">
        <v>188</v>
      </c>
      <c r="J3340" s="71">
        <f>IF(OR(I3340=0,I3340=""),"unrated",VLOOKUP(I3340,MappingTables!$B$19:$C$31,2,FALSE))</f>
        <v>2</v>
      </c>
      <c r="K3340" s="72">
        <v>117.95623095086634</v>
      </c>
      <c r="L3340" s="70">
        <v>0.39726402269776456</v>
      </c>
      <c r="M3340" s="71">
        <f>IF(L3340&lt;1,1,L3340)</f>
        <v>1</v>
      </c>
      <c r="N3340" s="70" t="s">
        <v>141</v>
      </c>
      <c r="O3340" s="71">
        <f>INDEX(DurClassMapping,MATCH(M3340,MappingTables!$D$4:$D$8,-1),1)</f>
        <v>1</v>
      </c>
      <c r="P3340" s="73">
        <f>IF(M3340=$A$1,1,$M3340-INDEX(MappingTables!$E$4:$E$8,MATCH(O3340,MappingTables!$B$4:$B$8,0)))</f>
        <v>1</v>
      </c>
      <c r="Q3340" s="71">
        <f>IF(B3340="",0,INDEX(ModelParameters!$D$6:$K$10,MATCH($O3340,ModelParameters!$B$6:$B$10,0),MATCH($J3340,ModelParameters!$D$5:$K$5,0)))</f>
        <v>0.013999999999999998</v>
      </c>
      <c r="R3340" s="71">
        <f>IF(B3340="",0,INDEX(ModelParameters!$D$13:$K$17,MATCH($O3340,ModelParameters!$B$13:$B$17,0),MATCH($J3340,ModelParameters!$D$5:$K$5,0)))</f>
        <v>0</v>
      </c>
      <c r="S3340" s="160">
        <f>IF(B3340="",0,MIN(IF($N3340="Other Bond TM",ModelParameters!$N$21,1)*(P3340*Q3340+R3340),1))</f>
        <v>0.013999999999999998</v>
      </c>
      <c r="T3340" s="85">
        <f>IF(B3340="",0,$S3340*$K3340)</f>
        <v>1.6513872333121286</v>
      </c>
      <c r="U3340" s="85">
        <f>IF(B3340="",0,IF(OR(H3340=MappingTables!$C$34,H3340=MappingTables!$C$35),T3340,0))</f>
        <v>0</v>
      </c>
      <c r="V3340" s="85">
        <f>IF(ISNA(IF(AND(VLOOKUP(CONCATENATE($D3340,$G3340),CSRFinput!$B:$E,4,0)=0,OR(H3340=MappingTables!$C$34,H3340=MappingTables!$C$35)),1,VLOOKUP(CONCATENATE($D3340,$G3340),CSRFinput!$B:$E,4,0))),0,IF(AND(VLOOKUP(CONCATENATE($D3340,$G3340),CSRFinput!$B:$E,4,0)=0,OR(H3340=MappingTables!$C$34,H3340=MappingTables!$C$35)),1,VLOOKUP(CONCATENATE($D3340,$G3340),CSRFinput!$B:$E,4,0)))</f>
        <v>0.054776304963434752</v>
      </c>
      <c r="W3340" s="85">
        <f>IF(B3340="",0,+$T3340*$V3340)</f>
        <v>0.090456890704627936</v>
      </c>
      <c r="X3340" s="85">
        <f>IF(B3340="",0,IF(OR(H3340=MappingTables!$C$34,H3340=MappingTables!$C$35),W3340,0))</f>
        <v>0</v>
      </c>
    </row>
    <row r="3341" spans="2:24" s="0" customFormat="0" ht="15">
      <c r="B3341" s="69" t="s">
        <v>784</v>
      </c>
      <c r="C3341" s="70" t="s">
        <v>785</v>
      </c>
      <c r="D3341" s="70" t="s">
        <v>1</v>
      </c>
      <c r="E3341" s="70" t="s">
        <v>1</v>
      </c>
      <c r="F3341" s="70"/>
      <c r="G3341" s="70" t="s">
        <v>61</v>
      </c>
      <c r="H3341" s="70" t="s">
        <v>178</v>
      </c>
      <c r="I3341" s="70" t="s">
        <v>216</v>
      </c>
      <c r="J3341" s="71">
        <f>IF(OR(I3341=0,I3341=""),"unrated",VLOOKUP(I3341,MappingTables!$B$19:$C$31,2,FALSE))</f>
        <v>0</v>
      </c>
      <c r="K3341" s="72">
        <v>157.41964757695346</v>
      </c>
      <c r="L3341" s="70">
        <v>0.43287970333159728</v>
      </c>
      <c r="M3341" s="71">
        <f>IF(L3341&lt;1,1,L3341)</f>
        <v>1</v>
      </c>
      <c r="N3341" s="70" t="s">
        <v>141</v>
      </c>
      <c r="O3341" s="71">
        <f>INDEX(DurClassMapping,MATCH(M3341,MappingTables!$D$4:$D$8,-1),1)</f>
        <v>1</v>
      </c>
      <c r="P3341" s="73">
        <f>IF(M3341=$A$1,1,$M3341-INDEX(MappingTables!$E$4:$E$8,MATCH(O3341,MappingTables!$B$4:$B$8,0)))</f>
        <v>1</v>
      </c>
      <c r="Q3341" s="71">
        <f>IF(B3341="",0,INDEX(ModelParameters!$D$6:$K$10,MATCH($O3341,ModelParameters!$B$6:$B$10,0),MATCH($J3341,ModelParameters!$D$5:$K$5,0)))</f>
        <v>0.0090000000000000016</v>
      </c>
      <c r="R3341" s="71">
        <f>IF(B3341="",0,INDEX(ModelParameters!$D$13:$K$17,MATCH($O3341,ModelParameters!$B$13:$B$17,0),MATCH($J3341,ModelParameters!$D$5:$K$5,0)))</f>
        <v>0</v>
      </c>
      <c r="S3341" s="160">
        <f>IF(B3341="",0,MIN(IF($N3341="Other Bond TM",ModelParameters!$N$21,1)*(P3341*Q3341+R3341),1))</f>
        <v>0.0090000000000000016</v>
      </c>
      <c r="T3341" s="85">
        <f>IF(B3341="",0,$S3341*$K3341)</f>
        <v>1.4167768281925812</v>
      </c>
      <c r="U3341" s="85">
        <f>IF(B3341="",0,IF(OR(H3341=MappingTables!$C$34,H3341=MappingTables!$C$35),T3341,0))</f>
        <v>0</v>
      </c>
      <c r="V3341" s="85">
        <f>IF(ISNA(IF(AND(VLOOKUP(CONCATENATE($D3341,$G3341),CSRFinput!$B:$E,4,0)=0,OR(H3341=MappingTables!$C$34,H3341=MappingTables!$C$35)),1,VLOOKUP(CONCATENATE($D3341,$G3341),CSRFinput!$B:$E,4,0))),0,IF(AND(VLOOKUP(CONCATENATE($D3341,$G3341),CSRFinput!$B:$E,4,0)=0,OR(H3341=MappingTables!$C$34,H3341=MappingTables!$C$35)),1,VLOOKUP(CONCATENATE($D3341,$G3341),CSRFinput!$B:$E,4,0)))</f>
        <v>0.054776304963434752</v>
      </c>
      <c r="W3341" s="85">
        <f>IF(B3341="",0,+$T3341*$V3341)</f>
        <v>0.077605799606204624</v>
      </c>
      <c r="X3341" s="85">
        <f>IF(B3341="",0,IF(OR(H3341=MappingTables!$C$34,H3341=MappingTables!$C$35),W3341,0))</f>
        <v>0</v>
      </c>
    </row>
    <row r="3342" spans="2:24" s="0" customFormat="0" ht="15">
      <c r="B3342" s="69">
        <v>14620691</v>
      </c>
      <c r="C3342" s="70" t="s">
        <v>2569</v>
      </c>
      <c r="D3342" s="70" t="s">
        <v>1</v>
      </c>
      <c r="E3342" s="70" t="s">
        <v>1</v>
      </c>
      <c r="F3342" s="70"/>
      <c r="G3342" s="70" t="s">
        <v>61</v>
      </c>
      <c r="H3342" s="70" t="s">
        <v>178</v>
      </c>
      <c r="I3342" s="70" t="s">
        <v>179</v>
      </c>
      <c r="J3342" s="71">
        <f>IF(OR(I3342=0,I3342=""),"unrated",VLOOKUP(I3342,MappingTables!$B$19:$C$31,2,FALSE))</f>
        <v>4</v>
      </c>
      <c r="K3342" s="72">
        <v>12437.455033990808</v>
      </c>
      <c r="L3342" s="70">
        <v>2.335667165785278</v>
      </c>
      <c r="M3342" s="71">
        <f>IF(L3342&lt;1,1,L3342)</f>
        <v>2.335667165785278</v>
      </c>
      <c r="N3342" s="70" t="s">
        <v>141</v>
      </c>
      <c r="O3342" s="71">
        <f>INDEX(DurClassMapping,MATCH(M3342,MappingTables!$D$4:$D$8,-1),1)</f>
        <v>1</v>
      </c>
      <c r="P3342" s="73">
        <f>IF(M3342=$A$1,1,$M3342-INDEX(MappingTables!$E$4:$E$8,MATCH(O3342,MappingTables!$B$4:$B$8,0)))</f>
        <v>2.335667165785278</v>
      </c>
      <c r="Q3342" s="71">
        <f>IF(B3342="",0,INDEX(ModelParameters!$D$6:$K$10,MATCH($O3342,ModelParameters!$B$6:$B$10,0),MATCH($J3342,ModelParameters!$D$5:$K$5,0)))</f>
        <v>0.045</v>
      </c>
      <c r="R3342" s="71">
        <f>IF(B3342="",0,INDEX(ModelParameters!$D$13:$K$17,MATCH($O3342,ModelParameters!$B$13:$B$17,0),MATCH($J3342,ModelParameters!$D$5:$K$5,0)))</f>
        <v>0</v>
      </c>
      <c r="S3342" s="160">
        <f>IF(B3342="",0,MIN(IF($N3342="Other Bond TM",ModelParameters!$N$21,1)*(P3342*Q3342+R3342),1))</f>
        <v>0.1051050224603375</v>
      </c>
      <c r="T3342" s="85">
        <f>IF(B3342="",0,$S3342*$K3342)</f>
        <v>1307.2389906970416</v>
      </c>
      <c r="U3342" s="85">
        <f>IF(B3342="",0,IF(OR(H3342=MappingTables!$C$34,H3342=MappingTables!$C$35),T3342,0))</f>
        <v>0</v>
      </c>
      <c r="V3342" s="85">
        <f>IF(ISNA(IF(AND(VLOOKUP(CONCATENATE($D3342,$G3342),CSRFinput!$B:$E,4,0)=0,OR(H3342=MappingTables!$C$34,H3342=MappingTables!$C$35)),1,VLOOKUP(CONCATENATE($D3342,$G3342),CSRFinput!$B:$E,4,0))),0,IF(AND(VLOOKUP(CONCATENATE($D3342,$G3342),CSRFinput!$B:$E,4,0)=0,OR(H3342=MappingTables!$C$34,H3342=MappingTables!$C$35)),1,VLOOKUP(CONCATENATE($D3342,$G3342),CSRFinput!$B:$E,4,0)))</f>
        <v>0.054776304963434752</v>
      </c>
      <c r="W3342" s="85">
        <f>IF(B3342="",0,+$T3342*$V3342)</f>
        <v>71.6057216145138</v>
      </c>
      <c r="X3342" s="85">
        <f>IF(B3342="",0,IF(OR(H3342=MappingTables!$C$34,H3342=MappingTables!$C$35),W3342,0))</f>
        <v>0</v>
      </c>
    </row>
    <row r="3343" spans="2:24" s="0" customFormat="0" ht="15">
      <c r="B3343" s="69" t="s">
        <v>2682</v>
      </c>
      <c r="C3343" s="70" t="s">
        <v>2683</v>
      </c>
      <c r="D3343" s="70" t="s">
        <v>1</v>
      </c>
      <c r="E3343" s="70" t="s">
        <v>1</v>
      </c>
      <c r="F3343" s="70"/>
      <c r="G3343" s="70" t="s">
        <v>61</v>
      </c>
      <c r="H3343" s="70" t="s">
        <v>178</v>
      </c>
      <c r="I3343" s="70" t="s">
        <v>198</v>
      </c>
      <c r="J3343" s="71" t="str">
        <f>IF(OR(I3343=0,I3343=""),"unrated",VLOOKUP(I3343,MappingTables!$B$19:$C$31,2,FALSE))</f>
        <v>unrated</v>
      </c>
      <c r="K3343" s="72">
        <v>131.31597042682028</v>
      </c>
      <c r="L3343" s="70">
        <v>4.7578466122562944</v>
      </c>
      <c r="M3343" s="71">
        <f>IF(L3343&lt;1,1,L3343)</f>
        <v>4.7578466122562944</v>
      </c>
      <c r="N3343" s="70" t="s">
        <v>141</v>
      </c>
      <c r="O3343" s="71">
        <f>INDEX(DurClassMapping,MATCH(M3343,MappingTables!$D$4:$D$8,-1),1)</f>
        <v>1</v>
      </c>
      <c r="P3343" s="73">
        <f>IF(M3343=$A$1,1,$M3343-INDEX(MappingTables!$E$4:$E$8,MATCH(O3343,MappingTables!$B$4:$B$8,0)))</f>
        <v>4.7578466122562944</v>
      </c>
      <c r="Q3343" s="71">
        <f>IF(B3343="",0,INDEX(ModelParameters!$D$6:$K$10,MATCH($O3343,ModelParameters!$B$6:$B$10,0),MATCH($J3343,ModelParameters!$D$5:$K$5,0)))</f>
        <v>0.03</v>
      </c>
      <c r="R3343" s="71">
        <f>IF(B3343="",0,INDEX(ModelParameters!$D$13:$K$17,MATCH($O3343,ModelParameters!$B$13:$B$17,0),MATCH($J3343,ModelParameters!$D$5:$K$5,0)))</f>
        <v>0</v>
      </c>
      <c r="S3343" s="160">
        <f>IF(B3343="",0,MIN(IF($N3343="Other Bond TM",ModelParameters!$N$21,1)*(P3343*Q3343+R3343),1))</f>
        <v>0.14273539836768884</v>
      </c>
      <c r="T3343" s="85">
        <f>IF(B3343="",0,$S3343*$K3343)</f>
        <v>18.74343735091184</v>
      </c>
      <c r="U3343" s="85">
        <f>IF(B3343="",0,IF(OR(H3343=MappingTables!$C$34,H3343=MappingTables!$C$35),T3343,0))</f>
        <v>0</v>
      </c>
      <c r="V3343" s="85">
        <f>IF(ISNA(IF(AND(VLOOKUP(CONCATENATE($D3343,$G3343),CSRFinput!$B:$E,4,0)=0,OR(H3343=MappingTables!$C$34,H3343=MappingTables!$C$35)),1,VLOOKUP(CONCATENATE($D3343,$G3343),CSRFinput!$B:$E,4,0))),0,IF(AND(VLOOKUP(CONCATENATE($D3343,$G3343),CSRFinput!$B:$E,4,0)=0,OR(H3343=MappingTables!$C$34,H3343=MappingTables!$C$35)),1,VLOOKUP(CONCATENATE($D3343,$G3343),CSRFinput!$B:$E,4,0)))</f>
        <v>0.054776304963434752</v>
      </c>
      <c r="W3343" s="85">
        <f>IF(B3343="",0,+$T3343*$V3343)</f>
        <v>1.0266962403965804</v>
      </c>
      <c r="X3343" s="85">
        <f>IF(B3343="",0,IF(OR(H3343=MappingTables!$C$34,H3343=MappingTables!$C$35),W3343,0))</f>
        <v>0</v>
      </c>
    </row>
    <row r="3344" spans="2:24" s="0" customFormat="0" ht="15">
      <c r="B3344" s="69">
        <v>24432662</v>
      </c>
      <c r="C3344" s="70" t="s">
        <v>2680</v>
      </c>
      <c r="D3344" s="70" t="s">
        <v>1</v>
      </c>
      <c r="E3344" s="70" t="s">
        <v>1</v>
      </c>
      <c r="F3344" s="70"/>
      <c r="G3344" s="70" t="s">
        <v>61</v>
      </c>
      <c r="H3344" s="70" t="s">
        <v>178</v>
      </c>
      <c r="I3344" s="70" t="s">
        <v>184</v>
      </c>
      <c r="J3344" s="71">
        <f>IF(OR(I3344=0,I3344=""),"unrated",VLOOKUP(I3344,MappingTables!$B$19:$C$31,2,FALSE))</f>
        <v>5</v>
      </c>
      <c r="K3344" s="72">
        <v>6163.552252007744</v>
      </c>
      <c r="L3344" s="70">
        <v>2.134488017126892</v>
      </c>
      <c r="M3344" s="71">
        <f>IF(L3344&lt;1,1,L3344)</f>
        <v>2.134488017126892</v>
      </c>
      <c r="N3344" s="70" t="s">
        <v>141</v>
      </c>
      <c r="O3344" s="71">
        <f>INDEX(DurClassMapping,MATCH(M3344,MappingTables!$D$4:$D$8,-1),1)</f>
        <v>1</v>
      </c>
      <c r="P3344" s="73">
        <f>IF(M3344=$A$1,1,$M3344-INDEX(MappingTables!$E$4:$E$8,MATCH(O3344,MappingTables!$B$4:$B$8,0)))</f>
        <v>2.134488017126892</v>
      </c>
      <c r="Q3344" s="71">
        <f>IF(B3344="",0,INDEX(ModelParameters!$D$6:$K$10,MATCH($O3344,ModelParameters!$B$6:$B$10,0),MATCH($J3344,ModelParameters!$D$5:$K$5,0)))</f>
        <v>0.075</v>
      </c>
      <c r="R3344" s="71">
        <f>IF(B3344="",0,INDEX(ModelParameters!$D$13:$K$17,MATCH($O3344,ModelParameters!$B$13:$B$17,0),MATCH($J3344,ModelParameters!$D$5:$K$5,0)))</f>
        <v>0</v>
      </c>
      <c r="S3344" s="160">
        <f>IF(B3344="",0,MIN(IF($N3344="Other Bond TM",ModelParameters!$N$21,1)*(P3344*Q3344+R3344),1))</f>
        <v>0.1600866012845169</v>
      </c>
      <c r="T3344" s="85">
        <f>IF(B3344="",0,$S3344*$K3344)</f>
        <v>986.70213186344992</v>
      </c>
      <c r="U3344" s="85">
        <f>IF(B3344="",0,IF(OR(H3344=MappingTables!$C$34,H3344=MappingTables!$C$35),T3344,0))</f>
        <v>0</v>
      </c>
      <c r="V3344" s="85">
        <f>IF(ISNA(IF(AND(VLOOKUP(CONCATENATE($D3344,$G3344),CSRFinput!$B:$E,4,0)=0,OR(H3344=MappingTables!$C$34,H3344=MappingTables!$C$35)),1,VLOOKUP(CONCATENATE($D3344,$G3344),CSRFinput!$B:$E,4,0))),0,IF(AND(VLOOKUP(CONCATENATE($D3344,$G3344),CSRFinput!$B:$E,4,0)=0,OR(H3344=MappingTables!$C$34,H3344=MappingTables!$C$35)),1,VLOOKUP(CONCATENATE($D3344,$G3344),CSRFinput!$B:$E,4,0)))</f>
        <v>0.054776304963434752</v>
      </c>
      <c r="W3344" s="85">
        <f>IF(B3344="",0,+$T3344*$V3344)</f>
        <v>54.047896883023544</v>
      </c>
      <c r="X3344" s="85">
        <f>IF(B3344="",0,IF(OR(H3344=MappingTables!$C$34,H3344=MappingTables!$C$35),W3344,0))</f>
        <v>0</v>
      </c>
    </row>
    <row r="3345" spans="2:24" s="0" customFormat="0" ht="15">
      <c r="B3345" s="69" t="s">
        <v>1659</v>
      </c>
      <c r="C3345" s="70" t="s">
        <v>1660</v>
      </c>
      <c r="D3345" s="70" t="s">
        <v>1</v>
      </c>
      <c r="E3345" s="70" t="s">
        <v>1</v>
      </c>
      <c r="F3345" s="70"/>
      <c r="G3345" s="70" t="s">
        <v>61</v>
      </c>
      <c r="H3345" s="70" t="s">
        <v>178</v>
      </c>
      <c r="I3345" s="70" t="s">
        <v>188</v>
      </c>
      <c r="J3345" s="71">
        <f>IF(OR(I3345=0,I3345=""),"unrated",VLOOKUP(I3345,MappingTables!$B$19:$C$31,2,FALSE))</f>
        <v>2</v>
      </c>
      <c r="K3345" s="72">
        <v>346.89733245554424</v>
      </c>
      <c r="L3345" s="70">
        <v>1.4408837790776598</v>
      </c>
      <c r="M3345" s="71">
        <f>IF(L3345&lt;1,1,L3345)</f>
        <v>1.4408837790776598</v>
      </c>
      <c r="N3345" s="70" t="s">
        <v>141</v>
      </c>
      <c r="O3345" s="71">
        <f>INDEX(DurClassMapping,MATCH(M3345,MappingTables!$D$4:$D$8,-1),1)</f>
        <v>1</v>
      </c>
      <c r="P3345" s="73">
        <f>IF(M3345=$A$1,1,$M3345-INDEX(MappingTables!$E$4:$E$8,MATCH(O3345,MappingTables!$B$4:$B$8,0)))</f>
        <v>1.4408837790776598</v>
      </c>
      <c r="Q3345" s="71">
        <f>IF(B3345="",0,INDEX(ModelParameters!$D$6:$K$10,MATCH($O3345,ModelParameters!$B$6:$B$10,0),MATCH($J3345,ModelParameters!$D$5:$K$5,0)))</f>
        <v>0.013999999999999998</v>
      </c>
      <c r="R3345" s="71">
        <f>IF(B3345="",0,INDEX(ModelParameters!$D$13:$K$17,MATCH($O3345,ModelParameters!$B$13:$B$17,0),MATCH($J3345,ModelParameters!$D$5:$K$5,0)))</f>
        <v>0</v>
      </c>
      <c r="S3345" s="160">
        <f>IF(B3345="",0,MIN(IF($N3345="Other Bond TM",ModelParameters!$N$21,1)*(P3345*Q3345+R3345),1))</f>
        <v>0.020172372907087236</v>
      </c>
      <c r="T3345" s="85">
        <f>IF(B3345="",0,$S3345*$K3345)</f>
        <v>6.9977423507670544</v>
      </c>
      <c r="U3345" s="85">
        <f>IF(B3345="",0,IF(OR(H3345=MappingTables!$C$34,H3345=MappingTables!$C$35),T3345,0))</f>
        <v>0</v>
      </c>
      <c r="V3345" s="85">
        <f>IF(ISNA(IF(AND(VLOOKUP(CONCATENATE($D3345,$G3345),CSRFinput!$B:$E,4,0)=0,OR(H3345=MappingTables!$C$34,H3345=MappingTables!$C$35)),1,VLOOKUP(CONCATENATE($D3345,$G3345),CSRFinput!$B:$E,4,0))),0,IF(AND(VLOOKUP(CONCATENATE($D3345,$G3345),CSRFinput!$B:$E,4,0)=0,OR(H3345=MappingTables!$C$34,H3345=MappingTables!$C$35)),1,VLOOKUP(CONCATENATE($D3345,$G3345),CSRFinput!$B:$E,4,0)))</f>
        <v>0.054776304963434752</v>
      </c>
      <c r="W3345" s="85">
        <f>IF(B3345="",0,+$T3345*$V3345)</f>
        <v>0.38331046906115896</v>
      </c>
      <c r="X3345" s="85">
        <f>IF(B3345="",0,IF(OR(H3345=MappingTables!$C$34,H3345=MappingTables!$C$35),W3345,0))</f>
        <v>0</v>
      </c>
    </row>
    <row r="3346" spans="2:24" s="0" customFormat="0" ht="15">
      <c r="B3346" s="69">
        <v>23264059</v>
      </c>
      <c r="C3346" s="70" t="s">
        <v>1228</v>
      </c>
      <c r="D3346" s="70" t="s">
        <v>1</v>
      </c>
      <c r="E3346" s="70" t="s">
        <v>1</v>
      </c>
      <c r="F3346" s="70"/>
      <c r="G3346" s="70" t="s">
        <v>61</v>
      </c>
      <c r="H3346" s="70" t="s">
        <v>178</v>
      </c>
      <c r="I3346" s="70" t="s">
        <v>220</v>
      </c>
      <c r="J3346" s="71">
        <f>IF(OR(I3346=0,I3346=""),"unrated",VLOOKUP(I3346,MappingTables!$B$19:$C$31,2,FALSE))</f>
        <v>1</v>
      </c>
      <c r="K3346" s="72">
        <v>4399.7124221971536</v>
      </c>
      <c r="L3346" s="70">
        <v>0.15068825568425198</v>
      </c>
      <c r="M3346" s="71">
        <f>IF(L3346&lt;1,1,L3346)</f>
        <v>1</v>
      </c>
      <c r="N3346" s="70" t="s">
        <v>141</v>
      </c>
      <c r="O3346" s="71">
        <f>INDEX(DurClassMapping,MATCH(M3346,MappingTables!$D$4:$D$8,-1),1)</f>
        <v>1</v>
      </c>
      <c r="P3346" s="73">
        <f>IF(M3346=$A$1,1,$M3346-INDEX(MappingTables!$E$4:$E$8,MATCH(O3346,MappingTables!$B$4:$B$8,0)))</f>
        <v>1</v>
      </c>
      <c r="Q3346" s="71">
        <f>IF(B3346="",0,INDEX(ModelParameters!$D$6:$K$10,MATCH($O3346,ModelParameters!$B$6:$B$10,0),MATCH($J3346,ModelParameters!$D$5:$K$5,0)))</f>
        <v>0.011000000000000002</v>
      </c>
      <c r="R3346" s="71">
        <f>IF(B3346="",0,INDEX(ModelParameters!$D$13:$K$17,MATCH($O3346,ModelParameters!$B$13:$B$17,0),MATCH($J3346,ModelParameters!$D$5:$K$5,0)))</f>
        <v>0</v>
      </c>
      <c r="S3346" s="160">
        <f>IF(B3346="",0,MIN(IF($N3346="Other Bond TM",ModelParameters!$N$21,1)*(P3346*Q3346+R3346),1))</f>
        <v>0.011000000000000002</v>
      </c>
      <c r="T3346" s="85">
        <f>IF(B3346="",0,$S3346*$K3346)</f>
        <v>48.396836644168696</v>
      </c>
      <c r="U3346" s="85">
        <f>IF(B3346="",0,IF(OR(H3346=MappingTables!$C$34,H3346=MappingTables!$C$35),T3346,0))</f>
        <v>0</v>
      </c>
      <c r="V3346" s="85">
        <f>IF(ISNA(IF(AND(VLOOKUP(CONCATENATE($D3346,$G3346),CSRFinput!$B:$E,4,0)=0,OR(H3346=MappingTables!$C$34,H3346=MappingTables!$C$35)),1,VLOOKUP(CONCATENATE($D3346,$G3346),CSRFinput!$B:$E,4,0))),0,IF(AND(VLOOKUP(CONCATENATE($D3346,$G3346),CSRFinput!$B:$E,4,0)=0,OR(H3346=MappingTables!$C$34,H3346=MappingTables!$C$35)),1,VLOOKUP(CONCATENATE($D3346,$G3346),CSRFinput!$B:$E,4,0)))</f>
        <v>0.054776304963434752</v>
      </c>
      <c r="W3346" s="85">
        <f>IF(B3346="",0,+$T3346*$V3346)</f>
        <v>2.6509998832865188</v>
      </c>
      <c r="X3346" s="85">
        <f>IF(B3346="",0,IF(OR(H3346=MappingTables!$C$34,H3346=MappingTables!$C$35),W3346,0))</f>
        <v>0</v>
      </c>
    </row>
    <row r="3347" spans="2:24" s="0" customFormat="0" ht="15">
      <c r="B3347" s="69">
        <v>15929001</v>
      </c>
      <c r="C3347" s="70" t="s">
        <v>1722</v>
      </c>
      <c r="D3347" s="70" t="s">
        <v>1</v>
      </c>
      <c r="E3347" s="70" t="s">
        <v>1</v>
      </c>
      <c r="F3347" s="70"/>
      <c r="G3347" s="70" t="s">
        <v>61</v>
      </c>
      <c r="H3347" s="70" t="s">
        <v>178</v>
      </c>
      <c r="I3347" s="70" t="s">
        <v>188</v>
      </c>
      <c r="J3347" s="71">
        <f>IF(OR(I3347=0,I3347=""),"unrated",VLOOKUP(I3347,MappingTables!$B$19:$C$31,2,FALSE))</f>
        <v>2</v>
      </c>
      <c r="K3347" s="72">
        <v>1129.758173894601</v>
      </c>
      <c r="L3347" s="70">
        <v>0.098631776466414688</v>
      </c>
      <c r="M3347" s="71">
        <f>IF(L3347&lt;1,1,L3347)</f>
        <v>1</v>
      </c>
      <c r="N3347" s="70" t="s">
        <v>141</v>
      </c>
      <c r="O3347" s="71">
        <f>INDEX(DurClassMapping,MATCH(M3347,MappingTables!$D$4:$D$8,-1),1)</f>
        <v>1</v>
      </c>
      <c r="P3347" s="73">
        <f>IF(M3347=$A$1,1,$M3347-INDEX(MappingTables!$E$4:$E$8,MATCH(O3347,MappingTables!$B$4:$B$8,0)))</f>
        <v>1</v>
      </c>
      <c r="Q3347" s="71">
        <f>IF(B3347="",0,INDEX(ModelParameters!$D$6:$K$10,MATCH($O3347,ModelParameters!$B$6:$B$10,0),MATCH($J3347,ModelParameters!$D$5:$K$5,0)))</f>
        <v>0.013999999999999998</v>
      </c>
      <c r="R3347" s="71">
        <f>IF(B3347="",0,INDEX(ModelParameters!$D$13:$K$17,MATCH($O3347,ModelParameters!$B$13:$B$17,0),MATCH($J3347,ModelParameters!$D$5:$K$5,0)))</f>
        <v>0</v>
      </c>
      <c r="S3347" s="160">
        <f>IF(B3347="",0,MIN(IF($N3347="Other Bond TM",ModelParameters!$N$21,1)*(P3347*Q3347+R3347),1))</f>
        <v>0.013999999999999998</v>
      </c>
      <c r="T3347" s="85">
        <f>IF(B3347="",0,$S3347*$K3347)</f>
        <v>15.816614434524412</v>
      </c>
      <c r="U3347" s="85">
        <f>IF(B3347="",0,IF(OR(H3347=MappingTables!$C$34,H3347=MappingTables!$C$35),T3347,0))</f>
        <v>0</v>
      </c>
      <c r="V3347" s="85">
        <f>IF(ISNA(IF(AND(VLOOKUP(CONCATENATE($D3347,$G3347),CSRFinput!$B:$E,4,0)=0,OR(H3347=MappingTables!$C$34,H3347=MappingTables!$C$35)),1,VLOOKUP(CONCATENATE($D3347,$G3347),CSRFinput!$B:$E,4,0))),0,IF(AND(VLOOKUP(CONCATENATE($D3347,$G3347),CSRFinput!$B:$E,4,0)=0,OR(H3347=MappingTables!$C$34,H3347=MappingTables!$C$35)),1,VLOOKUP(CONCATENATE($D3347,$G3347),CSRFinput!$B:$E,4,0)))</f>
        <v>0.054776304963434752</v>
      </c>
      <c r="W3347" s="85">
        <f>IF(B3347="",0,+$T3347*$V3347)</f>
        <v>0.86637569575457328</v>
      </c>
      <c r="X3347" s="85">
        <f>IF(B3347="",0,IF(OR(H3347=MappingTables!$C$34,H3347=MappingTables!$C$35),W3347,0))</f>
        <v>0</v>
      </c>
    </row>
    <row r="3348" spans="2:24" s="0" customFormat="0" ht="15">
      <c r="B3348" s="69">
        <v>22554127</v>
      </c>
      <c r="C3348" s="70" t="s">
        <v>1406</v>
      </c>
      <c r="D3348" s="70" t="s">
        <v>1</v>
      </c>
      <c r="E3348" s="70" t="s">
        <v>1</v>
      </c>
      <c r="F3348" s="70"/>
      <c r="G3348" s="70" t="s">
        <v>61</v>
      </c>
      <c r="H3348" s="70" t="s">
        <v>178</v>
      </c>
      <c r="I3348" s="70" t="s">
        <v>188</v>
      </c>
      <c r="J3348" s="71">
        <f>IF(OR(I3348=0,I3348=""),"unrated",VLOOKUP(I3348,MappingTables!$B$19:$C$31,2,FALSE))</f>
        <v>2</v>
      </c>
      <c r="K3348" s="72">
        <v>296.1247022414126</v>
      </c>
      <c r="L3348" s="70">
        <v>0.16164220827310902</v>
      </c>
      <c r="M3348" s="71">
        <f>IF(L3348&lt;1,1,L3348)</f>
        <v>1</v>
      </c>
      <c r="N3348" s="70" t="s">
        <v>141</v>
      </c>
      <c r="O3348" s="71">
        <f>INDEX(DurClassMapping,MATCH(M3348,MappingTables!$D$4:$D$8,-1),1)</f>
        <v>1</v>
      </c>
      <c r="P3348" s="73">
        <f>IF(M3348=$A$1,1,$M3348-INDEX(MappingTables!$E$4:$E$8,MATCH(O3348,MappingTables!$B$4:$B$8,0)))</f>
        <v>1</v>
      </c>
      <c r="Q3348" s="71">
        <f>IF(B3348="",0,INDEX(ModelParameters!$D$6:$K$10,MATCH($O3348,ModelParameters!$B$6:$B$10,0),MATCH($J3348,ModelParameters!$D$5:$K$5,0)))</f>
        <v>0.013999999999999998</v>
      </c>
      <c r="R3348" s="71">
        <f>IF(B3348="",0,INDEX(ModelParameters!$D$13:$K$17,MATCH($O3348,ModelParameters!$B$13:$B$17,0),MATCH($J3348,ModelParameters!$D$5:$K$5,0)))</f>
        <v>0</v>
      </c>
      <c r="S3348" s="160">
        <f>IF(B3348="",0,MIN(IF($N3348="Other Bond TM",ModelParameters!$N$21,1)*(P3348*Q3348+R3348),1))</f>
        <v>0.013999999999999998</v>
      </c>
      <c r="T3348" s="85">
        <f>IF(B3348="",0,$S3348*$K3348)</f>
        <v>4.1457458313797752</v>
      </c>
      <c r="U3348" s="85">
        <f>IF(B3348="",0,IF(OR(H3348=MappingTables!$C$34,H3348=MappingTables!$C$35),T3348,0))</f>
        <v>0</v>
      </c>
      <c r="V3348" s="85">
        <f>IF(ISNA(IF(AND(VLOOKUP(CONCATENATE($D3348,$G3348),CSRFinput!$B:$E,4,0)=0,OR(H3348=MappingTables!$C$34,H3348=MappingTables!$C$35)),1,VLOOKUP(CONCATENATE($D3348,$G3348),CSRFinput!$B:$E,4,0))),0,IF(AND(VLOOKUP(CONCATENATE($D3348,$G3348),CSRFinput!$B:$E,4,0)=0,OR(H3348=MappingTables!$C$34,H3348=MappingTables!$C$35)),1,VLOOKUP(CONCATENATE($D3348,$G3348),CSRFinput!$B:$E,4,0)))</f>
        <v>0.054776304963434752</v>
      </c>
      <c r="W3348" s="85">
        <f>IF(B3348="",0,+$T3348*$V3348)</f>
        <v>0.22708863796054692</v>
      </c>
      <c r="X3348" s="85">
        <f>IF(B3348="",0,IF(OR(H3348=MappingTables!$C$34,H3348=MappingTables!$C$35),W3348,0))</f>
        <v>0</v>
      </c>
    </row>
    <row r="3349" spans="2:24" s="0" customFormat="0" ht="15">
      <c r="B3349" s="69">
        <v>12246861</v>
      </c>
      <c r="C3349" s="70" t="s">
        <v>2107</v>
      </c>
      <c r="D3349" s="70" t="s">
        <v>1</v>
      </c>
      <c r="E3349" s="70" t="s">
        <v>1</v>
      </c>
      <c r="F3349" s="70"/>
      <c r="G3349" s="70" t="s">
        <v>61</v>
      </c>
      <c r="H3349" s="70" t="s">
        <v>178</v>
      </c>
      <c r="I3349" s="70" t="s">
        <v>181</v>
      </c>
      <c r="J3349" s="71">
        <f>IF(OR(I3349=0,I3349=""),"unrated",VLOOKUP(I3349,MappingTables!$B$19:$C$31,2,FALSE))</f>
        <v>3</v>
      </c>
      <c r="K3349" s="72">
        <v>562.29433148858176</v>
      </c>
      <c r="L3349" s="70">
        <v>0.50182216217221744</v>
      </c>
      <c r="M3349" s="71">
        <f>IF(L3349&lt;1,1,L3349)</f>
        <v>1</v>
      </c>
      <c r="N3349" s="70" t="s">
        <v>141</v>
      </c>
      <c r="O3349" s="71">
        <f>INDEX(DurClassMapping,MATCH(M3349,MappingTables!$D$4:$D$8,-1),1)</f>
        <v>1</v>
      </c>
      <c r="P3349" s="73">
        <f>IF(M3349=$A$1,1,$M3349-INDEX(MappingTables!$E$4:$E$8,MATCH(O3349,MappingTables!$B$4:$B$8,0)))</f>
        <v>1</v>
      </c>
      <c r="Q3349" s="71">
        <f>IF(B3349="",0,INDEX(ModelParameters!$D$6:$K$10,MATCH($O3349,ModelParameters!$B$6:$B$10,0),MATCH($J3349,ModelParameters!$D$5:$K$5,0)))</f>
        <v>0.025</v>
      </c>
      <c r="R3349" s="71">
        <f>IF(B3349="",0,INDEX(ModelParameters!$D$13:$K$17,MATCH($O3349,ModelParameters!$B$13:$B$17,0),MATCH($J3349,ModelParameters!$D$5:$K$5,0)))</f>
        <v>0</v>
      </c>
      <c r="S3349" s="160">
        <f>IF(B3349="",0,MIN(IF($N3349="Other Bond TM",ModelParameters!$N$21,1)*(P3349*Q3349+R3349),1))</f>
        <v>0.025</v>
      </c>
      <c r="T3349" s="85">
        <f>IF(B3349="",0,$S3349*$K3349)</f>
        <v>14.057358287214544</v>
      </c>
      <c r="U3349" s="85">
        <f>IF(B3349="",0,IF(OR(H3349=MappingTables!$C$34,H3349=MappingTables!$C$35),T3349,0))</f>
        <v>0</v>
      </c>
      <c r="V3349" s="85">
        <f>IF(ISNA(IF(AND(VLOOKUP(CONCATENATE($D3349,$G3349),CSRFinput!$B:$E,4,0)=0,OR(H3349=MappingTables!$C$34,H3349=MappingTables!$C$35)),1,VLOOKUP(CONCATENATE($D3349,$G3349),CSRFinput!$B:$E,4,0))),0,IF(AND(VLOOKUP(CONCATENATE($D3349,$G3349),CSRFinput!$B:$E,4,0)=0,OR(H3349=MappingTables!$C$34,H3349=MappingTables!$C$35)),1,VLOOKUP(CONCATENATE($D3349,$G3349),CSRFinput!$B:$E,4,0)))</f>
        <v>0.054776304963434752</v>
      </c>
      <c r="W3349" s="85">
        <f>IF(B3349="",0,+$T3349*$V3349)</f>
        <v>0.77001014452073072</v>
      </c>
      <c r="X3349" s="85">
        <f>IF(B3349="",0,IF(OR(H3349=MappingTables!$C$34,H3349=MappingTables!$C$35),W3349,0))</f>
        <v>0</v>
      </c>
    </row>
    <row r="3350" spans="2:24" s="0" customFormat="0" ht="15">
      <c r="B3350" s="69">
        <v>19612116</v>
      </c>
      <c r="C3350" s="70" t="s">
        <v>2812</v>
      </c>
      <c r="D3350" s="70" t="s">
        <v>1</v>
      </c>
      <c r="E3350" s="70" t="s">
        <v>1</v>
      </c>
      <c r="F3350" s="70"/>
      <c r="G3350" s="70" t="s">
        <v>61</v>
      </c>
      <c r="H3350" s="70" t="s">
        <v>178</v>
      </c>
      <c r="I3350" s="70" t="s">
        <v>184</v>
      </c>
      <c r="J3350" s="71">
        <f>IF(OR(I3350=0,I3350=""),"unrated",VLOOKUP(I3350,MappingTables!$B$19:$C$31,2,FALSE))</f>
        <v>5</v>
      </c>
      <c r="K3350" s="72">
        <v>59.76245150892512</v>
      </c>
      <c r="L3350" s="70">
        <v>2.184252860731082</v>
      </c>
      <c r="M3350" s="71">
        <f>IF(L3350&lt;1,1,L3350)</f>
        <v>2.184252860731082</v>
      </c>
      <c r="N3350" s="70" t="s">
        <v>141</v>
      </c>
      <c r="O3350" s="71">
        <f>INDEX(DurClassMapping,MATCH(M3350,MappingTables!$D$4:$D$8,-1),1)</f>
        <v>1</v>
      </c>
      <c r="P3350" s="73">
        <f>IF(M3350=$A$1,1,$M3350-INDEX(MappingTables!$E$4:$E$8,MATCH(O3350,MappingTables!$B$4:$B$8,0)))</f>
        <v>2.184252860731082</v>
      </c>
      <c r="Q3350" s="71">
        <f>IF(B3350="",0,INDEX(ModelParameters!$D$6:$K$10,MATCH($O3350,ModelParameters!$B$6:$B$10,0),MATCH($J3350,ModelParameters!$D$5:$K$5,0)))</f>
        <v>0.075</v>
      </c>
      <c r="R3350" s="71">
        <f>IF(B3350="",0,INDEX(ModelParameters!$D$13:$K$17,MATCH($O3350,ModelParameters!$B$13:$B$17,0),MATCH($J3350,ModelParameters!$D$5:$K$5,0)))</f>
        <v>0</v>
      </c>
      <c r="S3350" s="160">
        <f>IF(B3350="",0,MIN(IF($N3350="Other Bond TM",ModelParameters!$N$21,1)*(P3350*Q3350+R3350),1))</f>
        <v>0.16381896455483114</v>
      </c>
      <c r="T3350" s="85">
        <f>IF(B3350="",0,$S3350*$K3350)</f>
        <v>9.7902229254504192</v>
      </c>
      <c r="U3350" s="85">
        <f>IF(B3350="",0,IF(OR(H3350=MappingTables!$C$34,H3350=MappingTables!$C$35),T3350,0))</f>
        <v>0</v>
      </c>
      <c r="V3350" s="85">
        <f>IF(ISNA(IF(AND(VLOOKUP(CONCATENATE($D3350,$G3350),CSRFinput!$B:$E,4,0)=0,OR(H3350=MappingTables!$C$34,H3350=MappingTables!$C$35)),1,VLOOKUP(CONCATENATE($D3350,$G3350),CSRFinput!$B:$E,4,0))),0,IF(AND(VLOOKUP(CONCATENATE($D3350,$G3350),CSRFinput!$B:$E,4,0)=0,OR(H3350=MappingTables!$C$34,H3350=MappingTables!$C$35)),1,VLOOKUP(CONCATENATE($D3350,$G3350),CSRFinput!$B:$E,4,0)))</f>
        <v>0.054776304963434752</v>
      </c>
      <c r="W3350" s="85">
        <f>IF(B3350="",0,+$T3350*$V3350)</f>
        <v>0.5362722366244824</v>
      </c>
      <c r="X3350" s="85">
        <f>IF(B3350="",0,IF(OR(H3350=MappingTables!$C$34,H3350=MappingTables!$C$35),W3350,0))</f>
        <v>0</v>
      </c>
    </row>
    <row r="3351" spans="2:24" s="0" customFormat="0" ht="15">
      <c r="B3351" s="69">
        <v>18762285</v>
      </c>
      <c r="C3351" s="70" t="s">
        <v>1622</v>
      </c>
      <c r="D3351" s="70" t="s">
        <v>1</v>
      </c>
      <c r="E3351" s="70" t="s">
        <v>1</v>
      </c>
      <c r="F3351" s="70"/>
      <c r="G3351" s="70" t="s">
        <v>61</v>
      </c>
      <c r="H3351" s="70" t="s">
        <v>178</v>
      </c>
      <c r="I3351" s="70" t="s">
        <v>179</v>
      </c>
      <c r="J3351" s="71">
        <f>IF(OR(I3351=0,I3351=""),"unrated",VLOOKUP(I3351,MappingTables!$B$19:$C$31,2,FALSE))</f>
        <v>4</v>
      </c>
      <c r="K3351" s="72">
        <v>32589.373191357964</v>
      </c>
      <c r="L3351" s="70">
        <v>13.251384074823198</v>
      </c>
      <c r="M3351" s="71">
        <f>IF(L3351&lt;1,1,L3351)</f>
        <v>13.251384074823198</v>
      </c>
      <c r="N3351" s="70" t="s">
        <v>141</v>
      </c>
      <c r="O3351" s="71">
        <f>INDEX(DurClassMapping,MATCH(M3351,MappingTables!$D$4:$D$8,-1),1)</f>
        <v>3</v>
      </c>
      <c r="P3351" s="73">
        <f>IF(M3351=$A$1,1,$M3351-INDEX(MappingTables!$E$4:$E$8,MATCH(O3351,MappingTables!$B$4:$B$8,0)))</f>
        <v>3.251384074823198</v>
      </c>
      <c r="Q3351" s="71">
        <f>IF(B3351="",0,INDEX(ModelParameters!$D$6:$K$10,MATCH($O3351,ModelParameters!$B$6:$B$10,0),MATCH($J3351,ModelParameters!$D$5:$K$5,0)))</f>
        <v>0.018000000000000002</v>
      </c>
      <c r="R3351" s="71">
        <f>IF(B3351="",0,INDEX(ModelParameters!$D$13:$K$17,MATCH($O3351,ModelParameters!$B$13:$B$17,0),MATCH($J3351,ModelParameters!$D$5:$K$5,0)))</f>
        <v>0.34999999999999996</v>
      </c>
      <c r="S3351" s="160">
        <f>IF(B3351="",0,MIN(IF($N3351="Other Bond TM",ModelParameters!$N$21,1)*(P3351*Q3351+R3351),1))</f>
        <v>0.4085249133468176</v>
      </c>
      <c r="T3351" s="85">
        <f>IF(B3351="",0,$S3351*$K3351)</f>
        <v>13313.570859026612</v>
      </c>
      <c r="U3351" s="85">
        <f>IF(B3351="",0,IF(OR(H3351=MappingTables!$C$34,H3351=MappingTables!$C$35),T3351,0))</f>
        <v>0</v>
      </c>
      <c r="V3351" s="85">
        <f>IF(ISNA(IF(AND(VLOOKUP(CONCATENATE($D3351,$G3351),CSRFinput!$B:$E,4,0)=0,OR(H3351=MappingTables!$C$34,H3351=MappingTables!$C$35)),1,VLOOKUP(CONCATENATE($D3351,$G3351),CSRFinput!$B:$E,4,0))),0,IF(AND(VLOOKUP(CONCATENATE($D3351,$G3351),CSRFinput!$B:$E,4,0)=0,OR(H3351=MappingTables!$C$34,H3351=MappingTables!$C$35)),1,VLOOKUP(CONCATENATE($D3351,$G3351),CSRFinput!$B:$E,4,0)))</f>
        <v>0.054776304963434752</v>
      </c>
      <c r="W3351" s="85">
        <f>IF(B3351="",0,+$T3351*$V3351)</f>
        <v>729.26821752633968</v>
      </c>
      <c r="X3351" s="85">
        <f>IF(B3351="",0,IF(OR(H3351=MappingTables!$C$34,H3351=MappingTables!$C$35),W3351,0))</f>
        <v>0</v>
      </c>
    </row>
    <row r="3352" spans="2:24" s="0" customFormat="0" ht="15">
      <c r="B3352" s="69">
        <v>5043377</v>
      </c>
      <c r="C3352" s="70" t="s">
        <v>1311</v>
      </c>
      <c r="D3352" s="70" t="s">
        <v>1</v>
      </c>
      <c r="E3352" s="70" t="s">
        <v>1</v>
      </c>
      <c r="F3352" s="70"/>
      <c r="G3352" s="70" t="s">
        <v>61</v>
      </c>
      <c r="H3352" s="70" t="s">
        <v>178</v>
      </c>
      <c r="I3352" s="70" t="s">
        <v>181</v>
      </c>
      <c r="J3352" s="71">
        <f>IF(OR(I3352=0,I3352=""),"unrated",VLOOKUP(I3352,MappingTables!$B$19:$C$31,2,FALSE))</f>
        <v>3</v>
      </c>
      <c r="K3352" s="72">
        <v>955.499063580988</v>
      </c>
      <c r="L3352" s="70">
        <v>1.5935976933428622</v>
      </c>
      <c r="M3352" s="71">
        <f>IF(L3352&lt;1,1,L3352)</f>
        <v>1.5935976933428622</v>
      </c>
      <c r="N3352" s="70" t="s">
        <v>141</v>
      </c>
      <c r="O3352" s="71">
        <f>INDEX(DurClassMapping,MATCH(M3352,MappingTables!$D$4:$D$8,-1),1)</f>
        <v>1</v>
      </c>
      <c r="P3352" s="73">
        <f>IF(M3352=$A$1,1,$M3352-INDEX(MappingTables!$E$4:$E$8,MATCH(O3352,MappingTables!$B$4:$B$8,0)))</f>
        <v>1.5935976933428622</v>
      </c>
      <c r="Q3352" s="71">
        <f>IF(B3352="",0,INDEX(ModelParameters!$D$6:$K$10,MATCH($O3352,ModelParameters!$B$6:$B$10,0),MATCH($J3352,ModelParameters!$D$5:$K$5,0)))</f>
        <v>0.025</v>
      </c>
      <c r="R3352" s="71">
        <f>IF(B3352="",0,INDEX(ModelParameters!$D$13:$K$17,MATCH($O3352,ModelParameters!$B$13:$B$17,0),MATCH($J3352,ModelParameters!$D$5:$K$5,0)))</f>
        <v>0</v>
      </c>
      <c r="S3352" s="160">
        <f>IF(B3352="",0,MIN(IF($N3352="Other Bond TM",ModelParameters!$N$21,1)*(P3352*Q3352+R3352),1))</f>
        <v>0.039839942333571552</v>
      </c>
      <c r="T3352" s="85">
        <f>IF(B3352="",0,$S3352*$K3352)</f>
        <v>38.067027592848176</v>
      </c>
      <c r="U3352" s="85">
        <f>IF(B3352="",0,IF(OR(H3352=MappingTables!$C$34,H3352=MappingTables!$C$35),T3352,0))</f>
        <v>0</v>
      </c>
      <c r="V3352" s="85">
        <f>IF(ISNA(IF(AND(VLOOKUP(CONCATENATE($D3352,$G3352),CSRFinput!$B:$E,4,0)=0,OR(H3352=MappingTables!$C$34,H3352=MappingTables!$C$35)),1,VLOOKUP(CONCATENATE($D3352,$G3352),CSRFinput!$B:$E,4,0))),0,IF(AND(VLOOKUP(CONCATENATE($D3352,$G3352),CSRFinput!$B:$E,4,0)=0,OR(H3352=MappingTables!$C$34,H3352=MappingTables!$C$35)),1,VLOOKUP(CONCATENATE($D3352,$G3352),CSRFinput!$B:$E,4,0)))</f>
        <v>0.054776304963434752</v>
      </c>
      <c r="W3352" s="85">
        <f>IF(B3352="",0,+$T3352*$V3352)</f>
        <v>2.0851711124773372</v>
      </c>
      <c r="X3352" s="85">
        <f>IF(B3352="",0,IF(OR(H3352=MappingTables!$C$34,H3352=MappingTables!$C$35),W3352,0))</f>
        <v>0</v>
      </c>
    </row>
    <row r="3353" spans="2:24" s="0" customFormat="0" ht="15">
      <c r="B3353" s="69">
        <v>19567751</v>
      </c>
      <c r="C3353" s="70" t="s">
        <v>2813</v>
      </c>
      <c r="D3353" s="70" t="s">
        <v>1</v>
      </c>
      <c r="E3353" s="70" t="s">
        <v>1</v>
      </c>
      <c r="F3353" s="70"/>
      <c r="G3353" s="70" t="s">
        <v>61</v>
      </c>
      <c r="H3353" s="70" t="s">
        <v>178</v>
      </c>
      <c r="I3353" s="70" t="s">
        <v>188</v>
      </c>
      <c r="J3353" s="71">
        <f>IF(OR(I3353=0,I3353=""),"unrated",VLOOKUP(I3353,MappingTables!$B$19:$C$31,2,FALSE))</f>
        <v>2</v>
      </c>
      <c r="K3353" s="72">
        <v>0.1220934841947071</v>
      </c>
      <c r="L3353" s="70">
        <v>0.75343480528587888</v>
      </c>
      <c r="M3353" s="71">
        <f>IF(L3353&lt;1,1,L3353)</f>
        <v>1</v>
      </c>
      <c r="N3353" s="70" t="s">
        <v>141</v>
      </c>
      <c r="O3353" s="71">
        <f>INDEX(DurClassMapping,MATCH(M3353,MappingTables!$D$4:$D$8,-1),1)</f>
        <v>1</v>
      </c>
      <c r="P3353" s="73">
        <f>IF(M3353=$A$1,1,$M3353-INDEX(MappingTables!$E$4:$E$8,MATCH(O3353,MappingTables!$B$4:$B$8,0)))</f>
        <v>1</v>
      </c>
      <c r="Q3353" s="71">
        <f>IF(B3353="",0,INDEX(ModelParameters!$D$6:$K$10,MATCH($O3353,ModelParameters!$B$6:$B$10,0),MATCH($J3353,ModelParameters!$D$5:$K$5,0)))</f>
        <v>0.013999999999999998</v>
      </c>
      <c r="R3353" s="71">
        <f>IF(B3353="",0,INDEX(ModelParameters!$D$13:$K$17,MATCH($O3353,ModelParameters!$B$13:$B$17,0),MATCH($J3353,ModelParameters!$D$5:$K$5,0)))</f>
        <v>0</v>
      </c>
      <c r="S3353" s="160">
        <f>IF(B3353="",0,MIN(IF($N3353="Other Bond TM",ModelParameters!$N$21,1)*(P3353*Q3353+R3353),1))</f>
        <v>0.013999999999999998</v>
      </c>
      <c r="T3353" s="85">
        <f>IF(B3353="",0,$S3353*$K3353)</f>
        <v>0.0017093087787258992</v>
      </c>
      <c r="U3353" s="85">
        <f>IF(B3353="",0,IF(OR(H3353=MappingTables!$C$34,H3353=MappingTables!$C$35),T3353,0))</f>
        <v>0</v>
      </c>
      <c r="V3353" s="85">
        <f>IF(ISNA(IF(AND(VLOOKUP(CONCATENATE($D3353,$G3353),CSRFinput!$B:$E,4,0)=0,OR(H3353=MappingTables!$C$34,H3353=MappingTables!$C$35)),1,VLOOKUP(CONCATENATE($D3353,$G3353),CSRFinput!$B:$E,4,0))),0,IF(AND(VLOOKUP(CONCATENATE($D3353,$G3353),CSRFinput!$B:$E,4,0)=0,OR(H3353=MappingTables!$C$34,H3353=MappingTables!$C$35)),1,VLOOKUP(CONCATENATE($D3353,$G3353),CSRFinput!$B:$E,4,0)))</f>
        <v>0.054776304963434752</v>
      </c>
      <c r="W3353" s="85">
        <f>IF(B3353="",0,+$T3353*$V3353)</f>
        <v>0.000093629618940166064</v>
      </c>
      <c r="X3353" s="85">
        <f>IF(B3353="",0,IF(OR(H3353=MappingTables!$C$34,H3353=MappingTables!$C$35),W3353,0))</f>
        <v>0</v>
      </c>
    </row>
    <row r="3354" spans="2:24" s="0" customFormat="0" ht="15">
      <c r="B3354" s="69">
        <v>22124822</v>
      </c>
      <c r="C3354" s="70" t="s">
        <v>2059</v>
      </c>
      <c r="D3354" s="70" t="s">
        <v>1</v>
      </c>
      <c r="E3354" s="70" t="s">
        <v>1</v>
      </c>
      <c r="F3354" s="70"/>
      <c r="G3354" s="70" t="s">
        <v>61</v>
      </c>
      <c r="H3354" s="70" t="s">
        <v>178</v>
      </c>
      <c r="I3354" s="70" t="s">
        <v>181</v>
      </c>
      <c r="J3354" s="71">
        <f>IF(OR(I3354=0,I3354=""),"unrated",VLOOKUP(I3354,MappingTables!$B$19:$C$31,2,FALSE))</f>
        <v>3</v>
      </c>
      <c r="K3354" s="72">
        <v>178.18765701895328</v>
      </c>
      <c r="L3354" s="70">
        <v>8.0894500422496416</v>
      </c>
      <c r="M3354" s="71">
        <f>IF(L3354&lt;1,1,L3354)</f>
        <v>8.0894500422496416</v>
      </c>
      <c r="N3354" s="70" t="s">
        <v>141</v>
      </c>
      <c r="O3354" s="71">
        <f>INDEX(DurClassMapping,MATCH(M3354,MappingTables!$D$4:$D$8,-1),1)</f>
        <v>2</v>
      </c>
      <c r="P3354" s="73">
        <f>IF(M3354=$A$1,1,$M3354-INDEX(MappingTables!$E$4:$E$8,MATCH(O3354,MappingTables!$B$4:$B$8,0)))</f>
        <v>3.0894500422496412</v>
      </c>
      <c r="Q3354" s="71">
        <f>IF(B3354="",0,INDEX(ModelParameters!$D$6:$K$10,MATCH($O3354,ModelParameters!$B$6:$B$10,0),MATCH($J3354,ModelParameters!$D$5:$K$5,0)))</f>
        <v>0.015</v>
      </c>
      <c r="R3354" s="71">
        <f>IF(B3354="",0,INDEX(ModelParameters!$D$13:$K$17,MATCH($O3354,ModelParameters!$B$13:$B$17,0),MATCH($J3354,ModelParameters!$D$5:$K$5,0)))</f>
        <v>0.125</v>
      </c>
      <c r="S3354" s="160">
        <f>IF(B3354="",0,MIN(IF($N3354="Other Bond TM",ModelParameters!$N$21,1)*(P3354*Q3354+R3354),1))</f>
        <v>0.17134175063374462</v>
      </c>
      <c r="T3354" s="85">
        <f>IF(B3354="",0,$S3354*$K3354)</f>
        <v>30.530985094952708</v>
      </c>
      <c r="U3354" s="85">
        <f>IF(B3354="",0,IF(OR(H3354=MappingTables!$C$34,H3354=MappingTables!$C$35),T3354,0))</f>
        <v>0</v>
      </c>
      <c r="V3354" s="85">
        <f>IF(ISNA(IF(AND(VLOOKUP(CONCATENATE($D3354,$G3354),CSRFinput!$B:$E,4,0)=0,OR(H3354=MappingTables!$C$34,H3354=MappingTables!$C$35)),1,VLOOKUP(CONCATENATE($D3354,$G3354),CSRFinput!$B:$E,4,0))),0,IF(AND(VLOOKUP(CONCATENATE($D3354,$G3354),CSRFinput!$B:$E,4,0)=0,OR(H3354=MappingTables!$C$34,H3354=MappingTables!$C$35)),1,VLOOKUP(CONCATENATE($D3354,$G3354),CSRFinput!$B:$E,4,0)))</f>
        <v>0.054776304963434752</v>
      </c>
      <c r="W3354" s="85">
        <f>IF(B3354="",0,+$T3354*$V3354)</f>
        <v>1.6723745503952106</v>
      </c>
      <c r="X3354" s="85">
        <f>IF(B3354="",0,IF(OR(H3354=MappingTables!$C$34,H3354=MappingTables!$C$35),W3354,0))</f>
        <v>0</v>
      </c>
    </row>
    <row r="3355" spans="2:24" s="0" customFormat="0" ht="15">
      <c r="B3355" s="69">
        <v>16729319</v>
      </c>
      <c r="C3355" s="70" t="s">
        <v>2814</v>
      </c>
      <c r="D3355" s="70" t="s">
        <v>1</v>
      </c>
      <c r="E3355" s="70" t="s">
        <v>1</v>
      </c>
      <c r="F3355" s="70"/>
      <c r="G3355" s="70" t="s">
        <v>61</v>
      </c>
      <c r="H3355" s="70" t="s">
        <v>178</v>
      </c>
      <c r="I3355" s="70" t="s">
        <v>188</v>
      </c>
      <c r="J3355" s="71">
        <f>IF(OR(I3355=0,I3355=""),"unrated",VLOOKUP(I3355,MappingTables!$B$19:$C$31,2,FALSE))</f>
        <v>2</v>
      </c>
      <c r="K3355" s="72">
        <v>0.016633562358581544</v>
      </c>
      <c r="L3355" s="70">
        <v>2.273579004472786</v>
      </c>
      <c r="M3355" s="71">
        <f>IF(L3355&lt;1,1,L3355)</f>
        <v>2.273579004472786</v>
      </c>
      <c r="N3355" s="70" t="s">
        <v>141</v>
      </c>
      <c r="O3355" s="71">
        <f>INDEX(DurClassMapping,MATCH(M3355,MappingTables!$D$4:$D$8,-1),1)</f>
        <v>1</v>
      </c>
      <c r="P3355" s="73">
        <f>IF(M3355=$A$1,1,$M3355-INDEX(MappingTables!$E$4:$E$8,MATCH(O3355,MappingTables!$B$4:$B$8,0)))</f>
        <v>2.273579004472786</v>
      </c>
      <c r="Q3355" s="71">
        <f>IF(B3355="",0,INDEX(ModelParameters!$D$6:$K$10,MATCH($O3355,ModelParameters!$B$6:$B$10,0),MATCH($J3355,ModelParameters!$D$5:$K$5,0)))</f>
        <v>0.013999999999999998</v>
      </c>
      <c r="R3355" s="71">
        <f>IF(B3355="",0,INDEX(ModelParameters!$D$13:$K$17,MATCH($O3355,ModelParameters!$B$13:$B$17,0),MATCH($J3355,ModelParameters!$D$5:$K$5,0)))</f>
        <v>0</v>
      </c>
      <c r="S3355" s="160">
        <f>IF(B3355="",0,MIN(IF($N3355="Other Bond TM",ModelParameters!$N$21,1)*(P3355*Q3355+R3355),1))</f>
        <v>0.031830106062618996</v>
      </c>
      <c r="T3355" s="85">
        <f>IF(B3355="",0,$S3355*$K3355)</f>
        <v>0.00052944805407283752</v>
      </c>
      <c r="U3355" s="85">
        <f>IF(B3355="",0,IF(OR(H3355=MappingTables!$C$34,H3355=MappingTables!$C$35),T3355,0))</f>
        <v>0</v>
      </c>
      <c r="V3355" s="85">
        <f>IF(ISNA(IF(AND(VLOOKUP(CONCATENATE($D3355,$G3355),CSRFinput!$B:$E,4,0)=0,OR(H3355=MappingTables!$C$34,H3355=MappingTables!$C$35)),1,VLOOKUP(CONCATENATE($D3355,$G3355),CSRFinput!$B:$E,4,0))),0,IF(AND(VLOOKUP(CONCATENATE($D3355,$G3355),CSRFinput!$B:$E,4,0)=0,OR(H3355=MappingTables!$C$34,H3355=MappingTables!$C$35)),1,VLOOKUP(CONCATENATE($D3355,$G3355),CSRFinput!$B:$E,4,0)))</f>
        <v>0.054776304963434752</v>
      </c>
      <c r="W3355" s="85">
        <f>IF(B3355="",0,+$T3355*$V3355)</f>
        <v>0.00002900120807219084</v>
      </c>
      <c r="X3355" s="85">
        <f>IF(B3355="",0,IF(OR(H3355=MappingTables!$C$34,H3355=MappingTables!$C$35),W3355,0))</f>
        <v>0</v>
      </c>
    </row>
    <row r="3356" spans="2:24" s="0" customFormat="0" ht="15">
      <c r="B3356" s="69" t="s">
        <v>2815</v>
      </c>
      <c r="C3356" s="70" t="s">
        <v>2816</v>
      </c>
      <c r="D3356" s="70" t="s">
        <v>1</v>
      </c>
      <c r="E3356" s="70" t="s">
        <v>1</v>
      </c>
      <c r="F3356" s="70"/>
      <c r="G3356" s="70" t="s">
        <v>61</v>
      </c>
      <c r="H3356" s="70" t="s">
        <v>178</v>
      </c>
      <c r="I3356" s="70" t="s">
        <v>198</v>
      </c>
      <c r="J3356" s="71" t="str">
        <f>IF(OR(I3356=0,I3356=""),"unrated",VLOOKUP(I3356,MappingTables!$B$19:$C$31,2,FALSE))</f>
        <v>unrated</v>
      </c>
      <c r="K3356" s="72">
        <v>0.19805458197300564</v>
      </c>
      <c r="L3356" s="70">
        <v>0.249318097475379</v>
      </c>
      <c r="M3356" s="71">
        <f>IF(L3356&lt;1,1,L3356)</f>
        <v>1</v>
      </c>
      <c r="N3356" s="70" t="s">
        <v>141</v>
      </c>
      <c r="O3356" s="71">
        <f>INDEX(DurClassMapping,MATCH(M3356,MappingTables!$D$4:$D$8,-1),1)</f>
        <v>1</v>
      </c>
      <c r="P3356" s="73">
        <f>IF(M3356=$A$1,1,$M3356-INDEX(MappingTables!$E$4:$E$8,MATCH(O3356,MappingTables!$B$4:$B$8,0)))</f>
        <v>1</v>
      </c>
      <c r="Q3356" s="71">
        <f>IF(B3356="",0,INDEX(ModelParameters!$D$6:$K$10,MATCH($O3356,ModelParameters!$B$6:$B$10,0),MATCH($J3356,ModelParameters!$D$5:$K$5,0)))</f>
        <v>0.03</v>
      </c>
      <c r="R3356" s="71">
        <f>IF(B3356="",0,INDEX(ModelParameters!$D$13:$K$17,MATCH($O3356,ModelParameters!$B$13:$B$17,0),MATCH($J3356,ModelParameters!$D$5:$K$5,0)))</f>
        <v>0</v>
      </c>
      <c r="S3356" s="160">
        <f>IF(B3356="",0,MIN(IF($N3356="Other Bond TM",ModelParameters!$N$21,1)*(P3356*Q3356+R3356),1))</f>
        <v>0.03</v>
      </c>
      <c r="T3356" s="85">
        <f>IF(B3356="",0,$S3356*$K3356)</f>
        <v>0.0059416374591901696</v>
      </c>
      <c r="U3356" s="85">
        <f>IF(B3356="",0,IF(OR(H3356=MappingTables!$C$34,H3356=MappingTables!$C$35),T3356,0))</f>
        <v>0</v>
      </c>
      <c r="V3356" s="85">
        <f>IF(ISNA(IF(AND(VLOOKUP(CONCATENATE($D3356,$G3356),CSRFinput!$B:$E,4,0)=0,OR(H3356=MappingTables!$C$34,H3356=MappingTables!$C$35)),1,VLOOKUP(CONCATENATE($D3356,$G3356),CSRFinput!$B:$E,4,0))),0,IF(AND(VLOOKUP(CONCATENATE($D3356,$G3356),CSRFinput!$B:$E,4,0)=0,OR(H3356=MappingTables!$C$34,H3356=MappingTables!$C$35)),1,VLOOKUP(CONCATENATE($D3356,$G3356),CSRFinput!$B:$E,4,0)))</f>
        <v>0.054776304963434752</v>
      </c>
      <c r="W3356" s="85">
        <f>IF(B3356="",0,+$T3356*$V3356)</f>
        <v>0.00032546094544676836</v>
      </c>
      <c r="X3356" s="85">
        <f>IF(B3356="",0,IF(OR(H3356=MappingTables!$C$34,H3356=MappingTables!$C$35),W3356,0))</f>
        <v>0</v>
      </c>
    </row>
    <row r="3357" spans="2:24" s="0" customFormat="0" ht="15">
      <c r="B3357" s="69">
        <v>20440739</v>
      </c>
      <c r="C3357" s="70" t="s">
        <v>2817</v>
      </c>
      <c r="D3357" s="70" t="s">
        <v>1</v>
      </c>
      <c r="E3357" s="70" t="s">
        <v>1</v>
      </c>
      <c r="F3357" s="70"/>
      <c r="G3357" s="70" t="s">
        <v>61</v>
      </c>
      <c r="H3357" s="70" t="s">
        <v>178</v>
      </c>
      <c r="I3357" s="70" t="s">
        <v>188</v>
      </c>
      <c r="J3357" s="71">
        <f>IF(OR(I3357=0,I3357=""),"unrated",VLOOKUP(I3357,MappingTables!$B$19:$C$31,2,FALSE))</f>
        <v>2</v>
      </c>
      <c r="K3357" s="72">
        <v>523419.64721679688</v>
      </c>
      <c r="L3357" s="70">
        <v>7.985616638627192</v>
      </c>
      <c r="M3357" s="71">
        <f>IF(L3357&lt;1,1,L3357)</f>
        <v>7.985616638627192</v>
      </c>
      <c r="N3357" s="70" t="s">
        <v>141</v>
      </c>
      <c r="O3357" s="71">
        <f>INDEX(DurClassMapping,MATCH(M3357,MappingTables!$D$4:$D$8,-1),1)</f>
        <v>2</v>
      </c>
      <c r="P3357" s="73">
        <f>IF(M3357=$A$1,1,$M3357-INDEX(MappingTables!$E$4:$E$8,MATCH(O3357,MappingTables!$B$4:$B$8,0)))</f>
        <v>2.9856166386271924</v>
      </c>
      <c r="Q3357" s="71">
        <f>IF(B3357="",0,INDEX(ModelParameters!$D$6:$K$10,MATCH($O3357,ModelParameters!$B$6:$B$10,0),MATCH($J3357,ModelParameters!$D$5:$K$5,0)))</f>
        <v>0.0069999999999999992</v>
      </c>
      <c r="R3357" s="71">
        <f>IF(B3357="",0,INDEX(ModelParameters!$D$13:$K$17,MATCH($O3357,ModelParameters!$B$13:$B$17,0),MATCH($J3357,ModelParameters!$D$5:$K$5,0)))</f>
        <v>0.070000000000000008</v>
      </c>
      <c r="S3357" s="160">
        <f>IF(B3357="",0,MIN(IF($N3357="Other Bond TM",ModelParameters!$N$21,1)*(P3357*Q3357+R3357),1))</f>
        <v>0.090899316470390352</v>
      </c>
      <c r="T3357" s="85">
        <f>IF(B3357="",0,$S3357*$K3357)</f>
        <v>47578.488159179688</v>
      </c>
      <c r="U3357" s="85">
        <f>IF(B3357="",0,IF(OR(H3357=MappingTables!$C$34,H3357=MappingTables!$C$35),T3357,0))</f>
        <v>0</v>
      </c>
      <c r="V3357" s="85">
        <f>IF(ISNA(IF(AND(VLOOKUP(CONCATENATE($D3357,$G3357),CSRFinput!$B:$E,4,0)=0,OR(H3357=MappingTables!$C$34,H3357=MappingTables!$C$35)),1,VLOOKUP(CONCATENATE($D3357,$G3357),CSRFinput!$B:$E,4,0))),0,IF(AND(VLOOKUP(CONCATENATE($D3357,$G3357),CSRFinput!$B:$E,4,0)=0,OR(H3357=MappingTables!$C$34,H3357=MappingTables!$C$35)),1,VLOOKUP(CONCATENATE($D3357,$G3357),CSRFinput!$B:$E,4,0)))</f>
        <v>0.054776304963434752</v>
      </c>
      <c r="W3357" s="85">
        <f>IF(B3357="",0,+$T3357*$V3357)</f>
        <v>2606.173777106396</v>
      </c>
      <c r="X3357" s="85">
        <f>IF(B3357="",0,IF(OR(H3357=MappingTables!$C$34,H3357=MappingTables!$C$35),W3357,0))</f>
        <v>0</v>
      </c>
    </row>
    <row r="3358" spans="2:24" s="0" customFormat="0" ht="15">
      <c r="B3358" s="69">
        <v>15869357</v>
      </c>
      <c r="C3358" s="70" t="s">
        <v>2780</v>
      </c>
      <c r="D3358" s="70" t="s">
        <v>1</v>
      </c>
      <c r="E3358" s="70" t="s">
        <v>1</v>
      </c>
      <c r="F3358" s="70"/>
      <c r="G3358" s="70" t="s">
        <v>61</v>
      </c>
      <c r="H3358" s="70" t="s">
        <v>178</v>
      </c>
      <c r="I3358" s="70" t="s">
        <v>181</v>
      </c>
      <c r="J3358" s="71">
        <f>IF(OR(I3358=0,I3358=""),"unrated",VLOOKUP(I3358,MappingTables!$B$19:$C$31,2,FALSE))</f>
        <v>3</v>
      </c>
      <c r="K3358" s="72">
        <v>49325.583633859168</v>
      </c>
      <c r="L3358" s="70">
        <v>3.9247419539080784</v>
      </c>
      <c r="M3358" s="71">
        <f>IF(L3358&lt;1,1,L3358)</f>
        <v>3.9247419539080784</v>
      </c>
      <c r="N3358" s="70" t="s">
        <v>141</v>
      </c>
      <c r="O3358" s="71">
        <f>INDEX(DurClassMapping,MATCH(M3358,MappingTables!$D$4:$D$8,-1),1)</f>
        <v>1</v>
      </c>
      <c r="P3358" s="73">
        <f>IF(M3358=$A$1,1,$M3358-INDEX(MappingTables!$E$4:$E$8,MATCH(O3358,MappingTables!$B$4:$B$8,0)))</f>
        <v>3.9247419539080784</v>
      </c>
      <c r="Q3358" s="71">
        <f>IF(B3358="",0,INDEX(ModelParameters!$D$6:$K$10,MATCH($O3358,ModelParameters!$B$6:$B$10,0),MATCH($J3358,ModelParameters!$D$5:$K$5,0)))</f>
        <v>0.025</v>
      </c>
      <c r="R3358" s="71">
        <f>IF(B3358="",0,INDEX(ModelParameters!$D$13:$K$17,MATCH($O3358,ModelParameters!$B$13:$B$17,0),MATCH($J3358,ModelParameters!$D$5:$K$5,0)))</f>
        <v>0</v>
      </c>
      <c r="S3358" s="160">
        <f>IF(B3358="",0,MIN(IF($N3358="Other Bond TM",ModelParameters!$N$21,1)*(P3358*Q3358+R3358),1))</f>
        <v>0.098118548847701984</v>
      </c>
      <c r="T3358" s="85">
        <f>IF(B3358="",0,$S3358*$K3358)</f>
        <v>4839.75468722022</v>
      </c>
      <c r="U3358" s="85">
        <f>IF(B3358="",0,IF(OR(H3358=MappingTables!$C$34,H3358=MappingTables!$C$35),T3358,0))</f>
        <v>0</v>
      </c>
      <c r="V3358" s="85">
        <f>IF(ISNA(IF(AND(VLOOKUP(CONCATENATE($D3358,$G3358),CSRFinput!$B:$E,4,0)=0,OR(H3358=MappingTables!$C$34,H3358=MappingTables!$C$35)),1,VLOOKUP(CONCATENATE($D3358,$G3358),CSRFinput!$B:$E,4,0))),0,IF(AND(VLOOKUP(CONCATENATE($D3358,$G3358),CSRFinput!$B:$E,4,0)=0,OR(H3358=MappingTables!$C$34,H3358=MappingTables!$C$35)),1,VLOOKUP(CONCATENATE($D3358,$G3358),CSRFinput!$B:$E,4,0)))</f>
        <v>0.054776304963434752</v>
      </c>
      <c r="W3358" s="85">
        <f>IF(B3358="",0,+$T3358*$V3358)</f>
        <v>265.10387869538756</v>
      </c>
      <c r="X3358" s="85">
        <f>IF(B3358="",0,IF(OR(H3358=MappingTables!$C$34,H3358=MappingTables!$C$35),W3358,0))</f>
        <v>0</v>
      </c>
    </row>
    <row r="3359" spans="2:24" s="0" customFormat="0" ht="15">
      <c r="B3359" s="69">
        <v>17776713</v>
      </c>
      <c r="C3359" s="70" t="s">
        <v>1868</v>
      </c>
      <c r="D3359" s="70" t="s">
        <v>1</v>
      </c>
      <c r="E3359" s="70" t="s">
        <v>1</v>
      </c>
      <c r="F3359" s="70"/>
      <c r="G3359" s="70" t="s">
        <v>61</v>
      </c>
      <c r="H3359" s="70" t="s">
        <v>178</v>
      </c>
      <c r="I3359" s="70" t="s">
        <v>179</v>
      </c>
      <c r="J3359" s="71">
        <f>IF(OR(I3359=0,I3359=""),"unrated",VLOOKUP(I3359,MappingTables!$B$19:$C$31,2,FALSE))</f>
        <v>4</v>
      </c>
      <c r="K3359" s="72">
        <v>39322.2655298122</v>
      </c>
      <c r="L3359" s="70">
        <v>0.087673246338622368</v>
      </c>
      <c r="M3359" s="71">
        <f>IF(L3359&lt;1,1,L3359)</f>
        <v>1</v>
      </c>
      <c r="N3359" s="70" t="s">
        <v>141</v>
      </c>
      <c r="O3359" s="71">
        <f>INDEX(DurClassMapping,MATCH(M3359,MappingTables!$D$4:$D$8,-1),1)</f>
        <v>1</v>
      </c>
      <c r="P3359" s="73">
        <f>IF(M3359=$A$1,1,$M3359-INDEX(MappingTables!$E$4:$E$8,MATCH(O3359,MappingTables!$B$4:$B$8,0)))</f>
        <v>1</v>
      </c>
      <c r="Q3359" s="71">
        <f>IF(B3359="",0,INDEX(ModelParameters!$D$6:$K$10,MATCH($O3359,ModelParameters!$B$6:$B$10,0),MATCH($J3359,ModelParameters!$D$5:$K$5,0)))</f>
        <v>0.045</v>
      </c>
      <c r="R3359" s="71">
        <f>IF(B3359="",0,INDEX(ModelParameters!$D$13:$K$17,MATCH($O3359,ModelParameters!$B$13:$B$17,0),MATCH($J3359,ModelParameters!$D$5:$K$5,0)))</f>
        <v>0</v>
      </c>
      <c r="S3359" s="160">
        <f>IF(B3359="",0,MIN(IF($N3359="Other Bond TM",ModelParameters!$N$21,1)*(P3359*Q3359+R3359),1))</f>
        <v>0.045</v>
      </c>
      <c r="T3359" s="85">
        <f>IF(B3359="",0,$S3359*$K3359)</f>
        <v>1769.5019488415488</v>
      </c>
      <c r="U3359" s="85">
        <f>IF(B3359="",0,IF(OR(H3359=MappingTables!$C$34,H3359=MappingTables!$C$35),T3359,0))</f>
        <v>0</v>
      </c>
      <c r="V3359" s="85">
        <f>IF(ISNA(IF(AND(VLOOKUP(CONCATENATE($D3359,$G3359),CSRFinput!$B:$E,4,0)=0,OR(H3359=MappingTables!$C$34,H3359=MappingTables!$C$35)),1,VLOOKUP(CONCATENATE($D3359,$G3359),CSRFinput!$B:$E,4,0))),0,IF(AND(VLOOKUP(CONCATENATE($D3359,$G3359),CSRFinput!$B:$E,4,0)=0,OR(H3359=MappingTables!$C$34,H3359=MappingTables!$C$35)),1,VLOOKUP(CONCATENATE($D3359,$G3359),CSRFinput!$B:$E,4,0)))</f>
        <v>0.054776304963434752</v>
      </c>
      <c r="W3359" s="85">
        <f>IF(B3359="",0,+$T3359*$V3359)</f>
        <v>96.9267783831368</v>
      </c>
      <c r="X3359" s="85">
        <f>IF(B3359="",0,IF(OR(H3359=MappingTables!$C$34,H3359=MappingTables!$C$35),W3359,0))</f>
        <v>0</v>
      </c>
    </row>
    <row r="3360" spans="2:24" s="0" customFormat="0" ht="15">
      <c r="B3360" s="69">
        <v>23858823</v>
      </c>
      <c r="C3360" s="70" t="s">
        <v>817</v>
      </c>
      <c r="D3360" s="70" t="s">
        <v>1</v>
      </c>
      <c r="E3360" s="70" t="s">
        <v>1</v>
      </c>
      <c r="F3360" s="70"/>
      <c r="G3360" s="70" t="s">
        <v>61</v>
      </c>
      <c r="H3360" s="70" t="s">
        <v>178</v>
      </c>
      <c r="I3360" s="70" t="s">
        <v>179</v>
      </c>
      <c r="J3360" s="71">
        <f>IF(OR(I3360=0,I3360=""),"unrated",VLOOKUP(I3360,MappingTables!$B$19:$C$31,2,FALSE))</f>
        <v>4</v>
      </c>
      <c r="K3360" s="72">
        <v>1357.5577562403176</v>
      </c>
      <c r="L3360" s="70">
        <v>3.6840569900745504</v>
      </c>
      <c r="M3360" s="71">
        <f>IF(L3360&lt;1,1,L3360)</f>
        <v>3.6840569900745504</v>
      </c>
      <c r="N3360" s="70" t="s">
        <v>141</v>
      </c>
      <c r="O3360" s="71">
        <f>INDEX(DurClassMapping,MATCH(M3360,MappingTables!$D$4:$D$8,-1),1)</f>
        <v>1</v>
      </c>
      <c r="P3360" s="73">
        <f>IF(M3360=$A$1,1,$M3360-INDEX(MappingTables!$E$4:$E$8,MATCH(O3360,MappingTables!$B$4:$B$8,0)))</f>
        <v>3.6840569900745504</v>
      </c>
      <c r="Q3360" s="71">
        <f>IF(B3360="",0,INDEX(ModelParameters!$D$6:$K$10,MATCH($O3360,ModelParameters!$B$6:$B$10,0),MATCH($J3360,ModelParameters!$D$5:$K$5,0)))</f>
        <v>0.045</v>
      </c>
      <c r="R3360" s="71">
        <f>IF(B3360="",0,INDEX(ModelParameters!$D$13:$K$17,MATCH($O3360,ModelParameters!$B$13:$B$17,0),MATCH($J3360,ModelParameters!$D$5:$K$5,0)))</f>
        <v>0</v>
      </c>
      <c r="S3360" s="160">
        <f>IF(B3360="",0,MIN(IF($N3360="Other Bond TM",ModelParameters!$N$21,1)*(P3360*Q3360+R3360),1))</f>
        <v>0.16578256455335478</v>
      </c>
      <c r="T3360" s="85">
        <f>IF(B3360="",0,$S3360*$K3360)</f>
        <v>225.05940635881792</v>
      </c>
      <c r="U3360" s="85">
        <f>IF(B3360="",0,IF(OR(H3360=MappingTables!$C$34,H3360=MappingTables!$C$35),T3360,0))</f>
        <v>0</v>
      </c>
      <c r="V3360" s="85">
        <f>IF(ISNA(IF(AND(VLOOKUP(CONCATENATE($D3360,$G3360),CSRFinput!$B:$E,4,0)=0,OR(H3360=MappingTables!$C$34,H3360=MappingTables!$C$35)),1,VLOOKUP(CONCATENATE($D3360,$G3360),CSRFinput!$B:$E,4,0))),0,IF(AND(VLOOKUP(CONCATENATE($D3360,$G3360),CSRFinput!$B:$E,4,0)=0,OR(H3360=MappingTables!$C$34,H3360=MappingTables!$C$35)),1,VLOOKUP(CONCATENATE($D3360,$G3360),CSRFinput!$B:$E,4,0)))</f>
        <v>0.054776304963434752</v>
      </c>
      <c r="W3360" s="85">
        <f>IF(B3360="",0,+$T3360*$V3360)</f>
        <v>12.327922677600198</v>
      </c>
      <c r="X3360" s="85">
        <f>IF(B3360="",0,IF(OR(H3360=MappingTables!$C$34,H3360=MappingTables!$C$35),W3360,0))</f>
        <v>0</v>
      </c>
    </row>
    <row r="3361" spans="2:24" s="0" customFormat="0" ht="15">
      <c r="B3361" s="69">
        <v>23523014</v>
      </c>
      <c r="C3361" s="70" t="s">
        <v>2818</v>
      </c>
      <c r="D3361" s="70" t="s">
        <v>1</v>
      </c>
      <c r="E3361" s="70" t="s">
        <v>1</v>
      </c>
      <c r="F3361" s="70"/>
      <c r="G3361" s="70" t="s">
        <v>61</v>
      </c>
      <c r="H3361" s="70" t="s">
        <v>178</v>
      </c>
      <c r="I3361" s="70" t="s">
        <v>181</v>
      </c>
      <c r="J3361" s="71">
        <f>IF(OR(I3361=0,I3361=""),"unrated",VLOOKUP(I3361,MappingTables!$B$19:$C$31,2,FALSE))</f>
        <v>3</v>
      </c>
      <c r="K3361" s="72">
        <v>1457.790621936213</v>
      </c>
      <c r="L3361" s="70">
        <v>1.47267377835333</v>
      </c>
      <c r="M3361" s="71">
        <f>IF(L3361&lt;1,1,L3361)</f>
        <v>1.47267377835333</v>
      </c>
      <c r="N3361" s="70" t="s">
        <v>141</v>
      </c>
      <c r="O3361" s="71">
        <f>INDEX(DurClassMapping,MATCH(M3361,MappingTables!$D$4:$D$8,-1),1)</f>
        <v>1</v>
      </c>
      <c r="P3361" s="73">
        <f>IF(M3361=$A$1,1,$M3361-INDEX(MappingTables!$E$4:$E$8,MATCH(O3361,MappingTables!$B$4:$B$8,0)))</f>
        <v>1.47267377835333</v>
      </c>
      <c r="Q3361" s="71">
        <f>IF(B3361="",0,INDEX(ModelParameters!$D$6:$K$10,MATCH($O3361,ModelParameters!$B$6:$B$10,0),MATCH($J3361,ModelParameters!$D$5:$K$5,0)))</f>
        <v>0.025</v>
      </c>
      <c r="R3361" s="71">
        <f>IF(B3361="",0,INDEX(ModelParameters!$D$13:$K$17,MATCH($O3361,ModelParameters!$B$13:$B$17,0),MATCH($J3361,ModelParameters!$D$5:$K$5,0)))</f>
        <v>0</v>
      </c>
      <c r="S3361" s="160">
        <f>IF(B3361="",0,MIN(IF($N3361="Other Bond TM",ModelParameters!$N$21,1)*(P3361*Q3361+R3361),1))</f>
        <v>0.036816844458833248</v>
      </c>
      <c r="T3361" s="85">
        <f>IF(B3361="",0,$S3361*$K3361)</f>
        <v>53.671250581371336</v>
      </c>
      <c r="U3361" s="85">
        <f>IF(B3361="",0,IF(OR(H3361=MappingTables!$C$34,H3361=MappingTables!$C$35),T3361,0))</f>
        <v>0</v>
      </c>
      <c r="V3361" s="85">
        <f>IF(ISNA(IF(AND(VLOOKUP(CONCATENATE($D3361,$G3361),CSRFinput!$B:$E,4,0)=0,OR(H3361=MappingTables!$C$34,H3361=MappingTables!$C$35)),1,VLOOKUP(CONCATENATE($D3361,$G3361),CSRFinput!$B:$E,4,0))),0,IF(AND(VLOOKUP(CONCATENATE($D3361,$G3361),CSRFinput!$B:$E,4,0)=0,OR(H3361=MappingTables!$C$34,H3361=MappingTables!$C$35)),1,VLOOKUP(CONCATENATE($D3361,$G3361),CSRFinput!$B:$E,4,0)))</f>
        <v>0.054776304963434752</v>
      </c>
      <c r="W3361" s="85">
        <f>IF(B3361="",0,+$T3361*$V3361)</f>
        <v>2.9399127896141212</v>
      </c>
      <c r="X3361" s="85">
        <f>IF(B3361="",0,IF(OR(H3361=MappingTables!$C$34,H3361=MappingTables!$C$35),W3361,0))</f>
        <v>0</v>
      </c>
    </row>
    <row r="3362" spans="2:24" s="0" customFormat="0" ht="15">
      <c r="B3362" s="69">
        <v>13272904</v>
      </c>
      <c r="C3362" s="70" t="s">
        <v>2819</v>
      </c>
      <c r="D3362" s="70" t="s">
        <v>1</v>
      </c>
      <c r="E3362" s="70" t="s">
        <v>1</v>
      </c>
      <c r="F3362" s="70"/>
      <c r="G3362" s="70" t="s">
        <v>61</v>
      </c>
      <c r="H3362" s="70" t="s">
        <v>178</v>
      </c>
      <c r="I3362" s="70" t="s">
        <v>184</v>
      </c>
      <c r="J3362" s="71">
        <f>IF(OR(I3362=0,I3362=""),"unrated",VLOOKUP(I3362,MappingTables!$B$19:$C$31,2,FALSE))</f>
        <v>5</v>
      </c>
      <c r="K3362" s="72">
        <v>535.44899769043232</v>
      </c>
      <c r="L3362" s="70">
        <v>0.041092892959529656</v>
      </c>
      <c r="M3362" s="71">
        <f>IF(L3362&lt;1,1,L3362)</f>
        <v>1</v>
      </c>
      <c r="N3362" s="70" t="s">
        <v>141</v>
      </c>
      <c r="O3362" s="71">
        <f>INDEX(DurClassMapping,MATCH(M3362,MappingTables!$D$4:$D$8,-1),1)</f>
        <v>1</v>
      </c>
      <c r="P3362" s="73">
        <f>IF(M3362=$A$1,1,$M3362-INDEX(MappingTables!$E$4:$E$8,MATCH(O3362,MappingTables!$B$4:$B$8,0)))</f>
        <v>1</v>
      </c>
      <c r="Q3362" s="71">
        <f>IF(B3362="",0,INDEX(ModelParameters!$D$6:$K$10,MATCH($O3362,ModelParameters!$B$6:$B$10,0),MATCH($J3362,ModelParameters!$D$5:$K$5,0)))</f>
        <v>0.075</v>
      </c>
      <c r="R3362" s="71">
        <f>IF(B3362="",0,INDEX(ModelParameters!$D$13:$K$17,MATCH($O3362,ModelParameters!$B$13:$B$17,0),MATCH($J3362,ModelParameters!$D$5:$K$5,0)))</f>
        <v>0</v>
      </c>
      <c r="S3362" s="160">
        <f>IF(B3362="",0,MIN(IF($N3362="Other Bond TM",ModelParameters!$N$21,1)*(P3362*Q3362+R3362),1))</f>
        <v>0.075</v>
      </c>
      <c r="T3362" s="85">
        <f>IF(B3362="",0,$S3362*$K3362)</f>
        <v>40.158674826782424</v>
      </c>
      <c r="U3362" s="85">
        <f>IF(B3362="",0,IF(OR(H3362=MappingTables!$C$34,H3362=MappingTables!$C$35),T3362,0))</f>
        <v>0</v>
      </c>
      <c r="V3362" s="85">
        <f>IF(ISNA(IF(AND(VLOOKUP(CONCATENATE($D3362,$G3362),CSRFinput!$B:$E,4,0)=0,OR(H3362=MappingTables!$C$34,H3362=MappingTables!$C$35)),1,VLOOKUP(CONCATENATE($D3362,$G3362),CSRFinput!$B:$E,4,0))),0,IF(AND(VLOOKUP(CONCATENATE($D3362,$G3362),CSRFinput!$B:$E,4,0)=0,OR(H3362=MappingTables!$C$34,H3362=MappingTables!$C$35)),1,VLOOKUP(CONCATENATE($D3362,$G3362),CSRFinput!$B:$E,4,0)))</f>
        <v>0.054776304963434752</v>
      </c>
      <c r="W3362" s="85">
        <f>IF(B3362="",0,+$T3362*$V3362)</f>
        <v>2.1997438192392444</v>
      </c>
      <c r="X3362" s="85">
        <f>IF(B3362="",0,IF(OR(H3362=MappingTables!$C$34,H3362=MappingTables!$C$35),W3362,0))</f>
        <v>0</v>
      </c>
    </row>
    <row r="3363" spans="2:24" s="0" customFormat="0" ht="15">
      <c r="B3363" s="69">
        <v>13715879</v>
      </c>
      <c r="C3363" s="70" t="s">
        <v>424</v>
      </c>
      <c r="D3363" s="70" t="s">
        <v>1</v>
      </c>
      <c r="E3363" s="70" t="s">
        <v>1</v>
      </c>
      <c r="F3363" s="70"/>
      <c r="G3363" s="70" t="s">
        <v>61</v>
      </c>
      <c r="H3363" s="70" t="s">
        <v>178</v>
      </c>
      <c r="I3363" s="70" t="s">
        <v>181</v>
      </c>
      <c r="J3363" s="71">
        <f>IF(OR(I3363=0,I3363=""),"unrated",VLOOKUP(I3363,MappingTables!$B$19:$C$31,2,FALSE))</f>
        <v>3</v>
      </c>
      <c r="K3363" s="72">
        <v>0.52236804626735704</v>
      </c>
      <c r="L3363" s="70">
        <v>1.2916082927086458</v>
      </c>
      <c r="M3363" s="71">
        <f>IF(L3363&lt;1,1,L3363)</f>
        <v>1.2916082927086458</v>
      </c>
      <c r="N3363" s="70" t="s">
        <v>141</v>
      </c>
      <c r="O3363" s="71">
        <f>INDEX(DurClassMapping,MATCH(M3363,MappingTables!$D$4:$D$8,-1),1)</f>
        <v>1</v>
      </c>
      <c r="P3363" s="73">
        <f>IF(M3363=$A$1,1,$M3363-INDEX(MappingTables!$E$4:$E$8,MATCH(O3363,MappingTables!$B$4:$B$8,0)))</f>
        <v>1.2916082927086458</v>
      </c>
      <c r="Q3363" s="71">
        <f>IF(B3363="",0,INDEX(ModelParameters!$D$6:$K$10,MATCH($O3363,ModelParameters!$B$6:$B$10,0),MATCH($J3363,ModelParameters!$D$5:$K$5,0)))</f>
        <v>0.025</v>
      </c>
      <c r="R3363" s="71">
        <f>IF(B3363="",0,INDEX(ModelParameters!$D$13:$K$17,MATCH($O3363,ModelParameters!$B$13:$B$17,0),MATCH($J3363,ModelParameters!$D$5:$K$5,0)))</f>
        <v>0</v>
      </c>
      <c r="S3363" s="160">
        <f>IF(B3363="",0,MIN(IF($N3363="Other Bond TM",ModelParameters!$N$21,1)*(P3363*Q3363+R3363),1))</f>
        <v>0.032290207317716148</v>
      </c>
      <c r="T3363" s="85">
        <f>IF(B3363="",0,$S3363*$K3363)</f>
        <v>0.016867372510123296</v>
      </c>
      <c r="U3363" s="85">
        <f>IF(B3363="",0,IF(OR(H3363=MappingTables!$C$34,H3363=MappingTables!$C$35),T3363,0))</f>
        <v>0</v>
      </c>
      <c r="V3363" s="85">
        <f>IF(ISNA(IF(AND(VLOOKUP(CONCATENATE($D3363,$G3363),CSRFinput!$B:$E,4,0)=0,OR(H3363=MappingTables!$C$34,H3363=MappingTables!$C$35)),1,VLOOKUP(CONCATENATE($D3363,$G3363),CSRFinput!$B:$E,4,0))),0,IF(AND(VLOOKUP(CONCATENATE($D3363,$G3363),CSRFinput!$B:$E,4,0)=0,OR(H3363=MappingTables!$C$34,H3363=MappingTables!$C$35)),1,VLOOKUP(CONCATENATE($D3363,$G3363),CSRFinput!$B:$E,4,0)))</f>
        <v>0.054776304963434752</v>
      </c>
      <c r="W3363" s="85">
        <f>IF(B3363="",0,+$T3363*$V3363)</f>
        <v>0.0009239323405463696</v>
      </c>
      <c r="X3363" s="85">
        <f>IF(B3363="",0,IF(OR(H3363=MappingTables!$C$34,H3363=MappingTables!$C$35),W3363,0))</f>
        <v>0</v>
      </c>
    </row>
    <row r="3364" spans="2:24" s="0" customFormat="0" ht="15">
      <c r="B3364" s="69">
        <v>388150</v>
      </c>
      <c r="C3364" s="70" t="s">
        <v>2251</v>
      </c>
      <c r="D3364" s="70" t="s">
        <v>1</v>
      </c>
      <c r="E3364" s="70" t="s">
        <v>1</v>
      </c>
      <c r="F3364" s="70"/>
      <c r="G3364" s="70" t="s">
        <v>61</v>
      </c>
      <c r="H3364" s="70" t="s">
        <v>178</v>
      </c>
      <c r="I3364" s="70" t="s">
        <v>181</v>
      </c>
      <c r="J3364" s="71">
        <f>IF(OR(I3364=0,I3364=""),"unrated",VLOOKUP(I3364,MappingTables!$B$19:$C$31,2,FALSE))</f>
        <v>3</v>
      </c>
      <c r="K3364" s="72">
        <v>693.4605042167652</v>
      </c>
      <c r="L3364" s="70">
        <v>0.095888278080430592</v>
      </c>
      <c r="M3364" s="71">
        <f>IF(L3364&lt;1,1,L3364)</f>
        <v>1</v>
      </c>
      <c r="N3364" s="70" t="s">
        <v>141</v>
      </c>
      <c r="O3364" s="71">
        <f>INDEX(DurClassMapping,MATCH(M3364,MappingTables!$D$4:$D$8,-1),1)</f>
        <v>1</v>
      </c>
      <c r="P3364" s="73">
        <f>IF(M3364=$A$1,1,$M3364-INDEX(MappingTables!$E$4:$E$8,MATCH(O3364,MappingTables!$B$4:$B$8,0)))</f>
        <v>1</v>
      </c>
      <c r="Q3364" s="71">
        <f>IF(B3364="",0,INDEX(ModelParameters!$D$6:$K$10,MATCH($O3364,ModelParameters!$B$6:$B$10,0),MATCH($J3364,ModelParameters!$D$5:$K$5,0)))</f>
        <v>0.025</v>
      </c>
      <c r="R3364" s="71">
        <f>IF(B3364="",0,INDEX(ModelParameters!$D$13:$K$17,MATCH($O3364,ModelParameters!$B$13:$B$17,0),MATCH($J3364,ModelParameters!$D$5:$K$5,0)))</f>
        <v>0</v>
      </c>
      <c r="S3364" s="160">
        <f>IF(B3364="",0,MIN(IF($N3364="Other Bond TM",ModelParameters!$N$21,1)*(P3364*Q3364+R3364),1))</f>
        <v>0.025</v>
      </c>
      <c r="T3364" s="85">
        <f>IF(B3364="",0,$S3364*$K3364)</f>
        <v>17.33651260541913</v>
      </c>
      <c r="U3364" s="85">
        <f>IF(B3364="",0,IF(OR(H3364=MappingTables!$C$34,H3364=MappingTables!$C$35),T3364,0))</f>
        <v>0</v>
      </c>
      <c r="V3364" s="85">
        <f>IF(ISNA(IF(AND(VLOOKUP(CONCATENATE($D3364,$G3364),CSRFinput!$B:$E,4,0)=0,OR(H3364=MappingTables!$C$34,H3364=MappingTables!$C$35)),1,VLOOKUP(CONCATENATE($D3364,$G3364),CSRFinput!$B:$E,4,0))),0,IF(AND(VLOOKUP(CONCATENATE($D3364,$G3364),CSRFinput!$B:$E,4,0)=0,OR(H3364=MappingTables!$C$34,H3364=MappingTables!$C$35)),1,VLOOKUP(CONCATENATE($D3364,$G3364),CSRFinput!$B:$E,4,0)))</f>
        <v>0.054776304963434752</v>
      </c>
      <c r="W3364" s="85">
        <f>IF(B3364="",0,+$T3364*$V3364)</f>
        <v>0.94963010147686912</v>
      </c>
      <c r="X3364" s="85">
        <f>IF(B3364="",0,IF(OR(H3364=MappingTables!$C$34,H3364=MappingTables!$C$35),W3364,0))</f>
        <v>0</v>
      </c>
    </row>
    <row r="3365" spans="2:24" s="0" customFormat="0" ht="15">
      <c r="B3365" s="69">
        <v>238624</v>
      </c>
      <c r="C3365" s="70" t="s">
        <v>2355</v>
      </c>
      <c r="D3365" s="70" t="s">
        <v>1</v>
      </c>
      <c r="E3365" s="70" t="s">
        <v>1</v>
      </c>
      <c r="F3365" s="70"/>
      <c r="G3365" s="70" t="s">
        <v>61</v>
      </c>
      <c r="H3365" s="70" t="s">
        <v>178</v>
      </c>
      <c r="I3365" s="70" t="s">
        <v>179</v>
      </c>
      <c r="J3365" s="71">
        <f>IF(OR(I3365=0,I3365=""),"unrated",VLOOKUP(I3365,MappingTables!$B$19:$C$31,2,FALSE))</f>
        <v>4</v>
      </c>
      <c r="K3365" s="72">
        <v>10218.15636721097</v>
      </c>
      <c r="L3365" s="70">
        <v>7.5530273510404672</v>
      </c>
      <c r="M3365" s="71">
        <f>IF(L3365&lt;1,1,L3365)</f>
        <v>7.5530273510404672</v>
      </c>
      <c r="N3365" s="70" t="s">
        <v>141</v>
      </c>
      <c r="O3365" s="71">
        <f>INDEX(DurClassMapping,MATCH(M3365,MappingTables!$D$4:$D$8,-1),1)</f>
        <v>2</v>
      </c>
      <c r="P3365" s="73">
        <f>IF(M3365=$A$1,1,$M3365-INDEX(MappingTables!$E$4:$E$8,MATCH(O3365,MappingTables!$B$4:$B$8,0)))</f>
        <v>2.5530273510404672</v>
      </c>
      <c r="Q3365" s="71">
        <f>IF(B3365="",0,INDEX(ModelParameters!$D$6:$K$10,MATCH($O3365,ModelParameters!$B$6:$B$10,0),MATCH($J3365,ModelParameters!$D$5:$K$5,0)))</f>
        <v>0.025</v>
      </c>
      <c r="R3365" s="71">
        <f>IF(B3365="",0,INDEX(ModelParameters!$D$13:$K$17,MATCH($O3365,ModelParameters!$B$13:$B$17,0),MATCH($J3365,ModelParameters!$D$5:$K$5,0)))</f>
        <v>0.225</v>
      </c>
      <c r="S3365" s="160">
        <f>IF(B3365="",0,MIN(IF($N3365="Other Bond TM",ModelParameters!$N$21,1)*(P3365*Q3365+R3365),1))</f>
        <v>0.28882568377601168</v>
      </c>
      <c r="T3365" s="85">
        <f>IF(B3365="",0,$S3365*$K3365)</f>
        <v>2951.265999689916</v>
      </c>
      <c r="U3365" s="85">
        <f>IF(B3365="",0,IF(OR(H3365=MappingTables!$C$34,H3365=MappingTables!$C$35),T3365,0))</f>
        <v>0</v>
      </c>
      <c r="V3365" s="85">
        <f>IF(ISNA(IF(AND(VLOOKUP(CONCATENATE($D3365,$G3365),CSRFinput!$B:$E,4,0)=0,OR(H3365=MappingTables!$C$34,H3365=MappingTables!$C$35)),1,VLOOKUP(CONCATENATE($D3365,$G3365),CSRFinput!$B:$E,4,0))),0,IF(AND(VLOOKUP(CONCATENATE($D3365,$G3365),CSRFinput!$B:$E,4,0)=0,OR(H3365=MappingTables!$C$34,H3365=MappingTables!$C$35)),1,VLOOKUP(CONCATENATE($D3365,$G3365),CSRFinput!$B:$E,4,0)))</f>
        <v>0.054776304963434752</v>
      </c>
      <c r="W3365" s="85">
        <f>IF(B3365="",0,+$T3365*$V3365)</f>
        <v>161.65944642723098</v>
      </c>
      <c r="X3365" s="85">
        <f>IF(B3365="",0,IF(OR(H3365=MappingTables!$C$34,H3365=MappingTables!$C$35),W3365,0))</f>
        <v>0</v>
      </c>
    </row>
    <row r="3366" spans="2:24" s="0" customFormat="0" ht="15">
      <c r="B3366" s="69" t="s">
        <v>1312</v>
      </c>
      <c r="C3366" s="70" t="s">
        <v>1313</v>
      </c>
      <c r="D3366" s="70" t="s">
        <v>1</v>
      </c>
      <c r="E3366" s="70" t="s">
        <v>1</v>
      </c>
      <c r="F3366" s="70"/>
      <c r="G3366" s="70" t="s">
        <v>61</v>
      </c>
      <c r="H3366" s="70" t="s">
        <v>178</v>
      </c>
      <c r="I3366" s="70" t="s">
        <v>184</v>
      </c>
      <c r="J3366" s="71">
        <f>IF(OR(I3366=0,I3366=""),"unrated",VLOOKUP(I3366,MappingTables!$B$19:$C$31,2,FALSE))</f>
        <v>5</v>
      </c>
      <c r="K3366" s="72">
        <v>152.10650604015606</v>
      </c>
      <c r="L3366" s="70">
        <v>0.94032600954560992</v>
      </c>
      <c r="M3366" s="71">
        <f>IF(L3366&lt;1,1,L3366)</f>
        <v>1</v>
      </c>
      <c r="N3366" s="70" t="s">
        <v>141</v>
      </c>
      <c r="O3366" s="71">
        <f>INDEX(DurClassMapping,MATCH(M3366,MappingTables!$D$4:$D$8,-1),1)</f>
        <v>1</v>
      </c>
      <c r="P3366" s="73">
        <f>IF(M3366=$A$1,1,$M3366-INDEX(MappingTables!$E$4:$E$8,MATCH(O3366,MappingTables!$B$4:$B$8,0)))</f>
        <v>1</v>
      </c>
      <c r="Q3366" s="71">
        <f>IF(B3366="",0,INDEX(ModelParameters!$D$6:$K$10,MATCH($O3366,ModelParameters!$B$6:$B$10,0),MATCH($J3366,ModelParameters!$D$5:$K$5,0)))</f>
        <v>0.075</v>
      </c>
      <c r="R3366" s="71">
        <f>IF(B3366="",0,INDEX(ModelParameters!$D$13:$K$17,MATCH($O3366,ModelParameters!$B$13:$B$17,0),MATCH($J3366,ModelParameters!$D$5:$K$5,0)))</f>
        <v>0</v>
      </c>
      <c r="S3366" s="160">
        <f>IF(B3366="",0,MIN(IF($N3366="Other Bond TM",ModelParameters!$N$21,1)*(P3366*Q3366+R3366),1))</f>
        <v>0.075</v>
      </c>
      <c r="T3366" s="85">
        <f>IF(B3366="",0,$S3366*$K3366)</f>
        <v>11.407987953011704</v>
      </c>
      <c r="U3366" s="85">
        <f>IF(B3366="",0,IF(OR(H3366=MappingTables!$C$34,H3366=MappingTables!$C$35),T3366,0))</f>
        <v>0</v>
      </c>
      <c r="V3366" s="85">
        <f>IF(ISNA(IF(AND(VLOOKUP(CONCATENATE($D3366,$G3366),CSRFinput!$B:$E,4,0)=0,OR(H3366=MappingTables!$C$34,H3366=MappingTables!$C$35)),1,VLOOKUP(CONCATENATE($D3366,$G3366),CSRFinput!$B:$E,4,0))),0,IF(AND(VLOOKUP(CONCATENATE($D3366,$G3366),CSRFinput!$B:$E,4,0)=0,OR(H3366=MappingTables!$C$34,H3366=MappingTables!$C$35)),1,VLOOKUP(CONCATENATE($D3366,$G3366),CSRFinput!$B:$E,4,0)))</f>
        <v>0.054776304963434752</v>
      </c>
      <c r="W3366" s="85">
        <f>IF(B3366="",0,+$T3366*$V3366)</f>
        <v>0.62488742713335888</v>
      </c>
      <c r="X3366" s="85">
        <f>IF(B3366="",0,IF(OR(H3366=MappingTables!$C$34,H3366=MappingTables!$C$35),W3366,0))</f>
        <v>0</v>
      </c>
    </row>
    <row r="3367" spans="2:24" s="0" customFormat="0" ht="15">
      <c r="B3367" s="69" t="s">
        <v>2294</v>
      </c>
      <c r="C3367" s="70" t="s">
        <v>2295</v>
      </c>
      <c r="D3367" s="70" t="s">
        <v>1</v>
      </c>
      <c r="E3367" s="70" t="s">
        <v>1</v>
      </c>
      <c r="F3367" s="70"/>
      <c r="G3367" s="70" t="s">
        <v>61</v>
      </c>
      <c r="H3367" s="70" t="s">
        <v>178</v>
      </c>
      <c r="I3367" s="70" t="s">
        <v>198</v>
      </c>
      <c r="J3367" s="71" t="str">
        <f>IF(OR(I3367=0,I3367=""),"unrated",VLOOKUP(I3367,MappingTables!$B$19:$C$31,2,FALSE))</f>
        <v>unrated</v>
      </c>
      <c r="K3367" s="72">
        <v>0.4456448975703216</v>
      </c>
      <c r="L3367" s="70">
        <v>0.12876647721619058</v>
      </c>
      <c r="M3367" s="71">
        <f>IF(L3367&lt;1,1,L3367)</f>
        <v>1</v>
      </c>
      <c r="N3367" s="70" t="s">
        <v>141</v>
      </c>
      <c r="O3367" s="71">
        <f>INDEX(DurClassMapping,MATCH(M3367,MappingTables!$D$4:$D$8,-1),1)</f>
        <v>1</v>
      </c>
      <c r="P3367" s="73">
        <f>IF(M3367=$A$1,1,$M3367-INDEX(MappingTables!$E$4:$E$8,MATCH(O3367,MappingTables!$B$4:$B$8,0)))</f>
        <v>1</v>
      </c>
      <c r="Q3367" s="71">
        <f>IF(B3367="",0,INDEX(ModelParameters!$D$6:$K$10,MATCH($O3367,ModelParameters!$B$6:$B$10,0),MATCH($J3367,ModelParameters!$D$5:$K$5,0)))</f>
        <v>0.03</v>
      </c>
      <c r="R3367" s="71">
        <f>IF(B3367="",0,INDEX(ModelParameters!$D$13:$K$17,MATCH($O3367,ModelParameters!$B$13:$B$17,0),MATCH($J3367,ModelParameters!$D$5:$K$5,0)))</f>
        <v>0</v>
      </c>
      <c r="S3367" s="160">
        <f>IF(B3367="",0,MIN(IF($N3367="Other Bond TM",ModelParameters!$N$21,1)*(P3367*Q3367+R3367),1))</f>
        <v>0.03</v>
      </c>
      <c r="T3367" s="85">
        <f>IF(B3367="",0,$S3367*$K3367)</f>
        <v>0.013369346927109648</v>
      </c>
      <c r="U3367" s="85">
        <f>IF(B3367="",0,IF(OR(H3367=MappingTables!$C$34,H3367=MappingTables!$C$35),T3367,0))</f>
        <v>0</v>
      </c>
      <c r="V3367" s="85">
        <f>IF(ISNA(IF(AND(VLOOKUP(CONCATENATE($D3367,$G3367),CSRFinput!$B:$E,4,0)=0,OR(H3367=MappingTables!$C$34,H3367=MappingTables!$C$35)),1,VLOOKUP(CONCATENATE($D3367,$G3367),CSRFinput!$B:$E,4,0))),0,IF(AND(VLOOKUP(CONCATENATE($D3367,$G3367),CSRFinput!$B:$E,4,0)=0,OR(H3367=MappingTables!$C$34,H3367=MappingTables!$C$35)),1,VLOOKUP(CONCATENATE($D3367,$G3367),CSRFinput!$B:$E,4,0)))</f>
        <v>0.054776304963434752</v>
      </c>
      <c r="W3367" s="85">
        <f>IF(B3367="",0,+$T3367*$V3367)</f>
        <v>0.00073232342444131744</v>
      </c>
      <c r="X3367" s="85">
        <f>IF(B3367="",0,IF(OR(H3367=MappingTables!$C$34,H3367=MappingTables!$C$35),W3367,0))</f>
        <v>0</v>
      </c>
    </row>
    <row r="3368" spans="2:24" s="0" customFormat="0" ht="15">
      <c r="B3368" s="69" t="s">
        <v>2348</v>
      </c>
      <c r="C3368" s="70" t="s">
        <v>2349</v>
      </c>
      <c r="D3368" s="70" t="s">
        <v>1</v>
      </c>
      <c r="E3368" s="70" t="s">
        <v>1</v>
      </c>
      <c r="F3368" s="70"/>
      <c r="G3368" s="70" t="s">
        <v>61</v>
      </c>
      <c r="H3368" s="70" t="s">
        <v>178</v>
      </c>
      <c r="I3368" s="70" t="s">
        <v>181</v>
      </c>
      <c r="J3368" s="71">
        <f>IF(OR(I3368=0,I3368=""),"unrated",VLOOKUP(I3368,MappingTables!$B$19:$C$31,2,FALSE))</f>
        <v>3</v>
      </c>
      <c r="K3368" s="72">
        <v>50355.526791335312</v>
      </c>
      <c r="L3368" s="70">
        <v>2.5317262419544836</v>
      </c>
      <c r="M3368" s="71">
        <f>IF(L3368&lt;1,1,L3368)</f>
        <v>2.5317262419544836</v>
      </c>
      <c r="N3368" s="70" t="s">
        <v>141</v>
      </c>
      <c r="O3368" s="71">
        <f>INDEX(DurClassMapping,MATCH(M3368,MappingTables!$D$4:$D$8,-1),1)</f>
        <v>1</v>
      </c>
      <c r="P3368" s="73">
        <f>IF(M3368=$A$1,1,$M3368-INDEX(MappingTables!$E$4:$E$8,MATCH(O3368,MappingTables!$B$4:$B$8,0)))</f>
        <v>2.5317262419544836</v>
      </c>
      <c r="Q3368" s="71">
        <f>IF(B3368="",0,INDEX(ModelParameters!$D$6:$K$10,MATCH($O3368,ModelParameters!$B$6:$B$10,0),MATCH($J3368,ModelParameters!$D$5:$K$5,0)))</f>
        <v>0.025</v>
      </c>
      <c r="R3368" s="71">
        <f>IF(B3368="",0,INDEX(ModelParameters!$D$13:$K$17,MATCH($O3368,ModelParameters!$B$13:$B$17,0),MATCH($J3368,ModelParameters!$D$5:$K$5,0)))</f>
        <v>0</v>
      </c>
      <c r="S3368" s="160">
        <f>IF(B3368="",0,MIN(IF($N3368="Other Bond TM",ModelParameters!$N$21,1)*(P3368*Q3368+R3368),1))</f>
        <v>0.063293156048862088</v>
      </c>
      <c r="T3368" s="85">
        <f>IF(B3368="",0,$S3368*$K3368)</f>
        <v>3187.1602151266412</v>
      </c>
      <c r="U3368" s="85">
        <f>IF(B3368="",0,IF(OR(H3368=MappingTables!$C$34,H3368=MappingTables!$C$35),T3368,0))</f>
        <v>0</v>
      </c>
      <c r="V3368" s="85">
        <f>IF(ISNA(IF(AND(VLOOKUP(CONCATENATE($D3368,$G3368),CSRFinput!$B:$E,4,0)=0,OR(H3368=MappingTables!$C$34,H3368=MappingTables!$C$35)),1,VLOOKUP(CONCATENATE($D3368,$G3368),CSRFinput!$B:$E,4,0))),0,IF(AND(VLOOKUP(CONCATENATE($D3368,$G3368),CSRFinput!$B:$E,4,0)=0,OR(H3368=MappingTables!$C$34,H3368=MappingTables!$C$35)),1,VLOOKUP(CONCATENATE($D3368,$G3368),CSRFinput!$B:$E,4,0)))</f>
        <v>0.054776304963434752</v>
      </c>
      <c r="W3368" s="85">
        <f>IF(B3368="",0,+$T3368*$V3368)</f>
        <v>174.5808599111032</v>
      </c>
      <c r="X3368" s="85">
        <f>IF(B3368="",0,IF(OR(H3368=MappingTables!$C$34,H3368=MappingTables!$C$35),W3368,0))</f>
        <v>0</v>
      </c>
    </row>
    <row r="3369" spans="2:24" s="0" customFormat="0" ht="15">
      <c r="B3369" s="69">
        <v>23543699</v>
      </c>
      <c r="C3369" s="70" t="s">
        <v>2595</v>
      </c>
      <c r="D3369" s="70" t="s">
        <v>1</v>
      </c>
      <c r="E3369" s="70" t="s">
        <v>1</v>
      </c>
      <c r="F3369" s="70"/>
      <c r="G3369" s="70" t="s">
        <v>61</v>
      </c>
      <c r="H3369" s="70" t="s">
        <v>178</v>
      </c>
      <c r="I3369" s="70" t="s">
        <v>188</v>
      </c>
      <c r="J3369" s="71">
        <f>IF(OR(I3369=0,I3369=""),"unrated",VLOOKUP(I3369,MappingTables!$B$19:$C$31,2,FALSE))</f>
        <v>2</v>
      </c>
      <c r="K3369" s="72">
        <v>1654.4054434469458</v>
      </c>
      <c r="L3369" s="70">
        <v>2.4640472754515536</v>
      </c>
      <c r="M3369" s="71">
        <f>IF(L3369&lt;1,1,L3369)</f>
        <v>2.4640472754515536</v>
      </c>
      <c r="N3369" s="70" t="s">
        <v>141</v>
      </c>
      <c r="O3369" s="71">
        <f>INDEX(DurClassMapping,MATCH(M3369,MappingTables!$D$4:$D$8,-1),1)</f>
        <v>1</v>
      </c>
      <c r="P3369" s="73">
        <f>IF(M3369=$A$1,1,$M3369-INDEX(MappingTables!$E$4:$E$8,MATCH(O3369,MappingTables!$B$4:$B$8,0)))</f>
        <v>2.4640472754515536</v>
      </c>
      <c r="Q3369" s="71">
        <f>IF(B3369="",0,INDEX(ModelParameters!$D$6:$K$10,MATCH($O3369,ModelParameters!$B$6:$B$10,0),MATCH($J3369,ModelParameters!$D$5:$K$5,0)))</f>
        <v>0.013999999999999998</v>
      </c>
      <c r="R3369" s="71">
        <f>IF(B3369="",0,INDEX(ModelParameters!$D$13:$K$17,MATCH($O3369,ModelParameters!$B$13:$B$17,0),MATCH($J3369,ModelParameters!$D$5:$K$5,0)))</f>
        <v>0</v>
      </c>
      <c r="S3369" s="160">
        <f>IF(B3369="",0,MIN(IF($N3369="Other Bond TM",ModelParameters!$N$21,1)*(P3369*Q3369+R3369),1))</f>
        <v>0.034496661856321748</v>
      </c>
      <c r="T3369" s="85">
        <f>IF(B3369="",0,$S3369*$K3369)</f>
        <v>57.07146515584732</v>
      </c>
      <c r="U3369" s="85">
        <f>IF(B3369="",0,IF(OR(H3369=MappingTables!$C$34,H3369=MappingTables!$C$35),T3369,0))</f>
        <v>0</v>
      </c>
      <c r="V3369" s="85">
        <f>IF(ISNA(IF(AND(VLOOKUP(CONCATENATE($D3369,$G3369),CSRFinput!$B:$E,4,0)=0,OR(H3369=MappingTables!$C$34,H3369=MappingTables!$C$35)),1,VLOOKUP(CONCATENATE($D3369,$G3369),CSRFinput!$B:$E,4,0))),0,IF(AND(VLOOKUP(CONCATENATE($D3369,$G3369),CSRFinput!$B:$E,4,0)=0,OR(H3369=MappingTables!$C$34,H3369=MappingTables!$C$35)),1,VLOOKUP(CONCATENATE($D3369,$G3369),CSRFinput!$B:$E,4,0)))</f>
        <v>0.054776304963434752</v>
      </c>
      <c r="W3369" s="85">
        <f>IF(B3369="",0,+$T3369*$V3369)</f>
        <v>3.1261639800867332</v>
      </c>
      <c r="X3369" s="85">
        <f>IF(B3369="",0,IF(OR(H3369=MappingTables!$C$34,H3369=MappingTables!$C$35),W3369,0))</f>
        <v>0</v>
      </c>
    </row>
    <row r="3370" spans="2:24" s="0" customFormat="0" ht="15">
      <c r="B3370" s="69">
        <v>11821210</v>
      </c>
      <c r="C3370" s="70" t="s">
        <v>309</v>
      </c>
      <c r="D3370" s="70" t="s">
        <v>1</v>
      </c>
      <c r="E3370" s="70" t="s">
        <v>1</v>
      </c>
      <c r="F3370" s="70"/>
      <c r="G3370" s="70" t="s">
        <v>61</v>
      </c>
      <c r="H3370" s="70" t="s">
        <v>178</v>
      </c>
      <c r="I3370" s="70" t="s">
        <v>181</v>
      </c>
      <c r="J3370" s="71">
        <f>IF(OR(I3370=0,I3370=""),"unrated",VLOOKUP(I3370,MappingTables!$B$19:$C$31,2,FALSE))</f>
        <v>3</v>
      </c>
      <c r="K3370" s="72">
        <v>1356.3085025023444</v>
      </c>
      <c r="L3370" s="70">
        <v>0.2876691931421178</v>
      </c>
      <c r="M3370" s="71">
        <f>IF(L3370&lt;1,1,L3370)</f>
        <v>1</v>
      </c>
      <c r="N3370" s="70" t="s">
        <v>141</v>
      </c>
      <c r="O3370" s="71">
        <f>INDEX(DurClassMapping,MATCH(M3370,MappingTables!$D$4:$D$8,-1),1)</f>
        <v>1</v>
      </c>
      <c r="P3370" s="73">
        <f>IF(M3370=$A$1,1,$M3370-INDEX(MappingTables!$E$4:$E$8,MATCH(O3370,MappingTables!$B$4:$B$8,0)))</f>
        <v>1</v>
      </c>
      <c r="Q3370" s="71">
        <f>IF(B3370="",0,INDEX(ModelParameters!$D$6:$K$10,MATCH($O3370,ModelParameters!$B$6:$B$10,0),MATCH($J3370,ModelParameters!$D$5:$K$5,0)))</f>
        <v>0.025</v>
      </c>
      <c r="R3370" s="71">
        <f>IF(B3370="",0,INDEX(ModelParameters!$D$13:$K$17,MATCH($O3370,ModelParameters!$B$13:$B$17,0),MATCH($J3370,ModelParameters!$D$5:$K$5,0)))</f>
        <v>0</v>
      </c>
      <c r="S3370" s="160">
        <f>IF(B3370="",0,MIN(IF($N3370="Other Bond TM",ModelParameters!$N$21,1)*(P3370*Q3370+R3370),1))</f>
        <v>0.025</v>
      </c>
      <c r="T3370" s="85">
        <f>IF(B3370="",0,$S3370*$K3370)</f>
        <v>33.907712562558616</v>
      </c>
      <c r="U3370" s="85">
        <f>IF(B3370="",0,IF(OR(H3370=MappingTables!$C$34,H3370=MappingTables!$C$35),T3370,0))</f>
        <v>0</v>
      </c>
      <c r="V3370" s="85">
        <f>IF(ISNA(IF(AND(VLOOKUP(CONCATENATE($D3370,$G3370),CSRFinput!$B:$E,4,0)=0,OR(H3370=MappingTables!$C$34,H3370=MappingTables!$C$35)),1,VLOOKUP(CONCATENATE($D3370,$G3370),CSRFinput!$B:$E,4,0))),0,IF(AND(VLOOKUP(CONCATENATE($D3370,$G3370),CSRFinput!$B:$E,4,0)=0,OR(H3370=MappingTables!$C$34,H3370=MappingTables!$C$35)),1,VLOOKUP(CONCATENATE($D3370,$G3370),CSRFinput!$B:$E,4,0)))</f>
        <v>0.054776304963434752</v>
      </c>
      <c r="W3370" s="85">
        <f>IF(B3370="",0,+$T3370*$V3370)</f>
        <v>1.8573392039391984</v>
      </c>
      <c r="X3370" s="85">
        <f>IF(B3370="",0,IF(OR(H3370=MappingTables!$C$34,H3370=MappingTables!$C$35),W3370,0))</f>
        <v>0</v>
      </c>
    </row>
    <row r="3371" spans="2:24" s="0" customFormat="0" ht="15">
      <c r="B3371" s="69">
        <v>14591485</v>
      </c>
      <c r="C3371" s="70" t="s">
        <v>2756</v>
      </c>
      <c r="D3371" s="70" t="s">
        <v>1</v>
      </c>
      <c r="E3371" s="70" t="s">
        <v>1</v>
      </c>
      <c r="F3371" s="70"/>
      <c r="G3371" s="70" t="s">
        <v>61</v>
      </c>
      <c r="H3371" s="70" t="s">
        <v>178</v>
      </c>
      <c r="I3371" s="70" t="s">
        <v>179</v>
      </c>
      <c r="J3371" s="71">
        <f>IF(OR(I3371=0,I3371=""),"unrated",VLOOKUP(I3371,MappingTables!$B$19:$C$31,2,FALSE))</f>
        <v>4</v>
      </c>
      <c r="K3371" s="72">
        <v>2551.105678971078</v>
      </c>
      <c r="L3371" s="70">
        <v>1.5054639098996518</v>
      </c>
      <c r="M3371" s="71">
        <f>IF(L3371&lt;1,1,L3371)</f>
        <v>1.5054639098996518</v>
      </c>
      <c r="N3371" s="70" t="s">
        <v>141</v>
      </c>
      <c r="O3371" s="71">
        <f>INDEX(DurClassMapping,MATCH(M3371,MappingTables!$D$4:$D$8,-1),1)</f>
        <v>1</v>
      </c>
      <c r="P3371" s="73">
        <f>IF(M3371=$A$1,1,$M3371-INDEX(MappingTables!$E$4:$E$8,MATCH(O3371,MappingTables!$B$4:$B$8,0)))</f>
        <v>1.5054639098996518</v>
      </c>
      <c r="Q3371" s="71">
        <f>IF(B3371="",0,INDEX(ModelParameters!$D$6:$K$10,MATCH($O3371,ModelParameters!$B$6:$B$10,0),MATCH($J3371,ModelParameters!$D$5:$K$5,0)))</f>
        <v>0.045</v>
      </c>
      <c r="R3371" s="71">
        <f>IF(B3371="",0,INDEX(ModelParameters!$D$13:$K$17,MATCH($O3371,ModelParameters!$B$13:$B$17,0),MATCH($J3371,ModelParameters!$D$5:$K$5,0)))</f>
        <v>0</v>
      </c>
      <c r="S3371" s="160">
        <f>IF(B3371="",0,MIN(IF($N3371="Other Bond TM",ModelParameters!$N$21,1)*(P3371*Q3371+R3371),1))</f>
        <v>0.067745875945484328</v>
      </c>
      <c r="T3371" s="85">
        <f>IF(B3371="",0,$S3371*$K3371)</f>
        <v>172.82688885139522</v>
      </c>
      <c r="U3371" s="85">
        <f>IF(B3371="",0,IF(OR(H3371=MappingTables!$C$34,H3371=MappingTables!$C$35),T3371,0))</f>
        <v>0</v>
      </c>
      <c r="V3371" s="85">
        <f>IF(ISNA(IF(AND(VLOOKUP(CONCATENATE($D3371,$G3371),CSRFinput!$B:$E,4,0)=0,OR(H3371=MappingTables!$C$34,H3371=MappingTables!$C$35)),1,VLOOKUP(CONCATENATE($D3371,$G3371),CSRFinput!$B:$E,4,0))),0,IF(AND(VLOOKUP(CONCATENATE($D3371,$G3371),CSRFinput!$B:$E,4,0)=0,OR(H3371=MappingTables!$C$34,H3371=MappingTables!$C$35)),1,VLOOKUP(CONCATENATE($D3371,$G3371),CSRFinput!$B:$E,4,0)))</f>
        <v>0.054776304963434752</v>
      </c>
      <c r="W3371" s="85">
        <f>IF(B3371="",0,+$T3371*$V3371)</f>
        <v>9.4668183696056656</v>
      </c>
      <c r="X3371" s="85">
        <f>IF(B3371="",0,IF(OR(H3371=MappingTables!$C$34,H3371=MappingTables!$C$35),W3371,0))</f>
        <v>0</v>
      </c>
    </row>
    <row r="3372" spans="2:24" s="0" customFormat="0" ht="15">
      <c r="B3372" s="69">
        <v>14851179</v>
      </c>
      <c r="C3372" s="70" t="s">
        <v>2820</v>
      </c>
      <c r="D3372" s="70" t="s">
        <v>1</v>
      </c>
      <c r="E3372" s="70" t="s">
        <v>1</v>
      </c>
      <c r="F3372" s="70"/>
      <c r="G3372" s="70" t="s">
        <v>61</v>
      </c>
      <c r="H3372" s="70" t="s">
        <v>178</v>
      </c>
      <c r="I3372" s="70" t="s">
        <v>181</v>
      </c>
      <c r="J3372" s="71">
        <f>IF(OR(I3372=0,I3372=""),"unrated",VLOOKUP(I3372,MappingTables!$B$19:$C$31,2,FALSE))</f>
        <v>3</v>
      </c>
      <c r="K3372" s="72">
        <v>724.40458954188416</v>
      </c>
      <c r="L3372" s="70">
        <v>1.8962090918723088</v>
      </c>
      <c r="M3372" s="71">
        <f>IF(L3372&lt;1,1,L3372)</f>
        <v>1.8962090918723088</v>
      </c>
      <c r="N3372" s="70" t="s">
        <v>141</v>
      </c>
      <c r="O3372" s="71">
        <f>INDEX(DurClassMapping,MATCH(M3372,MappingTables!$D$4:$D$8,-1),1)</f>
        <v>1</v>
      </c>
      <c r="P3372" s="73">
        <f>IF(M3372=$A$1,1,$M3372-INDEX(MappingTables!$E$4:$E$8,MATCH(O3372,MappingTables!$B$4:$B$8,0)))</f>
        <v>1.8962090918723088</v>
      </c>
      <c r="Q3372" s="71">
        <f>IF(B3372="",0,INDEX(ModelParameters!$D$6:$K$10,MATCH($O3372,ModelParameters!$B$6:$B$10,0),MATCH($J3372,ModelParameters!$D$5:$K$5,0)))</f>
        <v>0.025</v>
      </c>
      <c r="R3372" s="71">
        <f>IF(B3372="",0,INDEX(ModelParameters!$D$13:$K$17,MATCH($O3372,ModelParameters!$B$13:$B$17,0),MATCH($J3372,ModelParameters!$D$5:$K$5,0)))</f>
        <v>0</v>
      </c>
      <c r="S3372" s="160">
        <f>IF(B3372="",0,MIN(IF($N3372="Other Bond TM",ModelParameters!$N$21,1)*(P3372*Q3372+R3372),1))</f>
        <v>0.04740522729680772</v>
      </c>
      <c r="T3372" s="85">
        <f>IF(B3372="",0,$S3372*$K3372)</f>
        <v>34.340564222083712</v>
      </c>
      <c r="U3372" s="85">
        <f>IF(B3372="",0,IF(OR(H3372=MappingTables!$C$34,H3372=MappingTables!$C$35),T3372,0))</f>
        <v>0</v>
      </c>
      <c r="V3372" s="85">
        <f>IF(ISNA(IF(AND(VLOOKUP(CONCATENATE($D3372,$G3372),CSRFinput!$B:$E,4,0)=0,OR(H3372=MappingTables!$C$34,H3372=MappingTables!$C$35)),1,VLOOKUP(CONCATENATE($D3372,$G3372),CSRFinput!$B:$E,4,0))),0,IF(AND(VLOOKUP(CONCATENATE($D3372,$G3372),CSRFinput!$B:$E,4,0)=0,OR(H3372=MappingTables!$C$34,H3372=MappingTables!$C$35)),1,VLOOKUP(CONCATENATE($D3372,$G3372),CSRFinput!$B:$E,4,0)))</f>
        <v>0.054776304963434752</v>
      </c>
      <c r="W3372" s="85">
        <f>IF(B3372="",0,+$T3372*$V3372)</f>
        <v>1.881049218445274</v>
      </c>
      <c r="X3372" s="85">
        <f>IF(B3372="",0,IF(OR(H3372=MappingTables!$C$34,H3372=MappingTables!$C$35),W3372,0))</f>
        <v>0</v>
      </c>
    </row>
    <row r="3373" spans="2:24" s="0" customFormat="0" ht="15">
      <c r="B3373" s="69">
        <v>21669715</v>
      </c>
      <c r="C3373" s="70" t="s">
        <v>908</v>
      </c>
      <c r="D3373" s="70" t="s">
        <v>1</v>
      </c>
      <c r="E3373" s="70" t="s">
        <v>1</v>
      </c>
      <c r="F3373" s="70"/>
      <c r="G3373" s="70" t="s">
        <v>61</v>
      </c>
      <c r="H3373" s="70" t="s">
        <v>178</v>
      </c>
      <c r="I3373" s="70" t="s">
        <v>181</v>
      </c>
      <c r="J3373" s="71">
        <f>IF(OR(I3373=0,I3373=""),"unrated",VLOOKUP(I3373,MappingTables!$B$19:$C$31,2,FALSE))</f>
        <v>3</v>
      </c>
      <c r="K3373" s="72">
        <v>1801.98839586281</v>
      </c>
      <c r="L3373" s="70">
        <v>4.3391883183747752</v>
      </c>
      <c r="M3373" s="71">
        <f>IF(L3373&lt;1,1,L3373)</f>
        <v>4.3391883183747752</v>
      </c>
      <c r="N3373" s="70" t="s">
        <v>141</v>
      </c>
      <c r="O3373" s="71">
        <f>INDEX(DurClassMapping,MATCH(M3373,MappingTables!$D$4:$D$8,-1),1)</f>
        <v>1</v>
      </c>
      <c r="P3373" s="73">
        <f>IF(M3373=$A$1,1,$M3373-INDEX(MappingTables!$E$4:$E$8,MATCH(O3373,MappingTables!$B$4:$B$8,0)))</f>
        <v>4.3391883183747752</v>
      </c>
      <c r="Q3373" s="71">
        <f>IF(B3373="",0,INDEX(ModelParameters!$D$6:$K$10,MATCH($O3373,ModelParameters!$B$6:$B$10,0),MATCH($J3373,ModelParameters!$D$5:$K$5,0)))</f>
        <v>0.025</v>
      </c>
      <c r="R3373" s="71">
        <f>IF(B3373="",0,INDEX(ModelParameters!$D$13:$K$17,MATCH($O3373,ModelParameters!$B$13:$B$17,0),MATCH($J3373,ModelParameters!$D$5:$K$5,0)))</f>
        <v>0</v>
      </c>
      <c r="S3373" s="160">
        <f>IF(B3373="",0,MIN(IF($N3373="Other Bond TM",ModelParameters!$N$21,1)*(P3373*Q3373+R3373),1))</f>
        <v>0.1084797079593694</v>
      </c>
      <c r="T3373" s="85">
        <f>IF(B3373="",0,$S3373*$K3373)</f>
        <v>195.47917492937016</v>
      </c>
      <c r="U3373" s="85">
        <f>IF(B3373="",0,IF(OR(H3373=MappingTables!$C$34,H3373=MappingTables!$C$35),T3373,0))</f>
        <v>0</v>
      </c>
      <c r="V3373" s="85">
        <f>IF(ISNA(IF(AND(VLOOKUP(CONCATENATE($D3373,$G3373),CSRFinput!$B:$E,4,0)=0,OR(H3373=MappingTables!$C$34,H3373=MappingTables!$C$35)),1,VLOOKUP(CONCATENATE($D3373,$G3373),CSRFinput!$B:$E,4,0))),0,IF(AND(VLOOKUP(CONCATENATE($D3373,$G3373),CSRFinput!$B:$E,4,0)=0,OR(H3373=MappingTables!$C$34,H3373=MappingTables!$C$35)),1,VLOOKUP(CONCATENATE($D3373,$G3373),CSRFinput!$B:$E,4,0)))</f>
        <v>0.054776304963434752</v>
      </c>
      <c r="W3373" s="85">
        <f>IF(B3373="",0,+$T3373*$V3373)</f>
        <v>10.70762689993179</v>
      </c>
      <c r="X3373" s="85">
        <f>IF(B3373="",0,IF(OR(H3373=MappingTables!$C$34,H3373=MappingTables!$C$35),W3373,0))</f>
        <v>0</v>
      </c>
    </row>
    <row r="3374" spans="2:24" s="0" customFormat="0" ht="15">
      <c r="B3374" s="69">
        <v>15798267</v>
      </c>
      <c r="C3374" s="70" t="s">
        <v>2821</v>
      </c>
      <c r="D3374" s="70" t="s">
        <v>1</v>
      </c>
      <c r="E3374" s="70" t="s">
        <v>1</v>
      </c>
      <c r="F3374" s="70"/>
      <c r="G3374" s="70" t="s">
        <v>61</v>
      </c>
      <c r="H3374" s="70" t="s">
        <v>178</v>
      </c>
      <c r="I3374" s="70" t="s">
        <v>181</v>
      </c>
      <c r="J3374" s="71">
        <f>IF(OR(I3374=0,I3374=""),"unrated",VLOOKUP(I3374,MappingTables!$B$19:$C$31,2,FALSE))</f>
        <v>3</v>
      </c>
      <c r="K3374" s="72">
        <v>2.056130997532196</v>
      </c>
      <c r="L3374" s="70">
        <v>1.9949968488432396</v>
      </c>
      <c r="M3374" s="71">
        <f>IF(L3374&lt;1,1,L3374)</f>
        <v>1.9949968488432396</v>
      </c>
      <c r="N3374" s="70" t="s">
        <v>141</v>
      </c>
      <c r="O3374" s="71">
        <f>INDEX(DurClassMapping,MATCH(M3374,MappingTables!$D$4:$D$8,-1),1)</f>
        <v>1</v>
      </c>
      <c r="P3374" s="73">
        <f>IF(M3374=$A$1,1,$M3374-INDEX(MappingTables!$E$4:$E$8,MATCH(O3374,MappingTables!$B$4:$B$8,0)))</f>
        <v>1.9949968488432396</v>
      </c>
      <c r="Q3374" s="71">
        <f>IF(B3374="",0,INDEX(ModelParameters!$D$6:$K$10,MATCH($O3374,ModelParameters!$B$6:$B$10,0),MATCH($J3374,ModelParameters!$D$5:$K$5,0)))</f>
        <v>0.025</v>
      </c>
      <c r="R3374" s="71">
        <f>IF(B3374="",0,INDEX(ModelParameters!$D$13:$K$17,MATCH($O3374,ModelParameters!$B$13:$B$17,0),MATCH($J3374,ModelParameters!$D$5:$K$5,0)))</f>
        <v>0</v>
      </c>
      <c r="S3374" s="160">
        <f>IF(B3374="",0,MIN(IF($N3374="Other Bond TM",ModelParameters!$N$21,1)*(P3374*Q3374+R3374),1))</f>
        <v>0.049874921221080992</v>
      </c>
      <c r="T3374" s="85">
        <f>IF(B3374="",0,$S3374*$K3374)</f>
        <v>0.10254937152214094</v>
      </c>
      <c r="U3374" s="85">
        <f>IF(B3374="",0,IF(OR(H3374=MappingTables!$C$34,H3374=MappingTables!$C$35),T3374,0))</f>
        <v>0</v>
      </c>
      <c r="V3374" s="85">
        <f>IF(ISNA(IF(AND(VLOOKUP(CONCATENATE($D3374,$G3374),CSRFinput!$B:$E,4,0)=0,OR(H3374=MappingTables!$C$34,H3374=MappingTables!$C$35)),1,VLOOKUP(CONCATENATE($D3374,$G3374),CSRFinput!$B:$E,4,0))),0,IF(AND(VLOOKUP(CONCATENATE($D3374,$G3374),CSRFinput!$B:$E,4,0)=0,OR(H3374=MappingTables!$C$34,H3374=MappingTables!$C$35)),1,VLOOKUP(CONCATENATE($D3374,$G3374),CSRFinput!$B:$E,4,0)))</f>
        <v>0.054776304963434752</v>
      </c>
      <c r="W3374" s="85">
        <f>IF(B3374="",0,+$T3374*$V3374)</f>
        <v>0.0056172756483053632</v>
      </c>
      <c r="X3374" s="85">
        <f>IF(B3374="",0,IF(OR(H3374=MappingTables!$C$34,H3374=MappingTables!$C$35),W3374,0))</f>
        <v>0</v>
      </c>
    </row>
    <row r="3375" spans="2:24" s="0" customFormat="0" ht="15">
      <c r="B3375" s="69">
        <v>15497495</v>
      </c>
      <c r="C3375" s="70" t="s">
        <v>2063</v>
      </c>
      <c r="D3375" s="70" t="s">
        <v>1</v>
      </c>
      <c r="E3375" s="70" t="s">
        <v>1</v>
      </c>
      <c r="F3375" s="70"/>
      <c r="G3375" s="70" t="s">
        <v>61</v>
      </c>
      <c r="H3375" s="70" t="s">
        <v>178</v>
      </c>
      <c r="I3375" s="70" t="s">
        <v>188</v>
      </c>
      <c r="J3375" s="71">
        <f>IF(OR(I3375=0,I3375=""),"unrated",VLOOKUP(I3375,MappingTables!$B$19:$C$31,2,FALSE))</f>
        <v>2</v>
      </c>
      <c r="K3375" s="72">
        <v>2725.0825721975372</v>
      </c>
      <c r="L3375" s="70">
        <v>1.98037400581143</v>
      </c>
      <c r="M3375" s="71">
        <f>IF(L3375&lt;1,1,L3375)</f>
        <v>1.98037400581143</v>
      </c>
      <c r="N3375" s="70" t="s">
        <v>141</v>
      </c>
      <c r="O3375" s="71">
        <f>INDEX(DurClassMapping,MATCH(M3375,MappingTables!$D$4:$D$8,-1),1)</f>
        <v>1</v>
      </c>
      <c r="P3375" s="73">
        <f>IF(M3375=$A$1,1,$M3375-INDEX(MappingTables!$E$4:$E$8,MATCH(O3375,MappingTables!$B$4:$B$8,0)))</f>
        <v>1.98037400581143</v>
      </c>
      <c r="Q3375" s="71">
        <f>IF(B3375="",0,INDEX(ModelParameters!$D$6:$K$10,MATCH($O3375,ModelParameters!$B$6:$B$10,0),MATCH($J3375,ModelParameters!$D$5:$K$5,0)))</f>
        <v>0.013999999999999998</v>
      </c>
      <c r="R3375" s="71">
        <f>IF(B3375="",0,INDEX(ModelParameters!$D$13:$K$17,MATCH($O3375,ModelParameters!$B$13:$B$17,0),MATCH($J3375,ModelParameters!$D$5:$K$5,0)))</f>
        <v>0</v>
      </c>
      <c r="S3375" s="160">
        <f>IF(B3375="",0,MIN(IF($N3375="Other Bond TM",ModelParameters!$N$21,1)*(P3375*Q3375+R3375),1))</f>
        <v>0.027725236081360016</v>
      </c>
      <c r="T3375" s="85">
        <f>IF(B3375="",0,$S3375*$K3375)</f>
        <v>75.553557655376528</v>
      </c>
      <c r="U3375" s="85">
        <f>IF(B3375="",0,IF(OR(H3375=MappingTables!$C$34,H3375=MappingTables!$C$35),T3375,0))</f>
        <v>0</v>
      </c>
      <c r="V3375" s="85">
        <f>IF(ISNA(IF(AND(VLOOKUP(CONCATENATE($D3375,$G3375),CSRFinput!$B:$E,4,0)=0,OR(H3375=MappingTables!$C$34,H3375=MappingTables!$C$35)),1,VLOOKUP(CONCATENATE($D3375,$G3375),CSRFinput!$B:$E,4,0))),0,IF(AND(VLOOKUP(CONCATENATE($D3375,$G3375),CSRFinput!$B:$E,4,0)=0,OR(H3375=MappingTables!$C$34,H3375=MappingTables!$C$35)),1,VLOOKUP(CONCATENATE($D3375,$G3375),CSRFinput!$B:$E,4,0)))</f>
        <v>0.054776304963434752</v>
      </c>
      <c r="W3375" s="85">
        <f>IF(B3375="",0,+$T3375*$V3375)</f>
        <v>4.1385447152033544</v>
      </c>
      <c r="X3375" s="85">
        <f>IF(B3375="",0,IF(OR(H3375=MappingTables!$C$34,H3375=MappingTables!$C$35),W3375,0))</f>
        <v>0</v>
      </c>
    </row>
    <row r="3376" spans="2:24" s="0" customFormat="0" ht="15">
      <c r="B3376" s="69" t="s">
        <v>1540</v>
      </c>
      <c r="C3376" s="70" t="s">
        <v>1541</v>
      </c>
      <c r="D3376" s="70" t="s">
        <v>1</v>
      </c>
      <c r="E3376" s="70" t="s">
        <v>1</v>
      </c>
      <c r="F3376" s="70"/>
      <c r="G3376" s="70" t="s">
        <v>61</v>
      </c>
      <c r="H3376" s="70" t="s">
        <v>178</v>
      </c>
      <c r="I3376" s="70" t="s">
        <v>181</v>
      </c>
      <c r="J3376" s="71">
        <f>IF(OR(I3376=0,I3376=""),"unrated",VLOOKUP(I3376,MappingTables!$B$19:$C$31,2,FALSE))</f>
        <v>3</v>
      </c>
      <c r="K3376" s="72">
        <v>1485.8931918161626</v>
      </c>
      <c r="L3376" s="70">
        <v>2.415117611745762</v>
      </c>
      <c r="M3376" s="71">
        <f>IF(L3376&lt;1,1,L3376)</f>
        <v>2.415117611745762</v>
      </c>
      <c r="N3376" s="70" t="s">
        <v>141</v>
      </c>
      <c r="O3376" s="71">
        <f>INDEX(DurClassMapping,MATCH(M3376,MappingTables!$D$4:$D$8,-1),1)</f>
        <v>1</v>
      </c>
      <c r="P3376" s="73">
        <f>IF(M3376=$A$1,1,$M3376-INDEX(MappingTables!$E$4:$E$8,MATCH(O3376,MappingTables!$B$4:$B$8,0)))</f>
        <v>2.415117611745762</v>
      </c>
      <c r="Q3376" s="71">
        <f>IF(B3376="",0,INDEX(ModelParameters!$D$6:$K$10,MATCH($O3376,ModelParameters!$B$6:$B$10,0),MATCH($J3376,ModelParameters!$D$5:$K$5,0)))</f>
        <v>0.025</v>
      </c>
      <c r="R3376" s="71">
        <f>IF(B3376="",0,INDEX(ModelParameters!$D$13:$K$17,MATCH($O3376,ModelParameters!$B$13:$B$17,0),MATCH($J3376,ModelParameters!$D$5:$K$5,0)))</f>
        <v>0</v>
      </c>
      <c r="S3376" s="160">
        <f>IF(B3376="",0,MIN(IF($N3376="Other Bond TM",ModelParameters!$N$21,1)*(P3376*Q3376+R3376),1))</f>
        <v>0.060377940293644048</v>
      </c>
      <c r="T3376" s="85">
        <f>IF(B3376="",0,$S3376*$K3376)</f>
        <v>89.715170418208464</v>
      </c>
      <c r="U3376" s="85">
        <f>IF(B3376="",0,IF(OR(H3376=MappingTables!$C$34,H3376=MappingTables!$C$35),T3376,0))</f>
        <v>0</v>
      </c>
      <c r="V3376" s="85">
        <f>IF(ISNA(IF(AND(VLOOKUP(CONCATENATE($D3376,$G3376),CSRFinput!$B:$E,4,0)=0,OR(H3376=MappingTables!$C$34,H3376=MappingTables!$C$35)),1,VLOOKUP(CONCATENATE($D3376,$G3376),CSRFinput!$B:$E,4,0))),0,IF(AND(VLOOKUP(CONCATENATE($D3376,$G3376),CSRFinput!$B:$E,4,0)=0,OR(H3376=MappingTables!$C$34,H3376=MappingTables!$C$35)),1,VLOOKUP(CONCATENATE($D3376,$G3376),CSRFinput!$B:$E,4,0)))</f>
        <v>0.054776304963434752</v>
      </c>
      <c r="W3376" s="85">
        <f>IF(B3376="",0,+$T3376*$V3376)</f>
        <v>4.9142655346743072</v>
      </c>
      <c r="X3376" s="85">
        <f>IF(B3376="",0,IF(OR(H3376=MappingTables!$C$34,H3376=MappingTables!$C$35),W3376,0))</f>
        <v>0</v>
      </c>
    </row>
    <row r="3377" spans="2:24" s="0" customFormat="0" ht="15">
      <c r="B3377" s="69">
        <v>12495004</v>
      </c>
      <c r="C3377" s="70" t="s">
        <v>301</v>
      </c>
      <c r="D3377" s="70" t="s">
        <v>1</v>
      </c>
      <c r="E3377" s="70" t="s">
        <v>1</v>
      </c>
      <c r="F3377" s="70"/>
      <c r="G3377" s="70" t="s">
        <v>61</v>
      </c>
      <c r="H3377" s="70" t="s">
        <v>178</v>
      </c>
      <c r="I3377" s="70" t="s">
        <v>181</v>
      </c>
      <c r="J3377" s="71">
        <f>IF(OR(I3377=0,I3377=""),"unrated",VLOOKUP(I3377,MappingTables!$B$19:$C$31,2,FALSE))</f>
        <v>3</v>
      </c>
      <c r="K3377" s="72">
        <v>10.52381099464728</v>
      </c>
      <c r="L3377" s="70">
        <v>0.62974191114579456</v>
      </c>
      <c r="M3377" s="71">
        <f>IF(L3377&lt;1,1,L3377)</f>
        <v>1</v>
      </c>
      <c r="N3377" s="70" t="s">
        <v>141</v>
      </c>
      <c r="O3377" s="71">
        <f>INDEX(DurClassMapping,MATCH(M3377,MappingTables!$D$4:$D$8,-1),1)</f>
        <v>1</v>
      </c>
      <c r="P3377" s="73">
        <f>IF(M3377=$A$1,1,$M3377-INDEX(MappingTables!$E$4:$E$8,MATCH(O3377,MappingTables!$B$4:$B$8,0)))</f>
        <v>1</v>
      </c>
      <c r="Q3377" s="71">
        <f>IF(B3377="",0,INDEX(ModelParameters!$D$6:$K$10,MATCH($O3377,ModelParameters!$B$6:$B$10,0),MATCH($J3377,ModelParameters!$D$5:$K$5,0)))</f>
        <v>0.025</v>
      </c>
      <c r="R3377" s="71">
        <f>IF(B3377="",0,INDEX(ModelParameters!$D$13:$K$17,MATCH($O3377,ModelParameters!$B$13:$B$17,0),MATCH($J3377,ModelParameters!$D$5:$K$5,0)))</f>
        <v>0</v>
      </c>
      <c r="S3377" s="160">
        <f>IF(B3377="",0,MIN(IF($N3377="Other Bond TM",ModelParameters!$N$21,1)*(P3377*Q3377+R3377),1))</f>
        <v>0.025</v>
      </c>
      <c r="T3377" s="85">
        <f>IF(B3377="",0,$S3377*$K3377)</f>
        <v>0.263095274866182</v>
      </c>
      <c r="U3377" s="85">
        <f>IF(B3377="",0,IF(OR(H3377=MappingTables!$C$34,H3377=MappingTables!$C$35),T3377,0))</f>
        <v>0</v>
      </c>
      <c r="V3377" s="85">
        <f>IF(ISNA(IF(AND(VLOOKUP(CONCATENATE($D3377,$G3377),CSRFinput!$B:$E,4,0)=0,OR(H3377=MappingTables!$C$34,H3377=MappingTables!$C$35)),1,VLOOKUP(CONCATENATE($D3377,$G3377),CSRFinput!$B:$E,4,0))),0,IF(AND(VLOOKUP(CONCATENATE($D3377,$G3377),CSRFinput!$B:$E,4,0)=0,OR(H3377=MappingTables!$C$34,H3377=MappingTables!$C$35)),1,VLOOKUP(CONCATENATE($D3377,$G3377),CSRFinput!$B:$E,4,0)))</f>
        <v>0.054776304963434752</v>
      </c>
      <c r="W3377" s="85">
        <f>IF(B3377="",0,+$T3377*$V3377)</f>
        <v>0.014411387010508676</v>
      </c>
      <c r="X3377" s="85">
        <f>IF(B3377="",0,IF(OR(H3377=MappingTables!$C$34,H3377=MappingTables!$C$35),W3377,0))</f>
        <v>0</v>
      </c>
    </row>
    <row r="3378" spans="2:24" s="0" customFormat="0" ht="15">
      <c r="B3378" s="69">
        <v>17100995</v>
      </c>
      <c r="C3378" s="70" t="s">
        <v>2822</v>
      </c>
      <c r="D3378" s="70" t="s">
        <v>1</v>
      </c>
      <c r="E3378" s="70" t="s">
        <v>1</v>
      </c>
      <c r="F3378" s="70"/>
      <c r="G3378" s="70" t="s">
        <v>61</v>
      </c>
      <c r="H3378" s="70" t="s">
        <v>178</v>
      </c>
      <c r="I3378" s="70" t="s">
        <v>188</v>
      </c>
      <c r="J3378" s="71">
        <f>IF(OR(I3378=0,I3378=""),"unrated",VLOOKUP(I3378,MappingTables!$B$19:$C$31,2,FALSE))</f>
        <v>2</v>
      </c>
      <c r="K3378" s="72">
        <v>100.4270370794418</v>
      </c>
      <c r="L3378" s="70">
        <v>6.5049241653244856</v>
      </c>
      <c r="M3378" s="71">
        <f>IF(L3378&lt;1,1,L3378)</f>
        <v>6.5049241653244856</v>
      </c>
      <c r="N3378" s="70" t="s">
        <v>141</v>
      </c>
      <c r="O3378" s="71">
        <f>INDEX(DurClassMapping,MATCH(M3378,MappingTables!$D$4:$D$8,-1),1)</f>
        <v>2</v>
      </c>
      <c r="P3378" s="73">
        <f>IF(M3378=$A$1,1,$M3378-INDEX(MappingTables!$E$4:$E$8,MATCH(O3378,MappingTables!$B$4:$B$8,0)))</f>
        <v>1.5049241653244856</v>
      </c>
      <c r="Q3378" s="71">
        <f>IF(B3378="",0,INDEX(ModelParameters!$D$6:$K$10,MATCH($O3378,ModelParameters!$B$6:$B$10,0),MATCH($J3378,ModelParameters!$D$5:$K$5,0)))</f>
        <v>0.0069999999999999992</v>
      </c>
      <c r="R3378" s="71">
        <f>IF(B3378="",0,INDEX(ModelParameters!$D$13:$K$17,MATCH($O3378,ModelParameters!$B$13:$B$17,0),MATCH($J3378,ModelParameters!$D$5:$K$5,0)))</f>
        <v>0.070000000000000008</v>
      </c>
      <c r="S3378" s="160">
        <f>IF(B3378="",0,MIN(IF($N3378="Other Bond TM",ModelParameters!$N$21,1)*(P3378*Q3378+R3378),1))</f>
        <v>0.080534469157271408</v>
      </c>
      <c r="T3378" s="85">
        <f>IF(B3378="",0,$S3378*$K3378)</f>
        <v>8.0878381202304576</v>
      </c>
      <c r="U3378" s="85">
        <f>IF(B3378="",0,IF(OR(H3378=MappingTables!$C$34,H3378=MappingTables!$C$35),T3378,0))</f>
        <v>0</v>
      </c>
      <c r="V3378" s="85">
        <f>IF(ISNA(IF(AND(VLOOKUP(CONCATENATE($D3378,$G3378),CSRFinput!$B:$E,4,0)=0,OR(H3378=MappingTables!$C$34,H3378=MappingTables!$C$35)),1,VLOOKUP(CONCATENATE($D3378,$G3378),CSRFinput!$B:$E,4,0))),0,IF(AND(VLOOKUP(CONCATENATE($D3378,$G3378),CSRFinput!$B:$E,4,0)=0,OR(H3378=MappingTables!$C$34,H3378=MappingTables!$C$35)),1,VLOOKUP(CONCATENATE($D3378,$G3378),CSRFinput!$B:$E,4,0)))</f>
        <v>0.054776304963434752</v>
      </c>
      <c r="W3378" s="85">
        <f>IF(B3378="",0,+$T3378*$V3378)</f>
        <v>0.44302188736863648</v>
      </c>
      <c r="X3378" s="85">
        <f>IF(B3378="",0,IF(OR(H3378=MappingTables!$C$34,H3378=MappingTables!$C$35),W3378,0))</f>
        <v>0</v>
      </c>
    </row>
    <row r="3379" spans="2:24" s="0" customFormat="0" ht="15">
      <c r="B3379" s="69" t="s">
        <v>1804</v>
      </c>
      <c r="C3379" s="70" t="s">
        <v>1805</v>
      </c>
      <c r="D3379" s="70" t="s">
        <v>1</v>
      </c>
      <c r="E3379" s="70" t="s">
        <v>1</v>
      </c>
      <c r="F3379" s="70"/>
      <c r="G3379" s="70" t="s">
        <v>61</v>
      </c>
      <c r="H3379" s="70" t="s">
        <v>178</v>
      </c>
      <c r="I3379" s="70" t="s">
        <v>188</v>
      </c>
      <c r="J3379" s="71">
        <f>IF(OR(I3379=0,I3379=""),"unrated",VLOOKUP(I3379,MappingTables!$B$19:$C$31,2,FALSE))</f>
        <v>2</v>
      </c>
      <c r="K3379" s="72">
        <v>0.24238830046073832</v>
      </c>
      <c r="L3379" s="70">
        <v>0.94927390753915488</v>
      </c>
      <c r="M3379" s="71">
        <f>IF(L3379&lt;1,1,L3379)</f>
        <v>1</v>
      </c>
      <c r="N3379" s="70" t="s">
        <v>141</v>
      </c>
      <c r="O3379" s="71">
        <f>INDEX(DurClassMapping,MATCH(M3379,MappingTables!$D$4:$D$8,-1),1)</f>
        <v>1</v>
      </c>
      <c r="P3379" s="73">
        <f>IF(M3379=$A$1,1,$M3379-INDEX(MappingTables!$E$4:$E$8,MATCH(O3379,MappingTables!$B$4:$B$8,0)))</f>
        <v>1</v>
      </c>
      <c r="Q3379" s="71">
        <f>IF(B3379="",0,INDEX(ModelParameters!$D$6:$K$10,MATCH($O3379,ModelParameters!$B$6:$B$10,0),MATCH($J3379,ModelParameters!$D$5:$K$5,0)))</f>
        <v>0.013999999999999998</v>
      </c>
      <c r="R3379" s="71">
        <f>IF(B3379="",0,INDEX(ModelParameters!$D$13:$K$17,MATCH($O3379,ModelParameters!$B$13:$B$17,0),MATCH($J3379,ModelParameters!$D$5:$K$5,0)))</f>
        <v>0</v>
      </c>
      <c r="S3379" s="160">
        <f>IF(B3379="",0,MIN(IF($N3379="Other Bond TM",ModelParameters!$N$21,1)*(P3379*Q3379+R3379),1))</f>
        <v>0.013999999999999998</v>
      </c>
      <c r="T3379" s="85">
        <f>IF(B3379="",0,$S3379*$K3379)</f>
        <v>0.0033934362064503364</v>
      </c>
      <c r="U3379" s="85">
        <f>IF(B3379="",0,IF(OR(H3379=MappingTables!$C$34,H3379=MappingTables!$C$35),T3379,0))</f>
        <v>0</v>
      </c>
      <c r="V3379" s="85">
        <f>IF(ISNA(IF(AND(VLOOKUP(CONCATENATE($D3379,$G3379),CSRFinput!$B:$E,4,0)=0,OR(H3379=MappingTables!$C$34,H3379=MappingTables!$C$35)),1,VLOOKUP(CONCATENATE($D3379,$G3379),CSRFinput!$B:$E,4,0))),0,IF(AND(VLOOKUP(CONCATENATE($D3379,$G3379),CSRFinput!$B:$E,4,0)=0,OR(H3379=MappingTables!$C$34,H3379=MappingTables!$C$35)),1,VLOOKUP(CONCATENATE($D3379,$G3379),CSRFinput!$B:$E,4,0)))</f>
        <v>0.054776304963434752</v>
      </c>
      <c r="W3379" s="85">
        <f>IF(B3379="",0,+$T3379*$V3379)</f>
        <v>0.00018587989651848476</v>
      </c>
      <c r="X3379" s="85">
        <f>IF(B3379="",0,IF(OR(H3379=MappingTables!$C$34,H3379=MappingTables!$C$35),W3379,0))</f>
        <v>0</v>
      </c>
    </row>
    <row r="3380" spans="2:24" s="0" customFormat="0" ht="15">
      <c r="B3380" s="69">
        <v>17170630</v>
      </c>
      <c r="C3380" s="70" t="s">
        <v>2382</v>
      </c>
      <c r="D3380" s="70" t="s">
        <v>1</v>
      </c>
      <c r="E3380" s="70" t="s">
        <v>1</v>
      </c>
      <c r="F3380" s="70"/>
      <c r="G3380" s="70" t="s">
        <v>61</v>
      </c>
      <c r="H3380" s="70" t="s">
        <v>178</v>
      </c>
      <c r="I3380" s="70" t="s">
        <v>184</v>
      </c>
      <c r="J3380" s="71">
        <f>IF(OR(I3380=0,I3380=""),"unrated",VLOOKUP(I3380,MappingTables!$B$19:$C$31,2,FALSE))</f>
        <v>5</v>
      </c>
      <c r="K3380" s="72">
        <v>3154.7448586449208</v>
      </c>
      <c r="L3380" s="70">
        <v>3.7922411704880424</v>
      </c>
      <c r="M3380" s="71">
        <f>IF(L3380&lt;1,1,L3380)</f>
        <v>3.7922411704880424</v>
      </c>
      <c r="N3380" s="70" t="s">
        <v>141</v>
      </c>
      <c r="O3380" s="71">
        <f>INDEX(DurClassMapping,MATCH(M3380,MappingTables!$D$4:$D$8,-1),1)</f>
        <v>1</v>
      </c>
      <c r="P3380" s="73">
        <f>IF(M3380=$A$1,1,$M3380-INDEX(MappingTables!$E$4:$E$8,MATCH(O3380,MappingTables!$B$4:$B$8,0)))</f>
        <v>3.7922411704880424</v>
      </c>
      <c r="Q3380" s="71">
        <f>IF(B3380="",0,INDEX(ModelParameters!$D$6:$K$10,MATCH($O3380,ModelParameters!$B$6:$B$10,0),MATCH($J3380,ModelParameters!$D$5:$K$5,0)))</f>
        <v>0.075</v>
      </c>
      <c r="R3380" s="71">
        <f>IF(B3380="",0,INDEX(ModelParameters!$D$13:$K$17,MATCH($O3380,ModelParameters!$B$13:$B$17,0),MATCH($J3380,ModelParameters!$D$5:$K$5,0)))</f>
        <v>0</v>
      </c>
      <c r="S3380" s="160">
        <f>IF(B3380="",0,MIN(IF($N3380="Other Bond TM",ModelParameters!$N$21,1)*(P3380*Q3380+R3380),1))</f>
        <v>0.28441808778660316</v>
      </c>
      <c r="T3380" s="85">
        <f>IF(B3380="",0,$S3380*$K3380)</f>
        <v>897.26650015040608</v>
      </c>
      <c r="U3380" s="85">
        <f>IF(B3380="",0,IF(OR(H3380=MappingTables!$C$34,H3380=MappingTables!$C$35),T3380,0))</f>
        <v>0</v>
      </c>
      <c r="V3380" s="85">
        <f>IF(ISNA(IF(AND(VLOOKUP(CONCATENATE($D3380,$G3380),CSRFinput!$B:$E,4,0)=0,OR(H3380=MappingTables!$C$34,H3380=MappingTables!$C$35)),1,VLOOKUP(CONCATENATE($D3380,$G3380),CSRFinput!$B:$E,4,0))),0,IF(AND(VLOOKUP(CONCATENATE($D3380,$G3380),CSRFinput!$B:$E,4,0)=0,OR(H3380=MappingTables!$C$34,H3380=MappingTables!$C$35)),1,VLOOKUP(CONCATENATE($D3380,$G3380),CSRFinput!$B:$E,4,0)))</f>
        <v>0.054776304963434752</v>
      </c>
      <c r="W3380" s="85">
        <f>IF(B3380="",0,+$T3380*$V3380)</f>
        <v>49.148943445712416</v>
      </c>
      <c r="X3380" s="85">
        <f>IF(B3380="",0,IF(OR(H3380=MappingTables!$C$34,H3380=MappingTables!$C$35),W3380,0))</f>
        <v>0</v>
      </c>
    </row>
    <row r="3381" spans="2:24" s="0" customFormat="0" ht="15">
      <c r="B3381" s="69">
        <v>21150137</v>
      </c>
      <c r="C3381" s="70" t="s">
        <v>667</v>
      </c>
      <c r="D3381" s="70" t="s">
        <v>1</v>
      </c>
      <c r="E3381" s="70" t="s">
        <v>1</v>
      </c>
      <c r="F3381" s="70"/>
      <c r="G3381" s="70" t="s">
        <v>61</v>
      </c>
      <c r="H3381" s="70" t="s">
        <v>178</v>
      </c>
      <c r="I3381" s="70" t="s">
        <v>179</v>
      </c>
      <c r="J3381" s="71">
        <f>IF(OR(I3381=0,I3381=""),"unrated",VLOOKUP(I3381,MappingTables!$B$19:$C$31,2,FALSE))</f>
        <v>4</v>
      </c>
      <c r="K3381" s="72">
        <v>2311.172418147874</v>
      </c>
      <c r="L3381" s="70">
        <v>0.7549651375135736</v>
      </c>
      <c r="M3381" s="71">
        <f>IF(L3381&lt;1,1,L3381)</f>
        <v>1</v>
      </c>
      <c r="N3381" s="70" t="s">
        <v>141</v>
      </c>
      <c r="O3381" s="71">
        <f>INDEX(DurClassMapping,MATCH(M3381,MappingTables!$D$4:$D$8,-1),1)</f>
        <v>1</v>
      </c>
      <c r="P3381" s="73">
        <f>IF(M3381=$A$1,1,$M3381-INDEX(MappingTables!$E$4:$E$8,MATCH(O3381,MappingTables!$B$4:$B$8,0)))</f>
        <v>1</v>
      </c>
      <c r="Q3381" s="71">
        <f>IF(B3381="",0,INDEX(ModelParameters!$D$6:$K$10,MATCH($O3381,ModelParameters!$B$6:$B$10,0),MATCH($J3381,ModelParameters!$D$5:$K$5,0)))</f>
        <v>0.045</v>
      </c>
      <c r="R3381" s="71">
        <f>IF(B3381="",0,INDEX(ModelParameters!$D$13:$K$17,MATCH($O3381,ModelParameters!$B$13:$B$17,0),MATCH($J3381,ModelParameters!$D$5:$K$5,0)))</f>
        <v>0</v>
      </c>
      <c r="S3381" s="160">
        <f>IF(B3381="",0,MIN(IF($N3381="Other Bond TM",ModelParameters!$N$21,1)*(P3381*Q3381+R3381),1))</f>
        <v>0.045</v>
      </c>
      <c r="T3381" s="85">
        <f>IF(B3381="",0,$S3381*$K3381)</f>
        <v>104.00275881665432</v>
      </c>
      <c r="U3381" s="85">
        <f>IF(B3381="",0,IF(OR(H3381=MappingTables!$C$34,H3381=MappingTables!$C$35),T3381,0))</f>
        <v>0</v>
      </c>
      <c r="V3381" s="85">
        <f>IF(ISNA(IF(AND(VLOOKUP(CONCATENATE($D3381,$G3381),CSRFinput!$B:$E,4,0)=0,OR(H3381=MappingTables!$C$34,H3381=MappingTables!$C$35)),1,VLOOKUP(CONCATENATE($D3381,$G3381),CSRFinput!$B:$E,4,0))),0,IF(AND(VLOOKUP(CONCATENATE($D3381,$G3381),CSRFinput!$B:$E,4,0)=0,OR(H3381=MappingTables!$C$34,H3381=MappingTables!$C$35)),1,VLOOKUP(CONCATENATE($D3381,$G3381),CSRFinput!$B:$E,4,0)))</f>
        <v>0.054776304963434752</v>
      </c>
      <c r="W3381" s="85">
        <f>IF(B3381="",0,+$T3381*$V3381)</f>
        <v>5.6968868339796096</v>
      </c>
      <c r="X3381" s="85">
        <f>IF(B3381="",0,IF(OR(H3381=MappingTables!$C$34,H3381=MappingTables!$C$35),W3381,0))</f>
        <v>0</v>
      </c>
    </row>
    <row r="3382" spans="2:24" s="0" customFormat="0" ht="15">
      <c r="B3382" s="69">
        <v>21040218</v>
      </c>
      <c r="C3382" s="70" t="s">
        <v>2465</v>
      </c>
      <c r="D3382" s="70" t="s">
        <v>1</v>
      </c>
      <c r="E3382" s="70" t="s">
        <v>1</v>
      </c>
      <c r="F3382" s="70"/>
      <c r="G3382" s="70" t="s">
        <v>61</v>
      </c>
      <c r="H3382" s="70" t="s">
        <v>178</v>
      </c>
      <c r="I3382" s="70" t="s">
        <v>181</v>
      </c>
      <c r="J3382" s="71">
        <f>IF(OR(I3382=0,I3382=""),"unrated",VLOOKUP(I3382,MappingTables!$B$19:$C$31,2,FALSE))</f>
        <v>3</v>
      </c>
      <c r="K3382" s="72">
        <v>3.338428262125206</v>
      </c>
      <c r="L3382" s="70">
        <v>1.6581437978576106</v>
      </c>
      <c r="M3382" s="71">
        <f>IF(L3382&lt;1,1,L3382)</f>
        <v>1.6581437978576106</v>
      </c>
      <c r="N3382" s="70" t="s">
        <v>141</v>
      </c>
      <c r="O3382" s="71">
        <f>INDEX(DurClassMapping,MATCH(M3382,MappingTables!$D$4:$D$8,-1),1)</f>
        <v>1</v>
      </c>
      <c r="P3382" s="73">
        <f>IF(M3382=$A$1,1,$M3382-INDEX(MappingTables!$E$4:$E$8,MATCH(O3382,MappingTables!$B$4:$B$8,0)))</f>
        <v>1.6581437978576106</v>
      </c>
      <c r="Q3382" s="71">
        <f>IF(B3382="",0,INDEX(ModelParameters!$D$6:$K$10,MATCH($O3382,ModelParameters!$B$6:$B$10,0),MATCH($J3382,ModelParameters!$D$5:$K$5,0)))</f>
        <v>0.025</v>
      </c>
      <c r="R3382" s="71">
        <f>IF(B3382="",0,INDEX(ModelParameters!$D$13:$K$17,MATCH($O3382,ModelParameters!$B$13:$B$17,0),MATCH($J3382,ModelParameters!$D$5:$K$5,0)))</f>
        <v>0</v>
      </c>
      <c r="S3382" s="160">
        <f>IF(B3382="",0,MIN(IF($N3382="Other Bond TM",ModelParameters!$N$21,1)*(P3382*Q3382+R3382),1))</f>
        <v>0.041453594946440272</v>
      </c>
      <c r="T3382" s="85">
        <f>IF(B3382="",0,$S3382*$K3382)</f>
        <v>0.13838985293588682</v>
      </c>
      <c r="U3382" s="85">
        <f>IF(B3382="",0,IF(OR(H3382=MappingTables!$C$34,H3382=MappingTables!$C$35),T3382,0))</f>
        <v>0</v>
      </c>
      <c r="V3382" s="85">
        <f>IF(ISNA(IF(AND(VLOOKUP(CONCATENATE($D3382,$G3382),CSRFinput!$B:$E,4,0)=0,OR(H3382=MappingTables!$C$34,H3382=MappingTables!$C$35)),1,VLOOKUP(CONCATENATE($D3382,$G3382),CSRFinput!$B:$E,4,0))),0,IF(AND(VLOOKUP(CONCATENATE($D3382,$G3382),CSRFinput!$B:$E,4,0)=0,OR(H3382=MappingTables!$C$34,H3382=MappingTables!$C$35)),1,VLOOKUP(CONCATENATE($D3382,$G3382),CSRFinput!$B:$E,4,0)))</f>
        <v>0.054776304963434752</v>
      </c>
      <c r="W3382" s="85">
        <f>IF(B3382="",0,+$T3382*$V3382)</f>
        <v>0.0075804847882610224</v>
      </c>
      <c r="X3382" s="85">
        <f>IF(B3382="",0,IF(OR(H3382=MappingTables!$C$34,H3382=MappingTables!$C$35),W3382,0))</f>
        <v>0</v>
      </c>
    </row>
    <row r="3383" spans="2:24" s="0" customFormat="0" ht="15">
      <c r="B3383" s="69">
        <v>21644220</v>
      </c>
      <c r="C3383" s="70" t="s">
        <v>2689</v>
      </c>
      <c r="D3383" s="70" t="s">
        <v>1</v>
      </c>
      <c r="E3383" s="70" t="s">
        <v>1</v>
      </c>
      <c r="F3383" s="70"/>
      <c r="G3383" s="70" t="s">
        <v>61</v>
      </c>
      <c r="H3383" s="70" t="s">
        <v>178</v>
      </c>
      <c r="I3383" s="70" t="s">
        <v>184</v>
      </c>
      <c r="J3383" s="71">
        <f>IF(OR(I3383=0,I3383=""),"unrated",VLOOKUP(I3383,MappingTables!$B$19:$C$31,2,FALSE))</f>
        <v>5</v>
      </c>
      <c r="K3383" s="72">
        <v>4931.3923851540232</v>
      </c>
      <c r="L3383" s="70">
        <v>15.596151511404174</v>
      </c>
      <c r="M3383" s="71">
        <f>IF(L3383&lt;1,1,L3383)</f>
        <v>15.596151511404174</v>
      </c>
      <c r="N3383" s="70" t="s">
        <v>141</v>
      </c>
      <c r="O3383" s="71">
        <f>INDEX(DurClassMapping,MATCH(M3383,MappingTables!$D$4:$D$8,-1),1)</f>
        <v>4</v>
      </c>
      <c r="P3383" s="73">
        <f>IF(M3383=$A$1,1,$M3383-INDEX(MappingTables!$E$4:$E$8,MATCH(O3383,MappingTables!$B$4:$B$8,0)))</f>
        <v>0.59615151140417312</v>
      </c>
      <c r="Q3383" s="71">
        <f>IF(B3383="",0,INDEX(ModelParameters!$D$6:$K$10,MATCH($O3383,ModelParameters!$B$6:$B$10,0),MATCH($J3383,ModelParameters!$D$5:$K$5,0)))</f>
        <v>0.005</v>
      </c>
      <c r="R3383" s="71">
        <f>IF(B3383="",0,INDEX(ModelParameters!$D$13:$K$17,MATCH($O3383,ModelParameters!$B$13:$B$17,0),MATCH($J3383,ModelParameters!$D$5:$K$5,0)))</f>
        <v>0.61</v>
      </c>
      <c r="S3383" s="160">
        <f>IF(B3383="",0,MIN(IF($N3383="Other Bond TM",ModelParameters!$N$21,1)*(P3383*Q3383+R3383),1))</f>
        <v>0.61298075755702088</v>
      </c>
      <c r="T3383" s="85">
        <f>IF(B3383="",0,$S3383*$K3383)</f>
        <v>3022.8486400626372</v>
      </c>
      <c r="U3383" s="85">
        <f>IF(B3383="",0,IF(OR(H3383=MappingTables!$C$34,H3383=MappingTables!$C$35),T3383,0))</f>
        <v>0</v>
      </c>
      <c r="V3383" s="85">
        <f>IF(ISNA(IF(AND(VLOOKUP(CONCATENATE($D3383,$G3383),CSRFinput!$B:$E,4,0)=0,OR(H3383=MappingTables!$C$34,H3383=MappingTables!$C$35)),1,VLOOKUP(CONCATENATE($D3383,$G3383),CSRFinput!$B:$E,4,0))),0,IF(AND(VLOOKUP(CONCATENATE($D3383,$G3383),CSRFinput!$B:$E,4,0)=0,OR(H3383=MappingTables!$C$34,H3383=MappingTables!$C$35)),1,VLOOKUP(CONCATENATE($D3383,$G3383),CSRFinput!$B:$E,4,0)))</f>
        <v>0.054776304963434752</v>
      </c>
      <c r="W3383" s="85">
        <f>IF(B3383="",0,+$T3383*$V3383)</f>
        <v>165.58047896637502</v>
      </c>
      <c r="X3383" s="85">
        <f>IF(B3383="",0,IF(OR(H3383=MappingTables!$C$34,H3383=MappingTables!$C$35),W3383,0))</f>
        <v>0</v>
      </c>
    </row>
    <row r="3384" spans="2:24" s="0" customFormat="0" ht="15">
      <c r="B3384" s="69" t="s">
        <v>2823</v>
      </c>
      <c r="C3384" s="70" t="s">
        <v>2824</v>
      </c>
      <c r="D3384" s="70" t="s">
        <v>1</v>
      </c>
      <c r="E3384" s="70" t="s">
        <v>1</v>
      </c>
      <c r="F3384" s="70"/>
      <c r="G3384" s="70" t="s">
        <v>61</v>
      </c>
      <c r="H3384" s="70" t="s">
        <v>178</v>
      </c>
      <c r="I3384" s="70" t="s">
        <v>181</v>
      </c>
      <c r="J3384" s="71">
        <f>IF(OR(I3384=0,I3384=""),"unrated",VLOOKUP(I3384,MappingTables!$B$19:$C$31,2,FALSE))</f>
        <v>3</v>
      </c>
      <c r="K3384" s="72">
        <v>7484.6986953597376</v>
      </c>
      <c r="L3384" s="70">
        <v>4.5021393279269128</v>
      </c>
      <c r="M3384" s="71">
        <f>IF(L3384&lt;1,1,L3384)</f>
        <v>4.5021393279269128</v>
      </c>
      <c r="N3384" s="70" t="s">
        <v>141</v>
      </c>
      <c r="O3384" s="71">
        <f>INDEX(DurClassMapping,MATCH(M3384,MappingTables!$D$4:$D$8,-1),1)</f>
        <v>1</v>
      </c>
      <c r="P3384" s="73">
        <f>IF(M3384=$A$1,1,$M3384-INDEX(MappingTables!$E$4:$E$8,MATCH(O3384,MappingTables!$B$4:$B$8,0)))</f>
        <v>4.5021393279269128</v>
      </c>
      <c r="Q3384" s="71">
        <f>IF(B3384="",0,INDEX(ModelParameters!$D$6:$K$10,MATCH($O3384,ModelParameters!$B$6:$B$10,0),MATCH($J3384,ModelParameters!$D$5:$K$5,0)))</f>
        <v>0.025</v>
      </c>
      <c r="R3384" s="71">
        <f>IF(B3384="",0,INDEX(ModelParameters!$D$13:$K$17,MATCH($O3384,ModelParameters!$B$13:$B$17,0),MATCH($J3384,ModelParameters!$D$5:$K$5,0)))</f>
        <v>0</v>
      </c>
      <c r="S3384" s="160">
        <f>IF(B3384="",0,MIN(IF($N3384="Other Bond TM",ModelParameters!$N$21,1)*(P3384*Q3384+R3384),1))</f>
        <v>0.11255348319817282</v>
      </c>
      <c r="T3384" s="85">
        <f>IF(B3384="",0,$S3384*$K3384)</f>
        <v>842.42890885155824</v>
      </c>
      <c r="U3384" s="85">
        <f>IF(B3384="",0,IF(OR(H3384=MappingTables!$C$34,H3384=MappingTables!$C$35),T3384,0))</f>
        <v>0</v>
      </c>
      <c r="V3384" s="85">
        <f>IF(ISNA(IF(AND(VLOOKUP(CONCATENATE($D3384,$G3384),CSRFinput!$B:$E,4,0)=0,OR(H3384=MappingTables!$C$34,H3384=MappingTables!$C$35)),1,VLOOKUP(CONCATENATE($D3384,$G3384),CSRFinput!$B:$E,4,0))),0,IF(AND(VLOOKUP(CONCATENATE($D3384,$G3384),CSRFinput!$B:$E,4,0)=0,OR(H3384=MappingTables!$C$34,H3384=MappingTables!$C$35)),1,VLOOKUP(CONCATENATE($D3384,$G3384),CSRFinput!$B:$E,4,0)))</f>
        <v>0.054776304963434752</v>
      </c>
      <c r="W3384" s="85">
        <f>IF(B3384="",0,+$T3384*$V3384)</f>
        <v>46.145142821266528</v>
      </c>
      <c r="X3384" s="85">
        <f>IF(B3384="",0,IF(OR(H3384=MappingTables!$C$34,H3384=MappingTables!$C$35),W3384,0))</f>
        <v>0</v>
      </c>
    </row>
    <row r="3385" spans="2:24" s="0" customFormat="0" ht="15">
      <c r="B3385" s="69">
        <v>12296910</v>
      </c>
      <c r="C3385" s="70" t="s">
        <v>2825</v>
      </c>
      <c r="D3385" s="70" t="s">
        <v>1</v>
      </c>
      <c r="E3385" s="70" t="s">
        <v>1</v>
      </c>
      <c r="F3385" s="70"/>
      <c r="G3385" s="70" t="s">
        <v>61</v>
      </c>
      <c r="H3385" s="70" t="s">
        <v>178</v>
      </c>
      <c r="I3385" s="70" t="s">
        <v>184</v>
      </c>
      <c r="J3385" s="71">
        <f>IF(OR(I3385=0,I3385=""),"unrated",VLOOKUP(I3385,MappingTables!$B$19:$C$31,2,FALSE))</f>
        <v>5</v>
      </c>
      <c r="K3385" s="72">
        <v>68.403869861837352</v>
      </c>
      <c r="L3385" s="70">
        <v>0.087674523212951024</v>
      </c>
      <c r="M3385" s="71">
        <f>IF(L3385&lt;1,1,L3385)</f>
        <v>1</v>
      </c>
      <c r="N3385" s="70" t="s">
        <v>141</v>
      </c>
      <c r="O3385" s="71">
        <f>INDEX(DurClassMapping,MATCH(M3385,MappingTables!$D$4:$D$8,-1),1)</f>
        <v>1</v>
      </c>
      <c r="P3385" s="73">
        <f>IF(M3385=$A$1,1,$M3385-INDEX(MappingTables!$E$4:$E$8,MATCH(O3385,MappingTables!$B$4:$B$8,0)))</f>
        <v>1</v>
      </c>
      <c r="Q3385" s="71">
        <f>IF(B3385="",0,INDEX(ModelParameters!$D$6:$K$10,MATCH($O3385,ModelParameters!$B$6:$B$10,0),MATCH($J3385,ModelParameters!$D$5:$K$5,0)))</f>
        <v>0.075</v>
      </c>
      <c r="R3385" s="71">
        <f>IF(B3385="",0,INDEX(ModelParameters!$D$13:$K$17,MATCH($O3385,ModelParameters!$B$13:$B$17,0),MATCH($J3385,ModelParameters!$D$5:$K$5,0)))</f>
        <v>0</v>
      </c>
      <c r="S3385" s="160">
        <f>IF(B3385="",0,MIN(IF($N3385="Other Bond TM",ModelParameters!$N$21,1)*(P3385*Q3385+R3385),1))</f>
        <v>0.075</v>
      </c>
      <c r="T3385" s="85">
        <f>IF(B3385="",0,$S3385*$K3385)</f>
        <v>5.1302902396378008</v>
      </c>
      <c r="U3385" s="85">
        <f>IF(B3385="",0,IF(OR(H3385=MappingTables!$C$34,H3385=MappingTables!$C$35),T3385,0))</f>
        <v>0</v>
      </c>
      <c r="V3385" s="85">
        <f>IF(ISNA(IF(AND(VLOOKUP(CONCATENATE($D3385,$G3385),CSRFinput!$B:$E,4,0)=0,OR(H3385=MappingTables!$C$34,H3385=MappingTables!$C$35)),1,VLOOKUP(CONCATENATE($D3385,$G3385),CSRFinput!$B:$E,4,0))),0,IF(AND(VLOOKUP(CONCATENATE($D3385,$G3385),CSRFinput!$B:$E,4,0)=0,OR(H3385=MappingTables!$C$34,H3385=MappingTables!$C$35)),1,VLOOKUP(CONCATENATE($D3385,$G3385),CSRFinput!$B:$E,4,0)))</f>
        <v>0.054776304963434752</v>
      </c>
      <c r="W3385" s="85">
        <f>IF(B3385="",0,+$T3385*$V3385)</f>
        <v>0.28101834271733296</v>
      </c>
      <c r="X3385" s="85">
        <f>IF(B3385="",0,IF(OR(H3385=MappingTables!$C$34,H3385=MappingTables!$C$35),W3385,0))</f>
        <v>0</v>
      </c>
    </row>
    <row r="3386" spans="2:24" s="0" customFormat="0" ht="15">
      <c r="B3386" s="69">
        <v>11986525</v>
      </c>
      <c r="C3386" s="70" t="s">
        <v>2826</v>
      </c>
      <c r="D3386" s="70" t="s">
        <v>1</v>
      </c>
      <c r="E3386" s="70" t="s">
        <v>1</v>
      </c>
      <c r="F3386" s="70"/>
      <c r="G3386" s="70" t="s">
        <v>61</v>
      </c>
      <c r="H3386" s="70" t="s">
        <v>178</v>
      </c>
      <c r="I3386" s="70" t="s">
        <v>181</v>
      </c>
      <c r="J3386" s="71">
        <f>IF(OR(I3386=0,I3386=""),"unrated",VLOOKUP(I3386,MappingTables!$B$19:$C$31,2,FALSE))</f>
        <v>3</v>
      </c>
      <c r="K3386" s="72">
        <v>151.54577539037468</v>
      </c>
      <c r="L3386" s="70">
        <v>0.3397297128209708</v>
      </c>
      <c r="M3386" s="71">
        <f>IF(L3386&lt;1,1,L3386)</f>
        <v>1</v>
      </c>
      <c r="N3386" s="70" t="s">
        <v>141</v>
      </c>
      <c r="O3386" s="71">
        <f>INDEX(DurClassMapping,MATCH(M3386,MappingTables!$D$4:$D$8,-1),1)</f>
        <v>1</v>
      </c>
      <c r="P3386" s="73">
        <f>IF(M3386=$A$1,1,$M3386-INDEX(MappingTables!$E$4:$E$8,MATCH(O3386,MappingTables!$B$4:$B$8,0)))</f>
        <v>1</v>
      </c>
      <c r="Q3386" s="71">
        <f>IF(B3386="",0,INDEX(ModelParameters!$D$6:$K$10,MATCH($O3386,ModelParameters!$B$6:$B$10,0),MATCH($J3386,ModelParameters!$D$5:$K$5,0)))</f>
        <v>0.025</v>
      </c>
      <c r="R3386" s="71">
        <f>IF(B3386="",0,INDEX(ModelParameters!$D$13:$K$17,MATCH($O3386,ModelParameters!$B$13:$B$17,0),MATCH($J3386,ModelParameters!$D$5:$K$5,0)))</f>
        <v>0</v>
      </c>
      <c r="S3386" s="160">
        <f>IF(B3386="",0,MIN(IF($N3386="Other Bond TM",ModelParameters!$N$21,1)*(P3386*Q3386+R3386),1))</f>
        <v>0.025</v>
      </c>
      <c r="T3386" s="85">
        <f>IF(B3386="",0,$S3386*$K3386)</f>
        <v>3.7886443847593672</v>
      </c>
      <c r="U3386" s="85">
        <f>IF(B3386="",0,IF(OR(H3386=MappingTables!$C$34,H3386=MappingTables!$C$35),T3386,0))</f>
        <v>0</v>
      </c>
      <c r="V3386" s="85">
        <f>IF(ISNA(IF(AND(VLOOKUP(CONCATENATE($D3386,$G3386),CSRFinput!$B:$E,4,0)=0,OR(H3386=MappingTables!$C$34,H3386=MappingTables!$C$35)),1,VLOOKUP(CONCATENATE($D3386,$G3386),CSRFinput!$B:$E,4,0))),0,IF(AND(VLOOKUP(CONCATENATE($D3386,$G3386),CSRFinput!$B:$E,4,0)=0,OR(H3386=MappingTables!$C$34,H3386=MappingTables!$C$35)),1,VLOOKUP(CONCATENATE($D3386,$G3386),CSRFinput!$B:$E,4,0)))</f>
        <v>0.054776304963434752</v>
      </c>
      <c r="W3386" s="85">
        <f>IF(B3386="",0,+$T3386*$V3386)</f>
        <v>0.20752794021758372</v>
      </c>
      <c r="X3386" s="85">
        <f>IF(B3386="",0,IF(OR(H3386=MappingTables!$C$34,H3386=MappingTables!$C$35),W3386,0))</f>
        <v>0</v>
      </c>
    </row>
    <row r="3387" spans="2:24" s="0" customFormat="0" ht="15">
      <c r="B3387" s="69">
        <v>24430401</v>
      </c>
      <c r="C3387" s="70" t="s">
        <v>1848</v>
      </c>
      <c r="D3387" s="70" t="s">
        <v>1</v>
      </c>
      <c r="E3387" s="70" t="s">
        <v>1</v>
      </c>
      <c r="F3387" s="70"/>
      <c r="G3387" s="70" t="s">
        <v>61</v>
      </c>
      <c r="H3387" s="70" t="s">
        <v>178</v>
      </c>
      <c r="I3387" s="70" t="s">
        <v>181</v>
      </c>
      <c r="J3387" s="71">
        <f>IF(OR(I3387=0,I3387=""),"unrated",VLOOKUP(I3387,MappingTables!$B$19:$C$31,2,FALSE))</f>
        <v>3</v>
      </c>
      <c r="K3387" s="72">
        <v>6956.2729353107616</v>
      </c>
      <c r="L3387" s="70">
        <v>1.4773559656833144</v>
      </c>
      <c r="M3387" s="71">
        <f>IF(L3387&lt;1,1,L3387)</f>
        <v>1.4773559656833144</v>
      </c>
      <c r="N3387" s="70" t="s">
        <v>141</v>
      </c>
      <c r="O3387" s="71">
        <f>INDEX(DurClassMapping,MATCH(M3387,MappingTables!$D$4:$D$8,-1),1)</f>
        <v>1</v>
      </c>
      <c r="P3387" s="73">
        <f>IF(M3387=$A$1,1,$M3387-INDEX(MappingTables!$E$4:$E$8,MATCH(O3387,MappingTables!$B$4:$B$8,0)))</f>
        <v>1.4773559656833144</v>
      </c>
      <c r="Q3387" s="71">
        <f>IF(B3387="",0,INDEX(ModelParameters!$D$6:$K$10,MATCH($O3387,ModelParameters!$B$6:$B$10,0),MATCH($J3387,ModelParameters!$D$5:$K$5,0)))</f>
        <v>0.025</v>
      </c>
      <c r="R3387" s="71">
        <f>IF(B3387="",0,INDEX(ModelParameters!$D$13:$K$17,MATCH($O3387,ModelParameters!$B$13:$B$17,0),MATCH($J3387,ModelParameters!$D$5:$K$5,0)))</f>
        <v>0</v>
      </c>
      <c r="S3387" s="160">
        <f>IF(B3387="",0,MIN(IF($N3387="Other Bond TM",ModelParameters!$N$21,1)*(P3387*Q3387+R3387),1))</f>
        <v>0.036933899142082856</v>
      </c>
      <c r="T3387" s="85">
        <f>IF(B3387="",0,$S3387*$K3387)</f>
        <v>256.92228299756836</v>
      </c>
      <c r="U3387" s="85">
        <f>IF(B3387="",0,IF(OR(H3387=MappingTables!$C$34,H3387=MappingTables!$C$35),T3387,0))</f>
        <v>0</v>
      </c>
      <c r="V3387" s="85">
        <f>IF(ISNA(IF(AND(VLOOKUP(CONCATENATE($D3387,$G3387),CSRFinput!$B:$E,4,0)=0,OR(H3387=MappingTables!$C$34,H3387=MappingTables!$C$35)),1,VLOOKUP(CONCATENATE($D3387,$G3387),CSRFinput!$B:$E,4,0))),0,IF(AND(VLOOKUP(CONCATENATE($D3387,$G3387),CSRFinput!$B:$E,4,0)=0,OR(H3387=MappingTables!$C$34,H3387=MappingTables!$C$35)),1,VLOOKUP(CONCATENATE($D3387,$G3387),CSRFinput!$B:$E,4,0)))</f>
        <v>0.054776304963434752</v>
      </c>
      <c r="W3387" s="85">
        <f>IF(B3387="",0,+$T3387*$V3387)</f>
        <v>14.073253325376692</v>
      </c>
      <c r="X3387" s="85">
        <f>IF(B3387="",0,IF(OR(H3387=MappingTables!$C$34,H3387=MappingTables!$C$35),W3387,0))</f>
        <v>0</v>
      </c>
    </row>
    <row r="3388" spans="2:24" s="0" customFormat="0" ht="15">
      <c r="B3388" s="69">
        <v>14593298</v>
      </c>
      <c r="C3388" s="70" t="s">
        <v>1916</v>
      </c>
      <c r="D3388" s="70" t="s">
        <v>1</v>
      </c>
      <c r="E3388" s="70" t="s">
        <v>1</v>
      </c>
      <c r="F3388" s="70"/>
      <c r="G3388" s="70" t="s">
        <v>61</v>
      </c>
      <c r="H3388" s="70" t="s">
        <v>178</v>
      </c>
      <c r="I3388" s="70" t="s">
        <v>204</v>
      </c>
      <c r="J3388" s="71">
        <f>IF(OR(I3388=0,I3388=""),"unrated",VLOOKUP(I3388,MappingTables!$B$19:$C$31,2,FALSE))</f>
        <v>6</v>
      </c>
      <c r="K3388" s="72">
        <v>119.33079983028788</v>
      </c>
      <c r="L3388" s="70">
        <v>0.030135094848336064</v>
      </c>
      <c r="M3388" s="71">
        <f>IF(L3388&lt;1,1,L3388)</f>
        <v>1</v>
      </c>
      <c r="N3388" s="70" t="s">
        <v>141</v>
      </c>
      <c r="O3388" s="71">
        <f>INDEX(DurClassMapping,MATCH(M3388,MappingTables!$D$4:$D$8,-1),1)</f>
        <v>1</v>
      </c>
      <c r="P3388" s="73">
        <f>IF(M3388=$A$1,1,$M3388-INDEX(MappingTables!$E$4:$E$8,MATCH(O3388,MappingTables!$B$4:$B$8,0)))</f>
        <v>1</v>
      </c>
      <c r="Q3388" s="71">
        <f>IF(B3388="",0,INDEX(ModelParameters!$D$6:$K$10,MATCH($O3388,ModelParameters!$B$6:$B$10,0),MATCH($J3388,ModelParameters!$D$5:$K$5,0)))</f>
        <v>0.075</v>
      </c>
      <c r="R3388" s="71">
        <f>IF(B3388="",0,INDEX(ModelParameters!$D$13:$K$17,MATCH($O3388,ModelParameters!$B$13:$B$17,0),MATCH($J3388,ModelParameters!$D$5:$K$5,0)))</f>
        <v>0</v>
      </c>
      <c r="S3388" s="160">
        <f>IF(B3388="",0,MIN(IF($N3388="Other Bond TM",ModelParameters!$N$21,1)*(P3388*Q3388+R3388),1))</f>
        <v>0.075</v>
      </c>
      <c r="T3388" s="85">
        <f>IF(B3388="",0,$S3388*$K3388)</f>
        <v>8.9498099872715904</v>
      </c>
      <c r="U3388" s="85">
        <f>IF(B3388="",0,IF(OR(H3388=MappingTables!$C$34,H3388=MappingTables!$C$35),T3388,0))</f>
        <v>0</v>
      </c>
      <c r="V3388" s="85">
        <f>IF(ISNA(IF(AND(VLOOKUP(CONCATENATE($D3388,$G3388),CSRFinput!$B:$E,4,0)=0,OR(H3388=MappingTables!$C$34,H3388=MappingTables!$C$35)),1,VLOOKUP(CONCATENATE($D3388,$G3388),CSRFinput!$B:$E,4,0))),0,IF(AND(VLOOKUP(CONCATENATE($D3388,$G3388),CSRFinput!$B:$E,4,0)=0,OR(H3388=MappingTables!$C$34,H3388=MappingTables!$C$35)),1,VLOOKUP(CONCATENATE($D3388,$G3388),CSRFinput!$B:$E,4,0)))</f>
        <v>0.054776304963434752</v>
      </c>
      <c r="W3388" s="85">
        <f>IF(B3388="",0,+$T3388*$V3388)</f>
        <v>0.4902375212275828</v>
      </c>
      <c r="X3388" s="85">
        <f>IF(B3388="",0,IF(OR(H3388=MappingTables!$C$34,H3388=MappingTables!$C$35),W3388,0))</f>
        <v>0</v>
      </c>
    </row>
    <row r="3389" spans="2:24" s="0" customFormat="0" ht="15">
      <c r="B3389" s="69">
        <v>16636569</v>
      </c>
      <c r="C3389" s="70" t="s">
        <v>2827</v>
      </c>
      <c r="D3389" s="70" t="s">
        <v>1</v>
      </c>
      <c r="E3389" s="70" t="s">
        <v>1</v>
      </c>
      <c r="F3389" s="70"/>
      <c r="G3389" s="70" t="s">
        <v>61</v>
      </c>
      <c r="H3389" s="70" t="s">
        <v>178</v>
      </c>
      <c r="I3389" s="70" t="s">
        <v>181</v>
      </c>
      <c r="J3389" s="71">
        <f>IF(OR(I3389=0,I3389=""),"unrated",VLOOKUP(I3389,MappingTables!$B$19:$C$31,2,FALSE))</f>
        <v>3</v>
      </c>
      <c r="K3389" s="72">
        <v>2.2113719506133784</v>
      </c>
      <c r="L3389" s="70">
        <v>0.37534062524645584</v>
      </c>
      <c r="M3389" s="71">
        <f>IF(L3389&lt;1,1,L3389)</f>
        <v>1</v>
      </c>
      <c r="N3389" s="70" t="s">
        <v>141</v>
      </c>
      <c r="O3389" s="71">
        <f>INDEX(DurClassMapping,MATCH(M3389,MappingTables!$D$4:$D$8,-1),1)</f>
        <v>1</v>
      </c>
      <c r="P3389" s="73">
        <f>IF(M3389=$A$1,1,$M3389-INDEX(MappingTables!$E$4:$E$8,MATCH(O3389,MappingTables!$B$4:$B$8,0)))</f>
        <v>1</v>
      </c>
      <c r="Q3389" s="71">
        <f>IF(B3389="",0,INDEX(ModelParameters!$D$6:$K$10,MATCH($O3389,ModelParameters!$B$6:$B$10,0),MATCH($J3389,ModelParameters!$D$5:$K$5,0)))</f>
        <v>0.025</v>
      </c>
      <c r="R3389" s="71">
        <f>IF(B3389="",0,INDEX(ModelParameters!$D$13:$K$17,MATCH($O3389,ModelParameters!$B$13:$B$17,0),MATCH($J3389,ModelParameters!$D$5:$K$5,0)))</f>
        <v>0</v>
      </c>
      <c r="S3389" s="160">
        <f>IF(B3389="",0,MIN(IF($N3389="Other Bond TM",ModelParameters!$N$21,1)*(P3389*Q3389+R3389),1))</f>
        <v>0.025</v>
      </c>
      <c r="T3389" s="85">
        <f>IF(B3389="",0,$S3389*$K3389)</f>
        <v>0.055284298765334464</v>
      </c>
      <c r="U3389" s="85">
        <f>IF(B3389="",0,IF(OR(H3389=MappingTables!$C$34,H3389=MappingTables!$C$35),T3389,0))</f>
        <v>0</v>
      </c>
      <c r="V3389" s="85">
        <f>IF(ISNA(IF(AND(VLOOKUP(CONCATENATE($D3389,$G3389),CSRFinput!$B:$E,4,0)=0,OR(H3389=MappingTables!$C$34,H3389=MappingTables!$C$35)),1,VLOOKUP(CONCATENATE($D3389,$G3389),CSRFinput!$B:$E,4,0))),0,IF(AND(VLOOKUP(CONCATENATE($D3389,$G3389),CSRFinput!$B:$E,4,0)=0,OR(H3389=MappingTables!$C$34,H3389=MappingTables!$C$35)),1,VLOOKUP(CONCATENATE($D3389,$G3389),CSRFinput!$B:$E,4,0)))</f>
        <v>0.054776304963434752</v>
      </c>
      <c r="W3389" s="85">
        <f>IF(B3389="",0,+$T3389*$V3389)</f>
        <v>0.0030282696088596</v>
      </c>
      <c r="X3389" s="85">
        <f>IF(B3389="",0,IF(OR(H3389=MappingTables!$C$34,H3389=MappingTables!$C$35),W3389,0))</f>
        <v>0</v>
      </c>
    </row>
    <row r="3390" spans="2:24" s="0" customFormat="0" ht="15">
      <c r="B3390" s="69">
        <v>16992081</v>
      </c>
      <c r="C3390" s="70" t="s">
        <v>961</v>
      </c>
      <c r="D3390" s="70" t="s">
        <v>1</v>
      </c>
      <c r="E3390" s="70" t="s">
        <v>1</v>
      </c>
      <c r="F3390" s="70"/>
      <c r="G3390" s="70" t="s">
        <v>61</v>
      </c>
      <c r="H3390" s="70" t="s">
        <v>178</v>
      </c>
      <c r="I3390" s="70" t="s">
        <v>184</v>
      </c>
      <c r="J3390" s="71">
        <f>IF(OR(I3390=0,I3390=""),"unrated",VLOOKUP(I3390,MappingTables!$B$19:$C$31,2,FALSE))</f>
        <v>5</v>
      </c>
      <c r="K3390" s="72">
        <v>446.66281435040256</v>
      </c>
      <c r="L3390" s="70">
        <v>0.087671521273872192</v>
      </c>
      <c r="M3390" s="71">
        <f>IF(L3390&lt;1,1,L3390)</f>
        <v>1</v>
      </c>
      <c r="N3390" s="70" t="s">
        <v>141</v>
      </c>
      <c r="O3390" s="71">
        <f>INDEX(DurClassMapping,MATCH(M3390,MappingTables!$D$4:$D$8,-1),1)</f>
        <v>1</v>
      </c>
      <c r="P3390" s="73">
        <f>IF(M3390=$A$1,1,$M3390-INDEX(MappingTables!$E$4:$E$8,MATCH(O3390,MappingTables!$B$4:$B$8,0)))</f>
        <v>1</v>
      </c>
      <c r="Q3390" s="71">
        <f>IF(B3390="",0,INDEX(ModelParameters!$D$6:$K$10,MATCH($O3390,ModelParameters!$B$6:$B$10,0),MATCH($J3390,ModelParameters!$D$5:$K$5,0)))</f>
        <v>0.075</v>
      </c>
      <c r="R3390" s="71">
        <f>IF(B3390="",0,INDEX(ModelParameters!$D$13:$K$17,MATCH($O3390,ModelParameters!$B$13:$B$17,0),MATCH($J3390,ModelParameters!$D$5:$K$5,0)))</f>
        <v>0</v>
      </c>
      <c r="S3390" s="160">
        <f>IF(B3390="",0,MIN(IF($N3390="Other Bond TM",ModelParameters!$N$21,1)*(P3390*Q3390+R3390),1))</f>
        <v>0.075</v>
      </c>
      <c r="T3390" s="85">
        <f>IF(B3390="",0,$S3390*$K3390)</f>
        <v>33.499711076280184</v>
      </c>
      <c r="U3390" s="85">
        <f>IF(B3390="",0,IF(OR(H3390=MappingTables!$C$34,H3390=MappingTables!$C$35),T3390,0))</f>
        <v>0</v>
      </c>
      <c r="V3390" s="85">
        <f>IF(ISNA(IF(AND(VLOOKUP(CONCATENATE($D3390,$G3390),CSRFinput!$B:$E,4,0)=0,OR(H3390=MappingTables!$C$34,H3390=MappingTables!$C$35)),1,VLOOKUP(CONCATENATE($D3390,$G3390),CSRFinput!$B:$E,4,0))),0,IF(AND(VLOOKUP(CONCATENATE($D3390,$G3390),CSRFinput!$B:$E,4,0)=0,OR(H3390=MappingTables!$C$34,H3390=MappingTables!$C$35)),1,VLOOKUP(CONCATENATE($D3390,$G3390),CSRFinput!$B:$E,4,0)))</f>
        <v>0.054776304963434752</v>
      </c>
      <c r="W3390" s="85">
        <f>IF(B3390="",0,+$T3390*$V3390)</f>
        <v>1.8349903901012764</v>
      </c>
      <c r="X3390" s="85">
        <f>IF(B3390="",0,IF(OR(H3390=MappingTables!$C$34,H3390=MappingTables!$C$35),W3390,0))</f>
        <v>0</v>
      </c>
    </row>
    <row r="3391" spans="2:24" s="0" customFormat="0" ht="15">
      <c r="B3391" s="69">
        <v>6924798</v>
      </c>
      <c r="C3391" s="70" t="s">
        <v>2761</v>
      </c>
      <c r="D3391" s="70" t="s">
        <v>1</v>
      </c>
      <c r="E3391" s="70" t="s">
        <v>1</v>
      </c>
      <c r="F3391" s="70"/>
      <c r="G3391" s="70" t="s">
        <v>61</v>
      </c>
      <c r="H3391" s="70" t="s">
        <v>178</v>
      </c>
      <c r="I3391" s="70" t="s">
        <v>184</v>
      </c>
      <c r="J3391" s="71">
        <f>IF(OR(I3391=0,I3391=""),"unrated",VLOOKUP(I3391,MappingTables!$B$19:$C$31,2,FALSE))</f>
        <v>5</v>
      </c>
      <c r="K3391" s="72">
        <v>526.539932070428</v>
      </c>
      <c r="L3391" s="70">
        <v>2.2703925636308608</v>
      </c>
      <c r="M3391" s="71">
        <f>IF(L3391&lt;1,1,L3391)</f>
        <v>2.2703925636308608</v>
      </c>
      <c r="N3391" s="70" t="s">
        <v>141</v>
      </c>
      <c r="O3391" s="71">
        <f>INDEX(DurClassMapping,MATCH(M3391,MappingTables!$D$4:$D$8,-1),1)</f>
        <v>1</v>
      </c>
      <c r="P3391" s="73">
        <f>IF(M3391=$A$1,1,$M3391-INDEX(MappingTables!$E$4:$E$8,MATCH(O3391,MappingTables!$B$4:$B$8,0)))</f>
        <v>2.2703925636308608</v>
      </c>
      <c r="Q3391" s="71">
        <f>IF(B3391="",0,INDEX(ModelParameters!$D$6:$K$10,MATCH($O3391,ModelParameters!$B$6:$B$10,0),MATCH($J3391,ModelParameters!$D$5:$K$5,0)))</f>
        <v>0.075</v>
      </c>
      <c r="R3391" s="71">
        <f>IF(B3391="",0,INDEX(ModelParameters!$D$13:$K$17,MATCH($O3391,ModelParameters!$B$13:$B$17,0),MATCH($J3391,ModelParameters!$D$5:$K$5,0)))</f>
        <v>0</v>
      </c>
      <c r="S3391" s="160">
        <f>IF(B3391="",0,MIN(IF($N3391="Other Bond TM",ModelParameters!$N$21,1)*(P3391*Q3391+R3391),1))</f>
        <v>0.17027944227231456</v>
      </c>
      <c r="T3391" s="85">
        <f>IF(B3391="",0,$S3391*$K3391)</f>
        <v>89.658925967054864</v>
      </c>
      <c r="U3391" s="85">
        <f>IF(B3391="",0,IF(OR(H3391=MappingTables!$C$34,H3391=MappingTables!$C$35),T3391,0))</f>
        <v>0</v>
      </c>
      <c r="V3391" s="85">
        <f>IF(ISNA(IF(AND(VLOOKUP(CONCATENATE($D3391,$G3391),CSRFinput!$B:$E,4,0)=0,OR(H3391=MappingTables!$C$34,H3391=MappingTables!$C$35)),1,VLOOKUP(CONCATENATE($D3391,$G3391),CSRFinput!$B:$E,4,0))),0,IF(AND(VLOOKUP(CONCATENATE($D3391,$G3391),CSRFinput!$B:$E,4,0)=0,OR(H3391=MappingTables!$C$34,H3391=MappingTables!$C$35)),1,VLOOKUP(CONCATENATE($D3391,$G3391),CSRFinput!$B:$E,4,0)))</f>
        <v>0.054776304963434752</v>
      </c>
      <c r="W3391" s="85">
        <f>IF(B3391="",0,+$T3391*$V3391)</f>
        <v>4.9111846714654168</v>
      </c>
      <c r="X3391" s="85">
        <f>IF(B3391="",0,IF(OR(H3391=MappingTables!$C$34,H3391=MappingTables!$C$35),W3391,0))</f>
        <v>0</v>
      </c>
    </row>
    <row r="3392" spans="2:24" s="0" customFormat="0" ht="15">
      <c r="B3392" s="69">
        <v>14430635</v>
      </c>
      <c r="C3392" s="70" t="s">
        <v>2413</v>
      </c>
      <c r="D3392" s="70" t="s">
        <v>1</v>
      </c>
      <c r="E3392" s="70" t="s">
        <v>1</v>
      </c>
      <c r="F3392" s="70"/>
      <c r="G3392" s="70" t="s">
        <v>61</v>
      </c>
      <c r="H3392" s="70" t="s">
        <v>178</v>
      </c>
      <c r="I3392" s="70" t="s">
        <v>179</v>
      </c>
      <c r="J3392" s="71">
        <f>IF(OR(I3392=0,I3392=""),"unrated",VLOOKUP(I3392,MappingTables!$B$19:$C$31,2,FALSE))</f>
        <v>4</v>
      </c>
      <c r="K3392" s="72">
        <v>14681.862697487466</v>
      </c>
      <c r="L3392" s="70">
        <v>4.6692453719450696</v>
      </c>
      <c r="M3392" s="71">
        <f>IF(L3392&lt;1,1,L3392)</f>
        <v>4.6692453719450696</v>
      </c>
      <c r="N3392" s="70" t="s">
        <v>141</v>
      </c>
      <c r="O3392" s="71">
        <f>INDEX(DurClassMapping,MATCH(M3392,MappingTables!$D$4:$D$8,-1),1)</f>
        <v>1</v>
      </c>
      <c r="P3392" s="73">
        <f>IF(M3392=$A$1,1,$M3392-INDEX(MappingTables!$E$4:$E$8,MATCH(O3392,MappingTables!$B$4:$B$8,0)))</f>
        <v>4.6692453719450696</v>
      </c>
      <c r="Q3392" s="71">
        <f>IF(B3392="",0,INDEX(ModelParameters!$D$6:$K$10,MATCH($O3392,ModelParameters!$B$6:$B$10,0),MATCH($J3392,ModelParameters!$D$5:$K$5,0)))</f>
        <v>0.045</v>
      </c>
      <c r="R3392" s="71">
        <f>IF(B3392="",0,INDEX(ModelParameters!$D$13:$K$17,MATCH($O3392,ModelParameters!$B$13:$B$17,0),MATCH($J3392,ModelParameters!$D$5:$K$5,0)))</f>
        <v>0</v>
      </c>
      <c r="S3392" s="160">
        <f>IF(B3392="",0,MIN(IF($N3392="Other Bond TM",ModelParameters!$N$21,1)*(P3392*Q3392+R3392),1))</f>
        <v>0.21011604173752812</v>
      </c>
      <c r="T3392" s="85">
        <f>IF(B3392="",0,$S3392*$K3392)</f>
        <v>3084.8948753299336</v>
      </c>
      <c r="U3392" s="85">
        <f>IF(B3392="",0,IF(OR(H3392=MappingTables!$C$34,H3392=MappingTables!$C$35),T3392,0))</f>
        <v>0</v>
      </c>
      <c r="V3392" s="85">
        <f>IF(ISNA(IF(AND(VLOOKUP(CONCATENATE($D3392,$G3392),CSRFinput!$B:$E,4,0)=0,OR(H3392=MappingTables!$C$34,H3392=MappingTables!$C$35)),1,VLOOKUP(CONCATENATE($D3392,$G3392),CSRFinput!$B:$E,4,0))),0,IF(AND(VLOOKUP(CONCATENATE($D3392,$G3392),CSRFinput!$B:$E,4,0)=0,OR(H3392=MappingTables!$C$34,H3392=MappingTables!$C$35)),1,VLOOKUP(CONCATENATE($D3392,$G3392),CSRFinput!$B:$E,4,0)))</f>
        <v>0.054776304963434752</v>
      </c>
      <c r="W3392" s="85">
        <f>IF(B3392="",0,+$T3392*$V3392)</f>
        <v>168.97914247120948</v>
      </c>
      <c r="X3392" s="85">
        <f>IF(B3392="",0,IF(OR(H3392=MappingTables!$C$34,H3392=MappingTables!$C$35),W3392,0))</f>
        <v>0</v>
      </c>
    </row>
    <row r="3393" spans="2:24" s="0" customFormat="0" ht="15">
      <c r="B3393" s="69">
        <v>4601775</v>
      </c>
      <c r="C3393" s="70" t="s">
        <v>967</v>
      </c>
      <c r="D3393" s="70" t="s">
        <v>1</v>
      </c>
      <c r="E3393" s="70" t="s">
        <v>1</v>
      </c>
      <c r="F3393" s="70"/>
      <c r="G3393" s="70" t="s">
        <v>61</v>
      </c>
      <c r="H3393" s="70" t="s">
        <v>178</v>
      </c>
      <c r="I3393" s="70" t="s">
        <v>179</v>
      </c>
      <c r="J3393" s="71">
        <f>IF(OR(I3393=0,I3393=""),"unrated",VLOOKUP(I3393,MappingTables!$B$19:$C$31,2,FALSE))</f>
        <v>4</v>
      </c>
      <c r="K3393" s="72">
        <v>999.34947506708848</v>
      </c>
      <c r="L3393" s="70">
        <v>1.2816215198341834</v>
      </c>
      <c r="M3393" s="71">
        <f>IF(L3393&lt;1,1,L3393)</f>
        <v>1.2816215198341834</v>
      </c>
      <c r="N3393" s="70" t="s">
        <v>141</v>
      </c>
      <c r="O3393" s="71">
        <f>INDEX(DurClassMapping,MATCH(M3393,MappingTables!$D$4:$D$8,-1),1)</f>
        <v>1</v>
      </c>
      <c r="P3393" s="73">
        <f>IF(M3393=$A$1,1,$M3393-INDEX(MappingTables!$E$4:$E$8,MATCH(O3393,MappingTables!$B$4:$B$8,0)))</f>
        <v>1.2816215198341834</v>
      </c>
      <c r="Q3393" s="71">
        <f>IF(B3393="",0,INDEX(ModelParameters!$D$6:$K$10,MATCH($O3393,ModelParameters!$B$6:$B$10,0),MATCH($J3393,ModelParameters!$D$5:$K$5,0)))</f>
        <v>0.045</v>
      </c>
      <c r="R3393" s="71">
        <f>IF(B3393="",0,INDEX(ModelParameters!$D$13:$K$17,MATCH($O3393,ModelParameters!$B$13:$B$17,0),MATCH($J3393,ModelParameters!$D$5:$K$5,0)))</f>
        <v>0</v>
      </c>
      <c r="S3393" s="160">
        <f>IF(B3393="",0,MIN(IF($N3393="Other Bond TM",ModelParameters!$N$21,1)*(P3393*Q3393+R3393),1))</f>
        <v>0.057672968392538248</v>
      </c>
      <c r="T3393" s="85">
        <f>IF(B3393="",0,$S3393*$K3393)</f>
        <v>57.63545068864388</v>
      </c>
      <c r="U3393" s="85">
        <f>IF(B3393="",0,IF(OR(H3393=MappingTables!$C$34,H3393=MappingTables!$C$35),T3393,0))</f>
        <v>0</v>
      </c>
      <c r="V3393" s="85">
        <f>IF(ISNA(IF(AND(VLOOKUP(CONCATENATE($D3393,$G3393),CSRFinput!$B:$E,4,0)=0,OR(H3393=MappingTables!$C$34,H3393=MappingTables!$C$35)),1,VLOOKUP(CONCATENATE($D3393,$G3393),CSRFinput!$B:$E,4,0))),0,IF(AND(VLOOKUP(CONCATENATE($D3393,$G3393),CSRFinput!$B:$E,4,0)=0,OR(H3393=MappingTables!$C$34,H3393=MappingTables!$C$35)),1,VLOOKUP(CONCATENATE($D3393,$G3393),CSRFinput!$B:$E,4,0)))</f>
        <v>0.054776304963434752</v>
      </c>
      <c r="W3393" s="85">
        <f>IF(B3393="",0,+$T3393*$V3393)</f>
        <v>3.1570570236261628</v>
      </c>
      <c r="X3393" s="85">
        <f>IF(B3393="",0,IF(OR(H3393=MappingTables!$C$34,H3393=MappingTables!$C$35),W3393,0))</f>
        <v>0</v>
      </c>
    </row>
    <row r="3394" spans="2:24" s="0" customFormat="0" ht="15">
      <c r="B3394" s="69">
        <v>19622097</v>
      </c>
      <c r="C3394" s="70" t="s">
        <v>2828</v>
      </c>
      <c r="D3394" s="70" t="s">
        <v>1</v>
      </c>
      <c r="E3394" s="70" t="s">
        <v>1</v>
      </c>
      <c r="F3394" s="70"/>
      <c r="G3394" s="70" t="s">
        <v>61</v>
      </c>
      <c r="H3394" s="70" t="s">
        <v>178</v>
      </c>
      <c r="I3394" s="70" t="s">
        <v>220</v>
      </c>
      <c r="J3394" s="71">
        <f>IF(OR(I3394=0,I3394=""),"unrated",VLOOKUP(I3394,MappingTables!$B$19:$C$31,2,FALSE))</f>
        <v>1</v>
      </c>
      <c r="K3394" s="72">
        <v>381.14199666372368</v>
      </c>
      <c r="L3394" s="70">
        <v>0.22465698457535384</v>
      </c>
      <c r="M3394" s="71">
        <f>IF(L3394&lt;1,1,L3394)</f>
        <v>1</v>
      </c>
      <c r="N3394" s="70" t="s">
        <v>141</v>
      </c>
      <c r="O3394" s="71">
        <f>INDEX(DurClassMapping,MATCH(M3394,MappingTables!$D$4:$D$8,-1),1)</f>
        <v>1</v>
      </c>
      <c r="P3394" s="73">
        <f>IF(M3394=$A$1,1,$M3394-INDEX(MappingTables!$E$4:$E$8,MATCH(O3394,MappingTables!$B$4:$B$8,0)))</f>
        <v>1</v>
      </c>
      <c r="Q3394" s="71">
        <f>IF(B3394="",0,INDEX(ModelParameters!$D$6:$K$10,MATCH($O3394,ModelParameters!$B$6:$B$10,0),MATCH($J3394,ModelParameters!$D$5:$K$5,0)))</f>
        <v>0.011000000000000002</v>
      </c>
      <c r="R3394" s="71">
        <f>IF(B3394="",0,INDEX(ModelParameters!$D$13:$K$17,MATCH($O3394,ModelParameters!$B$13:$B$17,0),MATCH($J3394,ModelParameters!$D$5:$K$5,0)))</f>
        <v>0</v>
      </c>
      <c r="S3394" s="160">
        <f>IF(B3394="",0,MIN(IF($N3394="Other Bond TM",ModelParameters!$N$21,1)*(P3394*Q3394+R3394),1))</f>
        <v>0.011000000000000002</v>
      </c>
      <c r="T3394" s="85">
        <f>IF(B3394="",0,$S3394*$K3394)</f>
        <v>4.19256196330096</v>
      </c>
      <c r="U3394" s="85">
        <f>IF(B3394="",0,IF(OR(H3394=MappingTables!$C$34,H3394=MappingTables!$C$35),T3394,0))</f>
        <v>0</v>
      </c>
      <c r="V3394" s="85">
        <f>IF(ISNA(IF(AND(VLOOKUP(CONCATENATE($D3394,$G3394),CSRFinput!$B:$E,4,0)=0,OR(H3394=MappingTables!$C$34,H3394=MappingTables!$C$35)),1,VLOOKUP(CONCATENATE($D3394,$G3394),CSRFinput!$B:$E,4,0))),0,IF(AND(VLOOKUP(CONCATENATE($D3394,$G3394),CSRFinput!$B:$E,4,0)=0,OR(H3394=MappingTables!$C$34,H3394=MappingTables!$C$35)),1,VLOOKUP(CONCATENATE($D3394,$G3394),CSRFinput!$B:$E,4,0)))</f>
        <v>0.054776304963434752</v>
      </c>
      <c r="W3394" s="85">
        <f>IF(B3394="",0,+$T3394*$V3394)</f>
        <v>0.22965305267987016</v>
      </c>
      <c r="X3394" s="85">
        <f>IF(B3394="",0,IF(OR(H3394=MappingTables!$C$34,H3394=MappingTables!$C$35),W3394,0))</f>
        <v>0</v>
      </c>
    </row>
    <row r="3395" spans="2:24" s="0" customFormat="0" ht="15">
      <c r="B3395" s="69">
        <v>11879433</v>
      </c>
      <c r="C3395" s="70" t="s">
        <v>245</v>
      </c>
      <c r="D3395" s="70" t="s">
        <v>1</v>
      </c>
      <c r="E3395" s="70" t="s">
        <v>1</v>
      </c>
      <c r="F3395" s="70"/>
      <c r="G3395" s="70" t="s">
        <v>61</v>
      </c>
      <c r="H3395" s="70" t="s">
        <v>178</v>
      </c>
      <c r="I3395" s="70" t="s">
        <v>179</v>
      </c>
      <c r="J3395" s="71">
        <f>IF(OR(I3395=0,I3395=""),"unrated",VLOOKUP(I3395,MappingTables!$B$19:$C$31,2,FALSE))</f>
        <v>4</v>
      </c>
      <c r="K3395" s="72">
        <v>1557.086975720931</v>
      </c>
      <c r="L3395" s="70">
        <v>4.1807707143679672</v>
      </c>
      <c r="M3395" s="71">
        <f>IF(L3395&lt;1,1,L3395)</f>
        <v>4.1807707143679672</v>
      </c>
      <c r="N3395" s="70" t="s">
        <v>141</v>
      </c>
      <c r="O3395" s="71">
        <f>INDEX(DurClassMapping,MATCH(M3395,MappingTables!$D$4:$D$8,-1),1)</f>
        <v>1</v>
      </c>
      <c r="P3395" s="73">
        <f>IF(M3395=$A$1,1,$M3395-INDEX(MappingTables!$E$4:$E$8,MATCH(O3395,MappingTables!$B$4:$B$8,0)))</f>
        <v>4.1807707143679672</v>
      </c>
      <c r="Q3395" s="71">
        <f>IF(B3395="",0,INDEX(ModelParameters!$D$6:$K$10,MATCH($O3395,ModelParameters!$B$6:$B$10,0),MATCH($J3395,ModelParameters!$D$5:$K$5,0)))</f>
        <v>0.045</v>
      </c>
      <c r="R3395" s="71">
        <f>IF(B3395="",0,INDEX(ModelParameters!$D$13:$K$17,MATCH($O3395,ModelParameters!$B$13:$B$17,0),MATCH($J3395,ModelParameters!$D$5:$K$5,0)))</f>
        <v>0</v>
      </c>
      <c r="S3395" s="160">
        <f>IF(B3395="",0,MIN(IF($N3395="Other Bond TM",ModelParameters!$N$21,1)*(P3395*Q3395+R3395),1))</f>
        <v>0.18813468214655852</v>
      </c>
      <c r="T3395" s="85">
        <f>IF(B3395="",0,$S3395*$K3395)</f>
        <v>292.9420632518034</v>
      </c>
      <c r="U3395" s="85">
        <f>IF(B3395="",0,IF(OR(H3395=MappingTables!$C$34,H3395=MappingTables!$C$35),T3395,0))</f>
        <v>0</v>
      </c>
      <c r="V3395" s="85">
        <f>IF(ISNA(IF(AND(VLOOKUP(CONCATENATE($D3395,$G3395),CSRFinput!$B:$E,4,0)=0,OR(H3395=MappingTables!$C$34,H3395=MappingTables!$C$35)),1,VLOOKUP(CONCATENATE($D3395,$G3395),CSRFinput!$B:$E,4,0))),0,IF(AND(VLOOKUP(CONCATENATE($D3395,$G3395),CSRFinput!$B:$E,4,0)=0,OR(H3395=MappingTables!$C$34,H3395=MappingTables!$C$35)),1,VLOOKUP(CONCATENATE($D3395,$G3395),CSRFinput!$B:$E,4,0)))</f>
        <v>0.054776304963434752</v>
      </c>
      <c r="W3395" s="85">
        <f>IF(B3395="",0,+$T3395*$V3395)</f>
        <v>16.046283793298578</v>
      </c>
      <c r="X3395" s="85">
        <f>IF(B3395="",0,IF(OR(H3395=MappingTables!$C$34,H3395=MappingTables!$C$35),W3395,0))</f>
        <v>0</v>
      </c>
    </row>
    <row r="3396" spans="2:24" s="0" customFormat="0" ht="15">
      <c r="B3396" s="69">
        <v>21743792</v>
      </c>
      <c r="C3396" s="70" t="s">
        <v>2462</v>
      </c>
      <c r="D3396" s="70" t="s">
        <v>1</v>
      </c>
      <c r="E3396" s="70" t="s">
        <v>1</v>
      </c>
      <c r="F3396" s="70"/>
      <c r="G3396" s="70" t="s">
        <v>61</v>
      </c>
      <c r="H3396" s="70" t="s">
        <v>178</v>
      </c>
      <c r="I3396" s="70" t="s">
        <v>181</v>
      </c>
      <c r="J3396" s="71">
        <f>IF(OR(I3396=0,I3396=""),"unrated",VLOOKUP(I3396,MappingTables!$B$19:$C$31,2,FALSE))</f>
        <v>3</v>
      </c>
      <c r="K3396" s="72">
        <v>7232.1113265459472</v>
      </c>
      <c r="L3396" s="70">
        <v>6.1391213852577736</v>
      </c>
      <c r="M3396" s="71">
        <f>IF(L3396&lt;1,1,L3396)</f>
        <v>6.1391213852577736</v>
      </c>
      <c r="N3396" s="70" t="s">
        <v>141</v>
      </c>
      <c r="O3396" s="71">
        <f>INDEX(DurClassMapping,MATCH(M3396,MappingTables!$D$4:$D$8,-1),1)</f>
        <v>2</v>
      </c>
      <c r="P3396" s="73">
        <f>IF(M3396=$A$1,1,$M3396-INDEX(MappingTables!$E$4:$E$8,MATCH(O3396,MappingTables!$B$4:$B$8,0)))</f>
        <v>1.1391213852577736</v>
      </c>
      <c r="Q3396" s="71">
        <f>IF(B3396="",0,INDEX(ModelParameters!$D$6:$K$10,MATCH($O3396,ModelParameters!$B$6:$B$10,0),MATCH($J3396,ModelParameters!$D$5:$K$5,0)))</f>
        <v>0.015</v>
      </c>
      <c r="R3396" s="71">
        <f>IF(B3396="",0,INDEX(ModelParameters!$D$13:$K$17,MATCH($O3396,ModelParameters!$B$13:$B$17,0),MATCH($J3396,ModelParameters!$D$5:$K$5,0)))</f>
        <v>0.125</v>
      </c>
      <c r="S3396" s="160">
        <f>IF(B3396="",0,MIN(IF($N3396="Other Bond TM",ModelParameters!$N$21,1)*(P3396*Q3396+R3396),1))</f>
        <v>0.14208682077886662</v>
      </c>
      <c r="T3396" s="85">
        <f>IF(B3396="",0,$S3396*$K3396)</f>
        <v>1027.5877059077452</v>
      </c>
      <c r="U3396" s="85">
        <f>IF(B3396="",0,IF(OR(H3396=MappingTables!$C$34,H3396=MappingTables!$C$35),T3396,0))</f>
        <v>0</v>
      </c>
      <c r="V3396" s="85">
        <f>IF(ISNA(IF(AND(VLOOKUP(CONCATENATE($D3396,$G3396),CSRFinput!$B:$E,4,0)=0,OR(H3396=MappingTables!$C$34,H3396=MappingTables!$C$35)),1,VLOOKUP(CONCATENATE($D3396,$G3396),CSRFinput!$B:$E,4,0))),0,IF(AND(VLOOKUP(CONCATENATE($D3396,$G3396),CSRFinput!$B:$E,4,0)=0,OR(H3396=MappingTables!$C$34,H3396=MappingTables!$C$35)),1,VLOOKUP(CONCATENATE($D3396,$G3396),CSRFinput!$B:$E,4,0)))</f>
        <v>0.054776304963434752</v>
      </c>
      <c r="W3396" s="85">
        <f>IF(B3396="",0,+$T3396*$V3396)</f>
        <v>56.28745755547896</v>
      </c>
      <c r="X3396" s="85">
        <f>IF(B3396="",0,IF(OR(H3396=MappingTables!$C$34,H3396=MappingTables!$C$35),W3396,0))</f>
        <v>0</v>
      </c>
    </row>
    <row r="3397" spans="2:24" s="0" customFormat="0" ht="15">
      <c r="B3397" s="69" t="s">
        <v>2331</v>
      </c>
      <c r="C3397" s="70" t="s">
        <v>2332</v>
      </c>
      <c r="D3397" s="70" t="s">
        <v>1</v>
      </c>
      <c r="E3397" s="70" t="s">
        <v>1</v>
      </c>
      <c r="F3397" s="70"/>
      <c r="G3397" s="70" t="s">
        <v>61</v>
      </c>
      <c r="H3397" s="70" t="s">
        <v>178</v>
      </c>
      <c r="I3397" s="70" t="s">
        <v>513</v>
      </c>
      <c r="J3397" s="71">
        <f>IF(OR(I3397=0,I3397=""),"unrated",VLOOKUP(I3397,MappingTables!$B$19:$C$31,2,FALSE))</f>
        <v>6</v>
      </c>
      <c r="K3397" s="72">
        <v>974.09575842949968</v>
      </c>
      <c r="L3397" s="70">
        <v>6.6102840749385256</v>
      </c>
      <c r="M3397" s="71">
        <f>IF(L3397&lt;1,1,L3397)</f>
        <v>6.6102840749385256</v>
      </c>
      <c r="N3397" s="70" t="s">
        <v>141</v>
      </c>
      <c r="O3397" s="71">
        <f>INDEX(DurClassMapping,MATCH(M3397,MappingTables!$D$4:$D$8,-1),1)</f>
        <v>2</v>
      </c>
      <c r="P3397" s="73">
        <f>IF(M3397=$A$1,1,$M3397-INDEX(MappingTables!$E$4:$E$8,MATCH(O3397,MappingTables!$B$4:$B$8,0)))</f>
        <v>1.6102840749385256</v>
      </c>
      <c r="Q3397" s="71">
        <f>IF(B3397="",0,INDEX(ModelParameters!$D$6:$K$10,MATCH($O3397,ModelParameters!$B$6:$B$10,0),MATCH($J3397,ModelParameters!$D$5:$K$5,0)))</f>
        <v>0.042</v>
      </c>
      <c r="R3397" s="71">
        <f>IF(B3397="",0,INDEX(ModelParameters!$D$13:$K$17,MATCH($O3397,ModelParameters!$B$13:$B$17,0),MATCH($J3397,ModelParameters!$D$5:$K$5,0)))</f>
        <v>0.375</v>
      </c>
      <c r="S3397" s="160">
        <f>IF(B3397="",0,MIN(IF($N3397="Other Bond TM",ModelParameters!$N$21,1)*(P3397*Q3397+R3397),1))</f>
        <v>0.44263193114741808</v>
      </c>
      <c r="T3397" s="85">
        <f>IF(B3397="",0,$S3397*$K3397)</f>
        <v>431.16588667615824</v>
      </c>
      <c r="U3397" s="85">
        <f>IF(B3397="",0,IF(OR(H3397=MappingTables!$C$34,H3397=MappingTables!$C$35),T3397,0))</f>
        <v>0</v>
      </c>
      <c r="V3397" s="85">
        <f>IF(ISNA(IF(AND(VLOOKUP(CONCATENATE($D3397,$G3397),CSRFinput!$B:$E,4,0)=0,OR(H3397=MappingTables!$C$34,H3397=MappingTables!$C$35)),1,VLOOKUP(CONCATENATE($D3397,$G3397),CSRFinput!$B:$E,4,0))),0,IF(AND(VLOOKUP(CONCATENATE($D3397,$G3397),CSRFinput!$B:$E,4,0)=0,OR(H3397=MappingTables!$C$34,H3397=MappingTables!$C$35)),1,VLOOKUP(CONCATENATE($D3397,$G3397),CSRFinput!$B:$E,4,0)))</f>
        <v>0.054776304963434752</v>
      </c>
      <c r="W3397" s="85">
        <f>IF(B3397="",0,+$T3397*$V3397)</f>
        <v>23.617674098402992</v>
      </c>
      <c r="X3397" s="85">
        <f>IF(B3397="",0,IF(OR(H3397=MappingTables!$C$34,H3397=MappingTables!$C$35),W3397,0))</f>
        <v>0</v>
      </c>
    </row>
    <row r="3398" spans="2:24" s="0" customFormat="0" ht="15">
      <c r="B3398" s="69">
        <v>15533513</v>
      </c>
      <c r="C3398" s="70" t="s">
        <v>2829</v>
      </c>
      <c r="D3398" s="70" t="s">
        <v>1</v>
      </c>
      <c r="E3398" s="70" t="s">
        <v>1</v>
      </c>
      <c r="F3398" s="70"/>
      <c r="G3398" s="70" t="s">
        <v>61</v>
      </c>
      <c r="H3398" s="70" t="s">
        <v>178</v>
      </c>
      <c r="I3398" s="70" t="s">
        <v>188</v>
      </c>
      <c r="J3398" s="71">
        <f>IF(OR(I3398=0,I3398=""),"unrated",VLOOKUP(I3398,MappingTables!$B$19:$C$31,2,FALSE))</f>
        <v>2</v>
      </c>
      <c r="K3398" s="72">
        <v>111.05421312051718</v>
      </c>
      <c r="L3398" s="70">
        <v>1.8293888545310668</v>
      </c>
      <c r="M3398" s="71">
        <f>IF(L3398&lt;1,1,L3398)</f>
        <v>1.8293888545310668</v>
      </c>
      <c r="N3398" s="70" t="s">
        <v>141</v>
      </c>
      <c r="O3398" s="71">
        <f>INDEX(DurClassMapping,MATCH(M3398,MappingTables!$D$4:$D$8,-1),1)</f>
        <v>1</v>
      </c>
      <c r="P3398" s="73">
        <f>IF(M3398=$A$1,1,$M3398-INDEX(MappingTables!$E$4:$E$8,MATCH(O3398,MappingTables!$B$4:$B$8,0)))</f>
        <v>1.8293888545310668</v>
      </c>
      <c r="Q3398" s="71">
        <f>IF(B3398="",0,INDEX(ModelParameters!$D$6:$K$10,MATCH($O3398,ModelParameters!$B$6:$B$10,0),MATCH($J3398,ModelParameters!$D$5:$K$5,0)))</f>
        <v>0.013999999999999998</v>
      </c>
      <c r="R3398" s="71">
        <f>IF(B3398="",0,INDEX(ModelParameters!$D$13:$K$17,MATCH($O3398,ModelParameters!$B$13:$B$17,0),MATCH($J3398,ModelParameters!$D$5:$K$5,0)))</f>
        <v>0</v>
      </c>
      <c r="S3398" s="160">
        <f>IF(B3398="",0,MIN(IF($N3398="Other Bond TM",ModelParameters!$N$21,1)*(P3398*Q3398+R3398),1))</f>
        <v>0.025611443963434932</v>
      </c>
      <c r="T3398" s="85">
        <f>IF(B3398="",0,$S3398*$K3398)</f>
        <v>2.844258756239486</v>
      </c>
      <c r="U3398" s="85">
        <f>IF(B3398="",0,IF(OR(H3398=MappingTables!$C$34,H3398=MappingTables!$C$35),T3398,0))</f>
        <v>0</v>
      </c>
      <c r="V3398" s="85">
        <f>IF(ISNA(IF(AND(VLOOKUP(CONCATENATE($D3398,$G3398),CSRFinput!$B:$E,4,0)=0,OR(H3398=MappingTables!$C$34,H3398=MappingTables!$C$35)),1,VLOOKUP(CONCATENATE($D3398,$G3398),CSRFinput!$B:$E,4,0))),0,IF(AND(VLOOKUP(CONCATENATE($D3398,$G3398),CSRFinput!$B:$E,4,0)=0,OR(H3398=MappingTables!$C$34,H3398=MappingTables!$C$35)),1,VLOOKUP(CONCATENATE($D3398,$G3398),CSRFinput!$B:$E,4,0)))</f>
        <v>0.054776304963434752</v>
      </c>
      <c r="W3398" s="85">
        <f>IF(B3398="",0,+$T3398*$V3398)</f>
        <v>0.15579798502669374</v>
      </c>
      <c r="X3398" s="85">
        <f>IF(B3398="",0,IF(OR(H3398=MappingTables!$C$34,H3398=MappingTables!$C$35),W3398,0))</f>
        <v>0</v>
      </c>
    </row>
    <row r="3399" spans="2:24" s="0" customFormat="0" ht="15">
      <c r="B3399" s="69">
        <v>19216281</v>
      </c>
      <c r="C3399" s="70" t="s">
        <v>1915</v>
      </c>
      <c r="D3399" s="70" t="s">
        <v>1</v>
      </c>
      <c r="E3399" s="70" t="s">
        <v>1</v>
      </c>
      <c r="F3399" s="70"/>
      <c r="G3399" s="70" t="s">
        <v>61</v>
      </c>
      <c r="H3399" s="70" t="s">
        <v>178</v>
      </c>
      <c r="I3399" s="70" t="s">
        <v>181</v>
      </c>
      <c r="J3399" s="71">
        <f>IF(OR(I3399=0,I3399=""),"unrated",VLOOKUP(I3399,MappingTables!$B$19:$C$31,2,FALSE))</f>
        <v>3</v>
      </c>
      <c r="K3399" s="72">
        <v>107.65396441353716</v>
      </c>
      <c r="L3399" s="70">
        <v>0.11780924728932506</v>
      </c>
      <c r="M3399" s="71">
        <f>IF(L3399&lt;1,1,L3399)</f>
        <v>1</v>
      </c>
      <c r="N3399" s="70" t="s">
        <v>141</v>
      </c>
      <c r="O3399" s="71">
        <f>INDEX(DurClassMapping,MATCH(M3399,MappingTables!$D$4:$D$8,-1),1)</f>
        <v>1</v>
      </c>
      <c r="P3399" s="73">
        <f>IF(M3399=$A$1,1,$M3399-INDEX(MappingTables!$E$4:$E$8,MATCH(O3399,MappingTables!$B$4:$B$8,0)))</f>
        <v>1</v>
      </c>
      <c r="Q3399" s="71">
        <f>IF(B3399="",0,INDEX(ModelParameters!$D$6:$K$10,MATCH($O3399,ModelParameters!$B$6:$B$10,0),MATCH($J3399,ModelParameters!$D$5:$K$5,0)))</f>
        <v>0.025</v>
      </c>
      <c r="R3399" s="71">
        <f>IF(B3399="",0,INDEX(ModelParameters!$D$13:$K$17,MATCH($O3399,ModelParameters!$B$13:$B$17,0),MATCH($J3399,ModelParameters!$D$5:$K$5,0)))</f>
        <v>0</v>
      </c>
      <c r="S3399" s="160">
        <f>IF(B3399="",0,MIN(IF($N3399="Other Bond TM",ModelParameters!$N$21,1)*(P3399*Q3399+R3399),1))</f>
        <v>0.025</v>
      </c>
      <c r="T3399" s="85">
        <f>IF(B3399="",0,$S3399*$K3399)</f>
        <v>2.6913491103384288</v>
      </c>
      <c r="U3399" s="85">
        <f>IF(B3399="",0,IF(OR(H3399=MappingTables!$C$34,H3399=MappingTables!$C$35),T3399,0))</f>
        <v>0</v>
      </c>
      <c r="V3399" s="85">
        <f>IF(ISNA(IF(AND(VLOOKUP(CONCATENATE($D3399,$G3399),CSRFinput!$B:$E,4,0)=0,OR(H3399=MappingTables!$C$34,H3399=MappingTables!$C$35)),1,VLOOKUP(CONCATENATE($D3399,$G3399),CSRFinput!$B:$E,4,0))),0,IF(AND(VLOOKUP(CONCATENATE($D3399,$G3399),CSRFinput!$B:$E,4,0)=0,OR(H3399=MappingTables!$C$34,H3399=MappingTables!$C$35)),1,VLOOKUP(CONCATENATE($D3399,$G3399),CSRFinput!$B:$E,4,0)))</f>
        <v>0.054776304963434752</v>
      </c>
      <c r="W3399" s="85">
        <f>IF(B3399="",0,+$T3399*$V3399)</f>
        <v>0.14742215963096658</v>
      </c>
      <c r="X3399" s="85">
        <f>IF(B3399="",0,IF(OR(H3399=MappingTables!$C$34,H3399=MappingTables!$C$35),W3399,0))</f>
        <v>0</v>
      </c>
    </row>
    <row r="3400" spans="2:24" s="0" customFormat="0" ht="15">
      <c r="B3400" s="69">
        <v>3853226</v>
      </c>
      <c r="C3400" s="70" t="s">
        <v>2165</v>
      </c>
      <c r="D3400" s="70" t="s">
        <v>1</v>
      </c>
      <c r="E3400" s="70" t="s">
        <v>1</v>
      </c>
      <c r="F3400" s="70"/>
      <c r="G3400" s="70" t="s">
        <v>61</v>
      </c>
      <c r="H3400" s="70" t="s">
        <v>178</v>
      </c>
      <c r="I3400" s="70" t="s">
        <v>181</v>
      </c>
      <c r="J3400" s="71">
        <f>IF(OR(I3400=0,I3400=""),"unrated",VLOOKUP(I3400,MappingTables!$B$19:$C$31,2,FALSE))</f>
        <v>3</v>
      </c>
      <c r="K3400" s="72">
        <v>2149.8644492370964</v>
      </c>
      <c r="L3400" s="70">
        <v>12.91424414617837</v>
      </c>
      <c r="M3400" s="71">
        <f>IF(L3400&lt;1,1,L3400)</f>
        <v>12.91424414617837</v>
      </c>
      <c r="N3400" s="70" t="s">
        <v>141</v>
      </c>
      <c r="O3400" s="71">
        <f>INDEX(DurClassMapping,MATCH(M3400,MappingTables!$D$4:$D$8,-1),1)</f>
        <v>3</v>
      </c>
      <c r="P3400" s="73">
        <f>IF(M3400=$A$1,1,$M3400-INDEX(MappingTables!$E$4:$E$8,MATCH(O3400,MappingTables!$B$4:$B$8,0)))</f>
        <v>2.9142441461783708</v>
      </c>
      <c r="Q3400" s="71">
        <f>IF(B3400="",0,INDEX(ModelParameters!$D$6:$K$10,MATCH($O3400,ModelParameters!$B$6:$B$10,0),MATCH($J3400,ModelParameters!$D$5:$K$5,0)))</f>
        <v>0.01</v>
      </c>
      <c r="R3400" s="71">
        <f>IF(B3400="",0,INDEX(ModelParameters!$D$13:$K$17,MATCH($O3400,ModelParameters!$B$13:$B$17,0),MATCH($J3400,ModelParameters!$D$5:$K$5,0)))</f>
        <v>0.2</v>
      </c>
      <c r="S3400" s="160">
        <f>IF(B3400="",0,MIN(IF($N3400="Other Bond TM",ModelParameters!$N$21,1)*(P3400*Q3400+R3400),1))</f>
        <v>0.22914244146178372</v>
      </c>
      <c r="T3400" s="85">
        <f>IF(B3400="",0,$S3400*$K3400)</f>
        <v>492.62518871008128</v>
      </c>
      <c r="U3400" s="85">
        <f>IF(B3400="",0,IF(OR(H3400=MappingTables!$C$34,H3400=MappingTables!$C$35),T3400,0))</f>
        <v>0</v>
      </c>
      <c r="V3400" s="85">
        <f>IF(ISNA(IF(AND(VLOOKUP(CONCATENATE($D3400,$G3400),CSRFinput!$B:$E,4,0)=0,OR(H3400=MappingTables!$C$34,H3400=MappingTables!$C$35)),1,VLOOKUP(CONCATENATE($D3400,$G3400),CSRFinput!$B:$E,4,0))),0,IF(AND(VLOOKUP(CONCATENATE($D3400,$G3400),CSRFinput!$B:$E,4,0)=0,OR(H3400=MappingTables!$C$34,H3400=MappingTables!$C$35)),1,VLOOKUP(CONCATENATE($D3400,$G3400),CSRFinput!$B:$E,4,0)))</f>
        <v>0.054776304963434752</v>
      </c>
      <c r="W3400" s="85">
        <f>IF(B3400="",0,+$T3400*$V3400)</f>
        <v>26.984187569453008</v>
      </c>
      <c r="X3400" s="85">
        <f>IF(B3400="",0,IF(OR(H3400=MappingTables!$C$34,H3400=MappingTables!$C$35),W3400,0))</f>
        <v>0</v>
      </c>
    </row>
    <row r="3401" spans="2:24" s="0" customFormat="0" ht="15">
      <c r="B3401" s="69">
        <v>10661715</v>
      </c>
      <c r="C3401" s="70" t="s">
        <v>2633</v>
      </c>
      <c r="D3401" s="70" t="s">
        <v>1</v>
      </c>
      <c r="E3401" s="70" t="s">
        <v>1</v>
      </c>
      <c r="F3401" s="70"/>
      <c r="G3401" s="70" t="s">
        <v>61</v>
      </c>
      <c r="H3401" s="70" t="s">
        <v>178</v>
      </c>
      <c r="I3401" s="70" t="s">
        <v>181</v>
      </c>
      <c r="J3401" s="71">
        <f>IF(OR(I3401=0,I3401=""),"unrated",VLOOKUP(I3401,MappingTables!$B$19:$C$31,2,FALSE))</f>
        <v>3</v>
      </c>
      <c r="K3401" s="72">
        <v>1895.8057379270768</v>
      </c>
      <c r="L3401" s="70">
        <v>4.7952980285999912</v>
      </c>
      <c r="M3401" s="71">
        <f>IF(L3401&lt;1,1,L3401)</f>
        <v>4.7952980285999912</v>
      </c>
      <c r="N3401" s="70" t="s">
        <v>141</v>
      </c>
      <c r="O3401" s="71">
        <f>INDEX(DurClassMapping,MATCH(M3401,MappingTables!$D$4:$D$8,-1),1)</f>
        <v>1</v>
      </c>
      <c r="P3401" s="73">
        <f>IF(M3401=$A$1,1,$M3401-INDEX(MappingTables!$E$4:$E$8,MATCH(O3401,MappingTables!$B$4:$B$8,0)))</f>
        <v>4.7952980285999912</v>
      </c>
      <c r="Q3401" s="71">
        <f>IF(B3401="",0,INDEX(ModelParameters!$D$6:$K$10,MATCH($O3401,ModelParameters!$B$6:$B$10,0),MATCH($J3401,ModelParameters!$D$5:$K$5,0)))</f>
        <v>0.025</v>
      </c>
      <c r="R3401" s="71">
        <f>IF(B3401="",0,INDEX(ModelParameters!$D$13:$K$17,MATCH($O3401,ModelParameters!$B$13:$B$17,0),MATCH($J3401,ModelParameters!$D$5:$K$5,0)))</f>
        <v>0</v>
      </c>
      <c r="S3401" s="160">
        <f>IF(B3401="",0,MIN(IF($N3401="Other Bond TM",ModelParameters!$N$21,1)*(P3401*Q3401+R3401),1))</f>
        <v>0.1198824507149998</v>
      </c>
      <c r="T3401" s="85">
        <f>IF(B3401="",0,$S3401*$K3401)</f>
        <v>227.2738379422566</v>
      </c>
      <c r="U3401" s="85">
        <f>IF(B3401="",0,IF(OR(H3401=MappingTables!$C$34,H3401=MappingTables!$C$35),T3401,0))</f>
        <v>0</v>
      </c>
      <c r="V3401" s="85">
        <f>IF(ISNA(IF(AND(VLOOKUP(CONCATENATE($D3401,$G3401),CSRFinput!$B:$E,4,0)=0,OR(H3401=MappingTables!$C$34,H3401=MappingTables!$C$35)),1,VLOOKUP(CONCATENATE($D3401,$G3401),CSRFinput!$B:$E,4,0))),0,IF(AND(VLOOKUP(CONCATENATE($D3401,$G3401),CSRFinput!$B:$E,4,0)=0,OR(H3401=MappingTables!$C$34,H3401=MappingTables!$C$35)),1,VLOOKUP(CONCATENATE($D3401,$G3401),CSRFinput!$B:$E,4,0)))</f>
        <v>0.054776304963434752</v>
      </c>
      <c r="W3401" s="85">
        <f>IF(B3401="",0,+$T3401*$V3401)</f>
        <v>12.449221057335296</v>
      </c>
      <c r="X3401" s="85">
        <f>IF(B3401="",0,IF(OR(H3401=MappingTables!$C$34,H3401=MappingTables!$C$35),W3401,0))</f>
        <v>0</v>
      </c>
    </row>
    <row r="3402" spans="2:24" s="0" customFormat="0" ht="15">
      <c r="B3402" s="69">
        <v>14339647</v>
      </c>
      <c r="C3402" s="70" t="s">
        <v>1946</v>
      </c>
      <c r="D3402" s="70" t="s">
        <v>1</v>
      </c>
      <c r="E3402" s="70" t="s">
        <v>1</v>
      </c>
      <c r="F3402" s="70"/>
      <c r="G3402" s="70" t="s">
        <v>61</v>
      </c>
      <c r="H3402" s="70" t="s">
        <v>178</v>
      </c>
      <c r="I3402" s="70" t="s">
        <v>181</v>
      </c>
      <c r="J3402" s="71">
        <f>IF(OR(I3402=0,I3402=""),"unrated",VLOOKUP(I3402,MappingTables!$B$19:$C$31,2,FALSE))</f>
        <v>3</v>
      </c>
      <c r="K3402" s="72">
        <v>3684.4680047089592</v>
      </c>
      <c r="L3402" s="70">
        <v>1.1920273960600116</v>
      </c>
      <c r="M3402" s="71">
        <f>IF(L3402&lt;1,1,L3402)</f>
        <v>1.1920273960600116</v>
      </c>
      <c r="N3402" s="70" t="s">
        <v>141</v>
      </c>
      <c r="O3402" s="71">
        <f>INDEX(DurClassMapping,MATCH(M3402,MappingTables!$D$4:$D$8,-1),1)</f>
        <v>1</v>
      </c>
      <c r="P3402" s="73">
        <f>IF(M3402=$A$1,1,$M3402-INDEX(MappingTables!$E$4:$E$8,MATCH(O3402,MappingTables!$B$4:$B$8,0)))</f>
        <v>1.1920273960600116</v>
      </c>
      <c r="Q3402" s="71">
        <f>IF(B3402="",0,INDEX(ModelParameters!$D$6:$K$10,MATCH($O3402,ModelParameters!$B$6:$B$10,0),MATCH($J3402,ModelParameters!$D$5:$K$5,0)))</f>
        <v>0.025</v>
      </c>
      <c r="R3402" s="71">
        <f>IF(B3402="",0,INDEX(ModelParameters!$D$13:$K$17,MATCH($O3402,ModelParameters!$B$13:$B$17,0),MATCH($J3402,ModelParameters!$D$5:$K$5,0)))</f>
        <v>0</v>
      </c>
      <c r="S3402" s="160">
        <f>IF(B3402="",0,MIN(IF($N3402="Other Bond TM",ModelParameters!$N$21,1)*(P3402*Q3402+R3402),1))</f>
        <v>0.029800684901500292</v>
      </c>
      <c r="T3402" s="85">
        <f>IF(B3402="",0,$S3402*$K3402)</f>
        <v>109.7996700379912</v>
      </c>
      <c r="U3402" s="85">
        <f>IF(B3402="",0,IF(OR(H3402=MappingTables!$C$34,H3402=MappingTables!$C$35),T3402,0))</f>
        <v>0</v>
      </c>
      <c r="V3402" s="85">
        <f>IF(ISNA(IF(AND(VLOOKUP(CONCATENATE($D3402,$G3402),CSRFinput!$B:$E,4,0)=0,OR(H3402=MappingTables!$C$34,H3402=MappingTables!$C$35)),1,VLOOKUP(CONCATENATE($D3402,$G3402),CSRFinput!$B:$E,4,0))),0,IF(AND(VLOOKUP(CONCATENATE($D3402,$G3402),CSRFinput!$B:$E,4,0)=0,OR(H3402=MappingTables!$C$34,H3402=MappingTables!$C$35)),1,VLOOKUP(CONCATENATE($D3402,$G3402),CSRFinput!$B:$E,4,0)))</f>
        <v>0.054776304963434752</v>
      </c>
      <c r="W3402" s="85">
        <f>IF(B3402="",0,+$T3402*$V3402)</f>
        <v>6.0144202108855144</v>
      </c>
      <c r="X3402" s="85">
        <f>IF(B3402="",0,IF(OR(H3402=MappingTables!$C$34,H3402=MappingTables!$C$35),W3402,0))</f>
        <v>0</v>
      </c>
    </row>
    <row r="3403" spans="2:24" s="0" customFormat="0" ht="15">
      <c r="B3403" s="69">
        <v>7497465</v>
      </c>
      <c r="C3403" s="70" t="s">
        <v>2830</v>
      </c>
      <c r="D3403" s="70" t="s">
        <v>1</v>
      </c>
      <c r="E3403" s="70" t="s">
        <v>1</v>
      </c>
      <c r="F3403" s="70"/>
      <c r="G3403" s="70" t="s">
        <v>61</v>
      </c>
      <c r="H3403" s="70" t="s">
        <v>178</v>
      </c>
      <c r="I3403" s="70" t="s">
        <v>188</v>
      </c>
      <c r="J3403" s="71">
        <f>IF(OR(I3403=0,I3403=""),"unrated",VLOOKUP(I3403,MappingTables!$B$19:$C$31,2,FALSE))</f>
        <v>2</v>
      </c>
      <c r="K3403" s="72">
        <v>8680.8250286181552</v>
      </c>
      <c r="L3403" s="70">
        <v>14.099092515316002</v>
      </c>
      <c r="M3403" s="71">
        <f>IF(L3403&lt;1,1,L3403)</f>
        <v>14.099092515316002</v>
      </c>
      <c r="N3403" s="70" t="s">
        <v>141</v>
      </c>
      <c r="O3403" s="71">
        <f>INDEX(DurClassMapping,MATCH(M3403,MappingTables!$D$4:$D$8,-1),1)</f>
        <v>3</v>
      </c>
      <c r="P3403" s="73">
        <f>IF(M3403=$A$1,1,$M3403-INDEX(MappingTables!$E$4:$E$8,MATCH(O3403,MappingTables!$B$4:$B$8,0)))</f>
        <v>4.0990925153160024</v>
      </c>
      <c r="Q3403" s="71">
        <f>IF(B3403="",0,INDEX(ModelParameters!$D$6:$K$10,MATCH($O3403,ModelParameters!$B$6:$B$10,0),MATCH($J3403,ModelParameters!$D$5:$K$5,0)))</f>
        <v>0.005</v>
      </c>
      <c r="R3403" s="71">
        <f>IF(B3403="",0,INDEX(ModelParameters!$D$13:$K$17,MATCH($O3403,ModelParameters!$B$13:$B$17,0),MATCH($J3403,ModelParameters!$D$5:$K$5,0)))</f>
        <v>0.105</v>
      </c>
      <c r="S3403" s="160">
        <f>IF(B3403="",0,MIN(IF($N3403="Other Bond TM",ModelParameters!$N$21,1)*(P3403*Q3403+R3403),1))</f>
        <v>0.12549546257658</v>
      </c>
      <c r="T3403" s="85">
        <f>IF(B3403="",0,$S3403*$K3403)</f>
        <v>1089.4041525127888</v>
      </c>
      <c r="U3403" s="85">
        <f>IF(B3403="",0,IF(OR(H3403=MappingTables!$C$34,H3403=MappingTables!$C$35),T3403,0))</f>
        <v>0</v>
      </c>
      <c r="V3403" s="85">
        <f>IF(ISNA(IF(AND(VLOOKUP(CONCATENATE($D3403,$G3403),CSRFinput!$B:$E,4,0)=0,OR(H3403=MappingTables!$C$34,H3403=MappingTables!$C$35)),1,VLOOKUP(CONCATENATE($D3403,$G3403),CSRFinput!$B:$E,4,0))),0,IF(AND(VLOOKUP(CONCATENATE($D3403,$G3403),CSRFinput!$B:$E,4,0)=0,OR(H3403=MappingTables!$C$34,H3403=MappingTables!$C$35)),1,VLOOKUP(CONCATENATE($D3403,$G3403),CSRFinput!$B:$E,4,0)))</f>
        <v>0.054776304963434752</v>
      </c>
      <c r="W3403" s="85">
        <f>IF(B3403="",0,+$T3403*$V3403)</f>
        <v>59.673534086472704</v>
      </c>
      <c r="X3403" s="85">
        <f>IF(B3403="",0,IF(OR(H3403=MappingTables!$C$34,H3403=MappingTables!$C$35),W3403,0))</f>
        <v>0</v>
      </c>
    </row>
    <row r="3404" spans="2:24" s="0" customFormat="0" ht="15">
      <c r="B3404" s="69">
        <v>21736823</v>
      </c>
      <c r="C3404" s="70" t="s">
        <v>2831</v>
      </c>
      <c r="D3404" s="70" t="s">
        <v>1</v>
      </c>
      <c r="E3404" s="70" t="s">
        <v>1</v>
      </c>
      <c r="F3404" s="70"/>
      <c r="G3404" s="70" t="s">
        <v>61</v>
      </c>
      <c r="H3404" s="70" t="s">
        <v>178</v>
      </c>
      <c r="I3404" s="70" t="s">
        <v>181</v>
      </c>
      <c r="J3404" s="71">
        <f>IF(OR(I3404=0,I3404=""),"unrated",VLOOKUP(I3404,MappingTables!$B$19:$C$31,2,FALSE))</f>
        <v>3</v>
      </c>
      <c r="K3404" s="72">
        <v>116.13283051845972</v>
      </c>
      <c r="L3404" s="70">
        <v>7.776786962782696</v>
      </c>
      <c r="M3404" s="71">
        <f>IF(L3404&lt;1,1,L3404)</f>
        <v>7.776786962782696</v>
      </c>
      <c r="N3404" s="70" t="s">
        <v>141</v>
      </c>
      <c r="O3404" s="71">
        <f>INDEX(DurClassMapping,MATCH(M3404,MappingTables!$D$4:$D$8,-1),1)</f>
        <v>2</v>
      </c>
      <c r="P3404" s="73">
        <f>IF(M3404=$A$1,1,$M3404-INDEX(MappingTables!$E$4:$E$8,MATCH(O3404,MappingTables!$B$4:$B$8,0)))</f>
        <v>2.7767869627826956</v>
      </c>
      <c r="Q3404" s="71">
        <f>IF(B3404="",0,INDEX(ModelParameters!$D$6:$K$10,MATCH($O3404,ModelParameters!$B$6:$B$10,0),MATCH($J3404,ModelParameters!$D$5:$K$5,0)))</f>
        <v>0.015</v>
      </c>
      <c r="R3404" s="71">
        <f>IF(B3404="",0,INDEX(ModelParameters!$D$13:$K$17,MATCH($O3404,ModelParameters!$B$13:$B$17,0),MATCH($J3404,ModelParameters!$D$5:$K$5,0)))</f>
        <v>0.125</v>
      </c>
      <c r="S3404" s="160">
        <f>IF(B3404="",0,MIN(IF($N3404="Other Bond TM",ModelParameters!$N$21,1)*(P3404*Q3404+R3404),1))</f>
        <v>0.16665180444174044</v>
      </c>
      <c r="T3404" s="85">
        <f>IF(B3404="",0,$S3404*$K3404)</f>
        <v>19.353745760828132</v>
      </c>
      <c r="U3404" s="85">
        <f>IF(B3404="",0,IF(OR(H3404=MappingTables!$C$34,H3404=MappingTables!$C$35),T3404,0))</f>
        <v>0</v>
      </c>
      <c r="V3404" s="85">
        <f>IF(ISNA(IF(AND(VLOOKUP(CONCATENATE($D3404,$G3404),CSRFinput!$B:$E,4,0)=0,OR(H3404=MappingTables!$C$34,H3404=MappingTables!$C$35)),1,VLOOKUP(CONCATENATE($D3404,$G3404),CSRFinput!$B:$E,4,0))),0,IF(AND(VLOOKUP(CONCATENATE($D3404,$G3404),CSRFinput!$B:$E,4,0)=0,OR(H3404=MappingTables!$C$34,H3404=MappingTables!$C$35)),1,VLOOKUP(CONCATENATE($D3404,$G3404),CSRFinput!$B:$E,4,0)))</f>
        <v>0.054776304963434752</v>
      </c>
      <c r="W3404" s="85">
        <f>IF(B3404="",0,+$T3404*$V3404)</f>
        <v>1.0601266799799042</v>
      </c>
      <c r="X3404" s="85">
        <f>IF(B3404="",0,IF(OR(H3404=MappingTables!$C$34,H3404=MappingTables!$C$35),W3404,0))</f>
        <v>0</v>
      </c>
    </row>
    <row r="3405" spans="2:24" s="0" customFormat="0" ht="15">
      <c r="B3405" s="69">
        <v>15774239</v>
      </c>
      <c r="C3405" s="70" t="s">
        <v>2477</v>
      </c>
      <c r="D3405" s="70" t="s">
        <v>1</v>
      </c>
      <c r="E3405" s="70" t="s">
        <v>1</v>
      </c>
      <c r="F3405" s="70"/>
      <c r="G3405" s="70" t="s">
        <v>61</v>
      </c>
      <c r="H3405" s="70" t="s">
        <v>178</v>
      </c>
      <c r="I3405" s="70" t="s">
        <v>181</v>
      </c>
      <c r="J3405" s="71">
        <f>IF(OR(I3405=0,I3405=""),"unrated",VLOOKUP(I3405,MappingTables!$B$19:$C$31,2,FALSE))</f>
        <v>3</v>
      </c>
      <c r="K3405" s="72">
        <v>109.53995876192186</v>
      </c>
      <c r="L3405" s="70">
        <v>0.3780846002330316</v>
      </c>
      <c r="M3405" s="71">
        <f>IF(L3405&lt;1,1,L3405)</f>
        <v>1</v>
      </c>
      <c r="N3405" s="70" t="s">
        <v>141</v>
      </c>
      <c r="O3405" s="71">
        <f>INDEX(DurClassMapping,MATCH(M3405,MappingTables!$D$4:$D$8,-1),1)</f>
        <v>1</v>
      </c>
      <c r="P3405" s="73">
        <f>IF(M3405=$A$1,1,$M3405-INDEX(MappingTables!$E$4:$E$8,MATCH(O3405,MappingTables!$B$4:$B$8,0)))</f>
        <v>1</v>
      </c>
      <c r="Q3405" s="71">
        <f>IF(B3405="",0,INDEX(ModelParameters!$D$6:$K$10,MATCH($O3405,ModelParameters!$B$6:$B$10,0),MATCH($J3405,ModelParameters!$D$5:$K$5,0)))</f>
        <v>0.025</v>
      </c>
      <c r="R3405" s="71">
        <f>IF(B3405="",0,INDEX(ModelParameters!$D$13:$K$17,MATCH($O3405,ModelParameters!$B$13:$B$17,0),MATCH($J3405,ModelParameters!$D$5:$K$5,0)))</f>
        <v>0</v>
      </c>
      <c r="S3405" s="160">
        <f>IF(B3405="",0,MIN(IF($N3405="Other Bond TM",ModelParameters!$N$21,1)*(P3405*Q3405+R3405),1))</f>
        <v>0.025</v>
      </c>
      <c r="T3405" s="85">
        <f>IF(B3405="",0,$S3405*$K3405)</f>
        <v>2.7384989690480472</v>
      </c>
      <c r="U3405" s="85">
        <f>IF(B3405="",0,IF(OR(H3405=MappingTables!$C$34,H3405=MappingTables!$C$35),T3405,0))</f>
        <v>0</v>
      </c>
      <c r="V3405" s="85">
        <f>IF(ISNA(IF(AND(VLOOKUP(CONCATENATE($D3405,$G3405),CSRFinput!$B:$E,4,0)=0,OR(H3405=MappingTables!$C$34,H3405=MappingTables!$C$35)),1,VLOOKUP(CONCATENATE($D3405,$G3405),CSRFinput!$B:$E,4,0))),0,IF(AND(VLOOKUP(CONCATENATE($D3405,$G3405),CSRFinput!$B:$E,4,0)=0,OR(H3405=MappingTables!$C$34,H3405=MappingTables!$C$35)),1,VLOOKUP(CONCATENATE($D3405,$G3405),CSRFinput!$B:$E,4,0)))</f>
        <v>0.054776304963434752</v>
      </c>
      <c r="W3405" s="85">
        <f>IF(B3405="",0,+$T3405*$V3405)</f>
        <v>0.1500048546706275</v>
      </c>
      <c r="X3405" s="85">
        <f>IF(B3405="",0,IF(OR(H3405=MappingTables!$C$34,H3405=MappingTables!$C$35),W3405,0))</f>
        <v>0</v>
      </c>
    </row>
    <row r="3406" spans="2:24" s="0" customFormat="0" ht="15">
      <c r="B3406" s="69" t="s">
        <v>2832</v>
      </c>
      <c r="C3406" s="70" t="s">
        <v>2833</v>
      </c>
      <c r="D3406" s="70" t="s">
        <v>1</v>
      </c>
      <c r="E3406" s="70" t="s">
        <v>1</v>
      </c>
      <c r="F3406" s="70"/>
      <c r="G3406" s="70" t="s">
        <v>61</v>
      </c>
      <c r="H3406" s="70" t="s">
        <v>178</v>
      </c>
      <c r="I3406" s="70" t="s">
        <v>184</v>
      </c>
      <c r="J3406" s="71">
        <f>IF(OR(I3406=0,I3406=""),"unrated",VLOOKUP(I3406,MappingTables!$B$19:$C$31,2,FALSE))</f>
        <v>5</v>
      </c>
      <c r="K3406" s="72">
        <v>13113.303307706856</v>
      </c>
      <c r="L3406" s="70">
        <v>4.4191175488670608</v>
      </c>
      <c r="M3406" s="71">
        <f>IF(L3406&lt;1,1,L3406)</f>
        <v>4.4191175488670608</v>
      </c>
      <c r="N3406" s="70" t="s">
        <v>141</v>
      </c>
      <c r="O3406" s="71">
        <f>INDEX(DurClassMapping,MATCH(M3406,MappingTables!$D$4:$D$8,-1),1)</f>
        <v>1</v>
      </c>
      <c r="P3406" s="73">
        <f>IF(M3406=$A$1,1,$M3406-INDEX(MappingTables!$E$4:$E$8,MATCH(O3406,MappingTables!$B$4:$B$8,0)))</f>
        <v>4.4191175488670608</v>
      </c>
      <c r="Q3406" s="71">
        <f>IF(B3406="",0,INDEX(ModelParameters!$D$6:$K$10,MATCH($O3406,ModelParameters!$B$6:$B$10,0),MATCH($J3406,ModelParameters!$D$5:$K$5,0)))</f>
        <v>0.075</v>
      </c>
      <c r="R3406" s="71">
        <f>IF(B3406="",0,INDEX(ModelParameters!$D$13:$K$17,MATCH($O3406,ModelParameters!$B$13:$B$17,0),MATCH($J3406,ModelParameters!$D$5:$K$5,0)))</f>
        <v>0</v>
      </c>
      <c r="S3406" s="160">
        <f>IF(B3406="",0,MIN(IF($N3406="Other Bond TM",ModelParameters!$N$21,1)*(P3406*Q3406+R3406),1))</f>
        <v>0.3314338161650296</v>
      </c>
      <c r="T3406" s="85">
        <f>IF(B3406="",0,$S3406*$K3406)</f>
        <v>4346.1921578027888</v>
      </c>
      <c r="U3406" s="85">
        <f>IF(B3406="",0,IF(OR(H3406=MappingTables!$C$34,H3406=MappingTables!$C$35),T3406,0))</f>
        <v>0</v>
      </c>
      <c r="V3406" s="85">
        <f>IF(ISNA(IF(AND(VLOOKUP(CONCATENATE($D3406,$G3406),CSRFinput!$B:$E,4,0)=0,OR(H3406=MappingTables!$C$34,H3406=MappingTables!$C$35)),1,VLOOKUP(CONCATENATE($D3406,$G3406),CSRFinput!$B:$E,4,0))),0,IF(AND(VLOOKUP(CONCATENATE($D3406,$G3406),CSRFinput!$B:$E,4,0)=0,OR(H3406=MappingTables!$C$34,H3406=MappingTables!$C$35)),1,VLOOKUP(CONCATENATE($D3406,$G3406),CSRFinput!$B:$E,4,0)))</f>
        <v>0.054776304963434752</v>
      </c>
      <c r="W3406" s="85">
        <f>IF(B3406="",0,+$T3406*$V3406)</f>
        <v>238.06834706549408</v>
      </c>
      <c r="X3406" s="85">
        <f>IF(B3406="",0,IF(OR(H3406=MappingTables!$C$34,H3406=MappingTables!$C$35),W3406,0))</f>
        <v>0</v>
      </c>
    </row>
    <row r="3407" spans="2:24" s="0" customFormat="0" ht="15">
      <c r="B3407" s="69">
        <v>16729319</v>
      </c>
      <c r="C3407" s="70" t="s">
        <v>2814</v>
      </c>
      <c r="D3407" s="70" t="s">
        <v>1</v>
      </c>
      <c r="E3407" s="70" t="s">
        <v>1</v>
      </c>
      <c r="F3407" s="70"/>
      <c r="G3407" s="70" t="s">
        <v>61</v>
      </c>
      <c r="H3407" s="70" t="s">
        <v>178</v>
      </c>
      <c r="I3407" s="70" t="s">
        <v>188</v>
      </c>
      <c r="J3407" s="71">
        <f>IF(OR(I3407=0,I3407=""),"unrated",VLOOKUP(I3407,MappingTables!$B$19:$C$31,2,FALSE))</f>
        <v>2</v>
      </c>
      <c r="K3407" s="72">
        <v>0.0078420695432739264</v>
      </c>
      <c r="L3407" s="70">
        <v>2.2735790044727896</v>
      </c>
      <c r="M3407" s="71">
        <f>IF(L3407&lt;1,1,L3407)</f>
        <v>2.2735790044727896</v>
      </c>
      <c r="N3407" s="70" t="s">
        <v>141</v>
      </c>
      <c r="O3407" s="71">
        <f>INDEX(DurClassMapping,MATCH(M3407,MappingTables!$D$4:$D$8,-1),1)</f>
        <v>1</v>
      </c>
      <c r="P3407" s="73">
        <f>IF(M3407=$A$1,1,$M3407-INDEX(MappingTables!$E$4:$E$8,MATCH(O3407,MappingTables!$B$4:$B$8,0)))</f>
        <v>2.2735790044727896</v>
      </c>
      <c r="Q3407" s="71">
        <f>IF(B3407="",0,INDEX(ModelParameters!$D$6:$K$10,MATCH($O3407,ModelParameters!$B$6:$B$10,0),MATCH($J3407,ModelParameters!$D$5:$K$5,0)))</f>
        <v>0.013999999999999998</v>
      </c>
      <c r="R3407" s="71">
        <f>IF(B3407="",0,INDEX(ModelParameters!$D$13:$K$17,MATCH($O3407,ModelParameters!$B$13:$B$17,0),MATCH($J3407,ModelParameters!$D$5:$K$5,0)))</f>
        <v>0</v>
      </c>
      <c r="S3407" s="160">
        <f>IF(B3407="",0,MIN(IF($N3407="Other Bond TM",ModelParameters!$N$21,1)*(P3407*Q3407+R3407),1))</f>
        <v>0.031830106062619052</v>
      </c>
      <c r="T3407" s="85">
        <f>IF(B3407="",0,$S3407*$K3407)</f>
        <v>0.0002496139053128436</v>
      </c>
      <c r="U3407" s="85">
        <f>IF(B3407="",0,IF(OR(H3407=MappingTables!$C$34,H3407=MappingTables!$C$35),T3407,0))</f>
        <v>0</v>
      </c>
      <c r="V3407" s="85">
        <f>IF(ISNA(IF(AND(VLOOKUP(CONCATENATE($D3407,$G3407),CSRFinput!$B:$E,4,0)=0,OR(H3407=MappingTables!$C$34,H3407=MappingTables!$C$35)),1,VLOOKUP(CONCATENATE($D3407,$G3407),CSRFinput!$B:$E,4,0))),0,IF(AND(VLOOKUP(CONCATENATE($D3407,$G3407),CSRFinput!$B:$E,4,0)=0,OR(H3407=MappingTables!$C$34,H3407=MappingTables!$C$35)),1,VLOOKUP(CONCATENATE($D3407,$G3407),CSRFinput!$B:$E,4,0)))</f>
        <v>0.054776304963434752</v>
      </c>
      <c r="W3407" s="85">
        <f>IF(B3407="",0,+$T3407*$V3407)</f>
        <v>0.000013672927400530248</v>
      </c>
      <c r="X3407" s="85">
        <f>IF(B3407="",0,IF(OR(H3407=MappingTables!$C$34,H3407=MappingTables!$C$35),W3407,0))</f>
        <v>0</v>
      </c>
    </row>
    <row r="3408" spans="2:24" s="0" customFormat="0" ht="15">
      <c r="B3408" s="69">
        <v>13700915</v>
      </c>
      <c r="C3408" s="70" t="s">
        <v>1551</v>
      </c>
      <c r="D3408" s="70" t="s">
        <v>1</v>
      </c>
      <c r="E3408" s="70" t="s">
        <v>1</v>
      </c>
      <c r="F3408" s="70"/>
      <c r="G3408" s="70" t="s">
        <v>61</v>
      </c>
      <c r="H3408" s="70" t="s">
        <v>178</v>
      </c>
      <c r="I3408" s="70" t="s">
        <v>184</v>
      </c>
      <c r="J3408" s="71">
        <f>IF(OR(I3408=0,I3408=""),"unrated",VLOOKUP(I3408,MappingTables!$B$19:$C$31,2,FALSE))</f>
        <v>5</v>
      </c>
      <c r="K3408" s="72">
        <v>44033.164626525</v>
      </c>
      <c r="L3408" s="70">
        <v>5.4310098464576096</v>
      </c>
      <c r="M3408" s="71">
        <f>IF(L3408&lt;1,1,L3408)</f>
        <v>5.4310098464576096</v>
      </c>
      <c r="N3408" s="70" t="s">
        <v>141</v>
      </c>
      <c r="O3408" s="71">
        <f>INDEX(DurClassMapping,MATCH(M3408,MappingTables!$D$4:$D$8,-1),1)</f>
        <v>2</v>
      </c>
      <c r="P3408" s="73">
        <f>IF(M3408=$A$1,1,$M3408-INDEX(MappingTables!$E$4:$E$8,MATCH(O3408,MappingTables!$B$4:$B$8,0)))</f>
        <v>0.43100984645760928</v>
      </c>
      <c r="Q3408" s="71">
        <f>IF(B3408="",0,INDEX(ModelParameters!$D$6:$K$10,MATCH($O3408,ModelParameters!$B$6:$B$10,0),MATCH($J3408,ModelParameters!$D$5:$K$5,0)))</f>
        <v>0.042</v>
      </c>
      <c r="R3408" s="71">
        <f>IF(B3408="",0,INDEX(ModelParameters!$D$13:$K$17,MATCH($O3408,ModelParameters!$B$13:$B$17,0),MATCH($J3408,ModelParameters!$D$5:$K$5,0)))</f>
        <v>0.375</v>
      </c>
      <c r="S3408" s="160">
        <f>IF(B3408="",0,MIN(IF($N3408="Other Bond TM",ModelParameters!$N$21,1)*(P3408*Q3408+R3408),1))</f>
        <v>0.3931024135512196</v>
      </c>
      <c r="T3408" s="85">
        <f>IF(B3408="",0,$S3408*$K3408)</f>
        <v>17309.543290985166</v>
      </c>
      <c r="U3408" s="85">
        <f>IF(B3408="",0,IF(OR(H3408=MappingTables!$C$34,H3408=MappingTables!$C$35),T3408,0))</f>
        <v>0</v>
      </c>
      <c r="V3408" s="85">
        <f>IF(ISNA(IF(AND(VLOOKUP(CONCATENATE($D3408,$G3408),CSRFinput!$B:$E,4,0)=0,OR(H3408=MappingTables!$C$34,H3408=MappingTables!$C$35)),1,VLOOKUP(CONCATENATE($D3408,$G3408),CSRFinput!$B:$E,4,0))),0,IF(AND(VLOOKUP(CONCATENATE($D3408,$G3408),CSRFinput!$B:$E,4,0)=0,OR(H3408=MappingTables!$C$34,H3408=MappingTables!$C$35)),1,VLOOKUP(CONCATENATE($D3408,$G3408),CSRFinput!$B:$E,4,0)))</f>
        <v>0.054776304963434752</v>
      </c>
      <c r="W3408" s="85">
        <f>IF(B3408="",0,+$T3408*$V3408)</f>
        <v>948.15282208477952</v>
      </c>
      <c r="X3408" s="85">
        <f>IF(B3408="",0,IF(OR(H3408=MappingTables!$C$34,H3408=MappingTables!$C$35),W3408,0))</f>
        <v>0</v>
      </c>
    </row>
    <row r="3409" spans="2:24" s="0" customFormat="0" ht="15">
      <c r="B3409" s="69">
        <v>2614752</v>
      </c>
      <c r="C3409" s="70" t="s">
        <v>2834</v>
      </c>
      <c r="D3409" s="70" t="s">
        <v>1</v>
      </c>
      <c r="E3409" s="70" t="s">
        <v>1</v>
      </c>
      <c r="F3409" s="70"/>
      <c r="G3409" s="70" t="s">
        <v>61</v>
      </c>
      <c r="H3409" s="70" t="s">
        <v>178</v>
      </c>
      <c r="I3409" s="70" t="s">
        <v>220</v>
      </c>
      <c r="J3409" s="71">
        <f>IF(OR(I3409=0,I3409=""),"unrated",VLOOKUP(I3409,MappingTables!$B$19:$C$31,2,FALSE))</f>
        <v>1</v>
      </c>
      <c r="K3409" s="72">
        <v>1378.7786432665642</v>
      </c>
      <c r="L3409" s="70">
        <v>11.896718757168394</v>
      </c>
      <c r="M3409" s="71">
        <f>IF(L3409&lt;1,1,L3409)</f>
        <v>11.896718757168394</v>
      </c>
      <c r="N3409" s="70" t="s">
        <v>141</v>
      </c>
      <c r="O3409" s="71">
        <f>INDEX(DurClassMapping,MATCH(M3409,MappingTables!$D$4:$D$8,-1),1)</f>
        <v>3</v>
      </c>
      <c r="P3409" s="73">
        <f>IF(M3409=$A$1,1,$M3409-INDEX(MappingTables!$E$4:$E$8,MATCH(O3409,MappingTables!$B$4:$B$8,0)))</f>
        <v>1.8967187571683936</v>
      </c>
      <c r="Q3409" s="71">
        <f>IF(B3409="",0,INDEX(ModelParameters!$D$6:$K$10,MATCH($O3409,ModelParameters!$B$6:$B$10,0),MATCH($J3409,ModelParameters!$D$5:$K$5,0)))</f>
        <v>0.005</v>
      </c>
      <c r="R3409" s="71">
        <f>IF(B3409="",0,INDEX(ModelParameters!$D$13:$K$17,MATCH($O3409,ModelParameters!$B$13:$B$17,0),MATCH($J3409,ModelParameters!$D$5:$K$5,0)))</f>
        <v>0.085</v>
      </c>
      <c r="S3409" s="160">
        <f>IF(B3409="",0,MIN(IF($N3409="Other Bond TM",ModelParameters!$N$21,1)*(P3409*Q3409+R3409),1))</f>
        <v>0.094483593785841984</v>
      </c>
      <c r="T3409" s="85">
        <f>IF(B3409="",0,$S3409*$K3409)</f>
        <v>130.27196125099238</v>
      </c>
      <c r="U3409" s="85">
        <f>IF(B3409="",0,IF(OR(H3409=MappingTables!$C$34,H3409=MappingTables!$C$35),T3409,0))</f>
        <v>0</v>
      </c>
      <c r="V3409" s="85">
        <f>IF(ISNA(IF(AND(VLOOKUP(CONCATENATE($D3409,$G3409),CSRFinput!$B:$E,4,0)=0,OR(H3409=MappingTables!$C$34,H3409=MappingTables!$C$35)),1,VLOOKUP(CONCATENATE($D3409,$G3409),CSRFinput!$B:$E,4,0))),0,IF(AND(VLOOKUP(CONCATENATE($D3409,$G3409),CSRFinput!$B:$E,4,0)=0,OR(H3409=MappingTables!$C$34,H3409=MappingTables!$C$35)),1,VLOOKUP(CONCATENATE($D3409,$G3409),CSRFinput!$B:$E,4,0)))</f>
        <v>0.054776304963434752</v>
      </c>
      <c r="W3409" s="85">
        <f>IF(B3409="",0,+$T3409*$V3409)</f>
        <v>7.1358166776691136</v>
      </c>
      <c r="X3409" s="85">
        <f>IF(B3409="",0,IF(OR(H3409=MappingTables!$C$34,H3409=MappingTables!$C$35),W3409,0))</f>
        <v>0</v>
      </c>
    </row>
    <row r="3410" spans="2:24" s="0" customFormat="0" ht="15">
      <c r="B3410" s="69">
        <v>19159975</v>
      </c>
      <c r="C3410" s="70" t="s">
        <v>2835</v>
      </c>
      <c r="D3410" s="70" t="s">
        <v>1</v>
      </c>
      <c r="E3410" s="70" t="s">
        <v>1</v>
      </c>
      <c r="F3410" s="70"/>
      <c r="G3410" s="70" t="s">
        <v>61</v>
      </c>
      <c r="H3410" s="70" t="s">
        <v>178</v>
      </c>
      <c r="I3410" s="70" t="s">
        <v>220</v>
      </c>
      <c r="J3410" s="71">
        <f>IF(OR(I3410=0,I3410=""),"unrated",VLOOKUP(I3410,MappingTables!$B$19:$C$31,2,FALSE))</f>
        <v>1</v>
      </c>
      <c r="K3410" s="72">
        <v>7.1574216929248128</v>
      </c>
      <c r="L3410" s="70">
        <v>1.1269009223780982</v>
      </c>
      <c r="M3410" s="71">
        <f>IF(L3410&lt;1,1,L3410)</f>
        <v>1.1269009223780982</v>
      </c>
      <c r="N3410" s="70" t="s">
        <v>141</v>
      </c>
      <c r="O3410" s="71">
        <f>INDEX(DurClassMapping,MATCH(M3410,MappingTables!$D$4:$D$8,-1),1)</f>
        <v>1</v>
      </c>
      <c r="P3410" s="73">
        <f>IF(M3410=$A$1,1,$M3410-INDEX(MappingTables!$E$4:$E$8,MATCH(O3410,MappingTables!$B$4:$B$8,0)))</f>
        <v>1.1269009223780982</v>
      </c>
      <c r="Q3410" s="71">
        <f>IF(B3410="",0,INDEX(ModelParameters!$D$6:$K$10,MATCH($O3410,ModelParameters!$B$6:$B$10,0),MATCH($J3410,ModelParameters!$D$5:$K$5,0)))</f>
        <v>0.011000000000000002</v>
      </c>
      <c r="R3410" s="71">
        <f>IF(B3410="",0,INDEX(ModelParameters!$D$13:$K$17,MATCH($O3410,ModelParameters!$B$13:$B$17,0),MATCH($J3410,ModelParameters!$D$5:$K$5,0)))</f>
        <v>0</v>
      </c>
      <c r="S3410" s="160">
        <f>IF(B3410="",0,MIN(IF($N3410="Other Bond TM",ModelParameters!$N$21,1)*(P3410*Q3410+R3410),1))</f>
        <v>0.01239591014615908</v>
      </c>
      <c r="T3410" s="85">
        <f>IF(B3410="",0,$S3410*$K3410)</f>
        <v>0.088722756183665792</v>
      </c>
      <c r="U3410" s="85">
        <f>IF(B3410="",0,IF(OR(H3410=MappingTables!$C$34,H3410=MappingTables!$C$35),T3410,0))</f>
        <v>0</v>
      </c>
      <c r="V3410" s="85">
        <f>IF(ISNA(IF(AND(VLOOKUP(CONCATENATE($D3410,$G3410),CSRFinput!$B:$E,4,0)=0,OR(H3410=MappingTables!$C$34,H3410=MappingTables!$C$35)),1,VLOOKUP(CONCATENATE($D3410,$G3410),CSRFinput!$B:$E,4,0))),0,IF(AND(VLOOKUP(CONCATENATE($D3410,$G3410),CSRFinput!$B:$E,4,0)=0,OR(H3410=MappingTables!$C$34,H3410=MappingTables!$C$35)),1,VLOOKUP(CONCATENATE($D3410,$G3410),CSRFinput!$B:$E,4,0)))</f>
        <v>0.054776304963434752</v>
      </c>
      <c r="W3410" s="85">
        <f>IF(B3410="",0,+$T3410*$V3410)</f>
        <v>0.004859904749912944</v>
      </c>
      <c r="X3410" s="85">
        <f>IF(B3410="",0,IF(OR(H3410=MappingTables!$C$34,H3410=MappingTables!$C$35),W3410,0))</f>
        <v>0</v>
      </c>
    </row>
    <row r="3411" spans="2:24" s="0" customFormat="0" ht="15">
      <c r="B3411" s="69">
        <v>13298084</v>
      </c>
      <c r="C3411" s="70" t="s">
        <v>1455</v>
      </c>
      <c r="D3411" s="70" t="s">
        <v>1</v>
      </c>
      <c r="E3411" s="70" t="s">
        <v>1</v>
      </c>
      <c r="F3411" s="70"/>
      <c r="G3411" s="70" t="s">
        <v>61</v>
      </c>
      <c r="H3411" s="70" t="s">
        <v>178</v>
      </c>
      <c r="I3411" s="70" t="s">
        <v>188</v>
      </c>
      <c r="J3411" s="71">
        <f>IF(OR(I3411=0,I3411=""),"unrated",VLOOKUP(I3411,MappingTables!$B$19:$C$31,2,FALSE))</f>
        <v>2</v>
      </c>
      <c r="K3411" s="72">
        <v>6734.7084457565096</v>
      </c>
      <c r="L3411" s="70">
        <v>0.08493098708263984</v>
      </c>
      <c r="M3411" s="71">
        <f>IF(L3411&lt;1,1,L3411)</f>
        <v>1</v>
      </c>
      <c r="N3411" s="70" t="s">
        <v>141</v>
      </c>
      <c r="O3411" s="71">
        <f>INDEX(DurClassMapping,MATCH(M3411,MappingTables!$D$4:$D$8,-1),1)</f>
        <v>1</v>
      </c>
      <c r="P3411" s="73">
        <f>IF(M3411=$A$1,1,$M3411-INDEX(MappingTables!$E$4:$E$8,MATCH(O3411,MappingTables!$B$4:$B$8,0)))</f>
        <v>1</v>
      </c>
      <c r="Q3411" s="71">
        <f>IF(B3411="",0,INDEX(ModelParameters!$D$6:$K$10,MATCH($O3411,ModelParameters!$B$6:$B$10,0),MATCH($J3411,ModelParameters!$D$5:$K$5,0)))</f>
        <v>0.013999999999999998</v>
      </c>
      <c r="R3411" s="71">
        <f>IF(B3411="",0,INDEX(ModelParameters!$D$13:$K$17,MATCH($O3411,ModelParameters!$B$13:$B$17,0),MATCH($J3411,ModelParameters!$D$5:$K$5,0)))</f>
        <v>0</v>
      </c>
      <c r="S3411" s="160">
        <f>IF(B3411="",0,MIN(IF($N3411="Other Bond TM",ModelParameters!$N$21,1)*(P3411*Q3411+R3411),1))</f>
        <v>0.013999999999999998</v>
      </c>
      <c r="T3411" s="85">
        <f>IF(B3411="",0,$S3411*$K3411)</f>
        <v>94.285918240591136</v>
      </c>
      <c r="U3411" s="85">
        <f>IF(B3411="",0,IF(OR(H3411=MappingTables!$C$34,H3411=MappingTables!$C$35),T3411,0))</f>
        <v>0</v>
      </c>
      <c r="V3411" s="85">
        <f>IF(ISNA(IF(AND(VLOOKUP(CONCATENATE($D3411,$G3411),CSRFinput!$B:$E,4,0)=0,OR(H3411=MappingTables!$C$34,H3411=MappingTables!$C$35)),1,VLOOKUP(CONCATENATE($D3411,$G3411),CSRFinput!$B:$E,4,0))),0,IF(AND(VLOOKUP(CONCATENATE($D3411,$G3411),CSRFinput!$B:$E,4,0)=0,OR(H3411=MappingTables!$C$34,H3411=MappingTables!$C$35)),1,VLOOKUP(CONCATENATE($D3411,$G3411),CSRFinput!$B:$E,4,0)))</f>
        <v>0.054776304963434752</v>
      </c>
      <c r="W3411" s="85">
        <f>IF(B3411="",0,+$T3411*$V3411)</f>
        <v>5.1646342113040952</v>
      </c>
      <c r="X3411" s="85">
        <f>IF(B3411="",0,IF(OR(H3411=MappingTables!$C$34,H3411=MappingTables!$C$35),W3411,0))</f>
        <v>0</v>
      </c>
    </row>
    <row r="3412" spans="2:24" s="0" customFormat="0" ht="15">
      <c r="B3412" s="69" t="s">
        <v>1942</v>
      </c>
      <c r="C3412" s="70" t="s">
        <v>1943</v>
      </c>
      <c r="D3412" s="70" t="s">
        <v>1</v>
      </c>
      <c r="E3412" s="70" t="s">
        <v>1</v>
      </c>
      <c r="F3412" s="70"/>
      <c r="G3412" s="70" t="s">
        <v>61</v>
      </c>
      <c r="H3412" s="70" t="s">
        <v>178</v>
      </c>
      <c r="I3412" s="70" t="s">
        <v>220</v>
      </c>
      <c r="J3412" s="71">
        <f>IF(OR(I3412=0,I3412=""),"unrated",VLOOKUP(I3412,MappingTables!$B$19:$C$31,2,FALSE))</f>
        <v>1</v>
      </c>
      <c r="K3412" s="72">
        <v>306.16493931502544</v>
      </c>
      <c r="L3412" s="70">
        <v>8.1148516460047568</v>
      </c>
      <c r="M3412" s="71">
        <f>IF(L3412&lt;1,1,L3412)</f>
        <v>8.1148516460047568</v>
      </c>
      <c r="N3412" s="70" t="s">
        <v>141</v>
      </c>
      <c r="O3412" s="71">
        <f>INDEX(DurClassMapping,MATCH(M3412,MappingTables!$D$4:$D$8,-1),1)</f>
        <v>2</v>
      </c>
      <c r="P3412" s="73">
        <f>IF(M3412=$A$1,1,$M3412-INDEX(MappingTables!$E$4:$E$8,MATCH(O3412,MappingTables!$B$4:$B$8,0)))</f>
        <v>3.1148516460047572</v>
      </c>
      <c r="Q3412" s="71">
        <f>IF(B3412="",0,INDEX(ModelParameters!$D$6:$K$10,MATCH($O3412,ModelParameters!$B$6:$B$10,0),MATCH($J3412,ModelParameters!$D$5:$K$5,0)))</f>
        <v>0.006</v>
      </c>
      <c r="R3412" s="71">
        <f>IF(B3412="",0,INDEX(ModelParameters!$D$13:$K$17,MATCH($O3412,ModelParameters!$B$13:$B$17,0),MATCH($J3412,ModelParameters!$D$5:$K$5,0)))</f>
        <v>0.055</v>
      </c>
      <c r="S3412" s="160">
        <f>IF(B3412="",0,MIN(IF($N3412="Other Bond TM",ModelParameters!$N$21,1)*(P3412*Q3412+R3412),1))</f>
        <v>0.073689109876028544</v>
      </c>
      <c r="T3412" s="85">
        <f>IF(B3412="",0,$S3412*$K3412)</f>
        <v>22.56102185337252</v>
      </c>
      <c r="U3412" s="85">
        <f>IF(B3412="",0,IF(OR(H3412=MappingTables!$C$34,H3412=MappingTables!$C$35),T3412,0))</f>
        <v>0</v>
      </c>
      <c r="V3412" s="85">
        <f>IF(ISNA(IF(AND(VLOOKUP(CONCATENATE($D3412,$G3412),CSRFinput!$B:$E,4,0)=0,OR(H3412=MappingTables!$C$34,H3412=MappingTables!$C$35)),1,VLOOKUP(CONCATENATE($D3412,$G3412),CSRFinput!$B:$E,4,0))),0,IF(AND(VLOOKUP(CONCATENATE($D3412,$G3412),CSRFinput!$B:$E,4,0)=0,OR(H3412=MappingTables!$C$34,H3412=MappingTables!$C$35)),1,VLOOKUP(CONCATENATE($D3412,$G3412),CSRFinput!$B:$E,4,0)))</f>
        <v>0.054776304963434752</v>
      </c>
      <c r="W3412" s="85">
        <f>IF(B3412="",0,+$T3412*$V3412)</f>
        <v>1.2358094133270492</v>
      </c>
      <c r="X3412" s="85">
        <f>IF(B3412="",0,IF(OR(H3412=MappingTables!$C$34,H3412=MappingTables!$C$35),W3412,0))</f>
        <v>0</v>
      </c>
    </row>
    <row r="3413" spans="2:24" s="0" customFormat="0" ht="15">
      <c r="B3413" s="69">
        <v>19567738</v>
      </c>
      <c r="C3413" s="70" t="s">
        <v>959</v>
      </c>
      <c r="D3413" s="70" t="s">
        <v>1</v>
      </c>
      <c r="E3413" s="70" t="s">
        <v>1</v>
      </c>
      <c r="F3413" s="70"/>
      <c r="G3413" s="70" t="s">
        <v>61</v>
      </c>
      <c r="H3413" s="70" t="s">
        <v>178</v>
      </c>
      <c r="I3413" s="70" t="s">
        <v>188</v>
      </c>
      <c r="J3413" s="71">
        <f>IF(OR(I3413=0,I3413=""),"unrated",VLOOKUP(I3413,MappingTables!$B$19:$C$31,2,FALSE))</f>
        <v>2</v>
      </c>
      <c r="K3413" s="72">
        <v>0.059076101418681912</v>
      </c>
      <c r="L3413" s="70">
        <v>2.3451129131740108</v>
      </c>
      <c r="M3413" s="71">
        <f>IF(L3413&lt;1,1,L3413)</f>
        <v>2.3451129131740108</v>
      </c>
      <c r="N3413" s="70" t="s">
        <v>141</v>
      </c>
      <c r="O3413" s="71">
        <f>INDEX(DurClassMapping,MATCH(M3413,MappingTables!$D$4:$D$8,-1),1)</f>
        <v>1</v>
      </c>
      <c r="P3413" s="73">
        <f>IF(M3413=$A$1,1,$M3413-INDEX(MappingTables!$E$4:$E$8,MATCH(O3413,MappingTables!$B$4:$B$8,0)))</f>
        <v>2.3451129131740108</v>
      </c>
      <c r="Q3413" s="71">
        <f>IF(B3413="",0,INDEX(ModelParameters!$D$6:$K$10,MATCH($O3413,ModelParameters!$B$6:$B$10,0),MATCH($J3413,ModelParameters!$D$5:$K$5,0)))</f>
        <v>0.013999999999999998</v>
      </c>
      <c r="R3413" s="71">
        <f>IF(B3413="",0,INDEX(ModelParameters!$D$13:$K$17,MATCH($O3413,ModelParameters!$B$13:$B$17,0),MATCH($J3413,ModelParameters!$D$5:$K$5,0)))</f>
        <v>0</v>
      </c>
      <c r="S3413" s="160">
        <f>IF(B3413="",0,MIN(IF($N3413="Other Bond TM",ModelParameters!$N$21,1)*(P3413*Q3413+R3413),1))</f>
        <v>0.032831580784436148</v>
      </c>
      <c r="T3413" s="85">
        <f>IF(B3413="",0,$S3413*$K3413)</f>
        <v>0.0019395617961569984</v>
      </c>
      <c r="U3413" s="85">
        <f>IF(B3413="",0,IF(OR(H3413=MappingTables!$C$34,H3413=MappingTables!$C$35),T3413,0))</f>
        <v>0</v>
      </c>
      <c r="V3413" s="85">
        <f>IF(ISNA(IF(AND(VLOOKUP(CONCATENATE($D3413,$G3413),CSRFinput!$B:$E,4,0)=0,OR(H3413=MappingTables!$C$34,H3413=MappingTables!$C$35)),1,VLOOKUP(CONCATENATE($D3413,$G3413),CSRFinput!$B:$E,4,0))),0,IF(AND(VLOOKUP(CONCATENATE($D3413,$G3413),CSRFinput!$B:$E,4,0)=0,OR(H3413=MappingTables!$C$34,H3413=MappingTables!$C$35)),1,VLOOKUP(CONCATENATE($D3413,$G3413),CSRFinput!$B:$E,4,0)))</f>
        <v>0.054776304963434752</v>
      </c>
      <c r="W3413" s="85">
        <f>IF(B3413="",0,+$T3413*$V3413)</f>
        <v>0.000106242028441723</v>
      </c>
      <c r="X3413" s="85">
        <f>IF(B3413="",0,IF(OR(H3413=MappingTables!$C$34,H3413=MappingTables!$C$35),W3413,0))</f>
        <v>0</v>
      </c>
    </row>
    <row r="3414" spans="2:24" s="0" customFormat="0" ht="15">
      <c r="B3414" s="69">
        <v>21151580</v>
      </c>
      <c r="C3414" s="70" t="s">
        <v>2496</v>
      </c>
      <c r="D3414" s="70" t="s">
        <v>1</v>
      </c>
      <c r="E3414" s="70" t="s">
        <v>1</v>
      </c>
      <c r="F3414" s="70"/>
      <c r="G3414" s="70" t="s">
        <v>61</v>
      </c>
      <c r="H3414" s="70" t="s">
        <v>178</v>
      </c>
      <c r="I3414" s="70" t="s">
        <v>181</v>
      </c>
      <c r="J3414" s="71">
        <f>IF(OR(I3414=0,I3414=""),"unrated",VLOOKUP(I3414,MappingTables!$B$19:$C$31,2,FALSE))</f>
        <v>3</v>
      </c>
      <c r="K3414" s="72">
        <v>1378.8135321633006</v>
      </c>
      <c r="L3414" s="70">
        <v>3.5179992161111656</v>
      </c>
      <c r="M3414" s="71">
        <f>IF(L3414&lt;1,1,L3414)</f>
        <v>3.5179992161111656</v>
      </c>
      <c r="N3414" s="70" t="s">
        <v>141</v>
      </c>
      <c r="O3414" s="71">
        <f>INDEX(DurClassMapping,MATCH(M3414,MappingTables!$D$4:$D$8,-1),1)</f>
        <v>1</v>
      </c>
      <c r="P3414" s="73">
        <f>IF(M3414=$A$1,1,$M3414-INDEX(MappingTables!$E$4:$E$8,MATCH(O3414,MappingTables!$B$4:$B$8,0)))</f>
        <v>3.5179992161111656</v>
      </c>
      <c r="Q3414" s="71">
        <f>IF(B3414="",0,INDEX(ModelParameters!$D$6:$K$10,MATCH($O3414,ModelParameters!$B$6:$B$10,0),MATCH($J3414,ModelParameters!$D$5:$K$5,0)))</f>
        <v>0.025</v>
      </c>
      <c r="R3414" s="71">
        <f>IF(B3414="",0,INDEX(ModelParameters!$D$13:$K$17,MATCH($O3414,ModelParameters!$B$13:$B$17,0),MATCH($J3414,ModelParameters!$D$5:$K$5,0)))</f>
        <v>0</v>
      </c>
      <c r="S3414" s="160">
        <f>IF(B3414="",0,MIN(IF($N3414="Other Bond TM",ModelParameters!$N$21,1)*(P3414*Q3414+R3414),1))</f>
        <v>0.087949980402779136</v>
      </c>
      <c r="T3414" s="85">
        <f>IF(B3414="",0,$S3414*$K3414)</f>
        <v>121.26662313284898</v>
      </c>
      <c r="U3414" s="85">
        <f>IF(B3414="",0,IF(OR(H3414=MappingTables!$C$34,H3414=MappingTables!$C$35),T3414,0))</f>
        <v>0</v>
      </c>
      <c r="V3414" s="85">
        <f>IF(ISNA(IF(AND(VLOOKUP(CONCATENATE($D3414,$G3414),CSRFinput!$B:$E,4,0)=0,OR(H3414=MappingTables!$C$34,H3414=MappingTables!$C$35)),1,VLOOKUP(CONCATENATE($D3414,$G3414),CSRFinput!$B:$E,4,0))),0,IF(AND(VLOOKUP(CONCATENATE($D3414,$G3414),CSRFinput!$B:$E,4,0)=0,OR(H3414=MappingTables!$C$34,H3414=MappingTables!$C$35)),1,VLOOKUP(CONCATENATE($D3414,$G3414),CSRFinput!$B:$E,4,0)))</f>
        <v>0.054776304963434752</v>
      </c>
      <c r="W3414" s="85">
        <f>IF(B3414="",0,+$T3414*$V3414)</f>
        <v>6.6425375306108464</v>
      </c>
      <c r="X3414" s="85">
        <f>IF(B3414="",0,IF(OR(H3414=MappingTables!$C$34,H3414=MappingTables!$C$35),W3414,0))</f>
        <v>0</v>
      </c>
    </row>
    <row r="3415" spans="2:24" s="0" customFormat="0" ht="15">
      <c r="B3415" s="69">
        <v>24304012</v>
      </c>
      <c r="C3415" s="70" t="s">
        <v>2777</v>
      </c>
      <c r="D3415" s="70" t="s">
        <v>1</v>
      </c>
      <c r="E3415" s="70" t="s">
        <v>1</v>
      </c>
      <c r="F3415" s="70"/>
      <c r="G3415" s="70" t="s">
        <v>61</v>
      </c>
      <c r="H3415" s="70" t="s">
        <v>178</v>
      </c>
      <c r="I3415" s="70" t="s">
        <v>188</v>
      </c>
      <c r="J3415" s="71">
        <f>IF(OR(I3415=0,I3415=""),"unrated",VLOOKUP(I3415,MappingTables!$B$19:$C$31,2,FALSE))</f>
        <v>2</v>
      </c>
      <c r="K3415" s="72">
        <v>505.21165508240832</v>
      </c>
      <c r="L3415" s="70">
        <v>6.06853484787372</v>
      </c>
      <c r="M3415" s="71">
        <f>IF(L3415&lt;1,1,L3415)</f>
        <v>6.06853484787372</v>
      </c>
      <c r="N3415" s="70" t="s">
        <v>141</v>
      </c>
      <c r="O3415" s="71">
        <f>INDEX(DurClassMapping,MATCH(M3415,MappingTables!$D$4:$D$8,-1),1)</f>
        <v>2</v>
      </c>
      <c r="P3415" s="73">
        <f>IF(M3415=$A$1,1,$M3415-INDEX(MappingTables!$E$4:$E$8,MATCH(O3415,MappingTables!$B$4:$B$8,0)))</f>
        <v>1.0685348478737202</v>
      </c>
      <c r="Q3415" s="71">
        <f>IF(B3415="",0,INDEX(ModelParameters!$D$6:$K$10,MATCH($O3415,ModelParameters!$B$6:$B$10,0),MATCH($J3415,ModelParameters!$D$5:$K$5,0)))</f>
        <v>0.0069999999999999992</v>
      </c>
      <c r="R3415" s="71">
        <f>IF(B3415="",0,INDEX(ModelParameters!$D$13:$K$17,MATCH($O3415,ModelParameters!$B$13:$B$17,0),MATCH($J3415,ModelParameters!$D$5:$K$5,0)))</f>
        <v>0.070000000000000008</v>
      </c>
      <c r="S3415" s="160">
        <f>IF(B3415="",0,MIN(IF($N3415="Other Bond TM",ModelParameters!$N$21,1)*(P3415*Q3415+R3415),1))</f>
        <v>0.077479743935116048</v>
      </c>
      <c r="T3415" s="85">
        <f>IF(B3415="",0,$S3415*$K3415)</f>
        <v>39.14366966882116</v>
      </c>
      <c r="U3415" s="85">
        <f>IF(B3415="",0,IF(OR(H3415=MappingTables!$C$34,H3415=MappingTables!$C$35),T3415,0))</f>
        <v>0</v>
      </c>
      <c r="V3415" s="85">
        <f>IF(ISNA(IF(AND(VLOOKUP(CONCATENATE($D3415,$G3415),CSRFinput!$B:$E,4,0)=0,OR(H3415=MappingTables!$C$34,H3415=MappingTables!$C$35)),1,VLOOKUP(CONCATENATE($D3415,$G3415),CSRFinput!$B:$E,4,0))),0,IF(AND(VLOOKUP(CONCATENATE($D3415,$G3415),CSRFinput!$B:$E,4,0)=0,OR(H3415=MappingTables!$C$34,H3415=MappingTables!$C$35)),1,VLOOKUP(CONCATENATE($D3415,$G3415),CSRFinput!$B:$E,4,0)))</f>
        <v>0.054776304963434752</v>
      </c>
      <c r="W3415" s="85">
        <f>IF(B3415="",0,+$T3415*$V3415)</f>
        <v>2.1441455871672992</v>
      </c>
      <c r="X3415" s="85">
        <f>IF(B3415="",0,IF(OR(H3415=MappingTables!$C$34,H3415=MappingTables!$C$35),W3415,0))</f>
        <v>0</v>
      </c>
    </row>
    <row r="3416" spans="2:24" s="0" customFormat="0" ht="15">
      <c r="B3416" s="69">
        <v>21834546</v>
      </c>
      <c r="C3416" s="70" t="s">
        <v>1315</v>
      </c>
      <c r="D3416" s="70" t="s">
        <v>1</v>
      </c>
      <c r="E3416" s="70" t="s">
        <v>1</v>
      </c>
      <c r="F3416" s="70"/>
      <c r="G3416" s="70" t="s">
        <v>61</v>
      </c>
      <c r="H3416" s="70" t="s">
        <v>178</v>
      </c>
      <c r="I3416" s="70" t="s">
        <v>181</v>
      </c>
      <c r="J3416" s="71">
        <f>IF(OR(I3416=0,I3416=""),"unrated",VLOOKUP(I3416,MappingTables!$B$19:$C$31,2,FALSE))</f>
        <v>3</v>
      </c>
      <c r="K3416" s="72">
        <v>7866.4408411392272</v>
      </c>
      <c r="L3416" s="70">
        <v>3.786667002140356</v>
      </c>
      <c r="M3416" s="71">
        <f>IF(L3416&lt;1,1,L3416)</f>
        <v>3.786667002140356</v>
      </c>
      <c r="N3416" s="70" t="s">
        <v>141</v>
      </c>
      <c r="O3416" s="71">
        <f>INDEX(DurClassMapping,MATCH(M3416,MappingTables!$D$4:$D$8,-1),1)</f>
        <v>1</v>
      </c>
      <c r="P3416" s="73">
        <f>IF(M3416=$A$1,1,$M3416-INDEX(MappingTables!$E$4:$E$8,MATCH(O3416,MappingTables!$B$4:$B$8,0)))</f>
        <v>3.786667002140356</v>
      </c>
      <c r="Q3416" s="71">
        <f>IF(B3416="",0,INDEX(ModelParameters!$D$6:$K$10,MATCH($O3416,ModelParameters!$B$6:$B$10,0),MATCH($J3416,ModelParameters!$D$5:$K$5,0)))</f>
        <v>0.025</v>
      </c>
      <c r="R3416" s="71">
        <f>IF(B3416="",0,INDEX(ModelParameters!$D$13:$K$17,MATCH($O3416,ModelParameters!$B$13:$B$17,0),MATCH($J3416,ModelParameters!$D$5:$K$5,0)))</f>
        <v>0</v>
      </c>
      <c r="S3416" s="160">
        <f>IF(B3416="",0,MIN(IF($N3416="Other Bond TM",ModelParameters!$N$21,1)*(P3416*Q3416+R3416),1))</f>
        <v>0.094666675053508912</v>
      </c>
      <c r="T3416" s="85">
        <f>IF(B3416="",0,$S3416*$K3416)</f>
        <v>744.68979893577856</v>
      </c>
      <c r="U3416" s="85">
        <f>IF(B3416="",0,IF(OR(H3416=MappingTables!$C$34,H3416=MappingTables!$C$35),T3416,0))</f>
        <v>0</v>
      </c>
      <c r="V3416" s="85">
        <f>IF(ISNA(IF(AND(VLOOKUP(CONCATENATE($D3416,$G3416),CSRFinput!$B:$E,4,0)=0,OR(H3416=MappingTables!$C$34,H3416=MappingTables!$C$35)),1,VLOOKUP(CONCATENATE($D3416,$G3416),CSRFinput!$B:$E,4,0))),0,IF(AND(VLOOKUP(CONCATENATE($D3416,$G3416),CSRFinput!$B:$E,4,0)=0,OR(H3416=MappingTables!$C$34,H3416=MappingTables!$C$35)),1,VLOOKUP(CONCATENATE($D3416,$G3416),CSRFinput!$B:$E,4,0)))</f>
        <v>0.054776304963434752</v>
      </c>
      <c r="W3416" s="85">
        <f>IF(B3416="",0,+$T3416*$V3416)</f>
        <v>40.791355529665112</v>
      </c>
      <c r="X3416" s="85">
        <f>IF(B3416="",0,IF(OR(H3416=MappingTables!$C$34,H3416=MappingTables!$C$35),W3416,0))</f>
        <v>0</v>
      </c>
    </row>
    <row r="3417" spans="2:24" s="0" customFormat="0" ht="15">
      <c r="B3417" s="69">
        <v>4653284</v>
      </c>
      <c r="C3417" s="70" t="s">
        <v>2836</v>
      </c>
      <c r="D3417" s="70" t="s">
        <v>1</v>
      </c>
      <c r="E3417" s="70" t="s">
        <v>1</v>
      </c>
      <c r="F3417" s="70"/>
      <c r="G3417" s="70" t="s">
        <v>61</v>
      </c>
      <c r="H3417" s="70" t="s">
        <v>178</v>
      </c>
      <c r="I3417" s="70" t="s">
        <v>220</v>
      </c>
      <c r="J3417" s="71">
        <f>IF(OR(I3417=0,I3417=""),"unrated",VLOOKUP(I3417,MappingTables!$B$19:$C$31,2,FALSE))</f>
        <v>1</v>
      </c>
      <c r="K3417" s="72">
        <v>3454789.352416992</v>
      </c>
      <c r="L3417" s="70">
        <v>3.8319176134152152</v>
      </c>
      <c r="M3417" s="71">
        <f>IF(L3417&lt;1,1,L3417)</f>
        <v>3.8319176134152152</v>
      </c>
      <c r="N3417" s="70" t="s">
        <v>141</v>
      </c>
      <c r="O3417" s="71">
        <f>INDEX(DurClassMapping,MATCH(M3417,MappingTables!$D$4:$D$8,-1),1)</f>
        <v>1</v>
      </c>
      <c r="P3417" s="73">
        <f>IF(M3417=$A$1,1,$M3417-INDEX(MappingTables!$E$4:$E$8,MATCH(O3417,MappingTables!$B$4:$B$8,0)))</f>
        <v>3.8319176134152152</v>
      </c>
      <c r="Q3417" s="71">
        <f>IF(B3417="",0,INDEX(ModelParameters!$D$6:$K$10,MATCH($O3417,ModelParameters!$B$6:$B$10,0),MATCH($J3417,ModelParameters!$D$5:$K$5,0)))</f>
        <v>0.011000000000000002</v>
      </c>
      <c r="R3417" s="71">
        <f>IF(B3417="",0,INDEX(ModelParameters!$D$13:$K$17,MATCH($O3417,ModelParameters!$B$13:$B$17,0),MATCH($J3417,ModelParameters!$D$5:$K$5,0)))</f>
        <v>0</v>
      </c>
      <c r="S3417" s="160">
        <f>IF(B3417="",0,MIN(IF($N3417="Other Bond TM",ModelParameters!$N$21,1)*(P3417*Q3417+R3417),1))</f>
        <v>0.042151093747567368</v>
      </c>
      <c r="T3417" s="85">
        <f>IF(B3417="",0,$S3417*$K3417)</f>
        <v>145623.1498718262</v>
      </c>
      <c r="U3417" s="85">
        <f>IF(B3417="",0,IF(OR(H3417=MappingTables!$C$34,H3417=MappingTables!$C$35),T3417,0))</f>
        <v>0</v>
      </c>
      <c r="V3417" s="85">
        <f>IF(ISNA(IF(AND(VLOOKUP(CONCATENATE($D3417,$G3417),CSRFinput!$B:$E,4,0)=0,OR(H3417=MappingTables!$C$34,H3417=MappingTables!$C$35)),1,VLOOKUP(CONCATENATE($D3417,$G3417),CSRFinput!$B:$E,4,0))),0,IF(AND(VLOOKUP(CONCATENATE($D3417,$G3417),CSRFinput!$B:$E,4,0)=0,OR(H3417=MappingTables!$C$34,H3417=MappingTables!$C$35)),1,VLOOKUP(CONCATENATE($D3417,$G3417),CSRFinput!$B:$E,4,0)))</f>
        <v>0.054776304963434752</v>
      </c>
      <c r="W3417" s="85">
        <f>IF(B3417="",0,+$T3417*$V3417)</f>
        <v>7976.6980671151168</v>
      </c>
      <c r="X3417" s="85">
        <f>IF(B3417="",0,IF(OR(H3417=MappingTables!$C$34,H3417=MappingTables!$C$35),W3417,0))</f>
        <v>0</v>
      </c>
    </row>
    <row r="3418" spans="2:24" s="0" customFormat="0" ht="15">
      <c r="B3418" s="69" t="s">
        <v>2837</v>
      </c>
      <c r="C3418" s="70" t="s">
        <v>2838</v>
      </c>
      <c r="D3418" s="70" t="s">
        <v>1</v>
      </c>
      <c r="E3418" s="70" t="s">
        <v>1</v>
      </c>
      <c r="F3418" s="70"/>
      <c r="G3418" s="70" t="s">
        <v>61</v>
      </c>
      <c r="H3418" s="70" t="s">
        <v>178</v>
      </c>
      <c r="I3418" s="70" t="s">
        <v>188</v>
      </c>
      <c r="J3418" s="71">
        <f>IF(OR(I3418=0,I3418=""),"unrated",VLOOKUP(I3418,MappingTables!$B$19:$C$31,2,FALSE))</f>
        <v>2</v>
      </c>
      <c r="K3418" s="72">
        <v>10.249087602642036</v>
      </c>
      <c r="L3418" s="70">
        <v>0.038359346762018312</v>
      </c>
      <c r="M3418" s="71">
        <f>IF(L3418&lt;1,1,L3418)</f>
        <v>1</v>
      </c>
      <c r="N3418" s="70" t="s">
        <v>141</v>
      </c>
      <c r="O3418" s="71">
        <f>INDEX(DurClassMapping,MATCH(M3418,MappingTables!$D$4:$D$8,-1),1)</f>
        <v>1</v>
      </c>
      <c r="P3418" s="73">
        <f>IF(M3418=$A$1,1,$M3418-INDEX(MappingTables!$E$4:$E$8,MATCH(O3418,MappingTables!$B$4:$B$8,0)))</f>
        <v>1</v>
      </c>
      <c r="Q3418" s="71">
        <f>IF(B3418="",0,INDEX(ModelParameters!$D$6:$K$10,MATCH($O3418,ModelParameters!$B$6:$B$10,0),MATCH($J3418,ModelParameters!$D$5:$K$5,0)))</f>
        <v>0.013999999999999998</v>
      </c>
      <c r="R3418" s="71">
        <f>IF(B3418="",0,INDEX(ModelParameters!$D$13:$K$17,MATCH($O3418,ModelParameters!$B$13:$B$17,0),MATCH($J3418,ModelParameters!$D$5:$K$5,0)))</f>
        <v>0</v>
      </c>
      <c r="S3418" s="160">
        <f>IF(B3418="",0,MIN(IF($N3418="Other Bond TM",ModelParameters!$N$21,1)*(P3418*Q3418+R3418),1))</f>
        <v>0.013999999999999998</v>
      </c>
      <c r="T3418" s="85">
        <f>IF(B3418="",0,$S3418*$K3418)</f>
        <v>0.14348722643698846</v>
      </c>
      <c r="U3418" s="85">
        <f>IF(B3418="",0,IF(OR(H3418=MappingTables!$C$34,H3418=MappingTables!$C$35),T3418,0))</f>
        <v>0</v>
      </c>
      <c r="V3418" s="85">
        <f>IF(ISNA(IF(AND(VLOOKUP(CONCATENATE($D3418,$G3418),CSRFinput!$B:$E,4,0)=0,OR(H3418=MappingTables!$C$34,H3418=MappingTables!$C$35)),1,VLOOKUP(CONCATENATE($D3418,$G3418),CSRFinput!$B:$E,4,0))),0,IF(AND(VLOOKUP(CONCATENATE($D3418,$G3418),CSRFinput!$B:$E,4,0)=0,OR(H3418=MappingTables!$C$34,H3418=MappingTables!$C$35)),1,VLOOKUP(CONCATENATE($D3418,$G3418),CSRFinput!$B:$E,4,0)))</f>
        <v>0.054776304963434752</v>
      </c>
      <c r="W3418" s="85">
        <f>IF(B3418="",0,+$T3418*$V3418)</f>
        <v>0.0078597000736698976</v>
      </c>
      <c r="X3418" s="85">
        <f>IF(B3418="",0,IF(OR(H3418=MappingTables!$C$34,H3418=MappingTables!$C$35),W3418,0))</f>
        <v>0</v>
      </c>
    </row>
    <row r="3419" spans="2:24" s="0" customFormat="0" ht="15">
      <c r="B3419" s="69">
        <v>7823379</v>
      </c>
      <c r="C3419" s="70" t="s">
        <v>748</v>
      </c>
      <c r="D3419" s="70" t="s">
        <v>1</v>
      </c>
      <c r="E3419" s="70" t="s">
        <v>1</v>
      </c>
      <c r="F3419" s="70"/>
      <c r="G3419" s="70" t="s">
        <v>61</v>
      </c>
      <c r="H3419" s="70" t="s">
        <v>178</v>
      </c>
      <c r="I3419" s="70" t="s">
        <v>179</v>
      </c>
      <c r="J3419" s="71">
        <f>IF(OR(I3419=0,I3419=""),"unrated",VLOOKUP(I3419,MappingTables!$B$19:$C$31,2,FALSE))</f>
        <v>4</v>
      </c>
      <c r="K3419" s="72">
        <v>1108.008023340984</v>
      </c>
      <c r="L3419" s="70">
        <v>2.5269301061806028</v>
      </c>
      <c r="M3419" s="71">
        <f>IF(L3419&lt;1,1,L3419)</f>
        <v>2.5269301061806028</v>
      </c>
      <c r="N3419" s="70" t="s">
        <v>141</v>
      </c>
      <c r="O3419" s="71">
        <f>INDEX(DurClassMapping,MATCH(M3419,MappingTables!$D$4:$D$8,-1),1)</f>
        <v>1</v>
      </c>
      <c r="P3419" s="73">
        <f>IF(M3419=$A$1,1,$M3419-INDEX(MappingTables!$E$4:$E$8,MATCH(O3419,MappingTables!$B$4:$B$8,0)))</f>
        <v>2.5269301061806028</v>
      </c>
      <c r="Q3419" s="71">
        <f>IF(B3419="",0,INDEX(ModelParameters!$D$6:$K$10,MATCH($O3419,ModelParameters!$B$6:$B$10,0),MATCH($J3419,ModelParameters!$D$5:$K$5,0)))</f>
        <v>0.045</v>
      </c>
      <c r="R3419" s="71">
        <f>IF(B3419="",0,INDEX(ModelParameters!$D$13:$K$17,MATCH($O3419,ModelParameters!$B$13:$B$17,0),MATCH($J3419,ModelParameters!$D$5:$K$5,0)))</f>
        <v>0</v>
      </c>
      <c r="S3419" s="160">
        <f>IF(B3419="",0,MIN(IF($N3419="Other Bond TM",ModelParameters!$N$21,1)*(P3419*Q3419+R3419),1))</f>
        <v>0.11371185477812712</v>
      </c>
      <c r="T3419" s="85">
        <f>IF(B3419="",0,$S3419*$K3419)</f>
        <v>125.99364744314966</v>
      </c>
      <c r="U3419" s="85">
        <f>IF(B3419="",0,IF(OR(H3419=MappingTables!$C$34,H3419=MappingTables!$C$35),T3419,0))</f>
        <v>0</v>
      </c>
      <c r="V3419" s="85">
        <f>IF(ISNA(IF(AND(VLOOKUP(CONCATENATE($D3419,$G3419),CSRFinput!$B:$E,4,0)=0,OR(H3419=MappingTables!$C$34,H3419=MappingTables!$C$35)),1,VLOOKUP(CONCATENATE($D3419,$G3419),CSRFinput!$B:$E,4,0))),0,IF(AND(VLOOKUP(CONCATENATE($D3419,$G3419),CSRFinput!$B:$E,4,0)=0,OR(H3419=MappingTables!$C$34,H3419=MappingTables!$C$35)),1,VLOOKUP(CONCATENATE($D3419,$G3419),CSRFinput!$B:$E,4,0)))</f>
        <v>0.054776304963434752</v>
      </c>
      <c r="W3419" s="85">
        <f>IF(B3419="",0,+$T3419*$V3419)</f>
        <v>6.9014664558014464</v>
      </c>
      <c r="X3419" s="85">
        <f>IF(B3419="",0,IF(OR(H3419=MappingTables!$C$34,H3419=MappingTables!$C$35),W3419,0))</f>
        <v>0</v>
      </c>
    </row>
    <row r="3420" spans="2:24" s="0" customFormat="0" ht="15">
      <c r="B3420" s="69" t="s">
        <v>2597</v>
      </c>
      <c r="C3420" s="70" t="s">
        <v>2598</v>
      </c>
      <c r="D3420" s="70" t="s">
        <v>1</v>
      </c>
      <c r="E3420" s="70" t="s">
        <v>1</v>
      </c>
      <c r="F3420" s="70"/>
      <c r="G3420" s="70" t="s">
        <v>61</v>
      </c>
      <c r="H3420" s="70" t="s">
        <v>178</v>
      </c>
      <c r="I3420" s="70" t="s">
        <v>220</v>
      </c>
      <c r="J3420" s="71">
        <f>IF(OR(I3420=0,I3420=""),"unrated",VLOOKUP(I3420,MappingTables!$B$19:$C$31,2,FALSE))</f>
        <v>1</v>
      </c>
      <c r="K3420" s="72">
        <v>827.17010862814384</v>
      </c>
      <c r="L3420" s="70">
        <v>0.076710715251505552</v>
      </c>
      <c r="M3420" s="71">
        <f>IF(L3420&lt;1,1,L3420)</f>
        <v>1</v>
      </c>
      <c r="N3420" s="70" t="s">
        <v>141</v>
      </c>
      <c r="O3420" s="71">
        <f>INDEX(DurClassMapping,MATCH(M3420,MappingTables!$D$4:$D$8,-1),1)</f>
        <v>1</v>
      </c>
      <c r="P3420" s="73">
        <f>IF(M3420=$A$1,1,$M3420-INDEX(MappingTables!$E$4:$E$8,MATCH(O3420,MappingTables!$B$4:$B$8,0)))</f>
        <v>1</v>
      </c>
      <c r="Q3420" s="71">
        <f>IF(B3420="",0,INDEX(ModelParameters!$D$6:$K$10,MATCH($O3420,ModelParameters!$B$6:$B$10,0),MATCH($J3420,ModelParameters!$D$5:$K$5,0)))</f>
        <v>0.011000000000000002</v>
      </c>
      <c r="R3420" s="71">
        <f>IF(B3420="",0,INDEX(ModelParameters!$D$13:$K$17,MATCH($O3420,ModelParameters!$B$13:$B$17,0),MATCH($J3420,ModelParameters!$D$5:$K$5,0)))</f>
        <v>0</v>
      </c>
      <c r="S3420" s="160">
        <f>IF(B3420="",0,MIN(IF($N3420="Other Bond TM",ModelParameters!$N$21,1)*(P3420*Q3420+R3420),1))</f>
        <v>0.011000000000000002</v>
      </c>
      <c r="T3420" s="85">
        <f>IF(B3420="",0,$S3420*$K3420)</f>
        <v>9.0988711949095824</v>
      </c>
      <c r="U3420" s="85">
        <f>IF(B3420="",0,IF(OR(H3420=MappingTables!$C$34,H3420=MappingTables!$C$35),T3420,0))</f>
        <v>0</v>
      </c>
      <c r="V3420" s="85">
        <f>IF(ISNA(IF(AND(VLOOKUP(CONCATENATE($D3420,$G3420),CSRFinput!$B:$E,4,0)=0,OR(H3420=MappingTables!$C$34,H3420=MappingTables!$C$35)),1,VLOOKUP(CONCATENATE($D3420,$G3420),CSRFinput!$B:$E,4,0))),0,IF(AND(VLOOKUP(CONCATENATE($D3420,$G3420),CSRFinput!$B:$E,4,0)=0,OR(H3420=MappingTables!$C$34,H3420=MappingTables!$C$35)),1,VLOOKUP(CONCATENATE($D3420,$G3420),CSRFinput!$B:$E,4,0)))</f>
        <v>0.054776304963434752</v>
      </c>
      <c r="W3420" s="85">
        <f>IF(B3420="",0,+$T3420*$V3420)</f>
        <v>0.49840254339537928</v>
      </c>
      <c r="X3420" s="85">
        <f>IF(B3420="",0,IF(OR(H3420=MappingTables!$C$34,H3420=MappingTables!$C$35),W3420,0))</f>
        <v>0</v>
      </c>
    </row>
    <row r="3421" spans="2:24" s="0" customFormat="0" ht="15">
      <c r="B3421" s="69">
        <v>20844759</v>
      </c>
      <c r="C3421" s="70" t="s">
        <v>2378</v>
      </c>
      <c r="D3421" s="70" t="s">
        <v>1</v>
      </c>
      <c r="E3421" s="70" t="s">
        <v>1</v>
      </c>
      <c r="F3421" s="70"/>
      <c r="G3421" s="70" t="s">
        <v>61</v>
      </c>
      <c r="H3421" s="70" t="s">
        <v>178</v>
      </c>
      <c r="I3421" s="70" t="s">
        <v>188</v>
      </c>
      <c r="J3421" s="71">
        <f>IF(OR(I3421=0,I3421=""),"unrated",VLOOKUP(I3421,MappingTables!$B$19:$C$31,2,FALSE))</f>
        <v>2</v>
      </c>
      <c r="K3421" s="72">
        <v>7053.831200846076</v>
      </c>
      <c r="L3421" s="70">
        <v>3.5444779518714832</v>
      </c>
      <c r="M3421" s="71">
        <f>IF(L3421&lt;1,1,L3421)</f>
        <v>3.5444779518714832</v>
      </c>
      <c r="N3421" s="70" t="s">
        <v>141</v>
      </c>
      <c r="O3421" s="71">
        <f>INDEX(DurClassMapping,MATCH(M3421,MappingTables!$D$4:$D$8,-1),1)</f>
        <v>1</v>
      </c>
      <c r="P3421" s="73">
        <f>IF(M3421=$A$1,1,$M3421-INDEX(MappingTables!$E$4:$E$8,MATCH(O3421,MappingTables!$B$4:$B$8,0)))</f>
        <v>3.5444779518714832</v>
      </c>
      <c r="Q3421" s="71">
        <f>IF(B3421="",0,INDEX(ModelParameters!$D$6:$K$10,MATCH($O3421,ModelParameters!$B$6:$B$10,0),MATCH($J3421,ModelParameters!$D$5:$K$5,0)))</f>
        <v>0.013999999999999998</v>
      </c>
      <c r="R3421" s="71">
        <f>IF(B3421="",0,INDEX(ModelParameters!$D$13:$K$17,MATCH($O3421,ModelParameters!$B$13:$B$17,0),MATCH($J3421,ModelParameters!$D$5:$K$5,0)))</f>
        <v>0</v>
      </c>
      <c r="S3421" s="160">
        <f>IF(B3421="",0,MIN(IF($N3421="Other Bond TM",ModelParameters!$N$21,1)*(P3421*Q3421+R3421),1))</f>
        <v>0.04962269132620076</v>
      </c>
      <c r="T3421" s="85">
        <f>IF(B3421="",0,$S3421*$K3421)</f>
        <v>350.03008834670884</v>
      </c>
      <c r="U3421" s="85">
        <f>IF(B3421="",0,IF(OR(H3421=MappingTables!$C$34,H3421=MappingTables!$C$35),T3421,0))</f>
        <v>0</v>
      </c>
      <c r="V3421" s="85">
        <f>IF(ISNA(IF(AND(VLOOKUP(CONCATENATE($D3421,$G3421),CSRFinput!$B:$E,4,0)=0,OR(H3421=MappingTables!$C$34,H3421=MappingTables!$C$35)),1,VLOOKUP(CONCATENATE($D3421,$G3421),CSRFinput!$B:$E,4,0))),0,IF(AND(VLOOKUP(CONCATENATE($D3421,$G3421),CSRFinput!$B:$E,4,0)=0,OR(H3421=MappingTables!$C$34,H3421=MappingTables!$C$35)),1,VLOOKUP(CONCATENATE($D3421,$G3421),CSRFinput!$B:$E,4,0)))</f>
        <v>0.054776304963434752</v>
      </c>
      <c r="W3421" s="85">
        <f>IF(B3421="",0,+$T3421*$V3421)</f>
        <v>19.173354865657336</v>
      </c>
      <c r="X3421" s="85">
        <f>IF(B3421="",0,IF(OR(H3421=MappingTables!$C$34,H3421=MappingTables!$C$35),W3421,0))</f>
        <v>0</v>
      </c>
    </row>
    <row r="3422" spans="2:24" s="0" customFormat="0" ht="15">
      <c r="B3422" s="69" t="s">
        <v>2839</v>
      </c>
      <c r="C3422" s="70" t="s">
        <v>2840</v>
      </c>
      <c r="D3422" s="70" t="s">
        <v>1</v>
      </c>
      <c r="E3422" s="70" t="s">
        <v>1</v>
      </c>
      <c r="F3422" s="70"/>
      <c r="G3422" s="70" t="s">
        <v>61</v>
      </c>
      <c r="H3422" s="70" t="s">
        <v>178</v>
      </c>
      <c r="I3422" s="70" t="s">
        <v>188</v>
      </c>
      <c r="J3422" s="71">
        <f>IF(OR(I3422=0,I3422=""),"unrated",VLOOKUP(I3422,MappingTables!$B$19:$C$31,2,FALSE))</f>
        <v>2</v>
      </c>
      <c r="K3422" s="72">
        <v>2.42620674121389</v>
      </c>
      <c r="L3422" s="70">
        <v>1.395142034195516</v>
      </c>
      <c r="M3422" s="71">
        <f>IF(L3422&lt;1,1,L3422)</f>
        <v>1.395142034195516</v>
      </c>
      <c r="N3422" s="70" t="s">
        <v>141</v>
      </c>
      <c r="O3422" s="71">
        <f>INDEX(DurClassMapping,MATCH(M3422,MappingTables!$D$4:$D$8,-1),1)</f>
        <v>1</v>
      </c>
      <c r="P3422" s="73">
        <f>IF(M3422=$A$1,1,$M3422-INDEX(MappingTables!$E$4:$E$8,MATCH(O3422,MappingTables!$B$4:$B$8,0)))</f>
        <v>1.395142034195516</v>
      </c>
      <c r="Q3422" s="71">
        <f>IF(B3422="",0,INDEX(ModelParameters!$D$6:$K$10,MATCH($O3422,ModelParameters!$B$6:$B$10,0),MATCH($J3422,ModelParameters!$D$5:$K$5,0)))</f>
        <v>0.013999999999999998</v>
      </c>
      <c r="R3422" s="71">
        <f>IF(B3422="",0,INDEX(ModelParameters!$D$13:$K$17,MATCH($O3422,ModelParameters!$B$13:$B$17,0),MATCH($J3422,ModelParameters!$D$5:$K$5,0)))</f>
        <v>0</v>
      </c>
      <c r="S3422" s="160">
        <f>IF(B3422="",0,MIN(IF($N3422="Other Bond TM",ModelParameters!$N$21,1)*(P3422*Q3422+R3422),1))</f>
        <v>0.019531988478737224</v>
      </c>
      <c r="T3422" s="85">
        <f>IF(B3422="",0,$S3422*$K3422)</f>
        <v>0.04738864211642428</v>
      </c>
      <c r="U3422" s="85">
        <f>IF(B3422="",0,IF(OR(H3422=MappingTables!$C$34,H3422=MappingTables!$C$35),T3422,0))</f>
        <v>0</v>
      </c>
      <c r="V3422" s="85">
        <f>IF(ISNA(IF(AND(VLOOKUP(CONCATENATE($D3422,$G3422),CSRFinput!$B:$E,4,0)=0,OR(H3422=MappingTables!$C$34,H3422=MappingTables!$C$35)),1,VLOOKUP(CONCATENATE($D3422,$G3422),CSRFinput!$B:$E,4,0))),0,IF(AND(VLOOKUP(CONCATENATE($D3422,$G3422),CSRFinput!$B:$E,4,0)=0,OR(H3422=MappingTables!$C$34,H3422=MappingTables!$C$35)),1,VLOOKUP(CONCATENATE($D3422,$G3422),CSRFinput!$B:$E,4,0)))</f>
        <v>0.054776304963434752</v>
      </c>
      <c r="W3422" s="85">
        <f>IF(B3422="",0,+$T3422*$V3422)</f>
        <v>0.0025957747123723248</v>
      </c>
      <c r="X3422" s="85">
        <f>IF(B3422="",0,IF(OR(H3422=MappingTables!$C$34,H3422=MappingTables!$C$35),W3422,0))</f>
        <v>0</v>
      </c>
    </row>
    <row r="3423" spans="2:24" s="0" customFormat="0" ht="15">
      <c r="B3423" s="69">
        <v>19666469</v>
      </c>
      <c r="C3423" s="70" t="s">
        <v>2523</v>
      </c>
      <c r="D3423" s="70" t="s">
        <v>1</v>
      </c>
      <c r="E3423" s="70" t="s">
        <v>1</v>
      </c>
      <c r="F3423" s="70"/>
      <c r="G3423" s="70" t="s">
        <v>61</v>
      </c>
      <c r="H3423" s="70" t="s">
        <v>178</v>
      </c>
      <c r="I3423" s="70" t="s">
        <v>220</v>
      </c>
      <c r="J3423" s="71">
        <f>IF(OR(I3423=0,I3423=""),"unrated",VLOOKUP(I3423,MappingTables!$B$19:$C$31,2,FALSE))</f>
        <v>1</v>
      </c>
      <c r="K3423" s="72">
        <v>687.994035696552</v>
      </c>
      <c r="L3423" s="70">
        <v>1.1954790001009188</v>
      </c>
      <c r="M3423" s="71">
        <f>IF(L3423&lt;1,1,L3423)</f>
        <v>1.1954790001009188</v>
      </c>
      <c r="N3423" s="70" t="s">
        <v>141</v>
      </c>
      <c r="O3423" s="71">
        <f>INDEX(DurClassMapping,MATCH(M3423,MappingTables!$D$4:$D$8,-1),1)</f>
        <v>1</v>
      </c>
      <c r="P3423" s="73">
        <f>IF(M3423=$A$1,1,$M3423-INDEX(MappingTables!$E$4:$E$8,MATCH(O3423,MappingTables!$B$4:$B$8,0)))</f>
        <v>1.1954790001009188</v>
      </c>
      <c r="Q3423" s="71">
        <f>IF(B3423="",0,INDEX(ModelParameters!$D$6:$K$10,MATCH($O3423,ModelParameters!$B$6:$B$10,0),MATCH($J3423,ModelParameters!$D$5:$K$5,0)))</f>
        <v>0.011000000000000002</v>
      </c>
      <c r="R3423" s="71">
        <f>IF(B3423="",0,INDEX(ModelParameters!$D$13:$K$17,MATCH($O3423,ModelParameters!$B$13:$B$17,0),MATCH($J3423,ModelParameters!$D$5:$K$5,0)))</f>
        <v>0</v>
      </c>
      <c r="S3423" s="160">
        <f>IF(B3423="",0,MIN(IF($N3423="Other Bond TM",ModelParameters!$N$21,1)*(P3423*Q3423+R3423),1))</f>
        <v>0.013150269001110108</v>
      </c>
      <c r="T3423" s="85">
        <f>IF(B3423="",0,$S3423*$K3423)</f>
        <v>9.047306640569008</v>
      </c>
      <c r="U3423" s="85">
        <f>IF(B3423="",0,IF(OR(H3423=MappingTables!$C$34,H3423=MappingTables!$C$35),T3423,0))</f>
        <v>0</v>
      </c>
      <c r="V3423" s="85">
        <f>IF(ISNA(IF(AND(VLOOKUP(CONCATENATE($D3423,$G3423),CSRFinput!$B:$E,4,0)=0,OR(H3423=MappingTables!$C$34,H3423=MappingTables!$C$35)),1,VLOOKUP(CONCATENATE($D3423,$G3423),CSRFinput!$B:$E,4,0))),0,IF(AND(VLOOKUP(CONCATENATE($D3423,$G3423),CSRFinput!$B:$E,4,0)=0,OR(H3423=MappingTables!$C$34,H3423=MappingTables!$C$35)),1,VLOOKUP(CONCATENATE($D3423,$G3423),CSRFinput!$B:$E,4,0)))</f>
        <v>0.054776304963434752</v>
      </c>
      <c r="W3423" s="85">
        <f>IF(B3423="",0,+$T3423*$V3423)</f>
        <v>0.4955780276415164</v>
      </c>
      <c r="X3423" s="85">
        <f>IF(B3423="",0,IF(OR(H3423=MappingTables!$C$34,H3423=MappingTables!$C$35),W3423,0))</f>
        <v>0</v>
      </c>
    </row>
    <row r="3424" spans="2:24" s="0" customFormat="0" ht="15">
      <c r="B3424" s="69" t="s">
        <v>1958</v>
      </c>
      <c r="C3424" s="70" t="s">
        <v>1959</v>
      </c>
      <c r="D3424" s="70" t="s">
        <v>1</v>
      </c>
      <c r="E3424" s="70" t="s">
        <v>1</v>
      </c>
      <c r="F3424" s="70"/>
      <c r="G3424" s="70" t="s">
        <v>61</v>
      </c>
      <c r="H3424" s="70" t="s">
        <v>178</v>
      </c>
      <c r="I3424" s="70" t="s">
        <v>179</v>
      </c>
      <c r="J3424" s="71">
        <f>IF(OR(I3424=0,I3424=""),"unrated",VLOOKUP(I3424,MappingTables!$B$19:$C$31,2,FALSE))</f>
        <v>4</v>
      </c>
      <c r="K3424" s="72">
        <v>23160.905763935408</v>
      </c>
      <c r="L3424" s="70">
        <v>4.5695890256244384</v>
      </c>
      <c r="M3424" s="71">
        <f>IF(L3424&lt;1,1,L3424)</f>
        <v>4.5695890256244384</v>
      </c>
      <c r="N3424" s="70" t="s">
        <v>141</v>
      </c>
      <c r="O3424" s="71">
        <f>INDEX(DurClassMapping,MATCH(M3424,MappingTables!$D$4:$D$8,-1),1)</f>
        <v>1</v>
      </c>
      <c r="P3424" s="73">
        <f>IF(M3424=$A$1,1,$M3424-INDEX(MappingTables!$E$4:$E$8,MATCH(O3424,MappingTables!$B$4:$B$8,0)))</f>
        <v>4.5695890256244384</v>
      </c>
      <c r="Q3424" s="71">
        <f>IF(B3424="",0,INDEX(ModelParameters!$D$6:$K$10,MATCH($O3424,ModelParameters!$B$6:$B$10,0),MATCH($J3424,ModelParameters!$D$5:$K$5,0)))</f>
        <v>0.045</v>
      </c>
      <c r="R3424" s="71">
        <f>IF(B3424="",0,INDEX(ModelParameters!$D$13:$K$17,MATCH($O3424,ModelParameters!$B$13:$B$17,0),MATCH($J3424,ModelParameters!$D$5:$K$5,0)))</f>
        <v>0</v>
      </c>
      <c r="S3424" s="160">
        <f>IF(B3424="",0,MIN(IF($N3424="Other Bond TM",ModelParameters!$N$21,1)*(P3424*Q3424+R3424),1))</f>
        <v>0.20563150615309972</v>
      </c>
      <c r="T3424" s="85">
        <f>IF(B3424="",0,$S3424*$K3424)</f>
        <v>4762.6119361080464</v>
      </c>
      <c r="U3424" s="85">
        <f>IF(B3424="",0,IF(OR(H3424=MappingTables!$C$34,H3424=MappingTables!$C$35),T3424,0))</f>
        <v>0</v>
      </c>
      <c r="V3424" s="85">
        <f>IF(ISNA(IF(AND(VLOOKUP(CONCATENATE($D3424,$G3424),CSRFinput!$B:$E,4,0)=0,OR(H3424=MappingTables!$C$34,H3424=MappingTables!$C$35)),1,VLOOKUP(CONCATENATE($D3424,$G3424),CSRFinput!$B:$E,4,0))),0,IF(AND(VLOOKUP(CONCATENATE($D3424,$G3424),CSRFinput!$B:$E,4,0)=0,OR(H3424=MappingTables!$C$34,H3424=MappingTables!$C$35)),1,VLOOKUP(CONCATENATE($D3424,$G3424),CSRFinput!$B:$E,4,0)))</f>
        <v>0.054776304963434752</v>
      </c>
      <c r="W3424" s="85">
        <f>IF(B3424="",0,+$T3424*$V3424)</f>
        <v>260.8782838347488</v>
      </c>
      <c r="X3424" s="85">
        <f>IF(B3424="",0,IF(OR(H3424=MappingTables!$C$34,H3424=MappingTables!$C$35),W3424,0))</f>
        <v>0</v>
      </c>
    </row>
    <row r="3425" spans="2:24" s="0" customFormat="0" ht="15">
      <c r="B3425" s="69">
        <v>16627758</v>
      </c>
      <c r="C3425" s="70" t="s">
        <v>2841</v>
      </c>
      <c r="D3425" s="70" t="s">
        <v>1</v>
      </c>
      <c r="E3425" s="70" t="s">
        <v>1</v>
      </c>
      <c r="F3425" s="70"/>
      <c r="G3425" s="70" t="s">
        <v>61</v>
      </c>
      <c r="H3425" s="70" t="s">
        <v>178</v>
      </c>
      <c r="I3425" s="70" t="s">
        <v>181</v>
      </c>
      <c r="J3425" s="71">
        <f>IF(OR(I3425=0,I3425=""),"unrated",VLOOKUP(I3425,MappingTables!$B$19:$C$31,2,FALSE))</f>
        <v>3</v>
      </c>
      <c r="K3425" s="72">
        <v>584.2578615457984</v>
      </c>
      <c r="L3425" s="70">
        <v>0.3479454661067506</v>
      </c>
      <c r="M3425" s="71">
        <f>IF(L3425&lt;1,1,L3425)</f>
        <v>1</v>
      </c>
      <c r="N3425" s="70" t="s">
        <v>141</v>
      </c>
      <c r="O3425" s="71">
        <f>INDEX(DurClassMapping,MATCH(M3425,MappingTables!$D$4:$D$8,-1),1)</f>
        <v>1</v>
      </c>
      <c r="P3425" s="73">
        <f>IF(M3425=$A$1,1,$M3425-INDEX(MappingTables!$E$4:$E$8,MATCH(O3425,MappingTables!$B$4:$B$8,0)))</f>
        <v>1</v>
      </c>
      <c r="Q3425" s="71">
        <f>IF(B3425="",0,INDEX(ModelParameters!$D$6:$K$10,MATCH($O3425,ModelParameters!$B$6:$B$10,0),MATCH($J3425,ModelParameters!$D$5:$K$5,0)))</f>
        <v>0.025</v>
      </c>
      <c r="R3425" s="71">
        <f>IF(B3425="",0,INDEX(ModelParameters!$D$13:$K$17,MATCH($O3425,ModelParameters!$B$13:$B$17,0),MATCH($J3425,ModelParameters!$D$5:$K$5,0)))</f>
        <v>0</v>
      </c>
      <c r="S3425" s="160">
        <f>IF(B3425="",0,MIN(IF($N3425="Other Bond TM",ModelParameters!$N$21,1)*(P3425*Q3425+R3425),1))</f>
        <v>0.025</v>
      </c>
      <c r="T3425" s="85">
        <f>IF(B3425="",0,$S3425*$K3425)</f>
        <v>14.60644653864496</v>
      </c>
      <c r="U3425" s="85">
        <f>IF(B3425="",0,IF(OR(H3425=MappingTables!$C$34,H3425=MappingTables!$C$35),T3425,0))</f>
        <v>0</v>
      </c>
      <c r="V3425" s="85">
        <f>IF(ISNA(IF(AND(VLOOKUP(CONCATENATE($D3425,$G3425),CSRFinput!$B:$E,4,0)=0,OR(H3425=MappingTables!$C$34,H3425=MappingTables!$C$35)),1,VLOOKUP(CONCATENATE($D3425,$G3425),CSRFinput!$B:$E,4,0))),0,IF(AND(VLOOKUP(CONCATENATE($D3425,$G3425),CSRFinput!$B:$E,4,0)=0,OR(H3425=MappingTables!$C$34,H3425=MappingTables!$C$35)),1,VLOOKUP(CONCATENATE($D3425,$G3425),CSRFinput!$B:$E,4,0)))</f>
        <v>0.054776304963434752</v>
      </c>
      <c r="W3425" s="85">
        <f>IF(B3425="",0,+$T3425*$V3425)</f>
        <v>0.80008717003292224</v>
      </c>
      <c r="X3425" s="85">
        <f>IF(B3425="",0,IF(OR(H3425=MappingTables!$C$34,H3425=MappingTables!$C$35),W3425,0))</f>
        <v>0</v>
      </c>
    </row>
    <row r="3426" spans="2:24" s="0" customFormat="0" ht="15">
      <c r="B3426" s="69">
        <v>4470999</v>
      </c>
      <c r="C3426" s="70" t="s">
        <v>2842</v>
      </c>
      <c r="D3426" s="70" t="s">
        <v>1</v>
      </c>
      <c r="E3426" s="70" t="s">
        <v>1</v>
      </c>
      <c r="F3426" s="70"/>
      <c r="G3426" s="70" t="s">
        <v>61</v>
      </c>
      <c r="H3426" s="70" t="s">
        <v>178</v>
      </c>
      <c r="I3426" s="70" t="s">
        <v>181</v>
      </c>
      <c r="J3426" s="71">
        <f>IF(OR(I3426=0,I3426=""),"unrated",VLOOKUP(I3426,MappingTables!$B$19:$C$31,2,FALSE))</f>
        <v>3</v>
      </c>
      <c r="K3426" s="72">
        <v>1065881.6528320312</v>
      </c>
      <c r="L3426" s="70">
        <v>1.1697926320783376</v>
      </c>
      <c r="M3426" s="71">
        <f>IF(L3426&lt;1,1,L3426)</f>
        <v>1.1697926320783376</v>
      </c>
      <c r="N3426" s="70" t="s">
        <v>141</v>
      </c>
      <c r="O3426" s="71">
        <f>INDEX(DurClassMapping,MATCH(M3426,MappingTables!$D$4:$D$8,-1),1)</f>
        <v>1</v>
      </c>
      <c r="P3426" s="73">
        <f>IF(M3426=$A$1,1,$M3426-INDEX(MappingTables!$E$4:$E$8,MATCH(O3426,MappingTables!$B$4:$B$8,0)))</f>
        <v>1.1697926320783376</v>
      </c>
      <c r="Q3426" s="71">
        <f>IF(B3426="",0,INDEX(ModelParameters!$D$6:$K$10,MATCH($O3426,ModelParameters!$B$6:$B$10,0),MATCH($J3426,ModelParameters!$D$5:$K$5,0)))</f>
        <v>0.025</v>
      </c>
      <c r="R3426" s="71">
        <f>IF(B3426="",0,INDEX(ModelParameters!$D$13:$K$17,MATCH($O3426,ModelParameters!$B$13:$B$17,0),MATCH($J3426,ModelParameters!$D$5:$K$5,0)))</f>
        <v>0</v>
      </c>
      <c r="S3426" s="160">
        <f>IF(B3426="",0,MIN(IF($N3426="Other Bond TM",ModelParameters!$N$21,1)*(P3426*Q3426+R3426),1))</f>
        <v>0.02924481580195844</v>
      </c>
      <c r="T3426" s="85">
        <f>IF(B3426="",0,$S3426*$K3426)</f>
        <v>31171.512603759768</v>
      </c>
      <c r="U3426" s="85">
        <f>IF(B3426="",0,IF(OR(H3426=MappingTables!$C$34,H3426=MappingTables!$C$35),T3426,0))</f>
        <v>0</v>
      </c>
      <c r="V3426" s="85">
        <f>IF(ISNA(IF(AND(VLOOKUP(CONCATENATE($D3426,$G3426),CSRFinput!$B:$E,4,0)=0,OR(H3426=MappingTables!$C$34,H3426=MappingTables!$C$35)),1,VLOOKUP(CONCATENATE($D3426,$G3426),CSRFinput!$B:$E,4,0))),0,IF(AND(VLOOKUP(CONCATENATE($D3426,$G3426),CSRFinput!$B:$E,4,0)=0,OR(H3426=MappingTables!$C$34,H3426=MappingTables!$C$35)),1,VLOOKUP(CONCATENATE($D3426,$G3426),CSRFinput!$B:$E,4,0)))</f>
        <v>0.054776304963434752</v>
      </c>
      <c r="W3426" s="85">
        <f>IF(B3426="",0,+$T3426*$V3426)</f>
        <v>1707.4602805550954</v>
      </c>
      <c r="X3426" s="85">
        <f>IF(B3426="",0,IF(OR(H3426=MappingTables!$C$34,H3426=MappingTables!$C$35),W3426,0))</f>
        <v>0</v>
      </c>
    </row>
    <row r="3427" spans="2:24" s="0" customFormat="0" ht="15">
      <c r="B3427" s="69" t="s">
        <v>1243</v>
      </c>
      <c r="C3427" s="70" t="s">
        <v>1244</v>
      </c>
      <c r="D3427" s="70" t="s">
        <v>1</v>
      </c>
      <c r="E3427" s="70" t="s">
        <v>1</v>
      </c>
      <c r="F3427" s="70"/>
      <c r="G3427" s="70" t="s">
        <v>61</v>
      </c>
      <c r="H3427" s="70" t="s">
        <v>178</v>
      </c>
      <c r="I3427" s="70" t="s">
        <v>513</v>
      </c>
      <c r="J3427" s="71">
        <f>IF(OR(I3427=0,I3427=""),"unrated",VLOOKUP(I3427,MappingTables!$B$19:$C$31,2,FALSE))</f>
        <v>6</v>
      </c>
      <c r="K3427" s="72">
        <v>67.578958206424008</v>
      </c>
      <c r="L3427" s="70">
        <v>0.08767060571580592</v>
      </c>
      <c r="M3427" s="71">
        <f>IF(L3427&lt;1,1,L3427)</f>
        <v>1</v>
      </c>
      <c r="N3427" s="70" t="s">
        <v>141</v>
      </c>
      <c r="O3427" s="71">
        <f>INDEX(DurClassMapping,MATCH(M3427,MappingTables!$D$4:$D$8,-1),1)</f>
        <v>1</v>
      </c>
      <c r="P3427" s="73">
        <f>IF(M3427=$A$1,1,$M3427-INDEX(MappingTables!$E$4:$E$8,MATCH(O3427,MappingTables!$B$4:$B$8,0)))</f>
        <v>1</v>
      </c>
      <c r="Q3427" s="71">
        <f>IF(B3427="",0,INDEX(ModelParameters!$D$6:$K$10,MATCH($O3427,ModelParameters!$B$6:$B$10,0),MATCH($J3427,ModelParameters!$D$5:$K$5,0)))</f>
        <v>0.075</v>
      </c>
      <c r="R3427" s="71">
        <f>IF(B3427="",0,INDEX(ModelParameters!$D$13:$K$17,MATCH($O3427,ModelParameters!$B$13:$B$17,0),MATCH($J3427,ModelParameters!$D$5:$K$5,0)))</f>
        <v>0</v>
      </c>
      <c r="S3427" s="160">
        <f>IF(B3427="",0,MIN(IF($N3427="Other Bond TM",ModelParameters!$N$21,1)*(P3427*Q3427+R3427),1))</f>
        <v>0.075</v>
      </c>
      <c r="T3427" s="85">
        <f>IF(B3427="",0,$S3427*$K3427)</f>
        <v>5.0684218654818</v>
      </c>
      <c r="U3427" s="85">
        <f>IF(B3427="",0,IF(OR(H3427=MappingTables!$C$34,H3427=MappingTables!$C$35),T3427,0))</f>
        <v>0</v>
      </c>
      <c r="V3427" s="85">
        <f>IF(ISNA(IF(AND(VLOOKUP(CONCATENATE($D3427,$G3427),CSRFinput!$B:$E,4,0)=0,OR(H3427=MappingTables!$C$34,H3427=MappingTables!$C$35)),1,VLOOKUP(CONCATENATE($D3427,$G3427),CSRFinput!$B:$E,4,0))),0,IF(AND(VLOOKUP(CONCATENATE($D3427,$G3427),CSRFinput!$B:$E,4,0)=0,OR(H3427=MappingTables!$C$34,H3427=MappingTables!$C$35)),1,VLOOKUP(CONCATENATE($D3427,$G3427),CSRFinput!$B:$E,4,0)))</f>
        <v>0.054776304963434752</v>
      </c>
      <c r="W3427" s="85">
        <f>IF(B3427="",0,+$T3427*$V3427)</f>
        <v>0.27762942178697192</v>
      </c>
      <c r="X3427" s="85">
        <f>IF(B3427="",0,IF(OR(H3427=MappingTables!$C$34,H3427=MappingTables!$C$35),W3427,0))</f>
        <v>0</v>
      </c>
    </row>
    <row r="3428" spans="2:24" s="0" customFormat="0" ht="15">
      <c r="B3428" s="69">
        <v>22028344</v>
      </c>
      <c r="C3428" s="70" t="s">
        <v>2646</v>
      </c>
      <c r="D3428" s="70" t="s">
        <v>1</v>
      </c>
      <c r="E3428" s="70" t="s">
        <v>1</v>
      </c>
      <c r="F3428" s="70"/>
      <c r="G3428" s="70" t="s">
        <v>61</v>
      </c>
      <c r="H3428" s="70" t="s">
        <v>178</v>
      </c>
      <c r="I3428" s="70" t="s">
        <v>179</v>
      </c>
      <c r="J3428" s="71">
        <f>IF(OR(I3428=0,I3428=""),"unrated",VLOOKUP(I3428,MappingTables!$B$19:$C$31,2,FALSE))</f>
        <v>4</v>
      </c>
      <c r="K3428" s="72">
        <v>8307.3490371415648</v>
      </c>
      <c r="L3428" s="70">
        <v>3.76647672621602</v>
      </c>
      <c r="M3428" s="71">
        <f>IF(L3428&lt;1,1,L3428)</f>
        <v>3.76647672621602</v>
      </c>
      <c r="N3428" s="70" t="s">
        <v>141</v>
      </c>
      <c r="O3428" s="71">
        <f>INDEX(DurClassMapping,MATCH(M3428,MappingTables!$D$4:$D$8,-1),1)</f>
        <v>1</v>
      </c>
      <c r="P3428" s="73">
        <f>IF(M3428=$A$1,1,$M3428-INDEX(MappingTables!$E$4:$E$8,MATCH(O3428,MappingTables!$B$4:$B$8,0)))</f>
        <v>3.76647672621602</v>
      </c>
      <c r="Q3428" s="71">
        <f>IF(B3428="",0,INDEX(ModelParameters!$D$6:$K$10,MATCH($O3428,ModelParameters!$B$6:$B$10,0),MATCH($J3428,ModelParameters!$D$5:$K$5,0)))</f>
        <v>0.045</v>
      </c>
      <c r="R3428" s="71">
        <f>IF(B3428="",0,INDEX(ModelParameters!$D$13:$K$17,MATCH($O3428,ModelParameters!$B$13:$B$17,0),MATCH($J3428,ModelParameters!$D$5:$K$5,0)))</f>
        <v>0</v>
      </c>
      <c r="S3428" s="160">
        <f>IF(B3428="",0,MIN(IF($N3428="Other Bond TM",ModelParameters!$N$21,1)*(P3428*Q3428+R3428),1))</f>
        <v>0.16949145267972088</v>
      </c>
      <c r="T3428" s="85">
        <f>IF(B3428="",0,$S3428*$K3428)</f>
        <v>1408.0246562226044</v>
      </c>
      <c r="U3428" s="85">
        <f>IF(B3428="",0,IF(OR(H3428=MappingTables!$C$34,H3428=MappingTables!$C$35),T3428,0))</f>
        <v>0</v>
      </c>
      <c r="V3428" s="85">
        <f>IF(ISNA(IF(AND(VLOOKUP(CONCATENATE($D3428,$G3428),CSRFinput!$B:$E,4,0)=0,OR(H3428=MappingTables!$C$34,H3428=MappingTables!$C$35)),1,VLOOKUP(CONCATENATE($D3428,$G3428),CSRFinput!$B:$E,4,0))),0,IF(AND(VLOOKUP(CONCATENATE($D3428,$G3428),CSRFinput!$B:$E,4,0)=0,OR(H3428=MappingTables!$C$34,H3428=MappingTables!$C$35)),1,VLOOKUP(CONCATENATE($D3428,$G3428),CSRFinput!$B:$E,4,0)))</f>
        <v>0.054776304963434752</v>
      </c>
      <c r="W3428" s="85">
        <f>IF(B3428="",0,+$T3428*$V3428)</f>
        <v>77.126387965284752</v>
      </c>
      <c r="X3428" s="85">
        <f>IF(B3428="",0,IF(OR(H3428=MappingTables!$C$34,H3428=MappingTables!$C$35),W3428,0))</f>
        <v>0</v>
      </c>
    </row>
    <row r="3429" spans="2:24" s="0" customFormat="0" ht="15">
      <c r="B3429" s="69" t="s">
        <v>2069</v>
      </c>
      <c r="C3429" s="70" t="s">
        <v>2070</v>
      </c>
      <c r="D3429" s="70" t="s">
        <v>1</v>
      </c>
      <c r="E3429" s="70" t="s">
        <v>1</v>
      </c>
      <c r="F3429" s="70"/>
      <c r="G3429" s="70" t="s">
        <v>61</v>
      </c>
      <c r="H3429" s="70" t="s">
        <v>178</v>
      </c>
      <c r="I3429" s="70" t="s">
        <v>181</v>
      </c>
      <c r="J3429" s="71">
        <f>IF(OR(I3429=0,I3429=""),"unrated",VLOOKUP(I3429,MappingTables!$B$19:$C$31,2,FALSE))</f>
        <v>3</v>
      </c>
      <c r="K3429" s="72">
        <v>6150.8713747378568</v>
      </c>
      <c r="L3429" s="70">
        <v>1.8947223493156052</v>
      </c>
      <c r="M3429" s="71">
        <f>IF(L3429&lt;1,1,L3429)</f>
        <v>1.8947223493156052</v>
      </c>
      <c r="N3429" s="70" t="s">
        <v>141</v>
      </c>
      <c r="O3429" s="71">
        <f>INDEX(DurClassMapping,MATCH(M3429,MappingTables!$D$4:$D$8,-1),1)</f>
        <v>1</v>
      </c>
      <c r="P3429" s="73">
        <f>IF(M3429=$A$1,1,$M3429-INDEX(MappingTables!$E$4:$E$8,MATCH(O3429,MappingTables!$B$4:$B$8,0)))</f>
        <v>1.8947223493156052</v>
      </c>
      <c r="Q3429" s="71">
        <f>IF(B3429="",0,INDEX(ModelParameters!$D$6:$K$10,MATCH($O3429,ModelParameters!$B$6:$B$10,0),MATCH($J3429,ModelParameters!$D$5:$K$5,0)))</f>
        <v>0.025</v>
      </c>
      <c r="R3429" s="71">
        <f>IF(B3429="",0,INDEX(ModelParameters!$D$13:$K$17,MATCH($O3429,ModelParameters!$B$13:$B$17,0),MATCH($J3429,ModelParameters!$D$5:$K$5,0)))</f>
        <v>0</v>
      </c>
      <c r="S3429" s="160">
        <f>IF(B3429="",0,MIN(IF($N3429="Other Bond TM",ModelParameters!$N$21,1)*(P3429*Q3429+R3429),1))</f>
        <v>0.047368058732890128</v>
      </c>
      <c r="T3429" s="85">
        <f>IF(B3429="",0,$S3429*$K3429)</f>
        <v>291.35483653703544</v>
      </c>
      <c r="U3429" s="85">
        <f>IF(B3429="",0,IF(OR(H3429=MappingTables!$C$34,H3429=MappingTables!$C$35),T3429,0))</f>
        <v>0</v>
      </c>
      <c r="V3429" s="85">
        <f>IF(ISNA(IF(AND(VLOOKUP(CONCATENATE($D3429,$G3429),CSRFinput!$B:$E,4,0)=0,OR(H3429=MappingTables!$C$34,H3429=MappingTables!$C$35)),1,VLOOKUP(CONCATENATE($D3429,$G3429),CSRFinput!$B:$E,4,0))),0,IF(AND(VLOOKUP(CONCATENATE($D3429,$G3429),CSRFinput!$B:$E,4,0)=0,OR(H3429=MappingTables!$C$34,H3429=MappingTables!$C$35)),1,VLOOKUP(CONCATENATE($D3429,$G3429),CSRFinput!$B:$E,4,0)))</f>
        <v>0.054776304963434752</v>
      </c>
      <c r="W3429" s="85">
        <f>IF(B3429="",0,+$T3429*$V3429)</f>
        <v>15.959341378724336</v>
      </c>
      <c r="X3429" s="85">
        <f>IF(B3429="",0,IF(OR(H3429=MappingTables!$C$34,H3429=MappingTables!$C$35),W3429,0))</f>
        <v>0</v>
      </c>
    </row>
    <row r="3430" spans="2:24" s="0" customFormat="0" ht="15">
      <c r="B3430" s="69" t="s">
        <v>2843</v>
      </c>
      <c r="C3430" s="70" t="s">
        <v>2844</v>
      </c>
      <c r="D3430" s="70" t="s">
        <v>1</v>
      </c>
      <c r="E3430" s="70" t="s">
        <v>1</v>
      </c>
      <c r="F3430" s="70"/>
      <c r="G3430" s="70" t="s">
        <v>61</v>
      </c>
      <c r="H3430" s="70" t="s">
        <v>178</v>
      </c>
      <c r="I3430" s="70" t="s">
        <v>184</v>
      </c>
      <c r="J3430" s="71">
        <f>IF(OR(I3430=0,I3430=""),"unrated",VLOOKUP(I3430,MappingTables!$B$19:$C$31,2,FALSE))</f>
        <v>5</v>
      </c>
      <c r="K3430" s="72">
        <v>284.95894606586564</v>
      </c>
      <c r="L3430" s="70">
        <v>5.103373903196128</v>
      </c>
      <c r="M3430" s="71">
        <f>IF(L3430&lt;1,1,L3430)</f>
        <v>5.103373903196128</v>
      </c>
      <c r="N3430" s="70" t="s">
        <v>141</v>
      </c>
      <c r="O3430" s="71">
        <f>INDEX(DurClassMapping,MATCH(M3430,MappingTables!$D$4:$D$8,-1),1)</f>
        <v>2</v>
      </c>
      <c r="P3430" s="73">
        <f>IF(M3430=$A$1,1,$M3430-INDEX(MappingTables!$E$4:$E$8,MATCH(O3430,MappingTables!$B$4:$B$8,0)))</f>
        <v>0.10337390319612804</v>
      </c>
      <c r="Q3430" s="71">
        <f>IF(B3430="",0,INDEX(ModelParameters!$D$6:$K$10,MATCH($O3430,ModelParameters!$B$6:$B$10,0),MATCH($J3430,ModelParameters!$D$5:$K$5,0)))</f>
        <v>0.042</v>
      </c>
      <c r="R3430" s="71">
        <f>IF(B3430="",0,INDEX(ModelParameters!$D$13:$K$17,MATCH($O3430,ModelParameters!$B$13:$B$17,0),MATCH($J3430,ModelParameters!$D$5:$K$5,0)))</f>
        <v>0.375</v>
      </c>
      <c r="S3430" s="160">
        <f>IF(B3430="",0,MIN(IF($N3430="Other Bond TM",ModelParameters!$N$21,1)*(P3430*Q3430+R3430),1))</f>
        <v>0.37934170393423736</v>
      </c>
      <c r="T3430" s="85">
        <f>IF(B3430="",0,$S3430*$K3430)</f>
        <v>108.09681215192992</v>
      </c>
      <c r="U3430" s="85">
        <f>IF(B3430="",0,IF(OR(H3430=MappingTables!$C$34,H3430=MappingTables!$C$35),T3430,0))</f>
        <v>0</v>
      </c>
      <c r="V3430" s="85">
        <f>IF(ISNA(IF(AND(VLOOKUP(CONCATENATE($D3430,$G3430),CSRFinput!$B:$E,4,0)=0,OR(H3430=MappingTables!$C$34,H3430=MappingTables!$C$35)),1,VLOOKUP(CONCATENATE($D3430,$G3430),CSRFinput!$B:$E,4,0))),0,IF(AND(VLOOKUP(CONCATENATE($D3430,$G3430),CSRFinput!$B:$E,4,0)=0,OR(H3430=MappingTables!$C$34,H3430=MappingTables!$C$35)),1,VLOOKUP(CONCATENATE($D3430,$G3430),CSRFinput!$B:$E,4,0)))</f>
        <v>0.054776304963434752</v>
      </c>
      <c r="W3430" s="85">
        <f>IF(B3430="",0,+$T3430*$V3430)</f>
        <v>5.9211439480092336</v>
      </c>
      <c r="X3430" s="85">
        <f>IF(B3430="",0,IF(OR(H3430=MappingTables!$C$34,H3430=MappingTables!$C$35),W3430,0))</f>
        <v>0</v>
      </c>
    </row>
    <row r="3431" spans="2:24" s="0" customFormat="0" ht="15">
      <c r="B3431" s="69">
        <v>19486469</v>
      </c>
      <c r="C3431" s="70" t="s">
        <v>1591</v>
      </c>
      <c r="D3431" s="70" t="s">
        <v>1</v>
      </c>
      <c r="E3431" s="70" t="s">
        <v>1</v>
      </c>
      <c r="F3431" s="70"/>
      <c r="G3431" s="70" t="s">
        <v>61</v>
      </c>
      <c r="H3431" s="70" t="s">
        <v>178</v>
      </c>
      <c r="I3431" s="70" t="s">
        <v>188</v>
      </c>
      <c r="J3431" s="71">
        <f>IF(OR(I3431=0,I3431=""),"unrated",VLOOKUP(I3431,MappingTables!$B$19:$C$31,2,FALSE))</f>
        <v>2</v>
      </c>
      <c r="K3431" s="72">
        <v>11482.591111722388</v>
      </c>
      <c r="L3431" s="70">
        <v>3.1879577689984112</v>
      </c>
      <c r="M3431" s="71">
        <f>IF(L3431&lt;1,1,L3431)</f>
        <v>3.1879577689984112</v>
      </c>
      <c r="N3431" s="70" t="s">
        <v>141</v>
      </c>
      <c r="O3431" s="71">
        <f>INDEX(DurClassMapping,MATCH(M3431,MappingTables!$D$4:$D$8,-1),1)</f>
        <v>1</v>
      </c>
      <c r="P3431" s="73">
        <f>IF(M3431=$A$1,1,$M3431-INDEX(MappingTables!$E$4:$E$8,MATCH(O3431,MappingTables!$B$4:$B$8,0)))</f>
        <v>3.1879577689984112</v>
      </c>
      <c r="Q3431" s="71">
        <f>IF(B3431="",0,INDEX(ModelParameters!$D$6:$K$10,MATCH($O3431,ModelParameters!$B$6:$B$10,0),MATCH($J3431,ModelParameters!$D$5:$K$5,0)))</f>
        <v>0.013999999999999998</v>
      </c>
      <c r="R3431" s="71">
        <f>IF(B3431="",0,INDEX(ModelParameters!$D$13:$K$17,MATCH($O3431,ModelParameters!$B$13:$B$17,0),MATCH($J3431,ModelParameters!$D$5:$K$5,0)))</f>
        <v>0</v>
      </c>
      <c r="S3431" s="160">
        <f>IF(B3431="",0,MIN(IF($N3431="Other Bond TM",ModelParameters!$N$21,1)*(P3431*Q3431+R3431),1))</f>
        <v>0.044631408765977752</v>
      </c>
      <c r="T3431" s="85">
        <f>IF(B3431="",0,$S3431*$K3431)</f>
        <v>512.4842175998648</v>
      </c>
      <c r="U3431" s="85">
        <f>IF(B3431="",0,IF(OR(H3431=MappingTables!$C$34,H3431=MappingTables!$C$35),T3431,0))</f>
        <v>0</v>
      </c>
      <c r="V3431" s="85">
        <f>IF(ISNA(IF(AND(VLOOKUP(CONCATENATE($D3431,$G3431),CSRFinput!$B:$E,4,0)=0,OR(H3431=MappingTables!$C$34,H3431=MappingTables!$C$35)),1,VLOOKUP(CONCATENATE($D3431,$G3431),CSRFinput!$B:$E,4,0))),0,IF(AND(VLOOKUP(CONCATENATE($D3431,$G3431),CSRFinput!$B:$E,4,0)=0,OR(H3431=MappingTables!$C$34,H3431=MappingTables!$C$35)),1,VLOOKUP(CONCATENATE($D3431,$G3431),CSRFinput!$B:$E,4,0)))</f>
        <v>0.054776304963434752</v>
      </c>
      <c r="W3431" s="85">
        <f>IF(B3431="",0,+$T3431*$V3431)</f>
        <v>28.071991792197452</v>
      </c>
      <c r="X3431" s="85">
        <f>IF(B3431="",0,IF(OR(H3431=MappingTables!$C$34,H3431=MappingTables!$C$35),W3431,0))</f>
        <v>0</v>
      </c>
    </row>
    <row r="3432" spans="2:24" s="0" customFormat="0" ht="15">
      <c r="B3432" s="69">
        <v>11386216</v>
      </c>
      <c r="C3432" s="70" t="s">
        <v>2573</v>
      </c>
      <c r="D3432" s="70" t="s">
        <v>1</v>
      </c>
      <c r="E3432" s="70" t="s">
        <v>1</v>
      </c>
      <c r="F3432" s="70"/>
      <c r="G3432" s="70" t="s">
        <v>61</v>
      </c>
      <c r="H3432" s="70" t="s">
        <v>178</v>
      </c>
      <c r="I3432" s="70" t="s">
        <v>188</v>
      </c>
      <c r="J3432" s="71">
        <f>IF(OR(I3432=0,I3432=""),"unrated",VLOOKUP(I3432,MappingTables!$B$19:$C$31,2,FALSE))</f>
        <v>2</v>
      </c>
      <c r="K3432" s="72">
        <v>191028.94967521616</v>
      </c>
      <c r="L3432" s="70">
        <v>15.459229418541942</v>
      </c>
      <c r="M3432" s="71">
        <f>IF(L3432&lt;1,1,L3432)</f>
        <v>15.459229418541942</v>
      </c>
      <c r="N3432" s="70" t="s">
        <v>141</v>
      </c>
      <c r="O3432" s="71">
        <f>INDEX(DurClassMapping,MATCH(M3432,MappingTables!$D$4:$D$8,-1),1)</f>
        <v>4</v>
      </c>
      <c r="P3432" s="73">
        <f>IF(M3432=$A$1,1,$M3432-INDEX(MappingTables!$E$4:$E$8,MATCH(O3432,MappingTables!$B$4:$B$8,0)))</f>
        <v>0.4592294185419412</v>
      </c>
      <c r="Q3432" s="71">
        <f>IF(B3432="",0,INDEX(ModelParameters!$D$6:$K$10,MATCH($O3432,ModelParameters!$B$6:$B$10,0),MATCH($J3432,ModelParameters!$D$5:$K$5,0)))</f>
        <v>0.005</v>
      </c>
      <c r="R3432" s="71">
        <f>IF(B3432="",0,INDEX(ModelParameters!$D$13:$K$17,MATCH($O3432,ModelParameters!$B$13:$B$17,0),MATCH($J3432,ModelParameters!$D$5:$K$5,0)))</f>
        <v>0.13</v>
      </c>
      <c r="S3432" s="160">
        <f>IF(B3432="",0,MIN(IF($N3432="Other Bond TM",ModelParameters!$N$21,1)*(P3432*Q3432+R3432),1))</f>
        <v>0.1322961470927097</v>
      </c>
      <c r="T3432" s="85">
        <f>IF(B3432="",0,$S3432*$K3432)</f>
        <v>25272.39402519824</v>
      </c>
      <c r="U3432" s="85">
        <f>IF(B3432="",0,IF(OR(H3432=MappingTables!$C$34,H3432=MappingTables!$C$35),T3432,0))</f>
        <v>0</v>
      </c>
      <c r="V3432" s="85">
        <f>IF(ISNA(IF(AND(VLOOKUP(CONCATENATE($D3432,$G3432),CSRFinput!$B:$E,4,0)=0,OR(H3432=MappingTables!$C$34,H3432=MappingTables!$C$35)),1,VLOOKUP(CONCATENATE($D3432,$G3432),CSRFinput!$B:$E,4,0))),0,IF(AND(VLOOKUP(CONCATENATE($D3432,$G3432),CSRFinput!$B:$E,4,0)=0,OR(H3432=MappingTables!$C$34,H3432=MappingTables!$C$35)),1,VLOOKUP(CONCATENATE($D3432,$G3432),CSRFinput!$B:$E,4,0)))</f>
        <v>0.054776304963434752</v>
      </c>
      <c r="W3432" s="85">
        <f>IF(B3432="",0,+$T3432*$V3432)</f>
        <v>1384.3283622803452</v>
      </c>
      <c r="X3432" s="85">
        <f>IF(B3432="",0,IF(OR(H3432=MappingTables!$C$34,H3432=MappingTables!$C$35),W3432,0))</f>
        <v>0</v>
      </c>
    </row>
    <row r="3433" spans="2:24" s="0" customFormat="0" ht="15">
      <c r="B3433" s="69">
        <v>21990809</v>
      </c>
      <c r="C3433" s="70" t="s">
        <v>1223</v>
      </c>
      <c r="D3433" s="70" t="s">
        <v>1</v>
      </c>
      <c r="E3433" s="70" t="s">
        <v>1</v>
      </c>
      <c r="F3433" s="70"/>
      <c r="G3433" s="70" t="s">
        <v>61</v>
      </c>
      <c r="H3433" s="70" t="s">
        <v>178</v>
      </c>
      <c r="I3433" s="70" t="s">
        <v>216</v>
      </c>
      <c r="J3433" s="71">
        <f>IF(OR(I3433=0,I3433=""),"unrated",VLOOKUP(I3433,MappingTables!$B$19:$C$31,2,FALSE))</f>
        <v>0</v>
      </c>
      <c r="K3433" s="72">
        <v>1450.2556387955416</v>
      </c>
      <c r="L3433" s="70">
        <v>0.054792815946056424</v>
      </c>
      <c r="M3433" s="71">
        <f>IF(L3433&lt;1,1,L3433)</f>
        <v>1</v>
      </c>
      <c r="N3433" s="70" t="s">
        <v>141</v>
      </c>
      <c r="O3433" s="71">
        <f>INDEX(DurClassMapping,MATCH(M3433,MappingTables!$D$4:$D$8,-1),1)</f>
        <v>1</v>
      </c>
      <c r="P3433" s="73">
        <f>IF(M3433=$A$1,1,$M3433-INDEX(MappingTables!$E$4:$E$8,MATCH(O3433,MappingTables!$B$4:$B$8,0)))</f>
        <v>1</v>
      </c>
      <c r="Q3433" s="71">
        <f>IF(B3433="",0,INDEX(ModelParameters!$D$6:$K$10,MATCH($O3433,ModelParameters!$B$6:$B$10,0),MATCH($J3433,ModelParameters!$D$5:$K$5,0)))</f>
        <v>0.0090000000000000016</v>
      </c>
      <c r="R3433" s="71">
        <f>IF(B3433="",0,INDEX(ModelParameters!$D$13:$K$17,MATCH($O3433,ModelParameters!$B$13:$B$17,0),MATCH($J3433,ModelParameters!$D$5:$K$5,0)))</f>
        <v>0</v>
      </c>
      <c r="S3433" s="160">
        <f>IF(B3433="",0,MIN(IF($N3433="Other Bond TM",ModelParameters!$N$21,1)*(P3433*Q3433+R3433),1))</f>
        <v>0.0090000000000000016</v>
      </c>
      <c r="T3433" s="85">
        <f>IF(B3433="",0,$S3433*$K3433)</f>
        <v>13.052300749159876</v>
      </c>
      <c r="U3433" s="85">
        <f>IF(B3433="",0,IF(OR(H3433=MappingTables!$C$34,H3433=MappingTables!$C$35),T3433,0))</f>
        <v>0</v>
      </c>
      <c r="V3433" s="85">
        <f>IF(ISNA(IF(AND(VLOOKUP(CONCATENATE($D3433,$G3433),CSRFinput!$B:$E,4,0)=0,OR(H3433=MappingTables!$C$34,H3433=MappingTables!$C$35)),1,VLOOKUP(CONCATENATE($D3433,$G3433),CSRFinput!$B:$E,4,0))),0,IF(AND(VLOOKUP(CONCATENATE($D3433,$G3433),CSRFinput!$B:$E,4,0)=0,OR(H3433=MappingTables!$C$34,H3433=MappingTables!$C$35)),1,VLOOKUP(CONCATENATE($D3433,$G3433),CSRFinput!$B:$E,4,0)))</f>
        <v>0.054776304963434752</v>
      </c>
      <c r="W3433" s="85">
        <f>IF(B3433="",0,+$T3433*$V3433)</f>
        <v>0.7149568063104492</v>
      </c>
      <c r="X3433" s="85">
        <f>IF(B3433="",0,IF(OR(H3433=MappingTables!$C$34,H3433=MappingTables!$C$35),W3433,0))</f>
        <v>0</v>
      </c>
    </row>
    <row r="3434" spans="2:24" s="0" customFormat="0" ht="15">
      <c r="B3434" s="69">
        <v>21550423</v>
      </c>
      <c r="C3434" s="70" t="s">
        <v>1152</v>
      </c>
      <c r="D3434" s="70" t="s">
        <v>1</v>
      </c>
      <c r="E3434" s="70" t="s">
        <v>1</v>
      </c>
      <c r="F3434" s="70"/>
      <c r="G3434" s="70" t="s">
        <v>61</v>
      </c>
      <c r="H3434" s="70" t="s">
        <v>178</v>
      </c>
      <c r="I3434" s="70" t="s">
        <v>188</v>
      </c>
      <c r="J3434" s="71">
        <f>IF(OR(I3434=0,I3434=""),"unrated",VLOOKUP(I3434,MappingTables!$B$19:$C$31,2,FALSE))</f>
        <v>2</v>
      </c>
      <c r="K3434" s="72">
        <v>23.58052746002664</v>
      </c>
      <c r="L3434" s="70">
        <v>0.73144164058334944</v>
      </c>
      <c r="M3434" s="71">
        <f>IF(L3434&lt;1,1,L3434)</f>
        <v>1</v>
      </c>
      <c r="N3434" s="70" t="s">
        <v>141</v>
      </c>
      <c r="O3434" s="71">
        <f>INDEX(DurClassMapping,MATCH(M3434,MappingTables!$D$4:$D$8,-1),1)</f>
        <v>1</v>
      </c>
      <c r="P3434" s="73">
        <f>IF(M3434=$A$1,1,$M3434-INDEX(MappingTables!$E$4:$E$8,MATCH(O3434,MappingTables!$B$4:$B$8,0)))</f>
        <v>1</v>
      </c>
      <c r="Q3434" s="71">
        <f>IF(B3434="",0,INDEX(ModelParameters!$D$6:$K$10,MATCH($O3434,ModelParameters!$B$6:$B$10,0),MATCH($J3434,ModelParameters!$D$5:$K$5,0)))</f>
        <v>0.013999999999999998</v>
      </c>
      <c r="R3434" s="71">
        <f>IF(B3434="",0,INDEX(ModelParameters!$D$13:$K$17,MATCH($O3434,ModelParameters!$B$13:$B$17,0),MATCH($J3434,ModelParameters!$D$5:$K$5,0)))</f>
        <v>0</v>
      </c>
      <c r="S3434" s="160">
        <f>IF(B3434="",0,MIN(IF($N3434="Other Bond TM",ModelParameters!$N$21,1)*(P3434*Q3434+R3434),1))</f>
        <v>0.013999999999999998</v>
      </c>
      <c r="T3434" s="85">
        <f>IF(B3434="",0,$S3434*$K3434)</f>
        <v>0.33012738444037292</v>
      </c>
      <c r="U3434" s="85">
        <f>IF(B3434="",0,IF(OR(H3434=MappingTables!$C$34,H3434=MappingTables!$C$35),T3434,0))</f>
        <v>0</v>
      </c>
      <c r="V3434" s="85">
        <f>IF(ISNA(IF(AND(VLOOKUP(CONCATENATE($D3434,$G3434),CSRFinput!$B:$E,4,0)=0,OR(H3434=MappingTables!$C$34,H3434=MappingTables!$C$35)),1,VLOOKUP(CONCATENATE($D3434,$G3434),CSRFinput!$B:$E,4,0))),0,IF(AND(VLOOKUP(CONCATENATE($D3434,$G3434),CSRFinput!$B:$E,4,0)=0,OR(H3434=MappingTables!$C$34,H3434=MappingTables!$C$35)),1,VLOOKUP(CONCATENATE($D3434,$G3434),CSRFinput!$B:$E,4,0)))</f>
        <v>0.054776304963434752</v>
      </c>
      <c r="W3434" s="85">
        <f>IF(B3434="",0,+$T3434*$V3434)</f>
        <v>0.018083158286886932</v>
      </c>
      <c r="X3434" s="85">
        <f>IF(B3434="",0,IF(OR(H3434=MappingTables!$C$34,H3434=MappingTables!$C$35),W3434,0))</f>
        <v>0</v>
      </c>
    </row>
    <row r="3435" spans="2:24" s="0" customFormat="0" ht="15">
      <c r="B3435" s="69">
        <v>22266463</v>
      </c>
      <c r="C3435" s="70" t="s">
        <v>2753</v>
      </c>
      <c r="D3435" s="70" t="s">
        <v>1</v>
      </c>
      <c r="E3435" s="70" t="s">
        <v>1</v>
      </c>
      <c r="F3435" s="70"/>
      <c r="G3435" s="70" t="s">
        <v>61</v>
      </c>
      <c r="H3435" s="70" t="s">
        <v>178</v>
      </c>
      <c r="I3435" s="70" t="s">
        <v>181</v>
      </c>
      <c r="J3435" s="71">
        <f>IF(OR(I3435=0,I3435=""),"unrated",VLOOKUP(I3435,MappingTables!$B$19:$C$31,2,FALSE))</f>
        <v>3</v>
      </c>
      <c r="K3435" s="72">
        <v>263.7286675340224</v>
      </c>
      <c r="L3435" s="70">
        <v>8.311153582746264</v>
      </c>
      <c r="M3435" s="71">
        <f>IF(L3435&lt;1,1,L3435)</f>
        <v>8.311153582746264</v>
      </c>
      <c r="N3435" s="70" t="s">
        <v>141</v>
      </c>
      <c r="O3435" s="71">
        <f>INDEX(DurClassMapping,MATCH(M3435,MappingTables!$D$4:$D$8,-1),1)</f>
        <v>2</v>
      </c>
      <c r="P3435" s="73">
        <f>IF(M3435=$A$1,1,$M3435-INDEX(MappingTables!$E$4:$E$8,MATCH(O3435,MappingTables!$B$4:$B$8,0)))</f>
        <v>3.3111535827462644</v>
      </c>
      <c r="Q3435" s="71">
        <f>IF(B3435="",0,INDEX(ModelParameters!$D$6:$K$10,MATCH($O3435,ModelParameters!$B$6:$B$10,0),MATCH($J3435,ModelParameters!$D$5:$K$5,0)))</f>
        <v>0.015</v>
      </c>
      <c r="R3435" s="71">
        <f>IF(B3435="",0,INDEX(ModelParameters!$D$13:$K$17,MATCH($O3435,ModelParameters!$B$13:$B$17,0),MATCH($J3435,ModelParameters!$D$5:$K$5,0)))</f>
        <v>0.125</v>
      </c>
      <c r="S3435" s="160">
        <f>IF(B3435="",0,MIN(IF($N3435="Other Bond TM",ModelParameters!$N$21,1)*(P3435*Q3435+R3435),1))</f>
        <v>0.17466730374119396</v>
      </c>
      <c r="T3435" s="85">
        <f>IF(B3435="",0,$S3435*$K3435)</f>
        <v>46.064775277425456</v>
      </c>
      <c r="U3435" s="85">
        <f>IF(B3435="",0,IF(OR(H3435=MappingTables!$C$34,H3435=MappingTables!$C$35),T3435,0))</f>
        <v>0</v>
      </c>
      <c r="V3435" s="85">
        <f>IF(ISNA(IF(AND(VLOOKUP(CONCATENATE($D3435,$G3435),CSRFinput!$B:$E,4,0)=0,OR(H3435=MappingTables!$C$34,H3435=MappingTables!$C$35)),1,VLOOKUP(CONCATENATE($D3435,$G3435),CSRFinput!$B:$E,4,0))),0,IF(AND(VLOOKUP(CONCATENATE($D3435,$G3435),CSRFinput!$B:$E,4,0)=0,OR(H3435=MappingTables!$C$34,H3435=MappingTables!$C$35)),1,VLOOKUP(CONCATENATE($D3435,$G3435),CSRFinput!$B:$E,4,0)))</f>
        <v>0.054776304963434752</v>
      </c>
      <c r="W3435" s="85">
        <f>IF(B3435="",0,+$T3435*$V3435)</f>
        <v>2.5232581786683464</v>
      </c>
      <c r="X3435" s="85">
        <f>IF(B3435="",0,IF(OR(H3435=MappingTables!$C$34,H3435=MappingTables!$C$35),W3435,0))</f>
        <v>0</v>
      </c>
    </row>
    <row r="3436" spans="2:24" s="0" customFormat="0" ht="15">
      <c r="B3436" s="69" t="s">
        <v>2845</v>
      </c>
      <c r="C3436" s="70" t="s">
        <v>2846</v>
      </c>
      <c r="D3436" s="70" t="s">
        <v>1</v>
      </c>
      <c r="E3436" s="70" t="s">
        <v>1</v>
      </c>
      <c r="F3436" s="70"/>
      <c r="G3436" s="70" t="s">
        <v>61</v>
      </c>
      <c r="H3436" s="70" t="s">
        <v>178</v>
      </c>
      <c r="I3436" s="70" t="s">
        <v>181</v>
      </c>
      <c r="J3436" s="71">
        <f>IF(OR(I3436=0,I3436=""),"unrated",VLOOKUP(I3436,MappingTables!$B$19:$C$31,2,FALSE))</f>
        <v>3</v>
      </c>
      <c r="K3436" s="72">
        <v>145.31792440719412</v>
      </c>
      <c r="L3436" s="70">
        <v>5.5782289116665824</v>
      </c>
      <c r="M3436" s="71">
        <f>IF(L3436&lt;1,1,L3436)</f>
        <v>5.5782289116665824</v>
      </c>
      <c r="N3436" s="70" t="s">
        <v>141</v>
      </c>
      <c r="O3436" s="71">
        <f>INDEX(DurClassMapping,MATCH(M3436,MappingTables!$D$4:$D$8,-1),1)</f>
        <v>2</v>
      </c>
      <c r="P3436" s="73">
        <f>IF(M3436=$A$1,1,$M3436-INDEX(MappingTables!$E$4:$E$8,MATCH(O3436,MappingTables!$B$4:$B$8,0)))</f>
        <v>0.5782289116665824</v>
      </c>
      <c r="Q3436" s="71">
        <f>IF(B3436="",0,INDEX(ModelParameters!$D$6:$K$10,MATCH($O3436,ModelParameters!$B$6:$B$10,0),MATCH($J3436,ModelParameters!$D$5:$K$5,0)))</f>
        <v>0.015</v>
      </c>
      <c r="R3436" s="71">
        <f>IF(B3436="",0,INDEX(ModelParameters!$D$13:$K$17,MATCH($O3436,ModelParameters!$B$13:$B$17,0),MATCH($J3436,ModelParameters!$D$5:$K$5,0)))</f>
        <v>0.125</v>
      </c>
      <c r="S3436" s="160">
        <f>IF(B3436="",0,MIN(IF($N3436="Other Bond TM",ModelParameters!$N$21,1)*(P3436*Q3436+R3436),1))</f>
        <v>0.13367343367499874</v>
      </c>
      <c r="T3436" s="85">
        <f>IF(B3436="",0,$S3436*$K3436)</f>
        <v>19.42514593003354</v>
      </c>
      <c r="U3436" s="85">
        <f>IF(B3436="",0,IF(OR(H3436=MappingTables!$C$34,H3436=MappingTables!$C$35),T3436,0))</f>
        <v>0</v>
      </c>
      <c r="V3436" s="85">
        <f>IF(ISNA(IF(AND(VLOOKUP(CONCATENATE($D3436,$G3436),CSRFinput!$B:$E,4,0)=0,OR(H3436=MappingTables!$C$34,H3436=MappingTables!$C$35)),1,VLOOKUP(CONCATENATE($D3436,$G3436),CSRFinput!$B:$E,4,0))),0,IF(AND(VLOOKUP(CONCATENATE($D3436,$G3436),CSRFinput!$B:$E,4,0)=0,OR(H3436=MappingTables!$C$34,H3436=MappingTables!$C$35)),1,VLOOKUP(CONCATENATE($D3436,$G3436),CSRFinput!$B:$E,4,0)))</f>
        <v>0.054776304963434752</v>
      </c>
      <c r="W3436" s="85">
        <f>IF(B3436="",0,+$T3436*$V3436)</f>
        <v>1.0640377174227406</v>
      </c>
      <c r="X3436" s="85">
        <f>IF(B3436="",0,IF(OR(H3436=MappingTables!$C$34,H3436=MappingTables!$C$35),W3436,0))</f>
        <v>0</v>
      </c>
    </row>
    <row r="3437" spans="2:24" s="0" customFormat="0" ht="15">
      <c r="B3437" s="69">
        <v>21301521</v>
      </c>
      <c r="C3437" s="70" t="s">
        <v>2847</v>
      </c>
      <c r="D3437" s="70" t="s">
        <v>1</v>
      </c>
      <c r="E3437" s="70" t="s">
        <v>1</v>
      </c>
      <c r="F3437" s="70"/>
      <c r="G3437" s="70" t="s">
        <v>61</v>
      </c>
      <c r="H3437" s="70" t="s">
        <v>178</v>
      </c>
      <c r="I3437" s="70" t="s">
        <v>216</v>
      </c>
      <c r="J3437" s="71">
        <f>IF(OR(I3437=0,I3437=""),"unrated",VLOOKUP(I3437,MappingTables!$B$19:$C$31,2,FALSE))</f>
        <v>0</v>
      </c>
      <c r="K3437" s="72">
        <v>441.05070723231856</v>
      </c>
      <c r="L3437" s="70">
        <v>0.59673006172387376</v>
      </c>
      <c r="M3437" s="71">
        <f>IF(L3437&lt;1,1,L3437)</f>
        <v>1</v>
      </c>
      <c r="N3437" s="70" t="s">
        <v>141</v>
      </c>
      <c r="O3437" s="71">
        <f>INDEX(DurClassMapping,MATCH(M3437,MappingTables!$D$4:$D$8,-1),1)</f>
        <v>1</v>
      </c>
      <c r="P3437" s="73">
        <f>IF(M3437=$A$1,1,$M3437-INDEX(MappingTables!$E$4:$E$8,MATCH(O3437,MappingTables!$B$4:$B$8,0)))</f>
        <v>1</v>
      </c>
      <c r="Q3437" s="71">
        <f>IF(B3437="",0,INDEX(ModelParameters!$D$6:$K$10,MATCH($O3437,ModelParameters!$B$6:$B$10,0),MATCH($J3437,ModelParameters!$D$5:$K$5,0)))</f>
        <v>0.0090000000000000016</v>
      </c>
      <c r="R3437" s="71">
        <f>IF(B3437="",0,INDEX(ModelParameters!$D$13:$K$17,MATCH($O3437,ModelParameters!$B$13:$B$17,0),MATCH($J3437,ModelParameters!$D$5:$K$5,0)))</f>
        <v>0</v>
      </c>
      <c r="S3437" s="160">
        <f>IF(B3437="",0,MIN(IF($N3437="Other Bond TM",ModelParameters!$N$21,1)*(P3437*Q3437+R3437),1))</f>
        <v>0.0090000000000000016</v>
      </c>
      <c r="T3437" s="85">
        <f>IF(B3437="",0,$S3437*$K3437)</f>
        <v>3.969456365090868</v>
      </c>
      <c r="U3437" s="85">
        <f>IF(B3437="",0,IF(OR(H3437=MappingTables!$C$34,H3437=MappingTables!$C$35),T3437,0))</f>
        <v>0</v>
      </c>
      <c r="V3437" s="85">
        <f>IF(ISNA(IF(AND(VLOOKUP(CONCATENATE($D3437,$G3437),CSRFinput!$B:$E,4,0)=0,OR(H3437=MappingTables!$C$34,H3437=MappingTables!$C$35)),1,VLOOKUP(CONCATENATE($D3437,$G3437),CSRFinput!$B:$E,4,0))),0,IF(AND(VLOOKUP(CONCATENATE($D3437,$G3437),CSRFinput!$B:$E,4,0)=0,OR(H3437=MappingTables!$C$34,H3437=MappingTables!$C$35)),1,VLOOKUP(CONCATENATE($D3437,$G3437),CSRFinput!$B:$E,4,0)))</f>
        <v>0.054776304963434752</v>
      </c>
      <c r="W3437" s="85">
        <f>IF(B3437="",0,+$T3437*$V3437)</f>
        <v>0.21743215239326456</v>
      </c>
      <c r="X3437" s="85">
        <f>IF(B3437="",0,IF(OR(H3437=MappingTables!$C$34,H3437=MappingTables!$C$35),W3437,0))</f>
        <v>0</v>
      </c>
    </row>
    <row r="3438" spans="2:24" s="0" customFormat="0" ht="15">
      <c r="B3438" s="69" t="s">
        <v>576</v>
      </c>
      <c r="C3438" s="70" t="s">
        <v>577</v>
      </c>
      <c r="D3438" s="70" t="s">
        <v>1</v>
      </c>
      <c r="E3438" s="70" t="s">
        <v>1</v>
      </c>
      <c r="F3438" s="70"/>
      <c r="G3438" s="70" t="s">
        <v>61</v>
      </c>
      <c r="H3438" s="70" t="s">
        <v>178</v>
      </c>
      <c r="I3438" s="70" t="s">
        <v>184</v>
      </c>
      <c r="J3438" s="71">
        <f>IF(OR(I3438=0,I3438=""),"unrated",VLOOKUP(I3438,MappingTables!$B$19:$C$31,2,FALSE))</f>
        <v>5</v>
      </c>
      <c r="K3438" s="72">
        <v>321.96771292246108</v>
      </c>
      <c r="L3438" s="70">
        <v>0.16986586021874284</v>
      </c>
      <c r="M3438" s="71">
        <f>IF(L3438&lt;1,1,L3438)</f>
        <v>1</v>
      </c>
      <c r="N3438" s="70" t="s">
        <v>141</v>
      </c>
      <c r="O3438" s="71">
        <f>INDEX(DurClassMapping,MATCH(M3438,MappingTables!$D$4:$D$8,-1),1)</f>
        <v>1</v>
      </c>
      <c r="P3438" s="73">
        <f>IF(M3438=$A$1,1,$M3438-INDEX(MappingTables!$E$4:$E$8,MATCH(O3438,MappingTables!$B$4:$B$8,0)))</f>
        <v>1</v>
      </c>
      <c r="Q3438" s="71">
        <f>IF(B3438="",0,INDEX(ModelParameters!$D$6:$K$10,MATCH($O3438,ModelParameters!$B$6:$B$10,0),MATCH($J3438,ModelParameters!$D$5:$K$5,0)))</f>
        <v>0.075</v>
      </c>
      <c r="R3438" s="71">
        <f>IF(B3438="",0,INDEX(ModelParameters!$D$13:$K$17,MATCH($O3438,ModelParameters!$B$13:$B$17,0),MATCH($J3438,ModelParameters!$D$5:$K$5,0)))</f>
        <v>0</v>
      </c>
      <c r="S3438" s="160">
        <f>IF(B3438="",0,MIN(IF($N3438="Other Bond TM",ModelParameters!$N$21,1)*(P3438*Q3438+R3438),1))</f>
        <v>0.075</v>
      </c>
      <c r="T3438" s="85">
        <f>IF(B3438="",0,$S3438*$K3438)</f>
        <v>24.14757846918458</v>
      </c>
      <c r="U3438" s="85">
        <f>IF(B3438="",0,IF(OR(H3438=MappingTables!$C$34,H3438=MappingTables!$C$35),T3438,0))</f>
        <v>0</v>
      </c>
      <c r="V3438" s="85">
        <f>IF(ISNA(IF(AND(VLOOKUP(CONCATENATE($D3438,$G3438),CSRFinput!$B:$E,4,0)=0,OR(H3438=MappingTables!$C$34,H3438=MappingTables!$C$35)),1,VLOOKUP(CONCATENATE($D3438,$G3438),CSRFinput!$B:$E,4,0))),0,IF(AND(VLOOKUP(CONCATENATE($D3438,$G3438),CSRFinput!$B:$E,4,0)=0,OR(H3438=MappingTables!$C$34,H3438=MappingTables!$C$35)),1,VLOOKUP(CONCATENATE($D3438,$G3438),CSRFinput!$B:$E,4,0)))</f>
        <v>0.054776304963434752</v>
      </c>
      <c r="W3438" s="85">
        <f>IF(B3438="",0,+$T3438*$V3438)</f>
        <v>1.3227151223565254</v>
      </c>
      <c r="X3438" s="85">
        <f>IF(B3438="",0,IF(OR(H3438=MappingTables!$C$34,H3438=MappingTables!$C$35),W3438,0))</f>
        <v>0</v>
      </c>
    </row>
    <row r="3439" spans="2:24" s="0" customFormat="0" ht="15">
      <c r="B3439" s="69" t="s">
        <v>1487</v>
      </c>
      <c r="C3439" s="70" t="s">
        <v>1488</v>
      </c>
      <c r="D3439" s="70" t="s">
        <v>1</v>
      </c>
      <c r="E3439" s="70" t="s">
        <v>1</v>
      </c>
      <c r="F3439" s="70"/>
      <c r="G3439" s="70" t="s">
        <v>61</v>
      </c>
      <c r="H3439" s="70" t="s">
        <v>178</v>
      </c>
      <c r="I3439" s="70" t="s">
        <v>188</v>
      </c>
      <c r="J3439" s="71">
        <f>IF(OR(I3439=0,I3439=""),"unrated",VLOOKUP(I3439,MappingTables!$B$19:$C$31,2,FALSE))</f>
        <v>2</v>
      </c>
      <c r="K3439" s="72">
        <v>168.82174655585916</v>
      </c>
      <c r="L3439" s="70">
        <v>1.4563720416902384</v>
      </c>
      <c r="M3439" s="71">
        <f>IF(L3439&lt;1,1,L3439)</f>
        <v>1.4563720416902384</v>
      </c>
      <c r="N3439" s="70" t="s">
        <v>141</v>
      </c>
      <c r="O3439" s="71">
        <f>INDEX(DurClassMapping,MATCH(M3439,MappingTables!$D$4:$D$8,-1),1)</f>
        <v>1</v>
      </c>
      <c r="P3439" s="73">
        <f>IF(M3439=$A$1,1,$M3439-INDEX(MappingTables!$E$4:$E$8,MATCH(O3439,MappingTables!$B$4:$B$8,0)))</f>
        <v>1.4563720416902384</v>
      </c>
      <c r="Q3439" s="71">
        <f>IF(B3439="",0,INDEX(ModelParameters!$D$6:$K$10,MATCH($O3439,ModelParameters!$B$6:$B$10,0),MATCH($J3439,ModelParameters!$D$5:$K$5,0)))</f>
        <v>0.013999999999999998</v>
      </c>
      <c r="R3439" s="71">
        <f>IF(B3439="",0,INDEX(ModelParameters!$D$13:$K$17,MATCH($O3439,ModelParameters!$B$13:$B$17,0),MATCH($J3439,ModelParameters!$D$5:$K$5,0)))</f>
        <v>0</v>
      </c>
      <c r="S3439" s="160">
        <f>IF(B3439="",0,MIN(IF($N3439="Other Bond TM",ModelParameters!$N$21,1)*(P3439*Q3439+R3439),1))</f>
        <v>0.020389208583663336</v>
      </c>
      <c r="T3439" s="85">
        <f>IF(B3439="",0,$S3439*$K3439)</f>
        <v>3.4421418039857596</v>
      </c>
      <c r="U3439" s="85">
        <f>IF(B3439="",0,IF(OR(H3439=MappingTables!$C$34,H3439=MappingTables!$C$35),T3439,0))</f>
        <v>0</v>
      </c>
      <c r="V3439" s="85">
        <f>IF(ISNA(IF(AND(VLOOKUP(CONCATENATE($D3439,$G3439),CSRFinput!$B:$E,4,0)=0,OR(H3439=MappingTables!$C$34,H3439=MappingTables!$C$35)),1,VLOOKUP(CONCATENATE($D3439,$G3439),CSRFinput!$B:$E,4,0))),0,IF(AND(VLOOKUP(CONCATENATE($D3439,$G3439),CSRFinput!$B:$E,4,0)=0,OR(H3439=MappingTables!$C$34,H3439=MappingTables!$C$35)),1,VLOOKUP(CONCATENATE($D3439,$G3439),CSRFinput!$B:$E,4,0)))</f>
        <v>0.054776304963434752</v>
      </c>
      <c r="W3439" s="85">
        <f>IF(B3439="",0,+$T3439*$V3439)</f>
        <v>0.18854780918251144</v>
      </c>
      <c r="X3439" s="85">
        <f>IF(B3439="",0,IF(OR(H3439=MappingTables!$C$34,H3439=MappingTables!$C$35),W3439,0))</f>
        <v>0</v>
      </c>
    </row>
    <row r="3440" spans="2:24" s="0" customFormat="0" ht="15">
      <c r="B3440" s="69">
        <v>18943962</v>
      </c>
      <c r="C3440" s="70" t="s">
        <v>2458</v>
      </c>
      <c r="D3440" s="70" t="s">
        <v>1</v>
      </c>
      <c r="E3440" s="70" t="s">
        <v>1</v>
      </c>
      <c r="F3440" s="70"/>
      <c r="G3440" s="70" t="s">
        <v>61</v>
      </c>
      <c r="H3440" s="70" t="s">
        <v>178</v>
      </c>
      <c r="I3440" s="70" t="s">
        <v>181</v>
      </c>
      <c r="J3440" s="71">
        <f>IF(OR(I3440=0,I3440=""),"unrated",VLOOKUP(I3440,MappingTables!$B$19:$C$31,2,FALSE))</f>
        <v>3</v>
      </c>
      <c r="K3440" s="72">
        <v>62.568690182693976</v>
      </c>
      <c r="L3440" s="70">
        <v>2.9270861598961376</v>
      </c>
      <c r="M3440" s="71">
        <f>IF(L3440&lt;1,1,L3440)</f>
        <v>2.9270861598961376</v>
      </c>
      <c r="N3440" s="70" t="s">
        <v>141</v>
      </c>
      <c r="O3440" s="71">
        <f>INDEX(DurClassMapping,MATCH(M3440,MappingTables!$D$4:$D$8,-1),1)</f>
        <v>1</v>
      </c>
      <c r="P3440" s="73">
        <f>IF(M3440=$A$1,1,$M3440-INDEX(MappingTables!$E$4:$E$8,MATCH(O3440,MappingTables!$B$4:$B$8,0)))</f>
        <v>2.9270861598961376</v>
      </c>
      <c r="Q3440" s="71">
        <f>IF(B3440="",0,INDEX(ModelParameters!$D$6:$K$10,MATCH($O3440,ModelParameters!$B$6:$B$10,0),MATCH($J3440,ModelParameters!$D$5:$K$5,0)))</f>
        <v>0.025</v>
      </c>
      <c r="R3440" s="71">
        <f>IF(B3440="",0,INDEX(ModelParameters!$D$13:$K$17,MATCH($O3440,ModelParameters!$B$13:$B$17,0),MATCH($J3440,ModelParameters!$D$5:$K$5,0)))</f>
        <v>0</v>
      </c>
      <c r="S3440" s="160">
        <f>IF(B3440="",0,MIN(IF($N3440="Other Bond TM",ModelParameters!$N$21,1)*(P3440*Q3440+R3440),1))</f>
        <v>0.07317715399740344</v>
      </c>
      <c r="T3440" s="85">
        <f>IF(B3440="",0,$S3440*$K3440)</f>
        <v>4.5785986769148224</v>
      </c>
      <c r="U3440" s="85">
        <f>IF(B3440="",0,IF(OR(H3440=MappingTables!$C$34,H3440=MappingTables!$C$35),T3440,0))</f>
        <v>0</v>
      </c>
      <c r="V3440" s="85">
        <f>IF(ISNA(IF(AND(VLOOKUP(CONCATENATE($D3440,$G3440),CSRFinput!$B:$E,4,0)=0,OR(H3440=MappingTables!$C$34,H3440=MappingTables!$C$35)),1,VLOOKUP(CONCATENATE($D3440,$G3440),CSRFinput!$B:$E,4,0))),0,IF(AND(VLOOKUP(CONCATENATE($D3440,$G3440),CSRFinput!$B:$E,4,0)=0,OR(H3440=MappingTables!$C$34,H3440=MappingTables!$C$35)),1,VLOOKUP(CONCATENATE($D3440,$G3440),CSRFinput!$B:$E,4,0)))</f>
        <v>0.054776304963434752</v>
      </c>
      <c r="W3440" s="85">
        <f>IF(B3440="",0,+$T3440*$V3440)</f>
        <v>0.25079871743186516</v>
      </c>
      <c r="X3440" s="85">
        <f>IF(B3440="",0,IF(OR(H3440=MappingTables!$C$34,H3440=MappingTables!$C$35),W3440,0))</f>
        <v>0</v>
      </c>
    </row>
    <row r="3441" spans="2:24" s="0" customFormat="0" ht="15">
      <c r="B3441" s="69" t="s">
        <v>351</v>
      </c>
      <c r="C3441" s="70" t="s">
        <v>352</v>
      </c>
      <c r="D3441" s="70" t="s">
        <v>1</v>
      </c>
      <c r="E3441" s="70" t="s">
        <v>1</v>
      </c>
      <c r="F3441" s="70"/>
      <c r="G3441" s="70" t="s">
        <v>61</v>
      </c>
      <c r="H3441" s="70" t="s">
        <v>178</v>
      </c>
      <c r="I3441" s="70" t="s">
        <v>188</v>
      </c>
      <c r="J3441" s="71">
        <f>IF(OR(I3441=0,I3441=""),"unrated",VLOOKUP(I3441,MappingTables!$B$19:$C$31,2,FALSE))</f>
        <v>2</v>
      </c>
      <c r="K3441" s="72">
        <v>2.2741456668874336</v>
      </c>
      <c r="L3441" s="70">
        <v>0.12602759274376668</v>
      </c>
      <c r="M3441" s="71">
        <f>IF(L3441&lt;1,1,L3441)</f>
        <v>1</v>
      </c>
      <c r="N3441" s="70" t="s">
        <v>141</v>
      </c>
      <c r="O3441" s="71">
        <f>INDEX(DurClassMapping,MATCH(M3441,MappingTables!$D$4:$D$8,-1),1)</f>
        <v>1</v>
      </c>
      <c r="P3441" s="73">
        <f>IF(M3441=$A$1,1,$M3441-INDEX(MappingTables!$E$4:$E$8,MATCH(O3441,MappingTables!$B$4:$B$8,0)))</f>
        <v>1</v>
      </c>
      <c r="Q3441" s="71">
        <f>IF(B3441="",0,INDEX(ModelParameters!$D$6:$K$10,MATCH($O3441,ModelParameters!$B$6:$B$10,0),MATCH($J3441,ModelParameters!$D$5:$K$5,0)))</f>
        <v>0.013999999999999998</v>
      </c>
      <c r="R3441" s="71">
        <f>IF(B3441="",0,INDEX(ModelParameters!$D$13:$K$17,MATCH($O3441,ModelParameters!$B$13:$B$17,0),MATCH($J3441,ModelParameters!$D$5:$K$5,0)))</f>
        <v>0</v>
      </c>
      <c r="S3441" s="160">
        <f>IF(B3441="",0,MIN(IF($N3441="Other Bond TM",ModelParameters!$N$21,1)*(P3441*Q3441+R3441),1))</f>
        <v>0.013999999999999998</v>
      </c>
      <c r="T3441" s="85">
        <f>IF(B3441="",0,$S3441*$K3441)</f>
        <v>0.031838039336424068</v>
      </c>
      <c r="U3441" s="85">
        <f>IF(B3441="",0,IF(OR(H3441=MappingTables!$C$34,H3441=MappingTables!$C$35),T3441,0))</f>
        <v>0</v>
      </c>
      <c r="V3441" s="85">
        <f>IF(ISNA(IF(AND(VLOOKUP(CONCATENATE($D3441,$G3441),CSRFinput!$B:$E,4,0)=0,OR(H3441=MappingTables!$C$34,H3441=MappingTables!$C$35)),1,VLOOKUP(CONCATENATE($D3441,$G3441),CSRFinput!$B:$E,4,0))),0,IF(AND(VLOOKUP(CONCATENATE($D3441,$G3441),CSRFinput!$B:$E,4,0)=0,OR(H3441=MappingTables!$C$34,H3441=MappingTables!$C$35)),1,VLOOKUP(CONCATENATE($D3441,$G3441),CSRFinput!$B:$E,4,0)))</f>
        <v>0.054776304963434752</v>
      </c>
      <c r="W3441" s="85">
        <f>IF(B3441="",0,+$T3441*$V3441)</f>
        <v>0.0017439701521297966</v>
      </c>
      <c r="X3441" s="85">
        <f>IF(B3441="",0,IF(OR(H3441=MappingTables!$C$34,H3441=MappingTables!$C$35),W3441,0))</f>
        <v>0</v>
      </c>
    </row>
    <row r="3442" spans="2:24" s="0" customFormat="0" ht="15">
      <c r="B3442" s="69">
        <v>14265324</v>
      </c>
      <c r="C3442" s="70" t="s">
        <v>1775</v>
      </c>
      <c r="D3442" s="70" t="s">
        <v>1</v>
      </c>
      <c r="E3442" s="70" t="s">
        <v>1</v>
      </c>
      <c r="F3442" s="70"/>
      <c r="G3442" s="70" t="s">
        <v>61</v>
      </c>
      <c r="H3442" s="70" t="s">
        <v>178</v>
      </c>
      <c r="I3442" s="70" t="s">
        <v>188</v>
      </c>
      <c r="J3442" s="71">
        <f>IF(OR(I3442=0,I3442=""),"unrated",VLOOKUP(I3442,MappingTables!$B$19:$C$31,2,FALSE))</f>
        <v>2</v>
      </c>
      <c r="K3442" s="72">
        <v>3.0335456505608956</v>
      </c>
      <c r="L3442" s="70">
        <v>1.4299732793369508</v>
      </c>
      <c r="M3442" s="71">
        <f>IF(L3442&lt;1,1,L3442)</f>
        <v>1.4299732793369508</v>
      </c>
      <c r="N3442" s="70" t="s">
        <v>141</v>
      </c>
      <c r="O3442" s="71">
        <f>INDEX(DurClassMapping,MATCH(M3442,MappingTables!$D$4:$D$8,-1),1)</f>
        <v>1</v>
      </c>
      <c r="P3442" s="73">
        <f>IF(M3442=$A$1,1,$M3442-INDEX(MappingTables!$E$4:$E$8,MATCH(O3442,MappingTables!$B$4:$B$8,0)))</f>
        <v>1.4299732793369508</v>
      </c>
      <c r="Q3442" s="71">
        <f>IF(B3442="",0,INDEX(ModelParameters!$D$6:$K$10,MATCH($O3442,ModelParameters!$B$6:$B$10,0),MATCH($J3442,ModelParameters!$D$5:$K$5,0)))</f>
        <v>0.013999999999999998</v>
      </c>
      <c r="R3442" s="71">
        <f>IF(B3442="",0,INDEX(ModelParameters!$D$13:$K$17,MATCH($O3442,ModelParameters!$B$13:$B$17,0),MATCH($J3442,ModelParameters!$D$5:$K$5,0)))</f>
        <v>0</v>
      </c>
      <c r="S3442" s="160">
        <f>IF(B3442="",0,MIN(IF($N3442="Other Bond TM",ModelParameters!$N$21,1)*(P3442*Q3442+R3442),1))</f>
        <v>0.020019625910717308</v>
      </c>
      <c r="T3442" s="85">
        <f>IF(B3442="",0,$S3442*$K3442)</f>
        <v>0.060730449107312696</v>
      </c>
      <c r="U3442" s="85">
        <f>IF(B3442="",0,IF(OR(H3442=MappingTables!$C$34,H3442=MappingTables!$C$35),T3442,0))</f>
        <v>0</v>
      </c>
      <c r="V3442" s="85">
        <f>IF(ISNA(IF(AND(VLOOKUP(CONCATENATE($D3442,$G3442),CSRFinput!$B:$E,4,0)=0,OR(H3442=MappingTables!$C$34,H3442=MappingTables!$C$35)),1,VLOOKUP(CONCATENATE($D3442,$G3442),CSRFinput!$B:$E,4,0))),0,IF(AND(VLOOKUP(CONCATENATE($D3442,$G3442),CSRFinput!$B:$E,4,0)=0,OR(H3442=MappingTables!$C$34,H3442=MappingTables!$C$35)),1,VLOOKUP(CONCATENATE($D3442,$G3442),CSRFinput!$B:$E,4,0)))</f>
        <v>0.054776304963434752</v>
      </c>
      <c r="W3442" s="85">
        <f>IF(B3442="",0,+$T3442*$V3442)</f>
        <v>0.0033265896008685144</v>
      </c>
      <c r="X3442" s="85">
        <f>IF(B3442="",0,IF(OR(H3442=MappingTables!$C$34,H3442=MappingTables!$C$35),W3442,0))</f>
        <v>0</v>
      </c>
    </row>
    <row r="3443" spans="2:24" s="0" customFormat="0" ht="15">
      <c r="B3443" s="69" t="s">
        <v>1772</v>
      </c>
      <c r="C3443" s="70" t="s">
        <v>1773</v>
      </c>
      <c r="D3443" s="70" t="s">
        <v>1</v>
      </c>
      <c r="E3443" s="70" t="s">
        <v>1</v>
      </c>
      <c r="F3443" s="70"/>
      <c r="G3443" s="70" t="s">
        <v>61</v>
      </c>
      <c r="H3443" s="70" t="s">
        <v>178</v>
      </c>
      <c r="I3443" s="70" t="s">
        <v>220</v>
      </c>
      <c r="J3443" s="71">
        <f>IF(OR(I3443=0,I3443=""),"unrated",VLOOKUP(I3443,MappingTables!$B$19:$C$31,2,FALSE))</f>
        <v>1</v>
      </c>
      <c r="K3443" s="72">
        <v>630.88517214618768</v>
      </c>
      <c r="L3443" s="70">
        <v>4.5604125495199216</v>
      </c>
      <c r="M3443" s="71">
        <f>IF(L3443&lt;1,1,L3443)</f>
        <v>4.5604125495199216</v>
      </c>
      <c r="N3443" s="70" t="s">
        <v>141</v>
      </c>
      <c r="O3443" s="71">
        <f>INDEX(DurClassMapping,MATCH(M3443,MappingTables!$D$4:$D$8,-1),1)</f>
        <v>1</v>
      </c>
      <c r="P3443" s="73">
        <f>IF(M3443=$A$1,1,$M3443-INDEX(MappingTables!$E$4:$E$8,MATCH(O3443,MappingTables!$B$4:$B$8,0)))</f>
        <v>4.5604125495199216</v>
      </c>
      <c r="Q3443" s="71">
        <f>IF(B3443="",0,INDEX(ModelParameters!$D$6:$K$10,MATCH($O3443,ModelParameters!$B$6:$B$10,0),MATCH($J3443,ModelParameters!$D$5:$K$5,0)))</f>
        <v>0.011000000000000002</v>
      </c>
      <c r="R3443" s="71">
        <f>IF(B3443="",0,INDEX(ModelParameters!$D$13:$K$17,MATCH($O3443,ModelParameters!$B$13:$B$17,0),MATCH($J3443,ModelParameters!$D$5:$K$5,0)))</f>
        <v>0</v>
      </c>
      <c r="S3443" s="160">
        <f>IF(B3443="",0,MIN(IF($N3443="Other Bond TM",ModelParameters!$N$21,1)*(P3443*Q3443+R3443),1))</f>
        <v>0.050164538044719136</v>
      </c>
      <c r="T3443" s="85">
        <f>IF(B3443="",0,$S3443*$K3443)</f>
        <v>31.648063219976612</v>
      </c>
      <c r="U3443" s="85">
        <f>IF(B3443="",0,IF(OR(H3443=MappingTables!$C$34,H3443=MappingTables!$C$35),T3443,0))</f>
        <v>0</v>
      </c>
      <c r="V3443" s="85">
        <f>IF(ISNA(IF(AND(VLOOKUP(CONCATENATE($D3443,$G3443),CSRFinput!$B:$E,4,0)=0,OR(H3443=MappingTables!$C$34,H3443=MappingTables!$C$35)),1,VLOOKUP(CONCATENATE($D3443,$G3443),CSRFinput!$B:$E,4,0))),0,IF(AND(VLOOKUP(CONCATENATE($D3443,$G3443),CSRFinput!$B:$E,4,0)=0,OR(H3443=MappingTables!$C$34,H3443=MappingTables!$C$35)),1,VLOOKUP(CONCATENATE($D3443,$G3443),CSRFinput!$B:$E,4,0)))</f>
        <v>0.054776304963434752</v>
      </c>
      <c r="W3443" s="85">
        <f>IF(B3443="",0,+$T3443*$V3443)</f>
        <v>1.7335639624395018</v>
      </c>
      <c r="X3443" s="85">
        <f>IF(B3443="",0,IF(OR(H3443=MappingTables!$C$34,H3443=MappingTables!$C$35),W3443,0))</f>
        <v>0</v>
      </c>
    </row>
    <row r="3444" spans="2:24" s="0" customFormat="0" ht="15">
      <c r="B3444" s="69">
        <v>11986525</v>
      </c>
      <c r="C3444" s="70" t="s">
        <v>2826</v>
      </c>
      <c r="D3444" s="70" t="s">
        <v>1</v>
      </c>
      <c r="E3444" s="70" t="s">
        <v>1</v>
      </c>
      <c r="F3444" s="70"/>
      <c r="G3444" s="70" t="s">
        <v>61</v>
      </c>
      <c r="H3444" s="70" t="s">
        <v>178</v>
      </c>
      <c r="I3444" s="70" t="s">
        <v>181</v>
      </c>
      <c r="J3444" s="71">
        <f>IF(OR(I3444=0,I3444=""),"unrated",VLOOKUP(I3444,MappingTables!$B$19:$C$31,2,FALSE))</f>
        <v>3</v>
      </c>
      <c r="K3444" s="72">
        <v>321.43890501665204</v>
      </c>
      <c r="L3444" s="70">
        <v>0.33972971282096904</v>
      </c>
      <c r="M3444" s="71">
        <f>IF(L3444&lt;1,1,L3444)</f>
        <v>1</v>
      </c>
      <c r="N3444" s="70" t="s">
        <v>141</v>
      </c>
      <c r="O3444" s="71">
        <f>INDEX(DurClassMapping,MATCH(M3444,MappingTables!$D$4:$D$8,-1),1)</f>
        <v>1</v>
      </c>
      <c r="P3444" s="73">
        <f>IF(M3444=$A$1,1,$M3444-INDEX(MappingTables!$E$4:$E$8,MATCH(O3444,MappingTables!$B$4:$B$8,0)))</f>
        <v>1</v>
      </c>
      <c r="Q3444" s="71">
        <f>IF(B3444="",0,INDEX(ModelParameters!$D$6:$K$10,MATCH($O3444,ModelParameters!$B$6:$B$10,0),MATCH($J3444,ModelParameters!$D$5:$K$5,0)))</f>
        <v>0.025</v>
      </c>
      <c r="R3444" s="71">
        <f>IF(B3444="",0,INDEX(ModelParameters!$D$13:$K$17,MATCH($O3444,ModelParameters!$B$13:$B$17,0),MATCH($J3444,ModelParameters!$D$5:$K$5,0)))</f>
        <v>0</v>
      </c>
      <c r="S3444" s="160">
        <f>IF(B3444="",0,MIN(IF($N3444="Other Bond TM",ModelParameters!$N$21,1)*(P3444*Q3444+R3444),1))</f>
        <v>0.025</v>
      </c>
      <c r="T3444" s="85">
        <f>IF(B3444="",0,$S3444*$K3444)</f>
        <v>8.0359726254163008</v>
      </c>
      <c r="U3444" s="85">
        <f>IF(B3444="",0,IF(OR(H3444=MappingTables!$C$34,H3444=MappingTables!$C$35),T3444,0))</f>
        <v>0</v>
      </c>
      <c r="V3444" s="85">
        <f>IF(ISNA(IF(AND(VLOOKUP(CONCATENATE($D3444,$G3444),CSRFinput!$B:$E,4,0)=0,OR(H3444=MappingTables!$C$34,H3444=MappingTables!$C$35)),1,VLOOKUP(CONCATENATE($D3444,$G3444),CSRFinput!$B:$E,4,0))),0,IF(AND(VLOOKUP(CONCATENATE($D3444,$G3444),CSRFinput!$B:$E,4,0)=0,OR(H3444=MappingTables!$C$34,H3444=MappingTables!$C$35)),1,VLOOKUP(CONCATENATE($D3444,$G3444),CSRFinput!$B:$E,4,0)))</f>
        <v>0.054776304963434752</v>
      </c>
      <c r="W3444" s="85">
        <f>IF(B3444="",0,+$T3444*$V3444)</f>
        <v>0.44018088720761672</v>
      </c>
      <c r="X3444" s="85">
        <f>IF(B3444="",0,IF(OR(H3444=MappingTables!$C$34,H3444=MappingTables!$C$35),W3444,0))</f>
        <v>0</v>
      </c>
    </row>
    <row r="3445" spans="2:24" s="0" customFormat="0" ht="15">
      <c r="B3445" s="69">
        <v>20505301</v>
      </c>
      <c r="C3445" s="70" t="s">
        <v>2772</v>
      </c>
      <c r="D3445" s="70" t="s">
        <v>1</v>
      </c>
      <c r="E3445" s="70" t="s">
        <v>1</v>
      </c>
      <c r="F3445" s="70"/>
      <c r="G3445" s="70" t="s">
        <v>61</v>
      </c>
      <c r="H3445" s="70" t="s">
        <v>178</v>
      </c>
      <c r="I3445" s="70" t="s">
        <v>188</v>
      </c>
      <c r="J3445" s="71">
        <f>IF(OR(I3445=0,I3445=""),"unrated",VLOOKUP(I3445,MappingTables!$B$19:$C$31,2,FALSE))</f>
        <v>2</v>
      </c>
      <c r="K3445" s="72">
        <v>4742.6052391845544</v>
      </c>
      <c r="L3445" s="70">
        <v>7.1554327909936856</v>
      </c>
      <c r="M3445" s="71">
        <f>IF(L3445&lt;1,1,L3445)</f>
        <v>7.1554327909936856</v>
      </c>
      <c r="N3445" s="70" t="s">
        <v>141</v>
      </c>
      <c r="O3445" s="71">
        <f>INDEX(DurClassMapping,MATCH(M3445,MappingTables!$D$4:$D$8,-1),1)</f>
        <v>2</v>
      </c>
      <c r="P3445" s="73">
        <f>IF(M3445=$A$1,1,$M3445-INDEX(MappingTables!$E$4:$E$8,MATCH(O3445,MappingTables!$B$4:$B$8,0)))</f>
        <v>2.155432790993686</v>
      </c>
      <c r="Q3445" s="71">
        <f>IF(B3445="",0,INDEX(ModelParameters!$D$6:$K$10,MATCH($O3445,ModelParameters!$B$6:$B$10,0),MATCH($J3445,ModelParameters!$D$5:$K$5,0)))</f>
        <v>0.0069999999999999992</v>
      </c>
      <c r="R3445" s="71">
        <f>IF(B3445="",0,INDEX(ModelParameters!$D$13:$K$17,MATCH($O3445,ModelParameters!$B$13:$B$17,0),MATCH($J3445,ModelParameters!$D$5:$K$5,0)))</f>
        <v>0.070000000000000008</v>
      </c>
      <c r="S3445" s="160">
        <f>IF(B3445="",0,MIN(IF($N3445="Other Bond TM",ModelParameters!$N$21,1)*(P3445*Q3445+R3445),1))</f>
        <v>0.085088029536955808</v>
      </c>
      <c r="T3445" s="85">
        <f>IF(B3445="",0,$S3445*$K3445)</f>
        <v>403.53893467385672</v>
      </c>
      <c r="U3445" s="85">
        <f>IF(B3445="",0,IF(OR(H3445=MappingTables!$C$34,H3445=MappingTables!$C$35),T3445,0))</f>
        <v>0</v>
      </c>
      <c r="V3445" s="85">
        <f>IF(ISNA(IF(AND(VLOOKUP(CONCATENATE($D3445,$G3445),CSRFinput!$B:$E,4,0)=0,OR(H3445=MappingTables!$C$34,H3445=MappingTables!$C$35)),1,VLOOKUP(CONCATENATE($D3445,$G3445),CSRFinput!$B:$E,4,0))),0,IF(AND(VLOOKUP(CONCATENATE($D3445,$G3445),CSRFinput!$B:$E,4,0)=0,OR(H3445=MappingTables!$C$34,H3445=MappingTables!$C$35)),1,VLOOKUP(CONCATENATE($D3445,$G3445),CSRFinput!$B:$E,4,0)))</f>
        <v>0.054776304963434752</v>
      </c>
      <c r="W3445" s="85">
        <f>IF(B3445="",0,+$T3445*$V3445)</f>
        <v>22.104371750314752</v>
      </c>
      <c r="X3445" s="85">
        <f>IF(B3445="",0,IF(OR(H3445=MappingTables!$C$34,H3445=MappingTables!$C$35),W3445,0))</f>
        <v>0</v>
      </c>
    </row>
    <row r="3446" spans="2:24" s="0" customFormat="0" ht="15">
      <c r="B3446" s="69">
        <v>12057777</v>
      </c>
      <c r="C3446" s="70" t="s">
        <v>888</v>
      </c>
      <c r="D3446" s="70" t="s">
        <v>1</v>
      </c>
      <c r="E3446" s="70" t="s">
        <v>1</v>
      </c>
      <c r="F3446" s="70"/>
      <c r="G3446" s="70" t="s">
        <v>61</v>
      </c>
      <c r="H3446" s="70" t="s">
        <v>178</v>
      </c>
      <c r="I3446" s="70" t="s">
        <v>188</v>
      </c>
      <c r="J3446" s="71">
        <f>IF(OR(I3446=0,I3446=""),"unrated",VLOOKUP(I3446,MappingTables!$B$19:$C$31,2,FALSE))</f>
        <v>2</v>
      </c>
      <c r="K3446" s="72">
        <v>281.51963779117568</v>
      </c>
      <c r="L3446" s="70">
        <v>0.41303093429647848</v>
      </c>
      <c r="M3446" s="71">
        <f>IF(L3446&lt;1,1,L3446)</f>
        <v>1</v>
      </c>
      <c r="N3446" s="70" t="s">
        <v>141</v>
      </c>
      <c r="O3446" s="71">
        <f>INDEX(DurClassMapping,MATCH(M3446,MappingTables!$D$4:$D$8,-1),1)</f>
        <v>1</v>
      </c>
      <c r="P3446" s="73">
        <f>IF(M3446=$A$1,1,$M3446-INDEX(MappingTables!$E$4:$E$8,MATCH(O3446,MappingTables!$B$4:$B$8,0)))</f>
        <v>1</v>
      </c>
      <c r="Q3446" s="71">
        <f>IF(B3446="",0,INDEX(ModelParameters!$D$6:$K$10,MATCH($O3446,ModelParameters!$B$6:$B$10,0),MATCH($J3446,ModelParameters!$D$5:$K$5,0)))</f>
        <v>0.013999999999999998</v>
      </c>
      <c r="R3446" s="71">
        <f>IF(B3446="",0,INDEX(ModelParameters!$D$13:$K$17,MATCH($O3446,ModelParameters!$B$13:$B$17,0),MATCH($J3446,ModelParameters!$D$5:$K$5,0)))</f>
        <v>0</v>
      </c>
      <c r="S3446" s="160">
        <f>IF(B3446="",0,MIN(IF($N3446="Other Bond TM",ModelParameters!$N$21,1)*(P3446*Q3446+R3446),1))</f>
        <v>0.013999999999999998</v>
      </c>
      <c r="T3446" s="85">
        <f>IF(B3446="",0,$S3446*$K3446)</f>
        <v>3.9412749290764592</v>
      </c>
      <c r="U3446" s="85">
        <f>IF(B3446="",0,IF(OR(H3446=MappingTables!$C$34,H3446=MappingTables!$C$35),T3446,0))</f>
        <v>0</v>
      </c>
      <c r="V3446" s="85">
        <f>IF(ISNA(IF(AND(VLOOKUP(CONCATENATE($D3446,$G3446),CSRFinput!$B:$E,4,0)=0,OR(H3446=MappingTables!$C$34,H3446=MappingTables!$C$35)),1,VLOOKUP(CONCATENATE($D3446,$G3446),CSRFinput!$B:$E,4,0))),0,IF(AND(VLOOKUP(CONCATENATE($D3446,$G3446),CSRFinput!$B:$E,4,0)=0,OR(H3446=MappingTables!$C$34,H3446=MappingTables!$C$35)),1,VLOOKUP(CONCATENATE($D3446,$G3446),CSRFinput!$B:$E,4,0)))</f>
        <v>0.054776304963434752</v>
      </c>
      <c r="W3446" s="85">
        <f>IF(B3446="",0,+$T3446*$V3446)</f>
        <v>0.2158884774598318</v>
      </c>
      <c r="X3446" s="85">
        <f>IF(B3446="",0,IF(OR(H3446=MappingTables!$C$34,H3446=MappingTables!$C$35),W3446,0))</f>
        <v>0</v>
      </c>
    </row>
    <row r="3447" spans="2:24" s="0" customFormat="0" ht="15">
      <c r="B3447" s="69">
        <v>24865540</v>
      </c>
      <c r="C3447" s="70" t="s">
        <v>2578</v>
      </c>
      <c r="D3447" s="70" t="s">
        <v>1</v>
      </c>
      <c r="E3447" s="70" t="s">
        <v>1</v>
      </c>
      <c r="F3447" s="70"/>
      <c r="G3447" s="70" t="s">
        <v>61</v>
      </c>
      <c r="H3447" s="70" t="s">
        <v>178</v>
      </c>
      <c r="I3447" s="70" t="s">
        <v>181</v>
      </c>
      <c r="J3447" s="71">
        <f>IF(OR(I3447=0,I3447=""),"unrated",VLOOKUP(I3447,MappingTables!$B$19:$C$31,2,FALSE))</f>
        <v>3</v>
      </c>
      <c r="K3447" s="72">
        <v>1395.997266373257</v>
      </c>
      <c r="L3447" s="70">
        <v>0.3452061186071092</v>
      </c>
      <c r="M3447" s="71">
        <f>IF(L3447&lt;1,1,L3447)</f>
        <v>1</v>
      </c>
      <c r="N3447" s="70" t="s">
        <v>141</v>
      </c>
      <c r="O3447" s="71">
        <f>INDEX(DurClassMapping,MATCH(M3447,MappingTables!$D$4:$D$8,-1),1)</f>
        <v>1</v>
      </c>
      <c r="P3447" s="73">
        <f>IF(M3447=$A$1,1,$M3447-INDEX(MappingTables!$E$4:$E$8,MATCH(O3447,MappingTables!$B$4:$B$8,0)))</f>
        <v>1</v>
      </c>
      <c r="Q3447" s="71">
        <f>IF(B3447="",0,INDEX(ModelParameters!$D$6:$K$10,MATCH($O3447,ModelParameters!$B$6:$B$10,0),MATCH($J3447,ModelParameters!$D$5:$K$5,0)))</f>
        <v>0.025</v>
      </c>
      <c r="R3447" s="71">
        <f>IF(B3447="",0,INDEX(ModelParameters!$D$13:$K$17,MATCH($O3447,ModelParameters!$B$13:$B$17,0),MATCH($J3447,ModelParameters!$D$5:$K$5,0)))</f>
        <v>0</v>
      </c>
      <c r="S3447" s="160">
        <f>IF(B3447="",0,MIN(IF($N3447="Other Bond TM",ModelParameters!$N$21,1)*(P3447*Q3447+R3447),1))</f>
        <v>0.025</v>
      </c>
      <c r="T3447" s="85">
        <f>IF(B3447="",0,$S3447*$K3447)</f>
        <v>34.89993165933142</v>
      </c>
      <c r="U3447" s="85">
        <f>IF(B3447="",0,IF(OR(H3447=MappingTables!$C$34,H3447=MappingTables!$C$35),T3447,0))</f>
        <v>0</v>
      </c>
      <c r="V3447" s="85">
        <f>IF(ISNA(IF(AND(VLOOKUP(CONCATENATE($D3447,$G3447),CSRFinput!$B:$E,4,0)=0,OR(H3447=MappingTables!$C$34,H3447=MappingTables!$C$35)),1,VLOOKUP(CONCATENATE($D3447,$G3447),CSRFinput!$B:$E,4,0))),0,IF(AND(VLOOKUP(CONCATENATE($D3447,$G3447),CSRFinput!$B:$E,4,0)=0,OR(H3447=MappingTables!$C$34,H3447=MappingTables!$C$35)),1,VLOOKUP(CONCATENATE($D3447,$G3447),CSRFinput!$B:$E,4,0)))</f>
        <v>0.054776304963434752</v>
      </c>
      <c r="W3447" s="85">
        <f>IF(B3447="",0,+$T3447*$V3447)</f>
        <v>1.9116892997745692</v>
      </c>
      <c r="X3447" s="85">
        <f>IF(B3447="",0,IF(OR(H3447=MappingTables!$C$34,H3447=MappingTables!$C$35),W3447,0))</f>
        <v>0</v>
      </c>
    </row>
    <row r="3448" spans="2:24" s="0" customFormat="0" ht="15">
      <c r="B3448" s="69" t="s">
        <v>1668</v>
      </c>
      <c r="C3448" s="70" t="s">
        <v>1669</v>
      </c>
      <c r="D3448" s="70" t="s">
        <v>1</v>
      </c>
      <c r="E3448" s="70" t="s">
        <v>1</v>
      </c>
      <c r="F3448" s="70"/>
      <c r="G3448" s="70" t="s">
        <v>61</v>
      </c>
      <c r="H3448" s="70" t="s">
        <v>178</v>
      </c>
      <c r="I3448" s="70" t="s">
        <v>188</v>
      </c>
      <c r="J3448" s="71">
        <f>IF(OR(I3448=0,I3448=""),"unrated",VLOOKUP(I3448,MappingTables!$B$19:$C$31,2,FALSE))</f>
        <v>2</v>
      </c>
      <c r="K3448" s="72">
        <v>167.8166593272845</v>
      </c>
      <c r="L3448" s="70">
        <v>2.4513735901636264</v>
      </c>
      <c r="M3448" s="71">
        <f>IF(L3448&lt;1,1,L3448)</f>
        <v>2.4513735901636264</v>
      </c>
      <c r="N3448" s="70" t="s">
        <v>141</v>
      </c>
      <c r="O3448" s="71">
        <f>INDEX(DurClassMapping,MATCH(M3448,MappingTables!$D$4:$D$8,-1),1)</f>
        <v>1</v>
      </c>
      <c r="P3448" s="73">
        <f>IF(M3448=$A$1,1,$M3448-INDEX(MappingTables!$E$4:$E$8,MATCH(O3448,MappingTables!$B$4:$B$8,0)))</f>
        <v>2.4513735901636264</v>
      </c>
      <c r="Q3448" s="71">
        <f>IF(B3448="",0,INDEX(ModelParameters!$D$6:$K$10,MATCH($O3448,ModelParameters!$B$6:$B$10,0),MATCH($J3448,ModelParameters!$D$5:$K$5,0)))</f>
        <v>0.013999999999999998</v>
      </c>
      <c r="R3448" s="71">
        <f>IF(B3448="",0,INDEX(ModelParameters!$D$13:$K$17,MATCH($O3448,ModelParameters!$B$13:$B$17,0),MATCH($J3448,ModelParameters!$D$5:$K$5,0)))</f>
        <v>0</v>
      </c>
      <c r="S3448" s="160">
        <f>IF(B3448="",0,MIN(IF($N3448="Other Bond TM",ModelParameters!$N$21,1)*(P3448*Q3448+R3448),1))</f>
        <v>0.034319230262290764</v>
      </c>
      <c r="T3448" s="85">
        <f>IF(B3448="",0,$S3448*$K3448)</f>
        <v>5.7593385733014816</v>
      </c>
      <c r="U3448" s="85">
        <f>IF(B3448="",0,IF(OR(H3448=MappingTables!$C$34,H3448=MappingTables!$C$35),T3448,0))</f>
        <v>0</v>
      </c>
      <c r="V3448" s="85">
        <f>IF(ISNA(IF(AND(VLOOKUP(CONCATENATE($D3448,$G3448),CSRFinput!$B:$E,4,0)=0,OR(H3448=MappingTables!$C$34,H3448=MappingTables!$C$35)),1,VLOOKUP(CONCATENATE($D3448,$G3448),CSRFinput!$B:$E,4,0))),0,IF(AND(VLOOKUP(CONCATENATE($D3448,$G3448),CSRFinput!$B:$E,4,0)=0,OR(H3448=MappingTables!$C$34,H3448=MappingTables!$C$35)),1,VLOOKUP(CONCATENATE($D3448,$G3448),CSRFinput!$B:$E,4,0)))</f>
        <v>0.054776304963434752</v>
      </c>
      <c r="W3448" s="85">
        <f>IF(B3448="",0,+$T3448*$V3448)</f>
        <v>0.3154752860788352</v>
      </c>
      <c r="X3448" s="85">
        <f>IF(B3448="",0,IF(OR(H3448=MappingTables!$C$34,H3448=MappingTables!$C$35),W3448,0))</f>
        <v>0</v>
      </c>
    </row>
    <row r="3449" spans="2:24" s="0" customFormat="0" ht="15">
      <c r="B3449" s="69">
        <v>20173124</v>
      </c>
      <c r="C3449" s="70" t="s">
        <v>397</v>
      </c>
      <c r="D3449" s="70" t="s">
        <v>1</v>
      </c>
      <c r="E3449" s="70" t="s">
        <v>1</v>
      </c>
      <c r="F3449" s="70"/>
      <c r="G3449" s="70" t="s">
        <v>61</v>
      </c>
      <c r="H3449" s="70" t="s">
        <v>178</v>
      </c>
      <c r="I3449" s="70" t="s">
        <v>181</v>
      </c>
      <c r="J3449" s="71">
        <f>IF(OR(I3449=0,I3449=""),"unrated",VLOOKUP(I3449,MappingTables!$B$19:$C$31,2,FALSE))</f>
        <v>3</v>
      </c>
      <c r="K3449" s="72">
        <v>1748325.5767822266</v>
      </c>
      <c r="L3449" s="70">
        <v>7.5658492035989552</v>
      </c>
      <c r="M3449" s="71">
        <f>IF(L3449&lt;1,1,L3449)</f>
        <v>7.5658492035989552</v>
      </c>
      <c r="N3449" s="70" t="s">
        <v>141</v>
      </c>
      <c r="O3449" s="71">
        <f>INDEX(DurClassMapping,MATCH(M3449,MappingTables!$D$4:$D$8,-1),1)</f>
        <v>2</v>
      </c>
      <c r="P3449" s="73">
        <f>IF(M3449=$A$1,1,$M3449-INDEX(MappingTables!$E$4:$E$8,MATCH(O3449,MappingTables!$B$4:$B$8,0)))</f>
        <v>2.5658492035989548</v>
      </c>
      <c r="Q3449" s="71">
        <f>IF(B3449="",0,INDEX(ModelParameters!$D$6:$K$10,MATCH($O3449,ModelParameters!$B$6:$B$10,0),MATCH($J3449,ModelParameters!$D$5:$K$5,0)))</f>
        <v>0.015</v>
      </c>
      <c r="R3449" s="71">
        <f>IF(B3449="",0,INDEX(ModelParameters!$D$13:$K$17,MATCH($O3449,ModelParameters!$B$13:$B$17,0),MATCH($J3449,ModelParameters!$D$5:$K$5,0)))</f>
        <v>0.125</v>
      </c>
      <c r="S3449" s="160">
        <f>IF(B3449="",0,MIN(IF($N3449="Other Bond TM",ModelParameters!$N$21,1)*(P3449*Q3449+R3449),1))</f>
        <v>0.16348773805398432</v>
      </c>
      <c r="T3449" s="85">
        <f>IF(B3449="",0,$S3449*$K3449)</f>
        <v>285829.79393005372</v>
      </c>
      <c r="U3449" s="85">
        <f>IF(B3449="",0,IF(OR(H3449=MappingTables!$C$34,H3449=MappingTables!$C$35),T3449,0))</f>
        <v>0</v>
      </c>
      <c r="V3449" s="85">
        <f>IF(ISNA(IF(AND(VLOOKUP(CONCATENATE($D3449,$G3449),CSRFinput!$B:$E,4,0)=0,OR(H3449=MappingTables!$C$34,H3449=MappingTables!$C$35)),1,VLOOKUP(CONCATENATE($D3449,$G3449),CSRFinput!$B:$E,4,0))),0,IF(AND(VLOOKUP(CONCATENATE($D3449,$G3449),CSRFinput!$B:$E,4,0)=0,OR(H3449=MappingTables!$C$34,H3449=MappingTables!$C$35)),1,VLOOKUP(CONCATENATE($D3449,$G3449),CSRFinput!$B:$E,4,0)))</f>
        <v>0.054776304963434752</v>
      </c>
      <c r="W3449" s="85">
        <f>IF(B3449="",0,+$T3449*$V3449)</f>
        <v>15656.699959948334</v>
      </c>
      <c r="X3449" s="85">
        <f>IF(B3449="",0,IF(OR(H3449=MappingTables!$C$34,H3449=MappingTables!$C$35),W3449,0))</f>
        <v>0</v>
      </c>
    </row>
    <row r="3450" spans="2:24" s="0" customFormat="0" ht="15">
      <c r="B3450" s="69">
        <v>23824584</v>
      </c>
      <c r="C3450" s="70" t="s">
        <v>2848</v>
      </c>
      <c r="D3450" s="70" t="s">
        <v>1</v>
      </c>
      <c r="E3450" s="70" t="s">
        <v>1</v>
      </c>
      <c r="F3450" s="70"/>
      <c r="G3450" s="70" t="s">
        <v>61</v>
      </c>
      <c r="H3450" s="70" t="s">
        <v>178</v>
      </c>
      <c r="I3450" s="70" t="s">
        <v>181</v>
      </c>
      <c r="J3450" s="71">
        <f>IF(OR(I3450=0,I3450=""),"unrated",VLOOKUP(I3450,MappingTables!$B$19:$C$31,2,FALSE))</f>
        <v>3</v>
      </c>
      <c r="K3450" s="72">
        <v>114.61088442210794</v>
      </c>
      <c r="L3450" s="70">
        <v>2.5082670398650088</v>
      </c>
      <c r="M3450" s="71">
        <f>IF(L3450&lt;1,1,L3450)</f>
        <v>2.5082670398650088</v>
      </c>
      <c r="N3450" s="70" t="s">
        <v>141</v>
      </c>
      <c r="O3450" s="71">
        <f>INDEX(DurClassMapping,MATCH(M3450,MappingTables!$D$4:$D$8,-1),1)</f>
        <v>1</v>
      </c>
      <c r="P3450" s="73">
        <f>IF(M3450=$A$1,1,$M3450-INDEX(MappingTables!$E$4:$E$8,MATCH(O3450,MappingTables!$B$4:$B$8,0)))</f>
        <v>2.5082670398650088</v>
      </c>
      <c r="Q3450" s="71">
        <f>IF(B3450="",0,INDEX(ModelParameters!$D$6:$K$10,MATCH($O3450,ModelParameters!$B$6:$B$10,0),MATCH($J3450,ModelParameters!$D$5:$K$5,0)))</f>
        <v>0.025</v>
      </c>
      <c r="R3450" s="71">
        <f>IF(B3450="",0,INDEX(ModelParameters!$D$13:$K$17,MATCH($O3450,ModelParameters!$B$13:$B$17,0),MATCH($J3450,ModelParameters!$D$5:$K$5,0)))</f>
        <v>0</v>
      </c>
      <c r="S3450" s="160">
        <f>IF(B3450="",0,MIN(IF($N3450="Other Bond TM",ModelParameters!$N$21,1)*(P3450*Q3450+R3450),1))</f>
        <v>0.062706675996625216</v>
      </c>
      <c r="T3450" s="85">
        <f>IF(B3450="",0,$S3450*$K3450)</f>
        <v>7.1868675951437832</v>
      </c>
      <c r="U3450" s="85">
        <f>IF(B3450="",0,IF(OR(H3450=MappingTables!$C$34,H3450=MappingTables!$C$35),T3450,0))</f>
        <v>0</v>
      </c>
      <c r="V3450" s="85">
        <f>IF(ISNA(IF(AND(VLOOKUP(CONCATENATE($D3450,$G3450),CSRFinput!$B:$E,4,0)=0,OR(H3450=MappingTables!$C$34,H3450=MappingTables!$C$35)),1,VLOOKUP(CONCATENATE($D3450,$G3450),CSRFinput!$B:$E,4,0))),0,IF(AND(VLOOKUP(CONCATENATE($D3450,$G3450),CSRFinput!$B:$E,4,0)=0,OR(H3450=MappingTables!$C$34,H3450=MappingTables!$C$35)),1,VLOOKUP(CONCATENATE($D3450,$G3450),CSRFinput!$B:$E,4,0)))</f>
        <v>0.054776304963434752</v>
      </c>
      <c r="W3450" s="85">
        <f>IF(B3450="",0,+$T3450*$V3450)</f>
        <v>0.3936700511234228</v>
      </c>
      <c r="X3450" s="85">
        <f>IF(B3450="",0,IF(OR(H3450=MappingTables!$C$34,H3450=MappingTables!$C$35),W3450,0))</f>
        <v>0</v>
      </c>
    </row>
    <row r="3451" spans="2:24" s="0" customFormat="0" ht="15">
      <c r="B3451" s="69">
        <v>13443990</v>
      </c>
      <c r="C3451" s="70" t="s">
        <v>2849</v>
      </c>
      <c r="D3451" s="70" t="s">
        <v>1</v>
      </c>
      <c r="E3451" s="70" t="s">
        <v>1</v>
      </c>
      <c r="F3451" s="70"/>
      <c r="G3451" s="70" t="s">
        <v>61</v>
      </c>
      <c r="H3451" s="70" t="s">
        <v>178</v>
      </c>
      <c r="I3451" s="70" t="s">
        <v>198</v>
      </c>
      <c r="J3451" s="71" t="str">
        <f>IF(OR(I3451=0,I3451=""),"unrated",VLOOKUP(I3451,MappingTables!$B$19:$C$31,2,FALSE))</f>
        <v>unrated</v>
      </c>
      <c r="K3451" s="72">
        <v>229.50238717130348</v>
      </c>
      <c r="L3451" s="70">
        <v>0.16164174341263904</v>
      </c>
      <c r="M3451" s="71">
        <f>IF(L3451&lt;1,1,L3451)</f>
        <v>1</v>
      </c>
      <c r="N3451" s="70" t="s">
        <v>141</v>
      </c>
      <c r="O3451" s="71">
        <f>INDEX(DurClassMapping,MATCH(M3451,MappingTables!$D$4:$D$8,-1),1)</f>
        <v>1</v>
      </c>
      <c r="P3451" s="73">
        <f>IF(M3451=$A$1,1,$M3451-INDEX(MappingTables!$E$4:$E$8,MATCH(O3451,MappingTables!$B$4:$B$8,0)))</f>
        <v>1</v>
      </c>
      <c r="Q3451" s="71">
        <f>IF(B3451="",0,INDEX(ModelParameters!$D$6:$K$10,MATCH($O3451,ModelParameters!$B$6:$B$10,0),MATCH($J3451,ModelParameters!$D$5:$K$5,0)))</f>
        <v>0.03</v>
      </c>
      <c r="R3451" s="71">
        <f>IF(B3451="",0,INDEX(ModelParameters!$D$13:$K$17,MATCH($O3451,ModelParameters!$B$13:$B$17,0),MATCH($J3451,ModelParameters!$D$5:$K$5,0)))</f>
        <v>0</v>
      </c>
      <c r="S3451" s="160">
        <f>IF(B3451="",0,MIN(IF($N3451="Other Bond TM",ModelParameters!$N$21,1)*(P3451*Q3451+R3451),1))</f>
        <v>0.03</v>
      </c>
      <c r="T3451" s="85">
        <f>IF(B3451="",0,$S3451*$K3451)</f>
        <v>6.8850716151391048</v>
      </c>
      <c r="U3451" s="85">
        <f>IF(B3451="",0,IF(OR(H3451=MappingTables!$C$34,H3451=MappingTables!$C$35),T3451,0))</f>
        <v>0</v>
      </c>
      <c r="V3451" s="85">
        <f>IF(ISNA(IF(AND(VLOOKUP(CONCATENATE($D3451,$G3451),CSRFinput!$B:$E,4,0)=0,OR(H3451=MappingTables!$C$34,H3451=MappingTables!$C$35)),1,VLOOKUP(CONCATENATE($D3451,$G3451),CSRFinput!$B:$E,4,0))),0,IF(AND(VLOOKUP(CONCATENATE($D3451,$G3451),CSRFinput!$B:$E,4,0)=0,OR(H3451=MappingTables!$C$34,H3451=MappingTables!$C$35)),1,VLOOKUP(CONCATENATE($D3451,$G3451),CSRFinput!$B:$E,4,0)))</f>
        <v>0.054776304963434752</v>
      </c>
      <c r="W3451" s="85">
        <f>IF(B3451="",0,+$T3451*$V3451)</f>
        <v>0.37713878248594792</v>
      </c>
      <c r="X3451" s="85">
        <f>IF(B3451="",0,IF(OR(H3451=MappingTables!$C$34,H3451=MappingTables!$C$35),W3451,0))</f>
        <v>0</v>
      </c>
    </row>
    <row r="3452" spans="2:24" s="0" customFormat="0" ht="15">
      <c r="B3452" s="69">
        <v>13162985</v>
      </c>
      <c r="C3452" s="70" t="s">
        <v>2179</v>
      </c>
      <c r="D3452" s="70" t="s">
        <v>1</v>
      </c>
      <c r="E3452" s="70" t="s">
        <v>1</v>
      </c>
      <c r="F3452" s="70"/>
      <c r="G3452" s="70" t="s">
        <v>61</v>
      </c>
      <c r="H3452" s="70" t="s">
        <v>178</v>
      </c>
      <c r="I3452" s="70" t="s">
        <v>188</v>
      </c>
      <c r="J3452" s="71">
        <f>IF(OR(I3452=0,I3452=""),"unrated",VLOOKUP(I3452,MappingTables!$B$19:$C$31,2,FALSE))</f>
        <v>2</v>
      </c>
      <c r="K3452" s="72">
        <v>9.9169758470803248</v>
      </c>
      <c r="L3452" s="70">
        <v>1.0008546779445356</v>
      </c>
      <c r="M3452" s="71">
        <f>IF(L3452&lt;1,1,L3452)</f>
        <v>1.0008546779445356</v>
      </c>
      <c r="N3452" s="70" t="s">
        <v>141</v>
      </c>
      <c r="O3452" s="71">
        <f>INDEX(DurClassMapping,MATCH(M3452,MappingTables!$D$4:$D$8,-1),1)</f>
        <v>1</v>
      </c>
      <c r="P3452" s="73">
        <f>IF(M3452=$A$1,1,$M3452-INDEX(MappingTables!$E$4:$E$8,MATCH(O3452,MappingTables!$B$4:$B$8,0)))</f>
        <v>1.0008546779445356</v>
      </c>
      <c r="Q3452" s="71">
        <f>IF(B3452="",0,INDEX(ModelParameters!$D$6:$K$10,MATCH($O3452,ModelParameters!$B$6:$B$10,0),MATCH($J3452,ModelParameters!$D$5:$K$5,0)))</f>
        <v>0.013999999999999998</v>
      </c>
      <c r="R3452" s="71">
        <f>IF(B3452="",0,INDEX(ModelParameters!$D$13:$K$17,MATCH($O3452,ModelParameters!$B$13:$B$17,0),MATCH($J3452,ModelParameters!$D$5:$K$5,0)))</f>
        <v>0</v>
      </c>
      <c r="S3452" s="160">
        <f>IF(B3452="",0,MIN(IF($N3452="Other Bond TM",ModelParameters!$N$21,1)*(P3452*Q3452+R3452),1))</f>
        <v>0.014011965491223496</v>
      </c>
      <c r="T3452" s="85">
        <f>IF(B3452="",0,$S3452*$K3452)</f>
        <v>0.1389563233465864</v>
      </c>
      <c r="U3452" s="85">
        <f>IF(B3452="",0,IF(OR(H3452=MappingTables!$C$34,H3452=MappingTables!$C$35),T3452,0))</f>
        <v>0</v>
      </c>
      <c r="V3452" s="85">
        <f>IF(ISNA(IF(AND(VLOOKUP(CONCATENATE($D3452,$G3452),CSRFinput!$B:$E,4,0)=0,OR(H3452=MappingTables!$C$34,H3452=MappingTables!$C$35)),1,VLOOKUP(CONCATENATE($D3452,$G3452),CSRFinput!$B:$E,4,0))),0,IF(AND(VLOOKUP(CONCATENATE($D3452,$G3452),CSRFinput!$B:$E,4,0)=0,OR(H3452=MappingTables!$C$34,H3452=MappingTables!$C$35)),1,VLOOKUP(CONCATENATE($D3452,$G3452),CSRFinput!$B:$E,4,0)))</f>
        <v>0.054776304963434752</v>
      </c>
      <c r="W3452" s="85">
        <f>IF(B3452="",0,+$T3452*$V3452)</f>
        <v>0.007611513944230264</v>
      </c>
      <c r="X3452" s="85">
        <f>IF(B3452="",0,IF(OR(H3452=MappingTables!$C$34,H3452=MappingTables!$C$35),W3452,0))</f>
        <v>0</v>
      </c>
    </row>
    <row r="3453" spans="2:24" s="0" customFormat="0" ht="15">
      <c r="B3453" s="69" t="s">
        <v>2823</v>
      </c>
      <c r="C3453" s="70" t="s">
        <v>2824</v>
      </c>
      <c r="D3453" s="70" t="s">
        <v>1</v>
      </c>
      <c r="E3453" s="70" t="s">
        <v>1</v>
      </c>
      <c r="F3453" s="70"/>
      <c r="G3453" s="70" t="s">
        <v>61</v>
      </c>
      <c r="H3453" s="70" t="s">
        <v>178</v>
      </c>
      <c r="I3453" s="70" t="s">
        <v>181</v>
      </c>
      <c r="J3453" s="71">
        <f>IF(OR(I3453=0,I3453=""),"unrated",VLOOKUP(I3453,MappingTables!$B$19:$C$31,2,FALSE))</f>
        <v>3</v>
      </c>
      <c r="K3453" s="72">
        <v>3528.7404532183024</v>
      </c>
      <c r="L3453" s="70">
        <v>4.502139327926912</v>
      </c>
      <c r="M3453" s="71">
        <f>IF(L3453&lt;1,1,L3453)</f>
        <v>4.502139327926912</v>
      </c>
      <c r="N3453" s="70" t="s">
        <v>141</v>
      </c>
      <c r="O3453" s="71">
        <f>INDEX(DurClassMapping,MATCH(M3453,MappingTables!$D$4:$D$8,-1),1)</f>
        <v>1</v>
      </c>
      <c r="P3453" s="73">
        <f>IF(M3453=$A$1,1,$M3453-INDEX(MappingTables!$E$4:$E$8,MATCH(O3453,MappingTables!$B$4:$B$8,0)))</f>
        <v>4.502139327926912</v>
      </c>
      <c r="Q3453" s="71">
        <f>IF(B3453="",0,INDEX(ModelParameters!$D$6:$K$10,MATCH($O3453,ModelParameters!$B$6:$B$10,0),MATCH($J3453,ModelParameters!$D$5:$K$5,0)))</f>
        <v>0.025</v>
      </c>
      <c r="R3453" s="71">
        <f>IF(B3453="",0,INDEX(ModelParameters!$D$13:$K$17,MATCH($O3453,ModelParameters!$B$13:$B$17,0),MATCH($J3453,ModelParameters!$D$5:$K$5,0)))</f>
        <v>0</v>
      </c>
      <c r="S3453" s="160">
        <f>IF(B3453="",0,MIN(IF($N3453="Other Bond TM",ModelParameters!$N$21,1)*(P3453*Q3453+R3453),1))</f>
        <v>0.1125534831981728</v>
      </c>
      <c r="T3453" s="85">
        <f>IF(B3453="",0,$S3453*$K3453)</f>
        <v>397.17202931201888</v>
      </c>
      <c r="U3453" s="85">
        <f>IF(B3453="",0,IF(OR(H3453=MappingTables!$C$34,H3453=MappingTables!$C$35),T3453,0))</f>
        <v>0</v>
      </c>
      <c r="V3453" s="85">
        <f>IF(ISNA(IF(AND(VLOOKUP(CONCATENATE($D3453,$G3453),CSRFinput!$B:$E,4,0)=0,OR(H3453=MappingTables!$C$34,H3453=MappingTables!$C$35)),1,VLOOKUP(CONCATENATE($D3453,$G3453),CSRFinput!$B:$E,4,0))),0,IF(AND(VLOOKUP(CONCATENATE($D3453,$G3453),CSRFinput!$B:$E,4,0)=0,OR(H3453=MappingTables!$C$34,H3453=MappingTables!$C$35)),1,VLOOKUP(CONCATENATE($D3453,$G3453),CSRFinput!$B:$E,4,0)))</f>
        <v>0.054776304963434752</v>
      </c>
      <c r="W3453" s="85">
        <f>IF(B3453="",0,+$T3453*$V3453)</f>
        <v>21.755616200541392</v>
      </c>
      <c r="X3453" s="85">
        <f>IF(B3453="",0,IF(OR(H3453=MappingTables!$C$34,H3453=MappingTables!$C$35),W3453,0))</f>
        <v>0</v>
      </c>
    </row>
    <row r="3454" spans="2:24" s="0" customFormat="0" ht="15">
      <c r="B3454" s="69" t="s">
        <v>806</v>
      </c>
      <c r="C3454" s="70" t="s">
        <v>807</v>
      </c>
      <c r="D3454" s="70" t="s">
        <v>1</v>
      </c>
      <c r="E3454" s="70" t="s">
        <v>1</v>
      </c>
      <c r="F3454" s="70"/>
      <c r="G3454" s="70" t="s">
        <v>61</v>
      </c>
      <c r="H3454" s="70" t="s">
        <v>178</v>
      </c>
      <c r="I3454" s="70" t="s">
        <v>179</v>
      </c>
      <c r="J3454" s="71">
        <f>IF(OR(I3454=0,I3454=""),"unrated",VLOOKUP(I3454,MappingTables!$B$19:$C$31,2,FALSE))</f>
        <v>4</v>
      </c>
      <c r="K3454" s="72">
        <v>56168.125516380896</v>
      </c>
      <c r="L3454" s="70">
        <v>0.24931281852334496</v>
      </c>
      <c r="M3454" s="71">
        <f>IF(L3454&lt;1,1,L3454)</f>
        <v>1</v>
      </c>
      <c r="N3454" s="70" t="s">
        <v>141</v>
      </c>
      <c r="O3454" s="71">
        <f>INDEX(DurClassMapping,MATCH(M3454,MappingTables!$D$4:$D$8,-1),1)</f>
        <v>1</v>
      </c>
      <c r="P3454" s="73">
        <f>IF(M3454=$A$1,1,$M3454-INDEX(MappingTables!$E$4:$E$8,MATCH(O3454,MappingTables!$B$4:$B$8,0)))</f>
        <v>1</v>
      </c>
      <c r="Q3454" s="71">
        <f>IF(B3454="",0,INDEX(ModelParameters!$D$6:$K$10,MATCH($O3454,ModelParameters!$B$6:$B$10,0),MATCH($J3454,ModelParameters!$D$5:$K$5,0)))</f>
        <v>0.045</v>
      </c>
      <c r="R3454" s="71">
        <f>IF(B3454="",0,INDEX(ModelParameters!$D$13:$K$17,MATCH($O3454,ModelParameters!$B$13:$B$17,0),MATCH($J3454,ModelParameters!$D$5:$K$5,0)))</f>
        <v>0</v>
      </c>
      <c r="S3454" s="160">
        <f>IF(B3454="",0,MIN(IF($N3454="Other Bond TM",ModelParameters!$N$21,1)*(P3454*Q3454+R3454),1))</f>
        <v>0.045</v>
      </c>
      <c r="T3454" s="85">
        <f>IF(B3454="",0,$S3454*$K3454)</f>
        <v>2527.56564823714</v>
      </c>
      <c r="U3454" s="85">
        <f>IF(B3454="",0,IF(OR(H3454=MappingTables!$C$34,H3454=MappingTables!$C$35),T3454,0))</f>
        <v>0</v>
      </c>
      <c r="V3454" s="85">
        <f>IF(ISNA(IF(AND(VLOOKUP(CONCATENATE($D3454,$G3454),CSRFinput!$B:$E,4,0)=0,OR(H3454=MappingTables!$C$34,H3454=MappingTables!$C$35)),1,VLOOKUP(CONCATENATE($D3454,$G3454),CSRFinput!$B:$E,4,0))),0,IF(AND(VLOOKUP(CONCATENATE($D3454,$G3454),CSRFinput!$B:$E,4,0)=0,OR(H3454=MappingTables!$C$34,H3454=MappingTables!$C$35)),1,VLOOKUP(CONCATENATE($D3454,$G3454),CSRFinput!$B:$E,4,0)))</f>
        <v>0.054776304963434752</v>
      </c>
      <c r="W3454" s="85">
        <f>IF(B3454="",0,+$T3454*$V3454)</f>
        <v>138.45070676293924</v>
      </c>
      <c r="X3454" s="85">
        <f>IF(B3454="",0,IF(OR(H3454=MappingTables!$C$34,H3454=MappingTables!$C$35),W3454,0))</f>
        <v>0</v>
      </c>
    </row>
    <row r="3455" spans="2:24" s="0" customFormat="0" ht="15">
      <c r="B3455" s="69">
        <v>19133186</v>
      </c>
      <c r="C3455" s="70" t="s">
        <v>2850</v>
      </c>
      <c r="D3455" s="70" t="s">
        <v>1</v>
      </c>
      <c r="E3455" s="70" t="s">
        <v>1</v>
      </c>
      <c r="F3455" s="70"/>
      <c r="G3455" s="70" t="s">
        <v>61</v>
      </c>
      <c r="H3455" s="70" t="s">
        <v>178</v>
      </c>
      <c r="I3455" s="70" t="s">
        <v>184</v>
      </c>
      <c r="J3455" s="71">
        <f>IF(OR(I3455=0,I3455=""),"unrated",VLOOKUP(I3455,MappingTables!$B$19:$C$31,2,FALSE))</f>
        <v>5</v>
      </c>
      <c r="K3455" s="72">
        <v>20308.710633391552</v>
      </c>
      <c r="L3455" s="70">
        <v>4.6737628611435392</v>
      </c>
      <c r="M3455" s="71">
        <f>IF(L3455&lt;1,1,L3455)</f>
        <v>4.6737628611435392</v>
      </c>
      <c r="N3455" s="70" t="s">
        <v>141</v>
      </c>
      <c r="O3455" s="71">
        <f>INDEX(DurClassMapping,MATCH(M3455,MappingTables!$D$4:$D$8,-1),1)</f>
        <v>1</v>
      </c>
      <c r="P3455" s="73">
        <f>IF(M3455=$A$1,1,$M3455-INDEX(MappingTables!$E$4:$E$8,MATCH(O3455,MappingTables!$B$4:$B$8,0)))</f>
        <v>4.6737628611435392</v>
      </c>
      <c r="Q3455" s="71">
        <f>IF(B3455="",0,INDEX(ModelParameters!$D$6:$K$10,MATCH($O3455,ModelParameters!$B$6:$B$10,0),MATCH($J3455,ModelParameters!$D$5:$K$5,0)))</f>
        <v>0.075</v>
      </c>
      <c r="R3455" s="71">
        <f>IF(B3455="",0,INDEX(ModelParameters!$D$13:$K$17,MATCH($O3455,ModelParameters!$B$13:$B$17,0),MATCH($J3455,ModelParameters!$D$5:$K$5,0)))</f>
        <v>0</v>
      </c>
      <c r="S3455" s="160">
        <f>IF(B3455="",0,MIN(IF($N3455="Other Bond TM",ModelParameters!$N$21,1)*(P3455*Q3455+R3455),1))</f>
        <v>0.35053221458576544</v>
      </c>
      <c r="T3455" s="85">
        <f>IF(B3455="",0,$S3455*$K3455)</f>
        <v>7118.857313704224</v>
      </c>
      <c r="U3455" s="85">
        <f>IF(B3455="",0,IF(OR(H3455=MappingTables!$C$34,H3455=MappingTables!$C$35),T3455,0))</f>
        <v>0</v>
      </c>
      <c r="V3455" s="85">
        <f>IF(ISNA(IF(AND(VLOOKUP(CONCATENATE($D3455,$G3455),CSRFinput!$B:$E,4,0)=0,OR(H3455=MappingTables!$C$34,H3455=MappingTables!$C$35)),1,VLOOKUP(CONCATENATE($D3455,$G3455),CSRFinput!$B:$E,4,0))),0,IF(AND(VLOOKUP(CONCATENATE($D3455,$G3455),CSRFinput!$B:$E,4,0)=0,OR(H3455=MappingTables!$C$34,H3455=MappingTables!$C$35)),1,VLOOKUP(CONCATENATE($D3455,$G3455),CSRFinput!$B:$E,4,0)))</f>
        <v>0.054776304963434752</v>
      </c>
      <c r="W3455" s="85">
        <f>IF(B3455="",0,+$T3455*$V3455)</f>
        <v>389.94469920664048</v>
      </c>
      <c r="X3455" s="85">
        <f>IF(B3455="",0,IF(OR(H3455=MappingTables!$C$34,H3455=MappingTables!$C$35),W3455,0))</f>
        <v>0</v>
      </c>
    </row>
    <row r="3456" spans="2:24" s="0" customFormat="0" ht="15">
      <c r="B3456" s="69">
        <v>20527484</v>
      </c>
      <c r="C3456" s="70" t="s">
        <v>2851</v>
      </c>
      <c r="D3456" s="70" t="s">
        <v>1</v>
      </c>
      <c r="E3456" s="70" t="s">
        <v>1</v>
      </c>
      <c r="F3456" s="70"/>
      <c r="G3456" s="70" t="s">
        <v>61</v>
      </c>
      <c r="H3456" s="70" t="s">
        <v>178</v>
      </c>
      <c r="I3456" s="70" t="s">
        <v>188</v>
      </c>
      <c r="J3456" s="71">
        <f>IF(OR(I3456=0,I3456=""),"unrated",VLOOKUP(I3456,MappingTables!$B$19:$C$31,2,FALSE))</f>
        <v>2</v>
      </c>
      <c r="K3456" s="72">
        <v>1010.9534126356464</v>
      </c>
      <c r="L3456" s="70">
        <v>3.6959234858312928</v>
      </c>
      <c r="M3456" s="71">
        <f>IF(L3456&lt;1,1,L3456)</f>
        <v>3.6959234858312928</v>
      </c>
      <c r="N3456" s="70" t="s">
        <v>141</v>
      </c>
      <c r="O3456" s="71">
        <f>INDEX(DurClassMapping,MATCH(M3456,MappingTables!$D$4:$D$8,-1),1)</f>
        <v>1</v>
      </c>
      <c r="P3456" s="73">
        <f>IF(M3456=$A$1,1,$M3456-INDEX(MappingTables!$E$4:$E$8,MATCH(O3456,MappingTables!$B$4:$B$8,0)))</f>
        <v>3.6959234858312928</v>
      </c>
      <c r="Q3456" s="71">
        <f>IF(B3456="",0,INDEX(ModelParameters!$D$6:$K$10,MATCH($O3456,ModelParameters!$B$6:$B$10,0),MATCH($J3456,ModelParameters!$D$5:$K$5,0)))</f>
        <v>0.013999999999999998</v>
      </c>
      <c r="R3456" s="71">
        <f>IF(B3456="",0,INDEX(ModelParameters!$D$13:$K$17,MATCH($O3456,ModelParameters!$B$13:$B$17,0),MATCH($J3456,ModelParameters!$D$5:$K$5,0)))</f>
        <v>0</v>
      </c>
      <c r="S3456" s="160">
        <f>IF(B3456="",0,MIN(IF($N3456="Other Bond TM",ModelParameters!$N$21,1)*(P3456*Q3456+R3456),1))</f>
        <v>0.051742928801638096</v>
      </c>
      <c r="T3456" s="85">
        <f>IF(B3456="",0,$S3456*$K3456)</f>
        <v>52.309690451779312</v>
      </c>
      <c r="U3456" s="85">
        <f>IF(B3456="",0,IF(OR(H3456=MappingTables!$C$34,H3456=MappingTables!$C$35),T3456,0))</f>
        <v>0</v>
      </c>
      <c r="V3456" s="85">
        <f>IF(ISNA(IF(AND(VLOOKUP(CONCATENATE($D3456,$G3456),CSRFinput!$B:$E,4,0)=0,OR(H3456=MappingTables!$C$34,H3456=MappingTables!$C$35)),1,VLOOKUP(CONCATENATE($D3456,$G3456),CSRFinput!$B:$E,4,0))),0,IF(AND(VLOOKUP(CONCATENATE($D3456,$G3456),CSRFinput!$B:$E,4,0)=0,OR(H3456=MappingTables!$C$34,H3456=MappingTables!$C$35)),1,VLOOKUP(CONCATENATE($D3456,$G3456),CSRFinput!$B:$E,4,0)))</f>
        <v>0.054776304963434752</v>
      </c>
      <c r="W3456" s="85">
        <f>IF(B3456="",0,+$T3456*$V3456)</f>
        <v>2.8653315567295348</v>
      </c>
      <c r="X3456" s="85">
        <f>IF(B3456="",0,IF(OR(H3456=MappingTables!$C$34,H3456=MappingTables!$C$35),W3456,0))</f>
        <v>0</v>
      </c>
    </row>
    <row r="3457" spans="2:24" s="0" customFormat="0" ht="15">
      <c r="B3457" s="69">
        <v>22444256</v>
      </c>
      <c r="C3457" s="70" t="s">
        <v>2800</v>
      </c>
      <c r="D3457" s="70" t="s">
        <v>1</v>
      </c>
      <c r="E3457" s="70" t="s">
        <v>1</v>
      </c>
      <c r="F3457" s="70"/>
      <c r="G3457" s="70" t="s">
        <v>61</v>
      </c>
      <c r="H3457" s="70" t="s">
        <v>178</v>
      </c>
      <c r="I3457" s="70" t="s">
        <v>181</v>
      </c>
      <c r="J3457" s="71">
        <f>IF(OR(I3457=0,I3457=""),"unrated",VLOOKUP(I3457,MappingTables!$B$19:$C$31,2,FALSE))</f>
        <v>3</v>
      </c>
      <c r="K3457" s="72">
        <v>2753.8561913996368</v>
      </c>
      <c r="L3457" s="70">
        <v>7.26704410477752</v>
      </c>
      <c r="M3457" s="71">
        <f>IF(L3457&lt;1,1,L3457)</f>
        <v>7.26704410477752</v>
      </c>
      <c r="N3457" s="70" t="s">
        <v>141</v>
      </c>
      <c r="O3457" s="71">
        <f>INDEX(DurClassMapping,MATCH(M3457,MappingTables!$D$4:$D$8,-1),1)</f>
        <v>2</v>
      </c>
      <c r="P3457" s="73">
        <f>IF(M3457=$A$1,1,$M3457-INDEX(MappingTables!$E$4:$E$8,MATCH(O3457,MappingTables!$B$4:$B$8,0)))</f>
        <v>2.2670441047775204</v>
      </c>
      <c r="Q3457" s="71">
        <f>IF(B3457="",0,INDEX(ModelParameters!$D$6:$K$10,MATCH($O3457,ModelParameters!$B$6:$B$10,0),MATCH($J3457,ModelParameters!$D$5:$K$5,0)))</f>
        <v>0.015</v>
      </c>
      <c r="R3457" s="71">
        <f>IF(B3457="",0,INDEX(ModelParameters!$D$13:$K$17,MATCH($O3457,ModelParameters!$B$13:$B$17,0),MATCH($J3457,ModelParameters!$D$5:$K$5,0)))</f>
        <v>0.125</v>
      </c>
      <c r="S3457" s="160">
        <f>IF(B3457="",0,MIN(IF($N3457="Other Bond TM",ModelParameters!$N$21,1)*(P3457*Q3457+R3457),1))</f>
        <v>0.1590056615716628</v>
      </c>
      <c r="T3457" s="85">
        <f>IF(B3457="",0,$S3457*$K3457)</f>
        <v>437.87872558671888</v>
      </c>
      <c r="U3457" s="85">
        <f>IF(B3457="",0,IF(OR(H3457=MappingTables!$C$34,H3457=MappingTables!$C$35),T3457,0))</f>
        <v>0</v>
      </c>
      <c r="V3457" s="85">
        <f>IF(ISNA(IF(AND(VLOOKUP(CONCATENATE($D3457,$G3457),CSRFinput!$B:$E,4,0)=0,OR(H3457=MappingTables!$C$34,H3457=MappingTables!$C$35)),1,VLOOKUP(CONCATENATE($D3457,$G3457),CSRFinput!$B:$E,4,0))),0,IF(AND(VLOOKUP(CONCATENATE($D3457,$G3457),CSRFinput!$B:$E,4,0)=0,OR(H3457=MappingTables!$C$34,H3457=MappingTables!$C$35)),1,VLOOKUP(CONCATENATE($D3457,$G3457),CSRFinput!$B:$E,4,0)))</f>
        <v>0.054776304963434752</v>
      </c>
      <c r="W3457" s="85">
        <f>IF(B3457="",0,+$T3457*$V3457)</f>
        <v>23.985378609738272</v>
      </c>
      <c r="X3457" s="85">
        <f>IF(B3457="",0,IF(OR(H3457=MappingTables!$C$34,H3457=MappingTables!$C$35),W3457,0))</f>
        <v>0</v>
      </c>
    </row>
    <row r="3458" spans="2:24" s="0" customFormat="0" ht="15">
      <c r="B3458" s="69">
        <v>16991015</v>
      </c>
      <c r="C3458" s="70" t="s">
        <v>2852</v>
      </c>
      <c r="D3458" s="70" t="s">
        <v>1</v>
      </c>
      <c r="E3458" s="70" t="s">
        <v>1</v>
      </c>
      <c r="F3458" s="70"/>
      <c r="G3458" s="70" t="s">
        <v>61</v>
      </c>
      <c r="H3458" s="70" t="s">
        <v>178</v>
      </c>
      <c r="I3458" s="70" t="s">
        <v>181</v>
      </c>
      <c r="J3458" s="71">
        <f>IF(OR(I3458=0,I3458=""),"unrated",VLOOKUP(I3458,MappingTables!$B$19:$C$31,2,FALSE))</f>
        <v>3</v>
      </c>
      <c r="K3458" s="72">
        <v>1160.8258130669222</v>
      </c>
      <c r="L3458" s="70">
        <v>0.40494190594337776</v>
      </c>
      <c r="M3458" s="71">
        <f>IF(L3458&lt;1,1,L3458)</f>
        <v>1</v>
      </c>
      <c r="N3458" s="70" t="s">
        <v>141</v>
      </c>
      <c r="O3458" s="71">
        <f>INDEX(DurClassMapping,MATCH(M3458,MappingTables!$D$4:$D$8,-1),1)</f>
        <v>1</v>
      </c>
      <c r="P3458" s="73">
        <f>IF(M3458=$A$1,1,$M3458-INDEX(MappingTables!$E$4:$E$8,MATCH(O3458,MappingTables!$B$4:$B$8,0)))</f>
        <v>1</v>
      </c>
      <c r="Q3458" s="71">
        <f>IF(B3458="",0,INDEX(ModelParameters!$D$6:$K$10,MATCH($O3458,ModelParameters!$B$6:$B$10,0),MATCH($J3458,ModelParameters!$D$5:$K$5,0)))</f>
        <v>0.025</v>
      </c>
      <c r="R3458" s="71">
        <f>IF(B3458="",0,INDEX(ModelParameters!$D$13:$K$17,MATCH($O3458,ModelParameters!$B$13:$B$17,0),MATCH($J3458,ModelParameters!$D$5:$K$5,0)))</f>
        <v>0</v>
      </c>
      <c r="S3458" s="160">
        <f>IF(B3458="",0,MIN(IF($N3458="Other Bond TM",ModelParameters!$N$21,1)*(P3458*Q3458+R3458),1))</f>
        <v>0.025</v>
      </c>
      <c r="T3458" s="85">
        <f>IF(B3458="",0,$S3458*$K3458)</f>
        <v>29.020645326673056</v>
      </c>
      <c r="U3458" s="85">
        <f>IF(B3458="",0,IF(OR(H3458=MappingTables!$C$34,H3458=MappingTables!$C$35),T3458,0))</f>
        <v>0</v>
      </c>
      <c r="V3458" s="85">
        <f>IF(ISNA(IF(AND(VLOOKUP(CONCATENATE($D3458,$G3458),CSRFinput!$B:$E,4,0)=0,OR(H3458=MappingTables!$C$34,H3458=MappingTables!$C$35)),1,VLOOKUP(CONCATENATE($D3458,$G3458),CSRFinput!$B:$E,4,0))),0,IF(AND(VLOOKUP(CONCATENATE($D3458,$G3458),CSRFinput!$B:$E,4,0)=0,OR(H3458=MappingTables!$C$34,H3458=MappingTables!$C$35)),1,VLOOKUP(CONCATENATE($D3458,$G3458),CSRFinput!$B:$E,4,0)))</f>
        <v>0.054776304963434752</v>
      </c>
      <c r="W3458" s="85">
        <f>IF(B3458="",0,+$T3458*$V3458)</f>
        <v>1.589643718649521</v>
      </c>
      <c r="X3458" s="85">
        <f>IF(B3458="",0,IF(OR(H3458=MappingTables!$C$34,H3458=MappingTables!$C$35),W3458,0))</f>
        <v>0</v>
      </c>
    </row>
    <row r="3459" spans="2:24" s="0" customFormat="0" ht="15">
      <c r="B3459" s="69" t="s">
        <v>1853</v>
      </c>
      <c r="C3459" s="70" t="s">
        <v>1854</v>
      </c>
      <c r="D3459" s="70" t="s">
        <v>1</v>
      </c>
      <c r="E3459" s="70" t="s">
        <v>1</v>
      </c>
      <c r="F3459" s="70"/>
      <c r="G3459" s="70" t="s">
        <v>61</v>
      </c>
      <c r="H3459" s="70" t="s">
        <v>178</v>
      </c>
      <c r="I3459" s="70" t="s">
        <v>181</v>
      </c>
      <c r="J3459" s="71">
        <f>IF(OR(I3459=0,I3459=""),"unrated",VLOOKUP(I3459,MappingTables!$B$19:$C$31,2,FALSE))</f>
        <v>3</v>
      </c>
      <c r="K3459" s="72">
        <v>385.57867004729424</v>
      </c>
      <c r="L3459" s="70">
        <v>0.6527235282981412</v>
      </c>
      <c r="M3459" s="71">
        <f>IF(L3459&lt;1,1,L3459)</f>
        <v>1</v>
      </c>
      <c r="N3459" s="70" t="s">
        <v>141</v>
      </c>
      <c r="O3459" s="71">
        <f>INDEX(DurClassMapping,MATCH(M3459,MappingTables!$D$4:$D$8,-1),1)</f>
        <v>1</v>
      </c>
      <c r="P3459" s="73">
        <f>IF(M3459=$A$1,1,$M3459-INDEX(MappingTables!$E$4:$E$8,MATCH(O3459,MappingTables!$B$4:$B$8,0)))</f>
        <v>1</v>
      </c>
      <c r="Q3459" s="71">
        <f>IF(B3459="",0,INDEX(ModelParameters!$D$6:$K$10,MATCH($O3459,ModelParameters!$B$6:$B$10,0),MATCH($J3459,ModelParameters!$D$5:$K$5,0)))</f>
        <v>0.025</v>
      </c>
      <c r="R3459" s="71">
        <f>IF(B3459="",0,INDEX(ModelParameters!$D$13:$K$17,MATCH($O3459,ModelParameters!$B$13:$B$17,0),MATCH($J3459,ModelParameters!$D$5:$K$5,0)))</f>
        <v>0</v>
      </c>
      <c r="S3459" s="160">
        <f>IF(B3459="",0,MIN(IF($N3459="Other Bond TM",ModelParameters!$N$21,1)*(P3459*Q3459+R3459),1))</f>
        <v>0.025</v>
      </c>
      <c r="T3459" s="85">
        <f>IF(B3459="",0,$S3459*$K3459)</f>
        <v>9.6394667511823552</v>
      </c>
      <c r="U3459" s="85">
        <f>IF(B3459="",0,IF(OR(H3459=MappingTables!$C$34,H3459=MappingTables!$C$35),T3459,0))</f>
        <v>0</v>
      </c>
      <c r="V3459" s="85">
        <f>IF(ISNA(IF(AND(VLOOKUP(CONCATENATE($D3459,$G3459),CSRFinput!$B:$E,4,0)=0,OR(H3459=MappingTables!$C$34,H3459=MappingTables!$C$35)),1,VLOOKUP(CONCATENATE($D3459,$G3459),CSRFinput!$B:$E,4,0))),0,IF(AND(VLOOKUP(CONCATENATE($D3459,$G3459),CSRFinput!$B:$E,4,0)=0,OR(H3459=MappingTables!$C$34,H3459=MappingTables!$C$35)),1,VLOOKUP(CONCATENATE($D3459,$G3459),CSRFinput!$B:$E,4,0)))</f>
        <v>0.054776304963434752</v>
      </c>
      <c r="W3459" s="85">
        <f>IF(B3459="",0,+$T3459*$V3459)</f>
        <v>0.52801437044765432</v>
      </c>
      <c r="X3459" s="85">
        <f>IF(B3459="",0,IF(OR(H3459=MappingTables!$C$34,H3459=MappingTables!$C$35),W3459,0))</f>
        <v>0</v>
      </c>
    </row>
    <row r="3460" spans="2:24" s="0" customFormat="0" ht="15">
      <c r="B3460" s="69">
        <v>21738090</v>
      </c>
      <c r="C3460" s="70" t="s">
        <v>1703</v>
      </c>
      <c r="D3460" s="70" t="s">
        <v>1</v>
      </c>
      <c r="E3460" s="70" t="s">
        <v>1</v>
      </c>
      <c r="F3460" s="70"/>
      <c r="G3460" s="70" t="s">
        <v>61</v>
      </c>
      <c r="H3460" s="70" t="s">
        <v>178</v>
      </c>
      <c r="I3460" s="70" t="s">
        <v>179</v>
      </c>
      <c r="J3460" s="71">
        <f>IF(OR(I3460=0,I3460=""),"unrated",VLOOKUP(I3460,MappingTables!$B$19:$C$31,2,FALSE))</f>
        <v>4</v>
      </c>
      <c r="K3460" s="72">
        <v>55.653034254281496</v>
      </c>
      <c r="L3460" s="70">
        <v>3.9779903768712328</v>
      </c>
      <c r="M3460" s="71">
        <f>IF(L3460&lt;1,1,L3460)</f>
        <v>3.9779903768712328</v>
      </c>
      <c r="N3460" s="70" t="s">
        <v>141</v>
      </c>
      <c r="O3460" s="71">
        <f>INDEX(DurClassMapping,MATCH(M3460,MappingTables!$D$4:$D$8,-1),1)</f>
        <v>1</v>
      </c>
      <c r="P3460" s="73">
        <f>IF(M3460=$A$1,1,$M3460-INDEX(MappingTables!$E$4:$E$8,MATCH(O3460,MappingTables!$B$4:$B$8,0)))</f>
        <v>3.9779903768712328</v>
      </c>
      <c r="Q3460" s="71">
        <f>IF(B3460="",0,INDEX(ModelParameters!$D$6:$K$10,MATCH($O3460,ModelParameters!$B$6:$B$10,0),MATCH($J3460,ModelParameters!$D$5:$K$5,0)))</f>
        <v>0.045</v>
      </c>
      <c r="R3460" s="71">
        <f>IF(B3460="",0,INDEX(ModelParameters!$D$13:$K$17,MATCH($O3460,ModelParameters!$B$13:$B$17,0),MATCH($J3460,ModelParameters!$D$5:$K$5,0)))</f>
        <v>0</v>
      </c>
      <c r="S3460" s="160">
        <f>IF(B3460="",0,MIN(IF($N3460="Other Bond TM",ModelParameters!$N$21,1)*(P3460*Q3460+R3460),1))</f>
        <v>0.17900956695920544</v>
      </c>
      <c r="T3460" s="85">
        <f>IF(B3460="",0,$S3460*$K3460)</f>
        <v>9.9624255618247568</v>
      </c>
      <c r="U3460" s="85">
        <f>IF(B3460="",0,IF(OR(H3460=MappingTables!$C$34,H3460=MappingTables!$C$35),T3460,0))</f>
        <v>0</v>
      </c>
      <c r="V3460" s="85">
        <f>IF(ISNA(IF(AND(VLOOKUP(CONCATENATE($D3460,$G3460),CSRFinput!$B:$E,4,0)=0,OR(H3460=MappingTables!$C$34,H3460=MappingTables!$C$35)),1,VLOOKUP(CONCATENATE($D3460,$G3460),CSRFinput!$B:$E,4,0))),0,IF(AND(VLOOKUP(CONCATENATE($D3460,$G3460),CSRFinput!$B:$E,4,0)=0,OR(H3460=MappingTables!$C$34,H3460=MappingTables!$C$35)),1,VLOOKUP(CONCATENATE($D3460,$G3460),CSRFinput!$B:$E,4,0)))</f>
        <v>0.054776304963434752</v>
      </c>
      <c r="W3460" s="85">
        <f>IF(B3460="",0,+$T3460*$V3460)</f>
        <v>0.54570486075003064</v>
      </c>
      <c r="X3460" s="85">
        <f>IF(B3460="",0,IF(OR(H3460=MappingTables!$C$34,H3460=MappingTables!$C$35),W3460,0))</f>
        <v>0</v>
      </c>
    </row>
    <row r="3461" spans="2:24" s="0" customFormat="0" ht="15">
      <c r="B3461" s="69">
        <v>11812756</v>
      </c>
      <c r="C3461" s="70" t="s">
        <v>1245</v>
      </c>
      <c r="D3461" s="70" t="s">
        <v>1</v>
      </c>
      <c r="E3461" s="70" t="s">
        <v>1</v>
      </c>
      <c r="F3461" s="70"/>
      <c r="G3461" s="70" t="s">
        <v>61</v>
      </c>
      <c r="H3461" s="70" t="s">
        <v>178</v>
      </c>
      <c r="I3461" s="70" t="s">
        <v>181</v>
      </c>
      <c r="J3461" s="71">
        <f>IF(OR(I3461=0,I3461=""),"unrated",VLOOKUP(I3461,MappingTables!$B$19:$C$31,2,FALSE))</f>
        <v>3</v>
      </c>
      <c r="K3461" s="72">
        <v>1564.3129121890138</v>
      </c>
      <c r="L3461" s="70">
        <v>0.27671262543604712</v>
      </c>
      <c r="M3461" s="71">
        <f>IF(L3461&lt;1,1,L3461)</f>
        <v>1</v>
      </c>
      <c r="N3461" s="70" t="s">
        <v>141</v>
      </c>
      <c r="O3461" s="71">
        <f>INDEX(DurClassMapping,MATCH(M3461,MappingTables!$D$4:$D$8,-1),1)</f>
        <v>1</v>
      </c>
      <c r="P3461" s="73">
        <f>IF(M3461=$A$1,1,$M3461-INDEX(MappingTables!$E$4:$E$8,MATCH(O3461,MappingTables!$B$4:$B$8,0)))</f>
        <v>1</v>
      </c>
      <c r="Q3461" s="71">
        <f>IF(B3461="",0,INDEX(ModelParameters!$D$6:$K$10,MATCH($O3461,ModelParameters!$B$6:$B$10,0),MATCH($J3461,ModelParameters!$D$5:$K$5,0)))</f>
        <v>0.025</v>
      </c>
      <c r="R3461" s="71">
        <f>IF(B3461="",0,INDEX(ModelParameters!$D$13:$K$17,MATCH($O3461,ModelParameters!$B$13:$B$17,0),MATCH($J3461,ModelParameters!$D$5:$K$5,0)))</f>
        <v>0</v>
      </c>
      <c r="S3461" s="160">
        <f>IF(B3461="",0,MIN(IF($N3461="Other Bond TM",ModelParameters!$N$21,1)*(P3461*Q3461+R3461),1))</f>
        <v>0.025</v>
      </c>
      <c r="T3461" s="85">
        <f>IF(B3461="",0,$S3461*$K3461)</f>
        <v>39.107822804725344</v>
      </c>
      <c r="U3461" s="85">
        <f>IF(B3461="",0,IF(OR(H3461=MappingTables!$C$34,H3461=MappingTables!$C$35),T3461,0))</f>
        <v>0</v>
      </c>
      <c r="V3461" s="85">
        <f>IF(ISNA(IF(AND(VLOOKUP(CONCATENATE($D3461,$G3461),CSRFinput!$B:$E,4,0)=0,OR(H3461=MappingTables!$C$34,H3461=MappingTables!$C$35)),1,VLOOKUP(CONCATENATE($D3461,$G3461),CSRFinput!$B:$E,4,0))),0,IF(AND(VLOOKUP(CONCATENATE($D3461,$G3461),CSRFinput!$B:$E,4,0)=0,OR(H3461=MappingTables!$C$34,H3461=MappingTables!$C$35)),1,VLOOKUP(CONCATENATE($D3461,$G3461),CSRFinput!$B:$E,4,0)))</f>
        <v>0.054776304963434752</v>
      </c>
      <c r="W3461" s="85">
        <f>IF(B3461="",0,+$T3461*$V3461)</f>
        <v>2.142182028407604</v>
      </c>
      <c r="X3461" s="85">
        <f>IF(B3461="",0,IF(OR(H3461=MappingTables!$C$34,H3461=MappingTables!$C$35),W3461,0))</f>
        <v>0</v>
      </c>
    </row>
    <row r="3462" spans="2:24" s="0" customFormat="0" ht="15">
      <c r="B3462" s="69">
        <v>18690554</v>
      </c>
      <c r="C3462" s="70" t="s">
        <v>1323</v>
      </c>
      <c r="D3462" s="70" t="s">
        <v>1</v>
      </c>
      <c r="E3462" s="70" t="s">
        <v>1</v>
      </c>
      <c r="F3462" s="70"/>
      <c r="G3462" s="70" t="s">
        <v>61</v>
      </c>
      <c r="H3462" s="70" t="s">
        <v>178</v>
      </c>
      <c r="I3462" s="70" t="s">
        <v>179</v>
      </c>
      <c r="J3462" s="71">
        <f>IF(OR(I3462=0,I3462=""),"unrated",VLOOKUP(I3462,MappingTables!$B$19:$C$31,2,FALSE))</f>
        <v>4</v>
      </c>
      <c r="K3462" s="72">
        <v>424.73577983333424</v>
      </c>
      <c r="L3462" s="70">
        <v>6.8570596242685296</v>
      </c>
      <c r="M3462" s="71">
        <f>IF(L3462&lt;1,1,L3462)</f>
        <v>6.8570596242685296</v>
      </c>
      <c r="N3462" s="70" t="s">
        <v>141</v>
      </c>
      <c r="O3462" s="71">
        <f>INDEX(DurClassMapping,MATCH(M3462,MappingTables!$D$4:$D$8,-1),1)</f>
        <v>2</v>
      </c>
      <c r="P3462" s="73">
        <f>IF(M3462=$A$1,1,$M3462-INDEX(MappingTables!$E$4:$E$8,MATCH(O3462,MappingTables!$B$4:$B$8,0)))</f>
        <v>1.8570596242685296</v>
      </c>
      <c r="Q3462" s="71">
        <f>IF(B3462="",0,INDEX(ModelParameters!$D$6:$K$10,MATCH($O3462,ModelParameters!$B$6:$B$10,0),MATCH($J3462,ModelParameters!$D$5:$K$5,0)))</f>
        <v>0.025</v>
      </c>
      <c r="R3462" s="71">
        <f>IF(B3462="",0,INDEX(ModelParameters!$D$13:$K$17,MATCH($O3462,ModelParameters!$B$13:$B$17,0),MATCH($J3462,ModelParameters!$D$5:$K$5,0)))</f>
        <v>0.225</v>
      </c>
      <c r="S3462" s="160">
        <f>IF(B3462="",0,MIN(IF($N3462="Other Bond TM",ModelParameters!$N$21,1)*(P3462*Q3462+R3462),1))</f>
        <v>0.27142649060671324</v>
      </c>
      <c r="T3462" s="85">
        <f>IF(B3462="",0,$S3462*$K3462)</f>
        <v>115.28454215526752</v>
      </c>
      <c r="U3462" s="85">
        <f>IF(B3462="",0,IF(OR(H3462=MappingTables!$C$34,H3462=MappingTables!$C$35),T3462,0))</f>
        <v>0</v>
      </c>
      <c r="V3462" s="85">
        <f>IF(ISNA(IF(AND(VLOOKUP(CONCATENATE($D3462,$G3462),CSRFinput!$B:$E,4,0)=0,OR(H3462=MappingTables!$C$34,H3462=MappingTables!$C$35)),1,VLOOKUP(CONCATENATE($D3462,$G3462),CSRFinput!$B:$E,4,0))),0,IF(AND(VLOOKUP(CONCATENATE($D3462,$G3462),CSRFinput!$B:$E,4,0)=0,OR(H3462=MappingTables!$C$34,H3462=MappingTables!$C$35)),1,VLOOKUP(CONCATENATE($D3462,$G3462),CSRFinput!$B:$E,4,0)))</f>
        <v>0.054776304963434752</v>
      </c>
      <c r="W3462" s="85">
        <f>IF(B3462="",0,+$T3462*$V3462)</f>
        <v>6.3148612386668832</v>
      </c>
      <c r="X3462" s="85">
        <f>IF(B3462="",0,IF(OR(H3462=MappingTables!$C$34,H3462=MappingTables!$C$35),W3462,0))</f>
        <v>0</v>
      </c>
    </row>
    <row r="3463" spans="2:24" s="0" customFormat="0" ht="15">
      <c r="B3463" s="69" t="s">
        <v>901</v>
      </c>
      <c r="C3463" s="70" t="s">
        <v>902</v>
      </c>
      <c r="D3463" s="70" t="s">
        <v>1</v>
      </c>
      <c r="E3463" s="70" t="s">
        <v>1</v>
      </c>
      <c r="F3463" s="70"/>
      <c r="G3463" s="70" t="s">
        <v>61</v>
      </c>
      <c r="H3463" s="70" t="s">
        <v>178</v>
      </c>
      <c r="I3463" s="70" t="s">
        <v>179</v>
      </c>
      <c r="J3463" s="71">
        <f>IF(OR(I3463=0,I3463=""),"unrated",VLOOKUP(I3463,MappingTables!$B$19:$C$31,2,FALSE))</f>
        <v>4</v>
      </c>
      <c r="K3463" s="72">
        <v>113.71909537493284</v>
      </c>
      <c r="L3463" s="70">
        <v>1.4679426612113018</v>
      </c>
      <c r="M3463" s="71">
        <f>IF(L3463&lt;1,1,L3463)</f>
        <v>1.4679426612113018</v>
      </c>
      <c r="N3463" s="70" t="s">
        <v>141</v>
      </c>
      <c r="O3463" s="71">
        <f>INDEX(DurClassMapping,MATCH(M3463,MappingTables!$D$4:$D$8,-1),1)</f>
        <v>1</v>
      </c>
      <c r="P3463" s="73">
        <f>IF(M3463=$A$1,1,$M3463-INDEX(MappingTables!$E$4:$E$8,MATCH(O3463,MappingTables!$B$4:$B$8,0)))</f>
        <v>1.4679426612113018</v>
      </c>
      <c r="Q3463" s="71">
        <f>IF(B3463="",0,INDEX(ModelParameters!$D$6:$K$10,MATCH($O3463,ModelParameters!$B$6:$B$10,0),MATCH($J3463,ModelParameters!$D$5:$K$5,0)))</f>
        <v>0.045</v>
      </c>
      <c r="R3463" s="71">
        <f>IF(B3463="",0,INDEX(ModelParameters!$D$13:$K$17,MATCH($O3463,ModelParameters!$B$13:$B$17,0),MATCH($J3463,ModelParameters!$D$5:$K$5,0)))</f>
        <v>0</v>
      </c>
      <c r="S3463" s="160">
        <f>IF(B3463="",0,MIN(IF($N3463="Other Bond TM",ModelParameters!$N$21,1)*(P3463*Q3463+R3463),1))</f>
        <v>0.066057419754508576</v>
      </c>
      <c r="T3463" s="85">
        <f>IF(B3463="",0,$S3463*$K3463)</f>
        <v>7.5119900172849328</v>
      </c>
      <c r="U3463" s="85">
        <f>IF(B3463="",0,IF(OR(H3463=MappingTables!$C$34,H3463=MappingTables!$C$35),T3463,0))</f>
        <v>0</v>
      </c>
      <c r="V3463" s="85">
        <f>IF(ISNA(IF(AND(VLOOKUP(CONCATENATE($D3463,$G3463),CSRFinput!$B:$E,4,0)=0,OR(H3463=MappingTables!$C$34,H3463=MappingTables!$C$35)),1,VLOOKUP(CONCATENATE($D3463,$G3463),CSRFinput!$B:$E,4,0))),0,IF(AND(VLOOKUP(CONCATENATE($D3463,$G3463),CSRFinput!$B:$E,4,0)=0,OR(H3463=MappingTables!$C$34,H3463=MappingTables!$C$35)),1,VLOOKUP(CONCATENATE($D3463,$G3463),CSRFinput!$B:$E,4,0)))</f>
        <v>0.054776304963434752</v>
      </c>
      <c r="W3463" s="85">
        <f>IF(B3463="",0,+$T3463*$V3463)</f>
        <v>0.41147905606907696</v>
      </c>
      <c r="X3463" s="85">
        <f>IF(B3463="",0,IF(OR(H3463=MappingTables!$C$34,H3463=MappingTables!$C$35),W3463,0))</f>
        <v>0</v>
      </c>
    </row>
    <row r="3464" spans="2:24" s="0" customFormat="0" ht="15">
      <c r="B3464" s="69">
        <v>18702636</v>
      </c>
      <c r="C3464" s="70" t="s">
        <v>2168</v>
      </c>
      <c r="D3464" s="70" t="s">
        <v>1</v>
      </c>
      <c r="E3464" s="70" t="s">
        <v>1</v>
      </c>
      <c r="F3464" s="70"/>
      <c r="G3464" s="70" t="s">
        <v>61</v>
      </c>
      <c r="H3464" s="70" t="s">
        <v>178</v>
      </c>
      <c r="I3464" s="70" t="s">
        <v>184</v>
      </c>
      <c r="J3464" s="71">
        <f>IF(OR(I3464=0,I3464=""),"unrated",VLOOKUP(I3464,MappingTables!$B$19:$C$31,2,FALSE))</f>
        <v>5</v>
      </c>
      <c r="K3464" s="72">
        <v>120.66749621105514</v>
      </c>
      <c r="L3464" s="70">
        <v>0.087672751788827008</v>
      </c>
      <c r="M3464" s="71">
        <f>IF(L3464&lt;1,1,L3464)</f>
        <v>1</v>
      </c>
      <c r="N3464" s="70" t="s">
        <v>141</v>
      </c>
      <c r="O3464" s="71">
        <f>INDEX(DurClassMapping,MATCH(M3464,MappingTables!$D$4:$D$8,-1),1)</f>
        <v>1</v>
      </c>
      <c r="P3464" s="73">
        <f>IF(M3464=$A$1,1,$M3464-INDEX(MappingTables!$E$4:$E$8,MATCH(O3464,MappingTables!$B$4:$B$8,0)))</f>
        <v>1</v>
      </c>
      <c r="Q3464" s="71">
        <f>IF(B3464="",0,INDEX(ModelParameters!$D$6:$K$10,MATCH($O3464,ModelParameters!$B$6:$B$10,0),MATCH($J3464,ModelParameters!$D$5:$K$5,0)))</f>
        <v>0.075</v>
      </c>
      <c r="R3464" s="71">
        <f>IF(B3464="",0,INDEX(ModelParameters!$D$13:$K$17,MATCH($O3464,ModelParameters!$B$13:$B$17,0),MATCH($J3464,ModelParameters!$D$5:$K$5,0)))</f>
        <v>0</v>
      </c>
      <c r="S3464" s="160">
        <f>IF(B3464="",0,MIN(IF($N3464="Other Bond TM",ModelParameters!$N$21,1)*(P3464*Q3464+R3464),1))</f>
        <v>0.075</v>
      </c>
      <c r="T3464" s="85">
        <f>IF(B3464="",0,$S3464*$K3464)</f>
        <v>9.0500622158291344</v>
      </c>
      <c r="U3464" s="85">
        <f>IF(B3464="",0,IF(OR(H3464=MappingTables!$C$34,H3464=MappingTables!$C$35),T3464,0))</f>
        <v>0</v>
      </c>
      <c r="V3464" s="85">
        <f>IF(ISNA(IF(AND(VLOOKUP(CONCATENATE($D3464,$G3464),CSRFinput!$B:$E,4,0)=0,OR(H3464=MappingTables!$C$34,H3464=MappingTables!$C$35)),1,VLOOKUP(CONCATENATE($D3464,$G3464),CSRFinput!$B:$E,4,0))),0,IF(AND(VLOOKUP(CONCATENATE($D3464,$G3464),CSRFinput!$B:$E,4,0)=0,OR(H3464=MappingTables!$C$34,H3464=MappingTables!$C$35)),1,VLOOKUP(CONCATENATE($D3464,$G3464),CSRFinput!$B:$E,4,0)))</f>
        <v>0.054776304963434752</v>
      </c>
      <c r="W3464" s="85">
        <f>IF(B3464="",0,+$T3464*$V3464)</f>
        <v>0.49572896787231472</v>
      </c>
      <c r="X3464" s="85">
        <f>IF(B3464="",0,IF(OR(H3464=MappingTables!$C$34,H3464=MappingTables!$C$35),W3464,0))</f>
        <v>0</v>
      </c>
    </row>
    <row r="3465" spans="2:24" s="0" customFormat="0" ht="15">
      <c r="B3465" s="69">
        <v>23732708</v>
      </c>
      <c r="C3465" s="70" t="s">
        <v>694</v>
      </c>
      <c r="D3465" s="70" t="s">
        <v>1</v>
      </c>
      <c r="E3465" s="70" t="s">
        <v>1</v>
      </c>
      <c r="F3465" s="70"/>
      <c r="G3465" s="70" t="s">
        <v>61</v>
      </c>
      <c r="H3465" s="70" t="s">
        <v>178</v>
      </c>
      <c r="I3465" s="70" t="s">
        <v>179</v>
      </c>
      <c r="J3465" s="71">
        <f>IF(OR(I3465=0,I3465=""),"unrated",VLOOKUP(I3465,MappingTables!$B$19:$C$31,2,FALSE))</f>
        <v>4</v>
      </c>
      <c r="K3465" s="72">
        <v>9824.8541805857712</v>
      </c>
      <c r="L3465" s="70">
        <v>2.4376170640354792</v>
      </c>
      <c r="M3465" s="71">
        <f>IF(L3465&lt;1,1,L3465)</f>
        <v>2.4376170640354792</v>
      </c>
      <c r="N3465" s="70" t="s">
        <v>141</v>
      </c>
      <c r="O3465" s="71">
        <f>INDEX(DurClassMapping,MATCH(M3465,MappingTables!$D$4:$D$8,-1),1)</f>
        <v>1</v>
      </c>
      <c r="P3465" s="73">
        <f>IF(M3465=$A$1,1,$M3465-INDEX(MappingTables!$E$4:$E$8,MATCH(O3465,MappingTables!$B$4:$B$8,0)))</f>
        <v>2.4376170640354792</v>
      </c>
      <c r="Q3465" s="71">
        <f>IF(B3465="",0,INDEX(ModelParameters!$D$6:$K$10,MATCH($O3465,ModelParameters!$B$6:$B$10,0),MATCH($J3465,ModelParameters!$D$5:$K$5,0)))</f>
        <v>0.045</v>
      </c>
      <c r="R3465" s="71">
        <f>IF(B3465="",0,INDEX(ModelParameters!$D$13:$K$17,MATCH($O3465,ModelParameters!$B$13:$B$17,0),MATCH($J3465,ModelParameters!$D$5:$K$5,0)))</f>
        <v>0</v>
      </c>
      <c r="S3465" s="160">
        <f>IF(B3465="",0,MIN(IF($N3465="Other Bond TM",ModelParameters!$N$21,1)*(P3465*Q3465+R3465),1))</f>
        <v>0.10969276788159656</v>
      </c>
      <c r="T3465" s="85">
        <f>IF(B3465="",0,$S3465*$K3465)</f>
        <v>1077.7154491015286</v>
      </c>
      <c r="U3465" s="85">
        <f>IF(B3465="",0,IF(OR(H3465=MappingTables!$C$34,H3465=MappingTables!$C$35),T3465,0))</f>
        <v>0</v>
      </c>
      <c r="V3465" s="85">
        <f>IF(ISNA(IF(AND(VLOOKUP(CONCATENATE($D3465,$G3465),CSRFinput!$B:$E,4,0)=0,OR(H3465=MappingTables!$C$34,H3465=MappingTables!$C$35)),1,VLOOKUP(CONCATENATE($D3465,$G3465),CSRFinput!$B:$E,4,0))),0,IF(AND(VLOOKUP(CONCATENATE($D3465,$G3465),CSRFinput!$B:$E,4,0)=0,OR(H3465=MappingTables!$C$34,H3465=MappingTables!$C$35)),1,VLOOKUP(CONCATENATE($D3465,$G3465),CSRFinput!$B:$E,4,0)))</f>
        <v>0.054776304963434752</v>
      </c>
      <c r="W3465" s="85">
        <f>IF(B3465="",0,+$T3465*$V3465)</f>
        <v>59.033270103790368</v>
      </c>
      <c r="X3465" s="85">
        <f>IF(B3465="",0,IF(OR(H3465=MappingTables!$C$34,H3465=MappingTables!$C$35),W3465,0))</f>
        <v>0</v>
      </c>
    </row>
    <row r="3466" spans="2:24" s="0" customFormat="0" ht="15">
      <c r="B3466" s="69">
        <v>4187635</v>
      </c>
      <c r="C3466" s="70" t="s">
        <v>808</v>
      </c>
      <c r="D3466" s="70" t="s">
        <v>1</v>
      </c>
      <c r="E3466" s="70" t="s">
        <v>1</v>
      </c>
      <c r="F3466" s="70"/>
      <c r="G3466" s="70" t="s">
        <v>61</v>
      </c>
      <c r="H3466" s="70" t="s">
        <v>178</v>
      </c>
      <c r="I3466" s="70" t="s">
        <v>179</v>
      </c>
      <c r="J3466" s="71">
        <f>IF(OR(I3466=0,I3466=""),"unrated",VLOOKUP(I3466,MappingTables!$B$19:$C$31,2,FALSE))</f>
        <v>4</v>
      </c>
      <c r="K3466" s="72">
        <v>15134.590498457202</v>
      </c>
      <c r="L3466" s="70">
        <v>6.4319634771857184</v>
      </c>
      <c r="M3466" s="71">
        <f>IF(L3466&lt;1,1,L3466)</f>
        <v>6.4319634771857184</v>
      </c>
      <c r="N3466" s="70" t="s">
        <v>141</v>
      </c>
      <c r="O3466" s="71">
        <f>INDEX(DurClassMapping,MATCH(M3466,MappingTables!$D$4:$D$8,-1),1)</f>
        <v>2</v>
      </c>
      <c r="P3466" s="73">
        <f>IF(M3466=$A$1,1,$M3466-INDEX(MappingTables!$E$4:$E$8,MATCH(O3466,MappingTables!$B$4:$B$8,0)))</f>
        <v>1.4319634771857182</v>
      </c>
      <c r="Q3466" s="71">
        <f>IF(B3466="",0,INDEX(ModelParameters!$D$6:$K$10,MATCH($O3466,ModelParameters!$B$6:$B$10,0),MATCH($J3466,ModelParameters!$D$5:$K$5,0)))</f>
        <v>0.025</v>
      </c>
      <c r="R3466" s="71">
        <f>IF(B3466="",0,INDEX(ModelParameters!$D$13:$K$17,MATCH($O3466,ModelParameters!$B$13:$B$17,0),MATCH($J3466,ModelParameters!$D$5:$K$5,0)))</f>
        <v>0.225</v>
      </c>
      <c r="S3466" s="160">
        <f>IF(B3466="",0,MIN(IF($N3466="Other Bond TM",ModelParameters!$N$21,1)*(P3466*Q3466+R3466),1))</f>
        <v>0.26079908692964292</v>
      </c>
      <c r="T3466" s="85">
        <f>IF(B3466="",0,$S3466*$K3466)</f>
        <v>3947.087383051688</v>
      </c>
      <c r="U3466" s="85">
        <f>IF(B3466="",0,IF(OR(H3466=MappingTables!$C$34,H3466=MappingTables!$C$35),T3466,0))</f>
        <v>0</v>
      </c>
      <c r="V3466" s="85">
        <f>IF(ISNA(IF(AND(VLOOKUP(CONCATENATE($D3466,$G3466),CSRFinput!$B:$E,4,0)=0,OR(H3466=MappingTables!$C$34,H3466=MappingTables!$C$35)),1,VLOOKUP(CONCATENATE($D3466,$G3466),CSRFinput!$B:$E,4,0))),0,IF(AND(VLOOKUP(CONCATENATE($D3466,$G3466),CSRFinput!$B:$E,4,0)=0,OR(H3466=MappingTables!$C$34,H3466=MappingTables!$C$35)),1,VLOOKUP(CONCATENATE($D3466,$G3466),CSRFinput!$B:$E,4,0)))</f>
        <v>0.054776304963434752</v>
      </c>
      <c r="W3466" s="85">
        <f>IF(B3466="",0,+$T3466*$V3466)</f>
        <v>216.20686221136488</v>
      </c>
      <c r="X3466" s="85">
        <f>IF(B3466="",0,IF(OR(H3466=MappingTables!$C$34,H3466=MappingTables!$C$35),W3466,0))</f>
        <v>0</v>
      </c>
    </row>
    <row r="3467" spans="2:24" s="0" customFormat="0" ht="15">
      <c r="B3467" s="69">
        <v>22857474</v>
      </c>
      <c r="C3467" s="70" t="s">
        <v>2853</v>
      </c>
      <c r="D3467" s="70" t="s">
        <v>1</v>
      </c>
      <c r="E3467" s="70" t="s">
        <v>1</v>
      </c>
      <c r="F3467" s="70"/>
      <c r="G3467" s="70" t="s">
        <v>61</v>
      </c>
      <c r="H3467" s="70" t="s">
        <v>178</v>
      </c>
      <c r="I3467" s="70" t="s">
        <v>181</v>
      </c>
      <c r="J3467" s="71">
        <f>IF(OR(I3467=0,I3467=""),"unrated",VLOOKUP(I3467,MappingTables!$B$19:$C$31,2,FALSE))</f>
        <v>3</v>
      </c>
      <c r="K3467" s="72">
        <v>10401.081242013368</v>
      </c>
      <c r="L3467" s="70">
        <v>20.557499889836964</v>
      </c>
      <c r="M3467" s="71">
        <f>IF(L3467&lt;1,1,L3467)</f>
        <v>20.557499889836964</v>
      </c>
      <c r="N3467" s="70" t="s">
        <v>141</v>
      </c>
      <c r="O3467" s="71">
        <f>INDEX(DurClassMapping,MATCH(M3467,MappingTables!$D$4:$D$8,-1),1)</f>
        <v>5</v>
      </c>
      <c r="P3467" s="73">
        <f>IF(M3467=$A$1,1,$M3467-INDEX(MappingTables!$E$4:$E$8,MATCH(O3467,MappingTables!$B$4:$B$8,0)))</f>
        <v>0.55749988983696496</v>
      </c>
      <c r="Q3467" s="71">
        <f>IF(B3467="",0,INDEX(ModelParameters!$D$6:$K$10,MATCH($O3467,ModelParameters!$B$6:$B$10,0),MATCH($J3467,ModelParameters!$D$5:$K$5,0)))</f>
        <v>0.005</v>
      </c>
      <c r="R3467" s="71">
        <f>IF(B3467="",0,INDEX(ModelParameters!$D$13:$K$17,MATCH($O3467,ModelParameters!$B$13:$B$17,0),MATCH($J3467,ModelParameters!$D$5:$K$5,0)))</f>
        <v>0.3</v>
      </c>
      <c r="S3467" s="160">
        <f>IF(B3467="",0,MIN(IF($N3467="Other Bond TM",ModelParameters!$N$21,1)*(P3467*Q3467+R3467),1))</f>
        <v>0.3027874994491848</v>
      </c>
      <c r="T3467" s="85">
        <f>IF(B3467="",0,$S3467*$K3467)</f>
        <v>3149.3173808370492</v>
      </c>
      <c r="U3467" s="85">
        <f>IF(B3467="",0,IF(OR(H3467=MappingTables!$C$34,H3467=MappingTables!$C$35),T3467,0))</f>
        <v>0</v>
      </c>
      <c r="V3467" s="85">
        <f>IF(ISNA(IF(AND(VLOOKUP(CONCATENATE($D3467,$G3467),CSRFinput!$B:$E,4,0)=0,OR(H3467=MappingTables!$C$34,H3467=MappingTables!$C$35)),1,VLOOKUP(CONCATENATE($D3467,$G3467),CSRFinput!$B:$E,4,0))),0,IF(AND(VLOOKUP(CONCATENATE($D3467,$G3467),CSRFinput!$B:$E,4,0)=0,OR(H3467=MappingTables!$C$34,H3467=MappingTables!$C$35)),1,VLOOKUP(CONCATENATE($D3467,$G3467),CSRFinput!$B:$E,4,0)))</f>
        <v>0.054776304963434752</v>
      </c>
      <c r="W3467" s="85">
        <f>IF(B3467="",0,+$T3467*$V3467)</f>
        <v>172.5079692793758</v>
      </c>
      <c r="X3467" s="85">
        <f>IF(B3467="",0,IF(OR(H3467=MappingTables!$C$34,H3467=MappingTables!$C$35),W3467,0))</f>
        <v>0</v>
      </c>
    </row>
    <row r="3468" spans="2:24" s="0" customFormat="0" ht="15">
      <c r="B3468" s="69">
        <v>13443990</v>
      </c>
      <c r="C3468" s="70" t="s">
        <v>2849</v>
      </c>
      <c r="D3468" s="70" t="s">
        <v>1</v>
      </c>
      <c r="E3468" s="70" t="s">
        <v>1</v>
      </c>
      <c r="F3468" s="70"/>
      <c r="G3468" s="70" t="s">
        <v>61</v>
      </c>
      <c r="H3468" s="70" t="s">
        <v>178</v>
      </c>
      <c r="I3468" s="70" t="s">
        <v>198</v>
      </c>
      <c r="J3468" s="71" t="str">
        <f>IF(OR(I3468=0,I3468=""),"unrated",VLOOKUP(I3468,MappingTables!$B$19:$C$31,2,FALSE))</f>
        <v>unrated</v>
      </c>
      <c r="K3468" s="72">
        <v>108.20133056145658</v>
      </c>
      <c r="L3468" s="70">
        <v>0.16164174341263806</v>
      </c>
      <c r="M3468" s="71">
        <f>IF(L3468&lt;1,1,L3468)</f>
        <v>1</v>
      </c>
      <c r="N3468" s="70" t="s">
        <v>141</v>
      </c>
      <c r="O3468" s="71">
        <f>INDEX(DurClassMapping,MATCH(M3468,MappingTables!$D$4:$D$8,-1),1)</f>
        <v>1</v>
      </c>
      <c r="P3468" s="73">
        <f>IF(M3468=$A$1,1,$M3468-INDEX(MappingTables!$E$4:$E$8,MATCH(O3468,MappingTables!$B$4:$B$8,0)))</f>
        <v>1</v>
      </c>
      <c r="Q3468" s="71">
        <f>IF(B3468="",0,INDEX(ModelParameters!$D$6:$K$10,MATCH($O3468,ModelParameters!$B$6:$B$10,0),MATCH($J3468,ModelParameters!$D$5:$K$5,0)))</f>
        <v>0.03</v>
      </c>
      <c r="R3468" s="71">
        <f>IF(B3468="",0,INDEX(ModelParameters!$D$13:$K$17,MATCH($O3468,ModelParameters!$B$13:$B$17,0),MATCH($J3468,ModelParameters!$D$5:$K$5,0)))</f>
        <v>0</v>
      </c>
      <c r="S3468" s="160">
        <f>IF(B3468="",0,MIN(IF($N3468="Other Bond TM",ModelParameters!$N$21,1)*(P3468*Q3468+R3468),1))</f>
        <v>0.03</v>
      </c>
      <c r="T3468" s="85">
        <f>IF(B3468="",0,$S3468*$K3468)</f>
        <v>3.2460399168436976</v>
      </c>
      <c r="U3468" s="85">
        <f>IF(B3468="",0,IF(OR(H3468=MappingTables!$C$34,H3468=MappingTables!$C$35),T3468,0))</f>
        <v>0</v>
      </c>
      <c r="V3468" s="85">
        <f>IF(ISNA(IF(AND(VLOOKUP(CONCATENATE($D3468,$G3468),CSRFinput!$B:$E,4,0)=0,OR(H3468=MappingTables!$C$34,H3468=MappingTables!$C$35)),1,VLOOKUP(CONCATENATE($D3468,$G3468),CSRFinput!$B:$E,4,0))),0,IF(AND(VLOOKUP(CONCATENATE($D3468,$G3468),CSRFinput!$B:$E,4,0)=0,OR(H3468=MappingTables!$C$34,H3468=MappingTables!$C$35)),1,VLOOKUP(CONCATENATE($D3468,$G3468),CSRFinput!$B:$E,4,0)))</f>
        <v>0.054776304963434752</v>
      </c>
      <c r="W3468" s="85">
        <f>IF(B3468="",0,+$T3468*$V3468)</f>
        <v>0.17780607240851276</v>
      </c>
      <c r="X3468" s="85">
        <f>IF(B3468="",0,IF(OR(H3468=MappingTables!$C$34,H3468=MappingTables!$C$35),W3468,0))</f>
        <v>0</v>
      </c>
    </row>
    <row r="3469" spans="2:24" s="0" customFormat="0" ht="15">
      <c r="B3469" s="69">
        <v>14428839</v>
      </c>
      <c r="C3469" s="70" t="s">
        <v>683</v>
      </c>
      <c r="D3469" s="70" t="s">
        <v>1</v>
      </c>
      <c r="E3469" s="70" t="s">
        <v>1</v>
      </c>
      <c r="F3469" s="70"/>
      <c r="G3469" s="70" t="s">
        <v>61</v>
      </c>
      <c r="H3469" s="70" t="s">
        <v>178</v>
      </c>
      <c r="I3469" s="70" t="s">
        <v>179</v>
      </c>
      <c r="J3469" s="71">
        <f>IF(OR(I3469=0,I3469=""),"unrated",VLOOKUP(I3469,MappingTables!$B$19:$C$31,2,FALSE))</f>
        <v>4</v>
      </c>
      <c r="K3469" s="72">
        <v>238.88781637864436</v>
      </c>
      <c r="L3469" s="70">
        <v>5.4355896328786008</v>
      </c>
      <c r="M3469" s="71">
        <f>IF(L3469&lt;1,1,L3469)</f>
        <v>5.4355896328786008</v>
      </c>
      <c r="N3469" s="70" t="s">
        <v>141</v>
      </c>
      <c r="O3469" s="71">
        <f>INDEX(DurClassMapping,MATCH(M3469,MappingTables!$D$4:$D$8,-1),1)</f>
        <v>2</v>
      </c>
      <c r="P3469" s="73">
        <f>IF(M3469=$A$1,1,$M3469-INDEX(MappingTables!$E$4:$E$8,MATCH(O3469,MappingTables!$B$4:$B$8,0)))</f>
        <v>0.4355896328786004</v>
      </c>
      <c r="Q3469" s="71">
        <f>IF(B3469="",0,INDEX(ModelParameters!$D$6:$K$10,MATCH($O3469,ModelParameters!$B$6:$B$10,0),MATCH($J3469,ModelParameters!$D$5:$K$5,0)))</f>
        <v>0.025</v>
      </c>
      <c r="R3469" s="71">
        <f>IF(B3469="",0,INDEX(ModelParameters!$D$13:$K$17,MATCH($O3469,ModelParameters!$B$13:$B$17,0),MATCH($J3469,ModelParameters!$D$5:$K$5,0)))</f>
        <v>0.225</v>
      </c>
      <c r="S3469" s="160">
        <f>IF(B3469="",0,MIN(IF($N3469="Other Bond TM",ModelParameters!$N$21,1)*(P3469*Q3469+R3469),1))</f>
        <v>0.235889740821965</v>
      </c>
      <c r="T3469" s="85">
        <f>IF(B3469="",0,$S3469*$K3469)</f>
        <v>56.351185091083584</v>
      </c>
      <c r="U3469" s="85">
        <f>IF(B3469="",0,IF(OR(H3469=MappingTables!$C$34,H3469=MappingTables!$C$35),T3469,0))</f>
        <v>0</v>
      </c>
      <c r="V3469" s="85">
        <f>IF(ISNA(IF(AND(VLOOKUP(CONCATENATE($D3469,$G3469),CSRFinput!$B:$E,4,0)=0,OR(H3469=MappingTables!$C$34,H3469=MappingTables!$C$35)),1,VLOOKUP(CONCATENATE($D3469,$G3469),CSRFinput!$B:$E,4,0))),0,IF(AND(VLOOKUP(CONCATENATE($D3469,$G3469),CSRFinput!$B:$E,4,0)=0,OR(H3469=MappingTables!$C$34,H3469=MappingTables!$C$35)),1,VLOOKUP(CONCATENATE($D3469,$G3469),CSRFinput!$B:$E,4,0)))</f>
        <v>0.054776304963434752</v>
      </c>
      <c r="W3469" s="85">
        <f>IF(B3469="",0,+$T3469*$V3469)</f>
        <v>3.0867096996001524</v>
      </c>
      <c r="X3469" s="85">
        <f>IF(B3469="",0,IF(OR(H3469=MappingTables!$C$34,H3469=MappingTables!$C$35),W3469,0))</f>
        <v>0</v>
      </c>
    </row>
    <row r="3470" spans="2:24" s="0" customFormat="0" ht="15">
      <c r="B3470" s="69">
        <v>22320616</v>
      </c>
      <c r="C3470" s="70" t="s">
        <v>2206</v>
      </c>
      <c r="D3470" s="70" t="s">
        <v>1</v>
      </c>
      <c r="E3470" s="70" t="s">
        <v>1</v>
      </c>
      <c r="F3470" s="70"/>
      <c r="G3470" s="70" t="s">
        <v>61</v>
      </c>
      <c r="H3470" s="70" t="s">
        <v>178</v>
      </c>
      <c r="I3470" s="70" t="s">
        <v>220</v>
      </c>
      <c r="J3470" s="71">
        <f>IF(OR(I3470=0,I3470=""),"unrated",VLOOKUP(I3470,MappingTables!$B$19:$C$31,2,FALSE))</f>
        <v>1</v>
      </c>
      <c r="K3470" s="72">
        <v>15.223662797763678</v>
      </c>
      <c r="L3470" s="70">
        <v>3.9242936157150312</v>
      </c>
      <c r="M3470" s="71">
        <f>IF(L3470&lt;1,1,L3470)</f>
        <v>3.9242936157150312</v>
      </c>
      <c r="N3470" s="70" t="s">
        <v>141</v>
      </c>
      <c r="O3470" s="71">
        <f>INDEX(DurClassMapping,MATCH(M3470,MappingTables!$D$4:$D$8,-1),1)</f>
        <v>1</v>
      </c>
      <c r="P3470" s="73">
        <f>IF(M3470=$A$1,1,$M3470-INDEX(MappingTables!$E$4:$E$8,MATCH(O3470,MappingTables!$B$4:$B$8,0)))</f>
        <v>3.9242936157150312</v>
      </c>
      <c r="Q3470" s="71">
        <f>IF(B3470="",0,INDEX(ModelParameters!$D$6:$K$10,MATCH($O3470,ModelParameters!$B$6:$B$10,0),MATCH($J3470,ModelParameters!$D$5:$K$5,0)))</f>
        <v>0.011000000000000002</v>
      </c>
      <c r="R3470" s="71">
        <f>IF(B3470="",0,INDEX(ModelParameters!$D$13:$K$17,MATCH($O3470,ModelParameters!$B$13:$B$17,0),MATCH($J3470,ModelParameters!$D$5:$K$5,0)))</f>
        <v>0</v>
      </c>
      <c r="S3470" s="160">
        <f>IF(B3470="",0,MIN(IF($N3470="Other Bond TM",ModelParameters!$N$21,1)*(P3470*Q3470+R3470),1))</f>
        <v>0.043167229772865344</v>
      </c>
      <c r="T3470" s="85">
        <f>IF(B3470="",0,$S3470*$K3470)</f>
        <v>0.65716334997568672</v>
      </c>
      <c r="U3470" s="85">
        <f>IF(B3470="",0,IF(OR(H3470=MappingTables!$C$34,H3470=MappingTables!$C$35),T3470,0))</f>
        <v>0</v>
      </c>
      <c r="V3470" s="85">
        <f>IF(ISNA(IF(AND(VLOOKUP(CONCATENATE($D3470,$G3470),CSRFinput!$B:$E,4,0)=0,OR(H3470=MappingTables!$C$34,H3470=MappingTables!$C$35)),1,VLOOKUP(CONCATENATE($D3470,$G3470),CSRFinput!$B:$E,4,0))),0,IF(AND(VLOOKUP(CONCATENATE($D3470,$G3470),CSRFinput!$B:$E,4,0)=0,OR(H3470=MappingTables!$C$34,H3470=MappingTables!$C$35)),1,VLOOKUP(CONCATENATE($D3470,$G3470),CSRFinput!$B:$E,4,0)))</f>
        <v>0.054776304963434752</v>
      </c>
      <c r="W3470" s="85">
        <f>IF(B3470="",0,+$T3470*$V3470)</f>
        <v>0.035996980069060616</v>
      </c>
      <c r="X3470" s="85">
        <f>IF(B3470="",0,IF(OR(H3470=MappingTables!$C$34,H3470=MappingTables!$C$35),W3470,0))</f>
        <v>0</v>
      </c>
    </row>
    <row r="3471" spans="2:24" s="0" customFormat="0" ht="15">
      <c r="B3471" s="69">
        <v>14455838</v>
      </c>
      <c r="C3471" s="70" t="s">
        <v>1965</v>
      </c>
      <c r="D3471" s="70" t="s">
        <v>1</v>
      </c>
      <c r="E3471" s="70" t="s">
        <v>1</v>
      </c>
      <c r="F3471" s="70"/>
      <c r="G3471" s="70" t="s">
        <v>61</v>
      </c>
      <c r="H3471" s="70" t="s">
        <v>178</v>
      </c>
      <c r="I3471" s="70" t="s">
        <v>179</v>
      </c>
      <c r="J3471" s="71">
        <f>IF(OR(I3471=0,I3471=""),"unrated",VLOOKUP(I3471,MappingTables!$B$19:$C$31,2,FALSE))</f>
        <v>4</v>
      </c>
      <c r="K3471" s="72">
        <v>20172.758915986876</v>
      </c>
      <c r="L3471" s="70">
        <v>1.48549474752567</v>
      </c>
      <c r="M3471" s="71">
        <f>IF(L3471&lt;1,1,L3471)</f>
        <v>1.48549474752567</v>
      </c>
      <c r="N3471" s="70" t="s">
        <v>141</v>
      </c>
      <c r="O3471" s="71">
        <f>INDEX(DurClassMapping,MATCH(M3471,MappingTables!$D$4:$D$8,-1),1)</f>
        <v>1</v>
      </c>
      <c r="P3471" s="73">
        <f>IF(M3471=$A$1,1,$M3471-INDEX(MappingTables!$E$4:$E$8,MATCH(O3471,MappingTables!$B$4:$B$8,0)))</f>
        <v>1.48549474752567</v>
      </c>
      <c r="Q3471" s="71">
        <f>IF(B3471="",0,INDEX(ModelParameters!$D$6:$K$10,MATCH($O3471,ModelParameters!$B$6:$B$10,0),MATCH($J3471,ModelParameters!$D$5:$K$5,0)))</f>
        <v>0.045</v>
      </c>
      <c r="R3471" s="71">
        <f>IF(B3471="",0,INDEX(ModelParameters!$D$13:$K$17,MATCH($O3471,ModelParameters!$B$13:$B$17,0),MATCH($J3471,ModelParameters!$D$5:$K$5,0)))</f>
        <v>0</v>
      </c>
      <c r="S3471" s="160">
        <f>IF(B3471="",0,MIN(IF($N3471="Other Bond TM",ModelParameters!$N$21,1)*(P3471*Q3471+R3471),1))</f>
        <v>0.066847263638655144</v>
      </c>
      <c r="T3471" s="85">
        <f>IF(B3471="",0,$S3471*$K3471)</f>
        <v>1348.493733576006</v>
      </c>
      <c r="U3471" s="85">
        <f>IF(B3471="",0,IF(OR(H3471=MappingTables!$C$34,H3471=MappingTables!$C$35),T3471,0))</f>
        <v>0</v>
      </c>
      <c r="V3471" s="85">
        <f>IF(ISNA(IF(AND(VLOOKUP(CONCATENATE($D3471,$G3471),CSRFinput!$B:$E,4,0)=0,OR(H3471=MappingTables!$C$34,H3471=MappingTables!$C$35)),1,VLOOKUP(CONCATENATE($D3471,$G3471),CSRFinput!$B:$E,4,0))),0,IF(AND(VLOOKUP(CONCATENATE($D3471,$G3471),CSRFinput!$B:$E,4,0)=0,OR(H3471=MappingTables!$C$34,H3471=MappingTables!$C$35)),1,VLOOKUP(CONCATENATE($D3471,$G3471),CSRFinput!$B:$E,4,0)))</f>
        <v>0.054776304963434752</v>
      </c>
      <c r="W3471" s="85">
        <f>IF(B3471="",0,+$T3471*$V3471)</f>
        <v>73.865503991640032</v>
      </c>
      <c r="X3471" s="85">
        <f>IF(B3471="",0,IF(OR(H3471=MappingTables!$C$34,H3471=MappingTables!$C$35),W3471,0))</f>
        <v>0</v>
      </c>
    </row>
    <row r="3472" spans="2:24" s="0" customFormat="0" ht="15">
      <c r="B3472" s="69">
        <v>11519512</v>
      </c>
      <c r="C3472" s="70" t="s">
        <v>966</v>
      </c>
      <c r="D3472" s="70" t="s">
        <v>1</v>
      </c>
      <c r="E3472" s="70" t="s">
        <v>1</v>
      </c>
      <c r="F3472" s="70"/>
      <c r="G3472" s="70" t="s">
        <v>61</v>
      </c>
      <c r="H3472" s="70" t="s">
        <v>178</v>
      </c>
      <c r="I3472" s="70" t="s">
        <v>181</v>
      </c>
      <c r="J3472" s="71">
        <f>IF(OR(I3472=0,I3472=""),"unrated",VLOOKUP(I3472,MappingTables!$B$19:$C$31,2,FALSE))</f>
        <v>3</v>
      </c>
      <c r="K3472" s="72">
        <v>7928.7639511934864</v>
      </c>
      <c r="L3472" s="70">
        <v>4.520180816088892</v>
      </c>
      <c r="M3472" s="71">
        <f>IF(L3472&lt;1,1,L3472)</f>
        <v>4.520180816088892</v>
      </c>
      <c r="N3472" s="70" t="s">
        <v>141</v>
      </c>
      <c r="O3472" s="71">
        <f>INDEX(DurClassMapping,MATCH(M3472,MappingTables!$D$4:$D$8,-1),1)</f>
        <v>1</v>
      </c>
      <c r="P3472" s="73">
        <f>IF(M3472=$A$1,1,$M3472-INDEX(MappingTables!$E$4:$E$8,MATCH(O3472,MappingTables!$B$4:$B$8,0)))</f>
        <v>4.520180816088892</v>
      </c>
      <c r="Q3472" s="71">
        <f>IF(B3472="",0,INDEX(ModelParameters!$D$6:$K$10,MATCH($O3472,ModelParameters!$B$6:$B$10,0),MATCH($J3472,ModelParameters!$D$5:$K$5,0)))</f>
        <v>0.025</v>
      </c>
      <c r="R3472" s="71">
        <f>IF(B3472="",0,INDEX(ModelParameters!$D$13:$K$17,MATCH($O3472,ModelParameters!$B$13:$B$17,0),MATCH($J3472,ModelParameters!$D$5:$K$5,0)))</f>
        <v>0</v>
      </c>
      <c r="S3472" s="160">
        <f>IF(B3472="",0,MIN(IF($N3472="Other Bond TM",ModelParameters!$N$21,1)*(P3472*Q3472+R3472),1))</f>
        <v>0.1130045204022223</v>
      </c>
      <c r="T3472" s="85">
        <f>IF(B3472="",0,$S3472*$K3472)</f>
        <v>895.98616768704912</v>
      </c>
      <c r="U3472" s="85">
        <f>IF(B3472="",0,IF(OR(H3472=MappingTables!$C$34,H3472=MappingTables!$C$35),T3472,0))</f>
        <v>0</v>
      </c>
      <c r="V3472" s="85">
        <f>IF(ISNA(IF(AND(VLOOKUP(CONCATENATE($D3472,$G3472),CSRFinput!$B:$E,4,0)=0,OR(H3472=MappingTables!$C$34,H3472=MappingTables!$C$35)),1,VLOOKUP(CONCATENATE($D3472,$G3472),CSRFinput!$B:$E,4,0))),0,IF(AND(VLOOKUP(CONCATENATE($D3472,$G3472),CSRFinput!$B:$E,4,0)=0,OR(H3472=MappingTables!$C$34,H3472=MappingTables!$C$35)),1,VLOOKUP(CONCATENATE($D3472,$G3472),CSRFinput!$B:$E,4,0)))</f>
        <v>0.054776304963434752</v>
      </c>
      <c r="W3472" s="85">
        <f>IF(B3472="",0,+$T3472*$V3472)</f>
        <v>49.078811564244992</v>
      </c>
      <c r="X3472" s="85">
        <f>IF(B3472="",0,IF(OR(H3472=MappingTables!$C$34,H3472=MappingTables!$C$35),W3472,0))</f>
        <v>0</v>
      </c>
    </row>
    <row r="3473" spans="2:24" s="0" customFormat="0" ht="15">
      <c r="B3473" s="69" t="s">
        <v>1464</v>
      </c>
      <c r="C3473" s="70" t="s">
        <v>1465</v>
      </c>
      <c r="D3473" s="70" t="s">
        <v>1</v>
      </c>
      <c r="E3473" s="70" t="s">
        <v>1</v>
      </c>
      <c r="F3473" s="70"/>
      <c r="G3473" s="70" t="s">
        <v>61</v>
      </c>
      <c r="H3473" s="70" t="s">
        <v>178</v>
      </c>
      <c r="I3473" s="70" t="s">
        <v>188</v>
      </c>
      <c r="J3473" s="71">
        <f>IF(OR(I3473=0,I3473=""),"unrated",VLOOKUP(I3473,MappingTables!$B$19:$C$31,2,FALSE))</f>
        <v>2</v>
      </c>
      <c r="K3473" s="72">
        <v>0.29865851131757736</v>
      </c>
      <c r="L3473" s="70">
        <v>0.68219734267947184</v>
      </c>
      <c r="M3473" s="71">
        <f>IF(L3473&lt;1,1,L3473)</f>
        <v>1</v>
      </c>
      <c r="N3473" s="70" t="s">
        <v>141</v>
      </c>
      <c r="O3473" s="71">
        <f>INDEX(DurClassMapping,MATCH(M3473,MappingTables!$D$4:$D$8,-1),1)</f>
        <v>1</v>
      </c>
      <c r="P3473" s="73">
        <f>IF(M3473=$A$1,1,$M3473-INDEX(MappingTables!$E$4:$E$8,MATCH(O3473,MappingTables!$B$4:$B$8,0)))</f>
        <v>1</v>
      </c>
      <c r="Q3473" s="71">
        <f>IF(B3473="",0,INDEX(ModelParameters!$D$6:$K$10,MATCH($O3473,ModelParameters!$B$6:$B$10,0),MATCH($J3473,ModelParameters!$D$5:$K$5,0)))</f>
        <v>0.013999999999999998</v>
      </c>
      <c r="R3473" s="71">
        <f>IF(B3473="",0,INDEX(ModelParameters!$D$13:$K$17,MATCH($O3473,ModelParameters!$B$13:$B$17,0),MATCH($J3473,ModelParameters!$D$5:$K$5,0)))</f>
        <v>0</v>
      </c>
      <c r="S3473" s="160">
        <f>IF(B3473="",0,MIN(IF($N3473="Other Bond TM",ModelParameters!$N$21,1)*(P3473*Q3473+R3473),1))</f>
        <v>0.013999999999999998</v>
      </c>
      <c r="T3473" s="85">
        <f>IF(B3473="",0,$S3473*$K3473)</f>
        <v>0.0041812191584460824</v>
      </c>
      <c r="U3473" s="85">
        <f>IF(B3473="",0,IF(OR(H3473=MappingTables!$C$34,H3473=MappingTables!$C$35),T3473,0))</f>
        <v>0</v>
      </c>
      <c r="V3473" s="85">
        <f>IF(ISNA(IF(AND(VLOOKUP(CONCATENATE($D3473,$G3473),CSRFinput!$B:$E,4,0)=0,OR(H3473=MappingTables!$C$34,H3473=MappingTables!$C$35)),1,VLOOKUP(CONCATENATE($D3473,$G3473),CSRFinput!$B:$E,4,0))),0,IF(AND(VLOOKUP(CONCATENATE($D3473,$G3473),CSRFinput!$B:$E,4,0)=0,OR(H3473=MappingTables!$C$34,H3473=MappingTables!$C$35)),1,VLOOKUP(CONCATENATE($D3473,$G3473),CSRFinput!$B:$E,4,0)))</f>
        <v>0.054776304963434752</v>
      </c>
      <c r="W3473" s="85">
        <f>IF(B3473="",0,+$T3473*$V3473)</f>
        <v>0.00022903173574199864</v>
      </c>
      <c r="X3473" s="85">
        <f>IF(B3473="",0,IF(OR(H3473=MappingTables!$C$34,H3473=MappingTables!$C$35),W3473,0))</f>
        <v>0</v>
      </c>
    </row>
    <row r="3474" spans="2:24" s="0" customFormat="0" ht="15">
      <c r="B3474" s="69" t="s">
        <v>2854</v>
      </c>
      <c r="C3474" s="70" t="s">
        <v>2855</v>
      </c>
      <c r="D3474" s="70" t="s">
        <v>1</v>
      </c>
      <c r="E3474" s="70" t="s">
        <v>1</v>
      </c>
      <c r="F3474" s="70"/>
      <c r="G3474" s="70" t="s">
        <v>61</v>
      </c>
      <c r="H3474" s="70" t="s">
        <v>178</v>
      </c>
      <c r="I3474" s="70" t="s">
        <v>198</v>
      </c>
      <c r="J3474" s="71" t="str">
        <f>IF(OR(I3474=0,I3474=""),"unrated",VLOOKUP(I3474,MappingTables!$B$19:$C$31,2,FALSE))</f>
        <v>unrated</v>
      </c>
      <c r="K3474" s="72">
        <v>147.93305955299396</v>
      </c>
      <c r="L3474" s="70">
        <v>0.16986774291990872</v>
      </c>
      <c r="M3474" s="71">
        <f>IF(L3474&lt;1,1,L3474)</f>
        <v>1</v>
      </c>
      <c r="N3474" s="70" t="s">
        <v>141</v>
      </c>
      <c r="O3474" s="71">
        <f>INDEX(DurClassMapping,MATCH(M3474,MappingTables!$D$4:$D$8,-1),1)</f>
        <v>1</v>
      </c>
      <c r="P3474" s="73">
        <f>IF(M3474=$A$1,1,$M3474-INDEX(MappingTables!$E$4:$E$8,MATCH(O3474,MappingTables!$B$4:$B$8,0)))</f>
        <v>1</v>
      </c>
      <c r="Q3474" s="71">
        <f>IF(B3474="",0,INDEX(ModelParameters!$D$6:$K$10,MATCH($O3474,ModelParameters!$B$6:$B$10,0),MATCH($J3474,ModelParameters!$D$5:$K$5,0)))</f>
        <v>0.03</v>
      </c>
      <c r="R3474" s="71">
        <f>IF(B3474="",0,INDEX(ModelParameters!$D$13:$K$17,MATCH($O3474,ModelParameters!$B$13:$B$17,0),MATCH($J3474,ModelParameters!$D$5:$K$5,0)))</f>
        <v>0</v>
      </c>
      <c r="S3474" s="160">
        <f>IF(B3474="",0,MIN(IF($N3474="Other Bond TM",ModelParameters!$N$21,1)*(P3474*Q3474+R3474),1))</f>
        <v>0.03</v>
      </c>
      <c r="T3474" s="85">
        <f>IF(B3474="",0,$S3474*$K3474)</f>
        <v>4.4379917865898184</v>
      </c>
      <c r="U3474" s="85">
        <f>IF(B3474="",0,IF(OR(H3474=MappingTables!$C$34,H3474=MappingTables!$C$35),T3474,0))</f>
        <v>0</v>
      </c>
      <c r="V3474" s="85">
        <f>IF(ISNA(IF(AND(VLOOKUP(CONCATENATE($D3474,$G3474),CSRFinput!$B:$E,4,0)=0,OR(H3474=MappingTables!$C$34,H3474=MappingTables!$C$35)),1,VLOOKUP(CONCATENATE($D3474,$G3474),CSRFinput!$B:$E,4,0))),0,IF(AND(VLOOKUP(CONCATENATE($D3474,$G3474),CSRFinput!$B:$E,4,0)=0,OR(H3474=MappingTables!$C$34,H3474=MappingTables!$C$35)),1,VLOOKUP(CONCATENATE($D3474,$G3474),CSRFinput!$B:$E,4,0)))</f>
        <v>0.054776304963434752</v>
      </c>
      <c r="W3474" s="85">
        <f>IF(B3474="",0,+$T3474*$V3474)</f>
        <v>0.24309679152746256</v>
      </c>
      <c r="X3474" s="85">
        <f>IF(B3474="",0,IF(OR(H3474=MappingTables!$C$34,H3474=MappingTables!$C$35),W3474,0))</f>
        <v>0</v>
      </c>
    </row>
    <row r="3475" spans="2:24" s="0" customFormat="0" ht="15">
      <c r="B3475" s="69" t="s">
        <v>2856</v>
      </c>
      <c r="C3475" s="70" t="s">
        <v>2857</v>
      </c>
      <c r="D3475" s="70" t="s">
        <v>1</v>
      </c>
      <c r="E3475" s="70" t="s">
        <v>1</v>
      </c>
      <c r="F3475" s="70"/>
      <c r="G3475" s="70" t="s">
        <v>61</v>
      </c>
      <c r="H3475" s="70" t="s">
        <v>178</v>
      </c>
      <c r="I3475" s="70" t="s">
        <v>184</v>
      </c>
      <c r="J3475" s="71">
        <f>IF(OR(I3475=0,I3475=""),"unrated",VLOOKUP(I3475,MappingTables!$B$19:$C$31,2,FALSE))</f>
        <v>5</v>
      </c>
      <c r="K3475" s="72">
        <v>128.5193039540666</v>
      </c>
      <c r="L3475" s="70">
        <v>4.1640191074474096</v>
      </c>
      <c r="M3475" s="71">
        <f>IF(L3475&lt;1,1,L3475)</f>
        <v>4.1640191074474096</v>
      </c>
      <c r="N3475" s="70" t="s">
        <v>141</v>
      </c>
      <c r="O3475" s="71">
        <f>INDEX(DurClassMapping,MATCH(M3475,MappingTables!$D$4:$D$8,-1),1)</f>
        <v>1</v>
      </c>
      <c r="P3475" s="73">
        <f>IF(M3475=$A$1,1,$M3475-INDEX(MappingTables!$E$4:$E$8,MATCH(O3475,MappingTables!$B$4:$B$8,0)))</f>
        <v>4.1640191074474096</v>
      </c>
      <c r="Q3475" s="71">
        <f>IF(B3475="",0,INDEX(ModelParameters!$D$6:$K$10,MATCH($O3475,ModelParameters!$B$6:$B$10,0),MATCH($J3475,ModelParameters!$D$5:$K$5,0)))</f>
        <v>0.075</v>
      </c>
      <c r="R3475" s="71">
        <f>IF(B3475="",0,INDEX(ModelParameters!$D$13:$K$17,MATCH($O3475,ModelParameters!$B$13:$B$17,0),MATCH($J3475,ModelParameters!$D$5:$K$5,0)))</f>
        <v>0</v>
      </c>
      <c r="S3475" s="160">
        <f>IF(B3475="",0,MIN(IF($N3475="Other Bond TM",ModelParameters!$N$21,1)*(P3475*Q3475+R3475),1))</f>
        <v>0.31230143305855572</v>
      </c>
      <c r="T3475" s="85">
        <f>IF(B3475="",0,$S3475*$K3475)</f>
        <v>40.136762800543112</v>
      </c>
      <c r="U3475" s="85">
        <f>IF(B3475="",0,IF(OR(H3475=MappingTables!$C$34,H3475=MappingTables!$C$35),T3475,0))</f>
        <v>0</v>
      </c>
      <c r="V3475" s="85">
        <f>IF(ISNA(IF(AND(VLOOKUP(CONCATENATE($D3475,$G3475),CSRFinput!$B:$E,4,0)=0,OR(H3475=MappingTables!$C$34,H3475=MappingTables!$C$35)),1,VLOOKUP(CONCATENATE($D3475,$G3475),CSRFinput!$B:$E,4,0))),0,IF(AND(VLOOKUP(CONCATENATE($D3475,$G3475),CSRFinput!$B:$E,4,0)=0,OR(H3475=MappingTables!$C$34,H3475=MappingTables!$C$35)),1,VLOOKUP(CONCATENATE($D3475,$G3475),CSRFinput!$B:$E,4,0)))</f>
        <v>0.054776304963434752</v>
      </c>
      <c r="W3475" s="85">
        <f>IF(B3475="",0,+$T3475*$V3475)</f>
        <v>2.1985435594075932</v>
      </c>
      <c r="X3475" s="85">
        <f>IF(B3475="",0,IF(OR(H3475=MappingTables!$C$34,H3475=MappingTables!$C$35),W3475,0))</f>
        <v>0</v>
      </c>
    </row>
    <row r="3476" spans="2:24" s="0" customFormat="0" ht="15">
      <c r="B3476" s="69">
        <v>12295258</v>
      </c>
      <c r="C3476" s="70" t="s">
        <v>750</v>
      </c>
      <c r="D3476" s="70" t="s">
        <v>1</v>
      </c>
      <c r="E3476" s="70" t="s">
        <v>1</v>
      </c>
      <c r="F3476" s="70"/>
      <c r="G3476" s="70" t="s">
        <v>61</v>
      </c>
      <c r="H3476" s="70" t="s">
        <v>178</v>
      </c>
      <c r="I3476" s="70" t="s">
        <v>188</v>
      </c>
      <c r="J3476" s="71">
        <f>IF(OR(I3476=0,I3476=""),"unrated",VLOOKUP(I3476,MappingTables!$B$19:$C$31,2,FALSE))</f>
        <v>2</v>
      </c>
      <c r="K3476" s="72">
        <v>295.18033856988336</v>
      </c>
      <c r="L3476" s="70">
        <v>4.430838328631444</v>
      </c>
      <c r="M3476" s="71">
        <f>IF(L3476&lt;1,1,L3476)</f>
        <v>4.430838328631444</v>
      </c>
      <c r="N3476" s="70" t="s">
        <v>141</v>
      </c>
      <c r="O3476" s="71">
        <f>INDEX(DurClassMapping,MATCH(M3476,MappingTables!$D$4:$D$8,-1),1)</f>
        <v>1</v>
      </c>
      <c r="P3476" s="73">
        <f>IF(M3476=$A$1,1,$M3476-INDEX(MappingTables!$E$4:$E$8,MATCH(O3476,MappingTables!$B$4:$B$8,0)))</f>
        <v>4.430838328631444</v>
      </c>
      <c r="Q3476" s="71">
        <f>IF(B3476="",0,INDEX(ModelParameters!$D$6:$K$10,MATCH($O3476,ModelParameters!$B$6:$B$10,0),MATCH($J3476,ModelParameters!$D$5:$K$5,0)))</f>
        <v>0.013999999999999998</v>
      </c>
      <c r="R3476" s="71">
        <f>IF(B3476="",0,INDEX(ModelParameters!$D$13:$K$17,MATCH($O3476,ModelParameters!$B$13:$B$17,0),MATCH($J3476,ModelParameters!$D$5:$K$5,0)))</f>
        <v>0</v>
      </c>
      <c r="S3476" s="160">
        <f>IF(B3476="",0,MIN(IF($N3476="Other Bond TM",ModelParameters!$N$21,1)*(P3476*Q3476+R3476),1))</f>
        <v>0.062031736600840216</v>
      </c>
      <c r="T3476" s="85">
        <f>IF(B3476="",0,$S3476*$K3476)</f>
        <v>18.31054901191384</v>
      </c>
      <c r="U3476" s="85">
        <f>IF(B3476="",0,IF(OR(H3476=MappingTables!$C$34,H3476=MappingTables!$C$35),T3476,0))</f>
        <v>0</v>
      </c>
      <c r="V3476" s="85">
        <f>IF(ISNA(IF(AND(VLOOKUP(CONCATENATE($D3476,$G3476),CSRFinput!$B:$E,4,0)=0,OR(H3476=MappingTables!$C$34,H3476=MappingTables!$C$35)),1,VLOOKUP(CONCATENATE($D3476,$G3476),CSRFinput!$B:$E,4,0))),0,IF(AND(VLOOKUP(CONCATENATE($D3476,$G3476),CSRFinput!$B:$E,4,0)=0,OR(H3476=MappingTables!$C$34,H3476=MappingTables!$C$35)),1,VLOOKUP(CONCATENATE($D3476,$G3476),CSRFinput!$B:$E,4,0)))</f>
        <v>0.054776304963434752</v>
      </c>
      <c r="W3476" s="85">
        <f>IF(B3476="",0,+$T3476*$V3476)</f>
        <v>1.0029842167245114</v>
      </c>
      <c r="X3476" s="85">
        <f>IF(B3476="",0,IF(OR(H3476=MappingTables!$C$34,H3476=MappingTables!$C$35),W3476,0))</f>
        <v>0</v>
      </c>
    </row>
    <row r="3477" spans="2:24" s="0" customFormat="0" ht="15">
      <c r="B3477" s="69" t="s">
        <v>631</v>
      </c>
      <c r="C3477" s="70" t="s">
        <v>632</v>
      </c>
      <c r="D3477" s="70" t="s">
        <v>1</v>
      </c>
      <c r="E3477" s="70" t="s">
        <v>1</v>
      </c>
      <c r="F3477" s="70"/>
      <c r="G3477" s="70" t="s">
        <v>61</v>
      </c>
      <c r="H3477" s="70" t="s">
        <v>178</v>
      </c>
      <c r="I3477" s="70" t="s">
        <v>181</v>
      </c>
      <c r="J3477" s="71">
        <f>IF(OR(I3477=0,I3477=""),"unrated",VLOOKUP(I3477,MappingTables!$B$19:$C$31,2,FALSE))</f>
        <v>3</v>
      </c>
      <c r="K3477" s="72">
        <v>1092.1003160284836</v>
      </c>
      <c r="L3477" s="70">
        <v>0.99695737188086416</v>
      </c>
      <c r="M3477" s="71">
        <f>IF(L3477&lt;1,1,L3477)</f>
        <v>1</v>
      </c>
      <c r="N3477" s="70" t="s">
        <v>141</v>
      </c>
      <c r="O3477" s="71">
        <f>INDEX(DurClassMapping,MATCH(M3477,MappingTables!$D$4:$D$8,-1),1)</f>
        <v>1</v>
      </c>
      <c r="P3477" s="73">
        <f>IF(M3477=$A$1,1,$M3477-INDEX(MappingTables!$E$4:$E$8,MATCH(O3477,MappingTables!$B$4:$B$8,0)))</f>
        <v>1</v>
      </c>
      <c r="Q3477" s="71">
        <f>IF(B3477="",0,INDEX(ModelParameters!$D$6:$K$10,MATCH($O3477,ModelParameters!$B$6:$B$10,0),MATCH($J3477,ModelParameters!$D$5:$K$5,0)))</f>
        <v>0.025</v>
      </c>
      <c r="R3477" s="71">
        <f>IF(B3477="",0,INDEX(ModelParameters!$D$13:$K$17,MATCH($O3477,ModelParameters!$B$13:$B$17,0),MATCH($J3477,ModelParameters!$D$5:$K$5,0)))</f>
        <v>0</v>
      </c>
      <c r="S3477" s="160">
        <f>IF(B3477="",0,MIN(IF($N3477="Other Bond TM",ModelParameters!$N$21,1)*(P3477*Q3477+R3477),1))</f>
        <v>0.025</v>
      </c>
      <c r="T3477" s="85">
        <f>IF(B3477="",0,$S3477*$K3477)</f>
        <v>27.302507900712092</v>
      </c>
      <c r="U3477" s="85">
        <f>IF(B3477="",0,IF(OR(H3477=MappingTables!$C$34,H3477=MappingTables!$C$35),T3477,0))</f>
        <v>0</v>
      </c>
      <c r="V3477" s="85">
        <f>IF(ISNA(IF(AND(VLOOKUP(CONCATENATE($D3477,$G3477),CSRFinput!$B:$E,4,0)=0,OR(H3477=MappingTables!$C$34,H3477=MappingTables!$C$35)),1,VLOOKUP(CONCATENATE($D3477,$G3477),CSRFinput!$B:$E,4,0))),0,IF(AND(VLOOKUP(CONCATENATE($D3477,$G3477),CSRFinput!$B:$E,4,0)=0,OR(H3477=MappingTables!$C$34,H3477=MappingTables!$C$35)),1,VLOOKUP(CONCATENATE($D3477,$G3477),CSRFinput!$B:$E,4,0)))</f>
        <v>0.054776304963434752</v>
      </c>
      <c r="W3477" s="85">
        <f>IF(B3477="",0,+$T3477*$V3477)</f>
        <v>1.4955304990359924</v>
      </c>
      <c r="X3477" s="85">
        <f>IF(B3477="",0,IF(OR(H3477=MappingTables!$C$34,H3477=MappingTables!$C$35),W3477,0))</f>
        <v>0</v>
      </c>
    </row>
    <row r="3478" spans="2:24" s="0" customFormat="0" ht="15">
      <c r="B3478" s="69" t="s">
        <v>1377</v>
      </c>
      <c r="C3478" s="70" t="s">
        <v>1378</v>
      </c>
      <c r="D3478" s="70" t="s">
        <v>1</v>
      </c>
      <c r="E3478" s="70" t="s">
        <v>1</v>
      </c>
      <c r="F3478" s="70"/>
      <c r="G3478" s="70" t="s">
        <v>61</v>
      </c>
      <c r="H3478" s="70" t="s">
        <v>178</v>
      </c>
      <c r="I3478" s="70" t="s">
        <v>184</v>
      </c>
      <c r="J3478" s="71">
        <f>IF(OR(I3478=0,I3478=""),"unrated",VLOOKUP(I3478,MappingTables!$B$19:$C$31,2,FALSE))</f>
        <v>5</v>
      </c>
      <c r="K3478" s="72">
        <v>291.85706967314276</v>
      </c>
      <c r="L3478" s="70">
        <v>9.8227661725434416</v>
      </c>
      <c r="M3478" s="71">
        <f>IF(L3478&lt;1,1,L3478)</f>
        <v>9.8227661725434416</v>
      </c>
      <c r="N3478" s="70" t="s">
        <v>141</v>
      </c>
      <c r="O3478" s="71">
        <f>INDEX(DurClassMapping,MATCH(M3478,MappingTables!$D$4:$D$8,-1),1)</f>
        <v>2</v>
      </c>
      <c r="P3478" s="73">
        <f>IF(M3478=$A$1,1,$M3478-INDEX(MappingTables!$E$4:$E$8,MATCH(O3478,MappingTables!$B$4:$B$8,0)))</f>
        <v>4.8227661725434424</v>
      </c>
      <c r="Q3478" s="71">
        <f>IF(B3478="",0,INDEX(ModelParameters!$D$6:$K$10,MATCH($O3478,ModelParameters!$B$6:$B$10,0),MATCH($J3478,ModelParameters!$D$5:$K$5,0)))</f>
        <v>0.042</v>
      </c>
      <c r="R3478" s="71">
        <f>IF(B3478="",0,INDEX(ModelParameters!$D$13:$K$17,MATCH($O3478,ModelParameters!$B$13:$B$17,0),MATCH($J3478,ModelParameters!$D$5:$K$5,0)))</f>
        <v>0.375</v>
      </c>
      <c r="S3478" s="160">
        <f>IF(B3478="",0,MIN(IF($N3478="Other Bond TM",ModelParameters!$N$21,1)*(P3478*Q3478+R3478),1))</f>
        <v>0.57755617924682456</v>
      </c>
      <c r="T3478" s="85">
        <f>IF(B3478="",0,$S3478*$K3478)</f>
        <v>168.5638540465946</v>
      </c>
      <c r="U3478" s="85">
        <f>IF(B3478="",0,IF(OR(H3478=MappingTables!$C$34,H3478=MappingTables!$C$35),T3478,0))</f>
        <v>0</v>
      </c>
      <c r="V3478" s="85">
        <f>IF(ISNA(IF(AND(VLOOKUP(CONCATENATE($D3478,$G3478),CSRFinput!$B:$E,4,0)=0,OR(H3478=MappingTables!$C$34,H3478=MappingTables!$C$35)),1,VLOOKUP(CONCATENATE($D3478,$G3478),CSRFinput!$B:$E,4,0))),0,IF(AND(VLOOKUP(CONCATENATE($D3478,$G3478),CSRFinput!$B:$E,4,0)=0,OR(H3478=MappingTables!$C$34,H3478=MappingTables!$C$35)),1,VLOOKUP(CONCATENATE($D3478,$G3478),CSRFinput!$B:$E,4,0)))</f>
        <v>0.054776304963434752</v>
      </c>
      <c r="W3478" s="85">
        <f>IF(B3478="",0,+$T3478*$V3478)</f>
        <v>9.2333050750681712</v>
      </c>
      <c r="X3478" s="85">
        <f>IF(B3478="",0,IF(OR(H3478=MappingTables!$C$34,H3478=MappingTables!$C$35),W3478,0))</f>
        <v>0</v>
      </c>
    </row>
    <row r="3479" spans="2:24" s="0" customFormat="0" ht="15">
      <c r="B3479" s="69" t="s">
        <v>1112</v>
      </c>
      <c r="C3479" s="70" t="s">
        <v>1113</v>
      </c>
      <c r="D3479" s="70" t="s">
        <v>1</v>
      </c>
      <c r="E3479" s="70" t="s">
        <v>1</v>
      </c>
      <c r="F3479" s="70"/>
      <c r="G3479" s="70" t="s">
        <v>61</v>
      </c>
      <c r="H3479" s="70" t="s">
        <v>178</v>
      </c>
      <c r="I3479" s="70" t="s">
        <v>181</v>
      </c>
      <c r="J3479" s="71">
        <f>IF(OR(I3479=0,I3479=""),"unrated",VLOOKUP(I3479,MappingTables!$B$19:$C$31,2,FALSE))</f>
        <v>3</v>
      </c>
      <c r="K3479" s="72">
        <v>1.8257830813083252</v>
      </c>
      <c r="L3479" s="70">
        <v>0.10958863989846518</v>
      </c>
      <c r="M3479" s="71">
        <f>IF(L3479&lt;1,1,L3479)</f>
        <v>1</v>
      </c>
      <c r="N3479" s="70" t="s">
        <v>141</v>
      </c>
      <c r="O3479" s="71">
        <f>INDEX(DurClassMapping,MATCH(M3479,MappingTables!$D$4:$D$8,-1),1)</f>
        <v>1</v>
      </c>
      <c r="P3479" s="73">
        <f>IF(M3479=$A$1,1,$M3479-INDEX(MappingTables!$E$4:$E$8,MATCH(O3479,MappingTables!$B$4:$B$8,0)))</f>
        <v>1</v>
      </c>
      <c r="Q3479" s="71">
        <f>IF(B3479="",0,INDEX(ModelParameters!$D$6:$K$10,MATCH($O3479,ModelParameters!$B$6:$B$10,0),MATCH($J3479,ModelParameters!$D$5:$K$5,0)))</f>
        <v>0.025</v>
      </c>
      <c r="R3479" s="71">
        <f>IF(B3479="",0,INDEX(ModelParameters!$D$13:$K$17,MATCH($O3479,ModelParameters!$B$13:$B$17,0),MATCH($J3479,ModelParameters!$D$5:$K$5,0)))</f>
        <v>0</v>
      </c>
      <c r="S3479" s="160">
        <f>IF(B3479="",0,MIN(IF($N3479="Other Bond TM",ModelParameters!$N$21,1)*(P3479*Q3479+R3479),1))</f>
        <v>0.025</v>
      </c>
      <c r="T3479" s="85">
        <f>IF(B3479="",0,$S3479*$K3479)</f>
        <v>0.045644577032708136</v>
      </c>
      <c r="U3479" s="85">
        <f>IF(B3479="",0,IF(OR(H3479=MappingTables!$C$34,H3479=MappingTables!$C$35),T3479,0))</f>
        <v>0</v>
      </c>
      <c r="V3479" s="85">
        <f>IF(ISNA(IF(AND(VLOOKUP(CONCATENATE($D3479,$G3479),CSRFinput!$B:$E,4,0)=0,OR(H3479=MappingTables!$C$34,H3479=MappingTables!$C$35)),1,VLOOKUP(CONCATENATE($D3479,$G3479),CSRFinput!$B:$E,4,0))),0,IF(AND(VLOOKUP(CONCATENATE($D3479,$G3479),CSRFinput!$B:$E,4,0)=0,OR(H3479=MappingTables!$C$34,H3479=MappingTables!$C$35)),1,VLOOKUP(CONCATENATE($D3479,$G3479),CSRFinput!$B:$E,4,0)))</f>
        <v>0.054776304963434752</v>
      </c>
      <c r="W3479" s="85">
        <f>IF(B3479="",0,+$T3479*$V3479)</f>
        <v>0.0025002412714706104</v>
      </c>
      <c r="X3479" s="85">
        <f>IF(B3479="",0,IF(OR(H3479=MappingTables!$C$34,H3479=MappingTables!$C$35),W3479,0))</f>
        <v>0</v>
      </c>
    </row>
    <row r="3480" spans="2:24" s="0" customFormat="0" ht="15">
      <c r="B3480" s="69" t="s">
        <v>2371</v>
      </c>
      <c r="C3480" s="70" t="s">
        <v>2372</v>
      </c>
      <c r="D3480" s="70" t="s">
        <v>1</v>
      </c>
      <c r="E3480" s="70" t="s">
        <v>1</v>
      </c>
      <c r="F3480" s="70"/>
      <c r="G3480" s="70" t="s">
        <v>61</v>
      </c>
      <c r="H3480" s="70" t="s">
        <v>178</v>
      </c>
      <c r="I3480" s="70" t="s">
        <v>198</v>
      </c>
      <c r="J3480" s="71" t="str">
        <f>IF(OR(I3480=0,I3480=""),"unrated",VLOOKUP(I3480,MappingTables!$B$19:$C$31,2,FALSE))</f>
        <v>unrated</v>
      </c>
      <c r="K3480" s="72">
        <v>229.19284434992564</v>
      </c>
      <c r="L3480" s="70">
        <v>4.3767938781312624</v>
      </c>
      <c r="M3480" s="71">
        <f>IF(L3480&lt;1,1,L3480)</f>
        <v>4.3767938781312624</v>
      </c>
      <c r="N3480" s="70" t="s">
        <v>141</v>
      </c>
      <c r="O3480" s="71">
        <f>INDEX(DurClassMapping,MATCH(M3480,MappingTables!$D$4:$D$8,-1),1)</f>
        <v>1</v>
      </c>
      <c r="P3480" s="73">
        <f>IF(M3480=$A$1,1,$M3480-INDEX(MappingTables!$E$4:$E$8,MATCH(O3480,MappingTables!$B$4:$B$8,0)))</f>
        <v>4.3767938781312624</v>
      </c>
      <c r="Q3480" s="71">
        <f>IF(B3480="",0,INDEX(ModelParameters!$D$6:$K$10,MATCH($O3480,ModelParameters!$B$6:$B$10,0),MATCH($J3480,ModelParameters!$D$5:$K$5,0)))</f>
        <v>0.03</v>
      </c>
      <c r="R3480" s="71">
        <f>IF(B3480="",0,INDEX(ModelParameters!$D$13:$K$17,MATCH($O3480,ModelParameters!$B$13:$B$17,0),MATCH($J3480,ModelParameters!$D$5:$K$5,0)))</f>
        <v>0</v>
      </c>
      <c r="S3480" s="160">
        <f>IF(B3480="",0,MIN(IF($N3480="Other Bond TM",ModelParameters!$N$21,1)*(P3480*Q3480+R3480),1))</f>
        <v>0.13130381634393786</v>
      </c>
      <c r="T3480" s="85">
        <f>IF(B3480="",0,$S3480*$K3480)</f>
        <v>30.093895141867376</v>
      </c>
      <c r="U3480" s="85">
        <f>IF(B3480="",0,IF(OR(H3480=MappingTables!$C$34,H3480=MappingTables!$C$35),T3480,0))</f>
        <v>0</v>
      </c>
      <c r="V3480" s="85">
        <f>IF(ISNA(IF(AND(VLOOKUP(CONCATENATE($D3480,$G3480),CSRFinput!$B:$E,4,0)=0,OR(H3480=MappingTables!$C$34,H3480=MappingTables!$C$35)),1,VLOOKUP(CONCATENATE($D3480,$G3480),CSRFinput!$B:$E,4,0))),0,IF(AND(VLOOKUP(CONCATENATE($D3480,$G3480),CSRFinput!$B:$E,4,0)=0,OR(H3480=MappingTables!$C$34,H3480=MappingTables!$C$35)),1,VLOOKUP(CONCATENATE($D3480,$G3480),CSRFinput!$B:$E,4,0)))</f>
        <v>0.054776304963434752</v>
      </c>
      <c r="W3480" s="85">
        <f>IF(B3480="",0,+$T3480*$V3480)</f>
        <v>1.6484323778285548</v>
      </c>
      <c r="X3480" s="85">
        <f>IF(B3480="",0,IF(OR(H3480=MappingTables!$C$34,H3480=MappingTables!$C$35),W3480,0))</f>
        <v>0</v>
      </c>
    </row>
    <row r="3481" spans="2:24" s="0" customFormat="0" ht="15">
      <c r="B3481" s="69">
        <v>18812115</v>
      </c>
      <c r="C3481" s="70" t="s">
        <v>2858</v>
      </c>
      <c r="D3481" s="70" t="s">
        <v>1</v>
      </c>
      <c r="E3481" s="70" t="s">
        <v>1</v>
      </c>
      <c r="F3481" s="70"/>
      <c r="G3481" s="70" t="s">
        <v>61</v>
      </c>
      <c r="H3481" s="70" t="s">
        <v>178</v>
      </c>
      <c r="I3481" s="70" t="s">
        <v>188</v>
      </c>
      <c r="J3481" s="71">
        <f>IF(OR(I3481=0,I3481=""),"unrated",VLOOKUP(I3481,MappingTables!$B$19:$C$31,2,FALSE))</f>
        <v>2</v>
      </c>
      <c r="K3481" s="72">
        <v>51.661707951538752</v>
      </c>
      <c r="L3481" s="70">
        <v>0.70028146936382144</v>
      </c>
      <c r="M3481" s="71">
        <f>IF(L3481&lt;1,1,L3481)</f>
        <v>1</v>
      </c>
      <c r="N3481" s="70" t="s">
        <v>141</v>
      </c>
      <c r="O3481" s="71">
        <f>INDEX(DurClassMapping,MATCH(M3481,MappingTables!$D$4:$D$8,-1),1)</f>
        <v>1</v>
      </c>
      <c r="P3481" s="73">
        <f>IF(M3481=$A$1,1,$M3481-INDEX(MappingTables!$E$4:$E$8,MATCH(O3481,MappingTables!$B$4:$B$8,0)))</f>
        <v>1</v>
      </c>
      <c r="Q3481" s="71">
        <f>IF(B3481="",0,INDEX(ModelParameters!$D$6:$K$10,MATCH($O3481,ModelParameters!$B$6:$B$10,0),MATCH($J3481,ModelParameters!$D$5:$K$5,0)))</f>
        <v>0.013999999999999998</v>
      </c>
      <c r="R3481" s="71">
        <f>IF(B3481="",0,INDEX(ModelParameters!$D$13:$K$17,MATCH($O3481,ModelParameters!$B$13:$B$17,0),MATCH($J3481,ModelParameters!$D$5:$K$5,0)))</f>
        <v>0</v>
      </c>
      <c r="S3481" s="160">
        <f>IF(B3481="",0,MIN(IF($N3481="Other Bond TM",ModelParameters!$N$21,1)*(P3481*Q3481+R3481),1))</f>
        <v>0.013999999999999998</v>
      </c>
      <c r="T3481" s="85">
        <f>IF(B3481="",0,$S3481*$K3481)</f>
        <v>0.7232639113215424</v>
      </c>
      <c r="U3481" s="85">
        <f>IF(B3481="",0,IF(OR(H3481=MappingTables!$C$34,H3481=MappingTables!$C$35),T3481,0))</f>
        <v>0</v>
      </c>
      <c r="V3481" s="85">
        <f>IF(ISNA(IF(AND(VLOOKUP(CONCATENATE($D3481,$G3481),CSRFinput!$B:$E,4,0)=0,OR(H3481=MappingTables!$C$34,H3481=MappingTables!$C$35)),1,VLOOKUP(CONCATENATE($D3481,$G3481),CSRFinput!$B:$E,4,0))),0,IF(AND(VLOOKUP(CONCATENATE($D3481,$G3481),CSRFinput!$B:$E,4,0)=0,OR(H3481=MappingTables!$C$34,H3481=MappingTables!$C$35)),1,VLOOKUP(CONCATENATE($D3481,$G3481),CSRFinput!$B:$E,4,0)))</f>
        <v>0.054776304963434752</v>
      </c>
      <c r="W3481" s="85">
        <f>IF(B3481="",0,+$T3481*$V3481)</f>
        <v>0.03961772457559544</v>
      </c>
      <c r="X3481" s="85">
        <f>IF(B3481="",0,IF(OR(H3481=MappingTables!$C$34,H3481=MappingTables!$C$35),W3481,0))</f>
        <v>0</v>
      </c>
    </row>
    <row r="3482" spans="2:24" s="0" customFormat="0" ht="15">
      <c r="B3482" s="69">
        <v>4148457</v>
      </c>
      <c r="C3482" s="70" t="s">
        <v>2859</v>
      </c>
      <c r="D3482" s="70" t="s">
        <v>1</v>
      </c>
      <c r="E3482" s="70" t="s">
        <v>1</v>
      </c>
      <c r="F3482" s="70"/>
      <c r="G3482" s="70" t="s">
        <v>61</v>
      </c>
      <c r="H3482" s="70" t="s">
        <v>178</v>
      </c>
      <c r="I3482" s="70" t="s">
        <v>188</v>
      </c>
      <c r="J3482" s="71">
        <f>IF(OR(I3482=0,I3482=""),"unrated",VLOOKUP(I3482,MappingTables!$B$19:$C$31,2,FALSE))</f>
        <v>2</v>
      </c>
      <c r="K3482" s="72">
        <v>1588739.7766113282</v>
      </c>
      <c r="L3482" s="70">
        <v>1.415139937562218</v>
      </c>
      <c r="M3482" s="71">
        <f>IF(L3482&lt;1,1,L3482)</f>
        <v>1.415139937562218</v>
      </c>
      <c r="N3482" s="70" t="s">
        <v>141</v>
      </c>
      <c r="O3482" s="71">
        <f>INDEX(DurClassMapping,MATCH(M3482,MappingTables!$D$4:$D$8,-1),1)</f>
        <v>1</v>
      </c>
      <c r="P3482" s="73">
        <f>IF(M3482=$A$1,1,$M3482-INDEX(MappingTables!$E$4:$E$8,MATCH(O3482,MappingTables!$B$4:$B$8,0)))</f>
        <v>1.415139937562218</v>
      </c>
      <c r="Q3482" s="71">
        <f>IF(B3482="",0,INDEX(ModelParameters!$D$6:$K$10,MATCH($O3482,ModelParameters!$B$6:$B$10,0),MATCH($J3482,ModelParameters!$D$5:$K$5,0)))</f>
        <v>0.013999999999999998</v>
      </c>
      <c r="R3482" s="71">
        <f>IF(B3482="",0,INDEX(ModelParameters!$D$13:$K$17,MATCH($O3482,ModelParameters!$B$13:$B$17,0),MATCH($J3482,ModelParameters!$D$5:$K$5,0)))</f>
        <v>0</v>
      </c>
      <c r="S3482" s="160">
        <f>IF(B3482="",0,MIN(IF($N3482="Other Bond TM",ModelParameters!$N$21,1)*(P3482*Q3482+R3482),1))</f>
        <v>0.019811959125871052</v>
      </c>
      <c r="T3482" s="85">
        <f>IF(B3482="",0,$S3482*$K3482)</f>
        <v>31476.047515869136</v>
      </c>
      <c r="U3482" s="85">
        <f>IF(B3482="",0,IF(OR(H3482=MappingTables!$C$34,H3482=MappingTables!$C$35),T3482,0))</f>
        <v>0</v>
      </c>
      <c r="V3482" s="85">
        <f>IF(ISNA(IF(AND(VLOOKUP(CONCATENATE($D3482,$G3482),CSRFinput!$B:$E,4,0)=0,OR(H3482=MappingTables!$C$34,H3482=MappingTables!$C$35)),1,VLOOKUP(CONCATENATE($D3482,$G3482),CSRFinput!$B:$E,4,0))),0,IF(AND(VLOOKUP(CONCATENATE($D3482,$G3482),CSRFinput!$B:$E,4,0)=0,OR(H3482=MappingTables!$C$34,H3482=MappingTables!$C$35)),1,VLOOKUP(CONCATENATE($D3482,$G3482),CSRFinput!$B:$E,4,0)))</f>
        <v>0.054776304963434752</v>
      </c>
      <c r="W3482" s="85">
        <f>IF(B3482="",0,+$T3482*$V3482)</f>
        <v>1724.1415777728108</v>
      </c>
      <c r="X3482" s="85">
        <f>IF(B3482="",0,IF(OR(H3482=MappingTables!$C$34,H3482=MappingTables!$C$35),W3482,0))</f>
        <v>0</v>
      </c>
    </row>
    <row r="3483" spans="2:24" s="0" customFormat="0" ht="15">
      <c r="B3483" s="69">
        <v>21610161</v>
      </c>
      <c r="C3483" s="70" t="s">
        <v>1527</v>
      </c>
      <c r="D3483" s="70" t="s">
        <v>1</v>
      </c>
      <c r="E3483" s="70" t="s">
        <v>1</v>
      </c>
      <c r="F3483" s="70"/>
      <c r="G3483" s="70" t="s">
        <v>61</v>
      </c>
      <c r="H3483" s="70" t="s">
        <v>178</v>
      </c>
      <c r="I3483" s="70" t="s">
        <v>220</v>
      </c>
      <c r="J3483" s="71">
        <f>IF(OR(I3483=0,I3483=""),"unrated",VLOOKUP(I3483,MappingTables!$B$19:$C$31,2,FALSE))</f>
        <v>1</v>
      </c>
      <c r="K3483" s="72">
        <v>30317.513877951088</v>
      </c>
      <c r="L3483" s="70">
        <v>26.225829203477404</v>
      </c>
      <c r="M3483" s="71">
        <f>IF(L3483&lt;1,1,L3483)</f>
        <v>26.225829203477404</v>
      </c>
      <c r="N3483" s="70" t="s">
        <v>141</v>
      </c>
      <c r="O3483" s="71">
        <f>INDEX(DurClassMapping,MATCH(M3483,MappingTables!$D$4:$D$8,-1),1)</f>
        <v>5</v>
      </c>
      <c r="P3483" s="73">
        <f>IF(M3483=$A$1,1,$M3483-INDEX(MappingTables!$E$4:$E$8,MATCH(O3483,MappingTables!$B$4:$B$8,0)))</f>
        <v>6.2258292034774032</v>
      </c>
      <c r="Q3483" s="71">
        <f>IF(B3483="",0,INDEX(ModelParameters!$D$6:$K$10,MATCH($O3483,ModelParameters!$B$6:$B$10,0),MATCH($J3483,ModelParameters!$D$5:$K$5,0)))</f>
        <v>0.005</v>
      </c>
      <c r="R3483" s="71">
        <f>IF(B3483="",0,INDEX(ModelParameters!$D$13:$K$17,MATCH($O3483,ModelParameters!$B$13:$B$17,0),MATCH($J3483,ModelParameters!$D$5:$K$5,0)))</f>
        <v>0.135</v>
      </c>
      <c r="S3483" s="160">
        <f>IF(B3483="",0,MIN(IF($N3483="Other Bond TM",ModelParameters!$N$21,1)*(P3483*Q3483+R3483),1))</f>
        <v>0.16612914601738702</v>
      </c>
      <c r="T3483" s="85">
        <f>IF(B3483="",0,$S3483*$K3483)</f>
        <v>5036.6226899142936</v>
      </c>
      <c r="U3483" s="85">
        <f>IF(B3483="",0,IF(OR(H3483=MappingTables!$C$34,H3483=MappingTables!$C$35),T3483,0))</f>
        <v>0</v>
      </c>
      <c r="V3483" s="85">
        <f>IF(ISNA(IF(AND(VLOOKUP(CONCATENATE($D3483,$G3483),CSRFinput!$B:$E,4,0)=0,OR(H3483=MappingTables!$C$34,H3483=MappingTables!$C$35)),1,VLOOKUP(CONCATENATE($D3483,$G3483),CSRFinput!$B:$E,4,0))),0,IF(AND(VLOOKUP(CONCATENATE($D3483,$G3483),CSRFinput!$B:$E,4,0)=0,OR(H3483=MappingTables!$C$34,H3483=MappingTables!$C$35)),1,VLOOKUP(CONCATENATE($D3483,$G3483),CSRFinput!$B:$E,4,0)))</f>
        <v>0.054776304963434752</v>
      </c>
      <c r="W3483" s="85">
        <f>IF(B3483="",0,+$T3483*$V3483)</f>
        <v>275.88758044850044</v>
      </c>
      <c r="X3483" s="85">
        <f>IF(B3483="",0,IF(OR(H3483=MappingTables!$C$34,H3483=MappingTables!$C$35),W3483,0))</f>
        <v>0</v>
      </c>
    </row>
    <row r="3484" spans="2:24" s="0" customFormat="0" ht="15">
      <c r="B3484" s="69">
        <v>21226545</v>
      </c>
      <c r="C3484" s="70" t="s">
        <v>2860</v>
      </c>
      <c r="D3484" s="70" t="s">
        <v>1</v>
      </c>
      <c r="E3484" s="70" t="s">
        <v>1</v>
      </c>
      <c r="F3484" s="70"/>
      <c r="G3484" s="70" t="s">
        <v>61</v>
      </c>
      <c r="H3484" s="70" t="s">
        <v>178</v>
      </c>
      <c r="I3484" s="70" t="s">
        <v>179</v>
      </c>
      <c r="J3484" s="71">
        <f>IF(OR(I3484=0,I3484=""),"unrated",VLOOKUP(I3484,MappingTables!$B$19:$C$31,2,FALSE))</f>
        <v>4</v>
      </c>
      <c r="K3484" s="72">
        <v>13.946297353890972</v>
      </c>
      <c r="L3484" s="70">
        <v>1.7032960119468862</v>
      </c>
      <c r="M3484" s="71">
        <f>IF(L3484&lt;1,1,L3484)</f>
        <v>1.7032960119468862</v>
      </c>
      <c r="N3484" s="70" t="s">
        <v>141</v>
      </c>
      <c r="O3484" s="71">
        <f>INDEX(DurClassMapping,MATCH(M3484,MappingTables!$D$4:$D$8,-1),1)</f>
        <v>1</v>
      </c>
      <c r="P3484" s="73">
        <f>IF(M3484=$A$1,1,$M3484-INDEX(MappingTables!$E$4:$E$8,MATCH(O3484,MappingTables!$B$4:$B$8,0)))</f>
        <v>1.7032960119468862</v>
      </c>
      <c r="Q3484" s="71">
        <f>IF(B3484="",0,INDEX(ModelParameters!$D$6:$K$10,MATCH($O3484,ModelParameters!$B$6:$B$10,0),MATCH($J3484,ModelParameters!$D$5:$K$5,0)))</f>
        <v>0.045</v>
      </c>
      <c r="R3484" s="71">
        <f>IF(B3484="",0,INDEX(ModelParameters!$D$13:$K$17,MATCH($O3484,ModelParameters!$B$13:$B$17,0),MATCH($J3484,ModelParameters!$D$5:$K$5,0)))</f>
        <v>0</v>
      </c>
      <c r="S3484" s="160">
        <f>IF(B3484="",0,MIN(IF($N3484="Other Bond TM",ModelParameters!$N$21,1)*(P3484*Q3484+R3484),1))</f>
        <v>0.076648320537609872</v>
      </c>
      <c r="T3484" s="85">
        <f>IF(B3484="",0,$S3484*$K3484)</f>
        <v>1.0689602698938558</v>
      </c>
      <c r="U3484" s="85">
        <f>IF(B3484="",0,IF(OR(H3484=MappingTables!$C$34,H3484=MappingTables!$C$35),T3484,0))</f>
        <v>0</v>
      </c>
      <c r="V3484" s="85">
        <f>IF(ISNA(IF(AND(VLOOKUP(CONCATENATE($D3484,$G3484),CSRFinput!$B:$E,4,0)=0,OR(H3484=MappingTables!$C$34,H3484=MappingTables!$C$35)),1,VLOOKUP(CONCATENATE($D3484,$G3484),CSRFinput!$B:$E,4,0))),0,IF(AND(VLOOKUP(CONCATENATE($D3484,$G3484),CSRFinput!$B:$E,4,0)=0,OR(H3484=MappingTables!$C$34,H3484=MappingTables!$C$35)),1,VLOOKUP(CONCATENATE($D3484,$G3484),CSRFinput!$B:$E,4,0)))</f>
        <v>0.054776304963434752</v>
      </c>
      <c r="W3484" s="85">
        <f>IF(B3484="",0,+$T3484*$V3484)</f>
        <v>0.058553693737501368</v>
      </c>
      <c r="X3484" s="85">
        <f>IF(B3484="",0,IF(OR(H3484=MappingTables!$C$34,H3484=MappingTables!$C$35),W3484,0))</f>
        <v>0</v>
      </c>
    </row>
    <row r="3485" spans="2:24" s="0" customFormat="0" ht="15">
      <c r="B3485" s="69">
        <v>12200139</v>
      </c>
      <c r="C3485" s="70" t="s">
        <v>2540</v>
      </c>
      <c r="D3485" s="70" t="s">
        <v>1</v>
      </c>
      <c r="E3485" s="70" t="s">
        <v>1</v>
      </c>
      <c r="F3485" s="70"/>
      <c r="G3485" s="70" t="s">
        <v>61</v>
      </c>
      <c r="H3485" s="70" t="s">
        <v>178</v>
      </c>
      <c r="I3485" s="70" t="s">
        <v>188</v>
      </c>
      <c r="J3485" s="71">
        <f>IF(OR(I3485=0,I3485=""),"unrated",VLOOKUP(I3485,MappingTables!$B$19:$C$31,2,FALSE))</f>
        <v>2</v>
      </c>
      <c r="K3485" s="72">
        <v>44.168538210275072</v>
      </c>
      <c r="L3485" s="70">
        <v>0.41595802796084944</v>
      </c>
      <c r="M3485" s="71">
        <f>IF(L3485&lt;1,1,L3485)</f>
        <v>1</v>
      </c>
      <c r="N3485" s="70" t="s">
        <v>141</v>
      </c>
      <c r="O3485" s="71">
        <f>INDEX(DurClassMapping,MATCH(M3485,MappingTables!$D$4:$D$8,-1),1)</f>
        <v>1</v>
      </c>
      <c r="P3485" s="73">
        <f>IF(M3485=$A$1,1,$M3485-INDEX(MappingTables!$E$4:$E$8,MATCH(O3485,MappingTables!$B$4:$B$8,0)))</f>
        <v>1</v>
      </c>
      <c r="Q3485" s="71">
        <f>IF(B3485="",0,INDEX(ModelParameters!$D$6:$K$10,MATCH($O3485,ModelParameters!$B$6:$B$10,0),MATCH($J3485,ModelParameters!$D$5:$K$5,0)))</f>
        <v>0.013999999999999998</v>
      </c>
      <c r="R3485" s="71">
        <f>IF(B3485="",0,INDEX(ModelParameters!$D$13:$K$17,MATCH($O3485,ModelParameters!$B$13:$B$17,0),MATCH($J3485,ModelParameters!$D$5:$K$5,0)))</f>
        <v>0</v>
      </c>
      <c r="S3485" s="160">
        <f>IF(B3485="",0,MIN(IF($N3485="Other Bond TM",ModelParameters!$N$21,1)*(P3485*Q3485+R3485),1))</f>
        <v>0.013999999999999998</v>
      </c>
      <c r="T3485" s="85">
        <f>IF(B3485="",0,$S3485*$K3485)</f>
        <v>0.61835953494385096</v>
      </c>
      <c r="U3485" s="85">
        <f>IF(B3485="",0,IF(OR(H3485=MappingTables!$C$34,H3485=MappingTables!$C$35),T3485,0))</f>
        <v>0</v>
      </c>
      <c r="V3485" s="85">
        <f>IF(ISNA(IF(AND(VLOOKUP(CONCATENATE($D3485,$G3485),CSRFinput!$B:$E,4,0)=0,OR(H3485=MappingTables!$C$34,H3485=MappingTables!$C$35)),1,VLOOKUP(CONCATENATE($D3485,$G3485),CSRFinput!$B:$E,4,0))),0,IF(AND(VLOOKUP(CONCATENATE($D3485,$G3485),CSRFinput!$B:$E,4,0)=0,OR(H3485=MappingTables!$C$34,H3485=MappingTables!$C$35)),1,VLOOKUP(CONCATENATE($D3485,$G3485),CSRFinput!$B:$E,4,0)))</f>
        <v>0.054776304963434752</v>
      </c>
      <c r="W3485" s="85">
        <f>IF(B3485="",0,+$T3485*$V3485)</f>
        <v>0.033871450463132072</v>
      </c>
      <c r="X3485" s="85">
        <f>IF(B3485="",0,IF(OR(H3485=MappingTables!$C$34,H3485=MappingTables!$C$35),W3485,0))</f>
        <v>0</v>
      </c>
    </row>
    <row r="3486" spans="2:24" s="0" customFormat="0" ht="15">
      <c r="B3486" s="69">
        <v>21565432</v>
      </c>
      <c r="C3486" s="70" t="s">
        <v>2861</v>
      </c>
      <c r="D3486" s="70" t="s">
        <v>1</v>
      </c>
      <c r="E3486" s="70" t="s">
        <v>1</v>
      </c>
      <c r="F3486" s="70"/>
      <c r="G3486" s="70" t="s">
        <v>61</v>
      </c>
      <c r="H3486" s="70" t="s">
        <v>178</v>
      </c>
      <c r="I3486" s="70" t="s">
        <v>198</v>
      </c>
      <c r="J3486" s="71" t="str">
        <f>IF(OR(I3486=0,I3486=""),"unrated",VLOOKUP(I3486,MappingTables!$B$19:$C$31,2,FALSE))</f>
        <v>unrated</v>
      </c>
      <c r="K3486" s="72">
        <v>417.1229593679864</v>
      </c>
      <c r="L3486" s="70">
        <v>4.9783085462076728</v>
      </c>
      <c r="M3486" s="71">
        <f>IF(L3486&lt;1,1,L3486)</f>
        <v>4.9783085462076728</v>
      </c>
      <c r="N3486" s="70" t="s">
        <v>141</v>
      </c>
      <c r="O3486" s="71">
        <f>INDEX(DurClassMapping,MATCH(M3486,MappingTables!$D$4:$D$8,-1),1)</f>
        <v>1</v>
      </c>
      <c r="P3486" s="73">
        <f>IF(M3486=$A$1,1,$M3486-INDEX(MappingTables!$E$4:$E$8,MATCH(O3486,MappingTables!$B$4:$B$8,0)))</f>
        <v>4.9783085462076728</v>
      </c>
      <c r="Q3486" s="71">
        <f>IF(B3486="",0,INDEX(ModelParameters!$D$6:$K$10,MATCH($O3486,ModelParameters!$B$6:$B$10,0),MATCH($J3486,ModelParameters!$D$5:$K$5,0)))</f>
        <v>0.03</v>
      </c>
      <c r="R3486" s="71">
        <f>IF(B3486="",0,INDEX(ModelParameters!$D$13:$K$17,MATCH($O3486,ModelParameters!$B$13:$B$17,0),MATCH($J3486,ModelParameters!$D$5:$K$5,0)))</f>
        <v>0</v>
      </c>
      <c r="S3486" s="160">
        <f>IF(B3486="",0,MIN(IF($N3486="Other Bond TM",ModelParameters!$N$21,1)*(P3486*Q3486+R3486),1))</f>
        <v>0.14934925638623018</v>
      </c>
      <c r="T3486" s="85">
        <f>IF(B3486="",0,$S3486*$K3486)</f>
        <v>62.297003803232464</v>
      </c>
      <c r="U3486" s="85">
        <f>IF(B3486="",0,IF(OR(H3486=MappingTables!$C$34,H3486=MappingTables!$C$35),T3486,0))</f>
        <v>0</v>
      </c>
      <c r="V3486" s="85">
        <f>IF(ISNA(IF(AND(VLOOKUP(CONCATENATE($D3486,$G3486),CSRFinput!$B:$E,4,0)=0,OR(H3486=MappingTables!$C$34,H3486=MappingTables!$C$35)),1,VLOOKUP(CONCATENATE($D3486,$G3486),CSRFinput!$B:$E,4,0))),0,IF(AND(VLOOKUP(CONCATENATE($D3486,$G3486),CSRFinput!$B:$E,4,0)=0,OR(H3486=MappingTables!$C$34,H3486=MappingTables!$C$35)),1,VLOOKUP(CONCATENATE($D3486,$G3486),CSRFinput!$B:$E,4,0)))</f>
        <v>0.054776304963434752</v>
      </c>
      <c r="W3486" s="85">
        <f>IF(B3486="",0,+$T3486*$V3486)</f>
        <v>3.412399678634116</v>
      </c>
      <c r="X3486" s="85">
        <f>IF(B3486="",0,IF(OR(H3486=MappingTables!$C$34,H3486=MappingTables!$C$35),W3486,0))</f>
        <v>0</v>
      </c>
    </row>
    <row r="3487" spans="2:24" s="0" customFormat="0" ht="15">
      <c r="B3487" s="69" t="s">
        <v>1102</v>
      </c>
      <c r="C3487" s="70" t="s">
        <v>1103</v>
      </c>
      <c r="D3487" s="70" t="s">
        <v>1</v>
      </c>
      <c r="E3487" s="70" t="s">
        <v>1</v>
      </c>
      <c r="F3487" s="70"/>
      <c r="G3487" s="70" t="s">
        <v>61</v>
      </c>
      <c r="H3487" s="70" t="s">
        <v>178</v>
      </c>
      <c r="I3487" s="70" t="s">
        <v>184</v>
      </c>
      <c r="J3487" s="71">
        <f>IF(OR(I3487=0,I3487=""),"unrated",VLOOKUP(I3487,MappingTables!$B$19:$C$31,2,FALSE))</f>
        <v>5</v>
      </c>
      <c r="K3487" s="72">
        <v>4280.583239483024</v>
      </c>
      <c r="L3487" s="70">
        <v>5.9196785770316904</v>
      </c>
      <c r="M3487" s="71">
        <f>IF(L3487&lt;1,1,L3487)</f>
        <v>5.9196785770316904</v>
      </c>
      <c r="N3487" s="70" t="s">
        <v>141</v>
      </c>
      <c r="O3487" s="71">
        <f>INDEX(DurClassMapping,MATCH(M3487,MappingTables!$D$4:$D$8,-1),1)</f>
        <v>2</v>
      </c>
      <c r="P3487" s="73">
        <f>IF(M3487=$A$1,1,$M3487-INDEX(MappingTables!$E$4:$E$8,MATCH(O3487,MappingTables!$B$4:$B$8,0)))</f>
        <v>0.91967857703169024</v>
      </c>
      <c r="Q3487" s="71">
        <f>IF(B3487="",0,INDEX(ModelParameters!$D$6:$K$10,MATCH($O3487,ModelParameters!$B$6:$B$10,0),MATCH($J3487,ModelParameters!$D$5:$K$5,0)))</f>
        <v>0.042</v>
      </c>
      <c r="R3487" s="71">
        <f>IF(B3487="",0,INDEX(ModelParameters!$D$13:$K$17,MATCH($O3487,ModelParameters!$B$13:$B$17,0),MATCH($J3487,ModelParameters!$D$5:$K$5,0)))</f>
        <v>0.375</v>
      </c>
      <c r="S3487" s="160">
        <f>IF(B3487="",0,MIN(IF($N3487="Other Bond TM",ModelParameters!$N$21,1)*(P3487*Q3487+R3487),1))</f>
        <v>0.41362650023533096</v>
      </c>
      <c r="T3487" s="85">
        <f>IF(B3487="",0,$S3487*$K3487)</f>
        <v>1770.562664313379</v>
      </c>
      <c r="U3487" s="85">
        <f>IF(B3487="",0,IF(OR(H3487=MappingTables!$C$34,H3487=MappingTables!$C$35),T3487,0))</f>
        <v>0</v>
      </c>
      <c r="V3487" s="85">
        <f>IF(ISNA(IF(AND(VLOOKUP(CONCATENATE($D3487,$G3487),CSRFinput!$B:$E,4,0)=0,OR(H3487=MappingTables!$C$34,H3487=MappingTables!$C$35)),1,VLOOKUP(CONCATENATE($D3487,$G3487),CSRFinput!$B:$E,4,0))),0,IF(AND(VLOOKUP(CONCATENATE($D3487,$G3487),CSRFinput!$B:$E,4,0)=0,OR(H3487=MappingTables!$C$34,H3487=MappingTables!$C$35)),1,VLOOKUP(CONCATENATE($D3487,$G3487),CSRFinput!$B:$E,4,0)))</f>
        <v>0.054776304963434752</v>
      </c>
      <c r="W3487" s="85">
        <f>IF(B3487="",0,+$T3487*$V3487)</f>
        <v>96.9848804573012</v>
      </c>
      <c r="X3487" s="85">
        <f>IF(B3487="",0,IF(OR(H3487=MappingTables!$C$34,H3487=MappingTables!$C$35),W3487,0))</f>
        <v>0</v>
      </c>
    </row>
    <row r="3488" spans="2:24" s="0" customFormat="0" ht="15">
      <c r="B3488" s="69">
        <v>17136271</v>
      </c>
      <c r="C3488" s="70" t="s">
        <v>2504</v>
      </c>
      <c r="D3488" s="70" t="s">
        <v>1</v>
      </c>
      <c r="E3488" s="70" t="s">
        <v>1</v>
      </c>
      <c r="F3488" s="70"/>
      <c r="G3488" s="70" t="s">
        <v>61</v>
      </c>
      <c r="H3488" s="70" t="s">
        <v>178</v>
      </c>
      <c r="I3488" s="70" t="s">
        <v>188</v>
      </c>
      <c r="J3488" s="71">
        <f>IF(OR(I3488=0,I3488=""),"unrated",VLOOKUP(I3488,MappingTables!$B$19:$C$31,2,FALSE))</f>
        <v>2</v>
      </c>
      <c r="K3488" s="72">
        <v>298.99464666400836</v>
      </c>
      <c r="L3488" s="70">
        <v>0.50288597883311312</v>
      </c>
      <c r="M3488" s="71">
        <f>IF(L3488&lt;1,1,L3488)</f>
        <v>1</v>
      </c>
      <c r="N3488" s="70" t="s">
        <v>141</v>
      </c>
      <c r="O3488" s="71">
        <f>INDEX(DurClassMapping,MATCH(M3488,MappingTables!$D$4:$D$8,-1),1)</f>
        <v>1</v>
      </c>
      <c r="P3488" s="73">
        <f>IF(M3488=$A$1,1,$M3488-INDEX(MappingTables!$E$4:$E$8,MATCH(O3488,MappingTables!$B$4:$B$8,0)))</f>
        <v>1</v>
      </c>
      <c r="Q3488" s="71">
        <f>IF(B3488="",0,INDEX(ModelParameters!$D$6:$K$10,MATCH($O3488,ModelParameters!$B$6:$B$10,0),MATCH($J3488,ModelParameters!$D$5:$K$5,0)))</f>
        <v>0.013999999999999998</v>
      </c>
      <c r="R3488" s="71">
        <f>IF(B3488="",0,INDEX(ModelParameters!$D$13:$K$17,MATCH($O3488,ModelParameters!$B$13:$B$17,0),MATCH($J3488,ModelParameters!$D$5:$K$5,0)))</f>
        <v>0</v>
      </c>
      <c r="S3488" s="160">
        <f>IF(B3488="",0,MIN(IF($N3488="Other Bond TM",ModelParameters!$N$21,1)*(P3488*Q3488+R3488),1))</f>
        <v>0.013999999999999998</v>
      </c>
      <c r="T3488" s="85">
        <f>IF(B3488="",0,$S3488*$K3488)</f>
        <v>4.1859250532961168</v>
      </c>
      <c r="U3488" s="85">
        <f>IF(B3488="",0,IF(OR(H3488=MappingTables!$C$34,H3488=MappingTables!$C$35),T3488,0))</f>
        <v>0</v>
      </c>
      <c r="V3488" s="85">
        <f>IF(ISNA(IF(AND(VLOOKUP(CONCATENATE($D3488,$G3488),CSRFinput!$B:$E,4,0)=0,OR(H3488=MappingTables!$C$34,H3488=MappingTables!$C$35)),1,VLOOKUP(CONCATENATE($D3488,$G3488),CSRFinput!$B:$E,4,0))),0,IF(AND(VLOOKUP(CONCATENATE($D3488,$G3488),CSRFinput!$B:$E,4,0)=0,OR(H3488=MappingTables!$C$34,H3488=MappingTables!$C$35)),1,VLOOKUP(CONCATENATE($D3488,$G3488),CSRFinput!$B:$E,4,0)))</f>
        <v>0.054776304963434752</v>
      </c>
      <c r="W3488" s="85">
        <f>IF(B3488="",0,+$T3488*$V3488)</f>
        <v>0.22928950727342996</v>
      </c>
      <c r="X3488" s="85">
        <f>IF(B3488="",0,IF(OR(H3488=MappingTables!$C$34,H3488=MappingTables!$C$35),W3488,0))</f>
        <v>0</v>
      </c>
    </row>
    <row r="3489" spans="2:24" s="0" customFormat="0" ht="15">
      <c r="B3489" s="69">
        <v>14504631</v>
      </c>
      <c r="C3489" s="70" t="s">
        <v>2409</v>
      </c>
      <c r="D3489" s="70" t="s">
        <v>1</v>
      </c>
      <c r="E3489" s="70" t="s">
        <v>1</v>
      </c>
      <c r="F3489" s="70"/>
      <c r="G3489" s="70" t="s">
        <v>61</v>
      </c>
      <c r="H3489" s="70" t="s">
        <v>178</v>
      </c>
      <c r="I3489" s="70" t="s">
        <v>220</v>
      </c>
      <c r="J3489" s="71">
        <f>IF(OR(I3489=0,I3489=""),"unrated",VLOOKUP(I3489,MappingTables!$B$19:$C$31,2,FALSE))</f>
        <v>1</v>
      </c>
      <c r="K3489" s="72">
        <v>457.40860085515368</v>
      </c>
      <c r="L3489" s="70">
        <v>3.1940449442798364</v>
      </c>
      <c r="M3489" s="71">
        <f>IF(L3489&lt;1,1,L3489)</f>
        <v>3.1940449442798364</v>
      </c>
      <c r="N3489" s="70" t="s">
        <v>141</v>
      </c>
      <c r="O3489" s="71">
        <f>INDEX(DurClassMapping,MATCH(M3489,MappingTables!$D$4:$D$8,-1),1)</f>
        <v>1</v>
      </c>
      <c r="P3489" s="73">
        <f>IF(M3489=$A$1,1,$M3489-INDEX(MappingTables!$E$4:$E$8,MATCH(O3489,MappingTables!$B$4:$B$8,0)))</f>
        <v>3.1940449442798364</v>
      </c>
      <c r="Q3489" s="71">
        <f>IF(B3489="",0,INDEX(ModelParameters!$D$6:$K$10,MATCH($O3489,ModelParameters!$B$6:$B$10,0),MATCH($J3489,ModelParameters!$D$5:$K$5,0)))</f>
        <v>0.011000000000000002</v>
      </c>
      <c r="R3489" s="71">
        <f>IF(B3489="",0,INDEX(ModelParameters!$D$13:$K$17,MATCH($O3489,ModelParameters!$B$13:$B$17,0),MATCH($J3489,ModelParameters!$D$5:$K$5,0)))</f>
        <v>0</v>
      </c>
      <c r="S3489" s="160">
        <f>IF(B3489="",0,MIN(IF($N3489="Other Bond TM",ModelParameters!$N$21,1)*(P3489*Q3489+R3489),1))</f>
        <v>0.035134494387078204</v>
      </c>
      <c r="T3489" s="85">
        <f>IF(B3489="",0,$S3489*$K3489)</f>
        <v>16.070819919346694</v>
      </c>
      <c r="U3489" s="85">
        <f>IF(B3489="",0,IF(OR(H3489=MappingTables!$C$34,H3489=MappingTables!$C$35),T3489,0))</f>
        <v>0</v>
      </c>
      <c r="V3489" s="85">
        <f>IF(ISNA(IF(AND(VLOOKUP(CONCATENATE($D3489,$G3489),CSRFinput!$B:$E,4,0)=0,OR(H3489=MappingTables!$C$34,H3489=MappingTables!$C$35)),1,VLOOKUP(CONCATENATE($D3489,$G3489),CSRFinput!$B:$E,4,0))),0,IF(AND(VLOOKUP(CONCATENATE($D3489,$G3489),CSRFinput!$B:$E,4,0)=0,OR(H3489=MappingTables!$C$34,H3489=MappingTables!$C$35)),1,VLOOKUP(CONCATENATE($D3489,$G3489),CSRFinput!$B:$E,4,0)))</f>
        <v>0.054776304963434752</v>
      </c>
      <c r="W3489" s="85">
        <f>IF(B3489="",0,+$T3489*$V3489)</f>
        <v>0.88030013291457648</v>
      </c>
      <c r="X3489" s="85">
        <f>IF(B3489="",0,IF(OR(H3489=MappingTables!$C$34,H3489=MappingTables!$C$35),W3489,0))</f>
        <v>0</v>
      </c>
    </row>
    <row r="3490" spans="2:24" s="0" customFormat="0" ht="15">
      <c r="B3490" s="69">
        <v>11252237</v>
      </c>
      <c r="C3490" s="70" t="s">
        <v>2491</v>
      </c>
      <c r="D3490" s="70" t="s">
        <v>1</v>
      </c>
      <c r="E3490" s="70" t="s">
        <v>1</v>
      </c>
      <c r="F3490" s="70"/>
      <c r="G3490" s="70" t="s">
        <v>61</v>
      </c>
      <c r="H3490" s="70" t="s">
        <v>178</v>
      </c>
      <c r="I3490" s="70" t="s">
        <v>188</v>
      </c>
      <c r="J3490" s="71">
        <f>IF(OR(I3490=0,I3490=""),"unrated",VLOOKUP(I3490,MappingTables!$B$19:$C$31,2,FALSE))</f>
        <v>2</v>
      </c>
      <c r="K3490" s="72">
        <v>53.827679340311048</v>
      </c>
      <c r="L3490" s="70">
        <v>0.2647251964286934</v>
      </c>
      <c r="M3490" s="71">
        <f>IF(L3490&lt;1,1,L3490)</f>
        <v>1</v>
      </c>
      <c r="N3490" s="70" t="s">
        <v>141</v>
      </c>
      <c r="O3490" s="71">
        <f>INDEX(DurClassMapping,MATCH(M3490,MappingTables!$D$4:$D$8,-1),1)</f>
        <v>1</v>
      </c>
      <c r="P3490" s="73">
        <f>IF(M3490=$A$1,1,$M3490-INDEX(MappingTables!$E$4:$E$8,MATCH(O3490,MappingTables!$B$4:$B$8,0)))</f>
        <v>1</v>
      </c>
      <c r="Q3490" s="71">
        <f>IF(B3490="",0,INDEX(ModelParameters!$D$6:$K$10,MATCH($O3490,ModelParameters!$B$6:$B$10,0),MATCH($J3490,ModelParameters!$D$5:$K$5,0)))</f>
        <v>0.013999999999999998</v>
      </c>
      <c r="R3490" s="71">
        <f>IF(B3490="",0,INDEX(ModelParameters!$D$13:$K$17,MATCH($O3490,ModelParameters!$B$13:$B$17,0),MATCH($J3490,ModelParameters!$D$5:$K$5,0)))</f>
        <v>0</v>
      </c>
      <c r="S3490" s="160">
        <f>IF(B3490="",0,MIN(IF($N3490="Other Bond TM",ModelParameters!$N$21,1)*(P3490*Q3490+R3490),1))</f>
        <v>0.013999999999999998</v>
      </c>
      <c r="T3490" s="85">
        <f>IF(B3490="",0,$S3490*$K3490)</f>
        <v>0.75358751076435456</v>
      </c>
      <c r="U3490" s="85">
        <f>IF(B3490="",0,IF(OR(H3490=MappingTables!$C$34,H3490=MappingTables!$C$35),T3490,0))</f>
        <v>0</v>
      </c>
      <c r="V3490" s="85">
        <f>IF(ISNA(IF(AND(VLOOKUP(CONCATENATE($D3490,$G3490),CSRFinput!$B:$E,4,0)=0,OR(H3490=MappingTables!$C$34,H3490=MappingTables!$C$35)),1,VLOOKUP(CONCATENATE($D3490,$G3490),CSRFinput!$B:$E,4,0))),0,IF(AND(VLOOKUP(CONCATENATE($D3490,$G3490),CSRFinput!$B:$E,4,0)=0,OR(H3490=MappingTables!$C$34,H3490=MappingTables!$C$35)),1,VLOOKUP(CONCATENATE($D3490,$G3490),CSRFinput!$B:$E,4,0)))</f>
        <v>0.054776304963434752</v>
      </c>
      <c r="W3490" s="85">
        <f>IF(B3490="",0,+$T3490*$V3490)</f>
        <v>0.04127873930626396</v>
      </c>
      <c r="X3490" s="85">
        <f>IF(B3490="",0,IF(OR(H3490=MappingTables!$C$34,H3490=MappingTables!$C$35),W3490,0))</f>
        <v>0</v>
      </c>
    </row>
    <row r="3491" spans="2:24" s="0" customFormat="0" ht="15">
      <c r="B3491" s="69">
        <v>24831379</v>
      </c>
      <c r="C3491" s="70" t="s">
        <v>2862</v>
      </c>
      <c r="D3491" s="70" t="s">
        <v>1</v>
      </c>
      <c r="E3491" s="70" t="s">
        <v>1</v>
      </c>
      <c r="F3491" s="70"/>
      <c r="G3491" s="70" t="s">
        <v>61</v>
      </c>
      <c r="H3491" s="70" t="s">
        <v>178</v>
      </c>
      <c r="I3491" s="70" t="s">
        <v>179</v>
      </c>
      <c r="J3491" s="71">
        <f>IF(OR(I3491=0,I3491=""),"unrated",VLOOKUP(I3491,MappingTables!$B$19:$C$31,2,FALSE))</f>
        <v>4</v>
      </c>
      <c r="K3491" s="72">
        <v>11359.505446901658</v>
      </c>
      <c r="L3491" s="70">
        <v>2.7001245189160152</v>
      </c>
      <c r="M3491" s="71">
        <f>IF(L3491&lt;1,1,L3491)</f>
        <v>2.7001245189160152</v>
      </c>
      <c r="N3491" s="70" t="s">
        <v>141</v>
      </c>
      <c r="O3491" s="71">
        <f>INDEX(DurClassMapping,MATCH(M3491,MappingTables!$D$4:$D$8,-1),1)</f>
        <v>1</v>
      </c>
      <c r="P3491" s="73">
        <f>IF(M3491=$A$1,1,$M3491-INDEX(MappingTables!$E$4:$E$8,MATCH(O3491,MappingTables!$B$4:$B$8,0)))</f>
        <v>2.7001245189160152</v>
      </c>
      <c r="Q3491" s="71">
        <f>IF(B3491="",0,INDEX(ModelParameters!$D$6:$K$10,MATCH($O3491,ModelParameters!$B$6:$B$10,0),MATCH($J3491,ModelParameters!$D$5:$K$5,0)))</f>
        <v>0.045</v>
      </c>
      <c r="R3491" s="71">
        <f>IF(B3491="",0,INDEX(ModelParameters!$D$13:$K$17,MATCH($O3491,ModelParameters!$B$13:$B$17,0),MATCH($J3491,ModelParameters!$D$5:$K$5,0)))</f>
        <v>0</v>
      </c>
      <c r="S3491" s="160">
        <f>IF(B3491="",0,MIN(IF($N3491="Other Bond TM",ModelParameters!$N$21,1)*(P3491*Q3491+R3491),1))</f>
        <v>0.12150560335122068</v>
      </c>
      <c r="T3491" s="85">
        <f>IF(B3491="",0,$S3491*$K3491)</f>
        <v>1380.2435630972636</v>
      </c>
      <c r="U3491" s="85">
        <f>IF(B3491="",0,IF(OR(H3491=MappingTables!$C$34,H3491=MappingTables!$C$35),T3491,0))</f>
        <v>0</v>
      </c>
      <c r="V3491" s="85">
        <f>IF(ISNA(IF(AND(VLOOKUP(CONCATENATE($D3491,$G3491),CSRFinput!$B:$E,4,0)=0,OR(H3491=MappingTables!$C$34,H3491=MappingTables!$C$35)),1,VLOOKUP(CONCATENATE($D3491,$G3491),CSRFinput!$B:$E,4,0))),0,IF(AND(VLOOKUP(CONCATENATE($D3491,$G3491),CSRFinput!$B:$E,4,0)=0,OR(H3491=MappingTables!$C$34,H3491=MappingTables!$C$35)),1,VLOOKUP(CONCATENATE($D3491,$G3491),CSRFinput!$B:$E,4,0)))</f>
        <v>0.054776304963434752</v>
      </c>
      <c r="W3491" s="85">
        <f>IF(B3491="",0,+$T3491*$V3491)</f>
        <v>75.604642336033504</v>
      </c>
      <c r="X3491" s="85">
        <f>IF(B3491="",0,IF(OR(H3491=MappingTables!$C$34,H3491=MappingTables!$C$35),W3491,0))</f>
        <v>0</v>
      </c>
    </row>
    <row r="3492" spans="2:24" s="0" customFormat="0" ht="15">
      <c r="B3492" s="69">
        <v>12182640</v>
      </c>
      <c r="C3492" s="70" t="s">
        <v>2863</v>
      </c>
      <c r="D3492" s="70" t="s">
        <v>1</v>
      </c>
      <c r="E3492" s="70" t="s">
        <v>1</v>
      </c>
      <c r="F3492" s="70"/>
      <c r="G3492" s="70" t="s">
        <v>61</v>
      </c>
      <c r="H3492" s="70" t="s">
        <v>178</v>
      </c>
      <c r="I3492" s="70" t="s">
        <v>179</v>
      </c>
      <c r="J3492" s="71">
        <f>IF(OR(I3492=0,I3492=""),"unrated",VLOOKUP(I3492,MappingTables!$B$19:$C$31,2,FALSE))</f>
        <v>4</v>
      </c>
      <c r="K3492" s="72">
        <v>248.76452249304224</v>
      </c>
      <c r="L3492" s="70">
        <v>0.41370040864733208</v>
      </c>
      <c r="M3492" s="71">
        <f>IF(L3492&lt;1,1,L3492)</f>
        <v>1</v>
      </c>
      <c r="N3492" s="70" t="s">
        <v>141</v>
      </c>
      <c r="O3492" s="71">
        <f>INDEX(DurClassMapping,MATCH(M3492,MappingTables!$D$4:$D$8,-1),1)</f>
        <v>1</v>
      </c>
      <c r="P3492" s="73">
        <f>IF(M3492=$A$1,1,$M3492-INDEX(MappingTables!$E$4:$E$8,MATCH(O3492,MappingTables!$B$4:$B$8,0)))</f>
        <v>1</v>
      </c>
      <c r="Q3492" s="71">
        <f>IF(B3492="",0,INDEX(ModelParameters!$D$6:$K$10,MATCH($O3492,ModelParameters!$B$6:$B$10,0),MATCH($J3492,ModelParameters!$D$5:$K$5,0)))</f>
        <v>0.045</v>
      </c>
      <c r="R3492" s="71">
        <f>IF(B3492="",0,INDEX(ModelParameters!$D$13:$K$17,MATCH($O3492,ModelParameters!$B$13:$B$17,0),MATCH($J3492,ModelParameters!$D$5:$K$5,0)))</f>
        <v>0</v>
      </c>
      <c r="S3492" s="160">
        <f>IF(B3492="",0,MIN(IF($N3492="Other Bond TM",ModelParameters!$N$21,1)*(P3492*Q3492+R3492),1))</f>
        <v>0.045</v>
      </c>
      <c r="T3492" s="85">
        <f>IF(B3492="",0,$S3492*$K3492)</f>
        <v>11.1944035121869</v>
      </c>
      <c r="U3492" s="85">
        <f>IF(B3492="",0,IF(OR(H3492=MappingTables!$C$34,H3492=MappingTables!$C$35),T3492,0))</f>
        <v>0</v>
      </c>
      <c r="V3492" s="85">
        <f>IF(ISNA(IF(AND(VLOOKUP(CONCATENATE($D3492,$G3492),CSRFinput!$B:$E,4,0)=0,OR(H3492=MappingTables!$C$34,H3492=MappingTables!$C$35)),1,VLOOKUP(CONCATENATE($D3492,$G3492),CSRFinput!$B:$E,4,0))),0,IF(AND(VLOOKUP(CONCATENATE($D3492,$G3492),CSRFinput!$B:$E,4,0)=0,OR(H3492=MappingTables!$C$34,H3492=MappingTables!$C$35)),1,VLOOKUP(CONCATENATE($D3492,$G3492),CSRFinput!$B:$E,4,0)))</f>
        <v>0.054776304963434752</v>
      </c>
      <c r="W3492" s="85">
        <f>IF(B3492="",0,+$T3492*$V3492)</f>
        <v>0.61318806066729472</v>
      </c>
      <c r="X3492" s="85">
        <f>IF(B3492="",0,IF(OR(H3492=MappingTables!$C$34,H3492=MappingTables!$C$35),W3492,0))</f>
        <v>0</v>
      </c>
    </row>
    <row r="3493" spans="2:24" s="0" customFormat="0" ht="15">
      <c r="B3493" s="69">
        <v>14257093</v>
      </c>
      <c r="C3493" s="70" t="s">
        <v>2174</v>
      </c>
      <c r="D3493" s="70" t="s">
        <v>1</v>
      </c>
      <c r="E3493" s="70" t="s">
        <v>1</v>
      </c>
      <c r="F3493" s="70"/>
      <c r="G3493" s="70" t="s">
        <v>61</v>
      </c>
      <c r="H3493" s="70" t="s">
        <v>178</v>
      </c>
      <c r="I3493" s="70" t="s">
        <v>181</v>
      </c>
      <c r="J3493" s="71">
        <f>IF(OR(I3493=0,I3493=""),"unrated",VLOOKUP(I3493,MappingTables!$B$19:$C$31,2,FALSE))</f>
        <v>3</v>
      </c>
      <c r="K3493" s="72">
        <v>221.7213049917392</v>
      </c>
      <c r="L3493" s="70">
        <v>1.3193700315518738</v>
      </c>
      <c r="M3493" s="71">
        <f>IF(L3493&lt;1,1,L3493)</f>
        <v>1.3193700315518738</v>
      </c>
      <c r="N3493" s="70" t="s">
        <v>141</v>
      </c>
      <c r="O3493" s="71">
        <f>INDEX(DurClassMapping,MATCH(M3493,MappingTables!$D$4:$D$8,-1),1)</f>
        <v>1</v>
      </c>
      <c r="P3493" s="73">
        <f>IF(M3493=$A$1,1,$M3493-INDEX(MappingTables!$E$4:$E$8,MATCH(O3493,MappingTables!$B$4:$B$8,0)))</f>
        <v>1.3193700315518738</v>
      </c>
      <c r="Q3493" s="71">
        <f>IF(B3493="",0,INDEX(ModelParameters!$D$6:$K$10,MATCH($O3493,ModelParameters!$B$6:$B$10,0),MATCH($J3493,ModelParameters!$D$5:$K$5,0)))</f>
        <v>0.025</v>
      </c>
      <c r="R3493" s="71">
        <f>IF(B3493="",0,INDEX(ModelParameters!$D$13:$K$17,MATCH($O3493,ModelParameters!$B$13:$B$17,0),MATCH($J3493,ModelParameters!$D$5:$K$5,0)))</f>
        <v>0</v>
      </c>
      <c r="S3493" s="160">
        <f>IF(B3493="",0,MIN(IF($N3493="Other Bond TM",ModelParameters!$N$21,1)*(P3493*Q3493+R3493),1))</f>
        <v>0.032984250788796848</v>
      </c>
      <c r="T3493" s="85">
        <f>IF(B3493="",0,$S3493*$K3493)</f>
        <v>7.31331112906684</v>
      </c>
      <c r="U3493" s="85">
        <f>IF(B3493="",0,IF(OR(H3493=MappingTables!$C$34,H3493=MappingTables!$C$35),T3493,0))</f>
        <v>0</v>
      </c>
      <c r="V3493" s="85">
        <f>IF(ISNA(IF(AND(VLOOKUP(CONCATENATE($D3493,$G3493),CSRFinput!$B:$E,4,0)=0,OR(H3493=MappingTables!$C$34,H3493=MappingTables!$C$35)),1,VLOOKUP(CONCATENATE($D3493,$G3493),CSRFinput!$B:$E,4,0))),0,IF(AND(VLOOKUP(CONCATENATE($D3493,$G3493),CSRFinput!$B:$E,4,0)=0,OR(H3493=MappingTables!$C$34,H3493=MappingTables!$C$35)),1,VLOOKUP(CONCATENATE($D3493,$G3493),CSRFinput!$B:$E,4,0)))</f>
        <v>0.054776304963434752</v>
      </c>
      <c r="W3493" s="85">
        <f>IF(B3493="",0,+$T3493*$V3493)</f>
        <v>0.40059616069824664</v>
      </c>
      <c r="X3493" s="85">
        <f>IF(B3493="",0,IF(OR(H3493=MappingTables!$C$34,H3493=MappingTables!$C$35),W3493,0))</f>
        <v>0</v>
      </c>
    </row>
    <row r="3494" spans="2:24" s="0" customFormat="0" ht="15">
      <c r="B3494" s="69">
        <v>15469247</v>
      </c>
      <c r="C3494" s="70" t="s">
        <v>1526</v>
      </c>
      <c r="D3494" s="70" t="s">
        <v>1</v>
      </c>
      <c r="E3494" s="70" t="s">
        <v>1</v>
      </c>
      <c r="F3494" s="70"/>
      <c r="G3494" s="70" t="s">
        <v>61</v>
      </c>
      <c r="H3494" s="70" t="s">
        <v>178</v>
      </c>
      <c r="I3494" s="70" t="s">
        <v>188</v>
      </c>
      <c r="J3494" s="71">
        <f>IF(OR(I3494=0,I3494=""),"unrated",VLOOKUP(I3494,MappingTables!$B$19:$C$31,2,FALSE))</f>
        <v>2</v>
      </c>
      <c r="K3494" s="72">
        <v>4274.3394178524728</v>
      </c>
      <c r="L3494" s="70">
        <v>5.8735681200157928</v>
      </c>
      <c r="M3494" s="71">
        <f>IF(L3494&lt;1,1,L3494)</f>
        <v>5.8735681200157928</v>
      </c>
      <c r="N3494" s="70" t="s">
        <v>141</v>
      </c>
      <c r="O3494" s="71">
        <f>INDEX(DurClassMapping,MATCH(M3494,MappingTables!$D$4:$D$8,-1),1)</f>
        <v>2</v>
      </c>
      <c r="P3494" s="73">
        <f>IF(M3494=$A$1,1,$M3494-INDEX(MappingTables!$E$4:$E$8,MATCH(O3494,MappingTables!$B$4:$B$8,0)))</f>
        <v>0.87356812001579248</v>
      </c>
      <c r="Q3494" s="71">
        <f>IF(B3494="",0,INDEX(ModelParameters!$D$6:$K$10,MATCH($O3494,ModelParameters!$B$6:$B$10,0),MATCH($J3494,ModelParameters!$D$5:$K$5,0)))</f>
        <v>0.0069999999999999992</v>
      </c>
      <c r="R3494" s="71">
        <f>IF(B3494="",0,INDEX(ModelParameters!$D$13:$K$17,MATCH($O3494,ModelParameters!$B$13:$B$17,0),MATCH($J3494,ModelParameters!$D$5:$K$5,0)))</f>
        <v>0.070000000000000008</v>
      </c>
      <c r="S3494" s="160">
        <f>IF(B3494="",0,MIN(IF($N3494="Other Bond TM",ModelParameters!$N$21,1)*(P3494*Q3494+R3494),1))</f>
        <v>0.076114976840110544</v>
      </c>
      <c r="T3494" s="85">
        <f>IF(B3494="",0,$S3494*$K3494)</f>
        <v>325.3412457966126</v>
      </c>
      <c r="U3494" s="85">
        <f>IF(B3494="",0,IF(OR(H3494=MappingTables!$C$34,H3494=MappingTables!$C$35),T3494,0))</f>
        <v>0</v>
      </c>
      <c r="V3494" s="85">
        <f>IF(ISNA(IF(AND(VLOOKUP(CONCATENATE($D3494,$G3494),CSRFinput!$B:$E,4,0)=0,OR(H3494=MappingTables!$C$34,H3494=MappingTables!$C$35)),1,VLOOKUP(CONCATENATE($D3494,$G3494),CSRFinput!$B:$E,4,0))),0,IF(AND(VLOOKUP(CONCATENATE($D3494,$G3494),CSRFinput!$B:$E,4,0)=0,OR(H3494=MappingTables!$C$34,H3494=MappingTables!$C$35)),1,VLOOKUP(CONCATENATE($D3494,$G3494),CSRFinput!$B:$E,4,0)))</f>
        <v>0.054776304963434752</v>
      </c>
      <c r="W3494" s="85">
        <f>IF(B3494="",0,+$T3494*$V3494)</f>
        <v>17.820991296939038</v>
      </c>
      <c r="X3494" s="85">
        <f>IF(B3494="",0,IF(OR(H3494=MappingTables!$C$34,H3494=MappingTables!$C$35),W3494,0))</f>
        <v>0</v>
      </c>
    </row>
    <row r="3495" spans="2:24" s="0" customFormat="0" ht="15">
      <c r="B3495" s="69" t="s">
        <v>414</v>
      </c>
      <c r="C3495" s="70" t="s">
        <v>415</v>
      </c>
      <c r="D3495" s="70" t="s">
        <v>1</v>
      </c>
      <c r="E3495" s="70" t="s">
        <v>1</v>
      </c>
      <c r="F3495" s="70"/>
      <c r="G3495" s="70" t="s">
        <v>61</v>
      </c>
      <c r="H3495" s="70" t="s">
        <v>178</v>
      </c>
      <c r="I3495" s="70" t="s">
        <v>179</v>
      </c>
      <c r="J3495" s="71">
        <f>IF(OR(I3495=0,I3495=""),"unrated",VLOOKUP(I3495,MappingTables!$B$19:$C$31,2,FALSE))</f>
        <v>4</v>
      </c>
      <c r="K3495" s="72">
        <v>36952.614798451904</v>
      </c>
      <c r="L3495" s="70">
        <v>12.077109723176826</v>
      </c>
      <c r="M3495" s="71">
        <f>IF(L3495&lt;1,1,L3495)</f>
        <v>12.077109723176826</v>
      </c>
      <c r="N3495" s="70" t="s">
        <v>141</v>
      </c>
      <c r="O3495" s="71">
        <f>INDEX(DurClassMapping,MATCH(M3495,MappingTables!$D$4:$D$8,-1),1)</f>
        <v>3</v>
      </c>
      <c r="P3495" s="73">
        <f>IF(M3495=$A$1,1,$M3495-INDEX(MappingTables!$E$4:$E$8,MATCH(O3495,MappingTables!$B$4:$B$8,0)))</f>
        <v>2.0771097231768268</v>
      </c>
      <c r="Q3495" s="71">
        <f>IF(B3495="",0,INDEX(ModelParameters!$D$6:$K$10,MATCH($O3495,ModelParameters!$B$6:$B$10,0),MATCH($J3495,ModelParameters!$D$5:$K$5,0)))</f>
        <v>0.018000000000000002</v>
      </c>
      <c r="R3495" s="71">
        <f>IF(B3495="",0,INDEX(ModelParameters!$D$13:$K$17,MATCH($O3495,ModelParameters!$B$13:$B$17,0),MATCH($J3495,ModelParameters!$D$5:$K$5,0)))</f>
        <v>0.34999999999999996</v>
      </c>
      <c r="S3495" s="160">
        <f>IF(B3495="",0,MIN(IF($N3495="Other Bond TM",ModelParameters!$N$21,1)*(P3495*Q3495+R3495),1))</f>
        <v>0.38738797501718288</v>
      </c>
      <c r="T3495" s="85">
        <f>IF(B3495="",0,$S3495*$K3495)</f>
        <v>14314.998618362268</v>
      </c>
      <c r="U3495" s="85">
        <f>IF(B3495="",0,IF(OR(H3495=MappingTables!$C$34,H3495=MappingTables!$C$35),T3495,0))</f>
        <v>0</v>
      </c>
      <c r="V3495" s="85">
        <f>IF(ISNA(IF(AND(VLOOKUP(CONCATENATE($D3495,$G3495),CSRFinput!$B:$E,4,0)=0,OR(H3495=MappingTables!$C$34,H3495=MappingTables!$C$35)),1,VLOOKUP(CONCATENATE($D3495,$G3495),CSRFinput!$B:$E,4,0))),0,IF(AND(VLOOKUP(CONCATENATE($D3495,$G3495),CSRFinput!$B:$E,4,0)=0,OR(H3495=MappingTables!$C$34,H3495=MappingTables!$C$35)),1,VLOOKUP(CONCATENATE($D3495,$G3495),CSRFinput!$B:$E,4,0)))</f>
        <v>0.054776304963434752</v>
      </c>
      <c r="W3495" s="85">
        <f>IF(B3495="",0,+$T3495*$V3495)</f>
        <v>784.12272987055872</v>
      </c>
      <c r="X3495" s="85">
        <f>IF(B3495="",0,IF(OR(H3495=MappingTables!$C$34,H3495=MappingTables!$C$35),W3495,0))</f>
        <v>0</v>
      </c>
    </row>
    <row r="3496" spans="2:24" s="0" customFormat="0" ht="15">
      <c r="B3496" s="69">
        <v>13093830</v>
      </c>
      <c r="C3496" s="70" t="s">
        <v>1495</v>
      </c>
      <c r="D3496" s="70" t="s">
        <v>1</v>
      </c>
      <c r="E3496" s="70" t="s">
        <v>1</v>
      </c>
      <c r="F3496" s="70"/>
      <c r="G3496" s="70" t="s">
        <v>61</v>
      </c>
      <c r="H3496" s="70" t="s">
        <v>178</v>
      </c>
      <c r="I3496" s="70" t="s">
        <v>188</v>
      </c>
      <c r="J3496" s="71">
        <f>IF(OR(I3496=0,I3496=""),"unrated",VLOOKUP(I3496,MappingTables!$B$19:$C$31,2,FALSE))</f>
        <v>2</v>
      </c>
      <c r="K3496" s="72">
        <v>425.3698601571632</v>
      </c>
      <c r="L3496" s="70">
        <v>0.87548166817258832</v>
      </c>
      <c r="M3496" s="71">
        <f>IF(L3496&lt;1,1,L3496)</f>
        <v>1</v>
      </c>
      <c r="N3496" s="70" t="s">
        <v>141</v>
      </c>
      <c r="O3496" s="71">
        <f>INDEX(DurClassMapping,MATCH(M3496,MappingTables!$D$4:$D$8,-1),1)</f>
        <v>1</v>
      </c>
      <c r="P3496" s="73">
        <f>IF(M3496=$A$1,1,$M3496-INDEX(MappingTables!$E$4:$E$8,MATCH(O3496,MappingTables!$B$4:$B$8,0)))</f>
        <v>1</v>
      </c>
      <c r="Q3496" s="71">
        <f>IF(B3496="",0,INDEX(ModelParameters!$D$6:$K$10,MATCH($O3496,ModelParameters!$B$6:$B$10,0),MATCH($J3496,ModelParameters!$D$5:$K$5,0)))</f>
        <v>0.013999999999999998</v>
      </c>
      <c r="R3496" s="71">
        <f>IF(B3496="",0,INDEX(ModelParameters!$D$13:$K$17,MATCH($O3496,ModelParameters!$B$13:$B$17,0),MATCH($J3496,ModelParameters!$D$5:$K$5,0)))</f>
        <v>0</v>
      </c>
      <c r="S3496" s="160">
        <f>IF(B3496="",0,MIN(IF($N3496="Other Bond TM",ModelParameters!$N$21,1)*(P3496*Q3496+R3496),1))</f>
        <v>0.013999999999999998</v>
      </c>
      <c r="T3496" s="85">
        <f>IF(B3496="",0,$S3496*$K3496)</f>
        <v>5.955178042200284</v>
      </c>
      <c r="U3496" s="85">
        <f>IF(B3496="",0,IF(OR(H3496=MappingTables!$C$34,H3496=MappingTables!$C$35),T3496,0))</f>
        <v>0</v>
      </c>
      <c r="V3496" s="85">
        <f>IF(ISNA(IF(AND(VLOOKUP(CONCATENATE($D3496,$G3496),CSRFinput!$B:$E,4,0)=0,OR(H3496=MappingTables!$C$34,H3496=MappingTables!$C$35)),1,VLOOKUP(CONCATENATE($D3496,$G3496),CSRFinput!$B:$E,4,0))),0,IF(AND(VLOOKUP(CONCATENATE($D3496,$G3496),CSRFinput!$B:$E,4,0)=0,OR(H3496=MappingTables!$C$34,H3496=MappingTables!$C$35)),1,VLOOKUP(CONCATENATE($D3496,$G3496),CSRFinput!$B:$E,4,0)))</f>
        <v>0.054776304963434752</v>
      </c>
      <c r="W3496" s="85">
        <f>IF(B3496="",0,+$T3496*$V3496)</f>
        <v>0.32620264855111308</v>
      </c>
      <c r="X3496" s="85">
        <f>IF(B3496="",0,IF(OR(H3496=MappingTables!$C$34,H3496=MappingTables!$C$35),W3496,0))</f>
        <v>0</v>
      </c>
    </row>
    <row r="3497" spans="2:24" s="0" customFormat="0" ht="15">
      <c r="B3497" s="69" t="s">
        <v>2864</v>
      </c>
      <c r="C3497" s="70" t="s">
        <v>2865</v>
      </c>
      <c r="D3497" s="70" t="s">
        <v>1</v>
      </c>
      <c r="E3497" s="70" t="s">
        <v>1</v>
      </c>
      <c r="F3497" s="70"/>
      <c r="G3497" s="70" t="s">
        <v>61</v>
      </c>
      <c r="H3497" s="70" t="s">
        <v>178</v>
      </c>
      <c r="I3497" s="70" t="s">
        <v>188</v>
      </c>
      <c r="J3497" s="71">
        <f>IF(OR(I3497=0,I3497=""),"unrated",VLOOKUP(I3497,MappingTables!$B$19:$C$31,2,FALSE))</f>
        <v>2</v>
      </c>
      <c r="K3497" s="72">
        <v>521.43975726787072</v>
      </c>
      <c r="L3497" s="70">
        <v>3.0590623956459324</v>
      </c>
      <c r="M3497" s="71">
        <f>IF(L3497&lt;1,1,L3497)</f>
        <v>3.0590623956459324</v>
      </c>
      <c r="N3497" s="70" t="s">
        <v>141</v>
      </c>
      <c r="O3497" s="71">
        <f>INDEX(DurClassMapping,MATCH(M3497,MappingTables!$D$4:$D$8,-1),1)</f>
        <v>1</v>
      </c>
      <c r="P3497" s="73">
        <f>IF(M3497=$A$1,1,$M3497-INDEX(MappingTables!$E$4:$E$8,MATCH(O3497,MappingTables!$B$4:$B$8,0)))</f>
        <v>3.0590623956459324</v>
      </c>
      <c r="Q3497" s="71">
        <f>IF(B3497="",0,INDEX(ModelParameters!$D$6:$K$10,MATCH($O3497,ModelParameters!$B$6:$B$10,0),MATCH($J3497,ModelParameters!$D$5:$K$5,0)))</f>
        <v>0.013999999999999998</v>
      </c>
      <c r="R3497" s="71">
        <f>IF(B3497="",0,INDEX(ModelParameters!$D$13:$K$17,MATCH($O3497,ModelParameters!$B$13:$B$17,0),MATCH($J3497,ModelParameters!$D$5:$K$5,0)))</f>
        <v>0</v>
      </c>
      <c r="S3497" s="160">
        <f>IF(B3497="",0,MIN(IF($N3497="Other Bond TM",ModelParameters!$N$21,1)*(P3497*Q3497+R3497),1))</f>
        <v>0.042826873539043048</v>
      </c>
      <c r="T3497" s="85">
        <f>IF(B3497="",0,$S3497*$K3497)</f>
        <v>22.331634542740404</v>
      </c>
      <c r="U3497" s="85">
        <f>IF(B3497="",0,IF(OR(H3497=MappingTables!$C$34,H3497=MappingTables!$C$35),T3497,0))</f>
        <v>0</v>
      </c>
      <c r="V3497" s="85">
        <f>IF(ISNA(IF(AND(VLOOKUP(CONCATENATE($D3497,$G3497),CSRFinput!$B:$E,4,0)=0,OR(H3497=MappingTables!$C$34,H3497=MappingTables!$C$35)),1,VLOOKUP(CONCATENATE($D3497,$G3497),CSRFinput!$B:$E,4,0))),0,IF(AND(VLOOKUP(CONCATENATE($D3497,$G3497),CSRFinput!$B:$E,4,0)=0,OR(H3497=MappingTables!$C$34,H3497=MappingTables!$C$35)),1,VLOOKUP(CONCATENATE($D3497,$G3497),CSRFinput!$B:$E,4,0)))</f>
        <v>0.054776304963434752</v>
      </c>
      <c r="W3497" s="85">
        <f>IF(B3497="",0,+$T3497*$V3497)</f>
        <v>1.2232444240451222</v>
      </c>
      <c r="X3497" s="85">
        <f>IF(B3497="",0,IF(OR(H3497=MappingTables!$C$34,H3497=MappingTables!$C$35),W3497,0))</f>
        <v>0</v>
      </c>
    </row>
    <row r="3498" spans="2:24" s="0" customFormat="0" ht="15">
      <c r="B3498" s="69">
        <v>18051828</v>
      </c>
      <c r="C3498" s="70" t="s">
        <v>234</v>
      </c>
      <c r="D3498" s="70" t="s">
        <v>1</v>
      </c>
      <c r="E3498" s="70" t="s">
        <v>1</v>
      </c>
      <c r="F3498" s="70"/>
      <c r="G3498" s="70" t="s">
        <v>61</v>
      </c>
      <c r="H3498" s="70" t="s">
        <v>178</v>
      </c>
      <c r="I3498" s="70" t="s">
        <v>179</v>
      </c>
      <c r="J3498" s="71">
        <f>IF(OR(I3498=0,I3498=""),"unrated",VLOOKUP(I3498,MappingTables!$B$19:$C$31,2,FALSE))</f>
        <v>4</v>
      </c>
      <c r="K3498" s="72">
        <v>1129.395209308578</v>
      </c>
      <c r="L3498" s="70">
        <v>0.81341544224020064</v>
      </c>
      <c r="M3498" s="71">
        <f>IF(L3498&lt;1,1,L3498)</f>
        <v>1</v>
      </c>
      <c r="N3498" s="70" t="s">
        <v>141</v>
      </c>
      <c r="O3498" s="71">
        <f>INDEX(DurClassMapping,MATCH(M3498,MappingTables!$D$4:$D$8,-1),1)</f>
        <v>1</v>
      </c>
      <c r="P3498" s="73">
        <f>IF(M3498=$A$1,1,$M3498-INDEX(MappingTables!$E$4:$E$8,MATCH(O3498,MappingTables!$B$4:$B$8,0)))</f>
        <v>1</v>
      </c>
      <c r="Q3498" s="71">
        <f>IF(B3498="",0,INDEX(ModelParameters!$D$6:$K$10,MATCH($O3498,ModelParameters!$B$6:$B$10,0),MATCH($J3498,ModelParameters!$D$5:$K$5,0)))</f>
        <v>0.045</v>
      </c>
      <c r="R3498" s="71">
        <f>IF(B3498="",0,INDEX(ModelParameters!$D$13:$K$17,MATCH($O3498,ModelParameters!$B$13:$B$17,0),MATCH($J3498,ModelParameters!$D$5:$K$5,0)))</f>
        <v>0</v>
      </c>
      <c r="S3498" s="160">
        <f>IF(B3498="",0,MIN(IF($N3498="Other Bond TM",ModelParameters!$N$21,1)*(P3498*Q3498+R3498),1))</f>
        <v>0.045</v>
      </c>
      <c r="T3498" s="85">
        <f>IF(B3498="",0,$S3498*$K3498)</f>
        <v>50.822784418886</v>
      </c>
      <c r="U3498" s="85">
        <f>IF(B3498="",0,IF(OR(H3498=MappingTables!$C$34,H3498=MappingTables!$C$35),T3498,0))</f>
        <v>0</v>
      </c>
      <c r="V3498" s="85">
        <f>IF(ISNA(IF(AND(VLOOKUP(CONCATENATE($D3498,$G3498),CSRFinput!$B:$E,4,0)=0,OR(H3498=MappingTables!$C$34,H3498=MappingTables!$C$35)),1,VLOOKUP(CONCATENATE($D3498,$G3498),CSRFinput!$B:$E,4,0))),0,IF(AND(VLOOKUP(CONCATENATE($D3498,$G3498),CSRFinput!$B:$E,4,0)=0,OR(H3498=MappingTables!$C$34,H3498=MappingTables!$C$35)),1,VLOOKUP(CONCATENATE($D3498,$G3498),CSRFinput!$B:$E,4,0)))</f>
        <v>0.054776304963434752</v>
      </c>
      <c r="W3498" s="85">
        <f>IF(B3498="",0,+$T3498*$V3498)</f>
        <v>2.7838843384197996</v>
      </c>
      <c r="X3498" s="85">
        <f>IF(B3498="",0,IF(OR(H3498=MappingTables!$C$34,H3498=MappingTables!$C$35),W3498,0))</f>
        <v>0</v>
      </c>
    </row>
    <row r="3499" spans="2:24" s="0" customFormat="0" ht="15">
      <c r="B3499" s="69">
        <v>16137739</v>
      </c>
      <c r="C3499" s="70" t="s">
        <v>2866</v>
      </c>
      <c r="D3499" s="70" t="s">
        <v>1</v>
      </c>
      <c r="E3499" s="70" t="s">
        <v>1</v>
      </c>
      <c r="F3499" s="70"/>
      <c r="G3499" s="70" t="s">
        <v>61</v>
      </c>
      <c r="H3499" s="70" t="s">
        <v>178</v>
      </c>
      <c r="I3499" s="70" t="s">
        <v>181</v>
      </c>
      <c r="J3499" s="71">
        <f>IF(OR(I3499=0,I3499=""),"unrated",VLOOKUP(I3499,MappingTables!$B$19:$C$31,2,FALSE))</f>
        <v>3</v>
      </c>
      <c r="K3499" s="72">
        <v>492.9393749062156</v>
      </c>
      <c r="L3499" s="70">
        <v>2.0989204199799644</v>
      </c>
      <c r="M3499" s="71">
        <f>IF(L3499&lt;1,1,L3499)</f>
        <v>2.0989204199799644</v>
      </c>
      <c r="N3499" s="70" t="s">
        <v>141</v>
      </c>
      <c r="O3499" s="71">
        <f>INDEX(DurClassMapping,MATCH(M3499,MappingTables!$D$4:$D$8,-1),1)</f>
        <v>1</v>
      </c>
      <c r="P3499" s="73">
        <f>IF(M3499=$A$1,1,$M3499-INDEX(MappingTables!$E$4:$E$8,MATCH(O3499,MappingTables!$B$4:$B$8,0)))</f>
        <v>2.0989204199799644</v>
      </c>
      <c r="Q3499" s="71">
        <f>IF(B3499="",0,INDEX(ModelParameters!$D$6:$K$10,MATCH($O3499,ModelParameters!$B$6:$B$10,0),MATCH($J3499,ModelParameters!$D$5:$K$5,0)))</f>
        <v>0.025</v>
      </c>
      <c r="R3499" s="71">
        <f>IF(B3499="",0,INDEX(ModelParameters!$D$13:$K$17,MATCH($O3499,ModelParameters!$B$13:$B$17,0),MATCH($J3499,ModelParameters!$D$5:$K$5,0)))</f>
        <v>0</v>
      </c>
      <c r="S3499" s="160">
        <f>IF(B3499="",0,MIN(IF($N3499="Other Bond TM",ModelParameters!$N$21,1)*(P3499*Q3499+R3499),1))</f>
        <v>0.052473010499499112</v>
      </c>
      <c r="T3499" s="85">
        <f>IF(B3499="",0,$S3499*$K3499)</f>
        <v>25.86601299507038</v>
      </c>
      <c r="U3499" s="85">
        <f>IF(B3499="",0,IF(OR(H3499=MappingTables!$C$34,H3499=MappingTables!$C$35),T3499,0))</f>
        <v>0</v>
      </c>
      <c r="V3499" s="85">
        <f>IF(ISNA(IF(AND(VLOOKUP(CONCATENATE($D3499,$G3499),CSRFinput!$B:$E,4,0)=0,OR(H3499=MappingTables!$C$34,H3499=MappingTables!$C$35)),1,VLOOKUP(CONCATENATE($D3499,$G3499),CSRFinput!$B:$E,4,0))),0,IF(AND(VLOOKUP(CONCATENATE($D3499,$G3499),CSRFinput!$B:$E,4,0)=0,OR(H3499=MappingTables!$C$34,H3499=MappingTables!$C$35)),1,VLOOKUP(CONCATENATE($D3499,$G3499),CSRFinput!$B:$E,4,0)))</f>
        <v>0.054776304963434752</v>
      </c>
      <c r="W3499" s="85">
        <f>IF(B3499="",0,+$T3499*$V3499)</f>
        <v>1.4168446160061416</v>
      </c>
      <c r="X3499" s="85">
        <f>IF(B3499="",0,IF(OR(H3499=MappingTables!$C$34,H3499=MappingTables!$C$35),W3499,0))</f>
        <v>0</v>
      </c>
    </row>
    <row r="3500" spans="2:24" s="0" customFormat="0" ht="15">
      <c r="B3500" s="69">
        <v>22361562</v>
      </c>
      <c r="C3500" s="70" t="s">
        <v>2670</v>
      </c>
      <c r="D3500" s="70" t="s">
        <v>1</v>
      </c>
      <c r="E3500" s="70" t="s">
        <v>1</v>
      </c>
      <c r="F3500" s="70"/>
      <c r="G3500" s="70" t="s">
        <v>61</v>
      </c>
      <c r="H3500" s="70" t="s">
        <v>178</v>
      </c>
      <c r="I3500" s="70" t="s">
        <v>188</v>
      </c>
      <c r="J3500" s="71">
        <f>IF(OR(I3500=0,I3500=""),"unrated",VLOOKUP(I3500,MappingTables!$B$19:$C$31,2,FALSE))</f>
        <v>2</v>
      </c>
      <c r="K3500" s="72">
        <v>904.80710623377472</v>
      </c>
      <c r="L3500" s="70">
        <v>1.1277697994712498</v>
      </c>
      <c r="M3500" s="71">
        <f>IF(L3500&lt;1,1,L3500)</f>
        <v>1.1277697994712498</v>
      </c>
      <c r="N3500" s="70" t="s">
        <v>141</v>
      </c>
      <c r="O3500" s="71">
        <f>INDEX(DurClassMapping,MATCH(M3500,MappingTables!$D$4:$D$8,-1),1)</f>
        <v>1</v>
      </c>
      <c r="P3500" s="73">
        <f>IF(M3500=$A$1,1,$M3500-INDEX(MappingTables!$E$4:$E$8,MATCH(O3500,MappingTables!$B$4:$B$8,0)))</f>
        <v>1.1277697994712498</v>
      </c>
      <c r="Q3500" s="71">
        <f>IF(B3500="",0,INDEX(ModelParameters!$D$6:$K$10,MATCH($O3500,ModelParameters!$B$6:$B$10,0),MATCH($J3500,ModelParameters!$D$5:$K$5,0)))</f>
        <v>0.013999999999999998</v>
      </c>
      <c r="R3500" s="71">
        <f>IF(B3500="",0,INDEX(ModelParameters!$D$13:$K$17,MATCH($O3500,ModelParameters!$B$13:$B$17,0),MATCH($J3500,ModelParameters!$D$5:$K$5,0)))</f>
        <v>0</v>
      </c>
      <c r="S3500" s="160">
        <f>IF(B3500="",0,MIN(IF($N3500="Other Bond TM",ModelParameters!$N$21,1)*(P3500*Q3500+R3500),1))</f>
        <v>0.015788777192597498</v>
      </c>
      <c r="T3500" s="85">
        <f>IF(B3500="",0,$S3500*$K3500)</f>
        <v>14.285797802603962</v>
      </c>
      <c r="U3500" s="85">
        <f>IF(B3500="",0,IF(OR(H3500=MappingTables!$C$34,H3500=MappingTables!$C$35),T3500,0))</f>
        <v>0</v>
      </c>
      <c r="V3500" s="85">
        <f>IF(ISNA(IF(AND(VLOOKUP(CONCATENATE($D3500,$G3500),CSRFinput!$B:$E,4,0)=0,OR(H3500=MappingTables!$C$34,H3500=MappingTables!$C$35)),1,VLOOKUP(CONCATENATE($D3500,$G3500),CSRFinput!$B:$E,4,0))),0,IF(AND(VLOOKUP(CONCATENATE($D3500,$G3500),CSRFinput!$B:$E,4,0)=0,OR(H3500=MappingTables!$C$34,H3500=MappingTables!$C$35)),1,VLOOKUP(CONCATENATE($D3500,$G3500),CSRFinput!$B:$E,4,0)))</f>
        <v>0.054776304963434752</v>
      </c>
      <c r="W3500" s="85">
        <f>IF(B3500="",0,+$T3500*$V3500)</f>
        <v>0.78252321708140064</v>
      </c>
      <c r="X3500" s="85">
        <f>IF(B3500="",0,IF(OR(H3500=MappingTables!$C$34,H3500=MappingTables!$C$35),W3500,0))</f>
        <v>0</v>
      </c>
    </row>
    <row r="3501" spans="2:24" s="0" customFormat="0" ht="15">
      <c r="B3501" s="69">
        <v>19739607</v>
      </c>
      <c r="C3501" s="70" t="s">
        <v>2379</v>
      </c>
      <c r="D3501" s="70" t="s">
        <v>1</v>
      </c>
      <c r="E3501" s="70" t="s">
        <v>1</v>
      </c>
      <c r="F3501" s="70"/>
      <c r="G3501" s="70" t="s">
        <v>61</v>
      </c>
      <c r="H3501" s="70" t="s">
        <v>178</v>
      </c>
      <c r="I3501" s="70" t="s">
        <v>184</v>
      </c>
      <c r="J3501" s="71">
        <f>IF(OR(I3501=0,I3501=""),"unrated",VLOOKUP(I3501,MappingTables!$B$19:$C$31,2,FALSE))</f>
        <v>5</v>
      </c>
      <c r="K3501" s="72">
        <v>128.95392437420978</v>
      </c>
      <c r="L3501" s="70">
        <v>0.41643968795085832</v>
      </c>
      <c r="M3501" s="71">
        <f>IF(L3501&lt;1,1,L3501)</f>
        <v>1</v>
      </c>
      <c r="N3501" s="70" t="s">
        <v>141</v>
      </c>
      <c r="O3501" s="71">
        <f>INDEX(DurClassMapping,MATCH(M3501,MappingTables!$D$4:$D$8,-1),1)</f>
        <v>1</v>
      </c>
      <c r="P3501" s="73">
        <f>IF(M3501=$A$1,1,$M3501-INDEX(MappingTables!$E$4:$E$8,MATCH(O3501,MappingTables!$B$4:$B$8,0)))</f>
        <v>1</v>
      </c>
      <c r="Q3501" s="71">
        <f>IF(B3501="",0,INDEX(ModelParameters!$D$6:$K$10,MATCH($O3501,ModelParameters!$B$6:$B$10,0),MATCH($J3501,ModelParameters!$D$5:$K$5,0)))</f>
        <v>0.075</v>
      </c>
      <c r="R3501" s="71">
        <f>IF(B3501="",0,INDEX(ModelParameters!$D$13:$K$17,MATCH($O3501,ModelParameters!$B$13:$B$17,0),MATCH($J3501,ModelParameters!$D$5:$K$5,0)))</f>
        <v>0</v>
      </c>
      <c r="S3501" s="160">
        <f>IF(B3501="",0,MIN(IF($N3501="Other Bond TM",ModelParameters!$N$21,1)*(P3501*Q3501+R3501),1))</f>
        <v>0.075</v>
      </c>
      <c r="T3501" s="85">
        <f>IF(B3501="",0,$S3501*$K3501)</f>
        <v>9.6715443280657344</v>
      </c>
      <c r="U3501" s="85">
        <f>IF(B3501="",0,IF(OR(H3501=MappingTables!$C$34,H3501=MappingTables!$C$35),T3501,0))</f>
        <v>0</v>
      </c>
      <c r="V3501" s="85">
        <f>IF(ISNA(IF(AND(VLOOKUP(CONCATENATE($D3501,$G3501),CSRFinput!$B:$E,4,0)=0,OR(H3501=MappingTables!$C$34,H3501=MappingTables!$C$35)),1,VLOOKUP(CONCATENATE($D3501,$G3501),CSRFinput!$B:$E,4,0))),0,IF(AND(VLOOKUP(CONCATENATE($D3501,$G3501),CSRFinput!$B:$E,4,0)=0,OR(H3501=MappingTables!$C$34,H3501=MappingTables!$C$35)),1,VLOOKUP(CONCATENATE($D3501,$G3501),CSRFinput!$B:$E,4,0)))</f>
        <v>0.054776304963434752</v>
      </c>
      <c r="W3501" s="85">
        <f>IF(B3501="",0,+$T3501*$V3501)</f>
        <v>0.52977146158150624</v>
      </c>
      <c r="X3501" s="85">
        <f>IF(B3501="",0,IF(OR(H3501=MappingTables!$C$34,H3501=MappingTables!$C$35),W3501,0))</f>
        <v>0</v>
      </c>
    </row>
    <row r="3502" spans="2:24" s="0" customFormat="0" ht="15">
      <c r="B3502" s="69" t="s">
        <v>2444</v>
      </c>
      <c r="C3502" s="70" t="s">
        <v>2445</v>
      </c>
      <c r="D3502" s="70" t="s">
        <v>1</v>
      </c>
      <c r="E3502" s="70" t="s">
        <v>1</v>
      </c>
      <c r="F3502" s="70"/>
      <c r="G3502" s="70" t="s">
        <v>61</v>
      </c>
      <c r="H3502" s="70" t="s">
        <v>178</v>
      </c>
      <c r="I3502" s="70" t="s">
        <v>204</v>
      </c>
      <c r="J3502" s="71">
        <f>IF(OR(I3502=0,I3502=""),"unrated",VLOOKUP(I3502,MappingTables!$B$19:$C$31,2,FALSE))</f>
        <v>6</v>
      </c>
      <c r="K3502" s="72">
        <v>62.663583344637216</v>
      </c>
      <c r="L3502" s="70">
        <v>3.9124835940628568</v>
      </c>
      <c r="M3502" s="71">
        <f>IF(L3502&lt;1,1,L3502)</f>
        <v>3.9124835940628568</v>
      </c>
      <c r="N3502" s="70" t="s">
        <v>141</v>
      </c>
      <c r="O3502" s="71">
        <f>INDEX(DurClassMapping,MATCH(M3502,MappingTables!$D$4:$D$8,-1),1)</f>
        <v>1</v>
      </c>
      <c r="P3502" s="73">
        <f>IF(M3502=$A$1,1,$M3502-INDEX(MappingTables!$E$4:$E$8,MATCH(O3502,MappingTables!$B$4:$B$8,0)))</f>
        <v>3.9124835940628568</v>
      </c>
      <c r="Q3502" s="71">
        <f>IF(B3502="",0,INDEX(ModelParameters!$D$6:$K$10,MATCH($O3502,ModelParameters!$B$6:$B$10,0),MATCH($J3502,ModelParameters!$D$5:$K$5,0)))</f>
        <v>0.075</v>
      </c>
      <c r="R3502" s="71">
        <f>IF(B3502="",0,INDEX(ModelParameters!$D$13:$K$17,MATCH($O3502,ModelParameters!$B$13:$B$17,0),MATCH($J3502,ModelParameters!$D$5:$K$5,0)))</f>
        <v>0</v>
      </c>
      <c r="S3502" s="160">
        <f>IF(B3502="",0,MIN(IF($N3502="Other Bond TM",ModelParameters!$N$21,1)*(P3502*Q3502+R3502),1))</f>
        <v>0.29343626955471424</v>
      </c>
      <c r="T3502" s="85">
        <f>IF(B3502="",0,$S3502*$K3502)</f>
        <v>18.387768133581268</v>
      </c>
      <c r="U3502" s="85">
        <f>IF(B3502="",0,IF(OR(H3502=MappingTables!$C$34,H3502=MappingTables!$C$35),T3502,0))</f>
        <v>0</v>
      </c>
      <c r="V3502" s="85">
        <f>IF(ISNA(IF(AND(VLOOKUP(CONCATENATE($D3502,$G3502),CSRFinput!$B:$E,4,0)=0,OR(H3502=MappingTables!$C$34,H3502=MappingTables!$C$35)),1,VLOOKUP(CONCATENATE($D3502,$G3502),CSRFinput!$B:$E,4,0))),0,IF(AND(VLOOKUP(CONCATENATE($D3502,$G3502),CSRFinput!$B:$E,4,0)=0,OR(H3502=MappingTables!$C$34,H3502=MappingTables!$C$35)),1,VLOOKUP(CONCATENATE($D3502,$G3502),CSRFinput!$B:$E,4,0)))</f>
        <v>0.054776304963434752</v>
      </c>
      <c r="W3502" s="85">
        <f>IF(B3502="",0,+$T3502*$V3502)</f>
        <v>1.007213994881975</v>
      </c>
      <c r="X3502" s="85">
        <f>IF(B3502="",0,IF(OR(H3502=MappingTables!$C$34,H3502=MappingTables!$C$35),W3502,0))</f>
        <v>0</v>
      </c>
    </row>
    <row r="3503" spans="2:24" s="0" customFormat="0" ht="15">
      <c r="B3503" s="69">
        <v>21457733</v>
      </c>
      <c r="C3503" s="70" t="s">
        <v>2734</v>
      </c>
      <c r="D3503" s="70" t="s">
        <v>1</v>
      </c>
      <c r="E3503" s="70" t="s">
        <v>1</v>
      </c>
      <c r="F3503" s="70"/>
      <c r="G3503" s="70" t="s">
        <v>61</v>
      </c>
      <c r="H3503" s="70" t="s">
        <v>178</v>
      </c>
      <c r="I3503" s="70" t="s">
        <v>181</v>
      </c>
      <c r="J3503" s="71">
        <f>IF(OR(I3503=0,I3503=""),"unrated",VLOOKUP(I3503,MappingTables!$B$19:$C$31,2,FALSE))</f>
        <v>3</v>
      </c>
      <c r="K3503" s="72">
        <v>2187.9532417362988</v>
      </c>
      <c r="L3503" s="70">
        <v>7.8415526574926096</v>
      </c>
      <c r="M3503" s="71">
        <f>IF(L3503&lt;1,1,L3503)</f>
        <v>7.8415526574926096</v>
      </c>
      <c r="N3503" s="70" t="s">
        <v>141</v>
      </c>
      <c r="O3503" s="71">
        <f>INDEX(DurClassMapping,MATCH(M3503,MappingTables!$D$4:$D$8,-1),1)</f>
        <v>2</v>
      </c>
      <c r="P3503" s="73">
        <f>IF(M3503=$A$1,1,$M3503-INDEX(MappingTables!$E$4:$E$8,MATCH(O3503,MappingTables!$B$4:$B$8,0)))</f>
        <v>2.8415526574926096</v>
      </c>
      <c r="Q3503" s="71">
        <f>IF(B3503="",0,INDEX(ModelParameters!$D$6:$K$10,MATCH($O3503,ModelParameters!$B$6:$B$10,0),MATCH($J3503,ModelParameters!$D$5:$K$5,0)))</f>
        <v>0.015</v>
      </c>
      <c r="R3503" s="71">
        <f>IF(B3503="",0,INDEX(ModelParameters!$D$13:$K$17,MATCH($O3503,ModelParameters!$B$13:$B$17,0),MATCH($J3503,ModelParameters!$D$5:$K$5,0)))</f>
        <v>0.125</v>
      </c>
      <c r="S3503" s="160">
        <f>IF(B3503="",0,MIN(IF($N3503="Other Bond TM",ModelParameters!$N$21,1)*(P3503*Q3503+R3503),1))</f>
        <v>0.16762328986238914</v>
      </c>
      <c r="T3503" s="85">
        <f>IF(B3503="",0,$S3503*$K3503)</f>
        <v>366.7519204449176</v>
      </c>
      <c r="U3503" s="85">
        <f>IF(B3503="",0,IF(OR(H3503=MappingTables!$C$34,H3503=MappingTables!$C$35),T3503,0))</f>
        <v>0</v>
      </c>
      <c r="V3503" s="85">
        <f>IF(ISNA(IF(AND(VLOOKUP(CONCATENATE($D3503,$G3503),CSRFinput!$B:$E,4,0)=0,OR(H3503=MappingTables!$C$34,H3503=MappingTables!$C$35)),1,VLOOKUP(CONCATENATE($D3503,$G3503),CSRFinput!$B:$E,4,0))),0,IF(AND(VLOOKUP(CONCATENATE($D3503,$G3503),CSRFinput!$B:$E,4,0)=0,OR(H3503=MappingTables!$C$34,H3503=MappingTables!$C$35)),1,VLOOKUP(CONCATENATE($D3503,$G3503),CSRFinput!$B:$E,4,0)))</f>
        <v>0.054776304963434752</v>
      </c>
      <c r="W3503" s="85">
        <f>IF(B3503="",0,+$T3503*$V3503)</f>
        <v>20.089315040216172</v>
      </c>
      <c r="X3503" s="85">
        <f>IF(B3503="",0,IF(OR(H3503=MappingTables!$C$34,H3503=MappingTables!$C$35),W3503,0))</f>
        <v>0</v>
      </c>
    </row>
    <row r="3504" spans="2:24" s="0" customFormat="0" ht="15">
      <c r="B3504" s="69">
        <v>23118780</v>
      </c>
      <c r="C3504" s="70" t="s">
        <v>1986</v>
      </c>
      <c r="D3504" s="70" t="s">
        <v>1</v>
      </c>
      <c r="E3504" s="70" t="s">
        <v>1</v>
      </c>
      <c r="F3504" s="70"/>
      <c r="G3504" s="70" t="s">
        <v>61</v>
      </c>
      <c r="H3504" s="70" t="s">
        <v>178</v>
      </c>
      <c r="I3504" s="70" t="s">
        <v>181</v>
      </c>
      <c r="J3504" s="71">
        <f>IF(OR(I3504=0,I3504=""),"unrated",VLOOKUP(I3504,MappingTables!$B$19:$C$31,2,FALSE))</f>
        <v>3</v>
      </c>
      <c r="K3504" s="72">
        <v>2868.7565573423704</v>
      </c>
      <c r="L3504" s="70">
        <v>0.34794567168091624</v>
      </c>
      <c r="M3504" s="71">
        <f>IF(L3504&lt;1,1,L3504)</f>
        <v>1</v>
      </c>
      <c r="N3504" s="70" t="s">
        <v>141</v>
      </c>
      <c r="O3504" s="71">
        <f>INDEX(DurClassMapping,MATCH(M3504,MappingTables!$D$4:$D$8,-1),1)</f>
        <v>1</v>
      </c>
      <c r="P3504" s="73">
        <f>IF(M3504=$A$1,1,$M3504-INDEX(MappingTables!$E$4:$E$8,MATCH(O3504,MappingTables!$B$4:$B$8,0)))</f>
        <v>1</v>
      </c>
      <c r="Q3504" s="71">
        <f>IF(B3504="",0,INDEX(ModelParameters!$D$6:$K$10,MATCH($O3504,ModelParameters!$B$6:$B$10,0),MATCH($J3504,ModelParameters!$D$5:$K$5,0)))</f>
        <v>0.025</v>
      </c>
      <c r="R3504" s="71">
        <f>IF(B3504="",0,INDEX(ModelParameters!$D$13:$K$17,MATCH($O3504,ModelParameters!$B$13:$B$17,0),MATCH($J3504,ModelParameters!$D$5:$K$5,0)))</f>
        <v>0</v>
      </c>
      <c r="S3504" s="160">
        <f>IF(B3504="",0,MIN(IF($N3504="Other Bond TM",ModelParameters!$N$21,1)*(P3504*Q3504+R3504),1))</f>
        <v>0.025</v>
      </c>
      <c r="T3504" s="85">
        <f>IF(B3504="",0,$S3504*$K3504)</f>
        <v>71.718913933559264</v>
      </c>
      <c r="U3504" s="85">
        <f>IF(B3504="",0,IF(OR(H3504=MappingTables!$C$34,H3504=MappingTables!$C$35),T3504,0))</f>
        <v>0</v>
      </c>
      <c r="V3504" s="85">
        <f>IF(ISNA(IF(AND(VLOOKUP(CONCATENATE($D3504,$G3504),CSRFinput!$B:$E,4,0)=0,OR(H3504=MappingTables!$C$34,H3504=MappingTables!$C$35)),1,VLOOKUP(CONCATENATE($D3504,$G3504),CSRFinput!$B:$E,4,0))),0,IF(AND(VLOOKUP(CONCATENATE($D3504,$G3504),CSRFinput!$B:$E,4,0)=0,OR(H3504=MappingTables!$C$34,H3504=MappingTables!$C$35)),1,VLOOKUP(CONCATENATE($D3504,$G3504),CSRFinput!$B:$E,4,0)))</f>
        <v>0.054776304963434752</v>
      </c>
      <c r="W3504" s="85">
        <f>IF(B3504="",0,+$T3504*$V3504)</f>
        <v>3.928497101270972</v>
      </c>
      <c r="X3504" s="85">
        <f>IF(B3504="",0,IF(OR(H3504=MappingTables!$C$34,H3504=MappingTables!$C$35),W3504,0))</f>
        <v>0</v>
      </c>
    </row>
    <row r="3505" spans="2:24" s="0" customFormat="0" ht="15">
      <c r="B3505" s="69">
        <v>24748824</v>
      </c>
      <c r="C3505" s="70" t="s">
        <v>592</v>
      </c>
      <c r="D3505" s="70" t="s">
        <v>1</v>
      </c>
      <c r="E3505" s="70" t="s">
        <v>1</v>
      </c>
      <c r="F3505" s="70"/>
      <c r="G3505" s="70" t="s">
        <v>61</v>
      </c>
      <c r="H3505" s="70" t="s">
        <v>178</v>
      </c>
      <c r="I3505" s="70" t="s">
        <v>198</v>
      </c>
      <c r="J3505" s="71" t="str">
        <f>IF(OR(I3505=0,I3505=""),"unrated",VLOOKUP(I3505,MappingTables!$B$19:$C$31,2,FALSE))</f>
        <v>unrated</v>
      </c>
      <c r="K3505" s="72">
        <v>197.67722072716468</v>
      </c>
      <c r="L3505" s="70">
        <v>0.33972925060805372</v>
      </c>
      <c r="M3505" s="71">
        <f>IF(L3505&lt;1,1,L3505)</f>
        <v>1</v>
      </c>
      <c r="N3505" s="70" t="s">
        <v>141</v>
      </c>
      <c r="O3505" s="71">
        <f>INDEX(DurClassMapping,MATCH(M3505,MappingTables!$D$4:$D$8,-1),1)</f>
        <v>1</v>
      </c>
      <c r="P3505" s="73">
        <f>IF(M3505=$A$1,1,$M3505-INDEX(MappingTables!$E$4:$E$8,MATCH(O3505,MappingTables!$B$4:$B$8,0)))</f>
        <v>1</v>
      </c>
      <c r="Q3505" s="71">
        <f>IF(B3505="",0,INDEX(ModelParameters!$D$6:$K$10,MATCH($O3505,ModelParameters!$B$6:$B$10,0),MATCH($J3505,ModelParameters!$D$5:$K$5,0)))</f>
        <v>0.03</v>
      </c>
      <c r="R3505" s="71">
        <f>IF(B3505="",0,INDEX(ModelParameters!$D$13:$K$17,MATCH($O3505,ModelParameters!$B$13:$B$17,0),MATCH($J3505,ModelParameters!$D$5:$K$5,0)))</f>
        <v>0</v>
      </c>
      <c r="S3505" s="160">
        <f>IF(B3505="",0,MIN(IF($N3505="Other Bond TM",ModelParameters!$N$21,1)*(P3505*Q3505+R3505),1))</f>
        <v>0.03</v>
      </c>
      <c r="T3505" s="85">
        <f>IF(B3505="",0,$S3505*$K3505)</f>
        <v>5.93031662181494</v>
      </c>
      <c r="U3505" s="85">
        <f>IF(B3505="",0,IF(OR(H3505=MappingTables!$C$34,H3505=MappingTables!$C$35),T3505,0))</f>
        <v>0</v>
      </c>
      <c r="V3505" s="85">
        <f>IF(ISNA(IF(AND(VLOOKUP(CONCATENATE($D3505,$G3505),CSRFinput!$B:$E,4,0)=0,OR(H3505=MappingTables!$C$34,H3505=MappingTables!$C$35)),1,VLOOKUP(CONCATENATE($D3505,$G3505),CSRFinput!$B:$E,4,0))),0,IF(AND(VLOOKUP(CONCATENATE($D3505,$G3505),CSRFinput!$B:$E,4,0)=0,OR(H3505=MappingTables!$C$34,H3505=MappingTables!$C$35)),1,VLOOKUP(CONCATENATE($D3505,$G3505),CSRFinput!$B:$E,4,0)))</f>
        <v>0.054776304963434752</v>
      </c>
      <c r="W3505" s="85">
        <f>IF(B3505="",0,+$T3505*$V3505)</f>
        <v>0.32484083180626132</v>
      </c>
      <c r="X3505" s="85">
        <f>IF(B3505="",0,IF(OR(H3505=MappingTables!$C$34,H3505=MappingTables!$C$35),W3505,0))</f>
        <v>0</v>
      </c>
    </row>
    <row r="3506" spans="2:24" s="0" customFormat="0" ht="15">
      <c r="B3506" s="69">
        <v>21282228</v>
      </c>
      <c r="C3506" s="70" t="s">
        <v>1257</v>
      </c>
      <c r="D3506" s="70" t="s">
        <v>1</v>
      </c>
      <c r="E3506" s="70" t="s">
        <v>1</v>
      </c>
      <c r="F3506" s="70"/>
      <c r="G3506" s="70" t="s">
        <v>61</v>
      </c>
      <c r="H3506" s="70" t="s">
        <v>178</v>
      </c>
      <c r="I3506" s="70" t="s">
        <v>179</v>
      </c>
      <c r="J3506" s="71">
        <f>IF(OR(I3506=0,I3506=""),"unrated",VLOOKUP(I3506,MappingTables!$B$19:$C$31,2,FALSE))</f>
        <v>4</v>
      </c>
      <c r="K3506" s="72">
        <v>1223.0499639976276</v>
      </c>
      <c r="L3506" s="70">
        <v>1.7243879054522462</v>
      </c>
      <c r="M3506" s="71">
        <f>IF(L3506&lt;1,1,L3506)</f>
        <v>1.7243879054522462</v>
      </c>
      <c r="N3506" s="70" t="s">
        <v>141</v>
      </c>
      <c r="O3506" s="71">
        <f>INDEX(DurClassMapping,MATCH(M3506,MappingTables!$D$4:$D$8,-1),1)</f>
        <v>1</v>
      </c>
      <c r="P3506" s="73">
        <f>IF(M3506=$A$1,1,$M3506-INDEX(MappingTables!$E$4:$E$8,MATCH(O3506,MappingTables!$B$4:$B$8,0)))</f>
        <v>1.7243879054522462</v>
      </c>
      <c r="Q3506" s="71">
        <f>IF(B3506="",0,INDEX(ModelParameters!$D$6:$K$10,MATCH($O3506,ModelParameters!$B$6:$B$10,0),MATCH($J3506,ModelParameters!$D$5:$K$5,0)))</f>
        <v>0.045</v>
      </c>
      <c r="R3506" s="71">
        <f>IF(B3506="",0,INDEX(ModelParameters!$D$13:$K$17,MATCH($O3506,ModelParameters!$B$13:$B$17,0),MATCH($J3506,ModelParameters!$D$5:$K$5,0)))</f>
        <v>0</v>
      </c>
      <c r="S3506" s="160">
        <f>IF(B3506="",0,MIN(IF($N3506="Other Bond TM",ModelParameters!$N$21,1)*(P3506*Q3506+R3506),1))</f>
        <v>0.077597455745351088</v>
      </c>
      <c r="T3506" s="85">
        <f>IF(B3506="",0,$S3506*$K3506)</f>
        <v>94.905565455659136</v>
      </c>
      <c r="U3506" s="85">
        <f>IF(B3506="",0,IF(OR(H3506=MappingTables!$C$34,H3506=MappingTables!$C$35),T3506,0))</f>
        <v>0</v>
      </c>
      <c r="V3506" s="85">
        <f>IF(ISNA(IF(AND(VLOOKUP(CONCATENATE($D3506,$G3506),CSRFinput!$B:$E,4,0)=0,OR(H3506=MappingTables!$C$34,H3506=MappingTables!$C$35)),1,VLOOKUP(CONCATENATE($D3506,$G3506),CSRFinput!$B:$E,4,0))),0,IF(AND(VLOOKUP(CONCATENATE($D3506,$G3506),CSRFinput!$B:$E,4,0)=0,OR(H3506=MappingTables!$C$34,H3506=MappingTables!$C$35)),1,VLOOKUP(CONCATENATE($D3506,$G3506),CSRFinput!$B:$E,4,0)))</f>
        <v>0.054776304963434752</v>
      </c>
      <c r="W3506" s="85">
        <f>IF(B3506="",0,+$T3506*$V3506)</f>
        <v>5.198576196126404</v>
      </c>
      <c r="X3506" s="85">
        <f>IF(B3506="",0,IF(OR(H3506=MappingTables!$C$34,H3506=MappingTables!$C$35),W3506,0))</f>
        <v>0</v>
      </c>
    </row>
    <row r="3507" spans="2:24" s="0" customFormat="0" ht="15">
      <c r="B3507" s="69" t="s">
        <v>2867</v>
      </c>
      <c r="C3507" s="70" t="s">
        <v>2868</v>
      </c>
      <c r="D3507" s="70" t="s">
        <v>1</v>
      </c>
      <c r="E3507" s="70" t="s">
        <v>1</v>
      </c>
      <c r="F3507" s="70"/>
      <c r="G3507" s="70" t="s">
        <v>61</v>
      </c>
      <c r="H3507" s="70" t="s">
        <v>178</v>
      </c>
      <c r="I3507" s="70" t="s">
        <v>198</v>
      </c>
      <c r="J3507" s="71" t="str">
        <f>IF(OR(I3507=0,I3507=""),"unrated",VLOOKUP(I3507,MappingTables!$B$19:$C$31,2,FALSE))</f>
        <v>unrated</v>
      </c>
      <c r="K3507" s="72">
        <v>0.17040976073885192</v>
      </c>
      <c r="L3507" s="70">
        <v>0.34520949627109456</v>
      </c>
      <c r="M3507" s="71">
        <f>IF(L3507&lt;1,1,L3507)</f>
        <v>1</v>
      </c>
      <c r="N3507" s="70" t="s">
        <v>141</v>
      </c>
      <c r="O3507" s="71">
        <f>INDEX(DurClassMapping,MATCH(M3507,MappingTables!$D$4:$D$8,-1),1)</f>
        <v>1</v>
      </c>
      <c r="P3507" s="73">
        <f>IF(M3507=$A$1,1,$M3507-INDEX(MappingTables!$E$4:$E$8,MATCH(O3507,MappingTables!$B$4:$B$8,0)))</f>
        <v>1</v>
      </c>
      <c r="Q3507" s="71">
        <f>IF(B3507="",0,INDEX(ModelParameters!$D$6:$K$10,MATCH($O3507,ModelParameters!$B$6:$B$10,0),MATCH($J3507,ModelParameters!$D$5:$K$5,0)))</f>
        <v>0.03</v>
      </c>
      <c r="R3507" s="71">
        <f>IF(B3507="",0,INDEX(ModelParameters!$D$13:$K$17,MATCH($O3507,ModelParameters!$B$13:$B$17,0),MATCH($J3507,ModelParameters!$D$5:$K$5,0)))</f>
        <v>0</v>
      </c>
      <c r="S3507" s="160">
        <f>IF(B3507="",0,MIN(IF($N3507="Other Bond TM",ModelParameters!$N$21,1)*(P3507*Q3507+R3507),1))</f>
        <v>0.03</v>
      </c>
      <c r="T3507" s="85">
        <f>IF(B3507="",0,$S3507*$K3507)</f>
        <v>0.0051122928221655568</v>
      </c>
      <c r="U3507" s="85">
        <f>IF(B3507="",0,IF(OR(H3507=MappingTables!$C$34,H3507=MappingTables!$C$35),T3507,0))</f>
        <v>0</v>
      </c>
      <c r="V3507" s="85">
        <f>IF(ISNA(IF(AND(VLOOKUP(CONCATENATE($D3507,$G3507),CSRFinput!$B:$E,4,0)=0,OR(H3507=MappingTables!$C$34,H3507=MappingTables!$C$35)),1,VLOOKUP(CONCATENATE($D3507,$G3507),CSRFinput!$B:$E,4,0))),0,IF(AND(VLOOKUP(CONCATENATE($D3507,$G3507),CSRFinput!$B:$E,4,0)=0,OR(H3507=MappingTables!$C$34,H3507=MappingTables!$C$35)),1,VLOOKUP(CONCATENATE($D3507,$G3507),CSRFinput!$B:$E,4,0)))</f>
        <v>0.054776304963434752</v>
      </c>
      <c r="W3507" s="85">
        <f>IF(B3507="",0,+$T3507*$V3507)</f>
        <v>0.00028003251068931904</v>
      </c>
      <c r="X3507" s="85">
        <f>IF(B3507="",0,IF(OR(H3507=MappingTables!$C$34,H3507=MappingTables!$C$35),W3507,0))</f>
        <v>0</v>
      </c>
    </row>
    <row r="3508" spans="2:24" s="0" customFormat="0" ht="15">
      <c r="B3508" s="69">
        <v>13627396</v>
      </c>
      <c r="C3508" s="70" t="s">
        <v>2869</v>
      </c>
      <c r="D3508" s="70" t="s">
        <v>1</v>
      </c>
      <c r="E3508" s="70" t="s">
        <v>1</v>
      </c>
      <c r="F3508" s="70"/>
      <c r="G3508" s="70" t="s">
        <v>61</v>
      </c>
      <c r="H3508" s="70" t="s">
        <v>178</v>
      </c>
      <c r="I3508" s="70" t="s">
        <v>181</v>
      </c>
      <c r="J3508" s="71">
        <f>IF(OR(I3508=0,I3508=""),"unrated",VLOOKUP(I3508,MappingTables!$B$19:$C$31,2,FALSE))</f>
        <v>3</v>
      </c>
      <c r="K3508" s="72">
        <v>8588.365866776184</v>
      </c>
      <c r="L3508" s="70">
        <v>4.6673159166547136</v>
      </c>
      <c r="M3508" s="71">
        <f>IF(L3508&lt;1,1,L3508)</f>
        <v>4.6673159166547136</v>
      </c>
      <c r="N3508" s="70" t="s">
        <v>141</v>
      </c>
      <c r="O3508" s="71">
        <f>INDEX(DurClassMapping,MATCH(M3508,MappingTables!$D$4:$D$8,-1),1)</f>
        <v>1</v>
      </c>
      <c r="P3508" s="73">
        <f>IF(M3508=$A$1,1,$M3508-INDEX(MappingTables!$E$4:$E$8,MATCH(O3508,MappingTables!$B$4:$B$8,0)))</f>
        <v>4.6673159166547136</v>
      </c>
      <c r="Q3508" s="71">
        <f>IF(B3508="",0,INDEX(ModelParameters!$D$6:$K$10,MATCH($O3508,ModelParameters!$B$6:$B$10,0),MATCH($J3508,ModelParameters!$D$5:$K$5,0)))</f>
        <v>0.025</v>
      </c>
      <c r="R3508" s="71">
        <f>IF(B3508="",0,INDEX(ModelParameters!$D$13:$K$17,MATCH($O3508,ModelParameters!$B$13:$B$17,0),MATCH($J3508,ModelParameters!$D$5:$K$5,0)))</f>
        <v>0</v>
      </c>
      <c r="S3508" s="160">
        <f>IF(B3508="",0,MIN(IF($N3508="Other Bond TM",ModelParameters!$N$21,1)*(P3508*Q3508+R3508),1))</f>
        <v>0.11668289791636784</v>
      </c>
      <c r="T3508" s="85">
        <f>IF(B3508="",0,$S3508*$K3508)</f>
        <v>1002.1154177014636</v>
      </c>
      <c r="U3508" s="85">
        <f>IF(B3508="",0,IF(OR(H3508=MappingTables!$C$34,H3508=MappingTables!$C$35),T3508,0))</f>
        <v>0</v>
      </c>
      <c r="V3508" s="85">
        <f>IF(ISNA(IF(AND(VLOOKUP(CONCATENATE($D3508,$G3508),CSRFinput!$B:$E,4,0)=0,OR(H3508=MappingTables!$C$34,H3508=MappingTables!$C$35)),1,VLOOKUP(CONCATENATE($D3508,$G3508),CSRFinput!$B:$E,4,0))),0,IF(AND(VLOOKUP(CONCATENATE($D3508,$G3508),CSRFinput!$B:$E,4,0)=0,OR(H3508=MappingTables!$C$34,H3508=MappingTables!$C$35)),1,VLOOKUP(CONCATENATE($D3508,$G3508),CSRFinput!$B:$E,4,0)))</f>
        <v>0.054776304963434752</v>
      </c>
      <c r="W3508" s="85">
        <f>IF(B3508="",0,+$T3508*$V3508)</f>
        <v>54.892179728575176</v>
      </c>
      <c r="X3508" s="85">
        <f>IF(B3508="",0,IF(OR(H3508=MappingTables!$C$34,H3508=MappingTables!$C$35),W3508,0))</f>
        <v>0</v>
      </c>
    </row>
    <row r="3509" spans="2:24" s="0" customFormat="0" ht="15">
      <c r="B3509" s="69" t="s">
        <v>2870</v>
      </c>
      <c r="C3509" s="70" t="s">
        <v>2871</v>
      </c>
      <c r="D3509" s="70" t="s">
        <v>1</v>
      </c>
      <c r="E3509" s="70" t="s">
        <v>1</v>
      </c>
      <c r="F3509" s="70"/>
      <c r="G3509" s="70" t="s">
        <v>61</v>
      </c>
      <c r="H3509" s="70" t="s">
        <v>178</v>
      </c>
      <c r="I3509" s="70" t="s">
        <v>188</v>
      </c>
      <c r="J3509" s="71">
        <f>IF(OR(I3509=0,I3509=""),"unrated",VLOOKUP(I3509,MappingTables!$B$19:$C$31,2,FALSE))</f>
        <v>2</v>
      </c>
      <c r="K3509" s="72">
        <v>18.42356157583164</v>
      </c>
      <c r="L3509" s="70">
        <v>0.33698667456709768</v>
      </c>
      <c r="M3509" s="71">
        <f>IF(L3509&lt;1,1,L3509)</f>
        <v>1</v>
      </c>
      <c r="N3509" s="70" t="s">
        <v>141</v>
      </c>
      <c r="O3509" s="71">
        <f>INDEX(DurClassMapping,MATCH(M3509,MappingTables!$D$4:$D$8,-1),1)</f>
        <v>1</v>
      </c>
      <c r="P3509" s="73">
        <f>IF(M3509=$A$1,1,$M3509-INDEX(MappingTables!$E$4:$E$8,MATCH(O3509,MappingTables!$B$4:$B$8,0)))</f>
        <v>1</v>
      </c>
      <c r="Q3509" s="71">
        <f>IF(B3509="",0,INDEX(ModelParameters!$D$6:$K$10,MATCH($O3509,ModelParameters!$B$6:$B$10,0),MATCH($J3509,ModelParameters!$D$5:$K$5,0)))</f>
        <v>0.013999999999999998</v>
      </c>
      <c r="R3509" s="71">
        <f>IF(B3509="",0,INDEX(ModelParameters!$D$13:$K$17,MATCH($O3509,ModelParameters!$B$13:$B$17,0),MATCH($J3509,ModelParameters!$D$5:$K$5,0)))</f>
        <v>0</v>
      </c>
      <c r="S3509" s="160">
        <f>IF(B3509="",0,MIN(IF($N3509="Other Bond TM",ModelParameters!$N$21,1)*(P3509*Q3509+R3509),1))</f>
        <v>0.013999999999999998</v>
      </c>
      <c r="T3509" s="85">
        <f>IF(B3509="",0,$S3509*$K3509)</f>
        <v>0.25792986206164296</v>
      </c>
      <c r="U3509" s="85">
        <f>IF(B3509="",0,IF(OR(H3509=MappingTables!$C$34,H3509=MappingTables!$C$35),T3509,0))</f>
        <v>0</v>
      </c>
      <c r="V3509" s="85">
        <f>IF(ISNA(IF(AND(VLOOKUP(CONCATENATE($D3509,$G3509),CSRFinput!$B:$E,4,0)=0,OR(H3509=MappingTables!$C$34,H3509=MappingTables!$C$35)),1,VLOOKUP(CONCATENATE($D3509,$G3509),CSRFinput!$B:$E,4,0))),0,IF(AND(VLOOKUP(CONCATENATE($D3509,$G3509),CSRFinput!$B:$E,4,0)=0,OR(H3509=MappingTables!$C$34,H3509=MappingTables!$C$35)),1,VLOOKUP(CONCATENATE($D3509,$G3509),CSRFinput!$B:$E,4,0)))</f>
        <v>0.054776304963434752</v>
      </c>
      <c r="W3509" s="85">
        <f>IF(B3509="",0,+$T3509*$V3509)</f>
        <v>0.014128444783465214</v>
      </c>
      <c r="X3509" s="85">
        <f>IF(B3509="",0,IF(OR(H3509=MappingTables!$C$34,H3509=MappingTables!$C$35),W3509,0))</f>
        <v>0</v>
      </c>
    </row>
    <row r="3510" spans="2:24" s="0" customFormat="0" ht="15">
      <c r="B3510" s="69" t="s">
        <v>2046</v>
      </c>
      <c r="C3510" s="70" t="s">
        <v>2047</v>
      </c>
      <c r="D3510" s="70" t="s">
        <v>1</v>
      </c>
      <c r="E3510" s="70" t="s">
        <v>1</v>
      </c>
      <c r="F3510" s="70"/>
      <c r="G3510" s="70" t="s">
        <v>61</v>
      </c>
      <c r="H3510" s="70" t="s">
        <v>178</v>
      </c>
      <c r="I3510" s="70" t="s">
        <v>181</v>
      </c>
      <c r="J3510" s="71">
        <f>IF(OR(I3510=0,I3510=""),"unrated",VLOOKUP(I3510,MappingTables!$B$19:$C$31,2,FALSE))</f>
        <v>3</v>
      </c>
      <c r="K3510" s="72">
        <v>35409.771028564616</v>
      </c>
      <c r="L3510" s="70">
        <v>8.7431944845217024</v>
      </c>
      <c r="M3510" s="71">
        <f>IF(L3510&lt;1,1,L3510)</f>
        <v>8.7431944845217024</v>
      </c>
      <c r="N3510" s="70" t="s">
        <v>141</v>
      </c>
      <c r="O3510" s="71">
        <f>INDEX(DurClassMapping,MATCH(M3510,MappingTables!$D$4:$D$8,-1),1)</f>
        <v>2</v>
      </c>
      <c r="P3510" s="73">
        <f>IF(M3510=$A$1,1,$M3510-INDEX(MappingTables!$E$4:$E$8,MATCH(O3510,MappingTables!$B$4:$B$8,0)))</f>
        <v>3.7431944845217016</v>
      </c>
      <c r="Q3510" s="71">
        <f>IF(B3510="",0,INDEX(ModelParameters!$D$6:$K$10,MATCH($O3510,ModelParameters!$B$6:$B$10,0),MATCH($J3510,ModelParameters!$D$5:$K$5,0)))</f>
        <v>0.015</v>
      </c>
      <c r="R3510" s="71">
        <f>IF(B3510="",0,INDEX(ModelParameters!$D$13:$K$17,MATCH($O3510,ModelParameters!$B$13:$B$17,0),MATCH($J3510,ModelParameters!$D$5:$K$5,0)))</f>
        <v>0.125</v>
      </c>
      <c r="S3510" s="160">
        <f>IF(B3510="",0,MIN(IF($N3510="Other Bond TM",ModelParameters!$N$21,1)*(P3510*Q3510+R3510),1))</f>
        <v>0.18114791726782552</v>
      </c>
      <c r="T3510" s="85">
        <f>IF(B3510="",0,$S3510*$K3510)</f>
        <v>6414.4062727550688</v>
      </c>
      <c r="U3510" s="85">
        <f>IF(B3510="",0,IF(OR(H3510=MappingTables!$C$34,H3510=MappingTables!$C$35),T3510,0))</f>
        <v>0</v>
      </c>
      <c r="V3510" s="85">
        <f>IF(ISNA(IF(AND(VLOOKUP(CONCATENATE($D3510,$G3510),CSRFinput!$B:$E,4,0)=0,OR(H3510=MappingTables!$C$34,H3510=MappingTables!$C$35)),1,VLOOKUP(CONCATENATE($D3510,$G3510),CSRFinput!$B:$E,4,0))),0,IF(AND(VLOOKUP(CONCATENATE($D3510,$G3510),CSRFinput!$B:$E,4,0)=0,OR(H3510=MappingTables!$C$34,H3510=MappingTables!$C$35)),1,VLOOKUP(CONCATENATE($D3510,$G3510),CSRFinput!$B:$E,4,0)))</f>
        <v>0.054776304963434752</v>
      </c>
      <c r="W3510" s="85">
        <f>IF(B3510="",0,+$T3510*$V3510)</f>
        <v>351.35747415580052</v>
      </c>
      <c r="X3510" s="85">
        <f>IF(B3510="",0,IF(OR(H3510=MappingTables!$C$34,H3510=MappingTables!$C$35),W3510,0))</f>
        <v>0</v>
      </c>
    </row>
    <row r="3511" spans="2:24" s="0" customFormat="0" ht="15">
      <c r="B3511" s="69">
        <v>10504442</v>
      </c>
      <c r="C3511" s="70" t="s">
        <v>708</v>
      </c>
      <c r="D3511" s="70" t="s">
        <v>1</v>
      </c>
      <c r="E3511" s="70" t="s">
        <v>1</v>
      </c>
      <c r="F3511" s="70"/>
      <c r="G3511" s="70" t="s">
        <v>61</v>
      </c>
      <c r="H3511" s="70" t="s">
        <v>178</v>
      </c>
      <c r="I3511" s="70" t="s">
        <v>181</v>
      </c>
      <c r="J3511" s="71">
        <f>IF(OR(I3511=0,I3511=""),"unrated",VLOOKUP(I3511,MappingTables!$B$19:$C$31,2,FALSE))</f>
        <v>3</v>
      </c>
      <c r="K3511" s="72">
        <v>198.44768824991192</v>
      </c>
      <c r="L3511" s="70">
        <v>1.59529569580161</v>
      </c>
      <c r="M3511" s="71">
        <f>IF(L3511&lt;1,1,L3511)</f>
        <v>1.59529569580161</v>
      </c>
      <c r="N3511" s="70" t="s">
        <v>141</v>
      </c>
      <c r="O3511" s="71">
        <f>INDEX(DurClassMapping,MATCH(M3511,MappingTables!$D$4:$D$8,-1),1)</f>
        <v>1</v>
      </c>
      <c r="P3511" s="73">
        <f>IF(M3511=$A$1,1,$M3511-INDEX(MappingTables!$E$4:$E$8,MATCH(O3511,MappingTables!$B$4:$B$8,0)))</f>
        <v>1.59529569580161</v>
      </c>
      <c r="Q3511" s="71">
        <f>IF(B3511="",0,INDEX(ModelParameters!$D$6:$K$10,MATCH($O3511,ModelParameters!$B$6:$B$10,0),MATCH($J3511,ModelParameters!$D$5:$K$5,0)))</f>
        <v>0.025</v>
      </c>
      <c r="R3511" s="71">
        <f>IF(B3511="",0,INDEX(ModelParameters!$D$13:$K$17,MATCH($O3511,ModelParameters!$B$13:$B$17,0),MATCH($J3511,ModelParameters!$D$5:$K$5,0)))</f>
        <v>0</v>
      </c>
      <c r="S3511" s="160">
        <f>IF(B3511="",0,MIN(IF($N3511="Other Bond TM",ModelParameters!$N$21,1)*(P3511*Q3511+R3511),1))</f>
        <v>0.039882392395040256</v>
      </c>
      <c r="T3511" s="85">
        <f>IF(B3511="",0,$S3511*$K3511)</f>
        <v>7.9145685726716064</v>
      </c>
      <c r="U3511" s="85">
        <f>IF(B3511="",0,IF(OR(H3511=MappingTables!$C$34,H3511=MappingTables!$C$35),T3511,0))</f>
        <v>0</v>
      </c>
      <c r="V3511" s="85">
        <f>IF(ISNA(IF(AND(VLOOKUP(CONCATENATE($D3511,$G3511),CSRFinput!$B:$E,4,0)=0,OR(H3511=MappingTables!$C$34,H3511=MappingTables!$C$35)),1,VLOOKUP(CONCATENATE($D3511,$G3511),CSRFinput!$B:$E,4,0))),0,IF(AND(VLOOKUP(CONCATENATE($D3511,$G3511),CSRFinput!$B:$E,4,0)=0,OR(H3511=MappingTables!$C$34,H3511=MappingTables!$C$35)),1,VLOOKUP(CONCATENATE($D3511,$G3511),CSRFinput!$B:$E,4,0)))</f>
        <v>0.054776304963434752</v>
      </c>
      <c r="W3511" s="85">
        <f>IF(B3511="",0,+$T3511*$V3511)</f>
        <v>0.4335308217906764</v>
      </c>
      <c r="X3511" s="85">
        <f>IF(B3511="",0,IF(OR(H3511=MappingTables!$C$34,H3511=MappingTables!$C$35),W3511,0))</f>
        <v>0</v>
      </c>
    </row>
    <row r="3512" spans="2:24" s="0" customFormat="0" ht="15">
      <c r="B3512" s="69" t="s">
        <v>2087</v>
      </c>
      <c r="C3512" s="70" t="s">
        <v>2088</v>
      </c>
      <c r="D3512" s="70" t="s">
        <v>1</v>
      </c>
      <c r="E3512" s="70" t="s">
        <v>1</v>
      </c>
      <c r="F3512" s="70"/>
      <c r="G3512" s="70" t="s">
        <v>61</v>
      </c>
      <c r="H3512" s="70" t="s">
        <v>178</v>
      </c>
      <c r="I3512" s="70" t="s">
        <v>198</v>
      </c>
      <c r="J3512" s="71" t="str">
        <f>IF(OR(I3512=0,I3512=""),"unrated",VLOOKUP(I3512,MappingTables!$B$19:$C$31,2,FALSE))</f>
        <v>unrated</v>
      </c>
      <c r="K3512" s="72">
        <v>0.34261200618235476</v>
      </c>
      <c r="L3512" s="70">
        <v>0.24383574695628068</v>
      </c>
      <c r="M3512" s="71">
        <f>IF(L3512&lt;1,1,L3512)</f>
        <v>1</v>
      </c>
      <c r="N3512" s="70" t="s">
        <v>141</v>
      </c>
      <c r="O3512" s="71">
        <f>INDEX(DurClassMapping,MATCH(M3512,MappingTables!$D$4:$D$8,-1),1)</f>
        <v>1</v>
      </c>
      <c r="P3512" s="73">
        <f>IF(M3512=$A$1,1,$M3512-INDEX(MappingTables!$E$4:$E$8,MATCH(O3512,MappingTables!$B$4:$B$8,0)))</f>
        <v>1</v>
      </c>
      <c r="Q3512" s="71">
        <f>IF(B3512="",0,INDEX(ModelParameters!$D$6:$K$10,MATCH($O3512,ModelParameters!$B$6:$B$10,0),MATCH($J3512,ModelParameters!$D$5:$K$5,0)))</f>
        <v>0.03</v>
      </c>
      <c r="R3512" s="71">
        <f>IF(B3512="",0,INDEX(ModelParameters!$D$13:$K$17,MATCH($O3512,ModelParameters!$B$13:$B$17,0),MATCH($J3512,ModelParameters!$D$5:$K$5,0)))</f>
        <v>0</v>
      </c>
      <c r="S3512" s="160">
        <f>IF(B3512="",0,MIN(IF($N3512="Other Bond TM",ModelParameters!$N$21,1)*(P3512*Q3512+R3512),1))</f>
        <v>0.03</v>
      </c>
      <c r="T3512" s="85">
        <f>IF(B3512="",0,$S3512*$K3512)</f>
        <v>0.010278360185470642</v>
      </c>
      <c r="U3512" s="85">
        <f>IF(B3512="",0,IF(OR(H3512=MappingTables!$C$34,H3512=MappingTables!$C$35),T3512,0))</f>
        <v>0</v>
      </c>
      <c r="V3512" s="85">
        <f>IF(ISNA(IF(AND(VLOOKUP(CONCATENATE($D3512,$G3512),CSRFinput!$B:$E,4,0)=0,OR(H3512=MappingTables!$C$34,H3512=MappingTables!$C$35)),1,VLOOKUP(CONCATENATE($D3512,$G3512),CSRFinput!$B:$E,4,0))),0,IF(AND(VLOOKUP(CONCATENATE($D3512,$G3512),CSRFinput!$B:$E,4,0)=0,OR(H3512=MappingTables!$C$34,H3512=MappingTables!$C$35)),1,VLOOKUP(CONCATENATE($D3512,$G3512),CSRFinput!$B:$E,4,0)))</f>
        <v>0.054776304963434752</v>
      </c>
      <c r="W3512" s="85">
        <f>IF(B3512="",0,+$T3512*$V3512)</f>
        <v>0.00056301059204336568</v>
      </c>
      <c r="X3512" s="85">
        <f>IF(B3512="",0,IF(OR(H3512=MappingTables!$C$34,H3512=MappingTables!$C$35),W3512,0))</f>
        <v>0</v>
      </c>
    </row>
    <row r="3513" spans="2:24" s="0" customFormat="0" ht="15">
      <c r="B3513" s="69">
        <v>4087439</v>
      </c>
      <c r="C3513" s="70" t="s">
        <v>2872</v>
      </c>
      <c r="D3513" s="70" t="s">
        <v>1</v>
      </c>
      <c r="E3513" s="70" t="s">
        <v>1</v>
      </c>
      <c r="F3513" s="70"/>
      <c r="G3513" s="70" t="s">
        <v>61</v>
      </c>
      <c r="H3513" s="70" t="s">
        <v>178</v>
      </c>
      <c r="I3513" s="70" t="s">
        <v>179</v>
      </c>
      <c r="J3513" s="71">
        <f>IF(OR(I3513=0,I3513=""),"unrated",VLOOKUP(I3513,MappingTables!$B$19:$C$31,2,FALSE))</f>
        <v>4</v>
      </c>
      <c r="K3513" s="72">
        <v>1372.7116068381022</v>
      </c>
      <c r="L3513" s="70">
        <v>0.12602730549752734</v>
      </c>
      <c r="M3513" s="71">
        <f>IF(L3513&lt;1,1,L3513)</f>
        <v>1</v>
      </c>
      <c r="N3513" s="70" t="s">
        <v>141</v>
      </c>
      <c r="O3513" s="71">
        <f>INDEX(DurClassMapping,MATCH(M3513,MappingTables!$D$4:$D$8,-1),1)</f>
        <v>1</v>
      </c>
      <c r="P3513" s="73">
        <f>IF(M3513=$A$1,1,$M3513-INDEX(MappingTables!$E$4:$E$8,MATCH(O3513,MappingTables!$B$4:$B$8,0)))</f>
        <v>1</v>
      </c>
      <c r="Q3513" s="71">
        <f>IF(B3513="",0,INDEX(ModelParameters!$D$6:$K$10,MATCH($O3513,ModelParameters!$B$6:$B$10,0),MATCH($J3513,ModelParameters!$D$5:$K$5,0)))</f>
        <v>0.045</v>
      </c>
      <c r="R3513" s="71">
        <f>IF(B3513="",0,INDEX(ModelParameters!$D$13:$K$17,MATCH($O3513,ModelParameters!$B$13:$B$17,0),MATCH($J3513,ModelParameters!$D$5:$K$5,0)))</f>
        <v>0</v>
      </c>
      <c r="S3513" s="160">
        <f>IF(B3513="",0,MIN(IF($N3513="Other Bond TM",ModelParameters!$N$21,1)*(P3513*Q3513+R3513),1))</f>
        <v>0.045</v>
      </c>
      <c r="T3513" s="85">
        <f>IF(B3513="",0,$S3513*$K3513)</f>
        <v>61.772022307714592</v>
      </c>
      <c r="U3513" s="85">
        <f>IF(B3513="",0,IF(OR(H3513=MappingTables!$C$34,H3513=MappingTables!$C$35),T3513,0))</f>
        <v>0</v>
      </c>
      <c r="V3513" s="85">
        <f>IF(ISNA(IF(AND(VLOOKUP(CONCATENATE($D3513,$G3513),CSRFinput!$B:$E,4,0)=0,OR(H3513=MappingTables!$C$34,H3513=MappingTables!$C$35)),1,VLOOKUP(CONCATENATE($D3513,$G3513),CSRFinput!$B:$E,4,0))),0,IF(AND(VLOOKUP(CONCATENATE($D3513,$G3513),CSRFinput!$B:$E,4,0)=0,OR(H3513=MappingTables!$C$34,H3513=MappingTables!$C$35)),1,VLOOKUP(CONCATENATE($D3513,$G3513),CSRFinput!$B:$E,4,0)))</f>
        <v>0.054776304963434752</v>
      </c>
      <c r="W3513" s="85">
        <f>IF(B3513="",0,+$T3513*$V3513)</f>
        <v>3.3836431321354688</v>
      </c>
      <c r="X3513" s="85">
        <f>IF(B3513="",0,IF(OR(H3513=MappingTables!$C$34,H3513=MappingTables!$C$35),W3513,0))</f>
        <v>0</v>
      </c>
    </row>
    <row r="3514" spans="2:24" s="0" customFormat="0" ht="15">
      <c r="B3514" s="69">
        <v>14504603</v>
      </c>
      <c r="C3514" s="70" t="s">
        <v>2207</v>
      </c>
      <c r="D3514" s="70" t="s">
        <v>1</v>
      </c>
      <c r="E3514" s="70" t="s">
        <v>1</v>
      </c>
      <c r="F3514" s="70"/>
      <c r="G3514" s="70" t="s">
        <v>61</v>
      </c>
      <c r="H3514" s="70" t="s">
        <v>178</v>
      </c>
      <c r="I3514" s="70" t="s">
        <v>220</v>
      </c>
      <c r="J3514" s="71">
        <f>IF(OR(I3514=0,I3514=""),"unrated",VLOOKUP(I3514,MappingTables!$B$19:$C$31,2,FALSE))</f>
        <v>1</v>
      </c>
      <c r="K3514" s="72">
        <v>3271.071818474576</v>
      </c>
      <c r="L3514" s="70">
        <v>0.0027422812070264384</v>
      </c>
      <c r="M3514" s="71">
        <f>IF(L3514&lt;1,1,L3514)</f>
        <v>1</v>
      </c>
      <c r="N3514" s="70" t="s">
        <v>141</v>
      </c>
      <c r="O3514" s="71">
        <f>INDEX(DurClassMapping,MATCH(M3514,MappingTables!$D$4:$D$8,-1),1)</f>
        <v>1</v>
      </c>
      <c r="P3514" s="73">
        <f>IF(M3514=$A$1,1,$M3514-INDEX(MappingTables!$E$4:$E$8,MATCH(O3514,MappingTables!$B$4:$B$8,0)))</f>
        <v>1</v>
      </c>
      <c r="Q3514" s="71">
        <f>IF(B3514="",0,INDEX(ModelParameters!$D$6:$K$10,MATCH($O3514,ModelParameters!$B$6:$B$10,0),MATCH($J3514,ModelParameters!$D$5:$K$5,0)))</f>
        <v>0.011000000000000002</v>
      </c>
      <c r="R3514" s="71">
        <f>IF(B3514="",0,INDEX(ModelParameters!$D$13:$K$17,MATCH($O3514,ModelParameters!$B$13:$B$17,0),MATCH($J3514,ModelParameters!$D$5:$K$5,0)))</f>
        <v>0</v>
      </c>
      <c r="S3514" s="160">
        <f>IF(B3514="",0,MIN(IF($N3514="Other Bond TM",ModelParameters!$N$21,1)*(P3514*Q3514+R3514),1))</f>
        <v>0.011000000000000002</v>
      </c>
      <c r="T3514" s="85">
        <f>IF(B3514="",0,$S3514*$K3514)</f>
        <v>35.98179000322034</v>
      </c>
      <c r="U3514" s="85">
        <f>IF(B3514="",0,IF(OR(H3514=MappingTables!$C$34,H3514=MappingTables!$C$35),T3514,0))</f>
        <v>0</v>
      </c>
      <c r="V3514" s="85">
        <f>IF(ISNA(IF(AND(VLOOKUP(CONCATENATE($D3514,$G3514),CSRFinput!$B:$E,4,0)=0,OR(H3514=MappingTables!$C$34,H3514=MappingTables!$C$35)),1,VLOOKUP(CONCATENATE($D3514,$G3514),CSRFinput!$B:$E,4,0))),0,IF(AND(VLOOKUP(CONCATENATE($D3514,$G3514),CSRFinput!$B:$E,4,0)=0,OR(H3514=MappingTables!$C$34,H3514=MappingTables!$C$35)),1,VLOOKUP(CONCATENATE($D3514,$G3514),CSRFinput!$B:$E,4,0)))</f>
        <v>0.054776304963434752</v>
      </c>
      <c r="W3514" s="85">
        <f>IF(B3514="",0,+$T3514*$V3514)</f>
        <v>1.9709495023466652</v>
      </c>
      <c r="X3514" s="85">
        <f>IF(B3514="",0,IF(OR(H3514=MappingTables!$C$34,H3514=MappingTables!$C$35),W3514,0))</f>
        <v>0</v>
      </c>
    </row>
    <row r="3515" spans="2:24" s="0" customFormat="0" ht="15">
      <c r="B3515" s="69" t="s">
        <v>972</v>
      </c>
      <c r="C3515" s="70" t="s">
        <v>973</v>
      </c>
      <c r="D3515" s="70" t="s">
        <v>1</v>
      </c>
      <c r="E3515" s="70" t="s">
        <v>1</v>
      </c>
      <c r="F3515" s="70"/>
      <c r="G3515" s="70" t="s">
        <v>61</v>
      </c>
      <c r="H3515" s="70" t="s">
        <v>178</v>
      </c>
      <c r="I3515" s="70" t="s">
        <v>198</v>
      </c>
      <c r="J3515" s="71" t="str">
        <f>IF(OR(I3515=0,I3515=""),"unrated",VLOOKUP(I3515,MappingTables!$B$19:$C$31,2,FALSE))</f>
        <v>unrated</v>
      </c>
      <c r="K3515" s="72">
        <v>351.89943743962032</v>
      </c>
      <c r="L3515" s="70">
        <v>11.1883144875653</v>
      </c>
      <c r="M3515" s="71">
        <f>IF(L3515&lt;1,1,L3515)</f>
        <v>11.1883144875653</v>
      </c>
      <c r="N3515" s="70" t="s">
        <v>141</v>
      </c>
      <c r="O3515" s="71">
        <f>INDEX(DurClassMapping,MATCH(M3515,MappingTables!$D$4:$D$8,-1),1)</f>
        <v>3</v>
      </c>
      <c r="P3515" s="73">
        <f>IF(M3515=$A$1,1,$M3515-INDEX(MappingTables!$E$4:$E$8,MATCH(O3515,MappingTables!$B$4:$B$8,0)))</f>
        <v>1.1883144875653002</v>
      </c>
      <c r="Q3515" s="71">
        <f>IF(B3515="",0,INDEX(ModelParameters!$D$6:$K$10,MATCH($O3515,ModelParameters!$B$6:$B$10,0),MATCH($J3515,ModelParameters!$D$5:$K$5,0)))</f>
        <v>0.012</v>
      </c>
      <c r="R3515" s="71">
        <f>IF(B3515="",0,INDEX(ModelParameters!$D$13:$K$17,MATCH($O3515,ModelParameters!$B$13:$B$17,0),MATCH($J3515,ModelParameters!$D$5:$K$5,0)))</f>
        <v>0.235</v>
      </c>
      <c r="S3515" s="160">
        <f>IF(B3515="",0,MIN(IF($N3515="Other Bond TM",ModelParameters!$N$21,1)*(P3515*Q3515+R3515),1))</f>
        <v>0.2492597738507836</v>
      </c>
      <c r="T3515" s="85">
        <f>IF(B3515="",0,$S3515*$K3515)</f>
        <v>87.714374194417728</v>
      </c>
      <c r="U3515" s="85">
        <f>IF(B3515="",0,IF(OR(H3515=MappingTables!$C$34,H3515=MappingTables!$C$35),T3515,0))</f>
        <v>0</v>
      </c>
      <c r="V3515" s="85">
        <f>IF(ISNA(IF(AND(VLOOKUP(CONCATENATE($D3515,$G3515),CSRFinput!$B:$E,4,0)=0,OR(H3515=MappingTables!$C$34,H3515=MappingTables!$C$35)),1,VLOOKUP(CONCATENATE($D3515,$G3515),CSRFinput!$B:$E,4,0))),0,IF(AND(VLOOKUP(CONCATENATE($D3515,$G3515),CSRFinput!$B:$E,4,0)=0,OR(H3515=MappingTables!$C$34,H3515=MappingTables!$C$35)),1,VLOOKUP(CONCATENATE($D3515,$G3515),CSRFinput!$B:$E,4,0)))</f>
        <v>0.054776304963434752</v>
      </c>
      <c r="W3515" s="85">
        <f>IF(B3515="",0,+$T3515*$V3515)</f>
        <v>4.8046693105502568</v>
      </c>
      <c r="X3515" s="85">
        <f>IF(B3515="",0,IF(OR(H3515=MappingTables!$C$34,H3515=MappingTables!$C$35),W3515,0))</f>
        <v>0</v>
      </c>
    </row>
    <row r="3516" spans="2:24" s="0" customFormat="0" ht="15">
      <c r="B3516" s="69">
        <v>14897748</v>
      </c>
      <c r="C3516" s="70" t="s">
        <v>2773</v>
      </c>
      <c r="D3516" s="70" t="s">
        <v>1</v>
      </c>
      <c r="E3516" s="70" t="s">
        <v>1</v>
      </c>
      <c r="F3516" s="70"/>
      <c r="G3516" s="70" t="s">
        <v>61</v>
      </c>
      <c r="H3516" s="70" t="s">
        <v>178</v>
      </c>
      <c r="I3516" s="70" t="s">
        <v>184</v>
      </c>
      <c r="J3516" s="71">
        <f>IF(OR(I3516=0,I3516=""),"unrated",VLOOKUP(I3516,MappingTables!$B$19:$C$31,2,FALSE))</f>
        <v>5</v>
      </c>
      <c r="K3516" s="72">
        <v>1766.2951999702324</v>
      </c>
      <c r="L3516" s="70">
        <v>0.087668086058673216</v>
      </c>
      <c r="M3516" s="71">
        <f>IF(L3516&lt;1,1,L3516)</f>
        <v>1</v>
      </c>
      <c r="N3516" s="70" t="s">
        <v>141</v>
      </c>
      <c r="O3516" s="71">
        <f>INDEX(DurClassMapping,MATCH(M3516,MappingTables!$D$4:$D$8,-1),1)</f>
        <v>1</v>
      </c>
      <c r="P3516" s="73">
        <f>IF(M3516=$A$1,1,$M3516-INDEX(MappingTables!$E$4:$E$8,MATCH(O3516,MappingTables!$B$4:$B$8,0)))</f>
        <v>1</v>
      </c>
      <c r="Q3516" s="71">
        <f>IF(B3516="",0,INDEX(ModelParameters!$D$6:$K$10,MATCH($O3516,ModelParameters!$B$6:$B$10,0),MATCH($J3516,ModelParameters!$D$5:$K$5,0)))</f>
        <v>0.075</v>
      </c>
      <c r="R3516" s="71">
        <f>IF(B3516="",0,INDEX(ModelParameters!$D$13:$K$17,MATCH($O3516,ModelParameters!$B$13:$B$17,0),MATCH($J3516,ModelParameters!$D$5:$K$5,0)))</f>
        <v>0</v>
      </c>
      <c r="S3516" s="160">
        <f>IF(B3516="",0,MIN(IF($N3516="Other Bond TM",ModelParameters!$N$21,1)*(P3516*Q3516+R3516),1))</f>
        <v>0.075</v>
      </c>
      <c r="T3516" s="85">
        <f>IF(B3516="",0,$S3516*$K3516)</f>
        <v>132.47213999776744</v>
      </c>
      <c r="U3516" s="85">
        <f>IF(B3516="",0,IF(OR(H3516=MappingTables!$C$34,H3516=MappingTables!$C$35),T3516,0))</f>
        <v>0</v>
      </c>
      <c r="V3516" s="85">
        <f>IF(ISNA(IF(AND(VLOOKUP(CONCATENATE($D3516,$G3516),CSRFinput!$B:$E,4,0)=0,OR(H3516=MappingTables!$C$34,H3516=MappingTables!$C$35)),1,VLOOKUP(CONCATENATE($D3516,$G3516),CSRFinput!$B:$E,4,0))),0,IF(AND(VLOOKUP(CONCATENATE($D3516,$G3516),CSRFinput!$B:$E,4,0)=0,OR(H3516=MappingTables!$C$34,H3516=MappingTables!$C$35)),1,VLOOKUP(CONCATENATE($D3516,$G3516),CSRFinput!$B:$E,4,0)))</f>
        <v>0.054776304963434752</v>
      </c>
      <c r="W3516" s="85">
        <f>IF(B3516="",0,+$T3516*$V3516)</f>
        <v>7.2563343396765328</v>
      </c>
      <c r="X3516" s="85">
        <f>IF(B3516="",0,IF(OR(H3516=MappingTables!$C$34,H3516=MappingTables!$C$35),W3516,0))</f>
        <v>0</v>
      </c>
    </row>
    <row r="3517" spans="2:24" s="0" customFormat="0" ht="15">
      <c r="B3517" s="69">
        <v>11009660</v>
      </c>
      <c r="C3517" s="70" t="s">
        <v>227</v>
      </c>
      <c r="D3517" s="70" t="s">
        <v>1</v>
      </c>
      <c r="E3517" s="70" t="s">
        <v>1</v>
      </c>
      <c r="F3517" s="70"/>
      <c r="G3517" s="70" t="s">
        <v>61</v>
      </c>
      <c r="H3517" s="70" t="s">
        <v>178</v>
      </c>
      <c r="I3517" s="70" t="s">
        <v>181</v>
      </c>
      <c r="J3517" s="71">
        <f>IF(OR(I3517=0,I3517=""),"unrated",VLOOKUP(I3517,MappingTables!$B$19:$C$31,2,FALSE))</f>
        <v>3</v>
      </c>
      <c r="K3517" s="72">
        <v>1650.929338624265</v>
      </c>
      <c r="L3517" s="70">
        <v>4.9369693012871216</v>
      </c>
      <c r="M3517" s="71">
        <f>IF(L3517&lt;1,1,L3517)</f>
        <v>4.9369693012871216</v>
      </c>
      <c r="N3517" s="70" t="s">
        <v>141</v>
      </c>
      <c r="O3517" s="71">
        <f>INDEX(DurClassMapping,MATCH(M3517,MappingTables!$D$4:$D$8,-1),1)</f>
        <v>1</v>
      </c>
      <c r="P3517" s="73">
        <f>IF(M3517=$A$1,1,$M3517-INDEX(MappingTables!$E$4:$E$8,MATCH(O3517,MappingTables!$B$4:$B$8,0)))</f>
        <v>4.9369693012871216</v>
      </c>
      <c r="Q3517" s="71">
        <f>IF(B3517="",0,INDEX(ModelParameters!$D$6:$K$10,MATCH($O3517,ModelParameters!$B$6:$B$10,0),MATCH($J3517,ModelParameters!$D$5:$K$5,0)))</f>
        <v>0.025</v>
      </c>
      <c r="R3517" s="71">
        <f>IF(B3517="",0,INDEX(ModelParameters!$D$13:$K$17,MATCH($O3517,ModelParameters!$B$13:$B$17,0),MATCH($J3517,ModelParameters!$D$5:$K$5,0)))</f>
        <v>0</v>
      </c>
      <c r="S3517" s="160">
        <f>IF(B3517="",0,MIN(IF($N3517="Other Bond TM",ModelParameters!$N$21,1)*(P3517*Q3517+R3517),1))</f>
        <v>0.12342423253217804</v>
      </c>
      <c r="T3517" s="85">
        <f>IF(B3517="",0,$S3517*$K3517)</f>
        <v>203.7646865845562</v>
      </c>
      <c r="U3517" s="85">
        <f>IF(B3517="",0,IF(OR(H3517=MappingTables!$C$34,H3517=MappingTables!$C$35),T3517,0))</f>
        <v>0</v>
      </c>
      <c r="V3517" s="85">
        <f>IF(ISNA(IF(AND(VLOOKUP(CONCATENATE($D3517,$G3517),CSRFinput!$B:$E,4,0)=0,OR(H3517=MappingTables!$C$34,H3517=MappingTables!$C$35)),1,VLOOKUP(CONCATENATE($D3517,$G3517),CSRFinput!$B:$E,4,0))),0,IF(AND(VLOOKUP(CONCATENATE($D3517,$G3517),CSRFinput!$B:$E,4,0)=0,OR(H3517=MappingTables!$C$34,H3517=MappingTables!$C$35)),1,VLOOKUP(CONCATENATE($D3517,$G3517),CSRFinput!$B:$E,4,0)))</f>
        <v>0.054776304963434752</v>
      </c>
      <c r="W3517" s="85">
        <f>IF(B3517="",0,+$T3517*$V3517)</f>
        <v>11.161476613134352</v>
      </c>
      <c r="X3517" s="85">
        <f>IF(B3517="",0,IF(OR(H3517=MappingTables!$C$34,H3517=MappingTables!$C$35),W3517,0))</f>
        <v>0</v>
      </c>
    </row>
    <row r="3518" spans="2:24" s="0" customFormat="0" ht="15">
      <c r="B3518" s="69">
        <v>761910</v>
      </c>
      <c r="C3518" s="70" t="s">
        <v>553</v>
      </c>
      <c r="D3518" s="70" t="s">
        <v>1</v>
      </c>
      <c r="E3518" s="70" t="s">
        <v>1</v>
      </c>
      <c r="F3518" s="70"/>
      <c r="G3518" s="70" t="s">
        <v>61</v>
      </c>
      <c r="H3518" s="70" t="s">
        <v>178</v>
      </c>
      <c r="I3518" s="70" t="s">
        <v>181</v>
      </c>
      <c r="J3518" s="71">
        <f>IF(OR(I3518=0,I3518=""),"unrated",VLOOKUP(I3518,MappingTables!$B$19:$C$31,2,FALSE))</f>
        <v>3</v>
      </c>
      <c r="K3518" s="72">
        <v>5820.3752546649208</v>
      </c>
      <c r="L3518" s="70">
        <v>10.308526677978148</v>
      </c>
      <c r="M3518" s="71">
        <f>IF(L3518&lt;1,1,L3518)</f>
        <v>10.308526677978148</v>
      </c>
      <c r="N3518" s="70" t="s">
        <v>141</v>
      </c>
      <c r="O3518" s="71">
        <f>INDEX(DurClassMapping,MATCH(M3518,MappingTables!$D$4:$D$8,-1),1)</f>
        <v>3</v>
      </c>
      <c r="P3518" s="73">
        <f>IF(M3518=$A$1,1,$M3518-INDEX(MappingTables!$E$4:$E$8,MATCH(O3518,MappingTables!$B$4:$B$8,0)))</f>
        <v>0.3085266779781488</v>
      </c>
      <c r="Q3518" s="71">
        <f>IF(B3518="",0,INDEX(ModelParameters!$D$6:$K$10,MATCH($O3518,ModelParameters!$B$6:$B$10,0),MATCH($J3518,ModelParameters!$D$5:$K$5,0)))</f>
        <v>0.01</v>
      </c>
      <c r="R3518" s="71">
        <f>IF(B3518="",0,INDEX(ModelParameters!$D$13:$K$17,MATCH($O3518,ModelParameters!$B$13:$B$17,0),MATCH($J3518,ModelParameters!$D$5:$K$5,0)))</f>
        <v>0.2</v>
      </c>
      <c r="S3518" s="160">
        <f>IF(B3518="",0,MIN(IF($N3518="Other Bond TM",ModelParameters!$N$21,1)*(P3518*Q3518+R3518),1))</f>
        <v>0.20308526677978152</v>
      </c>
      <c r="T3518" s="85">
        <f>IF(B3518="",0,$S3518*$K3518)</f>
        <v>1182.0324613520642</v>
      </c>
      <c r="U3518" s="85">
        <f>IF(B3518="",0,IF(OR(H3518=MappingTables!$C$34,H3518=MappingTables!$C$35),T3518,0))</f>
        <v>0</v>
      </c>
      <c r="V3518" s="85">
        <f>IF(ISNA(IF(AND(VLOOKUP(CONCATENATE($D3518,$G3518),CSRFinput!$B:$E,4,0)=0,OR(H3518=MappingTables!$C$34,H3518=MappingTables!$C$35)),1,VLOOKUP(CONCATENATE($D3518,$G3518),CSRFinput!$B:$E,4,0))),0,IF(AND(VLOOKUP(CONCATENATE($D3518,$G3518),CSRFinput!$B:$E,4,0)=0,OR(H3518=MappingTables!$C$34,H3518=MappingTables!$C$35)),1,VLOOKUP(CONCATENATE($D3518,$G3518),CSRFinput!$B:$E,4,0)))</f>
        <v>0.054776304963434752</v>
      </c>
      <c r="W3518" s="85">
        <f>IF(B3518="",0,+$T3518*$V3518)</f>
        <v>64.747370579700072</v>
      </c>
      <c r="X3518" s="85">
        <f>IF(B3518="",0,IF(OR(H3518=MappingTables!$C$34,H3518=MappingTables!$C$35),W3518,0))</f>
        <v>0</v>
      </c>
    </row>
    <row r="3519" spans="2:24" s="0" customFormat="0" ht="15">
      <c r="B3519" s="69" t="s">
        <v>700</v>
      </c>
      <c r="C3519" s="70" t="s">
        <v>701</v>
      </c>
      <c r="D3519" s="70" t="s">
        <v>1</v>
      </c>
      <c r="E3519" s="70" t="s">
        <v>1</v>
      </c>
      <c r="F3519" s="70"/>
      <c r="G3519" s="70" t="s">
        <v>61</v>
      </c>
      <c r="H3519" s="70" t="s">
        <v>178</v>
      </c>
      <c r="I3519" s="70" t="s">
        <v>181</v>
      </c>
      <c r="J3519" s="71">
        <f>IF(OR(I3519=0,I3519=""),"unrated",VLOOKUP(I3519,MappingTables!$B$19:$C$31,2,FALSE))</f>
        <v>3</v>
      </c>
      <c r="K3519" s="72">
        <v>7.3074133159712464</v>
      </c>
      <c r="L3519" s="70">
        <v>1.9277699024282892</v>
      </c>
      <c r="M3519" s="71">
        <f>IF(L3519&lt;1,1,L3519)</f>
        <v>1.9277699024282892</v>
      </c>
      <c r="N3519" s="70" t="s">
        <v>141</v>
      </c>
      <c r="O3519" s="71">
        <f>INDEX(DurClassMapping,MATCH(M3519,MappingTables!$D$4:$D$8,-1),1)</f>
        <v>1</v>
      </c>
      <c r="P3519" s="73">
        <f>IF(M3519=$A$1,1,$M3519-INDEX(MappingTables!$E$4:$E$8,MATCH(O3519,MappingTables!$B$4:$B$8,0)))</f>
        <v>1.9277699024282892</v>
      </c>
      <c r="Q3519" s="71">
        <f>IF(B3519="",0,INDEX(ModelParameters!$D$6:$K$10,MATCH($O3519,ModelParameters!$B$6:$B$10,0),MATCH($J3519,ModelParameters!$D$5:$K$5,0)))</f>
        <v>0.025</v>
      </c>
      <c r="R3519" s="71">
        <f>IF(B3519="",0,INDEX(ModelParameters!$D$13:$K$17,MATCH($O3519,ModelParameters!$B$13:$B$17,0),MATCH($J3519,ModelParameters!$D$5:$K$5,0)))</f>
        <v>0</v>
      </c>
      <c r="S3519" s="160">
        <f>IF(B3519="",0,MIN(IF($N3519="Other Bond TM",ModelParameters!$N$21,1)*(P3519*Q3519+R3519),1))</f>
        <v>0.048194247560707224</v>
      </c>
      <c r="T3519" s="85">
        <f>IF(B3519="",0,$S3519*$K3519)</f>
        <v>0.35217528637832672</v>
      </c>
      <c r="U3519" s="85">
        <f>IF(B3519="",0,IF(OR(H3519=MappingTables!$C$34,H3519=MappingTables!$C$35),T3519,0))</f>
        <v>0</v>
      </c>
      <c r="V3519" s="85">
        <f>IF(ISNA(IF(AND(VLOOKUP(CONCATENATE($D3519,$G3519),CSRFinput!$B:$E,4,0)=0,OR(H3519=MappingTables!$C$34,H3519=MappingTables!$C$35)),1,VLOOKUP(CONCATENATE($D3519,$G3519),CSRFinput!$B:$E,4,0))),0,IF(AND(VLOOKUP(CONCATENATE($D3519,$G3519),CSRFinput!$B:$E,4,0)=0,OR(H3519=MappingTables!$C$34,H3519=MappingTables!$C$35)),1,VLOOKUP(CONCATENATE($D3519,$G3519),CSRFinput!$B:$E,4,0)))</f>
        <v>0.054776304963434752</v>
      </c>
      <c r="W3519" s="85">
        <f>IF(B3519="",0,+$T3519*$V3519)</f>
        <v>0.019290860887244196</v>
      </c>
      <c r="X3519" s="85">
        <f>IF(B3519="",0,IF(OR(H3519=MappingTables!$C$34,H3519=MappingTables!$C$35),W3519,0))</f>
        <v>0</v>
      </c>
    </row>
    <row r="3520" spans="2:24" s="0" customFormat="0" ht="15">
      <c r="B3520" s="69">
        <v>20538925</v>
      </c>
      <c r="C3520" s="70" t="s">
        <v>1082</v>
      </c>
      <c r="D3520" s="70" t="s">
        <v>1</v>
      </c>
      <c r="E3520" s="70" t="s">
        <v>1</v>
      </c>
      <c r="F3520" s="70"/>
      <c r="G3520" s="70" t="s">
        <v>61</v>
      </c>
      <c r="H3520" s="70" t="s">
        <v>178</v>
      </c>
      <c r="I3520" s="70" t="s">
        <v>181</v>
      </c>
      <c r="J3520" s="71">
        <f>IF(OR(I3520=0,I3520=""),"unrated",VLOOKUP(I3520,MappingTables!$B$19:$C$31,2,FALSE))</f>
        <v>3</v>
      </c>
      <c r="K3520" s="72">
        <v>476.81327571700784</v>
      </c>
      <c r="L3520" s="70">
        <v>5.0247119964458056</v>
      </c>
      <c r="M3520" s="71">
        <f>IF(L3520&lt;1,1,L3520)</f>
        <v>5.0247119964458056</v>
      </c>
      <c r="N3520" s="70" t="s">
        <v>141</v>
      </c>
      <c r="O3520" s="71">
        <f>INDEX(DurClassMapping,MATCH(M3520,MappingTables!$D$4:$D$8,-1),1)</f>
        <v>2</v>
      </c>
      <c r="P3520" s="73">
        <f>IF(M3520=$A$1,1,$M3520-INDEX(MappingTables!$E$4:$E$8,MATCH(O3520,MappingTables!$B$4:$B$8,0)))</f>
        <v>0.024711996445805796</v>
      </c>
      <c r="Q3520" s="71">
        <f>IF(B3520="",0,INDEX(ModelParameters!$D$6:$K$10,MATCH($O3520,ModelParameters!$B$6:$B$10,0),MATCH($J3520,ModelParameters!$D$5:$K$5,0)))</f>
        <v>0.015</v>
      </c>
      <c r="R3520" s="71">
        <f>IF(B3520="",0,INDEX(ModelParameters!$D$13:$K$17,MATCH($O3520,ModelParameters!$B$13:$B$17,0),MATCH($J3520,ModelParameters!$D$5:$K$5,0)))</f>
        <v>0.125</v>
      </c>
      <c r="S3520" s="160">
        <f>IF(B3520="",0,MIN(IF($N3520="Other Bond TM",ModelParameters!$N$21,1)*(P3520*Q3520+R3520),1))</f>
        <v>0.12537067994668708</v>
      </c>
      <c r="T3520" s="85">
        <f>IF(B3520="",0,$S3520*$K3520)</f>
        <v>59.778404584248448</v>
      </c>
      <c r="U3520" s="85">
        <f>IF(B3520="",0,IF(OR(H3520=MappingTables!$C$34,H3520=MappingTables!$C$35),T3520,0))</f>
        <v>0</v>
      </c>
      <c r="V3520" s="85">
        <f>IF(ISNA(IF(AND(VLOOKUP(CONCATENATE($D3520,$G3520),CSRFinput!$B:$E,4,0)=0,OR(H3520=MappingTables!$C$34,H3520=MappingTables!$C$35)),1,VLOOKUP(CONCATENATE($D3520,$G3520),CSRFinput!$B:$E,4,0))),0,IF(AND(VLOOKUP(CONCATENATE($D3520,$G3520),CSRFinput!$B:$E,4,0)=0,OR(H3520=MappingTables!$C$34,H3520=MappingTables!$C$35)),1,VLOOKUP(CONCATENATE($D3520,$G3520),CSRFinput!$B:$E,4,0)))</f>
        <v>0.054776304963434752</v>
      </c>
      <c r="W3520" s="85">
        <f>IF(B3520="",0,+$T3520*$V3520)</f>
        <v>3.2744401197343792</v>
      </c>
      <c r="X3520" s="85">
        <f>IF(B3520="",0,IF(OR(H3520=MappingTables!$C$34,H3520=MappingTables!$C$35),W3520,0))</f>
        <v>0</v>
      </c>
    </row>
    <row r="3521" spans="2:24" s="0" customFormat="0" ht="15">
      <c r="B3521" s="69">
        <v>22930280</v>
      </c>
      <c r="C3521" s="70" t="s">
        <v>2402</v>
      </c>
      <c r="D3521" s="70" t="s">
        <v>1</v>
      </c>
      <c r="E3521" s="70" t="s">
        <v>1</v>
      </c>
      <c r="F3521" s="70"/>
      <c r="G3521" s="70" t="s">
        <v>61</v>
      </c>
      <c r="H3521" s="70" t="s">
        <v>178</v>
      </c>
      <c r="I3521" s="70" t="s">
        <v>179</v>
      </c>
      <c r="J3521" s="71">
        <f>IF(OR(I3521=0,I3521=""),"unrated",VLOOKUP(I3521,MappingTables!$B$19:$C$31,2,FALSE))</f>
        <v>4</v>
      </c>
      <c r="K3521" s="72">
        <v>10211.357049920306</v>
      </c>
      <c r="L3521" s="70">
        <v>1.273860870075751</v>
      </c>
      <c r="M3521" s="71">
        <f>IF(L3521&lt;1,1,L3521)</f>
        <v>1.273860870075751</v>
      </c>
      <c r="N3521" s="70" t="s">
        <v>141</v>
      </c>
      <c r="O3521" s="71">
        <f>INDEX(DurClassMapping,MATCH(M3521,MappingTables!$D$4:$D$8,-1),1)</f>
        <v>1</v>
      </c>
      <c r="P3521" s="73">
        <f>IF(M3521=$A$1,1,$M3521-INDEX(MappingTables!$E$4:$E$8,MATCH(O3521,MappingTables!$B$4:$B$8,0)))</f>
        <v>1.273860870075751</v>
      </c>
      <c r="Q3521" s="71">
        <f>IF(B3521="",0,INDEX(ModelParameters!$D$6:$K$10,MATCH($O3521,ModelParameters!$B$6:$B$10,0),MATCH($J3521,ModelParameters!$D$5:$K$5,0)))</f>
        <v>0.045</v>
      </c>
      <c r="R3521" s="71">
        <f>IF(B3521="",0,INDEX(ModelParameters!$D$13:$K$17,MATCH($O3521,ModelParameters!$B$13:$B$17,0),MATCH($J3521,ModelParameters!$D$5:$K$5,0)))</f>
        <v>0</v>
      </c>
      <c r="S3521" s="160">
        <f>IF(B3521="",0,MIN(IF($N3521="Other Bond TM",ModelParameters!$N$21,1)*(P3521*Q3521+R3521),1))</f>
        <v>0.057323739153408792</v>
      </c>
      <c r="T3521" s="85">
        <f>IF(B3521="",0,$S3521*$K3521)</f>
        <v>585.35316793195352</v>
      </c>
      <c r="U3521" s="85">
        <f>IF(B3521="",0,IF(OR(H3521=MappingTables!$C$34,H3521=MappingTables!$C$35),T3521,0))</f>
        <v>0</v>
      </c>
      <c r="V3521" s="85">
        <f>IF(ISNA(IF(AND(VLOOKUP(CONCATENATE($D3521,$G3521),CSRFinput!$B:$E,4,0)=0,OR(H3521=MappingTables!$C$34,H3521=MappingTables!$C$35)),1,VLOOKUP(CONCATENATE($D3521,$G3521),CSRFinput!$B:$E,4,0))),0,IF(AND(VLOOKUP(CONCATENATE($D3521,$G3521),CSRFinput!$B:$E,4,0)=0,OR(H3521=MappingTables!$C$34,H3521=MappingTables!$C$35)),1,VLOOKUP(CONCATENATE($D3521,$G3521),CSRFinput!$B:$E,4,0)))</f>
        <v>0.054776304963434752</v>
      </c>
      <c r="W3521" s="85">
        <f>IF(B3521="",0,+$T3521*$V3521)</f>
        <v>32.063483637953324</v>
      </c>
      <c r="X3521" s="85">
        <f>IF(B3521="",0,IF(OR(H3521=MappingTables!$C$34,H3521=MappingTables!$C$35),W3521,0))</f>
        <v>0</v>
      </c>
    </row>
    <row r="3522" spans="2:24" s="0" customFormat="0" ht="15">
      <c r="B3522" s="69" t="s">
        <v>1935</v>
      </c>
      <c r="C3522" s="70" t="s">
        <v>1936</v>
      </c>
      <c r="D3522" s="70" t="s">
        <v>1</v>
      </c>
      <c r="E3522" s="70" t="s">
        <v>1</v>
      </c>
      <c r="F3522" s="70"/>
      <c r="G3522" s="70" t="s">
        <v>61</v>
      </c>
      <c r="H3522" s="70" t="s">
        <v>178</v>
      </c>
      <c r="I3522" s="70" t="s">
        <v>198</v>
      </c>
      <c r="J3522" s="71" t="str">
        <f>IF(OR(I3522=0,I3522=""),"unrated",VLOOKUP(I3522,MappingTables!$B$19:$C$31,2,FALSE))</f>
        <v>unrated</v>
      </c>
      <c r="K3522" s="72">
        <v>389.88156626254688</v>
      </c>
      <c r="L3522" s="70">
        <v>4.7578466122562904</v>
      </c>
      <c r="M3522" s="71">
        <f>IF(L3522&lt;1,1,L3522)</f>
        <v>4.7578466122562904</v>
      </c>
      <c r="N3522" s="70" t="s">
        <v>141</v>
      </c>
      <c r="O3522" s="71">
        <f>INDEX(DurClassMapping,MATCH(M3522,MappingTables!$D$4:$D$8,-1),1)</f>
        <v>1</v>
      </c>
      <c r="P3522" s="73">
        <f>IF(M3522=$A$1,1,$M3522-INDEX(MappingTables!$E$4:$E$8,MATCH(O3522,MappingTables!$B$4:$B$8,0)))</f>
        <v>4.7578466122562904</v>
      </c>
      <c r="Q3522" s="71">
        <f>IF(B3522="",0,INDEX(ModelParameters!$D$6:$K$10,MATCH($O3522,ModelParameters!$B$6:$B$10,0),MATCH($J3522,ModelParameters!$D$5:$K$5,0)))</f>
        <v>0.03</v>
      </c>
      <c r="R3522" s="71">
        <f>IF(B3522="",0,INDEX(ModelParameters!$D$13:$K$17,MATCH($O3522,ModelParameters!$B$13:$B$17,0),MATCH($J3522,ModelParameters!$D$5:$K$5,0)))</f>
        <v>0</v>
      </c>
      <c r="S3522" s="160">
        <f>IF(B3522="",0,MIN(IF($N3522="Other Bond TM",ModelParameters!$N$21,1)*(P3522*Q3522+R3522),1))</f>
        <v>0.14273539836768872</v>
      </c>
      <c r="T3522" s="85">
        <f>IF(B3522="",0,$S3522*$K3522)</f>
        <v>55.649900676703056</v>
      </c>
      <c r="U3522" s="85">
        <f>IF(B3522="",0,IF(OR(H3522=MappingTables!$C$34,H3522=MappingTables!$C$35),T3522,0))</f>
        <v>0</v>
      </c>
      <c r="V3522" s="85">
        <f>IF(ISNA(IF(AND(VLOOKUP(CONCATENATE($D3522,$G3522),CSRFinput!$B:$E,4,0)=0,OR(H3522=MappingTables!$C$34,H3522=MappingTables!$C$35)),1,VLOOKUP(CONCATENATE($D3522,$G3522),CSRFinput!$B:$E,4,0))),0,IF(AND(VLOOKUP(CONCATENATE($D3522,$G3522),CSRFinput!$B:$E,4,0)=0,OR(H3522=MappingTables!$C$34,H3522=MappingTables!$C$35)),1,VLOOKUP(CONCATENATE($D3522,$G3522),CSRFinput!$B:$E,4,0)))</f>
        <v>0.054776304963434752</v>
      </c>
      <c r="W3522" s="85">
        <f>IF(B3522="",0,+$T3522*$V3522)</f>
        <v>3.0482959306519408</v>
      </c>
      <c r="X3522" s="85">
        <f>IF(B3522="",0,IF(OR(H3522=MappingTables!$C$34,H3522=MappingTables!$C$35),W3522,0))</f>
        <v>0</v>
      </c>
    </row>
    <row r="3523" spans="2:24" s="0" customFormat="0" ht="15">
      <c r="B3523" s="69">
        <v>7347500</v>
      </c>
      <c r="C3523" s="70" t="s">
        <v>2365</v>
      </c>
      <c r="D3523" s="70" t="s">
        <v>1</v>
      </c>
      <c r="E3523" s="70" t="s">
        <v>1</v>
      </c>
      <c r="F3523" s="70"/>
      <c r="G3523" s="70" t="s">
        <v>61</v>
      </c>
      <c r="H3523" s="70" t="s">
        <v>178</v>
      </c>
      <c r="I3523" s="70" t="s">
        <v>179</v>
      </c>
      <c r="J3523" s="71">
        <f>IF(OR(I3523=0,I3523=""),"unrated",VLOOKUP(I3523,MappingTables!$B$19:$C$31,2,FALSE))</f>
        <v>4</v>
      </c>
      <c r="K3523" s="72">
        <v>3843.559249836412</v>
      </c>
      <c r="L3523" s="70">
        <v>2.4457675522763548</v>
      </c>
      <c r="M3523" s="71">
        <f>IF(L3523&lt;1,1,L3523)</f>
        <v>2.4457675522763548</v>
      </c>
      <c r="N3523" s="70" t="s">
        <v>141</v>
      </c>
      <c r="O3523" s="71">
        <f>INDEX(DurClassMapping,MATCH(M3523,MappingTables!$D$4:$D$8,-1),1)</f>
        <v>1</v>
      </c>
      <c r="P3523" s="73">
        <f>IF(M3523=$A$1,1,$M3523-INDEX(MappingTables!$E$4:$E$8,MATCH(O3523,MappingTables!$B$4:$B$8,0)))</f>
        <v>2.4457675522763548</v>
      </c>
      <c r="Q3523" s="71">
        <f>IF(B3523="",0,INDEX(ModelParameters!$D$6:$K$10,MATCH($O3523,ModelParameters!$B$6:$B$10,0),MATCH($J3523,ModelParameters!$D$5:$K$5,0)))</f>
        <v>0.045</v>
      </c>
      <c r="R3523" s="71">
        <f>IF(B3523="",0,INDEX(ModelParameters!$D$13:$K$17,MATCH($O3523,ModelParameters!$B$13:$B$17,0),MATCH($J3523,ModelParameters!$D$5:$K$5,0)))</f>
        <v>0</v>
      </c>
      <c r="S3523" s="160">
        <f>IF(B3523="",0,MIN(IF($N3523="Other Bond TM",ModelParameters!$N$21,1)*(P3523*Q3523+R3523),1))</f>
        <v>0.11005953985243596</v>
      </c>
      <c r="T3523" s="85">
        <f>IF(B3523="",0,$S3523*$K3523)</f>
        <v>423.02036243256944</v>
      </c>
      <c r="U3523" s="85">
        <f>IF(B3523="",0,IF(OR(H3523=MappingTables!$C$34,H3523=MappingTables!$C$35),T3523,0))</f>
        <v>0</v>
      </c>
      <c r="V3523" s="85">
        <f>IF(ISNA(IF(AND(VLOOKUP(CONCATENATE($D3523,$G3523),CSRFinput!$B:$E,4,0)=0,OR(H3523=MappingTables!$C$34,H3523=MappingTables!$C$35)),1,VLOOKUP(CONCATENATE($D3523,$G3523),CSRFinput!$B:$E,4,0))),0,IF(AND(VLOOKUP(CONCATENATE($D3523,$G3523),CSRFinput!$B:$E,4,0)=0,OR(H3523=MappingTables!$C$34,H3523=MappingTables!$C$35)),1,VLOOKUP(CONCATENATE($D3523,$G3523),CSRFinput!$B:$E,4,0)))</f>
        <v>0.054776304963434752</v>
      </c>
      <c r="W3523" s="85">
        <f>IF(B3523="",0,+$T3523*$V3523)</f>
        <v>23.171492378349124</v>
      </c>
      <c r="X3523" s="85">
        <f>IF(B3523="",0,IF(OR(H3523=MappingTables!$C$34,H3523=MappingTables!$C$35),W3523,0))</f>
        <v>0</v>
      </c>
    </row>
    <row r="3524" spans="2:24" s="0" customFormat="0" ht="15">
      <c r="B3524" s="69" t="s">
        <v>1397</v>
      </c>
      <c r="C3524" s="70" t="s">
        <v>1398</v>
      </c>
      <c r="D3524" s="70" t="s">
        <v>1</v>
      </c>
      <c r="E3524" s="70" t="s">
        <v>1</v>
      </c>
      <c r="F3524" s="70"/>
      <c r="G3524" s="70" t="s">
        <v>61</v>
      </c>
      <c r="H3524" s="70" t="s">
        <v>178</v>
      </c>
      <c r="I3524" s="70" t="s">
        <v>198</v>
      </c>
      <c r="J3524" s="71" t="str">
        <f>IF(OR(I3524=0,I3524=""),"unrated",VLOOKUP(I3524,MappingTables!$B$19:$C$31,2,FALSE))</f>
        <v>unrated</v>
      </c>
      <c r="K3524" s="72">
        <v>1595.216795144483</v>
      </c>
      <c r="L3524" s="70">
        <v>2.439362734103044</v>
      </c>
      <c r="M3524" s="71">
        <f>IF(L3524&lt;1,1,L3524)</f>
        <v>2.439362734103044</v>
      </c>
      <c r="N3524" s="70" t="s">
        <v>141</v>
      </c>
      <c r="O3524" s="71">
        <f>INDEX(DurClassMapping,MATCH(M3524,MappingTables!$D$4:$D$8,-1),1)</f>
        <v>1</v>
      </c>
      <c r="P3524" s="73">
        <f>IF(M3524=$A$1,1,$M3524-INDEX(MappingTables!$E$4:$E$8,MATCH(O3524,MappingTables!$B$4:$B$8,0)))</f>
        <v>2.439362734103044</v>
      </c>
      <c r="Q3524" s="71">
        <f>IF(B3524="",0,INDEX(ModelParameters!$D$6:$K$10,MATCH($O3524,ModelParameters!$B$6:$B$10,0),MATCH($J3524,ModelParameters!$D$5:$K$5,0)))</f>
        <v>0.03</v>
      </c>
      <c r="R3524" s="71">
        <f>IF(B3524="",0,INDEX(ModelParameters!$D$13:$K$17,MATCH($O3524,ModelParameters!$B$13:$B$17,0),MATCH($J3524,ModelParameters!$D$5:$K$5,0)))</f>
        <v>0</v>
      </c>
      <c r="S3524" s="160">
        <f>IF(B3524="",0,MIN(IF($N3524="Other Bond TM",ModelParameters!$N$21,1)*(P3524*Q3524+R3524),1))</f>
        <v>0.073180882023091328</v>
      </c>
      <c r="T3524" s="85">
        <f>IF(B3524="",0,$S3524*$K3524)</f>
        <v>116.73937208672226</v>
      </c>
      <c r="U3524" s="85">
        <f>IF(B3524="",0,IF(OR(H3524=MappingTables!$C$34,H3524=MappingTables!$C$35),T3524,0))</f>
        <v>0</v>
      </c>
      <c r="V3524" s="85">
        <f>IF(ISNA(IF(AND(VLOOKUP(CONCATENATE($D3524,$G3524),CSRFinput!$B:$E,4,0)=0,OR(H3524=MappingTables!$C$34,H3524=MappingTables!$C$35)),1,VLOOKUP(CONCATENATE($D3524,$G3524),CSRFinput!$B:$E,4,0))),0,IF(AND(VLOOKUP(CONCATENATE($D3524,$G3524),CSRFinput!$B:$E,4,0)=0,OR(H3524=MappingTables!$C$34,H3524=MappingTables!$C$35)),1,VLOOKUP(CONCATENATE($D3524,$G3524),CSRFinput!$B:$E,4,0)))</f>
        <v>0.054776304963434752</v>
      </c>
      <c r="W3524" s="85">
        <f>IF(B3524="",0,+$T3524*$V3524)</f>
        <v>6.3945514466621808</v>
      </c>
      <c r="X3524" s="85">
        <f>IF(B3524="",0,IF(OR(H3524=MappingTables!$C$34,H3524=MappingTables!$C$35),W3524,0))</f>
        <v>0</v>
      </c>
    </row>
    <row r="3525" spans="2:24" s="0" customFormat="0" ht="15">
      <c r="B3525" s="69">
        <v>19118061</v>
      </c>
      <c r="C3525" s="70" t="s">
        <v>2873</v>
      </c>
      <c r="D3525" s="70" t="s">
        <v>1</v>
      </c>
      <c r="E3525" s="70" t="s">
        <v>1</v>
      </c>
      <c r="F3525" s="70"/>
      <c r="G3525" s="70" t="s">
        <v>61</v>
      </c>
      <c r="H3525" s="70" t="s">
        <v>178</v>
      </c>
      <c r="I3525" s="70" t="s">
        <v>188</v>
      </c>
      <c r="J3525" s="71">
        <f>IF(OR(I3525=0,I3525=""),"unrated",VLOOKUP(I3525,MappingTables!$B$19:$C$31,2,FALSE))</f>
        <v>2</v>
      </c>
      <c r="K3525" s="72">
        <v>589.74994392002712</v>
      </c>
      <c r="L3525" s="70">
        <v>3.0007718543801464</v>
      </c>
      <c r="M3525" s="71">
        <f>IF(L3525&lt;1,1,L3525)</f>
        <v>3.0007718543801464</v>
      </c>
      <c r="N3525" s="70" t="s">
        <v>141</v>
      </c>
      <c r="O3525" s="71">
        <f>INDEX(DurClassMapping,MATCH(M3525,MappingTables!$D$4:$D$8,-1),1)</f>
        <v>1</v>
      </c>
      <c r="P3525" s="73">
        <f>IF(M3525=$A$1,1,$M3525-INDEX(MappingTables!$E$4:$E$8,MATCH(O3525,MappingTables!$B$4:$B$8,0)))</f>
        <v>3.0007718543801464</v>
      </c>
      <c r="Q3525" s="71">
        <f>IF(B3525="",0,INDEX(ModelParameters!$D$6:$K$10,MATCH($O3525,ModelParameters!$B$6:$B$10,0),MATCH($J3525,ModelParameters!$D$5:$K$5,0)))</f>
        <v>0.013999999999999998</v>
      </c>
      <c r="R3525" s="71">
        <f>IF(B3525="",0,INDEX(ModelParameters!$D$13:$K$17,MATCH($O3525,ModelParameters!$B$13:$B$17,0),MATCH($J3525,ModelParameters!$D$5:$K$5,0)))</f>
        <v>0</v>
      </c>
      <c r="S3525" s="160">
        <f>IF(B3525="",0,MIN(IF($N3525="Other Bond TM",ModelParameters!$N$21,1)*(P3525*Q3525+R3525),1))</f>
        <v>0.042010805961322048</v>
      </c>
      <c r="T3525" s="85">
        <f>IF(B3525="",0,$S3525*$K3525)</f>
        <v>24.77587045972482</v>
      </c>
      <c r="U3525" s="85">
        <f>IF(B3525="",0,IF(OR(H3525=MappingTables!$C$34,H3525=MappingTables!$C$35),T3525,0))</f>
        <v>0</v>
      </c>
      <c r="V3525" s="85">
        <f>IF(ISNA(IF(AND(VLOOKUP(CONCATENATE($D3525,$G3525),CSRFinput!$B:$E,4,0)=0,OR(H3525=MappingTables!$C$34,H3525=MappingTables!$C$35)),1,VLOOKUP(CONCATENATE($D3525,$G3525),CSRFinput!$B:$E,4,0))),0,IF(AND(VLOOKUP(CONCATENATE($D3525,$G3525),CSRFinput!$B:$E,4,0)=0,OR(H3525=MappingTables!$C$34,H3525=MappingTables!$C$35)),1,VLOOKUP(CONCATENATE($D3525,$G3525),CSRFinput!$B:$E,4,0)))</f>
        <v>0.054776304963434752</v>
      </c>
      <c r="W3525" s="85">
        <f>IF(B3525="",0,+$T3525*$V3525)</f>
        <v>1.3571306360364412</v>
      </c>
      <c r="X3525" s="85">
        <f>IF(B3525="",0,IF(OR(H3525=MappingTables!$C$34,H3525=MappingTables!$C$35),W3525,0))</f>
        <v>0</v>
      </c>
    </row>
    <row r="3526" spans="2:24" s="0" customFormat="0" ht="15">
      <c r="B3526" s="69" t="s">
        <v>2435</v>
      </c>
      <c r="C3526" s="70" t="s">
        <v>2436</v>
      </c>
      <c r="D3526" s="70" t="s">
        <v>1</v>
      </c>
      <c r="E3526" s="70" t="s">
        <v>1</v>
      </c>
      <c r="F3526" s="70"/>
      <c r="G3526" s="70" t="s">
        <v>61</v>
      </c>
      <c r="H3526" s="70" t="s">
        <v>178</v>
      </c>
      <c r="I3526" s="70" t="s">
        <v>198</v>
      </c>
      <c r="J3526" s="71" t="str">
        <f>IF(OR(I3526=0,I3526=""),"unrated",VLOOKUP(I3526,MappingTables!$B$19:$C$31,2,FALSE))</f>
        <v>unrated</v>
      </c>
      <c r="K3526" s="72">
        <v>12421.043365030924</v>
      </c>
      <c r="L3526" s="70">
        <v>4.8122066817004528</v>
      </c>
      <c r="M3526" s="71">
        <f>IF(L3526&lt;1,1,L3526)</f>
        <v>4.8122066817004528</v>
      </c>
      <c r="N3526" s="70" t="s">
        <v>141</v>
      </c>
      <c r="O3526" s="71">
        <f>INDEX(DurClassMapping,MATCH(M3526,MappingTables!$D$4:$D$8,-1),1)</f>
        <v>1</v>
      </c>
      <c r="P3526" s="73">
        <f>IF(M3526=$A$1,1,$M3526-INDEX(MappingTables!$E$4:$E$8,MATCH(O3526,MappingTables!$B$4:$B$8,0)))</f>
        <v>4.8122066817004528</v>
      </c>
      <c r="Q3526" s="71">
        <f>IF(B3526="",0,INDEX(ModelParameters!$D$6:$K$10,MATCH($O3526,ModelParameters!$B$6:$B$10,0),MATCH($J3526,ModelParameters!$D$5:$K$5,0)))</f>
        <v>0.03</v>
      </c>
      <c r="R3526" s="71">
        <f>IF(B3526="",0,INDEX(ModelParameters!$D$13:$K$17,MATCH($O3526,ModelParameters!$B$13:$B$17,0),MATCH($J3526,ModelParameters!$D$5:$K$5,0)))</f>
        <v>0</v>
      </c>
      <c r="S3526" s="160">
        <f>IF(B3526="",0,MIN(IF($N3526="Other Bond TM",ModelParameters!$N$21,1)*(P3526*Q3526+R3526),1))</f>
        <v>0.14436620045101358</v>
      </c>
      <c r="T3526" s="85">
        <f>IF(B3526="",0,$S3526*$K3526)</f>
        <v>1793.1788362467866</v>
      </c>
      <c r="U3526" s="85">
        <f>IF(B3526="",0,IF(OR(H3526=MappingTables!$C$34,H3526=MappingTables!$C$35),T3526,0))</f>
        <v>0</v>
      </c>
      <c r="V3526" s="85">
        <f>IF(ISNA(IF(AND(VLOOKUP(CONCATENATE($D3526,$G3526),CSRFinput!$B:$E,4,0)=0,OR(H3526=MappingTables!$C$34,H3526=MappingTables!$C$35)),1,VLOOKUP(CONCATENATE($D3526,$G3526),CSRFinput!$B:$E,4,0))),0,IF(AND(VLOOKUP(CONCATENATE($D3526,$G3526),CSRFinput!$B:$E,4,0)=0,OR(H3526=MappingTables!$C$34,H3526=MappingTables!$C$35)),1,VLOOKUP(CONCATENATE($D3526,$G3526),CSRFinput!$B:$E,4,0)))</f>
        <v>0.054776304963434752</v>
      </c>
      <c r="W3526" s="85">
        <f>IF(B3526="",0,+$T3526*$V3526)</f>
        <v>98.223710788231024</v>
      </c>
      <c r="X3526" s="85">
        <f>IF(B3526="",0,IF(OR(H3526=MappingTables!$C$34,H3526=MappingTables!$C$35),W3526,0))</f>
        <v>0</v>
      </c>
    </row>
    <row r="3527" spans="2:24" s="0" customFormat="0" ht="15">
      <c r="B3527" s="69">
        <v>20527484</v>
      </c>
      <c r="C3527" s="70" t="s">
        <v>2851</v>
      </c>
      <c r="D3527" s="70" t="s">
        <v>1</v>
      </c>
      <c r="E3527" s="70" t="s">
        <v>1</v>
      </c>
      <c r="F3527" s="70"/>
      <c r="G3527" s="70" t="s">
        <v>61</v>
      </c>
      <c r="H3527" s="70" t="s">
        <v>178</v>
      </c>
      <c r="I3527" s="70" t="s">
        <v>188</v>
      </c>
      <c r="J3527" s="71">
        <f>IF(OR(I3527=0,I3527=""),"unrated",VLOOKUP(I3527,MappingTables!$B$19:$C$31,2,FALSE))</f>
        <v>2</v>
      </c>
      <c r="K3527" s="72">
        <v>2144.3010017022252</v>
      </c>
      <c r="L3527" s="70">
        <v>3.6959234858312936</v>
      </c>
      <c r="M3527" s="71">
        <f>IF(L3527&lt;1,1,L3527)</f>
        <v>3.6959234858312936</v>
      </c>
      <c r="N3527" s="70" t="s">
        <v>141</v>
      </c>
      <c r="O3527" s="71">
        <f>INDEX(DurClassMapping,MATCH(M3527,MappingTables!$D$4:$D$8,-1),1)</f>
        <v>1</v>
      </c>
      <c r="P3527" s="73">
        <f>IF(M3527=$A$1,1,$M3527-INDEX(MappingTables!$E$4:$E$8,MATCH(O3527,MappingTables!$B$4:$B$8,0)))</f>
        <v>3.6959234858312936</v>
      </c>
      <c r="Q3527" s="71">
        <f>IF(B3527="",0,INDEX(ModelParameters!$D$6:$K$10,MATCH($O3527,ModelParameters!$B$6:$B$10,0),MATCH($J3527,ModelParameters!$D$5:$K$5,0)))</f>
        <v>0.013999999999999998</v>
      </c>
      <c r="R3527" s="71">
        <f>IF(B3527="",0,INDEX(ModelParameters!$D$13:$K$17,MATCH($O3527,ModelParameters!$B$13:$B$17,0),MATCH($J3527,ModelParameters!$D$5:$K$5,0)))</f>
        <v>0</v>
      </c>
      <c r="S3527" s="160">
        <f>IF(B3527="",0,MIN(IF($N3527="Other Bond TM",ModelParameters!$N$21,1)*(P3527*Q3527+R3527),1))</f>
        <v>0.051742928801638112</v>
      </c>
      <c r="T3527" s="85">
        <f>IF(B3527="",0,$S3527*$K3527)</f>
        <v>110.95241406035952</v>
      </c>
      <c r="U3527" s="85">
        <f>IF(B3527="",0,IF(OR(H3527=MappingTables!$C$34,H3527=MappingTables!$C$35),T3527,0))</f>
        <v>0</v>
      </c>
      <c r="V3527" s="85">
        <f>IF(ISNA(IF(AND(VLOOKUP(CONCATENATE($D3527,$G3527),CSRFinput!$B:$E,4,0)=0,OR(H3527=MappingTables!$C$34,H3527=MappingTables!$C$35)),1,VLOOKUP(CONCATENATE($D3527,$G3527),CSRFinput!$B:$E,4,0))),0,IF(AND(VLOOKUP(CONCATENATE($D3527,$G3527),CSRFinput!$B:$E,4,0)=0,OR(H3527=MappingTables!$C$34,H3527=MappingTables!$C$35)),1,VLOOKUP(CONCATENATE($D3527,$G3527),CSRFinput!$B:$E,4,0)))</f>
        <v>0.054776304963434752</v>
      </c>
      <c r="W3527" s="85">
        <f>IF(B3527="",0,+$T3527*$V3527)</f>
        <v>6.0775632689995384</v>
      </c>
      <c r="X3527" s="85">
        <f>IF(B3527="",0,IF(OR(H3527=MappingTables!$C$34,H3527=MappingTables!$C$35),W3527,0))</f>
        <v>0</v>
      </c>
    </row>
    <row r="3528" spans="2:24" s="0" customFormat="0" ht="15">
      <c r="B3528" s="69">
        <v>22698144</v>
      </c>
      <c r="C3528" s="70" t="s">
        <v>1314</v>
      </c>
      <c r="D3528" s="70" t="s">
        <v>1</v>
      </c>
      <c r="E3528" s="70" t="s">
        <v>1</v>
      </c>
      <c r="F3528" s="70"/>
      <c r="G3528" s="70" t="s">
        <v>61</v>
      </c>
      <c r="H3528" s="70" t="s">
        <v>178</v>
      </c>
      <c r="I3528" s="70" t="s">
        <v>179</v>
      </c>
      <c r="J3528" s="71">
        <f>IF(OR(I3528=0,I3528=""),"unrated",VLOOKUP(I3528,MappingTables!$B$19:$C$31,2,FALSE))</f>
        <v>4</v>
      </c>
      <c r="K3528" s="72">
        <v>6998.1641864625424</v>
      </c>
      <c r="L3528" s="70">
        <v>1.7154268595194686</v>
      </c>
      <c r="M3528" s="71">
        <f>IF(L3528&lt;1,1,L3528)</f>
        <v>1.7154268595194686</v>
      </c>
      <c r="N3528" s="70" t="s">
        <v>141</v>
      </c>
      <c r="O3528" s="71">
        <f>INDEX(DurClassMapping,MATCH(M3528,MappingTables!$D$4:$D$8,-1),1)</f>
        <v>1</v>
      </c>
      <c r="P3528" s="73">
        <f>IF(M3528=$A$1,1,$M3528-INDEX(MappingTables!$E$4:$E$8,MATCH(O3528,MappingTables!$B$4:$B$8,0)))</f>
        <v>1.7154268595194686</v>
      </c>
      <c r="Q3528" s="71">
        <f>IF(B3528="",0,INDEX(ModelParameters!$D$6:$K$10,MATCH($O3528,ModelParameters!$B$6:$B$10,0),MATCH($J3528,ModelParameters!$D$5:$K$5,0)))</f>
        <v>0.045</v>
      </c>
      <c r="R3528" s="71">
        <f>IF(B3528="",0,INDEX(ModelParameters!$D$13:$K$17,MATCH($O3528,ModelParameters!$B$13:$B$17,0),MATCH($J3528,ModelParameters!$D$5:$K$5,0)))</f>
        <v>0</v>
      </c>
      <c r="S3528" s="160">
        <f>IF(B3528="",0,MIN(IF($N3528="Other Bond TM",ModelParameters!$N$21,1)*(P3528*Q3528+R3528),1))</f>
        <v>0.07719420867837608</v>
      </c>
      <c r="T3528" s="85">
        <f>IF(B3528="",0,$S3528*$K3528)</f>
        <v>540.21774657532752</v>
      </c>
      <c r="U3528" s="85">
        <f>IF(B3528="",0,IF(OR(H3528=MappingTables!$C$34,H3528=MappingTables!$C$35),T3528,0))</f>
        <v>0</v>
      </c>
      <c r="V3528" s="85">
        <f>IF(ISNA(IF(AND(VLOOKUP(CONCATENATE($D3528,$G3528),CSRFinput!$B:$E,4,0)=0,OR(H3528=MappingTables!$C$34,H3528=MappingTables!$C$35)),1,VLOOKUP(CONCATENATE($D3528,$G3528),CSRFinput!$B:$E,4,0))),0,IF(AND(VLOOKUP(CONCATENATE($D3528,$G3528),CSRFinput!$B:$E,4,0)=0,OR(H3528=MappingTables!$C$34,H3528=MappingTables!$C$35)),1,VLOOKUP(CONCATENATE($D3528,$G3528),CSRFinput!$B:$E,4,0)))</f>
        <v>0.054776304963434752</v>
      </c>
      <c r="W3528" s="85">
        <f>IF(B3528="",0,+$T3528*$V3528)</f>
        <v>29.591132033069648</v>
      </c>
      <c r="X3528" s="85">
        <f>IF(B3528="",0,IF(OR(H3528=MappingTables!$C$34,H3528=MappingTables!$C$35),W3528,0))</f>
        <v>0</v>
      </c>
    </row>
    <row r="3529" spans="2:24" s="0" customFormat="0" ht="15">
      <c r="B3529" s="69">
        <v>12782438</v>
      </c>
      <c r="C3529" s="70" t="s">
        <v>710</v>
      </c>
      <c r="D3529" s="70" t="s">
        <v>1</v>
      </c>
      <c r="E3529" s="70" t="s">
        <v>1</v>
      </c>
      <c r="F3529" s="70"/>
      <c r="G3529" s="70" t="s">
        <v>61</v>
      </c>
      <c r="H3529" s="70" t="s">
        <v>178</v>
      </c>
      <c r="I3529" s="70" t="s">
        <v>220</v>
      </c>
      <c r="J3529" s="71">
        <f>IF(OR(I3529=0,I3529=""),"unrated",VLOOKUP(I3529,MappingTables!$B$19:$C$31,2,FALSE))</f>
        <v>1</v>
      </c>
      <c r="K3529" s="72">
        <v>3411.482576700614</v>
      </c>
      <c r="L3529" s="70">
        <v>0.81376736840272176</v>
      </c>
      <c r="M3529" s="71">
        <f>IF(L3529&lt;1,1,L3529)</f>
        <v>1</v>
      </c>
      <c r="N3529" s="70" t="s">
        <v>141</v>
      </c>
      <c r="O3529" s="71">
        <f>INDEX(DurClassMapping,MATCH(M3529,MappingTables!$D$4:$D$8,-1),1)</f>
        <v>1</v>
      </c>
      <c r="P3529" s="73">
        <f>IF(M3529=$A$1,1,$M3529-INDEX(MappingTables!$E$4:$E$8,MATCH(O3529,MappingTables!$B$4:$B$8,0)))</f>
        <v>1</v>
      </c>
      <c r="Q3529" s="71">
        <f>IF(B3529="",0,INDEX(ModelParameters!$D$6:$K$10,MATCH($O3529,ModelParameters!$B$6:$B$10,0),MATCH($J3529,ModelParameters!$D$5:$K$5,0)))</f>
        <v>0.011000000000000002</v>
      </c>
      <c r="R3529" s="71">
        <f>IF(B3529="",0,INDEX(ModelParameters!$D$13:$K$17,MATCH($O3529,ModelParameters!$B$13:$B$17,0),MATCH($J3529,ModelParameters!$D$5:$K$5,0)))</f>
        <v>0</v>
      </c>
      <c r="S3529" s="160">
        <f>IF(B3529="",0,MIN(IF($N3529="Other Bond TM",ModelParameters!$N$21,1)*(P3529*Q3529+R3529),1))</f>
        <v>0.011000000000000002</v>
      </c>
      <c r="T3529" s="85">
        <f>IF(B3529="",0,$S3529*$K3529)</f>
        <v>37.52630834370676</v>
      </c>
      <c r="U3529" s="85">
        <f>IF(B3529="",0,IF(OR(H3529=MappingTables!$C$34,H3529=MappingTables!$C$35),T3529,0))</f>
        <v>0</v>
      </c>
      <c r="V3529" s="85">
        <f>IF(ISNA(IF(AND(VLOOKUP(CONCATENATE($D3529,$G3529),CSRFinput!$B:$E,4,0)=0,OR(H3529=MappingTables!$C$34,H3529=MappingTables!$C$35)),1,VLOOKUP(CONCATENATE($D3529,$G3529),CSRFinput!$B:$E,4,0))),0,IF(AND(VLOOKUP(CONCATENATE($D3529,$G3529),CSRFinput!$B:$E,4,0)=0,OR(H3529=MappingTables!$C$34,H3529=MappingTables!$C$35)),1,VLOOKUP(CONCATENATE($D3529,$G3529),CSRFinput!$B:$E,4,0)))</f>
        <v>0.054776304963434752</v>
      </c>
      <c r="W3529" s="85">
        <f>IF(B3529="",0,+$T3529*$V3529)</f>
        <v>2.0555525099867676</v>
      </c>
      <c r="X3529" s="85">
        <f>IF(B3529="",0,IF(OR(H3529=MappingTables!$C$34,H3529=MappingTables!$C$35),W3529,0))</f>
        <v>0</v>
      </c>
    </row>
    <row r="3530" spans="2:24" s="0" customFormat="0" ht="15">
      <c r="B3530" s="69">
        <v>20861079</v>
      </c>
      <c r="C3530" s="70" t="s">
        <v>1334</v>
      </c>
      <c r="D3530" s="70" t="s">
        <v>1</v>
      </c>
      <c r="E3530" s="70" t="s">
        <v>1</v>
      </c>
      <c r="F3530" s="70"/>
      <c r="G3530" s="70" t="s">
        <v>61</v>
      </c>
      <c r="H3530" s="70" t="s">
        <v>178</v>
      </c>
      <c r="I3530" s="70" t="s">
        <v>179</v>
      </c>
      <c r="J3530" s="71">
        <f>IF(OR(I3530=0,I3530=""),"unrated",VLOOKUP(I3530,MappingTables!$B$19:$C$31,2,FALSE))</f>
        <v>4</v>
      </c>
      <c r="K3530" s="72">
        <v>12680.149874765968</v>
      </c>
      <c r="L3530" s="70">
        <v>7.104430162517012</v>
      </c>
      <c r="M3530" s="71">
        <f>IF(L3530&lt;1,1,L3530)</f>
        <v>7.104430162517012</v>
      </c>
      <c r="N3530" s="70" t="s">
        <v>141</v>
      </c>
      <c r="O3530" s="71">
        <f>INDEX(DurClassMapping,MATCH(M3530,MappingTables!$D$4:$D$8,-1),1)</f>
        <v>2</v>
      </c>
      <c r="P3530" s="73">
        <f>IF(M3530=$A$1,1,$M3530-INDEX(MappingTables!$E$4:$E$8,MATCH(O3530,MappingTables!$B$4:$B$8,0)))</f>
        <v>2.104430162517012</v>
      </c>
      <c r="Q3530" s="71">
        <f>IF(B3530="",0,INDEX(ModelParameters!$D$6:$K$10,MATCH($O3530,ModelParameters!$B$6:$B$10,0),MATCH($J3530,ModelParameters!$D$5:$K$5,0)))</f>
        <v>0.025</v>
      </c>
      <c r="R3530" s="71">
        <f>IF(B3530="",0,INDEX(ModelParameters!$D$13:$K$17,MATCH($O3530,ModelParameters!$B$13:$B$17,0),MATCH($J3530,ModelParameters!$D$5:$K$5,0)))</f>
        <v>0.225</v>
      </c>
      <c r="S3530" s="160">
        <f>IF(B3530="",0,MIN(IF($N3530="Other Bond TM",ModelParameters!$N$21,1)*(P3530*Q3530+R3530),1))</f>
        <v>0.27761075406292528</v>
      </c>
      <c r="T3530" s="85">
        <f>IF(B3530="",0,$S3530*$K3530)</f>
        <v>3520.145968364688</v>
      </c>
      <c r="U3530" s="85">
        <f>IF(B3530="",0,IF(OR(H3530=MappingTables!$C$34,H3530=MappingTables!$C$35),T3530,0))</f>
        <v>0</v>
      </c>
      <c r="V3530" s="85">
        <f>IF(ISNA(IF(AND(VLOOKUP(CONCATENATE($D3530,$G3530),CSRFinput!$B:$E,4,0)=0,OR(H3530=MappingTables!$C$34,H3530=MappingTables!$C$35)),1,VLOOKUP(CONCATENATE($D3530,$G3530),CSRFinput!$B:$E,4,0))),0,IF(AND(VLOOKUP(CONCATENATE($D3530,$G3530),CSRFinput!$B:$E,4,0)=0,OR(H3530=MappingTables!$C$34,H3530=MappingTables!$C$35)),1,VLOOKUP(CONCATENATE($D3530,$G3530),CSRFinput!$B:$E,4,0)))</f>
        <v>0.054776304963434752</v>
      </c>
      <c r="W3530" s="85">
        <f>IF(B3530="",0,+$T3530*$V3530)</f>
        <v>192.82058907894948</v>
      </c>
      <c r="X3530" s="85">
        <f>IF(B3530="",0,IF(OR(H3530=MappingTables!$C$34,H3530=MappingTables!$C$35),W3530,0))</f>
        <v>0</v>
      </c>
    </row>
    <row r="3531" spans="2:24" s="0" customFormat="0" ht="15">
      <c r="B3531" s="69">
        <v>19602322</v>
      </c>
      <c r="C3531" s="70" t="s">
        <v>2874</v>
      </c>
      <c r="D3531" s="70" t="s">
        <v>1</v>
      </c>
      <c r="E3531" s="70" t="s">
        <v>1</v>
      </c>
      <c r="F3531" s="70"/>
      <c r="G3531" s="70" t="s">
        <v>61</v>
      </c>
      <c r="H3531" s="70" t="s">
        <v>178</v>
      </c>
      <c r="I3531" s="70" t="s">
        <v>179</v>
      </c>
      <c r="J3531" s="71">
        <f>IF(OR(I3531=0,I3531=""),"unrated",VLOOKUP(I3531,MappingTables!$B$19:$C$31,2,FALSE))</f>
        <v>4</v>
      </c>
      <c r="K3531" s="72">
        <v>32.01702232821472</v>
      </c>
      <c r="L3531" s="70">
        <v>0.35068516280132472</v>
      </c>
      <c r="M3531" s="71">
        <f>IF(L3531&lt;1,1,L3531)</f>
        <v>1</v>
      </c>
      <c r="N3531" s="70" t="s">
        <v>141</v>
      </c>
      <c r="O3531" s="71">
        <f>INDEX(DurClassMapping,MATCH(M3531,MappingTables!$D$4:$D$8,-1),1)</f>
        <v>1</v>
      </c>
      <c r="P3531" s="73">
        <f>IF(M3531=$A$1,1,$M3531-INDEX(MappingTables!$E$4:$E$8,MATCH(O3531,MappingTables!$B$4:$B$8,0)))</f>
        <v>1</v>
      </c>
      <c r="Q3531" s="71">
        <f>IF(B3531="",0,INDEX(ModelParameters!$D$6:$K$10,MATCH($O3531,ModelParameters!$B$6:$B$10,0),MATCH($J3531,ModelParameters!$D$5:$K$5,0)))</f>
        <v>0.045</v>
      </c>
      <c r="R3531" s="71">
        <f>IF(B3531="",0,INDEX(ModelParameters!$D$13:$K$17,MATCH($O3531,ModelParameters!$B$13:$B$17,0),MATCH($J3531,ModelParameters!$D$5:$K$5,0)))</f>
        <v>0</v>
      </c>
      <c r="S3531" s="160">
        <f>IF(B3531="",0,MIN(IF($N3531="Other Bond TM",ModelParameters!$N$21,1)*(P3531*Q3531+R3531),1))</f>
        <v>0.045</v>
      </c>
      <c r="T3531" s="85">
        <f>IF(B3531="",0,$S3531*$K3531)</f>
        <v>1.4407660047696624</v>
      </c>
      <c r="U3531" s="85">
        <f>IF(B3531="",0,IF(OR(H3531=MappingTables!$C$34,H3531=MappingTables!$C$35),T3531,0))</f>
        <v>0</v>
      </c>
      <c r="V3531" s="85">
        <f>IF(ISNA(IF(AND(VLOOKUP(CONCATENATE($D3531,$G3531),CSRFinput!$B:$E,4,0)=0,OR(H3531=MappingTables!$C$34,H3531=MappingTables!$C$35)),1,VLOOKUP(CONCATENATE($D3531,$G3531),CSRFinput!$B:$E,4,0))),0,IF(AND(VLOOKUP(CONCATENATE($D3531,$G3531),CSRFinput!$B:$E,4,0)=0,OR(H3531=MappingTables!$C$34,H3531=MappingTables!$C$35)),1,VLOOKUP(CONCATENATE($D3531,$G3531),CSRFinput!$B:$E,4,0)))</f>
        <v>0.054776304963434752</v>
      </c>
      <c r="W3531" s="85">
        <f>IF(B3531="",0,+$T3531*$V3531)</f>
        <v>0.078919838058212528</v>
      </c>
      <c r="X3531" s="85">
        <f>IF(B3531="",0,IF(OR(H3531=MappingTables!$C$34,H3531=MappingTables!$C$35),W3531,0))</f>
        <v>0</v>
      </c>
    </row>
    <row r="3532" spans="2:24" s="0" customFormat="0" ht="15">
      <c r="B3532" s="69">
        <v>15307241</v>
      </c>
      <c r="C3532" s="70" t="s">
        <v>2714</v>
      </c>
      <c r="D3532" s="70" t="s">
        <v>1</v>
      </c>
      <c r="E3532" s="70" t="s">
        <v>1</v>
      </c>
      <c r="F3532" s="70"/>
      <c r="G3532" s="70" t="s">
        <v>61</v>
      </c>
      <c r="H3532" s="70" t="s">
        <v>178</v>
      </c>
      <c r="I3532" s="70" t="s">
        <v>188</v>
      </c>
      <c r="J3532" s="71">
        <f>IF(OR(I3532=0,I3532=""),"unrated",VLOOKUP(I3532,MappingTables!$B$19:$C$31,2,FALSE))</f>
        <v>2</v>
      </c>
      <c r="K3532" s="72">
        <v>598.99578887627208</v>
      </c>
      <c r="L3532" s="70">
        <v>1.896558219981508</v>
      </c>
      <c r="M3532" s="71">
        <f>IF(L3532&lt;1,1,L3532)</f>
        <v>1.896558219981508</v>
      </c>
      <c r="N3532" s="70" t="s">
        <v>141</v>
      </c>
      <c r="O3532" s="71">
        <f>INDEX(DurClassMapping,MATCH(M3532,MappingTables!$D$4:$D$8,-1),1)</f>
        <v>1</v>
      </c>
      <c r="P3532" s="73">
        <f>IF(M3532=$A$1,1,$M3532-INDEX(MappingTables!$E$4:$E$8,MATCH(O3532,MappingTables!$B$4:$B$8,0)))</f>
        <v>1.896558219981508</v>
      </c>
      <c r="Q3532" s="71">
        <f>IF(B3532="",0,INDEX(ModelParameters!$D$6:$K$10,MATCH($O3532,ModelParameters!$B$6:$B$10,0),MATCH($J3532,ModelParameters!$D$5:$K$5,0)))</f>
        <v>0.013999999999999998</v>
      </c>
      <c r="R3532" s="71">
        <f>IF(B3532="",0,INDEX(ModelParameters!$D$13:$K$17,MATCH($O3532,ModelParameters!$B$13:$B$17,0),MATCH($J3532,ModelParameters!$D$5:$K$5,0)))</f>
        <v>0</v>
      </c>
      <c r="S3532" s="160">
        <f>IF(B3532="",0,MIN(IF($N3532="Other Bond TM",ModelParameters!$N$21,1)*(P3532*Q3532+R3532),1))</f>
        <v>0.026551815079741108</v>
      </c>
      <c r="T3532" s="85">
        <f>IF(B3532="",0,$S3532*$K3532)</f>
        <v>15.904425419786422</v>
      </c>
      <c r="U3532" s="85">
        <f>IF(B3532="",0,IF(OR(H3532=MappingTables!$C$34,H3532=MappingTables!$C$35),T3532,0))</f>
        <v>0</v>
      </c>
      <c r="V3532" s="85">
        <f>IF(ISNA(IF(AND(VLOOKUP(CONCATENATE($D3532,$G3532),CSRFinput!$B:$E,4,0)=0,OR(H3532=MappingTables!$C$34,H3532=MappingTables!$C$35)),1,VLOOKUP(CONCATENATE($D3532,$G3532),CSRFinput!$B:$E,4,0))),0,IF(AND(VLOOKUP(CONCATENATE($D3532,$G3532),CSRFinput!$B:$E,4,0)=0,OR(H3532=MappingTables!$C$34,H3532=MappingTables!$C$35)),1,VLOOKUP(CONCATENATE($D3532,$G3532),CSRFinput!$B:$E,4,0)))</f>
        <v>0.054776304963434752</v>
      </c>
      <c r="W3532" s="85">
        <f>IF(B3532="",0,+$T3532*$V3532)</f>
        <v>0.87118565706242496</v>
      </c>
      <c r="X3532" s="85">
        <f>IF(B3532="",0,IF(OR(H3532=MappingTables!$C$34,H3532=MappingTables!$C$35),W3532,0))</f>
        <v>0</v>
      </c>
    </row>
    <row r="3533" spans="2:24" s="0" customFormat="0" ht="15">
      <c r="B3533" s="69">
        <v>24423127</v>
      </c>
      <c r="C3533" s="70" t="s">
        <v>2571</v>
      </c>
      <c r="D3533" s="70" t="s">
        <v>1</v>
      </c>
      <c r="E3533" s="70" t="s">
        <v>1</v>
      </c>
      <c r="F3533" s="70"/>
      <c r="G3533" s="70" t="s">
        <v>61</v>
      </c>
      <c r="H3533" s="70" t="s">
        <v>178</v>
      </c>
      <c r="I3533" s="70" t="s">
        <v>181</v>
      </c>
      <c r="J3533" s="71">
        <f>IF(OR(I3533=0,I3533=""),"unrated",VLOOKUP(I3533,MappingTables!$B$19:$C$31,2,FALSE))</f>
        <v>3</v>
      </c>
      <c r="K3533" s="72">
        <v>31051.37457071668</v>
      </c>
      <c r="L3533" s="70">
        <v>6.5035807242451248</v>
      </c>
      <c r="M3533" s="71">
        <f>IF(L3533&lt;1,1,L3533)</f>
        <v>6.5035807242451248</v>
      </c>
      <c r="N3533" s="70" t="s">
        <v>141</v>
      </c>
      <c r="O3533" s="71">
        <f>INDEX(DurClassMapping,MATCH(M3533,MappingTables!$D$4:$D$8,-1),1)</f>
        <v>2</v>
      </c>
      <c r="P3533" s="73">
        <f>IF(M3533=$A$1,1,$M3533-INDEX(MappingTables!$E$4:$E$8,MATCH(O3533,MappingTables!$B$4:$B$8,0)))</f>
        <v>1.5035807242451246</v>
      </c>
      <c r="Q3533" s="71">
        <f>IF(B3533="",0,INDEX(ModelParameters!$D$6:$K$10,MATCH($O3533,ModelParameters!$B$6:$B$10,0),MATCH($J3533,ModelParameters!$D$5:$K$5,0)))</f>
        <v>0.015</v>
      </c>
      <c r="R3533" s="71">
        <f>IF(B3533="",0,INDEX(ModelParameters!$D$13:$K$17,MATCH($O3533,ModelParameters!$B$13:$B$17,0),MATCH($J3533,ModelParameters!$D$5:$K$5,0)))</f>
        <v>0.125</v>
      </c>
      <c r="S3533" s="160">
        <f>IF(B3533="",0,MIN(IF($N3533="Other Bond TM",ModelParameters!$N$21,1)*(P3533*Q3533+R3533),1))</f>
        <v>0.14755371086367686</v>
      </c>
      <c r="T3533" s="85">
        <f>IF(B3533="",0,$S3533*$K3533)</f>
        <v>4581.7455453272568</v>
      </c>
      <c r="U3533" s="85">
        <f>IF(B3533="",0,IF(OR(H3533=MappingTables!$C$34,H3533=MappingTables!$C$35),T3533,0))</f>
        <v>0</v>
      </c>
      <c r="V3533" s="85">
        <f>IF(ISNA(IF(AND(VLOOKUP(CONCATENATE($D3533,$G3533),CSRFinput!$B:$E,4,0)=0,OR(H3533=MappingTables!$C$34,H3533=MappingTables!$C$35)),1,VLOOKUP(CONCATENATE($D3533,$G3533),CSRFinput!$B:$E,4,0))),0,IF(AND(VLOOKUP(CONCATENATE($D3533,$G3533),CSRFinput!$B:$E,4,0)=0,OR(H3533=MappingTables!$C$34,H3533=MappingTables!$C$35)),1,VLOOKUP(CONCATENATE($D3533,$G3533),CSRFinput!$B:$E,4,0)))</f>
        <v>0.054776304963434752</v>
      </c>
      <c r="W3533" s="85">
        <f>IF(B3533="",0,+$T3533*$V3533)</f>
        <v>250.97109125570448</v>
      </c>
      <c r="X3533" s="85">
        <f>IF(B3533="",0,IF(OR(H3533=MappingTables!$C$34,H3533=MappingTables!$C$35),W3533,0))</f>
        <v>0</v>
      </c>
    </row>
    <row r="3534" spans="2:24" s="0" customFormat="0" ht="15">
      <c r="B3534" s="69">
        <v>23482886</v>
      </c>
      <c r="C3534" s="70" t="s">
        <v>2875</v>
      </c>
      <c r="D3534" s="70" t="s">
        <v>1</v>
      </c>
      <c r="E3534" s="70" t="s">
        <v>1</v>
      </c>
      <c r="F3534" s="70"/>
      <c r="G3534" s="70" t="s">
        <v>61</v>
      </c>
      <c r="H3534" s="70" t="s">
        <v>178</v>
      </c>
      <c r="I3534" s="70" t="s">
        <v>179</v>
      </c>
      <c r="J3534" s="71">
        <f>IF(OR(I3534=0,I3534=""),"unrated",VLOOKUP(I3534,MappingTables!$B$19:$C$31,2,FALSE))</f>
        <v>4</v>
      </c>
      <c r="K3534" s="72">
        <v>3251.8800886133884</v>
      </c>
      <c r="L3534" s="70">
        <v>3.0409432445804488</v>
      </c>
      <c r="M3534" s="71">
        <f>IF(L3534&lt;1,1,L3534)</f>
        <v>3.0409432445804488</v>
      </c>
      <c r="N3534" s="70" t="s">
        <v>141</v>
      </c>
      <c r="O3534" s="71">
        <f>INDEX(DurClassMapping,MATCH(M3534,MappingTables!$D$4:$D$8,-1),1)</f>
        <v>1</v>
      </c>
      <c r="P3534" s="73">
        <f>IF(M3534=$A$1,1,$M3534-INDEX(MappingTables!$E$4:$E$8,MATCH(O3534,MappingTables!$B$4:$B$8,0)))</f>
        <v>3.0409432445804488</v>
      </c>
      <c r="Q3534" s="71">
        <f>IF(B3534="",0,INDEX(ModelParameters!$D$6:$K$10,MATCH($O3534,ModelParameters!$B$6:$B$10,0),MATCH($J3534,ModelParameters!$D$5:$K$5,0)))</f>
        <v>0.045</v>
      </c>
      <c r="R3534" s="71">
        <f>IF(B3534="",0,INDEX(ModelParameters!$D$13:$K$17,MATCH($O3534,ModelParameters!$B$13:$B$17,0),MATCH($J3534,ModelParameters!$D$5:$K$5,0)))</f>
        <v>0</v>
      </c>
      <c r="S3534" s="160">
        <f>IF(B3534="",0,MIN(IF($N3534="Other Bond TM",ModelParameters!$N$21,1)*(P3534*Q3534+R3534),1))</f>
        <v>0.1368424460061202</v>
      </c>
      <c r="T3534" s="85">
        <f>IF(B3534="",0,$S3534*$K3534)</f>
        <v>444.99522544445504</v>
      </c>
      <c r="U3534" s="85">
        <f>IF(B3534="",0,IF(OR(H3534=MappingTables!$C$34,H3534=MappingTables!$C$35),T3534,0))</f>
        <v>0</v>
      </c>
      <c r="V3534" s="85">
        <f>IF(ISNA(IF(AND(VLOOKUP(CONCATENATE($D3534,$G3534),CSRFinput!$B:$E,4,0)=0,OR(H3534=MappingTables!$C$34,H3534=MappingTables!$C$35)),1,VLOOKUP(CONCATENATE($D3534,$G3534),CSRFinput!$B:$E,4,0))),0,IF(AND(VLOOKUP(CONCATENATE($D3534,$G3534),CSRFinput!$B:$E,4,0)=0,OR(H3534=MappingTables!$C$34,H3534=MappingTables!$C$35)),1,VLOOKUP(CONCATENATE($D3534,$G3534),CSRFinput!$B:$E,4,0)))</f>
        <v>0.054776304963434752</v>
      </c>
      <c r="W3534" s="85">
        <f>IF(B3534="",0,+$T3534*$V3534)</f>
        <v>24.375194176217868</v>
      </c>
      <c r="X3534" s="85">
        <f>IF(B3534="",0,IF(OR(H3534=MappingTables!$C$34,H3534=MappingTables!$C$35),W3534,0))</f>
        <v>0</v>
      </c>
    </row>
    <row r="3535" spans="2:24" s="0" customFormat="0" ht="15">
      <c r="B3535" s="69">
        <v>22926236</v>
      </c>
      <c r="C3535" s="70" t="s">
        <v>2876</v>
      </c>
      <c r="D3535" s="70" t="s">
        <v>1</v>
      </c>
      <c r="E3535" s="70" t="s">
        <v>1</v>
      </c>
      <c r="F3535" s="70"/>
      <c r="G3535" s="70" t="s">
        <v>61</v>
      </c>
      <c r="H3535" s="70" t="s">
        <v>178</v>
      </c>
      <c r="I3535" s="70" t="s">
        <v>181</v>
      </c>
      <c r="J3535" s="71">
        <f>IF(OR(I3535=0,I3535=""),"unrated",VLOOKUP(I3535,MappingTables!$B$19:$C$31,2,FALSE))</f>
        <v>3</v>
      </c>
      <c r="K3535" s="72">
        <v>6511.4431978685136</v>
      </c>
      <c r="L3535" s="70">
        <v>5.6341910989004192</v>
      </c>
      <c r="M3535" s="71">
        <f>IF(L3535&lt;1,1,L3535)</f>
        <v>5.6341910989004192</v>
      </c>
      <c r="N3535" s="70" t="s">
        <v>141</v>
      </c>
      <c r="O3535" s="71">
        <f>INDEX(DurClassMapping,MATCH(M3535,MappingTables!$D$4:$D$8,-1),1)</f>
        <v>2</v>
      </c>
      <c r="P3535" s="73">
        <f>IF(M3535=$A$1,1,$M3535-INDEX(MappingTables!$E$4:$E$8,MATCH(O3535,MappingTables!$B$4:$B$8,0)))</f>
        <v>0.63419109890041888</v>
      </c>
      <c r="Q3535" s="71">
        <f>IF(B3535="",0,INDEX(ModelParameters!$D$6:$K$10,MATCH($O3535,ModelParameters!$B$6:$B$10,0),MATCH($J3535,ModelParameters!$D$5:$K$5,0)))</f>
        <v>0.015</v>
      </c>
      <c r="R3535" s="71">
        <f>IF(B3535="",0,INDEX(ModelParameters!$D$13:$K$17,MATCH($O3535,ModelParameters!$B$13:$B$17,0),MATCH($J3535,ModelParameters!$D$5:$K$5,0)))</f>
        <v>0.125</v>
      </c>
      <c r="S3535" s="160">
        <f>IF(B3535="",0,MIN(IF($N3535="Other Bond TM",ModelParameters!$N$21,1)*(P3535*Q3535+R3535),1))</f>
        <v>0.13451286648350628</v>
      </c>
      <c r="T3535" s="85">
        <f>IF(B3535="",0,$S3535*$K3535)</f>
        <v>875.8728894898224</v>
      </c>
      <c r="U3535" s="85">
        <f>IF(B3535="",0,IF(OR(H3535=MappingTables!$C$34,H3535=MappingTables!$C$35),T3535,0))</f>
        <v>0</v>
      </c>
      <c r="V3535" s="85">
        <f>IF(ISNA(IF(AND(VLOOKUP(CONCATENATE($D3535,$G3535),CSRFinput!$B:$E,4,0)=0,OR(H3535=MappingTables!$C$34,H3535=MappingTables!$C$35)),1,VLOOKUP(CONCATENATE($D3535,$G3535),CSRFinput!$B:$E,4,0))),0,IF(AND(VLOOKUP(CONCATENATE($D3535,$G3535),CSRFinput!$B:$E,4,0)=0,OR(H3535=MappingTables!$C$34,H3535=MappingTables!$C$35)),1,VLOOKUP(CONCATENATE($D3535,$G3535),CSRFinput!$B:$E,4,0)))</f>
        <v>0.054776304963434752</v>
      </c>
      <c r="W3535" s="85">
        <f>IF(B3535="",0,+$T3535*$V3535)</f>
        <v>47.977080503899304</v>
      </c>
      <c r="X3535" s="85">
        <f>IF(B3535="",0,IF(OR(H3535=MappingTables!$C$34,H3535=MappingTables!$C$35),W3535,0))</f>
        <v>0</v>
      </c>
    </row>
    <row r="3536" spans="2:24" s="0" customFormat="0" ht="15">
      <c r="B3536" s="69">
        <v>21301521</v>
      </c>
      <c r="C3536" s="70" t="s">
        <v>2847</v>
      </c>
      <c r="D3536" s="70" t="s">
        <v>1</v>
      </c>
      <c r="E3536" s="70" t="s">
        <v>1</v>
      </c>
      <c r="F3536" s="70"/>
      <c r="G3536" s="70" t="s">
        <v>61</v>
      </c>
      <c r="H3536" s="70" t="s">
        <v>178</v>
      </c>
      <c r="I3536" s="70" t="s">
        <v>216</v>
      </c>
      <c r="J3536" s="71">
        <f>IF(OR(I3536=0,I3536=""),"unrated",VLOOKUP(I3536,MappingTables!$B$19:$C$31,2,FALSE))</f>
        <v>0</v>
      </c>
      <c r="K3536" s="72">
        <v>935.49857145713152</v>
      </c>
      <c r="L3536" s="70">
        <v>0.59673006172387656</v>
      </c>
      <c r="M3536" s="71">
        <f>IF(L3536&lt;1,1,L3536)</f>
        <v>1</v>
      </c>
      <c r="N3536" s="70" t="s">
        <v>141</v>
      </c>
      <c r="O3536" s="71">
        <f>INDEX(DurClassMapping,MATCH(M3536,MappingTables!$D$4:$D$8,-1),1)</f>
        <v>1</v>
      </c>
      <c r="P3536" s="73">
        <f>IF(M3536=$A$1,1,$M3536-INDEX(MappingTables!$E$4:$E$8,MATCH(O3536,MappingTables!$B$4:$B$8,0)))</f>
        <v>1</v>
      </c>
      <c r="Q3536" s="71">
        <f>IF(B3536="",0,INDEX(ModelParameters!$D$6:$K$10,MATCH($O3536,ModelParameters!$B$6:$B$10,0),MATCH($J3536,ModelParameters!$D$5:$K$5,0)))</f>
        <v>0.0090000000000000016</v>
      </c>
      <c r="R3536" s="71">
        <f>IF(B3536="",0,INDEX(ModelParameters!$D$13:$K$17,MATCH($O3536,ModelParameters!$B$13:$B$17,0),MATCH($J3536,ModelParameters!$D$5:$K$5,0)))</f>
        <v>0</v>
      </c>
      <c r="S3536" s="160">
        <f>IF(B3536="",0,MIN(IF($N3536="Other Bond TM",ModelParameters!$N$21,1)*(P3536*Q3536+R3536),1))</f>
        <v>0.0090000000000000016</v>
      </c>
      <c r="T3536" s="85">
        <f>IF(B3536="",0,$S3536*$K3536)</f>
        <v>8.4194871431141856</v>
      </c>
      <c r="U3536" s="85">
        <f>IF(B3536="",0,IF(OR(H3536=MappingTables!$C$34,H3536=MappingTables!$C$35),T3536,0))</f>
        <v>0</v>
      </c>
      <c r="V3536" s="85">
        <f>IF(ISNA(IF(AND(VLOOKUP(CONCATENATE($D3536,$G3536),CSRFinput!$B:$E,4,0)=0,OR(H3536=MappingTables!$C$34,H3536=MappingTables!$C$35)),1,VLOOKUP(CONCATENATE($D3536,$G3536),CSRFinput!$B:$E,4,0))),0,IF(AND(VLOOKUP(CONCATENATE($D3536,$G3536),CSRFinput!$B:$E,4,0)=0,OR(H3536=MappingTables!$C$34,H3536=MappingTables!$C$35)),1,VLOOKUP(CONCATENATE($D3536,$G3536),CSRFinput!$B:$E,4,0)))</f>
        <v>0.054776304963434752</v>
      </c>
      <c r="W3536" s="85">
        <f>IF(B3536="",0,+$T3536*$V3536)</f>
        <v>0.46118839538694064</v>
      </c>
      <c r="X3536" s="85">
        <f>IF(B3536="",0,IF(OR(H3536=MappingTables!$C$34,H3536=MappingTables!$C$35),W3536,0))</f>
        <v>0</v>
      </c>
    </row>
    <row r="3537" spans="2:24" s="0" customFormat="0" ht="15">
      <c r="B3537" s="69">
        <v>6842237</v>
      </c>
      <c r="C3537" s="70" t="s">
        <v>2877</v>
      </c>
      <c r="D3537" s="70" t="s">
        <v>1</v>
      </c>
      <c r="E3537" s="70" t="s">
        <v>1</v>
      </c>
      <c r="F3537" s="70"/>
      <c r="G3537" s="70" t="s">
        <v>61</v>
      </c>
      <c r="H3537" s="70" t="s">
        <v>178</v>
      </c>
      <c r="I3537" s="70" t="s">
        <v>181</v>
      </c>
      <c r="J3537" s="71">
        <f>IF(OR(I3537=0,I3537=""),"unrated",VLOOKUP(I3537,MappingTables!$B$19:$C$31,2,FALSE))</f>
        <v>3</v>
      </c>
      <c r="K3537" s="72">
        <v>847.07878841593632</v>
      </c>
      <c r="L3537" s="70">
        <v>3.365815367781736</v>
      </c>
      <c r="M3537" s="71">
        <f>IF(L3537&lt;1,1,L3537)</f>
        <v>3.365815367781736</v>
      </c>
      <c r="N3537" s="70" t="s">
        <v>141</v>
      </c>
      <c r="O3537" s="71">
        <f>INDEX(DurClassMapping,MATCH(M3537,MappingTables!$D$4:$D$8,-1),1)</f>
        <v>1</v>
      </c>
      <c r="P3537" s="73">
        <f>IF(M3537=$A$1,1,$M3537-INDEX(MappingTables!$E$4:$E$8,MATCH(O3537,MappingTables!$B$4:$B$8,0)))</f>
        <v>3.365815367781736</v>
      </c>
      <c r="Q3537" s="71">
        <f>IF(B3537="",0,INDEX(ModelParameters!$D$6:$K$10,MATCH($O3537,ModelParameters!$B$6:$B$10,0),MATCH($J3537,ModelParameters!$D$5:$K$5,0)))</f>
        <v>0.025</v>
      </c>
      <c r="R3537" s="71">
        <f>IF(B3537="",0,INDEX(ModelParameters!$D$13:$K$17,MATCH($O3537,ModelParameters!$B$13:$B$17,0),MATCH($J3537,ModelParameters!$D$5:$K$5,0)))</f>
        <v>0</v>
      </c>
      <c r="S3537" s="160">
        <f>IF(B3537="",0,MIN(IF($N3537="Other Bond TM",ModelParameters!$N$21,1)*(P3537*Q3537+R3537),1))</f>
        <v>0.084145384194543408</v>
      </c>
      <c r="T3537" s="85">
        <f>IF(B3537="",0,$S3537*$K3537)</f>
        <v>71.277770094307312</v>
      </c>
      <c r="U3537" s="85">
        <f>IF(B3537="",0,IF(OR(H3537=MappingTables!$C$34,H3537=MappingTables!$C$35),T3537,0))</f>
        <v>0</v>
      </c>
      <c r="V3537" s="85">
        <f>IF(ISNA(IF(AND(VLOOKUP(CONCATENATE($D3537,$G3537),CSRFinput!$B:$E,4,0)=0,OR(H3537=MappingTables!$C$34,H3537=MappingTables!$C$35)),1,VLOOKUP(CONCATENATE($D3537,$G3537),CSRFinput!$B:$E,4,0))),0,IF(AND(VLOOKUP(CONCATENATE($D3537,$G3537),CSRFinput!$B:$E,4,0)=0,OR(H3537=MappingTables!$C$34,H3537=MappingTables!$C$35)),1,VLOOKUP(CONCATENATE($D3537,$G3537),CSRFinput!$B:$E,4,0)))</f>
        <v>0.054776304963434752</v>
      </c>
      <c r="W3537" s="85">
        <f>IF(B3537="",0,+$T3537*$V3537)</f>
        <v>3.9043328717993672</v>
      </c>
      <c r="X3537" s="85">
        <f>IF(B3537="",0,IF(OR(H3537=MappingTables!$C$34,H3537=MappingTables!$C$35),W3537,0))</f>
        <v>0</v>
      </c>
    </row>
    <row r="3538" spans="2:24" s="0" customFormat="0" ht="15">
      <c r="B3538" s="69" t="s">
        <v>1241</v>
      </c>
      <c r="C3538" s="70" t="s">
        <v>1242</v>
      </c>
      <c r="D3538" s="70" t="s">
        <v>1</v>
      </c>
      <c r="E3538" s="70" t="s">
        <v>1</v>
      </c>
      <c r="F3538" s="70"/>
      <c r="G3538" s="70" t="s">
        <v>61</v>
      </c>
      <c r="H3538" s="70" t="s">
        <v>178</v>
      </c>
      <c r="I3538" s="70" t="s">
        <v>198</v>
      </c>
      <c r="J3538" s="71" t="str">
        <f>IF(OR(I3538=0,I3538=""),"unrated",VLOOKUP(I3538,MappingTables!$B$19:$C$31,2,FALSE))</f>
        <v>unrated</v>
      </c>
      <c r="K3538" s="72">
        <v>0.451195038726474</v>
      </c>
      <c r="L3538" s="70">
        <v>0.1863005592564438</v>
      </c>
      <c r="M3538" s="71">
        <f>IF(L3538&lt;1,1,L3538)</f>
        <v>1</v>
      </c>
      <c r="N3538" s="70" t="s">
        <v>141</v>
      </c>
      <c r="O3538" s="71">
        <f>INDEX(DurClassMapping,MATCH(M3538,MappingTables!$D$4:$D$8,-1),1)</f>
        <v>1</v>
      </c>
      <c r="P3538" s="73">
        <f>IF(M3538=$A$1,1,$M3538-INDEX(MappingTables!$E$4:$E$8,MATCH(O3538,MappingTables!$B$4:$B$8,0)))</f>
        <v>1</v>
      </c>
      <c r="Q3538" s="71">
        <f>IF(B3538="",0,INDEX(ModelParameters!$D$6:$K$10,MATCH($O3538,ModelParameters!$B$6:$B$10,0),MATCH($J3538,ModelParameters!$D$5:$K$5,0)))</f>
        <v>0.03</v>
      </c>
      <c r="R3538" s="71">
        <f>IF(B3538="",0,INDEX(ModelParameters!$D$13:$K$17,MATCH($O3538,ModelParameters!$B$13:$B$17,0),MATCH($J3538,ModelParameters!$D$5:$K$5,0)))</f>
        <v>0</v>
      </c>
      <c r="S3538" s="160">
        <f>IF(B3538="",0,MIN(IF($N3538="Other Bond TM",ModelParameters!$N$21,1)*(P3538*Q3538+R3538),1))</f>
        <v>0.03</v>
      </c>
      <c r="T3538" s="85">
        <f>IF(B3538="",0,$S3538*$K3538)</f>
        <v>0.013535851161794218</v>
      </c>
      <c r="U3538" s="85">
        <f>IF(B3538="",0,IF(OR(H3538=MappingTables!$C$34,H3538=MappingTables!$C$35),T3538,0))</f>
        <v>0</v>
      </c>
      <c r="V3538" s="85">
        <f>IF(ISNA(IF(AND(VLOOKUP(CONCATENATE($D3538,$G3538),CSRFinput!$B:$E,4,0)=0,OR(H3538=MappingTables!$C$34,H3538=MappingTables!$C$35)),1,VLOOKUP(CONCATENATE($D3538,$G3538),CSRFinput!$B:$E,4,0))),0,IF(AND(VLOOKUP(CONCATENATE($D3538,$G3538),CSRFinput!$B:$E,4,0)=0,OR(H3538=MappingTables!$C$34,H3538=MappingTables!$C$35)),1,VLOOKUP(CONCATENATE($D3538,$G3538),CSRFinput!$B:$E,4,0)))</f>
        <v>0.054776304963434752</v>
      </c>
      <c r="W3538" s="85">
        <f>IF(B3538="",0,+$T3538*$V3538)</f>
        <v>0.00074144391117810272</v>
      </c>
      <c r="X3538" s="85">
        <f>IF(B3538="",0,IF(OR(H3538=MappingTables!$C$34,H3538=MappingTables!$C$35),W3538,0))</f>
        <v>0</v>
      </c>
    </row>
    <row r="3539" spans="2:24" s="0" customFormat="0" ht="15">
      <c r="B3539" s="69">
        <v>16588743</v>
      </c>
      <c r="C3539" s="70" t="s">
        <v>1519</v>
      </c>
      <c r="D3539" s="70" t="s">
        <v>1</v>
      </c>
      <c r="E3539" s="70" t="s">
        <v>1</v>
      </c>
      <c r="F3539" s="70"/>
      <c r="G3539" s="70" t="s">
        <v>61</v>
      </c>
      <c r="H3539" s="70" t="s">
        <v>178</v>
      </c>
      <c r="I3539" s="70" t="s">
        <v>188</v>
      </c>
      <c r="J3539" s="71">
        <f>IF(OR(I3539=0,I3539=""),"unrated",VLOOKUP(I3539,MappingTables!$B$19:$C$31,2,FALSE))</f>
        <v>2</v>
      </c>
      <c r="K3539" s="72">
        <v>88.171015121293328</v>
      </c>
      <c r="L3539" s="70">
        <v>0.33924163055013072</v>
      </c>
      <c r="M3539" s="71">
        <f>IF(L3539&lt;1,1,L3539)</f>
        <v>1</v>
      </c>
      <c r="N3539" s="70" t="s">
        <v>141</v>
      </c>
      <c r="O3539" s="71">
        <f>INDEX(DurClassMapping,MATCH(M3539,MappingTables!$D$4:$D$8,-1),1)</f>
        <v>1</v>
      </c>
      <c r="P3539" s="73">
        <f>IF(M3539=$A$1,1,$M3539-INDEX(MappingTables!$E$4:$E$8,MATCH(O3539,MappingTables!$B$4:$B$8,0)))</f>
        <v>1</v>
      </c>
      <c r="Q3539" s="71">
        <f>IF(B3539="",0,INDEX(ModelParameters!$D$6:$K$10,MATCH($O3539,ModelParameters!$B$6:$B$10,0),MATCH($J3539,ModelParameters!$D$5:$K$5,0)))</f>
        <v>0.013999999999999998</v>
      </c>
      <c r="R3539" s="71">
        <f>IF(B3539="",0,INDEX(ModelParameters!$D$13:$K$17,MATCH($O3539,ModelParameters!$B$13:$B$17,0),MATCH($J3539,ModelParameters!$D$5:$K$5,0)))</f>
        <v>0</v>
      </c>
      <c r="S3539" s="160">
        <f>IF(B3539="",0,MIN(IF($N3539="Other Bond TM",ModelParameters!$N$21,1)*(P3539*Q3539+R3539),1))</f>
        <v>0.013999999999999998</v>
      </c>
      <c r="T3539" s="85">
        <f>IF(B3539="",0,$S3539*$K3539)</f>
        <v>1.2343942116981064</v>
      </c>
      <c r="U3539" s="85">
        <f>IF(B3539="",0,IF(OR(H3539=MappingTables!$C$34,H3539=MappingTables!$C$35),T3539,0))</f>
        <v>0</v>
      </c>
      <c r="V3539" s="85">
        <f>IF(ISNA(IF(AND(VLOOKUP(CONCATENATE($D3539,$G3539),CSRFinput!$B:$E,4,0)=0,OR(H3539=MappingTables!$C$34,H3539=MappingTables!$C$35)),1,VLOOKUP(CONCATENATE($D3539,$G3539),CSRFinput!$B:$E,4,0))),0,IF(AND(VLOOKUP(CONCATENATE($D3539,$G3539),CSRFinput!$B:$E,4,0)=0,OR(H3539=MappingTables!$C$34,H3539=MappingTables!$C$35)),1,VLOOKUP(CONCATENATE($D3539,$G3539),CSRFinput!$B:$E,4,0)))</f>
        <v>0.054776304963434752</v>
      </c>
      <c r="W3539" s="85">
        <f>IF(B3539="",0,+$T3539*$V3539)</f>
        <v>0.067615553785074112</v>
      </c>
      <c r="X3539" s="85">
        <f>IF(B3539="",0,IF(OR(H3539=MappingTables!$C$34,H3539=MappingTables!$C$35),W3539,0))</f>
        <v>0</v>
      </c>
    </row>
    <row r="3540" spans="2:24" s="0" customFormat="0" ht="15">
      <c r="B3540" s="69">
        <v>19622097</v>
      </c>
      <c r="C3540" s="70" t="s">
        <v>2828</v>
      </c>
      <c r="D3540" s="70" t="s">
        <v>1</v>
      </c>
      <c r="E3540" s="70" t="s">
        <v>1</v>
      </c>
      <c r="F3540" s="70"/>
      <c r="G3540" s="70" t="s">
        <v>61</v>
      </c>
      <c r="H3540" s="70" t="s">
        <v>178</v>
      </c>
      <c r="I3540" s="70" t="s">
        <v>220</v>
      </c>
      <c r="J3540" s="71">
        <f>IF(OR(I3540=0,I3540=""),"unrated",VLOOKUP(I3540,MappingTables!$B$19:$C$31,2,FALSE))</f>
        <v>1</v>
      </c>
      <c r="K3540" s="72">
        <v>179.69343012675706</v>
      </c>
      <c r="L3540" s="70">
        <v>0.22465698457535116</v>
      </c>
      <c r="M3540" s="71">
        <f>IF(L3540&lt;1,1,L3540)</f>
        <v>1</v>
      </c>
      <c r="N3540" s="70" t="s">
        <v>141</v>
      </c>
      <c r="O3540" s="71">
        <f>INDEX(DurClassMapping,MATCH(M3540,MappingTables!$D$4:$D$8,-1),1)</f>
        <v>1</v>
      </c>
      <c r="P3540" s="73">
        <f>IF(M3540=$A$1,1,$M3540-INDEX(MappingTables!$E$4:$E$8,MATCH(O3540,MappingTables!$B$4:$B$8,0)))</f>
        <v>1</v>
      </c>
      <c r="Q3540" s="71">
        <f>IF(B3540="",0,INDEX(ModelParameters!$D$6:$K$10,MATCH($O3540,ModelParameters!$B$6:$B$10,0),MATCH($J3540,ModelParameters!$D$5:$K$5,0)))</f>
        <v>0.011000000000000002</v>
      </c>
      <c r="R3540" s="71">
        <f>IF(B3540="",0,INDEX(ModelParameters!$D$13:$K$17,MATCH($O3540,ModelParameters!$B$13:$B$17,0),MATCH($J3540,ModelParameters!$D$5:$K$5,0)))</f>
        <v>0</v>
      </c>
      <c r="S3540" s="160">
        <f>IF(B3540="",0,MIN(IF($N3540="Other Bond TM",ModelParameters!$N$21,1)*(P3540*Q3540+R3540),1))</f>
        <v>0.011000000000000002</v>
      </c>
      <c r="T3540" s="85">
        <f>IF(B3540="",0,$S3540*$K3540)</f>
        <v>1.9766277313943276</v>
      </c>
      <c r="U3540" s="85">
        <f>IF(B3540="",0,IF(OR(H3540=MappingTables!$C$34,H3540=MappingTables!$C$35),T3540,0))</f>
        <v>0</v>
      </c>
      <c r="V3540" s="85">
        <f>IF(ISNA(IF(AND(VLOOKUP(CONCATENATE($D3540,$G3540),CSRFinput!$B:$E,4,0)=0,OR(H3540=MappingTables!$C$34,H3540=MappingTables!$C$35)),1,VLOOKUP(CONCATENATE($D3540,$G3540),CSRFinput!$B:$E,4,0))),0,IF(AND(VLOOKUP(CONCATENATE($D3540,$G3540),CSRFinput!$B:$E,4,0)=0,OR(H3540=MappingTables!$C$34,H3540=MappingTables!$C$35)),1,VLOOKUP(CONCATENATE($D3540,$G3540),CSRFinput!$B:$E,4,0)))</f>
        <v>0.054776304963434752</v>
      </c>
      <c r="W3540" s="85">
        <f>IF(B3540="",0,+$T3540*$V3540)</f>
        <v>0.10827236341403788</v>
      </c>
      <c r="X3540" s="85">
        <f>IF(B3540="",0,IF(OR(H3540=MappingTables!$C$34,H3540=MappingTables!$C$35),W3540,0))</f>
        <v>0</v>
      </c>
    </row>
    <row r="3541" spans="2:24" s="0" customFormat="0" ht="15">
      <c r="B3541" s="69">
        <v>23043029</v>
      </c>
      <c r="C3541" s="70" t="s">
        <v>518</v>
      </c>
      <c r="D3541" s="70" t="s">
        <v>1</v>
      </c>
      <c r="E3541" s="70" t="s">
        <v>1</v>
      </c>
      <c r="F3541" s="70"/>
      <c r="G3541" s="70" t="s">
        <v>61</v>
      </c>
      <c r="H3541" s="70" t="s">
        <v>178</v>
      </c>
      <c r="I3541" s="70" t="s">
        <v>188</v>
      </c>
      <c r="J3541" s="71">
        <f>IF(OR(I3541=0,I3541=""),"unrated",VLOOKUP(I3541,MappingTables!$B$19:$C$31,2,FALSE))</f>
        <v>2</v>
      </c>
      <c r="K3541" s="72">
        <v>6849.5478740511152</v>
      </c>
      <c r="L3541" s="70">
        <v>2.3270234232562</v>
      </c>
      <c r="M3541" s="71">
        <f>IF(L3541&lt;1,1,L3541)</f>
        <v>2.3270234232562</v>
      </c>
      <c r="N3541" s="70" t="s">
        <v>141</v>
      </c>
      <c r="O3541" s="71">
        <f>INDEX(DurClassMapping,MATCH(M3541,MappingTables!$D$4:$D$8,-1),1)</f>
        <v>1</v>
      </c>
      <c r="P3541" s="73">
        <f>IF(M3541=$A$1,1,$M3541-INDEX(MappingTables!$E$4:$E$8,MATCH(O3541,MappingTables!$B$4:$B$8,0)))</f>
        <v>2.3270234232562</v>
      </c>
      <c r="Q3541" s="71">
        <f>IF(B3541="",0,INDEX(ModelParameters!$D$6:$K$10,MATCH($O3541,ModelParameters!$B$6:$B$10,0),MATCH($J3541,ModelParameters!$D$5:$K$5,0)))</f>
        <v>0.013999999999999998</v>
      </c>
      <c r="R3541" s="71">
        <f>IF(B3541="",0,INDEX(ModelParameters!$D$13:$K$17,MATCH($O3541,ModelParameters!$B$13:$B$17,0),MATCH($J3541,ModelParameters!$D$5:$K$5,0)))</f>
        <v>0</v>
      </c>
      <c r="S3541" s="160">
        <f>IF(B3541="",0,MIN(IF($N3541="Other Bond TM",ModelParameters!$N$21,1)*(P3541*Q3541+R3541),1))</f>
        <v>0.0325783279255868</v>
      </c>
      <c r="T3541" s="85">
        <f>IF(B3541="",0,$S3541*$K3541)</f>
        <v>223.14681678284312</v>
      </c>
      <c r="U3541" s="85">
        <f>IF(B3541="",0,IF(OR(H3541=MappingTables!$C$34,H3541=MappingTables!$C$35),T3541,0))</f>
        <v>0</v>
      </c>
      <c r="V3541" s="85">
        <f>IF(ISNA(IF(AND(VLOOKUP(CONCATENATE($D3541,$G3541),CSRFinput!$B:$E,4,0)=0,OR(H3541=MappingTables!$C$34,H3541=MappingTables!$C$35)),1,VLOOKUP(CONCATENATE($D3541,$G3541),CSRFinput!$B:$E,4,0))),0,IF(AND(VLOOKUP(CONCATENATE($D3541,$G3541),CSRFinput!$B:$E,4,0)=0,OR(H3541=MappingTables!$C$34,H3541=MappingTables!$C$35)),1,VLOOKUP(CONCATENATE($D3541,$G3541),CSRFinput!$B:$E,4,0)))</f>
        <v>0.054776304963434752</v>
      </c>
      <c r="W3541" s="85">
        <f>IF(B3541="",0,+$T3541*$V3541)</f>
        <v>12.223158087716716</v>
      </c>
      <c r="X3541" s="85">
        <f>IF(B3541="",0,IF(OR(H3541=MappingTables!$C$34,H3541=MappingTables!$C$35),W3541,0))</f>
        <v>0</v>
      </c>
    </row>
    <row r="3542" spans="2:24" s="0" customFormat="0" ht="15">
      <c r="B3542" s="69">
        <v>17985727</v>
      </c>
      <c r="C3542" s="70" t="s">
        <v>2878</v>
      </c>
      <c r="D3542" s="70" t="s">
        <v>1</v>
      </c>
      <c r="E3542" s="70" t="s">
        <v>1</v>
      </c>
      <c r="F3542" s="70"/>
      <c r="G3542" s="70" t="s">
        <v>61</v>
      </c>
      <c r="H3542" s="70" t="s">
        <v>178</v>
      </c>
      <c r="I3542" s="70" t="s">
        <v>181</v>
      </c>
      <c r="J3542" s="71">
        <f>IF(OR(I3542=0,I3542=""),"unrated",VLOOKUP(I3542,MappingTables!$B$19:$C$31,2,FALSE))</f>
        <v>3</v>
      </c>
      <c r="K3542" s="72">
        <v>979.6613238231616</v>
      </c>
      <c r="L3542" s="70">
        <v>3.7604092034336848</v>
      </c>
      <c r="M3542" s="71">
        <f>IF(L3542&lt;1,1,L3542)</f>
        <v>3.7604092034336848</v>
      </c>
      <c r="N3542" s="70" t="s">
        <v>141</v>
      </c>
      <c r="O3542" s="71">
        <f>INDEX(DurClassMapping,MATCH(M3542,MappingTables!$D$4:$D$8,-1),1)</f>
        <v>1</v>
      </c>
      <c r="P3542" s="73">
        <f>IF(M3542=$A$1,1,$M3542-INDEX(MappingTables!$E$4:$E$8,MATCH(O3542,MappingTables!$B$4:$B$8,0)))</f>
        <v>3.7604092034336848</v>
      </c>
      <c r="Q3542" s="71">
        <f>IF(B3542="",0,INDEX(ModelParameters!$D$6:$K$10,MATCH($O3542,ModelParameters!$B$6:$B$10,0),MATCH($J3542,ModelParameters!$D$5:$K$5,0)))</f>
        <v>0.025</v>
      </c>
      <c r="R3542" s="71">
        <f>IF(B3542="",0,INDEX(ModelParameters!$D$13:$K$17,MATCH($O3542,ModelParameters!$B$13:$B$17,0),MATCH($J3542,ModelParameters!$D$5:$K$5,0)))</f>
        <v>0</v>
      </c>
      <c r="S3542" s="160">
        <f>IF(B3542="",0,MIN(IF($N3542="Other Bond TM",ModelParameters!$N$21,1)*(P3542*Q3542+R3542),1))</f>
        <v>0.094010230085842128</v>
      </c>
      <c r="T3542" s="85">
        <f>IF(B3542="",0,$S3542*$K3542)</f>
        <v>92.098186458816112</v>
      </c>
      <c r="U3542" s="85">
        <f>IF(B3542="",0,IF(OR(H3542=MappingTables!$C$34,H3542=MappingTables!$C$35),T3542,0))</f>
        <v>0</v>
      </c>
      <c r="V3542" s="85">
        <f>IF(ISNA(IF(AND(VLOOKUP(CONCATENATE($D3542,$G3542),CSRFinput!$B:$E,4,0)=0,OR(H3542=MappingTables!$C$34,H3542=MappingTables!$C$35)),1,VLOOKUP(CONCATENATE($D3542,$G3542),CSRFinput!$B:$E,4,0))),0,IF(AND(VLOOKUP(CONCATENATE($D3542,$G3542),CSRFinput!$B:$E,4,0)=0,OR(H3542=MappingTables!$C$34,H3542=MappingTables!$C$35)),1,VLOOKUP(CONCATENATE($D3542,$G3542),CSRFinput!$B:$E,4,0)))</f>
        <v>0.054776304963434752</v>
      </c>
      <c r="W3542" s="85">
        <f>IF(B3542="",0,+$T3542*$V3542)</f>
        <v>5.044798348047388</v>
      </c>
      <c r="X3542" s="85">
        <f>IF(B3542="",0,IF(OR(H3542=MappingTables!$C$34,H3542=MappingTables!$C$35),W3542,0))</f>
        <v>0</v>
      </c>
    </row>
    <row r="3543" spans="2:24" s="0" customFormat="0" ht="15">
      <c r="B3543" s="69">
        <v>11258732</v>
      </c>
      <c r="C3543" s="70" t="s">
        <v>2879</v>
      </c>
      <c r="D3543" s="70" t="s">
        <v>1</v>
      </c>
      <c r="E3543" s="70" t="s">
        <v>1</v>
      </c>
      <c r="F3543" s="70"/>
      <c r="G3543" s="70" t="s">
        <v>61</v>
      </c>
      <c r="H3543" s="70" t="s">
        <v>178</v>
      </c>
      <c r="I3543" s="70" t="s">
        <v>188</v>
      </c>
      <c r="J3543" s="71">
        <f>IF(OR(I3543=0,I3543=""),"unrated",VLOOKUP(I3543,MappingTables!$B$19:$C$31,2,FALSE))</f>
        <v>2</v>
      </c>
      <c r="K3543" s="72">
        <v>210.81302232232176</v>
      </c>
      <c r="L3543" s="70">
        <v>0.008217563947846464</v>
      </c>
      <c r="M3543" s="71">
        <f>IF(L3543&lt;1,1,L3543)</f>
        <v>1</v>
      </c>
      <c r="N3543" s="70" t="s">
        <v>141</v>
      </c>
      <c r="O3543" s="71">
        <f>INDEX(DurClassMapping,MATCH(M3543,MappingTables!$D$4:$D$8,-1),1)</f>
        <v>1</v>
      </c>
      <c r="P3543" s="73">
        <f>IF(M3543=$A$1,1,$M3543-INDEX(MappingTables!$E$4:$E$8,MATCH(O3543,MappingTables!$B$4:$B$8,0)))</f>
        <v>1</v>
      </c>
      <c r="Q3543" s="71">
        <f>IF(B3543="",0,INDEX(ModelParameters!$D$6:$K$10,MATCH($O3543,ModelParameters!$B$6:$B$10,0),MATCH($J3543,ModelParameters!$D$5:$K$5,0)))</f>
        <v>0.013999999999999998</v>
      </c>
      <c r="R3543" s="71">
        <f>IF(B3543="",0,INDEX(ModelParameters!$D$13:$K$17,MATCH($O3543,ModelParameters!$B$13:$B$17,0),MATCH($J3543,ModelParameters!$D$5:$K$5,0)))</f>
        <v>0</v>
      </c>
      <c r="S3543" s="160">
        <f>IF(B3543="",0,MIN(IF($N3543="Other Bond TM",ModelParameters!$N$21,1)*(P3543*Q3543+R3543),1))</f>
        <v>0.013999999999999998</v>
      </c>
      <c r="T3543" s="85">
        <f>IF(B3543="",0,$S3543*$K3543)</f>
        <v>2.9513823125125044</v>
      </c>
      <c r="U3543" s="85">
        <f>IF(B3543="",0,IF(OR(H3543=MappingTables!$C$34,H3543=MappingTables!$C$35),T3543,0))</f>
        <v>0</v>
      </c>
      <c r="V3543" s="85">
        <f>IF(ISNA(IF(AND(VLOOKUP(CONCATENATE($D3543,$G3543),CSRFinput!$B:$E,4,0)=0,OR(H3543=MappingTables!$C$34,H3543=MappingTables!$C$35)),1,VLOOKUP(CONCATENATE($D3543,$G3543),CSRFinput!$B:$E,4,0))),0,IF(AND(VLOOKUP(CONCATENATE($D3543,$G3543),CSRFinput!$B:$E,4,0)=0,OR(H3543=MappingTables!$C$34,H3543=MappingTables!$C$35)),1,VLOOKUP(CONCATENATE($D3543,$G3543),CSRFinput!$B:$E,4,0)))</f>
        <v>0.054776304963434752</v>
      </c>
      <c r="W3543" s="85">
        <f>IF(B3543="",0,+$T3543*$V3543)</f>
        <v>0.16166581761387224</v>
      </c>
      <c r="X3543" s="85">
        <f>IF(B3543="",0,IF(OR(H3543=MappingTables!$C$34,H3543=MappingTables!$C$35),W3543,0))</f>
        <v>0</v>
      </c>
    </row>
    <row r="3544" spans="2:24" s="0" customFormat="0" ht="15">
      <c r="B3544" s="69">
        <v>4061418</v>
      </c>
      <c r="C3544" s="70" t="s">
        <v>2880</v>
      </c>
      <c r="D3544" s="70" t="s">
        <v>1</v>
      </c>
      <c r="E3544" s="70" t="s">
        <v>1</v>
      </c>
      <c r="F3544" s="70"/>
      <c r="G3544" s="70" t="s">
        <v>61</v>
      </c>
      <c r="H3544" s="70" t="s">
        <v>178</v>
      </c>
      <c r="I3544" s="70" t="s">
        <v>181</v>
      </c>
      <c r="J3544" s="71">
        <f>IF(OR(I3544=0,I3544=""),"unrated",VLOOKUP(I3544,MappingTables!$B$19:$C$31,2,FALSE))</f>
        <v>3</v>
      </c>
      <c r="K3544" s="72">
        <v>1029794.692993164</v>
      </c>
      <c r="L3544" s="70">
        <v>0.82192739887647744</v>
      </c>
      <c r="M3544" s="71">
        <f>IF(L3544&lt;1,1,L3544)</f>
        <v>1</v>
      </c>
      <c r="N3544" s="70" t="s">
        <v>141</v>
      </c>
      <c r="O3544" s="71">
        <f>INDEX(DurClassMapping,MATCH(M3544,MappingTables!$D$4:$D$8,-1),1)</f>
        <v>1</v>
      </c>
      <c r="P3544" s="73">
        <f>IF(M3544=$A$1,1,$M3544-INDEX(MappingTables!$E$4:$E$8,MATCH(O3544,MappingTables!$B$4:$B$8,0)))</f>
        <v>1</v>
      </c>
      <c r="Q3544" s="71">
        <f>IF(B3544="",0,INDEX(ModelParameters!$D$6:$K$10,MATCH($O3544,ModelParameters!$B$6:$B$10,0),MATCH($J3544,ModelParameters!$D$5:$K$5,0)))</f>
        <v>0.025</v>
      </c>
      <c r="R3544" s="71">
        <f>IF(B3544="",0,INDEX(ModelParameters!$D$13:$K$17,MATCH($O3544,ModelParameters!$B$13:$B$17,0),MATCH($J3544,ModelParameters!$D$5:$K$5,0)))</f>
        <v>0</v>
      </c>
      <c r="S3544" s="160">
        <f>IF(B3544="",0,MIN(IF($N3544="Other Bond TM",ModelParameters!$N$21,1)*(P3544*Q3544+R3544),1))</f>
        <v>0.025</v>
      </c>
      <c r="T3544" s="85">
        <f>IF(B3544="",0,$S3544*$K3544)</f>
        <v>25744.8673248291</v>
      </c>
      <c r="U3544" s="85">
        <f>IF(B3544="",0,IF(OR(H3544=MappingTables!$C$34,H3544=MappingTables!$C$35),T3544,0))</f>
        <v>0</v>
      </c>
      <c r="V3544" s="85">
        <f>IF(ISNA(IF(AND(VLOOKUP(CONCATENATE($D3544,$G3544),CSRFinput!$B:$E,4,0)=0,OR(H3544=MappingTables!$C$34,H3544=MappingTables!$C$35)),1,VLOOKUP(CONCATENATE($D3544,$G3544),CSRFinput!$B:$E,4,0))),0,IF(AND(VLOOKUP(CONCATENATE($D3544,$G3544),CSRFinput!$B:$E,4,0)=0,OR(H3544=MappingTables!$C$34,H3544=MappingTables!$C$35)),1,VLOOKUP(CONCATENATE($D3544,$G3544),CSRFinput!$B:$E,4,0)))</f>
        <v>0.054776304963434752</v>
      </c>
      <c r="W3544" s="85">
        <f>IF(B3544="",0,+$T3544*$V3544)</f>
        <v>1410.2087038280056</v>
      </c>
      <c r="X3544" s="85">
        <f>IF(B3544="",0,IF(OR(H3544=MappingTables!$C$34,H3544=MappingTables!$C$35),W3544,0))</f>
        <v>0</v>
      </c>
    </row>
    <row r="3545" spans="2:24" s="0" customFormat="0" ht="15">
      <c r="B3545" s="69">
        <v>8904920</v>
      </c>
      <c r="C3545" s="70" t="s">
        <v>1295</v>
      </c>
      <c r="D3545" s="70" t="s">
        <v>1</v>
      </c>
      <c r="E3545" s="70" t="s">
        <v>1</v>
      </c>
      <c r="F3545" s="70"/>
      <c r="G3545" s="70" t="s">
        <v>61</v>
      </c>
      <c r="H3545" s="70" t="s">
        <v>178</v>
      </c>
      <c r="I3545" s="70" t="s">
        <v>181</v>
      </c>
      <c r="J3545" s="71">
        <f>IF(OR(I3545=0,I3545=""),"unrated",VLOOKUP(I3545,MappingTables!$B$19:$C$31,2,FALSE))</f>
        <v>3</v>
      </c>
      <c r="K3545" s="72">
        <v>1039.353580301773</v>
      </c>
      <c r="L3545" s="70">
        <v>3.4608204798537508</v>
      </c>
      <c r="M3545" s="71">
        <f>IF(L3545&lt;1,1,L3545)</f>
        <v>3.4608204798537508</v>
      </c>
      <c r="N3545" s="70" t="s">
        <v>141</v>
      </c>
      <c r="O3545" s="71">
        <f>INDEX(DurClassMapping,MATCH(M3545,MappingTables!$D$4:$D$8,-1),1)</f>
        <v>1</v>
      </c>
      <c r="P3545" s="73">
        <f>IF(M3545=$A$1,1,$M3545-INDEX(MappingTables!$E$4:$E$8,MATCH(O3545,MappingTables!$B$4:$B$8,0)))</f>
        <v>3.4608204798537508</v>
      </c>
      <c r="Q3545" s="71">
        <f>IF(B3545="",0,INDEX(ModelParameters!$D$6:$K$10,MATCH($O3545,ModelParameters!$B$6:$B$10,0),MATCH($J3545,ModelParameters!$D$5:$K$5,0)))</f>
        <v>0.025</v>
      </c>
      <c r="R3545" s="71">
        <f>IF(B3545="",0,INDEX(ModelParameters!$D$13:$K$17,MATCH($O3545,ModelParameters!$B$13:$B$17,0),MATCH($J3545,ModelParameters!$D$5:$K$5,0)))</f>
        <v>0</v>
      </c>
      <c r="S3545" s="160">
        <f>IF(B3545="",0,MIN(IF($N3545="Other Bond TM",ModelParameters!$N$21,1)*(P3545*Q3545+R3545),1))</f>
        <v>0.086520511996343776</v>
      </c>
      <c r="T3545" s="85">
        <f>IF(B3545="",0,$S3545*$K3545)</f>
        <v>89.925403912942416</v>
      </c>
      <c r="U3545" s="85">
        <f>IF(B3545="",0,IF(OR(H3545=MappingTables!$C$34,H3545=MappingTables!$C$35),T3545,0))</f>
        <v>0</v>
      </c>
      <c r="V3545" s="85">
        <f>IF(ISNA(IF(AND(VLOOKUP(CONCATENATE($D3545,$G3545),CSRFinput!$B:$E,4,0)=0,OR(H3545=MappingTables!$C$34,H3545=MappingTables!$C$35)),1,VLOOKUP(CONCATENATE($D3545,$G3545),CSRFinput!$B:$E,4,0))),0,IF(AND(VLOOKUP(CONCATENATE($D3545,$G3545),CSRFinput!$B:$E,4,0)=0,OR(H3545=MappingTables!$C$34,H3545=MappingTables!$C$35)),1,VLOOKUP(CONCATENATE($D3545,$G3545),CSRFinput!$B:$E,4,0)))</f>
        <v>0.054776304963434752</v>
      </c>
      <c r="W3545" s="85">
        <f>IF(B3545="",0,+$T3545*$V3545)</f>
        <v>4.9257813486953824</v>
      </c>
      <c r="X3545" s="85">
        <f>IF(B3545="",0,IF(OR(H3545=MappingTables!$C$34,H3545=MappingTables!$C$35),W3545,0))</f>
        <v>0</v>
      </c>
    </row>
    <row r="3546" spans="2:24" s="0" customFormat="0" ht="15">
      <c r="B3546" s="69">
        <v>15124171</v>
      </c>
      <c r="C3546" s="70" t="s">
        <v>1869</v>
      </c>
      <c r="D3546" s="70" t="s">
        <v>1</v>
      </c>
      <c r="E3546" s="70" t="s">
        <v>1</v>
      </c>
      <c r="F3546" s="70"/>
      <c r="G3546" s="70" t="s">
        <v>61</v>
      </c>
      <c r="H3546" s="70" t="s">
        <v>178</v>
      </c>
      <c r="I3546" s="70" t="s">
        <v>184</v>
      </c>
      <c r="J3546" s="71">
        <f>IF(OR(I3546=0,I3546=""),"unrated",VLOOKUP(I3546,MappingTables!$B$19:$C$31,2,FALSE))</f>
        <v>5</v>
      </c>
      <c r="K3546" s="72">
        <v>242.27494063024368</v>
      </c>
      <c r="L3546" s="70">
        <v>0.33972826781406616</v>
      </c>
      <c r="M3546" s="71">
        <f>IF(L3546&lt;1,1,L3546)</f>
        <v>1</v>
      </c>
      <c r="N3546" s="70" t="s">
        <v>141</v>
      </c>
      <c r="O3546" s="71">
        <f>INDEX(DurClassMapping,MATCH(M3546,MappingTables!$D$4:$D$8,-1),1)</f>
        <v>1</v>
      </c>
      <c r="P3546" s="73">
        <f>IF(M3546=$A$1,1,$M3546-INDEX(MappingTables!$E$4:$E$8,MATCH(O3546,MappingTables!$B$4:$B$8,0)))</f>
        <v>1</v>
      </c>
      <c r="Q3546" s="71">
        <f>IF(B3546="",0,INDEX(ModelParameters!$D$6:$K$10,MATCH($O3546,ModelParameters!$B$6:$B$10,0),MATCH($J3546,ModelParameters!$D$5:$K$5,0)))</f>
        <v>0.075</v>
      </c>
      <c r="R3546" s="71">
        <f>IF(B3546="",0,INDEX(ModelParameters!$D$13:$K$17,MATCH($O3546,ModelParameters!$B$13:$B$17,0),MATCH($J3546,ModelParameters!$D$5:$K$5,0)))</f>
        <v>0</v>
      </c>
      <c r="S3546" s="160">
        <f>IF(B3546="",0,MIN(IF($N3546="Other Bond TM",ModelParameters!$N$21,1)*(P3546*Q3546+R3546),1))</f>
        <v>0.075</v>
      </c>
      <c r="T3546" s="85">
        <f>IF(B3546="",0,$S3546*$K3546)</f>
        <v>18.170620547268276</v>
      </c>
      <c r="U3546" s="85">
        <f>IF(B3546="",0,IF(OR(H3546=MappingTables!$C$34,H3546=MappingTables!$C$35),T3546,0))</f>
        <v>0</v>
      </c>
      <c r="V3546" s="85">
        <f>IF(ISNA(IF(AND(VLOOKUP(CONCATENATE($D3546,$G3546),CSRFinput!$B:$E,4,0)=0,OR(H3546=MappingTables!$C$34,H3546=MappingTables!$C$35)),1,VLOOKUP(CONCATENATE($D3546,$G3546),CSRFinput!$B:$E,4,0))),0,IF(AND(VLOOKUP(CONCATENATE($D3546,$G3546),CSRFinput!$B:$E,4,0)=0,OR(H3546=MappingTables!$C$34,H3546=MappingTables!$C$35)),1,VLOOKUP(CONCATENATE($D3546,$G3546),CSRFinput!$B:$E,4,0)))</f>
        <v>0.054776304963434752</v>
      </c>
      <c r="W3546" s="85">
        <f>IF(B3546="",0,+$T3546*$V3546)</f>
        <v>0.99531945247202064</v>
      </c>
      <c r="X3546" s="85">
        <f>IF(B3546="",0,IF(OR(H3546=MappingTables!$C$34,H3546=MappingTables!$C$35),W3546,0))</f>
        <v>0</v>
      </c>
    </row>
    <row r="3547" spans="2:24" s="0" customFormat="0" ht="15">
      <c r="B3547" s="69">
        <v>15329729</v>
      </c>
      <c r="C3547" s="70" t="s">
        <v>2801</v>
      </c>
      <c r="D3547" s="70" t="s">
        <v>1</v>
      </c>
      <c r="E3547" s="70" t="s">
        <v>1</v>
      </c>
      <c r="F3547" s="70"/>
      <c r="G3547" s="70" t="s">
        <v>61</v>
      </c>
      <c r="H3547" s="70" t="s">
        <v>178</v>
      </c>
      <c r="I3547" s="70" t="s">
        <v>181</v>
      </c>
      <c r="J3547" s="71">
        <f>IF(OR(I3547=0,I3547=""),"unrated",VLOOKUP(I3547,MappingTables!$B$19:$C$31,2,FALSE))</f>
        <v>3</v>
      </c>
      <c r="K3547" s="72">
        <v>466.33786126007712</v>
      </c>
      <c r="L3547" s="70">
        <v>0.33898499179668712</v>
      </c>
      <c r="M3547" s="71">
        <f>IF(L3547&lt;1,1,L3547)</f>
        <v>1</v>
      </c>
      <c r="N3547" s="70" t="s">
        <v>141</v>
      </c>
      <c r="O3547" s="71">
        <f>INDEX(DurClassMapping,MATCH(M3547,MappingTables!$D$4:$D$8,-1),1)</f>
        <v>1</v>
      </c>
      <c r="P3547" s="73">
        <f>IF(M3547=$A$1,1,$M3547-INDEX(MappingTables!$E$4:$E$8,MATCH(O3547,MappingTables!$B$4:$B$8,0)))</f>
        <v>1</v>
      </c>
      <c r="Q3547" s="71">
        <f>IF(B3547="",0,INDEX(ModelParameters!$D$6:$K$10,MATCH($O3547,ModelParameters!$B$6:$B$10,0),MATCH($J3547,ModelParameters!$D$5:$K$5,0)))</f>
        <v>0.025</v>
      </c>
      <c r="R3547" s="71">
        <f>IF(B3547="",0,INDEX(ModelParameters!$D$13:$K$17,MATCH($O3547,ModelParameters!$B$13:$B$17,0),MATCH($J3547,ModelParameters!$D$5:$K$5,0)))</f>
        <v>0</v>
      </c>
      <c r="S3547" s="160">
        <f>IF(B3547="",0,MIN(IF($N3547="Other Bond TM",ModelParameters!$N$21,1)*(P3547*Q3547+R3547),1))</f>
        <v>0.025</v>
      </c>
      <c r="T3547" s="85">
        <f>IF(B3547="",0,$S3547*$K3547)</f>
        <v>11.658446531501928</v>
      </c>
      <c r="U3547" s="85">
        <f>IF(B3547="",0,IF(OR(H3547=MappingTables!$C$34,H3547=MappingTables!$C$35),T3547,0))</f>
        <v>0</v>
      </c>
      <c r="V3547" s="85">
        <f>IF(ISNA(IF(AND(VLOOKUP(CONCATENATE($D3547,$G3547),CSRFinput!$B:$E,4,0)=0,OR(H3547=MappingTables!$C$34,H3547=MappingTables!$C$35)),1,VLOOKUP(CONCATENATE($D3547,$G3547),CSRFinput!$B:$E,4,0))),0,IF(AND(VLOOKUP(CONCATENATE($D3547,$G3547),CSRFinput!$B:$E,4,0)=0,OR(H3547=MappingTables!$C$34,H3547=MappingTables!$C$35)),1,VLOOKUP(CONCATENATE($D3547,$G3547),CSRFinput!$B:$E,4,0)))</f>
        <v>0.054776304963434752</v>
      </c>
      <c r="W3547" s="85">
        <f>IF(B3547="",0,+$T3547*$V3547)</f>
        <v>0.63860662260944776</v>
      </c>
      <c r="X3547" s="85">
        <f>IF(B3547="",0,IF(OR(H3547=MappingTables!$C$34,H3547=MappingTables!$C$35),W3547,0))</f>
        <v>0</v>
      </c>
    </row>
    <row r="3548" spans="2:24" s="0" customFormat="0" ht="15">
      <c r="B3548" s="69">
        <v>24423126</v>
      </c>
      <c r="C3548" s="70" t="s">
        <v>1920</v>
      </c>
      <c r="D3548" s="70" t="s">
        <v>1</v>
      </c>
      <c r="E3548" s="70" t="s">
        <v>1</v>
      </c>
      <c r="F3548" s="70"/>
      <c r="G3548" s="70" t="s">
        <v>61</v>
      </c>
      <c r="H3548" s="70" t="s">
        <v>178</v>
      </c>
      <c r="I3548" s="70" t="s">
        <v>181</v>
      </c>
      <c r="J3548" s="71">
        <f>IF(OR(I3548=0,I3548=""),"unrated",VLOOKUP(I3548,MappingTables!$B$19:$C$31,2,FALSE))</f>
        <v>3</v>
      </c>
      <c r="K3548" s="72">
        <v>20311.733758569016</v>
      </c>
      <c r="L3548" s="70">
        <v>4.3694225391334952</v>
      </c>
      <c r="M3548" s="71">
        <f>IF(L3548&lt;1,1,L3548)</f>
        <v>4.3694225391334952</v>
      </c>
      <c r="N3548" s="70" t="s">
        <v>141</v>
      </c>
      <c r="O3548" s="71">
        <f>INDEX(DurClassMapping,MATCH(M3548,MappingTables!$D$4:$D$8,-1),1)</f>
        <v>1</v>
      </c>
      <c r="P3548" s="73">
        <f>IF(M3548=$A$1,1,$M3548-INDEX(MappingTables!$E$4:$E$8,MATCH(O3548,MappingTables!$B$4:$B$8,0)))</f>
        <v>4.3694225391334952</v>
      </c>
      <c r="Q3548" s="71">
        <f>IF(B3548="",0,INDEX(ModelParameters!$D$6:$K$10,MATCH($O3548,ModelParameters!$B$6:$B$10,0),MATCH($J3548,ModelParameters!$D$5:$K$5,0)))</f>
        <v>0.025</v>
      </c>
      <c r="R3548" s="71">
        <f>IF(B3548="",0,INDEX(ModelParameters!$D$13:$K$17,MATCH($O3548,ModelParameters!$B$13:$B$17,0),MATCH($J3548,ModelParameters!$D$5:$K$5,0)))</f>
        <v>0</v>
      </c>
      <c r="S3548" s="160">
        <f>IF(B3548="",0,MIN(IF($N3548="Other Bond TM",ModelParameters!$N$21,1)*(P3548*Q3548+R3548),1))</f>
        <v>0.1092355634783374</v>
      </c>
      <c r="T3548" s="85">
        <f>IF(B3548="",0,$S3548*$K3548)</f>
        <v>2218.763682339254</v>
      </c>
      <c r="U3548" s="85">
        <f>IF(B3548="",0,IF(OR(H3548=MappingTables!$C$34,H3548=MappingTables!$C$35),T3548,0))</f>
        <v>0</v>
      </c>
      <c r="V3548" s="85">
        <f>IF(ISNA(IF(AND(VLOOKUP(CONCATENATE($D3548,$G3548),CSRFinput!$B:$E,4,0)=0,OR(H3548=MappingTables!$C$34,H3548=MappingTables!$C$35)),1,VLOOKUP(CONCATENATE($D3548,$G3548),CSRFinput!$B:$E,4,0))),0,IF(AND(VLOOKUP(CONCATENATE($D3548,$G3548),CSRFinput!$B:$E,4,0)=0,OR(H3548=MappingTables!$C$34,H3548=MappingTables!$C$35)),1,VLOOKUP(CONCATENATE($D3548,$G3548),CSRFinput!$B:$E,4,0)))</f>
        <v>0.054776304963434752</v>
      </c>
      <c r="W3548" s="85">
        <f>IF(B3548="",0,+$T3548*$V3548)</f>
        <v>121.53567610560844</v>
      </c>
      <c r="X3548" s="85">
        <f>IF(B3548="",0,IF(OR(H3548=MappingTables!$C$34,H3548=MappingTables!$C$35),W3548,0))</f>
        <v>0</v>
      </c>
    </row>
    <row r="3549" spans="2:24" s="0" customFormat="0" ht="15">
      <c r="B3549" s="69">
        <v>14122089</v>
      </c>
      <c r="C3549" s="70" t="s">
        <v>1053</v>
      </c>
      <c r="D3549" s="70" t="s">
        <v>1</v>
      </c>
      <c r="E3549" s="70" t="s">
        <v>1</v>
      </c>
      <c r="F3549" s="70"/>
      <c r="G3549" s="70" t="s">
        <v>61</v>
      </c>
      <c r="H3549" s="70" t="s">
        <v>178</v>
      </c>
      <c r="I3549" s="70" t="s">
        <v>184</v>
      </c>
      <c r="J3549" s="71">
        <f>IF(OR(I3549=0,I3549=""),"unrated",VLOOKUP(I3549,MappingTables!$B$19:$C$31,2,FALSE))</f>
        <v>5</v>
      </c>
      <c r="K3549" s="72">
        <v>296.31500459975184</v>
      </c>
      <c r="L3549" s="70">
        <v>0.087668473888977424</v>
      </c>
      <c r="M3549" s="71">
        <f>IF(L3549&lt;1,1,L3549)</f>
        <v>1</v>
      </c>
      <c r="N3549" s="70" t="s">
        <v>141</v>
      </c>
      <c r="O3549" s="71">
        <f>INDEX(DurClassMapping,MATCH(M3549,MappingTables!$D$4:$D$8,-1),1)</f>
        <v>1</v>
      </c>
      <c r="P3549" s="73">
        <f>IF(M3549=$A$1,1,$M3549-INDEX(MappingTables!$E$4:$E$8,MATCH(O3549,MappingTables!$B$4:$B$8,0)))</f>
        <v>1</v>
      </c>
      <c r="Q3549" s="71">
        <f>IF(B3549="",0,INDEX(ModelParameters!$D$6:$K$10,MATCH($O3549,ModelParameters!$B$6:$B$10,0),MATCH($J3549,ModelParameters!$D$5:$K$5,0)))</f>
        <v>0.075</v>
      </c>
      <c r="R3549" s="71">
        <f>IF(B3549="",0,INDEX(ModelParameters!$D$13:$K$17,MATCH($O3549,ModelParameters!$B$13:$B$17,0),MATCH($J3549,ModelParameters!$D$5:$K$5,0)))</f>
        <v>0</v>
      </c>
      <c r="S3549" s="160">
        <f>IF(B3549="",0,MIN(IF($N3549="Other Bond TM",ModelParameters!$N$21,1)*(P3549*Q3549+R3549),1))</f>
        <v>0.075</v>
      </c>
      <c r="T3549" s="85">
        <f>IF(B3549="",0,$S3549*$K3549)</f>
        <v>22.223625344981384</v>
      </c>
      <c r="U3549" s="85">
        <f>IF(B3549="",0,IF(OR(H3549=MappingTables!$C$34,H3549=MappingTables!$C$35),T3549,0))</f>
        <v>0</v>
      </c>
      <c r="V3549" s="85">
        <f>IF(ISNA(IF(AND(VLOOKUP(CONCATENATE($D3549,$G3549),CSRFinput!$B:$E,4,0)=0,OR(H3549=MappingTables!$C$34,H3549=MappingTables!$C$35)),1,VLOOKUP(CONCATENATE($D3549,$G3549),CSRFinput!$B:$E,4,0))),0,IF(AND(VLOOKUP(CONCATENATE($D3549,$G3549),CSRFinput!$B:$E,4,0)=0,OR(H3549=MappingTables!$C$34,H3549=MappingTables!$C$35)),1,VLOOKUP(CONCATENATE($D3549,$G3549),CSRFinput!$B:$E,4,0)))</f>
        <v>0.054776304963434752</v>
      </c>
      <c r="W3549" s="85">
        <f>IF(B3549="",0,+$T3549*$V3549)</f>
        <v>1.2173280792898182</v>
      </c>
      <c r="X3549" s="85">
        <f>IF(B3549="",0,IF(OR(H3549=MappingTables!$C$34,H3549=MappingTables!$C$35),W3549,0))</f>
        <v>0</v>
      </c>
    </row>
    <row r="3550" spans="2:24" s="0" customFormat="0" ht="15">
      <c r="B3550" s="69" t="s">
        <v>2881</v>
      </c>
      <c r="C3550" s="70" t="s">
        <v>2882</v>
      </c>
      <c r="D3550" s="70" t="s">
        <v>1</v>
      </c>
      <c r="E3550" s="70" t="s">
        <v>1</v>
      </c>
      <c r="F3550" s="70"/>
      <c r="G3550" s="70" t="s">
        <v>61</v>
      </c>
      <c r="H3550" s="70" t="s">
        <v>178</v>
      </c>
      <c r="I3550" s="70" t="s">
        <v>184</v>
      </c>
      <c r="J3550" s="71">
        <f>IF(OR(I3550=0,I3550=""),"unrated",VLOOKUP(I3550,MappingTables!$B$19:$C$31,2,FALSE))</f>
        <v>5</v>
      </c>
      <c r="K3550" s="72">
        <v>559.72535582084504</v>
      </c>
      <c r="L3550" s="70">
        <v>4.7520066287442424</v>
      </c>
      <c r="M3550" s="71">
        <f>IF(L3550&lt;1,1,L3550)</f>
        <v>4.7520066287442424</v>
      </c>
      <c r="N3550" s="70" t="s">
        <v>141</v>
      </c>
      <c r="O3550" s="71">
        <f>INDEX(DurClassMapping,MATCH(M3550,MappingTables!$D$4:$D$8,-1),1)</f>
        <v>1</v>
      </c>
      <c r="P3550" s="73">
        <f>IF(M3550=$A$1,1,$M3550-INDEX(MappingTables!$E$4:$E$8,MATCH(O3550,MappingTables!$B$4:$B$8,0)))</f>
        <v>4.7520066287442424</v>
      </c>
      <c r="Q3550" s="71">
        <f>IF(B3550="",0,INDEX(ModelParameters!$D$6:$K$10,MATCH($O3550,ModelParameters!$B$6:$B$10,0),MATCH($J3550,ModelParameters!$D$5:$K$5,0)))</f>
        <v>0.075</v>
      </c>
      <c r="R3550" s="71">
        <f>IF(B3550="",0,INDEX(ModelParameters!$D$13:$K$17,MATCH($O3550,ModelParameters!$B$13:$B$17,0),MATCH($J3550,ModelParameters!$D$5:$K$5,0)))</f>
        <v>0</v>
      </c>
      <c r="S3550" s="160">
        <f>IF(B3550="",0,MIN(IF($N3550="Other Bond TM",ModelParameters!$N$21,1)*(P3550*Q3550+R3550),1))</f>
        <v>0.35640049715581816</v>
      </c>
      <c r="T3550" s="85">
        <f>IF(B3550="",0,$S3550*$K3550)</f>
        <v>199.4863950852664</v>
      </c>
      <c r="U3550" s="85">
        <f>IF(B3550="",0,IF(OR(H3550=MappingTables!$C$34,H3550=MappingTables!$C$35),T3550,0))</f>
        <v>0</v>
      </c>
      <c r="V3550" s="85">
        <f>IF(ISNA(IF(AND(VLOOKUP(CONCATENATE($D3550,$G3550),CSRFinput!$B:$E,4,0)=0,OR(H3550=MappingTables!$C$34,H3550=MappingTables!$C$35)),1,VLOOKUP(CONCATENATE($D3550,$G3550),CSRFinput!$B:$E,4,0))),0,IF(AND(VLOOKUP(CONCATENATE($D3550,$G3550),CSRFinput!$B:$E,4,0)=0,OR(H3550=MappingTables!$C$34,H3550=MappingTables!$C$35)),1,VLOOKUP(CONCATENATE($D3550,$G3550),CSRFinput!$B:$E,4,0)))</f>
        <v>0.054776304963434752</v>
      </c>
      <c r="W3550" s="85">
        <f>IF(B3550="",0,+$T3550*$V3550)</f>
        <v>10.927127613246784</v>
      </c>
      <c r="X3550" s="85">
        <f>IF(B3550="",0,IF(OR(H3550=MappingTables!$C$34,H3550=MappingTables!$C$35),W3550,0))</f>
        <v>0</v>
      </c>
    </row>
    <row r="3551" spans="2:24" s="0" customFormat="0" ht="15">
      <c r="B3551" s="69">
        <v>17126672</v>
      </c>
      <c r="C3551" s="70" t="s">
        <v>2883</v>
      </c>
      <c r="D3551" s="70" t="s">
        <v>1</v>
      </c>
      <c r="E3551" s="70" t="s">
        <v>1</v>
      </c>
      <c r="F3551" s="70"/>
      <c r="G3551" s="70" t="s">
        <v>61</v>
      </c>
      <c r="H3551" s="70" t="s">
        <v>178</v>
      </c>
      <c r="I3551" s="70" t="s">
        <v>179</v>
      </c>
      <c r="J3551" s="71">
        <f>IF(OR(I3551=0,I3551=""),"unrated",VLOOKUP(I3551,MappingTables!$B$19:$C$31,2,FALSE))</f>
        <v>4</v>
      </c>
      <c r="K3551" s="72">
        <v>2398.5522566771628</v>
      </c>
      <c r="L3551" s="70">
        <v>0.53215622406986176</v>
      </c>
      <c r="M3551" s="71">
        <f>IF(L3551&lt;1,1,L3551)</f>
        <v>1</v>
      </c>
      <c r="N3551" s="70" t="s">
        <v>141</v>
      </c>
      <c r="O3551" s="71">
        <f>INDEX(DurClassMapping,MATCH(M3551,MappingTables!$D$4:$D$8,-1),1)</f>
        <v>1</v>
      </c>
      <c r="P3551" s="73">
        <f>IF(M3551=$A$1,1,$M3551-INDEX(MappingTables!$E$4:$E$8,MATCH(O3551,MappingTables!$B$4:$B$8,0)))</f>
        <v>1</v>
      </c>
      <c r="Q3551" s="71">
        <f>IF(B3551="",0,INDEX(ModelParameters!$D$6:$K$10,MATCH($O3551,ModelParameters!$B$6:$B$10,0),MATCH($J3551,ModelParameters!$D$5:$K$5,0)))</f>
        <v>0.045</v>
      </c>
      <c r="R3551" s="71">
        <f>IF(B3551="",0,INDEX(ModelParameters!$D$13:$K$17,MATCH($O3551,ModelParameters!$B$13:$B$17,0),MATCH($J3551,ModelParameters!$D$5:$K$5,0)))</f>
        <v>0</v>
      </c>
      <c r="S3551" s="160">
        <f>IF(B3551="",0,MIN(IF($N3551="Other Bond TM",ModelParameters!$N$21,1)*(P3551*Q3551+R3551),1))</f>
        <v>0.045</v>
      </c>
      <c r="T3551" s="85">
        <f>IF(B3551="",0,$S3551*$K3551)</f>
        <v>107.93485155047234</v>
      </c>
      <c r="U3551" s="85">
        <f>IF(B3551="",0,IF(OR(H3551=MappingTables!$C$34,H3551=MappingTables!$C$35),T3551,0))</f>
        <v>0</v>
      </c>
      <c r="V3551" s="85">
        <f>IF(ISNA(IF(AND(VLOOKUP(CONCATENATE($D3551,$G3551),CSRFinput!$B:$E,4,0)=0,OR(H3551=MappingTables!$C$34,H3551=MappingTables!$C$35)),1,VLOOKUP(CONCATENATE($D3551,$G3551),CSRFinput!$B:$E,4,0))),0,IF(AND(VLOOKUP(CONCATENATE($D3551,$G3551),CSRFinput!$B:$E,4,0)=0,OR(H3551=MappingTables!$C$34,H3551=MappingTables!$C$35)),1,VLOOKUP(CONCATENATE($D3551,$G3551),CSRFinput!$B:$E,4,0)))</f>
        <v>0.054776304963434752</v>
      </c>
      <c r="W3551" s="85">
        <f>IF(B3551="",0,+$T3551*$V3551)</f>
        <v>5.9122723447117312</v>
      </c>
      <c r="X3551" s="85">
        <f>IF(B3551="",0,IF(OR(H3551=MappingTables!$C$34,H3551=MappingTables!$C$35),W3551,0))</f>
        <v>0</v>
      </c>
    </row>
    <row r="3552" spans="2:24" s="0" customFormat="0" ht="15">
      <c r="B3552" s="69">
        <v>18152805</v>
      </c>
      <c r="C3552" s="70" t="s">
        <v>2739</v>
      </c>
      <c r="D3552" s="70" t="s">
        <v>1</v>
      </c>
      <c r="E3552" s="70" t="s">
        <v>1</v>
      </c>
      <c r="F3552" s="70"/>
      <c r="G3552" s="70" t="s">
        <v>61</v>
      </c>
      <c r="H3552" s="70" t="s">
        <v>178</v>
      </c>
      <c r="I3552" s="70" t="s">
        <v>179</v>
      </c>
      <c r="J3552" s="71">
        <f>IF(OR(I3552=0,I3552=""),"unrated",VLOOKUP(I3552,MappingTables!$B$19:$C$31,2,FALSE))</f>
        <v>4</v>
      </c>
      <c r="K3552" s="72">
        <v>40075.03276011056</v>
      </c>
      <c r="L3552" s="70">
        <v>6.6712310742278632</v>
      </c>
      <c r="M3552" s="71">
        <f>IF(L3552&lt;1,1,L3552)</f>
        <v>6.6712310742278632</v>
      </c>
      <c r="N3552" s="70" t="s">
        <v>141</v>
      </c>
      <c r="O3552" s="71">
        <f>INDEX(DurClassMapping,MATCH(M3552,MappingTables!$D$4:$D$8,-1),1)</f>
        <v>2</v>
      </c>
      <c r="P3552" s="73">
        <f>IF(M3552=$A$1,1,$M3552-INDEX(MappingTables!$E$4:$E$8,MATCH(O3552,MappingTables!$B$4:$B$8,0)))</f>
        <v>1.6712310742278636</v>
      </c>
      <c r="Q3552" s="71">
        <f>IF(B3552="",0,INDEX(ModelParameters!$D$6:$K$10,MATCH($O3552,ModelParameters!$B$6:$B$10,0),MATCH($J3552,ModelParameters!$D$5:$K$5,0)))</f>
        <v>0.025</v>
      </c>
      <c r="R3552" s="71">
        <f>IF(B3552="",0,INDEX(ModelParameters!$D$13:$K$17,MATCH($O3552,ModelParameters!$B$13:$B$17,0),MATCH($J3552,ModelParameters!$D$5:$K$5,0)))</f>
        <v>0.225</v>
      </c>
      <c r="S3552" s="160">
        <f>IF(B3552="",0,MIN(IF($N3552="Other Bond TM",ModelParameters!$N$21,1)*(P3552*Q3552+R3552),1))</f>
        <v>0.26678077685569656</v>
      </c>
      <c r="T3552" s="85">
        <f>IF(B3552="",0,$S3552*$K3552)</f>
        <v>10691.248372259784</v>
      </c>
      <c r="U3552" s="85">
        <f>IF(B3552="",0,IF(OR(H3552=MappingTables!$C$34,H3552=MappingTables!$C$35),T3552,0))</f>
        <v>0</v>
      </c>
      <c r="V3552" s="85">
        <f>IF(ISNA(IF(AND(VLOOKUP(CONCATENATE($D3552,$G3552),CSRFinput!$B:$E,4,0)=0,OR(H3552=MappingTables!$C$34,H3552=MappingTables!$C$35)),1,VLOOKUP(CONCATENATE($D3552,$G3552),CSRFinput!$B:$E,4,0))),0,IF(AND(VLOOKUP(CONCATENATE($D3552,$G3552),CSRFinput!$B:$E,4,0)=0,OR(H3552=MappingTables!$C$34,H3552=MappingTables!$C$35)),1,VLOOKUP(CONCATENATE($D3552,$G3552),CSRFinput!$B:$E,4,0)))</f>
        <v>0.054776304963434752</v>
      </c>
      <c r="W3552" s="85">
        <f>IF(B3552="",0,+$T3552*$V3552)</f>
        <v>585.62708127872736</v>
      </c>
      <c r="X3552" s="85">
        <f>IF(B3552="",0,IF(OR(H3552=MappingTables!$C$34,H3552=MappingTables!$C$35),W3552,0))</f>
        <v>0</v>
      </c>
    </row>
    <row r="3553" spans="2:24" s="0" customFormat="0" ht="15">
      <c r="B3553" s="69">
        <v>22317447</v>
      </c>
      <c r="C3553" s="70" t="s">
        <v>1279</v>
      </c>
      <c r="D3553" s="70" t="s">
        <v>1</v>
      </c>
      <c r="E3553" s="70" t="s">
        <v>1</v>
      </c>
      <c r="F3553" s="70"/>
      <c r="G3553" s="70" t="s">
        <v>61</v>
      </c>
      <c r="H3553" s="70" t="s">
        <v>178</v>
      </c>
      <c r="I3553" s="70" t="s">
        <v>220</v>
      </c>
      <c r="J3553" s="71">
        <f>IF(OR(I3553=0,I3553=""),"unrated",VLOOKUP(I3553,MappingTables!$B$19:$C$31,2,FALSE))</f>
        <v>1</v>
      </c>
      <c r="K3553" s="72">
        <v>814.84284925224192</v>
      </c>
      <c r="L3553" s="70">
        <v>2.394911400076228</v>
      </c>
      <c r="M3553" s="71">
        <f>IF(L3553&lt;1,1,L3553)</f>
        <v>2.394911400076228</v>
      </c>
      <c r="N3553" s="70" t="s">
        <v>141</v>
      </c>
      <c r="O3553" s="71">
        <f>INDEX(DurClassMapping,MATCH(M3553,MappingTables!$D$4:$D$8,-1),1)</f>
        <v>1</v>
      </c>
      <c r="P3553" s="73">
        <f>IF(M3553=$A$1,1,$M3553-INDEX(MappingTables!$E$4:$E$8,MATCH(O3553,MappingTables!$B$4:$B$8,0)))</f>
        <v>2.394911400076228</v>
      </c>
      <c r="Q3553" s="71">
        <f>IF(B3553="",0,INDEX(ModelParameters!$D$6:$K$10,MATCH($O3553,ModelParameters!$B$6:$B$10,0),MATCH($J3553,ModelParameters!$D$5:$K$5,0)))</f>
        <v>0.011000000000000002</v>
      </c>
      <c r="R3553" s="71">
        <f>IF(B3553="",0,INDEX(ModelParameters!$D$13:$K$17,MATCH($O3553,ModelParameters!$B$13:$B$17,0),MATCH($J3553,ModelParameters!$D$5:$K$5,0)))</f>
        <v>0</v>
      </c>
      <c r="S3553" s="160">
        <f>IF(B3553="",0,MIN(IF($N3553="Other Bond TM",ModelParameters!$N$21,1)*(P3553*Q3553+R3553),1))</f>
        <v>0.026344025400838512</v>
      </c>
      <c r="T3553" s="85">
        <f>IF(B3553="",0,$S3553*$K3553)</f>
        <v>21.466240718392692</v>
      </c>
      <c r="U3553" s="85">
        <f>IF(B3553="",0,IF(OR(H3553=MappingTables!$C$34,H3553=MappingTables!$C$35),T3553,0))</f>
        <v>0</v>
      </c>
      <c r="V3553" s="85">
        <f>IF(ISNA(IF(AND(VLOOKUP(CONCATENATE($D3553,$G3553),CSRFinput!$B:$E,4,0)=0,OR(H3553=MappingTables!$C$34,H3553=MappingTables!$C$35)),1,VLOOKUP(CONCATENATE($D3553,$G3553),CSRFinput!$B:$E,4,0))),0,IF(AND(VLOOKUP(CONCATENATE($D3553,$G3553),CSRFinput!$B:$E,4,0)=0,OR(H3553=MappingTables!$C$34,H3553=MappingTables!$C$35)),1,VLOOKUP(CONCATENATE($D3553,$G3553),CSRFinput!$B:$E,4,0)))</f>
        <v>0.054776304963434752</v>
      </c>
      <c r="W3553" s="85">
        <f>IF(B3553="",0,+$T3553*$V3553)</f>
        <v>1.1758413480091788</v>
      </c>
      <c r="X3553" s="85">
        <f>IF(B3553="",0,IF(OR(H3553=MappingTables!$C$34,H3553=MappingTables!$C$35),W3553,0))</f>
        <v>0</v>
      </c>
    </row>
    <row r="3554" spans="2:24" s="0" customFormat="0" ht="15">
      <c r="B3554" s="69" t="s">
        <v>1207</v>
      </c>
      <c r="C3554" s="70" t="s">
        <v>1208</v>
      </c>
      <c r="D3554" s="70" t="s">
        <v>1</v>
      </c>
      <c r="E3554" s="70" t="s">
        <v>1</v>
      </c>
      <c r="F3554" s="70"/>
      <c r="G3554" s="70" t="s">
        <v>61</v>
      </c>
      <c r="H3554" s="70" t="s">
        <v>178</v>
      </c>
      <c r="I3554" s="70" t="s">
        <v>188</v>
      </c>
      <c r="J3554" s="71">
        <f>IF(OR(I3554=0,I3554=""),"unrated",VLOOKUP(I3554,MappingTables!$B$19:$C$31,2,FALSE))</f>
        <v>2</v>
      </c>
      <c r="K3554" s="72">
        <v>9.277587432833704</v>
      </c>
      <c r="L3554" s="70">
        <v>0.30136972842189308</v>
      </c>
      <c r="M3554" s="71">
        <f>IF(L3554&lt;1,1,L3554)</f>
        <v>1</v>
      </c>
      <c r="N3554" s="70" t="s">
        <v>141</v>
      </c>
      <c r="O3554" s="71">
        <f>INDEX(DurClassMapping,MATCH(M3554,MappingTables!$D$4:$D$8,-1),1)</f>
        <v>1</v>
      </c>
      <c r="P3554" s="73">
        <f>IF(M3554=$A$1,1,$M3554-INDEX(MappingTables!$E$4:$E$8,MATCH(O3554,MappingTables!$B$4:$B$8,0)))</f>
        <v>1</v>
      </c>
      <c r="Q3554" s="71">
        <f>IF(B3554="",0,INDEX(ModelParameters!$D$6:$K$10,MATCH($O3554,ModelParameters!$B$6:$B$10,0),MATCH($J3554,ModelParameters!$D$5:$K$5,0)))</f>
        <v>0.013999999999999998</v>
      </c>
      <c r="R3554" s="71">
        <f>IF(B3554="",0,INDEX(ModelParameters!$D$13:$K$17,MATCH($O3554,ModelParameters!$B$13:$B$17,0),MATCH($J3554,ModelParameters!$D$5:$K$5,0)))</f>
        <v>0</v>
      </c>
      <c r="S3554" s="160">
        <f>IF(B3554="",0,MIN(IF($N3554="Other Bond TM",ModelParameters!$N$21,1)*(P3554*Q3554+R3554),1))</f>
        <v>0.013999999999999998</v>
      </c>
      <c r="T3554" s="85">
        <f>IF(B3554="",0,$S3554*$K3554)</f>
        <v>0.12988622405967184</v>
      </c>
      <c r="U3554" s="85">
        <f>IF(B3554="",0,IF(OR(H3554=MappingTables!$C$34,H3554=MappingTables!$C$35),T3554,0))</f>
        <v>0</v>
      </c>
      <c r="V3554" s="85">
        <f>IF(ISNA(IF(AND(VLOOKUP(CONCATENATE($D3554,$G3554),CSRFinput!$B:$E,4,0)=0,OR(H3554=MappingTables!$C$34,H3554=MappingTables!$C$35)),1,VLOOKUP(CONCATENATE($D3554,$G3554),CSRFinput!$B:$E,4,0))),0,IF(AND(VLOOKUP(CONCATENATE($D3554,$G3554),CSRFinput!$B:$E,4,0)=0,OR(H3554=MappingTables!$C$34,H3554=MappingTables!$C$35)),1,VLOOKUP(CONCATENATE($D3554,$G3554),CSRFinput!$B:$E,4,0)))</f>
        <v>0.054776304963434752</v>
      </c>
      <c r="W3554" s="85">
        <f>IF(B3554="",0,+$T3554*$V3554)</f>
        <v>0.0071146874196416016</v>
      </c>
      <c r="X3554" s="85">
        <f>IF(B3554="",0,IF(OR(H3554=MappingTables!$C$34,H3554=MappingTables!$C$35),W3554,0))</f>
        <v>0</v>
      </c>
    </row>
    <row r="3555" spans="2:24" s="0" customFormat="0" ht="15">
      <c r="B3555" s="69">
        <v>14526947</v>
      </c>
      <c r="C3555" s="70" t="s">
        <v>2606</v>
      </c>
      <c r="D3555" s="70" t="s">
        <v>1</v>
      </c>
      <c r="E3555" s="70" t="s">
        <v>1</v>
      </c>
      <c r="F3555" s="70"/>
      <c r="G3555" s="70" t="s">
        <v>61</v>
      </c>
      <c r="H3555" s="70" t="s">
        <v>178</v>
      </c>
      <c r="I3555" s="70" t="s">
        <v>188</v>
      </c>
      <c r="J3555" s="71">
        <f>IF(OR(I3555=0,I3555=""),"unrated",VLOOKUP(I3555,MappingTables!$B$19:$C$31,2,FALSE))</f>
        <v>2</v>
      </c>
      <c r="K3555" s="72">
        <v>25159.080247552944</v>
      </c>
      <c r="L3555" s="70">
        <v>3.2980826072674324</v>
      </c>
      <c r="M3555" s="71">
        <f>IF(L3555&lt;1,1,L3555)</f>
        <v>3.2980826072674324</v>
      </c>
      <c r="N3555" s="70" t="s">
        <v>141</v>
      </c>
      <c r="O3555" s="71">
        <f>INDEX(DurClassMapping,MATCH(M3555,MappingTables!$D$4:$D$8,-1),1)</f>
        <v>1</v>
      </c>
      <c r="P3555" s="73">
        <f>IF(M3555=$A$1,1,$M3555-INDEX(MappingTables!$E$4:$E$8,MATCH(O3555,MappingTables!$B$4:$B$8,0)))</f>
        <v>3.2980826072674324</v>
      </c>
      <c r="Q3555" s="71">
        <f>IF(B3555="",0,INDEX(ModelParameters!$D$6:$K$10,MATCH($O3555,ModelParameters!$B$6:$B$10,0),MATCH($J3555,ModelParameters!$D$5:$K$5,0)))</f>
        <v>0.013999999999999998</v>
      </c>
      <c r="R3555" s="71">
        <f>IF(B3555="",0,INDEX(ModelParameters!$D$13:$K$17,MATCH($O3555,ModelParameters!$B$13:$B$17,0),MATCH($J3555,ModelParameters!$D$5:$K$5,0)))</f>
        <v>0</v>
      </c>
      <c r="S3555" s="160">
        <f>IF(B3555="",0,MIN(IF($N3555="Other Bond TM",ModelParameters!$N$21,1)*(P3555*Q3555+R3555),1))</f>
        <v>0.046173156501744048</v>
      </c>
      <c r="T3555" s="85">
        <f>IF(B3555="",0,$S3555*$K3555)</f>
        <v>1161.6741497101996</v>
      </c>
      <c r="U3555" s="85">
        <f>IF(B3555="",0,IF(OR(H3555=MappingTables!$C$34,H3555=MappingTables!$C$35),T3555,0))</f>
        <v>0</v>
      </c>
      <c r="V3555" s="85">
        <f>IF(ISNA(IF(AND(VLOOKUP(CONCATENATE($D3555,$G3555),CSRFinput!$B:$E,4,0)=0,OR(H3555=MappingTables!$C$34,H3555=MappingTables!$C$35)),1,VLOOKUP(CONCATENATE($D3555,$G3555),CSRFinput!$B:$E,4,0))),0,IF(AND(VLOOKUP(CONCATENATE($D3555,$G3555),CSRFinput!$B:$E,4,0)=0,OR(H3555=MappingTables!$C$34,H3555=MappingTables!$C$35)),1,VLOOKUP(CONCATENATE($D3555,$G3555),CSRFinput!$B:$E,4,0)))</f>
        <v>0.054776304963434752</v>
      </c>
      <c r="W3555" s="85">
        <f>IF(B3555="",0,+$T3555*$V3555)</f>
        <v>63.632217492664648</v>
      </c>
      <c r="X3555" s="85">
        <f>IF(B3555="",0,IF(OR(H3555=MappingTables!$C$34,H3555=MappingTables!$C$35),W3555,0))</f>
        <v>0</v>
      </c>
    </row>
    <row r="3556" spans="2:24" s="0" customFormat="0" ht="15">
      <c r="B3556" s="69" t="s">
        <v>2029</v>
      </c>
      <c r="C3556" s="70" t="s">
        <v>2030</v>
      </c>
      <c r="D3556" s="70" t="s">
        <v>1</v>
      </c>
      <c r="E3556" s="70" t="s">
        <v>1</v>
      </c>
      <c r="F3556" s="70"/>
      <c r="G3556" s="70" t="s">
        <v>61</v>
      </c>
      <c r="H3556" s="70" t="s">
        <v>178</v>
      </c>
      <c r="I3556" s="70" t="s">
        <v>181</v>
      </c>
      <c r="J3556" s="71">
        <f>IF(OR(I3556=0,I3556=""),"unrated",VLOOKUP(I3556,MappingTables!$B$19:$C$31,2,FALSE))</f>
        <v>3</v>
      </c>
      <c r="K3556" s="72">
        <v>199.48308094726352</v>
      </c>
      <c r="L3556" s="70">
        <v>4.3919725443413288</v>
      </c>
      <c r="M3556" s="71">
        <f>IF(L3556&lt;1,1,L3556)</f>
        <v>4.3919725443413288</v>
      </c>
      <c r="N3556" s="70" t="s">
        <v>141</v>
      </c>
      <c r="O3556" s="71">
        <f>INDEX(DurClassMapping,MATCH(M3556,MappingTables!$D$4:$D$8,-1),1)</f>
        <v>1</v>
      </c>
      <c r="P3556" s="73">
        <f>IF(M3556=$A$1,1,$M3556-INDEX(MappingTables!$E$4:$E$8,MATCH(O3556,MappingTables!$B$4:$B$8,0)))</f>
        <v>4.3919725443413288</v>
      </c>
      <c r="Q3556" s="71">
        <f>IF(B3556="",0,INDEX(ModelParameters!$D$6:$K$10,MATCH($O3556,ModelParameters!$B$6:$B$10,0),MATCH($J3556,ModelParameters!$D$5:$K$5,0)))</f>
        <v>0.025</v>
      </c>
      <c r="R3556" s="71">
        <f>IF(B3556="",0,INDEX(ModelParameters!$D$13:$K$17,MATCH($O3556,ModelParameters!$B$13:$B$17,0),MATCH($J3556,ModelParameters!$D$5:$K$5,0)))</f>
        <v>0</v>
      </c>
      <c r="S3556" s="160">
        <f>IF(B3556="",0,MIN(IF($N3556="Other Bond TM",ModelParameters!$N$21,1)*(P3556*Q3556+R3556),1))</f>
        <v>0.10979931360853322</v>
      </c>
      <c r="T3556" s="85">
        <f>IF(B3556="",0,$S3556*$K3556)</f>
        <v>21.903105364525004</v>
      </c>
      <c r="U3556" s="85">
        <f>IF(B3556="",0,IF(OR(H3556=MappingTables!$C$34,H3556=MappingTables!$C$35),T3556,0))</f>
        <v>0</v>
      </c>
      <c r="V3556" s="85">
        <f>IF(ISNA(IF(AND(VLOOKUP(CONCATENATE($D3556,$G3556),CSRFinput!$B:$E,4,0)=0,OR(H3556=MappingTables!$C$34,H3556=MappingTables!$C$35)),1,VLOOKUP(CONCATENATE($D3556,$G3556),CSRFinput!$B:$E,4,0))),0,IF(AND(VLOOKUP(CONCATENATE($D3556,$G3556),CSRFinput!$B:$E,4,0)=0,OR(H3556=MappingTables!$C$34,H3556=MappingTables!$C$35)),1,VLOOKUP(CONCATENATE($D3556,$G3556),CSRFinput!$B:$E,4,0)))</f>
        <v>0.054776304963434752</v>
      </c>
      <c r="W3556" s="85">
        <f>IF(B3556="",0,+$T3556*$V3556)</f>
        <v>1.1997711790934654</v>
      </c>
      <c r="X3556" s="85">
        <f>IF(B3556="",0,IF(OR(H3556=MappingTables!$C$34,H3556=MappingTables!$C$35),W3556,0))</f>
        <v>0</v>
      </c>
    </row>
    <row r="3557" spans="2:24" s="0" customFormat="0" ht="15">
      <c r="B3557" s="69">
        <v>13412742</v>
      </c>
      <c r="C3557" s="70" t="s">
        <v>1396</v>
      </c>
      <c r="D3557" s="70" t="s">
        <v>1</v>
      </c>
      <c r="E3557" s="70" t="s">
        <v>1</v>
      </c>
      <c r="F3557" s="70"/>
      <c r="G3557" s="70" t="s">
        <v>61</v>
      </c>
      <c r="H3557" s="70" t="s">
        <v>178</v>
      </c>
      <c r="I3557" s="70" t="s">
        <v>181</v>
      </c>
      <c r="J3557" s="71">
        <f>IF(OR(I3557=0,I3557=""),"unrated",VLOOKUP(I3557,MappingTables!$B$19:$C$31,2,FALSE))</f>
        <v>3</v>
      </c>
      <c r="K3557" s="72">
        <v>2386.7470345817516</v>
      </c>
      <c r="L3557" s="70">
        <v>1.1208346361644704</v>
      </c>
      <c r="M3557" s="71">
        <f>IF(L3557&lt;1,1,L3557)</f>
        <v>1.1208346361644704</v>
      </c>
      <c r="N3557" s="70" t="s">
        <v>141</v>
      </c>
      <c r="O3557" s="71">
        <f>INDEX(DurClassMapping,MATCH(M3557,MappingTables!$D$4:$D$8,-1),1)</f>
        <v>1</v>
      </c>
      <c r="P3557" s="73">
        <f>IF(M3557=$A$1,1,$M3557-INDEX(MappingTables!$E$4:$E$8,MATCH(O3557,MappingTables!$B$4:$B$8,0)))</f>
        <v>1.1208346361644704</v>
      </c>
      <c r="Q3557" s="71">
        <f>IF(B3557="",0,INDEX(ModelParameters!$D$6:$K$10,MATCH($O3557,ModelParameters!$B$6:$B$10,0),MATCH($J3557,ModelParameters!$D$5:$K$5,0)))</f>
        <v>0.025</v>
      </c>
      <c r="R3557" s="71">
        <f>IF(B3557="",0,INDEX(ModelParameters!$D$13:$K$17,MATCH($O3557,ModelParameters!$B$13:$B$17,0),MATCH($J3557,ModelParameters!$D$5:$K$5,0)))</f>
        <v>0</v>
      </c>
      <c r="S3557" s="160">
        <f>IF(B3557="",0,MIN(IF($N3557="Other Bond TM",ModelParameters!$N$21,1)*(P3557*Q3557+R3557),1))</f>
        <v>0.02802086590411176</v>
      </c>
      <c r="T3557" s="85">
        <f>IF(B3557="",0,$S3557*$K3557)</f>
        <v>66.878718603051656</v>
      </c>
      <c r="U3557" s="85">
        <f>IF(B3557="",0,IF(OR(H3557=MappingTables!$C$34,H3557=MappingTables!$C$35),T3557,0))</f>
        <v>0</v>
      </c>
      <c r="V3557" s="85">
        <f>IF(ISNA(IF(AND(VLOOKUP(CONCATENATE($D3557,$G3557),CSRFinput!$B:$E,4,0)=0,OR(H3557=MappingTables!$C$34,H3557=MappingTables!$C$35)),1,VLOOKUP(CONCATENATE($D3557,$G3557),CSRFinput!$B:$E,4,0))),0,IF(AND(VLOOKUP(CONCATENATE($D3557,$G3557),CSRFinput!$B:$E,4,0)=0,OR(H3557=MappingTables!$C$34,H3557=MappingTables!$C$35)),1,VLOOKUP(CONCATENATE($D3557,$G3557),CSRFinput!$B:$E,4,0)))</f>
        <v>0.054776304963434752</v>
      </c>
      <c r="W3557" s="85">
        <f>IF(B3557="",0,+$T3557*$V3557)</f>
        <v>3.6633690857644944</v>
      </c>
      <c r="X3557" s="85">
        <f>IF(B3557="",0,IF(OR(H3557=MappingTables!$C$34,H3557=MappingTables!$C$35),W3557,0))</f>
        <v>0</v>
      </c>
    </row>
    <row r="3558" spans="2:24" s="0" customFormat="0" ht="15">
      <c r="B3558" s="69">
        <v>21150138</v>
      </c>
      <c r="C3558" s="70" t="s">
        <v>2884</v>
      </c>
      <c r="D3558" s="70" t="s">
        <v>1</v>
      </c>
      <c r="E3558" s="70" t="s">
        <v>1</v>
      </c>
      <c r="F3558" s="70"/>
      <c r="G3558" s="70" t="s">
        <v>61</v>
      </c>
      <c r="H3558" s="70" t="s">
        <v>178</v>
      </c>
      <c r="I3558" s="70" t="s">
        <v>179</v>
      </c>
      <c r="J3558" s="71">
        <f>IF(OR(I3558=0,I3558=""),"unrated",VLOOKUP(I3558,MappingTables!$B$19:$C$31,2,FALSE))</f>
        <v>4</v>
      </c>
      <c r="K3558" s="72">
        <v>3744.796910404196</v>
      </c>
      <c r="L3558" s="70">
        <v>1.6585739571386286</v>
      </c>
      <c r="M3558" s="71">
        <f>IF(L3558&lt;1,1,L3558)</f>
        <v>1.6585739571386286</v>
      </c>
      <c r="N3558" s="70" t="s">
        <v>141</v>
      </c>
      <c r="O3558" s="71">
        <f>INDEX(DurClassMapping,MATCH(M3558,MappingTables!$D$4:$D$8,-1),1)</f>
        <v>1</v>
      </c>
      <c r="P3558" s="73">
        <f>IF(M3558=$A$1,1,$M3558-INDEX(MappingTables!$E$4:$E$8,MATCH(O3558,MappingTables!$B$4:$B$8,0)))</f>
        <v>1.6585739571386286</v>
      </c>
      <c r="Q3558" s="71">
        <f>IF(B3558="",0,INDEX(ModelParameters!$D$6:$K$10,MATCH($O3558,ModelParameters!$B$6:$B$10,0),MATCH($J3558,ModelParameters!$D$5:$K$5,0)))</f>
        <v>0.045</v>
      </c>
      <c r="R3558" s="71">
        <f>IF(B3558="",0,INDEX(ModelParameters!$D$13:$K$17,MATCH($O3558,ModelParameters!$B$13:$B$17,0),MATCH($J3558,ModelParameters!$D$5:$K$5,0)))</f>
        <v>0</v>
      </c>
      <c r="S3558" s="160">
        <f>IF(B3558="",0,MIN(IF($N3558="Other Bond TM",ModelParameters!$N$21,1)*(P3558*Q3558+R3558),1))</f>
        <v>0.074635828071238288</v>
      </c>
      <c r="T3558" s="85">
        <f>IF(B3558="",0,$S3558*$K3558)</f>
        <v>279.49601836663192</v>
      </c>
      <c r="U3558" s="85">
        <f>IF(B3558="",0,IF(OR(H3558=MappingTables!$C$34,H3558=MappingTables!$C$35),T3558,0))</f>
        <v>0</v>
      </c>
      <c r="V3558" s="85">
        <f>IF(ISNA(IF(AND(VLOOKUP(CONCATENATE($D3558,$G3558),CSRFinput!$B:$E,4,0)=0,OR(H3558=MappingTables!$C$34,H3558=MappingTables!$C$35)),1,VLOOKUP(CONCATENATE($D3558,$G3558),CSRFinput!$B:$E,4,0))),0,IF(AND(VLOOKUP(CONCATENATE($D3558,$G3558),CSRFinput!$B:$E,4,0)=0,OR(H3558=MappingTables!$C$34,H3558=MappingTables!$C$35)),1,VLOOKUP(CONCATENATE($D3558,$G3558),CSRFinput!$B:$E,4,0)))</f>
        <v>0.054776304963434752</v>
      </c>
      <c r="W3558" s="85">
        <f>IF(B3558="",0,+$T3558*$V3558)</f>
        <v>15.30975913811639</v>
      </c>
      <c r="X3558" s="85">
        <f>IF(B3558="",0,IF(OR(H3558=MappingTables!$C$34,H3558=MappingTables!$C$35),W3558,0))</f>
        <v>0</v>
      </c>
    </row>
    <row r="3559" spans="2:24" s="0" customFormat="0" ht="15">
      <c r="B3559" s="69" t="s">
        <v>2317</v>
      </c>
      <c r="C3559" s="70" t="s">
        <v>2318</v>
      </c>
      <c r="D3559" s="70" t="s">
        <v>1</v>
      </c>
      <c r="E3559" s="70" t="s">
        <v>1</v>
      </c>
      <c r="F3559" s="70"/>
      <c r="G3559" s="70" t="s">
        <v>61</v>
      </c>
      <c r="H3559" s="70" t="s">
        <v>178</v>
      </c>
      <c r="I3559" s="70" t="s">
        <v>179</v>
      </c>
      <c r="J3559" s="71">
        <f>IF(OR(I3559=0,I3559=""),"unrated",VLOOKUP(I3559,MappingTables!$B$19:$C$31,2,FALSE))</f>
        <v>4</v>
      </c>
      <c r="K3559" s="72">
        <v>124.86177415477396</v>
      </c>
      <c r="L3559" s="70">
        <v>4.525476528741916</v>
      </c>
      <c r="M3559" s="71">
        <f>IF(L3559&lt;1,1,L3559)</f>
        <v>4.525476528741916</v>
      </c>
      <c r="N3559" s="70" t="s">
        <v>141</v>
      </c>
      <c r="O3559" s="71">
        <f>INDEX(DurClassMapping,MATCH(M3559,MappingTables!$D$4:$D$8,-1),1)</f>
        <v>1</v>
      </c>
      <c r="P3559" s="73">
        <f>IF(M3559=$A$1,1,$M3559-INDEX(MappingTables!$E$4:$E$8,MATCH(O3559,MappingTables!$B$4:$B$8,0)))</f>
        <v>4.525476528741916</v>
      </c>
      <c r="Q3559" s="71">
        <f>IF(B3559="",0,INDEX(ModelParameters!$D$6:$K$10,MATCH($O3559,ModelParameters!$B$6:$B$10,0),MATCH($J3559,ModelParameters!$D$5:$K$5,0)))</f>
        <v>0.045</v>
      </c>
      <c r="R3559" s="71">
        <f>IF(B3559="",0,INDEX(ModelParameters!$D$13:$K$17,MATCH($O3559,ModelParameters!$B$13:$B$17,0),MATCH($J3559,ModelParameters!$D$5:$K$5,0)))</f>
        <v>0</v>
      </c>
      <c r="S3559" s="160">
        <f>IF(B3559="",0,MIN(IF($N3559="Other Bond TM",ModelParameters!$N$21,1)*(P3559*Q3559+R3559),1))</f>
        <v>0.20364644379338624</v>
      </c>
      <c r="T3559" s="85">
        <f>IF(B3559="",0,$S3559*$K3559)</f>
        <v>25.427656272352664</v>
      </c>
      <c r="U3559" s="85">
        <f>IF(B3559="",0,IF(OR(H3559=MappingTables!$C$34,H3559=MappingTables!$C$35),T3559,0))</f>
        <v>0</v>
      </c>
      <c r="V3559" s="85">
        <f>IF(ISNA(IF(AND(VLOOKUP(CONCATENATE($D3559,$G3559),CSRFinput!$B:$E,4,0)=0,OR(H3559=MappingTables!$C$34,H3559=MappingTables!$C$35)),1,VLOOKUP(CONCATENATE($D3559,$G3559),CSRFinput!$B:$E,4,0))),0,IF(AND(VLOOKUP(CONCATENATE($D3559,$G3559),CSRFinput!$B:$E,4,0)=0,OR(H3559=MappingTables!$C$34,H3559=MappingTables!$C$35)),1,VLOOKUP(CONCATENATE($D3559,$G3559),CSRFinput!$B:$E,4,0)))</f>
        <v>0.054776304963434752</v>
      </c>
      <c r="W3559" s="85">
        <f>IF(B3559="",0,+$T3559*$V3559)</f>
        <v>1.392833054479784</v>
      </c>
      <c r="X3559" s="85">
        <f>IF(B3559="",0,IF(OR(H3559=MappingTables!$C$34,H3559=MappingTables!$C$35),W3559,0))</f>
        <v>0</v>
      </c>
    </row>
    <row r="3560" spans="2:24" s="0" customFormat="0" ht="15">
      <c r="B3560" s="69" t="s">
        <v>2885</v>
      </c>
      <c r="C3560" s="70" t="s">
        <v>2886</v>
      </c>
      <c r="D3560" s="70" t="s">
        <v>1</v>
      </c>
      <c r="E3560" s="70" t="s">
        <v>1</v>
      </c>
      <c r="F3560" s="70"/>
      <c r="G3560" s="70" t="s">
        <v>61</v>
      </c>
      <c r="H3560" s="70" t="s">
        <v>178</v>
      </c>
      <c r="I3560" s="70" t="s">
        <v>181</v>
      </c>
      <c r="J3560" s="71">
        <f>IF(OR(I3560=0,I3560=""),"unrated",VLOOKUP(I3560,MappingTables!$B$19:$C$31,2,FALSE))</f>
        <v>3</v>
      </c>
      <c r="K3560" s="72">
        <v>0.40198713370921328</v>
      </c>
      <c r="L3560" s="70">
        <v>0.39999939624440936</v>
      </c>
      <c r="M3560" s="71">
        <f>IF(L3560&lt;1,1,L3560)</f>
        <v>1</v>
      </c>
      <c r="N3560" s="70" t="s">
        <v>141</v>
      </c>
      <c r="O3560" s="71">
        <f>INDEX(DurClassMapping,MATCH(M3560,MappingTables!$D$4:$D$8,-1),1)</f>
        <v>1</v>
      </c>
      <c r="P3560" s="73">
        <f>IF(M3560=$A$1,1,$M3560-INDEX(MappingTables!$E$4:$E$8,MATCH(O3560,MappingTables!$B$4:$B$8,0)))</f>
        <v>1</v>
      </c>
      <c r="Q3560" s="71">
        <f>IF(B3560="",0,INDEX(ModelParameters!$D$6:$K$10,MATCH($O3560,ModelParameters!$B$6:$B$10,0),MATCH($J3560,ModelParameters!$D$5:$K$5,0)))</f>
        <v>0.025</v>
      </c>
      <c r="R3560" s="71">
        <f>IF(B3560="",0,INDEX(ModelParameters!$D$13:$K$17,MATCH($O3560,ModelParameters!$B$13:$B$17,0),MATCH($J3560,ModelParameters!$D$5:$K$5,0)))</f>
        <v>0</v>
      </c>
      <c r="S3560" s="160">
        <f>IF(B3560="",0,MIN(IF($N3560="Other Bond TM",ModelParameters!$N$21,1)*(P3560*Q3560+R3560),1))</f>
        <v>0.025</v>
      </c>
      <c r="T3560" s="85">
        <f>IF(B3560="",0,$S3560*$K3560)</f>
        <v>0.010049678342730334</v>
      </c>
      <c r="U3560" s="85">
        <f>IF(B3560="",0,IF(OR(H3560=MappingTables!$C$34,H3560=MappingTables!$C$35),T3560,0))</f>
        <v>0</v>
      </c>
      <c r="V3560" s="85">
        <f>IF(ISNA(IF(AND(VLOOKUP(CONCATENATE($D3560,$G3560),CSRFinput!$B:$E,4,0)=0,OR(H3560=MappingTables!$C$34,H3560=MappingTables!$C$35)),1,VLOOKUP(CONCATENATE($D3560,$G3560),CSRFinput!$B:$E,4,0))),0,IF(AND(VLOOKUP(CONCATENATE($D3560,$G3560),CSRFinput!$B:$E,4,0)=0,OR(H3560=MappingTables!$C$34,H3560=MappingTables!$C$35)),1,VLOOKUP(CONCATENATE($D3560,$G3560),CSRFinput!$B:$E,4,0)))</f>
        <v>0.054776304963434752</v>
      </c>
      <c r="W3560" s="85">
        <f>IF(B3560="",0,+$T3560*$V3560)</f>
        <v>0.00055048424568582232</v>
      </c>
      <c r="X3560" s="85">
        <f>IF(B3560="",0,IF(OR(H3560=MappingTables!$C$34,H3560=MappingTables!$C$35),W3560,0))</f>
        <v>0</v>
      </c>
    </row>
    <row r="3561" spans="2:24" s="0" customFormat="0" ht="15">
      <c r="B3561" s="69">
        <v>25212139</v>
      </c>
      <c r="C3561" s="70" t="s">
        <v>2887</v>
      </c>
      <c r="D3561" s="70" t="s">
        <v>1</v>
      </c>
      <c r="E3561" s="70" t="s">
        <v>1</v>
      </c>
      <c r="F3561" s="70"/>
      <c r="G3561" s="70" t="s">
        <v>61</v>
      </c>
      <c r="H3561" s="70" t="s">
        <v>178</v>
      </c>
      <c r="I3561" s="70" t="s">
        <v>188</v>
      </c>
      <c r="J3561" s="71">
        <f>IF(OR(I3561=0,I3561=""),"unrated",VLOOKUP(I3561,MappingTables!$B$19:$C$31,2,FALSE))</f>
        <v>2</v>
      </c>
      <c r="K3561" s="72">
        <v>1325.3788065174722</v>
      </c>
      <c r="L3561" s="70">
        <v>1.8490355515818864</v>
      </c>
      <c r="M3561" s="71">
        <f>IF(L3561&lt;1,1,L3561)</f>
        <v>1.8490355515818864</v>
      </c>
      <c r="N3561" s="70" t="s">
        <v>141</v>
      </c>
      <c r="O3561" s="71">
        <f>INDEX(DurClassMapping,MATCH(M3561,MappingTables!$D$4:$D$8,-1),1)</f>
        <v>1</v>
      </c>
      <c r="P3561" s="73">
        <f>IF(M3561=$A$1,1,$M3561-INDEX(MappingTables!$E$4:$E$8,MATCH(O3561,MappingTables!$B$4:$B$8,0)))</f>
        <v>1.8490355515818864</v>
      </c>
      <c r="Q3561" s="71">
        <f>IF(B3561="",0,INDEX(ModelParameters!$D$6:$K$10,MATCH($O3561,ModelParameters!$B$6:$B$10,0),MATCH($J3561,ModelParameters!$D$5:$K$5,0)))</f>
        <v>0.013999999999999998</v>
      </c>
      <c r="R3561" s="71">
        <f>IF(B3561="",0,INDEX(ModelParameters!$D$13:$K$17,MATCH($O3561,ModelParameters!$B$13:$B$17,0),MATCH($J3561,ModelParameters!$D$5:$K$5,0)))</f>
        <v>0</v>
      </c>
      <c r="S3561" s="160">
        <f>IF(B3561="",0,MIN(IF($N3561="Other Bond TM",ModelParameters!$N$21,1)*(P3561*Q3561+R3561),1))</f>
        <v>0.025886497722146408</v>
      </c>
      <c r="T3561" s="85">
        <f>IF(B3561="",0,$S3561*$K3561)</f>
        <v>34.309415455895668</v>
      </c>
      <c r="U3561" s="85">
        <f>IF(B3561="",0,IF(OR(H3561=MappingTables!$C$34,H3561=MappingTables!$C$35),T3561,0))</f>
        <v>0</v>
      </c>
      <c r="V3561" s="85">
        <f>IF(ISNA(IF(AND(VLOOKUP(CONCATENATE($D3561,$G3561),CSRFinput!$B:$E,4,0)=0,OR(H3561=MappingTables!$C$34,H3561=MappingTables!$C$35)),1,VLOOKUP(CONCATENATE($D3561,$G3561),CSRFinput!$B:$E,4,0))),0,IF(AND(VLOOKUP(CONCATENATE($D3561,$G3561),CSRFinput!$B:$E,4,0)=0,OR(H3561=MappingTables!$C$34,H3561=MappingTables!$C$35)),1,VLOOKUP(CONCATENATE($D3561,$G3561),CSRFinput!$B:$E,4,0)))</f>
        <v>0.054776304963434752</v>
      </c>
      <c r="W3561" s="85">
        <f>IF(B3561="",0,+$T3561*$V3561)</f>
        <v>1.8793430041293228</v>
      </c>
      <c r="X3561" s="85">
        <f>IF(B3561="",0,IF(OR(H3561=MappingTables!$C$34,H3561=MappingTables!$C$35),W3561,0))</f>
        <v>0</v>
      </c>
    </row>
    <row r="3562" spans="2:24" s="0" customFormat="0" ht="15">
      <c r="B3562" s="69" t="s">
        <v>2888</v>
      </c>
      <c r="C3562" s="70" t="s">
        <v>2889</v>
      </c>
      <c r="D3562" s="70" t="s">
        <v>1</v>
      </c>
      <c r="E3562" s="70" t="s">
        <v>1</v>
      </c>
      <c r="F3562" s="70"/>
      <c r="G3562" s="70" t="s">
        <v>61</v>
      </c>
      <c r="H3562" s="70" t="s">
        <v>178</v>
      </c>
      <c r="I3562" s="70" t="s">
        <v>188</v>
      </c>
      <c r="J3562" s="71">
        <f>IF(OR(I3562=0,I3562=""),"unrated",VLOOKUP(I3562,MappingTables!$B$19:$C$31,2,FALSE))</f>
        <v>2</v>
      </c>
      <c r="K3562" s="72">
        <v>192.07872103835048</v>
      </c>
      <c r="L3562" s="70">
        <v>4.3054605733751296</v>
      </c>
      <c r="M3562" s="71">
        <f>IF(L3562&lt;1,1,L3562)</f>
        <v>4.3054605733751296</v>
      </c>
      <c r="N3562" s="70" t="s">
        <v>141</v>
      </c>
      <c r="O3562" s="71">
        <f>INDEX(DurClassMapping,MATCH(M3562,MappingTables!$D$4:$D$8,-1),1)</f>
        <v>1</v>
      </c>
      <c r="P3562" s="73">
        <f>IF(M3562=$A$1,1,$M3562-INDEX(MappingTables!$E$4:$E$8,MATCH(O3562,MappingTables!$B$4:$B$8,0)))</f>
        <v>4.3054605733751296</v>
      </c>
      <c r="Q3562" s="71">
        <f>IF(B3562="",0,INDEX(ModelParameters!$D$6:$K$10,MATCH($O3562,ModelParameters!$B$6:$B$10,0),MATCH($J3562,ModelParameters!$D$5:$K$5,0)))</f>
        <v>0.013999999999999998</v>
      </c>
      <c r="R3562" s="71">
        <f>IF(B3562="",0,INDEX(ModelParameters!$D$13:$K$17,MATCH($O3562,ModelParameters!$B$13:$B$17,0),MATCH($J3562,ModelParameters!$D$5:$K$5,0)))</f>
        <v>0</v>
      </c>
      <c r="S3562" s="160">
        <f>IF(B3562="",0,MIN(IF($N3562="Other Bond TM",ModelParameters!$N$21,1)*(P3562*Q3562+R3562),1))</f>
        <v>0.060276448027251808</v>
      </c>
      <c r="T3562" s="85">
        <f>IF(B3562="",0,$S3562*$K3562)</f>
        <v>11.577823045809132</v>
      </c>
      <c r="U3562" s="85">
        <f>IF(B3562="",0,IF(OR(H3562=MappingTables!$C$34,H3562=MappingTables!$C$35),T3562,0))</f>
        <v>0</v>
      </c>
      <c r="V3562" s="85">
        <f>IF(ISNA(IF(AND(VLOOKUP(CONCATENATE($D3562,$G3562),CSRFinput!$B:$E,4,0)=0,OR(H3562=MappingTables!$C$34,H3562=MappingTables!$C$35)),1,VLOOKUP(CONCATENATE($D3562,$G3562),CSRFinput!$B:$E,4,0))),0,IF(AND(VLOOKUP(CONCATENATE($D3562,$G3562),CSRFinput!$B:$E,4,0)=0,OR(H3562=MappingTables!$C$34,H3562=MappingTables!$C$35)),1,VLOOKUP(CONCATENATE($D3562,$G3562),CSRFinput!$B:$E,4,0)))</f>
        <v>0.054776304963434752</v>
      </c>
      <c r="W3562" s="85">
        <f>IF(B3562="",0,+$T3562*$V3562)</f>
        <v>0.63419036596992408</v>
      </c>
      <c r="X3562" s="85">
        <f>IF(B3562="",0,IF(OR(H3562=MappingTables!$C$34,H3562=MappingTables!$C$35),W3562,0))</f>
        <v>0</v>
      </c>
    </row>
    <row r="3563" spans="2:24" s="0" customFormat="0" ht="15">
      <c r="B3563" s="69" t="s">
        <v>1496</v>
      </c>
      <c r="C3563" s="70" t="s">
        <v>1497</v>
      </c>
      <c r="D3563" s="70" t="s">
        <v>1</v>
      </c>
      <c r="E3563" s="70" t="s">
        <v>1</v>
      </c>
      <c r="F3563" s="70"/>
      <c r="G3563" s="70" t="s">
        <v>61</v>
      </c>
      <c r="H3563" s="70" t="s">
        <v>178</v>
      </c>
      <c r="I3563" s="70" t="s">
        <v>188</v>
      </c>
      <c r="J3563" s="71">
        <f>IF(OR(I3563=0,I3563=""),"unrated",VLOOKUP(I3563,MappingTables!$B$19:$C$31,2,FALSE))</f>
        <v>2</v>
      </c>
      <c r="K3563" s="72">
        <v>1721.0896995590608</v>
      </c>
      <c r="L3563" s="70">
        <v>1.431564760594543</v>
      </c>
      <c r="M3563" s="71">
        <f>IF(L3563&lt;1,1,L3563)</f>
        <v>1.431564760594543</v>
      </c>
      <c r="N3563" s="70" t="s">
        <v>141</v>
      </c>
      <c r="O3563" s="71">
        <f>INDEX(DurClassMapping,MATCH(M3563,MappingTables!$D$4:$D$8,-1),1)</f>
        <v>1</v>
      </c>
      <c r="P3563" s="73">
        <f>IF(M3563=$A$1,1,$M3563-INDEX(MappingTables!$E$4:$E$8,MATCH(O3563,MappingTables!$B$4:$B$8,0)))</f>
        <v>1.431564760594543</v>
      </c>
      <c r="Q3563" s="71">
        <f>IF(B3563="",0,INDEX(ModelParameters!$D$6:$K$10,MATCH($O3563,ModelParameters!$B$6:$B$10,0),MATCH($J3563,ModelParameters!$D$5:$K$5,0)))</f>
        <v>0.013999999999999998</v>
      </c>
      <c r="R3563" s="71">
        <f>IF(B3563="",0,INDEX(ModelParameters!$D$13:$K$17,MATCH($O3563,ModelParameters!$B$13:$B$17,0),MATCH($J3563,ModelParameters!$D$5:$K$5,0)))</f>
        <v>0</v>
      </c>
      <c r="S3563" s="160">
        <f>IF(B3563="",0,MIN(IF($N3563="Other Bond TM",ModelParameters!$N$21,1)*(P3563*Q3563+R3563),1))</f>
        <v>0.020041906648323596</v>
      </c>
      <c r="T3563" s="85">
        <f>IF(B3563="",0,$S3563*$K3563)</f>
        <v>34.493919091954004</v>
      </c>
      <c r="U3563" s="85">
        <f>IF(B3563="",0,IF(OR(H3563=MappingTables!$C$34,H3563=MappingTables!$C$35),T3563,0))</f>
        <v>0</v>
      </c>
      <c r="V3563" s="85">
        <f>IF(ISNA(IF(AND(VLOOKUP(CONCATENATE($D3563,$G3563),CSRFinput!$B:$E,4,0)=0,OR(H3563=MappingTables!$C$34,H3563=MappingTables!$C$35)),1,VLOOKUP(CONCATENATE($D3563,$G3563),CSRFinput!$B:$E,4,0))),0,IF(AND(VLOOKUP(CONCATENATE($D3563,$G3563),CSRFinput!$B:$E,4,0)=0,OR(H3563=MappingTables!$C$34,H3563=MappingTables!$C$35)),1,VLOOKUP(CONCATENATE($D3563,$G3563),CSRFinput!$B:$E,4,0)))</f>
        <v>0.054776304963434752</v>
      </c>
      <c r="W3563" s="85">
        <f>IF(B3563="",0,+$T3563*$V3563)</f>
        <v>1.8894494315649172</v>
      </c>
      <c r="X3563" s="85">
        <f>IF(B3563="",0,IF(OR(H3563=MappingTables!$C$34,H3563=MappingTables!$C$35),W3563,0))</f>
        <v>0</v>
      </c>
    </row>
    <row r="3564" spans="2:24" s="0" customFormat="0" ht="15">
      <c r="B3564" s="69">
        <v>22817934</v>
      </c>
      <c r="C3564" s="70" t="s">
        <v>2890</v>
      </c>
      <c r="D3564" s="70" t="s">
        <v>1</v>
      </c>
      <c r="E3564" s="70" t="s">
        <v>1</v>
      </c>
      <c r="F3564" s="70"/>
      <c r="G3564" s="70" t="s">
        <v>61</v>
      </c>
      <c r="H3564" s="70" t="s">
        <v>178</v>
      </c>
      <c r="I3564" s="70" t="s">
        <v>184</v>
      </c>
      <c r="J3564" s="71">
        <f>IF(OR(I3564=0,I3564=""),"unrated",VLOOKUP(I3564,MappingTables!$B$19:$C$31,2,FALSE))</f>
        <v>5</v>
      </c>
      <c r="K3564" s="72">
        <v>244.20450306676544</v>
      </c>
      <c r="L3564" s="70">
        <v>2.16730293836346</v>
      </c>
      <c r="M3564" s="71">
        <f>IF(L3564&lt;1,1,L3564)</f>
        <v>2.16730293836346</v>
      </c>
      <c r="N3564" s="70" t="s">
        <v>141</v>
      </c>
      <c r="O3564" s="71">
        <f>INDEX(DurClassMapping,MATCH(M3564,MappingTables!$D$4:$D$8,-1),1)</f>
        <v>1</v>
      </c>
      <c r="P3564" s="73">
        <f>IF(M3564=$A$1,1,$M3564-INDEX(MappingTables!$E$4:$E$8,MATCH(O3564,MappingTables!$B$4:$B$8,0)))</f>
        <v>2.16730293836346</v>
      </c>
      <c r="Q3564" s="71">
        <f>IF(B3564="",0,INDEX(ModelParameters!$D$6:$K$10,MATCH($O3564,ModelParameters!$B$6:$B$10,0),MATCH($J3564,ModelParameters!$D$5:$K$5,0)))</f>
        <v>0.075</v>
      </c>
      <c r="R3564" s="71">
        <f>IF(B3564="",0,INDEX(ModelParameters!$D$13:$K$17,MATCH($O3564,ModelParameters!$B$13:$B$17,0),MATCH($J3564,ModelParameters!$D$5:$K$5,0)))</f>
        <v>0</v>
      </c>
      <c r="S3564" s="160">
        <f>IF(B3564="",0,MIN(IF($N3564="Other Bond TM",ModelParameters!$N$21,1)*(P3564*Q3564+R3564),1))</f>
        <v>0.1625477203772595</v>
      </c>
      <c r="T3564" s="85">
        <f>IF(B3564="",0,$S3564*$K3564)</f>
        <v>39.6948852793642</v>
      </c>
      <c r="U3564" s="85">
        <f>IF(B3564="",0,IF(OR(H3564=MappingTables!$C$34,H3564=MappingTables!$C$35),T3564,0))</f>
        <v>0</v>
      </c>
      <c r="V3564" s="85">
        <f>IF(ISNA(IF(AND(VLOOKUP(CONCATENATE($D3564,$G3564),CSRFinput!$B:$E,4,0)=0,OR(H3564=MappingTables!$C$34,H3564=MappingTables!$C$35)),1,VLOOKUP(CONCATENATE($D3564,$G3564),CSRFinput!$B:$E,4,0))),0,IF(AND(VLOOKUP(CONCATENATE($D3564,$G3564),CSRFinput!$B:$E,4,0)=0,OR(H3564=MappingTables!$C$34,H3564=MappingTables!$C$35)),1,VLOOKUP(CONCATENATE($D3564,$G3564),CSRFinput!$B:$E,4,0)))</f>
        <v>0.054776304963434752</v>
      </c>
      <c r="W3564" s="85">
        <f>IF(B3564="",0,+$T3564*$V3564)</f>
        <v>2.1743391415510104</v>
      </c>
      <c r="X3564" s="85">
        <f>IF(B3564="",0,IF(OR(H3564=MappingTables!$C$34,H3564=MappingTables!$C$35),W3564,0))</f>
        <v>0</v>
      </c>
    </row>
    <row r="3565" spans="2:24" s="0" customFormat="0" ht="15">
      <c r="B3565" s="69" t="s">
        <v>2508</v>
      </c>
      <c r="C3565" s="70" t="s">
        <v>2509</v>
      </c>
      <c r="D3565" s="70" t="s">
        <v>1</v>
      </c>
      <c r="E3565" s="70" t="s">
        <v>1</v>
      </c>
      <c r="F3565" s="70"/>
      <c r="G3565" s="70" t="s">
        <v>61</v>
      </c>
      <c r="H3565" s="70" t="s">
        <v>178</v>
      </c>
      <c r="I3565" s="70" t="s">
        <v>179</v>
      </c>
      <c r="J3565" s="71">
        <f>IF(OR(I3565=0,I3565=""),"unrated",VLOOKUP(I3565,MappingTables!$B$19:$C$31,2,FALSE))</f>
        <v>4</v>
      </c>
      <c r="K3565" s="72">
        <v>742.12025692078272</v>
      </c>
      <c r="L3565" s="70">
        <v>2.4824167289926164</v>
      </c>
      <c r="M3565" s="71">
        <f>IF(L3565&lt;1,1,L3565)</f>
        <v>2.4824167289926164</v>
      </c>
      <c r="N3565" s="70" t="s">
        <v>141</v>
      </c>
      <c r="O3565" s="71">
        <f>INDEX(DurClassMapping,MATCH(M3565,MappingTables!$D$4:$D$8,-1),1)</f>
        <v>1</v>
      </c>
      <c r="P3565" s="73">
        <f>IF(M3565=$A$1,1,$M3565-INDEX(MappingTables!$E$4:$E$8,MATCH(O3565,MappingTables!$B$4:$B$8,0)))</f>
        <v>2.4824167289926164</v>
      </c>
      <c r="Q3565" s="71">
        <f>IF(B3565="",0,INDEX(ModelParameters!$D$6:$K$10,MATCH($O3565,ModelParameters!$B$6:$B$10,0),MATCH($J3565,ModelParameters!$D$5:$K$5,0)))</f>
        <v>0.045</v>
      </c>
      <c r="R3565" s="71">
        <f>IF(B3565="",0,INDEX(ModelParameters!$D$13:$K$17,MATCH($O3565,ModelParameters!$B$13:$B$17,0),MATCH($J3565,ModelParameters!$D$5:$K$5,0)))</f>
        <v>0</v>
      </c>
      <c r="S3565" s="160">
        <f>IF(B3565="",0,MIN(IF($N3565="Other Bond TM",ModelParameters!$N$21,1)*(P3565*Q3565+R3565),1))</f>
        <v>0.11170875280466772</v>
      </c>
      <c r="T3565" s="85">
        <f>IF(B3565="",0,$S3565*$K3565)</f>
        <v>82.901328331700224</v>
      </c>
      <c r="U3565" s="85">
        <f>IF(B3565="",0,IF(OR(H3565=MappingTables!$C$34,H3565=MappingTables!$C$35),T3565,0))</f>
        <v>0</v>
      </c>
      <c r="V3565" s="85">
        <f>IF(ISNA(IF(AND(VLOOKUP(CONCATENATE($D3565,$G3565),CSRFinput!$B:$E,4,0)=0,OR(H3565=MappingTables!$C$34,H3565=MappingTables!$C$35)),1,VLOOKUP(CONCATENATE($D3565,$G3565),CSRFinput!$B:$E,4,0))),0,IF(AND(VLOOKUP(CONCATENATE($D3565,$G3565),CSRFinput!$B:$E,4,0)=0,OR(H3565=MappingTables!$C$34,H3565=MappingTables!$C$35)),1,VLOOKUP(CONCATENATE($D3565,$G3565),CSRFinput!$B:$E,4,0)))</f>
        <v>0.054776304963434752</v>
      </c>
      <c r="W3565" s="85">
        <f>IF(B3565="",0,+$T3565*$V3565)</f>
        <v>4.5410284425710456</v>
      </c>
      <c r="X3565" s="85">
        <f>IF(B3565="",0,IF(OR(H3565=MappingTables!$C$34,H3565=MappingTables!$C$35),W3565,0))</f>
        <v>0</v>
      </c>
    </row>
    <row r="3566" spans="2:24" s="0" customFormat="0" ht="15">
      <c r="B3566" s="69">
        <v>24426297</v>
      </c>
      <c r="C3566" s="70" t="s">
        <v>2891</v>
      </c>
      <c r="D3566" s="70" t="s">
        <v>1</v>
      </c>
      <c r="E3566" s="70" t="s">
        <v>1</v>
      </c>
      <c r="F3566" s="70"/>
      <c r="G3566" s="70" t="s">
        <v>61</v>
      </c>
      <c r="H3566" s="70" t="s">
        <v>178</v>
      </c>
      <c r="I3566" s="70" t="s">
        <v>181</v>
      </c>
      <c r="J3566" s="71">
        <f>IF(OR(I3566=0,I3566=""),"unrated",VLOOKUP(I3566,MappingTables!$B$19:$C$31,2,FALSE))</f>
        <v>3</v>
      </c>
      <c r="K3566" s="72">
        <v>2710.69886103115</v>
      </c>
      <c r="L3566" s="70">
        <v>2.5729324850606344</v>
      </c>
      <c r="M3566" s="71">
        <f>IF(L3566&lt;1,1,L3566)</f>
        <v>2.5729324850606344</v>
      </c>
      <c r="N3566" s="70" t="s">
        <v>141</v>
      </c>
      <c r="O3566" s="71">
        <f>INDEX(DurClassMapping,MATCH(M3566,MappingTables!$D$4:$D$8,-1),1)</f>
        <v>1</v>
      </c>
      <c r="P3566" s="73">
        <f>IF(M3566=$A$1,1,$M3566-INDEX(MappingTables!$E$4:$E$8,MATCH(O3566,MappingTables!$B$4:$B$8,0)))</f>
        <v>2.5729324850606344</v>
      </c>
      <c r="Q3566" s="71">
        <f>IF(B3566="",0,INDEX(ModelParameters!$D$6:$K$10,MATCH($O3566,ModelParameters!$B$6:$B$10,0),MATCH($J3566,ModelParameters!$D$5:$K$5,0)))</f>
        <v>0.025</v>
      </c>
      <c r="R3566" s="71">
        <f>IF(B3566="",0,INDEX(ModelParameters!$D$13:$K$17,MATCH($O3566,ModelParameters!$B$13:$B$17,0),MATCH($J3566,ModelParameters!$D$5:$K$5,0)))</f>
        <v>0</v>
      </c>
      <c r="S3566" s="160">
        <f>IF(B3566="",0,MIN(IF($N3566="Other Bond TM",ModelParameters!$N$21,1)*(P3566*Q3566+R3566),1))</f>
        <v>0.064323312126515864</v>
      </c>
      <c r="T3566" s="85">
        <f>IF(B3566="",0,$S3566*$K3566)</f>
        <v>174.3611289190977</v>
      </c>
      <c r="U3566" s="85">
        <f>IF(B3566="",0,IF(OR(H3566=MappingTables!$C$34,H3566=MappingTables!$C$35),T3566,0))</f>
        <v>0</v>
      </c>
      <c r="V3566" s="85">
        <f>IF(ISNA(IF(AND(VLOOKUP(CONCATENATE($D3566,$G3566),CSRFinput!$B:$E,4,0)=0,OR(H3566=MappingTables!$C$34,H3566=MappingTables!$C$35)),1,VLOOKUP(CONCATENATE($D3566,$G3566),CSRFinput!$B:$E,4,0))),0,IF(AND(VLOOKUP(CONCATENATE($D3566,$G3566),CSRFinput!$B:$E,4,0)=0,OR(H3566=MappingTables!$C$34,H3566=MappingTables!$C$35)),1,VLOOKUP(CONCATENATE($D3566,$G3566),CSRFinput!$B:$E,4,0)))</f>
        <v>0.054776304963434752</v>
      </c>
      <c r="W3566" s="85">
        <f>IF(B3566="",0,+$T3566*$V3566)</f>
        <v>9.5508583714412576</v>
      </c>
      <c r="X3566" s="85">
        <f>IF(B3566="",0,IF(OR(H3566=MappingTables!$C$34,H3566=MappingTables!$C$35),W3566,0))</f>
        <v>0</v>
      </c>
    </row>
    <row r="3567" spans="2:24" s="0" customFormat="0" ht="15">
      <c r="B3567" s="69" t="s">
        <v>1249</v>
      </c>
      <c r="C3567" s="70" t="s">
        <v>1250</v>
      </c>
      <c r="D3567" s="70" t="s">
        <v>1</v>
      </c>
      <c r="E3567" s="70" t="s">
        <v>1</v>
      </c>
      <c r="F3567" s="70"/>
      <c r="G3567" s="70" t="s">
        <v>61</v>
      </c>
      <c r="H3567" s="70" t="s">
        <v>178</v>
      </c>
      <c r="I3567" s="70" t="s">
        <v>513</v>
      </c>
      <c r="J3567" s="71">
        <f>IF(OR(I3567=0,I3567=""),"unrated",VLOOKUP(I3567,MappingTables!$B$19:$C$31,2,FALSE))</f>
        <v>6</v>
      </c>
      <c r="K3567" s="72">
        <v>204.509721131634</v>
      </c>
      <c r="L3567" s="70">
        <v>1.2394999971148442</v>
      </c>
      <c r="M3567" s="71">
        <f>IF(L3567&lt;1,1,L3567)</f>
        <v>1.2394999971148442</v>
      </c>
      <c r="N3567" s="70" t="s">
        <v>141</v>
      </c>
      <c r="O3567" s="71">
        <f>INDEX(DurClassMapping,MATCH(M3567,MappingTables!$D$4:$D$8,-1),1)</f>
        <v>1</v>
      </c>
      <c r="P3567" s="73">
        <f>IF(M3567=$A$1,1,$M3567-INDEX(MappingTables!$E$4:$E$8,MATCH(O3567,MappingTables!$B$4:$B$8,0)))</f>
        <v>1.2394999971148442</v>
      </c>
      <c r="Q3567" s="71">
        <f>IF(B3567="",0,INDEX(ModelParameters!$D$6:$K$10,MATCH($O3567,ModelParameters!$B$6:$B$10,0),MATCH($J3567,ModelParameters!$D$5:$K$5,0)))</f>
        <v>0.075</v>
      </c>
      <c r="R3567" s="71">
        <f>IF(B3567="",0,INDEX(ModelParameters!$D$13:$K$17,MATCH($O3567,ModelParameters!$B$13:$B$17,0),MATCH($J3567,ModelParameters!$D$5:$K$5,0)))</f>
        <v>0</v>
      </c>
      <c r="S3567" s="160">
        <f>IF(B3567="",0,MIN(IF($N3567="Other Bond TM",ModelParameters!$N$21,1)*(P3567*Q3567+R3567),1))</f>
        <v>0.092962499783613296</v>
      </c>
      <c r="T3567" s="85">
        <f>IF(B3567="",0,$S3567*$K3567)</f>
        <v>19.011734906446344</v>
      </c>
      <c r="U3567" s="85">
        <f>IF(B3567="",0,IF(OR(H3567=MappingTables!$C$34,H3567=MappingTables!$C$35),T3567,0))</f>
        <v>0</v>
      </c>
      <c r="V3567" s="85">
        <f>IF(ISNA(IF(AND(VLOOKUP(CONCATENATE($D3567,$G3567),CSRFinput!$B:$E,4,0)=0,OR(H3567=MappingTables!$C$34,H3567=MappingTables!$C$35)),1,VLOOKUP(CONCATENATE($D3567,$G3567),CSRFinput!$B:$E,4,0))),0,IF(AND(VLOOKUP(CONCATENATE($D3567,$G3567),CSRFinput!$B:$E,4,0)=0,OR(H3567=MappingTables!$C$34,H3567=MappingTables!$C$35)),1,VLOOKUP(CONCATENATE($D3567,$G3567),CSRFinput!$B:$E,4,0)))</f>
        <v>0.054776304963434752</v>
      </c>
      <c r="W3567" s="85">
        <f>IF(B3567="",0,+$T3567*$V3567)</f>
        <v>1.0413925891194826</v>
      </c>
      <c r="X3567" s="85">
        <f>IF(B3567="",0,IF(OR(H3567=MappingTables!$C$34,H3567=MappingTables!$C$35),W3567,0))</f>
        <v>0</v>
      </c>
    </row>
    <row r="3568" spans="2:24" s="0" customFormat="0" ht="15">
      <c r="B3568" s="69">
        <v>23724588</v>
      </c>
      <c r="C3568" s="70" t="s">
        <v>2892</v>
      </c>
      <c r="D3568" s="70" t="s">
        <v>1</v>
      </c>
      <c r="E3568" s="70" t="s">
        <v>1</v>
      </c>
      <c r="F3568" s="70"/>
      <c r="G3568" s="70" t="s">
        <v>61</v>
      </c>
      <c r="H3568" s="70" t="s">
        <v>178</v>
      </c>
      <c r="I3568" s="70" t="s">
        <v>179</v>
      </c>
      <c r="J3568" s="71">
        <f>IF(OR(I3568=0,I3568=""),"unrated",VLOOKUP(I3568,MappingTables!$B$19:$C$31,2,FALSE))</f>
        <v>4</v>
      </c>
      <c r="K3568" s="72">
        <v>4066.1885618818088</v>
      </c>
      <c r="L3568" s="70">
        <v>2.3925020715895568</v>
      </c>
      <c r="M3568" s="71">
        <f>IF(L3568&lt;1,1,L3568)</f>
        <v>2.3925020715895568</v>
      </c>
      <c r="N3568" s="70" t="s">
        <v>141</v>
      </c>
      <c r="O3568" s="71">
        <f>INDEX(DurClassMapping,MATCH(M3568,MappingTables!$D$4:$D$8,-1),1)</f>
        <v>1</v>
      </c>
      <c r="P3568" s="73">
        <f>IF(M3568=$A$1,1,$M3568-INDEX(MappingTables!$E$4:$E$8,MATCH(O3568,MappingTables!$B$4:$B$8,0)))</f>
        <v>2.3925020715895568</v>
      </c>
      <c r="Q3568" s="71">
        <f>IF(B3568="",0,INDEX(ModelParameters!$D$6:$K$10,MATCH($O3568,ModelParameters!$B$6:$B$10,0),MATCH($J3568,ModelParameters!$D$5:$K$5,0)))</f>
        <v>0.045</v>
      </c>
      <c r="R3568" s="71">
        <f>IF(B3568="",0,INDEX(ModelParameters!$D$13:$K$17,MATCH($O3568,ModelParameters!$B$13:$B$17,0),MATCH($J3568,ModelParameters!$D$5:$K$5,0)))</f>
        <v>0</v>
      </c>
      <c r="S3568" s="160">
        <f>IF(B3568="",0,MIN(IF($N3568="Other Bond TM",ModelParameters!$N$21,1)*(P3568*Q3568+R3568),1))</f>
        <v>0.10766259322153006</v>
      </c>
      <c r="T3568" s="85">
        <f>IF(B3568="",0,$S3568*$K3568)</f>
        <v>437.77640509991952</v>
      </c>
      <c r="U3568" s="85">
        <f>IF(B3568="",0,IF(OR(H3568=MappingTables!$C$34,H3568=MappingTables!$C$35),T3568,0))</f>
        <v>0</v>
      </c>
      <c r="V3568" s="85">
        <f>IF(ISNA(IF(AND(VLOOKUP(CONCATENATE($D3568,$G3568),CSRFinput!$B:$E,4,0)=0,OR(H3568=MappingTables!$C$34,H3568=MappingTables!$C$35)),1,VLOOKUP(CONCATENATE($D3568,$G3568),CSRFinput!$B:$E,4,0))),0,IF(AND(VLOOKUP(CONCATENATE($D3568,$G3568),CSRFinput!$B:$E,4,0)=0,OR(H3568=MappingTables!$C$34,H3568=MappingTables!$C$35)),1,VLOOKUP(CONCATENATE($D3568,$G3568),CSRFinput!$B:$E,4,0)))</f>
        <v>0.054776304963434752</v>
      </c>
      <c r="W3568" s="85">
        <f>IF(B3568="",0,+$T3568*$V3568)</f>
        <v>23.979773871549344</v>
      </c>
      <c r="X3568" s="85">
        <f>IF(B3568="",0,IF(OR(H3568=MappingTables!$C$34,H3568=MappingTables!$C$35),W3568,0))</f>
        <v>0</v>
      </c>
    </row>
    <row r="3569" spans="2:24" s="0" customFormat="0" ht="15">
      <c r="B3569" s="69">
        <v>476261</v>
      </c>
      <c r="C3569" s="70" t="s">
        <v>2743</v>
      </c>
      <c r="D3569" s="70" t="s">
        <v>1</v>
      </c>
      <c r="E3569" s="70" t="s">
        <v>1</v>
      </c>
      <c r="F3569" s="70"/>
      <c r="G3569" s="70" t="s">
        <v>61</v>
      </c>
      <c r="H3569" s="70" t="s">
        <v>178</v>
      </c>
      <c r="I3569" s="70" t="s">
        <v>181</v>
      </c>
      <c r="J3569" s="71">
        <f>IF(OR(I3569=0,I3569=""),"unrated",VLOOKUP(I3569,MappingTables!$B$19:$C$31,2,FALSE))</f>
        <v>3</v>
      </c>
      <c r="K3569" s="72">
        <v>829.65776006502496</v>
      </c>
      <c r="L3569" s="70">
        <v>7.7192127399621088</v>
      </c>
      <c r="M3569" s="71">
        <f>IF(L3569&lt;1,1,L3569)</f>
        <v>7.7192127399621088</v>
      </c>
      <c r="N3569" s="70" t="s">
        <v>141</v>
      </c>
      <c r="O3569" s="71">
        <f>INDEX(DurClassMapping,MATCH(M3569,MappingTables!$D$4:$D$8,-1),1)</f>
        <v>2</v>
      </c>
      <c r="P3569" s="73">
        <f>IF(M3569=$A$1,1,$M3569-INDEX(MappingTables!$E$4:$E$8,MATCH(O3569,MappingTables!$B$4:$B$8,0)))</f>
        <v>2.7192127399621092</v>
      </c>
      <c r="Q3569" s="71">
        <f>IF(B3569="",0,INDEX(ModelParameters!$D$6:$K$10,MATCH($O3569,ModelParameters!$B$6:$B$10,0),MATCH($J3569,ModelParameters!$D$5:$K$5,0)))</f>
        <v>0.015</v>
      </c>
      <c r="R3569" s="71">
        <f>IF(B3569="",0,INDEX(ModelParameters!$D$13:$K$17,MATCH($O3569,ModelParameters!$B$13:$B$17,0),MATCH($J3569,ModelParameters!$D$5:$K$5,0)))</f>
        <v>0.125</v>
      </c>
      <c r="S3569" s="160">
        <f>IF(B3569="",0,MIN(IF($N3569="Other Bond TM",ModelParameters!$N$21,1)*(P3569*Q3569+R3569),1))</f>
        <v>0.16578819109943164</v>
      </c>
      <c r="T3569" s="85">
        <f>IF(B3569="",0,$S3569*$K3569)</f>
        <v>137.54745927278674</v>
      </c>
      <c r="U3569" s="85">
        <f>IF(B3569="",0,IF(OR(H3569=MappingTables!$C$34,H3569=MappingTables!$C$35),T3569,0))</f>
        <v>0</v>
      </c>
      <c r="V3569" s="85">
        <f>IF(ISNA(IF(AND(VLOOKUP(CONCATENATE($D3569,$G3569),CSRFinput!$B:$E,4,0)=0,OR(H3569=MappingTables!$C$34,H3569=MappingTables!$C$35)),1,VLOOKUP(CONCATENATE($D3569,$G3569),CSRFinput!$B:$E,4,0))),0,IF(AND(VLOOKUP(CONCATENATE($D3569,$G3569),CSRFinput!$B:$E,4,0)=0,OR(H3569=MappingTables!$C$34,H3569=MappingTables!$C$35)),1,VLOOKUP(CONCATENATE($D3569,$G3569),CSRFinput!$B:$E,4,0)))</f>
        <v>0.054776304963434752</v>
      </c>
      <c r="W3569" s="85">
        <f>IF(B3569="",0,+$T3569*$V3569)</f>
        <v>7.5343415760717888</v>
      </c>
      <c r="X3569" s="85">
        <f>IF(B3569="",0,IF(OR(H3569=MappingTables!$C$34,H3569=MappingTables!$C$35),W3569,0))</f>
        <v>0</v>
      </c>
    </row>
    <row r="3570" spans="2:24" s="0" customFormat="0" ht="15">
      <c r="B3570" s="69">
        <v>14383862</v>
      </c>
      <c r="C3570" s="70" t="s">
        <v>676</v>
      </c>
      <c r="D3570" s="70" t="s">
        <v>1</v>
      </c>
      <c r="E3570" s="70" t="s">
        <v>1</v>
      </c>
      <c r="F3570" s="70"/>
      <c r="G3570" s="70" t="s">
        <v>61</v>
      </c>
      <c r="H3570" s="70" t="s">
        <v>178</v>
      </c>
      <c r="I3570" s="70" t="s">
        <v>179</v>
      </c>
      <c r="J3570" s="71">
        <f>IF(OR(I3570=0,I3570=""),"unrated",VLOOKUP(I3570,MappingTables!$B$19:$C$31,2,FALSE))</f>
        <v>4</v>
      </c>
      <c r="K3570" s="72">
        <v>20060.516278749652</v>
      </c>
      <c r="L3570" s="70">
        <v>11.87420073862471</v>
      </c>
      <c r="M3570" s="71">
        <f>IF(L3570&lt;1,1,L3570)</f>
        <v>11.87420073862471</v>
      </c>
      <c r="N3570" s="70" t="s">
        <v>141</v>
      </c>
      <c r="O3570" s="71">
        <f>INDEX(DurClassMapping,MATCH(M3570,MappingTables!$D$4:$D$8,-1),1)</f>
        <v>3</v>
      </c>
      <c r="P3570" s="73">
        <f>IF(M3570=$A$1,1,$M3570-INDEX(MappingTables!$E$4:$E$8,MATCH(O3570,MappingTables!$B$4:$B$8,0)))</f>
        <v>1.87420073862471</v>
      </c>
      <c r="Q3570" s="71">
        <f>IF(B3570="",0,INDEX(ModelParameters!$D$6:$K$10,MATCH($O3570,ModelParameters!$B$6:$B$10,0),MATCH($J3570,ModelParameters!$D$5:$K$5,0)))</f>
        <v>0.018000000000000002</v>
      </c>
      <c r="R3570" s="71">
        <f>IF(B3570="",0,INDEX(ModelParameters!$D$13:$K$17,MATCH($O3570,ModelParameters!$B$13:$B$17,0),MATCH($J3570,ModelParameters!$D$5:$K$5,0)))</f>
        <v>0.34999999999999996</v>
      </c>
      <c r="S3570" s="160">
        <f>IF(B3570="",0,MIN(IF($N3570="Other Bond TM",ModelParameters!$N$21,1)*(P3570*Q3570+R3570),1))</f>
        <v>0.38373561329524472</v>
      </c>
      <c r="T3570" s="85">
        <f>IF(B3570="",0,$S3570*$K3570)</f>
        <v>7697.9345172452384</v>
      </c>
      <c r="U3570" s="85">
        <f>IF(B3570="",0,IF(OR(H3570=MappingTables!$C$34,H3570=MappingTables!$C$35),T3570,0))</f>
        <v>0</v>
      </c>
      <c r="V3570" s="85">
        <f>IF(ISNA(IF(AND(VLOOKUP(CONCATENATE($D3570,$G3570),CSRFinput!$B:$E,4,0)=0,OR(H3570=MappingTables!$C$34,H3570=MappingTables!$C$35)),1,VLOOKUP(CONCATENATE($D3570,$G3570),CSRFinput!$B:$E,4,0))),0,IF(AND(VLOOKUP(CONCATENATE($D3570,$G3570),CSRFinput!$B:$E,4,0)=0,OR(H3570=MappingTables!$C$34,H3570=MappingTables!$C$35)),1,VLOOKUP(CONCATENATE($D3570,$G3570),CSRFinput!$B:$E,4,0)))</f>
        <v>0.054776304963434752</v>
      </c>
      <c r="W3570" s="85">
        <f>IF(B3570="",0,+$T3570*$V3570)</f>
        <v>421.66440870517608</v>
      </c>
      <c r="X3570" s="85">
        <f>IF(B3570="",0,IF(OR(H3570=MappingTables!$C$34,H3570=MappingTables!$C$35),W3570,0))</f>
        <v>0</v>
      </c>
    </row>
    <row r="3571" spans="2:24" s="0" customFormat="0" ht="15">
      <c r="B3571" s="69">
        <v>17089606</v>
      </c>
      <c r="C3571" s="70" t="s">
        <v>452</v>
      </c>
      <c r="D3571" s="70" t="s">
        <v>1</v>
      </c>
      <c r="E3571" s="70" t="s">
        <v>1</v>
      </c>
      <c r="F3571" s="70"/>
      <c r="G3571" s="70" t="s">
        <v>61</v>
      </c>
      <c r="H3571" s="70" t="s">
        <v>178</v>
      </c>
      <c r="I3571" s="70" t="s">
        <v>181</v>
      </c>
      <c r="J3571" s="71">
        <f>IF(OR(I3571=0,I3571=""),"unrated",VLOOKUP(I3571,MappingTables!$B$19:$C$31,2,FALSE))</f>
        <v>3</v>
      </c>
      <c r="K3571" s="72">
        <v>633.92240601239784</v>
      </c>
      <c r="L3571" s="70">
        <v>6.0647306687231112</v>
      </c>
      <c r="M3571" s="71">
        <f>IF(L3571&lt;1,1,L3571)</f>
        <v>6.0647306687231112</v>
      </c>
      <c r="N3571" s="70" t="s">
        <v>141</v>
      </c>
      <c r="O3571" s="71">
        <f>INDEX(DurClassMapping,MATCH(M3571,MappingTables!$D$4:$D$8,-1),1)</f>
        <v>2</v>
      </c>
      <c r="P3571" s="73">
        <f>IF(M3571=$A$1,1,$M3571-INDEX(MappingTables!$E$4:$E$8,MATCH(O3571,MappingTables!$B$4:$B$8,0)))</f>
        <v>1.0647306687231116</v>
      </c>
      <c r="Q3571" s="71">
        <f>IF(B3571="",0,INDEX(ModelParameters!$D$6:$K$10,MATCH($O3571,ModelParameters!$B$6:$B$10,0),MATCH($J3571,ModelParameters!$D$5:$K$5,0)))</f>
        <v>0.015</v>
      </c>
      <c r="R3571" s="71">
        <f>IF(B3571="",0,INDEX(ModelParameters!$D$13:$K$17,MATCH($O3571,ModelParameters!$B$13:$B$17,0),MATCH($J3571,ModelParameters!$D$5:$K$5,0)))</f>
        <v>0.125</v>
      </c>
      <c r="S3571" s="160">
        <f>IF(B3571="",0,MIN(IF($N3571="Other Bond TM",ModelParameters!$N$21,1)*(P3571*Q3571+R3571),1))</f>
        <v>0.14097096003084666</v>
      </c>
      <c r="T3571" s="85">
        <f>IF(B3571="",0,$S3571*$K3571)</f>
        <v>89.364650160631888</v>
      </c>
      <c r="U3571" s="85">
        <f>IF(B3571="",0,IF(OR(H3571=MappingTables!$C$34,H3571=MappingTables!$C$35),T3571,0))</f>
        <v>0</v>
      </c>
      <c r="V3571" s="85">
        <f>IF(ISNA(IF(AND(VLOOKUP(CONCATENATE($D3571,$G3571),CSRFinput!$B:$E,4,0)=0,OR(H3571=MappingTables!$C$34,H3571=MappingTables!$C$35)),1,VLOOKUP(CONCATENATE($D3571,$G3571),CSRFinput!$B:$E,4,0))),0,IF(AND(VLOOKUP(CONCATENATE($D3571,$G3571),CSRFinput!$B:$E,4,0)=0,OR(H3571=MappingTables!$C$34,H3571=MappingTables!$C$35)),1,VLOOKUP(CONCATENATE($D3571,$G3571),CSRFinput!$B:$E,4,0)))</f>
        <v>0.054776304963434752</v>
      </c>
      <c r="W3571" s="85">
        <f>IF(B3571="",0,+$T3571*$V3571)</f>
        <v>4.8950653301494304</v>
      </c>
      <c r="X3571" s="85">
        <f>IF(B3571="",0,IF(OR(H3571=MappingTables!$C$34,H3571=MappingTables!$C$35),W3571,0))</f>
        <v>0</v>
      </c>
    </row>
    <row r="3572" spans="2:24" s="0" customFormat="0" ht="15">
      <c r="B3572" s="69" t="s">
        <v>1179</v>
      </c>
      <c r="C3572" s="70" t="s">
        <v>1180</v>
      </c>
      <c r="D3572" s="70" t="s">
        <v>1</v>
      </c>
      <c r="E3572" s="70" t="s">
        <v>1</v>
      </c>
      <c r="F3572" s="70"/>
      <c r="G3572" s="70" t="s">
        <v>61</v>
      </c>
      <c r="H3572" s="70" t="s">
        <v>178</v>
      </c>
      <c r="I3572" s="70" t="s">
        <v>181</v>
      </c>
      <c r="J3572" s="71">
        <f>IF(OR(I3572=0,I3572=""),"unrated",VLOOKUP(I3572,MappingTables!$B$19:$C$31,2,FALSE))</f>
        <v>3</v>
      </c>
      <c r="K3572" s="72">
        <v>15327.092218705946</v>
      </c>
      <c r="L3572" s="70">
        <v>4.5679761991599384</v>
      </c>
      <c r="M3572" s="71">
        <f>IF(L3572&lt;1,1,L3572)</f>
        <v>4.5679761991599384</v>
      </c>
      <c r="N3572" s="70" t="s">
        <v>141</v>
      </c>
      <c r="O3572" s="71">
        <f>INDEX(DurClassMapping,MATCH(M3572,MappingTables!$D$4:$D$8,-1),1)</f>
        <v>1</v>
      </c>
      <c r="P3572" s="73">
        <f>IF(M3572=$A$1,1,$M3572-INDEX(MappingTables!$E$4:$E$8,MATCH(O3572,MappingTables!$B$4:$B$8,0)))</f>
        <v>4.5679761991599384</v>
      </c>
      <c r="Q3572" s="71">
        <f>IF(B3572="",0,INDEX(ModelParameters!$D$6:$K$10,MATCH($O3572,ModelParameters!$B$6:$B$10,0),MATCH($J3572,ModelParameters!$D$5:$K$5,0)))</f>
        <v>0.025</v>
      </c>
      <c r="R3572" s="71">
        <f>IF(B3572="",0,INDEX(ModelParameters!$D$13:$K$17,MATCH($O3572,ModelParameters!$B$13:$B$17,0),MATCH($J3572,ModelParameters!$D$5:$K$5,0)))</f>
        <v>0</v>
      </c>
      <c r="S3572" s="160">
        <f>IF(B3572="",0,MIN(IF($N3572="Other Bond TM",ModelParameters!$N$21,1)*(P3572*Q3572+R3572),1))</f>
        <v>0.11419940497899846</v>
      </c>
      <c r="T3572" s="85">
        <f>IF(B3572="",0,$S3572*$K3572)</f>
        <v>1750.3448114344562</v>
      </c>
      <c r="U3572" s="85">
        <f>IF(B3572="",0,IF(OR(H3572=MappingTables!$C$34,H3572=MappingTables!$C$35),T3572,0))</f>
        <v>0</v>
      </c>
      <c r="V3572" s="85">
        <f>IF(ISNA(IF(AND(VLOOKUP(CONCATENATE($D3572,$G3572),CSRFinput!$B:$E,4,0)=0,OR(H3572=MappingTables!$C$34,H3572=MappingTables!$C$35)),1,VLOOKUP(CONCATENATE($D3572,$G3572),CSRFinput!$B:$E,4,0))),0,IF(AND(VLOOKUP(CONCATENATE($D3572,$G3572),CSRFinput!$B:$E,4,0)=0,OR(H3572=MappingTables!$C$34,H3572=MappingTables!$C$35)),1,VLOOKUP(CONCATENATE($D3572,$G3572),CSRFinput!$B:$E,4,0)))</f>
        <v>0.054776304963434752</v>
      </c>
      <c r="W3572" s="85">
        <f>IF(B3572="",0,+$T3572*$V3572)</f>
        <v>95.877421182299472</v>
      </c>
      <c r="X3572" s="85">
        <f>IF(B3572="",0,IF(OR(H3572=MappingTables!$C$34,H3572=MappingTables!$C$35),W3572,0))</f>
        <v>0</v>
      </c>
    </row>
    <row r="3573" spans="2:24" s="0" customFormat="0" ht="15">
      <c r="B3573" s="69">
        <v>14256170</v>
      </c>
      <c r="C3573" s="70" t="s">
        <v>1281</v>
      </c>
      <c r="D3573" s="70" t="s">
        <v>1</v>
      </c>
      <c r="E3573" s="70" t="s">
        <v>1</v>
      </c>
      <c r="F3573" s="70"/>
      <c r="G3573" s="70" t="s">
        <v>61</v>
      </c>
      <c r="H3573" s="70" t="s">
        <v>178</v>
      </c>
      <c r="I3573" s="70" t="s">
        <v>181</v>
      </c>
      <c r="J3573" s="71">
        <f>IF(OR(I3573=0,I3573=""),"unrated",VLOOKUP(I3573,MappingTables!$B$19:$C$31,2,FALSE))</f>
        <v>3</v>
      </c>
      <c r="K3573" s="72">
        <v>485.5818153786016</v>
      </c>
      <c r="L3573" s="70">
        <v>1.398635408951765</v>
      </c>
      <c r="M3573" s="71">
        <f>IF(L3573&lt;1,1,L3573)</f>
        <v>1.398635408951765</v>
      </c>
      <c r="N3573" s="70" t="s">
        <v>141</v>
      </c>
      <c r="O3573" s="71">
        <f>INDEX(DurClassMapping,MATCH(M3573,MappingTables!$D$4:$D$8,-1),1)</f>
        <v>1</v>
      </c>
      <c r="P3573" s="73">
        <f>IF(M3573=$A$1,1,$M3573-INDEX(MappingTables!$E$4:$E$8,MATCH(O3573,MappingTables!$B$4:$B$8,0)))</f>
        <v>1.398635408951765</v>
      </c>
      <c r="Q3573" s="71">
        <f>IF(B3573="",0,INDEX(ModelParameters!$D$6:$K$10,MATCH($O3573,ModelParameters!$B$6:$B$10,0),MATCH($J3573,ModelParameters!$D$5:$K$5,0)))</f>
        <v>0.025</v>
      </c>
      <c r="R3573" s="71">
        <f>IF(B3573="",0,INDEX(ModelParameters!$D$13:$K$17,MATCH($O3573,ModelParameters!$B$13:$B$17,0),MATCH($J3573,ModelParameters!$D$5:$K$5,0)))</f>
        <v>0</v>
      </c>
      <c r="S3573" s="160">
        <f>IF(B3573="",0,MIN(IF($N3573="Other Bond TM",ModelParameters!$N$21,1)*(P3573*Q3573+R3573),1))</f>
        <v>0.034965885223794124</v>
      </c>
      <c r="T3573" s="85">
        <f>IF(B3573="",0,$S3573*$K3573)</f>
        <v>16.97879802328977</v>
      </c>
      <c r="U3573" s="85">
        <f>IF(B3573="",0,IF(OR(H3573=MappingTables!$C$34,H3573=MappingTables!$C$35),T3573,0))</f>
        <v>0</v>
      </c>
      <c r="V3573" s="85">
        <f>IF(ISNA(IF(AND(VLOOKUP(CONCATENATE($D3573,$G3573),CSRFinput!$B:$E,4,0)=0,OR(H3573=MappingTables!$C$34,H3573=MappingTables!$C$35)),1,VLOOKUP(CONCATENATE($D3573,$G3573),CSRFinput!$B:$E,4,0))),0,IF(AND(VLOOKUP(CONCATENATE($D3573,$G3573),CSRFinput!$B:$E,4,0)=0,OR(H3573=MappingTables!$C$34,H3573=MappingTables!$C$35)),1,VLOOKUP(CONCATENATE($D3573,$G3573),CSRFinput!$B:$E,4,0)))</f>
        <v>0.054776304963434752</v>
      </c>
      <c r="W3573" s="85">
        <f>IF(B3573="",0,+$T3573*$V3573)</f>
        <v>0.93003581843628352</v>
      </c>
      <c r="X3573" s="85">
        <f>IF(B3573="",0,IF(OR(H3573=MappingTables!$C$34,H3573=MappingTables!$C$35),W3573,0))</f>
        <v>0</v>
      </c>
    </row>
    <row r="3574" spans="2:24" s="0" customFormat="0" ht="15">
      <c r="B3574" s="69" t="s">
        <v>1482</v>
      </c>
      <c r="C3574" s="70" t="s">
        <v>1483</v>
      </c>
      <c r="D3574" s="70" t="s">
        <v>1</v>
      </c>
      <c r="E3574" s="70" t="s">
        <v>1</v>
      </c>
      <c r="F3574" s="70"/>
      <c r="G3574" s="70" t="s">
        <v>61</v>
      </c>
      <c r="H3574" s="70" t="s">
        <v>178</v>
      </c>
      <c r="I3574" s="70" t="s">
        <v>204</v>
      </c>
      <c r="J3574" s="71">
        <f>IF(OR(I3574=0,I3574=""),"unrated",VLOOKUP(I3574,MappingTables!$B$19:$C$31,2,FALSE))</f>
        <v>6</v>
      </c>
      <c r="K3574" s="72">
        <v>118.00534252123984</v>
      </c>
      <c r="L3574" s="70">
        <v>1.1624369826661986</v>
      </c>
      <c r="M3574" s="71">
        <f>IF(L3574&lt;1,1,L3574)</f>
        <v>1.1624369826661986</v>
      </c>
      <c r="N3574" s="70" t="s">
        <v>141</v>
      </c>
      <c r="O3574" s="71">
        <f>INDEX(DurClassMapping,MATCH(M3574,MappingTables!$D$4:$D$8,-1),1)</f>
        <v>1</v>
      </c>
      <c r="P3574" s="73">
        <f>IF(M3574=$A$1,1,$M3574-INDEX(MappingTables!$E$4:$E$8,MATCH(O3574,MappingTables!$B$4:$B$8,0)))</f>
        <v>1.1624369826661986</v>
      </c>
      <c r="Q3574" s="71">
        <f>IF(B3574="",0,INDEX(ModelParameters!$D$6:$K$10,MATCH($O3574,ModelParameters!$B$6:$B$10,0),MATCH($J3574,ModelParameters!$D$5:$K$5,0)))</f>
        <v>0.075</v>
      </c>
      <c r="R3574" s="71">
        <f>IF(B3574="",0,INDEX(ModelParameters!$D$13:$K$17,MATCH($O3574,ModelParameters!$B$13:$B$17,0),MATCH($J3574,ModelParameters!$D$5:$K$5,0)))</f>
        <v>0</v>
      </c>
      <c r="S3574" s="160">
        <f>IF(B3574="",0,MIN(IF($N3574="Other Bond TM",ModelParameters!$N$21,1)*(P3574*Q3574+R3574),1))</f>
        <v>0.087182773699964896</v>
      </c>
      <c r="T3574" s="85">
        <f>IF(B3574="",0,$S3574*$K3574)</f>
        <v>10.288033072416098</v>
      </c>
      <c r="U3574" s="85">
        <f>IF(B3574="",0,IF(OR(H3574=MappingTables!$C$34,H3574=MappingTables!$C$35),T3574,0))</f>
        <v>0</v>
      </c>
      <c r="V3574" s="85">
        <f>IF(ISNA(IF(AND(VLOOKUP(CONCATENATE($D3574,$G3574),CSRFinput!$B:$E,4,0)=0,OR(H3574=MappingTables!$C$34,H3574=MappingTables!$C$35)),1,VLOOKUP(CONCATENATE($D3574,$G3574),CSRFinput!$B:$E,4,0))),0,IF(AND(VLOOKUP(CONCATENATE($D3574,$G3574),CSRFinput!$B:$E,4,0)=0,OR(H3574=MappingTables!$C$34,H3574=MappingTables!$C$35)),1,VLOOKUP(CONCATENATE($D3574,$G3574),CSRFinput!$B:$E,4,0)))</f>
        <v>0.054776304963434752</v>
      </c>
      <c r="W3574" s="85">
        <f>IF(B3574="",0,+$T3574*$V3574)</f>
        <v>0.5635404370485668</v>
      </c>
      <c r="X3574" s="85">
        <f>IF(B3574="",0,IF(OR(H3574=MappingTables!$C$34,H3574=MappingTables!$C$35),W3574,0))</f>
        <v>0</v>
      </c>
    </row>
    <row r="3575" spans="2:24" s="0" customFormat="0" ht="15">
      <c r="B3575" s="69">
        <v>7333092</v>
      </c>
      <c r="C3575" s="70" t="s">
        <v>1255</v>
      </c>
      <c r="D3575" s="70" t="s">
        <v>1</v>
      </c>
      <c r="E3575" s="70" t="s">
        <v>1</v>
      </c>
      <c r="F3575" s="70"/>
      <c r="G3575" s="70" t="s">
        <v>61</v>
      </c>
      <c r="H3575" s="70" t="s">
        <v>178</v>
      </c>
      <c r="I3575" s="70" t="s">
        <v>181</v>
      </c>
      <c r="J3575" s="71">
        <f>IF(OR(I3575=0,I3575=""),"unrated",VLOOKUP(I3575,MappingTables!$B$19:$C$31,2,FALSE))</f>
        <v>3</v>
      </c>
      <c r="K3575" s="72">
        <v>5407.3079165362568</v>
      </c>
      <c r="L3575" s="70">
        <v>3.710288339188684</v>
      </c>
      <c r="M3575" s="71">
        <f>IF(L3575&lt;1,1,L3575)</f>
        <v>3.710288339188684</v>
      </c>
      <c r="N3575" s="70" t="s">
        <v>141</v>
      </c>
      <c r="O3575" s="71">
        <f>INDEX(DurClassMapping,MATCH(M3575,MappingTables!$D$4:$D$8,-1),1)</f>
        <v>1</v>
      </c>
      <c r="P3575" s="73">
        <f>IF(M3575=$A$1,1,$M3575-INDEX(MappingTables!$E$4:$E$8,MATCH(O3575,MappingTables!$B$4:$B$8,0)))</f>
        <v>3.710288339188684</v>
      </c>
      <c r="Q3575" s="71">
        <f>IF(B3575="",0,INDEX(ModelParameters!$D$6:$K$10,MATCH($O3575,ModelParameters!$B$6:$B$10,0),MATCH($J3575,ModelParameters!$D$5:$K$5,0)))</f>
        <v>0.025</v>
      </c>
      <c r="R3575" s="71">
        <f>IF(B3575="",0,INDEX(ModelParameters!$D$13:$K$17,MATCH($O3575,ModelParameters!$B$13:$B$17,0),MATCH($J3575,ModelParameters!$D$5:$K$5,0)))</f>
        <v>0</v>
      </c>
      <c r="S3575" s="160">
        <f>IF(B3575="",0,MIN(IF($N3575="Other Bond TM",ModelParameters!$N$21,1)*(P3575*Q3575+R3575),1))</f>
        <v>0.092757208479717088</v>
      </c>
      <c r="T3575" s="85">
        <f>IF(B3575="",0,$S3575*$K3575)</f>
        <v>501.56678772817824</v>
      </c>
      <c r="U3575" s="85">
        <f>IF(B3575="",0,IF(OR(H3575=MappingTables!$C$34,H3575=MappingTables!$C$35),T3575,0))</f>
        <v>0</v>
      </c>
      <c r="V3575" s="85">
        <f>IF(ISNA(IF(AND(VLOOKUP(CONCATENATE($D3575,$G3575),CSRFinput!$B:$E,4,0)=0,OR(H3575=MappingTables!$C$34,H3575=MappingTables!$C$35)),1,VLOOKUP(CONCATENATE($D3575,$G3575),CSRFinput!$B:$E,4,0))),0,IF(AND(VLOOKUP(CONCATENATE($D3575,$G3575),CSRFinput!$B:$E,4,0)=0,OR(H3575=MappingTables!$C$34,H3575=MappingTables!$C$35)),1,VLOOKUP(CONCATENATE($D3575,$G3575),CSRFinput!$B:$E,4,0)))</f>
        <v>0.054776304963434752</v>
      </c>
      <c r="W3575" s="85">
        <f>IF(B3575="",0,+$T3575*$V3575)</f>
        <v>27.473975324129036</v>
      </c>
      <c r="X3575" s="85">
        <f>IF(B3575="",0,IF(OR(H3575=MappingTables!$C$34,H3575=MappingTables!$C$35),W3575,0))</f>
        <v>0</v>
      </c>
    </row>
    <row r="3576" spans="2:24" s="0" customFormat="0" ht="15">
      <c r="B3576" s="69" t="s">
        <v>253</v>
      </c>
      <c r="C3576" s="70" t="s">
        <v>254</v>
      </c>
      <c r="D3576" s="70" t="s">
        <v>1</v>
      </c>
      <c r="E3576" s="70" t="s">
        <v>1</v>
      </c>
      <c r="F3576" s="70"/>
      <c r="G3576" s="70" t="s">
        <v>61</v>
      </c>
      <c r="H3576" s="70" t="s">
        <v>178</v>
      </c>
      <c r="I3576" s="70" t="s">
        <v>184</v>
      </c>
      <c r="J3576" s="71">
        <f>IF(OR(I3576=0,I3576=""),"unrated",VLOOKUP(I3576,MappingTables!$B$19:$C$31,2,FALSE))</f>
        <v>5</v>
      </c>
      <c r="K3576" s="72">
        <v>149.96059628024084</v>
      </c>
      <c r="L3576" s="70">
        <v>5.0399186152238344</v>
      </c>
      <c r="M3576" s="71">
        <f>IF(L3576&lt;1,1,L3576)</f>
        <v>5.0399186152238344</v>
      </c>
      <c r="N3576" s="70" t="s">
        <v>141</v>
      </c>
      <c r="O3576" s="71">
        <f>INDEX(DurClassMapping,MATCH(M3576,MappingTables!$D$4:$D$8,-1),1)</f>
        <v>2</v>
      </c>
      <c r="P3576" s="73">
        <f>IF(M3576=$A$1,1,$M3576-INDEX(MappingTables!$E$4:$E$8,MATCH(O3576,MappingTables!$B$4:$B$8,0)))</f>
        <v>0.039918615223834664</v>
      </c>
      <c r="Q3576" s="71">
        <f>IF(B3576="",0,INDEX(ModelParameters!$D$6:$K$10,MATCH($O3576,ModelParameters!$B$6:$B$10,0),MATCH($J3576,ModelParameters!$D$5:$K$5,0)))</f>
        <v>0.042</v>
      </c>
      <c r="R3576" s="71">
        <f>IF(B3576="",0,INDEX(ModelParameters!$D$13:$K$17,MATCH($O3576,ModelParameters!$B$13:$B$17,0),MATCH($J3576,ModelParameters!$D$5:$K$5,0)))</f>
        <v>0.375</v>
      </c>
      <c r="S3576" s="160">
        <f>IF(B3576="",0,MIN(IF($N3576="Other Bond TM",ModelParameters!$N$21,1)*(P3576*Q3576+R3576),1))</f>
        <v>0.37667658183940104</v>
      </c>
      <c r="T3576" s="85">
        <f>IF(B3576="",0,$S3576*$K3576)</f>
        <v>56.486644817439528</v>
      </c>
      <c r="U3576" s="85">
        <f>IF(B3576="",0,IF(OR(H3576=MappingTables!$C$34,H3576=MappingTables!$C$35),T3576,0))</f>
        <v>0</v>
      </c>
      <c r="V3576" s="85">
        <f>IF(ISNA(IF(AND(VLOOKUP(CONCATENATE($D3576,$G3576),CSRFinput!$B:$E,4,0)=0,OR(H3576=MappingTables!$C$34,H3576=MappingTables!$C$35)),1,VLOOKUP(CONCATENATE($D3576,$G3576),CSRFinput!$B:$E,4,0))),0,IF(AND(VLOOKUP(CONCATENATE($D3576,$G3576),CSRFinput!$B:$E,4,0)=0,OR(H3576=MappingTables!$C$34,H3576=MappingTables!$C$35)),1,VLOOKUP(CONCATENATE($D3576,$G3576),CSRFinput!$B:$E,4,0)))</f>
        <v>0.054776304963434752</v>
      </c>
      <c r="W3576" s="85">
        <f>IF(B3576="",0,+$T3576*$V3576)</f>
        <v>3.0941296828812884</v>
      </c>
      <c r="X3576" s="85">
        <f>IF(B3576="",0,IF(OR(H3576=MappingTables!$C$34,H3576=MappingTables!$C$35),W3576,0))</f>
        <v>0</v>
      </c>
    </row>
    <row r="3577" spans="2:24" s="0" customFormat="0" ht="15">
      <c r="B3577" s="69">
        <v>630159</v>
      </c>
      <c r="C3577" s="70" t="s">
        <v>2577</v>
      </c>
      <c r="D3577" s="70" t="s">
        <v>1</v>
      </c>
      <c r="E3577" s="70" t="s">
        <v>1</v>
      </c>
      <c r="F3577" s="70"/>
      <c r="G3577" s="70" t="s">
        <v>61</v>
      </c>
      <c r="H3577" s="70" t="s">
        <v>178</v>
      </c>
      <c r="I3577" s="70" t="s">
        <v>181</v>
      </c>
      <c r="J3577" s="71">
        <f>IF(OR(I3577=0,I3577=""),"unrated",VLOOKUP(I3577,MappingTables!$B$19:$C$31,2,FALSE))</f>
        <v>3</v>
      </c>
      <c r="K3577" s="72">
        <v>3229.5370179679944</v>
      </c>
      <c r="L3577" s="70">
        <v>10.527174227101062</v>
      </c>
      <c r="M3577" s="71">
        <f>IF(L3577&lt;1,1,L3577)</f>
        <v>10.527174227101062</v>
      </c>
      <c r="N3577" s="70" t="s">
        <v>141</v>
      </c>
      <c r="O3577" s="71">
        <f>INDEX(DurClassMapping,MATCH(M3577,MappingTables!$D$4:$D$8,-1),1)</f>
        <v>3</v>
      </c>
      <c r="P3577" s="73">
        <f>IF(M3577=$A$1,1,$M3577-INDEX(MappingTables!$E$4:$E$8,MATCH(O3577,MappingTables!$B$4:$B$8,0)))</f>
        <v>0.527174227101062</v>
      </c>
      <c r="Q3577" s="71">
        <f>IF(B3577="",0,INDEX(ModelParameters!$D$6:$K$10,MATCH($O3577,ModelParameters!$B$6:$B$10,0),MATCH($J3577,ModelParameters!$D$5:$K$5,0)))</f>
        <v>0.01</v>
      </c>
      <c r="R3577" s="71">
        <f>IF(B3577="",0,INDEX(ModelParameters!$D$13:$K$17,MATCH($O3577,ModelParameters!$B$13:$B$17,0),MATCH($J3577,ModelParameters!$D$5:$K$5,0)))</f>
        <v>0.2</v>
      </c>
      <c r="S3577" s="160">
        <f>IF(B3577="",0,MIN(IF($N3577="Other Bond TM",ModelParameters!$N$21,1)*(P3577*Q3577+R3577),1))</f>
        <v>0.20527174227101064</v>
      </c>
      <c r="T3577" s="85">
        <f>IF(B3577="",0,$S3577*$K3577)</f>
        <v>662.9326904070144</v>
      </c>
      <c r="U3577" s="85">
        <f>IF(B3577="",0,IF(OR(H3577=MappingTables!$C$34,H3577=MappingTables!$C$35),T3577,0))</f>
        <v>0</v>
      </c>
      <c r="V3577" s="85">
        <f>IF(ISNA(IF(AND(VLOOKUP(CONCATENATE($D3577,$G3577),CSRFinput!$B:$E,4,0)=0,OR(H3577=MappingTables!$C$34,H3577=MappingTables!$C$35)),1,VLOOKUP(CONCATENATE($D3577,$G3577),CSRFinput!$B:$E,4,0))),0,IF(AND(VLOOKUP(CONCATENATE($D3577,$G3577),CSRFinput!$B:$E,4,0)=0,OR(H3577=MappingTables!$C$34,H3577=MappingTables!$C$35)),1,VLOOKUP(CONCATENATE($D3577,$G3577),CSRFinput!$B:$E,4,0)))</f>
        <v>0.054776304963434752</v>
      </c>
      <c r="W3577" s="85">
        <f>IF(B3577="",0,+$T3577*$V3577)</f>
        <v>36.313003219964896</v>
      </c>
      <c r="X3577" s="85">
        <f>IF(B3577="",0,IF(OR(H3577=MappingTables!$C$34,H3577=MappingTables!$C$35),W3577,0))</f>
        <v>0</v>
      </c>
    </row>
    <row r="3578" spans="2:24" s="0" customFormat="0" ht="15">
      <c r="B3578" s="69">
        <v>17876603</v>
      </c>
      <c r="C3578" s="70" t="s">
        <v>1214</v>
      </c>
      <c r="D3578" s="70" t="s">
        <v>1</v>
      </c>
      <c r="E3578" s="70" t="s">
        <v>1</v>
      </c>
      <c r="F3578" s="70"/>
      <c r="G3578" s="70" t="s">
        <v>61</v>
      </c>
      <c r="H3578" s="70" t="s">
        <v>178</v>
      </c>
      <c r="I3578" s="70" t="s">
        <v>184</v>
      </c>
      <c r="J3578" s="71">
        <f>IF(OR(I3578=0,I3578=""),"unrated",VLOOKUP(I3578,MappingTables!$B$19:$C$31,2,FALSE))</f>
        <v>5</v>
      </c>
      <c r="K3578" s="72">
        <v>448.96180494603176</v>
      </c>
      <c r="L3578" s="70">
        <v>4.3170690332320368</v>
      </c>
      <c r="M3578" s="71">
        <f>IF(L3578&lt;1,1,L3578)</f>
        <v>4.3170690332320368</v>
      </c>
      <c r="N3578" s="70" t="s">
        <v>141</v>
      </c>
      <c r="O3578" s="71">
        <f>INDEX(DurClassMapping,MATCH(M3578,MappingTables!$D$4:$D$8,-1),1)</f>
        <v>1</v>
      </c>
      <c r="P3578" s="73">
        <f>IF(M3578=$A$1,1,$M3578-INDEX(MappingTables!$E$4:$E$8,MATCH(O3578,MappingTables!$B$4:$B$8,0)))</f>
        <v>4.3170690332320368</v>
      </c>
      <c r="Q3578" s="71">
        <f>IF(B3578="",0,INDEX(ModelParameters!$D$6:$K$10,MATCH($O3578,ModelParameters!$B$6:$B$10,0),MATCH($J3578,ModelParameters!$D$5:$K$5,0)))</f>
        <v>0.075</v>
      </c>
      <c r="R3578" s="71">
        <f>IF(B3578="",0,INDEX(ModelParameters!$D$13:$K$17,MATCH($O3578,ModelParameters!$B$13:$B$17,0),MATCH($J3578,ModelParameters!$D$5:$K$5,0)))</f>
        <v>0</v>
      </c>
      <c r="S3578" s="160">
        <f>IF(B3578="",0,MIN(IF($N3578="Other Bond TM",ModelParameters!$N$21,1)*(P3578*Q3578+R3578),1))</f>
        <v>0.32378017749240272</v>
      </c>
      <c r="T3578" s="85">
        <f>IF(B3578="",0,$S3578*$K3578)</f>
        <v>145.36493289273566</v>
      </c>
      <c r="U3578" s="85">
        <f>IF(B3578="",0,IF(OR(H3578=MappingTables!$C$34,H3578=MappingTables!$C$35),T3578,0))</f>
        <v>0</v>
      </c>
      <c r="V3578" s="85">
        <f>IF(ISNA(IF(AND(VLOOKUP(CONCATENATE($D3578,$G3578),CSRFinput!$B:$E,4,0)=0,OR(H3578=MappingTables!$C$34,H3578=MappingTables!$C$35)),1,VLOOKUP(CONCATENATE($D3578,$G3578),CSRFinput!$B:$E,4,0))),0,IF(AND(VLOOKUP(CONCATENATE($D3578,$G3578),CSRFinput!$B:$E,4,0)=0,OR(H3578=MappingTables!$C$34,H3578=MappingTables!$C$35)),1,VLOOKUP(CONCATENATE($D3578,$G3578),CSRFinput!$B:$E,4,0)))</f>
        <v>0.054776304963434752</v>
      </c>
      <c r="W3578" s="85">
        <f>IF(B3578="",0,+$T3578*$V3578)</f>
        <v>7.9625538951217168</v>
      </c>
      <c r="X3578" s="85">
        <f>IF(B3578="",0,IF(OR(H3578=MappingTables!$C$34,H3578=MappingTables!$C$35),W3578,0))</f>
        <v>0</v>
      </c>
    </row>
    <row r="3579" spans="2:24" s="0" customFormat="0" ht="15">
      <c r="B3579" s="69">
        <v>19215387</v>
      </c>
      <c r="C3579" s="70" t="s">
        <v>2893</v>
      </c>
      <c r="D3579" s="70" t="s">
        <v>1</v>
      </c>
      <c r="E3579" s="70" t="s">
        <v>1</v>
      </c>
      <c r="F3579" s="70"/>
      <c r="G3579" s="70" t="s">
        <v>61</v>
      </c>
      <c r="H3579" s="70" t="s">
        <v>178</v>
      </c>
      <c r="I3579" s="70" t="s">
        <v>179</v>
      </c>
      <c r="J3579" s="71">
        <f>IF(OR(I3579=0,I3579=""),"unrated",VLOOKUP(I3579,MappingTables!$B$19:$C$31,2,FALSE))</f>
        <v>4</v>
      </c>
      <c r="K3579" s="72">
        <v>113.67992540823018</v>
      </c>
      <c r="L3579" s="70">
        <v>1.0666843975765774</v>
      </c>
      <c r="M3579" s="71">
        <f>IF(L3579&lt;1,1,L3579)</f>
        <v>1.0666843975765774</v>
      </c>
      <c r="N3579" s="70" t="s">
        <v>141</v>
      </c>
      <c r="O3579" s="71">
        <f>INDEX(DurClassMapping,MATCH(M3579,MappingTables!$D$4:$D$8,-1),1)</f>
        <v>1</v>
      </c>
      <c r="P3579" s="73">
        <f>IF(M3579=$A$1,1,$M3579-INDEX(MappingTables!$E$4:$E$8,MATCH(O3579,MappingTables!$B$4:$B$8,0)))</f>
        <v>1.0666843975765774</v>
      </c>
      <c r="Q3579" s="71">
        <f>IF(B3579="",0,INDEX(ModelParameters!$D$6:$K$10,MATCH($O3579,ModelParameters!$B$6:$B$10,0),MATCH($J3579,ModelParameters!$D$5:$K$5,0)))</f>
        <v>0.045</v>
      </c>
      <c r="R3579" s="71">
        <f>IF(B3579="",0,INDEX(ModelParameters!$D$13:$K$17,MATCH($O3579,ModelParameters!$B$13:$B$17,0),MATCH($J3579,ModelParameters!$D$5:$K$5,0)))</f>
        <v>0</v>
      </c>
      <c r="S3579" s="160">
        <f>IF(B3579="",0,MIN(IF($N3579="Other Bond TM",ModelParameters!$N$21,1)*(P3579*Q3579+R3579),1))</f>
        <v>0.048000797890945984</v>
      </c>
      <c r="T3579" s="85">
        <f>IF(B3579="",0,$S3579*$K3579)</f>
        <v>5.4567271237782712</v>
      </c>
      <c r="U3579" s="85">
        <f>IF(B3579="",0,IF(OR(H3579=MappingTables!$C$34,H3579=MappingTables!$C$35),T3579,0))</f>
        <v>0</v>
      </c>
      <c r="V3579" s="85">
        <f>IF(ISNA(IF(AND(VLOOKUP(CONCATENATE($D3579,$G3579),CSRFinput!$B:$E,4,0)=0,OR(H3579=MappingTables!$C$34,H3579=MappingTables!$C$35)),1,VLOOKUP(CONCATENATE($D3579,$G3579),CSRFinput!$B:$E,4,0))),0,IF(AND(VLOOKUP(CONCATENATE($D3579,$G3579),CSRFinput!$B:$E,4,0)=0,OR(H3579=MappingTables!$C$34,H3579=MappingTables!$C$35)),1,VLOOKUP(CONCATENATE($D3579,$G3579),CSRFinput!$B:$E,4,0)))</f>
        <v>0.054776304963434752</v>
      </c>
      <c r="W3579" s="85">
        <f>IF(B3579="",0,+$T3579*$V3579)</f>
        <v>0.29889934903432476</v>
      </c>
      <c r="X3579" s="85">
        <f>IF(B3579="",0,IF(OR(H3579=MappingTables!$C$34,H3579=MappingTables!$C$35),W3579,0))</f>
        <v>0</v>
      </c>
    </row>
    <row r="3580" spans="2:24" s="0" customFormat="0" ht="15">
      <c r="B3580" s="69">
        <v>19686291</v>
      </c>
      <c r="C3580" s="70" t="s">
        <v>2326</v>
      </c>
      <c r="D3580" s="70" t="s">
        <v>1</v>
      </c>
      <c r="E3580" s="70" t="s">
        <v>1</v>
      </c>
      <c r="F3580" s="70"/>
      <c r="G3580" s="70" t="s">
        <v>61</v>
      </c>
      <c r="H3580" s="70" t="s">
        <v>178</v>
      </c>
      <c r="I3580" s="70" t="s">
        <v>184</v>
      </c>
      <c r="J3580" s="71">
        <f>IF(OR(I3580=0,I3580=""),"unrated",VLOOKUP(I3580,MappingTables!$B$19:$C$31,2,FALSE))</f>
        <v>5</v>
      </c>
      <c r="K3580" s="72">
        <v>2613.9281930520272</v>
      </c>
      <c r="L3580" s="70">
        <v>0.33972584801702456</v>
      </c>
      <c r="M3580" s="71">
        <f>IF(L3580&lt;1,1,L3580)</f>
        <v>1</v>
      </c>
      <c r="N3580" s="70" t="s">
        <v>141</v>
      </c>
      <c r="O3580" s="71">
        <f>INDEX(DurClassMapping,MATCH(M3580,MappingTables!$D$4:$D$8,-1),1)</f>
        <v>1</v>
      </c>
      <c r="P3580" s="73">
        <f>IF(M3580=$A$1,1,$M3580-INDEX(MappingTables!$E$4:$E$8,MATCH(O3580,MappingTables!$B$4:$B$8,0)))</f>
        <v>1</v>
      </c>
      <c r="Q3580" s="71">
        <f>IF(B3580="",0,INDEX(ModelParameters!$D$6:$K$10,MATCH($O3580,ModelParameters!$B$6:$B$10,0),MATCH($J3580,ModelParameters!$D$5:$K$5,0)))</f>
        <v>0.075</v>
      </c>
      <c r="R3580" s="71">
        <f>IF(B3580="",0,INDEX(ModelParameters!$D$13:$K$17,MATCH($O3580,ModelParameters!$B$13:$B$17,0),MATCH($J3580,ModelParameters!$D$5:$K$5,0)))</f>
        <v>0</v>
      </c>
      <c r="S3580" s="160">
        <f>IF(B3580="",0,MIN(IF($N3580="Other Bond TM",ModelParameters!$N$21,1)*(P3580*Q3580+R3580),1))</f>
        <v>0.075</v>
      </c>
      <c r="T3580" s="85">
        <f>IF(B3580="",0,$S3580*$K3580)</f>
        <v>196.04461447890204</v>
      </c>
      <c r="U3580" s="85">
        <f>IF(B3580="",0,IF(OR(H3580=MappingTables!$C$34,H3580=MappingTables!$C$35),T3580,0))</f>
        <v>0</v>
      </c>
      <c r="V3580" s="85">
        <f>IF(ISNA(IF(AND(VLOOKUP(CONCATENATE($D3580,$G3580),CSRFinput!$B:$E,4,0)=0,OR(H3580=MappingTables!$C$34,H3580=MappingTables!$C$35)),1,VLOOKUP(CONCATENATE($D3580,$G3580),CSRFinput!$B:$E,4,0))),0,IF(AND(VLOOKUP(CONCATENATE($D3580,$G3580),CSRFinput!$B:$E,4,0)=0,OR(H3580=MappingTables!$C$34,H3580=MappingTables!$C$35)),1,VLOOKUP(CONCATENATE($D3580,$G3580),CSRFinput!$B:$E,4,0)))</f>
        <v>0.054776304963434752</v>
      </c>
      <c r="W3580" s="85">
        <f>IF(B3580="",0,+$T3580*$V3580)</f>
        <v>10.738599589135334</v>
      </c>
      <c r="X3580" s="85">
        <f>IF(B3580="",0,IF(OR(H3580=MappingTables!$C$34,H3580=MappingTables!$C$35),W3580,0))</f>
        <v>0</v>
      </c>
    </row>
    <row r="3581" spans="2:24" s="0" customFormat="0" ht="15">
      <c r="B3581" s="69">
        <v>15468825</v>
      </c>
      <c r="C3581" s="70" t="s">
        <v>2894</v>
      </c>
      <c r="D3581" s="70" t="s">
        <v>1</v>
      </c>
      <c r="E3581" s="70" t="s">
        <v>1</v>
      </c>
      <c r="F3581" s="70"/>
      <c r="G3581" s="70" t="s">
        <v>61</v>
      </c>
      <c r="H3581" s="70" t="s">
        <v>178</v>
      </c>
      <c r="I3581" s="70" t="s">
        <v>181</v>
      </c>
      <c r="J3581" s="71">
        <f>IF(OR(I3581=0,I3581=""),"unrated",VLOOKUP(I3581,MappingTables!$B$19:$C$31,2,FALSE))</f>
        <v>3</v>
      </c>
      <c r="K3581" s="72">
        <v>37.867196635051936</v>
      </c>
      <c r="L3581" s="70">
        <v>0.0027382251544954696</v>
      </c>
      <c r="M3581" s="71">
        <f>IF(L3581&lt;1,1,L3581)</f>
        <v>1</v>
      </c>
      <c r="N3581" s="70" t="s">
        <v>141</v>
      </c>
      <c r="O3581" s="71">
        <f>INDEX(DurClassMapping,MATCH(M3581,MappingTables!$D$4:$D$8,-1),1)</f>
        <v>1</v>
      </c>
      <c r="P3581" s="73">
        <f>IF(M3581=$A$1,1,$M3581-INDEX(MappingTables!$E$4:$E$8,MATCH(O3581,MappingTables!$B$4:$B$8,0)))</f>
        <v>1</v>
      </c>
      <c r="Q3581" s="71">
        <f>IF(B3581="",0,INDEX(ModelParameters!$D$6:$K$10,MATCH($O3581,ModelParameters!$B$6:$B$10,0),MATCH($J3581,ModelParameters!$D$5:$K$5,0)))</f>
        <v>0.025</v>
      </c>
      <c r="R3581" s="71">
        <f>IF(B3581="",0,INDEX(ModelParameters!$D$13:$K$17,MATCH($O3581,ModelParameters!$B$13:$B$17,0),MATCH($J3581,ModelParameters!$D$5:$K$5,0)))</f>
        <v>0</v>
      </c>
      <c r="S3581" s="160">
        <f>IF(B3581="",0,MIN(IF($N3581="Other Bond TM",ModelParameters!$N$21,1)*(P3581*Q3581+R3581),1))</f>
        <v>0.025</v>
      </c>
      <c r="T3581" s="85">
        <f>IF(B3581="",0,$S3581*$K3581)</f>
        <v>0.94667991587629856</v>
      </c>
      <c r="U3581" s="85">
        <f>IF(B3581="",0,IF(OR(H3581=MappingTables!$C$34,H3581=MappingTables!$C$35),T3581,0))</f>
        <v>0</v>
      </c>
      <c r="V3581" s="85">
        <f>IF(ISNA(IF(AND(VLOOKUP(CONCATENATE($D3581,$G3581),CSRFinput!$B:$E,4,0)=0,OR(H3581=MappingTables!$C$34,H3581=MappingTables!$C$35)),1,VLOOKUP(CONCATENATE($D3581,$G3581),CSRFinput!$B:$E,4,0))),0,IF(AND(VLOOKUP(CONCATENATE($D3581,$G3581),CSRFinput!$B:$E,4,0)=0,OR(H3581=MappingTables!$C$34,H3581=MappingTables!$C$35)),1,VLOOKUP(CONCATENATE($D3581,$G3581),CSRFinput!$B:$E,4,0)))</f>
        <v>0.054776304963434752</v>
      </c>
      <c r="W3581" s="85">
        <f>IF(B3581="",0,+$T3581*$V3581)</f>
        <v>0.051855627774798888</v>
      </c>
      <c r="X3581" s="85">
        <f>IF(B3581="",0,IF(OR(H3581=MappingTables!$C$34,H3581=MappingTables!$C$35),W3581,0))</f>
        <v>0</v>
      </c>
    </row>
    <row r="3582" spans="2:24" s="0" customFormat="0" ht="15">
      <c r="B3582" s="69">
        <v>18812115</v>
      </c>
      <c r="C3582" s="70" t="s">
        <v>2858</v>
      </c>
      <c r="D3582" s="70" t="s">
        <v>1</v>
      </c>
      <c r="E3582" s="70" t="s">
        <v>1</v>
      </c>
      <c r="F3582" s="70"/>
      <c r="G3582" s="70" t="s">
        <v>61</v>
      </c>
      <c r="H3582" s="70" t="s">
        <v>178</v>
      </c>
      <c r="I3582" s="70" t="s">
        <v>188</v>
      </c>
      <c r="J3582" s="71">
        <f>IF(OR(I3582=0,I3582=""),"unrated",VLOOKUP(I3582,MappingTables!$B$19:$C$31,2,FALSE))</f>
        <v>2</v>
      </c>
      <c r="K3582" s="72">
        <v>109.57799906626102</v>
      </c>
      <c r="L3582" s="70">
        <v>0.70028146936381704</v>
      </c>
      <c r="M3582" s="71">
        <f>IF(L3582&lt;1,1,L3582)</f>
        <v>1</v>
      </c>
      <c r="N3582" s="70" t="s">
        <v>141</v>
      </c>
      <c r="O3582" s="71">
        <f>INDEX(DurClassMapping,MATCH(M3582,MappingTables!$D$4:$D$8,-1),1)</f>
        <v>1</v>
      </c>
      <c r="P3582" s="73">
        <f>IF(M3582=$A$1,1,$M3582-INDEX(MappingTables!$E$4:$E$8,MATCH(O3582,MappingTables!$B$4:$B$8,0)))</f>
        <v>1</v>
      </c>
      <c r="Q3582" s="71">
        <f>IF(B3582="",0,INDEX(ModelParameters!$D$6:$K$10,MATCH($O3582,ModelParameters!$B$6:$B$10,0),MATCH($J3582,ModelParameters!$D$5:$K$5,0)))</f>
        <v>0.013999999999999998</v>
      </c>
      <c r="R3582" s="71">
        <f>IF(B3582="",0,INDEX(ModelParameters!$D$13:$K$17,MATCH($O3582,ModelParameters!$B$13:$B$17,0),MATCH($J3582,ModelParameters!$D$5:$K$5,0)))</f>
        <v>0</v>
      </c>
      <c r="S3582" s="160">
        <f>IF(B3582="",0,MIN(IF($N3582="Other Bond TM",ModelParameters!$N$21,1)*(P3582*Q3582+R3582),1))</f>
        <v>0.013999999999999998</v>
      </c>
      <c r="T3582" s="85">
        <f>IF(B3582="",0,$S3582*$K3582)</f>
        <v>1.5340919869276542</v>
      </c>
      <c r="U3582" s="85">
        <f>IF(B3582="",0,IF(OR(H3582=MappingTables!$C$34,H3582=MappingTables!$C$35),T3582,0))</f>
        <v>0</v>
      </c>
      <c r="V3582" s="85">
        <f>IF(ISNA(IF(AND(VLOOKUP(CONCATENATE($D3582,$G3582),CSRFinput!$B:$E,4,0)=0,OR(H3582=MappingTables!$C$34,H3582=MappingTables!$C$35)),1,VLOOKUP(CONCATENATE($D3582,$G3582),CSRFinput!$B:$E,4,0))),0,IF(AND(VLOOKUP(CONCATENATE($D3582,$G3582),CSRFinput!$B:$E,4,0)=0,OR(H3582=MappingTables!$C$34,H3582=MappingTables!$C$35)),1,VLOOKUP(CONCATENATE($D3582,$G3582),CSRFinput!$B:$E,4,0)))</f>
        <v>0.054776304963434752</v>
      </c>
      <c r="W3582" s="85">
        <f>IF(B3582="",0,+$T3582*$V3582)</f>
        <v>0.084031890517910736</v>
      </c>
      <c r="X3582" s="85">
        <f>IF(B3582="",0,IF(OR(H3582=MappingTables!$C$34,H3582=MappingTables!$C$35),W3582,0))</f>
        <v>0</v>
      </c>
    </row>
    <row r="3583" spans="2:24" s="0" customFormat="0" ht="15">
      <c r="B3583" s="69">
        <v>12767430</v>
      </c>
      <c r="C3583" s="70" t="s">
        <v>307</v>
      </c>
      <c r="D3583" s="70" t="s">
        <v>1</v>
      </c>
      <c r="E3583" s="70" t="s">
        <v>1</v>
      </c>
      <c r="F3583" s="70"/>
      <c r="G3583" s="70" t="s">
        <v>61</v>
      </c>
      <c r="H3583" s="70" t="s">
        <v>178</v>
      </c>
      <c r="I3583" s="70" t="s">
        <v>181</v>
      </c>
      <c r="J3583" s="71">
        <f>IF(OR(I3583=0,I3583=""),"unrated",VLOOKUP(I3583,MappingTables!$B$19:$C$31,2,FALSE))</f>
        <v>3</v>
      </c>
      <c r="K3583" s="72">
        <v>6360.5396009567792</v>
      </c>
      <c r="L3583" s="70">
        <v>2.7390803196879156</v>
      </c>
      <c r="M3583" s="71">
        <f>IF(L3583&lt;1,1,L3583)</f>
        <v>2.7390803196879156</v>
      </c>
      <c r="N3583" s="70" t="s">
        <v>141</v>
      </c>
      <c r="O3583" s="71">
        <f>INDEX(DurClassMapping,MATCH(M3583,MappingTables!$D$4:$D$8,-1),1)</f>
        <v>1</v>
      </c>
      <c r="P3583" s="73">
        <f>IF(M3583=$A$1,1,$M3583-INDEX(MappingTables!$E$4:$E$8,MATCH(O3583,MappingTables!$B$4:$B$8,0)))</f>
        <v>2.7390803196879156</v>
      </c>
      <c r="Q3583" s="71">
        <f>IF(B3583="",0,INDEX(ModelParameters!$D$6:$K$10,MATCH($O3583,ModelParameters!$B$6:$B$10,0),MATCH($J3583,ModelParameters!$D$5:$K$5,0)))</f>
        <v>0.025</v>
      </c>
      <c r="R3583" s="71">
        <f>IF(B3583="",0,INDEX(ModelParameters!$D$13:$K$17,MATCH($O3583,ModelParameters!$B$13:$B$17,0),MATCH($J3583,ModelParameters!$D$5:$K$5,0)))</f>
        <v>0</v>
      </c>
      <c r="S3583" s="160">
        <f>IF(B3583="",0,MIN(IF($N3583="Other Bond TM",ModelParameters!$N$21,1)*(P3583*Q3583+R3583),1))</f>
        <v>0.068477007992197896</v>
      </c>
      <c r="T3583" s="85">
        <f>IF(B3583="",0,$S3583*$K3583)</f>
        <v>435.55072108940864</v>
      </c>
      <c r="U3583" s="85">
        <f>IF(B3583="",0,IF(OR(H3583=MappingTables!$C$34,H3583=MappingTables!$C$35),T3583,0))</f>
        <v>0</v>
      </c>
      <c r="V3583" s="85">
        <f>IF(ISNA(IF(AND(VLOOKUP(CONCATENATE($D3583,$G3583),CSRFinput!$B:$E,4,0)=0,OR(H3583=MappingTables!$C$34,H3583=MappingTables!$C$35)),1,VLOOKUP(CONCATENATE($D3583,$G3583),CSRFinput!$B:$E,4,0))),0,IF(AND(VLOOKUP(CONCATENATE($D3583,$G3583),CSRFinput!$B:$E,4,0)=0,OR(H3583=MappingTables!$C$34,H3583=MappingTables!$C$35)),1,VLOOKUP(CONCATENATE($D3583,$G3583),CSRFinput!$B:$E,4,0)))</f>
        <v>0.054776304963434752</v>
      </c>
      <c r="W3583" s="85">
        <f>IF(B3583="",0,+$T3583*$V3583)</f>
        <v>23.85785912543736</v>
      </c>
      <c r="X3583" s="85">
        <f>IF(B3583="",0,IF(OR(H3583=MappingTables!$C$34,H3583=MappingTables!$C$35),W3583,0))</f>
        <v>0</v>
      </c>
    </row>
    <row r="3584" spans="2:24" s="0" customFormat="0" ht="15">
      <c r="B3584" s="69">
        <v>12894598</v>
      </c>
      <c r="C3584" s="70" t="s">
        <v>2502</v>
      </c>
      <c r="D3584" s="70" t="s">
        <v>1</v>
      </c>
      <c r="E3584" s="70" t="s">
        <v>1</v>
      </c>
      <c r="F3584" s="70"/>
      <c r="G3584" s="70" t="s">
        <v>61</v>
      </c>
      <c r="H3584" s="70" t="s">
        <v>178</v>
      </c>
      <c r="I3584" s="70" t="s">
        <v>179</v>
      </c>
      <c r="J3584" s="71">
        <f>IF(OR(I3584=0,I3584=""),"unrated",VLOOKUP(I3584,MappingTables!$B$19:$C$31,2,FALSE))</f>
        <v>4</v>
      </c>
      <c r="K3584" s="72">
        <v>627.4039100953464</v>
      </c>
      <c r="L3584" s="70">
        <v>0.85684577685549552</v>
      </c>
      <c r="M3584" s="71">
        <f>IF(L3584&lt;1,1,L3584)</f>
        <v>1</v>
      </c>
      <c r="N3584" s="70" t="s">
        <v>141</v>
      </c>
      <c r="O3584" s="71">
        <f>INDEX(DurClassMapping,MATCH(M3584,MappingTables!$D$4:$D$8,-1),1)</f>
        <v>1</v>
      </c>
      <c r="P3584" s="73">
        <f>IF(M3584=$A$1,1,$M3584-INDEX(MappingTables!$E$4:$E$8,MATCH(O3584,MappingTables!$B$4:$B$8,0)))</f>
        <v>1</v>
      </c>
      <c r="Q3584" s="71">
        <f>IF(B3584="",0,INDEX(ModelParameters!$D$6:$K$10,MATCH($O3584,ModelParameters!$B$6:$B$10,0),MATCH($J3584,ModelParameters!$D$5:$K$5,0)))</f>
        <v>0.045</v>
      </c>
      <c r="R3584" s="71">
        <f>IF(B3584="",0,INDEX(ModelParameters!$D$13:$K$17,MATCH($O3584,ModelParameters!$B$13:$B$17,0),MATCH($J3584,ModelParameters!$D$5:$K$5,0)))</f>
        <v>0</v>
      </c>
      <c r="S3584" s="160">
        <f>IF(B3584="",0,MIN(IF($N3584="Other Bond TM",ModelParameters!$N$21,1)*(P3584*Q3584+R3584),1))</f>
        <v>0.045</v>
      </c>
      <c r="T3584" s="85">
        <f>IF(B3584="",0,$S3584*$K3584)</f>
        <v>28.233175954290588</v>
      </c>
      <c r="U3584" s="85">
        <f>IF(B3584="",0,IF(OR(H3584=MappingTables!$C$34,H3584=MappingTables!$C$35),T3584,0))</f>
        <v>0</v>
      </c>
      <c r="V3584" s="85">
        <f>IF(ISNA(IF(AND(VLOOKUP(CONCATENATE($D3584,$G3584),CSRFinput!$B:$E,4,0)=0,OR(H3584=MappingTables!$C$34,H3584=MappingTables!$C$35)),1,VLOOKUP(CONCATENATE($D3584,$G3584),CSRFinput!$B:$E,4,0))),0,IF(AND(VLOOKUP(CONCATENATE($D3584,$G3584),CSRFinput!$B:$E,4,0)=0,OR(H3584=MappingTables!$C$34,H3584=MappingTables!$C$35)),1,VLOOKUP(CONCATENATE($D3584,$G3584),CSRFinput!$B:$E,4,0)))</f>
        <v>0.054776304963434752</v>
      </c>
      <c r="W3584" s="85">
        <f>IF(B3584="",0,+$T3584*$V3584)</f>
        <v>1.5465090561585342</v>
      </c>
      <c r="X3584" s="85">
        <f>IF(B3584="",0,IF(OR(H3584=MappingTables!$C$34,H3584=MappingTables!$C$35),W3584,0))</f>
        <v>0</v>
      </c>
    </row>
    <row r="3585" spans="2:24" s="0" customFormat="0" ht="15">
      <c r="B3585" s="69">
        <v>10900818</v>
      </c>
      <c r="C3585" s="70" t="s">
        <v>2056</v>
      </c>
      <c r="D3585" s="70" t="s">
        <v>1</v>
      </c>
      <c r="E3585" s="70" t="s">
        <v>1</v>
      </c>
      <c r="F3585" s="70"/>
      <c r="G3585" s="70" t="s">
        <v>61</v>
      </c>
      <c r="H3585" s="70" t="s">
        <v>178</v>
      </c>
      <c r="I3585" s="70" t="s">
        <v>179</v>
      </c>
      <c r="J3585" s="71">
        <f>IF(OR(I3585=0,I3585=""),"unrated",VLOOKUP(I3585,MappingTables!$B$19:$C$31,2,FALSE))</f>
        <v>4</v>
      </c>
      <c r="K3585" s="72">
        <v>51652.55255183996</v>
      </c>
      <c r="L3585" s="70">
        <v>2.9752053172233008</v>
      </c>
      <c r="M3585" s="71">
        <f>IF(L3585&lt;1,1,L3585)</f>
        <v>2.9752053172233008</v>
      </c>
      <c r="N3585" s="70" t="s">
        <v>141</v>
      </c>
      <c r="O3585" s="71">
        <f>INDEX(DurClassMapping,MATCH(M3585,MappingTables!$D$4:$D$8,-1),1)</f>
        <v>1</v>
      </c>
      <c r="P3585" s="73">
        <f>IF(M3585=$A$1,1,$M3585-INDEX(MappingTables!$E$4:$E$8,MATCH(O3585,MappingTables!$B$4:$B$8,0)))</f>
        <v>2.9752053172233008</v>
      </c>
      <c r="Q3585" s="71">
        <f>IF(B3585="",0,INDEX(ModelParameters!$D$6:$K$10,MATCH($O3585,ModelParameters!$B$6:$B$10,0),MATCH($J3585,ModelParameters!$D$5:$K$5,0)))</f>
        <v>0.045</v>
      </c>
      <c r="R3585" s="71">
        <f>IF(B3585="",0,INDEX(ModelParameters!$D$13:$K$17,MATCH($O3585,ModelParameters!$B$13:$B$17,0),MATCH($J3585,ModelParameters!$D$5:$K$5,0)))</f>
        <v>0</v>
      </c>
      <c r="S3585" s="160">
        <f>IF(B3585="",0,MIN(IF($N3585="Other Bond TM",ModelParameters!$N$21,1)*(P3585*Q3585+R3585),1))</f>
        <v>0.13388423927504852</v>
      </c>
      <c r="T3585" s="85">
        <f>IF(B3585="",0,$S3585*$K3585)</f>
        <v>6915.4627050175592</v>
      </c>
      <c r="U3585" s="85">
        <f>IF(B3585="",0,IF(OR(H3585=MappingTables!$C$34,H3585=MappingTables!$C$35),T3585,0))</f>
        <v>0</v>
      </c>
      <c r="V3585" s="85">
        <f>IF(ISNA(IF(AND(VLOOKUP(CONCATENATE($D3585,$G3585),CSRFinput!$B:$E,4,0)=0,OR(H3585=MappingTables!$C$34,H3585=MappingTables!$C$35)),1,VLOOKUP(CONCATENATE($D3585,$G3585),CSRFinput!$B:$E,4,0))),0,IF(AND(VLOOKUP(CONCATENATE($D3585,$G3585),CSRFinput!$B:$E,4,0)=0,OR(H3585=MappingTables!$C$34,H3585=MappingTables!$C$35)),1,VLOOKUP(CONCATENATE($D3585,$G3585),CSRFinput!$B:$E,4,0)))</f>
        <v>0.054776304963434752</v>
      </c>
      <c r="W3585" s="85">
        <f>IF(B3585="",0,+$T3585*$V3585)</f>
        <v>378.80349409330128</v>
      </c>
      <c r="X3585" s="85">
        <f>IF(B3585="",0,IF(OR(H3585=MappingTables!$C$34,H3585=MappingTables!$C$35),W3585,0))</f>
        <v>0</v>
      </c>
    </row>
    <row r="3586" spans="2:24" s="0" customFormat="0" ht="15">
      <c r="B3586" s="69">
        <v>21736823</v>
      </c>
      <c r="C3586" s="70" t="s">
        <v>2831</v>
      </c>
      <c r="D3586" s="70" t="s">
        <v>1</v>
      </c>
      <c r="E3586" s="70" t="s">
        <v>1</v>
      </c>
      <c r="F3586" s="70"/>
      <c r="G3586" s="70" t="s">
        <v>61</v>
      </c>
      <c r="H3586" s="70" t="s">
        <v>178</v>
      </c>
      <c r="I3586" s="70" t="s">
        <v>181</v>
      </c>
      <c r="J3586" s="71">
        <f>IF(OR(I3586=0,I3586=""),"unrated",VLOOKUP(I3586,MappingTables!$B$19:$C$31,2,FALSE))</f>
        <v>3</v>
      </c>
      <c r="K3586" s="72">
        <v>54.7520526467392</v>
      </c>
      <c r="L3586" s="70">
        <v>7.7767869627826992</v>
      </c>
      <c r="M3586" s="71">
        <f>IF(L3586&lt;1,1,L3586)</f>
        <v>7.7767869627826992</v>
      </c>
      <c r="N3586" s="70" t="s">
        <v>141</v>
      </c>
      <c r="O3586" s="71">
        <f>INDEX(DurClassMapping,MATCH(M3586,MappingTables!$D$4:$D$8,-1),1)</f>
        <v>2</v>
      </c>
      <c r="P3586" s="73">
        <f>IF(M3586=$A$1,1,$M3586-INDEX(MappingTables!$E$4:$E$8,MATCH(O3586,MappingTables!$B$4:$B$8,0)))</f>
        <v>2.7767869627826992</v>
      </c>
      <c r="Q3586" s="71">
        <f>IF(B3586="",0,INDEX(ModelParameters!$D$6:$K$10,MATCH($O3586,ModelParameters!$B$6:$B$10,0),MATCH($J3586,ModelParameters!$D$5:$K$5,0)))</f>
        <v>0.015</v>
      </c>
      <c r="R3586" s="71">
        <f>IF(B3586="",0,INDEX(ModelParameters!$D$13:$K$17,MATCH($O3586,ModelParameters!$B$13:$B$17,0),MATCH($J3586,ModelParameters!$D$5:$K$5,0)))</f>
        <v>0.125</v>
      </c>
      <c r="S3586" s="160">
        <f>IF(B3586="",0,MIN(IF($N3586="Other Bond TM",ModelParameters!$N$21,1)*(P3586*Q3586+R3586),1))</f>
        <v>0.1666518044417405</v>
      </c>
      <c r="T3586" s="85">
        <f>IF(B3586="",0,$S3586*$K3586)</f>
        <v>9.1245283704682624</v>
      </c>
      <c r="U3586" s="85">
        <f>IF(B3586="",0,IF(OR(H3586=MappingTables!$C$34,H3586=MappingTables!$C$35),T3586,0))</f>
        <v>0</v>
      </c>
      <c r="V3586" s="85">
        <f>IF(ISNA(IF(AND(VLOOKUP(CONCATENATE($D3586,$G3586),CSRFinput!$B:$E,4,0)=0,OR(H3586=MappingTables!$C$34,H3586=MappingTables!$C$35)),1,VLOOKUP(CONCATENATE($D3586,$G3586),CSRFinput!$B:$E,4,0))),0,IF(AND(VLOOKUP(CONCATENATE($D3586,$G3586),CSRFinput!$B:$E,4,0)=0,OR(H3586=MappingTables!$C$34,H3586=MappingTables!$C$35)),1,VLOOKUP(CONCATENATE($D3586,$G3586),CSRFinput!$B:$E,4,0)))</f>
        <v>0.054776304963434752</v>
      </c>
      <c r="W3586" s="85">
        <f>IF(B3586="",0,+$T3586*$V3586)</f>
        <v>0.49980794866828184</v>
      </c>
      <c r="X3586" s="85">
        <f>IF(B3586="",0,IF(OR(H3586=MappingTables!$C$34,H3586=MappingTables!$C$35),W3586,0))</f>
        <v>0</v>
      </c>
    </row>
    <row r="3587" spans="2:24" s="0" customFormat="0" ht="15">
      <c r="B3587" s="69">
        <v>19657742</v>
      </c>
      <c r="C3587" s="70" t="s">
        <v>2279</v>
      </c>
      <c r="D3587" s="70" t="s">
        <v>1</v>
      </c>
      <c r="E3587" s="70" t="s">
        <v>1</v>
      </c>
      <c r="F3587" s="70"/>
      <c r="G3587" s="70" t="s">
        <v>61</v>
      </c>
      <c r="H3587" s="70" t="s">
        <v>178</v>
      </c>
      <c r="I3587" s="70" t="s">
        <v>184</v>
      </c>
      <c r="J3587" s="71">
        <f>IF(OR(I3587=0,I3587=""),"unrated",VLOOKUP(I3587,MappingTables!$B$19:$C$31,2,FALSE))</f>
        <v>5</v>
      </c>
      <c r="K3587" s="72">
        <v>286.42054318945132</v>
      </c>
      <c r="L3587" s="70">
        <v>1.350751863957375</v>
      </c>
      <c r="M3587" s="71">
        <f>IF(L3587&lt;1,1,L3587)</f>
        <v>1.350751863957375</v>
      </c>
      <c r="N3587" s="70" t="s">
        <v>141</v>
      </c>
      <c r="O3587" s="71">
        <f>INDEX(DurClassMapping,MATCH(M3587,MappingTables!$D$4:$D$8,-1),1)</f>
        <v>1</v>
      </c>
      <c r="P3587" s="73">
        <f>IF(M3587=$A$1,1,$M3587-INDEX(MappingTables!$E$4:$E$8,MATCH(O3587,MappingTables!$B$4:$B$8,0)))</f>
        <v>1.350751863957375</v>
      </c>
      <c r="Q3587" s="71">
        <f>IF(B3587="",0,INDEX(ModelParameters!$D$6:$K$10,MATCH($O3587,ModelParameters!$B$6:$B$10,0),MATCH($J3587,ModelParameters!$D$5:$K$5,0)))</f>
        <v>0.075</v>
      </c>
      <c r="R3587" s="71">
        <f>IF(B3587="",0,INDEX(ModelParameters!$D$13:$K$17,MATCH($O3587,ModelParameters!$B$13:$B$17,0),MATCH($J3587,ModelParameters!$D$5:$K$5,0)))</f>
        <v>0</v>
      </c>
      <c r="S3587" s="160">
        <f>IF(B3587="",0,MIN(IF($N3587="Other Bond TM",ModelParameters!$N$21,1)*(P3587*Q3587+R3587),1))</f>
        <v>0.10130638979680312</v>
      </c>
      <c r="T3587" s="85">
        <f>IF(B3587="",0,$S3587*$K3587)</f>
        <v>29.01623119416264</v>
      </c>
      <c r="U3587" s="85">
        <f>IF(B3587="",0,IF(OR(H3587=MappingTables!$C$34,H3587=MappingTables!$C$35),T3587,0))</f>
        <v>0</v>
      </c>
      <c r="V3587" s="85">
        <f>IF(ISNA(IF(AND(VLOOKUP(CONCATENATE($D3587,$G3587),CSRFinput!$B:$E,4,0)=0,OR(H3587=MappingTables!$C$34,H3587=MappingTables!$C$35)),1,VLOOKUP(CONCATENATE($D3587,$G3587),CSRFinput!$B:$E,4,0))),0,IF(AND(VLOOKUP(CONCATENATE($D3587,$G3587),CSRFinput!$B:$E,4,0)=0,OR(H3587=MappingTables!$C$34,H3587=MappingTables!$C$35)),1,VLOOKUP(CONCATENATE($D3587,$G3587),CSRFinput!$B:$E,4,0)))</f>
        <v>0.054776304963434752</v>
      </c>
      <c r="W3587" s="85">
        <f>IF(B3587="",0,+$T3587*$V3587)</f>
        <v>1.5894019287809812</v>
      </c>
      <c r="X3587" s="85">
        <f>IF(B3587="",0,IF(OR(H3587=MappingTables!$C$34,H3587=MappingTables!$C$35),W3587,0))</f>
        <v>0</v>
      </c>
    </row>
    <row r="3588" spans="2:24" s="0" customFormat="0" ht="15">
      <c r="B3588" s="69" t="s">
        <v>2740</v>
      </c>
      <c r="C3588" s="70" t="s">
        <v>2741</v>
      </c>
      <c r="D3588" s="70" t="s">
        <v>1</v>
      </c>
      <c r="E3588" s="70" t="s">
        <v>1</v>
      </c>
      <c r="F3588" s="70"/>
      <c r="G3588" s="70" t="s">
        <v>61</v>
      </c>
      <c r="H3588" s="70" t="s">
        <v>178</v>
      </c>
      <c r="I3588" s="70" t="s">
        <v>181</v>
      </c>
      <c r="J3588" s="71">
        <f>IF(OR(I3588=0,I3588=""),"unrated",VLOOKUP(I3588,MappingTables!$B$19:$C$31,2,FALSE))</f>
        <v>3</v>
      </c>
      <c r="K3588" s="72">
        <v>7287.5226648031904</v>
      </c>
      <c r="L3588" s="70">
        <v>2.204740402988888</v>
      </c>
      <c r="M3588" s="71">
        <f>IF(L3588&lt;1,1,L3588)</f>
        <v>2.204740402988888</v>
      </c>
      <c r="N3588" s="70" t="s">
        <v>141</v>
      </c>
      <c r="O3588" s="71">
        <f>INDEX(DurClassMapping,MATCH(M3588,MappingTables!$D$4:$D$8,-1),1)</f>
        <v>1</v>
      </c>
      <c r="P3588" s="73">
        <f>IF(M3588=$A$1,1,$M3588-INDEX(MappingTables!$E$4:$E$8,MATCH(O3588,MappingTables!$B$4:$B$8,0)))</f>
        <v>2.204740402988888</v>
      </c>
      <c r="Q3588" s="71">
        <f>IF(B3588="",0,INDEX(ModelParameters!$D$6:$K$10,MATCH($O3588,ModelParameters!$B$6:$B$10,0),MATCH($J3588,ModelParameters!$D$5:$K$5,0)))</f>
        <v>0.025</v>
      </c>
      <c r="R3588" s="71">
        <f>IF(B3588="",0,INDEX(ModelParameters!$D$13:$K$17,MATCH($O3588,ModelParameters!$B$13:$B$17,0),MATCH($J3588,ModelParameters!$D$5:$K$5,0)))</f>
        <v>0</v>
      </c>
      <c r="S3588" s="160">
        <f>IF(B3588="",0,MIN(IF($N3588="Other Bond TM",ModelParameters!$N$21,1)*(P3588*Q3588+R3588),1))</f>
        <v>0.055118510074722208</v>
      </c>
      <c r="T3588" s="85">
        <f>IF(B3588="",0,$S3588*$K3588)</f>
        <v>401.67739141972112</v>
      </c>
      <c r="U3588" s="85">
        <f>IF(B3588="",0,IF(OR(H3588=MappingTables!$C$34,H3588=MappingTables!$C$35),T3588,0))</f>
        <v>0</v>
      </c>
      <c r="V3588" s="85">
        <f>IF(ISNA(IF(AND(VLOOKUP(CONCATENATE($D3588,$G3588),CSRFinput!$B:$E,4,0)=0,OR(H3588=MappingTables!$C$34,H3588=MappingTables!$C$35)),1,VLOOKUP(CONCATENATE($D3588,$G3588),CSRFinput!$B:$E,4,0))),0,IF(AND(VLOOKUP(CONCATENATE($D3588,$G3588),CSRFinput!$B:$E,4,0)=0,OR(H3588=MappingTables!$C$34,H3588=MappingTables!$C$35)),1,VLOOKUP(CONCATENATE($D3588,$G3588),CSRFinput!$B:$E,4,0)))</f>
        <v>0.054776304963434752</v>
      </c>
      <c r="W3588" s="85">
        <f>IF(B3588="",0,+$T3588*$V3588)</f>
        <v>22.002403289323596</v>
      </c>
      <c r="X3588" s="85">
        <f>IF(B3588="",0,IF(OR(H3588=MappingTables!$C$34,H3588=MappingTables!$C$35),W3588,0))</f>
        <v>0</v>
      </c>
    </row>
    <row r="3589" spans="2:24" s="0" customFormat="0" ht="15">
      <c r="B3589" s="69">
        <v>17634084</v>
      </c>
      <c r="C3589" s="70" t="s">
        <v>1288</v>
      </c>
      <c r="D3589" s="70" t="s">
        <v>1</v>
      </c>
      <c r="E3589" s="70" t="s">
        <v>1</v>
      </c>
      <c r="F3589" s="70"/>
      <c r="G3589" s="70" t="s">
        <v>61</v>
      </c>
      <c r="H3589" s="70" t="s">
        <v>178</v>
      </c>
      <c r="I3589" s="70" t="s">
        <v>179</v>
      </c>
      <c r="J3589" s="71">
        <f>IF(OR(I3589=0,I3589=""),"unrated",VLOOKUP(I3589,MappingTables!$B$19:$C$31,2,FALSE))</f>
        <v>4</v>
      </c>
      <c r="K3589" s="72">
        <v>10730.918253569244</v>
      </c>
      <c r="L3589" s="70">
        <v>0.087674038183169328</v>
      </c>
      <c r="M3589" s="71">
        <f>IF(L3589&lt;1,1,L3589)</f>
        <v>1</v>
      </c>
      <c r="N3589" s="70" t="s">
        <v>141</v>
      </c>
      <c r="O3589" s="71">
        <f>INDEX(DurClassMapping,MATCH(M3589,MappingTables!$D$4:$D$8,-1),1)</f>
        <v>1</v>
      </c>
      <c r="P3589" s="73">
        <f>IF(M3589=$A$1,1,$M3589-INDEX(MappingTables!$E$4:$E$8,MATCH(O3589,MappingTables!$B$4:$B$8,0)))</f>
        <v>1</v>
      </c>
      <c r="Q3589" s="71">
        <f>IF(B3589="",0,INDEX(ModelParameters!$D$6:$K$10,MATCH($O3589,ModelParameters!$B$6:$B$10,0),MATCH($J3589,ModelParameters!$D$5:$K$5,0)))</f>
        <v>0.045</v>
      </c>
      <c r="R3589" s="71">
        <f>IF(B3589="",0,INDEX(ModelParameters!$D$13:$K$17,MATCH($O3589,ModelParameters!$B$13:$B$17,0),MATCH($J3589,ModelParameters!$D$5:$K$5,0)))</f>
        <v>0</v>
      </c>
      <c r="S3589" s="160">
        <f>IF(B3589="",0,MIN(IF($N3589="Other Bond TM",ModelParameters!$N$21,1)*(P3589*Q3589+R3589),1))</f>
        <v>0.045</v>
      </c>
      <c r="T3589" s="85">
        <f>IF(B3589="",0,$S3589*$K3589)</f>
        <v>482.89132141061592</v>
      </c>
      <c r="U3589" s="85">
        <f>IF(B3589="",0,IF(OR(H3589=MappingTables!$C$34,H3589=MappingTables!$C$35),T3589,0))</f>
        <v>0</v>
      </c>
      <c r="V3589" s="85">
        <f>IF(ISNA(IF(AND(VLOOKUP(CONCATENATE($D3589,$G3589),CSRFinput!$B:$E,4,0)=0,OR(H3589=MappingTables!$C$34,H3589=MappingTables!$C$35)),1,VLOOKUP(CONCATENATE($D3589,$G3589),CSRFinput!$B:$E,4,0))),0,IF(AND(VLOOKUP(CONCATENATE($D3589,$G3589),CSRFinput!$B:$E,4,0)=0,OR(H3589=MappingTables!$C$34,H3589=MappingTables!$C$35)),1,VLOOKUP(CONCATENATE($D3589,$G3589),CSRFinput!$B:$E,4,0)))</f>
        <v>0.054776304963434752</v>
      </c>
      <c r="W3589" s="85">
        <f>IF(B3589="",0,+$T3589*$V3589)</f>
        <v>26.451002285783888</v>
      </c>
      <c r="X3589" s="85">
        <f>IF(B3589="",0,IF(OR(H3589=MappingTables!$C$34,H3589=MappingTables!$C$35),W3589,0))</f>
        <v>0</v>
      </c>
    </row>
    <row r="3590" spans="2:24" s="0" customFormat="0" ht="15">
      <c r="B3590" s="69" t="s">
        <v>661</v>
      </c>
      <c r="C3590" s="70" t="s">
        <v>662</v>
      </c>
      <c r="D3590" s="70" t="s">
        <v>1</v>
      </c>
      <c r="E3590" s="70" t="s">
        <v>1</v>
      </c>
      <c r="F3590" s="70"/>
      <c r="G3590" s="70" t="s">
        <v>61</v>
      </c>
      <c r="H3590" s="70" t="s">
        <v>178</v>
      </c>
      <c r="I3590" s="70" t="s">
        <v>181</v>
      </c>
      <c r="J3590" s="71">
        <f>IF(OR(I3590=0,I3590=""),"unrated",VLOOKUP(I3590,MappingTables!$B$19:$C$31,2,FALSE))</f>
        <v>3</v>
      </c>
      <c r="K3590" s="72">
        <v>6.7373652365889528</v>
      </c>
      <c r="L3590" s="70">
        <v>1.6879938919584894</v>
      </c>
      <c r="M3590" s="71">
        <f>IF(L3590&lt;1,1,L3590)</f>
        <v>1.6879938919584894</v>
      </c>
      <c r="N3590" s="70" t="s">
        <v>141</v>
      </c>
      <c r="O3590" s="71">
        <f>INDEX(DurClassMapping,MATCH(M3590,MappingTables!$D$4:$D$8,-1),1)</f>
        <v>1</v>
      </c>
      <c r="P3590" s="73">
        <f>IF(M3590=$A$1,1,$M3590-INDEX(MappingTables!$E$4:$E$8,MATCH(O3590,MappingTables!$B$4:$B$8,0)))</f>
        <v>1.6879938919584894</v>
      </c>
      <c r="Q3590" s="71">
        <f>IF(B3590="",0,INDEX(ModelParameters!$D$6:$K$10,MATCH($O3590,ModelParameters!$B$6:$B$10,0),MATCH($J3590,ModelParameters!$D$5:$K$5,0)))</f>
        <v>0.025</v>
      </c>
      <c r="R3590" s="71">
        <f>IF(B3590="",0,INDEX(ModelParameters!$D$13:$K$17,MATCH($O3590,ModelParameters!$B$13:$B$17,0),MATCH($J3590,ModelParameters!$D$5:$K$5,0)))</f>
        <v>0</v>
      </c>
      <c r="S3590" s="160">
        <f>IF(B3590="",0,MIN(IF($N3590="Other Bond TM",ModelParameters!$N$21,1)*(P3590*Q3590+R3590),1))</f>
        <v>0.042199847298962232</v>
      </c>
      <c r="T3590" s="85">
        <f>IF(B3590="",0,$S3590*$K3590)</f>
        <v>0.28431578418139036</v>
      </c>
      <c r="U3590" s="85">
        <f>IF(B3590="",0,IF(OR(H3590=MappingTables!$C$34,H3590=MappingTables!$C$35),T3590,0))</f>
        <v>0</v>
      </c>
      <c r="V3590" s="85">
        <f>IF(ISNA(IF(AND(VLOOKUP(CONCATENATE($D3590,$G3590),CSRFinput!$B:$E,4,0)=0,OR(H3590=MappingTables!$C$34,H3590=MappingTables!$C$35)),1,VLOOKUP(CONCATENATE($D3590,$G3590),CSRFinput!$B:$E,4,0))),0,IF(AND(VLOOKUP(CONCATENATE($D3590,$G3590),CSRFinput!$B:$E,4,0)=0,OR(H3590=MappingTables!$C$34,H3590=MappingTables!$C$35)),1,VLOOKUP(CONCATENATE($D3590,$G3590),CSRFinput!$B:$E,4,0)))</f>
        <v>0.054776304963434752</v>
      </c>
      <c r="W3590" s="85">
        <f>IF(B3590="",0,+$T3590*$V3590)</f>
        <v>0.015573768100237938</v>
      </c>
      <c r="X3590" s="85">
        <f>IF(B3590="",0,IF(OR(H3590=MappingTables!$C$34,H3590=MappingTables!$C$35),W3590,0))</f>
        <v>0</v>
      </c>
    </row>
    <row r="3591" spans="2:24" s="0" customFormat="0" ht="15">
      <c r="B3591" s="69">
        <v>23675253</v>
      </c>
      <c r="C3591" s="70" t="s">
        <v>2766</v>
      </c>
      <c r="D3591" s="70" t="s">
        <v>1</v>
      </c>
      <c r="E3591" s="70" t="s">
        <v>1</v>
      </c>
      <c r="F3591" s="70"/>
      <c r="G3591" s="70" t="s">
        <v>61</v>
      </c>
      <c r="H3591" s="70" t="s">
        <v>178</v>
      </c>
      <c r="I3591" s="70" t="s">
        <v>181</v>
      </c>
      <c r="J3591" s="71">
        <f>IF(OR(I3591=0,I3591=""),"unrated",VLOOKUP(I3591,MappingTables!$B$19:$C$31,2,FALSE))</f>
        <v>3</v>
      </c>
      <c r="K3591" s="72">
        <v>32.196585732255136</v>
      </c>
      <c r="L3591" s="70">
        <v>1.1037767925632546</v>
      </c>
      <c r="M3591" s="71">
        <f>IF(L3591&lt;1,1,L3591)</f>
        <v>1.1037767925632546</v>
      </c>
      <c r="N3591" s="70" t="s">
        <v>141</v>
      </c>
      <c r="O3591" s="71">
        <f>INDEX(DurClassMapping,MATCH(M3591,MappingTables!$D$4:$D$8,-1),1)</f>
        <v>1</v>
      </c>
      <c r="P3591" s="73">
        <f>IF(M3591=$A$1,1,$M3591-INDEX(MappingTables!$E$4:$E$8,MATCH(O3591,MappingTables!$B$4:$B$8,0)))</f>
        <v>1.1037767925632546</v>
      </c>
      <c r="Q3591" s="71">
        <f>IF(B3591="",0,INDEX(ModelParameters!$D$6:$K$10,MATCH($O3591,ModelParameters!$B$6:$B$10,0),MATCH($J3591,ModelParameters!$D$5:$K$5,0)))</f>
        <v>0.025</v>
      </c>
      <c r="R3591" s="71">
        <f>IF(B3591="",0,INDEX(ModelParameters!$D$13:$K$17,MATCH($O3591,ModelParameters!$B$13:$B$17,0),MATCH($J3591,ModelParameters!$D$5:$K$5,0)))</f>
        <v>0</v>
      </c>
      <c r="S3591" s="160">
        <f>IF(B3591="",0,MIN(IF($N3591="Other Bond TM",ModelParameters!$N$21,1)*(P3591*Q3591+R3591),1))</f>
        <v>0.027594419814081368</v>
      </c>
      <c r="T3591" s="85">
        <f>IF(B3591="",0,$S3591*$K3591)</f>
        <v>0.88844610327591056</v>
      </c>
      <c r="U3591" s="85">
        <f>IF(B3591="",0,IF(OR(H3591=MappingTables!$C$34,H3591=MappingTables!$C$35),T3591,0))</f>
        <v>0</v>
      </c>
      <c r="V3591" s="85">
        <f>IF(ISNA(IF(AND(VLOOKUP(CONCATENATE($D3591,$G3591),CSRFinput!$B:$E,4,0)=0,OR(H3591=MappingTables!$C$34,H3591=MappingTables!$C$35)),1,VLOOKUP(CONCATENATE($D3591,$G3591),CSRFinput!$B:$E,4,0))),0,IF(AND(VLOOKUP(CONCATENATE($D3591,$G3591),CSRFinput!$B:$E,4,0)=0,OR(H3591=MappingTables!$C$34,H3591=MappingTables!$C$35)),1,VLOOKUP(CONCATENATE($D3591,$G3591),CSRFinput!$B:$E,4,0)))</f>
        <v>0.054776304963434752</v>
      </c>
      <c r="W3591" s="85">
        <f>IF(B3591="",0,+$T3591*$V3591)</f>
        <v>0.048665794696616528</v>
      </c>
      <c r="X3591" s="85">
        <f>IF(B3591="",0,IF(OR(H3591=MappingTables!$C$34,H3591=MappingTables!$C$35),W3591,0))</f>
        <v>0</v>
      </c>
    </row>
    <row r="3592" spans="2:24" s="0" customFormat="0" ht="15">
      <c r="B3592" s="69">
        <v>18771484</v>
      </c>
      <c r="C3592" s="70" t="s">
        <v>2347</v>
      </c>
      <c r="D3592" s="70" t="s">
        <v>1</v>
      </c>
      <c r="E3592" s="70" t="s">
        <v>1</v>
      </c>
      <c r="F3592" s="70"/>
      <c r="G3592" s="70" t="s">
        <v>61</v>
      </c>
      <c r="H3592" s="70" t="s">
        <v>178</v>
      </c>
      <c r="I3592" s="70" t="s">
        <v>188</v>
      </c>
      <c r="J3592" s="71">
        <f>IF(OR(I3592=0,I3592=""),"unrated",VLOOKUP(I3592,MappingTables!$B$19:$C$31,2,FALSE))</f>
        <v>2</v>
      </c>
      <c r="K3592" s="72">
        <v>4118.5464660432224</v>
      </c>
      <c r="L3592" s="70">
        <v>1.0005050264055738</v>
      </c>
      <c r="M3592" s="71">
        <f>IF(L3592&lt;1,1,L3592)</f>
        <v>1.0005050264055738</v>
      </c>
      <c r="N3592" s="70" t="s">
        <v>141</v>
      </c>
      <c r="O3592" s="71">
        <f>INDEX(DurClassMapping,MATCH(M3592,MappingTables!$D$4:$D$8,-1),1)</f>
        <v>1</v>
      </c>
      <c r="P3592" s="73">
        <f>IF(M3592=$A$1,1,$M3592-INDEX(MappingTables!$E$4:$E$8,MATCH(O3592,MappingTables!$B$4:$B$8,0)))</f>
        <v>1.0005050264055738</v>
      </c>
      <c r="Q3592" s="71">
        <f>IF(B3592="",0,INDEX(ModelParameters!$D$6:$K$10,MATCH($O3592,ModelParameters!$B$6:$B$10,0),MATCH($J3592,ModelParameters!$D$5:$K$5,0)))</f>
        <v>0.013999999999999998</v>
      </c>
      <c r="R3592" s="71">
        <f>IF(B3592="",0,INDEX(ModelParameters!$D$13:$K$17,MATCH($O3592,ModelParameters!$B$13:$B$17,0),MATCH($J3592,ModelParameters!$D$5:$K$5,0)))</f>
        <v>0</v>
      </c>
      <c r="S3592" s="160">
        <f>IF(B3592="",0,MIN(IF($N3592="Other Bond TM",ModelParameters!$N$21,1)*(P3592*Q3592+R3592),1))</f>
        <v>0.014007070369678032</v>
      </c>
      <c r="T3592" s="85">
        <f>IF(B3592="",0,$S3592*$K3592)</f>
        <v>57.688770170656192</v>
      </c>
      <c r="U3592" s="85">
        <f>IF(B3592="",0,IF(OR(H3592=MappingTables!$C$34,H3592=MappingTables!$C$35),T3592,0))</f>
        <v>0</v>
      </c>
      <c r="V3592" s="85">
        <f>IF(ISNA(IF(AND(VLOOKUP(CONCATENATE($D3592,$G3592),CSRFinput!$B:$E,4,0)=0,OR(H3592=MappingTables!$C$34,H3592=MappingTables!$C$35)),1,VLOOKUP(CONCATENATE($D3592,$G3592),CSRFinput!$B:$E,4,0))),0,IF(AND(VLOOKUP(CONCATENATE($D3592,$G3592),CSRFinput!$B:$E,4,0)=0,OR(H3592=MappingTables!$C$34,H3592=MappingTables!$C$35)),1,VLOOKUP(CONCATENATE($D3592,$G3592),CSRFinput!$B:$E,4,0)))</f>
        <v>0.054776304963434752</v>
      </c>
      <c r="W3592" s="85">
        <f>IF(B3592="",0,+$T3592*$V3592)</f>
        <v>3.1599776678333616</v>
      </c>
      <c r="X3592" s="85">
        <f>IF(B3592="",0,IF(OR(H3592=MappingTables!$C$34,H3592=MappingTables!$C$35),W3592,0))</f>
        <v>0</v>
      </c>
    </row>
    <row r="3593" spans="2:24" s="0" customFormat="0" ht="15">
      <c r="B3593" s="69" t="s">
        <v>435</v>
      </c>
      <c r="C3593" s="70" t="s">
        <v>436</v>
      </c>
      <c r="D3593" s="70" t="s">
        <v>1</v>
      </c>
      <c r="E3593" s="70" t="s">
        <v>1</v>
      </c>
      <c r="F3593" s="70"/>
      <c r="G3593" s="70" t="s">
        <v>61</v>
      </c>
      <c r="H3593" s="70" t="s">
        <v>178</v>
      </c>
      <c r="I3593" s="70" t="s">
        <v>184</v>
      </c>
      <c r="J3593" s="71">
        <f>IF(OR(I3593=0,I3593=""),"unrated",VLOOKUP(I3593,MappingTables!$B$19:$C$31,2,FALSE))</f>
        <v>5</v>
      </c>
      <c r="K3593" s="72">
        <v>264.4032277833618</v>
      </c>
      <c r="L3593" s="70">
        <v>5.0543161342536576</v>
      </c>
      <c r="M3593" s="71">
        <f>IF(L3593&lt;1,1,L3593)</f>
        <v>5.0543161342536576</v>
      </c>
      <c r="N3593" s="70" t="s">
        <v>141</v>
      </c>
      <c r="O3593" s="71">
        <f>INDEX(DurClassMapping,MATCH(M3593,MappingTables!$D$4:$D$8,-1),1)</f>
        <v>2</v>
      </c>
      <c r="P3593" s="73">
        <f>IF(M3593=$A$1,1,$M3593-INDEX(MappingTables!$E$4:$E$8,MATCH(O3593,MappingTables!$B$4:$B$8,0)))</f>
        <v>0.054316134253658</v>
      </c>
      <c r="Q3593" s="71">
        <f>IF(B3593="",0,INDEX(ModelParameters!$D$6:$K$10,MATCH($O3593,ModelParameters!$B$6:$B$10,0),MATCH($J3593,ModelParameters!$D$5:$K$5,0)))</f>
        <v>0.042</v>
      </c>
      <c r="R3593" s="71">
        <f>IF(B3593="",0,INDEX(ModelParameters!$D$13:$K$17,MATCH($O3593,ModelParameters!$B$13:$B$17,0),MATCH($J3593,ModelParameters!$D$5:$K$5,0)))</f>
        <v>0.375</v>
      </c>
      <c r="S3593" s="160">
        <f>IF(B3593="",0,MIN(IF($N3593="Other Bond TM",ModelParameters!$N$21,1)*(P3593*Q3593+R3593),1))</f>
        <v>0.37728127763865368</v>
      </c>
      <c r="T3593" s="85">
        <f>IF(B3593="",0,$S3593*$K3593)</f>
        <v>99.754387589890704</v>
      </c>
      <c r="U3593" s="85">
        <f>IF(B3593="",0,IF(OR(H3593=MappingTables!$C$34,H3593=MappingTables!$C$35),T3593,0))</f>
        <v>0</v>
      </c>
      <c r="V3593" s="85">
        <f>IF(ISNA(IF(AND(VLOOKUP(CONCATENATE($D3593,$G3593),CSRFinput!$B:$E,4,0)=0,OR(H3593=MappingTables!$C$34,H3593=MappingTables!$C$35)),1,VLOOKUP(CONCATENATE($D3593,$G3593),CSRFinput!$B:$E,4,0))),0,IF(AND(VLOOKUP(CONCATENATE($D3593,$G3593),CSRFinput!$B:$E,4,0)=0,OR(H3593=MappingTables!$C$34,H3593=MappingTables!$C$35)),1,VLOOKUP(CONCATENATE($D3593,$G3593),CSRFinput!$B:$E,4,0)))</f>
        <v>0.054776304963434752</v>
      </c>
      <c r="W3593" s="85">
        <f>IF(B3593="",0,+$T3593*$V3593)</f>
        <v>5.464176756064524</v>
      </c>
      <c r="X3593" s="85">
        <f>IF(B3593="",0,IF(OR(H3593=MappingTables!$C$34,H3593=MappingTables!$C$35),W3593,0))</f>
        <v>0</v>
      </c>
    </row>
    <row r="3594" spans="2:24" s="0" customFormat="0" ht="15">
      <c r="B3594" s="69" t="s">
        <v>1084</v>
      </c>
      <c r="C3594" s="70" t="s">
        <v>1085</v>
      </c>
      <c r="D3594" s="70" t="s">
        <v>1</v>
      </c>
      <c r="E3594" s="70" t="s">
        <v>1</v>
      </c>
      <c r="F3594" s="70"/>
      <c r="G3594" s="70" t="s">
        <v>61</v>
      </c>
      <c r="H3594" s="70" t="s">
        <v>178</v>
      </c>
      <c r="I3594" s="70" t="s">
        <v>198</v>
      </c>
      <c r="J3594" s="71" t="str">
        <f>IF(OR(I3594=0,I3594=""),"unrated",VLOOKUP(I3594,MappingTables!$B$19:$C$31,2,FALSE))</f>
        <v>unrated</v>
      </c>
      <c r="K3594" s="72">
        <v>1.553643840865039</v>
      </c>
      <c r="L3594" s="70">
        <v>2.0355881176211116</v>
      </c>
      <c r="M3594" s="71">
        <f>IF(L3594&lt;1,1,L3594)</f>
        <v>2.0355881176211116</v>
      </c>
      <c r="N3594" s="70" t="s">
        <v>141</v>
      </c>
      <c r="O3594" s="71">
        <f>INDEX(DurClassMapping,MATCH(M3594,MappingTables!$D$4:$D$8,-1),1)</f>
        <v>1</v>
      </c>
      <c r="P3594" s="73">
        <f>IF(M3594=$A$1,1,$M3594-INDEX(MappingTables!$E$4:$E$8,MATCH(O3594,MappingTables!$B$4:$B$8,0)))</f>
        <v>2.0355881176211116</v>
      </c>
      <c r="Q3594" s="71">
        <f>IF(B3594="",0,INDEX(ModelParameters!$D$6:$K$10,MATCH($O3594,ModelParameters!$B$6:$B$10,0),MATCH($J3594,ModelParameters!$D$5:$K$5,0)))</f>
        <v>0.03</v>
      </c>
      <c r="R3594" s="71">
        <f>IF(B3594="",0,INDEX(ModelParameters!$D$13:$K$17,MATCH($O3594,ModelParameters!$B$13:$B$17,0),MATCH($J3594,ModelParameters!$D$5:$K$5,0)))</f>
        <v>0</v>
      </c>
      <c r="S3594" s="160">
        <f>IF(B3594="",0,MIN(IF($N3594="Other Bond TM",ModelParameters!$N$21,1)*(P3594*Q3594+R3594),1))</f>
        <v>0.061067643528633352</v>
      </c>
      <c r="T3594" s="85">
        <f>IF(B3594="",0,$S3594*$K3594)</f>
        <v>0.09487736824440296</v>
      </c>
      <c r="U3594" s="85">
        <f>IF(B3594="",0,IF(OR(H3594=MappingTables!$C$34,H3594=MappingTables!$C$35),T3594,0))</f>
        <v>0</v>
      </c>
      <c r="V3594" s="85">
        <f>IF(ISNA(IF(AND(VLOOKUP(CONCATENATE($D3594,$G3594),CSRFinput!$B:$E,4,0)=0,OR(H3594=MappingTables!$C$34,H3594=MappingTables!$C$35)),1,VLOOKUP(CONCATENATE($D3594,$G3594),CSRFinput!$B:$E,4,0))),0,IF(AND(VLOOKUP(CONCATENATE($D3594,$G3594),CSRFinput!$B:$E,4,0)=0,OR(H3594=MappingTables!$C$34,H3594=MappingTables!$C$35)),1,VLOOKUP(CONCATENATE($D3594,$G3594),CSRFinput!$B:$E,4,0)))</f>
        <v>0.054776304963434752</v>
      </c>
      <c r="W3594" s="85">
        <f>IF(B3594="",0,+$T3594*$V3594)</f>
        <v>0.0051970316570835168</v>
      </c>
      <c r="X3594" s="85">
        <f>IF(B3594="",0,IF(OR(H3594=MappingTables!$C$34,H3594=MappingTables!$C$35),W3594,0))</f>
        <v>0</v>
      </c>
    </row>
    <row r="3595" spans="2:24" s="0" customFormat="0" ht="15">
      <c r="B3595" s="69">
        <v>16636569</v>
      </c>
      <c r="C3595" s="70" t="s">
        <v>2827</v>
      </c>
      <c r="D3595" s="70" t="s">
        <v>1</v>
      </c>
      <c r="E3595" s="70" t="s">
        <v>1</v>
      </c>
      <c r="F3595" s="70"/>
      <c r="G3595" s="70" t="s">
        <v>61</v>
      </c>
      <c r="H3595" s="70" t="s">
        <v>178</v>
      </c>
      <c r="I3595" s="70" t="s">
        <v>181</v>
      </c>
      <c r="J3595" s="71">
        <f>IF(OR(I3595=0,I3595=""),"unrated",VLOOKUP(I3595,MappingTables!$B$19:$C$31,2,FALSE))</f>
        <v>3</v>
      </c>
      <c r="K3595" s="72">
        <v>1.0425747271029648</v>
      </c>
      <c r="L3595" s="70">
        <v>0.37534062524645304</v>
      </c>
      <c r="M3595" s="71">
        <f>IF(L3595&lt;1,1,L3595)</f>
        <v>1</v>
      </c>
      <c r="N3595" s="70" t="s">
        <v>141</v>
      </c>
      <c r="O3595" s="71">
        <f>INDEX(DurClassMapping,MATCH(M3595,MappingTables!$D$4:$D$8,-1),1)</f>
        <v>1</v>
      </c>
      <c r="P3595" s="73">
        <f>IF(M3595=$A$1,1,$M3595-INDEX(MappingTables!$E$4:$E$8,MATCH(O3595,MappingTables!$B$4:$B$8,0)))</f>
        <v>1</v>
      </c>
      <c r="Q3595" s="71">
        <f>IF(B3595="",0,INDEX(ModelParameters!$D$6:$K$10,MATCH($O3595,ModelParameters!$B$6:$B$10,0),MATCH($J3595,ModelParameters!$D$5:$K$5,0)))</f>
        <v>0.025</v>
      </c>
      <c r="R3595" s="71">
        <f>IF(B3595="",0,INDEX(ModelParameters!$D$13:$K$17,MATCH($O3595,ModelParameters!$B$13:$B$17,0),MATCH($J3595,ModelParameters!$D$5:$K$5,0)))</f>
        <v>0</v>
      </c>
      <c r="S3595" s="160">
        <f>IF(B3595="",0,MIN(IF($N3595="Other Bond TM",ModelParameters!$N$21,1)*(P3595*Q3595+R3595),1))</f>
        <v>0.025</v>
      </c>
      <c r="T3595" s="85">
        <f>IF(B3595="",0,$S3595*$K3595)</f>
        <v>0.026064368177574124</v>
      </c>
      <c r="U3595" s="85">
        <f>IF(B3595="",0,IF(OR(H3595=MappingTables!$C$34,H3595=MappingTables!$C$35),T3595,0))</f>
        <v>0</v>
      </c>
      <c r="V3595" s="85">
        <f>IF(ISNA(IF(AND(VLOOKUP(CONCATENATE($D3595,$G3595),CSRFinput!$B:$E,4,0)=0,OR(H3595=MappingTables!$C$34,H3595=MappingTables!$C$35)),1,VLOOKUP(CONCATENATE($D3595,$G3595),CSRFinput!$B:$E,4,0))),0,IF(AND(VLOOKUP(CONCATENATE($D3595,$G3595),CSRFinput!$B:$E,4,0)=0,OR(H3595=MappingTables!$C$34,H3595=MappingTables!$C$35)),1,VLOOKUP(CONCATENATE($D3595,$G3595),CSRFinput!$B:$E,4,0)))</f>
        <v>0.054776304963434752</v>
      </c>
      <c r="W3595" s="85">
        <f>IF(B3595="",0,+$T3595*$V3595)</f>
        <v>0.0014277097799740442</v>
      </c>
      <c r="X3595" s="85">
        <f>IF(B3595="",0,IF(OR(H3595=MappingTables!$C$34,H3595=MappingTables!$C$35),W3595,0))</f>
        <v>0</v>
      </c>
    </row>
    <row r="3596" spans="2:24" s="0" customFormat="0" ht="15">
      <c r="B3596" s="69" t="s">
        <v>2815</v>
      </c>
      <c r="C3596" s="70" t="s">
        <v>2816</v>
      </c>
      <c r="D3596" s="70" t="s">
        <v>1</v>
      </c>
      <c r="E3596" s="70" t="s">
        <v>1</v>
      </c>
      <c r="F3596" s="70"/>
      <c r="G3596" s="70" t="s">
        <v>61</v>
      </c>
      <c r="H3596" s="70" t="s">
        <v>178</v>
      </c>
      <c r="I3596" s="70" t="s">
        <v>198</v>
      </c>
      <c r="J3596" s="71" t="str">
        <f>IF(OR(I3596=0,I3596=""),"unrated",VLOOKUP(I3596,MappingTables!$B$19:$C$31,2,FALSE))</f>
        <v>unrated</v>
      </c>
      <c r="K3596" s="72">
        <v>0.42008723924605864</v>
      </c>
      <c r="L3596" s="70">
        <v>0.24931809747537728</v>
      </c>
      <c r="M3596" s="71">
        <f>IF(L3596&lt;1,1,L3596)</f>
        <v>1</v>
      </c>
      <c r="N3596" s="70" t="s">
        <v>141</v>
      </c>
      <c r="O3596" s="71">
        <f>INDEX(DurClassMapping,MATCH(M3596,MappingTables!$D$4:$D$8,-1),1)</f>
        <v>1</v>
      </c>
      <c r="P3596" s="73">
        <f>IF(M3596=$A$1,1,$M3596-INDEX(MappingTables!$E$4:$E$8,MATCH(O3596,MappingTables!$B$4:$B$8,0)))</f>
        <v>1</v>
      </c>
      <c r="Q3596" s="71">
        <f>IF(B3596="",0,INDEX(ModelParameters!$D$6:$K$10,MATCH($O3596,ModelParameters!$B$6:$B$10,0),MATCH($J3596,ModelParameters!$D$5:$K$5,0)))</f>
        <v>0.03</v>
      </c>
      <c r="R3596" s="71">
        <f>IF(B3596="",0,INDEX(ModelParameters!$D$13:$K$17,MATCH($O3596,ModelParameters!$B$13:$B$17,0),MATCH($J3596,ModelParameters!$D$5:$K$5,0)))</f>
        <v>0</v>
      </c>
      <c r="S3596" s="160">
        <f>IF(B3596="",0,MIN(IF($N3596="Other Bond TM",ModelParameters!$N$21,1)*(P3596*Q3596+R3596),1))</f>
        <v>0.03</v>
      </c>
      <c r="T3596" s="85">
        <f>IF(B3596="",0,$S3596*$K3596)</f>
        <v>0.01260261717738176</v>
      </c>
      <c r="U3596" s="85">
        <f>IF(B3596="",0,IF(OR(H3596=MappingTables!$C$34,H3596=MappingTables!$C$35),T3596,0))</f>
        <v>0</v>
      </c>
      <c r="V3596" s="85">
        <f>IF(ISNA(IF(AND(VLOOKUP(CONCATENATE($D3596,$G3596),CSRFinput!$B:$E,4,0)=0,OR(H3596=MappingTables!$C$34,H3596=MappingTables!$C$35)),1,VLOOKUP(CONCATENATE($D3596,$G3596),CSRFinput!$B:$E,4,0))),0,IF(AND(VLOOKUP(CONCATENATE($D3596,$G3596),CSRFinput!$B:$E,4,0)=0,OR(H3596=MappingTables!$C$34,H3596=MappingTables!$C$35)),1,VLOOKUP(CONCATENATE($D3596,$G3596),CSRFinput!$B:$E,4,0)))</f>
        <v>0.054776304963434752</v>
      </c>
      <c r="W3596" s="85">
        <f>IF(B3596="",0,+$T3596*$V3596)</f>
        <v>0.00069032480184568456</v>
      </c>
      <c r="X3596" s="85">
        <f>IF(B3596="",0,IF(OR(H3596=MappingTables!$C$34,H3596=MappingTables!$C$35),W3596,0))</f>
        <v>0</v>
      </c>
    </row>
    <row r="3597" spans="2:24" s="0" customFormat="0" ht="15">
      <c r="B3597" s="69" t="s">
        <v>2870</v>
      </c>
      <c r="C3597" s="70" t="s">
        <v>2871</v>
      </c>
      <c r="D3597" s="70" t="s">
        <v>1</v>
      </c>
      <c r="E3597" s="70" t="s">
        <v>1</v>
      </c>
      <c r="F3597" s="70"/>
      <c r="G3597" s="70" t="s">
        <v>61</v>
      </c>
      <c r="H3597" s="70" t="s">
        <v>178</v>
      </c>
      <c r="I3597" s="70" t="s">
        <v>188</v>
      </c>
      <c r="J3597" s="71">
        <f>IF(OR(I3597=0,I3597=""),"unrated",VLOOKUP(I3597,MappingTables!$B$19:$C$31,2,FALSE))</f>
        <v>2</v>
      </c>
      <c r="K3597" s="72">
        <v>8.6859831896259664</v>
      </c>
      <c r="L3597" s="70">
        <v>0.33698667456709976</v>
      </c>
      <c r="M3597" s="71">
        <f>IF(L3597&lt;1,1,L3597)</f>
        <v>1</v>
      </c>
      <c r="N3597" s="70" t="s">
        <v>141</v>
      </c>
      <c r="O3597" s="71">
        <f>INDEX(DurClassMapping,MATCH(M3597,MappingTables!$D$4:$D$8,-1),1)</f>
        <v>1</v>
      </c>
      <c r="P3597" s="73">
        <f>IF(M3597=$A$1,1,$M3597-INDEX(MappingTables!$E$4:$E$8,MATCH(O3597,MappingTables!$B$4:$B$8,0)))</f>
        <v>1</v>
      </c>
      <c r="Q3597" s="71">
        <f>IF(B3597="",0,INDEX(ModelParameters!$D$6:$K$10,MATCH($O3597,ModelParameters!$B$6:$B$10,0),MATCH($J3597,ModelParameters!$D$5:$K$5,0)))</f>
        <v>0.013999999999999998</v>
      </c>
      <c r="R3597" s="71">
        <f>IF(B3597="",0,INDEX(ModelParameters!$D$13:$K$17,MATCH($O3597,ModelParameters!$B$13:$B$17,0),MATCH($J3597,ModelParameters!$D$5:$K$5,0)))</f>
        <v>0</v>
      </c>
      <c r="S3597" s="160">
        <f>IF(B3597="",0,MIN(IF($N3597="Other Bond TM",ModelParameters!$N$21,1)*(P3597*Q3597+R3597),1))</f>
        <v>0.013999999999999998</v>
      </c>
      <c r="T3597" s="85">
        <f>IF(B3597="",0,$S3597*$K3597)</f>
        <v>0.12160376465476352</v>
      </c>
      <c r="U3597" s="85">
        <f>IF(B3597="",0,IF(OR(H3597=MappingTables!$C$34,H3597=MappingTables!$C$35),T3597,0))</f>
        <v>0</v>
      </c>
      <c r="V3597" s="85">
        <f>IF(ISNA(IF(AND(VLOOKUP(CONCATENATE($D3597,$G3597),CSRFinput!$B:$E,4,0)=0,OR(H3597=MappingTables!$C$34,H3597=MappingTables!$C$35)),1,VLOOKUP(CONCATENATE($D3597,$G3597),CSRFinput!$B:$E,4,0))),0,IF(AND(VLOOKUP(CONCATENATE($D3597,$G3597),CSRFinput!$B:$E,4,0)=0,OR(H3597=MappingTables!$C$34,H3597=MappingTables!$C$35)),1,VLOOKUP(CONCATENATE($D3597,$G3597),CSRFinput!$B:$E,4,0)))</f>
        <v>0.054776304963434752</v>
      </c>
      <c r="W3597" s="85">
        <f>IF(B3597="",0,+$T3597*$V3597)</f>
        <v>0.0066610048974310744</v>
      </c>
      <c r="X3597" s="85">
        <f>IF(B3597="",0,IF(OR(H3597=MappingTables!$C$34,H3597=MappingTables!$C$35),W3597,0))</f>
        <v>0</v>
      </c>
    </row>
    <row r="3598" spans="2:24" s="0" customFormat="0" ht="15">
      <c r="B3598" s="69">
        <v>12942096</v>
      </c>
      <c r="C3598" s="70" t="s">
        <v>2014</v>
      </c>
      <c r="D3598" s="70" t="s">
        <v>1</v>
      </c>
      <c r="E3598" s="70" t="s">
        <v>1</v>
      </c>
      <c r="F3598" s="70"/>
      <c r="G3598" s="70" t="s">
        <v>61</v>
      </c>
      <c r="H3598" s="70" t="s">
        <v>178</v>
      </c>
      <c r="I3598" s="70" t="s">
        <v>181</v>
      </c>
      <c r="J3598" s="71">
        <f>IF(OR(I3598=0,I3598=""),"unrated",VLOOKUP(I3598,MappingTables!$B$19:$C$31,2,FALSE))</f>
        <v>3</v>
      </c>
      <c r="K3598" s="72">
        <v>1333.0464945805526</v>
      </c>
      <c r="L3598" s="70">
        <v>5.0823300007101856</v>
      </c>
      <c r="M3598" s="71">
        <f>IF(L3598&lt;1,1,L3598)</f>
        <v>5.0823300007101856</v>
      </c>
      <c r="N3598" s="70" t="s">
        <v>141</v>
      </c>
      <c r="O3598" s="71">
        <f>INDEX(DurClassMapping,MATCH(M3598,MappingTables!$D$4:$D$8,-1),1)</f>
        <v>2</v>
      </c>
      <c r="P3598" s="73">
        <f>IF(M3598=$A$1,1,$M3598-INDEX(MappingTables!$E$4:$E$8,MATCH(O3598,MappingTables!$B$4:$B$8,0)))</f>
        <v>0.082330000710185488</v>
      </c>
      <c r="Q3598" s="71">
        <f>IF(B3598="",0,INDEX(ModelParameters!$D$6:$K$10,MATCH($O3598,ModelParameters!$B$6:$B$10,0),MATCH($J3598,ModelParameters!$D$5:$K$5,0)))</f>
        <v>0.015</v>
      </c>
      <c r="R3598" s="71">
        <f>IF(B3598="",0,INDEX(ModelParameters!$D$13:$K$17,MATCH($O3598,ModelParameters!$B$13:$B$17,0),MATCH($J3598,ModelParameters!$D$5:$K$5,0)))</f>
        <v>0.125</v>
      </c>
      <c r="S3598" s="160">
        <f>IF(B3598="",0,MIN(IF($N3598="Other Bond TM",ModelParameters!$N$21,1)*(P3598*Q3598+R3598),1))</f>
        <v>0.12623495001065276</v>
      </c>
      <c r="T3598" s="85">
        <f>IF(B3598="",0,$S3598*$K3598)</f>
        <v>168.27705760525196</v>
      </c>
      <c r="U3598" s="85">
        <f>IF(B3598="",0,IF(OR(H3598=MappingTables!$C$34,H3598=MappingTables!$C$35),T3598,0))</f>
        <v>0</v>
      </c>
      <c r="V3598" s="85">
        <f>IF(ISNA(IF(AND(VLOOKUP(CONCATENATE($D3598,$G3598),CSRFinput!$B:$E,4,0)=0,OR(H3598=MappingTables!$C$34,H3598=MappingTables!$C$35)),1,VLOOKUP(CONCATENATE($D3598,$G3598),CSRFinput!$B:$E,4,0))),0,IF(AND(VLOOKUP(CONCATENATE($D3598,$G3598),CSRFinput!$B:$E,4,0)=0,OR(H3598=MappingTables!$C$34,H3598=MappingTables!$C$35)),1,VLOOKUP(CONCATENATE($D3598,$G3598),CSRFinput!$B:$E,4,0)))</f>
        <v>0.054776304963434752</v>
      </c>
      <c r="W3598" s="85">
        <f>IF(B3598="",0,+$T3598*$V3598)</f>
        <v>9.2175954257347584</v>
      </c>
      <c r="X3598" s="85">
        <f>IF(B3598="",0,IF(OR(H3598=MappingTables!$C$34,H3598=MappingTables!$C$35),W3598,0))</f>
        <v>0</v>
      </c>
    </row>
    <row r="3599" spans="2:24" s="0" customFormat="0" ht="15">
      <c r="B3599" s="69">
        <v>23118781</v>
      </c>
      <c r="C3599" s="70" t="s">
        <v>2895</v>
      </c>
      <c r="D3599" s="70" t="s">
        <v>1</v>
      </c>
      <c r="E3599" s="70" t="s">
        <v>1</v>
      </c>
      <c r="F3599" s="70"/>
      <c r="G3599" s="70" t="s">
        <v>61</v>
      </c>
      <c r="H3599" s="70" t="s">
        <v>178</v>
      </c>
      <c r="I3599" s="70" t="s">
        <v>181</v>
      </c>
      <c r="J3599" s="71">
        <f>IF(OR(I3599=0,I3599=""),"unrated",VLOOKUP(I3599,MappingTables!$B$19:$C$31,2,FALSE))</f>
        <v>3</v>
      </c>
      <c r="K3599" s="72">
        <v>1800.7072151638438</v>
      </c>
      <c r="L3599" s="70">
        <v>0.34794807757530432</v>
      </c>
      <c r="M3599" s="71">
        <f>IF(L3599&lt;1,1,L3599)</f>
        <v>1</v>
      </c>
      <c r="N3599" s="70" t="s">
        <v>141</v>
      </c>
      <c r="O3599" s="71">
        <f>INDEX(DurClassMapping,MATCH(M3599,MappingTables!$D$4:$D$8,-1),1)</f>
        <v>1</v>
      </c>
      <c r="P3599" s="73">
        <f>IF(M3599=$A$1,1,$M3599-INDEX(MappingTables!$E$4:$E$8,MATCH(O3599,MappingTables!$B$4:$B$8,0)))</f>
        <v>1</v>
      </c>
      <c r="Q3599" s="71">
        <f>IF(B3599="",0,INDEX(ModelParameters!$D$6:$K$10,MATCH($O3599,ModelParameters!$B$6:$B$10,0),MATCH($J3599,ModelParameters!$D$5:$K$5,0)))</f>
        <v>0.025</v>
      </c>
      <c r="R3599" s="71">
        <f>IF(B3599="",0,INDEX(ModelParameters!$D$13:$K$17,MATCH($O3599,ModelParameters!$B$13:$B$17,0),MATCH($J3599,ModelParameters!$D$5:$K$5,0)))</f>
        <v>0</v>
      </c>
      <c r="S3599" s="160">
        <f>IF(B3599="",0,MIN(IF($N3599="Other Bond TM",ModelParameters!$N$21,1)*(P3599*Q3599+R3599),1))</f>
        <v>0.025</v>
      </c>
      <c r="T3599" s="85">
        <f>IF(B3599="",0,$S3599*$K3599)</f>
        <v>45.017680379096096</v>
      </c>
      <c r="U3599" s="85">
        <f>IF(B3599="",0,IF(OR(H3599=MappingTables!$C$34,H3599=MappingTables!$C$35),T3599,0))</f>
        <v>0</v>
      </c>
      <c r="V3599" s="85">
        <f>IF(ISNA(IF(AND(VLOOKUP(CONCATENATE($D3599,$G3599),CSRFinput!$B:$E,4,0)=0,OR(H3599=MappingTables!$C$34,H3599=MappingTables!$C$35)),1,VLOOKUP(CONCATENATE($D3599,$G3599),CSRFinput!$B:$E,4,0))),0,IF(AND(VLOOKUP(CONCATENATE($D3599,$G3599),CSRFinput!$B:$E,4,0)=0,OR(H3599=MappingTables!$C$34,H3599=MappingTables!$C$35)),1,VLOOKUP(CONCATENATE($D3599,$G3599),CSRFinput!$B:$E,4,0)))</f>
        <v>0.054776304963434752</v>
      </c>
      <c r="W3599" s="85">
        <f>IF(B3599="",0,+$T3599*$V3599)</f>
        <v>2.4659021891918012</v>
      </c>
      <c r="X3599" s="85">
        <f>IF(B3599="",0,IF(OR(H3599=MappingTables!$C$34,H3599=MappingTables!$C$35),W3599,0))</f>
        <v>0</v>
      </c>
    </row>
    <row r="3600" spans="2:24" s="0" customFormat="0" ht="15">
      <c r="B3600" s="69">
        <v>8543657</v>
      </c>
      <c r="C3600" s="70" t="s">
        <v>2289</v>
      </c>
      <c r="D3600" s="70" t="s">
        <v>1</v>
      </c>
      <c r="E3600" s="70" t="s">
        <v>1</v>
      </c>
      <c r="F3600" s="70"/>
      <c r="G3600" s="70" t="s">
        <v>61</v>
      </c>
      <c r="H3600" s="70" t="s">
        <v>178</v>
      </c>
      <c r="I3600" s="70" t="s">
        <v>179</v>
      </c>
      <c r="J3600" s="71">
        <f>IF(OR(I3600=0,I3600=""),"unrated",VLOOKUP(I3600,MappingTables!$B$19:$C$31,2,FALSE))</f>
        <v>4</v>
      </c>
      <c r="K3600" s="72">
        <v>18500.44023328824</v>
      </c>
      <c r="L3600" s="70">
        <v>3.2200270919944468</v>
      </c>
      <c r="M3600" s="71">
        <f>IF(L3600&lt;1,1,L3600)</f>
        <v>3.2200270919944468</v>
      </c>
      <c r="N3600" s="70" t="s">
        <v>141</v>
      </c>
      <c r="O3600" s="71">
        <f>INDEX(DurClassMapping,MATCH(M3600,MappingTables!$D$4:$D$8,-1),1)</f>
        <v>1</v>
      </c>
      <c r="P3600" s="73">
        <f>IF(M3600=$A$1,1,$M3600-INDEX(MappingTables!$E$4:$E$8,MATCH(O3600,MappingTables!$B$4:$B$8,0)))</f>
        <v>3.2200270919944468</v>
      </c>
      <c r="Q3600" s="71">
        <f>IF(B3600="",0,INDEX(ModelParameters!$D$6:$K$10,MATCH($O3600,ModelParameters!$B$6:$B$10,0),MATCH($J3600,ModelParameters!$D$5:$K$5,0)))</f>
        <v>0.045</v>
      </c>
      <c r="R3600" s="71">
        <f>IF(B3600="",0,INDEX(ModelParameters!$D$13:$K$17,MATCH($O3600,ModelParameters!$B$13:$B$17,0),MATCH($J3600,ModelParameters!$D$5:$K$5,0)))</f>
        <v>0</v>
      </c>
      <c r="S3600" s="160">
        <f>IF(B3600="",0,MIN(IF($N3600="Other Bond TM",ModelParameters!$N$21,1)*(P3600*Q3600+R3600),1))</f>
        <v>0.1449012191397501</v>
      </c>
      <c r="T3600" s="85">
        <f>IF(B3600="",0,$S3600*$K3600)</f>
        <v>2680.7363444255488</v>
      </c>
      <c r="U3600" s="85">
        <f>IF(B3600="",0,IF(OR(H3600=MappingTables!$C$34,H3600=MappingTables!$C$35),T3600,0))</f>
        <v>0</v>
      </c>
      <c r="V3600" s="85">
        <f>IF(ISNA(IF(AND(VLOOKUP(CONCATENATE($D3600,$G3600),CSRFinput!$B:$E,4,0)=0,OR(H3600=MappingTables!$C$34,H3600=MappingTables!$C$35)),1,VLOOKUP(CONCATENATE($D3600,$G3600),CSRFinput!$B:$E,4,0))),0,IF(AND(VLOOKUP(CONCATENATE($D3600,$G3600),CSRFinput!$B:$E,4,0)=0,OR(H3600=MappingTables!$C$34,H3600=MappingTables!$C$35)),1,VLOOKUP(CONCATENATE($D3600,$G3600),CSRFinput!$B:$E,4,0)))</f>
        <v>0.054776304963434752</v>
      </c>
      <c r="W3600" s="85">
        <f>IF(B3600="",0,+$T3600*$V3600)</f>
        <v>146.84083152881712</v>
      </c>
      <c r="X3600" s="85">
        <f>IF(B3600="",0,IF(OR(H3600=MappingTables!$C$34,H3600=MappingTables!$C$35),W3600,0))</f>
        <v>0</v>
      </c>
    </row>
    <row r="3601" spans="2:24" s="0" customFormat="0" ht="15">
      <c r="B3601" s="69">
        <v>7162170</v>
      </c>
      <c r="C3601" s="70" t="s">
        <v>2896</v>
      </c>
      <c r="D3601" s="70" t="s">
        <v>1</v>
      </c>
      <c r="E3601" s="70" t="s">
        <v>1</v>
      </c>
      <c r="F3601" s="70"/>
      <c r="G3601" s="70" t="s">
        <v>61</v>
      </c>
      <c r="H3601" s="70" t="s">
        <v>178</v>
      </c>
      <c r="I3601" s="70" t="s">
        <v>179</v>
      </c>
      <c r="J3601" s="71">
        <f>IF(OR(I3601=0,I3601=""),"unrated",VLOOKUP(I3601,MappingTables!$B$19:$C$31,2,FALSE))</f>
        <v>4</v>
      </c>
      <c r="K3601" s="72">
        <v>366.15431759165648</v>
      </c>
      <c r="L3601" s="70">
        <v>2.9287485607398656</v>
      </c>
      <c r="M3601" s="71">
        <f>IF(L3601&lt;1,1,L3601)</f>
        <v>2.9287485607398656</v>
      </c>
      <c r="N3601" s="70" t="s">
        <v>141</v>
      </c>
      <c r="O3601" s="71">
        <f>INDEX(DurClassMapping,MATCH(M3601,MappingTables!$D$4:$D$8,-1),1)</f>
        <v>1</v>
      </c>
      <c r="P3601" s="73">
        <f>IF(M3601=$A$1,1,$M3601-INDEX(MappingTables!$E$4:$E$8,MATCH(O3601,MappingTables!$B$4:$B$8,0)))</f>
        <v>2.9287485607398656</v>
      </c>
      <c r="Q3601" s="71">
        <f>IF(B3601="",0,INDEX(ModelParameters!$D$6:$K$10,MATCH($O3601,ModelParameters!$B$6:$B$10,0),MATCH($J3601,ModelParameters!$D$5:$K$5,0)))</f>
        <v>0.045</v>
      </c>
      <c r="R3601" s="71">
        <f>IF(B3601="",0,INDEX(ModelParameters!$D$13:$K$17,MATCH($O3601,ModelParameters!$B$13:$B$17,0),MATCH($J3601,ModelParameters!$D$5:$K$5,0)))</f>
        <v>0</v>
      </c>
      <c r="S3601" s="160">
        <f>IF(B3601="",0,MIN(IF($N3601="Other Bond TM",ModelParameters!$N$21,1)*(P3601*Q3601+R3601),1))</f>
        <v>0.13179368523329396</v>
      </c>
      <c r="T3601" s="85">
        <f>IF(B3601="",0,$S3601*$K3601)</f>
        <v>48.256826879486328</v>
      </c>
      <c r="U3601" s="85">
        <f>IF(B3601="",0,IF(OR(H3601=MappingTables!$C$34,H3601=MappingTables!$C$35),T3601,0))</f>
        <v>0</v>
      </c>
      <c r="V3601" s="85">
        <f>IF(ISNA(IF(AND(VLOOKUP(CONCATENATE($D3601,$G3601),CSRFinput!$B:$E,4,0)=0,OR(H3601=MappingTables!$C$34,H3601=MappingTables!$C$35)),1,VLOOKUP(CONCATENATE($D3601,$G3601),CSRFinput!$B:$E,4,0))),0,IF(AND(VLOOKUP(CONCATENATE($D3601,$G3601),CSRFinput!$B:$E,4,0)=0,OR(H3601=MappingTables!$C$34,H3601=MappingTables!$C$35)),1,VLOOKUP(CONCATENATE($D3601,$G3601),CSRFinput!$B:$E,4,0)))</f>
        <v>0.054776304963434752</v>
      </c>
      <c r="W3601" s="85">
        <f>IF(B3601="",0,+$T3601*$V3601)</f>
        <v>2.6433306657184184</v>
      </c>
      <c r="X3601" s="85">
        <f>IF(B3601="",0,IF(OR(H3601=MappingTables!$C$34,H3601=MappingTables!$C$35),W3601,0))</f>
        <v>0</v>
      </c>
    </row>
    <row r="3602" spans="2:24" s="0" customFormat="0" ht="15">
      <c r="B3602" s="69">
        <v>5110635</v>
      </c>
      <c r="C3602" s="70" t="s">
        <v>2564</v>
      </c>
      <c r="D3602" s="70" t="s">
        <v>1</v>
      </c>
      <c r="E3602" s="70" t="s">
        <v>1</v>
      </c>
      <c r="F3602" s="70"/>
      <c r="G3602" s="70" t="s">
        <v>61</v>
      </c>
      <c r="H3602" s="70" t="s">
        <v>178</v>
      </c>
      <c r="I3602" s="70" t="s">
        <v>181</v>
      </c>
      <c r="J3602" s="71">
        <f>IF(OR(I3602=0,I3602=""),"unrated",VLOOKUP(I3602,MappingTables!$B$19:$C$31,2,FALSE))</f>
        <v>3</v>
      </c>
      <c r="K3602" s="72">
        <v>4642.9246099204968</v>
      </c>
      <c r="L3602" s="70">
        <v>13.251509973730536</v>
      </c>
      <c r="M3602" s="71">
        <f>IF(L3602&lt;1,1,L3602)</f>
        <v>13.251509973730536</v>
      </c>
      <c r="N3602" s="70" t="s">
        <v>141</v>
      </c>
      <c r="O3602" s="71">
        <f>INDEX(DurClassMapping,MATCH(M3602,MappingTables!$D$4:$D$8,-1),1)</f>
        <v>3</v>
      </c>
      <c r="P3602" s="73">
        <f>IF(M3602=$A$1,1,$M3602-INDEX(MappingTables!$E$4:$E$8,MATCH(O3602,MappingTables!$B$4:$B$8,0)))</f>
        <v>3.2515099737305368</v>
      </c>
      <c r="Q3602" s="71">
        <f>IF(B3602="",0,INDEX(ModelParameters!$D$6:$K$10,MATCH($O3602,ModelParameters!$B$6:$B$10,0),MATCH($J3602,ModelParameters!$D$5:$K$5,0)))</f>
        <v>0.01</v>
      </c>
      <c r="R3602" s="71">
        <f>IF(B3602="",0,INDEX(ModelParameters!$D$13:$K$17,MATCH($O3602,ModelParameters!$B$13:$B$17,0),MATCH($J3602,ModelParameters!$D$5:$K$5,0)))</f>
        <v>0.2</v>
      </c>
      <c r="S3602" s="160">
        <f>IF(B3602="",0,MIN(IF($N3602="Other Bond TM",ModelParameters!$N$21,1)*(P3602*Q3602+R3602),1))</f>
        <v>0.2325150997373054</v>
      </c>
      <c r="T3602" s="85">
        <f>IF(B3602="",0,$S3602*$K3602)</f>
        <v>1079.5500787484538</v>
      </c>
      <c r="U3602" s="85">
        <f>IF(B3602="",0,IF(OR(H3602=MappingTables!$C$34,H3602=MappingTables!$C$35),T3602,0))</f>
        <v>0</v>
      </c>
      <c r="V3602" s="85">
        <f>IF(ISNA(IF(AND(VLOOKUP(CONCATENATE($D3602,$G3602),CSRFinput!$B:$E,4,0)=0,OR(H3602=MappingTables!$C$34,H3602=MappingTables!$C$35)),1,VLOOKUP(CONCATENATE($D3602,$G3602),CSRFinput!$B:$E,4,0))),0,IF(AND(VLOOKUP(CONCATENATE($D3602,$G3602),CSRFinput!$B:$E,4,0)=0,OR(H3602=MappingTables!$C$34,H3602=MappingTables!$C$35)),1,VLOOKUP(CONCATENATE($D3602,$G3602),CSRFinput!$B:$E,4,0)))</f>
        <v>0.054776304963434752</v>
      </c>
      <c r="W3602" s="85">
        <f>IF(B3602="",0,+$T3602*$V3602)</f>
        <v>59.133764336825312</v>
      </c>
      <c r="X3602" s="85">
        <f>IF(B3602="",0,IF(OR(H3602=MappingTables!$C$34,H3602=MappingTables!$C$35),W3602,0))</f>
        <v>0</v>
      </c>
    </row>
    <row r="3603" spans="2:24" s="0" customFormat="0" ht="15">
      <c r="B3603" s="69" t="s">
        <v>476</v>
      </c>
      <c r="C3603" s="70" t="s">
        <v>477</v>
      </c>
      <c r="D3603" s="70" t="s">
        <v>1</v>
      </c>
      <c r="E3603" s="70" t="s">
        <v>1</v>
      </c>
      <c r="F3603" s="70"/>
      <c r="G3603" s="70" t="s">
        <v>61</v>
      </c>
      <c r="H3603" s="70" t="s">
        <v>178</v>
      </c>
      <c r="I3603" s="70" t="s">
        <v>198</v>
      </c>
      <c r="J3603" s="71" t="str">
        <f>IF(OR(I3603=0,I3603=""),"unrated",VLOOKUP(I3603,MappingTables!$B$19:$C$31,2,FALSE))</f>
        <v>unrated</v>
      </c>
      <c r="K3603" s="72">
        <v>481.72612207952568</v>
      </c>
      <c r="L3603" s="70">
        <v>2.4690419197898408</v>
      </c>
      <c r="M3603" s="71">
        <f>IF(L3603&lt;1,1,L3603)</f>
        <v>2.4690419197898408</v>
      </c>
      <c r="N3603" s="70" t="s">
        <v>141</v>
      </c>
      <c r="O3603" s="71">
        <f>INDEX(DurClassMapping,MATCH(M3603,MappingTables!$D$4:$D$8,-1),1)</f>
        <v>1</v>
      </c>
      <c r="P3603" s="73">
        <f>IF(M3603=$A$1,1,$M3603-INDEX(MappingTables!$E$4:$E$8,MATCH(O3603,MappingTables!$B$4:$B$8,0)))</f>
        <v>2.4690419197898408</v>
      </c>
      <c r="Q3603" s="71">
        <f>IF(B3603="",0,INDEX(ModelParameters!$D$6:$K$10,MATCH($O3603,ModelParameters!$B$6:$B$10,0),MATCH($J3603,ModelParameters!$D$5:$K$5,0)))</f>
        <v>0.03</v>
      </c>
      <c r="R3603" s="71">
        <f>IF(B3603="",0,INDEX(ModelParameters!$D$13:$K$17,MATCH($O3603,ModelParameters!$B$13:$B$17,0),MATCH($J3603,ModelParameters!$D$5:$K$5,0)))</f>
        <v>0</v>
      </c>
      <c r="S3603" s="160">
        <f>IF(B3603="",0,MIN(IF($N3603="Other Bond TM",ModelParameters!$N$21,1)*(P3603*Q3603+R3603),1))</f>
        <v>0.074071257593695232</v>
      </c>
      <c r="T3603" s="85">
        <f>IF(B3603="",0,$S3603*$K3603)</f>
        <v>35.68205967816442</v>
      </c>
      <c r="U3603" s="85">
        <f>IF(B3603="",0,IF(OR(H3603=MappingTables!$C$34,H3603=MappingTables!$C$35),T3603,0))</f>
        <v>0</v>
      </c>
      <c r="V3603" s="85">
        <f>IF(ISNA(IF(AND(VLOOKUP(CONCATENATE($D3603,$G3603),CSRFinput!$B:$E,4,0)=0,OR(H3603=MappingTables!$C$34,H3603=MappingTables!$C$35)),1,VLOOKUP(CONCATENATE($D3603,$G3603),CSRFinput!$B:$E,4,0))),0,IF(AND(VLOOKUP(CONCATENATE($D3603,$G3603),CSRFinput!$B:$E,4,0)=0,OR(H3603=MappingTables!$C$34,H3603=MappingTables!$C$35)),1,VLOOKUP(CONCATENATE($D3603,$G3603),CSRFinput!$B:$E,4,0)))</f>
        <v>0.054776304963434752</v>
      </c>
      <c r="W3603" s="85">
        <f>IF(B3603="",0,+$T3603*$V3603)</f>
        <v>1.9545313826546128</v>
      </c>
      <c r="X3603" s="85">
        <f>IF(B3603="",0,IF(OR(H3603=MappingTables!$C$34,H3603=MappingTables!$C$35),W3603,0))</f>
        <v>0</v>
      </c>
    </row>
    <row r="3604" spans="2:24" s="0" customFormat="0" ht="15">
      <c r="B3604" s="69">
        <v>7497465</v>
      </c>
      <c r="C3604" s="70" t="s">
        <v>2830</v>
      </c>
      <c r="D3604" s="70" t="s">
        <v>1</v>
      </c>
      <c r="E3604" s="70" t="s">
        <v>1</v>
      </c>
      <c r="F3604" s="70"/>
      <c r="G3604" s="70" t="s">
        <v>61</v>
      </c>
      <c r="H3604" s="70" t="s">
        <v>178</v>
      </c>
      <c r="I3604" s="70" t="s">
        <v>188</v>
      </c>
      <c r="J3604" s="71">
        <f>IF(OR(I3604=0,I3604=""),"unrated",VLOOKUP(I3604,MappingTables!$B$19:$C$31,2,FALSE))</f>
        <v>2</v>
      </c>
      <c r="K3604" s="72">
        <v>18412.62077156008</v>
      </c>
      <c r="L3604" s="70">
        <v>14.099092515315994</v>
      </c>
      <c r="M3604" s="71">
        <f>IF(L3604&lt;1,1,L3604)</f>
        <v>14.099092515315994</v>
      </c>
      <c r="N3604" s="70" t="s">
        <v>141</v>
      </c>
      <c r="O3604" s="71">
        <f>INDEX(DurClassMapping,MATCH(M3604,MappingTables!$D$4:$D$8,-1),1)</f>
        <v>3</v>
      </c>
      <c r="P3604" s="73">
        <f>IF(M3604=$A$1,1,$M3604-INDEX(MappingTables!$E$4:$E$8,MATCH(O3604,MappingTables!$B$4:$B$8,0)))</f>
        <v>4.0990925153159928</v>
      </c>
      <c r="Q3604" s="71">
        <f>IF(B3604="",0,INDEX(ModelParameters!$D$6:$K$10,MATCH($O3604,ModelParameters!$B$6:$B$10,0),MATCH($J3604,ModelParameters!$D$5:$K$5,0)))</f>
        <v>0.005</v>
      </c>
      <c r="R3604" s="71">
        <f>IF(B3604="",0,INDEX(ModelParameters!$D$13:$K$17,MATCH($O3604,ModelParameters!$B$13:$B$17,0),MATCH($J3604,ModelParameters!$D$5:$K$5,0)))</f>
        <v>0.105</v>
      </c>
      <c r="S3604" s="160">
        <f>IF(B3604="",0,MIN(IF($N3604="Other Bond TM",ModelParameters!$N$21,1)*(P3604*Q3604+R3604),1))</f>
        <v>0.12549546257657996</v>
      </c>
      <c r="T3604" s="85">
        <f>IF(B3604="",0,$S3604*$K3604)</f>
        <v>2310.7003609740768</v>
      </c>
      <c r="U3604" s="85">
        <f>IF(B3604="",0,IF(OR(H3604=MappingTables!$C$34,H3604=MappingTables!$C$35),T3604,0))</f>
        <v>0</v>
      </c>
      <c r="V3604" s="85">
        <f>IF(ISNA(IF(AND(VLOOKUP(CONCATENATE($D3604,$G3604),CSRFinput!$B:$E,4,0)=0,OR(H3604=MappingTables!$C$34,H3604=MappingTables!$C$35)),1,VLOOKUP(CONCATENATE($D3604,$G3604),CSRFinput!$B:$E,4,0))),0,IF(AND(VLOOKUP(CONCATENATE($D3604,$G3604),CSRFinput!$B:$E,4,0)=0,OR(H3604=MappingTables!$C$34,H3604=MappingTables!$C$35)),1,VLOOKUP(CONCATENATE($D3604,$G3604),CSRFinput!$B:$E,4,0)))</f>
        <v>0.054776304963434752</v>
      </c>
      <c r="W3604" s="85">
        <f>IF(B3604="",0,+$T3604*$V3604)</f>
        <v>126.5716276518348</v>
      </c>
      <c r="X3604" s="85">
        <f>IF(B3604="",0,IF(OR(H3604=MappingTables!$C$34,H3604=MappingTables!$C$35),W3604,0))</f>
        <v>0</v>
      </c>
    </row>
    <row r="3605" spans="2:24" s="0" customFormat="0" ht="15">
      <c r="B3605" s="69">
        <v>12398504</v>
      </c>
      <c r="C3605" s="70" t="s">
        <v>1468</v>
      </c>
      <c r="D3605" s="70" t="s">
        <v>1</v>
      </c>
      <c r="E3605" s="70" t="s">
        <v>1</v>
      </c>
      <c r="F3605" s="70"/>
      <c r="G3605" s="70" t="s">
        <v>61</v>
      </c>
      <c r="H3605" s="70" t="s">
        <v>178</v>
      </c>
      <c r="I3605" s="70" t="s">
        <v>181</v>
      </c>
      <c r="J3605" s="71">
        <f>IF(OR(I3605=0,I3605=""),"unrated",VLOOKUP(I3605,MappingTables!$B$19:$C$31,2,FALSE))</f>
        <v>3</v>
      </c>
      <c r="K3605" s="72">
        <v>5.7594784258585552</v>
      </c>
      <c r="L3605" s="70">
        <v>0.62422900970245944</v>
      </c>
      <c r="M3605" s="71">
        <f>IF(L3605&lt;1,1,L3605)</f>
        <v>1</v>
      </c>
      <c r="N3605" s="70" t="s">
        <v>141</v>
      </c>
      <c r="O3605" s="71">
        <f>INDEX(DurClassMapping,MATCH(M3605,MappingTables!$D$4:$D$8,-1),1)</f>
        <v>1</v>
      </c>
      <c r="P3605" s="73">
        <f>IF(M3605=$A$1,1,$M3605-INDEX(MappingTables!$E$4:$E$8,MATCH(O3605,MappingTables!$B$4:$B$8,0)))</f>
        <v>1</v>
      </c>
      <c r="Q3605" s="71">
        <f>IF(B3605="",0,INDEX(ModelParameters!$D$6:$K$10,MATCH($O3605,ModelParameters!$B$6:$B$10,0),MATCH($J3605,ModelParameters!$D$5:$K$5,0)))</f>
        <v>0.025</v>
      </c>
      <c r="R3605" s="71">
        <f>IF(B3605="",0,INDEX(ModelParameters!$D$13:$K$17,MATCH($O3605,ModelParameters!$B$13:$B$17,0),MATCH($J3605,ModelParameters!$D$5:$K$5,0)))</f>
        <v>0</v>
      </c>
      <c r="S3605" s="160">
        <f>IF(B3605="",0,MIN(IF($N3605="Other Bond TM",ModelParameters!$N$21,1)*(P3605*Q3605+R3605),1))</f>
        <v>0.025</v>
      </c>
      <c r="T3605" s="85">
        <f>IF(B3605="",0,$S3605*$K3605)</f>
        <v>0.14398696064646388</v>
      </c>
      <c r="U3605" s="85">
        <f>IF(B3605="",0,IF(OR(H3605=MappingTables!$C$34,H3605=MappingTables!$C$35),T3605,0))</f>
        <v>0</v>
      </c>
      <c r="V3605" s="85">
        <f>IF(ISNA(IF(AND(VLOOKUP(CONCATENATE($D3605,$G3605),CSRFinput!$B:$E,4,0)=0,OR(H3605=MappingTables!$C$34,H3605=MappingTables!$C$35)),1,VLOOKUP(CONCATENATE($D3605,$G3605),CSRFinput!$B:$E,4,0))),0,IF(AND(VLOOKUP(CONCATENATE($D3605,$G3605),CSRFinput!$B:$E,4,0)=0,OR(H3605=MappingTables!$C$34,H3605=MappingTables!$C$35)),1,VLOOKUP(CONCATENATE($D3605,$G3605),CSRFinput!$B:$E,4,0)))</f>
        <v>0.054776304963434752</v>
      </c>
      <c r="W3605" s="85">
        <f>IF(B3605="",0,+$T3605*$V3605)</f>
        <v>0.007887073667128784</v>
      </c>
      <c r="X3605" s="85">
        <f>IF(B3605="",0,IF(OR(H3605=MappingTables!$C$34,H3605=MappingTables!$C$35),W3605,0))</f>
        <v>0</v>
      </c>
    </row>
    <row r="3606" spans="2:24" s="0" customFormat="0" ht="15">
      <c r="B3606" s="69">
        <v>18944109</v>
      </c>
      <c r="C3606" s="70" t="s">
        <v>2897</v>
      </c>
      <c r="D3606" s="70" t="s">
        <v>1</v>
      </c>
      <c r="E3606" s="70" t="s">
        <v>1</v>
      </c>
      <c r="F3606" s="70"/>
      <c r="G3606" s="70" t="s">
        <v>61</v>
      </c>
      <c r="H3606" s="70" t="s">
        <v>178</v>
      </c>
      <c r="I3606" s="70" t="s">
        <v>181</v>
      </c>
      <c r="J3606" s="71">
        <f>IF(OR(I3606=0,I3606=""),"unrated",VLOOKUP(I3606,MappingTables!$B$19:$C$31,2,FALSE))</f>
        <v>3</v>
      </c>
      <c r="K3606" s="72">
        <v>508.76996841315792</v>
      </c>
      <c r="L3606" s="70">
        <v>2.9270919028163596</v>
      </c>
      <c r="M3606" s="71">
        <f>IF(L3606&lt;1,1,L3606)</f>
        <v>2.9270919028163596</v>
      </c>
      <c r="N3606" s="70" t="s">
        <v>141</v>
      </c>
      <c r="O3606" s="71">
        <f>INDEX(DurClassMapping,MATCH(M3606,MappingTables!$D$4:$D$8,-1),1)</f>
        <v>1</v>
      </c>
      <c r="P3606" s="73">
        <f>IF(M3606=$A$1,1,$M3606-INDEX(MappingTables!$E$4:$E$8,MATCH(O3606,MappingTables!$B$4:$B$8,0)))</f>
        <v>2.9270919028163596</v>
      </c>
      <c r="Q3606" s="71">
        <f>IF(B3606="",0,INDEX(ModelParameters!$D$6:$K$10,MATCH($O3606,ModelParameters!$B$6:$B$10,0),MATCH($J3606,ModelParameters!$D$5:$K$5,0)))</f>
        <v>0.025</v>
      </c>
      <c r="R3606" s="71">
        <f>IF(B3606="",0,INDEX(ModelParameters!$D$13:$K$17,MATCH($O3606,ModelParameters!$B$13:$B$17,0),MATCH($J3606,ModelParameters!$D$5:$K$5,0)))</f>
        <v>0</v>
      </c>
      <c r="S3606" s="160">
        <f>IF(B3606="",0,MIN(IF($N3606="Other Bond TM",ModelParameters!$N$21,1)*(P3606*Q3606+R3606),1))</f>
        <v>0.073177297570409008</v>
      </c>
      <c r="T3606" s="85">
        <f>IF(B3606="",0,$S3606*$K3606)</f>
        <v>37.23041137345724</v>
      </c>
      <c r="U3606" s="85">
        <f>IF(B3606="",0,IF(OR(H3606=MappingTables!$C$34,H3606=MappingTables!$C$35),T3606,0))</f>
        <v>0</v>
      </c>
      <c r="V3606" s="85">
        <f>IF(ISNA(IF(AND(VLOOKUP(CONCATENATE($D3606,$G3606),CSRFinput!$B:$E,4,0)=0,OR(H3606=MappingTables!$C$34,H3606=MappingTables!$C$35)),1,VLOOKUP(CONCATENATE($D3606,$G3606),CSRFinput!$B:$E,4,0))),0,IF(AND(VLOOKUP(CONCATENATE($D3606,$G3606),CSRFinput!$B:$E,4,0)=0,OR(H3606=MappingTables!$C$34,H3606=MappingTables!$C$35)),1,VLOOKUP(CONCATENATE($D3606,$G3606),CSRFinput!$B:$E,4,0)))</f>
        <v>0.054776304963434752</v>
      </c>
      <c r="W3606" s="85">
        <f>IF(B3606="",0,+$T3606*$V3606)</f>
        <v>2.0393443673066236</v>
      </c>
      <c r="X3606" s="85">
        <f>IF(B3606="",0,IF(OR(H3606=MappingTables!$C$34,H3606=MappingTables!$C$35),W3606,0))</f>
        <v>0</v>
      </c>
    </row>
    <row r="3607" spans="2:24" s="0" customFormat="0" ht="15">
      <c r="B3607" s="69">
        <v>11899219</v>
      </c>
      <c r="C3607" s="70" t="s">
        <v>2898</v>
      </c>
      <c r="D3607" s="70" t="s">
        <v>1</v>
      </c>
      <c r="E3607" s="70" t="s">
        <v>1</v>
      </c>
      <c r="F3607" s="70"/>
      <c r="G3607" s="70" t="s">
        <v>61</v>
      </c>
      <c r="H3607" s="70" t="s">
        <v>178</v>
      </c>
      <c r="I3607" s="70" t="s">
        <v>179</v>
      </c>
      <c r="J3607" s="71">
        <f>IF(OR(I3607=0,I3607=""),"unrated",VLOOKUP(I3607,MappingTables!$B$19:$C$31,2,FALSE))</f>
        <v>4</v>
      </c>
      <c r="K3607" s="72">
        <v>285.70019815631668</v>
      </c>
      <c r="L3607" s="70">
        <v>0.087670962709919568</v>
      </c>
      <c r="M3607" s="71">
        <f>IF(L3607&lt;1,1,L3607)</f>
        <v>1</v>
      </c>
      <c r="N3607" s="70" t="s">
        <v>141</v>
      </c>
      <c r="O3607" s="71">
        <f>INDEX(DurClassMapping,MATCH(M3607,MappingTables!$D$4:$D$8,-1),1)</f>
        <v>1</v>
      </c>
      <c r="P3607" s="73">
        <f>IF(M3607=$A$1,1,$M3607-INDEX(MappingTables!$E$4:$E$8,MATCH(O3607,MappingTables!$B$4:$B$8,0)))</f>
        <v>1</v>
      </c>
      <c r="Q3607" s="71">
        <f>IF(B3607="",0,INDEX(ModelParameters!$D$6:$K$10,MATCH($O3607,ModelParameters!$B$6:$B$10,0),MATCH($J3607,ModelParameters!$D$5:$K$5,0)))</f>
        <v>0.045</v>
      </c>
      <c r="R3607" s="71">
        <f>IF(B3607="",0,INDEX(ModelParameters!$D$13:$K$17,MATCH($O3607,ModelParameters!$B$13:$B$17,0),MATCH($J3607,ModelParameters!$D$5:$K$5,0)))</f>
        <v>0</v>
      </c>
      <c r="S3607" s="160">
        <f>IF(B3607="",0,MIN(IF($N3607="Other Bond TM",ModelParameters!$N$21,1)*(P3607*Q3607+R3607),1))</f>
        <v>0.045</v>
      </c>
      <c r="T3607" s="85">
        <f>IF(B3607="",0,$S3607*$K3607)</f>
        <v>12.85650891703425</v>
      </c>
      <c r="U3607" s="85">
        <f>IF(B3607="",0,IF(OR(H3607=MappingTables!$C$34,H3607=MappingTables!$C$35),T3607,0))</f>
        <v>0</v>
      </c>
      <c r="V3607" s="85">
        <f>IF(ISNA(IF(AND(VLOOKUP(CONCATENATE($D3607,$G3607),CSRFinput!$B:$E,4,0)=0,OR(H3607=MappingTables!$C$34,H3607=MappingTables!$C$35)),1,VLOOKUP(CONCATENATE($D3607,$G3607),CSRFinput!$B:$E,4,0))),0,IF(AND(VLOOKUP(CONCATENATE($D3607,$G3607),CSRFinput!$B:$E,4,0)=0,OR(H3607=MappingTables!$C$34,H3607=MappingTables!$C$35)),1,VLOOKUP(CONCATENATE($D3607,$G3607),CSRFinput!$B:$E,4,0)))</f>
        <v>0.054776304963434752</v>
      </c>
      <c r="W3607" s="85">
        <f>IF(B3607="",0,+$T3607*$V3607)</f>
        <v>0.70423205320458624</v>
      </c>
      <c r="X3607" s="85">
        <f>IF(B3607="",0,IF(OR(H3607=MappingTables!$C$34,H3607=MappingTables!$C$35),W3607,0))</f>
        <v>0</v>
      </c>
    </row>
    <row r="3608" spans="2:24" s="0" customFormat="0" ht="15">
      <c r="B3608" s="69">
        <v>20658178</v>
      </c>
      <c r="C3608" s="70" t="s">
        <v>2213</v>
      </c>
      <c r="D3608" s="70" t="s">
        <v>1</v>
      </c>
      <c r="E3608" s="70" t="s">
        <v>1</v>
      </c>
      <c r="F3608" s="70"/>
      <c r="G3608" s="70" t="s">
        <v>61</v>
      </c>
      <c r="H3608" s="70" t="s">
        <v>178</v>
      </c>
      <c r="I3608" s="70" t="s">
        <v>181</v>
      </c>
      <c r="J3608" s="71">
        <f>IF(OR(I3608=0,I3608=""),"unrated",VLOOKUP(I3608,MappingTables!$B$19:$C$31,2,FALSE))</f>
        <v>3</v>
      </c>
      <c r="K3608" s="72">
        <v>162.35569879823044</v>
      </c>
      <c r="L3608" s="70">
        <v>6.8846030289721112</v>
      </c>
      <c r="M3608" s="71">
        <f>IF(L3608&lt;1,1,L3608)</f>
        <v>6.8846030289721112</v>
      </c>
      <c r="N3608" s="70" t="s">
        <v>141</v>
      </c>
      <c r="O3608" s="71">
        <f>INDEX(DurClassMapping,MATCH(M3608,MappingTables!$D$4:$D$8,-1),1)</f>
        <v>2</v>
      </c>
      <c r="P3608" s="73">
        <f>IF(M3608=$A$1,1,$M3608-INDEX(MappingTables!$E$4:$E$8,MATCH(O3608,MappingTables!$B$4:$B$8,0)))</f>
        <v>1.8846030289721112</v>
      </c>
      <c r="Q3608" s="71">
        <f>IF(B3608="",0,INDEX(ModelParameters!$D$6:$K$10,MATCH($O3608,ModelParameters!$B$6:$B$10,0),MATCH($J3608,ModelParameters!$D$5:$K$5,0)))</f>
        <v>0.015</v>
      </c>
      <c r="R3608" s="71">
        <f>IF(B3608="",0,INDEX(ModelParameters!$D$13:$K$17,MATCH($O3608,ModelParameters!$B$13:$B$17,0),MATCH($J3608,ModelParameters!$D$5:$K$5,0)))</f>
        <v>0.125</v>
      </c>
      <c r="S3608" s="160">
        <f>IF(B3608="",0,MIN(IF($N3608="Other Bond TM",ModelParameters!$N$21,1)*(P3608*Q3608+R3608),1))</f>
        <v>0.15326904543458166</v>
      </c>
      <c r="T3608" s="85">
        <f>IF(B3608="",0,$S3608*$K3608)</f>
        <v>24.884102975669236</v>
      </c>
      <c r="U3608" s="85">
        <f>IF(B3608="",0,IF(OR(H3608=MappingTables!$C$34,H3608=MappingTables!$C$35),T3608,0))</f>
        <v>0</v>
      </c>
      <c r="V3608" s="85">
        <f>IF(ISNA(IF(AND(VLOOKUP(CONCATENATE($D3608,$G3608),CSRFinput!$B:$E,4,0)=0,OR(H3608=MappingTables!$C$34,H3608=MappingTables!$C$35)),1,VLOOKUP(CONCATENATE($D3608,$G3608),CSRFinput!$B:$E,4,0))),0,IF(AND(VLOOKUP(CONCATENATE($D3608,$G3608),CSRFinput!$B:$E,4,0)=0,OR(H3608=MappingTables!$C$34,H3608=MappingTables!$C$35)),1,VLOOKUP(CONCATENATE($D3608,$G3608),CSRFinput!$B:$E,4,0)))</f>
        <v>0.054776304963434752</v>
      </c>
      <c r="W3608" s="85">
        <f>IF(B3608="",0,+$T3608*$V3608)</f>
        <v>1.3630592133367722</v>
      </c>
      <c r="X3608" s="85">
        <f>IF(B3608="",0,IF(OR(H3608=MappingTables!$C$34,H3608=MappingTables!$C$35),W3608,0))</f>
        <v>0</v>
      </c>
    </row>
    <row r="3609" spans="2:24" s="0" customFormat="0" ht="15">
      <c r="B3609" s="69">
        <v>20370878</v>
      </c>
      <c r="C3609" s="70" t="s">
        <v>1576</v>
      </c>
      <c r="D3609" s="70" t="s">
        <v>1</v>
      </c>
      <c r="E3609" s="70" t="s">
        <v>1</v>
      </c>
      <c r="F3609" s="70"/>
      <c r="G3609" s="70" t="s">
        <v>61</v>
      </c>
      <c r="H3609" s="70" t="s">
        <v>178</v>
      </c>
      <c r="I3609" s="70" t="s">
        <v>181</v>
      </c>
      <c r="J3609" s="71">
        <f>IF(OR(I3609=0,I3609=""),"unrated",VLOOKUP(I3609,MappingTables!$B$19:$C$31,2,FALSE))</f>
        <v>3</v>
      </c>
      <c r="K3609" s="72">
        <v>8774.0820352669456</v>
      </c>
      <c r="L3609" s="70">
        <v>3.2669023382026568</v>
      </c>
      <c r="M3609" s="71">
        <f>IF(L3609&lt;1,1,L3609)</f>
        <v>3.2669023382026568</v>
      </c>
      <c r="N3609" s="70" t="s">
        <v>141</v>
      </c>
      <c r="O3609" s="71">
        <f>INDEX(DurClassMapping,MATCH(M3609,MappingTables!$D$4:$D$8,-1),1)</f>
        <v>1</v>
      </c>
      <c r="P3609" s="73">
        <f>IF(M3609=$A$1,1,$M3609-INDEX(MappingTables!$E$4:$E$8,MATCH(O3609,MappingTables!$B$4:$B$8,0)))</f>
        <v>3.2669023382026568</v>
      </c>
      <c r="Q3609" s="71">
        <f>IF(B3609="",0,INDEX(ModelParameters!$D$6:$K$10,MATCH($O3609,ModelParameters!$B$6:$B$10,0),MATCH($J3609,ModelParameters!$D$5:$K$5,0)))</f>
        <v>0.025</v>
      </c>
      <c r="R3609" s="71">
        <f>IF(B3609="",0,INDEX(ModelParameters!$D$13:$K$17,MATCH($O3609,ModelParameters!$B$13:$B$17,0),MATCH($J3609,ModelParameters!$D$5:$K$5,0)))</f>
        <v>0</v>
      </c>
      <c r="S3609" s="160">
        <f>IF(B3609="",0,MIN(IF($N3609="Other Bond TM",ModelParameters!$N$21,1)*(P3609*Q3609+R3609),1))</f>
        <v>0.081672558455066432</v>
      </c>
      <c r="T3609" s="85">
        <f>IF(B3609="",0,$S3609*$K3609)</f>
        <v>716.60172791488784</v>
      </c>
      <c r="U3609" s="85">
        <f>IF(B3609="",0,IF(OR(H3609=MappingTables!$C$34,H3609=MappingTables!$C$35),T3609,0))</f>
        <v>0</v>
      </c>
      <c r="V3609" s="85">
        <f>IF(ISNA(IF(AND(VLOOKUP(CONCATENATE($D3609,$G3609),CSRFinput!$B:$E,4,0)=0,OR(H3609=MappingTables!$C$34,H3609=MappingTables!$C$35)),1,VLOOKUP(CONCATENATE($D3609,$G3609),CSRFinput!$B:$E,4,0))),0,IF(AND(VLOOKUP(CONCATENATE($D3609,$G3609),CSRFinput!$B:$E,4,0)=0,OR(H3609=MappingTables!$C$34,H3609=MappingTables!$C$35)),1,VLOOKUP(CONCATENATE($D3609,$G3609),CSRFinput!$B:$E,4,0)))</f>
        <v>0.054776304963434752</v>
      </c>
      <c r="W3609" s="85">
        <f>IF(B3609="",0,+$T3609*$V3609)</f>
        <v>39.252794785590192</v>
      </c>
      <c r="X3609" s="85">
        <f>IF(B3609="",0,IF(OR(H3609=MappingTables!$C$34,H3609=MappingTables!$C$35),W3609,0))</f>
        <v>0</v>
      </c>
    </row>
    <row r="3610" spans="2:24" s="0" customFormat="0" ht="15">
      <c r="B3610" s="69" t="s">
        <v>2867</v>
      </c>
      <c r="C3610" s="70" t="s">
        <v>2868</v>
      </c>
      <c r="D3610" s="70" t="s">
        <v>1</v>
      </c>
      <c r="E3610" s="70" t="s">
        <v>1</v>
      </c>
      <c r="F3610" s="70"/>
      <c r="G3610" s="70" t="s">
        <v>61</v>
      </c>
      <c r="H3610" s="70" t="s">
        <v>178</v>
      </c>
      <c r="I3610" s="70" t="s">
        <v>198</v>
      </c>
      <c r="J3610" s="71" t="str">
        <f>IF(OR(I3610=0,I3610=""),"unrated",VLOOKUP(I3610,MappingTables!$B$19:$C$31,2,FALSE))</f>
        <v>unrated</v>
      </c>
      <c r="K3610" s="72">
        <v>0.36145069311813664</v>
      </c>
      <c r="L3610" s="70">
        <v>0.34520949627109292</v>
      </c>
      <c r="M3610" s="71">
        <f>IF(L3610&lt;1,1,L3610)</f>
        <v>1</v>
      </c>
      <c r="N3610" s="70" t="s">
        <v>141</v>
      </c>
      <c r="O3610" s="71">
        <f>INDEX(DurClassMapping,MATCH(M3610,MappingTables!$D$4:$D$8,-1),1)</f>
        <v>1</v>
      </c>
      <c r="P3610" s="73">
        <f>IF(M3610=$A$1,1,$M3610-INDEX(MappingTables!$E$4:$E$8,MATCH(O3610,MappingTables!$B$4:$B$8,0)))</f>
        <v>1</v>
      </c>
      <c r="Q3610" s="71">
        <f>IF(B3610="",0,INDEX(ModelParameters!$D$6:$K$10,MATCH($O3610,ModelParameters!$B$6:$B$10,0),MATCH($J3610,ModelParameters!$D$5:$K$5,0)))</f>
        <v>0.03</v>
      </c>
      <c r="R3610" s="71">
        <f>IF(B3610="",0,INDEX(ModelParameters!$D$13:$K$17,MATCH($O3610,ModelParameters!$B$13:$B$17,0),MATCH($J3610,ModelParameters!$D$5:$K$5,0)))</f>
        <v>0</v>
      </c>
      <c r="S3610" s="160">
        <f>IF(B3610="",0,MIN(IF($N3610="Other Bond TM",ModelParameters!$N$21,1)*(P3610*Q3610+R3610),1))</f>
        <v>0.03</v>
      </c>
      <c r="T3610" s="85">
        <f>IF(B3610="",0,$S3610*$K3610)</f>
        <v>0.010843520793544098</v>
      </c>
      <c r="U3610" s="85">
        <f>IF(B3610="",0,IF(OR(H3610=MappingTables!$C$34,H3610=MappingTables!$C$35),T3610,0))</f>
        <v>0</v>
      </c>
      <c r="V3610" s="85">
        <f>IF(ISNA(IF(AND(VLOOKUP(CONCATENATE($D3610,$G3610),CSRFinput!$B:$E,4,0)=0,OR(H3610=MappingTables!$C$34,H3610=MappingTables!$C$35)),1,VLOOKUP(CONCATENATE($D3610,$G3610),CSRFinput!$B:$E,4,0))),0,IF(AND(VLOOKUP(CONCATENATE($D3610,$G3610),CSRFinput!$B:$E,4,0)=0,OR(H3610=MappingTables!$C$34,H3610=MappingTables!$C$35)),1,VLOOKUP(CONCATENATE($D3610,$G3610),CSRFinput!$B:$E,4,0)))</f>
        <v>0.054776304963434752</v>
      </c>
      <c r="W3610" s="85">
        <f>IF(B3610="",0,+$T3610*$V3610)</f>
        <v>0.00059396800186451752</v>
      </c>
      <c r="X3610" s="85">
        <f>IF(B3610="",0,IF(OR(H3610=MappingTables!$C$34,H3610=MappingTables!$C$35),W3610,0))</f>
        <v>0</v>
      </c>
    </row>
    <row r="3611" spans="2:24" s="0" customFormat="0" ht="15">
      <c r="B3611" s="69" t="s">
        <v>1710</v>
      </c>
      <c r="C3611" s="70" t="s">
        <v>1711</v>
      </c>
      <c r="D3611" s="70" t="s">
        <v>1</v>
      </c>
      <c r="E3611" s="70" t="s">
        <v>1</v>
      </c>
      <c r="F3611" s="70"/>
      <c r="G3611" s="70" t="s">
        <v>61</v>
      </c>
      <c r="H3611" s="70" t="s">
        <v>178</v>
      </c>
      <c r="I3611" s="70" t="s">
        <v>198</v>
      </c>
      <c r="J3611" s="71" t="str">
        <f>IF(OR(I3611=0,I3611=""),"unrated",VLOOKUP(I3611,MappingTables!$B$19:$C$31,2,FALSE))</f>
        <v>unrated</v>
      </c>
      <c r="K3611" s="72">
        <v>0.60644569170091248</v>
      </c>
      <c r="L3611" s="70">
        <v>1.513881440309519</v>
      </c>
      <c r="M3611" s="71">
        <f>IF(L3611&lt;1,1,L3611)</f>
        <v>1.513881440309519</v>
      </c>
      <c r="N3611" s="70" t="s">
        <v>141</v>
      </c>
      <c r="O3611" s="71">
        <f>INDEX(DurClassMapping,MATCH(M3611,MappingTables!$D$4:$D$8,-1),1)</f>
        <v>1</v>
      </c>
      <c r="P3611" s="73">
        <f>IF(M3611=$A$1,1,$M3611-INDEX(MappingTables!$E$4:$E$8,MATCH(O3611,MappingTables!$B$4:$B$8,0)))</f>
        <v>1.513881440309519</v>
      </c>
      <c r="Q3611" s="71">
        <f>IF(B3611="",0,INDEX(ModelParameters!$D$6:$K$10,MATCH($O3611,ModelParameters!$B$6:$B$10,0),MATCH($J3611,ModelParameters!$D$5:$K$5,0)))</f>
        <v>0.03</v>
      </c>
      <c r="R3611" s="71">
        <f>IF(B3611="",0,INDEX(ModelParameters!$D$13:$K$17,MATCH($O3611,ModelParameters!$B$13:$B$17,0),MATCH($J3611,ModelParameters!$D$5:$K$5,0)))</f>
        <v>0</v>
      </c>
      <c r="S3611" s="160">
        <f>IF(B3611="",0,MIN(IF($N3611="Other Bond TM",ModelParameters!$N$21,1)*(P3611*Q3611+R3611),1))</f>
        <v>0.045416443209285568</v>
      </c>
      <c r="T3611" s="85">
        <f>IF(B3611="",0,$S3611*$K3611)</f>
        <v>0.027542606316650396</v>
      </c>
      <c r="U3611" s="85">
        <f>IF(B3611="",0,IF(OR(H3611=MappingTables!$C$34,H3611=MappingTables!$C$35),T3611,0))</f>
        <v>0</v>
      </c>
      <c r="V3611" s="85">
        <f>IF(ISNA(IF(AND(VLOOKUP(CONCATENATE($D3611,$G3611),CSRFinput!$B:$E,4,0)=0,OR(H3611=MappingTables!$C$34,H3611=MappingTables!$C$35)),1,VLOOKUP(CONCATENATE($D3611,$G3611),CSRFinput!$B:$E,4,0))),0,IF(AND(VLOOKUP(CONCATENATE($D3611,$G3611),CSRFinput!$B:$E,4,0)=0,OR(H3611=MappingTables!$C$34,H3611=MappingTables!$C$35)),1,VLOOKUP(CONCATENATE($D3611,$G3611),CSRFinput!$B:$E,4,0)))</f>
        <v>0.054776304963434752</v>
      </c>
      <c r="W3611" s="85">
        <f>IF(B3611="",0,+$T3611*$V3611)</f>
        <v>0.0015086822030886664</v>
      </c>
      <c r="X3611" s="85">
        <f>IF(B3611="",0,IF(OR(H3611=MappingTables!$C$34,H3611=MappingTables!$C$35),W3611,0))</f>
        <v>0</v>
      </c>
    </row>
    <row r="3612" spans="2:24" s="0" customFormat="0" ht="15">
      <c r="B3612" s="69">
        <v>20708336</v>
      </c>
      <c r="C3612" s="70" t="s">
        <v>2899</v>
      </c>
      <c r="D3612" s="70" t="s">
        <v>1</v>
      </c>
      <c r="E3612" s="70" t="s">
        <v>1</v>
      </c>
      <c r="F3612" s="70"/>
      <c r="G3612" s="70" t="s">
        <v>61</v>
      </c>
      <c r="H3612" s="70" t="s">
        <v>178</v>
      </c>
      <c r="I3612" s="70" t="s">
        <v>181</v>
      </c>
      <c r="J3612" s="71">
        <f>IF(OR(I3612=0,I3612=""),"unrated",VLOOKUP(I3612,MappingTables!$B$19:$C$31,2,FALSE))</f>
        <v>3</v>
      </c>
      <c r="K3612" s="72">
        <v>17364.197718747112</v>
      </c>
      <c r="L3612" s="70">
        <v>2.0142203173129124</v>
      </c>
      <c r="M3612" s="71">
        <f>IF(L3612&lt;1,1,L3612)</f>
        <v>2.0142203173129124</v>
      </c>
      <c r="N3612" s="70" t="s">
        <v>141</v>
      </c>
      <c r="O3612" s="71">
        <f>INDEX(DurClassMapping,MATCH(M3612,MappingTables!$D$4:$D$8,-1),1)</f>
        <v>1</v>
      </c>
      <c r="P3612" s="73">
        <f>IF(M3612=$A$1,1,$M3612-INDEX(MappingTables!$E$4:$E$8,MATCH(O3612,MappingTables!$B$4:$B$8,0)))</f>
        <v>2.0142203173129124</v>
      </c>
      <c r="Q3612" s="71">
        <f>IF(B3612="",0,INDEX(ModelParameters!$D$6:$K$10,MATCH($O3612,ModelParameters!$B$6:$B$10,0),MATCH($J3612,ModelParameters!$D$5:$K$5,0)))</f>
        <v>0.025</v>
      </c>
      <c r="R3612" s="71">
        <f>IF(B3612="",0,INDEX(ModelParameters!$D$13:$K$17,MATCH($O3612,ModelParameters!$B$13:$B$17,0),MATCH($J3612,ModelParameters!$D$5:$K$5,0)))</f>
        <v>0</v>
      </c>
      <c r="S3612" s="160">
        <f>IF(B3612="",0,MIN(IF($N3612="Other Bond TM",ModelParameters!$N$21,1)*(P3612*Q3612+R3612),1))</f>
        <v>0.050355507932822816</v>
      </c>
      <c r="T3612" s="85">
        <f>IF(B3612="",0,$S3612*$K3612)</f>
        <v>874.38299597347408</v>
      </c>
      <c r="U3612" s="85">
        <f>IF(B3612="",0,IF(OR(H3612=MappingTables!$C$34,H3612=MappingTables!$C$35),T3612,0))</f>
        <v>0</v>
      </c>
      <c r="V3612" s="85">
        <f>IF(ISNA(IF(AND(VLOOKUP(CONCATENATE($D3612,$G3612),CSRFinput!$B:$E,4,0)=0,OR(H3612=MappingTables!$C$34,H3612=MappingTables!$C$35)),1,VLOOKUP(CONCATENATE($D3612,$G3612),CSRFinput!$B:$E,4,0))),0,IF(AND(VLOOKUP(CONCATENATE($D3612,$G3612),CSRFinput!$B:$E,4,0)=0,OR(H3612=MappingTables!$C$34,H3612=MappingTables!$C$35)),1,VLOOKUP(CONCATENATE($D3612,$G3612),CSRFinput!$B:$E,4,0)))</f>
        <v>0.054776304963434752</v>
      </c>
      <c r="W3612" s="85">
        <f>IF(B3612="",0,+$T3612*$V3612)</f>
        <v>47.89546964228476</v>
      </c>
      <c r="X3612" s="85">
        <f>IF(B3612="",0,IF(OR(H3612=MappingTables!$C$34,H3612=MappingTables!$C$35),W3612,0))</f>
        <v>0</v>
      </c>
    </row>
    <row r="3613" spans="2:24" s="0" customFormat="0" ht="15">
      <c r="B3613" s="69">
        <v>8416920</v>
      </c>
      <c r="C3613" s="70" t="s">
        <v>1410</v>
      </c>
      <c r="D3613" s="70" t="s">
        <v>1</v>
      </c>
      <c r="E3613" s="70" t="s">
        <v>1</v>
      </c>
      <c r="F3613" s="70"/>
      <c r="G3613" s="70" t="s">
        <v>61</v>
      </c>
      <c r="H3613" s="70" t="s">
        <v>178</v>
      </c>
      <c r="I3613" s="70" t="s">
        <v>188</v>
      </c>
      <c r="J3613" s="71">
        <f>IF(OR(I3613=0,I3613=""),"unrated",VLOOKUP(I3613,MappingTables!$B$19:$C$31,2,FALSE))</f>
        <v>2</v>
      </c>
      <c r="K3613" s="72">
        <v>0.60899503929809184</v>
      </c>
      <c r="L3613" s="70">
        <v>0.44383884258193264</v>
      </c>
      <c r="M3613" s="71">
        <f>IF(L3613&lt;1,1,L3613)</f>
        <v>1</v>
      </c>
      <c r="N3613" s="70" t="s">
        <v>141</v>
      </c>
      <c r="O3613" s="71">
        <f>INDEX(DurClassMapping,MATCH(M3613,MappingTables!$D$4:$D$8,-1),1)</f>
        <v>1</v>
      </c>
      <c r="P3613" s="73">
        <f>IF(M3613=$A$1,1,$M3613-INDEX(MappingTables!$E$4:$E$8,MATCH(O3613,MappingTables!$B$4:$B$8,0)))</f>
        <v>1</v>
      </c>
      <c r="Q3613" s="71">
        <f>IF(B3613="",0,INDEX(ModelParameters!$D$6:$K$10,MATCH($O3613,ModelParameters!$B$6:$B$10,0),MATCH($J3613,ModelParameters!$D$5:$K$5,0)))</f>
        <v>0.013999999999999998</v>
      </c>
      <c r="R3613" s="71">
        <f>IF(B3613="",0,INDEX(ModelParameters!$D$13:$K$17,MATCH($O3613,ModelParameters!$B$13:$B$17,0),MATCH($J3613,ModelParameters!$D$5:$K$5,0)))</f>
        <v>0</v>
      </c>
      <c r="S3613" s="160">
        <f>IF(B3613="",0,MIN(IF($N3613="Other Bond TM",ModelParameters!$N$21,1)*(P3613*Q3613+R3613),1))</f>
        <v>0.013999999999999998</v>
      </c>
      <c r="T3613" s="85">
        <f>IF(B3613="",0,$S3613*$K3613)</f>
        <v>0.0085259305501732848</v>
      </c>
      <c r="U3613" s="85">
        <f>IF(B3613="",0,IF(OR(H3613=MappingTables!$C$34,H3613=MappingTables!$C$35),T3613,0))</f>
        <v>0</v>
      </c>
      <c r="V3613" s="85">
        <f>IF(ISNA(IF(AND(VLOOKUP(CONCATENATE($D3613,$G3613),CSRFinput!$B:$E,4,0)=0,OR(H3613=MappingTables!$C$34,H3613=MappingTables!$C$35)),1,VLOOKUP(CONCATENATE($D3613,$G3613),CSRFinput!$B:$E,4,0))),0,IF(AND(VLOOKUP(CONCATENATE($D3613,$G3613),CSRFinput!$B:$E,4,0)=0,OR(H3613=MappingTables!$C$34,H3613=MappingTables!$C$35)),1,VLOOKUP(CONCATENATE($D3613,$G3613),CSRFinput!$B:$E,4,0)))</f>
        <v>0.054776304963434752</v>
      </c>
      <c r="W3613" s="85">
        <f>IF(B3613="",0,+$T3613*$V3613)</f>
        <v>0.00046701897191335688</v>
      </c>
      <c r="X3613" s="85">
        <f>IF(B3613="",0,IF(OR(H3613=MappingTables!$C$34,H3613=MappingTables!$C$35),W3613,0))</f>
        <v>0</v>
      </c>
    </row>
    <row r="3614" spans="2:24" s="0" customFormat="0" ht="15">
      <c r="B3614" s="69">
        <v>14690505</v>
      </c>
      <c r="C3614" s="70" t="s">
        <v>2900</v>
      </c>
      <c r="D3614" s="70" t="s">
        <v>1</v>
      </c>
      <c r="E3614" s="70" t="s">
        <v>1</v>
      </c>
      <c r="F3614" s="70"/>
      <c r="G3614" s="70" t="s">
        <v>61</v>
      </c>
      <c r="H3614" s="70" t="s">
        <v>178</v>
      </c>
      <c r="I3614" s="70" t="s">
        <v>179</v>
      </c>
      <c r="J3614" s="71">
        <f>IF(OR(I3614=0,I3614=""),"unrated",VLOOKUP(I3614,MappingTables!$B$19:$C$31,2,FALSE))</f>
        <v>4</v>
      </c>
      <c r="K3614" s="72">
        <v>9364.7182604434432</v>
      </c>
      <c r="L3614" s="70">
        <v>3.9281818611754032</v>
      </c>
      <c r="M3614" s="71">
        <f>IF(L3614&lt;1,1,L3614)</f>
        <v>3.9281818611754032</v>
      </c>
      <c r="N3614" s="70" t="s">
        <v>141</v>
      </c>
      <c r="O3614" s="71">
        <f>INDEX(DurClassMapping,MATCH(M3614,MappingTables!$D$4:$D$8,-1),1)</f>
        <v>1</v>
      </c>
      <c r="P3614" s="73">
        <f>IF(M3614=$A$1,1,$M3614-INDEX(MappingTables!$E$4:$E$8,MATCH(O3614,MappingTables!$B$4:$B$8,0)))</f>
        <v>3.9281818611754032</v>
      </c>
      <c r="Q3614" s="71">
        <f>IF(B3614="",0,INDEX(ModelParameters!$D$6:$K$10,MATCH($O3614,ModelParameters!$B$6:$B$10,0),MATCH($J3614,ModelParameters!$D$5:$K$5,0)))</f>
        <v>0.045</v>
      </c>
      <c r="R3614" s="71">
        <f>IF(B3614="",0,INDEX(ModelParameters!$D$13:$K$17,MATCH($O3614,ModelParameters!$B$13:$B$17,0),MATCH($J3614,ModelParameters!$D$5:$K$5,0)))</f>
        <v>0</v>
      </c>
      <c r="S3614" s="160">
        <f>IF(B3614="",0,MIN(IF($N3614="Other Bond TM",ModelParameters!$N$21,1)*(P3614*Q3614+R3614),1))</f>
        <v>0.17676818375289314</v>
      </c>
      <c r="T3614" s="85">
        <f>IF(B3614="",0,$S3614*$K3614)</f>
        <v>1655.3842382561404</v>
      </c>
      <c r="U3614" s="85">
        <f>IF(B3614="",0,IF(OR(H3614=MappingTables!$C$34,H3614=MappingTables!$C$35),T3614,0))</f>
        <v>0</v>
      </c>
      <c r="V3614" s="85">
        <f>IF(ISNA(IF(AND(VLOOKUP(CONCATENATE($D3614,$G3614),CSRFinput!$B:$E,4,0)=0,OR(H3614=MappingTables!$C$34,H3614=MappingTables!$C$35)),1,VLOOKUP(CONCATENATE($D3614,$G3614),CSRFinput!$B:$E,4,0))),0,IF(AND(VLOOKUP(CONCATENATE($D3614,$G3614),CSRFinput!$B:$E,4,0)=0,OR(H3614=MappingTables!$C$34,H3614=MappingTables!$C$35)),1,VLOOKUP(CONCATENATE($D3614,$G3614),CSRFinput!$B:$E,4,0)))</f>
        <v>0.054776304963434752</v>
      </c>
      <c r="W3614" s="85">
        <f>IF(B3614="",0,+$T3614*$V3614)</f>
        <v>90.675831866381488</v>
      </c>
      <c r="X3614" s="85">
        <f>IF(B3614="",0,IF(OR(H3614=MappingTables!$C$34,H3614=MappingTables!$C$35),W3614,0))</f>
        <v>0</v>
      </c>
    </row>
    <row r="3615" spans="2:24" s="0" customFormat="0" ht="15">
      <c r="B3615" s="69">
        <v>21743758</v>
      </c>
      <c r="C3615" s="70" t="s">
        <v>1233</v>
      </c>
      <c r="D3615" s="70" t="s">
        <v>1</v>
      </c>
      <c r="E3615" s="70" t="s">
        <v>1</v>
      </c>
      <c r="F3615" s="70"/>
      <c r="G3615" s="70" t="s">
        <v>61</v>
      </c>
      <c r="H3615" s="70" t="s">
        <v>178</v>
      </c>
      <c r="I3615" s="70" t="s">
        <v>181</v>
      </c>
      <c r="J3615" s="71">
        <f>IF(OR(I3615=0,I3615=""),"unrated",VLOOKUP(I3615,MappingTables!$B$19:$C$31,2,FALSE))</f>
        <v>3</v>
      </c>
      <c r="K3615" s="72">
        <v>10001.721940900594</v>
      </c>
      <c r="L3615" s="70">
        <v>5.3584280452223328</v>
      </c>
      <c r="M3615" s="71">
        <f>IF(L3615&lt;1,1,L3615)</f>
        <v>5.3584280452223328</v>
      </c>
      <c r="N3615" s="70" t="s">
        <v>141</v>
      </c>
      <c r="O3615" s="71">
        <f>INDEX(DurClassMapping,MATCH(M3615,MappingTables!$D$4:$D$8,-1),1)</f>
        <v>2</v>
      </c>
      <c r="P3615" s="73">
        <f>IF(M3615=$A$1,1,$M3615-INDEX(MappingTables!$E$4:$E$8,MATCH(O3615,MappingTables!$B$4:$B$8,0)))</f>
        <v>0.35842804522233252</v>
      </c>
      <c r="Q3615" s="71">
        <f>IF(B3615="",0,INDEX(ModelParameters!$D$6:$K$10,MATCH($O3615,ModelParameters!$B$6:$B$10,0),MATCH($J3615,ModelParameters!$D$5:$K$5,0)))</f>
        <v>0.015</v>
      </c>
      <c r="R3615" s="71">
        <f>IF(B3615="",0,INDEX(ModelParameters!$D$13:$K$17,MATCH($O3615,ModelParameters!$B$13:$B$17,0),MATCH($J3615,ModelParameters!$D$5:$K$5,0)))</f>
        <v>0.125</v>
      </c>
      <c r="S3615" s="160">
        <f>IF(B3615="",0,MIN(IF($N3615="Other Bond TM",ModelParameters!$N$21,1)*(P3615*Q3615+R3615),1))</f>
        <v>0.130376420678335</v>
      </c>
      <c r="T3615" s="85">
        <f>IF(B3615="",0,$S3615*$K3615)</f>
        <v>1303.988707274589</v>
      </c>
      <c r="U3615" s="85">
        <f>IF(B3615="",0,IF(OR(H3615=MappingTables!$C$34,H3615=MappingTables!$C$35),T3615,0))</f>
        <v>0</v>
      </c>
      <c r="V3615" s="85">
        <f>IF(ISNA(IF(AND(VLOOKUP(CONCATENATE($D3615,$G3615),CSRFinput!$B:$E,4,0)=0,OR(H3615=MappingTables!$C$34,H3615=MappingTables!$C$35)),1,VLOOKUP(CONCATENATE($D3615,$G3615),CSRFinput!$B:$E,4,0))),0,IF(AND(VLOOKUP(CONCATENATE($D3615,$G3615),CSRFinput!$B:$E,4,0)=0,OR(H3615=MappingTables!$C$34,H3615=MappingTables!$C$35)),1,VLOOKUP(CONCATENATE($D3615,$G3615),CSRFinput!$B:$E,4,0)))</f>
        <v>0.054776304963434752</v>
      </c>
      <c r="W3615" s="85">
        <f>IF(B3615="",0,+$T3615*$V3615)</f>
        <v>71.427683098547928</v>
      </c>
      <c r="X3615" s="85">
        <f>IF(B3615="",0,IF(OR(H3615=MappingTables!$C$34,H3615=MappingTables!$C$35),W3615,0))</f>
        <v>0</v>
      </c>
    </row>
    <row r="3616" spans="2:24" s="0" customFormat="0" ht="15">
      <c r="B3616" s="69">
        <v>16637778</v>
      </c>
      <c r="C3616" s="70" t="s">
        <v>189</v>
      </c>
      <c r="D3616" s="70" t="s">
        <v>1</v>
      </c>
      <c r="E3616" s="70" t="s">
        <v>1</v>
      </c>
      <c r="F3616" s="70"/>
      <c r="G3616" s="70" t="s">
        <v>61</v>
      </c>
      <c r="H3616" s="70" t="s">
        <v>178</v>
      </c>
      <c r="I3616" s="70" t="s">
        <v>181</v>
      </c>
      <c r="J3616" s="71">
        <f>IF(OR(I3616=0,I3616=""),"unrated",VLOOKUP(I3616,MappingTables!$B$19:$C$31,2,FALSE))</f>
        <v>3</v>
      </c>
      <c r="K3616" s="72">
        <v>35881.787480879952</v>
      </c>
      <c r="L3616" s="70">
        <v>2.2633534098718892</v>
      </c>
      <c r="M3616" s="71">
        <f>IF(L3616&lt;1,1,L3616)</f>
        <v>2.2633534098718892</v>
      </c>
      <c r="N3616" s="70" t="s">
        <v>141</v>
      </c>
      <c r="O3616" s="71">
        <f>INDEX(DurClassMapping,MATCH(M3616,MappingTables!$D$4:$D$8,-1),1)</f>
        <v>1</v>
      </c>
      <c r="P3616" s="73">
        <f>IF(M3616=$A$1,1,$M3616-INDEX(MappingTables!$E$4:$E$8,MATCH(O3616,MappingTables!$B$4:$B$8,0)))</f>
        <v>2.2633534098718892</v>
      </c>
      <c r="Q3616" s="71">
        <f>IF(B3616="",0,INDEX(ModelParameters!$D$6:$K$10,MATCH($O3616,ModelParameters!$B$6:$B$10,0),MATCH($J3616,ModelParameters!$D$5:$K$5,0)))</f>
        <v>0.025</v>
      </c>
      <c r="R3616" s="71">
        <f>IF(B3616="",0,INDEX(ModelParameters!$D$13:$K$17,MATCH($O3616,ModelParameters!$B$13:$B$17,0),MATCH($J3616,ModelParameters!$D$5:$K$5,0)))</f>
        <v>0</v>
      </c>
      <c r="S3616" s="160">
        <f>IF(B3616="",0,MIN(IF($N3616="Other Bond TM",ModelParameters!$N$21,1)*(P3616*Q3616+R3616),1))</f>
        <v>0.056583835246797232</v>
      </c>
      <c r="T3616" s="85">
        <f>IF(B3616="",0,$S3616*$K3616)</f>
        <v>2030.3291511787028</v>
      </c>
      <c r="U3616" s="85">
        <f>IF(B3616="",0,IF(OR(H3616=MappingTables!$C$34,H3616=MappingTables!$C$35),T3616,0))</f>
        <v>0</v>
      </c>
      <c r="V3616" s="85">
        <f>IF(ISNA(IF(AND(VLOOKUP(CONCATENATE($D3616,$G3616),CSRFinput!$B:$E,4,0)=0,OR(H3616=MappingTables!$C$34,H3616=MappingTables!$C$35)),1,VLOOKUP(CONCATENATE($D3616,$G3616),CSRFinput!$B:$E,4,0))),0,IF(AND(VLOOKUP(CONCATENATE($D3616,$G3616),CSRFinput!$B:$E,4,0)=0,OR(H3616=MappingTables!$C$34,H3616=MappingTables!$C$35)),1,VLOOKUP(CONCATENATE($D3616,$G3616),CSRFinput!$B:$E,4,0)))</f>
        <v>0.054776304963434752</v>
      </c>
      <c r="W3616" s="85">
        <f>IF(B3616="",0,+$T3616*$V3616)</f>
        <v>111.21392876111626</v>
      </c>
      <c r="X3616" s="85">
        <f>IF(B3616="",0,IF(OR(H3616=MappingTables!$C$34,H3616=MappingTables!$C$35),W3616,0))</f>
        <v>0</v>
      </c>
    </row>
    <row r="3617" spans="2:24" s="0" customFormat="0" ht="15">
      <c r="B3617" s="69">
        <v>15645431</v>
      </c>
      <c r="C3617" s="70" t="s">
        <v>2700</v>
      </c>
      <c r="D3617" s="70" t="s">
        <v>1</v>
      </c>
      <c r="E3617" s="70" t="s">
        <v>1</v>
      </c>
      <c r="F3617" s="70"/>
      <c r="G3617" s="70" t="s">
        <v>61</v>
      </c>
      <c r="H3617" s="70" t="s">
        <v>178</v>
      </c>
      <c r="I3617" s="70" t="s">
        <v>188</v>
      </c>
      <c r="J3617" s="71">
        <f>IF(OR(I3617=0,I3617=""),"unrated",VLOOKUP(I3617,MappingTables!$B$19:$C$31,2,FALSE))</f>
        <v>2</v>
      </c>
      <c r="K3617" s="72">
        <v>74.00384859041344</v>
      </c>
      <c r="L3617" s="70">
        <v>0.060270970486190704</v>
      </c>
      <c r="M3617" s="71">
        <f>IF(L3617&lt;1,1,L3617)</f>
        <v>1</v>
      </c>
      <c r="N3617" s="70" t="s">
        <v>141</v>
      </c>
      <c r="O3617" s="71">
        <f>INDEX(DurClassMapping,MATCH(M3617,MappingTables!$D$4:$D$8,-1),1)</f>
        <v>1</v>
      </c>
      <c r="P3617" s="73">
        <f>IF(M3617=$A$1,1,$M3617-INDEX(MappingTables!$E$4:$E$8,MATCH(O3617,MappingTables!$B$4:$B$8,0)))</f>
        <v>1</v>
      </c>
      <c r="Q3617" s="71">
        <f>IF(B3617="",0,INDEX(ModelParameters!$D$6:$K$10,MATCH($O3617,ModelParameters!$B$6:$B$10,0),MATCH($J3617,ModelParameters!$D$5:$K$5,0)))</f>
        <v>0.013999999999999998</v>
      </c>
      <c r="R3617" s="71">
        <f>IF(B3617="",0,INDEX(ModelParameters!$D$13:$K$17,MATCH($O3617,ModelParameters!$B$13:$B$17,0),MATCH($J3617,ModelParameters!$D$5:$K$5,0)))</f>
        <v>0</v>
      </c>
      <c r="S3617" s="160">
        <f>IF(B3617="",0,MIN(IF($N3617="Other Bond TM",ModelParameters!$N$21,1)*(P3617*Q3617+R3617),1))</f>
        <v>0.013999999999999998</v>
      </c>
      <c r="T3617" s="85">
        <f>IF(B3617="",0,$S3617*$K3617)</f>
        <v>1.0360538802657882</v>
      </c>
      <c r="U3617" s="85">
        <f>IF(B3617="",0,IF(OR(H3617=MappingTables!$C$34,H3617=MappingTables!$C$35),T3617,0))</f>
        <v>0</v>
      </c>
      <c r="V3617" s="85">
        <f>IF(ISNA(IF(AND(VLOOKUP(CONCATENATE($D3617,$G3617),CSRFinput!$B:$E,4,0)=0,OR(H3617=MappingTables!$C$34,H3617=MappingTables!$C$35)),1,VLOOKUP(CONCATENATE($D3617,$G3617),CSRFinput!$B:$E,4,0))),0,IF(AND(VLOOKUP(CONCATENATE($D3617,$G3617),CSRFinput!$B:$E,4,0)=0,OR(H3617=MappingTables!$C$34,H3617=MappingTables!$C$35)),1,VLOOKUP(CONCATENATE($D3617,$G3617),CSRFinput!$B:$E,4,0)))</f>
        <v>0.054776304963434752</v>
      </c>
      <c r="W3617" s="85">
        <f>IF(B3617="",0,+$T3617*$V3617)</f>
        <v>0.056751203303988728</v>
      </c>
      <c r="X3617" s="85">
        <f>IF(B3617="",0,IF(OR(H3617=MappingTables!$C$34,H3617=MappingTables!$C$35),W3617,0))</f>
        <v>0</v>
      </c>
    </row>
    <row r="3618" spans="2:24" s="0" customFormat="0" ht="15">
      <c r="B3618" s="69">
        <v>19806895</v>
      </c>
      <c r="C3618" s="70" t="s">
        <v>900</v>
      </c>
      <c r="D3618" s="70" t="s">
        <v>1</v>
      </c>
      <c r="E3618" s="70" t="s">
        <v>1</v>
      </c>
      <c r="F3618" s="70"/>
      <c r="G3618" s="70" t="s">
        <v>61</v>
      </c>
      <c r="H3618" s="70" t="s">
        <v>178</v>
      </c>
      <c r="I3618" s="70" t="s">
        <v>179</v>
      </c>
      <c r="J3618" s="71">
        <f>IF(OR(I3618=0,I3618=""),"unrated",VLOOKUP(I3618,MappingTables!$B$19:$C$31,2,FALSE))</f>
        <v>4</v>
      </c>
      <c r="K3618" s="72">
        <v>3014.3051384677064</v>
      </c>
      <c r="L3618" s="70">
        <v>2.751848636935216</v>
      </c>
      <c r="M3618" s="71">
        <f>IF(L3618&lt;1,1,L3618)</f>
        <v>2.751848636935216</v>
      </c>
      <c r="N3618" s="70" t="s">
        <v>141</v>
      </c>
      <c r="O3618" s="71">
        <f>INDEX(DurClassMapping,MATCH(M3618,MappingTables!$D$4:$D$8,-1),1)</f>
        <v>1</v>
      </c>
      <c r="P3618" s="73">
        <f>IF(M3618=$A$1,1,$M3618-INDEX(MappingTables!$E$4:$E$8,MATCH(O3618,MappingTables!$B$4:$B$8,0)))</f>
        <v>2.751848636935216</v>
      </c>
      <c r="Q3618" s="71">
        <f>IF(B3618="",0,INDEX(ModelParameters!$D$6:$K$10,MATCH($O3618,ModelParameters!$B$6:$B$10,0),MATCH($J3618,ModelParameters!$D$5:$K$5,0)))</f>
        <v>0.045</v>
      </c>
      <c r="R3618" s="71">
        <f>IF(B3618="",0,INDEX(ModelParameters!$D$13:$K$17,MATCH($O3618,ModelParameters!$B$13:$B$17,0),MATCH($J3618,ModelParameters!$D$5:$K$5,0)))</f>
        <v>0</v>
      </c>
      <c r="S3618" s="160">
        <f>IF(B3618="",0,MIN(IF($N3618="Other Bond TM",ModelParameters!$N$21,1)*(P3618*Q3618+R3618),1))</f>
        <v>0.12383318866208472</v>
      </c>
      <c r="T3618" s="85">
        <f>IF(B3618="",0,$S3618*$K3618)</f>
        <v>373.27101689696288</v>
      </c>
      <c r="U3618" s="85">
        <f>IF(B3618="",0,IF(OR(H3618=MappingTables!$C$34,H3618=MappingTables!$C$35),T3618,0))</f>
        <v>0</v>
      </c>
      <c r="V3618" s="85">
        <f>IF(ISNA(IF(AND(VLOOKUP(CONCATENATE($D3618,$G3618),CSRFinput!$B:$E,4,0)=0,OR(H3618=MappingTables!$C$34,H3618=MappingTables!$C$35)),1,VLOOKUP(CONCATENATE($D3618,$G3618),CSRFinput!$B:$E,4,0))),0,IF(AND(VLOOKUP(CONCATENATE($D3618,$G3618),CSRFinput!$B:$E,4,0)=0,OR(H3618=MappingTables!$C$34,H3618=MappingTables!$C$35)),1,VLOOKUP(CONCATENATE($D3618,$G3618),CSRFinput!$B:$E,4,0)))</f>
        <v>0.054776304963434752</v>
      </c>
      <c r="W3618" s="85">
        <f>IF(B3618="",0,+$T3618*$V3618)</f>
        <v>20.446407055559444</v>
      </c>
      <c r="X3618" s="85">
        <f>IF(B3618="",0,IF(OR(H3618=MappingTables!$C$34,H3618=MappingTables!$C$35),W3618,0))</f>
        <v>0</v>
      </c>
    </row>
    <row r="3619" spans="2:24" s="0" customFormat="0" ht="15">
      <c r="B3619" s="69" t="s">
        <v>2599</v>
      </c>
      <c r="C3619" s="70" t="s">
        <v>2600</v>
      </c>
      <c r="D3619" s="70" t="s">
        <v>1</v>
      </c>
      <c r="E3619" s="70" t="s">
        <v>1</v>
      </c>
      <c r="F3619" s="70"/>
      <c r="G3619" s="70" t="s">
        <v>61</v>
      </c>
      <c r="H3619" s="70" t="s">
        <v>178</v>
      </c>
      <c r="I3619" s="70" t="s">
        <v>181</v>
      </c>
      <c r="J3619" s="71">
        <f>IF(OR(I3619=0,I3619=""),"unrated",VLOOKUP(I3619,MappingTables!$B$19:$C$31,2,FALSE))</f>
        <v>3</v>
      </c>
      <c r="K3619" s="72">
        <v>60.846589628400144</v>
      </c>
      <c r="L3619" s="70">
        <v>0.28767456107922612</v>
      </c>
      <c r="M3619" s="71">
        <f>IF(L3619&lt;1,1,L3619)</f>
        <v>1</v>
      </c>
      <c r="N3619" s="70" t="s">
        <v>141</v>
      </c>
      <c r="O3619" s="71">
        <f>INDEX(DurClassMapping,MATCH(M3619,MappingTables!$D$4:$D$8,-1),1)</f>
        <v>1</v>
      </c>
      <c r="P3619" s="73">
        <f>IF(M3619=$A$1,1,$M3619-INDEX(MappingTables!$E$4:$E$8,MATCH(O3619,MappingTables!$B$4:$B$8,0)))</f>
        <v>1</v>
      </c>
      <c r="Q3619" s="71">
        <f>IF(B3619="",0,INDEX(ModelParameters!$D$6:$K$10,MATCH($O3619,ModelParameters!$B$6:$B$10,0),MATCH($J3619,ModelParameters!$D$5:$K$5,0)))</f>
        <v>0.025</v>
      </c>
      <c r="R3619" s="71">
        <f>IF(B3619="",0,INDEX(ModelParameters!$D$13:$K$17,MATCH($O3619,ModelParameters!$B$13:$B$17,0),MATCH($J3619,ModelParameters!$D$5:$K$5,0)))</f>
        <v>0</v>
      </c>
      <c r="S3619" s="160">
        <f>IF(B3619="",0,MIN(IF($N3619="Other Bond TM",ModelParameters!$N$21,1)*(P3619*Q3619+R3619),1))</f>
        <v>0.025</v>
      </c>
      <c r="T3619" s="85">
        <f>IF(B3619="",0,$S3619*$K3619)</f>
        <v>1.5211647407100038</v>
      </c>
      <c r="U3619" s="85">
        <f>IF(B3619="",0,IF(OR(H3619=MappingTables!$C$34,H3619=MappingTables!$C$35),T3619,0))</f>
        <v>0</v>
      </c>
      <c r="V3619" s="85">
        <f>IF(ISNA(IF(AND(VLOOKUP(CONCATENATE($D3619,$G3619),CSRFinput!$B:$E,4,0)=0,OR(H3619=MappingTables!$C$34,H3619=MappingTables!$C$35)),1,VLOOKUP(CONCATENATE($D3619,$G3619),CSRFinput!$B:$E,4,0))),0,IF(AND(VLOOKUP(CONCATENATE($D3619,$G3619),CSRFinput!$B:$E,4,0)=0,OR(H3619=MappingTables!$C$34,H3619=MappingTables!$C$35)),1,VLOOKUP(CONCATENATE($D3619,$G3619),CSRFinput!$B:$E,4,0)))</f>
        <v>0.054776304963434752</v>
      </c>
      <c r="W3619" s="85">
        <f>IF(B3619="",0,+$T3619*$V3619)</f>
        <v>0.083323783736755328</v>
      </c>
      <c r="X3619" s="85">
        <f>IF(B3619="",0,IF(OR(H3619=MappingTables!$C$34,H3619=MappingTables!$C$35),W3619,0))</f>
        <v>0</v>
      </c>
    </row>
    <row r="3620" spans="2:24" s="0" customFormat="0" ht="15">
      <c r="B3620" s="69" t="s">
        <v>2901</v>
      </c>
      <c r="C3620" s="70" t="s">
        <v>2902</v>
      </c>
      <c r="D3620" s="70" t="s">
        <v>1</v>
      </c>
      <c r="E3620" s="70" t="s">
        <v>1</v>
      </c>
      <c r="F3620" s="70"/>
      <c r="G3620" s="70" t="s">
        <v>61</v>
      </c>
      <c r="H3620" s="70" t="s">
        <v>178</v>
      </c>
      <c r="I3620" s="70" t="s">
        <v>204</v>
      </c>
      <c r="J3620" s="71">
        <f>IF(OR(I3620=0,I3620=""),"unrated",VLOOKUP(I3620,MappingTables!$B$19:$C$31,2,FALSE))</f>
        <v>6</v>
      </c>
      <c r="K3620" s="72">
        <v>83.736121262614016</v>
      </c>
      <c r="L3620" s="70">
        <v>3.863580105719312</v>
      </c>
      <c r="M3620" s="71">
        <f>IF(L3620&lt;1,1,L3620)</f>
        <v>3.863580105719312</v>
      </c>
      <c r="N3620" s="70" t="s">
        <v>141</v>
      </c>
      <c r="O3620" s="71">
        <f>INDEX(DurClassMapping,MATCH(M3620,MappingTables!$D$4:$D$8,-1),1)</f>
        <v>1</v>
      </c>
      <c r="P3620" s="73">
        <f>IF(M3620=$A$1,1,$M3620-INDEX(MappingTables!$E$4:$E$8,MATCH(O3620,MappingTables!$B$4:$B$8,0)))</f>
        <v>3.863580105719312</v>
      </c>
      <c r="Q3620" s="71">
        <f>IF(B3620="",0,INDEX(ModelParameters!$D$6:$K$10,MATCH($O3620,ModelParameters!$B$6:$B$10,0),MATCH($J3620,ModelParameters!$D$5:$K$5,0)))</f>
        <v>0.075</v>
      </c>
      <c r="R3620" s="71">
        <f>IF(B3620="",0,INDEX(ModelParameters!$D$13:$K$17,MATCH($O3620,ModelParameters!$B$13:$B$17,0),MATCH($J3620,ModelParameters!$D$5:$K$5,0)))</f>
        <v>0</v>
      </c>
      <c r="S3620" s="160">
        <f>IF(B3620="",0,MIN(IF($N3620="Other Bond TM",ModelParameters!$N$21,1)*(P3620*Q3620+R3620),1))</f>
        <v>0.28976850792894836</v>
      </c>
      <c r="T3620" s="85">
        <f>IF(B3620="",0,$S3620*$K3620)</f>
        <v>24.264090918025156</v>
      </c>
      <c r="U3620" s="85">
        <f>IF(B3620="",0,IF(OR(H3620=MappingTables!$C$34,H3620=MappingTables!$C$35),T3620,0))</f>
        <v>0</v>
      </c>
      <c r="V3620" s="85">
        <f>IF(ISNA(IF(AND(VLOOKUP(CONCATENATE($D3620,$G3620),CSRFinput!$B:$E,4,0)=0,OR(H3620=MappingTables!$C$34,H3620=MappingTables!$C$35)),1,VLOOKUP(CONCATENATE($D3620,$G3620),CSRFinput!$B:$E,4,0))),0,IF(AND(VLOOKUP(CONCATENATE($D3620,$G3620),CSRFinput!$B:$E,4,0)=0,OR(H3620=MappingTables!$C$34,H3620=MappingTables!$C$35)),1,VLOOKUP(CONCATENATE($D3620,$G3620),CSRFinput!$B:$E,4,0)))</f>
        <v>0.054776304963434752</v>
      </c>
      <c r="W3620" s="85">
        <f>IF(B3620="",0,+$T3620*$V3620)</f>
        <v>1.3290972437862534</v>
      </c>
      <c r="X3620" s="85">
        <f>IF(B3620="",0,IF(OR(H3620=MappingTables!$C$34,H3620=MappingTables!$C$35),W3620,0))</f>
        <v>0</v>
      </c>
    </row>
    <row r="3621" spans="2:24" s="0" customFormat="0" ht="15">
      <c r="B3621" s="69">
        <v>4151959</v>
      </c>
      <c r="C3621" s="70" t="s">
        <v>2627</v>
      </c>
      <c r="D3621" s="70" t="s">
        <v>1</v>
      </c>
      <c r="E3621" s="70" t="s">
        <v>1</v>
      </c>
      <c r="F3621" s="70"/>
      <c r="G3621" s="70" t="s">
        <v>61</v>
      </c>
      <c r="H3621" s="70" t="s">
        <v>178</v>
      </c>
      <c r="I3621" s="70" t="s">
        <v>181</v>
      </c>
      <c r="J3621" s="71">
        <f>IF(OR(I3621=0,I3621=""),"unrated",VLOOKUP(I3621,MappingTables!$B$19:$C$31,2,FALSE))</f>
        <v>3</v>
      </c>
      <c r="K3621" s="72">
        <v>10.676260836846632</v>
      </c>
      <c r="L3621" s="70">
        <v>0.9561789902781504</v>
      </c>
      <c r="M3621" s="71">
        <f>IF(L3621&lt;1,1,L3621)</f>
        <v>1</v>
      </c>
      <c r="N3621" s="70" t="s">
        <v>141</v>
      </c>
      <c r="O3621" s="71">
        <f>INDEX(DurClassMapping,MATCH(M3621,MappingTables!$D$4:$D$8,-1),1)</f>
        <v>1</v>
      </c>
      <c r="P3621" s="73">
        <f>IF(M3621=$A$1,1,$M3621-INDEX(MappingTables!$E$4:$E$8,MATCH(O3621,MappingTables!$B$4:$B$8,0)))</f>
        <v>1</v>
      </c>
      <c r="Q3621" s="71">
        <f>IF(B3621="",0,INDEX(ModelParameters!$D$6:$K$10,MATCH($O3621,ModelParameters!$B$6:$B$10,0),MATCH($J3621,ModelParameters!$D$5:$K$5,0)))</f>
        <v>0.025</v>
      </c>
      <c r="R3621" s="71">
        <f>IF(B3621="",0,INDEX(ModelParameters!$D$13:$K$17,MATCH($O3621,ModelParameters!$B$13:$B$17,0),MATCH($J3621,ModelParameters!$D$5:$K$5,0)))</f>
        <v>0</v>
      </c>
      <c r="S3621" s="160">
        <f>IF(B3621="",0,MIN(IF($N3621="Other Bond TM",ModelParameters!$N$21,1)*(P3621*Q3621+R3621),1))</f>
        <v>0.025</v>
      </c>
      <c r="T3621" s="85">
        <f>IF(B3621="",0,$S3621*$K3621)</f>
        <v>0.2669065209211658</v>
      </c>
      <c r="U3621" s="85">
        <f>IF(B3621="",0,IF(OR(H3621=MappingTables!$C$34,H3621=MappingTables!$C$35),T3621,0))</f>
        <v>0</v>
      </c>
      <c r="V3621" s="85">
        <f>IF(ISNA(IF(AND(VLOOKUP(CONCATENATE($D3621,$G3621),CSRFinput!$B:$E,4,0)=0,OR(H3621=MappingTables!$C$34,H3621=MappingTables!$C$35)),1,VLOOKUP(CONCATENATE($D3621,$G3621),CSRFinput!$B:$E,4,0))),0,IF(AND(VLOOKUP(CONCATENATE($D3621,$G3621),CSRFinput!$B:$E,4,0)=0,OR(H3621=MappingTables!$C$34,H3621=MappingTables!$C$35)),1,VLOOKUP(CONCATENATE($D3621,$G3621),CSRFinput!$B:$E,4,0)))</f>
        <v>0.054776304963434752</v>
      </c>
      <c r="W3621" s="85">
        <f>IF(B3621="",0,+$T3621*$V3621)</f>
        <v>0.014620152986707156</v>
      </c>
      <c r="X3621" s="85">
        <f>IF(B3621="",0,IF(OR(H3621=MappingTables!$C$34,H3621=MappingTables!$C$35),W3621,0))</f>
        <v>0</v>
      </c>
    </row>
    <row r="3622" spans="2:24" s="0" customFormat="0" ht="15">
      <c r="B3622" s="69">
        <v>4329873</v>
      </c>
      <c r="C3622" s="70" t="s">
        <v>1076</v>
      </c>
      <c r="D3622" s="70" t="s">
        <v>1</v>
      </c>
      <c r="E3622" s="70" t="s">
        <v>1</v>
      </c>
      <c r="F3622" s="70"/>
      <c r="G3622" s="70" t="s">
        <v>61</v>
      </c>
      <c r="H3622" s="70" t="s">
        <v>178</v>
      </c>
      <c r="I3622" s="70" t="s">
        <v>188</v>
      </c>
      <c r="J3622" s="71">
        <f>IF(OR(I3622=0,I3622=""),"unrated",VLOOKUP(I3622,MappingTables!$B$19:$C$31,2,FALSE))</f>
        <v>2</v>
      </c>
      <c r="K3622" s="72">
        <v>425.6285453242684</v>
      </c>
      <c r="L3622" s="70">
        <v>1.083398045386526</v>
      </c>
      <c r="M3622" s="71">
        <f>IF(L3622&lt;1,1,L3622)</f>
        <v>1.083398045386526</v>
      </c>
      <c r="N3622" s="70" t="s">
        <v>141</v>
      </c>
      <c r="O3622" s="71">
        <f>INDEX(DurClassMapping,MATCH(M3622,MappingTables!$D$4:$D$8,-1),1)</f>
        <v>1</v>
      </c>
      <c r="P3622" s="73">
        <f>IF(M3622=$A$1,1,$M3622-INDEX(MappingTables!$E$4:$E$8,MATCH(O3622,MappingTables!$B$4:$B$8,0)))</f>
        <v>1.083398045386526</v>
      </c>
      <c r="Q3622" s="71">
        <f>IF(B3622="",0,INDEX(ModelParameters!$D$6:$K$10,MATCH($O3622,ModelParameters!$B$6:$B$10,0),MATCH($J3622,ModelParameters!$D$5:$K$5,0)))</f>
        <v>0.013999999999999998</v>
      </c>
      <c r="R3622" s="71">
        <f>IF(B3622="",0,INDEX(ModelParameters!$D$13:$K$17,MATCH($O3622,ModelParameters!$B$13:$B$17,0),MATCH($J3622,ModelParameters!$D$5:$K$5,0)))</f>
        <v>0</v>
      </c>
      <c r="S3622" s="160">
        <f>IF(B3622="",0,MIN(IF($N3622="Other Bond TM",ModelParameters!$N$21,1)*(P3622*Q3622+R3622),1))</f>
        <v>0.015167572635411362</v>
      </c>
      <c r="T3622" s="85">
        <f>IF(B3622="",0,$S3622*$K3622)</f>
        <v>6.4557518769103168</v>
      </c>
      <c r="U3622" s="85">
        <f>IF(B3622="",0,IF(OR(H3622=MappingTables!$C$34,H3622=MappingTables!$C$35),T3622,0))</f>
        <v>0</v>
      </c>
      <c r="V3622" s="85">
        <f>IF(ISNA(IF(AND(VLOOKUP(CONCATENATE($D3622,$G3622),CSRFinput!$B:$E,4,0)=0,OR(H3622=MappingTables!$C$34,H3622=MappingTables!$C$35)),1,VLOOKUP(CONCATENATE($D3622,$G3622),CSRFinput!$B:$E,4,0))),0,IF(AND(VLOOKUP(CONCATENATE($D3622,$G3622),CSRFinput!$B:$E,4,0)=0,OR(H3622=MappingTables!$C$34,H3622=MappingTables!$C$35)),1,VLOOKUP(CONCATENATE($D3622,$G3622),CSRFinput!$B:$E,4,0)))</f>
        <v>0.054776304963434752</v>
      </c>
      <c r="W3622" s="85">
        <f>IF(B3622="",0,+$T3622*$V3622)</f>
        <v>0.35362223357790584</v>
      </c>
      <c r="X3622" s="85">
        <f>IF(B3622="",0,IF(OR(H3622=MappingTables!$C$34,H3622=MappingTables!$C$35),W3622,0))</f>
        <v>0</v>
      </c>
    </row>
    <row r="3623" spans="2:24" s="0" customFormat="0" ht="15">
      <c r="B3623" s="69">
        <v>23482886</v>
      </c>
      <c r="C3623" s="70" t="s">
        <v>2875</v>
      </c>
      <c r="D3623" s="70" t="s">
        <v>1</v>
      </c>
      <c r="E3623" s="70" t="s">
        <v>1</v>
      </c>
      <c r="F3623" s="70"/>
      <c r="G3623" s="70" t="s">
        <v>61</v>
      </c>
      <c r="H3623" s="70" t="s">
        <v>178</v>
      </c>
      <c r="I3623" s="70" t="s">
        <v>179</v>
      </c>
      <c r="J3623" s="71">
        <f>IF(OR(I3623=0,I3623=""),"unrated",VLOOKUP(I3623,MappingTables!$B$19:$C$31,2,FALSE))</f>
        <v>4</v>
      </c>
      <c r="K3623" s="72">
        <v>6897.459016726624</v>
      </c>
      <c r="L3623" s="70">
        <v>3.0409432445804476</v>
      </c>
      <c r="M3623" s="71">
        <f>IF(L3623&lt;1,1,L3623)</f>
        <v>3.0409432445804476</v>
      </c>
      <c r="N3623" s="70" t="s">
        <v>141</v>
      </c>
      <c r="O3623" s="71">
        <f>INDEX(DurClassMapping,MATCH(M3623,MappingTables!$D$4:$D$8,-1),1)</f>
        <v>1</v>
      </c>
      <c r="P3623" s="73">
        <f>IF(M3623=$A$1,1,$M3623-INDEX(MappingTables!$E$4:$E$8,MATCH(O3623,MappingTables!$B$4:$B$8,0)))</f>
        <v>3.0409432445804476</v>
      </c>
      <c r="Q3623" s="71">
        <f>IF(B3623="",0,INDEX(ModelParameters!$D$6:$K$10,MATCH($O3623,ModelParameters!$B$6:$B$10,0),MATCH($J3623,ModelParameters!$D$5:$K$5,0)))</f>
        <v>0.045</v>
      </c>
      <c r="R3623" s="71">
        <f>IF(B3623="",0,INDEX(ModelParameters!$D$13:$K$17,MATCH($O3623,ModelParameters!$B$13:$B$17,0),MATCH($J3623,ModelParameters!$D$5:$K$5,0)))</f>
        <v>0</v>
      </c>
      <c r="S3623" s="160">
        <f>IF(B3623="",0,MIN(IF($N3623="Other Bond TM",ModelParameters!$N$21,1)*(P3623*Q3623+R3623),1))</f>
        <v>0.13684244600612014</v>
      </c>
      <c r="T3623" s="85">
        <f>IF(B3623="",0,$S3623*$K3623)</f>
        <v>943.86516307583968</v>
      </c>
      <c r="U3623" s="85">
        <f>IF(B3623="",0,IF(OR(H3623=MappingTables!$C$34,H3623=MappingTables!$C$35),T3623,0))</f>
        <v>0</v>
      </c>
      <c r="V3623" s="85">
        <f>IF(ISNA(IF(AND(VLOOKUP(CONCATENATE($D3623,$G3623),CSRFinput!$B:$E,4,0)=0,OR(H3623=MappingTables!$C$34,H3623=MappingTables!$C$35)),1,VLOOKUP(CONCATENATE($D3623,$G3623),CSRFinput!$B:$E,4,0))),0,IF(AND(VLOOKUP(CONCATENATE($D3623,$G3623),CSRFinput!$B:$E,4,0)=0,OR(H3623=MappingTables!$C$34,H3623=MappingTables!$C$35)),1,VLOOKUP(CONCATENATE($D3623,$G3623),CSRFinput!$B:$E,4,0)))</f>
        <v>0.054776304963434752</v>
      </c>
      <c r="W3623" s="85">
        <f>IF(B3623="",0,+$T3623*$V3623)</f>
        <v>51.701446017004264</v>
      </c>
      <c r="X3623" s="85">
        <f>IF(B3623="",0,IF(OR(H3623=MappingTables!$C$34,H3623=MappingTables!$C$35),W3623,0))</f>
        <v>0</v>
      </c>
    </row>
    <row r="3624" spans="2:24" s="0" customFormat="0" ht="15">
      <c r="B3624" s="69">
        <v>19178554</v>
      </c>
      <c r="C3624" s="70" t="s">
        <v>2322</v>
      </c>
      <c r="D3624" s="70" t="s">
        <v>1</v>
      </c>
      <c r="E3624" s="70" t="s">
        <v>1</v>
      </c>
      <c r="F3624" s="70"/>
      <c r="G3624" s="70" t="s">
        <v>61</v>
      </c>
      <c r="H3624" s="70" t="s">
        <v>178</v>
      </c>
      <c r="I3624" s="70" t="s">
        <v>181</v>
      </c>
      <c r="J3624" s="71">
        <f>IF(OR(I3624=0,I3624=""),"unrated",VLOOKUP(I3624,MappingTables!$B$19:$C$31,2,FALSE))</f>
        <v>3</v>
      </c>
      <c r="K3624" s="72">
        <v>16231.17847837862</v>
      </c>
      <c r="L3624" s="70">
        <v>2.9702074216311504</v>
      </c>
      <c r="M3624" s="71">
        <f>IF(L3624&lt;1,1,L3624)</f>
        <v>2.9702074216311504</v>
      </c>
      <c r="N3624" s="70" t="s">
        <v>141</v>
      </c>
      <c r="O3624" s="71">
        <f>INDEX(DurClassMapping,MATCH(M3624,MappingTables!$D$4:$D$8,-1),1)</f>
        <v>1</v>
      </c>
      <c r="P3624" s="73">
        <f>IF(M3624=$A$1,1,$M3624-INDEX(MappingTables!$E$4:$E$8,MATCH(O3624,MappingTables!$B$4:$B$8,0)))</f>
        <v>2.9702074216311504</v>
      </c>
      <c r="Q3624" s="71">
        <f>IF(B3624="",0,INDEX(ModelParameters!$D$6:$K$10,MATCH($O3624,ModelParameters!$B$6:$B$10,0),MATCH($J3624,ModelParameters!$D$5:$K$5,0)))</f>
        <v>0.025</v>
      </c>
      <c r="R3624" s="71">
        <f>IF(B3624="",0,INDEX(ModelParameters!$D$13:$K$17,MATCH($O3624,ModelParameters!$B$13:$B$17,0),MATCH($J3624,ModelParameters!$D$5:$K$5,0)))</f>
        <v>0</v>
      </c>
      <c r="S3624" s="160">
        <f>IF(B3624="",0,MIN(IF($N3624="Other Bond TM",ModelParameters!$N$21,1)*(P3624*Q3624+R3624),1))</f>
        <v>0.074255185540778752</v>
      </c>
      <c r="T3624" s="85">
        <f>IF(B3624="",0,$S3624*$K3624)</f>
        <v>1205.2491694574994</v>
      </c>
      <c r="U3624" s="85">
        <f>IF(B3624="",0,IF(OR(H3624=MappingTables!$C$34,H3624=MappingTables!$C$35),T3624,0))</f>
        <v>0</v>
      </c>
      <c r="V3624" s="85">
        <f>IF(ISNA(IF(AND(VLOOKUP(CONCATENATE($D3624,$G3624),CSRFinput!$B:$E,4,0)=0,OR(H3624=MappingTables!$C$34,H3624=MappingTables!$C$35)),1,VLOOKUP(CONCATENATE($D3624,$G3624),CSRFinput!$B:$E,4,0))),0,IF(AND(VLOOKUP(CONCATENATE($D3624,$G3624),CSRFinput!$B:$E,4,0)=0,OR(H3624=MappingTables!$C$34,H3624=MappingTables!$C$35)),1,VLOOKUP(CONCATENATE($D3624,$G3624),CSRFinput!$B:$E,4,0)))</f>
        <v>0.054776304963434752</v>
      </c>
      <c r="W3624" s="85">
        <f>IF(B3624="",0,+$T3624*$V3624)</f>
        <v>66.019096063130432</v>
      </c>
      <c r="X3624" s="85">
        <f>IF(B3624="",0,IF(OR(H3624=MappingTables!$C$34,H3624=MappingTables!$C$35),W3624,0))</f>
        <v>0</v>
      </c>
    </row>
    <row r="3625" spans="2:24" s="0" customFormat="0" ht="15">
      <c r="B3625" s="69">
        <v>24178931</v>
      </c>
      <c r="C3625" s="70" t="s">
        <v>2903</v>
      </c>
      <c r="D3625" s="70" t="s">
        <v>1</v>
      </c>
      <c r="E3625" s="70" t="s">
        <v>1</v>
      </c>
      <c r="F3625" s="70"/>
      <c r="G3625" s="70" t="s">
        <v>61</v>
      </c>
      <c r="H3625" s="70" t="s">
        <v>178</v>
      </c>
      <c r="I3625" s="70" t="s">
        <v>188</v>
      </c>
      <c r="J3625" s="71">
        <f>IF(OR(I3625=0,I3625=""),"unrated",VLOOKUP(I3625,MappingTables!$B$19:$C$31,2,FALSE))</f>
        <v>2</v>
      </c>
      <c r="K3625" s="72">
        <v>1077.7663130675624</v>
      </c>
      <c r="L3625" s="70">
        <v>2.6457394322109664</v>
      </c>
      <c r="M3625" s="71">
        <f>IF(L3625&lt;1,1,L3625)</f>
        <v>2.6457394322109664</v>
      </c>
      <c r="N3625" s="70" t="s">
        <v>141</v>
      </c>
      <c r="O3625" s="71">
        <f>INDEX(DurClassMapping,MATCH(M3625,MappingTables!$D$4:$D$8,-1),1)</f>
        <v>1</v>
      </c>
      <c r="P3625" s="73">
        <f>IF(M3625=$A$1,1,$M3625-INDEX(MappingTables!$E$4:$E$8,MATCH(O3625,MappingTables!$B$4:$B$8,0)))</f>
        <v>2.6457394322109664</v>
      </c>
      <c r="Q3625" s="71">
        <f>IF(B3625="",0,INDEX(ModelParameters!$D$6:$K$10,MATCH($O3625,ModelParameters!$B$6:$B$10,0),MATCH($J3625,ModelParameters!$D$5:$K$5,0)))</f>
        <v>0.013999999999999998</v>
      </c>
      <c r="R3625" s="71">
        <f>IF(B3625="",0,INDEX(ModelParameters!$D$13:$K$17,MATCH($O3625,ModelParameters!$B$13:$B$17,0),MATCH($J3625,ModelParameters!$D$5:$K$5,0)))</f>
        <v>0</v>
      </c>
      <c r="S3625" s="160">
        <f>IF(B3625="",0,MIN(IF($N3625="Other Bond TM",ModelParameters!$N$21,1)*(P3625*Q3625+R3625),1))</f>
        <v>0.037040352050953528</v>
      </c>
      <c r="T3625" s="85">
        <f>IF(B3625="",0,$S3625*$K3625)</f>
        <v>39.920843664680704</v>
      </c>
      <c r="U3625" s="85">
        <f>IF(B3625="",0,IF(OR(H3625=MappingTables!$C$34,H3625=MappingTables!$C$35),T3625,0))</f>
        <v>0</v>
      </c>
      <c r="V3625" s="85">
        <f>IF(ISNA(IF(AND(VLOOKUP(CONCATENATE($D3625,$G3625),CSRFinput!$B:$E,4,0)=0,OR(H3625=MappingTables!$C$34,H3625=MappingTables!$C$35)),1,VLOOKUP(CONCATENATE($D3625,$G3625),CSRFinput!$B:$E,4,0))),0,IF(AND(VLOOKUP(CONCATENATE($D3625,$G3625),CSRFinput!$B:$E,4,0)=0,OR(H3625=MappingTables!$C$34,H3625=MappingTables!$C$35)),1,VLOOKUP(CONCATENATE($D3625,$G3625),CSRFinput!$B:$E,4,0)))</f>
        <v>0.054776304963434752</v>
      </c>
      <c r="W3625" s="85">
        <f>IF(B3625="",0,+$T3625*$V3625)</f>
        <v>2.1867163069741524</v>
      </c>
      <c r="X3625" s="85">
        <f>IF(B3625="",0,IF(OR(H3625=MappingTables!$C$34,H3625=MappingTables!$C$35),W3625,0))</f>
        <v>0</v>
      </c>
    </row>
    <row r="3626" spans="2:24" s="0" customFormat="0" ht="15">
      <c r="B3626" s="69">
        <v>14370170</v>
      </c>
      <c r="C3626" s="70" t="s">
        <v>2904</v>
      </c>
      <c r="D3626" s="70" t="s">
        <v>1</v>
      </c>
      <c r="E3626" s="70" t="s">
        <v>1</v>
      </c>
      <c r="F3626" s="70"/>
      <c r="G3626" s="70" t="s">
        <v>61</v>
      </c>
      <c r="H3626" s="70" t="s">
        <v>178</v>
      </c>
      <c r="I3626" s="70" t="s">
        <v>184</v>
      </c>
      <c r="J3626" s="71">
        <f>IF(OR(I3626=0,I3626=""),"unrated",VLOOKUP(I3626,MappingTables!$B$19:$C$31,2,FALSE))</f>
        <v>5</v>
      </c>
      <c r="K3626" s="72">
        <v>279.6314851043942</v>
      </c>
      <c r="L3626" s="70">
        <v>0.48064822767031608</v>
      </c>
      <c r="M3626" s="71">
        <f>IF(L3626&lt;1,1,L3626)</f>
        <v>1</v>
      </c>
      <c r="N3626" s="70" t="s">
        <v>141</v>
      </c>
      <c r="O3626" s="71">
        <f>INDEX(DurClassMapping,MATCH(M3626,MappingTables!$D$4:$D$8,-1),1)</f>
        <v>1</v>
      </c>
      <c r="P3626" s="73">
        <f>IF(M3626=$A$1,1,$M3626-INDEX(MappingTables!$E$4:$E$8,MATCH(O3626,MappingTables!$B$4:$B$8,0)))</f>
        <v>1</v>
      </c>
      <c r="Q3626" s="71">
        <f>IF(B3626="",0,INDEX(ModelParameters!$D$6:$K$10,MATCH($O3626,ModelParameters!$B$6:$B$10,0),MATCH($J3626,ModelParameters!$D$5:$K$5,0)))</f>
        <v>0.075</v>
      </c>
      <c r="R3626" s="71">
        <f>IF(B3626="",0,INDEX(ModelParameters!$D$13:$K$17,MATCH($O3626,ModelParameters!$B$13:$B$17,0),MATCH($J3626,ModelParameters!$D$5:$K$5,0)))</f>
        <v>0</v>
      </c>
      <c r="S3626" s="160">
        <f>IF(B3626="",0,MIN(IF($N3626="Other Bond TM",ModelParameters!$N$21,1)*(P3626*Q3626+R3626),1))</f>
        <v>0.075</v>
      </c>
      <c r="T3626" s="85">
        <f>IF(B3626="",0,$S3626*$K3626)</f>
        <v>20.972361382829564</v>
      </c>
      <c r="U3626" s="85">
        <f>IF(B3626="",0,IF(OR(H3626=MappingTables!$C$34,H3626=MappingTables!$C$35),T3626,0))</f>
        <v>0</v>
      </c>
      <c r="V3626" s="85">
        <f>IF(ISNA(IF(AND(VLOOKUP(CONCATENATE($D3626,$G3626),CSRFinput!$B:$E,4,0)=0,OR(H3626=MappingTables!$C$34,H3626=MappingTables!$C$35)),1,VLOOKUP(CONCATENATE($D3626,$G3626),CSRFinput!$B:$E,4,0))),0,IF(AND(VLOOKUP(CONCATENATE($D3626,$G3626),CSRFinput!$B:$E,4,0)=0,OR(H3626=MappingTables!$C$34,H3626=MappingTables!$C$35)),1,VLOOKUP(CONCATENATE($D3626,$G3626),CSRFinput!$B:$E,4,0)))</f>
        <v>0.054776304963434752</v>
      </c>
      <c r="W3626" s="85">
        <f>IF(B3626="",0,+$T3626*$V3626)</f>
        <v>1.1487884629092344</v>
      </c>
      <c r="X3626" s="85">
        <f>IF(B3626="",0,IF(OR(H3626=MappingTables!$C$34,H3626=MappingTables!$C$35),W3626,0))</f>
        <v>0</v>
      </c>
    </row>
    <row r="3627" spans="2:24" s="0" customFormat="0" ht="15">
      <c r="B3627" s="69">
        <v>16137739</v>
      </c>
      <c r="C3627" s="70" t="s">
        <v>2866</v>
      </c>
      <c r="D3627" s="70" t="s">
        <v>1</v>
      </c>
      <c r="E3627" s="70" t="s">
        <v>1</v>
      </c>
      <c r="F3627" s="70"/>
      <c r="G3627" s="70" t="s">
        <v>61</v>
      </c>
      <c r="H3627" s="70" t="s">
        <v>178</v>
      </c>
      <c r="I3627" s="70" t="s">
        <v>181</v>
      </c>
      <c r="J3627" s="71">
        <f>IF(OR(I3627=0,I3627=""),"unrated",VLOOKUP(I3627,MappingTables!$B$19:$C$31,2,FALSE))</f>
        <v>3</v>
      </c>
      <c r="K3627" s="72">
        <v>1045.5579675363386</v>
      </c>
      <c r="L3627" s="70">
        <v>2.0989204199799644</v>
      </c>
      <c r="M3627" s="71">
        <f>IF(L3627&lt;1,1,L3627)</f>
        <v>2.0989204199799644</v>
      </c>
      <c r="N3627" s="70" t="s">
        <v>141</v>
      </c>
      <c r="O3627" s="71">
        <f>INDEX(DurClassMapping,MATCH(M3627,MappingTables!$D$4:$D$8,-1),1)</f>
        <v>1</v>
      </c>
      <c r="P3627" s="73">
        <f>IF(M3627=$A$1,1,$M3627-INDEX(MappingTables!$E$4:$E$8,MATCH(O3627,MappingTables!$B$4:$B$8,0)))</f>
        <v>2.0989204199799644</v>
      </c>
      <c r="Q3627" s="71">
        <f>IF(B3627="",0,INDEX(ModelParameters!$D$6:$K$10,MATCH($O3627,ModelParameters!$B$6:$B$10,0),MATCH($J3627,ModelParameters!$D$5:$K$5,0)))</f>
        <v>0.025</v>
      </c>
      <c r="R3627" s="71">
        <f>IF(B3627="",0,INDEX(ModelParameters!$D$13:$K$17,MATCH($O3627,ModelParameters!$B$13:$B$17,0),MATCH($J3627,ModelParameters!$D$5:$K$5,0)))</f>
        <v>0</v>
      </c>
      <c r="S3627" s="160">
        <f>IF(B3627="",0,MIN(IF($N3627="Other Bond TM",ModelParameters!$N$21,1)*(P3627*Q3627+R3627),1))</f>
        <v>0.052473010499499112</v>
      </c>
      <c r="T3627" s="85">
        <f>IF(B3627="",0,$S3627*$K3627)</f>
        <v>54.86357420836924</v>
      </c>
      <c r="U3627" s="85">
        <f>IF(B3627="",0,IF(OR(H3627=MappingTables!$C$34,H3627=MappingTables!$C$35),T3627,0))</f>
        <v>0</v>
      </c>
      <c r="V3627" s="85">
        <f>IF(ISNA(IF(AND(VLOOKUP(CONCATENATE($D3627,$G3627),CSRFinput!$B:$E,4,0)=0,OR(H3627=MappingTables!$C$34,H3627=MappingTables!$C$35)),1,VLOOKUP(CONCATENATE($D3627,$G3627),CSRFinput!$B:$E,4,0))),0,IF(AND(VLOOKUP(CONCATENATE($D3627,$G3627),CSRFinput!$B:$E,4,0)=0,OR(H3627=MappingTables!$C$34,H3627=MappingTables!$C$35)),1,VLOOKUP(CONCATENATE($D3627,$G3627),CSRFinput!$B:$E,4,0)))</f>
        <v>0.054776304963434752</v>
      </c>
      <c r="W3627" s="85">
        <f>IF(B3627="",0,+$T3627*$V3627)</f>
        <v>3.0052238722216672</v>
      </c>
      <c r="X3627" s="85">
        <f>IF(B3627="",0,IF(OR(H3627=MappingTables!$C$34,H3627=MappingTables!$C$35),W3627,0))</f>
        <v>0</v>
      </c>
    </row>
    <row r="3628" spans="2:24" s="0" customFormat="0" ht="15">
      <c r="B3628" s="69" t="s">
        <v>949</v>
      </c>
      <c r="C3628" s="70" t="s">
        <v>950</v>
      </c>
      <c r="D3628" s="70" t="s">
        <v>1</v>
      </c>
      <c r="E3628" s="70" t="s">
        <v>1</v>
      </c>
      <c r="F3628" s="70"/>
      <c r="G3628" s="70" t="s">
        <v>61</v>
      </c>
      <c r="H3628" s="70" t="s">
        <v>178</v>
      </c>
      <c r="I3628" s="70" t="s">
        <v>188</v>
      </c>
      <c r="J3628" s="71">
        <f>IF(OR(I3628=0,I3628=""),"unrated",VLOOKUP(I3628,MappingTables!$B$19:$C$31,2,FALSE))</f>
        <v>2</v>
      </c>
      <c r="K3628" s="72">
        <v>155.18811292792156</v>
      </c>
      <c r="L3628" s="70">
        <v>2.5369341589740804</v>
      </c>
      <c r="M3628" s="71">
        <f>IF(L3628&lt;1,1,L3628)</f>
        <v>2.5369341589740804</v>
      </c>
      <c r="N3628" s="70" t="s">
        <v>141</v>
      </c>
      <c r="O3628" s="71">
        <f>INDEX(DurClassMapping,MATCH(M3628,MappingTables!$D$4:$D$8,-1),1)</f>
        <v>1</v>
      </c>
      <c r="P3628" s="73">
        <f>IF(M3628=$A$1,1,$M3628-INDEX(MappingTables!$E$4:$E$8,MATCH(O3628,MappingTables!$B$4:$B$8,0)))</f>
        <v>2.5369341589740804</v>
      </c>
      <c r="Q3628" s="71">
        <f>IF(B3628="",0,INDEX(ModelParameters!$D$6:$K$10,MATCH($O3628,ModelParameters!$B$6:$B$10,0),MATCH($J3628,ModelParameters!$D$5:$K$5,0)))</f>
        <v>0.013999999999999998</v>
      </c>
      <c r="R3628" s="71">
        <f>IF(B3628="",0,INDEX(ModelParameters!$D$13:$K$17,MATCH($O3628,ModelParameters!$B$13:$B$17,0),MATCH($J3628,ModelParameters!$D$5:$K$5,0)))</f>
        <v>0</v>
      </c>
      <c r="S3628" s="160">
        <f>IF(B3628="",0,MIN(IF($N3628="Other Bond TM",ModelParameters!$N$21,1)*(P3628*Q3628+R3628),1))</f>
        <v>0.035517078225637128</v>
      </c>
      <c r="T3628" s="85">
        <f>IF(B3628="",0,$S3628*$K3628)</f>
        <v>5.5118283465499992</v>
      </c>
      <c r="U3628" s="85">
        <f>IF(B3628="",0,IF(OR(H3628=MappingTables!$C$34,H3628=MappingTables!$C$35),T3628,0))</f>
        <v>0</v>
      </c>
      <c r="V3628" s="85">
        <f>IF(ISNA(IF(AND(VLOOKUP(CONCATENATE($D3628,$G3628),CSRFinput!$B:$E,4,0)=0,OR(H3628=MappingTables!$C$34,H3628=MappingTables!$C$35)),1,VLOOKUP(CONCATENATE($D3628,$G3628),CSRFinput!$B:$E,4,0))),0,IF(AND(VLOOKUP(CONCATENATE($D3628,$G3628),CSRFinput!$B:$E,4,0)=0,OR(H3628=MappingTables!$C$34,H3628=MappingTables!$C$35)),1,VLOOKUP(CONCATENATE($D3628,$G3628),CSRFinput!$B:$E,4,0)))</f>
        <v>0.054776304963434752</v>
      </c>
      <c r="W3628" s="85">
        <f>IF(B3628="",0,+$T3628*$V3628)</f>
        <v>0.30191759041672704</v>
      </c>
      <c r="X3628" s="85">
        <f>IF(B3628="",0,IF(OR(H3628=MappingTables!$C$34,H3628=MappingTables!$C$35),W3628,0))</f>
        <v>0</v>
      </c>
    </row>
    <row r="3629" spans="2:24" s="0" customFormat="0" ht="15">
      <c r="B3629" s="69">
        <v>4446147</v>
      </c>
      <c r="C3629" s="70" t="s">
        <v>1743</v>
      </c>
      <c r="D3629" s="70" t="s">
        <v>1</v>
      </c>
      <c r="E3629" s="70" t="s">
        <v>1</v>
      </c>
      <c r="F3629" s="70"/>
      <c r="G3629" s="70" t="s">
        <v>61</v>
      </c>
      <c r="H3629" s="70" t="s">
        <v>178</v>
      </c>
      <c r="I3629" s="70" t="s">
        <v>179</v>
      </c>
      <c r="J3629" s="71">
        <f>IF(OR(I3629=0,I3629=""),"unrated",VLOOKUP(I3629,MappingTables!$B$19:$C$31,2,FALSE))</f>
        <v>4</v>
      </c>
      <c r="K3629" s="72">
        <v>28475.162166347036</v>
      </c>
      <c r="L3629" s="70">
        <v>3.3795899840700336</v>
      </c>
      <c r="M3629" s="71">
        <f>IF(L3629&lt;1,1,L3629)</f>
        <v>3.3795899840700336</v>
      </c>
      <c r="N3629" s="70" t="s">
        <v>141</v>
      </c>
      <c r="O3629" s="71">
        <f>INDEX(DurClassMapping,MATCH(M3629,MappingTables!$D$4:$D$8,-1),1)</f>
        <v>1</v>
      </c>
      <c r="P3629" s="73">
        <f>IF(M3629=$A$1,1,$M3629-INDEX(MappingTables!$E$4:$E$8,MATCH(O3629,MappingTables!$B$4:$B$8,0)))</f>
        <v>3.3795899840700336</v>
      </c>
      <c r="Q3629" s="71">
        <f>IF(B3629="",0,INDEX(ModelParameters!$D$6:$K$10,MATCH($O3629,ModelParameters!$B$6:$B$10,0),MATCH($J3629,ModelParameters!$D$5:$K$5,0)))</f>
        <v>0.045</v>
      </c>
      <c r="R3629" s="71">
        <f>IF(B3629="",0,INDEX(ModelParameters!$D$13:$K$17,MATCH($O3629,ModelParameters!$B$13:$B$17,0),MATCH($J3629,ModelParameters!$D$5:$K$5,0)))</f>
        <v>0</v>
      </c>
      <c r="S3629" s="160">
        <f>IF(B3629="",0,MIN(IF($N3629="Other Bond TM",ModelParameters!$N$21,1)*(P3629*Q3629+R3629),1))</f>
        <v>0.15208154928315152</v>
      </c>
      <c r="T3629" s="85">
        <f>IF(B3629="",0,$S3629*$K3629)</f>
        <v>4330.5467783470384</v>
      </c>
      <c r="U3629" s="85">
        <f>IF(B3629="",0,IF(OR(H3629=MappingTables!$C$34,H3629=MappingTables!$C$35),T3629,0))</f>
        <v>0</v>
      </c>
      <c r="V3629" s="85">
        <f>IF(ISNA(IF(AND(VLOOKUP(CONCATENATE($D3629,$G3629),CSRFinput!$B:$E,4,0)=0,OR(H3629=MappingTables!$C$34,H3629=MappingTables!$C$35)),1,VLOOKUP(CONCATENATE($D3629,$G3629),CSRFinput!$B:$E,4,0))),0,IF(AND(VLOOKUP(CONCATENATE($D3629,$G3629),CSRFinput!$B:$E,4,0)=0,OR(H3629=MappingTables!$C$34,H3629=MappingTables!$C$35)),1,VLOOKUP(CONCATENATE($D3629,$G3629),CSRFinput!$B:$E,4,0)))</f>
        <v>0.054776304963434752</v>
      </c>
      <c r="W3629" s="85">
        <f>IF(B3629="",0,+$T3629*$V3629)</f>
        <v>237.21135098915728</v>
      </c>
      <c r="X3629" s="85">
        <f>IF(B3629="",0,IF(OR(H3629=MappingTables!$C$34,H3629=MappingTables!$C$35),W3629,0))</f>
        <v>0</v>
      </c>
    </row>
    <row r="3630" spans="2:24" s="0" customFormat="0" ht="15">
      <c r="B3630" s="69" t="s">
        <v>2232</v>
      </c>
      <c r="C3630" s="70" t="s">
        <v>2233</v>
      </c>
      <c r="D3630" s="70" t="s">
        <v>1</v>
      </c>
      <c r="E3630" s="70" t="s">
        <v>1</v>
      </c>
      <c r="F3630" s="70"/>
      <c r="G3630" s="70" t="s">
        <v>61</v>
      </c>
      <c r="H3630" s="70" t="s">
        <v>178</v>
      </c>
      <c r="I3630" s="70" t="s">
        <v>181</v>
      </c>
      <c r="J3630" s="71">
        <f>IF(OR(I3630=0,I3630=""),"unrated",VLOOKUP(I3630,MappingTables!$B$19:$C$31,2,FALSE))</f>
        <v>3</v>
      </c>
      <c r="K3630" s="72">
        <v>1031.9215309936182</v>
      </c>
      <c r="L3630" s="70">
        <v>21.607597821669952</v>
      </c>
      <c r="M3630" s="71">
        <f>IF(L3630&lt;1,1,L3630)</f>
        <v>21.607597821669952</v>
      </c>
      <c r="N3630" s="70" t="s">
        <v>141</v>
      </c>
      <c r="O3630" s="71">
        <f>INDEX(DurClassMapping,MATCH(M3630,MappingTables!$D$4:$D$8,-1),1)</f>
        <v>5</v>
      </c>
      <c r="P3630" s="73">
        <f>IF(M3630=$A$1,1,$M3630-INDEX(MappingTables!$E$4:$E$8,MATCH(O3630,MappingTables!$B$4:$B$8,0)))</f>
        <v>1.6075978216699518</v>
      </c>
      <c r="Q3630" s="71">
        <f>IF(B3630="",0,INDEX(ModelParameters!$D$6:$K$10,MATCH($O3630,ModelParameters!$B$6:$B$10,0),MATCH($J3630,ModelParameters!$D$5:$K$5,0)))</f>
        <v>0.005</v>
      </c>
      <c r="R3630" s="71">
        <f>IF(B3630="",0,INDEX(ModelParameters!$D$13:$K$17,MATCH($O3630,ModelParameters!$B$13:$B$17,0),MATCH($J3630,ModelParameters!$D$5:$K$5,0)))</f>
        <v>0.3</v>
      </c>
      <c r="S3630" s="160">
        <f>IF(B3630="",0,MIN(IF($N3630="Other Bond TM",ModelParameters!$N$21,1)*(P3630*Q3630+R3630),1))</f>
        <v>0.30803798910834972</v>
      </c>
      <c r="T3630" s="85">
        <f>IF(B3630="",0,$S3630*$K3630)</f>
        <v>317.87103332488376</v>
      </c>
      <c r="U3630" s="85">
        <f>IF(B3630="",0,IF(OR(H3630=MappingTables!$C$34,H3630=MappingTables!$C$35),T3630,0))</f>
        <v>0</v>
      </c>
      <c r="V3630" s="85">
        <f>IF(ISNA(IF(AND(VLOOKUP(CONCATENATE($D3630,$G3630),CSRFinput!$B:$E,4,0)=0,OR(H3630=MappingTables!$C$34,H3630=MappingTables!$C$35)),1,VLOOKUP(CONCATENATE($D3630,$G3630),CSRFinput!$B:$E,4,0))),0,IF(AND(VLOOKUP(CONCATENATE($D3630,$G3630),CSRFinput!$B:$E,4,0)=0,OR(H3630=MappingTables!$C$34,H3630=MappingTables!$C$35)),1,VLOOKUP(CONCATENATE($D3630,$G3630),CSRFinput!$B:$E,4,0)))</f>
        <v>0.054776304963434752</v>
      </c>
      <c r="W3630" s="85">
        <f>IF(B3630="",0,+$T3630*$V3630)</f>
        <v>17.411800660445962</v>
      </c>
      <c r="X3630" s="85">
        <f>IF(B3630="",0,IF(OR(H3630=MappingTables!$C$34,H3630=MappingTables!$C$35),W3630,0))</f>
        <v>0</v>
      </c>
    </row>
    <row r="3631" spans="2:24" s="0" customFormat="0" ht="15">
      <c r="B3631" s="69">
        <v>22081352</v>
      </c>
      <c r="C3631" s="70" t="s">
        <v>2652</v>
      </c>
      <c r="D3631" s="70" t="s">
        <v>1</v>
      </c>
      <c r="E3631" s="70" t="s">
        <v>1</v>
      </c>
      <c r="F3631" s="70"/>
      <c r="G3631" s="70" t="s">
        <v>61</v>
      </c>
      <c r="H3631" s="70" t="s">
        <v>178</v>
      </c>
      <c r="I3631" s="70" t="s">
        <v>184</v>
      </c>
      <c r="J3631" s="71">
        <f>IF(OR(I3631=0,I3631=""),"unrated",VLOOKUP(I3631,MappingTables!$B$19:$C$31,2,FALSE))</f>
        <v>5</v>
      </c>
      <c r="K3631" s="72">
        <v>94.72172706096496</v>
      </c>
      <c r="L3631" s="70">
        <v>1.4828801682315632</v>
      </c>
      <c r="M3631" s="71">
        <f>IF(L3631&lt;1,1,L3631)</f>
        <v>1.4828801682315632</v>
      </c>
      <c r="N3631" s="70" t="s">
        <v>141</v>
      </c>
      <c r="O3631" s="71">
        <f>INDEX(DurClassMapping,MATCH(M3631,MappingTables!$D$4:$D$8,-1),1)</f>
        <v>1</v>
      </c>
      <c r="P3631" s="73">
        <f>IF(M3631=$A$1,1,$M3631-INDEX(MappingTables!$E$4:$E$8,MATCH(O3631,MappingTables!$B$4:$B$8,0)))</f>
        <v>1.4828801682315632</v>
      </c>
      <c r="Q3631" s="71">
        <f>IF(B3631="",0,INDEX(ModelParameters!$D$6:$K$10,MATCH($O3631,ModelParameters!$B$6:$B$10,0),MATCH($J3631,ModelParameters!$D$5:$K$5,0)))</f>
        <v>0.075</v>
      </c>
      <c r="R3631" s="71">
        <f>IF(B3631="",0,INDEX(ModelParameters!$D$13:$K$17,MATCH($O3631,ModelParameters!$B$13:$B$17,0),MATCH($J3631,ModelParameters!$D$5:$K$5,0)))</f>
        <v>0</v>
      </c>
      <c r="S3631" s="160">
        <f>IF(B3631="",0,MIN(IF($N3631="Other Bond TM",ModelParameters!$N$21,1)*(P3631*Q3631+R3631),1))</f>
        <v>0.11121601261736722</v>
      </c>
      <c r="T3631" s="85">
        <f>IF(B3631="",0,$S3631*$K3631)</f>
        <v>10.534572791951094</v>
      </c>
      <c r="U3631" s="85">
        <f>IF(B3631="",0,IF(OR(H3631=MappingTables!$C$34,H3631=MappingTables!$C$35),T3631,0))</f>
        <v>0</v>
      </c>
      <c r="V3631" s="85">
        <f>IF(ISNA(IF(AND(VLOOKUP(CONCATENATE($D3631,$G3631),CSRFinput!$B:$E,4,0)=0,OR(H3631=MappingTables!$C$34,H3631=MappingTables!$C$35)),1,VLOOKUP(CONCATENATE($D3631,$G3631),CSRFinput!$B:$E,4,0))),0,IF(AND(VLOOKUP(CONCATENATE($D3631,$G3631),CSRFinput!$B:$E,4,0)=0,OR(H3631=MappingTables!$C$34,H3631=MappingTables!$C$35)),1,VLOOKUP(CONCATENATE($D3631,$G3631),CSRFinput!$B:$E,4,0)))</f>
        <v>0.054776304963434752</v>
      </c>
      <c r="W3631" s="85">
        <f>IF(B3631="",0,+$T3631*$V3631)</f>
        <v>0.57704497191141544</v>
      </c>
      <c r="X3631" s="85">
        <f>IF(B3631="",0,IF(OR(H3631=MappingTables!$C$34,H3631=MappingTables!$C$35),W3631,0))</f>
        <v>0</v>
      </c>
    </row>
    <row r="3632" spans="2:24" s="0" customFormat="0" ht="15">
      <c r="B3632" s="69">
        <v>15839016</v>
      </c>
      <c r="C3632" s="70" t="s">
        <v>2905</v>
      </c>
      <c r="D3632" s="70" t="s">
        <v>1</v>
      </c>
      <c r="E3632" s="70" t="s">
        <v>1</v>
      </c>
      <c r="F3632" s="70"/>
      <c r="G3632" s="70" t="s">
        <v>61</v>
      </c>
      <c r="H3632" s="70" t="s">
        <v>178</v>
      </c>
      <c r="I3632" s="70" t="s">
        <v>181</v>
      </c>
      <c r="J3632" s="71">
        <f>IF(OR(I3632=0,I3632=""),"unrated",VLOOKUP(I3632,MappingTables!$B$19:$C$31,2,FALSE))</f>
        <v>3</v>
      </c>
      <c r="K3632" s="72">
        <v>1024.5084874386944</v>
      </c>
      <c r="L3632" s="70">
        <v>2.5970473246050452</v>
      </c>
      <c r="M3632" s="71">
        <f>IF(L3632&lt;1,1,L3632)</f>
        <v>2.5970473246050452</v>
      </c>
      <c r="N3632" s="70" t="s">
        <v>141</v>
      </c>
      <c r="O3632" s="71">
        <f>INDEX(DurClassMapping,MATCH(M3632,MappingTables!$D$4:$D$8,-1),1)</f>
        <v>1</v>
      </c>
      <c r="P3632" s="73">
        <f>IF(M3632=$A$1,1,$M3632-INDEX(MappingTables!$E$4:$E$8,MATCH(O3632,MappingTables!$B$4:$B$8,0)))</f>
        <v>2.5970473246050452</v>
      </c>
      <c r="Q3632" s="71">
        <f>IF(B3632="",0,INDEX(ModelParameters!$D$6:$K$10,MATCH($O3632,ModelParameters!$B$6:$B$10,0),MATCH($J3632,ModelParameters!$D$5:$K$5,0)))</f>
        <v>0.025</v>
      </c>
      <c r="R3632" s="71">
        <f>IF(B3632="",0,INDEX(ModelParameters!$D$13:$K$17,MATCH($O3632,ModelParameters!$B$13:$B$17,0),MATCH($J3632,ModelParameters!$D$5:$K$5,0)))</f>
        <v>0</v>
      </c>
      <c r="S3632" s="160">
        <f>IF(B3632="",0,MIN(IF($N3632="Other Bond TM",ModelParameters!$N$21,1)*(P3632*Q3632+R3632),1))</f>
        <v>0.064926183115126144</v>
      </c>
      <c r="T3632" s="85">
        <f>IF(B3632="",0,$S3632*$K3632)</f>
        <v>66.517425658445592</v>
      </c>
      <c r="U3632" s="85">
        <f>IF(B3632="",0,IF(OR(H3632=MappingTables!$C$34,H3632=MappingTables!$C$35),T3632,0))</f>
        <v>0</v>
      </c>
      <c r="V3632" s="85">
        <f>IF(ISNA(IF(AND(VLOOKUP(CONCATENATE($D3632,$G3632),CSRFinput!$B:$E,4,0)=0,OR(H3632=MappingTables!$C$34,H3632=MappingTables!$C$35)),1,VLOOKUP(CONCATENATE($D3632,$G3632),CSRFinput!$B:$E,4,0))),0,IF(AND(VLOOKUP(CONCATENATE($D3632,$G3632),CSRFinput!$B:$E,4,0)=0,OR(H3632=MappingTables!$C$34,H3632=MappingTables!$C$35)),1,VLOOKUP(CONCATENATE($D3632,$G3632),CSRFinput!$B:$E,4,0)))</f>
        <v>0.054776304963434752</v>
      </c>
      <c r="W3632" s="85">
        <f>IF(B3632="",0,+$T3632*$V3632)</f>
        <v>3.6435787932496152</v>
      </c>
      <c r="X3632" s="85">
        <f>IF(B3632="",0,IF(OR(H3632=MappingTables!$C$34,H3632=MappingTables!$C$35),W3632,0))</f>
        <v>0</v>
      </c>
    </row>
    <row r="3633" spans="2:24" s="0" customFormat="0" ht="15">
      <c r="B3633" s="69">
        <v>19118061</v>
      </c>
      <c r="C3633" s="70" t="s">
        <v>2873</v>
      </c>
      <c r="D3633" s="70" t="s">
        <v>1</v>
      </c>
      <c r="E3633" s="70" t="s">
        <v>1</v>
      </c>
      <c r="F3633" s="70"/>
      <c r="G3633" s="70" t="s">
        <v>61</v>
      </c>
      <c r="H3633" s="70" t="s">
        <v>178</v>
      </c>
      <c r="I3633" s="70" t="s">
        <v>188</v>
      </c>
      <c r="J3633" s="71">
        <f>IF(OR(I3633=0,I3633=""),"unrated",VLOOKUP(I3633,MappingTables!$B$19:$C$31,2,FALSE))</f>
        <v>2</v>
      </c>
      <c r="K3633" s="72">
        <v>1250.8997741161486</v>
      </c>
      <c r="L3633" s="70">
        <v>3.000771854380146</v>
      </c>
      <c r="M3633" s="71">
        <f>IF(L3633&lt;1,1,L3633)</f>
        <v>3.000771854380146</v>
      </c>
      <c r="N3633" s="70" t="s">
        <v>141</v>
      </c>
      <c r="O3633" s="71">
        <f>INDEX(DurClassMapping,MATCH(M3633,MappingTables!$D$4:$D$8,-1),1)</f>
        <v>1</v>
      </c>
      <c r="P3633" s="73">
        <f>IF(M3633=$A$1,1,$M3633-INDEX(MappingTables!$E$4:$E$8,MATCH(O3633,MappingTables!$B$4:$B$8,0)))</f>
        <v>3.000771854380146</v>
      </c>
      <c r="Q3633" s="71">
        <f>IF(B3633="",0,INDEX(ModelParameters!$D$6:$K$10,MATCH($O3633,ModelParameters!$B$6:$B$10,0),MATCH($J3633,ModelParameters!$D$5:$K$5,0)))</f>
        <v>0.013999999999999998</v>
      </c>
      <c r="R3633" s="71">
        <f>IF(B3633="",0,INDEX(ModelParameters!$D$13:$K$17,MATCH($O3633,ModelParameters!$B$13:$B$17,0),MATCH($J3633,ModelParameters!$D$5:$K$5,0)))</f>
        <v>0</v>
      </c>
      <c r="S3633" s="160">
        <f>IF(B3633="",0,MIN(IF($N3633="Other Bond TM",ModelParameters!$N$21,1)*(P3633*Q3633+R3633),1))</f>
        <v>0.04201080596132204</v>
      </c>
      <c r="T3633" s="85">
        <f>IF(B3633="",0,$S3633*$K3633)</f>
        <v>52.551307687455096</v>
      </c>
      <c r="U3633" s="85">
        <f>IF(B3633="",0,IF(OR(H3633=MappingTables!$C$34,H3633=MappingTables!$C$35),T3633,0))</f>
        <v>0</v>
      </c>
      <c r="V3633" s="85">
        <f>IF(ISNA(IF(AND(VLOOKUP(CONCATENATE($D3633,$G3633),CSRFinput!$B:$E,4,0)=0,OR(H3633=MappingTables!$C$34,H3633=MappingTables!$C$35)),1,VLOOKUP(CONCATENATE($D3633,$G3633),CSRFinput!$B:$E,4,0))),0,IF(AND(VLOOKUP(CONCATENATE($D3633,$G3633),CSRFinput!$B:$E,4,0)=0,OR(H3633=MappingTables!$C$34,H3633=MappingTables!$C$35)),1,VLOOKUP(CONCATENATE($D3633,$G3633),CSRFinput!$B:$E,4,0)))</f>
        <v>0.054776304963434752</v>
      </c>
      <c r="W3633" s="85">
        <f>IF(B3633="",0,+$T3633*$V3633)</f>
        <v>2.8785664561153332</v>
      </c>
      <c r="X3633" s="85">
        <f>IF(B3633="",0,IF(OR(H3633=MappingTables!$C$34,H3633=MappingTables!$C$35),W3633,0))</f>
        <v>0</v>
      </c>
    </row>
    <row r="3634" spans="2:24" s="0" customFormat="0" ht="15">
      <c r="B3634" s="69">
        <v>12295257</v>
      </c>
      <c r="C3634" s="70" t="s">
        <v>962</v>
      </c>
      <c r="D3634" s="70" t="s">
        <v>1</v>
      </c>
      <c r="E3634" s="70" t="s">
        <v>1</v>
      </c>
      <c r="F3634" s="70"/>
      <c r="G3634" s="70" t="s">
        <v>61</v>
      </c>
      <c r="H3634" s="70" t="s">
        <v>178</v>
      </c>
      <c r="I3634" s="70" t="s">
        <v>188</v>
      </c>
      <c r="J3634" s="71">
        <f>IF(OR(I3634=0,I3634=""),"unrated",VLOOKUP(I3634,MappingTables!$B$19:$C$31,2,FALSE))</f>
        <v>2</v>
      </c>
      <c r="K3634" s="72">
        <v>32.971676897120836</v>
      </c>
      <c r="L3634" s="70">
        <v>0.59137467736655168</v>
      </c>
      <c r="M3634" s="71">
        <f>IF(L3634&lt;1,1,L3634)</f>
        <v>1</v>
      </c>
      <c r="N3634" s="70" t="s">
        <v>141</v>
      </c>
      <c r="O3634" s="71">
        <f>INDEX(DurClassMapping,MATCH(M3634,MappingTables!$D$4:$D$8,-1),1)</f>
        <v>1</v>
      </c>
      <c r="P3634" s="73">
        <f>IF(M3634=$A$1,1,$M3634-INDEX(MappingTables!$E$4:$E$8,MATCH(O3634,MappingTables!$B$4:$B$8,0)))</f>
        <v>1</v>
      </c>
      <c r="Q3634" s="71">
        <f>IF(B3634="",0,INDEX(ModelParameters!$D$6:$K$10,MATCH($O3634,ModelParameters!$B$6:$B$10,0),MATCH($J3634,ModelParameters!$D$5:$K$5,0)))</f>
        <v>0.013999999999999998</v>
      </c>
      <c r="R3634" s="71">
        <f>IF(B3634="",0,INDEX(ModelParameters!$D$13:$K$17,MATCH($O3634,ModelParameters!$B$13:$B$17,0),MATCH($J3634,ModelParameters!$D$5:$K$5,0)))</f>
        <v>0</v>
      </c>
      <c r="S3634" s="160">
        <f>IF(B3634="",0,MIN(IF($N3634="Other Bond TM",ModelParameters!$N$21,1)*(P3634*Q3634+R3634),1))</f>
        <v>0.013999999999999998</v>
      </c>
      <c r="T3634" s="85">
        <f>IF(B3634="",0,$S3634*$K3634)</f>
        <v>0.4616034765596916</v>
      </c>
      <c r="U3634" s="85">
        <f>IF(B3634="",0,IF(OR(H3634=MappingTables!$C$34,H3634=MappingTables!$C$35),T3634,0))</f>
        <v>0</v>
      </c>
      <c r="V3634" s="85">
        <f>IF(ISNA(IF(AND(VLOOKUP(CONCATENATE($D3634,$G3634),CSRFinput!$B:$E,4,0)=0,OR(H3634=MappingTables!$C$34,H3634=MappingTables!$C$35)),1,VLOOKUP(CONCATENATE($D3634,$G3634),CSRFinput!$B:$E,4,0))),0,IF(AND(VLOOKUP(CONCATENATE($D3634,$G3634),CSRFinput!$B:$E,4,0)=0,OR(H3634=MappingTables!$C$34,H3634=MappingTables!$C$35)),1,VLOOKUP(CONCATENATE($D3634,$G3634),CSRFinput!$B:$E,4,0)))</f>
        <v>0.054776304963434752</v>
      </c>
      <c r="W3634" s="85">
        <f>IF(B3634="",0,+$T3634*$V3634)</f>
        <v>0.025284932804215376</v>
      </c>
      <c r="X3634" s="85">
        <f>IF(B3634="",0,IF(OR(H3634=MappingTables!$C$34,H3634=MappingTables!$C$35),W3634,0))</f>
        <v>0</v>
      </c>
    </row>
    <row r="3635" spans="2:24" s="0" customFormat="0" ht="15">
      <c r="B3635" s="69">
        <v>13718524</v>
      </c>
      <c r="C3635" s="70" t="s">
        <v>906</v>
      </c>
      <c r="D3635" s="70" t="s">
        <v>1</v>
      </c>
      <c r="E3635" s="70" t="s">
        <v>1</v>
      </c>
      <c r="F3635" s="70"/>
      <c r="G3635" s="70" t="s">
        <v>61</v>
      </c>
      <c r="H3635" s="70" t="s">
        <v>178</v>
      </c>
      <c r="I3635" s="70" t="s">
        <v>179</v>
      </c>
      <c r="J3635" s="71">
        <f>IF(OR(I3635=0,I3635=""),"unrated",VLOOKUP(I3635,MappingTables!$B$19:$C$31,2,FALSE))</f>
        <v>4</v>
      </c>
      <c r="K3635" s="72">
        <v>115.6870782532438</v>
      </c>
      <c r="L3635" s="70">
        <v>0.041092594505658952</v>
      </c>
      <c r="M3635" s="71">
        <f>IF(L3635&lt;1,1,L3635)</f>
        <v>1</v>
      </c>
      <c r="N3635" s="70" t="s">
        <v>141</v>
      </c>
      <c r="O3635" s="71">
        <f>INDEX(DurClassMapping,MATCH(M3635,MappingTables!$D$4:$D$8,-1),1)</f>
        <v>1</v>
      </c>
      <c r="P3635" s="73">
        <f>IF(M3635=$A$1,1,$M3635-INDEX(MappingTables!$E$4:$E$8,MATCH(O3635,MappingTables!$B$4:$B$8,0)))</f>
        <v>1</v>
      </c>
      <c r="Q3635" s="71">
        <f>IF(B3635="",0,INDEX(ModelParameters!$D$6:$K$10,MATCH($O3635,ModelParameters!$B$6:$B$10,0),MATCH($J3635,ModelParameters!$D$5:$K$5,0)))</f>
        <v>0.045</v>
      </c>
      <c r="R3635" s="71">
        <f>IF(B3635="",0,INDEX(ModelParameters!$D$13:$K$17,MATCH($O3635,ModelParameters!$B$13:$B$17,0),MATCH($J3635,ModelParameters!$D$5:$K$5,0)))</f>
        <v>0</v>
      </c>
      <c r="S3635" s="160">
        <f>IF(B3635="",0,MIN(IF($N3635="Other Bond TM",ModelParameters!$N$21,1)*(P3635*Q3635+R3635),1))</f>
        <v>0.045</v>
      </c>
      <c r="T3635" s="85">
        <f>IF(B3635="",0,$S3635*$K3635)</f>
        <v>5.2059185213959704</v>
      </c>
      <c r="U3635" s="85">
        <f>IF(B3635="",0,IF(OR(H3635=MappingTables!$C$34,H3635=MappingTables!$C$35),T3635,0))</f>
        <v>0</v>
      </c>
      <c r="V3635" s="85">
        <f>IF(ISNA(IF(AND(VLOOKUP(CONCATENATE($D3635,$G3635),CSRFinput!$B:$E,4,0)=0,OR(H3635=MappingTables!$C$34,H3635=MappingTables!$C$35)),1,VLOOKUP(CONCATENATE($D3635,$G3635),CSRFinput!$B:$E,4,0))),0,IF(AND(VLOOKUP(CONCATENATE($D3635,$G3635),CSRFinput!$B:$E,4,0)=0,OR(H3635=MappingTables!$C$34,H3635=MappingTables!$C$35)),1,VLOOKUP(CONCATENATE($D3635,$G3635),CSRFinput!$B:$E,4,0)))</f>
        <v>0.054776304963434752</v>
      </c>
      <c r="W3635" s="85">
        <f>IF(B3635="",0,+$T3635*$V3635)</f>
        <v>0.285160980542779</v>
      </c>
      <c r="X3635" s="85">
        <f>IF(B3635="",0,IF(OR(H3635=MappingTables!$C$34,H3635=MappingTables!$C$35),W3635,0))</f>
        <v>0</v>
      </c>
    </row>
    <row r="3636" spans="2:24" s="0" customFormat="0" ht="15">
      <c r="B3636" s="69">
        <v>13272904</v>
      </c>
      <c r="C3636" s="70" t="s">
        <v>2819</v>
      </c>
      <c r="D3636" s="70" t="s">
        <v>1</v>
      </c>
      <c r="E3636" s="70" t="s">
        <v>1</v>
      </c>
      <c r="F3636" s="70"/>
      <c r="G3636" s="70" t="s">
        <v>61</v>
      </c>
      <c r="H3636" s="70" t="s">
        <v>178</v>
      </c>
      <c r="I3636" s="70" t="s">
        <v>184</v>
      </c>
      <c r="J3636" s="71">
        <f>IF(OR(I3636=0,I3636=""),"unrated",VLOOKUP(I3636,MappingTables!$B$19:$C$31,2,FALSE))</f>
        <v>5</v>
      </c>
      <c r="K3636" s="72">
        <v>252.44309967595372</v>
      </c>
      <c r="L3636" s="70">
        <v>0.04109289295951988</v>
      </c>
      <c r="M3636" s="71">
        <f>IF(L3636&lt;1,1,L3636)</f>
        <v>1</v>
      </c>
      <c r="N3636" s="70" t="s">
        <v>141</v>
      </c>
      <c r="O3636" s="71">
        <f>INDEX(DurClassMapping,MATCH(M3636,MappingTables!$D$4:$D$8,-1),1)</f>
        <v>1</v>
      </c>
      <c r="P3636" s="73">
        <f>IF(M3636=$A$1,1,$M3636-INDEX(MappingTables!$E$4:$E$8,MATCH(O3636,MappingTables!$B$4:$B$8,0)))</f>
        <v>1</v>
      </c>
      <c r="Q3636" s="71">
        <f>IF(B3636="",0,INDEX(ModelParameters!$D$6:$K$10,MATCH($O3636,ModelParameters!$B$6:$B$10,0),MATCH($J3636,ModelParameters!$D$5:$K$5,0)))</f>
        <v>0.075</v>
      </c>
      <c r="R3636" s="71">
        <f>IF(B3636="",0,INDEX(ModelParameters!$D$13:$K$17,MATCH($O3636,ModelParameters!$B$13:$B$17,0),MATCH($J3636,ModelParameters!$D$5:$K$5,0)))</f>
        <v>0</v>
      </c>
      <c r="S3636" s="160">
        <f>IF(B3636="",0,MIN(IF($N3636="Other Bond TM",ModelParameters!$N$21,1)*(P3636*Q3636+R3636),1))</f>
        <v>0.075</v>
      </c>
      <c r="T3636" s="85">
        <f>IF(B3636="",0,$S3636*$K3636)</f>
        <v>18.933232475696528</v>
      </c>
      <c r="U3636" s="85">
        <f>IF(B3636="",0,IF(OR(H3636=MappingTables!$C$34,H3636=MappingTables!$C$35),T3636,0))</f>
        <v>0</v>
      </c>
      <c r="V3636" s="85">
        <f>IF(ISNA(IF(AND(VLOOKUP(CONCATENATE($D3636,$G3636),CSRFinput!$B:$E,4,0)=0,OR(H3636=MappingTables!$C$34,H3636=MappingTables!$C$35)),1,VLOOKUP(CONCATENATE($D3636,$G3636),CSRFinput!$B:$E,4,0))),0,IF(AND(VLOOKUP(CONCATENATE($D3636,$G3636),CSRFinput!$B:$E,4,0)=0,OR(H3636=MappingTables!$C$34,H3636=MappingTables!$C$35)),1,VLOOKUP(CONCATENATE($D3636,$G3636),CSRFinput!$B:$E,4,0)))</f>
        <v>0.054776304963434752</v>
      </c>
      <c r="W3636" s="85">
        <f>IF(B3636="",0,+$T3636*$V3636)</f>
        <v>1.0370925160323598</v>
      </c>
      <c r="X3636" s="85">
        <f>IF(B3636="",0,IF(OR(H3636=MappingTables!$C$34,H3636=MappingTables!$C$35),W3636,0))</f>
        <v>0</v>
      </c>
    </row>
    <row r="3637" spans="2:24" s="0" customFormat="0" ht="15">
      <c r="B3637" s="69">
        <v>19132588</v>
      </c>
      <c r="C3637" s="70" t="s">
        <v>334</v>
      </c>
      <c r="D3637" s="70" t="s">
        <v>1</v>
      </c>
      <c r="E3637" s="70" t="s">
        <v>1</v>
      </c>
      <c r="F3637" s="70"/>
      <c r="G3637" s="70" t="s">
        <v>61</v>
      </c>
      <c r="H3637" s="70" t="s">
        <v>178</v>
      </c>
      <c r="I3637" s="70" t="s">
        <v>184</v>
      </c>
      <c r="J3637" s="71">
        <f>IF(OR(I3637=0,I3637=""),"unrated",VLOOKUP(I3637,MappingTables!$B$19:$C$31,2,FALSE))</f>
        <v>5</v>
      </c>
      <c r="K3637" s="72">
        <v>58.000802651003408</v>
      </c>
      <c r="L3637" s="70">
        <v>0.57484514268977648</v>
      </c>
      <c r="M3637" s="71">
        <f>IF(L3637&lt;1,1,L3637)</f>
        <v>1</v>
      </c>
      <c r="N3637" s="70" t="s">
        <v>141</v>
      </c>
      <c r="O3637" s="71">
        <f>INDEX(DurClassMapping,MATCH(M3637,MappingTables!$D$4:$D$8,-1),1)</f>
        <v>1</v>
      </c>
      <c r="P3637" s="73">
        <f>IF(M3637=$A$1,1,$M3637-INDEX(MappingTables!$E$4:$E$8,MATCH(O3637,MappingTables!$B$4:$B$8,0)))</f>
        <v>1</v>
      </c>
      <c r="Q3637" s="71">
        <f>IF(B3637="",0,INDEX(ModelParameters!$D$6:$K$10,MATCH($O3637,ModelParameters!$B$6:$B$10,0),MATCH($J3637,ModelParameters!$D$5:$K$5,0)))</f>
        <v>0.075</v>
      </c>
      <c r="R3637" s="71">
        <f>IF(B3637="",0,INDEX(ModelParameters!$D$13:$K$17,MATCH($O3637,ModelParameters!$B$13:$B$17,0),MATCH($J3637,ModelParameters!$D$5:$K$5,0)))</f>
        <v>0</v>
      </c>
      <c r="S3637" s="160">
        <f>IF(B3637="",0,MIN(IF($N3637="Other Bond TM",ModelParameters!$N$21,1)*(P3637*Q3637+R3637),1))</f>
        <v>0.075</v>
      </c>
      <c r="T3637" s="85">
        <f>IF(B3637="",0,$S3637*$K3637)</f>
        <v>4.350060198825256</v>
      </c>
      <c r="U3637" s="85">
        <f>IF(B3637="",0,IF(OR(H3637=MappingTables!$C$34,H3637=MappingTables!$C$35),T3637,0))</f>
        <v>0</v>
      </c>
      <c r="V3637" s="85">
        <f>IF(ISNA(IF(AND(VLOOKUP(CONCATENATE($D3637,$G3637),CSRFinput!$B:$E,4,0)=0,OR(H3637=MappingTables!$C$34,H3637=MappingTables!$C$35)),1,VLOOKUP(CONCATENATE($D3637,$G3637),CSRFinput!$B:$E,4,0))),0,IF(AND(VLOOKUP(CONCATENATE($D3637,$G3637),CSRFinput!$B:$E,4,0)=0,OR(H3637=MappingTables!$C$34,H3637=MappingTables!$C$35)),1,VLOOKUP(CONCATENATE($D3637,$G3637),CSRFinput!$B:$E,4,0)))</f>
        <v>0.054776304963434752</v>
      </c>
      <c r="W3637" s="85">
        <f>IF(B3637="",0,+$T3637*$V3637)</f>
        <v>0.23828022406015184</v>
      </c>
      <c r="X3637" s="85">
        <f>IF(B3637="",0,IF(OR(H3637=MappingTables!$C$34,H3637=MappingTables!$C$35),W3637,0))</f>
        <v>0</v>
      </c>
    </row>
    <row r="3638" spans="2:24" s="0" customFormat="0" ht="15">
      <c r="B3638" s="69" t="s">
        <v>2906</v>
      </c>
      <c r="C3638" s="70" t="s">
        <v>2907</v>
      </c>
      <c r="D3638" s="70" t="s">
        <v>1</v>
      </c>
      <c r="E3638" s="70" t="s">
        <v>1</v>
      </c>
      <c r="F3638" s="70"/>
      <c r="G3638" s="70" t="s">
        <v>61</v>
      </c>
      <c r="H3638" s="70" t="s">
        <v>178</v>
      </c>
      <c r="I3638" s="70" t="s">
        <v>179</v>
      </c>
      <c r="J3638" s="71">
        <f>IF(OR(I3638=0,I3638=""),"unrated",VLOOKUP(I3638,MappingTables!$B$19:$C$31,2,FALSE))</f>
        <v>4</v>
      </c>
      <c r="K3638" s="72">
        <v>2855.3138358096032</v>
      </c>
      <c r="L3638" s="70">
        <v>5.9312852591533752</v>
      </c>
      <c r="M3638" s="71">
        <f>IF(L3638&lt;1,1,L3638)</f>
        <v>5.9312852591533752</v>
      </c>
      <c r="N3638" s="70" t="s">
        <v>141</v>
      </c>
      <c r="O3638" s="71">
        <f>INDEX(DurClassMapping,MATCH(M3638,MappingTables!$D$4:$D$8,-1),1)</f>
        <v>2</v>
      </c>
      <c r="P3638" s="73">
        <f>IF(M3638=$A$1,1,$M3638-INDEX(MappingTables!$E$4:$E$8,MATCH(O3638,MappingTables!$B$4:$B$8,0)))</f>
        <v>0.9312852591533752</v>
      </c>
      <c r="Q3638" s="71">
        <f>IF(B3638="",0,INDEX(ModelParameters!$D$6:$K$10,MATCH($O3638,ModelParameters!$B$6:$B$10,0),MATCH($J3638,ModelParameters!$D$5:$K$5,0)))</f>
        <v>0.025</v>
      </c>
      <c r="R3638" s="71">
        <f>IF(B3638="",0,INDEX(ModelParameters!$D$13:$K$17,MATCH($O3638,ModelParameters!$B$13:$B$17,0),MATCH($J3638,ModelParameters!$D$5:$K$5,0)))</f>
        <v>0.225</v>
      </c>
      <c r="S3638" s="160">
        <f>IF(B3638="",0,MIN(IF($N3638="Other Bond TM",ModelParameters!$N$21,1)*(P3638*Q3638+R3638),1))</f>
        <v>0.24828213147883436</v>
      </c>
      <c r="T3638" s="85">
        <f>IF(B3638="",0,$S3638*$K3638)</f>
        <v>708.9234051958148</v>
      </c>
      <c r="U3638" s="85">
        <f>IF(B3638="",0,IF(OR(H3638=MappingTables!$C$34,H3638=MappingTables!$C$35),T3638,0))</f>
        <v>0</v>
      </c>
      <c r="V3638" s="85">
        <f>IF(ISNA(IF(AND(VLOOKUP(CONCATENATE($D3638,$G3638),CSRFinput!$B:$E,4,0)=0,OR(H3638=MappingTables!$C$34,H3638=MappingTables!$C$35)),1,VLOOKUP(CONCATENATE($D3638,$G3638),CSRFinput!$B:$E,4,0))),0,IF(AND(VLOOKUP(CONCATENATE($D3638,$G3638),CSRFinput!$B:$E,4,0)=0,OR(H3638=MappingTables!$C$34,H3638=MappingTables!$C$35)),1,VLOOKUP(CONCATENATE($D3638,$G3638),CSRFinput!$B:$E,4,0)))</f>
        <v>0.054776304963434752</v>
      </c>
      <c r="W3638" s="85">
        <f>IF(B3638="",0,+$T3638*$V3638)</f>
        <v>38.832204638722576</v>
      </c>
      <c r="X3638" s="85">
        <f>IF(B3638="",0,IF(OR(H3638=MappingTables!$C$34,H3638=MappingTables!$C$35),W3638,0))</f>
        <v>0</v>
      </c>
    </row>
    <row r="3639" spans="2:24" s="0" customFormat="0" ht="15">
      <c r="B3639" s="69">
        <v>22700042</v>
      </c>
      <c r="C3639" s="70" t="s">
        <v>2488</v>
      </c>
      <c r="D3639" s="70" t="s">
        <v>1</v>
      </c>
      <c r="E3639" s="70" t="s">
        <v>1</v>
      </c>
      <c r="F3639" s="70"/>
      <c r="G3639" s="70" t="s">
        <v>61</v>
      </c>
      <c r="H3639" s="70" t="s">
        <v>178</v>
      </c>
      <c r="I3639" s="70" t="s">
        <v>184</v>
      </c>
      <c r="J3639" s="71">
        <f>IF(OR(I3639=0,I3639=""),"unrated",VLOOKUP(I3639,MappingTables!$B$19:$C$31,2,FALSE))</f>
        <v>5</v>
      </c>
      <c r="K3639" s="72">
        <v>176.68114559645062</v>
      </c>
      <c r="L3639" s="70">
        <v>1.2286107732634962</v>
      </c>
      <c r="M3639" s="71">
        <f>IF(L3639&lt;1,1,L3639)</f>
        <v>1.2286107732634962</v>
      </c>
      <c r="N3639" s="70" t="s">
        <v>141</v>
      </c>
      <c r="O3639" s="71">
        <f>INDEX(DurClassMapping,MATCH(M3639,MappingTables!$D$4:$D$8,-1),1)</f>
        <v>1</v>
      </c>
      <c r="P3639" s="73">
        <f>IF(M3639=$A$1,1,$M3639-INDEX(MappingTables!$E$4:$E$8,MATCH(O3639,MappingTables!$B$4:$B$8,0)))</f>
        <v>1.2286107732634962</v>
      </c>
      <c r="Q3639" s="71">
        <f>IF(B3639="",0,INDEX(ModelParameters!$D$6:$K$10,MATCH($O3639,ModelParameters!$B$6:$B$10,0),MATCH($J3639,ModelParameters!$D$5:$K$5,0)))</f>
        <v>0.075</v>
      </c>
      <c r="R3639" s="71">
        <f>IF(B3639="",0,INDEX(ModelParameters!$D$13:$K$17,MATCH($O3639,ModelParameters!$B$13:$B$17,0),MATCH($J3639,ModelParameters!$D$5:$K$5,0)))</f>
        <v>0</v>
      </c>
      <c r="S3639" s="160">
        <f>IF(B3639="",0,MIN(IF($N3639="Other Bond TM",ModelParameters!$N$21,1)*(P3639*Q3639+R3639),1))</f>
        <v>0.092145807994762192</v>
      </c>
      <c r="T3639" s="85">
        <f>IF(B3639="",0,$S3639*$K3639)</f>
        <v>16.280426918425164</v>
      </c>
      <c r="U3639" s="85">
        <f>IF(B3639="",0,IF(OR(H3639=MappingTables!$C$34,H3639=MappingTables!$C$35),T3639,0))</f>
        <v>0</v>
      </c>
      <c r="V3639" s="85">
        <f>IF(ISNA(IF(AND(VLOOKUP(CONCATENATE($D3639,$G3639),CSRFinput!$B:$E,4,0)=0,OR(H3639=MappingTables!$C$34,H3639=MappingTables!$C$35)),1,VLOOKUP(CONCATENATE($D3639,$G3639),CSRFinput!$B:$E,4,0))),0,IF(AND(VLOOKUP(CONCATENATE($D3639,$G3639),CSRFinput!$B:$E,4,0)=0,OR(H3639=MappingTables!$C$34,H3639=MappingTables!$C$35)),1,VLOOKUP(CONCATENATE($D3639,$G3639),CSRFinput!$B:$E,4,0)))</f>
        <v>0.054776304963434752</v>
      </c>
      <c r="W3639" s="85">
        <f>IF(B3639="",0,+$T3639*$V3639)</f>
        <v>0.89178162981856912</v>
      </c>
      <c r="X3639" s="85">
        <f>IF(B3639="",0,IF(OR(H3639=MappingTables!$C$34,H3639=MappingTables!$C$35),W3639,0))</f>
        <v>0</v>
      </c>
    </row>
    <row r="3640" spans="2:24" s="0" customFormat="0" ht="15">
      <c r="B3640" s="69">
        <v>24738981</v>
      </c>
      <c r="C3640" s="70" t="s">
        <v>1335</v>
      </c>
      <c r="D3640" s="70" t="s">
        <v>1</v>
      </c>
      <c r="E3640" s="70" t="s">
        <v>1</v>
      </c>
      <c r="F3640" s="70"/>
      <c r="G3640" s="70" t="s">
        <v>61</v>
      </c>
      <c r="H3640" s="70" t="s">
        <v>178</v>
      </c>
      <c r="I3640" s="70" t="s">
        <v>188</v>
      </c>
      <c r="J3640" s="71">
        <f>IF(OR(I3640=0,I3640=""),"unrated",VLOOKUP(I3640,MappingTables!$B$19:$C$31,2,FALSE))</f>
        <v>2</v>
      </c>
      <c r="K3640" s="72">
        <v>727.10626311531632</v>
      </c>
      <c r="L3640" s="70">
        <v>11.121821626062282</v>
      </c>
      <c r="M3640" s="71">
        <f>IF(L3640&lt;1,1,L3640)</f>
        <v>11.121821626062282</v>
      </c>
      <c r="N3640" s="70" t="s">
        <v>141</v>
      </c>
      <c r="O3640" s="71">
        <f>INDEX(DurClassMapping,MATCH(M3640,MappingTables!$D$4:$D$8,-1),1)</f>
        <v>3</v>
      </c>
      <c r="P3640" s="73">
        <f>IF(M3640=$A$1,1,$M3640-INDEX(MappingTables!$E$4:$E$8,MATCH(O3640,MappingTables!$B$4:$B$8,0)))</f>
        <v>1.1218216260622818</v>
      </c>
      <c r="Q3640" s="71">
        <f>IF(B3640="",0,INDEX(ModelParameters!$D$6:$K$10,MATCH($O3640,ModelParameters!$B$6:$B$10,0),MATCH($J3640,ModelParameters!$D$5:$K$5,0)))</f>
        <v>0.005</v>
      </c>
      <c r="R3640" s="71">
        <f>IF(B3640="",0,INDEX(ModelParameters!$D$13:$K$17,MATCH($O3640,ModelParameters!$B$13:$B$17,0),MATCH($J3640,ModelParameters!$D$5:$K$5,0)))</f>
        <v>0.105</v>
      </c>
      <c r="S3640" s="160">
        <f>IF(B3640="",0,MIN(IF($N3640="Other Bond TM",ModelParameters!$N$21,1)*(P3640*Q3640+R3640),1))</f>
        <v>0.11060910813031142</v>
      </c>
      <c r="T3640" s="85">
        <f>IF(B3640="",0,$S3640*$K3640)</f>
        <v>80.424575279148688</v>
      </c>
      <c r="U3640" s="85">
        <f>IF(B3640="",0,IF(OR(H3640=MappingTables!$C$34,H3640=MappingTables!$C$35),T3640,0))</f>
        <v>0</v>
      </c>
      <c r="V3640" s="85">
        <f>IF(ISNA(IF(AND(VLOOKUP(CONCATENATE($D3640,$G3640),CSRFinput!$B:$E,4,0)=0,OR(H3640=MappingTables!$C$34,H3640=MappingTables!$C$35)),1,VLOOKUP(CONCATENATE($D3640,$G3640),CSRFinput!$B:$E,4,0))),0,IF(AND(VLOOKUP(CONCATENATE($D3640,$G3640),CSRFinput!$B:$E,4,0)=0,OR(H3640=MappingTables!$C$34,H3640=MappingTables!$C$35)),1,VLOOKUP(CONCATENATE($D3640,$G3640),CSRFinput!$B:$E,4,0)))</f>
        <v>0.054776304963434752</v>
      </c>
      <c r="W3640" s="85">
        <f>IF(B3640="",0,+$T3640*$V3640)</f>
        <v>4.4053610620453632</v>
      </c>
      <c r="X3640" s="85">
        <f>IF(B3640="",0,IF(OR(H3640=MappingTables!$C$34,H3640=MappingTables!$C$35),W3640,0))</f>
        <v>0</v>
      </c>
    </row>
    <row r="3641" spans="2:24" s="0" customFormat="0" ht="15">
      <c r="B3641" s="69">
        <v>21521372</v>
      </c>
      <c r="C3641" s="70" t="s">
        <v>2705</v>
      </c>
      <c r="D3641" s="70" t="s">
        <v>1</v>
      </c>
      <c r="E3641" s="70" t="s">
        <v>1</v>
      </c>
      <c r="F3641" s="70"/>
      <c r="G3641" s="70" t="s">
        <v>61</v>
      </c>
      <c r="H3641" s="70" t="s">
        <v>178</v>
      </c>
      <c r="I3641" s="70" t="s">
        <v>179</v>
      </c>
      <c r="J3641" s="71">
        <f>IF(OR(I3641=0,I3641=""),"unrated",VLOOKUP(I3641,MappingTables!$B$19:$C$31,2,FALSE))</f>
        <v>4</v>
      </c>
      <c r="K3641" s="72">
        <v>43.391426713976504</v>
      </c>
      <c r="L3641" s="70">
        <v>2.0512112486777644</v>
      </c>
      <c r="M3641" s="71">
        <f>IF(L3641&lt;1,1,L3641)</f>
        <v>2.0512112486777644</v>
      </c>
      <c r="N3641" s="70" t="s">
        <v>141</v>
      </c>
      <c r="O3641" s="71">
        <f>INDEX(DurClassMapping,MATCH(M3641,MappingTables!$D$4:$D$8,-1),1)</f>
        <v>1</v>
      </c>
      <c r="P3641" s="73">
        <f>IF(M3641=$A$1,1,$M3641-INDEX(MappingTables!$E$4:$E$8,MATCH(O3641,MappingTables!$B$4:$B$8,0)))</f>
        <v>2.0512112486777644</v>
      </c>
      <c r="Q3641" s="71">
        <f>IF(B3641="",0,INDEX(ModelParameters!$D$6:$K$10,MATCH($O3641,ModelParameters!$B$6:$B$10,0),MATCH($J3641,ModelParameters!$D$5:$K$5,0)))</f>
        <v>0.045</v>
      </c>
      <c r="R3641" s="71">
        <f>IF(B3641="",0,INDEX(ModelParameters!$D$13:$K$17,MATCH($O3641,ModelParameters!$B$13:$B$17,0),MATCH($J3641,ModelParameters!$D$5:$K$5,0)))</f>
        <v>0</v>
      </c>
      <c r="S3641" s="160">
        <f>IF(B3641="",0,MIN(IF($N3641="Other Bond TM",ModelParameters!$N$21,1)*(P3641*Q3641+R3641),1))</f>
        <v>0.092304506190499408</v>
      </c>
      <c r="T3641" s="85">
        <f>IF(B3641="",0,$S3641*$K3641)</f>
        <v>4.0052242157348456</v>
      </c>
      <c r="U3641" s="85">
        <f>IF(B3641="",0,IF(OR(H3641=MappingTables!$C$34,H3641=MappingTables!$C$35),T3641,0))</f>
        <v>0</v>
      </c>
      <c r="V3641" s="85">
        <f>IF(ISNA(IF(AND(VLOOKUP(CONCATENATE($D3641,$G3641),CSRFinput!$B:$E,4,0)=0,OR(H3641=MappingTables!$C$34,H3641=MappingTables!$C$35)),1,VLOOKUP(CONCATENATE($D3641,$G3641),CSRFinput!$B:$E,4,0))),0,IF(AND(VLOOKUP(CONCATENATE($D3641,$G3641),CSRFinput!$B:$E,4,0)=0,OR(H3641=MappingTables!$C$34,H3641=MappingTables!$C$35)),1,VLOOKUP(CONCATENATE($D3641,$G3641),CSRFinput!$B:$E,4,0)))</f>
        <v>0.054776304963434752</v>
      </c>
      <c r="W3641" s="85">
        <f>IF(B3641="",0,+$T3641*$V3641)</f>
        <v>0.21939138308802568</v>
      </c>
      <c r="X3641" s="85">
        <f>IF(B3641="",0,IF(OR(H3641=MappingTables!$C$34,H3641=MappingTables!$C$35),W3641,0))</f>
        <v>0</v>
      </c>
    </row>
    <row r="3642" spans="2:24" s="0" customFormat="0" ht="15">
      <c r="B3642" s="69">
        <v>21519218</v>
      </c>
      <c r="C3642" s="70" t="s">
        <v>624</v>
      </c>
      <c r="D3642" s="70" t="s">
        <v>1</v>
      </c>
      <c r="E3642" s="70" t="s">
        <v>1</v>
      </c>
      <c r="F3642" s="70"/>
      <c r="G3642" s="70" t="s">
        <v>61</v>
      </c>
      <c r="H3642" s="70" t="s">
        <v>178</v>
      </c>
      <c r="I3642" s="70" t="s">
        <v>181</v>
      </c>
      <c r="J3642" s="71">
        <f>IF(OR(I3642=0,I3642=""),"unrated",VLOOKUP(I3642,MappingTables!$B$19:$C$31,2,FALSE))</f>
        <v>3</v>
      </c>
      <c r="K3642" s="72">
        <v>521.7624477588248</v>
      </c>
      <c r="L3642" s="70">
        <v>3.7320659193599296</v>
      </c>
      <c r="M3642" s="71">
        <f>IF(L3642&lt;1,1,L3642)</f>
        <v>3.7320659193599296</v>
      </c>
      <c r="N3642" s="70" t="s">
        <v>141</v>
      </c>
      <c r="O3642" s="71">
        <f>INDEX(DurClassMapping,MATCH(M3642,MappingTables!$D$4:$D$8,-1),1)</f>
        <v>1</v>
      </c>
      <c r="P3642" s="73">
        <f>IF(M3642=$A$1,1,$M3642-INDEX(MappingTables!$E$4:$E$8,MATCH(O3642,MappingTables!$B$4:$B$8,0)))</f>
        <v>3.7320659193599296</v>
      </c>
      <c r="Q3642" s="71">
        <f>IF(B3642="",0,INDEX(ModelParameters!$D$6:$K$10,MATCH($O3642,ModelParameters!$B$6:$B$10,0),MATCH($J3642,ModelParameters!$D$5:$K$5,0)))</f>
        <v>0.025</v>
      </c>
      <c r="R3642" s="71">
        <f>IF(B3642="",0,INDEX(ModelParameters!$D$13:$K$17,MATCH($O3642,ModelParameters!$B$13:$B$17,0),MATCH($J3642,ModelParameters!$D$5:$K$5,0)))</f>
        <v>0</v>
      </c>
      <c r="S3642" s="160">
        <f>IF(B3642="",0,MIN(IF($N3642="Other Bond TM",ModelParameters!$N$21,1)*(P3642*Q3642+R3642),1))</f>
        <v>0.093301647983998256</v>
      </c>
      <c r="T3642" s="85">
        <f>IF(B3642="",0,$S3642*$K3642)</f>
        <v>48.681296232063152</v>
      </c>
      <c r="U3642" s="85">
        <f>IF(B3642="",0,IF(OR(H3642=MappingTables!$C$34,H3642=MappingTables!$C$35),T3642,0))</f>
        <v>0</v>
      </c>
      <c r="V3642" s="85">
        <f>IF(ISNA(IF(AND(VLOOKUP(CONCATENATE($D3642,$G3642),CSRFinput!$B:$E,4,0)=0,OR(H3642=MappingTables!$C$34,H3642=MappingTables!$C$35)),1,VLOOKUP(CONCATENATE($D3642,$G3642),CSRFinput!$B:$E,4,0))),0,IF(AND(VLOOKUP(CONCATENATE($D3642,$G3642),CSRFinput!$B:$E,4,0)=0,OR(H3642=MappingTables!$C$34,H3642=MappingTables!$C$35)),1,VLOOKUP(CONCATENATE($D3642,$G3642),CSRFinput!$B:$E,4,0)))</f>
        <v>0.054776304963434752</v>
      </c>
      <c r="W3642" s="85">
        <f>IF(B3642="",0,+$T3642*$V3642)</f>
        <v>2.6665815284227988</v>
      </c>
      <c r="X3642" s="85">
        <f>IF(B3642="",0,IF(OR(H3642=MappingTables!$C$34,H3642=MappingTables!$C$35),W3642,0))</f>
        <v>0</v>
      </c>
    </row>
    <row r="3643" spans="2:24" s="0" customFormat="0" ht="15">
      <c r="B3643" s="69" t="s">
        <v>1338</v>
      </c>
      <c r="C3643" s="70" t="s">
        <v>1339</v>
      </c>
      <c r="D3643" s="70" t="s">
        <v>1</v>
      </c>
      <c r="E3643" s="70" t="s">
        <v>1</v>
      </c>
      <c r="F3643" s="70"/>
      <c r="G3643" s="70" t="s">
        <v>61</v>
      </c>
      <c r="H3643" s="70" t="s">
        <v>178</v>
      </c>
      <c r="I3643" s="70" t="s">
        <v>188</v>
      </c>
      <c r="J3643" s="71">
        <f>IF(OR(I3643=0,I3643=""),"unrated",VLOOKUP(I3643,MappingTables!$B$19:$C$31,2,FALSE))</f>
        <v>2</v>
      </c>
      <c r="K3643" s="72">
        <v>5.1710780831687504</v>
      </c>
      <c r="L3643" s="70">
        <v>0.70420388529742152</v>
      </c>
      <c r="M3643" s="71">
        <f>IF(L3643&lt;1,1,L3643)</f>
        <v>1</v>
      </c>
      <c r="N3643" s="70" t="s">
        <v>141</v>
      </c>
      <c r="O3643" s="71">
        <f>INDEX(DurClassMapping,MATCH(M3643,MappingTables!$D$4:$D$8,-1),1)</f>
        <v>1</v>
      </c>
      <c r="P3643" s="73">
        <f>IF(M3643=$A$1,1,$M3643-INDEX(MappingTables!$E$4:$E$8,MATCH(O3643,MappingTables!$B$4:$B$8,0)))</f>
        <v>1</v>
      </c>
      <c r="Q3643" s="71">
        <f>IF(B3643="",0,INDEX(ModelParameters!$D$6:$K$10,MATCH($O3643,ModelParameters!$B$6:$B$10,0),MATCH($J3643,ModelParameters!$D$5:$K$5,0)))</f>
        <v>0.013999999999999998</v>
      </c>
      <c r="R3643" s="71">
        <f>IF(B3643="",0,INDEX(ModelParameters!$D$13:$K$17,MATCH($O3643,ModelParameters!$B$13:$B$17,0),MATCH($J3643,ModelParameters!$D$5:$K$5,0)))</f>
        <v>0</v>
      </c>
      <c r="S3643" s="160">
        <f>IF(B3643="",0,MIN(IF($N3643="Other Bond TM",ModelParameters!$N$21,1)*(P3643*Q3643+R3643),1))</f>
        <v>0.013999999999999998</v>
      </c>
      <c r="T3643" s="85">
        <f>IF(B3643="",0,$S3643*$K3643)</f>
        <v>0.072395093164362496</v>
      </c>
      <c r="U3643" s="85">
        <f>IF(B3643="",0,IF(OR(H3643=MappingTables!$C$34,H3643=MappingTables!$C$35),T3643,0))</f>
        <v>0</v>
      </c>
      <c r="V3643" s="85">
        <f>IF(ISNA(IF(AND(VLOOKUP(CONCATENATE($D3643,$G3643),CSRFinput!$B:$E,4,0)=0,OR(H3643=MappingTables!$C$34,H3643=MappingTables!$C$35)),1,VLOOKUP(CONCATENATE($D3643,$G3643),CSRFinput!$B:$E,4,0))),0,IF(AND(VLOOKUP(CONCATENATE($D3643,$G3643),CSRFinput!$B:$E,4,0)=0,OR(H3643=MappingTables!$C$34,H3643=MappingTables!$C$35)),1,VLOOKUP(CONCATENATE($D3643,$G3643),CSRFinput!$B:$E,4,0)))</f>
        <v>0.054776304963434752</v>
      </c>
      <c r="W3643" s="85">
        <f>IF(B3643="",0,+$T3643*$V3643)</f>
        <v>0.0039655357010273912</v>
      </c>
      <c r="X3643" s="85">
        <f>IF(B3643="",0,IF(OR(H3643=MappingTables!$C$34,H3643=MappingTables!$C$35),W3643,0))</f>
        <v>0</v>
      </c>
    </row>
    <row r="3644" spans="2:24" s="0" customFormat="0" ht="15">
      <c r="B3644" s="69">
        <v>8896432</v>
      </c>
      <c r="C3644" s="70" t="s">
        <v>2908</v>
      </c>
      <c r="D3644" s="70" t="s">
        <v>1</v>
      </c>
      <c r="E3644" s="70" t="s">
        <v>1</v>
      </c>
      <c r="F3644" s="70"/>
      <c r="G3644" s="70" t="s">
        <v>61</v>
      </c>
      <c r="H3644" s="70" t="s">
        <v>178</v>
      </c>
      <c r="I3644" s="70" t="s">
        <v>181</v>
      </c>
      <c r="J3644" s="71">
        <f>IF(OR(I3644=0,I3644=""),"unrated",VLOOKUP(I3644,MappingTables!$B$19:$C$31,2,FALSE))</f>
        <v>3</v>
      </c>
      <c r="K3644" s="72">
        <v>285.1458134817574</v>
      </c>
      <c r="L3644" s="70">
        <v>3.2406549068579336</v>
      </c>
      <c r="M3644" s="71">
        <f>IF(L3644&lt;1,1,L3644)</f>
        <v>3.2406549068579336</v>
      </c>
      <c r="N3644" s="70" t="s">
        <v>141</v>
      </c>
      <c r="O3644" s="71">
        <f>INDEX(DurClassMapping,MATCH(M3644,MappingTables!$D$4:$D$8,-1),1)</f>
        <v>1</v>
      </c>
      <c r="P3644" s="73">
        <f>IF(M3644=$A$1,1,$M3644-INDEX(MappingTables!$E$4:$E$8,MATCH(O3644,MappingTables!$B$4:$B$8,0)))</f>
        <v>3.2406549068579336</v>
      </c>
      <c r="Q3644" s="71">
        <f>IF(B3644="",0,INDEX(ModelParameters!$D$6:$K$10,MATCH($O3644,ModelParameters!$B$6:$B$10,0),MATCH($J3644,ModelParameters!$D$5:$K$5,0)))</f>
        <v>0.025</v>
      </c>
      <c r="R3644" s="71">
        <f>IF(B3644="",0,INDEX(ModelParameters!$D$13:$K$17,MATCH($O3644,ModelParameters!$B$13:$B$17,0),MATCH($J3644,ModelParameters!$D$5:$K$5,0)))</f>
        <v>0</v>
      </c>
      <c r="S3644" s="160">
        <f>IF(B3644="",0,MIN(IF($N3644="Other Bond TM",ModelParameters!$N$21,1)*(P3644*Q3644+R3644),1))</f>
        <v>0.081016372671448352</v>
      </c>
      <c r="T3644" s="85">
        <f>IF(B3644="",0,$S3644*$K3644)</f>
        <v>23.101479490741356</v>
      </c>
      <c r="U3644" s="85">
        <f>IF(B3644="",0,IF(OR(H3644=MappingTables!$C$34,H3644=MappingTables!$C$35),T3644,0))</f>
        <v>0</v>
      </c>
      <c r="V3644" s="85">
        <f>IF(ISNA(IF(AND(VLOOKUP(CONCATENATE($D3644,$G3644),CSRFinput!$B:$E,4,0)=0,OR(H3644=MappingTables!$C$34,H3644=MappingTables!$C$35)),1,VLOOKUP(CONCATENATE($D3644,$G3644),CSRFinput!$B:$E,4,0))),0,IF(AND(VLOOKUP(CONCATENATE($D3644,$G3644),CSRFinput!$B:$E,4,0)=0,OR(H3644=MappingTables!$C$34,H3644=MappingTables!$C$35)),1,VLOOKUP(CONCATENATE($D3644,$G3644),CSRFinput!$B:$E,4,0)))</f>
        <v>0.054776304963434752</v>
      </c>
      <c r="W3644" s="85">
        <f>IF(B3644="",0,+$T3644*$V3644)</f>
        <v>1.2654136856913818</v>
      </c>
      <c r="X3644" s="85">
        <f>IF(B3644="",0,IF(OR(H3644=MappingTables!$C$34,H3644=MappingTables!$C$35),W3644,0))</f>
        <v>0</v>
      </c>
    </row>
    <row r="3645" spans="2:24" s="0" customFormat="0" ht="15">
      <c r="B3645" s="69" t="s">
        <v>2239</v>
      </c>
      <c r="C3645" s="70" t="s">
        <v>2240</v>
      </c>
      <c r="D3645" s="70" t="s">
        <v>1</v>
      </c>
      <c r="E3645" s="70" t="s">
        <v>1</v>
      </c>
      <c r="F3645" s="70"/>
      <c r="G3645" s="70" t="s">
        <v>61</v>
      </c>
      <c r="H3645" s="70" t="s">
        <v>178</v>
      </c>
      <c r="I3645" s="70" t="s">
        <v>198</v>
      </c>
      <c r="J3645" s="71" t="str">
        <f>IF(OR(I3645=0,I3645=""),"unrated",VLOOKUP(I3645,MappingTables!$B$19:$C$31,2,FALSE))</f>
        <v>unrated</v>
      </c>
      <c r="K3645" s="72">
        <v>0.24125903812205884</v>
      </c>
      <c r="L3645" s="70">
        <v>0.37808237133360864</v>
      </c>
      <c r="M3645" s="71">
        <f>IF(L3645&lt;1,1,L3645)</f>
        <v>1</v>
      </c>
      <c r="N3645" s="70" t="s">
        <v>141</v>
      </c>
      <c r="O3645" s="71">
        <f>INDEX(DurClassMapping,MATCH(M3645,MappingTables!$D$4:$D$8,-1),1)</f>
        <v>1</v>
      </c>
      <c r="P3645" s="73">
        <f>IF(M3645=$A$1,1,$M3645-INDEX(MappingTables!$E$4:$E$8,MATCH(O3645,MappingTables!$B$4:$B$8,0)))</f>
        <v>1</v>
      </c>
      <c r="Q3645" s="71">
        <f>IF(B3645="",0,INDEX(ModelParameters!$D$6:$K$10,MATCH($O3645,ModelParameters!$B$6:$B$10,0),MATCH($J3645,ModelParameters!$D$5:$K$5,0)))</f>
        <v>0.03</v>
      </c>
      <c r="R3645" s="71">
        <f>IF(B3645="",0,INDEX(ModelParameters!$D$13:$K$17,MATCH($O3645,ModelParameters!$B$13:$B$17,0),MATCH($J3645,ModelParameters!$D$5:$K$5,0)))</f>
        <v>0</v>
      </c>
      <c r="S3645" s="160">
        <f>IF(B3645="",0,MIN(IF($N3645="Other Bond TM",ModelParameters!$N$21,1)*(P3645*Q3645+R3645),1))</f>
        <v>0.03</v>
      </c>
      <c r="T3645" s="85">
        <f>IF(B3645="",0,$S3645*$K3645)</f>
        <v>0.0072377711436617648</v>
      </c>
      <c r="U3645" s="85">
        <f>IF(B3645="",0,IF(OR(H3645=MappingTables!$C$34,H3645=MappingTables!$C$35),T3645,0))</f>
        <v>0</v>
      </c>
      <c r="V3645" s="85">
        <f>IF(ISNA(IF(AND(VLOOKUP(CONCATENATE($D3645,$G3645),CSRFinput!$B:$E,4,0)=0,OR(H3645=MappingTables!$C$34,H3645=MappingTables!$C$35)),1,VLOOKUP(CONCATENATE($D3645,$G3645),CSRFinput!$B:$E,4,0))),0,IF(AND(VLOOKUP(CONCATENATE($D3645,$G3645),CSRFinput!$B:$E,4,0)=0,OR(H3645=MappingTables!$C$34,H3645=MappingTables!$C$35)),1,VLOOKUP(CONCATENATE($D3645,$G3645),CSRFinput!$B:$E,4,0)))</f>
        <v>0.054776304963434752</v>
      </c>
      <c r="W3645" s="85">
        <f>IF(B3645="",0,+$T3645*$V3645)</f>
        <v>0.0003964583594207648</v>
      </c>
      <c r="X3645" s="85">
        <f>IF(B3645="",0,IF(OR(H3645=MappingTables!$C$34,H3645=MappingTables!$C$35),W3645,0))</f>
        <v>0</v>
      </c>
    </row>
    <row r="3646" spans="2:24" s="0" customFormat="0" ht="15">
      <c r="B3646" s="69">
        <v>21151211</v>
      </c>
      <c r="C3646" s="70" t="s">
        <v>2334</v>
      </c>
      <c r="D3646" s="70" t="s">
        <v>1</v>
      </c>
      <c r="E3646" s="70" t="s">
        <v>1</v>
      </c>
      <c r="F3646" s="70"/>
      <c r="G3646" s="70" t="s">
        <v>61</v>
      </c>
      <c r="H3646" s="70" t="s">
        <v>178</v>
      </c>
      <c r="I3646" s="70" t="s">
        <v>181</v>
      </c>
      <c r="J3646" s="71">
        <f>IF(OR(I3646=0,I3646=""),"unrated",VLOOKUP(I3646,MappingTables!$B$19:$C$31,2,FALSE))</f>
        <v>3</v>
      </c>
      <c r="K3646" s="72">
        <v>3055.826120859818</v>
      </c>
      <c r="L3646" s="70">
        <v>5.9822904388140952</v>
      </c>
      <c r="M3646" s="71">
        <f>IF(L3646&lt;1,1,L3646)</f>
        <v>5.9822904388140952</v>
      </c>
      <c r="N3646" s="70" t="s">
        <v>141</v>
      </c>
      <c r="O3646" s="71">
        <f>INDEX(DurClassMapping,MATCH(M3646,MappingTables!$D$4:$D$8,-1),1)</f>
        <v>2</v>
      </c>
      <c r="P3646" s="73">
        <f>IF(M3646=$A$1,1,$M3646-INDEX(MappingTables!$E$4:$E$8,MATCH(O3646,MappingTables!$B$4:$B$8,0)))</f>
        <v>0.9822904388140952</v>
      </c>
      <c r="Q3646" s="71">
        <f>IF(B3646="",0,INDEX(ModelParameters!$D$6:$K$10,MATCH($O3646,ModelParameters!$B$6:$B$10,0),MATCH($J3646,ModelParameters!$D$5:$K$5,0)))</f>
        <v>0.015</v>
      </c>
      <c r="R3646" s="71">
        <f>IF(B3646="",0,INDEX(ModelParameters!$D$13:$K$17,MATCH($O3646,ModelParameters!$B$13:$B$17,0),MATCH($J3646,ModelParameters!$D$5:$K$5,0)))</f>
        <v>0.125</v>
      </c>
      <c r="S3646" s="160">
        <f>IF(B3646="",0,MIN(IF($N3646="Other Bond TM",ModelParameters!$N$21,1)*(P3646*Q3646+R3646),1))</f>
        <v>0.13973435658221142</v>
      </c>
      <c r="T3646" s="85">
        <f>IF(B3646="",0,$S3646*$K3646)</f>
        <v>427.00389682546168</v>
      </c>
      <c r="U3646" s="85">
        <f>IF(B3646="",0,IF(OR(H3646=MappingTables!$C$34,H3646=MappingTables!$C$35),T3646,0))</f>
        <v>0</v>
      </c>
      <c r="V3646" s="85">
        <f>IF(ISNA(IF(AND(VLOOKUP(CONCATENATE($D3646,$G3646),CSRFinput!$B:$E,4,0)=0,OR(H3646=MappingTables!$C$34,H3646=MappingTables!$C$35)),1,VLOOKUP(CONCATENATE($D3646,$G3646),CSRFinput!$B:$E,4,0))),0,IF(AND(VLOOKUP(CONCATENATE($D3646,$G3646),CSRFinput!$B:$E,4,0)=0,OR(H3646=MappingTables!$C$34,H3646=MappingTables!$C$35)),1,VLOOKUP(CONCATENATE($D3646,$G3646),CSRFinput!$B:$E,4,0)))</f>
        <v>0.054776304963434752</v>
      </c>
      <c r="W3646" s="85">
        <f>IF(B3646="",0,+$T3646*$V3646)</f>
        <v>23.38969567308652</v>
      </c>
      <c r="X3646" s="85">
        <f>IF(B3646="",0,IF(OR(H3646=MappingTables!$C$34,H3646=MappingTables!$C$35),W3646,0))</f>
        <v>0</v>
      </c>
    </row>
    <row r="3647" spans="2:24" s="0" customFormat="0" ht="15">
      <c r="B3647" s="69">
        <v>22069574</v>
      </c>
      <c r="C3647" s="70" t="s">
        <v>598</v>
      </c>
      <c r="D3647" s="70" t="s">
        <v>1</v>
      </c>
      <c r="E3647" s="70" t="s">
        <v>1</v>
      </c>
      <c r="F3647" s="70"/>
      <c r="G3647" s="70" t="s">
        <v>61</v>
      </c>
      <c r="H3647" s="70" t="s">
        <v>178</v>
      </c>
      <c r="I3647" s="70" t="s">
        <v>181</v>
      </c>
      <c r="J3647" s="71">
        <f>IF(OR(I3647=0,I3647=""),"unrated",VLOOKUP(I3647,MappingTables!$B$19:$C$31,2,FALSE))</f>
        <v>3</v>
      </c>
      <c r="K3647" s="72">
        <v>128.56821336219352</v>
      </c>
      <c r="L3647" s="70">
        <v>5.3174613400640792</v>
      </c>
      <c r="M3647" s="71">
        <f>IF(L3647&lt;1,1,L3647)</f>
        <v>5.3174613400640792</v>
      </c>
      <c r="N3647" s="70" t="s">
        <v>141</v>
      </c>
      <c r="O3647" s="71">
        <f>INDEX(DurClassMapping,MATCH(M3647,MappingTables!$D$4:$D$8,-1),1)</f>
        <v>2</v>
      </c>
      <c r="P3647" s="73">
        <f>IF(M3647=$A$1,1,$M3647-INDEX(MappingTables!$E$4:$E$8,MATCH(O3647,MappingTables!$B$4:$B$8,0)))</f>
        <v>0.31746134006407888</v>
      </c>
      <c r="Q3647" s="71">
        <f>IF(B3647="",0,INDEX(ModelParameters!$D$6:$K$10,MATCH($O3647,ModelParameters!$B$6:$B$10,0),MATCH($J3647,ModelParameters!$D$5:$K$5,0)))</f>
        <v>0.015</v>
      </c>
      <c r="R3647" s="71">
        <f>IF(B3647="",0,INDEX(ModelParameters!$D$13:$K$17,MATCH($O3647,ModelParameters!$B$13:$B$17,0),MATCH($J3647,ModelParameters!$D$5:$K$5,0)))</f>
        <v>0.125</v>
      </c>
      <c r="S3647" s="160">
        <f>IF(B3647="",0,MIN(IF($N3647="Other Bond TM",ModelParameters!$N$21,1)*(P3647*Q3647+R3647),1))</f>
        <v>0.12976192010096118</v>
      </c>
      <c r="T3647" s="85">
        <f>IF(B3647="",0,$S3647*$K3647)</f>
        <v>16.683258229828286</v>
      </c>
      <c r="U3647" s="85">
        <f>IF(B3647="",0,IF(OR(H3647=MappingTables!$C$34,H3647=MappingTables!$C$35),T3647,0))</f>
        <v>0</v>
      </c>
      <c r="V3647" s="85">
        <f>IF(ISNA(IF(AND(VLOOKUP(CONCATENATE($D3647,$G3647),CSRFinput!$B:$E,4,0)=0,OR(H3647=MappingTables!$C$34,H3647=MappingTables!$C$35)),1,VLOOKUP(CONCATENATE($D3647,$G3647),CSRFinput!$B:$E,4,0))),0,IF(AND(VLOOKUP(CONCATENATE($D3647,$G3647),CSRFinput!$B:$E,4,0)=0,OR(H3647=MappingTables!$C$34,H3647=MappingTables!$C$35)),1,VLOOKUP(CONCATENATE($D3647,$G3647),CSRFinput!$B:$E,4,0)))</f>
        <v>0.054776304963434752</v>
      </c>
      <c r="W3647" s="85">
        <f>IF(B3647="",0,+$T3647*$V3647)</f>
        <v>0.91384724058080688</v>
      </c>
      <c r="X3647" s="85">
        <f>IF(B3647="",0,IF(OR(H3647=MappingTables!$C$34,H3647=MappingTables!$C$35),W3647,0))</f>
        <v>0</v>
      </c>
    </row>
    <row r="3648" spans="2:24" s="0" customFormat="0" ht="15">
      <c r="B3648" s="69">
        <v>23364894</v>
      </c>
      <c r="C3648" s="70" t="s">
        <v>2203</v>
      </c>
      <c r="D3648" s="70" t="s">
        <v>1</v>
      </c>
      <c r="E3648" s="70" t="s">
        <v>1</v>
      </c>
      <c r="F3648" s="70"/>
      <c r="G3648" s="70" t="s">
        <v>61</v>
      </c>
      <c r="H3648" s="70" t="s">
        <v>178</v>
      </c>
      <c r="I3648" s="70" t="s">
        <v>188</v>
      </c>
      <c r="J3648" s="71">
        <f>IF(OR(I3648=0,I3648=""),"unrated",VLOOKUP(I3648,MappingTables!$B$19:$C$31,2,FALSE))</f>
        <v>2</v>
      </c>
      <c r="K3648" s="72">
        <v>1052.8808018753314</v>
      </c>
      <c r="L3648" s="70">
        <v>1.4191891352940294</v>
      </c>
      <c r="M3648" s="71">
        <f>IF(L3648&lt;1,1,L3648)</f>
        <v>1.4191891352940294</v>
      </c>
      <c r="N3648" s="70" t="s">
        <v>141</v>
      </c>
      <c r="O3648" s="71">
        <f>INDEX(DurClassMapping,MATCH(M3648,MappingTables!$D$4:$D$8,-1),1)</f>
        <v>1</v>
      </c>
      <c r="P3648" s="73">
        <f>IF(M3648=$A$1,1,$M3648-INDEX(MappingTables!$E$4:$E$8,MATCH(O3648,MappingTables!$B$4:$B$8,0)))</f>
        <v>1.4191891352940294</v>
      </c>
      <c r="Q3648" s="71">
        <f>IF(B3648="",0,INDEX(ModelParameters!$D$6:$K$10,MATCH($O3648,ModelParameters!$B$6:$B$10,0),MATCH($J3648,ModelParameters!$D$5:$K$5,0)))</f>
        <v>0.013999999999999998</v>
      </c>
      <c r="R3648" s="71">
        <f>IF(B3648="",0,INDEX(ModelParameters!$D$13:$K$17,MATCH($O3648,ModelParameters!$B$13:$B$17,0),MATCH($J3648,ModelParameters!$D$5:$K$5,0)))</f>
        <v>0</v>
      </c>
      <c r="S3648" s="160">
        <f>IF(B3648="",0,MIN(IF($N3648="Other Bond TM",ModelParameters!$N$21,1)*(P3648*Q3648+R3648),1))</f>
        <v>0.019868647894116408</v>
      </c>
      <c r="T3648" s="85">
        <f>IF(B3648="",0,$S3648*$K3648)</f>
        <v>20.9193179269359</v>
      </c>
      <c r="U3648" s="85">
        <f>IF(B3648="",0,IF(OR(H3648=MappingTables!$C$34,H3648=MappingTables!$C$35),T3648,0))</f>
        <v>0</v>
      </c>
      <c r="V3648" s="85">
        <f>IF(ISNA(IF(AND(VLOOKUP(CONCATENATE($D3648,$G3648),CSRFinput!$B:$E,4,0)=0,OR(H3648=MappingTables!$C$34,H3648=MappingTables!$C$35)),1,VLOOKUP(CONCATENATE($D3648,$G3648),CSRFinput!$B:$E,4,0))),0,IF(AND(VLOOKUP(CONCATENATE($D3648,$G3648),CSRFinput!$B:$E,4,0)=0,OR(H3648=MappingTables!$C$34,H3648=MappingTables!$C$35)),1,VLOOKUP(CONCATENATE($D3648,$G3648),CSRFinput!$B:$E,4,0)))</f>
        <v>0.054776304963434752</v>
      </c>
      <c r="W3648" s="85">
        <f>IF(B3648="",0,+$T3648*$V3648)</f>
        <v>1.1458829383928886</v>
      </c>
      <c r="X3648" s="85">
        <f>IF(B3648="",0,IF(OR(H3648=MappingTables!$C$34,H3648=MappingTables!$C$35),W3648,0))</f>
        <v>0</v>
      </c>
    </row>
    <row r="3649" spans="2:24" s="0" customFormat="0" ht="15">
      <c r="B3649" s="69">
        <v>23351454</v>
      </c>
      <c r="C3649" s="70" t="s">
        <v>2596</v>
      </c>
      <c r="D3649" s="70" t="s">
        <v>1</v>
      </c>
      <c r="E3649" s="70" t="s">
        <v>1</v>
      </c>
      <c r="F3649" s="70"/>
      <c r="G3649" s="70" t="s">
        <v>61</v>
      </c>
      <c r="H3649" s="70" t="s">
        <v>178</v>
      </c>
      <c r="I3649" s="70" t="s">
        <v>181</v>
      </c>
      <c r="J3649" s="71">
        <f>IF(OR(I3649=0,I3649=""),"unrated",VLOOKUP(I3649,MappingTables!$B$19:$C$31,2,FALSE))</f>
        <v>3</v>
      </c>
      <c r="K3649" s="72">
        <v>6502.0828301392368</v>
      </c>
      <c r="L3649" s="70">
        <v>6.8764297664329976</v>
      </c>
      <c r="M3649" s="71">
        <f>IF(L3649&lt;1,1,L3649)</f>
        <v>6.8764297664329976</v>
      </c>
      <c r="N3649" s="70" t="s">
        <v>141</v>
      </c>
      <c r="O3649" s="71">
        <f>INDEX(DurClassMapping,MATCH(M3649,MappingTables!$D$4:$D$8,-1),1)</f>
        <v>2</v>
      </c>
      <c r="P3649" s="73">
        <f>IF(M3649=$A$1,1,$M3649-INDEX(MappingTables!$E$4:$E$8,MATCH(O3649,MappingTables!$B$4:$B$8,0)))</f>
        <v>1.876429766432998</v>
      </c>
      <c r="Q3649" s="71">
        <f>IF(B3649="",0,INDEX(ModelParameters!$D$6:$K$10,MATCH($O3649,ModelParameters!$B$6:$B$10,0),MATCH($J3649,ModelParameters!$D$5:$K$5,0)))</f>
        <v>0.015</v>
      </c>
      <c r="R3649" s="71">
        <f>IF(B3649="",0,INDEX(ModelParameters!$D$13:$K$17,MATCH($O3649,ModelParameters!$B$13:$B$17,0),MATCH($J3649,ModelParameters!$D$5:$K$5,0)))</f>
        <v>0.125</v>
      </c>
      <c r="S3649" s="160">
        <f>IF(B3649="",0,MIN(IF($N3649="Other Bond TM",ModelParameters!$N$21,1)*(P3649*Q3649+R3649),1))</f>
        <v>0.15314644649649498</v>
      </c>
      <c r="T3649" s="85">
        <f>IF(B3649="",0,$S3649*$K3649)</f>
        <v>995.77088026169728</v>
      </c>
      <c r="U3649" s="85">
        <f>IF(B3649="",0,IF(OR(H3649=MappingTables!$C$34,H3649=MappingTables!$C$35),T3649,0))</f>
        <v>0</v>
      </c>
      <c r="V3649" s="85">
        <f>IF(ISNA(IF(AND(VLOOKUP(CONCATENATE($D3649,$G3649),CSRFinput!$B:$E,4,0)=0,OR(H3649=MappingTables!$C$34,H3649=MappingTables!$C$35)),1,VLOOKUP(CONCATENATE($D3649,$G3649),CSRFinput!$B:$E,4,0))),0,IF(AND(VLOOKUP(CONCATENATE($D3649,$G3649),CSRFinput!$B:$E,4,0)=0,OR(H3649=MappingTables!$C$34,H3649=MappingTables!$C$35)),1,VLOOKUP(CONCATENATE($D3649,$G3649),CSRFinput!$B:$E,4,0)))</f>
        <v>0.054776304963434752</v>
      </c>
      <c r="W3649" s="85">
        <f>IF(B3649="",0,+$T3649*$V3649)</f>
        <v>54.5446494109226</v>
      </c>
      <c r="X3649" s="85">
        <f>IF(B3649="",0,IF(OR(H3649=MappingTables!$C$34,H3649=MappingTables!$C$35),W3649,0))</f>
        <v>0</v>
      </c>
    </row>
    <row r="3650" spans="2:24" s="0" customFormat="0" ht="15">
      <c r="B3650" s="69" t="s">
        <v>2909</v>
      </c>
      <c r="C3650" s="70" t="s">
        <v>2910</v>
      </c>
      <c r="D3650" s="70" t="s">
        <v>1</v>
      </c>
      <c r="E3650" s="70" t="s">
        <v>1</v>
      </c>
      <c r="F3650" s="70"/>
      <c r="G3650" s="70" t="s">
        <v>61</v>
      </c>
      <c r="H3650" s="70" t="s">
        <v>178</v>
      </c>
      <c r="I3650" s="70" t="s">
        <v>181</v>
      </c>
      <c r="J3650" s="71">
        <f>IF(OR(I3650=0,I3650=""),"unrated",VLOOKUP(I3650,MappingTables!$B$19:$C$31,2,FALSE))</f>
        <v>3</v>
      </c>
      <c r="K3650" s="72">
        <v>0.26857223726997064</v>
      </c>
      <c r="L3650" s="70">
        <v>0.21095980141861652</v>
      </c>
      <c r="M3650" s="71">
        <f>IF(L3650&lt;1,1,L3650)</f>
        <v>1</v>
      </c>
      <c r="N3650" s="70" t="s">
        <v>141</v>
      </c>
      <c r="O3650" s="71">
        <f>INDEX(DurClassMapping,MATCH(M3650,MappingTables!$D$4:$D$8,-1),1)</f>
        <v>1</v>
      </c>
      <c r="P3650" s="73">
        <f>IF(M3650=$A$1,1,$M3650-INDEX(MappingTables!$E$4:$E$8,MATCH(O3650,MappingTables!$B$4:$B$8,0)))</f>
        <v>1</v>
      </c>
      <c r="Q3650" s="71">
        <f>IF(B3650="",0,INDEX(ModelParameters!$D$6:$K$10,MATCH($O3650,ModelParameters!$B$6:$B$10,0),MATCH($J3650,ModelParameters!$D$5:$K$5,0)))</f>
        <v>0.025</v>
      </c>
      <c r="R3650" s="71">
        <f>IF(B3650="",0,INDEX(ModelParameters!$D$13:$K$17,MATCH($O3650,ModelParameters!$B$13:$B$17,0),MATCH($J3650,ModelParameters!$D$5:$K$5,0)))</f>
        <v>0</v>
      </c>
      <c r="S3650" s="160">
        <f>IF(B3650="",0,MIN(IF($N3650="Other Bond TM",ModelParameters!$N$21,1)*(P3650*Q3650+R3650),1))</f>
        <v>0.025</v>
      </c>
      <c r="T3650" s="85">
        <f>IF(B3650="",0,$S3650*$K3650)</f>
        <v>0.0067143059317492664</v>
      </c>
      <c r="U3650" s="85">
        <f>IF(B3650="",0,IF(OR(H3650=MappingTables!$C$34,H3650=MappingTables!$C$35),T3650,0))</f>
        <v>0</v>
      </c>
      <c r="V3650" s="85">
        <f>IF(ISNA(IF(AND(VLOOKUP(CONCATENATE($D3650,$G3650),CSRFinput!$B:$E,4,0)=0,OR(H3650=MappingTables!$C$34,H3650=MappingTables!$C$35)),1,VLOOKUP(CONCATENATE($D3650,$G3650),CSRFinput!$B:$E,4,0))),0,IF(AND(VLOOKUP(CONCATENATE($D3650,$G3650),CSRFinput!$B:$E,4,0)=0,OR(H3650=MappingTables!$C$34,H3650=MappingTables!$C$35)),1,VLOOKUP(CONCATENATE($D3650,$G3650),CSRFinput!$B:$E,4,0)))</f>
        <v>0.054776304963434752</v>
      </c>
      <c r="W3650" s="85">
        <f>IF(B3650="",0,+$T3650*$V3650)</f>
        <v>0.00036778486933529672</v>
      </c>
      <c r="X3650" s="85">
        <f>IF(B3650="",0,IF(OR(H3650=MappingTables!$C$34,H3650=MappingTables!$C$35),W3650,0))</f>
        <v>0</v>
      </c>
    </row>
    <row r="3651" spans="2:24" s="0" customFormat="0" ht="15">
      <c r="B3651" s="69">
        <v>12061918</v>
      </c>
      <c r="C3651" s="70" t="s">
        <v>2911</v>
      </c>
      <c r="D3651" s="70" t="s">
        <v>1</v>
      </c>
      <c r="E3651" s="70" t="s">
        <v>1</v>
      </c>
      <c r="F3651" s="70"/>
      <c r="G3651" s="70" t="s">
        <v>61</v>
      </c>
      <c r="H3651" s="70" t="s">
        <v>178</v>
      </c>
      <c r="I3651" s="70" t="s">
        <v>198</v>
      </c>
      <c r="J3651" s="71" t="str">
        <f>IF(OR(I3651=0,I3651=""),"unrated",VLOOKUP(I3651,MappingTables!$B$19:$C$31,2,FALSE))</f>
        <v>unrated</v>
      </c>
      <c r="K3651" s="72">
        <v>12.12553461802285</v>
      </c>
      <c r="L3651" s="70">
        <v>0.43835838994063616</v>
      </c>
      <c r="M3651" s="71">
        <f>IF(L3651&lt;1,1,L3651)</f>
        <v>1</v>
      </c>
      <c r="N3651" s="70" t="s">
        <v>141</v>
      </c>
      <c r="O3651" s="71">
        <f>INDEX(DurClassMapping,MATCH(M3651,MappingTables!$D$4:$D$8,-1),1)</f>
        <v>1</v>
      </c>
      <c r="P3651" s="73">
        <f>IF(M3651=$A$1,1,$M3651-INDEX(MappingTables!$E$4:$E$8,MATCH(O3651,MappingTables!$B$4:$B$8,0)))</f>
        <v>1</v>
      </c>
      <c r="Q3651" s="71">
        <f>IF(B3651="",0,INDEX(ModelParameters!$D$6:$K$10,MATCH($O3651,ModelParameters!$B$6:$B$10,0),MATCH($J3651,ModelParameters!$D$5:$K$5,0)))</f>
        <v>0.03</v>
      </c>
      <c r="R3651" s="71">
        <f>IF(B3651="",0,INDEX(ModelParameters!$D$13:$K$17,MATCH($O3651,ModelParameters!$B$13:$B$17,0),MATCH($J3651,ModelParameters!$D$5:$K$5,0)))</f>
        <v>0</v>
      </c>
      <c r="S3651" s="160">
        <f>IF(B3651="",0,MIN(IF($N3651="Other Bond TM",ModelParameters!$N$21,1)*(P3651*Q3651+R3651),1))</f>
        <v>0.03</v>
      </c>
      <c r="T3651" s="85">
        <f>IF(B3651="",0,$S3651*$K3651)</f>
        <v>0.36376603854068552</v>
      </c>
      <c r="U3651" s="85">
        <f>IF(B3651="",0,IF(OR(H3651=MappingTables!$C$34,H3651=MappingTables!$C$35),T3651,0))</f>
        <v>0</v>
      </c>
      <c r="V3651" s="85">
        <f>IF(ISNA(IF(AND(VLOOKUP(CONCATENATE($D3651,$G3651),CSRFinput!$B:$E,4,0)=0,OR(H3651=MappingTables!$C$34,H3651=MappingTables!$C$35)),1,VLOOKUP(CONCATENATE($D3651,$G3651),CSRFinput!$B:$E,4,0))),0,IF(AND(VLOOKUP(CONCATENATE($D3651,$G3651),CSRFinput!$B:$E,4,0)=0,OR(H3651=MappingTables!$C$34,H3651=MappingTables!$C$35)),1,VLOOKUP(CONCATENATE($D3651,$G3651),CSRFinput!$B:$E,4,0)))</f>
        <v>0.054776304963434752</v>
      </c>
      <c r="W3651" s="85">
        <f>IF(B3651="",0,+$T3651*$V3651)</f>
        <v>0.019925759462445148</v>
      </c>
      <c r="X3651" s="85">
        <f>IF(B3651="",0,IF(OR(H3651=MappingTables!$C$34,H3651=MappingTables!$C$35),W3651,0))</f>
        <v>0</v>
      </c>
    </row>
    <row r="3652" spans="2:24" s="0" customFormat="0" ht="15">
      <c r="B3652" s="69">
        <v>3796112</v>
      </c>
      <c r="C3652" s="70" t="s">
        <v>2493</v>
      </c>
      <c r="D3652" s="70" t="s">
        <v>1</v>
      </c>
      <c r="E3652" s="70" t="s">
        <v>1</v>
      </c>
      <c r="F3652" s="70"/>
      <c r="G3652" s="70" t="s">
        <v>61</v>
      </c>
      <c r="H3652" s="70" t="s">
        <v>178</v>
      </c>
      <c r="I3652" s="70" t="s">
        <v>181</v>
      </c>
      <c r="J3652" s="71">
        <f>IF(OR(I3652=0,I3652=""),"unrated",VLOOKUP(I3652,MappingTables!$B$19:$C$31,2,FALSE))</f>
        <v>3</v>
      </c>
      <c r="K3652" s="72">
        <v>28448.342932644392</v>
      </c>
      <c r="L3652" s="70">
        <v>12.784661976122996</v>
      </c>
      <c r="M3652" s="71">
        <f>IF(L3652&lt;1,1,L3652)</f>
        <v>12.784661976122996</v>
      </c>
      <c r="N3652" s="70" t="s">
        <v>141</v>
      </c>
      <c r="O3652" s="71">
        <f>INDEX(DurClassMapping,MATCH(M3652,MappingTables!$D$4:$D$8,-1),1)</f>
        <v>3</v>
      </c>
      <c r="P3652" s="73">
        <f>IF(M3652=$A$1,1,$M3652-INDEX(MappingTables!$E$4:$E$8,MATCH(O3652,MappingTables!$B$4:$B$8,0)))</f>
        <v>2.7846619761229956</v>
      </c>
      <c r="Q3652" s="71">
        <f>IF(B3652="",0,INDEX(ModelParameters!$D$6:$K$10,MATCH($O3652,ModelParameters!$B$6:$B$10,0),MATCH($J3652,ModelParameters!$D$5:$K$5,0)))</f>
        <v>0.01</v>
      </c>
      <c r="R3652" s="71">
        <f>IF(B3652="",0,INDEX(ModelParameters!$D$13:$K$17,MATCH($O3652,ModelParameters!$B$13:$B$17,0),MATCH($J3652,ModelParameters!$D$5:$K$5,0)))</f>
        <v>0.2</v>
      </c>
      <c r="S3652" s="160">
        <f>IF(B3652="",0,MIN(IF($N3652="Other Bond TM",ModelParameters!$N$21,1)*(P3652*Q3652+R3652),1))</f>
        <v>0.22784661976122996</v>
      </c>
      <c r="T3652" s="85">
        <f>IF(B3652="",0,$S3652*$K3652)</f>
        <v>6481.8587750113</v>
      </c>
      <c r="U3652" s="85">
        <f>IF(B3652="",0,IF(OR(H3652=MappingTables!$C$34,H3652=MappingTables!$C$35),T3652,0))</f>
        <v>0</v>
      </c>
      <c r="V3652" s="85">
        <f>IF(ISNA(IF(AND(VLOOKUP(CONCATENATE($D3652,$G3652),CSRFinput!$B:$E,4,0)=0,OR(H3652=MappingTables!$C$34,H3652=MappingTables!$C$35)),1,VLOOKUP(CONCATENATE($D3652,$G3652),CSRFinput!$B:$E,4,0))),0,IF(AND(VLOOKUP(CONCATENATE($D3652,$G3652),CSRFinput!$B:$E,4,0)=0,OR(H3652=MappingTables!$C$34,H3652=MappingTables!$C$35)),1,VLOOKUP(CONCATENATE($D3652,$G3652),CSRFinput!$B:$E,4,0)))</f>
        <v>0.054776304963434752</v>
      </c>
      <c r="W3652" s="85">
        <f>IF(B3652="",0,+$T3652*$V3652)</f>
        <v>355.05227298993456</v>
      </c>
      <c r="X3652" s="85">
        <f>IF(B3652="",0,IF(OR(H3652=MappingTables!$C$34,H3652=MappingTables!$C$35),W3652,0))</f>
        <v>0</v>
      </c>
    </row>
    <row r="3653" spans="2:24" s="0" customFormat="0" ht="15">
      <c r="B3653" s="69">
        <v>21507541</v>
      </c>
      <c r="C3653" s="70" t="s">
        <v>2459</v>
      </c>
      <c r="D3653" s="70" t="s">
        <v>1</v>
      </c>
      <c r="E3653" s="70" t="s">
        <v>1</v>
      </c>
      <c r="F3653" s="70"/>
      <c r="G3653" s="70" t="s">
        <v>61</v>
      </c>
      <c r="H3653" s="70" t="s">
        <v>178</v>
      </c>
      <c r="I3653" s="70" t="s">
        <v>181</v>
      </c>
      <c r="J3653" s="71">
        <f>IF(OR(I3653=0,I3653=""),"unrated",VLOOKUP(I3653,MappingTables!$B$19:$C$31,2,FALSE))</f>
        <v>3</v>
      </c>
      <c r="K3653" s="72">
        <v>179.21301518541322</v>
      </c>
      <c r="L3653" s="70">
        <v>4.4400173478779472</v>
      </c>
      <c r="M3653" s="71">
        <f>IF(L3653&lt;1,1,L3653)</f>
        <v>4.4400173478779472</v>
      </c>
      <c r="N3653" s="70" t="s">
        <v>141</v>
      </c>
      <c r="O3653" s="71">
        <f>INDEX(DurClassMapping,MATCH(M3653,MappingTables!$D$4:$D$8,-1),1)</f>
        <v>1</v>
      </c>
      <c r="P3653" s="73">
        <f>IF(M3653=$A$1,1,$M3653-INDEX(MappingTables!$E$4:$E$8,MATCH(O3653,MappingTables!$B$4:$B$8,0)))</f>
        <v>4.4400173478779472</v>
      </c>
      <c r="Q3653" s="71">
        <f>IF(B3653="",0,INDEX(ModelParameters!$D$6:$K$10,MATCH($O3653,ModelParameters!$B$6:$B$10,0),MATCH($J3653,ModelParameters!$D$5:$K$5,0)))</f>
        <v>0.025</v>
      </c>
      <c r="R3653" s="71">
        <f>IF(B3653="",0,INDEX(ModelParameters!$D$13:$K$17,MATCH($O3653,ModelParameters!$B$13:$B$17,0),MATCH($J3653,ModelParameters!$D$5:$K$5,0)))</f>
        <v>0</v>
      </c>
      <c r="S3653" s="160">
        <f>IF(B3653="",0,MIN(IF($N3653="Other Bond TM",ModelParameters!$N$21,1)*(P3653*Q3653+R3653),1))</f>
        <v>0.11100043369694868</v>
      </c>
      <c r="T3653" s="85">
        <f>IF(B3653="",0,$S3653*$K3653)</f>
        <v>19.892722409718716</v>
      </c>
      <c r="U3653" s="85">
        <f>IF(B3653="",0,IF(OR(H3653=MappingTables!$C$34,H3653=MappingTables!$C$35),T3653,0))</f>
        <v>0</v>
      </c>
      <c r="V3653" s="85">
        <f>IF(ISNA(IF(AND(VLOOKUP(CONCATENATE($D3653,$G3653),CSRFinput!$B:$E,4,0)=0,OR(H3653=MappingTables!$C$34,H3653=MappingTables!$C$35)),1,VLOOKUP(CONCATENATE($D3653,$G3653),CSRFinput!$B:$E,4,0))),0,IF(AND(VLOOKUP(CONCATENATE($D3653,$G3653),CSRFinput!$B:$E,4,0)=0,OR(H3653=MappingTables!$C$34,H3653=MappingTables!$C$35)),1,VLOOKUP(CONCATENATE($D3653,$G3653),CSRFinput!$B:$E,4,0)))</f>
        <v>0.054776304963434752</v>
      </c>
      <c r="W3653" s="85">
        <f>IF(B3653="",0,+$T3653*$V3653)</f>
        <v>1.089649829267705</v>
      </c>
      <c r="X3653" s="85">
        <f>IF(B3653="",0,IF(OR(H3653=MappingTables!$C$34,H3653=MappingTables!$C$35),W3653,0))</f>
        <v>0</v>
      </c>
    </row>
    <row r="3654" spans="2:24" s="0" customFormat="0" ht="15">
      <c r="B3654" s="69">
        <v>24263604</v>
      </c>
      <c r="C3654" s="70" t="s">
        <v>2912</v>
      </c>
      <c r="D3654" s="70" t="s">
        <v>1</v>
      </c>
      <c r="E3654" s="70" t="s">
        <v>1</v>
      </c>
      <c r="F3654" s="70"/>
      <c r="G3654" s="70" t="s">
        <v>61</v>
      </c>
      <c r="H3654" s="70" t="s">
        <v>178</v>
      </c>
      <c r="I3654" s="70" t="s">
        <v>179</v>
      </c>
      <c r="J3654" s="71">
        <f>IF(OR(I3654=0,I3654=""),"unrated",VLOOKUP(I3654,MappingTables!$B$19:$C$31,2,FALSE))</f>
        <v>4</v>
      </c>
      <c r="K3654" s="72">
        <v>5261.6480706759848</v>
      </c>
      <c r="L3654" s="70">
        <v>13.393671797119848</v>
      </c>
      <c r="M3654" s="71">
        <f>IF(L3654&lt;1,1,L3654)</f>
        <v>13.393671797119848</v>
      </c>
      <c r="N3654" s="70" t="s">
        <v>141</v>
      </c>
      <c r="O3654" s="71">
        <f>INDEX(DurClassMapping,MATCH(M3654,MappingTables!$D$4:$D$8,-1),1)</f>
        <v>3</v>
      </c>
      <c r="P3654" s="73">
        <f>IF(M3654=$A$1,1,$M3654-INDEX(MappingTables!$E$4:$E$8,MATCH(O3654,MappingTables!$B$4:$B$8,0)))</f>
        <v>3.3936717971198488</v>
      </c>
      <c r="Q3654" s="71">
        <f>IF(B3654="",0,INDEX(ModelParameters!$D$6:$K$10,MATCH($O3654,ModelParameters!$B$6:$B$10,0),MATCH($J3654,ModelParameters!$D$5:$K$5,0)))</f>
        <v>0.018000000000000002</v>
      </c>
      <c r="R3654" s="71">
        <f>IF(B3654="",0,INDEX(ModelParameters!$D$13:$K$17,MATCH($O3654,ModelParameters!$B$13:$B$17,0),MATCH($J3654,ModelParameters!$D$5:$K$5,0)))</f>
        <v>0.34999999999999996</v>
      </c>
      <c r="S3654" s="160">
        <f>IF(B3654="",0,MIN(IF($N3654="Other Bond TM",ModelParameters!$N$21,1)*(P3654*Q3654+R3654),1))</f>
        <v>0.4110860923481572</v>
      </c>
      <c r="T3654" s="85">
        <f>IF(B3654="",0,$S3654*$K3654)</f>
        <v>2162.9903446854116</v>
      </c>
      <c r="U3654" s="85">
        <f>IF(B3654="",0,IF(OR(H3654=MappingTables!$C$34,H3654=MappingTables!$C$35),T3654,0))</f>
        <v>0</v>
      </c>
      <c r="V3654" s="85">
        <f>IF(ISNA(IF(AND(VLOOKUP(CONCATENATE($D3654,$G3654),CSRFinput!$B:$E,4,0)=0,OR(H3654=MappingTables!$C$34,H3654=MappingTables!$C$35)),1,VLOOKUP(CONCATENATE($D3654,$G3654),CSRFinput!$B:$E,4,0))),0,IF(AND(VLOOKUP(CONCATENATE($D3654,$G3654),CSRFinput!$B:$E,4,0)=0,OR(H3654=MappingTables!$C$34,H3654=MappingTables!$C$35)),1,VLOOKUP(CONCATENATE($D3654,$G3654),CSRFinput!$B:$E,4,0)))</f>
        <v>0.054776304963434752</v>
      </c>
      <c r="W3654" s="85">
        <f>IF(B3654="",0,+$T3654*$V3654)</f>
        <v>118.48061875345294</v>
      </c>
      <c r="X3654" s="85">
        <f>IF(B3654="",0,IF(OR(H3654=MappingTables!$C$34,H3654=MappingTables!$C$35),W3654,0))</f>
        <v>0</v>
      </c>
    </row>
    <row r="3655" spans="2:24" s="0" customFormat="0" ht="15">
      <c r="B3655" s="69">
        <v>12738122</v>
      </c>
      <c r="C3655" s="70" t="s">
        <v>2260</v>
      </c>
      <c r="D3655" s="70" t="s">
        <v>1</v>
      </c>
      <c r="E3655" s="70" t="s">
        <v>1</v>
      </c>
      <c r="F3655" s="70"/>
      <c r="G3655" s="70" t="s">
        <v>61</v>
      </c>
      <c r="H3655" s="70" t="s">
        <v>178</v>
      </c>
      <c r="I3655" s="70" t="s">
        <v>188</v>
      </c>
      <c r="J3655" s="71">
        <f>IF(OR(I3655=0,I3655=""),"unrated",VLOOKUP(I3655,MappingTables!$B$19:$C$31,2,FALSE))</f>
        <v>2</v>
      </c>
      <c r="K3655" s="72">
        <v>164.38107783739188</v>
      </c>
      <c r="L3655" s="70">
        <v>0.77405261412611536</v>
      </c>
      <c r="M3655" s="71">
        <f>IF(L3655&lt;1,1,L3655)</f>
        <v>1</v>
      </c>
      <c r="N3655" s="70" t="s">
        <v>141</v>
      </c>
      <c r="O3655" s="71">
        <f>INDEX(DurClassMapping,MATCH(M3655,MappingTables!$D$4:$D$8,-1),1)</f>
        <v>1</v>
      </c>
      <c r="P3655" s="73">
        <f>IF(M3655=$A$1,1,$M3655-INDEX(MappingTables!$E$4:$E$8,MATCH(O3655,MappingTables!$B$4:$B$8,0)))</f>
        <v>1</v>
      </c>
      <c r="Q3655" s="71">
        <f>IF(B3655="",0,INDEX(ModelParameters!$D$6:$K$10,MATCH($O3655,ModelParameters!$B$6:$B$10,0),MATCH($J3655,ModelParameters!$D$5:$K$5,0)))</f>
        <v>0.013999999999999998</v>
      </c>
      <c r="R3655" s="71">
        <f>IF(B3655="",0,INDEX(ModelParameters!$D$13:$K$17,MATCH($O3655,ModelParameters!$B$13:$B$17,0),MATCH($J3655,ModelParameters!$D$5:$K$5,0)))</f>
        <v>0</v>
      </c>
      <c r="S3655" s="160">
        <f>IF(B3655="",0,MIN(IF($N3655="Other Bond TM",ModelParameters!$N$21,1)*(P3655*Q3655+R3655),1))</f>
        <v>0.013999999999999998</v>
      </c>
      <c r="T3655" s="85">
        <f>IF(B3655="",0,$S3655*$K3655)</f>
        <v>2.301335089723486</v>
      </c>
      <c r="U3655" s="85">
        <f>IF(B3655="",0,IF(OR(H3655=MappingTables!$C$34,H3655=MappingTables!$C$35),T3655,0))</f>
        <v>0</v>
      </c>
      <c r="V3655" s="85">
        <f>IF(ISNA(IF(AND(VLOOKUP(CONCATENATE($D3655,$G3655),CSRFinput!$B:$E,4,0)=0,OR(H3655=MappingTables!$C$34,H3655=MappingTables!$C$35)),1,VLOOKUP(CONCATENATE($D3655,$G3655),CSRFinput!$B:$E,4,0))),0,IF(AND(VLOOKUP(CONCATENATE($D3655,$G3655),CSRFinput!$B:$E,4,0)=0,OR(H3655=MappingTables!$C$34,H3655=MappingTables!$C$35)),1,VLOOKUP(CONCATENATE($D3655,$G3655),CSRFinput!$B:$E,4,0)))</f>
        <v>0.054776304963434752</v>
      </c>
      <c r="W3655" s="85">
        <f>IF(B3655="",0,+$T3655*$V3655)</f>
        <v>0.12605863269774714</v>
      </c>
      <c r="X3655" s="85">
        <f>IF(B3655="",0,IF(OR(H3655=MappingTables!$C$34,H3655=MappingTables!$C$35),W3655,0))</f>
        <v>0</v>
      </c>
    </row>
    <row r="3656" spans="2:24" s="0" customFormat="0" ht="15">
      <c r="B3656" s="69">
        <v>20810865</v>
      </c>
      <c r="C3656" s="70" t="s">
        <v>2623</v>
      </c>
      <c r="D3656" s="70" t="s">
        <v>1</v>
      </c>
      <c r="E3656" s="70" t="s">
        <v>1</v>
      </c>
      <c r="F3656" s="70"/>
      <c r="G3656" s="70" t="s">
        <v>61</v>
      </c>
      <c r="H3656" s="70" t="s">
        <v>178</v>
      </c>
      <c r="I3656" s="70" t="s">
        <v>181</v>
      </c>
      <c r="J3656" s="71">
        <f>IF(OR(I3656=0,I3656=""),"unrated",VLOOKUP(I3656,MappingTables!$B$19:$C$31,2,FALSE))</f>
        <v>3</v>
      </c>
      <c r="K3656" s="72">
        <v>573.38057323287328</v>
      </c>
      <c r="L3656" s="70">
        <v>7.1643219977446856</v>
      </c>
      <c r="M3656" s="71">
        <f>IF(L3656&lt;1,1,L3656)</f>
        <v>7.1643219977446856</v>
      </c>
      <c r="N3656" s="70" t="s">
        <v>141</v>
      </c>
      <c r="O3656" s="71">
        <f>INDEX(DurClassMapping,MATCH(M3656,MappingTables!$D$4:$D$8,-1),1)</f>
        <v>2</v>
      </c>
      <c r="P3656" s="73">
        <f>IF(M3656=$A$1,1,$M3656-INDEX(MappingTables!$E$4:$E$8,MATCH(O3656,MappingTables!$B$4:$B$8,0)))</f>
        <v>2.1643219977446852</v>
      </c>
      <c r="Q3656" s="71">
        <f>IF(B3656="",0,INDEX(ModelParameters!$D$6:$K$10,MATCH($O3656,ModelParameters!$B$6:$B$10,0),MATCH($J3656,ModelParameters!$D$5:$K$5,0)))</f>
        <v>0.015</v>
      </c>
      <c r="R3656" s="71">
        <f>IF(B3656="",0,INDEX(ModelParameters!$D$13:$K$17,MATCH($O3656,ModelParameters!$B$13:$B$17,0),MATCH($J3656,ModelParameters!$D$5:$K$5,0)))</f>
        <v>0.125</v>
      </c>
      <c r="S3656" s="160">
        <f>IF(B3656="",0,MIN(IF($N3656="Other Bond TM",ModelParameters!$N$21,1)*(P3656*Q3656+R3656),1))</f>
        <v>0.15746482996617028</v>
      </c>
      <c r="T3656" s="85">
        <f>IF(B3656="",0,$S3656*$K3656)</f>
        <v>90.287274470019632</v>
      </c>
      <c r="U3656" s="85">
        <f>IF(B3656="",0,IF(OR(H3656=MappingTables!$C$34,H3656=MappingTables!$C$35),T3656,0))</f>
        <v>0</v>
      </c>
      <c r="V3656" s="85">
        <f>IF(ISNA(IF(AND(VLOOKUP(CONCATENATE($D3656,$G3656),CSRFinput!$B:$E,4,0)=0,OR(H3656=MappingTables!$C$34,H3656=MappingTables!$C$35)),1,VLOOKUP(CONCATENATE($D3656,$G3656),CSRFinput!$B:$E,4,0))),0,IF(AND(VLOOKUP(CONCATENATE($D3656,$G3656),CSRFinput!$B:$E,4,0)=0,OR(H3656=MappingTables!$C$34,H3656=MappingTables!$C$35)),1,VLOOKUP(CONCATENATE($D3656,$G3656),CSRFinput!$B:$E,4,0)))</f>
        <v>0.054776304963434752</v>
      </c>
      <c r="W3656" s="85">
        <f>IF(B3656="",0,+$T3656*$V3656)</f>
        <v>4.945603280687132</v>
      </c>
      <c r="X3656" s="85">
        <f>IF(B3656="",0,IF(OR(H3656=MappingTables!$C$34,H3656=MappingTables!$C$35),W3656,0))</f>
        <v>0</v>
      </c>
    </row>
    <row r="3657" spans="2:24" s="0" customFormat="0" ht="15">
      <c r="B3657" s="69" t="s">
        <v>2735</v>
      </c>
      <c r="C3657" s="70" t="s">
        <v>2736</v>
      </c>
      <c r="D3657" s="70" t="s">
        <v>1</v>
      </c>
      <c r="E3657" s="70" t="s">
        <v>1</v>
      </c>
      <c r="F3657" s="70"/>
      <c r="G3657" s="70" t="s">
        <v>61</v>
      </c>
      <c r="H3657" s="70" t="s">
        <v>178</v>
      </c>
      <c r="I3657" s="70" t="s">
        <v>198</v>
      </c>
      <c r="J3657" s="71" t="str">
        <f>IF(OR(I3657=0,I3657=""),"unrated",VLOOKUP(I3657,MappingTables!$B$19:$C$31,2,FALSE))</f>
        <v>unrated</v>
      </c>
      <c r="K3657" s="72">
        <v>4.9402148308768432</v>
      </c>
      <c r="L3657" s="70">
        <v>0.06849480193268352</v>
      </c>
      <c r="M3657" s="71">
        <f>IF(L3657&lt;1,1,L3657)</f>
        <v>1</v>
      </c>
      <c r="N3657" s="70" t="s">
        <v>141</v>
      </c>
      <c r="O3657" s="71">
        <f>INDEX(DurClassMapping,MATCH(M3657,MappingTables!$D$4:$D$8,-1),1)</f>
        <v>1</v>
      </c>
      <c r="P3657" s="73">
        <f>IF(M3657=$A$1,1,$M3657-INDEX(MappingTables!$E$4:$E$8,MATCH(O3657,MappingTables!$B$4:$B$8,0)))</f>
        <v>1</v>
      </c>
      <c r="Q3657" s="71">
        <f>IF(B3657="",0,INDEX(ModelParameters!$D$6:$K$10,MATCH($O3657,ModelParameters!$B$6:$B$10,0),MATCH($J3657,ModelParameters!$D$5:$K$5,0)))</f>
        <v>0.03</v>
      </c>
      <c r="R3657" s="71">
        <f>IF(B3657="",0,INDEX(ModelParameters!$D$13:$K$17,MATCH($O3657,ModelParameters!$B$13:$B$17,0),MATCH($J3657,ModelParameters!$D$5:$K$5,0)))</f>
        <v>0</v>
      </c>
      <c r="S3657" s="160">
        <f>IF(B3657="",0,MIN(IF($N3657="Other Bond TM",ModelParameters!$N$21,1)*(P3657*Q3657+R3657),1))</f>
        <v>0.03</v>
      </c>
      <c r="T3657" s="85">
        <f>IF(B3657="",0,$S3657*$K3657)</f>
        <v>0.14820644492630528</v>
      </c>
      <c r="U3657" s="85">
        <f>IF(B3657="",0,IF(OR(H3657=MappingTables!$C$34,H3657=MappingTables!$C$35),T3657,0))</f>
        <v>0</v>
      </c>
      <c r="V3657" s="85">
        <f>IF(ISNA(IF(AND(VLOOKUP(CONCATENATE($D3657,$G3657),CSRFinput!$B:$E,4,0)=0,OR(H3657=MappingTables!$C$34,H3657=MappingTables!$C$35)),1,VLOOKUP(CONCATENATE($D3657,$G3657),CSRFinput!$B:$E,4,0))),0,IF(AND(VLOOKUP(CONCATENATE($D3657,$G3657),CSRFinput!$B:$E,4,0)=0,OR(H3657=MappingTables!$C$34,H3657=MappingTables!$C$35)),1,VLOOKUP(CONCATENATE($D3657,$G3657),CSRFinput!$B:$E,4,0)))</f>
        <v>0.054776304963434752</v>
      </c>
      <c r="W3657" s="85">
        <f>IF(B3657="",0,+$T3657*$V3657)</f>
        <v>0.0081182014248297952</v>
      </c>
      <c r="X3657" s="85">
        <f>IF(B3657="",0,IF(OR(H3657=MappingTables!$C$34,H3657=MappingTables!$C$35),W3657,0))</f>
        <v>0</v>
      </c>
    </row>
    <row r="3658" spans="2:24" s="0" customFormat="0" ht="15">
      <c r="B3658" s="69">
        <v>14818854</v>
      </c>
      <c r="C3658" s="70" t="s">
        <v>2913</v>
      </c>
      <c r="D3658" s="70" t="s">
        <v>1</v>
      </c>
      <c r="E3658" s="70" t="s">
        <v>1</v>
      </c>
      <c r="F3658" s="70"/>
      <c r="G3658" s="70" t="s">
        <v>61</v>
      </c>
      <c r="H3658" s="70" t="s">
        <v>178</v>
      </c>
      <c r="I3658" s="70" t="s">
        <v>181</v>
      </c>
      <c r="J3658" s="71">
        <f>IF(OR(I3658=0,I3658=""),"unrated",VLOOKUP(I3658,MappingTables!$B$19:$C$31,2,FALSE))</f>
        <v>3</v>
      </c>
      <c r="K3658" s="72">
        <v>1972.9669678884492</v>
      </c>
      <c r="L3658" s="70">
        <v>0.038353927250660624</v>
      </c>
      <c r="M3658" s="71">
        <f>IF(L3658&lt;1,1,L3658)</f>
        <v>1</v>
      </c>
      <c r="N3658" s="70" t="s">
        <v>141</v>
      </c>
      <c r="O3658" s="71">
        <f>INDEX(DurClassMapping,MATCH(M3658,MappingTables!$D$4:$D$8,-1),1)</f>
        <v>1</v>
      </c>
      <c r="P3658" s="73">
        <f>IF(M3658=$A$1,1,$M3658-INDEX(MappingTables!$E$4:$E$8,MATCH(O3658,MappingTables!$B$4:$B$8,0)))</f>
        <v>1</v>
      </c>
      <c r="Q3658" s="71">
        <f>IF(B3658="",0,INDEX(ModelParameters!$D$6:$K$10,MATCH($O3658,ModelParameters!$B$6:$B$10,0),MATCH($J3658,ModelParameters!$D$5:$K$5,0)))</f>
        <v>0.025</v>
      </c>
      <c r="R3658" s="71">
        <f>IF(B3658="",0,INDEX(ModelParameters!$D$13:$K$17,MATCH($O3658,ModelParameters!$B$13:$B$17,0),MATCH($J3658,ModelParameters!$D$5:$K$5,0)))</f>
        <v>0</v>
      </c>
      <c r="S3658" s="160">
        <f>IF(B3658="",0,MIN(IF($N3658="Other Bond TM",ModelParameters!$N$21,1)*(P3658*Q3658+R3658),1))</f>
        <v>0.025</v>
      </c>
      <c r="T3658" s="85">
        <f>IF(B3658="",0,$S3658*$K3658)</f>
        <v>49.324174197211232</v>
      </c>
      <c r="U3658" s="85">
        <f>IF(B3658="",0,IF(OR(H3658=MappingTables!$C$34,H3658=MappingTables!$C$35),T3658,0))</f>
        <v>0</v>
      </c>
      <c r="V3658" s="85">
        <f>IF(ISNA(IF(AND(VLOOKUP(CONCATENATE($D3658,$G3658),CSRFinput!$B:$E,4,0)=0,OR(H3658=MappingTables!$C$34,H3658=MappingTables!$C$35)),1,VLOOKUP(CONCATENATE($D3658,$G3658),CSRFinput!$B:$E,4,0))),0,IF(AND(VLOOKUP(CONCATENATE($D3658,$G3658),CSRFinput!$B:$E,4,0)=0,OR(H3658=MappingTables!$C$34,H3658=MappingTables!$C$35)),1,VLOOKUP(CONCATENATE($D3658,$G3658),CSRFinput!$B:$E,4,0)))</f>
        <v>0.054776304963434752</v>
      </c>
      <c r="W3658" s="85">
        <f>IF(B3658="",0,+$T3658*$V3658)</f>
        <v>2.7017960078960224</v>
      </c>
      <c r="X3658" s="85">
        <f>IF(B3658="",0,IF(OR(H3658=MappingTables!$C$34,H3658=MappingTables!$C$35),W3658,0))</f>
        <v>0</v>
      </c>
    </row>
    <row r="3659" spans="2:24" s="0" customFormat="0" ht="15">
      <c r="B3659" s="69">
        <v>17619857</v>
      </c>
      <c r="C3659" s="70" t="s">
        <v>2715</v>
      </c>
      <c r="D3659" s="70" t="s">
        <v>1</v>
      </c>
      <c r="E3659" s="70" t="s">
        <v>1</v>
      </c>
      <c r="F3659" s="70"/>
      <c r="G3659" s="70" t="s">
        <v>61</v>
      </c>
      <c r="H3659" s="70" t="s">
        <v>178</v>
      </c>
      <c r="I3659" s="70" t="s">
        <v>179</v>
      </c>
      <c r="J3659" s="71">
        <f>IF(OR(I3659=0,I3659=""),"unrated",VLOOKUP(I3659,MappingTables!$B$19:$C$31,2,FALSE))</f>
        <v>4</v>
      </c>
      <c r="K3659" s="72">
        <v>36.564791054351824</v>
      </c>
      <c r="L3659" s="70">
        <v>0.087673447823871456</v>
      </c>
      <c r="M3659" s="71">
        <f>IF(L3659&lt;1,1,L3659)</f>
        <v>1</v>
      </c>
      <c r="N3659" s="70" t="s">
        <v>141</v>
      </c>
      <c r="O3659" s="71">
        <f>INDEX(DurClassMapping,MATCH(M3659,MappingTables!$D$4:$D$8,-1),1)</f>
        <v>1</v>
      </c>
      <c r="P3659" s="73">
        <f>IF(M3659=$A$1,1,$M3659-INDEX(MappingTables!$E$4:$E$8,MATCH(O3659,MappingTables!$B$4:$B$8,0)))</f>
        <v>1</v>
      </c>
      <c r="Q3659" s="71">
        <f>IF(B3659="",0,INDEX(ModelParameters!$D$6:$K$10,MATCH($O3659,ModelParameters!$B$6:$B$10,0),MATCH($J3659,ModelParameters!$D$5:$K$5,0)))</f>
        <v>0.045</v>
      </c>
      <c r="R3659" s="71">
        <f>IF(B3659="",0,INDEX(ModelParameters!$D$13:$K$17,MATCH($O3659,ModelParameters!$B$13:$B$17,0),MATCH($J3659,ModelParameters!$D$5:$K$5,0)))</f>
        <v>0</v>
      </c>
      <c r="S3659" s="160">
        <f>IF(B3659="",0,MIN(IF($N3659="Other Bond TM",ModelParameters!$N$21,1)*(P3659*Q3659+R3659),1))</f>
        <v>0.045</v>
      </c>
      <c r="T3659" s="85">
        <f>IF(B3659="",0,$S3659*$K3659)</f>
        <v>1.645415597445832</v>
      </c>
      <c r="U3659" s="85">
        <f>IF(B3659="",0,IF(OR(H3659=MappingTables!$C$34,H3659=MappingTables!$C$35),T3659,0))</f>
        <v>0</v>
      </c>
      <c r="V3659" s="85">
        <f>IF(ISNA(IF(AND(VLOOKUP(CONCATENATE($D3659,$G3659),CSRFinput!$B:$E,4,0)=0,OR(H3659=MappingTables!$C$34,H3659=MappingTables!$C$35)),1,VLOOKUP(CONCATENATE($D3659,$G3659),CSRFinput!$B:$E,4,0))),0,IF(AND(VLOOKUP(CONCATENATE($D3659,$G3659),CSRFinput!$B:$E,4,0)=0,OR(H3659=MappingTables!$C$34,H3659=MappingTables!$C$35)),1,VLOOKUP(CONCATENATE($D3659,$G3659),CSRFinput!$B:$E,4,0)))</f>
        <v>0.054776304963434752</v>
      </c>
      <c r="W3659" s="85">
        <f>IF(B3659="",0,+$T3659*$V3659)</f>
        <v>0.090129786557285088</v>
      </c>
      <c r="X3659" s="85">
        <f>IF(B3659="",0,IF(OR(H3659=MappingTables!$C$34,H3659=MappingTables!$C$35),W3659,0))</f>
        <v>0</v>
      </c>
    </row>
    <row r="3660" spans="2:24" s="0" customFormat="0" ht="15">
      <c r="B3660" s="69" t="s">
        <v>353</v>
      </c>
      <c r="C3660" s="70" t="s">
        <v>354</v>
      </c>
      <c r="D3660" s="70" t="s">
        <v>1</v>
      </c>
      <c r="E3660" s="70" t="s">
        <v>1</v>
      </c>
      <c r="F3660" s="70"/>
      <c r="G3660" s="70" t="s">
        <v>61</v>
      </c>
      <c r="H3660" s="70" t="s">
        <v>178</v>
      </c>
      <c r="I3660" s="70" t="s">
        <v>179</v>
      </c>
      <c r="J3660" s="71">
        <f>IF(OR(I3660=0,I3660=""),"unrated",VLOOKUP(I3660,MappingTables!$B$19:$C$31,2,FALSE))</f>
        <v>4</v>
      </c>
      <c r="K3660" s="72">
        <v>60.220016719757288</v>
      </c>
      <c r="L3660" s="70">
        <v>5.4882708690928792</v>
      </c>
      <c r="M3660" s="71">
        <f>IF(L3660&lt;1,1,L3660)</f>
        <v>5.4882708690928792</v>
      </c>
      <c r="N3660" s="70" t="s">
        <v>141</v>
      </c>
      <c r="O3660" s="71">
        <f>INDEX(DurClassMapping,MATCH(M3660,MappingTables!$D$4:$D$8,-1),1)</f>
        <v>2</v>
      </c>
      <c r="P3660" s="73">
        <f>IF(M3660=$A$1,1,$M3660-INDEX(MappingTables!$E$4:$E$8,MATCH(O3660,MappingTables!$B$4:$B$8,0)))</f>
        <v>0.48827086909287944</v>
      </c>
      <c r="Q3660" s="71">
        <f>IF(B3660="",0,INDEX(ModelParameters!$D$6:$K$10,MATCH($O3660,ModelParameters!$B$6:$B$10,0),MATCH($J3660,ModelParameters!$D$5:$K$5,0)))</f>
        <v>0.025</v>
      </c>
      <c r="R3660" s="71">
        <f>IF(B3660="",0,INDEX(ModelParameters!$D$13:$K$17,MATCH($O3660,ModelParameters!$B$13:$B$17,0),MATCH($J3660,ModelParameters!$D$5:$K$5,0)))</f>
        <v>0.225</v>
      </c>
      <c r="S3660" s="160">
        <f>IF(B3660="",0,MIN(IF($N3660="Other Bond TM",ModelParameters!$N$21,1)*(P3660*Q3660+R3660),1))</f>
        <v>0.237206771727322</v>
      </c>
      <c r="T3660" s="85">
        <f>IF(B3660="",0,$S3660*$K3660)</f>
        <v>14.28459575945898</v>
      </c>
      <c r="U3660" s="85">
        <f>IF(B3660="",0,IF(OR(H3660=MappingTables!$C$34,H3660=MappingTables!$C$35),T3660,0))</f>
        <v>0</v>
      </c>
      <c r="V3660" s="85">
        <f>IF(ISNA(IF(AND(VLOOKUP(CONCATENATE($D3660,$G3660),CSRFinput!$B:$E,4,0)=0,OR(H3660=MappingTables!$C$34,H3660=MappingTables!$C$35)),1,VLOOKUP(CONCATENATE($D3660,$G3660),CSRFinput!$B:$E,4,0))),0,IF(AND(VLOOKUP(CONCATENATE($D3660,$G3660),CSRFinput!$B:$E,4,0)=0,OR(H3660=MappingTables!$C$34,H3660=MappingTables!$C$35)),1,VLOOKUP(CONCATENATE($D3660,$G3660),CSRFinput!$B:$E,4,0)))</f>
        <v>0.054776304963434752</v>
      </c>
      <c r="W3660" s="85">
        <f>IF(B3660="",0,+$T3660*$V3660)</f>
        <v>0.782457373599512</v>
      </c>
      <c r="X3660" s="85">
        <f>IF(B3660="",0,IF(OR(H3660=MappingTables!$C$34,H3660=MappingTables!$C$35),W3660,0))</f>
        <v>0</v>
      </c>
    </row>
    <row r="3661" spans="2:24" s="0" customFormat="0" ht="15">
      <c r="B3661" s="69">
        <v>7178602</v>
      </c>
      <c r="C3661" s="70" t="s">
        <v>2456</v>
      </c>
      <c r="D3661" s="70" t="s">
        <v>1</v>
      </c>
      <c r="E3661" s="70" t="s">
        <v>1</v>
      </c>
      <c r="F3661" s="70"/>
      <c r="G3661" s="70" t="s">
        <v>61</v>
      </c>
      <c r="H3661" s="70" t="s">
        <v>178</v>
      </c>
      <c r="I3661" s="70" t="s">
        <v>188</v>
      </c>
      <c r="J3661" s="71">
        <f>IF(OR(I3661=0,I3661=""),"unrated",VLOOKUP(I3661,MappingTables!$B$19:$C$31,2,FALSE))</f>
        <v>2</v>
      </c>
      <c r="K3661" s="72">
        <v>0.8831749747365912</v>
      </c>
      <c r="L3661" s="70">
        <v>0.15616572843525512</v>
      </c>
      <c r="M3661" s="71">
        <f>IF(L3661&lt;1,1,L3661)</f>
        <v>1</v>
      </c>
      <c r="N3661" s="70" t="s">
        <v>141</v>
      </c>
      <c r="O3661" s="71">
        <f>INDEX(DurClassMapping,MATCH(M3661,MappingTables!$D$4:$D$8,-1),1)</f>
        <v>1</v>
      </c>
      <c r="P3661" s="73">
        <f>IF(M3661=$A$1,1,$M3661-INDEX(MappingTables!$E$4:$E$8,MATCH(O3661,MappingTables!$B$4:$B$8,0)))</f>
        <v>1</v>
      </c>
      <c r="Q3661" s="71">
        <f>IF(B3661="",0,INDEX(ModelParameters!$D$6:$K$10,MATCH($O3661,ModelParameters!$B$6:$B$10,0),MATCH($J3661,ModelParameters!$D$5:$K$5,0)))</f>
        <v>0.013999999999999998</v>
      </c>
      <c r="R3661" s="71">
        <f>IF(B3661="",0,INDEX(ModelParameters!$D$13:$K$17,MATCH($O3661,ModelParameters!$B$13:$B$17,0),MATCH($J3661,ModelParameters!$D$5:$K$5,0)))</f>
        <v>0</v>
      </c>
      <c r="S3661" s="160">
        <f>IF(B3661="",0,MIN(IF($N3661="Other Bond TM",ModelParameters!$N$21,1)*(P3661*Q3661+R3661),1))</f>
        <v>0.013999999999999998</v>
      </c>
      <c r="T3661" s="85">
        <f>IF(B3661="",0,$S3661*$K3661)</f>
        <v>0.012364449646312276</v>
      </c>
      <c r="U3661" s="85">
        <f>IF(B3661="",0,IF(OR(H3661=MappingTables!$C$34,H3661=MappingTables!$C$35),T3661,0))</f>
        <v>0</v>
      </c>
      <c r="V3661" s="85">
        <f>IF(ISNA(IF(AND(VLOOKUP(CONCATENATE($D3661,$G3661),CSRFinput!$B:$E,4,0)=0,OR(H3661=MappingTables!$C$34,H3661=MappingTables!$C$35)),1,VLOOKUP(CONCATENATE($D3661,$G3661),CSRFinput!$B:$E,4,0))),0,IF(AND(VLOOKUP(CONCATENATE($D3661,$G3661),CSRFinput!$B:$E,4,0)=0,OR(H3661=MappingTables!$C$34,H3661=MappingTables!$C$35)),1,VLOOKUP(CONCATENATE($D3661,$G3661),CSRFinput!$B:$E,4,0)))</f>
        <v>0.054776304963434752</v>
      </c>
      <c r="W3661" s="85">
        <f>IF(B3661="",0,+$T3661*$V3661)</f>
        <v>0.00067727886453143416</v>
      </c>
      <c r="X3661" s="85">
        <f>IF(B3661="",0,IF(OR(H3661=MappingTables!$C$34,H3661=MappingTables!$C$35),W3661,0))</f>
        <v>0</v>
      </c>
    </row>
    <row r="3662" spans="2:24" s="0" customFormat="0" ht="15">
      <c r="B3662" s="69">
        <v>23353688</v>
      </c>
      <c r="C3662" s="70" t="s">
        <v>308</v>
      </c>
      <c r="D3662" s="70" t="s">
        <v>1</v>
      </c>
      <c r="E3662" s="70" t="s">
        <v>1</v>
      </c>
      <c r="F3662" s="70"/>
      <c r="G3662" s="70" t="s">
        <v>61</v>
      </c>
      <c r="H3662" s="70" t="s">
        <v>178</v>
      </c>
      <c r="I3662" s="70" t="s">
        <v>179</v>
      </c>
      <c r="J3662" s="71">
        <f>IF(OR(I3662=0,I3662=""),"unrated",VLOOKUP(I3662,MappingTables!$B$19:$C$31,2,FALSE))</f>
        <v>4</v>
      </c>
      <c r="K3662" s="72">
        <v>53.70035275315708</v>
      </c>
      <c r="L3662" s="70">
        <v>2.3008221405129184</v>
      </c>
      <c r="M3662" s="71">
        <f>IF(L3662&lt;1,1,L3662)</f>
        <v>2.3008221405129184</v>
      </c>
      <c r="N3662" s="70" t="s">
        <v>141</v>
      </c>
      <c r="O3662" s="71">
        <f>INDEX(DurClassMapping,MATCH(M3662,MappingTables!$D$4:$D$8,-1),1)</f>
        <v>1</v>
      </c>
      <c r="P3662" s="73">
        <f>IF(M3662=$A$1,1,$M3662-INDEX(MappingTables!$E$4:$E$8,MATCH(O3662,MappingTables!$B$4:$B$8,0)))</f>
        <v>2.3008221405129184</v>
      </c>
      <c r="Q3662" s="71">
        <f>IF(B3662="",0,INDEX(ModelParameters!$D$6:$K$10,MATCH($O3662,ModelParameters!$B$6:$B$10,0),MATCH($J3662,ModelParameters!$D$5:$K$5,0)))</f>
        <v>0.045</v>
      </c>
      <c r="R3662" s="71">
        <f>IF(B3662="",0,INDEX(ModelParameters!$D$13:$K$17,MATCH($O3662,ModelParameters!$B$13:$B$17,0),MATCH($J3662,ModelParameters!$D$5:$K$5,0)))</f>
        <v>0</v>
      </c>
      <c r="S3662" s="160">
        <f>IF(B3662="",0,MIN(IF($N3662="Other Bond TM",ModelParameters!$N$21,1)*(P3662*Q3662+R3662),1))</f>
        <v>0.10353699632308132</v>
      </c>
      <c r="T3662" s="85">
        <f>IF(B3662="",0,$S3662*$K3662)</f>
        <v>5.5599732255517944</v>
      </c>
      <c r="U3662" s="85">
        <f>IF(B3662="",0,IF(OR(H3662=MappingTables!$C$34,H3662=MappingTables!$C$35),T3662,0))</f>
        <v>0</v>
      </c>
      <c r="V3662" s="85">
        <f>IF(ISNA(IF(AND(VLOOKUP(CONCATENATE($D3662,$G3662),CSRFinput!$B:$E,4,0)=0,OR(H3662=MappingTables!$C$34,H3662=MappingTables!$C$35)),1,VLOOKUP(CONCATENATE($D3662,$G3662),CSRFinput!$B:$E,4,0))),0,IF(AND(VLOOKUP(CONCATENATE($D3662,$G3662),CSRFinput!$B:$E,4,0)=0,OR(H3662=MappingTables!$C$34,H3662=MappingTables!$C$35)),1,VLOOKUP(CONCATENATE($D3662,$G3662),CSRFinput!$B:$E,4,0)))</f>
        <v>0.054776304963434752</v>
      </c>
      <c r="W3662" s="85">
        <f>IF(B3662="",0,+$T3662*$V3662)</f>
        <v>0.30455478899135708</v>
      </c>
      <c r="X3662" s="85">
        <f>IF(B3662="",0,IF(OR(H3662=MappingTables!$C$34,H3662=MappingTables!$C$35),W3662,0))</f>
        <v>0</v>
      </c>
    </row>
    <row r="3663" spans="2:24" s="0" customFormat="0" ht="15">
      <c r="B3663" s="69" t="s">
        <v>2914</v>
      </c>
      <c r="C3663" s="70" t="s">
        <v>2915</v>
      </c>
      <c r="D3663" s="70" t="s">
        <v>1</v>
      </c>
      <c r="E3663" s="70" t="s">
        <v>1</v>
      </c>
      <c r="F3663" s="70"/>
      <c r="G3663" s="70" t="s">
        <v>61</v>
      </c>
      <c r="H3663" s="70" t="s">
        <v>178</v>
      </c>
      <c r="I3663" s="70" t="s">
        <v>179</v>
      </c>
      <c r="J3663" s="71">
        <f>IF(OR(I3663=0,I3663=""),"unrated",VLOOKUP(I3663,MappingTables!$B$19:$C$31,2,FALSE))</f>
        <v>4</v>
      </c>
      <c r="K3663" s="72">
        <v>1917.9841438620488</v>
      </c>
      <c r="L3663" s="70">
        <v>1.435013672786994</v>
      </c>
      <c r="M3663" s="71">
        <f>IF(L3663&lt;1,1,L3663)</f>
        <v>1.435013672786994</v>
      </c>
      <c r="N3663" s="70" t="s">
        <v>141</v>
      </c>
      <c r="O3663" s="71">
        <f>INDEX(DurClassMapping,MATCH(M3663,MappingTables!$D$4:$D$8,-1),1)</f>
        <v>1</v>
      </c>
      <c r="P3663" s="73">
        <f>IF(M3663=$A$1,1,$M3663-INDEX(MappingTables!$E$4:$E$8,MATCH(O3663,MappingTables!$B$4:$B$8,0)))</f>
        <v>1.435013672786994</v>
      </c>
      <c r="Q3663" s="71">
        <f>IF(B3663="",0,INDEX(ModelParameters!$D$6:$K$10,MATCH($O3663,ModelParameters!$B$6:$B$10,0),MATCH($J3663,ModelParameters!$D$5:$K$5,0)))</f>
        <v>0.045</v>
      </c>
      <c r="R3663" s="71">
        <f>IF(B3663="",0,INDEX(ModelParameters!$D$13:$K$17,MATCH($O3663,ModelParameters!$B$13:$B$17,0),MATCH($J3663,ModelParameters!$D$5:$K$5,0)))</f>
        <v>0</v>
      </c>
      <c r="S3663" s="160">
        <f>IF(B3663="",0,MIN(IF($N3663="Other Bond TM",ModelParameters!$N$21,1)*(P3663*Q3663+R3663),1))</f>
        <v>0.06457561527541472</v>
      </c>
      <c r="T3663" s="85">
        <f>IF(B3663="",0,$S3663*$K3663)</f>
        <v>123.85500617838134</v>
      </c>
      <c r="U3663" s="85">
        <f>IF(B3663="",0,IF(OR(H3663=MappingTables!$C$34,H3663=MappingTables!$C$35),T3663,0))</f>
        <v>0</v>
      </c>
      <c r="V3663" s="85">
        <f>IF(ISNA(IF(AND(VLOOKUP(CONCATENATE($D3663,$G3663),CSRFinput!$B:$E,4,0)=0,OR(H3663=MappingTables!$C$34,H3663=MappingTables!$C$35)),1,VLOOKUP(CONCATENATE($D3663,$G3663),CSRFinput!$B:$E,4,0))),0,IF(AND(VLOOKUP(CONCATENATE($D3663,$G3663),CSRFinput!$B:$E,4,0)=0,OR(H3663=MappingTables!$C$34,H3663=MappingTables!$C$35)),1,VLOOKUP(CONCATENATE($D3663,$G3663),CSRFinput!$B:$E,4,0)))</f>
        <v>0.054776304963434752</v>
      </c>
      <c r="W3663" s="85">
        <f>IF(B3663="",0,+$T3663*$V3663)</f>
        <v>6.784319589675112</v>
      </c>
      <c r="X3663" s="85">
        <f>IF(B3663="",0,IF(OR(H3663=MappingTables!$C$34,H3663=MappingTables!$C$35),W3663,0))</f>
        <v>0</v>
      </c>
    </row>
    <row r="3664" spans="2:24" s="0" customFormat="0" ht="15">
      <c r="B3664" s="69">
        <v>14410290</v>
      </c>
      <c r="C3664" s="70" t="s">
        <v>2195</v>
      </c>
      <c r="D3664" s="70" t="s">
        <v>1</v>
      </c>
      <c r="E3664" s="70" t="s">
        <v>1</v>
      </c>
      <c r="F3664" s="70"/>
      <c r="G3664" s="70" t="s">
        <v>61</v>
      </c>
      <c r="H3664" s="70" t="s">
        <v>178</v>
      </c>
      <c r="I3664" s="70" t="s">
        <v>181</v>
      </c>
      <c r="J3664" s="71">
        <f>IF(OR(I3664=0,I3664=""),"unrated",VLOOKUP(I3664,MappingTables!$B$19:$C$31,2,FALSE))</f>
        <v>3</v>
      </c>
      <c r="K3664" s="72">
        <v>2717.5225067260136</v>
      </c>
      <c r="L3664" s="70">
        <v>0.48492942535443736</v>
      </c>
      <c r="M3664" s="71">
        <f>IF(L3664&lt;1,1,L3664)</f>
        <v>1</v>
      </c>
      <c r="N3664" s="70" t="s">
        <v>141</v>
      </c>
      <c r="O3664" s="71">
        <f>INDEX(DurClassMapping,MATCH(M3664,MappingTables!$D$4:$D$8,-1),1)</f>
        <v>1</v>
      </c>
      <c r="P3664" s="73">
        <f>IF(M3664=$A$1,1,$M3664-INDEX(MappingTables!$E$4:$E$8,MATCH(O3664,MappingTables!$B$4:$B$8,0)))</f>
        <v>1</v>
      </c>
      <c r="Q3664" s="71">
        <f>IF(B3664="",0,INDEX(ModelParameters!$D$6:$K$10,MATCH($O3664,ModelParameters!$B$6:$B$10,0),MATCH($J3664,ModelParameters!$D$5:$K$5,0)))</f>
        <v>0.025</v>
      </c>
      <c r="R3664" s="71">
        <f>IF(B3664="",0,INDEX(ModelParameters!$D$13:$K$17,MATCH($O3664,ModelParameters!$B$13:$B$17,0),MATCH($J3664,ModelParameters!$D$5:$K$5,0)))</f>
        <v>0</v>
      </c>
      <c r="S3664" s="160">
        <f>IF(B3664="",0,MIN(IF($N3664="Other Bond TM",ModelParameters!$N$21,1)*(P3664*Q3664+R3664),1))</f>
        <v>0.025</v>
      </c>
      <c r="T3664" s="85">
        <f>IF(B3664="",0,$S3664*$K3664)</f>
        <v>67.938062668150336</v>
      </c>
      <c r="U3664" s="85">
        <f>IF(B3664="",0,IF(OR(H3664=MappingTables!$C$34,H3664=MappingTables!$C$35),T3664,0))</f>
        <v>0</v>
      </c>
      <c r="V3664" s="85">
        <f>IF(ISNA(IF(AND(VLOOKUP(CONCATENATE($D3664,$G3664),CSRFinput!$B:$E,4,0)=0,OR(H3664=MappingTables!$C$34,H3664=MappingTables!$C$35)),1,VLOOKUP(CONCATENATE($D3664,$G3664),CSRFinput!$B:$E,4,0))),0,IF(AND(VLOOKUP(CONCATENATE($D3664,$G3664),CSRFinput!$B:$E,4,0)=0,OR(H3664=MappingTables!$C$34,H3664=MappingTables!$C$35)),1,VLOOKUP(CONCATENATE($D3664,$G3664),CSRFinput!$B:$E,4,0)))</f>
        <v>0.054776304963434752</v>
      </c>
      <c r="W3664" s="85">
        <f>IF(B3664="",0,+$T3664*$V3664)</f>
        <v>3.7213960393355448</v>
      </c>
      <c r="X3664" s="85">
        <f>IF(B3664="",0,IF(OR(H3664=MappingTables!$C$34,H3664=MappingTables!$C$35),W3664,0))</f>
        <v>0</v>
      </c>
    </row>
    <row r="3665" spans="2:24" s="0" customFormat="0" ht="15">
      <c r="B3665" s="69" t="s">
        <v>2837</v>
      </c>
      <c r="C3665" s="70" t="s">
        <v>2838</v>
      </c>
      <c r="D3665" s="70" t="s">
        <v>1</v>
      </c>
      <c r="E3665" s="70" t="s">
        <v>1</v>
      </c>
      <c r="F3665" s="70"/>
      <c r="G3665" s="70" t="s">
        <v>61</v>
      </c>
      <c r="H3665" s="70" t="s">
        <v>178</v>
      </c>
      <c r="I3665" s="70" t="s">
        <v>188</v>
      </c>
      <c r="J3665" s="71">
        <f>IF(OR(I3665=0,I3665=""),"unrated",VLOOKUP(I3665,MappingTables!$B$19:$C$31,2,FALSE))</f>
        <v>2</v>
      </c>
      <c r="K3665" s="72">
        <v>4.8320408744728016</v>
      </c>
      <c r="L3665" s="70">
        <v>0.038359346762017208</v>
      </c>
      <c r="M3665" s="71">
        <f>IF(L3665&lt;1,1,L3665)</f>
        <v>1</v>
      </c>
      <c r="N3665" s="70" t="s">
        <v>141</v>
      </c>
      <c r="O3665" s="71">
        <f>INDEX(DurClassMapping,MATCH(M3665,MappingTables!$D$4:$D$8,-1),1)</f>
        <v>1</v>
      </c>
      <c r="P3665" s="73">
        <f>IF(M3665=$A$1,1,$M3665-INDEX(MappingTables!$E$4:$E$8,MATCH(O3665,MappingTables!$B$4:$B$8,0)))</f>
        <v>1</v>
      </c>
      <c r="Q3665" s="71">
        <f>IF(B3665="",0,INDEX(ModelParameters!$D$6:$K$10,MATCH($O3665,ModelParameters!$B$6:$B$10,0),MATCH($J3665,ModelParameters!$D$5:$K$5,0)))</f>
        <v>0.013999999999999998</v>
      </c>
      <c r="R3665" s="71">
        <f>IF(B3665="",0,INDEX(ModelParameters!$D$13:$K$17,MATCH($O3665,ModelParameters!$B$13:$B$17,0),MATCH($J3665,ModelParameters!$D$5:$K$5,0)))</f>
        <v>0</v>
      </c>
      <c r="S3665" s="160">
        <f>IF(B3665="",0,MIN(IF($N3665="Other Bond TM",ModelParameters!$N$21,1)*(P3665*Q3665+R3665),1))</f>
        <v>0.013999999999999998</v>
      </c>
      <c r="T3665" s="85">
        <f>IF(B3665="",0,$S3665*$K3665)</f>
        <v>0.067648572242619224</v>
      </c>
      <c r="U3665" s="85">
        <f>IF(B3665="",0,IF(OR(H3665=MappingTables!$C$34,H3665=MappingTables!$C$35),T3665,0))</f>
        <v>0</v>
      </c>
      <c r="V3665" s="85">
        <f>IF(ISNA(IF(AND(VLOOKUP(CONCATENATE($D3665,$G3665),CSRFinput!$B:$E,4,0)=0,OR(H3665=MappingTables!$C$34,H3665=MappingTables!$C$35)),1,VLOOKUP(CONCATENATE($D3665,$G3665),CSRFinput!$B:$E,4,0))),0,IF(AND(VLOOKUP(CONCATENATE($D3665,$G3665),CSRFinput!$B:$E,4,0)=0,OR(H3665=MappingTables!$C$34,H3665=MappingTables!$C$35)),1,VLOOKUP(CONCATENATE($D3665,$G3665),CSRFinput!$B:$E,4,0)))</f>
        <v>0.054776304963434752</v>
      </c>
      <c r="W3665" s="85">
        <f>IF(B3665="",0,+$T3665*$V3665)</f>
        <v>0.0037055388235026576</v>
      </c>
      <c r="X3665" s="85">
        <f>IF(B3665="",0,IF(OR(H3665=MappingTables!$C$34,H3665=MappingTables!$C$35),W3665,0))</f>
        <v>0</v>
      </c>
    </row>
    <row r="3666" spans="2:24" s="0" customFormat="0" ht="15">
      <c r="B3666" s="69">
        <v>20959890</v>
      </c>
      <c r="C3666" s="70" t="s">
        <v>2916</v>
      </c>
      <c r="D3666" s="70" t="s">
        <v>1</v>
      </c>
      <c r="E3666" s="70" t="s">
        <v>1</v>
      </c>
      <c r="F3666" s="70"/>
      <c r="G3666" s="70" t="s">
        <v>61</v>
      </c>
      <c r="H3666" s="70" t="s">
        <v>178</v>
      </c>
      <c r="I3666" s="70" t="s">
        <v>184</v>
      </c>
      <c r="J3666" s="71">
        <f>IF(OR(I3666=0,I3666=""),"unrated",VLOOKUP(I3666,MappingTables!$B$19:$C$31,2,FALSE))</f>
        <v>5</v>
      </c>
      <c r="K3666" s="72">
        <v>340.76051344830096</v>
      </c>
      <c r="L3666" s="70">
        <v>0.70233884654378064</v>
      </c>
      <c r="M3666" s="71">
        <f>IF(L3666&lt;1,1,L3666)</f>
        <v>1</v>
      </c>
      <c r="N3666" s="70" t="s">
        <v>141</v>
      </c>
      <c r="O3666" s="71">
        <f>INDEX(DurClassMapping,MATCH(M3666,MappingTables!$D$4:$D$8,-1),1)</f>
        <v>1</v>
      </c>
      <c r="P3666" s="73">
        <f>IF(M3666=$A$1,1,$M3666-INDEX(MappingTables!$E$4:$E$8,MATCH(O3666,MappingTables!$B$4:$B$8,0)))</f>
        <v>1</v>
      </c>
      <c r="Q3666" s="71">
        <f>IF(B3666="",0,INDEX(ModelParameters!$D$6:$K$10,MATCH($O3666,ModelParameters!$B$6:$B$10,0),MATCH($J3666,ModelParameters!$D$5:$K$5,0)))</f>
        <v>0.075</v>
      </c>
      <c r="R3666" s="71">
        <f>IF(B3666="",0,INDEX(ModelParameters!$D$13:$K$17,MATCH($O3666,ModelParameters!$B$13:$B$17,0),MATCH($J3666,ModelParameters!$D$5:$K$5,0)))</f>
        <v>0</v>
      </c>
      <c r="S3666" s="160">
        <f>IF(B3666="",0,MIN(IF($N3666="Other Bond TM",ModelParameters!$N$21,1)*(P3666*Q3666+R3666),1))</f>
        <v>0.075</v>
      </c>
      <c r="T3666" s="85">
        <f>IF(B3666="",0,$S3666*$K3666)</f>
        <v>25.557038508622572</v>
      </c>
      <c r="U3666" s="85">
        <f>IF(B3666="",0,IF(OR(H3666=MappingTables!$C$34,H3666=MappingTables!$C$35),T3666,0))</f>
        <v>0</v>
      </c>
      <c r="V3666" s="85">
        <f>IF(ISNA(IF(AND(VLOOKUP(CONCATENATE($D3666,$G3666),CSRFinput!$B:$E,4,0)=0,OR(H3666=MappingTables!$C$34,H3666=MappingTables!$C$35)),1,VLOOKUP(CONCATENATE($D3666,$G3666),CSRFinput!$B:$E,4,0))),0,IF(AND(VLOOKUP(CONCATENATE($D3666,$G3666),CSRFinput!$B:$E,4,0)=0,OR(H3666=MappingTables!$C$34,H3666=MappingTables!$C$35)),1,VLOOKUP(CONCATENATE($D3666,$G3666),CSRFinput!$B:$E,4,0)))</f>
        <v>0.054776304963434752</v>
      </c>
      <c r="W3666" s="85">
        <f>IF(B3666="",0,+$T3666*$V3666)</f>
        <v>1.3999201353105558</v>
      </c>
      <c r="X3666" s="85">
        <f>IF(B3666="",0,IF(OR(H3666=MappingTables!$C$34,H3666=MappingTables!$C$35),W3666,0))</f>
        <v>0</v>
      </c>
    </row>
    <row r="3667" spans="2:24" s="0" customFormat="0" ht="15">
      <c r="B3667" s="69">
        <v>19746433</v>
      </c>
      <c r="C3667" s="70" t="s">
        <v>266</v>
      </c>
      <c r="D3667" s="70" t="s">
        <v>1</v>
      </c>
      <c r="E3667" s="70" t="s">
        <v>1</v>
      </c>
      <c r="F3667" s="70"/>
      <c r="G3667" s="70" t="s">
        <v>61</v>
      </c>
      <c r="H3667" s="70" t="s">
        <v>178</v>
      </c>
      <c r="I3667" s="70" t="s">
        <v>184</v>
      </c>
      <c r="J3667" s="71">
        <f>IF(OR(I3667=0,I3667=""),"unrated",VLOOKUP(I3667,MappingTables!$B$19:$C$31,2,FALSE))</f>
        <v>5</v>
      </c>
      <c r="K3667" s="72">
        <v>326.8534309226752</v>
      </c>
      <c r="L3667" s="70">
        <v>0.41644181366643736</v>
      </c>
      <c r="M3667" s="71">
        <f>IF(L3667&lt;1,1,L3667)</f>
        <v>1</v>
      </c>
      <c r="N3667" s="70" t="s">
        <v>141</v>
      </c>
      <c r="O3667" s="71">
        <f>INDEX(DurClassMapping,MATCH(M3667,MappingTables!$D$4:$D$8,-1),1)</f>
        <v>1</v>
      </c>
      <c r="P3667" s="73">
        <f>IF(M3667=$A$1,1,$M3667-INDEX(MappingTables!$E$4:$E$8,MATCH(O3667,MappingTables!$B$4:$B$8,0)))</f>
        <v>1</v>
      </c>
      <c r="Q3667" s="71">
        <f>IF(B3667="",0,INDEX(ModelParameters!$D$6:$K$10,MATCH($O3667,ModelParameters!$B$6:$B$10,0),MATCH($J3667,ModelParameters!$D$5:$K$5,0)))</f>
        <v>0.075</v>
      </c>
      <c r="R3667" s="71">
        <f>IF(B3667="",0,INDEX(ModelParameters!$D$13:$K$17,MATCH($O3667,ModelParameters!$B$13:$B$17,0),MATCH($J3667,ModelParameters!$D$5:$K$5,0)))</f>
        <v>0</v>
      </c>
      <c r="S3667" s="160">
        <f>IF(B3667="",0,MIN(IF($N3667="Other Bond TM",ModelParameters!$N$21,1)*(P3667*Q3667+R3667),1))</f>
        <v>0.075</v>
      </c>
      <c r="T3667" s="85">
        <f>IF(B3667="",0,$S3667*$K3667)</f>
        <v>24.51400731920064</v>
      </c>
      <c r="U3667" s="85">
        <f>IF(B3667="",0,IF(OR(H3667=MappingTables!$C$34,H3667=MappingTables!$C$35),T3667,0))</f>
        <v>0</v>
      </c>
      <c r="V3667" s="85">
        <f>IF(ISNA(IF(AND(VLOOKUP(CONCATENATE($D3667,$G3667),CSRFinput!$B:$E,4,0)=0,OR(H3667=MappingTables!$C$34,H3667=MappingTables!$C$35)),1,VLOOKUP(CONCATENATE($D3667,$G3667),CSRFinput!$B:$E,4,0))),0,IF(AND(VLOOKUP(CONCATENATE($D3667,$G3667),CSRFinput!$B:$E,4,0)=0,OR(H3667=MappingTables!$C$34,H3667=MappingTables!$C$35)),1,VLOOKUP(CONCATENATE($D3667,$G3667),CSRFinput!$B:$E,4,0)))</f>
        <v>0.054776304963434752</v>
      </c>
      <c r="W3667" s="85">
        <f>IF(B3667="",0,+$T3667*$V3667)</f>
        <v>1.3427867407924058</v>
      </c>
      <c r="X3667" s="85">
        <f>IF(B3667="",0,IF(OR(H3667=MappingTables!$C$34,H3667=MappingTables!$C$35),W3667,0))</f>
        <v>0</v>
      </c>
    </row>
    <row r="3668" spans="2:24" s="0" customFormat="0" ht="15">
      <c r="B3668" s="69">
        <v>14729825</v>
      </c>
      <c r="C3668" s="70" t="s">
        <v>614</v>
      </c>
      <c r="D3668" s="70" t="s">
        <v>1</v>
      </c>
      <c r="E3668" s="70" t="s">
        <v>1</v>
      </c>
      <c r="F3668" s="70"/>
      <c r="G3668" s="70" t="s">
        <v>61</v>
      </c>
      <c r="H3668" s="70" t="s">
        <v>178</v>
      </c>
      <c r="I3668" s="70" t="s">
        <v>179</v>
      </c>
      <c r="J3668" s="71">
        <f>IF(OR(I3668=0,I3668=""),"unrated",VLOOKUP(I3668,MappingTables!$B$19:$C$31,2,FALSE))</f>
        <v>4</v>
      </c>
      <c r="K3668" s="72">
        <v>35969.724480866536</v>
      </c>
      <c r="L3668" s="70">
        <v>6.2132688299800952</v>
      </c>
      <c r="M3668" s="71">
        <f>IF(L3668&lt;1,1,L3668)</f>
        <v>6.2132688299800952</v>
      </c>
      <c r="N3668" s="70" t="s">
        <v>141</v>
      </c>
      <c r="O3668" s="71">
        <f>INDEX(DurClassMapping,MATCH(M3668,MappingTables!$D$4:$D$8,-1),1)</f>
        <v>2</v>
      </c>
      <c r="P3668" s="73">
        <f>IF(M3668=$A$1,1,$M3668-INDEX(MappingTables!$E$4:$E$8,MATCH(O3668,MappingTables!$B$4:$B$8,0)))</f>
        <v>1.2132688299800956</v>
      </c>
      <c r="Q3668" s="71">
        <f>IF(B3668="",0,INDEX(ModelParameters!$D$6:$K$10,MATCH($O3668,ModelParameters!$B$6:$B$10,0),MATCH($J3668,ModelParameters!$D$5:$K$5,0)))</f>
        <v>0.025</v>
      </c>
      <c r="R3668" s="71">
        <f>IF(B3668="",0,INDEX(ModelParameters!$D$13:$K$17,MATCH($O3668,ModelParameters!$B$13:$B$17,0),MATCH($J3668,ModelParameters!$D$5:$K$5,0)))</f>
        <v>0.225</v>
      </c>
      <c r="S3668" s="160">
        <f>IF(B3668="",0,MIN(IF($N3668="Other Bond TM",ModelParameters!$N$21,1)*(P3668*Q3668+R3668),1))</f>
        <v>0.2553317207495024</v>
      </c>
      <c r="T3668" s="85">
        <f>IF(B3668="",0,$S3668*$K3668)</f>
        <v>9184.2116465851536</v>
      </c>
      <c r="U3668" s="85">
        <f>IF(B3668="",0,IF(OR(H3668=MappingTables!$C$34,H3668=MappingTables!$C$35),T3668,0))</f>
        <v>0</v>
      </c>
      <c r="V3668" s="85">
        <f>IF(ISNA(IF(AND(VLOOKUP(CONCATENATE($D3668,$G3668),CSRFinput!$B:$E,4,0)=0,OR(H3668=MappingTables!$C$34,H3668=MappingTables!$C$35)),1,VLOOKUP(CONCATENATE($D3668,$G3668),CSRFinput!$B:$E,4,0))),0,IF(AND(VLOOKUP(CONCATENATE($D3668,$G3668),CSRFinput!$B:$E,4,0)=0,OR(H3668=MappingTables!$C$34,H3668=MappingTables!$C$35)),1,VLOOKUP(CONCATENATE($D3668,$G3668),CSRFinput!$B:$E,4,0)))</f>
        <v>0.054776304963434752</v>
      </c>
      <c r="W3668" s="85">
        <f>IF(B3668="",0,+$T3668*$V3668)</f>
        <v>503.0771780020776</v>
      </c>
      <c r="X3668" s="85">
        <f>IF(B3668="",0,IF(OR(H3668=MappingTables!$C$34,H3668=MappingTables!$C$35),W3668,0))</f>
        <v>0</v>
      </c>
    </row>
    <row r="3669" spans="2:24" s="0" customFormat="0" ht="15">
      <c r="B3669" s="69">
        <v>12331144</v>
      </c>
      <c r="C3669" s="70" t="s">
        <v>2398</v>
      </c>
      <c r="D3669" s="70" t="s">
        <v>1</v>
      </c>
      <c r="E3669" s="70" t="s">
        <v>1</v>
      </c>
      <c r="F3669" s="70"/>
      <c r="G3669" s="70" t="s">
        <v>61</v>
      </c>
      <c r="H3669" s="70" t="s">
        <v>178</v>
      </c>
      <c r="I3669" s="70" t="s">
        <v>181</v>
      </c>
      <c r="J3669" s="71">
        <f>IF(OR(I3669=0,I3669=""),"unrated",VLOOKUP(I3669,MappingTables!$B$19:$C$31,2,FALSE))</f>
        <v>3</v>
      </c>
      <c r="K3669" s="72">
        <v>71.401579542192008</v>
      </c>
      <c r="L3669" s="70">
        <v>0.5047931168204404</v>
      </c>
      <c r="M3669" s="71">
        <f>IF(L3669&lt;1,1,L3669)</f>
        <v>1</v>
      </c>
      <c r="N3669" s="70" t="s">
        <v>141</v>
      </c>
      <c r="O3669" s="71">
        <f>INDEX(DurClassMapping,MATCH(M3669,MappingTables!$D$4:$D$8,-1),1)</f>
        <v>1</v>
      </c>
      <c r="P3669" s="73">
        <f>IF(M3669=$A$1,1,$M3669-INDEX(MappingTables!$E$4:$E$8,MATCH(O3669,MappingTables!$B$4:$B$8,0)))</f>
        <v>1</v>
      </c>
      <c r="Q3669" s="71">
        <f>IF(B3669="",0,INDEX(ModelParameters!$D$6:$K$10,MATCH($O3669,ModelParameters!$B$6:$B$10,0),MATCH($J3669,ModelParameters!$D$5:$K$5,0)))</f>
        <v>0.025</v>
      </c>
      <c r="R3669" s="71">
        <f>IF(B3669="",0,INDEX(ModelParameters!$D$13:$K$17,MATCH($O3669,ModelParameters!$B$13:$B$17,0),MATCH($J3669,ModelParameters!$D$5:$K$5,0)))</f>
        <v>0</v>
      </c>
      <c r="S3669" s="160">
        <f>IF(B3669="",0,MIN(IF($N3669="Other Bond TM",ModelParameters!$N$21,1)*(P3669*Q3669+R3669),1))</f>
        <v>0.025</v>
      </c>
      <c r="T3669" s="85">
        <f>IF(B3669="",0,$S3669*$K3669)</f>
        <v>1.7850394885548004</v>
      </c>
      <c r="U3669" s="85">
        <f>IF(B3669="",0,IF(OR(H3669=MappingTables!$C$34,H3669=MappingTables!$C$35),T3669,0))</f>
        <v>0</v>
      </c>
      <c r="V3669" s="85">
        <f>IF(ISNA(IF(AND(VLOOKUP(CONCATENATE($D3669,$G3669),CSRFinput!$B:$E,4,0)=0,OR(H3669=MappingTables!$C$34,H3669=MappingTables!$C$35)),1,VLOOKUP(CONCATENATE($D3669,$G3669),CSRFinput!$B:$E,4,0))),0,IF(AND(VLOOKUP(CONCATENATE($D3669,$G3669),CSRFinput!$B:$E,4,0)=0,OR(H3669=MappingTables!$C$34,H3669=MappingTables!$C$35)),1,VLOOKUP(CONCATENATE($D3669,$G3669),CSRFinput!$B:$E,4,0)))</f>
        <v>0.054776304963434752</v>
      </c>
      <c r="W3669" s="85">
        <f>IF(B3669="",0,+$T3669*$V3669)</f>
        <v>0.097777867396851344</v>
      </c>
      <c r="X3669" s="85">
        <f>IF(B3669="",0,IF(OR(H3669=MappingTables!$C$34,H3669=MappingTables!$C$35),W3669,0))</f>
        <v>0</v>
      </c>
    </row>
    <row r="3670" spans="2:24" s="0" customFormat="0" ht="15">
      <c r="B3670" s="69" t="s">
        <v>1632</v>
      </c>
      <c r="C3670" s="70" t="s">
        <v>1633</v>
      </c>
      <c r="D3670" s="70" t="s">
        <v>1</v>
      </c>
      <c r="E3670" s="70" t="s">
        <v>1</v>
      </c>
      <c r="F3670" s="70"/>
      <c r="G3670" s="70" t="s">
        <v>61</v>
      </c>
      <c r="H3670" s="70" t="s">
        <v>178</v>
      </c>
      <c r="I3670" s="70" t="s">
        <v>188</v>
      </c>
      <c r="J3670" s="71">
        <f>IF(OR(I3670=0,I3670=""),"unrated",VLOOKUP(I3670,MappingTables!$B$19:$C$31,2,FALSE))</f>
        <v>2</v>
      </c>
      <c r="K3670" s="72">
        <v>495.05637478307376</v>
      </c>
      <c r="L3670" s="70">
        <v>3.4557883660939064</v>
      </c>
      <c r="M3670" s="71">
        <f>IF(L3670&lt;1,1,L3670)</f>
        <v>3.4557883660939064</v>
      </c>
      <c r="N3670" s="70" t="s">
        <v>141</v>
      </c>
      <c r="O3670" s="71">
        <f>INDEX(DurClassMapping,MATCH(M3670,MappingTables!$D$4:$D$8,-1),1)</f>
        <v>1</v>
      </c>
      <c r="P3670" s="73">
        <f>IF(M3670=$A$1,1,$M3670-INDEX(MappingTables!$E$4:$E$8,MATCH(O3670,MappingTables!$B$4:$B$8,0)))</f>
        <v>3.4557883660939064</v>
      </c>
      <c r="Q3670" s="71">
        <f>IF(B3670="",0,INDEX(ModelParameters!$D$6:$K$10,MATCH($O3670,ModelParameters!$B$6:$B$10,0),MATCH($J3670,ModelParameters!$D$5:$K$5,0)))</f>
        <v>0.013999999999999998</v>
      </c>
      <c r="R3670" s="71">
        <f>IF(B3670="",0,INDEX(ModelParameters!$D$13:$K$17,MATCH($O3670,ModelParameters!$B$13:$B$17,0),MATCH($J3670,ModelParameters!$D$5:$K$5,0)))</f>
        <v>0</v>
      </c>
      <c r="S3670" s="160">
        <f>IF(B3670="",0,MIN(IF($N3670="Other Bond TM",ModelParameters!$N$21,1)*(P3670*Q3670+R3670),1))</f>
        <v>0.04838103712531468</v>
      </c>
      <c r="T3670" s="85">
        <f>IF(B3670="",0,$S3670*$K3670)</f>
        <v>23.951340847503592</v>
      </c>
      <c r="U3670" s="85">
        <f>IF(B3670="",0,IF(OR(H3670=MappingTables!$C$34,H3670=MappingTables!$C$35),T3670,0))</f>
        <v>0</v>
      </c>
      <c r="V3670" s="85">
        <f>IF(ISNA(IF(AND(VLOOKUP(CONCATENATE($D3670,$G3670),CSRFinput!$B:$E,4,0)=0,OR(H3670=MappingTables!$C$34,H3670=MappingTables!$C$35)),1,VLOOKUP(CONCATENATE($D3670,$G3670),CSRFinput!$B:$E,4,0))),0,IF(AND(VLOOKUP(CONCATENATE($D3670,$G3670),CSRFinput!$B:$E,4,0)=0,OR(H3670=MappingTables!$C$34,H3670=MappingTables!$C$35)),1,VLOOKUP(CONCATENATE($D3670,$G3670),CSRFinput!$B:$E,4,0)))</f>
        <v>0.054776304963434752</v>
      </c>
      <c r="W3670" s="85">
        <f>IF(B3670="",0,+$T3670*$V3670)</f>
        <v>1.3119659505460286</v>
      </c>
      <c r="X3670" s="85">
        <f>IF(B3670="",0,IF(OR(H3670=MappingTables!$C$34,H3670=MappingTables!$C$35),W3670,0))</f>
        <v>0</v>
      </c>
    </row>
    <row r="3671" spans="2:24" s="0" customFormat="0" ht="15">
      <c r="B3671" s="69">
        <v>19031474</v>
      </c>
      <c r="C3671" s="70" t="s">
        <v>2133</v>
      </c>
      <c r="D3671" s="70" t="s">
        <v>1</v>
      </c>
      <c r="E3671" s="70" t="s">
        <v>1</v>
      </c>
      <c r="F3671" s="70"/>
      <c r="G3671" s="70" t="s">
        <v>61</v>
      </c>
      <c r="H3671" s="70" t="s">
        <v>178</v>
      </c>
      <c r="I3671" s="70" t="s">
        <v>188</v>
      </c>
      <c r="J3671" s="71">
        <f>IF(OR(I3671=0,I3671=""),"unrated",VLOOKUP(I3671,MappingTables!$B$19:$C$31,2,FALSE))</f>
        <v>2</v>
      </c>
      <c r="K3671" s="72">
        <v>161.26587841356042</v>
      </c>
      <c r="L3671" s="70">
        <v>0.019176710516646536</v>
      </c>
      <c r="M3671" s="71">
        <f>IF(L3671&lt;1,1,L3671)</f>
        <v>1</v>
      </c>
      <c r="N3671" s="70" t="s">
        <v>141</v>
      </c>
      <c r="O3671" s="71">
        <f>INDEX(DurClassMapping,MATCH(M3671,MappingTables!$D$4:$D$8,-1),1)</f>
        <v>1</v>
      </c>
      <c r="P3671" s="73">
        <f>IF(M3671=$A$1,1,$M3671-INDEX(MappingTables!$E$4:$E$8,MATCH(O3671,MappingTables!$B$4:$B$8,0)))</f>
        <v>1</v>
      </c>
      <c r="Q3671" s="71">
        <f>IF(B3671="",0,INDEX(ModelParameters!$D$6:$K$10,MATCH($O3671,ModelParameters!$B$6:$B$10,0),MATCH($J3671,ModelParameters!$D$5:$K$5,0)))</f>
        <v>0.013999999999999998</v>
      </c>
      <c r="R3671" s="71">
        <f>IF(B3671="",0,INDEX(ModelParameters!$D$13:$K$17,MATCH($O3671,ModelParameters!$B$13:$B$17,0),MATCH($J3671,ModelParameters!$D$5:$K$5,0)))</f>
        <v>0</v>
      </c>
      <c r="S3671" s="160">
        <f>IF(B3671="",0,MIN(IF($N3671="Other Bond TM",ModelParameters!$N$21,1)*(P3671*Q3671+R3671),1))</f>
        <v>0.013999999999999998</v>
      </c>
      <c r="T3671" s="85">
        <f>IF(B3671="",0,$S3671*$K3671)</f>
        <v>2.2577222977898456</v>
      </c>
      <c r="U3671" s="85">
        <f>IF(B3671="",0,IF(OR(H3671=MappingTables!$C$34,H3671=MappingTables!$C$35),T3671,0))</f>
        <v>0</v>
      </c>
      <c r="V3671" s="85">
        <f>IF(ISNA(IF(AND(VLOOKUP(CONCATENATE($D3671,$G3671),CSRFinput!$B:$E,4,0)=0,OR(H3671=MappingTables!$C$34,H3671=MappingTables!$C$35)),1,VLOOKUP(CONCATENATE($D3671,$G3671),CSRFinput!$B:$E,4,0))),0,IF(AND(VLOOKUP(CONCATENATE($D3671,$G3671),CSRFinput!$B:$E,4,0)=0,OR(H3671=MappingTables!$C$34,H3671=MappingTables!$C$35)),1,VLOOKUP(CONCATENATE($D3671,$G3671),CSRFinput!$B:$E,4,0)))</f>
        <v>0.054776304963434752</v>
      </c>
      <c r="W3671" s="85">
        <f>IF(B3671="",0,+$T3671*$V3671)</f>
        <v>0.12366968510648322</v>
      </c>
      <c r="X3671" s="85">
        <f>IF(B3671="",0,IF(OR(H3671=MappingTables!$C$34,H3671=MappingTables!$C$35),W3671,0))</f>
        <v>0</v>
      </c>
    </row>
    <row r="3672" spans="2:24" s="0" customFormat="0" ht="15">
      <c r="B3672" s="69" t="s">
        <v>2724</v>
      </c>
      <c r="C3672" s="70" t="s">
        <v>2725</v>
      </c>
      <c r="D3672" s="70" t="s">
        <v>1</v>
      </c>
      <c r="E3672" s="70" t="s">
        <v>1</v>
      </c>
      <c r="F3672" s="70"/>
      <c r="G3672" s="70" t="s">
        <v>61</v>
      </c>
      <c r="H3672" s="70" t="s">
        <v>178</v>
      </c>
      <c r="I3672" s="70" t="s">
        <v>204</v>
      </c>
      <c r="J3672" s="71">
        <f>IF(OR(I3672=0,I3672=""),"unrated",VLOOKUP(I3672,MappingTables!$B$19:$C$31,2,FALSE))</f>
        <v>6</v>
      </c>
      <c r="K3672" s="72">
        <v>21273.111221385476</v>
      </c>
      <c r="L3672" s="70">
        <v>4.1484303418937632</v>
      </c>
      <c r="M3672" s="71">
        <f>IF(L3672&lt;1,1,L3672)</f>
        <v>4.1484303418937632</v>
      </c>
      <c r="N3672" s="70" t="s">
        <v>141</v>
      </c>
      <c r="O3672" s="71">
        <f>INDEX(DurClassMapping,MATCH(M3672,MappingTables!$D$4:$D$8,-1),1)</f>
        <v>1</v>
      </c>
      <c r="P3672" s="73">
        <f>IF(M3672=$A$1,1,$M3672-INDEX(MappingTables!$E$4:$E$8,MATCH(O3672,MappingTables!$B$4:$B$8,0)))</f>
        <v>4.1484303418937632</v>
      </c>
      <c r="Q3672" s="71">
        <f>IF(B3672="",0,INDEX(ModelParameters!$D$6:$K$10,MATCH($O3672,ModelParameters!$B$6:$B$10,0),MATCH($J3672,ModelParameters!$D$5:$K$5,0)))</f>
        <v>0.075</v>
      </c>
      <c r="R3672" s="71">
        <f>IF(B3672="",0,INDEX(ModelParameters!$D$13:$K$17,MATCH($O3672,ModelParameters!$B$13:$B$17,0),MATCH($J3672,ModelParameters!$D$5:$K$5,0)))</f>
        <v>0</v>
      </c>
      <c r="S3672" s="160">
        <f>IF(B3672="",0,MIN(IF($N3672="Other Bond TM",ModelParameters!$N$21,1)*(P3672*Q3672+R3672),1))</f>
        <v>0.3111322756420322</v>
      </c>
      <c r="T3672" s="85">
        <f>IF(B3672="",0,$S3672*$K3672)</f>
        <v>6618.7515042957144</v>
      </c>
      <c r="U3672" s="85">
        <f>IF(B3672="",0,IF(OR(H3672=MappingTables!$C$34,H3672=MappingTables!$C$35),T3672,0))</f>
        <v>0</v>
      </c>
      <c r="V3672" s="85">
        <f>IF(ISNA(IF(AND(VLOOKUP(CONCATENATE($D3672,$G3672),CSRFinput!$B:$E,4,0)=0,OR(H3672=MappingTables!$C$34,H3672=MappingTables!$C$35)),1,VLOOKUP(CONCATENATE($D3672,$G3672),CSRFinput!$B:$E,4,0))),0,IF(AND(VLOOKUP(CONCATENATE($D3672,$G3672),CSRFinput!$B:$E,4,0)=0,OR(H3672=MappingTables!$C$34,H3672=MappingTables!$C$35)),1,VLOOKUP(CONCATENATE($D3672,$G3672),CSRFinput!$B:$E,4,0)))</f>
        <v>0.054776304963434752</v>
      </c>
      <c r="W3672" s="85">
        <f>IF(B3672="",0,+$T3672*$V3672)</f>
        <v>362.55075087649456</v>
      </c>
      <c r="X3672" s="85">
        <f>IF(B3672="",0,IF(OR(H3672=MappingTables!$C$34,H3672=MappingTables!$C$35),W3672,0))</f>
        <v>0</v>
      </c>
    </row>
    <row r="3673" spans="2:24" s="0" customFormat="0" ht="15">
      <c r="B3673" s="69">
        <v>11238601</v>
      </c>
      <c r="C3673" s="70" t="s">
        <v>535</v>
      </c>
      <c r="D3673" s="70" t="s">
        <v>1</v>
      </c>
      <c r="E3673" s="70" t="s">
        <v>1</v>
      </c>
      <c r="F3673" s="70"/>
      <c r="G3673" s="70" t="s">
        <v>61</v>
      </c>
      <c r="H3673" s="70" t="s">
        <v>178</v>
      </c>
      <c r="I3673" s="70" t="s">
        <v>181</v>
      </c>
      <c r="J3673" s="71">
        <f>IF(OR(I3673=0,I3673=""),"unrated",VLOOKUP(I3673,MappingTables!$B$19:$C$31,2,FALSE))</f>
        <v>3</v>
      </c>
      <c r="K3673" s="72">
        <v>92.705789781165824</v>
      </c>
      <c r="L3673" s="70">
        <v>4.7038763419482416</v>
      </c>
      <c r="M3673" s="71">
        <f>IF(L3673&lt;1,1,L3673)</f>
        <v>4.7038763419482416</v>
      </c>
      <c r="N3673" s="70" t="s">
        <v>141</v>
      </c>
      <c r="O3673" s="71">
        <f>INDEX(DurClassMapping,MATCH(M3673,MappingTables!$D$4:$D$8,-1),1)</f>
        <v>1</v>
      </c>
      <c r="P3673" s="73">
        <f>IF(M3673=$A$1,1,$M3673-INDEX(MappingTables!$E$4:$E$8,MATCH(O3673,MappingTables!$B$4:$B$8,0)))</f>
        <v>4.7038763419482416</v>
      </c>
      <c r="Q3673" s="71">
        <f>IF(B3673="",0,INDEX(ModelParameters!$D$6:$K$10,MATCH($O3673,ModelParameters!$B$6:$B$10,0),MATCH($J3673,ModelParameters!$D$5:$K$5,0)))</f>
        <v>0.025</v>
      </c>
      <c r="R3673" s="71">
        <f>IF(B3673="",0,INDEX(ModelParameters!$D$13:$K$17,MATCH($O3673,ModelParameters!$B$13:$B$17,0),MATCH($J3673,ModelParameters!$D$5:$K$5,0)))</f>
        <v>0</v>
      </c>
      <c r="S3673" s="160">
        <f>IF(B3673="",0,MIN(IF($N3673="Other Bond TM",ModelParameters!$N$21,1)*(P3673*Q3673+R3673),1))</f>
        <v>0.11759690854870604</v>
      </c>
      <c r="T3673" s="85">
        <f>IF(B3673="",0,$S3673*$K3673)</f>
        <v>10.901914282831324</v>
      </c>
      <c r="U3673" s="85">
        <f>IF(B3673="",0,IF(OR(H3673=MappingTables!$C$34,H3673=MappingTables!$C$35),T3673,0))</f>
        <v>0</v>
      </c>
      <c r="V3673" s="85">
        <f>IF(ISNA(IF(AND(VLOOKUP(CONCATENATE($D3673,$G3673),CSRFinput!$B:$E,4,0)=0,OR(H3673=MappingTables!$C$34,H3673=MappingTables!$C$35)),1,VLOOKUP(CONCATENATE($D3673,$G3673),CSRFinput!$B:$E,4,0))),0,IF(AND(VLOOKUP(CONCATENATE($D3673,$G3673),CSRFinput!$B:$E,4,0)=0,OR(H3673=MappingTables!$C$34,H3673=MappingTables!$C$35)),1,VLOOKUP(CONCATENATE($D3673,$G3673),CSRFinput!$B:$E,4,0)))</f>
        <v>0.054776304963434752</v>
      </c>
      <c r="W3673" s="85">
        <f>IF(B3673="",0,+$T3673*$V3673)</f>
        <v>0.59716658144159376</v>
      </c>
      <c r="X3673" s="85">
        <f>IF(B3673="",0,IF(OR(H3673=MappingTables!$C$34,H3673=MappingTables!$C$35),W3673,0))</f>
        <v>0</v>
      </c>
    </row>
    <row r="3674" spans="2:24" s="0" customFormat="0" ht="15">
      <c r="B3674" s="69">
        <v>10566104</v>
      </c>
      <c r="C3674" s="70" t="s">
        <v>1056</v>
      </c>
      <c r="D3674" s="70" t="s">
        <v>1</v>
      </c>
      <c r="E3674" s="70" t="s">
        <v>1</v>
      </c>
      <c r="F3674" s="70"/>
      <c r="G3674" s="70" t="s">
        <v>61</v>
      </c>
      <c r="H3674" s="70" t="s">
        <v>178</v>
      </c>
      <c r="I3674" s="70" t="s">
        <v>181</v>
      </c>
      <c r="J3674" s="71">
        <f>IF(OR(I3674=0,I3674=""),"unrated",VLOOKUP(I3674,MappingTables!$B$19:$C$31,2,FALSE))</f>
        <v>3</v>
      </c>
      <c r="K3674" s="72">
        <v>1230.0101746531524</v>
      </c>
      <c r="L3674" s="70">
        <v>0.25479602385562168</v>
      </c>
      <c r="M3674" s="71">
        <f>IF(L3674&lt;1,1,L3674)</f>
        <v>1</v>
      </c>
      <c r="N3674" s="70" t="s">
        <v>141</v>
      </c>
      <c r="O3674" s="71">
        <f>INDEX(DurClassMapping,MATCH(M3674,MappingTables!$D$4:$D$8,-1),1)</f>
        <v>1</v>
      </c>
      <c r="P3674" s="73">
        <f>IF(M3674=$A$1,1,$M3674-INDEX(MappingTables!$E$4:$E$8,MATCH(O3674,MappingTables!$B$4:$B$8,0)))</f>
        <v>1</v>
      </c>
      <c r="Q3674" s="71">
        <f>IF(B3674="",0,INDEX(ModelParameters!$D$6:$K$10,MATCH($O3674,ModelParameters!$B$6:$B$10,0),MATCH($J3674,ModelParameters!$D$5:$K$5,0)))</f>
        <v>0.025</v>
      </c>
      <c r="R3674" s="71">
        <f>IF(B3674="",0,INDEX(ModelParameters!$D$13:$K$17,MATCH($O3674,ModelParameters!$B$13:$B$17,0),MATCH($J3674,ModelParameters!$D$5:$K$5,0)))</f>
        <v>0</v>
      </c>
      <c r="S3674" s="160">
        <f>IF(B3674="",0,MIN(IF($N3674="Other Bond TM",ModelParameters!$N$21,1)*(P3674*Q3674+R3674),1))</f>
        <v>0.025</v>
      </c>
      <c r="T3674" s="85">
        <f>IF(B3674="",0,$S3674*$K3674)</f>
        <v>30.750254366328816</v>
      </c>
      <c r="U3674" s="85">
        <f>IF(B3674="",0,IF(OR(H3674=MappingTables!$C$34,H3674=MappingTables!$C$35),T3674,0))</f>
        <v>0</v>
      </c>
      <c r="V3674" s="85">
        <f>IF(ISNA(IF(AND(VLOOKUP(CONCATENATE($D3674,$G3674),CSRFinput!$B:$E,4,0)=0,OR(H3674=MappingTables!$C$34,H3674=MappingTables!$C$35)),1,VLOOKUP(CONCATENATE($D3674,$G3674),CSRFinput!$B:$E,4,0))),0,IF(AND(VLOOKUP(CONCATENATE($D3674,$G3674),CSRFinput!$B:$E,4,0)=0,OR(H3674=MappingTables!$C$34,H3674=MappingTables!$C$35)),1,VLOOKUP(CONCATENATE($D3674,$G3674),CSRFinput!$B:$E,4,0)))</f>
        <v>0.054776304963434752</v>
      </c>
      <c r="W3674" s="85">
        <f>IF(B3674="",0,+$T3674*$V3674)</f>
        <v>1.6843853108732182</v>
      </c>
      <c r="X3674" s="85">
        <f>IF(B3674="",0,IF(OR(H3674=MappingTables!$C$34,H3674=MappingTables!$C$35),W3674,0))</f>
        <v>0</v>
      </c>
    </row>
    <row r="3675" spans="2:24" s="0" customFormat="0" ht="15">
      <c r="B3675" s="69" t="s">
        <v>2917</v>
      </c>
      <c r="C3675" s="70" t="s">
        <v>2918</v>
      </c>
      <c r="D3675" s="70" t="s">
        <v>1</v>
      </c>
      <c r="E3675" s="70" t="s">
        <v>1</v>
      </c>
      <c r="F3675" s="70"/>
      <c r="G3675" s="70" t="s">
        <v>61</v>
      </c>
      <c r="H3675" s="70" t="s">
        <v>178</v>
      </c>
      <c r="I3675" s="70" t="s">
        <v>184</v>
      </c>
      <c r="J3675" s="71">
        <f>IF(OR(I3675=0,I3675=""),"unrated",VLOOKUP(I3675,MappingTables!$B$19:$C$31,2,FALSE))</f>
        <v>5</v>
      </c>
      <c r="K3675" s="72">
        <v>12780.733398555004</v>
      </c>
      <c r="L3675" s="70">
        <v>2.4146860009493688</v>
      </c>
      <c r="M3675" s="71">
        <f>IF(L3675&lt;1,1,L3675)</f>
        <v>2.4146860009493688</v>
      </c>
      <c r="N3675" s="70" t="s">
        <v>141</v>
      </c>
      <c r="O3675" s="71">
        <f>INDEX(DurClassMapping,MATCH(M3675,MappingTables!$D$4:$D$8,-1),1)</f>
        <v>1</v>
      </c>
      <c r="P3675" s="73">
        <f>IF(M3675=$A$1,1,$M3675-INDEX(MappingTables!$E$4:$E$8,MATCH(O3675,MappingTables!$B$4:$B$8,0)))</f>
        <v>2.4146860009493688</v>
      </c>
      <c r="Q3675" s="71">
        <f>IF(B3675="",0,INDEX(ModelParameters!$D$6:$K$10,MATCH($O3675,ModelParameters!$B$6:$B$10,0),MATCH($J3675,ModelParameters!$D$5:$K$5,0)))</f>
        <v>0.075</v>
      </c>
      <c r="R3675" s="71">
        <f>IF(B3675="",0,INDEX(ModelParameters!$D$13:$K$17,MATCH($O3675,ModelParameters!$B$13:$B$17,0),MATCH($J3675,ModelParameters!$D$5:$K$5,0)))</f>
        <v>0</v>
      </c>
      <c r="S3675" s="160">
        <f>IF(B3675="",0,MIN(IF($N3675="Other Bond TM",ModelParameters!$N$21,1)*(P3675*Q3675+R3675),1))</f>
        <v>0.18110145007120264</v>
      </c>
      <c r="T3675" s="85">
        <f>IF(B3675="",0,$S3675*$K3675)</f>
        <v>2314.6093514517612</v>
      </c>
      <c r="U3675" s="85">
        <f>IF(B3675="",0,IF(OR(H3675=MappingTables!$C$34,H3675=MappingTables!$C$35),T3675,0))</f>
        <v>0</v>
      </c>
      <c r="V3675" s="85">
        <f>IF(ISNA(IF(AND(VLOOKUP(CONCATENATE($D3675,$G3675),CSRFinput!$B:$E,4,0)=0,OR(H3675=MappingTables!$C$34,H3675=MappingTables!$C$35)),1,VLOOKUP(CONCATENATE($D3675,$G3675),CSRFinput!$B:$E,4,0))),0,IF(AND(VLOOKUP(CONCATENATE($D3675,$G3675),CSRFinput!$B:$E,4,0)=0,OR(H3675=MappingTables!$C$34,H3675=MappingTables!$C$35)),1,VLOOKUP(CONCATENATE($D3675,$G3675),CSRFinput!$B:$E,4,0)))</f>
        <v>0.054776304963434752</v>
      </c>
      <c r="W3675" s="85">
        <f>IF(B3675="",0,+$T3675*$V3675)</f>
        <v>126.7857477063396</v>
      </c>
      <c r="X3675" s="85">
        <f>IF(B3675="",0,IF(OR(H3675=MappingTables!$C$34,H3675=MappingTables!$C$35),W3675,0))</f>
        <v>0</v>
      </c>
    </row>
    <row r="3676" spans="2:24" s="0" customFormat="0" ht="15">
      <c r="B3676" s="69">
        <v>13321967</v>
      </c>
      <c r="C3676" s="70" t="s">
        <v>2919</v>
      </c>
      <c r="D3676" s="70" t="s">
        <v>1</v>
      </c>
      <c r="E3676" s="70" t="s">
        <v>1</v>
      </c>
      <c r="F3676" s="70"/>
      <c r="G3676" s="70" t="s">
        <v>61</v>
      </c>
      <c r="H3676" s="70" t="s">
        <v>178</v>
      </c>
      <c r="I3676" s="70" t="s">
        <v>181</v>
      </c>
      <c r="J3676" s="71">
        <f>IF(OR(I3676=0,I3676=""),"unrated",VLOOKUP(I3676,MappingTables!$B$19:$C$31,2,FALSE))</f>
        <v>3</v>
      </c>
      <c r="K3676" s="72">
        <v>47.810682840624688</v>
      </c>
      <c r="L3676" s="70">
        <v>1.5243775534158222</v>
      </c>
      <c r="M3676" s="71">
        <f>IF(L3676&lt;1,1,L3676)</f>
        <v>1.5243775534158222</v>
      </c>
      <c r="N3676" s="70" t="s">
        <v>141</v>
      </c>
      <c r="O3676" s="71">
        <f>INDEX(DurClassMapping,MATCH(M3676,MappingTables!$D$4:$D$8,-1),1)</f>
        <v>1</v>
      </c>
      <c r="P3676" s="73">
        <f>IF(M3676=$A$1,1,$M3676-INDEX(MappingTables!$E$4:$E$8,MATCH(O3676,MappingTables!$B$4:$B$8,0)))</f>
        <v>1.5243775534158222</v>
      </c>
      <c r="Q3676" s="71">
        <f>IF(B3676="",0,INDEX(ModelParameters!$D$6:$K$10,MATCH($O3676,ModelParameters!$B$6:$B$10,0),MATCH($J3676,ModelParameters!$D$5:$K$5,0)))</f>
        <v>0.025</v>
      </c>
      <c r="R3676" s="71">
        <f>IF(B3676="",0,INDEX(ModelParameters!$D$13:$K$17,MATCH($O3676,ModelParameters!$B$13:$B$17,0),MATCH($J3676,ModelParameters!$D$5:$K$5,0)))</f>
        <v>0</v>
      </c>
      <c r="S3676" s="160">
        <f>IF(B3676="",0,MIN(IF($N3676="Other Bond TM",ModelParameters!$N$21,1)*(P3676*Q3676+R3676),1))</f>
        <v>0.038109438835395552</v>
      </c>
      <c r="T3676" s="85">
        <f>IF(B3676="",0,$S3676*$K3676)</f>
        <v>1.822038293393282</v>
      </c>
      <c r="U3676" s="85">
        <f>IF(B3676="",0,IF(OR(H3676=MappingTables!$C$34,H3676=MappingTables!$C$35),T3676,0))</f>
        <v>0</v>
      </c>
      <c r="V3676" s="85">
        <f>IF(ISNA(IF(AND(VLOOKUP(CONCATENATE($D3676,$G3676),CSRFinput!$B:$E,4,0)=0,OR(H3676=MappingTables!$C$34,H3676=MappingTables!$C$35)),1,VLOOKUP(CONCATENATE($D3676,$G3676),CSRFinput!$B:$E,4,0))),0,IF(AND(VLOOKUP(CONCATENATE($D3676,$G3676),CSRFinput!$B:$E,4,0)=0,OR(H3676=MappingTables!$C$34,H3676=MappingTables!$C$35)),1,VLOOKUP(CONCATENATE($D3676,$G3676),CSRFinput!$B:$E,4,0)))</f>
        <v>0.054776304963434752</v>
      </c>
      <c r="W3676" s="85">
        <f>IF(B3676="",0,+$T3676*$V3676)</f>
        <v>0.099804525213966624</v>
      </c>
      <c r="X3676" s="85">
        <f>IF(B3676="",0,IF(OR(H3676=MappingTables!$C$34,H3676=MappingTables!$C$35),W3676,0))</f>
        <v>0</v>
      </c>
    </row>
    <row r="3677" spans="2:24" s="0" customFormat="0" ht="15">
      <c r="B3677" s="69" t="s">
        <v>2788</v>
      </c>
      <c r="C3677" s="70" t="s">
        <v>2789</v>
      </c>
      <c r="D3677" s="70" t="s">
        <v>1</v>
      </c>
      <c r="E3677" s="70" t="s">
        <v>1</v>
      </c>
      <c r="F3677" s="70"/>
      <c r="G3677" s="70" t="s">
        <v>61</v>
      </c>
      <c r="H3677" s="70" t="s">
        <v>178</v>
      </c>
      <c r="I3677" s="70" t="s">
        <v>184</v>
      </c>
      <c r="J3677" s="71">
        <f>IF(OR(I3677=0,I3677=""),"unrated",VLOOKUP(I3677,MappingTables!$B$19:$C$31,2,FALSE))</f>
        <v>5</v>
      </c>
      <c r="K3677" s="72">
        <v>518.06502888276976</v>
      </c>
      <c r="L3677" s="70">
        <v>5.210150413942456</v>
      </c>
      <c r="M3677" s="71">
        <f>IF(L3677&lt;1,1,L3677)</f>
        <v>5.210150413942456</v>
      </c>
      <c r="N3677" s="70" t="s">
        <v>141</v>
      </c>
      <c r="O3677" s="71">
        <f>INDEX(DurClassMapping,MATCH(M3677,MappingTables!$D$4:$D$8,-1),1)</f>
        <v>2</v>
      </c>
      <c r="P3677" s="73">
        <f>IF(M3677=$A$1,1,$M3677-INDEX(MappingTables!$E$4:$E$8,MATCH(O3677,MappingTables!$B$4:$B$8,0)))</f>
        <v>0.21015041394245592</v>
      </c>
      <c r="Q3677" s="71">
        <f>IF(B3677="",0,INDEX(ModelParameters!$D$6:$K$10,MATCH($O3677,ModelParameters!$B$6:$B$10,0),MATCH($J3677,ModelParameters!$D$5:$K$5,0)))</f>
        <v>0.042</v>
      </c>
      <c r="R3677" s="71">
        <f>IF(B3677="",0,INDEX(ModelParameters!$D$13:$K$17,MATCH($O3677,ModelParameters!$B$13:$B$17,0),MATCH($J3677,ModelParameters!$D$5:$K$5,0)))</f>
        <v>0.375</v>
      </c>
      <c r="S3677" s="160">
        <f>IF(B3677="",0,MIN(IF($N3677="Other Bond TM",ModelParameters!$N$21,1)*(P3677*Q3677+R3677),1))</f>
        <v>0.38382631738558312</v>
      </c>
      <c r="T3677" s="85">
        <f>IF(B3677="",0,$S3677*$K3677)</f>
        <v>198.84699220232928</v>
      </c>
      <c r="U3677" s="85">
        <f>IF(B3677="",0,IF(OR(H3677=MappingTables!$C$34,H3677=MappingTables!$C$35),T3677,0))</f>
        <v>0</v>
      </c>
      <c r="V3677" s="85">
        <f>IF(ISNA(IF(AND(VLOOKUP(CONCATENATE($D3677,$G3677),CSRFinput!$B:$E,4,0)=0,OR(H3677=MappingTables!$C$34,H3677=MappingTables!$C$35)),1,VLOOKUP(CONCATENATE($D3677,$G3677),CSRFinput!$B:$E,4,0))),0,IF(AND(VLOOKUP(CONCATENATE($D3677,$G3677),CSRFinput!$B:$E,4,0)=0,OR(H3677=MappingTables!$C$34,H3677=MappingTables!$C$35)),1,VLOOKUP(CONCATENATE($D3677,$G3677),CSRFinput!$B:$E,4,0)))</f>
        <v>0.054776304963434752</v>
      </c>
      <c r="W3677" s="85">
        <f>IF(B3677="",0,+$T3677*$V3677)</f>
        <v>10.892103485936522</v>
      </c>
      <c r="X3677" s="85">
        <f>IF(B3677="",0,IF(OR(H3677=MappingTables!$C$34,H3677=MappingTables!$C$35),W3677,0))</f>
        <v>0</v>
      </c>
    </row>
    <row r="3678" spans="2:24" s="0" customFormat="0" ht="15">
      <c r="B3678" s="69" t="s">
        <v>2612</v>
      </c>
      <c r="C3678" s="70" t="s">
        <v>2613</v>
      </c>
      <c r="D3678" s="70" t="s">
        <v>1</v>
      </c>
      <c r="E3678" s="70" t="s">
        <v>1</v>
      </c>
      <c r="F3678" s="70"/>
      <c r="G3678" s="70" t="s">
        <v>61</v>
      </c>
      <c r="H3678" s="70" t="s">
        <v>178</v>
      </c>
      <c r="I3678" s="70" t="s">
        <v>179</v>
      </c>
      <c r="J3678" s="71">
        <f>IF(OR(I3678=0,I3678=""),"unrated",VLOOKUP(I3678,MappingTables!$B$19:$C$31,2,FALSE))</f>
        <v>4</v>
      </c>
      <c r="K3678" s="72">
        <v>20628.146827572488</v>
      </c>
      <c r="L3678" s="70">
        <v>4.1168467093624936</v>
      </c>
      <c r="M3678" s="71">
        <f>IF(L3678&lt;1,1,L3678)</f>
        <v>4.1168467093624936</v>
      </c>
      <c r="N3678" s="70" t="s">
        <v>141</v>
      </c>
      <c r="O3678" s="71">
        <f>INDEX(DurClassMapping,MATCH(M3678,MappingTables!$D$4:$D$8,-1),1)</f>
        <v>1</v>
      </c>
      <c r="P3678" s="73">
        <f>IF(M3678=$A$1,1,$M3678-INDEX(MappingTables!$E$4:$E$8,MATCH(O3678,MappingTables!$B$4:$B$8,0)))</f>
        <v>4.1168467093624936</v>
      </c>
      <c r="Q3678" s="71">
        <f>IF(B3678="",0,INDEX(ModelParameters!$D$6:$K$10,MATCH($O3678,ModelParameters!$B$6:$B$10,0),MATCH($J3678,ModelParameters!$D$5:$K$5,0)))</f>
        <v>0.045</v>
      </c>
      <c r="R3678" s="71">
        <f>IF(B3678="",0,INDEX(ModelParameters!$D$13:$K$17,MATCH($O3678,ModelParameters!$B$13:$B$17,0),MATCH($J3678,ModelParameters!$D$5:$K$5,0)))</f>
        <v>0</v>
      </c>
      <c r="S3678" s="160">
        <f>IF(B3678="",0,MIN(IF($N3678="Other Bond TM",ModelParameters!$N$21,1)*(P3678*Q3678+R3678),1))</f>
        <v>0.18525810192131224</v>
      </c>
      <c r="T3678" s="85">
        <f>IF(B3678="",0,$S3678*$K3678)</f>
        <v>3821.5313274302176</v>
      </c>
      <c r="U3678" s="85">
        <f>IF(B3678="",0,IF(OR(H3678=MappingTables!$C$34,H3678=MappingTables!$C$35),T3678,0))</f>
        <v>0</v>
      </c>
      <c r="V3678" s="85">
        <f>IF(ISNA(IF(AND(VLOOKUP(CONCATENATE($D3678,$G3678),CSRFinput!$B:$E,4,0)=0,OR(H3678=MappingTables!$C$34,H3678=MappingTables!$C$35)),1,VLOOKUP(CONCATENATE($D3678,$G3678),CSRFinput!$B:$E,4,0))),0,IF(AND(VLOOKUP(CONCATENATE($D3678,$G3678),CSRFinput!$B:$E,4,0)=0,OR(H3678=MappingTables!$C$34,H3678=MappingTables!$C$35)),1,VLOOKUP(CONCATENATE($D3678,$G3678),CSRFinput!$B:$E,4,0)))</f>
        <v>0.054776304963434752</v>
      </c>
      <c r="W3678" s="85">
        <f>IF(B3678="",0,+$T3678*$V3678)</f>
        <v>209.32936541863724</v>
      </c>
      <c r="X3678" s="85">
        <f>IF(B3678="",0,IF(OR(H3678=MappingTables!$C$34,H3678=MappingTables!$C$35),W3678,0))</f>
        <v>0</v>
      </c>
    </row>
    <row r="3679" spans="2:24" s="0" customFormat="0" ht="15">
      <c r="B3679" s="69">
        <v>19481694</v>
      </c>
      <c r="C3679" s="70" t="s">
        <v>2920</v>
      </c>
      <c r="D3679" s="70" t="s">
        <v>1</v>
      </c>
      <c r="E3679" s="70" t="s">
        <v>1</v>
      </c>
      <c r="F3679" s="70"/>
      <c r="G3679" s="70" t="s">
        <v>61</v>
      </c>
      <c r="H3679" s="70" t="s">
        <v>178</v>
      </c>
      <c r="I3679" s="70" t="s">
        <v>179</v>
      </c>
      <c r="J3679" s="71">
        <f>IF(OR(I3679=0,I3679=""),"unrated",VLOOKUP(I3679,MappingTables!$B$19:$C$31,2,FALSE))</f>
        <v>4</v>
      </c>
      <c r="K3679" s="72">
        <v>62.31140309794412</v>
      </c>
      <c r="L3679" s="70">
        <v>1.2254841846188254</v>
      </c>
      <c r="M3679" s="71">
        <f>IF(L3679&lt;1,1,L3679)</f>
        <v>1.2254841846188254</v>
      </c>
      <c r="N3679" s="70" t="s">
        <v>141</v>
      </c>
      <c r="O3679" s="71">
        <f>INDEX(DurClassMapping,MATCH(M3679,MappingTables!$D$4:$D$8,-1),1)</f>
        <v>1</v>
      </c>
      <c r="P3679" s="73">
        <f>IF(M3679=$A$1,1,$M3679-INDEX(MappingTables!$E$4:$E$8,MATCH(O3679,MappingTables!$B$4:$B$8,0)))</f>
        <v>1.2254841846188254</v>
      </c>
      <c r="Q3679" s="71">
        <f>IF(B3679="",0,INDEX(ModelParameters!$D$6:$K$10,MATCH($O3679,ModelParameters!$B$6:$B$10,0),MATCH($J3679,ModelParameters!$D$5:$K$5,0)))</f>
        <v>0.045</v>
      </c>
      <c r="R3679" s="71">
        <f>IF(B3679="",0,INDEX(ModelParameters!$D$13:$K$17,MATCH($O3679,ModelParameters!$B$13:$B$17,0),MATCH($J3679,ModelParameters!$D$5:$K$5,0)))</f>
        <v>0</v>
      </c>
      <c r="S3679" s="160">
        <f>IF(B3679="",0,MIN(IF($N3679="Other Bond TM",ModelParameters!$N$21,1)*(P3679*Q3679+R3679),1))</f>
        <v>0.055146788307847136</v>
      </c>
      <c r="T3679" s="85">
        <f>IF(B3679="",0,$S3679*$K3679)</f>
        <v>3.4362737558072548</v>
      </c>
      <c r="U3679" s="85">
        <f>IF(B3679="",0,IF(OR(H3679=MappingTables!$C$34,H3679=MappingTables!$C$35),T3679,0))</f>
        <v>0</v>
      </c>
      <c r="V3679" s="85">
        <f>IF(ISNA(IF(AND(VLOOKUP(CONCATENATE($D3679,$G3679),CSRFinput!$B:$E,4,0)=0,OR(H3679=MappingTables!$C$34,H3679=MappingTables!$C$35)),1,VLOOKUP(CONCATENATE($D3679,$G3679),CSRFinput!$B:$E,4,0))),0,IF(AND(VLOOKUP(CONCATENATE($D3679,$G3679),CSRFinput!$B:$E,4,0)=0,OR(H3679=MappingTables!$C$34,H3679=MappingTables!$C$35)),1,VLOOKUP(CONCATENATE($D3679,$G3679),CSRFinput!$B:$E,4,0)))</f>
        <v>0.054776304963434752</v>
      </c>
      <c r="W3679" s="85">
        <f>IF(B3679="",0,+$T3679*$V3679)</f>
        <v>0.18822637918594552</v>
      </c>
      <c r="X3679" s="85">
        <f>IF(B3679="",0,IF(OR(H3679=MappingTables!$C$34,H3679=MappingTables!$C$35),W3679,0))</f>
        <v>0</v>
      </c>
    </row>
    <row r="3680" spans="2:24" s="0" customFormat="0" ht="15">
      <c r="B3680" s="69" t="s">
        <v>2921</v>
      </c>
      <c r="C3680" s="70" t="s">
        <v>2922</v>
      </c>
      <c r="D3680" s="70" t="s">
        <v>1</v>
      </c>
      <c r="E3680" s="70" t="s">
        <v>1</v>
      </c>
      <c r="F3680" s="70"/>
      <c r="G3680" s="70" t="s">
        <v>61</v>
      </c>
      <c r="H3680" s="70" t="s">
        <v>178</v>
      </c>
      <c r="I3680" s="70" t="s">
        <v>184</v>
      </c>
      <c r="J3680" s="71">
        <f>IF(OR(I3680=0,I3680=""),"unrated",VLOOKUP(I3680,MappingTables!$B$19:$C$31,2,FALSE))</f>
        <v>5</v>
      </c>
      <c r="K3680" s="72">
        <v>577.0943241281908</v>
      </c>
      <c r="L3680" s="70">
        <v>1.003852863447826</v>
      </c>
      <c r="M3680" s="71">
        <f>IF(L3680&lt;1,1,L3680)</f>
        <v>1.003852863447826</v>
      </c>
      <c r="N3680" s="70" t="s">
        <v>141</v>
      </c>
      <c r="O3680" s="71">
        <f>INDEX(DurClassMapping,MATCH(M3680,MappingTables!$D$4:$D$8,-1),1)</f>
        <v>1</v>
      </c>
      <c r="P3680" s="73">
        <f>IF(M3680=$A$1,1,$M3680-INDEX(MappingTables!$E$4:$E$8,MATCH(O3680,MappingTables!$B$4:$B$8,0)))</f>
        <v>1.003852863447826</v>
      </c>
      <c r="Q3680" s="71">
        <f>IF(B3680="",0,INDEX(ModelParameters!$D$6:$K$10,MATCH($O3680,ModelParameters!$B$6:$B$10,0),MATCH($J3680,ModelParameters!$D$5:$K$5,0)))</f>
        <v>0.075</v>
      </c>
      <c r="R3680" s="71">
        <f>IF(B3680="",0,INDEX(ModelParameters!$D$13:$K$17,MATCH($O3680,ModelParameters!$B$13:$B$17,0),MATCH($J3680,ModelParameters!$D$5:$K$5,0)))</f>
        <v>0</v>
      </c>
      <c r="S3680" s="160">
        <f>IF(B3680="",0,MIN(IF($N3680="Other Bond TM",ModelParameters!$N$21,1)*(P3680*Q3680+R3680),1))</f>
        <v>0.07528896475858696</v>
      </c>
      <c r="T3680" s="85">
        <f>IF(B3680="",0,$S3680*$K3680)</f>
        <v>43.44883423166792</v>
      </c>
      <c r="U3680" s="85">
        <f>IF(B3680="",0,IF(OR(H3680=MappingTables!$C$34,H3680=MappingTables!$C$35),T3680,0))</f>
        <v>0</v>
      </c>
      <c r="V3680" s="85">
        <f>IF(ISNA(IF(AND(VLOOKUP(CONCATENATE($D3680,$G3680),CSRFinput!$B:$E,4,0)=0,OR(H3680=MappingTables!$C$34,H3680=MappingTables!$C$35)),1,VLOOKUP(CONCATENATE($D3680,$G3680),CSRFinput!$B:$E,4,0))),0,IF(AND(VLOOKUP(CONCATENATE($D3680,$G3680),CSRFinput!$B:$E,4,0)=0,OR(H3680=MappingTables!$C$34,H3680=MappingTables!$C$35)),1,VLOOKUP(CONCATENATE($D3680,$G3680),CSRFinput!$B:$E,4,0)))</f>
        <v>0.054776304963434752</v>
      </c>
      <c r="W3680" s="85">
        <f>IF(B3680="",0,+$T3680*$V3680)</f>
        <v>2.3799665941795652</v>
      </c>
      <c r="X3680" s="85">
        <f>IF(B3680="",0,IF(OR(H3680=MappingTables!$C$34,H3680=MappingTables!$C$35),W3680,0))</f>
        <v>0</v>
      </c>
    </row>
    <row r="3681" spans="2:24" s="0" customFormat="0" ht="15">
      <c r="B3681" s="69">
        <v>23523014</v>
      </c>
      <c r="C3681" s="70" t="s">
        <v>2818</v>
      </c>
      <c r="D3681" s="70" t="s">
        <v>1</v>
      </c>
      <c r="E3681" s="70" t="s">
        <v>1</v>
      </c>
      <c r="F3681" s="70"/>
      <c r="G3681" s="70" t="s">
        <v>61</v>
      </c>
      <c r="H3681" s="70" t="s">
        <v>178</v>
      </c>
      <c r="I3681" s="70" t="s">
        <v>181</v>
      </c>
      <c r="J3681" s="71">
        <f>IF(OR(I3681=0,I3681=""),"unrated",VLOOKUP(I3681,MappingTables!$B$19:$C$31,2,FALSE))</f>
        <v>3</v>
      </c>
      <c r="K3681" s="72">
        <v>687.2908248296352</v>
      </c>
      <c r="L3681" s="70">
        <v>1.4726737783533202</v>
      </c>
      <c r="M3681" s="71">
        <f>IF(L3681&lt;1,1,L3681)</f>
        <v>1.4726737783533202</v>
      </c>
      <c r="N3681" s="70" t="s">
        <v>141</v>
      </c>
      <c r="O3681" s="71">
        <f>INDEX(DurClassMapping,MATCH(M3681,MappingTables!$D$4:$D$8,-1),1)</f>
        <v>1</v>
      </c>
      <c r="P3681" s="73">
        <f>IF(M3681=$A$1,1,$M3681-INDEX(MappingTables!$E$4:$E$8,MATCH(O3681,MappingTables!$B$4:$B$8,0)))</f>
        <v>1.4726737783533202</v>
      </c>
      <c r="Q3681" s="71">
        <f>IF(B3681="",0,INDEX(ModelParameters!$D$6:$K$10,MATCH($O3681,ModelParameters!$B$6:$B$10,0),MATCH($J3681,ModelParameters!$D$5:$K$5,0)))</f>
        <v>0.025</v>
      </c>
      <c r="R3681" s="71">
        <f>IF(B3681="",0,INDEX(ModelParameters!$D$13:$K$17,MATCH($O3681,ModelParameters!$B$13:$B$17,0),MATCH($J3681,ModelParameters!$D$5:$K$5,0)))</f>
        <v>0</v>
      </c>
      <c r="S3681" s="160">
        <f>IF(B3681="",0,MIN(IF($N3681="Other Bond TM",ModelParameters!$N$21,1)*(P3681*Q3681+R3681),1))</f>
        <v>0.036816844458833008</v>
      </c>
      <c r="T3681" s="85">
        <f>IF(B3681="",0,$S3681*$K3681)</f>
        <v>25.303879395735724</v>
      </c>
      <c r="U3681" s="85">
        <f>IF(B3681="",0,IF(OR(H3681=MappingTables!$C$34,H3681=MappingTables!$C$35),T3681,0))</f>
        <v>0</v>
      </c>
      <c r="V3681" s="85">
        <f>IF(ISNA(IF(AND(VLOOKUP(CONCATENATE($D3681,$G3681),CSRFinput!$B:$E,4,0)=0,OR(H3681=MappingTables!$C$34,H3681=MappingTables!$C$35)),1,VLOOKUP(CONCATENATE($D3681,$G3681),CSRFinput!$B:$E,4,0))),0,IF(AND(VLOOKUP(CONCATENATE($D3681,$G3681),CSRFinput!$B:$E,4,0)=0,OR(H3681=MappingTables!$C$34,H3681=MappingTables!$C$35)),1,VLOOKUP(CONCATENATE($D3681,$G3681),CSRFinput!$B:$E,4,0)))</f>
        <v>0.054776304963434752</v>
      </c>
      <c r="W3681" s="85">
        <f>IF(B3681="",0,+$T3681*$V3681)</f>
        <v>1.386053014538793</v>
      </c>
      <c r="X3681" s="85">
        <f>IF(B3681="",0,IF(OR(H3681=MappingTables!$C$34,H3681=MappingTables!$C$35),W3681,0))</f>
        <v>0</v>
      </c>
    </row>
    <row r="3682" spans="2:24" s="0" customFormat="0" ht="15">
      <c r="B3682" s="69">
        <v>17351106</v>
      </c>
      <c r="C3682" s="70" t="s">
        <v>1301</v>
      </c>
      <c r="D3682" s="70" t="s">
        <v>1</v>
      </c>
      <c r="E3682" s="70" t="s">
        <v>1</v>
      </c>
      <c r="F3682" s="70"/>
      <c r="G3682" s="70" t="s">
        <v>61</v>
      </c>
      <c r="H3682" s="70" t="s">
        <v>178</v>
      </c>
      <c r="I3682" s="70" t="s">
        <v>220</v>
      </c>
      <c r="J3682" s="71">
        <f>IF(OR(I3682=0,I3682=""),"unrated",VLOOKUP(I3682,MappingTables!$B$19:$C$31,2,FALSE))</f>
        <v>1</v>
      </c>
      <c r="K3682" s="72">
        <v>4301.367003042228</v>
      </c>
      <c r="L3682" s="70">
        <v>0.45454995042172888</v>
      </c>
      <c r="M3682" s="71">
        <f>IF(L3682&lt;1,1,L3682)</f>
        <v>1</v>
      </c>
      <c r="N3682" s="70" t="s">
        <v>141</v>
      </c>
      <c r="O3682" s="71">
        <f>INDEX(DurClassMapping,MATCH(M3682,MappingTables!$D$4:$D$8,-1),1)</f>
        <v>1</v>
      </c>
      <c r="P3682" s="73">
        <f>IF(M3682=$A$1,1,$M3682-INDEX(MappingTables!$E$4:$E$8,MATCH(O3682,MappingTables!$B$4:$B$8,0)))</f>
        <v>1</v>
      </c>
      <c r="Q3682" s="71">
        <f>IF(B3682="",0,INDEX(ModelParameters!$D$6:$K$10,MATCH($O3682,ModelParameters!$B$6:$B$10,0),MATCH($J3682,ModelParameters!$D$5:$K$5,0)))</f>
        <v>0.011000000000000002</v>
      </c>
      <c r="R3682" s="71">
        <f>IF(B3682="",0,INDEX(ModelParameters!$D$13:$K$17,MATCH($O3682,ModelParameters!$B$13:$B$17,0),MATCH($J3682,ModelParameters!$D$5:$K$5,0)))</f>
        <v>0</v>
      </c>
      <c r="S3682" s="160">
        <f>IF(B3682="",0,MIN(IF($N3682="Other Bond TM",ModelParameters!$N$21,1)*(P3682*Q3682+R3682),1))</f>
        <v>0.011000000000000002</v>
      </c>
      <c r="T3682" s="85">
        <f>IF(B3682="",0,$S3682*$K3682)</f>
        <v>47.315037033464512</v>
      </c>
      <c r="U3682" s="85">
        <f>IF(B3682="",0,IF(OR(H3682=MappingTables!$C$34,H3682=MappingTables!$C$35),T3682,0))</f>
        <v>0</v>
      </c>
      <c r="V3682" s="85">
        <f>IF(ISNA(IF(AND(VLOOKUP(CONCATENATE($D3682,$G3682),CSRFinput!$B:$E,4,0)=0,OR(H3682=MappingTables!$C$34,H3682=MappingTables!$C$35)),1,VLOOKUP(CONCATENATE($D3682,$G3682),CSRFinput!$B:$E,4,0))),0,IF(AND(VLOOKUP(CONCATENATE($D3682,$G3682),CSRFinput!$B:$E,4,0)=0,OR(H3682=MappingTables!$C$34,H3682=MappingTables!$C$35)),1,VLOOKUP(CONCATENATE($D3682,$G3682),CSRFinput!$B:$E,4,0)))</f>
        <v>0.054776304963434752</v>
      </c>
      <c r="W3682" s="85">
        <f>IF(B3682="",0,+$T3682*$V3682)</f>
        <v>2.5917428979012612</v>
      </c>
      <c r="X3682" s="85">
        <f>IF(B3682="",0,IF(OR(H3682=MappingTables!$C$34,H3682=MappingTables!$C$35),W3682,0))</f>
        <v>0</v>
      </c>
    </row>
    <row r="3683" spans="2:24" s="0" customFormat="0" ht="15">
      <c r="B3683" s="69">
        <v>22859504</v>
      </c>
      <c r="C3683" s="70" t="s">
        <v>1583</v>
      </c>
      <c r="D3683" s="70" t="s">
        <v>1</v>
      </c>
      <c r="E3683" s="70" t="s">
        <v>1</v>
      </c>
      <c r="F3683" s="70"/>
      <c r="G3683" s="70" t="s">
        <v>61</v>
      </c>
      <c r="H3683" s="70" t="s">
        <v>178</v>
      </c>
      <c r="I3683" s="70" t="s">
        <v>188</v>
      </c>
      <c r="J3683" s="71">
        <f>IF(OR(I3683=0,I3683=""),"unrated",VLOOKUP(I3683,MappingTables!$B$19:$C$31,2,FALSE))</f>
        <v>2</v>
      </c>
      <c r="K3683" s="72">
        <v>254.41648048243216</v>
      </c>
      <c r="L3683" s="70">
        <v>4.0725834761967032</v>
      </c>
      <c r="M3683" s="71">
        <f>IF(L3683&lt;1,1,L3683)</f>
        <v>4.0725834761967032</v>
      </c>
      <c r="N3683" s="70" t="s">
        <v>141</v>
      </c>
      <c r="O3683" s="71">
        <f>INDEX(DurClassMapping,MATCH(M3683,MappingTables!$D$4:$D$8,-1),1)</f>
        <v>1</v>
      </c>
      <c r="P3683" s="73">
        <f>IF(M3683=$A$1,1,$M3683-INDEX(MappingTables!$E$4:$E$8,MATCH(O3683,MappingTables!$B$4:$B$8,0)))</f>
        <v>4.0725834761967032</v>
      </c>
      <c r="Q3683" s="71">
        <f>IF(B3683="",0,INDEX(ModelParameters!$D$6:$K$10,MATCH($O3683,ModelParameters!$B$6:$B$10,0),MATCH($J3683,ModelParameters!$D$5:$K$5,0)))</f>
        <v>0.013999999999999998</v>
      </c>
      <c r="R3683" s="71">
        <f>IF(B3683="",0,INDEX(ModelParameters!$D$13:$K$17,MATCH($O3683,ModelParameters!$B$13:$B$17,0),MATCH($J3683,ModelParameters!$D$5:$K$5,0)))</f>
        <v>0</v>
      </c>
      <c r="S3683" s="160">
        <f>IF(B3683="",0,MIN(IF($N3683="Other Bond TM",ModelParameters!$N$21,1)*(P3683*Q3683+R3683),1))</f>
        <v>0.05701616866675384</v>
      </c>
      <c r="T3683" s="85">
        <f>IF(B3683="",0,$S3683*$K3683)</f>
        <v>14.50585296278824</v>
      </c>
      <c r="U3683" s="85">
        <f>IF(B3683="",0,IF(OR(H3683=MappingTables!$C$34,H3683=MappingTables!$C$35),T3683,0))</f>
        <v>0</v>
      </c>
      <c r="V3683" s="85">
        <f>IF(ISNA(IF(AND(VLOOKUP(CONCATENATE($D3683,$G3683),CSRFinput!$B:$E,4,0)=0,OR(H3683=MappingTables!$C$34,H3683=MappingTables!$C$35)),1,VLOOKUP(CONCATENATE($D3683,$G3683),CSRFinput!$B:$E,4,0))),0,IF(AND(VLOOKUP(CONCATENATE($D3683,$G3683),CSRFinput!$B:$E,4,0)=0,OR(H3683=MappingTables!$C$34,H3683=MappingTables!$C$35)),1,VLOOKUP(CONCATENATE($D3683,$G3683),CSRFinput!$B:$E,4,0)))</f>
        <v>0.054776304963434752</v>
      </c>
      <c r="W3683" s="85">
        <f>IF(B3683="",0,+$T3683*$V3683)</f>
        <v>0.79457702564443216</v>
      </c>
      <c r="X3683" s="85">
        <f>IF(B3683="",0,IF(OR(H3683=MappingTables!$C$34,H3683=MappingTables!$C$35),W3683,0))</f>
        <v>0</v>
      </c>
    </row>
    <row r="3684" spans="2:24" s="0" customFormat="0" ht="15">
      <c r="B3684" s="69">
        <v>17100995</v>
      </c>
      <c r="C3684" s="70" t="s">
        <v>2822</v>
      </c>
      <c r="D3684" s="70" t="s">
        <v>1</v>
      </c>
      <c r="E3684" s="70" t="s">
        <v>1</v>
      </c>
      <c r="F3684" s="70"/>
      <c r="G3684" s="70" t="s">
        <v>61</v>
      </c>
      <c r="H3684" s="70" t="s">
        <v>178</v>
      </c>
      <c r="I3684" s="70" t="s">
        <v>188</v>
      </c>
      <c r="J3684" s="71">
        <f>IF(OR(I3684=0,I3684=""),"unrated",VLOOKUP(I3684,MappingTables!$B$19:$C$31,2,FALSE))</f>
        <v>2</v>
      </c>
      <c r="K3684" s="72">
        <v>47.347390024066736</v>
      </c>
      <c r="L3684" s="70">
        <v>6.5049241653244808</v>
      </c>
      <c r="M3684" s="71">
        <f>IF(L3684&lt;1,1,L3684)</f>
        <v>6.5049241653244808</v>
      </c>
      <c r="N3684" s="70" t="s">
        <v>141</v>
      </c>
      <c r="O3684" s="71">
        <f>INDEX(DurClassMapping,MATCH(M3684,MappingTables!$D$4:$D$8,-1),1)</f>
        <v>2</v>
      </c>
      <c r="P3684" s="73">
        <f>IF(M3684=$A$1,1,$M3684-INDEX(MappingTables!$E$4:$E$8,MATCH(O3684,MappingTables!$B$4:$B$8,0)))</f>
        <v>1.5049241653244812</v>
      </c>
      <c r="Q3684" s="71">
        <f>IF(B3684="",0,INDEX(ModelParameters!$D$6:$K$10,MATCH($O3684,ModelParameters!$B$6:$B$10,0),MATCH($J3684,ModelParameters!$D$5:$K$5,0)))</f>
        <v>0.0069999999999999992</v>
      </c>
      <c r="R3684" s="71">
        <f>IF(B3684="",0,INDEX(ModelParameters!$D$13:$K$17,MATCH($O3684,ModelParameters!$B$13:$B$17,0),MATCH($J3684,ModelParameters!$D$5:$K$5,0)))</f>
        <v>0.070000000000000008</v>
      </c>
      <c r="S3684" s="160">
        <f>IF(B3684="",0,MIN(IF($N3684="Other Bond TM",ModelParameters!$N$21,1)*(P3684*Q3684+R3684),1))</f>
        <v>0.080534469157271376</v>
      </c>
      <c r="T3684" s="85">
        <f>IF(B3684="",0,$S3684*$K3684)</f>
        <v>3.8130969215705008</v>
      </c>
      <c r="U3684" s="85">
        <f>IF(B3684="",0,IF(OR(H3684=MappingTables!$C$34,H3684=MappingTables!$C$35),T3684,0))</f>
        <v>0</v>
      </c>
      <c r="V3684" s="85">
        <f>IF(ISNA(IF(AND(VLOOKUP(CONCATENATE($D3684,$G3684),CSRFinput!$B:$E,4,0)=0,OR(H3684=MappingTables!$C$34,H3684=MappingTables!$C$35)),1,VLOOKUP(CONCATENATE($D3684,$G3684),CSRFinput!$B:$E,4,0))),0,IF(AND(VLOOKUP(CONCATENATE($D3684,$G3684),CSRFinput!$B:$E,4,0)=0,OR(H3684=MappingTables!$C$34,H3684=MappingTables!$C$35)),1,VLOOKUP(CONCATENATE($D3684,$G3684),CSRFinput!$B:$E,4,0)))</f>
        <v>0.054776304963434752</v>
      </c>
      <c r="W3684" s="85">
        <f>IF(B3684="",0,+$T3684*$V3684)</f>
        <v>0.20886735983108</v>
      </c>
      <c r="X3684" s="85">
        <f>IF(B3684="",0,IF(OR(H3684=MappingTables!$C$34,H3684=MappingTables!$C$35),W3684,0))</f>
        <v>0</v>
      </c>
    </row>
    <row r="3685" spans="2:24" s="0" customFormat="0" ht="15">
      <c r="B3685" s="69">
        <v>9487915</v>
      </c>
      <c r="C3685" s="70" t="s">
        <v>2076</v>
      </c>
      <c r="D3685" s="70" t="s">
        <v>1</v>
      </c>
      <c r="E3685" s="70" t="s">
        <v>1</v>
      </c>
      <c r="F3685" s="70"/>
      <c r="G3685" s="70" t="s">
        <v>61</v>
      </c>
      <c r="H3685" s="70" t="s">
        <v>178</v>
      </c>
      <c r="I3685" s="70" t="s">
        <v>188</v>
      </c>
      <c r="J3685" s="71">
        <f>IF(OR(I3685=0,I3685=""),"unrated",VLOOKUP(I3685,MappingTables!$B$19:$C$31,2,FALSE))</f>
        <v>2</v>
      </c>
      <c r="K3685" s="72">
        <v>1132.5888221793442</v>
      </c>
      <c r="L3685" s="70">
        <v>4.5602122285788864</v>
      </c>
      <c r="M3685" s="71">
        <f>IF(L3685&lt;1,1,L3685)</f>
        <v>4.5602122285788864</v>
      </c>
      <c r="N3685" s="70" t="s">
        <v>141</v>
      </c>
      <c r="O3685" s="71">
        <f>INDEX(DurClassMapping,MATCH(M3685,MappingTables!$D$4:$D$8,-1),1)</f>
        <v>1</v>
      </c>
      <c r="P3685" s="73">
        <f>IF(M3685=$A$1,1,$M3685-INDEX(MappingTables!$E$4:$E$8,MATCH(O3685,MappingTables!$B$4:$B$8,0)))</f>
        <v>4.5602122285788864</v>
      </c>
      <c r="Q3685" s="71">
        <f>IF(B3685="",0,INDEX(ModelParameters!$D$6:$K$10,MATCH($O3685,ModelParameters!$B$6:$B$10,0),MATCH($J3685,ModelParameters!$D$5:$K$5,0)))</f>
        <v>0.013999999999999998</v>
      </c>
      <c r="R3685" s="71">
        <f>IF(B3685="",0,INDEX(ModelParameters!$D$13:$K$17,MATCH($O3685,ModelParameters!$B$13:$B$17,0),MATCH($J3685,ModelParameters!$D$5:$K$5,0)))</f>
        <v>0</v>
      </c>
      <c r="S3685" s="160">
        <f>IF(B3685="",0,MIN(IF($N3685="Other Bond TM",ModelParameters!$N$21,1)*(P3685*Q3685+R3685),1))</f>
        <v>0.0638429712001044</v>
      </c>
      <c r="T3685" s="85">
        <f>IF(B3685="",0,$S3685*$K3685)</f>
        <v>72.307835555956032</v>
      </c>
      <c r="U3685" s="85">
        <f>IF(B3685="",0,IF(OR(H3685=MappingTables!$C$34,H3685=MappingTables!$C$35),T3685,0))</f>
        <v>0</v>
      </c>
      <c r="V3685" s="85">
        <f>IF(ISNA(IF(AND(VLOOKUP(CONCATENATE($D3685,$G3685),CSRFinput!$B:$E,4,0)=0,OR(H3685=MappingTables!$C$34,H3685=MappingTables!$C$35)),1,VLOOKUP(CONCATENATE($D3685,$G3685),CSRFinput!$B:$E,4,0))),0,IF(AND(VLOOKUP(CONCATENATE($D3685,$G3685),CSRFinput!$B:$E,4,0)=0,OR(H3685=MappingTables!$C$34,H3685=MappingTables!$C$35)),1,VLOOKUP(CONCATENATE($D3685,$G3685),CSRFinput!$B:$E,4,0)))</f>
        <v>0.054776304963434752</v>
      </c>
      <c r="W3685" s="85">
        <f>IF(B3685="",0,+$T3685*$V3685)</f>
        <v>3.9607560516589384</v>
      </c>
      <c r="X3685" s="85">
        <f>IF(B3685="",0,IF(OR(H3685=MappingTables!$C$34,H3685=MappingTables!$C$35),W3685,0))</f>
        <v>0</v>
      </c>
    </row>
    <row r="3686" spans="2:24" s="0" customFormat="0" ht="15">
      <c r="B3686" s="69">
        <v>18407518</v>
      </c>
      <c r="C3686" s="70" t="s">
        <v>589</v>
      </c>
      <c r="D3686" s="70" t="s">
        <v>1</v>
      </c>
      <c r="E3686" s="70" t="s">
        <v>1</v>
      </c>
      <c r="F3686" s="70"/>
      <c r="G3686" s="70" t="s">
        <v>61</v>
      </c>
      <c r="H3686" s="70" t="s">
        <v>178</v>
      </c>
      <c r="I3686" s="70" t="s">
        <v>181</v>
      </c>
      <c r="J3686" s="71">
        <f>IF(OR(I3686=0,I3686=""),"unrated",VLOOKUP(I3686,MappingTables!$B$19:$C$31,2,FALSE))</f>
        <v>3</v>
      </c>
      <c r="K3686" s="72">
        <v>1127.5505404143866</v>
      </c>
      <c r="L3686" s="70">
        <v>2.7210442647343456</v>
      </c>
      <c r="M3686" s="71">
        <f>IF(L3686&lt;1,1,L3686)</f>
        <v>2.7210442647343456</v>
      </c>
      <c r="N3686" s="70" t="s">
        <v>141</v>
      </c>
      <c r="O3686" s="71">
        <f>INDEX(DurClassMapping,MATCH(M3686,MappingTables!$D$4:$D$8,-1),1)</f>
        <v>1</v>
      </c>
      <c r="P3686" s="73">
        <f>IF(M3686=$A$1,1,$M3686-INDEX(MappingTables!$E$4:$E$8,MATCH(O3686,MappingTables!$B$4:$B$8,0)))</f>
        <v>2.7210442647343456</v>
      </c>
      <c r="Q3686" s="71">
        <f>IF(B3686="",0,INDEX(ModelParameters!$D$6:$K$10,MATCH($O3686,ModelParameters!$B$6:$B$10,0),MATCH($J3686,ModelParameters!$D$5:$K$5,0)))</f>
        <v>0.025</v>
      </c>
      <c r="R3686" s="71">
        <f>IF(B3686="",0,INDEX(ModelParameters!$D$13:$K$17,MATCH($O3686,ModelParameters!$B$13:$B$17,0),MATCH($J3686,ModelParameters!$D$5:$K$5,0)))</f>
        <v>0</v>
      </c>
      <c r="S3686" s="160">
        <f>IF(B3686="",0,MIN(IF($N3686="Other Bond TM",ModelParameters!$N$21,1)*(P3686*Q3686+R3686),1))</f>
        <v>0.068026106618358648</v>
      </c>
      <c r="T3686" s="85">
        <f>IF(B3686="",0,$S3686*$K3686)</f>
        <v>76.702873279816976</v>
      </c>
      <c r="U3686" s="85">
        <f>IF(B3686="",0,IF(OR(H3686=MappingTables!$C$34,H3686=MappingTables!$C$35),T3686,0))</f>
        <v>0</v>
      </c>
      <c r="V3686" s="85">
        <f>IF(ISNA(IF(AND(VLOOKUP(CONCATENATE($D3686,$G3686),CSRFinput!$B:$E,4,0)=0,OR(H3686=MappingTables!$C$34,H3686=MappingTables!$C$35)),1,VLOOKUP(CONCATENATE($D3686,$G3686),CSRFinput!$B:$E,4,0))),0,IF(AND(VLOOKUP(CONCATENATE($D3686,$G3686),CSRFinput!$B:$E,4,0)=0,OR(H3686=MappingTables!$C$34,H3686=MappingTables!$C$35)),1,VLOOKUP(CONCATENATE($D3686,$G3686),CSRFinput!$B:$E,4,0)))</f>
        <v>0.054776304963434752</v>
      </c>
      <c r="W3686" s="85">
        <f>IF(B3686="",0,+$T3686*$V3686)</f>
        <v>4.2014999783469448</v>
      </c>
      <c r="X3686" s="85">
        <f>IF(B3686="",0,IF(OR(H3686=MappingTables!$C$34,H3686=MappingTables!$C$35),W3686,0))</f>
        <v>0</v>
      </c>
    </row>
    <row r="3687" spans="2:24" s="0" customFormat="0" ht="15">
      <c r="B3687" s="69">
        <v>22106684</v>
      </c>
      <c r="C3687" s="70" t="s">
        <v>618</v>
      </c>
      <c r="D3687" s="70" t="s">
        <v>1</v>
      </c>
      <c r="E3687" s="70" t="s">
        <v>1</v>
      </c>
      <c r="F3687" s="70"/>
      <c r="G3687" s="70" t="s">
        <v>61</v>
      </c>
      <c r="H3687" s="70" t="s">
        <v>178</v>
      </c>
      <c r="I3687" s="70" t="s">
        <v>179</v>
      </c>
      <c r="J3687" s="71">
        <f>IF(OR(I3687=0,I3687=""),"unrated",VLOOKUP(I3687,MappingTables!$B$19:$C$31,2,FALSE))</f>
        <v>4</v>
      </c>
      <c r="K3687" s="72">
        <v>2767.3217043421532</v>
      </c>
      <c r="L3687" s="70">
        <v>4.3718270796595536</v>
      </c>
      <c r="M3687" s="71">
        <f>IF(L3687&lt;1,1,L3687)</f>
        <v>4.3718270796595536</v>
      </c>
      <c r="N3687" s="70" t="s">
        <v>141</v>
      </c>
      <c r="O3687" s="71">
        <f>INDEX(DurClassMapping,MATCH(M3687,MappingTables!$D$4:$D$8,-1),1)</f>
        <v>1</v>
      </c>
      <c r="P3687" s="73">
        <f>IF(M3687=$A$1,1,$M3687-INDEX(MappingTables!$E$4:$E$8,MATCH(O3687,MappingTables!$B$4:$B$8,0)))</f>
        <v>4.3718270796595536</v>
      </c>
      <c r="Q3687" s="71">
        <f>IF(B3687="",0,INDEX(ModelParameters!$D$6:$K$10,MATCH($O3687,ModelParameters!$B$6:$B$10,0),MATCH($J3687,ModelParameters!$D$5:$K$5,0)))</f>
        <v>0.045</v>
      </c>
      <c r="R3687" s="71">
        <f>IF(B3687="",0,INDEX(ModelParameters!$D$13:$K$17,MATCH($O3687,ModelParameters!$B$13:$B$17,0),MATCH($J3687,ModelParameters!$D$5:$K$5,0)))</f>
        <v>0</v>
      </c>
      <c r="S3687" s="160">
        <f>IF(B3687="",0,MIN(IF($N3687="Other Bond TM",ModelParameters!$N$21,1)*(P3687*Q3687+R3687),1))</f>
        <v>0.19673221858467992</v>
      </c>
      <c r="T3687" s="85">
        <f>IF(B3687="",0,$S3687*$K3687)</f>
        <v>544.42133843276944</v>
      </c>
      <c r="U3687" s="85">
        <f>IF(B3687="",0,IF(OR(H3687=MappingTables!$C$34,H3687=MappingTables!$C$35),T3687,0))</f>
        <v>0</v>
      </c>
      <c r="V3687" s="85">
        <f>IF(ISNA(IF(AND(VLOOKUP(CONCATENATE($D3687,$G3687),CSRFinput!$B:$E,4,0)=0,OR(H3687=MappingTables!$C$34,H3687=MappingTables!$C$35)),1,VLOOKUP(CONCATENATE($D3687,$G3687),CSRFinput!$B:$E,4,0))),0,IF(AND(VLOOKUP(CONCATENATE($D3687,$G3687),CSRFinput!$B:$E,4,0)=0,OR(H3687=MappingTables!$C$34,H3687=MappingTables!$C$35)),1,VLOOKUP(CONCATENATE($D3687,$G3687),CSRFinput!$B:$E,4,0)))</f>
        <v>0.054776304963434752</v>
      </c>
      <c r="W3687" s="85">
        <f>IF(B3687="",0,+$T3687*$V3687)</f>
        <v>29.8213892625947</v>
      </c>
      <c r="X3687" s="85">
        <f>IF(B3687="",0,IF(OR(H3687=MappingTables!$C$34,H3687=MappingTables!$C$35),W3687,0))</f>
        <v>0</v>
      </c>
    </row>
    <row r="3688" spans="2:24" s="0" customFormat="0" ht="15">
      <c r="B3688" s="69">
        <v>8941452</v>
      </c>
      <c r="C3688" s="70" t="s">
        <v>2778</v>
      </c>
      <c r="D3688" s="70" t="s">
        <v>1</v>
      </c>
      <c r="E3688" s="70" t="s">
        <v>1</v>
      </c>
      <c r="F3688" s="70"/>
      <c r="G3688" s="70" t="s">
        <v>61</v>
      </c>
      <c r="H3688" s="70" t="s">
        <v>178</v>
      </c>
      <c r="I3688" s="70" t="s">
        <v>188</v>
      </c>
      <c r="J3688" s="71">
        <f>IF(OR(I3688=0,I3688=""),"unrated",VLOOKUP(I3688,MappingTables!$B$19:$C$31,2,FALSE))</f>
        <v>2</v>
      </c>
      <c r="K3688" s="72">
        <v>0.05851216296486044</v>
      </c>
      <c r="L3688" s="70">
        <v>0.32328768260952256</v>
      </c>
      <c r="M3688" s="71">
        <f>IF(L3688&lt;1,1,L3688)</f>
        <v>1</v>
      </c>
      <c r="N3688" s="70" t="s">
        <v>141</v>
      </c>
      <c r="O3688" s="71">
        <f>INDEX(DurClassMapping,MATCH(M3688,MappingTables!$D$4:$D$8,-1),1)</f>
        <v>1</v>
      </c>
      <c r="P3688" s="73">
        <f>IF(M3688=$A$1,1,$M3688-INDEX(MappingTables!$E$4:$E$8,MATCH(O3688,MappingTables!$B$4:$B$8,0)))</f>
        <v>1</v>
      </c>
      <c r="Q3688" s="71">
        <f>IF(B3688="",0,INDEX(ModelParameters!$D$6:$K$10,MATCH($O3688,ModelParameters!$B$6:$B$10,0),MATCH($J3688,ModelParameters!$D$5:$K$5,0)))</f>
        <v>0.013999999999999998</v>
      </c>
      <c r="R3688" s="71">
        <f>IF(B3688="",0,INDEX(ModelParameters!$D$13:$K$17,MATCH($O3688,ModelParameters!$B$13:$B$17,0),MATCH($J3688,ModelParameters!$D$5:$K$5,0)))</f>
        <v>0</v>
      </c>
      <c r="S3688" s="160">
        <f>IF(B3688="",0,MIN(IF($N3688="Other Bond TM",ModelParameters!$N$21,1)*(P3688*Q3688+R3688),1))</f>
        <v>0.013999999999999998</v>
      </c>
      <c r="T3688" s="85">
        <f>IF(B3688="",0,$S3688*$K3688)</f>
        <v>0.00081917028150804608</v>
      </c>
      <c r="U3688" s="85">
        <f>IF(B3688="",0,IF(OR(H3688=MappingTables!$C$34,H3688=MappingTables!$C$35),T3688,0))</f>
        <v>0</v>
      </c>
      <c r="V3688" s="85">
        <f>IF(ISNA(IF(AND(VLOOKUP(CONCATENATE($D3688,$G3688),CSRFinput!$B:$E,4,0)=0,OR(H3688=MappingTables!$C$34,H3688=MappingTables!$C$35)),1,VLOOKUP(CONCATENATE($D3688,$G3688),CSRFinput!$B:$E,4,0))),0,IF(AND(VLOOKUP(CONCATENATE($D3688,$G3688),CSRFinput!$B:$E,4,0)=0,OR(H3688=MappingTables!$C$34,H3688=MappingTables!$C$35)),1,VLOOKUP(CONCATENATE($D3688,$G3688),CSRFinput!$B:$E,4,0)))</f>
        <v>0.054776304963434752</v>
      </c>
      <c r="W3688" s="85">
        <f>IF(B3688="",0,+$T3688*$V3688)</f>
        <v>0.000044871121156867424</v>
      </c>
      <c r="X3688" s="85">
        <f>IF(B3688="",0,IF(OR(H3688=MappingTables!$C$34,H3688=MappingTables!$C$35),W3688,0))</f>
        <v>0</v>
      </c>
    </row>
    <row r="3689" spans="2:24" s="0" customFormat="0" ht="15">
      <c r="B3689" s="69" t="s">
        <v>1485</v>
      </c>
      <c r="C3689" s="70" t="s">
        <v>1486</v>
      </c>
      <c r="D3689" s="70" t="s">
        <v>1</v>
      </c>
      <c r="E3689" s="70" t="s">
        <v>1</v>
      </c>
      <c r="F3689" s="70"/>
      <c r="G3689" s="70" t="s">
        <v>61</v>
      </c>
      <c r="H3689" s="70" t="s">
        <v>178</v>
      </c>
      <c r="I3689" s="70" t="s">
        <v>198</v>
      </c>
      <c r="J3689" s="71" t="str">
        <f>IF(OR(I3689=0,I3689=""),"unrated",VLOOKUP(I3689,MappingTables!$B$19:$C$31,2,FALSE))</f>
        <v>unrated</v>
      </c>
      <c r="K3689" s="72">
        <v>467.98526672303856</v>
      </c>
      <c r="L3689" s="70">
        <v>1.8738529311773884</v>
      </c>
      <c r="M3689" s="71">
        <f>IF(L3689&lt;1,1,L3689)</f>
        <v>1.8738529311773884</v>
      </c>
      <c r="N3689" s="70" t="s">
        <v>141</v>
      </c>
      <c r="O3689" s="71">
        <f>INDEX(DurClassMapping,MATCH(M3689,MappingTables!$D$4:$D$8,-1),1)</f>
        <v>1</v>
      </c>
      <c r="P3689" s="73">
        <f>IF(M3689=$A$1,1,$M3689-INDEX(MappingTables!$E$4:$E$8,MATCH(O3689,MappingTables!$B$4:$B$8,0)))</f>
        <v>1.8738529311773884</v>
      </c>
      <c r="Q3689" s="71">
        <f>IF(B3689="",0,INDEX(ModelParameters!$D$6:$K$10,MATCH($O3689,ModelParameters!$B$6:$B$10,0),MATCH($J3689,ModelParameters!$D$5:$K$5,0)))</f>
        <v>0.03</v>
      </c>
      <c r="R3689" s="71">
        <f>IF(B3689="",0,INDEX(ModelParameters!$D$13:$K$17,MATCH($O3689,ModelParameters!$B$13:$B$17,0),MATCH($J3689,ModelParameters!$D$5:$K$5,0)))</f>
        <v>0</v>
      </c>
      <c r="S3689" s="160">
        <f>IF(B3689="",0,MIN(IF($N3689="Other Bond TM",ModelParameters!$N$21,1)*(P3689*Q3689+R3689),1))</f>
        <v>0.056215587935321648</v>
      </c>
      <c r="T3689" s="85">
        <f>IF(B3689="",0,$S3689*$K3689)</f>
        <v>26.308066913903928</v>
      </c>
      <c r="U3689" s="85">
        <f>IF(B3689="",0,IF(OR(H3689=MappingTables!$C$34,H3689=MappingTables!$C$35),T3689,0))</f>
        <v>0</v>
      </c>
      <c r="V3689" s="85">
        <f>IF(ISNA(IF(AND(VLOOKUP(CONCATENATE($D3689,$G3689),CSRFinput!$B:$E,4,0)=0,OR(H3689=MappingTables!$C$34,H3689=MappingTables!$C$35)),1,VLOOKUP(CONCATENATE($D3689,$G3689),CSRFinput!$B:$E,4,0))),0,IF(AND(VLOOKUP(CONCATENATE($D3689,$G3689),CSRFinput!$B:$E,4,0)=0,OR(H3689=MappingTables!$C$34,H3689=MappingTables!$C$35)),1,VLOOKUP(CONCATENATE($D3689,$G3689),CSRFinput!$B:$E,4,0)))</f>
        <v>0.054776304963434752</v>
      </c>
      <c r="W3689" s="85">
        <f>IF(B3689="",0,+$T3689*$V3689)</f>
        <v>1.4410586962744494</v>
      </c>
      <c r="X3689" s="85">
        <f>IF(B3689="",0,IF(OR(H3689=MappingTables!$C$34,H3689=MappingTables!$C$35),W3689,0))</f>
        <v>0</v>
      </c>
    </row>
    <row r="3690" spans="2:24" s="0" customFormat="0" ht="15">
      <c r="B3690" s="69">
        <v>20708336</v>
      </c>
      <c r="C3690" s="70" t="s">
        <v>2899</v>
      </c>
      <c r="D3690" s="70" t="s">
        <v>1</v>
      </c>
      <c r="E3690" s="70" t="s">
        <v>1</v>
      </c>
      <c r="F3690" s="70"/>
      <c r="G3690" s="70" t="s">
        <v>61</v>
      </c>
      <c r="H3690" s="70" t="s">
        <v>178</v>
      </c>
      <c r="I3690" s="70" t="s">
        <v>181</v>
      </c>
      <c r="J3690" s="71">
        <f>IF(OR(I3690=0,I3690=""),"unrated",VLOOKUP(I3690,MappingTables!$B$19:$C$31,2,FALSE))</f>
        <v>3</v>
      </c>
      <c r="K3690" s="72">
        <v>8186.534878922936</v>
      </c>
      <c r="L3690" s="70">
        <v>2.014220317312916</v>
      </c>
      <c r="M3690" s="71">
        <f>IF(L3690&lt;1,1,L3690)</f>
        <v>2.014220317312916</v>
      </c>
      <c r="N3690" s="70" t="s">
        <v>141</v>
      </c>
      <c r="O3690" s="71">
        <f>INDEX(DurClassMapping,MATCH(M3690,MappingTables!$D$4:$D$8,-1),1)</f>
        <v>1</v>
      </c>
      <c r="P3690" s="73">
        <f>IF(M3690=$A$1,1,$M3690-INDEX(MappingTables!$E$4:$E$8,MATCH(O3690,MappingTables!$B$4:$B$8,0)))</f>
        <v>2.014220317312916</v>
      </c>
      <c r="Q3690" s="71">
        <f>IF(B3690="",0,INDEX(ModelParameters!$D$6:$K$10,MATCH($O3690,ModelParameters!$B$6:$B$10,0),MATCH($J3690,ModelParameters!$D$5:$K$5,0)))</f>
        <v>0.025</v>
      </c>
      <c r="R3690" s="71">
        <f>IF(B3690="",0,INDEX(ModelParameters!$D$13:$K$17,MATCH($O3690,ModelParameters!$B$13:$B$17,0),MATCH($J3690,ModelParameters!$D$5:$K$5,0)))</f>
        <v>0</v>
      </c>
      <c r="S3690" s="160">
        <f>IF(B3690="",0,MIN(IF($N3690="Other Bond TM",ModelParameters!$N$21,1)*(P3690*Q3690+R3690),1))</f>
        <v>0.050355507932822896</v>
      </c>
      <c r="T3690" s="85">
        <f>IF(B3690="",0,$S3690*$K3690)</f>
        <v>412.2371220379352</v>
      </c>
      <c r="U3690" s="85">
        <f>IF(B3690="",0,IF(OR(H3690=MappingTables!$C$34,H3690=MappingTables!$C$35),T3690,0))</f>
        <v>0</v>
      </c>
      <c r="V3690" s="85">
        <f>IF(ISNA(IF(AND(VLOOKUP(CONCATENATE($D3690,$G3690),CSRFinput!$B:$E,4,0)=0,OR(H3690=MappingTables!$C$34,H3690=MappingTables!$C$35)),1,VLOOKUP(CONCATENATE($D3690,$G3690),CSRFinput!$B:$E,4,0))),0,IF(AND(VLOOKUP(CONCATENATE($D3690,$G3690),CSRFinput!$B:$E,4,0)=0,OR(H3690=MappingTables!$C$34,H3690=MappingTables!$C$35)),1,VLOOKUP(CONCATENATE($D3690,$G3690),CSRFinput!$B:$E,4,0)))</f>
        <v>0.054776304963434752</v>
      </c>
      <c r="W3690" s="85">
        <f>IF(B3690="",0,+$T3690*$V3690)</f>
        <v>22.580826313998608</v>
      </c>
      <c r="X3690" s="85">
        <f>IF(B3690="",0,IF(OR(H3690=MappingTables!$C$34,H3690=MappingTables!$C$35),W3690,0))</f>
        <v>0</v>
      </c>
    </row>
    <row r="3691" spans="2:24" s="0" customFormat="0" ht="15">
      <c r="B3691" s="69">
        <v>24222203</v>
      </c>
      <c r="C3691" s="70" t="s">
        <v>1780</v>
      </c>
      <c r="D3691" s="70" t="s">
        <v>1</v>
      </c>
      <c r="E3691" s="70" t="s">
        <v>1</v>
      </c>
      <c r="F3691" s="70"/>
      <c r="G3691" s="70" t="s">
        <v>61</v>
      </c>
      <c r="H3691" s="70" t="s">
        <v>178</v>
      </c>
      <c r="I3691" s="70" t="s">
        <v>220</v>
      </c>
      <c r="J3691" s="71">
        <f>IF(OR(I3691=0,I3691=""),"unrated",VLOOKUP(I3691,MappingTables!$B$19:$C$31,2,FALSE))</f>
        <v>1</v>
      </c>
      <c r="K3691" s="72">
        <v>5697.131310088572</v>
      </c>
      <c r="L3691" s="70">
        <v>0.024660853599646488</v>
      </c>
      <c r="M3691" s="71">
        <f>IF(L3691&lt;1,1,L3691)</f>
        <v>1</v>
      </c>
      <c r="N3691" s="70" t="s">
        <v>141</v>
      </c>
      <c r="O3691" s="71">
        <f>INDEX(DurClassMapping,MATCH(M3691,MappingTables!$D$4:$D$8,-1),1)</f>
        <v>1</v>
      </c>
      <c r="P3691" s="73">
        <f>IF(M3691=$A$1,1,$M3691-INDEX(MappingTables!$E$4:$E$8,MATCH(O3691,MappingTables!$B$4:$B$8,0)))</f>
        <v>1</v>
      </c>
      <c r="Q3691" s="71">
        <f>IF(B3691="",0,INDEX(ModelParameters!$D$6:$K$10,MATCH($O3691,ModelParameters!$B$6:$B$10,0),MATCH($J3691,ModelParameters!$D$5:$K$5,0)))</f>
        <v>0.011000000000000002</v>
      </c>
      <c r="R3691" s="71">
        <f>IF(B3691="",0,INDEX(ModelParameters!$D$13:$K$17,MATCH($O3691,ModelParameters!$B$13:$B$17,0),MATCH($J3691,ModelParameters!$D$5:$K$5,0)))</f>
        <v>0</v>
      </c>
      <c r="S3691" s="160">
        <f>IF(B3691="",0,MIN(IF($N3691="Other Bond TM",ModelParameters!$N$21,1)*(P3691*Q3691+R3691),1))</f>
        <v>0.011000000000000002</v>
      </c>
      <c r="T3691" s="85">
        <f>IF(B3691="",0,$S3691*$K3691)</f>
        <v>62.668444410974296</v>
      </c>
      <c r="U3691" s="85">
        <f>IF(B3691="",0,IF(OR(H3691=MappingTables!$C$34,H3691=MappingTables!$C$35),T3691,0))</f>
        <v>0</v>
      </c>
      <c r="V3691" s="85">
        <f>IF(ISNA(IF(AND(VLOOKUP(CONCATENATE($D3691,$G3691),CSRFinput!$B:$E,4,0)=0,OR(H3691=MappingTables!$C$34,H3691=MappingTables!$C$35)),1,VLOOKUP(CONCATENATE($D3691,$G3691),CSRFinput!$B:$E,4,0))),0,IF(AND(VLOOKUP(CONCATENATE($D3691,$G3691),CSRFinput!$B:$E,4,0)=0,OR(H3691=MappingTables!$C$34,H3691=MappingTables!$C$35)),1,VLOOKUP(CONCATENATE($D3691,$G3691),CSRFinput!$B:$E,4,0)))</f>
        <v>0.054776304963434752</v>
      </c>
      <c r="W3691" s="85">
        <f>IF(B3691="",0,+$T3691*$V3691)</f>
        <v>3.4327458226395864</v>
      </c>
      <c r="X3691" s="85">
        <f>IF(B3691="",0,IF(OR(H3691=MappingTables!$C$34,H3691=MappingTables!$C$35),W3691,0))</f>
        <v>0</v>
      </c>
    </row>
    <row r="3692" spans="2:24" s="0" customFormat="0" ht="15">
      <c r="B3692" s="69">
        <v>22713415</v>
      </c>
      <c r="C3692" s="70" t="s">
        <v>2485</v>
      </c>
      <c r="D3692" s="70" t="s">
        <v>1</v>
      </c>
      <c r="E3692" s="70" t="s">
        <v>1</v>
      </c>
      <c r="F3692" s="70"/>
      <c r="G3692" s="70" t="s">
        <v>61</v>
      </c>
      <c r="H3692" s="70" t="s">
        <v>178</v>
      </c>
      <c r="I3692" s="70" t="s">
        <v>179</v>
      </c>
      <c r="J3692" s="71">
        <f>IF(OR(I3692=0,I3692=""),"unrated",VLOOKUP(I3692,MappingTables!$B$19:$C$31,2,FALSE))</f>
        <v>4</v>
      </c>
      <c r="K3692" s="72">
        <v>18592.914725778912</v>
      </c>
      <c r="L3692" s="70">
        <v>3.8577907210872352</v>
      </c>
      <c r="M3692" s="71">
        <f>IF(L3692&lt;1,1,L3692)</f>
        <v>3.8577907210872352</v>
      </c>
      <c r="N3692" s="70" t="s">
        <v>141</v>
      </c>
      <c r="O3692" s="71">
        <f>INDEX(DurClassMapping,MATCH(M3692,MappingTables!$D$4:$D$8,-1),1)</f>
        <v>1</v>
      </c>
      <c r="P3692" s="73">
        <f>IF(M3692=$A$1,1,$M3692-INDEX(MappingTables!$E$4:$E$8,MATCH(O3692,MappingTables!$B$4:$B$8,0)))</f>
        <v>3.8577907210872352</v>
      </c>
      <c r="Q3692" s="71">
        <f>IF(B3692="",0,INDEX(ModelParameters!$D$6:$K$10,MATCH($O3692,ModelParameters!$B$6:$B$10,0),MATCH($J3692,ModelParameters!$D$5:$K$5,0)))</f>
        <v>0.045</v>
      </c>
      <c r="R3692" s="71">
        <f>IF(B3692="",0,INDEX(ModelParameters!$D$13:$K$17,MATCH($O3692,ModelParameters!$B$13:$B$17,0),MATCH($J3692,ModelParameters!$D$5:$K$5,0)))</f>
        <v>0</v>
      </c>
      <c r="S3692" s="160">
        <f>IF(B3692="",0,MIN(IF($N3692="Other Bond TM",ModelParameters!$N$21,1)*(P3692*Q3692+R3692),1))</f>
        <v>0.1736005824489256</v>
      </c>
      <c r="T3692" s="85">
        <f>IF(B3692="",0,$S3692*$K3692)</f>
        <v>3227.7408258184244</v>
      </c>
      <c r="U3692" s="85">
        <f>IF(B3692="",0,IF(OR(H3692=MappingTables!$C$34,H3692=MappingTables!$C$35),T3692,0))</f>
        <v>0</v>
      </c>
      <c r="V3692" s="85">
        <f>IF(ISNA(IF(AND(VLOOKUP(CONCATENATE($D3692,$G3692),CSRFinput!$B:$E,4,0)=0,OR(H3692=MappingTables!$C$34,H3692=MappingTables!$C$35)),1,VLOOKUP(CONCATENATE($D3692,$G3692),CSRFinput!$B:$E,4,0))),0,IF(AND(VLOOKUP(CONCATENATE($D3692,$G3692),CSRFinput!$B:$E,4,0)=0,OR(H3692=MappingTables!$C$34,H3692=MappingTables!$C$35)),1,VLOOKUP(CONCATENATE($D3692,$G3692),CSRFinput!$B:$E,4,0)))</f>
        <v>0.054776304963434752</v>
      </c>
      <c r="W3692" s="85">
        <f>IF(B3692="",0,+$T3692*$V3692)</f>
        <v>176.80371581795876</v>
      </c>
      <c r="X3692" s="85">
        <f>IF(B3692="",0,IF(OR(H3692=MappingTables!$C$34,H3692=MappingTables!$C$35),W3692,0))</f>
        <v>0</v>
      </c>
    </row>
    <row r="3693" spans="2:24" s="0" customFormat="0" ht="15">
      <c r="B3693" s="69">
        <v>19612063</v>
      </c>
      <c r="C3693" s="70" t="s">
        <v>2559</v>
      </c>
      <c r="D3693" s="70" t="s">
        <v>1</v>
      </c>
      <c r="E3693" s="70" t="s">
        <v>1</v>
      </c>
      <c r="F3693" s="70"/>
      <c r="G3693" s="70" t="s">
        <v>61</v>
      </c>
      <c r="H3693" s="70" t="s">
        <v>178</v>
      </c>
      <c r="I3693" s="70" t="s">
        <v>179</v>
      </c>
      <c r="J3693" s="71">
        <f>IF(OR(I3693=0,I3693=""),"unrated",VLOOKUP(I3693,MappingTables!$B$19:$C$31,2,FALSE))</f>
        <v>4</v>
      </c>
      <c r="K3693" s="72">
        <v>58.310233339720384</v>
      </c>
      <c r="L3693" s="70">
        <v>3.307327872586478</v>
      </c>
      <c r="M3693" s="71">
        <f>IF(L3693&lt;1,1,L3693)</f>
        <v>3.307327872586478</v>
      </c>
      <c r="N3693" s="70" t="s">
        <v>141</v>
      </c>
      <c r="O3693" s="71">
        <f>INDEX(DurClassMapping,MATCH(M3693,MappingTables!$D$4:$D$8,-1),1)</f>
        <v>1</v>
      </c>
      <c r="P3693" s="73">
        <f>IF(M3693=$A$1,1,$M3693-INDEX(MappingTables!$E$4:$E$8,MATCH(O3693,MappingTables!$B$4:$B$8,0)))</f>
        <v>3.307327872586478</v>
      </c>
      <c r="Q3693" s="71">
        <f>IF(B3693="",0,INDEX(ModelParameters!$D$6:$K$10,MATCH($O3693,ModelParameters!$B$6:$B$10,0),MATCH($J3693,ModelParameters!$D$5:$K$5,0)))</f>
        <v>0.045</v>
      </c>
      <c r="R3693" s="71">
        <f>IF(B3693="",0,INDEX(ModelParameters!$D$13:$K$17,MATCH($O3693,ModelParameters!$B$13:$B$17,0),MATCH($J3693,ModelParameters!$D$5:$K$5,0)))</f>
        <v>0</v>
      </c>
      <c r="S3693" s="160">
        <f>IF(B3693="",0,MIN(IF($N3693="Other Bond TM",ModelParameters!$N$21,1)*(P3693*Q3693+R3693),1))</f>
        <v>0.1488297542663915</v>
      </c>
      <c r="T3693" s="85">
        <f>IF(B3693="",0,$S3693*$K3693)</f>
        <v>8.6782976991665328</v>
      </c>
      <c r="U3693" s="85">
        <f>IF(B3693="",0,IF(OR(H3693=MappingTables!$C$34,H3693=MappingTables!$C$35),T3693,0))</f>
        <v>0</v>
      </c>
      <c r="V3693" s="85">
        <f>IF(ISNA(IF(AND(VLOOKUP(CONCATENATE($D3693,$G3693),CSRFinput!$B:$E,4,0)=0,OR(H3693=MappingTables!$C$34,H3693=MappingTables!$C$35)),1,VLOOKUP(CONCATENATE($D3693,$G3693),CSRFinput!$B:$E,4,0))),0,IF(AND(VLOOKUP(CONCATENATE($D3693,$G3693),CSRFinput!$B:$E,4,0)=0,OR(H3693=MappingTables!$C$34,H3693=MappingTables!$C$35)),1,VLOOKUP(CONCATENATE($D3693,$G3693),CSRFinput!$B:$E,4,0)))</f>
        <v>0.054776304963434752</v>
      </c>
      <c r="W3693" s="85">
        <f>IF(B3693="",0,+$T3693*$V3693)</f>
        <v>0.47536508133302016</v>
      </c>
      <c r="X3693" s="85">
        <f>IF(B3693="",0,IF(OR(H3693=MappingTables!$C$34,H3693=MappingTables!$C$35),W3693,0))</f>
        <v>0</v>
      </c>
    </row>
    <row r="3694" spans="2:24" s="0" customFormat="0" ht="15">
      <c r="B3694" s="69">
        <v>22062088</v>
      </c>
      <c r="C3694" s="70" t="s">
        <v>347</v>
      </c>
      <c r="D3694" s="70" t="s">
        <v>1</v>
      </c>
      <c r="E3694" s="70" t="s">
        <v>1</v>
      </c>
      <c r="F3694" s="70"/>
      <c r="G3694" s="70" t="s">
        <v>61</v>
      </c>
      <c r="H3694" s="70" t="s">
        <v>178</v>
      </c>
      <c r="I3694" s="70" t="s">
        <v>188</v>
      </c>
      <c r="J3694" s="71">
        <f>IF(OR(I3694=0,I3694=""),"unrated",VLOOKUP(I3694,MappingTables!$B$19:$C$31,2,FALSE))</f>
        <v>2</v>
      </c>
      <c r="K3694" s="72">
        <v>452.03863894561088</v>
      </c>
      <c r="L3694" s="70">
        <v>0.91535037731178464</v>
      </c>
      <c r="M3694" s="71">
        <f>IF(L3694&lt;1,1,L3694)</f>
        <v>1</v>
      </c>
      <c r="N3694" s="70" t="s">
        <v>141</v>
      </c>
      <c r="O3694" s="71">
        <f>INDEX(DurClassMapping,MATCH(M3694,MappingTables!$D$4:$D$8,-1),1)</f>
        <v>1</v>
      </c>
      <c r="P3694" s="73">
        <f>IF(M3694=$A$1,1,$M3694-INDEX(MappingTables!$E$4:$E$8,MATCH(O3694,MappingTables!$B$4:$B$8,0)))</f>
        <v>1</v>
      </c>
      <c r="Q3694" s="71">
        <f>IF(B3694="",0,INDEX(ModelParameters!$D$6:$K$10,MATCH($O3694,ModelParameters!$B$6:$B$10,0),MATCH($J3694,ModelParameters!$D$5:$K$5,0)))</f>
        <v>0.013999999999999998</v>
      </c>
      <c r="R3694" s="71">
        <f>IF(B3694="",0,INDEX(ModelParameters!$D$13:$K$17,MATCH($O3694,ModelParameters!$B$13:$B$17,0),MATCH($J3694,ModelParameters!$D$5:$K$5,0)))</f>
        <v>0</v>
      </c>
      <c r="S3694" s="160">
        <f>IF(B3694="",0,MIN(IF($N3694="Other Bond TM",ModelParameters!$N$21,1)*(P3694*Q3694+R3694),1))</f>
        <v>0.013999999999999998</v>
      </c>
      <c r="T3694" s="85">
        <f>IF(B3694="",0,$S3694*$K3694)</f>
        <v>6.328540945238552</v>
      </c>
      <c r="U3694" s="85">
        <f>IF(B3694="",0,IF(OR(H3694=MappingTables!$C$34,H3694=MappingTables!$C$35),T3694,0))</f>
        <v>0</v>
      </c>
      <c r="V3694" s="85">
        <f>IF(ISNA(IF(AND(VLOOKUP(CONCATENATE($D3694,$G3694),CSRFinput!$B:$E,4,0)=0,OR(H3694=MappingTables!$C$34,H3694=MappingTables!$C$35)),1,VLOOKUP(CONCATENATE($D3694,$G3694),CSRFinput!$B:$E,4,0))),0,IF(AND(VLOOKUP(CONCATENATE($D3694,$G3694),CSRFinput!$B:$E,4,0)=0,OR(H3694=MappingTables!$C$34,H3694=MappingTables!$C$35)),1,VLOOKUP(CONCATENATE($D3694,$G3694),CSRFinput!$B:$E,4,0)))</f>
        <v>0.054776304963434752</v>
      </c>
      <c r="W3694" s="85">
        <f>IF(B3694="",0,+$T3694*$V3694)</f>
        <v>0.34665408878997056</v>
      </c>
      <c r="X3694" s="85">
        <f>IF(B3694="",0,IF(OR(H3694=MappingTables!$C$34,H3694=MappingTables!$C$35),W3694,0))</f>
        <v>0</v>
      </c>
    </row>
    <row r="3695" spans="2:24" s="0" customFormat="0" ht="15">
      <c r="B3695" s="69">
        <v>7162170</v>
      </c>
      <c r="C3695" s="70" t="s">
        <v>2896</v>
      </c>
      <c r="D3695" s="70" t="s">
        <v>1</v>
      </c>
      <c r="E3695" s="70" t="s">
        <v>1</v>
      </c>
      <c r="F3695" s="70"/>
      <c r="G3695" s="70" t="s">
        <v>61</v>
      </c>
      <c r="H3695" s="70" t="s">
        <v>178</v>
      </c>
      <c r="I3695" s="70" t="s">
        <v>179</v>
      </c>
      <c r="J3695" s="71">
        <f>IF(OR(I3695=0,I3695=""),"unrated",VLOOKUP(I3695,MappingTables!$B$19:$C$31,2,FALSE))</f>
        <v>4</v>
      </c>
      <c r="K3695" s="72">
        <v>776.6382309886832</v>
      </c>
      <c r="L3695" s="70">
        <v>2.9287485607398628</v>
      </c>
      <c r="M3695" s="71">
        <f>IF(L3695&lt;1,1,L3695)</f>
        <v>2.9287485607398628</v>
      </c>
      <c r="N3695" s="70" t="s">
        <v>141</v>
      </c>
      <c r="O3695" s="71">
        <f>INDEX(DurClassMapping,MATCH(M3695,MappingTables!$D$4:$D$8,-1),1)</f>
        <v>1</v>
      </c>
      <c r="P3695" s="73">
        <f>IF(M3695=$A$1,1,$M3695-INDEX(MappingTables!$E$4:$E$8,MATCH(O3695,MappingTables!$B$4:$B$8,0)))</f>
        <v>2.9287485607398628</v>
      </c>
      <c r="Q3695" s="71">
        <f>IF(B3695="",0,INDEX(ModelParameters!$D$6:$K$10,MATCH($O3695,ModelParameters!$B$6:$B$10,0),MATCH($J3695,ModelParameters!$D$5:$K$5,0)))</f>
        <v>0.045</v>
      </c>
      <c r="R3695" s="71">
        <f>IF(B3695="",0,INDEX(ModelParameters!$D$13:$K$17,MATCH($O3695,ModelParameters!$B$13:$B$17,0),MATCH($J3695,ModelParameters!$D$5:$K$5,0)))</f>
        <v>0</v>
      </c>
      <c r="S3695" s="160">
        <f>IF(B3695="",0,MIN(IF($N3695="Other Bond TM",ModelParameters!$N$21,1)*(P3695*Q3695+R3695),1))</f>
        <v>0.13179368523329382</v>
      </c>
      <c r="T3695" s="85">
        <f>IF(B3695="",0,$S3695*$K3695)</f>
        <v>102.35601455506464</v>
      </c>
      <c r="U3695" s="85">
        <f>IF(B3695="",0,IF(OR(H3695=MappingTables!$C$34,H3695=MappingTables!$C$35),T3695,0))</f>
        <v>0</v>
      </c>
      <c r="V3695" s="85">
        <f>IF(ISNA(IF(AND(VLOOKUP(CONCATENATE($D3695,$G3695),CSRFinput!$B:$E,4,0)=0,OR(H3695=MappingTables!$C$34,H3695=MappingTables!$C$35)),1,VLOOKUP(CONCATENATE($D3695,$G3695),CSRFinput!$B:$E,4,0))),0,IF(AND(VLOOKUP(CONCATENATE($D3695,$G3695),CSRFinput!$B:$E,4,0)=0,OR(H3695=MappingTables!$C$34,H3695=MappingTables!$C$35)),1,VLOOKUP(CONCATENATE($D3695,$G3695),CSRFinput!$B:$E,4,0)))</f>
        <v>0.054776304963434752</v>
      </c>
      <c r="W3695" s="85">
        <f>IF(B3695="",0,+$T3695*$V3695)</f>
        <v>5.6066842681099872</v>
      </c>
      <c r="X3695" s="85">
        <f>IF(B3695="",0,IF(OR(H3695=MappingTables!$C$34,H3695=MappingTables!$C$35),W3695,0))</f>
        <v>0</v>
      </c>
    </row>
    <row r="3696" spans="2:24" s="0" customFormat="0" ht="15">
      <c r="B3696" s="69">
        <v>20374630</v>
      </c>
      <c r="C3696" s="70" t="s">
        <v>2923</v>
      </c>
      <c r="D3696" s="70" t="s">
        <v>1</v>
      </c>
      <c r="E3696" s="70" t="s">
        <v>1</v>
      </c>
      <c r="F3696" s="70"/>
      <c r="G3696" s="70" t="s">
        <v>61</v>
      </c>
      <c r="H3696" s="70" t="s">
        <v>178</v>
      </c>
      <c r="I3696" s="70" t="s">
        <v>181</v>
      </c>
      <c r="J3696" s="71">
        <f>IF(OR(I3696=0,I3696=""),"unrated",VLOOKUP(I3696,MappingTables!$B$19:$C$31,2,FALSE))</f>
        <v>3</v>
      </c>
      <c r="K3696" s="72">
        <v>19227.429977573036</v>
      </c>
      <c r="L3696" s="70">
        <v>4.0001046846304024</v>
      </c>
      <c r="M3696" s="71">
        <f>IF(L3696&lt;1,1,L3696)</f>
        <v>4.0001046846304024</v>
      </c>
      <c r="N3696" s="70" t="s">
        <v>141</v>
      </c>
      <c r="O3696" s="71">
        <f>INDEX(DurClassMapping,MATCH(M3696,MappingTables!$D$4:$D$8,-1),1)</f>
        <v>1</v>
      </c>
      <c r="P3696" s="73">
        <f>IF(M3696=$A$1,1,$M3696-INDEX(MappingTables!$E$4:$E$8,MATCH(O3696,MappingTables!$B$4:$B$8,0)))</f>
        <v>4.0001046846304024</v>
      </c>
      <c r="Q3696" s="71">
        <f>IF(B3696="",0,INDEX(ModelParameters!$D$6:$K$10,MATCH($O3696,ModelParameters!$B$6:$B$10,0),MATCH($J3696,ModelParameters!$D$5:$K$5,0)))</f>
        <v>0.025</v>
      </c>
      <c r="R3696" s="71">
        <f>IF(B3696="",0,INDEX(ModelParameters!$D$13:$K$17,MATCH($O3696,ModelParameters!$B$13:$B$17,0),MATCH($J3696,ModelParameters!$D$5:$K$5,0)))</f>
        <v>0</v>
      </c>
      <c r="S3696" s="160">
        <f>IF(B3696="",0,MIN(IF($N3696="Other Bond TM",ModelParameters!$N$21,1)*(P3696*Q3696+R3696),1))</f>
        <v>0.10000261711576008</v>
      </c>
      <c r="T3696" s="85">
        <f>IF(B3696="",0,$S3696*$K3696)</f>
        <v>1922.7933181673236</v>
      </c>
      <c r="U3696" s="85">
        <f>IF(B3696="",0,IF(OR(H3696=MappingTables!$C$34,H3696=MappingTables!$C$35),T3696,0))</f>
        <v>0</v>
      </c>
      <c r="V3696" s="85">
        <f>IF(ISNA(IF(AND(VLOOKUP(CONCATENATE($D3696,$G3696),CSRFinput!$B:$E,4,0)=0,OR(H3696=MappingTables!$C$34,H3696=MappingTables!$C$35)),1,VLOOKUP(CONCATENATE($D3696,$G3696),CSRFinput!$B:$E,4,0))),0,IF(AND(VLOOKUP(CONCATENATE($D3696,$G3696),CSRFinput!$B:$E,4,0)=0,OR(H3696=MappingTables!$C$34,H3696=MappingTables!$C$35)),1,VLOOKUP(CONCATENATE($D3696,$G3696),CSRFinput!$B:$E,4,0)))</f>
        <v>0.054776304963434752</v>
      </c>
      <c r="W3696" s="85">
        <f>IF(B3696="",0,+$T3696*$V3696)</f>
        <v>105.32351317758794</v>
      </c>
      <c r="X3696" s="85">
        <f>IF(B3696="",0,IF(OR(H3696=MappingTables!$C$34,H3696=MappingTables!$C$35),W3696,0))</f>
        <v>0</v>
      </c>
    </row>
    <row r="3697" spans="2:24" s="0" customFormat="0" ht="15">
      <c r="B3697" s="69">
        <v>7178667</v>
      </c>
      <c r="C3697" s="70" t="s">
        <v>2924</v>
      </c>
      <c r="D3697" s="70" t="s">
        <v>1</v>
      </c>
      <c r="E3697" s="70" t="s">
        <v>1</v>
      </c>
      <c r="F3697" s="70"/>
      <c r="G3697" s="70" t="s">
        <v>61</v>
      </c>
      <c r="H3697" s="70" t="s">
        <v>178</v>
      </c>
      <c r="I3697" s="70" t="s">
        <v>188</v>
      </c>
      <c r="J3697" s="71">
        <f>IF(OR(I3697=0,I3697=""),"unrated",VLOOKUP(I3697,MappingTables!$B$19:$C$31,2,FALSE))</f>
        <v>2</v>
      </c>
      <c r="K3697" s="72">
        <v>23.688015566585472</v>
      </c>
      <c r="L3697" s="70">
        <v>0.72385456576900816</v>
      </c>
      <c r="M3697" s="71">
        <f>IF(L3697&lt;1,1,L3697)</f>
        <v>1</v>
      </c>
      <c r="N3697" s="70" t="s">
        <v>141</v>
      </c>
      <c r="O3697" s="71">
        <f>INDEX(DurClassMapping,MATCH(M3697,MappingTables!$D$4:$D$8,-1),1)</f>
        <v>1</v>
      </c>
      <c r="P3697" s="73">
        <f>IF(M3697=$A$1,1,$M3697-INDEX(MappingTables!$E$4:$E$8,MATCH(O3697,MappingTables!$B$4:$B$8,0)))</f>
        <v>1</v>
      </c>
      <c r="Q3697" s="71">
        <f>IF(B3697="",0,INDEX(ModelParameters!$D$6:$K$10,MATCH($O3697,ModelParameters!$B$6:$B$10,0),MATCH($J3697,ModelParameters!$D$5:$K$5,0)))</f>
        <v>0.013999999999999998</v>
      </c>
      <c r="R3697" s="71">
        <f>IF(B3697="",0,INDEX(ModelParameters!$D$13:$K$17,MATCH($O3697,ModelParameters!$B$13:$B$17,0),MATCH($J3697,ModelParameters!$D$5:$K$5,0)))</f>
        <v>0</v>
      </c>
      <c r="S3697" s="160">
        <f>IF(B3697="",0,MIN(IF($N3697="Other Bond TM",ModelParameters!$N$21,1)*(P3697*Q3697+R3697),1))</f>
        <v>0.013999999999999998</v>
      </c>
      <c r="T3697" s="85">
        <f>IF(B3697="",0,$S3697*$K3697)</f>
        <v>0.33163221793219656</v>
      </c>
      <c r="U3697" s="85">
        <f>IF(B3697="",0,IF(OR(H3697=MappingTables!$C$34,H3697=MappingTables!$C$35),T3697,0))</f>
        <v>0</v>
      </c>
      <c r="V3697" s="85">
        <f>IF(ISNA(IF(AND(VLOOKUP(CONCATENATE($D3697,$G3697),CSRFinput!$B:$E,4,0)=0,OR(H3697=MappingTables!$C$34,H3697=MappingTables!$C$35)),1,VLOOKUP(CONCATENATE($D3697,$G3697),CSRFinput!$B:$E,4,0))),0,IF(AND(VLOOKUP(CONCATENATE($D3697,$G3697),CSRFinput!$B:$E,4,0)=0,OR(H3697=MappingTables!$C$34,H3697=MappingTables!$C$35)),1,VLOOKUP(CONCATENATE($D3697,$G3697),CSRFinput!$B:$E,4,0)))</f>
        <v>0.054776304963434752</v>
      </c>
      <c r="W3697" s="85">
        <f>IF(B3697="",0,+$T3697*$V3697)</f>
        <v>0.018165587505154252</v>
      </c>
      <c r="X3697" s="85">
        <f>IF(B3697="",0,IF(OR(H3697=MappingTables!$C$34,H3697=MappingTables!$C$35),W3697,0))</f>
        <v>0</v>
      </c>
    </row>
    <row r="3698" spans="2:24" s="0" customFormat="0" ht="15">
      <c r="B3698" s="69" t="s">
        <v>2574</v>
      </c>
      <c r="C3698" s="70" t="s">
        <v>2575</v>
      </c>
      <c r="D3698" s="70" t="s">
        <v>1</v>
      </c>
      <c r="E3698" s="70" t="s">
        <v>1</v>
      </c>
      <c r="F3698" s="70"/>
      <c r="G3698" s="70" t="s">
        <v>61</v>
      </c>
      <c r="H3698" s="70" t="s">
        <v>178</v>
      </c>
      <c r="I3698" s="70" t="s">
        <v>181</v>
      </c>
      <c r="J3698" s="71">
        <f>IF(OR(I3698=0,I3698=""),"unrated",VLOOKUP(I3698,MappingTables!$B$19:$C$31,2,FALSE))</f>
        <v>3</v>
      </c>
      <c r="K3698" s="72">
        <v>2932.6889133710796</v>
      </c>
      <c r="L3698" s="70">
        <v>3.653035656887784</v>
      </c>
      <c r="M3698" s="71">
        <f>IF(L3698&lt;1,1,L3698)</f>
        <v>3.653035656887784</v>
      </c>
      <c r="N3698" s="70" t="s">
        <v>141</v>
      </c>
      <c r="O3698" s="71">
        <f>INDEX(DurClassMapping,MATCH(M3698,MappingTables!$D$4:$D$8,-1),1)</f>
        <v>1</v>
      </c>
      <c r="P3698" s="73">
        <f>IF(M3698=$A$1,1,$M3698-INDEX(MappingTables!$E$4:$E$8,MATCH(O3698,MappingTables!$B$4:$B$8,0)))</f>
        <v>3.653035656887784</v>
      </c>
      <c r="Q3698" s="71">
        <f>IF(B3698="",0,INDEX(ModelParameters!$D$6:$K$10,MATCH($O3698,ModelParameters!$B$6:$B$10,0),MATCH($J3698,ModelParameters!$D$5:$K$5,0)))</f>
        <v>0.025</v>
      </c>
      <c r="R3698" s="71">
        <f>IF(B3698="",0,INDEX(ModelParameters!$D$13:$K$17,MATCH($O3698,ModelParameters!$B$13:$B$17,0),MATCH($J3698,ModelParameters!$D$5:$K$5,0)))</f>
        <v>0</v>
      </c>
      <c r="S3698" s="160">
        <f>IF(B3698="",0,MIN(IF($N3698="Other Bond TM",ModelParameters!$N$21,1)*(P3698*Q3698+R3698),1))</f>
        <v>0.091325891422194608</v>
      </c>
      <c r="T3698" s="85">
        <f>IF(B3698="",0,$S3698*$K3698)</f>
        <v>267.83042927760112</v>
      </c>
      <c r="U3698" s="85">
        <f>IF(B3698="",0,IF(OR(H3698=MappingTables!$C$34,H3698=MappingTables!$C$35),T3698,0))</f>
        <v>0</v>
      </c>
      <c r="V3698" s="85">
        <f>IF(ISNA(IF(AND(VLOOKUP(CONCATENATE($D3698,$G3698),CSRFinput!$B:$E,4,0)=0,OR(H3698=MappingTables!$C$34,H3698=MappingTables!$C$35)),1,VLOOKUP(CONCATENATE($D3698,$G3698),CSRFinput!$B:$E,4,0))),0,IF(AND(VLOOKUP(CONCATENATE($D3698,$G3698),CSRFinput!$B:$E,4,0)=0,OR(H3698=MappingTables!$C$34,H3698=MappingTables!$C$35)),1,VLOOKUP(CONCATENATE($D3698,$G3698),CSRFinput!$B:$E,4,0)))</f>
        <v>0.054776304963434752</v>
      </c>
      <c r="W3698" s="85">
        <f>IF(B3698="",0,+$T3698*$V3698)</f>
        <v>14.670761272597524</v>
      </c>
      <c r="X3698" s="85">
        <f>IF(B3698="",0,IF(OR(H3698=MappingTables!$C$34,H3698=MappingTables!$C$35),W3698,0))</f>
        <v>0</v>
      </c>
    </row>
    <row r="3699" spans="2:24" s="0" customFormat="0" ht="15">
      <c r="B3699" s="69">
        <v>7591116</v>
      </c>
      <c r="C3699" s="70" t="s">
        <v>2580</v>
      </c>
      <c r="D3699" s="70" t="s">
        <v>1</v>
      </c>
      <c r="E3699" s="70" t="s">
        <v>1</v>
      </c>
      <c r="F3699" s="70"/>
      <c r="G3699" s="70" t="s">
        <v>61</v>
      </c>
      <c r="H3699" s="70" t="s">
        <v>178</v>
      </c>
      <c r="I3699" s="70" t="s">
        <v>181</v>
      </c>
      <c r="J3699" s="71">
        <f>IF(OR(I3699=0,I3699=""),"unrated",VLOOKUP(I3699,MappingTables!$B$19:$C$31,2,FALSE))</f>
        <v>3</v>
      </c>
      <c r="K3699" s="72">
        <v>3613.9829692046848</v>
      </c>
      <c r="L3699" s="70">
        <v>2.778916551802922</v>
      </c>
      <c r="M3699" s="71">
        <f>IF(L3699&lt;1,1,L3699)</f>
        <v>2.778916551802922</v>
      </c>
      <c r="N3699" s="70" t="s">
        <v>141</v>
      </c>
      <c r="O3699" s="71">
        <f>INDEX(DurClassMapping,MATCH(M3699,MappingTables!$D$4:$D$8,-1),1)</f>
        <v>1</v>
      </c>
      <c r="P3699" s="73">
        <f>IF(M3699=$A$1,1,$M3699-INDEX(MappingTables!$E$4:$E$8,MATCH(O3699,MappingTables!$B$4:$B$8,0)))</f>
        <v>2.778916551802922</v>
      </c>
      <c r="Q3699" s="71">
        <f>IF(B3699="",0,INDEX(ModelParameters!$D$6:$K$10,MATCH($O3699,ModelParameters!$B$6:$B$10,0),MATCH($J3699,ModelParameters!$D$5:$K$5,0)))</f>
        <v>0.025</v>
      </c>
      <c r="R3699" s="71">
        <f>IF(B3699="",0,INDEX(ModelParameters!$D$13:$K$17,MATCH($O3699,ModelParameters!$B$13:$B$17,0),MATCH($J3699,ModelParameters!$D$5:$K$5,0)))</f>
        <v>0</v>
      </c>
      <c r="S3699" s="160">
        <f>IF(B3699="",0,MIN(IF($N3699="Other Bond TM",ModelParameters!$N$21,1)*(P3699*Q3699+R3699),1))</f>
        <v>0.069472913795073064</v>
      </c>
      <c r="T3699" s="85">
        <f>IF(B3699="",0,$S3699*$K3699)</f>
        <v>251.07392727641924</v>
      </c>
      <c r="U3699" s="85">
        <f>IF(B3699="",0,IF(OR(H3699=MappingTables!$C$34,H3699=MappingTables!$C$35),T3699,0))</f>
        <v>0</v>
      </c>
      <c r="V3699" s="85">
        <f>IF(ISNA(IF(AND(VLOOKUP(CONCATENATE($D3699,$G3699),CSRFinput!$B:$E,4,0)=0,OR(H3699=MappingTables!$C$34,H3699=MappingTables!$C$35)),1,VLOOKUP(CONCATENATE($D3699,$G3699),CSRFinput!$B:$E,4,0))),0,IF(AND(VLOOKUP(CONCATENATE($D3699,$G3699),CSRFinput!$B:$E,4,0)=0,OR(H3699=MappingTables!$C$34,H3699=MappingTables!$C$35)),1,VLOOKUP(CONCATENATE($D3699,$G3699),CSRFinput!$B:$E,4,0)))</f>
        <v>0.054776304963434752</v>
      </c>
      <c r="W3699" s="85">
        <f>IF(B3699="",0,+$T3699*$V3699)</f>
        <v>13.75290200886038</v>
      </c>
      <c r="X3699" s="85">
        <f>IF(B3699="",0,IF(OR(H3699=MappingTables!$C$34,H3699=MappingTables!$C$35),W3699,0))</f>
        <v>0</v>
      </c>
    </row>
    <row r="3700" spans="2:24" s="0" customFormat="0" ht="15">
      <c r="B3700" s="69" t="s">
        <v>1104</v>
      </c>
      <c r="C3700" s="70" t="s">
        <v>1105</v>
      </c>
      <c r="D3700" s="70" t="s">
        <v>1</v>
      </c>
      <c r="E3700" s="70" t="s">
        <v>1</v>
      </c>
      <c r="F3700" s="70"/>
      <c r="G3700" s="70" t="s">
        <v>61</v>
      </c>
      <c r="H3700" s="70" t="s">
        <v>178</v>
      </c>
      <c r="I3700" s="70" t="s">
        <v>179</v>
      </c>
      <c r="J3700" s="71">
        <f>IF(OR(I3700=0,I3700=""),"unrated",VLOOKUP(I3700,MappingTables!$B$19:$C$31,2,FALSE))</f>
        <v>4</v>
      </c>
      <c r="K3700" s="72">
        <v>24202.15859691116</v>
      </c>
      <c r="L3700" s="70">
        <v>11.593762759742802</v>
      </c>
      <c r="M3700" s="71">
        <f>IF(L3700&lt;1,1,L3700)</f>
        <v>11.593762759742802</v>
      </c>
      <c r="N3700" s="70" t="s">
        <v>141</v>
      </c>
      <c r="O3700" s="71">
        <f>INDEX(DurClassMapping,MATCH(M3700,MappingTables!$D$4:$D$8,-1),1)</f>
        <v>3</v>
      </c>
      <c r="P3700" s="73">
        <f>IF(M3700=$A$1,1,$M3700-INDEX(MappingTables!$E$4:$E$8,MATCH(O3700,MappingTables!$B$4:$B$8,0)))</f>
        <v>1.593762759742802</v>
      </c>
      <c r="Q3700" s="71">
        <f>IF(B3700="",0,INDEX(ModelParameters!$D$6:$K$10,MATCH($O3700,ModelParameters!$B$6:$B$10,0),MATCH($J3700,ModelParameters!$D$5:$K$5,0)))</f>
        <v>0.018000000000000002</v>
      </c>
      <c r="R3700" s="71">
        <f>IF(B3700="",0,INDEX(ModelParameters!$D$13:$K$17,MATCH($O3700,ModelParameters!$B$13:$B$17,0),MATCH($J3700,ModelParameters!$D$5:$K$5,0)))</f>
        <v>0.34999999999999996</v>
      </c>
      <c r="S3700" s="160">
        <f>IF(B3700="",0,MIN(IF($N3700="Other Bond TM",ModelParameters!$N$21,1)*(P3700*Q3700+R3700),1))</f>
        <v>0.3786877296753704</v>
      </c>
      <c r="T3700" s="85">
        <f>IF(B3700="",0,$S3700*$K3700)</f>
        <v>9165.060492307536</v>
      </c>
      <c r="U3700" s="85">
        <f>IF(B3700="",0,IF(OR(H3700=MappingTables!$C$34,H3700=MappingTables!$C$35),T3700,0))</f>
        <v>0</v>
      </c>
      <c r="V3700" s="85">
        <f>IF(ISNA(IF(AND(VLOOKUP(CONCATENATE($D3700,$G3700),CSRFinput!$B:$E,4,0)=0,OR(H3700=MappingTables!$C$34,H3700=MappingTables!$C$35)),1,VLOOKUP(CONCATENATE($D3700,$G3700),CSRFinput!$B:$E,4,0))),0,IF(AND(VLOOKUP(CONCATENATE($D3700,$G3700),CSRFinput!$B:$E,4,0)=0,OR(H3700=MappingTables!$C$34,H3700=MappingTables!$C$35)),1,VLOOKUP(CONCATENATE($D3700,$G3700),CSRFinput!$B:$E,4,0)))</f>
        <v>0.054776304963434752</v>
      </c>
      <c r="W3700" s="85">
        <f>IF(B3700="",0,+$T3700*$V3700)</f>
        <v>502.02814853496496</v>
      </c>
      <c r="X3700" s="85">
        <f>IF(B3700="",0,IF(OR(H3700=MappingTables!$C$34,H3700=MappingTables!$C$35),W3700,0))</f>
        <v>0</v>
      </c>
    </row>
    <row r="3701" spans="2:24" s="0" customFormat="0" ht="15">
      <c r="B3701" s="69">
        <v>14418870</v>
      </c>
      <c r="C3701" s="70" t="s">
        <v>2794</v>
      </c>
      <c r="D3701" s="70" t="s">
        <v>1</v>
      </c>
      <c r="E3701" s="70" t="s">
        <v>1</v>
      </c>
      <c r="F3701" s="70"/>
      <c r="G3701" s="70" t="s">
        <v>61</v>
      </c>
      <c r="H3701" s="70" t="s">
        <v>178</v>
      </c>
      <c r="I3701" s="70" t="s">
        <v>188</v>
      </c>
      <c r="J3701" s="71">
        <f>IF(OR(I3701=0,I3701=""),"unrated",VLOOKUP(I3701,MappingTables!$B$19:$C$31,2,FALSE))</f>
        <v>2</v>
      </c>
      <c r="K3701" s="72">
        <v>501.0284122160276</v>
      </c>
      <c r="L3701" s="70">
        <v>1.8577121327446632</v>
      </c>
      <c r="M3701" s="71">
        <f>IF(L3701&lt;1,1,L3701)</f>
        <v>1.8577121327446632</v>
      </c>
      <c r="N3701" s="70" t="s">
        <v>141</v>
      </c>
      <c r="O3701" s="71">
        <f>INDEX(DurClassMapping,MATCH(M3701,MappingTables!$D$4:$D$8,-1),1)</f>
        <v>1</v>
      </c>
      <c r="P3701" s="73">
        <f>IF(M3701=$A$1,1,$M3701-INDEX(MappingTables!$E$4:$E$8,MATCH(O3701,MappingTables!$B$4:$B$8,0)))</f>
        <v>1.8577121327446632</v>
      </c>
      <c r="Q3701" s="71">
        <f>IF(B3701="",0,INDEX(ModelParameters!$D$6:$K$10,MATCH($O3701,ModelParameters!$B$6:$B$10,0),MATCH($J3701,ModelParameters!$D$5:$K$5,0)))</f>
        <v>0.013999999999999998</v>
      </c>
      <c r="R3701" s="71">
        <f>IF(B3701="",0,INDEX(ModelParameters!$D$13:$K$17,MATCH($O3701,ModelParameters!$B$13:$B$17,0),MATCH($J3701,ModelParameters!$D$5:$K$5,0)))</f>
        <v>0</v>
      </c>
      <c r="S3701" s="160">
        <f>IF(B3701="",0,MIN(IF($N3701="Other Bond TM",ModelParameters!$N$21,1)*(P3701*Q3701+R3701),1))</f>
        <v>0.026007969858425284</v>
      </c>
      <c r="T3701" s="85">
        <f>IF(B3701="",0,$S3701*$K3701)</f>
        <v>13.030731843129126</v>
      </c>
      <c r="U3701" s="85">
        <f>IF(B3701="",0,IF(OR(H3701=MappingTables!$C$34,H3701=MappingTables!$C$35),T3701,0))</f>
        <v>0</v>
      </c>
      <c r="V3701" s="85">
        <f>IF(ISNA(IF(AND(VLOOKUP(CONCATENATE($D3701,$G3701),CSRFinput!$B:$E,4,0)=0,OR(H3701=MappingTables!$C$34,H3701=MappingTables!$C$35)),1,VLOOKUP(CONCATENATE($D3701,$G3701),CSRFinput!$B:$E,4,0))),0,IF(AND(VLOOKUP(CONCATENATE($D3701,$G3701),CSRFinput!$B:$E,4,0)=0,OR(H3701=MappingTables!$C$34,H3701=MappingTables!$C$35)),1,VLOOKUP(CONCATENATE($D3701,$G3701),CSRFinput!$B:$E,4,0)))</f>
        <v>0.054776304963434752</v>
      </c>
      <c r="W3701" s="85">
        <f>IF(B3701="",0,+$T3701*$V3701)</f>
        <v>0.7137753413359812</v>
      </c>
      <c r="X3701" s="85">
        <f>IF(B3701="",0,IF(OR(H3701=MappingTables!$C$34,H3701=MappingTables!$C$35),W3701,0))</f>
        <v>0</v>
      </c>
    </row>
    <row r="3702" spans="2:24" s="0" customFormat="0" ht="15">
      <c r="B3702" s="69">
        <v>15533513</v>
      </c>
      <c r="C3702" s="70" t="s">
        <v>2829</v>
      </c>
      <c r="D3702" s="70" t="s">
        <v>1</v>
      </c>
      <c r="E3702" s="70" t="s">
        <v>1</v>
      </c>
      <c r="F3702" s="70"/>
      <c r="G3702" s="70" t="s">
        <v>61</v>
      </c>
      <c r="H3702" s="70" t="s">
        <v>178</v>
      </c>
      <c r="I3702" s="70" t="s">
        <v>188</v>
      </c>
      <c r="J3702" s="71">
        <f>IF(OR(I3702=0,I3702=""),"unrated",VLOOKUP(I3702,MappingTables!$B$19:$C$31,2,FALSE))</f>
        <v>2</v>
      </c>
      <c r="K3702" s="72">
        <v>52.357684693059352</v>
      </c>
      <c r="L3702" s="70">
        <v>1.8293888545310716</v>
      </c>
      <c r="M3702" s="71">
        <f>IF(L3702&lt;1,1,L3702)</f>
        <v>1.8293888545310716</v>
      </c>
      <c r="N3702" s="70" t="s">
        <v>141</v>
      </c>
      <c r="O3702" s="71">
        <f>INDEX(DurClassMapping,MATCH(M3702,MappingTables!$D$4:$D$8,-1),1)</f>
        <v>1</v>
      </c>
      <c r="P3702" s="73">
        <f>IF(M3702=$A$1,1,$M3702-INDEX(MappingTables!$E$4:$E$8,MATCH(O3702,MappingTables!$B$4:$B$8,0)))</f>
        <v>1.8293888545310716</v>
      </c>
      <c r="Q3702" s="71">
        <f>IF(B3702="",0,INDEX(ModelParameters!$D$6:$K$10,MATCH($O3702,ModelParameters!$B$6:$B$10,0),MATCH($J3702,ModelParameters!$D$5:$K$5,0)))</f>
        <v>0.013999999999999998</v>
      </c>
      <c r="R3702" s="71">
        <f>IF(B3702="",0,INDEX(ModelParameters!$D$13:$K$17,MATCH($O3702,ModelParameters!$B$13:$B$17,0),MATCH($J3702,ModelParameters!$D$5:$K$5,0)))</f>
        <v>0</v>
      </c>
      <c r="S3702" s="160">
        <f>IF(B3702="",0,MIN(IF($N3702="Other Bond TM",ModelParameters!$N$21,1)*(P3702*Q3702+R3702),1))</f>
        <v>0.025611443963435</v>
      </c>
      <c r="T3702" s="85">
        <f>IF(B3702="",0,$S3702*$K3702)</f>
        <v>1.340955907571488</v>
      </c>
      <c r="U3702" s="85">
        <f>IF(B3702="",0,IF(OR(H3702=MappingTables!$C$34,H3702=MappingTables!$C$35),T3702,0))</f>
        <v>0</v>
      </c>
      <c r="V3702" s="85">
        <f>IF(ISNA(IF(AND(VLOOKUP(CONCATENATE($D3702,$G3702),CSRFinput!$B:$E,4,0)=0,OR(H3702=MappingTables!$C$34,H3702=MappingTables!$C$35)),1,VLOOKUP(CONCATENATE($D3702,$G3702),CSRFinput!$B:$E,4,0))),0,IF(AND(VLOOKUP(CONCATENATE($D3702,$G3702),CSRFinput!$B:$E,4,0)=0,OR(H3702=MappingTables!$C$34,H3702=MappingTables!$C$35)),1,VLOOKUP(CONCATENATE($D3702,$G3702),CSRFinput!$B:$E,4,0)))</f>
        <v>0.054776304963434752</v>
      </c>
      <c r="W3702" s="85">
        <f>IF(B3702="",0,+$T3702*$V3702)</f>
        <v>0.073452609735655264</v>
      </c>
      <c r="X3702" s="85">
        <f>IF(B3702="",0,IF(OR(H3702=MappingTables!$C$34,H3702=MappingTables!$C$35),W3702,0))</f>
        <v>0</v>
      </c>
    </row>
    <row r="3703" spans="2:24" s="0" customFormat="0" ht="15">
      <c r="B3703" s="69">
        <v>5109850</v>
      </c>
      <c r="C3703" s="70" t="s">
        <v>2925</v>
      </c>
      <c r="D3703" s="70" t="s">
        <v>1</v>
      </c>
      <c r="E3703" s="70" t="s">
        <v>1</v>
      </c>
      <c r="F3703" s="70"/>
      <c r="G3703" s="70" t="s">
        <v>61</v>
      </c>
      <c r="H3703" s="70" t="s">
        <v>178</v>
      </c>
      <c r="I3703" s="70" t="s">
        <v>220</v>
      </c>
      <c r="J3703" s="71">
        <f>IF(OR(I3703=0,I3703=""),"unrated",VLOOKUP(I3703,MappingTables!$B$19:$C$31,2,FALSE))</f>
        <v>1</v>
      </c>
      <c r="K3703" s="72">
        <v>1083266.9830322266</v>
      </c>
      <c r="L3703" s="70">
        <v>2.254719251486608</v>
      </c>
      <c r="M3703" s="71">
        <f>IF(L3703&lt;1,1,L3703)</f>
        <v>2.254719251486608</v>
      </c>
      <c r="N3703" s="70" t="s">
        <v>141</v>
      </c>
      <c r="O3703" s="71">
        <f>INDEX(DurClassMapping,MATCH(M3703,MappingTables!$D$4:$D$8,-1),1)</f>
        <v>1</v>
      </c>
      <c r="P3703" s="73">
        <f>IF(M3703=$A$1,1,$M3703-INDEX(MappingTables!$E$4:$E$8,MATCH(O3703,MappingTables!$B$4:$B$8,0)))</f>
        <v>2.254719251486608</v>
      </c>
      <c r="Q3703" s="71">
        <f>IF(B3703="",0,INDEX(ModelParameters!$D$6:$K$10,MATCH($O3703,ModelParameters!$B$6:$B$10,0),MATCH($J3703,ModelParameters!$D$5:$K$5,0)))</f>
        <v>0.011000000000000002</v>
      </c>
      <c r="R3703" s="71">
        <f>IF(B3703="",0,INDEX(ModelParameters!$D$13:$K$17,MATCH($O3703,ModelParameters!$B$13:$B$17,0),MATCH($J3703,ModelParameters!$D$5:$K$5,0)))</f>
        <v>0</v>
      </c>
      <c r="S3703" s="160">
        <f>IF(B3703="",0,MIN(IF($N3703="Other Bond TM",ModelParameters!$N$21,1)*(P3703*Q3703+R3703),1))</f>
        <v>0.024801911766352692</v>
      </c>
      <c r="T3703" s="85">
        <f>IF(B3703="",0,$S3703*$K3703)</f>
        <v>26867.092132568364</v>
      </c>
      <c r="U3703" s="85">
        <f>IF(B3703="",0,IF(OR(H3703=MappingTables!$C$34,H3703=MappingTables!$C$35),T3703,0))</f>
        <v>0</v>
      </c>
      <c r="V3703" s="85">
        <f>IF(ISNA(IF(AND(VLOOKUP(CONCATENATE($D3703,$G3703),CSRFinput!$B:$E,4,0)=0,OR(H3703=MappingTables!$C$34,H3703=MappingTables!$C$35)),1,VLOOKUP(CONCATENATE($D3703,$G3703),CSRFinput!$B:$E,4,0))),0,IF(AND(VLOOKUP(CONCATENATE($D3703,$G3703),CSRFinput!$B:$E,4,0)=0,OR(H3703=MappingTables!$C$34,H3703=MappingTables!$C$35)),1,VLOOKUP(CONCATENATE($D3703,$G3703),CSRFinput!$B:$E,4,0)))</f>
        <v>0.054776304963434752</v>
      </c>
      <c r="W3703" s="85">
        <f>IF(B3703="",0,+$T3703*$V3703)</f>
        <v>1471.6800321342632</v>
      </c>
      <c r="X3703" s="85">
        <f>IF(B3703="",0,IF(OR(H3703=MappingTables!$C$34,H3703=MappingTables!$C$35),W3703,0))</f>
        <v>0</v>
      </c>
    </row>
    <row r="3704" spans="2:24" s="0" customFormat="0" ht="15">
      <c r="B3704" s="69" t="s">
        <v>2339</v>
      </c>
      <c r="C3704" s="70" t="s">
        <v>2340</v>
      </c>
      <c r="D3704" s="70" t="s">
        <v>1</v>
      </c>
      <c r="E3704" s="70" t="s">
        <v>1</v>
      </c>
      <c r="F3704" s="70"/>
      <c r="G3704" s="70" t="s">
        <v>61</v>
      </c>
      <c r="H3704" s="70" t="s">
        <v>178</v>
      </c>
      <c r="I3704" s="70" t="s">
        <v>198</v>
      </c>
      <c r="J3704" s="71" t="str">
        <f>IF(OR(I3704=0,I3704=""),"unrated",VLOOKUP(I3704,MappingTables!$B$19:$C$31,2,FALSE))</f>
        <v>unrated</v>
      </c>
      <c r="K3704" s="72">
        <v>2416.1818728796192</v>
      </c>
      <c r="L3704" s="70">
        <v>12.389968917218266</v>
      </c>
      <c r="M3704" s="71">
        <f>IF(L3704&lt;1,1,L3704)</f>
        <v>12.389968917218266</v>
      </c>
      <c r="N3704" s="70" t="s">
        <v>141</v>
      </c>
      <c r="O3704" s="71">
        <f>INDEX(DurClassMapping,MATCH(M3704,MappingTables!$D$4:$D$8,-1),1)</f>
        <v>3</v>
      </c>
      <c r="P3704" s="73">
        <f>IF(M3704=$A$1,1,$M3704-INDEX(MappingTables!$E$4:$E$8,MATCH(O3704,MappingTables!$B$4:$B$8,0)))</f>
        <v>2.3899689172182656</v>
      </c>
      <c r="Q3704" s="71">
        <f>IF(B3704="",0,INDEX(ModelParameters!$D$6:$K$10,MATCH($O3704,ModelParameters!$B$6:$B$10,0),MATCH($J3704,ModelParameters!$D$5:$K$5,0)))</f>
        <v>0.012</v>
      </c>
      <c r="R3704" s="71">
        <f>IF(B3704="",0,INDEX(ModelParameters!$D$13:$K$17,MATCH($O3704,ModelParameters!$B$13:$B$17,0),MATCH($J3704,ModelParameters!$D$5:$K$5,0)))</f>
        <v>0.235</v>
      </c>
      <c r="S3704" s="160">
        <f>IF(B3704="",0,MIN(IF($N3704="Other Bond TM",ModelParameters!$N$21,1)*(P3704*Q3704+R3704),1))</f>
        <v>0.26367962700661916</v>
      </c>
      <c r="T3704" s="85">
        <f>IF(B3704="",0,$S3704*$K3704)</f>
        <v>637.09793502105256</v>
      </c>
      <c r="U3704" s="85">
        <f>IF(B3704="",0,IF(OR(H3704=MappingTables!$C$34,H3704=MappingTables!$C$35),T3704,0))</f>
        <v>0</v>
      </c>
      <c r="V3704" s="85">
        <f>IF(ISNA(IF(AND(VLOOKUP(CONCATENATE($D3704,$G3704),CSRFinput!$B:$E,4,0)=0,OR(H3704=MappingTables!$C$34,H3704=MappingTables!$C$35)),1,VLOOKUP(CONCATENATE($D3704,$G3704),CSRFinput!$B:$E,4,0))),0,IF(AND(VLOOKUP(CONCATENATE($D3704,$G3704),CSRFinput!$B:$E,4,0)=0,OR(H3704=MappingTables!$C$34,H3704=MappingTables!$C$35)),1,VLOOKUP(CONCATENATE($D3704,$G3704),CSRFinput!$B:$E,4,0)))</f>
        <v>0.054776304963434752</v>
      </c>
      <c r="W3704" s="85">
        <f>IF(B3704="",0,+$T3704*$V3704)</f>
        <v>34.897870780287712</v>
      </c>
      <c r="X3704" s="85">
        <f>IF(B3704="",0,IF(OR(H3704=MappingTables!$C$34,H3704=MappingTables!$C$35),W3704,0))</f>
        <v>0</v>
      </c>
    </row>
    <row r="3705" spans="2:24" s="0" customFormat="0" ht="15">
      <c r="B3705" s="69">
        <v>17164391</v>
      </c>
      <c r="C3705" s="70" t="s">
        <v>954</v>
      </c>
      <c r="D3705" s="70" t="s">
        <v>1</v>
      </c>
      <c r="E3705" s="70" t="s">
        <v>1</v>
      </c>
      <c r="F3705" s="70"/>
      <c r="G3705" s="70" t="s">
        <v>61</v>
      </c>
      <c r="H3705" s="70" t="s">
        <v>178</v>
      </c>
      <c r="I3705" s="70" t="s">
        <v>181</v>
      </c>
      <c r="J3705" s="71">
        <f>IF(OR(I3705=0,I3705=""),"unrated",VLOOKUP(I3705,MappingTables!$B$19:$C$31,2,FALSE))</f>
        <v>3</v>
      </c>
      <c r="K3705" s="72">
        <v>7479.000656689832</v>
      </c>
      <c r="L3705" s="70">
        <v>8.1384703383430832</v>
      </c>
      <c r="M3705" s="71">
        <f>IF(L3705&lt;1,1,L3705)</f>
        <v>8.1384703383430832</v>
      </c>
      <c r="N3705" s="70" t="s">
        <v>141</v>
      </c>
      <c r="O3705" s="71">
        <f>INDEX(DurClassMapping,MATCH(M3705,MappingTables!$D$4:$D$8,-1),1)</f>
        <v>2</v>
      </c>
      <c r="P3705" s="73">
        <f>IF(M3705=$A$1,1,$M3705-INDEX(MappingTables!$E$4:$E$8,MATCH(O3705,MappingTables!$B$4:$B$8,0)))</f>
        <v>3.1384703383430832</v>
      </c>
      <c r="Q3705" s="71">
        <f>IF(B3705="",0,INDEX(ModelParameters!$D$6:$K$10,MATCH($O3705,ModelParameters!$B$6:$B$10,0),MATCH($J3705,ModelParameters!$D$5:$K$5,0)))</f>
        <v>0.015</v>
      </c>
      <c r="R3705" s="71">
        <f>IF(B3705="",0,INDEX(ModelParameters!$D$13:$K$17,MATCH($O3705,ModelParameters!$B$13:$B$17,0),MATCH($J3705,ModelParameters!$D$5:$K$5,0)))</f>
        <v>0.125</v>
      </c>
      <c r="S3705" s="160">
        <f>IF(B3705="",0,MIN(IF($N3705="Other Bond TM",ModelParameters!$N$21,1)*(P3705*Q3705+R3705),1))</f>
        <v>0.17207705507514626</v>
      </c>
      <c r="T3705" s="85">
        <f>IF(B3705="",0,$S3705*$K3705)</f>
        <v>1286.9644079082712</v>
      </c>
      <c r="U3705" s="85">
        <f>IF(B3705="",0,IF(OR(H3705=MappingTables!$C$34,H3705=MappingTables!$C$35),T3705,0))</f>
        <v>0</v>
      </c>
      <c r="V3705" s="85">
        <f>IF(ISNA(IF(AND(VLOOKUP(CONCATENATE($D3705,$G3705),CSRFinput!$B:$E,4,0)=0,OR(H3705=MappingTables!$C$34,H3705=MappingTables!$C$35)),1,VLOOKUP(CONCATENATE($D3705,$G3705),CSRFinput!$B:$E,4,0))),0,IF(AND(VLOOKUP(CONCATENATE($D3705,$G3705),CSRFinput!$B:$E,4,0)=0,OR(H3705=MappingTables!$C$34,H3705=MappingTables!$C$35)),1,VLOOKUP(CONCATENATE($D3705,$G3705),CSRFinput!$B:$E,4,0)))</f>
        <v>0.054776304963434752</v>
      </c>
      <c r="W3705" s="85">
        <f>IF(B3705="",0,+$T3705*$V3705)</f>
        <v>70.495154884669704</v>
      </c>
      <c r="X3705" s="85">
        <f>IF(B3705="",0,IF(OR(H3705=MappingTables!$C$34,H3705=MappingTables!$C$35),W3705,0))</f>
        <v>0</v>
      </c>
    </row>
    <row r="3706" spans="2:24" s="0" customFormat="0" ht="15">
      <c r="B3706" s="69">
        <v>11821205</v>
      </c>
      <c r="C3706" s="70" t="s">
        <v>1516</v>
      </c>
      <c r="D3706" s="70" t="s">
        <v>1</v>
      </c>
      <c r="E3706" s="70" t="s">
        <v>1</v>
      </c>
      <c r="F3706" s="70"/>
      <c r="G3706" s="70" t="s">
        <v>61</v>
      </c>
      <c r="H3706" s="70" t="s">
        <v>178</v>
      </c>
      <c r="I3706" s="70" t="s">
        <v>181</v>
      </c>
      <c r="J3706" s="71">
        <f>IF(OR(I3706=0,I3706=""),"unrated",VLOOKUP(I3706,MappingTables!$B$19:$C$31,2,FALSE))</f>
        <v>3</v>
      </c>
      <c r="K3706" s="72">
        <v>7289.4646131349984</v>
      </c>
      <c r="L3706" s="70">
        <v>2.211133354048298</v>
      </c>
      <c r="M3706" s="71">
        <f>IF(L3706&lt;1,1,L3706)</f>
        <v>2.211133354048298</v>
      </c>
      <c r="N3706" s="70" t="s">
        <v>141</v>
      </c>
      <c r="O3706" s="71">
        <f>INDEX(DurClassMapping,MATCH(M3706,MappingTables!$D$4:$D$8,-1),1)</f>
        <v>1</v>
      </c>
      <c r="P3706" s="73">
        <f>IF(M3706=$A$1,1,$M3706-INDEX(MappingTables!$E$4:$E$8,MATCH(O3706,MappingTables!$B$4:$B$8,0)))</f>
        <v>2.211133354048298</v>
      </c>
      <c r="Q3706" s="71">
        <f>IF(B3706="",0,INDEX(ModelParameters!$D$6:$K$10,MATCH($O3706,ModelParameters!$B$6:$B$10,0),MATCH($J3706,ModelParameters!$D$5:$K$5,0)))</f>
        <v>0.025</v>
      </c>
      <c r="R3706" s="71">
        <f>IF(B3706="",0,INDEX(ModelParameters!$D$13:$K$17,MATCH($O3706,ModelParameters!$B$13:$B$17,0),MATCH($J3706,ModelParameters!$D$5:$K$5,0)))</f>
        <v>0</v>
      </c>
      <c r="S3706" s="160">
        <f>IF(B3706="",0,MIN(IF($N3706="Other Bond TM",ModelParameters!$N$21,1)*(P3706*Q3706+R3706),1))</f>
        <v>0.055278333851207448</v>
      </c>
      <c r="T3706" s="85">
        <f>IF(B3706="",0,$S3706*$K3706)</f>
        <v>402.94945848143928</v>
      </c>
      <c r="U3706" s="85">
        <f>IF(B3706="",0,IF(OR(H3706=MappingTables!$C$34,H3706=MappingTables!$C$35),T3706,0))</f>
        <v>0</v>
      </c>
      <c r="V3706" s="85">
        <f>IF(ISNA(IF(AND(VLOOKUP(CONCATENATE($D3706,$G3706),CSRFinput!$B:$E,4,0)=0,OR(H3706=MappingTables!$C$34,H3706=MappingTables!$C$35)),1,VLOOKUP(CONCATENATE($D3706,$G3706),CSRFinput!$B:$E,4,0))),0,IF(AND(VLOOKUP(CONCATENATE($D3706,$G3706),CSRFinput!$B:$E,4,0)=0,OR(H3706=MappingTables!$C$34,H3706=MappingTables!$C$35)),1,VLOOKUP(CONCATENATE($D3706,$G3706),CSRFinput!$B:$E,4,0)))</f>
        <v>0.054776304963434752</v>
      </c>
      <c r="W3706" s="85">
        <f>IF(B3706="",0,+$T3706*$V3706)</f>
        <v>22.072082422630208</v>
      </c>
      <c r="X3706" s="85">
        <f>IF(B3706="",0,IF(OR(H3706=MappingTables!$C$34,H3706=MappingTables!$C$35),W3706,0))</f>
        <v>0</v>
      </c>
    </row>
    <row r="3707" spans="2:24" s="0" customFormat="0" ht="15">
      <c r="B3707" s="69" t="s">
        <v>2384</v>
      </c>
      <c r="C3707" s="70" t="s">
        <v>2385</v>
      </c>
      <c r="D3707" s="70" t="s">
        <v>1</v>
      </c>
      <c r="E3707" s="70" t="s">
        <v>1</v>
      </c>
      <c r="F3707" s="70"/>
      <c r="G3707" s="70" t="s">
        <v>61</v>
      </c>
      <c r="H3707" s="70" t="s">
        <v>178</v>
      </c>
      <c r="I3707" s="70" t="s">
        <v>184</v>
      </c>
      <c r="J3707" s="71">
        <f>IF(OR(I3707=0,I3707=""),"unrated",VLOOKUP(I3707,MappingTables!$B$19:$C$31,2,FALSE))</f>
        <v>5</v>
      </c>
      <c r="K3707" s="72">
        <v>199.21326651071708</v>
      </c>
      <c r="L3707" s="70">
        <v>1.9138609841839588</v>
      </c>
      <c r="M3707" s="71">
        <f>IF(L3707&lt;1,1,L3707)</f>
        <v>1.9138609841839588</v>
      </c>
      <c r="N3707" s="70" t="s">
        <v>141</v>
      </c>
      <c r="O3707" s="71">
        <f>INDEX(DurClassMapping,MATCH(M3707,MappingTables!$D$4:$D$8,-1),1)</f>
        <v>1</v>
      </c>
      <c r="P3707" s="73">
        <f>IF(M3707=$A$1,1,$M3707-INDEX(MappingTables!$E$4:$E$8,MATCH(O3707,MappingTables!$B$4:$B$8,0)))</f>
        <v>1.9138609841839588</v>
      </c>
      <c r="Q3707" s="71">
        <f>IF(B3707="",0,INDEX(ModelParameters!$D$6:$K$10,MATCH($O3707,ModelParameters!$B$6:$B$10,0),MATCH($J3707,ModelParameters!$D$5:$K$5,0)))</f>
        <v>0.075</v>
      </c>
      <c r="R3707" s="71">
        <f>IF(B3707="",0,INDEX(ModelParameters!$D$13:$K$17,MATCH($O3707,ModelParameters!$B$13:$B$17,0),MATCH($J3707,ModelParameters!$D$5:$K$5,0)))</f>
        <v>0</v>
      </c>
      <c r="S3707" s="160">
        <f>IF(B3707="",0,MIN(IF($N3707="Other Bond TM",ModelParameters!$N$21,1)*(P3707*Q3707+R3707),1))</f>
        <v>0.14353957381379692</v>
      </c>
      <c r="T3707" s="85">
        <f>IF(B3707="",0,$S3707*$K3707)</f>
        <v>28.594987373002672</v>
      </c>
      <c r="U3707" s="85">
        <f>IF(B3707="",0,IF(OR(H3707=MappingTables!$C$34,H3707=MappingTables!$C$35),T3707,0))</f>
        <v>0</v>
      </c>
      <c r="V3707" s="85">
        <f>IF(ISNA(IF(AND(VLOOKUP(CONCATENATE($D3707,$G3707),CSRFinput!$B:$E,4,0)=0,OR(H3707=MappingTables!$C$34,H3707=MappingTables!$C$35)),1,VLOOKUP(CONCATENATE($D3707,$G3707),CSRFinput!$B:$E,4,0))),0,IF(AND(VLOOKUP(CONCATENATE($D3707,$G3707),CSRFinput!$B:$E,4,0)=0,OR(H3707=MappingTables!$C$34,H3707=MappingTables!$C$35)),1,VLOOKUP(CONCATENATE($D3707,$G3707),CSRFinput!$B:$E,4,0)))</f>
        <v>0.054776304963434752</v>
      </c>
      <c r="W3707" s="85">
        <f>IF(B3707="",0,+$T3707*$V3707)</f>
        <v>1.5663277487691604</v>
      </c>
      <c r="X3707" s="85">
        <f>IF(B3707="",0,IF(OR(H3707=MappingTables!$C$34,H3707=MappingTables!$C$35),W3707,0))</f>
        <v>0</v>
      </c>
    </row>
    <row r="3708" spans="2:24" s="0" customFormat="0" ht="15">
      <c r="B3708" s="69">
        <v>18944109</v>
      </c>
      <c r="C3708" s="70" t="s">
        <v>2897</v>
      </c>
      <c r="D3708" s="70" t="s">
        <v>1</v>
      </c>
      <c r="E3708" s="70" t="s">
        <v>1</v>
      </c>
      <c r="F3708" s="70"/>
      <c r="G3708" s="70" t="s">
        <v>61</v>
      </c>
      <c r="H3708" s="70" t="s">
        <v>178</v>
      </c>
      <c r="I3708" s="70" t="s">
        <v>181</v>
      </c>
      <c r="J3708" s="71">
        <f>IF(OR(I3708=0,I3708=""),"unrated",VLOOKUP(I3708,MappingTables!$B$19:$C$31,2,FALSE))</f>
        <v>3</v>
      </c>
      <c r="K3708" s="72">
        <v>239.86498882078784</v>
      </c>
      <c r="L3708" s="70">
        <v>2.927091902816362</v>
      </c>
      <c r="M3708" s="71">
        <f>IF(L3708&lt;1,1,L3708)</f>
        <v>2.927091902816362</v>
      </c>
      <c r="N3708" s="70" t="s">
        <v>141</v>
      </c>
      <c r="O3708" s="71">
        <f>INDEX(DurClassMapping,MATCH(M3708,MappingTables!$D$4:$D$8,-1),1)</f>
        <v>1</v>
      </c>
      <c r="P3708" s="73">
        <f>IF(M3708=$A$1,1,$M3708-INDEX(MappingTables!$E$4:$E$8,MATCH(O3708,MappingTables!$B$4:$B$8,0)))</f>
        <v>2.927091902816362</v>
      </c>
      <c r="Q3708" s="71">
        <f>IF(B3708="",0,INDEX(ModelParameters!$D$6:$K$10,MATCH($O3708,ModelParameters!$B$6:$B$10,0),MATCH($J3708,ModelParameters!$D$5:$K$5,0)))</f>
        <v>0.025</v>
      </c>
      <c r="R3708" s="71">
        <f>IF(B3708="",0,INDEX(ModelParameters!$D$13:$K$17,MATCH($O3708,ModelParameters!$B$13:$B$17,0),MATCH($J3708,ModelParameters!$D$5:$K$5,0)))</f>
        <v>0</v>
      </c>
      <c r="S3708" s="160">
        <f>IF(B3708="",0,MIN(IF($N3708="Other Bond TM",ModelParameters!$N$21,1)*(P3708*Q3708+R3708),1))</f>
        <v>0.073177297570409056</v>
      </c>
      <c r="T3708" s="85">
        <f>IF(B3708="",0,$S3708*$K3708)</f>
        <v>17.552671663661634</v>
      </c>
      <c r="U3708" s="85">
        <f>IF(B3708="",0,IF(OR(H3708=MappingTables!$C$34,H3708=MappingTables!$C$35),T3708,0))</f>
        <v>0</v>
      </c>
      <c r="V3708" s="85">
        <f>IF(ISNA(IF(AND(VLOOKUP(CONCATENATE($D3708,$G3708),CSRFinput!$B:$E,4,0)=0,OR(H3708=MappingTables!$C$34,H3708=MappingTables!$C$35)),1,VLOOKUP(CONCATENATE($D3708,$G3708),CSRFinput!$B:$E,4,0))),0,IF(AND(VLOOKUP(CONCATENATE($D3708,$G3708),CSRFinput!$B:$E,4,0)=0,OR(H3708=MappingTables!$C$34,H3708=MappingTables!$C$35)),1,VLOOKUP(CONCATENATE($D3708,$G3708),CSRFinput!$B:$E,4,0)))</f>
        <v>0.054776304963434752</v>
      </c>
      <c r="W3708" s="85">
        <f>IF(B3708="",0,+$T3708*$V3708)</f>
        <v>0.96147049597176944</v>
      </c>
      <c r="X3708" s="85">
        <f>IF(B3708="",0,IF(OR(H3708=MappingTables!$C$34,H3708=MappingTables!$C$35),W3708,0))</f>
        <v>0</v>
      </c>
    </row>
    <row r="3709" spans="2:24" s="0" customFormat="0" ht="15">
      <c r="B3709" s="69">
        <v>21883382</v>
      </c>
      <c r="C3709" s="70" t="s">
        <v>2926</v>
      </c>
      <c r="D3709" s="70" t="s">
        <v>1</v>
      </c>
      <c r="E3709" s="70" t="s">
        <v>1</v>
      </c>
      <c r="F3709" s="70"/>
      <c r="G3709" s="70" t="s">
        <v>61</v>
      </c>
      <c r="H3709" s="70" t="s">
        <v>178</v>
      </c>
      <c r="I3709" s="70" t="s">
        <v>181</v>
      </c>
      <c r="J3709" s="71">
        <f>IF(OR(I3709=0,I3709=""),"unrated",VLOOKUP(I3709,MappingTables!$B$19:$C$31,2,FALSE))</f>
        <v>3</v>
      </c>
      <c r="K3709" s="72">
        <v>945.78986981843632</v>
      </c>
      <c r="L3709" s="70">
        <v>1.9365369290838324</v>
      </c>
      <c r="M3709" s="71">
        <f>IF(L3709&lt;1,1,L3709)</f>
        <v>1.9365369290838324</v>
      </c>
      <c r="N3709" s="70" t="s">
        <v>141</v>
      </c>
      <c r="O3709" s="71">
        <f>INDEX(DurClassMapping,MATCH(M3709,MappingTables!$D$4:$D$8,-1),1)</f>
        <v>1</v>
      </c>
      <c r="P3709" s="73">
        <f>IF(M3709=$A$1,1,$M3709-INDEX(MappingTables!$E$4:$E$8,MATCH(O3709,MappingTables!$B$4:$B$8,0)))</f>
        <v>1.9365369290838324</v>
      </c>
      <c r="Q3709" s="71">
        <f>IF(B3709="",0,INDEX(ModelParameters!$D$6:$K$10,MATCH($O3709,ModelParameters!$B$6:$B$10,0),MATCH($J3709,ModelParameters!$D$5:$K$5,0)))</f>
        <v>0.025</v>
      </c>
      <c r="R3709" s="71">
        <f>IF(B3709="",0,INDEX(ModelParameters!$D$13:$K$17,MATCH($O3709,ModelParameters!$B$13:$B$17,0),MATCH($J3709,ModelParameters!$D$5:$K$5,0)))</f>
        <v>0</v>
      </c>
      <c r="S3709" s="160">
        <f>IF(B3709="",0,MIN(IF($N3709="Other Bond TM",ModelParameters!$N$21,1)*(P3709*Q3709+R3709),1))</f>
        <v>0.048413423227095816</v>
      </c>
      <c r="T3709" s="85">
        <f>IF(B3709="",0,$S3709*$K3709)</f>
        <v>45.788925251419816</v>
      </c>
      <c r="U3709" s="85">
        <f>IF(B3709="",0,IF(OR(H3709=MappingTables!$C$34,H3709=MappingTables!$C$35),T3709,0))</f>
        <v>0</v>
      </c>
      <c r="V3709" s="85">
        <f>IF(ISNA(IF(AND(VLOOKUP(CONCATENATE($D3709,$G3709),CSRFinput!$B:$E,4,0)=0,OR(H3709=MappingTables!$C$34,H3709=MappingTables!$C$35)),1,VLOOKUP(CONCATENATE($D3709,$G3709),CSRFinput!$B:$E,4,0))),0,IF(AND(VLOOKUP(CONCATENATE($D3709,$G3709),CSRFinput!$B:$E,4,0)=0,OR(H3709=MappingTables!$C$34,H3709=MappingTables!$C$35)),1,VLOOKUP(CONCATENATE($D3709,$G3709),CSRFinput!$B:$E,4,0)))</f>
        <v>0.054776304963434752</v>
      </c>
      <c r="W3709" s="85">
        <f>IF(B3709="",0,+$T3709*$V3709)</f>
        <v>2.5081481335196904</v>
      </c>
      <c r="X3709" s="85">
        <f>IF(B3709="",0,IF(OR(H3709=MappingTables!$C$34,H3709=MappingTables!$C$35),W3709,0))</f>
        <v>0</v>
      </c>
    </row>
    <row r="3710" spans="2:24" s="0" customFormat="0" ht="15">
      <c r="B3710" s="69">
        <v>21230807</v>
      </c>
      <c r="C3710" s="70" t="s">
        <v>2757</v>
      </c>
      <c r="D3710" s="70" t="s">
        <v>1</v>
      </c>
      <c r="E3710" s="70" t="s">
        <v>1</v>
      </c>
      <c r="F3710" s="70"/>
      <c r="G3710" s="70" t="s">
        <v>61</v>
      </c>
      <c r="H3710" s="70" t="s">
        <v>178</v>
      </c>
      <c r="I3710" s="70" t="s">
        <v>198</v>
      </c>
      <c r="J3710" s="71" t="str">
        <f>IF(OR(I3710=0,I3710=""),"unrated",VLOOKUP(I3710,MappingTables!$B$19:$C$31,2,FALSE))</f>
        <v>unrated</v>
      </c>
      <c r="K3710" s="72">
        <v>20.62309312920836</v>
      </c>
      <c r="L3710" s="70">
        <v>3.9458469268163528</v>
      </c>
      <c r="M3710" s="71">
        <f>IF(L3710&lt;1,1,L3710)</f>
        <v>3.9458469268163528</v>
      </c>
      <c r="N3710" s="70" t="s">
        <v>141</v>
      </c>
      <c r="O3710" s="71">
        <f>INDEX(DurClassMapping,MATCH(M3710,MappingTables!$D$4:$D$8,-1),1)</f>
        <v>1</v>
      </c>
      <c r="P3710" s="73">
        <f>IF(M3710=$A$1,1,$M3710-INDEX(MappingTables!$E$4:$E$8,MATCH(O3710,MappingTables!$B$4:$B$8,0)))</f>
        <v>3.9458469268163528</v>
      </c>
      <c r="Q3710" s="71">
        <f>IF(B3710="",0,INDEX(ModelParameters!$D$6:$K$10,MATCH($O3710,ModelParameters!$B$6:$B$10,0),MATCH($J3710,ModelParameters!$D$5:$K$5,0)))</f>
        <v>0.03</v>
      </c>
      <c r="R3710" s="71">
        <f>IF(B3710="",0,INDEX(ModelParameters!$D$13:$K$17,MATCH($O3710,ModelParameters!$B$13:$B$17,0),MATCH($J3710,ModelParameters!$D$5:$K$5,0)))</f>
        <v>0</v>
      </c>
      <c r="S3710" s="160">
        <f>IF(B3710="",0,MIN(IF($N3710="Other Bond TM",ModelParameters!$N$21,1)*(P3710*Q3710+R3710),1))</f>
        <v>0.11837540780449058</v>
      </c>
      <c r="T3710" s="85">
        <f>IF(B3710="",0,$S3710*$K3710)</f>
        <v>2.4412670593600276</v>
      </c>
      <c r="U3710" s="85">
        <f>IF(B3710="",0,IF(OR(H3710=MappingTables!$C$34,H3710=MappingTables!$C$35),T3710,0))</f>
        <v>0</v>
      </c>
      <c r="V3710" s="85">
        <f>IF(ISNA(IF(AND(VLOOKUP(CONCATENATE($D3710,$G3710),CSRFinput!$B:$E,4,0)=0,OR(H3710=MappingTables!$C$34,H3710=MappingTables!$C$35)),1,VLOOKUP(CONCATENATE($D3710,$G3710),CSRFinput!$B:$E,4,0))),0,IF(AND(VLOOKUP(CONCATENATE($D3710,$G3710),CSRFinput!$B:$E,4,0)=0,OR(H3710=MappingTables!$C$34,H3710=MappingTables!$C$35)),1,VLOOKUP(CONCATENATE($D3710,$G3710),CSRFinput!$B:$E,4,0)))</f>
        <v>0.054776304963434752</v>
      </c>
      <c r="W3710" s="85">
        <f>IF(B3710="",0,+$T3710*$V3710)</f>
        <v>0.13372358894069244</v>
      </c>
      <c r="X3710" s="85">
        <f>IF(B3710="",0,IF(OR(H3710=MappingTables!$C$34,H3710=MappingTables!$C$35),W3710,0))</f>
        <v>0</v>
      </c>
    </row>
    <row r="3711" spans="2:24" s="0" customFormat="0" ht="15">
      <c r="B3711" s="69">
        <v>13724713</v>
      </c>
      <c r="C3711" s="70" t="s">
        <v>237</v>
      </c>
      <c r="D3711" s="70" t="s">
        <v>1</v>
      </c>
      <c r="E3711" s="70" t="s">
        <v>1</v>
      </c>
      <c r="F3711" s="70"/>
      <c r="G3711" s="70" t="s">
        <v>61</v>
      </c>
      <c r="H3711" s="70" t="s">
        <v>178</v>
      </c>
      <c r="I3711" s="70" t="s">
        <v>204</v>
      </c>
      <c r="J3711" s="71">
        <f>IF(OR(I3711=0,I3711=""),"unrated",VLOOKUP(I3711,MappingTables!$B$19:$C$31,2,FALSE))</f>
        <v>6</v>
      </c>
      <c r="K3711" s="72">
        <v>44945.391660923848</v>
      </c>
      <c r="L3711" s="70">
        <v>1.2382571694024</v>
      </c>
      <c r="M3711" s="71">
        <f>IF(L3711&lt;1,1,L3711)</f>
        <v>1.2382571694024</v>
      </c>
      <c r="N3711" s="70" t="s">
        <v>141</v>
      </c>
      <c r="O3711" s="71">
        <f>INDEX(DurClassMapping,MATCH(M3711,MappingTables!$D$4:$D$8,-1),1)</f>
        <v>1</v>
      </c>
      <c r="P3711" s="73">
        <f>IF(M3711=$A$1,1,$M3711-INDEX(MappingTables!$E$4:$E$8,MATCH(O3711,MappingTables!$B$4:$B$8,0)))</f>
        <v>1.2382571694024</v>
      </c>
      <c r="Q3711" s="71">
        <f>IF(B3711="",0,INDEX(ModelParameters!$D$6:$K$10,MATCH($O3711,ModelParameters!$B$6:$B$10,0),MATCH($J3711,ModelParameters!$D$5:$K$5,0)))</f>
        <v>0.075</v>
      </c>
      <c r="R3711" s="71">
        <f>IF(B3711="",0,INDEX(ModelParameters!$D$13:$K$17,MATCH($O3711,ModelParameters!$B$13:$B$17,0),MATCH($J3711,ModelParameters!$D$5:$K$5,0)))</f>
        <v>0</v>
      </c>
      <c r="S3711" s="160">
        <f>IF(B3711="",0,MIN(IF($N3711="Other Bond TM",ModelParameters!$N$21,1)*(P3711*Q3711+R3711),1))</f>
        <v>0.09286928770518</v>
      </c>
      <c r="T3711" s="85">
        <f>IF(B3711="",0,$S3711*$K3711)</f>
        <v>4174.0465091803344</v>
      </c>
      <c r="U3711" s="85">
        <f>IF(B3711="",0,IF(OR(H3711=MappingTables!$C$34,H3711=MappingTables!$C$35),T3711,0))</f>
        <v>0</v>
      </c>
      <c r="V3711" s="85">
        <f>IF(ISNA(IF(AND(VLOOKUP(CONCATENATE($D3711,$G3711),CSRFinput!$B:$E,4,0)=0,OR(H3711=MappingTables!$C$34,H3711=MappingTables!$C$35)),1,VLOOKUP(CONCATENATE($D3711,$G3711),CSRFinput!$B:$E,4,0))),0,IF(AND(VLOOKUP(CONCATENATE($D3711,$G3711),CSRFinput!$B:$E,4,0)=0,OR(H3711=MappingTables!$C$34,H3711=MappingTables!$C$35)),1,VLOOKUP(CONCATENATE($D3711,$G3711),CSRFinput!$B:$E,4,0)))</f>
        <v>0.054776304963434752</v>
      </c>
      <c r="W3711" s="85">
        <f>IF(B3711="",0,+$T3711*$V3711)</f>
        <v>228.63884451842224</v>
      </c>
      <c r="X3711" s="85">
        <f>IF(B3711="",0,IF(OR(H3711=MappingTables!$C$34,H3711=MappingTables!$C$35),W3711,0))</f>
        <v>0</v>
      </c>
    </row>
    <row r="3712" spans="2:24" s="0" customFormat="0" ht="15">
      <c r="B3712" s="69">
        <v>12200157</v>
      </c>
      <c r="C3712" s="70" t="s">
        <v>440</v>
      </c>
      <c r="D3712" s="70" t="s">
        <v>1</v>
      </c>
      <c r="E3712" s="70" t="s">
        <v>1</v>
      </c>
      <c r="F3712" s="70"/>
      <c r="G3712" s="70" t="s">
        <v>61</v>
      </c>
      <c r="H3712" s="70" t="s">
        <v>178</v>
      </c>
      <c r="I3712" s="70" t="s">
        <v>181</v>
      </c>
      <c r="J3712" s="71">
        <f>IF(OR(I3712=0,I3712=""),"unrated",VLOOKUP(I3712,MappingTables!$B$19:$C$31,2,FALSE))</f>
        <v>3</v>
      </c>
      <c r="K3712" s="72">
        <v>968.64221504393616</v>
      </c>
      <c r="L3712" s="70">
        <v>0.45685017412280984</v>
      </c>
      <c r="M3712" s="71">
        <f>IF(L3712&lt;1,1,L3712)</f>
        <v>1</v>
      </c>
      <c r="N3712" s="70" t="s">
        <v>141</v>
      </c>
      <c r="O3712" s="71">
        <f>INDEX(DurClassMapping,MATCH(M3712,MappingTables!$D$4:$D$8,-1),1)</f>
        <v>1</v>
      </c>
      <c r="P3712" s="73">
        <f>IF(M3712=$A$1,1,$M3712-INDEX(MappingTables!$E$4:$E$8,MATCH(O3712,MappingTables!$B$4:$B$8,0)))</f>
        <v>1</v>
      </c>
      <c r="Q3712" s="71">
        <f>IF(B3712="",0,INDEX(ModelParameters!$D$6:$K$10,MATCH($O3712,ModelParameters!$B$6:$B$10,0),MATCH($J3712,ModelParameters!$D$5:$K$5,0)))</f>
        <v>0.025</v>
      </c>
      <c r="R3712" s="71">
        <f>IF(B3712="",0,INDEX(ModelParameters!$D$13:$K$17,MATCH($O3712,ModelParameters!$B$13:$B$17,0),MATCH($J3712,ModelParameters!$D$5:$K$5,0)))</f>
        <v>0</v>
      </c>
      <c r="S3712" s="160">
        <f>IF(B3712="",0,MIN(IF($N3712="Other Bond TM",ModelParameters!$N$21,1)*(P3712*Q3712+R3712),1))</f>
        <v>0.025</v>
      </c>
      <c r="T3712" s="85">
        <f>IF(B3712="",0,$S3712*$K3712)</f>
        <v>24.216055376098408</v>
      </c>
      <c r="U3712" s="85">
        <f>IF(B3712="",0,IF(OR(H3712=MappingTables!$C$34,H3712=MappingTables!$C$35),T3712,0))</f>
        <v>0</v>
      </c>
      <c r="V3712" s="85">
        <f>IF(ISNA(IF(AND(VLOOKUP(CONCATENATE($D3712,$G3712),CSRFinput!$B:$E,4,0)=0,OR(H3712=MappingTables!$C$34,H3712=MappingTables!$C$35)),1,VLOOKUP(CONCATENATE($D3712,$G3712),CSRFinput!$B:$E,4,0))),0,IF(AND(VLOOKUP(CONCATENATE($D3712,$G3712),CSRFinput!$B:$E,4,0)=0,OR(H3712=MappingTables!$C$34,H3712=MappingTables!$C$35)),1,VLOOKUP(CONCATENATE($D3712,$G3712),CSRFinput!$B:$E,4,0)))</f>
        <v>0.054776304963434752</v>
      </c>
      <c r="W3712" s="85">
        <f>IF(B3712="",0,+$T3712*$V3712)</f>
        <v>1.32646603429259</v>
      </c>
      <c r="X3712" s="85">
        <f>IF(B3712="",0,IF(OR(H3712=MappingTables!$C$34,H3712=MappingTables!$C$35),W3712,0))</f>
        <v>0</v>
      </c>
    </row>
    <row r="3713" spans="2:24" s="0" customFormat="0" ht="15">
      <c r="B3713" s="69">
        <v>15456462</v>
      </c>
      <c r="C3713" s="70" t="s">
        <v>568</v>
      </c>
      <c r="D3713" s="70" t="s">
        <v>1</v>
      </c>
      <c r="E3713" s="70" t="s">
        <v>1</v>
      </c>
      <c r="F3713" s="70"/>
      <c r="G3713" s="70" t="s">
        <v>61</v>
      </c>
      <c r="H3713" s="70" t="s">
        <v>178</v>
      </c>
      <c r="I3713" s="70" t="s">
        <v>179</v>
      </c>
      <c r="J3713" s="71">
        <f>IF(OR(I3713=0,I3713=""),"unrated",VLOOKUP(I3713,MappingTables!$B$19:$C$31,2,FALSE))</f>
        <v>4</v>
      </c>
      <c r="K3713" s="72">
        <v>26026.729624766984</v>
      </c>
      <c r="L3713" s="70">
        <v>0.08767156569710904</v>
      </c>
      <c r="M3713" s="71">
        <f>IF(L3713&lt;1,1,L3713)</f>
        <v>1</v>
      </c>
      <c r="N3713" s="70" t="s">
        <v>141</v>
      </c>
      <c r="O3713" s="71">
        <f>INDEX(DurClassMapping,MATCH(M3713,MappingTables!$D$4:$D$8,-1),1)</f>
        <v>1</v>
      </c>
      <c r="P3713" s="73">
        <f>IF(M3713=$A$1,1,$M3713-INDEX(MappingTables!$E$4:$E$8,MATCH(O3713,MappingTables!$B$4:$B$8,0)))</f>
        <v>1</v>
      </c>
      <c r="Q3713" s="71">
        <f>IF(B3713="",0,INDEX(ModelParameters!$D$6:$K$10,MATCH($O3713,ModelParameters!$B$6:$B$10,0),MATCH($J3713,ModelParameters!$D$5:$K$5,0)))</f>
        <v>0.045</v>
      </c>
      <c r="R3713" s="71">
        <f>IF(B3713="",0,INDEX(ModelParameters!$D$13:$K$17,MATCH($O3713,ModelParameters!$B$13:$B$17,0),MATCH($J3713,ModelParameters!$D$5:$K$5,0)))</f>
        <v>0</v>
      </c>
      <c r="S3713" s="160">
        <f>IF(B3713="",0,MIN(IF($N3713="Other Bond TM",ModelParameters!$N$21,1)*(P3713*Q3713+R3713),1))</f>
        <v>0.045</v>
      </c>
      <c r="T3713" s="85">
        <f>IF(B3713="",0,$S3713*$K3713)</f>
        <v>1171.2028331145144</v>
      </c>
      <c r="U3713" s="85">
        <f>IF(B3713="",0,IF(OR(H3713=MappingTables!$C$34,H3713=MappingTables!$C$35),T3713,0))</f>
        <v>0</v>
      </c>
      <c r="V3713" s="85">
        <f>IF(ISNA(IF(AND(VLOOKUP(CONCATENATE($D3713,$G3713),CSRFinput!$B:$E,4,0)=0,OR(H3713=MappingTables!$C$34,H3713=MappingTables!$C$35)),1,VLOOKUP(CONCATENATE($D3713,$G3713),CSRFinput!$B:$E,4,0))),0,IF(AND(VLOOKUP(CONCATENATE($D3713,$G3713),CSRFinput!$B:$E,4,0)=0,OR(H3713=MappingTables!$C$34,H3713=MappingTables!$C$35)),1,VLOOKUP(CONCATENATE($D3713,$G3713),CSRFinput!$B:$E,4,0)))</f>
        <v>0.054776304963434752</v>
      </c>
      <c r="W3713" s="85">
        <f>IF(B3713="",0,+$T3713*$V3713)</f>
        <v>64.154163560719408</v>
      </c>
      <c r="X3713" s="85">
        <f>IF(B3713="",0,IF(OR(H3713=MappingTables!$C$34,H3713=MappingTables!$C$35),W3713,0))</f>
        <v>0</v>
      </c>
    </row>
    <row r="3714" spans="2:24" s="0" customFormat="0" ht="15">
      <c r="B3714" s="69">
        <v>24779556</v>
      </c>
      <c r="C3714" s="70" t="s">
        <v>971</v>
      </c>
      <c r="D3714" s="70" t="s">
        <v>1</v>
      </c>
      <c r="E3714" s="70" t="s">
        <v>1</v>
      </c>
      <c r="F3714" s="70"/>
      <c r="G3714" s="70" t="s">
        <v>61</v>
      </c>
      <c r="H3714" s="70" t="s">
        <v>178</v>
      </c>
      <c r="I3714" s="70" t="s">
        <v>184</v>
      </c>
      <c r="J3714" s="71">
        <f>IF(OR(I3714=0,I3714=""),"unrated",VLOOKUP(I3714,MappingTables!$B$19:$C$31,2,FALSE))</f>
        <v>5</v>
      </c>
      <c r="K3714" s="72">
        <v>121.99172687050652</v>
      </c>
      <c r="L3714" s="70">
        <v>1.6696699982414938</v>
      </c>
      <c r="M3714" s="71">
        <f>IF(L3714&lt;1,1,L3714)</f>
        <v>1.6696699982414938</v>
      </c>
      <c r="N3714" s="70" t="s">
        <v>141</v>
      </c>
      <c r="O3714" s="71">
        <f>INDEX(DurClassMapping,MATCH(M3714,MappingTables!$D$4:$D$8,-1),1)</f>
        <v>1</v>
      </c>
      <c r="P3714" s="73">
        <f>IF(M3714=$A$1,1,$M3714-INDEX(MappingTables!$E$4:$E$8,MATCH(O3714,MappingTables!$B$4:$B$8,0)))</f>
        <v>1.6696699982414938</v>
      </c>
      <c r="Q3714" s="71">
        <f>IF(B3714="",0,INDEX(ModelParameters!$D$6:$K$10,MATCH($O3714,ModelParameters!$B$6:$B$10,0),MATCH($J3714,ModelParameters!$D$5:$K$5,0)))</f>
        <v>0.075</v>
      </c>
      <c r="R3714" s="71">
        <f>IF(B3714="",0,INDEX(ModelParameters!$D$13:$K$17,MATCH($O3714,ModelParameters!$B$13:$B$17,0),MATCH($J3714,ModelParameters!$D$5:$K$5,0)))</f>
        <v>0</v>
      </c>
      <c r="S3714" s="160">
        <f>IF(B3714="",0,MIN(IF($N3714="Other Bond TM",ModelParameters!$N$21,1)*(P3714*Q3714+R3714),1))</f>
        <v>0.12522524986811204</v>
      </c>
      <c r="T3714" s="85">
        <f>IF(B3714="",0,$S3714*$K3714)</f>
        <v>15.276444479201656</v>
      </c>
      <c r="U3714" s="85">
        <f>IF(B3714="",0,IF(OR(H3714=MappingTables!$C$34,H3714=MappingTables!$C$35),T3714,0))</f>
        <v>0</v>
      </c>
      <c r="V3714" s="85">
        <f>IF(ISNA(IF(AND(VLOOKUP(CONCATENATE($D3714,$G3714),CSRFinput!$B:$E,4,0)=0,OR(H3714=MappingTables!$C$34,H3714=MappingTables!$C$35)),1,VLOOKUP(CONCATENATE($D3714,$G3714),CSRFinput!$B:$E,4,0))),0,IF(AND(VLOOKUP(CONCATENATE($D3714,$G3714),CSRFinput!$B:$E,4,0)=0,OR(H3714=MappingTables!$C$34,H3714=MappingTables!$C$35)),1,VLOOKUP(CONCATENATE($D3714,$G3714),CSRFinput!$B:$E,4,0)))</f>
        <v>0.054776304963434752</v>
      </c>
      <c r="W3714" s="85">
        <f>IF(B3714="",0,+$T3714*$V3714)</f>
        <v>0.83678718154972912</v>
      </c>
      <c r="X3714" s="85">
        <f>IF(B3714="",0,IF(OR(H3714=MappingTables!$C$34,H3714=MappingTables!$C$35),W3714,0))</f>
        <v>0</v>
      </c>
    </row>
    <row r="3715" spans="2:24" s="0" customFormat="0" ht="15">
      <c r="B3715" s="69">
        <v>22246382</v>
      </c>
      <c r="C3715" s="70" t="s">
        <v>2696</v>
      </c>
      <c r="D3715" s="70" t="s">
        <v>1</v>
      </c>
      <c r="E3715" s="70" t="s">
        <v>1</v>
      </c>
      <c r="F3715" s="70"/>
      <c r="G3715" s="70" t="s">
        <v>61</v>
      </c>
      <c r="H3715" s="70" t="s">
        <v>178</v>
      </c>
      <c r="I3715" s="70" t="s">
        <v>181</v>
      </c>
      <c r="J3715" s="71">
        <f>IF(OR(I3715=0,I3715=""),"unrated",VLOOKUP(I3715,MappingTables!$B$19:$C$31,2,FALSE))</f>
        <v>3</v>
      </c>
      <c r="K3715" s="72">
        <v>3.7484147361934832</v>
      </c>
      <c r="L3715" s="70">
        <v>1.140579595344734</v>
      </c>
      <c r="M3715" s="71">
        <f>IF(L3715&lt;1,1,L3715)</f>
        <v>1.140579595344734</v>
      </c>
      <c r="N3715" s="70" t="s">
        <v>141</v>
      </c>
      <c r="O3715" s="71">
        <f>INDEX(DurClassMapping,MATCH(M3715,MappingTables!$D$4:$D$8,-1),1)</f>
        <v>1</v>
      </c>
      <c r="P3715" s="73">
        <f>IF(M3715=$A$1,1,$M3715-INDEX(MappingTables!$E$4:$E$8,MATCH(O3715,MappingTables!$B$4:$B$8,0)))</f>
        <v>1.140579595344734</v>
      </c>
      <c r="Q3715" s="71">
        <f>IF(B3715="",0,INDEX(ModelParameters!$D$6:$K$10,MATCH($O3715,ModelParameters!$B$6:$B$10,0),MATCH($J3715,ModelParameters!$D$5:$K$5,0)))</f>
        <v>0.025</v>
      </c>
      <c r="R3715" s="71">
        <f>IF(B3715="",0,INDEX(ModelParameters!$D$13:$K$17,MATCH($O3715,ModelParameters!$B$13:$B$17,0),MATCH($J3715,ModelParameters!$D$5:$K$5,0)))</f>
        <v>0</v>
      </c>
      <c r="S3715" s="160">
        <f>IF(B3715="",0,MIN(IF($N3715="Other Bond TM",ModelParameters!$N$21,1)*(P3715*Q3715+R3715),1))</f>
        <v>0.028514489883618348</v>
      </c>
      <c r="T3715" s="85">
        <f>IF(B3715="",0,$S3715*$K3715)</f>
        <v>0.10688413407479502</v>
      </c>
      <c r="U3715" s="85">
        <f>IF(B3715="",0,IF(OR(H3715=MappingTables!$C$34,H3715=MappingTables!$C$35),T3715,0))</f>
        <v>0</v>
      </c>
      <c r="V3715" s="85">
        <f>IF(ISNA(IF(AND(VLOOKUP(CONCATENATE($D3715,$G3715),CSRFinput!$B:$E,4,0)=0,OR(H3715=MappingTables!$C$34,H3715=MappingTables!$C$35)),1,VLOOKUP(CONCATENATE($D3715,$G3715),CSRFinput!$B:$E,4,0))),0,IF(AND(VLOOKUP(CONCATENATE($D3715,$G3715),CSRFinput!$B:$E,4,0)=0,OR(H3715=MappingTables!$C$34,H3715=MappingTables!$C$35)),1,VLOOKUP(CONCATENATE($D3715,$G3715),CSRFinput!$B:$E,4,0)))</f>
        <v>0.054776304963434752</v>
      </c>
      <c r="W3715" s="85">
        <f>IF(B3715="",0,+$T3715*$V3715)</f>
        <v>0.0058547179238336208</v>
      </c>
      <c r="X3715" s="85">
        <f>IF(B3715="",0,IF(OR(H3715=MappingTables!$C$34,H3715=MappingTables!$C$35),W3715,0))</f>
        <v>0</v>
      </c>
    </row>
    <row r="3716" spans="2:24" s="0" customFormat="0" ht="15">
      <c r="B3716" s="69" t="s">
        <v>2854</v>
      </c>
      <c r="C3716" s="70" t="s">
        <v>2855</v>
      </c>
      <c r="D3716" s="70" t="s">
        <v>1</v>
      </c>
      <c r="E3716" s="70" t="s">
        <v>1</v>
      </c>
      <c r="F3716" s="70"/>
      <c r="G3716" s="70" t="s">
        <v>61</v>
      </c>
      <c r="H3716" s="70" t="s">
        <v>178</v>
      </c>
      <c r="I3716" s="70" t="s">
        <v>198</v>
      </c>
      <c r="J3716" s="71" t="str">
        <f>IF(OR(I3716=0,I3716=""),"unrated",VLOOKUP(I3716,MappingTables!$B$19:$C$31,2,FALSE))</f>
        <v>unrated</v>
      </c>
      <c r="K3716" s="72">
        <v>69.74460734747372</v>
      </c>
      <c r="L3716" s="70">
        <v>0.16986774291990812</v>
      </c>
      <c r="M3716" s="71">
        <f>IF(L3716&lt;1,1,L3716)</f>
        <v>1</v>
      </c>
      <c r="N3716" s="70" t="s">
        <v>141</v>
      </c>
      <c r="O3716" s="71">
        <f>INDEX(DurClassMapping,MATCH(M3716,MappingTables!$D$4:$D$8,-1),1)</f>
        <v>1</v>
      </c>
      <c r="P3716" s="73">
        <f>IF(M3716=$A$1,1,$M3716-INDEX(MappingTables!$E$4:$E$8,MATCH(O3716,MappingTables!$B$4:$B$8,0)))</f>
        <v>1</v>
      </c>
      <c r="Q3716" s="71">
        <f>IF(B3716="",0,INDEX(ModelParameters!$D$6:$K$10,MATCH($O3716,ModelParameters!$B$6:$B$10,0),MATCH($J3716,ModelParameters!$D$5:$K$5,0)))</f>
        <v>0.03</v>
      </c>
      <c r="R3716" s="71">
        <f>IF(B3716="",0,INDEX(ModelParameters!$D$13:$K$17,MATCH($O3716,ModelParameters!$B$13:$B$17,0),MATCH($J3716,ModelParameters!$D$5:$K$5,0)))</f>
        <v>0</v>
      </c>
      <c r="S3716" s="160">
        <f>IF(B3716="",0,MIN(IF($N3716="Other Bond TM",ModelParameters!$N$21,1)*(P3716*Q3716+R3716),1))</f>
        <v>0.03</v>
      </c>
      <c r="T3716" s="85">
        <f>IF(B3716="",0,$S3716*$K3716)</f>
        <v>2.0923382204242116</v>
      </c>
      <c r="U3716" s="85">
        <f>IF(B3716="",0,IF(OR(H3716=MappingTables!$C$34,H3716=MappingTables!$C$35),T3716,0))</f>
        <v>0</v>
      </c>
      <c r="V3716" s="85">
        <f>IF(ISNA(IF(AND(VLOOKUP(CONCATENATE($D3716,$G3716),CSRFinput!$B:$E,4,0)=0,OR(H3716=MappingTables!$C$34,H3716=MappingTables!$C$35)),1,VLOOKUP(CONCATENATE($D3716,$G3716),CSRFinput!$B:$E,4,0))),0,IF(AND(VLOOKUP(CONCATENATE($D3716,$G3716),CSRFinput!$B:$E,4,0)=0,OR(H3716=MappingTables!$C$34,H3716=MappingTables!$C$35)),1,VLOOKUP(CONCATENATE($D3716,$G3716),CSRFinput!$B:$E,4,0)))</f>
        <v>0.054776304963434752</v>
      </c>
      <c r="W3716" s="85">
        <f>IF(B3716="",0,+$T3716*$V3716)</f>
        <v>0.11461055644860698</v>
      </c>
      <c r="X3716" s="85">
        <f>IF(B3716="",0,IF(OR(H3716=MappingTables!$C$34,H3716=MappingTables!$C$35),W3716,0))</f>
        <v>0</v>
      </c>
    </row>
    <row r="3717" spans="2:24" s="0" customFormat="0" ht="15">
      <c r="B3717" s="69">
        <v>14897112</v>
      </c>
      <c r="C3717" s="70" t="s">
        <v>2708</v>
      </c>
      <c r="D3717" s="70" t="s">
        <v>1</v>
      </c>
      <c r="E3717" s="70" t="s">
        <v>1</v>
      </c>
      <c r="F3717" s="70"/>
      <c r="G3717" s="70" t="s">
        <v>61</v>
      </c>
      <c r="H3717" s="70" t="s">
        <v>178</v>
      </c>
      <c r="I3717" s="70" t="s">
        <v>181</v>
      </c>
      <c r="J3717" s="71">
        <f>IF(OR(I3717=0,I3717=""),"unrated",VLOOKUP(I3717,MappingTables!$B$19:$C$31,2,FALSE))</f>
        <v>3</v>
      </c>
      <c r="K3717" s="72">
        <v>936.48792704750608</v>
      </c>
      <c r="L3717" s="70">
        <v>0.96516269589983968</v>
      </c>
      <c r="M3717" s="71">
        <f>IF(L3717&lt;1,1,L3717)</f>
        <v>1</v>
      </c>
      <c r="N3717" s="70" t="s">
        <v>141</v>
      </c>
      <c r="O3717" s="71">
        <f>INDEX(DurClassMapping,MATCH(M3717,MappingTables!$D$4:$D$8,-1),1)</f>
        <v>1</v>
      </c>
      <c r="P3717" s="73">
        <f>IF(M3717=$A$1,1,$M3717-INDEX(MappingTables!$E$4:$E$8,MATCH(O3717,MappingTables!$B$4:$B$8,0)))</f>
        <v>1</v>
      </c>
      <c r="Q3717" s="71">
        <f>IF(B3717="",0,INDEX(ModelParameters!$D$6:$K$10,MATCH($O3717,ModelParameters!$B$6:$B$10,0),MATCH($J3717,ModelParameters!$D$5:$K$5,0)))</f>
        <v>0.025</v>
      </c>
      <c r="R3717" s="71">
        <f>IF(B3717="",0,INDEX(ModelParameters!$D$13:$K$17,MATCH($O3717,ModelParameters!$B$13:$B$17,0),MATCH($J3717,ModelParameters!$D$5:$K$5,0)))</f>
        <v>0</v>
      </c>
      <c r="S3717" s="160">
        <f>IF(B3717="",0,MIN(IF($N3717="Other Bond TM",ModelParameters!$N$21,1)*(P3717*Q3717+R3717),1))</f>
        <v>0.025</v>
      </c>
      <c r="T3717" s="85">
        <f>IF(B3717="",0,$S3717*$K3717)</f>
        <v>23.412198176187656</v>
      </c>
      <c r="U3717" s="85">
        <f>IF(B3717="",0,IF(OR(H3717=MappingTables!$C$34,H3717=MappingTables!$C$35),T3717,0))</f>
        <v>0</v>
      </c>
      <c r="V3717" s="85">
        <f>IF(ISNA(IF(AND(VLOOKUP(CONCATENATE($D3717,$G3717),CSRFinput!$B:$E,4,0)=0,OR(H3717=MappingTables!$C$34,H3717=MappingTables!$C$35)),1,VLOOKUP(CONCATENATE($D3717,$G3717),CSRFinput!$B:$E,4,0))),0,IF(AND(VLOOKUP(CONCATENATE($D3717,$G3717),CSRFinput!$B:$E,4,0)=0,OR(H3717=MappingTables!$C$34,H3717=MappingTables!$C$35)),1,VLOOKUP(CONCATENATE($D3717,$G3717),CSRFinput!$B:$E,4,0)))</f>
        <v>0.054776304963434752</v>
      </c>
      <c r="W3717" s="85">
        <f>IF(B3717="",0,+$T3717*$V3717)</f>
        <v>1.282433707163226</v>
      </c>
      <c r="X3717" s="85">
        <f>IF(B3717="",0,IF(OR(H3717=MappingTables!$C$34,H3717=MappingTables!$C$35),W3717,0))</f>
        <v>0</v>
      </c>
    </row>
    <row r="3718" spans="2:24" s="0" customFormat="0" ht="15">
      <c r="B3718" s="69">
        <v>21276188</v>
      </c>
      <c r="C3718" s="70" t="s">
        <v>2487</v>
      </c>
      <c r="D3718" s="70" t="s">
        <v>1</v>
      </c>
      <c r="E3718" s="70" t="s">
        <v>1</v>
      </c>
      <c r="F3718" s="70"/>
      <c r="G3718" s="70" t="s">
        <v>61</v>
      </c>
      <c r="H3718" s="70" t="s">
        <v>178</v>
      </c>
      <c r="I3718" s="70" t="s">
        <v>181</v>
      </c>
      <c r="J3718" s="71">
        <f>IF(OR(I3718=0,I3718=""),"unrated",VLOOKUP(I3718,MappingTables!$B$19:$C$31,2,FALSE))</f>
        <v>3</v>
      </c>
      <c r="K3718" s="72">
        <v>36914.913926854744</v>
      </c>
      <c r="L3718" s="70">
        <v>4.6085997928249328</v>
      </c>
      <c r="M3718" s="71">
        <f>IF(L3718&lt;1,1,L3718)</f>
        <v>4.6085997928249328</v>
      </c>
      <c r="N3718" s="70" t="s">
        <v>141</v>
      </c>
      <c r="O3718" s="71">
        <f>INDEX(DurClassMapping,MATCH(M3718,MappingTables!$D$4:$D$8,-1),1)</f>
        <v>1</v>
      </c>
      <c r="P3718" s="73">
        <f>IF(M3718=$A$1,1,$M3718-INDEX(MappingTables!$E$4:$E$8,MATCH(O3718,MappingTables!$B$4:$B$8,0)))</f>
        <v>4.6085997928249328</v>
      </c>
      <c r="Q3718" s="71">
        <f>IF(B3718="",0,INDEX(ModelParameters!$D$6:$K$10,MATCH($O3718,ModelParameters!$B$6:$B$10,0),MATCH($J3718,ModelParameters!$D$5:$K$5,0)))</f>
        <v>0.025</v>
      </c>
      <c r="R3718" s="71">
        <f>IF(B3718="",0,INDEX(ModelParameters!$D$13:$K$17,MATCH($O3718,ModelParameters!$B$13:$B$17,0),MATCH($J3718,ModelParameters!$D$5:$K$5,0)))</f>
        <v>0</v>
      </c>
      <c r="S3718" s="160">
        <f>IF(B3718="",0,MIN(IF($N3718="Other Bond TM",ModelParameters!$N$21,1)*(P3718*Q3718+R3718),1))</f>
        <v>0.11521499482062332</v>
      </c>
      <c r="T3718" s="85">
        <f>IF(B3718="",0,$S3718*$K3718)</f>
        <v>4253.1516168863256</v>
      </c>
      <c r="U3718" s="85">
        <f>IF(B3718="",0,IF(OR(H3718=MappingTables!$C$34,H3718=MappingTables!$C$35),T3718,0))</f>
        <v>0</v>
      </c>
      <c r="V3718" s="85">
        <f>IF(ISNA(IF(AND(VLOOKUP(CONCATENATE($D3718,$G3718),CSRFinput!$B:$E,4,0)=0,OR(H3718=MappingTables!$C$34,H3718=MappingTables!$C$35)),1,VLOOKUP(CONCATENATE($D3718,$G3718),CSRFinput!$B:$E,4,0))),0,IF(AND(VLOOKUP(CONCATENATE($D3718,$G3718),CSRFinput!$B:$E,4,0)=0,OR(H3718=MappingTables!$C$34,H3718=MappingTables!$C$35)),1,VLOOKUP(CONCATENATE($D3718,$G3718),CSRFinput!$B:$E,4,0)))</f>
        <v>0.054776304963434752</v>
      </c>
      <c r="W3718" s="85">
        <f>IF(B3718="",0,+$T3718*$V3718)</f>
        <v>232.97193002229096</v>
      </c>
      <c r="X3718" s="85">
        <f>IF(B3718="",0,IF(OR(H3718=MappingTables!$C$34,H3718=MappingTables!$C$35),W3718,0))</f>
        <v>0</v>
      </c>
    </row>
    <row r="3719" spans="2:24" s="0" customFormat="0" ht="15">
      <c r="B3719" s="69">
        <v>22927476</v>
      </c>
      <c r="C3719" s="70" t="s">
        <v>2703</v>
      </c>
      <c r="D3719" s="70" t="s">
        <v>1</v>
      </c>
      <c r="E3719" s="70" t="s">
        <v>1</v>
      </c>
      <c r="F3719" s="70"/>
      <c r="G3719" s="70" t="s">
        <v>61</v>
      </c>
      <c r="H3719" s="70" t="s">
        <v>178</v>
      </c>
      <c r="I3719" s="70" t="s">
        <v>216</v>
      </c>
      <c r="J3719" s="71">
        <f>IF(OR(I3719=0,I3719=""),"unrated",VLOOKUP(I3719,MappingTables!$B$19:$C$31,2,FALSE))</f>
        <v>0</v>
      </c>
      <c r="K3719" s="72">
        <v>1455.5780645603616</v>
      </c>
      <c r="L3719" s="70">
        <v>0.23013728472547476</v>
      </c>
      <c r="M3719" s="71">
        <f>IF(L3719&lt;1,1,L3719)</f>
        <v>1</v>
      </c>
      <c r="N3719" s="70" t="s">
        <v>141</v>
      </c>
      <c r="O3719" s="71">
        <f>INDEX(DurClassMapping,MATCH(M3719,MappingTables!$D$4:$D$8,-1),1)</f>
        <v>1</v>
      </c>
      <c r="P3719" s="73">
        <f>IF(M3719=$A$1,1,$M3719-INDEX(MappingTables!$E$4:$E$8,MATCH(O3719,MappingTables!$B$4:$B$8,0)))</f>
        <v>1</v>
      </c>
      <c r="Q3719" s="71">
        <f>IF(B3719="",0,INDEX(ModelParameters!$D$6:$K$10,MATCH($O3719,ModelParameters!$B$6:$B$10,0),MATCH($J3719,ModelParameters!$D$5:$K$5,0)))</f>
        <v>0.0090000000000000016</v>
      </c>
      <c r="R3719" s="71">
        <f>IF(B3719="",0,INDEX(ModelParameters!$D$13:$K$17,MATCH($O3719,ModelParameters!$B$13:$B$17,0),MATCH($J3719,ModelParameters!$D$5:$K$5,0)))</f>
        <v>0</v>
      </c>
      <c r="S3719" s="160">
        <f>IF(B3719="",0,MIN(IF($N3719="Other Bond TM",ModelParameters!$N$21,1)*(P3719*Q3719+R3719),1))</f>
        <v>0.0090000000000000016</v>
      </c>
      <c r="T3719" s="85">
        <f>IF(B3719="",0,$S3719*$K3719)</f>
        <v>13.100202581043256</v>
      </c>
      <c r="U3719" s="85">
        <f>IF(B3719="",0,IF(OR(H3719=MappingTables!$C$34,H3719=MappingTables!$C$35),T3719,0))</f>
        <v>0</v>
      </c>
      <c r="V3719" s="85">
        <f>IF(ISNA(IF(AND(VLOOKUP(CONCATENATE($D3719,$G3719),CSRFinput!$B:$E,4,0)=0,OR(H3719=MappingTables!$C$34,H3719=MappingTables!$C$35)),1,VLOOKUP(CONCATENATE($D3719,$G3719),CSRFinput!$B:$E,4,0))),0,IF(AND(VLOOKUP(CONCATENATE($D3719,$G3719),CSRFinput!$B:$E,4,0)=0,OR(H3719=MappingTables!$C$34,H3719=MappingTables!$C$35)),1,VLOOKUP(CONCATENATE($D3719,$G3719),CSRFinput!$B:$E,4,0)))</f>
        <v>0.054776304963434752</v>
      </c>
      <c r="W3719" s="85">
        <f>IF(B3719="",0,+$T3719*$V3719)</f>
        <v>0.71758069166200048</v>
      </c>
      <c r="X3719" s="85">
        <f>IF(B3719="",0,IF(OR(H3719=MappingTables!$C$34,H3719=MappingTables!$C$35),W3719,0))</f>
        <v>0</v>
      </c>
    </row>
    <row r="3720" spans="2:24" s="0" customFormat="0" ht="15">
      <c r="B3720" s="69">
        <v>7836586</v>
      </c>
      <c r="C3720" s="70" t="s">
        <v>1403</v>
      </c>
      <c r="D3720" s="70" t="s">
        <v>1</v>
      </c>
      <c r="E3720" s="70" t="s">
        <v>1</v>
      </c>
      <c r="F3720" s="70"/>
      <c r="G3720" s="70" t="s">
        <v>61</v>
      </c>
      <c r="H3720" s="70" t="s">
        <v>178</v>
      </c>
      <c r="I3720" s="70" t="s">
        <v>181</v>
      </c>
      <c r="J3720" s="71">
        <f>IF(OR(I3720=0,I3720=""),"unrated",VLOOKUP(I3720,MappingTables!$B$19:$C$31,2,FALSE))</f>
        <v>3</v>
      </c>
      <c r="K3720" s="72">
        <v>7464.64196648184</v>
      </c>
      <c r="L3720" s="70">
        <v>2.2501254952393144</v>
      </c>
      <c r="M3720" s="71">
        <f>IF(L3720&lt;1,1,L3720)</f>
        <v>2.2501254952393144</v>
      </c>
      <c r="N3720" s="70" t="s">
        <v>141</v>
      </c>
      <c r="O3720" s="71">
        <f>INDEX(DurClassMapping,MATCH(M3720,MappingTables!$D$4:$D$8,-1),1)</f>
        <v>1</v>
      </c>
      <c r="P3720" s="73">
        <f>IF(M3720=$A$1,1,$M3720-INDEX(MappingTables!$E$4:$E$8,MATCH(O3720,MappingTables!$B$4:$B$8,0)))</f>
        <v>2.2501254952393144</v>
      </c>
      <c r="Q3720" s="71">
        <f>IF(B3720="",0,INDEX(ModelParameters!$D$6:$K$10,MATCH($O3720,ModelParameters!$B$6:$B$10,0),MATCH($J3720,ModelParameters!$D$5:$K$5,0)))</f>
        <v>0.025</v>
      </c>
      <c r="R3720" s="71">
        <f>IF(B3720="",0,INDEX(ModelParameters!$D$13:$K$17,MATCH($O3720,ModelParameters!$B$13:$B$17,0),MATCH($J3720,ModelParameters!$D$5:$K$5,0)))</f>
        <v>0</v>
      </c>
      <c r="S3720" s="160">
        <f>IF(B3720="",0,MIN(IF($N3720="Other Bond TM",ModelParameters!$N$21,1)*(P3720*Q3720+R3720),1))</f>
        <v>0.056253137380982864</v>
      </c>
      <c r="T3720" s="85">
        <f>IF(B3720="",0,$S3720*$K3720)</f>
        <v>419.90953004035296</v>
      </c>
      <c r="U3720" s="85">
        <f>IF(B3720="",0,IF(OR(H3720=MappingTables!$C$34,H3720=MappingTables!$C$35),T3720,0))</f>
        <v>0</v>
      </c>
      <c r="V3720" s="85">
        <f>IF(ISNA(IF(AND(VLOOKUP(CONCATENATE($D3720,$G3720),CSRFinput!$B:$E,4,0)=0,OR(H3720=MappingTables!$C$34,H3720=MappingTables!$C$35)),1,VLOOKUP(CONCATENATE($D3720,$G3720),CSRFinput!$B:$E,4,0))),0,IF(AND(VLOOKUP(CONCATENATE($D3720,$G3720),CSRFinput!$B:$E,4,0)=0,OR(H3720=MappingTables!$C$34,H3720=MappingTables!$C$35)),1,VLOOKUP(CONCATENATE($D3720,$G3720),CSRFinput!$B:$E,4,0)))</f>
        <v>0.054776304963434752</v>
      </c>
      <c r="W3720" s="85">
        <f>IF(B3720="",0,+$T3720*$V3720)</f>
        <v>23.001092474542944</v>
      </c>
      <c r="X3720" s="85">
        <f>IF(B3720="",0,IF(OR(H3720=MappingTables!$C$34,H3720=MappingTables!$C$35),W3720,0))</f>
        <v>0</v>
      </c>
    </row>
    <row r="3721" spans="2:24" s="0" customFormat="0" ht="15">
      <c r="B3721" s="69">
        <v>22070884</v>
      </c>
      <c r="C3721" s="70" t="s">
        <v>2471</v>
      </c>
      <c r="D3721" s="70" t="s">
        <v>1</v>
      </c>
      <c r="E3721" s="70" t="s">
        <v>1</v>
      </c>
      <c r="F3721" s="70"/>
      <c r="G3721" s="70" t="s">
        <v>61</v>
      </c>
      <c r="H3721" s="70" t="s">
        <v>178</v>
      </c>
      <c r="I3721" s="70" t="s">
        <v>181</v>
      </c>
      <c r="J3721" s="71">
        <f>IF(OR(I3721=0,I3721=""),"unrated",VLOOKUP(I3721,MappingTables!$B$19:$C$31,2,FALSE))</f>
        <v>3</v>
      </c>
      <c r="K3721" s="72">
        <v>540.83261450361888</v>
      </c>
      <c r="L3721" s="70">
        <v>3.6431176526221144</v>
      </c>
      <c r="M3721" s="71">
        <f>IF(L3721&lt;1,1,L3721)</f>
        <v>3.6431176526221144</v>
      </c>
      <c r="N3721" s="70" t="s">
        <v>141</v>
      </c>
      <c r="O3721" s="71">
        <f>INDEX(DurClassMapping,MATCH(M3721,MappingTables!$D$4:$D$8,-1),1)</f>
        <v>1</v>
      </c>
      <c r="P3721" s="73">
        <f>IF(M3721=$A$1,1,$M3721-INDEX(MappingTables!$E$4:$E$8,MATCH(O3721,MappingTables!$B$4:$B$8,0)))</f>
        <v>3.6431176526221144</v>
      </c>
      <c r="Q3721" s="71">
        <f>IF(B3721="",0,INDEX(ModelParameters!$D$6:$K$10,MATCH($O3721,ModelParameters!$B$6:$B$10,0),MATCH($J3721,ModelParameters!$D$5:$K$5,0)))</f>
        <v>0.025</v>
      </c>
      <c r="R3721" s="71">
        <f>IF(B3721="",0,INDEX(ModelParameters!$D$13:$K$17,MATCH($O3721,ModelParameters!$B$13:$B$17,0),MATCH($J3721,ModelParameters!$D$5:$K$5,0)))</f>
        <v>0</v>
      </c>
      <c r="S3721" s="160">
        <f>IF(B3721="",0,MIN(IF($N3721="Other Bond TM",ModelParameters!$N$21,1)*(P3721*Q3721+R3721),1))</f>
        <v>0.091077941315552864</v>
      </c>
      <c r="T3721" s="85">
        <f>IF(B3721="",0,$S3721*$K3721)</f>
        <v>49.257921125297624</v>
      </c>
      <c r="U3721" s="85">
        <f>IF(B3721="",0,IF(OR(H3721=MappingTables!$C$34,H3721=MappingTables!$C$35),T3721,0))</f>
        <v>0</v>
      </c>
      <c r="V3721" s="85">
        <f>IF(ISNA(IF(AND(VLOOKUP(CONCATENATE($D3721,$G3721),CSRFinput!$B:$E,4,0)=0,OR(H3721=MappingTables!$C$34,H3721=MappingTables!$C$35)),1,VLOOKUP(CONCATENATE($D3721,$G3721),CSRFinput!$B:$E,4,0))),0,IF(AND(VLOOKUP(CONCATENATE($D3721,$G3721),CSRFinput!$B:$E,4,0)=0,OR(H3721=MappingTables!$C$34,H3721=MappingTables!$C$35)),1,VLOOKUP(CONCATENATE($D3721,$G3721),CSRFinput!$B:$E,4,0)))</f>
        <v>0.054776304963434752</v>
      </c>
      <c r="W3721" s="85">
        <f>IF(B3721="",0,+$T3721*$V3721)</f>
        <v>2.698166909424118</v>
      </c>
      <c r="X3721" s="85">
        <f>IF(B3721="",0,IF(OR(H3721=MappingTables!$C$34,H3721=MappingTables!$C$35),W3721,0))</f>
        <v>0</v>
      </c>
    </row>
    <row r="3722" spans="2:24" s="0" customFormat="0" ht="15">
      <c r="B3722" s="69">
        <v>20903489</v>
      </c>
      <c r="C3722" s="70" t="s">
        <v>2037</v>
      </c>
      <c r="D3722" s="70" t="s">
        <v>1</v>
      </c>
      <c r="E3722" s="70" t="s">
        <v>1</v>
      </c>
      <c r="F3722" s="70"/>
      <c r="G3722" s="70" t="s">
        <v>61</v>
      </c>
      <c r="H3722" s="70" t="s">
        <v>178</v>
      </c>
      <c r="I3722" s="70" t="s">
        <v>179</v>
      </c>
      <c r="J3722" s="71">
        <f>IF(OR(I3722=0,I3722=""),"unrated",VLOOKUP(I3722,MappingTables!$B$19:$C$31,2,FALSE))</f>
        <v>4</v>
      </c>
      <c r="K3722" s="72">
        <v>41303.323545756208</v>
      </c>
      <c r="L3722" s="70">
        <v>1.669987132286152</v>
      </c>
      <c r="M3722" s="71">
        <f>IF(L3722&lt;1,1,L3722)</f>
        <v>1.669987132286152</v>
      </c>
      <c r="N3722" s="70" t="s">
        <v>141</v>
      </c>
      <c r="O3722" s="71">
        <f>INDEX(DurClassMapping,MATCH(M3722,MappingTables!$D$4:$D$8,-1),1)</f>
        <v>1</v>
      </c>
      <c r="P3722" s="73">
        <f>IF(M3722=$A$1,1,$M3722-INDEX(MappingTables!$E$4:$E$8,MATCH(O3722,MappingTables!$B$4:$B$8,0)))</f>
        <v>1.669987132286152</v>
      </c>
      <c r="Q3722" s="71">
        <f>IF(B3722="",0,INDEX(ModelParameters!$D$6:$K$10,MATCH($O3722,ModelParameters!$B$6:$B$10,0),MATCH($J3722,ModelParameters!$D$5:$K$5,0)))</f>
        <v>0.045</v>
      </c>
      <c r="R3722" s="71">
        <f>IF(B3722="",0,INDEX(ModelParameters!$D$13:$K$17,MATCH($O3722,ModelParameters!$B$13:$B$17,0),MATCH($J3722,ModelParameters!$D$5:$K$5,0)))</f>
        <v>0</v>
      </c>
      <c r="S3722" s="160">
        <f>IF(B3722="",0,MIN(IF($N3722="Other Bond TM",ModelParameters!$N$21,1)*(P3722*Q3722+R3722),1))</f>
        <v>0.075149420952876832</v>
      </c>
      <c r="T3722" s="85">
        <f>IF(B3722="",0,$S3722*$K3722)</f>
        <v>3103.9208478929028</v>
      </c>
      <c r="U3722" s="85">
        <f>IF(B3722="",0,IF(OR(H3722=MappingTables!$C$34,H3722=MappingTables!$C$35),T3722,0))</f>
        <v>0</v>
      </c>
      <c r="V3722" s="85">
        <f>IF(ISNA(IF(AND(VLOOKUP(CONCATENATE($D3722,$G3722),CSRFinput!$B:$E,4,0)=0,OR(H3722=MappingTables!$C$34,H3722=MappingTables!$C$35)),1,VLOOKUP(CONCATENATE($D3722,$G3722),CSRFinput!$B:$E,4,0))),0,IF(AND(VLOOKUP(CONCATENATE($D3722,$G3722),CSRFinput!$B:$E,4,0)=0,OR(H3722=MappingTables!$C$34,H3722=MappingTables!$C$35)),1,VLOOKUP(CONCATENATE($D3722,$G3722),CSRFinput!$B:$E,4,0)))</f>
        <v>0.054776304963434752</v>
      </c>
      <c r="W3722" s="85">
        <f>IF(B3722="",0,+$T3722*$V3722)</f>
        <v>170.0213149465446</v>
      </c>
      <c r="X3722" s="85">
        <f>IF(B3722="",0,IF(OR(H3722=MappingTables!$C$34,H3722=MappingTables!$C$35),W3722,0))</f>
        <v>0</v>
      </c>
    </row>
    <row r="3723" spans="2:24" s="0" customFormat="0" ht="15">
      <c r="B3723" s="69" t="s">
        <v>2927</v>
      </c>
      <c r="C3723" s="70" t="s">
        <v>2928</v>
      </c>
      <c r="D3723" s="70" t="s">
        <v>1</v>
      </c>
      <c r="E3723" s="70" t="s">
        <v>1</v>
      </c>
      <c r="F3723" s="70"/>
      <c r="G3723" s="70" t="s">
        <v>61</v>
      </c>
      <c r="H3723" s="70" t="s">
        <v>178</v>
      </c>
      <c r="I3723" s="70" t="s">
        <v>198</v>
      </c>
      <c r="J3723" s="71" t="str">
        <f>IF(OR(I3723=0,I3723=""),"unrated",VLOOKUP(I3723,MappingTables!$B$19:$C$31,2,FALSE))</f>
        <v>unrated</v>
      </c>
      <c r="K3723" s="72">
        <v>23102.9684199444</v>
      </c>
      <c r="L3723" s="70">
        <v>14.327451256683314</v>
      </c>
      <c r="M3723" s="71">
        <f>IF(L3723&lt;1,1,L3723)</f>
        <v>14.327451256683314</v>
      </c>
      <c r="N3723" s="70" t="s">
        <v>141</v>
      </c>
      <c r="O3723" s="71">
        <f>INDEX(DurClassMapping,MATCH(M3723,MappingTables!$D$4:$D$8,-1),1)</f>
        <v>3</v>
      </c>
      <c r="P3723" s="73">
        <f>IF(M3723=$A$1,1,$M3723-INDEX(MappingTables!$E$4:$E$8,MATCH(O3723,MappingTables!$B$4:$B$8,0)))</f>
        <v>4.3274512566833144</v>
      </c>
      <c r="Q3723" s="71">
        <f>IF(B3723="",0,INDEX(ModelParameters!$D$6:$K$10,MATCH($O3723,ModelParameters!$B$6:$B$10,0),MATCH($J3723,ModelParameters!$D$5:$K$5,0)))</f>
        <v>0.012</v>
      </c>
      <c r="R3723" s="71">
        <f>IF(B3723="",0,INDEX(ModelParameters!$D$13:$K$17,MATCH($O3723,ModelParameters!$B$13:$B$17,0),MATCH($J3723,ModelParameters!$D$5:$K$5,0)))</f>
        <v>0.235</v>
      </c>
      <c r="S3723" s="160">
        <f>IF(B3723="",0,MIN(IF($N3723="Other Bond TM",ModelParameters!$N$21,1)*(P3723*Q3723+R3723),1))</f>
        <v>0.28692941508019976</v>
      </c>
      <c r="T3723" s="85">
        <f>IF(B3723="",0,$S3723*$K3723)</f>
        <v>6628.9212153509736</v>
      </c>
      <c r="U3723" s="85">
        <f>IF(B3723="",0,IF(OR(H3723=MappingTables!$C$34,H3723=MappingTables!$C$35),T3723,0))</f>
        <v>0</v>
      </c>
      <c r="V3723" s="85">
        <f>IF(ISNA(IF(AND(VLOOKUP(CONCATENATE($D3723,$G3723),CSRFinput!$B:$E,4,0)=0,OR(H3723=MappingTables!$C$34,H3723=MappingTables!$C$35)),1,VLOOKUP(CONCATENATE($D3723,$G3723),CSRFinput!$B:$E,4,0))),0,IF(AND(VLOOKUP(CONCATENATE($D3723,$G3723),CSRFinput!$B:$E,4,0)=0,OR(H3723=MappingTables!$C$34,H3723=MappingTables!$C$35)),1,VLOOKUP(CONCATENATE($D3723,$G3723),CSRFinput!$B:$E,4,0)))</f>
        <v>0.054776304963434752</v>
      </c>
      <c r="W3723" s="85">
        <f>IF(B3723="",0,+$T3723*$V3723)</f>
        <v>363.10781007064744</v>
      </c>
      <c r="X3723" s="85">
        <f>IF(B3723="",0,IF(OR(H3723=MappingTables!$C$34,H3723=MappingTables!$C$35),W3723,0))</f>
        <v>0</v>
      </c>
    </row>
    <row r="3724" spans="2:24" s="0" customFormat="0" ht="15">
      <c r="B3724" s="69">
        <v>16991015</v>
      </c>
      <c r="C3724" s="70" t="s">
        <v>2852</v>
      </c>
      <c r="D3724" s="70" t="s">
        <v>1</v>
      </c>
      <c r="E3724" s="70" t="s">
        <v>1</v>
      </c>
      <c r="F3724" s="70"/>
      <c r="G3724" s="70" t="s">
        <v>61</v>
      </c>
      <c r="H3724" s="70" t="s">
        <v>178</v>
      </c>
      <c r="I3724" s="70" t="s">
        <v>181</v>
      </c>
      <c r="J3724" s="71">
        <f>IF(OR(I3724=0,I3724=""),"unrated",VLOOKUP(I3724,MappingTables!$B$19:$C$31,2,FALSE))</f>
        <v>3</v>
      </c>
      <c r="K3724" s="72">
        <v>2462.1905645376624</v>
      </c>
      <c r="L3724" s="70">
        <v>0.40494190594336936</v>
      </c>
      <c r="M3724" s="71">
        <f>IF(L3724&lt;1,1,L3724)</f>
        <v>1</v>
      </c>
      <c r="N3724" s="70" t="s">
        <v>141</v>
      </c>
      <c r="O3724" s="71">
        <f>INDEX(DurClassMapping,MATCH(M3724,MappingTables!$D$4:$D$8,-1),1)</f>
        <v>1</v>
      </c>
      <c r="P3724" s="73">
        <f>IF(M3724=$A$1,1,$M3724-INDEX(MappingTables!$E$4:$E$8,MATCH(O3724,MappingTables!$B$4:$B$8,0)))</f>
        <v>1</v>
      </c>
      <c r="Q3724" s="71">
        <f>IF(B3724="",0,INDEX(ModelParameters!$D$6:$K$10,MATCH($O3724,ModelParameters!$B$6:$B$10,0),MATCH($J3724,ModelParameters!$D$5:$K$5,0)))</f>
        <v>0.025</v>
      </c>
      <c r="R3724" s="71">
        <f>IF(B3724="",0,INDEX(ModelParameters!$D$13:$K$17,MATCH($O3724,ModelParameters!$B$13:$B$17,0),MATCH($J3724,ModelParameters!$D$5:$K$5,0)))</f>
        <v>0</v>
      </c>
      <c r="S3724" s="160">
        <f>IF(B3724="",0,MIN(IF($N3724="Other Bond TM",ModelParameters!$N$21,1)*(P3724*Q3724+R3724),1))</f>
        <v>0.025</v>
      </c>
      <c r="T3724" s="85">
        <f>IF(B3724="",0,$S3724*$K3724)</f>
        <v>61.554764113441568</v>
      </c>
      <c r="U3724" s="85">
        <f>IF(B3724="",0,IF(OR(H3724=MappingTables!$C$34,H3724=MappingTables!$C$35),T3724,0))</f>
        <v>0</v>
      </c>
      <c r="V3724" s="85">
        <f>IF(ISNA(IF(AND(VLOOKUP(CONCATENATE($D3724,$G3724),CSRFinput!$B:$E,4,0)=0,OR(H3724=MappingTables!$C$34,H3724=MappingTables!$C$35)),1,VLOOKUP(CONCATENATE($D3724,$G3724),CSRFinput!$B:$E,4,0))),0,IF(AND(VLOOKUP(CONCATENATE($D3724,$G3724),CSRFinput!$B:$E,4,0)=0,OR(H3724=MappingTables!$C$34,H3724=MappingTables!$C$35)),1,VLOOKUP(CONCATENATE($D3724,$G3724),CSRFinput!$B:$E,4,0)))</f>
        <v>0.054776304963434752</v>
      </c>
      <c r="W3724" s="85">
        <f>IF(B3724="",0,+$T3724*$V3724)</f>
        <v>3.3717425310301644</v>
      </c>
      <c r="X3724" s="85">
        <f>IF(B3724="",0,IF(OR(H3724=MappingTables!$C$34,H3724=MappingTables!$C$35),W3724,0))</f>
        <v>0</v>
      </c>
    </row>
    <row r="3725" spans="2:24" s="0" customFormat="0" ht="15">
      <c r="B3725" s="69" t="s">
        <v>1565</v>
      </c>
      <c r="C3725" s="70" t="s">
        <v>1566</v>
      </c>
      <c r="D3725" s="70" t="s">
        <v>1</v>
      </c>
      <c r="E3725" s="70" t="s">
        <v>1</v>
      </c>
      <c r="F3725" s="70"/>
      <c r="G3725" s="70" t="s">
        <v>61</v>
      </c>
      <c r="H3725" s="70" t="s">
        <v>178</v>
      </c>
      <c r="I3725" s="70" t="s">
        <v>188</v>
      </c>
      <c r="J3725" s="71">
        <f>IF(OR(I3725=0,I3725=""),"unrated",VLOOKUP(I3725,MappingTables!$B$19:$C$31,2,FALSE))</f>
        <v>2</v>
      </c>
      <c r="K3725" s="72">
        <v>30.32670817466612</v>
      </c>
      <c r="L3725" s="70">
        <v>1.8497304961641388</v>
      </c>
      <c r="M3725" s="71">
        <f>IF(L3725&lt;1,1,L3725)</f>
        <v>1.8497304961641388</v>
      </c>
      <c r="N3725" s="70" t="s">
        <v>141</v>
      </c>
      <c r="O3725" s="71">
        <f>INDEX(DurClassMapping,MATCH(M3725,MappingTables!$D$4:$D$8,-1),1)</f>
        <v>1</v>
      </c>
      <c r="P3725" s="73">
        <f>IF(M3725=$A$1,1,$M3725-INDEX(MappingTables!$E$4:$E$8,MATCH(O3725,MappingTables!$B$4:$B$8,0)))</f>
        <v>1.8497304961641388</v>
      </c>
      <c r="Q3725" s="71">
        <f>IF(B3725="",0,INDEX(ModelParameters!$D$6:$K$10,MATCH($O3725,ModelParameters!$B$6:$B$10,0),MATCH($J3725,ModelParameters!$D$5:$K$5,0)))</f>
        <v>0.013999999999999998</v>
      </c>
      <c r="R3725" s="71">
        <f>IF(B3725="",0,INDEX(ModelParameters!$D$13:$K$17,MATCH($O3725,ModelParameters!$B$13:$B$17,0),MATCH($J3725,ModelParameters!$D$5:$K$5,0)))</f>
        <v>0</v>
      </c>
      <c r="S3725" s="160">
        <f>IF(B3725="",0,MIN(IF($N3725="Other Bond TM",ModelParameters!$N$21,1)*(P3725*Q3725+R3725),1))</f>
        <v>0.02589622694629794</v>
      </c>
      <c r="T3725" s="85">
        <f>IF(B3725="",0,$S3725*$K3725)</f>
        <v>0.78534731742530288</v>
      </c>
      <c r="U3725" s="85">
        <f>IF(B3725="",0,IF(OR(H3725=MappingTables!$C$34,H3725=MappingTables!$C$35),T3725,0))</f>
        <v>0</v>
      </c>
      <c r="V3725" s="85">
        <f>IF(ISNA(IF(AND(VLOOKUP(CONCATENATE($D3725,$G3725),CSRFinput!$B:$E,4,0)=0,OR(H3725=MappingTables!$C$34,H3725=MappingTables!$C$35)),1,VLOOKUP(CONCATENATE($D3725,$G3725),CSRFinput!$B:$E,4,0))),0,IF(AND(VLOOKUP(CONCATENATE($D3725,$G3725),CSRFinput!$B:$E,4,0)=0,OR(H3725=MappingTables!$C$34,H3725=MappingTables!$C$35)),1,VLOOKUP(CONCATENATE($D3725,$G3725),CSRFinput!$B:$E,4,0)))</f>
        <v>0.054776304963434752</v>
      </c>
      <c r="W3725" s="85">
        <f>IF(B3725="",0,+$T3725*$V3725)</f>
        <v>0.043018424161503784</v>
      </c>
      <c r="X3725" s="85">
        <f>IF(B3725="",0,IF(OR(H3725=MappingTables!$C$34,H3725=MappingTables!$C$35),W3725,0))</f>
        <v>0</v>
      </c>
    </row>
    <row r="3726" spans="2:24" s="0" customFormat="0" ht="15">
      <c r="B3726" s="69">
        <v>18941272</v>
      </c>
      <c r="C3726" s="70" t="s">
        <v>1404</v>
      </c>
      <c r="D3726" s="70" t="s">
        <v>1</v>
      </c>
      <c r="E3726" s="70" t="s">
        <v>1</v>
      </c>
      <c r="F3726" s="70"/>
      <c r="G3726" s="70" t="s">
        <v>61</v>
      </c>
      <c r="H3726" s="70" t="s">
        <v>178</v>
      </c>
      <c r="I3726" s="70" t="s">
        <v>181</v>
      </c>
      <c r="J3726" s="71">
        <f>IF(OR(I3726=0,I3726=""),"unrated",VLOOKUP(I3726,MappingTables!$B$19:$C$31,2,FALSE))</f>
        <v>3</v>
      </c>
      <c r="K3726" s="72">
        <v>14213.784218174214</v>
      </c>
      <c r="L3726" s="70">
        <v>5.09073890813604</v>
      </c>
      <c r="M3726" s="71">
        <f>IF(L3726&lt;1,1,L3726)</f>
        <v>5.09073890813604</v>
      </c>
      <c r="N3726" s="70" t="s">
        <v>141</v>
      </c>
      <c r="O3726" s="71">
        <f>INDEX(DurClassMapping,MATCH(M3726,MappingTables!$D$4:$D$8,-1),1)</f>
        <v>2</v>
      </c>
      <c r="P3726" s="73">
        <f>IF(M3726=$A$1,1,$M3726-INDEX(MappingTables!$E$4:$E$8,MATCH(O3726,MappingTables!$B$4:$B$8,0)))</f>
        <v>0.090738908136040128</v>
      </c>
      <c r="Q3726" s="71">
        <f>IF(B3726="",0,INDEX(ModelParameters!$D$6:$K$10,MATCH($O3726,ModelParameters!$B$6:$B$10,0),MATCH($J3726,ModelParameters!$D$5:$K$5,0)))</f>
        <v>0.015</v>
      </c>
      <c r="R3726" s="71">
        <f>IF(B3726="",0,INDEX(ModelParameters!$D$13:$K$17,MATCH($O3726,ModelParameters!$B$13:$B$17,0),MATCH($J3726,ModelParameters!$D$5:$K$5,0)))</f>
        <v>0.125</v>
      </c>
      <c r="S3726" s="160">
        <f>IF(B3726="",0,MIN(IF($N3726="Other Bond TM",ModelParameters!$N$21,1)*(P3726*Q3726+R3726),1))</f>
        <v>0.1263610836220406</v>
      </c>
      <c r="T3726" s="85">
        <f>IF(B3726="",0,$S3726*$K3726)</f>
        <v>1796.0691761783528</v>
      </c>
      <c r="U3726" s="85">
        <f>IF(B3726="",0,IF(OR(H3726=MappingTables!$C$34,H3726=MappingTables!$C$35),T3726,0))</f>
        <v>0</v>
      </c>
      <c r="V3726" s="85">
        <f>IF(ISNA(IF(AND(VLOOKUP(CONCATENATE($D3726,$G3726),CSRFinput!$B:$E,4,0)=0,OR(H3726=MappingTables!$C$34,H3726=MappingTables!$C$35)),1,VLOOKUP(CONCATENATE($D3726,$G3726),CSRFinput!$B:$E,4,0))),0,IF(AND(VLOOKUP(CONCATENATE($D3726,$G3726),CSRFinput!$B:$E,4,0)=0,OR(H3726=MappingTables!$C$34,H3726=MappingTables!$C$35)),1,VLOOKUP(CONCATENATE($D3726,$G3726),CSRFinput!$B:$E,4,0)))</f>
        <v>0.054776304963434752</v>
      </c>
      <c r="W3726" s="85">
        <f>IF(B3726="",0,+$T3726*$V3726)</f>
        <v>98.38203292977048</v>
      </c>
      <c r="X3726" s="85">
        <f>IF(B3726="",0,IF(OR(H3726=MappingTables!$C$34,H3726=MappingTables!$C$35),W3726,0))</f>
        <v>0</v>
      </c>
    </row>
    <row r="3727" spans="2:24" s="0" customFormat="0" ht="15">
      <c r="B3727" s="69">
        <v>17401113</v>
      </c>
      <c r="C3727" s="70" t="s">
        <v>907</v>
      </c>
      <c r="D3727" s="70" t="s">
        <v>1</v>
      </c>
      <c r="E3727" s="70" t="s">
        <v>1</v>
      </c>
      <c r="F3727" s="70"/>
      <c r="G3727" s="70" t="s">
        <v>61</v>
      </c>
      <c r="H3727" s="70" t="s">
        <v>178</v>
      </c>
      <c r="I3727" s="70" t="s">
        <v>188</v>
      </c>
      <c r="J3727" s="71">
        <f>IF(OR(I3727=0,I3727=""),"unrated",VLOOKUP(I3727,MappingTables!$B$19:$C$31,2,FALSE))</f>
        <v>2</v>
      </c>
      <c r="K3727" s="72">
        <v>731.9162817261112</v>
      </c>
      <c r="L3727" s="70">
        <v>0.53578525754354824</v>
      </c>
      <c r="M3727" s="71">
        <f>IF(L3727&lt;1,1,L3727)</f>
        <v>1</v>
      </c>
      <c r="N3727" s="70" t="s">
        <v>141</v>
      </c>
      <c r="O3727" s="71">
        <f>INDEX(DurClassMapping,MATCH(M3727,MappingTables!$D$4:$D$8,-1),1)</f>
        <v>1</v>
      </c>
      <c r="P3727" s="73">
        <f>IF(M3727=$A$1,1,$M3727-INDEX(MappingTables!$E$4:$E$8,MATCH(O3727,MappingTables!$B$4:$B$8,0)))</f>
        <v>1</v>
      </c>
      <c r="Q3727" s="71">
        <f>IF(B3727="",0,INDEX(ModelParameters!$D$6:$K$10,MATCH($O3727,ModelParameters!$B$6:$B$10,0),MATCH($J3727,ModelParameters!$D$5:$K$5,0)))</f>
        <v>0.013999999999999998</v>
      </c>
      <c r="R3727" s="71">
        <f>IF(B3727="",0,INDEX(ModelParameters!$D$13:$K$17,MATCH($O3727,ModelParameters!$B$13:$B$17,0),MATCH($J3727,ModelParameters!$D$5:$K$5,0)))</f>
        <v>0</v>
      </c>
      <c r="S3727" s="160">
        <f>IF(B3727="",0,MIN(IF($N3727="Other Bond TM",ModelParameters!$N$21,1)*(P3727*Q3727+R3727),1))</f>
        <v>0.013999999999999998</v>
      </c>
      <c r="T3727" s="85">
        <f>IF(B3727="",0,$S3727*$K3727)</f>
        <v>10.246827944165554</v>
      </c>
      <c r="U3727" s="85">
        <f>IF(B3727="",0,IF(OR(H3727=MappingTables!$C$34,H3727=MappingTables!$C$35),T3727,0))</f>
        <v>0</v>
      </c>
      <c r="V3727" s="85">
        <f>IF(ISNA(IF(AND(VLOOKUP(CONCATENATE($D3727,$G3727),CSRFinput!$B:$E,4,0)=0,OR(H3727=MappingTables!$C$34,H3727=MappingTables!$C$35)),1,VLOOKUP(CONCATENATE($D3727,$G3727),CSRFinput!$B:$E,4,0))),0,IF(AND(VLOOKUP(CONCATENATE($D3727,$G3727),CSRFinput!$B:$E,4,0)=0,OR(H3727=MappingTables!$C$34,H3727=MappingTables!$C$35)),1,VLOOKUP(CONCATENATE($D3727,$G3727),CSRFinput!$B:$E,4,0)))</f>
        <v>0.054776304963434752</v>
      </c>
      <c r="W3727" s="85">
        <f>IF(B3727="",0,+$T3727*$V3727)</f>
        <v>0.5612833723774576</v>
      </c>
      <c r="X3727" s="85">
        <f>IF(B3727="",0,IF(OR(H3727=MappingTables!$C$34,H3727=MappingTables!$C$35),W3727,0))</f>
        <v>0</v>
      </c>
    </row>
    <row r="3728" spans="2:24" s="0" customFormat="0" ht="15">
      <c r="B3728" s="69" t="s">
        <v>2101</v>
      </c>
      <c r="C3728" s="70" t="s">
        <v>2102</v>
      </c>
      <c r="D3728" s="70" t="s">
        <v>1</v>
      </c>
      <c r="E3728" s="70" t="s">
        <v>1</v>
      </c>
      <c r="F3728" s="70"/>
      <c r="G3728" s="70" t="s">
        <v>61</v>
      </c>
      <c r="H3728" s="70" t="s">
        <v>178</v>
      </c>
      <c r="I3728" s="70" t="s">
        <v>181</v>
      </c>
      <c r="J3728" s="71">
        <f>IF(OR(I3728=0,I3728=""),"unrated",VLOOKUP(I3728,MappingTables!$B$19:$C$31,2,FALSE))</f>
        <v>3</v>
      </c>
      <c r="K3728" s="72">
        <v>129.76224533166758</v>
      </c>
      <c r="L3728" s="70">
        <v>2.9071223694971356</v>
      </c>
      <c r="M3728" s="71">
        <f>IF(L3728&lt;1,1,L3728)</f>
        <v>2.9071223694971356</v>
      </c>
      <c r="N3728" s="70" t="s">
        <v>141</v>
      </c>
      <c r="O3728" s="71">
        <f>INDEX(DurClassMapping,MATCH(M3728,MappingTables!$D$4:$D$8,-1),1)</f>
        <v>1</v>
      </c>
      <c r="P3728" s="73">
        <f>IF(M3728=$A$1,1,$M3728-INDEX(MappingTables!$E$4:$E$8,MATCH(O3728,MappingTables!$B$4:$B$8,0)))</f>
        <v>2.9071223694971356</v>
      </c>
      <c r="Q3728" s="71">
        <f>IF(B3728="",0,INDEX(ModelParameters!$D$6:$K$10,MATCH($O3728,ModelParameters!$B$6:$B$10,0),MATCH($J3728,ModelParameters!$D$5:$K$5,0)))</f>
        <v>0.025</v>
      </c>
      <c r="R3728" s="71">
        <f>IF(B3728="",0,INDEX(ModelParameters!$D$13:$K$17,MATCH($O3728,ModelParameters!$B$13:$B$17,0),MATCH($J3728,ModelParameters!$D$5:$K$5,0)))</f>
        <v>0</v>
      </c>
      <c r="S3728" s="160">
        <f>IF(B3728="",0,MIN(IF($N3728="Other Bond TM",ModelParameters!$N$21,1)*(P3728*Q3728+R3728),1))</f>
        <v>0.0726780592374284</v>
      </c>
      <c r="T3728" s="85">
        <f>IF(B3728="",0,$S3728*$K3728)</f>
        <v>9.4308681529966528</v>
      </c>
      <c r="U3728" s="85">
        <f>IF(B3728="",0,IF(OR(H3728=MappingTables!$C$34,H3728=MappingTables!$C$35),T3728,0))</f>
        <v>0</v>
      </c>
      <c r="V3728" s="85">
        <f>IF(ISNA(IF(AND(VLOOKUP(CONCATENATE($D3728,$G3728),CSRFinput!$B:$E,4,0)=0,OR(H3728=MappingTables!$C$34,H3728=MappingTables!$C$35)),1,VLOOKUP(CONCATENATE($D3728,$G3728),CSRFinput!$B:$E,4,0))),0,IF(AND(VLOOKUP(CONCATENATE($D3728,$G3728),CSRFinput!$B:$E,4,0)=0,OR(H3728=MappingTables!$C$34,H3728=MappingTables!$C$35)),1,VLOOKUP(CONCATENATE($D3728,$G3728),CSRFinput!$B:$E,4,0)))</f>
        <v>0.054776304963434752</v>
      </c>
      <c r="W3728" s="85">
        <f>IF(B3728="",0,+$T3728*$V3728)</f>
        <v>0.51658811001848928</v>
      </c>
      <c r="X3728" s="85">
        <f>IF(B3728="",0,IF(OR(H3728=MappingTables!$C$34,H3728=MappingTables!$C$35),W3728,0))</f>
        <v>0</v>
      </c>
    </row>
    <row r="3729" spans="2:24" s="0" customFormat="0" ht="15">
      <c r="B3729" s="69" t="s">
        <v>2363</v>
      </c>
      <c r="C3729" s="70" t="s">
        <v>2364</v>
      </c>
      <c r="D3729" s="70" t="s">
        <v>1</v>
      </c>
      <c r="E3729" s="70" t="s">
        <v>1</v>
      </c>
      <c r="F3729" s="70"/>
      <c r="G3729" s="70" t="s">
        <v>61</v>
      </c>
      <c r="H3729" s="70" t="s">
        <v>178</v>
      </c>
      <c r="I3729" s="70" t="s">
        <v>184</v>
      </c>
      <c r="J3729" s="71">
        <f>IF(OR(I3729=0,I3729=""),"unrated",VLOOKUP(I3729,MappingTables!$B$19:$C$31,2,FALSE))</f>
        <v>5</v>
      </c>
      <c r="K3729" s="72">
        <v>312.61539171703528</v>
      </c>
      <c r="L3729" s="70">
        <v>3.8531896653234848</v>
      </c>
      <c r="M3729" s="71">
        <f>IF(L3729&lt;1,1,L3729)</f>
        <v>3.8531896653234848</v>
      </c>
      <c r="N3729" s="70" t="s">
        <v>141</v>
      </c>
      <c r="O3729" s="71">
        <f>INDEX(DurClassMapping,MATCH(M3729,MappingTables!$D$4:$D$8,-1),1)</f>
        <v>1</v>
      </c>
      <c r="P3729" s="73">
        <f>IF(M3729=$A$1,1,$M3729-INDEX(MappingTables!$E$4:$E$8,MATCH(O3729,MappingTables!$B$4:$B$8,0)))</f>
        <v>3.8531896653234848</v>
      </c>
      <c r="Q3729" s="71">
        <f>IF(B3729="",0,INDEX(ModelParameters!$D$6:$K$10,MATCH($O3729,ModelParameters!$B$6:$B$10,0),MATCH($J3729,ModelParameters!$D$5:$K$5,0)))</f>
        <v>0.075</v>
      </c>
      <c r="R3729" s="71">
        <f>IF(B3729="",0,INDEX(ModelParameters!$D$13:$K$17,MATCH($O3729,ModelParameters!$B$13:$B$17,0),MATCH($J3729,ModelParameters!$D$5:$K$5,0)))</f>
        <v>0</v>
      </c>
      <c r="S3729" s="160">
        <f>IF(B3729="",0,MIN(IF($N3729="Other Bond TM",ModelParameters!$N$21,1)*(P3729*Q3729+R3729),1))</f>
        <v>0.28898922489926132</v>
      </c>
      <c r="T3729" s="85">
        <f>IF(B3729="",0,$S3729*$K3729)</f>
        <v>90.342479743884976</v>
      </c>
      <c r="U3729" s="85">
        <f>IF(B3729="",0,IF(OR(H3729=MappingTables!$C$34,H3729=MappingTables!$C$35),T3729,0))</f>
        <v>0</v>
      </c>
      <c r="V3729" s="85">
        <f>IF(ISNA(IF(AND(VLOOKUP(CONCATENATE($D3729,$G3729),CSRFinput!$B:$E,4,0)=0,OR(H3729=MappingTables!$C$34,H3729=MappingTables!$C$35)),1,VLOOKUP(CONCATENATE($D3729,$G3729),CSRFinput!$B:$E,4,0))),0,IF(AND(VLOOKUP(CONCATENATE($D3729,$G3729),CSRFinput!$B:$E,4,0)=0,OR(H3729=MappingTables!$C$34,H3729=MappingTables!$C$35)),1,VLOOKUP(CONCATENATE($D3729,$G3729),CSRFinput!$B:$E,4,0)))</f>
        <v>0.054776304963434752</v>
      </c>
      <c r="W3729" s="85">
        <f>IF(B3729="",0,+$T3729*$V3729)</f>
        <v>4.9486272216039712</v>
      </c>
      <c r="X3729" s="85">
        <f>IF(B3729="",0,IF(OR(H3729=MappingTables!$C$34,H3729=MappingTables!$C$35),W3729,0))</f>
        <v>0</v>
      </c>
    </row>
    <row r="3730" spans="2:24" s="0" customFormat="0" ht="15">
      <c r="B3730" s="69">
        <v>19599196</v>
      </c>
      <c r="C3730" s="70" t="s">
        <v>1667</v>
      </c>
      <c r="D3730" s="70" t="s">
        <v>1</v>
      </c>
      <c r="E3730" s="70" t="s">
        <v>1</v>
      </c>
      <c r="F3730" s="70"/>
      <c r="G3730" s="70" t="s">
        <v>61</v>
      </c>
      <c r="H3730" s="70" t="s">
        <v>178</v>
      </c>
      <c r="I3730" s="70" t="s">
        <v>181</v>
      </c>
      <c r="J3730" s="71">
        <f>IF(OR(I3730=0,I3730=""),"unrated",VLOOKUP(I3730,MappingTables!$B$19:$C$31,2,FALSE))</f>
        <v>3</v>
      </c>
      <c r="K3730" s="72">
        <v>3668.02553919788</v>
      </c>
      <c r="L3730" s="70">
        <v>5.5276749394684928</v>
      </c>
      <c r="M3730" s="71">
        <f>IF(L3730&lt;1,1,L3730)</f>
        <v>5.5276749394684928</v>
      </c>
      <c r="N3730" s="70" t="s">
        <v>141</v>
      </c>
      <c r="O3730" s="71">
        <f>INDEX(DurClassMapping,MATCH(M3730,MappingTables!$D$4:$D$8,-1),1)</f>
        <v>2</v>
      </c>
      <c r="P3730" s="73">
        <f>IF(M3730=$A$1,1,$M3730-INDEX(MappingTables!$E$4:$E$8,MATCH(O3730,MappingTables!$B$4:$B$8,0)))</f>
        <v>0.52767493946849256</v>
      </c>
      <c r="Q3730" s="71">
        <f>IF(B3730="",0,INDEX(ModelParameters!$D$6:$K$10,MATCH($O3730,ModelParameters!$B$6:$B$10,0),MATCH($J3730,ModelParameters!$D$5:$K$5,0)))</f>
        <v>0.015</v>
      </c>
      <c r="R3730" s="71">
        <f>IF(B3730="",0,INDEX(ModelParameters!$D$13:$K$17,MATCH($O3730,ModelParameters!$B$13:$B$17,0),MATCH($J3730,ModelParameters!$D$5:$K$5,0)))</f>
        <v>0.125</v>
      </c>
      <c r="S3730" s="160">
        <f>IF(B3730="",0,MIN(IF($N3730="Other Bond TM",ModelParameters!$N$21,1)*(P3730*Q3730+R3730),1))</f>
        <v>0.13291512409202738</v>
      </c>
      <c r="T3730" s="85">
        <f>IF(B3730="",0,$S3730*$K3730)</f>
        <v>487.53606971521184</v>
      </c>
      <c r="U3730" s="85">
        <f>IF(B3730="",0,IF(OR(H3730=MappingTables!$C$34,H3730=MappingTables!$C$35),T3730,0))</f>
        <v>0</v>
      </c>
      <c r="V3730" s="85">
        <f>IF(ISNA(IF(AND(VLOOKUP(CONCATENATE($D3730,$G3730),CSRFinput!$B:$E,4,0)=0,OR(H3730=MappingTables!$C$34,H3730=MappingTables!$C$35)),1,VLOOKUP(CONCATENATE($D3730,$G3730),CSRFinput!$B:$E,4,0))),0,IF(AND(VLOOKUP(CONCATENATE($D3730,$G3730),CSRFinput!$B:$E,4,0)=0,OR(H3730=MappingTables!$C$34,H3730=MappingTables!$C$35)),1,VLOOKUP(CONCATENATE($D3730,$G3730),CSRFinput!$B:$E,4,0)))</f>
        <v>0.054776304963434752</v>
      </c>
      <c r="W3730" s="85">
        <f>IF(B3730="",0,+$T3730*$V3730)</f>
        <v>26.705424435394832</v>
      </c>
      <c r="X3730" s="85">
        <f>IF(B3730="",0,IF(OR(H3730=MappingTables!$C$34,H3730=MappingTables!$C$35),W3730,0))</f>
        <v>0</v>
      </c>
    </row>
    <row r="3731" spans="2:24" s="0" customFormat="0" ht="15">
      <c r="B3731" s="69">
        <v>12266947</v>
      </c>
      <c r="C3731" s="70" t="s">
        <v>2793</v>
      </c>
      <c r="D3731" s="70" t="s">
        <v>1</v>
      </c>
      <c r="E3731" s="70" t="s">
        <v>1</v>
      </c>
      <c r="F3731" s="70"/>
      <c r="G3731" s="70" t="s">
        <v>61</v>
      </c>
      <c r="H3731" s="70" t="s">
        <v>178</v>
      </c>
      <c r="I3731" s="70" t="s">
        <v>181</v>
      </c>
      <c r="J3731" s="71">
        <f>IF(OR(I3731=0,I3731=""),"unrated",VLOOKUP(I3731,MappingTables!$B$19:$C$31,2,FALSE))</f>
        <v>3</v>
      </c>
      <c r="K3731" s="72">
        <v>290.02540061702304</v>
      </c>
      <c r="L3731" s="70">
        <v>14.029192268736848</v>
      </c>
      <c r="M3731" s="71">
        <f>IF(L3731&lt;1,1,L3731)</f>
        <v>14.029192268736848</v>
      </c>
      <c r="N3731" s="70" t="s">
        <v>141</v>
      </c>
      <c r="O3731" s="71">
        <f>INDEX(DurClassMapping,MATCH(M3731,MappingTables!$D$4:$D$8,-1),1)</f>
        <v>3</v>
      </c>
      <c r="P3731" s="73">
        <f>IF(M3731=$A$1,1,$M3731-INDEX(MappingTables!$E$4:$E$8,MATCH(O3731,MappingTables!$B$4:$B$8,0)))</f>
        <v>4.029192268736848</v>
      </c>
      <c r="Q3731" s="71">
        <f>IF(B3731="",0,INDEX(ModelParameters!$D$6:$K$10,MATCH($O3731,ModelParameters!$B$6:$B$10,0),MATCH($J3731,ModelParameters!$D$5:$K$5,0)))</f>
        <v>0.01</v>
      </c>
      <c r="R3731" s="71">
        <f>IF(B3731="",0,INDEX(ModelParameters!$D$13:$K$17,MATCH($O3731,ModelParameters!$B$13:$B$17,0),MATCH($J3731,ModelParameters!$D$5:$K$5,0)))</f>
        <v>0.2</v>
      </c>
      <c r="S3731" s="160">
        <f>IF(B3731="",0,MIN(IF($N3731="Other Bond TM",ModelParameters!$N$21,1)*(P3731*Q3731+R3731),1))</f>
        <v>0.24029192268736848</v>
      </c>
      <c r="T3731" s="85">
        <f>IF(B3731="",0,$S3731*$K3731)</f>
        <v>69.690761142438776</v>
      </c>
      <c r="U3731" s="85">
        <f>IF(B3731="",0,IF(OR(H3731=MappingTables!$C$34,H3731=MappingTables!$C$35),T3731,0))</f>
        <v>0</v>
      </c>
      <c r="V3731" s="85">
        <f>IF(ISNA(IF(AND(VLOOKUP(CONCATENATE($D3731,$G3731),CSRFinput!$B:$E,4,0)=0,OR(H3731=MappingTables!$C$34,H3731=MappingTables!$C$35)),1,VLOOKUP(CONCATENATE($D3731,$G3731),CSRFinput!$B:$E,4,0))),0,IF(AND(VLOOKUP(CONCATENATE($D3731,$G3731),CSRFinput!$B:$E,4,0)=0,OR(H3731=MappingTables!$C$34,H3731=MappingTables!$C$35)),1,VLOOKUP(CONCATENATE($D3731,$G3731),CSRFinput!$B:$E,4,0)))</f>
        <v>0.054776304963434752</v>
      </c>
      <c r="W3731" s="85">
        <f>IF(B3731="",0,+$T3731*$V3731)</f>
        <v>3.8174023854721152</v>
      </c>
      <c r="X3731" s="85">
        <f>IF(B3731="",0,IF(OR(H3731=MappingTables!$C$34,H3731=MappingTables!$C$35),W3731,0))</f>
        <v>0</v>
      </c>
    </row>
    <row r="3732" spans="2:24" s="0" customFormat="0" ht="15">
      <c r="B3732" s="69">
        <v>19714686</v>
      </c>
      <c r="C3732" s="70" t="s">
        <v>2732</v>
      </c>
      <c r="D3732" s="70" t="s">
        <v>1</v>
      </c>
      <c r="E3732" s="70" t="s">
        <v>1</v>
      </c>
      <c r="F3732" s="70"/>
      <c r="G3732" s="70" t="s">
        <v>61</v>
      </c>
      <c r="H3732" s="70" t="s">
        <v>178</v>
      </c>
      <c r="I3732" s="70" t="s">
        <v>216</v>
      </c>
      <c r="J3732" s="71">
        <f>IF(OR(I3732=0,I3732=""),"unrated",VLOOKUP(I3732,MappingTables!$B$19:$C$31,2,FALSE))</f>
        <v>0</v>
      </c>
      <c r="K3732" s="72">
        <v>17317.451777316696</v>
      </c>
      <c r="L3732" s="70">
        <v>0.20821909137496776</v>
      </c>
      <c r="M3732" s="71">
        <f>IF(L3732&lt;1,1,L3732)</f>
        <v>1</v>
      </c>
      <c r="N3732" s="70" t="s">
        <v>141</v>
      </c>
      <c r="O3732" s="71">
        <f>INDEX(DurClassMapping,MATCH(M3732,MappingTables!$D$4:$D$8,-1),1)</f>
        <v>1</v>
      </c>
      <c r="P3732" s="73">
        <f>IF(M3732=$A$1,1,$M3732-INDEX(MappingTables!$E$4:$E$8,MATCH(O3732,MappingTables!$B$4:$B$8,0)))</f>
        <v>1</v>
      </c>
      <c r="Q3732" s="71">
        <f>IF(B3732="",0,INDEX(ModelParameters!$D$6:$K$10,MATCH($O3732,ModelParameters!$B$6:$B$10,0),MATCH($J3732,ModelParameters!$D$5:$K$5,0)))</f>
        <v>0.0090000000000000016</v>
      </c>
      <c r="R3732" s="71">
        <f>IF(B3732="",0,INDEX(ModelParameters!$D$13:$K$17,MATCH($O3732,ModelParameters!$B$13:$B$17,0),MATCH($J3732,ModelParameters!$D$5:$K$5,0)))</f>
        <v>0</v>
      </c>
      <c r="S3732" s="160">
        <f>IF(B3732="",0,MIN(IF($N3732="Other Bond TM",ModelParameters!$N$21,1)*(P3732*Q3732+R3732),1))</f>
        <v>0.0090000000000000016</v>
      </c>
      <c r="T3732" s="85">
        <f>IF(B3732="",0,$S3732*$K3732)</f>
        <v>155.85706599585026</v>
      </c>
      <c r="U3732" s="85">
        <f>IF(B3732="",0,IF(OR(H3732=MappingTables!$C$34,H3732=MappingTables!$C$35),T3732,0))</f>
        <v>0</v>
      </c>
      <c r="V3732" s="85">
        <f>IF(ISNA(IF(AND(VLOOKUP(CONCATENATE($D3732,$G3732),CSRFinput!$B:$E,4,0)=0,OR(H3732=MappingTables!$C$34,H3732=MappingTables!$C$35)),1,VLOOKUP(CONCATENATE($D3732,$G3732),CSRFinput!$B:$E,4,0))),0,IF(AND(VLOOKUP(CONCATENATE($D3732,$G3732),CSRFinput!$B:$E,4,0)=0,OR(H3732=MappingTables!$C$34,H3732=MappingTables!$C$35)),1,VLOOKUP(CONCATENATE($D3732,$G3732),CSRFinput!$B:$E,4,0)))</f>
        <v>0.054776304963434752</v>
      </c>
      <c r="W3732" s="85">
        <f>IF(B3732="",0,+$T3732*$V3732)</f>
        <v>8.5372741776948704</v>
      </c>
      <c r="X3732" s="85">
        <f>IF(B3732="",0,IF(OR(H3732=MappingTables!$C$34,H3732=MappingTables!$C$35),W3732,0))</f>
        <v>0</v>
      </c>
    </row>
    <row r="3733" spans="2:24" s="0" customFormat="0" ht="15">
      <c r="B3733" s="69" t="s">
        <v>2452</v>
      </c>
      <c r="C3733" s="70" t="s">
        <v>2453</v>
      </c>
      <c r="D3733" s="70" t="s">
        <v>1</v>
      </c>
      <c r="E3733" s="70" t="s">
        <v>1</v>
      </c>
      <c r="F3733" s="70"/>
      <c r="G3733" s="70" t="s">
        <v>61</v>
      </c>
      <c r="H3733" s="70" t="s">
        <v>178</v>
      </c>
      <c r="I3733" s="70" t="s">
        <v>198</v>
      </c>
      <c r="J3733" s="71" t="str">
        <f>IF(OR(I3733=0,I3733=""),"unrated",VLOOKUP(I3733,MappingTables!$B$19:$C$31,2,FALSE))</f>
        <v>unrated</v>
      </c>
      <c r="K3733" s="72">
        <v>293.64666977427136</v>
      </c>
      <c r="L3733" s="70">
        <v>12.552939451314512</v>
      </c>
      <c r="M3733" s="71">
        <f>IF(L3733&lt;1,1,L3733)</f>
        <v>12.552939451314512</v>
      </c>
      <c r="N3733" s="70" t="s">
        <v>141</v>
      </c>
      <c r="O3733" s="71">
        <f>INDEX(DurClassMapping,MATCH(M3733,MappingTables!$D$4:$D$8,-1),1)</f>
        <v>3</v>
      </c>
      <c r="P3733" s="73">
        <f>IF(M3733=$A$1,1,$M3733-INDEX(MappingTables!$E$4:$E$8,MATCH(O3733,MappingTables!$B$4:$B$8,0)))</f>
        <v>2.5529394513145112</v>
      </c>
      <c r="Q3733" s="71">
        <f>IF(B3733="",0,INDEX(ModelParameters!$D$6:$K$10,MATCH($O3733,ModelParameters!$B$6:$B$10,0),MATCH($J3733,ModelParameters!$D$5:$K$5,0)))</f>
        <v>0.012</v>
      </c>
      <c r="R3733" s="71">
        <f>IF(B3733="",0,INDEX(ModelParameters!$D$13:$K$17,MATCH($O3733,ModelParameters!$B$13:$B$17,0),MATCH($J3733,ModelParameters!$D$5:$K$5,0)))</f>
        <v>0.235</v>
      </c>
      <c r="S3733" s="160">
        <f>IF(B3733="",0,MIN(IF($N3733="Other Bond TM",ModelParameters!$N$21,1)*(P3733*Q3733+R3733),1))</f>
        <v>0.26563527341577416</v>
      </c>
      <c r="T3733" s="85">
        <f>IF(B3733="",0,$S3733*$K3733)</f>
        <v>78.002913413120112</v>
      </c>
      <c r="U3733" s="85">
        <f>IF(B3733="",0,IF(OR(H3733=MappingTables!$C$34,H3733=MappingTables!$C$35),T3733,0))</f>
        <v>0</v>
      </c>
      <c r="V3733" s="85">
        <f>IF(ISNA(IF(AND(VLOOKUP(CONCATENATE($D3733,$G3733),CSRFinput!$B:$E,4,0)=0,OR(H3733=MappingTables!$C$34,H3733=MappingTables!$C$35)),1,VLOOKUP(CONCATENATE($D3733,$G3733),CSRFinput!$B:$E,4,0))),0,IF(AND(VLOOKUP(CONCATENATE($D3733,$G3733),CSRFinput!$B:$E,4,0)=0,OR(H3733=MappingTables!$C$34,H3733=MappingTables!$C$35)),1,VLOOKUP(CONCATENATE($D3733,$G3733),CSRFinput!$B:$E,4,0)))</f>
        <v>0.054776304963434752</v>
      </c>
      <c r="W3733" s="85">
        <f>IF(B3733="",0,+$T3733*$V3733)</f>
        <v>4.2727113731534624</v>
      </c>
      <c r="X3733" s="85">
        <f>IF(B3733="",0,IF(OR(H3733=MappingTables!$C$34,H3733=MappingTables!$C$35),W3733,0))</f>
        <v>0</v>
      </c>
    </row>
    <row r="3734" spans="2:24" s="0" customFormat="0" ht="15">
      <c r="B3734" s="69" t="s">
        <v>1041</v>
      </c>
      <c r="C3734" s="70" t="s">
        <v>1042</v>
      </c>
      <c r="D3734" s="70" t="s">
        <v>1</v>
      </c>
      <c r="E3734" s="70" t="s">
        <v>1</v>
      </c>
      <c r="F3734" s="70"/>
      <c r="G3734" s="70" t="s">
        <v>61</v>
      </c>
      <c r="H3734" s="70" t="s">
        <v>178</v>
      </c>
      <c r="I3734" s="70" t="s">
        <v>184</v>
      </c>
      <c r="J3734" s="71">
        <f>IF(OR(I3734=0,I3734=""),"unrated",VLOOKUP(I3734,MappingTables!$B$19:$C$31,2,FALSE))</f>
        <v>5</v>
      </c>
      <c r="K3734" s="72">
        <v>385.4722628490376</v>
      </c>
      <c r="L3734" s="70">
        <v>0.49655176716032016</v>
      </c>
      <c r="M3734" s="71">
        <f>IF(L3734&lt;1,1,L3734)</f>
        <v>1</v>
      </c>
      <c r="N3734" s="70" t="s">
        <v>141</v>
      </c>
      <c r="O3734" s="71">
        <f>INDEX(DurClassMapping,MATCH(M3734,MappingTables!$D$4:$D$8,-1),1)</f>
        <v>1</v>
      </c>
      <c r="P3734" s="73">
        <f>IF(M3734=$A$1,1,$M3734-INDEX(MappingTables!$E$4:$E$8,MATCH(O3734,MappingTables!$B$4:$B$8,0)))</f>
        <v>1</v>
      </c>
      <c r="Q3734" s="71">
        <f>IF(B3734="",0,INDEX(ModelParameters!$D$6:$K$10,MATCH($O3734,ModelParameters!$B$6:$B$10,0),MATCH($J3734,ModelParameters!$D$5:$K$5,0)))</f>
        <v>0.075</v>
      </c>
      <c r="R3734" s="71">
        <f>IF(B3734="",0,INDEX(ModelParameters!$D$13:$K$17,MATCH($O3734,ModelParameters!$B$13:$B$17,0),MATCH($J3734,ModelParameters!$D$5:$K$5,0)))</f>
        <v>0</v>
      </c>
      <c r="S3734" s="160">
        <f>IF(B3734="",0,MIN(IF($N3734="Other Bond TM",ModelParameters!$N$21,1)*(P3734*Q3734+R3734),1))</f>
        <v>0.075</v>
      </c>
      <c r="T3734" s="85">
        <f>IF(B3734="",0,$S3734*$K3734)</f>
        <v>28.91041971367782</v>
      </c>
      <c r="U3734" s="85">
        <f>IF(B3734="",0,IF(OR(H3734=MappingTables!$C$34,H3734=MappingTables!$C$35),T3734,0))</f>
        <v>0</v>
      </c>
      <c r="V3734" s="85">
        <f>IF(ISNA(IF(AND(VLOOKUP(CONCATENATE($D3734,$G3734),CSRFinput!$B:$E,4,0)=0,OR(H3734=MappingTables!$C$34,H3734=MappingTables!$C$35)),1,VLOOKUP(CONCATENATE($D3734,$G3734),CSRFinput!$B:$E,4,0))),0,IF(AND(VLOOKUP(CONCATENATE($D3734,$G3734),CSRFinput!$B:$E,4,0)=0,OR(H3734=MappingTables!$C$34,H3734=MappingTables!$C$35)),1,VLOOKUP(CONCATENATE($D3734,$G3734),CSRFinput!$B:$E,4,0)))</f>
        <v>0.054776304963434752</v>
      </c>
      <c r="W3734" s="85">
        <f>IF(B3734="",0,+$T3734*$V3734)</f>
        <v>1.5836059668573122</v>
      </c>
      <c r="X3734" s="85">
        <f>IF(B3734="",0,IF(OR(H3734=MappingTables!$C$34,H3734=MappingTables!$C$35),W3734,0))</f>
        <v>0</v>
      </c>
    </row>
    <row r="3735" spans="2:24" s="0" customFormat="0" ht="15">
      <c r="B3735" s="69">
        <v>21329474</v>
      </c>
      <c r="C3735" s="70" t="s">
        <v>2811</v>
      </c>
      <c r="D3735" s="70" t="s">
        <v>1</v>
      </c>
      <c r="E3735" s="70" t="s">
        <v>1</v>
      </c>
      <c r="F3735" s="70"/>
      <c r="G3735" s="70" t="s">
        <v>61</v>
      </c>
      <c r="H3735" s="70" t="s">
        <v>178</v>
      </c>
      <c r="I3735" s="70" t="s">
        <v>181</v>
      </c>
      <c r="J3735" s="71">
        <f>IF(OR(I3735=0,I3735=""),"unrated",VLOOKUP(I3735,MappingTables!$B$19:$C$31,2,FALSE))</f>
        <v>3</v>
      </c>
      <c r="K3735" s="72">
        <v>3552.7331413437876</v>
      </c>
      <c r="L3735" s="70">
        <v>4.384051901179232</v>
      </c>
      <c r="M3735" s="71">
        <f>IF(L3735&lt;1,1,L3735)</f>
        <v>4.384051901179232</v>
      </c>
      <c r="N3735" s="70" t="s">
        <v>141</v>
      </c>
      <c r="O3735" s="71">
        <f>INDEX(DurClassMapping,MATCH(M3735,MappingTables!$D$4:$D$8,-1),1)</f>
        <v>1</v>
      </c>
      <c r="P3735" s="73">
        <f>IF(M3735=$A$1,1,$M3735-INDEX(MappingTables!$E$4:$E$8,MATCH(O3735,MappingTables!$B$4:$B$8,0)))</f>
        <v>4.384051901179232</v>
      </c>
      <c r="Q3735" s="71">
        <f>IF(B3735="",0,INDEX(ModelParameters!$D$6:$K$10,MATCH($O3735,ModelParameters!$B$6:$B$10,0),MATCH($J3735,ModelParameters!$D$5:$K$5,0)))</f>
        <v>0.025</v>
      </c>
      <c r="R3735" s="71">
        <f>IF(B3735="",0,INDEX(ModelParameters!$D$13:$K$17,MATCH($O3735,ModelParameters!$B$13:$B$17,0),MATCH($J3735,ModelParameters!$D$5:$K$5,0)))</f>
        <v>0</v>
      </c>
      <c r="S3735" s="160">
        <f>IF(B3735="",0,MIN(IF($N3735="Other Bond TM",ModelParameters!$N$21,1)*(P3735*Q3735+R3735),1))</f>
        <v>0.1096012975294808</v>
      </c>
      <c r="T3735" s="85">
        <f>IF(B3735="",0,$S3735*$K3735)</f>
        <v>389.38416206726752</v>
      </c>
      <c r="U3735" s="85">
        <f>IF(B3735="",0,IF(OR(H3735=MappingTables!$C$34,H3735=MappingTables!$C$35),T3735,0))</f>
        <v>0</v>
      </c>
      <c r="V3735" s="85">
        <f>IF(ISNA(IF(AND(VLOOKUP(CONCATENATE($D3735,$G3735),CSRFinput!$B:$E,4,0)=0,OR(H3735=MappingTables!$C$34,H3735=MappingTables!$C$35)),1,VLOOKUP(CONCATENATE($D3735,$G3735),CSRFinput!$B:$E,4,0))),0,IF(AND(VLOOKUP(CONCATENATE($D3735,$G3735),CSRFinput!$B:$E,4,0)=0,OR(H3735=MappingTables!$C$34,H3735=MappingTables!$C$35)),1,VLOOKUP(CONCATENATE($D3735,$G3735),CSRFinput!$B:$E,4,0)))</f>
        <v>0.054776304963434752</v>
      </c>
      <c r="W3735" s="85">
        <f>IF(B3735="",0,+$T3735*$V3735)</f>
        <v>21.329025609328144</v>
      </c>
      <c r="X3735" s="85">
        <f>IF(B3735="",0,IF(OR(H3735=MappingTables!$C$34,H3735=MappingTables!$C$35),W3735,0))</f>
        <v>0</v>
      </c>
    </row>
    <row r="3736" spans="2:24" s="0" customFormat="0" ht="15">
      <c r="B3736" s="69">
        <v>13412749</v>
      </c>
      <c r="C3736" s="70" t="s">
        <v>1030</v>
      </c>
      <c r="D3736" s="70" t="s">
        <v>1</v>
      </c>
      <c r="E3736" s="70" t="s">
        <v>1</v>
      </c>
      <c r="F3736" s="70"/>
      <c r="G3736" s="70" t="s">
        <v>61</v>
      </c>
      <c r="H3736" s="70" t="s">
        <v>178</v>
      </c>
      <c r="I3736" s="70" t="s">
        <v>181</v>
      </c>
      <c r="J3736" s="71">
        <f>IF(OR(I3736=0,I3736=""),"unrated",VLOOKUP(I3736,MappingTables!$B$19:$C$31,2,FALSE))</f>
        <v>3</v>
      </c>
      <c r="K3736" s="72">
        <v>152.76839584889128</v>
      </c>
      <c r="L3736" s="70">
        <v>1.1883051778273034</v>
      </c>
      <c r="M3736" s="71">
        <f>IF(L3736&lt;1,1,L3736)</f>
        <v>1.1883051778273034</v>
      </c>
      <c r="N3736" s="70" t="s">
        <v>141</v>
      </c>
      <c r="O3736" s="71">
        <f>INDEX(DurClassMapping,MATCH(M3736,MappingTables!$D$4:$D$8,-1),1)</f>
        <v>1</v>
      </c>
      <c r="P3736" s="73">
        <f>IF(M3736=$A$1,1,$M3736-INDEX(MappingTables!$E$4:$E$8,MATCH(O3736,MappingTables!$B$4:$B$8,0)))</f>
        <v>1.1883051778273034</v>
      </c>
      <c r="Q3736" s="71">
        <f>IF(B3736="",0,INDEX(ModelParameters!$D$6:$K$10,MATCH($O3736,ModelParameters!$B$6:$B$10,0),MATCH($J3736,ModelParameters!$D$5:$K$5,0)))</f>
        <v>0.025</v>
      </c>
      <c r="R3736" s="71">
        <f>IF(B3736="",0,INDEX(ModelParameters!$D$13:$K$17,MATCH($O3736,ModelParameters!$B$13:$B$17,0),MATCH($J3736,ModelParameters!$D$5:$K$5,0)))</f>
        <v>0</v>
      </c>
      <c r="S3736" s="160">
        <f>IF(B3736="",0,MIN(IF($N3736="Other Bond TM",ModelParameters!$N$21,1)*(P3736*Q3736+R3736),1))</f>
        <v>0.029707629445682588</v>
      </c>
      <c r="T3736" s="85">
        <f>IF(B3736="",0,$S3736*$K3736)</f>
        <v>4.538386894890216</v>
      </c>
      <c r="U3736" s="85">
        <f>IF(B3736="",0,IF(OR(H3736=MappingTables!$C$34,H3736=MappingTables!$C$35),T3736,0))</f>
        <v>0</v>
      </c>
      <c r="V3736" s="85">
        <f>IF(ISNA(IF(AND(VLOOKUP(CONCATENATE($D3736,$G3736),CSRFinput!$B:$E,4,0)=0,OR(H3736=MappingTables!$C$34,H3736=MappingTables!$C$35)),1,VLOOKUP(CONCATENATE($D3736,$G3736),CSRFinput!$B:$E,4,0))),0,IF(AND(VLOOKUP(CONCATENATE($D3736,$G3736),CSRFinput!$B:$E,4,0)=0,OR(H3736=MappingTables!$C$34,H3736=MappingTables!$C$35)),1,VLOOKUP(CONCATENATE($D3736,$G3736),CSRFinput!$B:$E,4,0)))</f>
        <v>0.054776304963434752</v>
      </c>
      <c r="W3736" s="85">
        <f>IF(B3736="",0,+$T3736*$V3736)</f>
        <v>0.2485960645965622</v>
      </c>
      <c r="X3736" s="85">
        <f>IF(B3736="",0,IF(OR(H3736=MappingTables!$C$34,H3736=MappingTables!$C$35),W3736,0))</f>
        <v>0</v>
      </c>
    </row>
    <row r="3737" spans="2:24" s="0" customFormat="0" ht="15">
      <c r="B3737" s="69">
        <v>21565432</v>
      </c>
      <c r="C3737" s="70" t="s">
        <v>2861</v>
      </c>
      <c r="D3737" s="70" t="s">
        <v>1</v>
      </c>
      <c r="E3737" s="70" t="s">
        <v>1</v>
      </c>
      <c r="F3737" s="70"/>
      <c r="G3737" s="70" t="s">
        <v>61</v>
      </c>
      <c r="H3737" s="70" t="s">
        <v>178</v>
      </c>
      <c r="I3737" s="70" t="s">
        <v>198</v>
      </c>
      <c r="J3737" s="71" t="str">
        <f>IF(OR(I3737=0,I3737=""),"unrated",VLOOKUP(I3737,MappingTables!$B$19:$C$31,2,FALSE))</f>
        <v>unrated</v>
      </c>
      <c r="K3737" s="72">
        <v>196.65703599198924</v>
      </c>
      <c r="L3737" s="70">
        <v>4.9783085462076736</v>
      </c>
      <c r="M3737" s="71">
        <f>IF(L3737&lt;1,1,L3737)</f>
        <v>4.9783085462076736</v>
      </c>
      <c r="N3737" s="70" t="s">
        <v>141</v>
      </c>
      <c r="O3737" s="71">
        <f>INDEX(DurClassMapping,MATCH(M3737,MappingTables!$D$4:$D$8,-1),1)</f>
        <v>1</v>
      </c>
      <c r="P3737" s="73">
        <f>IF(M3737=$A$1,1,$M3737-INDEX(MappingTables!$E$4:$E$8,MATCH(O3737,MappingTables!$B$4:$B$8,0)))</f>
        <v>4.9783085462076736</v>
      </c>
      <c r="Q3737" s="71">
        <f>IF(B3737="",0,INDEX(ModelParameters!$D$6:$K$10,MATCH($O3737,ModelParameters!$B$6:$B$10,0),MATCH($J3737,ModelParameters!$D$5:$K$5,0)))</f>
        <v>0.03</v>
      </c>
      <c r="R3737" s="71">
        <f>IF(B3737="",0,INDEX(ModelParameters!$D$13:$K$17,MATCH($O3737,ModelParameters!$B$13:$B$17,0),MATCH($J3737,ModelParameters!$D$5:$K$5,0)))</f>
        <v>0</v>
      </c>
      <c r="S3737" s="160">
        <f>IF(B3737="",0,MIN(IF($N3737="Other Bond TM",ModelParameters!$N$21,1)*(P3737*Q3737+R3737),1))</f>
        <v>0.1493492563862302</v>
      </c>
      <c r="T3737" s="85">
        <f>IF(B3737="",0,$S3737*$K3737)</f>
        <v>29.3705820885237</v>
      </c>
      <c r="U3737" s="85">
        <f>IF(B3737="",0,IF(OR(H3737=MappingTables!$C$34,H3737=MappingTables!$C$35),T3737,0))</f>
        <v>0</v>
      </c>
      <c r="V3737" s="85">
        <f>IF(ISNA(IF(AND(VLOOKUP(CONCATENATE($D3737,$G3737),CSRFinput!$B:$E,4,0)=0,OR(H3737=MappingTables!$C$34,H3737=MappingTables!$C$35)),1,VLOOKUP(CONCATENATE($D3737,$G3737),CSRFinput!$B:$E,4,0))),0,IF(AND(VLOOKUP(CONCATENATE($D3737,$G3737),CSRFinput!$B:$E,4,0)=0,OR(H3737=MappingTables!$C$34,H3737=MappingTables!$C$35)),1,VLOOKUP(CONCATENATE($D3737,$G3737),CSRFinput!$B:$E,4,0)))</f>
        <v>0.054776304963434752</v>
      </c>
      <c r="W3737" s="85">
        <f>IF(B3737="",0,+$T3737*$V3737)</f>
        <v>1.6088119614345686</v>
      </c>
      <c r="X3737" s="85">
        <f>IF(B3737="",0,IF(OR(H3737=MappingTables!$C$34,H3737=MappingTables!$C$35),W3737,0))</f>
        <v>0</v>
      </c>
    </row>
    <row r="3738" spans="2:24" s="0" customFormat="0" ht="15">
      <c r="B3738" s="69">
        <v>17807209</v>
      </c>
      <c r="C3738" s="70" t="s">
        <v>1690</v>
      </c>
      <c r="D3738" s="70" t="s">
        <v>1</v>
      </c>
      <c r="E3738" s="70" t="s">
        <v>1</v>
      </c>
      <c r="F3738" s="70"/>
      <c r="G3738" s="70" t="s">
        <v>61</v>
      </c>
      <c r="H3738" s="70" t="s">
        <v>178</v>
      </c>
      <c r="I3738" s="70" t="s">
        <v>184</v>
      </c>
      <c r="J3738" s="71">
        <f>IF(OR(I3738=0,I3738=""),"unrated",VLOOKUP(I3738,MappingTables!$B$19:$C$31,2,FALSE))</f>
        <v>5</v>
      </c>
      <c r="K3738" s="72">
        <v>4910.6180799121824</v>
      </c>
      <c r="L3738" s="70">
        <v>4.1491710905880128</v>
      </c>
      <c r="M3738" s="71">
        <f>IF(L3738&lt;1,1,L3738)</f>
        <v>4.1491710905880128</v>
      </c>
      <c r="N3738" s="70" t="s">
        <v>141</v>
      </c>
      <c r="O3738" s="71">
        <f>INDEX(DurClassMapping,MATCH(M3738,MappingTables!$D$4:$D$8,-1),1)</f>
        <v>1</v>
      </c>
      <c r="P3738" s="73">
        <f>IF(M3738=$A$1,1,$M3738-INDEX(MappingTables!$E$4:$E$8,MATCH(O3738,MappingTables!$B$4:$B$8,0)))</f>
        <v>4.1491710905880128</v>
      </c>
      <c r="Q3738" s="71">
        <f>IF(B3738="",0,INDEX(ModelParameters!$D$6:$K$10,MATCH($O3738,ModelParameters!$B$6:$B$10,0),MATCH($J3738,ModelParameters!$D$5:$K$5,0)))</f>
        <v>0.075</v>
      </c>
      <c r="R3738" s="71">
        <f>IF(B3738="",0,INDEX(ModelParameters!$D$13:$K$17,MATCH($O3738,ModelParameters!$B$13:$B$17,0),MATCH($J3738,ModelParameters!$D$5:$K$5,0)))</f>
        <v>0</v>
      </c>
      <c r="S3738" s="160">
        <f>IF(B3738="",0,MIN(IF($N3738="Other Bond TM",ModelParameters!$N$21,1)*(P3738*Q3738+R3738),1))</f>
        <v>0.31118783179410092</v>
      </c>
      <c r="T3738" s="85">
        <f>IF(B3738="",0,$S3738*$K3738)</f>
        <v>1528.124593056783</v>
      </c>
      <c r="U3738" s="85">
        <f>IF(B3738="",0,IF(OR(H3738=MappingTables!$C$34,H3738=MappingTables!$C$35),T3738,0))</f>
        <v>0</v>
      </c>
      <c r="V3738" s="85">
        <f>IF(ISNA(IF(AND(VLOOKUP(CONCATENATE($D3738,$G3738),CSRFinput!$B:$E,4,0)=0,OR(H3738=MappingTables!$C$34,H3738=MappingTables!$C$35)),1,VLOOKUP(CONCATENATE($D3738,$G3738),CSRFinput!$B:$E,4,0))),0,IF(AND(VLOOKUP(CONCATENATE($D3738,$G3738),CSRFinput!$B:$E,4,0)=0,OR(H3738=MappingTables!$C$34,H3738=MappingTables!$C$35)),1,VLOOKUP(CONCATENATE($D3738,$G3738),CSRFinput!$B:$E,4,0)))</f>
        <v>0.054776304963434752</v>
      </c>
      <c r="W3738" s="85">
        <f>IF(B3738="",0,+$T3738*$V3738)</f>
        <v>83.705018731402976</v>
      </c>
      <c r="X3738" s="85">
        <f>IF(B3738="",0,IF(OR(H3738=MappingTables!$C$34,H3738=MappingTables!$C$35),W3738,0))</f>
        <v>0</v>
      </c>
    </row>
    <row r="3739" spans="2:24" s="0" customFormat="0" ht="15">
      <c r="B3739" s="69">
        <v>18091585</v>
      </c>
      <c r="C3739" s="70" t="s">
        <v>2490</v>
      </c>
      <c r="D3739" s="70" t="s">
        <v>1</v>
      </c>
      <c r="E3739" s="70" t="s">
        <v>1</v>
      </c>
      <c r="F3739" s="70"/>
      <c r="G3739" s="70" t="s">
        <v>61</v>
      </c>
      <c r="H3739" s="70" t="s">
        <v>178</v>
      </c>
      <c r="I3739" s="70" t="s">
        <v>179</v>
      </c>
      <c r="J3739" s="71">
        <f>IF(OR(I3739=0,I3739=""),"unrated",VLOOKUP(I3739,MappingTables!$B$19:$C$31,2,FALSE))</f>
        <v>4</v>
      </c>
      <c r="K3739" s="72">
        <v>12447.425126139944</v>
      </c>
      <c r="L3739" s="70">
        <v>1.0633069644681704</v>
      </c>
      <c r="M3739" s="71">
        <f>IF(L3739&lt;1,1,L3739)</f>
        <v>1.0633069644681704</v>
      </c>
      <c r="N3739" s="70" t="s">
        <v>141</v>
      </c>
      <c r="O3739" s="71">
        <f>INDEX(DurClassMapping,MATCH(M3739,MappingTables!$D$4:$D$8,-1),1)</f>
        <v>1</v>
      </c>
      <c r="P3739" s="73">
        <f>IF(M3739=$A$1,1,$M3739-INDEX(MappingTables!$E$4:$E$8,MATCH(O3739,MappingTables!$B$4:$B$8,0)))</f>
        <v>1.0633069644681704</v>
      </c>
      <c r="Q3739" s="71">
        <f>IF(B3739="",0,INDEX(ModelParameters!$D$6:$K$10,MATCH($O3739,ModelParameters!$B$6:$B$10,0),MATCH($J3739,ModelParameters!$D$5:$K$5,0)))</f>
        <v>0.045</v>
      </c>
      <c r="R3739" s="71">
        <f>IF(B3739="",0,INDEX(ModelParameters!$D$13:$K$17,MATCH($O3739,ModelParameters!$B$13:$B$17,0),MATCH($J3739,ModelParameters!$D$5:$K$5,0)))</f>
        <v>0</v>
      </c>
      <c r="S3739" s="160">
        <f>IF(B3739="",0,MIN(IF($N3739="Other Bond TM",ModelParameters!$N$21,1)*(P3739*Q3739+R3739),1))</f>
        <v>0.047848813401067664</v>
      </c>
      <c r="T3739" s="85">
        <f>IF(B3739="",0,$S3739*$K3739)</f>
        <v>595.59452218443128</v>
      </c>
      <c r="U3739" s="85">
        <f>IF(B3739="",0,IF(OR(H3739=MappingTables!$C$34,H3739=MappingTables!$C$35),T3739,0))</f>
        <v>0</v>
      </c>
      <c r="V3739" s="85">
        <f>IF(ISNA(IF(AND(VLOOKUP(CONCATENATE($D3739,$G3739),CSRFinput!$B:$E,4,0)=0,OR(H3739=MappingTables!$C$34,H3739=MappingTables!$C$35)),1,VLOOKUP(CONCATENATE($D3739,$G3739),CSRFinput!$B:$E,4,0))),0,IF(AND(VLOOKUP(CONCATENATE($D3739,$G3739),CSRFinput!$B:$E,4,0)=0,OR(H3739=MappingTables!$C$34,H3739=MappingTables!$C$35)),1,VLOOKUP(CONCATENATE($D3739,$G3739),CSRFinput!$B:$E,4,0)))</f>
        <v>0.054776304963434752</v>
      </c>
      <c r="W3739" s="85">
        <f>IF(B3739="",0,+$T3739*$V3739)</f>
        <v>32.624467181725612</v>
      </c>
      <c r="X3739" s="85">
        <f>IF(B3739="",0,IF(OR(H3739=MappingTables!$C$34,H3739=MappingTables!$C$35),W3739,0))</f>
        <v>0</v>
      </c>
    </row>
    <row r="3740" spans="2:24" s="0" customFormat="0" ht="15">
      <c r="B3740" s="69">
        <v>12074508</v>
      </c>
      <c r="C3740" s="70" t="s">
        <v>548</v>
      </c>
      <c r="D3740" s="70" t="s">
        <v>1</v>
      </c>
      <c r="E3740" s="70" t="s">
        <v>1</v>
      </c>
      <c r="F3740" s="70"/>
      <c r="G3740" s="70" t="s">
        <v>61</v>
      </c>
      <c r="H3740" s="70" t="s">
        <v>178</v>
      </c>
      <c r="I3740" s="70" t="s">
        <v>181</v>
      </c>
      <c r="J3740" s="71">
        <f>IF(OR(I3740=0,I3740=""),"unrated",VLOOKUP(I3740,MappingTables!$B$19:$C$31,2,FALSE))</f>
        <v>3</v>
      </c>
      <c r="K3740" s="72">
        <v>311.60006461537052</v>
      </c>
      <c r="L3740" s="70">
        <v>4.684400979402172</v>
      </c>
      <c r="M3740" s="71">
        <f>IF(L3740&lt;1,1,L3740)</f>
        <v>4.684400979402172</v>
      </c>
      <c r="N3740" s="70" t="s">
        <v>141</v>
      </c>
      <c r="O3740" s="71">
        <f>INDEX(DurClassMapping,MATCH(M3740,MappingTables!$D$4:$D$8,-1),1)</f>
        <v>1</v>
      </c>
      <c r="P3740" s="73">
        <f>IF(M3740=$A$1,1,$M3740-INDEX(MappingTables!$E$4:$E$8,MATCH(O3740,MappingTables!$B$4:$B$8,0)))</f>
        <v>4.684400979402172</v>
      </c>
      <c r="Q3740" s="71">
        <f>IF(B3740="",0,INDEX(ModelParameters!$D$6:$K$10,MATCH($O3740,ModelParameters!$B$6:$B$10,0),MATCH($J3740,ModelParameters!$D$5:$K$5,0)))</f>
        <v>0.025</v>
      </c>
      <c r="R3740" s="71">
        <f>IF(B3740="",0,INDEX(ModelParameters!$D$13:$K$17,MATCH($O3740,ModelParameters!$B$13:$B$17,0),MATCH($J3740,ModelParameters!$D$5:$K$5,0)))</f>
        <v>0</v>
      </c>
      <c r="S3740" s="160">
        <f>IF(B3740="",0,MIN(IF($N3740="Other Bond TM",ModelParameters!$N$21,1)*(P3740*Q3740+R3740),1))</f>
        <v>0.1171100244850543</v>
      </c>
      <c r="T3740" s="85">
        <f>IF(B3740="",0,$S3740*$K3740)</f>
        <v>36.491491196650544</v>
      </c>
      <c r="U3740" s="85">
        <f>IF(B3740="",0,IF(OR(H3740=MappingTables!$C$34,H3740=MappingTables!$C$35),T3740,0))</f>
        <v>0</v>
      </c>
      <c r="V3740" s="85">
        <f>IF(ISNA(IF(AND(VLOOKUP(CONCATENATE($D3740,$G3740),CSRFinput!$B:$E,4,0)=0,OR(H3740=MappingTables!$C$34,H3740=MappingTables!$C$35)),1,VLOOKUP(CONCATENATE($D3740,$G3740),CSRFinput!$B:$E,4,0))),0,IF(AND(VLOOKUP(CONCATENATE($D3740,$G3740),CSRFinput!$B:$E,4,0)=0,OR(H3740=MappingTables!$C$34,H3740=MappingTables!$C$35)),1,VLOOKUP(CONCATENATE($D3740,$G3740),CSRFinput!$B:$E,4,0)))</f>
        <v>0.054776304963434752</v>
      </c>
      <c r="W3740" s="85">
        <f>IF(B3740="",0,+$T3740*$V3740)</f>
        <v>1.9988690503582248</v>
      </c>
      <c r="X3740" s="85">
        <f>IF(B3740="",0,IF(OR(H3740=MappingTables!$C$34,H3740=MappingTables!$C$35),W3740,0))</f>
        <v>0</v>
      </c>
    </row>
    <row r="3741" spans="2:24" s="0" customFormat="0" ht="15">
      <c r="B3741" s="69">
        <v>20594292</v>
      </c>
      <c r="C3741" s="70" t="s">
        <v>1442</v>
      </c>
      <c r="D3741" s="70" t="s">
        <v>1</v>
      </c>
      <c r="E3741" s="70" t="s">
        <v>1</v>
      </c>
      <c r="F3741" s="70"/>
      <c r="G3741" s="70" t="s">
        <v>61</v>
      </c>
      <c r="H3741" s="70" t="s">
        <v>178</v>
      </c>
      <c r="I3741" s="70" t="s">
        <v>181</v>
      </c>
      <c r="J3741" s="71">
        <f>IF(OR(I3741=0,I3741=""),"unrated",VLOOKUP(I3741,MappingTables!$B$19:$C$31,2,FALSE))</f>
        <v>3</v>
      </c>
      <c r="K3741" s="72">
        <v>4.6994193123101976</v>
      </c>
      <c r="L3741" s="70">
        <v>0.59679105809098976</v>
      </c>
      <c r="M3741" s="71">
        <f>IF(L3741&lt;1,1,L3741)</f>
        <v>1</v>
      </c>
      <c r="N3741" s="70" t="s">
        <v>141</v>
      </c>
      <c r="O3741" s="71">
        <f>INDEX(DurClassMapping,MATCH(M3741,MappingTables!$D$4:$D$8,-1),1)</f>
        <v>1</v>
      </c>
      <c r="P3741" s="73">
        <f>IF(M3741=$A$1,1,$M3741-INDEX(MappingTables!$E$4:$E$8,MATCH(O3741,MappingTables!$B$4:$B$8,0)))</f>
        <v>1</v>
      </c>
      <c r="Q3741" s="71">
        <f>IF(B3741="",0,INDEX(ModelParameters!$D$6:$K$10,MATCH($O3741,ModelParameters!$B$6:$B$10,0),MATCH($J3741,ModelParameters!$D$5:$K$5,0)))</f>
        <v>0.025</v>
      </c>
      <c r="R3741" s="71">
        <f>IF(B3741="",0,INDEX(ModelParameters!$D$13:$K$17,MATCH($O3741,ModelParameters!$B$13:$B$17,0),MATCH($J3741,ModelParameters!$D$5:$K$5,0)))</f>
        <v>0</v>
      </c>
      <c r="S3741" s="160">
        <f>IF(B3741="",0,MIN(IF($N3741="Other Bond TM",ModelParameters!$N$21,1)*(P3741*Q3741+R3741),1))</f>
        <v>0.025</v>
      </c>
      <c r="T3741" s="85">
        <f>IF(B3741="",0,$S3741*$K3741)</f>
        <v>0.11748548280775494</v>
      </c>
      <c r="U3741" s="85">
        <f>IF(B3741="",0,IF(OR(H3741=MappingTables!$C$34,H3741=MappingTables!$C$35),T3741,0))</f>
        <v>0</v>
      </c>
      <c r="V3741" s="85">
        <f>IF(ISNA(IF(AND(VLOOKUP(CONCATENATE($D3741,$G3741),CSRFinput!$B:$E,4,0)=0,OR(H3741=MappingTables!$C$34,H3741=MappingTables!$C$35)),1,VLOOKUP(CONCATENATE($D3741,$G3741),CSRFinput!$B:$E,4,0))),0,IF(AND(VLOOKUP(CONCATENATE($D3741,$G3741),CSRFinput!$B:$E,4,0)=0,OR(H3741=MappingTables!$C$34,H3741=MappingTables!$C$35)),1,VLOOKUP(CONCATENATE($D3741,$G3741),CSRFinput!$B:$E,4,0)))</f>
        <v>0.054776304963434752</v>
      </c>
      <c r="W3741" s="85">
        <f>IF(B3741="",0,+$T3741*$V3741)</f>
        <v>0.0064354206350539552</v>
      </c>
      <c r="X3741" s="85">
        <f>IF(B3741="",0,IF(OR(H3741=MappingTables!$C$34,H3741=MappingTables!$C$35),W3741,0))</f>
        <v>0</v>
      </c>
    </row>
    <row r="3742" spans="2:24" s="0" customFormat="0" ht="15">
      <c r="B3742" s="69">
        <v>4107885</v>
      </c>
      <c r="C3742" s="70" t="s">
        <v>2198</v>
      </c>
      <c r="D3742" s="70" t="s">
        <v>1</v>
      </c>
      <c r="E3742" s="70" t="s">
        <v>1</v>
      </c>
      <c r="F3742" s="70"/>
      <c r="G3742" s="70" t="s">
        <v>61</v>
      </c>
      <c r="H3742" s="70" t="s">
        <v>178</v>
      </c>
      <c r="I3742" s="70" t="s">
        <v>181</v>
      </c>
      <c r="J3742" s="71">
        <f>IF(OR(I3742=0,I3742=""),"unrated",VLOOKUP(I3742,MappingTables!$B$19:$C$31,2,FALSE))</f>
        <v>3</v>
      </c>
      <c r="K3742" s="72">
        <v>20874.016069718396</v>
      </c>
      <c r="L3742" s="70">
        <v>0.85071619567031872</v>
      </c>
      <c r="M3742" s="71">
        <f>IF(L3742&lt;1,1,L3742)</f>
        <v>1</v>
      </c>
      <c r="N3742" s="70" t="s">
        <v>141</v>
      </c>
      <c r="O3742" s="71">
        <f>INDEX(DurClassMapping,MATCH(M3742,MappingTables!$D$4:$D$8,-1),1)</f>
        <v>1</v>
      </c>
      <c r="P3742" s="73">
        <f>IF(M3742=$A$1,1,$M3742-INDEX(MappingTables!$E$4:$E$8,MATCH(O3742,MappingTables!$B$4:$B$8,0)))</f>
        <v>1</v>
      </c>
      <c r="Q3742" s="71">
        <f>IF(B3742="",0,INDEX(ModelParameters!$D$6:$K$10,MATCH($O3742,ModelParameters!$B$6:$B$10,0),MATCH($J3742,ModelParameters!$D$5:$K$5,0)))</f>
        <v>0.025</v>
      </c>
      <c r="R3742" s="71">
        <f>IF(B3742="",0,INDEX(ModelParameters!$D$13:$K$17,MATCH($O3742,ModelParameters!$B$13:$B$17,0),MATCH($J3742,ModelParameters!$D$5:$K$5,0)))</f>
        <v>0</v>
      </c>
      <c r="S3742" s="160">
        <f>IF(B3742="",0,MIN(IF($N3742="Other Bond TM",ModelParameters!$N$21,1)*(P3742*Q3742+R3742),1))</f>
        <v>0.025</v>
      </c>
      <c r="T3742" s="85">
        <f>IF(B3742="",0,$S3742*$K3742)</f>
        <v>521.85040174295992</v>
      </c>
      <c r="U3742" s="85">
        <f>IF(B3742="",0,IF(OR(H3742=MappingTables!$C$34,H3742=MappingTables!$C$35),T3742,0))</f>
        <v>0</v>
      </c>
      <c r="V3742" s="85">
        <f>IF(ISNA(IF(AND(VLOOKUP(CONCATENATE($D3742,$G3742),CSRFinput!$B:$E,4,0)=0,OR(H3742=MappingTables!$C$34,H3742=MappingTables!$C$35)),1,VLOOKUP(CONCATENATE($D3742,$G3742),CSRFinput!$B:$E,4,0))),0,IF(AND(VLOOKUP(CONCATENATE($D3742,$G3742),CSRFinput!$B:$E,4,0)=0,OR(H3742=MappingTables!$C$34,H3742=MappingTables!$C$35)),1,VLOOKUP(CONCATENATE($D3742,$G3742),CSRFinput!$B:$E,4,0)))</f>
        <v>0.054776304963434752</v>
      </c>
      <c r="W3742" s="85">
        <f>IF(B3742="",0,+$T3742*$V3742)</f>
        <v>28.585036751163316</v>
      </c>
      <c r="X3742" s="85">
        <f>IF(B3742="",0,IF(OR(H3742=MappingTables!$C$34,H3742=MappingTables!$C$35),W3742,0))</f>
        <v>0</v>
      </c>
    </row>
    <row r="3743" spans="2:24" s="0" customFormat="0" ht="15">
      <c r="B3743" s="69">
        <v>12833960</v>
      </c>
      <c r="C3743" s="70" t="s">
        <v>2576</v>
      </c>
      <c r="D3743" s="70" t="s">
        <v>1</v>
      </c>
      <c r="E3743" s="70" t="s">
        <v>1</v>
      </c>
      <c r="F3743" s="70"/>
      <c r="G3743" s="70" t="s">
        <v>61</v>
      </c>
      <c r="H3743" s="70" t="s">
        <v>178</v>
      </c>
      <c r="I3743" s="70" t="s">
        <v>181</v>
      </c>
      <c r="J3743" s="71">
        <f>IF(OR(I3743=0,I3743=""),"unrated",VLOOKUP(I3743,MappingTables!$B$19:$C$31,2,FALSE))</f>
        <v>3</v>
      </c>
      <c r="K3743" s="72">
        <v>909.95074441985232</v>
      </c>
      <c r="L3743" s="70">
        <v>0.78076962238228528</v>
      </c>
      <c r="M3743" s="71">
        <f>IF(L3743&lt;1,1,L3743)</f>
        <v>1</v>
      </c>
      <c r="N3743" s="70" t="s">
        <v>141</v>
      </c>
      <c r="O3743" s="71">
        <f>INDEX(DurClassMapping,MATCH(M3743,MappingTables!$D$4:$D$8,-1),1)</f>
        <v>1</v>
      </c>
      <c r="P3743" s="73">
        <f>IF(M3743=$A$1,1,$M3743-INDEX(MappingTables!$E$4:$E$8,MATCH(O3743,MappingTables!$B$4:$B$8,0)))</f>
        <v>1</v>
      </c>
      <c r="Q3743" s="71">
        <f>IF(B3743="",0,INDEX(ModelParameters!$D$6:$K$10,MATCH($O3743,ModelParameters!$B$6:$B$10,0),MATCH($J3743,ModelParameters!$D$5:$K$5,0)))</f>
        <v>0.025</v>
      </c>
      <c r="R3743" s="71">
        <f>IF(B3743="",0,INDEX(ModelParameters!$D$13:$K$17,MATCH($O3743,ModelParameters!$B$13:$B$17,0),MATCH($J3743,ModelParameters!$D$5:$K$5,0)))</f>
        <v>0</v>
      </c>
      <c r="S3743" s="160">
        <f>IF(B3743="",0,MIN(IF($N3743="Other Bond TM",ModelParameters!$N$21,1)*(P3743*Q3743+R3743),1))</f>
        <v>0.025</v>
      </c>
      <c r="T3743" s="85">
        <f>IF(B3743="",0,$S3743*$K3743)</f>
        <v>22.748768610496308</v>
      </c>
      <c r="U3743" s="85">
        <f>IF(B3743="",0,IF(OR(H3743=MappingTables!$C$34,H3743=MappingTables!$C$35),T3743,0))</f>
        <v>0</v>
      </c>
      <c r="V3743" s="85">
        <f>IF(ISNA(IF(AND(VLOOKUP(CONCATENATE($D3743,$G3743),CSRFinput!$B:$E,4,0)=0,OR(H3743=MappingTables!$C$34,H3743=MappingTables!$C$35)),1,VLOOKUP(CONCATENATE($D3743,$G3743),CSRFinput!$B:$E,4,0))),0,IF(AND(VLOOKUP(CONCATENATE($D3743,$G3743),CSRFinput!$B:$E,4,0)=0,OR(H3743=MappingTables!$C$34,H3743=MappingTables!$C$35)),1,VLOOKUP(CONCATENATE($D3743,$G3743),CSRFinput!$B:$E,4,0)))</f>
        <v>0.054776304963434752</v>
      </c>
      <c r="W3743" s="85">
        <f>IF(B3743="",0,+$T3743*$V3743)</f>
        <v>1.2460934869511578</v>
      </c>
      <c r="X3743" s="85">
        <f>IF(B3743="",0,IF(OR(H3743=MappingTables!$C$34,H3743=MappingTables!$C$35),W3743,0))</f>
        <v>0</v>
      </c>
    </row>
    <row r="3744" spans="2:24" s="0" customFormat="0" ht="15">
      <c r="B3744" s="69" t="s">
        <v>1623</v>
      </c>
      <c r="C3744" s="70" t="s">
        <v>1624</v>
      </c>
      <c r="D3744" s="70" t="s">
        <v>1</v>
      </c>
      <c r="E3744" s="70" t="s">
        <v>1</v>
      </c>
      <c r="F3744" s="70"/>
      <c r="G3744" s="70" t="s">
        <v>61</v>
      </c>
      <c r="H3744" s="70" t="s">
        <v>178</v>
      </c>
      <c r="I3744" s="70" t="s">
        <v>188</v>
      </c>
      <c r="J3744" s="71">
        <f>IF(OR(I3744=0,I3744=""),"unrated",VLOOKUP(I3744,MappingTables!$B$19:$C$31,2,FALSE))</f>
        <v>2</v>
      </c>
      <c r="K3744" s="72">
        <v>200.17798541697328</v>
      </c>
      <c r="L3744" s="70">
        <v>7.1883584835874968</v>
      </c>
      <c r="M3744" s="71">
        <f>IF(L3744&lt;1,1,L3744)</f>
        <v>7.1883584835874968</v>
      </c>
      <c r="N3744" s="70" t="s">
        <v>141</v>
      </c>
      <c r="O3744" s="71">
        <f>INDEX(DurClassMapping,MATCH(M3744,MappingTables!$D$4:$D$8,-1),1)</f>
        <v>2</v>
      </c>
      <c r="P3744" s="73">
        <f>IF(M3744=$A$1,1,$M3744-INDEX(MappingTables!$E$4:$E$8,MATCH(O3744,MappingTables!$B$4:$B$8,0)))</f>
        <v>2.1883584835874972</v>
      </c>
      <c r="Q3744" s="71">
        <f>IF(B3744="",0,INDEX(ModelParameters!$D$6:$K$10,MATCH($O3744,ModelParameters!$B$6:$B$10,0),MATCH($J3744,ModelParameters!$D$5:$K$5,0)))</f>
        <v>0.0069999999999999992</v>
      </c>
      <c r="R3744" s="71">
        <f>IF(B3744="",0,INDEX(ModelParameters!$D$13:$K$17,MATCH($O3744,ModelParameters!$B$13:$B$17,0),MATCH($J3744,ModelParameters!$D$5:$K$5,0)))</f>
        <v>0.070000000000000008</v>
      </c>
      <c r="S3744" s="160">
        <f>IF(B3744="",0,MIN(IF($N3744="Other Bond TM",ModelParameters!$N$21,1)*(P3744*Q3744+R3744),1))</f>
        <v>0.08531850938511248</v>
      </c>
      <c r="T3744" s="85">
        <f>IF(B3744="",0,$S3744*$K3744)</f>
        <v>17.078887327490946</v>
      </c>
      <c r="U3744" s="85">
        <f>IF(B3744="",0,IF(OR(H3744=MappingTables!$C$34,H3744=MappingTables!$C$35),T3744,0))</f>
        <v>0</v>
      </c>
      <c r="V3744" s="85">
        <f>IF(ISNA(IF(AND(VLOOKUP(CONCATENATE($D3744,$G3744),CSRFinput!$B:$E,4,0)=0,OR(H3744=MappingTables!$C$34,H3744=MappingTables!$C$35)),1,VLOOKUP(CONCATENATE($D3744,$G3744),CSRFinput!$B:$E,4,0))),0,IF(AND(VLOOKUP(CONCATENATE($D3744,$G3744),CSRFinput!$B:$E,4,0)=0,OR(H3744=MappingTables!$C$34,H3744=MappingTables!$C$35)),1,VLOOKUP(CONCATENATE($D3744,$G3744),CSRFinput!$B:$E,4,0)))</f>
        <v>0.054776304963434752</v>
      </c>
      <c r="W3744" s="85">
        <f>IF(B3744="",0,+$T3744*$V3744)</f>
        <v>0.93551834068678512</v>
      </c>
      <c r="X3744" s="85">
        <f>IF(B3744="",0,IF(OR(H3744=MappingTables!$C$34,H3744=MappingTables!$C$35),W3744,0))</f>
        <v>0</v>
      </c>
    </row>
    <row r="3745" spans="2:24" s="0" customFormat="0" ht="15">
      <c r="B3745" s="69">
        <v>17634083</v>
      </c>
      <c r="C3745" s="70" t="s">
        <v>776</v>
      </c>
      <c r="D3745" s="70" t="s">
        <v>1</v>
      </c>
      <c r="E3745" s="70" t="s">
        <v>1</v>
      </c>
      <c r="F3745" s="70"/>
      <c r="G3745" s="70" t="s">
        <v>61</v>
      </c>
      <c r="H3745" s="70" t="s">
        <v>178</v>
      </c>
      <c r="I3745" s="70" t="s">
        <v>181</v>
      </c>
      <c r="J3745" s="71">
        <f>IF(OR(I3745=0,I3745=""),"unrated",VLOOKUP(I3745,MappingTables!$B$19:$C$31,2,FALSE))</f>
        <v>3</v>
      </c>
      <c r="K3745" s="72">
        <v>11068.001722699342</v>
      </c>
      <c r="L3745" s="70">
        <v>4.1661927397980608</v>
      </c>
      <c r="M3745" s="71">
        <f>IF(L3745&lt;1,1,L3745)</f>
        <v>4.1661927397980608</v>
      </c>
      <c r="N3745" s="70" t="s">
        <v>141</v>
      </c>
      <c r="O3745" s="71">
        <f>INDEX(DurClassMapping,MATCH(M3745,MappingTables!$D$4:$D$8,-1),1)</f>
        <v>1</v>
      </c>
      <c r="P3745" s="73">
        <f>IF(M3745=$A$1,1,$M3745-INDEX(MappingTables!$E$4:$E$8,MATCH(O3745,MappingTables!$B$4:$B$8,0)))</f>
        <v>4.1661927397980608</v>
      </c>
      <c r="Q3745" s="71">
        <f>IF(B3745="",0,INDEX(ModelParameters!$D$6:$K$10,MATCH($O3745,ModelParameters!$B$6:$B$10,0),MATCH($J3745,ModelParameters!$D$5:$K$5,0)))</f>
        <v>0.025</v>
      </c>
      <c r="R3745" s="71">
        <f>IF(B3745="",0,INDEX(ModelParameters!$D$13:$K$17,MATCH($O3745,ModelParameters!$B$13:$B$17,0),MATCH($J3745,ModelParameters!$D$5:$K$5,0)))</f>
        <v>0</v>
      </c>
      <c r="S3745" s="160">
        <f>IF(B3745="",0,MIN(IF($N3745="Other Bond TM",ModelParameters!$N$21,1)*(P3745*Q3745+R3745),1))</f>
        <v>0.10415481849495152</v>
      </c>
      <c r="T3745" s="85">
        <f>IF(B3745="",0,$S3745*$K3745)</f>
        <v>1152.7857105295606</v>
      </c>
      <c r="U3745" s="85">
        <f>IF(B3745="",0,IF(OR(H3745=MappingTables!$C$34,H3745=MappingTables!$C$35),T3745,0))</f>
        <v>0</v>
      </c>
      <c r="V3745" s="85">
        <f>IF(ISNA(IF(AND(VLOOKUP(CONCATENATE($D3745,$G3745),CSRFinput!$B:$E,4,0)=0,OR(H3745=MappingTables!$C$34,H3745=MappingTables!$C$35)),1,VLOOKUP(CONCATENATE($D3745,$G3745),CSRFinput!$B:$E,4,0))),0,IF(AND(VLOOKUP(CONCATENATE($D3745,$G3745),CSRFinput!$B:$E,4,0)=0,OR(H3745=MappingTables!$C$34,H3745=MappingTables!$C$35)),1,VLOOKUP(CONCATENATE($D3745,$G3745),CSRFinput!$B:$E,4,0)))</f>
        <v>0.054776304963434752</v>
      </c>
      <c r="W3745" s="85">
        <f>IF(B3745="",0,+$T3745*$V3745)</f>
        <v>63.14534163745704</v>
      </c>
      <c r="X3745" s="85">
        <f>IF(B3745="",0,IF(OR(H3745=MappingTables!$C$34,H3745=MappingTables!$C$35),W3745,0))</f>
        <v>0</v>
      </c>
    </row>
    <row r="3746" spans="2:24" s="0" customFormat="0" ht="15">
      <c r="B3746" s="69" t="s">
        <v>1171</v>
      </c>
      <c r="C3746" s="70" t="s">
        <v>1172</v>
      </c>
      <c r="D3746" s="70" t="s">
        <v>1</v>
      </c>
      <c r="E3746" s="70" t="s">
        <v>1</v>
      </c>
      <c r="F3746" s="70"/>
      <c r="G3746" s="70" t="s">
        <v>61</v>
      </c>
      <c r="H3746" s="70" t="s">
        <v>178</v>
      </c>
      <c r="I3746" s="70" t="s">
        <v>184</v>
      </c>
      <c r="J3746" s="71">
        <f>IF(OR(I3746=0,I3746=""),"unrated",VLOOKUP(I3746,MappingTables!$B$19:$C$31,2,FALSE))</f>
        <v>5</v>
      </c>
      <c r="K3746" s="72">
        <v>625.56057752828928</v>
      </c>
      <c r="L3746" s="70">
        <v>4.2393826568859384</v>
      </c>
      <c r="M3746" s="71">
        <f>IF(L3746&lt;1,1,L3746)</f>
        <v>4.2393826568859384</v>
      </c>
      <c r="N3746" s="70" t="s">
        <v>141</v>
      </c>
      <c r="O3746" s="71">
        <f>INDEX(DurClassMapping,MATCH(M3746,MappingTables!$D$4:$D$8,-1),1)</f>
        <v>1</v>
      </c>
      <c r="P3746" s="73">
        <f>IF(M3746=$A$1,1,$M3746-INDEX(MappingTables!$E$4:$E$8,MATCH(O3746,MappingTables!$B$4:$B$8,0)))</f>
        <v>4.2393826568859384</v>
      </c>
      <c r="Q3746" s="71">
        <f>IF(B3746="",0,INDEX(ModelParameters!$D$6:$K$10,MATCH($O3746,ModelParameters!$B$6:$B$10,0),MATCH($J3746,ModelParameters!$D$5:$K$5,0)))</f>
        <v>0.075</v>
      </c>
      <c r="R3746" s="71">
        <f>IF(B3746="",0,INDEX(ModelParameters!$D$13:$K$17,MATCH($O3746,ModelParameters!$B$13:$B$17,0),MATCH($J3746,ModelParameters!$D$5:$K$5,0)))</f>
        <v>0</v>
      </c>
      <c r="S3746" s="160">
        <f>IF(B3746="",0,MIN(IF($N3746="Other Bond TM",ModelParameters!$N$21,1)*(P3746*Q3746+R3746),1))</f>
        <v>0.3179536992664454</v>
      </c>
      <c r="T3746" s="85">
        <f>IF(B3746="",0,$S3746*$K3746)</f>
        <v>198.8992997403736</v>
      </c>
      <c r="U3746" s="85">
        <f>IF(B3746="",0,IF(OR(H3746=MappingTables!$C$34,H3746=MappingTables!$C$35),T3746,0))</f>
        <v>0</v>
      </c>
      <c r="V3746" s="85">
        <f>IF(ISNA(IF(AND(VLOOKUP(CONCATENATE($D3746,$G3746),CSRFinput!$B:$E,4,0)=0,OR(H3746=MappingTables!$C$34,H3746=MappingTables!$C$35)),1,VLOOKUP(CONCATENATE($D3746,$G3746),CSRFinput!$B:$E,4,0))),0,IF(AND(VLOOKUP(CONCATENATE($D3746,$G3746),CSRFinput!$B:$E,4,0)=0,OR(H3746=MappingTables!$C$34,H3746=MappingTables!$C$35)),1,VLOOKUP(CONCATENATE($D3746,$G3746),CSRFinput!$B:$E,4,0)))</f>
        <v>0.054776304963434752</v>
      </c>
      <c r="W3746" s="85">
        <f>IF(B3746="",0,+$T3746*$V3746)</f>
        <v>10.894968699592324</v>
      </c>
      <c r="X3746" s="85">
        <f>IF(B3746="",0,IF(OR(H3746=MappingTables!$C$34,H3746=MappingTables!$C$35),W3746,0))</f>
        <v>0</v>
      </c>
    </row>
    <row r="3747" spans="2:24" s="0" customFormat="0" ht="15">
      <c r="B3747" s="69" t="s">
        <v>2929</v>
      </c>
      <c r="C3747" s="70" t="s">
        <v>2930</v>
      </c>
      <c r="D3747" s="70" t="s">
        <v>1</v>
      </c>
      <c r="E3747" s="70" t="s">
        <v>1</v>
      </c>
      <c r="F3747" s="70"/>
      <c r="G3747" s="70" t="s">
        <v>61</v>
      </c>
      <c r="H3747" s="70" t="s">
        <v>178</v>
      </c>
      <c r="I3747" s="70" t="s">
        <v>181</v>
      </c>
      <c r="J3747" s="71">
        <f>IF(OR(I3747=0,I3747=""),"unrated",VLOOKUP(I3747,MappingTables!$B$19:$C$31,2,FALSE))</f>
        <v>3</v>
      </c>
      <c r="K3747" s="72">
        <v>271.12792989868904</v>
      </c>
      <c r="L3747" s="70">
        <v>0.77588823389352192</v>
      </c>
      <c r="M3747" s="71">
        <f>IF(L3747&lt;1,1,L3747)</f>
        <v>1</v>
      </c>
      <c r="N3747" s="70" t="s">
        <v>141</v>
      </c>
      <c r="O3747" s="71">
        <f>INDEX(DurClassMapping,MATCH(M3747,MappingTables!$D$4:$D$8,-1),1)</f>
        <v>1</v>
      </c>
      <c r="P3747" s="73">
        <f>IF(M3747=$A$1,1,$M3747-INDEX(MappingTables!$E$4:$E$8,MATCH(O3747,MappingTables!$B$4:$B$8,0)))</f>
        <v>1</v>
      </c>
      <c r="Q3747" s="71">
        <f>IF(B3747="",0,INDEX(ModelParameters!$D$6:$K$10,MATCH($O3747,ModelParameters!$B$6:$B$10,0),MATCH($J3747,ModelParameters!$D$5:$K$5,0)))</f>
        <v>0.025</v>
      </c>
      <c r="R3747" s="71">
        <f>IF(B3747="",0,INDEX(ModelParameters!$D$13:$K$17,MATCH($O3747,ModelParameters!$B$13:$B$17,0),MATCH($J3747,ModelParameters!$D$5:$K$5,0)))</f>
        <v>0</v>
      </c>
      <c r="S3747" s="160">
        <f>IF(B3747="",0,MIN(IF($N3747="Other Bond TM",ModelParameters!$N$21,1)*(P3747*Q3747+R3747),1))</f>
        <v>0.025</v>
      </c>
      <c r="T3747" s="85">
        <f>IF(B3747="",0,$S3747*$K3747)</f>
        <v>6.7781982474672272</v>
      </c>
      <c r="U3747" s="85">
        <f>IF(B3747="",0,IF(OR(H3747=MappingTables!$C$34,H3747=MappingTables!$C$35),T3747,0))</f>
        <v>0</v>
      </c>
      <c r="V3747" s="85">
        <f>IF(ISNA(IF(AND(VLOOKUP(CONCATENATE($D3747,$G3747),CSRFinput!$B:$E,4,0)=0,OR(H3747=MappingTables!$C$34,H3747=MappingTables!$C$35)),1,VLOOKUP(CONCATENATE($D3747,$G3747),CSRFinput!$B:$E,4,0))),0,IF(AND(VLOOKUP(CONCATENATE($D3747,$G3747),CSRFinput!$B:$E,4,0)=0,OR(H3747=MappingTables!$C$34,H3747=MappingTables!$C$35)),1,VLOOKUP(CONCATENATE($D3747,$G3747),CSRFinput!$B:$E,4,0)))</f>
        <v>0.054776304963434752</v>
      </c>
      <c r="W3747" s="85">
        <f>IF(B3747="",0,+$T3747*$V3747)</f>
        <v>0.37128465430588384</v>
      </c>
      <c r="X3747" s="85">
        <f>IF(B3747="",0,IF(OR(H3747=MappingTables!$C$34,H3747=MappingTables!$C$35),W3747,0))</f>
        <v>0</v>
      </c>
    </row>
    <row r="3748" spans="2:24" s="0" customFormat="0" ht="15">
      <c r="B3748" s="69">
        <v>13102511</v>
      </c>
      <c r="C3748" s="70" t="s">
        <v>2787</v>
      </c>
      <c r="D3748" s="70" t="s">
        <v>1</v>
      </c>
      <c r="E3748" s="70" t="s">
        <v>1</v>
      </c>
      <c r="F3748" s="70"/>
      <c r="G3748" s="70" t="s">
        <v>61</v>
      </c>
      <c r="H3748" s="70" t="s">
        <v>178</v>
      </c>
      <c r="I3748" s="70" t="s">
        <v>179</v>
      </c>
      <c r="J3748" s="71">
        <f>IF(OR(I3748=0,I3748=""),"unrated",VLOOKUP(I3748,MappingTables!$B$19:$C$31,2,FALSE))</f>
        <v>4</v>
      </c>
      <c r="K3748" s="72">
        <v>2126.6241582155532</v>
      </c>
      <c r="L3748" s="70">
        <v>1.2536641935859852</v>
      </c>
      <c r="M3748" s="71">
        <f>IF(L3748&lt;1,1,L3748)</f>
        <v>1.2536641935859852</v>
      </c>
      <c r="N3748" s="70" t="s">
        <v>141</v>
      </c>
      <c r="O3748" s="71">
        <f>INDEX(DurClassMapping,MATCH(M3748,MappingTables!$D$4:$D$8,-1),1)</f>
        <v>1</v>
      </c>
      <c r="P3748" s="73">
        <f>IF(M3748=$A$1,1,$M3748-INDEX(MappingTables!$E$4:$E$8,MATCH(O3748,MappingTables!$B$4:$B$8,0)))</f>
        <v>1.2536641935859852</v>
      </c>
      <c r="Q3748" s="71">
        <f>IF(B3748="",0,INDEX(ModelParameters!$D$6:$K$10,MATCH($O3748,ModelParameters!$B$6:$B$10,0),MATCH($J3748,ModelParameters!$D$5:$K$5,0)))</f>
        <v>0.045</v>
      </c>
      <c r="R3748" s="71">
        <f>IF(B3748="",0,INDEX(ModelParameters!$D$13:$K$17,MATCH($O3748,ModelParameters!$B$13:$B$17,0),MATCH($J3748,ModelParameters!$D$5:$K$5,0)))</f>
        <v>0</v>
      </c>
      <c r="S3748" s="160">
        <f>IF(B3748="",0,MIN(IF($N3748="Other Bond TM",ModelParameters!$N$21,1)*(P3748*Q3748+R3748),1))</f>
        <v>0.056414888711369328</v>
      </c>
      <c r="T3748" s="85">
        <f>IF(B3748="",0,$S3748*$K3748)</f>
        <v>119.9732652166399</v>
      </c>
      <c r="U3748" s="85">
        <f>IF(B3748="",0,IF(OR(H3748=MappingTables!$C$34,H3748=MappingTables!$C$35),T3748,0))</f>
        <v>0</v>
      </c>
      <c r="V3748" s="85">
        <f>IF(ISNA(IF(AND(VLOOKUP(CONCATENATE($D3748,$G3748),CSRFinput!$B:$E,4,0)=0,OR(H3748=MappingTables!$C$34,H3748=MappingTables!$C$35)),1,VLOOKUP(CONCATENATE($D3748,$G3748),CSRFinput!$B:$E,4,0))),0,IF(AND(VLOOKUP(CONCATENATE($D3748,$G3748),CSRFinput!$B:$E,4,0)=0,OR(H3748=MappingTables!$C$34,H3748=MappingTables!$C$35)),1,VLOOKUP(CONCATENATE($D3748,$G3748),CSRFinput!$B:$E,4,0)))</f>
        <v>0.054776304963434752</v>
      </c>
      <c r="W3748" s="85">
        <f>IF(B3748="",0,+$T3748*$V3748)</f>
        <v>6.5716921629657064</v>
      </c>
      <c r="X3748" s="85">
        <f>IF(B3748="",0,IF(OR(H3748=MappingTables!$C$34,H3748=MappingTables!$C$35),W3748,0))</f>
        <v>0</v>
      </c>
    </row>
    <row r="3749" spans="2:24" s="0" customFormat="0" ht="15">
      <c r="B3749" s="69">
        <v>20186857</v>
      </c>
      <c r="C3749" s="70" t="s">
        <v>1744</v>
      </c>
      <c r="D3749" s="70" t="s">
        <v>1</v>
      </c>
      <c r="E3749" s="70" t="s">
        <v>1</v>
      </c>
      <c r="F3749" s="70"/>
      <c r="G3749" s="70" t="s">
        <v>61</v>
      </c>
      <c r="H3749" s="70" t="s">
        <v>178</v>
      </c>
      <c r="I3749" s="70" t="s">
        <v>216</v>
      </c>
      <c r="J3749" s="71">
        <f>IF(OR(I3749=0,I3749=""),"unrated",VLOOKUP(I3749,MappingTables!$B$19:$C$31,2,FALSE))</f>
        <v>0</v>
      </c>
      <c r="K3749" s="72">
        <v>1260.2289261744248</v>
      </c>
      <c r="L3749" s="70">
        <v>0.40260664361496264</v>
      </c>
      <c r="M3749" s="71">
        <f>IF(L3749&lt;1,1,L3749)</f>
        <v>1</v>
      </c>
      <c r="N3749" s="70" t="s">
        <v>141</v>
      </c>
      <c r="O3749" s="71">
        <f>INDEX(DurClassMapping,MATCH(M3749,MappingTables!$D$4:$D$8,-1),1)</f>
        <v>1</v>
      </c>
      <c r="P3749" s="73">
        <f>IF(M3749=$A$1,1,$M3749-INDEX(MappingTables!$E$4:$E$8,MATCH(O3749,MappingTables!$B$4:$B$8,0)))</f>
        <v>1</v>
      </c>
      <c r="Q3749" s="71">
        <f>IF(B3749="",0,INDEX(ModelParameters!$D$6:$K$10,MATCH($O3749,ModelParameters!$B$6:$B$10,0),MATCH($J3749,ModelParameters!$D$5:$K$5,0)))</f>
        <v>0.0090000000000000016</v>
      </c>
      <c r="R3749" s="71">
        <f>IF(B3749="",0,INDEX(ModelParameters!$D$13:$K$17,MATCH($O3749,ModelParameters!$B$13:$B$17,0),MATCH($J3749,ModelParameters!$D$5:$K$5,0)))</f>
        <v>0</v>
      </c>
      <c r="S3749" s="160">
        <f>IF(B3749="",0,MIN(IF($N3749="Other Bond TM",ModelParameters!$N$21,1)*(P3749*Q3749+R3749),1))</f>
        <v>0.0090000000000000016</v>
      </c>
      <c r="T3749" s="85">
        <f>IF(B3749="",0,$S3749*$K3749)</f>
        <v>11.342060335569824</v>
      </c>
      <c r="U3749" s="85">
        <f>IF(B3749="",0,IF(OR(H3749=MappingTables!$C$34,H3749=MappingTables!$C$35),T3749,0))</f>
        <v>0</v>
      </c>
      <c r="V3749" s="85">
        <f>IF(ISNA(IF(AND(VLOOKUP(CONCATENATE($D3749,$G3749),CSRFinput!$B:$E,4,0)=0,OR(H3749=MappingTables!$C$34,H3749=MappingTables!$C$35)),1,VLOOKUP(CONCATENATE($D3749,$G3749),CSRFinput!$B:$E,4,0))),0,IF(AND(VLOOKUP(CONCATENATE($D3749,$G3749),CSRFinput!$B:$E,4,0)=0,OR(H3749=MappingTables!$C$34,H3749=MappingTables!$C$35)),1,VLOOKUP(CONCATENATE($D3749,$G3749),CSRFinput!$B:$E,4,0)))</f>
        <v>0.054776304963434752</v>
      </c>
      <c r="W3749" s="85">
        <f>IF(B3749="",0,+$T3749*$V3749)</f>
        <v>0.62127615585484984</v>
      </c>
      <c r="X3749" s="85">
        <f>IF(B3749="",0,IF(OR(H3749=MappingTables!$C$34,H3749=MappingTables!$C$35),W3749,0))</f>
        <v>0</v>
      </c>
    </row>
    <row r="3750" spans="2:24" s="0" customFormat="0" ht="15">
      <c r="B3750" s="69">
        <v>22927558</v>
      </c>
      <c r="C3750" s="70" t="s">
        <v>1712</v>
      </c>
      <c r="D3750" s="70" t="s">
        <v>1</v>
      </c>
      <c r="E3750" s="70" t="s">
        <v>1</v>
      </c>
      <c r="F3750" s="70"/>
      <c r="G3750" s="70" t="s">
        <v>61</v>
      </c>
      <c r="H3750" s="70" t="s">
        <v>178</v>
      </c>
      <c r="I3750" s="70" t="s">
        <v>188</v>
      </c>
      <c r="J3750" s="71">
        <f>IF(OR(I3750=0,I3750=""),"unrated",VLOOKUP(I3750,MappingTables!$B$19:$C$31,2,FALSE))</f>
        <v>2</v>
      </c>
      <c r="K3750" s="72">
        <v>471.08427946434848</v>
      </c>
      <c r="L3750" s="70">
        <v>0.20268112951969032</v>
      </c>
      <c r="M3750" s="71">
        <f>IF(L3750&lt;1,1,L3750)</f>
        <v>1</v>
      </c>
      <c r="N3750" s="70" t="s">
        <v>141</v>
      </c>
      <c r="O3750" s="71">
        <f>INDEX(DurClassMapping,MATCH(M3750,MappingTables!$D$4:$D$8,-1),1)</f>
        <v>1</v>
      </c>
      <c r="P3750" s="73">
        <f>IF(M3750=$A$1,1,$M3750-INDEX(MappingTables!$E$4:$E$8,MATCH(O3750,MappingTables!$B$4:$B$8,0)))</f>
        <v>1</v>
      </c>
      <c r="Q3750" s="71">
        <f>IF(B3750="",0,INDEX(ModelParameters!$D$6:$K$10,MATCH($O3750,ModelParameters!$B$6:$B$10,0),MATCH($J3750,ModelParameters!$D$5:$K$5,0)))</f>
        <v>0.013999999999999998</v>
      </c>
      <c r="R3750" s="71">
        <f>IF(B3750="",0,INDEX(ModelParameters!$D$13:$K$17,MATCH($O3750,ModelParameters!$B$13:$B$17,0),MATCH($J3750,ModelParameters!$D$5:$K$5,0)))</f>
        <v>0</v>
      </c>
      <c r="S3750" s="160">
        <f>IF(B3750="",0,MIN(IF($N3750="Other Bond TM",ModelParameters!$N$21,1)*(P3750*Q3750+R3750),1))</f>
        <v>0.013999999999999998</v>
      </c>
      <c r="T3750" s="85">
        <f>IF(B3750="",0,$S3750*$K3750)</f>
        <v>6.5951799125008784</v>
      </c>
      <c r="U3750" s="85">
        <f>IF(B3750="",0,IF(OR(H3750=MappingTables!$C$34,H3750=MappingTables!$C$35),T3750,0))</f>
        <v>0</v>
      </c>
      <c r="V3750" s="85">
        <f>IF(ISNA(IF(AND(VLOOKUP(CONCATENATE($D3750,$G3750),CSRFinput!$B:$E,4,0)=0,OR(H3750=MappingTables!$C$34,H3750=MappingTables!$C$35)),1,VLOOKUP(CONCATENATE($D3750,$G3750),CSRFinput!$B:$E,4,0))),0,IF(AND(VLOOKUP(CONCATENATE($D3750,$G3750),CSRFinput!$B:$E,4,0)=0,OR(H3750=MappingTables!$C$34,H3750=MappingTables!$C$35)),1,VLOOKUP(CONCATENATE($D3750,$G3750),CSRFinput!$B:$E,4,0)))</f>
        <v>0.054776304963434752</v>
      </c>
      <c r="W3750" s="85">
        <f>IF(B3750="",0,+$T3750*$V3750)</f>
        <v>0.36125958617586704</v>
      </c>
      <c r="X3750" s="85">
        <f>IF(B3750="",0,IF(OR(H3750=MappingTables!$C$34,H3750=MappingTables!$C$35),W3750,0))</f>
        <v>0</v>
      </c>
    </row>
    <row r="3751" spans="2:24" s="0" customFormat="0" ht="15">
      <c r="B3751" s="69" t="s">
        <v>882</v>
      </c>
      <c r="C3751" s="70" t="s">
        <v>883</v>
      </c>
      <c r="D3751" s="70" t="s">
        <v>1</v>
      </c>
      <c r="E3751" s="70" t="s">
        <v>1</v>
      </c>
      <c r="F3751" s="70"/>
      <c r="G3751" s="70" t="s">
        <v>61</v>
      </c>
      <c r="H3751" s="70" t="s">
        <v>178</v>
      </c>
      <c r="I3751" s="70" t="s">
        <v>188</v>
      </c>
      <c r="J3751" s="71">
        <f>IF(OR(I3751=0,I3751=""),"unrated",VLOOKUP(I3751,MappingTables!$B$19:$C$31,2,FALSE))</f>
        <v>2</v>
      </c>
      <c r="K3751" s="72">
        <v>335.68421261454096</v>
      </c>
      <c r="L3751" s="70">
        <v>1.330467668833585</v>
      </c>
      <c r="M3751" s="71">
        <f>IF(L3751&lt;1,1,L3751)</f>
        <v>1.330467668833585</v>
      </c>
      <c r="N3751" s="70" t="s">
        <v>141</v>
      </c>
      <c r="O3751" s="71">
        <f>INDEX(DurClassMapping,MATCH(M3751,MappingTables!$D$4:$D$8,-1),1)</f>
        <v>1</v>
      </c>
      <c r="P3751" s="73">
        <f>IF(M3751=$A$1,1,$M3751-INDEX(MappingTables!$E$4:$E$8,MATCH(O3751,MappingTables!$B$4:$B$8,0)))</f>
        <v>1.330467668833585</v>
      </c>
      <c r="Q3751" s="71">
        <f>IF(B3751="",0,INDEX(ModelParameters!$D$6:$K$10,MATCH($O3751,ModelParameters!$B$6:$B$10,0),MATCH($J3751,ModelParameters!$D$5:$K$5,0)))</f>
        <v>0.013999999999999998</v>
      </c>
      <c r="R3751" s="71">
        <f>IF(B3751="",0,INDEX(ModelParameters!$D$13:$K$17,MATCH($O3751,ModelParameters!$B$13:$B$17,0),MATCH($J3751,ModelParameters!$D$5:$K$5,0)))</f>
        <v>0</v>
      </c>
      <c r="S3751" s="160">
        <f>IF(B3751="",0,MIN(IF($N3751="Other Bond TM",ModelParameters!$N$21,1)*(P3751*Q3751+R3751),1))</f>
        <v>0.018626547363670188</v>
      </c>
      <c r="T3751" s="85">
        <f>IF(B3751="",0,$S3751*$K3751)</f>
        <v>6.2526378855010816</v>
      </c>
      <c r="U3751" s="85">
        <f>IF(B3751="",0,IF(OR(H3751=MappingTables!$C$34,H3751=MappingTables!$C$35),T3751,0))</f>
        <v>0</v>
      </c>
      <c r="V3751" s="85">
        <f>IF(ISNA(IF(AND(VLOOKUP(CONCATENATE($D3751,$G3751),CSRFinput!$B:$E,4,0)=0,OR(H3751=MappingTables!$C$34,H3751=MappingTables!$C$35)),1,VLOOKUP(CONCATENATE($D3751,$G3751),CSRFinput!$B:$E,4,0))),0,IF(AND(VLOOKUP(CONCATENATE($D3751,$G3751),CSRFinput!$B:$E,4,0)=0,OR(H3751=MappingTables!$C$34,H3751=MappingTables!$C$35)),1,VLOOKUP(CONCATENATE($D3751,$G3751),CSRFinput!$B:$E,4,0)))</f>
        <v>0.054776304963434752</v>
      </c>
      <c r="W3751" s="85">
        <f>IF(B3751="",0,+$T3751*$V3751)</f>
        <v>0.34249639964213308</v>
      </c>
      <c r="X3751" s="85">
        <f>IF(B3751="",0,IF(OR(H3751=MappingTables!$C$34,H3751=MappingTables!$C$35),W3751,0))</f>
        <v>0</v>
      </c>
    </row>
    <row r="3752" spans="2:24" s="0" customFormat="0" ht="15">
      <c r="B3752" s="69">
        <v>13477624</v>
      </c>
      <c r="C3752" s="70" t="s">
        <v>2931</v>
      </c>
      <c r="D3752" s="70" t="s">
        <v>1</v>
      </c>
      <c r="E3752" s="70" t="s">
        <v>1</v>
      </c>
      <c r="F3752" s="70"/>
      <c r="G3752" s="70" t="s">
        <v>61</v>
      </c>
      <c r="H3752" s="70" t="s">
        <v>178</v>
      </c>
      <c r="I3752" s="70" t="s">
        <v>181</v>
      </c>
      <c r="J3752" s="71">
        <f>IF(OR(I3752=0,I3752=""),"unrated",VLOOKUP(I3752,MappingTables!$B$19:$C$31,2,FALSE))</f>
        <v>3</v>
      </c>
      <c r="K3752" s="72">
        <v>3148.2117872630412</v>
      </c>
      <c r="L3752" s="70">
        <v>5.5077112902929288</v>
      </c>
      <c r="M3752" s="71">
        <f>IF(L3752&lt;1,1,L3752)</f>
        <v>5.5077112902929288</v>
      </c>
      <c r="N3752" s="70" t="s">
        <v>141</v>
      </c>
      <c r="O3752" s="71">
        <f>INDEX(DurClassMapping,MATCH(M3752,MappingTables!$D$4:$D$8,-1),1)</f>
        <v>2</v>
      </c>
      <c r="P3752" s="73">
        <f>IF(M3752=$A$1,1,$M3752-INDEX(MappingTables!$E$4:$E$8,MATCH(O3752,MappingTables!$B$4:$B$8,0)))</f>
        <v>0.5077112902929288</v>
      </c>
      <c r="Q3752" s="71">
        <f>IF(B3752="",0,INDEX(ModelParameters!$D$6:$K$10,MATCH($O3752,ModelParameters!$B$6:$B$10,0),MATCH($J3752,ModelParameters!$D$5:$K$5,0)))</f>
        <v>0.015</v>
      </c>
      <c r="R3752" s="71">
        <f>IF(B3752="",0,INDEX(ModelParameters!$D$13:$K$17,MATCH($O3752,ModelParameters!$B$13:$B$17,0),MATCH($J3752,ModelParameters!$D$5:$K$5,0)))</f>
        <v>0.125</v>
      </c>
      <c r="S3752" s="160">
        <f>IF(B3752="",0,MIN(IF($N3752="Other Bond TM",ModelParameters!$N$21,1)*(P3752*Q3752+R3752),1))</f>
        <v>0.13261566935439392</v>
      </c>
      <c r="T3752" s="85">
        <f>IF(B3752="",0,$S3752*$K3752)</f>
        <v>417.50221343728104</v>
      </c>
      <c r="U3752" s="85">
        <f>IF(B3752="",0,IF(OR(H3752=MappingTables!$C$34,H3752=MappingTables!$C$35),T3752,0))</f>
        <v>0</v>
      </c>
      <c r="V3752" s="85">
        <f>IF(ISNA(IF(AND(VLOOKUP(CONCATENATE($D3752,$G3752),CSRFinput!$B:$E,4,0)=0,OR(H3752=MappingTables!$C$34,H3752=MappingTables!$C$35)),1,VLOOKUP(CONCATENATE($D3752,$G3752),CSRFinput!$B:$E,4,0))),0,IF(AND(VLOOKUP(CONCATENATE($D3752,$G3752),CSRFinput!$B:$E,4,0)=0,OR(H3752=MappingTables!$C$34,H3752=MappingTables!$C$35)),1,VLOOKUP(CONCATENATE($D3752,$G3752),CSRFinput!$B:$E,4,0)))</f>
        <v>0.054776304963434752</v>
      </c>
      <c r="W3752" s="85">
        <f>IF(B3752="",0,+$T3752*$V3752)</f>
        <v>22.869228566149532</v>
      </c>
      <c r="X3752" s="85">
        <f>IF(B3752="",0,IF(OR(H3752=MappingTables!$C$34,H3752=MappingTables!$C$35),W3752,0))</f>
        <v>0</v>
      </c>
    </row>
    <row r="3753" spans="2:24" s="0" customFormat="0" ht="15">
      <c r="B3753" s="69" t="s">
        <v>2901</v>
      </c>
      <c r="C3753" s="70" t="s">
        <v>2902</v>
      </c>
      <c r="D3753" s="70" t="s">
        <v>1</v>
      </c>
      <c r="E3753" s="70" t="s">
        <v>1</v>
      </c>
      <c r="F3753" s="70"/>
      <c r="G3753" s="70" t="s">
        <v>61</v>
      </c>
      <c r="H3753" s="70" t="s">
        <v>178</v>
      </c>
      <c r="I3753" s="70" t="s">
        <v>204</v>
      </c>
      <c r="J3753" s="71">
        <f>IF(OR(I3753=0,I3753=""),"unrated",VLOOKUP(I3753,MappingTables!$B$19:$C$31,2,FALSE))</f>
        <v>6</v>
      </c>
      <c r="K3753" s="72">
        <v>177.61001293919014</v>
      </c>
      <c r="L3753" s="70">
        <v>3.8635801057193072</v>
      </c>
      <c r="M3753" s="71">
        <f>IF(L3753&lt;1,1,L3753)</f>
        <v>3.8635801057193072</v>
      </c>
      <c r="N3753" s="70" t="s">
        <v>141</v>
      </c>
      <c r="O3753" s="71">
        <f>INDEX(DurClassMapping,MATCH(M3753,MappingTables!$D$4:$D$8,-1),1)</f>
        <v>1</v>
      </c>
      <c r="P3753" s="73">
        <f>IF(M3753=$A$1,1,$M3753-INDEX(MappingTables!$E$4:$E$8,MATCH(O3753,MappingTables!$B$4:$B$8,0)))</f>
        <v>3.8635801057193072</v>
      </c>
      <c r="Q3753" s="71">
        <f>IF(B3753="",0,INDEX(ModelParameters!$D$6:$K$10,MATCH($O3753,ModelParameters!$B$6:$B$10,0),MATCH($J3753,ModelParameters!$D$5:$K$5,0)))</f>
        <v>0.075</v>
      </c>
      <c r="R3753" s="71">
        <f>IF(B3753="",0,INDEX(ModelParameters!$D$13:$K$17,MATCH($O3753,ModelParameters!$B$13:$B$17,0),MATCH($J3753,ModelParameters!$D$5:$K$5,0)))</f>
        <v>0</v>
      </c>
      <c r="S3753" s="160">
        <f>IF(B3753="",0,MIN(IF($N3753="Other Bond TM",ModelParameters!$N$21,1)*(P3753*Q3753+R3753),1))</f>
        <v>0.28976850792894804</v>
      </c>
      <c r="T3753" s="85">
        <f>IF(B3753="",0,$S3753*$K3753)</f>
        <v>51.465788442630288</v>
      </c>
      <c r="U3753" s="85">
        <f>IF(B3753="",0,IF(OR(H3753=MappingTables!$C$34,H3753=MappingTables!$C$35),T3753,0))</f>
        <v>0</v>
      </c>
      <c r="V3753" s="85">
        <f>IF(ISNA(IF(AND(VLOOKUP(CONCATENATE($D3753,$G3753),CSRFinput!$B:$E,4,0)=0,OR(H3753=MappingTables!$C$34,H3753=MappingTables!$C$35)),1,VLOOKUP(CONCATENATE($D3753,$G3753),CSRFinput!$B:$E,4,0))),0,IF(AND(VLOOKUP(CONCATENATE($D3753,$G3753),CSRFinput!$B:$E,4,0)=0,OR(H3753=MappingTables!$C$34,H3753=MappingTables!$C$35)),1,VLOOKUP(CONCATENATE($D3753,$G3753),CSRFinput!$B:$E,4,0)))</f>
        <v>0.054776304963434752</v>
      </c>
      <c r="W3753" s="85">
        <f>IF(B3753="",0,+$T3753*$V3753)</f>
        <v>2.8191057229171324</v>
      </c>
      <c r="X3753" s="85">
        <f>IF(B3753="",0,IF(OR(H3753=MappingTables!$C$34,H3753=MappingTables!$C$35),W3753,0))</f>
        <v>0</v>
      </c>
    </row>
    <row r="3754" spans="2:24" s="0" customFormat="0" ht="15">
      <c r="B3754" s="69" t="s">
        <v>2932</v>
      </c>
      <c r="C3754" s="70" t="s">
        <v>2933</v>
      </c>
      <c r="D3754" s="70" t="s">
        <v>1</v>
      </c>
      <c r="E3754" s="70" t="s">
        <v>1</v>
      </c>
      <c r="F3754" s="70"/>
      <c r="G3754" s="70" t="s">
        <v>61</v>
      </c>
      <c r="H3754" s="70" t="s">
        <v>178</v>
      </c>
      <c r="I3754" s="70" t="s">
        <v>198</v>
      </c>
      <c r="J3754" s="71" t="str">
        <f>IF(OR(I3754=0,I3754=""),"unrated",VLOOKUP(I3754,MappingTables!$B$19:$C$31,2,FALSE))</f>
        <v>unrated</v>
      </c>
      <c r="K3754" s="72">
        <v>0.39660785870485304</v>
      </c>
      <c r="L3754" s="70">
        <v>0.013699515220174178</v>
      </c>
      <c r="M3754" s="71">
        <f>IF(L3754&lt;1,1,L3754)</f>
        <v>1</v>
      </c>
      <c r="N3754" s="70" t="s">
        <v>141</v>
      </c>
      <c r="O3754" s="71">
        <f>INDEX(DurClassMapping,MATCH(M3754,MappingTables!$D$4:$D$8,-1),1)</f>
        <v>1</v>
      </c>
      <c r="P3754" s="73">
        <f>IF(M3754=$A$1,1,$M3754-INDEX(MappingTables!$E$4:$E$8,MATCH(O3754,MappingTables!$B$4:$B$8,0)))</f>
        <v>1</v>
      </c>
      <c r="Q3754" s="71">
        <f>IF(B3754="",0,INDEX(ModelParameters!$D$6:$K$10,MATCH($O3754,ModelParameters!$B$6:$B$10,0),MATCH($J3754,ModelParameters!$D$5:$K$5,0)))</f>
        <v>0.03</v>
      </c>
      <c r="R3754" s="71">
        <f>IF(B3754="",0,INDEX(ModelParameters!$D$13:$K$17,MATCH($O3754,ModelParameters!$B$13:$B$17,0),MATCH($J3754,ModelParameters!$D$5:$K$5,0)))</f>
        <v>0</v>
      </c>
      <c r="S3754" s="160">
        <f>IF(B3754="",0,MIN(IF($N3754="Other Bond TM",ModelParameters!$N$21,1)*(P3754*Q3754+R3754),1))</f>
        <v>0.03</v>
      </c>
      <c r="T3754" s="85">
        <f>IF(B3754="",0,$S3754*$K3754)</f>
        <v>0.011898235761145592</v>
      </c>
      <c r="U3754" s="85">
        <f>IF(B3754="",0,IF(OR(H3754=MappingTables!$C$34,H3754=MappingTables!$C$35),T3754,0))</f>
        <v>0</v>
      </c>
      <c r="V3754" s="85">
        <f>IF(ISNA(IF(AND(VLOOKUP(CONCATENATE($D3754,$G3754),CSRFinput!$B:$E,4,0)=0,OR(H3754=MappingTables!$C$34,H3754=MappingTables!$C$35)),1,VLOOKUP(CONCATENATE($D3754,$G3754),CSRFinput!$B:$E,4,0))),0,IF(AND(VLOOKUP(CONCATENATE($D3754,$G3754),CSRFinput!$B:$E,4,0)=0,OR(H3754=MappingTables!$C$34,H3754=MappingTables!$C$35)),1,VLOOKUP(CONCATENATE($D3754,$G3754),CSRFinput!$B:$E,4,0)))</f>
        <v>0.054776304963434752</v>
      </c>
      <c r="W3754" s="85">
        <f>IF(B3754="",0,+$T3754*$V3754)</f>
        <v>0.00065174139057935616</v>
      </c>
      <c r="X3754" s="85">
        <f>IF(B3754="",0,IF(OR(H3754=MappingTables!$C$34,H3754=MappingTables!$C$35),W3754,0))</f>
        <v>0</v>
      </c>
    </row>
    <row r="3755" spans="2:24" s="0" customFormat="0" ht="15">
      <c r="B3755" s="69">
        <v>22448713</v>
      </c>
      <c r="C3755" s="70" t="s">
        <v>2427</v>
      </c>
      <c r="D3755" s="70" t="s">
        <v>1</v>
      </c>
      <c r="E3755" s="70" t="s">
        <v>1</v>
      </c>
      <c r="F3755" s="70"/>
      <c r="G3755" s="70" t="s">
        <v>61</v>
      </c>
      <c r="H3755" s="70" t="s">
        <v>178</v>
      </c>
      <c r="I3755" s="70" t="s">
        <v>179</v>
      </c>
      <c r="J3755" s="71">
        <f>IF(OR(I3755=0,I3755=""),"unrated",VLOOKUP(I3755,MappingTables!$B$19:$C$31,2,FALSE))</f>
        <v>4</v>
      </c>
      <c r="K3755" s="72">
        <v>8716.1082948386368</v>
      </c>
      <c r="L3755" s="70">
        <v>2.6275801536771288</v>
      </c>
      <c r="M3755" s="71">
        <f>IF(L3755&lt;1,1,L3755)</f>
        <v>2.6275801536771288</v>
      </c>
      <c r="N3755" s="70" t="s">
        <v>141</v>
      </c>
      <c r="O3755" s="71">
        <f>INDEX(DurClassMapping,MATCH(M3755,MappingTables!$D$4:$D$8,-1),1)</f>
        <v>1</v>
      </c>
      <c r="P3755" s="73">
        <f>IF(M3755=$A$1,1,$M3755-INDEX(MappingTables!$E$4:$E$8,MATCH(O3755,MappingTables!$B$4:$B$8,0)))</f>
        <v>2.6275801536771288</v>
      </c>
      <c r="Q3755" s="71">
        <f>IF(B3755="",0,INDEX(ModelParameters!$D$6:$K$10,MATCH($O3755,ModelParameters!$B$6:$B$10,0),MATCH($J3755,ModelParameters!$D$5:$K$5,0)))</f>
        <v>0.045</v>
      </c>
      <c r="R3755" s="71">
        <f>IF(B3755="",0,INDEX(ModelParameters!$D$13:$K$17,MATCH($O3755,ModelParameters!$B$13:$B$17,0),MATCH($J3755,ModelParameters!$D$5:$K$5,0)))</f>
        <v>0</v>
      </c>
      <c r="S3755" s="160">
        <f>IF(B3755="",0,MIN(IF($N3755="Other Bond TM",ModelParameters!$N$21,1)*(P3755*Q3755+R3755),1))</f>
        <v>0.1182411069154708</v>
      </c>
      <c r="T3755" s="85">
        <f>IF(B3755="",0,$S3755*$K3755)</f>
        <v>1030.6022927768372</v>
      </c>
      <c r="U3755" s="85">
        <f>IF(B3755="",0,IF(OR(H3755=MappingTables!$C$34,H3755=MappingTables!$C$35),T3755,0))</f>
        <v>0</v>
      </c>
      <c r="V3755" s="85">
        <f>IF(ISNA(IF(AND(VLOOKUP(CONCATENATE($D3755,$G3755),CSRFinput!$B:$E,4,0)=0,OR(H3755=MappingTables!$C$34,H3755=MappingTables!$C$35)),1,VLOOKUP(CONCATENATE($D3755,$G3755),CSRFinput!$B:$E,4,0))),0,IF(AND(VLOOKUP(CONCATENATE($D3755,$G3755),CSRFinput!$B:$E,4,0)=0,OR(H3755=MappingTables!$C$34,H3755=MappingTables!$C$35)),1,VLOOKUP(CONCATENATE($D3755,$G3755),CSRFinput!$B:$E,4,0)))</f>
        <v>0.054776304963434752</v>
      </c>
      <c r="W3755" s="85">
        <f>IF(B3755="",0,+$T3755*$V3755)</f>
        <v>56.452585485159104</v>
      </c>
      <c r="X3755" s="85">
        <f>IF(B3755="",0,IF(OR(H3755=MappingTables!$C$34,H3755=MappingTables!$C$35),W3755,0))</f>
        <v>0</v>
      </c>
    </row>
    <row r="3756" spans="2:24" s="0" customFormat="0" ht="15">
      <c r="B3756" s="69">
        <v>12187977</v>
      </c>
      <c r="C3756" s="70" t="s">
        <v>2934</v>
      </c>
      <c r="D3756" s="70" t="s">
        <v>1</v>
      </c>
      <c r="E3756" s="70" t="s">
        <v>1</v>
      </c>
      <c r="F3756" s="70"/>
      <c r="G3756" s="70" t="s">
        <v>61</v>
      </c>
      <c r="H3756" s="70" t="s">
        <v>178</v>
      </c>
      <c r="I3756" s="70" t="s">
        <v>181</v>
      </c>
      <c r="J3756" s="71">
        <f>IF(OR(I3756=0,I3756=""),"unrated",VLOOKUP(I3756,MappingTables!$B$19:$C$31,2,FALSE))</f>
        <v>3</v>
      </c>
      <c r="K3756" s="72">
        <v>543.81512365137744</v>
      </c>
      <c r="L3756" s="70">
        <v>0.43013344862392696</v>
      </c>
      <c r="M3756" s="71">
        <f>IF(L3756&lt;1,1,L3756)</f>
        <v>1</v>
      </c>
      <c r="N3756" s="70" t="s">
        <v>141</v>
      </c>
      <c r="O3756" s="71">
        <f>INDEX(DurClassMapping,MATCH(M3756,MappingTables!$D$4:$D$8,-1),1)</f>
        <v>1</v>
      </c>
      <c r="P3756" s="73">
        <f>IF(M3756=$A$1,1,$M3756-INDEX(MappingTables!$E$4:$E$8,MATCH(O3756,MappingTables!$B$4:$B$8,0)))</f>
        <v>1</v>
      </c>
      <c r="Q3756" s="71">
        <f>IF(B3756="",0,INDEX(ModelParameters!$D$6:$K$10,MATCH($O3756,ModelParameters!$B$6:$B$10,0),MATCH($J3756,ModelParameters!$D$5:$K$5,0)))</f>
        <v>0.025</v>
      </c>
      <c r="R3756" s="71">
        <f>IF(B3756="",0,INDEX(ModelParameters!$D$13:$K$17,MATCH($O3756,ModelParameters!$B$13:$B$17,0),MATCH($J3756,ModelParameters!$D$5:$K$5,0)))</f>
        <v>0</v>
      </c>
      <c r="S3756" s="160">
        <f>IF(B3756="",0,MIN(IF($N3756="Other Bond TM",ModelParameters!$N$21,1)*(P3756*Q3756+R3756),1))</f>
        <v>0.025</v>
      </c>
      <c r="T3756" s="85">
        <f>IF(B3756="",0,$S3756*$K3756)</f>
        <v>13.595378091284438</v>
      </c>
      <c r="U3756" s="85">
        <f>IF(B3756="",0,IF(OR(H3756=MappingTables!$C$34,H3756=MappingTables!$C$35),T3756,0))</f>
        <v>0</v>
      </c>
      <c r="V3756" s="85">
        <f>IF(ISNA(IF(AND(VLOOKUP(CONCATENATE($D3756,$G3756),CSRFinput!$B:$E,4,0)=0,OR(H3756=MappingTables!$C$34,H3756=MappingTables!$C$35)),1,VLOOKUP(CONCATENATE($D3756,$G3756),CSRFinput!$B:$E,4,0))),0,IF(AND(VLOOKUP(CONCATENATE($D3756,$G3756),CSRFinput!$B:$E,4,0)=0,OR(H3756=MappingTables!$C$34,H3756=MappingTables!$C$35)),1,VLOOKUP(CONCATENATE($D3756,$G3756),CSRFinput!$B:$E,4,0)))</f>
        <v>0.054776304963434752</v>
      </c>
      <c r="W3756" s="85">
        <f>IF(B3756="",0,+$T3756*$V3756)</f>
        <v>0.74470457642139584</v>
      </c>
      <c r="X3756" s="85">
        <f>IF(B3756="",0,IF(OR(H3756=MappingTables!$C$34,H3756=MappingTables!$C$35),W3756,0))</f>
        <v>0</v>
      </c>
    </row>
    <row r="3757" spans="2:24" s="0" customFormat="0" ht="15">
      <c r="B3757" s="69">
        <v>6648242</v>
      </c>
      <c r="C3757" s="70" t="s">
        <v>2311</v>
      </c>
      <c r="D3757" s="70" t="s">
        <v>1</v>
      </c>
      <c r="E3757" s="70" t="s">
        <v>1</v>
      </c>
      <c r="F3757" s="70"/>
      <c r="G3757" s="70" t="s">
        <v>61</v>
      </c>
      <c r="H3757" s="70" t="s">
        <v>178</v>
      </c>
      <c r="I3757" s="70" t="s">
        <v>181</v>
      </c>
      <c r="J3757" s="71">
        <f>IF(OR(I3757=0,I3757=""),"unrated",VLOOKUP(I3757,MappingTables!$B$19:$C$31,2,FALSE))</f>
        <v>3</v>
      </c>
      <c r="K3757" s="72">
        <v>1620.0867042114076</v>
      </c>
      <c r="L3757" s="70">
        <v>2.0377692952445256</v>
      </c>
      <c r="M3757" s="71">
        <f>IF(L3757&lt;1,1,L3757)</f>
        <v>2.0377692952445256</v>
      </c>
      <c r="N3757" s="70" t="s">
        <v>141</v>
      </c>
      <c r="O3757" s="71">
        <f>INDEX(DurClassMapping,MATCH(M3757,MappingTables!$D$4:$D$8,-1),1)</f>
        <v>1</v>
      </c>
      <c r="P3757" s="73">
        <f>IF(M3757=$A$1,1,$M3757-INDEX(MappingTables!$E$4:$E$8,MATCH(O3757,MappingTables!$B$4:$B$8,0)))</f>
        <v>2.0377692952445256</v>
      </c>
      <c r="Q3757" s="71">
        <f>IF(B3757="",0,INDEX(ModelParameters!$D$6:$K$10,MATCH($O3757,ModelParameters!$B$6:$B$10,0),MATCH($J3757,ModelParameters!$D$5:$K$5,0)))</f>
        <v>0.025</v>
      </c>
      <c r="R3757" s="71">
        <f>IF(B3757="",0,INDEX(ModelParameters!$D$13:$K$17,MATCH($O3757,ModelParameters!$B$13:$B$17,0),MATCH($J3757,ModelParameters!$D$5:$K$5,0)))</f>
        <v>0</v>
      </c>
      <c r="S3757" s="160">
        <f>IF(B3757="",0,MIN(IF($N3757="Other Bond TM",ModelParameters!$N$21,1)*(P3757*Q3757+R3757),1))</f>
        <v>0.050944232381113144</v>
      </c>
      <c r="T3757" s="85">
        <f>IF(B3757="",0,$S3757*$K3757)</f>
        <v>82.534073536897664</v>
      </c>
      <c r="U3757" s="85">
        <f>IF(B3757="",0,IF(OR(H3757=MappingTables!$C$34,H3757=MappingTables!$C$35),T3757,0))</f>
        <v>0</v>
      </c>
      <c r="V3757" s="85">
        <f>IF(ISNA(IF(AND(VLOOKUP(CONCATENATE($D3757,$G3757),CSRFinput!$B:$E,4,0)=0,OR(H3757=MappingTables!$C$34,H3757=MappingTables!$C$35)),1,VLOOKUP(CONCATENATE($D3757,$G3757),CSRFinput!$B:$E,4,0))),0,IF(AND(VLOOKUP(CONCATENATE($D3757,$G3757),CSRFinput!$B:$E,4,0)=0,OR(H3757=MappingTables!$C$34,H3757=MappingTables!$C$35)),1,VLOOKUP(CONCATENATE($D3757,$G3757),CSRFinput!$B:$E,4,0)))</f>
        <v>0.054776304963434752</v>
      </c>
      <c r="W3757" s="85">
        <f>IF(B3757="",0,+$T3757*$V3757)</f>
        <v>4.5209115819316568</v>
      </c>
      <c r="X3757" s="85">
        <f>IF(B3757="",0,IF(OR(H3757=MappingTables!$C$34,H3757=MappingTables!$C$35),W3757,0))</f>
        <v>0</v>
      </c>
    </row>
    <row r="3758" spans="2:24" s="0" customFormat="0" ht="15">
      <c r="B3758" s="69">
        <v>14059598</v>
      </c>
      <c r="C3758" s="70" t="s">
        <v>2935</v>
      </c>
      <c r="D3758" s="70" t="s">
        <v>1</v>
      </c>
      <c r="E3758" s="70" t="s">
        <v>1</v>
      </c>
      <c r="F3758" s="70"/>
      <c r="G3758" s="70" t="s">
        <v>61</v>
      </c>
      <c r="H3758" s="70" t="s">
        <v>178</v>
      </c>
      <c r="I3758" s="70" t="s">
        <v>188</v>
      </c>
      <c r="J3758" s="71">
        <f>IF(OR(I3758=0,I3758=""),"unrated",VLOOKUP(I3758,MappingTables!$B$19:$C$31,2,FALSE))</f>
        <v>2</v>
      </c>
      <c r="K3758" s="72">
        <v>2367.1348984487708</v>
      </c>
      <c r="L3758" s="70">
        <v>1.3920964355347818</v>
      </c>
      <c r="M3758" s="71">
        <f>IF(L3758&lt;1,1,L3758)</f>
        <v>1.3920964355347818</v>
      </c>
      <c r="N3758" s="70" t="s">
        <v>141</v>
      </c>
      <c r="O3758" s="71">
        <f>INDEX(DurClassMapping,MATCH(M3758,MappingTables!$D$4:$D$8,-1),1)</f>
        <v>1</v>
      </c>
      <c r="P3758" s="73">
        <f>IF(M3758=$A$1,1,$M3758-INDEX(MappingTables!$E$4:$E$8,MATCH(O3758,MappingTables!$B$4:$B$8,0)))</f>
        <v>1.3920964355347818</v>
      </c>
      <c r="Q3758" s="71">
        <f>IF(B3758="",0,INDEX(ModelParameters!$D$6:$K$10,MATCH($O3758,ModelParameters!$B$6:$B$10,0),MATCH($J3758,ModelParameters!$D$5:$K$5,0)))</f>
        <v>0.013999999999999998</v>
      </c>
      <c r="R3758" s="71">
        <f>IF(B3758="",0,INDEX(ModelParameters!$D$13:$K$17,MATCH($O3758,ModelParameters!$B$13:$B$17,0),MATCH($J3758,ModelParameters!$D$5:$K$5,0)))</f>
        <v>0</v>
      </c>
      <c r="S3758" s="160">
        <f>IF(B3758="",0,MIN(IF($N3758="Other Bond TM",ModelParameters!$N$21,1)*(P3758*Q3758+R3758),1))</f>
        <v>0.019489350097486944</v>
      </c>
      <c r="T3758" s="85">
        <f>IF(B3758="",0,$S3758*$K3758)</f>
        <v>46.133920763847296</v>
      </c>
      <c r="U3758" s="85">
        <f>IF(B3758="",0,IF(OR(H3758=MappingTables!$C$34,H3758=MappingTables!$C$35),T3758,0))</f>
        <v>0</v>
      </c>
      <c r="V3758" s="85">
        <f>IF(ISNA(IF(AND(VLOOKUP(CONCATENATE($D3758,$G3758),CSRFinput!$B:$E,4,0)=0,OR(H3758=MappingTables!$C$34,H3758=MappingTables!$C$35)),1,VLOOKUP(CONCATENATE($D3758,$G3758),CSRFinput!$B:$E,4,0))),0,IF(AND(VLOOKUP(CONCATENATE($D3758,$G3758),CSRFinput!$B:$E,4,0)=0,OR(H3758=MappingTables!$C$34,H3758=MappingTables!$C$35)),1,VLOOKUP(CONCATENATE($D3758,$G3758),CSRFinput!$B:$E,4,0)))</f>
        <v>0.054776304963434752</v>
      </c>
      <c r="W3758" s="85">
        <f>IF(B3758="",0,+$T3758*$V3758)</f>
        <v>2.5270457129194344</v>
      </c>
      <c r="X3758" s="85">
        <f>IF(B3758="",0,IF(OR(H3758=MappingTables!$C$34,H3758=MappingTables!$C$35),W3758,0))</f>
        <v>0</v>
      </c>
    </row>
    <row r="3759" spans="2:24" s="0" customFormat="0" ht="15">
      <c r="B3759" s="69">
        <v>9399325</v>
      </c>
      <c r="C3759" s="70" t="s">
        <v>2513</v>
      </c>
      <c r="D3759" s="70" t="s">
        <v>1</v>
      </c>
      <c r="E3759" s="70" t="s">
        <v>1</v>
      </c>
      <c r="F3759" s="70"/>
      <c r="G3759" s="70" t="s">
        <v>61</v>
      </c>
      <c r="H3759" s="70" t="s">
        <v>178</v>
      </c>
      <c r="I3759" s="70" t="s">
        <v>181</v>
      </c>
      <c r="J3759" s="71">
        <f>IF(OR(I3759=0,I3759=""),"unrated",VLOOKUP(I3759,MappingTables!$B$19:$C$31,2,FALSE))</f>
        <v>3</v>
      </c>
      <c r="K3759" s="72">
        <v>0.11685823683380814</v>
      </c>
      <c r="L3759" s="70">
        <v>0.80000827790437808</v>
      </c>
      <c r="M3759" s="71">
        <f>IF(L3759&lt;1,1,L3759)</f>
        <v>1</v>
      </c>
      <c r="N3759" s="70" t="s">
        <v>141</v>
      </c>
      <c r="O3759" s="71">
        <f>INDEX(DurClassMapping,MATCH(M3759,MappingTables!$D$4:$D$8,-1),1)</f>
        <v>1</v>
      </c>
      <c r="P3759" s="73">
        <f>IF(M3759=$A$1,1,$M3759-INDEX(MappingTables!$E$4:$E$8,MATCH(O3759,MappingTables!$B$4:$B$8,0)))</f>
        <v>1</v>
      </c>
      <c r="Q3759" s="71">
        <f>IF(B3759="",0,INDEX(ModelParameters!$D$6:$K$10,MATCH($O3759,ModelParameters!$B$6:$B$10,0),MATCH($J3759,ModelParameters!$D$5:$K$5,0)))</f>
        <v>0.025</v>
      </c>
      <c r="R3759" s="71">
        <f>IF(B3759="",0,INDEX(ModelParameters!$D$13:$K$17,MATCH($O3759,ModelParameters!$B$13:$B$17,0),MATCH($J3759,ModelParameters!$D$5:$K$5,0)))</f>
        <v>0</v>
      </c>
      <c r="S3759" s="160">
        <f>IF(B3759="",0,MIN(IF($N3759="Other Bond TM",ModelParameters!$N$21,1)*(P3759*Q3759+R3759),1))</f>
        <v>0.025</v>
      </c>
      <c r="T3759" s="85">
        <f>IF(B3759="",0,$S3759*$K3759)</f>
        <v>0.0029214559208452036</v>
      </c>
      <c r="U3759" s="85">
        <f>IF(B3759="",0,IF(OR(H3759=MappingTables!$C$34,H3759=MappingTables!$C$35),T3759,0))</f>
        <v>0</v>
      </c>
      <c r="V3759" s="85">
        <f>IF(ISNA(IF(AND(VLOOKUP(CONCATENATE($D3759,$G3759),CSRFinput!$B:$E,4,0)=0,OR(H3759=MappingTables!$C$34,H3759=MappingTables!$C$35)),1,VLOOKUP(CONCATENATE($D3759,$G3759),CSRFinput!$B:$E,4,0))),0,IF(AND(VLOOKUP(CONCATENATE($D3759,$G3759),CSRFinput!$B:$E,4,0)=0,OR(H3759=MappingTables!$C$34,H3759=MappingTables!$C$35)),1,VLOOKUP(CONCATENATE($D3759,$G3759),CSRFinput!$B:$E,4,0)))</f>
        <v>0.054776304963434752</v>
      </c>
      <c r="W3759" s="85">
        <f>IF(B3759="",0,+$T3759*$V3759)</f>
        <v>0.000160026560457449</v>
      </c>
      <c r="X3759" s="85">
        <f>IF(B3759="",0,IF(OR(H3759=MappingTables!$C$34,H3759=MappingTables!$C$35),W3759,0))</f>
        <v>0</v>
      </c>
    </row>
    <row r="3760" spans="2:24" s="0" customFormat="0" ht="15">
      <c r="B3760" s="69">
        <v>12256073</v>
      </c>
      <c r="C3760" s="70" t="s">
        <v>2706</v>
      </c>
      <c r="D3760" s="70" t="s">
        <v>1</v>
      </c>
      <c r="E3760" s="70" t="s">
        <v>1</v>
      </c>
      <c r="F3760" s="70"/>
      <c r="G3760" s="70" t="s">
        <v>61</v>
      </c>
      <c r="H3760" s="70" t="s">
        <v>178</v>
      </c>
      <c r="I3760" s="70" t="s">
        <v>181</v>
      </c>
      <c r="J3760" s="71">
        <f>IF(OR(I3760=0,I3760=""),"unrated",VLOOKUP(I3760,MappingTables!$B$19:$C$31,2,FALSE))</f>
        <v>3</v>
      </c>
      <c r="K3760" s="72">
        <v>5.088420922785868</v>
      </c>
      <c r="L3760" s="70">
        <v>0.54996296476713672</v>
      </c>
      <c r="M3760" s="71">
        <f>IF(L3760&lt;1,1,L3760)</f>
        <v>1</v>
      </c>
      <c r="N3760" s="70" t="s">
        <v>141</v>
      </c>
      <c r="O3760" s="71">
        <f>INDEX(DurClassMapping,MATCH(M3760,MappingTables!$D$4:$D$8,-1),1)</f>
        <v>1</v>
      </c>
      <c r="P3760" s="73">
        <f>IF(M3760=$A$1,1,$M3760-INDEX(MappingTables!$E$4:$E$8,MATCH(O3760,MappingTables!$B$4:$B$8,0)))</f>
        <v>1</v>
      </c>
      <c r="Q3760" s="71">
        <f>IF(B3760="",0,INDEX(ModelParameters!$D$6:$K$10,MATCH($O3760,ModelParameters!$B$6:$B$10,0),MATCH($J3760,ModelParameters!$D$5:$K$5,0)))</f>
        <v>0.025</v>
      </c>
      <c r="R3760" s="71">
        <f>IF(B3760="",0,INDEX(ModelParameters!$D$13:$K$17,MATCH($O3760,ModelParameters!$B$13:$B$17,0),MATCH($J3760,ModelParameters!$D$5:$K$5,0)))</f>
        <v>0</v>
      </c>
      <c r="S3760" s="160">
        <f>IF(B3760="",0,MIN(IF($N3760="Other Bond TM",ModelParameters!$N$21,1)*(P3760*Q3760+R3760),1))</f>
        <v>0.025</v>
      </c>
      <c r="T3760" s="85">
        <f>IF(B3760="",0,$S3760*$K3760)</f>
        <v>0.12721052306964672</v>
      </c>
      <c r="U3760" s="85">
        <f>IF(B3760="",0,IF(OR(H3760=MappingTables!$C$34,H3760=MappingTables!$C$35),T3760,0))</f>
        <v>0</v>
      </c>
      <c r="V3760" s="85">
        <f>IF(ISNA(IF(AND(VLOOKUP(CONCATENATE($D3760,$G3760),CSRFinput!$B:$E,4,0)=0,OR(H3760=MappingTables!$C$34,H3760=MappingTables!$C$35)),1,VLOOKUP(CONCATENATE($D3760,$G3760),CSRFinput!$B:$E,4,0))),0,IF(AND(VLOOKUP(CONCATENATE($D3760,$G3760),CSRFinput!$B:$E,4,0)=0,OR(H3760=MappingTables!$C$34,H3760=MappingTables!$C$35)),1,VLOOKUP(CONCATENATE($D3760,$G3760),CSRFinput!$B:$E,4,0)))</f>
        <v>0.054776304963434752</v>
      </c>
      <c r="W3760" s="85">
        <f>IF(B3760="",0,+$T3760*$V3760)</f>
        <v>0.0069681224062210216</v>
      </c>
      <c r="X3760" s="85">
        <f>IF(B3760="",0,IF(OR(H3760=MappingTables!$C$34,H3760=MappingTables!$C$35),W3760,0))</f>
        <v>0</v>
      </c>
    </row>
    <row r="3761" spans="2:24" s="0" customFormat="0" ht="15">
      <c r="B3761" s="69" t="s">
        <v>990</v>
      </c>
      <c r="C3761" s="70" t="s">
        <v>991</v>
      </c>
      <c r="D3761" s="70" t="s">
        <v>1</v>
      </c>
      <c r="E3761" s="70" t="s">
        <v>1</v>
      </c>
      <c r="F3761" s="70"/>
      <c r="G3761" s="70" t="s">
        <v>61</v>
      </c>
      <c r="H3761" s="70" t="s">
        <v>178</v>
      </c>
      <c r="I3761" s="70" t="s">
        <v>181</v>
      </c>
      <c r="J3761" s="71">
        <f>IF(OR(I3761=0,I3761=""),"unrated",VLOOKUP(I3761,MappingTables!$B$19:$C$31,2,FALSE))</f>
        <v>3</v>
      </c>
      <c r="K3761" s="72">
        <v>7.2704019278581584</v>
      </c>
      <c r="L3761" s="70">
        <v>0.68767852907021768</v>
      </c>
      <c r="M3761" s="71">
        <f>IF(L3761&lt;1,1,L3761)</f>
        <v>1</v>
      </c>
      <c r="N3761" s="70" t="s">
        <v>141</v>
      </c>
      <c r="O3761" s="71">
        <f>INDEX(DurClassMapping,MATCH(M3761,MappingTables!$D$4:$D$8,-1),1)</f>
        <v>1</v>
      </c>
      <c r="P3761" s="73">
        <f>IF(M3761=$A$1,1,$M3761-INDEX(MappingTables!$E$4:$E$8,MATCH(O3761,MappingTables!$B$4:$B$8,0)))</f>
        <v>1</v>
      </c>
      <c r="Q3761" s="71">
        <f>IF(B3761="",0,INDEX(ModelParameters!$D$6:$K$10,MATCH($O3761,ModelParameters!$B$6:$B$10,0),MATCH($J3761,ModelParameters!$D$5:$K$5,0)))</f>
        <v>0.025</v>
      </c>
      <c r="R3761" s="71">
        <f>IF(B3761="",0,INDEX(ModelParameters!$D$13:$K$17,MATCH($O3761,ModelParameters!$B$13:$B$17,0),MATCH($J3761,ModelParameters!$D$5:$K$5,0)))</f>
        <v>0</v>
      </c>
      <c r="S3761" s="160">
        <f>IF(B3761="",0,MIN(IF($N3761="Other Bond TM",ModelParameters!$N$21,1)*(P3761*Q3761+R3761),1))</f>
        <v>0.025</v>
      </c>
      <c r="T3761" s="85">
        <f>IF(B3761="",0,$S3761*$K3761)</f>
        <v>0.18176004819645396</v>
      </c>
      <c r="U3761" s="85">
        <f>IF(B3761="",0,IF(OR(H3761=MappingTables!$C$34,H3761=MappingTables!$C$35),T3761,0))</f>
        <v>0</v>
      </c>
      <c r="V3761" s="85">
        <f>IF(ISNA(IF(AND(VLOOKUP(CONCATENATE($D3761,$G3761),CSRFinput!$B:$E,4,0)=0,OR(H3761=MappingTables!$C$34,H3761=MappingTables!$C$35)),1,VLOOKUP(CONCATENATE($D3761,$G3761),CSRFinput!$B:$E,4,0))),0,IF(AND(VLOOKUP(CONCATENATE($D3761,$G3761),CSRFinput!$B:$E,4,0)=0,OR(H3761=MappingTables!$C$34,H3761=MappingTables!$C$35)),1,VLOOKUP(CONCATENATE($D3761,$G3761),CSRFinput!$B:$E,4,0)))</f>
        <v>0.054776304963434752</v>
      </c>
      <c r="W3761" s="85">
        <f>IF(B3761="",0,+$T3761*$V3761)</f>
        <v>0.0099561438301775616</v>
      </c>
      <c r="X3761" s="85">
        <f>IF(B3761="",0,IF(OR(H3761=MappingTables!$C$34,H3761=MappingTables!$C$35),W3761,0))</f>
        <v>0</v>
      </c>
    </row>
    <row r="3762" spans="2:24" s="0" customFormat="0" ht="15">
      <c r="B3762" s="69">
        <v>17985727</v>
      </c>
      <c r="C3762" s="70" t="s">
        <v>2878</v>
      </c>
      <c r="D3762" s="70" t="s">
        <v>1</v>
      </c>
      <c r="E3762" s="70" t="s">
        <v>1</v>
      </c>
      <c r="F3762" s="70"/>
      <c r="G3762" s="70" t="s">
        <v>61</v>
      </c>
      <c r="H3762" s="70" t="s">
        <v>178</v>
      </c>
      <c r="I3762" s="70" t="s">
        <v>181</v>
      </c>
      <c r="J3762" s="71">
        <f>IF(OR(I3762=0,I3762=""),"unrated",VLOOKUP(I3762,MappingTables!$B$19:$C$31,2,FALSE))</f>
        <v>3</v>
      </c>
      <c r="K3762" s="72">
        <v>461.87170446654288</v>
      </c>
      <c r="L3762" s="70">
        <v>3.7604092034336808</v>
      </c>
      <c r="M3762" s="71">
        <f>IF(L3762&lt;1,1,L3762)</f>
        <v>3.7604092034336808</v>
      </c>
      <c r="N3762" s="70" t="s">
        <v>141</v>
      </c>
      <c r="O3762" s="71">
        <f>INDEX(DurClassMapping,MATCH(M3762,MappingTables!$D$4:$D$8,-1),1)</f>
        <v>1</v>
      </c>
      <c r="P3762" s="73">
        <f>IF(M3762=$A$1,1,$M3762-INDEX(MappingTables!$E$4:$E$8,MATCH(O3762,MappingTables!$B$4:$B$8,0)))</f>
        <v>3.7604092034336808</v>
      </c>
      <c r="Q3762" s="71">
        <f>IF(B3762="",0,INDEX(ModelParameters!$D$6:$K$10,MATCH($O3762,ModelParameters!$B$6:$B$10,0),MATCH($J3762,ModelParameters!$D$5:$K$5,0)))</f>
        <v>0.025</v>
      </c>
      <c r="R3762" s="71">
        <f>IF(B3762="",0,INDEX(ModelParameters!$D$13:$K$17,MATCH($O3762,ModelParameters!$B$13:$B$17,0),MATCH($J3762,ModelParameters!$D$5:$K$5,0)))</f>
        <v>0</v>
      </c>
      <c r="S3762" s="160">
        <f>IF(B3762="",0,MIN(IF($N3762="Other Bond TM",ModelParameters!$N$21,1)*(P3762*Q3762+R3762),1))</f>
        <v>0.094010230085842032</v>
      </c>
      <c r="T3762" s="85">
        <f>IF(B3762="",0,$S3762*$K3762)</f>
        <v>43.420665207039728</v>
      </c>
      <c r="U3762" s="85">
        <f>IF(B3762="",0,IF(OR(H3762=MappingTables!$C$34,H3762=MappingTables!$C$35),T3762,0))</f>
        <v>0</v>
      </c>
      <c r="V3762" s="85">
        <f>IF(ISNA(IF(AND(VLOOKUP(CONCATENATE($D3762,$G3762),CSRFinput!$B:$E,4,0)=0,OR(H3762=MappingTables!$C$34,H3762=MappingTables!$C$35)),1,VLOOKUP(CONCATENATE($D3762,$G3762),CSRFinput!$B:$E,4,0))),0,IF(AND(VLOOKUP(CONCATENATE($D3762,$G3762),CSRFinput!$B:$E,4,0)=0,OR(H3762=MappingTables!$C$34,H3762=MappingTables!$C$35)),1,VLOOKUP(CONCATENATE($D3762,$G3762),CSRFinput!$B:$E,4,0)))</f>
        <v>0.054776304963434752</v>
      </c>
      <c r="W3762" s="85">
        <f>IF(B3762="",0,+$T3762*$V3762)</f>
        <v>2.3784235990960088</v>
      </c>
      <c r="X3762" s="85">
        <f>IF(B3762="",0,IF(OR(H3762=MappingTables!$C$34,H3762=MappingTables!$C$35),W3762,0))</f>
        <v>0</v>
      </c>
    </row>
    <row r="3763" spans="2:24" s="0" customFormat="0" ht="15">
      <c r="B3763" s="69">
        <v>24359615</v>
      </c>
      <c r="C3763" s="70" t="s">
        <v>1983</v>
      </c>
      <c r="D3763" s="70" t="s">
        <v>1</v>
      </c>
      <c r="E3763" s="70" t="s">
        <v>1</v>
      </c>
      <c r="F3763" s="70"/>
      <c r="G3763" s="70" t="s">
        <v>61</v>
      </c>
      <c r="H3763" s="70" t="s">
        <v>178</v>
      </c>
      <c r="I3763" s="70" t="s">
        <v>179</v>
      </c>
      <c r="J3763" s="71">
        <f>IF(OR(I3763=0,I3763=""),"unrated",VLOOKUP(I3763,MappingTables!$B$19:$C$31,2,FALSE))</f>
        <v>4</v>
      </c>
      <c r="K3763" s="72">
        <v>9773.4645653605936</v>
      </c>
      <c r="L3763" s="70">
        <v>2.207995321309344</v>
      </c>
      <c r="M3763" s="71">
        <f>IF(L3763&lt;1,1,L3763)</f>
        <v>2.207995321309344</v>
      </c>
      <c r="N3763" s="70" t="s">
        <v>141</v>
      </c>
      <c r="O3763" s="71">
        <f>INDEX(DurClassMapping,MATCH(M3763,MappingTables!$D$4:$D$8,-1),1)</f>
        <v>1</v>
      </c>
      <c r="P3763" s="73">
        <f>IF(M3763=$A$1,1,$M3763-INDEX(MappingTables!$E$4:$E$8,MATCH(O3763,MappingTables!$B$4:$B$8,0)))</f>
        <v>2.207995321309344</v>
      </c>
      <c r="Q3763" s="71">
        <f>IF(B3763="",0,INDEX(ModelParameters!$D$6:$K$10,MATCH($O3763,ModelParameters!$B$6:$B$10,0),MATCH($J3763,ModelParameters!$D$5:$K$5,0)))</f>
        <v>0.045</v>
      </c>
      <c r="R3763" s="71">
        <f>IF(B3763="",0,INDEX(ModelParameters!$D$13:$K$17,MATCH($O3763,ModelParameters!$B$13:$B$17,0),MATCH($J3763,ModelParameters!$D$5:$K$5,0)))</f>
        <v>0</v>
      </c>
      <c r="S3763" s="160">
        <f>IF(B3763="",0,MIN(IF($N3763="Other Bond TM",ModelParameters!$N$21,1)*(P3763*Q3763+R3763),1))</f>
        <v>0.09935978945892048</v>
      </c>
      <c r="T3763" s="85">
        <f>IF(B3763="",0,$S3763*$K3763)</f>
        <v>971.08938149844816</v>
      </c>
      <c r="U3763" s="85">
        <f>IF(B3763="",0,IF(OR(H3763=MappingTables!$C$34,H3763=MappingTables!$C$35),T3763,0))</f>
        <v>0</v>
      </c>
      <c r="V3763" s="85">
        <f>IF(ISNA(IF(AND(VLOOKUP(CONCATENATE($D3763,$G3763),CSRFinput!$B:$E,4,0)=0,OR(H3763=MappingTables!$C$34,H3763=MappingTables!$C$35)),1,VLOOKUP(CONCATENATE($D3763,$G3763),CSRFinput!$B:$E,4,0))),0,IF(AND(VLOOKUP(CONCATENATE($D3763,$G3763),CSRFinput!$B:$E,4,0)=0,OR(H3763=MappingTables!$C$34,H3763=MappingTables!$C$35)),1,VLOOKUP(CONCATENATE($D3763,$G3763),CSRFinput!$B:$E,4,0)))</f>
        <v>0.054776304963434752</v>
      </c>
      <c r="W3763" s="85">
        <f>IF(B3763="",0,+$T3763*$V3763)</f>
        <v>53.192688107712232</v>
      </c>
      <c r="X3763" s="85">
        <f>IF(B3763="",0,IF(OR(H3763=MappingTables!$C$34,H3763=MappingTables!$C$35),W3763,0))</f>
        <v>0</v>
      </c>
    </row>
    <row r="3764" spans="2:24" s="0" customFormat="0" ht="15">
      <c r="B3764" s="69">
        <v>21054753</v>
      </c>
      <c r="C3764" s="70" t="s">
        <v>2936</v>
      </c>
      <c r="D3764" s="70" t="s">
        <v>1</v>
      </c>
      <c r="E3764" s="70" t="s">
        <v>1</v>
      </c>
      <c r="F3764" s="70"/>
      <c r="G3764" s="70" t="s">
        <v>61</v>
      </c>
      <c r="H3764" s="70" t="s">
        <v>178</v>
      </c>
      <c r="I3764" s="70" t="s">
        <v>179</v>
      </c>
      <c r="J3764" s="71">
        <f>IF(OR(I3764=0,I3764=""),"unrated",VLOOKUP(I3764,MappingTables!$B$19:$C$31,2,FALSE))</f>
        <v>4</v>
      </c>
      <c r="K3764" s="72">
        <v>13058.370107896436</v>
      </c>
      <c r="L3764" s="70">
        <v>3.80989758481836</v>
      </c>
      <c r="M3764" s="71">
        <f>IF(L3764&lt;1,1,L3764)</f>
        <v>3.80989758481836</v>
      </c>
      <c r="N3764" s="70" t="s">
        <v>141</v>
      </c>
      <c r="O3764" s="71">
        <f>INDEX(DurClassMapping,MATCH(M3764,MappingTables!$D$4:$D$8,-1),1)</f>
        <v>1</v>
      </c>
      <c r="P3764" s="73">
        <f>IF(M3764=$A$1,1,$M3764-INDEX(MappingTables!$E$4:$E$8,MATCH(O3764,MappingTables!$B$4:$B$8,0)))</f>
        <v>3.80989758481836</v>
      </c>
      <c r="Q3764" s="71">
        <f>IF(B3764="",0,INDEX(ModelParameters!$D$6:$K$10,MATCH($O3764,ModelParameters!$B$6:$B$10,0),MATCH($J3764,ModelParameters!$D$5:$K$5,0)))</f>
        <v>0.045</v>
      </c>
      <c r="R3764" s="71">
        <f>IF(B3764="",0,INDEX(ModelParameters!$D$13:$K$17,MATCH($O3764,ModelParameters!$B$13:$B$17,0),MATCH($J3764,ModelParameters!$D$5:$K$5,0)))</f>
        <v>0</v>
      </c>
      <c r="S3764" s="160">
        <f>IF(B3764="",0,MIN(IF($N3764="Other Bond TM",ModelParameters!$N$21,1)*(P3764*Q3764+R3764),1))</f>
        <v>0.1714453913168262</v>
      </c>
      <c r="T3764" s="85">
        <f>IF(B3764="",0,$S3764*$K3764)</f>
        <v>2238.7973731082504</v>
      </c>
      <c r="U3764" s="85">
        <f>IF(B3764="",0,IF(OR(H3764=MappingTables!$C$34,H3764=MappingTables!$C$35),T3764,0))</f>
        <v>0</v>
      </c>
      <c r="V3764" s="85">
        <f>IF(ISNA(IF(AND(VLOOKUP(CONCATENATE($D3764,$G3764),CSRFinput!$B:$E,4,0)=0,OR(H3764=MappingTables!$C$34,H3764=MappingTables!$C$35)),1,VLOOKUP(CONCATENATE($D3764,$G3764),CSRFinput!$B:$E,4,0))),0,IF(AND(VLOOKUP(CONCATENATE($D3764,$G3764),CSRFinput!$B:$E,4,0)=0,OR(H3764=MappingTables!$C$34,H3764=MappingTables!$C$35)),1,VLOOKUP(CONCATENATE($D3764,$G3764),CSRFinput!$B:$E,4,0)))</f>
        <v>0.054776304963434752</v>
      </c>
      <c r="W3764" s="85">
        <f>IF(B3764="",0,+$T3764*$V3764)</f>
        <v>122.63304766071414</v>
      </c>
      <c r="X3764" s="85">
        <f>IF(B3764="",0,IF(OR(H3764=MappingTables!$C$34,H3764=MappingTables!$C$35),W3764,0))</f>
        <v>0</v>
      </c>
    </row>
    <row r="3765" spans="2:24" s="0" customFormat="0" ht="15">
      <c r="B3765" s="69">
        <v>24769619</v>
      </c>
      <c r="C3765" s="70" t="s">
        <v>2641</v>
      </c>
      <c r="D3765" s="70" t="s">
        <v>1</v>
      </c>
      <c r="E3765" s="70" t="s">
        <v>1</v>
      </c>
      <c r="F3765" s="70"/>
      <c r="G3765" s="70" t="s">
        <v>61</v>
      </c>
      <c r="H3765" s="70" t="s">
        <v>178</v>
      </c>
      <c r="I3765" s="70" t="s">
        <v>181</v>
      </c>
      <c r="J3765" s="71">
        <f>IF(OR(I3765=0,I3765=""),"unrated",VLOOKUP(I3765,MappingTables!$B$19:$C$31,2,FALSE))</f>
        <v>3</v>
      </c>
      <c r="K3765" s="72">
        <v>3198.3553850334</v>
      </c>
      <c r="L3765" s="70">
        <v>4.8616811137244144</v>
      </c>
      <c r="M3765" s="71">
        <f>IF(L3765&lt;1,1,L3765)</f>
        <v>4.8616811137244144</v>
      </c>
      <c r="N3765" s="70" t="s">
        <v>141</v>
      </c>
      <c r="O3765" s="71">
        <f>INDEX(DurClassMapping,MATCH(M3765,MappingTables!$D$4:$D$8,-1),1)</f>
        <v>1</v>
      </c>
      <c r="P3765" s="73">
        <f>IF(M3765=$A$1,1,$M3765-INDEX(MappingTables!$E$4:$E$8,MATCH(O3765,MappingTables!$B$4:$B$8,0)))</f>
        <v>4.8616811137244144</v>
      </c>
      <c r="Q3765" s="71">
        <f>IF(B3765="",0,INDEX(ModelParameters!$D$6:$K$10,MATCH($O3765,ModelParameters!$B$6:$B$10,0),MATCH($J3765,ModelParameters!$D$5:$K$5,0)))</f>
        <v>0.025</v>
      </c>
      <c r="R3765" s="71">
        <f>IF(B3765="",0,INDEX(ModelParameters!$D$13:$K$17,MATCH($O3765,ModelParameters!$B$13:$B$17,0),MATCH($J3765,ModelParameters!$D$5:$K$5,0)))</f>
        <v>0</v>
      </c>
      <c r="S3765" s="160">
        <f>IF(B3765="",0,MIN(IF($N3765="Other Bond TM",ModelParameters!$N$21,1)*(P3765*Q3765+R3765),1))</f>
        <v>0.12154202784311038</v>
      </c>
      <c r="T3765" s="85">
        <f>IF(B3765="",0,$S3765*$K3765)</f>
        <v>388.73459925989152</v>
      </c>
      <c r="U3765" s="85">
        <f>IF(B3765="",0,IF(OR(H3765=MappingTables!$C$34,H3765=MappingTables!$C$35),T3765,0))</f>
        <v>0</v>
      </c>
      <c r="V3765" s="85">
        <f>IF(ISNA(IF(AND(VLOOKUP(CONCATENATE($D3765,$G3765),CSRFinput!$B:$E,4,0)=0,OR(H3765=MappingTables!$C$34,H3765=MappingTables!$C$35)),1,VLOOKUP(CONCATENATE($D3765,$G3765),CSRFinput!$B:$E,4,0))),0,IF(AND(VLOOKUP(CONCATENATE($D3765,$G3765),CSRFinput!$B:$E,4,0)=0,OR(H3765=MappingTables!$C$34,H3765=MappingTables!$C$35)),1,VLOOKUP(CONCATENATE($D3765,$G3765),CSRFinput!$B:$E,4,0)))</f>
        <v>0.054776304963434752</v>
      </c>
      <c r="W3765" s="85">
        <f>IF(B3765="",0,+$T3765*$V3765)</f>
        <v>21.293444958898416</v>
      </c>
      <c r="X3765" s="85">
        <f>IF(B3765="",0,IF(OR(H3765=MappingTables!$C$34,H3765=MappingTables!$C$35),W3765,0))</f>
        <v>0</v>
      </c>
    </row>
    <row r="3766" spans="2:24" s="0" customFormat="0" ht="15">
      <c r="B3766" s="69">
        <v>18647860</v>
      </c>
      <c r="C3766" s="70" t="s">
        <v>2937</v>
      </c>
      <c r="D3766" s="70" t="s">
        <v>1</v>
      </c>
      <c r="E3766" s="70" t="s">
        <v>1</v>
      </c>
      <c r="F3766" s="70"/>
      <c r="G3766" s="70" t="s">
        <v>61</v>
      </c>
      <c r="H3766" s="70" t="s">
        <v>178</v>
      </c>
      <c r="I3766" s="70" t="s">
        <v>181</v>
      </c>
      <c r="J3766" s="71">
        <f>IF(OR(I3766=0,I3766=""),"unrated",VLOOKUP(I3766,MappingTables!$B$19:$C$31,2,FALSE))</f>
        <v>3</v>
      </c>
      <c r="K3766" s="72">
        <v>9491.7168386721792</v>
      </c>
      <c r="L3766" s="70">
        <v>6.6346450701312768</v>
      </c>
      <c r="M3766" s="71">
        <f>IF(L3766&lt;1,1,L3766)</f>
        <v>6.6346450701312768</v>
      </c>
      <c r="N3766" s="70" t="s">
        <v>141</v>
      </c>
      <c r="O3766" s="71">
        <f>INDEX(DurClassMapping,MATCH(M3766,MappingTables!$D$4:$D$8,-1),1)</f>
        <v>2</v>
      </c>
      <c r="P3766" s="73">
        <f>IF(M3766=$A$1,1,$M3766-INDEX(MappingTables!$E$4:$E$8,MATCH(O3766,MappingTables!$B$4:$B$8,0)))</f>
        <v>1.6346450701312766</v>
      </c>
      <c r="Q3766" s="71">
        <f>IF(B3766="",0,INDEX(ModelParameters!$D$6:$K$10,MATCH($O3766,ModelParameters!$B$6:$B$10,0),MATCH($J3766,ModelParameters!$D$5:$K$5,0)))</f>
        <v>0.015</v>
      </c>
      <c r="R3766" s="71">
        <f>IF(B3766="",0,INDEX(ModelParameters!$D$13:$K$17,MATCH($O3766,ModelParameters!$B$13:$B$17,0),MATCH($J3766,ModelParameters!$D$5:$K$5,0)))</f>
        <v>0.125</v>
      </c>
      <c r="S3766" s="160">
        <f>IF(B3766="",0,MIN(IF($N3766="Other Bond TM",ModelParameters!$N$21,1)*(P3766*Q3766+R3766),1))</f>
        <v>0.14951967605196914</v>
      </c>
      <c r="T3766" s="85">
        <f>IF(B3766="",0,$S3766*$K3766)</f>
        <v>1419.198426895285</v>
      </c>
      <c r="U3766" s="85">
        <f>IF(B3766="",0,IF(OR(H3766=MappingTables!$C$34,H3766=MappingTables!$C$35),T3766,0))</f>
        <v>0</v>
      </c>
      <c r="V3766" s="85">
        <f>IF(ISNA(IF(AND(VLOOKUP(CONCATENATE($D3766,$G3766),CSRFinput!$B:$E,4,0)=0,OR(H3766=MappingTables!$C$34,H3766=MappingTables!$C$35)),1,VLOOKUP(CONCATENATE($D3766,$G3766),CSRFinput!$B:$E,4,0))),0,IF(AND(VLOOKUP(CONCATENATE($D3766,$G3766),CSRFinput!$B:$E,4,0)=0,OR(H3766=MappingTables!$C$34,H3766=MappingTables!$C$35)),1,VLOOKUP(CONCATENATE($D3766,$G3766),CSRFinput!$B:$E,4,0)))</f>
        <v>0.054776304963434752</v>
      </c>
      <c r="W3766" s="85">
        <f>IF(B3766="",0,+$T3766*$V3766)</f>
        <v>77.738445835242992</v>
      </c>
      <c r="X3766" s="85">
        <f>IF(B3766="",0,IF(OR(H3766=MappingTables!$C$34,H3766=MappingTables!$C$35),W3766,0))</f>
        <v>0</v>
      </c>
    </row>
    <row r="3767" spans="2:24" s="0" customFormat="0" ht="15">
      <c r="B3767" s="69" t="s">
        <v>1365</v>
      </c>
      <c r="C3767" s="70" t="s">
        <v>1366</v>
      </c>
      <c r="D3767" s="70" t="s">
        <v>1</v>
      </c>
      <c r="E3767" s="70" t="s">
        <v>1</v>
      </c>
      <c r="F3767" s="70"/>
      <c r="G3767" s="70" t="s">
        <v>61</v>
      </c>
      <c r="H3767" s="70" t="s">
        <v>178</v>
      </c>
      <c r="I3767" s="70" t="s">
        <v>181</v>
      </c>
      <c r="J3767" s="71">
        <f>IF(OR(I3767=0,I3767=""),"unrated",VLOOKUP(I3767,MappingTables!$B$19:$C$31,2,FALSE))</f>
        <v>3</v>
      </c>
      <c r="K3767" s="72">
        <v>18874.862677503712</v>
      </c>
      <c r="L3767" s="70">
        <v>1.3930357265159944</v>
      </c>
      <c r="M3767" s="71">
        <f>IF(L3767&lt;1,1,L3767)</f>
        <v>1.3930357265159944</v>
      </c>
      <c r="N3767" s="70" t="s">
        <v>141</v>
      </c>
      <c r="O3767" s="71">
        <f>INDEX(DurClassMapping,MATCH(M3767,MappingTables!$D$4:$D$8,-1),1)</f>
        <v>1</v>
      </c>
      <c r="P3767" s="73">
        <f>IF(M3767=$A$1,1,$M3767-INDEX(MappingTables!$E$4:$E$8,MATCH(O3767,MappingTables!$B$4:$B$8,0)))</f>
        <v>1.3930357265159944</v>
      </c>
      <c r="Q3767" s="71">
        <f>IF(B3767="",0,INDEX(ModelParameters!$D$6:$K$10,MATCH($O3767,ModelParameters!$B$6:$B$10,0),MATCH($J3767,ModelParameters!$D$5:$K$5,0)))</f>
        <v>0.025</v>
      </c>
      <c r="R3767" s="71">
        <f>IF(B3767="",0,INDEX(ModelParameters!$D$13:$K$17,MATCH($O3767,ModelParameters!$B$13:$B$17,0),MATCH($J3767,ModelParameters!$D$5:$K$5,0)))</f>
        <v>0</v>
      </c>
      <c r="S3767" s="160">
        <f>IF(B3767="",0,MIN(IF($N3767="Other Bond TM",ModelParameters!$N$21,1)*(P3767*Q3767+R3767),1))</f>
        <v>0.034825893162899864</v>
      </c>
      <c r="T3767" s="85">
        <f>IF(B3767="",0,$S3767*$K3767)</f>
        <v>657.33395107115032</v>
      </c>
      <c r="U3767" s="85">
        <f>IF(B3767="",0,IF(OR(H3767=MappingTables!$C$34,H3767=MappingTables!$C$35),T3767,0))</f>
        <v>0</v>
      </c>
      <c r="V3767" s="85">
        <f>IF(ISNA(IF(AND(VLOOKUP(CONCATENATE($D3767,$G3767),CSRFinput!$B:$E,4,0)=0,OR(H3767=MappingTables!$C$34,H3767=MappingTables!$C$35)),1,VLOOKUP(CONCATENATE($D3767,$G3767),CSRFinput!$B:$E,4,0))),0,IF(AND(VLOOKUP(CONCATENATE($D3767,$G3767),CSRFinput!$B:$E,4,0)=0,OR(H3767=MappingTables!$C$34,H3767=MappingTables!$C$35)),1,VLOOKUP(CONCATENATE($D3767,$G3767),CSRFinput!$B:$E,4,0)))</f>
        <v>0.054776304963434752</v>
      </c>
      <c r="W3767" s="85">
        <f>IF(B3767="",0,+$T3767*$V3767)</f>
        <v>36.006324966692832</v>
      </c>
      <c r="X3767" s="85">
        <f>IF(B3767="",0,IF(OR(H3767=MappingTables!$C$34,H3767=MappingTables!$C$35),W3767,0))</f>
        <v>0</v>
      </c>
    </row>
    <row r="3768" spans="2:24" s="0" customFormat="0" ht="15">
      <c r="B3768" s="69">
        <v>11354555</v>
      </c>
      <c r="C3768" s="70" t="s">
        <v>264</v>
      </c>
      <c r="D3768" s="70" t="s">
        <v>1</v>
      </c>
      <c r="E3768" s="70" t="s">
        <v>1</v>
      </c>
      <c r="F3768" s="70"/>
      <c r="G3768" s="70" t="s">
        <v>61</v>
      </c>
      <c r="H3768" s="70" t="s">
        <v>178</v>
      </c>
      <c r="I3768" s="70" t="s">
        <v>188</v>
      </c>
      <c r="J3768" s="71">
        <f>IF(OR(I3768=0,I3768=""),"unrated",VLOOKUP(I3768,MappingTables!$B$19:$C$31,2,FALSE))</f>
        <v>2</v>
      </c>
      <c r="K3768" s="72">
        <v>719.59847993230696</v>
      </c>
      <c r="L3768" s="70">
        <v>0.052056835661998008</v>
      </c>
      <c r="M3768" s="71">
        <f>IF(L3768&lt;1,1,L3768)</f>
        <v>1</v>
      </c>
      <c r="N3768" s="70" t="s">
        <v>141</v>
      </c>
      <c r="O3768" s="71">
        <f>INDEX(DurClassMapping,MATCH(M3768,MappingTables!$D$4:$D$8,-1),1)</f>
        <v>1</v>
      </c>
      <c r="P3768" s="73">
        <f>IF(M3768=$A$1,1,$M3768-INDEX(MappingTables!$E$4:$E$8,MATCH(O3768,MappingTables!$B$4:$B$8,0)))</f>
        <v>1</v>
      </c>
      <c r="Q3768" s="71">
        <f>IF(B3768="",0,INDEX(ModelParameters!$D$6:$K$10,MATCH($O3768,ModelParameters!$B$6:$B$10,0),MATCH($J3768,ModelParameters!$D$5:$K$5,0)))</f>
        <v>0.013999999999999998</v>
      </c>
      <c r="R3768" s="71">
        <f>IF(B3768="",0,INDEX(ModelParameters!$D$13:$K$17,MATCH($O3768,ModelParameters!$B$13:$B$17,0),MATCH($J3768,ModelParameters!$D$5:$K$5,0)))</f>
        <v>0</v>
      </c>
      <c r="S3768" s="160">
        <f>IF(B3768="",0,MIN(IF($N3768="Other Bond TM",ModelParameters!$N$21,1)*(P3768*Q3768+R3768),1))</f>
        <v>0.013999999999999998</v>
      </c>
      <c r="T3768" s="85">
        <f>IF(B3768="",0,$S3768*$K3768)</f>
        <v>10.074378719052296</v>
      </c>
      <c r="U3768" s="85">
        <f>IF(B3768="",0,IF(OR(H3768=MappingTables!$C$34,H3768=MappingTables!$C$35),T3768,0))</f>
        <v>0</v>
      </c>
      <c r="V3768" s="85">
        <f>IF(ISNA(IF(AND(VLOOKUP(CONCATENATE($D3768,$G3768),CSRFinput!$B:$E,4,0)=0,OR(H3768=MappingTables!$C$34,H3768=MappingTables!$C$35)),1,VLOOKUP(CONCATENATE($D3768,$G3768),CSRFinput!$B:$E,4,0))),0,IF(AND(VLOOKUP(CONCATENATE($D3768,$G3768),CSRFinput!$B:$E,4,0)=0,OR(H3768=MappingTables!$C$34,H3768=MappingTables!$C$35)),1,VLOOKUP(CONCATENATE($D3768,$G3768),CSRFinput!$B:$E,4,0)))</f>
        <v>0.054776304963434752</v>
      </c>
      <c r="W3768" s="85">
        <f>IF(B3768="",0,+$T3768*$V3768)</f>
        <v>0.55183724103194576</v>
      </c>
      <c r="X3768" s="85">
        <f>IF(B3768="",0,IF(OR(H3768=MappingTables!$C$34,H3768=MappingTables!$C$35),W3768,0))</f>
        <v>0</v>
      </c>
    </row>
    <row r="3769" spans="2:24" s="0" customFormat="0" ht="15">
      <c r="B3769" s="69">
        <v>13113069</v>
      </c>
      <c r="C3769" s="70" t="s">
        <v>1748</v>
      </c>
      <c r="D3769" s="70" t="s">
        <v>1</v>
      </c>
      <c r="E3769" s="70" t="s">
        <v>1</v>
      </c>
      <c r="F3769" s="70"/>
      <c r="G3769" s="70" t="s">
        <v>61</v>
      </c>
      <c r="H3769" s="70" t="s">
        <v>178</v>
      </c>
      <c r="I3769" s="70" t="s">
        <v>188</v>
      </c>
      <c r="J3769" s="71">
        <f>IF(OR(I3769=0,I3769=""),"unrated",VLOOKUP(I3769,MappingTables!$B$19:$C$31,2,FALSE))</f>
        <v>2</v>
      </c>
      <c r="K3769" s="72">
        <v>78.653524945179312</v>
      </c>
      <c r="L3769" s="70">
        <v>0.9670895558395856</v>
      </c>
      <c r="M3769" s="71">
        <f>IF(L3769&lt;1,1,L3769)</f>
        <v>1</v>
      </c>
      <c r="N3769" s="70" t="s">
        <v>141</v>
      </c>
      <c r="O3769" s="71">
        <f>INDEX(DurClassMapping,MATCH(M3769,MappingTables!$D$4:$D$8,-1),1)</f>
        <v>1</v>
      </c>
      <c r="P3769" s="73">
        <f>IF(M3769=$A$1,1,$M3769-INDEX(MappingTables!$E$4:$E$8,MATCH(O3769,MappingTables!$B$4:$B$8,0)))</f>
        <v>1</v>
      </c>
      <c r="Q3769" s="71">
        <f>IF(B3769="",0,INDEX(ModelParameters!$D$6:$K$10,MATCH($O3769,ModelParameters!$B$6:$B$10,0),MATCH($J3769,ModelParameters!$D$5:$K$5,0)))</f>
        <v>0.013999999999999998</v>
      </c>
      <c r="R3769" s="71">
        <f>IF(B3769="",0,INDEX(ModelParameters!$D$13:$K$17,MATCH($O3769,ModelParameters!$B$13:$B$17,0),MATCH($J3769,ModelParameters!$D$5:$K$5,0)))</f>
        <v>0</v>
      </c>
      <c r="S3769" s="160">
        <f>IF(B3769="",0,MIN(IF($N3769="Other Bond TM",ModelParameters!$N$21,1)*(P3769*Q3769+R3769),1))</f>
        <v>0.013999999999999998</v>
      </c>
      <c r="T3769" s="85">
        <f>IF(B3769="",0,$S3769*$K3769)</f>
        <v>1.1011493492325102</v>
      </c>
      <c r="U3769" s="85">
        <f>IF(B3769="",0,IF(OR(H3769=MappingTables!$C$34,H3769=MappingTables!$C$35),T3769,0))</f>
        <v>0</v>
      </c>
      <c r="V3769" s="85">
        <f>IF(ISNA(IF(AND(VLOOKUP(CONCATENATE($D3769,$G3769),CSRFinput!$B:$E,4,0)=0,OR(H3769=MappingTables!$C$34,H3769=MappingTables!$C$35)),1,VLOOKUP(CONCATENATE($D3769,$G3769),CSRFinput!$B:$E,4,0))),0,IF(AND(VLOOKUP(CONCATENATE($D3769,$G3769),CSRFinput!$B:$E,4,0)=0,OR(H3769=MappingTables!$C$34,H3769=MappingTables!$C$35)),1,VLOOKUP(CONCATENATE($D3769,$G3769),CSRFinput!$B:$E,4,0)))</f>
        <v>0.054776304963434752</v>
      </c>
      <c r="W3769" s="85">
        <f>IF(B3769="",0,+$T3769*$V3769)</f>
        <v>0.060316892563847696</v>
      </c>
      <c r="X3769" s="85">
        <f>IF(B3769="",0,IF(OR(H3769=MappingTables!$C$34,H3769=MappingTables!$C$35),W3769,0))</f>
        <v>0</v>
      </c>
    </row>
    <row r="3770" spans="2:24" s="0" customFormat="0" ht="15">
      <c r="B3770" s="69">
        <v>15325609</v>
      </c>
      <c r="C3770" s="70" t="s">
        <v>2938</v>
      </c>
      <c r="D3770" s="70" t="s">
        <v>1</v>
      </c>
      <c r="E3770" s="70" t="s">
        <v>1</v>
      </c>
      <c r="F3770" s="70"/>
      <c r="G3770" s="70" t="s">
        <v>61</v>
      </c>
      <c r="H3770" s="70" t="s">
        <v>178</v>
      </c>
      <c r="I3770" s="70" t="s">
        <v>181</v>
      </c>
      <c r="J3770" s="71">
        <f>IF(OR(I3770=0,I3770=""),"unrated",VLOOKUP(I3770,MappingTables!$B$19:$C$31,2,FALSE))</f>
        <v>3</v>
      </c>
      <c r="K3770" s="72">
        <v>341.87953287133428</v>
      </c>
      <c r="L3770" s="70">
        <v>2.370777340720288</v>
      </c>
      <c r="M3770" s="71">
        <f>IF(L3770&lt;1,1,L3770)</f>
        <v>2.370777340720288</v>
      </c>
      <c r="N3770" s="70" t="s">
        <v>141</v>
      </c>
      <c r="O3770" s="71">
        <f>INDEX(DurClassMapping,MATCH(M3770,MappingTables!$D$4:$D$8,-1),1)</f>
        <v>1</v>
      </c>
      <c r="P3770" s="73">
        <f>IF(M3770=$A$1,1,$M3770-INDEX(MappingTables!$E$4:$E$8,MATCH(O3770,MappingTables!$B$4:$B$8,0)))</f>
        <v>2.370777340720288</v>
      </c>
      <c r="Q3770" s="71">
        <f>IF(B3770="",0,INDEX(ModelParameters!$D$6:$K$10,MATCH($O3770,ModelParameters!$B$6:$B$10,0),MATCH($J3770,ModelParameters!$D$5:$K$5,0)))</f>
        <v>0.025</v>
      </c>
      <c r="R3770" s="71">
        <f>IF(B3770="",0,INDEX(ModelParameters!$D$13:$K$17,MATCH($O3770,ModelParameters!$B$13:$B$17,0),MATCH($J3770,ModelParameters!$D$5:$K$5,0)))</f>
        <v>0</v>
      </c>
      <c r="S3770" s="160">
        <f>IF(B3770="",0,MIN(IF($N3770="Other Bond TM",ModelParameters!$N$21,1)*(P3770*Q3770+R3770),1))</f>
        <v>0.0592694335180072</v>
      </c>
      <c r="T3770" s="85">
        <f>IF(B3770="",0,$S3770*$K3770)</f>
        <v>20.263006244684904</v>
      </c>
      <c r="U3770" s="85">
        <f>IF(B3770="",0,IF(OR(H3770=MappingTables!$C$34,H3770=MappingTables!$C$35),T3770,0))</f>
        <v>0</v>
      </c>
      <c r="V3770" s="85">
        <f>IF(ISNA(IF(AND(VLOOKUP(CONCATENATE($D3770,$G3770),CSRFinput!$B:$E,4,0)=0,OR(H3770=MappingTables!$C$34,H3770=MappingTables!$C$35)),1,VLOOKUP(CONCATENATE($D3770,$G3770),CSRFinput!$B:$E,4,0))),0,IF(AND(VLOOKUP(CONCATENATE($D3770,$G3770),CSRFinput!$B:$E,4,0)=0,OR(H3770=MappingTables!$C$34,H3770=MappingTables!$C$35)),1,VLOOKUP(CONCATENATE($D3770,$G3770),CSRFinput!$B:$E,4,0)))</f>
        <v>0.054776304963434752</v>
      </c>
      <c r="W3770" s="85">
        <f>IF(B3770="",0,+$T3770*$V3770)</f>
        <v>1.1099326095348432</v>
      </c>
      <c r="X3770" s="85">
        <f>IF(B3770="",0,IF(OR(H3770=MappingTables!$C$34,H3770=MappingTables!$C$35),W3770,0))</f>
        <v>0</v>
      </c>
    </row>
    <row r="3771" spans="2:24" s="0" customFormat="0" ht="15">
      <c r="B3771" s="69" t="s">
        <v>2939</v>
      </c>
      <c r="C3771" s="70" t="s">
        <v>2940</v>
      </c>
      <c r="D3771" s="70" t="s">
        <v>1</v>
      </c>
      <c r="E3771" s="70" t="s">
        <v>1</v>
      </c>
      <c r="F3771" s="70"/>
      <c r="G3771" s="70" t="s">
        <v>61</v>
      </c>
      <c r="H3771" s="70" t="s">
        <v>178</v>
      </c>
      <c r="I3771" s="70" t="s">
        <v>188</v>
      </c>
      <c r="J3771" s="71">
        <f>IF(OR(I3771=0,I3771=""),"unrated",VLOOKUP(I3771,MappingTables!$B$19:$C$31,2,FALSE))</f>
        <v>2</v>
      </c>
      <c r="K3771" s="72">
        <v>170.94049409975676</v>
      </c>
      <c r="L3771" s="70">
        <v>1.4897810906448856</v>
      </c>
      <c r="M3771" s="71">
        <f>IF(L3771&lt;1,1,L3771)</f>
        <v>1.4897810906448856</v>
      </c>
      <c r="N3771" s="70" t="s">
        <v>141</v>
      </c>
      <c r="O3771" s="71">
        <f>INDEX(DurClassMapping,MATCH(M3771,MappingTables!$D$4:$D$8,-1),1)</f>
        <v>1</v>
      </c>
      <c r="P3771" s="73">
        <f>IF(M3771=$A$1,1,$M3771-INDEX(MappingTables!$E$4:$E$8,MATCH(O3771,MappingTables!$B$4:$B$8,0)))</f>
        <v>1.4897810906448856</v>
      </c>
      <c r="Q3771" s="71">
        <f>IF(B3771="",0,INDEX(ModelParameters!$D$6:$K$10,MATCH($O3771,ModelParameters!$B$6:$B$10,0),MATCH($J3771,ModelParameters!$D$5:$K$5,0)))</f>
        <v>0.013999999999999998</v>
      </c>
      <c r="R3771" s="71">
        <f>IF(B3771="",0,INDEX(ModelParameters!$D$13:$K$17,MATCH($O3771,ModelParameters!$B$13:$B$17,0),MATCH($J3771,ModelParameters!$D$5:$K$5,0)))</f>
        <v>0</v>
      </c>
      <c r="S3771" s="160">
        <f>IF(B3771="",0,MIN(IF($N3771="Other Bond TM",ModelParameters!$N$21,1)*(P3771*Q3771+R3771),1))</f>
        <v>0.020856935269028396</v>
      </c>
      <c r="T3771" s="85">
        <f>IF(B3771="",0,$S3771*$K3771)</f>
        <v>3.5652948202943576</v>
      </c>
      <c r="U3771" s="85">
        <f>IF(B3771="",0,IF(OR(H3771=MappingTables!$C$34,H3771=MappingTables!$C$35),T3771,0))</f>
        <v>0</v>
      </c>
      <c r="V3771" s="85">
        <f>IF(ISNA(IF(AND(VLOOKUP(CONCATENATE($D3771,$G3771),CSRFinput!$B:$E,4,0)=0,OR(H3771=MappingTables!$C$34,H3771=MappingTables!$C$35)),1,VLOOKUP(CONCATENATE($D3771,$G3771),CSRFinput!$B:$E,4,0))),0,IF(AND(VLOOKUP(CONCATENATE($D3771,$G3771),CSRFinput!$B:$E,4,0)=0,OR(H3771=MappingTables!$C$34,H3771=MappingTables!$C$35)),1,VLOOKUP(CONCATENATE($D3771,$G3771),CSRFinput!$B:$E,4,0)))</f>
        <v>0.054776304963434752</v>
      </c>
      <c r="W3771" s="85">
        <f>IF(B3771="",0,+$T3771*$V3771)</f>
        <v>0.19529367636099804</v>
      </c>
      <c r="X3771" s="85">
        <f>IF(B3771="",0,IF(OR(H3771=MappingTables!$C$34,H3771=MappingTables!$C$35),W3771,0))</f>
        <v>0</v>
      </c>
    </row>
    <row r="3772" spans="2:24" s="0" customFormat="0" ht="15">
      <c r="B3772" s="69">
        <v>22424958</v>
      </c>
      <c r="C3772" s="70" t="s">
        <v>1886</v>
      </c>
      <c r="D3772" s="70" t="s">
        <v>1</v>
      </c>
      <c r="E3772" s="70" t="s">
        <v>1</v>
      </c>
      <c r="F3772" s="70"/>
      <c r="G3772" s="70" t="s">
        <v>61</v>
      </c>
      <c r="H3772" s="70" t="s">
        <v>178</v>
      </c>
      <c r="I3772" s="70" t="s">
        <v>188</v>
      </c>
      <c r="J3772" s="71">
        <f>IF(OR(I3772=0,I3772=""),"unrated",VLOOKUP(I3772,MappingTables!$B$19:$C$31,2,FALSE))</f>
        <v>2</v>
      </c>
      <c r="K3772" s="72">
        <v>62.588206139445368</v>
      </c>
      <c r="L3772" s="70">
        <v>3.9337535037144456</v>
      </c>
      <c r="M3772" s="71">
        <f>IF(L3772&lt;1,1,L3772)</f>
        <v>3.9337535037144456</v>
      </c>
      <c r="N3772" s="70" t="s">
        <v>141</v>
      </c>
      <c r="O3772" s="71">
        <f>INDEX(DurClassMapping,MATCH(M3772,MappingTables!$D$4:$D$8,-1),1)</f>
        <v>1</v>
      </c>
      <c r="P3772" s="73">
        <f>IF(M3772=$A$1,1,$M3772-INDEX(MappingTables!$E$4:$E$8,MATCH(O3772,MappingTables!$B$4:$B$8,0)))</f>
        <v>3.9337535037144456</v>
      </c>
      <c r="Q3772" s="71">
        <f>IF(B3772="",0,INDEX(ModelParameters!$D$6:$K$10,MATCH($O3772,ModelParameters!$B$6:$B$10,0),MATCH($J3772,ModelParameters!$D$5:$K$5,0)))</f>
        <v>0.013999999999999998</v>
      </c>
      <c r="R3772" s="71">
        <f>IF(B3772="",0,INDEX(ModelParameters!$D$13:$K$17,MATCH($O3772,ModelParameters!$B$13:$B$17,0),MATCH($J3772,ModelParameters!$D$5:$K$5,0)))</f>
        <v>0</v>
      </c>
      <c r="S3772" s="160">
        <f>IF(B3772="",0,MIN(IF($N3772="Other Bond TM",ModelParameters!$N$21,1)*(P3772*Q3772+R3772),1))</f>
        <v>0.05507254905200224</v>
      </c>
      <c r="T3772" s="85">
        <f>IF(B3772="",0,$S3772*$K3772)</f>
        <v>3.4468920526914332</v>
      </c>
      <c r="U3772" s="85">
        <f>IF(B3772="",0,IF(OR(H3772=MappingTables!$C$34,H3772=MappingTables!$C$35),T3772,0))</f>
        <v>0</v>
      </c>
      <c r="V3772" s="85">
        <f>IF(ISNA(IF(AND(VLOOKUP(CONCATENATE($D3772,$G3772),CSRFinput!$B:$E,4,0)=0,OR(H3772=MappingTables!$C$34,H3772=MappingTables!$C$35)),1,VLOOKUP(CONCATENATE($D3772,$G3772),CSRFinput!$B:$E,4,0))),0,IF(AND(VLOOKUP(CONCATENATE($D3772,$G3772),CSRFinput!$B:$E,4,0)=0,OR(H3772=MappingTables!$C$34,H3772=MappingTables!$C$35)),1,VLOOKUP(CONCATENATE($D3772,$G3772),CSRFinput!$B:$E,4,0)))</f>
        <v>0.054776304963434752</v>
      </c>
      <c r="W3772" s="85">
        <f>IF(B3772="",0,+$T3772*$V3772)</f>
        <v>0.18880801025426556</v>
      </c>
      <c r="X3772" s="85">
        <f>IF(B3772="",0,IF(OR(H3772=MappingTables!$C$34,H3772=MappingTables!$C$35),W3772,0))</f>
        <v>0</v>
      </c>
    </row>
    <row r="3773" spans="2:24" s="0" customFormat="0" ht="15">
      <c r="B3773" s="69">
        <v>17050704</v>
      </c>
      <c r="C3773" s="70" t="s">
        <v>692</v>
      </c>
      <c r="D3773" s="70" t="s">
        <v>1</v>
      </c>
      <c r="E3773" s="70" t="s">
        <v>1</v>
      </c>
      <c r="F3773" s="70"/>
      <c r="G3773" s="70" t="s">
        <v>61</v>
      </c>
      <c r="H3773" s="70" t="s">
        <v>178</v>
      </c>
      <c r="I3773" s="70" t="s">
        <v>179</v>
      </c>
      <c r="J3773" s="71">
        <f>IF(OR(I3773=0,I3773=""),"unrated",VLOOKUP(I3773,MappingTables!$B$19:$C$31,2,FALSE))</f>
        <v>4</v>
      </c>
      <c r="K3773" s="72">
        <v>5728.2541051101928</v>
      </c>
      <c r="L3773" s="70">
        <v>3.1888778841391856</v>
      </c>
      <c r="M3773" s="71">
        <f>IF(L3773&lt;1,1,L3773)</f>
        <v>3.1888778841391856</v>
      </c>
      <c r="N3773" s="70" t="s">
        <v>141</v>
      </c>
      <c r="O3773" s="71">
        <f>INDEX(DurClassMapping,MATCH(M3773,MappingTables!$D$4:$D$8,-1),1)</f>
        <v>1</v>
      </c>
      <c r="P3773" s="73">
        <f>IF(M3773=$A$1,1,$M3773-INDEX(MappingTables!$E$4:$E$8,MATCH(O3773,MappingTables!$B$4:$B$8,0)))</f>
        <v>3.1888778841391856</v>
      </c>
      <c r="Q3773" s="71">
        <f>IF(B3773="",0,INDEX(ModelParameters!$D$6:$K$10,MATCH($O3773,ModelParameters!$B$6:$B$10,0),MATCH($J3773,ModelParameters!$D$5:$K$5,0)))</f>
        <v>0.045</v>
      </c>
      <c r="R3773" s="71">
        <f>IF(B3773="",0,INDEX(ModelParameters!$D$13:$K$17,MATCH($O3773,ModelParameters!$B$13:$B$17,0),MATCH($J3773,ModelParameters!$D$5:$K$5,0)))</f>
        <v>0</v>
      </c>
      <c r="S3773" s="160">
        <f>IF(B3773="",0,MIN(IF($N3773="Other Bond TM",ModelParameters!$N$21,1)*(P3773*Q3773+R3773),1))</f>
        <v>0.14349950478626336</v>
      </c>
      <c r="T3773" s="85">
        <f>IF(B3773="",0,$S3773*$K3773)</f>
        <v>822.0016273731928</v>
      </c>
      <c r="U3773" s="85">
        <f>IF(B3773="",0,IF(OR(H3773=MappingTables!$C$34,H3773=MappingTables!$C$35),T3773,0))</f>
        <v>0</v>
      </c>
      <c r="V3773" s="85">
        <f>IF(ISNA(IF(AND(VLOOKUP(CONCATENATE($D3773,$G3773),CSRFinput!$B:$E,4,0)=0,OR(H3773=MappingTables!$C$34,H3773=MappingTables!$C$35)),1,VLOOKUP(CONCATENATE($D3773,$G3773),CSRFinput!$B:$E,4,0))),0,IF(AND(VLOOKUP(CONCATENATE($D3773,$G3773),CSRFinput!$B:$E,4,0)=0,OR(H3773=MappingTables!$C$34,H3773=MappingTables!$C$35)),1,VLOOKUP(CONCATENATE($D3773,$G3773),CSRFinput!$B:$E,4,0)))</f>
        <v>0.054776304963434752</v>
      </c>
      <c r="W3773" s="85">
        <f>IF(B3773="",0,+$T3773*$V3773)</f>
        <v>45.026211821433672</v>
      </c>
      <c r="X3773" s="85">
        <f>IF(B3773="",0,IF(OR(H3773=MappingTables!$C$34,H3773=MappingTables!$C$35),W3773,0))</f>
        <v>0</v>
      </c>
    </row>
    <row r="3774" spans="2:24" s="0" customFormat="0" ht="15">
      <c r="B3774" s="69" t="s">
        <v>463</v>
      </c>
      <c r="C3774" s="70" t="s">
        <v>464</v>
      </c>
      <c r="D3774" s="70" t="s">
        <v>1</v>
      </c>
      <c r="E3774" s="70" t="s">
        <v>1</v>
      </c>
      <c r="F3774" s="70"/>
      <c r="G3774" s="70" t="s">
        <v>61</v>
      </c>
      <c r="H3774" s="70" t="s">
        <v>178</v>
      </c>
      <c r="I3774" s="70" t="s">
        <v>179</v>
      </c>
      <c r="J3774" s="71">
        <f>IF(OR(I3774=0,I3774=""),"unrated",VLOOKUP(I3774,MappingTables!$B$19:$C$31,2,FALSE))</f>
        <v>4</v>
      </c>
      <c r="K3774" s="72">
        <v>47.696994055274992</v>
      </c>
      <c r="L3774" s="70">
        <v>2.5267182729865984</v>
      </c>
      <c r="M3774" s="71">
        <f>IF(L3774&lt;1,1,L3774)</f>
        <v>2.5267182729865984</v>
      </c>
      <c r="N3774" s="70" t="s">
        <v>141</v>
      </c>
      <c r="O3774" s="71">
        <f>INDEX(DurClassMapping,MATCH(M3774,MappingTables!$D$4:$D$8,-1),1)</f>
        <v>1</v>
      </c>
      <c r="P3774" s="73">
        <f>IF(M3774=$A$1,1,$M3774-INDEX(MappingTables!$E$4:$E$8,MATCH(O3774,MappingTables!$B$4:$B$8,0)))</f>
        <v>2.5267182729865984</v>
      </c>
      <c r="Q3774" s="71">
        <f>IF(B3774="",0,INDEX(ModelParameters!$D$6:$K$10,MATCH($O3774,ModelParameters!$B$6:$B$10,0),MATCH($J3774,ModelParameters!$D$5:$K$5,0)))</f>
        <v>0.045</v>
      </c>
      <c r="R3774" s="71">
        <f>IF(B3774="",0,INDEX(ModelParameters!$D$13:$K$17,MATCH($O3774,ModelParameters!$B$13:$B$17,0),MATCH($J3774,ModelParameters!$D$5:$K$5,0)))</f>
        <v>0</v>
      </c>
      <c r="S3774" s="160">
        <f>IF(B3774="",0,MIN(IF($N3774="Other Bond TM",ModelParameters!$N$21,1)*(P3774*Q3774+R3774),1))</f>
        <v>0.11370232228439694</v>
      </c>
      <c r="T3774" s="85">
        <f>IF(B3774="",0,$S3774*$K3774)</f>
        <v>5.4232589900698416</v>
      </c>
      <c r="U3774" s="85">
        <f>IF(B3774="",0,IF(OR(H3774=MappingTables!$C$34,H3774=MappingTables!$C$35),T3774,0))</f>
        <v>0</v>
      </c>
      <c r="V3774" s="85">
        <f>IF(ISNA(IF(AND(VLOOKUP(CONCATENATE($D3774,$G3774),CSRFinput!$B:$E,4,0)=0,OR(H3774=MappingTables!$C$34,H3774=MappingTables!$C$35)),1,VLOOKUP(CONCATENATE($D3774,$G3774),CSRFinput!$B:$E,4,0))),0,IF(AND(VLOOKUP(CONCATENATE($D3774,$G3774),CSRFinput!$B:$E,4,0)=0,OR(H3774=MappingTables!$C$34,H3774=MappingTables!$C$35)),1,VLOOKUP(CONCATENATE($D3774,$G3774),CSRFinput!$B:$E,4,0)))</f>
        <v>0.054776304963434752</v>
      </c>
      <c r="W3774" s="85">
        <f>IF(B3774="",0,+$T3774*$V3774)</f>
        <v>0.2970660883357548</v>
      </c>
      <c r="X3774" s="85">
        <f>IF(B3774="",0,IF(OR(H3774=MappingTables!$C$34,H3774=MappingTables!$C$35),W3774,0))</f>
        <v>0</v>
      </c>
    </row>
    <row r="3775" spans="2:24" s="0" customFormat="0" ht="15">
      <c r="B3775" s="69">
        <v>8513859</v>
      </c>
      <c r="C3775" s="70" t="s">
        <v>1798</v>
      </c>
      <c r="D3775" s="70" t="s">
        <v>1</v>
      </c>
      <c r="E3775" s="70" t="s">
        <v>1</v>
      </c>
      <c r="F3775" s="70"/>
      <c r="G3775" s="70" t="s">
        <v>61</v>
      </c>
      <c r="H3775" s="70" t="s">
        <v>178</v>
      </c>
      <c r="I3775" s="70" t="s">
        <v>179</v>
      </c>
      <c r="J3775" s="71">
        <f>IF(OR(I3775=0,I3775=""),"unrated",VLOOKUP(I3775,MappingTables!$B$19:$C$31,2,FALSE))</f>
        <v>4</v>
      </c>
      <c r="K3775" s="72">
        <v>4731.2470926194352</v>
      </c>
      <c r="L3775" s="70">
        <v>1.2395602242795918</v>
      </c>
      <c r="M3775" s="71">
        <f>IF(L3775&lt;1,1,L3775)</f>
        <v>1.2395602242795918</v>
      </c>
      <c r="N3775" s="70" t="s">
        <v>141</v>
      </c>
      <c r="O3775" s="71">
        <f>INDEX(DurClassMapping,MATCH(M3775,MappingTables!$D$4:$D$8,-1),1)</f>
        <v>1</v>
      </c>
      <c r="P3775" s="73">
        <f>IF(M3775=$A$1,1,$M3775-INDEX(MappingTables!$E$4:$E$8,MATCH(O3775,MappingTables!$B$4:$B$8,0)))</f>
        <v>1.2395602242795918</v>
      </c>
      <c r="Q3775" s="71">
        <f>IF(B3775="",0,INDEX(ModelParameters!$D$6:$K$10,MATCH($O3775,ModelParameters!$B$6:$B$10,0),MATCH($J3775,ModelParameters!$D$5:$K$5,0)))</f>
        <v>0.045</v>
      </c>
      <c r="R3775" s="71">
        <f>IF(B3775="",0,INDEX(ModelParameters!$D$13:$K$17,MATCH($O3775,ModelParameters!$B$13:$B$17,0),MATCH($J3775,ModelParameters!$D$5:$K$5,0)))</f>
        <v>0</v>
      </c>
      <c r="S3775" s="160">
        <f>IF(B3775="",0,MIN(IF($N3775="Other Bond TM",ModelParameters!$N$21,1)*(P3775*Q3775+R3775),1))</f>
        <v>0.055780210092581624</v>
      </c>
      <c r="T3775" s="85">
        <f>IF(B3775="",0,$S3775*$K3775)</f>
        <v>263.90995682622808</v>
      </c>
      <c r="U3775" s="85">
        <f>IF(B3775="",0,IF(OR(H3775=MappingTables!$C$34,H3775=MappingTables!$C$35),T3775,0))</f>
        <v>0</v>
      </c>
      <c r="V3775" s="85">
        <f>IF(ISNA(IF(AND(VLOOKUP(CONCATENATE($D3775,$G3775),CSRFinput!$B:$E,4,0)=0,OR(H3775=MappingTables!$C$34,H3775=MappingTables!$C$35)),1,VLOOKUP(CONCATENATE($D3775,$G3775),CSRFinput!$B:$E,4,0))),0,IF(AND(VLOOKUP(CONCATENATE($D3775,$G3775),CSRFinput!$B:$E,4,0)=0,OR(H3775=MappingTables!$C$34,H3775=MappingTables!$C$35)),1,VLOOKUP(CONCATENATE($D3775,$G3775),CSRFinput!$B:$E,4,0)))</f>
        <v>0.054776304963434752</v>
      </c>
      <c r="W3775" s="85">
        <f>IF(B3775="",0,+$T3775*$V3775)</f>
        <v>14.456012278000368</v>
      </c>
      <c r="X3775" s="85">
        <f>IF(B3775="",0,IF(OR(H3775=MappingTables!$C$34,H3775=MappingTables!$C$35),W3775,0))</f>
        <v>0</v>
      </c>
    </row>
    <row r="3776" spans="2:24" s="0" customFormat="0" ht="15">
      <c r="B3776" s="69">
        <v>24453175</v>
      </c>
      <c r="C3776" s="70" t="s">
        <v>2147</v>
      </c>
      <c r="D3776" s="70" t="s">
        <v>1</v>
      </c>
      <c r="E3776" s="70" t="s">
        <v>1</v>
      </c>
      <c r="F3776" s="70"/>
      <c r="G3776" s="70" t="s">
        <v>61</v>
      </c>
      <c r="H3776" s="70" t="s">
        <v>178</v>
      </c>
      <c r="I3776" s="70" t="s">
        <v>184</v>
      </c>
      <c r="J3776" s="71">
        <f>IF(OR(I3776=0,I3776=""),"unrated",VLOOKUP(I3776,MappingTables!$B$19:$C$31,2,FALSE))</f>
        <v>5</v>
      </c>
      <c r="K3776" s="72">
        <v>2455.873427257884</v>
      </c>
      <c r="L3776" s="70">
        <v>1.711476194756276</v>
      </c>
      <c r="M3776" s="71">
        <f>IF(L3776&lt;1,1,L3776)</f>
        <v>1.711476194756276</v>
      </c>
      <c r="N3776" s="70" t="s">
        <v>141</v>
      </c>
      <c r="O3776" s="71">
        <f>INDEX(DurClassMapping,MATCH(M3776,MappingTables!$D$4:$D$8,-1),1)</f>
        <v>1</v>
      </c>
      <c r="P3776" s="73">
        <f>IF(M3776=$A$1,1,$M3776-INDEX(MappingTables!$E$4:$E$8,MATCH(O3776,MappingTables!$B$4:$B$8,0)))</f>
        <v>1.711476194756276</v>
      </c>
      <c r="Q3776" s="71">
        <f>IF(B3776="",0,INDEX(ModelParameters!$D$6:$K$10,MATCH($O3776,ModelParameters!$B$6:$B$10,0),MATCH($J3776,ModelParameters!$D$5:$K$5,0)))</f>
        <v>0.075</v>
      </c>
      <c r="R3776" s="71">
        <f>IF(B3776="",0,INDEX(ModelParameters!$D$13:$K$17,MATCH($O3776,ModelParameters!$B$13:$B$17,0),MATCH($J3776,ModelParameters!$D$5:$K$5,0)))</f>
        <v>0</v>
      </c>
      <c r="S3776" s="160">
        <f>IF(B3776="",0,MIN(IF($N3776="Other Bond TM",ModelParameters!$N$21,1)*(P3776*Q3776+R3776),1))</f>
        <v>0.12836071460672068</v>
      </c>
      <c r="T3776" s="85">
        <f>IF(B3776="",0,$S3776*$K3776)</f>
        <v>315.23766810647828</v>
      </c>
      <c r="U3776" s="85">
        <f>IF(B3776="",0,IF(OR(H3776=MappingTables!$C$34,H3776=MappingTables!$C$35),T3776,0))</f>
        <v>0</v>
      </c>
      <c r="V3776" s="85">
        <f>IF(ISNA(IF(AND(VLOOKUP(CONCATENATE($D3776,$G3776),CSRFinput!$B:$E,4,0)=0,OR(H3776=MappingTables!$C$34,H3776=MappingTables!$C$35)),1,VLOOKUP(CONCATENATE($D3776,$G3776),CSRFinput!$B:$E,4,0))),0,IF(AND(VLOOKUP(CONCATENATE($D3776,$G3776),CSRFinput!$B:$E,4,0)=0,OR(H3776=MappingTables!$C$34,H3776=MappingTables!$C$35)),1,VLOOKUP(CONCATENATE($D3776,$G3776),CSRFinput!$B:$E,4,0)))</f>
        <v>0.054776304963434752</v>
      </c>
      <c r="W3776" s="85">
        <f>IF(B3776="",0,+$T3776*$V3776)</f>
        <v>17.267554644162484</v>
      </c>
      <c r="X3776" s="85">
        <f>IF(B3776="",0,IF(OR(H3776=MappingTables!$C$34,H3776=MappingTables!$C$35),W3776,0))</f>
        <v>0</v>
      </c>
    </row>
    <row r="3777" spans="2:24" s="0" customFormat="0" ht="15">
      <c r="B3777" s="69">
        <v>7852994</v>
      </c>
      <c r="C3777" s="70" t="s">
        <v>2263</v>
      </c>
      <c r="D3777" s="70" t="s">
        <v>1</v>
      </c>
      <c r="E3777" s="70" t="s">
        <v>1</v>
      </c>
      <c r="F3777" s="70"/>
      <c r="G3777" s="70" t="s">
        <v>61</v>
      </c>
      <c r="H3777" s="70" t="s">
        <v>178</v>
      </c>
      <c r="I3777" s="70" t="s">
        <v>181</v>
      </c>
      <c r="J3777" s="71">
        <f>IF(OR(I3777=0,I3777=""),"unrated",VLOOKUP(I3777,MappingTables!$B$19:$C$31,2,FALSE))</f>
        <v>3</v>
      </c>
      <c r="K3777" s="72">
        <v>1030.3929330975328</v>
      </c>
      <c r="L3777" s="70">
        <v>9.5342426389469536</v>
      </c>
      <c r="M3777" s="71">
        <f>IF(L3777&lt;1,1,L3777)</f>
        <v>9.5342426389469536</v>
      </c>
      <c r="N3777" s="70" t="s">
        <v>141</v>
      </c>
      <c r="O3777" s="71">
        <f>INDEX(DurClassMapping,MATCH(M3777,MappingTables!$D$4:$D$8,-1),1)</f>
        <v>2</v>
      </c>
      <c r="P3777" s="73">
        <f>IF(M3777=$A$1,1,$M3777-INDEX(MappingTables!$E$4:$E$8,MATCH(O3777,MappingTables!$B$4:$B$8,0)))</f>
        <v>4.5342426389469528</v>
      </c>
      <c r="Q3777" s="71">
        <f>IF(B3777="",0,INDEX(ModelParameters!$D$6:$K$10,MATCH($O3777,ModelParameters!$B$6:$B$10,0),MATCH($J3777,ModelParameters!$D$5:$K$5,0)))</f>
        <v>0.015</v>
      </c>
      <c r="R3777" s="71">
        <f>IF(B3777="",0,INDEX(ModelParameters!$D$13:$K$17,MATCH($O3777,ModelParameters!$B$13:$B$17,0),MATCH($J3777,ModelParameters!$D$5:$K$5,0)))</f>
        <v>0.125</v>
      </c>
      <c r="S3777" s="160">
        <f>IF(B3777="",0,MIN(IF($N3777="Other Bond TM",ModelParameters!$N$21,1)*(P3777*Q3777+R3777),1))</f>
        <v>0.19301363958420432</v>
      </c>
      <c r="T3777" s="85">
        <f>IF(B3777="",0,$S3777*$K3777)</f>
        <v>198.87989021899832</v>
      </c>
      <c r="U3777" s="85">
        <f>IF(B3777="",0,IF(OR(H3777=MappingTables!$C$34,H3777=MappingTables!$C$35),T3777,0))</f>
        <v>0</v>
      </c>
      <c r="V3777" s="85">
        <f>IF(ISNA(IF(AND(VLOOKUP(CONCATENATE($D3777,$G3777),CSRFinput!$B:$E,4,0)=0,OR(H3777=MappingTables!$C$34,H3777=MappingTables!$C$35)),1,VLOOKUP(CONCATENATE($D3777,$G3777),CSRFinput!$B:$E,4,0))),0,IF(AND(VLOOKUP(CONCATENATE($D3777,$G3777),CSRFinput!$B:$E,4,0)=0,OR(H3777=MappingTables!$C$34,H3777=MappingTables!$C$35)),1,VLOOKUP(CONCATENATE($D3777,$G3777),CSRFinput!$B:$E,4,0)))</f>
        <v>0.054776304963434752</v>
      </c>
      <c r="W3777" s="85">
        <f>IF(B3777="",0,+$T3777*$V3777)</f>
        <v>10.893905517730276</v>
      </c>
      <c r="X3777" s="85">
        <f>IF(B3777="",0,IF(OR(H3777=MappingTables!$C$34,H3777=MappingTables!$C$35),W3777,0))</f>
        <v>0</v>
      </c>
    </row>
    <row r="3778" spans="2:24" s="0" customFormat="0" ht="15">
      <c r="B3778" s="69" t="s">
        <v>2650</v>
      </c>
      <c r="C3778" s="70" t="s">
        <v>2651</v>
      </c>
      <c r="D3778" s="70" t="s">
        <v>1</v>
      </c>
      <c r="E3778" s="70" t="s">
        <v>1</v>
      </c>
      <c r="F3778" s="70"/>
      <c r="G3778" s="70" t="s">
        <v>61</v>
      </c>
      <c r="H3778" s="70" t="s">
        <v>178</v>
      </c>
      <c r="I3778" s="70" t="s">
        <v>204</v>
      </c>
      <c r="J3778" s="71">
        <f>IF(OR(I3778=0,I3778=""),"unrated",VLOOKUP(I3778,MappingTables!$B$19:$C$31,2,FALSE))</f>
        <v>6</v>
      </c>
      <c r="K3778" s="72">
        <v>18805.165361216448</v>
      </c>
      <c r="L3778" s="70">
        <v>0.087669484347836288</v>
      </c>
      <c r="M3778" s="71">
        <f>IF(L3778&lt;1,1,L3778)</f>
        <v>1</v>
      </c>
      <c r="N3778" s="70" t="s">
        <v>141</v>
      </c>
      <c r="O3778" s="71">
        <f>INDEX(DurClassMapping,MATCH(M3778,MappingTables!$D$4:$D$8,-1),1)</f>
        <v>1</v>
      </c>
      <c r="P3778" s="73">
        <f>IF(M3778=$A$1,1,$M3778-INDEX(MappingTables!$E$4:$E$8,MATCH(O3778,MappingTables!$B$4:$B$8,0)))</f>
        <v>1</v>
      </c>
      <c r="Q3778" s="71">
        <f>IF(B3778="",0,INDEX(ModelParameters!$D$6:$K$10,MATCH($O3778,ModelParameters!$B$6:$B$10,0),MATCH($J3778,ModelParameters!$D$5:$K$5,0)))</f>
        <v>0.075</v>
      </c>
      <c r="R3778" s="71">
        <f>IF(B3778="",0,INDEX(ModelParameters!$D$13:$K$17,MATCH($O3778,ModelParameters!$B$13:$B$17,0),MATCH($J3778,ModelParameters!$D$5:$K$5,0)))</f>
        <v>0</v>
      </c>
      <c r="S3778" s="160">
        <f>IF(B3778="",0,MIN(IF($N3778="Other Bond TM",ModelParameters!$N$21,1)*(P3778*Q3778+R3778),1))</f>
        <v>0.075</v>
      </c>
      <c r="T3778" s="85">
        <f>IF(B3778="",0,$S3778*$K3778)</f>
        <v>1410.3874020912336</v>
      </c>
      <c r="U3778" s="85">
        <f>IF(B3778="",0,IF(OR(H3778=MappingTables!$C$34,H3778=MappingTables!$C$35),T3778,0))</f>
        <v>0</v>
      </c>
      <c r="V3778" s="85">
        <f>IF(ISNA(IF(AND(VLOOKUP(CONCATENATE($D3778,$G3778),CSRFinput!$B:$E,4,0)=0,OR(H3778=MappingTables!$C$34,H3778=MappingTables!$C$35)),1,VLOOKUP(CONCATENATE($D3778,$G3778),CSRFinput!$B:$E,4,0))),0,IF(AND(VLOOKUP(CONCATENATE($D3778,$G3778),CSRFinput!$B:$E,4,0)=0,OR(H3778=MappingTables!$C$34,H3778=MappingTables!$C$35)),1,VLOOKUP(CONCATENATE($D3778,$G3778),CSRFinput!$B:$E,4,0)))</f>
        <v>0.054776304963434752</v>
      </c>
      <c r="W3778" s="85">
        <f>IF(B3778="",0,+$T3778*$V3778)</f>
        <v>77.255810453535888</v>
      </c>
      <c r="X3778" s="85">
        <f>IF(B3778="",0,IF(OR(H3778=MappingTables!$C$34,H3778=MappingTables!$C$35),W3778,0))</f>
        <v>0</v>
      </c>
    </row>
    <row r="3779" spans="2:24" s="0" customFormat="0" ht="15">
      <c r="B3779" s="69">
        <v>11813146</v>
      </c>
      <c r="C3779" s="70" t="s">
        <v>2275</v>
      </c>
      <c r="D3779" s="70" t="s">
        <v>1</v>
      </c>
      <c r="E3779" s="70" t="s">
        <v>1</v>
      </c>
      <c r="F3779" s="70"/>
      <c r="G3779" s="70" t="s">
        <v>61</v>
      </c>
      <c r="H3779" s="70" t="s">
        <v>178</v>
      </c>
      <c r="I3779" s="70" t="s">
        <v>181</v>
      </c>
      <c r="J3779" s="71">
        <f>IF(OR(I3779=0,I3779=""),"unrated",VLOOKUP(I3779,MappingTables!$B$19:$C$31,2,FALSE))</f>
        <v>3</v>
      </c>
      <c r="K3779" s="72">
        <v>431.68811416927144</v>
      </c>
      <c r="L3779" s="70">
        <v>4.8025601511786824</v>
      </c>
      <c r="M3779" s="71">
        <f>IF(L3779&lt;1,1,L3779)</f>
        <v>4.8025601511786824</v>
      </c>
      <c r="N3779" s="70" t="s">
        <v>141</v>
      </c>
      <c r="O3779" s="71">
        <f>INDEX(DurClassMapping,MATCH(M3779,MappingTables!$D$4:$D$8,-1),1)</f>
        <v>1</v>
      </c>
      <c r="P3779" s="73">
        <f>IF(M3779=$A$1,1,$M3779-INDEX(MappingTables!$E$4:$E$8,MATCH(O3779,MappingTables!$B$4:$B$8,0)))</f>
        <v>4.8025601511786824</v>
      </c>
      <c r="Q3779" s="71">
        <f>IF(B3779="",0,INDEX(ModelParameters!$D$6:$K$10,MATCH($O3779,ModelParameters!$B$6:$B$10,0),MATCH($J3779,ModelParameters!$D$5:$K$5,0)))</f>
        <v>0.025</v>
      </c>
      <c r="R3779" s="71">
        <f>IF(B3779="",0,INDEX(ModelParameters!$D$13:$K$17,MATCH($O3779,ModelParameters!$B$13:$B$17,0),MATCH($J3779,ModelParameters!$D$5:$K$5,0)))</f>
        <v>0</v>
      </c>
      <c r="S3779" s="160">
        <f>IF(B3779="",0,MIN(IF($N3779="Other Bond TM",ModelParameters!$N$21,1)*(P3779*Q3779+R3779),1))</f>
        <v>0.12006400377946708</v>
      </c>
      <c r="T3779" s="85">
        <f>IF(B3779="",0,$S3779*$K3779)</f>
        <v>51.830203371170416</v>
      </c>
      <c r="U3779" s="85">
        <f>IF(B3779="",0,IF(OR(H3779=MappingTables!$C$34,H3779=MappingTables!$C$35),T3779,0))</f>
        <v>0</v>
      </c>
      <c r="V3779" s="85">
        <f>IF(ISNA(IF(AND(VLOOKUP(CONCATENATE($D3779,$G3779),CSRFinput!$B:$E,4,0)=0,OR(H3779=MappingTables!$C$34,H3779=MappingTables!$C$35)),1,VLOOKUP(CONCATENATE($D3779,$G3779),CSRFinput!$B:$E,4,0))),0,IF(AND(VLOOKUP(CONCATENATE($D3779,$G3779),CSRFinput!$B:$E,4,0)=0,OR(H3779=MappingTables!$C$34,H3779=MappingTables!$C$35)),1,VLOOKUP(CONCATENATE($D3779,$G3779),CSRFinput!$B:$E,4,0)))</f>
        <v>0.054776304963434752</v>
      </c>
      <c r="W3779" s="85">
        <f>IF(B3779="",0,+$T3779*$V3779)</f>
        <v>2.8390670261760752</v>
      </c>
      <c r="X3779" s="85">
        <f>IF(B3779="",0,IF(OR(H3779=MappingTables!$C$34,H3779=MappingTables!$C$35),W3779,0))</f>
        <v>0</v>
      </c>
    </row>
    <row r="3780" spans="2:24" s="0" customFormat="0" ht="15">
      <c r="B3780" s="69">
        <v>14418869</v>
      </c>
      <c r="C3780" s="70" t="s">
        <v>2272</v>
      </c>
      <c r="D3780" s="70" t="s">
        <v>1</v>
      </c>
      <c r="E3780" s="70" t="s">
        <v>1</v>
      </c>
      <c r="F3780" s="70"/>
      <c r="G3780" s="70" t="s">
        <v>61</v>
      </c>
      <c r="H3780" s="70" t="s">
        <v>178</v>
      </c>
      <c r="I3780" s="70" t="s">
        <v>181</v>
      </c>
      <c r="J3780" s="71">
        <f>IF(OR(I3780=0,I3780=""),"unrated",VLOOKUP(I3780,MappingTables!$B$19:$C$31,2,FALSE))</f>
        <v>3</v>
      </c>
      <c r="K3780" s="72">
        <v>18599.79036444994</v>
      </c>
      <c r="L3780" s="70">
        <v>5.7436949598743136</v>
      </c>
      <c r="M3780" s="71">
        <f>IF(L3780&lt;1,1,L3780)</f>
        <v>5.7436949598743136</v>
      </c>
      <c r="N3780" s="70" t="s">
        <v>141</v>
      </c>
      <c r="O3780" s="71">
        <f>INDEX(DurClassMapping,MATCH(M3780,MappingTables!$D$4:$D$8,-1),1)</f>
        <v>2</v>
      </c>
      <c r="P3780" s="73">
        <f>IF(M3780=$A$1,1,$M3780-INDEX(MappingTables!$E$4:$E$8,MATCH(O3780,MappingTables!$B$4:$B$8,0)))</f>
        <v>0.74369495987431392</v>
      </c>
      <c r="Q3780" s="71">
        <f>IF(B3780="",0,INDEX(ModelParameters!$D$6:$K$10,MATCH($O3780,ModelParameters!$B$6:$B$10,0),MATCH($J3780,ModelParameters!$D$5:$K$5,0)))</f>
        <v>0.015</v>
      </c>
      <c r="R3780" s="71">
        <f>IF(B3780="",0,INDEX(ModelParameters!$D$13:$K$17,MATCH($O3780,ModelParameters!$B$13:$B$17,0),MATCH($J3780,ModelParameters!$D$5:$K$5,0)))</f>
        <v>0.125</v>
      </c>
      <c r="S3780" s="160">
        <f>IF(B3780="",0,MIN(IF($N3780="Other Bond TM",ModelParameters!$N$21,1)*(P3780*Q3780+R3780),1))</f>
        <v>0.1361554243981147</v>
      </c>
      <c r="T3780" s="85">
        <f>IF(B3780="",0,$S3780*$K3780)</f>
        <v>2532.4623507876464</v>
      </c>
      <c r="U3780" s="85">
        <f>IF(B3780="",0,IF(OR(H3780=MappingTables!$C$34,H3780=MappingTables!$C$35),T3780,0))</f>
        <v>0</v>
      </c>
      <c r="V3780" s="85">
        <f>IF(ISNA(IF(AND(VLOOKUP(CONCATENATE($D3780,$G3780),CSRFinput!$B:$E,4,0)=0,OR(H3780=MappingTables!$C$34,H3780=MappingTables!$C$35)),1,VLOOKUP(CONCATENATE($D3780,$G3780),CSRFinput!$B:$E,4,0))),0,IF(AND(VLOOKUP(CONCATENATE($D3780,$G3780),CSRFinput!$B:$E,4,0)=0,OR(H3780=MappingTables!$C$34,H3780=MappingTables!$C$35)),1,VLOOKUP(CONCATENATE($D3780,$G3780),CSRFinput!$B:$E,4,0)))</f>
        <v>0.054776304963434752</v>
      </c>
      <c r="W3780" s="85">
        <f>IF(B3780="",0,+$T3780*$V3780)</f>
        <v>138.71893003516098</v>
      </c>
      <c r="X3780" s="85">
        <f>IF(B3780="",0,IF(OR(H3780=MappingTables!$C$34,H3780=MappingTables!$C$35),W3780,0))</f>
        <v>0</v>
      </c>
    </row>
    <row r="3781" spans="2:24" s="0" customFormat="0" ht="15">
      <c r="B3781" s="69">
        <v>24735912</v>
      </c>
      <c r="C3781" s="70" t="s">
        <v>1166</v>
      </c>
      <c r="D3781" s="70" t="s">
        <v>1</v>
      </c>
      <c r="E3781" s="70" t="s">
        <v>1</v>
      </c>
      <c r="F3781" s="70"/>
      <c r="G3781" s="70" t="s">
        <v>61</v>
      </c>
      <c r="H3781" s="70" t="s">
        <v>178</v>
      </c>
      <c r="I3781" s="70" t="s">
        <v>181</v>
      </c>
      <c r="J3781" s="71">
        <f>IF(OR(I3781=0,I3781=""),"unrated",VLOOKUP(I3781,MappingTables!$B$19:$C$31,2,FALSE))</f>
        <v>3</v>
      </c>
      <c r="K3781" s="72">
        <v>247.25141124414976</v>
      </c>
      <c r="L3781" s="70">
        <v>0.87149884067192736</v>
      </c>
      <c r="M3781" s="71">
        <f>IF(L3781&lt;1,1,L3781)</f>
        <v>1</v>
      </c>
      <c r="N3781" s="70" t="s">
        <v>141</v>
      </c>
      <c r="O3781" s="71">
        <f>INDEX(DurClassMapping,MATCH(M3781,MappingTables!$D$4:$D$8,-1),1)</f>
        <v>1</v>
      </c>
      <c r="P3781" s="73">
        <f>IF(M3781=$A$1,1,$M3781-INDEX(MappingTables!$E$4:$E$8,MATCH(O3781,MappingTables!$B$4:$B$8,0)))</f>
        <v>1</v>
      </c>
      <c r="Q3781" s="71">
        <f>IF(B3781="",0,INDEX(ModelParameters!$D$6:$K$10,MATCH($O3781,ModelParameters!$B$6:$B$10,0),MATCH($J3781,ModelParameters!$D$5:$K$5,0)))</f>
        <v>0.025</v>
      </c>
      <c r="R3781" s="71">
        <f>IF(B3781="",0,INDEX(ModelParameters!$D$13:$K$17,MATCH($O3781,ModelParameters!$B$13:$B$17,0),MATCH($J3781,ModelParameters!$D$5:$K$5,0)))</f>
        <v>0</v>
      </c>
      <c r="S3781" s="160">
        <f>IF(B3781="",0,MIN(IF($N3781="Other Bond TM",ModelParameters!$N$21,1)*(P3781*Q3781+R3781),1))</f>
        <v>0.025</v>
      </c>
      <c r="T3781" s="85">
        <f>IF(B3781="",0,$S3781*$K3781)</f>
        <v>6.1812852811037448</v>
      </c>
      <c r="U3781" s="85">
        <f>IF(B3781="",0,IF(OR(H3781=MappingTables!$C$34,H3781=MappingTables!$C$35),T3781,0))</f>
        <v>0</v>
      </c>
      <c r="V3781" s="85">
        <f>IF(ISNA(IF(AND(VLOOKUP(CONCATENATE($D3781,$G3781),CSRFinput!$B:$E,4,0)=0,OR(H3781=MappingTables!$C$34,H3781=MappingTables!$C$35)),1,VLOOKUP(CONCATENATE($D3781,$G3781),CSRFinput!$B:$E,4,0))),0,IF(AND(VLOOKUP(CONCATENATE($D3781,$G3781),CSRFinput!$B:$E,4,0)=0,OR(H3781=MappingTables!$C$34,H3781=MappingTables!$C$35)),1,VLOOKUP(CONCATENATE($D3781,$G3781),CSRFinput!$B:$E,4,0)))</f>
        <v>0.054776304963434752</v>
      </c>
      <c r="W3781" s="85">
        <f>IF(B3781="",0,+$T3781*$V3781)</f>
        <v>0.33858796762372924</v>
      </c>
      <c r="X3781" s="85">
        <f>IF(B3781="",0,IF(OR(H3781=MappingTables!$C$34,H3781=MappingTables!$C$35),W3781,0))</f>
        <v>0</v>
      </c>
    </row>
    <row r="3782" spans="2:24" s="0" customFormat="0" ht="15">
      <c r="B3782" s="69" t="s">
        <v>1046</v>
      </c>
      <c r="C3782" s="70" t="s">
        <v>1047</v>
      </c>
      <c r="D3782" s="70" t="s">
        <v>1</v>
      </c>
      <c r="E3782" s="70" t="s">
        <v>1</v>
      </c>
      <c r="F3782" s="70"/>
      <c r="G3782" s="70" t="s">
        <v>61</v>
      </c>
      <c r="H3782" s="70" t="s">
        <v>178</v>
      </c>
      <c r="I3782" s="70" t="s">
        <v>198</v>
      </c>
      <c r="J3782" s="71" t="str">
        <f>IF(OR(I3782=0,I3782=""),"unrated",VLOOKUP(I3782,MappingTables!$B$19:$C$31,2,FALSE))</f>
        <v>unrated</v>
      </c>
      <c r="K3782" s="72">
        <v>830.47235774810032</v>
      </c>
      <c r="L3782" s="70">
        <v>4.1905139637743176</v>
      </c>
      <c r="M3782" s="71">
        <f>IF(L3782&lt;1,1,L3782)</f>
        <v>4.1905139637743176</v>
      </c>
      <c r="N3782" s="70" t="s">
        <v>141</v>
      </c>
      <c r="O3782" s="71">
        <f>INDEX(DurClassMapping,MATCH(M3782,MappingTables!$D$4:$D$8,-1),1)</f>
        <v>1</v>
      </c>
      <c r="P3782" s="73">
        <f>IF(M3782=$A$1,1,$M3782-INDEX(MappingTables!$E$4:$E$8,MATCH(O3782,MappingTables!$B$4:$B$8,0)))</f>
        <v>4.1905139637743176</v>
      </c>
      <c r="Q3782" s="71">
        <f>IF(B3782="",0,INDEX(ModelParameters!$D$6:$K$10,MATCH($O3782,ModelParameters!$B$6:$B$10,0),MATCH($J3782,ModelParameters!$D$5:$K$5,0)))</f>
        <v>0.03</v>
      </c>
      <c r="R3782" s="71">
        <f>IF(B3782="",0,INDEX(ModelParameters!$D$13:$K$17,MATCH($O3782,ModelParameters!$B$13:$B$17,0),MATCH($J3782,ModelParameters!$D$5:$K$5,0)))</f>
        <v>0</v>
      </c>
      <c r="S3782" s="160">
        <f>IF(B3782="",0,MIN(IF($N3782="Other Bond TM",ModelParameters!$N$21,1)*(P3782*Q3782+R3782),1))</f>
        <v>0.12571541891322952</v>
      </c>
      <c r="T3782" s="85">
        <f>IF(B3782="",0,$S3782*$K3782)</f>
        <v>104.40318035015984</v>
      </c>
      <c r="U3782" s="85">
        <f>IF(B3782="",0,IF(OR(H3782=MappingTables!$C$34,H3782=MappingTables!$C$35),T3782,0))</f>
        <v>0</v>
      </c>
      <c r="V3782" s="85">
        <f>IF(ISNA(IF(AND(VLOOKUP(CONCATENATE($D3782,$G3782),CSRFinput!$B:$E,4,0)=0,OR(H3782=MappingTables!$C$34,H3782=MappingTables!$C$35)),1,VLOOKUP(CONCATENATE($D3782,$G3782),CSRFinput!$B:$E,4,0))),0,IF(AND(VLOOKUP(CONCATENATE($D3782,$G3782),CSRFinput!$B:$E,4,0)=0,OR(H3782=MappingTables!$C$34,H3782=MappingTables!$C$35)),1,VLOOKUP(CONCATENATE($D3782,$G3782),CSRFinput!$B:$E,4,0)))</f>
        <v>0.054776304963434752</v>
      </c>
      <c r="W3782" s="85">
        <f>IF(B3782="",0,+$T3782*$V3782)</f>
        <v>5.7188204460128344</v>
      </c>
      <c r="X3782" s="85">
        <f>IF(B3782="",0,IF(OR(H3782=MappingTables!$C$34,H3782=MappingTables!$C$35),W3782,0))</f>
        <v>0</v>
      </c>
    </row>
    <row r="3783" spans="2:24" s="0" customFormat="0" ht="15">
      <c r="B3783" s="69" t="s">
        <v>2373</v>
      </c>
      <c r="C3783" s="70" t="s">
        <v>2374</v>
      </c>
      <c r="D3783" s="70" t="s">
        <v>1</v>
      </c>
      <c r="E3783" s="70" t="s">
        <v>1</v>
      </c>
      <c r="F3783" s="70"/>
      <c r="G3783" s="70" t="s">
        <v>61</v>
      </c>
      <c r="H3783" s="70" t="s">
        <v>178</v>
      </c>
      <c r="I3783" s="70" t="s">
        <v>181</v>
      </c>
      <c r="J3783" s="71">
        <f>IF(OR(I3783=0,I3783=""),"unrated",VLOOKUP(I3783,MappingTables!$B$19:$C$31,2,FALSE))</f>
        <v>3</v>
      </c>
      <c r="K3783" s="72">
        <v>0.29799218582229616</v>
      </c>
      <c r="L3783" s="70">
        <v>0.073970219932691296</v>
      </c>
      <c r="M3783" s="71">
        <f>IF(L3783&lt;1,1,L3783)</f>
        <v>1</v>
      </c>
      <c r="N3783" s="70" t="s">
        <v>141</v>
      </c>
      <c r="O3783" s="71">
        <f>INDEX(DurClassMapping,MATCH(M3783,MappingTables!$D$4:$D$8,-1),1)</f>
        <v>1</v>
      </c>
      <c r="P3783" s="73">
        <f>IF(M3783=$A$1,1,$M3783-INDEX(MappingTables!$E$4:$E$8,MATCH(O3783,MappingTables!$B$4:$B$8,0)))</f>
        <v>1</v>
      </c>
      <c r="Q3783" s="71">
        <f>IF(B3783="",0,INDEX(ModelParameters!$D$6:$K$10,MATCH($O3783,ModelParameters!$B$6:$B$10,0),MATCH($J3783,ModelParameters!$D$5:$K$5,0)))</f>
        <v>0.025</v>
      </c>
      <c r="R3783" s="71">
        <f>IF(B3783="",0,INDEX(ModelParameters!$D$13:$K$17,MATCH($O3783,ModelParameters!$B$13:$B$17,0),MATCH($J3783,ModelParameters!$D$5:$K$5,0)))</f>
        <v>0</v>
      </c>
      <c r="S3783" s="160">
        <f>IF(B3783="",0,MIN(IF($N3783="Other Bond TM",ModelParameters!$N$21,1)*(P3783*Q3783+R3783),1))</f>
        <v>0.025</v>
      </c>
      <c r="T3783" s="85">
        <f>IF(B3783="",0,$S3783*$K3783)</f>
        <v>0.0074498046455574032</v>
      </c>
      <c r="U3783" s="85">
        <f>IF(B3783="",0,IF(OR(H3783=MappingTables!$C$34,H3783=MappingTables!$C$35),T3783,0))</f>
        <v>0</v>
      </c>
      <c r="V3783" s="85">
        <f>IF(ISNA(IF(AND(VLOOKUP(CONCATENATE($D3783,$G3783),CSRFinput!$B:$E,4,0)=0,OR(H3783=MappingTables!$C$34,H3783=MappingTables!$C$35)),1,VLOOKUP(CONCATENATE($D3783,$G3783),CSRFinput!$B:$E,4,0))),0,IF(AND(VLOOKUP(CONCATENATE($D3783,$G3783),CSRFinput!$B:$E,4,0)=0,OR(H3783=MappingTables!$C$34,H3783=MappingTables!$C$35)),1,VLOOKUP(CONCATENATE($D3783,$G3783),CSRFinput!$B:$E,4,0)))</f>
        <v>0.054776304963434752</v>
      </c>
      <c r="W3783" s="85">
        <f>IF(B3783="",0,+$T3783*$V3783)</f>
        <v>0.00040807277118306528</v>
      </c>
      <c r="X3783" s="85">
        <f>IF(B3783="",0,IF(OR(H3783=MappingTables!$C$34,H3783=MappingTables!$C$35),W3783,0))</f>
        <v>0</v>
      </c>
    </row>
    <row r="3784" spans="2:24" s="0" customFormat="0" ht="15">
      <c r="B3784" s="69" t="s">
        <v>1399</v>
      </c>
      <c r="C3784" s="70" t="s">
        <v>1400</v>
      </c>
      <c r="D3784" s="70" t="s">
        <v>1</v>
      </c>
      <c r="E3784" s="70" t="s">
        <v>1</v>
      </c>
      <c r="F3784" s="70"/>
      <c r="G3784" s="70" t="s">
        <v>61</v>
      </c>
      <c r="H3784" s="70" t="s">
        <v>178</v>
      </c>
      <c r="I3784" s="70" t="s">
        <v>188</v>
      </c>
      <c r="J3784" s="71">
        <f>IF(OR(I3784=0,I3784=""),"unrated",VLOOKUP(I3784,MappingTables!$B$19:$C$31,2,FALSE))</f>
        <v>2</v>
      </c>
      <c r="K3784" s="72">
        <v>564.6211921713268</v>
      </c>
      <c r="L3784" s="70">
        <v>1.393538097104642</v>
      </c>
      <c r="M3784" s="71">
        <f>IF(L3784&lt;1,1,L3784)</f>
        <v>1.393538097104642</v>
      </c>
      <c r="N3784" s="70" t="s">
        <v>141</v>
      </c>
      <c r="O3784" s="71">
        <f>INDEX(DurClassMapping,MATCH(M3784,MappingTables!$D$4:$D$8,-1),1)</f>
        <v>1</v>
      </c>
      <c r="P3784" s="73">
        <f>IF(M3784=$A$1,1,$M3784-INDEX(MappingTables!$E$4:$E$8,MATCH(O3784,MappingTables!$B$4:$B$8,0)))</f>
        <v>1.393538097104642</v>
      </c>
      <c r="Q3784" s="71">
        <f>IF(B3784="",0,INDEX(ModelParameters!$D$6:$K$10,MATCH($O3784,ModelParameters!$B$6:$B$10,0),MATCH($J3784,ModelParameters!$D$5:$K$5,0)))</f>
        <v>0.013999999999999998</v>
      </c>
      <c r="R3784" s="71">
        <f>IF(B3784="",0,INDEX(ModelParameters!$D$13:$K$17,MATCH($O3784,ModelParameters!$B$13:$B$17,0),MATCH($J3784,ModelParameters!$D$5:$K$5,0)))</f>
        <v>0</v>
      </c>
      <c r="S3784" s="160">
        <f>IF(B3784="",0,MIN(IF($N3784="Other Bond TM",ModelParameters!$N$21,1)*(P3784*Q3784+R3784),1))</f>
        <v>0.019509533359464988</v>
      </c>
      <c r="T3784" s="85">
        <f>IF(B3784="",0,$S3784*$K3784)</f>
        <v>11.015495984127392</v>
      </c>
      <c r="U3784" s="85">
        <f>IF(B3784="",0,IF(OR(H3784=MappingTables!$C$34,H3784=MappingTables!$C$35),T3784,0))</f>
        <v>0</v>
      </c>
      <c r="V3784" s="85">
        <f>IF(ISNA(IF(AND(VLOOKUP(CONCATENATE($D3784,$G3784),CSRFinput!$B:$E,4,0)=0,OR(H3784=MappingTables!$C$34,H3784=MappingTables!$C$35)),1,VLOOKUP(CONCATENATE($D3784,$G3784),CSRFinput!$B:$E,4,0))),0,IF(AND(VLOOKUP(CONCATENATE($D3784,$G3784),CSRFinput!$B:$E,4,0)=0,OR(H3784=MappingTables!$C$34,H3784=MappingTables!$C$35)),1,VLOOKUP(CONCATENATE($D3784,$G3784),CSRFinput!$B:$E,4,0)))</f>
        <v>0.054776304963434752</v>
      </c>
      <c r="W3784" s="85">
        <f>IF(B3784="",0,+$T3784*$V3784)</f>
        <v>0.60338816735005288</v>
      </c>
      <c r="X3784" s="85">
        <f>IF(B3784="",0,IF(OR(H3784=MappingTables!$C$34,H3784=MappingTables!$C$35),W3784,0))</f>
        <v>0</v>
      </c>
    </row>
    <row r="3785" spans="2:24" s="0" customFormat="0" ht="15">
      <c r="B3785" s="69">
        <v>6542693</v>
      </c>
      <c r="C3785" s="70" t="s">
        <v>1198</v>
      </c>
      <c r="D3785" s="70" t="s">
        <v>1</v>
      </c>
      <c r="E3785" s="70" t="s">
        <v>1</v>
      </c>
      <c r="F3785" s="70"/>
      <c r="G3785" s="70" t="s">
        <v>61</v>
      </c>
      <c r="H3785" s="70" t="s">
        <v>178</v>
      </c>
      <c r="I3785" s="70" t="s">
        <v>179</v>
      </c>
      <c r="J3785" s="71">
        <f>IF(OR(I3785=0,I3785=""),"unrated",VLOOKUP(I3785,MappingTables!$B$19:$C$31,2,FALSE))</f>
        <v>4</v>
      </c>
      <c r="K3785" s="72">
        <v>1799.185007554994</v>
      </c>
      <c r="L3785" s="70">
        <v>12.512675050662006</v>
      </c>
      <c r="M3785" s="71">
        <f>IF(L3785&lt;1,1,L3785)</f>
        <v>12.512675050662006</v>
      </c>
      <c r="N3785" s="70" t="s">
        <v>141</v>
      </c>
      <c r="O3785" s="71">
        <f>INDEX(DurClassMapping,MATCH(M3785,MappingTables!$D$4:$D$8,-1),1)</f>
        <v>3</v>
      </c>
      <c r="P3785" s="73">
        <f>IF(M3785=$A$1,1,$M3785-INDEX(MappingTables!$E$4:$E$8,MATCH(O3785,MappingTables!$B$4:$B$8,0)))</f>
        <v>2.512675050662006</v>
      </c>
      <c r="Q3785" s="71">
        <f>IF(B3785="",0,INDEX(ModelParameters!$D$6:$K$10,MATCH($O3785,ModelParameters!$B$6:$B$10,0),MATCH($J3785,ModelParameters!$D$5:$K$5,0)))</f>
        <v>0.018000000000000002</v>
      </c>
      <c r="R3785" s="71">
        <f>IF(B3785="",0,INDEX(ModelParameters!$D$13:$K$17,MATCH($O3785,ModelParameters!$B$13:$B$17,0),MATCH($J3785,ModelParameters!$D$5:$K$5,0)))</f>
        <v>0.34999999999999996</v>
      </c>
      <c r="S3785" s="160">
        <f>IF(B3785="",0,MIN(IF($N3785="Other Bond TM",ModelParameters!$N$21,1)*(P3785*Q3785+R3785),1))</f>
        <v>0.39522815091191608</v>
      </c>
      <c r="T3785" s="85">
        <f>IF(B3785="",0,$S3785*$K3785)</f>
        <v>711.08856368440208</v>
      </c>
      <c r="U3785" s="85">
        <f>IF(B3785="",0,IF(OR(H3785=MappingTables!$C$34,H3785=MappingTables!$C$35),T3785,0))</f>
        <v>0</v>
      </c>
      <c r="V3785" s="85">
        <f>IF(ISNA(IF(AND(VLOOKUP(CONCATENATE($D3785,$G3785),CSRFinput!$B:$E,4,0)=0,OR(H3785=MappingTables!$C$34,H3785=MappingTables!$C$35)),1,VLOOKUP(CONCATENATE($D3785,$G3785),CSRFinput!$B:$E,4,0))),0,IF(AND(VLOOKUP(CONCATENATE($D3785,$G3785),CSRFinput!$B:$E,4,0)=0,OR(H3785=MappingTables!$C$34,H3785=MappingTables!$C$35)),1,VLOOKUP(CONCATENATE($D3785,$G3785),CSRFinput!$B:$E,4,0)))</f>
        <v>0.054776304963434752</v>
      </c>
      <c r="W3785" s="85">
        <f>IF(B3785="",0,+$T3785*$V3785)</f>
        <v>38.9508040203876</v>
      </c>
      <c r="X3785" s="85">
        <f>IF(B3785="",0,IF(OR(H3785=MappingTables!$C$34,H3785=MappingTables!$C$35),W3785,0))</f>
        <v>0</v>
      </c>
    </row>
    <row r="3786" spans="2:24" s="0" customFormat="0" ht="15">
      <c r="B3786" s="69">
        <v>17753274</v>
      </c>
      <c r="C3786" s="70" t="s">
        <v>2941</v>
      </c>
      <c r="D3786" s="70" t="s">
        <v>1</v>
      </c>
      <c r="E3786" s="70" t="s">
        <v>1</v>
      </c>
      <c r="F3786" s="70"/>
      <c r="G3786" s="70" t="s">
        <v>61</v>
      </c>
      <c r="H3786" s="70" t="s">
        <v>178</v>
      </c>
      <c r="I3786" s="70" t="s">
        <v>181</v>
      </c>
      <c r="J3786" s="71">
        <f>IF(OR(I3786=0,I3786=""),"unrated",VLOOKUP(I3786,MappingTables!$B$19:$C$31,2,FALSE))</f>
        <v>3</v>
      </c>
      <c r="K3786" s="72">
        <v>11979.38421545533</v>
      </c>
      <c r="L3786" s="70">
        <v>2.3510999971577016</v>
      </c>
      <c r="M3786" s="71">
        <f>IF(L3786&lt;1,1,L3786)</f>
        <v>2.3510999971577016</v>
      </c>
      <c r="N3786" s="70" t="s">
        <v>141</v>
      </c>
      <c r="O3786" s="71">
        <f>INDEX(DurClassMapping,MATCH(M3786,MappingTables!$D$4:$D$8,-1),1)</f>
        <v>1</v>
      </c>
      <c r="P3786" s="73">
        <f>IF(M3786=$A$1,1,$M3786-INDEX(MappingTables!$E$4:$E$8,MATCH(O3786,MappingTables!$B$4:$B$8,0)))</f>
        <v>2.3510999971577016</v>
      </c>
      <c r="Q3786" s="71">
        <f>IF(B3786="",0,INDEX(ModelParameters!$D$6:$K$10,MATCH($O3786,ModelParameters!$B$6:$B$10,0),MATCH($J3786,ModelParameters!$D$5:$K$5,0)))</f>
        <v>0.025</v>
      </c>
      <c r="R3786" s="71">
        <f>IF(B3786="",0,INDEX(ModelParameters!$D$13:$K$17,MATCH($O3786,ModelParameters!$B$13:$B$17,0),MATCH($J3786,ModelParameters!$D$5:$K$5,0)))</f>
        <v>0</v>
      </c>
      <c r="S3786" s="160">
        <f>IF(B3786="",0,MIN(IF($N3786="Other Bond TM",ModelParameters!$N$21,1)*(P3786*Q3786+R3786),1))</f>
        <v>0.058777499928942544</v>
      </c>
      <c r="T3786" s="85">
        <f>IF(B3786="",0,$S3786*$K3786)</f>
        <v>704.11825487270104</v>
      </c>
      <c r="U3786" s="85">
        <f>IF(B3786="",0,IF(OR(H3786=MappingTables!$C$34,H3786=MappingTables!$C$35),T3786,0))</f>
        <v>0</v>
      </c>
      <c r="V3786" s="85">
        <f>IF(ISNA(IF(AND(VLOOKUP(CONCATENATE($D3786,$G3786),CSRFinput!$B:$E,4,0)=0,OR(H3786=MappingTables!$C$34,H3786=MappingTables!$C$35)),1,VLOOKUP(CONCATENATE($D3786,$G3786),CSRFinput!$B:$E,4,0))),0,IF(AND(VLOOKUP(CONCATENATE($D3786,$G3786),CSRFinput!$B:$E,4,0)=0,OR(H3786=MappingTables!$C$34,H3786=MappingTables!$C$35)),1,VLOOKUP(CONCATENATE($D3786,$G3786),CSRFinput!$B:$E,4,0)))</f>
        <v>0.054776304963434752</v>
      </c>
      <c r="W3786" s="85">
        <f>IF(B3786="",0,+$T3786*$V3786)</f>
        <v>38.568996259228552</v>
      </c>
      <c r="X3786" s="85">
        <f>IF(B3786="",0,IF(OR(H3786=MappingTables!$C$34,H3786=MappingTables!$C$35),W3786,0))</f>
        <v>0</v>
      </c>
    </row>
    <row r="3787" spans="2:24" s="0" customFormat="0" ht="15">
      <c r="B3787" s="69" t="s">
        <v>2672</v>
      </c>
      <c r="C3787" s="70" t="s">
        <v>2673</v>
      </c>
      <c r="D3787" s="70" t="s">
        <v>1</v>
      </c>
      <c r="E3787" s="70" t="s">
        <v>1</v>
      </c>
      <c r="F3787" s="70"/>
      <c r="G3787" s="70" t="s">
        <v>61</v>
      </c>
      <c r="H3787" s="70" t="s">
        <v>178</v>
      </c>
      <c r="I3787" s="70" t="s">
        <v>220</v>
      </c>
      <c r="J3787" s="71">
        <f>IF(OR(I3787=0,I3787=""),"unrated",VLOOKUP(I3787,MappingTables!$B$19:$C$31,2,FALSE))</f>
        <v>1</v>
      </c>
      <c r="K3787" s="72">
        <v>516.22992860556624</v>
      </c>
      <c r="L3787" s="70">
        <v>1.8379973172241528</v>
      </c>
      <c r="M3787" s="71">
        <f>IF(L3787&lt;1,1,L3787)</f>
        <v>1.8379973172241528</v>
      </c>
      <c r="N3787" s="70" t="s">
        <v>141</v>
      </c>
      <c r="O3787" s="71">
        <f>INDEX(DurClassMapping,MATCH(M3787,MappingTables!$D$4:$D$8,-1),1)</f>
        <v>1</v>
      </c>
      <c r="P3787" s="73">
        <f>IF(M3787=$A$1,1,$M3787-INDEX(MappingTables!$E$4:$E$8,MATCH(O3787,MappingTables!$B$4:$B$8,0)))</f>
        <v>1.8379973172241528</v>
      </c>
      <c r="Q3787" s="71">
        <f>IF(B3787="",0,INDEX(ModelParameters!$D$6:$K$10,MATCH($O3787,ModelParameters!$B$6:$B$10,0),MATCH($J3787,ModelParameters!$D$5:$K$5,0)))</f>
        <v>0.011000000000000002</v>
      </c>
      <c r="R3787" s="71">
        <f>IF(B3787="",0,INDEX(ModelParameters!$D$13:$K$17,MATCH($O3787,ModelParameters!$B$13:$B$17,0),MATCH($J3787,ModelParameters!$D$5:$K$5,0)))</f>
        <v>0</v>
      </c>
      <c r="S3787" s="160">
        <f>IF(B3787="",0,MIN(IF($N3787="Other Bond TM",ModelParameters!$N$21,1)*(P3787*Q3787+R3787),1))</f>
        <v>0.02021797048946568</v>
      </c>
      <c r="T3787" s="85">
        <f>IF(B3787="",0,$S3787*$K3787)</f>
        <v>10.437121462326314</v>
      </c>
      <c r="U3787" s="85">
        <f>IF(B3787="",0,IF(OR(H3787=MappingTables!$C$34,H3787=MappingTables!$C$35),T3787,0))</f>
        <v>0</v>
      </c>
      <c r="V3787" s="85">
        <f>IF(ISNA(IF(AND(VLOOKUP(CONCATENATE($D3787,$G3787),CSRFinput!$B:$E,4,0)=0,OR(H3787=MappingTables!$C$34,H3787=MappingTables!$C$35)),1,VLOOKUP(CONCATENATE($D3787,$G3787),CSRFinput!$B:$E,4,0))),0,IF(AND(VLOOKUP(CONCATENATE($D3787,$G3787),CSRFinput!$B:$E,4,0)=0,OR(H3787=MappingTables!$C$34,H3787=MappingTables!$C$35)),1,VLOOKUP(CONCATENATE($D3787,$G3787),CSRFinput!$B:$E,4,0)))</f>
        <v>0.054776304963434752</v>
      </c>
      <c r="W3787" s="85">
        <f>IF(B3787="",0,+$T3787*$V3787)</f>
        <v>0.57170694816079624</v>
      </c>
      <c r="X3787" s="85">
        <f>IF(B3787="",0,IF(OR(H3787=MappingTables!$C$34,H3787=MappingTables!$C$35),W3787,0))</f>
        <v>0</v>
      </c>
    </row>
    <row r="3788" spans="2:24" s="0" customFormat="0" ht="15">
      <c r="B3788" s="69">
        <v>22522718</v>
      </c>
      <c r="C3788" s="70" t="s">
        <v>1821</v>
      </c>
      <c r="D3788" s="70" t="s">
        <v>1</v>
      </c>
      <c r="E3788" s="70" t="s">
        <v>1</v>
      </c>
      <c r="F3788" s="70"/>
      <c r="G3788" s="70" t="s">
        <v>61</v>
      </c>
      <c r="H3788" s="70" t="s">
        <v>178</v>
      </c>
      <c r="I3788" s="70" t="s">
        <v>179</v>
      </c>
      <c r="J3788" s="71">
        <f>IF(OR(I3788=0,I3788=""),"unrated",VLOOKUP(I3788,MappingTables!$B$19:$C$31,2,FALSE))</f>
        <v>4</v>
      </c>
      <c r="K3788" s="72">
        <v>10632.418991195764</v>
      </c>
      <c r="L3788" s="70">
        <v>3.7678763247531056</v>
      </c>
      <c r="M3788" s="71">
        <f>IF(L3788&lt;1,1,L3788)</f>
        <v>3.7678763247531056</v>
      </c>
      <c r="N3788" s="70" t="s">
        <v>141</v>
      </c>
      <c r="O3788" s="71">
        <f>INDEX(DurClassMapping,MATCH(M3788,MappingTables!$D$4:$D$8,-1),1)</f>
        <v>1</v>
      </c>
      <c r="P3788" s="73">
        <f>IF(M3788=$A$1,1,$M3788-INDEX(MappingTables!$E$4:$E$8,MATCH(O3788,MappingTables!$B$4:$B$8,0)))</f>
        <v>3.7678763247531056</v>
      </c>
      <c r="Q3788" s="71">
        <f>IF(B3788="",0,INDEX(ModelParameters!$D$6:$K$10,MATCH($O3788,ModelParameters!$B$6:$B$10,0),MATCH($J3788,ModelParameters!$D$5:$K$5,0)))</f>
        <v>0.045</v>
      </c>
      <c r="R3788" s="71">
        <f>IF(B3788="",0,INDEX(ModelParameters!$D$13:$K$17,MATCH($O3788,ModelParameters!$B$13:$B$17,0),MATCH($J3788,ModelParameters!$D$5:$K$5,0)))</f>
        <v>0</v>
      </c>
      <c r="S3788" s="160">
        <f>IF(B3788="",0,MIN(IF($N3788="Other Bond TM",ModelParameters!$N$21,1)*(P3788*Q3788+R3788),1))</f>
        <v>0.16955443461388974</v>
      </c>
      <c r="T3788" s="85">
        <f>IF(B3788="",0,$S3788*$K3788)</f>
        <v>1802.7737906301816</v>
      </c>
      <c r="U3788" s="85">
        <f>IF(B3788="",0,IF(OR(H3788=MappingTables!$C$34,H3788=MappingTables!$C$35),T3788,0))</f>
        <v>0</v>
      </c>
      <c r="V3788" s="85">
        <f>IF(ISNA(IF(AND(VLOOKUP(CONCATENATE($D3788,$G3788),CSRFinput!$B:$E,4,0)=0,OR(H3788=MappingTables!$C$34,H3788=MappingTables!$C$35)),1,VLOOKUP(CONCATENATE($D3788,$G3788),CSRFinput!$B:$E,4,0))),0,IF(AND(VLOOKUP(CONCATENATE($D3788,$G3788),CSRFinput!$B:$E,4,0)=0,OR(H3788=MappingTables!$C$34,H3788=MappingTables!$C$35)),1,VLOOKUP(CONCATENATE($D3788,$G3788),CSRFinput!$B:$E,4,0)))</f>
        <v>0.054776304963434752</v>
      </c>
      <c r="W3788" s="85">
        <f>IF(B3788="",0,+$T3788*$V3788)</f>
        <v>98.749286935646112</v>
      </c>
      <c r="X3788" s="85">
        <f>IF(B3788="",0,IF(OR(H3788=MappingTables!$C$34,H3788=MappingTables!$C$35),W3788,0))</f>
        <v>0</v>
      </c>
    </row>
    <row r="3789" spans="2:24" s="0" customFormat="0" ht="15">
      <c r="B3789" s="69" t="s">
        <v>255</v>
      </c>
      <c r="C3789" s="70" t="s">
        <v>256</v>
      </c>
      <c r="D3789" s="70" t="s">
        <v>1</v>
      </c>
      <c r="E3789" s="70" t="s">
        <v>1</v>
      </c>
      <c r="F3789" s="70"/>
      <c r="G3789" s="70" t="s">
        <v>61</v>
      </c>
      <c r="H3789" s="70" t="s">
        <v>178</v>
      </c>
      <c r="I3789" s="70" t="s">
        <v>198</v>
      </c>
      <c r="J3789" s="71" t="str">
        <f>IF(OR(I3789=0,I3789=""),"unrated",VLOOKUP(I3789,MappingTables!$B$19:$C$31,2,FALSE))</f>
        <v>unrated</v>
      </c>
      <c r="K3789" s="72">
        <v>29.772426028548412</v>
      </c>
      <c r="L3789" s="70">
        <v>4.7113282877053632</v>
      </c>
      <c r="M3789" s="71">
        <f>IF(L3789&lt;1,1,L3789)</f>
        <v>4.7113282877053632</v>
      </c>
      <c r="N3789" s="70" t="s">
        <v>141</v>
      </c>
      <c r="O3789" s="71">
        <f>INDEX(DurClassMapping,MATCH(M3789,MappingTables!$D$4:$D$8,-1),1)</f>
        <v>1</v>
      </c>
      <c r="P3789" s="73">
        <f>IF(M3789=$A$1,1,$M3789-INDEX(MappingTables!$E$4:$E$8,MATCH(O3789,MappingTables!$B$4:$B$8,0)))</f>
        <v>4.7113282877053632</v>
      </c>
      <c r="Q3789" s="71">
        <f>IF(B3789="",0,INDEX(ModelParameters!$D$6:$K$10,MATCH($O3789,ModelParameters!$B$6:$B$10,0),MATCH($J3789,ModelParameters!$D$5:$K$5,0)))</f>
        <v>0.03</v>
      </c>
      <c r="R3789" s="71">
        <f>IF(B3789="",0,INDEX(ModelParameters!$D$13:$K$17,MATCH($O3789,ModelParameters!$B$13:$B$17,0),MATCH($J3789,ModelParameters!$D$5:$K$5,0)))</f>
        <v>0</v>
      </c>
      <c r="S3789" s="160">
        <f>IF(B3789="",0,MIN(IF($N3789="Other Bond TM",ModelParameters!$N$21,1)*(P3789*Q3789+R3789),1))</f>
        <v>0.1413398486311609</v>
      </c>
      <c r="T3789" s="85">
        <f>IF(B3789="",0,$S3789*$K3789)</f>
        <v>4.2080301882574672</v>
      </c>
      <c r="U3789" s="85">
        <f>IF(B3789="",0,IF(OR(H3789=MappingTables!$C$34,H3789=MappingTables!$C$35),T3789,0))</f>
        <v>0</v>
      </c>
      <c r="V3789" s="85">
        <f>IF(ISNA(IF(AND(VLOOKUP(CONCATENATE($D3789,$G3789),CSRFinput!$B:$E,4,0)=0,OR(H3789=MappingTables!$C$34,H3789=MappingTables!$C$35)),1,VLOOKUP(CONCATENATE($D3789,$G3789),CSRFinput!$B:$E,4,0))),0,IF(AND(VLOOKUP(CONCATENATE($D3789,$G3789),CSRFinput!$B:$E,4,0)=0,OR(H3789=MappingTables!$C$34,H3789=MappingTables!$C$35)),1,VLOOKUP(CONCATENATE($D3789,$G3789),CSRFinput!$B:$E,4,0)))</f>
        <v>0.054776304963434752</v>
      </c>
      <c r="W3789" s="85">
        <f>IF(B3789="",0,+$T3789*$V3789)</f>
        <v>0.2305003448873308</v>
      </c>
      <c r="X3789" s="85">
        <f>IF(B3789="",0,IF(OR(H3789=MappingTables!$C$34,H3789=MappingTables!$C$35),W3789,0))</f>
        <v>0</v>
      </c>
    </row>
    <row r="3790" spans="2:24" s="0" customFormat="0" ht="15">
      <c r="B3790" s="69">
        <v>24176489</v>
      </c>
      <c r="C3790" s="70" t="s">
        <v>1892</v>
      </c>
      <c r="D3790" s="70" t="s">
        <v>1</v>
      </c>
      <c r="E3790" s="70" t="s">
        <v>1</v>
      </c>
      <c r="F3790" s="70"/>
      <c r="G3790" s="70" t="s">
        <v>61</v>
      </c>
      <c r="H3790" s="70" t="s">
        <v>178</v>
      </c>
      <c r="I3790" s="70" t="s">
        <v>184</v>
      </c>
      <c r="J3790" s="71">
        <f>IF(OR(I3790=0,I3790=""),"unrated",VLOOKUP(I3790,MappingTables!$B$19:$C$31,2,FALSE))</f>
        <v>5</v>
      </c>
      <c r="K3790" s="72">
        <v>6560.6452368704344</v>
      </c>
      <c r="L3790" s="70">
        <v>4.2885137009149456</v>
      </c>
      <c r="M3790" s="71">
        <f>IF(L3790&lt;1,1,L3790)</f>
        <v>4.2885137009149456</v>
      </c>
      <c r="N3790" s="70" t="s">
        <v>141</v>
      </c>
      <c r="O3790" s="71">
        <f>INDEX(DurClassMapping,MATCH(M3790,MappingTables!$D$4:$D$8,-1),1)</f>
        <v>1</v>
      </c>
      <c r="P3790" s="73">
        <f>IF(M3790=$A$1,1,$M3790-INDEX(MappingTables!$E$4:$E$8,MATCH(O3790,MappingTables!$B$4:$B$8,0)))</f>
        <v>4.2885137009149456</v>
      </c>
      <c r="Q3790" s="71">
        <f>IF(B3790="",0,INDEX(ModelParameters!$D$6:$K$10,MATCH($O3790,ModelParameters!$B$6:$B$10,0),MATCH($J3790,ModelParameters!$D$5:$K$5,0)))</f>
        <v>0.075</v>
      </c>
      <c r="R3790" s="71">
        <f>IF(B3790="",0,INDEX(ModelParameters!$D$13:$K$17,MATCH($O3790,ModelParameters!$B$13:$B$17,0),MATCH($J3790,ModelParameters!$D$5:$K$5,0)))</f>
        <v>0</v>
      </c>
      <c r="S3790" s="160">
        <f>IF(B3790="",0,MIN(IF($N3790="Other Bond TM",ModelParameters!$N$21,1)*(P3790*Q3790+R3790),1))</f>
        <v>0.32163852756862092</v>
      </c>
      <c r="T3790" s="85">
        <f>IF(B3790="",0,$S3790*$K3790)</f>
        <v>2110.1562738870924</v>
      </c>
      <c r="U3790" s="85">
        <f>IF(B3790="",0,IF(OR(H3790=MappingTables!$C$34,H3790=MappingTables!$C$35),T3790,0))</f>
        <v>0</v>
      </c>
      <c r="V3790" s="85">
        <f>IF(ISNA(IF(AND(VLOOKUP(CONCATENATE($D3790,$G3790),CSRFinput!$B:$E,4,0)=0,OR(H3790=MappingTables!$C$34,H3790=MappingTables!$C$35)),1,VLOOKUP(CONCATENATE($D3790,$G3790),CSRFinput!$B:$E,4,0))),0,IF(AND(VLOOKUP(CONCATENATE($D3790,$G3790),CSRFinput!$B:$E,4,0)=0,OR(H3790=MappingTables!$C$34,H3790=MappingTables!$C$35)),1,VLOOKUP(CONCATENATE($D3790,$G3790),CSRFinput!$B:$E,4,0)))</f>
        <v>0.054776304963434752</v>
      </c>
      <c r="W3790" s="85">
        <f>IF(B3790="",0,+$T3790*$V3790)</f>
        <v>115.58656357894454</v>
      </c>
      <c r="X3790" s="85">
        <f>IF(B3790="",0,IF(OR(H3790=MappingTables!$C$34,H3790=MappingTables!$C$35),W3790,0))</f>
        <v>0</v>
      </c>
    </row>
    <row r="3791" spans="2:24" s="0" customFormat="0" ht="15">
      <c r="B3791" s="69">
        <v>16636568</v>
      </c>
      <c r="C3791" s="70" t="s">
        <v>2942</v>
      </c>
      <c r="D3791" s="70" t="s">
        <v>1</v>
      </c>
      <c r="E3791" s="70" t="s">
        <v>1</v>
      </c>
      <c r="F3791" s="70"/>
      <c r="G3791" s="70" t="s">
        <v>61</v>
      </c>
      <c r="H3791" s="70" t="s">
        <v>178</v>
      </c>
      <c r="I3791" s="70" t="s">
        <v>181</v>
      </c>
      <c r="J3791" s="71">
        <f>IF(OR(I3791=0,I3791=""),"unrated",VLOOKUP(I3791,MappingTables!$B$19:$C$31,2,FALSE))</f>
        <v>3</v>
      </c>
      <c r="K3791" s="72">
        <v>8366.654054926256</v>
      </c>
      <c r="L3791" s="70">
        <v>4.1374909414378976</v>
      </c>
      <c r="M3791" s="71">
        <f>IF(L3791&lt;1,1,L3791)</f>
        <v>4.1374909414378976</v>
      </c>
      <c r="N3791" s="70" t="s">
        <v>141</v>
      </c>
      <c r="O3791" s="71">
        <f>INDEX(DurClassMapping,MATCH(M3791,MappingTables!$D$4:$D$8,-1),1)</f>
        <v>1</v>
      </c>
      <c r="P3791" s="73">
        <f>IF(M3791=$A$1,1,$M3791-INDEX(MappingTables!$E$4:$E$8,MATCH(O3791,MappingTables!$B$4:$B$8,0)))</f>
        <v>4.1374909414378976</v>
      </c>
      <c r="Q3791" s="71">
        <f>IF(B3791="",0,INDEX(ModelParameters!$D$6:$K$10,MATCH($O3791,ModelParameters!$B$6:$B$10,0),MATCH($J3791,ModelParameters!$D$5:$K$5,0)))</f>
        <v>0.025</v>
      </c>
      <c r="R3791" s="71">
        <f>IF(B3791="",0,INDEX(ModelParameters!$D$13:$K$17,MATCH($O3791,ModelParameters!$B$13:$B$17,0),MATCH($J3791,ModelParameters!$D$5:$K$5,0)))</f>
        <v>0</v>
      </c>
      <c r="S3791" s="160">
        <f>IF(B3791="",0,MIN(IF($N3791="Other Bond TM",ModelParameters!$N$21,1)*(P3791*Q3791+R3791),1))</f>
        <v>0.10343727353594744</v>
      </c>
      <c r="T3791" s="85">
        <f>IF(B3791="",0,$S3791*$K3791)</f>
        <v>865.42388406005104</v>
      </c>
      <c r="U3791" s="85">
        <f>IF(B3791="",0,IF(OR(H3791=MappingTables!$C$34,H3791=MappingTables!$C$35),T3791,0))</f>
        <v>0</v>
      </c>
      <c r="V3791" s="85">
        <f>IF(ISNA(IF(AND(VLOOKUP(CONCATENATE($D3791,$G3791),CSRFinput!$B:$E,4,0)=0,OR(H3791=MappingTables!$C$34,H3791=MappingTables!$C$35)),1,VLOOKUP(CONCATENATE($D3791,$G3791),CSRFinput!$B:$E,4,0))),0,IF(AND(VLOOKUP(CONCATENATE($D3791,$G3791),CSRFinput!$B:$E,4,0)=0,OR(H3791=MappingTables!$C$34,H3791=MappingTables!$C$35)),1,VLOOKUP(CONCATENATE($D3791,$G3791),CSRFinput!$B:$E,4,0)))</f>
        <v>0.054776304963434752</v>
      </c>
      <c r="W3791" s="85">
        <f>IF(B3791="",0,+$T3791*$V3791)</f>
        <v>47.404722595913552</v>
      </c>
      <c r="X3791" s="85">
        <f>IF(B3791="",0,IF(OR(H3791=MappingTables!$C$34,H3791=MappingTables!$C$35),W3791,0))</f>
        <v>0</v>
      </c>
    </row>
    <row r="3792" spans="2:24" s="0" customFormat="0" ht="15">
      <c r="B3792" s="69">
        <v>11418404</v>
      </c>
      <c r="C3792" s="70" t="s">
        <v>2611</v>
      </c>
      <c r="D3792" s="70" t="s">
        <v>1</v>
      </c>
      <c r="E3792" s="70" t="s">
        <v>1</v>
      </c>
      <c r="F3792" s="70"/>
      <c r="G3792" s="70" t="s">
        <v>61</v>
      </c>
      <c r="H3792" s="70" t="s">
        <v>178</v>
      </c>
      <c r="I3792" s="70" t="s">
        <v>188</v>
      </c>
      <c r="J3792" s="71">
        <f>IF(OR(I3792=0,I3792=""),"unrated",VLOOKUP(I3792,MappingTables!$B$19:$C$31,2,FALSE))</f>
        <v>2</v>
      </c>
      <c r="K3792" s="72">
        <v>90.362842087140992</v>
      </c>
      <c r="L3792" s="70">
        <v>0.082189960983946816</v>
      </c>
      <c r="M3792" s="71">
        <f>IF(L3792&lt;1,1,L3792)</f>
        <v>1</v>
      </c>
      <c r="N3792" s="70" t="s">
        <v>141</v>
      </c>
      <c r="O3792" s="71">
        <f>INDEX(DurClassMapping,MATCH(M3792,MappingTables!$D$4:$D$8,-1),1)</f>
        <v>1</v>
      </c>
      <c r="P3792" s="73">
        <f>IF(M3792=$A$1,1,$M3792-INDEX(MappingTables!$E$4:$E$8,MATCH(O3792,MappingTables!$B$4:$B$8,0)))</f>
        <v>1</v>
      </c>
      <c r="Q3792" s="71">
        <f>IF(B3792="",0,INDEX(ModelParameters!$D$6:$K$10,MATCH($O3792,ModelParameters!$B$6:$B$10,0),MATCH($J3792,ModelParameters!$D$5:$K$5,0)))</f>
        <v>0.013999999999999998</v>
      </c>
      <c r="R3792" s="71">
        <f>IF(B3792="",0,INDEX(ModelParameters!$D$13:$K$17,MATCH($O3792,ModelParameters!$B$13:$B$17,0),MATCH($J3792,ModelParameters!$D$5:$K$5,0)))</f>
        <v>0</v>
      </c>
      <c r="S3792" s="160">
        <f>IF(B3792="",0,MIN(IF($N3792="Other Bond TM",ModelParameters!$N$21,1)*(P3792*Q3792+R3792),1))</f>
        <v>0.013999999999999998</v>
      </c>
      <c r="T3792" s="85">
        <f>IF(B3792="",0,$S3792*$K3792)</f>
        <v>1.2650797892199736</v>
      </c>
      <c r="U3792" s="85">
        <f>IF(B3792="",0,IF(OR(H3792=MappingTables!$C$34,H3792=MappingTables!$C$35),T3792,0))</f>
        <v>0</v>
      </c>
      <c r="V3792" s="85">
        <f>IF(ISNA(IF(AND(VLOOKUP(CONCATENATE($D3792,$G3792),CSRFinput!$B:$E,4,0)=0,OR(H3792=MappingTables!$C$34,H3792=MappingTables!$C$35)),1,VLOOKUP(CONCATENATE($D3792,$G3792),CSRFinput!$B:$E,4,0))),0,IF(AND(VLOOKUP(CONCATENATE($D3792,$G3792),CSRFinput!$B:$E,4,0)=0,OR(H3792=MappingTables!$C$34,H3792=MappingTables!$C$35)),1,VLOOKUP(CONCATENATE($D3792,$G3792),CSRFinput!$B:$E,4,0)))</f>
        <v>0.054776304963434752</v>
      </c>
      <c r="W3792" s="85">
        <f>IF(B3792="",0,+$T3792*$V3792)</f>
        <v>0.06929639633739104</v>
      </c>
      <c r="X3792" s="85">
        <f>IF(B3792="",0,IF(OR(H3792=MappingTables!$C$34,H3792=MappingTables!$C$35),W3792,0))</f>
        <v>0</v>
      </c>
    </row>
    <row r="3793" spans="2:24" s="0" customFormat="0" ht="15">
      <c r="B3793" s="69">
        <v>22078684</v>
      </c>
      <c r="C3793" s="70" t="s">
        <v>215</v>
      </c>
      <c r="D3793" s="70" t="s">
        <v>1</v>
      </c>
      <c r="E3793" s="70" t="s">
        <v>1</v>
      </c>
      <c r="F3793" s="70"/>
      <c r="G3793" s="70" t="s">
        <v>61</v>
      </c>
      <c r="H3793" s="70" t="s">
        <v>178</v>
      </c>
      <c r="I3793" s="70" t="s">
        <v>216</v>
      </c>
      <c r="J3793" s="71">
        <f>IF(OR(I3793=0,I3793=""),"unrated",VLOOKUP(I3793,MappingTables!$B$19:$C$31,2,FALSE))</f>
        <v>0</v>
      </c>
      <c r="K3793" s="72">
        <v>9434.35243036644</v>
      </c>
      <c r="L3793" s="70">
        <v>0.076715020757130224</v>
      </c>
      <c r="M3793" s="71">
        <f>IF(L3793&lt;1,1,L3793)</f>
        <v>1</v>
      </c>
      <c r="N3793" s="70" t="s">
        <v>141</v>
      </c>
      <c r="O3793" s="71">
        <f>INDEX(DurClassMapping,MATCH(M3793,MappingTables!$D$4:$D$8,-1),1)</f>
        <v>1</v>
      </c>
      <c r="P3793" s="73">
        <f>IF(M3793=$A$1,1,$M3793-INDEX(MappingTables!$E$4:$E$8,MATCH(O3793,MappingTables!$B$4:$B$8,0)))</f>
        <v>1</v>
      </c>
      <c r="Q3793" s="71">
        <f>IF(B3793="",0,INDEX(ModelParameters!$D$6:$K$10,MATCH($O3793,ModelParameters!$B$6:$B$10,0),MATCH($J3793,ModelParameters!$D$5:$K$5,0)))</f>
        <v>0.0090000000000000016</v>
      </c>
      <c r="R3793" s="71">
        <f>IF(B3793="",0,INDEX(ModelParameters!$D$13:$K$17,MATCH($O3793,ModelParameters!$B$13:$B$17,0),MATCH($J3793,ModelParameters!$D$5:$K$5,0)))</f>
        <v>0</v>
      </c>
      <c r="S3793" s="160">
        <f>IF(B3793="",0,MIN(IF($N3793="Other Bond TM",ModelParameters!$N$21,1)*(P3793*Q3793+R3793),1))</f>
        <v>0.0090000000000000016</v>
      </c>
      <c r="T3793" s="85">
        <f>IF(B3793="",0,$S3793*$K3793)</f>
        <v>84.909171873297968</v>
      </c>
      <c r="U3793" s="85">
        <f>IF(B3793="",0,IF(OR(H3793=MappingTables!$C$34,H3793=MappingTables!$C$35),T3793,0))</f>
        <v>0</v>
      </c>
      <c r="V3793" s="85">
        <f>IF(ISNA(IF(AND(VLOOKUP(CONCATENATE($D3793,$G3793),CSRFinput!$B:$E,4,0)=0,OR(H3793=MappingTables!$C$34,H3793=MappingTables!$C$35)),1,VLOOKUP(CONCATENATE($D3793,$G3793),CSRFinput!$B:$E,4,0))),0,IF(AND(VLOOKUP(CONCATENATE($D3793,$G3793),CSRFinput!$B:$E,4,0)=0,OR(H3793=MappingTables!$C$34,H3793=MappingTables!$C$35)),1,VLOOKUP(CONCATENATE($D3793,$G3793),CSRFinput!$B:$E,4,0)))</f>
        <v>0.054776304963434752</v>
      </c>
      <c r="W3793" s="85">
        <f>IF(B3793="",0,+$T3793*$V3793)</f>
        <v>4.6510106927244656</v>
      </c>
      <c r="X3793" s="85">
        <f>IF(B3793="",0,IF(OR(H3793=MappingTables!$C$34,H3793=MappingTables!$C$35),W3793,0))</f>
        <v>0</v>
      </c>
    </row>
    <row r="3794" spans="2:24" s="0" customFormat="0" ht="15">
      <c r="B3794" s="69">
        <v>22844752</v>
      </c>
      <c r="C3794" s="70" t="s">
        <v>2162</v>
      </c>
      <c r="D3794" s="70" t="s">
        <v>1</v>
      </c>
      <c r="E3794" s="70" t="s">
        <v>1</v>
      </c>
      <c r="F3794" s="70"/>
      <c r="G3794" s="70" t="s">
        <v>61</v>
      </c>
      <c r="H3794" s="70" t="s">
        <v>178</v>
      </c>
      <c r="I3794" s="70" t="s">
        <v>181</v>
      </c>
      <c r="J3794" s="71">
        <f>IF(OR(I3794=0,I3794=""),"unrated",VLOOKUP(I3794,MappingTables!$B$19:$C$31,2,FALSE))</f>
        <v>3</v>
      </c>
      <c r="K3794" s="72">
        <v>29.400203672454268</v>
      </c>
      <c r="L3794" s="70">
        <v>8.3335425752638736</v>
      </c>
      <c r="M3794" s="71">
        <f>IF(L3794&lt;1,1,L3794)</f>
        <v>8.3335425752638736</v>
      </c>
      <c r="N3794" s="70" t="s">
        <v>141</v>
      </c>
      <c r="O3794" s="71">
        <f>INDEX(DurClassMapping,MATCH(M3794,MappingTables!$D$4:$D$8,-1),1)</f>
        <v>2</v>
      </c>
      <c r="P3794" s="73">
        <f>IF(M3794=$A$1,1,$M3794-INDEX(MappingTables!$E$4:$E$8,MATCH(O3794,MappingTables!$B$4:$B$8,0)))</f>
        <v>3.3335425752638736</v>
      </c>
      <c r="Q3794" s="71">
        <f>IF(B3794="",0,INDEX(ModelParameters!$D$6:$K$10,MATCH($O3794,ModelParameters!$B$6:$B$10,0),MATCH($J3794,ModelParameters!$D$5:$K$5,0)))</f>
        <v>0.015</v>
      </c>
      <c r="R3794" s="71">
        <f>IF(B3794="",0,INDEX(ModelParameters!$D$13:$K$17,MATCH($O3794,ModelParameters!$B$13:$B$17,0),MATCH($J3794,ModelParameters!$D$5:$K$5,0)))</f>
        <v>0.125</v>
      </c>
      <c r="S3794" s="160">
        <f>IF(B3794="",0,MIN(IF($N3794="Other Bond TM",ModelParameters!$N$21,1)*(P3794*Q3794+R3794),1))</f>
        <v>0.17500313862895812</v>
      </c>
      <c r="T3794" s="85">
        <f>IF(B3794="",0,$S3794*$K3794)</f>
        <v>5.1451279190101176</v>
      </c>
      <c r="U3794" s="85">
        <f>IF(B3794="",0,IF(OR(H3794=MappingTables!$C$34,H3794=MappingTables!$C$35),T3794,0))</f>
        <v>0</v>
      </c>
      <c r="V3794" s="85">
        <f>IF(ISNA(IF(AND(VLOOKUP(CONCATENATE($D3794,$G3794),CSRFinput!$B:$E,4,0)=0,OR(H3794=MappingTables!$C$34,H3794=MappingTables!$C$35)),1,VLOOKUP(CONCATENATE($D3794,$G3794),CSRFinput!$B:$E,4,0))),0,IF(AND(VLOOKUP(CONCATENATE($D3794,$G3794),CSRFinput!$B:$E,4,0)=0,OR(H3794=MappingTables!$C$34,H3794=MappingTables!$C$35)),1,VLOOKUP(CONCATENATE($D3794,$G3794),CSRFinput!$B:$E,4,0)))</f>
        <v>0.054776304963434752</v>
      </c>
      <c r="W3794" s="85">
        <f>IF(B3794="",0,+$T3794*$V3794)</f>
        <v>0.2818310959675806</v>
      </c>
      <c r="X3794" s="85">
        <f>IF(B3794="",0,IF(OR(H3794=MappingTables!$C$34,H3794=MappingTables!$C$35),W3794,0))</f>
        <v>0</v>
      </c>
    </row>
    <row r="3795" spans="2:24" s="0" customFormat="0" ht="15">
      <c r="B3795" s="69">
        <v>15325609</v>
      </c>
      <c r="C3795" s="70" t="s">
        <v>2938</v>
      </c>
      <c r="D3795" s="70" t="s">
        <v>1</v>
      </c>
      <c r="E3795" s="70" t="s">
        <v>1</v>
      </c>
      <c r="F3795" s="70"/>
      <c r="G3795" s="70" t="s">
        <v>61</v>
      </c>
      <c r="H3795" s="70" t="s">
        <v>178</v>
      </c>
      <c r="I3795" s="70" t="s">
        <v>181</v>
      </c>
      <c r="J3795" s="71">
        <f>IF(OR(I3795=0,I3795=""),"unrated",VLOOKUP(I3795,MappingTables!$B$19:$C$31,2,FALSE))</f>
        <v>3</v>
      </c>
      <c r="K3795" s="72">
        <v>725.149760254148</v>
      </c>
      <c r="L3795" s="70">
        <v>2.3707773407202776</v>
      </c>
      <c r="M3795" s="71">
        <f>IF(L3795&lt;1,1,L3795)</f>
        <v>2.3707773407202776</v>
      </c>
      <c r="N3795" s="70" t="s">
        <v>141</v>
      </c>
      <c r="O3795" s="71">
        <f>INDEX(DurClassMapping,MATCH(M3795,MappingTables!$D$4:$D$8,-1),1)</f>
        <v>1</v>
      </c>
      <c r="P3795" s="73">
        <f>IF(M3795=$A$1,1,$M3795-INDEX(MappingTables!$E$4:$E$8,MATCH(O3795,MappingTables!$B$4:$B$8,0)))</f>
        <v>2.3707773407202776</v>
      </c>
      <c r="Q3795" s="71">
        <f>IF(B3795="",0,INDEX(ModelParameters!$D$6:$K$10,MATCH($O3795,ModelParameters!$B$6:$B$10,0),MATCH($J3795,ModelParameters!$D$5:$K$5,0)))</f>
        <v>0.025</v>
      </c>
      <c r="R3795" s="71">
        <f>IF(B3795="",0,INDEX(ModelParameters!$D$13:$K$17,MATCH($O3795,ModelParameters!$B$13:$B$17,0),MATCH($J3795,ModelParameters!$D$5:$K$5,0)))</f>
        <v>0</v>
      </c>
      <c r="S3795" s="160">
        <f>IF(B3795="",0,MIN(IF($N3795="Other Bond TM",ModelParameters!$N$21,1)*(P3795*Q3795+R3795),1))</f>
        <v>0.059269433518006944</v>
      </c>
      <c r="T3795" s="85">
        <f>IF(B3795="",0,$S3795*$K3795)</f>
        <v>42.979215505981896</v>
      </c>
      <c r="U3795" s="85">
        <f>IF(B3795="",0,IF(OR(H3795=MappingTables!$C$34,H3795=MappingTables!$C$35),T3795,0))</f>
        <v>0</v>
      </c>
      <c r="V3795" s="85">
        <f>IF(ISNA(IF(AND(VLOOKUP(CONCATENATE($D3795,$G3795),CSRFinput!$B:$E,4,0)=0,OR(H3795=MappingTables!$C$34,H3795=MappingTables!$C$35)),1,VLOOKUP(CONCATENATE($D3795,$G3795),CSRFinput!$B:$E,4,0))),0,IF(AND(VLOOKUP(CONCATENATE($D3795,$G3795),CSRFinput!$B:$E,4,0)=0,OR(H3795=MappingTables!$C$34,H3795=MappingTables!$C$35)),1,VLOOKUP(CONCATENATE($D3795,$G3795),CSRFinput!$B:$E,4,0)))</f>
        <v>0.054776304963434752</v>
      </c>
      <c r="W3795" s="85">
        <f>IF(B3795="",0,+$T3795*$V3795)</f>
        <v>2.354242615644848</v>
      </c>
      <c r="X3795" s="85">
        <f>IF(B3795="",0,IF(OR(H3795=MappingTables!$C$34,H3795=MappingTables!$C$35),W3795,0))</f>
        <v>0</v>
      </c>
    </row>
    <row r="3796" spans="2:24" s="0" customFormat="0" ht="15">
      <c r="B3796" s="69">
        <v>23673157</v>
      </c>
      <c r="C3796" s="70" t="s">
        <v>2943</v>
      </c>
      <c r="D3796" s="70" t="s">
        <v>1</v>
      </c>
      <c r="E3796" s="70" t="s">
        <v>1</v>
      </c>
      <c r="F3796" s="70"/>
      <c r="G3796" s="70" t="s">
        <v>61</v>
      </c>
      <c r="H3796" s="70" t="s">
        <v>178</v>
      </c>
      <c r="I3796" s="70" t="s">
        <v>188</v>
      </c>
      <c r="J3796" s="71">
        <f>IF(OR(I3796=0,I3796=""),"unrated",VLOOKUP(I3796,MappingTables!$B$19:$C$31,2,FALSE))</f>
        <v>2</v>
      </c>
      <c r="K3796" s="72">
        <v>1531.813393099725</v>
      </c>
      <c r="L3796" s="70">
        <v>1.4514782482440756</v>
      </c>
      <c r="M3796" s="71">
        <f>IF(L3796&lt;1,1,L3796)</f>
        <v>1.4514782482440756</v>
      </c>
      <c r="N3796" s="70" t="s">
        <v>141</v>
      </c>
      <c r="O3796" s="71">
        <f>INDEX(DurClassMapping,MATCH(M3796,MappingTables!$D$4:$D$8,-1),1)</f>
        <v>1</v>
      </c>
      <c r="P3796" s="73">
        <f>IF(M3796=$A$1,1,$M3796-INDEX(MappingTables!$E$4:$E$8,MATCH(O3796,MappingTables!$B$4:$B$8,0)))</f>
        <v>1.4514782482440756</v>
      </c>
      <c r="Q3796" s="71">
        <f>IF(B3796="",0,INDEX(ModelParameters!$D$6:$K$10,MATCH($O3796,ModelParameters!$B$6:$B$10,0),MATCH($J3796,ModelParameters!$D$5:$K$5,0)))</f>
        <v>0.013999999999999998</v>
      </c>
      <c r="R3796" s="71">
        <f>IF(B3796="",0,INDEX(ModelParameters!$D$13:$K$17,MATCH($O3796,ModelParameters!$B$13:$B$17,0),MATCH($J3796,ModelParameters!$D$5:$K$5,0)))</f>
        <v>0</v>
      </c>
      <c r="S3796" s="160">
        <f>IF(B3796="",0,MIN(IF($N3796="Other Bond TM",ModelParameters!$N$21,1)*(P3796*Q3796+R3796),1))</f>
        <v>0.020320695475417056</v>
      </c>
      <c r="T3796" s="85">
        <f>IF(B3796="",0,$S3796*$K3796)</f>
        <v>31.127513486344832</v>
      </c>
      <c r="U3796" s="85">
        <f>IF(B3796="",0,IF(OR(H3796=MappingTables!$C$34,H3796=MappingTables!$C$35),T3796,0))</f>
        <v>0</v>
      </c>
      <c r="V3796" s="85">
        <f>IF(ISNA(IF(AND(VLOOKUP(CONCATENATE($D3796,$G3796),CSRFinput!$B:$E,4,0)=0,OR(H3796=MappingTables!$C$34,H3796=MappingTables!$C$35)),1,VLOOKUP(CONCATENATE($D3796,$G3796),CSRFinput!$B:$E,4,0))),0,IF(AND(VLOOKUP(CONCATENATE($D3796,$G3796),CSRFinput!$B:$E,4,0)=0,OR(H3796=MappingTables!$C$34,H3796=MappingTables!$C$35)),1,VLOOKUP(CONCATENATE($D3796,$G3796),CSRFinput!$B:$E,4,0)))</f>
        <v>0.054776304963434752</v>
      </c>
      <c r="W3796" s="85">
        <f>IF(B3796="",0,+$T3796*$V3796)</f>
        <v>1.7050501714814526</v>
      </c>
      <c r="X3796" s="85">
        <f>IF(B3796="",0,IF(OR(H3796=MappingTables!$C$34,H3796=MappingTables!$C$35),W3796,0))</f>
        <v>0</v>
      </c>
    </row>
    <row r="3797" spans="2:24" s="0" customFormat="0" ht="15">
      <c r="B3797" s="69">
        <v>21736766</v>
      </c>
      <c r="C3797" s="70" t="s">
        <v>2792</v>
      </c>
      <c r="D3797" s="70" t="s">
        <v>1</v>
      </c>
      <c r="E3797" s="70" t="s">
        <v>1</v>
      </c>
      <c r="F3797" s="70"/>
      <c r="G3797" s="70" t="s">
        <v>61</v>
      </c>
      <c r="H3797" s="70" t="s">
        <v>178</v>
      </c>
      <c r="I3797" s="70" t="s">
        <v>181</v>
      </c>
      <c r="J3797" s="71">
        <f>IF(OR(I3797=0,I3797=""),"unrated",VLOOKUP(I3797,MappingTables!$B$19:$C$31,2,FALSE))</f>
        <v>3</v>
      </c>
      <c r="K3797" s="72">
        <v>33844.78239588822</v>
      </c>
      <c r="L3797" s="70">
        <v>7.778609141940448</v>
      </c>
      <c r="M3797" s="71">
        <f>IF(L3797&lt;1,1,L3797)</f>
        <v>7.778609141940448</v>
      </c>
      <c r="N3797" s="70" t="s">
        <v>141</v>
      </c>
      <c r="O3797" s="71">
        <f>INDEX(DurClassMapping,MATCH(M3797,MappingTables!$D$4:$D$8,-1),1)</f>
        <v>2</v>
      </c>
      <c r="P3797" s="73">
        <f>IF(M3797=$A$1,1,$M3797-INDEX(MappingTables!$E$4:$E$8,MATCH(O3797,MappingTables!$B$4:$B$8,0)))</f>
        <v>2.778609141940448</v>
      </c>
      <c r="Q3797" s="71">
        <f>IF(B3797="",0,INDEX(ModelParameters!$D$6:$K$10,MATCH($O3797,ModelParameters!$B$6:$B$10,0),MATCH($J3797,ModelParameters!$D$5:$K$5,0)))</f>
        <v>0.015</v>
      </c>
      <c r="R3797" s="71">
        <f>IF(B3797="",0,INDEX(ModelParameters!$D$13:$K$17,MATCH($O3797,ModelParameters!$B$13:$B$17,0),MATCH($J3797,ModelParameters!$D$5:$K$5,0)))</f>
        <v>0.125</v>
      </c>
      <c r="S3797" s="160">
        <f>IF(B3797="",0,MIN(IF($N3797="Other Bond TM",ModelParameters!$N$21,1)*(P3797*Q3797+R3797),1))</f>
        <v>0.16667913712910674</v>
      </c>
      <c r="T3797" s="85">
        <f>IF(B3797="",0,$S3797*$K3797)</f>
        <v>5641.2191260690304</v>
      </c>
      <c r="U3797" s="85">
        <f>IF(B3797="",0,IF(OR(H3797=MappingTables!$C$34,H3797=MappingTables!$C$35),T3797,0))</f>
        <v>0</v>
      </c>
      <c r="V3797" s="85">
        <f>IF(ISNA(IF(AND(VLOOKUP(CONCATENATE($D3797,$G3797),CSRFinput!$B:$E,4,0)=0,OR(H3797=MappingTables!$C$34,H3797=MappingTables!$C$35)),1,VLOOKUP(CONCATENATE($D3797,$G3797),CSRFinput!$B:$E,4,0))),0,IF(AND(VLOOKUP(CONCATENATE($D3797,$G3797),CSRFinput!$B:$E,4,0)=0,OR(H3797=MappingTables!$C$34,H3797=MappingTables!$C$35)),1,VLOOKUP(CONCATENATE($D3797,$G3797),CSRFinput!$B:$E,4,0)))</f>
        <v>0.054776304963434752</v>
      </c>
      <c r="W3797" s="85">
        <f>IF(B3797="",0,+$T3797*$V3797)</f>
        <v>309.00513921511812</v>
      </c>
      <c r="X3797" s="85">
        <f>IF(B3797="",0,IF(OR(H3797=MappingTables!$C$34,H3797=MappingTables!$C$35),W3797,0))</f>
        <v>0</v>
      </c>
    </row>
    <row r="3798" spans="2:24" s="0" customFormat="0" ht="15">
      <c r="B3798" s="69">
        <v>22817241</v>
      </c>
      <c r="C3798" s="70" t="s">
        <v>2944</v>
      </c>
      <c r="D3798" s="70" t="s">
        <v>1</v>
      </c>
      <c r="E3798" s="70" t="s">
        <v>1</v>
      </c>
      <c r="F3798" s="70"/>
      <c r="G3798" s="70" t="s">
        <v>61</v>
      </c>
      <c r="H3798" s="70" t="s">
        <v>178</v>
      </c>
      <c r="I3798" s="70" t="s">
        <v>181</v>
      </c>
      <c r="J3798" s="71">
        <f>IF(OR(I3798=0,I3798=""),"unrated",VLOOKUP(I3798,MappingTables!$B$19:$C$31,2,FALSE))</f>
        <v>3</v>
      </c>
      <c r="K3798" s="72">
        <v>227.33106088134444</v>
      </c>
      <c r="L3798" s="70">
        <v>2.2697040202823016</v>
      </c>
      <c r="M3798" s="71">
        <f>IF(L3798&lt;1,1,L3798)</f>
        <v>2.2697040202823016</v>
      </c>
      <c r="N3798" s="70" t="s">
        <v>141</v>
      </c>
      <c r="O3798" s="71">
        <f>INDEX(DurClassMapping,MATCH(M3798,MappingTables!$D$4:$D$8,-1),1)</f>
        <v>1</v>
      </c>
      <c r="P3798" s="73">
        <f>IF(M3798=$A$1,1,$M3798-INDEX(MappingTables!$E$4:$E$8,MATCH(O3798,MappingTables!$B$4:$B$8,0)))</f>
        <v>2.2697040202823016</v>
      </c>
      <c r="Q3798" s="71">
        <f>IF(B3798="",0,INDEX(ModelParameters!$D$6:$K$10,MATCH($O3798,ModelParameters!$B$6:$B$10,0),MATCH($J3798,ModelParameters!$D$5:$K$5,0)))</f>
        <v>0.025</v>
      </c>
      <c r="R3798" s="71">
        <f>IF(B3798="",0,INDEX(ModelParameters!$D$13:$K$17,MATCH($O3798,ModelParameters!$B$13:$B$17,0),MATCH($J3798,ModelParameters!$D$5:$K$5,0)))</f>
        <v>0</v>
      </c>
      <c r="S3798" s="160">
        <f>IF(B3798="",0,MIN(IF($N3798="Other Bond TM",ModelParameters!$N$21,1)*(P3798*Q3798+R3798),1))</f>
        <v>0.056742600507057536</v>
      </c>
      <c r="T3798" s="85">
        <f>IF(B3798="",0,$S3798*$K3798)</f>
        <v>12.899355570435702</v>
      </c>
      <c r="U3798" s="85">
        <f>IF(B3798="",0,IF(OR(H3798=MappingTables!$C$34,H3798=MappingTables!$C$35),T3798,0))</f>
        <v>0</v>
      </c>
      <c r="V3798" s="85">
        <f>IF(ISNA(IF(AND(VLOOKUP(CONCATENATE($D3798,$G3798),CSRFinput!$B:$E,4,0)=0,OR(H3798=MappingTables!$C$34,H3798=MappingTables!$C$35)),1,VLOOKUP(CONCATENATE($D3798,$G3798),CSRFinput!$B:$E,4,0))),0,IF(AND(VLOOKUP(CONCATENATE($D3798,$G3798),CSRFinput!$B:$E,4,0)=0,OR(H3798=MappingTables!$C$34,H3798=MappingTables!$C$35)),1,VLOOKUP(CONCATENATE($D3798,$G3798),CSRFinput!$B:$E,4,0)))</f>
        <v>0.054776304963434752</v>
      </c>
      <c r="W3798" s="85">
        <f>IF(B3798="",0,+$T3798*$V3798)</f>
        <v>0.70657903455796688</v>
      </c>
      <c r="X3798" s="85">
        <f>IF(B3798="",0,IF(OR(H3798=MappingTables!$C$34,H3798=MappingTables!$C$35),W3798,0))</f>
        <v>0</v>
      </c>
    </row>
    <row r="3799" spans="2:24" s="0" customFormat="0" ht="15">
      <c r="B3799" s="69">
        <v>22681321</v>
      </c>
      <c r="C3799" s="70" t="s">
        <v>745</v>
      </c>
      <c r="D3799" s="70" t="s">
        <v>1</v>
      </c>
      <c r="E3799" s="70" t="s">
        <v>1</v>
      </c>
      <c r="F3799" s="70"/>
      <c r="G3799" s="70" t="s">
        <v>61</v>
      </c>
      <c r="H3799" s="70" t="s">
        <v>178</v>
      </c>
      <c r="I3799" s="70" t="s">
        <v>181</v>
      </c>
      <c r="J3799" s="71">
        <f>IF(OR(I3799=0,I3799=""),"unrated",VLOOKUP(I3799,MappingTables!$B$19:$C$31,2,FALSE))</f>
        <v>3</v>
      </c>
      <c r="K3799" s="72">
        <v>38218.00868355256</v>
      </c>
      <c r="L3799" s="70">
        <v>10.743133269584884</v>
      </c>
      <c r="M3799" s="71">
        <f>IF(L3799&lt;1,1,L3799)</f>
        <v>10.743133269584884</v>
      </c>
      <c r="N3799" s="70" t="s">
        <v>141</v>
      </c>
      <c r="O3799" s="71">
        <f>INDEX(DurClassMapping,MATCH(M3799,MappingTables!$D$4:$D$8,-1),1)</f>
        <v>3</v>
      </c>
      <c r="P3799" s="73">
        <f>IF(M3799=$A$1,1,$M3799-INDEX(MappingTables!$E$4:$E$8,MATCH(O3799,MappingTables!$B$4:$B$8,0)))</f>
        <v>0.74313326958488448</v>
      </c>
      <c r="Q3799" s="71">
        <f>IF(B3799="",0,INDEX(ModelParameters!$D$6:$K$10,MATCH($O3799,ModelParameters!$B$6:$B$10,0),MATCH($J3799,ModelParameters!$D$5:$K$5,0)))</f>
        <v>0.01</v>
      </c>
      <c r="R3799" s="71">
        <f>IF(B3799="",0,INDEX(ModelParameters!$D$13:$K$17,MATCH($O3799,ModelParameters!$B$13:$B$17,0),MATCH($J3799,ModelParameters!$D$5:$K$5,0)))</f>
        <v>0.2</v>
      </c>
      <c r="S3799" s="160">
        <f>IF(B3799="",0,MIN(IF($N3799="Other Bond TM",ModelParameters!$N$21,1)*(P3799*Q3799+R3799),1))</f>
        <v>0.20743133269584884</v>
      </c>
      <c r="T3799" s="85">
        <f>IF(B3799="",0,$S3799*$K3799)</f>
        <v>7927.6124742108304</v>
      </c>
      <c r="U3799" s="85">
        <f>IF(B3799="",0,IF(OR(H3799=MappingTables!$C$34,H3799=MappingTables!$C$35),T3799,0))</f>
        <v>0</v>
      </c>
      <c r="V3799" s="85">
        <f>IF(ISNA(IF(AND(VLOOKUP(CONCATENATE($D3799,$G3799),CSRFinput!$B:$E,4,0)=0,OR(H3799=MappingTables!$C$34,H3799=MappingTables!$C$35)),1,VLOOKUP(CONCATENATE($D3799,$G3799),CSRFinput!$B:$E,4,0))),0,IF(AND(VLOOKUP(CONCATENATE($D3799,$G3799),CSRFinput!$B:$E,4,0)=0,OR(H3799=MappingTables!$C$34,H3799=MappingTables!$C$35)),1,VLOOKUP(CONCATENATE($D3799,$G3799),CSRFinput!$B:$E,4,0)))</f>
        <v>0.054776304963434752</v>
      </c>
      <c r="W3799" s="85">
        <f>IF(B3799="",0,+$T3799*$V3799)</f>
        <v>434.245318519302</v>
      </c>
      <c r="X3799" s="85">
        <f>IF(B3799="",0,IF(OR(H3799=MappingTables!$C$34,H3799=MappingTables!$C$35),W3799,0))</f>
        <v>0</v>
      </c>
    </row>
    <row r="3800" spans="2:24" s="0" customFormat="0" ht="15">
      <c r="B3800" s="69">
        <v>23724588</v>
      </c>
      <c r="C3800" s="70" t="s">
        <v>2892</v>
      </c>
      <c r="D3800" s="70" t="s">
        <v>1</v>
      </c>
      <c r="E3800" s="70" t="s">
        <v>1</v>
      </c>
      <c r="F3800" s="70"/>
      <c r="G3800" s="70" t="s">
        <v>61</v>
      </c>
      <c r="H3800" s="70" t="s">
        <v>178</v>
      </c>
      <c r="I3800" s="70" t="s">
        <v>179</v>
      </c>
      <c r="J3800" s="71">
        <f>IF(OR(I3800=0,I3800=""),"unrated",VLOOKUP(I3800,MappingTables!$B$19:$C$31,2,FALSE))</f>
        <v>4</v>
      </c>
      <c r="K3800" s="72">
        <v>8624.662716815264</v>
      </c>
      <c r="L3800" s="70">
        <v>2.3925020715895572</v>
      </c>
      <c r="M3800" s="71">
        <f>IF(L3800&lt;1,1,L3800)</f>
        <v>2.3925020715895572</v>
      </c>
      <c r="N3800" s="70" t="s">
        <v>141</v>
      </c>
      <c r="O3800" s="71">
        <f>INDEX(DurClassMapping,MATCH(M3800,MappingTables!$D$4:$D$8,-1),1)</f>
        <v>1</v>
      </c>
      <c r="P3800" s="73">
        <f>IF(M3800=$A$1,1,$M3800-INDEX(MappingTables!$E$4:$E$8,MATCH(O3800,MappingTables!$B$4:$B$8,0)))</f>
        <v>2.3925020715895572</v>
      </c>
      <c r="Q3800" s="71">
        <f>IF(B3800="",0,INDEX(ModelParameters!$D$6:$K$10,MATCH($O3800,ModelParameters!$B$6:$B$10,0),MATCH($J3800,ModelParameters!$D$5:$K$5,0)))</f>
        <v>0.045</v>
      </c>
      <c r="R3800" s="71">
        <f>IF(B3800="",0,INDEX(ModelParameters!$D$13:$K$17,MATCH($O3800,ModelParameters!$B$13:$B$17,0),MATCH($J3800,ModelParameters!$D$5:$K$5,0)))</f>
        <v>0</v>
      </c>
      <c r="S3800" s="160">
        <f>IF(B3800="",0,MIN(IF($N3800="Other Bond TM",ModelParameters!$N$21,1)*(P3800*Q3800+R3800),1))</f>
        <v>0.10766259322153008</v>
      </c>
      <c r="T3800" s="85">
        <f>IF(B3800="",0,$S3800*$K3800)</f>
        <v>928.55355375337824</v>
      </c>
      <c r="U3800" s="85">
        <f>IF(B3800="",0,IF(OR(H3800=MappingTables!$C$34,H3800=MappingTables!$C$35),T3800,0))</f>
        <v>0</v>
      </c>
      <c r="V3800" s="85">
        <f>IF(ISNA(IF(AND(VLOOKUP(CONCATENATE($D3800,$G3800),CSRFinput!$B:$E,4,0)=0,OR(H3800=MappingTables!$C$34,H3800=MappingTables!$C$35)),1,VLOOKUP(CONCATENATE($D3800,$G3800),CSRFinput!$B:$E,4,0))),0,IF(AND(VLOOKUP(CONCATENATE($D3800,$G3800),CSRFinput!$B:$E,4,0)=0,OR(H3800=MappingTables!$C$34,H3800=MappingTables!$C$35)),1,VLOOKUP(CONCATENATE($D3800,$G3800),CSRFinput!$B:$E,4,0)))</f>
        <v>0.054776304963434752</v>
      </c>
      <c r="W3800" s="85">
        <f>IF(B3800="",0,+$T3800*$V3800)</f>
        <v>50.862732635276144</v>
      </c>
      <c r="X3800" s="85">
        <f>IF(B3800="",0,IF(OR(H3800=MappingTables!$C$34,H3800=MappingTables!$C$35),W3800,0))</f>
        <v>0</v>
      </c>
    </row>
    <row r="3801" spans="2:24" s="0" customFormat="0" ht="15">
      <c r="B3801" s="69" t="s">
        <v>2081</v>
      </c>
      <c r="C3801" s="70" t="s">
        <v>2082</v>
      </c>
      <c r="D3801" s="70" t="s">
        <v>1</v>
      </c>
      <c r="E3801" s="70" t="s">
        <v>1</v>
      </c>
      <c r="F3801" s="70"/>
      <c r="G3801" s="70" t="s">
        <v>61</v>
      </c>
      <c r="H3801" s="70" t="s">
        <v>178</v>
      </c>
      <c r="I3801" s="70" t="s">
        <v>188</v>
      </c>
      <c r="J3801" s="71">
        <f>IF(OR(I3801=0,I3801=""),"unrated",VLOOKUP(I3801,MappingTables!$B$19:$C$31,2,FALSE))</f>
        <v>2</v>
      </c>
      <c r="K3801" s="72">
        <v>11282.35920985389</v>
      </c>
      <c r="L3801" s="70">
        <v>4.139591097569984</v>
      </c>
      <c r="M3801" s="71">
        <f>IF(L3801&lt;1,1,L3801)</f>
        <v>4.139591097569984</v>
      </c>
      <c r="N3801" s="70" t="s">
        <v>141</v>
      </c>
      <c r="O3801" s="71">
        <f>INDEX(DurClassMapping,MATCH(M3801,MappingTables!$D$4:$D$8,-1),1)</f>
        <v>1</v>
      </c>
      <c r="P3801" s="73">
        <f>IF(M3801=$A$1,1,$M3801-INDEX(MappingTables!$E$4:$E$8,MATCH(O3801,MappingTables!$B$4:$B$8,0)))</f>
        <v>4.139591097569984</v>
      </c>
      <c r="Q3801" s="71">
        <f>IF(B3801="",0,INDEX(ModelParameters!$D$6:$K$10,MATCH($O3801,ModelParameters!$B$6:$B$10,0),MATCH($J3801,ModelParameters!$D$5:$K$5,0)))</f>
        <v>0.013999999999999998</v>
      </c>
      <c r="R3801" s="71">
        <f>IF(B3801="",0,INDEX(ModelParameters!$D$13:$K$17,MATCH($O3801,ModelParameters!$B$13:$B$17,0),MATCH($J3801,ModelParameters!$D$5:$K$5,0)))</f>
        <v>0</v>
      </c>
      <c r="S3801" s="160">
        <f>IF(B3801="",0,MIN(IF($N3801="Other Bond TM",ModelParameters!$N$21,1)*(P3801*Q3801+R3801),1))</f>
        <v>0.057954275365979776</v>
      </c>
      <c r="T3801" s="85">
        <f>IF(B3801="",0,$S3801*$K3801)</f>
        <v>653.86095242577024</v>
      </c>
      <c r="U3801" s="85">
        <f>IF(B3801="",0,IF(OR(H3801=MappingTables!$C$34,H3801=MappingTables!$C$35),T3801,0))</f>
        <v>0</v>
      </c>
      <c r="V3801" s="85">
        <f>IF(ISNA(IF(AND(VLOOKUP(CONCATENATE($D3801,$G3801),CSRFinput!$B:$E,4,0)=0,OR(H3801=MappingTables!$C$34,H3801=MappingTables!$C$35)),1,VLOOKUP(CONCATENATE($D3801,$G3801),CSRFinput!$B:$E,4,0))),0,IF(AND(VLOOKUP(CONCATENATE($D3801,$G3801),CSRFinput!$B:$E,4,0)=0,OR(H3801=MappingTables!$C$34,H3801=MappingTables!$C$35)),1,VLOOKUP(CONCATENATE($D3801,$G3801),CSRFinput!$B:$E,4,0)))</f>
        <v>0.054776304963434752</v>
      </c>
      <c r="W3801" s="85">
        <f>IF(B3801="",0,+$T3801*$V3801)</f>
        <v>35.816086933755896</v>
      </c>
      <c r="X3801" s="85">
        <f>IF(B3801="",0,IF(OR(H3801=MappingTables!$C$34,H3801=MappingTables!$C$35),W3801,0))</f>
        <v>0</v>
      </c>
    </row>
    <row r="3802" spans="2:24" s="0" customFormat="0" ht="15">
      <c r="B3802" s="69" t="s">
        <v>2270</v>
      </c>
      <c r="C3802" s="70" t="s">
        <v>2271</v>
      </c>
      <c r="D3802" s="70" t="s">
        <v>1</v>
      </c>
      <c r="E3802" s="70" t="s">
        <v>1</v>
      </c>
      <c r="F3802" s="70"/>
      <c r="G3802" s="70" t="s">
        <v>61</v>
      </c>
      <c r="H3802" s="70" t="s">
        <v>178</v>
      </c>
      <c r="I3802" s="70" t="s">
        <v>179</v>
      </c>
      <c r="J3802" s="71">
        <f>IF(OR(I3802=0,I3802=""),"unrated",VLOOKUP(I3802,MappingTables!$B$19:$C$31,2,FALSE))</f>
        <v>4</v>
      </c>
      <c r="K3802" s="72">
        <v>159.35767879061692</v>
      </c>
      <c r="L3802" s="70">
        <v>2.7711767878669696</v>
      </c>
      <c r="M3802" s="71">
        <f>IF(L3802&lt;1,1,L3802)</f>
        <v>2.7711767878669696</v>
      </c>
      <c r="N3802" s="70" t="s">
        <v>141</v>
      </c>
      <c r="O3802" s="71">
        <f>INDEX(DurClassMapping,MATCH(M3802,MappingTables!$D$4:$D$8,-1),1)</f>
        <v>1</v>
      </c>
      <c r="P3802" s="73">
        <f>IF(M3802=$A$1,1,$M3802-INDEX(MappingTables!$E$4:$E$8,MATCH(O3802,MappingTables!$B$4:$B$8,0)))</f>
        <v>2.7711767878669696</v>
      </c>
      <c r="Q3802" s="71">
        <f>IF(B3802="",0,INDEX(ModelParameters!$D$6:$K$10,MATCH($O3802,ModelParameters!$B$6:$B$10,0),MATCH($J3802,ModelParameters!$D$5:$K$5,0)))</f>
        <v>0.045</v>
      </c>
      <c r="R3802" s="71">
        <f>IF(B3802="",0,INDEX(ModelParameters!$D$13:$K$17,MATCH($O3802,ModelParameters!$B$13:$B$17,0),MATCH($J3802,ModelParameters!$D$5:$K$5,0)))</f>
        <v>0</v>
      </c>
      <c r="S3802" s="160">
        <f>IF(B3802="",0,MIN(IF($N3802="Other Bond TM",ModelParameters!$N$21,1)*(P3802*Q3802+R3802),1))</f>
        <v>0.12470295545401362</v>
      </c>
      <c r="T3802" s="85">
        <f>IF(B3802="",0,$S3802*$K3802)</f>
        <v>19.872373519481316</v>
      </c>
      <c r="U3802" s="85">
        <f>IF(B3802="",0,IF(OR(H3802=MappingTables!$C$34,H3802=MappingTables!$C$35),T3802,0))</f>
        <v>0</v>
      </c>
      <c r="V3802" s="85">
        <f>IF(ISNA(IF(AND(VLOOKUP(CONCATENATE($D3802,$G3802),CSRFinput!$B:$E,4,0)=0,OR(H3802=MappingTables!$C$34,H3802=MappingTables!$C$35)),1,VLOOKUP(CONCATENATE($D3802,$G3802),CSRFinput!$B:$E,4,0))),0,IF(AND(VLOOKUP(CONCATENATE($D3802,$G3802),CSRFinput!$B:$E,4,0)=0,OR(H3802=MappingTables!$C$34,H3802=MappingTables!$C$35)),1,VLOOKUP(CONCATENATE($D3802,$G3802),CSRFinput!$B:$E,4,0)))</f>
        <v>0.054776304963434752</v>
      </c>
      <c r="W3802" s="85">
        <f>IF(B3802="",0,+$T3802*$V3802)</f>
        <v>1.0885351922503936</v>
      </c>
      <c r="X3802" s="85">
        <f>IF(B3802="",0,IF(OR(H3802=MappingTables!$C$34,H3802=MappingTables!$C$35),W3802,0))</f>
        <v>0</v>
      </c>
    </row>
    <row r="3803" spans="2:24" s="0" customFormat="0" ht="15">
      <c r="B3803" s="69">
        <v>24432958</v>
      </c>
      <c r="C3803" s="70" t="s">
        <v>2302</v>
      </c>
      <c r="D3803" s="70" t="s">
        <v>1</v>
      </c>
      <c r="E3803" s="70" t="s">
        <v>1</v>
      </c>
      <c r="F3803" s="70"/>
      <c r="G3803" s="70" t="s">
        <v>61</v>
      </c>
      <c r="H3803" s="70" t="s">
        <v>178</v>
      </c>
      <c r="I3803" s="70" t="s">
        <v>181</v>
      </c>
      <c r="J3803" s="71">
        <f>IF(OR(I3803=0,I3803=""),"unrated",VLOOKUP(I3803,MappingTables!$B$19:$C$31,2,FALSE))</f>
        <v>3</v>
      </c>
      <c r="K3803" s="72">
        <v>831.13050727751328</v>
      </c>
      <c r="L3803" s="70">
        <v>1.500927423619985</v>
      </c>
      <c r="M3803" s="71">
        <f>IF(L3803&lt;1,1,L3803)</f>
        <v>1.500927423619985</v>
      </c>
      <c r="N3803" s="70" t="s">
        <v>141</v>
      </c>
      <c r="O3803" s="71">
        <f>INDEX(DurClassMapping,MATCH(M3803,MappingTables!$D$4:$D$8,-1),1)</f>
        <v>1</v>
      </c>
      <c r="P3803" s="73">
        <f>IF(M3803=$A$1,1,$M3803-INDEX(MappingTables!$E$4:$E$8,MATCH(O3803,MappingTables!$B$4:$B$8,0)))</f>
        <v>1.500927423619985</v>
      </c>
      <c r="Q3803" s="71">
        <f>IF(B3803="",0,INDEX(ModelParameters!$D$6:$K$10,MATCH($O3803,ModelParameters!$B$6:$B$10,0),MATCH($J3803,ModelParameters!$D$5:$K$5,0)))</f>
        <v>0.025</v>
      </c>
      <c r="R3803" s="71">
        <f>IF(B3803="",0,INDEX(ModelParameters!$D$13:$K$17,MATCH($O3803,ModelParameters!$B$13:$B$17,0),MATCH($J3803,ModelParameters!$D$5:$K$5,0)))</f>
        <v>0</v>
      </c>
      <c r="S3803" s="160">
        <f>IF(B3803="",0,MIN(IF($N3803="Other Bond TM",ModelParameters!$N$21,1)*(P3803*Q3803+R3803),1))</f>
        <v>0.037523185590499632</v>
      </c>
      <c r="T3803" s="85">
        <f>IF(B3803="",0,$S3803*$K3803)</f>
        <v>31.186664274500236</v>
      </c>
      <c r="U3803" s="85">
        <f>IF(B3803="",0,IF(OR(H3803=MappingTables!$C$34,H3803=MappingTables!$C$35),T3803,0))</f>
        <v>0</v>
      </c>
      <c r="V3803" s="85">
        <f>IF(ISNA(IF(AND(VLOOKUP(CONCATENATE($D3803,$G3803),CSRFinput!$B:$E,4,0)=0,OR(H3803=MappingTables!$C$34,H3803=MappingTables!$C$35)),1,VLOOKUP(CONCATENATE($D3803,$G3803),CSRFinput!$B:$E,4,0))),0,IF(AND(VLOOKUP(CONCATENATE($D3803,$G3803),CSRFinput!$B:$E,4,0)=0,OR(H3803=MappingTables!$C$34,H3803=MappingTables!$C$35)),1,VLOOKUP(CONCATENATE($D3803,$G3803),CSRFinput!$B:$E,4,0)))</f>
        <v>0.054776304963434752</v>
      </c>
      <c r="W3803" s="85">
        <f>IF(B3803="",0,+$T3803*$V3803)</f>
        <v>1.7082902330922804</v>
      </c>
      <c r="X3803" s="85">
        <f>IF(B3803="",0,IF(OR(H3803=MappingTables!$C$34,H3803=MappingTables!$C$35),W3803,0))</f>
        <v>0</v>
      </c>
    </row>
    <row r="3804" spans="2:24" s="0" customFormat="0" ht="15">
      <c r="B3804" s="69">
        <v>11262381</v>
      </c>
      <c r="C3804" s="70" t="s">
        <v>1793</v>
      </c>
      <c r="D3804" s="70" t="s">
        <v>1</v>
      </c>
      <c r="E3804" s="70" t="s">
        <v>1</v>
      </c>
      <c r="F3804" s="70"/>
      <c r="G3804" s="70" t="s">
        <v>61</v>
      </c>
      <c r="H3804" s="70" t="s">
        <v>178</v>
      </c>
      <c r="I3804" s="70" t="s">
        <v>179</v>
      </c>
      <c r="J3804" s="71">
        <f>IF(OR(I3804=0,I3804=""),"unrated",VLOOKUP(I3804,MappingTables!$B$19:$C$31,2,FALSE))</f>
        <v>4</v>
      </c>
      <c r="K3804" s="72">
        <v>20170.950723731932</v>
      </c>
      <c r="L3804" s="70">
        <v>12.961691473533648</v>
      </c>
      <c r="M3804" s="71">
        <f>IF(L3804&lt;1,1,L3804)</f>
        <v>12.961691473533648</v>
      </c>
      <c r="N3804" s="70" t="s">
        <v>141</v>
      </c>
      <c r="O3804" s="71">
        <f>INDEX(DurClassMapping,MATCH(M3804,MappingTables!$D$4:$D$8,-1),1)</f>
        <v>3</v>
      </c>
      <c r="P3804" s="73">
        <f>IF(M3804=$A$1,1,$M3804-INDEX(MappingTables!$E$4:$E$8,MATCH(O3804,MappingTables!$B$4:$B$8,0)))</f>
        <v>2.961691473533648</v>
      </c>
      <c r="Q3804" s="71">
        <f>IF(B3804="",0,INDEX(ModelParameters!$D$6:$K$10,MATCH($O3804,ModelParameters!$B$6:$B$10,0),MATCH($J3804,ModelParameters!$D$5:$K$5,0)))</f>
        <v>0.018000000000000002</v>
      </c>
      <c r="R3804" s="71">
        <f>IF(B3804="",0,INDEX(ModelParameters!$D$13:$K$17,MATCH($O3804,ModelParameters!$B$13:$B$17,0),MATCH($J3804,ModelParameters!$D$5:$K$5,0)))</f>
        <v>0.34999999999999996</v>
      </c>
      <c r="S3804" s="160">
        <f>IF(B3804="",0,MIN(IF($N3804="Other Bond TM",ModelParameters!$N$21,1)*(P3804*Q3804+R3804),1))</f>
        <v>0.40331044652360568</v>
      </c>
      <c r="T3804" s="85">
        <f>IF(B3804="",0,$S3804*$K3804)</f>
        <v>8135.1551431939728</v>
      </c>
      <c r="U3804" s="85">
        <f>IF(B3804="",0,IF(OR(H3804=MappingTables!$C$34,H3804=MappingTables!$C$35),T3804,0))</f>
        <v>0</v>
      </c>
      <c r="V3804" s="85">
        <f>IF(ISNA(IF(AND(VLOOKUP(CONCATENATE($D3804,$G3804),CSRFinput!$B:$E,4,0)=0,OR(H3804=MappingTables!$C$34,H3804=MappingTables!$C$35)),1,VLOOKUP(CONCATENATE($D3804,$G3804),CSRFinput!$B:$E,4,0))),0,IF(AND(VLOOKUP(CONCATENATE($D3804,$G3804),CSRFinput!$B:$E,4,0)=0,OR(H3804=MappingTables!$C$34,H3804=MappingTables!$C$35)),1,VLOOKUP(CONCATENATE($D3804,$G3804),CSRFinput!$B:$E,4,0)))</f>
        <v>0.054776304963434752</v>
      </c>
      <c r="W3804" s="85">
        <f>IF(B3804="",0,+$T3804*$V3804)</f>
        <v>445.61373904844776</v>
      </c>
      <c r="X3804" s="85">
        <f>IF(B3804="",0,IF(OR(H3804=MappingTables!$C$34,H3804=MappingTables!$C$35),W3804,0))</f>
        <v>0</v>
      </c>
    </row>
    <row r="3805" spans="2:24" s="0" customFormat="0" ht="15">
      <c r="B3805" s="69">
        <v>7252176</v>
      </c>
      <c r="C3805" s="70" t="s">
        <v>2945</v>
      </c>
      <c r="D3805" s="70" t="s">
        <v>1</v>
      </c>
      <c r="E3805" s="70" t="s">
        <v>1</v>
      </c>
      <c r="F3805" s="70"/>
      <c r="G3805" s="70" t="s">
        <v>61</v>
      </c>
      <c r="H3805" s="70" t="s">
        <v>178</v>
      </c>
      <c r="I3805" s="70" t="s">
        <v>181</v>
      </c>
      <c r="J3805" s="71">
        <f>IF(OR(I3805=0,I3805=""),"unrated",VLOOKUP(I3805,MappingTables!$B$19:$C$31,2,FALSE))</f>
        <v>3</v>
      </c>
      <c r="K3805" s="72">
        <v>0.14476734032038116</v>
      </c>
      <c r="L3805" s="70">
        <v>0.77260991639492752</v>
      </c>
      <c r="M3805" s="71">
        <f>IF(L3805&lt;1,1,L3805)</f>
        <v>1</v>
      </c>
      <c r="N3805" s="70" t="s">
        <v>141</v>
      </c>
      <c r="O3805" s="71">
        <f>INDEX(DurClassMapping,MATCH(M3805,MappingTables!$D$4:$D$8,-1),1)</f>
        <v>1</v>
      </c>
      <c r="P3805" s="73">
        <f>IF(M3805=$A$1,1,$M3805-INDEX(MappingTables!$E$4:$E$8,MATCH(O3805,MappingTables!$B$4:$B$8,0)))</f>
        <v>1</v>
      </c>
      <c r="Q3805" s="71">
        <f>IF(B3805="",0,INDEX(ModelParameters!$D$6:$K$10,MATCH($O3805,ModelParameters!$B$6:$B$10,0),MATCH($J3805,ModelParameters!$D$5:$K$5,0)))</f>
        <v>0.025</v>
      </c>
      <c r="R3805" s="71">
        <f>IF(B3805="",0,INDEX(ModelParameters!$D$13:$K$17,MATCH($O3805,ModelParameters!$B$13:$B$17,0),MATCH($J3805,ModelParameters!$D$5:$K$5,0)))</f>
        <v>0</v>
      </c>
      <c r="S3805" s="160">
        <f>IF(B3805="",0,MIN(IF($N3805="Other Bond TM",ModelParameters!$N$21,1)*(P3805*Q3805+R3805),1))</f>
        <v>0.025</v>
      </c>
      <c r="T3805" s="85">
        <f>IF(B3805="",0,$S3805*$K3805)</f>
        <v>0.0036191835080095288</v>
      </c>
      <c r="U3805" s="85">
        <f>IF(B3805="",0,IF(OR(H3805=MappingTables!$C$34,H3805=MappingTables!$C$35),T3805,0))</f>
        <v>0</v>
      </c>
      <c r="V3805" s="85">
        <f>IF(ISNA(IF(AND(VLOOKUP(CONCATENATE($D3805,$G3805),CSRFinput!$B:$E,4,0)=0,OR(H3805=MappingTables!$C$34,H3805=MappingTables!$C$35)),1,VLOOKUP(CONCATENATE($D3805,$G3805),CSRFinput!$B:$E,4,0))),0,IF(AND(VLOOKUP(CONCATENATE($D3805,$G3805),CSRFinput!$B:$E,4,0)=0,OR(H3805=MappingTables!$C$34,H3805=MappingTables!$C$35)),1,VLOOKUP(CONCATENATE($D3805,$G3805),CSRFinput!$B:$E,4,0)))</f>
        <v>0.054776304963434752</v>
      </c>
      <c r="W3805" s="85">
        <f>IF(B3805="",0,+$T3805*$V3805)</f>
        <v>0.00019824549955336356</v>
      </c>
      <c r="X3805" s="85">
        <f>IF(B3805="",0,IF(OR(H3805=MappingTables!$C$34,H3805=MappingTables!$C$35),W3805,0))</f>
        <v>0</v>
      </c>
    </row>
    <row r="3806" spans="2:24" s="0" customFormat="0" ht="15">
      <c r="B3806" s="69">
        <v>13340381</v>
      </c>
      <c r="C3806" s="70" t="s">
        <v>2750</v>
      </c>
      <c r="D3806" s="70" t="s">
        <v>1</v>
      </c>
      <c r="E3806" s="70" t="s">
        <v>1</v>
      </c>
      <c r="F3806" s="70"/>
      <c r="G3806" s="70" t="s">
        <v>61</v>
      </c>
      <c r="H3806" s="70" t="s">
        <v>178</v>
      </c>
      <c r="I3806" s="70" t="s">
        <v>179</v>
      </c>
      <c r="J3806" s="71">
        <f>IF(OR(I3806=0,I3806=""),"unrated",VLOOKUP(I3806,MappingTables!$B$19:$C$31,2,FALSE))</f>
        <v>4</v>
      </c>
      <c r="K3806" s="72">
        <v>593.09743433107792</v>
      </c>
      <c r="L3806" s="70">
        <v>0.10959118699665728</v>
      </c>
      <c r="M3806" s="71">
        <f>IF(L3806&lt;1,1,L3806)</f>
        <v>1</v>
      </c>
      <c r="N3806" s="70" t="s">
        <v>141</v>
      </c>
      <c r="O3806" s="71">
        <f>INDEX(DurClassMapping,MATCH(M3806,MappingTables!$D$4:$D$8,-1),1)</f>
        <v>1</v>
      </c>
      <c r="P3806" s="73">
        <f>IF(M3806=$A$1,1,$M3806-INDEX(MappingTables!$E$4:$E$8,MATCH(O3806,MappingTables!$B$4:$B$8,0)))</f>
        <v>1</v>
      </c>
      <c r="Q3806" s="71">
        <f>IF(B3806="",0,INDEX(ModelParameters!$D$6:$K$10,MATCH($O3806,ModelParameters!$B$6:$B$10,0),MATCH($J3806,ModelParameters!$D$5:$K$5,0)))</f>
        <v>0.045</v>
      </c>
      <c r="R3806" s="71">
        <f>IF(B3806="",0,INDEX(ModelParameters!$D$13:$K$17,MATCH($O3806,ModelParameters!$B$13:$B$17,0),MATCH($J3806,ModelParameters!$D$5:$K$5,0)))</f>
        <v>0</v>
      </c>
      <c r="S3806" s="160">
        <f>IF(B3806="",0,MIN(IF($N3806="Other Bond TM",ModelParameters!$N$21,1)*(P3806*Q3806+R3806),1))</f>
        <v>0.045</v>
      </c>
      <c r="T3806" s="85">
        <f>IF(B3806="",0,$S3806*$K3806)</f>
        <v>26.689384544898504</v>
      </c>
      <c r="U3806" s="85">
        <f>IF(B3806="",0,IF(OR(H3806=MappingTables!$C$34,H3806=MappingTables!$C$35),T3806,0))</f>
        <v>0</v>
      </c>
      <c r="V3806" s="85">
        <f>IF(ISNA(IF(AND(VLOOKUP(CONCATENATE($D3806,$G3806),CSRFinput!$B:$E,4,0)=0,OR(H3806=MappingTables!$C$34,H3806=MappingTables!$C$35)),1,VLOOKUP(CONCATENATE($D3806,$G3806),CSRFinput!$B:$E,4,0))),0,IF(AND(VLOOKUP(CONCATENATE($D3806,$G3806),CSRFinput!$B:$E,4,0)=0,OR(H3806=MappingTables!$C$34,H3806=MappingTables!$C$35)),1,VLOOKUP(CONCATENATE($D3806,$G3806),CSRFinput!$B:$E,4,0)))</f>
        <v>0.054776304963434752</v>
      </c>
      <c r="W3806" s="85">
        <f>IF(B3806="",0,+$T3806*$V3806)</f>
        <v>1.4619458671177428</v>
      </c>
      <c r="X3806" s="85">
        <f>IF(B3806="",0,IF(OR(H3806=MappingTables!$C$34,H3806=MappingTables!$C$35),W3806,0))</f>
        <v>0</v>
      </c>
    </row>
    <row r="3807" spans="2:24" s="0" customFormat="0" ht="15">
      <c r="B3807" s="69" t="s">
        <v>2946</v>
      </c>
      <c r="C3807" s="70" t="s">
        <v>2947</v>
      </c>
      <c r="D3807" s="70" t="s">
        <v>1</v>
      </c>
      <c r="E3807" s="70" t="s">
        <v>1</v>
      </c>
      <c r="F3807" s="70"/>
      <c r="G3807" s="70" t="s">
        <v>61</v>
      </c>
      <c r="H3807" s="70" t="s">
        <v>178</v>
      </c>
      <c r="I3807" s="70" t="s">
        <v>220</v>
      </c>
      <c r="J3807" s="71">
        <f>IF(OR(I3807=0,I3807=""),"unrated",VLOOKUP(I3807,MappingTables!$B$19:$C$31,2,FALSE))</f>
        <v>1</v>
      </c>
      <c r="K3807" s="72">
        <v>2157.2032439749824</v>
      </c>
      <c r="L3807" s="70">
        <v>0.93820494263161776</v>
      </c>
      <c r="M3807" s="71">
        <f>IF(L3807&lt;1,1,L3807)</f>
        <v>1</v>
      </c>
      <c r="N3807" s="70" t="s">
        <v>141</v>
      </c>
      <c r="O3807" s="71">
        <f>INDEX(DurClassMapping,MATCH(M3807,MappingTables!$D$4:$D$8,-1),1)</f>
        <v>1</v>
      </c>
      <c r="P3807" s="73">
        <f>IF(M3807=$A$1,1,$M3807-INDEX(MappingTables!$E$4:$E$8,MATCH(O3807,MappingTables!$B$4:$B$8,0)))</f>
        <v>1</v>
      </c>
      <c r="Q3807" s="71">
        <f>IF(B3807="",0,INDEX(ModelParameters!$D$6:$K$10,MATCH($O3807,ModelParameters!$B$6:$B$10,0),MATCH($J3807,ModelParameters!$D$5:$K$5,0)))</f>
        <v>0.011000000000000002</v>
      </c>
      <c r="R3807" s="71">
        <f>IF(B3807="",0,INDEX(ModelParameters!$D$13:$K$17,MATCH($O3807,ModelParameters!$B$13:$B$17,0),MATCH($J3807,ModelParameters!$D$5:$K$5,0)))</f>
        <v>0</v>
      </c>
      <c r="S3807" s="160">
        <f>IF(B3807="",0,MIN(IF($N3807="Other Bond TM",ModelParameters!$N$21,1)*(P3807*Q3807+R3807),1))</f>
        <v>0.011000000000000002</v>
      </c>
      <c r="T3807" s="85">
        <f>IF(B3807="",0,$S3807*$K3807)</f>
        <v>23.729235683724808</v>
      </c>
      <c r="U3807" s="85">
        <f>IF(B3807="",0,IF(OR(H3807=MappingTables!$C$34,H3807=MappingTables!$C$35),T3807,0))</f>
        <v>0</v>
      </c>
      <c r="V3807" s="85">
        <f>IF(ISNA(IF(AND(VLOOKUP(CONCATENATE($D3807,$G3807),CSRFinput!$B:$E,4,0)=0,OR(H3807=MappingTables!$C$34,H3807=MappingTables!$C$35)),1,VLOOKUP(CONCATENATE($D3807,$G3807),CSRFinput!$B:$E,4,0))),0,IF(AND(VLOOKUP(CONCATENATE($D3807,$G3807),CSRFinput!$B:$E,4,0)=0,OR(H3807=MappingTables!$C$34,H3807=MappingTables!$C$35)),1,VLOOKUP(CONCATENATE($D3807,$G3807),CSRFinput!$B:$E,4,0)))</f>
        <v>0.054776304963434752</v>
      </c>
      <c r="W3807" s="85">
        <f>IF(B3807="",0,+$T3807*$V3807)</f>
        <v>1.2997998503609282</v>
      </c>
      <c r="X3807" s="85">
        <f>IF(B3807="",0,IF(OR(H3807=MappingTables!$C$34,H3807=MappingTables!$C$35),W3807,0))</f>
        <v>0</v>
      </c>
    </row>
    <row r="3808" spans="2:24" s="0" customFormat="0" ht="15">
      <c r="B3808" s="69">
        <v>17296773</v>
      </c>
      <c r="C3808" s="70" t="s">
        <v>570</v>
      </c>
      <c r="D3808" s="70" t="s">
        <v>1</v>
      </c>
      <c r="E3808" s="70" t="s">
        <v>1</v>
      </c>
      <c r="F3808" s="70"/>
      <c r="G3808" s="70" t="s">
        <v>61</v>
      </c>
      <c r="H3808" s="70" t="s">
        <v>178</v>
      </c>
      <c r="I3808" s="70" t="s">
        <v>181</v>
      </c>
      <c r="J3808" s="71">
        <f>IF(OR(I3808=0,I3808=""),"unrated",VLOOKUP(I3808,MappingTables!$B$19:$C$31,2,FALSE))</f>
        <v>3</v>
      </c>
      <c r="K3808" s="72">
        <v>4878.9403652871704</v>
      </c>
      <c r="L3808" s="70">
        <v>0.7612778941632984</v>
      </c>
      <c r="M3808" s="71">
        <f>IF(L3808&lt;1,1,L3808)</f>
        <v>1</v>
      </c>
      <c r="N3808" s="70" t="s">
        <v>141</v>
      </c>
      <c r="O3808" s="71">
        <f>INDEX(DurClassMapping,MATCH(M3808,MappingTables!$D$4:$D$8,-1),1)</f>
        <v>1</v>
      </c>
      <c r="P3808" s="73">
        <f>IF(M3808=$A$1,1,$M3808-INDEX(MappingTables!$E$4:$E$8,MATCH(O3808,MappingTables!$B$4:$B$8,0)))</f>
        <v>1</v>
      </c>
      <c r="Q3808" s="71">
        <f>IF(B3808="",0,INDEX(ModelParameters!$D$6:$K$10,MATCH($O3808,ModelParameters!$B$6:$B$10,0),MATCH($J3808,ModelParameters!$D$5:$K$5,0)))</f>
        <v>0.025</v>
      </c>
      <c r="R3808" s="71">
        <f>IF(B3808="",0,INDEX(ModelParameters!$D$13:$K$17,MATCH($O3808,ModelParameters!$B$13:$B$17,0),MATCH($J3808,ModelParameters!$D$5:$K$5,0)))</f>
        <v>0</v>
      </c>
      <c r="S3808" s="160">
        <f>IF(B3808="",0,MIN(IF($N3808="Other Bond TM",ModelParameters!$N$21,1)*(P3808*Q3808+R3808),1))</f>
        <v>0.025</v>
      </c>
      <c r="T3808" s="85">
        <f>IF(B3808="",0,$S3808*$K3808)</f>
        <v>121.97350913217928</v>
      </c>
      <c r="U3808" s="85">
        <f>IF(B3808="",0,IF(OR(H3808=MappingTables!$C$34,H3808=MappingTables!$C$35),T3808,0))</f>
        <v>0</v>
      </c>
      <c r="V3808" s="85">
        <f>IF(ISNA(IF(AND(VLOOKUP(CONCATENATE($D3808,$G3808),CSRFinput!$B:$E,4,0)=0,OR(H3808=MappingTables!$C$34,H3808=MappingTables!$C$35)),1,VLOOKUP(CONCATENATE($D3808,$G3808),CSRFinput!$B:$E,4,0))),0,IF(AND(VLOOKUP(CONCATENATE($D3808,$G3808),CSRFinput!$B:$E,4,0)=0,OR(H3808=MappingTables!$C$34,H3808=MappingTables!$C$35)),1,VLOOKUP(CONCATENATE($D3808,$G3808),CSRFinput!$B:$E,4,0)))</f>
        <v>0.054776304963434752</v>
      </c>
      <c r="W3808" s="85">
        <f>IF(B3808="",0,+$T3808*$V3808)</f>
        <v>6.6812581336845456</v>
      </c>
      <c r="X3808" s="85">
        <f>IF(B3808="",0,IF(OR(H3808=MappingTables!$C$34,H3808=MappingTables!$C$35),W3808,0))</f>
        <v>0</v>
      </c>
    </row>
    <row r="3809" spans="2:24" s="0" customFormat="0" ht="15">
      <c r="B3809" s="69">
        <v>4121875</v>
      </c>
      <c r="C3809" s="70" t="s">
        <v>1133</v>
      </c>
      <c r="D3809" s="70" t="s">
        <v>1</v>
      </c>
      <c r="E3809" s="70" t="s">
        <v>1</v>
      </c>
      <c r="F3809" s="70"/>
      <c r="G3809" s="70" t="s">
        <v>61</v>
      </c>
      <c r="H3809" s="70" t="s">
        <v>178</v>
      </c>
      <c r="I3809" s="70" t="s">
        <v>181</v>
      </c>
      <c r="J3809" s="71">
        <f>IF(OR(I3809=0,I3809=""),"unrated",VLOOKUP(I3809,MappingTables!$B$19:$C$31,2,FALSE))</f>
        <v>3</v>
      </c>
      <c r="K3809" s="72">
        <v>41443.4436541802</v>
      </c>
      <c r="L3809" s="70">
        <v>0.86007033937051232</v>
      </c>
      <c r="M3809" s="71">
        <f>IF(L3809&lt;1,1,L3809)</f>
        <v>1</v>
      </c>
      <c r="N3809" s="70" t="s">
        <v>141</v>
      </c>
      <c r="O3809" s="71">
        <f>INDEX(DurClassMapping,MATCH(M3809,MappingTables!$D$4:$D$8,-1),1)</f>
        <v>1</v>
      </c>
      <c r="P3809" s="73">
        <f>IF(M3809=$A$1,1,$M3809-INDEX(MappingTables!$E$4:$E$8,MATCH(O3809,MappingTables!$B$4:$B$8,0)))</f>
        <v>1</v>
      </c>
      <c r="Q3809" s="71">
        <f>IF(B3809="",0,INDEX(ModelParameters!$D$6:$K$10,MATCH($O3809,ModelParameters!$B$6:$B$10,0),MATCH($J3809,ModelParameters!$D$5:$K$5,0)))</f>
        <v>0.025</v>
      </c>
      <c r="R3809" s="71">
        <f>IF(B3809="",0,INDEX(ModelParameters!$D$13:$K$17,MATCH($O3809,ModelParameters!$B$13:$B$17,0),MATCH($J3809,ModelParameters!$D$5:$K$5,0)))</f>
        <v>0</v>
      </c>
      <c r="S3809" s="160">
        <f>IF(B3809="",0,MIN(IF($N3809="Other Bond TM",ModelParameters!$N$21,1)*(P3809*Q3809+R3809),1))</f>
        <v>0.025</v>
      </c>
      <c r="T3809" s="85">
        <f>IF(B3809="",0,$S3809*$K3809)</f>
        <v>1036.086091354505</v>
      </c>
      <c r="U3809" s="85">
        <f>IF(B3809="",0,IF(OR(H3809=MappingTables!$C$34,H3809=MappingTables!$C$35),T3809,0))</f>
        <v>0</v>
      </c>
      <c r="V3809" s="85">
        <f>IF(ISNA(IF(AND(VLOOKUP(CONCATENATE($D3809,$G3809),CSRFinput!$B:$E,4,0)=0,OR(H3809=MappingTables!$C$34,H3809=MappingTables!$C$35)),1,VLOOKUP(CONCATENATE($D3809,$G3809),CSRFinput!$B:$E,4,0))),0,IF(AND(VLOOKUP(CONCATENATE($D3809,$G3809),CSRFinput!$B:$E,4,0)=0,OR(H3809=MappingTables!$C$34,H3809=MappingTables!$C$35)),1,VLOOKUP(CONCATENATE($D3809,$G3809),CSRFinput!$B:$E,4,0)))</f>
        <v>0.054776304963434752</v>
      </c>
      <c r="W3809" s="85">
        <f>IF(B3809="",0,+$T3809*$V3809)</f>
        <v>56.752967708407488</v>
      </c>
      <c r="X3809" s="85">
        <f>IF(B3809="",0,IF(OR(H3809=MappingTables!$C$34,H3809=MappingTables!$C$35),W3809,0))</f>
        <v>0</v>
      </c>
    </row>
    <row r="3810" spans="2:24" s="0" customFormat="0" ht="15">
      <c r="B3810" s="69">
        <v>23469260</v>
      </c>
      <c r="C3810" s="70" t="s">
        <v>1194</v>
      </c>
      <c r="D3810" s="70" t="s">
        <v>1</v>
      </c>
      <c r="E3810" s="70" t="s">
        <v>1</v>
      </c>
      <c r="F3810" s="70"/>
      <c r="G3810" s="70" t="s">
        <v>61</v>
      </c>
      <c r="H3810" s="70" t="s">
        <v>178</v>
      </c>
      <c r="I3810" s="70" t="s">
        <v>179</v>
      </c>
      <c r="J3810" s="71">
        <f>IF(OR(I3810=0,I3810=""),"unrated",VLOOKUP(I3810,MappingTables!$B$19:$C$31,2,FALSE))</f>
        <v>4</v>
      </c>
      <c r="K3810" s="72">
        <v>1109.4917505595672</v>
      </c>
      <c r="L3810" s="70">
        <v>1.4532960745014604</v>
      </c>
      <c r="M3810" s="71">
        <f>IF(L3810&lt;1,1,L3810)</f>
        <v>1.4532960745014604</v>
      </c>
      <c r="N3810" s="70" t="s">
        <v>141</v>
      </c>
      <c r="O3810" s="71">
        <f>INDEX(DurClassMapping,MATCH(M3810,MappingTables!$D$4:$D$8,-1),1)</f>
        <v>1</v>
      </c>
      <c r="P3810" s="73">
        <f>IF(M3810=$A$1,1,$M3810-INDEX(MappingTables!$E$4:$E$8,MATCH(O3810,MappingTables!$B$4:$B$8,0)))</f>
        <v>1.4532960745014604</v>
      </c>
      <c r="Q3810" s="71">
        <f>IF(B3810="",0,INDEX(ModelParameters!$D$6:$K$10,MATCH($O3810,ModelParameters!$B$6:$B$10,0),MATCH($J3810,ModelParameters!$D$5:$K$5,0)))</f>
        <v>0.045</v>
      </c>
      <c r="R3810" s="71">
        <f>IF(B3810="",0,INDEX(ModelParameters!$D$13:$K$17,MATCH($O3810,ModelParameters!$B$13:$B$17,0),MATCH($J3810,ModelParameters!$D$5:$K$5,0)))</f>
        <v>0</v>
      </c>
      <c r="S3810" s="160">
        <f>IF(B3810="",0,MIN(IF($N3810="Other Bond TM",ModelParameters!$N$21,1)*(P3810*Q3810+R3810),1))</f>
        <v>0.06539832335256572</v>
      </c>
      <c r="T3810" s="85">
        <f>IF(B3810="",0,$S3810*$K3810)</f>
        <v>72.558900260098768</v>
      </c>
      <c r="U3810" s="85">
        <f>IF(B3810="",0,IF(OR(H3810=MappingTables!$C$34,H3810=MappingTables!$C$35),T3810,0))</f>
        <v>0</v>
      </c>
      <c r="V3810" s="85">
        <f>IF(ISNA(IF(AND(VLOOKUP(CONCATENATE($D3810,$G3810),CSRFinput!$B:$E,4,0)=0,OR(H3810=MappingTables!$C$34,H3810=MappingTables!$C$35)),1,VLOOKUP(CONCATENATE($D3810,$G3810),CSRFinput!$B:$E,4,0))),0,IF(AND(VLOOKUP(CONCATENATE($D3810,$G3810),CSRFinput!$B:$E,4,0)=0,OR(H3810=MappingTables!$C$34,H3810=MappingTables!$C$35)),1,VLOOKUP(CONCATENATE($D3810,$G3810),CSRFinput!$B:$E,4,0)))</f>
        <v>0.054776304963434752</v>
      </c>
      <c r="W3810" s="85">
        <f>IF(B3810="",0,+$T3810*$V3810)</f>
        <v>3.9745084484586152</v>
      </c>
      <c r="X3810" s="85">
        <f>IF(B3810="",0,IF(OR(H3810=MappingTables!$C$34,H3810=MappingTables!$C$35),W3810,0))</f>
        <v>0</v>
      </c>
    </row>
    <row r="3811" spans="2:24" s="0" customFormat="0" ht="15">
      <c r="B3811" s="69" t="s">
        <v>455</v>
      </c>
      <c r="C3811" s="70" t="s">
        <v>456</v>
      </c>
      <c r="D3811" s="70" t="s">
        <v>1</v>
      </c>
      <c r="E3811" s="70" t="s">
        <v>1</v>
      </c>
      <c r="F3811" s="70"/>
      <c r="G3811" s="70" t="s">
        <v>61</v>
      </c>
      <c r="H3811" s="70" t="s">
        <v>178</v>
      </c>
      <c r="I3811" s="70" t="s">
        <v>198</v>
      </c>
      <c r="J3811" s="71" t="str">
        <f>IF(OR(I3811=0,I3811=""),"unrated",VLOOKUP(I3811,MappingTables!$B$19:$C$31,2,FALSE))</f>
        <v>unrated</v>
      </c>
      <c r="K3811" s="72">
        <v>0.056803250890731808</v>
      </c>
      <c r="L3811" s="70">
        <v>0.24383306369629036</v>
      </c>
      <c r="M3811" s="71">
        <f>IF(L3811&lt;1,1,L3811)</f>
        <v>1</v>
      </c>
      <c r="N3811" s="70" t="s">
        <v>141</v>
      </c>
      <c r="O3811" s="71">
        <f>INDEX(DurClassMapping,MATCH(M3811,MappingTables!$D$4:$D$8,-1),1)</f>
        <v>1</v>
      </c>
      <c r="P3811" s="73">
        <f>IF(M3811=$A$1,1,$M3811-INDEX(MappingTables!$E$4:$E$8,MATCH(O3811,MappingTables!$B$4:$B$8,0)))</f>
        <v>1</v>
      </c>
      <c r="Q3811" s="71">
        <f>IF(B3811="",0,INDEX(ModelParameters!$D$6:$K$10,MATCH($O3811,ModelParameters!$B$6:$B$10,0),MATCH($J3811,ModelParameters!$D$5:$K$5,0)))</f>
        <v>0.03</v>
      </c>
      <c r="R3811" s="71">
        <f>IF(B3811="",0,INDEX(ModelParameters!$D$13:$K$17,MATCH($O3811,ModelParameters!$B$13:$B$17,0),MATCH($J3811,ModelParameters!$D$5:$K$5,0)))</f>
        <v>0</v>
      </c>
      <c r="S3811" s="160">
        <f>IF(B3811="",0,MIN(IF($N3811="Other Bond TM",ModelParameters!$N$21,1)*(P3811*Q3811+R3811),1))</f>
        <v>0.03</v>
      </c>
      <c r="T3811" s="85">
        <f>IF(B3811="",0,$S3811*$K3811)</f>
        <v>0.0017040975267219542</v>
      </c>
      <c r="U3811" s="85">
        <f>IF(B3811="",0,IF(OR(H3811=MappingTables!$C$34,H3811=MappingTables!$C$35),T3811,0))</f>
        <v>0</v>
      </c>
      <c r="V3811" s="85">
        <f>IF(ISNA(IF(AND(VLOOKUP(CONCATENATE($D3811,$G3811),CSRFinput!$B:$E,4,0)=0,OR(H3811=MappingTables!$C$34,H3811=MappingTables!$C$35)),1,VLOOKUP(CONCATENATE($D3811,$G3811),CSRFinput!$B:$E,4,0))),0,IF(AND(VLOOKUP(CONCATENATE($D3811,$G3811),CSRFinput!$B:$E,4,0)=0,OR(H3811=MappingTables!$C$34,H3811=MappingTables!$C$35)),1,VLOOKUP(CONCATENATE($D3811,$G3811),CSRFinput!$B:$E,4,0)))</f>
        <v>0.054776304963434752</v>
      </c>
      <c r="W3811" s="85">
        <f>IF(B3811="",0,+$T3811*$V3811)</f>
        <v>0.000093344165811156672</v>
      </c>
      <c r="X3811" s="85">
        <f>IF(B3811="",0,IF(OR(H3811=MappingTables!$C$34,H3811=MappingTables!$C$35),W3811,0))</f>
        <v>0</v>
      </c>
    </row>
    <row r="3812" spans="2:24" s="0" customFormat="0" ht="15">
      <c r="B3812" s="69" t="s">
        <v>1870</v>
      </c>
      <c r="C3812" s="70" t="s">
        <v>1871</v>
      </c>
      <c r="D3812" s="70" t="s">
        <v>1</v>
      </c>
      <c r="E3812" s="70" t="s">
        <v>1</v>
      </c>
      <c r="F3812" s="70"/>
      <c r="G3812" s="70" t="s">
        <v>61</v>
      </c>
      <c r="H3812" s="70" t="s">
        <v>178</v>
      </c>
      <c r="I3812" s="70" t="s">
        <v>188</v>
      </c>
      <c r="J3812" s="71">
        <f>IF(OR(I3812=0,I3812=""),"unrated",VLOOKUP(I3812,MappingTables!$B$19:$C$31,2,FALSE))</f>
        <v>2</v>
      </c>
      <c r="K3812" s="72">
        <v>739.95122462342592</v>
      </c>
      <c r="L3812" s="70">
        <v>6.598680271934924</v>
      </c>
      <c r="M3812" s="71">
        <f>IF(L3812&lt;1,1,L3812)</f>
        <v>6.598680271934924</v>
      </c>
      <c r="N3812" s="70" t="s">
        <v>141</v>
      </c>
      <c r="O3812" s="71">
        <f>INDEX(DurClassMapping,MATCH(M3812,MappingTables!$D$4:$D$8,-1),1)</f>
        <v>2</v>
      </c>
      <c r="P3812" s="73">
        <f>IF(M3812=$A$1,1,$M3812-INDEX(MappingTables!$E$4:$E$8,MATCH(O3812,MappingTables!$B$4:$B$8,0)))</f>
        <v>1.5986802719349242</v>
      </c>
      <c r="Q3812" s="71">
        <f>IF(B3812="",0,INDEX(ModelParameters!$D$6:$K$10,MATCH($O3812,ModelParameters!$B$6:$B$10,0),MATCH($J3812,ModelParameters!$D$5:$K$5,0)))</f>
        <v>0.0069999999999999992</v>
      </c>
      <c r="R3812" s="71">
        <f>IF(B3812="",0,INDEX(ModelParameters!$D$13:$K$17,MATCH($O3812,ModelParameters!$B$13:$B$17,0),MATCH($J3812,ModelParameters!$D$5:$K$5,0)))</f>
        <v>0.070000000000000008</v>
      </c>
      <c r="S3812" s="160">
        <f>IF(B3812="",0,MIN(IF($N3812="Other Bond TM",ModelParameters!$N$21,1)*(P3812*Q3812+R3812),1))</f>
        <v>0.08119076190354448</v>
      </c>
      <c r="T3812" s="85">
        <f>IF(B3812="",0,$S3812*$K3812)</f>
        <v>60.077203698636728</v>
      </c>
      <c r="U3812" s="85">
        <f>IF(B3812="",0,IF(OR(H3812=MappingTables!$C$34,H3812=MappingTables!$C$35),T3812,0))</f>
        <v>0</v>
      </c>
      <c r="V3812" s="85">
        <f>IF(ISNA(IF(AND(VLOOKUP(CONCATENATE($D3812,$G3812),CSRFinput!$B:$E,4,0)=0,OR(H3812=MappingTables!$C$34,H3812=MappingTables!$C$35)),1,VLOOKUP(CONCATENATE($D3812,$G3812),CSRFinput!$B:$E,4,0))),0,IF(AND(VLOOKUP(CONCATENATE($D3812,$G3812),CSRFinput!$B:$E,4,0)=0,OR(H3812=MappingTables!$C$34,H3812=MappingTables!$C$35)),1,VLOOKUP(CONCATENATE($D3812,$G3812),CSRFinput!$B:$E,4,0)))</f>
        <v>0.054776304963434752</v>
      </c>
      <c r="W3812" s="85">
        <f>IF(B3812="",0,+$T3812*$V3812)</f>
        <v>3.290807231146916</v>
      </c>
      <c r="X3812" s="85">
        <f>IF(B3812="",0,IF(OR(H3812=MappingTables!$C$34,H3812=MappingTables!$C$35),W3812,0))</f>
        <v>0</v>
      </c>
    </row>
    <row r="3813" spans="2:24" s="0" customFormat="0" ht="15">
      <c r="B3813" s="69">
        <v>13230594</v>
      </c>
      <c r="C3813" s="70" t="s">
        <v>2376</v>
      </c>
      <c r="D3813" s="70" t="s">
        <v>1</v>
      </c>
      <c r="E3813" s="70" t="s">
        <v>1</v>
      </c>
      <c r="F3813" s="70"/>
      <c r="G3813" s="70" t="s">
        <v>61</v>
      </c>
      <c r="H3813" s="70" t="s">
        <v>178</v>
      </c>
      <c r="I3813" s="70" t="s">
        <v>188</v>
      </c>
      <c r="J3813" s="71">
        <f>IF(OR(I3813=0,I3813=""),"unrated",VLOOKUP(I3813,MappingTables!$B$19:$C$31,2,FALSE))</f>
        <v>2</v>
      </c>
      <c r="K3813" s="72">
        <v>37470.754152818784</v>
      </c>
      <c r="L3813" s="70">
        <v>2.919447298473976</v>
      </c>
      <c r="M3813" s="71">
        <f>IF(L3813&lt;1,1,L3813)</f>
        <v>2.919447298473976</v>
      </c>
      <c r="N3813" s="70" t="s">
        <v>141</v>
      </c>
      <c r="O3813" s="71">
        <f>INDEX(DurClassMapping,MATCH(M3813,MappingTables!$D$4:$D$8,-1),1)</f>
        <v>1</v>
      </c>
      <c r="P3813" s="73">
        <f>IF(M3813=$A$1,1,$M3813-INDEX(MappingTables!$E$4:$E$8,MATCH(O3813,MappingTables!$B$4:$B$8,0)))</f>
        <v>2.919447298473976</v>
      </c>
      <c r="Q3813" s="71">
        <f>IF(B3813="",0,INDEX(ModelParameters!$D$6:$K$10,MATCH($O3813,ModelParameters!$B$6:$B$10,0),MATCH($J3813,ModelParameters!$D$5:$K$5,0)))</f>
        <v>0.013999999999999998</v>
      </c>
      <c r="R3813" s="71">
        <f>IF(B3813="",0,INDEX(ModelParameters!$D$13:$K$17,MATCH($O3813,ModelParameters!$B$13:$B$17,0),MATCH($J3813,ModelParameters!$D$5:$K$5,0)))</f>
        <v>0</v>
      </c>
      <c r="S3813" s="160">
        <f>IF(B3813="",0,MIN(IF($N3813="Other Bond TM",ModelParameters!$N$21,1)*(P3813*Q3813+R3813),1))</f>
        <v>0.040872262178635664</v>
      </c>
      <c r="T3813" s="85">
        <f>IF(B3813="",0,$S3813*$K3813)</f>
        <v>1531.5144877652104</v>
      </c>
      <c r="U3813" s="85">
        <f>IF(B3813="",0,IF(OR(H3813=MappingTables!$C$34,H3813=MappingTables!$C$35),T3813,0))</f>
        <v>0</v>
      </c>
      <c r="V3813" s="85">
        <f>IF(ISNA(IF(AND(VLOOKUP(CONCATENATE($D3813,$G3813),CSRFinput!$B:$E,4,0)=0,OR(H3813=MappingTables!$C$34,H3813=MappingTables!$C$35)),1,VLOOKUP(CONCATENATE($D3813,$G3813),CSRFinput!$B:$E,4,0))),0,IF(AND(VLOOKUP(CONCATENATE($D3813,$G3813),CSRFinput!$B:$E,4,0)=0,OR(H3813=MappingTables!$C$34,H3813=MappingTables!$C$35)),1,VLOOKUP(CONCATENATE($D3813,$G3813),CSRFinput!$B:$E,4,0)))</f>
        <v>0.054776304963434752</v>
      </c>
      <c r="W3813" s="85">
        <f>IF(B3813="",0,+$T3813*$V3813)</f>
        <v>83.890704637745728</v>
      </c>
      <c r="X3813" s="85">
        <f>IF(B3813="",0,IF(OR(H3813=MappingTables!$C$34,H3813=MappingTables!$C$35),W3813,0))</f>
        <v>0</v>
      </c>
    </row>
    <row r="3814" spans="2:24" s="0" customFormat="0" ht="15">
      <c r="B3814" s="69">
        <v>21719476</v>
      </c>
      <c r="C3814" s="70" t="s">
        <v>2346</v>
      </c>
      <c r="D3814" s="70" t="s">
        <v>1</v>
      </c>
      <c r="E3814" s="70" t="s">
        <v>1</v>
      </c>
      <c r="F3814" s="70"/>
      <c r="G3814" s="70" t="s">
        <v>61</v>
      </c>
      <c r="H3814" s="70" t="s">
        <v>178</v>
      </c>
      <c r="I3814" s="70" t="s">
        <v>181</v>
      </c>
      <c r="J3814" s="71">
        <f>IF(OR(I3814=0,I3814=""),"unrated",VLOOKUP(I3814,MappingTables!$B$19:$C$31,2,FALSE))</f>
        <v>3</v>
      </c>
      <c r="K3814" s="72">
        <v>7659.0281669613568</v>
      </c>
      <c r="L3814" s="70">
        <v>1.1803585473250088</v>
      </c>
      <c r="M3814" s="71">
        <f>IF(L3814&lt;1,1,L3814)</f>
        <v>1.1803585473250088</v>
      </c>
      <c r="N3814" s="70" t="s">
        <v>141</v>
      </c>
      <c r="O3814" s="71">
        <f>INDEX(DurClassMapping,MATCH(M3814,MappingTables!$D$4:$D$8,-1),1)</f>
        <v>1</v>
      </c>
      <c r="P3814" s="73">
        <f>IF(M3814=$A$1,1,$M3814-INDEX(MappingTables!$E$4:$E$8,MATCH(O3814,MappingTables!$B$4:$B$8,0)))</f>
        <v>1.1803585473250088</v>
      </c>
      <c r="Q3814" s="71">
        <f>IF(B3814="",0,INDEX(ModelParameters!$D$6:$K$10,MATCH($O3814,ModelParameters!$B$6:$B$10,0),MATCH($J3814,ModelParameters!$D$5:$K$5,0)))</f>
        <v>0.025</v>
      </c>
      <c r="R3814" s="71">
        <f>IF(B3814="",0,INDEX(ModelParameters!$D$13:$K$17,MATCH($O3814,ModelParameters!$B$13:$B$17,0),MATCH($J3814,ModelParameters!$D$5:$K$5,0)))</f>
        <v>0</v>
      </c>
      <c r="S3814" s="160">
        <f>IF(B3814="",0,MIN(IF($N3814="Other Bond TM",ModelParameters!$N$21,1)*(P3814*Q3814+R3814),1))</f>
        <v>0.029508963683125224</v>
      </c>
      <c r="T3814" s="85">
        <f>IF(B3814="",0,$S3814*$K3814)</f>
        <v>226.0099840268958</v>
      </c>
      <c r="U3814" s="85">
        <f>IF(B3814="",0,IF(OR(H3814=MappingTables!$C$34,H3814=MappingTables!$C$35),T3814,0))</f>
        <v>0</v>
      </c>
      <c r="V3814" s="85">
        <f>IF(ISNA(IF(AND(VLOOKUP(CONCATENATE($D3814,$G3814),CSRFinput!$B:$E,4,0)=0,OR(H3814=MappingTables!$C$34,H3814=MappingTables!$C$35)),1,VLOOKUP(CONCATENATE($D3814,$G3814),CSRFinput!$B:$E,4,0))),0,IF(AND(VLOOKUP(CONCATENATE($D3814,$G3814),CSRFinput!$B:$E,4,0)=0,OR(H3814=MappingTables!$C$34,H3814=MappingTables!$C$35)),1,VLOOKUP(CONCATENATE($D3814,$G3814),CSRFinput!$B:$E,4,0)))</f>
        <v>0.054776304963434752</v>
      </c>
      <c r="W3814" s="85">
        <f>IF(B3814="",0,+$T3814*$V3814)</f>
        <v>12.379991809838262</v>
      </c>
      <c r="X3814" s="85">
        <f>IF(B3814="",0,IF(OR(H3814=MappingTables!$C$34,H3814=MappingTables!$C$35),W3814,0))</f>
        <v>0</v>
      </c>
    </row>
    <row r="3815" spans="2:24" s="0" customFormat="0" ht="15">
      <c r="B3815" s="69">
        <v>14851913</v>
      </c>
      <c r="C3815" s="70" t="s">
        <v>2604</v>
      </c>
      <c r="D3815" s="70" t="s">
        <v>1</v>
      </c>
      <c r="E3815" s="70" t="s">
        <v>1</v>
      </c>
      <c r="F3815" s="70"/>
      <c r="G3815" s="70" t="s">
        <v>61</v>
      </c>
      <c r="H3815" s="70" t="s">
        <v>178</v>
      </c>
      <c r="I3815" s="70" t="s">
        <v>181</v>
      </c>
      <c r="J3815" s="71">
        <f>IF(OR(I3815=0,I3815=""),"unrated",VLOOKUP(I3815,MappingTables!$B$19:$C$31,2,FALSE))</f>
        <v>3</v>
      </c>
      <c r="K3815" s="72">
        <v>2283.6709370530716</v>
      </c>
      <c r="L3815" s="70">
        <v>1.9300375957001752</v>
      </c>
      <c r="M3815" s="71">
        <f>IF(L3815&lt;1,1,L3815)</f>
        <v>1.9300375957001752</v>
      </c>
      <c r="N3815" s="70" t="s">
        <v>141</v>
      </c>
      <c r="O3815" s="71">
        <f>INDEX(DurClassMapping,MATCH(M3815,MappingTables!$D$4:$D$8,-1),1)</f>
        <v>1</v>
      </c>
      <c r="P3815" s="73">
        <f>IF(M3815=$A$1,1,$M3815-INDEX(MappingTables!$E$4:$E$8,MATCH(O3815,MappingTables!$B$4:$B$8,0)))</f>
        <v>1.9300375957001752</v>
      </c>
      <c r="Q3815" s="71">
        <f>IF(B3815="",0,INDEX(ModelParameters!$D$6:$K$10,MATCH($O3815,ModelParameters!$B$6:$B$10,0),MATCH($J3815,ModelParameters!$D$5:$K$5,0)))</f>
        <v>0.025</v>
      </c>
      <c r="R3815" s="71">
        <f>IF(B3815="",0,INDEX(ModelParameters!$D$13:$K$17,MATCH($O3815,ModelParameters!$B$13:$B$17,0),MATCH($J3815,ModelParameters!$D$5:$K$5,0)))</f>
        <v>0</v>
      </c>
      <c r="S3815" s="160">
        <f>IF(B3815="",0,MIN(IF($N3815="Other Bond TM",ModelParameters!$N$21,1)*(P3815*Q3815+R3815),1))</f>
        <v>0.048250939892504384</v>
      </c>
      <c r="T3815" s="85">
        <f>IF(B3815="",0,$S3815*$K3815)</f>
        <v>110.18926911800692</v>
      </c>
      <c r="U3815" s="85">
        <f>IF(B3815="",0,IF(OR(H3815=MappingTables!$C$34,H3815=MappingTables!$C$35),T3815,0))</f>
        <v>0</v>
      </c>
      <c r="V3815" s="85">
        <f>IF(ISNA(IF(AND(VLOOKUP(CONCATENATE($D3815,$G3815),CSRFinput!$B:$E,4,0)=0,OR(H3815=MappingTables!$C$34,H3815=MappingTables!$C$35)),1,VLOOKUP(CONCATENATE($D3815,$G3815),CSRFinput!$B:$E,4,0))),0,IF(AND(VLOOKUP(CONCATENATE($D3815,$G3815),CSRFinput!$B:$E,4,0)=0,OR(H3815=MappingTables!$C$34,H3815=MappingTables!$C$35)),1,VLOOKUP(CONCATENATE($D3815,$G3815),CSRFinput!$B:$E,4,0)))</f>
        <v>0.054776304963434752</v>
      </c>
      <c r="W3815" s="85">
        <f>IF(B3815="",0,+$T3815*$V3815)</f>
        <v>6.0357610089059304</v>
      </c>
      <c r="X3815" s="85">
        <f>IF(B3815="",0,IF(OR(H3815=MappingTables!$C$34,H3815=MappingTables!$C$35),W3815,0))</f>
        <v>0</v>
      </c>
    </row>
    <row r="3816" spans="2:24" s="0" customFormat="0" ht="15">
      <c r="B3816" s="69">
        <v>12962685</v>
      </c>
      <c r="C3816" s="70" t="s">
        <v>2948</v>
      </c>
      <c r="D3816" s="70" t="s">
        <v>1</v>
      </c>
      <c r="E3816" s="70" t="s">
        <v>1</v>
      </c>
      <c r="F3816" s="70"/>
      <c r="G3816" s="70" t="s">
        <v>61</v>
      </c>
      <c r="H3816" s="70" t="s">
        <v>178</v>
      </c>
      <c r="I3816" s="70" t="s">
        <v>181</v>
      </c>
      <c r="J3816" s="71">
        <f>IF(OR(I3816=0,I3816=""),"unrated",VLOOKUP(I3816,MappingTables!$B$19:$C$31,2,FALSE))</f>
        <v>3</v>
      </c>
      <c r="K3816" s="72">
        <v>2616.1506271798892</v>
      </c>
      <c r="L3816" s="70">
        <v>0.90499446189497072</v>
      </c>
      <c r="M3816" s="71">
        <f>IF(L3816&lt;1,1,L3816)</f>
        <v>1</v>
      </c>
      <c r="N3816" s="70" t="s">
        <v>141</v>
      </c>
      <c r="O3816" s="71">
        <f>INDEX(DurClassMapping,MATCH(M3816,MappingTables!$D$4:$D$8,-1),1)</f>
        <v>1</v>
      </c>
      <c r="P3816" s="73">
        <f>IF(M3816=$A$1,1,$M3816-INDEX(MappingTables!$E$4:$E$8,MATCH(O3816,MappingTables!$B$4:$B$8,0)))</f>
        <v>1</v>
      </c>
      <c r="Q3816" s="71">
        <f>IF(B3816="",0,INDEX(ModelParameters!$D$6:$K$10,MATCH($O3816,ModelParameters!$B$6:$B$10,0),MATCH($J3816,ModelParameters!$D$5:$K$5,0)))</f>
        <v>0.025</v>
      </c>
      <c r="R3816" s="71">
        <f>IF(B3816="",0,INDEX(ModelParameters!$D$13:$K$17,MATCH($O3816,ModelParameters!$B$13:$B$17,0),MATCH($J3816,ModelParameters!$D$5:$K$5,0)))</f>
        <v>0</v>
      </c>
      <c r="S3816" s="160">
        <f>IF(B3816="",0,MIN(IF($N3816="Other Bond TM",ModelParameters!$N$21,1)*(P3816*Q3816+R3816),1))</f>
        <v>0.025</v>
      </c>
      <c r="T3816" s="85">
        <f>IF(B3816="",0,$S3816*$K3816)</f>
        <v>65.40376567949724</v>
      </c>
      <c r="U3816" s="85">
        <f>IF(B3816="",0,IF(OR(H3816=MappingTables!$C$34,H3816=MappingTables!$C$35),T3816,0))</f>
        <v>0</v>
      </c>
      <c r="V3816" s="85">
        <f>IF(ISNA(IF(AND(VLOOKUP(CONCATENATE($D3816,$G3816),CSRFinput!$B:$E,4,0)=0,OR(H3816=MappingTables!$C$34,H3816=MappingTables!$C$35)),1,VLOOKUP(CONCATENATE($D3816,$G3816),CSRFinput!$B:$E,4,0))),0,IF(AND(VLOOKUP(CONCATENATE($D3816,$G3816),CSRFinput!$B:$E,4,0)=0,OR(H3816=MappingTables!$C$34,H3816=MappingTables!$C$35)),1,VLOOKUP(CONCATENATE($D3816,$G3816),CSRFinput!$B:$E,4,0)))</f>
        <v>0.054776304963434752</v>
      </c>
      <c r="W3816" s="85">
        <f>IF(B3816="",0,+$T3816*$V3816)</f>
        <v>3.5825766146171684</v>
      </c>
      <c r="X3816" s="85">
        <f>IF(B3816="",0,IF(OR(H3816=MappingTables!$C$34,H3816=MappingTables!$C$35),W3816,0))</f>
        <v>0</v>
      </c>
    </row>
    <row r="3817" spans="2:24" s="0" customFormat="0" ht="15">
      <c r="B3817" s="69" t="s">
        <v>1784</v>
      </c>
      <c r="C3817" s="70" t="s">
        <v>1785</v>
      </c>
      <c r="D3817" s="70" t="s">
        <v>1</v>
      </c>
      <c r="E3817" s="70" t="s">
        <v>1</v>
      </c>
      <c r="F3817" s="70"/>
      <c r="G3817" s="70" t="s">
        <v>61</v>
      </c>
      <c r="H3817" s="70" t="s">
        <v>178</v>
      </c>
      <c r="I3817" s="70" t="s">
        <v>181</v>
      </c>
      <c r="J3817" s="71">
        <f>IF(OR(I3817=0,I3817=""),"unrated",VLOOKUP(I3817,MappingTables!$B$19:$C$31,2,FALSE))</f>
        <v>3</v>
      </c>
      <c r="K3817" s="72">
        <v>39439.0432554032</v>
      </c>
      <c r="L3817" s="70">
        <v>9.9680561431189504</v>
      </c>
      <c r="M3817" s="71">
        <f>IF(L3817&lt;1,1,L3817)</f>
        <v>9.9680561431189504</v>
      </c>
      <c r="N3817" s="70" t="s">
        <v>141</v>
      </c>
      <c r="O3817" s="71">
        <f>INDEX(DurClassMapping,MATCH(M3817,MappingTables!$D$4:$D$8,-1),1)</f>
        <v>2</v>
      </c>
      <c r="P3817" s="73">
        <f>IF(M3817=$A$1,1,$M3817-INDEX(MappingTables!$E$4:$E$8,MATCH(O3817,MappingTables!$B$4:$B$8,0)))</f>
        <v>4.9680561431189504</v>
      </c>
      <c r="Q3817" s="71">
        <f>IF(B3817="",0,INDEX(ModelParameters!$D$6:$K$10,MATCH($O3817,ModelParameters!$B$6:$B$10,0),MATCH($J3817,ModelParameters!$D$5:$K$5,0)))</f>
        <v>0.015</v>
      </c>
      <c r="R3817" s="71">
        <f>IF(B3817="",0,INDEX(ModelParameters!$D$13:$K$17,MATCH($O3817,ModelParameters!$B$13:$B$17,0),MATCH($J3817,ModelParameters!$D$5:$K$5,0)))</f>
        <v>0.125</v>
      </c>
      <c r="S3817" s="160">
        <f>IF(B3817="",0,MIN(IF($N3817="Other Bond TM",ModelParameters!$N$21,1)*(P3817*Q3817+R3817),1))</f>
        <v>0.19952084214678424</v>
      </c>
      <c r="T3817" s="85">
        <f>IF(B3817="",0,$S3817*$K3817)</f>
        <v>7868.9111237814992</v>
      </c>
      <c r="U3817" s="85">
        <f>IF(B3817="",0,IF(OR(H3817=MappingTables!$C$34,H3817=MappingTables!$C$35),T3817,0))</f>
        <v>0</v>
      </c>
      <c r="V3817" s="85">
        <f>IF(ISNA(IF(AND(VLOOKUP(CONCATENATE($D3817,$G3817),CSRFinput!$B:$E,4,0)=0,OR(H3817=MappingTables!$C$34,H3817=MappingTables!$C$35)),1,VLOOKUP(CONCATENATE($D3817,$G3817),CSRFinput!$B:$E,4,0))),0,IF(AND(VLOOKUP(CONCATENATE($D3817,$G3817),CSRFinput!$B:$E,4,0)=0,OR(H3817=MappingTables!$C$34,H3817=MappingTables!$C$35)),1,VLOOKUP(CONCATENATE($D3817,$G3817),CSRFinput!$B:$E,4,0)))</f>
        <v>0.054776304963434752</v>
      </c>
      <c r="W3817" s="85">
        <f>IF(B3817="",0,+$T3817*$V3817)</f>
        <v>431.02987544641944</v>
      </c>
      <c r="X3817" s="85">
        <f>IF(B3817="",0,IF(OR(H3817=MappingTables!$C$34,H3817=MappingTables!$C$35),W3817,0))</f>
        <v>0</v>
      </c>
    </row>
    <row r="3818" spans="2:24" s="0" customFormat="0" ht="15">
      <c r="B3818" s="69">
        <v>19579227</v>
      </c>
      <c r="C3818" s="70" t="s">
        <v>2949</v>
      </c>
      <c r="D3818" s="70" t="s">
        <v>1</v>
      </c>
      <c r="E3818" s="70" t="s">
        <v>1</v>
      </c>
      <c r="F3818" s="70"/>
      <c r="G3818" s="70" t="s">
        <v>61</v>
      </c>
      <c r="H3818" s="70" t="s">
        <v>178</v>
      </c>
      <c r="I3818" s="70" t="s">
        <v>181</v>
      </c>
      <c r="J3818" s="71">
        <f>IF(OR(I3818=0,I3818=""),"unrated",VLOOKUP(I3818,MappingTables!$B$19:$C$31,2,FALSE))</f>
        <v>3</v>
      </c>
      <c r="K3818" s="72">
        <v>15172.201195200172</v>
      </c>
      <c r="L3818" s="70">
        <v>7.71658652027856</v>
      </c>
      <c r="M3818" s="71">
        <f>IF(L3818&lt;1,1,L3818)</f>
        <v>7.71658652027856</v>
      </c>
      <c r="N3818" s="70" t="s">
        <v>141</v>
      </c>
      <c r="O3818" s="71">
        <f>INDEX(DurClassMapping,MATCH(M3818,MappingTables!$D$4:$D$8,-1),1)</f>
        <v>2</v>
      </c>
      <c r="P3818" s="73">
        <f>IF(M3818=$A$1,1,$M3818-INDEX(MappingTables!$E$4:$E$8,MATCH(O3818,MappingTables!$B$4:$B$8,0)))</f>
        <v>2.71658652027856</v>
      </c>
      <c r="Q3818" s="71">
        <f>IF(B3818="",0,INDEX(ModelParameters!$D$6:$K$10,MATCH($O3818,ModelParameters!$B$6:$B$10,0),MATCH($J3818,ModelParameters!$D$5:$K$5,0)))</f>
        <v>0.015</v>
      </c>
      <c r="R3818" s="71">
        <f>IF(B3818="",0,INDEX(ModelParameters!$D$13:$K$17,MATCH($O3818,ModelParameters!$B$13:$B$17,0),MATCH($J3818,ModelParameters!$D$5:$K$5,0)))</f>
        <v>0.125</v>
      </c>
      <c r="S3818" s="160">
        <f>IF(B3818="",0,MIN(IF($N3818="Other Bond TM",ModelParameters!$N$21,1)*(P3818*Q3818+R3818),1))</f>
        <v>0.1657487978041784</v>
      </c>
      <c r="T3818" s="85">
        <f>IF(B3818="",0,$S3818*$K3818)</f>
        <v>2514.7741081475468</v>
      </c>
      <c r="U3818" s="85">
        <f>IF(B3818="",0,IF(OR(H3818=MappingTables!$C$34,H3818=MappingTables!$C$35),T3818,0))</f>
        <v>0</v>
      </c>
      <c r="V3818" s="85">
        <f>IF(ISNA(IF(AND(VLOOKUP(CONCATENATE($D3818,$G3818),CSRFinput!$B:$E,4,0)=0,OR(H3818=MappingTables!$C$34,H3818=MappingTables!$C$35)),1,VLOOKUP(CONCATENATE($D3818,$G3818),CSRFinput!$B:$E,4,0))),0,IF(AND(VLOOKUP(CONCATENATE($D3818,$G3818),CSRFinput!$B:$E,4,0)=0,OR(H3818=MappingTables!$C$34,H3818=MappingTables!$C$35)),1,VLOOKUP(CONCATENATE($D3818,$G3818),CSRFinput!$B:$E,4,0)))</f>
        <v>0.054776304963434752</v>
      </c>
      <c r="W3818" s="85">
        <f>IF(B3818="",0,+$T3818*$V3818)</f>
        <v>137.75003346203968</v>
      </c>
      <c r="X3818" s="85">
        <f>IF(B3818="",0,IF(OR(H3818=MappingTables!$C$34,H3818=MappingTables!$C$35),W3818,0))</f>
        <v>0</v>
      </c>
    </row>
    <row r="3819" spans="2:24" s="0" customFormat="0" ht="15">
      <c r="B3819" s="69">
        <v>7936200</v>
      </c>
      <c r="C3819" s="70" t="s">
        <v>1165</v>
      </c>
      <c r="D3819" s="70" t="s">
        <v>1</v>
      </c>
      <c r="E3819" s="70" t="s">
        <v>1</v>
      </c>
      <c r="F3819" s="70"/>
      <c r="G3819" s="70" t="s">
        <v>61</v>
      </c>
      <c r="H3819" s="70" t="s">
        <v>178</v>
      </c>
      <c r="I3819" s="70" t="s">
        <v>198</v>
      </c>
      <c r="J3819" s="71" t="str">
        <f>IF(OR(I3819=0,I3819=""),"unrated",VLOOKUP(I3819,MappingTables!$B$19:$C$31,2,FALSE))</f>
        <v>unrated</v>
      </c>
      <c r="K3819" s="72">
        <v>5772.0537094935888</v>
      </c>
      <c r="L3819" s="70">
        <v>10.235211930242154</v>
      </c>
      <c r="M3819" s="71">
        <f>IF(L3819&lt;1,1,L3819)</f>
        <v>10.235211930242154</v>
      </c>
      <c r="N3819" s="70" t="s">
        <v>141</v>
      </c>
      <c r="O3819" s="71">
        <f>INDEX(DurClassMapping,MATCH(M3819,MappingTables!$D$4:$D$8,-1),1)</f>
        <v>3</v>
      </c>
      <c r="P3819" s="73">
        <f>IF(M3819=$A$1,1,$M3819-INDEX(MappingTables!$E$4:$E$8,MATCH(O3819,MappingTables!$B$4:$B$8,0)))</f>
        <v>0.23521193024215316</v>
      </c>
      <c r="Q3819" s="71">
        <f>IF(B3819="",0,INDEX(ModelParameters!$D$6:$K$10,MATCH($O3819,ModelParameters!$B$6:$B$10,0),MATCH($J3819,ModelParameters!$D$5:$K$5,0)))</f>
        <v>0.012</v>
      </c>
      <c r="R3819" s="71">
        <f>IF(B3819="",0,INDEX(ModelParameters!$D$13:$K$17,MATCH($O3819,ModelParameters!$B$13:$B$17,0),MATCH($J3819,ModelParameters!$D$5:$K$5,0)))</f>
        <v>0.235</v>
      </c>
      <c r="S3819" s="160">
        <f>IF(B3819="",0,MIN(IF($N3819="Other Bond TM",ModelParameters!$N$21,1)*(P3819*Q3819+R3819),1))</f>
        <v>0.23782254316290584</v>
      </c>
      <c r="T3819" s="85">
        <f>IF(B3819="",0,$S3819*$K3819)</f>
        <v>1372.7244924646498</v>
      </c>
      <c r="U3819" s="85">
        <f>IF(B3819="",0,IF(OR(H3819=MappingTables!$C$34,H3819=MappingTables!$C$35),T3819,0))</f>
        <v>0</v>
      </c>
      <c r="V3819" s="85">
        <f>IF(ISNA(IF(AND(VLOOKUP(CONCATENATE($D3819,$G3819),CSRFinput!$B:$E,4,0)=0,OR(H3819=MappingTables!$C$34,H3819=MappingTables!$C$35)),1,VLOOKUP(CONCATENATE($D3819,$G3819),CSRFinput!$B:$E,4,0))),0,IF(AND(VLOOKUP(CONCATENATE($D3819,$G3819),CSRFinput!$B:$E,4,0)=0,OR(H3819=MappingTables!$C$34,H3819=MappingTables!$C$35)),1,VLOOKUP(CONCATENATE($D3819,$G3819),CSRFinput!$B:$E,4,0)))</f>
        <v>0.054776304963434752</v>
      </c>
      <c r="W3819" s="85">
        <f>IF(B3819="",0,+$T3819*$V3819)</f>
        <v>75.192775430019856</v>
      </c>
      <c r="X3819" s="85">
        <f>IF(B3819="",0,IF(OR(H3819=MappingTables!$C$34,H3819=MappingTables!$C$35),W3819,0))</f>
        <v>0</v>
      </c>
    </row>
    <row r="3820" spans="2:24" s="0" customFormat="0" ht="15">
      <c r="B3820" s="69">
        <v>20243642</v>
      </c>
      <c r="C3820" s="70" t="s">
        <v>2950</v>
      </c>
      <c r="D3820" s="70" t="s">
        <v>1</v>
      </c>
      <c r="E3820" s="70" t="s">
        <v>1</v>
      </c>
      <c r="F3820" s="70"/>
      <c r="G3820" s="70" t="s">
        <v>61</v>
      </c>
      <c r="H3820" s="70" t="s">
        <v>178</v>
      </c>
      <c r="I3820" s="70" t="s">
        <v>181</v>
      </c>
      <c r="J3820" s="71">
        <f>IF(OR(I3820=0,I3820=""),"unrated",VLOOKUP(I3820,MappingTables!$B$19:$C$31,2,FALSE))</f>
        <v>3</v>
      </c>
      <c r="K3820" s="72">
        <v>1693238.182067871</v>
      </c>
      <c r="L3820" s="70">
        <v>7.726696486509192</v>
      </c>
      <c r="M3820" s="71">
        <f>IF(L3820&lt;1,1,L3820)</f>
        <v>7.726696486509192</v>
      </c>
      <c r="N3820" s="70" t="s">
        <v>141</v>
      </c>
      <c r="O3820" s="71">
        <f>INDEX(DurClassMapping,MATCH(M3820,MappingTables!$D$4:$D$8,-1),1)</f>
        <v>2</v>
      </c>
      <c r="P3820" s="73">
        <f>IF(M3820=$A$1,1,$M3820-INDEX(MappingTables!$E$4:$E$8,MATCH(O3820,MappingTables!$B$4:$B$8,0)))</f>
        <v>2.7266964865091924</v>
      </c>
      <c r="Q3820" s="71">
        <f>IF(B3820="",0,INDEX(ModelParameters!$D$6:$K$10,MATCH($O3820,ModelParameters!$B$6:$B$10,0),MATCH($J3820,ModelParameters!$D$5:$K$5,0)))</f>
        <v>0.015</v>
      </c>
      <c r="R3820" s="71">
        <f>IF(B3820="",0,INDEX(ModelParameters!$D$13:$K$17,MATCH($O3820,ModelParameters!$B$13:$B$17,0),MATCH($J3820,ModelParameters!$D$5:$K$5,0)))</f>
        <v>0.125</v>
      </c>
      <c r="S3820" s="160">
        <f>IF(B3820="",0,MIN(IF($N3820="Other Bond TM",ModelParameters!$N$21,1)*(P3820*Q3820+R3820),1))</f>
        <v>0.1659004472976379</v>
      </c>
      <c r="T3820" s="85">
        <f>IF(B3820="",0,$S3820*$K3820)</f>
        <v>280908.97178649904</v>
      </c>
      <c r="U3820" s="85">
        <f>IF(B3820="",0,IF(OR(H3820=MappingTables!$C$34,H3820=MappingTables!$C$35),T3820,0))</f>
        <v>0</v>
      </c>
      <c r="V3820" s="85">
        <f>IF(ISNA(IF(AND(VLOOKUP(CONCATENATE($D3820,$G3820),CSRFinput!$B:$E,4,0)=0,OR(H3820=MappingTables!$C$34,H3820=MappingTables!$C$35)),1,VLOOKUP(CONCATENATE($D3820,$G3820),CSRFinput!$B:$E,4,0))),0,IF(AND(VLOOKUP(CONCATENATE($D3820,$G3820),CSRFinput!$B:$E,4,0)=0,OR(H3820=MappingTables!$C$34,H3820=MappingTables!$C$35)),1,VLOOKUP(CONCATENATE($D3820,$G3820),CSRFinput!$B:$E,4,0)))</f>
        <v>0.054776304963434752</v>
      </c>
      <c r="W3820" s="85">
        <f>IF(B3820="",0,+$T3820*$V3820)</f>
        <v>15387.15550554216</v>
      </c>
      <c r="X3820" s="85">
        <f>IF(B3820="",0,IF(OR(H3820=MappingTables!$C$34,H3820=MappingTables!$C$35),W3820,0))</f>
        <v>0</v>
      </c>
    </row>
    <row r="3821" spans="2:24" s="0" customFormat="0" ht="15">
      <c r="B3821" s="69">
        <v>21127133</v>
      </c>
      <c r="C3821" s="70" t="s">
        <v>2755</v>
      </c>
      <c r="D3821" s="70" t="s">
        <v>1</v>
      </c>
      <c r="E3821" s="70" t="s">
        <v>1</v>
      </c>
      <c r="F3821" s="70"/>
      <c r="G3821" s="70" t="s">
        <v>61</v>
      </c>
      <c r="H3821" s="70" t="s">
        <v>178</v>
      </c>
      <c r="I3821" s="70" t="s">
        <v>198</v>
      </c>
      <c r="J3821" s="71" t="str">
        <f>IF(OR(I3821=0,I3821=""),"unrated",VLOOKUP(I3821,MappingTables!$B$19:$C$31,2,FALSE))</f>
        <v>unrated</v>
      </c>
      <c r="K3821" s="72">
        <v>87.287346002779776</v>
      </c>
      <c r="L3821" s="70">
        <v>7.4200057196687392</v>
      </c>
      <c r="M3821" s="71">
        <f>IF(L3821&lt;1,1,L3821)</f>
        <v>7.4200057196687392</v>
      </c>
      <c r="N3821" s="70" t="s">
        <v>141</v>
      </c>
      <c r="O3821" s="71">
        <f>INDEX(DurClassMapping,MATCH(M3821,MappingTables!$D$4:$D$8,-1),1)</f>
        <v>2</v>
      </c>
      <c r="P3821" s="73">
        <f>IF(M3821=$A$1,1,$M3821-INDEX(MappingTables!$E$4:$E$8,MATCH(O3821,MappingTables!$B$4:$B$8,0)))</f>
        <v>2.4200057196687384</v>
      </c>
      <c r="Q3821" s="71">
        <f>IF(B3821="",0,INDEX(ModelParameters!$D$6:$K$10,MATCH($O3821,ModelParameters!$B$6:$B$10,0),MATCH($J3821,ModelParameters!$D$5:$K$5,0)))</f>
        <v>0.017000000000000002</v>
      </c>
      <c r="R3821" s="71">
        <f>IF(B3821="",0,INDEX(ModelParameters!$D$13:$K$17,MATCH($O3821,ModelParameters!$B$13:$B$17,0),MATCH($J3821,ModelParameters!$D$5:$K$5,0)))</f>
        <v>0.15</v>
      </c>
      <c r="S3821" s="160">
        <f>IF(B3821="",0,MIN(IF($N3821="Other Bond TM",ModelParameters!$N$21,1)*(P3821*Q3821+R3821),1))</f>
        <v>0.19114009723436856</v>
      </c>
      <c r="T3821" s="85">
        <f>IF(B3821="",0,$S3821*$K3821)</f>
        <v>16.684111802301298</v>
      </c>
      <c r="U3821" s="85">
        <f>IF(B3821="",0,IF(OR(H3821=MappingTables!$C$34,H3821=MappingTables!$C$35),T3821,0))</f>
        <v>0</v>
      </c>
      <c r="V3821" s="85">
        <f>IF(ISNA(IF(AND(VLOOKUP(CONCATENATE($D3821,$G3821),CSRFinput!$B:$E,4,0)=0,OR(H3821=MappingTables!$C$34,H3821=MappingTables!$C$35)),1,VLOOKUP(CONCATENATE($D3821,$G3821),CSRFinput!$B:$E,4,0))),0,IF(AND(VLOOKUP(CONCATENATE($D3821,$G3821),CSRFinput!$B:$E,4,0)=0,OR(H3821=MappingTables!$C$34,H3821=MappingTables!$C$35)),1,VLOOKUP(CONCATENATE($D3821,$G3821),CSRFinput!$B:$E,4,0)))</f>
        <v>0.054776304963434752</v>
      </c>
      <c r="W3821" s="85">
        <f>IF(B3821="",0,+$T3821*$V3821)</f>
        <v>0.91389399612689696</v>
      </c>
      <c r="X3821" s="85">
        <f>IF(B3821="",0,IF(OR(H3821=MappingTables!$C$34,H3821=MappingTables!$C$35),W3821,0))</f>
        <v>0</v>
      </c>
    </row>
    <row r="3822" spans="2:24" s="0" customFormat="0" ht="15">
      <c r="B3822" s="69">
        <v>9476265</v>
      </c>
      <c r="C3822" s="70" t="s">
        <v>1883</v>
      </c>
      <c r="D3822" s="70" t="s">
        <v>1</v>
      </c>
      <c r="E3822" s="70" t="s">
        <v>1</v>
      </c>
      <c r="F3822" s="70"/>
      <c r="G3822" s="70" t="s">
        <v>61</v>
      </c>
      <c r="H3822" s="70" t="s">
        <v>178</v>
      </c>
      <c r="I3822" s="70" t="s">
        <v>181</v>
      </c>
      <c r="J3822" s="71">
        <f>IF(OR(I3822=0,I3822=""),"unrated",VLOOKUP(I3822,MappingTables!$B$19:$C$31,2,FALSE))</f>
        <v>3</v>
      </c>
      <c r="K3822" s="72">
        <v>2222.2615778495796</v>
      </c>
      <c r="L3822" s="70">
        <v>14.794961885910384</v>
      </c>
      <c r="M3822" s="71">
        <f>IF(L3822&lt;1,1,L3822)</f>
        <v>14.794961885910384</v>
      </c>
      <c r="N3822" s="70" t="s">
        <v>141</v>
      </c>
      <c r="O3822" s="71">
        <f>INDEX(DurClassMapping,MATCH(M3822,MappingTables!$D$4:$D$8,-1),1)</f>
        <v>3</v>
      </c>
      <c r="P3822" s="73">
        <f>IF(M3822=$A$1,1,$M3822-INDEX(MappingTables!$E$4:$E$8,MATCH(O3822,MappingTables!$B$4:$B$8,0)))</f>
        <v>4.794961885910384</v>
      </c>
      <c r="Q3822" s="71">
        <f>IF(B3822="",0,INDEX(ModelParameters!$D$6:$K$10,MATCH($O3822,ModelParameters!$B$6:$B$10,0),MATCH($J3822,ModelParameters!$D$5:$K$5,0)))</f>
        <v>0.01</v>
      </c>
      <c r="R3822" s="71">
        <f>IF(B3822="",0,INDEX(ModelParameters!$D$13:$K$17,MATCH($O3822,ModelParameters!$B$13:$B$17,0),MATCH($J3822,ModelParameters!$D$5:$K$5,0)))</f>
        <v>0.2</v>
      </c>
      <c r="S3822" s="160">
        <f>IF(B3822="",0,MIN(IF($N3822="Other Bond TM",ModelParameters!$N$21,1)*(P3822*Q3822+R3822),1))</f>
        <v>0.24794961885910384</v>
      </c>
      <c r="T3822" s="85">
        <f>IF(B3822="",0,$S3822*$K3822)</f>
        <v>551.00891123303408</v>
      </c>
      <c r="U3822" s="85">
        <f>IF(B3822="",0,IF(OR(H3822=MappingTables!$C$34,H3822=MappingTables!$C$35),T3822,0))</f>
        <v>0</v>
      </c>
      <c r="V3822" s="85">
        <f>IF(ISNA(IF(AND(VLOOKUP(CONCATENATE($D3822,$G3822),CSRFinput!$B:$E,4,0)=0,OR(H3822=MappingTables!$C$34,H3822=MappingTables!$C$35)),1,VLOOKUP(CONCATENATE($D3822,$G3822),CSRFinput!$B:$E,4,0))),0,IF(AND(VLOOKUP(CONCATENATE($D3822,$G3822),CSRFinput!$B:$E,4,0)=0,OR(H3822=MappingTables!$C$34,H3822=MappingTables!$C$35)),1,VLOOKUP(CONCATENATE($D3822,$G3822),CSRFinput!$B:$E,4,0)))</f>
        <v>0.054776304963434752</v>
      </c>
      <c r="W3822" s="85">
        <f>IF(B3822="",0,+$T3822*$V3822)</f>
        <v>30.18223215927082</v>
      </c>
      <c r="X3822" s="85">
        <f>IF(B3822="",0,IF(OR(H3822=MappingTables!$C$34,H3822=MappingTables!$C$35),W3822,0))</f>
        <v>0</v>
      </c>
    </row>
    <row r="3823" spans="2:24" s="0" customFormat="0" ht="15">
      <c r="B3823" s="69">
        <v>12414185</v>
      </c>
      <c r="C3823" s="70" t="s">
        <v>1922</v>
      </c>
      <c r="D3823" s="70" t="s">
        <v>1</v>
      </c>
      <c r="E3823" s="70" t="s">
        <v>1</v>
      </c>
      <c r="F3823" s="70"/>
      <c r="G3823" s="70" t="s">
        <v>61</v>
      </c>
      <c r="H3823" s="70" t="s">
        <v>178</v>
      </c>
      <c r="I3823" s="70" t="s">
        <v>188</v>
      </c>
      <c r="J3823" s="71">
        <f>IF(OR(I3823=0,I3823=""),"unrated",VLOOKUP(I3823,MappingTables!$B$19:$C$31,2,FALSE))</f>
        <v>2</v>
      </c>
      <c r="K3823" s="72">
        <v>1377.7536961578638</v>
      </c>
      <c r="L3823" s="70">
        <v>1.61180109844703</v>
      </c>
      <c r="M3823" s="71">
        <f>IF(L3823&lt;1,1,L3823)</f>
        <v>1.61180109844703</v>
      </c>
      <c r="N3823" s="70" t="s">
        <v>141</v>
      </c>
      <c r="O3823" s="71">
        <f>INDEX(DurClassMapping,MATCH(M3823,MappingTables!$D$4:$D$8,-1),1)</f>
        <v>1</v>
      </c>
      <c r="P3823" s="73">
        <f>IF(M3823=$A$1,1,$M3823-INDEX(MappingTables!$E$4:$E$8,MATCH(O3823,MappingTables!$B$4:$B$8,0)))</f>
        <v>1.61180109844703</v>
      </c>
      <c r="Q3823" s="71">
        <f>IF(B3823="",0,INDEX(ModelParameters!$D$6:$K$10,MATCH($O3823,ModelParameters!$B$6:$B$10,0),MATCH($J3823,ModelParameters!$D$5:$K$5,0)))</f>
        <v>0.013999999999999998</v>
      </c>
      <c r="R3823" s="71">
        <f>IF(B3823="",0,INDEX(ModelParameters!$D$13:$K$17,MATCH($O3823,ModelParameters!$B$13:$B$17,0),MATCH($J3823,ModelParameters!$D$5:$K$5,0)))</f>
        <v>0</v>
      </c>
      <c r="S3823" s="160">
        <f>IF(B3823="",0,MIN(IF($N3823="Other Bond TM",ModelParameters!$N$21,1)*(P3823*Q3823+R3823),1))</f>
        <v>0.022565215378258416</v>
      </c>
      <c r="T3823" s="85">
        <f>IF(B3823="",0,$S3823*$K3823)</f>
        <v>31.089308891993804</v>
      </c>
      <c r="U3823" s="85">
        <f>IF(B3823="",0,IF(OR(H3823=MappingTables!$C$34,H3823=MappingTables!$C$35),T3823,0))</f>
        <v>0</v>
      </c>
      <c r="V3823" s="85">
        <f>IF(ISNA(IF(AND(VLOOKUP(CONCATENATE($D3823,$G3823),CSRFinput!$B:$E,4,0)=0,OR(H3823=MappingTables!$C$34,H3823=MappingTables!$C$35)),1,VLOOKUP(CONCATENATE($D3823,$G3823),CSRFinput!$B:$E,4,0))),0,IF(AND(VLOOKUP(CONCATENATE($D3823,$G3823),CSRFinput!$B:$E,4,0)=0,OR(H3823=MappingTables!$C$34,H3823=MappingTables!$C$35)),1,VLOOKUP(CONCATENATE($D3823,$G3823),CSRFinput!$B:$E,4,0)))</f>
        <v>0.054776304963434752</v>
      </c>
      <c r="W3823" s="85">
        <f>IF(B3823="",0,+$T3823*$V3823)</f>
        <v>1.7029574649702764</v>
      </c>
      <c r="X3823" s="85">
        <f>IF(B3823="",0,IF(OR(H3823=MappingTables!$C$34,H3823=MappingTables!$C$35),W3823,0))</f>
        <v>0</v>
      </c>
    </row>
    <row r="3824" spans="2:24" s="0" customFormat="0" ht="15">
      <c r="B3824" s="69">
        <v>22827429</v>
      </c>
      <c r="C3824" s="70" t="s">
        <v>2366</v>
      </c>
      <c r="D3824" s="70" t="s">
        <v>1</v>
      </c>
      <c r="E3824" s="70" t="s">
        <v>1</v>
      </c>
      <c r="F3824" s="70"/>
      <c r="G3824" s="70" t="s">
        <v>61</v>
      </c>
      <c r="H3824" s="70" t="s">
        <v>178</v>
      </c>
      <c r="I3824" s="70" t="s">
        <v>181</v>
      </c>
      <c r="J3824" s="71">
        <f>IF(OR(I3824=0,I3824=""),"unrated",VLOOKUP(I3824,MappingTables!$B$19:$C$31,2,FALSE))</f>
        <v>3</v>
      </c>
      <c r="K3824" s="72">
        <v>12166.292549514408</v>
      </c>
      <c r="L3824" s="70">
        <v>5.7034962151561632</v>
      </c>
      <c r="M3824" s="71">
        <f>IF(L3824&lt;1,1,L3824)</f>
        <v>5.7034962151561632</v>
      </c>
      <c r="N3824" s="70" t="s">
        <v>141</v>
      </c>
      <c r="O3824" s="71">
        <f>INDEX(DurClassMapping,MATCH(M3824,MappingTables!$D$4:$D$8,-1),1)</f>
        <v>2</v>
      </c>
      <c r="P3824" s="73">
        <f>IF(M3824=$A$1,1,$M3824-INDEX(MappingTables!$E$4:$E$8,MATCH(O3824,MappingTables!$B$4:$B$8,0)))</f>
        <v>0.70349621515616344</v>
      </c>
      <c r="Q3824" s="71">
        <f>IF(B3824="",0,INDEX(ModelParameters!$D$6:$K$10,MATCH($O3824,ModelParameters!$B$6:$B$10,0),MATCH($J3824,ModelParameters!$D$5:$K$5,0)))</f>
        <v>0.015</v>
      </c>
      <c r="R3824" s="71">
        <f>IF(B3824="",0,INDEX(ModelParameters!$D$13:$K$17,MATCH($O3824,ModelParameters!$B$13:$B$17,0),MATCH($J3824,ModelParameters!$D$5:$K$5,0)))</f>
        <v>0.125</v>
      </c>
      <c r="S3824" s="160">
        <f>IF(B3824="",0,MIN(IF($N3824="Other Bond TM",ModelParameters!$N$21,1)*(P3824*Q3824+R3824),1))</f>
        <v>0.13555244322734244</v>
      </c>
      <c r="T3824" s="85">
        <f>IF(B3824="",0,$S3824*$K3824)</f>
        <v>1649.1706801052912</v>
      </c>
      <c r="U3824" s="85">
        <f>IF(B3824="",0,IF(OR(H3824=MappingTables!$C$34,H3824=MappingTables!$C$35),T3824,0))</f>
        <v>0</v>
      </c>
      <c r="V3824" s="85">
        <f>IF(ISNA(IF(AND(VLOOKUP(CONCATENATE($D3824,$G3824),CSRFinput!$B:$E,4,0)=0,OR(H3824=MappingTables!$C$34,H3824=MappingTables!$C$35)),1,VLOOKUP(CONCATENATE($D3824,$G3824),CSRFinput!$B:$E,4,0))),0,IF(AND(VLOOKUP(CONCATENATE($D3824,$G3824),CSRFinput!$B:$E,4,0)=0,OR(H3824=MappingTables!$C$34,H3824=MappingTables!$C$35)),1,VLOOKUP(CONCATENATE($D3824,$G3824),CSRFinput!$B:$E,4,0)))</f>
        <v>0.054776304963434752</v>
      </c>
      <c r="W3824" s="85">
        <f>IF(B3824="",0,+$T3824*$V3824)</f>
        <v>90.335476110202528</v>
      </c>
      <c r="X3824" s="85">
        <f>IF(B3824="",0,IF(OR(H3824=MappingTables!$C$34,H3824=MappingTables!$C$35),W3824,0))</f>
        <v>0</v>
      </c>
    </row>
    <row r="3825" spans="2:24" s="0" customFormat="0" ht="15">
      <c r="B3825" s="69">
        <v>21764314</v>
      </c>
      <c r="C3825" s="70" t="s">
        <v>1861</v>
      </c>
      <c r="D3825" s="70" t="s">
        <v>1</v>
      </c>
      <c r="E3825" s="70" t="s">
        <v>1</v>
      </c>
      <c r="F3825" s="70"/>
      <c r="G3825" s="70" t="s">
        <v>61</v>
      </c>
      <c r="H3825" s="70" t="s">
        <v>178</v>
      </c>
      <c r="I3825" s="70" t="s">
        <v>181</v>
      </c>
      <c r="J3825" s="71">
        <f>IF(OR(I3825=0,I3825=""),"unrated",VLOOKUP(I3825,MappingTables!$B$19:$C$31,2,FALSE))</f>
        <v>3</v>
      </c>
      <c r="K3825" s="72">
        <v>113.12575305649292</v>
      </c>
      <c r="L3825" s="70">
        <v>1.9487457259122608</v>
      </c>
      <c r="M3825" s="71">
        <f>IF(L3825&lt;1,1,L3825)</f>
        <v>1.9487457259122608</v>
      </c>
      <c r="N3825" s="70" t="s">
        <v>141</v>
      </c>
      <c r="O3825" s="71">
        <f>INDEX(DurClassMapping,MATCH(M3825,MappingTables!$D$4:$D$8,-1),1)</f>
        <v>1</v>
      </c>
      <c r="P3825" s="73">
        <f>IF(M3825=$A$1,1,$M3825-INDEX(MappingTables!$E$4:$E$8,MATCH(O3825,MappingTables!$B$4:$B$8,0)))</f>
        <v>1.9487457259122608</v>
      </c>
      <c r="Q3825" s="71">
        <f>IF(B3825="",0,INDEX(ModelParameters!$D$6:$K$10,MATCH($O3825,ModelParameters!$B$6:$B$10,0),MATCH($J3825,ModelParameters!$D$5:$K$5,0)))</f>
        <v>0.025</v>
      </c>
      <c r="R3825" s="71">
        <f>IF(B3825="",0,INDEX(ModelParameters!$D$13:$K$17,MATCH($O3825,ModelParameters!$B$13:$B$17,0),MATCH($J3825,ModelParameters!$D$5:$K$5,0)))</f>
        <v>0</v>
      </c>
      <c r="S3825" s="160">
        <f>IF(B3825="",0,MIN(IF($N3825="Other Bond TM",ModelParameters!$N$21,1)*(P3825*Q3825+R3825),1))</f>
        <v>0.04871864314780652</v>
      </c>
      <c r="T3825" s="85">
        <f>IF(B3825="",0,$S3825*$K3825)</f>
        <v>5.5113331939861608</v>
      </c>
      <c r="U3825" s="85">
        <f>IF(B3825="",0,IF(OR(H3825=MappingTables!$C$34,H3825=MappingTables!$C$35),T3825,0))</f>
        <v>0</v>
      </c>
      <c r="V3825" s="85">
        <f>IF(ISNA(IF(AND(VLOOKUP(CONCATENATE($D3825,$G3825),CSRFinput!$B:$E,4,0)=0,OR(H3825=MappingTables!$C$34,H3825=MappingTables!$C$35)),1,VLOOKUP(CONCATENATE($D3825,$G3825),CSRFinput!$B:$E,4,0))),0,IF(AND(VLOOKUP(CONCATENATE($D3825,$G3825),CSRFinput!$B:$E,4,0)=0,OR(H3825=MappingTables!$C$34,H3825=MappingTables!$C$35)),1,VLOOKUP(CONCATENATE($D3825,$G3825),CSRFinput!$B:$E,4,0)))</f>
        <v>0.054776304963434752</v>
      </c>
      <c r="W3825" s="85">
        <f>IF(B3825="",0,+$T3825*$V3825)</f>
        <v>0.30189046778888684</v>
      </c>
      <c r="X3825" s="85">
        <f>IF(B3825="",0,IF(OR(H3825=MappingTables!$C$34,H3825=MappingTables!$C$35),W3825,0))</f>
        <v>0</v>
      </c>
    </row>
    <row r="3826" spans="2:24" s="0" customFormat="0" ht="15">
      <c r="B3826" s="69">
        <v>23455190</v>
      </c>
      <c r="C3826" s="70" t="s">
        <v>248</v>
      </c>
      <c r="D3826" s="70" t="s">
        <v>1</v>
      </c>
      <c r="E3826" s="70" t="s">
        <v>1</v>
      </c>
      <c r="F3826" s="70"/>
      <c r="G3826" s="70" t="s">
        <v>61</v>
      </c>
      <c r="H3826" s="70" t="s">
        <v>178</v>
      </c>
      <c r="I3826" s="70" t="s">
        <v>181</v>
      </c>
      <c r="J3826" s="71">
        <f>IF(OR(I3826=0,I3826=""),"unrated",VLOOKUP(I3826,MappingTables!$B$19:$C$31,2,FALSE))</f>
        <v>3</v>
      </c>
      <c r="K3826" s="72">
        <v>2946.5635092567436</v>
      </c>
      <c r="L3826" s="70">
        <v>2.4307730783285248</v>
      </c>
      <c r="M3826" s="71">
        <f>IF(L3826&lt;1,1,L3826)</f>
        <v>2.4307730783285248</v>
      </c>
      <c r="N3826" s="70" t="s">
        <v>141</v>
      </c>
      <c r="O3826" s="71">
        <f>INDEX(DurClassMapping,MATCH(M3826,MappingTables!$D$4:$D$8,-1),1)</f>
        <v>1</v>
      </c>
      <c r="P3826" s="73">
        <f>IF(M3826=$A$1,1,$M3826-INDEX(MappingTables!$E$4:$E$8,MATCH(O3826,MappingTables!$B$4:$B$8,0)))</f>
        <v>2.4307730783285248</v>
      </c>
      <c r="Q3826" s="71">
        <f>IF(B3826="",0,INDEX(ModelParameters!$D$6:$K$10,MATCH($O3826,ModelParameters!$B$6:$B$10,0),MATCH($J3826,ModelParameters!$D$5:$K$5,0)))</f>
        <v>0.025</v>
      </c>
      <c r="R3826" s="71">
        <f>IF(B3826="",0,INDEX(ModelParameters!$D$13:$K$17,MATCH($O3826,ModelParameters!$B$13:$B$17,0),MATCH($J3826,ModelParameters!$D$5:$K$5,0)))</f>
        <v>0</v>
      </c>
      <c r="S3826" s="160">
        <f>IF(B3826="",0,MIN(IF($N3826="Other Bond TM",ModelParameters!$N$21,1)*(P3826*Q3826+R3826),1))</f>
        <v>0.060769326958213128</v>
      </c>
      <c r="T3826" s="85">
        <f>IF(B3826="",0,$S3826*$K3826)</f>
        <v>179.06068129716288</v>
      </c>
      <c r="U3826" s="85">
        <f>IF(B3826="",0,IF(OR(H3826=MappingTables!$C$34,H3826=MappingTables!$C$35),T3826,0))</f>
        <v>0</v>
      </c>
      <c r="V3826" s="85">
        <f>IF(ISNA(IF(AND(VLOOKUP(CONCATENATE($D3826,$G3826),CSRFinput!$B:$E,4,0)=0,OR(H3826=MappingTables!$C$34,H3826=MappingTables!$C$35)),1,VLOOKUP(CONCATENATE($D3826,$G3826),CSRFinput!$B:$E,4,0))),0,IF(AND(VLOOKUP(CONCATENATE($D3826,$G3826),CSRFinput!$B:$E,4,0)=0,OR(H3826=MappingTables!$C$34,H3826=MappingTables!$C$35)),1,VLOOKUP(CONCATENATE($D3826,$G3826),CSRFinput!$B:$E,4,0)))</f>
        <v>0.054776304963434752</v>
      </c>
      <c r="W3826" s="85">
        <f>IF(B3826="",0,+$T3826*$V3826)</f>
        <v>9.8082824856937904</v>
      </c>
      <c r="X3826" s="85">
        <f>IF(B3826="",0,IF(OR(H3826=MappingTables!$C$34,H3826=MappingTables!$C$35),W3826,0))</f>
        <v>0</v>
      </c>
    </row>
    <row r="3827" spans="2:24" s="0" customFormat="0" ht="15">
      <c r="B3827" s="69">
        <v>23372702</v>
      </c>
      <c r="C3827" s="70" t="s">
        <v>491</v>
      </c>
      <c r="D3827" s="70" t="s">
        <v>1</v>
      </c>
      <c r="E3827" s="70" t="s">
        <v>1</v>
      </c>
      <c r="F3827" s="70"/>
      <c r="G3827" s="70" t="s">
        <v>61</v>
      </c>
      <c r="H3827" s="70" t="s">
        <v>178</v>
      </c>
      <c r="I3827" s="70" t="s">
        <v>179</v>
      </c>
      <c r="J3827" s="71">
        <f>IF(OR(I3827=0,I3827=""),"unrated",VLOOKUP(I3827,MappingTables!$B$19:$C$31,2,FALSE))</f>
        <v>4</v>
      </c>
      <c r="K3827" s="72">
        <v>46.285718517110912</v>
      </c>
      <c r="L3827" s="70">
        <v>2.55154142715942</v>
      </c>
      <c r="M3827" s="71">
        <f>IF(L3827&lt;1,1,L3827)</f>
        <v>2.55154142715942</v>
      </c>
      <c r="N3827" s="70" t="s">
        <v>141</v>
      </c>
      <c r="O3827" s="71">
        <f>INDEX(DurClassMapping,MATCH(M3827,MappingTables!$D$4:$D$8,-1),1)</f>
        <v>1</v>
      </c>
      <c r="P3827" s="73">
        <f>IF(M3827=$A$1,1,$M3827-INDEX(MappingTables!$E$4:$E$8,MATCH(O3827,MappingTables!$B$4:$B$8,0)))</f>
        <v>2.55154142715942</v>
      </c>
      <c r="Q3827" s="71">
        <f>IF(B3827="",0,INDEX(ModelParameters!$D$6:$K$10,MATCH($O3827,ModelParameters!$B$6:$B$10,0),MATCH($J3827,ModelParameters!$D$5:$K$5,0)))</f>
        <v>0.045</v>
      </c>
      <c r="R3827" s="71">
        <f>IF(B3827="",0,INDEX(ModelParameters!$D$13:$K$17,MATCH($O3827,ModelParameters!$B$13:$B$17,0),MATCH($J3827,ModelParameters!$D$5:$K$5,0)))</f>
        <v>0</v>
      </c>
      <c r="S3827" s="160">
        <f>IF(B3827="",0,MIN(IF($N3827="Other Bond TM",ModelParameters!$N$21,1)*(P3827*Q3827+R3827),1))</f>
        <v>0.1148193642221739</v>
      </c>
      <c r="T3827" s="85">
        <f>IF(B3827="",0,$S3827*$K3827)</f>
        <v>5.314496772701176</v>
      </c>
      <c r="U3827" s="85">
        <f>IF(B3827="",0,IF(OR(H3827=MappingTables!$C$34,H3827=MappingTables!$C$35),T3827,0))</f>
        <v>0</v>
      </c>
      <c r="V3827" s="85">
        <f>IF(ISNA(IF(AND(VLOOKUP(CONCATENATE($D3827,$G3827),CSRFinput!$B:$E,4,0)=0,OR(H3827=MappingTables!$C$34,H3827=MappingTables!$C$35)),1,VLOOKUP(CONCATENATE($D3827,$G3827),CSRFinput!$B:$E,4,0))),0,IF(AND(VLOOKUP(CONCATENATE($D3827,$G3827),CSRFinput!$B:$E,4,0)=0,OR(H3827=MappingTables!$C$34,H3827=MappingTables!$C$35)),1,VLOOKUP(CONCATENATE($D3827,$G3827),CSRFinput!$B:$E,4,0)))</f>
        <v>0.054776304963434752</v>
      </c>
      <c r="W3827" s="85">
        <f>IF(B3827="",0,+$T3827*$V3827)</f>
        <v>0.2911084959486694</v>
      </c>
      <c r="X3827" s="85">
        <f>IF(B3827="",0,IF(OR(H3827=MappingTables!$C$34,H3827=MappingTables!$C$35),W3827,0))</f>
        <v>0</v>
      </c>
    </row>
    <row r="3828" spans="2:24" s="0" customFormat="0" ht="15">
      <c r="B3828" s="69">
        <v>16183661</v>
      </c>
      <c r="C3828" s="70" t="s">
        <v>364</v>
      </c>
      <c r="D3828" s="70" t="s">
        <v>1</v>
      </c>
      <c r="E3828" s="70" t="s">
        <v>1</v>
      </c>
      <c r="F3828" s="70"/>
      <c r="G3828" s="70" t="s">
        <v>61</v>
      </c>
      <c r="H3828" s="70" t="s">
        <v>178</v>
      </c>
      <c r="I3828" s="70" t="s">
        <v>204</v>
      </c>
      <c r="J3828" s="71">
        <f>IF(OR(I3828=0,I3828=""),"unrated",VLOOKUP(I3828,MappingTables!$B$19:$C$31,2,FALSE))</f>
        <v>6</v>
      </c>
      <c r="K3828" s="72">
        <v>2378.4235647438216</v>
      </c>
      <c r="L3828" s="70">
        <v>0.33972968363507684</v>
      </c>
      <c r="M3828" s="71">
        <f>IF(L3828&lt;1,1,L3828)</f>
        <v>1</v>
      </c>
      <c r="N3828" s="70" t="s">
        <v>141</v>
      </c>
      <c r="O3828" s="71">
        <f>INDEX(DurClassMapping,MATCH(M3828,MappingTables!$D$4:$D$8,-1),1)</f>
        <v>1</v>
      </c>
      <c r="P3828" s="73">
        <f>IF(M3828=$A$1,1,$M3828-INDEX(MappingTables!$E$4:$E$8,MATCH(O3828,MappingTables!$B$4:$B$8,0)))</f>
        <v>1</v>
      </c>
      <c r="Q3828" s="71">
        <f>IF(B3828="",0,INDEX(ModelParameters!$D$6:$K$10,MATCH($O3828,ModelParameters!$B$6:$B$10,0),MATCH($J3828,ModelParameters!$D$5:$K$5,0)))</f>
        <v>0.075</v>
      </c>
      <c r="R3828" s="71">
        <f>IF(B3828="",0,INDEX(ModelParameters!$D$13:$K$17,MATCH($O3828,ModelParameters!$B$13:$B$17,0),MATCH($J3828,ModelParameters!$D$5:$K$5,0)))</f>
        <v>0</v>
      </c>
      <c r="S3828" s="160">
        <f>IF(B3828="",0,MIN(IF($N3828="Other Bond TM",ModelParameters!$N$21,1)*(P3828*Q3828+R3828),1))</f>
        <v>0.075</v>
      </c>
      <c r="T3828" s="85">
        <f>IF(B3828="",0,$S3828*$K3828)</f>
        <v>178.38176735578662</v>
      </c>
      <c r="U3828" s="85">
        <f>IF(B3828="",0,IF(OR(H3828=MappingTables!$C$34,H3828=MappingTables!$C$35),T3828,0))</f>
        <v>0</v>
      </c>
      <c r="V3828" s="85">
        <f>IF(ISNA(IF(AND(VLOOKUP(CONCATENATE($D3828,$G3828),CSRFinput!$B:$E,4,0)=0,OR(H3828=MappingTables!$C$34,H3828=MappingTables!$C$35)),1,VLOOKUP(CONCATENATE($D3828,$G3828),CSRFinput!$B:$E,4,0))),0,IF(AND(VLOOKUP(CONCATENATE($D3828,$G3828),CSRFinput!$B:$E,4,0)=0,OR(H3828=MappingTables!$C$34,H3828=MappingTables!$C$35)),1,VLOOKUP(CONCATENATE($D3828,$G3828),CSRFinput!$B:$E,4,0)))</f>
        <v>0.054776304963434752</v>
      </c>
      <c r="W3828" s="85">
        <f>IF(B3828="",0,+$T3828*$V3828)</f>
        <v>9.7710940885970384</v>
      </c>
      <c r="X3828" s="85">
        <f>IF(B3828="",0,IF(OR(H3828=MappingTables!$C$34,H3828=MappingTables!$C$35),W3828,0))</f>
        <v>0</v>
      </c>
    </row>
    <row r="3829" spans="2:24" s="0" customFormat="0" ht="15">
      <c r="B3829" s="69" t="s">
        <v>218</v>
      </c>
      <c r="C3829" s="70" t="s">
        <v>219</v>
      </c>
      <c r="D3829" s="70" t="s">
        <v>1</v>
      </c>
      <c r="E3829" s="70" t="s">
        <v>1</v>
      </c>
      <c r="F3829" s="70"/>
      <c r="G3829" s="70" t="s">
        <v>61</v>
      </c>
      <c r="H3829" s="70" t="s">
        <v>178</v>
      </c>
      <c r="I3829" s="70" t="s">
        <v>220</v>
      </c>
      <c r="J3829" s="71">
        <f>IF(OR(I3829=0,I3829=""),"unrated",VLOOKUP(I3829,MappingTables!$B$19:$C$31,2,FALSE))</f>
        <v>1</v>
      </c>
      <c r="K3829" s="72">
        <v>599.91345210468008</v>
      </c>
      <c r="L3829" s="70">
        <v>0.41644139136072384</v>
      </c>
      <c r="M3829" s="71">
        <f>IF(L3829&lt;1,1,L3829)</f>
        <v>1</v>
      </c>
      <c r="N3829" s="70" t="s">
        <v>141</v>
      </c>
      <c r="O3829" s="71">
        <f>INDEX(DurClassMapping,MATCH(M3829,MappingTables!$D$4:$D$8,-1),1)</f>
        <v>1</v>
      </c>
      <c r="P3829" s="73">
        <f>IF(M3829=$A$1,1,$M3829-INDEX(MappingTables!$E$4:$E$8,MATCH(O3829,MappingTables!$B$4:$B$8,0)))</f>
        <v>1</v>
      </c>
      <c r="Q3829" s="71">
        <f>IF(B3829="",0,INDEX(ModelParameters!$D$6:$K$10,MATCH($O3829,ModelParameters!$B$6:$B$10,0),MATCH($J3829,ModelParameters!$D$5:$K$5,0)))</f>
        <v>0.011000000000000002</v>
      </c>
      <c r="R3829" s="71">
        <f>IF(B3829="",0,INDEX(ModelParameters!$D$13:$K$17,MATCH($O3829,ModelParameters!$B$13:$B$17,0),MATCH($J3829,ModelParameters!$D$5:$K$5,0)))</f>
        <v>0</v>
      </c>
      <c r="S3829" s="160">
        <f>IF(B3829="",0,MIN(IF($N3829="Other Bond TM",ModelParameters!$N$21,1)*(P3829*Q3829+R3829),1))</f>
        <v>0.011000000000000002</v>
      </c>
      <c r="T3829" s="85">
        <f>IF(B3829="",0,$S3829*$K3829)</f>
        <v>6.5990479731514816</v>
      </c>
      <c r="U3829" s="85">
        <f>IF(B3829="",0,IF(OR(H3829=MappingTables!$C$34,H3829=MappingTables!$C$35),T3829,0))</f>
        <v>0</v>
      </c>
      <c r="V3829" s="85">
        <f>IF(ISNA(IF(AND(VLOOKUP(CONCATENATE($D3829,$G3829),CSRFinput!$B:$E,4,0)=0,OR(H3829=MappingTables!$C$34,H3829=MappingTables!$C$35)),1,VLOOKUP(CONCATENATE($D3829,$G3829),CSRFinput!$B:$E,4,0))),0,IF(AND(VLOOKUP(CONCATENATE($D3829,$G3829),CSRFinput!$B:$E,4,0)=0,OR(H3829=MappingTables!$C$34,H3829=MappingTables!$C$35)),1,VLOOKUP(CONCATENATE($D3829,$G3829),CSRFinput!$B:$E,4,0)))</f>
        <v>0.054776304963434752</v>
      </c>
      <c r="W3829" s="85">
        <f>IF(B3829="",0,+$T3829*$V3829)</f>
        <v>0.36147146424568152</v>
      </c>
      <c r="X3829" s="85">
        <f>IF(B3829="",0,IF(OR(H3829=MappingTables!$C$34,H3829=MappingTables!$C$35),W3829,0))</f>
        <v>0</v>
      </c>
    </row>
    <row r="3830" spans="2:24" s="0" customFormat="0" ht="15">
      <c r="B3830" s="69">
        <v>9529859</v>
      </c>
      <c r="C3830" s="70" t="s">
        <v>2951</v>
      </c>
      <c r="D3830" s="70" t="s">
        <v>1</v>
      </c>
      <c r="E3830" s="70" t="s">
        <v>1</v>
      </c>
      <c r="F3830" s="70"/>
      <c r="G3830" s="70" t="s">
        <v>61</v>
      </c>
      <c r="H3830" s="70" t="s">
        <v>178</v>
      </c>
      <c r="I3830" s="70" t="s">
        <v>181</v>
      </c>
      <c r="J3830" s="71">
        <f>IF(OR(I3830=0,I3830=""),"unrated",VLOOKUP(I3830,MappingTables!$B$19:$C$31,2,FALSE))</f>
        <v>3</v>
      </c>
      <c r="K3830" s="72">
        <v>7792.467618993472</v>
      </c>
      <c r="L3830" s="70">
        <v>3.7127809749493752</v>
      </c>
      <c r="M3830" s="71">
        <f>IF(L3830&lt;1,1,L3830)</f>
        <v>3.7127809749493752</v>
      </c>
      <c r="N3830" s="70" t="s">
        <v>141</v>
      </c>
      <c r="O3830" s="71">
        <f>INDEX(DurClassMapping,MATCH(M3830,MappingTables!$D$4:$D$8,-1),1)</f>
        <v>1</v>
      </c>
      <c r="P3830" s="73">
        <f>IF(M3830=$A$1,1,$M3830-INDEX(MappingTables!$E$4:$E$8,MATCH(O3830,MappingTables!$B$4:$B$8,0)))</f>
        <v>3.7127809749493752</v>
      </c>
      <c r="Q3830" s="71">
        <f>IF(B3830="",0,INDEX(ModelParameters!$D$6:$K$10,MATCH($O3830,ModelParameters!$B$6:$B$10,0),MATCH($J3830,ModelParameters!$D$5:$K$5,0)))</f>
        <v>0.025</v>
      </c>
      <c r="R3830" s="71">
        <f>IF(B3830="",0,INDEX(ModelParameters!$D$13:$K$17,MATCH($O3830,ModelParameters!$B$13:$B$17,0),MATCH($J3830,ModelParameters!$D$5:$K$5,0)))</f>
        <v>0</v>
      </c>
      <c r="S3830" s="160">
        <f>IF(B3830="",0,MIN(IF($N3830="Other Bond TM",ModelParameters!$N$21,1)*(P3830*Q3830+R3830),1))</f>
        <v>0.092819524373734384</v>
      </c>
      <c r="T3830" s="85">
        <f>IF(B3830="",0,$S3830*$K3830)</f>
        <v>723.29313809270048</v>
      </c>
      <c r="U3830" s="85">
        <f>IF(B3830="",0,IF(OR(H3830=MappingTables!$C$34,H3830=MappingTables!$C$35),T3830,0))</f>
        <v>0</v>
      </c>
      <c r="V3830" s="85">
        <f>IF(ISNA(IF(AND(VLOOKUP(CONCATENATE($D3830,$G3830),CSRFinput!$B:$E,4,0)=0,OR(H3830=MappingTables!$C$34,H3830=MappingTables!$C$35)),1,VLOOKUP(CONCATENATE($D3830,$G3830),CSRFinput!$B:$E,4,0))),0,IF(AND(VLOOKUP(CONCATENATE($D3830,$G3830),CSRFinput!$B:$E,4,0)=0,OR(H3830=MappingTables!$C$34,H3830=MappingTables!$C$35)),1,VLOOKUP(CONCATENATE($D3830,$G3830),CSRFinput!$B:$E,4,0)))</f>
        <v>0.054776304963434752</v>
      </c>
      <c r="W3830" s="85">
        <f>IF(B3830="",0,+$T3830*$V3830)</f>
        <v>39.619325510125488</v>
      </c>
      <c r="X3830" s="85">
        <f>IF(B3830="",0,IF(OR(H3830=MappingTables!$C$34,H3830=MappingTables!$C$35),W3830,0))</f>
        <v>0</v>
      </c>
    </row>
    <row r="3831" spans="2:24" s="0" customFormat="0" ht="15">
      <c r="B3831" s="69">
        <v>20798798</v>
      </c>
      <c r="C3831" s="70" t="s">
        <v>2702</v>
      </c>
      <c r="D3831" s="70" t="s">
        <v>1</v>
      </c>
      <c r="E3831" s="70" t="s">
        <v>1</v>
      </c>
      <c r="F3831" s="70"/>
      <c r="G3831" s="70" t="s">
        <v>61</v>
      </c>
      <c r="H3831" s="70" t="s">
        <v>178</v>
      </c>
      <c r="I3831" s="70" t="s">
        <v>179</v>
      </c>
      <c r="J3831" s="71">
        <f>IF(OR(I3831=0,I3831=""),"unrated",VLOOKUP(I3831,MappingTables!$B$19:$C$31,2,FALSE))</f>
        <v>4</v>
      </c>
      <c r="K3831" s="72">
        <v>4353.3966964624152</v>
      </c>
      <c r="L3831" s="70">
        <v>4.3475045008770576</v>
      </c>
      <c r="M3831" s="71">
        <f>IF(L3831&lt;1,1,L3831)</f>
        <v>4.3475045008770576</v>
      </c>
      <c r="N3831" s="70" t="s">
        <v>141</v>
      </c>
      <c r="O3831" s="71">
        <f>INDEX(DurClassMapping,MATCH(M3831,MappingTables!$D$4:$D$8,-1),1)</f>
        <v>1</v>
      </c>
      <c r="P3831" s="73">
        <f>IF(M3831=$A$1,1,$M3831-INDEX(MappingTables!$E$4:$E$8,MATCH(O3831,MappingTables!$B$4:$B$8,0)))</f>
        <v>4.3475045008770576</v>
      </c>
      <c r="Q3831" s="71">
        <f>IF(B3831="",0,INDEX(ModelParameters!$D$6:$K$10,MATCH($O3831,ModelParameters!$B$6:$B$10,0),MATCH($J3831,ModelParameters!$D$5:$K$5,0)))</f>
        <v>0.045</v>
      </c>
      <c r="R3831" s="71">
        <f>IF(B3831="",0,INDEX(ModelParameters!$D$13:$K$17,MATCH($O3831,ModelParameters!$B$13:$B$17,0),MATCH($J3831,ModelParameters!$D$5:$K$5,0)))</f>
        <v>0</v>
      </c>
      <c r="S3831" s="160">
        <f>IF(B3831="",0,MIN(IF($N3831="Other Bond TM",ModelParameters!$N$21,1)*(P3831*Q3831+R3831),1))</f>
        <v>0.1956377025394676</v>
      </c>
      <c r="T3831" s="85">
        <f>IF(B3831="",0,$S3831*$K3831)</f>
        <v>851.68852793881488</v>
      </c>
      <c r="U3831" s="85">
        <f>IF(B3831="",0,IF(OR(H3831=MappingTables!$C$34,H3831=MappingTables!$C$35),T3831,0))</f>
        <v>0</v>
      </c>
      <c r="V3831" s="85">
        <f>IF(ISNA(IF(AND(VLOOKUP(CONCATENATE($D3831,$G3831),CSRFinput!$B:$E,4,0)=0,OR(H3831=MappingTables!$C$34,H3831=MappingTables!$C$35)),1,VLOOKUP(CONCATENATE($D3831,$G3831),CSRFinput!$B:$E,4,0))),0,IF(AND(VLOOKUP(CONCATENATE($D3831,$G3831),CSRFinput!$B:$E,4,0)=0,OR(H3831=MappingTables!$C$34,H3831=MappingTables!$C$35)),1,VLOOKUP(CONCATENATE($D3831,$G3831),CSRFinput!$B:$E,4,0)))</f>
        <v>0.054776304963434752</v>
      </c>
      <c r="W3831" s="85">
        <f>IF(B3831="",0,+$T3831*$V3831)</f>
        <v>46.652350540235344</v>
      </c>
      <c r="X3831" s="85">
        <f>IF(B3831="",0,IF(OR(H3831=MappingTables!$C$34,H3831=MappingTables!$C$35),W3831,0))</f>
        <v>0</v>
      </c>
    </row>
    <row r="3832" spans="2:24" s="0" customFormat="0" ht="15">
      <c r="B3832" s="69">
        <v>21024822</v>
      </c>
      <c r="C3832" s="70" t="s">
        <v>2123</v>
      </c>
      <c r="D3832" s="70" t="s">
        <v>1</v>
      </c>
      <c r="E3832" s="70" t="s">
        <v>1</v>
      </c>
      <c r="F3832" s="70"/>
      <c r="G3832" s="70" t="s">
        <v>61</v>
      </c>
      <c r="H3832" s="70" t="s">
        <v>178</v>
      </c>
      <c r="I3832" s="70" t="s">
        <v>188</v>
      </c>
      <c r="J3832" s="71">
        <f>IF(OR(I3832=0,I3832=""),"unrated",VLOOKUP(I3832,MappingTables!$B$19:$C$31,2,FALSE))</f>
        <v>2</v>
      </c>
      <c r="K3832" s="72">
        <v>2224.647079292902</v>
      </c>
      <c r="L3832" s="70">
        <v>3.6480103899481416</v>
      </c>
      <c r="M3832" s="71">
        <f>IF(L3832&lt;1,1,L3832)</f>
        <v>3.6480103899481416</v>
      </c>
      <c r="N3832" s="70" t="s">
        <v>141</v>
      </c>
      <c r="O3832" s="71">
        <f>INDEX(DurClassMapping,MATCH(M3832,MappingTables!$D$4:$D$8,-1),1)</f>
        <v>1</v>
      </c>
      <c r="P3832" s="73">
        <f>IF(M3832=$A$1,1,$M3832-INDEX(MappingTables!$E$4:$E$8,MATCH(O3832,MappingTables!$B$4:$B$8,0)))</f>
        <v>3.6480103899481416</v>
      </c>
      <c r="Q3832" s="71">
        <f>IF(B3832="",0,INDEX(ModelParameters!$D$6:$K$10,MATCH($O3832,ModelParameters!$B$6:$B$10,0),MATCH($J3832,ModelParameters!$D$5:$K$5,0)))</f>
        <v>0.013999999999999998</v>
      </c>
      <c r="R3832" s="71">
        <f>IF(B3832="",0,INDEX(ModelParameters!$D$13:$K$17,MATCH($O3832,ModelParameters!$B$13:$B$17,0),MATCH($J3832,ModelParameters!$D$5:$K$5,0)))</f>
        <v>0</v>
      </c>
      <c r="S3832" s="160">
        <f>IF(B3832="",0,MIN(IF($N3832="Other Bond TM",ModelParameters!$N$21,1)*(P3832*Q3832+R3832),1))</f>
        <v>0.051072145459273976</v>
      </c>
      <c r="T3832" s="85">
        <f>IF(B3832="",0,$S3832*$K3832)</f>
        <v>113.61749922919612</v>
      </c>
      <c r="U3832" s="85">
        <f>IF(B3832="",0,IF(OR(H3832=MappingTables!$C$34,H3832=MappingTables!$C$35),T3832,0))</f>
        <v>0</v>
      </c>
      <c r="V3832" s="85">
        <f>IF(ISNA(IF(AND(VLOOKUP(CONCATENATE($D3832,$G3832),CSRFinput!$B:$E,4,0)=0,OR(H3832=MappingTables!$C$34,H3832=MappingTables!$C$35)),1,VLOOKUP(CONCATENATE($D3832,$G3832),CSRFinput!$B:$E,4,0))),0,IF(AND(VLOOKUP(CONCATENATE($D3832,$G3832),CSRFinput!$B:$E,4,0)=0,OR(H3832=MappingTables!$C$34,H3832=MappingTables!$C$35)),1,VLOOKUP(CONCATENATE($D3832,$G3832),CSRFinput!$B:$E,4,0)))</f>
        <v>0.054776304963434752</v>
      </c>
      <c r="W3832" s="85">
        <f>IF(B3832="",0,+$T3832*$V3832)</f>
        <v>6.2235467869612592</v>
      </c>
      <c r="X3832" s="85">
        <f>IF(B3832="",0,IF(OR(H3832=MappingTables!$C$34,H3832=MappingTables!$C$35),W3832,0))</f>
        <v>0</v>
      </c>
    </row>
    <row r="3833" spans="2:24" s="0" customFormat="0" ht="15">
      <c r="B3833" s="69">
        <v>21236160</v>
      </c>
      <c r="C3833" s="70" t="s">
        <v>194</v>
      </c>
      <c r="D3833" s="70" t="s">
        <v>1</v>
      </c>
      <c r="E3833" s="70" t="s">
        <v>1</v>
      </c>
      <c r="F3833" s="70"/>
      <c r="G3833" s="70" t="s">
        <v>61</v>
      </c>
      <c r="H3833" s="70" t="s">
        <v>178</v>
      </c>
      <c r="I3833" s="70" t="s">
        <v>184</v>
      </c>
      <c r="J3833" s="71">
        <f>IF(OR(I3833=0,I3833=""),"unrated",VLOOKUP(I3833,MappingTables!$B$19:$C$31,2,FALSE))</f>
        <v>5</v>
      </c>
      <c r="K3833" s="72">
        <v>17527.357894930642</v>
      </c>
      <c r="L3833" s="70">
        <v>1.3575092303072934</v>
      </c>
      <c r="M3833" s="71">
        <f>IF(L3833&lt;1,1,L3833)</f>
        <v>1.3575092303072934</v>
      </c>
      <c r="N3833" s="70" t="s">
        <v>141</v>
      </c>
      <c r="O3833" s="71">
        <f>INDEX(DurClassMapping,MATCH(M3833,MappingTables!$D$4:$D$8,-1),1)</f>
        <v>1</v>
      </c>
      <c r="P3833" s="73">
        <f>IF(M3833=$A$1,1,$M3833-INDEX(MappingTables!$E$4:$E$8,MATCH(O3833,MappingTables!$B$4:$B$8,0)))</f>
        <v>1.3575092303072934</v>
      </c>
      <c r="Q3833" s="71">
        <f>IF(B3833="",0,INDEX(ModelParameters!$D$6:$K$10,MATCH($O3833,ModelParameters!$B$6:$B$10,0),MATCH($J3833,ModelParameters!$D$5:$K$5,0)))</f>
        <v>0.075</v>
      </c>
      <c r="R3833" s="71">
        <f>IF(B3833="",0,INDEX(ModelParameters!$D$13:$K$17,MATCH($O3833,ModelParameters!$B$13:$B$17,0),MATCH($J3833,ModelParameters!$D$5:$K$5,0)))</f>
        <v>0</v>
      </c>
      <c r="S3833" s="160">
        <f>IF(B3833="",0,MIN(IF($N3833="Other Bond TM",ModelParameters!$N$21,1)*(P3833*Q3833+R3833),1))</f>
        <v>0.101813192273047</v>
      </c>
      <c r="T3833" s="85">
        <f>IF(B3833="",0,$S3833*$K3833)</f>
        <v>1784.5162593950818</v>
      </c>
      <c r="U3833" s="85">
        <f>IF(B3833="",0,IF(OR(H3833=MappingTables!$C$34,H3833=MappingTables!$C$35),T3833,0))</f>
        <v>0</v>
      </c>
      <c r="V3833" s="85">
        <f>IF(ISNA(IF(AND(VLOOKUP(CONCATENATE($D3833,$G3833),CSRFinput!$B:$E,4,0)=0,OR(H3833=MappingTables!$C$34,H3833=MappingTables!$C$35)),1,VLOOKUP(CONCATENATE($D3833,$G3833),CSRFinput!$B:$E,4,0))),0,IF(AND(VLOOKUP(CONCATENATE($D3833,$G3833),CSRFinput!$B:$E,4,0)=0,OR(H3833=MappingTables!$C$34,H3833=MappingTables!$C$35)),1,VLOOKUP(CONCATENATE($D3833,$G3833),CSRFinput!$B:$E,4,0)))</f>
        <v>0.054776304963434752</v>
      </c>
      <c r="W3833" s="85">
        <f>IF(B3833="",0,+$T3833*$V3833)</f>
        <v>97.749206836832848</v>
      </c>
      <c r="X3833" s="85">
        <f>IF(B3833="",0,IF(OR(H3833=MappingTables!$C$34,H3833=MappingTables!$C$35),W3833,0))</f>
        <v>0</v>
      </c>
    </row>
    <row r="3834" spans="2:24" s="0" customFormat="0" ht="15">
      <c r="B3834" s="69">
        <v>22317281</v>
      </c>
      <c r="C3834" s="70" t="s">
        <v>2775</v>
      </c>
      <c r="D3834" s="70" t="s">
        <v>1</v>
      </c>
      <c r="E3834" s="70" t="s">
        <v>1</v>
      </c>
      <c r="F3834" s="70"/>
      <c r="G3834" s="70" t="s">
        <v>61</v>
      </c>
      <c r="H3834" s="70" t="s">
        <v>178</v>
      </c>
      <c r="I3834" s="70" t="s">
        <v>181</v>
      </c>
      <c r="J3834" s="71">
        <f>IF(OR(I3834=0,I3834=""),"unrated",VLOOKUP(I3834,MappingTables!$B$19:$C$31,2,FALSE))</f>
        <v>3</v>
      </c>
      <c r="K3834" s="72">
        <v>1232.4721643287424</v>
      </c>
      <c r="L3834" s="70">
        <v>1.137851030246799</v>
      </c>
      <c r="M3834" s="71">
        <f>IF(L3834&lt;1,1,L3834)</f>
        <v>1.137851030246799</v>
      </c>
      <c r="N3834" s="70" t="s">
        <v>141</v>
      </c>
      <c r="O3834" s="71">
        <f>INDEX(DurClassMapping,MATCH(M3834,MappingTables!$D$4:$D$8,-1),1)</f>
        <v>1</v>
      </c>
      <c r="P3834" s="73">
        <f>IF(M3834=$A$1,1,$M3834-INDEX(MappingTables!$E$4:$E$8,MATCH(O3834,MappingTables!$B$4:$B$8,0)))</f>
        <v>1.137851030246799</v>
      </c>
      <c r="Q3834" s="71">
        <f>IF(B3834="",0,INDEX(ModelParameters!$D$6:$K$10,MATCH($O3834,ModelParameters!$B$6:$B$10,0),MATCH($J3834,ModelParameters!$D$5:$K$5,0)))</f>
        <v>0.025</v>
      </c>
      <c r="R3834" s="71">
        <f>IF(B3834="",0,INDEX(ModelParameters!$D$13:$K$17,MATCH($O3834,ModelParameters!$B$13:$B$17,0),MATCH($J3834,ModelParameters!$D$5:$K$5,0)))</f>
        <v>0</v>
      </c>
      <c r="S3834" s="160">
        <f>IF(B3834="",0,MIN(IF($N3834="Other Bond TM",ModelParameters!$N$21,1)*(P3834*Q3834+R3834),1))</f>
        <v>0.028446275756169976</v>
      </c>
      <c r="T3834" s="85">
        <f>IF(B3834="",0,$S3834*$K3834)</f>
        <v>35.059243048299044</v>
      </c>
      <c r="U3834" s="85">
        <f>IF(B3834="",0,IF(OR(H3834=MappingTables!$C$34,H3834=MappingTables!$C$35),T3834,0))</f>
        <v>0</v>
      </c>
      <c r="V3834" s="85">
        <f>IF(ISNA(IF(AND(VLOOKUP(CONCATENATE($D3834,$G3834),CSRFinput!$B:$E,4,0)=0,OR(H3834=MappingTables!$C$34,H3834=MappingTables!$C$35)),1,VLOOKUP(CONCATENATE($D3834,$G3834),CSRFinput!$B:$E,4,0))),0,IF(AND(VLOOKUP(CONCATENATE($D3834,$G3834),CSRFinput!$B:$E,4,0)=0,OR(H3834=MappingTables!$C$34,H3834=MappingTables!$C$35)),1,VLOOKUP(CONCATENATE($D3834,$G3834),CSRFinput!$B:$E,4,0)))</f>
        <v>0.054776304963434752</v>
      </c>
      <c r="W3834" s="85">
        <f>IF(B3834="",0,+$T3834*$V3834)</f>
        <v>1.9204157890008084</v>
      </c>
      <c r="X3834" s="85">
        <f>IF(B3834="",0,IF(OR(H3834=MappingTables!$C$34,H3834=MappingTables!$C$35),W3834,0))</f>
        <v>0</v>
      </c>
    </row>
    <row r="3835" spans="2:24" s="0" customFormat="0" ht="15">
      <c r="B3835" s="69">
        <v>23613618</v>
      </c>
      <c r="C3835" s="70" t="s">
        <v>2529</v>
      </c>
      <c r="D3835" s="70" t="s">
        <v>1</v>
      </c>
      <c r="E3835" s="70" t="s">
        <v>1</v>
      </c>
      <c r="F3835" s="70"/>
      <c r="G3835" s="70" t="s">
        <v>61</v>
      </c>
      <c r="H3835" s="70" t="s">
        <v>178</v>
      </c>
      <c r="I3835" s="70" t="s">
        <v>184</v>
      </c>
      <c r="J3835" s="71">
        <f>IF(OR(I3835=0,I3835=""),"unrated",VLOOKUP(I3835,MappingTables!$B$19:$C$31,2,FALSE))</f>
        <v>5</v>
      </c>
      <c r="K3835" s="72">
        <v>21.18180149836836</v>
      </c>
      <c r="L3835" s="70">
        <v>2.2248156892119932</v>
      </c>
      <c r="M3835" s="71">
        <f>IF(L3835&lt;1,1,L3835)</f>
        <v>2.2248156892119932</v>
      </c>
      <c r="N3835" s="70" t="s">
        <v>141</v>
      </c>
      <c r="O3835" s="71">
        <f>INDEX(DurClassMapping,MATCH(M3835,MappingTables!$D$4:$D$8,-1),1)</f>
        <v>1</v>
      </c>
      <c r="P3835" s="73">
        <f>IF(M3835=$A$1,1,$M3835-INDEX(MappingTables!$E$4:$E$8,MATCH(O3835,MappingTables!$B$4:$B$8,0)))</f>
        <v>2.2248156892119932</v>
      </c>
      <c r="Q3835" s="71">
        <f>IF(B3835="",0,INDEX(ModelParameters!$D$6:$K$10,MATCH($O3835,ModelParameters!$B$6:$B$10,0),MATCH($J3835,ModelParameters!$D$5:$K$5,0)))</f>
        <v>0.075</v>
      </c>
      <c r="R3835" s="71">
        <f>IF(B3835="",0,INDEX(ModelParameters!$D$13:$K$17,MATCH($O3835,ModelParameters!$B$13:$B$17,0),MATCH($J3835,ModelParameters!$D$5:$K$5,0)))</f>
        <v>0</v>
      </c>
      <c r="S3835" s="160">
        <f>IF(B3835="",0,MIN(IF($N3835="Other Bond TM",ModelParameters!$N$21,1)*(P3835*Q3835+R3835),1))</f>
        <v>0.16686117669089948</v>
      </c>
      <c r="T3835" s="85">
        <f>IF(B3835="",0,$S3835*$K3835)</f>
        <v>3.534420322450802</v>
      </c>
      <c r="U3835" s="85">
        <f>IF(B3835="",0,IF(OR(H3835=MappingTables!$C$34,H3835=MappingTables!$C$35),T3835,0))</f>
        <v>0</v>
      </c>
      <c r="V3835" s="85">
        <f>IF(ISNA(IF(AND(VLOOKUP(CONCATENATE($D3835,$G3835),CSRFinput!$B:$E,4,0)=0,OR(H3835=MappingTables!$C$34,H3835=MappingTables!$C$35)),1,VLOOKUP(CONCATENATE($D3835,$G3835),CSRFinput!$B:$E,4,0))),0,IF(AND(VLOOKUP(CONCATENATE($D3835,$G3835),CSRFinput!$B:$E,4,0)=0,OR(H3835=MappingTables!$C$34,H3835=MappingTables!$C$35)),1,VLOOKUP(CONCATENATE($D3835,$G3835),CSRFinput!$B:$E,4,0)))</f>
        <v>0.054776304963434752</v>
      </c>
      <c r="W3835" s="85">
        <f>IF(B3835="",0,+$T3835*$V3835)</f>
        <v>0.19360248545152652</v>
      </c>
      <c r="X3835" s="85">
        <f>IF(B3835="",0,IF(OR(H3835=MappingTables!$C$34,H3835=MappingTables!$C$35),W3835,0))</f>
        <v>0</v>
      </c>
    </row>
    <row r="3836" spans="2:24" s="0" customFormat="0" ht="15">
      <c r="B3836" s="69" t="s">
        <v>2952</v>
      </c>
      <c r="C3836" s="70" t="s">
        <v>2953</v>
      </c>
      <c r="D3836" s="70" t="s">
        <v>1</v>
      </c>
      <c r="E3836" s="70" t="s">
        <v>1</v>
      </c>
      <c r="F3836" s="70"/>
      <c r="G3836" s="70" t="s">
        <v>61</v>
      </c>
      <c r="H3836" s="70" t="s">
        <v>178</v>
      </c>
      <c r="I3836" s="70" t="s">
        <v>179</v>
      </c>
      <c r="J3836" s="71">
        <f>IF(OR(I3836=0,I3836=""),"unrated",VLOOKUP(I3836,MappingTables!$B$19:$C$31,2,FALSE))</f>
        <v>4</v>
      </c>
      <c r="K3836" s="72">
        <v>330.80352180981208</v>
      </c>
      <c r="L3836" s="70">
        <v>8.6767085386791152</v>
      </c>
      <c r="M3836" s="71">
        <f>IF(L3836&lt;1,1,L3836)</f>
        <v>8.6767085386791152</v>
      </c>
      <c r="N3836" s="70" t="s">
        <v>141</v>
      </c>
      <c r="O3836" s="71">
        <f>INDEX(DurClassMapping,MATCH(M3836,MappingTables!$D$4:$D$8,-1),1)</f>
        <v>2</v>
      </c>
      <c r="P3836" s="73">
        <f>IF(M3836=$A$1,1,$M3836-INDEX(MappingTables!$E$4:$E$8,MATCH(O3836,MappingTables!$B$4:$B$8,0)))</f>
        <v>3.6767085386791152</v>
      </c>
      <c r="Q3836" s="71">
        <f>IF(B3836="",0,INDEX(ModelParameters!$D$6:$K$10,MATCH($O3836,ModelParameters!$B$6:$B$10,0),MATCH($J3836,ModelParameters!$D$5:$K$5,0)))</f>
        <v>0.025</v>
      </c>
      <c r="R3836" s="71">
        <f>IF(B3836="",0,INDEX(ModelParameters!$D$13:$K$17,MATCH($O3836,ModelParameters!$B$13:$B$17,0),MATCH($J3836,ModelParameters!$D$5:$K$5,0)))</f>
        <v>0.225</v>
      </c>
      <c r="S3836" s="160">
        <f>IF(B3836="",0,MIN(IF($N3836="Other Bond TM",ModelParameters!$N$21,1)*(P3836*Q3836+R3836),1))</f>
        <v>0.31691771346697788</v>
      </c>
      <c r="T3836" s="85">
        <f>IF(B3836="",0,$S3836*$K3836)</f>
        <v>104.8374957387892</v>
      </c>
      <c r="U3836" s="85">
        <f>IF(B3836="",0,IF(OR(H3836=MappingTables!$C$34,H3836=MappingTables!$C$35),T3836,0))</f>
        <v>0</v>
      </c>
      <c r="V3836" s="85">
        <f>IF(ISNA(IF(AND(VLOOKUP(CONCATENATE($D3836,$G3836),CSRFinput!$B:$E,4,0)=0,OR(H3836=MappingTables!$C$34,H3836=MappingTables!$C$35)),1,VLOOKUP(CONCATENATE($D3836,$G3836),CSRFinput!$B:$E,4,0))),0,IF(AND(VLOOKUP(CONCATENATE($D3836,$G3836),CSRFinput!$B:$E,4,0)=0,OR(H3836=MappingTables!$C$34,H3836=MappingTables!$C$35)),1,VLOOKUP(CONCATENATE($D3836,$G3836),CSRFinput!$B:$E,4,0)))</f>
        <v>0.054776304963434752</v>
      </c>
      <c r="W3836" s="85">
        <f>IF(B3836="",0,+$T3836*$V3836)</f>
        <v>5.7426106381907088</v>
      </c>
      <c r="X3836" s="85">
        <f>IF(B3836="",0,IF(OR(H3836=MappingTables!$C$34,H3836=MappingTables!$C$35),W3836,0))</f>
        <v>0</v>
      </c>
    </row>
    <row r="3837" spans="2:24" s="0" customFormat="0" ht="15">
      <c r="B3837" s="69" t="s">
        <v>2674</v>
      </c>
      <c r="C3837" s="70" t="s">
        <v>2675</v>
      </c>
      <c r="D3837" s="70" t="s">
        <v>1</v>
      </c>
      <c r="E3837" s="70" t="s">
        <v>1</v>
      </c>
      <c r="F3837" s="70"/>
      <c r="G3837" s="70" t="s">
        <v>61</v>
      </c>
      <c r="H3837" s="70" t="s">
        <v>178</v>
      </c>
      <c r="I3837" s="70" t="s">
        <v>179</v>
      </c>
      <c r="J3837" s="71">
        <f>IF(OR(I3837=0,I3837=""),"unrated",VLOOKUP(I3837,MappingTables!$B$19:$C$31,2,FALSE))</f>
        <v>4</v>
      </c>
      <c r="K3837" s="72">
        <v>13440.210889991884</v>
      </c>
      <c r="L3837" s="70">
        <v>5.2708268718804864</v>
      </c>
      <c r="M3837" s="71">
        <f>IF(L3837&lt;1,1,L3837)</f>
        <v>5.2708268718804864</v>
      </c>
      <c r="N3837" s="70" t="s">
        <v>141</v>
      </c>
      <c r="O3837" s="71">
        <f>INDEX(DurClassMapping,MATCH(M3837,MappingTables!$D$4:$D$8,-1),1)</f>
        <v>2</v>
      </c>
      <c r="P3837" s="73">
        <f>IF(M3837=$A$1,1,$M3837-INDEX(MappingTables!$E$4:$E$8,MATCH(O3837,MappingTables!$B$4:$B$8,0)))</f>
        <v>0.27082687188048648</v>
      </c>
      <c r="Q3837" s="71">
        <f>IF(B3837="",0,INDEX(ModelParameters!$D$6:$K$10,MATCH($O3837,ModelParameters!$B$6:$B$10,0),MATCH($J3837,ModelParameters!$D$5:$K$5,0)))</f>
        <v>0.025</v>
      </c>
      <c r="R3837" s="71">
        <f>IF(B3837="",0,INDEX(ModelParameters!$D$13:$K$17,MATCH($O3837,ModelParameters!$B$13:$B$17,0),MATCH($J3837,ModelParameters!$D$5:$K$5,0)))</f>
        <v>0.225</v>
      </c>
      <c r="S3837" s="160">
        <f>IF(B3837="",0,MIN(IF($N3837="Other Bond TM",ModelParameters!$N$21,1)*(P3837*Q3837+R3837),1))</f>
        <v>0.23177067179701216</v>
      </c>
      <c r="T3837" s="85">
        <f>IF(B3837="",0,$S3837*$K3837)</f>
        <v>3115.046707066938</v>
      </c>
      <c r="U3837" s="85">
        <f>IF(B3837="",0,IF(OR(H3837=MappingTables!$C$34,H3837=MappingTables!$C$35),T3837,0))</f>
        <v>0</v>
      </c>
      <c r="V3837" s="85">
        <f>IF(ISNA(IF(AND(VLOOKUP(CONCATENATE($D3837,$G3837),CSRFinput!$B:$E,4,0)=0,OR(H3837=MappingTables!$C$34,H3837=MappingTables!$C$35)),1,VLOOKUP(CONCATENATE($D3837,$G3837),CSRFinput!$B:$E,4,0))),0,IF(AND(VLOOKUP(CONCATENATE($D3837,$G3837),CSRFinput!$B:$E,4,0)=0,OR(H3837=MappingTables!$C$34,H3837=MappingTables!$C$35)),1,VLOOKUP(CONCATENATE($D3837,$G3837),CSRFinput!$B:$E,4,0)))</f>
        <v>0.054776304963434752</v>
      </c>
      <c r="W3837" s="85">
        <f>IF(B3837="",0,+$T3837*$V3837)</f>
        <v>170.6307484016418</v>
      </c>
      <c r="X3837" s="85">
        <f>IF(B3837="",0,IF(OR(H3837=MappingTables!$C$34,H3837=MappingTables!$C$35),W3837,0))</f>
        <v>0</v>
      </c>
    </row>
    <row r="3838" spans="2:24" s="0" customFormat="0" ht="15">
      <c r="B3838" s="69" t="s">
        <v>2722</v>
      </c>
      <c r="C3838" s="70" t="s">
        <v>2723</v>
      </c>
      <c r="D3838" s="70" t="s">
        <v>1</v>
      </c>
      <c r="E3838" s="70" t="s">
        <v>1</v>
      </c>
      <c r="F3838" s="70"/>
      <c r="G3838" s="70" t="s">
        <v>61</v>
      </c>
      <c r="H3838" s="70" t="s">
        <v>178</v>
      </c>
      <c r="I3838" s="70" t="s">
        <v>179</v>
      </c>
      <c r="J3838" s="71">
        <f>IF(OR(I3838=0,I3838=""),"unrated",VLOOKUP(I3838,MappingTables!$B$19:$C$31,2,FALSE))</f>
        <v>4</v>
      </c>
      <c r="K3838" s="72">
        <v>215.21703195775972</v>
      </c>
      <c r="L3838" s="70">
        <v>4.11856393418094</v>
      </c>
      <c r="M3838" s="71">
        <f>IF(L3838&lt;1,1,L3838)</f>
        <v>4.11856393418094</v>
      </c>
      <c r="N3838" s="70" t="s">
        <v>141</v>
      </c>
      <c r="O3838" s="71">
        <f>INDEX(DurClassMapping,MATCH(M3838,MappingTables!$D$4:$D$8,-1),1)</f>
        <v>1</v>
      </c>
      <c r="P3838" s="73">
        <f>IF(M3838=$A$1,1,$M3838-INDEX(MappingTables!$E$4:$E$8,MATCH(O3838,MappingTables!$B$4:$B$8,0)))</f>
        <v>4.11856393418094</v>
      </c>
      <c r="Q3838" s="71">
        <f>IF(B3838="",0,INDEX(ModelParameters!$D$6:$K$10,MATCH($O3838,ModelParameters!$B$6:$B$10,0),MATCH($J3838,ModelParameters!$D$5:$K$5,0)))</f>
        <v>0.045</v>
      </c>
      <c r="R3838" s="71">
        <f>IF(B3838="",0,INDEX(ModelParameters!$D$13:$K$17,MATCH($O3838,ModelParameters!$B$13:$B$17,0),MATCH($J3838,ModelParameters!$D$5:$K$5,0)))</f>
        <v>0</v>
      </c>
      <c r="S3838" s="160">
        <f>IF(B3838="",0,MIN(IF($N3838="Other Bond TM",ModelParameters!$N$21,1)*(P3838*Q3838+R3838),1))</f>
        <v>0.18533537703814228</v>
      </c>
      <c r="T3838" s="85">
        <f>IF(B3838="",0,$S3838*$K3838)</f>
        <v>39.887329762921312</v>
      </c>
      <c r="U3838" s="85">
        <f>IF(B3838="",0,IF(OR(H3838=MappingTables!$C$34,H3838=MappingTables!$C$35),T3838,0))</f>
        <v>0</v>
      </c>
      <c r="V3838" s="85">
        <f>IF(ISNA(IF(AND(VLOOKUP(CONCATENATE($D3838,$G3838),CSRFinput!$B:$E,4,0)=0,OR(H3838=MappingTables!$C$34,H3838=MappingTables!$C$35)),1,VLOOKUP(CONCATENATE($D3838,$G3838),CSRFinput!$B:$E,4,0))),0,IF(AND(VLOOKUP(CONCATENATE($D3838,$G3838),CSRFinput!$B:$E,4,0)=0,OR(H3838=MappingTables!$C$34,H3838=MappingTables!$C$35)),1,VLOOKUP(CONCATENATE($D3838,$G3838),CSRFinput!$B:$E,4,0)))</f>
        <v>0.054776304963434752</v>
      </c>
      <c r="W3838" s="85">
        <f>IF(B3838="",0,+$T3838*$V3838)</f>
        <v>2.1848805392708656</v>
      </c>
      <c r="X3838" s="85">
        <f>IF(B3838="",0,IF(OR(H3838=MappingTables!$C$34,H3838=MappingTables!$C$35),W3838,0))</f>
        <v>0</v>
      </c>
    </row>
    <row r="3839" spans="2:24" s="0" customFormat="0" ht="15">
      <c r="B3839" s="69" t="s">
        <v>829</v>
      </c>
      <c r="C3839" s="70" t="s">
        <v>830</v>
      </c>
      <c r="D3839" s="70" t="s">
        <v>1</v>
      </c>
      <c r="E3839" s="70" t="s">
        <v>1</v>
      </c>
      <c r="F3839" s="70"/>
      <c r="G3839" s="70" t="s">
        <v>61</v>
      </c>
      <c r="H3839" s="70" t="s">
        <v>178</v>
      </c>
      <c r="I3839" s="70" t="s">
        <v>181</v>
      </c>
      <c r="J3839" s="71">
        <f>IF(OR(I3839=0,I3839=""),"unrated",VLOOKUP(I3839,MappingTables!$B$19:$C$31,2,FALSE))</f>
        <v>3</v>
      </c>
      <c r="K3839" s="72">
        <v>64.567031741127424</v>
      </c>
      <c r="L3839" s="70">
        <v>4.4419887505131512</v>
      </c>
      <c r="M3839" s="71">
        <f>IF(L3839&lt;1,1,L3839)</f>
        <v>4.4419887505131512</v>
      </c>
      <c r="N3839" s="70" t="s">
        <v>141</v>
      </c>
      <c r="O3839" s="71">
        <f>INDEX(DurClassMapping,MATCH(M3839,MappingTables!$D$4:$D$8,-1),1)</f>
        <v>1</v>
      </c>
      <c r="P3839" s="73">
        <f>IF(M3839=$A$1,1,$M3839-INDEX(MappingTables!$E$4:$E$8,MATCH(O3839,MappingTables!$B$4:$B$8,0)))</f>
        <v>4.4419887505131512</v>
      </c>
      <c r="Q3839" s="71">
        <f>IF(B3839="",0,INDEX(ModelParameters!$D$6:$K$10,MATCH($O3839,ModelParameters!$B$6:$B$10,0),MATCH($J3839,ModelParameters!$D$5:$K$5,0)))</f>
        <v>0.025</v>
      </c>
      <c r="R3839" s="71">
        <f>IF(B3839="",0,INDEX(ModelParameters!$D$13:$K$17,MATCH($O3839,ModelParameters!$B$13:$B$17,0),MATCH($J3839,ModelParameters!$D$5:$K$5,0)))</f>
        <v>0</v>
      </c>
      <c r="S3839" s="160">
        <f>IF(B3839="",0,MIN(IF($N3839="Other Bond TM",ModelParameters!$N$21,1)*(P3839*Q3839+R3839),1))</f>
        <v>0.1110497187628288</v>
      </c>
      <c r="T3839" s="85">
        <f>IF(B3839="",0,$S3839*$K3839)</f>
        <v>7.17015071620284</v>
      </c>
      <c r="U3839" s="85">
        <f>IF(B3839="",0,IF(OR(H3839=MappingTables!$C$34,H3839=MappingTables!$C$35),T3839,0))</f>
        <v>0</v>
      </c>
      <c r="V3839" s="85">
        <f>IF(ISNA(IF(AND(VLOOKUP(CONCATENATE($D3839,$G3839),CSRFinput!$B:$E,4,0)=0,OR(H3839=MappingTables!$C$34,H3839=MappingTables!$C$35)),1,VLOOKUP(CONCATENATE($D3839,$G3839),CSRFinput!$B:$E,4,0))),0,IF(AND(VLOOKUP(CONCATENATE($D3839,$G3839),CSRFinput!$B:$E,4,0)=0,OR(H3839=MappingTables!$C$34,H3839=MappingTables!$C$35)),1,VLOOKUP(CONCATENATE($D3839,$G3839),CSRFinput!$B:$E,4,0)))</f>
        <v>0.054776304963434752</v>
      </c>
      <c r="W3839" s="85">
        <f>IF(B3839="",0,+$T3839*$V3839)</f>
        <v>0.39275436226451688</v>
      </c>
      <c r="X3839" s="85">
        <f>IF(B3839="",0,IF(OR(H3839=MappingTables!$C$34,H3839=MappingTables!$C$35),W3839,0))</f>
        <v>0</v>
      </c>
    </row>
    <row r="3840" spans="2:24" s="0" customFormat="0" ht="15">
      <c r="B3840" s="69">
        <v>741531</v>
      </c>
      <c r="C3840" s="70" t="s">
        <v>1729</v>
      </c>
      <c r="D3840" s="70" t="s">
        <v>1</v>
      </c>
      <c r="E3840" s="70" t="s">
        <v>1</v>
      </c>
      <c r="F3840" s="70"/>
      <c r="G3840" s="70" t="s">
        <v>61</v>
      </c>
      <c r="H3840" s="70" t="s">
        <v>178</v>
      </c>
      <c r="I3840" s="70" t="s">
        <v>181</v>
      </c>
      <c r="J3840" s="71">
        <f>IF(OR(I3840=0,I3840=""),"unrated",VLOOKUP(I3840,MappingTables!$B$19:$C$31,2,FALSE))</f>
        <v>3</v>
      </c>
      <c r="K3840" s="72">
        <v>19887.25031081248</v>
      </c>
      <c r="L3840" s="70">
        <v>10.769732640667518</v>
      </c>
      <c r="M3840" s="71">
        <f>IF(L3840&lt;1,1,L3840)</f>
        <v>10.769732640667518</v>
      </c>
      <c r="N3840" s="70" t="s">
        <v>141</v>
      </c>
      <c r="O3840" s="71">
        <f>INDEX(DurClassMapping,MATCH(M3840,MappingTables!$D$4:$D$8,-1),1)</f>
        <v>3</v>
      </c>
      <c r="P3840" s="73">
        <f>IF(M3840=$A$1,1,$M3840-INDEX(MappingTables!$E$4:$E$8,MATCH(O3840,MappingTables!$B$4:$B$8,0)))</f>
        <v>0.7697326406675184</v>
      </c>
      <c r="Q3840" s="71">
        <f>IF(B3840="",0,INDEX(ModelParameters!$D$6:$K$10,MATCH($O3840,ModelParameters!$B$6:$B$10,0),MATCH($J3840,ModelParameters!$D$5:$K$5,0)))</f>
        <v>0.01</v>
      </c>
      <c r="R3840" s="71">
        <f>IF(B3840="",0,INDEX(ModelParameters!$D$13:$K$17,MATCH($O3840,ModelParameters!$B$13:$B$17,0),MATCH($J3840,ModelParameters!$D$5:$K$5,0)))</f>
        <v>0.2</v>
      </c>
      <c r="S3840" s="160">
        <f>IF(B3840="",0,MIN(IF($N3840="Other Bond TM",ModelParameters!$N$21,1)*(P3840*Q3840+R3840),1))</f>
        <v>0.2076973264066752</v>
      </c>
      <c r="T3840" s="85">
        <f>IF(B3840="",0,$S3840*$K3840)</f>
        <v>4130.5287191360728</v>
      </c>
      <c r="U3840" s="85">
        <f>IF(B3840="",0,IF(OR(H3840=MappingTables!$C$34,H3840=MappingTables!$C$35),T3840,0))</f>
        <v>0</v>
      </c>
      <c r="V3840" s="85">
        <f>IF(ISNA(IF(AND(VLOOKUP(CONCATENATE($D3840,$G3840),CSRFinput!$B:$E,4,0)=0,OR(H3840=MappingTables!$C$34,H3840=MappingTables!$C$35)),1,VLOOKUP(CONCATENATE($D3840,$G3840),CSRFinput!$B:$E,4,0))),0,IF(AND(VLOOKUP(CONCATENATE($D3840,$G3840),CSRFinput!$B:$E,4,0)=0,OR(H3840=MappingTables!$C$34,H3840=MappingTables!$C$35)),1,VLOOKUP(CONCATENATE($D3840,$G3840),CSRFinput!$B:$E,4,0)))</f>
        <v>0.054776304963434752</v>
      </c>
      <c r="W3840" s="85">
        <f>IF(B3840="",0,+$T3840*$V3840)</f>
        <v>226.25510077962308</v>
      </c>
      <c r="X3840" s="85">
        <f>IF(B3840="",0,IF(OR(H3840=MappingTables!$C$34,H3840=MappingTables!$C$35),W3840,0))</f>
        <v>0</v>
      </c>
    </row>
    <row r="3841" spans="2:24" s="0" customFormat="0" ht="15">
      <c r="B3841" s="69">
        <v>7252176</v>
      </c>
      <c r="C3841" s="70" t="s">
        <v>2945</v>
      </c>
      <c r="D3841" s="70" t="s">
        <v>1</v>
      </c>
      <c r="E3841" s="70" t="s">
        <v>1</v>
      </c>
      <c r="F3841" s="70"/>
      <c r="G3841" s="70" t="s">
        <v>61</v>
      </c>
      <c r="H3841" s="70" t="s">
        <v>178</v>
      </c>
      <c r="I3841" s="70" t="s">
        <v>181</v>
      </c>
      <c r="J3841" s="71">
        <f>IF(OR(I3841=0,I3841=""),"unrated",VLOOKUP(I3841,MappingTables!$B$19:$C$31,2,FALSE))</f>
        <v>3</v>
      </c>
      <c r="K3841" s="72">
        <v>0.30706137619837192</v>
      </c>
      <c r="L3841" s="70">
        <v>0.77260991639492544</v>
      </c>
      <c r="M3841" s="71">
        <f>IF(L3841&lt;1,1,L3841)</f>
        <v>1</v>
      </c>
      <c r="N3841" s="70" t="s">
        <v>141</v>
      </c>
      <c r="O3841" s="71">
        <f>INDEX(DurClassMapping,MATCH(M3841,MappingTables!$D$4:$D$8,-1),1)</f>
        <v>1</v>
      </c>
      <c r="P3841" s="73">
        <f>IF(M3841=$A$1,1,$M3841-INDEX(MappingTables!$E$4:$E$8,MATCH(O3841,MappingTables!$B$4:$B$8,0)))</f>
        <v>1</v>
      </c>
      <c r="Q3841" s="71">
        <f>IF(B3841="",0,INDEX(ModelParameters!$D$6:$K$10,MATCH($O3841,ModelParameters!$B$6:$B$10,0),MATCH($J3841,ModelParameters!$D$5:$K$5,0)))</f>
        <v>0.025</v>
      </c>
      <c r="R3841" s="71">
        <f>IF(B3841="",0,INDEX(ModelParameters!$D$13:$K$17,MATCH($O3841,ModelParameters!$B$13:$B$17,0),MATCH($J3841,ModelParameters!$D$5:$K$5,0)))</f>
        <v>0</v>
      </c>
      <c r="S3841" s="160">
        <f>IF(B3841="",0,MIN(IF($N3841="Other Bond TM",ModelParameters!$N$21,1)*(P3841*Q3841+R3841),1))</f>
        <v>0.025</v>
      </c>
      <c r="T3841" s="85">
        <f>IF(B3841="",0,$S3841*$K3841)</f>
        <v>0.0076765344049592976</v>
      </c>
      <c r="U3841" s="85">
        <f>IF(B3841="",0,IF(OR(H3841=MappingTables!$C$34,H3841=MappingTables!$C$35),T3841,0))</f>
        <v>0</v>
      </c>
      <c r="V3841" s="85">
        <f>IF(ISNA(IF(AND(VLOOKUP(CONCATENATE($D3841,$G3841),CSRFinput!$B:$E,4,0)=0,OR(H3841=MappingTables!$C$34,H3841=MappingTables!$C$35)),1,VLOOKUP(CONCATENATE($D3841,$G3841),CSRFinput!$B:$E,4,0))),0,IF(AND(VLOOKUP(CONCATENATE($D3841,$G3841),CSRFinput!$B:$E,4,0)=0,OR(H3841=MappingTables!$C$34,H3841=MappingTables!$C$35)),1,VLOOKUP(CONCATENATE($D3841,$G3841),CSRFinput!$B:$E,4,0)))</f>
        <v>0.054776304963434752</v>
      </c>
      <c r="W3841" s="85">
        <f>IF(B3841="",0,+$T3841*$V3841)</f>
        <v>0.00042049218962834968</v>
      </c>
      <c r="X3841" s="85">
        <f>IF(B3841="",0,IF(OR(H3841=MappingTables!$C$34,H3841=MappingTables!$C$35),W3841,0))</f>
        <v>0</v>
      </c>
    </row>
    <row r="3842" spans="2:24" s="0" customFormat="0" ht="15">
      <c r="B3842" s="69" t="s">
        <v>1828</v>
      </c>
      <c r="C3842" s="70" t="s">
        <v>1829</v>
      </c>
      <c r="D3842" s="70" t="s">
        <v>1</v>
      </c>
      <c r="E3842" s="70" t="s">
        <v>1</v>
      </c>
      <c r="F3842" s="70"/>
      <c r="G3842" s="70" t="s">
        <v>61</v>
      </c>
      <c r="H3842" s="70" t="s">
        <v>178</v>
      </c>
      <c r="I3842" s="70" t="s">
        <v>188</v>
      </c>
      <c r="J3842" s="71">
        <f>IF(OR(I3842=0,I3842=""),"unrated",VLOOKUP(I3842,MappingTables!$B$19:$C$31,2,FALSE))</f>
        <v>2</v>
      </c>
      <c r="K3842" s="72">
        <v>332.30144510883748</v>
      </c>
      <c r="L3842" s="70">
        <v>5.7342969998922984</v>
      </c>
      <c r="M3842" s="71">
        <f>IF(L3842&lt;1,1,L3842)</f>
        <v>5.7342969998922984</v>
      </c>
      <c r="N3842" s="70" t="s">
        <v>141</v>
      </c>
      <c r="O3842" s="71">
        <f>INDEX(DurClassMapping,MATCH(M3842,MappingTables!$D$4:$D$8,-1),1)</f>
        <v>2</v>
      </c>
      <c r="P3842" s="73">
        <f>IF(M3842=$A$1,1,$M3842-INDEX(MappingTables!$E$4:$E$8,MATCH(O3842,MappingTables!$B$4:$B$8,0)))</f>
        <v>0.7342969998922984</v>
      </c>
      <c r="Q3842" s="71">
        <f>IF(B3842="",0,INDEX(ModelParameters!$D$6:$K$10,MATCH($O3842,ModelParameters!$B$6:$B$10,0),MATCH($J3842,ModelParameters!$D$5:$K$5,0)))</f>
        <v>0.0069999999999999992</v>
      </c>
      <c r="R3842" s="71">
        <f>IF(B3842="",0,INDEX(ModelParameters!$D$13:$K$17,MATCH($O3842,ModelParameters!$B$13:$B$17,0),MATCH($J3842,ModelParameters!$D$5:$K$5,0)))</f>
        <v>0.070000000000000008</v>
      </c>
      <c r="S3842" s="160">
        <f>IF(B3842="",0,MIN(IF($N3842="Other Bond TM",ModelParameters!$N$21,1)*(P3842*Q3842+R3842),1))</f>
        <v>0.075140078999246096</v>
      </c>
      <c r="T3842" s="85">
        <f>IF(B3842="",0,$S3842*$K3842)</f>
        <v>24.969156837041692</v>
      </c>
      <c r="U3842" s="85">
        <f>IF(B3842="",0,IF(OR(H3842=MappingTables!$C$34,H3842=MappingTables!$C$35),T3842,0))</f>
        <v>0</v>
      </c>
      <c r="V3842" s="85">
        <f>IF(ISNA(IF(AND(VLOOKUP(CONCATENATE($D3842,$G3842),CSRFinput!$B:$E,4,0)=0,OR(H3842=MappingTables!$C$34,H3842=MappingTables!$C$35)),1,VLOOKUP(CONCATENATE($D3842,$G3842),CSRFinput!$B:$E,4,0))),0,IF(AND(VLOOKUP(CONCATENATE($D3842,$G3842),CSRFinput!$B:$E,4,0)=0,OR(H3842=MappingTables!$C$34,H3842=MappingTables!$C$35)),1,VLOOKUP(CONCATENATE($D3842,$G3842),CSRFinput!$B:$E,4,0)))</f>
        <v>0.054776304963434752</v>
      </c>
      <c r="W3842" s="85">
        <f>IF(B3842="",0,+$T3842*$V3842)</f>
        <v>1.3677181495856276</v>
      </c>
      <c r="X3842" s="85">
        <f>IF(B3842="",0,IF(OR(H3842=MappingTables!$C$34,H3842=MappingTables!$C$35),W3842,0))</f>
        <v>0</v>
      </c>
    </row>
    <row r="3843" spans="2:24" s="0" customFormat="0" ht="15">
      <c r="B3843" s="69" t="s">
        <v>2929</v>
      </c>
      <c r="C3843" s="70" t="s">
        <v>2930</v>
      </c>
      <c r="D3843" s="70" t="s">
        <v>1</v>
      </c>
      <c r="E3843" s="70" t="s">
        <v>1</v>
      </c>
      <c r="F3843" s="70"/>
      <c r="G3843" s="70" t="s">
        <v>61</v>
      </c>
      <c r="H3843" s="70" t="s">
        <v>178</v>
      </c>
      <c r="I3843" s="70" t="s">
        <v>181</v>
      </c>
      <c r="J3843" s="71">
        <f>IF(OR(I3843=0,I3843=""),"unrated",VLOOKUP(I3843,MappingTables!$B$19:$C$31,2,FALSE))</f>
        <v>3</v>
      </c>
      <c r="K3843" s="72">
        <v>575.080794436216</v>
      </c>
      <c r="L3843" s="70">
        <v>0.7758882338935312</v>
      </c>
      <c r="M3843" s="71">
        <f>IF(L3843&lt;1,1,L3843)</f>
        <v>1</v>
      </c>
      <c r="N3843" s="70" t="s">
        <v>141</v>
      </c>
      <c r="O3843" s="71">
        <f>INDEX(DurClassMapping,MATCH(M3843,MappingTables!$D$4:$D$8,-1),1)</f>
        <v>1</v>
      </c>
      <c r="P3843" s="73">
        <f>IF(M3843=$A$1,1,$M3843-INDEX(MappingTables!$E$4:$E$8,MATCH(O3843,MappingTables!$B$4:$B$8,0)))</f>
        <v>1</v>
      </c>
      <c r="Q3843" s="71">
        <f>IF(B3843="",0,INDEX(ModelParameters!$D$6:$K$10,MATCH($O3843,ModelParameters!$B$6:$B$10,0),MATCH($J3843,ModelParameters!$D$5:$K$5,0)))</f>
        <v>0.025</v>
      </c>
      <c r="R3843" s="71">
        <f>IF(B3843="",0,INDEX(ModelParameters!$D$13:$K$17,MATCH($O3843,ModelParameters!$B$13:$B$17,0),MATCH($J3843,ModelParameters!$D$5:$K$5,0)))</f>
        <v>0</v>
      </c>
      <c r="S3843" s="160">
        <f>IF(B3843="",0,MIN(IF($N3843="Other Bond TM",ModelParameters!$N$21,1)*(P3843*Q3843+R3843),1))</f>
        <v>0.025</v>
      </c>
      <c r="T3843" s="85">
        <f>IF(B3843="",0,$S3843*$K3843)</f>
        <v>14.3770198609054</v>
      </c>
      <c r="U3843" s="85">
        <f>IF(B3843="",0,IF(OR(H3843=MappingTables!$C$34,H3843=MappingTables!$C$35),T3843,0))</f>
        <v>0</v>
      </c>
      <c r="V3843" s="85">
        <f>IF(ISNA(IF(AND(VLOOKUP(CONCATENATE($D3843,$G3843),CSRFinput!$B:$E,4,0)=0,OR(H3843=MappingTables!$C$34,H3843=MappingTables!$C$35)),1,VLOOKUP(CONCATENATE($D3843,$G3843),CSRFinput!$B:$E,4,0))),0,IF(AND(VLOOKUP(CONCATENATE($D3843,$G3843),CSRFinput!$B:$E,4,0)=0,OR(H3843=MappingTables!$C$34,H3843=MappingTables!$C$35)),1,VLOOKUP(CONCATENATE($D3843,$G3843),CSRFinput!$B:$E,4,0)))</f>
        <v>0.054776304963434752</v>
      </c>
      <c r="W3843" s="85">
        <f>IF(B3843="",0,+$T3843*$V3843)</f>
        <v>0.78752002436631248</v>
      </c>
      <c r="X3843" s="85">
        <f>IF(B3843="",0,IF(OR(H3843=MappingTables!$C$34,H3843=MappingTables!$C$35),W3843,0))</f>
        <v>0</v>
      </c>
    </row>
    <row r="3844" spans="2:24" s="0" customFormat="0" ht="15">
      <c r="B3844" s="69">
        <v>17172496</v>
      </c>
      <c r="C3844" s="70" t="s">
        <v>1354</v>
      </c>
      <c r="D3844" s="70" t="s">
        <v>1</v>
      </c>
      <c r="E3844" s="70" t="s">
        <v>1</v>
      </c>
      <c r="F3844" s="70"/>
      <c r="G3844" s="70" t="s">
        <v>61</v>
      </c>
      <c r="H3844" s="70" t="s">
        <v>178</v>
      </c>
      <c r="I3844" s="70" t="s">
        <v>188</v>
      </c>
      <c r="J3844" s="71">
        <f>IF(OR(I3844=0,I3844=""),"unrated",VLOOKUP(I3844,MappingTables!$B$19:$C$31,2,FALSE))</f>
        <v>2</v>
      </c>
      <c r="K3844" s="72">
        <v>1421.7108629669036</v>
      </c>
      <c r="L3844" s="70">
        <v>0.090412702876558272</v>
      </c>
      <c r="M3844" s="71">
        <f>IF(L3844&lt;1,1,L3844)</f>
        <v>1</v>
      </c>
      <c r="N3844" s="70" t="s">
        <v>141</v>
      </c>
      <c r="O3844" s="71">
        <f>INDEX(DurClassMapping,MATCH(M3844,MappingTables!$D$4:$D$8,-1),1)</f>
        <v>1</v>
      </c>
      <c r="P3844" s="73">
        <f>IF(M3844=$A$1,1,$M3844-INDEX(MappingTables!$E$4:$E$8,MATCH(O3844,MappingTables!$B$4:$B$8,0)))</f>
        <v>1</v>
      </c>
      <c r="Q3844" s="71">
        <f>IF(B3844="",0,INDEX(ModelParameters!$D$6:$K$10,MATCH($O3844,ModelParameters!$B$6:$B$10,0),MATCH($J3844,ModelParameters!$D$5:$K$5,0)))</f>
        <v>0.013999999999999998</v>
      </c>
      <c r="R3844" s="71">
        <f>IF(B3844="",0,INDEX(ModelParameters!$D$13:$K$17,MATCH($O3844,ModelParameters!$B$13:$B$17,0),MATCH($J3844,ModelParameters!$D$5:$K$5,0)))</f>
        <v>0</v>
      </c>
      <c r="S3844" s="160">
        <f>IF(B3844="",0,MIN(IF($N3844="Other Bond TM",ModelParameters!$N$21,1)*(P3844*Q3844+R3844),1))</f>
        <v>0.013999999999999998</v>
      </c>
      <c r="T3844" s="85">
        <f>IF(B3844="",0,$S3844*$K3844)</f>
        <v>19.903952081536648</v>
      </c>
      <c r="U3844" s="85">
        <f>IF(B3844="",0,IF(OR(H3844=MappingTables!$C$34,H3844=MappingTables!$C$35),T3844,0))</f>
        <v>0</v>
      </c>
      <c r="V3844" s="85">
        <f>IF(ISNA(IF(AND(VLOOKUP(CONCATENATE($D3844,$G3844),CSRFinput!$B:$E,4,0)=0,OR(H3844=MappingTables!$C$34,H3844=MappingTables!$C$35)),1,VLOOKUP(CONCATENATE($D3844,$G3844),CSRFinput!$B:$E,4,0))),0,IF(AND(VLOOKUP(CONCATENATE($D3844,$G3844),CSRFinput!$B:$E,4,0)=0,OR(H3844=MappingTables!$C$34,H3844=MappingTables!$C$35)),1,VLOOKUP(CONCATENATE($D3844,$G3844),CSRFinput!$B:$E,4,0)))</f>
        <v>0.054776304963434752</v>
      </c>
      <c r="W3844" s="85">
        <f>IF(B3844="",0,+$T3844*$V3844)</f>
        <v>1.0902649491958434</v>
      </c>
      <c r="X3844" s="85">
        <f>IF(B3844="",0,IF(OR(H3844=MappingTables!$C$34,H3844=MappingTables!$C$35),W3844,0))</f>
        <v>0</v>
      </c>
    </row>
    <row r="3845" spans="2:24" s="0" customFormat="0" ht="15">
      <c r="B3845" s="69">
        <v>21151212</v>
      </c>
      <c r="C3845" s="70" t="s">
        <v>1908</v>
      </c>
      <c r="D3845" s="70" t="s">
        <v>1</v>
      </c>
      <c r="E3845" s="70" t="s">
        <v>1</v>
      </c>
      <c r="F3845" s="70"/>
      <c r="G3845" s="70" t="s">
        <v>61</v>
      </c>
      <c r="H3845" s="70" t="s">
        <v>178</v>
      </c>
      <c r="I3845" s="70" t="s">
        <v>181</v>
      </c>
      <c r="J3845" s="71">
        <f>IF(OR(I3845=0,I3845=""),"unrated",VLOOKUP(I3845,MappingTables!$B$19:$C$31,2,FALSE))</f>
        <v>3</v>
      </c>
      <c r="K3845" s="72">
        <v>8868.7770801859152</v>
      </c>
      <c r="L3845" s="70">
        <v>6.9372568272506216</v>
      </c>
      <c r="M3845" s="71">
        <f>IF(L3845&lt;1,1,L3845)</f>
        <v>6.9372568272506216</v>
      </c>
      <c r="N3845" s="70" t="s">
        <v>141</v>
      </c>
      <c r="O3845" s="71">
        <f>INDEX(DurClassMapping,MATCH(M3845,MappingTables!$D$4:$D$8,-1),1)</f>
        <v>2</v>
      </c>
      <c r="P3845" s="73">
        <f>IF(M3845=$A$1,1,$M3845-INDEX(MappingTables!$E$4:$E$8,MATCH(O3845,MappingTables!$B$4:$B$8,0)))</f>
        <v>1.9372568272506216</v>
      </c>
      <c r="Q3845" s="71">
        <f>IF(B3845="",0,INDEX(ModelParameters!$D$6:$K$10,MATCH($O3845,ModelParameters!$B$6:$B$10,0),MATCH($J3845,ModelParameters!$D$5:$K$5,0)))</f>
        <v>0.015</v>
      </c>
      <c r="R3845" s="71">
        <f>IF(B3845="",0,INDEX(ModelParameters!$D$13:$K$17,MATCH($O3845,ModelParameters!$B$13:$B$17,0),MATCH($J3845,ModelParameters!$D$5:$K$5,0)))</f>
        <v>0.125</v>
      </c>
      <c r="S3845" s="160">
        <f>IF(B3845="",0,MIN(IF($N3845="Other Bond TM",ModelParameters!$N$21,1)*(P3845*Q3845+R3845),1))</f>
        <v>0.15405885240875932</v>
      </c>
      <c r="T3845" s="85">
        <f>IF(B3845="",0,$S3845*$K3845)</f>
        <v>1366.3136192425492</v>
      </c>
      <c r="U3845" s="85">
        <f>IF(B3845="",0,IF(OR(H3845=MappingTables!$C$34,H3845=MappingTables!$C$35),T3845,0))</f>
        <v>0</v>
      </c>
      <c r="V3845" s="85">
        <f>IF(ISNA(IF(AND(VLOOKUP(CONCATENATE($D3845,$G3845),CSRFinput!$B:$E,4,0)=0,OR(H3845=MappingTables!$C$34,H3845=MappingTables!$C$35)),1,VLOOKUP(CONCATENATE($D3845,$G3845),CSRFinput!$B:$E,4,0))),0,IF(AND(VLOOKUP(CONCATENATE($D3845,$G3845),CSRFinput!$B:$E,4,0)=0,OR(H3845=MappingTables!$C$34,H3845=MappingTables!$C$35)),1,VLOOKUP(CONCATENATE($D3845,$G3845),CSRFinput!$B:$E,4,0)))</f>
        <v>0.054776304963434752</v>
      </c>
      <c r="W3845" s="85">
        <f>IF(B3845="",0,+$T3845*$V3845)</f>
        <v>74.84161148332416</v>
      </c>
      <c r="X3845" s="85">
        <f>IF(B3845="",0,IF(OR(H3845=MappingTables!$C$34,H3845=MappingTables!$C$35),W3845,0))</f>
        <v>0</v>
      </c>
    </row>
    <row r="3846" spans="2:24" s="0" customFormat="0" ht="15">
      <c r="B3846" s="69">
        <v>20993775</v>
      </c>
      <c r="C3846" s="70" t="s">
        <v>1187</v>
      </c>
      <c r="D3846" s="70" t="s">
        <v>1</v>
      </c>
      <c r="E3846" s="70" t="s">
        <v>1</v>
      </c>
      <c r="F3846" s="70"/>
      <c r="G3846" s="70" t="s">
        <v>61</v>
      </c>
      <c r="H3846" s="70" t="s">
        <v>178</v>
      </c>
      <c r="I3846" s="70" t="s">
        <v>181</v>
      </c>
      <c r="J3846" s="71">
        <f>IF(OR(I3846=0,I3846=""),"unrated",VLOOKUP(I3846,MappingTables!$B$19:$C$31,2,FALSE))</f>
        <v>3</v>
      </c>
      <c r="K3846" s="72">
        <v>716.82369936746888</v>
      </c>
      <c r="L3846" s="70">
        <v>3.4181795659792784</v>
      </c>
      <c r="M3846" s="71">
        <f>IF(L3846&lt;1,1,L3846)</f>
        <v>3.4181795659792784</v>
      </c>
      <c r="N3846" s="70" t="s">
        <v>141</v>
      </c>
      <c r="O3846" s="71">
        <f>INDEX(DurClassMapping,MATCH(M3846,MappingTables!$D$4:$D$8,-1),1)</f>
        <v>1</v>
      </c>
      <c r="P3846" s="73">
        <f>IF(M3846=$A$1,1,$M3846-INDEX(MappingTables!$E$4:$E$8,MATCH(O3846,MappingTables!$B$4:$B$8,0)))</f>
        <v>3.4181795659792784</v>
      </c>
      <c r="Q3846" s="71">
        <f>IF(B3846="",0,INDEX(ModelParameters!$D$6:$K$10,MATCH($O3846,ModelParameters!$B$6:$B$10,0),MATCH($J3846,ModelParameters!$D$5:$K$5,0)))</f>
        <v>0.025</v>
      </c>
      <c r="R3846" s="71">
        <f>IF(B3846="",0,INDEX(ModelParameters!$D$13:$K$17,MATCH($O3846,ModelParameters!$B$13:$B$17,0),MATCH($J3846,ModelParameters!$D$5:$K$5,0)))</f>
        <v>0</v>
      </c>
      <c r="S3846" s="160">
        <f>IF(B3846="",0,MIN(IF($N3846="Other Bond TM",ModelParameters!$N$21,1)*(P3846*Q3846+R3846),1))</f>
        <v>0.085454489149481968</v>
      </c>
      <c r="T3846" s="85">
        <f>IF(B3846="",0,$S3846*$K3846)</f>
        <v>61.255803039688888</v>
      </c>
      <c r="U3846" s="85">
        <f>IF(B3846="",0,IF(OR(H3846=MappingTables!$C$34,H3846=MappingTables!$C$35),T3846,0))</f>
        <v>0</v>
      </c>
      <c r="V3846" s="85">
        <f>IF(ISNA(IF(AND(VLOOKUP(CONCATENATE($D3846,$G3846),CSRFinput!$B:$E,4,0)=0,OR(H3846=MappingTables!$C$34,H3846=MappingTables!$C$35)),1,VLOOKUP(CONCATENATE($D3846,$G3846),CSRFinput!$B:$E,4,0))),0,IF(AND(VLOOKUP(CONCATENATE($D3846,$G3846),CSRFinput!$B:$E,4,0)=0,OR(H3846=MappingTables!$C$34,H3846=MappingTables!$C$35)),1,VLOOKUP(CONCATENATE($D3846,$G3846),CSRFinput!$B:$E,4,0)))</f>
        <v>0.054776304963434752</v>
      </c>
      <c r="W3846" s="85">
        <f>IF(B3846="",0,+$T3846*$V3846)</f>
        <v>3.3553665480820916</v>
      </c>
      <c r="X3846" s="85">
        <f>IF(B3846="",0,IF(OR(H3846=MappingTables!$C$34,H3846=MappingTables!$C$35),W3846,0))</f>
        <v>0</v>
      </c>
    </row>
    <row r="3847" spans="2:24" s="0" customFormat="0" ht="15">
      <c r="B3847" s="69">
        <v>18923344</v>
      </c>
      <c r="C3847" s="70" t="s">
        <v>1124</v>
      </c>
      <c r="D3847" s="70" t="s">
        <v>1</v>
      </c>
      <c r="E3847" s="70" t="s">
        <v>1</v>
      </c>
      <c r="F3847" s="70"/>
      <c r="G3847" s="70" t="s">
        <v>61</v>
      </c>
      <c r="H3847" s="70" t="s">
        <v>178</v>
      </c>
      <c r="I3847" s="70" t="s">
        <v>188</v>
      </c>
      <c r="J3847" s="71">
        <f>IF(OR(I3847=0,I3847=""),"unrated",VLOOKUP(I3847,MappingTables!$B$19:$C$31,2,FALSE))</f>
        <v>2</v>
      </c>
      <c r="K3847" s="72">
        <v>65.583661786864424</v>
      </c>
      <c r="L3847" s="70">
        <v>4.0243317537574176</v>
      </c>
      <c r="M3847" s="71">
        <f>IF(L3847&lt;1,1,L3847)</f>
        <v>4.0243317537574176</v>
      </c>
      <c r="N3847" s="70" t="s">
        <v>141</v>
      </c>
      <c r="O3847" s="71">
        <f>INDEX(DurClassMapping,MATCH(M3847,MappingTables!$D$4:$D$8,-1),1)</f>
        <v>1</v>
      </c>
      <c r="P3847" s="73">
        <f>IF(M3847=$A$1,1,$M3847-INDEX(MappingTables!$E$4:$E$8,MATCH(O3847,MappingTables!$B$4:$B$8,0)))</f>
        <v>4.0243317537574176</v>
      </c>
      <c r="Q3847" s="71">
        <f>IF(B3847="",0,INDEX(ModelParameters!$D$6:$K$10,MATCH($O3847,ModelParameters!$B$6:$B$10,0),MATCH($J3847,ModelParameters!$D$5:$K$5,0)))</f>
        <v>0.013999999999999998</v>
      </c>
      <c r="R3847" s="71">
        <f>IF(B3847="",0,INDEX(ModelParameters!$D$13:$K$17,MATCH($O3847,ModelParameters!$B$13:$B$17,0),MATCH($J3847,ModelParameters!$D$5:$K$5,0)))</f>
        <v>0</v>
      </c>
      <c r="S3847" s="160">
        <f>IF(B3847="",0,MIN(IF($N3847="Other Bond TM",ModelParameters!$N$21,1)*(P3847*Q3847+R3847),1))</f>
        <v>0.05634064455260384</v>
      </c>
      <c r="T3847" s="85">
        <f>IF(B3847="",0,$S3847*$K3847)</f>
        <v>3.695025777191916</v>
      </c>
      <c r="U3847" s="85">
        <f>IF(B3847="",0,IF(OR(H3847=MappingTables!$C$34,H3847=MappingTables!$C$35),T3847,0))</f>
        <v>0</v>
      </c>
      <c r="V3847" s="85">
        <f>IF(ISNA(IF(AND(VLOOKUP(CONCATENATE($D3847,$G3847),CSRFinput!$B:$E,4,0)=0,OR(H3847=MappingTables!$C$34,H3847=MappingTables!$C$35)),1,VLOOKUP(CONCATENATE($D3847,$G3847),CSRFinput!$B:$E,4,0))),0,IF(AND(VLOOKUP(CONCATENATE($D3847,$G3847),CSRFinput!$B:$E,4,0)=0,OR(H3847=MappingTables!$C$34,H3847=MappingTables!$C$35)),1,VLOOKUP(CONCATENATE($D3847,$G3847),CSRFinput!$B:$E,4,0)))</f>
        <v>0.054776304963434752</v>
      </c>
      <c r="W3847" s="85">
        <f>IF(B3847="",0,+$T3847*$V3847)</f>
        <v>0.20239985881921692</v>
      </c>
      <c r="X3847" s="85">
        <f>IF(B3847="",0,IF(OR(H3847=MappingTables!$C$34,H3847=MappingTables!$C$35),W3847,0))</f>
        <v>0</v>
      </c>
    </row>
    <row r="3848" spans="2:24" s="0" customFormat="0" ht="15">
      <c r="B3848" s="69" t="s">
        <v>969</v>
      </c>
      <c r="C3848" s="70" t="s">
        <v>970</v>
      </c>
      <c r="D3848" s="70" t="s">
        <v>1</v>
      </c>
      <c r="E3848" s="70" t="s">
        <v>1</v>
      </c>
      <c r="F3848" s="70"/>
      <c r="G3848" s="70" t="s">
        <v>61</v>
      </c>
      <c r="H3848" s="70" t="s">
        <v>178</v>
      </c>
      <c r="I3848" s="70" t="s">
        <v>181</v>
      </c>
      <c r="J3848" s="71">
        <f>IF(OR(I3848=0,I3848=""),"unrated",VLOOKUP(I3848,MappingTables!$B$19:$C$31,2,FALSE))</f>
        <v>3</v>
      </c>
      <c r="K3848" s="72">
        <v>1635.2397509980306</v>
      </c>
      <c r="L3848" s="70">
        <v>7.6990645152760352</v>
      </c>
      <c r="M3848" s="71">
        <f>IF(L3848&lt;1,1,L3848)</f>
        <v>7.6990645152760352</v>
      </c>
      <c r="N3848" s="70" t="s">
        <v>141</v>
      </c>
      <c r="O3848" s="71">
        <f>INDEX(DurClassMapping,MATCH(M3848,MappingTables!$D$4:$D$8,-1),1)</f>
        <v>2</v>
      </c>
      <c r="P3848" s="73">
        <f>IF(M3848=$A$1,1,$M3848-INDEX(MappingTables!$E$4:$E$8,MATCH(O3848,MappingTables!$B$4:$B$8,0)))</f>
        <v>2.699064515276036</v>
      </c>
      <c r="Q3848" s="71">
        <f>IF(B3848="",0,INDEX(ModelParameters!$D$6:$K$10,MATCH($O3848,ModelParameters!$B$6:$B$10,0),MATCH($J3848,ModelParameters!$D$5:$K$5,0)))</f>
        <v>0.015</v>
      </c>
      <c r="R3848" s="71">
        <f>IF(B3848="",0,INDEX(ModelParameters!$D$13:$K$17,MATCH($O3848,ModelParameters!$B$13:$B$17,0),MATCH($J3848,ModelParameters!$D$5:$K$5,0)))</f>
        <v>0.125</v>
      </c>
      <c r="S3848" s="160">
        <f>IF(B3848="",0,MIN(IF($N3848="Other Bond TM",ModelParameters!$N$21,1)*(P3848*Q3848+R3848),1))</f>
        <v>0.16548596772914054</v>
      </c>
      <c r="T3848" s="85">
        <f>IF(B3848="",0,$S3848*$K3848)</f>
        <v>270.60923266306788</v>
      </c>
      <c r="U3848" s="85">
        <f>IF(B3848="",0,IF(OR(H3848=MappingTables!$C$34,H3848=MappingTables!$C$35),T3848,0))</f>
        <v>0</v>
      </c>
      <c r="V3848" s="85">
        <f>IF(ISNA(IF(AND(VLOOKUP(CONCATENATE($D3848,$G3848),CSRFinput!$B:$E,4,0)=0,OR(H3848=MappingTables!$C$34,H3848=MappingTables!$C$35)),1,VLOOKUP(CONCATENATE($D3848,$G3848),CSRFinput!$B:$E,4,0))),0,IF(AND(VLOOKUP(CONCATENATE($D3848,$G3848),CSRFinput!$B:$E,4,0)=0,OR(H3848=MappingTables!$C$34,H3848=MappingTables!$C$35)),1,VLOOKUP(CONCATENATE($D3848,$G3848),CSRFinput!$B:$E,4,0)))</f>
        <v>0.054776304963434752</v>
      </c>
      <c r="W3848" s="85">
        <f>IF(B3848="",0,+$T3848*$V3848)</f>
        <v>14.822973854273276</v>
      </c>
      <c r="X3848" s="85">
        <f>IF(B3848="",0,IF(OR(H3848=MappingTables!$C$34,H3848=MappingTables!$C$35),W3848,0))</f>
        <v>0</v>
      </c>
    </row>
    <row r="3849" spans="2:24" s="0" customFormat="0" ht="15">
      <c r="B3849" s="69">
        <v>19743067</v>
      </c>
      <c r="C3849" s="70" t="s">
        <v>2628</v>
      </c>
      <c r="D3849" s="70" t="s">
        <v>1</v>
      </c>
      <c r="E3849" s="70" t="s">
        <v>1</v>
      </c>
      <c r="F3849" s="70"/>
      <c r="G3849" s="70" t="s">
        <v>61</v>
      </c>
      <c r="H3849" s="70" t="s">
        <v>178</v>
      </c>
      <c r="I3849" s="70" t="s">
        <v>220</v>
      </c>
      <c r="J3849" s="71">
        <f>IF(OR(I3849=0,I3849=""),"unrated",VLOOKUP(I3849,MappingTables!$B$19:$C$31,2,FALSE))</f>
        <v>1</v>
      </c>
      <c r="K3849" s="72">
        <v>44963.390914245072</v>
      </c>
      <c r="L3849" s="70">
        <v>0.3690523437611464</v>
      </c>
      <c r="M3849" s="71">
        <f>IF(L3849&lt;1,1,L3849)</f>
        <v>1</v>
      </c>
      <c r="N3849" s="70" t="s">
        <v>141</v>
      </c>
      <c r="O3849" s="71">
        <f>INDEX(DurClassMapping,MATCH(M3849,MappingTables!$D$4:$D$8,-1),1)</f>
        <v>1</v>
      </c>
      <c r="P3849" s="73">
        <f>IF(M3849=$A$1,1,$M3849-INDEX(MappingTables!$E$4:$E$8,MATCH(O3849,MappingTables!$B$4:$B$8,0)))</f>
        <v>1</v>
      </c>
      <c r="Q3849" s="71">
        <f>IF(B3849="",0,INDEX(ModelParameters!$D$6:$K$10,MATCH($O3849,ModelParameters!$B$6:$B$10,0),MATCH($J3849,ModelParameters!$D$5:$K$5,0)))</f>
        <v>0.011000000000000002</v>
      </c>
      <c r="R3849" s="71">
        <f>IF(B3849="",0,INDEX(ModelParameters!$D$13:$K$17,MATCH($O3849,ModelParameters!$B$13:$B$17,0),MATCH($J3849,ModelParameters!$D$5:$K$5,0)))</f>
        <v>0</v>
      </c>
      <c r="S3849" s="160">
        <f>IF(B3849="",0,MIN(IF($N3849="Other Bond TM",ModelParameters!$N$21,1)*(P3849*Q3849+R3849),1))</f>
        <v>0.011000000000000002</v>
      </c>
      <c r="T3849" s="85">
        <f>IF(B3849="",0,$S3849*$K3849)</f>
        <v>494.59730005669584</v>
      </c>
      <c r="U3849" s="85">
        <f>IF(B3849="",0,IF(OR(H3849=MappingTables!$C$34,H3849=MappingTables!$C$35),T3849,0))</f>
        <v>0</v>
      </c>
      <c r="V3849" s="85">
        <f>IF(ISNA(IF(AND(VLOOKUP(CONCATENATE($D3849,$G3849),CSRFinput!$B:$E,4,0)=0,OR(H3849=MappingTables!$C$34,H3849=MappingTables!$C$35)),1,VLOOKUP(CONCATENATE($D3849,$G3849),CSRFinput!$B:$E,4,0))),0,IF(AND(VLOOKUP(CONCATENATE($D3849,$G3849),CSRFinput!$B:$E,4,0)=0,OR(H3849=MappingTables!$C$34,H3849=MappingTables!$C$35)),1,VLOOKUP(CONCATENATE($D3849,$G3849),CSRFinput!$B:$E,4,0)))</f>
        <v>0.054776304963434752</v>
      </c>
      <c r="W3849" s="85">
        <f>IF(B3849="",0,+$T3849*$V3849)</f>
        <v>27.092212541997016</v>
      </c>
      <c r="X3849" s="85">
        <f>IF(B3849="",0,IF(OR(H3849=MappingTables!$C$34,H3849=MappingTables!$C$35),W3849,0))</f>
        <v>0</v>
      </c>
    </row>
    <row r="3850" spans="2:24" s="0" customFormat="0" ht="15">
      <c r="B3850" s="69">
        <v>12057776</v>
      </c>
      <c r="C3850" s="70" t="s">
        <v>2954</v>
      </c>
      <c r="D3850" s="70" t="s">
        <v>1</v>
      </c>
      <c r="E3850" s="70" t="s">
        <v>1</v>
      </c>
      <c r="F3850" s="70"/>
      <c r="G3850" s="70" t="s">
        <v>61</v>
      </c>
      <c r="H3850" s="70" t="s">
        <v>178</v>
      </c>
      <c r="I3850" s="70" t="s">
        <v>188</v>
      </c>
      <c r="J3850" s="71">
        <f>IF(OR(I3850=0,I3850=""),"unrated",VLOOKUP(I3850,MappingTables!$B$19:$C$31,2,FALSE))</f>
        <v>2</v>
      </c>
      <c r="K3850" s="72">
        <v>201.94760298434396</v>
      </c>
      <c r="L3850" s="70">
        <v>0.39659743197364304</v>
      </c>
      <c r="M3850" s="71">
        <f>IF(L3850&lt;1,1,L3850)</f>
        <v>1</v>
      </c>
      <c r="N3850" s="70" t="s">
        <v>141</v>
      </c>
      <c r="O3850" s="71">
        <f>INDEX(DurClassMapping,MATCH(M3850,MappingTables!$D$4:$D$8,-1),1)</f>
        <v>1</v>
      </c>
      <c r="P3850" s="73">
        <f>IF(M3850=$A$1,1,$M3850-INDEX(MappingTables!$E$4:$E$8,MATCH(O3850,MappingTables!$B$4:$B$8,0)))</f>
        <v>1</v>
      </c>
      <c r="Q3850" s="71">
        <f>IF(B3850="",0,INDEX(ModelParameters!$D$6:$K$10,MATCH($O3850,ModelParameters!$B$6:$B$10,0),MATCH($J3850,ModelParameters!$D$5:$K$5,0)))</f>
        <v>0.013999999999999998</v>
      </c>
      <c r="R3850" s="71">
        <f>IF(B3850="",0,INDEX(ModelParameters!$D$13:$K$17,MATCH($O3850,ModelParameters!$B$13:$B$17,0),MATCH($J3850,ModelParameters!$D$5:$K$5,0)))</f>
        <v>0</v>
      </c>
      <c r="S3850" s="160">
        <f>IF(B3850="",0,MIN(IF($N3850="Other Bond TM",ModelParameters!$N$21,1)*(P3850*Q3850+R3850),1))</f>
        <v>0.013999999999999998</v>
      </c>
      <c r="T3850" s="85">
        <f>IF(B3850="",0,$S3850*$K3850)</f>
        <v>2.8272664417808148</v>
      </c>
      <c r="U3850" s="85">
        <f>IF(B3850="",0,IF(OR(H3850=MappingTables!$C$34,H3850=MappingTables!$C$35),T3850,0))</f>
        <v>0</v>
      </c>
      <c r="V3850" s="85">
        <f>IF(ISNA(IF(AND(VLOOKUP(CONCATENATE($D3850,$G3850),CSRFinput!$B:$E,4,0)=0,OR(H3850=MappingTables!$C$34,H3850=MappingTables!$C$35)),1,VLOOKUP(CONCATENATE($D3850,$G3850),CSRFinput!$B:$E,4,0))),0,IF(AND(VLOOKUP(CONCATENATE($D3850,$G3850),CSRFinput!$B:$E,4,0)=0,OR(H3850=MappingTables!$C$34,H3850=MappingTables!$C$35)),1,VLOOKUP(CONCATENATE($D3850,$G3850),CSRFinput!$B:$E,4,0)))</f>
        <v>0.054776304963434752</v>
      </c>
      <c r="W3850" s="85">
        <f>IF(B3850="",0,+$T3850*$V3850)</f>
        <v>0.15486720882787098</v>
      </c>
      <c r="X3850" s="85">
        <f>IF(B3850="",0,IF(OR(H3850=MappingTables!$C$34,H3850=MappingTables!$C$35),W3850,0))</f>
        <v>0</v>
      </c>
    </row>
    <row r="3851" spans="2:24" s="0" customFormat="0" ht="15">
      <c r="B3851" s="69">
        <v>3467211</v>
      </c>
      <c r="C3851" s="70" t="s">
        <v>2955</v>
      </c>
      <c r="D3851" s="70" t="s">
        <v>1</v>
      </c>
      <c r="E3851" s="70" t="s">
        <v>1</v>
      </c>
      <c r="F3851" s="70"/>
      <c r="G3851" s="70" t="s">
        <v>61</v>
      </c>
      <c r="H3851" s="70" t="s">
        <v>178</v>
      </c>
      <c r="I3851" s="70" t="s">
        <v>181</v>
      </c>
      <c r="J3851" s="71">
        <f>IF(OR(I3851=0,I3851=""),"unrated",VLOOKUP(I3851,MappingTables!$B$19:$C$31,2,FALSE))</f>
        <v>3</v>
      </c>
      <c r="K3851" s="72">
        <v>2819.1593693855308</v>
      </c>
      <c r="L3851" s="70">
        <v>0.29315047357265716</v>
      </c>
      <c r="M3851" s="71">
        <f>IF(L3851&lt;1,1,L3851)</f>
        <v>1</v>
      </c>
      <c r="N3851" s="70" t="s">
        <v>141</v>
      </c>
      <c r="O3851" s="71">
        <f>INDEX(DurClassMapping,MATCH(M3851,MappingTables!$D$4:$D$8,-1),1)</f>
        <v>1</v>
      </c>
      <c r="P3851" s="73">
        <f>IF(M3851=$A$1,1,$M3851-INDEX(MappingTables!$E$4:$E$8,MATCH(O3851,MappingTables!$B$4:$B$8,0)))</f>
        <v>1</v>
      </c>
      <c r="Q3851" s="71">
        <f>IF(B3851="",0,INDEX(ModelParameters!$D$6:$K$10,MATCH($O3851,ModelParameters!$B$6:$B$10,0),MATCH($J3851,ModelParameters!$D$5:$K$5,0)))</f>
        <v>0.025</v>
      </c>
      <c r="R3851" s="71">
        <f>IF(B3851="",0,INDEX(ModelParameters!$D$13:$K$17,MATCH($O3851,ModelParameters!$B$13:$B$17,0),MATCH($J3851,ModelParameters!$D$5:$K$5,0)))</f>
        <v>0</v>
      </c>
      <c r="S3851" s="160">
        <f>IF(B3851="",0,MIN(IF($N3851="Other Bond TM",ModelParameters!$N$21,1)*(P3851*Q3851+R3851),1))</f>
        <v>0.025</v>
      </c>
      <c r="T3851" s="85">
        <f>IF(B3851="",0,$S3851*$K3851)</f>
        <v>70.478984234638272</v>
      </c>
      <c r="U3851" s="85">
        <f>IF(B3851="",0,IF(OR(H3851=MappingTables!$C$34,H3851=MappingTables!$C$35),T3851,0))</f>
        <v>0</v>
      </c>
      <c r="V3851" s="85">
        <f>IF(ISNA(IF(AND(VLOOKUP(CONCATENATE($D3851,$G3851),CSRFinput!$B:$E,4,0)=0,OR(H3851=MappingTables!$C$34,H3851=MappingTables!$C$35)),1,VLOOKUP(CONCATENATE($D3851,$G3851),CSRFinput!$B:$E,4,0))),0,IF(AND(VLOOKUP(CONCATENATE($D3851,$G3851),CSRFinput!$B:$E,4,0)=0,OR(H3851=MappingTables!$C$34,H3851=MappingTables!$C$35)),1,VLOOKUP(CONCATENATE($D3851,$G3851),CSRFinput!$B:$E,4,0)))</f>
        <v>0.054776304963434752</v>
      </c>
      <c r="W3851" s="85">
        <f>IF(B3851="",0,+$T3851*$V3851)</f>
        <v>3.860578333949656</v>
      </c>
      <c r="X3851" s="85">
        <f>IF(B3851="",0,IF(OR(H3851=MappingTables!$C$34,H3851=MappingTables!$C$35),W3851,0))</f>
        <v>0</v>
      </c>
    </row>
    <row r="3852" spans="2:24" s="0" customFormat="0" ht="15">
      <c r="B3852" s="69">
        <v>23182456</v>
      </c>
      <c r="C3852" s="70" t="s">
        <v>843</v>
      </c>
      <c r="D3852" s="70" t="s">
        <v>1</v>
      </c>
      <c r="E3852" s="70" t="s">
        <v>1</v>
      </c>
      <c r="F3852" s="70"/>
      <c r="G3852" s="70" t="s">
        <v>61</v>
      </c>
      <c r="H3852" s="70" t="s">
        <v>178</v>
      </c>
      <c r="I3852" s="70" t="s">
        <v>179</v>
      </c>
      <c r="J3852" s="71">
        <f>IF(OR(I3852=0,I3852=""),"unrated",VLOOKUP(I3852,MappingTables!$B$19:$C$31,2,FALSE))</f>
        <v>4</v>
      </c>
      <c r="K3852" s="72">
        <v>92911.096710175872</v>
      </c>
      <c r="L3852" s="70">
        <v>5.7769626450723936</v>
      </c>
      <c r="M3852" s="71">
        <f>IF(L3852&lt;1,1,L3852)</f>
        <v>5.7769626450723936</v>
      </c>
      <c r="N3852" s="70" t="s">
        <v>141</v>
      </c>
      <c r="O3852" s="71">
        <f>INDEX(DurClassMapping,MATCH(M3852,MappingTables!$D$4:$D$8,-1),1)</f>
        <v>2</v>
      </c>
      <c r="P3852" s="73">
        <f>IF(M3852=$A$1,1,$M3852-INDEX(MappingTables!$E$4:$E$8,MATCH(O3852,MappingTables!$B$4:$B$8,0)))</f>
        <v>0.77696264507239392</v>
      </c>
      <c r="Q3852" s="71">
        <f>IF(B3852="",0,INDEX(ModelParameters!$D$6:$K$10,MATCH($O3852,ModelParameters!$B$6:$B$10,0),MATCH($J3852,ModelParameters!$D$5:$K$5,0)))</f>
        <v>0.025</v>
      </c>
      <c r="R3852" s="71">
        <f>IF(B3852="",0,INDEX(ModelParameters!$D$13:$K$17,MATCH($O3852,ModelParameters!$B$13:$B$17,0),MATCH($J3852,ModelParameters!$D$5:$K$5,0)))</f>
        <v>0.225</v>
      </c>
      <c r="S3852" s="160">
        <f>IF(B3852="",0,MIN(IF($N3852="Other Bond TM",ModelParameters!$N$21,1)*(P3852*Q3852+R3852),1))</f>
        <v>0.24442406612680988</v>
      </c>
      <c r="T3852" s="85">
        <f>IF(B3852="",0,$S3852*$K3852)</f>
        <v>22709.708046202452</v>
      </c>
      <c r="U3852" s="85">
        <f>IF(B3852="",0,IF(OR(H3852=MappingTables!$C$34,H3852=MappingTables!$C$35),T3852,0))</f>
        <v>0</v>
      </c>
      <c r="V3852" s="85">
        <f>IF(ISNA(IF(AND(VLOOKUP(CONCATENATE($D3852,$G3852),CSRFinput!$B:$E,4,0)=0,OR(H3852=MappingTables!$C$34,H3852=MappingTables!$C$35)),1,VLOOKUP(CONCATENATE($D3852,$G3852),CSRFinput!$B:$E,4,0))),0,IF(AND(VLOOKUP(CONCATENATE($D3852,$G3852),CSRFinput!$B:$E,4,0)=0,OR(H3852=MappingTables!$C$34,H3852=MappingTables!$C$35)),1,VLOOKUP(CONCATENATE($D3852,$G3852),CSRFinput!$B:$E,4,0)))</f>
        <v>0.054776304963434752</v>
      </c>
      <c r="W3852" s="85">
        <f>IF(B3852="",0,+$T3852*$V3852)</f>
        <v>1243.9538935693536</v>
      </c>
      <c r="X3852" s="85">
        <f>IF(B3852="",0,IF(OR(H3852=MappingTables!$C$34,H3852=MappingTables!$C$35),W3852,0))</f>
        <v>0</v>
      </c>
    </row>
    <row r="3853" spans="2:24" s="0" customFormat="0" ht="15">
      <c r="B3853" s="69" t="s">
        <v>2552</v>
      </c>
      <c r="C3853" s="70" t="s">
        <v>2553</v>
      </c>
      <c r="D3853" s="70" t="s">
        <v>1</v>
      </c>
      <c r="E3853" s="70" t="s">
        <v>1</v>
      </c>
      <c r="F3853" s="70"/>
      <c r="G3853" s="70" t="s">
        <v>61</v>
      </c>
      <c r="H3853" s="70" t="s">
        <v>178</v>
      </c>
      <c r="I3853" s="70" t="s">
        <v>181</v>
      </c>
      <c r="J3853" s="71">
        <f>IF(OR(I3853=0,I3853=""),"unrated",VLOOKUP(I3853,MappingTables!$B$19:$C$31,2,FALSE))</f>
        <v>3</v>
      </c>
      <c r="K3853" s="72">
        <v>6437.4098020822496</v>
      </c>
      <c r="L3853" s="70">
        <v>3.8550294003520872</v>
      </c>
      <c r="M3853" s="71">
        <f>IF(L3853&lt;1,1,L3853)</f>
        <v>3.8550294003520872</v>
      </c>
      <c r="N3853" s="70" t="s">
        <v>141</v>
      </c>
      <c r="O3853" s="71">
        <f>INDEX(DurClassMapping,MATCH(M3853,MappingTables!$D$4:$D$8,-1),1)</f>
        <v>1</v>
      </c>
      <c r="P3853" s="73">
        <f>IF(M3853=$A$1,1,$M3853-INDEX(MappingTables!$E$4:$E$8,MATCH(O3853,MappingTables!$B$4:$B$8,0)))</f>
        <v>3.8550294003520872</v>
      </c>
      <c r="Q3853" s="71">
        <f>IF(B3853="",0,INDEX(ModelParameters!$D$6:$K$10,MATCH($O3853,ModelParameters!$B$6:$B$10,0),MATCH($J3853,ModelParameters!$D$5:$K$5,0)))</f>
        <v>0.025</v>
      </c>
      <c r="R3853" s="71">
        <f>IF(B3853="",0,INDEX(ModelParameters!$D$13:$K$17,MATCH($O3853,ModelParameters!$B$13:$B$17,0),MATCH($J3853,ModelParameters!$D$5:$K$5,0)))</f>
        <v>0</v>
      </c>
      <c r="S3853" s="160">
        <f>IF(B3853="",0,MIN(IF($N3853="Other Bond TM",ModelParameters!$N$21,1)*(P3853*Q3853+R3853),1))</f>
        <v>0.096375735008802192</v>
      </c>
      <c r="T3853" s="85">
        <f>IF(B3853="",0,$S3853*$K3853)</f>
        <v>620.41010122854472</v>
      </c>
      <c r="U3853" s="85">
        <f>IF(B3853="",0,IF(OR(H3853=MappingTables!$C$34,H3853=MappingTables!$C$35),T3853,0))</f>
        <v>0</v>
      </c>
      <c r="V3853" s="85">
        <f>IF(ISNA(IF(AND(VLOOKUP(CONCATENATE($D3853,$G3853),CSRFinput!$B:$E,4,0)=0,OR(H3853=MappingTables!$C$34,H3853=MappingTables!$C$35)),1,VLOOKUP(CONCATENATE($D3853,$G3853),CSRFinput!$B:$E,4,0))),0,IF(AND(VLOOKUP(CONCATENATE($D3853,$G3853),CSRFinput!$B:$E,4,0)=0,OR(H3853=MappingTables!$C$34,H3853=MappingTables!$C$35)),1,VLOOKUP(CONCATENATE($D3853,$G3853),CSRFinput!$B:$E,4,0)))</f>
        <v>0.054776304963434752</v>
      </c>
      <c r="W3853" s="85">
        <f>IF(B3853="",0,+$T3853*$V3853)</f>
        <v>33.983772907290188</v>
      </c>
      <c r="X3853" s="85">
        <f>IF(B3853="",0,IF(OR(H3853=MappingTables!$C$34,H3853=MappingTables!$C$35),W3853,0))</f>
        <v>0</v>
      </c>
    </row>
    <row r="3854" spans="2:24" s="0" customFormat="0" ht="15">
      <c r="B3854" s="69">
        <v>19159975</v>
      </c>
      <c r="C3854" s="70" t="s">
        <v>2835</v>
      </c>
      <c r="D3854" s="70" t="s">
        <v>1</v>
      </c>
      <c r="E3854" s="70" t="s">
        <v>1</v>
      </c>
      <c r="F3854" s="70"/>
      <c r="G3854" s="70" t="s">
        <v>61</v>
      </c>
      <c r="H3854" s="70" t="s">
        <v>178</v>
      </c>
      <c r="I3854" s="70" t="s">
        <v>220</v>
      </c>
      <c r="J3854" s="71">
        <f>IF(OR(I3854=0,I3854=""),"unrated",VLOOKUP(I3854,MappingTables!$B$19:$C$31,2,FALSE))</f>
        <v>1</v>
      </c>
      <c r="K3854" s="72">
        <v>3.374442245207222</v>
      </c>
      <c r="L3854" s="70">
        <v>1.126900922378093</v>
      </c>
      <c r="M3854" s="71">
        <f>IF(L3854&lt;1,1,L3854)</f>
        <v>1.126900922378093</v>
      </c>
      <c r="N3854" s="70" t="s">
        <v>141</v>
      </c>
      <c r="O3854" s="71">
        <f>INDEX(DurClassMapping,MATCH(M3854,MappingTables!$D$4:$D$8,-1),1)</f>
        <v>1</v>
      </c>
      <c r="P3854" s="73">
        <f>IF(M3854=$A$1,1,$M3854-INDEX(MappingTables!$E$4:$E$8,MATCH(O3854,MappingTables!$B$4:$B$8,0)))</f>
        <v>1.126900922378093</v>
      </c>
      <c r="Q3854" s="71">
        <f>IF(B3854="",0,INDEX(ModelParameters!$D$6:$K$10,MATCH($O3854,ModelParameters!$B$6:$B$10,0),MATCH($J3854,ModelParameters!$D$5:$K$5,0)))</f>
        <v>0.011000000000000002</v>
      </c>
      <c r="R3854" s="71">
        <f>IF(B3854="",0,INDEX(ModelParameters!$D$13:$K$17,MATCH($O3854,ModelParameters!$B$13:$B$17,0),MATCH($J3854,ModelParameters!$D$5:$K$5,0)))</f>
        <v>0</v>
      </c>
      <c r="S3854" s="160">
        <f>IF(B3854="",0,MIN(IF($N3854="Other Bond TM",ModelParameters!$N$21,1)*(P3854*Q3854+R3854),1))</f>
        <v>0.012395910146159024</v>
      </c>
      <c r="T3854" s="85">
        <f>IF(B3854="",0,$S3854*$K3854)</f>
        <v>0.04182928286499184</v>
      </c>
      <c r="U3854" s="85">
        <f>IF(B3854="",0,IF(OR(H3854=MappingTables!$C$34,H3854=MappingTables!$C$35),T3854,0))</f>
        <v>0</v>
      </c>
      <c r="V3854" s="85">
        <f>IF(ISNA(IF(AND(VLOOKUP(CONCATENATE($D3854,$G3854),CSRFinput!$B:$E,4,0)=0,OR(H3854=MappingTables!$C$34,H3854=MappingTables!$C$35)),1,VLOOKUP(CONCATENATE($D3854,$G3854),CSRFinput!$B:$E,4,0))),0,IF(AND(VLOOKUP(CONCATENATE($D3854,$G3854),CSRFinput!$B:$E,4,0)=0,OR(H3854=MappingTables!$C$34,H3854=MappingTables!$C$35)),1,VLOOKUP(CONCATENATE($D3854,$G3854),CSRFinput!$B:$E,4,0)))</f>
        <v>0.054776304963434752</v>
      </c>
      <c r="W3854" s="85">
        <f>IF(B3854="",0,+$T3854*$V3854)</f>
        <v>0.0022912535546145688</v>
      </c>
      <c r="X3854" s="85">
        <f>IF(B3854="",0,IF(OR(H3854=MappingTables!$C$34,H3854=MappingTables!$C$35),W3854,0))</f>
        <v>0</v>
      </c>
    </row>
    <row r="3855" spans="2:24" s="0" customFormat="0" ht="15">
      <c r="B3855" s="69">
        <v>23207412</v>
      </c>
      <c r="C3855" s="70" t="s">
        <v>2589</v>
      </c>
      <c r="D3855" s="70" t="s">
        <v>1</v>
      </c>
      <c r="E3855" s="70" t="s">
        <v>1</v>
      </c>
      <c r="F3855" s="70"/>
      <c r="G3855" s="70" t="s">
        <v>61</v>
      </c>
      <c r="H3855" s="70" t="s">
        <v>178</v>
      </c>
      <c r="I3855" s="70" t="s">
        <v>188</v>
      </c>
      <c r="J3855" s="71">
        <f>IF(OR(I3855=0,I3855=""),"unrated",VLOOKUP(I3855,MappingTables!$B$19:$C$31,2,FALSE))</f>
        <v>2</v>
      </c>
      <c r="K3855" s="72">
        <v>302.3934365725148</v>
      </c>
      <c r="L3855" s="70">
        <v>0.32573847919125692</v>
      </c>
      <c r="M3855" s="71">
        <f>IF(L3855&lt;1,1,L3855)</f>
        <v>1</v>
      </c>
      <c r="N3855" s="70" t="s">
        <v>141</v>
      </c>
      <c r="O3855" s="71">
        <f>INDEX(DurClassMapping,MATCH(M3855,MappingTables!$D$4:$D$8,-1),1)</f>
        <v>1</v>
      </c>
      <c r="P3855" s="73">
        <f>IF(M3855=$A$1,1,$M3855-INDEX(MappingTables!$E$4:$E$8,MATCH(O3855,MappingTables!$B$4:$B$8,0)))</f>
        <v>1</v>
      </c>
      <c r="Q3855" s="71">
        <f>IF(B3855="",0,INDEX(ModelParameters!$D$6:$K$10,MATCH($O3855,ModelParameters!$B$6:$B$10,0),MATCH($J3855,ModelParameters!$D$5:$K$5,0)))</f>
        <v>0.013999999999999998</v>
      </c>
      <c r="R3855" s="71">
        <f>IF(B3855="",0,INDEX(ModelParameters!$D$13:$K$17,MATCH($O3855,ModelParameters!$B$13:$B$17,0),MATCH($J3855,ModelParameters!$D$5:$K$5,0)))</f>
        <v>0</v>
      </c>
      <c r="S3855" s="160">
        <f>IF(B3855="",0,MIN(IF($N3855="Other Bond TM",ModelParameters!$N$21,1)*(P3855*Q3855+R3855),1))</f>
        <v>0.013999999999999998</v>
      </c>
      <c r="T3855" s="85">
        <f>IF(B3855="",0,$S3855*$K3855)</f>
        <v>4.2335081120152072</v>
      </c>
      <c r="U3855" s="85">
        <f>IF(B3855="",0,IF(OR(H3855=MappingTables!$C$34,H3855=MappingTables!$C$35),T3855,0))</f>
        <v>0</v>
      </c>
      <c r="V3855" s="85">
        <f>IF(ISNA(IF(AND(VLOOKUP(CONCATENATE($D3855,$G3855),CSRFinput!$B:$E,4,0)=0,OR(H3855=MappingTables!$C$34,H3855=MappingTables!$C$35)),1,VLOOKUP(CONCATENATE($D3855,$G3855),CSRFinput!$B:$E,4,0))),0,IF(AND(VLOOKUP(CONCATENATE($D3855,$G3855),CSRFinput!$B:$E,4,0)=0,OR(H3855=MappingTables!$C$34,H3855=MappingTables!$C$35)),1,VLOOKUP(CONCATENATE($D3855,$G3855),CSRFinput!$B:$E,4,0)))</f>
        <v>0.054776304963434752</v>
      </c>
      <c r="W3855" s="85">
        <f>IF(B3855="",0,+$T3855*$V3855)</f>
        <v>0.23189593140891988</v>
      </c>
      <c r="X3855" s="85">
        <f>IF(B3855="",0,IF(OR(H3855=MappingTables!$C$34,H3855=MappingTables!$C$35),W3855,0))</f>
        <v>0</v>
      </c>
    </row>
    <row r="3856" spans="2:24" s="0" customFormat="0" ht="15">
      <c r="B3856" s="69">
        <v>12061918</v>
      </c>
      <c r="C3856" s="70" t="s">
        <v>2911</v>
      </c>
      <c r="D3856" s="70" t="s">
        <v>1</v>
      </c>
      <c r="E3856" s="70" t="s">
        <v>1</v>
      </c>
      <c r="F3856" s="70"/>
      <c r="G3856" s="70" t="s">
        <v>61</v>
      </c>
      <c r="H3856" s="70" t="s">
        <v>178</v>
      </c>
      <c r="I3856" s="70" t="s">
        <v>198</v>
      </c>
      <c r="J3856" s="71" t="str">
        <f>IF(OR(I3856=0,I3856=""),"unrated",VLOOKUP(I3856,MappingTables!$B$19:$C$31,2,FALSE))</f>
        <v>unrated</v>
      </c>
      <c r="K3856" s="72">
        <v>25.719084281109876</v>
      </c>
      <c r="L3856" s="70">
        <v>0.43835838994063584</v>
      </c>
      <c r="M3856" s="71">
        <f>IF(L3856&lt;1,1,L3856)</f>
        <v>1</v>
      </c>
      <c r="N3856" s="70" t="s">
        <v>141</v>
      </c>
      <c r="O3856" s="71">
        <f>INDEX(DurClassMapping,MATCH(M3856,MappingTables!$D$4:$D$8,-1),1)</f>
        <v>1</v>
      </c>
      <c r="P3856" s="73">
        <f>IF(M3856=$A$1,1,$M3856-INDEX(MappingTables!$E$4:$E$8,MATCH(O3856,MappingTables!$B$4:$B$8,0)))</f>
        <v>1</v>
      </c>
      <c r="Q3856" s="71">
        <f>IF(B3856="",0,INDEX(ModelParameters!$D$6:$K$10,MATCH($O3856,ModelParameters!$B$6:$B$10,0),MATCH($J3856,ModelParameters!$D$5:$K$5,0)))</f>
        <v>0.03</v>
      </c>
      <c r="R3856" s="71">
        <f>IF(B3856="",0,INDEX(ModelParameters!$D$13:$K$17,MATCH($O3856,ModelParameters!$B$13:$B$17,0),MATCH($J3856,ModelParameters!$D$5:$K$5,0)))</f>
        <v>0</v>
      </c>
      <c r="S3856" s="160">
        <f>IF(B3856="",0,MIN(IF($N3856="Other Bond TM",ModelParameters!$N$21,1)*(P3856*Q3856+R3856),1))</f>
        <v>0.03</v>
      </c>
      <c r="T3856" s="85">
        <f>IF(B3856="",0,$S3856*$K3856)</f>
        <v>0.77157252843329632</v>
      </c>
      <c r="U3856" s="85">
        <f>IF(B3856="",0,IF(OR(H3856=MappingTables!$C$34,H3856=MappingTables!$C$35),T3856,0))</f>
        <v>0</v>
      </c>
      <c r="V3856" s="85">
        <f>IF(ISNA(IF(AND(VLOOKUP(CONCATENATE($D3856,$G3856),CSRFinput!$B:$E,4,0)=0,OR(H3856=MappingTables!$C$34,H3856=MappingTables!$C$35)),1,VLOOKUP(CONCATENATE($D3856,$G3856),CSRFinput!$B:$E,4,0))),0,IF(AND(VLOOKUP(CONCATENATE($D3856,$G3856),CSRFinput!$B:$E,4,0)=0,OR(H3856=MappingTables!$C$34,H3856=MappingTables!$C$35)),1,VLOOKUP(CONCATENATE($D3856,$G3856),CSRFinput!$B:$E,4,0)))</f>
        <v>0.054776304963434752</v>
      </c>
      <c r="W3856" s="85">
        <f>IF(B3856="",0,+$T3856*$V3856)</f>
        <v>0.042263892118870664</v>
      </c>
      <c r="X3856" s="85">
        <f>IF(B3856="",0,IF(OR(H3856=MappingTables!$C$34,H3856=MappingTables!$C$35),W3856,0))</f>
        <v>0</v>
      </c>
    </row>
    <row r="3857" spans="2:24" s="0" customFormat="0" ht="15">
      <c r="B3857" s="69" t="s">
        <v>1912</v>
      </c>
      <c r="C3857" s="70" t="s">
        <v>1913</v>
      </c>
      <c r="D3857" s="70" t="s">
        <v>1</v>
      </c>
      <c r="E3857" s="70" t="s">
        <v>1</v>
      </c>
      <c r="F3857" s="70"/>
      <c r="G3857" s="70" t="s">
        <v>61</v>
      </c>
      <c r="H3857" s="70" t="s">
        <v>178</v>
      </c>
      <c r="I3857" s="70" t="s">
        <v>188</v>
      </c>
      <c r="J3857" s="71">
        <f>IF(OR(I3857=0,I3857=""),"unrated",VLOOKUP(I3857,MappingTables!$B$19:$C$31,2,FALSE))</f>
        <v>2</v>
      </c>
      <c r="K3857" s="72">
        <v>33.13705970289986</v>
      </c>
      <c r="L3857" s="70">
        <v>1.6264428995690554</v>
      </c>
      <c r="M3857" s="71">
        <f>IF(L3857&lt;1,1,L3857)</f>
        <v>1.6264428995690554</v>
      </c>
      <c r="N3857" s="70" t="s">
        <v>141</v>
      </c>
      <c r="O3857" s="71">
        <f>INDEX(DurClassMapping,MATCH(M3857,MappingTables!$D$4:$D$8,-1),1)</f>
        <v>1</v>
      </c>
      <c r="P3857" s="73">
        <f>IF(M3857=$A$1,1,$M3857-INDEX(MappingTables!$E$4:$E$8,MATCH(O3857,MappingTables!$B$4:$B$8,0)))</f>
        <v>1.6264428995690554</v>
      </c>
      <c r="Q3857" s="71">
        <f>IF(B3857="",0,INDEX(ModelParameters!$D$6:$K$10,MATCH($O3857,ModelParameters!$B$6:$B$10,0),MATCH($J3857,ModelParameters!$D$5:$K$5,0)))</f>
        <v>0.013999999999999998</v>
      </c>
      <c r="R3857" s="71">
        <f>IF(B3857="",0,INDEX(ModelParameters!$D$13:$K$17,MATCH($O3857,ModelParameters!$B$13:$B$17,0),MATCH($J3857,ModelParameters!$D$5:$K$5,0)))</f>
        <v>0</v>
      </c>
      <c r="S3857" s="160">
        <f>IF(B3857="",0,MIN(IF($N3857="Other Bond TM",ModelParameters!$N$21,1)*(P3857*Q3857+R3857),1))</f>
        <v>0.022770200593966772</v>
      </c>
      <c r="T3857" s="85">
        <f>IF(B3857="",0,$S3857*$K3857)</f>
        <v>0.75453749652928288</v>
      </c>
      <c r="U3857" s="85">
        <f>IF(B3857="",0,IF(OR(H3857=MappingTables!$C$34,H3857=MappingTables!$C$35),T3857,0))</f>
        <v>0</v>
      </c>
      <c r="V3857" s="85">
        <f>IF(ISNA(IF(AND(VLOOKUP(CONCATENATE($D3857,$G3857),CSRFinput!$B:$E,4,0)=0,OR(H3857=MappingTables!$C$34,H3857=MappingTables!$C$35)),1,VLOOKUP(CONCATENATE($D3857,$G3857),CSRFinput!$B:$E,4,0))),0,IF(AND(VLOOKUP(CONCATENATE($D3857,$G3857),CSRFinput!$B:$E,4,0)=0,OR(H3857=MappingTables!$C$34,H3857=MappingTables!$C$35)),1,VLOOKUP(CONCATENATE($D3857,$G3857),CSRFinput!$B:$E,4,0)))</f>
        <v>0.054776304963434752</v>
      </c>
      <c r="W3857" s="85">
        <f>IF(B3857="",0,+$T3857*$V3857)</f>
        <v>0.041330776016234592</v>
      </c>
      <c r="X3857" s="85">
        <f>IF(B3857="",0,IF(OR(H3857=MappingTables!$C$34,H3857=MappingTables!$C$35),W3857,0))</f>
        <v>0</v>
      </c>
    </row>
    <row r="3858" spans="2:24" s="0" customFormat="0" ht="15">
      <c r="B3858" s="69">
        <v>17771927</v>
      </c>
      <c r="C3858" s="70" t="s">
        <v>2956</v>
      </c>
      <c r="D3858" s="70" t="s">
        <v>1</v>
      </c>
      <c r="E3858" s="70" t="s">
        <v>1</v>
      </c>
      <c r="F3858" s="70"/>
      <c r="G3858" s="70" t="s">
        <v>61</v>
      </c>
      <c r="H3858" s="70" t="s">
        <v>178</v>
      </c>
      <c r="I3858" s="70" t="s">
        <v>181</v>
      </c>
      <c r="J3858" s="71">
        <f>IF(OR(I3858=0,I3858=""),"unrated",VLOOKUP(I3858,MappingTables!$B$19:$C$31,2,FALSE))</f>
        <v>3</v>
      </c>
      <c r="K3858" s="72">
        <v>2234.1325118309884</v>
      </c>
      <c r="L3858" s="70">
        <v>4.1214323322875552</v>
      </c>
      <c r="M3858" s="71">
        <f>IF(L3858&lt;1,1,L3858)</f>
        <v>4.1214323322875552</v>
      </c>
      <c r="N3858" s="70" t="s">
        <v>141</v>
      </c>
      <c r="O3858" s="71">
        <f>INDEX(DurClassMapping,MATCH(M3858,MappingTables!$D$4:$D$8,-1),1)</f>
        <v>1</v>
      </c>
      <c r="P3858" s="73">
        <f>IF(M3858=$A$1,1,$M3858-INDEX(MappingTables!$E$4:$E$8,MATCH(O3858,MappingTables!$B$4:$B$8,0)))</f>
        <v>4.1214323322875552</v>
      </c>
      <c r="Q3858" s="71">
        <f>IF(B3858="",0,INDEX(ModelParameters!$D$6:$K$10,MATCH($O3858,ModelParameters!$B$6:$B$10,0),MATCH($J3858,ModelParameters!$D$5:$K$5,0)))</f>
        <v>0.025</v>
      </c>
      <c r="R3858" s="71">
        <f>IF(B3858="",0,INDEX(ModelParameters!$D$13:$K$17,MATCH($O3858,ModelParameters!$B$13:$B$17,0),MATCH($J3858,ModelParameters!$D$5:$K$5,0)))</f>
        <v>0</v>
      </c>
      <c r="S3858" s="160">
        <f>IF(B3858="",0,MIN(IF($N3858="Other Bond TM",ModelParameters!$N$21,1)*(P3858*Q3858+R3858),1))</f>
        <v>0.1030358083071889</v>
      </c>
      <c r="T3858" s="85">
        <f>IF(B3858="",0,$S3858*$K3858)</f>
        <v>230.19564922187612</v>
      </c>
      <c r="U3858" s="85">
        <f>IF(B3858="",0,IF(OR(H3858=MappingTables!$C$34,H3858=MappingTables!$C$35),T3858,0))</f>
        <v>0</v>
      </c>
      <c r="V3858" s="85">
        <f>IF(ISNA(IF(AND(VLOOKUP(CONCATENATE($D3858,$G3858),CSRFinput!$B:$E,4,0)=0,OR(H3858=MappingTables!$C$34,H3858=MappingTables!$C$35)),1,VLOOKUP(CONCATENATE($D3858,$G3858),CSRFinput!$B:$E,4,0))),0,IF(AND(VLOOKUP(CONCATENATE($D3858,$G3858),CSRFinput!$B:$E,4,0)=0,OR(H3858=MappingTables!$C$34,H3858=MappingTables!$C$35)),1,VLOOKUP(CONCATENATE($D3858,$G3858),CSRFinput!$B:$E,4,0)))</f>
        <v>0.054776304963434752</v>
      </c>
      <c r="W3858" s="85">
        <f>IF(B3858="",0,+$T3858*$V3858)</f>
        <v>12.60926708303334</v>
      </c>
      <c r="X3858" s="85">
        <f>IF(B3858="",0,IF(OR(H3858=MappingTables!$C$34,H3858=MappingTables!$C$35),W3858,0))</f>
        <v>0</v>
      </c>
    </row>
    <row r="3859" spans="2:24" s="0" customFormat="0" ht="15">
      <c r="B3859" s="69">
        <v>18719309</v>
      </c>
      <c r="C3859" s="70" t="s">
        <v>2121</v>
      </c>
      <c r="D3859" s="70" t="s">
        <v>1</v>
      </c>
      <c r="E3859" s="70" t="s">
        <v>1</v>
      </c>
      <c r="F3859" s="70"/>
      <c r="G3859" s="70" t="s">
        <v>61</v>
      </c>
      <c r="H3859" s="70" t="s">
        <v>178</v>
      </c>
      <c r="I3859" s="70" t="s">
        <v>181</v>
      </c>
      <c r="J3859" s="71">
        <f>IF(OR(I3859=0,I3859=""),"unrated",VLOOKUP(I3859,MappingTables!$B$19:$C$31,2,FALSE))</f>
        <v>3</v>
      </c>
      <c r="K3859" s="72">
        <v>26.16988317612178</v>
      </c>
      <c r="L3859" s="70">
        <v>0.72877566356211184</v>
      </c>
      <c r="M3859" s="71">
        <f>IF(L3859&lt;1,1,L3859)</f>
        <v>1</v>
      </c>
      <c r="N3859" s="70" t="s">
        <v>141</v>
      </c>
      <c r="O3859" s="71">
        <f>INDEX(DurClassMapping,MATCH(M3859,MappingTables!$D$4:$D$8,-1),1)</f>
        <v>1</v>
      </c>
      <c r="P3859" s="73">
        <f>IF(M3859=$A$1,1,$M3859-INDEX(MappingTables!$E$4:$E$8,MATCH(O3859,MappingTables!$B$4:$B$8,0)))</f>
        <v>1</v>
      </c>
      <c r="Q3859" s="71">
        <f>IF(B3859="",0,INDEX(ModelParameters!$D$6:$K$10,MATCH($O3859,ModelParameters!$B$6:$B$10,0),MATCH($J3859,ModelParameters!$D$5:$K$5,0)))</f>
        <v>0.025</v>
      </c>
      <c r="R3859" s="71">
        <f>IF(B3859="",0,INDEX(ModelParameters!$D$13:$K$17,MATCH($O3859,ModelParameters!$B$13:$B$17,0),MATCH($J3859,ModelParameters!$D$5:$K$5,0)))</f>
        <v>0</v>
      </c>
      <c r="S3859" s="160">
        <f>IF(B3859="",0,MIN(IF($N3859="Other Bond TM",ModelParameters!$N$21,1)*(P3859*Q3859+R3859),1))</f>
        <v>0.025</v>
      </c>
      <c r="T3859" s="85">
        <f>IF(B3859="",0,$S3859*$K3859)</f>
        <v>0.65424707940304448</v>
      </c>
      <c r="U3859" s="85">
        <f>IF(B3859="",0,IF(OR(H3859=MappingTables!$C$34,H3859=MappingTables!$C$35),T3859,0))</f>
        <v>0</v>
      </c>
      <c r="V3859" s="85">
        <f>IF(ISNA(IF(AND(VLOOKUP(CONCATENATE($D3859,$G3859),CSRFinput!$B:$E,4,0)=0,OR(H3859=MappingTables!$C$34,H3859=MappingTables!$C$35)),1,VLOOKUP(CONCATENATE($D3859,$G3859),CSRFinput!$B:$E,4,0))),0,IF(AND(VLOOKUP(CONCATENATE($D3859,$G3859),CSRFinput!$B:$E,4,0)=0,OR(H3859=MappingTables!$C$34,H3859=MappingTables!$C$35)),1,VLOOKUP(CONCATENATE($D3859,$G3859),CSRFinput!$B:$E,4,0)))</f>
        <v>0.054776304963434752</v>
      </c>
      <c r="W3859" s="85">
        <f>IF(B3859="",0,+$T3859*$V3859)</f>
        <v>0.03583723754281768</v>
      </c>
      <c r="X3859" s="85">
        <f>IF(B3859="",0,IF(OR(H3859=MappingTables!$C$34,H3859=MappingTables!$C$35),W3859,0))</f>
        <v>0</v>
      </c>
    </row>
    <row r="3860" spans="2:24" s="0" customFormat="0" ht="15">
      <c r="B3860" s="69" t="s">
        <v>2343</v>
      </c>
      <c r="C3860" s="70" t="s">
        <v>2344</v>
      </c>
      <c r="D3860" s="70" t="s">
        <v>1</v>
      </c>
      <c r="E3860" s="70" t="s">
        <v>1</v>
      </c>
      <c r="F3860" s="70"/>
      <c r="G3860" s="70" t="s">
        <v>61</v>
      </c>
      <c r="H3860" s="70" t="s">
        <v>178</v>
      </c>
      <c r="I3860" s="70" t="s">
        <v>181</v>
      </c>
      <c r="J3860" s="71">
        <f>IF(OR(I3860=0,I3860=""),"unrated",VLOOKUP(I3860,MappingTables!$B$19:$C$31,2,FALSE))</f>
        <v>3</v>
      </c>
      <c r="K3860" s="72">
        <v>362.95738241266904</v>
      </c>
      <c r="L3860" s="70">
        <v>4.336149423853832</v>
      </c>
      <c r="M3860" s="71">
        <f>IF(L3860&lt;1,1,L3860)</f>
        <v>4.336149423853832</v>
      </c>
      <c r="N3860" s="70" t="s">
        <v>141</v>
      </c>
      <c r="O3860" s="71">
        <f>INDEX(DurClassMapping,MATCH(M3860,MappingTables!$D$4:$D$8,-1),1)</f>
        <v>1</v>
      </c>
      <c r="P3860" s="73">
        <f>IF(M3860=$A$1,1,$M3860-INDEX(MappingTables!$E$4:$E$8,MATCH(O3860,MappingTables!$B$4:$B$8,0)))</f>
        <v>4.336149423853832</v>
      </c>
      <c r="Q3860" s="71">
        <f>IF(B3860="",0,INDEX(ModelParameters!$D$6:$K$10,MATCH($O3860,ModelParameters!$B$6:$B$10,0),MATCH($J3860,ModelParameters!$D$5:$K$5,0)))</f>
        <v>0.025</v>
      </c>
      <c r="R3860" s="71">
        <f>IF(B3860="",0,INDEX(ModelParameters!$D$13:$K$17,MATCH($O3860,ModelParameters!$B$13:$B$17,0),MATCH($J3860,ModelParameters!$D$5:$K$5,0)))</f>
        <v>0</v>
      </c>
      <c r="S3860" s="160">
        <f>IF(B3860="",0,MIN(IF($N3860="Other Bond TM",ModelParameters!$N$21,1)*(P3860*Q3860+R3860),1))</f>
        <v>0.1084037355963458</v>
      </c>
      <c r="T3860" s="85">
        <f>IF(B3860="",0,$S3860*$K3860)</f>
        <v>39.345936115804744</v>
      </c>
      <c r="U3860" s="85">
        <f>IF(B3860="",0,IF(OR(H3860=MappingTables!$C$34,H3860=MappingTables!$C$35),T3860,0))</f>
        <v>0</v>
      </c>
      <c r="V3860" s="85">
        <f>IF(ISNA(IF(AND(VLOOKUP(CONCATENATE($D3860,$G3860),CSRFinput!$B:$E,4,0)=0,OR(H3860=MappingTables!$C$34,H3860=MappingTables!$C$35)),1,VLOOKUP(CONCATENATE($D3860,$G3860),CSRFinput!$B:$E,4,0))),0,IF(AND(VLOOKUP(CONCATENATE($D3860,$G3860),CSRFinput!$B:$E,4,0)=0,OR(H3860=MappingTables!$C$34,H3860=MappingTables!$C$35)),1,VLOOKUP(CONCATENATE($D3860,$G3860),CSRFinput!$B:$E,4,0)))</f>
        <v>0.054776304963434752</v>
      </c>
      <c r="W3860" s="85">
        <f>IF(B3860="",0,+$T3860*$V3860)</f>
        <v>2.1552249957511424</v>
      </c>
      <c r="X3860" s="85">
        <f>IF(B3860="",0,IF(OR(H3860=MappingTables!$C$34,H3860=MappingTables!$C$35),W3860,0))</f>
        <v>0</v>
      </c>
    </row>
    <row r="3861" spans="2:24" s="0" customFormat="0" ht="15">
      <c r="B3861" s="69">
        <v>21007288</v>
      </c>
      <c r="C3861" s="70" t="s">
        <v>2957</v>
      </c>
      <c r="D3861" s="70" t="s">
        <v>1</v>
      </c>
      <c r="E3861" s="70" t="s">
        <v>1</v>
      </c>
      <c r="F3861" s="70"/>
      <c r="G3861" s="70" t="s">
        <v>61</v>
      </c>
      <c r="H3861" s="70" t="s">
        <v>178</v>
      </c>
      <c r="I3861" s="70" t="s">
        <v>181</v>
      </c>
      <c r="J3861" s="71">
        <f>IF(OR(I3861=0,I3861=""),"unrated",VLOOKUP(I3861,MappingTables!$B$19:$C$31,2,FALSE))</f>
        <v>3</v>
      </c>
      <c r="K3861" s="72">
        <v>104.78007571722374</v>
      </c>
      <c r="L3861" s="70">
        <v>3.5693867870888036</v>
      </c>
      <c r="M3861" s="71">
        <f>IF(L3861&lt;1,1,L3861)</f>
        <v>3.5693867870888036</v>
      </c>
      <c r="N3861" s="70" t="s">
        <v>141</v>
      </c>
      <c r="O3861" s="71">
        <f>INDEX(DurClassMapping,MATCH(M3861,MappingTables!$D$4:$D$8,-1),1)</f>
        <v>1</v>
      </c>
      <c r="P3861" s="73">
        <f>IF(M3861=$A$1,1,$M3861-INDEX(MappingTables!$E$4:$E$8,MATCH(O3861,MappingTables!$B$4:$B$8,0)))</f>
        <v>3.5693867870888036</v>
      </c>
      <c r="Q3861" s="71">
        <f>IF(B3861="",0,INDEX(ModelParameters!$D$6:$K$10,MATCH($O3861,ModelParameters!$B$6:$B$10,0),MATCH($J3861,ModelParameters!$D$5:$K$5,0)))</f>
        <v>0.025</v>
      </c>
      <c r="R3861" s="71">
        <f>IF(B3861="",0,INDEX(ModelParameters!$D$13:$K$17,MATCH($O3861,ModelParameters!$B$13:$B$17,0),MATCH($J3861,ModelParameters!$D$5:$K$5,0)))</f>
        <v>0</v>
      </c>
      <c r="S3861" s="160">
        <f>IF(B3861="",0,MIN(IF($N3861="Other Bond TM",ModelParameters!$N$21,1)*(P3861*Q3861+R3861),1))</f>
        <v>0.089234669677220096</v>
      </c>
      <c r="T3861" s="85">
        <f>IF(B3861="",0,$S3861*$K3861)</f>
        <v>9.3500154453805712</v>
      </c>
      <c r="U3861" s="85">
        <f>IF(B3861="",0,IF(OR(H3861=MappingTables!$C$34,H3861=MappingTables!$C$35),T3861,0))</f>
        <v>0</v>
      </c>
      <c r="V3861" s="85">
        <f>IF(ISNA(IF(AND(VLOOKUP(CONCATENATE($D3861,$G3861),CSRFinput!$B:$E,4,0)=0,OR(H3861=MappingTables!$C$34,H3861=MappingTables!$C$35)),1,VLOOKUP(CONCATENATE($D3861,$G3861),CSRFinput!$B:$E,4,0))),0,IF(AND(VLOOKUP(CONCATENATE($D3861,$G3861),CSRFinput!$B:$E,4,0)=0,OR(H3861=MappingTables!$C$34,H3861=MappingTables!$C$35)),1,VLOOKUP(CONCATENATE($D3861,$G3861),CSRFinput!$B:$E,4,0)))</f>
        <v>0.054776304963434752</v>
      </c>
      <c r="W3861" s="85">
        <f>IF(B3861="",0,+$T3861*$V3861)</f>
        <v>0.51215929744899136</v>
      </c>
      <c r="X3861" s="85">
        <f>IF(B3861="",0,IF(OR(H3861=MappingTables!$C$34,H3861=MappingTables!$C$35),W3861,0))</f>
        <v>0</v>
      </c>
    </row>
    <row r="3862" spans="2:24" s="0" customFormat="0" ht="15">
      <c r="B3862" s="69">
        <v>12828179</v>
      </c>
      <c r="C3862" s="70" t="s">
        <v>832</v>
      </c>
      <c r="D3862" s="70" t="s">
        <v>1</v>
      </c>
      <c r="E3862" s="70" t="s">
        <v>1</v>
      </c>
      <c r="F3862" s="70"/>
      <c r="G3862" s="70" t="s">
        <v>61</v>
      </c>
      <c r="H3862" s="70" t="s">
        <v>178</v>
      </c>
      <c r="I3862" s="70" t="s">
        <v>179</v>
      </c>
      <c r="J3862" s="71">
        <f>IF(OR(I3862=0,I3862=""),"unrated",VLOOKUP(I3862,MappingTables!$B$19:$C$31,2,FALSE))</f>
        <v>4</v>
      </c>
      <c r="K3862" s="72">
        <v>415.98357743218472</v>
      </c>
      <c r="L3862" s="70">
        <v>0.83670881114545424</v>
      </c>
      <c r="M3862" s="71">
        <f>IF(L3862&lt;1,1,L3862)</f>
        <v>1</v>
      </c>
      <c r="N3862" s="70" t="s">
        <v>141</v>
      </c>
      <c r="O3862" s="71">
        <f>INDEX(DurClassMapping,MATCH(M3862,MappingTables!$D$4:$D$8,-1),1)</f>
        <v>1</v>
      </c>
      <c r="P3862" s="73">
        <f>IF(M3862=$A$1,1,$M3862-INDEX(MappingTables!$E$4:$E$8,MATCH(O3862,MappingTables!$B$4:$B$8,0)))</f>
        <v>1</v>
      </c>
      <c r="Q3862" s="71">
        <f>IF(B3862="",0,INDEX(ModelParameters!$D$6:$K$10,MATCH($O3862,ModelParameters!$B$6:$B$10,0),MATCH($J3862,ModelParameters!$D$5:$K$5,0)))</f>
        <v>0.045</v>
      </c>
      <c r="R3862" s="71">
        <f>IF(B3862="",0,INDEX(ModelParameters!$D$13:$K$17,MATCH($O3862,ModelParameters!$B$13:$B$17,0),MATCH($J3862,ModelParameters!$D$5:$K$5,0)))</f>
        <v>0</v>
      </c>
      <c r="S3862" s="160">
        <f>IF(B3862="",0,MIN(IF($N3862="Other Bond TM",ModelParameters!$N$21,1)*(P3862*Q3862+R3862),1))</f>
        <v>0.045</v>
      </c>
      <c r="T3862" s="85">
        <f>IF(B3862="",0,$S3862*$K3862)</f>
        <v>18.719260984448312</v>
      </c>
      <c r="U3862" s="85">
        <f>IF(B3862="",0,IF(OR(H3862=MappingTables!$C$34,H3862=MappingTables!$C$35),T3862,0))</f>
        <v>0</v>
      </c>
      <c r="V3862" s="85">
        <f>IF(ISNA(IF(AND(VLOOKUP(CONCATENATE($D3862,$G3862),CSRFinput!$B:$E,4,0)=0,OR(H3862=MappingTables!$C$34,H3862=MappingTables!$C$35)),1,VLOOKUP(CONCATENATE($D3862,$G3862),CSRFinput!$B:$E,4,0))),0,IF(AND(VLOOKUP(CONCATENATE($D3862,$G3862),CSRFinput!$B:$E,4,0)=0,OR(H3862=MappingTables!$C$34,H3862=MappingTables!$C$35)),1,VLOOKUP(CONCATENATE($D3862,$G3862),CSRFinput!$B:$E,4,0)))</f>
        <v>0.054776304963434752</v>
      </c>
      <c r="W3862" s="85">
        <f>IF(B3862="",0,+$T3862*$V3862)</f>
        <v>1.0253719483742664</v>
      </c>
      <c r="X3862" s="85">
        <f>IF(B3862="",0,IF(OR(H3862=MappingTables!$C$34,H3862=MappingTables!$C$35),W3862,0))</f>
        <v>0</v>
      </c>
    </row>
    <row r="3863" spans="2:24" s="0" customFormat="0" ht="15">
      <c r="B3863" s="69" t="s">
        <v>1984</v>
      </c>
      <c r="C3863" s="70" t="s">
        <v>1985</v>
      </c>
      <c r="D3863" s="70" t="s">
        <v>1</v>
      </c>
      <c r="E3863" s="70" t="s">
        <v>1</v>
      </c>
      <c r="F3863" s="70"/>
      <c r="G3863" s="70" t="s">
        <v>61</v>
      </c>
      <c r="H3863" s="70" t="s">
        <v>178</v>
      </c>
      <c r="I3863" s="70" t="s">
        <v>220</v>
      </c>
      <c r="J3863" s="71">
        <f>IF(OR(I3863=0,I3863=""),"unrated",VLOOKUP(I3863,MappingTables!$B$19:$C$31,2,FALSE))</f>
        <v>1</v>
      </c>
      <c r="K3863" s="72">
        <v>37.480102036312152</v>
      </c>
      <c r="L3863" s="70">
        <v>0.75815828920168928</v>
      </c>
      <c r="M3863" s="71">
        <f>IF(L3863&lt;1,1,L3863)</f>
        <v>1</v>
      </c>
      <c r="N3863" s="70" t="s">
        <v>141</v>
      </c>
      <c r="O3863" s="71">
        <f>INDEX(DurClassMapping,MATCH(M3863,MappingTables!$D$4:$D$8,-1),1)</f>
        <v>1</v>
      </c>
      <c r="P3863" s="73">
        <f>IF(M3863=$A$1,1,$M3863-INDEX(MappingTables!$E$4:$E$8,MATCH(O3863,MappingTables!$B$4:$B$8,0)))</f>
        <v>1</v>
      </c>
      <c r="Q3863" s="71">
        <f>IF(B3863="",0,INDEX(ModelParameters!$D$6:$K$10,MATCH($O3863,ModelParameters!$B$6:$B$10,0),MATCH($J3863,ModelParameters!$D$5:$K$5,0)))</f>
        <v>0.011000000000000002</v>
      </c>
      <c r="R3863" s="71">
        <f>IF(B3863="",0,INDEX(ModelParameters!$D$13:$K$17,MATCH($O3863,ModelParameters!$B$13:$B$17,0),MATCH($J3863,ModelParameters!$D$5:$K$5,0)))</f>
        <v>0</v>
      </c>
      <c r="S3863" s="160">
        <f>IF(B3863="",0,MIN(IF($N3863="Other Bond TM",ModelParameters!$N$21,1)*(P3863*Q3863+R3863),1))</f>
        <v>0.011000000000000002</v>
      </c>
      <c r="T3863" s="85">
        <f>IF(B3863="",0,$S3863*$K3863)</f>
        <v>0.41228112239943368</v>
      </c>
      <c r="U3863" s="85">
        <f>IF(B3863="",0,IF(OR(H3863=MappingTables!$C$34,H3863=MappingTables!$C$35),T3863,0))</f>
        <v>0</v>
      </c>
      <c r="V3863" s="85">
        <f>IF(ISNA(IF(AND(VLOOKUP(CONCATENATE($D3863,$G3863),CSRFinput!$B:$E,4,0)=0,OR(H3863=MappingTables!$C$34,H3863=MappingTables!$C$35)),1,VLOOKUP(CONCATENATE($D3863,$G3863),CSRFinput!$B:$E,4,0))),0,IF(AND(VLOOKUP(CONCATENATE($D3863,$G3863),CSRFinput!$B:$E,4,0)=0,OR(H3863=MappingTables!$C$34,H3863=MappingTables!$C$35)),1,VLOOKUP(CONCATENATE($D3863,$G3863),CSRFinput!$B:$E,4,0)))</f>
        <v>0.054776304963434752</v>
      </c>
      <c r="W3863" s="85">
        <f>IF(B3863="",0,+$T3863*$V3863)</f>
        <v>0.022583236491218552</v>
      </c>
      <c r="X3863" s="85">
        <f>IF(B3863="",0,IF(OR(H3863=MappingTables!$C$34,H3863=MappingTables!$C$35),W3863,0))</f>
        <v>0</v>
      </c>
    </row>
    <row r="3864" spans="2:24" s="0" customFormat="0" ht="15">
      <c r="B3864" s="69">
        <v>14723457</v>
      </c>
      <c r="C3864" s="70" t="s">
        <v>2517</v>
      </c>
      <c r="D3864" s="70" t="s">
        <v>1</v>
      </c>
      <c r="E3864" s="70" t="s">
        <v>1</v>
      </c>
      <c r="F3864" s="70"/>
      <c r="G3864" s="70" t="s">
        <v>61</v>
      </c>
      <c r="H3864" s="70" t="s">
        <v>178</v>
      </c>
      <c r="I3864" s="70" t="s">
        <v>188</v>
      </c>
      <c r="J3864" s="71">
        <f>IF(OR(I3864=0,I3864=""),"unrated",VLOOKUP(I3864,MappingTables!$B$19:$C$31,2,FALSE))</f>
        <v>2</v>
      </c>
      <c r="K3864" s="72">
        <v>558.85816931371344</v>
      </c>
      <c r="L3864" s="70">
        <v>0.62645607607279096</v>
      </c>
      <c r="M3864" s="71">
        <f>IF(L3864&lt;1,1,L3864)</f>
        <v>1</v>
      </c>
      <c r="N3864" s="70" t="s">
        <v>141</v>
      </c>
      <c r="O3864" s="71">
        <f>INDEX(DurClassMapping,MATCH(M3864,MappingTables!$D$4:$D$8,-1),1)</f>
        <v>1</v>
      </c>
      <c r="P3864" s="73">
        <f>IF(M3864=$A$1,1,$M3864-INDEX(MappingTables!$E$4:$E$8,MATCH(O3864,MappingTables!$B$4:$B$8,0)))</f>
        <v>1</v>
      </c>
      <c r="Q3864" s="71">
        <f>IF(B3864="",0,INDEX(ModelParameters!$D$6:$K$10,MATCH($O3864,ModelParameters!$B$6:$B$10,0),MATCH($J3864,ModelParameters!$D$5:$K$5,0)))</f>
        <v>0.013999999999999998</v>
      </c>
      <c r="R3864" s="71">
        <f>IF(B3864="",0,INDEX(ModelParameters!$D$13:$K$17,MATCH($O3864,ModelParameters!$B$13:$B$17,0),MATCH($J3864,ModelParameters!$D$5:$K$5,0)))</f>
        <v>0</v>
      </c>
      <c r="S3864" s="160">
        <f>IF(B3864="",0,MIN(IF($N3864="Other Bond TM",ModelParameters!$N$21,1)*(P3864*Q3864+R3864),1))</f>
        <v>0.013999999999999998</v>
      </c>
      <c r="T3864" s="85">
        <f>IF(B3864="",0,$S3864*$K3864)</f>
        <v>7.8240143703919872</v>
      </c>
      <c r="U3864" s="85">
        <f>IF(B3864="",0,IF(OR(H3864=MappingTables!$C$34,H3864=MappingTables!$C$35),T3864,0))</f>
        <v>0</v>
      </c>
      <c r="V3864" s="85">
        <f>IF(ISNA(IF(AND(VLOOKUP(CONCATENATE($D3864,$G3864),CSRFinput!$B:$E,4,0)=0,OR(H3864=MappingTables!$C$34,H3864=MappingTables!$C$35)),1,VLOOKUP(CONCATENATE($D3864,$G3864),CSRFinput!$B:$E,4,0))),0,IF(AND(VLOOKUP(CONCATENATE($D3864,$G3864),CSRFinput!$B:$E,4,0)=0,OR(H3864=MappingTables!$C$34,H3864=MappingTables!$C$35)),1,VLOOKUP(CONCATENATE($D3864,$G3864),CSRFinput!$B:$E,4,0)))</f>
        <v>0.054776304963434752</v>
      </c>
      <c r="W3864" s="85">
        <f>IF(B3864="",0,+$T3864*$V3864)</f>
        <v>0.42857059719088744</v>
      </c>
      <c r="X3864" s="85">
        <f>IF(B3864="",0,IF(OR(H3864=MappingTables!$C$34,H3864=MappingTables!$C$35),W3864,0))</f>
        <v>0</v>
      </c>
    </row>
    <row r="3865" spans="2:24" s="0" customFormat="0" ht="15">
      <c r="B3865" s="69">
        <v>17411519</v>
      </c>
      <c r="C3865" s="70" t="s">
        <v>2443</v>
      </c>
      <c r="D3865" s="70" t="s">
        <v>1</v>
      </c>
      <c r="E3865" s="70" t="s">
        <v>1</v>
      </c>
      <c r="F3865" s="70"/>
      <c r="G3865" s="70" t="s">
        <v>61</v>
      </c>
      <c r="H3865" s="70" t="s">
        <v>178</v>
      </c>
      <c r="I3865" s="70" t="s">
        <v>181</v>
      </c>
      <c r="J3865" s="71">
        <f>IF(OR(I3865=0,I3865=""),"unrated",VLOOKUP(I3865,MappingTables!$B$19:$C$31,2,FALSE))</f>
        <v>3</v>
      </c>
      <c r="K3865" s="72">
        <v>437.62666638658392</v>
      </c>
      <c r="L3865" s="70">
        <v>0.56110483377185728</v>
      </c>
      <c r="M3865" s="71">
        <f>IF(L3865&lt;1,1,L3865)</f>
        <v>1</v>
      </c>
      <c r="N3865" s="70" t="s">
        <v>141</v>
      </c>
      <c r="O3865" s="71">
        <f>INDEX(DurClassMapping,MATCH(M3865,MappingTables!$D$4:$D$8,-1),1)</f>
        <v>1</v>
      </c>
      <c r="P3865" s="73">
        <f>IF(M3865=$A$1,1,$M3865-INDEX(MappingTables!$E$4:$E$8,MATCH(O3865,MappingTables!$B$4:$B$8,0)))</f>
        <v>1</v>
      </c>
      <c r="Q3865" s="71">
        <f>IF(B3865="",0,INDEX(ModelParameters!$D$6:$K$10,MATCH($O3865,ModelParameters!$B$6:$B$10,0),MATCH($J3865,ModelParameters!$D$5:$K$5,0)))</f>
        <v>0.025</v>
      </c>
      <c r="R3865" s="71">
        <f>IF(B3865="",0,INDEX(ModelParameters!$D$13:$K$17,MATCH($O3865,ModelParameters!$B$13:$B$17,0),MATCH($J3865,ModelParameters!$D$5:$K$5,0)))</f>
        <v>0</v>
      </c>
      <c r="S3865" s="160">
        <f>IF(B3865="",0,MIN(IF($N3865="Other Bond TM",ModelParameters!$N$21,1)*(P3865*Q3865+R3865),1))</f>
        <v>0.025</v>
      </c>
      <c r="T3865" s="85">
        <f>IF(B3865="",0,$S3865*$K3865)</f>
        <v>10.940666659664598</v>
      </c>
      <c r="U3865" s="85">
        <f>IF(B3865="",0,IF(OR(H3865=MappingTables!$C$34,H3865=MappingTables!$C$35),T3865,0))</f>
        <v>0</v>
      </c>
      <c r="V3865" s="85">
        <f>IF(ISNA(IF(AND(VLOOKUP(CONCATENATE($D3865,$G3865),CSRFinput!$B:$E,4,0)=0,OR(H3865=MappingTables!$C$34,H3865=MappingTables!$C$35)),1,VLOOKUP(CONCATENATE($D3865,$G3865),CSRFinput!$B:$E,4,0))),0,IF(AND(VLOOKUP(CONCATENATE($D3865,$G3865),CSRFinput!$B:$E,4,0)=0,OR(H3865=MappingTables!$C$34,H3865=MappingTables!$C$35)),1,VLOOKUP(CONCATENATE($D3865,$G3865),CSRFinput!$B:$E,4,0)))</f>
        <v>0.054776304963434752</v>
      </c>
      <c r="W3865" s="85">
        <f>IF(B3865="",0,+$T3865*$V3865)</f>
        <v>0.59928929345307112</v>
      </c>
      <c r="X3865" s="85">
        <f>IF(B3865="",0,IF(OR(H3865=MappingTables!$C$34,H3865=MappingTables!$C$35),W3865,0))</f>
        <v>0</v>
      </c>
    </row>
    <row r="3866" spans="2:24" s="0" customFormat="0" ht="15">
      <c r="B3866" s="69">
        <v>14383860</v>
      </c>
      <c r="C3866" s="70" t="s">
        <v>2958</v>
      </c>
      <c r="D3866" s="70" t="s">
        <v>1</v>
      </c>
      <c r="E3866" s="70" t="s">
        <v>1</v>
      </c>
      <c r="F3866" s="70"/>
      <c r="G3866" s="70" t="s">
        <v>61</v>
      </c>
      <c r="H3866" s="70" t="s">
        <v>178</v>
      </c>
      <c r="I3866" s="70" t="s">
        <v>179</v>
      </c>
      <c r="J3866" s="71">
        <f>IF(OR(I3866=0,I3866=""),"unrated",VLOOKUP(I3866,MappingTables!$B$19:$C$31,2,FALSE))</f>
        <v>4</v>
      </c>
      <c r="K3866" s="72">
        <v>3158.7320260184148</v>
      </c>
      <c r="L3866" s="70">
        <v>6.8524717865540776</v>
      </c>
      <c r="M3866" s="71">
        <f>IF(L3866&lt;1,1,L3866)</f>
        <v>6.8524717865540776</v>
      </c>
      <c r="N3866" s="70" t="s">
        <v>141</v>
      </c>
      <c r="O3866" s="71">
        <f>INDEX(DurClassMapping,MATCH(M3866,MappingTables!$D$4:$D$8,-1),1)</f>
        <v>2</v>
      </c>
      <c r="P3866" s="73">
        <f>IF(M3866=$A$1,1,$M3866-INDEX(MappingTables!$E$4:$E$8,MATCH(O3866,MappingTables!$B$4:$B$8,0)))</f>
        <v>1.8524717865540776</v>
      </c>
      <c r="Q3866" s="71">
        <f>IF(B3866="",0,INDEX(ModelParameters!$D$6:$K$10,MATCH($O3866,ModelParameters!$B$6:$B$10,0),MATCH($J3866,ModelParameters!$D$5:$K$5,0)))</f>
        <v>0.025</v>
      </c>
      <c r="R3866" s="71">
        <f>IF(B3866="",0,INDEX(ModelParameters!$D$13:$K$17,MATCH($O3866,ModelParameters!$B$13:$B$17,0),MATCH($J3866,ModelParameters!$D$5:$K$5,0)))</f>
        <v>0.225</v>
      </c>
      <c r="S3866" s="160">
        <f>IF(B3866="",0,MIN(IF($N3866="Other Bond TM",ModelParameters!$N$21,1)*(P3866*Q3866+R3866),1))</f>
        <v>0.27131179466385192</v>
      </c>
      <c r="T3866" s="85">
        <f>IF(B3866="",0,$S3866*$K3866)</f>
        <v>857.00125484124096</v>
      </c>
      <c r="U3866" s="85">
        <f>IF(B3866="",0,IF(OR(H3866=MappingTables!$C$34,H3866=MappingTables!$C$35),T3866,0))</f>
        <v>0</v>
      </c>
      <c r="V3866" s="85">
        <f>IF(ISNA(IF(AND(VLOOKUP(CONCATENATE($D3866,$G3866),CSRFinput!$B:$E,4,0)=0,OR(H3866=MappingTables!$C$34,H3866=MappingTables!$C$35)),1,VLOOKUP(CONCATENATE($D3866,$G3866),CSRFinput!$B:$E,4,0))),0,IF(AND(VLOOKUP(CONCATENATE($D3866,$G3866),CSRFinput!$B:$E,4,0)=0,OR(H3866=MappingTables!$C$34,H3866=MappingTables!$C$35)),1,VLOOKUP(CONCATENATE($D3866,$G3866),CSRFinput!$B:$E,4,0)))</f>
        <v>0.054776304963434752</v>
      </c>
      <c r="W3866" s="85">
        <f>IF(B3866="",0,+$T3866*$V3866)</f>
        <v>46.943362089230088</v>
      </c>
      <c r="X3866" s="85">
        <f>IF(B3866="",0,IF(OR(H3866=MappingTables!$C$34,H3866=MappingTables!$C$35),W3866,0))</f>
        <v>0</v>
      </c>
    </row>
    <row r="3867" spans="2:24" s="0" customFormat="0" ht="15">
      <c r="B3867" s="69">
        <v>11645329</v>
      </c>
      <c r="C3867" s="70" t="s">
        <v>2194</v>
      </c>
      <c r="D3867" s="70" t="s">
        <v>1</v>
      </c>
      <c r="E3867" s="70" t="s">
        <v>1</v>
      </c>
      <c r="F3867" s="70"/>
      <c r="G3867" s="70" t="s">
        <v>61</v>
      </c>
      <c r="H3867" s="70" t="s">
        <v>178</v>
      </c>
      <c r="I3867" s="70" t="s">
        <v>181</v>
      </c>
      <c r="J3867" s="71">
        <f>IF(OR(I3867=0,I3867=""),"unrated",VLOOKUP(I3867,MappingTables!$B$19:$C$31,2,FALSE))</f>
        <v>3</v>
      </c>
      <c r="K3867" s="72">
        <v>8666.262346987272</v>
      </c>
      <c r="L3867" s="70">
        <v>0.63312481376621768</v>
      </c>
      <c r="M3867" s="71">
        <f>IF(L3867&lt;1,1,L3867)</f>
        <v>1</v>
      </c>
      <c r="N3867" s="70" t="s">
        <v>141</v>
      </c>
      <c r="O3867" s="71">
        <f>INDEX(DurClassMapping,MATCH(M3867,MappingTables!$D$4:$D$8,-1),1)</f>
        <v>1</v>
      </c>
      <c r="P3867" s="73">
        <f>IF(M3867=$A$1,1,$M3867-INDEX(MappingTables!$E$4:$E$8,MATCH(O3867,MappingTables!$B$4:$B$8,0)))</f>
        <v>1</v>
      </c>
      <c r="Q3867" s="71">
        <f>IF(B3867="",0,INDEX(ModelParameters!$D$6:$K$10,MATCH($O3867,ModelParameters!$B$6:$B$10,0),MATCH($J3867,ModelParameters!$D$5:$K$5,0)))</f>
        <v>0.025</v>
      </c>
      <c r="R3867" s="71">
        <f>IF(B3867="",0,INDEX(ModelParameters!$D$13:$K$17,MATCH($O3867,ModelParameters!$B$13:$B$17,0),MATCH($J3867,ModelParameters!$D$5:$K$5,0)))</f>
        <v>0</v>
      </c>
      <c r="S3867" s="160">
        <f>IF(B3867="",0,MIN(IF($N3867="Other Bond TM",ModelParameters!$N$21,1)*(P3867*Q3867+R3867),1))</f>
        <v>0.025</v>
      </c>
      <c r="T3867" s="85">
        <f>IF(B3867="",0,$S3867*$K3867)</f>
        <v>216.65655867468184</v>
      </c>
      <c r="U3867" s="85">
        <f>IF(B3867="",0,IF(OR(H3867=MappingTables!$C$34,H3867=MappingTables!$C$35),T3867,0))</f>
        <v>0</v>
      </c>
      <c r="V3867" s="85">
        <f>IF(ISNA(IF(AND(VLOOKUP(CONCATENATE($D3867,$G3867),CSRFinput!$B:$E,4,0)=0,OR(H3867=MappingTables!$C$34,H3867=MappingTables!$C$35)),1,VLOOKUP(CONCATENATE($D3867,$G3867),CSRFinput!$B:$E,4,0))),0,IF(AND(VLOOKUP(CONCATENATE($D3867,$G3867),CSRFinput!$B:$E,4,0)=0,OR(H3867=MappingTables!$C$34,H3867=MappingTables!$C$35)),1,VLOOKUP(CONCATENATE($D3867,$G3867),CSRFinput!$B:$E,4,0)))</f>
        <v>0.054776304963434752</v>
      </c>
      <c r="W3867" s="85">
        <f>IF(B3867="",0,+$T3867*$V3867)</f>
        <v>11.867645730292666</v>
      </c>
      <c r="X3867" s="85">
        <f>IF(B3867="",0,IF(OR(H3867=MappingTables!$C$34,H3867=MappingTables!$C$35),W3867,0))</f>
        <v>0</v>
      </c>
    </row>
    <row r="3868" spans="2:24" s="0" customFormat="0" ht="15">
      <c r="B3868" s="69">
        <v>23365199</v>
      </c>
      <c r="C3868" s="70" t="s">
        <v>2959</v>
      </c>
      <c r="D3868" s="70" t="s">
        <v>1</v>
      </c>
      <c r="E3868" s="70" t="s">
        <v>1</v>
      </c>
      <c r="F3868" s="70"/>
      <c r="G3868" s="70" t="s">
        <v>61</v>
      </c>
      <c r="H3868" s="70" t="s">
        <v>178</v>
      </c>
      <c r="I3868" s="70" t="s">
        <v>188</v>
      </c>
      <c r="J3868" s="71">
        <f>IF(OR(I3868=0,I3868=""),"unrated",VLOOKUP(I3868,MappingTables!$B$19:$C$31,2,FALSE))</f>
        <v>2</v>
      </c>
      <c r="K3868" s="72">
        <v>1709.0105332041294</v>
      </c>
      <c r="L3868" s="70">
        <v>0.08766777489967328</v>
      </c>
      <c r="M3868" s="71">
        <f>IF(L3868&lt;1,1,L3868)</f>
        <v>1</v>
      </c>
      <c r="N3868" s="70" t="s">
        <v>141</v>
      </c>
      <c r="O3868" s="71">
        <f>INDEX(DurClassMapping,MATCH(M3868,MappingTables!$D$4:$D$8,-1),1)</f>
        <v>1</v>
      </c>
      <c r="P3868" s="73">
        <f>IF(M3868=$A$1,1,$M3868-INDEX(MappingTables!$E$4:$E$8,MATCH(O3868,MappingTables!$B$4:$B$8,0)))</f>
        <v>1</v>
      </c>
      <c r="Q3868" s="71">
        <f>IF(B3868="",0,INDEX(ModelParameters!$D$6:$K$10,MATCH($O3868,ModelParameters!$B$6:$B$10,0),MATCH($J3868,ModelParameters!$D$5:$K$5,0)))</f>
        <v>0.013999999999999998</v>
      </c>
      <c r="R3868" s="71">
        <f>IF(B3868="",0,INDEX(ModelParameters!$D$13:$K$17,MATCH($O3868,ModelParameters!$B$13:$B$17,0),MATCH($J3868,ModelParameters!$D$5:$K$5,0)))</f>
        <v>0</v>
      </c>
      <c r="S3868" s="160">
        <f>IF(B3868="",0,MIN(IF($N3868="Other Bond TM",ModelParameters!$N$21,1)*(P3868*Q3868+R3868),1))</f>
        <v>0.013999999999999998</v>
      </c>
      <c r="T3868" s="85">
        <f>IF(B3868="",0,$S3868*$K3868)</f>
        <v>23.926147464857808</v>
      </c>
      <c r="U3868" s="85">
        <f>IF(B3868="",0,IF(OR(H3868=MappingTables!$C$34,H3868=MappingTables!$C$35),T3868,0))</f>
        <v>0</v>
      </c>
      <c r="V3868" s="85">
        <f>IF(ISNA(IF(AND(VLOOKUP(CONCATENATE($D3868,$G3868),CSRFinput!$B:$E,4,0)=0,OR(H3868=MappingTables!$C$34,H3868=MappingTables!$C$35)),1,VLOOKUP(CONCATENATE($D3868,$G3868),CSRFinput!$B:$E,4,0))),0,IF(AND(VLOOKUP(CONCATENATE($D3868,$G3868),CSRFinput!$B:$E,4,0)=0,OR(H3868=MappingTables!$C$34,H3868=MappingTables!$C$35)),1,VLOOKUP(CONCATENATE($D3868,$G3868),CSRFinput!$B:$E,4,0)))</f>
        <v>0.054776304963434752</v>
      </c>
      <c r="W3868" s="85">
        <f>IF(B3868="",0,+$T3868*$V3868)</f>
        <v>1.3105859501351626</v>
      </c>
      <c r="X3868" s="85">
        <f>IF(B3868="",0,IF(OR(H3868=MappingTables!$C$34,H3868=MappingTables!$C$35),W3868,0))</f>
        <v>0</v>
      </c>
    </row>
    <row r="3869" spans="2:24" s="0" customFormat="0" ht="15">
      <c r="B3869" s="69">
        <v>17860440</v>
      </c>
      <c r="C3869" s="70" t="s">
        <v>2960</v>
      </c>
      <c r="D3869" s="70" t="s">
        <v>1</v>
      </c>
      <c r="E3869" s="70" t="s">
        <v>1</v>
      </c>
      <c r="F3869" s="70"/>
      <c r="G3869" s="70" t="s">
        <v>61</v>
      </c>
      <c r="H3869" s="70" t="s">
        <v>178</v>
      </c>
      <c r="I3869" s="70" t="s">
        <v>181</v>
      </c>
      <c r="J3869" s="71">
        <f>IF(OR(I3869=0,I3869=""),"unrated",VLOOKUP(I3869,MappingTables!$B$19:$C$31,2,FALSE))</f>
        <v>3</v>
      </c>
      <c r="K3869" s="72">
        <v>6206.0787551005464</v>
      </c>
      <c r="L3869" s="70">
        <v>13.815403849732642</v>
      </c>
      <c r="M3869" s="71">
        <f>IF(L3869&lt;1,1,L3869)</f>
        <v>13.815403849732642</v>
      </c>
      <c r="N3869" s="70" t="s">
        <v>141</v>
      </c>
      <c r="O3869" s="71">
        <f>INDEX(DurClassMapping,MATCH(M3869,MappingTables!$D$4:$D$8,-1),1)</f>
        <v>3</v>
      </c>
      <c r="P3869" s="73">
        <f>IF(M3869=$A$1,1,$M3869-INDEX(MappingTables!$E$4:$E$8,MATCH(O3869,MappingTables!$B$4:$B$8,0)))</f>
        <v>3.8154038497326416</v>
      </c>
      <c r="Q3869" s="71">
        <f>IF(B3869="",0,INDEX(ModelParameters!$D$6:$K$10,MATCH($O3869,ModelParameters!$B$6:$B$10,0),MATCH($J3869,ModelParameters!$D$5:$K$5,0)))</f>
        <v>0.01</v>
      </c>
      <c r="R3869" s="71">
        <f>IF(B3869="",0,INDEX(ModelParameters!$D$13:$K$17,MATCH($O3869,ModelParameters!$B$13:$B$17,0),MATCH($J3869,ModelParameters!$D$5:$K$5,0)))</f>
        <v>0.2</v>
      </c>
      <c r="S3869" s="160">
        <f>IF(B3869="",0,MIN(IF($N3869="Other Bond TM",ModelParameters!$N$21,1)*(P3869*Q3869+R3869),1))</f>
        <v>0.2381540384973264</v>
      </c>
      <c r="T3869" s="85">
        <f>IF(B3869="",0,$S3869*$K3869)</f>
        <v>1478.002718759655</v>
      </c>
      <c r="U3869" s="85">
        <f>IF(B3869="",0,IF(OR(H3869=MappingTables!$C$34,H3869=MappingTables!$C$35),T3869,0))</f>
        <v>0</v>
      </c>
      <c r="V3869" s="85">
        <f>IF(ISNA(IF(AND(VLOOKUP(CONCATENATE($D3869,$G3869),CSRFinput!$B:$E,4,0)=0,OR(H3869=MappingTables!$C$34,H3869=MappingTables!$C$35)),1,VLOOKUP(CONCATENATE($D3869,$G3869),CSRFinput!$B:$E,4,0))),0,IF(AND(VLOOKUP(CONCATENATE($D3869,$G3869),CSRFinput!$B:$E,4,0)=0,OR(H3869=MappingTables!$C$34,H3869=MappingTables!$C$35)),1,VLOOKUP(CONCATENATE($D3869,$G3869),CSRFinput!$B:$E,4,0)))</f>
        <v>0.054776304963434752</v>
      </c>
      <c r="W3869" s="85">
        <f>IF(B3869="",0,+$T3869*$V3869)</f>
        <v>80.959527659564544</v>
      </c>
      <c r="X3869" s="85">
        <f>IF(B3869="",0,IF(OR(H3869=MappingTables!$C$34,H3869=MappingTables!$C$35),W3869,0))</f>
        <v>0</v>
      </c>
    </row>
    <row r="3870" spans="2:24" s="0" customFormat="0" ht="15">
      <c r="B3870" s="69">
        <v>17000742</v>
      </c>
      <c r="C3870" s="70" t="s">
        <v>291</v>
      </c>
      <c r="D3870" s="70" t="s">
        <v>1</v>
      </c>
      <c r="E3870" s="70" t="s">
        <v>1</v>
      </c>
      <c r="F3870" s="70"/>
      <c r="G3870" s="70" t="s">
        <v>61</v>
      </c>
      <c r="H3870" s="70" t="s">
        <v>178</v>
      </c>
      <c r="I3870" s="70" t="s">
        <v>181</v>
      </c>
      <c r="J3870" s="71">
        <f>IF(OR(I3870=0,I3870=""),"unrated",VLOOKUP(I3870,MappingTables!$B$19:$C$31,2,FALSE))</f>
        <v>3</v>
      </c>
      <c r="K3870" s="72">
        <v>1458.255569129491</v>
      </c>
      <c r="L3870" s="70">
        <v>6.1892340876527184</v>
      </c>
      <c r="M3870" s="71">
        <f>IF(L3870&lt;1,1,L3870)</f>
        <v>6.1892340876527184</v>
      </c>
      <c r="N3870" s="70" t="s">
        <v>141</v>
      </c>
      <c r="O3870" s="71">
        <f>INDEX(DurClassMapping,MATCH(M3870,MappingTables!$D$4:$D$8,-1),1)</f>
        <v>2</v>
      </c>
      <c r="P3870" s="73">
        <f>IF(M3870=$A$1,1,$M3870-INDEX(MappingTables!$E$4:$E$8,MATCH(O3870,MappingTables!$B$4:$B$8,0)))</f>
        <v>1.1892340876527188</v>
      </c>
      <c r="Q3870" s="71">
        <f>IF(B3870="",0,INDEX(ModelParameters!$D$6:$K$10,MATCH($O3870,ModelParameters!$B$6:$B$10,0),MATCH($J3870,ModelParameters!$D$5:$K$5,0)))</f>
        <v>0.015</v>
      </c>
      <c r="R3870" s="71">
        <f>IF(B3870="",0,INDEX(ModelParameters!$D$13:$K$17,MATCH($O3870,ModelParameters!$B$13:$B$17,0),MATCH($J3870,ModelParameters!$D$5:$K$5,0)))</f>
        <v>0.125</v>
      </c>
      <c r="S3870" s="160">
        <f>IF(B3870="",0,MIN(IF($N3870="Other Bond TM",ModelParameters!$N$21,1)*(P3870*Q3870+R3870),1))</f>
        <v>0.14283851131479078</v>
      </c>
      <c r="T3870" s="85">
        <f>IF(B3870="",0,$S3870*$K3870)</f>
        <v>208.29505461095948</v>
      </c>
      <c r="U3870" s="85">
        <f>IF(B3870="",0,IF(OR(H3870=MappingTables!$C$34,H3870=MappingTables!$C$35),T3870,0))</f>
        <v>0</v>
      </c>
      <c r="V3870" s="85">
        <f>IF(ISNA(IF(AND(VLOOKUP(CONCATENATE($D3870,$G3870),CSRFinput!$B:$E,4,0)=0,OR(H3870=MappingTables!$C$34,H3870=MappingTables!$C$35)),1,VLOOKUP(CONCATENATE($D3870,$G3870),CSRFinput!$B:$E,4,0))),0,IF(AND(VLOOKUP(CONCATENATE($D3870,$G3870),CSRFinput!$B:$E,4,0)=0,OR(H3870=MappingTables!$C$34,H3870=MappingTables!$C$35)),1,VLOOKUP(CONCATENATE($D3870,$G3870),CSRFinput!$B:$E,4,0)))</f>
        <v>0.054776304963434752</v>
      </c>
      <c r="W3870" s="85">
        <f>IF(B3870="",0,+$T3870*$V3870)</f>
        <v>11.409633433745214</v>
      </c>
      <c r="X3870" s="85">
        <f>IF(B3870="",0,IF(OR(H3870=MappingTables!$C$34,H3870=MappingTables!$C$35),W3870,0))</f>
        <v>0</v>
      </c>
    </row>
    <row r="3871" spans="2:24" s="0" customFormat="0" ht="15">
      <c r="B3871" s="69">
        <v>8351094</v>
      </c>
      <c r="C3871" s="70" t="s">
        <v>1011</v>
      </c>
      <c r="D3871" s="70" t="s">
        <v>1</v>
      </c>
      <c r="E3871" s="70" t="s">
        <v>1</v>
      </c>
      <c r="F3871" s="70"/>
      <c r="G3871" s="70" t="s">
        <v>61</v>
      </c>
      <c r="H3871" s="70" t="s">
        <v>178</v>
      </c>
      <c r="I3871" s="70" t="s">
        <v>181</v>
      </c>
      <c r="J3871" s="71">
        <f>IF(OR(I3871=0,I3871=""),"unrated",VLOOKUP(I3871,MappingTables!$B$19:$C$31,2,FALSE))</f>
        <v>3</v>
      </c>
      <c r="K3871" s="72">
        <v>1049.3623141125382</v>
      </c>
      <c r="L3871" s="70">
        <v>0.3397262343963882</v>
      </c>
      <c r="M3871" s="71">
        <f>IF(L3871&lt;1,1,L3871)</f>
        <v>1</v>
      </c>
      <c r="N3871" s="70" t="s">
        <v>141</v>
      </c>
      <c r="O3871" s="71">
        <f>INDEX(DurClassMapping,MATCH(M3871,MappingTables!$D$4:$D$8,-1),1)</f>
        <v>1</v>
      </c>
      <c r="P3871" s="73">
        <f>IF(M3871=$A$1,1,$M3871-INDEX(MappingTables!$E$4:$E$8,MATCH(O3871,MappingTables!$B$4:$B$8,0)))</f>
        <v>1</v>
      </c>
      <c r="Q3871" s="71">
        <f>IF(B3871="",0,INDEX(ModelParameters!$D$6:$K$10,MATCH($O3871,ModelParameters!$B$6:$B$10,0),MATCH($J3871,ModelParameters!$D$5:$K$5,0)))</f>
        <v>0.025</v>
      </c>
      <c r="R3871" s="71">
        <f>IF(B3871="",0,INDEX(ModelParameters!$D$13:$K$17,MATCH($O3871,ModelParameters!$B$13:$B$17,0),MATCH($J3871,ModelParameters!$D$5:$K$5,0)))</f>
        <v>0</v>
      </c>
      <c r="S3871" s="160">
        <f>IF(B3871="",0,MIN(IF($N3871="Other Bond TM",ModelParameters!$N$21,1)*(P3871*Q3871+R3871),1))</f>
        <v>0.025</v>
      </c>
      <c r="T3871" s="85">
        <f>IF(B3871="",0,$S3871*$K3871)</f>
        <v>26.234057852813452</v>
      </c>
      <c r="U3871" s="85">
        <f>IF(B3871="",0,IF(OR(H3871=MappingTables!$C$34,H3871=MappingTables!$C$35),T3871,0))</f>
        <v>0</v>
      </c>
      <c r="V3871" s="85">
        <f>IF(ISNA(IF(AND(VLOOKUP(CONCATENATE($D3871,$G3871),CSRFinput!$B:$E,4,0)=0,OR(H3871=MappingTables!$C$34,H3871=MappingTables!$C$35)),1,VLOOKUP(CONCATENATE($D3871,$G3871),CSRFinput!$B:$E,4,0))),0,IF(AND(VLOOKUP(CONCATENATE($D3871,$G3871),CSRFinput!$B:$E,4,0)=0,OR(H3871=MappingTables!$C$34,H3871=MappingTables!$C$35)),1,VLOOKUP(CONCATENATE($D3871,$G3871),CSRFinput!$B:$E,4,0)))</f>
        <v>0.054776304963434752</v>
      </c>
      <c r="W3871" s="85">
        <f>IF(B3871="",0,+$T3871*$V3871)</f>
        <v>1.4370047533741</v>
      </c>
      <c r="X3871" s="85">
        <f>IF(B3871="",0,IF(OR(H3871=MappingTables!$C$34,H3871=MappingTables!$C$35),W3871,0))</f>
        <v>0</v>
      </c>
    </row>
    <row r="3872" spans="2:24" s="0" customFormat="0" ht="15">
      <c r="B3872" s="69">
        <v>5335554</v>
      </c>
      <c r="C3872" s="70" t="s">
        <v>372</v>
      </c>
      <c r="D3872" s="70" t="s">
        <v>1</v>
      </c>
      <c r="E3872" s="70" t="s">
        <v>1</v>
      </c>
      <c r="F3872" s="70"/>
      <c r="G3872" s="70" t="s">
        <v>61</v>
      </c>
      <c r="H3872" s="70" t="s">
        <v>178</v>
      </c>
      <c r="I3872" s="70" t="s">
        <v>179</v>
      </c>
      <c r="J3872" s="71">
        <f>IF(OR(I3872=0,I3872=""),"unrated",VLOOKUP(I3872,MappingTables!$B$19:$C$31,2,FALSE))</f>
        <v>4</v>
      </c>
      <c r="K3872" s="72">
        <v>2476.5175418319772</v>
      </c>
      <c r="L3872" s="70">
        <v>1.7875739597534048</v>
      </c>
      <c r="M3872" s="71">
        <f>IF(L3872&lt;1,1,L3872)</f>
        <v>1.7875739597534048</v>
      </c>
      <c r="N3872" s="70" t="s">
        <v>141</v>
      </c>
      <c r="O3872" s="71">
        <f>INDEX(DurClassMapping,MATCH(M3872,MappingTables!$D$4:$D$8,-1),1)</f>
        <v>1</v>
      </c>
      <c r="P3872" s="73">
        <f>IF(M3872=$A$1,1,$M3872-INDEX(MappingTables!$E$4:$E$8,MATCH(O3872,MappingTables!$B$4:$B$8,0)))</f>
        <v>1.7875739597534048</v>
      </c>
      <c r="Q3872" s="71">
        <f>IF(B3872="",0,INDEX(ModelParameters!$D$6:$K$10,MATCH($O3872,ModelParameters!$B$6:$B$10,0),MATCH($J3872,ModelParameters!$D$5:$K$5,0)))</f>
        <v>0.045</v>
      </c>
      <c r="R3872" s="71">
        <f>IF(B3872="",0,INDEX(ModelParameters!$D$13:$K$17,MATCH($O3872,ModelParameters!$B$13:$B$17,0),MATCH($J3872,ModelParameters!$D$5:$K$5,0)))</f>
        <v>0</v>
      </c>
      <c r="S3872" s="160">
        <f>IF(B3872="",0,MIN(IF($N3872="Other Bond TM",ModelParameters!$N$21,1)*(P3872*Q3872+R3872),1))</f>
        <v>0.080440828188903216</v>
      </c>
      <c r="T3872" s="85">
        <f>IF(B3872="",0,$S3872*$K3872)</f>
        <v>199.213122089311</v>
      </c>
      <c r="U3872" s="85">
        <f>IF(B3872="",0,IF(OR(H3872=MappingTables!$C$34,H3872=MappingTables!$C$35),T3872,0))</f>
        <v>0</v>
      </c>
      <c r="V3872" s="85">
        <f>IF(ISNA(IF(AND(VLOOKUP(CONCATENATE($D3872,$G3872),CSRFinput!$B:$E,4,0)=0,OR(H3872=MappingTables!$C$34,H3872=MappingTables!$C$35)),1,VLOOKUP(CONCATENATE($D3872,$G3872),CSRFinput!$B:$E,4,0))),0,IF(AND(VLOOKUP(CONCATENATE($D3872,$G3872),CSRFinput!$B:$E,4,0)=0,OR(H3872=MappingTables!$C$34,H3872=MappingTables!$C$35)),1,VLOOKUP(CONCATENATE($D3872,$G3872),CSRFinput!$B:$E,4,0)))</f>
        <v>0.054776304963434752</v>
      </c>
      <c r="W3872" s="85">
        <f>IF(B3872="",0,+$T3872*$V3872)</f>
        <v>10.91215872828206</v>
      </c>
      <c r="X3872" s="85">
        <f>IF(B3872="",0,IF(OR(H3872=MappingTables!$C$34,H3872=MappingTables!$C$35),W3872,0))</f>
        <v>0</v>
      </c>
    </row>
    <row r="3873" spans="2:24" s="0" customFormat="0" ht="15">
      <c r="B3873" s="69" t="s">
        <v>2961</v>
      </c>
      <c r="C3873" s="70" t="s">
        <v>2962</v>
      </c>
      <c r="D3873" s="70" t="s">
        <v>1</v>
      </c>
      <c r="E3873" s="70" t="s">
        <v>1</v>
      </c>
      <c r="F3873" s="70"/>
      <c r="G3873" s="70" t="s">
        <v>61</v>
      </c>
      <c r="H3873" s="70" t="s">
        <v>178</v>
      </c>
      <c r="I3873" s="70" t="s">
        <v>179</v>
      </c>
      <c r="J3873" s="71">
        <f>IF(OR(I3873=0,I3873=""),"unrated",VLOOKUP(I3873,MappingTables!$B$19:$C$31,2,FALSE))</f>
        <v>4</v>
      </c>
      <c r="K3873" s="72">
        <v>676.5944431660064</v>
      </c>
      <c r="L3873" s="70">
        <v>7.822517892014392</v>
      </c>
      <c r="M3873" s="71">
        <f>IF(L3873&lt;1,1,L3873)</f>
        <v>7.822517892014392</v>
      </c>
      <c r="N3873" s="70" t="s">
        <v>141</v>
      </c>
      <c r="O3873" s="71">
        <f>INDEX(DurClassMapping,MATCH(M3873,MappingTables!$D$4:$D$8,-1),1)</f>
        <v>2</v>
      </c>
      <c r="P3873" s="73">
        <f>IF(M3873=$A$1,1,$M3873-INDEX(MappingTables!$E$4:$E$8,MATCH(O3873,MappingTables!$B$4:$B$8,0)))</f>
        <v>2.8225178920143924</v>
      </c>
      <c r="Q3873" s="71">
        <f>IF(B3873="",0,INDEX(ModelParameters!$D$6:$K$10,MATCH($O3873,ModelParameters!$B$6:$B$10,0),MATCH($J3873,ModelParameters!$D$5:$K$5,0)))</f>
        <v>0.025</v>
      </c>
      <c r="R3873" s="71">
        <f>IF(B3873="",0,INDEX(ModelParameters!$D$13:$K$17,MATCH($O3873,ModelParameters!$B$13:$B$17,0),MATCH($J3873,ModelParameters!$D$5:$K$5,0)))</f>
        <v>0.225</v>
      </c>
      <c r="S3873" s="160">
        <f>IF(B3873="",0,MIN(IF($N3873="Other Bond TM",ModelParameters!$N$21,1)*(P3873*Q3873+R3873),1))</f>
        <v>0.2955629473003598</v>
      </c>
      <c r="T3873" s="85">
        <f>IF(B3873="",0,$S3873*$K3873)</f>
        <v>199.97624774919064</v>
      </c>
      <c r="U3873" s="85">
        <f>IF(B3873="",0,IF(OR(H3873=MappingTables!$C$34,H3873=MappingTables!$C$35),T3873,0))</f>
        <v>0</v>
      </c>
      <c r="V3873" s="85">
        <f>IF(ISNA(IF(AND(VLOOKUP(CONCATENATE($D3873,$G3873),CSRFinput!$B:$E,4,0)=0,OR(H3873=MappingTables!$C$34,H3873=MappingTables!$C$35)),1,VLOOKUP(CONCATENATE($D3873,$G3873),CSRFinput!$B:$E,4,0))),0,IF(AND(VLOOKUP(CONCATENATE($D3873,$G3873),CSRFinput!$B:$E,4,0)=0,OR(H3873=MappingTables!$C$34,H3873=MappingTables!$C$35)),1,VLOOKUP(CONCATENATE($D3873,$G3873),CSRFinput!$B:$E,4,0)))</f>
        <v>0.054776304963434752</v>
      </c>
      <c r="W3873" s="85">
        <f>IF(B3873="",0,+$T3873*$V3873)</f>
        <v>10.95395993215305</v>
      </c>
      <c r="X3873" s="85">
        <f>IF(B3873="",0,IF(OR(H3873=MappingTables!$C$34,H3873=MappingTables!$C$35),W3873,0))</f>
        <v>0</v>
      </c>
    </row>
    <row r="3874" spans="2:24" s="0" customFormat="0" ht="15">
      <c r="B3874" s="69">
        <v>14690505</v>
      </c>
      <c r="C3874" s="70" t="s">
        <v>2900</v>
      </c>
      <c r="D3874" s="70" t="s">
        <v>1</v>
      </c>
      <c r="E3874" s="70" t="s">
        <v>1</v>
      </c>
      <c r="F3874" s="70"/>
      <c r="G3874" s="70" t="s">
        <v>61</v>
      </c>
      <c r="H3874" s="70" t="s">
        <v>178</v>
      </c>
      <c r="I3874" s="70" t="s">
        <v>179</v>
      </c>
      <c r="J3874" s="71">
        <f>IF(OR(I3874=0,I3874=""),"unrated",VLOOKUP(I3874,MappingTables!$B$19:$C$31,2,FALSE))</f>
        <v>4</v>
      </c>
      <c r="K3874" s="72">
        <v>19863.204867460676</v>
      </c>
      <c r="L3874" s="70">
        <v>3.9281818611753952</v>
      </c>
      <c r="M3874" s="71">
        <f>IF(L3874&lt;1,1,L3874)</f>
        <v>3.9281818611753952</v>
      </c>
      <c r="N3874" s="70" t="s">
        <v>141</v>
      </c>
      <c r="O3874" s="71">
        <f>INDEX(DurClassMapping,MATCH(M3874,MappingTables!$D$4:$D$8,-1),1)</f>
        <v>1</v>
      </c>
      <c r="P3874" s="73">
        <f>IF(M3874=$A$1,1,$M3874-INDEX(MappingTables!$E$4:$E$8,MATCH(O3874,MappingTables!$B$4:$B$8,0)))</f>
        <v>3.9281818611753952</v>
      </c>
      <c r="Q3874" s="71">
        <f>IF(B3874="",0,INDEX(ModelParameters!$D$6:$K$10,MATCH($O3874,ModelParameters!$B$6:$B$10,0),MATCH($J3874,ModelParameters!$D$5:$K$5,0)))</f>
        <v>0.045</v>
      </c>
      <c r="R3874" s="71">
        <f>IF(B3874="",0,INDEX(ModelParameters!$D$13:$K$17,MATCH($O3874,ModelParameters!$B$13:$B$17,0),MATCH($J3874,ModelParameters!$D$5:$K$5,0)))</f>
        <v>0</v>
      </c>
      <c r="S3874" s="160">
        <f>IF(B3874="",0,MIN(IF($N3874="Other Bond TM",ModelParameters!$N$21,1)*(P3874*Q3874+R3874),1))</f>
        <v>0.17676818375289278</v>
      </c>
      <c r="T3874" s="85">
        <f>IF(B3874="",0,$S3874*$K3874)</f>
        <v>3511.1826479326432</v>
      </c>
      <c r="U3874" s="85">
        <f>IF(B3874="",0,IF(OR(H3874=MappingTables!$C$34,H3874=MappingTables!$C$35),T3874,0))</f>
        <v>0</v>
      </c>
      <c r="V3874" s="85">
        <f>IF(ISNA(IF(AND(VLOOKUP(CONCATENATE($D3874,$G3874),CSRFinput!$B:$E,4,0)=0,OR(H3874=MappingTables!$C$34,H3874=MappingTables!$C$35)),1,VLOOKUP(CONCATENATE($D3874,$G3874),CSRFinput!$B:$E,4,0))),0,IF(AND(VLOOKUP(CONCATENATE($D3874,$G3874),CSRFinput!$B:$E,4,0)=0,OR(H3874=MappingTables!$C$34,H3874=MappingTables!$C$35)),1,VLOOKUP(CONCATENATE($D3874,$G3874),CSRFinput!$B:$E,4,0)))</f>
        <v>0.054776304963434752</v>
      </c>
      <c r="W3874" s="85">
        <f>IF(B3874="",0,+$T3874*$V3874)</f>
        <v>192.32961150547884</v>
      </c>
      <c r="X3874" s="85">
        <f>IF(B3874="",0,IF(OR(H3874=MappingTables!$C$34,H3874=MappingTables!$C$35),W3874,0))</f>
        <v>0</v>
      </c>
    </row>
    <row r="3875" spans="2:24" s="0" customFormat="0" ht="15">
      <c r="B3875" s="69">
        <v>19834226</v>
      </c>
      <c r="C3875" s="70" t="s">
        <v>1702</v>
      </c>
      <c r="D3875" s="70" t="s">
        <v>1</v>
      </c>
      <c r="E3875" s="70" t="s">
        <v>1</v>
      </c>
      <c r="F3875" s="70"/>
      <c r="G3875" s="70" t="s">
        <v>61</v>
      </c>
      <c r="H3875" s="70" t="s">
        <v>178</v>
      </c>
      <c r="I3875" s="70" t="s">
        <v>181</v>
      </c>
      <c r="J3875" s="71">
        <f>IF(OR(I3875=0,I3875=""),"unrated",VLOOKUP(I3875,MappingTables!$B$19:$C$31,2,FALSE))</f>
        <v>3</v>
      </c>
      <c r="K3875" s="72">
        <v>9423.6504573423184</v>
      </c>
      <c r="L3875" s="70">
        <v>0.38590699527577376</v>
      </c>
      <c r="M3875" s="71">
        <f>IF(L3875&lt;1,1,L3875)</f>
        <v>1</v>
      </c>
      <c r="N3875" s="70" t="s">
        <v>141</v>
      </c>
      <c r="O3875" s="71">
        <f>INDEX(DurClassMapping,MATCH(M3875,MappingTables!$D$4:$D$8,-1),1)</f>
        <v>1</v>
      </c>
      <c r="P3875" s="73">
        <f>IF(M3875=$A$1,1,$M3875-INDEX(MappingTables!$E$4:$E$8,MATCH(O3875,MappingTables!$B$4:$B$8,0)))</f>
        <v>1</v>
      </c>
      <c r="Q3875" s="71">
        <f>IF(B3875="",0,INDEX(ModelParameters!$D$6:$K$10,MATCH($O3875,ModelParameters!$B$6:$B$10,0),MATCH($J3875,ModelParameters!$D$5:$K$5,0)))</f>
        <v>0.025</v>
      </c>
      <c r="R3875" s="71">
        <f>IF(B3875="",0,INDEX(ModelParameters!$D$13:$K$17,MATCH($O3875,ModelParameters!$B$13:$B$17,0),MATCH($J3875,ModelParameters!$D$5:$K$5,0)))</f>
        <v>0</v>
      </c>
      <c r="S3875" s="160">
        <f>IF(B3875="",0,MIN(IF($N3875="Other Bond TM",ModelParameters!$N$21,1)*(P3875*Q3875+R3875),1))</f>
        <v>0.025</v>
      </c>
      <c r="T3875" s="85">
        <f>IF(B3875="",0,$S3875*$K3875)</f>
        <v>235.59126143355796</v>
      </c>
      <c r="U3875" s="85">
        <f>IF(B3875="",0,IF(OR(H3875=MappingTables!$C$34,H3875=MappingTables!$C$35),T3875,0))</f>
        <v>0</v>
      </c>
      <c r="V3875" s="85">
        <f>IF(ISNA(IF(AND(VLOOKUP(CONCATENATE($D3875,$G3875),CSRFinput!$B:$E,4,0)=0,OR(H3875=MappingTables!$C$34,H3875=MappingTables!$C$35)),1,VLOOKUP(CONCATENATE($D3875,$G3875),CSRFinput!$B:$E,4,0))),0,IF(AND(VLOOKUP(CONCATENATE($D3875,$G3875),CSRFinput!$B:$E,4,0)=0,OR(H3875=MappingTables!$C$34,H3875=MappingTables!$C$35)),1,VLOOKUP(CONCATENATE($D3875,$G3875),CSRFinput!$B:$E,4,0)))</f>
        <v>0.054776304963434752</v>
      </c>
      <c r="W3875" s="85">
        <f>IF(B3875="",0,+$T3875*$V3875)</f>
        <v>12.904818783004856</v>
      </c>
      <c r="X3875" s="85">
        <f>IF(B3875="",0,IF(OR(H3875=MappingTables!$C$34,H3875=MappingTables!$C$35),W3875,0))</f>
        <v>0</v>
      </c>
    </row>
    <row r="3876" spans="2:24" s="0" customFormat="0" ht="15">
      <c r="B3876" s="69">
        <v>14826302</v>
      </c>
      <c r="C3876" s="70" t="s">
        <v>2291</v>
      </c>
      <c r="D3876" s="70" t="s">
        <v>1</v>
      </c>
      <c r="E3876" s="70" t="s">
        <v>1</v>
      </c>
      <c r="F3876" s="70"/>
      <c r="G3876" s="70" t="s">
        <v>61</v>
      </c>
      <c r="H3876" s="70" t="s">
        <v>178</v>
      </c>
      <c r="I3876" s="70" t="s">
        <v>181</v>
      </c>
      <c r="J3876" s="71">
        <f>IF(OR(I3876=0,I3876=""),"unrated",VLOOKUP(I3876,MappingTables!$B$19:$C$31,2,FALSE))</f>
        <v>3</v>
      </c>
      <c r="K3876" s="72">
        <v>0.22745440490347592</v>
      </c>
      <c r="L3876" s="70">
        <v>0.18904074341341456</v>
      </c>
      <c r="M3876" s="71">
        <f>IF(L3876&lt;1,1,L3876)</f>
        <v>1</v>
      </c>
      <c r="N3876" s="70" t="s">
        <v>141</v>
      </c>
      <c r="O3876" s="71">
        <f>INDEX(DurClassMapping,MATCH(M3876,MappingTables!$D$4:$D$8,-1),1)</f>
        <v>1</v>
      </c>
      <c r="P3876" s="73">
        <f>IF(M3876=$A$1,1,$M3876-INDEX(MappingTables!$E$4:$E$8,MATCH(O3876,MappingTables!$B$4:$B$8,0)))</f>
        <v>1</v>
      </c>
      <c r="Q3876" s="71">
        <f>IF(B3876="",0,INDEX(ModelParameters!$D$6:$K$10,MATCH($O3876,ModelParameters!$B$6:$B$10,0),MATCH($J3876,ModelParameters!$D$5:$K$5,0)))</f>
        <v>0.025</v>
      </c>
      <c r="R3876" s="71">
        <f>IF(B3876="",0,INDEX(ModelParameters!$D$13:$K$17,MATCH($O3876,ModelParameters!$B$13:$B$17,0),MATCH($J3876,ModelParameters!$D$5:$K$5,0)))</f>
        <v>0</v>
      </c>
      <c r="S3876" s="160">
        <f>IF(B3876="",0,MIN(IF($N3876="Other Bond TM",ModelParameters!$N$21,1)*(P3876*Q3876+R3876),1))</f>
        <v>0.025</v>
      </c>
      <c r="T3876" s="85">
        <f>IF(B3876="",0,$S3876*$K3876)</f>
        <v>0.0056863601225868984</v>
      </c>
      <c r="U3876" s="85">
        <f>IF(B3876="",0,IF(OR(H3876=MappingTables!$C$34,H3876=MappingTables!$C$35),T3876,0))</f>
        <v>0</v>
      </c>
      <c r="V3876" s="85">
        <f>IF(ISNA(IF(AND(VLOOKUP(CONCATENATE($D3876,$G3876),CSRFinput!$B:$E,4,0)=0,OR(H3876=MappingTables!$C$34,H3876=MappingTables!$C$35)),1,VLOOKUP(CONCATENATE($D3876,$G3876),CSRFinput!$B:$E,4,0))),0,IF(AND(VLOOKUP(CONCATENATE($D3876,$G3876),CSRFinput!$B:$E,4,0)=0,OR(H3876=MappingTables!$C$34,H3876=MappingTables!$C$35)),1,VLOOKUP(CONCATENATE($D3876,$G3876),CSRFinput!$B:$E,4,0)))</f>
        <v>0.054776304963434752</v>
      </c>
      <c r="W3876" s="85">
        <f>IF(B3876="",0,+$T3876*$V3876)</f>
        <v>0.00031147779620673416</v>
      </c>
      <c r="X3876" s="85">
        <f>IF(B3876="",0,IF(OR(H3876=MappingTables!$C$34,H3876=MappingTables!$C$35),W3876,0))</f>
        <v>0</v>
      </c>
    </row>
    <row r="3877" spans="2:24" s="0" customFormat="0" ht="15">
      <c r="B3877" s="69" t="s">
        <v>1292</v>
      </c>
      <c r="C3877" s="70" t="s">
        <v>1293</v>
      </c>
      <c r="D3877" s="70" t="s">
        <v>1</v>
      </c>
      <c r="E3877" s="70" t="s">
        <v>1</v>
      </c>
      <c r="F3877" s="70"/>
      <c r="G3877" s="70" t="s">
        <v>61</v>
      </c>
      <c r="H3877" s="70" t="s">
        <v>178</v>
      </c>
      <c r="I3877" s="70" t="s">
        <v>198</v>
      </c>
      <c r="J3877" s="71" t="str">
        <f>IF(OR(I3877=0,I3877=""),"unrated",VLOOKUP(I3877,MappingTables!$B$19:$C$31,2,FALSE))</f>
        <v>unrated</v>
      </c>
      <c r="K3877" s="72">
        <v>14374.540403918562</v>
      </c>
      <c r="L3877" s="70">
        <v>2.3934027885567664</v>
      </c>
      <c r="M3877" s="71">
        <f>IF(L3877&lt;1,1,L3877)</f>
        <v>2.3934027885567664</v>
      </c>
      <c r="N3877" s="70" t="s">
        <v>141</v>
      </c>
      <c r="O3877" s="71">
        <f>INDEX(DurClassMapping,MATCH(M3877,MappingTables!$D$4:$D$8,-1),1)</f>
        <v>1</v>
      </c>
      <c r="P3877" s="73">
        <f>IF(M3877=$A$1,1,$M3877-INDEX(MappingTables!$E$4:$E$8,MATCH(O3877,MappingTables!$B$4:$B$8,0)))</f>
        <v>2.3934027885567664</v>
      </c>
      <c r="Q3877" s="71">
        <f>IF(B3877="",0,INDEX(ModelParameters!$D$6:$K$10,MATCH($O3877,ModelParameters!$B$6:$B$10,0),MATCH($J3877,ModelParameters!$D$5:$K$5,0)))</f>
        <v>0.03</v>
      </c>
      <c r="R3877" s="71">
        <f>IF(B3877="",0,INDEX(ModelParameters!$D$13:$K$17,MATCH($O3877,ModelParameters!$B$13:$B$17,0),MATCH($J3877,ModelParameters!$D$5:$K$5,0)))</f>
        <v>0</v>
      </c>
      <c r="S3877" s="160">
        <f>IF(B3877="",0,MIN(IF($N3877="Other Bond TM",ModelParameters!$N$21,1)*(P3877*Q3877+R3877),1))</f>
        <v>0.071802083656703</v>
      </c>
      <c r="T3877" s="85">
        <f>IF(B3877="",0,$S3877*$K3877)</f>
        <v>1032.121952608818</v>
      </c>
      <c r="U3877" s="85">
        <f>IF(B3877="",0,IF(OR(H3877=MappingTables!$C$34,H3877=MappingTables!$C$35),T3877,0))</f>
        <v>0</v>
      </c>
      <c r="V3877" s="85">
        <f>IF(ISNA(IF(AND(VLOOKUP(CONCATENATE($D3877,$G3877),CSRFinput!$B:$E,4,0)=0,OR(H3877=MappingTables!$C$34,H3877=MappingTables!$C$35)),1,VLOOKUP(CONCATENATE($D3877,$G3877),CSRFinput!$B:$E,4,0))),0,IF(AND(VLOOKUP(CONCATENATE($D3877,$G3877),CSRFinput!$B:$E,4,0)=0,OR(H3877=MappingTables!$C$34,H3877=MappingTables!$C$35)),1,VLOOKUP(CONCATENATE($D3877,$G3877),CSRFinput!$B:$E,4,0)))</f>
        <v>0.054776304963434752</v>
      </c>
      <c r="W3877" s="85">
        <f>IF(B3877="",0,+$T3877*$V3877)</f>
        <v>56.53582683555636</v>
      </c>
      <c r="X3877" s="85">
        <f>IF(B3877="",0,IF(OR(H3877=MappingTables!$C$34,H3877=MappingTables!$C$35),W3877,0))</f>
        <v>0</v>
      </c>
    </row>
    <row r="3878" spans="2:24" s="0" customFormat="0" ht="15">
      <c r="B3878" s="69">
        <v>11938366</v>
      </c>
      <c r="C3878" s="70" t="s">
        <v>2543</v>
      </c>
      <c r="D3878" s="70" t="s">
        <v>1</v>
      </c>
      <c r="E3878" s="70" t="s">
        <v>1</v>
      </c>
      <c r="F3878" s="70"/>
      <c r="G3878" s="70" t="s">
        <v>61</v>
      </c>
      <c r="H3878" s="70" t="s">
        <v>178</v>
      </c>
      <c r="I3878" s="70" t="s">
        <v>188</v>
      </c>
      <c r="J3878" s="71">
        <f>IF(OR(I3878=0,I3878=""),"unrated",VLOOKUP(I3878,MappingTables!$B$19:$C$31,2,FALSE))</f>
        <v>2</v>
      </c>
      <c r="K3878" s="72">
        <v>464.0767468206536</v>
      </c>
      <c r="L3878" s="70">
        <v>0.28150463842070284</v>
      </c>
      <c r="M3878" s="71">
        <f>IF(L3878&lt;1,1,L3878)</f>
        <v>1</v>
      </c>
      <c r="N3878" s="70" t="s">
        <v>141</v>
      </c>
      <c r="O3878" s="71">
        <f>INDEX(DurClassMapping,MATCH(M3878,MappingTables!$D$4:$D$8,-1),1)</f>
        <v>1</v>
      </c>
      <c r="P3878" s="73">
        <f>IF(M3878=$A$1,1,$M3878-INDEX(MappingTables!$E$4:$E$8,MATCH(O3878,MappingTables!$B$4:$B$8,0)))</f>
        <v>1</v>
      </c>
      <c r="Q3878" s="71">
        <f>IF(B3878="",0,INDEX(ModelParameters!$D$6:$K$10,MATCH($O3878,ModelParameters!$B$6:$B$10,0),MATCH($J3878,ModelParameters!$D$5:$K$5,0)))</f>
        <v>0.013999999999999998</v>
      </c>
      <c r="R3878" s="71">
        <f>IF(B3878="",0,INDEX(ModelParameters!$D$13:$K$17,MATCH($O3878,ModelParameters!$B$13:$B$17,0),MATCH($J3878,ModelParameters!$D$5:$K$5,0)))</f>
        <v>0</v>
      </c>
      <c r="S3878" s="160">
        <f>IF(B3878="",0,MIN(IF($N3878="Other Bond TM",ModelParameters!$N$21,1)*(P3878*Q3878+R3878),1))</f>
        <v>0.013999999999999998</v>
      </c>
      <c r="T3878" s="85">
        <f>IF(B3878="",0,$S3878*$K3878)</f>
        <v>6.4970744554891488</v>
      </c>
      <c r="U3878" s="85">
        <f>IF(B3878="",0,IF(OR(H3878=MappingTables!$C$34,H3878=MappingTables!$C$35),T3878,0))</f>
        <v>0</v>
      </c>
      <c r="V3878" s="85">
        <f>IF(ISNA(IF(AND(VLOOKUP(CONCATENATE($D3878,$G3878),CSRFinput!$B:$E,4,0)=0,OR(H3878=MappingTables!$C$34,H3878=MappingTables!$C$35)),1,VLOOKUP(CONCATENATE($D3878,$G3878),CSRFinput!$B:$E,4,0))),0,IF(AND(VLOOKUP(CONCATENATE($D3878,$G3878),CSRFinput!$B:$E,4,0)=0,OR(H3878=MappingTables!$C$34,H3878=MappingTables!$C$35)),1,VLOOKUP(CONCATENATE($D3878,$G3878),CSRFinput!$B:$E,4,0)))</f>
        <v>0.054776304963434752</v>
      </c>
      <c r="W3878" s="85">
        <f>IF(B3878="",0,+$T3878*$V3878)</f>
        <v>0.35588573174401544</v>
      </c>
      <c r="X3878" s="85">
        <f>IF(B3878="",0,IF(OR(H3878=MappingTables!$C$34,H3878=MappingTables!$C$35),W3878,0))</f>
        <v>0</v>
      </c>
    </row>
    <row r="3879" spans="2:24" s="0" customFormat="0" ht="15">
      <c r="B3879" s="69">
        <v>21329473</v>
      </c>
      <c r="C3879" s="70" t="s">
        <v>2963</v>
      </c>
      <c r="D3879" s="70" t="s">
        <v>1</v>
      </c>
      <c r="E3879" s="70" t="s">
        <v>1</v>
      </c>
      <c r="F3879" s="70"/>
      <c r="G3879" s="70" t="s">
        <v>61</v>
      </c>
      <c r="H3879" s="70" t="s">
        <v>178</v>
      </c>
      <c r="I3879" s="70" t="s">
        <v>188</v>
      </c>
      <c r="J3879" s="71">
        <f>IF(OR(I3879=0,I3879=""),"unrated",VLOOKUP(I3879,MappingTables!$B$19:$C$31,2,FALSE))</f>
        <v>2</v>
      </c>
      <c r="K3879" s="72">
        <v>101.76990695523808</v>
      </c>
      <c r="L3879" s="70">
        <v>3.7125577257505496</v>
      </c>
      <c r="M3879" s="71">
        <f>IF(L3879&lt;1,1,L3879)</f>
        <v>3.7125577257505496</v>
      </c>
      <c r="N3879" s="70" t="s">
        <v>141</v>
      </c>
      <c r="O3879" s="71">
        <f>INDEX(DurClassMapping,MATCH(M3879,MappingTables!$D$4:$D$8,-1),1)</f>
        <v>1</v>
      </c>
      <c r="P3879" s="73">
        <f>IF(M3879=$A$1,1,$M3879-INDEX(MappingTables!$E$4:$E$8,MATCH(O3879,MappingTables!$B$4:$B$8,0)))</f>
        <v>3.7125577257505496</v>
      </c>
      <c r="Q3879" s="71">
        <f>IF(B3879="",0,INDEX(ModelParameters!$D$6:$K$10,MATCH($O3879,ModelParameters!$B$6:$B$10,0),MATCH($J3879,ModelParameters!$D$5:$K$5,0)))</f>
        <v>0.013999999999999998</v>
      </c>
      <c r="R3879" s="71">
        <f>IF(B3879="",0,INDEX(ModelParameters!$D$13:$K$17,MATCH($O3879,ModelParameters!$B$13:$B$17,0),MATCH($J3879,ModelParameters!$D$5:$K$5,0)))</f>
        <v>0</v>
      </c>
      <c r="S3879" s="160">
        <f>IF(B3879="",0,MIN(IF($N3879="Other Bond TM",ModelParameters!$N$21,1)*(P3879*Q3879+R3879),1))</f>
        <v>0.051975808160507688</v>
      </c>
      <c r="T3879" s="85">
        <f>IF(B3879="",0,$S3879*$K3879)</f>
        <v>5.2895731604181712</v>
      </c>
      <c r="U3879" s="85">
        <f>IF(B3879="",0,IF(OR(H3879=MappingTables!$C$34,H3879=MappingTables!$C$35),T3879,0))</f>
        <v>0</v>
      </c>
      <c r="V3879" s="85">
        <f>IF(ISNA(IF(AND(VLOOKUP(CONCATENATE($D3879,$G3879),CSRFinput!$B:$E,4,0)=0,OR(H3879=MappingTables!$C$34,H3879=MappingTables!$C$35)),1,VLOOKUP(CONCATENATE($D3879,$G3879),CSRFinput!$B:$E,4,0))),0,IF(AND(VLOOKUP(CONCATENATE($D3879,$G3879),CSRFinput!$B:$E,4,0)=0,OR(H3879=MappingTables!$C$34,H3879=MappingTables!$C$35)),1,VLOOKUP(CONCATENATE($D3879,$G3879),CSRFinput!$B:$E,4,0)))</f>
        <v>0.054776304963434752</v>
      </c>
      <c r="W3879" s="85">
        <f>IF(B3879="",0,+$T3879*$V3879)</f>
        <v>0.28974327256146508</v>
      </c>
      <c r="X3879" s="85">
        <f>IF(B3879="",0,IF(OR(H3879=MappingTables!$C$34,H3879=MappingTables!$C$35),W3879,0))</f>
        <v>0</v>
      </c>
    </row>
    <row r="3880" spans="2:24" s="0" customFormat="0" ht="15">
      <c r="B3880" s="69">
        <v>19612116</v>
      </c>
      <c r="C3880" s="70" t="s">
        <v>2812</v>
      </c>
      <c r="D3880" s="70" t="s">
        <v>1</v>
      </c>
      <c r="E3880" s="70" t="s">
        <v>1</v>
      </c>
      <c r="F3880" s="70"/>
      <c r="G3880" s="70" t="s">
        <v>61</v>
      </c>
      <c r="H3880" s="70" t="s">
        <v>178</v>
      </c>
      <c r="I3880" s="70" t="s">
        <v>184</v>
      </c>
      <c r="J3880" s="71">
        <f>IF(OR(I3880=0,I3880=""),"unrated",VLOOKUP(I3880,MappingTables!$B$19:$C$31,2,FALSE))</f>
        <v>5</v>
      </c>
      <c r="K3880" s="72">
        <v>28.175640573009588</v>
      </c>
      <c r="L3880" s="70">
        <v>2.1842528607310808</v>
      </c>
      <c r="M3880" s="71">
        <f>IF(L3880&lt;1,1,L3880)</f>
        <v>2.1842528607310808</v>
      </c>
      <c r="N3880" s="70" t="s">
        <v>141</v>
      </c>
      <c r="O3880" s="71">
        <f>INDEX(DurClassMapping,MATCH(M3880,MappingTables!$D$4:$D$8,-1),1)</f>
        <v>1</v>
      </c>
      <c r="P3880" s="73">
        <f>IF(M3880=$A$1,1,$M3880-INDEX(MappingTables!$E$4:$E$8,MATCH(O3880,MappingTables!$B$4:$B$8,0)))</f>
        <v>2.1842528607310808</v>
      </c>
      <c r="Q3880" s="71">
        <f>IF(B3880="",0,INDEX(ModelParameters!$D$6:$K$10,MATCH($O3880,ModelParameters!$B$6:$B$10,0),MATCH($J3880,ModelParameters!$D$5:$K$5,0)))</f>
        <v>0.075</v>
      </c>
      <c r="R3880" s="71">
        <f>IF(B3880="",0,INDEX(ModelParameters!$D$13:$K$17,MATCH($O3880,ModelParameters!$B$13:$B$17,0),MATCH($J3880,ModelParameters!$D$5:$K$5,0)))</f>
        <v>0</v>
      </c>
      <c r="S3880" s="160">
        <f>IF(B3880="",0,MIN(IF($N3880="Other Bond TM",ModelParameters!$N$21,1)*(P3880*Q3880+R3880),1))</f>
        <v>0.16381896455483106</v>
      </c>
      <c r="T3880" s="85">
        <f>IF(B3880="",0,$S3880*$K3880)</f>
        <v>4.6157042643395176</v>
      </c>
      <c r="U3880" s="85">
        <f>IF(B3880="",0,IF(OR(H3880=MappingTables!$C$34,H3880=MappingTables!$C$35),T3880,0))</f>
        <v>0</v>
      </c>
      <c r="V3880" s="85">
        <f>IF(ISNA(IF(AND(VLOOKUP(CONCATENATE($D3880,$G3880),CSRFinput!$B:$E,4,0)=0,OR(H3880=MappingTables!$C$34,H3880=MappingTables!$C$35)),1,VLOOKUP(CONCATENATE($D3880,$G3880),CSRFinput!$B:$E,4,0))),0,IF(AND(VLOOKUP(CONCATENATE($D3880,$G3880),CSRFinput!$B:$E,4,0)=0,OR(H3880=MappingTables!$C$34,H3880=MappingTables!$C$35)),1,VLOOKUP(CONCATENATE($D3880,$G3880),CSRFinput!$B:$E,4,0)))</f>
        <v>0.054776304963434752</v>
      </c>
      <c r="W3880" s="85">
        <f>IF(B3880="",0,+$T3880*$V3880)</f>
        <v>0.25283122440448768</v>
      </c>
      <c r="X3880" s="85">
        <f>IF(B3880="",0,IF(OR(H3880=MappingTables!$C$34,H3880=MappingTables!$C$35),W3880,0))</f>
        <v>0</v>
      </c>
    </row>
    <row r="3881" spans="2:24" s="0" customFormat="0" ht="15">
      <c r="B3881" s="69">
        <v>2166226</v>
      </c>
      <c r="C3881" s="70" t="s">
        <v>2025</v>
      </c>
      <c r="D3881" s="70" t="s">
        <v>1</v>
      </c>
      <c r="E3881" s="70" t="s">
        <v>1</v>
      </c>
      <c r="F3881" s="70"/>
      <c r="G3881" s="70" t="s">
        <v>61</v>
      </c>
      <c r="H3881" s="70" t="s">
        <v>178</v>
      </c>
      <c r="I3881" s="70" t="s">
        <v>181</v>
      </c>
      <c r="J3881" s="71">
        <f>IF(OR(I3881=0,I3881=""),"unrated",VLOOKUP(I3881,MappingTables!$B$19:$C$31,2,FALSE))</f>
        <v>3</v>
      </c>
      <c r="K3881" s="72">
        <v>1316.876967953395</v>
      </c>
      <c r="L3881" s="70">
        <v>9.3420092619695888</v>
      </c>
      <c r="M3881" s="71">
        <f>IF(L3881&lt;1,1,L3881)</f>
        <v>9.3420092619695888</v>
      </c>
      <c r="N3881" s="70" t="s">
        <v>141</v>
      </c>
      <c r="O3881" s="71">
        <f>INDEX(DurClassMapping,MATCH(M3881,MappingTables!$D$4:$D$8,-1),1)</f>
        <v>2</v>
      </c>
      <c r="P3881" s="73">
        <f>IF(M3881=$A$1,1,$M3881-INDEX(MappingTables!$E$4:$E$8,MATCH(O3881,MappingTables!$B$4:$B$8,0)))</f>
        <v>4.342009261969588</v>
      </c>
      <c r="Q3881" s="71">
        <f>IF(B3881="",0,INDEX(ModelParameters!$D$6:$K$10,MATCH($O3881,ModelParameters!$B$6:$B$10,0),MATCH($J3881,ModelParameters!$D$5:$K$5,0)))</f>
        <v>0.015</v>
      </c>
      <c r="R3881" s="71">
        <f>IF(B3881="",0,INDEX(ModelParameters!$D$13:$K$17,MATCH($O3881,ModelParameters!$B$13:$B$17,0),MATCH($J3881,ModelParameters!$D$5:$K$5,0)))</f>
        <v>0.125</v>
      </c>
      <c r="S3881" s="160">
        <f>IF(B3881="",0,MIN(IF($N3881="Other Bond TM",ModelParameters!$N$21,1)*(P3881*Q3881+R3881),1))</f>
        <v>0.19013013892954384</v>
      </c>
      <c r="T3881" s="85">
        <f>IF(B3881="",0,$S3881*$K3881)</f>
        <v>250.37800087009544</v>
      </c>
      <c r="U3881" s="85">
        <f>IF(B3881="",0,IF(OR(H3881=MappingTables!$C$34,H3881=MappingTables!$C$35),T3881,0))</f>
        <v>0</v>
      </c>
      <c r="V3881" s="85">
        <f>IF(ISNA(IF(AND(VLOOKUP(CONCATENATE($D3881,$G3881),CSRFinput!$B:$E,4,0)=0,OR(H3881=MappingTables!$C$34,H3881=MappingTables!$C$35)),1,VLOOKUP(CONCATENATE($D3881,$G3881),CSRFinput!$B:$E,4,0))),0,IF(AND(VLOOKUP(CONCATENATE($D3881,$G3881),CSRFinput!$B:$E,4,0)=0,OR(H3881=MappingTables!$C$34,H3881=MappingTables!$C$35)),1,VLOOKUP(CONCATENATE($D3881,$G3881),CSRFinput!$B:$E,4,0)))</f>
        <v>0.054776304963434752</v>
      </c>
      <c r="W3881" s="85">
        <f>IF(B3881="",0,+$T3881*$V3881)</f>
        <v>13.71478173179548</v>
      </c>
      <c r="X3881" s="85">
        <f>IF(B3881="",0,IF(OR(H3881=MappingTables!$C$34,H3881=MappingTables!$C$35),W3881,0))</f>
        <v>0</v>
      </c>
    </row>
    <row r="3882" spans="2:24" s="0" customFormat="0" ht="15">
      <c r="B3882" s="69" t="s">
        <v>2083</v>
      </c>
      <c r="C3882" s="70" t="s">
        <v>2084</v>
      </c>
      <c r="D3882" s="70" t="s">
        <v>1</v>
      </c>
      <c r="E3882" s="70" t="s">
        <v>1</v>
      </c>
      <c r="F3882" s="70"/>
      <c r="G3882" s="70" t="s">
        <v>61</v>
      </c>
      <c r="H3882" s="70" t="s">
        <v>178</v>
      </c>
      <c r="I3882" s="70" t="s">
        <v>184</v>
      </c>
      <c r="J3882" s="71">
        <f>IF(OR(I3882=0,I3882=""),"unrated",VLOOKUP(I3882,MappingTables!$B$19:$C$31,2,FALSE))</f>
        <v>5</v>
      </c>
      <c r="K3882" s="72">
        <v>563.147442792136</v>
      </c>
      <c r="L3882" s="70">
        <v>0.41095768103276</v>
      </c>
      <c r="M3882" s="71">
        <f>IF(L3882&lt;1,1,L3882)</f>
        <v>1</v>
      </c>
      <c r="N3882" s="70" t="s">
        <v>141</v>
      </c>
      <c r="O3882" s="71">
        <f>INDEX(DurClassMapping,MATCH(M3882,MappingTables!$D$4:$D$8,-1),1)</f>
        <v>1</v>
      </c>
      <c r="P3882" s="73">
        <f>IF(M3882=$A$1,1,$M3882-INDEX(MappingTables!$E$4:$E$8,MATCH(O3882,MappingTables!$B$4:$B$8,0)))</f>
        <v>1</v>
      </c>
      <c r="Q3882" s="71">
        <f>IF(B3882="",0,INDEX(ModelParameters!$D$6:$K$10,MATCH($O3882,ModelParameters!$B$6:$B$10,0),MATCH($J3882,ModelParameters!$D$5:$K$5,0)))</f>
        <v>0.075</v>
      </c>
      <c r="R3882" s="71">
        <f>IF(B3882="",0,INDEX(ModelParameters!$D$13:$K$17,MATCH($O3882,ModelParameters!$B$13:$B$17,0),MATCH($J3882,ModelParameters!$D$5:$K$5,0)))</f>
        <v>0</v>
      </c>
      <c r="S3882" s="160">
        <f>IF(B3882="",0,MIN(IF($N3882="Other Bond TM",ModelParameters!$N$21,1)*(P3882*Q3882+R3882),1))</f>
        <v>0.075</v>
      </c>
      <c r="T3882" s="85">
        <f>IF(B3882="",0,$S3882*$K3882)</f>
        <v>42.236058209410192</v>
      </c>
      <c r="U3882" s="85">
        <f>IF(B3882="",0,IF(OR(H3882=MappingTables!$C$34,H3882=MappingTables!$C$35),T3882,0))</f>
        <v>0</v>
      </c>
      <c r="V3882" s="85">
        <f>IF(ISNA(IF(AND(VLOOKUP(CONCATENATE($D3882,$G3882),CSRFinput!$B:$E,4,0)=0,OR(H3882=MappingTables!$C$34,H3882=MappingTables!$C$35)),1,VLOOKUP(CONCATENATE($D3882,$G3882),CSRFinput!$B:$E,4,0))),0,IF(AND(VLOOKUP(CONCATENATE($D3882,$G3882),CSRFinput!$B:$E,4,0)=0,OR(H3882=MappingTables!$C$34,H3882=MappingTables!$C$35)),1,VLOOKUP(CONCATENATE($D3882,$G3882),CSRFinput!$B:$E,4,0)))</f>
        <v>0.054776304963434752</v>
      </c>
      <c r="W3882" s="85">
        <f>IF(B3882="",0,+$T3882*$V3882)</f>
        <v>2.3135352049320348</v>
      </c>
      <c r="X3882" s="85">
        <f>IF(B3882="",0,IF(OR(H3882=MappingTables!$C$34,H3882=MappingTables!$C$35),W3882,0))</f>
        <v>0</v>
      </c>
    </row>
    <row r="3883" spans="2:24" s="0" customFormat="0" ht="15">
      <c r="B3883" s="69">
        <v>23930496</v>
      </c>
      <c r="C3883" s="70" t="s">
        <v>2964</v>
      </c>
      <c r="D3883" s="70" t="s">
        <v>1</v>
      </c>
      <c r="E3883" s="70" t="s">
        <v>1</v>
      </c>
      <c r="F3883" s="70"/>
      <c r="G3883" s="70" t="s">
        <v>61</v>
      </c>
      <c r="H3883" s="70" t="s">
        <v>178</v>
      </c>
      <c r="I3883" s="70" t="s">
        <v>181</v>
      </c>
      <c r="J3883" s="71">
        <f>IF(OR(I3883=0,I3883=""),"unrated",VLOOKUP(I3883,MappingTables!$B$19:$C$31,2,FALSE))</f>
        <v>3</v>
      </c>
      <c r="K3883" s="72">
        <v>479.66056195473976</v>
      </c>
      <c r="L3883" s="70">
        <v>0.573798639413066</v>
      </c>
      <c r="M3883" s="71">
        <f>IF(L3883&lt;1,1,L3883)</f>
        <v>1</v>
      </c>
      <c r="N3883" s="70" t="s">
        <v>141</v>
      </c>
      <c r="O3883" s="71">
        <f>INDEX(DurClassMapping,MATCH(M3883,MappingTables!$D$4:$D$8,-1),1)</f>
        <v>1</v>
      </c>
      <c r="P3883" s="73">
        <f>IF(M3883=$A$1,1,$M3883-INDEX(MappingTables!$E$4:$E$8,MATCH(O3883,MappingTables!$B$4:$B$8,0)))</f>
        <v>1</v>
      </c>
      <c r="Q3883" s="71">
        <f>IF(B3883="",0,INDEX(ModelParameters!$D$6:$K$10,MATCH($O3883,ModelParameters!$B$6:$B$10,0),MATCH($J3883,ModelParameters!$D$5:$K$5,0)))</f>
        <v>0.025</v>
      </c>
      <c r="R3883" s="71">
        <f>IF(B3883="",0,INDEX(ModelParameters!$D$13:$K$17,MATCH($O3883,ModelParameters!$B$13:$B$17,0),MATCH($J3883,ModelParameters!$D$5:$K$5,0)))</f>
        <v>0</v>
      </c>
      <c r="S3883" s="160">
        <f>IF(B3883="",0,MIN(IF($N3883="Other Bond TM",ModelParameters!$N$21,1)*(P3883*Q3883+R3883),1))</f>
        <v>0.025</v>
      </c>
      <c r="T3883" s="85">
        <f>IF(B3883="",0,$S3883*$K3883)</f>
        <v>11.991514048868496</v>
      </c>
      <c r="U3883" s="85">
        <f>IF(B3883="",0,IF(OR(H3883=MappingTables!$C$34,H3883=MappingTables!$C$35),T3883,0))</f>
        <v>0</v>
      </c>
      <c r="V3883" s="85">
        <f>IF(ISNA(IF(AND(VLOOKUP(CONCATENATE($D3883,$G3883),CSRFinput!$B:$E,4,0)=0,OR(H3883=MappingTables!$C$34,H3883=MappingTables!$C$35)),1,VLOOKUP(CONCATENATE($D3883,$G3883),CSRFinput!$B:$E,4,0))),0,IF(AND(VLOOKUP(CONCATENATE($D3883,$G3883),CSRFinput!$B:$E,4,0)=0,OR(H3883=MappingTables!$C$34,H3883=MappingTables!$C$35)),1,VLOOKUP(CONCATENATE($D3883,$G3883),CSRFinput!$B:$E,4,0)))</f>
        <v>0.054776304963434752</v>
      </c>
      <c r="W3883" s="85">
        <f>IF(B3883="",0,+$T3883*$V3883)</f>
        <v>0.65685083051413296</v>
      </c>
      <c r="X3883" s="85">
        <f>IF(B3883="",0,IF(OR(H3883=MappingTables!$C$34,H3883=MappingTables!$C$35),W3883,0))</f>
        <v>0</v>
      </c>
    </row>
    <row r="3884" spans="2:24" s="0" customFormat="0" ht="15">
      <c r="B3884" s="69" t="s">
        <v>2965</v>
      </c>
      <c r="C3884" s="70" t="s">
        <v>2966</v>
      </c>
      <c r="D3884" s="70" t="s">
        <v>1</v>
      </c>
      <c r="E3884" s="70" t="s">
        <v>1</v>
      </c>
      <c r="F3884" s="70"/>
      <c r="G3884" s="70" t="s">
        <v>61</v>
      </c>
      <c r="H3884" s="70" t="s">
        <v>178</v>
      </c>
      <c r="I3884" s="70" t="s">
        <v>181</v>
      </c>
      <c r="J3884" s="71">
        <f>IF(OR(I3884=0,I3884=""),"unrated",VLOOKUP(I3884,MappingTables!$B$19:$C$31,2,FALSE))</f>
        <v>3</v>
      </c>
      <c r="K3884" s="72">
        <v>3.8639279670020736</v>
      </c>
      <c r="L3884" s="70">
        <v>0.032873561213393076</v>
      </c>
      <c r="M3884" s="71">
        <f>IF(L3884&lt;1,1,L3884)</f>
        <v>1</v>
      </c>
      <c r="N3884" s="70" t="s">
        <v>141</v>
      </c>
      <c r="O3884" s="71">
        <f>INDEX(DurClassMapping,MATCH(M3884,MappingTables!$D$4:$D$8,-1),1)</f>
        <v>1</v>
      </c>
      <c r="P3884" s="73">
        <f>IF(M3884=$A$1,1,$M3884-INDEX(MappingTables!$E$4:$E$8,MATCH(O3884,MappingTables!$B$4:$B$8,0)))</f>
        <v>1</v>
      </c>
      <c r="Q3884" s="71">
        <f>IF(B3884="",0,INDEX(ModelParameters!$D$6:$K$10,MATCH($O3884,ModelParameters!$B$6:$B$10,0),MATCH($J3884,ModelParameters!$D$5:$K$5,0)))</f>
        <v>0.025</v>
      </c>
      <c r="R3884" s="71">
        <f>IF(B3884="",0,INDEX(ModelParameters!$D$13:$K$17,MATCH($O3884,ModelParameters!$B$13:$B$17,0),MATCH($J3884,ModelParameters!$D$5:$K$5,0)))</f>
        <v>0</v>
      </c>
      <c r="S3884" s="160">
        <f>IF(B3884="",0,MIN(IF($N3884="Other Bond TM",ModelParameters!$N$21,1)*(P3884*Q3884+R3884),1))</f>
        <v>0.025</v>
      </c>
      <c r="T3884" s="85">
        <f>IF(B3884="",0,$S3884*$K3884)</f>
        <v>0.096598199175051856</v>
      </c>
      <c r="U3884" s="85">
        <f>IF(B3884="",0,IF(OR(H3884=MappingTables!$C$34,H3884=MappingTables!$C$35),T3884,0))</f>
        <v>0</v>
      </c>
      <c r="V3884" s="85">
        <f>IF(ISNA(IF(AND(VLOOKUP(CONCATENATE($D3884,$G3884),CSRFinput!$B:$E,4,0)=0,OR(H3884=MappingTables!$C$34,H3884=MappingTables!$C$35)),1,VLOOKUP(CONCATENATE($D3884,$G3884),CSRFinput!$B:$E,4,0))),0,IF(AND(VLOOKUP(CONCATENATE($D3884,$G3884),CSRFinput!$B:$E,4,0)=0,OR(H3884=MappingTables!$C$34,H3884=MappingTables!$C$35)),1,VLOOKUP(CONCATENATE($D3884,$G3884),CSRFinput!$B:$E,4,0)))</f>
        <v>0.054776304963434752</v>
      </c>
      <c r="W3884" s="85">
        <f>IF(B3884="",0,+$T3884*$V3884)</f>
        <v>0.005291292416931252</v>
      </c>
      <c r="X3884" s="85">
        <f>IF(B3884="",0,IF(OR(H3884=MappingTables!$C$34,H3884=MappingTables!$C$35),W3884,0))</f>
        <v>0</v>
      </c>
    </row>
    <row r="3885" spans="2:24" s="0" customFormat="0" ht="15">
      <c r="B3885" s="69" t="s">
        <v>2163</v>
      </c>
      <c r="C3885" s="70" t="s">
        <v>2164</v>
      </c>
      <c r="D3885" s="70" t="s">
        <v>1</v>
      </c>
      <c r="E3885" s="70" t="s">
        <v>1</v>
      </c>
      <c r="F3885" s="70"/>
      <c r="G3885" s="70" t="s">
        <v>61</v>
      </c>
      <c r="H3885" s="70" t="s">
        <v>178</v>
      </c>
      <c r="I3885" s="70" t="s">
        <v>188</v>
      </c>
      <c r="J3885" s="71">
        <f>IF(OR(I3885=0,I3885=""),"unrated",VLOOKUP(I3885,MappingTables!$B$19:$C$31,2,FALSE))</f>
        <v>2</v>
      </c>
      <c r="K3885" s="72">
        <v>172.61636797201448</v>
      </c>
      <c r="L3885" s="70">
        <v>3.3575843657619712</v>
      </c>
      <c r="M3885" s="71">
        <f>IF(L3885&lt;1,1,L3885)</f>
        <v>3.3575843657619712</v>
      </c>
      <c r="N3885" s="70" t="s">
        <v>141</v>
      </c>
      <c r="O3885" s="71">
        <f>INDEX(DurClassMapping,MATCH(M3885,MappingTables!$D$4:$D$8,-1),1)</f>
        <v>1</v>
      </c>
      <c r="P3885" s="73">
        <f>IF(M3885=$A$1,1,$M3885-INDEX(MappingTables!$E$4:$E$8,MATCH(O3885,MappingTables!$B$4:$B$8,0)))</f>
        <v>3.3575843657619712</v>
      </c>
      <c r="Q3885" s="71">
        <f>IF(B3885="",0,INDEX(ModelParameters!$D$6:$K$10,MATCH($O3885,ModelParameters!$B$6:$B$10,0),MATCH($J3885,ModelParameters!$D$5:$K$5,0)))</f>
        <v>0.013999999999999998</v>
      </c>
      <c r="R3885" s="71">
        <f>IF(B3885="",0,INDEX(ModelParameters!$D$13:$K$17,MATCH($O3885,ModelParameters!$B$13:$B$17,0),MATCH($J3885,ModelParameters!$D$5:$K$5,0)))</f>
        <v>0</v>
      </c>
      <c r="S3885" s="160">
        <f>IF(B3885="",0,MIN(IF($N3885="Other Bond TM",ModelParameters!$N$21,1)*(P3885*Q3885+R3885),1))</f>
        <v>0.047006181120667592</v>
      </c>
      <c r="T3885" s="85">
        <f>IF(B3885="",0,$S3885*$K3885)</f>
        <v>8.1140362572843152</v>
      </c>
      <c r="U3885" s="85">
        <f>IF(B3885="",0,IF(OR(H3885=MappingTables!$C$34,H3885=MappingTables!$C$35),T3885,0))</f>
        <v>0</v>
      </c>
      <c r="V3885" s="85">
        <f>IF(ISNA(IF(AND(VLOOKUP(CONCATENATE($D3885,$G3885),CSRFinput!$B:$E,4,0)=0,OR(H3885=MappingTables!$C$34,H3885=MappingTables!$C$35)),1,VLOOKUP(CONCATENATE($D3885,$G3885),CSRFinput!$B:$E,4,0))),0,IF(AND(VLOOKUP(CONCATENATE($D3885,$G3885),CSRFinput!$B:$E,4,0)=0,OR(H3885=MappingTables!$C$34,H3885=MappingTables!$C$35)),1,VLOOKUP(CONCATENATE($D3885,$G3885),CSRFinput!$B:$E,4,0)))</f>
        <v>0.054776304963434752</v>
      </c>
      <c r="W3885" s="85">
        <f>IF(B3885="",0,+$T3885*$V3885)</f>
        <v>0.4444569245133724</v>
      </c>
      <c r="X3885" s="85">
        <f>IF(B3885="",0,IF(OR(H3885=MappingTables!$C$34,H3885=MappingTables!$C$35),W3885,0))</f>
        <v>0</v>
      </c>
    </row>
    <row r="3886" spans="2:24" s="0" customFormat="0" ht="15">
      <c r="B3886" s="69">
        <v>3092975</v>
      </c>
      <c r="C3886" s="70" t="s">
        <v>2210</v>
      </c>
      <c r="D3886" s="70" t="s">
        <v>1</v>
      </c>
      <c r="E3886" s="70" t="s">
        <v>1</v>
      </c>
      <c r="F3886" s="70"/>
      <c r="G3886" s="70" t="s">
        <v>61</v>
      </c>
      <c r="H3886" s="70" t="s">
        <v>178</v>
      </c>
      <c r="I3886" s="70" t="s">
        <v>181</v>
      </c>
      <c r="J3886" s="71">
        <f>IF(OR(I3886=0,I3886=""),"unrated",VLOOKUP(I3886,MappingTables!$B$19:$C$31,2,FALSE))</f>
        <v>3</v>
      </c>
      <c r="K3886" s="72">
        <v>325.1982540094538</v>
      </c>
      <c r="L3886" s="70">
        <v>0.37808341766656504</v>
      </c>
      <c r="M3886" s="71">
        <f>IF(L3886&lt;1,1,L3886)</f>
        <v>1</v>
      </c>
      <c r="N3886" s="70" t="s">
        <v>141</v>
      </c>
      <c r="O3886" s="71">
        <f>INDEX(DurClassMapping,MATCH(M3886,MappingTables!$D$4:$D$8,-1),1)</f>
        <v>1</v>
      </c>
      <c r="P3886" s="73">
        <f>IF(M3886=$A$1,1,$M3886-INDEX(MappingTables!$E$4:$E$8,MATCH(O3886,MappingTables!$B$4:$B$8,0)))</f>
        <v>1</v>
      </c>
      <c r="Q3886" s="71">
        <f>IF(B3886="",0,INDEX(ModelParameters!$D$6:$K$10,MATCH($O3886,ModelParameters!$B$6:$B$10,0),MATCH($J3886,ModelParameters!$D$5:$K$5,0)))</f>
        <v>0.025</v>
      </c>
      <c r="R3886" s="71">
        <f>IF(B3886="",0,INDEX(ModelParameters!$D$13:$K$17,MATCH($O3886,ModelParameters!$B$13:$B$17,0),MATCH($J3886,ModelParameters!$D$5:$K$5,0)))</f>
        <v>0</v>
      </c>
      <c r="S3886" s="160">
        <f>IF(B3886="",0,MIN(IF($N3886="Other Bond TM",ModelParameters!$N$21,1)*(P3886*Q3886+R3886),1))</f>
        <v>0.025</v>
      </c>
      <c r="T3886" s="85">
        <f>IF(B3886="",0,$S3886*$K3886)</f>
        <v>8.1299563502363472</v>
      </c>
      <c r="U3886" s="85">
        <f>IF(B3886="",0,IF(OR(H3886=MappingTables!$C$34,H3886=MappingTables!$C$35),T3886,0))</f>
        <v>0</v>
      </c>
      <c r="V3886" s="85">
        <f>IF(ISNA(IF(AND(VLOOKUP(CONCATENATE($D3886,$G3886),CSRFinput!$B:$E,4,0)=0,OR(H3886=MappingTables!$C$34,H3886=MappingTables!$C$35)),1,VLOOKUP(CONCATENATE($D3886,$G3886),CSRFinput!$B:$E,4,0))),0,IF(AND(VLOOKUP(CONCATENATE($D3886,$G3886),CSRFinput!$B:$E,4,0)=0,OR(H3886=MappingTables!$C$34,H3886=MappingTables!$C$35)),1,VLOOKUP(CONCATENATE($D3886,$G3886),CSRFinput!$B:$E,4,0)))</f>
        <v>0.054776304963434752</v>
      </c>
      <c r="W3886" s="85">
        <f>IF(B3886="",0,+$T3886*$V3886)</f>
        <v>0.44532896837995904</v>
      </c>
      <c r="X3886" s="85">
        <f>IF(B3886="",0,IF(OR(H3886=MappingTables!$C$34,H3886=MappingTables!$C$35),W3886,0))</f>
        <v>0</v>
      </c>
    </row>
    <row r="3887" spans="2:24" s="0" customFormat="0" ht="15">
      <c r="B3887" s="69" t="s">
        <v>2440</v>
      </c>
      <c r="C3887" s="70" t="s">
        <v>2441</v>
      </c>
      <c r="D3887" s="70" t="s">
        <v>1</v>
      </c>
      <c r="E3887" s="70" t="s">
        <v>1</v>
      </c>
      <c r="F3887" s="70"/>
      <c r="G3887" s="70" t="s">
        <v>61</v>
      </c>
      <c r="H3887" s="70" t="s">
        <v>178</v>
      </c>
      <c r="I3887" s="70" t="s">
        <v>179</v>
      </c>
      <c r="J3887" s="71">
        <f>IF(OR(I3887=0,I3887=""),"unrated",VLOOKUP(I3887,MappingTables!$B$19:$C$31,2,FALSE))</f>
        <v>4</v>
      </c>
      <c r="K3887" s="72">
        <v>137.83744399227606</v>
      </c>
      <c r="L3887" s="70">
        <v>3.7826532920393576</v>
      </c>
      <c r="M3887" s="71">
        <f>IF(L3887&lt;1,1,L3887)</f>
        <v>3.7826532920393576</v>
      </c>
      <c r="N3887" s="70" t="s">
        <v>141</v>
      </c>
      <c r="O3887" s="71">
        <f>INDEX(DurClassMapping,MATCH(M3887,MappingTables!$D$4:$D$8,-1),1)</f>
        <v>1</v>
      </c>
      <c r="P3887" s="73">
        <f>IF(M3887=$A$1,1,$M3887-INDEX(MappingTables!$E$4:$E$8,MATCH(O3887,MappingTables!$B$4:$B$8,0)))</f>
        <v>3.7826532920393576</v>
      </c>
      <c r="Q3887" s="71">
        <f>IF(B3887="",0,INDEX(ModelParameters!$D$6:$K$10,MATCH($O3887,ModelParameters!$B$6:$B$10,0),MATCH($J3887,ModelParameters!$D$5:$K$5,0)))</f>
        <v>0.045</v>
      </c>
      <c r="R3887" s="71">
        <f>IF(B3887="",0,INDEX(ModelParameters!$D$13:$K$17,MATCH($O3887,ModelParameters!$B$13:$B$17,0),MATCH($J3887,ModelParameters!$D$5:$K$5,0)))</f>
        <v>0</v>
      </c>
      <c r="S3887" s="160">
        <f>IF(B3887="",0,MIN(IF($N3887="Other Bond TM",ModelParameters!$N$21,1)*(P3887*Q3887+R3887),1))</f>
        <v>0.17021939814177108</v>
      </c>
      <c r="T3887" s="85">
        <f>IF(B3887="",0,$S3887*$K3887)</f>
        <v>23.462606757765316</v>
      </c>
      <c r="U3887" s="85">
        <f>IF(B3887="",0,IF(OR(H3887=MappingTables!$C$34,H3887=MappingTables!$C$35),T3887,0))</f>
        <v>0</v>
      </c>
      <c r="V3887" s="85">
        <f>IF(ISNA(IF(AND(VLOOKUP(CONCATENATE($D3887,$G3887),CSRFinput!$B:$E,4,0)=0,OR(H3887=MappingTables!$C$34,H3887=MappingTables!$C$35)),1,VLOOKUP(CONCATENATE($D3887,$G3887),CSRFinput!$B:$E,4,0))),0,IF(AND(VLOOKUP(CONCATENATE($D3887,$G3887),CSRFinput!$B:$E,4,0)=0,OR(H3887=MappingTables!$C$34,H3887=MappingTables!$C$35)),1,VLOOKUP(CONCATENATE($D3887,$G3887),CSRFinput!$B:$E,4,0)))</f>
        <v>0.054776304963434752</v>
      </c>
      <c r="W3887" s="85">
        <f>IF(B3887="",0,+$T3887*$V3887)</f>
        <v>1.2851949030004978</v>
      </c>
      <c r="X3887" s="85">
        <f>IF(B3887="",0,IF(OR(H3887=MappingTables!$C$34,H3887=MappingTables!$C$35),W3887,0))</f>
        <v>0</v>
      </c>
    </row>
    <row r="3888" spans="2:24" s="0" customFormat="0" ht="15">
      <c r="B3888" s="69">
        <v>21226550</v>
      </c>
      <c r="C3888" s="70" t="s">
        <v>2554</v>
      </c>
      <c r="D3888" s="70" t="s">
        <v>1</v>
      </c>
      <c r="E3888" s="70" t="s">
        <v>1</v>
      </c>
      <c r="F3888" s="70"/>
      <c r="G3888" s="70" t="s">
        <v>61</v>
      </c>
      <c r="H3888" s="70" t="s">
        <v>178</v>
      </c>
      <c r="I3888" s="70" t="s">
        <v>179</v>
      </c>
      <c r="J3888" s="71">
        <f>IF(OR(I3888=0,I3888=""),"unrated",VLOOKUP(I3888,MappingTables!$B$19:$C$31,2,FALSE))</f>
        <v>4</v>
      </c>
      <c r="K3888" s="72">
        <v>8183.2001665546816</v>
      </c>
      <c r="L3888" s="70">
        <v>3.8120829973406056</v>
      </c>
      <c r="M3888" s="71">
        <f>IF(L3888&lt;1,1,L3888)</f>
        <v>3.8120829973406056</v>
      </c>
      <c r="N3888" s="70" t="s">
        <v>141</v>
      </c>
      <c r="O3888" s="71">
        <f>INDEX(DurClassMapping,MATCH(M3888,MappingTables!$D$4:$D$8,-1),1)</f>
        <v>1</v>
      </c>
      <c r="P3888" s="73">
        <f>IF(M3888=$A$1,1,$M3888-INDEX(MappingTables!$E$4:$E$8,MATCH(O3888,MappingTables!$B$4:$B$8,0)))</f>
        <v>3.8120829973406056</v>
      </c>
      <c r="Q3888" s="71">
        <f>IF(B3888="",0,INDEX(ModelParameters!$D$6:$K$10,MATCH($O3888,ModelParameters!$B$6:$B$10,0),MATCH($J3888,ModelParameters!$D$5:$K$5,0)))</f>
        <v>0.045</v>
      </c>
      <c r="R3888" s="71">
        <f>IF(B3888="",0,INDEX(ModelParameters!$D$13:$K$17,MATCH($O3888,ModelParameters!$B$13:$B$17,0),MATCH($J3888,ModelParameters!$D$5:$K$5,0)))</f>
        <v>0</v>
      </c>
      <c r="S3888" s="160">
        <f>IF(B3888="",0,MIN(IF($N3888="Other Bond TM",ModelParameters!$N$21,1)*(P3888*Q3888+R3888),1))</f>
        <v>0.17154373488032724</v>
      </c>
      <c r="T3888" s="85">
        <f>IF(B3888="",0,$S3888*$K3888)</f>
        <v>1403.776719844106</v>
      </c>
      <c r="U3888" s="85">
        <f>IF(B3888="",0,IF(OR(H3888=MappingTables!$C$34,H3888=MappingTables!$C$35),T3888,0))</f>
        <v>0</v>
      </c>
      <c r="V3888" s="85">
        <f>IF(ISNA(IF(AND(VLOOKUP(CONCATENATE($D3888,$G3888),CSRFinput!$B:$E,4,0)=0,OR(H3888=MappingTables!$C$34,H3888=MappingTables!$C$35)),1,VLOOKUP(CONCATENATE($D3888,$G3888),CSRFinput!$B:$E,4,0))),0,IF(AND(VLOOKUP(CONCATENATE($D3888,$G3888),CSRFinput!$B:$E,4,0)=0,OR(H3888=MappingTables!$C$34,H3888=MappingTables!$C$35)),1,VLOOKUP(CONCATENATE($D3888,$G3888),CSRFinput!$B:$E,4,0)))</f>
        <v>0.054776304963434752</v>
      </c>
      <c r="W3888" s="85">
        <f>IF(B3888="",0,+$T3888*$V3888)</f>
        <v>76.893701706750864</v>
      </c>
      <c r="X3888" s="85">
        <f>IF(B3888="",0,IF(OR(H3888=MappingTables!$C$34,H3888=MappingTables!$C$35),W3888,0))</f>
        <v>0</v>
      </c>
    </row>
    <row r="3889" spans="2:24" s="0" customFormat="0" ht="15">
      <c r="B3889" s="69">
        <v>23673157</v>
      </c>
      <c r="C3889" s="70" t="s">
        <v>2943</v>
      </c>
      <c r="D3889" s="70" t="s">
        <v>1</v>
      </c>
      <c r="E3889" s="70" t="s">
        <v>1</v>
      </c>
      <c r="F3889" s="70"/>
      <c r="G3889" s="70" t="s">
        <v>61</v>
      </c>
      <c r="H3889" s="70" t="s">
        <v>178</v>
      </c>
      <c r="I3889" s="70" t="s">
        <v>188</v>
      </c>
      <c r="J3889" s="71">
        <f>IF(OR(I3889=0,I3889=""),"unrated",VLOOKUP(I3889,MappingTables!$B$19:$C$31,2,FALSE))</f>
        <v>2</v>
      </c>
      <c r="K3889" s="72">
        <v>722.18964409964048</v>
      </c>
      <c r="L3889" s="70">
        <v>1.4514782482440738</v>
      </c>
      <c r="M3889" s="71">
        <f>IF(L3889&lt;1,1,L3889)</f>
        <v>1.4514782482440738</v>
      </c>
      <c r="N3889" s="70" t="s">
        <v>141</v>
      </c>
      <c r="O3889" s="71">
        <f>INDEX(DurClassMapping,MATCH(M3889,MappingTables!$D$4:$D$8,-1),1)</f>
        <v>1</v>
      </c>
      <c r="P3889" s="73">
        <f>IF(M3889=$A$1,1,$M3889-INDEX(MappingTables!$E$4:$E$8,MATCH(O3889,MappingTables!$B$4:$B$8,0)))</f>
        <v>1.4514782482440738</v>
      </c>
      <c r="Q3889" s="71">
        <f>IF(B3889="",0,INDEX(ModelParameters!$D$6:$K$10,MATCH($O3889,ModelParameters!$B$6:$B$10,0),MATCH($J3889,ModelParameters!$D$5:$K$5,0)))</f>
        <v>0.013999999999999998</v>
      </c>
      <c r="R3889" s="71">
        <f>IF(B3889="",0,INDEX(ModelParameters!$D$13:$K$17,MATCH($O3889,ModelParameters!$B$13:$B$17,0),MATCH($J3889,ModelParameters!$D$5:$K$5,0)))</f>
        <v>0</v>
      </c>
      <c r="S3889" s="160">
        <f>IF(B3889="",0,MIN(IF($N3889="Other Bond TM",ModelParameters!$N$21,1)*(P3889*Q3889+R3889),1))</f>
        <v>0.020320695475417032</v>
      </c>
      <c r="T3889" s="85">
        <f>IF(B3889="",0,$S3889*$K3889)</f>
        <v>14.675395833248602</v>
      </c>
      <c r="U3889" s="85">
        <f>IF(B3889="",0,IF(OR(H3889=MappingTables!$C$34,H3889=MappingTables!$C$35),T3889,0))</f>
        <v>0</v>
      </c>
      <c r="V3889" s="85">
        <f>IF(ISNA(IF(AND(VLOOKUP(CONCATENATE($D3889,$G3889),CSRFinput!$B:$E,4,0)=0,OR(H3889=MappingTables!$C$34,H3889=MappingTables!$C$35)),1,VLOOKUP(CONCATENATE($D3889,$G3889),CSRFinput!$B:$E,4,0))),0,IF(AND(VLOOKUP(CONCATENATE($D3889,$G3889),CSRFinput!$B:$E,4,0)=0,OR(H3889=MappingTables!$C$34,H3889=MappingTables!$C$35)),1,VLOOKUP(CONCATENATE($D3889,$G3889),CSRFinput!$B:$E,4,0)))</f>
        <v>0.054776304963434752</v>
      </c>
      <c r="W3889" s="85">
        <f>IF(B3889="",0,+$T3889*$V3889)</f>
        <v>0.80386395762114512</v>
      </c>
      <c r="X3889" s="85">
        <f>IF(B3889="",0,IF(OR(H3889=MappingTables!$C$34,H3889=MappingTables!$C$35),W3889,0))</f>
        <v>0</v>
      </c>
    </row>
    <row r="3890" spans="2:24" s="0" customFormat="0" ht="15">
      <c r="B3890" s="69">
        <v>22698145</v>
      </c>
      <c r="C3890" s="70" t="s">
        <v>2640</v>
      </c>
      <c r="D3890" s="70" t="s">
        <v>1</v>
      </c>
      <c r="E3890" s="70" t="s">
        <v>1</v>
      </c>
      <c r="F3890" s="70"/>
      <c r="G3890" s="70" t="s">
        <v>61</v>
      </c>
      <c r="H3890" s="70" t="s">
        <v>178</v>
      </c>
      <c r="I3890" s="70" t="s">
        <v>181</v>
      </c>
      <c r="J3890" s="71">
        <f>IF(OR(I3890=0,I3890=""),"unrated",VLOOKUP(I3890,MappingTables!$B$19:$C$31,2,FALSE))</f>
        <v>3</v>
      </c>
      <c r="K3890" s="72">
        <v>2768.5248017191884</v>
      </c>
      <c r="L3890" s="70">
        <v>3.9483375685658168</v>
      </c>
      <c r="M3890" s="71">
        <f>IF(L3890&lt;1,1,L3890)</f>
        <v>3.9483375685658168</v>
      </c>
      <c r="N3890" s="70" t="s">
        <v>141</v>
      </c>
      <c r="O3890" s="71">
        <f>INDEX(DurClassMapping,MATCH(M3890,MappingTables!$D$4:$D$8,-1),1)</f>
        <v>1</v>
      </c>
      <c r="P3890" s="73">
        <f>IF(M3890=$A$1,1,$M3890-INDEX(MappingTables!$E$4:$E$8,MATCH(O3890,MappingTables!$B$4:$B$8,0)))</f>
        <v>3.9483375685658168</v>
      </c>
      <c r="Q3890" s="71">
        <f>IF(B3890="",0,INDEX(ModelParameters!$D$6:$K$10,MATCH($O3890,ModelParameters!$B$6:$B$10,0),MATCH($J3890,ModelParameters!$D$5:$K$5,0)))</f>
        <v>0.025</v>
      </c>
      <c r="R3890" s="71">
        <f>IF(B3890="",0,INDEX(ModelParameters!$D$13:$K$17,MATCH($O3890,ModelParameters!$B$13:$B$17,0),MATCH($J3890,ModelParameters!$D$5:$K$5,0)))</f>
        <v>0</v>
      </c>
      <c r="S3890" s="160">
        <f>IF(B3890="",0,MIN(IF($N3890="Other Bond TM",ModelParameters!$N$21,1)*(P3890*Q3890+R3890),1))</f>
        <v>0.09870843921414544</v>
      </c>
      <c r="T3890" s="85">
        <f>IF(B3890="",0,$S3890*$K3890)</f>
        <v>273.27676210335256</v>
      </c>
      <c r="U3890" s="85">
        <f>IF(B3890="",0,IF(OR(H3890=MappingTables!$C$34,H3890=MappingTables!$C$35),T3890,0))</f>
        <v>0</v>
      </c>
      <c r="V3890" s="85">
        <f>IF(ISNA(IF(AND(VLOOKUP(CONCATENATE($D3890,$G3890),CSRFinput!$B:$E,4,0)=0,OR(H3890=MappingTables!$C$34,H3890=MappingTables!$C$35)),1,VLOOKUP(CONCATENATE($D3890,$G3890),CSRFinput!$B:$E,4,0))),0,IF(AND(VLOOKUP(CONCATENATE($D3890,$G3890),CSRFinput!$B:$E,4,0)=0,OR(H3890=MappingTables!$C$34,H3890=MappingTables!$C$35)),1,VLOOKUP(CONCATENATE($D3890,$G3890),CSRFinput!$B:$E,4,0)))</f>
        <v>0.054776304963434752</v>
      </c>
      <c r="W3890" s="85">
        <f>IF(B3890="",0,+$T3890*$V3890)</f>
        <v>14.969091260393248</v>
      </c>
      <c r="X3890" s="85">
        <f>IF(B3890="",0,IF(OR(H3890=MappingTables!$C$34,H3890=MappingTables!$C$35),W3890,0))</f>
        <v>0</v>
      </c>
    </row>
    <row r="3891" spans="2:24" s="0" customFormat="0" ht="15">
      <c r="B3891" s="69" t="s">
        <v>1719</v>
      </c>
      <c r="C3891" s="70" t="s">
        <v>1720</v>
      </c>
      <c r="D3891" s="70" t="s">
        <v>1</v>
      </c>
      <c r="E3891" s="70" t="s">
        <v>1</v>
      </c>
      <c r="F3891" s="70"/>
      <c r="G3891" s="70" t="s">
        <v>61</v>
      </c>
      <c r="H3891" s="70" t="s">
        <v>178</v>
      </c>
      <c r="I3891" s="70" t="s">
        <v>179</v>
      </c>
      <c r="J3891" s="71">
        <f>IF(OR(I3891=0,I3891=""),"unrated",VLOOKUP(I3891,MappingTables!$B$19:$C$31,2,FALSE))</f>
        <v>4</v>
      </c>
      <c r="K3891" s="72">
        <v>292.94680400043068</v>
      </c>
      <c r="L3891" s="70">
        <v>1.985390784697076</v>
      </c>
      <c r="M3891" s="71">
        <f>IF(L3891&lt;1,1,L3891)</f>
        <v>1.985390784697076</v>
      </c>
      <c r="N3891" s="70" t="s">
        <v>141</v>
      </c>
      <c r="O3891" s="71">
        <f>INDEX(DurClassMapping,MATCH(M3891,MappingTables!$D$4:$D$8,-1),1)</f>
        <v>1</v>
      </c>
      <c r="P3891" s="73">
        <f>IF(M3891=$A$1,1,$M3891-INDEX(MappingTables!$E$4:$E$8,MATCH(O3891,MappingTables!$B$4:$B$8,0)))</f>
        <v>1.985390784697076</v>
      </c>
      <c r="Q3891" s="71">
        <f>IF(B3891="",0,INDEX(ModelParameters!$D$6:$K$10,MATCH($O3891,ModelParameters!$B$6:$B$10,0),MATCH($J3891,ModelParameters!$D$5:$K$5,0)))</f>
        <v>0.045</v>
      </c>
      <c r="R3891" s="71">
        <f>IF(B3891="",0,INDEX(ModelParameters!$D$13:$K$17,MATCH($O3891,ModelParameters!$B$13:$B$17,0),MATCH($J3891,ModelParameters!$D$5:$K$5,0)))</f>
        <v>0</v>
      </c>
      <c r="S3891" s="160">
        <f>IF(B3891="",0,MIN(IF($N3891="Other Bond TM",ModelParameters!$N$21,1)*(P3891*Q3891+R3891),1))</f>
        <v>0.089342585311368416</v>
      </c>
      <c r="T3891" s="85">
        <f>IF(B3891="",0,$S3891*$K3891)</f>
        <v>26.172624828101204</v>
      </c>
      <c r="U3891" s="85">
        <f>IF(B3891="",0,IF(OR(H3891=MappingTables!$C$34,H3891=MappingTables!$C$35),T3891,0))</f>
        <v>0</v>
      </c>
      <c r="V3891" s="85">
        <f>IF(ISNA(IF(AND(VLOOKUP(CONCATENATE($D3891,$G3891),CSRFinput!$B:$E,4,0)=0,OR(H3891=MappingTables!$C$34,H3891=MappingTables!$C$35)),1,VLOOKUP(CONCATENATE($D3891,$G3891),CSRFinput!$B:$E,4,0))),0,IF(AND(VLOOKUP(CONCATENATE($D3891,$G3891),CSRFinput!$B:$E,4,0)=0,OR(H3891=MappingTables!$C$34,H3891=MappingTables!$C$35)),1,VLOOKUP(CONCATENATE($D3891,$G3891),CSRFinput!$B:$E,4,0)))</f>
        <v>0.054776304963434752</v>
      </c>
      <c r="W3891" s="85">
        <f>IF(B3891="",0,+$T3891*$V3891)</f>
        <v>1.4336396792776356</v>
      </c>
      <c r="X3891" s="85">
        <f>IF(B3891="",0,IF(OR(H3891=MappingTables!$C$34,H3891=MappingTables!$C$35),W3891,0))</f>
        <v>0</v>
      </c>
    </row>
    <row r="3892" spans="2:24" s="0" customFormat="0" ht="15">
      <c r="B3892" s="69">
        <v>13726603</v>
      </c>
      <c r="C3892" s="70" t="s">
        <v>746</v>
      </c>
      <c r="D3892" s="70" t="s">
        <v>1</v>
      </c>
      <c r="E3892" s="70" t="s">
        <v>1</v>
      </c>
      <c r="F3892" s="70"/>
      <c r="G3892" s="70" t="s">
        <v>61</v>
      </c>
      <c r="H3892" s="70" t="s">
        <v>178</v>
      </c>
      <c r="I3892" s="70" t="s">
        <v>179</v>
      </c>
      <c r="J3892" s="71">
        <f>IF(OR(I3892=0,I3892=""),"unrated",VLOOKUP(I3892,MappingTables!$B$19:$C$31,2,FALSE))</f>
        <v>4</v>
      </c>
      <c r="K3892" s="72">
        <v>1102.3163479595074</v>
      </c>
      <c r="L3892" s="70">
        <v>3.1500616599872536</v>
      </c>
      <c r="M3892" s="71">
        <f>IF(L3892&lt;1,1,L3892)</f>
        <v>3.1500616599872536</v>
      </c>
      <c r="N3892" s="70" t="s">
        <v>141</v>
      </c>
      <c r="O3892" s="71">
        <f>INDEX(DurClassMapping,MATCH(M3892,MappingTables!$D$4:$D$8,-1),1)</f>
        <v>1</v>
      </c>
      <c r="P3892" s="73">
        <f>IF(M3892=$A$1,1,$M3892-INDEX(MappingTables!$E$4:$E$8,MATCH(O3892,MappingTables!$B$4:$B$8,0)))</f>
        <v>3.1500616599872536</v>
      </c>
      <c r="Q3892" s="71">
        <f>IF(B3892="",0,INDEX(ModelParameters!$D$6:$K$10,MATCH($O3892,ModelParameters!$B$6:$B$10,0),MATCH($J3892,ModelParameters!$D$5:$K$5,0)))</f>
        <v>0.045</v>
      </c>
      <c r="R3892" s="71">
        <f>IF(B3892="",0,INDEX(ModelParameters!$D$13:$K$17,MATCH($O3892,ModelParameters!$B$13:$B$17,0),MATCH($J3892,ModelParameters!$D$5:$K$5,0)))</f>
        <v>0</v>
      </c>
      <c r="S3892" s="160">
        <f>IF(B3892="",0,MIN(IF($N3892="Other Bond TM",ModelParameters!$N$21,1)*(P3892*Q3892+R3892),1))</f>
        <v>0.1417527746994264</v>
      </c>
      <c r="T3892" s="85">
        <f>IF(B3892="",0,$S3892*$K3892)</f>
        <v>156.25640091979856</v>
      </c>
      <c r="U3892" s="85">
        <f>IF(B3892="",0,IF(OR(H3892=MappingTables!$C$34,H3892=MappingTables!$C$35),T3892,0))</f>
        <v>0</v>
      </c>
      <c r="V3892" s="85">
        <f>IF(ISNA(IF(AND(VLOOKUP(CONCATENATE($D3892,$G3892),CSRFinput!$B:$E,4,0)=0,OR(H3892=MappingTables!$C$34,H3892=MappingTables!$C$35)),1,VLOOKUP(CONCATENATE($D3892,$G3892),CSRFinput!$B:$E,4,0))),0,IF(AND(VLOOKUP(CONCATENATE($D3892,$G3892),CSRFinput!$B:$E,4,0)=0,OR(H3892=MappingTables!$C$34,H3892=MappingTables!$C$35)),1,VLOOKUP(CONCATENATE($D3892,$G3892),CSRFinput!$B:$E,4,0)))</f>
        <v>0.054776304963434752</v>
      </c>
      <c r="W3892" s="85">
        <f>IF(B3892="",0,+$T3892*$V3892)</f>
        <v>8.5591482692716112</v>
      </c>
      <c r="X3892" s="85">
        <f>IF(B3892="",0,IF(OR(H3892=MappingTables!$C$34,H3892=MappingTables!$C$35),W3892,0))</f>
        <v>0</v>
      </c>
    </row>
    <row r="3893" spans="2:24" s="0" customFormat="0" ht="15">
      <c r="B3893" s="69" t="s">
        <v>361</v>
      </c>
      <c r="C3893" s="70" t="s">
        <v>362</v>
      </c>
      <c r="D3893" s="70" t="s">
        <v>1</v>
      </c>
      <c r="E3893" s="70" t="s">
        <v>1</v>
      </c>
      <c r="F3893" s="70"/>
      <c r="G3893" s="70" t="s">
        <v>61</v>
      </c>
      <c r="H3893" s="70" t="s">
        <v>178</v>
      </c>
      <c r="I3893" s="70" t="s">
        <v>181</v>
      </c>
      <c r="J3893" s="71">
        <f>IF(OR(I3893=0,I3893=""),"unrated",VLOOKUP(I3893,MappingTables!$B$19:$C$31,2,FALSE))</f>
        <v>3</v>
      </c>
      <c r="K3893" s="72">
        <v>0.28886368472667696</v>
      </c>
      <c r="L3893" s="70">
        <v>0.65205946245773024</v>
      </c>
      <c r="M3893" s="71">
        <f>IF(L3893&lt;1,1,L3893)</f>
        <v>1</v>
      </c>
      <c r="N3893" s="70" t="s">
        <v>141</v>
      </c>
      <c r="O3893" s="71">
        <f>INDEX(DurClassMapping,MATCH(M3893,MappingTables!$D$4:$D$8,-1),1)</f>
        <v>1</v>
      </c>
      <c r="P3893" s="73">
        <f>IF(M3893=$A$1,1,$M3893-INDEX(MappingTables!$E$4:$E$8,MATCH(O3893,MappingTables!$B$4:$B$8,0)))</f>
        <v>1</v>
      </c>
      <c r="Q3893" s="71">
        <f>IF(B3893="",0,INDEX(ModelParameters!$D$6:$K$10,MATCH($O3893,ModelParameters!$B$6:$B$10,0),MATCH($J3893,ModelParameters!$D$5:$K$5,0)))</f>
        <v>0.025</v>
      </c>
      <c r="R3893" s="71">
        <f>IF(B3893="",0,INDEX(ModelParameters!$D$13:$K$17,MATCH($O3893,ModelParameters!$B$13:$B$17,0),MATCH($J3893,ModelParameters!$D$5:$K$5,0)))</f>
        <v>0</v>
      </c>
      <c r="S3893" s="160">
        <f>IF(B3893="",0,MIN(IF($N3893="Other Bond TM",ModelParameters!$N$21,1)*(P3893*Q3893+R3893),1))</f>
        <v>0.025</v>
      </c>
      <c r="T3893" s="85">
        <f>IF(B3893="",0,$S3893*$K3893)</f>
        <v>0.0072215921181669232</v>
      </c>
      <c r="U3893" s="85">
        <f>IF(B3893="",0,IF(OR(H3893=MappingTables!$C$34,H3893=MappingTables!$C$35),T3893,0))</f>
        <v>0</v>
      </c>
      <c r="V3893" s="85">
        <f>IF(ISNA(IF(AND(VLOOKUP(CONCATENATE($D3893,$G3893),CSRFinput!$B:$E,4,0)=0,OR(H3893=MappingTables!$C$34,H3893=MappingTables!$C$35)),1,VLOOKUP(CONCATENATE($D3893,$G3893),CSRFinput!$B:$E,4,0))),0,IF(AND(VLOOKUP(CONCATENATE($D3893,$G3893),CSRFinput!$B:$E,4,0)=0,OR(H3893=MappingTables!$C$34,H3893=MappingTables!$C$35)),1,VLOOKUP(CONCATENATE($D3893,$G3893),CSRFinput!$B:$E,4,0)))</f>
        <v>0.054776304963434752</v>
      </c>
      <c r="W3893" s="85">
        <f>IF(B3893="",0,+$T3893*$V3893)</f>
        <v>0.00039557213218624816</v>
      </c>
      <c r="X3893" s="85">
        <f>IF(B3893="",0,IF(OR(H3893=MappingTables!$C$34,H3893=MappingTables!$C$35),W3893,0))</f>
        <v>0</v>
      </c>
    </row>
    <row r="3894" spans="2:24" s="0" customFormat="0" ht="15">
      <c r="B3894" s="69">
        <v>18801403</v>
      </c>
      <c r="C3894" s="70" t="s">
        <v>675</v>
      </c>
      <c r="D3894" s="70" t="s">
        <v>1</v>
      </c>
      <c r="E3894" s="70" t="s">
        <v>1</v>
      </c>
      <c r="F3894" s="70"/>
      <c r="G3894" s="70" t="s">
        <v>61</v>
      </c>
      <c r="H3894" s="70" t="s">
        <v>178</v>
      </c>
      <c r="I3894" s="70" t="s">
        <v>181</v>
      </c>
      <c r="J3894" s="71">
        <f>IF(OR(I3894=0,I3894=""),"unrated",VLOOKUP(I3894,MappingTables!$B$19:$C$31,2,FALSE))</f>
        <v>3</v>
      </c>
      <c r="K3894" s="72">
        <v>8462.6470242422016</v>
      </c>
      <c r="L3894" s="70">
        <v>6.6701423069012952</v>
      </c>
      <c r="M3894" s="71">
        <f>IF(L3894&lt;1,1,L3894)</f>
        <v>6.6701423069012952</v>
      </c>
      <c r="N3894" s="70" t="s">
        <v>141</v>
      </c>
      <c r="O3894" s="71">
        <f>INDEX(DurClassMapping,MATCH(M3894,MappingTables!$D$4:$D$8,-1),1)</f>
        <v>2</v>
      </c>
      <c r="P3894" s="73">
        <f>IF(M3894=$A$1,1,$M3894-INDEX(MappingTables!$E$4:$E$8,MATCH(O3894,MappingTables!$B$4:$B$8,0)))</f>
        <v>1.6701423069012948</v>
      </c>
      <c r="Q3894" s="71">
        <f>IF(B3894="",0,INDEX(ModelParameters!$D$6:$K$10,MATCH($O3894,ModelParameters!$B$6:$B$10,0),MATCH($J3894,ModelParameters!$D$5:$K$5,0)))</f>
        <v>0.015</v>
      </c>
      <c r="R3894" s="71">
        <f>IF(B3894="",0,INDEX(ModelParameters!$D$13:$K$17,MATCH($O3894,ModelParameters!$B$13:$B$17,0),MATCH($J3894,ModelParameters!$D$5:$K$5,0)))</f>
        <v>0.125</v>
      </c>
      <c r="S3894" s="160">
        <f>IF(B3894="",0,MIN(IF($N3894="Other Bond TM",ModelParameters!$N$21,1)*(P3894*Q3894+R3894),1))</f>
        <v>0.15005213460351944</v>
      </c>
      <c r="T3894" s="85">
        <f>IF(B3894="",0,$S3894*$K3894)</f>
        <v>1269.838250383664</v>
      </c>
      <c r="U3894" s="85">
        <f>IF(B3894="",0,IF(OR(H3894=MappingTables!$C$34,H3894=MappingTables!$C$35),T3894,0))</f>
        <v>0</v>
      </c>
      <c r="V3894" s="85">
        <f>IF(ISNA(IF(AND(VLOOKUP(CONCATENATE($D3894,$G3894),CSRFinput!$B:$E,4,0)=0,OR(H3894=MappingTables!$C$34,H3894=MappingTables!$C$35)),1,VLOOKUP(CONCATENATE($D3894,$G3894),CSRFinput!$B:$E,4,0))),0,IF(AND(VLOOKUP(CONCATENATE($D3894,$G3894),CSRFinput!$B:$E,4,0)=0,OR(H3894=MappingTables!$C$34,H3894=MappingTables!$C$35)),1,VLOOKUP(CONCATENATE($D3894,$G3894),CSRFinput!$B:$E,4,0)))</f>
        <v>0.054776304963434752</v>
      </c>
      <c r="W3894" s="85">
        <f>IF(B3894="",0,+$T3894*$V3894)</f>
        <v>69.557047257249992</v>
      </c>
      <c r="X3894" s="85">
        <f>IF(B3894="",0,IF(OR(H3894=MappingTables!$C$34,H3894=MappingTables!$C$35),W3894,0))</f>
        <v>0</v>
      </c>
    </row>
    <row r="3895" spans="2:24" s="0" customFormat="0" ht="15">
      <c r="B3895" s="69">
        <v>14577841</v>
      </c>
      <c r="C3895" s="70" t="s">
        <v>2967</v>
      </c>
      <c r="D3895" s="70" t="s">
        <v>1</v>
      </c>
      <c r="E3895" s="70" t="s">
        <v>1</v>
      </c>
      <c r="F3895" s="70"/>
      <c r="G3895" s="70" t="s">
        <v>61</v>
      </c>
      <c r="H3895" s="70" t="s">
        <v>178</v>
      </c>
      <c r="I3895" s="70" t="s">
        <v>179</v>
      </c>
      <c r="J3895" s="71">
        <f>IF(OR(I3895=0,I3895=""),"unrated",VLOOKUP(I3895,MappingTables!$B$19:$C$31,2,FALSE))</f>
        <v>4</v>
      </c>
      <c r="K3895" s="72">
        <v>180.76258126218704</v>
      </c>
      <c r="L3895" s="70">
        <v>3.94576007263672</v>
      </c>
      <c r="M3895" s="71">
        <f>IF(L3895&lt;1,1,L3895)</f>
        <v>3.94576007263672</v>
      </c>
      <c r="N3895" s="70" t="s">
        <v>141</v>
      </c>
      <c r="O3895" s="71">
        <f>INDEX(DurClassMapping,MATCH(M3895,MappingTables!$D$4:$D$8,-1),1)</f>
        <v>1</v>
      </c>
      <c r="P3895" s="73">
        <f>IF(M3895=$A$1,1,$M3895-INDEX(MappingTables!$E$4:$E$8,MATCH(O3895,MappingTables!$B$4:$B$8,0)))</f>
        <v>3.94576007263672</v>
      </c>
      <c r="Q3895" s="71">
        <f>IF(B3895="",0,INDEX(ModelParameters!$D$6:$K$10,MATCH($O3895,ModelParameters!$B$6:$B$10,0),MATCH($J3895,ModelParameters!$D$5:$K$5,0)))</f>
        <v>0.045</v>
      </c>
      <c r="R3895" s="71">
        <f>IF(B3895="",0,INDEX(ModelParameters!$D$13:$K$17,MATCH($O3895,ModelParameters!$B$13:$B$17,0),MATCH($J3895,ModelParameters!$D$5:$K$5,0)))</f>
        <v>0</v>
      </c>
      <c r="S3895" s="160">
        <f>IF(B3895="",0,MIN(IF($N3895="Other Bond TM",ModelParameters!$N$21,1)*(P3895*Q3895+R3895),1))</f>
        <v>0.17755920326865238</v>
      </c>
      <c r="T3895" s="85">
        <f>IF(B3895="",0,$S3895*$K3895)</f>
        <v>32.096059909698964</v>
      </c>
      <c r="U3895" s="85">
        <f>IF(B3895="",0,IF(OR(H3895=MappingTables!$C$34,H3895=MappingTables!$C$35),T3895,0))</f>
        <v>0</v>
      </c>
      <c r="V3895" s="85">
        <f>IF(ISNA(IF(AND(VLOOKUP(CONCATENATE($D3895,$G3895),CSRFinput!$B:$E,4,0)=0,OR(H3895=MappingTables!$C$34,H3895=MappingTables!$C$35)),1,VLOOKUP(CONCATENATE($D3895,$G3895),CSRFinput!$B:$E,4,0))),0,IF(AND(VLOOKUP(CONCATENATE($D3895,$G3895),CSRFinput!$B:$E,4,0)=0,OR(H3895=MappingTables!$C$34,H3895=MappingTables!$C$35)),1,VLOOKUP(CONCATENATE($D3895,$G3895),CSRFinput!$B:$E,4,0)))</f>
        <v>0.054776304963434752</v>
      </c>
      <c r="W3895" s="85">
        <f>IF(B3895="",0,+$T3895*$V3895)</f>
        <v>1.7581035657383426</v>
      </c>
      <c r="X3895" s="85">
        <f>IF(B3895="",0,IF(OR(H3895=MappingTables!$C$34,H3895=MappingTables!$C$35),W3895,0))</f>
        <v>0</v>
      </c>
    </row>
    <row r="3896" spans="2:24" s="0" customFormat="0" ht="15">
      <c r="B3896" s="69" t="s">
        <v>2968</v>
      </c>
      <c r="C3896" s="70" t="s">
        <v>2969</v>
      </c>
      <c r="D3896" s="70" t="s">
        <v>1</v>
      </c>
      <c r="E3896" s="70" t="s">
        <v>1</v>
      </c>
      <c r="F3896" s="70"/>
      <c r="G3896" s="70" t="s">
        <v>61</v>
      </c>
      <c r="H3896" s="70" t="s">
        <v>178</v>
      </c>
      <c r="I3896" s="70" t="s">
        <v>220</v>
      </c>
      <c r="J3896" s="71">
        <f>IF(OR(I3896=0,I3896=""),"unrated",VLOOKUP(I3896,MappingTables!$B$19:$C$31,2,FALSE))</f>
        <v>1</v>
      </c>
      <c r="K3896" s="72">
        <v>221.11802369544928</v>
      </c>
      <c r="L3896" s="70">
        <v>14.748601139369152</v>
      </c>
      <c r="M3896" s="71">
        <f>IF(L3896&lt;1,1,L3896)</f>
        <v>14.748601139369152</v>
      </c>
      <c r="N3896" s="70" t="s">
        <v>141</v>
      </c>
      <c r="O3896" s="71">
        <f>INDEX(DurClassMapping,MATCH(M3896,MappingTables!$D$4:$D$8,-1),1)</f>
        <v>3</v>
      </c>
      <c r="P3896" s="73">
        <f>IF(M3896=$A$1,1,$M3896-INDEX(MappingTables!$E$4:$E$8,MATCH(O3896,MappingTables!$B$4:$B$8,0)))</f>
        <v>4.748601139369152</v>
      </c>
      <c r="Q3896" s="71">
        <f>IF(B3896="",0,INDEX(ModelParameters!$D$6:$K$10,MATCH($O3896,ModelParameters!$B$6:$B$10,0),MATCH($J3896,ModelParameters!$D$5:$K$5,0)))</f>
        <v>0.005</v>
      </c>
      <c r="R3896" s="71">
        <f>IF(B3896="",0,INDEX(ModelParameters!$D$13:$K$17,MATCH($O3896,ModelParameters!$B$13:$B$17,0),MATCH($J3896,ModelParameters!$D$5:$K$5,0)))</f>
        <v>0.085</v>
      </c>
      <c r="S3896" s="160">
        <f>IF(B3896="",0,MIN(IF($N3896="Other Bond TM",ModelParameters!$N$21,1)*(P3896*Q3896+R3896),1))</f>
        <v>0.10874300569684576</v>
      </c>
      <c r="T3896" s="85">
        <f>IF(B3896="",0,$S3896*$K3896)</f>
        <v>24.04503851038952</v>
      </c>
      <c r="U3896" s="85">
        <f>IF(B3896="",0,IF(OR(H3896=MappingTables!$C$34,H3896=MappingTables!$C$35),T3896,0))</f>
        <v>0</v>
      </c>
      <c r="V3896" s="85">
        <f>IF(ISNA(IF(AND(VLOOKUP(CONCATENATE($D3896,$G3896),CSRFinput!$B:$E,4,0)=0,OR(H3896=MappingTables!$C$34,H3896=MappingTables!$C$35)),1,VLOOKUP(CONCATENATE($D3896,$G3896),CSRFinput!$B:$E,4,0))),0,IF(AND(VLOOKUP(CONCATENATE($D3896,$G3896),CSRFinput!$B:$E,4,0)=0,OR(H3896=MappingTables!$C$34,H3896=MappingTables!$C$35)),1,VLOOKUP(CONCATENATE($D3896,$G3896),CSRFinput!$B:$E,4,0)))</f>
        <v>0.054776304963434752</v>
      </c>
      <c r="W3896" s="85">
        <f>IF(B3896="",0,+$T3896*$V3896)</f>
        <v>1.3170983623026294</v>
      </c>
      <c r="X3896" s="85">
        <f>IF(B3896="",0,IF(OR(H3896=MappingTables!$C$34,H3896=MappingTables!$C$35),W3896,0))</f>
        <v>0</v>
      </c>
    </row>
    <row r="3897" spans="2:24" s="0" customFormat="0" ht="15">
      <c r="B3897" s="69">
        <v>4938090</v>
      </c>
      <c r="C3897" s="70" t="s">
        <v>2970</v>
      </c>
      <c r="D3897" s="70" t="s">
        <v>1</v>
      </c>
      <c r="E3897" s="70" t="s">
        <v>1</v>
      </c>
      <c r="F3897" s="70"/>
      <c r="G3897" s="70" t="s">
        <v>61</v>
      </c>
      <c r="H3897" s="70" t="s">
        <v>178</v>
      </c>
      <c r="I3897" s="70" t="s">
        <v>188</v>
      </c>
      <c r="J3897" s="71">
        <f>IF(OR(I3897=0,I3897=""),"unrated",VLOOKUP(I3897,MappingTables!$B$19:$C$31,2,FALSE))</f>
        <v>2</v>
      </c>
      <c r="K3897" s="72">
        <v>4.409836671688884</v>
      </c>
      <c r="L3897" s="70">
        <v>1.5648739625973218</v>
      </c>
      <c r="M3897" s="71">
        <f>IF(L3897&lt;1,1,L3897)</f>
        <v>1.5648739625973218</v>
      </c>
      <c r="N3897" s="70" t="s">
        <v>141</v>
      </c>
      <c r="O3897" s="71">
        <f>INDEX(DurClassMapping,MATCH(M3897,MappingTables!$D$4:$D$8,-1),1)</f>
        <v>1</v>
      </c>
      <c r="P3897" s="73">
        <f>IF(M3897=$A$1,1,$M3897-INDEX(MappingTables!$E$4:$E$8,MATCH(O3897,MappingTables!$B$4:$B$8,0)))</f>
        <v>1.5648739625973218</v>
      </c>
      <c r="Q3897" s="71">
        <f>IF(B3897="",0,INDEX(ModelParameters!$D$6:$K$10,MATCH($O3897,ModelParameters!$B$6:$B$10,0),MATCH($J3897,ModelParameters!$D$5:$K$5,0)))</f>
        <v>0.013999999999999998</v>
      </c>
      <c r="R3897" s="71">
        <f>IF(B3897="",0,INDEX(ModelParameters!$D$13:$K$17,MATCH($O3897,ModelParameters!$B$13:$B$17,0),MATCH($J3897,ModelParameters!$D$5:$K$5,0)))</f>
        <v>0</v>
      </c>
      <c r="S3897" s="160">
        <f>IF(B3897="",0,MIN(IF($N3897="Other Bond TM",ModelParameters!$N$21,1)*(P3897*Q3897+R3897),1))</f>
        <v>0.021908235476362504</v>
      </c>
      <c r="T3897" s="85">
        <f>IF(B3897="",0,$S3897*$K3897)</f>
        <v>0.096611740215658752</v>
      </c>
      <c r="U3897" s="85">
        <f>IF(B3897="",0,IF(OR(H3897=MappingTables!$C$34,H3897=MappingTables!$C$35),T3897,0))</f>
        <v>0</v>
      </c>
      <c r="V3897" s="85">
        <f>IF(ISNA(IF(AND(VLOOKUP(CONCATENATE($D3897,$G3897),CSRFinput!$B:$E,4,0)=0,OR(H3897=MappingTables!$C$34,H3897=MappingTables!$C$35)),1,VLOOKUP(CONCATENATE($D3897,$G3897),CSRFinput!$B:$E,4,0))),0,IF(AND(VLOOKUP(CONCATENATE($D3897,$G3897),CSRFinput!$B:$E,4,0)=0,OR(H3897=MappingTables!$C$34,H3897=MappingTables!$C$35)),1,VLOOKUP(CONCATENATE($D3897,$G3897),CSRFinput!$B:$E,4,0)))</f>
        <v>0.054776304963434752</v>
      </c>
      <c r="W3897" s="85">
        <f>IF(B3897="",0,+$T3897*$V3897)</f>
        <v>0.0052920341451010584</v>
      </c>
      <c r="X3897" s="85">
        <f>IF(B3897="",0,IF(OR(H3897=MappingTables!$C$34,H3897=MappingTables!$C$35),W3897,0))</f>
        <v>0</v>
      </c>
    </row>
    <row r="3898" spans="2:24" s="0" customFormat="0" ht="15">
      <c r="B3898" s="69" t="s">
        <v>1160</v>
      </c>
      <c r="C3898" s="70" t="s">
        <v>1161</v>
      </c>
      <c r="D3898" s="70" t="s">
        <v>1</v>
      </c>
      <c r="E3898" s="70" t="s">
        <v>1</v>
      </c>
      <c r="F3898" s="70"/>
      <c r="G3898" s="70" t="s">
        <v>61</v>
      </c>
      <c r="H3898" s="70" t="s">
        <v>178</v>
      </c>
      <c r="I3898" s="70" t="s">
        <v>188</v>
      </c>
      <c r="J3898" s="71">
        <f>IF(OR(I3898=0,I3898=""),"unrated",VLOOKUP(I3898,MappingTables!$B$19:$C$31,2,FALSE))</f>
        <v>2</v>
      </c>
      <c r="K3898" s="72">
        <v>263.01122323603708</v>
      </c>
      <c r="L3898" s="70">
        <v>3.6823964806300144</v>
      </c>
      <c r="M3898" s="71">
        <f>IF(L3898&lt;1,1,L3898)</f>
        <v>3.6823964806300144</v>
      </c>
      <c r="N3898" s="70" t="s">
        <v>141</v>
      </c>
      <c r="O3898" s="71">
        <f>INDEX(DurClassMapping,MATCH(M3898,MappingTables!$D$4:$D$8,-1),1)</f>
        <v>1</v>
      </c>
      <c r="P3898" s="73">
        <f>IF(M3898=$A$1,1,$M3898-INDEX(MappingTables!$E$4:$E$8,MATCH(O3898,MappingTables!$B$4:$B$8,0)))</f>
        <v>3.6823964806300144</v>
      </c>
      <c r="Q3898" s="71">
        <f>IF(B3898="",0,INDEX(ModelParameters!$D$6:$K$10,MATCH($O3898,ModelParameters!$B$6:$B$10,0),MATCH($J3898,ModelParameters!$D$5:$K$5,0)))</f>
        <v>0.013999999999999998</v>
      </c>
      <c r="R3898" s="71">
        <f>IF(B3898="",0,INDEX(ModelParameters!$D$13:$K$17,MATCH($O3898,ModelParameters!$B$13:$B$17,0),MATCH($J3898,ModelParameters!$D$5:$K$5,0)))</f>
        <v>0</v>
      </c>
      <c r="S3898" s="160">
        <f>IF(B3898="",0,MIN(IF($N3898="Other Bond TM",ModelParameters!$N$21,1)*(P3898*Q3898+R3898),1))</f>
        <v>0.0515535507288202</v>
      </c>
      <c r="T3898" s="85">
        <f>IF(B3898="",0,$S3898*$K3898)</f>
        <v>13.559162439348092</v>
      </c>
      <c r="U3898" s="85">
        <f>IF(B3898="",0,IF(OR(H3898=MappingTables!$C$34,H3898=MappingTables!$C$35),T3898,0))</f>
        <v>0</v>
      </c>
      <c r="V3898" s="85">
        <f>IF(ISNA(IF(AND(VLOOKUP(CONCATENATE($D3898,$G3898),CSRFinput!$B:$E,4,0)=0,OR(H3898=MappingTables!$C$34,H3898=MappingTables!$C$35)),1,VLOOKUP(CONCATENATE($D3898,$G3898),CSRFinput!$B:$E,4,0))),0,IF(AND(VLOOKUP(CONCATENATE($D3898,$G3898),CSRFinput!$B:$E,4,0)=0,OR(H3898=MappingTables!$C$34,H3898=MappingTables!$C$35)),1,VLOOKUP(CONCATENATE($D3898,$G3898),CSRFinput!$B:$E,4,0)))</f>
        <v>0.054776304963434752</v>
      </c>
      <c r="W3898" s="85">
        <f>IF(B3898="",0,+$T3898*$V3898)</f>
        <v>0.74272081682648112</v>
      </c>
      <c r="X3898" s="85">
        <f>IF(B3898="",0,IF(OR(H3898=MappingTables!$C$34,H3898=MappingTables!$C$35),W3898,0))</f>
        <v>0</v>
      </c>
    </row>
    <row r="3899" spans="2:24" s="0" customFormat="0" ht="15">
      <c r="B3899" s="69">
        <v>22090046</v>
      </c>
      <c r="C3899" s="70" t="s">
        <v>2368</v>
      </c>
      <c r="D3899" s="70" t="s">
        <v>1</v>
      </c>
      <c r="E3899" s="70" t="s">
        <v>1</v>
      </c>
      <c r="F3899" s="70"/>
      <c r="G3899" s="70" t="s">
        <v>61</v>
      </c>
      <c r="H3899" s="70" t="s">
        <v>178</v>
      </c>
      <c r="I3899" s="70" t="s">
        <v>188</v>
      </c>
      <c r="J3899" s="71">
        <f>IF(OR(I3899=0,I3899=""),"unrated",VLOOKUP(I3899,MappingTables!$B$19:$C$31,2,FALSE))</f>
        <v>2</v>
      </c>
      <c r="K3899" s="72">
        <v>189.7609318458846</v>
      </c>
      <c r="L3899" s="70">
        <v>3.5343086329581144</v>
      </c>
      <c r="M3899" s="71">
        <f>IF(L3899&lt;1,1,L3899)</f>
        <v>3.5343086329581144</v>
      </c>
      <c r="N3899" s="70" t="s">
        <v>141</v>
      </c>
      <c r="O3899" s="71">
        <f>INDEX(DurClassMapping,MATCH(M3899,MappingTables!$D$4:$D$8,-1),1)</f>
        <v>1</v>
      </c>
      <c r="P3899" s="73">
        <f>IF(M3899=$A$1,1,$M3899-INDEX(MappingTables!$E$4:$E$8,MATCH(O3899,MappingTables!$B$4:$B$8,0)))</f>
        <v>3.5343086329581144</v>
      </c>
      <c r="Q3899" s="71">
        <f>IF(B3899="",0,INDEX(ModelParameters!$D$6:$K$10,MATCH($O3899,ModelParameters!$B$6:$B$10,0),MATCH($J3899,ModelParameters!$D$5:$K$5,0)))</f>
        <v>0.013999999999999998</v>
      </c>
      <c r="R3899" s="71">
        <f>IF(B3899="",0,INDEX(ModelParameters!$D$13:$K$17,MATCH($O3899,ModelParameters!$B$13:$B$17,0),MATCH($J3899,ModelParameters!$D$5:$K$5,0)))</f>
        <v>0</v>
      </c>
      <c r="S3899" s="160">
        <f>IF(B3899="",0,MIN(IF($N3899="Other Bond TM",ModelParameters!$N$21,1)*(P3899*Q3899+R3899),1))</f>
        <v>0.0494803208614136</v>
      </c>
      <c r="T3899" s="85">
        <f>IF(B3899="",0,$S3899*$K3899)</f>
        <v>9.3894317946952096</v>
      </c>
      <c r="U3899" s="85">
        <f>IF(B3899="",0,IF(OR(H3899=MappingTables!$C$34,H3899=MappingTables!$C$35),T3899,0))</f>
        <v>0</v>
      </c>
      <c r="V3899" s="85">
        <f>IF(ISNA(IF(AND(VLOOKUP(CONCATENATE($D3899,$G3899),CSRFinput!$B:$E,4,0)=0,OR(H3899=MappingTables!$C$34,H3899=MappingTables!$C$35)),1,VLOOKUP(CONCATENATE($D3899,$G3899),CSRFinput!$B:$E,4,0))),0,IF(AND(VLOOKUP(CONCATENATE($D3899,$G3899),CSRFinput!$B:$E,4,0)=0,OR(H3899=MappingTables!$C$34,H3899=MappingTables!$C$35)),1,VLOOKUP(CONCATENATE($D3899,$G3899),CSRFinput!$B:$E,4,0)))</f>
        <v>0.054776304963434752</v>
      </c>
      <c r="W3899" s="85">
        <f>IF(B3899="",0,+$T3899*$V3899)</f>
        <v>0.5143183794195952</v>
      </c>
      <c r="X3899" s="85">
        <f>IF(B3899="",0,IF(OR(H3899=MappingTables!$C$34,H3899=MappingTables!$C$35),W3899,0))</f>
        <v>0</v>
      </c>
    </row>
    <row r="3900" spans="2:24" s="0" customFormat="0" ht="15">
      <c r="B3900" s="69">
        <v>24831379</v>
      </c>
      <c r="C3900" s="70" t="s">
        <v>2862</v>
      </c>
      <c r="D3900" s="70" t="s">
        <v>1</v>
      </c>
      <c r="E3900" s="70" t="s">
        <v>1</v>
      </c>
      <c r="F3900" s="70"/>
      <c r="G3900" s="70" t="s">
        <v>61</v>
      </c>
      <c r="H3900" s="70" t="s">
        <v>178</v>
      </c>
      <c r="I3900" s="70" t="s">
        <v>179</v>
      </c>
      <c r="J3900" s="71">
        <f>IF(OR(I3900=0,I3900=""),"unrated",VLOOKUP(I3900,MappingTables!$B$19:$C$31,2,FALSE))</f>
        <v>4</v>
      </c>
      <c r="K3900" s="72">
        <v>24094.284271003768</v>
      </c>
      <c r="L3900" s="70">
        <v>2.7001245189160144</v>
      </c>
      <c r="M3900" s="71">
        <f>IF(L3900&lt;1,1,L3900)</f>
        <v>2.7001245189160144</v>
      </c>
      <c r="N3900" s="70" t="s">
        <v>141</v>
      </c>
      <c r="O3900" s="71">
        <f>INDEX(DurClassMapping,MATCH(M3900,MappingTables!$D$4:$D$8,-1),1)</f>
        <v>1</v>
      </c>
      <c r="P3900" s="73">
        <f>IF(M3900=$A$1,1,$M3900-INDEX(MappingTables!$E$4:$E$8,MATCH(O3900,MappingTables!$B$4:$B$8,0)))</f>
        <v>2.7001245189160144</v>
      </c>
      <c r="Q3900" s="71">
        <f>IF(B3900="",0,INDEX(ModelParameters!$D$6:$K$10,MATCH($O3900,ModelParameters!$B$6:$B$10,0),MATCH($J3900,ModelParameters!$D$5:$K$5,0)))</f>
        <v>0.045</v>
      </c>
      <c r="R3900" s="71">
        <f>IF(B3900="",0,INDEX(ModelParameters!$D$13:$K$17,MATCH($O3900,ModelParameters!$B$13:$B$17,0),MATCH($J3900,ModelParameters!$D$5:$K$5,0)))</f>
        <v>0</v>
      </c>
      <c r="S3900" s="160">
        <f>IF(B3900="",0,MIN(IF($N3900="Other Bond TM",ModelParameters!$N$21,1)*(P3900*Q3900+R3900),1))</f>
        <v>0.12150560335122064</v>
      </c>
      <c r="T3900" s="85">
        <f>IF(B3900="",0,$S3900*$K3900)</f>
        <v>2927.5905476641384</v>
      </c>
      <c r="U3900" s="85">
        <f>IF(B3900="",0,IF(OR(H3900=MappingTables!$C$34,H3900=MappingTables!$C$35),T3900,0))</f>
        <v>0</v>
      </c>
      <c r="V3900" s="85">
        <f>IF(ISNA(IF(AND(VLOOKUP(CONCATENATE($D3900,$G3900),CSRFinput!$B:$E,4,0)=0,OR(H3900=MappingTables!$C$34,H3900=MappingTables!$C$35)),1,VLOOKUP(CONCATENATE($D3900,$G3900),CSRFinput!$B:$E,4,0))),0,IF(AND(VLOOKUP(CONCATENATE($D3900,$G3900),CSRFinput!$B:$E,4,0)=0,OR(H3900=MappingTables!$C$34,H3900=MappingTables!$C$35)),1,VLOOKUP(CONCATENATE($D3900,$G3900),CSRFinput!$B:$E,4,0)))</f>
        <v>0.054776304963434752</v>
      </c>
      <c r="W3900" s="85">
        <f>IF(B3900="",0,+$T3900*$V3900)</f>
        <v>160.3625926469198</v>
      </c>
      <c r="X3900" s="85">
        <f>IF(B3900="",0,IF(OR(H3900=MappingTables!$C$34,H3900=MappingTables!$C$35),W3900,0))</f>
        <v>0</v>
      </c>
    </row>
    <row r="3901" spans="2:24" s="0" customFormat="0" ht="15">
      <c r="B3901" s="69">
        <v>22926236</v>
      </c>
      <c r="C3901" s="70" t="s">
        <v>2876</v>
      </c>
      <c r="D3901" s="70" t="s">
        <v>1</v>
      </c>
      <c r="E3901" s="70" t="s">
        <v>1</v>
      </c>
      <c r="F3901" s="70"/>
      <c r="G3901" s="70" t="s">
        <v>61</v>
      </c>
      <c r="H3901" s="70" t="s">
        <v>178</v>
      </c>
      <c r="I3901" s="70" t="s">
        <v>181</v>
      </c>
      <c r="J3901" s="71">
        <f>IF(OR(I3901=0,I3901=""),"unrated",VLOOKUP(I3901,MappingTables!$B$19:$C$31,2,FALSE))</f>
        <v>3</v>
      </c>
      <c r="K3901" s="72">
        <v>13811.214243191304</v>
      </c>
      <c r="L3901" s="70">
        <v>5.6341910989004216</v>
      </c>
      <c r="M3901" s="71">
        <f>IF(L3901&lt;1,1,L3901)</f>
        <v>5.6341910989004216</v>
      </c>
      <c r="N3901" s="70" t="s">
        <v>141</v>
      </c>
      <c r="O3901" s="71">
        <f>INDEX(DurClassMapping,MATCH(M3901,MappingTables!$D$4:$D$8,-1),1)</f>
        <v>2</v>
      </c>
      <c r="P3901" s="73">
        <f>IF(M3901=$A$1,1,$M3901-INDEX(MappingTables!$E$4:$E$8,MATCH(O3901,MappingTables!$B$4:$B$8,0)))</f>
        <v>0.6341910989004216</v>
      </c>
      <c r="Q3901" s="71">
        <f>IF(B3901="",0,INDEX(ModelParameters!$D$6:$K$10,MATCH($O3901,ModelParameters!$B$6:$B$10,0),MATCH($J3901,ModelParameters!$D$5:$K$5,0)))</f>
        <v>0.015</v>
      </c>
      <c r="R3901" s="71">
        <f>IF(B3901="",0,INDEX(ModelParameters!$D$13:$K$17,MATCH($O3901,ModelParameters!$B$13:$B$17,0),MATCH($J3901,ModelParameters!$D$5:$K$5,0)))</f>
        <v>0.125</v>
      </c>
      <c r="S3901" s="160">
        <f>IF(B3901="",0,MIN(IF($N3901="Other Bond TM",ModelParameters!$N$21,1)*(P3901*Q3901+R3901),1))</f>
        <v>0.13451286648350632</v>
      </c>
      <c r="T3901" s="85">
        <f>IF(B3901="",0,$S3901*$K3901)</f>
        <v>1857.7860174694928</v>
      </c>
      <c r="U3901" s="85">
        <f>IF(B3901="",0,IF(OR(H3901=MappingTables!$C$34,H3901=MappingTables!$C$35),T3901,0))</f>
        <v>0</v>
      </c>
      <c r="V3901" s="85">
        <f>IF(ISNA(IF(AND(VLOOKUP(CONCATENATE($D3901,$G3901),CSRFinput!$B:$E,4,0)=0,OR(H3901=MappingTables!$C$34,H3901=MappingTables!$C$35)),1,VLOOKUP(CONCATENATE($D3901,$G3901),CSRFinput!$B:$E,4,0))),0,IF(AND(VLOOKUP(CONCATENATE($D3901,$G3901),CSRFinput!$B:$E,4,0)=0,OR(H3901=MappingTables!$C$34,H3901=MappingTables!$C$35)),1,VLOOKUP(CONCATENATE($D3901,$G3901),CSRFinput!$B:$E,4,0)))</f>
        <v>0.054776304963434752</v>
      </c>
      <c r="W3901" s="85">
        <f>IF(B3901="",0,+$T3901*$V3901)</f>
        <v>101.76265344971386</v>
      </c>
      <c r="X3901" s="85">
        <f>IF(B3901="",0,IF(OR(H3901=MappingTables!$C$34,H3901=MappingTables!$C$35),W3901,0))</f>
        <v>0</v>
      </c>
    </row>
    <row r="3902" spans="2:24" s="0" customFormat="0" ht="15">
      <c r="B3902" s="69" t="s">
        <v>2968</v>
      </c>
      <c r="C3902" s="70" t="s">
        <v>2969</v>
      </c>
      <c r="D3902" s="70" t="s">
        <v>1</v>
      </c>
      <c r="E3902" s="70" t="s">
        <v>1</v>
      </c>
      <c r="F3902" s="70"/>
      <c r="G3902" s="70" t="s">
        <v>61</v>
      </c>
      <c r="H3902" s="70" t="s">
        <v>178</v>
      </c>
      <c r="I3902" s="70" t="s">
        <v>220</v>
      </c>
      <c r="J3902" s="71">
        <f>IF(OR(I3902=0,I3902=""),"unrated",VLOOKUP(I3902,MappingTables!$B$19:$C$31,2,FALSE))</f>
        <v>1</v>
      </c>
      <c r="K3902" s="72">
        <v>104.24843362686034</v>
      </c>
      <c r="L3902" s="70">
        <v>14.748601139369144</v>
      </c>
      <c r="M3902" s="71">
        <f>IF(L3902&lt;1,1,L3902)</f>
        <v>14.748601139369144</v>
      </c>
      <c r="N3902" s="70" t="s">
        <v>141</v>
      </c>
      <c r="O3902" s="71">
        <f>INDEX(DurClassMapping,MATCH(M3902,MappingTables!$D$4:$D$8,-1),1)</f>
        <v>3</v>
      </c>
      <c r="P3902" s="73">
        <f>IF(M3902=$A$1,1,$M3902-INDEX(MappingTables!$E$4:$E$8,MATCH(O3902,MappingTables!$B$4:$B$8,0)))</f>
        <v>4.7486011393691448</v>
      </c>
      <c r="Q3902" s="71">
        <f>IF(B3902="",0,INDEX(ModelParameters!$D$6:$K$10,MATCH($O3902,ModelParameters!$B$6:$B$10,0),MATCH($J3902,ModelParameters!$D$5:$K$5,0)))</f>
        <v>0.005</v>
      </c>
      <c r="R3902" s="71">
        <f>IF(B3902="",0,INDEX(ModelParameters!$D$13:$K$17,MATCH($O3902,ModelParameters!$B$13:$B$17,0),MATCH($J3902,ModelParameters!$D$5:$K$5,0)))</f>
        <v>0.085</v>
      </c>
      <c r="S3902" s="160">
        <f>IF(B3902="",0,MIN(IF($N3902="Other Bond TM",ModelParameters!$N$21,1)*(P3902*Q3902+R3902),1))</f>
        <v>0.10874300569684572</v>
      </c>
      <c r="T3902" s="85">
        <f>IF(B3902="",0,$S3902*$K3902)</f>
        <v>11.336288011772918</v>
      </c>
      <c r="U3902" s="85">
        <f>IF(B3902="",0,IF(OR(H3902=MappingTables!$C$34,H3902=MappingTables!$C$35),T3902,0))</f>
        <v>0</v>
      </c>
      <c r="V3902" s="85">
        <f>IF(ISNA(IF(AND(VLOOKUP(CONCATENATE($D3902,$G3902),CSRFinput!$B:$E,4,0)=0,OR(H3902=MappingTables!$C$34,H3902=MappingTables!$C$35)),1,VLOOKUP(CONCATENATE($D3902,$G3902),CSRFinput!$B:$E,4,0))),0,IF(AND(VLOOKUP(CONCATENATE($D3902,$G3902),CSRFinput!$B:$E,4,0)=0,OR(H3902=MappingTables!$C$34,H3902=MappingTables!$C$35)),1,VLOOKUP(CONCATENATE($D3902,$G3902),CSRFinput!$B:$E,4,0)))</f>
        <v>0.054776304963434752</v>
      </c>
      <c r="W3902" s="85">
        <f>IF(B3902="",0,+$T3902*$V3902)</f>
        <v>0.6209599692862028</v>
      </c>
      <c r="X3902" s="85">
        <f>IF(B3902="",0,IF(OR(H3902=MappingTables!$C$34,H3902=MappingTables!$C$35),W3902,0))</f>
        <v>0</v>
      </c>
    </row>
    <row r="3903" spans="2:24" s="0" customFormat="0" ht="15">
      <c r="B3903" s="69">
        <v>18718964</v>
      </c>
      <c r="C3903" s="70" t="s">
        <v>2501</v>
      </c>
      <c r="D3903" s="70" t="s">
        <v>1</v>
      </c>
      <c r="E3903" s="70" t="s">
        <v>1</v>
      </c>
      <c r="F3903" s="70"/>
      <c r="G3903" s="70" t="s">
        <v>61</v>
      </c>
      <c r="H3903" s="70" t="s">
        <v>178</v>
      </c>
      <c r="I3903" s="70" t="s">
        <v>179</v>
      </c>
      <c r="J3903" s="71">
        <f>IF(OR(I3903=0,I3903=""),"unrated",VLOOKUP(I3903,MappingTables!$B$19:$C$31,2,FALSE))</f>
        <v>4</v>
      </c>
      <c r="K3903" s="72">
        <v>987.47323892333168</v>
      </c>
      <c r="L3903" s="70">
        <v>2.8291948661725056</v>
      </c>
      <c r="M3903" s="71">
        <f>IF(L3903&lt;1,1,L3903)</f>
        <v>2.8291948661725056</v>
      </c>
      <c r="N3903" s="70" t="s">
        <v>141</v>
      </c>
      <c r="O3903" s="71">
        <f>INDEX(DurClassMapping,MATCH(M3903,MappingTables!$D$4:$D$8,-1),1)</f>
        <v>1</v>
      </c>
      <c r="P3903" s="73">
        <f>IF(M3903=$A$1,1,$M3903-INDEX(MappingTables!$E$4:$E$8,MATCH(O3903,MappingTables!$B$4:$B$8,0)))</f>
        <v>2.8291948661725056</v>
      </c>
      <c r="Q3903" s="71">
        <f>IF(B3903="",0,INDEX(ModelParameters!$D$6:$K$10,MATCH($O3903,ModelParameters!$B$6:$B$10,0),MATCH($J3903,ModelParameters!$D$5:$K$5,0)))</f>
        <v>0.045</v>
      </c>
      <c r="R3903" s="71">
        <f>IF(B3903="",0,INDEX(ModelParameters!$D$13:$K$17,MATCH($O3903,ModelParameters!$B$13:$B$17,0),MATCH($J3903,ModelParameters!$D$5:$K$5,0)))</f>
        <v>0</v>
      </c>
      <c r="S3903" s="160">
        <f>IF(B3903="",0,MIN(IF($N3903="Other Bond TM",ModelParameters!$N$21,1)*(P3903*Q3903+R3903),1))</f>
        <v>0.12731376897776276</v>
      </c>
      <c r="T3903" s="85">
        <f>IF(B3903="",0,$S3903*$K3903)</f>
        <v>125.71893981200818</v>
      </c>
      <c r="U3903" s="85">
        <f>IF(B3903="",0,IF(OR(H3903=MappingTables!$C$34,H3903=MappingTables!$C$35),T3903,0))</f>
        <v>0</v>
      </c>
      <c r="V3903" s="85">
        <f>IF(ISNA(IF(AND(VLOOKUP(CONCATENATE($D3903,$G3903),CSRFinput!$B:$E,4,0)=0,OR(H3903=MappingTables!$C$34,H3903=MappingTables!$C$35)),1,VLOOKUP(CONCATENATE($D3903,$G3903),CSRFinput!$B:$E,4,0))),0,IF(AND(VLOOKUP(CONCATENATE($D3903,$G3903),CSRFinput!$B:$E,4,0)=0,OR(H3903=MappingTables!$C$34,H3903=MappingTables!$C$35)),1,VLOOKUP(CONCATENATE($D3903,$G3903),CSRFinput!$B:$E,4,0)))</f>
        <v>0.054776304963434752</v>
      </c>
      <c r="W3903" s="85">
        <f>IF(B3903="",0,+$T3903*$V3903)</f>
        <v>6.8864189868222584</v>
      </c>
      <c r="X3903" s="85">
        <f>IF(B3903="",0,IF(OR(H3903=MappingTables!$C$34,H3903=MappingTables!$C$35),W3903,0))</f>
        <v>0</v>
      </c>
    </row>
    <row r="3904" spans="2:24" s="0" customFormat="0" ht="15">
      <c r="B3904" s="69">
        <v>7529282</v>
      </c>
      <c r="C3904" s="70" t="s">
        <v>2971</v>
      </c>
      <c r="D3904" s="70" t="s">
        <v>1</v>
      </c>
      <c r="E3904" s="70" t="s">
        <v>1</v>
      </c>
      <c r="F3904" s="70"/>
      <c r="G3904" s="70" t="s">
        <v>61</v>
      </c>
      <c r="H3904" s="70" t="s">
        <v>178</v>
      </c>
      <c r="I3904" s="70" t="s">
        <v>181</v>
      </c>
      <c r="J3904" s="71">
        <f>IF(OR(I3904=0,I3904=""),"unrated",VLOOKUP(I3904,MappingTables!$B$19:$C$31,2,FALSE))</f>
        <v>3</v>
      </c>
      <c r="K3904" s="72">
        <v>5.195267445694132</v>
      </c>
      <c r="L3904" s="70">
        <v>0.049315813937667336</v>
      </c>
      <c r="M3904" s="71">
        <f>IF(L3904&lt;1,1,L3904)</f>
        <v>1</v>
      </c>
      <c r="N3904" s="70" t="s">
        <v>141</v>
      </c>
      <c r="O3904" s="71">
        <f>INDEX(DurClassMapping,MATCH(M3904,MappingTables!$D$4:$D$8,-1),1)</f>
        <v>1</v>
      </c>
      <c r="P3904" s="73">
        <f>IF(M3904=$A$1,1,$M3904-INDEX(MappingTables!$E$4:$E$8,MATCH(O3904,MappingTables!$B$4:$B$8,0)))</f>
        <v>1</v>
      </c>
      <c r="Q3904" s="71">
        <f>IF(B3904="",0,INDEX(ModelParameters!$D$6:$K$10,MATCH($O3904,ModelParameters!$B$6:$B$10,0),MATCH($J3904,ModelParameters!$D$5:$K$5,0)))</f>
        <v>0.025</v>
      </c>
      <c r="R3904" s="71">
        <f>IF(B3904="",0,INDEX(ModelParameters!$D$13:$K$17,MATCH($O3904,ModelParameters!$B$13:$B$17,0),MATCH($J3904,ModelParameters!$D$5:$K$5,0)))</f>
        <v>0</v>
      </c>
      <c r="S3904" s="160">
        <f>IF(B3904="",0,MIN(IF($N3904="Other Bond TM",ModelParameters!$N$21,1)*(P3904*Q3904+R3904),1))</f>
        <v>0.025</v>
      </c>
      <c r="T3904" s="85">
        <f>IF(B3904="",0,$S3904*$K3904)</f>
        <v>0.1298816861423533</v>
      </c>
      <c r="U3904" s="85">
        <f>IF(B3904="",0,IF(OR(H3904=MappingTables!$C$34,H3904=MappingTables!$C$35),T3904,0))</f>
        <v>0</v>
      </c>
      <c r="V3904" s="85">
        <f>IF(ISNA(IF(AND(VLOOKUP(CONCATENATE($D3904,$G3904),CSRFinput!$B:$E,4,0)=0,OR(H3904=MappingTables!$C$34,H3904=MappingTables!$C$35)),1,VLOOKUP(CONCATENATE($D3904,$G3904),CSRFinput!$B:$E,4,0))),0,IF(AND(VLOOKUP(CONCATENATE($D3904,$G3904),CSRFinput!$B:$E,4,0)=0,OR(H3904=MappingTables!$C$34,H3904=MappingTables!$C$35)),1,VLOOKUP(CONCATENATE($D3904,$G3904),CSRFinput!$B:$E,4,0)))</f>
        <v>0.054776304963434752</v>
      </c>
      <c r="W3904" s="85">
        <f>IF(B3904="",0,+$T3904*$V3904)</f>
        <v>0.0071144388492986616</v>
      </c>
      <c r="X3904" s="85">
        <f>IF(B3904="",0,IF(OR(H3904=MappingTables!$C$34,H3904=MappingTables!$C$35),W3904,0))</f>
        <v>0</v>
      </c>
    </row>
    <row r="3905" spans="2:24" s="0" customFormat="0" ht="15">
      <c r="B3905" s="69">
        <v>4087439</v>
      </c>
      <c r="C3905" s="70" t="s">
        <v>2872</v>
      </c>
      <c r="D3905" s="70" t="s">
        <v>1</v>
      </c>
      <c r="E3905" s="70" t="s">
        <v>1</v>
      </c>
      <c r="F3905" s="70"/>
      <c r="G3905" s="70" t="s">
        <v>61</v>
      </c>
      <c r="H3905" s="70" t="s">
        <v>178</v>
      </c>
      <c r="I3905" s="70" t="s">
        <v>179</v>
      </c>
      <c r="J3905" s="71">
        <f>IF(OR(I3905=0,I3905=""),"unrated",VLOOKUP(I3905,MappingTables!$B$19:$C$31,2,FALSE))</f>
        <v>4</v>
      </c>
      <c r="K3905" s="72">
        <v>647.17942228304704</v>
      </c>
      <c r="L3905" s="70">
        <v>0.1260273054975258</v>
      </c>
      <c r="M3905" s="71">
        <f>IF(L3905&lt;1,1,L3905)</f>
        <v>1</v>
      </c>
      <c r="N3905" s="70" t="s">
        <v>141</v>
      </c>
      <c r="O3905" s="71">
        <f>INDEX(DurClassMapping,MATCH(M3905,MappingTables!$D$4:$D$8,-1),1)</f>
        <v>1</v>
      </c>
      <c r="P3905" s="73">
        <f>IF(M3905=$A$1,1,$M3905-INDEX(MappingTables!$E$4:$E$8,MATCH(O3905,MappingTables!$B$4:$B$8,0)))</f>
        <v>1</v>
      </c>
      <c r="Q3905" s="71">
        <f>IF(B3905="",0,INDEX(ModelParameters!$D$6:$K$10,MATCH($O3905,ModelParameters!$B$6:$B$10,0),MATCH($J3905,ModelParameters!$D$5:$K$5,0)))</f>
        <v>0.045</v>
      </c>
      <c r="R3905" s="71">
        <f>IF(B3905="",0,INDEX(ModelParameters!$D$13:$K$17,MATCH($O3905,ModelParameters!$B$13:$B$17,0),MATCH($J3905,ModelParameters!$D$5:$K$5,0)))</f>
        <v>0</v>
      </c>
      <c r="S3905" s="160">
        <f>IF(B3905="",0,MIN(IF($N3905="Other Bond TM",ModelParameters!$N$21,1)*(P3905*Q3905+R3905),1))</f>
        <v>0.045</v>
      </c>
      <c r="T3905" s="85">
        <f>IF(B3905="",0,$S3905*$K3905)</f>
        <v>29.123074002737116</v>
      </c>
      <c r="U3905" s="85">
        <f>IF(B3905="",0,IF(OR(H3905=MappingTables!$C$34,H3905=MappingTables!$C$35),T3905,0))</f>
        <v>0</v>
      </c>
      <c r="V3905" s="85">
        <f>IF(ISNA(IF(AND(VLOOKUP(CONCATENATE($D3905,$G3905),CSRFinput!$B:$E,4,0)=0,OR(H3905=MappingTables!$C$34,H3905=MappingTables!$C$35)),1,VLOOKUP(CONCATENATE($D3905,$G3905),CSRFinput!$B:$E,4,0))),0,IF(AND(VLOOKUP(CONCATENATE($D3905,$G3905),CSRFinput!$B:$E,4,0)=0,OR(H3905=MappingTables!$C$34,H3905=MappingTables!$C$35)),1,VLOOKUP(CONCATENATE($D3905,$G3905),CSRFinput!$B:$E,4,0)))</f>
        <v>0.054776304963434752</v>
      </c>
      <c r="W3905" s="85">
        <f>IF(B3905="",0,+$T3905*$V3905)</f>
        <v>1.5952543830466068</v>
      </c>
      <c r="X3905" s="85">
        <f>IF(B3905="",0,IF(OR(H3905=MappingTables!$C$34,H3905=MappingTables!$C$35),W3905,0))</f>
        <v>0</v>
      </c>
    </row>
    <row r="3906" spans="2:24" s="0" customFormat="0" ht="15">
      <c r="B3906" s="69">
        <v>6292911</v>
      </c>
      <c r="C3906" s="70" t="s">
        <v>2754</v>
      </c>
      <c r="D3906" s="70" t="s">
        <v>1</v>
      </c>
      <c r="E3906" s="70" t="s">
        <v>1</v>
      </c>
      <c r="F3906" s="70"/>
      <c r="G3906" s="70" t="s">
        <v>61</v>
      </c>
      <c r="H3906" s="70" t="s">
        <v>178</v>
      </c>
      <c r="I3906" s="70" t="s">
        <v>181</v>
      </c>
      <c r="J3906" s="71">
        <f>IF(OR(I3906=0,I3906=""),"unrated",VLOOKUP(I3906,MappingTables!$B$19:$C$31,2,FALSE))</f>
        <v>3</v>
      </c>
      <c r="K3906" s="72">
        <v>105.19791958035872</v>
      </c>
      <c r="L3906" s="70">
        <v>1.8535279904026056</v>
      </c>
      <c r="M3906" s="71">
        <f>IF(L3906&lt;1,1,L3906)</f>
        <v>1.8535279904026056</v>
      </c>
      <c r="N3906" s="70" t="s">
        <v>141</v>
      </c>
      <c r="O3906" s="71">
        <f>INDEX(DurClassMapping,MATCH(M3906,MappingTables!$D$4:$D$8,-1),1)</f>
        <v>1</v>
      </c>
      <c r="P3906" s="73">
        <f>IF(M3906=$A$1,1,$M3906-INDEX(MappingTables!$E$4:$E$8,MATCH(O3906,MappingTables!$B$4:$B$8,0)))</f>
        <v>1.8535279904026056</v>
      </c>
      <c r="Q3906" s="71">
        <f>IF(B3906="",0,INDEX(ModelParameters!$D$6:$K$10,MATCH($O3906,ModelParameters!$B$6:$B$10,0),MATCH($J3906,ModelParameters!$D$5:$K$5,0)))</f>
        <v>0.025</v>
      </c>
      <c r="R3906" s="71">
        <f>IF(B3906="",0,INDEX(ModelParameters!$D$13:$K$17,MATCH($O3906,ModelParameters!$B$13:$B$17,0),MATCH($J3906,ModelParameters!$D$5:$K$5,0)))</f>
        <v>0</v>
      </c>
      <c r="S3906" s="160">
        <f>IF(B3906="",0,MIN(IF($N3906="Other Bond TM",ModelParameters!$N$21,1)*(P3906*Q3906+R3906),1))</f>
        <v>0.046338199760065144</v>
      </c>
      <c r="T3906" s="85">
        <f>IF(B3906="",0,$S3906*$K3906)</f>
        <v>4.8746822118579312</v>
      </c>
      <c r="U3906" s="85">
        <f>IF(B3906="",0,IF(OR(H3906=MappingTables!$C$34,H3906=MappingTables!$C$35),T3906,0))</f>
        <v>0</v>
      </c>
      <c r="V3906" s="85">
        <f>IF(ISNA(IF(AND(VLOOKUP(CONCATENATE($D3906,$G3906),CSRFinput!$B:$E,4,0)=0,OR(H3906=MappingTables!$C$34,H3906=MappingTables!$C$35)),1,VLOOKUP(CONCATENATE($D3906,$G3906),CSRFinput!$B:$E,4,0))),0,IF(AND(VLOOKUP(CONCATENATE($D3906,$G3906),CSRFinput!$B:$E,4,0)=0,OR(H3906=MappingTables!$C$34,H3906=MappingTables!$C$35)),1,VLOOKUP(CONCATENATE($D3906,$G3906),CSRFinput!$B:$E,4,0)))</f>
        <v>0.054776304963434752</v>
      </c>
      <c r="W3906" s="85">
        <f>IF(B3906="",0,+$T3906*$V3906)</f>
        <v>0.26701707943656072</v>
      </c>
      <c r="X3906" s="85">
        <f>IF(B3906="",0,IF(OR(H3906=MappingTables!$C$34,H3906=MappingTables!$C$35),W3906,0))</f>
        <v>0</v>
      </c>
    </row>
    <row r="3907" spans="2:24" s="0" customFormat="0" ht="15">
      <c r="B3907" s="69">
        <v>12296910</v>
      </c>
      <c r="C3907" s="70" t="s">
        <v>2825</v>
      </c>
      <c r="D3907" s="70" t="s">
        <v>1</v>
      </c>
      <c r="E3907" s="70" t="s">
        <v>1</v>
      </c>
      <c r="F3907" s="70"/>
      <c r="G3907" s="70" t="s">
        <v>61</v>
      </c>
      <c r="H3907" s="70" t="s">
        <v>178</v>
      </c>
      <c r="I3907" s="70" t="s">
        <v>184</v>
      </c>
      <c r="J3907" s="71">
        <f>IF(OR(I3907=0,I3907=""),"unrated",VLOOKUP(I3907,MappingTables!$B$19:$C$31,2,FALSE))</f>
        <v>5</v>
      </c>
      <c r="K3907" s="72">
        <v>32.249728757773072</v>
      </c>
      <c r="L3907" s="70">
        <v>0.087674523212945808</v>
      </c>
      <c r="M3907" s="71">
        <f>IF(L3907&lt;1,1,L3907)</f>
        <v>1</v>
      </c>
      <c r="N3907" s="70" t="s">
        <v>141</v>
      </c>
      <c r="O3907" s="71">
        <f>INDEX(DurClassMapping,MATCH(M3907,MappingTables!$D$4:$D$8,-1),1)</f>
        <v>1</v>
      </c>
      <c r="P3907" s="73">
        <f>IF(M3907=$A$1,1,$M3907-INDEX(MappingTables!$E$4:$E$8,MATCH(O3907,MappingTables!$B$4:$B$8,0)))</f>
        <v>1</v>
      </c>
      <c r="Q3907" s="71">
        <f>IF(B3907="",0,INDEX(ModelParameters!$D$6:$K$10,MATCH($O3907,ModelParameters!$B$6:$B$10,0),MATCH($J3907,ModelParameters!$D$5:$K$5,0)))</f>
        <v>0.075</v>
      </c>
      <c r="R3907" s="71">
        <f>IF(B3907="",0,INDEX(ModelParameters!$D$13:$K$17,MATCH($O3907,ModelParameters!$B$13:$B$17,0),MATCH($J3907,ModelParameters!$D$5:$K$5,0)))</f>
        <v>0</v>
      </c>
      <c r="S3907" s="160">
        <f>IF(B3907="",0,MIN(IF($N3907="Other Bond TM",ModelParameters!$N$21,1)*(P3907*Q3907+R3907),1))</f>
        <v>0.075</v>
      </c>
      <c r="T3907" s="85">
        <f>IF(B3907="",0,$S3907*$K3907)</f>
        <v>2.4187296568329804</v>
      </c>
      <c r="U3907" s="85">
        <f>IF(B3907="",0,IF(OR(H3907=MappingTables!$C$34,H3907=MappingTables!$C$35),T3907,0))</f>
        <v>0</v>
      </c>
      <c r="V3907" s="85">
        <f>IF(ISNA(IF(AND(VLOOKUP(CONCATENATE($D3907,$G3907),CSRFinput!$B:$E,4,0)=0,OR(H3907=MappingTables!$C$34,H3907=MappingTables!$C$35)),1,VLOOKUP(CONCATENATE($D3907,$G3907),CSRFinput!$B:$E,4,0))),0,IF(AND(VLOOKUP(CONCATENATE($D3907,$G3907),CSRFinput!$B:$E,4,0)=0,OR(H3907=MappingTables!$C$34,H3907=MappingTables!$C$35)),1,VLOOKUP(CONCATENATE($D3907,$G3907),CSRFinput!$B:$E,4,0)))</f>
        <v>0.054776304963434752</v>
      </c>
      <c r="W3907" s="85">
        <f>IF(B3907="",0,+$T3907*$V3907)</f>
        <v>0.13248907330678722</v>
      </c>
      <c r="X3907" s="85">
        <f>IF(B3907="",0,IF(OR(H3907=MappingTables!$C$34,H3907=MappingTables!$C$35),W3907,0))</f>
        <v>0</v>
      </c>
    </row>
    <row r="3908" spans="2:24" s="0" customFormat="0" ht="15">
      <c r="B3908" s="69">
        <v>6243822</v>
      </c>
      <c r="C3908" s="70" t="s">
        <v>2342</v>
      </c>
      <c r="D3908" s="70" t="s">
        <v>1</v>
      </c>
      <c r="E3908" s="70" t="s">
        <v>1</v>
      </c>
      <c r="F3908" s="70"/>
      <c r="G3908" s="70" t="s">
        <v>61</v>
      </c>
      <c r="H3908" s="70" t="s">
        <v>178</v>
      </c>
      <c r="I3908" s="70" t="s">
        <v>181</v>
      </c>
      <c r="J3908" s="71">
        <f>IF(OR(I3908=0,I3908=""),"unrated",VLOOKUP(I3908,MappingTables!$B$19:$C$31,2,FALSE))</f>
        <v>3</v>
      </c>
      <c r="K3908" s="72">
        <v>65.392307616846464</v>
      </c>
      <c r="L3908" s="70">
        <v>1.8193086345908112</v>
      </c>
      <c r="M3908" s="71">
        <f>IF(L3908&lt;1,1,L3908)</f>
        <v>1.8193086345908112</v>
      </c>
      <c r="N3908" s="70" t="s">
        <v>141</v>
      </c>
      <c r="O3908" s="71">
        <f>INDEX(DurClassMapping,MATCH(M3908,MappingTables!$D$4:$D$8,-1),1)</f>
        <v>1</v>
      </c>
      <c r="P3908" s="73">
        <f>IF(M3908=$A$1,1,$M3908-INDEX(MappingTables!$E$4:$E$8,MATCH(O3908,MappingTables!$B$4:$B$8,0)))</f>
        <v>1.8193086345908112</v>
      </c>
      <c r="Q3908" s="71">
        <f>IF(B3908="",0,INDEX(ModelParameters!$D$6:$K$10,MATCH($O3908,ModelParameters!$B$6:$B$10,0),MATCH($J3908,ModelParameters!$D$5:$K$5,0)))</f>
        <v>0.025</v>
      </c>
      <c r="R3908" s="71">
        <f>IF(B3908="",0,INDEX(ModelParameters!$D$13:$K$17,MATCH($O3908,ModelParameters!$B$13:$B$17,0),MATCH($J3908,ModelParameters!$D$5:$K$5,0)))</f>
        <v>0</v>
      </c>
      <c r="S3908" s="160">
        <f>IF(B3908="",0,MIN(IF($N3908="Other Bond TM",ModelParameters!$N$21,1)*(P3908*Q3908+R3908),1))</f>
        <v>0.045482715864770288</v>
      </c>
      <c r="T3908" s="85">
        <f>IF(B3908="",0,$S3908*$K3908)</f>
        <v>2.9742197470786816</v>
      </c>
      <c r="U3908" s="85">
        <f>IF(B3908="",0,IF(OR(H3908=MappingTables!$C$34,H3908=MappingTables!$C$35),T3908,0))</f>
        <v>0</v>
      </c>
      <c r="V3908" s="85">
        <f>IF(ISNA(IF(AND(VLOOKUP(CONCATENATE($D3908,$G3908),CSRFinput!$B:$E,4,0)=0,OR(H3908=MappingTables!$C$34,H3908=MappingTables!$C$35)),1,VLOOKUP(CONCATENATE($D3908,$G3908),CSRFinput!$B:$E,4,0))),0,IF(AND(VLOOKUP(CONCATENATE($D3908,$G3908),CSRFinput!$B:$E,4,0)=0,OR(H3908=MappingTables!$C$34,H3908=MappingTables!$C$35)),1,VLOOKUP(CONCATENATE($D3908,$G3908),CSRFinput!$B:$E,4,0)))</f>
        <v>0.054776304963434752</v>
      </c>
      <c r="W3908" s="85">
        <f>IF(B3908="",0,+$T3908*$V3908)</f>
        <v>0.16291676789425166</v>
      </c>
      <c r="X3908" s="85">
        <f>IF(B3908="",0,IF(OR(H3908=MappingTables!$C$34,H3908=MappingTables!$C$35),W3908,0))</f>
        <v>0</v>
      </c>
    </row>
    <row r="3909" spans="2:24" s="0" customFormat="0" ht="15">
      <c r="B3909" s="69" t="s">
        <v>725</v>
      </c>
      <c r="C3909" s="70" t="s">
        <v>726</v>
      </c>
      <c r="D3909" s="70" t="s">
        <v>1</v>
      </c>
      <c r="E3909" s="70" t="s">
        <v>1</v>
      </c>
      <c r="F3909" s="70"/>
      <c r="G3909" s="70" t="s">
        <v>61</v>
      </c>
      <c r="H3909" s="70" t="s">
        <v>178</v>
      </c>
      <c r="I3909" s="70" t="s">
        <v>188</v>
      </c>
      <c r="J3909" s="71">
        <f>IF(OR(I3909=0,I3909=""),"unrated",VLOOKUP(I3909,MappingTables!$B$19:$C$31,2,FALSE))</f>
        <v>2</v>
      </c>
      <c r="K3909" s="72">
        <v>403.2241508946064</v>
      </c>
      <c r="L3909" s="70">
        <v>0.78174001802380784</v>
      </c>
      <c r="M3909" s="71">
        <f>IF(L3909&lt;1,1,L3909)</f>
        <v>1</v>
      </c>
      <c r="N3909" s="70" t="s">
        <v>141</v>
      </c>
      <c r="O3909" s="71">
        <f>INDEX(DurClassMapping,MATCH(M3909,MappingTables!$D$4:$D$8,-1),1)</f>
        <v>1</v>
      </c>
      <c r="P3909" s="73">
        <f>IF(M3909=$A$1,1,$M3909-INDEX(MappingTables!$E$4:$E$8,MATCH(O3909,MappingTables!$B$4:$B$8,0)))</f>
        <v>1</v>
      </c>
      <c r="Q3909" s="71">
        <f>IF(B3909="",0,INDEX(ModelParameters!$D$6:$K$10,MATCH($O3909,ModelParameters!$B$6:$B$10,0),MATCH($J3909,ModelParameters!$D$5:$K$5,0)))</f>
        <v>0.013999999999999998</v>
      </c>
      <c r="R3909" s="71">
        <f>IF(B3909="",0,INDEX(ModelParameters!$D$13:$K$17,MATCH($O3909,ModelParameters!$B$13:$B$17,0),MATCH($J3909,ModelParameters!$D$5:$K$5,0)))</f>
        <v>0</v>
      </c>
      <c r="S3909" s="160">
        <f>IF(B3909="",0,MIN(IF($N3909="Other Bond TM",ModelParameters!$N$21,1)*(P3909*Q3909+R3909),1))</f>
        <v>0.013999999999999998</v>
      </c>
      <c r="T3909" s="85">
        <f>IF(B3909="",0,$S3909*$K3909)</f>
        <v>5.6451381125244888</v>
      </c>
      <c r="U3909" s="85">
        <f>IF(B3909="",0,IF(OR(H3909=MappingTables!$C$34,H3909=MappingTables!$C$35),T3909,0))</f>
        <v>0</v>
      </c>
      <c r="V3909" s="85">
        <f>IF(ISNA(IF(AND(VLOOKUP(CONCATENATE($D3909,$G3909),CSRFinput!$B:$E,4,0)=0,OR(H3909=MappingTables!$C$34,H3909=MappingTables!$C$35)),1,VLOOKUP(CONCATENATE($D3909,$G3909),CSRFinput!$B:$E,4,0))),0,IF(AND(VLOOKUP(CONCATENATE($D3909,$G3909),CSRFinput!$B:$E,4,0)=0,OR(H3909=MappingTables!$C$34,H3909=MappingTables!$C$35)),1,VLOOKUP(CONCATENATE($D3909,$G3909),CSRFinput!$B:$E,4,0)))</f>
        <v>0.054776304963434752</v>
      </c>
      <c r="W3909" s="85">
        <f>IF(B3909="",0,+$T3909*$V3909)</f>
        <v>0.30921980681234984</v>
      </c>
      <c r="X3909" s="85">
        <f>IF(B3909="",0,IF(OR(H3909=MappingTables!$C$34,H3909=MappingTables!$C$35),W3909,0))</f>
        <v>0</v>
      </c>
    </row>
    <row r="3910" spans="2:24" s="0" customFormat="0" ht="15">
      <c r="B3910" s="69" t="s">
        <v>2972</v>
      </c>
      <c r="C3910" s="70" t="s">
        <v>2973</v>
      </c>
      <c r="D3910" s="70" t="s">
        <v>1</v>
      </c>
      <c r="E3910" s="70" t="s">
        <v>1</v>
      </c>
      <c r="F3910" s="70"/>
      <c r="G3910" s="70" t="s">
        <v>61</v>
      </c>
      <c r="H3910" s="70" t="s">
        <v>178</v>
      </c>
      <c r="I3910" s="70" t="s">
        <v>181</v>
      </c>
      <c r="J3910" s="71">
        <f>IF(OR(I3910=0,I3910=""),"unrated",VLOOKUP(I3910,MappingTables!$B$19:$C$31,2,FALSE))</f>
        <v>3</v>
      </c>
      <c r="K3910" s="72">
        <v>302.21102965087396</v>
      </c>
      <c r="L3910" s="70">
        <v>4.8522204320055152</v>
      </c>
      <c r="M3910" s="71">
        <f>IF(L3910&lt;1,1,L3910)</f>
        <v>4.8522204320055152</v>
      </c>
      <c r="N3910" s="70" t="s">
        <v>141</v>
      </c>
      <c r="O3910" s="71">
        <f>INDEX(DurClassMapping,MATCH(M3910,MappingTables!$D$4:$D$8,-1),1)</f>
        <v>1</v>
      </c>
      <c r="P3910" s="73">
        <f>IF(M3910=$A$1,1,$M3910-INDEX(MappingTables!$E$4:$E$8,MATCH(O3910,MappingTables!$B$4:$B$8,0)))</f>
        <v>4.8522204320055152</v>
      </c>
      <c r="Q3910" s="71">
        <f>IF(B3910="",0,INDEX(ModelParameters!$D$6:$K$10,MATCH($O3910,ModelParameters!$B$6:$B$10,0),MATCH($J3910,ModelParameters!$D$5:$K$5,0)))</f>
        <v>0.025</v>
      </c>
      <c r="R3910" s="71">
        <f>IF(B3910="",0,INDEX(ModelParameters!$D$13:$K$17,MATCH($O3910,ModelParameters!$B$13:$B$17,0),MATCH($J3910,ModelParameters!$D$5:$K$5,0)))</f>
        <v>0</v>
      </c>
      <c r="S3910" s="160">
        <f>IF(B3910="",0,MIN(IF($N3910="Other Bond TM",ModelParameters!$N$21,1)*(P3910*Q3910+R3910),1))</f>
        <v>0.12130551080013788</v>
      </c>
      <c r="T3910" s="85">
        <f>IF(B3910="",0,$S3910*$K3910)</f>
        <v>36.65986332123488</v>
      </c>
      <c r="U3910" s="85">
        <f>IF(B3910="",0,IF(OR(H3910=MappingTables!$C$34,H3910=MappingTables!$C$35),T3910,0))</f>
        <v>0</v>
      </c>
      <c r="V3910" s="85">
        <f>IF(ISNA(IF(AND(VLOOKUP(CONCATENATE($D3910,$G3910),CSRFinput!$B:$E,4,0)=0,OR(H3910=MappingTables!$C$34,H3910=MappingTables!$C$35)),1,VLOOKUP(CONCATENATE($D3910,$G3910),CSRFinput!$B:$E,4,0))),0,IF(AND(VLOOKUP(CONCATENATE($D3910,$G3910),CSRFinput!$B:$E,4,0)=0,OR(H3910=MappingTables!$C$34,H3910=MappingTables!$C$35)),1,VLOOKUP(CONCATENATE($D3910,$G3910),CSRFinput!$B:$E,4,0)))</f>
        <v>0.054776304963434752</v>
      </c>
      <c r="W3910" s="85">
        <f>IF(B3910="",0,+$T3910*$V3910)</f>
        <v>2.008091853201798</v>
      </c>
      <c r="X3910" s="85">
        <f>IF(B3910="",0,IF(OR(H3910=MappingTables!$C$34,H3910=MappingTables!$C$35),W3910,0))</f>
        <v>0</v>
      </c>
    </row>
    <row r="3911" spans="2:24" s="0" customFormat="0" ht="15">
      <c r="B3911" s="69" t="s">
        <v>2974</v>
      </c>
      <c r="C3911" s="70" t="s">
        <v>2975</v>
      </c>
      <c r="D3911" s="70" t="s">
        <v>1</v>
      </c>
      <c r="E3911" s="70" t="s">
        <v>1</v>
      </c>
      <c r="F3911" s="70"/>
      <c r="G3911" s="70" t="s">
        <v>61</v>
      </c>
      <c r="H3911" s="70" t="s">
        <v>178</v>
      </c>
      <c r="I3911" s="70" t="s">
        <v>198</v>
      </c>
      <c r="J3911" s="71" t="str">
        <f>IF(OR(I3911=0,I3911=""),"unrated",VLOOKUP(I3911,MappingTables!$B$19:$C$31,2,FALSE))</f>
        <v>unrated</v>
      </c>
      <c r="K3911" s="72">
        <v>0.1468821971484146</v>
      </c>
      <c r="L3911" s="70">
        <v>0.18629749441996916</v>
      </c>
      <c r="M3911" s="71">
        <f>IF(L3911&lt;1,1,L3911)</f>
        <v>1</v>
      </c>
      <c r="N3911" s="70" t="s">
        <v>141</v>
      </c>
      <c r="O3911" s="71">
        <f>INDEX(DurClassMapping,MATCH(M3911,MappingTables!$D$4:$D$8,-1),1)</f>
        <v>1</v>
      </c>
      <c r="P3911" s="73">
        <f>IF(M3911=$A$1,1,$M3911-INDEX(MappingTables!$E$4:$E$8,MATCH(O3911,MappingTables!$B$4:$B$8,0)))</f>
        <v>1</v>
      </c>
      <c r="Q3911" s="71">
        <f>IF(B3911="",0,INDEX(ModelParameters!$D$6:$K$10,MATCH($O3911,ModelParameters!$B$6:$B$10,0),MATCH($J3911,ModelParameters!$D$5:$K$5,0)))</f>
        <v>0.03</v>
      </c>
      <c r="R3911" s="71">
        <f>IF(B3911="",0,INDEX(ModelParameters!$D$13:$K$17,MATCH($O3911,ModelParameters!$B$13:$B$17,0),MATCH($J3911,ModelParameters!$D$5:$K$5,0)))</f>
        <v>0</v>
      </c>
      <c r="S3911" s="160">
        <f>IF(B3911="",0,MIN(IF($N3911="Other Bond TM",ModelParameters!$N$21,1)*(P3911*Q3911+R3911),1))</f>
        <v>0.03</v>
      </c>
      <c r="T3911" s="85">
        <f>IF(B3911="",0,$S3911*$K3911)</f>
        <v>0.0044064659144524384</v>
      </c>
      <c r="U3911" s="85">
        <f>IF(B3911="",0,IF(OR(H3911=MappingTables!$C$34,H3911=MappingTables!$C$35),T3911,0))</f>
        <v>0</v>
      </c>
      <c r="V3911" s="85">
        <f>IF(ISNA(IF(AND(VLOOKUP(CONCATENATE($D3911,$G3911),CSRFinput!$B:$E,4,0)=0,OR(H3911=MappingTables!$C$34,H3911=MappingTables!$C$35)),1,VLOOKUP(CONCATENATE($D3911,$G3911),CSRFinput!$B:$E,4,0))),0,IF(AND(VLOOKUP(CONCATENATE($D3911,$G3911),CSRFinput!$B:$E,4,0)=0,OR(H3911=MappingTables!$C$34,H3911=MappingTables!$C$35)),1,VLOOKUP(CONCATENATE($D3911,$G3911),CSRFinput!$B:$E,4,0)))</f>
        <v>0.054776304963434752</v>
      </c>
      <c r="W3911" s="85">
        <f>IF(B3911="",0,+$T3911*$V3911)</f>
        <v>0.00024136992074102716</v>
      </c>
      <c r="X3911" s="85">
        <f>IF(B3911="",0,IF(OR(H3911=MappingTables!$C$34,H3911=MappingTables!$C$35),W3911,0))</f>
        <v>0</v>
      </c>
    </row>
    <row r="3912" spans="2:24" s="0" customFormat="0" ht="15">
      <c r="B3912" s="69">
        <v>21004751</v>
      </c>
      <c r="C3912" s="70" t="s">
        <v>2051</v>
      </c>
      <c r="D3912" s="70" t="s">
        <v>1</v>
      </c>
      <c r="E3912" s="70" t="s">
        <v>1</v>
      </c>
      <c r="F3912" s="70"/>
      <c r="G3912" s="70" t="s">
        <v>61</v>
      </c>
      <c r="H3912" s="70" t="s">
        <v>178</v>
      </c>
      <c r="I3912" s="70" t="s">
        <v>188</v>
      </c>
      <c r="J3912" s="71">
        <f>IF(OR(I3912=0,I3912=""),"unrated",VLOOKUP(I3912,MappingTables!$B$19:$C$31,2,FALSE))</f>
        <v>2</v>
      </c>
      <c r="K3912" s="72">
        <v>37712.455643785176</v>
      </c>
      <c r="L3912" s="70">
        <v>1.6271996920907574</v>
      </c>
      <c r="M3912" s="71">
        <f>IF(L3912&lt;1,1,L3912)</f>
        <v>1.6271996920907574</v>
      </c>
      <c r="N3912" s="70" t="s">
        <v>141</v>
      </c>
      <c r="O3912" s="71">
        <f>INDEX(DurClassMapping,MATCH(M3912,MappingTables!$D$4:$D$8,-1),1)</f>
        <v>1</v>
      </c>
      <c r="P3912" s="73">
        <f>IF(M3912=$A$1,1,$M3912-INDEX(MappingTables!$E$4:$E$8,MATCH(O3912,MappingTables!$B$4:$B$8,0)))</f>
        <v>1.6271996920907574</v>
      </c>
      <c r="Q3912" s="71">
        <f>IF(B3912="",0,INDEX(ModelParameters!$D$6:$K$10,MATCH($O3912,ModelParameters!$B$6:$B$10,0),MATCH($J3912,ModelParameters!$D$5:$K$5,0)))</f>
        <v>0.013999999999999998</v>
      </c>
      <c r="R3912" s="71">
        <f>IF(B3912="",0,INDEX(ModelParameters!$D$13:$K$17,MATCH($O3912,ModelParameters!$B$13:$B$17,0),MATCH($J3912,ModelParameters!$D$5:$K$5,0)))</f>
        <v>0</v>
      </c>
      <c r="S3912" s="160">
        <f>IF(B3912="",0,MIN(IF($N3912="Other Bond TM",ModelParameters!$N$21,1)*(P3912*Q3912+R3912),1))</f>
        <v>0.0227807956892706</v>
      </c>
      <c r="T3912" s="85">
        <f>IF(B3912="",0,$S3912*$K3912)</f>
        <v>859.11974696175008</v>
      </c>
      <c r="U3912" s="85">
        <f>IF(B3912="",0,IF(OR(H3912=MappingTables!$C$34,H3912=MappingTables!$C$35),T3912,0))</f>
        <v>0</v>
      </c>
      <c r="V3912" s="85">
        <f>IF(ISNA(IF(AND(VLOOKUP(CONCATENATE($D3912,$G3912),CSRFinput!$B:$E,4,0)=0,OR(H3912=MappingTables!$C$34,H3912=MappingTables!$C$35)),1,VLOOKUP(CONCATENATE($D3912,$G3912),CSRFinput!$B:$E,4,0))),0,IF(AND(VLOOKUP(CONCATENATE($D3912,$G3912),CSRFinput!$B:$E,4,0)=0,OR(H3912=MappingTables!$C$34,H3912=MappingTables!$C$35)),1,VLOOKUP(CONCATENATE($D3912,$G3912),CSRFinput!$B:$E,4,0)))</f>
        <v>0.054776304963434752</v>
      </c>
      <c r="W3912" s="85">
        <f>IF(B3912="",0,+$T3912*$V3912)</f>
        <v>47.059405259685728</v>
      </c>
      <c r="X3912" s="85">
        <f>IF(B3912="",0,IF(OR(H3912=MappingTables!$C$34,H3912=MappingTables!$C$35),W3912,0))</f>
        <v>0</v>
      </c>
    </row>
    <row r="3913" spans="2:24" s="0" customFormat="0" ht="15">
      <c r="B3913" s="69">
        <v>17753274</v>
      </c>
      <c r="C3913" s="70" t="s">
        <v>2941</v>
      </c>
      <c r="D3913" s="70" t="s">
        <v>1</v>
      </c>
      <c r="E3913" s="70" t="s">
        <v>1</v>
      </c>
      <c r="F3913" s="70"/>
      <c r="G3913" s="70" t="s">
        <v>61</v>
      </c>
      <c r="H3913" s="70" t="s">
        <v>178</v>
      </c>
      <c r="I3913" s="70" t="s">
        <v>181</v>
      </c>
      <c r="J3913" s="71">
        <f>IF(OR(I3913=0,I3913=""),"unrated",VLOOKUP(I3913,MappingTables!$B$19:$C$31,2,FALSE))</f>
        <v>3</v>
      </c>
      <c r="K3913" s="72">
        <v>5647.8075345735312</v>
      </c>
      <c r="L3913" s="70">
        <v>2.3510999971577076</v>
      </c>
      <c r="M3913" s="71">
        <f>IF(L3913&lt;1,1,L3913)</f>
        <v>2.3510999971577076</v>
      </c>
      <c r="N3913" s="70" t="s">
        <v>141</v>
      </c>
      <c r="O3913" s="71">
        <f>INDEX(DurClassMapping,MATCH(M3913,MappingTables!$D$4:$D$8,-1),1)</f>
        <v>1</v>
      </c>
      <c r="P3913" s="73">
        <f>IF(M3913=$A$1,1,$M3913-INDEX(MappingTables!$E$4:$E$8,MATCH(O3913,MappingTables!$B$4:$B$8,0)))</f>
        <v>2.3510999971577076</v>
      </c>
      <c r="Q3913" s="71">
        <f>IF(B3913="",0,INDEX(ModelParameters!$D$6:$K$10,MATCH($O3913,ModelParameters!$B$6:$B$10,0),MATCH($J3913,ModelParameters!$D$5:$K$5,0)))</f>
        <v>0.025</v>
      </c>
      <c r="R3913" s="71">
        <f>IF(B3913="",0,INDEX(ModelParameters!$D$13:$K$17,MATCH($O3913,ModelParameters!$B$13:$B$17,0),MATCH($J3913,ModelParameters!$D$5:$K$5,0)))</f>
        <v>0</v>
      </c>
      <c r="S3913" s="160">
        <f>IF(B3913="",0,MIN(IF($N3913="Other Bond TM",ModelParameters!$N$21,1)*(P3913*Q3913+R3913),1))</f>
        <v>0.058777499928942688</v>
      </c>
      <c r="T3913" s="85">
        <f>IF(B3913="",0,$S3913*$K3913)</f>
        <v>331.96400696207776</v>
      </c>
      <c r="U3913" s="85">
        <f>IF(B3913="",0,IF(OR(H3913=MappingTables!$C$34,H3913=MappingTables!$C$35),T3913,0))</f>
        <v>0</v>
      </c>
      <c r="V3913" s="85">
        <f>IF(ISNA(IF(AND(VLOOKUP(CONCATENATE($D3913,$G3913),CSRFinput!$B:$E,4,0)=0,OR(H3913=MappingTables!$C$34,H3913=MappingTables!$C$35)),1,VLOOKUP(CONCATENATE($D3913,$G3913),CSRFinput!$B:$E,4,0))),0,IF(AND(VLOOKUP(CONCATENATE($D3913,$G3913),CSRFinput!$B:$E,4,0)=0,OR(H3913=MappingTables!$C$34,H3913=MappingTables!$C$35)),1,VLOOKUP(CONCATENATE($D3913,$G3913),CSRFinput!$B:$E,4,0)))</f>
        <v>0.054776304963434752</v>
      </c>
      <c r="W3913" s="85">
        <f>IF(B3913="",0,+$T3913*$V3913)</f>
        <v>18.183761682238548</v>
      </c>
      <c r="X3913" s="85">
        <f>IF(B3913="",0,IF(OR(H3913=MappingTables!$C$34,H3913=MappingTables!$C$35),W3913,0))</f>
        <v>0</v>
      </c>
    </row>
    <row r="3914" spans="2:24" s="0" customFormat="0" ht="15">
      <c r="B3914" s="69">
        <v>22272418</v>
      </c>
      <c r="C3914" s="70" t="s">
        <v>2455</v>
      </c>
      <c r="D3914" s="70" t="s">
        <v>1</v>
      </c>
      <c r="E3914" s="70" t="s">
        <v>1</v>
      </c>
      <c r="F3914" s="70"/>
      <c r="G3914" s="70" t="s">
        <v>61</v>
      </c>
      <c r="H3914" s="70" t="s">
        <v>178</v>
      </c>
      <c r="I3914" s="70" t="s">
        <v>188</v>
      </c>
      <c r="J3914" s="71">
        <f>IF(OR(I3914=0,I3914=""),"unrated",VLOOKUP(I3914,MappingTables!$B$19:$C$31,2,FALSE))</f>
        <v>2</v>
      </c>
      <c r="K3914" s="72">
        <v>3600.8414681436312</v>
      </c>
      <c r="L3914" s="70">
        <v>8.8985126614543808</v>
      </c>
      <c r="M3914" s="71">
        <f>IF(L3914&lt;1,1,L3914)</f>
        <v>8.8985126614543808</v>
      </c>
      <c r="N3914" s="70" t="s">
        <v>141</v>
      </c>
      <c r="O3914" s="71">
        <f>INDEX(DurClassMapping,MATCH(M3914,MappingTables!$D$4:$D$8,-1),1)</f>
        <v>2</v>
      </c>
      <c r="P3914" s="73">
        <f>IF(M3914=$A$1,1,$M3914-INDEX(MappingTables!$E$4:$E$8,MATCH(O3914,MappingTables!$B$4:$B$8,0)))</f>
        <v>3.8985126614543816</v>
      </c>
      <c r="Q3914" s="71">
        <f>IF(B3914="",0,INDEX(ModelParameters!$D$6:$K$10,MATCH($O3914,ModelParameters!$B$6:$B$10,0),MATCH($J3914,ModelParameters!$D$5:$K$5,0)))</f>
        <v>0.0069999999999999992</v>
      </c>
      <c r="R3914" s="71">
        <f>IF(B3914="",0,INDEX(ModelParameters!$D$13:$K$17,MATCH($O3914,ModelParameters!$B$13:$B$17,0),MATCH($J3914,ModelParameters!$D$5:$K$5,0)))</f>
        <v>0.070000000000000008</v>
      </c>
      <c r="S3914" s="160">
        <f>IF(B3914="",0,MIN(IF($N3914="Other Bond TM",ModelParameters!$N$21,1)*(P3914*Q3914+R3914),1))</f>
        <v>0.097289588630180672</v>
      </c>
      <c r="T3914" s="85">
        <f>IF(B3914="",0,$S3914*$K3914)</f>
        <v>350.32438515818968</v>
      </c>
      <c r="U3914" s="85">
        <f>IF(B3914="",0,IF(OR(H3914=MappingTables!$C$34,H3914=MappingTables!$C$35),T3914,0))</f>
        <v>0</v>
      </c>
      <c r="V3914" s="85">
        <f>IF(ISNA(IF(AND(VLOOKUP(CONCATENATE($D3914,$G3914),CSRFinput!$B:$E,4,0)=0,OR(H3914=MappingTables!$C$34,H3914=MappingTables!$C$35)),1,VLOOKUP(CONCATENATE($D3914,$G3914),CSRFinput!$B:$E,4,0))),0,IF(AND(VLOOKUP(CONCATENATE($D3914,$G3914),CSRFinput!$B:$E,4,0)=0,OR(H3914=MappingTables!$C$34,H3914=MappingTables!$C$35)),1,VLOOKUP(CONCATENATE($D3914,$G3914),CSRFinput!$B:$E,4,0)))</f>
        <v>0.054776304963434752</v>
      </c>
      <c r="W3914" s="85">
        <f>IF(B3914="",0,+$T3914*$V3914)</f>
        <v>19.189475357552772</v>
      </c>
      <c r="X3914" s="85">
        <f>IF(B3914="",0,IF(OR(H3914=MappingTables!$C$34,H3914=MappingTables!$C$35),W3914,0))</f>
        <v>0</v>
      </c>
    </row>
    <row r="3915" spans="2:24" s="0" customFormat="0" ht="15">
      <c r="B3915" s="69">
        <v>17400151</v>
      </c>
      <c r="C3915" s="70" t="s">
        <v>300</v>
      </c>
      <c r="D3915" s="70" t="s">
        <v>1</v>
      </c>
      <c r="E3915" s="70" t="s">
        <v>1</v>
      </c>
      <c r="F3915" s="70"/>
      <c r="G3915" s="70" t="s">
        <v>61</v>
      </c>
      <c r="H3915" s="70" t="s">
        <v>178</v>
      </c>
      <c r="I3915" s="70" t="s">
        <v>220</v>
      </c>
      <c r="J3915" s="71">
        <f>IF(OR(I3915=0,I3915=""),"unrated",VLOOKUP(I3915,MappingTables!$B$19:$C$31,2,FALSE))</f>
        <v>1</v>
      </c>
      <c r="K3915" s="72">
        <v>238.09687173424484</v>
      </c>
      <c r="L3915" s="70">
        <v>0.56712966857090576</v>
      </c>
      <c r="M3915" s="71">
        <f>IF(L3915&lt;1,1,L3915)</f>
        <v>1</v>
      </c>
      <c r="N3915" s="70" t="s">
        <v>141</v>
      </c>
      <c r="O3915" s="71">
        <f>INDEX(DurClassMapping,MATCH(M3915,MappingTables!$D$4:$D$8,-1),1)</f>
        <v>1</v>
      </c>
      <c r="P3915" s="73">
        <f>IF(M3915=$A$1,1,$M3915-INDEX(MappingTables!$E$4:$E$8,MATCH(O3915,MappingTables!$B$4:$B$8,0)))</f>
        <v>1</v>
      </c>
      <c r="Q3915" s="71">
        <f>IF(B3915="",0,INDEX(ModelParameters!$D$6:$K$10,MATCH($O3915,ModelParameters!$B$6:$B$10,0),MATCH($J3915,ModelParameters!$D$5:$K$5,0)))</f>
        <v>0.011000000000000002</v>
      </c>
      <c r="R3915" s="71">
        <f>IF(B3915="",0,INDEX(ModelParameters!$D$13:$K$17,MATCH($O3915,ModelParameters!$B$13:$B$17,0),MATCH($J3915,ModelParameters!$D$5:$K$5,0)))</f>
        <v>0</v>
      </c>
      <c r="S3915" s="160">
        <f>IF(B3915="",0,MIN(IF($N3915="Other Bond TM",ModelParameters!$N$21,1)*(P3915*Q3915+R3915),1))</f>
        <v>0.011000000000000002</v>
      </c>
      <c r="T3915" s="85">
        <f>IF(B3915="",0,$S3915*$K3915)</f>
        <v>2.6190655890766936</v>
      </c>
      <c r="U3915" s="85">
        <f>IF(B3915="",0,IF(OR(H3915=MappingTables!$C$34,H3915=MappingTables!$C$35),T3915,0))</f>
        <v>0</v>
      </c>
      <c r="V3915" s="85">
        <f>IF(ISNA(IF(AND(VLOOKUP(CONCATENATE($D3915,$G3915),CSRFinput!$B:$E,4,0)=0,OR(H3915=MappingTables!$C$34,H3915=MappingTables!$C$35)),1,VLOOKUP(CONCATENATE($D3915,$G3915),CSRFinput!$B:$E,4,0))),0,IF(AND(VLOOKUP(CONCATENATE($D3915,$G3915),CSRFinput!$B:$E,4,0)=0,OR(H3915=MappingTables!$C$34,H3915=MappingTables!$C$35)),1,VLOOKUP(CONCATENATE($D3915,$G3915),CSRFinput!$B:$E,4,0)))</f>
        <v>0.054776304963434752</v>
      </c>
      <c r="W3915" s="85">
        <f>IF(B3915="",0,+$T3915*$V3915)</f>
        <v>0.14346273542650286</v>
      </c>
      <c r="X3915" s="85">
        <f>IF(B3915="",0,IF(OR(H3915=MappingTables!$C$34,H3915=MappingTables!$C$35),W3915,0))</f>
        <v>0</v>
      </c>
    </row>
    <row r="3916" spans="2:24" s="0" customFormat="0" ht="15">
      <c r="B3916" s="69" t="s">
        <v>2976</v>
      </c>
      <c r="C3916" s="70" t="s">
        <v>2977</v>
      </c>
      <c r="D3916" s="70" t="s">
        <v>1</v>
      </c>
      <c r="E3916" s="70" t="s">
        <v>1</v>
      </c>
      <c r="F3916" s="70"/>
      <c r="G3916" s="70" t="s">
        <v>61</v>
      </c>
      <c r="H3916" s="70" t="s">
        <v>178</v>
      </c>
      <c r="I3916" s="70" t="s">
        <v>181</v>
      </c>
      <c r="J3916" s="71">
        <f>IF(OR(I3916=0,I3916=""),"unrated",VLOOKUP(I3916,MappingTables!$B$19:$C$31,2,FALSE))</f>
        <v>3</v>
      </c>
      <c r="K3916" s="72">
        <v>1.4798278723115236</v>
      </c>
      <c r="L3916" s="70">
        <v>1.8630707949086148</v>
      </c>
      <c r="M3916" s="71">
        <f>IF(L3916&lt;1,1,L3916)</f>
        <v>1.8630707949086148</v>
      </c>
      <c r="N3916" s="70" t="s">
        <v>141</v>
      </c>
      <c r="O3916" s="71">
        <f>INDEX(DurClassMapping,MATCH(M3916,MappingTables!$D$4:$D$8,-1),1)</f>
        <v>1</v>
      </c>
      <c r="P3916" s="73">
        <f>IF(M3916=$A$1,1,$M3916-INDEX(MappingTables!$E$4:$E$8,MATCH(O3916,MappingTables!$B$4:$B$8,0)))</f>
        <v>1.8630707949086148</v>
      </c>
      <c r="Q3916" s="71">
        <f>IF(B3916="",0,INDEX(ModelParameters!$D$6:$K$10,MATCH($O3916,ModelParameters!$B$6:$B$10,0),MATCH($J3916,ModelParameters!$D$5:$K$5,0)))</f>
        <v>0.025</v>
      </c>
      <c r="R3916" s="71">
        <f>IF(B3916="",0,INDEX(ModelParameters!$D$13:$K$17,MATCH($O3916,ModelParameters!$B$13:$B$17,0),MATCH($J3916,ModelParameters!$D$5:$K$5,0)))</f>
        <v>0</v>
      </c>
      <c r="S3916" s="160">
        <f>IF(B3916="",0,MIN(IF($N3916="Other Bond TM",ModelParameters!$N$21,1)*(P3916*Q3916+R3916),1))</f>
        <v>0.046576769872715376</v>
      </c>
      <c r="T3916" s="85">
        <f>IF(B3916="",0,$S3916*$K3916)</f>
        <v>0.068925602259883864</v>
      </c>
      <c r="U3916" s="85">
        <f>IF(B3916="",0,IF(OR(H3916=MappingTables!$C$34,H3916=MappingTables!$C$35),T3916,0))</f>
        <v>0</v>
      </c>
      <c r="V3916" s="85">
        <f>IF(ISNA(IF(AND(VLOOKUP(CONCATENATE($D3916,$G3916),CSRFinput!$B:$E,4,0)=0,OR(H3916=MappingTables!$C$34,H3916=MappingTables!$C$35)),1,VLOOKUP(CONCATENATE($D3916,$G3916),CSRFinput!$B:$E,4,0))),0,IF(AND(VLOOKUP(CONCATENATE($D3916,$G3916),CSRFinput!$B:$E,4,0)=0,OR(H3916=MappingTables!$C$34,H3916=MappingTables!$C$35)),1,VLOOKUP(CONCATENATE($D3916,$G3916),CSRFinput!$B:$E,4,0)))</f>
        <v>0.054776304963434752</v>
      </c>
      <c r="W3916" s="85">
        <f>IF(B3916="",0,+$T3916*$V3916)</f>
        <v>0.0037754898091758064</v>
      </c>
      <c r="X3916" s="85">
        <f>IF(B3916="",0,IF(OR(H3916=MappingTables!$C$34,H3916=MappingTables!$C$35),W3916,0))</f>
        <v>0</v>
      </c>
    </row>
    <row r="3917" spans="2:24" s="0" customFormat="0" ht="15">
      <c r="B3917" s="69">
        <v>20392661</v>
      </c>
      <c r="C3917" s="70" t="s">
        <v>1578</v>
      </c>
      <c r="D3917" s="70" t="s">
        <v>1</v>
      </c>
      <c r="E3917" s="70" t="s">
        <v>1</v>
      </c>
      <c r="F3917" s="70"/>
      <c r="G3917" s="70" t="s">
        <v>61</v>
      </c>
      <c r="H3917" s="70" t="s">
        <v>178</v>
      </c>
      <c r="I3917" s="70" t="s">
        <v>220</v>
      </c>
      <c r="J3917" s="71">
        <f>IF(OR(I3917=0,I3917=""),"unrated",VLOOKUP(I3917,MappingTables!$B$19:$C$31,2,FALSE))</f>
        <v>1</v>
      </c>
      <c r="K3917" s="72">
        <v>8918.0134716184512</v>
      </c>
      <c r="L3917" s="70">
        <v>17.68929631800572</v>
      </c>
      <c r="M3917" s="71">
        <f>IF(L3917&lt;1,1,L3917)</f>
        <v>17.68929631800572</v>
      </c>
      <c r="N3917" s="70" t="s">
        <v>141</v>
      </c>
      <c r="O3917" s="71">
        <f>INDEX(DurClassMapping,MATCH(M3917,MappingTables!$D$4:$D$8,-1),1)</f>
        <v>4</v>
      </c>
      <c r="P3917" s="73">
        <f>IF(M3917=$A$1,1,$M3917-INDEX(MappingTables!$E$4:$E$8,MATCH(O3917,MappingTables!$B$4:$B$8,0)))</f>
        <v>2.68929631800572</v>
      </c>
      <c r="Q3917" s="71">
        <f>IF(B3917="",0,INDEX(ModelParameters!$D$6:$K$10,MATCH($O3917,ModelParameters!$B$6:$B$10,0),MATCH($J3917,ModelParameters!$D$5:$K$5,0)))</f>
        <v>0.005</v>
      </c>
      <c r="R3917" s="71">
        <f>IF(B3917="",0,INDEX(ModelParameters!$D$13:$K$17,MATCH($O3917,ModelParameters!$B$13:$B$17,0),MATCH($J3917,ModelParameters!$D$5:$K$5,0)))</f>
        <v>0.11</v>
      </c>
      <c r="S3917" s="160">
        <f>IF(B3917="",0,MIN(IF($N3917="Other Bond TM",ModelParameters!$N$21,1)*(P3917*Q3917+R3917),1))</f>
        <v>0.1234464815900286</v>
      </c>
      <c r="T3917" s="85">
        <f>IF(B3917="",0,$S3917*$K3917)</f>
        <v>1100.8973858437742</v>
      </c>
      <c r="U3917" s="85">
        <f>IF(B3917="",0,IF(OR(H3917=MappingTables!$C$34,H3917=MappingTables!$C$35),T3917,0))</f>
        <v>0</v>
      </c>
      <c r="V3917" s="85">
        <f>IF(ISNA(IF(AND(VLOOKUP(CONCATENATE($D3917,$G3917),CSRFinput!$B:$E,4,0)=0,OR(H3917=MappingTables!$C$34,H3917=MappingTables!$C$35)),1,VLOOKUP(CONCATENATE($D3917,$G3917),CSRFinput!$B:$E,4,0))),0,IF(AND(VLOOKUP(CONCATENATE($D3917,$G3917),CSRFinput!$B:$E,4,0)=0,OR(H3917=MappingTables!$C$34,H3917=MappingTables!$C$35)),1,VLOOKUP(CONCATENATE($D3917,$G3917),CSRFinput!$B:$E,4,0)))</f>
        <v>0.054776304963434752</v>
      </c>
      <c r="W3917" s="85">
        <f>IF(B3917="",0,+$T3917*$V3917)</f>
        <v>60.303090940426672</v>
      </c>
      <c r="X3917" s="85">
        <f>IF(B3917="",0,IF(OR(H3917=MappingTables!$C$34,H3917=MappingTables!$C$35),W3917,0))</f>
        <v>0</v>
      </c>
    </row>
    <row r="3918" spans="2:24" s="0" customFormat="0" ht="15">
      <c r="B3918" s="69">
        <v>1669787</v>
      </c>
      <c r="C3918" s="70" t="s">
        <v>2978</v>
      </c>
      <c r="D3918" s="70" t="s">
        <v>1</v>
      </c>
      <c r="E3918" s="70" t="s">
        <v>1</v>
      </c>
      <c r="F3918" s="70"/>
      <c r="G3918" s="70" t="s">
        <v>61</v>
      </c>
      <c r="H3918" s="70" t="s">
        <v>178</v>
      </c>
      <c r="I3918" s="70" t="s">
        <v>181</v>
      </c>
      <c r="J3918" s="71">
        <f>IF(OR(I3918=0,I3918=""),"unrated",VLOOKUP(I3918,MappingTables!$B$19:$C$31,2,FALSE))</f>
        <v>3</v>
      </c>
      <c r="K3918" s="72">
        <v>22794.957113215196</v>
      </c>
      <c r="L3918" s="70">
        <v>7.4365177289330096</v>
      </c>
      <c r="M3918" s="71">
        <f>IF(L3918&lt;1,1,L3918)</f>
        <v>7.4365177289330096</v>
      </c>
      <c r="N3918" s="70" t="s">
        <v>141</v>
      </c>
      <c r="O3918" s="71">
        <f>INDEX(DurClassMapping,MATCH(M3918,MappingTables!$D$4:$D$8,-1),1)</f>
        <v>2</v>
      </c>
      <c r="P3918" s="73">
        <f>IF(M3918=$A$1,1,$M3918-INDEX(MappingTables!$E$4:$E$8,MATCH(O3918,MappingTables!$B$4:$B$8,0)))</f>
        <v>2.4365177289330104</v>
      </c>
      <c r="Q3918" s="71">
        <f>IF(B3918="",0,INDEX(ModelParameters!$D$6:$K$10,MATCH($O3918,ModelParameters!$B$6:$B$10,0),MATCH($J3918,ModelParameters!$D$5:$K$5,0)))</f>
        <v>0.015</v>
      </c>
      <c r="R3918" s="71">
        <f>IF(B3918="",0,INDEX(ModelParameters!$D$13:$K$17,MATCH($O3918,ModelParameters!$B$13:$B$17,0),MATCH($J3918,ModelParameters!$D$5:$K$5,0)))</f>
        <v>0.125</v>
      </c>
      <c r="S3918" s="160">
        <f>IF(B3918="",0,MIN(IF($N3918="Other Bond TM",ModelParameters!$N$21,1)*(P3918*Q3918+R3918),1))</f>
        <v>0.16154776593399516</v>
      </c>
      <c r="T3918" s="85">
        <f>IF(B3918="",0,$S3918*$K3918)</f>
        <v>3682.4743962011472</v>
      </c>
      <c r="U3918" s="85">
        <f>IF(B3918="",0,IF(OR(H3918=MappingTables!$C$34,H3918=MappingTables!$C$35),T3918,0))</f>
        <v>0</v>
      </c>
      <c r="V3918" s="85">
        <f>IF(ISNA(IF(AND(VLOOKUP(CONCATENATE($D3918,$G3918),CSRFinput!$B:$E,4,0)=0,OR(H3918=MappingTables!$C$34,H3918=MappingTables!$C$35)),1,VLOOKUP(CONCATENATE($D3918,$G3918),CSRFinput!$B:$E,4,0))),0,IF(AND(VLOOKUP(CONCATENATE($D3918,$G3918),CSRFinput!$B:$E,4,0)=0,OR(H3918=MappingTables!$C$34,H3918=MappingTables!$C$35)),1,VLOOKUP(CONCATENATE($D3918,$G3918),CSRFinput!$B:$E,4,0)))</f>
        <v>0.054776304963434752</v>
      </c>
      <c r="W3918" s="85">
        <f>IF(B3918="",0,+$T3918*$V3918)</f>
        <v>201.71234054635428</v>
      </c>
      <c r="X3918" s="85">
        <f>IF(B3918="",0,IF(OR(H3918=MappingTables!$C$34,H3918=MappingTables!$C$35),W3918,0))</f>
        <v>0</v>
      </c>
    </row>
    <row r="3919" spans="2:24" s="0" customFormat="0" ht="15">
      <c r="B3919" s="69">
        <v>23930496</v>
      </c>
      <c r="C3919" s="70" t="s">
        <v>2964</v>
      </c>
      <c r="D3919" s="70" t="s">
        <v>1</v>
      </c>
      <c r="E3919" s="70" t="s">
        <v>1</v>
      </c>
      <c r="F3919" s="70"/>
      <c r="G3919" s="70" t="s">
        <v>61</v>
      </c>
      <c r="H3919" s="70" t="s">
        <v>178</v>
      </c>
      <c r="I3919" s="70" t="s">
        <v>181</v>
      </c>
      <c r="J3919" s="71">
        <f>IF(OR(I3919=0,I3919=""),"unrated",VLOOKUP(I3919,MappingTables!$B$19:$C$31,2,FALSE))</f>
        <v>3</v>
      </c>
      <c r="K3919" s="72">
        <v>226.14105091304192</v>
      </c>
      <c r="L3919" s="70">
        <v>0.57379863941307128</v>
      </c>
      <c r="M3919" s="71">
        <f>IF(L3919&lt;1,1,L3919)</f>
        <v>1</v>
      </c>
      <c r="N3919" s="70" t="s">
        <v>141</v>
      </c>
      <c r="O3919" s="71">
        <f>INDEX(DurClassMapping,MATCH(M3919,MappingTables!$D$4:$D$8,-1),1)</f>
        <v>1</v>
      </c>
      <c r="P3919" s="73">
        <f>IF(M3919=$A$1,1,$M3919-INDEX(MappingTables!$E$4:$E$8,MATCH(O3919,MappingTables!$B$4:$B$8,0)))</f>
        <v>1</v>
      </c>
      <c r="Q3919" s="71">
        <f>IF(B3919="",0,INDEX(ModelParameters!$D$6:$K$10,MATCH($O3919,ModelParameters!$B$6:$B$10,0),MATCH($J3919,ModelParameters!$D$5:$K$5,0)))</f>
        <v>0.025</v>
      </c>
      <c r="R3919" s="71">
        <f>IF(B3919="",0,INDEX(ModelParameters!$D$13:$K$17,MATCH($O3919,ModelParameters!$B$13:$B$17,0),MATCH($J3919,ModelParameters!$D$5:$K$5,0)))</f>
        <v>0</v>
      </c>
      <c r="S3919" s="160">
        <f>IF(B3919="",0,MIN(IF($N3919="Other Bond TM",ModelParameters!$N$21,1)*(P3919*Q3919+R3919),1))</f>
        <v>0.025</v>
      </c>
      <c r="T3919" s="85">
        <f>IF(B3919="",0,$S3919*$K3919)</f>
        <v>5.6535262728260488</v>
      </c>
      <c r="U3919" s="85">
        <f>IF(B3919="",0,IF(OR(H3919=MappingTables!$C$34,H3919=MappingTables!$C$35),T3919,0))</f>
        <v>0</v>
      </c>
      <c r="V3919" s="85">
        <f>IF(ISNA(IF(AND(VLOOKUP(CONCATENATE($D3919,$G3919),CSRFinput!$B:$E,4,0)=0,OR(H3919=MappingTables!$C$34,H3919=MappingTables!$C$35)),1,VLOOKUP(CONCATENATE($D3919,$G3919),CSRFinput!$B:$E,4,0))),0,IF(AND(VLOOKUP(CONCATENATE($D3919,$G3919),CSRFinput!$B:$E,4,0)=0,OR(H3919=MappingTables!$C$34,H3919=MappingTables!$C$35)),1,VLOOKUP(CONCATENATE($D3919,$G3919),CSRFinput!$B:$E,4,0)))</f>
        <v>0.054776304963434752</v>
      </c>
      <c r="W3919" s="85">
        <f>IF(B3919="",0,+$T3919*$V3919)</f>
        <v>0.30967927923911032</v>
      </c>
      <c r="X3919" s="85">
        <f>IF(B3919="",0,IF(OR(H3919=MappingTables!$C$34,H3919=MappingTables!$C$35),W3919,0))</f>
        <v>0</v>
      </c>
    </row>
    <row r="3920" spans="2:24" s="0" customFormat="0" ht="15">
      <c r="B3920" s="69">
        <v>21150138</v>
      </c>
      <c r="C3920" s="70" t="s">
        <v>2884</v>
      </c>
      <c r="D3920" s="70" t="s">
        <v>1</v>
      </c>
      <c r="E3920" s="70" t="s">
        <v>1</v>
      </c>
      <c r="F3920" s="70"/>
      <c r="G3920" s="70" t="s">
        <v>61</v>
      </c>
      <c r="H3920" s="70" t="s">
        <v>178</v>
      </c>
      <c r="I3920" s="70" t="s">
        <v>179</v>
      </c>
      <c r="J3920" s="71">
        <f>IF(OR(I3920=0,I3920=""),"unrated",VLOOKUP(I3920,MappingTables!$B$19:$C$31,2,FALSE))</f>
        <v>4</v>
      </c>
      <c r="K3920" s="72">
        <v>7942.9691475706512</v>
      </c>
      <c r="L3920" s="70">
        <v>1.6585739571386256</v>
      </c>
      <c r="M3920" s="71">
        <f>IF(L3920&lt;1,1,L3920)</f>
        <v>1.6585739571386256</v>
      </c>
      <c r="N3920" s="70" t="s">
        <v>141</v>
      </c>
      <c r="O3920" s="71">
        <f>INDEX(DurClassMapping,MATCH(M3920,MappingTables!$D$4:$D$8,-1),1)</f>
        <v>1</v>
      </c>
      <c r="P3920" s="73">
        <f>IF(M3920=$A$1,1,$M3920-INDEX(MappingTables!$E$4:$E$8,MATCH(O3920,MappingTables!$B$4:$B$8,0)))</f>
        <v>1.6585739571386256</v>
      </c>
      <c r="Q3920" s="71">
        <f>IF(B3920="",0,INDEX(ModelParameters!$D$6:$K$10,MATCH($O3920,ModelParameters!$B$6:$B$10,0),MATCH($J3920,ModelParameters!$D$5:$K$5,0)))</f>
        <v>0.045</v>
      </c>
      <c r="R3920" s="71">
        <f>IF(B3920="",0,INDEX(ModelParameters!$D$13:$K$17,MATCH($O3920,ModelParameters!$B$13:$B$17,0),MATCH($J3920,ModelParameters!$D$5:$K$5,0)))</f>
        <v>0</v>
      </c>
      <c r="S3920" s="160">
        <f>IF(B3920="",0,MIN(IF($N3920="Other Bond TM",ModelParameters!$N$21,1)*(P3920*Q3920+R3920),1))</f>
        <v>0.074635828071238144</v>
      </c>
      <c r="T3920" s="85">
        <f>IF(B3920="",0,$S3920*$K3920)</f>
        <v>592.83007967323216</v>
      </c>
      <c r="U3920" s="85">
        <f>IF(B3920="",0,IF(OR(H3920=MappingTables!$C$34,H3920=MappingTables!$C$35),T3920,0))</f>
        <v>0</v>
      </c>
      <c r="V3920" s="85">
        <f>IF(ISNA(IF(AND(VLOOKUP(CONCATENATE($D3920,$G3920),CSRFinput!$B:$E,4,0)=0,OR(H3920=MappingTables!$C$34,H3920=MappingTables!$C$35)),1,VLOOKUP(CONCATENATE($D3920,$G3920),CSRFinput!$B:$E,4,0))),0,IF(AND(VLOOKUP(CONCATENATE($D3920,$G3920),CSRFinput!$B:$E,4,0)=0,OR(H3920=MappingTables!$C$34,H3920=MappingTables!$C$35)),1,VLOOKUP(CONCATENATE($D3920,$G3920),CSRFinput!$B:$E,4,0)))</f>
        <v>0.054776304963434752</v>
      </c>
      <c r="W3920" s="85">
        <f>IF(B3920="",0,+$T3920*$V3920)</f>
        <v>32.473041235678288</v>
      </c>
      <c r="X3920" s="85">
        <f>IF(B3920="",0,IF(OR(H3920=MappingTables!$C$34,H3920=MappingTables!$C$35),W3920,0))</f>
        <v>0</v>
      </c>
    </row>
    <row r="3921" spans="2:24" s="0" customFormat="0" ht="15">
      <c r="B3921" s="69">
        <v>19043517</v>
      </c>
      <c r="C3921" s="70" t="s">
        <v>574</v>
      </c>
      <c r="D3921" s="70" t="s">
        <v>1</v>
      </c>
      <c r="E3921" s="70" t="s">
        <v>1</v>
      </c>
      <c r="F3921" s="70"/>
      <c r="G3921" s="70" t="s">
        <v>61</v>
      </c>
      <c r="H3921" s="70" t="s">
        <v>178</v>
      </c>
      <c r="I3921" s="70" t="s">
        <v>188</v>
      </c>
      <c r="J3921" s="71">
        <f>IF(OR(I3921=0,I3921=""),"unrated",VLOOKUP(I3921,MappingTables!$B$19:$C$31,2,FALSE))</f>
        <v>2</v>
      </c>
      <c r="K3921" s="72">
        <v>99.571128960603488</v>
      </c>
      <c r="L3921" s="70">
        <v>0.11780510063654936</v>
      </c>
      <c r="M3921" s="71">
        <f>IF(L3921&lt;1,1,L3921)</f>
        <v>1</v>
      </c>
      <c r="N3921" s="70" t="s">
        <v>141</v>
      </c>
      <c r="O3921" s="71">
        <f>INDEX(DurClassMapping,MATCH(M3921,MappingTables!$D$4:$D$8,-1),1)</f>
        <v>1</v>
      </c>
      <c r="P3921" s="73">
        <f>IF(M3921=$A$1,1,$M3921-INDEX(MappingTables!$E$4:$E$8,MATCH(O3921,MappingTables!$B$4:$B$8,0)))</f>
        <v>1</v>
      </c>
      <c r="Q3921" s="71">
        <f>IF(B3921="",0,INDEX(ModelParameters!$D$6:$K$10,MATCH($O3921,ModelParameters!$B$6:$B$10,0),MATCH($J3921,ModelParameters!$D$5:$K$5,0)))</f>
        <v>0.013999999999999998</v>
      </c>
      <c r="R3921" s="71">
        <f>IF(B3921="",0,INDEX(ModelParameters!$D$13:$K$17,MATCH($O3921,ModelParameters!$B$13:$B$17,0),MATCH($J3921,ModelParameters!$D$5:$K$5,0)))</f>
        <v>0</v>
      </c>
      <c r="S3921" s="160">
        <f>IF(B3921="",0,MIN(IF($N3921="Other Bond TM",ModelParameters!$N$21,1)*(P3921*Q3921+R3921),1))</f>
        <v>0.013999999999999998</v>
      </c>
      <c r="T3921" s="85">
        <f>IF(B3921="",0,$S3921*$K3921)</f>
        <v>1.3939958054484486</v>
      </c>
      <c r="U3921" s="85">
        <f>IF(B3921="",0,IF(OR(H3921=MappingTables!$C$34,H3921=MappingTables!$C$35),T3921,0))</f>
        <v>0</v>
      </c>
      <c r="V3921" s="85">
        <f>IF(ISNA(IF(AND(VLOOKUP(CONCATENATE($D3921,$G3921),CSRFinput!$B:$E,4,0)=0,OR(H3921=MappingTables!$C$34,H3921=MappingTables!$C$35)),1,VLOOKUP(CONCATENATE($D3921,$G3921),CSRFinput!$B:$E,4,0))),0,IF(AND(VLOOKUP(CONCATENATE($D3921,$G3921),CSRFinput!$B:$E,4,0)=0,OR(H3921=MappingTables!$C$34,H3921=MappingTables!$C$35)),1,VLOOKUP(CONCATENATE($D3921,$G3921),CSRFinput!$B:$E,4,0)))</f>
        <v>0.054776304963434752</v>
      </c>
      <c r="W3921" s="85">
        <f>IF(B3921="",0,+$T3921*$V3921)</f>
        <v>0.076357939356993088</v>
      </c>
      <c r="X3921" s="85">
        <f>IF(B3921="",0,IF(OR(H3921=MappingTables!$C$34,H3921=MappingTables!$C$35),W3921,0))</f>
        <v>0</v>
      </c>
    </row>
    <row r="3922" spans="2:24" s="0" customFormat="0" ht="15">
      <c r="B3922" s="69" t="s">
        <v>2939</v>
      </c>
      <c r="C3922" s="70" t="s">
        <v>2940</v>
      </c>
      <c r="D3922" s="70" t="s">
        <v>1</v>
      </c>
      <c r="E3922" s="70" t="s">
        <v>1</v>
      </c>
      <c r="F3922" s="70"/>
      <c r="G3922" s="70" t="s">
        <v>61</v>
      </c>
      <c r="H3922" s="70" t="s">
        <v>178</v>
      </c>
      <c r="I3922" s="70" t="s">
        <v>188</v>
      </c>
      <c r="J3922" s="71">
        <f>IF(OR(I3922=0,I3922=""),"unrated",VLOOKUP(I3922,MappingTables!$B$19:$C$31,2,FALSE))</f>
        <v>2</v>
      </c>
      <c r="K3922" s="72">
        <v>362.57642356304384</v>
      </c>
      <c r="L3922" s="70">
        <v>1.4897810906448862</v>
      </c>
      <c r="M3922" s="71">
        <f>IF(L3922&lt;1,1,L3922)</f>
        <v>1.4897810906448862</v>
      </c>
      <c r="N3922" s="70" t="s">
        <v>141</v>
      </c>
      <c r="O3922" s="71">
        <f>INDEX(DurClassMapping,MATCH(M3922,MappingTables!$D$4:$D$8,-1),1)</f>
        <v>1</v>
      </c>
      <c r="P3922" s="73">
        <f>IF(M3922=$A$1,1,$M3922-INDEX(MappingTables!$E$4:$E$8,MATCH(O3922,MappingTables!$B$4:$B$8,0)))</f>
        <v>1.4897810906448862</v>
      </c>
      <c r="Q3922" s="71">
        <f>IF(B3922="",0,INDEX(ModelParameters!$D$6:$K$10,MATCH($O3922,ModelParameters!$B$6:$B$10,0),MATCH($J3922,ModelParameters!$D$5:$K$5,0)))</f>
        <v>0.013999999999999998</v>
      </c>
      <c r="R3922" s="71">
        <f>IF(B3922="",0,INDEX(ModelParameters!$D$13:$K$17,MATCH($O3922,ModelParameters!$B$13:$B$17,0),MATCH($J3922,ModelParameters!$D$5:$K$5,0)))</f>
        <v>0</v>
      </c>
      <c r="S3922" s="160">
        <f>IF(B3922="",0,MIN(IF($N3922="Other Bond TM",ModelParameters!$N$21,1)*(P3922*Q3922+R3922),1))</f>
        <v>0.020856935269028408</v>
      </c>
      <c r="T3922" s="85">
        <f>IF(B3922="",0,$S3922*$K3922)</f>
        <v>7.562232996330232</v>
      </c>
      <c r="U3922" s="85">
        <f>IF(B3922="",0,IF(OR(H3922=MappingTables!$C$34,H3922=MappingTables!$C$35),T3922,0))</f>
        <v>0</v>
      </c>
      <c r="V3922" s="85">
        <f>IF(ISNA(IF(AND(VLOOKUP(CONCATENATE($D3922,$G3922),CSRFinput!$B:$E,4,0)=0,OR(H3922=MappingTables!$C$34,H3922=MappingTables!$C$35)),1,VLOOKUP(CONCATENATE($D3922,$G3922),CSRFinput!$B:$E,4,0))),0,IF(AND(VLOOKUP(CONCATENATE($D3922,$G3922),CSRFinput!$B:$E,4,0)=0,OR(H3922=MappingTables!$C$34,H3922=MappingTables!$C$35)),1,VLOOKUP(CONCATENATE($D3922,$G3922),CSRFinput!$B:$E,4,0)))</f>
        <v>0.054776304963434752</v>
      </c>
      <c r="W3922" s="85">
        <f>IF(B3922="",0,+$T3922*$V3922)</f>
        <v>0.41423118081153376</v>
      </c>
      <c r="X3922" s="85">
        <f>IF(B3922="",0,IF(OR(H3922=MappingTables!$C$34,H3922=MappingTables!$C$35),W3922,0))</f>
        <v>0</v>
      </c>
    </row>
    <row r="3923" spans="2:24" s="0" customFormat="0" ht="15">
      <c r="B3923" s="69">
        <v>24203931</v>
      </c>
      <c r="C3923" s="70" t="s">
        <v>1013</v>
      </c>
      <c r="D3923" s="70" t="s">
        <v>1</v>
      </c>
      <c r="E3923" s="70" t="s">
        <v>1</v>
      </c>
      <c r="F3923" s="70"/>
      <c r="G3923" s="70" t="s">
        <v>61</v>
      </c>
      <c r="H3923" s="70" t="s">
        <v>178</v>
      </c>
      <c r="I3923" s="70" t="s">
        <v>188</v>
      </c>
      <c r="J3923" s="71">
        <f>IF(OR(I3923=0,I3923=""),"unrated",VLOOKUP(I3923,MappingTables!$B$19:$C$31,2,FALSE))</f>
        <v>2</v>
      </c>
      <c r="K3923" s="72">
        <v>538.08198072495768</v>
      </c>
      <c r="L3923" s="70">
        <v>0.15616167288759906</v>
      </c>
      <c r="M3923" s="71">
        <f>IF(L3923&lt;1,1,L3923)</f>
        <v>1</v>
      </c>
      <c r="N3923" s="70" t="s">
        <v>141</v>
      </c>
      <c r="O3923" s="71">
        <f>INDEX(DurClassMapping,MATCH(M3923,MappingTables!$D$4:$D$8,-1),1)</f>
        <v>1</v>
      </c>
      <c r="P3923" s="73">
        <f>IF(M3923=$A$1,1,$M3923-INDEX(MappingTables!$E$4:$E$8,MATCH(O3923,MappingTables!$B$4:$B$8,0)))</f>
        <v>1</v>
      </c>
      <c r="Q3923" s="71">
        <f>IF(B3923="",0,INDEX(ModelParameters!$D$6:$K$10,MATCH($O3923,ModelParameters!$B$6:$B$10,0),MATCH($J3923,ModelParameters!$D$5:$K$5,0)))</f>
        <v>0.013999999999999998</v>
      </c>
      <c r="R3923" s="71">
        <f>IF(B3923="",0,INDEX(ModelParameters!$D$13:$K$17,MATCH($O3923,ModelParameters!$B$13:$B$17,0),MATCH($J3923,ModelParameters!$D$5:$K$5,0)))</f>
        <v>0</v>
      </c>
      <c r="S3923" s="160">
        <f>IF(B3923="",0,MIN(IF($N3923="Other Bond TM",ModelParameters!$N$21,1)*(P3923*Q3923+R3923),1))</f>
        <v>0.013999999999999998</v>
      </c>
      <c r="T3923" s="85">
        <f>IF(B3923="",0,$S3923*$K3923)</f>
        <v>7.5331477301494064</v>
      </c>
      <c r="U3923" s="85">
        <f>IF(B3923="",0,IF(OR(H3923=MappingTables!$C$34,H3923=MappingTables!$C$35),T3923,0))</f>
        <v>0</v>
      </c>
      <c r="V3923" s="85">
        <f>IF(ISNA(IF(AND(VLOOKUP(CONCATENATE($D3923,$G3923),CSRFinput!$B:$E,4,0)=0,OR(H3923=MappingTables!$C$34,H3923=MappingTables!$C$35)),1,VLOOKUP(CONCATENATE($D3923,$G3923),CSRFinput!$B:$E,4,0))),0,IF(AND(VLOOKUP(CONCATENATE($D3923,$G3923),CSRFinput!$B:$E,4,0)=0,OR(H3923=MappingTables!$C$34,H3923=MappingTables!$C$35)),1,VLOOKUP(CONCATENATE($D3923,$G3923),CSRFinput!$B:$E,4,0)))</f>
        <v>0.054776304963434752</v>
      </c>
      <c r="W3923" s="85">
        <f>IF(B3923="",0,+$T3923*$V3923)</f>
        <v>0.41263799740127024</v>
      </c>
      <c r="X3923" s="85">
        <f>IF(B3923="",0,IF(OR(H3923=MappingTables!$C$34,H3923=MappingTables!$C$35),W3923,0))</f>
        <v>0</v>
      </c>
    </row>
    <row r="3924" spans="2:24" s="0" customFormat="0" ht="15">
      <c r="B3924" s="69">
        <v>6874148</v>
      </c>
      <c r="C3924" s="70" t="s">
        <v>802</v>
      </c>
      <c r="D3924" s="70" t="s">
        <v>1</v>
      </c>
      <c r="E3924" s="70" t="s">
        <v>1</v>
      </c>
      <c r="F3924" s="70"/>
      <c r="G3924" s="70" t="s">
        <v>61</v>
      </c>
      <c r="H3924" s="70" t="s">
        <v>178</v>
      </c>
      <c r="I3924" s="70" t="s">
        <v>204</v>
      </c>
      <c r="J3924" s="71">
        <f>IF(OR(I3924=0,I3924=""),"unrated",VLOOKUP(I3924,MappingTables!$B$19:$C$31,2,FALSE))</f>
        <v>6</v>
      </c>
      <c r="K3924" s="72">
        <v>315.77504133034296</v>
      </c>
      <c r="L3924" s="70">
        <v>0.99765482394919184</v>
      </c>
      <c r="M3924" s="71">
        <f>IF(L3924&lt;1,1,L3924)</f>
        <v>1</v>
      </c>
      <c r="N3924" s="70" t="s">
        <v>141</v>
      </c>
      <c r="O3924" s="71">
        <f>INDEX(DurClassMapping,MATCH(M3924,MappingTables!$D$4:$D$8,-1),1)</f>
        <v>1</v>
      </c>
      <c r="P3924" s="73">
        <f>IF(M3924=$A$1,1,$M3924-INDEX(MappingTables!$E$4:$E$8,MATCH(O3924,MappingTables!$B$4:$B$8,0)))</f>
        <v>1</v>
      </c>
      <c r="Q3924" s="71">
        <f>IF(B3924="",0,INDEX(ModelParameters!$D$6:$K$10,MATCH($O3924,ModelParameters!$B$6:$B$10,0),MATCH($J3924,ModelParameters!$D$5:$K$5,0)))</f>
        <v>0.075</v>
      </c>
      <c r="R3924" s="71">
        <f>IF(B3924="",0,INDEX(ModelParameters!$D$13:$K$17,MATCH($O3924,ModelParameters!$B$13:$B$17,0),MATCH($J3924,ModelParameters!$D$5:$K$5,0)))</f>
        <v>0</v>
      </c>
      <c r="S3924" s="160">
        <f>IF(B3924="",0,MIN(IF($N3924="Other Bond TM",ModelParameters!$N$21,1)*(P3924*Q3924+R3924),1))</f>
        <v>0.075</v>
      </c>
      <c r="T3924" s="85">
        <f>IF(B3924="",0,$S3924*$K3924)</f>
        <v>23.68312809977572</v>
      </c>
      <c r="U3924" s="85">
        <f>IF(B3924="",0,IF(OR(H3924=MappingTables!$C$34,H3924=MappingTables!$C$35),T3924,0))</f>
        <v>0</v>
      </c>
      <c r="V3924" s="85">
        <f>IF(ISNA(IF(AND(VLOOKUP(CONCATENATE($D3924,$G3924),CSRFinput!$B:$E,4,0)=0,OR(H3924=MappingTables!$C$34,H3924=MappingTables!$C$35)),1,VLOOKUP(CONCATENATE($D3924,$G3924),CSRFinput!$B:$E,4,0))),0,IF(AND(VLOOKUP(CONCATENATE($D3924,$G3924),CSRFinput!$B:$E,4,0)=0,OR(H3924=MappingTables!$C$34,H3924=MappingTables!$C$35)),1,VLOOKUP(CONCATENATE($D3924,$G3924),CSRFinput!$B:$E,4,0)))</f>
        <v>0.054776304963434752</v>
      </c>
      <c r="W3924" s="85">
        <f>IF(B3924="",0,+$T3924*$V3924)</f>
        <v>1.297274247281406</v>
      </c>
      <c r="X3924" s="85">
        <f>IF(B3924="",0,IF(OR(H3924=MappingTables!$C$34,H3924=MappingTables!$C$35),W3924,0))</f>
        <v>0</v>
      </c>
    </row>
    <row r="3925" spans="2:24" s="0" customFormat="0" ht="15">
      <c r="B3925" s="69">
        <v>13321922</v>
      </c>
      <c r="C3925" s="70" t="s">
        <v>2712</v>
      </c>
      <c r="D3925" s="70" t="s">
        <v>1</v>
      </c>
      <c r="E3925" s="70" t="s">
        <v>1</v>
      </c>
      <c r="F3925" s="70"/>
      <c r="G3925" s="70" t="s">
        <v>61</v>
      </c>
      <c r="H3925" s="70" t="s">
        <v>178</v>
      </c>
      <c r="I3925" s="70" t="s">
        <v>220</v>
      </c>
      <c r="J3925" s="71">
        <f>IF(OR(I3925=0,I3925=""),"unrated",VLOOKUP(I3925,MappingTables!$B$19:$C$31,2,FALSE))</f>
        <v>1</v>
      </c>
      <c r="K3925" s="72">
        <v>23.997732120395164</v>
      </c>
      <c r="L3925" s="70">
        <v>1.011985113168391</v>
      </c>
      <c r="M3925" s="71">
        <f>IF(L3925&lt;1,1,L3925)</f>
        <v>1.011985113168391</v>
      </c>
      <c r="N3925" s="70" t="s">
        <v>141</v>
      </c>
      <c r="O3925" s="71">
        <f>INDEX(DurClassMapping,MATCH(M3925,MappingTables!$D$4:$D$8,-1),1)</f>
        <v>1</v>
      </c>
      <c r="P3925" s="73">
        <f>IF(M3925=$A$1,1,$M3925-INDEX(MappingTables!$E$4:$E$8,MATCH(O3925,MappingTables!$B$4:$B$8,0)))</f>
        <v>1.011985113168391</v>
      </c>
      <c r="Q3925" s="71">
        <f>IF(B3925="",0,INDEX(ModelParameters!$D$6:$K$10,MATCH($O3925,ModelParameters!$B$6:$B$10,0),MATCH($J3925,ModelParameters!$D$5:$K$5,0)))</f>
        <v>0.011000000000000002</v>
      </c>
      <c r="R3925" s="71">
        <f>IF(B3925="",0,INDEX(ModelParameters!$D$13:$K$17,MATCH($O3925,ModelParameters!$B$13:$B$17,0),MATCH($J3925,ModelParameters!$D$5:$K$5,0)))</f>
        <v>0</v>
      </c>
      <c r="S3925" s="160">
        <f>IF(B3925="",0,MIN(IF($N3925="Other Bond TM",ModelParameters!$N$21,1)*(P3925*Q3925+R3925),1))</f>
        <v>0.011131836244852302</v>
      </c>
      <c r="T3925" s="85">
        <f>IF(B3925="",0,$S3925*$K3925)</f>
        <v>0.2671388242120712</v>
      </c>
      <c r="U3925" s="85">
        <f>IF(B3925="",0,IF(OR(H3925=MappingTables!$C$34,H3925=MappingTables!$C$35),T3925,0))</f>
        <v>0</v>
      </c>
      <c r="V3925" s="85">
        <f>IF(ISNA(IF(AND(VLOOKUP(CONCATENATE($D3925,$G3925),CSRFinput!$B:$E,4,0)=0,OR(H3925=MappingTables!$C$34,H3925=MappingTables!$C$35)),1,VLOOKUP(CONCATENATE($D3925,$G3925),CSRFinput!$B:$E,4,0))),0,IF(AND(VLOOKUP(CONCATENATE($D3925,$G3925),CSRFinput!$B:$E,4,0)=0,OR(H3925=MappingTables!$C$34,H3925=MappingTables!$C$35)),1,VLOOKUP(CONCATENATE($D3925,$G3925),CSRFinput!$B:$E,4,0)))</f>
        <v>0.054776304963434752</v>
      </c>
      <c r="W3925" s="85">
        <f>IF(B3925="",0,+$T3925*$V3925)</f>
        <v>0.0146328777026138</v>
      </c>
      <c r="X3925" s="85">
        <f>IF(B3925="",0,IF(OR(H3925=MappingTables!$C$34,H3925=MappingTables!$C$35),W3925,0))</f>
        <v>0</v>
      </c>
    </row>
    <row r="3926" spans="2:24" s="0" customFormat="0" ht="15">
      <c r="B3926" s="69">
        <v>11642979</v>
      </c>
      <c r="C3926" s="70" t="s">
        <v>1897</v>
      </c>
      <c r="D3926" s="70" t="s">
        <v>1</v>
      </c>
      <c r="E3926" s="70" t="s">
        <v>1</v>
      </c>
      <c r="F3926" s="70"/>
      <c r="G3926" s="70" t="s">
        <v>61</v>
      </c>
      <c r="H3926" s="70" t="s">
        <v>178</v>
      </c>
      <c r="I3926" s="70" t="s">
        <v>181</v>
      </c>
      <c r="J3926" s="71">
        <f>IF(OR(I3926=0,I3926=""),"unrated",VLOOKUP(I3926,MappingTables!$B$19:$C$31,2,FALSE))</f>
        <v>3</v>
      </c>
      <c r="K3926" s="72">
        <v>239.13558159253464</v>
      </c>
      <c r="L3926" s="70">
        <v>3.2669278496591748</v>
      </c>
      <c r="M3926" s="71">
        <f>IF(L3926&lt;1,1,L3926)</f>
        <v>3.2669278496591748</v>
      </c>
      <c r="N3926" s="70" t="s">
        <v>141</v>
      </c>
      <c r="O3926" s="71">
        <f>INDEX(DurClassMapping,MATCH(M3926,MappingTables!$D$4:$D$8,-1),1)</f>
        <v>1</v>
      </c>
      <c r="P3926" s="73">
        <f>IF(M3926=$A$1,1,$M3926-INDEX(MappingTables!$E$4:$E$8,MATCH(O3926,MappingTables!$B$4:$B$8,0)))</f>
        <v>3.2669278496591748</v>
      </c>
      <c r="Q3926" s="71">
        <f>IF(B3926="",0,INDEX(ModelParameters!$D$6:$K$10,MATCH($O3926,ModelParameters!$B$6:$B$10,0),MATCH($J3926,ModelParameters!$D$5:$K$5,0)))</f>
        <v>0.025</v>
      </c>
      <c r="R3926" s="71">
        <f>IF(B3926="",0,INDEX(ModelParameters!$D$13:$K$17,MATCH($O3926,ModelParameters!$B$13:$B$17,0),MATCH($J3926,ModelParameters!$D$5:$K$5,0)))</f>
        <v>0</v>
      </c>
      <c r="S3926" s="160">
        <f>IF(B3926="",0,MIN(IF($N3926="Other Bond TM",ModelParameters!$N$21,1)*(P3926*Q3926+R3926),1))</f>
        <v>0.081673196241479376</v>
      </c>
      <c r="T3926" s="85">
        <f>IF(B3926="",0,$S3926*$K3926)</f>
        <v>19.530967283727384</v>
      </c>
      <c r="U3926" s="85">
        <f>IF(B3926="",0,IF(OR(H3926=MappingTables!$C$34,H3926=MappingTables!$C$35),T3926,0))</f>
        <v>0</v>
      </c>
      <c r="V3926" s="85">
        <f>IF(ISNA(IF(AND(VLOOKUP(CONCATENATE($D3926,$G3926),CSRFinput!$B:$E,4,0)=0,OR(H3926=MappingTables!$C$34,H3926=MappingTables!$C$35)),1,VLOOKUP(CONCATENATE($D3926,$G3926),CSRFinput!$B:$E,4,0))),0,IF(AND(VLOOKUP(CONCATENATE($D3926,$G3926),CSRFinput!$B:$E,4,0)=0,OR(H3926=MappingTables!$C$34,H3926=MappingTables!$C$35)),1,VLOOKUP(CONCATENATE($D3926,$G3926),CSRFinput!$B:$E,4,0)))</f>
        <v>0.054776304963434752</v>
      </c>
      <c r="W3926" s="85">
        <f>IF(B3926="",0,+$T3926*$V3926)</f>
        <v>1.069834220164318</v>
      </c>
      <c r="X3926" s="85">
        <f>IF(B3926="",0,IF(OR(H3926=MappingTables!$C$34,H3926=MappingTables!$C$35),W3926,0))</f>
        <v>0</v>
      </c>
    </row>
    <row r="3927" spans="2:24" s="0" customFormat="0" ht="15">
      <c r="B3927" s="69">
        <v>18718604</v>
      </c>
      <c r="C3927" s="70" t="s">
        <v>298</v>
      </c>
      <c r="D3927" s="70" t="s">
        <v>1</v>
      </c>
      <c r="E3927" s="70" t="s">
        <v>1</v>
      </c>
      <c r="F3927" s="70"/>
      <c r="G3927" s="70" t="s">
        <v>61</v>
      </c>
      <c r="H3927" s="70" t="s">
        <v>178</v>
      </c>
      <c r="I3927" s="70" t="s">
        <v>181</v>
      </c>
      <c r="J3927" s="71">
        <f>IF(OR(I3927=0,I3927=""),"unrated",VLOOKUP(I3927,MappingTables!$B$19:$C$31,2,FALSE))</f>
        <v>3</v>
      </c>
      <c r="K3927" s="72">
        <v>11505.070916791308</v>
      </c>
      <c r="L3927" s="70">
        <v>2.8695877633329472</v>
      </c>
      <c r="M3927" s="71">
        <f>IF(L3927&lt;1,1,L3927)</f>
        <v>2.8695877633329472</v>
      </c>
      <c r="N3927" s="70" t="s">
        <v>141</v>
      </c>
      <c r="O3927" s="71">
        <f>INDEX(DurClassMapping,MATCH(M3927,MappingTables!$D$4:$D$8,-1),1)</f>
        <v>1</v>
      </c>
      <c r="P3927" s="73">
        <f>IF(M3927=$A$1,1,$M3927-INDEX(MappingTables!$E$4:$E$8,MATCH(O3927,MappingTables!$B$4:$B$8,0)))</f>
        <v>2.8695877633329472</v>
      </c>
      <c r="Q3927" s="71">
        <f>IF(B3927="",0,INDEX(ModelParameters!$D$6:$K$10,MATCH($O3927,ModelParameters!$B$6:$B$10,0),MATCH($J3927,ModelParameters!$D$5:$K$5,0)))</f>
        <v>0.025</v>
      </c>
      <c r="R3927" s="71">
        <f>IF(B3927="",0,INDEX(ModelParameters!$D$13:$K$17,MATCH($O3927,ModelParameters!$B$13:$B$17,0),MATCH($J3927,ModelParameters!$D$5:$K$5,0)))</f>
        <v>0</v>
      </c>
      <c r="S3927" s="160">
        <f>IF(B3927="",0,MIN(IF($N3927="Other Bond TM",ModelParameters!$N$21,1)*(P3927*Q3927+R3927),1))</f>
        <v>0.071739694083323688</v>
      </c>
      <c r="T3927" s="85">
        <f>IF(B3927="",0,$S3927*$K3927)</f>
        <v>825.37026797755296</v>
      </c>
      <c r="U3927" s="85">
        <f>IF(B3927="",0,IF(OR(H3927=MappingTables!$C$34,H3927=MappingTables!$C$35),T3927,0))</f>
        <v>0</v>
      </c>
      <c r="V3927" s="85">
        <f>IF(ISNA(IF(AND(VLOOKUP(CONCATENATE($D3927,$G3927),CSRFinput!$B:$E,4,0)=0,OR(H3927=MappingTables!$C$34,H3927=MappingTables!$C$35)),1,VLOOKUP(CONCATENATE($D3927,$G3927),CSRFinput!$B:$E,4,0))),0,IF(AND(VLOOKUP(CONCATENATE($D3927,$G3927),CSRFinput!$B:$E,4,0)=0,OR(H3927=MappingTables!$C$34,H3927=MappingTables!$C$35)),1,VLOOKUP(CONCATENATE($D3927,$G3927),CSRFinput!$B:$E,4,0)))</f>
        <v>0.054776304963434752</v>
      </c>
      <c r="W3927" s="85">
        <f>IF(B3927="",0,+$T3927*$V3927)</f>
        <v>45.210733506490296</v>
      </c>
      <c r="X3927" s="85">
        <f>IF(B3927="",0,IF(OR(H3927=MappingTables!$C$34,H3927=MappingTables!$C$35),W3927,0))</f>
        <v>0</v>
      </c>
    </row>
    <row r="3928" spans="2:24" s="0" customFormat="0" ht="15">
      <c r="B3928" s="69">
        <v>17561182</v>
      </c>
      <c r="C3928" s="70" t="s">
        <v>2175</v>
      </c>
      <c r="D3928" s="70" t="s">
        <v>1</v>
      </c>
      <c r="E3928" s="70" t="s">
        <v>1</v>
      </c>
      <c r="F3928" s="70"/>
      <c r="G3928" s="70" t="s">
        <v>61</v>
      </c>
      <c r="H3928" s="70" t="s">
        <v>178</v>
      </c>
      <c r="I3928" s="70" t="s">
        <v>184</v>
      </c>
      <c r="J3928" s="71">
        <f>IF(OR(I3928=0,I3928=""),"unrated",VLOOKUP(I3928,MappingTables!$B$19:$C$31,2,FALSE))</f>
        <v>5</v>
      </c>
      <c r="K3928" s="72">
        <v>39.808639410861672</v>
      </c>
      <c r="L3928" s="70">
        <v>0.030134508792171612</v>
      </c>
      <c r="M3928" s="71">
        <f>IF(L3928&lt;1,1,L3928)</f>
        <v>1</v>
      </c>
      <c r="N3928" s="70" t="s">
        <v>141</v>
      </c>
      <c r="O3928" s="71">
        <f>INDEX(DurClassMapping,MATCH(M3928,MappingTables!$D$4:$D$8,-1),1)</f>
        <v>1</v>
      </c>
      <c r="P3928" s="73">
        <f>IF(M3928=$A$1,1,$M3928-INDEX(MappingTables!$E$4:$E$8,MATCH(O3928,MappingTables!$B$4:$B$8,0)))</f>
        <v>1</v>
      </c>
      <c r="Q3928" s="71">
        <f>IF(B3928="",0,INDEX(ModelParameters!$D$6:$K$10,MATCH($O3928,ModelParameters!$B$6:$B$10,0),MATCH($J3928,ModelParameters!$D$5:$K$5,0)))</f>
        <v>0.075</v>
      </c>
      <c r="R3928" s="71">
        <f>IF(B3928="",0,INDEX(ModelParameters!$D$13:$K$17,MATCH($O3928,ModelParameters!$B$13:$B$17,0),MATCH($J3928,ModelParameters!$D$5:$K$5,0)))</f>
        <v>0</v>
      </c>
      <c r="S3928" s="160">
        <f>IF(B3928="",0,MIN(IF($N3928="Other Bond TM",ModelParameters!$N$21,1)*(P3928*Q3928+R3928),1))</f>
        <v>0.075</v>
      </c>
      <c r="T3928" s="85">
        <f>IF(B3928="",0,$S3928*$K3928)</f>
        <v>2.9856479558146252</v>
      </c>
      <c r="U3928" s="85">
        <f>IF(B3928="",0,IF(OR(H3928=MappingTables!$C$34,H3928=MappingTables!$C$35),T3928,0))</f>
        <v>0</v>
      </c>
      <c r="V3928" s="85">
        <f>IF(ISNA(IF(AND(VLOOKUP(CONCATENATE($D3928,$G3928),CSRFinput!$B:$E,4,0)=0,OR(H3928=MappingTables!$C$34,H3928=MappingTables!$C$35)),1,VLOOKUP(CONCATENATE($D3928,$G3928),CSRFinput!$B:$E,4,0))),0,IF(AND(VLOOKUP(CONCATENATE($D3928,$G3928),CSRFinput!$B:$E,4,0)=0,OR(H3928=MappingTables!$C$34,H3928=MappingTables!$C$35)),1,VLOOKUP(CONCATENATE($D3928,$G3928),CSRFinput!$B:$E,4,0)))</f>
        <v>0.054776304963434752</v>
      </c>
      <c r="W3928" s="85">
        <f>IF(B3928="",0,+$T3928*$V3928)</f>
        <v>0.1635427629411575</v>
      </c>
      <c r="X3928" s="85">
        <f>IF(B3928="",0,IF(OR(H3928=MappingTables!$C$34,H3928=MappingTables!$C$35),W3928,0))</f>
        <v>0</v>
      </c>
    </row>
    <row r="3929" spans="2:24" s="0" customFormat="0" ht="15">
      <c r="B3929" s="69" t="s">
        <v>2979</v>
      </c>
      <c r="C3929" s="70" t="s">
        <v>2980</v>
      </c>
      <c r="D3929" s="70" t="s">
        <v>1</v>
      </c>
      <c r="E3929" s="70" t="s">
        <v>1</v>
      </c>
      <c r="F3929" s="70"/>
      <c r="G3929" s="70" t="s">
        <v>61</v>
      </c>
      <c r="H3929" s="70" t="s">
        <v>178</v>
      </c>
      <c r="I3929" s="70" t="s">
        <v>198</v>
      </c>
      <c r="J3929" s="71" t="str">
        <f>IF(OR(I3929=0,I3929=""),"unrated",VLOOKUP(I3929,MappingTables!$B$19:$C$31,2,FALSE))</f>
        <v>unrated</v>
      </c>
      <c r="K3929" s="72">
        <v>12370.565056752648</v>
      </c>
      <c r="L3929" s="70">
        <v>6.716632530667744</v>
      </c>
      <c r="M3929" s="71">
        <f>IF(L3929&lt;1,1,L3929)</f>
        <v>6.716632530667744</v>
      </c>
      <c r="N3929" s="70" t="s">
        <v>141</v>
      </c>
      <c r="O3929" s="71">
        <f>INDEX(DurClassMapping,MATCH(M3929,MappingTables!$D$4:$D$8,-1),1)</f>
        <v>2</v>
      </c>
      <c r="P3929" s="73">
        <f>IF(M3929=$A$1,1,$M3929-INDEX(MappingTables!$E$4:$E$8,MATCH(O3929,MappingTables!$B$4:$B$8,0)))</f>
        <v>1.7166325306677442</v>
      </c>
      <c r="Q3929" s="71">
        <f>IF(B3929="",0,INDEX(ModelParameters!$D$6:$K$10,MATCH($O3929,ModelParameters!$B$6:$B$10,0),MATCH($J3929,ModelParameters!$D$5:$K$5,0)))</f>
        <v>0.017000000000000002</v>
      </c>
      <c r="R3929" s="71">
        <f>IF(B3929="",0,INDEX(ModelParameters!$D$13:$K$17,MATCH($O3929,ModelParameters!$B$13:$B$17,0),MATCH($J3929,ModelParameters!$D$5:$K$5,0)))</f>
        <v>0.15</v>
      </c>
      <c r="S3929" s="160">
        <f>IF(B3929="",0,MIN(IF($N3929="Other Bond TM",ModelParameters!$N$21,1)*(P3929*Q3929+R3929),1))</f>
        <v>0.17918275302135164</v>
      </c>
      <c r="T3929" s="85">
        <f>IF(B3929="",0,$S3929*$K3929)</f>
        <v>2216.5919032986728</v>
      </c>
      <c r="U3929" s="85">
        <f>IF(B3929="",0,IF(OR(H3929=MappingTables!$C$34,H3929=MappingTables!$C$35),T3929,0))</f>
        <v>0</v>
      </c>
      <c r="V3929" s="85">
        <f>IF(ISNA(IF(AND(VLOOKUP(CONCATENATE($D3929,$G3929),CSRFinput!$B:$E,4,0)=0,OR(H3929=MappingTables!$C$34,H3929=MappingTables!$C$35)),1,VLOOKUP(CONCATENATE($D3929,$G3929),CSRFinput!$B:$E,4,0))),0,IF(AND(VLOOKUP(CONCATENATE($D3929,$G3929),CSRFinput!$B:$E,4,0)=0,OR(H3929=MappingTables!$C$34,H3929=MappingTables!$C$35)),1,VLOOKUP(CONCATENATE($D3929,$G3929),CSRFinput!$B:$E,4,0)))</f>
        <v>0.054776304963434752</v>
      </c>
      <c r="W3929" s="85">
        <f>IF(B3929="",0,+$T3929*$V3929)</f>
        <v>121.41671407456836</v>
      </c>
      <c r="X3929" s="85">
        <f>IF(B3929="",0,IF(OR(H3929=MappingTables!$C$34,H3929=MappingTables!$C$35),W3929,0))</f>
        <v>0</v>
      </c>
    </row>
    <row r="3930" spans="2:24" s="0" customFormat="0" ht="15">
      <c r="B3930" s="69">
        <v>11025789</v>
      </c>
      <c r="C3930" s="70" t="s">
        <v>805</v>
      </c>
      <c r="D3930" s="70" t="s">
        <v>1</v>
      </c>
      <c r="E3930" s="70" t="s">
        <v>1</v>
      </c>
      <c r="F3930" s="70"/>
      <c r="G3930" s="70" t="s">
        <v>61</v>
      </c>
      <c r="H3930" s="70" t="s">
        <v>178</v>
      </c>
      <c r="I3930" s="70" t="s">
        <v>181</v>
      </c>
      <c r="J3930" s="71">
        <f>IF(OR(I3930=0,I3930=""),"unrated",VLOOKUP(I3930,MappingTables!$B$19:$C$31,2,FALSE))</f>
        <v>3</v>
      </c>
      <c r="K3930" s="72">
        <v>582.63146290680424</v>
      </c>
      <c r="L3930" s="70">
        <v>0.91120161604011616</v>
      </c>
      <c r="M3930" s="71">
        <f>IF(L3930&lt;1,1,L3930)</f>
        <v>1</v>
      </c>
      <c r="N3930" s="70" t="s">
        <v>141</v>
      </c>
      <c r="O3930" s="71">
        <f>INDEX(DurClassMapping,MATCH(M3930,MappingTables!$D$4:$D$8,-1),1)</f>
        <v>1</v>
      </c>
      <c r="P3930" s="73">
        <f>IF(M3930=$A$1,1,$M3930-INDEX(MappingTables!$E$4:$E$8,MATCH(O3930,MappingTables!$B$4:$B$8,0)))</f>
        <v>1</v>
      </c>
      <c r="Q3930" s="71">
        <f>IF(B3930="",0,INDEX(ModelParameters!$D$6:$K$10,MATCH($O3930,ModelParameters!$B$6:$B$10,0),MATCH($J3930,ModelParameters!$D$5:$K$5,0)))</f>
        <v>0.025</v>
      </c>
      <c r="R3930" s="71">
        <f>IF(B3930="",0,INDEX(ModelParameters!$D$13:$K$17,MATCH($O3930,ModelParameters!$B$13:$B$17,0),MATCH($J3930,ModelParameters!$D$5:$K$5,0)))</f>
        <v>0</v>
      </c>
      <c r="S3930" s="160">
        <f>IF(B3930="",0,MIN(IF($N3930="Other Bond TM",ModelParameters!$N$21,1)*(P3930*Q3930+R3930),1))</f>
        <v>0.025</v>
      </c>
      <c r="T3930" s="85">
        <f>IF(B3930="",0,$S3930*$K3930)</f>
        <v>14.565786572670106</v>
      </c>
      <c r="U3930" s="85">
        <f>IF(B3930="",0,IF(OR(H3930=MappingTables!$C$34,H3930=MappingTables!$C$35),T3930,0))</f>
        <v>0</v>
      </c>
      <c r="V3930" s="85">
        <f>IF(ISNA(IF(AND(VLOOKUP(CONCATENATE($D3930,$G3930),CSRFinput!$B:$E,4,0)=0,OR(H3930=MappingTables!$C$34,H3930=MappingTables!$C$35)),1,VLOOKUP(CONCATENATE($D3930,$G3930),CSRFinput!$B:$E,4,0))),0,IF(AND(VLOOKUP(CONCATENATE($D3930,$G3930),CSRFinput!$B:$E,4,0)=0,OR(H3930=MappingTables!$C$34,H3930=MappingTables!$C$35)),1,VLOOKUP(CONCATENATE($D3930,$G3930),CSRFinput!$B:$E,4,0)))</f>
        <v>0.054776304963434752</v>
      </c>
      <c r="W3930" s="85">
        <f>IF(B3930="",0,+$T3930*$V3930)</f>
        <v>0.7978599673368808</v>
      </c>
      <c r="X3930" s="85">
        <f>IF(B3930="",0,IF(OR(H3930=MappingTables!$C$34,H3930=MappingTables!$C$35),W3930,0))</f>
        <v>0</v>
      </c>
    </row>
    <row r="3931" spans="2:24" s="0" customFormat="0" ht="15">
      <c r="B3931" s="69">
        <v>15798267</v>
      </c>
      <c r="C3931" s="70" t="s">
        <v>2821</v>
      </c>
      <c r="D3931" s="70" t="s">
        <v>1</v>
      </c>
      <c r="E3931" s="70" t="s">
        <v>1</v>
      </c>
      <c r="F3931" s="70"/>
      <c r="G3931" s="70" t="s">
        <v>61</v>
      </c>
      <c r="H3931" s="70" t="s">
        <v>178</v>
      </c>
      <c r="I3931" s="70" t="s">
        <v>181</v>
      </c>
      <c r="J3931" s="71">
        <f>IF(OR(I3931=0,I3931=""),"unrated",VLOOKUP(I3931,MappingTables!$B$19:$C$31,2,FALSE))</f>
        <v>3</v>
      </c>
      <c r="K3931" s="72">
        <v>4.3611937959457168</v>
      </c>
      <c r="L3931" s="70">
        <v>1.9949968488432372</v>
      </c>
      <c r="M3931" s="71">
        <f>IF(L3931&lt;1,1,L3931)</f>
        <v>1.9949968488432372</v>
      </c>
      <c r="N3931" s="70" t="s">
        <v>141</v>
      </c>
      <c r="O3931" s="71">
        <f>INDEX(DurClassMapping,MATCH(M3931,MappingTables!$D$4:$D$8,-1),1)</f>
        <v>1</v>
      </c>
      <c r="P3931" s="73">
        <f>IF(M3931=$A$1,1,$M3931-INDEX(MappingTables!$E$4:$E$8,MATCH(O3931,MappingTables!$B$4:$B$8,0)))</f>
        <v>1.9949968488432372</v>
      </c>
      <c r="Q3931" s="71">
        <f>IF(B3931="",0,INDEX(ModelParameters!$D$6:$K$10,MATCH($O3931,ModelParameters!$B$6:$B$10,0),MATCH($J3931,ModelParameters!$D$5:$K$5,0)))</f>
        <v>0.025</v>
      </c>
      <c r="R3931" s="71">
        <f>IF(B3931="",0,INDEX(ModelParameters!$D$13:$K$17,MATCH($O3931,ModelParameters!$B$13:$B$17,0),MATCH($J3931,ModelParameters!$D$5:$K$5,0)))</f>
        <v>0</v>
      </c>
      <c r="S3931" s="160">
        <f>IF(B3931="",0,MIN(IF($N3931="Other Bond TM",ModelParameters!$N$21,1)*(P3931*Q3931+R3931),1))</f>
        <v>0.049874921221080928</v>
      </c>
      <c r="T3931" s="85">
        <f>IF(B3931="",0,$S3931*$K3931)</f>
        <v>0.21751419700265952</v>
      </c>
      <c r="U3931" s="85">
        <f>IF(B3931="",0,IF(OR(H3931=MappingTables!$C$34,H3931=MappingTables!$C$35),T3931,0))</f>
        <v>0</v>
      </c>
      <c r="V3931" s="85">
        <f>IF(ISNA(IF(AND(VLOOKUP(CONCATENATE($D3931,$G3931),CSRFinput!$B:$E,4,0)=0,OR(H3931=MappingTables!$C$34,H3931=MappingTables!$C$35)),1,VLOOKUP(CONCATENATE($D3931,$G3931),CSRFinput!$B:$E,4,0))),0,IF(AND(VLOOKUP(CONCATENATE($D3931,$G3931),CSRFinput!$B:$E,4,0)=0,OR(H3931=MappingTables!$C$34,H3931=MappingTables!$C$35)),1,VLOOKUP(CONCATENATE($D3931,$G3931),CSRFinput!$B:$E,4,0)))</f>
        <v>0.054776304963434752</v>
      </c>
      <c r="W3931" s="85">
        <f>IF(B3931="",0,+$T3931*$V3931)</f>
        <v>0.011914623988894302</v>
      </c>
      <c r="X3931" s="85">
        <f>IF(B3931="",0,IF(OR(H3931=MappingTables!$C$34,H3931=MappingTables!$C$35),W3931,0))</f>
        <v>0</v>
      </c>
    </row>
    <row r="3932" spans="2:24" s="0" customFormat="0" ht="15">
      <c r="B3932" s="69">
        <v>24410842</v>
      </c>
      <c r="C3932" s="70" t="s">
        <v>1460</v>
      </c>
      <c r="D3932" s="70" t="s">
        <v>1</v>
      </c>
      <c r="E3932" s="70" t="s">
        <v>1</v>
      </c>
      <c r="F3932" s="70"/>
      <c r="G3932" s="70" t="s">
        <v>61</v>
      </c>
      <c r="H3932" s="70" t="s">
        <v>178</v>
      </c>
      <c r="I3932" s="70" t="s">
        <v>188</v>
      </c>
      <c r="J3932" s="71">
        <f>IF(OR(I3932=0,I3932=""),"unrated",VLOOKUP(I3932,MappingTables!$B$19:$C$31,2,FALSE))</f>
        <v>2</v>
      </c>
      <c r="K3932" s="72">
        <v>2274.1963114846136</v>
      </c>
      <c r="L3932" s="70">
        <v>0.73079594177724</v>
      </c>
      <c r="M3932" s="71">
        <f>IF(L3932&lt;1,1,L3932)</f>
        <v>1</v>
      </c>
      <c r="N3932" s="70" t="s">
        <v>141</v>
      </c>
      <c r="O3932" s="71">
        <f>INDEX(DurClassMapping,MATCH(M3932,MappingTables!$D$4:$D$8,-1),1)</f>
        <v>1</v>
      </c>
      <c r="P3932" s="73">
        <f>IF(M3932=$A$1,1,$M3932-INDEX(MappingTables!$E$4:$E$8,MATCH(O3932,MappingTables!$B$4:$B$8,0)))</f>
        <v>1</v>
      </c>
      <c r="Q3932" s="71">
        <f>IF(B3932="",0,INDEX(ModelParameters!$D$6:$K$10,MATCH($O3932,ModelParameters!$B$6:$B$10,0),MATCH($J3932,ModelParameters!$D$5:$K$5,0)))</f>
        <v>0.013999999999999998</v>
      </c>
      <c r="R3932" s="71">
        <f>IF(B3932="",0,INDEX(ModelParameters!$D$13:$K$17,MATCH($O3932,ModelParameters!$B$13:$B$17,0),MATCH($J3932,ModelParameters!$D$5:$K$5,0)))</f>
        <v>0</v>
      </c>
      <c r="S3932" s="160">
        <f>IF(B3932="",0,MIN(IF($N3932="Other Bond TM",ModelParameters!$N$21,1)*(P3932*Q3932+R3932),1))</f>
        <v>0.013999999999999998</v>
      </c>
      <c r="T3932" s="85">
        <f>IF(B3932="",0,$S3932*$K3932)</f>
        <v>31.838748360784584</v>
      </c>
      <c r="U3932" s="85">
        <f>IF(B3932="",0,IF(OR(H3932=MappingTables!$C$34,H3932=MappingTables!$C$35),T3932,0))</f>
        <v>0</v>
      </c>
      <c r="V3932" s="85">
        <f>IF(ISNA(IF(AND(VLOOKUP(CONCATENATE($D3932,$G3932),CSRFinput!$B:$E,4,0)=0,OR(H3932=MappingTables!$C$34,H3932=MappingTables!$C$35)),1,VLOOKUP(CONCATENATE($D3932,$G3932),CSRFinput!$B:$E,4,0))),0,IF(AND(VLOOKUP(CONCATENATE($D3932,$G3932),CSRFinput!$B:$E,4,0)=0,OR(H3932=MappingTables!$C$34,H3932=MappingTables!$C$35)),1,VLOOKUP(CONCATENATE($D3932,$G3932),CSRFinput!$B:$E,4,0)))</f>
        <v>0.054776304963434752</v>
      </c>
      <c r="W3932" s="85">
        <f>IF(B3932="",0,+$T3932*$V3932)</f>
        <v>1.7440089898643948</v>
      </c>
      <c r="X3932" s="85">
        <f>IF(B3932="",0,IF(OR(H3932=MappingTables!$C$34,H3932=MappingTables!$C$35),W3932,0))</f>
        <v>0</v>
      </c>
    </row>
    <row r="3933" spans="2:24" s="0" customFormat="0" ht="15">
      <c r="B3933" s="69">
        <v>22063598</v>
      </c>
      <c r="C3933" s="70" t="s">
        <v>707</v>
      </c>
      <c r="D3933" s="70" t="s">
        <v>1</v>
      </c>
      <c r="E3933" s="70" t="s">
        <v>1</v>
      </c>
      <c r="F3933" s="70"/>
      <c r="G3933" s="70" t="s">
        <v>61</v>
      </c>
      <c r="H3933" s="70" t="s">
        <v>178</v>
      </c>
      <c r="I3933" s="70" t="s">
        <v>216</v>
      </c>
      <c r="J3933" s="71">
        <f>IF(OR(I3933=0,I3933=""),"unrated",VLOOKUP(I3933,MappingTables!$B$19:$C$31,2,FALSE))</f>
        <v>0</v>
      </c>
      <c r="K3933" s="72">
        <v>8164.871737718016</v>
      </c>
      <c r="L3933" s="70">
        <v>0.073973361582130096</v>
      </c>
      <c r="M3933" s="71">
        <f>IF(L3933&lt;1,1,L3933)</f>
        <v>1</v>
      </c>
      <c r="N3933" s="70" t="s">
        <v>141</v>
      </c>
      <c r="O3933" s="71">
        <f>INDEX(DurClassMapping,MATCH(M3933,MappingTables!$D$4:$D$8,-1),1)</f>
        <v>1</v>
      </c>
      <c r="P3933" s="73">
        <f>IF(M3933=$A$1,1,$M3933-INDEX(MappingTables!$E$4:$E$8,MATCH(O3933,MappingTables!$B$4:$B$8,0)))</f>
        <v>1</v>
      </c>
      <c r="Q3933" s="71">
        <f>IF(B3933="",0,INDEX(ModelParameters!$D$6:$K$10,MATCH($O3933,ModelParameters!$B$6:$B$10,0),MATCH($J3933,ModelParameters!$D$5:$K$5,0)))</f>
        <v>0.0090000000000000016</v>
      </c>
      <c r="R3933" s="71">
        <f>IF(B3933="",0,INDEX(ModelParameters!$D$13:$K$17,MATCH($O3933,ModelParameters!$B$13:$B$17,0),MATCH($J3933,ModelParameters!$D$5:$K$5,0)))</f>
        <v>0</v>
      </c>
      <c r="S3933" s="160">
        <f>IF(B3933="",0,MIN(IF($N3933="Other Bond TM",ModelParameters!$N$21,1)*(P3933*Q3933+R3933),1))</f>
        <v>0.0090000000000000016</v>
      </c>
      <c r="T3933" s="85">
        <f>IF(B3933="",0,$S3933*$K3933)</f>
        <v>73.48384563946216</v>
      </c>
      <c r="U3933" s="85">
        <f>IF(B3933="",0,IF(OR(H3933=MappingTables!$C$34,H3933=MappingTables!$C$35),T3933,0))</f>
        <v>0</v>
      </c>
      <c r="V3933" s="85">
        <f>IF(ISNA(IF(AND(VLOOKUP(CONCATENATE($D3933,$G3933),CSRFinput!$B:$E,4,0)=0,OR(H3933=MappingTables!$C$34,H3933=MappingTables!$C$35)),1,VLOOKUP(CONCATENATE($D3933,$G3933),CSRFinput!$B:$E,4,0))),0,IF(AND(VLOOKUP(CONCATENATE($D3933,$G3933),CSRFinput!$B:$E,4,0)=0,OR(H3933=MappingTables!$C$34,H3933=MappingTables!$C$35)),1,VLOOKUP(CONCATENATE($D3933,$G3933),CSRFinput!$B:$E,4,0)))</f>
        <v>0.054776304963434752</v>
      </c>
      <c r="W3933" s="85">
        <f>IF(B3933="",0,+$T3933*$V3933)</f>
        <v>4.025173538633144</v>
      </c>
      <c r="X3933" s="85">
        <f>IF(B3933="",0,IF(OR(H3933=MappingTables!$C$34,H3933=MappingTables!$C$35),W3933,0))</f>
        <v>0</v>
      </c>
    </row>
    <row r="3934" spans="2:24" s="0" customFormat="0" ht="15">
      <c r="B3934" s="69" t="s">
        <v>1699</v>
      </c>
      <c r="C3934" s="70" t="s">
        <v>1700</v>
      </c>
      <c r="D3934" s="70" t="s">
        <v>1</v>
      </c>
      <c r="E3934" s="70" t="s">
        <v>1</v>
      </c>
      <c r="F3934" s="70"/>
      <c r="G3934" s="70" t="s">
        <v>61</v>
      </c>
      <c r="H3934" s="70" t="s">
        <v>178</v>
      </c>
      <c r="I3934" s="70" t="s">
        <v>181</v>
      </c>
      <c r="J3934" s="71">
        <f>IF(OR(I3934=0,I3934=""),"unrated",VLOOKUP(I3934,MappingTables!$B$19:$C$31,2,FALSE))</f>
        <v>3</v>
      </c>
      <c r="K3934" s="72">
        <v>5385.5998215632184</v>
      </c>
      <c r="L3934" s="70">
        <v>9.1219539334594416</v>
      </c>
      <c r="M3934" s="71">
        <f>IF(L3934&lt;1,1,L3934)</f>
        <v>9.1219539334594416</v>
      </c>
      <c r="N3934" s="70" t="s">
        <v>141</v>
      </c>
      <c r="O3934" s="71">
        <f>INDEX(DurClassMapping,MATCH(M3934,MappingTables!$D$4:$D$8,-1),1)</f>
        <v>2</v>
      </c>
      <c r="P3934" s="73">
        <f>IF(M3934=$A$1,1,$M3934-INDEX(MappingTables!$E$4:$E$8,MATCH(O3934,MappingTables!$B$4:$B$8,0)))</f>
        <v>4.1219539334594408</v>
      </c>
      <c r="Q3934" s="71">
        <f>IF(B3934="",0,INDEX(ModelParameters!$D$6:$K$10,MATCH($O3934,ModelParameters!$B$6:$B$10,0),MATCH($J3934,ModelParameters!$D$5:$K$5,0)))</f>
        <v>0.015</v>
      </c>
      <c r="R3934" s="71">
        <f>IF(B3934="",0,INDEX(ModelParameters!$D$13:$K$17,MATCH($O3934,ModelParameters!$B$13:$B$17,0),MATCH($J3934,ModelParameters!$D$5:$K$5,0)))</f>
        <v>0.125</v>
      </c>
      <c r="S3934" s="160">
        <f>IF(B3934="",0,MIN(IF($N3934="Other Bond TM",ModelParameters!$N$21,1)*(P3934*Q3934+R3934),1))</f>
        <v>0.1868293090018916</v>
      </c>
      <c r="T3934" s="85">
        <f>IF(B3934="",0,$S3934*$K3934)</f>
        <v>1006.1878932233668</v>
      </c>
      <c r="U3934" s="85">
        <f>IF(B3934="",0,IF(OR(H3934=MappingTables!$C$34,H3934=MappingTables!$C$35),T3934,0))</f>
        <v>0</v>
      </c>
      <c r="V3934" s="85">
        <f>IF(ISNA(IF(AND(VLOOKUP(CONCATENATE($D3934,$G3934),CSRFinput!$B:$E,4,0)=0,OR(H3934=MappingTables!$C$34,H3934=MappingTables!$C$35)),1,VLOOKUP(CONCATENATE($D3934,$G3934),CSRFinput!$B:$E,4,0))),0,IF(AND(VLOOKUP(CONCATENATE($D3934,$G3934),CSRFinput!$B:$E,4,0)=0,OR(H3934=MappingTables!$C$34,H3934=MappingTables!$C$35)),1,VLOOKUP(CONCATENATE($D3934,$G3934),CSRFinput!$B:$E,4,0)))</f>
        <v>0.054776304963434752</v>
      </c>
      <c r="W3934" s="85">
        <f>IF(B3934="",0,+$T3934*$V3934)</f>
        <v>55.115254889719064</v>
      </c>
      <c r="X3934" s="85">
        <f>IF(B3934="",0,IF(OR(H3934=MappingTables!$C$34,H3934=MappingTables!$C$35),W3934,0))</f>
        <v>0</v>
      </c>
    </row>
    <row r="3935" spans="2:24" s="0" customFormat="0" ht="15">
      <c r="B3935" s="69">
        <v>4482503</v>
      </c>
      <c r="C3935" s="70" t="s">
        <v>663</v>
      </c>
      <c r="D3935" s="70" t="s">
        <v>1</v>
      </c>
      <c r="E3935" s="70" t="s">
        <v>1</v>
      </c>
      <c r="F3935" s="70"/>
      <c r="G3935" s="70" t="s">
        <v>61</v>
      </c>
      <c r="H3935" s="70" t="s">
        <v>178</v>
      </c>
      <c r="I3935" s="70" t="s">
        <v>179</v>
      </c>
      <c r="J3935" s="71">
        <f>IF(OR(I3935=0,I3935=""),"unrated",VLOOKUP(I3935,MappingTables!$B$19:$C$31,2,FALSE))</f>
        <v>4</v>
      </c>
      <c r="K3935" s="72">
        <v>391.45316536803264</v>
      </c>
      <c r="L3935" s="70">
        <v>1.1789585194767102</v>
      </c>
      <c r="M3935" s="71">
        <f>IF(L3935&lt;1,1,L3935)</f>
        <v>1.1789585194767102</v>
      </c>
      <c r="N3935" s="70" t="s">
        <v>141</v>
      </c>
      <c r="O3935" s="71">
        <f>INDEX(DurClassMapping,MATCH(M3935,MappingTables!$D$4:$D$8,-1),1)</f>
        <v>1</v>
      </c>
      <c r="P3935" s="73">
        <f>IF(M3935=$A$1,1,$M3935-INDEX(MappingTables!$E$4:$E$8,MATCH(O3935,MappingTables!$B$4:$B$8,0)))</f>
        <v>1.1789585194767102</v>
      </c>
      <c r="Q3935" s="71">
        <f>IF(B3935="",0,INDEX(ModelParameters!$D$6:$K$10,MATCH($O3935,ModelParameters!$B$6:$B$10,0),MATCH($J3935,ModelParameters!$D$5:$K$5,0)))</f>
        <v>0.045</v>
      </c>
      <c r="R3935" s="71">
        <f>IF(B3935="",0,INDEX(ModelParameters!$D$13:$K$17,MATCH($O3935,ModelParameters!$B$13:$B$17,0),MATCH($J3935,ModelParameters!$D$5:$K$5,0)))</f>
        <v>0</v>
      </c>
      <c r="S3935" s="160">
        <f>IF(B3935="",0,MIN(IF($N3935="Other Bond TM",ModelParameters!$N$21,1)*(P3935*Q3935+R3935),1))</f>
        <v>0.05305313337645196</v>
      </c>
      <c r="T3935" s="85">
        <f>IF(B3935="",0,$S3935*$K3935)</f>
        <v>20.767816992904544</v>
      </c>
      <c r="U3935" s="85">
        <f>IF(B3935="",0,IF(OR(H3935=MappingTables!$C$34,H3935=MappingTables!$C$35),T3935,0))</f>
        <v>0</v>
      </c>
      <c r="V3935" s="85">
        <f>IF(ISNA(IF(AND(VLOOKUP(CONCATENATE($D3935,$G3935),CSRFinput!$B:$E,4,0)=0,OR(H3935=MappingTables!$C$34,H3935=MappingTables!$C$35)),1,VLOOKUP(CONCATENATE($D3935,$G3935),CSRFinput!$B:$E,4,0))),0,IF(AND(VLOOKUP(CONCATENATE($D3935,$G3935),CSRFinput!$B:$E,4,0)=0,OR(H3935=MappingTables!$C$34,H3935=MappingTables!$C$35)),1,VLOOKUP(CONCATENATE($D3935,$G3935),CSRFinput!$B:$E,4,0)))</f>
        <v>0.054776304963434752</v>
      </c>
      <c r="W3935" s="85">
        <f>IF(B3935="",0,+$T3935*$V3935)</f>
        <v>1.1375842770281416</v>
      </c>
      <c r="X3935" s="85">
        <f>IF(B3935="",0,IF(OR(H3935=MappingTables!$C$34,H3935=MappingTables!$C$35),W3935,0))</f>
        <v>0</v>
      </c>
    </row>
    <row r="3936" spans="2:24" s="0" customFormat="0" ht="15">
      <c r="B3936" s="69">
        <v>19837924</v>
      </c>
      <c r="C3936" s="70" t="s">
        <v>2127</v>
      </c>
      <c r="D3936" s="70" t="s">
        <v>1</v>
      </c>
      <c r="E3936" s="70" t="s">
        <v>1</v>
      </c>
      <c r="F3936" s="70"/>
      <c r="G3936" s="70" t="s">
        <v>61</v>
      </c>
      <c r="H3936" s="70" t="s">
        <v>178</v>
      </c>
      <c r="I3936" s="70" t="s">
        <v>184</v>
      </c>
      <c r="J3936" s="71">
        <f>IF(OR(I3936=0,I3936=""),"unrated",VLOOKUP(I3936,MappingTables!$B$19:$C$31,2,FALSE))</f>
        <v>5</v>
      </c>
      <c r="K3936" s="72">
        <v>68.440069973076232</v>
      </c>
      <c r="L3936" s="70">
        <v>0.40548154804550576</v>
      </c>
      <c r="M3936" s="71">
        <f>IF(L3936&lt;1,1,L3936)</f>
        <v>1</v>
      </c>
      <c r="N3936" s="70" t="s">
        <v>141</v>
      </c>
      <c r="O3936" s="71">
        <f>INDEX(DurClassMapping,MATCH(M3936,MappingTables!$D$4:$D$8,-1),1)</f>
        <v>1</v>
      </c>
      <c r="P3936" s="73">
        <f>IF(M3936=$A$1,1,$M3936-INDEX(MappingTables!$E$4:$E$8,MATCH(O3936,MappingTables!$B$4:$B$8,0)))</f>
        <v>1</v>
      </c>
      <c r="Q3936" s="71">
        <f>IF(B3936="",0,INDEX(ModelParameters!$D$6:$K$10,MATCH($O3936,ModelParameters!$B$6:$B$10,0),MATCH($J3936,ModelParameters!$D$5:$K$5,0)))</f>
        <v>0.075</v>
      </c>
      <c r="R3936" s="71">
        <f>IF(B3936="",0,INDEX(ModelParameters!$D$13:$K$17,MATCH($O3936,ModelParameters!$B$13:$B$17,0),MATCH($J3936,ModelParameters!$D$5:$K$5,0)))</f>
        <v>0</v>
      </c>
      <c r="S3936" s="160">
        <f>IF(B3936="",0,MIN(IF($N3936="Other Bond TM",ModelParameters!$N$21,1)*(P3936*Q3936+R3936),1))</f>
        <v>0.075</v>
      </c>
      <c r="T3936" s="85">
        <f>IF(B3936="",0,$S3936*$K3936)</f>
        <v>5.1330052479807176</v>
      </c>
      <c r="U3936" s="85">
        <f>IF(B3936="",0,IF(OR(H3936=MappingTables!$C$34,H3936=MappingTables!$C$35),T3936,0))</f>
        <v>0</v>
      </c>
      <c r="V3936" s="85">
        <f>IF(ISNA(IF(AND(VLOOKUP(CONCATENATE($D3936,$G3936),CSRFinput!$B:$E,4,0)=0,OR(H3936=MappingTables!$C$34,H3936=MappingTables!$C$35)),1,VLOOKUP(CONCATENATE($D3936,$G3936),CSRFinput!$B:$E,4,0))),0,IF(AND(VLOOKUP(CONCATENATE($D3936,$G3936),CSRFinput!$B:$E,4,0)=0,OR(H3936=MappingTables!$C$34,H3936=MappingTables!$C$35)),1,VLOOKUP(CONCATENATE($D3936,$G3936),CSRFinput!$B:$E,4,0)))</f>
        <v>0.054776304963434752</v>
      </c>
      <c r="W3936" s="85">
        <f>IF(B3936="",0,+$T3936*$V3936)</f>
        <v>0.2811670608423028</v>
      </c>
      <c r="X3936" s="85">
        <f>IF(B3936="",0,IF(OR(H3936=MappingTables!$C$34,H3936=MappingTables!$C$35),W3936,0))</f>
        <v>0</v>
      </c>
    </row>
    <row r="3937" spans="2:24" s="0" customFormat="0" ht="15">
      <c r="B3937" s="69">
        <v>19474497</v>
      </c>
      <c r="C3937" s="70" t="s">
        <v>1385</v>
      </c>
      <c r="D3937" s="70" t="s">
        <v>1</v>
      </c>
      <c r="E3937" s="70" t="s">
        <v>1</v>
      </c>
      <c r="F3937" s="70"/>
      <c r="G3937" s="70" t="s">
        <v>61</v>
      </c>
      <c r="H3937" s="70" t="s">
        <v>178</v>
      </c>
      <c r="I3937" s="70" t="s">
        <v>179</v>
      </c>
      <c r="J3937" s="71">
        <f>IF(OR(I3937=0,I3937=""),"unrated",VLOOKUP(I3937,MappingTables!$B$19:$C$31,2,FALSE))</f>
        <v>4</v>
      </c>
      <c r="K3937" s="72">
        <v>42.688370898401704</v>
      </c>
      <c r="L3937" s="70">
        <v>1.2541516575958314</v>
      </c>
      <c r="M3937" s="71">
        <f>IF(L3937&lt;1,1,L3937)</f>
        <v>1.2541516575958314</v>
      </c>
      <c r="N3937" s="70" t="s">
        <v>141</v>
      </c>
      <c r="O3937" s="71">
        <f>INDEX(DurClassMapping,MATCH(M3937,MappingTables!$D$4:$D$8,-1),1)</f>
        <v>1</v>
      </c>
      <c r="P3937" s="73">
        <f>IF(M3937=$A$1,1,$M3937-INDEX(MappingTables!$E$4:$E$8,MATCH(O3937,MappingTables!$B$4:$B$8,0)))</f>
        <v>1.2541516575958314</v>
      </c>
      <c r="Q3937" s="71">
        <f>IF(B3937="",0,INDEX(ModelParameters!$D$6:$K$10,MATCH($O3937,ModelParameters!$B$6:$B$10,0),MATCH($J3937,ModelParameters!$D$5:$K$5,0)))</f>
        <v>0.045</v>
      </c>
      <c r="R3937" s="71">
        <f>IF(B3937="",0,INDEX(ModelParameters!$D$13:$K$17,MATCH($O3937,ModelParameters!$B$13:$B$17,0),MATCH($J3937,ModelParameters!$D$5:$K$5,0)))</f>
        <v>0</v>
      </c>
      <c r="S3937" s="160">
        <f>IF(B3937="",0,MIN(IF($N3937="Other Bond TM",ModelParameters!$N$21,1)*(P3937*Q3937+R3937),1))</f>
        <v>0.056436824591812408</v>
      </c>
      <c r="T3937" s="85">
        <f>IF(B3937="",0,$S3937*$K3937)</f>
        <v>2.4091961005033264</v>
      </c>
      <c r="U3937" s="85">
        <f>IF(B3937="",0,IF(OR(H3937=MappingTables!$C$34,H3937=MappingTables!$C$35),T3937,0))</f>
        <v>0</v>
      </c>
      <c r="V3937" s="85">
        <f>IF(ISNA(IF(AND(VLOOKUP(CONCATENATE($D3937,$G3937),CSRFinput!$B:$E,4,0)=0,OR(H3937=MappingTables!$C$34,H3937=MappingTables!$C$35)),1,VLOOKUP(CONCATENATE($D3937,$G3937),CSRFinput!$B:$E,4,0))),0,IF(AND(VLOOKUP(CONCATENATE($D3937,$G3937),CSRFinput!$B:$E,4,0)=0,OR(H3937=MappingTables!$C$34,H3937=MappingTables!$C$35)),1,VLOOKUP(CONCATENATE($D3937,$G3937),CSRFinput!$B:$E,4,0)))</f>
        <v>0.054776304963434752</v>
      </c>
      <c r="W3937" s="85">
        <f>IF(B3937="",0,+$T3937*$V3937)</f>
        <v>0.13196686031788802</v>
      </c>
      <c r="X3937" s="85">
        <f>IF(B3937="",0,IF(OR(H3937=MappingTables!$C$34,H3937=MappingTables!$C$35),W3937,0))</f>
        <v>0</v>
      </c>
    </row>
    <row r="3938" spans="2:24" s="0" customFormat="0" ht="15">
      <c r="B3938" s="69">
        <v>15402640</v>
      </c>
      <c r="C3938" s="70" t="s">
        <v>2525</v>
      </c>
      <c r="D3938" s="70" t="s">
        <v>1</v>
      </c>
      <c r="E3938" s="70" t="s">
        <v>1</v>
      </c>
      <c r="F3938" s="70"/>
      <c r="G3938" s="70" t="s">
        <v>61</v>
      </c>
      <c r="H3938" s="70" t="s">
        <v>178</v>
      </c>
      <c r="I3938" s="70" t="s">
        <v>198</v>
      </c>
      <c r="J3938" s="71" t="str">
        <f>IF(OR(I3938=0,I3938=""),"unrated",VLOOKUP(I3938,MappingTables!$B$19:$C$31,2,FALSE))</f>
        <v>unrated</v>
      </c>
      <c r="K3938" s="72">
        <v>3434.0991417243884</v>
      </c>
      <c r="L3938" s="70">
        <v>0.08766908887973512</v>
      </c>
      <c r="M3938" s="71">
        <f>IF(L3938&lt;1,1,L3938)</f>
        <v>1</v>
      </c>
      <c r="N3938" s="70" t="s">
        <v>141</v>
      </c>
      <c r="O3938" s="71">
        <f>INDEX(DurClassMapping,MATCH(M3938,MappingTables!$D$4:$D$8,-1),1)</f>
        <v>1</v>
      </c>
      <c r="P3938" s="73">
        <f>IF(M3938=$A$1,1,$M3938-INDEX(MappingTables!$E$4:$E$8,MATCH(O3938,MappingTables!$B$4:$B$8,0)))</f>
        <v>1</v>
      </c>
      <c r="Q3938" s="71">
        <f>IF(B3938="",0,INDEX(ModelParameters!$D$6:$K$10,MATCH($O3938,ModelParameters!$B$6:$B$10,0),MATCH($J3938,ModelParameters!$D$5:$K$5,0)))</f>
        <v>0.03</v>
      </c>
      <c r="R3938" s="71">
        <f>IF(B3938="",0,INDEX(ModelParameters!$D$13:$K$17,MATCH($O3938,ModelParameters!$B$13:$B$17,0),MATCH($J3938,ModelParameters!$D$5:$K$5,0)))</f>
        <v>0</v>
      </c>
      <c r="S3938" s="160">
        <f>IF(B3938="",0,MIN(IF($N3938="Other Bond TM",ModelParameters!$N$21,1)*(P3938*Q3938+R3938),1))</f>
        <v>0.03</v>
      </c>
      <c r="T3938" s="85">
        <f>IF(B3938="",0,$S3938*$K3938)</f>
        <v>103.02297425173166</v>
      </c>
      <c r="U3938" s="85">
        <f>IF(B3938="",0,IF(OR(H3938=MappingTables!$C$34,H3938=MappingTables!$C$35),T3938,0))</f>
        <v>0</v>
      </c>
      <c r="V3938" s="85">
        <f>IF(ISNA(IF(AND(VLOOKUP(CONCATENATE($D3938,$G3938),CSRFinput!$B:$E,4,0)=0,OR(H3938=MappingTables!$C$34,H3938=MappingTables!$C$35)),1,VLOOKUP(CONCATENATE($D3938,$G3938),CSRFinput!$B:$E,4,0))),0,IF(AND(VLOOKUP(CONCATENATE($D3938,$G3938),CSRFinput!$B:$E,4,0)=0,OR(H3938=MappingTables!$C$34,H3938=MappingTables!$C$35)),1,VLOOKUP(CONCATENATE($D3938,$G3938),CSRFinput!$B:$E,4,0)))</f>
        <v>0.054776304963434752</v>
      </c>
      <c r="W3938" s="85">
        <f>IF(B3938="",0,+$T3938*$V3938)</f>
        <v>5.6432178558529392</v>
      </c>
      <c r="X3938" s="85">
        <f>IF(B3938="",0,IF(OR(H3938=MappingTables!$C$34,H3938=MappingTables!$C$35),W3938,0))</f>
        <v>0</v>
      </c>
    </row>
    <row r="3939" spans="2:24" s="0" customFormat="0" ht="15">
      <c r="B3939" s="69">
        <v>21623035</v>
      </c>
      <c r="C3939" s="70" t="s">
        <v>356</v>
      </c>
      <c r="D3939" s="70" t="s">
        <v>1</v>
      </c>
      <c r="E3939" s="70" t="s">
        <v>1</v>
      </c>
      <c r="F3939" s="70"/>
      <c r="G3939" s="70" t="s">
        <v>61</v>
      </c>
      <c r="H3939" s="70" t="s">
        <v>178</v>
      </c>
      <c r="I3939" s="70" t="s">
        <v>181</v>
      </c>
      <c r="J3939" s="71">
        <f>IF(OR(I3939=0,I3939=""),"unrated",VLOOKUP(I3939,MappingTables!$B$19:$C$31,2,FALSE))</f>
        <v>3</v>
      </c>
      <c r="K3939" s="72">
        <v>11333.678012690988</v>
      </c>
      <c r="L3939" s="70">
        <v>3.8502768940412656</v>
      </c>
      <c r="M3939" s="71">
        <f>IF(L3939&lt;1,1,L3939)</f>
        <v>3.8502768940412656</v>
      </c>
      <c r="N3939" s="70" t="s">
        <v>141</v>
      </c>
      <c r="O3939" s="71">
        <f>INDEX(DurClassMapping,MATCH(M3939,MappingTables!$D$4:$D$8,-1),1)</f>
        <v>1</v>
      </c>
      <c r="P3939" s="73">
        <f>IF(M3939=$A$1,1,$M3939-INDEX(MappingTables!$E$4:$E$8,MATCH(O3939,MappingTables!$B$4:$B$8,0)))</f>
        <v>3.8502768940412656</v>
      </c>
      <c r="Q3939" s="71">
        <f>IF(B3939="",0,INDEX(ModelParameters!$D$6:$K$10,MATCH($O3939,ModelParameters!$B$6:$B$10,0),MATCH($J3939,ModelParameters!$D$5:$K$5,0)))</f>
        <v>0.025</v>
      </c>
      <c r="R3939" s="71">
        <f>IF(B3939="",0,INDEX(ModelParameters!$D$13:$K$17,MATCH($O3939,ModelParameters!$B$13:$B$17,0),MATCH($J3939,ModelParameters!$D$5:$K$5,0)))</f>
        <v>0</v>
      </c>
      <c r="S3939" s="160">
        <f>IF(B3939="",0,MIN(IF($N3939="Other Bond TM",ModelParameters!$N$21,1)*(P3939*Q3939+R3939),1))</f>
        <v>0.096256922351031648</v>
      </c>
      <c r="T3939" s="85">
        <f>IF(B3939="",0,$S3939*$K3939)</f>
        <v>1090.944964419191</v>
      </c>
      <c r="U3939" s="85">
        <f>IF(B3939="",0,IF(OR(H3939=MappingTables!$C$34,H3939=MappingTables!$C$35),T3939,0))</f>
        <v>0</v>
      </c>
      <c r="V3939" s="85">
        <f>IF(ISNA(IF(AND(VLOOKUP(CONCATENATE($D3939,$G3939),CSRFinput!$B:$E,4,0)=0,OR(H3939=MappingTables!$C$34,H3939=MappingTables!$C$35)),1,VLOOKUP(CONCATENATE($D3939,$G3939),CSRFinput!$B:$E,4,0))),0,IF(AND(VLOOKUP(CONCATENATE($D3939,$G3939),CSRFinput!$B:$E,4,0)=0,OR(H3939=MappingTables!$C$34,H3939=MappingTables!$C$35)),1,VLOOKUP(CONCATENATE($D3939,$G3939),CSRFinput!$B:$E,4,0)))</f>
        <v>0.054776304963434752</v>
      </c>
      <c r="W3939" s="85">
        <f>IF(B3939="",0,+$T3939*$V3939)</f>
        <v>59.75793406934908</v>
      </c>
      <c r="X3939" s="85">
        <f>IF(B3939="",0,IF(OR(H3939=MappingTables!$C$34,H3939=MappingTables!$C$35),W3939,0))</f>
        <v>0</v>
      </c>
    </row>
    <row r="3940" spans="2:24" s="0" customFormat="0" ht="15">
      <c r="B3940" s="69">
        <v>21226545</v>
      </c>
      <c r="C3940" s="70" t="s">
        <v>2860</v>
      </c>
      <c r="D3940" s="70" t="s">
        <v>1</v>
      </c>
      <c r="E3940" s="70" t="s">
        <v>1</v>
      </c>
      <c r="F3940" s="70"/>
      <c r="G3940" s="70" t="s">
        <v>61</v>
      </c>
      <c r="H3940" s="70" t="s">
        <v>178</v>
      </c>
      <c r="I3940" s="70" t="s">
        <v>179</v>
      </c>
      <c r="J3940" s="71">
        <f>IF(OR(I3940=0,I3940=""),"unrated",VLOOKUP(I3940,MappingTables!$B$19:$C$31,2,FALSE))</f>
        <v>4</v>
      </c>
      <c r="K3940" s="72">
        <v>6.5751295665894288</v>
      </c>
      <c r="L3940" s="70">
        <v>1.7032960119468836</v>
      </c>
      <c r="M3940" s="71">
        <f>IF(L3940&lt;1,1,L3940)</f>
        <v>1.7032960119468836</v>
      </c>
      <c r="N3940" s="70" t="s">
        <v>141</v>
      </c>
      <c r="O3940" s="71">
        <f>INDEX(DurClassMapping,MATCH(M3940,MappingTables!$D$4:$D$8,-1),1)</f>
        <v>1</v>
      </c>
      <c r="P3940" s="73">
        <f>IF(M3940=$A$1,1,$M3940-INDEX(MappingTables!$E$4:$E$8,MATCH(O3940,MappingTables!$B$4:$B$8,0)))</f>
        <v>1.7032960119468836</v>
      </c>
      <c r="Q3940" s="71">
        <f>IF(B3940="",0,INDEX(ModelParameters!$D$6:$K$10,MATCH($O3940,ModelParameters!$B$6:$B$10,0),MATCH($J3940,ModelParameters!$D$5:$K$5,0)))</f>
        <v>0.045</v>
      </c>
      <c r="R3940" s="71">
        <f>IF(B3940="",0,INDEX(ModelParameters!$D$13:$K$17,MATCH($O3940,ModelParameters!$B$13:$B$17,0),MATCH($J3940,ModelParameters!$D$5:$K$5,0)))</f>
        <v>0</v>
      </c>
      <c r="S3940" s="160">
        <f>IF(B3940="",0,MIN(IF($N3940="Other Bond TM",ModelParameters!$N$21,1)*(P3940*Q3940+R3940),1))</f>
        <v>0.07664832053760976</v>
      </c>
      <c r="T3940" s="85">
        <f>IF(B3940="",0,$S3940*$K3940)</f>
        <v>0.5039726385962616</v>
      </c>
      <c r="U3940" s="85">
        <f>IF(B3940="",0,IF(OR(H3940=MappingTables!$C$34,H3940=MappingTables!$C$35),T3940,0))</f>
        <v>0</v>
      </c>
      <c r="V3940" s="85">
        <f>IF(ISNA(IF(AND(VLOOKUP(CONCATENATE($D3940,$G3940),CSRFinput!$B:$E,4,0)=0,OR(H3940=MappingTables!$C$34,H3940=MappingTables!$C$35)),1,VLOOKUP(CONCATENATE($D3940,$G3940),CSRFinput!$B:$E,4,0))),0,IF(AND(VLOOKUP(CONCATENATE($D3940,$G3940),CSRFinput!$B:$E,4,0)=0,OR(H3940=MappingTables!$C$34,H3940=MappingTables!$C$35)),1,VLOOKUP(CONCATENATE($D3940,$G3940),CSRFinput!$B:$E,4,0)))</f>
        <v>0.054776304963434752</v>
      </c>
      <c r="W3940" s="85">
        <f>IF(B3940="",0,+$T3940*$V3940)</f>
        <v>0.027605758944975712</v>
      </c>
      <c r="X3940" s="85">
        <f>IF(B3940="",0,IF(OR(H3940=MappingTables!$C$34,H3940=MappingTables!$C$35),W3940,0))</f>
        <v>0</v>
      </c>
    </row>
    <row r="3941" spans="2:24" s="0" customFormat="0" ht="15">
      <c r="B3941" s="69" t="s">
        <v>2981</v>
      </c>
      <c r="C3941" s="70" t="s">
        <v>2982</v>
      </c>
      <c r="D3941" s="70" t="s">
        <v>1</v>
      </c>
      <c r="E3941" s="70" t="s">
        <v>1</v>
      </c>
      <c r="F3941" s="70"/>
      <c r="G3941" s="70" t="s">
        <v>61</v>
      </c>
      <c r="H3941" s="70" t="s">
        <v>178</v>
      </c>
      <c r="I3941" s="70" t="s">
        <v>181</v>
      </c>
      <c r="J3941" s="71">
        <f>IF(OR(I3941=0,I3941=""),"unrated",VLOOKUP(I3941,MappingTables!$B$19:$C$31,2,FALSE))</f>
        <v>3</v>
      </c>
      <c r="K3941" s="72">
        <v>11998.385877112694</v>
      </c>
      <c r="L3941" s="70">
        <v>3.989042718207368</v>
      </c>
      <c r="M3941" s="71">
        <f>IF(L3941&lt;1,1,L3941)</f>
        <v>3.989042718207368</v>
      </c>
      <c r="N3941" s="70" t="s">
        <v>141</v>
      </c>
      <c r="O3941" s="71">
        <f>INDEX(DurClassMapping,MATCH(M3941,MappingTables!$D$4:$D$8,-1),1)</f>
        <v>1</v>
      </c>
      <c r="P3941" s="73">
        <f>IF(M3941=$A$1,1,$M3941-INDEX(MappingTables!$E$4:$E$8,MATCH(O3941,MappingTables!$B$4:$B$8,0)))</f>
        <v>3.989042718207368</v>
      </c>
      <c r="Q3941" s="71">
        <f>IF(B3941="",0,INDEX(ModelParameters!$D$6:$K$10,MATCH($O3941,ModelParameters!$B$6:$B$10,0),MATCH($J3941,ModelParameters!$D$5:$K$5,0)))</f>
        <v>0.025</v>
      </c>
      <c r="R3941" s="71">
        <f>IF(B3941="",0,INDEX(ModelParameters!$D$13:$K$17,MATCH($O3941,ModelParameters!$B$13:$B$17,0),MATCH($J3941,ModelParameters!$D$5:$K$5,0)))</f>
        <v>0</v>
      </c>
      <c r="S3941" s="160">
        <f>IF(B3941="",0,MIN(IF($N3941="Other Bond TM",ModelParameters!$N$21,1)*(P3941*Q3941+R3941),1))</f>
        <v>0.099726067955184192</v>
      </c>
      <c r="T3941" s="85">
        <f>IF(B3941="",0,$S3941*$K3941)</f>
        <v>1196.551845333463</v>
      </c>
      <c r="U3941" s="85">
        <f>IF(B3941="",0,IF(OR(H3941=MappingTables!$C$34,H3941=MappingTables!$C$35),T3941,0))</f>
        <v>0</v>
      </c>
      <c r="V3941" s="85">
        <f>IF(ISNA(IF(AND(VLOOKUP(CONCATENATE($D3941,$G3941),CSRFinput!$B:$E,4,0)=0,OR(H3941=MappingTables!$C$34,H3941=MappingTables!$C$35)),1,VLOOKUP(CONCATENATE($D3941,$G3941),CSRFinput!$B:$E,4,0))),0,IF(AND(VLOOKUP(CONCATENATE($D3941,$G3941),CSRFinput!$B:$E,4,0)=0,OR(H3941=MappingTables!$C$34,H3941=MappingTables!$C$35)),1,VLOOKUP(CONCATENATE($D3941,$G3941),CSRFinput!$B:$E,4,0)))</f>
        <v>0.054776304963434752</v>
      </c>
      <c r="W3941" s="85">
        <f>IF(B3941="",0,+$T3941*$V3941)</f>
        <v>65.542688784546384</v>
      </c>
      <c r="X3941" s="85">
        <f>IF(B3941="",0,IF(OR(H3941=MappingTables!$C$34,H3941=MappingTables!$C$35),W3941,0))</f>
        <v>0</v>
      </c>
    </row>
    <row r="3942" spans="2:24" s="0" customFormat="0" ht="15">
      <c r="B3942" s="69" t="s">
        <v>1258</v>
      </c>
      <c r="C3942" s="70" t="s">
        <v>1259</v>
      </c>
      <c r="D3942" s="70" t="s">
        <v>1</v>
      </c>
      <c r="E3942" s="70" t="s">
        <v>1</v>
      </c>
      <c r="F3942" s="70"/>
      <c r="G3942" s="70" t="s">
        <v>61</v>
      </c>
      <c r="H3942" s="70" t="s">
        <v>178</v>
      </c>
      <c r="I3942" s="70" t="s">
        <v>188</v>
      </c>
      <c r="J3942" s="71">
        <f>IF(OR(I3942=0,I3942=""),"unrated",VLOOKUP(I3942,MappingTables!$B$19:$C$31,2,FALSE))</f>
        <v>2</v>
      </c>
      <c r="K3942" s="72">
        <v>234.96688122659756</v>
      </c>
      <c r="L3942" s="70">
        <v>0.94203212880049664</v>
      </c>
      <c r="M3942" s="71">
        <f>IF(L3942&lt;1,1,L3942)</f>
        <v>1</v>
      </c>
      <c r="N3942" s="70" t="s">
        <v>141</v>
      </c>
      <c r="O3942" s="71">
        <f>INDEX(DurClassMapping,MATCH(M3942,MappingTables!$D$4:$D$8,-1),1)</f>
        <v>1</v>
      </c>
      <c r="P3942" s="73">
        <f>IF(M3942=$A$1,1,$M3942-INDEX(MappingTables!$E$4:$E$8,MATCH(O3942,MappingTables!$B$4:$B$8,0)))</f>
        <v>1</v>
      </c>
      <c r="Q3942" s="71">
        <f>IF(B3942="",0,INDEX(ModelParameters!$D$6:$K$10,MATCH($O3942,ModelParameters!$B$6:$B$10,0),MATCH($J3942,ModelParameters!$D$5:$K$5,0)))</f>
        <v>0.013999999999999998</v>
      </c>
      <c r="R3942" s="71">
        <f>IF(B3942="",0,INDEX(ModelParameters!$D$13:$K$17,MATCH($O3942,ModelParameters!$B$13:$B$17,0),MATCH($J3942,ModelParameters!$D$5:$K$5,0)))</f>
        <v>0</v>
      </c>
      <c r="S3942" s="160">
        <f>IF(B3942="",0,MIN(IF($N3942="Other Bond TM",ModelParameters!$N$21,1)*(P3942*Q3942+R3942),1))</f>
        <v>0.013999999999999998</v>
      </c>
      <c r="T3942" s="85">
        <f>IF(B3942="",0,$S3942*$K3942)</f>
        <v>3.2895363371723656</v>
      </c>
      <c r="U3942" s="85">
        <f>IF(B3942="",0,IF(OR(H3942=MappingTables!$C$34,H3942=MappingTables!$C$35),T3942,0))</f>
        <v>0</v>
      </c>
      <c r="V3942" s="85">
        <f>IF(ISNA(IF(AND(VLOOKUP(CONCATENATE($D3942,$G3942),CSRFinput!$B:$E,4,0)=0,OR(H3942=MappingTables!$C$34,H3942=MappingTables!$C$35)),1,VLOOKUP(CONCATENATE($D3942,$G3942),CSRFinput!$B:$E,4,0))),0,IF(AND(VLOOKUP(CONCATENATE($D3942,$G3942),CSRFinput!$B:$E,4,0)=0,OR(H3942=MappingTables!$C$34,H3942=MappingTables!$C$35)),1,VLOOKUP(CONCATENATE($D3942,$G3942),CSRFinput!$B:$E,4,0)))</f>
        <v>0.054776304963434752</v>
      </c>
      <c r="W3942" s="85">
        <f>IF(B3942="",0,+$T3942*$V3942)</f>
        <v>0.18018864559325364</v>
      </c>
      <c r="X3942" s="85">
        <f>IF(B3942="",0,IF(OR(H3942=MappingTables!$C$34,H3942=MappingTables!$C$35),W3942,0))</f>
        <v>0</v>
      </c>
    </row>
    <row r="3943" spans="2:24" s="0" customFormat="0" ht="15">
      <c r="B3943" s="69">
        <v>23212108</v>
      </c>
      <c r="C3943" s="70" t="s">
        <v>2645</v>
      </c>
      <c r="D3943" s="70" t="s">
        <v>1</v>
      </c>
      <c r="E3943" s="70" t="s">
        <v>1</v>
      </c>
      <c r="F3943" s="70"/>
      <c r="G3943" s="70" t="s">
        <v>61</v>
      </c>
      <c r="H3943" s="70" t="s">
        <v>178</v>
      </c>
      <c r="I3943" s="70" t="s">
        <v>181</v>
      </c>
      <c r="J3943" s="71">
        <f>IF(OR(I3943=0,I3943=""),"unrated",VLOOKUP(I3943,MappingTables!$B$19:$C$31,2,FALSE))</f>
        <v>3</v>
      </c>
      <c r="K3943" s="72">
        <v>62.864520744349216</v>
      </c>
      <c r="L3943" s="70">
        <v>0.1561625529250171</v>
      </c>
      <c r="M3943" s="71">
        <f>IF(L3943&lt;1,1,L3943)</f>
        <v>1</v>
      </c>
      <c r="N3943" s="70" t="s">
        <v>141</v>
      </c>
      <c r="O3943" s="71">
        <f>INDEX(DurClassMapping,MATCH(M3943,MappingTables!$D$4:$D$8,-1),1)</f>
        <v>1</v>
      </c>
      <c r="P3943" s="73">
        <f>IF(M3943=$A$1,1,$M3943-INDEX(MappingTables!$E$4:$E$8,MATCH(O3943,MappingTables!$B$4:$B$8,0)))</f>
        <v>1</v>
      </c>
      <c r="Q3943" s="71">
        <f>IF(B3943="",0,INDEX(ModelParameters!$D$6:$K$10,MATCH($O3943,ModelParameters!$B$6:$B$10,0),MATCH($J3943,ModelParameters!$D$5:$K$5,0)))</f>
        <v>0.025</v>
      </c>
      <c r="R3943" s="71">
        <f>IF(B3943="",0,INDEX(ModelParameters!$D$13:$K$17,MATCH($O3943,ModelParameters!$B$13:$B$17,0),MATCH($J3943,ModelParameters!$D$5:$K$5,0)))</f>
        <v>0</v>
      </c>
      <c r="S3943" s="160">
        <f>IF(B3943="",0,MIN(IF($N3943="Other Bond TM",ModelParameters!$N$21,1)*(P3943*Q3943+R3943),1))</f>
        <v>0.025</v>
      </c>
      <c r="T3943" s="85">
        <f>IF(B3943="",0,$S3943*$K3943)</f>
        <v>1.5716130186087304</v>
      </c>
      <c r="U3943" s="85">
        <f>IF(B3943="",0,IF(OR(H3943=MappingTables!$C$34,H3943=MappingTables!$C$35),T3943,0))</f>
        <v>0</v>
      </c>
      <c r="V3943" s="85">
        <f>IF(ISNA(IF(AND(VLOOKUP(CONCATENATE($D3943,$G3943),CSRFinput!$B:$E,4,0)=0,OR(H3943=MappingTables!$C$34,H3943=MappingTables!$C$35)),1,VLOOKUP(CONCATENATE($D3943,$G3943),CSRFinput!$B:$E,4,0))),0,IF(AND(VLOOKUP(CONCATENATE($D3943,$G3943),CSRFinput!$B:$E,4,0)=0,OR(H3943=MappingTables!$C$34,H3943=MappingTables!$C$35)),1,VLOOKUP(CONCATENATE($D3943,$G3943),CSRFinput!$B:$E,4,0)))</f>
        <v>0.054776304963434752</v>
      </c>
      <c r="W3943" s="85">
        <f>IF(B3943="",0,+$T3943*$V3943)</f>
        <v>0.08608715399181608</v>
      </c>
      <c r="X3943" s="85">
        <f>IF(B3943="",0,IF(OR(H3943=MappingTables!$C$34,H3943=MappingTables!$C$35),W3943,0))</f>
        <v>0</v>
      </c>
    </row>
    <row r="3944" spans="2:24" s="0" customFormat="0" ht="15">
      <c r="B3944" s="69">
        <v>21105300</v>
      </c>
      <c r="C3944" s="70" t="s">
        <v>2625</v>
      </c>
      <c r="D3944" s="70" t="s">
        <v>1</v>
      </c>
      <c r="E3944" s="70" t="s">
        <v>1</v>
      </c>
      <c r="F3944" s="70"/>
      <c r="G3944" s="70" t="s">
        <v>61</v>
      </c>
      <c r="H3944" s="70" t="s">
        <v>178</v>
      </c>
      <c r="I3944" s="70" t="s">
        <v>181</v>
      </c>
      <c r="J3944" s="71">
        <f>IF(OR(I3944=0,I3944=""),"unrated",VLOOKUP(I3944,MappingTables!$B$19:$C$31,2,FALSE))</f>
        <v>3</v>
      </c>
      <c r="K3944" s="72">
        <v>9786.4234166942496</v>
      </c>
      <c r="L3944" s="70">
        <v>0.087671934478325088</v>
      </c>
      <c r="M3944" s="71">
        <f>IF(L3944&lt;1,1,L3944)</f>
        <v>1</v>
      </c>
      <c r="N3944" s="70" t="s">
        <v>141</v>
      </c>
      <c r="O3944" s="71">
        <f>INDEX(DurClassMapping,MATCH(M3944,MappingTables!$D$4:$D$8,-1),1)</f>
        <v>1</v>
      </c>
      <c r="P3944" s="73">
        <f>IF(M3944=$A$1,1,$M3944-INDEX(MappingTables!$E$4:$E$8,MATCH(O3944,MappingTables!$B$4:$B$8,0)))</f>
        <v>1</v>
      </c>
      <c r="Q3944" s="71">
        <f>IF(B3944="",0,INDEX(ModelParameters!$D$6:$K$10,MATCH($O3944,ModelParameters!$B$6:$B$10,0),MATCH($J3944,ModelParameters!$D$5:$K$5,0)))</f>
        <v>0.025</v>
      </c>
      <c r="R3944" s="71">
        <f>IF(B3944="",0,INDEX(ModelParameters!$D$13:$K$17,MATCH($O3944,ModelParameters!$B$13:$B$17,0),MATCH($J3944,ModelParameters!$D$5:$K$5,0)))</f>
        <v>0</v>
      </c>
      <c r="S3944" s="160">
        <f>IF(B3944="",0,MIN(IF($N3944="Other Bond TM",ModelParameters!$N$21,1)*(P3944*Q3944+R3944),1))</f>
        <v>0.025</v>
      </c>
      <c r="T3944" s="85">
        <f>IF(B3944="",0,$S3944*$K3944)</f>
        <v>244.66058541735624</v>
      </c>
      <c r="U3944" s="85">
        <f>IF(B3944="",0,IF(OR(H3944=MappingTables!$C$34,H3944=MappingTables!$C$35),T3944,0))</f>
        <v>0</v>
      </c>
      <c r="V3944" s="85">
        <f>IF(ISNA(IF(AND(VLOOKUP(CONCATENATE($D3944,$G3944),CSRFinput!$B:$E,4,0)=0,OR(H3944=MappingTables!$C$34,H3944=MappingTables!$C$35)),1,VLOOKUP(CONCATENATE($D3944,$G3944),CSRFinput!$B:$E,4,0))),0,IF(AND(VLOOKUP(CONCATENATE($D3944,$G3944),CSRFinput!$B:$E,4,0)=0,OR(H3944=MappingTables!$C$34,H3944=MappingTables!$C$35)),1,VLOOKUP(CONCATENATE($D3944,$G3944),CSRFinput!$B:$E,4,0)))</f>
        <v>0.054776304963434752</v>
      </c>
      <c r="W3944" s="85">
        <f>IF(B3944="",0,+$T3944*$V3944)</f>
        <v>13.401602839353584</v>
      </c>
      <c r="X3944" s="85">
        <f>IF(B3944="",0,IF(OR(H3944=MappingTables!$C$34,H3944=MappingTables!$C$35),W3944,0))</f>
        <v>0</v>
      </c>
    </row>
    <row r="3945" spans="2:24" s="0" customFormat="0" ht="15">
      <c r="B3945" s="69">
        <v>8300495</v>
      </c>
      <c r="C3945" s="70" t="s">
        <v>2472</v>
      </c>
      <c r="D3945" s="70" t="s">
        <v>1</v>
      </c>
      <c r="E3945" s="70" t="s">
        <v>1</v>
      </c>
      <c r="F3945" s="70"/>
      <c r="G3945" s="70" t="s">
        <v>61</v>
      </c>
      <c r="H3945" s="70" t="s">
        <v>178</v>
      </c>
      <c r="I3945" s="70" t="s">
        <v>181</v>
      </c>
      <c r="J3945" s="71">
        <f>IF(OR(I3945=0,I3945=""),"unrated",VLOOKUP(I3945,MappingTables!$B$19:$C$31,2,FALSE))</f>
        <v>3</v>
      </c>
      <c r="K3945" s="72">
        <v>4200.0733704425624</v>
      </c>
      <c r="L3945" s="70">
        <v>0.37260572323016376</v>
      </c>
      <c r="M3945" s="71">
        <f>IF(L3945&lt;1,1,L3945)</f>
        <v>1</v>
      </c>
      <c r="N3945" s="70" t="s">
        <v>141</v>
      </c>
      <c r="O3945" s="71">
        <f>INDEX(DurClassMapping,MATCH(M3945,MappingTables!$D$4:$D$8,-1),1)</f>
        <v>1</v>
      </c>
      <c r="P3945" s="73">
        <f>IF(M3945=$A$1,1,$M3945-INDEX(MappingTables!$E$4:$E$8,MATCH(O3945,MappingTables!$B$4:$B$8,0)))</f>
        <v>1</v>
      </c>
      <c r="Q3945" s="71">
        <f>IF(B3945="",0,INDEX(ModelParameters!$D$6:$K$10,MATCH($O3945,ModelParameters!$B$6:$B$10,0),MATCH($J3945,ModelParameters!$D$5:$K$5,0)))</f>
        <v>0.025</v>
      </c>
      <c r="R3945" s="71">
        <f>IF(B3945="",0,INDEX(ModelParameters!$D$13:$K$17,MATCH($O3945,ModelParameters!$B$13:$B$17,0),MATCH($J3945,ModelParameters!$D$5:$K$5,0)))</f>
        <v>0</v>
      </c>
      <c r="S3945" s="160">
        <f>IF(B3945="",0,MIN(IF($N3945="Other Bond TM",ModelParameters!$N$21,1)*(P3945*Q3945+R3945),1))</f>
        <v>0.025</v>
      </c>
      <c r="T3945" s="85">
        <f>IF(B3945="",0,$S3945*$K3945)</f>
        <v>105.00183426106406</v>
      </c>
      <c r="U3945" s="85">
        <f>IF(B3945="",0,IF(OR(H3945=MappingTables!$C$34,H3945=MappingTables!$C$35),T3945,0))</f>
        <v>0</v>
      </c>
      <c r="V3945" s="85">
        <f>IF(ISNA(IF(AND(VLOOKUP(CONCATENATE($D3945,$G3945),CSRFinput!$B:$E,4,0)=0,OR(H3945=MappingTables!$C$34,H3945=MappingTables!$C$35)),1,VLOOKUP(CONCATENATE($D3945,$G3945),CSRFinput!$B:$E,4,0))),0,IF(AND(VLOOKUP(CONCATENATE($D3945,$G3945),CSRFinput!$B:$E,4,0)=0,OR(H3945=MappingTables!$C$34,H3945=MappingTables!$C$35)),1,VLOOKUP(CONCATENATE($D3945,$G3945),CSRFinput!$B:$E,4,0)))</f>
        <v>0.054776304963434752</v>
      </c>
      <c r="W3945" s="85">
        <f>IF(B3945="",0,+$T3945*$V3945)</f>
        <v>5.7516124952040768</v>
      </c>
      <c r="X3945" s="85">
        <f>IF(B3945="",0,IF(OR(H3945=MappingTables!$C$34,H3945=MappingTables!$C$35),W3945,0))</f>
        <v>0</v>
      </c>
    </row>
    <row r="3946" spans="2:24" s="0" customFormat="0" ht="15">
      <c r="B3946" s="69">
        <v>17147379</v>
      </c>
      <c r="C3946" s="70" t="s">
        <v>2785</v>
      </c>
      <c r="D3946" s="70" t="s">
        <v>1</v>
      </c>
      <c r="E3946" s="70" t="s">
        <v>1</v>
      </c>
      <c r="F3946" s="70"/>
      <c r="G3946" s="70" t="s">
        <v>61</v>
      </c>
      <c r="H3946" s="70" t="s">
        <v>178</v>
      </c>
      <c r="I3946" s="70" t="s">
        <v>181</v>
      </c>
      <c r="J3946" s="71">
        <f>IF(OR(I3946=0,I3946=""),"unrated",VLOOKUP(I3946,MappingTables!$B$19:$C$31,2,FALSE))</f>
        <v>3</v>
      </c>
      <c r="K3946" s="72">
        <v>420.3457597334844</v>
      </c>
      <c r="L3946" s="70">
        <v>6.1320129261510232</v>
      </c>
      <c r="M3946" s="71">
        <f>IF(L3946&lt;1,1,L3946)</f>
        <v>6.1320129261510232</v>
      </c>
      <c r="N3946" s="70" t="s">
        <v>141</v>
      </c>
      <c r="O3946" s="71">
        <f>INDEX(DurClassMapping,MATCH(M3946,MappingTables!$D$4:$D$8,-1),1)</f>
        <v>2</v>
      </c>
      <c r="P3946" s="73">
        <f>IF(M3946=$A$1,1,$M3946-INDEX(MappingTables!$E$4:$E$8,MATCH(O3946,MappingTables!$B$4:$B$8,0)))</f>
        <v>1.132012926151023</v>
      </c>
      <c r="Q3946" s="71">
        <f>IF(B3946="",0,INDEX(ModelParameters!$D$6:$K$10,MATCH($O3946,ModelParameters!$B$6:$B$10,0),MATCH($J3946,ModelParameters!$D$5:$K$5,0)))</f>
        <v>0.015</v>
      </c>
      <c r="R3946" s="71">
        <f>IF(B3946="",0,INDEX(ModelParameters!$D$13:$K$17,MATCH($O3946,ModelParameters!$B$13:$B$17,0),MATCH($J3946,ModelParameters!$D$5:$K$5,0)))</f>
        <v>0.125</v>
      </c>
      <c r="S3946" s="160">
        <f>IF(B3946="",0,MIN(IF($N3946="Other Bond TM",ModelParameters!$N$21,1)*(P3946*Q3946+R3946),1))</f>
        <v>0.14198019389226534</v>
      </c>
      <c r="T3946" s="85">
        <f>IF(B3946="",0,$S3946*$K3946)</f>
        <v>59.680772468751696</v>
      </c>
      <c r="U3946" s="85">
        <f>IF(B3946="",0,IF(OR(H3946=MappingTables!$C$34,H3946=MappingTables!$C$35),T3946,0))</f>
        <v>0</v>
      </c>
      <c r="V3946" s="85">
        <f>IF(ISNA(IF(AND(VLOOKUP(CONCATENATE($D3946,$G3946),CSRFinput!$B:$E,4,0)=0,OR(H3946=MappingTables!$C$34,H3946=MappingTables!$C$35)),1,VLOOKUP(CONCATENATE($D3946,$G3946),CSRFinput!$B:$E,4,0))),0,IF(AND(VLOOKUP(CONCATENATE($D3946,$G3946),CSRFinput!$B:$E,4,0)=0,OR(H3946=MappingTables!$C$34,H3946=MappingTables!$C$35)),1,VLOOKUP(CONCATENATE($D3946,$G3946),CSRFinput!$B:$E,4,0)))</f>
        <v>0.054776304963434752</v>
      </c>
      <c r="W3946" s="85">
        <f>IF(B3946="",0,+$T3946*$V3946)</f>
        <v>3.2690921932017036</v>
      </c>
      <c r="X3946" s="85">
        <f>IF(B3946="",0,IF(OR(H3946=MappingTables!$C$34,H3946=MappingTables!$C$35),W3946,0))</f>
        <v>0</v>
      </c>
    </row>
    <row r="3947" spans="2:24" s="0" customFormat="0" ht="15">
      <c r="B3947" s="69">
        <v>13303727</v>
      </c>
      <c r="C3947" s="70" t="s">
        <v>2590</v>
      </c>
      <c r="D3947" s="70" t="s">
        <v>1</v>
      </c>
      <c r="E3947" s="70" t="s">
        <v>1</v>
      </c>
      <c r="F3947" s="70"/>
      <c r="G3947" s="70" t="s">
        <v>61</v>
      </c>
      <c r="H3947" s="70" t="s">
        <v>178</v>
      </c>
      <c r="I3947" s="70" t="s">
        <v>220</v>
      </c>
      <c r="J3947" s="71">
        <f>IF(OR(I3947=0,I3947=""),"unrated",VLOOKUP(I3947,MappingTables!$B$19:$C$31,2,FALSE))</f>
        <v>1</v>
      </c>
      <c r="K3947" s="72">
        <v>184.39927846240508</v>
      </c>
      <c r="L3947" s="70">
        <v>1.0813715098376656</v>
      </c>
      <c r="M3947" s="71">
        <f>IF(L3947&lt;1,1,L3947)</f>
        <v>1.0813715098376656</v>
      </c>
      <c r="N3947" s="70" t="s">
        <v>141</v>
      </c>
      <c r="O3947" s="71">
        <f>INDEX(DurClassMapping,MATCH(M3947,MappingTables!$D$4:$D$8,-1),1)</f>
        <v>1</v>
      </c>
      <c r="P3947" s="73">
        <f>IF(M3947=$A$1,1,$M3947-INDEX(MappingTables!$E$4:$E$8,MATCH(O3947,MappingTables!$B$4:$B$8,0)))</f>
        <v>1.0813715098376656</v>
      </c>
      <c r="Q3947" s="71">
        <f>IF(B3947="",0,INDEX(ModelParameters!$D$6:$K$10,MATCH($O3947,ModelParameters!$B$6:$B$10,0),MATCH($J3947,ModelParameters!$D$5:$K$5,0)))</f>
        <v>0.011000000000000002</v>
      </c>
      <c r="R3947" s="71">
        <f>IF(B3947="",0,INDEX(ModelParameters!$D$13:$K$17,MATCH($O3947,ModelParameters!$B$13:$B$17,0),MATCH($J3947,ModelParameters!$D$5:$K$5,0)))</f>
        <v>0</v>
      </c>
      <c r="S3947" s="160">
        <f>IF(B3947="",0,MIN(IF($N3947="Other Bond TM",ModelParameters!$N$21,1)*(P3947*Q3947+R3947),1))</f>
        <v>0.011895086608214322</v>
      </c>
      <c r="T3947" s="85">
        <f>IF(B3947="",0,$S3947*$K3947)</f>
        <v>2.193445387802538</v>
      </c>
      <c r="U3947" s="85">
        <f>IF(B3947="",0,IF(OR(H3947=MappingTables!$C$34,H3947=MappingTables!$C$35),T3947,0))</f>
        <v>0</v>
      </c>
      <c r="V3947" s="85">
        <f>IF(ISNA(IF(AND(VLOOKUP(CONCATENATE($D3947,$G3947),CSRFinput!$B:$E,4,0)=0,OR(H3947=MappingTables!$C$34,H3947=MappingTables!$C$35)),1,VLOOKUP(CONCATENATE($D3947,$G3947),CSRFinput!$B:$E,4,0))),0,IF(AND(VLOOKUP(CONCATENATE($D3947,$G3947),CSRFinput!$B:$E,4,0)=0,OR(H3947=MappingTables!$C$34,H3947=MappingTables!$C$35)),1,VLOOKUP(CONCATENATE($D3947,$G3947),CSRFinput!$B:$E,4,0)))</f>
        <v>0.054776304963434752</v>
      </c>
      <c r="W3947" s="85">
        <f>IF(B3947="",0,+$T3947*$V3947)</f>
        <v>0.12014883348291124</v>
      </c>
      <c r="X3947" s="85">
        <f>IF(B3947="",0,IF(OR(H3947=MappingTables!$C$34,H3947=MappingTables!$C$35),W3947,0))</f>
        <v>0</v>
      </c>
    </row>
    <row r="3948" spans="2:24" s="0" customFormat="0" ht="15">
      <c r="B3948" s="69">
        <v>18091439</v>
      </c>
      <c r="C3948" s="70" t="s">
        <v>2983</v>
      </c>
      <c r="D3948" s="70" t="s">
        <v>1</v>
      </c>
      <c r="E3948" s="70" t="s">
        <v>1</v>
      </c>
      <c r="F3948" s="70"/>
      <c r="G3948" s="70" t="s">
        <v>61</v>
      </c>
      <c r="H3948" s="70" t="s">
        <v>178</v>
      </c>
      <c r="I3948" s="70" t="s">
        <v>179</v>
      </c>
      <c r="J3948" s="71">
        <f>IF(OR(I3948=0,I3948=""),"unrated",VLOOKUP(I3948,MappingTables!$B$19:$C$31,2,FALSE))</f>
        <v>4</v>
      </c>
      <c r="K3948" s="72">
        <v>1157.905863199192</v>
      </c>
      <c r="L3948" s="70">
        <v>4.219257039168324</v>
      </c>
      <c r="M3948" s="71">
        <f>IF(L3948&lt;1,1,L3948)</f>
        <v>4.219257039168324</v>
      </c>
      <c r="N3948" s="70" t="s">
        <v>141</v>
      </c>
      <c r="O3948" s="71">
        <f>INDEX(DurClassMapping,MATCH(M3948,MappingTables!$D$4:$D$8,-1),1)</f>
        <v>1</v>
      </c>
      <c r="P3948" s="73">
        <f>IF(M3948=$A$1,1,$M3948-INDEX(MappingTables!$E$4:$E$8,MATCH(O3948,MappingTables!$B$4:$B$8,0)))</f>
        <v>4.219257039168324</v>
      </c>
      <c r="Q3948" s="71">
        <f>IF(B3948="",0,INDEX(ModelParameters!$D$6:$K$10,MATCH($O3948,ModelParameters!$B$6:$B$10,0),MATCH($J3948,ModelParameters!$D$5:$K$5,0)))</f>
        <v>0.045</v>
      </c>
      <c r="R3948" s="71">
        <f>IF(B3948="",0,INDEX(ModelParameters!$D$13:$K$17,MATCH($O3948,ModelParameters!$B$13:$B$17,0),MATCH($J3948,ModelParameters!$D$5:$K$5,0)))</f>
        <v>0</v>
      </c>
      <c r="S3948" s="160">
        <f>IF(B3948="",0,MIN(IF($N3948="Other Bond TM",ModelParameters!$N$21,1)*(P3948*Q3948+R3948),1))</f>
        <v>0.1898665667625746</v>
      </c>
      <c r="T3948" s="85">
        <f>IF(B3948="",0,$S3948*$K3948)</f>
        <v>219.84761087988596</v>
      </c>
      <c r="U3948" s="85">
        <f>IF(B3948="",0,IF(OR(H3948=MappingTables!$C$34,H3948=MappingTables!$C$35),T3948,0))</f>
        <v>0</v>
      </c>
      <c r="V3948" s="85">
        <f>IF(ISNA(IF(AND(VLOOKUP(CONCATENATE($D3948,$G3948),CSRFinput!$B:$E,4,0)=0,OR(H3948=MappingTables!$C$34,H3948=MappingTables!$C$35)),1,VLOOKUP(CONCATENATE($D3948,$G3948),CSRFinput!$B:$E,4,0))),0,IF(AND(VLOOKUP(CONCATENATE($D3948,$G3948),CSRFinput!$B:$E,4,0)=0,OR(H3948=MappingTables!$C$34,H3948=MappingTables!$C$35)),1,VLOOKUP(CONCATENATE($D3948,$G3948),CSRFinput!$B:$E,4,0)))</f>
        <v>0.054776304963434752</v>
      </c>
      <c r="W3948" s="85">
        <f>IF(B3948="",0,+$T3948*$V3948)</f>
        <v>12.04243977903917</v>
      </c>
      <c r="X3948" s="85">
        <f>IF(B3948="",0,IF(OR(H3948=MappingTables!$C$34,H3948=MappingTables!$C$35),W3948,0))</f>
        <v>0</v>
      </c>
    </row>
    <row r="3949" spans="2:24" s="0" customFormat="0" ht="15">
      <c r="B3949" s="69" t="s">
        <v>655</v>
      </c>
      <c r="C3949" s="70" t="s">
        <v>656</v>
      </c>
      <c r="D3949" s="70" t="s">
        <v>1</v>
      </c>
      <c r="E3949" s="70" t="s">
        <v>1</v>
      </c>
      <c r="F3949" s="70"/>
      <c r="G3949" s="70" t="s">
        <v>61</v>
      </c>
      <c r="H3949" s="70" t="s">
        <v>178</v>
      </c>
      <c r="I3949" s="70" t="s">
        <v>181</v>
      </c>
      <c r="J3949" s="71">
        <f>IF(OR(I3949=0,I3949=""),"unrated",VLOOKUP(I3949,MappingTables!$B$19:$C$31,2,FALSE))</f>
        <v>3</v>
      </c>
      <c r="K3949" s="72">
        <v>2581.2976808526344</v>
      </c>
      <c r="L3949" s="70">
        <v>2.5043778277081124</v>
      </c>
      <c r="M3949" s="71">
        <f>IF(L3949&lt;1,1,L3949)</f>
        <v>2.5043778277081124</v>
      </c>
      <c r="N3949" s="70" t="s">
        <v>141</v>
      </c>
      <c r="O3949" s="71">
        <f>INDEX(DurClassMapping,MATCH(M3949,MappingTables!$D$4:$D$8,-1),1)</f>
        <v>1</v>
      </c>
      <c r="P3949" s="73">
        <f>IF(M3949=$A$1,1,$M3949-INDEX(MappingTables!$E$4:$E$8,MATCH(O3949,MappingTables!$B$4:$B$8,0)))</f>
        <v>2.5043778277081124</v>
      </c>
      <c r="Q3949" s="71">
        <f>IF(B3949="",0,INDEX(ModelParameters!$D$6:$K$10,MATCH($O3949,ModelParameters!$B$6:$B$10,0),MATCH($J3949,ModelParameters!$D$5:$K$5,0)))</f>
        <v>0.025</v>
      </c>
      <c r="R3949" s="71">
        <f>IF(B3949="",0,INDEX(ModelParameters!$D$13:$K$17,MATCH($O3949,ModelParameters!$B$13:$B$17,0),MATCH($J3949,ModelParameters!$D$5:$K$5,0)))</f>
        <v>0</v>
      </c>
      <c r="S3949" s="160">
        <f>IF(B3949="",0,MIN(IF($N3949="Other Bond TM",ModelParameters!$N$21,1)*(P3949*Q3949+R3949),1))</f>
        <v>0.062609445692702808</v>
      </c>
      <c r="T3949" s="85">
        <f>IF(B3949="",0,$S3949*$K3949)</f>
        <v>161.61361696604274</v>
      </c>
      <c r="U3949" s="85">
        <f>IF(B3949="",0,IF(OR(H3949=MappingTables!$C$34,H3949=MappingTables!$C$35),T3949,0))</f>
        <v>0</v>
      </c>
      <c r="V3949" s="85">
        <f>IF(ISNA(IF(AND(VLOOKUP(CONCATENATE($D3949,$G3949),CSRFinput!$B:$E,4,0)=0,OR(H3949=MappingTables!$C$34,H3949=MappingTables!$C$35)),1,VLOOKUP(CONCATENATE($D3949,$G3949),CSRFinput!$B:$E,4,0))),0,IF(AND(VLOOKUP(CONCATENATE($D3949,$G3949),CSRFinput!$B:$E,4,0)=0,OR(H3949=MappingTables!$C$34,H3949=MappingTables!$C$35)),1,VLOOKUP(CONCATENATE($D3949,$G3949),CSRFinput!$B:$E,4,0)))</f>
        <v>0.054776304963434752</v>
      </c>
      <c r="W3949" s="85">
        <f>IF(B3949="",0,+$T3949*$V3949)</f>
        <v>8.8525967691756896</v>
      </c>
      <c r="X3949" s="85">
        <f>IF(B3949="",0,IF(OR(H3949=MappingTables!$C$34,H3949=MappingTables!$C$35),W3949,0))</f>
        <v>0</v>
      </c>
    </row>
    <row r="3950" spans="2:24" s="0" customFormat="0" ht="15">
      <c r="B3950" s="69">
        <v>15774249</v>
      </c>
      <c r="C3950" s="70" t="s">
        <v>1190</v>
      </c>
      <c r="D3950" s="70" t="s">
        <v>1</v>
      </c>
      <c r="E3950" s="70" t="s">
        <v>1</v>
      </c>
      <c r="F3950" s="70"/>
      <c r="G3950" s="70" t="s">
        <v>61</v>
      </c>
      <c r="H3950" s="70" t="s">
        <v>178</v>
      </c>
      <c r="I3950" s="70" t="s">
        <v>181</v>
      </c>
      <c r="J3950" s="71">
        <f>IF(OR(I3950=0,I3950=""),"unrated",VLOOKUP(I3950,MappingTables!$B$19:$C$31,2,FALSE))</f>
        <v>3</v>
      </c>
      <c r="K3950" s="72">
        <v>818.73910805902032</v>
      </c>
      <c r="L3950" s="70">
        <v>0.11780645576601518</v>
      </c>
      <c r="M3950" s="71">
        <f>IF(L3950&lt;1,1,L3950)</f>
        <v>1</v>
      </c>
      <c r="N3950" s="70" t="s">
        <v>141</v>
      </c>
      <c r="O3950" s="71">
        <f>INDEX(DurClassMapping,MATCH(M3950,MappingTables!$D$4:$D$8,-1),1)</f>
        <v>1</v>
      </c>
      <c r="P3950" s="73">
        <f>IF(M3950=$A$1,1,$M3950-INDEX(MappingTables!$E$4:$E$8,MATCH(O3950,MappingTables!$B$4:$B$8,0)))</f>
        <v>1</v>
      </c>
      <c r="Q3950" s="71">
        <f>IF(B3950="",0,INDEX(ModelParameters!$D$6:$K$10,MATCH($O3950,ModelParameters!$B$6:$B$10,0),MATCH($J3950,ModelParameters!$D$5:$K$5,0)))</f>
        <v>0.025</v>
      </c>
      <c r="R3950" s="71">
        <f>IF(B3950="",0,INDEX(ModelParameters!$D$13:$K$17,MATCH($O3950,ModelParameters!$B$13:$B$17,0),MATCH($J3950,ModelParameters!$D$5:$K$5,0)))</f>
        <v>0</v>
      </c>
      <c r="S3950" s="160">
        <f>IF(B3950="",0,MIN(IF($N3950="Other Bond TM",ModelParameters!$N$21,1)*(P3950*Q3950+R3950),1))</f>
        <v>0.025</v>
      </c>
      <c r="T3950" s="85">
        <f>IF(B3950="",0,$S3950*$K3950)</f>
        <v>20.468477701475512</v>
      </c>
      <c r="U3950" s="85">
        <f>IF(B3950="",0,IF(OR(H3950=MappingTables!$C$34,H3950=MappingTables!$C$35),T3950,0))</f>
        <v>0</v>
      </c>
      <c r="V3950" s="85">
        <f>IF(ISNA(IF(AND(VLOOKUP(CONCATENATE($D3950,$G3950),CSRFinput!$B:$E,4,0)=0,OR(H3950=MappingTables!$C$34,H3950=MappingTables!$C$35)),1,VLOOKUP(CONCATENATE($D3950,$G3950),CSRFinput!$B:$E,4,0))),0,IF(AND(VLOOKUP(CONCATENATE($D3950,$G3950),CSRFinput!$B:$E,4,0)=0,OR(H3950=MappingTables!$C$34,H3950=MappingTables!$C$35)),1,VLOOKUP(CONCATENATE($D3950,$G3950),CSRFinput!$B:$E,4,0)))</f>
        <v>0.054776304963434752</v>
      </c>
      <c r="W3950" s="85">
        <f>IF(B3950="",0,+$T3950*$V3950)</f>
        <v>1.1211875767132866</v>
      </c>
      <c r="X3950" s="85">
        <f>IF(B3950="",0,IF(OR(H3950=MappingTables!$C$34,H3950=MappingTables!$C$35),W3950,0))</f>
        <v>0</v>
      </c>
    </row>
    <row r="3951" spans="2:24" s="0" customFormat="0" ht="15">
      <c r="B3951" s="69">
        <v>9529859</v>
      </c>
      <c r="C3951" s="70" t="s">
        <v>2951</v>
      </c>
      <c r="D3951" s="70" t="s">
        <v>1</v>
      </c>
      <c r="E3951" s="70" t="s">
        <v>1</v>
      </c>
      <c r="F3951" s="70"/>
      <c r="G3951" s="70" t="s">
        <v>61</v>
      </c>
      <c r="H3951" s="70" t="s">
        <v>178</v>
      </c>
      <c r="I3951" s="70" t="s">
        <v>181</v>
      </c>
      <c r="J3951" s="71">
        <f>IF(OR(I3951=0,I3951=""),"unrated",VLOOKUP(I3951,MappingTables!$B$19:$C$31,2,FALSE))</f>
        <v>3</v>
      </c>
      <c r="K3951" s="72">
        <v>3673.8413711361784</v>
      </c>
      <c r="L3951" s="70">
        <v>3.7127809749493704</v>
      </c>
      <c r="M3951" s="71">
        <f>IF(L3951&lt;1,1,L3951)</f>
        <v>3.7127809749493704</v>
      </c>
      <c r="N3951" s="70" t="s">
        <v>141</v>
      </c>
      <c r="O3951" s="71">
        <f>INDEX(DurClassMapping,MATCH(M3951,MappingTables!$D$4:$D$8,-1),1)</f>
        <v>1</v>
      </c>
      <c r="P3951" s="73">
        <f>IF(M3951=$A$1,1,$M3951-INDEX(MappingTables!$E$4:$E$8,MATCH(O3951,MappingTables!$B$4:$B$8,0)))</f>
        <v>3.7127809749493704</v>
      </c>
      <c r="Q3951" s="71">
        <f>IF(B3951="",0,INDEX(ModelParameters!$D$6:$K$10,MATCH($O3951,ModelParameters!$B$6:$B$10,0),MATCH($J3951,ModelParameters!$D$5:$K$5,0)))</f>
        <v>0.025</v>
      </c>
      <c r="R3951" s="71">
        <f>IF(B3951="",0,INDEX(ModelParameters!$D$13:$K$17,MATCH($O3951,ModelParameters!$B$13:$B$17,0),MATCH($J3951,ModelParameters!$D$5:$K$5,0)))</f>
        <v>0</v>
      </c>
      <c r="S3951" s="160">
        <f>IF(B3951="",0,MIN(IF($N3951="Other Bond TM",ModelParameters!$N$21,1)*(P3951*Q3951+R3951),1))</f>
        <v>0.092819524373734272</v>
      </c>
      <c r="T3951" s="85">
        <f>IF(B3951="",0,$S3951*$K3951)</f>
        <v>341.0042086934078</v>
      </c>
      <c r="U3951" s="85">
        <f>IF(B3951="",0,IF(OR(H3951=MappingTables!$C$34,H3951=MappingTables!$C$35),T3951,0))</f>
        <v>0</v>
      </c>
      <c r="V3951" s="85">
        <f>IF(ISNA(IF(AND(VLOOKUP(CONCATENATE($D3951,$G3951),CSRFinput!$B:$E,4,0)=0,OR(H3951=MappingTables!$C$34,H3951=MappingTables!$C$35)),1,VLOOKUP(CONCATENATE($D3951,$G3951),CSRFinput!$B:$E,4,0))),0,IF(AND(VLOOKUP(CONCATENATE($D3951,$G3951),CSRFinput!$B:$E,4,0)=0,OR(H3951=MappingTables!$C$34,H3951=MappingTables!$C$35)),1,VLOOKUP(CONCATENATE($D3951,$G3951),CSRFinput!$B:$E,4,0)))</f>
        <v>0.054776304963434752</v>
      </c>
      <c r="W3951" s="85">
        <f>IF(B3951="",0,+$T3951*$V3951)</f>
        <v>18.678950529204856</v>
      </c>
      <c r="X3951" s="85">
        <f>IF(B3951="",0,IF(OR(H3951=MappingTables!$C$34,H3951=MappingTables!$C$35),W3951,0))</f>
        <v>0</v>
      </c>
    </row>
    <row r="3952" spans="2:24" s="0" customFormat="0" ht="15">
      <c r="B3952" s="69">
        <v>7505292</v>
      </c>
      <c r="C3952" s="70" t="s">
        <v>180</v>
      </c>
      <c r="D3952" s="70" t="s">
        <v>1</v>
      </c>
      <c r="E3952" s="70" t="s">
        <v>1</v>
      </c>
      <c r="F3952" s="70"/>
      <c r="G3952" s="70" t="s">
        <v>61</v>
      </c>
      <c r="H3952" s="70" t="s">
        <v>178</v>
      </c>
      <c r="I3952" s="70" t="s">
        <v>181</v>
      </c>
      <c r="J3952" s="71">
        <f>IF(OR(I3952=0,I3952=""),"unrated",VLOOKUP(I3952,MappingTables!$B$19:$C$31,2,FALSE))</f>
        <v>3</v>
      </c>
      <c r="K3952" s="72">
        <v>324.10356131252128</v>
      </c>
      <c r="L3952" s="70">
        <v>13.384419981005912</v>
      </c>
      <c r="M3952" s="71">
        <f>IF(L3952&lt;1,1,L3952)</f>
        <v>13.384419981005912</v>
      </c>
      <c r="N3952" s="70" t="s">
        <v>141</v>
      </c>
      <c r="O3952" s="71">
        <f>INDEX(DurClassMapping,MATCH(M3952,MappingTables!$D$4:$D$8,-1),1)</f>
        <v>3</v>
      </c>
      <c r="P3952" s="73">
        <f>IF(M3952=$A$1,1,$M3952-INDEX(MappingTables!$E$4:$E$8,MATCH(O3952,MappingTables!$B$4:$B$8,0)))</f>
        <v>3.3844199810059124</v>
      </c>
      <c r="Q3952" s="71">
        <f>IF(B3952="",0,INDEX(ModelParameters!$D$6:$K$10,MATCH($O3952,ModelParameters!$B$6:$B$10,0),MATCH($J3952,ModelParameters!$D$5:$K$5,0)))</f>
        <v>0.01</v>
      </c>
      <c r="R3952" s="71">
        <f>IF(B3952="",0,INDEX(ModelParameters!$D$13:$K$17,MATCH($O3952,ModelParameters!$B$13:$B$17,0),MATCH($J3952,ModelParameters!$D$5:$K$5,0)))</f>
        <v>0.2</v>
      </c>
      <c r="S3952" s="160">
        <f>IF(B3952="",0,MIN(IF($N3952="Other Bond TM",ModelParameters!$N$21,1)*(P3952*Q3952+R3952),1))</f>
        <v>0.23384419981005912</v>
      </c>
      <c r="T3952" s="85">
        <f>IF(B3952="",0,$S3952*$K3952)</f>
        <v>75.789737950716976</v>
      </c>
      <c r="U3952" s="85">
        <f>IF(B3952="",0,IF(OR(H3952=MappingTables!$C$34,H3952=MappingTables!$C$35),T3952,0))</f>
        <v>0</v>
      </c>
      <c r="V3952" s="85">
        <f>IF(ISNA(IF(AND(VLOOKUP(CONCATENATE($D3952,$G3952),CSRFinput!$B:$E,4,0)=0,OR(H3952=MappingTables!$C$34,H3952=MappingTables!$C$35)),1,VLOOKUP(CONCATENATE($D3952,$G3952),CSRFinput!$B:$E,4,0))),0,IF(AND(VLOOKUP(CONCATENATE($D3952,$G3952),CSRFinput!$B:$E,4,0)=0,OR(H3952=MappingTables!$C$34,H3952=MappingTables!$C$35)),1,VLOOKUP(CONCATENATE($D3952,$G3952),CSRFinput!$B:$E,4,0)))</f>
        <v>0.054776304963434752</v>
      </c>
      <c r="W3952" s="85">
        <f>IF(B3952="",0,+$T3952*$V3952)</f>
        <v>4.1514817990872768</v>
      </c>
      <c r="X3952" s="85">
        <f>IF(B3952="",0,IF(OR(H3952=MappingTables!$C$34,H3952=MappingTables!$C$35),W3952,0))</f>
        <v>0</v>
      </c>
    </row>
    <row r="3953" spans="2:24" s="0" customFormat="0" ht="15">
      <c r="B3953" s="69">
        <v>22843188</v>
      </c>
      <c r="C3953" s="70" t="s">
        <v>2984</v>
      </c>
      <c r="D3953" s="70" t="s">
        <v>1</v>
      </c>
      <c r="E3953" s="70" t="s">
        <v>1</v>
      </c>
      <c r="F3953" s="70"/>
      <c r="G3953" s="70" t="s">
        <v>61</v>
      </c>
      <c r="H3953" s="70" t="s">
        <v>178</v>
      </c>
      <c r="I3953" s="70" t="s">
        <v>179</v>
      </c>
      <c r="J3953" s="71">
        <f>IF(OR(I3953=0,I3953=""),"unrated",VLOOKUP(I3953,MappingTables!$B$19:$C$31,2,FALSE))</f>
        <v>4</v>
      </c>
      <c r="K3953" s="72">
        <v>3883.111257845232</v>
      </c>
      <c r="L3953" s="70">
        <v>11.80811974052762</v>
      </c>
      <c r="M3953" s="71">
        <f>IF(L3953&lt;1,1,L3953)</f>
        <v>11.80811974052762</v>
      </c>
      <c r="N3953" s="70" t="s">
        <v>141</v>
      </c>
      <c r="O3953" s="71">
        <f>INDEX(DurClassMapping,MATCH(M3953,MappingTables!$D$4:$D$8,-1),1)</f>
        <v>3</v>
      </c>
      <c r="P3953" s="73">
        <f>IF(M3953=$A$1,1,$M3953-INDEX(MappingTables!$E$4:$E$8,MATCH(O3953,MappingTables!$B$4:$B$8,0)))</f>
        <v>1.8081197405276192</v>
      </c>
      <c r="Q3953" s="71">
        <f>IF(B3953="",0,INDEX(ModelParameters!$D$6:$K$10,MATCH($O3953,ModelParameters!$B$6:$B$10,0),MATCH($J3953,ModelParameters!$D$5:$K$5,0)))</f>
        <v>0.018000000000000002</v>
      </c>
      <c r="R3953" s="71">
        <f>IF(B3953="",0,INDEX(ModelParameters!$D$13:$K$17,MATCH($O3953,ModelParameters!$B$13:$B$17,0),MATCH($J3953,ModelParameters!$D$5:$K$5,0)))</f>
        <v>0.34999999999999996</v>
      </c>
      <c r="S3953" s="160">
        <f>IF(B3953="",0,MIN(IF($N3953="Other Bond TM",ModelParameters!$N$21,1)*(P3953*Q3953+R3953),1))</f>
        <v>0.38254615532949712</v>
      </c>
      <c r="T3953" s="85">
        <f>IF(B3953="",0,$S3953*$K3953)</f>
        <v>1485.4692824053812</v>
      </c>
      <c r="U3953" s="85">
        <f>IF(B3953="",0,IF(OR(H3953=MappingTables!$C$34,H3953=MappingTables!$C$35),T3953,0))</f>
        <v>0</v>
      </c>
      <c r="V3953" s="85">
        <f>IF(ISNA(IF(AND(VLOOKUP(CONCATENATE($D3953,$G3953),CSRFinput!$B:$E,4,0)=0,OR(H3953=MappingTables!$C$34,H3953=MappingTables!$C$35)),1,VLOOKUP(CONCATENATE($D3953,$G3953),CSRFinput!$B:$E,4,0))),0,IF(AND(VLOOKUP(CONCATENATE($D3953,$G3953),CSRFinput!$B:$E,4,0)=0,OR(H3953=MappingTables!$C$34,H3953=MappingTables!$C$35)),1,VLOOKUP(CONCATENATE($D3953,$G3953),CSRFinput!$B:$E,4,0)))</f>
        <v>0.054776304963434752</v>
      </c>
      <c r="W3953" s="85">
        <f>IF(B3953="",0,+$T3953*$V3953)</f>
        <v>81.368518426851744</v>
      </c>
      <c r="X3953" s="85">
        <f>IF(B3953="",0,IF(OR(H3953=MappingTables!$C$34,H3953=MappingTables!$C$35),W3953,0))</f>
        <v>0</v>
      </c>
    </row>
    <row r="3954" spans="2:24" s="0" customFormat="0" ht="15">
      <c r="B3954" s="69">
        <v>21483226</v>
      </c>
      <c r="C3954" s="70" t="s">
        <v>2985</v>
      </c>
      <c r="D3954" s="70" t="s">
        <v>1</v>
      </c>
      <c r="E3954" s="70" t="s">
        <v>1</v>
      </c>
      <c r="F3954" s="70"/>
      <c r="G3954" s="70" t="s">
        <v>61</v>
      </c>
      <c r="H3954" s="70" t="s">
        <v>178</v>
      </c>
      <c r="I3954" s="70" t="s">
        <v>181</v>
      </c>
      <c r="J3954" s="71">
        <f>IF(OR(I3954=0,I3954=""),"unrated",VLOOKUP(I3954,MappingTables!$B$19:$C$31,2,FALSE))</f>
        <v>3</v>
      </c>
      <c r="K3954" s="72">
        <v>24206.337702486352</v>
      </c>
      <c r="L3954" s="70">
        <v>3.4612159430984636</v>
      </c>
      <c r="M3954" s="71">
        <f>IF(L3954&lt;1,1,L3954)</f>
        <v>3.4612159430984636</v>
      </c>
      <c r="N3954" s="70" t="s">
        <v>141</v>
      </c>
      <c r="O3954" s="71">
        <f>INDEX(DurClassMapping,MATCH(M3954,MappingTables!$D$4:$D$8,-1),1)</f>
        <v>1</v>
      </c>
      <c r="P3954" s="73">
        <f>IF(M3954=$A$1,1,$M3954-INDEX(MappingTables!$E$4:$E$8,MATCH(O3954,MappingTables!$B$4:$B$8,0)))</f>
        <v>3.4612159430984636</v>
      </c>
      <c r="Q3954" s="71">
        <f>IF(B3954="",0,INDEX(ModelParameters!$D$6:$K$10,MATCH($O3954,ModelParameters!$B$6:$B$10,0),MATCH($J3954,ModelParameters!$D$5:$K$5,0)))</f>
        <v>0.025</v>
      </c>
      <c r="R3954" s="71">
        <f>IF(B3954="",0,INDEX(ModelParameters!$D$13:$K$17,MATCH($O3954,ModelParameters!$B$13:$B$17,0),MATCH($J3954,ModelParameters!$D$5:$K$5,0)))</f>
        <v>0</v>
      </c>
      <c r="S3954" s="160">
        <f>IF(B3954="",0,MIN(IF($N3954="Other Bond TM",ModelParameters!$N$21,1)*(P3954*Q3954+R3954),1))</f>
        <v>0.086530398577461584</v>
      </c>
      <c r="T3954" s="85">
        <f>IF(B3954="",0,$S3954*$K3954)</f>
        <v>2094.5840494967796</v>
      </c>
      <c r="U3954" s="85">
        <f>IF(B3954="",0,IF(OR(H3954=MappingTables!$C$34,H3954=MappingTables!$C$35),T3954,0))</f>
        <v>0</v>
      </c>
      <c r="V3954" s="85">
        <f>IF(ISNA(IF(AND(VLOOKUP(CONCATENATE($D3954,$G3954),CSRFinput!$B:$E,4,0)=0,OR(H3954=MappingTables!$C$34,H3954=MappingTables!$C$35)),1,VLOOKUP(CONCATENATE($D3954,$G3954),CSRFinput!$B:$E,4,0))),0,IF(AND(VLOOKUP(CONCATENATE($D3954,$G3954),CSRFinput!$B:$E,4,0)=0,OR(H3954=MappingTables!$C$34,H3954=MappingTables!$C$35)),1,VLOOKUP(CONCATENATE($D3954,$G3954),CSRFinput!$B:$E,4,0)))</f>
        <v>0.054776304963434752</v>
      </c>
      <c r="W3954" s="85">
        <f>IF(B3954="",0,+$T3954*$V3954)</f>
        <v>114.73357466678172</v>
      </c>
      <c r="X3954" s="85">
        <f>IF(B3954="",0,IF(OR(H3954=MappingTables!$C$34,H3954=MappingTables!$C$35),W3954,0))</f>
        <v>0</v>
      </c>
    </row>
    <row r="3955" spans="2:24" s="0" customFormat="0" ht="15">
      <c r="B3955" s="69">
        <v>15477150</v>
      </c>
      <c r="C3955" s="70" t="s">
        <v>793</v>
      </c>
      <c r="D3955" s="70" t="s">
        <v>1</v>
      </c>
      <c r="E3955" s="70" t="s">
        <v>1</v>
      </c>
      <c r="F3955" s="70"/>
      <c r="G3955" s="70" t="s">
        <v>61</v>
      </c>
      <c r="H3955" s="70" t="s">
        <v>178</v>
      </c>
      <c r="I3955" s="70" t="s">
        <v>181</v>
      </c>
      <c r="J3955" s="71">
        <f>IF(OR(I3955=0,I3955=""),"unrated",VLOOKUP(I3955,MappingTables!$B$19:$C$31,2,FALSE))</f>
        <v>3</v>
      </c>
      <c r="K3955" s="72">
        <v>104.9117224725278</v>
      </c>
      <c r="L3955" s="70">
        <v>1.839923967436526</v>
      </c>
      <c r="M3955" s="71">
        <f>IF(L3955&lt;1,1,L3955)</f>
        <v>1.839923967436526</v>
      </c>
      <c r="N3955" s="70" t="s">
        <v>141</v>
      </c>
      <c r="O3955" s="71">
        <f>INDEX(DurClassMapping,MATCH(M3955,MappingTables!$D$4:$D$8,-1),1)</f>
        <v>1</v>
      </c>
      <c r="P3955" s="73">
        <f>IF(M3955=$A$1,1,$M3955-INDEX(MappingTables!$E$4:$E$8,MATCH(O3955,MappingTables!$B$4:$B$8,0)))</f>
        <v>1.839923967436526</v>
      </c>
      <c r="Q3955" s="71">
        <f>IF(B3955="",0,INDEX(ModelParameters!$D$6:$K$10,MATCH($O3955,ModelParameters!$B$6:$B$10,0),MATCH($J3955,ModelParameters!$D$5:$K$5,0)))</f>
        <v>0.025</v>
      </c>
      <c r="R3955" s="71">
        <f>IF(B3955="",0,INDEX(ModelParameters!$D$13:$K$17,MATCH($O3955,ModelParameters!$B$13:$B$17,0),MATCH($J3955,ModelParameters!$D$5:$K$5,0)))</f>
        <v>0</v>
      </c>
      <c r="S3955" s="160">
        <f>IF(B3955="",0,MIN(IF($N3955="Other Bond TM",ModelParameters!$N$21,1)*(P3955*Q3955+R3955),1))</f>
        <v>0.045998099185913152</v>
      </c>
      <c r="T3955" s="85">
        <f>IF(B3955="",0,$S3955*$K3955)</f>
        <v>4.825739816056328</v>
      </c>
      <c r="U3955" s="85">
        <f>IF(B3955="",0,IF(OR(H3955=MappingTables!$C$34,H3955=MappingTables!$C$35),T3955,0))</f>
        <v>0</v>
      </c>
      <c r="V3955" s="85">
        <f>IF(ISNA(IF(AND(VLOOKUP(CONCATENATE($D3955,$G3955),CSRFinput!$B:$E,4,0)=0,OR(H3955=MappingTables!$C$34,H3955=MappingTables!$C$35)),1,VLOOKUP(CONCATENATE($D3955,$G3955),CSRFinput!$B:$E,4,0))),0,IF(AND(VLOOKUP(CONCATENATE($D3955,$G3955),CSRFinput!$B:$E,4,0)=0,OR(H3955=MappingTables!$C$34,H3955=MappingTables!$C$35)),1,VLOOKUP(CONCATENATE($D3955,$G3955),CSRFinput!$B:$E,4,0)))</f>
        <v>0.054776304963434752</v>
      </c>
      <c r="W3955" s="85">
        <f>IF(B3955="",0,+$T3955*$V3955)</f>
        <v>0.26433619583849092</v>
      </c>
      <c r="X3955" s="85">
        <f>IF(B3955="",0,IF(OR(H3955=MappingTables!$C$34,H3955=MappingTables!$C$35),W3955,0))</f>
        <v>0</v>
      </c>
    </row>
    <row r="3956" spans="2:24" s="0" customFormat="0" ht="15">
      <c r="B3956" s="69">
        <v>21722262</v>
      </c>
      <c r="C3956" s="70" t="s">
        <v>790</v>
      </c>
      <c r="D3956" s="70" t="s">
        <v>1</v>
      </c>
      <c r="E3956" s="70" t="s">
        <v>1</v>
      </c>
      <c r="F3956" s="70"/>
      <c r="G3956" s="70" t="s">
        <v>61</v>
      </c>
      <c r="H3956" s="70" t="s">
        <v>178</v>
      </c>
      <c r="I3956" s="70" t="s">
        <v>181</v>
      </c>
      <c r="J3956" s="71">
        <f>IF(OR(I3956=0,I3956=""),"unrated",VLOOKUP(I3956,MappingTables!$B$19:$C$31,2,FALSE))</f>
        <v>3</v>
      </c>
      <c r="K3956" s="72">
        <v>11557.904009999912</v>
      </c>
      <c r="L3956" s="70">
        <v>5.5023136852171576</v>
      </c>
      <c r="M3956" s="71">
        <f>IF(L3956&lt;1,1,L3956)</f>
        <v>5.5023136852171576</v>
      </c>
      <c r="N3956" s="70" t="s">
        <v>141</v>
      </c>
      <c r="O3956" s="71">
        <f>INDEX(DurClassMapping,MATCH(M3956,MappingTables!$D$4:$D$8,-1),1)</f>
        <v>2</v>
      </c>
      <c r="P3956" s="73">
        <f>IF(M3956=$A$1,1,$M3956-INDEX(MappingTables!$E$4:$E$8,MATCH(O3956,MappingTables!$B$4:$B$8,0)))</f>
        <v>0.50231368521715768</v>
      </c>
      <c r="Q3956" s="71">
        <f>IF(B3956="",0,INDEX(ModelParameters!$D$6:$K$10,MATCH($O3956,ModelParameters!$B$6:$B$10,0),MATCH($J3956,ModelParameters!$D$5:$K$5,0)))</f>
        <v>0.015</v>
      </c>
      <c r="R3956" s="71">
        <f>IF(B3956="",0,INDEX(ModelParameters!$D$13:$K$17,MATCH($O3956,ModelParameters!$B$13:$B$17,0),MATCH($J3956,ModelParameters!$D$5:$K$5,0)))</f>
        <v>0.125</v>
      </c>
      <c r="S3956" s="160">
        <f>IF(B3956="",0,MIN(IF($N3956="Other Bond TM",ModelParameters!$N$21,1)*(P3956*Q3956+R3956),1))</f>
        <v>0.13253470527825736</v>
      </c>
      <c r="T3956" s="85">
        <f>IF(B3956="",0,$S3956*$K3956)</f>
        <v>1531.8234015997272</v>
      </c>
      <c r="U3956" s="85">
        <f>IF(B3956="",0,IF(OR(H3956=MappingTables!$C$34,H3956=MappingTables!$C$35),T3956,0))</f>
        <v>0</v>
      </c>
      <c r="V3956" s="85">
        <f>IF(ISNA(IF(AND(VLOOKUP(CONCATENATE($D3956,$G3956),CSRFinput!$B:$E,4,0)=0,OR(H3956=MappingTables!$C$34,H3956=MappingTables!$C$35)),1,VLOOKUP(CONCATENATE($D3956,$G3956),CSRFinput!$B:$E,4,0))),0,IF(AND(VLOOKUP(CONCATENATE($D3956,$G3956),CSRFinput!$B:$E,4,0)=0,OR(H3956=MappingTables!$C$34,H3956=MappingTables!$C$35)),1,VLOOKUP(CONCATENATE($D3956,$G3956),CSRFinput!$B:$E,4,0)))</f>
        <v>0.054776304963434752</v>
      </c>
      <c r="W3956" s="85">
        <f>IF(B3956="",0,+$T3956*$V3956)</f>
        <v>83.90762579615264</v>
      </c>
      <c r="X3956" s="85">
        <f>IF(B3956="",0,IF(OR(H3956=MappingTables!$C$34,H3956=MappingTables!$C$35),W3956,0))</f>
        <v>0</v>
      </c>
    </row>
    <row r="3957" spans="2:24" s="0" customFormat="0" ht="15">
      <c r="B3957" s="69">
        <v>12962685</v>
      </c>
      <c r="C3957" s="70" t="s">
        <v>2948</v>
      </c>
      <c r="D3957" s="70" t="s">
        <v>1</v>
      </c>
      <c r="E3957" s="70" t="s">
        <v>1</v>
      </c>
      <c r="F3957" s="70"/>
      <c r="G3957" s="70" t="s">
        <v>61</v>
      </c>
      <c r="H3957" s="70" t="s">
        <v>178</v>
      </c>
      <c r="I3957" s="70" t="s">
        <v>181</v>
      </c>
      <c r="J3957" s="71">
        <f>IF(OR(I3957=0,I3957=""),"unrated",VLOOKUP(I3957,MappingTables!$B$19:$C$31,2,FALSE))</f>
        <v>3</v>
      </c>
      <c r="K3957" s="72">
        <v>1233.4119148394574</v>
      </c>
      <c r="L3957" s="70">
        <v>0.90499446189496384</v>
      </c>
      <c r="M3957" s="71">
        <f>IF(L3957&lt;1,1,L3957)</f>
        <v>1</v>
      </c>
      <c r="N3957" s="70" t="s">
        <v>141</v>
      </c>
      <c r="O3957" s="71">
        <f>INDEX(DurClassMapping,MATCH(M3957,MappingTables!$D$4:$D$8,-1),1)</f>
        <v>1</v>
      </c>
      <c r="P3957" s="73">
        <f>IF(M3957=$A$1,1,$M3957-INDEX(MappingTables!$E$4:$E$8,MATCH(O3957,MappingTables!$B$4:$B$8,0)))</f>
        <v>1</v>
      </c>
      <c r="Q3957" s="71">
        <f>IF(B3957="",0,INDEX(ModelParameters!$D$6:$K$10,MATCH($O3957,ModelParameters!$B$6:$B$10,0),MATCH($J3957,ModelParameters!$D$5:$K$5,0)))</f>
        <v>0.025</v>
      </c>
      <c r="R3957" s="71">
        <f>IF(B3957="",0,INDEX(ModelParameters!$D$13:$K$17,MATCH($O3957,ModelParameters!$B$13:$B$17,0),MATCH($J3957,ModelParameters!$D$5:$K$5,0)))</f>
        <v>0</v>
      </c>
      <c r="S3957" s="160">
        <f>IF(B3957="",0,MIN(IF($N3957="Other Bond TM",ModelParameters!$N$21,1)*(P3957*Q3957+R3957),1))</f>
        <v>0.025</v>
      </c>
      <c r="T3957" s="85">
        <f>IF(B3957="",0,$S3957*$K3957)</f>
        <v>30.835297870986436</v>
      </c>
      <c r="U3957" s="85">
        <f>IF(B3957="",0,IF(OR(H3957=MappingTables!$C$34,H3957=MappingTables!$C$35),T3957,0))</f>
        <v>0</v>
      </c>
      <c r="V3957" s="85">
        <f>IF(ISNA(IF(AND(VLOOKUP(CONCATENATE($D3957,$G3957),CSRFinput!$B:$E,4,0)=0,OR(H3957=MappingTables!$C$34,H3957=MappingTables!$C$35)),1,VLOOKUP(CONCATENATE($D3957,$G3957),CSRFinput!$B:$E,4,0))),0,IF(AND(VLOOKUP(CONCATENATE($D3957,$G3957),CSRFinput!$B:$E,4,0)=0,OR(H3957=MappingTables!$C$34,H3957=MappingTables!$C$35)),1,VLOOKUP(CONCATENATE($D3957,$G3957),CSRFinput!$B:$E,4,0)))</f>
        <v>0.054776304963434752</v>
      </c>
      <c r="W3957" s="85">
        <f>IF(B3957="",0,+$T3957*$V3957)</f>
        <v>1.6890436798195034</v>
      </c>
      <c r="X3957" s="85">
        <f>IF(B3957="",0,IF(OR(H3957=MappingTables!$C$34,H3957=MappingTables!$C$35),W3957,0))</f>
        <v>0</v>
      </c>
    </row>
    <row r="3958" spans="2:24" s="0" customFormat="0" ht="15">
      <c r="B3958" s="69">
        <v>9126831</v>
      </c>
      <c r="C3958" s="70" t="s">
        <v>2693</v>
      </c>
      <c r="D3958" s="70" t="s">
        <v>1</v>
      </c>
      <c r="E3958" s="70" t="s">
        <v>1</v>
      </c>
      <c r="F3958" s="70"/>
      <c r="G3958" s="70" t="s">
        <v>61</v>
      </c>
      <c r="H3958" s="70" t="s">
        <v>178</v>
      </c>
      <c r="I3958" s="70" t="s">
        <v>179</v>
      </c>
      <c r="J3958" s="71">
        <f>IF(OR(I3958=0,I3958=""),"unrated",VLOOKUP(I3958,MappingTables!$B$19:$C$31,2,FALSE))</f>
        <v>4</v>
      </c>
      <c r="K3958" s="72">
        <v>355.96659233313916</v>
      </c>
      <c r="L3958" s="70">
        <v>3.5822880733996764</v>
      </c>
      <c r="M3958" s="71">
        <f>IF(L3958&lt;1,1,L3958)</f>
        <v>3.5822880733996764</v>
      </c>
      <c r="N3958" s="70" t="s">
        <v>141</v>
      </c>
      <c r="O3958" s="71">
        <f>INDEX(DurClassMapping,MATCH(M3958,MappingTables!$D$4:$D$8,-1),1)</f>
        <v>1</v>
      </c>
      <c r="P3958" s="73">
        <f>IF(M3958=$A$1,1,$M3958-INDEX(MappingTables!$E$4:$E$8,MATCH(O3958,MappingTables!$B$4:$B$8,0)))</f>
        <v>3.5822880733996764</v>
      </c>
      <c r="Q3958" s="71">
        <f>IF(B3958="",0,INDEX(ModelParameters!$D$6:$K$10,MATCH($O3958,ModelParameters!$B$6:$B$10,0),MATCH($J3958,ModelParameters!$D$5:$K$5,0)))</f>
        <v>0.045</v>
      </c>
      <c r="R3958" s="71">
        <f>IF(B3958="",0,INDEX(ModelParameters!$D$13:$K$17,MATCH($O3958,ModelParameters!$B$13:$B$17,0),MATCH($J3958,ModelParameters!$D$5:$K$5,0)))</f>
        <v>0</v>
      </c>
      <c r="S3958" s="160">
        <f>IF(B3958="",0,MIN(IF($N3958="Other Bond TM",ModelParameters!$N$21,1)*(P3958*Q3958+R3958),1))</f>
        <v>0.16120296330298542</v>
      </c>
      <c r="T3958" s="85">
        <f>IF(B3958="",0,$S3958*$K3958)</f>
        <v>57.3828695209678</v>
      </c>
      <c r="U3958" s="85">
        <f>IF(B3958="",0,IF(OR(H3958=MappingTables!$C$34,H3958=MappingTables!$C$35),T3958,0))</f>
        <v>0</v>
      </c>
      <c r="V3958" s="85">
        <f>IF(ISNA(IF(AND(VLOOKUP(CONCATENATE($D3958,$G3958),CSRFinput!$B:$E,4,0)=0,OR(H3958=MappingTables!$C$34,H3958=MappingTables!$C$35)),1,VLOOKUP(CONCATENATE($D3958,$G3958),CSRFinput!$B:$E,4,0))),0,IF(AND(VLOOKUP(CONCATENATE($D3958,$G3958),CSRFinput!$B:$E,4,0)=0,OR(H3958=MappingTables!$C$34,H3958=MappingTables!$C$35)),1,VLOOKUP(CONCATENATE($D3958,$G3958),CSRFinput!$B:$E,4,0)))</f>
        <v>0.054776304963434752</v>
      </c>
      <c r="W3958" s="85">
        <f>IF(B3958="",0,+$T3958*$V3958)</f>
        <v>3.1432215605575172</v>
      </c>
      <c r="X3958" s="85">
        <f>IF(B3958="",0,IF(OR(H3958=MappingTables!$C$34,H3958=MappingTables!$C$35),W3958,0))</f>
        <v>0</v>
      </c>
    </row>
    <row r="3959" spans="2:24" s="0" customFormat="0" ht="15">
      <c r="B3959" s="69" t="s">
        <v>1095</v>
      </c>
      <c r="C3959" s="70" t="s">
        <v>1096</v>
      </c>
      <c r="D3959" s="70" t="s">
        <v>1</v>
      </c>
      <c r="E3959" s="70" t="s">
        <v>1</v>
      </c>
      <c r="F3959" s="70"/>
      <c r="G3959" s="70" t="s">
        <v>61</v>
      </c>
      <c r="H3959" s="70" t="s">
        <v>178</v>
      </c>
      <c r="I3959" s="70" t="s">
        <v>198</v>
      </c>
      <c r="J3959" s="71" t="str">
        <f>IF(OR(I3959=0,I3959=""),"unrated",VLOOKUP(I3959,MappingTables!$B$19:$C$31,2,FALSE))</f>
        <v>unrated</v>
      </c>
      <c r="K3959" s="72">
        <v>0.67953005228701624</v>
      </c>
      <c r="L3959" s="70">
        <v>0.019180701957281048</v>
      </c>
      <c r="M3959" s="71">
        <f>IF(L3959&lt;1,1,L3959)</f>
        <v>1</v>
      </c>
      <c r="N3959" s="70" t="s">
        <v>141</v>
      </c>
      <c r="O3959" s="71">
        <f>INDEX(DurClassMapping,MATCH(M3959,MappingTables!$D$4:$D$8,-1),1)</f>
        <v>1</v>
      </c>
      <c r="P3959" s="73">
        <f>IF(M3959=$A$1,1,$M3959-INDEX(MappingTables!$E$4:$E$8,MATCH(O3959,MappingTables!$B$4:$B$8,0)))</f>
        <v>1</v>
      </c>
      <c r="Q3959" s="71">
        <f>IF(B3959="",0,INDEX(ModelParameters!$D$6:$K$10,MATCH($O3959,ModelParameters!$B$6:$B$10,0),MATCH($J3959,ModelParameters!$D$5:$K$5,0)))</f>
        <v>0.03</v>
      </c>
      <c r="R3959" s="71">
        <f>IF(B3959="",0,INDEX(ModelParameters!$D$13:$K$17,MATCH($O3959,ModelParameters!$B$13:$B$17,0),MATCH($J3959,ModelParameters!$D$5:$K$5,0)))</f>
        <v>0</v>
      </c>
      <c r="S3959" s="160">
        <f>IF(B3959="",0,MIN(IF($N3959="Other Bond TM",ModelParameters!$N$21,1)*(P3959*Q3959+R3959),1))</f>
        <v>0.03</v>
      </c>
      <c r="T3959" s="85">
        <f>IF(B3959="",0,$S3959*$K3959)</f>
        <v>0.020385901568610488</v>
      </c>
      <c r="U3959" s="85">
        <f>IF(B3959="",0,IF(OR(H3959=MappingTables!$C$34,H3959=MappingTables!$C$35),T3959,0))</f>
        <v>0</v>
      </c>
      <c r="V3959" s="85">
        <f>IF(ISNA(IF(AND(VLOOKUP(CONCATENATE($D3959,$G3959),CSRFinput!$B:$E,4,0)=0,OR(H3959=MappingTables!$C$34,H3959=MappingTables!$C$35)),1,VLOOKUP(CONCATENATE($D3959,$G3959),CSRFinput!$B:$E,4,0))),0,IF(AND(VLOOKUP(CONCATENATE($D3959,$G3959),CSRFinput!$B:$E,4,0)=0,OR(H3959=MappingTables!$C$34,H3959=MappingTables!$C$35)),1,VLOOKUP(CONCATENATE($D3959,$G3959),CSRFinput!$B:$E,4,0)))</f>
        <v>0.054776304963434752</v>
      </c>
      <c r="W3959" s="85">
        <f>IF(B3959="",0,+$T3959*$V3959)</f>
        <v>0.001116664361276771</v>
      </c>
      <c r="X3959" s="85">
        <f>IF(B3959="",0,IF(OR(H3959=MappingTables!$C$34,H3959=MappingTables!$C$35),W3959,0))</f>
        <v>0</v>
      </c>
    </row>
    <row r="3960" spans="2:24" s="0" customFormat="0" ht="15">
      <c r="B3960" s="69">
        <v>19602322</v>
      </c>
      <c r="C3960" s="70" t="s">
        <v>2874</v>
      </c>
      <c r="D3960" s="70" t="s">
        <v>1</v>
      </c>
      <c r="E3960" s="70" t="s">
        <v>1</v>
      </c>
      <c r="F3960" s="70"/>
      <c r="G3960" s="70" t="s">
        <v>61</v>
      </c>
      <c r="H3960" s="70" t="s">
        <v>178</v>
      </c>
      <c r="I3960" s="70" t="s">
        <v>179</v>
      </c>
      <c r="J3960" s="71">
        <f>IF(OR(I3960=0,I3960=""),"unrated",VLOOKUP(I3960,MappingTables!$B$19:$C$31,2,FALSE))</f>
        <v>4</v>
      </c>
      <c r="K3960" s="72">
        <v>67.910283684940096</v>
      </c>
      <c r="L3960" s="70">
        <v>0.35068516280133564</v>
      </c>
      <c r="M3960" s="71">
        <f>IF(L3960&lt;1,1,L3960)</f>
        <v>1</v>
      </c>
      <c r="N3960" s="70" t="s">
        <v>141</v>
      </c>
      <c r="O3960" s="71">
        <f>INDEX(DurClassMapping,MATCH(M3960,MappingTables!$D$4:$D$8,-1),1)</f>
        <v>1</v>
      </c>
      <c r="P3960" s="73">
        <f>IF(M3960=$A$1,1,$M3960-INDEX(MappingTables!$E$4:$E$8,MATCH(O3960,MappingTables!$B$4:$B$8,0)))</f>
        <v>1</v>
      </c>
      <c r="Q3960" s="71">
        <f>IF(B3960="",0,INDEX(ModelParameters!$D$6:$K$10,MATCH($O3960,ModelParameters!$B$6:$B$10,0),MATCH($J3960,ModelParameters!$D$5:$K$5,0)))</f>
        <v>0.045</v>
      </c>
      <c r="R3960" s="71">
        <f>IF(B3960="",0,INDEX(ModelParameters!$D$13:$K$17,MATCH($O3960,ModelParameters!$B$13:$B$17,0),MATCH($J3960,ModelParameters!$D$5:$K$5,0)))</f>
        <v>0</v>
      </c>
      <c r="S3960" s="160">
        <f>IF(B3960="",0,MIN(IF($N3960="Other Bond TM",ModelParameters!$N$21,1)*(P3960*Q3960+R3960),1))</f>
        <v>0.045</v>
      </c>
      <c r="T3960" s="85">
        <f>IF(B3960="",0,$S3960*$K3960)</f>
        <v>3.0559627658223044</v>
      </c>
      <c r="U3960" s="85">
        <f>IF(B3960="",0,IF(OR(H3960=MappingTables!$C$34,H3960=MappingTables!$C$35),T3960,0))</f>
        <v>0</v>
      </c>
      <c r="V3960" s="85">
        <f>IF(ISNA(IF(AND(VLOOKUP(CONCATENATE($D3960,$G3960),CSRFinput!$B:$E,4,0)=0,OR(H3960=MappingTables!$C$34,H3960=MappingTables!$C$35)),1,VLOOKUP(CONCATENATE($D3960,$G3960),CSRFinput!$B:$E,4,0))),0,IF(AND(VLOOKUP(CONCATENATE($D3960,$G3960),CSRFinput!$B:$E,4,0)=0,OR(H3960=MappingTables!$C$34,H3960=MappingTables!$C$35)),1,VLOOKUP(CONCATENATE($D3960,$G3960),CSRFinput!$B:$E,4,0)))</f>
        <v>0.054776304963434752</v>
      </c>
      <c r="W3960" s="85">
        <f>IF(B3960="",0,+$T3960*$V3960)</f>
        <v>0.16739434841758408</v>
      </c>
      <c r="X3960" s="85">
        <f>IF(B3960="",0,IF(OR(H3960=MappingTables!$C$34,H3960=MappingTables!$C$35),W3960,0))</f>
        <v>0</v>
      </c>
    </row>
    <row r="3961" spans="2:24" s="0" customFormat="0" ht="15">
      <c r="B3961" s="69">
        <v>12544779</v>
      </c>
      <c r="C3961" s="70" t="s">
        <v>2695</v>
      </c>
      <c r="D3961" s="70" t="s">
        <v>1</v>
      </c>
      <c r="E3961" s="70" t="s">
        <v>1</v>
      </c>
      <c r="F3961" s="70"/>
      <c r="G3961" s="70" t="s">
        <v>61</v>
      </c>
      <c r="H3961" s="70" t="s">
        <v>178</v>
      </c>
      <c r="I3961" s="70" t="s">
        <v>181</v>
      </c>
      <c r="J3961" s="71">
        <f>IF(OR(I3961=0,I3961=""),"unrated",VLOOKUP(I3961,MappingTables!$B$19:$C$31,2,FALSE))</f>
        <v>3</v>
      </c>
      <c r="K3961" s="72">
        <v>281.73340223759532</v>
      </c>
      <c r="L3961" s="70">
        <v>0.5992533215010152</v>
      </c>
      <c r="M3961" s="71">
        <f>IF(L3961&lt;1,1,L3961)</f>
        <v>1</v>
      </c>
      <c r="N3961" s="70" t="s">
        <v>141</v>
      </c>
      <c r="O3961" s="71">
        <f>INDEX(DurClassMapping,MATCH(M3961,MappingTables!$D$4:$D$8,-1),1)</f>
        <v>1</v>
      </c>
      <c r="P3961" s="73">
        <f>IF(M3961=$A$1,1,$M3961-INDEX(MappingTables!$E$4:$E$8,MATCH(O3961,MappingTables!$B$4:$B$8,0)))</f>
        <v>1</v>
      </c>
      <c r="Q3961" s="71">
        <f>IF(B3961="",0,INDEX(ModelParameters!$D$6:$K$10,MATCH($O3961,ModelParameters!$B$6:$B$10,0),MATCH($J3961,ModelParameters!$D$5:$K$5,0)))</f>
        <v>0.025</v>
      </c>
      <c r="R3961" s="71">
        <f>IF(B3961="",0,INDEX(ModelParameters!$D$13:$K$17,MATCH($O3961,ModelParameters!$B$13:$B$17,0),MATCH($J3961,ModelParameters!$D$5:$K$5,0)))</f>
        <v>0</v>
      </c>
      <c r="S3961" s="160">
        <f>IF(B3961="",0,MIN(IF($N3961="Other Bond TM",ModelParameters!$N$21,1)*(P3961*Q3961+R3961),1))</f>
        <v>0.025</v>
      </c>
      <c r="T3961" s="85">
        <f>IF(B3961="",0,$S3961*$K3961)</f>
        <v>7.043335055939884</v>
      </c>
      <c r="U3961" s="85">
        <f>IF(B3961="",0,IF(OR(H3961=MappingTables!$C$34,H3961=MappingTables!$C$35),T3961,0))</f>
        <v>0</v>
      </c>
      <c r="V3961" s="85">
        <f>IF(ISNA(IF(AND(VLOOKUP(CONCATENATE($D3961,$G3961),CSRFinput!$B:$E,4,0)=0,OR(H3961=MappingTables!$C$34,H3961=MappingTables!$C$35)),1,VLOOKUP(CONCATENATE($D3961,$G3961),CSRFinput!$B:$E,4,0))),0,IF(AND(VLOOKUP(CONCATENATE($D3961,$G3961),CSRFinput!$B:$E,4,0)=0,OR(H3961=MappingTables!$C$34,H3961=MappingTables!$C$35)),1,VLOOKUP(CONCATENATE($D3961,$G3961),CSRFinput!$B:$E,4,0)))</f>
        <v>0.054776304963434752</v>
      </c>
      <c r="W3961" s="85">
        <f>IF(B3961="",0,+$T3961*$V3961)</f>
        <v>0.38580786898381384</v>
      </c>
      <c r="X3961" s="85">
        <f>IF(B3961="",0,IF(OR(H3961=MappingTables!$C$34,H3961=MappingTables!$C$35),W3961,0))</f>
        <v>0</v>
      </c>
    </row>
    <row r="3962" spans="2:24" s="0" customFormat="0" ht="15">
      <c r="B3962" s="69" t="s">
        <v>2986</v>
      </c>
      <c r="C3962" s="70" t="s">
        <v>2987</v>
      </c>
      <c r="D3962" s="70" t="s">
        <v>1</v>
      </c>
      <c r="E3962" s="70" t="s">
        <v>1</v>
      </c>
      <c r="F3962" s="70"/>
      <c r="G3962" s="70" t="s">
        <v>61</v>
      </c>
      <c r="H3962" s="70" t="s">
        <v>178</v>
      </c>
      <c r="I3962" s="70" t="s">
        <v>181</v>
      </c>
      <c r="J3962" s="71">
        <f>IF(OR(I3962=0,I3962=""),"unrated",VLOOKUP(I3962,MappingTables!$B$19:$C$31,2,FALSE))</f>
        <v>3</v>
      </c>
      <c r="K3962" s="72">
        <v>36319.16471523488</v>
      </c>
      <c r="L3962" s="70">
        <v>5.5393157868368288</v>
      </c>
      <c r="M3962" s="71">
        <f>IF(L3962&lt;1,1,L3962)</f>
        <v>5.5393157868368288</v>
      </c>
      <c r="N3962" s="70" t="s">
        <v>141</v>
      </c>
      <c r="O3962" s="71">
        <f>INDEX(DurClassMapping,MATCH(M3962,MappingTables!$D$4:$D$8,-1),1)</f>
        <v>2</v>
      </c>
      <c r="P3962" s="73">
        <f>IF(M3962=$A$1,1,$M3962-INDEX(MappingTables!$E$4:$E$8,MATCH(O3962,MappingTables!$B$4:$B$8,0)))</f>
        <v>0.5393157868368288</v>
      </c>
      <c r="Q3962" s="71">
        <f>IF(B3962="",0,INDEX(ModelParameters!$D$6:$K$10,MATCH($O3962,ModelParameters!$B$6:$B$10,0),MATCH($J3962,ModelParameters!$D$5:$K$5,0)))</f>
        <v>0.015</v>
      </c>
      <c r="R3962" s="71">
        <f>IF(B3962="",0,INDEX(ModelParameters!$D$13:$K$17,MATCH($O3962,ModelParameters!$B$13:$B$17,0),MATCH($J3962,ModelParameters!$D$5:$K$5,0)))</f>
        <v>0.125</v>
      </c>
      <c r="S3962" s="160">
        <f>IF(B3962="",0,MIN(IF($N3962="Other Bond TM",ModelParameters!$N$21,1)*(P3962*Q3962+R3962),1))</f>
        <v>0.13308973680255242</v>
      </c>
      <c r="T3962" s="85">
        <f>IF(B3962="",0,$S3962*$K3962)</f>
        <v>4833.7080728391592</v>
      </c>
      <c r="U3962" s="85">
        <f>IF(B3962="",0,IF(OR(H3962=MappingTables!$C$34,H3962=MappingTables!$C$35),T3962,0))</f>
        <v>0</v>
      </c>
      <c r="V3962" s="85">
        <f>IF(ISNA(IF(AND(VLOOKUP(CONCATENATE($D3962,$G3962),CSRFinput!$B:$E,4,0)=0,OR(H3962=MappingTables!$C$34,H3962=MappingTables!$C$35)),1,VLOOKUP(CONCATENATE($D3962,$G3962),CSRFinput!$B:$E,4,0))),0,IF(AND(VLOOKUP(CONCATENATE($D3962,$G3962),CSRFinput!$B:$E,4,0)=0,OR(H3962=MappingTables!$C$34,H3962=MappingTables!$C$35)),1,VLOOKUP(CONCATENATE($D3962,$G3962),CSRFinput!$B:$E,4,0)))</f>
        <v>0.054776304963434752</v>
      </c>
      <c r="W3962" s="85">
        <f>IF(B3962="",0,+$T3962*$V3962)</f>
        <v>264.77266750205428</v>
      </c>
      <c r="X3962" s="85">
        <f>IF(B3962="",0,IF(OR(H3962=MappingTables!$C$34,H3962=MappingTables!$C$35),W3962,0))</f>
        <v>0</v>
      </c>
    </row>
    <row r="3963" spans="2:24" s="0" customFormat="0" ht="15">
      <c r="B3963" s="69">
        <v>11986935</v>
      </c>
      <c r="C3963" s="70" t="s">
        <v>2638</v>
      </c>
      <c r="D3963" s="70" t="s">
        <v>1</v>
      </c>
      <c r="E3963" s="70" t="s">
        <v>1</v>
      </c>
      <c r="F3963" s="70"/>
      <c r="G3963" s="70" t="s">
        <v>61</v>
      </c>
      <c r="H3963" s="70" t="s">
        <v>178</v>
      </c>
      <c r="I3963" s="70" t="s">
        <v>179</v>
      </c>
      <c r="J3963" s="71">
        <f>IF(OR(I3963=0,I3963=""),"unrated",VLOOKUP(I3963,MappingTables!$B$19:$C$31,2,FALSE))</f>
        <v>4</v>
      </c>
      <c r="K3963" s="72">
        <v>37971.525638241432</v>
      </c>
      <c r="L3963" s="70">
        <v>5.4784958743096848</v>
      </c>
      <c r="M3963" s="71">
        <f>IF(L3963&lt;1,1,L3963)</f>
        <v>5.4784958743096848</v>
      </c>
      <c r="N3963" s="70" t="s">
        <v>141</v>
      </c>
      <c r="O3963" s="71">
        <f>INDEX(DurClassMapping,MATCH(M3963,MappingTables!$D$4:$D$8,-1),1)</f>
        <v>2</v>
      </c>
      <c r="P3963" s="73">
        <f>IF(M3963=$A$1,1,$M3963-INDEX(MappingTables!$E$4:$E$8,MATCH(O3963,MappingTables!$B$4:$B$8,0)))</f>
        <v>0.4784958743096848</v>
      </c>
      <c r="Q3963" s="71">
        <f>IF(B3963="",0,INDEX(ModelParameters!$D$6:$K$10,MATCH($O3963,ModelParameters!$B$6:$B$10,0),MATCH($J3963,ModelParameters!$D$5:$K$5,0)))</f>
        <v>0.025</v>
      </c>
      <c r="R3963" s="71">
        <f>IF(B3963="",0,INDEX(ModelParameters!$D$13:$K$17,MATCH($O3963,ModelParameters!$B$13:$B$17,0),MATCH($J3963,ModelParameters!$D$5:$K$5,0)))</f>
        <v>0.225</v>
      </c>
      <c r="S3963" s="160">
        <f>IF(B3963="",0,MIN(IF($N3963="Other Bond TM",ModelParameters!$N$21,1)*(P3963*Q3963+R3963),1))</f>
        <v>0.23696239685774212</v>
      </c>
      <c r="T3963" s="85">
        <f>IF(B3963="",0,$S3963*$K3963)</f>
        <v>8997.823727582896</v>
      </c>
      <c r="U3963" s="85">
        <f>IF(B3963="",0,IF(OR(H3963=MappingTables!$C$34,H3963=MappingTables!$C$35),T3963,0))</f>
        <v>0</v>
      </c>
      <c r="V3963" s="85">
        <f>IF(ISNA(IF(AND(VLOOKUP(CONCATENATE($D3963,$G3963),CSRFinput!$B:$E,4,0)=0,OR(H3963=MappingTables!$C$34,H3963=MappingTables!$C$35)),1,VLOOKUP(CONCATENATE($D3963,$G3963),CSRFinput!$B:$E,4,0))),0,IF(AND(VLOOKUP(CONCATENATE($D3963,$G3963),CSRFinput!$B:$E,4,0)=0,OR(H3963=MappingTables!$C$34,H3963=MappingTables!$C$35)),1,VLOOKUP(CONCATENATE($D3963,$G3963),CSRFinput!$B:$E,4,0)))</f>
        <v>0.054776304963434752</v>
      </c>
      <c r="W3963" s="85">
        <f>IF(B3963="",0,+$T3963*$V3963)</f>
        <v>492.86753650930992</v>
      </c>
      <c r="X3963" s="85">
        <f>IF(B3963="",0,IF(OR(H3963=MappingTables!$C$34,H3963=MappingTables!$C$35),W3963,0))</f>
        <v>0</v>
      </c>
    </row>
    <row r="3964" spans="2:24" s="0" customFormat="0" ht="15">
      <c r="B3964" s="69" t="s">
        <v>923</v>
      </c>
      <c r="C3964" s="70" t="s">
        <v>924</v>
      </c>
      <c r="D3964" s="70" t="s">
        <v>1</v>
      </c>
      <c r="E3964" s="70" t="s">
        <v>1</v>
      </c>
      <c r="F3964" s="70"/>
      <c r="G3964" s="70" t="s">
        <v>61</v>
      </c>
      <c r="H3964" s="70" t="s">
        <v>178</v>
      </c>
      <c r="I3964" s="70" t="s">
        <v>179</v>
      </c>
      <c r="J3964" s="71">
        <f>IF(OR(I3964=0,I3964=""),"unrated",VLOOKUP(I3964,MappingTables!$B$19:$C$31,2,FALSE))</f>
        <v>4</v>
      </c>
      <c r="K3964" s="72">
        <v>12.091355198742866</v>
      </c>
      <c r="L3964" s="70">
        <v>4.4151771261878176</v>
      </c>
      <c r="M3964" s="71">
        <f>IF(L3964&lt;1,1,L3964)</f>
        <v>4.4151771261878176</v>
      </c>
      <c r="N3964" s="70" t="s">
        <v>141</v>
      </c>
      <c r="O3964" s="71">
        <f>INDEX(DurClassMapping,MATCH(M3964,MappingTables!$D$4:$D$8,-1),1)</f>
        <v>1</v>
      </c>
      <c r="P3964" s="73">
        <f>IF(M3964=$A$1,1,$M3964-INDEX(MappingTables!$E$4:$E$8,MATCH(O3964,MappingTables!$B$4:$B$8,0)))</f>
        <v>4.4151771261878176</v>
      </c>
      <c r="Q3964" s="71">
        <f>IF(B3964="",0,INDEX(ModelParameters!$D$6:$K$10,MATCH($O3964,ModelParameters!$B$6:$B$10,0),MATCH($J3964,ModelParameters!$D$5:$K$5,0)))</f>
        <v>0.045</v>
      </c>
      <c r="R3964" s="71">
        <f>IF(B3964="",0,INDEX(ModelParameters!$D$13:$K$17,MATCH($O3964,ModelParameters!$B$13:$B$17,0),MATCH($J3964,ModelParameters!$D$5:$K$5,0)))</f>
        <v>0</v>
      </c>
      <c r="S3964" s="160">
        <f>IF(B3964="",0,MIN(IF($N3964="Other Bond TM",ModelParameters!$N$21,1)*(P3964*Q3964+R3964),1))</f>
        <v>0.1986829706784518</v>
      </c>
      <c r="T3964" s="85">
        <f>IF(B3964="",0,$S3964*$K3964)</f>
        <v>2.4023463704145744</v>
      </c>
      <c r="U3964" s="85">
        <f>IF(B3964="",0,IF(OR(H3964=MappingTables!$C$34,H3964=MappingTables!$C$35),T3964,0))</f>
        <v>0</v>
      </c>
      <c r="V3964" s="85">
        <f>IF(ISNA(IF(AND(VLOOKUP(CONCATENATE($D3964,$G3964),CSRFinput!$B:$E,4,0)=0,OR(H3964=MappingTables!$C$34,H3964=MappingTables!$C$35)),1,VLOOKUP(CONCATENATE($D3964,$G3964),CSRFinput!$B:$E,4,0))),0,IF(AND(VLOOKUP(CONCATENATE($D3964,$G3964),CSRFinput!$B:$E,4,0)=0,OR(H3964=MappingTables!$C$34,H3964=MappingTables!$C$35)),1,VLOOKUP(CONCATENATE($D3964,$G3964),CSRFinput!$B:$E,4,0)))</f>
        <v>0.054776304963434752</v>
      </c>
      <c r="W3964" s="85">
        <f>IF(B3964="",0,+$T3964*$V3964)</f>
        <v>0.1315916574136293</v>
      </c>
      <c r="X3964" s="85">
        <f>IF(B3964="",0,IF(OR(H3964=MappingTables!$C$34,H3964=MappingTables!$C$35),W3964,0))</f>
        <v>0</v>
      </c>
    </row>
    <row r="3965" spans="2:24" s="0" customFormat="0" ht="15">
      <c r="B3965" s="69">
        <v>12077015</v>
      </c>
      <c r="C3965" s="70" t="s">
        <v>1294</v>
      </c>
      <c r="D3965" s="70" t="s">
        <v>1</v>
      </c>
      <c r="E3965" s="70" t="s">
        <v>1</v>
      </c>
      <c r="F3965" s="70"/>
      <c r="G3965" s="70" t="s">
        <v>61</v>
      </c>
      <c r="H3965" s="70" t="s">
        <v>178</v>
      </c>
      <c r="I3965" s="70" t="s">
        <v>188</v>
      </c>
      <c r="J3965" s="71">
        <f>IF(OR(I3965=0,I3965=""),"unrated",VLOOKUP(I3965,MappingTables!$B$19:$C$31,2,FALSE))</f>
        <v>2</v>
      </c>
      <c r="K3965" s="72">
        <v>110.71764371372426</v>
      </c>
      <c r="L3965" s="70">
        <v>0.44931832315412928</v>
      </c>
      <c r="M3965" s="71">
        <f>IF(L3965&lt;1,1,L3965)</f>
        <v>1</v>
      </c>
      <c r="N3965" s="70" t="s">
        <v>141</v>
      </c>
      <c r="O3965" s="71">
        <f>INDEX(DurClassMapping,MATCH(M3965,MappingTables!$D$4:$D$8,-1),1)</f>
        <v>1</v>
      </c>
      <c r="P3965" s="73">
        <f>IF(M3965=$A$1,1,$M3965-INDEX(MappingTables!$E$4:$E$8,MATCH(O3965,MappingTables!$B$4:$B$8,0)))</f>
        <v>1</v>
      </c>
      <c r="Q3965" s="71">
        <f>IF(B3965="",0,INDEX(ModelParameters!$D$6:$K$10,MATCH($O3965,ModelParameters!$B$6:$B$10,0),MATCH($J3965,ModelParameters!$D$5:$K$5,0)))</f>
        <v>0.013999999999999998</v>
      </c>
      <c r="R3965" s="71">
        <f>IF(B3965="",0,INDEX(ModelParameters!$D$13:$K$17,MATCH($O3965,ModelParameters!$B$13:$B$17,0),MATCH($J3965,ModelParameters!$D$5:$K$5,0)))</f>
        <v>0</v>
      </c>
      <c r="S3965" s="160">
        <f>IF(B3965="",0,MIN(IF($N3965="Other Bond TM",ModelParameters!$N$21,1)*(P3965*Q3965+R3965),1))</f>
        <v>0.013999999999999998</v>
      </c>
      <c r="T3965" s="85">
        <f>IF(B3965="",0,$S3965*$K3965)</f>
        <v>1.5500470119921394</v>
      </c>
      <c r="U3965" s="85">
        <f>IF(B3965="",0,IF(OR(H3965=MappingTables!$C$34,H3965=MappingTables!$C$35),T3965,0))</f>
        <v>0</v>
      </c>
      <c r="V3965" s="85">
        <f>IF(ISNA(IF(AND(VLOOKUP(CONCATENATE($D3965,$G3965),CSRFinput!$B:$E,4,0)=0,OR(H3965=MappingTables!$C$34,H3965=MappingTables!$C$35)),1,VLOOKUP(CONCATENATE($D3965,$G3965),CSRFinput!$B:$E,4,0))),0,IF(AND(VLOOKUP(CONCATENATE($D3965,$G3965),CSRFinput!$B:$E,4,0)=0,OR(H3965=MappingTables!$C$34,H3965=MappingTables!$C$35)),1,VLOOKUP(CONCATENATE($D3965,$G3965),CSRFinput!$B:$E,4,0)))</f>
        <v>0.054776304963434752</v>
      </c>
      <c r="W3965" s="85">
        <f>IF(B3965="",0,+$T3965*$V3965)</f>
        <v>0.084905847836542224</v>
      </c>
      <c r="X3965" s="85">
        <f>IF(B3965="",0,IF(OR(H3965=MappingTables!$C$34,H3965=MappingTables!$C$35),W3965,0))</f>
        <v>0</v>
      </c>
    </row>
    <row r="3966" spans="2:24" s="0" customFormat="0" ht="15">
      <c r="B3966" s="69" t="s">
        <v>2550</v>
      </c>
      <c r="C3966" s="70" t="s">
        <v>2551</v>
      </c>
      <c r="D3966" s="70" t="s">
        <v>1</v>
      </c>
      <c r="E3966" s="70" t="s">
        <v>1</v>
      </c>
      <c r="F3966" s="70"/>
      <c r="G3966" s="70" t="s">
        <v>61</v>
      </c>
      <c r="H3966" s="70" t="s">
        <v>178</v>
      </c>
      <c r="I3966" s="70" t="s">
        <v>184</v>
      </c>
      <c r="J3966" s="71">
        <f>IF(OR(I3966=0,I3966=""),"unrated",VLOOKUP(I3966,MappingTables!$B$19:$C$31,2,FALSE))</f>
        <v>5</v>
      </c>
      <c r="K3966" s="72">
        <v>310.9362089152484</v>
      </c>
      <c r="L3966" s="70">
        <v>3.976784371817108</v>
      </c>
      <c r="M3966" s="71">
        <f>IF(L3966&lt;1,1,L3966)</f>
        <v>3.976784371817108</v>
      </c>
      <c r="N3966" s="70" t="s">
        <v>141</v>
      </c>
      <c r="O3966" s="71">
        <f>INDEX(DurClassMapping,MATCH(M3966,MappingTables!$D$4:$D$8,-1),1)</f>
        <v>1</v>
      </c>
      <c r="P3966" s="73">
        <f>IF(M3966=$A$1,1,$M3966-INDEX(MappingTables!$E$4:$E$8,MATCH(O3966,MappingTables!$B$4:$B$8,0)))</f>
        <v>3.976784371817108</v>
      </c>
      <c r="Q3966" s="71">
        <f>IF(B3966="",0,INDEX(ModelParameters!$D$6:$K$10,MATCH($O3966,ModelParameters!$B$6:$B$10,0),MATCH($J3966,ModelParameters!$D$5:$K$5,0)))</f>
        <v>0.075</v>
      </c>
      <c r="R3966" s="71">
        <f>IF(B3966="",0,INDEX(ModelParameters!$D$13:$K$17,MATCH($O3966,ModelParameters!$B$13:$B$17,0),MATCH($J3966,ModelParameters!$D$5:$K$5,0)))</f>
        <v>0</v>
      </c>
      <c r="S3966" s="160">
        <f>IF(B3966="",0,MIN(IF($N3966="Other Bond TM",ModelParameters!$N$21,1)*(P3966*Q3966+R3966),1))</f>
        <v>0.29825882788628312</v>
      </c>
      <c r="T3966" s="85">
        <f>IF(B3966="",0,$S3966*$K3966)</f>
        <v>92.739469218466432</v>
      </c>
      <c r="U3966" s="85">
        <f>IF(B3966="",0,IF(OR(H3966=MappingTables!$C$34,H3966=MappingTables!$C$35),T3966,0))</f>
        <v>0</v>
      </c>
      <c r="V3966" s="85">
        <f>IF(ISNA(IF(AND(VLOOKUP(CONCATENATE($D3966,$G3966),CSRFinput!$B:$E,4,0)=0,OR(H3966=MappingTables!$C$34,H3966=MappingTables!$C$35)),1,VLOOKUP(CONCATENATE($D3966,$G3966),CSRFinput!$B:$E,4,0))),0,IF(AND(VLOOKUP(CONCATENATE($D3966,$G3966),CSRFinput!$B:$E,4,0)=0,OR(H3966=MappingTables!$C$34,H3966=MappingTables!$C$35)),1,VLOOKUP(CONCATENATE($D3966,$G3966),CSRFinput!$B:$E,4,0)))</f>
        <v>0.054776304963434752</v>
      </c>
      <c r="W3966" s="85">
        <f>IF(B3966="",0,+$T3966*$V3966)</f>
        <v>5.0799254480577872</v>
      </c>
      <c r="X3966" s="85">
        <f>IF(B3966="",0,IF(OR(H3966=MappingTables!$C$34,H3966=MappingTables!$C$35),W3966,0))</f>
        <v>0</v>
      </c>
    </row>
    <row r="3967" spans="2:24" s="0" customFormat="0" ht="15">
      <c r="B3967" s="69">
        <v>19133186</v>
      </c>
      <c r="C3967" s="70" t="s">
        <v>2850</v>
      </c>
      <c r="D3967" s="70" t="s">
        <v>1</v>
      </c>
      <c r="E3967" s="70" t="s">
        <v>1</v>
      </c>
      <c r="F3967" s="70"/>
      <c r="G3967" s="70" t="s">
        <v>61</v>
      </c>
      <c r="H3967" s="70" t="s">
        <v>178</v>
      </c>
      <c r="I3967" s="70" t="s">
        <v>184</v>
      </c>
      <c r="J3967" s="71">
        <f>IF(OR(I3967=0,I3967=""),"unrated",VLOOKUP(I3967,MappingTables!$B$19:$C$31,2,FALSE))</f>
        <v>5</v>
      </c>
      <c r="K3967" s="72">
        <v>43076.157625495232</v>
      </c>
      <c r="L3967" s="70">
        <v>4.6737628611435344</v>
      </c>
      <c r="M3967" s="71">
        <f>IF(L3967&lt;1,1,L3967)</f>
        <v>4.6737628611435344</v>
      </c>
      <c r="N3967" s="70" t="s">
        <v>141</v>
      </c>
      <c r="O3967" s="71">
        <f>INDEX(DurClassMapping,MATCH(M3967,MappingTables!$D$4:$D$8,-1),1)</f>
        <v>1</v>
      </c>
      <c r="P3967" s="73">
        <f>IF(M3967=$A$1,1,$M3967-INDEX(MappingTables!$E$4:$E$8,MATCH(O3967,MappingTables!$B$4:$B$8,0)))</f>
        <v>4.6737628611435344</v>
      </c>
      <c r="Q3967" s="71">
        <f>IF(B3967="",0,INDEX(ModelParameters!$D$6:$K$10,MATCH($O3967,ModelParameters!$B$6:$B$10,0),MATCH($J3967,ModelParameters!$D$5:$K$5,0)))</f>
        <v>0.075</v>
      </c>
      <c r="R3967" s="71">
        <f>IF(B3967="",0,INDEX(ModelParameters!$D$13:$K$17,MATCH($O3967,ModelParameters!$B$13:$B$17,0),MATCH($J3967,ModelParameters!$D$5:$K$5,0)))</f>
        <v>0</v>
      </c>
      <c r="S3967" s="160">
        <f>IF(B3967="",0,MIN(IF($N3967="Other Bond TM",ModelParameters!$N$21,1)*(P3967*Q3967+R3967),1))</f>
        <v>0.35053221458576504</v>
      </c>
      <c r="T3967" s="85">
        <f>IF(B3967="",0,$S3967*$K3967)</f>
        <v>15099.580928310334</v>
      </c>
      <c r="U3967" s="85">
        <f>IF(B3967="",0,IF(OR(H3967=MappingTables!$C$34,H3967=MappingTables!$C$35),T3967,0))</f>
        <v>0</v>
      </c>
      <c r="V3967" s="85">
        <f>IF(ISNA(IF(AND(VLOOKUP(CONCATENATE($D3967,$G3967),CSRFinput!$B:$E,4,0)=0,OR(H3967=MappingTables!$C$34,H3967=MappingTables!$C$35)),1,VLOOKUP(CONCATENATE($D3967,$G3967),CSRFinput!$B:$E,4,0))),0,IF(AND(VLOOKUP(CONCATENATE($D3967,$G3967),CSRFinput!$B:$E,4,0)=0,OR(H3967=MappingTables!$C$34,H3967=MappingTables!$C$35)),1,VLOOKUP(CONCATENATE($D3967,$G3967),CSRFinput!$B:$E,4,0)))</f>
        <v>0.054776304963434752</v>
      </c>
      <c r="W3967" s="85">
        <f>IF(B3967="",0,+$T3967*$V3967)</f>
        <v>827.09924974919008</v>
      </c>
      <c r="X3967" s="85">
        <f>IF(B3967="",0,IF(OR(H3967=MappingTables!$C$34,H3967=MappingTables!$C$35),W3967,0))</f>
        <v>0</v>
      </c>
    </row>
    <row r="3968" spans="2:24" s="0" customFormat="0" ht="15">
      <c r="B3968" s="69" t="s">
        <v>1856</v>
      </c>
      <c r="C3968" s="70" t="s">
        <v>1857</v>
      </c>
      <c r="D3968" s="70" t="s">
        <v>1</v>
      </c>
      <c r="E3968" s="70" t="s">
        <v>1</v>
      </c>
      <c r="F3968" s="70"/>
      <c r="G3968" s="70" t="s">
        <v>61</v>
      </c>
      <c r="H3968" s="70" t="s">
        <v>178</v>
      </c>
      <c r="I3968" s="70" t="s">
        <v>179</v>
      </c>
      <c r="J3968" s="71">
        <f>IF(OR(I3968=0,I3968=""),"unrated",VLOOKUP(I3968,MappingTables!$B$19:$C$31,2,FALSE))</f>
        <v>4</v>
      </c>
      <c r="K3968" s="72">
        <v>447.89918467888944</v>
      </c>
      <c r="L3968" s="70">
        <v>5.6046506328375208</v>
      </c>
      <c r="M3968" s="71">
        <f>IF(L3968&lt;1,1,L3968)</f>
        <v>5.6046506328375208</v>
      </c>
      <c r="N3968" s="70" t="s">
        <v>141</v>
      </c>
      <c r="O3968" s="71">
        <f>INDEX(DurClassMapping,MATCH(M3968,MappingTables!$D$4:$D$8,-1),1)</f>
        <v>2</v>
      </c>
      <c r="P3968" s="73">
        <f>IF(M3968=$A$1,1,$M3968-INDEX(MappingTables!$E$4:$E$8,MATCH(O3968,MappingTables!$B$4:$B$8,0)))</f>
        <v>0.60465063283752048</v>
      </c>
      <c r="Q3968" s="71">
        <f>IF(B3968="",0,INDEX(ModelParameters!$D$6:$K$10,MATCH($O3968,ModelParameters!$B$6:$B$10,0),MATCH($J3968,ModelParameters!$D$5:$K$5,0)))</f>
        <v>0.025</v>
      </c>
      <c r="R3968" s="71">
        <f>IF(B3968="",0,INDEX(ModelParameters!$D$13:$K$17,MATCH($O3968,ModelParameters!$B$13:$B$17,0),MATCH($J3968,ModelParameters!$D$5:$K$5,0)))</f>
        <v>0.225</v>
      </c>
      <c r="S3968" s="160">
        <f>IF(B3968="",0,MIN(IF($N3968="Other Bond TM",ModelParameters!$N$21,1)*(P3968*Q3968+R3968),1))</f>
        <v>0.240116265820938</v>
      </c>
      <c r="T3968" s="85">
        <f>IF(B3968="",0,$S3968*$K3968)</f>
        <v>107.54787968933764</v>
      </c>
      <c r="U3968" s="85">
        <f>IF(B3968="",0,IF(OR(H3968=MappingTables!$C$34,H3968=MappingTables!$C$35),T3968,0))</f>
        <v>0</v>
      </c>
      <c r="V3968" s="85">
        <f>IF(ISNA(IF(AND(VLOOKUP(CONCATENATE($D3968,$G3968),CSRFinput!$B:$E,4,0)=0,OR(H3968=MappingTables!$C$34,H3968=MappingTables!$C$35)),1,VLOOKUP(CONCATENATE($D3968,$G3968),CSRFinput!$B:$E,4,0))),0,IF(AND(VLOOKUP(CONCATENATE($D3968,$G3968),CSRFinput!$B:$E,4,0)=0,OR(H3968=MappingTables!$C$34,H3968=MappingTables!$C$35)),1,VLOOKUP(CONCATENATE($D3968,$G3968),CSRFinput!$B:$E,4,0)))</f>
        <v>0.054776304963434752</v>
      </c>
      <c r="W3968" s="85">
        <f>IF(B3968="",0,+$T3968*$V3968)</f>
        <v>5.8910754560339488</v>
      </c>
      <c r="X3968" s="85">
        <f>IF(B3968="",0,IF(OR(H3968=MappingTables!$C$34,H3968=MappingTables!$C$35),W3968,0))</f>
        <v>0</v>
      </c>
    </row>
    <row r="3969" spans="2:24" s="0" customFormat="0" ht="15">
      <c r="B3969" s="69" t="s">
        <v>2684</v>
      </c>
      <c r="C3969" s="70" t="s">
        <v>2685</v>
      </c>
      <c r="D3969" s="70" t="s">
        <v>1</v>
      </c>
      <c r="E3969" s="70" t="s">
        <v>1</v>
      </c>
      <c r="F3969" s="70"/>
      <c r="G3969" s="70" t="s">
        <v>61</v>
      </c>
      <c r="H3969" s="70" t="s">
        <v>178</v>
      </c>
      <c r="I3969" s="70" t="s">
        <v>198</v>
      </c>
      <c r="J3969" s="71" t="str">
        <f>IF(OR(I3969=0,I3969=""),"unrated",VLOOKUP(I3969,MappingTables!$B$19:$C$31,2,FALSE))</f>
        <v>unrated</v>
      </c>
      <c r="K3969" s="72">
        <v>2152.2980879065884</v>
      </c>
      <c r="L3969" s="70">
        <v>16.676219997156114</v>
      </c>
      <c r="M3969" s="71">
        <f>IF(L3969&lt;1,1,L3969)</f>
        <v>16.676219997156114</v>
      </c>
      <c r="N3969" s="70" t="s">
        <v>141</v>
      </c>
      <c r="O3969" s="71">
        <f>INDEX(DurClassMapping,MATCH(M3969,MappingTables!$D$4:$D$8,-1),1)</f>
        <v>4</v>
      </c>
      <c r="P3969" s="73">
        <f>IF(M3969=$A$1,1,$M3969-INDEX(MappingTables!$E$4:$E$8,MATCH(O3969,MappingTables!$B$4:$B$8,0)))</f>
        <v>1.6762199971561138</v>
      </c>
      <c r="Q3969" s="71">
        <f>IF(B3969="",0,INDEX(ModelParameters!$D$6:$K$10,MATCH($O3969,ModelParameters!$B$6:$B$10,0),MATCH($J3969,ModelParameters!$D$5:$K$5,0)))</f>
        <v>0.012</v>
      </c>
      <c r="R3969" s="71">
        <f>IF(B3969="",0,INDEX(ModelParameters!$D$13:$K$17,MATCH($O3969,ModelParameters!$B$13:$B$17,0),MATCH($J3969,ModelParameters!$D$5:$K$5,0)))</f>
        <v>0.295</v>
      </c>
      <c r="S3969" s="160">
        <f>IF(B3969="",0,MIN(IF($N3969="Other Bond TM",ModelParameters!$N$21,1)*(P3969*Q3969+R3969),1))</f>
        <v>0.31511463996587336</v>
      </c>
      <c r="T3969" s="85">
        <f>IF(B3969="",0,$S3969*$K3969)</f>
        <v>678.22063706992232</v>
      </c>
      <c r="U3969" s="85">
        <f>IF(B3969="",0,IF(OR(H3969=MappingTables!$C$34,H3969=MappingTables!$C$35),T3969,0))</f>
        <v>0</v>
      </c>
      <c r="V3969" s="85">
        <f>IF(ISNA(IF(AND(VLOOKUP(CONCATENATE($D3969,$G3969),CSRFinput!$B:$E,4,0)=0,OR(H3969=MappingTables!$C$34,H3969=MappingTables!$C$35)),1,VLOOKUP(CONCATENATE($D3969,$G3969),CSRFinput!$B:$E,4,0))),0,IF(AND(VLOOKUP(CONCATENATE($D3969,$G3969),CSRFinput!$B:$E,4,0)=0,OR(H3969=MappingTables!$C$34,H3969=MappingTables!$C$35)),1,VLOOKUP(CONCATENATE($D3969,$G3969),CSRFinput!$B:$E,4,0)))</f>
        <v>0.054776304963434752</v>
      </c>
      <c r="W3969" s="85">
        <f>IF(B3969="",0,+$T3969*$V3969)</f>
        <v>37.150420448637064</v>
      </c>
      <c r="X3969" s="85">
        <f>IF(B3969="",0,IF(OR(H3969=MappingTables!$C$34,H3969=MappingTables!$C$35),W3969,0))</f>
        <v>0</v>
      </c>
    </row>
    <row r="3970" spans="2:24" s="0" customFormat="0" ht="15">
      <c r="B3970" s="69">
        <v>455581</v>
      </c>
      <c r="C3970" s="70" t="s">
        <v>2655</v>
      </c>
      <c r="D3970" s="70" t="s">
        <v>1</v>
      </c>
      <c r="E3970" s="70" t="s">
        <v>1</v>
      </c>
      <c r="F3970" s="70"/>
      <c r="G3970" s="70" t="s">
        <v>61</v>
      </c>
      <c r="H3970" s="70" t="s">
        <v>178</v>
      </c>
      <c r="I3970" s="70" t="s">
        <v>181</v>
      </c>
      <c r="J3970" s="71">
        <f>IF(OR(I3970=0,I3970=""),"unrated",VLOOKUP(I3970,MappingTables!$B$19:$C$31,2,FALSE))</f>
        <v>3</v>
      </c>
      <c r="K3970" s="72">
        <v>10159.71071101703</v>
      </c>
      <c r="L3970" s="70">
        <v>11.337438137742396</v>
      </c>
      <c r="M3970" s="71">
        <f>IF(L3970&lt;1,1,L3970)</f>
        <v>11.337438137742396</v>
      </c>
      <c r="N3970" s="70" t="s">
        <v>141</v>
      </c>
      <c r="O3970" s="71">
        <f>INDEX(DurClassMapping,MATCH(M3970,MappingTables!$D$4:$D$8,-1),1)</f>
        <v>3</v>
      </c>
      <c r="P3970" s="73">
        <f>IF(M3970=$A$1,1,$M3970-INDEX(MappingTables!$E$4:$E$8,MATCH(O3970,MappingTables!$B$4:$B$8,0)))</f>
        <v>1.3374381377423958</v>
      </c>
      <c r="Q3970" s="71">
        <f>IF(B3970="",0,INDEX(ModelParameters!$D$6:$K$10,MATCH($O3970,ModelParameters!$B$6:$B$10,0),MATCH($J3970,ModelParameters!$D$5:$K$5,0)))</f>
        <v>0.01</v>
      </c>
      <c r="R3970" s="71">
        <f>IF(B3970="",0,INDEX(ModelParameters!$D$13:$K$17,MATCH($O3970,ModelParameters!$B$13:$B$17,0),MATCH($J3970,ModelParameters!$D$5:$K$5,0)))</f>
        <v>0.2</v>
      </c>
      <c r="S3970" s="160">
        <f>IF(B3970="",0,MIN(IF($N3970="Other Bond TM",ModelParameters!$N$21,1)*(P3970*Q3970+R3970),1))</f>
        <v>0.213374381377424</v>
      </c>
      <c r="T3970" s="85">
        <f>IF(B3970="",0,$S3970*$K3970)</f>
        <v>2167.8219879368472</v>
      </c>
      <c r="U3970" s="85">
        <f>IF(B3970="",0,IF(OR(H3970=MappingTables!$C$34,H3970=MappingTables!$C$35),T3970,0))</f>
        <v>0</v>
      </c>
      <c r="V3970" s="85">
        <f>IF(ISNA(IF(AND(VLOOKUP(CONCATENATE($D3970,$G3970),CSRFinput!$B:$E,4,0)=0,OR(H3970=MappingTables!$C$34,H3970=MappingTables!$C$35)),1,VLOOKUP(CONCATENATE($D3970,$G3970),CSRFinput!$B:$E,4,0))),0,IF(AND(VLOOKUP(CONCATENATE($D3970,$G3970),CSRFinput!$B:$E,4,0)=0,OR(H3970=MappingTables!$C$34,H3970=MappingTables!$C$35)),1,VLOOKUP(CONCATENATE($D3970,$G3970),CSRFinput!$B:$E,4,0)))</f>
        <v>0.054776304963434752</v>
      </c>
      <c r="W3970" s="85">
        <f>IF(B3970="",0,+$T3970*$V3970)</f>
        <v>118.7452783176681</v>
      </c>
      <c r="X3970" s="85">
        <f>IF(B3970="",0,IF(OR(H3970=MappingTables!$C$34,H3970=MappingTables!$C$35),W3970,0))</f>
        <v>0</v>
      </c>
    </row>
    <row r="3971" spans="2:24" s="0" customFormat="0" ht="15">
      <c r="B3971" s="69">
        <v>21278021</v>
      </c>
      <c r="C3971" s="70" t="s">
        <v>680</v>
      </c>
      <c r="D3971" s="70" t="s">
        <v>1</v>
      </c>
      <c r="E3971" s="70" t="s">
        <v>1</v>
      </c>
      <c r="F3971" s="70"/>
      <c r="G3971" s="70" t="s">
        <v>61</v>
      </c>
      <c r="H3971" s="70" t="s">
        <v>178</v>
      </c>
      <c r="I3971" s="70" t="s">
        <v>179</v>
      </c>
      <c r="J3971" s="71">
        <f>IF(OR(I3971=0,I3971=""),"unrated",VLOOKUP(I3971,MappingTables!$B$19:$C$31,2,FALSE))</f>
        <v>4</v>
      </c>
      <c r="K3971" s="72">
        <v>170.42208031302778</v>
      </c>
      <c r="L3971" s="70">
        <v>2.82368266255875</v>
      </c>
      <c r="M3971" s="71">
        <f>IF(L3971&lt;1,1,L3971)</f>
        <v>2.82368266255875</v>
      </c>
      <c r="N3971" s="70" t="s">
        <v>141</v>
      </c>
      <c r="O3971" s="71">
        <f>INDEX(DurClassMapping,MATCH(M3971,MappingTables!$D$4:$D$8,-1),1)</f>
        <v>1</v>
      </c>
      <c r="P3971" s="73">
        <f>IF(M3971=$A$1,1,$M3971-INDEX(MappingTables!$E$4:$E$8,MATCH(O3971,MappingTables!$B$4:$B$8,0)))</f>
        <v>2.82368266255875</v>
      </c>
      <c r="Q3971" s="71">
        <f>IF(B3971="",0,INDEX(ModelParameters!$D$6:$K$10,MATCH($O3971,ModelParameters!$B$6:$B$10,0),MATCH($J3971,ModelParameters!$D$5:$K$5,0)))</f>
        <v>0.045</v>
      </c>
      <c r="R3971" s="71">
        <f>IF(B3971="",0,INDEX(ModelParameters!$D$13:$K$17,MATCH($O3971,ModelParameters!$B$13:$B$17,0),MATCH($J3971,ModelParameters!$D$5:$K$5,0)))</f>
        <v>0</v>
      </c>
      <c r="S3971" s="160">
        <f>IF(B3971="",0,MIN(IF($N3971="Other Bond TM",ModelParameters!$N$21,1)*(P3971*Q3971+R3971),1))</f>
        <v>0.12706571981514376</v>
      </c>
      <c r="T3971" s="85">
        <f>IF(B3971="",0,$S3971*$K3971)</f>
        <v>21.654804307369112</v>
      </c>
      <c r="U3971" s="85">
        <f>IF(B3971="",0,IF(OR(H3971=MappingTables!$C$34,H3971=MappingTables!$C$35),T3971,0))</f>
        <v>0</v>
      </c>
      <c r="V3971" s="85">
        <f>IF(ISNA(IF(AND(VLOOKUP(CONCATENATE($D3971,$G3971),CSRFinput!$B:$E,4,0)=0,OR(H3971=MappingTables!$C$34,H3971=MappingTables!$C$35)),1,VLOOKUP(CONCATENATE($D3971,$G3971),CSRFinput!$B:$E,4,0))),0,IF(AND(VLOOKUP(CONCATENATE($D3971,$G3971),CSRFinput!$B:$E,4,0)=0,OR(H3971=MappingTables!$C$34,H3971=MappingTables!$C$35)),1,VLOOKUP(CONCATENATE($D3971,$G3971),CSRFinput!$B:$E,4,0)))</f>
        <v>0.054776304963434752</v>
      </c>
      <c r="W3971" s="85">
        <f>IF(B3971="",0,+$T3971*$V3971)</f>
        <v>1.1861701646639508</v>
      </c>
      <c r="X3971" s="85">
        <f>IF(B3971="",0,IF(OR(H3971=MappingTables!$C$34,H3971=MappingTables!$C$35),W3971,0))</f>
        <v>0</v>
      </c>
    </row>
    <row r="3972" spans="2:24" s="0" customFormat="0" ht="15">
      <c r="B3972" s="69">
        <v>13145185</v>
      </c>
      <c r="C3972" s="70" t="s">
        <v>2419</v>
      </c>
      <c r="D3972" s="70" t="s">
        <v>1</v>
      </c>
      <c r="E3972" s="70" t="s">
        <v>1</v>
      </c>
      <c r="F3972" s="70"/>
      <c r="G3972" s="70" t="s">
        <v>61</v>
      </c>
      <c r="H3972" s="70" t="s">
        <v>178</v>
      </c>
      <c r="I3972" s="70" t="s">
        <v>179</v>
      </c>
      <c r="J3972" s="71">
        <f>IF(OR(I3972=0,I3972=""),"unrated",VLOOKUP(I3972,MappingTables!$B$19:$C$31,2,FALSE))</f>
        <v>4</v>
      </c>
      <c r="K3972" s="72">
        <v>257.0843279542932</v>
      </c>
      <c r="L3972" s="70">
        <v>0.030137784465233352</v>
      </c>
      <c r="M3972" s="71">
        <f>IF(L3972&lt;1,1,L3972)</f>
        <v>1</v>
      </c>
      <c r="N3972" s="70" t="s">
        <v>141</v>
      </c>
      <c r="O3972" s="71">
        <f>INDEX(DurClassMapping,MATCH(M3972,MappingTables!$D$4:$D$8,-1),1)</f>
        <v>1</v>
      </c>
      <c r="P3972" s="73">
        <f>IF(M3972=$A$1,1,$M3972-INDEX(MappingTables!$E$4:$E$8,MATCH(O3972,MappingTables!$B$4:$B$8,0)))</f>
        <v>1</v>
      </c>
      <c r="Q3972" s="71">
        <f>IF(B3972="",0,INDEX(ModelParameters!$D$6:$K$10,MATCH($O3972,ModelParameters!$B$6:$B$10,0),MATCH($J3972,ModelParameters!$D$5:$K$5,0)))</f>
        <v>0.045</v>
      </c>
      <c r="R3972" s="71">
        <f>IF(B3972="",0,INDEX(ModelParameters!$D$13:$K$17,MATCH($O3972,ModelParameters!$B$13:$B$17,0),MATCH($J3972,ModelParameters!$D$5:$K$5,0)))</f>
        <v>0</v>
      </c>
      <c r="S3972" s="160">
        <f>IF(B3972="",0,MIN(IF($N3972="Other Bond TM",ModelParameters!$N$21,1)*(P3972*Q3972+R3972),1))</f>
        <v>0.045</v>
      </c>
      <c r="T3972" s="85">
        <f>IF(B3972="",0,$S3972*$K3972)</f>
        <v>11.568794757943194</v>
      </c>
      <c r="U3972" s="85">
        <f>IF(B3972="",0,IF(OR(H3972=MappingTables!$C$34,H3972=MappingTables!$C$35),T3972,0))</f>
        <v>0</v>
      </c>
      <c r="V3972" s="85">
        <f>IF(ISNA(IF(AND(VLOOKUP(CONCATENATE($D3972,$G3972),CSRFinput!$B:$E,4,0)=0,OR(H3972=MappingTables!$C$34,H3972=MappingTables!$C$35)),1,VLOOKUP(CONCATENATE($D3972,$G3972),CSRFinput!$B:$E,4,0))),0,IF(AND(VLOOKUP(CONCATENATE($D3972,$G3972),CSRFinput!$B:$E,4,0)=0,OR(H3972=MappingTables!$C$34,H3972=MappingTables!$C$35)),1,VLOOKUP(CONCATENATE($D3972,$G3972),CSRFinput!$B:$E,4,0)))</f>
        <v>0.054776304963434752</v>
      </c>
      <c r="W3972" s="85">
        <f>IF(B3972="",0,+$T3972*$V3972)</f>
        <v>0.63369582972048168</v>
      </c>
      <c r="X3972" s="85">
        <f>IF(B3972="",0,IF(OR(H3972=MappingTables!$C$34,H3972=MappingTables!$C$35),W3972,0))</f>
        <v>0</v>
      </c>
    </row>
    <row r="3973" spans="2:24" s="0" customFormat="0" ht="15">
      <c r="B3973" s="69">
        <v>11163655</v>
      </c>
      <c r="C3973" s="70" t="s">
        <v>1267</v>
      </c>
      <c r="D3973" s="70" t="s">
        <v>1</v>
      </c>
      <c r="E3973" s="70" t="s">
        <v>1</v>
      </c>
      <c r="F3973" s="70"/>
      <c r="G3973" s="70" t="s">
        <v>61</v>
      </c>
      <c r="H3973" s="70" t="s">
        <v>178</v>
      </c>
      <c r="I3973" s="70" t="s">
        <v>181</v>
      </c>
      <c r="J3973" s="71">
        <f>IF(OR(I3973=0,I3973=""),"unrated",VLOOKUP(I3973,MappingTables!$B$19:$C$31,2,FALSE))</f>
        <v>3</v>
      </c>
      <c r="K3973" s="72">
        <v>773.46683600271872</v>
      </c>
      <c r="L3973" s="70">
        <v>4.3358409682466096</v>
      </c>
      <c r="M3973" s="71">
        <f>IF(L3973&lt;1,1,L3973)</f>
        <v>4.3358409682466096</v>
      </c>
      <c r="N3973" s="70" t="s">
        <v>141</v>
      </c>
      <c r="O3973" s="71">
        <f>INDEX(DurClassMapping,MATCH(M3973,MappingTables!$D$4:$D$8,-1),1)</f>
        <v>1</v>
      </c>
      <c r="P3973" s="73">
        <f>IF(M3973=$A$1,1,$M3973-INDEX(MappingTables!$E$4:$E$8,MATCH(O3973,MappingTables!$B$4:$B$8,0)))</f>
        <v>4.3358409682466096</v>
      </c>
      <c r="Q3973" s="71">
        <f>IF(B3973="",0,INDEX(ModelParameters!$D$6:$K$10,MATCH($O3973,ModelParameters!$B$6:$B$10,0),MATCH($J3973,ModelParameters!$D$5:$K$5,0)))</f>
        <v>0.025</v>
      </c>
      <c r="R3973" s="71">
        <f>IF(B3973="",0,INDEX(ModelParameters!$D$13:$K$17,MATCH($O3973,ModelParameters!$B$13:$B$17,0),MATCH($J3973,ModelParameters!$D$5:$K$5,0)))</f>
        <v>0</v>
      </c>
      <c r="S3973" s="160">
        <f>IF(B3973="",0,MIN(IF($N3973="Other Bond TM",ModelParameters!$N$21,1)*(P3973*Q3973+R3973),1))</f>
        <v>0.10839602420616524</v>
      </c>
      <c r="T3973" s="85">
        <f>IF(B3973="",0,$S3973*$K3973)</f>
        <v>83.840729878016736</v>
      </c>
      <c r="U3973" s="85">
        <f>IF(B3973="",0,IF(OR(H3973=MappingTables!$C$34,H3973=MappingTables!$C$35),T3973,0))</f>
        <v>0</v>
      </c>
      <c r="V3973" s="85">
        <f>IF(ISNA(IF(AND(VLOOKUP(CONCATENATE($D3973,$G3973),CSRFinput!$B:$E,4,0)=0,OR(H3973=MappingTables!$C$34,H3973=MappingTables!$C$35)),1,VLOOKUP(CONCATENATE($D3973,$G3973),CSRFinput!$B:$E,4,0))),0,IF(AND(VLOOKUP(CONCATENATE($D3973,$G3973),CSRFinput!$B:$E,4,0)=0,OR(H3973=MappingTables!$C$34,H3973=MappingTables!$C$35)),1,VLOOKUP(CONCATENATE($D3973,$G3973),CSRFinput!$B:$E,4,0)))</f>
        <v>0.054776304963434752</v>
      </c>
      <c r="W3973" s="85">
        <f>IF(B3973="",0,+$T3973*$V3973)</f>
        <v>4.5924853881552</v>
      </c>
      <c r="X3973" s="85">
        <f>IF(B3973="",0,IF(OR(H3973=MappingTables!$C$34,H3973=MappingTables!$C$35),W3973,0))</f>
        <v>0</v>
      </c>
    </row>
    <row r="3974" spans="2:24" s="0" customFormat="0" ht="15">
      <c r="B3974" s="69">
        <v>18681510</v>
      </c>
      <c r="C3974" s="70" t="s">
        <v>2091</v>
      </c>
      <c r="D3974" s="70" t="s">
        <v>1</v>
      </c>
      <c r="E3974" s="70" t="s">
        <v>1</v>
      </c>
      <c r="F3974" s="70"/>
      <c r="G3974" s="70" t="s">
        <v>61</v>
      </c>
      <c r="H3974" s="70" t="s">
        <v>178</v>
      </c>
      <c r="I3974" s="70" t="s">
        <v>181</v>
      </c>
      <c r="J3974" s="71">
        <f>IF(OR(I3974=0,I3974=""),"unrated",VLOOKUP(I3974,MappingTables!$B$19:$C$31,2,FALSE))</f>
        <v>3</v>
      </c>
      <c r="K3974" s="72">
        <v>464.79134535783216</v>
      </c>
      <c r="L3974" s="70">
        <v>1.2766830505934774</v>
      </c>
      <c r="M3974" s="71">
        <f>IF(L3974&lt;1,1,L3974)</f>
        <v>1.2766830505934774</v>
      </c>
      <c r="N3974" s="70" t="s">
        <v>141</v>
      </c>
      <c r="O3974" s="71">
        <f>INDEX(DurClassMapping,MATCH(M3974,MappingTables!$D$4:$D$8,-1),1)</f>
        <v>1</v>
      </c>
      <c r="P3974" s="73">
        <f>IF(M3974=$A$1,1,$M3974-INDEX(MappingTables!$E$4:$E$8,MATCH(O3974,MappingTables!$B$4:$B$8,0)))</f>
        <v>1.2766830505934774</v>
      </c>
      <c r="Q3974" s="71">
        <f>IF(B3974="",0,INDEX(ModelParameters!$D$6:$K$10,MATCH($O3974,ModelParameters!$B$6:$B$10,0),MATCH($J3974,ModelParameters!$D$5:$K$5,0)))</f>
        <v>0.025</v>
      </c>
      <c r="R3974" s="71">
        <f>IF(B3974="",0,INDEX(ModelParameters!$D$13:$K$17,MATCH($O3974,ModelParameters!$B$13:$B$17,0),MATCH($J3974,ModelParameters!$D$5:$K$5,0)))</f>
        <v>0</v>
      </c>
      <c r="S3974" s="160">
        <f>IF(B3974="",0,MIN(IF($N3974="Other Bond TM",ModelParameters!$N$21,1)*(P3974*Q3974+R3974),1))</f>
        <v>0.03191707626483694</v>
      </c>
      <c r="T3974" s="85">
        <f>IF(B3974="",0,$S3974*$K3974)</f>
        <v>14.834780817022094</v>
      </c>
      <c r="U3974" s="85">
        <f>IF(B3974="",0,IF(OR(H3974=MappingTables!$C$34,H3974=MappingTables!$C$35),T3974,0))</f>
        <v>0</v>
      </c>
      <c r="V3974" s="85">
        <f>IF(ISNA(IF(AND(VLOOKUP(CONCATENATE($D3974,$G3974),CSRFinput!$B:$E,4,0)=0,OR(H3974=MappingTables!$C$34,H3974=MappingTables!$C$35)),1,VLOOKUP(CONCATENATE($D3974,$G3974),CSRFinput!$B:$E,4,0))),0,IF(AND(VLOOKUP(CONCATENATE($D3974,$G3974),CSRFinput!$B:$E,4,0)=0,OR(H3974=MappingTables!$C$34,H3974=MappingTables!$C$35)),1,VLOOKUP(CONCATENATE($D3974,$G3974),CSRFinput!$B:$E,4,0)))</f>
        <v>0.054776304963434752</v>
      </c>
      <c r="W3974" s="85">
        <f>IF(B3974="",0,+$T3974*$V3974)</f>
        <v>0.81259447809891408</v>
      </c>
      <c r="X3974" s="85">
        <f>IF(B3974="",0,IF(OR(H3974=MappingTables!$C$34,H3974=MappingTables!$C$35),W3974,0))</f>
        <v>0</v>
      </c>
    </row>
    <row r="3975" spans="2:24" s="0" customFormat="0" ht="15">
      <c r="B3975" s="69">
        <v>14942238</v>
      </c>
      <c r="C3975" s="70" t="s">
        <v>2624</v>
      </c>
      <c r="D3975" s="70" t="s">
        <v>1</v>
      </c>
      <c r="E3975" s="70" t="s">
        <v>1</v>
      </c>
      <c r="F3975" s="70"/>
      <c r="G3975" s="70" t="s">
        <v>61</v>
      </c>
      <c r="H3975" s="70" t="s">
        <v>178</v>
      </c>
      <c r="I3975" s="70" t="s">
        <v>184</v>
      </c>
      <c r="J3975" s="71">
        <f>IF(OR(I3975=0,I3975=""),"unrated",VLOOKUP(I3975,MappingTables!$B$19:$C$31,2,FALSE))</f>
        <v>5</v>
      </c>
      <c r="K3975" s="72">
        <v>155.983297111525</v>
      </c>
      <c r="L3975" s="70">
        <v>2.041402018216918</v>
      </c>
      <c r="M3975" s="71">
        <f>IF(L3975&lt;1,1,L3975)</f>
        <v>2.041402018216918</v>
      </c>
      <c r="N3975" s="70" t="s">
        <v>141</v>
      </c>
      <c r="O3975" s="71">
        <f>INDEX(DurClassMapping,MATCH(M3975,MappingTables!$D$4:$D$8,-1),1)</f>
        <v>1</v>
      </c>
      <c r="P3975" s="73">
        <f>IF(M3975=$A$1,1,$M3975-INDEX(MappingTables!$E$4:$E$8,MATCH(O3975,MappingTables!$B$4:$B$8,0)))</f>
        <v>2.041402018216918</v>
      </c>
      <c r="Q3975" s="71">
        <f>IF(B3975="",0,INDEX(ModelParameters!$D$6:$K$10,MATCH($O3975,ModelParameters!$B$6:$B$10,0),MATCH($J3975,ModelParameters!$D$5:$K$5,0)))</f>
        <v>0.075</v>
      </c>
      <c r="R3975" s="71">
        <f>IF(B3975="",0,INDEX(ModelParameters!$D$13:$K$17,MATCH($O3975,ModelParameters!$B$13:$B$17,0),MATCH($J3975,ModelParameters!$D$5:$K$5,0)))</f>
        <v>0</v>
      </c>
      <c r="S3975" s="160">
        <f>IF(B3975="",0,MIN(IF($N3975="Other Bond TM",ModelParameters!$N$21,1)*(P3975*Q3975+R3975),1))</f>
        <v>0.15310515136626884</v>
      </c>
      <c r="T3975" s="85">
        <f>IF(B3975="",0,$S3975*$K3975)</f>
        <v>23.88184631486972</v>
      </c>
      <c r="U3975" s="85">
        <f>IF(B3975="",0,IF(OR(H3975=MappingTables!$C$34,H3975=MappingTables!$C$35),T3975,0))</f>
        <v>0</v>
      </c>
      <c r="V3975" s="85">
        <f>IF(ISNA(IF(AND(VLOOKUP(CONCATENATE($D3975,$G3975),CSRFinput!$B:$E,4,0)=0,OR(H3975=MappingTables!$C$34,H3975=MappingTables!$C$35)),1,VLOOKUP(CONCATENATE($D3975,$G3975),CSRFinput!$B:$E,4,0))),0,IF(AND(VLOOKUP(CONCATENATE($D3975,$G3975),CSRFinput!$B:$E,4,0)=0,OR(H3975=MappingTables!$C$34,H3975=MappingTables!$C$35)),1,VLOOKUP(CONCATENATE($D3975,$G3975),CSRFinput!$B:$E,4,0)))</f>
        <v>0.054776304963434752</v>
      </c>
      <c r="W3975" s="85">
        <f>IF(B3975="",0,+$T3975*$V3975)</f>
        <v>1.3081592968331842</v>
      </c>
      <c r="X3975" s="85">
        <f>IF(B3975="",0,IF(OR(H3975=MappingTables!$C$34,H3975=MappingTables!$C$35),W3975,0))</f>
        <v>0</v>
      </c>
    </row>
    <row r="3976" spans="2:24" s="0" customFormat="0" ht="15">
      <c r="B3976" s="69">
        <v>24178931</v>
      </c>
      <c r="C3976" s="70" t="s">
        <v>2903</v>
      </c>
      <c r="D3976" s="70" t="s">
        <v>1</v>
      </c>
      <c r="E3976" s="70" t="s">
        <v>1</v>
      </c>
      <c r="F3976" s="70"/>
      <c r="G3976" s="70" t="s">
        <v>61</v>
      </c>
      <c r="H3976" s="70" t="s">
        <v>178</v>
      </c>
      <c r="I3976" s="70" t="s">
        <v>188</v>
      </c>
      <c r="J3976" s="71">
        <f>IF(OR(I3976=0,I3976=""),"unrated",VLOOKUP(I3976,MappingTables!$B$19:$C$31,2,FALSE))</f>
        <v>2</v>
      </c>
      <c r="K3976" s="72">
        <v>2286.0157113395244</v>
      </c>
      <c r="L3976" s="70">
        <v>2.6457394322109556</v>
      </c>
      <c r="M3976" s="71">
        <f>IF(L3976&lt;1,1,L3976)</f>
        <v>2.6457394322109556</v>
      </c>
      <c r="N3976" s="70" t="s">
        <v>141</v>
      </c>
      <c r="O3976" s="71">
        <f>INDEX(DurClassMapping,MATCH(M3976,MappingTables!$D$4:$D$8,-1),1)</f>
        <v>1</v>
      </c>
      <c r="P3976" s="73">
        <f>IF(M3976=$A$1,1,$M3976-INDEX(MappingTables!$E$4:$E$8,MATCH(O3976,MappingTables!$B$4:$B$8,0)))</f>
        <v>2.6457394322109556</v>
      </c>
      <c r="Q3976" s="71">
        <f>IF(B3976="",0,INDEX(ModelParameters!$D$6:$K$10,MATCH($O3976,ModelParameters!$B$6:$B$10,0),MATCH($J3976,ModelParameters!$D$5:$K$5,0)))</f>
        <v>0.013999999999999998</v>
      </c>
      <c r="R3976" s="71">
        <f>IF(B3976="",0,INDEX(ModelParameters!$D$13:$K$17,MATCH($O3976,ModelParameters!$B$13:$B$17,0),MATCH($J3976,ModelParameters!$D$5:$K$5,0)))</f>
        <v>0</v>
      </c>
      <c r="S3976" s="160">
        <f>IF(B3976="",0,MIN(IF($N3976="Other Bond TM",ModelParameters!$N$21,1)*(P3976*Q3976+R3976),1))</f>
        <v>0.037040352050953376</v>
      </c>
      <c r="T3976" s="85">
        <f>IF(B3976="",0,$S3976*$K3976)</f>
        <v>84.674826742026592</v>
      </c>
      <c r="U3976" s="85">
        <f>IF(B3976="",0,IF(OR(H3976=MappingTables!$C$34,H3976=MappingTables!$C$35),T3976,0))</f>
        <v>0</v>
      </c>
      <c r="V3976" s="85">
        <f>IF(ISNA(IF(AND(VLOOKUP(CONCATENATE($D3976,$G3976),CSRFinput!$B:$E,4,0)=0,OR(H3976=MappingTables!$C$34,H3976=MappingTables!$C$35)),1,VLOOKUP(CONCATENATE($D3976,$G3976),CSRFinput!$B:$E,4,0))),0,IF(AND(VLOOKUP(CONCATENATE($D3976,$G3976),CSRFinput!$B:$E,4,0)=0,OR(H3976=MappingTables!$C$34,H3976=MappingTables!$C$35)),1,VLOOKUP(CONCATENATE($D3976,$G3976),CSRFinput!$B:$E,4,0)))</f>
        <v>0.054776304963434752</v>
      </c>
      <c r="W3976" s="85">
        <f>IF(B3976="",0,+$T3976*$V3976)</f>
        <v>4.6381741323472488</v>
      </c>
      <c r="X3976" s="85">
        <f>IF(B3976="",0,IF(OR(H3976=MappingTables!$C$34,H3976=MappingTables!$C$35),W3976,0))</f>
        <v>0</v>
      </c>
    </row>
    <row r="3977" spans="2:24" s="0" customFormat="0" ht="15">
      <c r="B3977" s="69">
        <v>19714559</v>
      </c>
      <c r="C3977" s="70" t="s">
        <v>1877</v>
      </c>
      <c r="D3977" s="70" t="s">
        <v>1</v>
      </c>
      <c r="E3977" s="70" t="s">
        <v>1</v>
      </c>
      <c r="F3977" s="70"/>
      <c r="G3977" s="70" t="s">
        <v>61</v>
      </c>
      <c r="H3977" s="70" t="s">
        <v>178</v>
      </c>
      <c r="I3977" s="70" t="s">
        <v>188</v>
      </c>
      <c r="J3977" s="71">
        <f>IF(OR(I3977=0,I3977=""),"unrated",VLOOKUP(I3977,MappingTables!$B$19:$C$31,2,FALSE))</f>
        <v>2</v>
      </c>
      <c r="K3977" s="72">
        <v>462.137608869982</v>
      </c>
      <c r="L3977" s="70">
        <v>1.2943798517595924</v>
      </c>
      <c r="M3977" s="71">
        <f>IF(L3977&lt;1,1,L3977)</f>
        <v>1.2943798517595924</v>
      </c>
      <c r="N3977" s="70" t="s">
        <v>141</v>
      </c>
      <c r="O3977" s="71">
        <f>INDEX(DurClassMapping,MATCH(M3977,MappingTables!$D$4:$D$8,-1),1)</f>
        <v>1</v>
      </c>
      <c r="P3977" s="73">
        <f>IF(M3977=$A$1,1,$M3977-INDEX(MappingTables!$E$4:$E$8,MATCH(O3977,MappingTables!$B$4:$B$8,0)))</f>
        <v>1.2943798517595924</v>
      </c>
      <c r="Q3977" s="71">
        <f>IF(B3977="",0,INDEX(ModelParameters!$D$6:$K$10,MATCH($O3977,ModelParameters!$B$6:$B$10,0),MATCH($J3977,ModelParameters!$D$5:$K$5,0)))</f>
        <v>0.013999999999999998</v>
      </c>
      <c r="R3977" s="71">
        <f>IF(B3977="",0,INDEX(ModelParameters!$D$13:$K$17,MATCH($O3977,ModelParameters!$B$13:$B$17,0),MATCH($J3977,ModelParameters!$D$5:$K$5,0)))</f>
        <v>0</v>
      </c>
      <c r="S3977" s="160">
        <f>IF(B3977="",0,MIN(IF($N3977="Other Bond TM",ModelParameters!$N$21,1)*(P3977*Q3977+R3977),1))</f>
        <v>0.018121317924634292</v>
      </c>
      <c r="T3977" s="85">
        <f>IF(B3977="",0,$S3977*$K3977)</f>
        <v>8.3745425352632368</v>
      </c>
      <c r="U3977" s="85">
        <f>IF(B3977="",0,IF(OR(H3977=MappingTables!$C$34,H3977=MappingTables!$C$35),T3977,0))</f>
        <v>0</v>
      </c>
      <c r="V3977" s="85">
        <f>IF(ISNA(IF(AND(VLOOKUP(CONCATENATE($D3977,$G3977),CSRFinput!$B:$E,4,0)=0,OR(H3977=MappingTables!$C$34,H3977=MappingTables!$C$35)),1,VLOOKUP(CONCATENATE($D3977,$G3977),CSRFinput!$B:$E,4,0))),0,IF(AND(VLOOKUP(CONCATENATE($D3977,$G3977),CSRFinput!$B:$E,4,0)=0,OR(H3977=MappingTables!$C$34,H3977=MappingTables!$C$35)),1,VLOOKUP(CONCATENATE($D3977,$G3977),CSRFinput!$B:$E,4,0)))</f>
        <v>0.054776304963434752</v>
      </c>
      <c r="W3977" s="85">
        <f>IF(B3977="",0,+$T3977*$V3977)</f>
        <v>0.45872649584083512</v>
      </c>
      <c r="X3977" s="85">
        <f>IF(B3977="",0,IF(OR(H3977=MappingTables!$C$34,H3977=MappingTables!$C$35),W3977,0))</f>
        <v>0</v>
      </c>
    </row>
    <row r="3978" spans="2:24" s="0" customFormat="0" ht="15">
      <c r="B3978" s="69">
        <v>19215090</v>
      </c>
      <c r="C3978" s="70" t="s">
        <v>2988</v>
      </c>
      <c r="D3978" s="70" t="s">
        <v>1</v>
      </c>
      <c r="E3978" s="70" t="s">
        <v>1</v>
      </c>
      <c r="F3978" s="70"/>
      <c r="G3978" s="70" t="s">
        <v>61</v>
      </c>
      <c r="H3978" s="70" t="s">
        <v>178</v>
      </c>
      <c r="I3978" s="70" t="s">
        <v>184</v>
      </c>
      <c r="J3978" s="71">
        <f>IF(OR(I3978=0,I3978=""),"unrated",VLOOKUP(I3978,MappingTables!$B$19:$C$31,2,FALSE))</f>
        <v>5</v>
      </c>
      <c r="K3978" s="72">
        <v>33.239922077949424</v>
      </c>
      <c r="L3978" s="70">
        <v>0.084931850342434768</v>
      </c>
      <c r="M3978" s="71">
        <f>IF(L3978&lt;1,1,L3978)</f>
        <v>1</v>
      </c>
      <c r="N3978" s="70" t="s">
        <v>141</v>
      </c>
      <c r="O3978" s="71">
        <f>INDEX(DurClassMapping,MATCH(M3978,MappingTables!$D$4:$D$8,-1),1)</f>
        <v>1</v>
      </c>
      <c r="P3978" s="73">
        <f>IF(M3978=$A$1,1,$M3978-INDEX(MappingTables!$E$4:$E$8,MATCH(O3978,MappingTables!$B$4:$B$8,0)))</f>
        <v>1</v>
      </c>
      <c r="Q3978" s="71">
        <f>IF(B3978="",0,INDEX(ModelParameters!$D$6:$K$10,MATCH($O3978,ModelParameters!$B$6:$B$10,0),MATCH($J3978,ModelParameters!$D$5:$K$5,0)))</f>
        <v>0.075</v>
      </c>
      <c r="R3978" s="71">
        <f>IF(B3978="",0,INDEX(ModelParameters!$D$13:$K$17,MATCH($O3978,ModelParameters!$B$13:$B$17,0),MATCH($J3978,ModelParameters!$D$5:$K$5,0)))</f>
        <v>0</v>
      </c>
      <c r="S3978" s="160">
        <f>IF(B3978="",0,MIN(IF($N3978="Other Bond TM",ModelParameters!$N$21,1)*(P3978*Q3978+R3978),1))</f>
        <v>0.075</v>
      </c>
      <c r="T3978" s="85">
        <f>IF(B3978="",0,$S3978*$K3978)</f>
        <v>2.4929941558462064</v>
      </c>
      <c r="U3978" s="85">
        <f>IF(B3978="",0,IF(OR(H3978=MappingTables!$C$34,H3978=MappingTables!$C$35),T3978,0))</f>
        <v>0</v>
      </c>
      <c r="V3978" s="85">
        <f>IF(ISNA(IF(AND(VLOOKUP(CONCATENATE($D3978,$G3978),CSRFinput!$B:$E,4,0)=0,OR(H3978=MappingTables!$C$34,H3978=MappingTables!$C$35)),1,VLOOKUP(CONCATENATE($D3978,$G3978),CSRFinput!$B:$E,4,0))),0,IF(AND(VLOOKUP(CONCATENATE($D3978,$G3978),CSRFinput!$B:$E,4,0)=0,OR(H3978=MappingTables!$C$34,H3978=MappingTables!$C$35)),1,VLOOKUP(CONCATENATE($D3978,$G3978),CSRFinput!$B:$E,4,0)))</f>
        <v>0.054776304963434752</v>
      </c>
      <c r="W3978" s="85">
        <f>IF(B3978="",0,+$T3978*$V3978)</f>
        <v>0.1365570081526924</v>
      </c>
      <c r="X3978" s="85">
        <f>IF(B3978="",0,IF(OR(H3978=MappingTables!$C$34,H3978=MappingTables!$C$35),W3978,0))</f>
        <v>0</v>
      </c>
    </row>
    <row r="3979" spans="2:24" s="0" customFormat="0" ht="15">
      <c r="B3979" s="69" t="s">
        <v>2979</v>
      </c>
      <c r="C3979" s="70" t="s">
        <v>2980</v>
      </c>
      <c r="D3979" s="70" t="s">
        <v>1</v>
      </c>
      <c r="E3979" s="70" t="s">
        <v>1</v>
      </c>
      <c r="F3979" s="70"/>
      <c r="G3979" s="70" t="s">
        <v>61</v>
      </c>
      <c r="H3979" s="70" t="s">
        <v>178</v>
      </c>
      <c r="I3979" s="70" t="s">
        <v>198</v>
      </c>
      <c r="J3979" s="71" t="str">
        <f>IF(OR(I3979=0,I3979=""),"unrated",VLOOKUP(I3979,MappingTables!$B$19:$C$31,2,FALSE))</f>
        <v>unrated</v>
      </c>
      <c r="K3979" s="72">
        <v>26238.810524239236</v>
      </c>
      <c r="L3979" s="70">
        <v>6.716632530667752</v>
      </c>
      <c r="M3979" s="71">
        <f>IF(L3979&lt;1,1,L3979)</f>
        <v>6.716632530667752</v>
      </c>
      <c r="N3979" s="70" t="s">
        <v>141</v>
      </c>
      <c r="O3979" s="71">
        <f>INDEX(DurClassMapping,MATCH(M3979,MappingTables!$D$4:$D$8,-1),1)</f>
        <v>2</v>
      </c>
      <c r="P3979" s="73">
        <f>IF(M3979=$A$1,1,$M3979-INDEX(MappingTables!$E$4:$E$8,MATCH(O3979,MappingTables!$B$4:$B$8,0)))</f>
        <v>1.7166325306677522</v>
      </c>
      <c r="Q3979" s="71">
        <f>IF(B3979="",0,INDEX(ModelParameters!$D$6:$K$10,MATCH($O3979,ModelParameters!$B$6:$B$10,0),MATCH($J3979,ModelParameters!$D$5:$K$5,0)))</f>
        <v>0.017000000000000002</v>
      </c>
      <c r="R3979" s="71">
        <f>IF(B3979="",0,INDEX(ModelParameters!$D$13:$K$17,MATCH($O3979,ModelParameters!$B$13:$B$17,0),MATCH($J3979,ModelParameters!$D$5:$K$5,0)))</f>
        <v>0.15</v>
      </c>
      <c r="S3979" s="160">
        <f>IF(B3979="",0,MIN(IF($N3979="Other Bond TM",ModelParameters!$N$21,1)*(P3979*Q3979+R3979),1))</f>
        <v>0.17918275302135178</v>
      </c>
      <c r="T3979" s="85">
        <f>IF(B3979="",0,$S3979*$K3979)</f>
        <v>4701.5423057388056</v>
      </c>
      <c r="U3979" s="85">
        <f>IF(B3979="",0,IF(OR(H3979=MappingTables!$C$34,H3979=MappingTables!$C$35),T3979,0))</f>
        <v>0</v>
      </c>
      <c r="V3979" s="85">
        <f>IF(ISNA(IF(AND(VLOOKUP(CONCATENATE($D3979,$G3979),CSRFinput!$B:$E,4,0)=0,OR(H3979=MappingTables!$C$34,H3979=MappingTables!$C$35)),1,VLOOKUP(CONCATENATE($D3979,$G3979),CSRFinput!$B:$E,4,0))),0,IF(AND(VLOOKUP(CONCATENATE($D3979,$G3979),CSRFinput!$B:$E,4,0)=0,OR(H3979=MappingTables!$C$34,H3979=MappingTables!$C$35)),1,VLOOKUP(CONCATENATE($D3979,$G3979),CSRFinput!$B:$E,4,0)))</f>
        <v>0.054776304963434752</v>
      </c>
      <c r="W3979" s="85">
        <f>IF(B3979="",0,+$T3979*$V3979)</f>
        <v>257.533115137639</v>
      </c>
      <c r="X3979" s="85">
        <f>IF(B3979="",0,IF(OR(H3979=MappingTables!$C$34,H3979=MappingTables!$C$35),W3979,0))</f>
        <v>0</v>
      </c>
    </row>
    <row r="3980" spans="2:24" s="0" customFormat="0" ht="15">
      <c r="B3980" s="69" t="s">
        <v>2642</v>
      </c>
      <c r="C3980" s="70" t="s">
        <v>2643</v>
      </c>
      <c r="D3980" s="70" t="s">
        <v>1</v>
      </c>
      <c r="E3980" s="70" t="s">
        <v>1</v>
      </c>
      <c r="F3980" s="70"/>
      <c r="G3980" s="70" t="s">
        <v>61</v>
      </c>
      <c r="H3980" s="70" t="s">
        <v>178</v>
      </c>
      <c r="I3980" s="70" t="s">
        <v>198</v>
      </c>
      <c r="J3980" s="71" t="str">
        <f>IF(OR(I3980=0,I3980=""),"unrated",VLOOKUP(I3980,MappingTables!$B$19:$C$31,2,FALSE))</f>
        <v>unrated</v>
      </c>
      <c r="K3980" s="72">
        <v>13470.452379046278</v>
      </c>
      <c r="L3980" s="70">
        <v>2.7284805153939152</v>
      </c>
      <c r="M3980" s="71">
        <f>IF(L3980&lt;1,1,L3980)</f>
        <v>2.7284805153939152</v>
      </c>
      <c r="N3980" s="70" t="s">
        <v>141</v>
      </c>
      <c r="O3980" s="71">
        <f>INDEX(DurClassMapping,MATCH(M3980,MappingTables!$D$4:$D$8,-1),1)</f>
        <v>1</v>
      </c>
      <c r="P3980" s="73">
        <f>IF(M3980=$A$1,1,$M3980-INDEX(MappingTables!$E$4:$E$8,MATCH(O3980,MappingTables!$B$4:$B$8,0)))</f>
        <v>2.7284805153939152</v>
      </c>
      <c r="Q3980" s="71">
        <f>IF(B3980="",0,INDEX(ModelParameters!$D$6:$K$10,MATCH($O3980,ModelParameters!$B$6:$B$10,0),MATCH($J3980,ModelParameters!$D$5:$K$5,0)))</f>
        <v>0.03</v>
      </c>
      <c r="R3980" s="71">
        <f>IF(B3980="",0,INDEX(ModelParameters!$D$13:$K$17,MATCH($O3980,ModelParameters!$B$13:$B$17,0),MATCH($J3980,ModelParameters!$D$5:$K$5,0)))</f>
        <v>0</v>
      </c>
      <c r="S3980" s="160">
        <f>IF(B3980="",0,MIN(IF($N3980="Other Bond TM",ModelParameters!$N$21,1)*(P3980*Q3980+R3980),1))</f>
        <v>0.081854415461817456</v>
      </c>
      <c r="T3980" s="85">
        <f>IF(B3980="",0,$S3980*$K3980)</f>
        <v>1102.6160054930812</v>
      </c>
      <c r="U3980" s="85">
        <f>IF(B3980="",0,IF(OR(H3980=MappingTables!$C$34,H3980=MappingTables!$C$35),T3980,0))</f>
        <v>0</v>
      </c>
      <c r="V3980" s="85">
        <f>IF(ISNA(IF(AND(VLOOKUP(CONCATENATE($D3980,$G3980),CSRFinput!$B:$E,4,0)=0,OR(H3980=MappingTables!$C$34,H3980=MappingTables!$C$35)),1,VLOOKUP(CONCATENATE($D3980,$G3980),CSRFinput!$B:$E,4,0))),0,IF(AND(VLOOKUP(CONCATENATE($D3980,$G3980),CSRFinput!$B:$E,4,0)=0,OR(H3980=MappingTables!$C$34,H3980=MappingTables!$C$35)),1,VLOOKUP(CONCATENATE($D3980,$G3980),CSRFinput!$B:$E,4,0)))</f>
        <v>0.054776304963434752</v>
      </c>
      <c r="W3980" s="85">
        <f>IF(B3980="",0,+$T3980*$V3980)</f>
        <v>60.397230574453264</v>
      </c>
      <c r="X3980" s="85">
        <f>IF(B3980="",0,IF(OR(H3980=MappingTables!$C$34,H3980=MappingTables!$C$35),W3980,0))</f>
        <v>0</v>
      </c>
    </row>
    <row r="3981" spans="2:24" s="0" customFormat="0" ht="15">
      <c r="B3981" s="69">
        <v>13200186</v>
      </c>
      <c r="C3981" s="70" t="s">
        <v>778</v>
      </c>
      <c r="D3981" s="70" t="s">
        <v>1</v>
      </c>
      <c r="E3981" s="70" t="s">
        <v>1</v>
      </c>
      <c r="F3981" s="70"/>
      <c r="G3981" s="70" t="s">
        <v>61</v>
      </c>
      <c r="H3981" s="70" t="s">
        <v>178</v>
      </c>
      <c r="I3981" s="70" t="s">
        <v>188</v>
      </c>
      <c r="J3981" s="71">
        <f>IF(OR(I3981=0,I3981=""),"unrated",VLOOKUP(I3981,MappingTables!$B$19:$C$31,2,FALSE))</f>
        <v>2</v>
      </c>
      <c r="K3981" s="72">
        <v>848.02141702964528</v>
      </c>
      <c r="L3981" s="70">
        <v>0.93760213740664576</v>
      </c>
      <c r="M3981" s="71">
        <f>IF(L3981&lt;1,1,L3981)</f>
        <v>1</v>
      </c>
      <c r="N3981" s="70" t="s">
        <v>141</v>
      </c>
      <c r="O3981" s="71">
        <f>INDEX(DurClassMapping,MATCH(M3981,MappingTables!$D$4:$D$8,-1),1)</f>
        <v>1</v>
      </c>
      <c r="P3981" s="73">
        <f>IF(M3981=$A$1,1,$M3981-INDEX(MappingTables!$E$4:$E$8,MATCH(O3981,MappingTables!$B$4:$B$8,0)))</f>
        <v>1</v>
      </c>
      <c r="Q3981" s="71">
        <f>IF(B3981="",0,INDEX(ModelParameters!$D$6:$K$10,MATCH($O3981,ModelParameters!$B$6:$B$10,0),MATCH($J3981,ModelParameters!$D$5:$K$5,0)))</f>
        <v>0.013999999999999998</v>
      </c>
      <c r="R3981" s="71">
        <f>IF(B3981="",0,INDEX(ModelParameters!$D$13:$K$17,MATCH($O3981,ModelParameters!$B$13:$B$17,0),MATCH($J3981,ModelParameters!$D$5:$K$5,0)))</f>
        <v>0</v>
      </c>
      <c r="S3981" s="160">
        <f>IF(B3981="",0,MIN(IF($N3981="Other Bond TM",ModelParameters!$N$21,1)*(P3981*Q3981+R3981),1))</f>
        <v>0.013999999999999998</v>
      </c>
      <c r="T3981" s="85">
        <f>IF(B3981="",0,$S3981*$K3981)</f>
        <v>11.872299838415032</v>
      </c>
      <c r="U3981" s="85">
        <f>IF(B3981="",0,IF(OR(H3981=MappingTables!$C$34,H3981=MappingTables!$C$35),T3981,0))</f>
        <v>0</v>
      </c>
      <c r="V3981" s="85">
        <f>IF(ISNA(IF(AND(VLOOKUP(CONCATENATE($D3981,$G3981),CSRFinput!$B:$E,4,0)=0,OR(H3981=MappingTables!$C$34,H3981=MappingTables!$C$35)),1,VLOOKUP(CONCATENATE($D3981,$G3981),CSRFinput!$B:$E,4,0))),0,IF(AND(VLOOKUP(CONCATENATE($D3981,$G3981),CSRFinput!$B:$E,4,0)=0,OR(H3981=MappingTables!$C$34,H3981=MappingTables!$C$35)),1,VLOOKUP(CONCATENATE($D3981,$G3981),CSRFinput!$B:$E,4,0)))</f>
        <v>0.054776304963434752</v>
      </c>
      <c r="W3981" s="85">
        <f>IF(B3981="",0,+$T3981*$V3981)</f>
        <v>0.65032071656635896</v>
      </c>
      <c r="X3981" s="85">
        <f>IF(B3981="",0,IF(OR(H3981=MappingTables!$C$34,H3981=MappingTables!$C$35),W3981,0))</f>
        <v>0</v>
      </c>
    </row>
    <row r="3982" spans="2:24" s="0" customFormat="0" ht="15">
      <c r="B3982" s="69">
        <v>18657665</v>
      </c>
      <c r="C3982" s="70" t="s">
        <v>2759</v>
      </c>
      <c r="D3982" s="70" t="s">
        <v>1</v>
      </c>
      <c r="E3982" s="70" t="s">
        <v>1</v>
      </c>
      <c r="F3982" s="70"/>
      <c r="G3982" s="70" t="s">
        <v>61</v>
      </c>
      <c r="H3982" s="70" t="s">
        <v>178</v>
      </c>
      <c r="I3982" s="70" t="s">
        <v>181</v>
      </c>
      <c r="J3982" s="71">
        <f>IF(OR(I3982=0,I3982=""),"unrated",VLOOKUP(I3982,MappingTables!$B$19:$C$31,2,FALSE))</f>
        <v>3</v>
      </c>
      <c r="K3982" s="72">
        <v>8835.0907462805856</v>
      </c>
      <c r="L3982" s="70">
        <v>0.94039520587306208</v>
      </c>
      <c r="M3982" s="71">
        <f>IF(L3982&lt;1,1,L3982)</f>
        <v>1</v>
      </c>
      <c r="N3982" s="70" t="s">
        <v>141</v>
      </c>
      <c r="O3982" s="71">
        <f>INDEX(DurClassMapping,MATCH(M3982,MappingTables!$D$4:$D$8,-1),1)</f>
        <v>1</v>
      </c>
      <c r="P3982" s="73">
        <f>IF(M3982=$A$1,1,$M3982-INDEX(MappingTables!$E$4:$E$8,MATCH(O3982,MappingTables!$B$4:$B$8,0)))</f>
        <v>1</v>
      </c>
      <c r="Q3982" s="71">
        <f>IF(B3982="",0,INDEX(ModelParameters!$D$6:$K$10,MATCH($O3982,ModelParameters!$B$6:$B$10,0),MATCH($J3982,ModelParameters!$D$5:$K$5,0)))</f>
        <v>0.025</v>
      </c>
      <c r="R3982" s="71">
        <f>IF(B3982="",0,INDEX(ModelParameters!$D$13:$K$17,MATCH($O3982,ModelParameters!$B$13:$B$17,0),MATCH($J3982,ModelParameters!$D$5:$K$5,0)))</f>
        <v>0</v>
      </c>
      <c r="S3982" s="160">
        <f>IF(B3982="",0,MIN(IF($N3982="Other Bond TM",ModelParameters!$N$21,1)*(P3982*Q3982+R3982),1))</f>
        <v>0.025</v>
      </c>
      <c r="T3982" s="85">
        <f>IF(B3982="",0,$S3982*$K3982)</f>
        <v>220.87726865701468</v>
      </c>
      <c r="U3982" s="85">
        <f>IF(B3982="",0,IF(OR(H3982=MappingTables!$C$34,H3982=MappingTables!$C$35),T3982,0))</f>
        <v>0</v>
      </c>
      <c r="V3982" s="85">
        <f>IF(ISNA(IF(AND(VLOOKUP(CONCATENATE($D3982,$G3982),CSRFinput!$B:$E,4,0)=0,OR(H3982=MappingTables!$C$34,H3982=MappingTables!$C$35)),1,VLOOKUP(CONCATENATE($D3982,$G3982),CSRFinput!$B:$E,4,0))),0,IF(AND(VLOOKUP(CONCATENATE($D3982,$G3982),CSRFinput!$B:$E,4,0)=0,OR(H3982=MappingTables!$C$34,H3982=MappingTables!$C$35)),1,VLOOKUP(CONCATENATE($D3982,$G3982),CSRFinput!$B:$E,4,0)))</f>
        <v>0.054776304963434752</v>
      </c>
      <c r="W3982" s="85">
        <f>IF(B3982="",0,+$T3982*$V3982)</f>
        <v>12.098840627447144</v>
      </c>
      <c r="X3982" s="85">
        <f>IF(B3982="",0,IF(OR(H3982=MappingTables!$C$34,H3982=MappingTables!$C$35),W3982,0))</f>
        <v>0</v>
      </c>
    </row>
    <row r="3983" spans="2:24" s="0" customFormat="0" ht="15">
      <c r="B3983" s="69" t="s">
        <v>2832</v>
      </c>
      <c r="C3983" s="70" t="s">
        <v>2833</v>
      </c>
      <c r="D3983" s="70" t="s">
        <v>1</v>
      </c>
      <c r="E3983" s="70" t="s">
        <v>1</v>
      </c>
      <c r="F3983" s="70"/>
      <c r="G3983" s="70" t="s">
        <v>61</v>
      </c>
      <c r="H3983" s="70" t="s">
        <v>178</v>
      </c>
      <c r="I3983" s="70" t="s">
        <v>184</v>
      </c>
      <c r="J3983" s="71">
        <f>IF(OR(I3983=0,I3983=""),"unrated",VLOOKUP(I3983,MappingTables!$B$19:$C$31,2,FALSE))</f>
        <v>5</v>
      </c>
      <c r="K3983" s="72">
        <v>27814.208911163028</v>
      </c>
      <c r="L3983" s="70">
        <v>4.419117548867064</v>
      </c>
      <c r="M3983" s="71">
        <f>IF(L3983&lt;1,1,L3983)</f>
        <v>4.419117548867064</v>
      </c>
      <c r="N3983" s="70" t="s">
        <v>141</v>
      </c>
      <c r="O3983" s="71">
        <f>INDEX(DurClassMapping,MATCH(M3983,MappingTables!$D$4:$D$8,-1),1)</f>
        <v>1</v>
      </c>
      <c r="P3983" s="73">
        <f>IF(M3983=$A$1,1,$M3983-INDEX(MappingTables!$E$4:$E$8,MATCH(O3983,MappingTables!$B$4:$B$8,0)))</f>
        <v>4.419117548867064</v>
      </c>
      <c r="Q3983" s="71">
        <f>IF(B3983="",0,INDEX(ModelParameters!$D$6:$K$10,MATCH($O3983,ModelParameters!$B$6:$B$10,0),MATCH($J3983,ModelParameters!$D$5:$K$5,0)))</f>
        <v>0.075</v>
      </c>
      <c r="R3983" s="71">
        <f>IF(B3983="",0,INDEX(ModelParameters!$D$13:$K$17,MATCH($O3983,ModelParameters!$B$13:$B$17,0),MATCH($J3983,ModelParameters!$D$5:$K$5,0)))</f>
        <v>0</v>
      </c>
      <c r="S3983" s="160">
        <f>IF(B3983="",0,MIN(IF($N3983="Other Bond TM",ModelParameters!$N$21,1)*(P3983*Q3983+R3983),1))</f>
        <v>0.33143381616502976</v>
      </c>
      <c r="T3983" s="85">
        <f>IF(B3983="",0,$S3983*$K3983)</f>
        <v>9218.5694030381376</v>
      </c>
      <c r="U3983" s="85">
        <f>IF(B3983="",0,IF(OR(H3983=MappingTables!$C$34,H3983=MappingTables!$C$35),T3983,0))</f>
        <v>0</v>
      </c>
      <c r="V3983" s="85">
        <f>IF(ISNA(IF(AND(VLOOKUP(CONCATENATE($D3983,$G3983),CSRFinput!$B:$E,4,0)=0,OR(H3983=MappingTables!$C$34,H3983=MappingTables!$C$35)),1,VLOOKUP(CONCATENATE($D3983,$G3983),CSRFinput!$B:$E,4,0))),0,IF(AND(VLOOKUP(CONCATENATE($D3983,$G3983),CSRFinput!$B:$E,4,0)=0,OR(H3983=MappingTables!$C$34,H3983=MappingTables!$C$35)),1,VLOOKUP(CONCATENATE($D3983,$G3983),CSRFinput!$B:$E,4,0)))</f>
        <v>0.054776304963434752</v>
      </c>
      <c r="W3983" s="85">
        <f>IF(B3983="",0,+$T3983*$V3983)</f>
        <v>504.95916894740568</v>
      </c>
      <c r="X3983" s="85">
        <f>IF(B3983="",0,IF(OR(H3983=MappingTables!$C$34,H3983=MappingTables!$C$35),W3983,0))</f>
        <v>0</v>
      </c>
    </row>
    <row r="3984" spans="2:24" s="0" customFormat="0" ht="15">
      <c r="B3984" s="69" t="s">
        <v>734</v>
      </c>
      <c r="C3984" s="70" t="s">
        <v>735</v>
      </c>
      <c r="D3984" s="70" t="s">
        <v>1</v>
      </c>
      <c r="E3984" s="70" t="s">
        <v>1</v>
      </c>
      <c r="F3984" s="70"/>
      <c r="G3984" s="70" t="s">
        <v>61</v>
      </c>
      <c r="H3984" s="70" t="s">
        <v>178</v>
      </c>
      <c r="I3984" s="70" t="s">
        <v>181</v>
      </c>
      <c r="J3984" s="71">
        <f>IF(OR(I3984=0,I3984=""),"unrated",VLOOKUP(I3984,MappingTables!$B$19:$C$31,2,FALSE))</f>
        <v>3</v>
      </c>
      <c r="K3984" s="72">
        <v>8.1986062096607152</v>
      </c>
      <c r="L3984" s="70">
        <v>1.1890431930890384</v>
      </c>
      <c r="M3984" s="71">
        <f>IF(L3984&lt;1,1,L3984)</f>
        <v>1.1890431930890384</v>
      </c>
      <c r="N3984" s="70" t="s">
        <v>141</v>
      </c>
      <c r="O3984" s="71">
        <f>INDEX(DurClassMapping,MATCH(M3984,MappingTables!$D$4:$D$8,-1),1)</f>
        <v>1</v>
      </c>
      <c r="P3984" s="73">
        <f>IF(M3984=$A$1,1,$M3984-INDEX(MappingTables!$E$4:$E$8,MATCH(O3984,MappingTables!$B$4:$B$8,0)))</f>
        <v>1.1890431930890384</v>
      </c>
      <c r="Q3984" s="71">
        <f>IF(B3984="",0,INDEX(ModelParameters!$D$6:$K$10,MATCH($O3984,ModelParameters!$B$6:$B$10,0),MATCH($J3984,ModelParameters!$D$5:$K$5,0)))</f>
        <v>0.025</v>
      </c>
      <c r="R3984" s="71">
        <f>IF(B3984="",0,INDEX(ModelParameters!$D$13:$K$17,MATCH($O3984,ModelParameters!$B$13:$B$17,0),MATCH($J3984,ModelParameters!$D$5:$K$5,0)))</f>
        <v>0</v>
      </c>
      <c r="S3984" s="160">
        <f>IF(B3984="",0,MIN(IF($N3984="Other Bond TM",ModelParameters!$N$21,1)*(P3984*Q3984+R3984),1))</f>
        <v>0.02972607982722596</v>
      </c>
      <c r="T3984" s="85">
        <f>IF(B3984="",0,$S3984*$K3984)</f>
        <v>0.24371242266036488</v>
      </c>
      <c r="U3984" s="85">
        <f>IF(B3984="",0,IF(OR(H3984=MappingTables!$C$34,H3984=MappingTables!$C$35),T3984,0))</f>
        <v>0</v>
      </c>
      <c r="V3984" s="85">
        <f>IF(ISNA(IF(AND(VLOOKUP(CONCATENATE($D3984,$G3984),CSRFinput!$B:$E,4,0)=0,OR(H3984=MappingTables!$C$34,H3984=MappingTables!$C$35)),1,VLOOKUP(CONCATENATE($D3984,$G3984),CSRFinput!$B:$E,4,0))),0,IF(AND(VLOOKUP(CONCATENATE($D3984,$G3984),CSRFinput!$B:$E,4,0)=0,OR(H3984=MappingTables!$C$34,H3984=MappingTables!$C$35)),1,VLOOKUP(CONCATENATE($D3984,$G3984),CSRFinput!$B:$E,4,0)))</f>
        <v>0.054776304963434752</v>
      </c>
      <c r="W3984" s="85">
        <f>IF(B3984="",0,+$T3984*$V3984)</f>
        <v>0.013349665987021654</v>
      </c>
      <c r="X3984" s="85">
        <f>IF(B3984="",0,IF(OR(H3984=MappingTables!$C$34,H3984=MappingTables!$C$35),W3984,0))</f>
        <v>0</v>
      </c>
    </row>
    <row r="3985" spans="2:24" s="0" customFormat="0" ht="15">
      <c r="B3985" s="69" t="s">
        <v>426</v>
      </c>
      <c r="C3985" s="70" t="s">
        <v>427</v>
      </c>
      <c r="D3985" s="70" t="s">
        <v>1</v>
      </c>
      <c r="E3985" s="70" t="s">
        <v>1</v>
      </c>
      <c r="F3985" s="70"/>
      <c r="G3985" s="70" t="s">
        <v>61</v>
      </c>
      <c r="H3985" s="70" t="s">
        <v>178</v>
      </c>
      <c r="I3985" s="70" t="s">
        <v>198</v>
      </c>
      <c r="J3985" s="71" t="str">
        <f>IF(OR(I3985=0,I3985=""),"unrated",VLOOKUP(I3985,MappingTables!$B$19:$C$31,2,FALSE))</f>
        <v>unrated</v>
      </c>
      <c r="K3985" s="72">
        <v>0.33001336340513228</v>
      </c>
      <c r="L3985" s="70">
        <v>0.28219209654633696</v>
      </c>
      <c r="M3985" s="71">
        <f>IF(L3985&lt;1,1,L3985)</f>
        <v>1</v>
      </c>
      <c r="N3985" s="70" t="s">
        <v>141</v>
      </c>
      <c r="O3985" s="71">
        <f>INDEX(DurClassMapping,MATCH(M3985,MappingTables!$D$4:$D$8,-1),1)</f>
        <v>1</v>
      </c>
      <c r="P3985" s="73">
        <f>IF(M3985=$A$1,1,$M3985-INDEX(MappingTables!$E$4:$E$8,MATCH(O3985,MappingTables!$B$4:$B$8,0)))</f>
        <v>1</v>
      </c>
      <c r="Q3985" s="71">
        <f>IF(B3985="",0,INDEX(ModelParameters!$D$6:$K$10,MATCH($O3985,ModelParameters!$B$6:$B$10,0),MATCH($J3985,ModelParameters!$D$5:$K$5,0)))</f>
        <v>0.03</v>
      </c>
      <c r="R3985" s="71">
        <f>IF(B3985="",0,INDEX(ModelParameters!$D$13:$K$17,MATCH($O3985,ModelParameters!$B$13:$B$17,0),MATCH($J3985,ModelParameters!$D$5:$K$5,0)))</f>
        <v>0</v>
      </c>
      <c r="S3985" s="160">
        <f>IF(B3985="",0,MIN(IF($N3985="Other Bond TM",ModelParameters!$N$21,1)*(P3985*Q3985+R3985),1))</f>
        <v>0.03</v>
      </c>
      <c r="T3985" s="85">
        <f>IF(B3985="",0,$S3985*$K3985)</f>
        <v>0.009900400902153968</v>
      </c>
      <c r="U3985" s="85">
        <f>IF(B3985="",0,IF(OR(H3985=MappingTables!$C$34,H3985=MappingTables!$C$35),T3985,0))</f>
        <v>0</v>
      </c>
      <c r="V3985" s="85">
        <f>IF(ISNA(IF(AND(VLOOKUP(CONCATENATE($D3985,$G3985),CSRFinput!$B:$E,4,0)=0,OR(H3985=MappingTables!$C$34,H3985=MappingTables!$C$35)),1,VLOOKUP(CONCATENATE($D3985,$G3985),CSRFinput!$B:$E,4,0))),0,IF(AND(VLOOKUP(CONCATENATE($D3985,$G3985),CSRFinput!$B:$E,4,0)=0,OR(H3985=MappingTables!$C$34,H3985=MappingTables!$C$35)),1,VLOOKUP(CONCATENATE($D3985,$G3985),CSRFinput!$B:$E,4,0)))</f>
        <v>0.054776304963434752</v>
      </c>
      <c r="W3985" s="85">
        <f>IF(B3985="",0,+$T3985*$V3985)</f>
        <v>0.00054230737907665032</v>
      </c>
      <c r="X3985" s="85">
        <f>IF(B3985="",0,IF(OR(H3985=MappingTables!$C$34,H3985=MappingTables!$C$35),W3985,0))</f>
        <v>0</v>
      </c>
    </row>
    <row r="3986" spans="2:24" s="0" customFormat="0" ht="15">
      <c r="B3986" s="69">
        <v>15888940</v>
      </c>
      <c r="C3986" s="70" t="s">
        <v>2709</v>
      </c>
      <c r="D3986" s="70" t="s">
        <v>1</v>
      </c>
      <c r="E3986" s="70" t="s">
        <v>1</v>
      </c>
      <c r="F3986" s="70"/>
      <c r="G3986" s="70" t="s">
        <v>61</v>
      </c>
      <c r="H3986" s="70" t="s">
        <v>178</v>
      </c>
      <c r="I3986" s="70" t="s">
        <v>181</v>
      </c>
      <c r="J3986" s="71">
        <f>IF(OR(I3986=0,I3986=""),"unrated",VLOOKUP(I3986,MappingTables!$B$19:$C$31,2,FALSE))</f>
        <v>3</v>
      </c>
      <c r="K3986" s="72">
        <v>8796.9115627272144</v>
      </c>
      <c r="L3986" s="70">
        <v>3.8496636935229968</v>
      </c>
      <c r="M3986" s="71">
        <f>IF(L3986&lt;1,1,L3986)</f>
        <v>3.8496636935229968</v>
      </c>
      <c r="N3986" s="70" t="s">
        <v>141</v>
      </c>
      <c r="O3986" s="71">
        <f>INDEX(DurClassMapping,MATCH(M3986,MappingTables!$D$4:$D$8,-1),1)</f>
        <v>1</v>
      </c>
      <c r="P3986" s="73">
        <f>IF(M3986=$A$1,1,$M3986-INDEX(MappingTables!$E$4:$E$8,MATCH(O3986,MappingTables!$B$4:$B$8,0)))</f>
        <v>3.8496636935229968</v>
      </c>
      <c r="Q3986" s="71">
        <f>IF(B3986="",0,INDEX(ModelParameters!$D$6:$K$10,MATCH($O3986,ModelParameters!$B$6:$B$10,0),MATCH($J3986,ModelParameters!$D$5:$K$5,0)))</f>
        <v>0.025</v>
      </c>
      <c r="R3986" s="71">
        <f>IF(B3986="",0,INDEX(ModelParameters!$D$13:$K$17,MATCH($O3986,ModelParameters!$B$13:$B$17,0),MATCH($J3986,ModelParameters!$D$5:$K$5,0)))</f>
        <v>0</v>
      </c>
      <c r="S3986" s="160">
        <f>IF(B3986="",0,MIN(IF($N3986="Other Bond TM",ModelParameters!$N$21,1)*(P3986*Q3986+R3986),1))</f>
        <v>0.096241592338074928</v>
      </c>
      <c r="T3986" s="85">
        <f>IF(B3986="",0,$S3986*$K3986)</f>
        <v>846.62877645409024</v>
      </c>
      <c r="U3986" s="85">
        <f>IF(B3986="",0,IF(OR(H3986=MappingTables!$C$34,H3986=MappingTables!$C$35),T3986,0))</f>
        <v>0</v>
      </c>
      <c r="V3986" s="85">
        <f>IF(ISNA(IF(AND(VLOOKUP(CONCATENATE($D3986,$G3986),CSRFinput!$B:$E,4,0)=0,OR(H3986=MappingTables!$C$34,H3986=MappingTables!$C$35)),1,VLOOKUP(CONCATENATE($D3986,$G3986),CSRFinput!$B:$E,4,0))),0,IF(AND(VLOOKUP(CONCATENATE($D3986,$G3986),CSRFinput!$B:$E,4,0)=0,OR(H3986=MappingTables!$C$34,H3986=MappingTables!$C$35)),1,VLOOKUP(CONCATENATE($D3986,$G3986),CSRFinput!$B:$E,4,0)))</f>
        <v>0.054776304963434752</v>
      </c>
      <c r="W3986" s="85">
        <f>IF(B3986="",0,+$T3986*$V3986)</f>
        <v>46.37519604986888</v>
      </c>
      <c r="X3986" s="85">
        <f>IF(B3986="",0,IF(OR(H3986=MappingTables!$C$34,H3986=MappingTables!$C$35),W3986,0))</f>
        <v>0</v>
      </c>
    </row>
    <row r="3987" spans="2:24" s="0" customFormat="0" ht="15">
      <c r="B3987" s="69">
        <v>21322737</v>
      </c>
      <c r="C3987" s="70" t="s">
        <v>2776</v>
      </c>
      <c r="D3987" s="70" t="s">
        <v>1</v>
      </c>
      <c r="E3987" s="70" t="s">
        <v>1</v>
      </c>
      <c r="F3987" s="70"/>
      <c r="G3987" s="70" t="s">
        <v>61</v>
      </c>
      <c r="H3987" s="70" t="s">
        <v>178</v>
      </c>
      <c r="I3987" s="70" t="s">
        <v>181</v>
      </c>
      <c r="J3987" s="71">
        <f>IF(OR(I3987=0,I3987=""),"unrated",VLOOKUP(I3987,MappingTables!$B$19:$C$31,2,FALSE))</f>
        <v>3</v>
      </c>
      <c r="K3987" s="72">
        <v>12817.568067086818</v>
      </c>
      <c r="L3987" s="70">
        <v>4.3144449817192152</v>
      </c>
      <c r="M3987" s="71">
        <f>IF(L3987&lt;1,1,L3987)</f>
        <v>4.3144449817192152</v>
      </c>
      <c r="N3987" s="70" t="s">
        <v>141</v>
      </c>
      <c r="O3987" s="71">
        <f>INDEX(DurClassMapping,MATCH(M3987,MappingTables!$D$4:$D$8,-1),1)</f>
        <v>1</v>
      </c>
      <c r="P3987" s="73">
        <f>IF(M3987=$A$1,1,$M3987-INDEX(MappingTables!$E$4:$E$8,MATCH(O3987,MappingTables!$B$4:$B$8,0)))</f>
        <v>4.3144449817192152</v>
      </c>
      <c r="Q3987" s="71">
        <f>IF(B3987="",0,INDEX(ModelParameters!$D$6:$K$10,MATCH($O3987,ModelParameters!$B$6:$B$10,0),MATCH($J3987,ModelParameters!$D$5:$K$5,0)))</f>
        <v>0.025</v>
      </c>
      <c r="R3987" s="71">
        <f>IF(B3987="",0,INDEX(ModelParameters!$D$13:$K$17,MATCH($O3987,ModelParameters!$B$13:$B$17,0),MATCH($J3987,ModelParameters!$D$5:$K$5,0)))</f>
        <v>0</v>
      </c>
      <c r="S3987" s="160">
        <f>IF(B3987="",0,MIN(IF($N3987="Other Bond TM",ModelParameters!$N$21,1)*(P3987*Q3987+R3987),1))</f>
        <v>0.10786112454298038</v>
      </c>
      <c r="T3987" s="85">
        <f>IF(B3987="",0,$S3987*$K3987)</f>
        <v>1382.5173056221798</v>
      </c>
      <c r="U3987" s="85">
        <f>IF(B3987="",0,IF(OR(H3987=MappingTables!$C$34,H3987=MappingTables!$C$35),T3987,0))</f>
        <v>0</v>
      </c>
      <c r="V3987" s="85">
        <f>IF(ISNA(IF(AND(VLOOKUP(CONCATENATE($D3987,$G3987),CSRFinput!$B:$E,4,0)=0,OR(H3987=MappingTables!$C$34,H3987=MappingTables!$C$35)),1,VLOOKUP(CONCATENATE($D3987,$G3987),CSRFinput!$B:$E,4,0))),0,IF(AND(VLOOKUP(CONCATENATE($D3987,$G3987),CSRFinput!$B:$E,4,0)=0,OR(H3987=MappingTables!$C$34,H3987=MappingTables!$C$35)),1,VLOOKUP(CONCATENATE($D3987,$G3987),CSRFinput!$B:$E,4,0)))</f>
        <v>0.054776304963434752</v>
      </c>
      <c r="W3987" s="85">
        <f>IF(B3987="",0,+$T3987*$V3987)</f>
        <v>75.72918954998664</v>
      </c>
      <c r="X3987" s="85">
        <f>IF(B3987="",0,IF(OR(H3987=MappingTables!$C$34,H3987=MappingTables!$C$35),W3987,0))</f>
        <v>0</v>
      </c>
    </row>
    <row r="3988" spans="2:24" s="0" customFormat="0" ht="15">
      <c r="B3988" s="69">
        <v>21054753</v>
      </c>
      <c r="C3988" s="70" t="s">
        <v>2936</v>
      </c>
      <c r="D3988" s="70" t="s">
        <v>1</v>
      </c>
      <c r="E3988" s="70" t="s">
        <v>1</v>
      </c>
      <c r="F3988" s="70"/>
      <c r="G3988" s="70" t="s">
        <v>61</v>
      </c>
      <c r="H3988" s="70" t="s">
        <v>178</v>
      </c>
      <c r="I3988" s="70" t="s">
        <v>179</v>
      </c>
      <c r="J3988" s="71">
        <f>IF(OR(I3988=0,I3988=""),"unrated",VLOOKUP(I3988,MappingTables!$B$19:$C$31,2,FALSE))</f>
        <v>4</v>
      </c>
      <c r="K3988" s="72">
        <v>27697.69185519048</v>
      </c>
      <c r="L3988" s="70">
        <v>3.8098975848183648</v>
      </c>
      <c r="M3988" s="71">
        <f>IF(L3988&lt;1,1,L3988)</f>
        <v>3.8098975848183648</v>
      </c>
      <c r="N3988" s="70" t="s">
        <v>141</v>
      </c>
      <c r="O3988" s="71">
        <f>INDEX(DurClassMapping,MATCH(M3988,MappingTables!$D$4:$D$8,-1),1)</f>
        <v>1</v>
      </c>
      <c r="P3988" s="73">
        <f>IF(M3988=$A$1,1,$M3988-INDEX(MappingTables!$E$4:$E$8,MATCH(O3988,MappingTables!$B$4:$B$8,0)))</f>
        <v>3.8098975848183648</v>
      </c>
      <c r="Q3988" s="71">
        <f>IF(B3988="",0,INDEX(ModelParameters!$D$6:$K$10,MATCH($O3988,ModelParameters!$B$6:$B$10,0),MATCH($J3988,ModelParameters!$D$5:$K$5,0)))</f>
        <v>0.045</v>
      </c>
      <c r="R3988" s="71">
        <f>IF(B3988="",0,INDEX(ModelParameters!$D$13:$K$17,MATCH($O3988,ModelParameters!$B$13:$B$17,0),MATCH($J3988,ModelParameters!$D$5:$K$5,0)))</f>
        <v>0</v>
      </c>
      <c r="S3988" s="160">
        <f>IF(B3988="",0,MIN(IF($N3988="Other Bond TM",ModelParameters!$N$21,1)*(P3988*Q3988+R3988),1))</f>
        <v>0.17144539131682642</v>
      </c>
      <c r="T3988" s="85">
        <f>IF(B3988="",0,$S3988*$K3988)</f>
        <v>4748.6416186860088</v>
      </c>
      <c r="U3988" s="85">
        <f>IF(B3988="",0,IF(OR(H3988=MappingTables!$C$34,H3988=MappingTables!$C$35),T3988,0))</f>
        <v>0</v>
      </c>
      <c r="V3988" s="85">
        <f>IF(ISNA(IF(AND(VLOOKUP(CONCATENATE($D3988,$G3988),CSRFinput!$B:$E,4,0)=0,OR(H3988=MappingTables!$C$34,H3988=MappingTables!$C$35)),1,VLOOKUP(CONCATENATE($D3988,$G3988),CSRFinput!$B:$E,4,0))),0,IF(AND(VLOOKUP(CONCATENATE($D3988,$G3988),CSRFinput!$B:$E,4,0)=0,OR(H3988=MappingTables!$C$34,H3988=MappingTables!$C$35)),1,VLOOKUP(CONCATENATE($D3988,$G3988),CSRFinput!$B:$E,4,0)))</f>
        <v>0.054776304963434752</v>
      </c>
      <c r="W3988" s="85">
        <f>IF(B3988="",0,+$T3988*$V3988)</f>
        <v>260.11304146720328</v>
      </c>
      <c r="X3988" s="85">
        <f>IF(B3988="",0,IF(OR(H3988=MappingTables!$C$34,H3988=MappingTables!$C$35),W3988,0))</f>
        <v>0</v>
      </c>
    </row>
    <row r="3989" spans="2:24" s="0" customFormat="0" ht="15">
      <c r="B3989" s="69">
        <v>16627758</v>
      </c>
      <c r="C3989" s="70" t="s">
        <v>2841</v>
      </c>
      <c r="D3989" s="70" t="s">
        <v>1</v>
      </c>
      <c r="E3989" s="70" t="s">
        <v>1</v>
      </c>
      <c r="F3989" s="70"/>
      <c r="G3989" s="70" t="s">
        <v>61</v>
      </c>
      <c r="H3989" s="70" t="s">
        <v>178</v>
      </c>
      <c r="I3989" s="70" t="s">
        <v>181</v>
      </c>
      <c r="J3989" s="71">
        <f>IF(OR(I3989=0,I3989=""),"unrated",VLOOKUP(I3989,MappingTables!$B$19:$C$31,2,FALSE))</f>
        <v>3</v>
      </c>
      <c r="K3989" s="72">
        <v>1239.2506935682952</v>
      </c>
      <c r="L3989" s="70">
        <v>0.34794546610675252</v>
      </c>
      <c r="M3989" s="71">
        <f>IF(L3989&lt;1,1,L3989)</f>
        <v>1</v>
      </c>
      <c r="N3989" s="70" t="s">
        <v>141</v>
      </c>
      <c r="O3989" s="71">
        <f>INDEX(DurClassMapping,MATCH(M3989,MappingTables!$D$4:$D$8,-1),1)</f>
        <v>1</v>
      </c>
      <c r="P3989" s="73">
        <f>IF(M3989=$A$1,1,$M3989-INDEX(MappingTables!$E$4:$E$8,MATCH(O3989,MappingTables!$B$4:$B$8,0)))</f>
        <v>1</v>
      </c>
      <c r="Q3989" s="71">
        <f>IF(B3989="",0,INDEX(ModelParameters!$D$6:$K$10,MATCH($O3989,ModelParameters!$B$6:$B$10,0),MATCH($J3989,ModelParameters!$D$5:$K$5,0)))</f>
        <v>0.025</v>
      </c>
      <c r="R3989" s="71">
        <f>IF(B3989="",0,INDEX(ModelParameters!$D$13:$K$17,MATCH($O3989,ModelParameters!$B$13:$B$17,0),MATCH($J3989,ModelParameters!$D$5:$K$5,0)))</f>
        <v>0</v>
      </c>
      <c r="S3989" s="160">
        <f>IF(B3989="",0,MIN(IF($N3989="Other Bond TM",ModelParameters!$N$21,1)*(P3989*Q3989+R3989),1))</f>
        <v>0.025</v>
      </c>
      <c r="T3989" s="85">
        <f>IF(B3989="",0,$S3989*$K3989)</f>
        <v>30.98126733920738</v>
      </c>
      <c r="U3989" s="85">
        <f>IF(B3989="",0,IF(OR(H3989=MappingTables!$C$34,H3989=MappingTables!$C$35),T3989,0))</f>
        <v>0</v>
      </c>
      <c r="V3989" s="85">
        <f>IF(ISNA(IF(AND(VLOOKUP(CONCATENATE($D3989,$G3989),CSRFinput!$B:$E,4,0)=0,OR(H3989=MappingTables!$C$34,H3989=MappingTables!$C$35)),1,VLOOKUP(CONCATENATE($D3989,$G3989),CSRFinput!$B:$E,4,0))),0,IF(AND(VLOOKUP(CONCATENATE($D3989,$G3989),CSRFinput!$B:$E,4,0)=0,OR(H3989=MappingTables!$C$34,H3989=MappingTables!$C$35)),1,VLOOKUP(CONCATENATE($D3989,$G3989),CSRFinput!$B:$E,4,0)))</f>
        <v>0.054776304963434752</v>
      </c>
      <c r="W3989" s="85">
        <f>IF(B3989="",0,+$T3989*$V3989)</f>
        <v>1.6970393479261244</v>
      </c>
      <c r="X3989" s="85">
        <f>IF(B3989="",0,IF(OR(H3989=MappingTables!$C$34,H3989=MappingTables!$C$35),W3989,0))</f>
        <v>0</v>
      </c>
    </row>
    <row r="3990" spans="2:24" s="0" customFormat="0" ht="15">
      <c r="B3990" s="69">
        <v>7509056</v>
      </c>
      <c r="C3990" s="70" t="s">
        <v>2528</v>
      </c>
      <c r="D3990" s="70" t="s">
        <v>1</v>
      </c>
      <c r="E3990" s="70" t="s">
        <v>1</v>
      </c>
      <c r="F3990" s="70"/>
      <c r="G3990" s="70" t="s">
        <v>61</v>
      </c>
      <c r="H3990" s="70" t="s">
        <v>178</v>
      </c>
      <c r="I3990" s="70" t="s">
        <v>179</v>
      </c>
      <c r="J3990" s="71">
        <f>IF(OR(I3990=0,I3990=""),"unrated",VLOOKUP(I3990,MappingTables!$B$19:$C$31,2,FALSE))</f>
        <v>4</v>
      </c>
      <c r="K3990" s="72">
        <v>6395.2991033716472</v>
      </c>
      <c r="L3990" s="70">
        <v>4.1065374893636192</v>
      </c>
      <c r="M3990" s="71">
        <f>IF(L3990&lt;1,1,L3990)</f>
        <v>4.1065374893636192</v>
      </c>
      <c r="N3990" s="70" t="s">
        <v>141</v>
      </c>
      <c r="O3990" s="71">
        <f>INDEX(DurClassMapping,MATCH(M3990,MappingTables!$D$4:$D$8,-1),1)</f>
        <v>1</v>
      </c>
      <c r="P3990" s="73">
        <f>IF(M3990=$A$1,1,$M3990-INDEX(MappingTables!$E$4:$E$8,MATCH(O3990,MappingTables!$B$4:$B$8,0)))</f>
        <v>4.1065374893636192</v>
      </c>
      <c r="Q3990" s="71">
        <f>IF(B3990="",0,INDEX(ModelParameters!$D$6:$K$10,MATCH($O3990,ModelParameters!$B$6:$B$10,0),MATCH($J3990,ModelParameters!$D$5:$K$5,0)))</f>
        <v>0.045</v>
      </c>
      <c r="R3990" s="71">
        <f>IF(B3990="",0,INDEX(ModelParameters!$D$13:$K$17,MATCH($O3990,ModelParameters!$B$13:$B$17,0),MATCH($J3990,ModelParameters!$D$5:$K$5,0)))</f>
        <v>0</v>
      </c>
      <c r="S3990" s="160">
        <f>IF(B3990="",0,MIN(IF($N3990="Other Bond TM",ModelParameters!$N$21,1)*(P3990*Q3990+R3990),1))</f>
        <v>0.18479418702136284</v>
      </c>
      <c r="T3990" s="85">
        <f>IF(B3990="",0,$S3990*$K3990)</f>
        <v>1181.8140985660144</v>
      </c>
      <c r="U3990" s="85">
        <f>IF(B3990="",0,IF(OR(H3990=MappingTables!$C$34,H3990=MappingTables!$C$35),T3990,0))</f>
        <v>0</v>
      </c>
      <c r="V3990" s="85">
        <f>IF(ISNA(IF(AND(VLOOKUP(CONCATENATE($D3990,$G3990),CSRFinput!$B:$E,4,0)=0,OR(H3990=MappingTables!$C$34,H3990=MappingTables!$C$35)),1,VLOOKUP(CONCATENATE($D3990,$G3990),CSRFinput!$B:$E,4,0))),0,IF(AND(VLOOKUP(CONCATENATE($D3990,$G3990),CSRFinput!$B:$E,4,0)=0,OR(H3990=MappingTables!$C$34,H3990=MappingTables!$C$35)),1,VLOOKUP(CONCATENATE($D3990,$G3990),CSRFinput!$B:$E,4,0)))</f>
        <v>0.054776304963434752</v>
      </c>
      <c r="W3990" s="85">
        <f>IF(B3990="",0,+$T3990*$V3990)</f>
        <v>64.735409473138744</v>
      </c>
      <c r="X3990" s="85">
        <f>IF(B3990="",0,IF(OR(H3990=MappingTables!$C$34,H3990=MappingTables!$C$35),W3990,0))</f>
        <v>0</v>
      </c>
    </row>
    <row r="3991" spans="2:24" s="0" customFormat="0" ht="15">
      <c r="B3991" s="69" t="s">
        <v>1456</v>
      </c>
      <c r="C3991" s="70" t="s">
        <v>1457</v>
      </c>
      <c r="D3991" s="70" t="s">
        <v>1</v>
      </c>
      <c r="E3991" s="70" t="s">
        <v>1</v>
      </c>
      <c r="F3991" s="70"/>
      <c r="G3991" s="70" t="s">
        <v>61</v>
      </c>
      <c r="H3991" s="70" t="s">
        <v>178</v>
      </c>
      <c r="I3991" s="70" t="s">
        <v>198</v>
      </c>
      <c r="J3991" s="71" t="str">
        <f>IF(OR(I3991=0,I3991=""),"unrated",VLOOKUP(I3991,MappingTables!$B$19:$C$31,2,FALSE))</f>
        <v>unrated</v>
      </c>
      <c r="K3991" s="72">
        <v>0.10386103877705078</v>
      </c>
      <c r="L3991" s="70">
        <v>0.13424624022018298</v>
      </c>
      <c r="M3991" s="71">
        <f>IF(L3991&lt;1,1,L3991)</f>
        <v>1</v>
      </c>
      <c r="N3991" s="70" t="s">
        <v>141</v>
      </c>
      <c r="O3991" s="71">
        <f>INDEX(DurClassMapping,MATCH(M3991,MappingTables!$D$4:$D$8,-1),1)</f>
        <v>1</v>
      </c>
      <c r="P3991" s="73">
        <f>IF(M3991=$A$1,1,$M3991-INDEX(MappingTables!$E$4:$E$8,MATCH(O3991,MappingTables!$B$4:$B$8,0)))</f>
        <v>1</v>
      </c>
      <c r="Q3991" s="71">
        <f>IF(B3991="",0,INDEX(ModelParameters!$D$6:$K$10,MATCH($O3991,ModelParameters!$B$6:$B$10,0),MATCH($J3991,ModelParameters!$D$5:$K$5,0)))</f>
        <v>0.03</v>
      </c>
      <c r="R3991" s="71">
        <f>IF(B3991="",0,INDEX(ModelParameters!$D$13:$K$17,MATCH($O3991,ModelParameters!$B$13:$B$17,0),MATCH($J3991,ModelParameters!$D$5:$K$5,0)))</f>
        <v>0</v>
      </c>
      <c r="S3991" s="160">
        <f>IF(B3991="",0,MIN(IF($N3991="Other Bond TM",ModelParameters!$N$21,1)*(P3991*Q3991+R3991),1))</f>
        <v>0.03</v>
      </c>
      <c r="T3991" s="85">
        <f>IF(B3991="",0,$S3991*$K3991)</f>
        <v>0.0031158311633115236</v>
      </c>
      <c r="U3991" s="85">
        <f>IF(B3991="",0,IF(OR(H3991=MappingTables!$C$34,H3991=MappingTables!$C$35),T3991,0))</f>
        <v>0</v>
      </c>
      <c r="V3991" s="85">
        <f>IF(ISNA(IF(AND(VLOOKUP(CONCATENATE($D3991,$G3991),CSRFinput!$B:$E,4,0)=0,OR(H3991=MappingTables!$C$34,H3991=MappingTables!$C$35)),1,VLOOKUP(CONCATENATE($D3991,$G3991),CSRFinput!$B:$E,4,0))),0,IF(AND(VLOOKUP(CONCATENATE($D3991,$G3991),CSRFinput!$B:$E,4,0)=0,OR(H3991=MappingTables!$C$34,H3991=MappingTables!$C$35)),1,VLOOKUP(CONCATENATE($D3991,$G3991),CSRFinput!$B:$E,4,0)))</f>
        <v>0.054776304963434752</v>
      </c>
      <c r="W3991" s="85">
        <f>IF(B3991="",0,+$T3991*$V3991)</f>
        <v>0.00017067371801612568</v>
      </c>
      <c r="X3991" s="85">
        <f>IF(B3991="",0,IF(OR(H3991=MappingTables!$C$34,H3991=MappingTables!$C$35),W3991,0))</f>
        <v>0</v>
      </c>
    </row>
    <row r="3992" spans="2:24" s="0" customFormat="0" ht="15">
      <c r="B3992" s="69">
        <v>12570444</v>
      </c>
      <c r="C3992" s="70" t="s">
        <v>1617</v>
      </c>
      <c r="D3992" s="70" t="s">
        <v>1</v>
      </c>
      <c r="E3992" s="70" t="s">
        <v>1</v>
      </c>
      <c r="F3992" s="70"/>
      <c r="G3992" s="70" t="s">
        <v>61</v>
      </c>
      <c r="H3992" s="70" t="s">
        <v>178</v>
      </c>
      <c r="I3992" s="70" t="s">
        <v>181</v>
      </c>
      <c r="J3992" s="71">
        <f>IF(OR(I3992=0,I3992=""),"unrated",VLOOKUP(I3992,MappingTables!$B$19:$C$31,2,FALSE))</f>
        <v>3</v>
      </c>
      <c r="K3992" s="72">
        <v>2987.0633146915672</v>
      </c>
      <c r="L3992" s="70">
        <v>0.7205513737959748</v>
      </c>
      <c r="M3992" s="71">
        <f>IF(L3992&lt;1,1,L3992)</f>
        <v>1</v>
      </c>
      <c r="N3992" s="70" t="s">
        <v>141</v>
      </c>
      <c r="O3992" s="71">
        <f>INDEX(DurClassMapping,MATCH(M3992,MappingTables!$D$4:$D$8,-1),1)</f>
        <v>1</v>
      </c>
      <c r="P3992" s="73">
        <f>IF(M3992=$A$1,1,$M3992-INDEX(MappingTables!$E$4:$E$8,MATCH(O3992,MappingTables!$B$4:$B$8,0)))</f>
        <v>1</v>
      </c>
      <c r="Q3992" s="71">
        <f>IF(B3992="",0,INDEX(ModelParameters!$D$6:$K$10,MATCH($O3992,ModelParameters!$B$6:$B$10,0),MATCH($J3992,ModelParameters!$D$5:$K$5,0)))</f>
        <v>0.025</v>
      </c>
      <c r="R3992" s="71">
        <f>IF(B3992="",0,INDEX(ModelParameters!$D$13:$K$17,MATCH($O3992,ModelParameters!$B$13:$B$17,0),MATCH($J3992,ModelParameters!$D$5:$K$5,0)))</f>
        <v>0</v>
      </c>
      <c r="S3992" s="160">
        <f>IF(B3992="",0,MIN(IF($N3992="Other Bond TM",ModelParameters!$N$21,1)*(P3992*Q3992+R3992),1))</f>
        <v>0.025</v>
      </c>
      <c r="T3992" s="85">
        <f>IF(B3992="",0,$S3992*$K3992)</f>
        <v>74.676582867289184</v>
      </c>
      <c r="U3992" s="85">
        <f>IF(B3992="",0,IF(OR(H3992=MappingTables!$C$34,H3992=MappingTables!$C$35),T3992,0))</f>
        <v>0</v>
      </c>
      <c r="V3992" s="85">
        <f>IF(ISNA(IF(AND(VLOOKUP(CONCATENATE($D3992,$G3992),CSRFinput!$B:$E,4,0)=0,OR(H3992=MappingTables!$C$34,H3992=MappingTables!$C$35)),1,VLOOKUP(CONCATENATE($D3992,$G3992),CSRFinput!$B:$E,4,0))),0,IF(AND(VLOOKUP(CONCATENATE($D3992,$G3992),CSRFinput!$B:$E,4,0)=0,OR(H3992=MappingTables!$C$34,H3992=MappingTables!$C$35)),1,VLOOKUP(CONCATENATE($D3992,$G3992),CSRFinput!$B:$E,4,0)))</f>
        <v>0.054776304963434752</v>
      </c>
      <c r="W3992" s="85">
        <f>IF(B3992="",0,+$T3992*$V3992)</f>
        <v>4.0905072767658392</v>
      </c>
      <c r="X3992" s="85">
        <f>IF(B3992="",0,IF(OR(H3992=MappingTables!$C$34,H3992=MappingTables!$C$35),W3992,0))</f>
        <v>0</v>
      </c>
    </row>
    <row r="3993" spans="2:24" s="0" customFormat="0" ht="15">
      <c r="B3993" s="69">
        <v>17829812</v>
      </c>
      <c r="C3993" s="70" t="s">
        <v>1960</v>
      </c>
      <c r="D3993" s="70" t="s">
        <v>1</v>
      </c>
      <c r="E3993" s="70" t="s">
        <v>1</v>
      </c>
      <c r="F3993" s="70"/>
      <c r="G3993" s="70" t="s">
        <v>61</v>
      </c>
      <c r="H3993" s="70" t="s">
        <v>178</v>
      </c>
      <c r="I3993" s="70" t="s">
        <v>179</v>
      </c>
      <c r="J3993" s="71">
        <f>IF(OR(I3993=0,I3993=""),"unrated",VLOOKUP(I3993,MappingTables!$B$19:$C$31,2,FALSE))</f>
        <v>4</v>
      </c>
      <c r="K3993" s="72">
        <v>271.41584260602612</v>
      </c>
      <c r="L3993" s="70">
        <v>0.7146972464947412</v>
      </c>
      <c r="M3993" s="71">
        <f>IF(L3993&lt;1,1,L3993)</f>
        <v>1</v>
      </c>
      <c r="N3993" s="70" t="s">
        <v>141</v>
      </c>
      <c r="O3993" s="71">
        <f>INDEX(DurClassMapping,MATCH(M3993,MappingTables!$D$4:$D$8,-1),1)</f>
        <v>1</v>
      </c>
      <c r="P3993" s="73">
        <f>IF(M3993=$A$1,1,$M3993-INDEX(MappingTables!$E$4:$E$8,MATCH(O3993,MappingTables!$B$4:$B$8,0)))</f>
        <v>1</v>
      </c>
      <c r="Q3993" s="71">
        <f>IF(B3993="",0,INDEX(ModelParameters!$D$6:$K$10,MATCH($O3993,ModelParameters!$B$6:$B$10,0),MATCH($J3993,ModelParameters!$D$5:$K$5,0)))</f>
        <v>0.045</v>
      </c>
      <c r="R3993" s="71">
        <f>IF(B3993="",0,INDEX(ModelParameters!$D$13:$K$17,MATCH($O3993,ModelParameters!$B$13:$B$17,0),MATCH($J3993,ModelParameters!$D$5:$K$5,0)))</f>
        <v>0</v>
      </c>
      <c r="S3993" s="160">
        <f>IF(B3993="",0,MIN(IF($N3993="Other Bond TM",ModelParameters!$N$21,1)*(P3993*Q3993+R3993),1))</f>
        <v>0.045</v>
      </c>
      <c r="T3993" s="85">
        <f>IF(B3993="",0,$S3993*$K3993)</f>
        <v>12.213712917271174</v>
      </c>
      <c r="U3993" s="85">
        <f>IF(B3993="",0,IF(OR(H3993=MappingTables!$C$34,H3993=MappingTables!$C$35),T3993,0))</f>
        <v>0</v>
      </c>
      <c r="V3993" s="85">
        <f>IF(ISNA(IF(AND(VLOOKUP(CONCATENATE($D3993,$G3993),CSRFinput!$B:$E,4,0)=0,OR(H3993=MappingTables!$C$34,H3993=MappingTables!$C$35)),1,VLOOKUP(CONCATENATE($D3993,$G3993),CSRFinput!$B:$E,4,0))),0,IF(AND(VLOOKUP(CONCATENATE($D3993,$G3993),CSRFinput!$B:$E,4,0)=0,OR(H3993=MappingTables!$C$34,H3993=MappingTables!$C$35)),1,VLOOKUP(CONCATENATE($D3993,$G3993),CSRFinput!$B:$E,4,0)))</f>
        <v>0.054776304963434752</v>
      </c>
      <c r="W3993" s="85">
        <f>IF(B3993="",0,+$T3993*$V3993)</f>
        <v>0.66902206349228824</v>
      </c>
      <c r="X3993" s="85">
        <f>IF(B3993="",0,IF(OR(H3993=MappingTables!$C$34,H3993=MappingTables!$C$35),W3993,0))</f>
        <v>0</v>
      </c>
    </row>
    <row r="3994" spans="2:24" s="0" customFormat="0" ht="15">
      <c r="B3994" s="69">
        <v>14685397</v>
      </c>
      <c r="C3994" s="70" t="s">
        <v>1859</v>
      </c>
      <c r="D3994" s="70" t="s">
        <v>1</v>
      </c>
      <c r="E3994" s="70" t="s">
        <v>1</v>
      </c>
      <c r="F3994" s="70"/>
      <c r="G3994" s="70" t="s">
        <v>61</v>
      </c>
      <c r="H3994" s="70" t="s">
        <v>178</v>
      </c>
      <c r="I3994" s="70" t="s">
        <v>179</v>
      </c>
      <c r="J3994" s="71">
        <f>IF(OR(I3994=0,I3994=""),"unrated",VLOOKUP(I3994,MappingTables!$B$19:$C$31,2,FALSE))</f>
        <v>4</v>
      </c>
      <c r="K3994" s="72">
        <v>1489.0353997798288</v>
      </c>
      <c r="L3994" s="70">
        <v>2.1223385663488828</v>
      </c>
      <c r="M3994" s="71">
        <f>IF(L3994&lt;1,1,L3994)</f>
        <v>2.1223385663488828</v>
      </c>
      <c r="N3994" s="70" t="s">
        <v>141</v>
      </c>
      <c r="O3994" s="71">
        <f>INDEX(DurClassMapping,MATCH(M3994,MappingTables!$D$4:$D$8,-1),1)</f>
        <v>1</v>
      </c>
      <c r="P3994" s="73">
        <f>IF(M3994=$A$1,1,$M3994-INDEX(MappingTables!$E$4:$E$8,MATCH(O3994,MappingTables!$B$4:$B$8,0)))</f>
        <v>2.1223385663488828</v>
      </c>
      <c r="Q3994" s="71">
        <f>IF(B3994="",0,INDEX(ModelParameters!$D$6:$K$10,MATCH($O3994,ModelParameters!$B$6:$B$10,0),MATCH($J3994,ModelParameters!$D$5:$K$5,0)))</f>
        <v>0.045</v>
      </c>
      <c r="R3994" s="71">
        <f>IF(B3994="",0,INDEX(ModelParameters!$D$13:$K$17,MATCH($O3994,ModelParameters!$B$13:$B$17,0),MATCH($J3994,ModelParameters!$D$5:$K$5,0)))</f>
        <v>0</v>
      </c>
      <c r="S3994" s="160">
        <f>IF(B3994="",0,MIN(IF($N3994="Other Bond TM",ModelParameters!$N$21,1)*(P3994*Q3994+R3994),1))</f>
        <v>0.095505235485699728</v>
      </c>
      <c r="T3994" s="85">
        <f>IF(B3994="",0,$S3994*$K3994)</f>
        <v>142.21067650251558</v>
      </c>
      <c r="U3994" s="85">
        <f>IF(B3994="",0,IF(OR(H3994=MappingTables!$C$34,H3994=MappingTables!$C$35),T3994,0))</f>
        <v>0</v>
      </c>
      <c r="V3994" s="85">
        <f>IF(ISNA(IF(AND(VLOOKUP(CONCATENATE($D3994,$G3994),CSRFinput!$B:$E,4,0)=0,OR(H3994=MappingTables!$C$34,H3994=MappingTables!$C$35)),1,VLOOKUP(CONCATENATE($D3994,$G3994),CSRFinput!$B:$E,4,0))),0,IF(AND(VLOOKUP(CONCATENATE($D3994,$G3994),CSRFinput!$B:$E,4,0)=0,OR(H3994=MappingTables!$C$34,H3994=MappingTables!$C$35)),1,VLOOKUP(CONCATENATE($D3994,$G3994),CSRFinput!$B:$E,4,0)))</f>
        <v>0.054776304963434752</v>
      </c>
      <c r="W3994" s="85">
        <f>IF(B3994="",0,+$T3994*$V3994)</f>
        <v>7.7897753851581584</v>
      </c>
      <c r="X3994" s="85">
        <f>IF(B3994="",0,IF(OR(H3994=MappingTables!$C$34,H3994=MappingTables!$C$35),W3994,0))</f>
        <v>0</v>
      </c>
    </row>
    <row r="3995" spans="2:24" s="0" customFormat="0" ht="15">
      <c r="B3995" s="69">
        <v>20233235</v>
      </c>
      <c r="C3995" s="70" t="s">
        <v>2797</v>
      </c>
      <c r="D3995" s="70" t="s">
        <v>1</v>
      </c>
      <c r="E3995" s="70" t="s">
        <v>1</v>
      </c>
      <c r="F3995" s="70"/>
      <c r="G3995" s="70" t="s">
        <v>61</v>
      </c>
      <c r="H3995" s="70" t="s">
        <v>178</v>
      </c>
      <c r="I3995" s="70" t="s">
        <v>188</v>
      </c>
      <c r="J3995" s="71">
        <f>IF(OR(I3995=0,I3995=""),"unrated",VLOOKUP(I3995,MappingTables!$B$19:$C$31,2,FALSE))</f>
        <v>2</v>
      </c>
      <c r="K3995" s="72">
        <v>2337.8671546238892</v>
      </c>
      <c r="L3995" s="70">
        <v>3.3230614197807832</v>
      </c>
      <c r="M3995" s="71">
        <f>IF(L3995&lt;1,1,L3995)</f>
        <v>3.3230614197807832</v>
      </c>
      <c r="N3995" s="70" t="s">
        <v>141</v>
      </c>
      <c r="O3995" s="71">
        <f>INDEX(DurClassMapping,MATCH(M3995,MappingTables!$D$4:$D$8,-1),1)</f>
        <v>1</v>
      </c>
      <c r="P3995" s="73">
        <f>IF(M3995=$A$1,1,$M3995-INDEX(MappingTables!$E$4:$E$8,MATCH(O3995,MappingTables!$B$4:$B$8,0)))</f>
        <v>3.3230614197807832</v>
      </c>
      <c r="Q3995" s="71">
        <f>IF(B3995="",0,INDEX(ModelParameters!$D$6:$K$10,MATCH($O3995,ModelParameters!$B$6:$B$10,0),MATCH($J3995,ModelParameters!$D$5:$K$5,0)))</f>
        <v>0.013999999999999998</v>
      </c>
      <c r="R3995" s="71">
        <f>IF(B3995="",0,INDEX(ModelParameters!$D$13:$K$17,MATCH($O3995,ModelParameters!$B$13:$B$17,0),MATCH($J3995,ModelParameters!$D$5:$K$5,0)))</f>
        <v>0</v>
      </c>
      <c r="S3995" s="160">
        <f>IF(B3995="",0,MIN(IF($N3995="Other Bond TM",ModelParameters!$N$21,1)*(P3995*Q3995+R3995),1))</f>
        <v>0.04652285987693096</v>
      </c>
      <c r="T3995" s="85">
        <f>IF(B3995="",0,$S3995*$K3995)</f>
        <v>108.7642660454465</v>
      </c>
      <c r="U3995" s="85">
        <f>IF(B3995="",0,IF(OR(H3995=MappingTables!$C$34,H3995=MappingTables!$C$35),T3995,0))</f>
        <v>0</v>
      </c>
      <c r="V3995" s="85">
        <f>IF(ISNA(IF(AND(VLOOKUP(CONCATENATE($D3995,$G3995),CSRFinput!$B:$E,4,0)=0,OR(H3995=MappingTables!$C$34,H3995=MappingTables!$C$35)),1,VLOOKUP(CONCATENATE($D3995,$G3995),CSRFinput!$B:$E,4,0))),0,IF(AND(VLOOKUP(CONCATENATE($D3995,$G3995),CSRFinput!$B:$E,4,0)=0,OR(H3995=MappingTables!$C$34,H3995=MappingTables!$C$35)),1,VLOOKUP(CONCATENATE($D3995,$G3995),CSRFinput!$B:$E,4,0)))</f>
        <v>0.054776304963434752</v>
      </c>
      <c r="W3995" s="85">
        <f>IF(B3995="",0,+$T3995*$V3995)</f>
        <v>5.9577046060295288</v>
      </c>
      <c r="X3995" s="85">
        <f>IF(B3995="",0,IF(OR(H3995=MappingTables!$C$34,H3995=MappingTables!$C$35),W3995,0))</f>
        <v>0</v>
      </c>
    </row>
    <row r="3996" spans="2:24" s="0" customFormat="0" ht="15">
      <c r="B3996" s="69">
        <v>21676070</v>
      </c>
      <c r="C3996" s="70" t="s">
        <v>2989</v>
      </c>
      <c r="D3996" s="70" t="s">
        <v>1</v>
      </c>
      <c r="E3996" s="70" t="s">
        <v>1</v>
      </c>
      <c r="F3996" s="70"/>
      <c r="G3996" s="70" t="s">
        <v>61</v>
      </c>
      <c r="H3996" s="70" t="s">
        <v>178</v>
      </c>
      <c r="I3996" s="70" t="s">
        <v>220</v>
      </c>
      <c r="J3996" s="71">
        <f>IF(OR(I3996=0,I3996=""),"unrated",VLOOKUP(I3996,MappingTables!$B$19:$C$31,2,FALSE))</f>
        <v>1</v>
      </c>
      <c r="K3996" s="72">
        <v>1005.7682160143048</v>
      </c>
      <c r="L3996" s="70">
        <v>0.94247990522655152</v>
      </c>
      <c r="M3996" s="71">
        <f>IF(L3996&lt;1,1,L3996)</f>
        <v>1</v>
      </c>
      <c r="N3996" s="70" t="s">
        <v>141</v>
      </c>
      <c r="O3996" s="71">
        <f>INDEX(DurClassMapping,MATCH(M3996,MappingTables!$D$4:$D$8,-1),1)</f>
        <v>1</v>
      </c>
      <c r="P3996" s="73">
        <f>IF(M3996=$A$1,1,$M3996-INDEX(MappingTables!$E$4:$E$8,MATCH(O3996,MappingTables!$B$4:$B$8,0)))</f>
        <v>1</v>
      </c>
      <c r="Q3996" s="71">
        <f>IF(B3996="",0,INDEX(ModelParameters!$D$6:$K$10,MATCH($O3996,ModelParameters!$B$6:$B$10,0),MATCH($J3996,ModelParameters!$D$5:$K$5,0)))</f>
        <v>0.011000000000000002</v>
      </c>
      <c r="R3996" s="71">
        <f>IF(B3996="",0,INDEX(ModelParameters!$D$13:$K$17,MATCH($O3996,ModelParameters!$B$13:$B$17,0),MATCH($J3996,ModelParameters!$D$5:$K$5,0)))</f>
        <v>0</v>
      </c>
      <c r="S3996" s="160">
        <f>IF(B3996="",0,MIN(IF($N3996="Other Bond TM",ModelParameters!$N$21,1)*(P3996*Q3996+R3996),1))</f>
        <v>0.011000000000000002</v>
      </c>
      <c r="T3996" s="85">
        <f>IF(B3996="",0,$S3996*$K3996)</f>
        <v>11.063450376157354</v>
      </c>
      <c r="U3996" s="85">
        <f>IF(B3996="",0,IF(OR(H3996=MappingTables!$C$34,H3996=MappingTables!$C$35),T3996,0))</f>
        <v>0</v>
      </c>
      <c r="V3996" s="85">
        <f>IF(ISNA(IF(AND(VLOOKUP(CONCATENATE($D3996,$G3996),CSRFinput!$B:$E,4,0)=0,OR(H3996=MappingTables!$C$34,H3996=MappingTables!$C$35)),1,VLOOKUP(CONCATENATE($D3996,$G3996),CSRFinput!$B:$E,4,0))),0,IF(AND(VLOOKUP(CONCATENATE($D3996,$G3996),CSRFinput!$B:$E,4,0)=0,OR(H3996=MappingTables!$C$34,H3996=MappingTables!$C$35)),1,VLOOKUP(CONCATENATE($D3996,$G3996),CSRFinput!$B:$E,4,0)))</f>
        <v>0.054776304963434752</v>
      </c>
      <c r="W3996" s="85">
        <f>IF(B3996="",0,+$T3996*$V3996)</f>
        <v>0.60601493175222208</v>
      </c>
      <c r="X3996" s="85">
        <f>IF(B3996="",0,IF(OR(H3996=MappingTables!$C$34,H3996=MappingTables!$C$35),W3996,0))</f>
        <v>0</v>
      </c>
    </row>
    <row r="3997" spans="2:24" s="0" customFormat="0" ht="15">
      <c r="B3997" s="69">
        <v>15449869</v>
      </c>
      <c r="C3997" s="70" t="s">
        <v>1759</v>
      </c>
      <c r="D3997" s="70" t="s">
        <v>1</v>
      </c>
      <c r="E3997" s="70" t="s">
        <v>1</v>
      </c>
      <c r="F3997" s="70"/>
      <c r="G3997" s="70" t="s">
        <v>61</v>
      </c>
      <c r="H3997" s="70" t="s">
        <v>178</v>
      </c>
      <c r="I3997" s="70" t="s">
        <v>181</v>
      </c>
      <c r="J3997" s="71">
        <f>IF(OR(I3997=0,I3997=""),"unrated",VLOOKUP(I3997,MappingTables!$B$19:$C$31,2,FALSE))</f>
        <v>3</v>
      </c>
      <c r="K3997" s="72">
        <v>305.52398881812756</v>
      </c>
      <c r="L3997" s="70">
        <v>0.12328932364587872</v>
      </c>
      <c r="M3997" s="71">
        <f>IF(L3997&lt;1,1,L3997)</f>
        <v>1</v>
      </c>
      <c r="N3997" s="70" t="s">
        <v>141</v>
      </c>
      <c r="O3997" s="71">
        <f>INDEX(DurClassMapping,MATCH(M3997,MappingTables!$D$4:$D$8,-1),1)</f>
        <v>1</v>
      </c>
      <c r="P3997" s="73">
        <f>IF(M3997=$A$1,1,$M3997-INDEX(MappingTables!$E$4:$E$8,MATCH(O3997,MappingTables!$B$4:$B$8,0)))</f>
        <v>1</v>
      </c>
      <c r="Q3997" s="71">
        <f>IF(B3997="",0,INDEX(ModelParameters!$D$6:$K$10,MATCH($O3997,ModelParameters!$B$6:$B$10,0),MATCH($J3997,ModelParameters!$D$5:$K$5,0)))</f>
        <v>0.025</v>
      </c>
      <c r="R3997" s="71">
        <f>IF(B3997="",0,INDEX(ModelParameters!$D$13:$K$17,MATCH($O3997,ModelParameters!$B$13:$B$17,0),MATCH($J3997,ModelParameters!$D$5:$K$5,0)))</f>
        <v>0</v>
      </c>
      <c r="S3997" s="160">
        <f>IF(B3997="",0,MIN(IF($N3997="Other Bond TM",ModelParameters!$N$21,1)*(P3997*Q3997+R3997),1))</f>
        <v>0.025</v>
      </c>
      <c r="T3997" s="85">
        <f>IF(B3997="",0,$S3997*$K3997)</f>
        <v>7.6380997204531904</v>
      </c>
      <c r="U3997" s="85">
        <f>IF(B3997="",0,IF(OR(H3997=MappingTables!$C$34,H3997=MappingTables!$C$35),T3997,0))</f>
        <v>0</v>
      </c>
      <c r="V3997" s="85">
        <f>IF(ISNA(IF(AND(VLOOKUP(CONCATENATE($D3997,$G3997),CSRFinput!$B:$E,4,0)=0,OR(H3997=MappingTables!$C$34,H3997=MappingTables!$C$35)),1,VLOOKUP(CONCATENATE($D3997,$G3997),CSRFinput!$B:$E,4,0))),0,IF(AND(VLOOKUP(CONCATENATE($D3997,$G3997),CSRFinput!$B:$E,4,0)=0,OR(H3997=MappingTables!$C$34,H3997=MappingTables!$C$35)),1,VLOOKUP(CONCATENATE($D3997,$G3997),CSRFinput!$B:$E,4,0)))</f>
        <v>0.054776304963434752</v>
      </c>
      <c r="W3997" s="85">
        <f>IF(B3997="",0,+$T3997*$V3997)</f>
        <v>0.41838687962866968</v>
      </c>
      <c r="X3997" s="85">
        <f>IF(B3997="",0,IF(OR(H3997=MappingTables!$C$34,H3997=MappingTables!$C$35),W3997,0))</f>
        <v>0</v>
      </c>
    </row>
    <row r="3998" spans="2:24" s="0" customFormat="0" ht="15">
      <c r="B3998" s="69" t="s">
        <v>1652</v>
      </c>
      <c r="C3998" s="70" t="s">
        <v>1653</v>
      </c>
      <c r="D3998" s="70" t="s">
        <v>1</v>
      </c>
      <c r="E3998" s="70" t="s">
        <v>1</v>
      </c>
      <c r="F3998" s="70"/>
      <c r="G3998" s="70" t="s">
        <v>61</v>
      </c>
      <c r="H3998" s="70" t="s">
        <v>178</v>
      </c>
      <c r="I3998" s="70" t="s">
        <v>513</v>
      </c>
      <c r="J3998" s="71">
        <f>IF(OR(I3998=0,I3998=""),"unrated",VLOOKUP(I3998,MappingTables!$B$19:$C$31,2,FALSE))</f>
        <v>6</v>
      </c>
      <c r="K3998" s="72">
        <v>141.50450446905802</v>
      </c>
      <c r="L3998" s="70">
        <v>0.087673326849480688</v>
      </c>
      <c r="M3998" s="71">
        <f>IF(L3998&lt;1,1,L3998)</f>
        <v>1</v>
      </c>
      <c r="N3998" s="70" t="s">
        <v>141</v>
      </c>
      <c r="O3998" s="71">
        <f>INDEX(DurClassMapping,MATCH(M3998,MappingTables!$D$4:$D$8,-1),1)</f>
        <v>1</v>
      </c>
      <c r="P3998" s="73">
        <f>IF(M3998=$A$1,1,$M3998-INDEX(MappingTables!$E$4:$E$8,MATCH(O3998,MappingTables!$B$4:$B$8,0)))</f>
        <v>1</v>
      </c>
      <c r="Q3998" s="71">
        <f>IF(B3998="",0,INDEX(ModelParameters!$D$6:$K$10,MATCH($O3998,ModelParameters!$B$6:$B$10,0),MATCH($J3998,ModelParameters!$D$5:$K$5,0)))</f>
        <v>0.075</v>
      </c>
      <c r="R3998" s="71">
        <f>IF(B3998="",0,INDEX(ModelParameters!$D$13:$K$17,MATCH($O3998,ModelParameters!$B$13:$B$17,0),MATCH($J3998,ModelParameters!$D$5:$K$5,0)))</f>
        <v>0</v>
      </c>
      <c r="S3998" s="160">
        <f>IF(B3998="",0,MIN(IF($N3998="Other Bond TM",ModelParameters!$N$21,1)*(P3998*Q3998+R3998),1))</f>
        <v>0.075</v>
      </c>
      <c r="T3998" s="85">
        <f>IF(B3998="",0,$S3998*$K3998)</f>
        <v>10.61283783517935</v>
      </c>
      <c r="U3998" s="85">
        <f>IF(B3998="",0,IF(OR(H3998=MappingTables!$C$34,H3998=MappingTables!$C$35),T3998,0))</f>
        <v>0</v>
      </c>
      <c r="V3998" s="85">
        <f>IF(ISNA(IF(AND(VLOOKUP(CONCATENATE($D3998,$G3998),CSRFinput!$B:$E,4,0)=0,OR(H3998=MappingTables!$C$34,H3998=MappingTables!$C$35)),1,VLOOKUP(CONCATENATE($D3998,$G3998),CSRFinput!$B:$E,4,0))),0,IF(AND(VLOOKUP(CONCATENATE($D3998,$G3998),CSRFinput!$B:$E,4,0)=0,OR(H3998=MappingTables!$C$34,H3998=MappingTables!$C$35)),1,VLOOKUP(CONCATENATE($D3998,$G3998),CSRFinput!$B:$E,4,0)))</f>
        <v>0.054776304963434752</v>
      </c>
      <c r="W3998" s="85">
        <f>IF(B3998="",0,+$T3998*$V3998)</f>
        <v>0.5813320417872628</v>
      </c>
      <c r="X3998" s="85">
        <f>IF(B3998="",0,IF(OR(H3998=MappingTables!$C$34,H3998=MappingTables!$C$35),W3998,0))</f>
        <v>0</v>
      </c>
    </row>
    <row r="3999" spans="2:24" s="0" customFormat="0" ht="15">
      <c r="B3999" s="69" t="s">
        <v>1557</v>
      </c>
      <c r="C3999" s="70" t="s">
        <v>1558</v>
      </c>
      <c r="D3999" s="70" t="s">
        <v>1</v>
      </c>
      <c r="E3999" s="70" t="s">
        <v>1</v>
      </c>
      <c r="F3999" s="70"/>
      <c r="G3999" s="70" t="s">
        <v>61</v>
      </c>
      <c r="H3999" s="70" t="s">
        <v>178</v>
      </c>
      <c r="I3999" s="70" t="s">
        <v>181</v>
      </c>
      <c r="J3999" s="71">
        <f>IF(OR(I3999=0,I3999=""),"unrated",VLOOKUP(I3999,MappingTables!$B$19:$C$31,2,FALSE))</f>
        <v>3</v>
      </c>
      <c r="K3999" s="72">
        <v>100.36848050983708</v>
      </c>
      <c r="L3999" s="70">
        <v>16.592202333428076</v>
      </c>
      <c r="M3999" s="71">
        <f>IF(L3999&lt;1,1,L3999)</f>
        <v>16.592202333428076</v>
      </c>
      <c r="N3999" s="70" t="s">
        <v>141</v>
      </c>
      <c r="O3999" s="71">
        <f>INDEX(DurClassMapping,MATCH(M3999,MappingTables!$D$4:$D$8,-1),1)</f>
        <v>4</v>
      </c>
      <c r="P3999" s="73">
        <f>IF(M3999=$A$1,1,$M3999-INDEX(MappingTables!$E$4:$E$8,MATCH(O3999,MappingTables!$B$4:$B$8,0)))</f>
        <v>1.5922023334280766</v>
      </c>
      <c r="Q3999" s="71">
        <f>IF(B3999="",0,INDEX(ModelParameters!$D$6:$K$10,MATCH($O3999,ModelParameters!$B$6:$B$10,0),MATCH($J3999,ModelParameters!$D$5:$K$5,0)))</f>
        <v>0.01</v>
      </c>
      <c r="R3999" s="71">
        <f>IF(B3999="",0,INDEX(ModelParameters!$D$13:$K$17,MATCH($O3999,ModelParameters!$B$13:$B$17,0),MATCH($J3999,ModelParameters!$D$5:$K$5,0)))</f>
        <v>0.25</v>
      </c>
      <c r="S3999" s="160">
        <f>IF(B3999="",0,MIN(IF($N3999="Other Bond TM",ModelParameters!$N$21,1)*(P3999*Q3999+R3999),1))</f>
        <v>0.26592202333428076</v>
      </c>
      <c r="T3999" s="85">
        <f>IF(B3999="",0,$S3999*$K3999)</f>
        <v>26.690189416163204</v>
      </c>
      <c r="U3999" s="85">
        <f>IF(B3999="",0,IF(OR(H3999=MappingTables!$C$34,H3999=MappingTables!$C$35),T3999,0))</f>
        <v>0</v>
      </c>
      <c r="V3999" s="85">
        <f>IF(ISNA(IF(AND(VLOOKUP(CONCATENATE($D3999,$G3999),CSRFinput!$B:$E,4,0)=0,OR(H3999=MappingTables!$C$34,H3999=MappingTables!$C$35)),1,VLOOKUP(CONCATENATE($D3999,$G3999),CSRFinput!$B:$E,4,0))),0,IF(AND(VLOOKUP(CONCATENATE($D3999,$G3999),CSRFinput!$B:$E,4,0)=0,OR(H3999=MappingTables!$C$34,H3999=MappingTables!$C$35)),1,VLOOKUP(CONCATENATE($D3999,$G3999),CSRFinput!$B:$E,4,0)))</f>
        <v>0.054776304963434752</v>
      </c>
      <c r="W3999" s="85">
        <f>IF(B3999="",0,+$T3999*$V3999)</f>
        <v>1.4619899549915942</v>
      </c>
      <c r="X3999" s="85">
        <f>IF(B3999="",0,IF(OR(H3999=MappingTables!$C$34,H3999=MappingTables!$C$35),W3999,0))</f>
        <v>0</v>
      </c>
    </row>
    <row r="4000" spans="2:24" s="0" customFormat="0" ht="15">
      <c r="B4000" s="69">
        <v>18807689</v>
      </c>
      <c r="C4000" s="70" t="s">
        <v>1561</v>
      </c>
      <c r="D4000" s="70" t="s">
        <v>1</v>
      </c>
      <c r="E4000" s="70" t="s">
        <v>1</v>
      </c>
      <c r="F4000" s="70"/>
      <c r="G4000" s="70" t="s">
        <v>61</v>
      </c>
      <c r="H4000" s="70" t="s">
        <v>178</v>
      </c>
      <c r="I4000" s="70" t="s">
        <v>179</v>
      </c>
      <c r="J4000" s="71">
        <f>IF(OR(I4000=0,I4000=""),"unrated",VLOOKUP(I4000,MappingTables!$B$19:$C$31,2,FALSE))</f>
        <v>4</v>
      </c>
      <c r="K4000" s="72">
        <v>48185.15384180896</v>
      </c>
      <c r="L4000" s="70">
        <v>2.833299983379178</v>
      </c>
      <c r="M4000" s="71">
        <f>IF(L4000&lt;1,1,L4000)</f>
        <v>2.833299983379178</v>
      </c>
      <c r="N4000" s="70" t="s">
        <v>141</v>
      </c>
      <c r="O4000" s="71">
        <f>INDEX(DurClassMapping,MATCH(M4000,MappingTables!$D$4:$D$8,-1),1)</f>
        <v>1</v>
      </c>
      <c r="P4000" s="73">
        <f>IF(M4000=$A$1,1,$M4000-INDEX(MappingTables!$E$4:$E$8,MATCH(O4000,MappingTables!$B$4:$B$8,0)))</f>
        <v>2.833299983379178</v>
      </c>
      <c r="Q4000" s="71">
        <f>IF(B4000="",0,INDEX(ModelParameters!$D$6:$K$10,MATCH($O4000,ModelParameters!$B$6:$B$10,0),MATCH($J4000,ModelParameters!$D$5:$K$5,0)))</f>
        <v>0.045</v>
      </c>
      <c r="R4000" s="71">
        <f>IF(B4000="",0,INDEX(ModelParameters!$D$13:$K$17,MATCH($O4000,ModelParameters!$B$13:$B$17,0),MATCH($J4000,ModelParameters!$D$5:$K$5,0)))</f>
        <v>0</v>
      </c>
      <c r="S4000" s="160">
        <f>IF(B4000="",0,MIN(IF($N4000="Other Bond TM",ModelParameters!$N$21,1)*(P4000*Q4000+R4000),1))</f>
        <v>0.127498499252063</v>
      </c>
      <c r="T4000" s="85">
        <f>IF(B4000="",0,$S4000*$K4000)</f>
        <v>6143.53480106042</v>
      </c>
      <c r="U4000" s="85">
        <f>IF(B4000="",0,IF(OR(H4000=MappingTables!$C$34,H4000=MappingTables!$C$35),T4000,0))</f>
        <v>0</v>
      </c>
      <c r="V4000" s="85">
        <f>IF(ISNA(IF(AND(VLOOKUP(CONCATENATE($D4000,$G4000),CSRFinput!$B:$E,4,0)=0,OR(H4000=MappingTables!$C$34,H4000=MappingTables!$C$35)),1,VLOOKUP(CONCATENATE($D4000,$G4000),CSRFinput!$B:$E,4,0))),0,IF(AND(VLOOKUP(CONCATENATE($D4000,$G4000),CSRFinput!$B:$E,4,0)=0,OR(H4000=MappingTables!$C$34,H4000=MappingTables!$C$35)),1,VLOOKUP(CONCATENATE($D4000,$G4000),CSRFinput!$B:$E,4,0)))</f>
        <v>0.054776304963434752</v>
      </c>
      <c r="W4000" s="85">
        <f>IF(B4000="",0,+$T4000*$V4000)</f>
        <v>336.52013581636004</v>
      </c>
      <c r="X4000" s="85">
        <f>IF(B4000="",0,IF(OR(H4000=MappingTables!$C$34,H4000=MappingTables!$C$35),W4000,0))</f>
        <v>0</v>
      </c>
    </row>
    <row r="4001" spans="2:24" s="0" customFormat="0" ht="15">
      <c r="B4001" s="69" t="s">
        <v>1874</v>
      </c>
      <c r="C4001" s="70" t="s">
        <v>1875</v>
      </c>
      <c r="D4001" s="70" t="s">
        <v>1</v>
      </c>
      <c r="E4001" s="70" t="s">
        <v>1</v>
      </c>
      <c r="F4001" s="70"/>
      <c r="G4001" s="70" t="s">
        <v>61</v>
      </c>
      <c r="H4001" s="70" t="s">
        <v>178</v>
      </c>
      <c r="I4001" s="70" t="s">
        <v>179</v>
      </c>
      <c r="J4001" s="71">
        <f>IF(OR(I4001=0,I4001=""),"unrated",VLOOKUP(I4001,MappingTables!$B$19:$C$31,2,FALSE))</f>
        <v>4</v>
      </c>
      <c r="K4001" s="72">
        <v>804.40470907698256</v>
      </c>
      <c r="L4001" s="70">
        <v>2.475739027485442</v>
      </c>
      <c r="M4001" s="71">
        <f>IF(L4001&lt;1,1,L4001)</f>
        <v>2.475739027485442</v>
      </c>
      <c r="N4001" s="70" t="s">
        <v>141</v>
      </c>
      <c r="O4001" s="71">
        <f>INDEX(DurClassMapping,MATCH(M4001,MappingTables!$D$4:$D$8,-1),1)</f>
        <v>1</v>
      </c>
      <c r="P4001" s="73">
        <f>IF(M4001=$A$1,1,$M4001-INDEX(MappingTables!$E$4:$E$8,MATCH(O4001,MappingTables!$B$4:$B$8,0)))</f>
        <v>2.475739027485442</v>
      </c>
      <c r="Q4001" s="71">
        <f>IF(B4001="",0,INDEX(ModelParameters!$D$6:$K$10,MATCH($O4001,ModelParameters!$B$6:$B$10,0),MATCH($J4001,ModelParameters!$D$5:$K$5,0)))</f>
        <v>0.045</v>
      </c>
      <c r="R4001" s="71">
        <f>IF(B4001="",0,INDEX(ModelParameters!$D$13:$K$17,MATCH($O4001,ModelParameters!$B$13:$B$17,0),MATCH($J4001,ModelParameters!$D$5:$K$5,0)))</f>
        <v>0</v>
      </c>
      <c r="S4001" s="160">
        <f>IF(B4001="",0,MIN(IF($N4001="Other Bond TM",ModelParameters!$N$21,1)*(P4001*Q4001+R4001),1))</f>
        <v>0.11140825623684488</v>
      </c>
      <c r="T4001" s="85">
        <f>IF(B4001="",0,$S4001*$K4001)</f>
        <v>89.61732594697312</v>
      </c>
      <c r="U4001" s="85">
        <f>IF(B4001="",0,IF(OR(H4001=MappingTables!$C$34,H4001=MappingTables!$C$35),T4001,0))</f>
        <v>0</v>
      </c>
      <c r="V4001" s="85">
        <f>IF(ISNA(IF(AND(VLOOKUP(CONCATENATE($D4001,$G4001),CSRFinput!$B:$E,4,0)=0,OR(H4001=MappingTables!$C$34,H4001=MappingTables!$C$35)),1,VLOOKUP(CONCATENATE($D4001,$G4001),CSRFinput!$B:$E,4,0))),0,IF(AND(VLOOKUP(CONCATENATE($D4001,$G4001),CSRFinput!$B:$E,4,0)=0,OR(H4001=MappingTables!$C$34,H4001=MappingTables!$C$35)),1,VLOOKUP(CONCATENATE($D4001,$G4001),CSRFinput!$B:$E,4,0)))</f>
        <v>0.054776304963434752</v>
      </c>
      <c r="W4001" s="85">
        <f>IF(B4001="",0,+$T4001*$V4001)</f>
        <v>4.9089059760789336</v>
      </c>
      <c r="X4001" s="85">
        <f>IF(B4001="",0,IF(OR(H4001=MappingTables!$C$34,H4001=MappingTables!$C$35),W4001,0))</f>
        <v>0</v>
      </c>
    </row>
    <row r="4002" spans="2:24" s="0" customFormat="0" ht="15">
      <c r="B4002" s="69">
        <v>12686062</v>
      </c>
      <c r="C4002" s="70" t="s">
        <v>2990</v>
      </c>
      <c r="D4002" s="70" t="s">
        <v>1</v>
      </c>
      <c r="E4002" s="70" t="s">
        <v>1</v>
      </c>
      <c r="F4002" s="70"/>
      <c r="G4002" s="70" t="s">
        <v>61</v>
      </c>
      <c r="H4002" s="70" t="s">
        <v>178</v>
      </c>
      <c r="I4002" s="70" t="s">
        <v>179</v>
      </c>
      <c r="J4002" s="71">
        <f>IF(OR(I4002=0,I4002=""),"unrated",VLOOKUP(I4002,MappingTables!$B$19:$C$31,2,FALSE))</f>
        <v>4</v>
      </c>
      <c r="K4002" s="72">
        <v>2167.068635958236</v>
      </c>
      <c r="L4002" s="70">
        <v>5.2716710813738744</v>
      </c>
      <c r="M4002" s="71">
        <f>IF(L4002&lt;1,1,L4002)</f>
        <v>5.2716710813738744</v>
      </c>
      <c r="N4002" s="70" t="s">
        <v>141</v>
      </c>
      <c r="O4002" s="71">
        <f>INDEX(DurClassMapping,MATCH(M4002,MappingTables!$D$4:$D$8,-1),1)</f>
        <v>2</v>
      </c>
      <c r="P4002" s="73">
        <f>IF(M4002=$A$1,1,$M4002-INDEX(MappingTables!$E$4:$E$8,MATCH(O4002,MappingTables!$B$4:$B$8,0)))</f>
        <v>0.27167108137387432</v>
      </c>
      <c r="Q4002" s="71">
        <f>IF(B4002="",0,INDEX(ModelParameters!$D$6:$K$10,MATCH($O4002,ModelParameters!$B$6:$B$10,0),MATCH($J4002,ModelParameters!$D$5:$K$5,0)))</f>
        <v>0.025</v>
      </c>
      <c r="R4002" s="71">
        <f>IF(B4002="",0,INDEX(ModelParameters!$D$13:$K$17,MATCH($O4002,ModelParameters!$B$13:$B$17,0),MATCH($J4002,ModelParameters!$D$5:$K$5,0)))</f>
        <v>0.225</v>
      </c>
      <c r="S4002" s="160">
        <f>IF(B4002="",0,MIN(IF($N4002="Other Bond TM",ModelParameters!$N$21,1)*(P4002*Q4002+R4002),1))</f>
        <v>0.23179177703434688</v>
      </c>
      <c r="T4002" s="85">
        <f>IF(B4002="",0,$S4002*$K4002)</f>
        <v>502.3086900841576</v>
      </c>
      <c r="U4002" s="85">
        <f>IF(B4002="",0,IF(OR(H4002=MappingTables!$C$34,H4002=MappingTables!$C$35),T4002,0))</f>
        <v>0</v>
      </c>
      <c r="V4002" s="85">
        <f>IF(ISNA(IF(AND(VLOOKUP(CONCATENATE($D4002,$G4002),CSRFinput!$B:$E,4,0)=0,OR(H4002=MappingTables!$C$34,H4002=MappingTables!$C$35)),1,VLOOKUP(CONCATENATE($D4002,$G4002),CSRFinput!$B:$E,4,0))),0,IF(AND(VLOOKUP(CONCATENATE($D4002,$G4002),CSRFinput!$B:$E,4,0)=0,OR(H4002=MappingTables!$C$34,H4002=MappingTables!$C$35)),1,VLOOKUP(CONCATENATE($D4002,$G4002),CSRFinput!$B:$E,4,0)))</f>
        <v>0.054776304963434752</v>
      </c>
      <c r="W4002" s="85">
        <f>IF(B4002="",0,+$T4002*$V4002)</f>
        <v>27.514613993833252</v>
      </c>
      <c r="X4002" s="85">
        <f>IF(B4002="",0,IF(OR(H4002=MappingTables!$C$34,H4002=MappingTables!$C$35),W4002,0))</f>
        <v>0</v>
      </c>
    </row>
    <row r="4003" spans="2:24" s="0" customFormat="0" ht="15">
      <c r="B4003" s="69">
        <v>22106686</v>
      </c>
      <c r="C4003" s="70" t="s">
        <v>2991</v>
      </c>
      <c r="D4003" s="70" t="s">
        <v>1</v>
      </c>
      <c r="E4003" s="70" t="s">
        <v>1</v>
      </c>
      <c r="F4003" s="70"/>
      <c r="G4003" s="70" t="s">
        <v>61</v>
      </c>
      <c r="H4003" s="70" t="s">
        <v>178</v>
      </c>
      <c r="I4003" s="70" t="s">
        <v>179</v>
      </c>
      <c r="J4003" s="71">
        <f>IF(OR(I4003=0,I4003=""),"unrated",VLOOKUP(I4003,MappingTables!$B$19:$C$31,2,FALSE))</f>
        <v>4</v>
      </c>
      <c r="K4003" s="72">
        <v>41454.431417378104</v>
      </c>
      <c r="L4003" s="70">
        <v>10.585441450714138</v>
      </c>
      <c r="M4003" s="71">
        <f>IF(L4003&lt;1,1,L4003)</f>
        <v>10.585441450714138</v>
      </c>
      <c r="N4003" s="70" t="s">
        <v>141</v>
      </c>
      <c r="O4003" s="71">
        <f>INDEX(DurClassMapping,MATCH(M4003,MappingTables!$D$4:$D$8,-1),1)</f>
        <v>3</v>
      </c>
      <c r="P4003" s="73">
        <f>IF(M4003=$A$1,1,$M4003-INDEX(MappingTables!$E$4:$E$8,MATCH(O4003,MappingTables!$B$4:$B$8,0)))</f>
        <v>0.58544145071413744</v>
      </c>
      <c r="Q4003" s="71">
        <f>IF(B4003="",0,INDEX(ModelParameters!$D$6:$K$10,MATCH($O4003,ModelParameters!$B$6:$B$10,0),MATCH($J4003,ModelParameters!$D$5:$K$5,0)))</f>
        <v>0.018000000000000002</v>
      </c>
      <c r="R4003" s="71">
        <f>IF(B4003="",0,INDEX(ModelParameters!$D$13:$K$17,MATCH($O4003,ModelParameters!$B$13:$B$17,0),MATCH($J4003,ModelParameters!$D$5:$K$5,0)))</f>
        <v>0.34999999999999996</v>
      </c>
      <c r="S4003" s="160">
        <f>IF(B4003="",0,MIN(IF($N4003="Other Bond TM",ModelParameters!$N$21,1)*(P4003*Q4003+R4003),1))</f>
        <v>0.36053794611285448</v>
      </c>
      <c r="T4003" s="85">
        <f>IF(B4003="",0,$S4003*$K4003)</f>
        <v>14945.895560497688</v>
      </c>
      <c r="U4003" s="85">
        <f>IF(B4003="",0,IF(OR(H4003=MappingTables!$C$34,H4003=MappingTables!$C$35),T4003,0))</f>
        <v>0</v>
      </c>
      <c r="V4003" s="85">
        <f>IF(ISNA(IF(AND(VLOOKUP(CONCATENATE($D4003,$G4003),CSRFinput!$B:$E,4,0)=0,OR(H4003=MappingTables!$C$34,H4003=MappingTables!$C$35)),1,VLOOKUP(CONCATENATE($D4003,$G4003),CSRFinput!$B:$E,4,0))),0,IF(AND(VLOOKUP(CONCATENATE($D4003,$G4003),CSRFinput!$B:$E,4,0)=0,OR(H4003=MappingTables!$C$34,H4003=MappingTables!$C$35)),1,VLOOKUP(CONCATENATE($D4003,$G4003),CSRFinput!$B:$E,4,0)))</f>
        <v>0.054776304963434752</v>
      </c>
      <c r="W4003" s="85">
        <f>IF(B4003="",0,+$T4003*$V4003)</f>
        <v>818.68093317346688</v>
      </c>
      <c r="X4003" s="85">
        <f>IF(B4003="",0,IF(OR(H4003=MappingTables!$C$34,H4003=MappingTables!$C$35),W4003,0))</f>
        <v>0</v>
      </c>
    </row>
    <row r="4004" spans="2:24" s="0" customFormat="0" ht="15">
      <c r="B4004" s="69">
        <v>24828803</v>
      </c>
      <c r="C4004" s="70" t="s">
        <v>1136</v>
      </c>
      <c r="D4004" s="70" t="s">
        <v>1</v>
      </c>
      <c r="E4004" s="70" t="s">
        <v>1</v>
      </c>
      <c r="F4004" s="70"/>
      <c r="G4004" s="70" t="s">
        <v>61</v>
      </c>
      <c r="H4004" s="70" t="s">
        <v>178</v>
      </c>
      <c r="I4004" s="70" t="s">
        <v>216</v>
      </c>
      <c r="J4004" s="71">
        <f>IF(OR(I4004=0,I4004=""),"unrated",VLOOKUP(I4004,MappingTables!$B$19:$C$31,2,FALSE))</f>
        <v>0</v>
      </c>
      <c r="K4004" s="72">
        <v>695.82401827911432</v>
      </c>
      <c r="L4004" s="70">
        <v>24.1631710006572</v>
      </c>
      <c r="M4004" s="71">
        <f>IF(L4004&lt;1,1,L4004)</f>
        <v>24.1631710006572</v>
      </c>
      <c r="N4004" s="70" t="s">
        <v>141</v>
      </c>
      <c r="O4004" s="71">
        <f>INDEX(DurClassMapping,MATCH(M4004,MappingTables!$D$4:$D$8,-1),1)</f>
        <v>5</v>
      </c>
      <c r="P4004" s="73">
        <f>IF(M4004=$A$1,1,$M4004-INDEX(MappingTables!$E$4:$E$8,MATCH(O4004,MappingTables!$B$4:$B$8,0)))</f>
        <v>4.1631710006572008</v>
      </c>
      <c r="Q4004" s="71">
        <f>IF(B4004="",0,INDEX(ModelParameters!$D$6:$K$10,MATCH($O4004,ModelParameters!$B$6:$B$10,0),MATCH($J4004,ModelParameters!$D$5:$K$5,0)))</f>
        <v>0.005</v>
      </c>
      <c r="R4004" s="71">
        <f>IF(B4004="",0,INDEX(ModelParameters!$D$13:$K$17,MATCH($O4004,ModelParameters!$B$13:$B$17,0),MATCH($J4004,ModelParameters!$D$5:$K$5,0)))</f>
        <v>0.12</v>
      </c>
      <c r="S4004" s="160">
        <f>IF(B4004="",0,MIN(IF($N4004="Other Bond TM",ModelParameters!$N$21,1)*(P4004*Q4004+R4004),1))</f>
        <v>0.140815855003286</v>
      </c>
      <c r="T4004" s="85">
        <f>IF(B4004="",0,$S4004*$K4004)</f>
        <v>97.983054065795584</v>
      </c>
      <c r="U4004" s="85">
        <f>IF(B4004="",0,IF(OR(H4004=MappingTables!$C$34,H4004=MappingTables!$C$35),T4004,0))</f>
        <v>0</v>
      </c>
      <c r="V4004" s="85">
        <f>IF(ISNA(IF(AND(VLOOKUP(CONCATENATE($D4004,$G4004),CSRFinput!$B:$E,4,0)=0,OR(H4004=MappingTables!$C$34,H4004=MappingTables!$C$35)),1,VLOOKUP(CONCATENATE($D4004,$G4004),CSRFinput!$B:$E,4,0))),0,IF(AND(VLOOKUP(CONCATENATE($D4004,$G4004),CSRFinput!$B:$E,4,0)=0,OR(H4004=MappingTables!$C$34,H4004=MappingTables!$C$35)),1,VLOOKUP(CONCATENATE($D4004,$G4004),CSRFinput!$B:$E,4,0)))</f>
        <v>0.054776304963434752</v>
      </c>
      <c r="W4004" s="85">
        <f>IF(B4004="",0,+$T4004*$V4004)</f>
        <v>5.3671496507567344</v>
      </c>
      <c r="X4004" s="85">
        <f>IF(B4004="",0,IF(OR(H4004=MappingTables!$C$34,H4004=MappingTables!$C$35),W4004,0))</f>
        <v>0</v>
      </c>
    </row>
    <row r="4005" spans="2:24" s="0" customFormat="0" ht="15">
      <c r="B4005" s="69" t="s">
        <v>1707</v>
      </c>
      <c r="C4005" s="70" t="s">
        <v>1708</v>
      </c>
      <c r="D4005" s="70" t="s">
        <v>1</v>
      </c>
      <c r="E4005" s="70" t="s">
        <v>1</v>
      </c>
      <c r="F4005" s="70"/>
      <c r="G4005" s="70" t="s">
        <v>61</v>
      </c>
      <c r="H4005" s="70" t="s">
        <v>178</v>
      </c>
      <c r="I4005" s="70" t="s">
        <v>179</v>
      </c>
      <c r="J4005" s="71">
        <f>IF(OR(I4005=0,I4005=""),"unrated",VLOOKUP(I4005,MappingTables!$B$19:$C$31,2,FALSE))</f>
        <v>4</v>
      </c>
      <c r="K4005" s="72">
        <v>31.697922425709092</v>
      </c>
      <c r="L4005" s="70">
        <v>1.4966870556589864</v>
      </c>
      <c r="M4005" s="71">
        <f>IF(L4005&lt;1,1,L4005)</f>
        <v>1.4966870556589864</v>
      </c>
      <c r="N4005" s="70" t="s">
        <v>141</v>
      </c>
      <c r="O4005" s="71">
        <f>INDEX(DurClassMapping,MATCH(M4005,MappingTables!$D$4:$D$8,-1),1)</f>
        <v>1</v>
      </c>
      <c r="P4005" s="73">
        <f>IF(M4005=$A$1,1,$M4005-INDEX(MappingTables!$E$4:$E$8,MATCH(O4005,MappingTables!$B$4:$B$8,0)))</f>
        <v>1.4966870556589864</v>
      </c>
      <c r="Q4005" s="71">
        <f>IF(B4005="",0,INDEX(ModelParameters!$D$6:$K$10,MATCH($O4005,ModelParameters!$B$6:$B$10,0),MATCH($J4005,ModelParameters!$D$5:$K$5,0)))</f>
        <v>0.045</v>
      </c>
      <c r="R4005" s="71">
        <f>IF(B4005="",0,INDEX(ModelParameters!$D$13:$K$17,MATCH($O4005,ModelParameters!$B$13:$B$17,0),MATCH($J4005,ModelParameters!$D$5:$K$5,0)))</f>
        <v>0</v>
      </c>
      <c r="S4005" s="160">
        <f>IF(B4005="",0,MIN(IF($N4005="Other Bond TM",ModelParameters!$N$21,1)*(P4005*Q4005+R4005),1))</f>
        <v>0.067350917504654384</v>
      </c>
      <c r="T4005" s="85">
        <f>IF(B4005="",0,$S4005*$K4005)</f>
        <v>2.1348841583628672</v>
      </c>
      <c r="U4005" s="85">
        <f>IF(B4005="",0,IF(OR(H4005=MappingTables!$C$34,H4005=MappingTables!$C$35),T4005,0))</f>
        <v>0</v>
      </c>
      <c r="V4005" s="85">
        <f>IF(ISNA(IF(AND(VLOOKUP(CONCATENATE($D4005,$G4005),CSRFinput!$B:$E,4,0)=0,OR(H4005=MappingTables!$C$34,H4005=MappingTables!$C$35)),1,VLOOKUP(CONCATENATE($D4005,$G4005),CSRFinput!$B:$E,4,0))),0,IF(AND(VLOOKUP(CONCATENATE($D4005,$G4005),CSRFinput!$B:$E,4,0)=0,OR(H4005=MappingTables!$C$34,H4005=MappingTables!$C$35)),1,VLOOKUP(CONCATENATE($D4005,$G4005),CSRFinput!$B:$E,4,0)))</f>
        <v>0.054776304963434752</v>
      </c>
      <c r="W4005" s="85">
        <f>IF(B4005="",0,+$T4005*$V4005)</f>
        <v>0.11694106572009016</v>
      </c>
      <c r="X4005" s="85">
        <f>IF(B4005="",0,IF(OR(H4005=MappingTables!$C$34,H4005=MappingTables!$C$35),W4005,0))</f>
        <v>0</v>
      </c>
    </row>
    <row r="4006" spans="2:24" s="0" customFormat="0" ht="15">
      <c r="B4006" s="69">
        <v>12259980</v>
      </c>
      <c r="C4006" s="70" t="s">
        <v>490</v>
      </c>
      <c r="D4006" s="70" t="s">
        <v>1</v>
      </c>
      <c r="E4006" s="70" t="s">
        <v>1</v>
      </c>
      <c r="F4006" s="70"/>
      <c r="G4006" s="70" t="s">
        <v>61</v>
      </c>
      <c r="H4006" s="70" t="s">
        <v>178</v>
      </c>
      <c r="I4006" s="70" t="s">
        <v>179</v>
      </c>
      <c r="J4006" s="71">
        <f>IF(OR(I4006=0,I4006=""),"unrated",VLOOKUP(I4006,MappingTables!$B$19:$C$31,2,FALSE))</f>
        <v>4</v>
      </c>
      <c r="K4006" s="72">
        <v>100.85533389879474</v>
      </c>
      <c r="L4006" s="70">
        <v>0.52160489326801352</v>
      </c>
      <c r="M4006" s="71">
        <f>IF(L4006&lt;1,1,L4006)</f>
        <v>1</v>
      </c>
      <c r="N4006" s="70" t="s">
        <v>141</v>
      </c>
      <c r="O4006" s="71">
        <f>INDEX(DurClassMapping,MATCH(M4006,MappingTables!$D$4:$D$8,-1),1)</f>
        <v>1</v>
      </c>
      <c r="P4006" s="73">
        <f>IF(M4006=$A$1,1,$M4006-INDEX(MappingTables!$E$4:$E$8,MATCH(O4006,MappingTables!$B$4:$B$8,0)))</f>
        <v>1</v>
      </c>
      <c r="Q4006" s="71">
        <f>IF(B4006="",0,INDEX(ModelParameters!$D$6:$K$10,MATCH($O4006,ModelParameters!$B$6:$B$10,0),MATCH($J4006,ModelParameters!$D$5:$K$5,0)))</f>
        <v>0.045</v>
      </c>
      <c r="R4006" s="71">
        <f>IF(B4006="",0,INDEX(ModelParameters!$D$13:$K$17,MATCH($O4006,ModelParameters!$B$13:$B$17,0),MATCH($J4006,ModelParameters!$D$5:$K$5,0)))</f>
        <v>0</v>
      </c>
      <c r="S4006" s="160">
        <f>IF(B4006="",0,MIN(IF($N4006="Other Bond TM",ModelParameters!$N$21,1)*(P4006*Q4006+R4006),1))</f>
        <v>0.045</v>
      </c>
      <c r="T4006" s="85">
        <f>IF(B4006="",0,$S4006*$K4006)</f>
        <v>4.5384900254457632</v>
      </c>
      <c r="U4006" s="85">
        <f>IF(B4006="",0,IF(OR(H4006=MappingTables!$C$34,H4006=MappingTables!$C$35),T4006,0))</f>
        <v>0</v>
      </c>
      <c r="V4006" s="85">
        <f>IF(ISNA(IF(AND(VLOOKUP(CONCATENATE($D4006,$G4006),CSRFinput!$B:$E,4,0)=0,OR(H4006=MappingTables!$C$34,H4006=MappingTables!$C$35)),1,VLOOKUP(CONCATENATE($D4006,$G4006),CSRFinput!$B:$E,4,0))),0,IF(AND(VLOOKUP(CONCATENATE($D4006,$G4006),CSRFinput!$B:$E,4,0)=0,OR(H4006=MappingTables!$C$34,H4006=MappingTables!$C$35)),1,VLOOKUP(CONCATENATE($D4006,$G4006),CSRFinput!$B:$E,4,0)))</f>
        <v>0.054776304963434752</v>
      </c>
      <c r="W4006" s="85">
        <f>IF(B4006="",0,+$T4006*$V4006)</f>
        <v>0.24860171370732388</v>
      </c>
      <c r="X4006" s="85">
        <f>IF(B4006="",0,IF(OR(H4006=MappingTables!$C$34,H4006=MappingTables!$C$35),W4006,0))</f>
        <v>0</v>
      </c>
    </row>
    <row r="4007" spans="2:24" s="0" customFormat="0" ht="15">
      <c r="B4007" s="69">
        <v>11388706</v>
      </c>
      <c r="C4007" s="70" t="s">
        <v>2570</v>
      </c>
      <c r="D4007" s="70" t="s">
        <v>1</v>
      </c>
      <c r="E4007" s="70" t="s">
        <v>1</v>
      </c>
      <c r="F4007" s="70"/>
      <c r="G4007" s="70" t="s">
        <v>61</v>
      </c>
      <c r="H4007" s="70" t="s">
        <v>178</v>
      </c>
      <c r="I4007" s="70" t="s">
        <v>181</v>
      </c>
      <c r="J4007" s="71">
        <f>IF(OR(I4007=0,I4007=""),"unrated",VLOOKUP(I4007,MappingTables!$B$19:$C$31,2,FALSE))</f>
        <v>3</v>
      </c>
      <c r="K4007" s="72">
        <v>970.57421587398208</v>
      </c>
      <c r="L4007" s="70">
        <v>0.041094175040617056</v>
      </c>
      <c r="M4007" s="71">
        <f>IF(L4007&lt;1,1,L4007)</f>
        <v>1</v>
      </c>
      <c r="N4007" s="70" t="s">
        <v>141</v>
      </c>
      <c r="O4007" s="71">
        <f>INDEX(DurClassMapping,MATCH(M4007,MappingTables!$D$4:$D$8,-1),1)</f>
        <v>1</v>
      </c>
      <c r="P4007" s="73">
        <f>IF(M4007=$A$1,1,$M4007-INDEX(MappingTables!$E$4:$E$8,MATCH(O4007,MappingTables!$B$4:$B$8,0)))</f>
        <v>1</v>
      </c>
      <c r="Q4007" s="71">
        <f>IF(B4007="",0,INDEX(ModelParameters!$D$6:$K$10,MATCH($O4007,ModelParameters!$B$6:$B$10,0),MATCH($J4007,ModelParameters!$D$5:$K$5,0)))</f>
        <v>0.025</v>
      </c>
      <c r="R4007" s="71">
        <f>IF(B4007="",0,INDEX(ModelParameters!$D$13:$K$17,MATCH($O4007,ModelParameters!$B$13:$B$17,0),MATCH($J4007,ModelParameters!$D$5:$K$5,0)))</f>
        <v>0</v>
      </c>
      <c r="S4007" s="160">
        <f>IF(B4007="",0,MIN(IF($N4007="Other Bond TM",ModelParameters!$N$21,1)*(P4007*Q4007+R4007),1))</f>
        <v>0.025</v>
      </c>
      <c r="T4007" s="85">
        <f>IF(B4007="",0,$S4007*$K4007)</f>
        <v>24.264355396849552</v>
      </c>
      <c r="U4007" s="85">
        <f>IF(B4007="",0,IF(OR(H4007=MappingTables!$C$34,H4007=MappingTables!$C$35),T4007,0))</f>
        <v>0</v>
      </c>
      <c r="V4007" s="85">
        <f>IF(ISNA(IF(AND(VLOOKUP(CONCATENATE($D4007,$G4007),CSRFinput!$B:$E,4,0)=0,OR(H4007=MappingTables!$C$34,H4007=MappingTables!$C$35)),1,VLOOKUP(CONCATENATE($D4007,$G4007),CSRFinput!$B:$E,4,0))),0,IF(AND(VLOOKUP(CONCATENATE($D4007,$G4007),CSRFinput!$B:$E,4,0)=0,OR(H4007=MappingTables!$C$34,H4007=MappingTables!$C$35)),1,VLOOKUP(CONCATENATE($D4007,$G4007),CSRFinput!$B:$E,4,0)))</f>
        <v>0.054776304963434752</v>
      </c>
      <c r="W4007" s="85">
        <f>IF(B4007="",0,+$T4007*$V4007)</f>
        <v>1.329111730958995</v>
      </c>
      <c r="X4007" s="85">
        <f>IF(B4007="",0,IF(OR(H4007=MappingTables!$C$34,H4007=MappingTables!$C$35),W4007,0))</f>
        <v>0</v>
      </c>
    </row>
    <row r="4008" spans="2:24" s="0" customFormat="0" ht="15">
      <c r="B4008" s="69" t="s">
        <v>2921</v>
      </c>
      <c r="C4008" s="70" t="s">
        <v>2922</v>
      </c>
      <c r="D4008" s="70" t="s">
        <v>1</v>
      </c>
      <c r="E4008" s="70" t="s">
        <v>1</v>
      </c>
      <c r="F4008" s="70"/>
      <c r="G4008" s="70" t="s">
        <v>61</v>
      </c>
      <c r="H4008" s="70" t="s">
        <v>178</v>
      </c>
      <c r="I4008" s="70" t="s">
        <v>184</v>
      </c>
      <c r="J4008" s="71">
        <f>IF(OR(I4008=0,I4008=""),"unrated",VLOOKUP(I4008,MappingTables!$B$19:$C$31,2,FALSE))</f>
        <v>5</v>
      </c>
      <c r="K4008" s="72">
        <v>272.0772297941504</v>
      </c>
      <c r="L4008" s="70">
        <v>1.0038528634478278</v>
      </c>
      <c r="M4008" s="71">
        <f>IF(L4008&lt;1,1,L4008)</f>
        <v>1.0038528634478278</v>
      </c>
      <c r="N4008" s="70" t="s">
        <v>141</v>
      </c>
      <c r="O4008" s="71">
        <f>INDEX(DurClassMapping,MATCH(M4008,MappingTables!$D$4:$D$8,-1),1)</f>
        <v>1</v>
      </c>
      <c r="P4008" s="73">
        <f>IF(M4008=$A$1,1,$M4008-INDEX(MappingTables!$E$4:$E$8,MATCH(O4008,MappingTables!$B$4:$B$8,0)))</f>
        <v>1.0038528634478278</v>
      </c>
      <c r="Q4008" s="71">
        <f>IF(B4008="",0,INDEX(ModelParameters!$D$6:$K$10,MATCH($O4008,ModelParameters!$B$6:$B$10,0),MATCH($J4008,ModelParameters!$D$5:$K$5,0)))</f>
        <v>0.075</v>
      </c>
      <c r="R4008" s="71">
        <f>IF(B4008="",0,INDEX(ModelParameters!$D$13:$K$17,MATCH($O4008,ModelParameters!$B$13:$B$17,0),MATCH($J4008,ModelParameters!$D$5:$K$5,0)))</f>
        <v>0</v>
      </c>
      <c r="S4008" s="160">
        <f>IF(B4008="",0,MIN(IF($N4008="Other Bond TM",ModelParameters!$N$21,1)*(P4008*Q4008+R4008),1))</f>
        <v>0.075288964758587088</v>
      </c>
      <c r="T4008" s="85">
        <f>IF(B4008="",0,$S4008*$K4008)</f>
        <v>20.484412965585788</v>
      </c>
      <c r="U4008" s="85">
        <f>IF(B4008="",0,IF(OR(H4008=MappingTables!$C$34,H4008=MappingTables!$C$35),T4008,0))</f>
        <v>0</v>
      </c>
      <c r="V4008" s="85">
        <f>IF(ISNA(IF(AND(VLOOKUP(CONCATENATE($D4008,$G4008),CSRFinput!$B:$E,4,0)=0,OR(H4008=MappingTables!$C$34,H4008=MappingTables!$C$35)),1,VLOOKUP(CONCATENATE($D4008,$G4008),CSRFinput!$B:$E,4,0))),0,IF(AND(VLOOKUP(CONCATENATE($D4008,$G4008),CSRFinput!$B:$E,4,0)=0,OR(H4008=MappingTables!$C$34,H4008=MappingTables!$C$35)),1,VLOOKUP(CONCATENATE($D4008,$G4008),CSRFinput!$B:$E,4,0)))</f>
        <v>0.054776304963434752</v>
      </c>
      <c r="W4008" s="85">
        <f>IF(B4008="",0,+$T4008*$V4008)</f>
        <v>1.1220604515998642</v>
      </c>
      <c r="X4008" s="85">
        <f>IF(B4008="",0,IF(OR(H4008=MappingTables!$C$34,H4008=MappingTables!$C$35),W4008,0))</f>
        <v>0</v>
      </c>
    </row>
    <row r="4009" spans="2:24" s="0" customFormat="0" ht="15">
      <c r="B4009" s="69">
        <v>13136867</v>
      </c>
      <c r="C4009" s="70" t="s">
        <v>2677</v>
      </c>
      <c r="D4009" s="70" t="s">
        <v>1</v>
      </c>
      <c r="E4009" s="70" t="s">
        <v>1</v>
      </c>
      <c r="F4009" s="70"/>
      <c r="G4009" s="70" t="s">
        <v>61</v>
      </c>
      <c r="H4009" s="70" t="s">
        <v>178</v>
      </c>
      <c r="I4009" s="70" t="s">
        <v>188</v>
      </c>
      <c r="J4009" s="71">
        <f>IF(OR(I4009=0,I4009=""),"unrated",VLOOKUP(I4009,MappingTables!$B$19:$C$31,2,FALSE))</f>
        <v>2</v>
      </c>
      <c r="K4009" s="72">
        <v>29418.859482781124</v>
      </c>
      <c r="L4009" s="70">
        <v>0.98887061173060512</v>
      </c>
      <c r="M4009" s="71">
        <f>IF(L4009&lt;1,1,L4009)</f>
        <v>1</v>
      </c>
      <c r="N4009" s="70" t="s">
        <v>141</v>
      </c>
      <c r="O4009" s="71">
        <f>INDEX(DurClassMapping,MATCH(M4009,MappingTables!$D$4:$D$8,-1),1)</f>
        <v>1</v>
      </c>
      <c r="P4009" s="73">
        <f>IF(M4009=$A$1,1,$M4009-INDEX(MappingTables!$E$4:$E$8,MATCH(O4009,MappingTables!$B$4:$B$8,0)))</f>
        <v>1</v>
      </c>
      <c r="Q4009" s="71">
        <f>IF(B4009="",0,INDEX(ModelParameters!$D$6:$K$10,MATCH($O4009,ModelParameters!$B$6:$B$10,0),MATCH($J4009,ModelParameters!$D$5:$K$5,0)))</f>
        <v>0.013999999999999998</v>
      </c>
      <c r="R4009" s="71">
        <f>IF(B4009="",0,INDEX(ModelParameters!$D$13:$K$17,MATCH($O4009,ModelParameters!$B$13:$B$17,0),MATCH($J4009,ModelParameters!$D$5:$K$5,0)))</f>
        <v>0</v>
      </c>
      <c r="S4009" s="160">
        <f>IF(B4009="",0,MIN(IF($N4009="Other Bond TM",ModelParameters!$N$21,1)*(P4009*Q4009+R4009),1))</f>
        <v>0.013999999999999998</v>
      </c>
      <c r="T4009" s="85">
        <f>IF(B4009="",0,$S4009*$K4009)</f>
        <v>411.86403275893568</v>
      </c>
      <c r="U4009" s="85">
        <f>IF(B4009="",0,IF(OR(H4009=MappingTables!$C$34,H4009=MappingTables!$C$35),T4009,0))</f>
        <v>0</v>
      </c>
      <c r="V4009" s="85">
        <f>IF(ISNA(IF(AND(VLOOKUP(CONCATENATE($D4009,$G4009),CSRFinput!$B:$E,4,0)=0,OR(H4009=MappingTables!$C$34,H4009=MappingTables!$C$35)),1,VLOOKUP(CONCATENATE($D4009,$G4009),CSRFinput!$B:$E,4,0))),0,IF(AND(VLOOKUP(CONCATENATE($D4009,$G4009),CSRFinput!$B:$E,4,0)=0,OR(H4009=MappingTables!$C$34,H4009=MappingTables!$C$35)),1,VLOOKUP(CONCATENATE($D4009,$G4009),CSRFinput!$B:$E,4,0)))</f>
        <v>0.054776304963434752</v>
      </c>
      <c r="W4009" s="85">
        <f>IF(B4009="",0,+$T4009*$V4009)</f>
        <v>22.560389861873544</v>
      </c>
      <c r="X4009" s="85">
        <f>IF(B4009="",0,IF(OR(H4009=MappingTables!$C$34,H4009=MappingTables!$C$35),W4009,0))</f>
        <v>0</v>
      </c>
    </row>
    <row r="4010" spans="2:24" s="0" customFormat="0" ht="15">
      <c r="B4010" s="69">
        <v>22273777</v>
      </c>
      <c r="C4010" s="70" t="s">
        <v>2804</v>
      </c>
      <c r="D4010" s="70" t="s">
        <v>1</v>
      </c>
      <c r="E4010" s="70" t="s">
        <v>1</v>
      </c>
      <c r="F4010" s="70"/>
      <c r="G4010" s="70" t="s">
        <v>61</v>
      </c>
      <c r="H4010" s="70" t="s">
        <v>178</v>
      </c>
      <c r="I4010" s="70" t="s">
        <v>188</v>
      </c>
      <c r="J4010" s="71">
        <f>IF(OR(I4010=0,I4010=""),"unrated",VLOOKUP(I4010,MappingTables!$B$19:$C$31,2,FALSE))</f>
        <v>2</v>
      </c>
      <c r="K4010" s="72">
        <v>126.78068741308764</v>
      </c>
      <c r="L4010" s="70">
        <v>2.0350704848837336</v>
      </c>
      <c r="M4010" s="71">
        <f>IF(L4010&lt;1,1,L4010)</f>
        <v>2.0350704848837336</v>
      </c>
      <c r="N4010" s="70" t="s">
        <v>141</v>
      </c>
      <c r="O4010" s="71">
        <f>INDEX(DurClassMapping,MATCH(M4010,MappingTables!$D$4:$D$8,-1),1)</f>
        <v>1</v>
      </c>
      <c r="P4010" s="73">
        <f>IF(M4010=$A$1,1,$M4010-INDEX(MappingTables!$E$4:$E$8,MATCH(O4010,MappingTables!$B$4:$B$8,0)))</f>
        <v>2.0350704848837336</v>
      </c>
      <c r="Q4010" s="71">
        <f>IF(B4010="",0,INDEX(ModelParameters!$D$6:$K$10,MATCH($O4010,ModelParameters!$B$6:$B$10,0),MATCH($J4010,ModelParameters!$D$5:$K$5,0)))</f>
        <v>0.013999999999999998</v>
      </c>
      <c r="R4010" s="71">
        <f>IF(B4010="",0,INDEX(ModelParameters!$D$13:$K$17,MATCH($O4010,ModelParameters!$B$13:$B$17,0),MATCH($J4010,ModelParameters!$D$5:$K$5,0)))</f>
        <v>0</v>
      </c>
      <c r="S4010" s="160">
        <f>IF(B4010="",0,MIN(IF($N4010="Other Bond TM",ModelParameters!$N$21,1)*(P4010*Q4010+R4010),1))</f>
        <v>0.028490986788372268</v>
      </c>
      <c r="T4010" s="85">
        <f>IF(B4010="",0,$S4010*$K4010)</f>
        <v>3.6121068901070344</v>
      </c>
      <c r="U4010" s="85">
        <f>IF(B4010="",0,IF(OR(H4010=MappingTables!$C$34,H4010=MappingTables!$C$35),T4010,0))</f>
        <v>0</v>
      </c>
      <c r="V4010" s="85">
        <f>IF(ISNA(IF(AND(VLOOKUP(CONCATENATE($D4010,$G4010),CSRFinput!$B:$E,4,0)=0,OR(H4010=MappingTables!$C$34,H4010=MappingTables!$C$35)),1,VLOOKUP(CONCATENATE($D4010,$G4010),CSRFinput!$B:$E,4,0))),0,IF(AND(VLOOKUP(CONCATENATE($D4010,$G4010),CSRFinput!$B:$E,4,0)=0,OR(H4010=MappingTables!$C$34,H4010=MappingTables!$C$35)),1,VLOOKUP(CONCATENATE($D4010,$G4010),CSRFinput!$B:$E,4,0)))</f>
        <v>0.054776304963434752</v>
      </c>
      <c r="W4010" s="85">
        <f>IF(B4010="",0,+$T4010*$V4010)</f>
        <v>0.1978578685730268</v>
      </c>
      <c r="X4010" s="85">
        <f>IF(B4010="",0,IF(OR(H4010=MappingTables!$C$34,H4010=MappingTables!$C$35),W4010,0))</f>
        <v>0</v>
      </c>
    </row>
    <row r="4011" spans="2:24" s="0" customFormat="0" ht="15">
      <c r="B4011" s="69" t="s">
        <v>2839</v>
      </c>
      <c r="C4011" s="70" t="s">
        <v>2840</v>
      </c>
      <c r="D4011" s="70" t="s">
        <v>1</v>
      </c>
      <c r="E4011" s="70" t="s">
        <v>1</v>
      </c>
      <c r="F4011" s="70"/>
      <c r="G4011" s="70" t="s">
        <v>61</v>
      </c>
      <c r="H4011" s="70" t="s">
        <v>178</v>
      </c>
      <c r="I4011" s="70" t="s">
        <v>188</v>
      </c>
      <c r="J4011" s="71">
        <f>IF(OR(I4011=0,I4011=""),"unrated",VLOOKUP(I4011,MappingTables!$B$19:$C$31,2,FALSE))</f>
        <v>2</v>
      </c>
      <c r="K4011" s="72">
        <v>1.1438608616493224</v>
      </c>
      <c r="L4011" s="70">
        <v>1.3951420341955114</v>
      </c>
      <c r="M4011" s="71">
        <f>IF(L4011&lt;1,1,L4011)</f>
        <v>1.3951420341955114</v>
      </c>
      <c r="N4011" s="70" t="s">
        <v>141</v>
      </c>
      <c r="O4011" s="71">
        <f>INDEX(DurClassMapping,MATCH(M4011,MappingTables!$D$4:$D$8,-1),1)</f>
        <v>1</v>
      </c>
      <c r="P4011" s="73">
        <f>IF(M4011=$A$1,1,$M4011-INDEX(MappingTables!$E$4:$E$8,MATCH(O4011,MappingTables!$B$4:$B$8,0)))</f>
        <v>1.3951420341955114</v>
      </c>
      <c r="Q4011" s="71">
        <f>IF(B4011="",0,INDEX(ModelParameters!$D$6:$K$10,MATCH($O4011,ModelParameters!$B$6:$B$10,0),MATCH($J4011,ModelParameters!$D$5:$K$5,0)))</f>
        <v>0.013999999999999998</v>
      </c>
      <c r="R4011" s="71">
        <f>IF(B4011="",0,INDEX(ModelParameters!$D$13:$K$17,MATCH($O4011,ModelParameters!$B$13:$B$17,0),MATCH($J4011,ModelParameters!$D$5:$K$5,0)))</f>
        <v>0</v>
      </c>
      <c r="S4011" s="160">
        <f>IF(B4011="",0,MIN(IF($N4011="Other Bond TM",ModelParameters!$N$21,1)*(P4011*Q4011+R4011),1))</f>
        <v>0.019531988478737156</v>
      </c>
      <c r="T4011" s="85">
        <f>IF(B4011="",0,$S4011*$K4011)</f>
        <v>0.022341877171012924</v>
      </c>
      <c r="U4011" s="85">
        <f>IF(B4011="",0,IF(OR(H4011=MappingTables!$C$34,H4011=MappingTables!$C$35),T4011,0))</f>
        <v>0</v>
      </c>
      <c r="V4011" s="85">
        <f>IF(ISNA(IF(AND(VLOOKUP(CONCATENATE($D4011,$G4011),CSRFinput!$B:$E,4,0)=0,OR(H4011=MappingTables!$C$34,H4011=MappingTables!$C$35)),1,VLOOKUP(CONCATENATE($D4011,$G4011),CSRFinput!$B:$E,4,0))),0,IF(AND(VLOOKUP(CONCATENATE($D4011,$G4011),CSRFinput!$B:$E,4,0)=0,OR(H4011=MappingTables!$C$34,H4011=MappingTables!$C$35)),1,VLOOKUP(CONCATENATE($D4011,$G4011),CSRFinput!$B:$E,4,0)))</f>
        <v>0.054776304963434752</v>
      </c>
      <c r="W4011" s="85">
        <f>IF(B4011="",0,+$T4011*$V4011)</f>
        <v>0.0012238054773750046</v>
      </c>
      <c r="X4011" s="85">
        <f>IF(B4011="",0,IF(OR(H4011=MappingTables!$C$34,H4011=MappingTables!$C$35),W4011,0))</f>
        <v>0</v>
      </c>
    </row>
    <row r="4012" spans="2:24" s="0" customFormat="0" ht="15">
      <c r="B4012" s="69">
        <v>11842055</v>
      </c>
      <c r="C4012" s="70" t="s">
        <v>509</v>
      </c>
      <c r="D4012" s="70" t="s">
        <v>1</v>
      </c>
      <c r="E4012" s="70" t="s">
        <v>1</v>
      </c>
      <c r="F4012" s="70"/>
      <c r="G4012" s="70" t="s">
        <v>61</v>
      </c>
      <c r="H4012" s="70" t="s">
        <v>178</v>
      </c>
      <c r="I4012" s="70" t="s">
        <v>181</v>
      </c>
      <c r="J4012" s="71">
        <f>IF(OR(I4012=0,I4012=""),"unrated",VLOOKUP(I4012,MappingTables!$B$19:$C$31,2,FALSE))</f>
        <v>3</v>
      </c>
      <c r="K4012" s="72">
        <v>6.348262833382192</v>
      </c>
      <c r="L4012" s="70">
        <v>0.30685051538765816</v>
      </c>
      <c r="M4012" s="71">
        <f>IF(L4012&lt;1,1,L4012)</f>
        <v>1</v>
      </c>
      <c r="N4012" s="70" t="s">
        <v>141</v>
      </c>
      <c r="O4012" s="71">
        <f>INDEX(DurClassMapping,MATCH(M4012,MappingTables!$D$4:$D$8,-1),1)</f>
        <v>1</v>
      </c>
      <c r="P4012" s="73">
        <f>IF(M4012=$A$1,1,$M4012-INDEX(MappingTables!$E$4:$E$8,MATCH(O4012,MappingTables!$B$4:$B$8,0)))</f>
        <v>1</v>
      </c>
      <c r="Q4012" s="71">
        <f>IF(B4012="",0,INDEX(ModelParameters!$D$6:$K$10,MATCH($O4012,ModelParameters!$B$6:$B$10,0),MATCH($J4012,ModelParameters!$D$5:$K$5,0)))</f>
        <v>0.025</v>
      </c>
      <c r="R4012" s="71">
        <f>IF(B4012="",0,INDEX(ModelParameters!$D$13:$K$17,MATCH($O4012,ModelParameters!$B$13:$B$17,0),MATCH($J4012,ModelParameters!$D$5:$K$5,0)))</f>
        <v>0</v>
      </c>
      <c r="S4012" s="160">
        <f>IF(B4012="",0,MIN(IF($N4012="Other Bond TM",ModelParameters!$N$21,1)*(P4012*Q4012+R4012),1))</f>
        <v>0.025</v>
      </c>
      <c r="T4012" s="85">
        <f>IF(B4012="",0,$S4012*$K4012)</f>
        <v>0.1587065708345548</v>
      </c>
      <c r="U4012" s="85">
        <f>IF(B4012="",0,IF(OR(H4012=MappingTables!$C$34,H4012=MappingTables!$C$35),T4012,0))</f>
        <v>0</v>
      </c>
      <c r="V4012" s="85">
        <f>IF(ISNA(IF(AND(VLOOKUP(CONCATENATE($D4012,$G4012),CSRFinput!$B:$E,4,0)=0,OR(H4012=MappingTables!$C$34,H4012=MappingTables!$C$35)),1,VLOOKUP(CONCATENATE($D4012,$G4012),CSRFinput!$B:$E,4,0))),0,IF(AND(VLOOKUP(CONCATENATE($D4012,$G4012),CSRFinput!$B:$E,4,0)=0,OR(H4012=MappingTables!$C$34,H4012=MappingTables!$C$35)),1,VLOOKUP(CONCATENATE($D4012,$G4012),CSRFinput!$B:$E,4,0)))</f>
        <v>0.054776304963434752</v>
      </c>
      <c r="W4012" s="85">
        <f>IF(B4012="",0,+$T4012*$V4012)</f>
        <v>0.0086933595237345344</v>
      </c>
      <c r="X4012" s="85">
        <f>IF(B4012="",0,IF(OR(H4012=MappingTables!$C$34,H4012=MappingTables!$C$35),W4012,0))</f>
        <v>0</v>
      </c>
    </row>
    <row r="4013" spans="2:24" s="0" customFormat="0" ht="15">
      <c r="B4013" s="69">
        <v>15552694</v>
      </c>
      <c r="C4013" s="70" t="s">
        <v>1521</v>
      </c>
      <c r="D4013" s="70" t="s">
        <v>1</v>
      </c>
      <c r="E4013" s="70" t="s">
        <v>1</v>
      </c>
      <c r="F4013" s="70"/>
      <c r="G4013" s="70" t="s">
        <v>61</v>
      </c>
      <c r="H4013" s="70" t="s">
        <v>178</v>
      </c>
      <c r="I4013" s="70" t="s">
        <v>181</v>
      </c>
      <c r="J4013" s="71">
        <f>IF(OR(I4013=0,I4013=""),"unrated",VLOOKUP(I4013,MappingTables!$B$19:$C$31,2,FALSE))</f>
        <v>3</v>
      </c>
      <c r="K4013" s="72">
        <v>16569.112250498186</v>
      </c>
      <c r="L4013" s="70">
        <v>12.634150874704632</v>
      </c>
      <c r="M4013" s="71">
        <f>IF(L4013&lt;1,1,L4013)</f>
        <v>12.634150874704632</v>
      </c>
      <c r="N4013" s="70" t="s">
        <v>141</v>
      </c>
      <c r="O4013" s="71">
        <f>INDEX(DurClassMapping,MATCH(M4013,MappingTables!$D$4:$D$8,-1),1)</f>
        <v>3</v>
      </c>
      <c r="P4013" s="73">
        <f>IF(M4013=$A$1,1,$M4013-INDEX(MappingTables!$E$4:$E$8,MATCH(O4013,MappingTables!$B$4:$B$8,0)))</f>
        <v>2.6341508747046324</v>
      </c>
      <c r="Q4013" s="71">
        <f>IF(B4013="",0,INDEX(ModelParameters!$D$6:$K$10,MATCH($O4013,ModelParameters!$B$6:$B$10,0),MATCH($J4013,ModelParameters!$D$5:$K$5,0)))</f>
        <v>0.01</v>
      </c>
      <c r="R4013" s="71">
        <f>IF(B4013="",0,INDEX(ModelParameters!$D$13:$K$17,MATCH($O4013,ModelParameters!$B$13:$B$17,0),MATCH($J4013,ModelParameters!$D$5:$K$5,0)))</f>
        <v>0.2</v>
      </c>
      <c r="S4013" s="160">
        <f>IF(B4013="",0,MIN(IF($N4013="Other Bond TM",ModelParameters!$N$21,1)*(P4013*Q4013+R4013),1))</f>
        <v>0.22634150874704632</v>
      </c>
      <c r="T4013" s="85">
        <f>IF(B4013="",0,$S4013*$K4013)</f>
        <v>3750.277865376928</v>
      </c>
      <c r="U4013" s="85">
        <f>IF(B4013="",0,IF(OR(H4013=MappingTables!$C$34,H4013=MappingTables!$C$35),T4013,0))</f>
        <v>0</v>
      </c>
      <c r="V4013" s="85">
        <f>IF(ISNA(IF(AND(VLOOKUP(CONCATENATE($D4013,$G4013),CSRFinput!$B:$E,4,0)=0,OR(H4013=MappingTables!$C$34,H4013=MappingTables!$C$35)),1,VLOOKUP(CONCATENATE($D4013,$G4013),CSRFinput!$B:$E,4,0))),0,IF(AND(VLOOKUP(CONCATENATE($D4013,$G4013),CSRFinput!$B:$E,4,0)=0,OR(H4013=MappingTables!$C$34,H4013=MappingTables!$C$35)),1,VLOOKUP(CONCATENATE($D4013,$G4013),CSRFinput!$B:$E,4,0)))</f>
        <v>0.054776304963434752</v>
      </c>
      <c r="W4013" s="85">
        <f>IF(B4013="",0,+$T4013*$V4013)</f>
        <v>205.42636405150572</v>
      </c>
      <c r="X4013" s="85">
        <f>IF(B4013="",0,IF(OR(H4013=MappingTables!$C$34,H4013=MappingTables!$C$35),W4013,0))</f>
        <v>0</v>
      </c>
    </row>
    <row r="4014" spans="2:24" s="0" customFormat="0" ht="15">
      <c r="B4014" s="69">
        <v>21045590</v>
      </c>
      <c r="C4014" s="70" t="s">
        <v>2587</v>
      </c>
      <c r="D4014" s="70" t="s">
        <v>1</v>
      </c>
      <c r="E4014" s="70" t="s">
        <v>1</v>
      </c>
      <c r="F4014" s="70"/>
      <c r="G4014" s="70" t="s">
        <v>61</v>
      </c>
      <c r="H4014" s="70" t="s">
        <v>178</v>
      </c>
      <c r="I4014" s="70" t="s">
        <v>188</v>
      </c>
      <c r="J4014" s="71">
        <f>IF(OR(I4014=0,I4014=""),"unrated",VLOOKUP(I4014,MappingTables!$B$19:$C$31,2,FALSE))</f>
        <v>2</v>
      </c>
      <c r="K4014" s="72">
        <v>3993.7483140273008</v>
      </c>
      <c r="L4014" s="70">
        <v>4.0880308410725448</v>
      </c>
      <c r="M4014" s="71">
        <f>IF(L4014&lt;1,1,L4014)</f>
        <v>4.0880308410725448</v>
      </c>
      <c r="N4014" s="70" t="s">
        <v>141</v>
      </c>
      <c r="O4014" s="71">
        <f>INDEX(DurClassMapping,MATCH(M4014,MappingTables!$D$4:$D$8,-1),1)</f>
        <v>1</v>
      </c>
      <c r="P4014" s="73">
        <f>IF(M4014=$A$1,1,$M4014-INDEX(MappingTables!$E$4:$E$8,MATCH(O4014,MappingTables!$B$4:$B$8,0)))</f>
        <v>4.0880308410725448</v>
      </c>
      <c r="Q4014" s="71">
        <f>IF(B4014="",0,INDEX(ModelParameters!$D$6:$K$10,MATCH($O4014,ModelParameters!$B$6:$B$10,0),MATCH($J4014,ModelParameters!$D$5:$K$5,0)))</f>
        <v>0.013999999999999998</v>
      </c>
      <c r="R4014" s="71">
        <f>IF(B4014="",0,INDEX(ModelParameters!$D$13:$K$17,MATCH($O4014,ModelParameters!$B$13:$B$17,0),MATCH($J4014,ModelParameters!$D$5:$K$5,0)))</f>
        <v>0</v>
      </c>
      <c r="S4014" s="160">
        <f>IF(B4014="",0,MIN(IF($N4014="Other Bond TM",ModelParameters!$N$21,1)*(P4014*Q4014+R4014),1))</f>
        <v>0.057232431775015624</v>
      </c>
      <c r="T4014" s="85">
        <f>IF(B4014="",0,$S4014*$K4014)</f>
        <v>228.5719279091512</v>
      </c>
      <c r="U4014" s="85">
        <f>IF(B4014="",0,IF(OR(H4014=MappingTables!$C$34,H4014=MappingTables!$C$35),T4014,0))</f>
        <v>0</v>
      </c>
      <c r="V4014" s="85">
        <f>IF(ISNA(IF(AND(VLOOKUP(CONCATENATE($D4014,$G4014),CSRFinput!$B:$E,4,0)=0,OR(H4014=MappingTables!$C$34,H4014=MappingTables!$C$35)),1,VLOOKUP(CONCATENATE($D4014,$G4014),CSRFinput!$B:$E,4,0))),0,IF(AND(VLOOKUP(CONCATENATE($D4014,$G4014),CSRFinput!$B:$E,4,0)=0,OR(H4014=MappingTables!$C$34,H4014=MappingTables!$C$35)),1,VLOOKUP(CONCATENATE($D4014,$G4014),CSRFinput!$B:$E,4,0)))</f>
        <v>0.054776304963434752</v>
      </c>
      <c r="W4014" s="85">
        <f>IF(B4014="",0,+$T4014*$V4014)</f>
        <v>12.52032562923189</v>
      </c>
      <c r="X4014" s="85">
        <f>IF(B4014="",0,IF(OR(H4014=MappingTables!$C$34,H4014=MappingTables!$C$35),W4014,0))</f>
        <v>0</v>
      </c>
    </row>
    <row r="4015" spans="2:24" s="0" customFormat="0" ht="15">
      <c r="B4015" s="69">
        <v>23531113</v>
      </c>
      <c r="C4015" s="70" t="s">
        <v>2771</v>
      </c>
      <c r="D4015" s="70" t="s">
        <v>1</v>
      </c>
      <c r="E4015" s="70" t="s">
        <v>1</v>
      </c>
      <c r="F4015" s="70"/>
      <c r="G4015" s="70" t="s">
        <v>61</v>
      </c>
      <c r="H4015" s="70" t="s">
        <v>178</v>
      </c>
      <c r="I4015" s="70" t="s">
        <v>220</v>
      </c>
      <c r="J4015" s="71">
        <f>IF(OR(I4015=0,I4015=""),"unrated",VLOOKUP(I4015,MappingTables!$B$19:$C$31,2,FALSE))</f>
        <v>1</v>
      </c>
      <c r="K4015" s="72">
        <v>1143.5856522670896</v>
      </c>
      <c r="L4015" s="70">
        <v>2.3469419387929724</v>
      </c>
      <c r="M4015" s="71">
        <f>IF(L4015&lt;1,1,L4015)</f>
        <v>2.3469419387929724</v>
      </c>
      <c r="N4015" s="70" t="s">
        <v>141</v>
      </c>
      <c r="O4015" s="71">
        <f>INDEX(DurClassMapping,MATCH(M4015,MappingTables!$D$4:$D$8,-1),1)</f>
        <v>1</v>
      </c>
      <c r="P4015" s="73">
        <f>IF(M4015=$A$1,1,$M4015-INDEX(MappingTables!$E$4:$E$8,MATCH(O4015,MappingTables!$B$4:$B$8,0)))</f>
        <v>2.3469419387929724</v>
      </c>
      <c r="Q4015" s="71">
        <f>IF(B4015="",0,INDEX(ModelParameters!$D$6:$K$10,MATCH($O4015,ModelParameters!$B$6:$B$10,0),MATCH($J4015,ModelParameters!$D$5:$K$5,0)))</f>
        <v>0.011000000000000002</v>
      </c>
      <c r="R4015" s="71">
        <f>IF(B4015="",0,INDEX(ModelParameters!$D$13:$K$17,MATCH($O4015,ModelParameters!$B$13:$B$17,0),MATCH($J4015,ModelParameters!$D$5:$K$5,0)))</f>
        <v>0</v>
      </c>
      <c r="S4015" s="160">
        <f>IF(B4015="",0,MIN(IF($N4015="Other Bond TM",ModelParameters!$N$21,1)*(P4015*Q4015+R4015),1))</f>
        <v>0.0258163613267227</v>
      </c>
      <c r="T4015" s="85">
        <f>IF(B4015="",0,$S4015*$K4015)</f>
        <v>29.523220406983052</v>
      </c>
      <c r="U4015" s="85">
        <f>IF(B4015="",0,IF(OR(H4015=MappingTables!$C$34,H4015=MappingTables!$C$35),T4015,0))</f>
        <v>0</v>
      </c>
      <c r="V4015" s="85">
        <f>IF(ISNA(IF(AND(VLOOKUP(CONCATENATE($D4015,$G4015),CSRFinput!$B:$E,4,0)=0,OR(H4015=MappingTables!$C$34,H4015=MappingTables!$C$35)),1,VLOOKUP(CONCATENATE($D4015,$G4015),CSRFinput!$B:$E,4,0))),0,IF(AND(VLOOKUP(CONCATENATE($D4015,$G4015),CSRFinput!$B:$E,4,0)=0,OR(H4015=MappingTables!$C$34,H4015=MappingTables!$C$35)),1,VLOOKUP(CONCATENATE($D4015,$G4015),CSRFinput!$B:$E,4,0)))</f>
        <v>0.054776304963434752</v>
      </c>
      <c r="W4015" s="85">
        <f>IF(B4015="",0,+$T4015*$V4015)</f>
        <v>1.617172924515604</v>
      </c>
      <c r="X4015" s="85">
        <f>IF(B4015="",0,IF(OR(H4015=MappingTables!$C$34,H4015=MappingTables!$C$35),W4015,0))</f>
        <v>0</v>
      </c>
    </row>
    <row r="4016" spans="2:24" s="0" customFormat="0" ht="15">
      <c r="B4016" s="69" t="s">
        <v>2961</v>
      </c>
      <c r="C4016" s="70" t="s">
        <v>2962</v>
      </c>
      <c r="D4016" s="70" t="s">
        <v>1</v>
      </c>
      <c r="E4016" s="70" t="s">
        <v>1</v>
      </c>
      <c r="F4016" s="70"/>
      <c r="G4016" s="70" t="s">
        <v>61</v>
      </c>
      <c r="H4016" s="70" t="s">
        <v>178</v>
      </c>
      <c r="I4016" s="70" t="s">
        <v>179</v>
      </c>
      <c r="J4016" s="71">
        <f>IF(OR(I4016=0,I4016=""),"unrated",VLOOKUP(I4016,MappingTables!$B$19:$C$31,2,FALSE))</f>
        <v>4</v>
      </c>
      <c r="K4016" s="72">
        <v>318.98761449182484</v>
      </c>
      <c r="L4016" s="70">
        <v>7.8225178920143984</v>
      </c>
      <c r="M4016" s="71">
        <f>IF(L4016&lt;1,1,L4016)</f>
        <v>7.8225178920143984</v>
      </c>
      <c r="N4016" s="70" t="s">
        <v>141</v>
      </c>
      <c r="O4016" s="71">
        <f>INDEX(DurClassMapping,MATCH(M4016,MappingTables!$D$4:$D$8,-1),1)</f>
        <v>2</v>
      </c>
      <c r="P4016" s="73">
        <f>IF(M4016=$A$1,1,$M4016-INDEX(MappingTables!$E$4:$E$8,MATCH(O4016,MappingTables!$B$4:$B$8,0)))</f>
        <v>2.822517892014398</v>
      </c>
      <c r="Q4016" s="71">
        <f>IF(B4016="",0,INDEX(ModelParameters!$D$6:$K$10,MATCH($O4016,ModelParameters!$B$6:$B$10,0),MATCH($J4016,ModelParameters!$D$5:$K$5,0)))</f>
        <v>0.025</v>
      </c>
      <c r="R4016" s="71">
        <f>IF(B4016="",0,INDEX(ModelParameters!$D$13:$K$17,MATCH($O4016,ModelParameters!$B$13:$B$17,0),MATCH($J4016,ModelParameters!$D$5:$K$5,0)))</f>
        <v>0.225</v>
      </c>
      <c r="S4016" s="160">
        <f>IF(B4016="",0,MIN(IF($N4016="Other Bond TM",ModelParameters!$N$21,1)*(P4016*Q4016+R4016),1))</f>
        <v>0.29556294730035992</v>
      </c>
      <c r="T4016" s="85">
        <f>IF(B4016="",0,$S4016*$K4016)</f>
        <v>94.280919491514752</v>
      </c>
      <c r="U4016" s="85">
        <f>IF(B4016="",0,IF(OR(H4016=MappingTables!$C$34,H4016=MappingTables!$C$35),T4016,0))</f>
        <v>0</v>
      </c>
      <c r="V4016" s="85">
        <f>IF(ISNA(IF(AND(VLOOKUP(CONCATENATE($D4016,$G4016),CSRFinput!$B:$E,4,0)=0,OR(H4016=MappingTables!$C$34,H4016=MappingTables!$C$35)),1,VLOOKUP(CONCATENATE($D4016,$G4016),CSRFinput!$B:$E,4,0))),0,IF(AND(VLOOKUP(CONCATENATE($D4016,$G4016),CSRFinput!$B:$E,4,0)=0,OR(H4016=MappingTables!$C$34,H4016=MappingTables!$C$35)),1,VLOOKUP(CONCATENATE($D4016,$G4016),CSRFinput!$B:$E,4,0)))</f>
        <v>0.054776304963434752</v>
      </c>
      <c r="W4016" s="85">
        <f>IF(B4016="",0,+$T4016*$V4016)</f>
        <v>5.164360398300252</v>
      </c>
      <c r="X4016" s="85">
        <f>IF(B4016="",0,IF(OR(H4016=MappingTables!$C$34,H4016=MappingTables!$C$35),W4016,0))</f>
        <v>0</v>
      </c>
    </row>
    <row r="4017" spans="2:24" s="0" customFormat="0" ht="15">
      <c r="B4017" s="69">
        <v>21247047</v>
      </c>
      <c r="C4017" s="70" t="s">
        <v>2678</v>
      </c>
      <c r="D4017" s="70" t="s">
        <v>1</v>
      </c>
      <c r="E4017" s="70" t="s">
        <v>1</v>
      </c>
      <c r="F4017" s="70"/>
      <c r="G4017" s="70" t="s">
        <v>61</v>
      </c>
      <c r="H4017" s="70" t="s">
        <v>178</v>
      </c>
      <c r="I4017" s="70" t="s">
        <v>184</v>
      </c>
      <c r="J4017" s="71">
        <f>IF(OR(I4017=0,I4017=""),"unrated",VLOOKUP(I4017,MappingTables!$B$19:$C$31,2,FALSE))</f>
        <v>5</v>
      </c>
      <c r="K4017" s="72">
        <v>27.77515325886866</v>
      </c>
      <c r="L4017" s="70">
        <v>0.77437843295174384</v>
      </c>
      <c r="M4017" s="71">
        <f>IF(L4017&lt;1,1,L4017)</f>
        <v>1</v>
      </c>
      <c r="N4017" s="70" t="s">
        <v>141</v>
      </c>
      <c r="O4017" s="71">
        <f>INDEX(DurClassMapping,MATCH(M4017,MappingTables!$D$4:$D$8,-1),1)</f>
        <v>1</v>
      </c>
      <c r="P4017" s="73">
        <f>IF(M4017=$A$1,1,$M4017-INDEX(MappingTables!$E$4:$E$8,MATCH(O4017,MappingTables!$B$4:$B$8,0)))</f>
        <v>1</v>
      </c>
      <c r="Q4017" s="71">
        <f>IF(B4017="",0,INDEX(ModelParameters!$D$6:$K$10,MATCH($O4017,ModelParameters!$B$6:$B$10,0),MATCH($J4017,ModelParameters!$D$5:$K$5,0)))</f>
        <v>0.075</v>
      </c>
      <c r="R4017" s="71">
        <f>IF(B4017="",0,INDEX(ModelParameters!$D$13:$K$17,MATCH($O4017,ModelParameters!$B$13:$B$17,0),MATCH($J4017,ModelParameters!$D$5:$K$5,0)))</f>
        <v>0</v>
      </c>
      <c r="S4017" s="160">
        <f>IF(B4017="",0,MIN(IF($N4017="Other Bond TM",ModelParameters!$N$21,1)*(P4017*Q4017+R4017),1))</f>
        <v>0.075</v>
      </c>
      <c r="T4017" s="85">
        <f>IF(B4017="",0,$S4017*$K4017)</f>
        <v>2.0831364944151492</v>
      </c>
      <c r="U4017" s="85">
        <f>IF(B4017="",0,IF(OR(H4017=MappingTables!$C$34,H4017=MappingTables!$C$35),T4017,0))</f>
        <v>0</v>
      </c>
      <c r="V4017" s="85">
        <f>IF(ISNA(IF(AND(VLOOKUP(CONCATENATE($D4017,$G4017),CSRFinput!$B:$E,4,0)=0,OR(H4017=MappingTables!$C$34,H4017=MappingTables!$C$35)),1,VLOOKUP(CONCATENATE($D4017,$G4017),CSRFinput!$B:$E,4,0))),0,IF(AND(VLOOKUP(CONCATENATE($D4017,$G4017),CSRFinput!$B:$E,4,0)=0,OR(H4017=MappingTables!$C$34,H4017=MappingTables!$C$35)),1,VLOOKUP(CONCATENATE($D4017,$G4017),CSRFinput!$B:$E,4,0)))</f>
        <v>0.054776304963434752</v>
      </c>
      <c r="W4017" s="85">
        <f>IF(B4017="",0,+$T4017*$V4017)</f>
        <v>0.11410651989854462</v>
      </c>
      <c r="X4017" s="85">
        <f>IF(B4017="",0,IF(OR(H4017=MappingTables!$C$34,H4017=MappingTables!$C$35),W4017,0))</f>
        <v>0</v>
      </c>
    </row>
    <row r="4018" spans="2:24" s="0" customFormat="0" ht="15">
      <c r="B4018" s="69">
        <v>14532329</v>
      </c>
      <c r="C4018" s="70" t="s">
        <v>2992</v>
      </c>
      <c r="D4018" s="70" t="s">
        <v>1</v>
      </c>
      <c r="E4018" s="70" t="s">
        <v>1</v>
      </c>
      <c r="F4018" s="70"/>
      <c r="G4018" s="70" t="s">
        <v>61</v>
      </c>
      <c r="H4018" s="70" t="s">
        <v>178</v>
      </c>
      <c r="I4018" s="70" t="s">
        <v>188</v>
      </c>
      <c r="J4018" s="71">
        <f>IF(OR(I4018=0,I4018=""),"unrated",VLOOKUP(I4018,MappingTables!$B$19:$C$31,2,FALSE))</f>
        <v>2</v>
      </c>
      <c r="K4018" s="72">
        <v>211.3078133151958</v>
      </c>
      <c r="L4018" s="70">
        <v>15.909133668984194</v>
      </c>
      <c r="M4018" s="71">
        <f>IF(L4018&lt;1,1,L4018)</f>
        <v>15.909133668984194</v>
      </c>
      <c r="N4018" s="70" t="s">
        <v>141</v>
      </c>
      <c r="O4018" s="71">
        <f>INDEX(DurClassMapping,MATCH(M4018,MappingTables!$D$4:$D$8,-1),1)</f>
        <v>4</v>
      </c>
      <c r="P4018" s="73">
        <f>IF(M4018=$A$1,1,$M4018-INDEX(MappingTables!$E$4:$E$8,MATCH(O4018,MappingTables!$B$4:$B$8,0)))</f>
        <v>0.90913366898419312</v>
      </c>
      <c r="Q4018" s="71">
        <f>IF(B4018="",0,INDEX(ModelParameters!$D$6:$K$10,MATCH($O4018,ModelParameters!$B$6:$B$10,0),MATCH($J4018,ModelParameters!$D$5:$K$5,0)))</f>
        <v>0.005</v>
      </c>
      <c r="R4018" s="71">
        <f>IF(B4018="",0,INDEX(ModelParameters!$D$13:$K$17,MATCH($O4018,ModelParameters!$B$13:$B$17,0),MATCH($J4018,ModelParameters!$D$5:$K$5,0)))</f>
        <v>0.13</v>
      </c>
      <c r="S4018" s="160">
        <f>IF(B4018="",0,MIN(IF($N4018="Other Bond TM",ModelParameters!$N$21,1)*(P4018*Q4018+R4018),1))</f>
        <v>0.13454566834492096</v>
      </c>
      <c r="T4018" s="85">
        <f>IF(B4018="",0,$S4018*$K4018)</f>
        <v>28.430550968996808</v>
      </c>
      <c r="U4018" s="85">
        <f>IF(B4018="",0,IF(OR(H4018=MappingTables!$C$34,H4018=MappingTables!$C$35),T4018,0))</f>
        <v>0</v>
      </c>
      <c r="V4018" s="85">
        <f>IF(ISNA(IF(AND(VLOOKUP(CONCATENATE($D4018,$G4018),CSRFinput!$B:$E,4,0)=0,OR(H4018=MappingTables!$C$34,H4018=MappingTables!$C$35)),1,VLOOKUP(CONCATENATE($D4018,$G4018),CSRFinput!$B:$E,4,0))),0,IF(AND(VLOOKUP(CONCATENATE($D4018,$G4018),CSRFinput!$B:$E,4,0)=0,OR(H4018=MappingTables!$C$34,H4018=MappingTables!$C$35)),1,VLOOKUP(CONCATENATE($D4018,$G4018),CSRFinput!$B:$E,4,0)))</f>
        <v>0.054776304963434752</v>
      </c>
      <c r="W4018" s="85">
        <f>IF(B4018="",0,+$T4018*$V4018)</f>
        <v>1.5573205301562448</v>
      </c>
      <c r="X4018" s="85">
        <f>IF(B4018="",0,IF(OR(H4018=MappingTables!$C$34,H4018=MappingTables!$C$35),W4018,0))</f>
        <v>0</v>
      </c>
    </row>
    <row r="4019" spans="2:24" s="0" customFormat="0" ht="15">
      <c r="B4019" s="69">
        <v>22264575</v>
      </c>
      <c r="C4019" s="70" t="s">
        <v>2345</v>
      </c>
      <c r="D4019" s="70" t="s">
        <v>1</v>
      </c>
      <c r="E4019" s="70" t="s">
        <v>1</v>
      </c>
      <c r="F4019" s="70"/>
      <c r="G4019" s="70" t="s">
        <v>61</v>
      </c>
      <c r="H4019" s="70" t="s">
        <v>178</v>
      </c>
      <c r="I4019" s="70" t="s">
        <v>181</v>
      </c>
      <c r="J4019" s="71">
        <f>IF(OR(I4019=0,I4019=""),"unrated",VLOOKUP(I4019,MappingTables!$B$19:$C$31,2,FALSE))</f>
        <v>3</v>
      </c>
      <c r="K4019" s="72">
        <v>4962.599958011808</v>
      </c>
      <c r="L4019" s="70">
        <v>4.1136752262386512</v>
      </c>
      <c r="M4019" s="71">
        <f>IF(L4019&lt;1,1,L4019)</f>
        <v>4.1136752262386512</v>
      </c>
      <c r="N4019" s="70" t="s">
        <v>141</v>
      </c>
      <c r="O4019" s="71">
        <f>INDEX(DurClassMapping,MATCH(M4019,MappingTables!$D$4:$D$8,-1),1)</f>
        <v>1</v>
      </c>
      <c r="P4019" s="73">
        <f>IF(M4019=$A$1,1,$M4019-INDEX(MappingTables!$E$4:$E$8,MATCH(O4019,MappingTables!$B$4:$B$8,0)))</f>
        <v>4.1136752262386512</v>
      </c>
      <c r="Q4019" s="71">
        <f>IF(B4019="",0,INDEX(ModelParameters!$D$6:$K$10,MATCH($O4019,ModelParameters!$B$6:$B$10,0),MATCH($J4019,ModelParameters!$D$5:$K$5,0)))</f>
        <v>0.025</v>
      </c>
      <c r="R4019" s="71">
        <f>IF(B4019="",0,INDEX(ModelParameters!$D$13:$K$17,MATCH($O4019,ModelParameters!$B$13:$B$17,0),MATCH($J4019,ModelParameters!$D$5:$K$5,0)))</f>
        <v>0</v>
      </c>
      <c r="S4019" s="160">
        <f>IF(B4019="",0,MIN(IF($N4019="Other Bond TM",ModelParameters!$N$21,1)*(P4019*Q4019+R4019),1))</f>
        <v>0.1028418806559663</v>
      </c>
      <c r="T4019" s="85">
        <f>IF(B4019="",0,$S4019*$K4019)</f>
        <v>510.36311262515368</v>
      </c>
      <c r="U4019" s="85">
        <f>IF(B4019="",0,IF(OR(H4019=MappingTables!$C$34,H4019=MappingTables!$C$35),T4019,0))</f>
        <v>0</v>
      </c>
      <c r="V4019" s="85">
        <f>IF(ISNA(IF(AND(VLOOKUP(CONCATENATE($D4019,$G4019),CSRFinput!$B:$E,4,0)=0,OR(H4019=MappingTables!$C$34,H4019=MappingTables!$C$35)),1,VLOOKUP(CONCATENATE($D4019,$G4019),CSRFinput!$B:$E,4,0))),0,IF(AND(VLOOKUP(CONCATENATE($D4019,$G4019),CSRFinput!$B:$E,4,0)=0,OR(H4019=MappingTables!$C$34,H4019=MappingTables!$C$35)),1,VLOOKUP(CONCATENATE($D4019,$G4019),CSRFinput!$B:$E,4,0)))</f>
        <v>0.054776304963434752</v>
      </c>
      <c r="W4019" s="85">
        <f>IF(B4019="",0,+$T4019*$V4019)</f>
        <v>27.955805499243216</v>
      </c>
      <c r="X4019" s="85">
        <f>IF(B4019="",0,IF(OR(H4019=MappingTables!$C$34,H4019=MappingTables!$C$35),W4019,0))</f>
        <v>0</v>
      </c>
    </row>
    <row r="4020" spans="2:24" s="0" customFormat="0" ht="15">
      <c r="B4020" s="69">
        <v>19567751</v>
      </c>
      <c r="C4020" s="70" t="s">
        <v>2813</v>
      </c>
      <c r="D4020" s="70" t="s">
        <v>1</v>
      </c>
      <c r="E4020" s="70" t="s">
        <v>1</v>
      </c>
      <c r="F4020" s="70"/>
      <c r="G4020" s="70" t="s">
        <v>61</v>
      </c>
      <c r="H4020" s="70" t="s">
        <v>178</v>
      </c>
      <c r="I4020" s="70" t="s">
        <v>188</v>
      </c>
      <c r="J4020" s="71">
        <f>IF(OR(I4020=0,I4020=""),"unrated",VLOOKUP(I4020,MappingTables!$B$19:$C$31,2,FALSE))</f>
        <v>2</v>
      </c>
      <c r="K4020" s="72">
        <v>0.057562265958151056</v>
      </c>
      <c r="L4020" s="70">
        <v>0.7534348052858784</v>
      </c>
      <c r="M4020" s="71">
        <f>IF(L4020&lt;1,1,L4020)</f>
        <v>1</v>
      </c>
      <c r="N4020" s="70" t="s">
        <v>141</v>
      </c>
      <c r="O4020" s="71">
        <f>INDEX(DurClassMapping,MATCH(M4020,MappingTables!$D$4:$D$8,-1),1)</f>
        <v>1</v>
      </c>
      <c r="P4020" s="73">
        <f>IF(M4020=$A$1,1,$M4020-INDEX(MappingTables!$E$4:$E$8,MATCH(O4020,MappingTables!$B$4:$B$8,0)))</f>
        <v>1</v>
      </c>
      <c r="Q4020" s="71">
        <f>IF(B4020="",0,INDEX(ModelParameters!$D$6:$K$10,MATCH($O4020,ModelParameters!$B$6:$B$10,0),MATCH($J4020,ModelParameters!$D$5:$K$5,0)))</f>
        <v>0.013999999999999998</v>
      </c>
      <c r="R4020" s="71">
        <f>IF(B4020="",0,INDEX(ModelParameters!$D$13:$K$17,MATCH($O4020,ModelParameters!$B$13:$B$17,0),MATCH($J4020,ModelParameters!$D$5:$K$5,0)))</f>
        <v>0</v>
      </c>
      <c r="S4020" s="160">
        <f>IF(B4020="",0,MIN(IF($N4020="Other Bond TM",ModelParameters!$N$21,1)*(P4020*Q4020+R4020),1))</f>
        <v>0.013999999999999998</v>
      </c>
      <c r="T4020" s="85">
        <f>IF(B4020="",0,$S4020*$K4020)</f>
        <v>0.00080587172341411472</v>
      </c>
      <c r="U4020" s="85">
        <f>IF(B4020="",0,IF(OR(H4020=MappingTables!$C$34,H4020=MappingTables!$C$35),T4020,0))</f>
        <v>0</v>
      </c>
      <c r="V4020" s="85">
        <f>IF(ISNA(IF(AND(VLOOKUP(CONCATENATE($D4020,$G4020),CSRFinput!$B:$E,4,0)=0,OR(H4020=MappingTables!$C$34,H4020=MappingTables!$C$35)),1,VLOOKUP(CONCATENATE($D4020,$G4020),CSRFinput!$B:$E,4,0))),0,IF(AND(VLOOKUP(CONCATENATE($D4020,$G4020),CSRFinput!$B:$E,4,0)=0,OR(H4020=MappingTables!$C$34,H4020=MappingTables!$C$35)),1,VLOOKUP(CONCATENATE($D4020,$G4020),CSRFinput!$B:$E,4,0)))</f>
        <v>0.054776304963434752</v>
      </c>
      <c r="W4020" s="85">
        <f>IF(B4020="",0,+$T4020*$V4020)</f>
        <v>0.000044142675283140288</v>
      </c>
      <c r="X4020" s="85">
        <f>IF(B4020="",0,IF(OR(H4020=MappingTables!$C$34,H4020=MappingTables!$C$35),W4020,0))</f>
        <v>0</v>
      </c>
    </row>
    <row r="4021" spans="2:24" s="0" customFormat="0" ht="15">
      <c r="B4021" s="69">
        <v>22948279</v>
      </c>
      <c r="C4021" s="70" t="s">
        <v>335</v>
      </c>
      <c r="D4021" s="70" t="s">
        <v>1</v>
      </c>
      <c r="E4021" s="70" t="s">
        <v>1</v>
      </c>
      <c r="F4021" s="70"/>
      <c r="G4021" s="70" t="s">
        <v>61</v>
      </c>
      <c r="H4021" s="70" t="s">
        <v>178</v>
      </c>
      <c r="I4021" s="70" t="s">
        <v>181</v>
      </c>
      <c r="J4021" s="71">
        <f>IF(OR(I4021=0,I4021=""),"unrated",VLOOKUP(I4021,MappingTables!$B$19:$C$31,2,FALSE))</f>
        <v>3</v>
      </c>
      <c r="K4021" s="72">
        <v>10.134981535132672</v>
      </c>
      <c r="L4021" s="70">
        <v>0.36431633601856792</v>
      </c>
      <c r="M4021" s="71">
        <f>IF(L4021&lt;1,1,L4021)</f>
        <v>1</v>
      </c>
      <c r="N4021" s="70" t="s">
        <v>141</v>
      </c>
      <c r="O4021" s="71">
        <f>INDEX(DurClassMapping,MATCH(M4021,MappingTables!$D$4:$D$8,-1),1)</f>
        <v>1</v>
      </c>
      <c r="P4021" s="73">
        <f>IF(M4021=$A$1,1,$M4021-INDEX(MappingTables!$E$4:$E$8,MATCH(O4021,MappingTables!$B$4:$B$8,0)))</f>
        <v>1</v>
      </c>
      <c r="Q4021" s="71">
        <f>IF(B4021="",0,INDEX(ModelParameters!$D$6:$K$10,MATCH($O4021,ModelParameters!$B$6:$B$10,0),MATCH($J4021,ModelParameters!$D$5:$K$5,0)))</f>
        <v>0.025</v>
      </c>
      <c r="R4021" s="71">
        <f>IF(B4021="",0,INDEX(ModelParameters!$D$13:$K$17,MATCH($O4021,ModelParameters!$B$13:$B$17,0),MATCH($J4021,ModelParameters!$D$5:$K$5,0)))</f>
        <v>0</v>
      </c>
      <c r="S4021" s="160">
        <f>IF(B4021="",0,MIN(IF($N4021="Other Bond TM",ModelParameters!$N$21,1)*(P4021*Q4021+R4021),1))</f>
        <v>0.025</v>
      </c>
      <c r="T4021" s="85">
        <f>IF(B4021="",0,$S4021*$K4021)</f>
        <v>0.2533745383783168</v>
      </c>
      <c r="U4021" s="85">
        <f>IF(B4021="",0,IF(OR(H4021=MappingTables!$C$34,H4021=MappingTables!$C$35),T4021,0))</f>
        <v>0</v>
      </c>
      <c r="V4021" s="85">
        <f>IF(ISNA(IF(AND(VLOOKUP(CONCATENATE($D4021,$G4021),CSRFinput!$B:$E,4,0)=0,OR(H4021=MappingTables!$C$34,H4021=MappingTables!$C$35)),1,VLOOKUP(CONCATENATE($D4021,$G4021),CSRFinput!$B:$E,4,0))),0,IF(AND(VLOOKUP(CONCATENATE($D4021,$G4021),CSRFinput!$B:$E,4,0)=0,OR(H4021=MappingTables!$C$34,H4021=MappingTables!$C$35)),1,VLOOKUP(CONCATENATE($D4021,$G4021),CSRFinput!$B:$E,4,0)))</f>
        <v>0.054776304963434752</v>
      </c>
      <c r="W4021" s="85">
        <f>IF(B4021="",0,+$T4021*$V4021)</f>
        <v>0.013878920984180184</v>
      </c>
      <c r="X4021" s="85">
        <f>IF(B4021="",0,IF(OR(H4021=MappingTables!$C$34,H4021=MappingTables!$C$35),W4021,0))</f>
        <v>0</v>
      </c>
    </row>
    <row r="4022" spans="2:24" s="0" customFormat="0" ht="15">
      <c r="B4022" s="69">
        <v>11258732</v>
      </c>
      <c r="C4022" s="70" t="s">
        <v>2879</v>
      </c>
      <c r="D4022" s="70" t="s">
        <v>1</v>
      </c>
      <c r="E4022" s="70" t="s">
        <v>1</v>
      </c>
      <c r="F4022" s="70"/>
      <c r="G4022" s="70" t="s">
        <v>61</v>
      </c>
      <c r="H4022" s="70" t="s">
        <v>178</v>
      </c>
      <c r="I4022" s="70" t="s">
        <v>188</v>
      </c>
      <c r="J4022" s="71">
        <f>IF(OR(I4022=0,I4022=""),"unrated",VLOOKUP(I4022,MappingTables!$B$19:$C$31,2,FALSE))</f>
        <v>2</v>
      </c>
      <c r="K4022" s="72">
        <v>447.14876995064864</v>
      </c>
      <c r="L4022" s="70">
        <v>0.0082175639478509152</v>
      </c>
      <c r="M4022" s="71">
        <f>IF(L4022&lt;1,1,L4022)</f>
        <v>1</v>
      </c>
      <c r="N4022" s="70" t="s">
        <v>141</v>
      </c>
      <c r="O4022" s="71">
        <f>INDEX(DurClassMapping,MATCH(M4022,MappingTables!$D$4:$D$8,-1),1)</f>
        <v>1</v>
      </c>
      <c r="P4022" s="73">
        <f>IF(M4022=$A$1,1,$M4022-INDEX(MappingTables!$E$4:$E$8,MATCH(O4022,MappingTables!$B$4:$B$8,0)))</f>
        <v>1</v>
      </c>
      <c r="Q4022" s="71">
        <f>IF(B4022="",0,INDEX(ModelParameters!$D$6:$K$10,MATCH($O4022,ModelParameters!$B$6:$B$10,0),MATCH($J4022,ModelParameters!$D$5:$K$5,0)))</f>
        <v>0.013999999999999998</v>
      </c>
      <c r="R4022" s="71">
        <f>IF(B4022="",0,INDEX(ModelParameters!$D$13:$K$17,MATCH($O4022,ModelParameters!$B$13:$B$17,0),MATCH($J4022,ModelParameters!$D$5:$K$5,0)))</f>
        <v>0</v>
      </c>
      <c r="S4022" s="160">
        <f>IF(B4022="",0,MIN(IF($N4022="Other Bond TM",ModelParameters!$N$21,1)*(P4022*Q4022+R4022),1))</f>
        <v>0.013999999999999998</v>
      </c>
      <c r="T4022" s="85">
        <f>IF(B4022="",0,$S4022*$K4022)</f>
        <v>6.2600827793090808</v>
      </c>
      <c r="U4022" s="85">
        <f>IF(B4022="",0,IF(OR(H4022=MappingTables!$C$34,H4022=MappingTables!$C$35),T4022,0))</f>
        <v>0</v>
      </c>
      <c r="V4022" s="85">
        <f>IF(ISNA(IF(AND(VLOOKUP(CONCATENATE($D4022,$G4022),CSRFinput!$B:$E,4,0)=0,OR(H4022=MappingTables!$C$34,H4022=MappingTables!$C$35)),1,VLOOKUP(CONCATENATE($D4022,$G4022),CSRFinput!$B:$E,4,0))),0,IF(AND(VLOOKUP(CONCATENATE($D4022,$G4022),CSRFinput!$B:$E,4,0)=0,OR(H4022=MappingTables!$C$34,H4022=MappingTables!$C$35)),1,VLOOKUP(CONCATENATE($D4022,$G4022),CSRFinput!$B:$E,4,0)))</f>
        <v>0.054776304963434752</v>
      </c>
      <c r="W4022" s="85">
        <f>IF(B4022="",0,+$T4022*$V4022)</f>
        <v>0.34290420341578044</v>
      </c>
      <c r="X4022" s="85">
        <f>IF(B4022="",0,IF(OR(H4022=MappingTables!$C$34,H4022=MappingTables!$C$35),W4022,0))</f>
        <v>0</v>
      </c>
    </row>
    <row r="4023" spans="2:24" s="0" customFormat="0" ht="15">
      <c r="B4023" s="69">
        <v>19240912</v>
      </c>
      <c r="C4023" s="70" t="s">
        <v>1167</v>
      </c>
      <c r="D4023" s="70" t="s">
        <v>1</v>
      </c>
      <c r="E4023" s="70" t="s">
        <v>1</v>
      </c>
      <c r="F4023" s="70"/>
      <c r="G4023" s="70" t="s">
        <v>61</v>
      </c>
      <c r="H4023" s="70" t="s">
        <v>178</v>
      </c>
      <c r="I4023" s="70" t="s">
        <v>220</v>
      </c>
      <c r="J4023" s="71">
        <f>IF(OR(I4023=0,I4023=""),"unrated",VLOOKUP(I4023,MappingTables!$B$19:$C$31,2,FALSE))</f>
        <v>1</v>
      </c>
      <c r="K4023" s="72">
        <v>3716.031545138556</v>
      </c>
      <c r="L4023" s="70">
        <v>1.1682251607756852</v>
      </c>
      <c r="M4023" s="71">
        <f>IF(L4023&lt;1,1,L4023)</f>
        <v>1.1682251607756852</v>
      </c>
      <c r="N4023" s="70" t="s">
        <v>141</v>
      </c>
      <c r="O4023" s="71">
        <f>INDEX(DurClassMapping,MATCH(M4023,MappingTables!$D$4:$D$8,-1),1)</f>
        <v>1</v>
      </c>
      <c r="P4023" s="73">
        <f>IF(M4023=$A$1,1,$M4023-INDEX(MappingTables!$E$4:$E$8,MATCH(O4023,MappingTables!$B$4:$B$8,0)))</f>
        <v>1.1682251607756852</v>
      </c>
      <c r="Q4023" s="71">
        <f>IF(B4023="",0,INDEX(ModelParameters!$D$6:$K$10,MATCH($O4023,ModelParameters!$B$6:$B$10,0),MATCH($J4023,ModelParameters!$D$5:$K$5,0)))</f>
        <v>0.011000000000000002</v>
      </c>
      <c r="R4023" s="71">
        <f>IF(B4023="",0,INDEX(ModelParameters!$D$13:$K$17,MATCH($O4023,ModelParameters!$B$13:$B$17,0),MATCH($J4023,ModelParameters!$D$5:$K$5,0)))</f>
        <v>0</v>
      </c>
      <c r="S4023" s="160">
        <f>IF(B4023="",0,MIN(IF($N4023="Other Bond TM",ModelParameters!$N$21,1)*(P4023*Q4023+R4023),1))</f>
        <v>0.01285047676853254</v>
      </c>
      <c r="T4023" s="85">
        <f>IF(B4023="",0,$S4023*$K4023)</f>
        <v>47.752777041937088</v>
      </c>
      <c r="U4023" s="85">
        <f>IF(B4023="",0,IF(OR(H4023=MappingTables!$C$34,H4023=MappingTables!$C$35),T4023,0))</f>
        <v>0</v>
      </c>
      <c r="V4023" s="85">
        <f>IF(ISNA(IF(AND(VLOOKUP(CONCATENATE($D4023,$G4023),CSRFinput!$B:$E,4,0)=0,OR(H4023=MappingTables!$C$34,H4023=MappingTables!$C$35)),1,VLOOKUP(CONCATENATE($D4023,$G4023),CSRFinput!$B:$E,4,0))),0,IF(AND(VLOOKUP(CONCATENATE($D4023,$G4023),CSRFinput!$B:$E,4,0)=0,OR(H4023=MappingTables!$C$34,H4023=MappingTables!$C$35)),1,VLOOKUP(CONCATENATE($D4023,$G4023),CSRFinput!$B:$E,4,0)))</f>
        <v>0.054776304963434752</v>
      </c>
      <c r="W4023" s="85">
        <f>IF(B4023="",0,+$T4023*$V4023)</f>
        <v>2.6157206781000516</v>
      </c>
      <c r="X4023" s="85">
        <f>IF(B4023="",0,IF(OR(H4023=MappingTables!$C$34,H4023=MappingTables!$C$35),W4023,0))</f>
        <v>0</v>
      </c>
    </row>
    <row r="4024" spans="2:24" s="0" customFormat="0" ht="15">
      <c r="B4024" s="69">
        <v>16972044</v>
      </c>
      <c r="C4024" s="70" t="s">
        <v>2726</v>
      </c>
      <c r="D4024" s="70" t="s">
        <v>1</v>
      </c>
      <c r="E4024" s="70" t="s">
        <v>1</v>
      </c>
      <c r="F4024" s="70"/>
      <c r="G4024" s="70" t="s">
        <v>61</v>
      </c>
      <c r="H4024" s="70" t="s">
        <v>178</v>
      </c>
      <c r="I4024" s="70" t="s">
        <v>179</v>
      </c>
      <c r="J4024" s="71">
        <f>IF(OR(I4024=0,I4024=""),"unrated",VLOOKUP(I4024,MappingTables!$B$19:$C$31,2,FALSE))</f>
        <v>4</v>
      </c>
      <c r="K4024" s="72">
        <v>1256.1750929031918</v>
      </c>
      <c r="L4024" s="70">
        <v>0.4109610021577736</v>
      </c>
      <c r="M4024" s="71">
        <f>IF(L4024&lt;1,1,L4024)</f>
        <v>1</v>
      </c>
      <c r="N4024" s="70" t="s">
        <v>141</v>
      </c>
      <c r="O4024" s="71">
        <f>INDEX(DurClassMapping,MATCH(M4024,MappingTables!$D$4:$D$8,-1),1)</f>
        <v>1</v>
      </c>
      <c r="P4024" s="73">
        <f>IF(M4024=$A$1,1,$M4024-INDEX(MappingTables!$E$4:$E$8,MATCH(O4024,MappingTables!$B$4:$B$8,0)))</f>
        <v>1</v>
      </c>
      <c r="Q4024" s="71">
        <f>IF(B4024="",0,INDEX(ModelParameters!$D$6:$K$10,MATCH($O4024,ModelParameters!$B$6:$B$10,0),MATCH($J4024,ModelParameters!$D$5:$K$5,0)))</f>
        <v>0.045</v>
      </c>
      <c r="R4024" s="71">
        <f>IF(B4024="",0,INDEX(ModelParameters!$D$13:$K$17,MATCH($O4024,ModelParameters!$B$13:$B$17,0),MATCH($J4024,ModelParameters!$D$5:$K$5,0)))</f>
        <v>0</v>
      </c>
      <c r="S4024" s="160">
        <f>IF(B4024="",0,MIN(IF($N4024="Other Bond TM",ModelParameters!$N$21,1)*(P4024*Q4024+R4024),1))</f>
        <v>0.045</v>
      </c>
      <c r="T4024" s="85">
        <f>IF(B4024="",0,$S4024*$K4024)</f>
        <v>56.527879180643632</v>
      </c>
      <c r="U4024" s="85">
        <f>IF(B4024="",0,IF(OR(H4024=MappingTables!$C$34,H4024=MappingTables!$C$35),T4024,0))</f>
        <v>0</v>
      </c>
      <c r="V4024" s="85">
        <f>IF(ISNA(IF(AND(VLOOKUP(CONCATENATE($D4024,$G4024),CSRFinput!$B:$E,4,0)=0,OR(H4024=MappingTables!$C$34,H4024=MappingTables!$C$35)),1,VLOOKUP(CONCATENATE($D4024,$G4024),CSRFinput!$B:$E,4,0))),0,IF(AND(VLOOKUP(CONCATENATE($D4024,$G4024),CSRFinput!$B:$E,4,0)=0,OR(H4024=MappingTables!$C$34,H4024=MappingTables!$C$35)),1,VLOOKUP(CONCATENATE($D4024,$G4024),CSRFinput!$B:$E,4,0)))</f>
        <v>0.054776304963434752</v>
      </c>
      <c r="W4024" s="85">
        <f>IF(B4024="",0,+$T4024*$V4024)</f>
        <v>3.09638834893513</v>
      </c>
      <c r="X4024" s="85">
        <f>IF(B4024="",0,IF(OR(H4024=MappingTables!$C$34,H4024=MappingTables!$C$35),W4024,0))</f>
        <v>0</v>
      </c>
    </row>
    <row r="4025" spans="2:24" s="0" customFormat="0" ht="15">
      <c r="B4025" s="69" t="s">
        <v>650</v>
      </c>
      <c r="C4025" s="70" t="s">
        <v>651</v>
      </c>
      <c r="D4025" s="70" t="s">
        <v>1</v>
      </c>
      <c r="E4025" s="70" t="s">
        <v>1</v>
      </c>
      <c r="F4025" s="70"/>
      <c r="G4025" s="70" t="s">
        <v>61</v>
      </c>
      <c r="H4025" s="70" t="s">
        <v>178</v>
      </c>
      <c r="I4025" s="70" t="s">
        <v>181</v>
      </c>
      <c r="J4025" s="71">
        <f>IF(OR(I4025=0,I4025=""),"unrated",VLOOKUP(I4025,MappingTables!$B$19:$C$31,2,FALSE))</f>
        <v>3</v>
      </c>
      <c r="K4025" s="72">
        <v>7.2905059371760224</v>
      </c>
      <c r="L4025" s="70">
        <v>1.6231295169688278</v>
      </c>
      <c r="M4025" s="71">
        <f>IF(L4025&lt;1,1,L4025)</f>
        <v>1.6231295169688278</v>
      </c>
      <c r="N4025" s="70" t="s">
        <v>141</v>
      </c>
      <c r="O4025" s="71">
        <f>INDEX(DurClassMapping,MATCH(M4025,MappingTables!$D$4:$D$8,-1),1)</f>
        <v>1</v>
      </c>
      <c r="P4025" s="73">
        <f>IF(M4025=$A$1,1,$M4025-INDEX(MappingTables!$E$4:$E$8,MATCH(O4025,MappingTables!$B$4:$B$8,0)))</f>
        <v>1.6231295169688278</v>
      </c>
      <c r="Q4025" s="71">
        <f>IF(B4025="",0,INDEX(ModelParameters!$D$6:$K$10,MATCH($O4025,ModelParameters!$B$6:$B$10,0),MATCH($J4025,ModelParameters!$D$5:$K$5,0)))</f>
        <v>0.025</v>
      </c>
      <c r="R4025" s="71">
        <f>IF(B4025="",0,INDEX(ModelParameters!$D$13:$K$17,MATCH($O4025,ModelParameters!$B$13:$B$17,0),MATCH($J4025,ModelParameters!$D$5:$K$5,0)))</f>
        <v>0</v>
      </c>
      <c r="S4025" s="160">
        <f>IF(B4025="",0,MIN(IF($N4025="Other Bond TM",ModelParameters!$N$21,1)*(P4025*Q4025+R4025),1))</f>
        <v>0.040578237924220696</v>
      </c>
      <c r="T4025" s="85">
        <f>IF(B4025="",0,$S4025*$K4025)</f>
        <v>0.29583588450667224</v>
      </c>
      <c r="U4025" s="85">
        <f>IF(B4025="",0,IF(OR(H4025=MappingTables!$C$34,H4025=MappingTables!$C$35),T4025,0))</f>
        <v>0</v>
      </c>
      <c r="V4025" s="85">
        <f>IF(ISNA(IF(AND(VLOOKUP(CONCATENATE($D4025,$G4025),CSRFinput!$B:$E,4,0)=0,OR(H4025=MappingTables!$C$34,H4025=MappingTables!$C$35)),1,VLOOKUP(CONCATENATE($D4025,$G4025),CSRFinput!$B:$E,4,0))),0,IF(AND(VLOOKUP(CONCATENATE($D4025,$G4025),CSRFinput!$B:$E,4,0)=0,OR(H4025=MappingTables!$C$34,H4025=MappingTables!$C$35)),1,VLOOKUP(CONCATENATE($D4025,$G4025),CSRFinput!$B:$E,4,0)))</f>
        <v>0.054776304963434752</v>
      </c>
      <c r="W4025" s="85">
        <f>IF(B4025="",0,+$T4025*$V4025)</f>
        <v>0.016204796628864944</v>
      </c>
      <c r="X4025" s="85">
        <f>IF(B4025="",0,IF(OR(H4025=MappingTables!$C$34,H4025=MappingTables!$C$35),W4025,0))</f>
        <v>0</v>
      </c>
    </row>
    <row r="4026" spans="2:24" s="0" customFormat="0" ht="15">
      <c r="B4026" s="69">
        <v>1667976</v>
      </c>
      <c r="C4026" s="70" t="s">
        <v>2052</v>
      </c>
      <c r="D4026" s="70" t="s">
        <v>1</v>
      </c>
      <c r="E4026" s="70" t="s">
        <v>1</v>
      </c>
      <c r="F4026" s="70"/>
      <c r="G4026" s="70" t="s">
        <v>61</v>
      </c>
      <c r="H4026" s="70" t="s">
        <v>178</v>
      </c>
      <c r="I4026" s="70" t="s">
        <v>181</v>
      </c>
      <c r="J4026" s="71">
        <f>IF(OR(I4026=0,I4026=""),"unrated",VLOOKUP(I4026,MappingTables!$B$19:$C$31,2,FALSE))</f>
        <v>3</v>
      </c>
      <c r="K4026" s="72">
        <v>24.82850152328982</v>
      </c>
      <c r="L4026" s="70">
        <v>11.358309719140866</v>
      </c>
      <c r="M4026" s="71">
        <f>IF(L4026&lt;1,1,L4026)</f>
        <v>11.358309719140866</v>
      </c>
      <c r="N4026" s="70" t="s">
        <v>141</v>
      </c>
      <c r="O4026" s="71">
        <f>INDEX(DurClassMapping,MATCH(M4026,MappingTables!$D$4:$D$8,-1),1)</f>
        <v>3</v>
      </c>
      <c r="P4026" s="73">
        <f>IF(M4026=$A$1,1,$M4026-INDEX(MappingTables!$E$4:$E$8,MATCH(O4026,MappingTables!$B$4:$B$8,0)))</f>
        <v>1.3583097191408662</v>
      </c>
      <c r="Q4026" s="71">
        <f>IF(B4026="",0,INDEX(ModelParameters!$D$6:$K$10,MATCH($O4026,ModelParameters!$B$6:$B$10,0),MATCH($J4026,ModelParameters!$D$5:$K$5,0)))</f>
        <v>0.01</v>
      </c>
      <c r="R4026" s="71">
        <f>IF(B4026="",0,INDEX(ModelParameters!$D$13:$K$17,MATCH($O4026,ModelParameters!$B$13:$B$17,0),MATCH($J4026,ModelParameters!$D$5:$K$5,0)))</f>
        <v>0.2</v>
      </c>
      <c r="S4026" s="160">
        <f>IF(B4026="",0,MIN(IF($N4026="Other Bond TM",ModelParameters!$N$21,1)*(P4026*Q4026+R4026),1))</f>
        <v>0.21358309719140868</v>
      </c>
      <c r="T4026" s="85">
        <f>IF(B4026="",0,$S4026*$K4026)</f>
        <v>5.3029482539658472</v>
      </c>
      <c r="U4026" s="85">
        <f>IF(B4026="",0,IF(OR(H4026=MappingTables!$C$34,H4026=MappingTables!$C$35),T4026,0))</f>
        <v>0</v>
      </c>
      <c r="V4026" s="85">
        <f>IF(ISNA(IF(AND(VLOOKUP(CONCATENATE($D4026,$G4026),CSRFinput!$B:$E,4,0)=0,OR(H4026=MappingTables!$C$34,H4026=MappingTables!$C$35)),1,VLOOKUP(CONCATENATE($D4026,$G4026),CSRFinput!$B:$E,4,0))),0,IF(AND(VLOOKUP(CONCATENATE($D4026,$G4026),CSRFinput!$B:$E,4,0)=0,OR(H4026=MappingTables!$C$34,H4026=MappingTables!$C$35)),1,VLOOKUP(CONCATENATE($D4026,$G4026),CSRFinput!$B:$E,4,0)))</f>
        <v>0.054776304963434752</v>
      </c>
      <c r="W4026" s="85">
        <f>IF(B4026="",0,+$T4026*$V4026)</f>
        <v>0.29047591076454708</v>
      </c>
      <c r="X4026" s="85">
        <f>IF(B4026="",0,IF(OR(H4026=MappingTables!$C$34,H4026=MappingTables!$C$35),W4026,0))</f>
        <v>0</v>
      </c>
    </row>
    <row r="4027" spans="2:24" s="0" customFormat="0" ht="15">
      <c r="B4027" s="69">
        <v>9073220</v>
      </c>
      <c r="C4027" s="70" t="s">
        <v>1135</v>
      </c>
      <c r="D4027" s="70" t="s">
        <v>1</v>
      </c>
      <c r="E4027" s="70" t="s">
        <v>1</v>
      </c>
      <c r="F4027" s="70"/>
      <c r="G4027" s="70" t="s">
        <v>61</v>
      </c>
      <c r="H4027" s="70" t="s">
        <v>178</v>
      </c>
      <c r="I4027" s="70" t="s">
        <v>181</v>
      </c>
      <c r="J4027" s="71">
        <f>IF(OR(I4027=0,I4027=""),"unrated",VLOOKUP(I4027,MappingTables!$B$19:$C$31,2,FALSE))</f>
        <v>3</v>
      </c>
      <c r="K4027" s="72">
        <v>6331.4155866752952</v>
      </c>
      <c r="L4027" s="70">
        <v>0.62929504669135768</v>
      </c>
      <c r="M4027" s="71">
        <f>IF(L4027&lt;1,1,L4027)</f>
        <v>1</v>
      </c>
      <c r="N4027" s="70" t="s">
        <v>141</v>
      </c>
      <c r="O4027" s="71">
        <f>INDEX(DurClassMapping,MATCH(M4027,MappingTables!$D$4:$D$8,-1),1)</f>
        <v>1</v>
      </c>
      <c r="P4027" s="73">
        <f>IF(M4027=$A$1,1,$M4027-INDEX(MappingTables!$E$4:$E$8,MATCH(O4027,MappingTables!$B$4:$B$8,0)))</f>
        <v>1</v>
      </c>
      <c r="Q4027" s="71">
        <f>IF(B4027="",0,INDEX(ModelParameters!$D$6:$K$10,MATCH($O4027,ModelParameters!$B$6:$B$10,0),MATCH($J4027,ModelParameters!$D$5:$K$5,0)))</f>
        <v>0.025</v>
      </c>
      <c r="R4027" s="71">
        <f>IF(B4027="",0,INDEX(ModelParameters!$D$13:$K$17,MATCH($O4027,ModelParameters!$B$13:$B$17,0),MATCH($J4027,ModelParameters!$D$5:$K$5,0)))</f>
        <v>0</v>
      </c>
      <c r="S4027" s="160">
        <f>IF(B4027="",0,MIN(IF($N4027="Other Bond TM",ModelParameters!$N$21,1)*(P4027*Q4027+R4027),1))</f>
        <v>0.025</v>
      </c>
      <c r="T4027" s="85">
        <f>IF(B4027="",0,$S4027*$K4027)</f>
        <v>158.2853896668824</v>
      </c>
      <c r="U4027" s="85">
        <f>IF(B4027="",0,IF(OR(H4027=MappingTables!$C$34,H4027=MappingTables!$C$35),T4027,0))</f>
        <v>0</v>
      </c>
      <c r="V4027" s="85">
        <f>IF(ISNA(IF(AND(VLOOKUP(CONCATENATE($D4027,$G4027),CSRFinput!$B:$E,4,0)=0,OR(H4027=MappingTables!$C$34,H4027=MappingTables!$C$35)),1,VLOOKUP(CONCATENATE($D4027,$G4027),CSRFinput!$B:$E,4,0))),0,IF(AND(VLOOKUP(CONCATENATE($D4027,$G4027),CSRFinput!$B:$E,4,0)=0,OR(H4027=MappingTables!$C$34,H4027=MappingTables!$C$35)),1,VLOOKUP(CONCATENATE($D4027,$G4027),CSRFinput!$B:$E,4,0)))</f>
        <v>0.054776304963434752</v>
      </c>
      <c r="W4027" s="85">
        <f>IF(B4027="",0,+$T4027*$V4027)</f>
        <v>8.6702887756492544</v>
      </c>
      <c r="X4027" s="85">
        <f>IF(B4027="",0,IF(OR(H4027=MappingTables!$C$34,H4027=MappingTables!$C$35),W4027,0))</f>
        <v>0</v>
      </c>
    </row>
    <row r="4028" spans="2:24" s="0" customFormat="0" ht="15">
      <c r="B4028" s="69" t="s">
        <v>2888</v>
      </c>
      <c r="C4028" s="70" t="s">
        <v>2889</v>
      </c>
      <c r="D4028" s="70" t="s">
        <v>1</v>
      </c>
      <c r="E4028" s="70" t="s">
        <v>1</v>
      </c>
      <c r="F4028" s="70"/>
      <c r="G4028" s="70" t="s">
        <v>61</v>
      </c>
      <c r="H4028" s="70" t="s">
        <v>178</v>
      </c>
      <c r="I4028" s="70" t="s">
        <v>188</v>
      </c>
      <c r="J4028" s="71">
        <f>IF(OR(I4028=0,I4028=""),"unrated",VLOOKUP(I4028,MappingTables!$B$19:$C$31,2,FALSE))</f>
        <v>2</v>
      </c>
      <c r="K4028" s="72">
        <v>90.557546898472592</v>
      </c>
      <c r="L4028" s="70">
        <v>4.305460573375124</v>
      </c>
      <c r="M4028" s="71">
        <f>IF(L4028&lt;1,1,L4028)</f>
        <v>4.305460573375124</v>
      </c>
      <c r="N4028" s="70" t="s">
        <v>141</v>
      </c>
      <c r="O4028" s="71">
        <f>INDEX(DurClassMapping,MATCH(M4028,MappingTables!$D$4:$D$8,-1),1)</f>
        <v>1</v>
      </c>
      <c r="P4028" s="73">
        <f>IF(M4028=$A$1,1,$M4028-INDEX(MappingTables!$E$4:$E$8,MATCH(O4028,MappingTables!$B$4:$B$8,0)))</f>
        <v>4.305460573375124</v>
      </c>
      <c r="Q4028" s="71">
        <f>IF(B4028="",0,INDEX(ModelParameters!$D$6:$K$10,MATCH($O4028,ModelParameters!$B$6:$B$10,0),MATCH($J4028,ModelParameters!$D$5:$K$5,0)))</f>
        <v>0.013999999999999998</v>
      </c>
      <c r="R4028" s="71">
        <f>IF(B4028="",0,INDEX(ModelParameters!$D$13:$K$17,MATCH($O4028,ModelParameters!$B$13:$B$17,0),MATCH($J4028,ModelParameters!$D$5:$K$5,0)))</f>
        <v>0</v>
      </c>
      <c r="S4028" s="160">
        <f>IF(B4028="",0,MIN(IF($N4028="Other Bond TM",ModelParameters!$N$21,1)*(P4028*Q4028+R4028),1))</f>
        <v>0.060276448027251728</v>
      </c>
      <c r="T4028" s="85">
        <f>IF(B4028="",0,$S4028*$K4028)</f>
        <v>5.4584872691011944</v>
      </c>
      <c r="U4028" s="85">
        <f>IF(B4028="",0,IF(OR(H4028=MappingTables!$C$34,H4028=MappingTables!$C$35),T4028,0))</f>
        <v>0</v>
      </c>
      <c r="V4028" s="85">
        <f>IF(ISNA(IF(AND(VLOOKUP(CONCATENATE($D4028,$G4028),CSRFinput!$B:$E,4,0)=0,OR(H4028=MappingTables!$C$34,H4028=MappingTables!$C$35)),1,VLOOKUP(CONCATENATE($D4028,$G4028),CSRFinput!$B:$E,4,0))),0,IF(AND(VLOOKUP(CONCATENATE($D4028,$G4028),CSRFinput!$B:$E,4,0)=0,OR(H4028=MappingTables!$C$34,H4028=MappingTables!$C$35)),1,VLOOKUP(CONCATENATE($D4028,$G4028),CSRFinput!$B:$E,4,0)))</f>
        <v>0.054776304963434752</v>
      </c>
      <c r="W4028" s="85">
        <f>IF(B4028="",0,+$T4028*$V4028)</f>
        <v>0.29899576329131316</v>
      </c>
      <c r="X4028" s="85">
        <f>IF(B4028="",0,IF(OR(H4028=MappingTables!$C$34,H4028=MappingTables!$C$35),W4028,0))</f>
        <v>0</v>
      </c>
    </row>
    <row r="4029" spans="2:24" s="0" customFormat="0" ht="15">
      <c r="B4029" s="69">
        <v>2549190</v>
      </c>
      <c r="C4029" s="70" t="s">
        <v>2993</v>
      </c>
      <c r="D4029" s="70" t="s">
        <v>1</v>
      </c>
      <c r="E4029" s="70" t="s">
        <v>1</v>
      </c>
      <c r="F4029" s="70"/>
      <c r="G4029" s="70" t="s">
        <v>61</v>
      </c>
      <c r="H4029" s="70" t="s">
        <v>178</v>
      </c>
      <c r="I4029" s="70" t="s">
        <v>181</v>
      </c>
      <c r="J4029" s="71">
        <f>IF(OR(I4029=0,I4029=""),"unrated",VLOOKUP(I4029,MappingTables!$B$19:$C$31,2,FALSE))</f>
        <v>3</v>
      </c>
      <c r="K4029" s="72">
        <v>6979.753302683872</v>
      </c>
      <c r="L4029" s="70">
        <v>18.321766357117132</v>
      </c>
      <c r="M4029" s="71">
        <f>IF(L4029&lt;1,1,L4029)</f>
        <v>18.321766357117132</v>
      </c>
      <c r="N4029" s="70" t="s">
        <v>141</v>
      </c>
      <c r="O4029" s="71">
        <f>INDEX(DurClassMapping,MATCH(M4029,MappingTables!$D$4:$D$8,-1),1)</f>
        <v>4</v>
      </c>
      <c r="P4029" s="73">
        <f>IF(M4029=$A$1,1,$M4029-INDEX(MappingTables!$E$4:$E$8,MATCH(O4029,MappingTables!$B$4:$B$8,0)))</f>
        <v>3.3217663571171308</v>
      </c>
      <c r="Q4029" s="71">
        <f>IF(B4029="",0,INDEX(ModelParameters!$D$6:$K$10,MATCH($O4029,ModelParameters!$B$6:$B$10,0),MATCH($J4029,ModelParameters!$D$5:$K$5,0)))</f>
        <v>0.01</v>
      </c>
      <c r="R4029" s="71">
        <f>IF(B4029="",0,INDEX(ModelParameters!$D$13:$K$17,MATCH($O4029,ModelParameters!$B$13:$B$17,0),MATCH($J4029,ModelParameters!$D$5:$K$5,0)))</f>
        <v>0.25</v>
      </c>
      <c r="S4029" s="160">
        <f>IF(B4029="",0,MIN(IF($N4029="Other Bond TM",ModelParameters!$N$21,1)*(P4029*Q4029+R4029),1))</f>
        <v>0.28321766357117128</v>
      </c>
      <c r="T4029" s="85">
        <f>IF(B4029="",0,$S4029*$K4029)</f>
        <v>1976.7894226892924</v>
      </c>
      <c r="U4029" s="85">
        <f>IF(B4029="",0,IF(OR(H4029=MappingTables!$C$34,H4029=MappingTables!$C$35),T4029,0))</f>
        <v>0</v>
      </c>
      <c r="V4029" s="85">
        <f>IF(ISNA(IF(AND(VLOOKUP(CONCATENATE($D4029,$G4029),CSRFinput!$B:$E,4,0)=0,OR(H4029=MappingTables!$C$34,H4029=MappingTables!$C$35)),1,VLOOKUP(CONCATENATE($D4029,$G4029),CSRFinput!$B:$E,4,0))),0,IF(AND(VLOOKUP(CONCATENATE($D4029,$G4029),CSRFinput!$B:$E,4,0)=0,OR(H4029=MappingTables!$C$34,H4029=MappingTables!$C$35)),1,VLOOKUP(CONCATENATE($D4029,$G4029),CSRFinput!$B:$E,4,0)))</f>
        <v>0.054776304963434752</v>
      </c>
      <c r="W4029" s="85">
        <f>IF(B4029="",0,+$T4029*$V4029)</f>
        <v>108.2812202657208</v>
      </c>
      <c r="X4029" s="85">
        <f>IF(B4029="",0,IF(OR(H4029=MappingTables!$C$34,H4029=MappingTables!$C$35),W4029,0))</f>
        <v>0</v>
      </c>
    </row>
    <row r="4030" spans="2:24" s="0" customFormat="0" ht="15">
      <c r="B4030" s="69">
        <v>4553018</v>
      </c>
      <c r="C4030" s="70" t="s">
        <v>1529</v>
      </c>
      <c r="D4030" s="70" t="s">
        <v>1</v>
      </c>
      <c r="E4030" s="70" t="s">
        <v>1</v>
      </c>
      <c r="F4030" s="70"/>
      <c r="G4030" s="70" t="s">
        <v>61</v>
      </c>
      <c r="H4030" s="70" t="s">
        <v>178</v>
      </c>
      <c r="I4030" s="70" t="s">
        <v>204</v>
      </c>
      <c r="J4030" s="71">
        <f>IF(OR(I4030=0,I4030=""),"unrated",VLOOKUP(I4030,MappingTables!$B$19:$C$31,2,FALSE))</f>
        <v>6</v>
      </c>
      <c r="K4030" s="72">
        <v>991.18291143526128</v>
      </c>
      <c r="L4030" s="70">
        <v>1.2503927499239742</v>
      </c>
      <c r="M4030" s="71">
        <f>IF(L4030&lt;1,1,L4030)</f>
        <v>1.2503927499239742</v>
      </c>
      <c r="N4030" s="70" t="s">
        <v>141</v>
      </c>
      <c r="O4030" s="71">
        <f>INDEX(DurClassMapping,MATCH(M4030,MappingTables!$D$4:$D$8,-1),1)</f>
        <v>1</v>
      </c>
      <c r="P4030" s="73">
        <f>IF(M4030=$A$1,1,$M4030-INDEX(MappingTables!$E$4:$E$8,MATCH(O4030,MappingTables!$B$4:$B$8,0)))</f>
        <v>1.2503927499239742</v>
      </c>
      <c r="Q4030" s="71">
        <f>IF(B4030="",0,INDEX(ModelParameters!$D$6:$K$10,MATCH($O4030,ModelParameters!$B$6:$B$10,0),MATCH($J4030,ModelParameters!$D$5:$K$5,0)))</f>
        <v>0.075</v>
      </c>
      <c r="R4030" s="71">
        <f>IF(B4030="",0,INDEX(ModelParameters!$D$13:$K$17,MATCH($O4030,ModelParameters!$B$13:$B$17,0),MATCH($J4030,ModelParameters!$D$5:$K$5,0)))</f>
        <v>0</v>
      </c>
      <c r="S4030" s="160">
        <f>IF(B4030="",0,MIN(IF($N4030="Other Bond TM",ModelParameters!$N$21,1)*(P4030*Q4030+R4030),1))</f>
        <v>0.093779456244298064</v>
      </c>
      <c r="T4030" s="85">
        <f>IF(B4030="",0,$S4030*$K4030)</f>
        <v>92.952594473039056</v>
      </c>
      <c r="U4030" s="85">
        <f>IF(B4030="",0,IF(OR(H4030=MappingTables!$C$34,H4030=MappingTables!$C$35),T4030,0))</f>
        <v>0</v>
      </c>
      <c r="V4030" s="85">
        <f>IF(ISNA(IF(AND(VLOOKUP(CONCATENATE($D4030,$G4030),CSRFinput!$B:$E,4,0)=0,OR(H4030=MappingTables!$C$34,H4030=MappingTables!$C$35)),1,VLOOKUP(CONCATENATE($D4030,$G4030),CSRFinput!$B:$E,4,0))),0,IF(AND(VLOOKUP(CONCATENATE($D4030,$G4030),CSRFinput!$B:$E,4,0)=0,OR(H4030=MappingTables!$C$34,H4030=MappingTables!$C$35)),1,VLOOKUP(CONCATENATE($D4030,$G4030),CSRFinput!$B:$E,4,0)))</f>
        <v>0.054776304963434752</v>
      </c>
      <c r="W4030" s="85">
        <f>IF(B4030="",0,+$T4030*$V4030)</f>
        <v>5.0915996619976672</v>
      </c>
      <c r="X4030" s="85">
        <f>IF(B4030="",0,IF(OR(H4030=MappingTables!$C$34,H4030=MappingTables!$C$35),W4030,0))</f>
        <v>0</v>
      </c>
    </row>
    <row r="4031" spans="2:24" s="0" customFormat="0" ht="15">
      <c r="B4031" s="69">
        <v>14256169</v>
      </c>
      <c r="C4031" s="70" t="s">
        <v>2637</v>
      </c>
      <c r="D4031" s="70" t="s">
        <v>1</v>
      </c>
      <c r="E4031" s="70" t="s">
        <v>1</v>
      </c>
      <c r="F4031" s="70"/>
      <c r="G4031" s="70" t="s">
        <v>61</v>
      </c>
      <c r="H4031" s="70" t="s">
        <v>178</v>
      </c>
      <c r="I4031" s="70" t="s">
        <v>181</v>
      </c>
      <c r="J4031" s="71">
        <f>IF(OR(I4031=0,I4031=""),"unrated",VLOOKUP(I4031,MappingTables!$B$19:$C$31,2,FALSE))</f>
        <v>3</v>
      </c>
      <c r="K4031" s="72">
        <v>3697.9484776044816</v>
      </c>
      <c r="L4031" s="70">
        <v>1.38265841819025</v>
      </c>
      <c r="M4031" s="71">
        <f>IF(L4031&lt;1,1,L4031)</f>
        <v>1.38265841819025</v>
      </c>
      <c r="N4031" s="70" t="s">
        <v>141</v>
      </c>
      <c r="O4031" s="71">
        <f>INDEX(DurClassMapping,MATCH(M4031,MappingTables!$D$4:$D$8,-1),1)</f>
        <v>1</v>
      </c>
      <c r="P4031" s="73">
        <f>IF(M4031=$A$1,1,$M4031-INDEX(MappingTables!$E$4:$E$8,MATCH(O4031,MappingTables!$B$4:$B$8,0)))</f>
        <v>1.38265841819025</v>
      </c>
      <c r="Q4031" s="71">
        <f>IF(B4031="",0,INDEX(ModelParameters!$D$6:$K$10,MATCH($O4031,ModelParameters!$B$6:$B$10,0),MATCH($J4031,ModelParameters!$D$5:$K$5,0)))</f>
        <v>0.025</v>
      </c>
      <c r="R4031" s="71">
        <f>IF(B4031="",0,INDEX(ModelParameters!$D$13:$K$17,MATCH($O4031,ModelParameters!$B$13:$B$17,0),MATCH($J4031,ModelParameters!$D$5:$K$5,0)))</f>
        <v>0</v>
      </c>
      <c r="S4031" s="160">
        <f>IF(B4031="",0,MIN(IF($N4031="Other Bond TM",ModelParameters!$N$21,1)*(P4031*Q4031+R4031),1))</f>
        <v>0.034566460454756248</v>
      </c>
      <c r="T4031" s="85">
        <f>IF(B4031="",0,$S4031*$K4031)</f>
        <v>127.82498981484138</v>
      </c>
      <c r="U4031" s="85">
        <f>IF(B4031="",0,IF(OR(H4031=MappingTables!$C$34,H4031=MappingTables!$C$35),T4031,0))</f>
        <v>0</v>
      </c>
      <c r="V4031" s="85">
        <f>IF(ISNA(IF(AND(VLOOKUP(CONCATENATE($D4031,$G4031),CSRFinput!$B:$E,4,0)=0,OR(H4031=MappingTables!$C$34,H4031=MappingTables!$C$35)),1,VLOOKUP(CONCATENATE($D4031,$G4031),CSRFinput!$B:$E,4,0))),0,IF(AND(VLOOKUP(CONCATENATE($D4031,$G4031),CSRFinput!$B:$E,4,0)=0,OR(H4031=MappingTables!$C$34,H4031=MappingTables!$C$35)),1,VLOOKUP(CONCATENATE($D4031,$G4031),CSRFinput!$B:$E,4,0)))</f>
        <v>0.054776304963434752</v>
      </c>
      <c r="W4031" s="85">
        <f>IF(B4031="",0,+$T4031*$V4031)</f>
        <v>7.0017806240456936</v>
      </c>
      <c r="X4031" s="85">
        <f>IF(B4031="",0,IF(OR(H4031=MappingTables!$C$34,H4031=MappingTables!$C$35),W4031,0))</f>
        <v>0</v>
      </c>
    </row>
    <row r="4032" spans="2:24" s="0" customFormat="0" ht="15">
      <c r="B4032" s="69">
        <v>15137351</v>
      </c>
      <c r="C4032" s="70" t="s">
        <v>1554</v>
      </c>
      <c r="D4032" s="70" t="s">
        <v>1</v>
      </c>
      <c r="E4032" s="70" t="s">
        <v>1</v>
      </c>
      <c r="F4032" s="70"/>
      <c r="G4032" s="70" t="s">
        <v>61</v>
      </c>
      <c r="H4032" s="70" t="s">
        <v>178</v>
      </c>
      <c r="I4032" s="70" t="s">
        <v>188</v>
      </c>
      <c r="J4032" s="71">
        <f>IF(OR(I4032=0,I4032=""),"unrated",VLOOKUP(I4032,MappingTables!$B$19:$C$31,2,FALSE))</f>
        <v>2</v>
      </c>
      <c r="K4032" s="72">
        <v>210.4561415904834</v>
      </c>
      <c r="L4032" s="70">
        <v>1.6491892872260828</v>
      </c>
      <c r="M4032" s="71">
        <f>IF(L4032&lt;1,1,L4032)</f>
        <v>1.6491892872260828</v>
      </c>
      <c r="N4032" s="70" t="s">
        <v>141</v>
      </c>
      <c r="O4032" s="71">
        <f>INDEX(DurClassMapping,MATCH(M4032,MappingTables!$D$4:$D$8,-1),1)</f>
        <v>1</v>
      </c>
      <c r="P4032" s="73">
        <f>IF(M4032=$A$1,1,$M4032-INDEX(MappingTables!$E$4:$E$8,MATCH(O4032,MappingTables!$B$4:$B$8,0)))</f>
        <v>1.6491892872260828</v>
      </c>
      <c r="Q4032" s="71">
        <f>IF(B4032="",0,INDEX(ModelParameters!$D$6:$K$10,MATCH($O4032,ModelParameters!$B$6:$B$10,0),MATCH($J4032,ModelParameters!$D$5:$K$5,0)))</f>
        <v>0.013999999999999998</v>
      </c>
      <c r="R4032" s="71">
        <f>IF(B4032="",0,INDEX(ModelParameters!$D$13:$K$17,MATCH($O4032,ModelParameters!$B$13:$B$17,0),MATCH($J4032,ModelParameters!$D$5:$K$5,0)))</f>
        <v>0</v>
      </c>
      <c r="S4032" s="160">
        <f>IF(B4032="",0,MIN(IF($N4032="Other Bond TM",ModelParameters!$N$21,1)*(P4032*Q4032+R4032),1))</f>
        <v>0.023088650021165156</v>
      </c>
      <c r="T4032" s="85">
        <f>IF(B4032="",0,$S4032*$K4032)</f>
        <v>4.8591481979874504</v>
      </c>
      <c r="U4032" s="85">
        <f>IF(B4032="",0,IF(OR(H4032=MappingTables!$C$34,H4032=MappingTables!$C$35),T4032,0))</f>
        <v>0</v>
      </c>
      <c r="V4032" s="85">
        <f>IF(ISNA(IF(AND(VLOOKUP(CONCATENATE($D4032,$G4032),CSRFinput!$B:$E,4,0)=0,OR(H4032=MappingTables!$C$34,H4032=MappingTables!$C$35)),1,VLOOKUP(CONCATENATE($D4032,$G4032),CSRFinput!$B:$E,4,0))),0,IF(AND(VLOOKUP(CONCATENATE($D4032,$G4032),CSRFinput!$B:$E,4,0)=0,OR(H4032=MappingTables!$C$34,H4032=MappingTables!$C$35)),1,VLOOKUP(CONCATENATE($D4032,$G4032),CSRFinput!$B:$E,4,0)))</f>
        <v>0.054776304963434752</v>
      </c>
      <c r="W4032" s="85">
        <f>IF(B4032="",0,+$T4032*$V4032)</f>
        <v>0.26616618355548504</v>
      </c>
      <c r="X4032" s="85">
        <f>IF(B4032="",0,IF(OR(H4032=MappingTables!$C$34,H4032=MappingTables!$C$35),W4032,0))</f>
        <v>0</v>
      </c>
    </row>
    <row r="4033" spans="2:24" s="0" customFormat="0" ht="15">
      <c r="B4033" s="69">
        <v>21005390</v>
      </c>
      <c r="C4033" s="70" t="s">
        <v>2791</v>
      </c>
      <c r="D4033" s="70" t="s">
        <v>1</v>
      </c>
      <c r="E4033" s="70" t="s">
        <v>1</v>
      </c>
      <c r="F4033" s="70"/>
      <c r="G4033" s="70" t="s">
        <v>61</v>
      </c>
      <c r="H4033" s="70" t="s">
        <v>178</v>
      </c>
      <c r="I4033" s="70" t="s">
        <v>181</v>
      </c>
      <c r="J4033" s="71">
        <f>IF(OR(I4033=0,I4033=""),"unrated",VLOOKUP(I4033,MappingTables!$B$19:$C$31,2,FALSE))</f>
        <v>3</v>
      </c>
      <c r="K4033" s="72">
        <v>1840.6447907411628</v>
      </c>
      <c r="L4033" s="70">
        <v>7.5684702793877856</v>
      </c>
      <c r="M4033" s="71">
        <f>IF(L4033&lt;1,1,L4033)</f>
        <v>7.5684702793877856</v>
      </c>
      <c r="N4033" s="70" t="s">
        <v>141</v>
      </c>
      <c r="O4033" s="71">
        <f>INDEX(DurClassMapping,MATCH(M4033,MappingTables!$D$4:$D$8,-1),1)</f>
        <v>2</v>
      </c>
      <c r="P4033" s="73">
        <f>IF(M4033=$A$1,1,$M4033-INDEX(MappingTables!$E$4:$E$8,MATCH(O4033,MappingTables!$B$4:$B$8,0)))</f>
        <v>2.5684702793877852</v>
      </c>
      <c r="Q4033" s="71">
        <f>IF(B4033="",0,INDEX(ModelParameters!$D$6:$K$10,MATCH($O4033,ModelParameters!$B$6:$B$10,0),MATCH($J4033,ModelParameters!$D$5:$K$5,0)))</f>
        <v>0.015</v>
      </c>
      <c r="R4033" s="71">
        <f>IF(B4033="",0,INDEX(ModelParameters!$D$13:$K$17,MATCH($O4033,ModelParameters!$B$13:$B$17,0),MATCH($J4033,ModelParameters!$D$5:$K$5,0)))</f>
        <v>0.125</v>
      </c>
      <c r="S4033" s="160">
        <f>IF(B4033="",0,MIN(IF($N4033="Other Bond TM",ModelParameters!$N$21,1)*(P4033*Q4033+R4033),1))</f>
        <v>0.16352705419081678</v>
      </c>
      <c r="T4033" s="85">
        <f>IF(B4033="",0,$S4033*$K4033)</f>
        <v>300.99522044157476</v>
      </c>
      <c r="U4033" s="85">
        <f>IF(B4033="",0,IF(OR(H4033=MappingTables!$C$34,H4033=MappingTables!$C$35),T4033,0))</f>
        <v>0</v>
      </c>
      <c r="V4033" s="85">
        <f>IF(ISNA(IF(AND(VLOOKUP(CONCATENATE($D4033,$G4033),CSRFinput!$B:$E,4,0)=0,OR(H4033=MappingTables!$C$34,H4033=MappingTables!$C$35)),1,VLOOKUP(CONCATENATE($D4033,$G4033),CSRFinput!$B:$E,4,0))),0,IF(AND(VLOOKUP(CONCATENATE($D4033,$G4033),CSRFinput!$B:$E,4,0)=0,OR(H4033=MappingTables!$C$34,H4033=MappingTables!$C$35)),1,VLOOKUP(CONCATENATE($D4033,$G4033),CSRFinput!$B:$E,4,0)))</f>
        <v>0.054776304963434752</v>
      </c>
      <c r="W4033" s="85">
        <f>IF(B4033="",0,+$T4033*$V4033)</f>
        <v>16.48740598744397</v>
      </c>
      <c r="X4033" s="85">
        <f>IF(B4033="",0,IF(OR(H4033=MappingTables!$C$34,H4033=MappingTables!$C$35),W4033,0))</f>
        <v>0</v>
      </c>
    </row>
    <row r="4034" spans="2:24" s="0" customFormat="0" ht="15">
      <c r="B4034" s="69">
        <v>20691835</v>
      </c>
      <c r="C4034" s="70" t="s">
        <v>2748</v>
      </c>
      <c r="D4034" s="70" t="s">
        <v>1</v>
      </c>
      <c r="E4034" s="70" t="s">
        <v>1</v>
      </c>
      <c r="F4034" s="70"/>
      <c r="G4034" s="70" t="s">
        <v>61</v>
      </c>
      <c r="H4034" s="70" t="s">
        <v>178</v>
      </c>
      <c r="I4034" s="70" t="s">
        <v>179</v>
      </c>
      <c r="J4034" s="71">
        <f>IF(OR(I4034=0,I4034=""),"unrated",VLOOKUP(I4034,MappingTables!$B$19:$C$31,2,FALSE))</f>
        <v>4</v>
      </c>
      <c r="K4034" s="72">
        <v>13884.813562217816</v>
      </c>
      <c r="L4034" s="70">
        <v>3.209023952471922</v>
      </c>
      <c r="M4034" s="71">
        <f>IF(L4034&lt;1,1,L4034)</f>
        <v>3.209023952471922</v>
      </c>
      <c r="N4034" s="70" t="s">
        <v>141</v>
      </c>
      <c r="O4034" s="71">
        <f>INDEX(DurClassMapping,MATCH(M4034,MappingTables!$D$4:$D$8,-1),1)</f>
        <v>1</v>
      </c>
      <c r="P4034" s="73">
        <f>IF(M4034=$A$1,1,$M4034-INDEX(MappingTables!$E$4:$E$8,MATCH(O4034,MappingTables!$B$4:$B$8,0)))</f>
        <v>3.209023952471922</v>
      </c>
      <c r="Q4034" s="71">
        <f>IF(B4034="",0,INDEX(ModelParameters!$D$6:$K$10,MATCH($O4034,ModelParameters!$B$6:$B$10,0),MATCH($J4034,ModelParameters!$D$5:$K$5,0)))</f>
        <v>0.045</v>
      </c>
      <c r="R4034" s="71">
        <f>IF(B4034="",0,INDEX(ModelParameters!$D$13:$K$17,MATCH($O4034,ModelParameters!$B$13:$B$17,0),MATCH($J4034,ModelParameters!$D$5:$K$5,0)))</f>
        <v>0</v>
      </c>
      <c r="S4034" s="160">
        <f>IF(B4034="",0,MIN(IF($N4034="Other Bond TM",ModelParameters!$N$21,1)*(P4034*Q4034+R4034),1))</f>
        <v>0.1444060778612365</v>
      </c>
      <c r="T4034" s="85">
        <f>IF(B4034="",0,$S4034*$K4034)</f>
        <v>2005.0514683543784</v>
      </c>
      <c r="U4034" s="85">
        <f>IF(B4034="",0,IF(OR(H4034=MappingTables!$C$34,H4034=MappingTables!$C$35),T4034,0))</f>
        <v>0</v>
      </c>
      <c r="V4034" s="85">
        <f>IF(ISNA(IF(AND(VLOOKUP(CONCATENATE($D4034,$G4034),CSRFinput!$B:$E,4,0)=0,OR(H4034=MappingTables!$C$34,H4034=MappingTables!$C$35)),1,VLOOKUP(CONCATENATE($D4034,$G4034),CSRFinput!$B:$E,4,0))),0,IF(AND(VLOOKUP(CONCATENATE($D4034,$G4034),CSRFinput!$B:$E,4,0)=0,OR(H4034=MappingTables!$C$34,H4034=MappingTables!$C$35)),1,VLOOKUP(CONCATENATE($D4034,$G4034),CSRFinput!$B:$E,4,0)))</f>
        <v>0.054776304963434752</v>
      </c>
      <c r="W4034" s="85">
        <f>IF(B4034="",0,+$T4034*$V4034)</f>
        <v>109.82931069796208</v>
      </c>
      <c r="X4034" s="85">
        <f>IF(B4034="",0,IF(OR(H4034=MappingTables!$C$34,H4034=MappingTables!$C$35),W4034,0))</f>
        <v>0</v>
      </c>
    </row>
    <row r="4035" spans="2:24" s="0" customFormat="0" ht="15">
      <c r="B4035" s="69">
        <v>13658089</v>
      </c>
      <c r="C4035" s="70" t="s">
        <v>2662</v>
      </c>
      <c r="D4035" s="70" t="s">
        <v>1</v>
      </c>
      <c r="E4035" s="70" t="s">
        <v>1</v>
      </c>
      <c r="F4035" s="70"/>
      <c r="G4035" s="70" t="s">
        <v>61</v>
      </c>
      <c r="H4035" s="70" t="s">
        <v>178</v>
      </c>
      <c r="I4035" s="70" t="s">
        <v>204</v>
      </c>
      <c r="J4035" s="71">
        <f>IF(OR(I4035=0,I4035=""),"unrated",VLOOKUP(I4035,MappingTables!$B$19:$C$31,2,FALSE))</f>
        <v>6</v>
      </c>
      <c r="K4035" s="72">
        <v>24.388788869459592</v>
      </c>
      <c r="L4035" s="70">
        <v>0.16986122921218554</v>
      </c>
      <c r="M4035" s="71">
        <f>IF(L4035&lt;1,1,L4035)</f>
        <v>1</v>
      </c>
      <c r="N4035" s="70" t="s">
        <v>141</v>
      </c>
      <c r="O4035" s="71">
        <f>INDEX(DurClassMapping,MATCH(M4035,MappingTables!$D$4:$D$8,-1),1)</f>
        <v>1</v>
      </c>
      <c r="P4035" s="73">
        <f>IF(M4035=$A$1,1,$M4035-INDEX(MappingTables!$E$4:$E$8,MATCH(O4035,MappingTables!$B$4:$B$8,0)))</f>
        <v>1</v>
      </c>
      <c r="Q4035" s="71">
        <f>IF(B4035="",0,INDEX(ModelParameters!$D$6:$K$10,MATCH($O4035,ModelParameters!$B$6:$B$10,0),MATCH($J4035,ModelParameters!$D$5:$K$5,0)))</f>
        <v>0.075</v>
      </c>
      <c r="R4035" s="71">
        <f>IF(B4035="",0,INDEX(ModelParameters!$D$13:$K$17,MATCH($O4035,ModelParameters!$B$13:$B$17,0),MATCH($J4035,ModelParameters!$D$5:$K$5,0)))</f>
        <v>0</v>
      </c>
      <c r="S4035" s="160">
        <f>IF(B4035="",0,MIN(IF($N4035="Other Bond TM",ModelParameters!$N$21,1)*(P4035*Q4035+R4035),1))</f>
        <v>0.075</v>
      </c>
      <c r="T4035" s="85">
        <f>IF(B4035="",0,$S4035*$K4035)</f>
        <v>1.8291591652094696</v>
      </c>
      <c r="U4035" s="85">
        <f>IF(B4035="",0,IF(OR(H4035=MappingTables!$C$34,H4035=MappingTables!$C$35),T4035,0))</f>
        <v>0</v>
      </c>
      <c r="V4035" s="85">
        <f>IF(ISNA(IF(AND(VLOOKUP(CONCATENATE($D4035,$G4035),CSRFinput!$B:$E,4,0)=0,OR(H4035=MappingTables!$C$34,H4035=MappingTables!$C$35)),1,VLOOKUP(CONCATENATE($D4035,$G4035),CSRFinput!$B:$E,4,0))),0,IF(AND(VLOOKUP(CONCATENATE($D4035,$G4035),CSRFinput!$B:$E,4,0)=0,OR(H4035=MappingTables!$C$34,H4035=MappingTables!$C$35)),1,VLOOKUP(CONCATENATE($D4035,$G4035),CSRFinput!$B:$E,4,0)))</f>
        <v>0.054776304963434752</v>
      </c>
      <c r="W4035" s="85">
        <f>IF(B4035="",0,+$T4035*$V4035)</f>
        <v>0.10019458026017564</v>
      </c>
      <c r="X4035" s="85">
        <f>IF(B4035="",0,IF(OR(H4035=MappingTables!$C$34,H4035=MappingTables!$C$35),W4035,0))</f>
        <v>0</v>
      </c>
    </row>
    <row r="4036" spans="2:24" s="0" customFormat="0" ht="15">
      <c r="B4036" s="69">
        <v>15769824</v>
      </c>
      <c r="C4036" s="70" t="s">
        <v>2442</v>
      </c>
      <c r="D4036" s="70" t="s">
        <v>1</v>
      </c>
      <c r="E4036" s="70" t="s">
        <v>1</v>
      </c>
      <c r="F4036" s="70"/>
      <c r="G4036" s="70" t="s">
        <v>61</v>
      </c>
      <c r="H4036" s="70" t="s">
        <v>178</v>
      </c>
      <c r="I4036" s="70" t="s">
        <v>181</v>
      </c>
      <c r="J4036" s="71">
        <f>IF(OR(I4036=0,I4036=""),"unrated",VLOOKUP(I4036,MappingTables!$B$19:$C$31,2,FALSE))</f>
        <v>3</v>
      </c>
      <c r="K4036" s="72">
        <v>21.928540326267516</v>
      </c>
      <c r="L4036" s="70">
        <v>0.8685051864260432</v>
      </c>
      <c r="M4036" s="71">
        <f>IF(L4036&lt;1,1,L4036)</f>
        <v>1</v>
      </c>
      <c r="N4036" s="70" t="s">
        <v>141</v>
      </c>
      <c r="O4036" s="71">
        <f>INDEX(DurClassMapping,MATCH(M4036,MappingTables!$D$4:$D$8,-1),1)</f>
        <v>1</v>
      </c>
      <c r="P4036" s="73">
        <f>IF(M4036=$A$1,1,$M4036-INDEX(MappingTables!$E$4:$E$8,MATCH(O4036,MappingTables!$B$4:$B$8,0)))</f>
        <v>1</v>
      </c>
      <c r="Q4036" s="71">
        <f>IF(B4036="",0,INDEX(ModelParameters!$D$6:$K$10,MATCH($O4036,ModelParameters!$B$6:$B$10,0),MATCH($J4036,ModelParameters!$D$5:$K$5,0)))</f>
        <v>0.025</v>
      </c>
      <c r="R4036" s="71">
        <f>IF(B4036="",0,INDEX(ModelParameters!$D$13:$K$17,MATCH($O4036,ModelParameters!$B$13:$B$17,0),MATCH($J4036,ModelParameters!$D$5:$K$5,0)))</f>
        <v>0</v>
      </c>
      <c r="S4036" s="160">
        <f>IF(B4036="",0,MIN(IF($N4036="Other Bond TM",ModelParameters!$N$21,1)*(P4036*Q4036+R4036),1))</f>
        <v>0.025</v>
      </c>
      <c r="T4036" s="85">
        <f>IF(B4036="",0,$S4036*$K4036)</f>
        <v>0.54821350815668792</v>
      </c>
      <c r="U4036" s="85">
        <f>IF(B4036="",0,IF(OR(H4036=MappingTables!$C$34,H4036=MappingTables!$C$35),T4036,0))</f>
        <v>0</v>
      </c>
      <c r="V4036" s="85">
        <f>IF(ISNA(IF(AND(VLOOKUP(CONCATENATE($D4036,$G4036),CSRFinput!$B:$E,4,0)=0,OR(H4036=MappingTables!$C$34,H4036=MappingTables!$C$35)),1,VLOOKUP(CONCATENATE($D4036,$G4036),CSRFinput!$B:$E,4,0))),0,IF(AND(VLOOKUP(CONCATENATE($D4036,$G4036),CSRFinput!$B:$E,4,0)=0,OR(H4036=MappingTables!$C$34,H4036=MappingTables!$C$35)),1,VLOOKUP(CONCATENATE($D4036,$G4036),CSRFinput!$B:$E,4,0)))</f>
        <v>0.054776304963434752</v>
      </c>
      <c r="W4036" s="85">
        <f>IF(B4036="",0,+$T4036*$V4036)</f>
        <v>0.03002911030786516</v>
      </c>
      <c r="X4036" s="85">
        <f>IF(B4036="",0,IF(OR(H4036=MappingTables!$C$34,H4036=MappingTables!$C$35),W4036,0))</f>
        <v>0</v>
      </c>
    </row>
    <row r="4037" spans="2:24" s="0" customFormat="0" ht="15">
      <c r="B4037" s="69">
        <v>21039549</v>
      </c>
      <c r="C4037" s="70" t="s">
        <v>1999</v>
      </c>
      <c r="D4037" s="70" t="s">
        <v>1</v>
      </c>
      <c r="E4037" s="70" t="s">
        <v>1</v>
      </c>
      <c r="F4037" s="70"/>
      <c r="G4037" s="70" t="s">
        <v>61</v>
      </c>
      <c r="H4037" s="70" t="s">
        <v>178</v>
      </c>
      <c r="I4037" s="70" t="s">
        <v>179</v>
      </c>
      <c r="J4037" s="71">
        <f>IF(OR(I4037=0,I4037=""),"unrated",VLOOKUP(I4037,MappingTables!$B$19:$C$31,2,FALSE))</f>
        <v>4</v>
      </c>
      <c r="K4037" s="72">
        <v>24757.186349448368</v>
      </c>
      <c r="L4037" s="70">
        <v>3.604607080984528</v>
      </c>
      <c r="M4037" s="71">
        <f>IF(L4037&lt;1,1,L4037)</f>
        <v>3.604607080984528</v>
      </c>
      <c r="N4037" s="70" t="s">
        <v>141</v>
      </c>
      <c r="O4037" s="71">
        <f>INDEX(DurClassMapping,MATCH(M4037,MappingTables!$D$4:$D$8,-1),1)</f>
        <v>1</v>
      </c>
      <c r="P4037" s="73">
        <f>IF(M4037=$A$1,1,$M4037-INDEX(MappingTables!$E$4:$E$8,MATCH(O4037,MappingTables!$B$4:$B$8,0)))</f>
        <v>3.604607080984528</v>
      </c>
      <c r="Q4037" s="71">
        <f>IF(B4037="",0,INDEX(ModelParameters!$D$6:$K$10,MATCH($O4037,ModelParameters!$B$6:$B$10,0),MATCH($J4037,ModelParameters!$D$5:$K$5,0)))</f>
        <v>0.045</v>
      </c>
      <c r="R4037" s="71">
        <f>IF(B4037="",0,INDEX(ModelParameters!$D$13:$K$17,MATCH($O4037,ModelParameters!$B$13:$B$17,0),MATCH($J4037,ModelParameters!$D$5:$K$5,0)))</f>
        <v>0</v>
      </c>
      <c r="S4037" s="160">
        <f>IF(B4037="",0,MIN(IF($N4037="Other Bond TM",ModelParameters!$N$21,1)*(P4037*Q4037+R4037),1))</f>
        <v>0.16220731864430376</v>
      </c>
      <c r="T4037" s="85">
        <f>IF(B4037="",0,$S4037*$K4037)</f>
        <v>4015.7968149213792</v>
      </c>
      <c r="U4037" s="85">
        <f>IF(B4037="",0,IF(OR(H4037=MappingTables!$C$34,H4037=MappingTables!$C$35),T4037,0))</f>
        <v>0</v>
      </c>
      <c r="V4037" s="85">
        <f>IF(ISNA(IF(AND(VLOOKUP(CONCATENATE($D4037,$G4037),CSRFinput!$B:$E,4,0)=0,OR(H4037=MappingTables!$C$34,H4037=MappingTables!$C$35)),1,VLOOKUP(CONCATENATE($D4037,$G4037),CSRFinput!$B:$E,4,0))),0,IF(AND(VLOOKUP(CONCATENATE($D4037,$G4037),CSRFinput!$B:$E,4,0)=0,OR(H4037=MappingTables!$C$34,H4037=MappingTables!$C$35)),1,VLOOKUP(CONCATENATE($D4037,$G4037),CSRFinput!$B:$E,4,0)))</f>
        <v>0.054776304963434752</v>
      </c>
      <c r="W4037" s="85">
        <f>IF(B4037="",0,+$T4037*$V4037)</f>
        <v>219.97051100532344</v>
      </c>
      <c r="X4037" s="85">
        <f>IF(B4037="",0,IF(OR(H4037=MappingTables!$C$34,H4037=MappingTables!$C$35),W4037,0))</f>
        <v>0</v>
      </c>
    </row>
    <row r="4038" spans="2:24" s="0" customFormat="0" ht="15">
      <c r="B4038" s="69">
        <v>19743068</v>
      </c>
      <c r="C4038" s="70" t="s">
        <v>2593</v>
      </c>
      <c r="D4038" s="70" t="s">
        <v>1</v>
      </c>
      <c r="E4038" s="70" t="s">
        <v>1</v>
      </c>
      <c r="F4038" s="70"/>
      <c r="G4038" s="70" t="s">
        <v>61</v>
      </c>
      <c r="H4038" s="70" t="s">
        <v>178</v>
      </c>
      <c r="I4038" s="70" t="s">
        <v>184</v>
      </c>
      <c r="J4038" s="71">
        <f>IF(OR(I4038=0,I4038=""),"unrated",VLOOKUP(I4038,MappingTables!$B$19:$C$31,2,FALSE))</f>
        <v>5</v>
      </c>
      <c r="K4038" s="72">
        <v>2816.719435524654</v>
      </c>
      <c r="L4038" s="70">
        <v>9.5752825793232432</v>
      </c>
      <c r="M4038" s="71">
        <f>IF(L4038&lt;1,1,L4038)</f>
        <v>9.5752825793232432</v>
      </c>
      <c r="N4038" s="70" t="s">
        <v>141</v>
      </c>
      <c r="O4038" s="71">
        <f>INDEX(DurClassMapping,MATCH(M4038,MappingTables!$D$4:$D$8,-1),1)</f>
        <v>2</v>
      </c>
      <c r="P4038" s="73">
        <f>IF(M4038=$A$1,1,$M4038-INDEX(MappingTables!$E$4:$E$8,MATCH(O4038,MappingTables!$B$4:$B$8,0)))</f>
        <v>4.5752825793232432</v>
      </c>
      <c r="Q4038" s="71">
        <f>IF(B4038="",0,INDEX(ModelParameters!$D$6:$K$10,MATCH($O4038,ModelParameters!$B$6:$B$10,0),MATCH($J4038,ModelParameters!$D$5:$K$5,0)))</f>
        <v>0.042</v>
      </c>
      <c r="R4038" s="71">
        <f>IF(B4038="",0,INDEX(ModelParameters!$D$13:$K$17,MATCH($O4038,ModelParameters!$B$13:$B$17,0),MATCH($J4038,ModelParameters!$D$5:$K$5,0)))</f>
        <v>0.375</v>
      </c>
      <c r="S4038" s="160">
        <f>IF(B4038="",0,MIN(IF($N4038="Other Bond TM",ModelParameters!$N$21,1)*(P4038*Q4038+R4038),1))</f>
        <v>0.56716186833157624</v>
      </c>
      <c r="T4038" s="85">
        <f>IF(B4038="",0,$S4038*$K4038)</f>
        <v>1597.5358576180254</v>
      </c>
      <c r="U4038" s="85">
        <f>IF(B4038="",0,IF(OR(H4038=MappingTables!$C$34,H4038=MappingTables!$C$35),T4038,0))</f>
        <v>0</v>
      </c>
      <c r="V4038" s="85">
        <f>IF(ISNA(IF(AND(VLOOKUP(CONCATENATE($D4038,$G4038),CSRFinput!$B:$E,4,0)=0,OR(H4038=MappingTables!$C$34,H4038=MappingTables!$C$35)),1,VLOOKUP(CONCATENATE($D4038,$G4038),CSRFinput!$B:$E,4,0))),0,IF(AND(VLOOKUP(CONCATENATE($D4038,$G4038),CSRFinput!$B:$E,4,0)=0,OR(H4038=MappingTables!$C$34,H4038=MappingTables!$C$35)),1,VLOOKUP(CONCATENATE($D4038,$G4038),CSRFinput!$B:$E,4,0)))</f>
        <v>0.054776304963434752</v>
      </c>
      <c r="W4038" s="85">
        <f>IF(B4038="",0,+$T4038*$V4038)</f>
        <v>87.507111326907232</v>
      </c>
      <c r="X4038" s="85">
        <f>IF(B4038="",0,IF(OR(H4038=MappingTables!$C$34,H4038=MappingTables!$C$35),W4038,0))</f>
        <v>0</v>
      </c>
    </row>
    <row r="4039" spans="2:24" s="0" customFormat="0" ht="15">
      <c r="B4039" s="69">
        <v>21676070</v>
      </c>
      <c r="C4039" s="70" t="s">
        <v>2989</v>
      </c>
      <c r="D4039" s="70" t="s">
        <v>1</v>
      </c>
      <c r="E4039" s="70" t="s">
        <v>1</v>
      </c>
      <c r="F4039" s="70"/>
      <c r="G4039" s="70" t="s">
        <v>61</v>
      </c>
      <c r="H4039" s="70" t="s">
        <v>178</v>
      </c>
      <c r="I4039" s="70" t="s">
        <v>220</v>
      </c>
      <c r="J4039" s="71">
        <f>IF(OR(I4039=0,I4039=""),"unrated",VLOOKUP(I4039,MappingTables!$B$19:$C$31,2,FALSE))</f>
        <v>1</v>
      </c>
      <c r="K4039" s="72">
        <v>474.18007522973784</v>
      </c>
      <c r="L4039" s="70">
        <v>0.94247990522655216</v>
      </c>
      <c r="M4039" s="71">
        <f>IF(L4039&lt;1,1,L4039)</f>
        <v>1</v>
      </c>
      <c r="N4039" s="70" t="s">
        <v>141</v>
      </c>
      <c r="O4039" s="71">
        <f>INDEX(DurClassMapping,MATCH(M4039,MappingTables!$D$4:$D$8,-1),1)</f>
        <v>1</v>
      </c>
      <c r="P4039" s="73">
        <f>IF(M4039=$A$1,1,$M4039-INDEX(MappingTables!$E$4:$E$8,MATCH(O4039,MappingTables!$B$4:$B$8,0)))</f>
        <v>1</v>
      </c>
      <c r="Q4039" s="71">
        <f>IF(B4039="",0,INDEX(ModelParameters!$D$6:$K$10,MATCH($O4039,ModelParameters!$B$6:$B$10,0),MATCH($J4039,ModelParameters!$D$5:$K$5,0)))</f>
        <v>0.011000000000000002</v>
      </c>
      <c r="R4039" s="71">
        <f>IF(B4039="",0,INDEX(ModelParameters!$D$13:$K$17,MATCH($O4039,ModelParameters!$B$13:$B$17,0),MATCH($J4039,ModelParameters!$D$5:$K$5,0)))</f>
        <v>0</v>
      </c>
      <c r="S4039" s="160">
        <f>IF(B4039="",0,MIN(IF($N4039="Other Bond TM",ModelParameters!$N$21,1)*(P4039*Q4039+R4039),1))</f>
        <v>0.011000000000000002</v>
      </c>
      <c r="T4039" s="85">
        <f>IF(B4039="",0,$S4039*$K4039)</f>
        <v>5.2159808275271168</v>
      </c>
      <c r="U4039" s="85">
        <f>IF(B4039="",0,IF(OR(H4039=MappingTables!$C$34,H4039=MappingTables!$C$35),T4039,0))</f>
        <v>0</v>
      </c>
      <c r="V4039" s="85">
        <f>IF(ISNA(IF(AND(VLOOKUP(CONCATENATE($D4039,$G4039),CSRFinput!$B:$E,4,0)=0,OR(H4039=MappingTables!$C$34,H4039=MappingTables!$C$35)),1,VLOOKUP(CONCATENATE($D4039,$G4039),CSRFinput!$B:$E,4,0))),0,IF(AND(VLOOKUP(CONCATENATE($D4039,$G4039),CSRFinput!$B:$E,4,0)=0,OR(H4039=MappingTables!$C$34,H4039=MappingTables!$C$35)),1,VLOOKUP(CONCATENATE($D4039,$G4039),CSRFinput!$B:$E,4,0)))</f>
        <v>0.054776304963434752</v>
      </c>
      <c r="W4039" s="85">
        <f>IF(B4039="",0,+$T4039*$V4039)</f>
        <v>0.28571215649205412</v>
      </c>
      <c r="X4039" s="85">
        <f>IF(B4039="",0,IF(OR(H4039=MappingTables!$C$34,H4039=MappingTables!$C$35),W4039,0))</f>
        <v>0</v>
      </c>
    </row>
    <row r="4040" spans="2:24" s="0" customFormat="0" ht="15">
      <c r="B4040" s="69">
        <v>19213177</v>
      </c>
      <c r="C4040" s="70" t="s">
        <v>903</v>
      </c>
      <c r="D4040" s="70" t="s">
        <v>1</v>
      </c>
      <c r="E4040" s="70" t="s">
        <v>1</v>
      </c>
      <c r="F4040" s="70"/>
      <c r="G4040" s="70" t="s">
        <v>61</v>
      </c>
      <c r="H4040" s="70" t="s">
        <v>178</v>
      </c>
      <c r="I4040" s="70" t="s">
        <v>181</v>
      </c>
      <c r="J4040" s="71">
        <f>IF(OR(I4040=0,I4040=""),"unrated",VLOOKUP(I4040,MappingTables!$B$19:$C$31,2,FALSE))</f>
        <v>3</v>
      </c>
      <c r="K4040" s="72">
        <v>254.13889031275672</v>
      </c>
      <c r="L4040" s="70">
        <v>2.998474892611104</v>
      </c>
      <c r="M4040" s="71">
        <f>IF(L4040&lt;1,1,L4040)</f>
        <v>2.998474892611104</v>
      </c>
      <c r="N4040" s="70" t="s">
        <v>141</v>
      </c>
      <c r="O4040" s="71">
        <f>INDEX(DurClassMapping,MATCH(M4040,MappingTables!$D$4:$D$8,-1),1)</f>
        <v>1</v>
      </c>
      <c r="P4040" s="73">
        <f>IF(M4040=$A$1,1,$M4040-INDEX(MappingTables!$E$4:$E$8,MATCH(O4040,MappingTables!$B$4:$B$8,0)))</f>
        <v>2.998474892611104</v>
      </c>
      <c r="Q4040" s="71">
        <f>IF(B4040="",0,INDEX(ModelParameters!$D$6:$K$10,MATCH($O4040,ModelParameters!$B$6:$B$10,0),MATCH($J4040,ModelParameters!$D$5:$K$5,0)))</f>
        <v>0.025</v>
      </c>
      <c r="R4040" s="71">
        <f>IF(B4040="",0,INDEX(ModelParameters!$D$13:$K$17,MATCH($O4040,ModelParameters!$B$13:$B$17,0),MATCH($J4040,ModelParameters!$D$5:$K$5,0)))</f>
        <v>0</v>
      </c>
      <c r="S4040" s="160">
        <f>IF(B4040="",0,MIN(IF($N4040="Other Bond TM",ModelParameters!$N$21,1)*(P4040*Q4040+R4040),1))</f>
        <v>0.074961872315277616</v>
      </c>
      <c r="T4040" s="85">
        <f>IF(B4040="",0,$S4040*$K4040)</f>
        <v>19.050727045971212</v>
      </c>
      <c r="U4040" s="85">
        <f>IF(B4040="",0,IF(OR(H4040=MappingTables!$C$34,H4040=MappingTables!$C$35),T4040,0))</f>
        <v>0</v>
      </c>
      <c r="V4040" s="85">
        <f>IF(ISNA(IF(AND(VLOOKUP(CONCATENATE($D4040,$G4040),CSRFinput!$B:$E,4,0)=0,OR(H4040=MappingTables!$C$34,H4040=MappingTables!$C$35)),1,VLOOKUP(CONCATENATE($D4040,$G4040),CSRFinput!$B:$E,4,0))),0,IF(AND(VLOOKUP(CONCATENATE($D4040,$G4040),CSRFinput!$B:$E,4,0)=0,OR(H4040=MappingTables!$C$34,H4040=MappingTables!$C$35)),1,VLOOKUP(CONCATENATE($D4040,$G4040),CSRFinput!$B:$E,4,0)))</f>
        <v>0.054776304963434752</v>
      </c>
      <c r="W4040" s="85">
        <f>IF(B4040="",0,+$T4040*$V4040)</f>
        <v>1.0435284344452736</v>
      </c>
      <c r="X4040" s="85">
        <f>IF(B4040="",0,IF(OR(H4040=MappingTables!$C$34,H4040=MappingTables!$C$35),W4040,0))</f>
        <v>0</v>
      </c>
    </row>
    <row r="4041" spans="2:24" s="0" customFormat="0" ht="15">
      <c r="B4041" s="69">
        <v>17095269</v>
      </c>
      <c r="C4041" s="70" t="s">
        <v>2690</v>
      </c>
      <c r="D4041" s="70" t="s">
        <v>1</v>
      </c>
      <c r="E4041" s="70" t="s">
        <v>1</v>
      </c>
      <c r="F4041" s="70"/>
      <c r="G4041" s="70" t="s">
        <v>61</v>
      </c>
      <c r="H4041" s="70" t="s">
        <v>178</v>
      </c>
      <c r="I4041" s="70" t="s">
        <v>204</v>
      </c>
      <c r="J4041" s="71">
        <f>IF(OR(I4041=0,I4041=""),"unrated",VLOOKUP(I4041,MappingTables!$B$19:$C$31,2,FALSE))</f>
        <v>6</v>
      </c>
      <c r="K4041" s="72">
        <v>2102.1574295172344</v>
      </c>
      <c r="L4041" s="70">
        <v>5.0222179516215936</v>
      </c>
      <c r="M4041" s="71">
        <f>IF(L4041&lt;1,1,L4041)</f>
        <v>5.0222179516215936</v>
      </c>
      <c r="N4041" s="70" t="s">
        <v>141</v>
      </c>
      <c r="O4041" s="71">
        <f>INDEX(DurClassMapping,MATCH(M4041,MappingTables!$D$4:$D$8,-1),1)</f>
        <v>2</v>
      </c>
      <c r="P4041" s="73">
        <f>IF(M4041=$A$1,1,$M4041-INDEX(MappingTables!$E$4:$E$8,MATCH(O4041,MappingTables!$B$4:$B$8,0)))</f>
        <v>0.022217951621593456</v>
      </c>
      <c r="Q4041" s="71">
        <f>IF(B4041="",0,INDEX(ModelParameters!$D$6:$K$10,MATCH($O4041,ModelParameters!$B$6:$B$10,0),MATCH($J4041,ModelParameters!$D$5:$K$5,0)))</f>
        <v>0.042</v>
      </c>
      <c r="R4041" s="71">
        <f>IF(B4041="",0,INDEX(ModelParameters!$D$13:$K$17,MATCH($O4041,ModelParameters!$B$13:$B$17,0),MATCH($J4041,ModelParameters!$D$5:$K$5,0)))</f>
        <v>0.375</v>
      </c>
      <c r="S4041" s="160">
        <f>IF(B4041="",0,MIN(IF($N4041="Other Bond TM",ModelParameters!$N$21,1)*(P4041*Q4041+R4041),1))</f>
        <v>0.37593315396810696</v>
      </c>
      <c r="T4041" s="85">
        <f>IF(B4041="",0,$S4041*$K4041)</f>
        <v>790.2706726159024</v>
      </c>
      <c r="U4041" s="85">
        <f>IF(B4041="",0,IF(OR(H4041=MappingTables!$C$34,H4041=MappingTables!$C$35),T4041,0))</f>
        <v>0</v>
      </c>
      <c r="V4041" s="85">
        <f>IF(ISNA(IF(AND(VLOOKUP(CONCATENATE($D4041,$G4041),CSRFinput!$B:$E,4,0)=0,OR(H4041=MappingTables!$C$34,H4041=MappingTables!$C$35)),1,VLOOKUP(CONCATENATE($D4041,$G4041),CSRFinput!$B:$E,4,0))),0,IF(AND(VLOOKUP(CONCATENATE($D4041,$G4041),CSRFinput!$B:$E,4,0)=0,OR(H4041=MappingTables!$C$34,H4041=MappingTables!$C$35)),1,VLOOKUP(CONCATENATE($D4041,$G4041),CSRFinput!$B:$E,4,0)))</f>
        <v>0.054776304963434752</v>
      </c>
      <c r="W4041" s="85">
        <f>IF(B4041="",0,+$T4041*$V4041)</f>
        <v>43.288107366867376</v>
      </c>
      <c r="X4041" s="85">
        <f>IF(B4041="",0,IF(OR(H4041=MappingTables!$C$34,H4041=MappingTables!$C$35),W4041,0))</f>
        <v>0</v>
      </c>
    </row>
    <row r="4042" spans="2:24" s="0" customFormat="0" ht="15">
      <c r="B4042" s="69" t="s">
        <v>2357</v>
      </c>
      <c r="C4042" s="70" t="s">
        <v>2358</v>
      </c>
      <c r="D4042" s="70" t="s">
        <v>1</v>
      </c>
      <c r="E4042" s="70" t="s">
        <v>1</v>
      </c>
      <c r="F4042" s="70"/>
      <c r="G4042" s="70" t="s">
        <v>61</v>
      </c>
      <c r="H4042" s="70" t="s">
        <v>178</v>
      </c>
      <c r="I4042" s="70" t="s">
        <v>181</v>
      </c>
      <c r="J4042" s="71">
        <f>IF(OR(I4042=0,I4042=""),"unrated",VLOOKUP(I4042,MappingTables!$B$19:$C$31,2,FALSE))</f>
        <v>3</v>
      </c>
      <c r="K4042" s="72">
        <v>2513.5323054089248</v>
      </c>
      <c r="L4042" s="70">
        <v>1.1037749054494366</v>
      </c>
      <c r="M4042" s="71">
        <f>IF(L4042&lt;1,1,L4042)</f>
        <v>1.1037749054494366</v>
      </c>
      <c r="N4042" s="70" t="s">
        <v>141</v>
      </c>
      <c r="O4042" s="71">
        <f>INDEX(DurClassMapping,MATCH(M4042,MappingTables!$D$4:$D$8,-1),1)</f>
        <v>1</v>
      </c>
      <c r="P4042" s="73">
        <f>IF(M4042=$A$1,1,$M4042-INDEX(MappingTables!$E$4:$E$8,MATCH(O4042,MappingTables!$B$4:$B$8,0)))</f>
        <v>1.1037749054494366</v>
      </c>
      <c r="Q4042" s="71">
        <f>IF(B4042="",0,INDEX(ModelParameters!$D$6:$K$10,MATCH($O4042,ModelParameters!$B$6:$B$10,0),MATCH($J4042,ModelParameters!$D$5:$K$5,0)))</f>
        <v>0.025</v>
      </c>
      <c r="R4042" s="71">
        <f>IF(B4042="",0,INDEX(ModelParameters!$D$13:$K$17,MATCH($O4042,ModelParameters!$B$13:$B$17,0),MATCH($J4042,ModelParameters!$D$5:$K$5,0)))</f>
        <v>0</v>
      </c>
      <c r="S4042" s="160">
        <f>IF(B4042="",0,MIN(IF($N4042="Other Bond TM",ModelParameters!$N$21,1)*(P4042*Q4042+R4042),1))</f>
        <v>0.027594372636235916</v>
      </c>
      <c r="T4042" s="85">
        <f>IF(B4042="",0,$S4042*$K4042)</f>
        <v>69.359347068671016</v>
      </c>
      <c r="U4042" s="85">
        <f>IF(B4042="",0,IF(OR(H4042=MappingTables!$C$34,H4042=MappingTables!$C$35),T4042,0))</f>
        <v>0</v>
      </c>
      <c r="V4042" s="85">
        <f>IF(ISNA(IF(AND(VLOOKUP(CONCATENATE($D4042,$G4042),CSRFinput!$B:$E,4,0)=0,OR(H4042=MappingTables!$C$34,H4042=MappingTables!$C$35)),1,VLOOKUP(CONCATENATE($D4042,$G4042),CSRFinput!$B:$E,4,0))),0,IF(AND(VLOOKUP(CONCATENATE($D4042,$G4042),CSRFinput!$B:$E,4,0)=0,OR(H4042=MappingTables!$C$34,H4042=MappingTables!$C$35)),1,VLOOKUP(CONCATENATE($D4042,$G4042),CSRFinput!$B:$E,4,0)))</f>
        <v>0.054776304963434752</v>
      </c>
      <c r="W4042" s="85">
        <f>IF(B4042="",0,+$T4042*$V4042)</f>
        <v>3.7992487470982376</v>
      </c>
      <c r="X4042" s="85">
        <f>IF(B4042="",0,IF(OR(H4042=MappingTables!$C$34,H4042=MappingTables!$C$35),W4042,0))</f>
        <v>0</v>
      </c>
    </row>
    <row r="4043" spans="2:24" s="0" customFormat="0" ht="15">
      <c r="B4043" s="69">
        <v>21801477</v>
      </c>
      <c r="C4043" s="70" t="s">
        <v>963</v>
      </c>
      <c r="D4043" s="70" t="s">
        <v>1</v>
      </c>
      <c r="E4043" s="70" t="s">
        <v>1</v>
      </c>
      <c r="F4043" s="70"/>
      <c r="G4043" s="70" t="s">
        <v>61</v>
      </c>
      <c r="H4043" s="70" t="s">
        <v>178</v>
      </c>
      <c r="I4043" s="70" t="s">
        <v>181</v>
      </c>
      <c r="J4043" s="71">
        <f>IF(OR(I4043=0,I4043=""),"unrated",VLOOKUP(I4043,MappingTables!$B$19:$C$31,2,FALSE))</f>
        <v>3</v>
      </c>
      <c r="K4043" s="72">
        <v>5925.2487868522728</v>
      </c>
      <c r="L4043" s="70">
        <v>18.647366754438816</v>
      </c>
      <c r="M4043" s="71">
        <f>IF(L4043&lt;1,1,L4043)</f>
        <v>18.647366754438816</v>
      </c>
      <c r="N4043" s="70" t="s">
        <v>141</v>
      </c>
      <c r="O4043" s="71">
        <f>INDEX(DurClassMapping,MATCH(M4043,MappingTables!$D$4:$D$8,-1),1)</f>
        <v>4</v>
      </c>
      <c r="P4043" s="73">
        <f>IF(M4043=$A$1,1,$M4043-INDEX(MappingTables!$E$4:$E$8,MATCH(O4043,MappingTables!$B$4:$B$8,0)))</f>
        <v>3.6473667544388168</v>
      </c>
      <c r="Q4043" s="71">
        <f>IF(B4043="",0,INDEX(ModelParameters!$D$6:$K$10,MATCH($O4043,ModelParameters!$B$6:$B$10,0),MATCH($J4043,ModelParameters!$D$5:$K$5,0)))</f>
        <v>0.01</v>
      </c>
      <c r="R4043" s="71">
        <f>IF(B4043="",0,INDEX(ModelParameters!$D$13:$K$17,MATCH($O4043,ModelParameters!$B$13:$B$17,0),MATCH($J4043,ModelParameters!$D$5:$K$5,0)))</f>
        <v>0.25</v>
      </c>
      <c r="S4043" s="160">
        <f>IF(B4043="",0,MIN(IF($N4043="Other Bond TM",ModelParameters!$N$21,1)*(P4043*Q4043+R4043),1))</f>
        <v>0.2864736675443882</v>
      </c>
      <c r="T4043" s="85">
        <f>IF(B4043="",0,$S4043*$K4043)</f>
        <v>1697.4277510825074</v>
      </c>
      <c r="U4043" s="85">
        <f>IF(B4043="",0,IF(OR(H4043=MappingTables!$C$34,H4043=MappingTables!$C$35),T4043,0))</f>
        <v>0</v>
      </c>
      <c r="V4043" s="85">
        <f>IF(ISNA(IF(AND(VLOOKUP(CONCATENATE($D4043,$G4043),CSRFinput!$B:$E,4,0)=0,OR(H4043=MappingTables!$C$34,H4043=MappingTables!$C$35)),1,VLOOKUP(CONCATENATE($D4043,$G4043),CSRFinput!$B:$E,4,0))),0,IF(AND(VLOOKUP(CONCATENATE($D4043,$G4043),CSRFinput!$B:$E,4,0)=0,OR(H4043=MappingTables!$C$34,H4043=MappingTables!$C$35)),1,VLOOKUP(CONCATENATE($D4043,$G4043),CSRFinput!$B:$E,4,0)))</f>
        <v>0.054776304963434752</v>
      </c>
      <c r="W4043" s="85">
        <f>IF(B4043="",0,+$T4043*$V4043)</f>
        <v>92.97882014669264</v>
      </c>
      <c r="X4043" s="85">
        <f>IF(B4043="",0,IF(OR(H4043=MappingTables!$C$34,H4043=MappingTables!$C$35),W4043,0))</f>
        <v>0</v>
      </c>
    </row>
    <row r="4044" spans="2:24" s="0" customFormat="0" ht="15">
      <c r="B4044" s="69" t="s">
        <v>1654</v>
      </c>
      <c r="C4044" s="70" t="s">
        <v>1655</v>
      </c>
      <c r="D4044" s="70" t="s">
        <v>1</v>
      </c>
      <c r="E4044" s="70" t="s">
        <v>1</v>
      </c>
      <c r="F4044" s="70"/>
      <c r="G4044" s="70" t="s">
        <v>61</v>
      </c>
      <c r="H4044" s="70" t="s">
        <v>178</v>
      </c>
      <c r="I4044" s="70" t="s">
        <v>198</v>
      </c>
      <c r="J4044" s="71" t="str">
        <f>IF(OR(I4044=0,I4044=""),"unrated",VLOOKUP(I4044,MappingTables!$B$19:$C$31,2,FALSE))</f>
        <v>unrated</v>
      </c>
      <c r="K4044" s="72">
        <v>266.144743316345</v>
      </c>
      <c r="L4044" s="70">
        <v>4.1018214504083016</v>
      </c>
      <c r="M4044" s="71">
        <f>IF(L4044&lt;1,1,L4044)</f>
        <v>4.1018214504083016</v>
      </c>
      <c r="N4044" s="70" t="s">
        <v>141</v>
      </c>
      <c r="O4044" s="71">
        <f>INDEX(DurClassMapping,MATCH(M4044,MappingTables!$D$4:$D$8,-1),1)</f>
        <v>1</v>
      </c>
      <c r="P4044" s="73">
        <f>IF(M4044=$A$1,1,$M4044-INDEX(MappingTables!$E$4:$E$8,MATCH(O4044,MappingTables!$B$4:$B$8,0)))</f>
        <v>4.1018214504083016</v>
      </c>
      <c r="Q4044" s="71">
        <f>IF(B4044="",0,INDEX(ModelParameters!$D$6:$K$10,MATCH($O4044,ModelParameters!$B$6:$B$10,0),MATCH($J4044,ModelParameters!$D$5:$K$5,0)))</f>
        <v>0.03</v>
      </c>
      <c r="R4044" s="71">
        <f>IF(B4044="",0,INDEX(ModelParameters!$D$13:$K$17,MATCH($O4044,ModelParameters!$B$13:$B$17,0),MATCH($J4044,ModelParameters!$D$5:$K$5,0)))</f>
        <v>0</v>
      </c>
      <c r="S4044" s="160">
        <f>IF(B4044="",0,MIN(IF($N4044="Other Bond TM",ModelParameters!$N$21,1)*(P4044*Q4044+R4044),1))</f>
        <v>0.12305464351224906</v>
      </c>
      <c r="T4044" s="85">
        <f>IF(B4044="",0,$S4044*$K4044)</f>
        <v>32.750346511451868</v>
      </c>
      <c r="U4044" s="85">
        <f>IF(B4044="",0,IF(OR(H4044=MappingTables!$C$34,H4044=MappingTables!$C$35),T4044,0))</f>
        <v>0</v>
      </c>
      <c r="V4044" s="85">
        <f>IF(ISNA(IF(AND(VLOOKUP(CONCATENATE($D4044,$G4044),CSRFinput!$B:$E,4,0)=0,OR(H4044=MappingTables!$C$34,H4044=MappingTables!$C$35)),1,VLOOKUP(CONCATENATE($D4044,$G4044),CSRFinput!$B:$E,4,0))),0,IF(AND(VLOOKUP(CONCATENATE($D4044,$G4044),CSRFinput!$B:$E,4,0)=0,OR(H4044=MappingTables!$C$34,H4044=MappingTables!$C$35)),1,VLOOKUP(CONCATENATE($D4044,$G4044),CSRFinput!$B:$E,4,0)))</f>
        <v>0.054776304963434752</v>
      </c>
      <c r="W4044" s="85">
        <f>IF(B4044="",0,+$T4044*$V4044)</f>
        <v>1.793942968169449</v>
      </c>
      <c r="X4044" s="85">
        <f>IF(B4044="",0,IF(OR(H4044=MappingTables!$C$34,H4044=MappingTables!$C$35),W4044,0))</f>
        <v>0</v>
      </c>
    </row>
    <row r="4045" spans="2:24" s="0" customFormat="0" ht="15">
      <c r="B4045" s="69" t="s">
        <v>1811</v>
      </c>
      <c r="C4045" s="70" t="s">
        <v>1812</v>
      </c>
      <c r="D4045" s="70" t="s">
        <v>1</v>
      </c>
      <c r="E4045" s="70" t="s">
        <v>1</v>
      </c>
      <c r="F4045" s="70"/>
      <c r="G4045" s="70" t="s">
        <v>61</v>
      </c>
      <c r="H4045" s="70" t="s">
        <v>178</v>
      </c>
      <c r="I4045" s="70" t="s">
        <v>181</v>
      </c>
      <c r="J4045" s="71">
        <f>IF(OR(I4045=0,I4045=""),"unrated",VLOOKUP(I4045,MappingTables!$B$19:$C$31,2,FALSE))</f>
        <v>3</v>
      </c>
      <c r="K4045" s="72">
        <v>0.28504903681741716</v>
      </c>
      <c r="L4045" s="70">
        <v>0.89042343995157024</v>
      </c>
      <c r="M4045" s="71">
        <f>IF(L4045&lt;1,1,L4045)</f>
        <v>1</v>
      </c>
      <c r="N4045" s="70" t="s">
        <v>141</v>
      </c>
      <c r="O4045" s="71">
        <f>INDEX(DurClassMapping,MATCH(M4045,MappingTables!$D$4:$D$8,-1),1)</f>
        <v>1</v>
      </c>
      <c r="P4045" s="73">
        <f>IF(M4045=$A$1,1,$M4045-INDEX(MappingTables!$E$4:$E$8,MATCH(O4045,MappingTables!$B$4:$B$8,0)))</f>
        <v>1</v>
      </c>
      <c r="Q4045" s="71">
        <f>IF(B4045="",0,INDEX(ModelParameters!$D$6:$K$10,MATCH($O4045,ModelParameters!$B$6:$B$10,0),MATCH($J4045,ModelParameters!$D$5:$K$5,0)))</f>
        <v>0.025</v>
      </c>
      <c r="R4045" s="71">
        <f>IF(B4045="",0,INDEX(ModelParameters!$D$13:$K$17,MATCH($O4045,ModelParameters!$B$13:$B$17,0),MATCH($J4045,ModelParameters!$D$5:$K$5,0)))</f>
        <v>0</v>
      </c>
      <c r="S4045" s="160">
        <f>IF(B4045="",0,MIN(IF($N4045="Other Bond TM",ModelParameters!$N$21,1)*(P4045*Q4045+R4045),1))</f>
        <v>0.025</v>
      </c>
      <c r="T4045" s="85">
        <f>IF(B4045="",0,$S4045*$K4045)</f>
        <v>0.0071262259204354288</v>
      </c>
      <c r="U4045" s="85">
        <f>IF(B4045="",0,IF(OR(H4045=MappingTables!$C$34,H4045=MappingTables!$C$35),T4045,0))</f>
        <v>0</v>
      </c>
      <c r="V4045" s="85">
        <f>IF(ISNA(IF(AND(VLOOKUP(CONCATENATE($D4045,$G4045),CSRFinput!$B:$E,4,0)=0,OR(H4045=MappingTables!$C$34,H4045=MappingTables!$C$35)),1,VLOOKUP(CONCATENATE($D4045,$G4045),CSRFinput!$B:$E,4,0))),0,IF(AND(VLOOKUP(CONCATENATE($D4045,$G4045),CSRFinput!$B:$E,4,0)=0,OR(H4045=MappingTables!$C$34,H4045=MappingTables!$C$35)),1,VLOOKUP(CONCATENATE($D4045,$G4045),CSRFinput!$B:$E,4,0)))</f>
        <v>0.054776304963434752</v>
      </c>
      <c r="W4045" s="85">
        <f>IF(B4045="",0,+$T4045*$V4045)</f>
        <v>0.00039034832425610464</v>
      </c>
      <c r="X4045" s="85">
        <f>IF(B4045="",0,IF(OR(H4045=MappingTables!$C$34,H4045=MappingTables!$C$35),W4045,0))</f>
        <v>0</v>
      </c>
    </row>
    <row r="4046" spans="2:24" s="0" customFormat="0" ht="15">
      <c r="B4046" s="69">
        <v>18091439</v>
      </c>
      <c r="C4046" s="70" t="s">
        <v>2983</v>
      </c>
      <c r="D4046" s="70" t="s">
        <v>1</v>
      </c>
      <c r="E4046" s="70" t="s">
        <v>1</v>
      </c>
      <c r="F4046" s="70"/>
      <c r="G4046" s="70" t="s">
        <v>61</v>
      </c>
      <c r="H4046" s="70" t="s">
        <v>178</v>
      </c>
      <c r="I4046" s="70" t="s">
        <v>179</v>
      </c>
      <c r="J4046" s="71">
        <f>IF(OR(I4046=0,I4046=""),"unrated",VLOOKUP(I4046,MappingTables!$B$19:$C$31,2,FALSE))</f>
        <v>4</v>
      </c>
      <c r="K4046" s="72">
        <v>2455.9971521101796</v>
      </c>
      <c r="L4046" s="70">
        <v>4.219257039168328</v>
      </c>
      <c r="M4046" s="71">
        <f>IF(L4046&lt;1,1,L4046)</f>
        <v>4.219257039168328</v>
      </c>
      <c r="N4046" s="70" t="s">
        <v>141</v>
      </c>
      <c r="O4046" s="71">
        <f>INDEX(DurClassMapping,MATCH(M4046,MappingTables!$D$4:$D$8,-1),1)</f>
        <v>1</v>
      </c>
      <c r="P4046" s="73">
        <f>IF(M4046=$A$1,1,$M4046-INDEX(MappingTables!$E$4:$E$8,MATCH(O4046,MappingTables!$B$4:$B$8,0)))</f>
        <v>4.219257039168328</v>
      </c>
      <c r="Q4046" s="71">
        <f>IF(B4046="",0,INDEX(ModelParameters!$D$6:$K$10,MATCH($O4046,ModelParameters!$B$6:$B$10,0),MATCH($J4046,ModelParameters!$D$5:$K$5,0)))</f>
        <v>0.045</v>
      </c>
      <c r="R4046" s="71">
        <f>IF(B4046="",0,INDEX(ModelParameters!$D$13:$K$17,MATCH($O4046,ModelParameters!$B$13:$B$17,0),MATCH($J4046,ModelParameters!$D$5:$K$5,0)))</f>
        <v>0</v>
      </c>
      <c r="S4046" s="160">
        <f>IF(B4046="",0,MIN(IF($N4046="Other Bond TM",ModelParameters!$N$21,1)*(P4046*Q4046+R4046),1))</f>
        <v>0.18986656676257472</v>
      </c>
      <c r="T4046" s="85">
        <f>IF(B4046="",0,$S4046*$K4046)</f>
        <v>466.31174724982088</v>
      </c>
      <c r="U4046" s="85">
        <f>IF(B4046="",0,IF(OR(H4046=MappingTables!$C$34,H4046=MappingTables!$C$35),T4046,0))</f>
        <v>0</v>
      </c>
      <c r="V4046" s="85">
        <f>IF(ISNA(IF(AND(VLOOKUP(CONCATENATE($D4046,$G4046),CSRFinput!$B:$E,4,0)=0,OR(H4046=MappingTables!$C$34,H4046=MappingTables!$C$35)),1,VLOOKUP(CONCATENATE($D4046,$G4046),CSRFinput!$B:$E,4,0))),0,IF(AND(VLOOKUP(CONCATENATE($D4046,$G4046),CSRFinput!$B:$E,4,0)=0,OR(H4046=MappingTables!$C$34,H4046=MappingTables!$C$35)),1,VLOOKUP(CONCATENATE($D4046,$G4046),CSRFinput!$B:$E,4,0)))</f>
        <v>0.054776304963434752</v>
      </c>
      <c r="W4046" s="85">
        <f>IF(B4046="",0,+$T4046*$V4046)</f>
        <v>25.542834475388296</v>
      </c>
      <c r="X4046" s="85">
        <f>IF(B4046="",0,IF(OR(H4046=MappingTables!$C$34,H4046=MappingTables!$C$35),W4046,0))</f>
        <v>0</v>
      </c>
    </row>
    <row r="4047" spans="2:24" s="0" customFormat="0" ht="15">
      <c r="B4047" s="69">
        <v>7178667</v>
      </c>
      <c r="C4047" s="70" t="s">
        <v>2924</v>
      </c>
      <c r="D4047" s="70" t="s">
        <v>1</v>
      </c>
      <c r="E4047" s="70" t="s">
        <v>1</v>
      </c>
      <c r="F4047" s="70"/>
      <c r="G4047" s="70" t="s">
        <v>61</v>
      </c>
      <c r="H4047" s="70" t="s">
        <v>178</v>
      </c>
      <c r="I4047" s="70" t="s">
        <v>188</v>
      </c>
      <c r="J4047" s="71">
        <f>IF(OR(I4047=0,I4047=""),"unrated",VLOOKUP(I4047,MappingTables!$B$19:$C$31,2,FALSE))</f>
        <v>2</v>
      </c>
      <c r="K4047" s="72">
        <v>11.16796576434221</v>
      </c>
      <c r="L4047" s="70">
        <v>0.72385456576901584</v>
      </c>
      <c r="M4047" s="71">
        <f>IF(L4047&lt;1,1,L4047)</f>
        <v>1</v>
      </c>
      <c r="N4047" s="70" t="s">
        <v>141</v>
      </c>
      <c r="O4047" s="71">
        <f>INDEX(DurClassMapping,MATCH(M4047,MappingTables!$D$4:$D$8,-1),1)</f>
        <v>1</v>
      </c>
      <c r="P4047" s="73">
        <f>IF(M4047=$A$1,1,$M4047-INDEX(MappingTables!$E$4:$E$8,MATCH(O4047,MappingTables!$B$4:$B$8,0)))</f>
        <v>1</v>
      </c>
      <c r="Q4047" s="71">
        <f>IF(B4047="",0,INDEX(ModelParameters!$D$6:$K$10,MATCH($O4047,ModelParameters!$B$6:$B$10,0),MATCH($J4047,ModelParameters!$D$5:$K$5,0)))</f>
        <v>0.013999999999999998</v>
      </c>
      <c r="R4047" s="71">
        <f>IF(B4047="",0,INDEX(ModelParameters!$D$13:$K$17,MATCH($O4047,ModelParameters!$B$13:$B$17,0),MATCH($J4047,ModelParameters!$D$5:$K$5,0)))</f>
        <v>0</v>
      </c>
      <c r="S4047" s="160">
        <f>IF(B4047="",0,MIN(IF($N4047="Other Bond TM",ModelParameters!$N$21,1)*(P4047*Q4047+R4047),1))</f>
        <v>0.013999999999999998</v>
      </c>
      <c r="T4047" s="85">
        <f>IF(B4047="",0,$S4047*$K4047)</f>
        <v>0.15635152070079092</v>
      </c>
      <c r="U4047" s="85">
        <f>IF(B4047="",0,IF(OR(H4047=MappingTables!$C$34,H4047=MappingTables!$C$35),T4047,0))</f>
        <v>0</v>
      </c>
      <c r="V4047" s="85">
        <f>IF(ISNA(IF(AND(VLOOKUP(CONCATENATE($D4047,$G4047),CSRFinput!$B:$E,4,0)=0,OR(H4047=MappingTables!$C$34,H4047=MappingTables!$C$35)),1,VLOOKUP(CONCATENATE($D4047,$G4047),CSRFinput!$B:$E,4,0))),0,IF(AND(VLOOKUP(CONCATENATE($D4047,$G4047),CSRFinput!$B:$E,4,0)=0,OR(H4047=MappingTables!$C$34,H4047=MappingTables!$C$35)),1,VLOOKUP(CONCATENATE($D4047,$G4047),CSRFinput!$B:$E,4,0)))</f>
        <v>0.054776304963434752</v>
      </c>
      <c r="W4047" s="85">
        <f>IF(B4047="",0,+$T4047*$V4047)</f>
        <v>0.0085643585794033056</v>
      </c>
      <c r="X4047" s="85">
        <f>IF(B4047="",0,IF(OR(H4047=MappingTables!$C$34,H4047=MappingTables!$C$35),W4047,0))</f>
        <v>0</v>
      </c>
    </row>
    <row r="4048" spans="2:24" s="0" customFormat="0" ht="15">
      <c r="B4048" s="69">
        <v>17771927</v>
      </c>
      <c r="C4048" s="70" t="s">
        <v>2956</v>
      </c>
      <c r="D4048" s="70" t="s">
        <v>1</v>
      </c>
      <c r="E4048" s="70" t="s">
        <v>1</v>
      </c>
      <c r="F4048" s="70"/>
      <c r="G4048" s="70" t="s">
        <v>61</v>
      </c>
      <c r="H4048" s="70" t="s">
        <v>178</v>
      </c>
      <c r="I4048" s="70" t="s">
        <v>181</v>
      </c>
      <c r="J4048" s="71">
        <f>IF(OR(I4048=0,I4048=""),"unrated",VLOOKUP(I4048,MappingTables!$B$19:$C$31,2,FALSE))</f>
        <v>3</v>
      </c>
      <c r="K4048" s="72">
        <v>1053.3054292823396</v>
      </c>
      <c r="L4048" s="70">
        <v>4.121432332287552</v>
      </c>
      <c r="M4048" s="71">
        <f>IF(L4048&lt;1,1,L4048)</f>
        <v>4.121432332287552</v>
      </c>
      <c r="N4048" s="70" t="s">
        <v>141</v>
      </c>
      <c r="O4048" s="71">
        <f>INDEX(DurClassMapping,MATCH(M4048,MappingTables!$D$4:$D$8,-1),1)</f>
        <v>1</v>
      </c>
      <c r="P4048" s="73">
        <f>IF(M4048=$A$1,1,$M4048-INDEX(MappingTables!$E$4:$E$8,MATCH(O4048,MappingTables!$B$4:$B$8,0)))</f>
        <v>4.121432332287552</v>
      </c>
      <c r="Q4048" s="71">
        <f>IF(B4048="",0,INDEX(ModelParameters!$D$6:$K$10,MATCH($O4048,ModelParameters!$B$6:$B$10,0),MATCH($J4048,ModelParameters!$D$5:$K$5,0)))</f>
        <v>0.025</v>
      </c>
      <c r="R4048" s="71">
        <f>IF(B4048="",0,INDEX(ModelParameters!$D$13:$K$17,MATCH($O4048,ModelParameters!$B$13:$B$17,0),MATCH($J4048,ModelParameters!$D$5:$K$5,0)))</f>
        <v>0</v>
      </c>
      <c r="S4048" s="160">
        <f>IF(B4048="",0,MIN(IF($N4048="Other Bond TM",ModelParameters!$N$21,1)*(P4048*Q4048+R4048),1))</f>
        <v>0.1030358083071888</v>
      </c>
      <c r="T4048" s="85">
        <f>IF(B4048="",0,$S4048*$K4048)</f>
        <v>108.52817630045636</v>
      </c>
      <c r="U4048" s="85">
        <f>IF(B4048="",0,IF(OR(H4048=MappingTables!$C$34,H4048=MappingTables!$C$35),T4048,0))</f>
        <v>0</v>
      </c>
      <c r="V4048" s="85">
        <f>IF(ISNA(IF(AND(VLOOKUP(CONCATENATE($D4048,$G4048),CSRFinput!$B:$E,4,0)=0,OR(H4048=MappingTables!$C$34,H4048=MappingTables!$C$35)),1,VLOOKUP(CONCATENATE($D4048,$G4048),CSRFinput!$B:$E,4,0))),0,IF(AND(VLOOKUP(CONCATENATE($D4048,$G4048),CSRFinput!$B:$E,4,0)=0,OR(H4048=MappingTables!$C$34,H4048=MappingTables!$C$35)),1,VLOOKUP(CONCATENATE($D4048,$G4048),CSRFinput!$B:$E,4,0)))</f>
        <v>0.054776304963434752</v>
      </c>
      <c r="W4048" s="85">
        <f>IF(B4048="",0,+$T4048*$V4048)</f>
        <v>5.9447724821592088</v>
      </c>
      <c r="X4048" s="85">
        <f>IF(B4048="",0,IF(OR(H4048=MappingTables!$C$34,H4048=MappingTables!$C$35),W4048,0))</f>
        <v>0</v>
      </c>
    </row>
    <row r="4049" spans="2:24" s="0" customFormat="0" ht="15">
      <c r="B4049" s="69">
        <v>24738982</v>
      </c>
      <c r="C4049" s="70" t="s">
        <v>2534</v>
      </c>
      <c r="D4049" s="70" t="s">
        <v>1</v>
      </c>
      <c r="E4049" s="70" t="s">
        <v>1</v>
      </c>
      <c r="F4049" s="70"/>
      <c r="G4049" s="70" t="s">
        <v>61</v>
      </c>
      <c r="H4049" s="70" t="s">
        <v>178</v>
      </c>
      <c r="I4049" s="70" t="s">
        <v>220</v>
      </c>
      <c r="J4049" s="71">
        <f>IF(OR(I4049=0,I4049=""),"unrated",VLOOKUP(I4049,MappingTables!$B$19:$C$31,2,FALSE))</f>
        <v>1</v>
      </c>
      <c r="K4049" s="72">
        <v>1875.2409193524904</v>
      </c>
      <c r="L4049" s="70">
        <v>0.07397163520147048</v>
      </c>
      <c r="M4049" s="71">
        <f>IF(L4049&lt;1,1,L4049)</f>
        <v>1</v>
      </c>
      <c r="N4049" s="70" t="s">
        <v>141</v>
      </c>
      <c r="O4049" s="71">
        <f>INDEX(DurClassMapping,MATCH(M4049,MappingTables!$D$4:$D$8,-1),1)</f>
        <v>1</v>
      </c>
      <c r="P4049" s="73">
        <f>IF(M4049=$A$1,1,$M4049-INDEX(MappingTables!$E$4:$E$8,MATCH(O4049,MappingTables!$B$4:$B$8,0)))</f>
        <v>1</v>
      </c>
      <c r="Q4049" s="71">
        <f>IF(B4049="",0,INDEX(ModelParameters!$D$6:$K$10,MATCH($O4049,ModelParameters!$B$6:$B$10,0),MATCH($J4049,ModelParameters!$D$5:$K$5,0)))</f>
        <v>0.011000000000000002</v>
      </c>
      <c r="R4049" s="71">
        <f>IF(B4049="",0,INDEX(ModelParameters!$D$13:$K$17,MATCH($O4049,ModelParameters!$B$13:$B$17,0),MATCH($J4049,ModelParameters!$D$5:$K$5,0)))</f>
        <v>0</v>
      </c>
      <c r="S4049" s="160">
        <f>IF(B4049="",0,MIN(IF($N4049="Other Bond TM",ModelParameters!$N$21,1)*(P4049*Q4049+R4049),1))</f>
        <v>0.011000000000000002</v>
      </c>
      <c r="T4049" s="85">
        <f>IF(B4049="",0,$S4049*$K4049)</f>
        <v>20.627650112877396</v>
      </c>
      <c r="U4049" s="85">
        <f>IF(B4049="",0,IF(OR(H4049=MappingTables!$C$34,H4049=MappingTables!$C$35),T4049,0))</f>
        <v>0</v>
      </c>
      <c r="V4049" s="85">
        <f>IF(ISNA(IF(AND(VLOOKUP(CONCATENATE($D4049,$G4049),CSRFinput!$B:$E,4,0)=0,OR(H4049=MappingTables!$C$34,H4049=MappingTables!$C$35)),1,VLOOKUP(CONCATENATE($D4049,$G4049),CSRFinput!$B:$E,4,0))),0,IF(AND(VLOOKUP(CONCATENATE($D4049,$G4049),CSRFinput!$B:$E,4,0)=0,OR(H4049=MappingTables!$C$34,H4049=MappingTables!$C$35)),1,VLOOKUP(CONCATENATE($D4049,$G4049),CSRFinput!$B:$E,4,0)))</f>
        <v>0.054776304963434752</v>
      </c>
      <c r="W4049" s="85">
        <f>IF(B4049="",0,+$T4049*$V4049)</f>
        <v>1.1299064532620016</v>
      </c>
      <c r="X4049" s="85">
        <f>IF(B4049="",0,IF(OR(H4049=MappingTables!$C$34,H4049=MappingTables!$C$35),W4049,0))</f>
        <v>0</v>
      </c>
    </row>
    <row r="4050" spans="2:24" s="0" customFormat="0" ht="15">
      <c r="B4050" s="69" t="s">
        <v>732</v>
      </c>
      <c r="C4050" s="70" t="s">
        <v>733</v>
      </c>
      <c r="D4050" s="70" t="s">
        <v>1</v>
      </c>
      <c r="E4050" s="70" t="s">
        <v>1</v>
      </c>
      <c r="F4050" s="70"/>
      <c r="G4050" s="70" t="s">
        <v>61</v>
      </c>
      <c r="H4050" s="70" t="s">
        <v>178</v>
      </c>
      <c r="I4050" s="70" t="s">
        <v>184</v>
      </c>
      <c r="J4050" s="71">
        <f>IF(OR(I4050=0,I4050=""),"unrated",VLOOKUP(I4050,MappingTables!$B$19:$C$31,2,FALSE))</f>
        <v>5</v>
      </c>
      <c r="K4050" s="72">
        <v>88.094174734325424</v>
      </c>
      <c r="L4050" s="70">
        <v>3.84325504314532</v>
      </c>
      <c r="M4050" s="71">
        <f>IF(L4050&lt;1,1,L4050)</f>
        <v>3.84325504314532</v>
      </c>
      <c r="N4050" s="70" t="s">
        <v>141</v>
      </c>
      <c r="O4050" s="71">
        <f>INDEX(DurClassMapping,MATCH(M4050,MappingTables!$D$4:$D$8,-1),1)</f>
        <v>1</v>
      </c>
      <c r="P4050" s="73">
        <f>IF(M4050=$A$1,1,$M4050-INDEX(MappingTables!$E$4:$E$8,MATCH(O4050,MappingTables!$B$4:$B$8,0)))</f>
        <v>3.84325504314532</v>
      </c>
      <c r="Q4050" s="71">
        <f>IF(B4050="",0,INDEX(ModelParameters!$D$6:$K$10,MATCH($O4050,ModelParameters!$B$6:$B$10,0),MATCH($J4050,ModelParameters!$D$5:$K$5,0)))</f>
        <v>0.075</v>
      </c>
      <c r="R4050" s="71">
        <f>IF(B4050="",0,INDEX(ModelParameters!$D$13:$K$17,MATCH($O4050,ModelParameters!$B$13:$B$17,0),MATCH($J4050,ModelParameters!$D$5:$K$5,0)))</f>
        <v>0</v>
      </c>
      <c r="S4050" s="160">
        <f>IF(B4050="",0,MIN(IF($N4050="Other Bond TM",ModelParameters!$N$21,1)*(P4050*Q4050+R4050),1))</f>
        <v>0.288244128235899</v>
      </c>
      <c r="T4050" s="85">
        <f>IF(B4050="",0,$S4050*$K4050)</f>
        <v>25.392628598956592</v>
      </c>
      <c r="U4050" s="85">
        <f>IF(B4050="",0,IF(OR(H4050=MappingTables!$C$34,H4050=MappingTables!$C$35),T4050,0))</f>
        <v>0</v>
      </c>
      <c r="V4050" s="85">
        <f>IF(ISNA(IF(AND(VLOOKUP(CONCATENATE($D4050,$G4050),CSRFinput!$B:$E,4,0)=0,OR(H4050=MappingTables!$C$34,H4050=MappingTables!$C$35)),1,VLOOKUP(CONCATENATE($D4050,$G4050),CSRFinput!$B:$E,4,0))),0,IF(AND(VLOOKUP(CONCATENATE($D4050,$G4050),CSRFinput!$B:$E,4,0)=0,OR(H4050=MappingTables!$C$34,H4050=MappingTables!$C$35)),1,VLOOKUP(CONCATENATE($D4050,$G4050),CSRFinput!$B:$E,4,0)))</f>
        <v>0.054776304963434752</v>
      </c>
      <c r="W4050" s="85">
        <f>IF(B4050="",0,+$T4050*$V4050)</f>
        <v>1.3909143679596812</v>
      </c>
      <c r="X4050" s="85">
        <f>IF(B4050="",0,IF(OR(H4050=MappingTables!$C$34,H4050=MappingTables!$C$35),W4050,0))</f>
        <v>0</v>
      </c>
    </row>
    <row r="4051" spans="2:24" s="0" customFormat="0" ht="15">
      <c r="B4051" s="69">
        <v>11401432</v>
      </c>
      <c r="C4051" s="70" t="s">
        <v>699</v>
      </c>
      <c r="D4051" s="70" t="s">
        <v>1</v>
      </c>
      <c r="E4051" s="70" t="s">
        <v>1</v>
      </c>
      <c r="F4051" s="70"/>
      <c r="G4051" s="70" t="s">
        <v>61</v>
      </c>
      <c r="H4051" s="70" t="s">
        <v>178</v>
      </c>
      <c r="I4051" s="70" t="s">
        <v>188</v>
      </c>
      <c r="J4051" s="71">
        <f>IF(OR(I4051=0,I4051=""),"unrated",VLOOKUP(I4051,MappingTables!$B$19:$C$31,2,FALSE))</f>
        <v>2</v>
      </c>
      <c r="K4051" s="72">
        <v>11788.831806534402</v>
      </c>
      <c r="L4051" s="70">
        <v>1.0767677257071286</v>
      </c>
      <c r="M4051" s="71">
        <f>IF(L4051&lt;1,1,L4051)</f>
        <v>1.0767677257071286</v>
      </c>
      <c r="N4051" s="70" t="s">
        <v>141</v>
      </c>
      <c r="O4051" s="71">
        <f>INDEX(DurClassMapping,MATCH(M4051,MappingTables!$D$4:$D$8,-1),1)</f>
        <v>1</v>
      </c>
      <c r="P4051" s="73">
        <f>IF(M4051=$A$1,1,$M4051-INDEX(MappingTables!$E$4:$E$8,MATCH(O4051,MappingTables!$B$4:$B$8,0)))</f>
        <v>1.0767677257071286</v>
      </c>
      <c r="Q4051" s="71">
        <f>IF(B4051="",0,INDEX(ModelParameters!$D$6:$K$10,MATCH($O4051,ModelParameters!$B$6:$B$10,0),MATCH($J4051,ModelParameters!$D$5:$K$5,0)))</f>
        <v>0.013999999999999998</v>
      </c>
      <c r="R4051" s="71">
        <f>IF(B4051="",0,INDEX(ModelParameters!$D$13:$K$17,MATCH($O4051,ModelParameters!$B$13:$B$17,0),MATCH($J4051,ModelParameters!$D$5:$K$5,0)))</f>
        <v>0</v>
      </c>
      <c r="S4051" s="160">
        <f>IF(B4051="",0,MIN(IF($N4051="Other Bond TM",ModelParameters!$N$21,1)*(P4051*Q4051+R4051),1))</f>
        <v>0.015074748159899798</v>
      </c>
      <c r="T4051" s="85">
        <f>IF(B4051="",0,$S4051*$K4051)</f>
        <v>177.71367058292268</v>
      </c>
      <c r="U4051" s="85">
        <f>IF(B4051="",0,IF(OR(H4051=MappingTables!$C$34,H4051=MappingTables!$C$35),T4051,0))</f>
        <v>0</v>
      </c>
      <c r="V4051" s="85">
        <f>IF(ISNA(IF(AND(VLOOKUP(CONCATENATE($D4051,$G4051),CSRFinput!$B:$E,4,0)=0,OR(H4051=MappingTables!$C$34,H4051=MappingTables!$C$35)),1,VLOOKUP(CONCATENATE($D4051,$G4051),CSRFinput!$B:$E,4,0))),0,IF(AND(VLOOKUP(CONCATENATE($D4051,$G4051),CSRFinput!$B:$E,4,0)=0,OR(H4051=MappingTables!$C$34,H4051=MappingTables!$C$35)),1,VLOOKUP(CONCATENATE($D4051,$G4051),CSRFinput!$B:$E,4,0)))</f>
        <v>0.054776304963434752</v>
      </c>
      <c r="W4051" s="85">
        <f>IF(B4051="",0,+$T4051*$V4051)</f>
        <v>9.7344982160215568</v>
      </c>
      <c r="X4051" s="85">
        <f>IF(B4051="",0,IF(OR(H4051=MappingTables!$C$34,H4051=MappingTables!$C$35),W4051,0))</f>
        <v>0</v>
      </c>
    </row>
    <row r="4052" spans="2:24" s="0" customFormat="0" ht="15">
      <c r="B4052" s="69">
        <v>10177835</v>
      </c>
      <c r="C4052" s="70" t="s">
        <v>2994</v>
      </c>
      <c r="D4052" s="70" t="s">
        <v>1</v>
      </c>
      <c r="E4052" s="70" t="s">
        <v>1</v>
      </c>
      <c r="F4052" s="70"/>
      <c r="G4052" s="70" t="s">
        <v>61</v>
      </c>
      <c r="H4052" s="70" t="s">
        <v>178</v>
      </c>
      <c r="I4052" s="70" t="s">
        <v>181</v>
      </c>
      <c r="J4052" s="71">
        <f>IF(OR(I4052=0,I4052=""),"unrated",VLOOKUP(I4052,MappingTables!$B$19:$C$31,2,FALSE))</f>
        <v>3</v>
      </c>
      <c r="K4052" s="72">
        <v>346.35117897481252</v>
      </c>
      <c r="L4052" s="70">
        <v>3.922277807756736</v>
      </c>
      <c r="M4052" s="71">
        <f>IF(L4052&lt;1,1,L4052)</f>
        <v>3.922277807756736</v>
      </c>
      <c r="N4052" s="70" t="s">
        <v>141</v>
      </c>
      <c r="O4052" s="71">
        <f>INDEX(DurClassMapping,MATCH(M4052,MappingTables!$D$4:$D$8,-1),1)</f>
        <v>1</v>
      </c>
      <c r="P4052" s="73">
        <f>IF(M4052=$A$1,1,$M4052-INDEX(MappingTables!$E$4:$E$8,MATCH(O4052,MappingTables!$B$4:$B$8,0)))</f>
        <v>3.922277807756736</v>
      </c>
      <c r="Q4052" s="71">
        <f>IF(B4052="",0,INDEX(ModelParameters!$D$6:$K$10,MATCH($O4052,ModelParameters!$B$6:$B$10,0),MATCH($J4052,ModelParameters!$D$5:$K$5,0)))</f>
        <v>0.025</v>
      </c>
      <c r="R4052" s="71">
        <f>IF(B4052="",0,INDEX(ModelParameters!$D$13:$K$17,MATCH($O4052,ModelParameters!$B$13:$B$17,0),MATCH($J4052,ModelParameters!$D$5:$K$5,0)))</f>
        <v>0</v>
      </c>
      <c r="S4052" s="160">
        <f>IF(B4052="",0,MIN(IF($N4052="Other Bond TM",ModelParameters!$N$21,1)*(P4052*Q4052+R4052),1))</f>
        <v>0.0980569451939184</v>
      </c>
      <c r="T4052" s="85">
        <f>IF(B4052="",0,$S4052*$K4052)</f>
        <v>33.962138574582212</v>
      </c>
      <c r="U4052" s="85">
        <f>IF(B4052="",0,IF(OR(H4052=MappingTables!$C$34,H4052=MappingTables!$C$35),T4052,0))</f>
        <v>0</v>
      </c>
      <c r="V4052" s="85">
        <f>IF(ISNA(IF(AND(VLOOKUP(CONCATENATE($D4052,$G4052),CSRFinput!$B:$E,4,0)=0,OR(H4052=MappingTables!$C$34,H4052=MappingTables!$C$35)),1,VLOOKUP(CONCATENATE($D4052,$G4052),CSRFinput!$B:$E,4,0))),0,IF(AND(VLOOKUP(CONCATENATE($D4052,$G4052),CSRFinput!$B:$E,4,0)=0,OR(H4052=MappingTables!$C$34,H4052=MappingTables!$C$35)),1,VLOOKUP(CONCATENATE($D4052,$G4052),CSRFinput!$B:$E,4,0)))</f>
        <v>0.054776304963434752</v>
      </c>
      <c r="W4052" s="85">
        <f>IF(B4052="",0,+$T4052*$V4052)</f>
        <v>1.8603204597717468</v>
      </c>
      <c r="X4052" s="85">
        <f>IF(B4052="",0,IF(OR(H4052=MappingTables!$C$34,H4052=MappingTables!$C$35),W4052,0))</f>
        <v>0</v>
      </c>
    </row>
    <row r="4053" spans="2:24" s="0" customFormat="0" ht="15">
      <c r="B4053" s="69">
        <v>18942811</v>
      </c>
      <c r="C4053" s="70" t="s">
        <v>2173</v>
      </c>
      <c r="D4053" s="70" t="s">
        <v>1</v>
      </c>
      <c r="E4053" s="70" t="s">
        <v>1</v>
      </c>
      <c r="F4053" s="70"/>
      <c r="G4053" s="70" t="s">
        <v>61</v>
      </c>
      <c r="H4053" s="70" t="s">
        <v>178</v>
      </c>
      <c r="I4053" s="70" t="s">
        <v>188</v>
      </c>
      <c r="J4053" s="71">
        <f>IF(OR(I4053=0,I4053=""),"unrated",VLOOKUP(I4053,MappingTables!$B$19:$C$31,2,FALSE))</f>
        <v>2</v>
      </c>
      <c r="K4053" s="72">
        <v>43.6070712352004</v>
      </c>
      <c r="L4053" s="70">
        <v>1.0387561056808432</v>
      </c>
      <c r="M4053" s="71">
        <f>IF(L4053&lt;1,1,L4053)</f>
        <v>1.0387561056808432</v>
      </c>
      <c r="N4053" s="70" t="s">
        <v>141</v>
      </c>
      <c r="O4053" s="71">
        <f>INDEX(DurClassMapping,MATCH(M4053,MappingTables!$D$4:$D$8,-1),1)</f>
        <v>1</v>
      </c>
      <c r="P4053" s="73">
        <f>IF(M4053=$A$1,1,$M4053-INDEX(MappingTables!$E$4:$E$8,MATCH(O4053,MappingTables!$B$4:$B$8,0)))</f>
        <v>1.0387561056808432</v>
      </c>
      <c r="Q4053" s="71">
        <f>IF(B4053="",0,INDEX(ModelParameters!$D$6:$K$10,MATCH($O4053,ModelParameters!$B$6:$B$10,0),MATCH($J4053,ModelParameters!$D$5:$K$5,0)))</f>
        <v>0.013999999999999998</v>
      </c>
      <c r="R4053" s="71">
        <f>IF(B4053="",0,INDEX(ModelParameters!$D$13:$K$17,MATCH($O4053,ModelParameters!$B$13:$B$17,0),MATCH($J4053,ModelParameters!$D$5:$K$5,0)))</f>
        <v>0</v>
      </c>
      <c r="S4053" s="160">
        <f>IF(B4053="",0,MIN(IF($N4053="Other Bond TM",ModelParameters!$N$21,1)*(P4053*Q4053+R4053),1))</f>
        <v>0.014542585479531804</v>
      </c>
      <c r="T4053" s="85">
        <f>IF(B4053="",0,$S4053*$K4053)</f>
        <v>0.63415956094993432</v>
      </c>
      <c r="U4053" s="85">
        <f>IF(B4053="",0,IF(OR(H4053=MappingTables!$C$34,H4053=MappingTables!$C$35),T4053,0))</f>
        <v>0</v>
      </c>
      <c r="V4053" s="85">
        <f>IF(ISNA(IF(AND(VLOOKUP(CONCATENATE($D4053,$G4053),CSRFinput!$B:$E,4,0)=0,OR(H4053=MappingTables!$C$34,H4053=MappingTables!$C$35)),1,VLOOKUP(CONCATENATE($D4053,$G4053),CSRFinput!$B:$E,4,0))),0,IF(AND(VLOOKUP(CONCATENATE($D4053,$G4053),CSRFinput!$B:$E,4,0)=0,OR(H4053=MappingTables!$C$34,H4053=MappingTables!$C$35)),1,VLOOKUP(CONCATENATE($D4053,$G4053),CSRFinput!$B:$E,4,0)))</f>
        <v>0.054776304963434752</v>
      </c>
      <c r="W4053" s="85">
        <f>IF(B4053="",0,+$T4053*$V4053)</f>
        <v>0.034736917506071488</v>
      </c>
      <c r="X4053" s="85">
        <f>IF(B4053="",0,IF(OR(H4053=MappingTables!$C$34,H4053=MappingTables!$C$35),W4053,0))</f>
        <v>0</v>
      </c>
    </row>
    <row r="4054" spans="2:24" s="0" customFormat="0" ht="15">
      <c r="B4054" s="69">
        <v>12077048</v>
      </c>
      <c r="C4054" s="70" t="s">
        <v>1287</v>
      </c>
      <c r="D4054" s="70" t="s">
        <v>1</v>
      </c>
      <c r="E4054" s="70" t="s">
        <v>1</v>
      </c>
      <c r="F4054" s="70"/>
      <c r="G4054" s="70" t="s">
        <v>61</v>
      </c>
      <c r="H4054" s="70" t="s">
        <v>178</v>
      </c>
      <c r="I4054" s="70" t="s">
        <v>181</v>
      </c>
      <c r="J4054" s="71">
        <f>IF(OR(I4054=0,I4054=""),"unrated",VLOOKUP(I4054,MappingTables!$B$19:$C$31,2,FALSE))</f>
        <v>3</v>
      </c>
      <c r="K4054" s="72">
        <v>4074.556415514492</v>
      </c>
      <c r="L4054" s="70">
        <v>4.7908892076959672</v>
      </c>
      <c r="M4054" s="71">
        <f>IF(L4054&lt;1,1,L4054)</f>
        <v>4.7908892076959672</v>
      </c>
      <c r="N4054" s="70" t="s">
        <v>141</v>
      </c>
      <c r="O4054" s="71">
        <f>INDEX(DurClassMapping,MATCH(M4054,MappingTables!$D$4:$D$8,-1),1)</f>
        <v>1</v>
      </c>
      <c r="P4054" s="73">
        <f>IF(M4054=$A$1,1,$M4054-INDEX(MappingTables!$E$4:$E$8,MATCH(O4054,MappingTables!$B$4:$B$8,0)))</f>
        <v>4.7908892076959672</v>
      </c>
      <c r="Q4054" s="71">
        <f>IF(B4054="",0,INDEX(ModelParameters!$D$6:$K$10,MATCH($O4054,ModelParameters!$B$6:$B$10,0),MATCH($J4054,ModelParameters!$D$5:$K$5,0)))</f>
        <v>0.025</v>
      </c>
      <c r="R4054" s="71">
        <f>IF(B4054="",0,INDEX(ModelParameters!$D$13:$K$17,MATCH($O4054,ModelParameters!$B$13:$B$17,0),MATCH($J4054,ModelParameters!$D$5:$K$5,0)))</f>
        <v>0</v>
      </c>
      <c r="S4054" s="160">
        <f>IF(B4054="",0,MIN(IF($N4054="Other Bond TM",ModelParameters!$N$21,1)*(P4054*Q4054+R4054),1))</f>
        <v>0.11977223019239918</v>
      </c>
      <c r="T4054" s="85">
        <f>IF(B4054="",0,$S4054*$K4054)</f>
        <v>488.01870893091856</v>
      </c>
      <c r="U4054" s="85">
        <f>IF(B4054="",0,IF(OR(H4054=MappingTables!$C$34,H4054=MappingTables!$C$35),T4054,0))</f>
        <v>0</v>
      </c>
      <c r="V4054" s="85">
        <f>IF(ISNA(IF(AND(VLOOKUP(CONCATENATE($D4054,$G4054),CSRFinput!$B:$E,4,0)=0,OR(H4054=MappingTables!$C$34,H4054=MappingTables!$C$35)),1,VLOOKUP(CONCATENATE($D4054,$G4054),CSRFinput!$B:$E,4,0))),0,IF(AND(VLOOKUP(CONCATENATE($D4054,$G4054),CSRFinput!$B:$E,4,0)=0,OR(H4054=MappingTables!$C$34,H4054=MappingTables!$C$35)),1,VLOOKUP(CONCATENATE($D4054,$G4054),CSRFinput!$B:$E,4,0)))</f>
        <v>0.054776304963434752</v>
      </c>
      <c r="W4054" s="85">
        <f>IF(B4054="",0,+$T4054*$V4054)</f>
        <v>26.731861628261696</v>
      </c>
      <c r="X4054" s="85">
        <f>IF(B4054="",0,IF(OR(H4054=MappingTables!$C$34,H4054=MappingTables!$C$35),W4054,0))</f>
        <v>0</v>
      </c>
    </row>
    <row r="4055" spans="2:24" s="0" customFormat="0" ht="15">
      <c r="B4055" s="69">
        <v>20908882</v>
      </c>
      <c r="C4055" s="70" t="s">
        <v>2089</v>
      </c>
      <c r="D4055" s="70" t="s">
        <v>1</v>
      </c>
      <c r="E4055" s="70" t="s">
        <v>1</v>
      </c>
      <c r="F4055" s="70"/>
      <c r="G4055" s="70" t="s">
        <v>61</v>
      </c>
      <c r="H4055" s="70" t="s">
        <v>178</v>
      </c>
      <c r="I4055" s="70" t="s">
        <v>179</v>
      </c>
      <c r="J4055" s="71">
        <f>IF(OR(I4055=0,I4055=""),"unrated",VLOOKUP(I4055,MappingTables!$B$19:$C$31,2,FALSE))</f>
        <v>4</v>
      </c>
      <c r="K4055" s="72">
        <v>217.51104983123356</v>
      </c>
      <c r="L4055" s="70">
        <v>0.68006663290730792</v>
      </c>
      <c r="M4055" s="71">
        <f>IF(L4055&lt;1,1,L4055)</f>
        <v>1</v>
      </c>
      <c r="N4055" s="70" t="s">
        <v>141</v>
      </c>
      <c r="O4055" s="71">
        <f>INDEX(DurClassMapping,MATCH(M4055,MappingTables!$D$4:$D$8,-1),1)</f>
        <v>1</v>
      </c>
      <c r="P4055" s="73">
        <f>IF(M4055=$A$1,1,$M4055-INDEX(MappingTables!$E$4:$E$8,MATCH(O4055,MappingTables!$B$4:$B$8,0)))</f>
        <v>1</v>
      </c>
      <c r="Q4055" s="71">
        <f>IF(B4055="",0,INDEX(ModelParameters!$D$6:$K$10,MATCH($O4055,ModelParameters!$B$6:$B$10,0),MATCH($J4055,ModelParameters!$D$5:$K$5,0)))</f>
        <v>0.045</v>
      </c>
      <c r="R4055" s="71">
        <f>IF(B4055="",0,INDEX(ModelParameters!$D$13:$K$17,MATCH($O4055,ModelParameters!$B$13:$B$17,0),MATCH($J4055,ModelParameters!$D$5:$K$5,0)))</f>
        <v>0</v>
      </c>
      <c r="S4055" s="160">
        <f>IF(B4055="",0,MIN(IF($N4055="Other Bond TM",ModelParameters!$N$21,1)*(P4055*Q4055+R4055),1))</f>
        <v>0.045</v>
      </c>
      <c r="T4055" s="85">
        <f>IF(B4055="",0,$S4055*$K4055)</f>
        <v>9.787997242405512</v>
      </c>
      <c r="U4055" s="85">
        <f>IF(B4055="",0,IF(OR(H4055=MappingTables!$C$34,H4055=MappingTables!$C$35),T4055,0))</f>
        <v>0</v>
      </c>
      <c r="V4055" s="85">
        <f>IF(ISNA(IF(AND(VLOOKUP(CONCATENATE($D4055,$G4055),CSRFinput!$B:$E,4,0)=0,OR(H4055=MappingTables!$C$34,H4055=MappingTables!$C$35)),1,VLOOKUP(CONCATENATE($D4055,$G4055),CSRFinput!$B:$E,4,0))),0,IF(AND(VLOOKUP(CONCATENATE($D4055,$G4055),CSRFinput!$B:$E,4,0)=0,OR(H4055=MappingTables!$C$34,H4055=MappingTables!$C$35)),1,VLOOKUP(CONCATENATE($D4055,$G4055),CSRFinput!$B:$E,4,0)))</f>
        <v>0.054776304963434752</v>
      </c>
      <c r="W4055" s="85">
        <f>IF(B4055="",0,+$T4055*$V4055)</f>
        <v>0.53615032193126264</v>
      </c>
      <c r="X4055" s="85">
        <f>IF(B4055="",0,IF(OR(H4055=MappingTables!$C$34,H4055=MappingTables!$C$35),W4055,0))</f>
        <v>0</v>
      </c>
    </row>
    <row r="4056" spans="2:24" s="0" customFormat="0" ht="15">
      <c r="B4056" s="69">
        <v>606023</v>
      </c>
      <c r="C4056" s="70" t="s">
        <v>2639</v>
      </c>
      <c r="D4056" s="70" t="s">
        <v>1</v>
      </c>
      <c r="E4056" s="70" t="s">
        <v>1</v>
      </c>
      <c r="F4056" s="70"/>
      <c r="G4056" s="70" t="s">
        <v>61</v>
      </c>
      <c r="H4056" s="70" t="s">
        <v>178</v>
      </c>
      <c r="I4056" s="70" t="s">
        <v>181</v>
      </c>
      <c r="J4056" s="71">
        <f>IF(OR(I4056=0,I4056=""),"unrated",VLOOKUP(I4056,MappingTables!$B$19:$C$31,2,FALSE))</f>
        <v>3</v>
      </c>
      <c r="K4056" s="72">
        <v>873.62126470411392</v>
      </c>
      <c r="L4056" s="70">
        <v>10.10047570505403</v>
      </c>
      <c r="M4056" s="71">
        <f>IF(L4056&lt;1,1,L4056)</f>
        <v>10.10047570505403</v>
      </c>
      <c r="N4056" s="70" t="s">
        <v>141</v>
      </c>
      <c r="O4056" s="71">
        <f>INDEX(DurClassMapping,MATCH(M4056,MappingTables!$D$4:$D$8,-1),1)</f>
        <v>3</v>
      </c>
      <c r="P4056" s="73">
        <f>IF(M4056=$A$1,1,$M4056-INDEX(MappingTables!$E$4:$E$8,MATCH(O4056,MappingTables!$B$4:$B$8,0)))</f>
        <v>0.10047570505403058</v>
      </c>
      <c r="Q4056" s="71">
        <f>IF(B4056="",0,INDEX(ModelParameters!$D$6:$K$10,MATCH($O4056,ModelParameters!$B$6:$B$10,0),MATCH($J4056,ModelParameters!$D$5:$K$5,0)))</f>
        <v>0.01</v>
      </c>
      <c r="R4056" s="71">
        <f>IF(B4056="",0,INDEX(ModelParameters!$D$13:$K$17,MATCH($O4056,ModelParameters!$B$13:$B$17,0),MATCH($J4056,ModelParameters!$D$5:$K$5,0)))</f>
        <v>0.2</v>
      </c>
      <c r="S4056" s="160">
        <f>IF(B4056="",0,MIN(IF($N4056="Other Bond TM",ModelParameters!$N$21,1)*(P4056*Q4056+R4056),1))</f>
        <v>0.20100475705054032</v>
      </c>
      <c r="T4056" s="85">
        <f>IF(B4056="",0,$S4056*$K4056)</f>
        <v>175.6020300660362</v>
      </c>
      <c r="U4056" s="85">
        <f>IF(B4056="",0,IF(OR(H4056=MappingTables!$C$34,H4056=MappingTables!$C$35),T4056,0))</f>
        <v>0</v>
      </c>
      <c r="V4056" s="85">
        <f>IF(ISNA(IF(AND(VLOOKUP(CONCATENATE($D4056,$G4056),CSRFinput!$B:$E,4,0)=0,OR(H4056=MappingTables!$C$34,H4056=MappingTables!$C$35)),1,VLOOKUP(CONCATENATE($D4056,$G4056),CSRFinput!$B:$E,4,0))),0,IF(AND(VLOOKUP(CONCATENATE($D4056,$G4056),CSRFinput!$B:$E,4,0)=0,OR(H4056=MappingTables!$C$34,H4056=MappingTables!$C$35)),1,VLOOKUP(CONCATENATE($D4056,$G4056),CSRFinput!$B:$E,4,0)))</f>
        <v>0.054776304963434752</v>
      </c>
      <c r="W4056" s="85">
        <f>IF(B4056="",0,+$T4056*$V4056)</f>
        <v>9.6188303510954384</v>
      </c>
      <c r="X4056" s="85">
        <f>IF(B4056="",0,IF(OR(H4056=MappingTables!$C$34,H4056=MappingTables!$C$35),W4056,0))</f>
        <v>0</v>
      </c>
    </row>
    <row r="4057" spans="2:24" s="0" customFormat="0" ht="15">
      <c r="B4057" s="69">
        <v>15540828</v>
      </c>
      <c r="C4057" s="70" t="s">
        <v>2786</v>
      </c>
      <c r="D4057" s="70" t="s">
        <v>1</v>
      </c>
      <c r="E4057" s="70" t="s">
        <v>1</v>
      </c>
      <c r="F4057" s="70"/>
      <c r="G4057" s="70" t="s">
        <v>61</v>
      </c>
      <c r="H4057" s="70" t="s">
        <v>178</v>
      </c>
      <c r="I4057" s="70" t="s">
        <v>188</v>
      </c>
      <c r="J4057" s="71">
        <f>IF(OR(I4057=0,I4057=""),"unrated",VLOOKUP(I4057,MappingTables!$B$19:$C$31,2,FALSE))</f>
        <v>2</v>
      </c>
      <c r="K4057" s="72">
        <v>1074.7853483737948</v>
      </c>
      <c r="L4057" s="70">
        <v>0.19451919740574524</v>
      </c>
      <c r="M4057" s="71">
        <f>IF(L4057&lt;1,1,L4057)</f>
        <v>1</v>
      </c>
      <c r="N4057" s="70" t="s">
        <v>141</v>
      </c>
      <c r="O4057" s="71">
        <f>INDEX(DurClassMapping,MATCH(M4057,MappingTables!$D$4:$D$8,-1),1)</f>
        <v>1</v>
      </c>
      <c r="P4057" s="73">
        <f>IF(M4057=$A$1,1,$M4057-INDEX(MappingTables!$E$4:$E$8,MATCH(O4057,MappingTables!$B$4:$B$8,0)))</f>
        <v>1</v>
      </c>
      <c r="Q4057" s="71">
        <f>IF(B4057="",0,INDEX(ModelParameters!$D$6:$K$10,MATCH($O4057,ModelParameters!$B$6:$B$10,0),MATCH($J4057,ModelParameters!$D$5:$K$5,0)))</f>
        <v>0.013999999999999998</v>
      </c>
      <c r="R4057" s="71">
        <f>IF(B4057="",0,INDEX(ModelParameters!$D$13:$K$17,MATCH($O4057,ModelParameters!$B$13:$B$17,0),MATCH($J4057,ModelParameters!$D$5:$K$5,0)))</f>
        <v>0</v>
      </c>
      <c r="S4057" s="160">
        <f>IF(B4057="",0,MIN(IF($N4057="Other Bond TM",ModelParameters!$N$21,1)*(P4057*Q4057+R4057),1))</f>
        <v>0.013999999999999998</v>
      </c>
      <c r="T4057" s="85">
        <f>IF(B4057="",0,$S4057*$K4057)</f>
        <v>15.046994877233126</v>
      </c>
      <c r="U4057" s="85">
        <f>IF(B4057="",0,IF(OR(H4057=MappingTables!$C$34,H4057=MappingTables!$C$35),T4057,0))</f>
        <v>0</v>
      </c>
      <c r="V4057" s="85">
        <f>IF(ISNA(IF(AND(VLOOKUP(CONCATENATE($D4057,$G4057),CSRFinput!$B:$E,4,0)=0,OR(H4057=MappingTables!$C$34,H4057=MappingTables!$C$35)),1,VLOOKUP(CONCATENATE($D4057,$G4057),CSRFinput!$B:$E,4,0))),0,IF(AND(VLOOKUP(CONCATENATE($D4057,$G4057),CSRFinput!$B:$E,4,0)=0,OR(H4057=MappingTables!$C$34,H4057=MappingTables!$C$35)),1,VLOOKUP(CONCATENATE($D4057,$G4057),CSRFinput!$B:$E,4,0)))</f>
        <v>0.054776304963434752</v>
      </c>
      <c r="W4057" s="85">
        <f>IF(B4057="",0,+$T4057*$V4057)</f>
        <v>0.82421878017856208</v>
      </c>
      <c r="X4057" s="85">
        <f>IF(B4057="",0,IF(OR(H4057=MappingTables!$C$34,H4057=MappingTables!$C$35),W4057,0))</f>
        <v>0</v>
      </c>
    </row>
    <row r="4058" spans="2:24" s="0" customFormat="0" ht="15">
      <c r="B4058" s="69">
        <v>13721933</v>
      </c>
      <c r="C4058" s="70" t="s">
        <v>2632</v>
      </c>
      <c r="D4058" s="70" t="s">
        <v>1</v>
      </c>
      <c r="E4058" s="70" t="s">
        <v>1</v>
      </c>
      <c r="F4058" s="70"/>
      <c r="G4058" s="70" t="s">
        <v>61</v>
      </c>
      <c r="H4058" s="70" t="s">
        <v>178</v>
      </c>
      <c r="I4058" s="70" t="s">
        <v>179</v>
      </c>
      <c r="J4058" s="71">
        <f>IF(OR(I4058=0,I4058=""),"unrated",VLOOKUP(I4058,MappingTables!$B$19:$C$31,2,FALSE))</f>
        <v>4</v>
      </c>
      <c r="K4058" s="72">
        <v>241.89254380437332</v>
      </c>
      <c r="L4058" s="70">
        <v>0.041092594505662456</v>
      </c>
      <c r="M4058" s="71">
        <f>IF(L4058&lt;1,1,L4058)</f>
        <v>1</v>
      </c>
      <c r="N4058" s="70" t="s">
        <v>141</v>
      </c>
      <c r="O4058" s="71">
        <f>INDEX(DurClassMapping,MATCH(M4058,MappingTables!$D$4:$D$8,-1),1)</f>
        <v>1</v>
      </c>
      <c r="P4058" s="73">
        <f>IF(M4058=$A$1,1,$M4058-INDEX(MappingTables!$E$4:$E$8,MATCH(O4058,MappingTables!$B$4:$B$8,0)))</f>
        <v>1</v>
      </c>
      <c r="Q4058" s="71">
        <f>IF(B4058="",0,INDEX(ModelParameters!$D$6:$K$10,MATCH($O4058,ModelParameters!$B$6:$B$10,0),MATCH($J4058,ModelParameters!$D$5:$K$5,0)))</f>
        <v>0.045</v>
      </c>
      <c r="R4058" s="71">
        <f>IF(B4058="",0,INDEX(ModelParameters!$D$13:$K$17,MATCH($O4058,ModelParameters!$B$13:$B$17,0),MATCH($J4058,ModelParameters!$D$5:$K$5,0)))</f>
        <v>0</v>
      </c>
      <c r="S4058" s="160">
        <f>IF(B4058="",0,MIN(IF($N4058="Other Bond TM",ModelParameters!$N$21,1)*(P4058*Q4058+R4058),1))</f>
        <v>0.045</v>
      </c>
      <c r="T4058" s="85">
        <f>IF(B4058="",0,$S4058*$K4058)</f>
        <v>10.8851644711968</v>
      </c>
      <c r="U4058" s="85">
        <f>IF(B4058="",0,IF(OR(H4058=MappingTables!$C$34,H4058=MappingTables!$C$35),T4058,0))</f>
        <v>0</v>
      </c>
      <c r="V4058" s="85">
        <f>IF(ISNA(IF(AND(VLOOKUP(CONCATENATE($D4058,$G4058),CSRFinput!$B:$E,4,0)=0,OR(H4058=MappingTables!$C$34,H4058=MappingTables!$C$35)),1,VLOOKUP(CONCATENATE($D4058,$G4058),CSRFinput!$B:$E,4,0))),0,IF(AND(VLOOKUP(CONCATENATE($D4058,$G4058),CSRFinput!$B:$E,4,0)=0,OR(H4058=MappingTables!$C$34,H4058=MappingTables!$C$35)),1,VLOOKUP(CONCATENATE($D4058,$G4058),CSRFinput!$B:$E,4,0)))</f>
        <v>0.054776304963434752</v>
      </c>
      <c r="W4058" s="85">
        <f>IF(B4058="",0,+$T4058*$V4058)</f>
        <v>0.59624908865142088</v>
      </c>
      <c r="X4058" s="85">
        <f>IF(B4058="",0,IF(OR(H4058=MappingTables!$C$34,H4058=MappingTables!$C$35),W4058,0))</f>
        <v>0</v>
      </c>
    </row>
    <row r="4059" spans="2:24" s="0" customFormat="0" ht="15">
      <c r="B4059" s="69">
        <v>19483991</v>
      </c>
      <c r="C4059" s="70" t="s">
        <v>1940</v>
      </c>
      <c r="D4059" s="70" t="s">
        <v>1</v>
      </c>
      <c r="E4059" s="70" t="s">
        <v>1</v>
      </c>
      <c r="F4059" s="70"/>
      <c r="G4059" s="70" t="s">
        <v>61</v>
      </c>
      <c r="H4059" s="70" t="s">
        <v>178</v>
      </c>
      <c r="I4059" s="70" t="s">
        <v>181</v>
      </c>
      <c r="J4059" s="71">
        <f>IF(OR(I4059=0,I4059=""),"unrated",VLOOKUP(I4059,MappingTables!$B$19:$C$31,2,FALSE))</f>
        <v>3</v>
      </c>
      <c r="K4059" s="72">
        <v>3350.3198241100692</v>
      </c>
      <c r="L4059" s="70">
        <v>3.1740674354206528</v>
      </c>
      <c r="M4059" s="71">
        <f>IF(L4059&lt;1,1,L4059)</f>
        <v>3.1740674354206528</v>
      </c>
      <c r="N4059" s="70" t="s">
        <v>141</v>
      </c>
      <c r="O4059" s="71">
        <f>INDEX(DurClassMapping,MATCH(M4059,MappingTables!$D$4:$D$8,-1),1)</f>
        <v>1</v>
      </c>
      <c r="P4059" s="73">
        <f>IF(M4059=$A$1,1,$M4059-INDEX(MappingTables!$E$4:$E$8,MATCH(O4059,MappingTables!$B$4:$B$8,0)))</f>
        <v>3.1740674354206528</v>
      </c>
      <c r="Q4059" s="71">
        <f>IF(B4059="",0,INDEX(ModelParameters!$D$6:$K$10,MATCH($O4059,ModelParameters!$B$6:$B$10,0),MATCH($J4059,ModelParameters!$D$5:$K$5,0)))</f>
        <v>0.025</v>
      </c>
      <c r="R4059" s="71">
        <f>IF(B4059="",0,INDEX(ModelParameters!$D$13:$K$17,MATCH($O4059,ModelParameters!$B$13:$B$17,0),MATCH($J4059,ModelParameters!$D$5:$K$5,0)))</f>
        <v>0</v>
      </c>
      <c r="S4059" s="160">
        <f>IF(B4059="",0,MIN(IF($N4059="Other Bond TM",ModelParameters!$N$21,1)*(P4059*Q4059+R4059),1))</f>
        <v>0.079351685885516336</v>
      </c>
      <c r="T4059" s="85">
        <f>IF(B4059="",0,$S4059*$K4059)</f>
        <v>265.85352629880056</v>
      </c>
      <c r="U4059" s="85">
        <f>IF(B4059="",0,IF(OR(H4059=MappingTables!$C$34,H4059=MappingTables!$C$35),T4059,0))</f>
        <v>0</v>
      </c>
      <c r="V4059" s="85">
        <f>IF(ISNA(IF(AND(VLOOKUP(CONCATENATE($D4059,$G4059),CSRFinput!$B:$E,4,0)=0,OR(H4059=MappingTables!$C$34,H4059=MappingTables!$C$35)),1,VLOOKUP(CONCATENATE($D4059,$G4059),CSRFinput!$B:$E,4,0))),0,IF(AND(VLOOKUP(CONCATENATE($D4059,$G4059),CSRFinput!$B:$E,4,0)=0,OR(H4059=MappingTables!$C$34,H4059=MappingTables!$C$35)),1,VLOOKUP(CONCATENATE($D4059,$G4059),CSRFinput!$B:$E,4,0)))</f>
        <v>0.054776304963434752</v>
      </c>
      <c r="W4059" s="85">
        <f>IF(B4059="",0,+$T4059*$V4059)</f>
        <v>14.56247383214762</v>
      </c>
      <c r="X4059" s="85">
        <f>IF(B4059="",0,IF(OR(H4059=MappingTables!$C$34,H4059=MappingTables!$C$35),W4059,0))</f>
        <v>0</v>
      </c>
    </row>
    <row r="4060" spans="2:24" s="0" customFormat="0" ht="15">
      <c r="B4060" s="69">
        <v>22106686</v>
      </c>
      <c r="C4060" s="70" t="s">
        <v>2991</v>
      </c>
      <c r="D4060" s="70" t="s">
        <v>1</v>
      </c>
      <c r="E4060" s="70" t="s">
        <v>1</v>
      </c>
      <c r="F4060" s="70"/>
      <c r="G4060" s="70" t="s">
        <v>61</v>
      </c>
      <c r="H4060" s="70" t="s">
        <v>178</v>
      </c>
      <c r="I4060" s="70" t="s">
        <v>179</v>
      </c>
      <c r="J4060" s="71">
        <f>IF(OR(I4060=0,I4060=""),"unrated",VLOOKUP(I4060,MappingTables!$B$19:$C$31,2,FALSE))</f>
        <v>4</v>
      </c>
      <c r="K4060" s="72">
        <v>19544.130640588552</v>
      </c>
      <c r="L4060" s="70">
        <v>10.58544145071414</v>
      </c>
      <c r="M4060" s="71">
        <f>IF(L4060&lt;1,1,L4060)</f>
        <v>10.58544145071414</v>
      </c>
      <c r="N4060" s="70" t="s">
        <v>141</v>
      </c>
      <c r="O4060" s="71">
        <f>INDEX(DurClassMapping,MATCH(M4060,MappingTables!$D$4:$D$8,-1),1)</f>
        <v>3</v>
      </c>
      <c r="P4060" s="73">
        <f>IF(M4060=$A$1,1,$M4060-INDEX(MappingTables!$E$4:$E$8,MATCH(O4060,MappingTables!$B$4:$B$8,0)))</f>
        <v>0.58544145071414096</v>
      </c>
      <c r="Q4060" s="71">
        <f>IF(B4060="",0,INDEX(ModelParameters!$D$6:$K$10,MATCH($O4060,ModelParameters!$B$6:$B$10,0),MATCH($J4060,ModelParameters!$D$5:$K$5,0)))</f>
        <v>0.018000000000000002</v>
      </c>
      <c r="R4060" s="71">
        <f>IF(B4060="",0,INDEX(ModelParameters!$D$13:$K$17,MATCH($O4060,ModelParameters!$B$13:$B$17,0),MATCH($J4060,ModelParameters!$D$5:$K$5,0)))</f>
        <v>0.34999999999999996</v>
      </c>
      <c r="S4060" s="160">
        <f>IF(B4060="",0,MIN(IF($N4060="Other Bond TM",ModelParameters!$N$21,1)*(P4060*Q4060+R4060),1))</f>
        <v>0.36053794611285448</v>
      </c>
      <c r="T4060" s="85">
        <f>IF(B4060="",0,$S4060*$K4060)</f>
        <v>7046.400719719104</v>
      </c>
      <c r="U4060" s="85">
        <f>IF(B4060="",0,IF(OR(H4060=MappingTables!$C$34,H4060=MappingTables!$C$35),T4060,0))</f>
        <v>0</v>
      </c>
      <c r="V4060" s="85">
        <f>IF(ISNA(IF(AND(VLOOKUP(CONCATENATE($D4060,$G4060),CSRFinput!$B:$E,4,0)=0,OR(H4060=MappingTables!$C$34,H4060=MappingTables!$C$35)),1,VLOOKUP(CONCATENATE($D4060,$G4060),CSRFinput!$B:$E,4,0))),0,IF(AND(VLOOKUP(CONCATENATE($D4060,$G4060),CSRFinput!$B:$E,4,0)=0,OR(H4060=MappingTables!$C$34,H4060=MappingTables!$C$35)),1,VLOOKUP(CONCATENATE($D4060,$G4060),CSRFinput!$B:$E,4,0)))</f>
        <v>0.054776304963434752</v>
      </c>
      <c r="W4060" s="85">
        <f>IF(B4060="",0,+$T4060*$V4060)</f>
        <v>385.97579471789976</v>
      </c>
      <c r="X4060" s="85">
        <f>IF(B4060="",0,IF(OR(H4060=MappingTables!$C$34,H4060=MappingTables!$C$35),W4060,0))</f>
        <v>0</v>
      </c>
    </row>
    <row r="4061" spans="2:24" s="0" customFormat="0" ht="15">
      <c r="B4061" s="69">
        <v>12041225</v>
      </c>
      <c r="C4061" s="70" t="s">
        <v>2533</v>
      </c>
      <c r="D4061" s="70" t="s">
        <v>1</v>
      </c>
      <c r="E4061" s="70" t="s">
        <v>1</v>
      </c>
      <c r="F4061" s="70"/>
      <c r="G4061" s="70" t="s">
        <v>61</v>
      </c>
      <c r="H4061" s="70" t="s">
        <v>178</v>
      </c>
      <c r="I4061" s="70" t="s">
        <v>181</v>
      </c>
      <c r="J4061" s="71">
        <f>IF(OR(I4061=0,I4061=""),"unrated",VLOOKUP(I4061,MappingTables!$B$19:$C$31,2,FALSE))</f>
        <v>3</v>
      </c>
      <c r="K4061" s="72">
        <v>15122.709829165836</v>
      </c>
      <c r="L4061" s="70">
        <v>0.43561887856434904</v>
      </c>
      <c r="M4061" s="71">
        <f>IF(L4061&lt;1,1,L4061)</f>
        <v>1</v>
      </c>
      <c r="N4061" s="70" t="s">
        <v>141</v>
      </c>
      <c r="O4061" s="71">
        <f>INDEX(DurClassMapping,MATCH(M4061,MappingTables!$D$4:$D$8,-1),1)</f>
        <v>1</v>
      </c>
      <c r="P4061" s="73">
        <f>IF(M4061=$A$1,1,$M4061-INDEX(MappingTables!$E$4:$E$8,MATCH(O4061,MappingTables!$B$4:$B$8,0)))</f>
        <v>1</v>
      </c>
      <c r="Q4061" s="71">
        <f>IF(B4061="",0,INDEX(ModelParameters!$D$6:$K$10,MATCH($O4061,ModelParameters!$B$6:$B$10,0),MATCH($J4061,ModelParameters!$D$5:$K$5,0)))</f>
        <v>0.025</v>
      </c>
      <c r="R4061" s="71">
        <f>IF(B4061="",0,INDEX(ModelParameters!$D$13:$K$17,MATCH($O4061,ModelParameters!$B$13:$B$17,0),MATCH($J4061,ModelParameters!$D$5:$K$5,0)))</f>
        <v>0</v>
      </c>
      <c r="S4061" s="160">
        <f>IF(B4061="",0,MIN(IF($N4061="Other Bond TM",ModelParameters!$N$21,1)*(P4061*Q4061+R4061),1))</f>
        <v>0.025</v>
      </c>
      <c r="T4061" s="85">
        <f>IF(B4061="",0,$S4061*$K4061)</f>
        <v>378.06774572914592</v>
      </c>
      <c r="U4061" s="85">
        <f>IF(B4061="",0,IF(OR(H4061=MappingTables!$C$34,H4061=MappingTables!$C$35),T4061,0))</f>
        <v>0</v>
      </c>
      <c r="V4061" s="85">
        <f>IF(ISNA(IF(AND(VLOOKUP(CONCATENATE($D4061,$G4061),CSRFinput!$B:$E,4,0)=0,OR(H4061=MappingTables!$C$34,H4061=MappingTables!$C$35)),1,VLOOKUP(CONCATENATE($D4061,$G4061),CSRFinput!$B:$E,4,0))),0,IF(AND(VLOOKUP(CONCATENATE($D4061,$G4061),CSRFinput!$B:$E,4,0)=0,OR(H4061=MappingTables!$C$34,H4061=MappingTables!$C$35)),1,VLOOKUP(CONCATENATE($D4061,$G4061),CSRFinput!$B:$E,4,0)))</f>
        <v>0.054776304963434752</v>
      </c>
      <c r="W4061" s="85">
        <f>IF(B4061="",0,+$T4061*$V4061)</f>
        <v>20.709154136898004</v>
      </c>
      <c r="X4061" s="85">
        <f>IF(B4061="",0,IF(OR(H4061=MappingTables!$C$34,H4061=MappingTables!$C$35),W4061,0))</f>
        <v>0</v>
      </c>
    </row>
    <row r="4062" spans="2:24" s="0" customFormat="0" ht="15">
      <c r="B4062" s="69" t="s">
        <v>878</v>
      </c>
      <c r="C4062" s="70" t="s">
        <v>879</v>
      </c>
      <c r="D4062" s="70" t="s">
        <v>1</v>
      </c>
      <c r="E4062" s="70" t="s">
        <v>1</v>
      </c>
      <c r="F4062" s="70"/>
      <c r="G4062" s="70" t="s">
        <v>61</v>
      </c>
      <c r="H4062" s="70" t="s">
        <v>178</v>
      </c>
      <c r="I4062" s="70" t="s">
        <v>204</v>
      </c>
      <c r="J4062" s="71">
        <f>IF(OR(I4062=0,I4062=""),"unrated",VLOOKUP(I4062,MappingTables!$B$19:$C$31,2,FALSE))</f>
        <v>6</v>
      </c>
      <c r="K4062" s="72">
        <v>99.26506439982552</v>
      </c>
      <c r="L4062" s="70">
        <v>0.041095163090829872</v>
      </c>
      <c r="M4062" s="71">
        <f>IF(L4062&lt;1,1,L4062)</f>
        <v>1</v>
      </c>
      <c r="N4062" s="70" t="s">
        <v>141</v>
      </c>
      <c r="O4062" s="71">
        <f>INDEX(DurClassMapping,MATCH(M4062,MappingTables!$D$4:$D$8,-1),1)</f>
        <v>1</v>
      </c>
      <c r="P4062" s="73">
        <f>IF(M4062=$A$1,1,$M4062-INDEX(MappingTables!$E$4:$E$8,MATCH(O4062,MappingTables!$B$4:$B$8,0)))</f>
        <v>1</v>
      </c>
      <c r="Q4062" s="71">
        <f>IF(B4062="",0,INDEX(ModelParameters!$D$6:$K$10,MATCH($O4062,ModelParameters!$B$6:$B$10,0),MATCH($J4062,ModelParameters!$D$5:$K$5,0)))</f>
        <v>0.075</v>
      </c>
      <c r="R4062" s="71">
        <f>IF(B4062="",0,INDEX(ModelParameters!$D$13:$K$17,MATCH($O4062,ModelParameters!$B$13:$B$17,0),MATCH($J4062,ModelParameters!$D$5:$K$5,0)))</f>
        <v>0</v>
      </c>
      <c r="S4062" s="160">
        <f>IF(B4062="",0,MIN(IF($N4062="Other Bond TM",ModelParameters!$N$21,1)*(P4062*Q4062+R4062),1))</f>
        <v>0.075</v>
      </c>
      <c r="T4062" s="85">
        <f>IF(B4062="",0,$S4062*$K4062)</f>
        <v>7.4448798299869136</v>
      </c>
      <c r="U4062" s="85">
        <f>IF(B4062="",0,IF(OR(H4062=MappingTables!$C$34,H4062=MappingTables!$C$35),T4062,0))</f>
        <v>0</v>
      </c>
      <c r="V4062" s="85">
        <f>IF(ISNA(IF(AND(VLOOKUP(CONCATENATE($D4062,$G4062),CSRFinput!$B:$E,4,0)=0,OR(H4062=MappingTables!$C$34,H4062=MappingTables!$C$35)),1,VLOOKUP(CONCATENATE($D4062,$G4062),CSRFinput!$B:$E,4,0))),0,IF(AND(VLOOKUP(CONCATENATE($D4062,$G4062),CSRFinput!$B:$E,4,0)=0,OR(H4062=MappingTables!$C$34,H4062=MappingTables!$C$35)),1,VLOOKUP(CONCATENATE($D4062,$G4062),CSRFinput!$B:$E,4,0)))</f>
        <v>0.054776304963434752</v>
      </c>
      <c r="W4062" s="85">
        <f>IF(B4062="",0,+$T4062*$V4062)</f>
        <v>0.40780300798348744</v>
      </c>
      <c r="X4062" s="85">
        <f>IF(B4062="",0,IF(OR(H4062=MappingTables!$C$34,H4062=MappingTables!$C$35),W4062,0))</f>
        <v>0</v>
      </c>
    </row>
    <row r="4063" spans="2:24" s="0" customFormat="0" ht="15">
      <c r="B4063" s="69">
        <v>19686810</v>
      </c>
      <c r="C4063" s="70" t="s">
        <v>2414</v>
      </c>
      <c r="D4063" s="70" t="s">
        <v>1</v>
      </c>
      <c r="E4063" s="70" t="s">
        <v>1</v>
      </c>
      <c r="F4063" s="70"/>
      <c r="G4063" s="70" t="s">
        <v>61</v>
      </c>
      <c r="H4063" s="70" t="s">
        <v>178</v>
      </c>
      <c r="I4063" s="70" t="s">
        <v>188</v>
      </c>
      <c r="J4063" s="71">
        <f>IF(OR(I4063=0,I4063=""),"unrated",VLOOKUP(I4063,MappingTables!$B$19:$C$31,2,FALSE))</f>
        <v>2</v>
      </c>
      <c r="K4063" s="72">
        <v>4056.3799098941016</v>
      </c>
      <c r="L4063" s="70">
        <v>3.2315287201703772</v>
      </c>
      <c r="M4063" s="71">
        <f>IF(L4063&lt;1,1,L4063)</f>
        <v>3.2315287201703772</v>
      </c>
      <c r="N4063" s="70" t="s">
        <v>141</v>
      </c>
      <c r="O4063" s="71">
        <f>INDEX(DurClassMapping,MATCH(M4063,MappingTables!$D$4:$D$8,-1),1)</f>
        <v>1</v>
      </c>
      <c r="P4063" s="73">
        <f>IF(M4063=$A$1,1,$M4063-INDEX(MappingTables!$E$4:$E$8,MATCH(O4063,MappingTables!$B$4:$B$8,0)))</f>
        <v>3.2315287201703772</v>
      </c>
      <c r="Q4063" s="71">
        <f>IF(B4063="",0,INDEX(ModelParameters!$D$6:$K$10,MATCH($O4063,ModelParameters!$B$6:$B$10,0),MATCH($J4063,ModelParameters!$D$5:$K$5,0)))</f>
        <v>0.013999999999999998</v>
      </c>
      <c r="R4063" s="71">
        <f>IF(B4063="",0,INDEX(ModelParameters!$D$13:$K$17,MATCH($O4063,ModelParameters!$B$13:$B$17,0),MATCH($J4063,ModelParameters!$D$5:$K$5,0)))</f>
        <v>0</v>
      </c>
      <c r="S4063" s="160">
        <f>IF(B4063="",0,MIN(IF($N4063="Other Bond TM",ModelParameters!$N$21,1)*(P4063*Q4063+R4063),1))</f>
        <v>0.045241402082385272</v>
      </c>
      <c r="T4063" s="85">
        <f>IF(B4063="",0,$S4063*$K4063)</f>
        <v>183.51631450242876</v>
      </c>
      <c r="U4063" s="85">
        <f>IF(B4063="",0,IF(OR(H4063=MappingTables!$C$34,H4063=MappingTables!$C$35),T4063,0))</f>
        <v>0</v>
      </c>
      <c r="V4063" s="85">
        <f>IF(ISNA(IF(AND(VLOOKUP(CONCATENATE($D4063,$G4063),CSRFinput!$B:$E,4,0)=0,OR(H4063=MappingTables!$C$34,H4063=MappingTables!$C$35)),1,VLOOKUP(CONCATENATE($D4063,$G4063),CSRFinput!$B:$E,4,0))),0,IF(AND(VLOOKUP(CONCATENATE($D4063,$G4063),CSRFinput!$B:$E,4,0)=0,OR(H4063=MappingTables!$C$34,H4063=MappingTables!$C$35)),1,VLOOKUP(CONCATENATE($D4063,$G4063),CSRFinput!$B:$E,4,0)))</f>
        <v>0.054776304963434752</v>
      </c>
      <c r="W4063" s="85">
        <f>IF(B4063="",0,+$T4063*$V4063)</f>
        <v>10.052345608950642</v>
      </c>
      <c r="X4063" s="85">
        <f>IF(B4063="",0,IF(OR(H4063=MappingTables!$C$34,H4063=MappingTables!$C$35),W4063,0))</f>
        <v>0</v>
      </c>
    </row>
    <row r="4064" spans="2:24" s="0" customFormat="0" ht="15">
      <c r="B4064" s="69">
        <v>14532329</v>
      </c>
      <c r="C4064" s="70" t="s">
        <v>2992</v>
      </c>
      <c r="D4064" s="70" t="s">
        <v>1</v>
      </c>
      <c r="E4064" s="70" t="s">
        <v>1</v>
      </c>
      <c r="F4064" s="70"/>
      <c r="G4064" s="70" t="s">
        <v>61</v>
      </c>
      <c r="H4064" s="70" t="s">
        <v>178</v>
      </c>
      <c r="I4064" s="70" t="s">
        <v>188</v>
      </c>
      <c r="J4064" s="71">
        <f>IF(OR(I4064=0,I4064=""),"unrated",VLOOKUP(I4064,MappingTables!$B$19:$C$31,2,FALSE))</f>
        <v>2</v>
      </c>
      <c r="K4064" s="72">
        <v>448.19825532136304</v>
      </c>
      <c r="L4064" s="70">
        <v>15.909133668984194</v>
      </c>
      <c r="M4064" s="71">
        <f>IF(L4064&lt;1,1,L4064)</f>
        <v>15.909133668984194</v>
      </c>
      <c r="N4064" s="70" t="s">
        <v>141</v>
      </c>
      <c r="O4064" s="71">
        <f>INDEX(DurClassMapping,MATCH(M4064,MappingTables!$D$4:$D$8,-1),1)</f>
        <v>4</v>
      </c>
      <c r="P4064" s="73">
        <f>IF(M4064=$A$1,1,$M4064-INDEX(MappingTables!$E$4:$E$8,MATCH(O4064,MappingTables!$B$4:$B$8,0)))</f>
        <v>0.90913366898419488</v>
      </c>
      <c r="Q4064" s="71">
        <f>IF(B4064="",0,INDEX(ModelParameters!$D$6:$K$10,MATCH($O4064,ModelParameters!$B$6:$B$10,0),MATCH($J4064,ModelParameters!$D$5:$K$5,0)))</f>
        <v>0.005</v>
      </c>
      <c r="R4064" s="71">
        <f>IF(B4064="",0,INDEX(ModelParameters!$D$13:$K$17,MATCH($O4064,ModelParameters!$B$13:$B$17,0),MATCH($J4064,ModelParameters!$D$5:$K$5,0)))</f>
        <v>0.13</v>
      </c>
      <c r="S4064" s="160">
        <f>IF(B4064="",0,MIN(IF($N4064="Other Bond TM",ModelParameters!$N$21,1)*(P4064*Q4064+R4064),1))</f>
        <v>0.13454566834492098</v>
      </c>
      <c r="T4064" s="85">
        <f>IF(B4064="",0,$S4064*$K4064)</f>
        <v>60.303133813240328</v>
      </c>
      <c r="U4064" s="85">
        <f>IF(B4064="",0,IF(OR(H4064=MappingTables!$C$34,H4064=MappingTables!$C$35),T4064,0))</f>
        <v>0</v>
      </c>
      <c r="V4064" s="85">
        <f>IF(ISNA(IF(AND(VLOOKUP(CONCATENATE($D4064,$G4064),CSRFinput!$B:$E,4,0)=0,OR(H4064=MappingTables!$C$34,H4064=MappingTables!$C$35)),1,VLOOKUP(CONCATENATE($D4064,$G4064),CSRFinput!$B:$E,4,0))),0,IF(AND(VLOOKUP(CONCATENATE($D4064,$G4064),CSRFinput!$B:$E,4,0)=0,OR(H4064=MappingTables!$C$34,H4064=MappingTables!$C$35)),1,VLOOKUP(CONCATENATE($D4064,$G4064),CSRFinput!$B:$E,4,0)))</f>
        <v>0.054776304963434752</v>
      </c>
      <c r="W4064" s="85">
        <f>IF(B4064="",0,+$T4064*$V4064)</f>
        <v>3.3031828480048664</v>
      </c>
      <c r="X4064" s="85">
        <f>IF(B4064="",0,IF(OR(H4064=MappingTables!$C$34,H4064=MappingTables!$C$35),W4064,0))</f>
        <v>0</v>
      </c>
    </row>
    <row r="4065" spans="2:24" s="0" customFormat="0" ht="15">
      <c r="B4065" s="69" t="s">
        <v>2981</v>
      </c>
      <c r="C4065" s="70" t="s">
        <v>2982</v>
      </c>
      <c r="D4065" s="70" t="s">
        <v>1</v>
      </c>
      <c r="E4065" s="70" t="s">
        <v>1</v>
      </c>
      <c r="F4065" s="70"/>
      <c r="G4065" s="70" t="s">
        <v>61</v>
      </c>
      <c r="H4065" s="70" t="s">
        <v>178</v>
      </c>
      <c r="I4065" s="70" t="s">
        <v>181</v>
      </c>
      <c r="J4065" s="71">
        <f>IF(OR(I4065=0,I4065=""),"unrated",VLOOKUP(I4065,MappingTables!$B$19:$C$31,2,FALSE))</f>
        <v>3</v>
      </c>
      <c r="K4065" s="72">
        <v>5656.7660691643752</v>
      </c>
      <c r="L4065" s="70">
        <v>3.989042718207368</v>
      </c>
      <c r="M4065" s="71">
        <f>IF(L4065&lt;1,1,L4065)</f>
        <v>3.989042718207368</v>
      </c>
      <c r="N4065" s="70" t="s">
        <v>141</v>
      </c>
      <c r="O4065" s="71">
        <f>INDEX(DurClassMapping,MATCH(M4065,MappingTables!$D$4:$D$8,-1),1)</f>
        <v>1</v>
      </c>
      <c r="P4065" s="73">
        <f>IF(M4065=$A$1,1,$M4065-INDEX(MappingTables!$E$4:$E$8,MATCH(O4065,MappingTables!$B$4:$B$8,0)))</f>
        <v>3.989042718207368</v>
      </c>
      <c r="Q4065" s="71">
        <f>IF(B4065="",0,INDEX(ModelParameters!$D$6:$K$10,MATCH($O4065,ModelParameters!$B$6:$B$10,0),MATCH($J4065,ModelParameters!$D$5:$K$5,0)))</f>
        <v>0.025</v>
      </c>
      <c r="R4065" s="71">
        <f>IF(B4065="",0,INDEX(ModelParameters!$D$13:$K$17,MATCH($O4065,ModelParameters!$B$13:$B$17,0),MATCH($J4065,ModelParameters!$D$5:$K$5,0)))</f>
        <v>0</v>
      </c>
      <c r="S4065" s="160">
        <f>IF(B4065="",0,MIN(IF($N4065="Other Bond TM",ModelParameters!$N$21,1)*(P4065*Q4065+R4065),1))</f>
        <v>0.099726067955184208</v>
      </c>
      <c r="T4065" s="85">
        <f>IF(B4065="",0,$S4065*$K4065)</f>
        <v>564.12703742006672</v>
      </c>
      <c r="U4065" s="85">
        <f>IF(B4065="",0,IF(OR(H4065=MappingTables!$C$34,H4065=MappingTables!$C$35),T4065,0))</f>
        <v>0</v>
      </c>
      <c r="V4065" s="85">
        <f>IF(ISNA(IF(AND(VLOOKUP(CONCATENATE($D4065,$G4065),CSRFinput!$B:$E,4,0)=0,OR(H4065=MappingTables!$C$34,H4065=MappingTables!$C$35)),1,VLOOKUP(CONCATENATE($D4065,$G4065),CSRFinput!$B:$E,4,0))),0,IF(AND(VLOOKUP(CONCATENATE($D4065,$G4065),CSRFinput!$B:$E,4,0)=0,OR(H4065=MappingTables!$C$34,H4065=MappingTables!$C$35)),1,VLOOKUP(CONCATENATE($D4065,$G4065),CSRFinput!$B:$E,4,0)))</f>
        <v>0.054776304963434752</v>
      </c>
      <c r="W4065" s="85">
        <f>IF(B4065="",0,+$T4065*$V4065)</f>
        <v>30.90079463984054</v>
      </c>
      <c r="X4065" s="85">
        <f>IF(B4065="",0,IF(OR(H4065=MappingTables!$C$34,H4065=MappingTables!$C$35),W4065,0))</f>
        <v>0</v>
      </c>
    </row>
    <row r="4066" spans="2:24" s="0" customFormat="0" ht="15">
      <c r="B4066" s="69">
        <v>15018891</v>
      </c>
      <c r="C4066" s="70" t="s">
        <v>2744</v>
      </c>
      <c r="D4066" s="70" t="s">
        <v>1</v>
      </c>
      <c r="E4066" s="70" t="s">
        <v>1</v>
      </c>
      <c r="F4066" s="70"/>
      <c r="G4066" s="70" t="s">
        <v>61</v>
      </c>
      <c r="H4066" s="70" t="s">
        <v>178</v>
      </c>
      <c r="I4066" s="70" t="s">
        <v>220</v>
      </c>
      <c r="J4066" s="71">
        <f>IF(OR(I4066=0,I4066=""),"unrated",VLOOKUP(I4066,MappingTables!$B$19:$C$31,2,FALSE))</f>
        <v>1</v>
      </c>
      <c r="K4066" s="72">
        <v>2.7681575229225156</v>
      </c>
      <c r="L4066" s="70">
        <v>1.123863432259846</v>
      </c>
      <c r="M4066" s="71">
        <f>IF(L4066&lt;1,1,L4066)</f>
        <v>1.123863432259846</v>
      </c>
      <c r="N4066" s="70" t="s">
        <v>141</v>
      </c>
      <c r="O4066" s="71">
        <f>INDEX(DurClassMapping,MATCH(M4066,MappingTables!$D$4:$D$8,-1),1)</f>
        <v>1</v>
      </c>
      <c r="P4066" s="73">
        <f>IF(M4066=$A$1,1,$M4066-INDEX(MappingTables!$E$4:$E$8,MATCH(O4066,MappingTables!$B$4:$B$8,0)))</f>
        <v>1.123863432259846</v>
      </c>
      <c r="Q4066" s="71">
        <f>IF(B4066="",0,INDEX(ModelParameters!$D$6:$K$10,MATCH($O4066,ModelParameters!$B$6:$B$10,0),MATCH($J4066,ModelParameters!$D$5:$K$5,0)))</f>
        <v>0.011000000000000002</v>
      </c>
      <c r="R4066" s="71">
        <f>IF(B4066="",0,INDEX(ModelParameters!$D$13:$K$17,MATCH($O4066,ModelParameters!$B$13:$B$17,0),MATCH($J4066,ModelParameters!$D$5:$K$5,0)))</f>
        <v>0</v>
      </c>
      <c r="S4066" s="160">
        <f>IF(B4066="",0,MIN(IF($N4066="Other Bond TM",ModelParameters!$N$21,1)*(P4066*Q4066+R4066),1))</f>
        <v>0.012362497754858306</v>
      </c>
      <c r="T4066" s="85">
        <f>IF(B4066="",0,$S4066*$K4066)</f>
        <v>0.034221341162223728</v>
      </c>
      <c r="U4066" s="85">
        <f>IF(B4066="",0,IF(OR(H4066=MappingTables!$C$34,H4066=MappingTables!$C$35),T4066,0))</f>
        <v>0</v>
      </c>
      <c r="V4066" s="85">
        <f>IF(ISNA(IF(AND(VLOOKUP(CONCATENATE($D4066,$G4066),CSRFinput!$B:$E,4,0)=0,OR(H4066=MappingTables!$C$34,H4066=MappingTables!$C$35)),1,VLOOKUP(CONCATENATE($D4066,$G4066),CSRFinput!$B:$E,4,0))),0,IF(AND(VLOOKUP(CONCATENATE($D4066,$G4066),CSRFinput!$B:$E,4,0)=0,OR(H4066=MappingTables!$C$34,H4066=MappingTables!$C$35)),1,VLOOKUP(CONCATENATE($D4066,$G4066),CSRFinput!$B:$E,4,0)))</f>
        <v>0.054776304963434752</v>
      </c>
      <c r="W4066" s="85">
        <f>IF(B4066="",0,+$T4066*$V4066)</f>
        <v>0.0018745186197597096</v>
      </c>
      <c r="X4066" s="85">
        <f>IF(B4066="",0,IF(OR(H4066=MappingTables!$C$34,H4066=MappingTables!$C$35),W4066,0))</f>
        <v>0</v>
      </c>
    </row>
    <row r="4067" spans="2:24" s="0" customFormat="0" ht="15">
      <c r="B4067" s="69">
        <v>224422</v>
      </c>
      <c r="C4067" s="70" t="s">
        <v>2620</v>
      </c>
      <c r="D4067" s="70" t="s">
        <v>1</v>
      </c>
      <c r="E4067" s="70" t="s">
        <v>1</v>
      </c>
      <c r="F4067" s="70"/>
      <c r="G4067" s="70" t="s">
        <v>61</v>
      </c>
      <c r="H4067" s="70" t="s">
        <v>178</v>
      </c>
      <c r="I4067" s="70" t="s">
        <v>184</v>
      </c>
      <c r="J4067" s="71">
        <f>IF(OR(I4067=0,I4067=""),"unrated",VLOOKUP(I4067,MappingTables!$B$19:$C$31,2,FALSE))</f>
        <v>5</v>
      </c>
      <c r="K4067" s="72">
        <v>1136.9148516957296</v>
      </c>
      <c r="L4067" s="70">
        <v>4.7199788693887736</v>
      </c>
      <c r="M4067" s="71">
        <f>IF(L4067&lt;1,1,L4067)</f>
        <v>4.7199788693887736</v>
      </c>
      <c r="N4067" s="70" t="s">
        <v>141</v>
      </c>
      <c r="O4067" s="71">
        <f>INDEX(DurClassMapping,MATCH(M4067,MappingTables!$D$4:$D$8,-1),1)</f>
        <v>1</v>
      </c>
      <c r="P4067" s="73">
        <f>IF(M4067=$A$1,1,$M4067-INDEX(MappingTables!$E$4:$E$8,MATCH(O4067,MappingTables!$B$4:$B$8,0)))</f>
        <v>4.7199788693887736</v>
      </c>
      <c r="Q4067" s="71">
        <f>IF(B4067="",0,INDEX(ModelParameters!$D$6:$K$10,MATCH($O4067,ModelParameters!$B$6:$B$10,0),MATCH($J4067,ModelParameters!$D$5:$K$5,0)))</f>
        <v>0.075</v>
      </c>
      <c r="R4067" s="71">
        <f>IF(B4067="",0,INDEX(ModelParameters!$D$13:$K$17,MATCH($O4067,ModelParameters!$B$13:$B$17,0),MATCH($J4067,ModelParameters!$D$5:$K$5,0)))</f>
        <v>0</v>
      </c>
      <c r="S4067" s="160">
        <f>IF(B4067="",0,MIN(IF($N4067="Other Bond TM",ModelParameters!$N$21,1)*(P4067*Q4067+R4067),1))</f>
        <v>0.35399841520415804</v>
      </c>
      <c r="T4067" s="85">
        <f>IF(B4067="",0,$S4067*$K4067)</f>
        <v>402.46605572235864</v>
      </c>
      <c r="U4067" s="85">
        <f>IF(B4067="",0,IF(OR(H4067=MappingTables!$C$34,H4067=MappingTables!$C$35),T4067,0))</f>
        <v>0</v>
      </c>
      <c r="V4067" s="85">
        <f>IF(ISNA(IF(AND(VLOOKUP(CONCATENATE($D4067,$G4067),CSRFinput!$B:$E,4,0)=0,OR(H4067=MappingTables!$C$34,H4067=MappingTables!$C$35)),1,VLOOKUP(CONCATENATE($D4067,$G4067),CSRFinput!$B:$E,4,0))),0,IF(AND(VLOOKUP(CONCATENATE($D4067,$G4067),CSRFinput!$B:$E,4,0)=0,OR(H4067=MappingTables!$C$34,H4067=MappingTables!$C$35)),1,VLOOKUP(CONCATENATE($D4067,$G4067),CSRFinput!$B:$E,4,0)))</f>
        <v>0.054776304963434752</v>
      </c>
      <c r="W4067" s="85">
        <f>IF(B4067="",0,+$T4067*$V4067)</f>
        <v>22.04560340567864</v>
      </c>
      <c r="X4067" s="85">
        <f>IF(B4067="",0,IF(OR(H4067=MappingTables!$C$34,H4067=MappingTables!$C$35),W4067,0))</f>
        <v>0</v>
      </c>
    </row>
    <row r="4068" spans="2:24" s="0" customFormat="0" ht="15">
      <c r="B4068" s="69">
        <v>14618619</v>
      </c>
      <c r="C4068" s="70" t="s">
        <v>1039</v>
      </c>
      <c r="D4068" s="70" t="s">
        <v>1</v>
      </c>
      <c r="E4068" s="70" t="s">
        <v>1</v>
      </c>
      <c r="F4068" s="70"/>
      <c r="G4068" s="70" t="s">
        <v>61</v>
      </c>
      <c r="H4068" s="70" t="s">
        <v>178</v>
      </c>
      <c r="I4068" s="70" t="s">
        <v>181</v>
      </c>
      <c r="J4068" s="71">
        <f>IF(OR(I4068=0,I4068=""),"unrated",VLOOKUP(I4068,MappingTables!$B$19:$C$31,2,FALSE))</f>
        <v>3</v>
      </c>
      <c r="K4068" s="72">
        <v>36810.112431271552</v>
      </c>
      <c r="L4068" s="70">
        <v>5.6144305569333352</v>
      </c>
      <c r="M4068" s="71">
        <f>IF(L4068&lt;1,1,L4068)</f>
        <v>5.6144305569333352</v>
      </c>
      <c r="N4068" s="70" t="s">
        <v>141</v>
      </c>
      <c r="O4068" s="71">
        <f>INDEX(DurClassMapping,MATCH(M4068,MappingTables!$D$4:$D$8,-1),1)</f>
        <v>2</v>
      </c>
      <c r="P4068" s="73">
        <f>IF(M4068=$A$1,1,$M4068-INDEX(MappingTables!$E$4:$E$8,MATCH(O4068,MappingTables!$B$4:$B$8,0)))</f>
        <v>0.61443055693333552</v>
      </c>
      <c r="Q4068" s="71">
        <f>IF(B4068="",0,INDEX(ModelParameters!$D$6:$K$10,MATCH($O4068,ModelParameters!$B$6:$B$10,0),MATCH($J4068,ModelParameters!$D$5:$K$5,0)))</f>
        <v>0.015</v>
      </c>
      <c r="R4068" s="71">
        <f>IF(B4068="",0,INDEX(ModelParameters!$D$13:$K$17,MATCH($O4068,ModelParameters!$B$13:$B$17,0),MATCH($J4068,ModelParameters!$D$5:$K$5,0)))</f>
        <v>0.125</v>
      </c>
      <c r="S4068" s="160">
        <f>IF(B4068="",0,MIN(IF($N4068="Other Bond TM",ModelParameters!$N$21,1)*(P4068*Q4068+R4068),1))</f>
        <v>0.13421645835400004</v>
      </c>
      <c r="T4068" s="85">
        <f>IF(B4068="",0,$S4068*$K4068)</f>
        <v>4940.5229221378176</v>
      </c>
      <c r="U4068" s="85">
        <f>IF(B4068="",0,IF(OR(H4068=MappingTables!$C$34,H4068=MappingTables!$C$35),T4068,0))</f>
        <v>0</v>
      </c>
      <c r="V4068" s="85">
        <f>IF(ISNA(IF(AND(VLOOKUP(CONCATENATE($D4068,$G4068),CSRFinput!$B:$E,4,0)=0,OR(H4068=MappingTables!$C$34,H4068=MappingTables!$C$35)),1,VLOOKUP(CONCATENATE($D4068,$G4068),CSRFinput!$B:$E,4,0))),0,IF(AND(VLOOKUP(CONCATENATE($D4068,$G4068),CSRFinput!$B:$E,4,0)=0,OR(H4068=MappingTables!$C$34,H4068=MappingTables!$C$35)),1,VLOOKUP(CONCATENATE($D4068,$G4068),CSRFinput!$B:$E,4,0)))</f>
        <v>0.054776304963434752</v>
      </c>
      <c r="W4068" s="85">
        <f>IF(B4068="",0,+$T4068*$V4068)</f>
        <v>270.62359026186088</v>
      </c>
      <c r="X4068" s="85">
        <f>IF(B4068="",0,IF(OR(H4068=MappingTables!$C$34,H4068=MappingTables!$C$35),W4068,0))</f>
        <v>0</v>
      </c>
    </row>
    <row r="4069" spans="2:24" s="0" customFormat="0" ht="15">
      <c r="B4069" s="69">
        <v>17251929</v>
      </c>
      <c r="C4069" s="70" t="s">
        <v>2995</v>
      </c>
      <c r="D4069" s="70" t="s">
        <v>1</v>
      </c>
      <c r="E4069" s="70" t="s">
        <v>1</v>
      </c>
      <c r="F4069" s="70"/>
      <c r="G4069" s="70" t="s">
        <v>61</v>
      </c>
      <c r="H4069" s="70" t="s">
        <v>178</v>
      </c>
      <c r="I4069" s="70" t="s">
        <v>179</v>
      </c>
      <c r="J4069" s="71">
        <f>IF(OR(I4069=0,I4069=""),"unrated",VLOOKUP(I4069,MappingTables!$B$19:$C$31,2,FALSE))</f>
        <v>4</v>
      </c>
      <c r="K4069" s="72">
        <v>17.245376913405814</v>
      </c>
      <c r="L4069" s="70">
        <v>0.49041122657351664</v>
      </c>
      <c r="M4069" s="71">
        <f>IF(L4069&lt;1,1,L4069)</f>
        <v>1</v>
      </c>
      <c r="N4069" s="70" t="s">
        <v>141</v>
      </c>
      <c r="O4069" s="71">
        <f>INDEX(DurClassMapping,MATCH(M4069,MappingTables!$D$4:$D$8,-1),1)</f>
        <v>1</v>
      </c>
      <c r="P4069" s="73">
        <f>IF(M4069=$A$1,1,$M4069-INDEX(MappingTables!$E$4:$E$8,MATCH(O4069,MappingTables!$B$4:$B$8,0)))</f>
        <v>1</v>
      </c>
      <c r="Q4069" s="71">
        <f>IF(B4069="",0,INDEX(ModelParameters!$D$6:$K$10,MATCH($O4069,ModelParameters!$B$6:$B$10,0),MATCH($J4069,ModelParameters!$D$5:$K$5,0)))</f>
        <v>0.045</v>
      </c>
      <c r="R4069" s="71">
        <f>IF(B4069="",0,INDEX(ModelParameters!$D$13:$K$17,MATCH($O4069,ModelParameters!$B$13:$B$17,0),MATCH($J4069,ModelParameters!$D$5:$K$5,0)))</f>
        <v>0</v>
      </c>
      <c r="S4069" s="160">
        <f>IF(B4069="",0,MIN(IF($N4069="Other Bond TM",ModelParameters!$N$21,1)*(P4069*Q4069+R4069),1))</f>
        <v>0.045</v>
      </c>
      <c r="T4069" s="85">
        <f>IF(B4069="",0,$S4069*$K4069)</f>
        <v>0.7760419611032616</v>
      </c>
      <c r="U4069" s="85">
        <f>IF(B4069="",0,IF(OR(H4069=MappingTables!$C$34,H4069=MappingTables!$C$35),T4069,0))</f>
        <v>0</v>
      </c>
      <c r="V4069" s="85">
        <f>IF(ISNA(IF(AND(VLOOKUP(CONCATENATE($D4069,$G4069),CSRFinput!$B:$E,4,0)=0,OR(H4069=MappingTables!$C$34,H4069=MappingTables!$C$35)),1,VLOOKUP(CONCATENATE($D4069,$G4069),CSRFinput!$B:$E,4,0))),0,IF(AND(VLOOKUP(CONCATENATE($D4069,$G4069),CSRFinput!$B:$E,4,0)=0,OR(H4069=MappingTables!$C$34,H4069=MappingTables!$C$35)),1,VLOOKUP(CONCATENATE($D4069,$G4069),CSRFinput!$B:$E,4,0)))</f>
        <v>0.054776304963434752</v>
      </c>
      <c r="W4069" s="85">
        <f>IF(B4069="",0,+$T4069*$V4069)</f>
        <v>0.042508711125814232</v>
      </c>
      <c r="X4069" s="85">
        <f>IF(B4069="",0,IF(OR(H4069=MappingTables!$C$34,H4069=MappingTables!$C$35),W4069,0))</f>
        <v>0</v>
      </c>
    </row>
    <row r="4070" spans="2:24" s="0" customFormat="0" ht="15">
      <c r="B4070" s="69">
        <v>15642473</v>
      </c>
      <c r="C4070" s="70" t="s">
        <v>797</v>
      </c>
      <c r="D4070" s="70" t="s">
        <v>1</v>
      </c>
      <c r="E4070" s="70" t="s">
        <v>1</v>
      </c>
      <c r="F4070" s="70"/>
      <c r="G4070" s="70" t="s">
        <v>61</v>
      </c>
      <c r="H4070" s="70" t="s">
        <v>178</v>
      </c>
      <c r="I4070" s="70" t="s">
        <v>188</v>
      </c>
      <c r="J4070" s="71">
        <f>IF(OR(I4070=0,I4070=""),"unrated",VLOOKUP(I4070,MappingTables!$B$19:$C$31,2,FALSE))</f>
        <v>2</v>
      </c>
      <c r="K4070" s="72">
        <v>360.64559382098152</v>
      </c>
      <c r="L4070" s="70">
        <v>0.06301683997311844</v>
      </c>
      <c r="M4070" s="71">
        <f>IF(L4070&lt;1,1,L4070)</f>
        <v>1</v>
      </c>
      <c r="N4070" s="70" t="s">
        <v>141</v>
      </c>
      <c r="O4070" s="71">
        <f>INDEX(DurClassMapping,MATCH(M4070,MappingTables!$D$4:$D$8,-1),1)</f>
        <v>1</v>
      </c>
      <c r="P4070" s="73">
        <f>IF(M4070=$A$1,1,$M4070-INDEX(MappingTables!$E$4:$E$8,MATCH(O4070,MappingTables!$B$4:$B$8,0)))</f>
        <v>1</v>
      </c>
      <c r="Q4070" s="71">
        <f>IF(B4070="",0,INDEX(ModelParameters!$D$6:$K$10,MATCH($O4070,ModelParameters!$B$6:$B$10,0),MATCH($J4070,ModelParameters!$D$5:$K$5,0)))</f>
        <v>0.013999999999999998</v>
      </c>
      <c r="R4070" s="71">
        <f>IF(B4070="",0,INDEX(ModelParameters!$D$13:$K$17,MATCH($O4070,ModelParameters!$B$13:$B$17,0),MATCH($J4070,ModelParameters!$D$5:$K$5,0)))</f>
        <v>0</v>
      </c>
      <c r="S4070" s="160">
        <f>IF(B4070="",0,MIN(IF($N4070="Other Bond TM",ModelParameters!$N$21,1)*(P4070*Q4070+R4070),1))</f>
        <v>0.013999999999999998</v>
      </c>
      <c r="T4070" s="85">
        <f>IF(B4070="",0,$S4070*$K4070)</f>
        <v>5.0490383134937416</v>
      </c>
      <c r="U4070" s="85">
        <f>IF(B4070="",0,IF(OR(H4070=MappingTables!$C$34,H4070=MappingTables!$C$35),T4070,0))</f>
        <v>0</v>
      </c>
      <c r="V4070" s="85">
        <f>IF(ISNA(IF(AND(VLOOKUP(CONCATENATE($D4070,$G4070),CSRFinput!$B:$E,4,0)=0,OR(H4070=MappingTables!$C$34,H4070=MappingTables!$C$35)),1,VLOOKUP(CONCATENATE($D4070,$G4070),CSRFinput!$B:$E,4,0))),0,IF(AND(VLOOKUP(CONCATENATE($D4070,$G4070),CSRFinput!$B:$E,4,0)=0,OR(H4070=MappingTables!$C$34,H4070=MappingTables!$C$35)),1,VLOOKUP(CONCATENATE($D4070,$G4070),CSRFinput!$B:$E,4,0)))</f>
        <v>0.054776304963434752</v>
      </c>
      <c r="W4070" s="85">
        <f>IF(B4070="",0,+$T4070*$V4070)</f>
        <v>0.27656766243199948</v>
      </c>
      <c r="X4070" s="85">
        <f>IF(B4070="",0,IF(OR(H4070=MappingTables!$C$34,H4070=MappingTables!$C$35),W4070,0))</f>
        <v>0</v>
      </c>
    </row>
    <row r="4071" spans="2:24" s="0" customFormat="0" ht="15">
      <c r="B4071" s="69">
        <v>21994047</v>
      </c>
      <c r="C4071" s="70" t="s">
        <v>2730</v>
      </c>
      <c r="D4071" s="70" t="s">
        <v>1</v>
      </c>
      <c r="E4071" s="70" t="s">
        <v>1</v>
      </c>
      <c r="F4071" s="70"/>
      <c r="G4071" s="70" t="s">
        <v>61</v>
      </c>
      <c r="H4071" s="70" t="s">
        <v>178</v>
      </c>
      <c r="I4071" s="70" t="s">
        <v>181</v>
      </c>
      <c r="J4071" s="71">
        <f>IF(OR(I4071=0,I4071=""),"unrated",VLOOKUP(I4071,MappingTables!$B$19:$C$31,2,FALSE))</f>
        <v>3</v>
      </c>
      <c r="K4071" s="72">
        <v>44082.79619961608</v>
      </c>
      <c r="L4071" s="70">
        <v>5.4472872911836176</v>
      </c>
      <c r="M4071" s="71">
        <f>IF(L4071&lt;1,1,L4071)</f>
        <v>5.4472872911836176</v>
      </c>
      <c r="N4071" s="70" t="s">
        <v>141</v>
      </c>
      <c r="O4071" s="71">
        <f>INDEX(DurClassMapping,MATCH(M4071,MappingTables!$D$4:$D$8,-1),1)</f>
        <v>2</v>
      </c>
      <c r="P4071" s="73">
        <f>IF(M4071=$A$1,1,$M4071-INDEX(MappingTables!$E$4:$E$8,MATCH(O4071,MappingTables!$B$4:$B$8,0)))</f>
        <v>0.44728729118361784</v>
      </c>
      <c r="Q4071" s="71">
        <f>IF(B4071="",0,INDEX(ModelParameters!$D$6:$K$10,MATCH($O4071,ModelParameters!$B$6:$B$10,0),MATCH($J4071,ModelParameters!$D$5:$K$5,0)))</f>
        <v>0.015</v>
      </c>
      <c r="R4071" s="71">
        <f>IF(B4071="",0,INDEX(ModelParameters!$D$13:$K$17,MATCH($O4071,ModelParameters!$B$13:$B$17,0),MATCH($J4071,ModelParameters!$D$5:$K$5,0)))</f>
        <v>0.125</v>
      </c>
      <c r="S4071" s="160">
        <f>IF(B4071="",0,MIN(IF($N4071="Other Bond TM",ModelParameters!$N$21,1)*(P4071*Q4071+R4071),1))</f>
        <v>0.13170930936775426</v>
      </c>
      <c r="T4071" s="85">
        <f>IF(B4071="",0,$S4071*$K4071)</f>
        <v>5806.1146424508968</v>
      </c>
      <c r="U4071" s="85">
        <f>IF(B4071="",0,IF(OR(H4071=MappingTables!$C$34,H4071=MappingTables!$C$35),T4071,0))</f>
        <v>0</v>
      </c>
      <c r="V4071" s="85">
        <f>IF(ISNA(IF(AND(VLOOKUP(CONCATENATE($D4071,$G4071),CSRFinput!$B:$E,4,0)=0,OR(H4071=MappingTables!$C$34,H4071=MappingTables!$C$35)),1,VLOOKUP(CONCATENATE($D4071,$G4071),CSRFinput!$B:$E,4,0))),0,IF(AND(VLOOKUP(CONCATENATE($D4071,$G4071),CSRFinput!$B:$E,4,0)=0,OR(H4071=MappingTables!$C$34,H4071=MappingTables!$C$35)),1,VLOOKUP(CONCATENATE($D4071,$G4071),CSRFinput!$B:$E,4,0)))</f>
        <v>0.054776304963434752</v>
      </c>
      <c r="W4071" s="85">
        <f>IF(B4071="",0,+$T4071*$V4071)</f>
        <v>318.03750630755428</v>
      </c>
      <c r="X4071" s="85">
        <f>IF(B4071="",0,IF(OR(H4071=MappingTables!$C$34,H4071=MappingTables!$C$35),W4071,0))</f>
        <v>0</v>
      </c>
    </row>
    <row r="4072" spans="2:24" s="0" customFormat="0" ht="15">
      <c r="B4072" s="69">
        <v>19619422</v>
      </c>
      <c r="C4072" s="70" t="s">
        <v>2803</v>
      </c>
      <c r="D4072" s="70" t="s">
        <v>1</v>
      </c>
      <c r="E4072" s="70" t="s">
        <v>1</v>
      </c>
      <c r="F4072" s="70"/>
      <c r="G4072" s="70" t="s">
        <v>61</v>
      </c>
      <c r="H4072" s="70" t="s">
        <v>178</v>
      </c>
      <c r="I4072" s="70" t="s">
        <v>179</v>
      </c>
      <c r="J4072" s="71">
        <f>IF(OR(I4072=0,I4072=""),"unrated",VLOOKUP(I4072,MappingTables!$B$19:$C$31,2,FALSE))</f>
        <v>4</v>
      </c>
      <c r="K4072" s="72">
        <v>741.5343539063256</v>
      </c>
      <c r="L4072" s="70">
        <v>1.3490516784606726</v>
      </c>
      <c r="M4072" s="71">
        <f>IF(L4072&lt;1,1,L4072)</f>
        <v>1.3490516784606726</v>
      </c>
      <c r="N4072" s="70" t="s">
        <v>141</v>
      </c>
      <c r="O4072" s="71">
        <f>INDEX(DurClassMapping,MATCH(M4072,MappingTables!$D$4:$D$8,-1),1)</f>
        <v>1</v>
      </c>
      <c r="P4072" s="73">
        <f>IF(M4072=$A$1,1,$M4072-INDEX(MappingTables!$E$4:$E$8,MATCH(O4072,MappingTables!$B$4:$B$8,0)))</f>
        <v>1.3490516784606726</v>
      </c>
      <c r="Q4072" s="71">
        <f>IF(B4072="",0,INDEX(ModelParameters!$D$6:$K$10,MATCH($O4072,ModelParameters!$B$6:$B$10,0),MATCH($J4072,ModelParameters!$D$5:$K$5,0)))</f>
        <v>0.045</v>
      </c>
      <c r="R4072" s="71">
        <f>IF(B4072="",0,INDEX(ModelParameters!$D$13:$K$17,MATCH($O4072,ModelParameters!$B$13:$B$17,0),MATCH($J4072,ModelParameters!$D$5:$K$5,0)))</f>
        <v>0</v>
      </c>
      <c r="S4072" s="160">
        <f>IF(B4072="",0,MIN(IF($N4072="Other Bond TM",ModelParameters!$N$21,1)*(P4072*Q4072+R4072),1))</f>
        <v>0.060707325530730264</v>
      </c>
      <c r="T4072" s="85">
        <f>IF(B4072="",0,$S4072*$K4072)</f>
        <v>45.016567414811048</v>
      </c>
      <c r="U4072" s="85">
        <f>IF(B4072="",0,IF(OR(H4072=MappingTables!$C$34,H4072=MappingTables!$C$35),T4072,0))</f>
        <v>0</v>
      </c>
      <c r="V4072" s="85">
        <f>IF(ISNA(IF(AND(VLOOKUP(CONCATENATE($D4072,$G4072),CSRFinput!$B:$E,4,0)=0,OR(H4072=MappingTables!$C$34,H4072=MappingTables!$C$35)),1,VLOOKUP(CONCATENATE($D4072,$G4072),CSRFinput!$B:$E,4,0))),0,IF(AND(VLOOKUP(CONCATENATE($D4072,$G4072),CSRFinput!$B:$E,4,0)=0,OR(H4072=MappingTables!$C$34,H4072=MappingTables!$C$35)),1,VLOOKUP(CONCATENATE($D4072,$G4072),CSRFinput!$B:$E,4,0)))</f>
        <v>0.054776304963434752</v>
      </c>
      <c r="W4072" s="85">
        <f>IF(B4072="",0,+$T4072*$V4072)</f>
        <v>2.46584122512071</v>
      </c>
      <c r="X4072" s="85">
        <f>IF(B4072="",0,IF(OR(H4072=MappingTables!$C$34,H4072=MappingTables!$C$35),W4072,0))</f>
        <v>0</v>
      </c>
    </row>
    <row r="4073" spans="2:24" s="0" customFormat="0" ht="15">
      <c r="B4073" s="69">
        <v>5168869</v>
      </c>
      <c r="C4073" s="70" t="s">
        <v>1384</v>
      </c>
      <c r="D4073" s="70" t="s">
        <v>1</v>
      </c>
      <c r="E4073" s="70" t="s">
        <v>1</v>
      </c>
      <c r="F4073" s="70"/>
      <c r="G4073" s="70" t="s">
        <v>61</v>
      </c>
      <c r="H4073" s="70" t="s">
        <v>178</v>
      </c>
      <c r="I4073" s="70" t="s">
        <v>181</v>
      </c>
      <c r="J4073" s="71">
        <f>IF(OR(I4073=0,I4073=""),"unrated",VLOOKUP(I4073,MappingTables!$B$19:$C$31,2,FALSE))</f>
        <v>3</v>
      </c>
      <c r="K4073" s="72">
        <v>450.27599852783536</v>
      </c>
      <c r="L4073" s="70">
        <v>1.4314040217129856</v>
      </c>
      <c r="M4073" s="71">
        <f>IF(L4073&lt;1,1,L4073)</f>
        <v>1.4314040217129856</v>
      </c>
      <c r="N4073" s="70" t="s">
        <v>141</v>
      </c>
      <c r="O4073" s="71">
        <f>INDEX(DurClassMapping,MATCH(M4073,MappingTables!$D$4:$D$8,-1),1)</f>
        <v>1</v>
      </c>
      <c r="P4073" s="73">
        <f>IF(M4073=$A$1,1,$M4073-INDEX(MappingTables!$E$4:$E$8,MATCH(O4073,MappingTables!$B$4:$B$8,0)))</f>
        <v>1.4314040217129856</v>
      </c>
      <c r="Q4073" s="71">
        <f>IF(B4073="",0,INDEX(ModelParameters!$D$6:$K$10,MATCH($O4073,ModelParameters!$B$6:$B$10,0),MATCH($J4073,ModelParameters!$D$5:$K$5,0)))</f>
        <v>0.025</v>
      </c>
      <c r="R4073" s="71">
        <f>IF(B4073="",0,INDEX(ModelParameters!$D$13:$K$17,MATCH($O4073,ModelParameters!$B$13:$B$17,0),MATCH($J4073,ModelParameters!$D$5:$K$5,0)))</f>
        <v>0</v>
      </c>
      <c r="S4073" s="160">
        <f>IF(B4073="",0,MIN(IF($N4073="Other Bond TM",ModelParameters!$N$21,1)*(P4073*Q4073+R4073),1))</f>
        <v>0.03578510054282464</v>
      </c>
      <c r="T4073" s="85">
        <f>IF(B4073="",0,$S4073*$K4073)</f>
        <v>16.113171879339348</v>
      </c>
      <c r="U4073" s="85">
        <f>IF(B4073="",0,IF(OR(H4073=MappingTables!$C$34,H4073=MappingTables!$C$35),T4073,0))</f>
        <v>0</v>
      </c>
      <c r="V4073" s="85">
        <f>IF(ISNA(IF(AND(VLOOKUP(CONCATENATE($D4073,$G4073),CSRFinput!$B:$E,4,0)=0,OR(H4073=MappingTables!$C$34,H4073=MappingTables!$C$35)),1,VLOOKUP(CONCATENATE($D4073,$G4073),CSRFinput!$B:$E,4,0))),0,IF(AND(VLOOKUP(CONCATENATE($D4073,$G4073),CSRFinput!$B:$E,4,0)=0,OR(H4073=MappingTables!$C$34,H4073=MappingTables!$C$35)),1,VLOOKUP(CONCATENATE($D4073,$G4073),CSRFinput!$B:$E,4,0)))</f>
        <v>0.054776304963434752</v>
      </c>
      <c r="W4073" s="85">
        <f>IF(B4073="",0,+$T4073*$V4073)</f>
        <v>0.88262001679093312</v>
      </c>
      <c r="X4073" s="85">
        <f>IF(B4073="",0,IF(OR(H4073=MappingTables!$C$34,H4073=MappingTables!$C$35),W4073,0))</f>
        <v>0</v>
      </c>
    </row>
    <row r="4074" spans="2:24" s="0" customFormat="0" ht="15">
      <c r="B4074" s="69" t="s">
        <v>1786</v>
      </c>
      <c r="C4074" s="70" t="s">
        <v>1787</v>
      </c>
      <c r="D4074" s="70" t="s">
        <v>1</v>
      </c>
      <c r="E4074" s="70" t="s">
        <v>1</v>
      </c>
      <c r="F4074" s="70"/>
      <c r="G4074" s="70" t="s">
        <v>61</v>
      </c>
      <c r="H4074" s="70" t="s">
        <v>178</v>
      </c>
      <c r="I4074" s="70" t="s">
        <v>198</v>
      </c>
      <c r="J4074" s="71" t="str">
        <f>IF(OR(I4074=0,I4074=""),"unrated",VLOOKUP(I4074,MappingTables!$B$19:$C$31,2,FALSE))</f>
        <v>unrated</v>
      </c>
      <c r="K4074" s="72">
        <v>13038.771937892018</v>
      </c>
      <c r="L4074" s="70">
        <v>4.2803129715412016</v>
      </c>
      <c r="M4074" s="71">
        <f>IF(L4074&lt;1,1,L4074)</f>
        <v>4.2803129715412016</v>
      </c>
      <c r="N4074" s="70" t="s">
        <v>141</v>
      </c>
      <c r="O4074" s="71">
        <f>INDEX(DurClassMapping,MATCH(M4074,MappingTables!$D$4:$D$8,-1),1)</f>
        <v>1</v>
      </c>
      <c r="P4074" s="73">
        <f>IF(M4074=$A$1,1,$M4074-INDEX(MappingTables!$E$4:$E$8,MATCH(O4074,MappingTables!$B$4:$B$8,0)))</f>
        <v>4.2803129715412016</v>
      </c>
      <c r="Q4074" s="71">
        <f>IF(B4074="",0,INDEX(ModelParameters!$D$6:$K$10,MATCH($O4074,ModelParameters!$B$6:$B$10,0),MATCH($J4074,ModelParameters!$D$5:$K$5,0)))</f>
        <v>0.03</v>
      </c>
      <c r="R4074" s="71">
        <f>IF(B4074="",0,INDEX(ModelParameters!$D$13:$K$17,MATCH($O4074,ModelParameters!$B$13:$B$17,0),MATCH($J4074,ModelParameters!$D$5:$K$5,0)))</f>
        <v>0</v>
      </c>
      <c r="S4074" s="160">
        <f>IF(B4074="",0,MIN(IF($N4074="Other Bond TM",ModelParameters!$N$21,1)*(P4074*Q4074+R4074),1))</f>
        <v>0.12840938914623604</v>
      </c>
      <c r="T4074" s="85">
        <f>IF(B4074="",0,$S4074*$K4074)</f>
        <v>1674.3007397617982</v>
      </c>
      <c r="U4074" s="85">
        <f>IF(B4074="",0,IF(OR(H4074=MappingTables!$C$34,H4074=MappingTables!$C$35),T4074,0))</f>
        <v>0</v>
      </c>
      <c r="V4074" s="85">
        <f>IF(ISNA(IF(AND(VLOOKUP(CONCATENATE($D4074,$G4074),CSRFinput!$B:$E,4,0)=0,OR(H4074=MappingTables!$C$34,H4074=MappingTables!$C$35)),1,VLOOKUP(CONCATENATE($D4074,$G4074),CSRFinput!$B:$E,4,0))),0,IF(AND(VLOOKUP(CONCATENATE($D4074,$G4074),CSRFinput!$B:$E,4,0)=0,OR(H4074=MappingTables!$C$34,H4074=MappingTables!$C$35)),1,VLOOKUP(CONCATENATE($D4074,$G4074),CSRFinput!$B:$E,4,0)))</f>
        <v>0.054776304963434752</v>
      </c>
      <c r="W4074" s="85">
        <f>IF(B4074="",0,+$T4074*$V4074)</f>
        <v>91.712007921696672</v>
      </c>
      <c r="X4074" s="85">
        <f>IF(B4074="",0,IF(OR(H4074=MappingTables!$C$34,H4074=MappingTables!$C$35),W4074,0))</f>
        <v>0</v>
      </c>
    </row>
    <row r="4075" spans="2:24" s="0" customFormat="0" ht="15">
      <c r="B4075" s="69">
        <v>12187977</v>
      </c>
      <c r="C4075" s="70" t="s">
        <v>2934</v>
      </c>
      <c r="D4075" s="70" t="s">
        <v>1</v>
      </c>
      <c r="E4075" s="70" t="s">
        <v>1</v>
      </c>
      <c r="F4075" s="70"/>
      <c r="G4075" s="70" t="s">
        <v>61</v>
      </c>
      <c r="H4075" s="70" t="s">
        <v>178</v>
      </c>
      <c r="I4075" s="70" t="s">
        <v>181</v>
      </c>
      <c r="J4075" s="71">
        <f>IF(OR(I4075=0,I4075=""),"unrated",VLOOKUP(I4075,MappingTables!$B$19:$C$31,2,FALSE))</f>
        <v>3</v>
      </c>
      <c r="K4075" s="72">
        <v>256.38739834709764</v>
      </c>
      <c r="L4075" s="70">
        <v>0.43013344862391744</v>
      </c>
      <c r="M4075" s="71">
        <f>IF(L4075&lt;1,1,L4075)</f>
        <v>1</v>
      </c>
      <c r="N4075" s="70" t="s">
        <v>141</v>
      </c>
      <c r="O4075" s="71">
        <f>INDEX(DurClassMapping,MATCH(M4075,MappingTables!$D$4:$D$8,-1),1)</f>
        <v>1</v>
      </c>
      <c r="P4075" s="73">
        <f>IF(M4075=$A$1,1,$M4075-INDEX(MappingTables!$E$4:$E$8,MATCH(O4075,MappingTables!$B$4:$B$8,0)))</f>
        <v>1</v>
      </c>
      <c r="Q4075" s="71">
        <f>IF(B4075="",0,INDEX(ModelParameters!$D$6:$K$10,MATCH($O4075,ModelParameters!$B$6:$B$10,0),MATCH($J4075,ModelParameters!$D$5:$K$5,0)))</f>
        <v>0.025</v>
      </c>
      <c r="R4075" s="71">
        <f>IF(B4075="",0,INDEX(ModelParameters!$D$13:$K$17,MATCH($O4075,ModelParameters!$B$13:$B$17,0),MATCH($J4075,ModelParameters!$D$5:$K$5,0)))</f>
        <v>0</v>
      </c>
      <c r="S4075" s="160">
        <f>IF(B4075="",0,MIN(IF($N4075="Other Bond TM",ModelParameters!$N$21,1)*(P4075*Q4075+R4075),1))</f>
        <v>0.025</v>
      </c>
      <c r="T4075" s="85">
        <f>IF(B4075="",0,$S4075*$K4075)</f>
        <v>6.4096849586774416</v>
      </c>
      <c r="U4075" s="85">
        <f>IF(B4075="",0,IF(OR(H4075=MappingTables!$C$34,H4075=MappingTables!$C$35),T4075,0))</f>
        <v>0</v>
      </c>
      <c r="V4075" s="85">
        <f>IF(ISNA(IF(AND(VLOOKUP(CONCATENATE($D4075,$G4075),CSRFinput!$B:$E,4,0)=0,OR(H4075=MappingTables!$C$34,H4075=MappingTables!$C$35)),1,VLOOKUP(CONCATENATE($D4075,$G4075),CSRFinput!$B:$E,4,0))),0,IF(AND(VLOOKUP(CONCATENATE($D4075,$G4075),CSRFinput!$B:$E,4,0)=0,OR(H4075=MappingTables!$C$34,H4075=MappingTables!$C$35)),1,VLOOKUP(CONCATENATE($D4075,$G4075),CSRFinput!$B:$E,4,0)))</f>
        <v>0.054776304963434752</v>
      </c>
      <c r="W4075" s="85">
        <f>IF(B4075="",0,+$T4075*$V4075)</f>
        <v>0.35109885801605624</v>
      </c>
      <c r="X4075" s="85">
        <f>IF(B4075="",0,IF(OR(H4075=MappingTables!$C$34,H4075=MappingTables!$C$35),W4075,0))</f>
        <v>0</v>
      </c>
    </row>
    <row r="4076" spans="2:24" s="0" customFormat="0" ht="15">
      <c r="B4076" s="69">
        <v>14770812</v>
      </c>
      <c r="C4076" s="70" t="s">
        <v>2065</v>
      </c>
      <c r="D4076" s="70" t="s">
        <v>1</v>
      </c>
      <c r="E4076" s="70" t="s">
        <v>1</v>
      </c>
      <c r="F4076" s="70"/>
      <c r="G4076" s="70" t="s">
        <v>61</v>
      </c>
      <c r="H4076" s="70" t="s">
        <v>178</v>
      </c>
      <c r="I4076" s="70" t="s">
        <v>179</v>
      </c>
      <c r="J4076" s="71">
        <f>IF(OR(I4076=0,I4076=""),"unrated",VLOOKUP(I4076,MappingTables!$B$19:$C$31,2,FALSE))</f>
        <v>4</v>
      </c>
      <c r="K4076" s="72">
        <v>18175.697313445984</v>
      </c>
      <c r="L4076" s="70">
        <v>5.3110116735164464</v>
      </c>
      <c r="M4076" s="71">
        <f>IF(L4076&lt;1,1,L4076)</f>
        <v>5.3110116735164464</v>
      </c>
      <c r="N4076" s="70" t="s">
        <v>141</v>
      </c>
      <c r="O4076" s="71">
        <f>INDEX(DurClassMapping,MATCH(M4076,MappingTables!$D$4:$D$8,-1),1)</f>
        <v>2</v>
      </c>
      <c r="P4076" s="73">
        <f>IF(M4076=$A$1,1,$M4076-INDEX(MappingTables!$E$4:$E$8,MATCH(O4076,MappingTables!$B$4:$B$8,0)))</f>
        <v>0.31101167351644676</v>
      </c>
      <c r="Q4076" s="71">
        <f>IF(B4076="",0,INDEX(ModelParameters!$D$6:$K$10,MATCH($O4076,ModelParameters!$B$6:$B$10,0),MATCH($J4076,ModelParameters!$D$5:$K$5,0)))</f>
        <v>0.025</v>
      </c>
      <c r="R4076" s="71">
        <f>IF(B4076="",0,INDEX(ModelParameters!$D$13:$K$17,MATCH($O4076,ModelParameters!$B$13:$B$17,0),MATCH($J4076,ModelParameters!$D$5:$K$5,0)))</f>
        <v>0.225</v>
      </c>
      <c r="S4076" s="160">
        <f>IF(B4076="",0,MIN(IF($N4076="Other Bond TM",ModelParameters!$N$21,1)*(P4076*Q4076+R4076),1))</f>
        <v>0.2327752918379112</v>
      </c>
      <c r="T4076" s="85">
        <f>IF(B4076="",0,$S4076*$K4076)</f>
        <v>4230.8532464949264</v>
      </c>
      <c r="U4076" s="85">
        <f>IF(B4076="",0,IF(OR(H4076=MappingTables!$C$34,H4076=MappingTables!$C$35),T4076,0))</f>
        <v>0</v>
      </c>
      <c r="V4076" s="85">
        <f>IF(ISNA(IF(AND(VLOOKUP(CONCATENATE($D4076,$G4076),CSRFinput!$B:$E,4,0)=0,OR(H4076=MappingTables!$C$34,H4076=MappingTables!$C$35)),1,VLOOKUP(CONCATENATE($D4076,$G4076),CSRFinput!$B:$E,4,0))),0,IF(AND(VLOOKUP(CONCATENATE($D4076,$G4076),CSRFinput!$B:$E,4,0)=0,OR(H4076=MappingTables!$C$34,H4076=MappingTables!$C$35)),1,VLOOKUP(CONCATENATE($D4076,$G4076),CSRFinput!$B:$E,4,0)))</f>
        <v>0.054776304963434752</v>
      </c>
      <c r="W4076" s="85">
        <f>IF(B4076="",0,+$T4076*$V4076)</f>
        <v>231.75050768554408</v>
      </c>
      <c r="X4076" s="85">
        <f>IF(B4076="",0,IF(OR(H4076=MappingTables!$C$34,H4076=MappingTables!$C$35),W4076,0))</f>
        <v>0</v>
      </c>
    </row>
    <row r="4077" spans="2:24" s="0" customFormat="0" ht="15">
      <c r="B4077" s="69">
        <v>16192998</v>
      </c>
      <c r="C4077" s="70" t="s">
        <v>774</v>
      </c>
      <c r="D4077" s="70" t="s">
        <v>1</v>
      </c>
      <c r="E4077" s="70" t="s">
        <v>1</v>
      </c>
      <c r="F4077" s="70"/>
      <c r="G4077" s="70" t="s">
        <v>61</v>
      </c>
      <c r="H4077" s="70" t="s">
        <v>178</v>
      </c>
      <c r="I4077" s="70" t="s">
        <v>188</v>
      </c>
      <c r="J4077" s="71">
        <f>IF(OR(I4077=0,I4077=""),"unrated",VLOOKUP(I4077,MappingTables!$B$19:$C$31,2,FALSE))</f>
        <v>2</v>
      </c>
      <c r="K4077" s="72">
        <v>512.78733193208856</v>
      </c>
      <c r="L4077" s="70">
        <v>0.33424784877071644</v>
      </c>
      <c r="M4077" s="71">
        <f>IF(L4077&lt;1,1,L4077)</f>
        <v>1</v>
      </c>
      <c r="N4077" s="70" t="s">
        <v>141</v>
      </c>
      <c r="O4077" s="71">
        <f>INDEX(DurClassMapping,MATCH(M4077,MappingTables!$D$4:$D$8,-1),1)</f>
        <v>1</v>
      </c>
      <c r="P4077" s="73">
        <f>IF(M4077=$A$1,1,$M4077-INDEX(MappingTables!$E$4:$E$8,MATCH(O4077,MappingTables!$B$4:$B$8,0)))</f>
        <v>1</v>
      </c>
      <c r="Q4077" s="71">
        <f>IF(B4077="",0,INDEX(ModelParameters!$D$6:$K$10,MATCH($O4077,ModelParameters!$B$6:$B$10,0),MATCH($J4077,ModelParameters!$D$5:$K$5,0)))</f>
        <v>0.013999999999999998</v>
      </c>
      <c r="R4077" s="71">
        <f>IF(B4077="",0,INDEX(ModelParameters!$D$13:$K$17,MATCH($O4077,ModelParameters!$B$13:$B$17,0),MATCH($J4077,ModelParameters!$D$5:$K$5,0)))</f>
        <v>0</v>
      </c>
      <c r="S4077" s="160">
        <f>IF(B4077="",0,MIN(IF($N4077="Other Bond TM",ModelParameters!$N$21,1)*(P4077*Q4077+R4077),1))</f>
        <v>0.013999999999999998</v>
      </c>
      <c r="T4077" s="85">
        <f>IF(B4077="",0,$S4077*$K4077)</f>
        <v>7.17902264704924</v>
      </c>
      <c r="U4077" s="85">
        <f>IF(B4077="",0,IF(OR(H4077=MappingTables!$C$34,H4077=MappingTables!$C$35),T4077,0))</f>
        <v>0</v>
      </c>
      <c r="V4077" s="85">
        <f>IF(ISNA(IF(AND(VLOOKUP(CONCATENATE($D4077,$G4077),CSRFinput!$B:$E,4,0)=0,OR(H4077=MappingTables!$C$34,H4077=MappingTables!$C$35)),1,VLOOKUP(CONCATENATE($D4077,$G4077),CSRFinput!$B:$E,4,0))),0,IF(AND(VLOOKUP(CONCATENATE($D4077,$G4077),CSRFinput!$B:$E,4,0)=0,OR(H4077=MappingTables!$C$34,H4077=MappingTables!$C$35)),1,VLOOKUP(CONCATENATE($D4077,$G4077),CSRFinput!$B:$E,4,0)))</f>
        <v>0.054776304963434752</v>
      </c>
      <c r="W4077" s="85">
        <f>IF(B4077="",0,+$T4077*$V4077)</f>
        <v>0.39324033385417376</v>
      </c>
      <c r="X4077" s="85">
        <f>IF(B4077="",0,IF(OR(H4077=MappingTables!$C$34,H4077=MappingTables!$C$35),W4077,0))</f>
        <v>0</v>
      </c>
    </row>
    <row r="4078" spans="2:24" s="0" customFormat="0" ht="15">
      <c r="B4078" s="69">
        <v>16606683</v>
      </c>
      <c r="C4078" s="70" t="s">
        <v>2996</v>
      </c>
      <c r="D4078" s="70" t="s">
        <v>1</v>
      </c>
      <c r="E4078" s="70" t="s">
        <v>1</v>
      </c>
      <c r="F4078" s="70"/>
      <c r="G4078" s="70" t="s">
        <v>61</v>
      </c>
      <c r="H4078" s="70" t="s">
        <v>178</v>
      </c>
      <c r="I4078" s="70" t="s">
        <v>198</v>
      </c>
      <c r="J4078" s="71" t="str">
        <f>IF(OR(I4078=0,I4078=""),"unrated",VLOOKUP(I4078,MappingTables!$B$19:$C$31,2,FALSE))</f>
        <v>unrated</v>
      </c>
      <c r="K4078" s="72">
        <v>1616.8289860759232</v>
      </c>
      <c r="L4078" s="70">
        <v>2.2029162059017024</v>
      </c>
      <c r="M4078" s="71">
        <f>IF(L4078&lt;1,1,L4078)</f>
        <v>2.2029162059017024</v>
      </c>
      <c r="N4078" s="70" t="s">
        <v>141</v>
      </c>
      <c r="O4078" s="71">
        <f>INDEX(DurClassMapping,MATCH(M4078,MappingTables!$D$4:$D$8,-1),1)</f>
        <v>1</v>
      </c>
      <c r="P4078" s="73">
        <f>IF(M4078=$A$1,1,$M4078-INDEX(MappingTables!$E$4:$E$8,MATCH(O4078,MappingTables!$B$4:$B$8,0)))</f>
        <v>2.2029162059017024</v>
      </c>
      <c r="Q4078" s="71">
        <f>IF(B4078="",0,INDEX(ModelParameters!$D$6:$K$10,MATCH($O4078,ModelParameters!$B$6:$B$10,0),MATCH($J4078,ModelParameters!$D$5:$K$5,0)))</f>
        <v>0.03</v>
      </c>
      <c r="R4078" s="71">
        <f>IF(B4078="",0,INDEX(ModelParameters!$D$13:$K$17,MATCH($O4078,ModelParameters!$B$13:$B$17,0),MATCH($J4078,ModelParameters!$D$5:$K$5,0)))</f>
        <v>0</v>
      </c>
      <c r="S4078" s="160">
        <f>IF(B4078="",0,MIN(IF($N4078="Other Bond TM",ModelParameters!$N$21,1)*(P4078*Q4078+R4078),1))</f>
        <v>0.066087486177051072</v>
      </c>
      <c r="T4078" s="85">
        <f>IF(B4078="",0,$S4078*$K4078)</f>
        <v>106.85216326794808</v>
      </c>
      <c r="U4078" s="85">
        <f>IF(B4078="",0,IF(OR(H4078=MappingTables!$C$34,H4078=MappingTables!$C$35),T4078,0))</f>
        <v>0</v>
      </c>
      <c r="V4078" s="85">
        <f>IF(ISNA(IF(AND(VLOOKUP(CONCATENATE($D4078,$G4078),CSRFinput!$B:$E,4,0)=0,OR(H4078=MappingTables!$C$34,H4078=MappingTables!$C$35)),1,VLOOKUP(CONCATENATE($D4078,$G4078),CSRFinput!$B:$E,4,0))),0,IF(AND(VLOOKUP(CONCATENATE($D4078,$G4078),CSRFinput!$B:$E,4,0)=0,OR(H4078=MappingTables!$C$34,H4078=MappingTables!$C$35)),1,VLOOKUP(CONCATENATE($D4078,$G4078),CSRFinput!$B:$E,4,0)))</f>
        <v>0.054776304963434752</v>
      </c>
      <c r="W4078" s="85">
        <f>IF(B4078="",0,+$T4078*$V4078)</f>
        <v>5.852966681167844</v>
      </c>
      <c r="X4078" s="85">
        <f>IF(B4078="",0,IF(OR(H4078=MappingTables!$C$34,H4078=MappingTables!$C$35),W4078,0))</f>
        <v>0</v>
      </c>
    </row>
    <row r="4079" spans="2:24" s="0" customFormat="0" ht="15">
      <c r="B4079" s="69">
        <v>19481694</v>
      </c>
      <c r="C4079" s="70" t="s">
        <v>2920</v>
      </c>
      <c r="D4079" s="70" t="s">
        <v>1</v>
      </c>
      <c r="E4079" s="70" t="s">
        <v>1</v>
      </c>
      <c r="F4079" s="70"/>
      <c r="G4079" s="70" t="s">
        <v>61</v>
      </c>
      <c r="H4079" s="70" t="s">
        <v>178</v>
      </c>
      <c r="I4079" s="70" t="s">
        <v>179</v>
      </c>
      <c r="J4079" s="71">
        <f>IF(OR(I4079=0,I4079=""),"unrated",VLOOKUP(I4079,MappingTables!$B$19:$C$31,2,FALSE))</f>
        <v>4</v>
      </c>
      <c r="K4079" s="72">
        <v>132.16672738829832</v>
      </c>
      <c r="L4079" s="70">
        <v>1.2254841846188244</v>
      </c>
      <c r="M4079" s="71">
        <f>IF(L4079&lt;1,1,L4079)</f>
        <v>1.2254841846188244</v>
      </c>
      <c r="N4079" s="70" t="s">
        <v>141</v>
      </c>
      <c r="O4079" s="71">
        <f>INDEX(DurClassMapping,MATCH(M4079,MappingTables!$D$4:$D$8,-1),1)</f>
        <v>1</v>
      </c>
      <c r="P4079" s="73">
        <f>IF(M4079=$A$1,1,$M4079-INDEX(MappingTables!$E$4:$E$8,MATCH(O4079,MappingTables!$B$4:$B$8,0)))</f>
        <v>1.2254841846188244</v>
      </c>
      <c r="Q4079" s="71">
        <f>IF(B4079="",0,INDEX(ModelParameters!$D$6:$K$10,MATCH($O4079,ModelParameters!$B$6:$B$10,0),MATCH($J4079,ModelParameters!$D$5:$K$5,0)))</f>
        <v>0.045</v>
      </c>
      <c r="R4079" s="71">
        <f>IF(B4079="",0,INDEX(ModelParameters!$D$13:$K$17,MATCH($O4079,ModelParameters!$B$13:$B$17,0),MATCH($J4079,ModelParameters!$D$5:$K$5,0)))</f>
        <v>0</v>
      </c>
      <c r="S4079" s="160">
        <f>IF(B4079="",0,MIN(IF($N4079="Other Bond TM",ModelParameters!$N$21,1)*(P4079*Q4079+R4079),1))</f>
        <v>0.055146788307847096</v>
      </c>
      <c r="T4079" s="85">
        <f>IF(B4079="",0,$S4079*$K4079)</f>
        <v>7.288570536623424</v>
      </c>
      <c r="U4079" s="85">
        <f>IF(B4079="",0,IF(OR(H4079=MappingTables!$C$34,H4079=MappingTables!$C$35),T4079,0))</f>
        <v>0</v>
      </c>
      <c r="V4079" s="85">
        <f>IF(ISNA(IF(AND(VLOOKUP(CONCATENATE($D4079,$G4079),CSRFinput!$B:$E,4,0)=0,OR(H4079=MappingTables!$C$34,H4079=MappingTables!$C$35)),1,VLOOKUP(CONCATENATE($D4079,$G4079),CSRFinput!$B:$E,4,0))),0,IF(AND(VLOOKUP(CONCATENATE($D4079,$G4079),CSRFinput!$B:$E,4,0)=0,OR(H4079=MappingTables!$C$34,H4079=MappingTables!$C$35)),1,VLOOKUP(CONCATENATE($D4079,$G4079),CSRFinput!$B:$E,4,0)))</f>
        <v>0.054776304963434752</v>
      </c>
      <c r="W4079" s="85">
        <f>IF(B4079="",0,+$T4079*$V4079)</f>
        <v>0.39924096246159</v>
      </c>
      <c r="X4079" s="85">
        <f>IF(B4079="",0,IF(OR(H4079=MappingTables!$C$34,H4079=MappingTables!$C$35),W4079,0))</f>
        <v>0</v>
      </c>
    </row>
    <row r="4080" spans="2:24" s="0" customFormat="0" ht="15">
      <c r="B4080" s="69">
        <v>21704763</v>
      </c>
      <c r="C4080" s="70" t="s">
        <v>2659</v>
      </c>
      <c r="D4080" s="70" t="s">
        <v>1</v>
      </c>
      <c r="E4080" s="70" t="s">
        <v>1</v>
      </c>
      <c r="F4080" s="70"/>
      <c r="G4080" s="70" t="s">
        <v>61</v>
      </c>
      <c r="H4080" s="70" t="s">
        <v>178</v>
      </c>
      <c r="I4080" s="70" t="s">
        <v>188</v>
      </c>
      <c r="J4080" s="71">
        <f>IF(OR(I4080=0,I4080=""),"unrated",VLOOKUP(I4080,MappingTables!$B$19:$C$31,2,FALSE))</f>
        <v>2</v>
      </c>
      <c r="K4080" s="72">
        <v>13.41554676224035</v>
      </c>
      <c r="L4080" s="70">
        <v>0.947472093104648</v>
      </c>
      <c r="M4080" s="71">
        <f>IF(L4080&lt;1,1,L4080)</f>
        <v>1</v>
      </c>
      <c r="N4080" s="70" t="s">
        <v>141</v>
      </c>
      <c r="O4080" s="71">
        <f>INDEX(DurClassMapping,MATCH(M4080,MappingTables!$D$4:$D$8,-1),1)</f>
        <v>1</v>
      </c>
      <c r="P4080" s="73">
        <f>IF(M4080=$A$1,1,$M4080-INDEX(MappingTables!$E$4:$E$8,MATCH(O4080,MappingTables!$B$4:$B$8,0)))</f>
        <v>1</v>
      </c>
      <c r="Q4080" s="71">
        <f>IF(B4080="",0,INDEX(ModelParameters!$D$6:$K$10,MATCH($O4080,ModelParameters!$B$6:$B$10,0),MATCH($J4080,ModelParameters!$D$5:$K$5,0)))</f>
        <v>0.013999999999999998</v>
      </c>
      <c r="R4080" s="71">
        <f>IF(B4080="",0,INDEX(ModelParameters!$D$13:$K$17,MATCH($O4080,ModelParameters!$B$13:$B$17,0),MATCH($J4080,ModelParameters!$D$5:$K$5,0)))</f>
        <v>0</v>
      </c>
      <c r="S4080" s="160">
        <f>IF(B4080="",0,MIN(IF($N4080="Other Bond TM",ModelParameters!$N$21,1)*(P4080*Q4080+R4080),1))</f>
        <v>0.013999999999999998</v>
      </c>
      <c r="T4080" s="85">
        <f>IF(B4080="",0,$S4080*$K4080)</f>
        <v>0.18781765467136488</v>
      </c>
      <c r="U4080" s="85">
        <f>IF(B4080="",0,IF(OR(H4080=MappingTables!$C$34,H4080=MappingTables!$C$35),T4080,0))</f>
        <v>0</v>
      </c>
      <c r="V4080" s="85">
        <f>IF(ISNA(IF(AND(VLOOKUP(CONCATENATE($D4080,$G4080),CSRFinput!$B:$E,4,0)=0,OR(H4080=MappingTables!$C$34,H4080=MappingTables!$C$35)),1,VLOOKUP(CONCATENATE($D4080,$G4080),CSRFinput!$B:$E,4,0))),0,IF(AND(VLOOKUP(CONCATENATE($D4080,$G4080),CSRFinput!$B:$E,4,0)=0,OR(H4080=MappingTables!$C$34,H4080=MappingTables!$C$35)),1,VLOOKUP(CONCATENATE($D4080,$G4080),CSRFinput!$B:$E,4,0)))</f>
        <v>0.054776304963434752</v>
      </c>
      <c r="W4080" s="85">
        <f>IF(B4080="",0,+$T4080*$V4080)</f>
        <v>0.010287957129795758</v>
      </c>
      <c r="X4080" s="85">
        <f>IF(B4080="",0,IF(OR(H4080=MappingTables!$C$34,H4080=MappingTables!$C$35),W4080,0))</f>
        <v>0</v>
      </c>
    </row>
    <row r="4081" spans="2:24" s="0" customFormat="0" ht="15">
      <c r="B4081" s="69">
        <v>23455187</v>
      </c>
      <c r="C4081" s="70" t="s">
        <v>494</v>
      </c>
      <c r="D4081" s="70" t="s">
        <v>1</v>
      </c>
      <c r="E4081" s="70" t="s">
        <v>1</v>
      </c>
      <c r="F4081" s="70"/>
      <c r="G4081" s="70" t="s">
        <v>61</v>
      </c>
      <c r="H4081" s="70" t="s">
        <v>178</v>
      </c>
      <c r="I4081" s="70" t="s">
        <v>181</v>
      </c>
      <c r="J4081" s="71">
        <f>IF(OR(I4081=0,I4081=""),"unrated",VLOOKUP(I4081,MappingTables!$B$19:$C$31,2,FALSE))</f>
        <v>3</v>
      </c>
      <c r="K4081" s="72">
        <v>12941.645937607962</v>
      </c>
      <c r="L4081" s="70">
        <v>0.087672560370937312</v>
      </c>
      <c r="M4081" s="71">
        <f>IF(L4081&lt;1,1,L4081)</f>
        <v>1</v>
      </c>
      <c r="N4081" s="70" t="s">
        <v>141</v>
      </c>
      <c r="O4081" s="71">
        <f>INDEX(DurClassMapping,MATCH(M4081,MappingTables!$D$4:$D$8,-1),1)</f>
        <v>1</v>
      </c>
      <c r="P4081" s="73">
        <f>IF(M4081=$A$1,1,$M4081-INDEX(MappingTables!$E$4:$E$8,MATCH(O4081,MappingTables!$B$4:$B$8,0)))</f>
        <v>1</v>
      </c>
      <c r="Q4081" s="71">
        <f>IF(B4081="",0,INDEX(ModelParameters!$D$6:$K$10,MATCH($O4081,ModelParameters!$B$6:$B$10,0),MATCH($J4081,ModelParameters!$D$5:$K$5,0)))</f>
        <v>0.025</v>
      </c>
      <c r="R4081" s="71">
        <f>IF(B4081="",0,INDEX(ModelParameters!$D$13:$K$17,MATCH($O4081,ModelParameters!$B$13:$B$17,0),MATCH($J4081,ModelParameters!$D$5:$K$5,0)))</f>
        <v>0</v>
      </c>
      <c r="S4081" s="160">
        <f>IF(B4081="",0,MIN(IF($N4081="Other Bond TM",ModelParameters!$N$21,1)*(P4081*Q4081+R4081),1))</f>
        <v>0.025</v>
      </c>
      <c r="T4081" s="85">
        <f>IF(B4081="",0,$S4081*$K4081)</f>
        <v>323.54114844019908</v>
      </c>
      <c r="U4081" s="85">
        <f>IF(B4081="",0,IF(OR(H4081=MappingTables!$C$34,H4081=MappingTables!$C$35),T4081,0))</f>
        <v>0</v>
      </c>
      <c r="V4081" s="85">
        <f>IF(ISNA(IF(AND(VLOOKUP(CONCATENATE($D4081,$G4081),CSRFinput!$B:$E,4,0)=0,OR(H4081=MappingTables!$C$34,H4081=MappingTables!$C$35)),1,VLOOKUP(CONCATENATE($D4081,$G4081),CSRFinput!$B:$E,4,0))),0,IF(AND(VLOOKUP(CONCATENATE($D4081,$G4081),CSRFinput!$B:$E,4,0)=0,OR(H4081=MappingTables!$C$34,H4081=MappingTables!$C$35)),1,VLOOKUP(CONCATENATE($D4081,$G4081),CSRFinput!$B:$E,4,0)))</f>
        <v>0.054776304963434752</v>
      </c>
      <c r="W4081" s="85">
        <f>IF(B4081="",0,+$T4081*$V4081)</f>
        <v>17.722388615180258</v>
      </c>
      <c r="X4081" s="85">
        <f>IF(B4081="",0,IF(OR(H4081=MappingTables!$C$34,H4081=MappingTables!$C$35),W4081,0))</f>
        <v>0</v>
      </c>
    </row>
    <row r="4082" spans="2:24" s="0" customFormat="0" ht="15">
      <c r="B4082" s="69" t="s">
        <v>485</v>
      </c>
      <c r="C4082" s="70" t="s">
        <v>486</v>
      </c>
      <c r="D4082" s="70" t="s">
        <v>1</v>
      </c>
      <c r="E4082" s="70" t="s">
        <v>1</v>
      </c>
      <c r="F4082" s="70"/>
      <c r="G4082" s="70" t="s">
        <v>61</v>
      </c>
      <c r="H4082" s="70" t="s">
        <v>178</v>
      </c>
      <c r="I4082" s="70" t="s">
        <v>184</v>
      </c>
      <c r="J4082" s="71">
        <f>IF(OR(I4082=0,I4082=""),"unrated",VLOOKUP(I4082,MappingTables!$B$19:$C$31,2,FALSE))</f>
        <v>5</v>
      </c>
      <c r="K4082" s="72">
        <v>97.376698084388064</v>
      </c>
      <c r="L4082" s="70">
        <v>3.9152998262831608</v>
      </c>
      <c r="M4082" s="71">
        <f>IF(L4082&lt;1,1,L4082)</f>
        <v>3.9152998262831608</v>
      </c>
      <c r="N4082" s="70" t="s">
        <v>141</v>
      </c>
      <c r="O4082" s="71">
        <f>INDEX(DurClassMapping,MATCH(M4082,MappingTables!$D$4:$D$8,-1),1)</f>
        <v>1</v>
      </c>
      <c r="P4082" s="73">
        <f>IF(M4082=$A$1,1,$M4082-INDEX(MappingTables!$E$4:$E$8,MATCH(O4082,MappingTables!$B$4:$B$8,0)))</f>
        <v>3.9152998262831608</v>
      </c>
      <c r="Q4082" s="71">
        <f>IF(B4082="",0,INDEX(ModelParameters!$D$6:$K$10,MATCH($O4082,ModelParameters!$B$6:$B$10,0),MATCH($J4082,ModelParameters!$D$5:$K$5,0)))</f>
        <v>0.075</v>
      </c>
      <c r="R4082" s="71">
        <f>IF(B4082="",0,INDEX(ModelParameters!$D$13:$K$17,MATCH($O4082,ModelParameters!$B$13:$B$17,0),MATCH($J4082,ModelParameters!$D$5:$K$5,0)))</f>
        <v>0</v>
      </c>
      <c r="S4082" s="160">
        <f>IF(B4082="",0,MIN(IF($N4082="Other Bond TM",ModelParameters!$N$21,1)*(P4082*Q4082+R4082),1))</f>
        <v>0.29364748697123704</v>
      </c>
      <c r="T4082" s="85">
        <f>IF(B4082="",0,$S4082*$K4082)</f>
        <v>28.594422682037428</v>
      </c>
      <c r="U4082" s="85">
        <f>IF(B4082="",0,IF(OR(H4082=MappingTables!$C$34,H4082=MappingTables!$C$35),T4082,0))</f>
        <v>0</v>
      </c>
      <c r="V4082" s="85">
        <f>IF(ISNA(IF(AND(VLOOKUP(CONCATENATE($D4082,$G4082),CSRFinput!$B:$E,4,0)=0,OR(H4082=MappingTables!$C$34,H4082=MappingTables!$C$35)),1,VLOOKUP(CONCATENATE($D4082,$G4082),CSRFinput!$B:$E,4,0))),0,IF(AND(VLOOKUP(CONCATENATE($D4082,$G4082),CSRFinput!$B:$E,4,0)=0,OR(H4082=MappingTables!$C$34,H4082=MappingTables!$C$35)),1,VLOOKUP(CONCATENATE($D4082,$G4082),CSRFinput!$B:$E,4,0)))</f>
        <v>0.054776304963434752</v>
      </c>
      <c r="W4082" s="85">
        <f>IF(B4082="",0,+$T4082*$V4082)</f>
        <v>1.566296817084638</v>
      </c>
      <c r="X4082" s="85">
        <f>IF(B4082="",0,IF(OR(H4082=MappingTables!$C$34,H4082=MappingTables!$C$35),W4082,0))</f>
        <v>0</v>
      </c>
    </row>
    <row r="4083" spans="2:24" s="0" customFormat="0" ht="15">
      <c r="B4083" s="69">
        <v>12287386</v>
      </c>
      <c r="C4083" s="70" t="s">
        <v>2167</v>
      </c>
      <c r="D4083" s="70" t="s">
        <v>1</v>
      </c>
      <c r="E4083" s="70" t="s">
        <v>1</v>
      </c>
      <c r="F4083" s="70"/>
      <c r="G4083" s="70" t="s">
        <v>61</v>
      </c>
      <c r="H4083" s="70" t="s">
        <v>178</v>
      </c>
      <c r="I4083" s="70" t="s">
        <v>188</v>
      </c>
      <c r="J4083" s="71">
        <f>IF(OR(I4083=0,I4083=""),"unrated",VLOOKUP(I4083,MappingTables!$B$19:$C$31,2,FALSE))</f>
        <v>2</v>
      </c>
      <c r="K4083" s="72">
        <v>361.28240595027208</v>
      </c>
      <c r="L4083" s="70">
        <v>0.56525131287036688</v>
      </c>
      <c r="M4083" s="71">
        <f>IF(L4083&lt;1,1,L4083)</f>
        <v>1</v>
      </c>
      <c r="N4083" s="70" t="s">
        <v>141</v>
      </c>
      <c r="O4083" s="71">
        <f>INDEX(DurClassMapping,MATCH(M4083,MappingTables!$D$4:$D$8,-1),1)</f>
        <v>1</v>
      </c>
      <c r="P4083" s="73">
        <f>IF(M4083=$A$1,1,$M4083-INDEX(MappingTables!$E$4:$E$8,MATCH(O4083,MappingTables!$B$4:$B$8,0)))</f>
        <v>1</v>
      </c>
      <c r="Q4083" s="71">
        <f>IF(B4083="",0,INDEX(ModelParameters!$D$6:$K$10,MATCH($O4083,ModelParameters!$B$6:$B$10,0),MATCH($J4083,ModelParameters!$D$5:$K$5,0)))</f>
        <v>0.013999999999999998</v>
      </c>
      <c r="R4083" s="71">
        <f>IF(B4083="",0,INDEX(ModelParameters!$D$13:$K$17,MATCH($O4083,ModelParameters!$B$13:$B$17,0),MATCH($J4083,ModelParameters!$D$5:$K$5,0)))</f>
        <v>0</v>
      </c>
      <c r="S4083" s="160">
        <f>IF(B4083="",0,MIN(IF($N4083="Other Bond TM",ModelParameters!$N$21,1)*(P4083*Q4083+R4083),1))</f>
        <v>0.013999999999999998</v>
      </c>
      <c r="T4083" s="85">
        <f>IF(B4083="",0,$S4083*$K4083)</f>
        <v>5.0579536833038088</v>
      </c>
      <c r="U4083" s="85">
        <f>IF(B4083="",0,IF(OR(H4083=MappingTables!$C$34,H4083=MappingTables!$C$35),T4083,0))</f>
        <v>0</v>
      </c>
      <c r="V4083" s="85">
        <f>IF(ISNA(IF(AND(VLOOKUP(CONCATENATE($D4083,$G4083),CSRFinput!$B:$E,4,0)=0,OR(H4083=MappingTables!$C$34,H4083=MappingTables!$C$35)),1,VLOOKUP(CONCATENATE($D4083,$G4083),CSRFinput!$B:$E,4,0))),0,IF(AND(VLOOKUP(CONCATENATE($D4083,$G4083),CSRFinput!$B:$E,4,0)=0,OR(H4083=MappingTables!$C$34,H4083=MappingTables!$C$35)),1,VLOOKUP(CONCATENATE($D4083,$G4083),CSRFinput!$B:$E,4,0)))</f>
        <v>0.054776304963434752</v>
      </c>
      <c r="W4083" s="85">
        <f>IF(B4083="",0,+$T4083*$V4083)</f>
        <v>0.27705601344757752</v>
      </c>
      <c r="X4083" s="85">
        <f>IF(B4083="",0,IF(OR(H4083=MappingTables!$C$34,H4083=MappingTables!$C$35),W4083,0))</f>
        <v>0</v>
      </c>
    </row>
    <row r="4084" spans="2:24" s="0" customFormat="0" ht="15">
      <c r="B4084" s="69">
        <v>24178485</v>
      </c>
      <c r="C4084" s="70" t="s">
        <v>2617</v>
      </c>
      <c r="D4084" s="70" t="s">
        <v>1</v>
      </c>
      <c r="E4084" s="70" t="s">
        <v>1</v>
      </c>
      <c r="F4084" s="70"/>
      <c r="G4084" s="70" t="s">
        <v>61</v>
      </c>
      <c r="H4084" s="70" t="s">
        <v>178</v>
      </c>
      <c r="I4084" s="70" t="s">
        <v>220</v>
      </c>
      <c r="J4084" s="71">
        <f>IF(OR(I4084=0,I4084=""),"unrated",VLOOKUP(I4084,MappingTables!$B$19:$C$31,2,FALSE))</f>
        <v>1</v>
      </c>
      <c r="K4084" s="72">
        <v>5701.0380086838544</v>
      </c>
      <c r="L4084" s="70">
        <v>0.076709828918834448</v>
      </c>
      <c r="M4084" s="71">
        <f>IF(L4084&lt;1,1,L4084)</f>
        <v>1</v>
      </c>
      <c r="N4084" s="70" t="s">
        <v>141</v>
      </c>
      <c r="O4084" s="71">
        <f>INDEX(DurClassMapping,MATCH(M4084,MappingTables!$D$4:$D$8,-1),1)</f>
        <v>1</v>
      </c>
      <c r="P4084" s="73">
        <f>IF(M4084=$A$1,1,$M4084-INDEX(MappingTables!$E$4:$E$8,MATCH(O4084,MappingTables!$B$4:$B$8,0)))</f>
        <v>1</v>
      </c>
      <c r="Q4084" s="71">
        <f>IF(B4084="",0,INDEX(ModelParameters!$D$6:$K$10,MATCH($O4084,ModelParameters!$B$6:$B$10,0),MATCH($J4084,ModelParameters!$D$5:$K$5,0)))</f>
        <v>0.011000000000000002</v>
      </c>
      <c r="R4084" s="71">
        <f>IF(B4084="",0,INDEX(ModelParameters!$D$13:$K$17,MATCH($O4084,ModelParameters!$B$13:$B$17,0),MATCH($J4084,ModelParameters!$D$5:$K$5,0)))</f>
        <v>0</v>
      </c>
      <c r="S4084" s="160">
        <f>IF(B4084="",0,MIN(IF($N4084="Other Bond TM",ModelParameters!$N$21,1)*(P4084*Q4084+R4084),1))</f>
        <v>0.011000000000000002</v>
      </c>
      <c r="T4084" s="85">
        <f>IF(B4084="",0,$S4084*$K4084)</f>
        <v>62.711418095522408</v>
      </c>
      <c r="U4084" s="85">
        <f>IF(B4084="",0,IF(OR(H4084=MappingTables!$C$34,H4084=MappingTables!$C$35),T4084,0))</f>
        <v>0</v>
      </c>
      <c r="V4084" s="85">
        <f>IF(ISNA(IF(AND(VLOOKUP(CONCATENATE($D4084,$G4084),CSRFinput!$B:$E,4,0)=0,OR(H4084=MappingTables!$C$34,H4084=MappingTables!$C$35)),1,VLOOKUP(CONCATENATE($D4084,$G4084),CSRFinput!$B:$E,4,0))),0,IF(AND(VLOOKUP(CONCATENATE($D4084,$G4084),CSRFinput!$B:$E,4,0)=0,OR(H4084=MappingTables!$C$34,H4084=MappingTables!$C$35)),1,VLOOKUP(CONCATENATE($D4084,$G4084),CSRFinput!$B:$E,4,0)))</f>
        <v>0.054776304963434752</v>
      </c>
      <c r="W4084" s="85">
        <f>IF(B4084="",0,+$T4084*$V4084)</f>
        <v>3.435099762289796</v>
      </c>
      <c r="X4084" s="85">
        <f>IF(B4084="",0,IF(OR(H4084=MappingTables!$C$34,H4084=MappingTables!$C$35),W4084,0))</f>
        <v>0</v>
      </c>
    </row>
    <row r="4085" spans="2:24" s="0" customFormat="0" ht="15">
      <c r="B4085" s="69">
        <v>15690041</v>
      </c>
      <c r="C4085" s="70" t="s">
        <v>646</v>
      </c>
      <c r="D4085" s="70" t="s">
        <v>1</v>
      </c>
      <c r="E4085" s="70" t="s">
        <v>1</v>
      </c>
      <c r="F4085" s="70"/>
      <c r="G4085" s="70" t="s">
        <v>61</v>
      </c>
      <c r="H4085" s="70" t="s">
        <v>178</v>
      </c>
      <c r="I4085" s="70" t="s">
        <v>184</v>
      </c>
      <c r="J4085" s="71">
        <f>IF(OR(I4085=0,I4085=""),"unrated",VLOOKUP(I4085,MappingTables!$B$19:$C$31,2,FALSE))</f>
        <v>5</v>
      </c>
      <c r="K4085" s="72">
        <v>12251.93534496486</v>
      </c>
      <c r="L4085" s="70">
        <v>2.1428850736363576</v>
      </c>
      <c r="M4085" s="71">
        <f>IF(L4085&lt;1,1,L4085)</f>
        <v>2.1428850736363576</v>
      </c>
      <c r="N4085" s="70" t="s">
        <v>141</v>
      </c>
      <c r="O4085" s="71">
        <f>INDEX(DurClassMapping,MATCH(M4085,MappingTables!$D$4:$D$8,-1),1)</f>
        <v>1</v>
      </c>
      <c r="P4085" s="73">
        <f>IF(M4085=$A$1,1,$M4085-INDEX(MappingTables!$E$4:$E$8,MATCH(O4085,MappingTables!$B$4:$B$8,0)))</f>
        <v>2.1428850736363576</v>
      </c>
      <c r="Q4085" s="71">
        <f>IF(B4085="",0,INDEX(ModelParameters!$D$6:$K$10,MATCH($O4085,ModelParameters!$B$6:$B$10,0),MATCH($J4085,ModelParameters!$D$5:$K$5,0)))</f>
        <v>0.075</v>
      </c>
      <c r="R4085" s="71">
        <f>IF(B4085="",0,INDEX(ModelParameters!$D$13:$K$17,MATCH($O4085,ModelParameters!$B$13:$B$17,0),MATCH($J4085,ModelParameters!$D$5:$K$5,0)))</f>
        <v>0</v>
      </c>
      <c r="S4085" s="160">
        <f>IF(B4085="",0,MIN(IF($N4085="Other Bond TM",ModelParameters!$N$21,1)*(P4085*Q4085+R4085),1))</f>
        <v>0.16071638052272682</v>
      </c>
      <c r="T4085" s="85">
        <f>IF(B4085="",0,$S4085*$K4085)</f>
        <v>1969.0867030412188</v>
      </c>
      <c r="U4085" s="85">
        <f>IF(B4085="",0,IF(OR(H4085=MappingTables!$C$34,H4085=MappingTables!$C$35),T4085,0))</f>
        <v>0</v>
      </c>
      <c r="V4085" s="85">
        <f>IF(ISNA(IF(AND(VLOOKUP(CONCATENATE($D4085,$G4085),CSRFinput!$B:$E,4,0)=0,OR(H4085=MappingTables!$C$34,H4085=MappingTables!$C$35)),1,VLOOKUP(CONCATENATE($D4085,$G4085),CSRFinput!$B:$E,4,0))),0,IF(AND(VLOOKUP(CONCATENATE($D4085,$G4085),CSRFinput!$B:$E,4,0)=0,OR(H4085=MappingTables!$C$34,H4085=MappingTables!$C$35)),1,VLOOKUP(CONCATENATE($D4085,$G4085),CSRFinput!$B:$E,4,0)))</f>
        <v>0.054776304963434752</v>
      </c>
      <c r="W4085" s="85">
        <f>IF(B4085="",0,+$T4085*$V4085)</f>
        <v>107.8592937452301</v>
      </c>
      <c r="X4085" s="85">
        <f>IF(B4085="",0,IF(OR(H4085=MappingTables!$C$34,H4085=MappingTables!$C$35),W4085,0))</f>
        <v>0</v>
      </c>
    </row>
    <row r="4086" spans="2:24" s="0" customFormat="0" ht="15">
      <c r="B4086" s="69" t="s">
        <v>2630</v>
      </c>
      <c r="C4086" s="70" t="s">
        <v>2631</v>
      </c>
      <c r="D4086" s="70" t="s">
        <v>1</v>
      </c>
      <c r="E4086" s="70" t="s">
        <v>1</v>
      </c>
      <c r="F4086" s="70"/>
      <c r="G4086" s="70" t="s">
        <v>61</v>
      </c>
      <c r="H4086" s="70" t="s">
        <v>178</v>
      </c>
      <c r="I4086" s="70" t="s">
        <v>198</v>
      </c>
      <c r="J4086" s="71" t="str">
        <f>IF(OR(I4086=0,I4086=""),"unrated",VLOOKUP(I4086,MappingTables!$B$19:$C$31,2,FALSE))</f>
        <v>unrated</v>
      </c>
      <c r="K4086" s="72">
        <v>0.056803250890731808</v>
      </c>
      <c r="L4086" s="70">
        <v>0.263014374233016</v>
      </c>
      <c r="M4086" s="71">
        <f>IF(L4086&lt;1,1,L4086)</f>
        <v>1</v>
      </c>
      <c r="N4086" s="70" t="s">
        <v>141</v>
      </c>
      <c r="O4086" s="71">
        <f>INDEX(DurClassMapping,MATCH(M4086,MappingTables!$D$4:$D$8,-1),1)</f>
        <v>1</v>
      </c>
      <c r="P4086" s="73">
        <f>IF(M4086=$A$1,1,$M4086-INDEX(MappingTables!$E$4:$E$8,MATCH(O4086,MappingTables!$B$4:$B$8,0)))</f>
        <v>1</v>
      </c>
      <c r="Q4086" s="71">
        <f>IF(B4086="",0,INDEX(ModelParameters!$D$6:$K$10,MATCH($O4086,ModelParameters!$B$6:$B$10,0),MATCH($J4086,ModelParameters!$D$5:$K$5,0)))</f>
        <v>0.03</v>
      </c>
      <c r="R4086" s="71">
        <f>IF(B4086="",0,INDEX(ModelParameters!$D$13:$K$17,MATCH($O4086,ModelParameters!$B$13:$B$17,0),MATCH($J4086,ModelParameters!$D$5:$K$5,0)))</f>
        <v>0</v>
      </c>
      <c r="S4086" s="160">
        <f>IF(B4086="",0,MIN(IF($N4086="Other Bond TM",ModelParameters!$N$21,1)*(P4086*Q4086+R4086),1))</f>
        <v>0.03</v>
      </c>
      <c r="T4086" s="85">
        <f>IF(B4086="",0,$S4086*$K4086)</f>
        <v>0.0017040975267219542</v>
      </c>
      <c r="U4086" s="85">
        <f>IF(B4086="",0,IF(OR(H4086=MappingTables!$C$34,H4086=MappingTables!$C$35),T4086,0))</f>
        <v>0</v>
      </c>
      <c r="V4086" s="85">
        <f>IF(ISNA(IF(AND(VLOOKUP(CONCATENATE($D4086,$G4086),CSRFinput!$B:$E,4,0)=0,OR(H4086=MappingTables!$C$34,H4086=MappingTables!$C$35)),1,VLOOKUP(CONCATENATE($D4086,$G4086),CSRFinput!$B:$E,4,0))),0,IF(AND(VLOOKUP(CONCATENATE($D4086,$G4086),CSRFinput!$B:$E,4,0)=0,OR(H4086=MappingTables!$C$34,H4086=MappingTables!$C$35)),1,VLOOKUP(CONCATENATE($D4086,$G4086),CSRFinput!$B:$E,4,0)))</f>
        <v>0.054776304963434752</v>
      </c>
      <c r="W4086" s="85">
        <f>IF(B4086="",0,+$T4086*$V4086)</f>
        <v>0.000093344165811156672</v>
      </c>
      <c r="X4086" s="85">
        <f>IF(B4086="",0,IF(OR(H4086=MappingTables!$C$34,H4086=MappingTables!$C$35),W4086,0))</f>
        <v>0</v>
      </c>
    </row>
    <row r="4087" spans="2:24" s="0" customFormat="0" ht="15">
      <c r="B4087" s="69">
        <v>22071386</v>
      </c>
      <c r="C4087" s="70" t="s">
        <v>2997</v>
      </c>
      <c r="D4087" s="70" t="s">
        <v>1</v>
      </c>
      <c r="E4087" s="70" t="s">
        <v>1</v>
      </c>
      <c r="F4087" s="70"/>
      <c r="G4087" s="70" t="s">
        <v>61</v>
      </c>
      <c r="H4087" s="70" t="s">
        <v>178</v>
      </c>
      <c r="I4087" s="70" t="s">
        <v>188</v>
      </c>
      <c r="J4087" s="71">
        <f>IF(OR(I4087=0,I4087=""),"unrated",VLOOKUP(I4087,MappingTables!$B$19:$C$31,2,FALSE))</f>
        <v>2</v>
      </c>
      <c r="K4087" s="72">
        <v>56173.2696470348</v>
      </c>
      <c r="L4087" s="70">
        <v>3.1515132260844356</v>
      </c>
      <c r="M4087" s="71">
        <f>IF(L4087&lt;1,1,L4087)</f>
        <v>3.1515132260844356</v>
      </c>
      <c r="N4087" s="70" t="s">
        <v>141</v>
      </c>
      <c r="O4087" s="71">
        <f>INDEX(DurClassMapping,MATCH(M4087,MappingTables!$D$4:$D$8,-1),1)</f>
        <v>1</v>
      </c>
      <c r="P4087" s="73">
        <f>IF(M4087=$A$1,1,$M4087-INDEX(MappingTables!$E$4:$E$8,MATCH(O4087,MappingTables!$B$4:$B$8,0)))</f>
        <v>3.1515132260844356</v>
      </c>
      <c r="Q4087" s="71">
        <f>IF(B4087="",0,INDEX(ModelParameters!$D$6:$K$10,MATCH($O4087,ModelParameters!$B$6:$B$10,0),MATCH($J4087,ModelParameters!$D$5:$K$5,0)))</f>
        <v>0.013999999999999998</v>
      </c>
      <c r="R4087" s="71">
        <f>IF(B4087="",0,INDEX(ModelParameters!$D$13:$K$17,MATCH($O4087,ModelParameters!$B$13:$B$17,0),MATCH($J4087,ModelParameters!$D$5:$K$5,0)))</f>
        <v>0</v>
      </c>
      <c r="S4087" s="160">
        <f>IF(B4087="",0,MIN(IF($N4087="Other Bond TM",ModelParameters!$N$21,1)*(P4087*Q4087+R4087),1))</f>
        <v>0.044121185165182096</v>
      </c>
      <c r="T4087" s="85">
        <f>IF(B4087="",0,$S4087*$K4087)</f>
        <v>2478.4312314305256</v>
      </c>
      <c r="U4087" s="85">
        <f>IF(B4087="",0,IF(OR(H4087=MappingTables!$C$34,H4087=MappingTables!$C$35),T4087,0))</f>
        <v>0</v>
      </c>
      <c r="V4087" s="85">
        <f>IF(ISNA(IF(AND(VLOOKUP(CONCATENATE($D4087,$G4087),CSRFinput!$B:$E,4,0)=0,OR(H4087=MappingTables!$C$34,H4087=MappingTables!$C$35)),1,VLOOKUP(CONCATENATE($D4087,$G4087),CSRFinput!$B:$E,4,0))),0,IF(AND(VLOOKUP(CONCATENATE($D4087,$G4087),CSRFinput!$B:$E,4,0)=0,OR(H4087=MappingTables!$C$34,H4087=MappingTables!$C$35)),1,VLOOKUP(CONCATENATE($D4087,$G4087),CSRFinput!$B:$E,4,0)))</f>
        <v>0.054776304963434752</v>
      </c>
      <c r="W4087" s="85">
        <f>IF(B4087="",0,+$T4087*$V4087)</f>
        <v>135.75930496373962</v>
      </c>
      <c r="X4087" s="85">
        <f>IF(B4087="",0,IF(OR(H4087=MappingTables!$C$34,H4087=MappingTables!$C$35),W4087,0))</f>
        <v>0</v>
      </c>
    </row>
    <row r="4088" spans="2:24" s="0" customFormat="0" ht="15">
      <c r="B4088" s="69">
        <v>17830015</v>
      </c>
      <c r="C4088" s="70" t="s">
        <v>937</v>
      </c>
      <c r="D4088" s="70" t="s">
        <v>1</v>
      </c>
      <c r="E4088" s="70" t="s">
        <v>1</v>
      </c>
      <c r="F4088" s="70"/>
      <c r="G4088" s="70" t="s">
        <v>61</v>
      </c>
      <c r="H4088" s="70" t="s">
        <v>178</v>
      </c>
      <c r="I4088" s="70" t="s">
        <v>220</v>
      </c>
      <c r="J4088" s="71">
        <f>IF(OR(I4088=0,I4088=""),"unrated",VLOOKUP(I4088,MappingTables!$B$19:$C$31,2,FALSE))</f>
        <v>1</v>
      </c>
      <c r="K4088" s="72">
        <v>320.93581323615028</v>
      </c>
      <c r="L4088" s="70">
        <v>0.73306869676412336</v>
      </c>
      <c r="M4088" s="71">
        <f>IF(L4088&lt;1,1,L4088)</f>
        <v>1</v>
      </c>
      <c r="N4088" s="70" t="s">
        <v>141</v>
      </c>
      <c r="O4088" s="71">
        <f>INDEX(DurClassMapping,MATCH(M4088,MappingTables!$D$4:$D$8,-1),1)</f>
        <v>1</v>
      </c>
      <c r="P4088" s="73">
        <f>IF(M4088=$A$1,1,$M4088-INDEX(MappingTables!$E$4:$E$8,MATCH(O4088,MappingTables!$B$4:$B$8,0)))</f>
        <v>1</v>
      </c>
      <c r="Q4088" s="71">
        <f>IF(B4088="",0,INDEX(ModelParameters!$D$6:$K$10,MATCH($O4088,ModelParameters!$B$6:$B$10,0),MATCH($J4088,ModelParameters!$D$5:$K$5,0)))</f>
        <v>0.011000000000000002</v>
      </c>
      <c r="R4088" s="71">
        <f>IF(B4088="",0,INDEX(ModelParameters!$D$13:$K$17,MATCH($O4088,ModelParameters!$B$13:$B$17,0),MATCH($J4088,ModelParameters!$D$5:$K$5,0)))</f>
        <v>0</v>
      </c>
      <c r="S4088" s="160">
        <f>IF(B4088="",0,MIN(IF($N4088="Other Bond TM",ModelParameters!$N$21,1)*(P4088*Q4088+R4088),1))</f>
        <v>0.011000000000000002</v>
      </c>
      <c r="T4088" s="85">
        <f>IF(B4088="",0,$S4088*$K4088)</f>
        <v>3.5302939455976536</v>
      </c>
      <c r="U4088" s="85">
        <f>IF(B4088="",0,IF(OR(H4088=MappingTables!$C$34,H4088=MappingTables!$C$35),T4088,0))</f>
        <v>0</v>
      </c>
      <c r="V4088" s="85">
        <f>IF(ISNA(IF(AND(VLOOKUP(CONCATENATE($D4088,$G4088),CSRFinput!$B:$E,4,0)=0,OR(H4088=MappingTables!$C$34,H4088=MappingTables!$C$35)),1,VLOOKUP(CONCATENATE($D4088,$G4088),CSRFinput!$B:$E,4,0))),0,IF(AND(VLOOKUP(CONCATENATE($D4088,$G4088),CSRFinput!$B:$E,4,0)=0,OR(H4088=MappingTables!$C$34,H4088=MappingTables!$C$35)),1,VLOOKUP(CONCATENATE($D4088,$G4088),CSRFinput!$B:$E,4,0)))</f>
        <v>0.054776304963434752</v>
      </c>
      <c r="W4088" s="85">
        <f>IF(B4088="",0,+$T4088*$V4088)</f>
        <v>0.1933764577746244</v>
      </c>
      <c r="X4088" s="85">
        <f>IF(B4088="",0,IF(OR(H4088=MappingTables!$C$34,H4088=MappingTables!$C$35),W4088,0))</f>
        <v>0</v>
      </c>
    </row>
    <row r="4089" spans="2:24" s="0" customFormat="0" ht="15">
      <c r="B4089" s="69">
        <v>8606912</v>
      </c>
      <c r="C4089" s="70" t="s">
        <v>1168</v>
      </c>
      <c r="D4089" s="70" t="s">
        <v>1</v>
      </c>
      <c r="E4089" s="70" t="s">
        <v>1</v>
      </c>
      <c r="F4089" s="70"/>
      <c r="G4089" s="70" t="s">
        <v>61</v>
      </c>
      <c r="H4089" s="70" t="s">
        <v>178</v>
      </c>
      <c r="I4089" s="70" t="s">
        <v>179</v>
      </c>
      <c r="J4089" s="71">
        <f>IF(OR(I4089=0,I4089=""),"unrated",VLOOKUP(I4089,MappingTables!$B$19:$C$31,2,FALSE))</f>
        <v>4</v>
      </c>
      <c r="K4089" s="72">
        <v>13831.775745252344</v>
      </c>
      <c r="L4089" s="70">
        <v>3.1549332383304284</v>
      </c>
      <c r="M4089" s="71">
        <f>IF(L4089&lt;1,1,L4089)</f>
        <v>3.1549332383304284</v>
      </c>
      <c r="N4089" s="70" t="s">
        <v>141</v>
      </c>
      <c r="O4089" s="71">
        <f>INDEX(DurClassMapping,MATCH(M4089,MappingTables!$D$4:$D$8,-1),1)</f>
        <v>1</v>
      </c>
      <c r="P4089" s="73">
        <f>IF(M4089=$A$1,1,$M4089-INDEX(MappingTables!$E$4:$E$8,MATCH(O4089,MappingTables!$B$4:$B$8,0)))</f>
        <v>3.1549332383304284</v>
      </c>
      <c r="Q4089" s="71">
        <f>IF(B4089="",0,INDEX(ModelParameters!$D$6:$K$10,MATCH($O4089,ModelParameters!$B$6:$B$10,0),MATCH($J4089,ModelParameters!$D$5:$K$5,0)))</f>
        <v>0.045</v>
      </c>
      <c r="R4089" s="71">
        <f>IF(B4089="",0,INDEX(ModelParameters!$D$13:$K$17,MATCH($O4089,ModelParameters!$B$13:$B$17,0),MATCH($J4089,ModelParameters!$D$5:$K$5,0)))</f>
        <v>0</v>
      </c>
      <c r="S4089" s="160">
        <f>IF(B4089="",0,MIN(IF($N4089="Other Bond TM",ModelParameters!$N$21,1)*(P4089*Q4089+R4089),1))</f>
        <v>0.14197199572486926</v>
      </c>
      <c r="T4089" s="85">
        <f>IF(B4089="",0,$S4089*$K4089)</f>
        <v>1963.724806972316</v>
      </c>
      <c r="U4089" s="85">
        <f>IF(B4089="",0,IF(OR(H4089=MappingTables!$C$34,H4089=MappingTables!$C$35),T4089,0))</f>
        <v>0</v>
      </c>
      <c r="V4089" s="85">
        <f>IF(ISNA(IF(AND(VLOOKUP(CONCATENATE($D4089,$G4089),CSRFinput!$B:$E,4,0)=0,OR(H4089=MappingTables!$C$34,H4089=MappingTables!$C$35)),1,VLOOKUP(CONCATENATE($D4089,$G4089),CSRFinput!$B:$E,4,0))),0,IF(AND(VLOOKUP(CONCATENATE($D4089,$G4089),CSRFinput!$B:$E,4,0)=0,OR(H4089=MappingTables!$C$34,H4089=MappingTables!$C$35)),1,VLOOKUP(CONCATENATE($D4089,$G4089),CSRFinput!$B:$E,4,0)))</f>
        <v>0.054776304963434752</v>
      </c>
      <c r="W4089" s="85">
        <f>IF(B4089="",0,+$T4089*$V4089)</f>
        <v>107.56558889097764</v>
      </c>
      <c r="X4089" s="85">
        <f>IF(B4089="",0,IF(OR(H4089=MappingTables!$C$34,H4089=MappingTables!$C$35),W4089,0))</f>
        <v>0</v>
      </c>
    </row>
    <row r="4090" spans="2:24" s="0" customFormat="0" ht="15">
      <c r="B4090" s="69" t="s">
        <v>460</v>
      </c>
      <c r="C4090" s="70" t="s">
        <v>461</v>
      </c>
      <c r="D4090" s="70" t="s">
        <v>1</v>
      </c>
      <c r="E4090" s="70" t="s">
        <v>1</v>
      </c>
      <c r="F4090" s="70"/>
      <c r="G4090" s="70" t="s">
        <v>61</v>
      </c>
      <c r="H4090" s="70" t="s">
        <v>178</v>
      </c>
      <c r="I4090" s="70" t="s">
        <v>188</v>
      </c>
      <c r="J4090" s="71">
        <f>IF(OR(I4090=0,I4090=""),"unrated",VLOOKUP(I4090,MappingTables!$B$19:$C$31,2,FALSE))</f>
        <v>2</v>
      </c>
      <c r="K4090" s="72">
        <v>1.2886441329983162</v>
      </c>
      <c r="L4090" s="70">
        <v>11.590170879718498</v>
      </c>
      <c r="M4090" s="71">
        <f>IF(L4090&lt;1,1,L4090)</f>
        <v>11.590170879718498</v>
      </c>
      <c r="N4090" s="70" t="s">
        <v>141</v>
      </c>
      <c r="O4090" s="71">
        <f>INDEX(DurClassMapping,MATCH(M4090,MappingTables!$D$4:$D$8,-1),1)</f>
        <v>3</v>
      </c>
      <c r="P4090" s="73">
        <f>IF(M4090=$A$1,1,$M4090-INDEX(MappingTables!$E$4:$E$8,MATCH(O4090,MappingTables!$B$4:$B$8,0)))</f>
        <v>1.5901708797184976</v>
      </c>
      <c r="Q4090" s="71">
        <f>IF(B4090="",0,INDEX(ModelParameters!$D$6:$K$10,MATCH($O4090,ModelParameters!$B$6:$B$10,0),MATCH($J4090,ModelParameters!$D$5:$K$5,0)))</f>
        <v>0.005</v>
      </c>
      <c r="R4090" s="71">
        <f>IF(B4090="",0,INDEX(ModelParameters!$D$13:$K$17,MATCH($O4090,ModelParameters!$B$13:$B$17,0),MATCH($J4090,ModelParameters!$D$5:$K$5,0)))</f>
        <v>0.105</v>
      </c>
      <c r="S4090" s="160">
        <f>IF(B4090="",0,MIN(IF($N4090="Other Bond TM",ModelParameters!$N$21,1)*(P4090*Q4090+R4090),1))</f>
        <v>0.11295085439859248</v>
      </c>
      <c r="T4090" s="85">
        <f>IF(B4090="",0,$S4090*$K4090)</f>
        <v>0.14555345583789326</v>
      </c>
      <c r="U4090" s="85">
        <f>IF(B4090="",0,IF(OR(H4090=MappingTables!$C$34,H4090=MappingTables!$C$35),T4090,0))</f>
        <v>0</v>
      </c>
      <c r="V4090" s="85">
        <f>IF(ISNA(IF(AND(VLOOKUP(CONCATENATE($D4090,$G4090),CSRFinput!$B:$E,4,0)=0,OR(H4090=MappingTables!$C$34,H4090=MappingTables!$C$35)),1,VLOOKUP(CONCATENATE($D4090,$G4090),CSRFinput!$B:$E,4,0))),0,IF(AND(VLOOKUP(CONCATENATE($D4090,$G4090),CSRFinput!$B:$E,4,0)=0,OR(H4090=MappingTables!$C$34,H4090=MappingTables!$C$35)),1,VLOOKUP(CONCATENATE($D4090,$G4090),CSRFinput!$B:$E,4,0)))</f>
        <v>0.054776304963434752</v>
      </c>
      <c r="W4090" s="85">
        <f>IF(B4090="",0,+$T4090*$V4090)</f>
        <v>0.0079728804854582736</v>
      </c>
      <c r="X4090" s="85">
        <f>IF(B4090="",0,IF(OR(H4090=MappingTables!$C$34,H4090=MappingTables!$C$35),W4090,0))</f>
        <v>0</v>
      </c>
    </row>
    <row r="4091" spans="2:24" s="0" customFormat="0" ht="15">
      <c r="B4091" s="69" t="s">
        <v>957</v>
      </c>
      <c r="C4091" s="70" t="s">
        <v>958</v>
      </c>
      <c r="D4091" s="70" t="s">
        <v>1</v>
      </c>
      <c r="E4091" s="70" t="s">
        <v>1</v>
      </c>
      <c r="F4091" s="70"/>
      <c r="G4091" s="70" t="s">
        <v>61</v>
      </c>
      <c r="H4091" s="70" t="s">
        <v>178</v>
      </c>
      <c r="I4091" s="70" t="s">
        <v>198</v>
      </c>
      <c r="J4091" s="71" t="str">
        <f>IF(OR(I4091=0,I4091=""),"unrated",VLOOKUP(I4091,MappingTables!$B$19:$C$31,2,FALSE))</f>
        <v>unrated</v>
      </c>
      <c r="K4091" s="72">
        <v>931.17727093736112</v>
      </c>
      <c r="L4091" s="70">
        <v>5.714248008778336</v>
      </c>
      <c r="M4091" s="71">
        <f>IF(L4091&lt;1,1,L4091)</f>
        <v>5.714248008778336</v>
      </c>
      <c r="N4091" s="70" t="s">
        <v>141</v>
      </c>
      <c r="O4091" s="71">
        <f>INDEX(DurClassMapping,MATCH(M4091,MappingTables!$D$4:$D$8,-1),1)</f>
        <v>2</v>
      </c>
      <c r="P4091" s="73">
        <f>IF(M4091=$A$1,1,$M4091-INDEX(MappingTables!$E$4:$E$8,MATCH(O4091,MappingTables!$B$4:$B$8,0)))</f>
        <v>0.71424800877833584</v>
      </c>
      <c r="Q4091" s="71">
        <f>IF(B4091="",0,INDEX(ModelParameters!$D$6:$K$10,MATCH($O4091,ModelParameters!$B$6:$B$10,0),MATCH($J4091,ModelParameters!$D$5:$K$5,0)))</f>
        <v>0.017000000000000002</v>
      </c>
      <c r="R4091" s="71">
        <f>IF(B4091="",0,INDEX(ModelParameters!$D$13:$K$17,MATCH($O4091,ModelParameters!$B$13:$B$17,0),MATCH($J4091,ModelParameters!$D$5:$K$5,0)))</f>
        <v>0.15</v>
      </c>
      <c r="S4091" s="160">
        <f>IF(B4091="",0,MIN(IF($N4091="Other Bond TM",ModelParameters!$N$21,1)*(P4091*Q4091+R4091),1))</f>
        <v>0.16214221614923172</v>
      </c>
      <c r="T4091" s="85">
        <f>IF(B4091="",0,$S4091*$K4091)</f>
        <v>150.98314633757732</v>
      </c>
      <c r="U4091" s="85">
        <f>IF(B4091="",0,IF(OR(H4091=MappingTables!$C$34,H4091=MappingTables!$C$35),T4091,0))</f>
        <v>0</v>
      </c>
      <c r="V4091" s="85">
        <f>IF(ISNA(IF(AND(VLOOKUP(CONCATENATE($D4091,$G4091),CSRFinput!$B:$E,4,0)=0,OR(H4091=MappingTables!$C$34,H4091=MappingTables!$C$35)),1,VLOOKUP(CONCATENATE($D4091,$G4091),CSRFinput!$B:$E,4,0))),0,IF(AND(VLOOKUP(CONCATENATE($D4091,$G4091),CSRFinput!$B:$E,4,0)=0,OR(H4091=MappingTables!$C$34,H4091=MappingTables!$C$35)),1,VLOOKUP(CONCATENATE($D4091,$G4091),CSRFinput!$B:$E,4,0)))</f>
        <v>0.054776304963434752</v>
      </c>
      <c r="W4091" s="85">
        <f>IF(B4091="",0,+$T4091*$V4091)</f>
        <v>8.270298868126032</v>
      </c>
      <c r="X4091" s="85">
        <f>IF(B4091="",0,IF(OR(H4091=MappingTables!$C$34,H4091=MappingTables!$C$35),W4091,0))</f>
        <v>0</v>
      </c>
    </row>
    <row r="4092" spans="2:24" s="0" customFormat="0" ht="15">
      <c r="B4092" s="69">
        <v>21007336</v>
      </c>
      <c r="C4092" s="70" t="s">
        <v>688</v>
      </c>
      <c r="D4092" s="70" t="s">
        <v>1</v>
      </c>
      <c r="E4092" s="70" t="s">
        <v>1</v>
      </c>
      <c r="F4092" s="70"/>
      <c r="G4092" s="70" t="s">
        <v>61</v>
      </c>
      <c r="H4092" s="70" t="s">
        <v>178</v>
      </c>
      <c r="I4092" s="70" t="s">
        <v>181</v>
      </c>
      <c r="J4092" s="71">
        <f>IF(OR(I4092=0,I4092=""),"unrated",VLOOKUP(I4092,MappingTables!$B$19:$C$31,2,FALSE))</f>
        <v>3</v>
      </c>
      <c r="K4092" s="72">
        <v>32712.075496425452</v>
      </c>
      <c r="L4092" s="70">
        <v>13.42795162302113</v>
      </c>
      <c r="M4092" s="71">
        <f>IF(L4092&lt;1,1,L4092)</f>
        <v>13.42795162302113</v>
      </c>
      <c r="N4092" s="70" t="s">
        <v>141</v>
      </c>
      <c r="O4092" s="71">
        <f>INDEX(DurClassMapping,MATCH(M4092,MappingTables!$D$4:$D$8,-1),1)</f>
        <v>3</v>
      </c>
      <c r="P4092" s="73">
        <f>IF(M4092=$A$1,1,$M4092-INDEX(MappingTables!$E$4:$E$8,MATCH(O4092,MappingTables!$B$4:$B$8,0)))</f>
        <v>3.42795162302113</v>
      </c>
      <c r="Q4092" s="71">
        <f>IF(B4092="",0,INDEX(ModelParameters!$D$6:$K$10,MATCH($O4092,ModelParameters!$B$6:$B$10,0),MATCH($J4092,ModelParameters!$D$5:$K$5,0)))</f>
        <v>0.01</v>
      </c>
      <c r="R4092" s="71">
        <f>IF(B4092="",0,INDEX(ModelParameters!$D$13:$K$17,MATCH($O4092,ModelParameters!$B$13:$B$17,0),MATCH($J4092,ModelParameters!$D$5:$K$5,0)))</f>
        <v>0.2</v>
      </c>
      <c r="S4092" s="160">
        <f>IF(B4092="",0,MIN(IF($N4092="Other Bond TM",ModelParameters!$N$21,1)*(P4092*Q4092+R4092),1))</f>
        <v>0.23427951623021132</v>
      </c>
      <c r="T4092" s="85">
        <f>IF(B4092="",0,$S4092*$K4092)</f>
        <v>7663.769222188704</v>
      </c>
      <c r="U4092" s="85">
        <f>IF(B4092="",0,IF(OR(H4092=MappingTables!$C$34,H4092=MappingTables!$C$35),T4092,0))</f>
        <v>0</v>
      </c>
      <c r="V4092" s="85">
        <f>IF(ISNA(IF(AND(VLOOKUP(CONCATENATE($D4092,$G4092),CSRFinput!$B:$E,4,0)=0,OR(H4092=MappingTables!$C$34,H4092=MappingTables!$C$35)),1,VLOOKUP(CONCATENATE($D4092,$G4092),CSRFinput!$B:$E,4,0))),0,IF(AND(VLOOKUP(CONCATENATE($D4092,$G4092),CSRFinput!$B:$E,4,0)=0,OR(H4092=MappingTables!$C$34,H4092=MappingTables!$C$35)),1,VLOOKUP(CONCATENATE($D4092,$G4092),CSRFinput!$B:$E,4,0)))</f>
        <v>0.054776304963434752</v>
      </c>
      <c r="W4092" s="85">
        <f>IF(B4092="",0,+$T4092*$V4092)</f>
        <v>419.79296008399368</v>
      </c>
      <c r="X4092" s="85">
        <f>IF(B4092="",0,IF(OR(H4092=MappingTables!$C$34,H4092=MappingTables!$C$35),W4092,0))</f>
        <v>0</v>
      </c>
    </row>
    <row r="4093" spans="2:24" s="0" customFormat="0" ht="15">
      <c r="B4093" s="69">
        <v>7013339</v>
      </c>
      <c r="C4093" s="70" t="s">
        <v>2132</v>
      </c>
      <c r="D4093" s="70" t="s">
        <v>1</v>
      </c>
      <c r="E4093" s="70" t="s">
        <v>1</v>
      </c>
      <c r="F4093" s="70"/>
      <c r="G4093" s="70" t="s">
        <v>61</v>
      </c>
      <c r="H4093" s="70" t="s">
        <v>178</v>
      </c>
      <c r="I4093" s="70" t="s">
        <v>181</v>
      </c>
      <c r="J4093" s="71">
        <f>IF(OR(I4093=0,I4093=""),"unrated",VLOOKUP(I4093,MappingTables!$B$19:$C$31,2,FALSE))</f>
        <v>3</v>
      </c>
      <c r="K4093" s="72">
        <v>134.98121889458474</v>
      </c>
      <c r="L4093" s="70">
        <v>14.196964889310606</v>
      </c>
      <c r="M4093" s="71">
        <f>IF(L4093&lt;1,1,L4093)</f>
        <v>14.196964889310606</v>
      </c>
      <c r="N4093" s="70" t="s">
        <v>141</v>
      </c>
      <c r="O4093" s="71">
        <f>INDEX(DurClassMapping,MATCH(M4093,MappingTables!$D$4:$D$8,-1),1)</f>
        <v>3</v>
      </c>
      <c r="P4093" s="73">
        <f>IF(M4093=$A$1,1,$M4093-INDEX(MappingTables!$E$4:$E$8,MATCH(O4093,MappingTables!$B$4:$B$8,0)))</f>
        <v>4.1969648893106048</v>
      </c>
      <c r="Q4093" s="71">
        <f>IF(B4093="",0,INDEX(ModelParameters!$D$6:$K$10,MATCH($O4093,ModelParameters!$B$6:$B$10,0),MATCH($J4093,ModelParameters!$D$5:$K$5,0)))</f>
        <v>0.01</v>
      </c>
      <c r="R4093" s="71">
        <f>IF(B4093="",0,INDEX(ModelParameters!$D$13:$K$17,MATCH($O4093,ModelParameters!$B$13:$B$17,0),MATCH($J4093,ModelParameters!$D$5:$K$5,0)))</f>
        <v>0.2</v>
      </c>
      <c r="S4093" s="160">
        <f>IF(B4093="",0,MIN(IF($N4093="Other Bond TM",ModelParameters!$N$21,1)*(P4093*Q4093+R4093),1))</f>
        <v>0.24196964889310608</v>
      </c>
      <c r="T4093" s="85">
        <f>IF(B4093="",0,$S4093*$K4093)</f>
        <v>32.661358143086168</v>
      </c>
      <c r="U4093" s="85">
        <f>IF(B4093="",0,IF(OR(H4093=MappingTables!$C$34,H4093=MappingTables!$C$35),T4093,0))</f>
        <v>0</v>
      </c>
      <c r="V4093" s="85">
        <f>IF(ISNA(IF(AND(VLOOKUP(CONCATENATE($D4093,$G4093),CSRFinput!$B:$E,4,0)=0,OR(H4093=MappingTables!$C$34,H4093=MappingTables!$C$35)),1,VLOOKUP(CONCATENATE($D4093,$G4093),CSRFinput!$B:$E,4,0))),0,IF(AND(VLOOKUP(CONCATENATE($D4093,$G4093),CSRFinput!$B:$E,4,0)=0,OR(H4093=MappingTables!$C$34,H4093=MappingTables!$C$35)),1,VLOOKUP(CONCATENATE($D4093,$G4093),CSRFinput!$B:$E,4,0)))</f>
        <v>0.054776304963434752</v>
      </c>
      <c r="W4093" s="85">
        <f>IF(B4093="",0,+$T4093*$V4093)</f>
        <v>1.789068514165651</v>
      </c>
      <c r="X4093" s="85">
        <f>IF(B4093="",0,IF(OR(H4093=MappingTables!$C$34,H4093=MappingTables!$C$35),W4093,0))</f>
        <v>0</v>
      </c>
    </row>
    <row r="4094" spans="2:24" s="0" customFormat="0" ht="15">
      <c r="B4094" s="69">
        <v>17860436</v>
      </c>
      <c r="C4094" s="70" t="s">
        <v>2733</v>
      </c>
      <c r="D4094" s="70" t="s">
        <v>1</v>
      </c>
      <c r="E4094" s="70" t="s">
        <v>1</v>
      </c>
      <c r="F4094" s="70"/>
      <c r="G4094" s="70" t="s">
        <v>61</v>
      </c>
      <c r="H4094" s="70" t="s">
        <v>178</v>
      </c>
      <c r="I4094" s="70" t="s">
        <v>181</v>
      </c>
      <c r="J4094" s="71">
        <f>IF(OR(I4094=0,I4094=""),"unrated",VLOOKUP(I4094,MappingTables!$B$19:$C$31,2,FALSE))</f>
        <v>3</v>
      </c>
      <c r="K4094" s="72">
        <v>26932.816366593792</v>
      </c>
      <c r="L4094" s="70">
        <v>15.27868822662509</v>
      </c>
      <c r="M4094" s="71">
        <f>IF(L4094&lt;1,1,L4094)</f>
        <v>15.27868822662509</v>
      </c>
      <c r="N4094" s="70" t="s">
        <v>141</v>
      </c>
      <c r="O4094" s="71">
        <f>INDEX(DurClassMapping,MATCH(M4094,MappingTables!$D$4:$D$8,-1),1)</f>
        <v>4</v>
      </c>
      <c r="P4094" s="73">
        <f>IF(M4094=$A$1,1,$M4094-INDEX(MappingTables!$E$4:$E$8,MATCH(O4094,MappingTables!$B$4:$B$8,0)))</f>
        <v>0.2786882266250892</v>
      </c>
      <c r="Q4094" s="71">
        <f>IF(B4094="",0,INDEX(ModelParameters!$D$6:$K$10,MATCH($O4094,ModelParameters!$B$6:$B$10,0),MATCH($J4094,ModelParameters!$D$5:$K$5,0)))</f>
        <v>0.01</v>
      </c>
      <c r="R4094" s="71">
        <f>IF(B4094="",0,INDEX(ModelParameters!$D$13:$K$17,MATCH($O4094,ModelParameters!$B$13:$B$17,0),MATCH($J4094,ModelParameters!$D$5:$K$5,0)))</f>
        <v>0.25</v>
      </c>
      <c r="S4094" s="160">
        <f>IF(B4094="",0,MIN(IF($N4094="Other Bond TM",ModelParameters!$N$21,1)*(P4094*Q4094+R4094),1))</f>
        <v>0.25278688226625092</v>
      </c>
      <c r="T4094" s="85">
        <f>IF(B4094="",0,$S4094*$K4094)</f>
        <v>6808.2626799607</v>
      </c>
      <c r="U4094" s="85">
        <f>IF(B4094="",0,IF(OR(H4094=MappingTables!$C$34,H4094=MappingTables!$C$35),T4094,0))</f>
        <v>0</v>
      </c>
      <c r="V4094" s="85">
        <f>IF(ISNA(IF(AND(VLOOKUP(CONCATENATE($D4094,$G4094),CSRFinput!$B:$E,4,0)=0,OR(H4094=MappingTables!$C$34,H4094=MappingTables!$C$35)),1,VLOOKUP(CONCATENATE($D4094,$G4094),CSRFinput!$B:$E,4,0))),0,IF(AND(VLOOKUP(CONCATENATE($D4094,$G4094),CSRFinput!$B:$E,4,0)=0,OR(H4094=MappingTables!$C$34,H4094=MappingTables!$C$35)),1,VLOOKUP(CONCATENATE($D4094,$G4094),CSRFinput!$B:$E,4,0)))</f>
        <v>0.054776304963434752</v>
      </c>
      <c r="W4094" s="85">
        <f>IF(B4094="",0,+$T4094*$V4094)</f>
        <v>372.93147282869888</v>
      </c>
      <c r="X4094" s="85">
        <f>IF(B4094="",0,IF(OR(H4094=MappingTables!$C$34,H4094=MappingTables!$C$35),W4094,0))</f>
        <v>0</v>
      </c>
    </row>
    <row r="4095" spans="2:24" s="0" customFormat="0" ht="15">
      <c r="B4095" s="69">
        <v>21027790</v>
      </c>
      <c r="C4095" s="70" t="s">
        <v>2356</v>
      </c>
      <c r="D4095" s="70" t="s">
        <v>1</v>
      </c>
      <c r="E4095" s="70" t="s">
        <v>1</v>
      </c>
      <c r="F4095" s="70"/>
      <c r="G4095" s="70" t="s">
        <v>61</v>
      </c>
      <c r="H4095" s="70" t="s">
        <v>178</v>
      </c>
      <c r="I4095" s="70" t="s">
        <v>216</v>
      </c>
      <c r="J4095" s="71">
        <f>IF(OR(I4095=0,I4095=""),"unrated",VLOOKUP(I4095,MappingTables!$B$19:$C$31,2,FALSE))</f>
        <v>0</v>
      </c>
      <c r="K4095" s="72">
        <v>3490.3138347426304</v>
      </c>
      <c r="L4095" s="70">
        <v>0.31757961537167816</v>
      </c>
      <c r="M4095" s="71">
        <f>IF(L4095&lt;1,1,L4095)</f>
        <v>1</v>
      </c>
      <c r="N4095" s="70" t="s">
        <v>141</v>
      </c>
      <c r="O4095" s="71">
        <f>INDEX(DurClassMapping,MATCH(M4095,MappingTables!$D$4:$D$8,-1),1)</f>
        <v>1</v>
      </c>
      <c r="P4095" s="73">
        <f>IF(M4095=$A$1,1,$M4095-INDEX(MappingTables!$E$4:$E$8,MATCH(O4095,MappingTables!$B$4:$B$8,0)))</f>
        <v>1</v>
      </c>
      <c r="Q4095" s="71">
        <f>IF(B4095="",0,INDEX(ModelParameters!$D$6:$K$10,MATCH($O4095,ModelParameters!$B$6:$B$10,0),MATCH($J4095,ModelParameters!$D$5:$K$5,0)))</f>
        <v>0.0090000000000000016</v>
      </c>
      <c r="R4095" s="71">
        <f>IF(B4095="",0,INDEX(ModelParameters!$D$13:$K$17,MATCH($O4095,ModelParameters!$B$13:$B$17,0),MATCH($J4095,ModelParameters!$D$5:$K$5,0)))</f>
        <v>0</v>
      </c>
      <c r="S4095" s="160">
        <f>IF(B4095="",0,MIN(IF($N4095="Other Bond TM",ModelParameters!$N$21,1)*(P4095*Q4095+R4095),1))</f>
        <v>0.0090000000000000016</v>
      </c>
      <c r="T4095" s="85">
        <f>IF(B4095="",0,$S4095*$K4095)</f>
        <v>31.412824512683672</v>
      </c>
      <c r="U4095" s="85">
        <f>IF(B4095="",0,IF(OR(H4095=MappingTables!$C$34,H4095=MappingTables!$C$35),T4095,0))</f>
        <v>0</v>
      </c>
      <c r="V4095" s="85">
        <f>IF(ISNA(IF(AND(VLOOKUP(CONCATENATE($D4095,$G4095),CSRFinput!$B:$E,4,0)=0,OR(H4095=MappingTables!$C$34,H4095=MappingTables!$C$35)),1,VLOOKUP(CONCATENATE($D4095,$G4095),CSRFinput!$B:$E,4,0))),0,IF(AND(VLOOKUP(CONCATENATE($D4095,$G4095),CSRFinput!$B:$E,4,0)=0,OR(H4095=MappingTables!$C$34,H4095=MappingTables!$C$35)),1,VLOOKUP(CONCATENATE($D4095,$G4095),CSRFinput!$B:$E,4,0)))</f>
        <v>0.054776304963434752</v>
      </c>
      <c r="W4095" s="85">
        <f>IF(B4095="",0,+$T4095*$V4095)</f>
        <v>1.7206784552696198</v>
      </c>
      <c r="X4095" s="85">
        <f>IF(B4095="",0,IF(OR(H4095=MappingTables!$C$34,H4095=MappingTables!$C$35),W4095,0))</f>
        <v>0</v>
      </c>
    </row>
    <row r="4096" spans="2:24" s="0" customFormat="0" ht="15">
      <c r="B4096" s="69">
        <v>23482942</v>
      </c>
      <c r="C4096" s="70" t="s">
        <v>2808</v>
      </c>
      <c r="D4096" s="70" t="s">
        <v>1</v>
      </c>
      <c r="E4096" s="70" t="s">
        <v>1</v>
      </c>
      <c r="F4096" s="70"/>
      <c r="G4096" s="70" t="s">
        <v>61</v>
      </c>
      <c r="H4096" s="70" t="s">
        <v>178</v>
      </c>
      <c r="I4096" s="70" t="s">
        <v>188</v>
      </c>
      <c r="J4096" s="71">
        <f>IF(OR(I4096=0,I4096=""),"unrated",VLOOKUP(I4096,MappingTables!$B$19:$C$31,2,FALSE))</f>
        <v>2</v>
      </c>
      <c r="K4096" s="72">
        <v>1601.9057453658002</v>
      </c>
      <c r="L4096" s="70">
        <v>2.4124614323280372</v>
      </c>
      <c r="M4096" s="71">
        <f>IF(L4096&lt;1,1,L4096)</f>
        <v>2.4124614323280372</v>
      </c>
      <c r="N4096" s="70" t="s">
        <v>141</v>
      </c>
      <c r="O4096" s="71">
        <f>INDEX(DurClassMapping,MATCH(M4096,MappingTables!$D$4:$D$8,-1),1)</f>
        <v>1</v>
      </c>
      <c r="P4096" s="73">
        <f>IF(M4096=$A$1,1,$M4096-INDEX(MappingTables!$E$4:$E$8,MATCH(O4096,MappingTables!$B$4:$B$8,0)))</f>
        <v>2.4124614323280372</v>
      </c>
      <c r="Q4096" s="71">
        <f>IF(B4096="",0,INDEX(ModelParameters!$D$6:$K$10,MATCH($O4096,ModelParameters!$B$6:$B$10,0),MATCH($J4096,ModelParameters!$D$5:$K$5,0)))</f>
        <v>0.013999999999999998</v>
      </c>
      <c r="R4096" s="71">
        <f>IF(B4096="",0,INDEX(ModelParameters!$D$13:$K$17,MATCH($O4096,ModelParameters!$B$13:$B$17,0),MATCH($J4096,ModelParameters!$D$5:$K$5,0)))</f>
        <v>0</v>
      </c>
      <c r="S4096" s="160">
        <f>IF(B4096="",0,MIN(IF($N4096="Other Bond TM",ModelParameters!$N$21,1)*(P4096*Q4096+R4096),1))</f>
        <v>0.03377446005259252</v>
      </c>
      <c r="T4096" s="85">
        <f>IF(B4096="",0,$S4096*$K4096)</f>
        <v>54.103501604875664</v>
      </c>
      <c r="U4096" s="85">
        <f>IF(B4096="",0,IF(OR(H4096=MappingTables!$C$34,H4096=MappingTables!$C$35),T4096,0))</f>
        <v>0</v>
      </c>
      <c r="V4096" s="85">
        <f>IF(ISNA(IF(AND(VLOOKUP(CONCATENATE($D4096,$G4096),CSRFinput!$B:$E,4,0)=0,OR(H4096=MappingTables!$C$34,H4096=MappingTables!$C$35)),1,VLOOKUP(CONCATENATE($D4096,$G4096),CSRFinput!$B:$E,4,0))),0,IF(AND(VLOOKUP(CONCATENATE($D4096,$G4096),CSRFinput!$B:$E,4,0)=0,OR(H4096=MappingTables!$C$34,H4096=MappingTables!$C$35)),1,VLOOKUP(CONCATENATE($D4096,$G4096),CSRFinput!$B:$E,4,0)))</f>
        <v>0.054776304963434752</v>
      </c>
      <c r="W4096" s="85">
        <f>IF(B4096="",0,+$T4096*$V4096)</f>
        <v>2.9635899034983508</v>
      </c>
      <c r="X4096" s="85">
        <f>IF(B4096="",0,IF(OR(H4096=MappingTables!$C$34,H4096=MappingTables!$C$35),W4096,0))</f>
        <v>0</v>
      </c>
    </row>
    <row r="4097" spans="2:24" s="0" customFormat="0" ht="15">
      <c r="B4097" s="69">
        <v>20995748</v>
      </c>
      <c r="C4097" s="70" t="s">
        <v>1023</v>
      </c>
      <c r="D4097" s="70" t="s">
        <v>1</v>
      </c>
      <c r="E4097" s="70" t="s">
        <v>1</v>
      </c>
      <c r="F4097" s="70"/>
      <c r="G4097" s="70" t="s">
        <v>61</v>
      </c>
      <c r="H4097" s="70" t="s">
        <v>178</v>
      </c>
      <c r="I4097" s="70" t="s">
        <v>181</v>
      </c>
      <c r="J4097" s="71">
        <f>IF(OR(I4097=0,I4097=""),"unrated",VLOOKUP(I4097,MappingTables!$B$19:$C$31,2,FALSE))</f>
        <v>3</v>
      </c>
      <c r="K4097" s="72">
        <v>3459.7175821988332</v>
      </c>
      <c r="L4097" s="70">
        <v>0.032872099477375024</v>
      </c>
      <c r="M4097" s="71">
        <f>IF(L4097&lt;1,1,L4097)</f>
        <v>1</v>
      </c>
      <c r="N4097" s="70" t="s">
        <v>141</v>
      </c>
      <c r="O4097" s="71">
        <f>INDEX(DurClassMapping,MATCH(M4097,MappingTables!$D$4:$D$8,-1),1)</f>
        <v>1</v>
      </c>
      <c r="P4097" s="73">
        <f>IF(M4097=$A$1,1,$M4097-INDEX(MappingTables!$E$4:$E$8,MATCH(O4097,MappingTables!$B$4:$B$8,0)))</f>
        <v>1</v>
      </c>
      <c r="Q4097" s="71">
        <f>IF(B4097="",0,INDEX(ModelParameters!$D$6:$K$10,MATCH($O4097,ModelParameters!$B$6:$B$10,0),MATCH($J4097,ModelParameters!$D$5:$K$5,0)))</f>
        <v>0.025</v>
      </c>
      <c r="R4097" s="71">
        <f>IF(B4097="",0,INDEX(ModelParameters!$D$13:$K$17,MATCH($O4097,ModelParameters!$B$13:$B$17,0),MATCH($J4097,ModelParameters!$D$5:$K$5,0)))</f>
        <v>0</v>
      </c>
      <c r="S4097" s="160">
        <f>IF(B4097="",0,MIN(IF($N4097="Other Bond TM",ModelParameters!$N$21,1)*(P4097*Q4097+R4097),1))</f>
        <v>0.025</v>
      </c>
      <c r="T4097" s="85">
        <f>IF(B4097="",0,$S4097*$K4097)</f>
        <v>86.492939554970832</v>
      </c>
      <c r="U4097" s="85">
        <f>IF(B4097="",0,IF(OR(H4097=MappingTables!$C$34,H4097=MappingTables!$C$35),T4097,0))</f>
        <v>0</v>
      </c>
      <c r="V4097" s="85">
        <f>IF(ISNA(IF(AND(VLOOKUP(CONCATENATE($D4097,$G4097),CSRFinput!$B:$E,4,0)=0,OR(H4097=MappingTables!$C$34,H4097=MappingTables!$C$35)),1,VLOOKUP(CONCATENATE($D4097,$G4097),CSRFinput!$B:$E,4,0))),0,IF(AND(VLOOKUP(CONCATENATE($D4097,$G4097),CSRFinput!$B:$E,4,0)=0,OR(H4097=MappingTables!$C$34,H4097=MappingTables!$C$35)),1,VLOOKUP(CONCATENATE($D4097,$G4097),CSRFinput!$B:$E,4,0)))</f>
        <v>0.054776304963434752</v>
      </c>
      <c r="W4097" s="85">
        <f>IF(B4097="",0,+$T4097*$V4097)</f>
        <v>4.7377636342470104</v>
      </c>
      <c r="X4097" s="85">
        <f>IF(B4097="",0,IF(OR(H4097=MappingTables!$C$34,H4097=MappingTables!$C$35),W4097,0))</f>
        <v>0</v>
      </c>
    </row>
    <row r="4098" spans="2:24" s="0" customFormat="0" ht="15">
      <c r="B4098" s="69">
        <v>20993774</v>
      </c>
      <c r="C4098" s="70" t="s">
        <v>1530</v>
      </c>
      <c r="D4098" s="70" t="s">
        <v>1</v>
      </c>
      <c r="E4098" s="70" t="s">
        <v>1</v>
      </c>
      <c r="F4098" s="70"/>
      <c r="G4098" s="70" t="s">
        <v>61</v>
      </c>
      <c r="H4098" s="70" t="s">
        <v>178</v>
      </c>
      <c r="I4098" s="70" t="s">
        <v>181</v>
      </c>
      <c r="J4098" s="71">
        <f>IF(OR(I4098=0,I4098=""),"unrated",VLOOKUP(I4098,MappingTables!$B$19:$C$31,2,FALSE))</f>
        <v>3</v>
      </c>
      <c r="K4098" s="72">
        <v>2405.1233797207736</v>
      </c>
      <c r="L4098" s="70">
        <v>17.263933656061308</v>
      </c>
      <c r="M4098" s="71">
        <f>IF(L4098&lt;1,1,L4098)</f>
        <v>17.263933656061308</v>
      </c>
      <c r="N4098" s="70" t="s">
        <v>141</v>
      </c>
      <c r="O4098" s="71">
        <f>INDEX(DurClassMapping,MATCH(M4098,MappingTables!$D$4:$D$8,-1),1)</f>
        <v>4</v>
      </c>
      <c r="P4098" s="73">
        <f>IF(M4098=$A$1,1,$M4098-INDEX(MappingTables!$E$4:$E$8,MATCH(O4098,MappingTables!$B$4:$B$8,0)))</f>
        <v>2.263933656061308</v>
      </c>
      <c r="Q4098" s="71">
        <f>IF(B4098="",0,INDEX(ModelParameters!$D$6:$K$10,MATCH($O4098,ModelParameters!$B$6:$B$10,0),MATCH($J4098,ModelParameters!$D$5:$K$5,0)))</f>
        <v>0.01</v>
      </c>
      <c r="R4098" s="71">
        <f>IF(B4098="",0,INDEX(ModelParameters!$D$13:$K$17,MATCH($O4098,ModelParameters!$B$13:$B$17,0),MATCH($J4098,ModelParameters!$D$5:$K$5,0)))</f>
        <v>0.25</v>
      </c>
      <c r="S4098" s="160">
        <f>IF(B4098="",0,MIN(IF($N4098="Other Bond TM",ModelParameters!$N$21,1)*(P4098*Q4098+R4098),1))</f>
        <v>0.27263933656061308</v>
      </c>
      <c r="T4098" s="85">
        <f>IF(B4098="",0,$S4098*$K4098)</f>
        <v>655.7312425934912</v>
      </c>
      <c r="U4098" s="85">
        <f>IF(B4098="",0,IF(OR(H4098=MappingTables!$C$34,H4098=MappingTables!$C$35),T4098,0))</f>
        <v>0</v>
      </c>
      <c r="V4098" s="85">
        <f>IF(ISNA(IF(AND(VLOOKUP(CONCATENATE($D4098,$G4098),CSRFinput!$B:$E,4,0)=0,OR(H4098=MappingTables!$C$34,H4098=MappingTables!$C$35)),1,VLOOKUP(CONCATENATE($D4098,$G4098),CSRFinput!$B:$E,4,0))),0,IF(AND(VLOOKUP(CONCATENATE($D4098,$G4098),CSRFinput!$B:$E,4,0)=0,OR(H4098=MappingTables!$C$34,H4098=MappingTables!$C$35)),1,VLOOKUP(CONCATENATE($D4098,$G4098),CSRFinput!$B:$E,4,0)))</f>
        <v>0.054776304963434752</v>
      </c>
      <c r="W4098" s="85">
        <f>IF(B4098="",0,+$T4098*$V4098)</f>
        <v>35.918534518353092</v>
      </c>
      <c r="X4098" s="85">
        <f>IF(B4098="",0,IF(OR(H4098=MappingTables!$C$34,H4098=MappingTables!$C$35),W4098,0))</f>
        <v>0</v>
      </c>
    </row>
    <row r="4099" spans="2:24" s="0" customFormat="0" ht="15">
      <c r="B4099" s="69">
        <v>22896296</v>
      </c>
      <c r="C4099" s="70" t="s">
        <v>2292</v>
      </c>
      <c r="D4099" s="70" t="s">
        <v>1</v>
      </c>
      <c r="E4099" s="70" t="s">
        <v>1</v>
      </c>
      <c r="F4099" s="70"/>
      <c r="G4099" s="70" t="s">
        <v>61</v>
      </c>
      <c r="H4099" s="70" t="s">
        <v>178</v>
      </c>
      <c r="I4099" s="70" t="s">
        <v>188</v>
      </c>
      <c r="J4099" s="71">
        <f>IF(OR(I4099=0,I4099=""),"unrated",VLOOKUP(I4099,MappingTables!$B$19:$C$31,2,FALSE))</f>
        <v>2</v>
      </c>
      <c r="K4099" s="72">
        <v>5413.2028651793952</v>
      </c>
      <c r="L4099" s="70">
        <v>4.2036388959074376</v>
      </c>
      <c r="M4099" s="71">
        <f>IF(L4099&lt;1,1,L4099)</f>
        <v>4.2036388959074376</v>
      </c>
      <c r="N4099" s="70" t="s">
        <v>141</v>
      </c>
      <c r="O4099" s="71">
        <f>INDEX(DurClassMapping,MATCH(M4099,MappingTables!$D$4:$D$8,-1),1)</f>
        <v>1</v>
      </c>
      <c r="P4099" s="73">
        <f>IF(M4099=$A$1,1,$M4099-INDEX(MappingTables!$E$4:$E$8,MATCH(O4099,MappingTables!$B$4:$B$8,0)))</f>
        <v>4.2036388959074376</v>
      </c>
      <c r="Q4099" s="71">
        <f>IF(B4099="",0,INDEX(ModelParameters!$D$6:$K$10,MATCH($O4099,ModelParameters!$B$6:$B$10,0),MATCH($J4099,ModelParameters!$D$5:$K$5,0)))</f>
        <v>0.013999999999999998</v>
      </c>
      <c r="R4099" s="71">
        <f>IF(B4099="",0,INDEX(ModelParameters!$D$13:$K$17,MATCH($O4099,ModelParameters!$B$13:$B$17,0),MATCH($J4099,ModelParameters!$D$5:$K$5,0)))</f>
        <v>0</v>
      </c>
      <c r="S4099" s="160">
        <f>IF(B4099="",0,MIN(IF($N4099="Other Bond TM",ModelParameters!$N$21,1)*(P4099*Q4099+R4099),1))</f>
        <v>0.05885094454270412</v>
      </c>
      <c r="T4099" s="85">
        <f>IF(B4099="",0,$S4099*$K4099)</f>
        <v>318.57210161707964</v>
      </c>
      <c r="U4099" s="85">
        <f>IF(B4099="",0,IF(OR(H4099=MappingTables!$C$34,H4099=MappingTables!$C$35),T4099,0))</f>
        <v>0</v>
      </c>
      <c r="V4099" s="85">
        <f>IF(ISNA(IF(AND(VLOOKUP(CONCATENATE($D4099,$G4099),CSRFinput!$B:$E,4,0)=0,OR(H4099=MappingTables!$C$34,H4099=MappingTables!$C$35)),1,VLOOKUP(CONCATENATE($D4099,$G4099),CSRFinput!$B:$E,4,0))),0,IF(AND(VLOOKUP(CONCATENATE($D4099,$G4099),CSRFinput!$B:$E,4,0)=0,OR(H4099=MappingTables!$C$34,H4099=MappingTables!$C$35)),1,VLOOKUP(CONCATENATE($D4099,$G4099),CSRFinput!$B:$E,4,0)))</f>
        <v>0.054776304963434752</v>
      </c>
      <c r="W4099" s="85">
        <f>IF(B4099="",0,+$T4099*$V4099)</f>
        <v>17.45020259101948</v>
      </c>
      <c r="X4099" s="85">
        <f>IF(B4099="",0,IF(OR(H4099=MappingTables!$C$34,H4099=MappingTables!$C$35),W4099,0))</f>
        <v>0</v>
      </c>
    </row>
    <row r="4100" spans="2:24" s="0" customFormat="0" ht="15">
      <c r="B4100" s="69">
        <v>2043053</v>
      </c>
      <c r="C4100" s="70" t="s">
        <v>2417</v>
      </c>
      <c r="D4100" s="70" t="s">
        <v>1</v>
      </c>
      <c r="E4100" s="70" t="s">
        <v>1</v>
      </c>
      <c r="F4100" s="70"/>
      <c r="G4100" s="70" t="s">
        <v>61</v>
      </c>
      <c r="H4100" s="70" t="s">
        <v>178</v>
      </c>
      <c r="I4100" s="70" t="s">
        <v>179</v>
      </c>
      <c r="J4100" s="71">
        <f>IF(OR(I4100=0,I4100=""),"unrated",VLOOKUP(I4100,MappingTables!$B$19:$C$31,2,FALSE))</f>
        <v>4</v>
      </c>
      <c r="K4100" s="72">
        <v>130.43316942662588</v>
      </c>
      <c r="L4100" s="70">
        <v>11.427315614896866</v>
      </c>
      <c r="M4100" s="71">
        <f>IF(L4100&lt;1,1,L4100)</f>
        <v>11.427315614896866</v>
      </c>
      <c r="N4100" s="70" t="s">
        <v>141</v>
      </c>
      <c r="O4100" s="71">
        <f>INDEX(DurClassMapping,MATCH(M4100,MappingTables!$D$4:$D$8,-1),1)</f>
        <v>3</v>
      </c>
      <c r="P4100" s="73">
        <f>IF(M4100=$A$1,1,$M4100-INDEX(MappingTables!$E$4:$E$8,MATCH(O4100,MappingTables!$B$4:$B$8,0)))</f>
        <v>1.427315614896866</v>
      </c>
      <c r="Q4100" s="71">
        <f>IF(B4100="",0,INDEX(ModelParameters!$D$6:$K$10,MATCH($O4100,ModelParameters!$B$6:$B$10,0),MATCH($J4100,ModelParameters!$D$5:$K$5,0)))</f>
        <v>0.018000000000000002</v>
      </c>
      <c r="R4100" s="71">
        <f>IF(B4100="",0,INDEX(ModelParameters!$D$13:$K$17,MATCH($O4100,ModelParameters!$B$13:$B$17,0),MATCH($J4100,ModelParameters!$D$5:$K$5,0)))</f>
        <v>0.34999999999999996</v>
      </c>
      <c r="S4100" s="160">
        <f>IF(B4100="",0,MIN(IF($N4100="Other Bond TM",ModelParameters!$N$21,1)*(P4100*Q4100+R4100),1))</f>
        <v>0.37569168106814352</v>
      </c>
      <c r="T4100" s="85">
        <f>IF(B4100="",0,$S4100*$K4100)</f>
        <v>49.002656688935064</v>
      </c>
      <c r="U4100" s="85">
        <f>IF(B4100="",0,IF(OR(H4100=MappingTables!$C$34,H4100=MappingTables!$C$35),T4100,0))</f>
        <v>0</v>
      </c>
      <c r="V4100" s="85">
        <f>IF(ISNA(IF(AND(VLOOKUP(CONCATENATE($D4100,$G4100),CSRFinput!$B:$E,4,0)=0,OR(H4100=MappingTables!$C$34,H4100=MappingTables!$C$35)),1,VLOOKUP(CONCATENATE($D4100,$G4100),CSRFinput!$B:$E,4,0))),0,IF(AND(VLOOKUP(CONCATENATE($D4100,$G4100),CSRFinput!$B:$E,4,0)=0,OR(H4100=MappingTables!$C$34,H4100=MappingTables!$C$35)),1,VLOOKUP(CONCATENATE($D4100,$G4100),CSRFinput!$B:$E,4,0)))</f>
        <v>0.054776304963434752</v>
      </c>
      <c r="W4100" s="85">
        <f>IF(B4100="",0,+$T4100*$V4100)</f>
        <v>2.6841844668116028</v>
      </c>
      <c r="X4100" s="85">
        <f>IF(B4100="",0,IF(OR(H4100=MappingTables!$C$34,H4100=MappingTables!$C$35),W4100,0))</f>
        <v>0</v>
      </c>
    </row>
    <row r="4101" spans="2:24" s="0" customFormat="0" ht="15">
      <c r="B4101" s="69">
        <v>20868124</v>
      </c>
      <c r="C4101" s="70" t="s">
        <v>1930</v>
      </c>
      <c r="D4101" s="70" t="s">
        <v>1</v>
      </c>
      <c r="E4101" s="70" t="s">
        <v>1</v>
      </c>
      <c r="F4101" s="70"/>
      <c r="G4101" s="70" t="s">
        <v>61</v>
      </c>
      <c r="H4101" s="70" t="s">
        <v>178</v>
      </c>
      <c r="I4101" s="70" t="s">
        <v>188</v>
      </c>
      <c r="J4101" s="71">
        <f>IF(OR(I4101=0,I4101=""),"unrated",VLOOKUP(I4101,MappingTables!$B$19:$C$31,2,FALSE))</f>
        <v>2</v>
      </c>
      <c r="K4101" s="72">
        <v>451.40834002090128</v>
      </c>
      <c r="L4101" s="70">
        <v>1.5797931336982936</v>
      </c>
      <c r="M4101" s="71">
        <f>IF(L4101&lt;1,1,L4101)</f>
        <v>1.5797931336982936</v>
      </c>
      <c r="N4101" s="70" t="s">
        <v>141</v>
      </c>
      <c r="O4101" s="71">
        <f>INDEX(DurClassMapping,MATCH(M4101,MappingTables!$D$4:$D$8,-1),1)</f>
        <v>1</v>
      </c>
      <c r="P4101" s="73">
        <f>IF(M4101=$A$1,1,$M4101-INDEX(MappingTables!$E$4:$E$8,MATCH(O4101,MappingTables!$B$4:$B$8,0)))</f>
        <v>1.5797931336982936</v>
      </c>
      <c r="Q4101" s="71">
        <f>IF(B4101="",0,INDEX(ModelParameters!$D$6:$K$10,MATCH($O4101,ModelParameters!$B$6:$B$10,0),MATCH($J4101,ModelParameters!$D$5:$K$5,0)))</f>
        <v>0.013999999999999998</v>
      </c>
      <c r="R4101" s="71">
        <f>IF(B4101="",0,INDEX(ModelParameters!$D$13:$K$17,MATCH($O4101,ModelParameters!$B$13:$B$17,0),MATCH($J4101,ModelParameters!$D$5:$K$5,0)))</f>
        <v>0</v>
      </c>
      <c r="S4101" s="160">
        <f>IF(B4101="",0,MIN(IF($N4101="Other Bond TM",ModelParameters!$N$21,1)*(P4101*Q4101+R4101),1))</f>
        <v>0.022117103871776108</v>
      </c>
      <c r="T4101" s="85">
        <f>IF(B4101="",0,$S4101*$K4101)</f>
        <v>9.9838451448283008</v>
      </c>
      <c r="U4101" s="85">
        <f>IF(B4101="",0,IF(OR(H4101=MappingTables!$C$34,H4101=MappingTables!$C$35),T4101,0))</f>
        <v>0</v>
      </c>
      <c r="V4101" s="85">
        <f>IF(ISNA(IF(AND(VLOOKUP(CONCATENATE($D4101,$G4101),CSRFinput!$B:$E,4,0)=0,OR(H4101=MappingTables!$C$34,H4101=MappingTables!$C$35)),1,VLOOKUP(CONCATENATE($D4101,$G4101),CSRFinput!$B:$E,4,0))),0,IF(AND(VLOOKUP(CONCATENATE($D4101,$G4101),CSRFinput!$B:$E,4,0)=0,OR(H4101=MappingTables!$C$34,H4101=MappingTables!$C$35)),1,VLOOKUP(CONCATENATE($D4101,$G4101),CSRFinput!$B:$E,4,0)))</f>
        <v>0.054776304963434752</v>
      </c>
      <c r="W4101" s="85">
        <f>IF(B4101="",0,+$T4101*$V4101)</f>
        <v>0.5468781463608224</v>
      </c>
      <c r="X4101" s="85">
        <f>IF(B4101="",0,IF(OR(H4101=MappingTables!$C$34,H4101=MappingTables!$C$35),W4101,0))</f>
        <v>0</v>
      </c>
    </row>
    <row r="4102" spans="2:24" s="0" customFormat="0" ht="15">
      <c r="B4102" s="69">
        <v>12051925</v>
      </c>
      <c r="C4102" s="70" t="s">
        <v>1515</v>
      </c>
      <c r="D4102" s="70" t="s">
        <v>1</v>
      </c>
      <c r="E4102" s="70" t="s">
        <v>1</v>
      </c>
      <c r="F4102" s="70"/>
      <c r="G4102" s="70" t="s">
        <v>61</v>
      </c>
      <c r="H4102" s="70" t="s">
        <v>178</v>
      </c>
      <c r="I4102" s="70" t="s">
        <v>188</v>
      </c>
      <c r="J4102" s="71">
        <f>IF(OR(I4102=0,I4102=""),"unrated",VLOOKUP(I4102,MappingTables!$B$19:$C$31,2,FALSE))</f>
        <v>2</v>
      </c>
      <c r="K4102" s="72">
        <v>15.080603268898312</v>
      </c>
      <c r="L4102" s="70">
        <v>0.43835507925448704</v>
      </c>
      <c r="M4102" s="71">
        <f>IF(L4102&lt;1,1,L4102)</f>
        <v>1</v>
      </c>
      <c r="N4102" s="70" t="s">
        <v>141</v>
      </c>
      <c r="O4102" s="71">
        <f>INDEX(DurClassMapping,MATCH(M4102,MappingTables!$D$4:$D$8,-1),1)</f>
        <v>1</v>
      </c>
      <c r="P4102" s="73">
        <f>IF(M4102=$A$1,1,$M4102-INDEX(MappingTables!$E$4:$E$8,MATCH(O4102,MappingTables!$B$4:$B$8,0)))</f>
        <v>1</v>
      </c>
      <c r="Q4102" s="71">
        <f>IF(B4102="",0,INDEX(ModelParameters!$D$6:$K$10,MATCH($O4102,ModelParameters!$B$6:$B$10,0),MATCH($J4102,ModelParameters!$D$5:$K$5,0)))</f>
        <v>0.013999999999999998</v>
      </c>
      <c r="R4102" s="71">
        <f>IF(B4102="",0,INDEX(ModelParameters!$D$13:$K$17,MATCH($O4102,ModelParameters!$B$13:$B$17,0),MATCH($J4102,ModelParameters!$D$5:$K$5,0)))</f>
        <v>0</v>
      </c>
      <c r="S4102" s="160">
        <f>IF(B4102="",0,MIN(IF($N4102="Other Bond TM",ModelParameters!$N$21,1)*(P4102*Q4102+R4102),1))</f>
        <v>0.013999999999999998</v>
      </c>
      <c r="T4102" s="85">
        <f>IF(B4102="",0,$S4102*$K4102)</f>
        <v>0.21112844576457636</v>
      </c>
      <c r="U4102" s="85">
        <f>IF(B4102="",0,IF(OR(H4102=MappingTables!$C$34,H4102=MappingTables!$C$35),T4102,0))</f>
        <v>0</v>
      </c>
      <c r="V4102" s="85">
        <f>IF(ISNA(IF(AND(VLOOKUP(CONCATENATE($D4102,$G4102),CSRFinput!$B:$E,4,0)=0,OR(H4102=MappingTables!$C$34,H4102=MappingTables!$C$35)),1,VLOOKUP(CONCATENATE($D4102,$G4102),CSRFinput!$B:$E,4,0))),0,IF(AND(VLOOKUP(CONCATENATE($D4102,$G4102),CSRFinput!$B:$E,4,0)=0,OR(H4102=MappingTables!$C$34,H4102=MappingTables!$C$35)),1,VLOOKUP(CONCATENATE($D4102,$G4102),CSRFinput!$B:$E,4,0)))</f>
        <v>0.054776304963434752</v>
      </c>
      <c r="W4102" s="85">
        <f>IF(B4102="",0,+$T4102*$V4102)</f>
        <v>0.01156483613165643</v>
      </c>
      <c r="X4102" s="85">
        <f>IF(B4102="",0,IF(OR(H4102=MappingTables!$C$34,H4102=MappingTables!$C$35),W4102,0))</f>
        <v>0</v>
      </c>
    </row>
    <row r="4103" spans="2:24" s="0" customFormat="0" ht="15">
      <c r="B4103" s="69">
        <v>4162673</v>
      </c>
      <c r="C4103" s="70" t="s">
        <v>2375</v>
      </c>
      <c r="D4103" s="70" t="s">
        <v>1</v>
      </c>
      <c r="E4103" s="70" t="s">
        <v>1</v>
      </c>
      <c r="F4103" s="70"/>
      <c r="G4103" s="70" t="s">
        <v>61</v>
      </c>
      <c r="H4103" s="70" t="s">
        <v>178</v>
      </c>
      <c r="I4103" s="70" t="s">
        <v>181</v>
      </c>
      <c r="J4103" s="71">
        <f>IF(OR(I4103=0,I4103=""),"unrated",VLOOKUP(I4103,MappingTables!$B$19:$C$31,2,FALSE))</f>
        <v>3</v>
      </c>
      <c r="K4103" s="72">
        <v>1220.253426094092</v>
      </c>
      <c r="L4103" s="70">
        <v>0.95933483834355648</v>
      </c>
      <c r="M4103" s="71">
        <f>IF(L4103&lt;1,1,L4103)</f>
        <v>1</v>
      </c>
      <c r="N4103" s="70" t="s">
        <v>141</v>
      </c>
      <c r="O4103" s="71">
        <f>INDEX(DurClassMapping,MATCH(M4103,MappingTables!$D$4:$D$8,-1),1)</f>
        <v>1</v>
      </c>
      <c r="P4103" s="73">
        <f>IF(M4103=$A$1,1,$M4103-INDEX(MappingTables!$E$4:$E$8,MATCH(O4103,MappingTables!$B$4:$B$8,0)))</f>
        <v>1</v>
      </c>
      <c r="Q4103" s="71">
        <f>IF(B4103="",0,INDEX(ModelParameters!$D$6:$K$10,MATCH($O4103,ModelParameters!$B$6:$B$10,0),MATCH($J4103,ModelParameters!$D$5:$K$5,0)))</f>
        <v>0.025</v>
      </c>
      <c r="R4103" s="71">
        <f>IF(B4103="",0,INDEX(ModelParameters!$D$13:$K$17,MATCH($O4103,ModelParameters!$B$13:$B$17,0),MATCH($J4103,ModelParameters!$D$5:$K$5,0)))</f>
        <v>0</v>
      </c>
      <c r="S4103" s="160">
        <f>IF(B4103="",0,MIN(IF($N4103="Other Bond TM",ModelParameters!$N$21,1)*(P4103*Q4103+R4103),1))</f>
        <v>0.025</v>
      </c>
      <c r="T4103" s="85">
        <f>IF(B4103="",0,$S4103*$K4103)</f>
        <v>30.5063356523523</v>
      </c>
      <c r="U4103" s="85">
        <f>IF(B4103="",0,IF(OR(H4103=MappingTables!$C$34,H4103=MappingTables!$C$35),T4103,0))</f>
        <v>0</v>
      </c>
      <c r="V4103" s="85">
        <f>IF(ISNA(IF(AND(VLOOKUP(CONCATENATE($D4103,$G4103),CSRFinput!$B:$E,4,0)=0,OR(H4103=MappingTables!$C$34,H4103=MappingTables!$C$35)),1,VLOOKUP(CONCATENATE($D4103,$G4103),CSRFinput!$B:$E,4,0))),0,IF(AND(VLOOKUP(CONCATENATE($D4103,$G4103),CSRFinput!$B:$E,4,0)=0,OR(H4103=MappingTables!$C$34,H4103=MappingTables!$C$35)),1,VLOOKUP(CONCATENATE($D4103,$G4103),CSRFinput!$B:$E,4,0)))</f>
        <v>0.054776304963434752</v>
      </c>
      <c r="W4103" s="85">
        <f>IF(B4103="",0,+$T4103*$V4103)</f>
        <v>1.671024345010152</v>
      </c>
      <c r="X4103" s="85">
        <f>IF(B4103="",0,IF(OR(H4103=MappingTables!$C$34,H4103=MappingTables!$C$35),W4103,0))</f>
        <v>0</v>
      </c>
    </row>
    <row r="4104" spans="2:24" s="0" customFormat="0" ht="15">
      <c r="B4104" s="69" t="s">
        <v>2423</v>
      </c>
      <c r="C4104" s="70" t="s">
        <v>2424</v>
      </c>
      <c r="D4104" s="70" t="s">
        <v>1</v>
      </c>
      <c r="E4104" s="70" t="s">
        <v>1</v>
      </c>
      <c r="F4104" s="70"/>
      <c r="G4104" s="70" t="s">
        <v>61</v>
      </c>
      <c r="H4104" s="70" t="s">
        <v>178</v>
      </c>
      <c r="I4104" s="70" t="s">
        <v>198</v>
      </c>
      <c r="J4104" s="71" t="str">
        <f>IF(OR(I4104=0,I4104=""),"unrated",VLOOKUP(I4104,MappingTables!$B$19:$C$31,2,FALSE))</f>
        <v>unrated</v>
      </c>
      <c r="K4104" s="72">
        <v>3682.452632384364</v>
      </c>
      <c r="L4104" s="70">
        <v>0.087668301608722272</v>
      </c>
      <c r="M4104" s="71">
        <f>IF(L4104&lt;1,1,L4104)</f>
        <v>1</v>
      </c>
      <c r="N4104" s="70" t="s">
        <v>141</v>
      </c>
      <c r="O4104" s="71">
        <f>INDEX(DurClassMapping,MATCH(M4104,MappingTables!$D$4:$D$8,-1),1)</f>
        <v>1</v>
      </c>
      <c r="P4104" s="73">
        <f>IF(M4104=$A$1,1,$M4104-INDEX(MappingTables!$E$4:$E$8,MATCH(O4104,MappingTables!$B$4:$B$8,0)))</f>
        <v>1</v>
      </c>
      <c r="Q4104" s="71">
        <f>IF(B4104="",0,INDEX(ModelParameters!$D$6:$K$10,MATCH($O4104,ModelParameters!$B$6:$B$10,0),MATCH($J4104,ModelParameters!$D$5:$K$5,0)))</f>
        <v>0.03</v>
      </c>
      <c r="R4104" s="71">
        <f>IF(B4104="",0,INDEX(ModelParameters!$D$13:$K$17,MATCH($O4104,ModelParameters!$B$13:$B$17,0),MATCH($J4104,ModelParameters!$D$5:$K$5,0)))</f>
        <v>0</v>
      </c>
      <c r="S4104" s="160">
        <f>IF(B4104="",0,MIN(IF($N4104="Other Bond TM",ModelParameters!$N$21,1)*(P4104*Q4104+R4104),1))</f>
        <v>0.03</v>
      </c>
      <c r="T4104" s="85">
        <f>IF(B4104="",0,$S4104*$K4104)</f>
        <v>110.47357897153092</v>
      </c>
      <c r="U4104" s="85">
        <f>IF(B4104="",0,IF(OR(H4104=MappingTables!$C$34,H4104=MappingTables!$C$35),T4104,0))</f>
        <v>0</v>
      </c>
      <c r="V4104" s="85">
        <f>IF(ISNA(IF(AND(VLOOKUP(CONCATENATE($D4104,$G4104),CSRFinput!$B:$E,4,0)=0,OR(H4104=MappingTables!$C$34,H4104=MappingTables!$C$35)),1,VLOOKUP(CONCATENATE($D4104,$G4104),CSRFinput!$B:$E,4,0))),0,IF(AND(VLOOKUP(CONCATENATE($D4104,$G4104),CSRFinput!$B:$E,4,0)=0,OR(H4104=MappingTables!$C$34,H4104=MappingTables!$C$35)),1,VLOOKUP(CONCATENATE($D4104,$G4104),CSRFinput!$B:$E,4,0)))</f>
        <v>0.054776304963434752</v>
      </c>
      <c r="W4104" s="85">
        <f>IF(B4104="",0,+$T4104*$V4104)</f>
        <v>6.0513344521466704</v>
      </c>
      <c r="X4104" s="85">
        <f>IF(B4104="",0,IF(OR(H4104=MappingTables!$C$34,H4104=MappingTables!$C$35),W4104,0))</f>
        <v>0</v>
      </c>
    </row>
    <row r="4105" spans="2:24" s="0" customFormat="0" ht="15">
      <c r="B4105" s="69" t="s">
        <v>305</v>
      </c>
      <c r="C4105" s="70" t="s">
        <v>306</v>
      </c>
      <c r="D4105" s="70" t="s">
        <v>1</v>
      </c>
      <c r="E4105" s="70" t="s">
        <v>1</v>
      </c>
      <c r="F4105" s="70"/>
      <c r="G4105" s="70" t="s">
        <v>61</v>
      </c>
      <c r="H4105" s="70" t="s">
        <v>178</v>
      </c>
      <c r="I4105" s="70" t="s">
        <v>184</v>
      </c>
      <c r="J4105" s="71">
        <f>IF(OR(I4105=0,I4105=""),"unrated",VLOOKUP(I4105,MappingTables!$B$19:$C$31,2,FALSE))</f>
        <v>5</v>
      </c>
      <c r="K4105" s="72">
        <v>303.31305286231072</v>
      </c>
      <c r="L4105" s="70">
        <v>4.4873198007662792</v>
      </c>
      <c r="M4105" s="71">
        <f>IF(L4105&lt;1,1,L4105)</f>
        <v>4.4873198007662792</v>
      </c>
      <c r="N4105" s="70" t="s">
        <v>141</v>
      </c>
      <c r="O4105" s="71">
        <f>INDEX(DurClassMapping,MATCH(M4105,MappingTables!$D$4:$D$8,-1),1)</f>
        <v>1</v>
      </c>
      <c r="P4105" s="73">
        <f>IF(M4105=$A$1,1,$M4105-INDEX(MappingTables!$E$4:$E$8,MATCH(O4105,MappingTables!$B$4:$B$8,0)))</f>
        <v>4.4873198007662792</v>
      </c>
      <c r="Q4105" s="71">
        <f>IF(B4105="",0,INDEX(ModelParameters!$D$6:$K$10,MATCH($O4105,ModelParameters!$B$6:$B$10,0),MATCH($J4105,ModelParameters!$D$5:$K$5,0)))</f>
        <v>0.075</v>
      </c>
      <c r="R4105" s="71">
        <f>IF(B4105="",0,INDEX(ModelParameters!$D$13:$K$17,MATCH($O4105,ModelParameters!$B$13:$B$17,0),MATCH($J4105,ModelParameters!$D$5:$K$5,0)))</f>
        <v>0</v>
      </c>
      <c r="S4105" s="160">
        <f>IF(B4105="",0,MIN(IF($N4105="Other Bond TM",ModelParameters!$N$21,1)*(P4105*Q4105+R4105),1))</f>
        <v>0.33654898505747092</v>
      </c>
      <c r="T4105" s="85">
        <f>IF(B4105="",0,$S4105*$K4105)</f>
        <v>102.0797000954937</v>
      </c>
      <c r="U4105" s="85">
        <f>IF(B4105="",0,IF(OR(H4105=MappingTables!$C$34,H4105=MappingTables!$C$35),T4105,0))</f>
        <v>0</v>
      </c>
      <c r="V4105" s="85">
        <f>IF(ISNA(IF(AND(VLOOKUP(CONCATENATE($D4105,$G4105),CSRFinput!$B:$E,4,0)=0,OR(H4105=MappingTables!$C$34,H4105=MappingTables!$C$35)),1,VLOOKUP(CONCATENATE($D4105,$G4105),CSRFinput!$B:$E,4,0))),0,IF(AND(VLOOKUP(CONCATENATE($D4105,$G4105),CSRFinput!$B:$E,4,0)=0,OR(H4105=MappingTables!$C$34,H4105=MappingTables!$C$35)),1,VLOOKUP(CONCATENATE($D4105,$G4105),CSRFinput!$B:$E,4,0)))</f>
        <v>0.054776304963434752</v>
      </c>
      <c r="W4105" s="85">
        <f>IF(B4105="",0,+$T4105*$V4105)</f>
        <v>5.5915487830067232</v>
      </c>
      <c r="X4105" s="85">
        <f>IF(B4105="",0,IF(OR(H4105=MappingTables!$C$34,H4105=MappingTables!$C$35),W4105,0))</f>
        <v>0</v>
      </c>
    </row>
    <row r="4106" spans="2:24" s="0" customFormat="0" ht="15">
      <c r="B4106" s="69">
        <v>18916366</v>
      </c>
      <c r="C4106" s="70" t="s">
        <v>1031</v>
      </c>
      <c r="D4106" s="70" t="s">
        <v>1</v>
      </c>
      <c r="E4106" s="70" t="s">
        <v>1</v>
      </c>
      <c r="F4106" s="70"/>
      <c r="G4106" s="70" t="s">
        <v>61</v>
      </c>
      <c r="H4106" s="70" t="s">
        <v>178</v>
      </c>
      <c r="I4106" s="70" t="s">
        <v>179</v>
      </c>
      <c r="J4106" s="71">
        <f>IF(OR(I4106=0,I4106=""),"unrated",VLOOKUP(I4106,MappingTables!$B$19:$C$31,2,FALSE))</f>
        <v>4</v>
      </c>
      <c r="K4106" s="72">
        <v>5043.3643704834256</v>
      </c>
      <c r="L4106" s="70">
        <v>6.8754345383071448</v>
      </c>
      <c r="M4106" s="71">
        <f>IF(L4106&lt;1,1,L4106)</f>
        <v>6.8754345383071448</v>
      </c>
      <c r="N4106" s="70" t="s">
        <v>141</v>
      </c>
      <c r="O4106" s="71">
        <f>INDEX(DurClassMapping,MATCH(M4106,MappingTables!$D$4:$D$8,-1),1)</f>
        <v>2</v>
      </c>
      <c r="P4106" s="73">
        <f>IF(M4106=$A$1,1,$M4106-INDEX(MappingTables!$E$4:$E$8,MATCH(O4106,MappingTables!$B$4:$B$8,0)))</f>
        <v>1.8754345383071448</v>
      </c>
      <c r="Q4106" s="71">
        <f>IF(B4106="",0,INDEX(ModelParameters!$D$6:$K$10,MATCH($O4106,ModelParameters!$B$6:$B$10,0),MATCH($J4106,ModelParameters!$D$5:$K$5,0)))</f>
        <v>0.025</v>
      </c>
      <c r="R4106" s="71">
        <f>IF(B4106="",0,INDEX(ModelParameters!$D$13:$K$17,MATCH($O4106,ModelParameters!$B$13:$B$17,0),MATCH($J4106,ModelParameters!$D$5:$K$5,0)))</f>
        <v>0.225</v>
      </c>
      <c r="S4106" s="160">
        <f>IF(B4106="",0,MIN(IF($N4106="Other Bond TM",ModelParameters!$N$21,1)*(P4106*Q4106+R4106),1))</f>
        <v>0.27188586345767864</v>
      </c>
      <c r="T4106" s="85">
        <f>IF(B4106="",0,$S4106*$K4106)</f>
        <v>1371.219476600578</v>
      </c>
      <c r="U4106" s="85">
        <f>IF(B4106="",0,IF(OR(H4106=MappingTables!$C$34,H4106=MappingTables!$C$35),T4106,0))</f>
        <v>0</v>
      </c>
      <c r="V4106" s="85">
        <f>IF(ISNA(IF(AND(VLOOKUP(CONCATENATE($D4106,$G4106),CSRFinput!$B:$E,4,0)=0,OR(H4106=MappingTables!$C$34,H4106=MappingTables!$C$35)),1,VLOOKUP(CONCATENATE($D4106,$G4106),CSRFinput!$B:$E,4,0))),0,IF(AND(VLOOKUP(CONCATENATE($D4106,$G4106),CSRFinput!$B:$E,4,0)=0,OR(H4106=MappingTables!$C$34,H4106=MappingTables!$C$35)),1,VLOOKUP(CONCATENATE($D4106,$G4106),CSRFinput!$B:$E,4,0)))</f>
        <v>0.054776304963434752</v>
      </c>
      <c r="W4106" s="85">
        <f>IF(B4106="",0,+$T4106*$V4106)</f>
        <v>75.110336222074656</v>
      </c>
      <c r="X4106" s="85">
        <f>IF(B4106="",0,IF(OR(H4106=MappingTables!$C$34,H4106=MappingTables!$C$35),W4106,0))</f>
        <v>0</v>
      </c>
    </row>
    <row r="4107" spans="2:24" s="0" customFormat="0" ht="15">
      <c r="B4107" s="69" t="s">
        <v>996</v>
      </c>
      <c r="C4107" s="70" t="s">
        <v>997</v>
      </c>
      <c r="D4107" s="70" t="s">
        <v>1</v>
      </c>
      <c r="E4107" s="70" t="s">
        <v>1</v>
      </c>
      <c r="F4107" s="70"/>
      <c r="G4107" s="70" t="s">
        <v>61</v>
      </c>
      <c r="H4107" s="70" t="s">
        <v>178</v>
      </c>
      <c r="I4107" s="70" t="s">
        <v>513</v>
      </c>
      <c r="J4107" s="71">
        <f>IF(OR(I4107=0,I4107=""),"unrated",VLOOKUP(I4107,MappingTables!$B$19:$C$31,2,FALSE))</f>
        <v>6</v>
      </c>
      <c r="K4107" s="72">
        <v>610.60738170885144</v>
      </c>
      <c r="L4107" s="70">
        <v>1.5258426096946794</v>
      </c>
      <c r="M4107" s="71">
        <f>IF(L4107&lt;1,1,L4107)</f>
        <v>1.5258426096946794</v>
      </c>
      <c r="N4107" s="70" t="s">
        <v>141</v>
      </c>
      <c r="O4107" s="71">
        <f>INDEX(DurClassMapping,MATCH(M4107,MappingTables!$D$4:$D$8,-1),1)</f>
        <v>1</v>
      </c>
      <c r="P4107" s="73">
        <f>IF(M4107=$A$1,1,$M4107-INDEX(MappingTables!$E$4:$E$8,MATCH(O4107,MappingTables!$B$4:$B$8,0)))</f>
        <v>1.5258426096946794</v>
      </c>
      <c r="Q4107" s="71">
        <f>IF(B4107="",0,INDEX(ModelParameters!$D$6:$K$10,MATCH($O4107,ModelParameters!$B$6:$B$10,0),MATCH($J4107,ModelParameters!$D$5:$K$5,0)))</f>
        <v>0.075</v>
      </c>
      <c r="R4107" s="71">
        <f>IF(B4107="",0,INDEX(ModelParameters!$D$13:$K$17,MATCH($O4107,ModelParameters!$B$13:$B$17,0),MATCH($J4107,ModelParameters!$D$5:$K$5,0)))</f>
        <v>0</v>
      </c>
      <c r="S4107" s="160">
        <f>IF(B4107="",0,MIN(IF($N4107="Other Bond TM",ModelParameters!$N$21,1)*(P4107*Q4107+R4107),1))</f>
        <v>0.11443819572710094</v>
      </c>
      <c r="T4107" s="85">
        <f>IF(B4107="",0,$S4107*$K4107)</f>
        <v>69.876807060410176</v>
      </c>
      <c r="U4107" s="85">
        <f>IF(B4107="",0,IF(OR(H4107=MappingTables!$C$34,H4107=MappingTables!$C$35),T4107,0))</f>
        <v>0</v>
      </c>
      <c r="V4107" s="85">
        <f>IF(ISNA(IF(AND(VLOOKUP(CONCATENATE($D4107,$G4107),CSRFinput!$B:$E,4,0)=0,OR(H4107=MappingTables!$C$34,H4107=MappingTables!$C$35)),1,VLOOKUP(CONCATENATE($D4107,$G4107),CSRFinput!$B:$E,4,0))),0,IF(AND(VLOOKUP(CONCATENATE($D4107,$G4107),CSRFinput!$B:$E,4,0)=0,OR(H4107=MappingTables!$C$34,H4107=MappingTables!$C$35)),1,VLOOKUP(CONCATENATE($D4107,$G4107),CSRFinput!$B:$E,4,0)))</f>
        <v>0.054776304963434752</v>
      </c>
      <c r="W4107" s="85">
        <f>IF(B4107="",0,+$T4107*$V4107)</f>
        <v>3.8275932934121184</v>
      </c>
      <c r="X4107" s="85">
        <f>IF(B4107="",0,IF(OR(H4107=MappingTables!$C$34,H4107=MappingTables!$C$35),W4107,0))</f>
        <v>0</v>
      </c>
    </row>
    <row r="4108" spans="2:24" s="0" customFormat="0" ht="15">
      <c r="B4108" s="69">
        <v>22282639</v>
      </c>
      <c r="C4108" s="70" t="s">
        <v>2998</v>
      </c>
      <c r="D4108" s="70" t="s">
        <v>1</v>
      </c>
      <c r="E4108" s="70" t="s">
        <v>1</v>
      </c>
      <c r="F4108" s="70"/>
      <c r="G4108" s="70" t="s">
        <v>61</v>
      </c>
      <c r="H4108" s="70" t="s">
        <v>178</v>
      </c>
      <c r="I4108" s="70" t="s">
        <v>181</v>
      </c>
      <c r="J4108" s="71">
        <f>IF(OR(I4108=0,I4108=""),"unrated",VLOOKUP(I4108,MappingTables!$B$19:$C$31,2,FALSE))</f>
        <v>3</v>
      </c>
      <c r="K4108" s="72">
        <v>5259.6813695922712</v>
      </c>
      <c r="L4108" s="70">
        <v>0.13972706796459292</v>
      </c>
      <c r="M4108" s="71">
        <f>IF(L4108&lt;1,1,L4108)</f>
        <v>1</v>
      </c>
      <c r="N4108" s="70" t="s">
        <v>141</v>
      </c>
      <c r="O4108" s="71">
        <f>INDEX(DurClassMapping,MATCH(M4108,MappingTables!$D$4:$D$8,-1),1)</f>
        <v>1</v>
      </c>
      <c r="P4108" s="73">
        <f>IF(M4108=$A$1,1,$M4108-INDEX(MappingTables!$E$4:$E$8,MATCH(O4108,MappingTables!$B$4:$B$8,0)))</f>
        <v>1</v>
      </c>
      <c r="Q4108" s="71">
        <f>IF(B4108="",0,INDEX(ModelParameters!$D$6:$K$10,MATCH($O4108,ModelParameters!$B$6:$B$10,0),MATCH($J4108,ModelParameters!$D$5:$K$5,0)))</f>
        <v>0.025</v>
      </c>
      <c r="R4108" s="71">
        <f>IF(B4108="",0,INDEX(ModelParameters!$D$13:$K$17,MATCH($O4108,ModelParameters!$B$13:$B$17,0),MATCH($J4108,ModelParameters!$D$5:$K$5,0)))</f>
        <v>0</v>
      </c>
      <c r="S4108" s="160">
        <f>IF(B4108="",0,MIN(IF($N4108="Other Bond TM",ModelParameters!$N$21,1)*(P4108*Q4108+R4108),1))</f>
        <v>0.025</v>
      </c>
      <c r="T4108" s="85">
        <f>IF(B4108="",0,$S4108*$K4108)</f>
        <v>131.49203423980678</v>
      </c>
      <c r="U4108" s="85">
        <f>IF(B4108="",0,IF(OR(H4108=MappingTables!$C$34,H4108=MappingTables!$C$35),T4108,0))</f>
        <v>0</v>
      </c>
      <c r="V4108" s="85">
        <f>IF(ISNA(IF(AND(VLOOKUP(CONCATENATE($D4108,$G4108),CSRFinput!$B:$E,4,0)=0,OR(H4108=MappingTables!$C$34,H4108=MappingTables!$C$35)),1,VLOOKUP(CONCATENATE($D4108,$G4108),CSRFinput!$B:$E,4,0))),0,IF(AND(VLOOKUP(CONCATENATE($D4108,$G4108),CSRFinput!$B:$E,4,0)=0,OR(H4108=MappingTables!$C$34,H4108=MappingTables!$C$35)),1,VLOOKUP(CONCATENATE($D4108,$G4108),CSRFinput!$B:$E,4,0)))</f>
        <v>0.054776304963434752</v>
      </c>
      <c r="W4108" s="85">
        <f>IF(B4108="",0,+$T4108*$V4108)</f>
        <v>7.20264776778206</v>
      </c>
      <c r="X4108" s="85">
        <f>IF(B4108="",0,IF(OR(H4108=MappingTables!$C$34,H4108=MappingTables!$C$35),W4108,0))</f>
        <v>0</v>
      </c>
    </row>
    <row r="4109" spans="2:24" s="0" customFormat="0" ht="15">
      <c r="B4109" s="69">
        <v>18916353</v>
      </c>
      <c r="C4109" s="70" t="s">
        <v>795</v>
      </c>
      <c r="D4109" s="70" t="s">
        <v>1</v>
      </c>
      <c r="E4109" s="70" t="s">
        <v>1</v>
      </c>
      <c r="F4109" s="70"/>
      <c r="G4109" s="70" t="s">
        <v>61</v>
      </c>
      <c r="H4109" s="70" t="s">
        <v>178</v>
      </c>
      <c r="I4109" s="70" t="s">
        <v>179</v>
      </c>
      <c r="J4109" s="71">
        <f>IF(OR(I4109=0,I4109=""),"unrated",VLOOKUP(I4109,MappingTables!$B$19:$C$31,2,FALSE))</f>
        <v>4</v>
      </c>
      <c r="K4109" s="72">
        <v>150.52217150907966</v>
      </c>
      <c r="L4109" s="70">
        <v>6.8751929445819808</v>
      </c>
      <c r="M4109" s="71">
        <f>IF(L4109&lt;1,1,L4109)</f>
        <v>6.8751929445819808</v>
      </c>
      <c r="N4109" s="70" t="s">
        <v>141</v>
      </c>
      <c r="O4109" s="71">
        <f>INDEX(DurClassMapping,MATCH(M4109,MappingTables!$D$4:$D$8,-1),1)</f>
        <v>2</v>
      </c>
      <c r="P4109" s="73">
        <f>IF(M4109=$A$1,1,$M4109-INDEX(MappingTables!$E$4:$E$8,MATCH(O4109,MappingTables!$B$4:$B$8,0)))</f>
        <v>1.8751929445819808</v>
      </c>
      <c r="Q4109" s="71">
        <f>IF(B4109="",0,INDEX(ModelParameters!$D$6:$K$10,MATCH($O4109,ModelParameters!$B$6:$B$10,0),MATCH($J4109,ModelParameters!$D$5:$K$5,0)))</f>
        <v>0.025</v>
      </c>
      <c r="R4109" s="71">
        <f>IF(B4109="",0,INDEX(ModelParameters!$D$13:$K$17,MATCH($O4109,ModelParameters!$B$13:$B$17,0),MATCH($J4109,ModelParameters!$D$5:$K$5,0)))</f>
        <v>0.225</v>
      </c>
      <c r="S4109" s="160">
        <f>IF(B4109="",0,MIN(IF($N4109="Other Bond TM",ModelParameters!$N$21,1)*(P4109*Q4109+R4109),1))</f>
        <v>0.27187982361454956</v>
      </c>
      <c r="T4109" s="85">
        <f>IF(B4109="",0,$S4109*$K4109)</f>
        <v>40.92394143996756</v>
      </c>
      <c r="U4109" s="85">
        <f>IF(B4109="",0,IF(OR(H4109=MappingTables!$C$34,H4109=MappingTables!$C$35),T4109,0))</f>
        <v>0</v>
      </c>
      <c r="V4109" s="85">
        <f>IF(ISNA(IF(AND(VLOOKUP(CONCATENATE($D4109,$G4109),CSRFinput!$B:$E,4,0)=0,OR(H4109=MappingTables!$C$34,H4109=MappingTables!$C$35)),1,VLOOKUP(CONCATENATE($D4109,$G4109),CSRFinput!$B:$E,4,0))),0,IF(AND(VLOOKUP(CONCATENATE($D4109,$G4109),CSRFinput!$B:$E,4,0)=0,OR(H4109=MappingTables!$C$34,H4109=MappingTables!$C$35)),1,VLOOKUP(CONCATENATE($D4109,$G4109),CSRFinput!$B:$E,4,0)))</f>
        <v>0.054776304963434752</v>
      </c>
      <c r="W4109" s="85">
        <f>IF(B4109="",0,+$T4109*$V4109)</f>
        <v>2.241662296621408</v>
      </c>
      <c r="X4109" s="85">
        <f>IF(B4109="",0,IF(OR(H4109=MappingTables!$C$34,H4109=MappingTables!$C$35),W4109,0))</f>
        <v>0</v>
      </c>
    </row>
    <row r="4110" spans="2:24" s="0" customFormat="0" ht="15">
      <c r="B4110" s="69" t="s">
        <v>2999</v>
      </c>
      <c r="C4110" s="70" t="s">
        <v>3000</v>
      </c>
      <c r="D4110" s="70" t="s">
        <v>1</v>
      </c>
      <c r="E4110" s="70" t="s">
        <v>1</v>
      </c>
      <c r="F4110" s="70"/>
      <c r="G4110" s="70" t="s">
        <v>61</v>
      </c>
      <c r="H4110" s="70" t="s">
        <v>178</v>
      </c>
      <c r="I4110" s="70" t="s">
        <v>181</v>
      </c>
      <c r="J4110" s="71">
        <f>IF(OR(I4110=0,I4110=""),"unrated",VLOOKUP(I4110,MappingTables!$B$19:$C$31,2,FALSE))</f>
        <v>3</v>
      </c>
      <c r="K4110" s="72">
        <v>1136.8896460138474</v>
      </c>
      <c r="L4110" s="70">
        <v>4.5551984528097656</v>
      </c>
      <c r="M4110" s="71">
        <f>IF(L4110&lt;1,1,L4110)</f>
        <v>4.5551984528097656</v>
      </c>
      <c r="N4110" s="70" t="s">
        <v>141</v>
      </c>
      <c r="O4110" s="71">
        <f>INDEX(DurClassMapping,MATCH(M4110,MappingTables!$D$4:$D$8,-1),1)</f>
        <v>1</v>
      </c>
      <c r="P4110" s="73">
        <f>IF(M4110=$A$1,1,$M4110-INDEX(MappingTables!$E$4:$E$8,MATCH(O4110,MappingTables!$B$4:$B$8,0)))</f>
        <v>4.5551984528097656</v>
      </c>
      <c r="Q4110" s="71">
        <f>IF(B4110="",0,INDEX(ModelParameters!$D$6:$K$10,MATCH($O4110,ModelParameters!$B$6:$B$10,0),MATCH($J4110,ModelParameters!$D$5:$K$5,0)))</f>
        <v>0.025</v>
      </c>
      <c r="R4110" s="71">
        <f>IF(B4110="",0,INDEX(ModelParameters!$D$13:$K$17,MATCH($O4110,ModelParameters!$B$13:$B$17,0),MATCH($J4110,ModelParameters!$D$5:$K$5,0)))</f>
        <v>0</v>
      </c>
      <c r="S4110" s="160">
        <f>IF(B4110="",0,MIN(IF($N4110="Other Bond TM",ModelParameters!$N$21,1)*(P4110*Q4110+R4110),1))</f>
        <v>0.11387996132024414</v>
      </c>
      <c r="T4110" s="85">
        <f>IF(B4110="",0,$S4110*$K4110)</f>
        <v>129.468948913443</v>
      </c>
      <c r="U4110" s="85">
        <f>IF(B4110="",0,IF(OR(H4110=MappingTables!$C$34,H4110=MappingTables!$C$35),T4110,0))</f>
        <v>0</v>
      </c>
      <c r="V4110" s="85">
        <f>IF(ISNA(IF(AND(VLOOKUP(CONCATENATE($D4110,$G4110),CSRFinput!$B:$E,4,0)=0,OR(H4110=MappingTables!$C$34,H4110=MappingTables!$C$35)),1,VLOOKUP(CONCATENATE($D4110,$G4110),CSRFinput!$B:$E,4,0))),0,IF(AND(VLOOKUP(CONCATENATE($D4110,$G4110),CSRFinput!$B:$E,4,0)=0,OR(H4110=MappingTables!$C$34,H4110=MappingTables!$C$35)),1,VLOOKUP(CONCATENATE($D4110,$G4110),CSRFinput!$B:$E,4,0)))</f>
        <v>0.054776304963434752</v>
      </c>
      <c r="W4110" s="85">
        <f>IF(B4110="",0,+$T4110*$V4110)</f>
        <v>7.0918306289781088</v>
      </c>
      <c r="X4110" s="85">
        <f>IF(B4110="",0,IF(OR(H4110=MappingTables!$C$34,H4110=MappingTables!$C$35),W4110,0))</f>
        <v>0</v>
      </c>
    </row>
    <row r="4111" spans="2:24" s="0" customFormat="0" ht="15">
      <c r="B4111" s="69" t="s">
        <v>3001</v>
      </c>
      <c r="C4111" s="70" t="s">
        <v>3002</v>
      </c>
      <c r="D4111" s="70" t="s">
        <v>1</v>
      </c>
      <c r="E4111" s="70" t="s">
        <v>1</v>
      </c>
      <c r="F4111" s="70"/>
      <c r="G4111" s="70" t="s">
        <v>61</v>
      </c>
      <c r="H4111" s="70" t="s">
        <v>178</v>
      </c>
      <c r="I4111" s="70" t="s">
        <v>181</v>
      </c>
      <c r="J4111" s="71">
        <f>IF(OR(I4111=0,I4111=""),"unrated",VLOOKUP(I4111,MappingTables!$B$19:$C$31,2,FALSE))</f>
        <v>3</v>
      </c>
      <c r="K4111" s="72">
        <v>93.679453798429312</v>
      </c>
      <c r="L4111" s="70">
        <v>0.67703726562556512</v>
      </c>
      <c r="M4111" s="71">
        <f>IF(L4111&lt;1,1,L4111)</f>
        <v>1</v>
      </c>
      <c r="N4111" s="70" t="s">
        <v>141</v>
      </c>
      <c r="O4111" s="71">
        <f>INDEX(DurClassMapping,MATCH(M4111,MappingTables!$D$4:$D$8,-1),1)</f>
        <v>1</v>
      </c>
      <c r="P4111" s="73">
        <f>IF(M4111=$A$1,1,$M4111-INDEX(MappingTables!$E$4:$E$8,MATCH(O4111,MappingTables!$B$4:$B$8,0)))</f>
        <v>1</v>
      </c>
      <c r="Q4111" s="71">
        <f>IF(B4111="",0,INDEX(ModelParameters!$D$6:$K$10,MATCH($O4111,ModelParameters!$B$6:$B$10,0),MATCH($J4111,ModelParameters!$D$5:$K$5,0)))</f>
        <v>0.025</v>
      </c>
      <c r="R4111" s="71">
        <f>IF(B4111="",0,INDEX(ModelParameters!$D$13:$K$17,MATCH($O4111,ModelParameters!$B$13:$B$17,0),MATCH($J4111,ModelParameters!$D$5:$K$5,0)))</f>
        <v>0</v>
      </c>
      <c r="S4111" s="160">
        <f>IF(B4111="",0,MIN(IF($N4111="Other Bond TM",ModelParameters!$N$21,1)*(P4111*Q4111+R4111),1))</f>
        <v>0.025</v>
      </c>
      <c r="T4111" s="85">
        <f>IF(B4111="",0,$S4111*$K4111)</f>
        <v>2.3419863449607328</v>
      </c>
      <c r="U4111" s="85">
        <f>IF(B4111="",0,IF(OR(H4111=MappingTables!$C$34,H4111=MappingTables!$C$35),T4111,0))</f>
        <v>0</v>
      </c>
      <c r="V4111" s="85">
        <f>IF(ISNA(IF(AND(VLOOKUP(CONCATENATE($D4111,$G4111),CSRFinput!$B:$E,4,0)=0,OR(H4111=MappingTables!$C$34,H4111=MappingTables!$C$35)),1,VLOOKUP(CONCATENATE($D4111,$G4111),CSRFinput!$B:$E,4,0))),0,IF(AND(VLOOKUP(CONCATENATE($D4111,$G4111),CSRFinput!$B:$E,4,0)=0,OR(H4111=MappingTables!$C$34,H4111=MappingTables!$C$35)),1,VLOOKUP(CONCATENATE($D4111,$G4111),CSRFinput!$B:$E,4,0)))</f>
        <v>0.054776304963434752</v>
      </c>
      <c r="W4111" s="85">
        <f>IF(B4111="",0,+$T4111*$V4111)</f>
        <v>0.12828535825176902</v>
      </c>
      <c r="X4111" s="85">
        <f>IF(B4111="",0,IF(OR(H4111=MappingTables!$C$34,H4111=MappingTables!$C$35),W4111,0))</f>
        <v>0</v>
      </c>
    </row>
    <row r="4112" spans="2:24" s="0" customFormat="0" ht="15">
      <c r="B4112" s="69">
        <v>25105239</v>
      </c>
      <c r="C4112" s="70" t="s">
        <v>642</v>
      </c>
      <c r="D4112" s="70" t="s">
        <v>1</v>
      </c>
      <c r="E4112" s="70" t="s">
        <v>1</v>
      </c>
      <c r="F4112" s="70"/>
      <c r="G4112" s="70" t="s">
        <v>61</v>
      </c>
      <c r="H4112" s="70" t="s">
        <v>178</v>
      </c>
      <c r="I4112" s="70" t="s">
        <v>181</v>
      </c>
      <c r="J4112" s="71">
        <f>IF(OR(I4112=0,I4112=""),"unrated",VLOOKUP(I4112,MappingTables!$B$19:$C$31,2,FALSE))</f>
        <v>3</v>
      </c>
      <c r="K4112" s="72">
        <v>8383.0540832133472</v>
      </c>
      <c r="L4112" s="70">
        <v>5.6251521757240272</v>
      </c>
      <c r="M4112" s="71">
        <f>IF(L4112&lt;1,1,L4112)</f>
        <v>5.6251521757240272</v>
      </c>
      <c r="N4112" s="70" t="s">
        <v>141</v>
      </c>
      <c r="O4112" s="71">
        <f>INDEX(DurClassMapping,MATCH(M4112,MappingTables!$D$4:$D$8,-1),1)</f>
        <v>2</v>
      </c>
      <c r="P4112" s="73">
        <f>IF(M4112=$A$1,1,$M4112-INDEX(MappingTables!$E$4:$E$8,MATCH(O4112,MappingTables!$B$4:$B$8,0)))</f>
        <v>0.62515217572402728</v>
      </c>
      <c r="Q4112" s="71">
        <f>IF(B4112="",0,INDEX(ModelParameters!$D$6:$K$10,MATCH($O4112,ModelParameters!$B$6:$B$10,0),MATCH($J4112,ModelParameters!$D$5:$K$5,0)))</f>
        <v>0.015</v>
      </c>
      <c r="R4112" s="71">
        <f>IF(B4112="",0,INDEX(ModelParameters!$D$13:$K$17,MATCH($O4112,ModelParameters!$B$13:$B$17,0),MATCH($J4112,ModelParameters!$D$5:$K$5,0)))</f>
        <v>0.125</v>
      </c>
      <c r="S4112" s="160">
        <f>IF(B4112="",0,MIN(IF($N4112="Other Bond TM",ModelParameters!$N$21,1)*(P4112*Q4112+R4112),1))</f>
        <v>0.1343772826358604</v>
      </c>
      <c r="T4112" s="85">
        <f>IF(B4112="",0,$S4112*$K4112)</f>
        <v>1126.4920278916636</v>
      </c>
      <c r="U4112" s="85">
        <f>IF(B4112="",0,IF(OR(H4112=MappingTables!$C$34,H4112=MappingTables!$C$35),T4112,0))</f>
        <v>0</v>
      </c>
      <c r="V4112" s="85">
        <f>IF(ISNA(IF(AND(VLOOKUP(CONCATENATE($D4112,$G4112),CSRFinput!$B:$E,4,0)=0,OR(H4112=MappingTables!$C$34,H4112=MappingTables!$C$35)),1,VLOOKUP(CONCATENATE($D4112,$G4112),CSRFinput!$B:$E,4,0))),0,IF(AND(VLOOKUP(CONCATENATE($D4112,$G4112),CSRFinput!$B:$E,4,0)=0,OR(H4112=MappingTables!$C$34,H4112=MappingTables!$C$35)),1,VLOOKUP(CONCATENATE($D4112,$G4112),CSRFinput!$B:$E,4,0)))</f>
        <v>0.054776304963434752</v>
      </c>
      <c r="W4112" s="85">
        <f>IF(B4112="",0,+$T4112*$V4112)</f>
        <v>61.705070858671816</v>
      </c>
      <c r="X4112" s="85">
        <f>IF(B4112="",0,IF(OR(H4112=MappingTables!$C$34,H4112=MappingTables!$C$35),W4112,0))</f>
        <v>0</v>
      </c>
    </row>
    <row r="4113" spans="2:24" s="0" customFormat="0" ht="15">
      <c r="B4113" s="69">
        <v>13122323</v>
      </c>
      <c r="C4113" s="70" t="s">
        <v>360</v>
      </c>
      <c r="D4113" s="70" t="s">
        <v>1</v>
      </c>
      <c r="E4113" s="70" t="s">
        <v>1</v>
      </c>
      <c r="F4113" s="70"/>
      <c r="G4113" s="70" t="s">
        <v>61</v>
      </c>
      <c r="H4113" s="70" t="s">
        <v>178</v>
      </c>
      <c r="I4113" s="70" t="s">
        <v>184</v>
      </c>
      <c r="J4113" s="71">
        <f>IF(OR(I4113=0,I4113=""),"unrated",VLOOKUP(I4113,MappingTables!$B$19:$C$31,2,FALSE))</f>
        <v>5</v>
      </c>
      <c r="K4113" s="72">
        <v>3368.956426213468</v>
      </c>
      <c r="L4113" s="70">
        <v>7.115487288396148</v>
      </c>
      <c r="M4113" s="71">
        <f>IF(L4113&lt;1,1,L4113)</f>
        <v>7.115487288396148</v>
      </c>
      <c r="N4113" s="70" t="s">
        <v>141</v>
      </c>
      <c r="O4113" s="71">
        <f>INDEX(DurClassMapping,MATCH(M4113,MappingTables!$D$4:$D$8,-1),1)</f>
        <v>2</v>
      </c>
      <c r="P4113" s="73">
        <f>IF(M4113=$A$1,1,$M4113-INDEX(MappingTables!$E$4:$E$8,MATCH(O4113,MappingTables!$B$4:$B$8,0)))</f>
        <v>2.1154872883961476</v>
      </c>
      <c r="Q4113" s="71">
        <f>IF(B4113="",0,INDEX(ModelParameters!$D$6:$K$10,MATCH($O4113,ModelParameters!$B$6:$B$10,0),MATCH($J4113,ModelParameters!$D$5:$K$5,0)))</f>
        <v>0.042</v>
      </c>
      <c r="R4113" s="71">
        <f>IF(B4113="",0,INDEX(ModelParameters!$D$13:$K$17,MATCH($O4113,ModelParameters!$B$13:$B$17,0),MATCH($J4113,ModelParameters!$D$5:$K$5,0)))</f>
        <v>0.375</v>
      </c>
      <c r="S4113" s="160">
        <f>IF(B4113="",0,MIN(IF($N4113="Other Bond TM",ModelParameters!$N$21,1)*(P4113*Q4113+R4113),1))</f>
        <v>0.46385046611263816</v>
      </c>
      <c r="T4113" s="85">
        <f>IF(B4113="",0,$S4113*$K4113)</f>
        <v>1562.692008612285</v>
      </c>
      <c r="U4113" s="85">
        <f>IF(B4113="",0,IF(OR(H4113=MappingTables!$C$34,H4113=MappingTables!$C$35),T4113,0))</f>
        <v>0</v>
      </c>
      <c r="V4113" s="85">
        <f>IF(ISNA(IF(AND(VLOOKUP(CONCATENATE($D4113,$G4113),CSRFinput!$B:$E,4,0)=0,OR(H4113=MappingTables!$C$34,H4113=MappingTables!$C$35)),1,VLOOKUP(CONCATENATE($D4113,$G4113),CSRFinput!$B:$E,4,0))),0,IF(AND(VLOOKUP(CONCATENATE($D4113,$G4113),CSRFinput!$B:$E,4,0)=0,OR(H4113=MappingTables!$C$34,H4113=MappingTables!$C$35)),1,VLOOKUP(CONCATENATE($D4113,$G4113),CSRFinput!$B:$E,4,0)))</f>
        <v>0.054776304963434752</v>
      </c>
      <c r="W4113" s="85">
        <f>IF(B4113="",0,+$T4113*$V4113)</f>
        <v>85.598494027668928</v>
      </c>
      <c r="X4113" s="85">
        <f>IF(B4113="",0,IF(OR(H4113=MappingTables!$C$34,H4113=MappingTables!$C$35),W4113,0))</f>
        <v>0</v>
      </c>
    </row>
    <row r="4114" spans="2:24" s="0" customFormat="0" ht="15">
      <c r="B4114" s="69">
        <v>11998306</v>
      </c>
      <c r="C4114" s="70" t="s">
        <v>1459</v>
      </c>
      <c r="D4114" s="70" t="s">
        <v>1</v>
      </c>
      <c r="E4114" s="70" t="s">
        <v>1</v>
      </c>
      <c r="F4114" s="70"/>
      <c r="G4114" s="70" t="s">
        <v>61</v>
      </c>
      <c r="H4114" s="70" t="s">
        <v>178</v>
      </c>
      <c r="I4114" s="70" t="s">
        <v>188</v>
      </c>
      <c r="J4114" s="71">
        <f>IF(OR(I4114=0,I4114=""),"unrated",VLOOKUP(I4114,MappingTables!$B$19:$C$31,2,FALSE))</f>
        <v>2</v>
      </c>
      <c r="K4114" s="72">
        <v>22.207349718366372</v>
      </c>
      <c r="L4114" s="70">
        <v>0.39726036477187656</v>
      </c>
      <c r="M4114" s="71">
        <f>IF(L4114&lt;1,1,L4114)</f>
        <v>1</v>
      </c>
      <c r="N4114" s="70" t="s">
        <v>141</v>
      </c>
      <c r="O4114" s="71">
        <f>INDEX(DurClassMapping,MATCH(M4114,MappingTables!$D$4:$D$8,-1),1)</f>
        <v>1</v>
      </c>
      <c r="P4114" s="73">
        <f>IF(M4114=$A$1,1,$M4114-INDEX(MappingTables!$E$4:$E$8,MATCH(O4114,MappingTables!$B$4:$B$8,0)))</f>
        <v>1</v>
      </c>
      <c r="Q4114" s="71">
        <f>IF(B4114="",0,INDEX(ModelParameters!$D$6:$K$10,MATCH($O4114,ModelParameters!$B$6:$B$10,0),MATCH($J4114,ModelParameters!$D$5:$K$5,0)))</f>
        <v>0.013999999999999998</v>
      </c>
      <c r="R4114" s="71">
        <f>IF(B4114="",0,INDEX(ModelParameters!$D$13:$K$17,MATCH($O4114,ModelParameters!$B$13:$B$17,0),MATCH($J4114,ModelParameters!$D$5:$K$5,0)))</f>
        <v>0</v>
      </c>
      <c r="S4114" s="160">
        <f>IF(B4114="",0,MIN(IF($N4114="Other Bond TM",ModelParameters!$N$21,1)*(P4114*Q4114+R4114),1))</f>
        <v>0.013999999999999998</v>
      </c>
      <c r="T4114" s="85">
        <f>IF(B4114="",0,$S4114*$K4114)</f>
        <v>0.31090289605712916</v>
      </c>
      <c r="U4114" s="85">
        <f>IF(B4114="",0,IF(OR(H4114=MappingTables!$C$34,H4114=MappingTables!$C$35),T4114,0))</f>
        <v>0</v>
      </c>
      <c r="V4114" s="85">
        <f>IF(ISNA(IF(AND(VLOOKUP(CONCATENATE($D4114,$G4114),CSRFinput!$B:$E,4,0)=0,OR(H4114=MappingTables!$C$34,H4114=MappingTables!$C$35)),1,VLOOKUP(CONCATENATE($D4114,$G4114),CSRFinput!$B:$E,4,0))),0,IF(AND(VLOOKUP(CONCATENATE($D4114,$G4114),CSRFinput!$B:$E,4,0)=0,OR(H4114=MappingTables!$C$34,H4114=MappingTables!$C$35)),1,VLOOKUP(CONCATENATE($D4114,$G4114),CSRFinput!$B:$E,4,0)))</f>
        <v>0.054776304963434752</v>
      </c>
      <c r="W4114" s="85">
        <f>IF(B4114="",0,+$T4114*$V4114)</f>
        <v>0.017030111848440364</v>
      </c>
      <c r="X4114" s="85">
        <f>IF(B4114="",0,IF(OR(H4114=MappingTables!$C$34,H4114=MappingTables!$C$35),W4114,0))</f>
        <v>0</v>
      </c>
    </row>
    <row r="4115" spans="2:24" s="0" customFormat="0" ht="15">
      <c r="B4115" s="69" t="s">
        <v>2746</v>
      </c>
      <c r="C4115" s="70" t="s">
        <v>2747</v>
      </c>
      <c r="D4115" s="70" t="s">
        <v>1</v>
      </c>
      <c r="E4115" s="70" t="s">
        <v>1</v>
      </c>
      <c r="F4115" s="70"/>
      <c r="G4115" s="70" t="s">
        <v>61</v>
      </c>
      <c r="H4115" s="70" t="s">
        <v>178</v>
      </c>
      <c r="I4115" s="70" t="s">
        <v>184</v>
      </c>
      <c r="J4115" s="71">
        <f>IF(OR(I4115=0,I4115=""),"unrated",VLOOKUP(I4115,MappingTables!$B$19:$C$31,2,FALSE))</f>
        <v>5</v>
      </c>
      <c r="K4115" s="72">
        <v>5215.4043551626512</v>
      </c>
      <c r="L4115" s="70">
        <v>3.1974303709756572</v>
      </c>
      <c r="M4115" s="71">
        <f>IF(L4115&lt;1,1,L4115)</f>
        <v>3.1974303709756572</v>
      </c>
      <c r="N4115" s="70" t="s">
        <v>141</v>
      </c>
      <c r="O4115" s="71">
        <f>INDEX(DurClassMapping,MATCH(M4115,MappingTables!$D$4:$D$8,-1),1)</f>
        <v>1</v>
      </c>
      <c r="P4115" s="73">
        <f>IF(M4115=$A$1,1,$M4115-INDEX(MappingTables!$E$4:$E$8,MATCH(O4115,MappingTables!$B$4:$B$8,0)))</f>
        <v>3.1974303709756572</v>
      </c>
      <c r="Q4115" s="71">
        <f>IF(B4115="",0,INDEX(ModelParameters!$D$6:$K$10,MATCH($O4115,ModelParameters!$B$6:$B$10,0),MATCH($J4115,ModelParameters!$D$5:$K$5,0)))</f>
        <v>0.075</v>
      </c>
      <c r="R4115" s="71">
        <f>IF(B4115="",0,INDEX(ModelParameters!$D$13:$K$17,MATCH($O4115,ModelParameters!$B$13:$B$17,0),MATCH($J4115,ModelParameters!$D$5:$K$5,0)))</f>
        <v>0</v>
      </c>
      <c r="S4115" s="160">
        <f>IF(B4115="",0,MIN(IF($N4115="Other Bond TM",ModelParameters!$N$21,1)*(P4115*Q4115+R4115),1))</f>
        <v>0.23980727782317428</v>
      </c>
      <c r="T4115" s="85">
        <f>IF(B4115="",0,$S4115*$K4115)</f>
        <v>1250.6919211586828</v>
      </c>
      <c r="U4115" s="85">
        <f>IF(B4115="",0,IF(OR(H4115=MappingTables!$C$34,H4115=MappingTables!$C$35),T4115,0))</f>
        <v>0</v>
      </c>
      <c r="V4115" s="85">
        <f>IF(ISNA(IF(AND(VLOOKUP(CONCATENATE($D4115,$G4115),CSRFinput!$B:$E,4,0)=0,OR(H4115=MappingTables!$C$34,H4115=MappingTables!$C$35)),1,VLOOKUP(CONCATENATE($D4115,$G4115),CSRFinput!$B:$E,4,0))),0,IF(AND(VLOOKUP(CONCATENATE($D4115,$G4115),CSRFinput!$B:$E,4,0)=0,OR(H4115=MappingTables!$C$34,H4115=MappingTables!$C$35)),1,VLOOKUP(CONCATENATE($D4115,$G4115),CSRFinput!$B:$E,4,0)))</f>
        <v>0.054776304963434752</v>
      </c>
      <c r="W4115" s="85">
        <f>IF(B4115="",0,+$T4115*$V4115)</f>
        <v>68.508282088692096</v>
      </c>
      <c r="X4115" s="85">
        <f>IF(B4115="",0,IF(OR(H4115=MappingTables!$C$34,H4115=MappingTables!$C$35),W4115,0))</f>
        <v>0</v>
      </c>
    </row>
    <row r="4116" spans="2:24" s="0" customFormat="0" ht="15">
      <c r="B4116" s="69" t="s">
        <v>690</v>
      </c>
      <c r="C4116" s="70" t="s">
        <v>691</v>
      </c>
      <c r="D4116" s="70" t="s">
        <v>1</v>
      </c>
      <c r="E4116" s="70" t="s">
        <v>1</v>
      </c>
      <c r="F4116" s="70"/>
      <c r="G4116" s="70" t="s">
        <v>61</v>
      </c>
      <c r="H4116" s="70" t="s">
        <v>178</v>
      </c>
      <c r="I4116" s="70" t="s">
        <v>181</v>
      </c>
      <c r="J4116" s="71">
        <f>IF(OR(I4116=0,I4116=""),"unrated",VLOOKUP(I4116,MappingTables!$B$19:$C$31,2,FALSE))</f>
        <v>3</v>
      </c>
      <c r="K4116" s="72">
        <v>14904.843822170176</v>
      </c>
      <c r="L4116" s="70">
        <v>5.5761315352354576</v>
      </c>
      <c r="M4116" s="71">
        <f>IF(L4116&lt;1,1,L4116)</f>
        <v>5.5761315352354576</v>
      </c>
      <c r="N4116" s="70" t="s">
        <v>141</v>
      </c>
      <c r="O4116" s="71">
        <f>INDEX(DurClassMapping,MATCH(M4116,MappingTables!$D$4:$D$8,-1),1)</f>
        <v>2</v>
      </c>
      <c r="P4116" s="73">
        <f>IF(M4116=$A$1,1,$M4116-INDEX(MappingTables!$E$4:$E$8,MATCH(O4116,MappingTables!$B$4:$B$8,0)))</f>
        <v>0.57613153523545792</v>
      </c>
      <c r="Q4116" s="71">
        <f>IF(B4116="",0,INDEX(ModelParameters!$D$6:$K$10,MATCH($O4116,ModelParameters!$B$6:$B$10,0),MATCH($J4116,ModelParameters!$D$5:$K$5,0)))</f>
        <v>0.015</v>
      </c>
      <c r="R4116" s="71">
        <f>IF(B4116="",0,INDEX(ModelParameters!$D$13:$K$17,MATCH($O4116,ModelParameters!$B$13:$B$17,0),MATCH($J4116,ModelParameters!$D$5:$K$5,0)))</f>
        <v>0.125</v>
      </c>
      <c r="S4116" s="160">
        <f>IF(B4116="",0,MIN(IF($N4116="Other Bond TM",ModelParameters!$N$21,1)*(P4116*Q4116+R4116),1))</f>
        <v>0.13364197302853186</v>
      </c>
      <c r="T4116" s="85">
        <f>IF(B4116="",0,$S4116*$K4116)</f>
        <v>1991.9127360769468</v>
      </c>
      <c r="U4116" s="85">
        <f>IF(B4116="",0,IF(OR(H4116=MappingTables!$C$34,H4116=MappingTables!$C$35),T4116,0))</f>
        <v>0</v>
      </c>
      <c r="V4116" s="85">
        <f>IF(ISNA(IF(AND(VLOOKUP(CONCATENATE($D4116,$G4116),CSRFinput!$B:$E,4,0)=0,OR(H4116=MappingTables!$C$34,H4116=MappingTables!$C$35)),1,VLOOKUP(CONCATENATE($D4116,$G4116),CSRFinput!$B:$E,4,0))),0,IF(AND(VLOOKUP(CONCATENATE($D4116,$G4116),CSRFinput!$B:$E,4,0)=0,OR(H4116=MappingTables!$C$34,H4116=MappingTables!$C$35)),1,VLOOKUP(CONCATENATE($D4116,$G4116),CSRFinput!$B:$E,4,0)))</f>
        <v>0.054776304963434752</v>
      </c>
      <c r="W4116" s="85">
        <f>IF(B4116="",0,+$T4116*$V4116)</f>
        <v>109.10961949190056</v>
      </c>
      <c r="X4116" s="85">
        <f>IF(B4116="",0,IF(OR(H4116=MappingTables!$C$34,H4116=MappingTables!$C$35),W4116,0))</f>
        <v>0</v>
      </c>
    </row>
    <row r="4117" spans="2:24" s="0" customFormat="0" ht="15">
      <c r="B4117" s="69">
        <v>21107453</v>
      </c>
      <c r="C4117" s="70" t="s">
        <v>1429</v>
      </c>
      <c r="D4117" s="70" t="s">
        <v>1</v>
      </c>
      <c r="E4117" s="70" t="s">
        <v>1</v>
      </c>
      <c r="F4117" s="70"/>
      <c r="G4117" s="70" t="s">
        <v>61</v>
      </c>
      <c r="H4117" s="70" t="s">
        <v>178</v>
      </c>
      <c r="I4117" s="70" t="s">
        <v>184</v>
      </c>
      <c r="J4117" s="71">
        <f>IF(OR(I4117=0,I4117=""),"unrated",VLOOKUP(I4117,MappingTables!$B$19:$C$31,2,FALSE))</f>
        <v>5</v>
      </c>
      <c r="K4117" s="72">
        <v>2399.2115443972416</v>
      </c>
      <c r="L4117" s="70">
        <v>3.449229791362808</v>
      </c>
      <c r="M4117" s="71">
        <f>IF(L4117&lt;1,1,L4117)</f>
        <v>3.449229791362808</v>
      </c>
      <c r="N4117" s="70" t="s">
        <v>141</v>
      </c>
      <c r="O4117" s="71">
        <f>INDEX(DurClassMapping,MATCH(M4117,MappingTables!$D$4:$D$8,-1),1)</f>
        <v>1</v>
      </c>
      <c r="P4117" s="73">
        <f>IF(M4117=$A$1,1,$M4117-INDEX(MappingTables!$E$4:$E$8,MATCH(O4117,MappingTables!$B$4:$B$8,0)))</f>
        <v>3.449229791362808</v>
      </c>
      <c r="Q4117" s="71">
        <f>IF(B4117="",0,INDEX(ModelParameters!$D$6:$K$10,MATCH($O4117,ModelParameters!$B$6:$B$10,0),MATCH($J4117,ModelParameters!$D$5:$K$5,0)))</f>
        <v>0.075</v>
      </c>
      <c r="R4117" s="71">
        <f>IF(B4117="",0,INDEX(ModelParameters!$D$13:$K$17,MATCH($O4117,ModelParameters!$B$13:$B$17,0),MATCH($J4117,ModelParameters!$D$5:$K$5,0)))</f>
        <v>0</v>
      </c>
      <c r="S4117" s="160">
        <f>IF(B4117="",0,MIN(IF($N4117="Other Bond TM",ModelParameters!$N$21,1)*(P4117*Q4117+R4117),1))</f>
        <v>0.2586922343522106</v>
      </c>
      <c r="T4117" s="85">
        <f>IF(B4117="",0,$S4117*$K4117)</f>
        <v>620.65739510374048</v>
      </c>
      <c r="U4117" s="85">
        <f>IF(B4117="",0,IF(OR(H4117=MappingTables!$C$34,H4117=MappingTables!$C$35),T4117,0))</f>
        <v>0</v>
      </c>
      <c r="V4117" s="85">
        <f>IF(ISNA(IF(AND(VLOOKUP(CONCATENATE($D4117,$G4117),CSRFinput!$B:$E,4,0)=0,OR(H4117=MappingTables!$C$34,H4117=MappingTables!$C$35)),1,VLOOKUP(CONCATENATE($D4117,$G4117),CSRFinput!$B:$E,4,0))),0,IF(AND(VLOOKUP(CONCATENATE($D4117,$G4117),CSRFinput!$B:$E,4,0)=0,OR(H4117=MappingTables!$C$34,H4117=MappingTables!$C$35)),1,VLOOKUP(CONCATENATE($D4117,$G4117),CSRFinput!$B:$E,4,0)))</f>
        <v>0.054776304963434752</v>
      </c>
      <c r="W4117" s="85">
        <f>IF(B4117="",0,+$T4117*$V4117)</f>
        <v>33.997318752013504</v>
      </c>
      <c r="X4117" s="85">
        <f>IF(B4117="",0,IF(OR(H4117=MappingTables!$C$34,H4117=MappingTables!$C$35),W4117,0))</f>
        <v>0</v>
      </c>
    </row>
    <row r="4118" spans="2:24" s="0" customFormat="0" ht="15">
      <c r="B4118" s="69" t="s">
        <v>1061</v>
      </c>
      <c r="C4118" s="70" t="s">
        <v>1062</v>
      </c>
      <c r="D4118" s="70" t="s">
        <v>1</v>
      </c>
      <c r="E4118" s="70" t="s">
        <v>1</v>
      </c>
      <c r="F4118" s="70"/>
      <c r="G4118" s="70" t="s">
        <v>61</v>
      </c>
      <c r="H4118" s="70" t="s">
        <v>178</v>
      </c>
      <c r="I4118" s="70" t="s">
        <v>179</v>
      </c>
      <c r="J4118" s="71">
        <f>IF(OR(I4118=0,I4118=""),"unrated",VLOOKUP(I4118,MappingTables!$B$19:$C$31,2,FALSE))</f>
        <v>4</v>
      </c>
      <c r="K4118" s="72">
        <v>52486.061285283816</v>
      </c>
      <c r="L4118" s="70">
        <v>7.1525450530048096</v>
      </c>
      <c r="M4118" s="71">
        <f>IF(L4118&lt;1,1,L4118)</f>
        <v>7.1525450530048096</v>
      </c>
      <c r="N4118" s="70" t="s">
        <v>141</v>
      </c>
      <c r="O4118" s="71">
        <f>INDEX(DurClassMapping,MATCH(M4118,MappingTables!$D$4:$D$8,-1),1)</f>
        <v>2</v>
      </c>
      <c r="P4118" s="73">
        <f>IF(M4118=$A$1,1,$M4118-INDEX(MappingTables!$E$4:$E$8,MATCH(O4118,MappingTables!$B$4:$B$8,0)))</f>
        <v>2.1525450530048092</v>
      </c>
      <c r="Q4118" s="71">
        <f>IF(B4118="",0,INDEX(ModelParameters!$D$6:$K$10,MATCH($O4118,ModelParameters!$B$6:$B$10,0),MATCH($J4118,ModelParameters!$D$5:$K$5,0)))</f>
        <v>0.025</v>
      </c>
      <c r="R4118" s="71">
        <f>IF(B4118="",0,INDEX(ModelParameters!$D$13:$K$17,MATCH($O4118,ModelParameters!$B$13:$B$17,0),MATCH($J4118,ModelParameters!$D$5:$K$5,0)))</f>
        <v>0.225</v>
      </c>
      <c r="S4118" s="160">
        <f>IF(B4118="",0,MIN(IF($N4118="Other Bond TM",ModelParameters!$N$21,1)*(P4118*Q4118+R4118),1))</f>
        <v>0.27881362632512024</v>
      </c>
      <c r="T4118" s="85">
        <f>IF(B4118="",0,$S4118*$K4118)</f>
        <v>14633.829078472484</v>
      </c>
      <c r="U4118" s="85">
        <f>IF(B4118="",0,IF(OR(H4118=MappingTables!$C$34,H4118=MappingTables!$C$35),T4118,0))</f>
        <v>0</v>
      </c>
      <c r="V4118" s="85">
        <f>IF(ISNA(IF(AND(VLOOKUP(CONCATENATE($D4118,$G4118),CSRFinput!$B:$E,4,0)=0,OR(H4118=MappingTables!$C$34,H4118=MappingTables!$C$35)),1,VLOOKUP(CONCATENATE($D4118,$G4118),CSRFinput!$B:$E,4,0))),0,IF(AND(VLOOKUP(CONCATENATE($D4118,$G4118),CSRFinput!$B:$E,4,0)=0,OR(H4118=MappingTables!$C$34,H4118=MappingTables!$C$35)),1,VLOOKUP(CONCATENATE($D4118,$G4118),CSRFinput!$B:$E,4,0)))</f>
        <v>0.054776304963434752</v>
      </c>
      <c r="W4118" s="85">
        <f>IF(B4118="",0,+$T4118*$V4118)</f>
        <v>801.587084385188</v>
      </c>
      <c r="X4118" s="85">
        <f>IF(B4118="",0,IF(OR(H4118=MappingTables!$C$34,H4118=MappingTables!$C$35),W4118,0))</f>
        <v>0</v>
      </c>
    </row>
    <row r="4119" spans="2:24" s="0" customFormat="0" ht="15">
      <c r="B4119" s="69">
        <v>11357846</v>
      </c>
      <c r="C4119" s="70" t="s">
        <v>1638</v>
      </c>
      <c r="D4119" s="70" t="s">
        <v>1</v>
      </c>
      <c r="E4119" s="70" t="s">
        <v>1</v>
      </c>
      <c r="F4119" s="70"/>
      <c r="G4119" s="70" t="s">
        <v>61</v>
      </c>
      <c r="H4119" s="70" t="s">
        <v>178</v>
      </c>
      <c r="I4119" s="70" t="s">
        <v>181</v>
      </c>
      <c r="J4119" s="71">
        <f>IF(OR(I4119=0,I4119=""),"unrated",VLOOKUP(I4119,MappingTables!$B$19:$C$31,2,FALSE))</f>
        <v>3</v>
      </c>
      <c r="K4119" s="72">
        <v>2.4990592958925056</v>
      </c>
      <c r="L4119" s="70">
        <v>1.0367347239056206</v>
      </c>
      <c r="M4119" s="71">
        <f>IF(L4119&lt;1,1,L4119)</f>
        <v>1.0367347239056206</v>
      </c>
      <c r="N4119" s="70" t="s">
        <v>141</v>
      </c>
      <c r="O4119" s="71">
        <f>INDEX(DurClassMapping,MATCH(M4119,MappingTables!$D$4:$D$8,-1),1)</f>
        <v>1</v>
      </c>
      <c r="P4119" s="73">
        <f>IF(M4119=$A$1,1,$M4119-INDEX(MappingTables!$E$4:$E$8,MATCH(O4119,MappingTables!$B$4:$B$8,0)))</f>
        <v>1.0367347239056206</v>
      </c>
      <c r="Q4119" s="71">
        <f>IF(B4119="",0,INDEX(ModelParameters!$D$6:$K$10,MATCH($O4119,ModelParameters!$B$6:$B$10,0),MATCH($J4119,ModelParameters!$D$5:$K$5,0)))</f>
        <v>0.025</v>
      </c>
      <c r="R4119" s="71">
        <f>IF(B4119="",0,INDEX(ModelParameters!$D$13:$K$17,MATCH($O4119,ModelParameters!$B$13:$B$17,0),MATCH($J4119,ModelParameters!$D$5:$K$5,0)))</f>
        <v>0</v>
      </c>
      <c r="S4119" s="160">
        <f>IF(B4119="",0,MIN(IF($N4119="Other Bond TM",ModelParameters!$N$21,1)*(P4119*Q4119+R4119),1))</f>
        <v>0.025918368097640516</v>
      </c>
      <c r="T4119" s="85">
        <f>IF(B4119="",0,$S4119*$K4119)</f>
        <v>0.064771538728772296</v>
      </c>
      <c r="U4119" s="85">
        <f>IF(B4119="",0,IF(OR(H4119=MappingTables!$C$34,H4119=MappingTables!$C$35),T4119,0))</f>
        <v>0</v>
      </c>
      <c r="V4119" s="85">
        <f>IF(ISNA(IF(AND(VLOOKUP(CONCATENATE($D4119,$G4119),CSRFinput!$B:$E,4,0)=0,OR(H4119=MappingTables!$C$34,H4119=MappingTables!$C$35)),1,VLOOKUP(CONCATENATE($D4119,$G4119),CSRFinput!$B:$E,4,0))),0,IF(AND(VLOOKUP(CONCATENATE($D4119,$G4119),CSRFinput!$B:$E,4,0)=0,OR(H4119=MappingTables!$C$34,H4119=MappingTables!$C$35)),1,VLOOKUP(CONCATENATE($D4119,$G4119),CSRFinput!$B:$E,4,0)))</f>
        <v>0.054776304963434752</v>
      </c>
      <c r="W4119" s="85">
        <f>IF(B4119="",0,+$T4119*$V4119)</f>
        <v>0.0035479455583581564</v>
      </c>
      <c r="X4119" s="85">
        <f>IF(B4119="",0,IF(OR(H4119=MappingTables!$C$34,H4119=MappingTables!$C$35),W4119,0))</f>
        <v>0</v>
      </c>
    </row>
    <row r="4120" spans="2:24" s="0" customFormat="0" ht="15">
      <c r="B4120" s="69">
        <v>18960228</v>
      </c>
      <c r="C4120" s="70" t="s">
        <v>2336</v>
      </c>
      <c r="D4120" s="70" t="s">
        <v>1</v>
      </c>
      <c r="E4120" s="70" t="s">
        <v>1</v>
      </c>
      <c r="F4120" s="70"/>
      <c r="G4120" s="70" t="s">
        <v>61</v>
      </c>
      <c r="H4120" s="70" t="s">
        <v>178</v>
      </c>
      <c r="I4120" s="70" t="s">
        <v>179</v>
      </c>
      <c r="J4120" s="71">
        <f>IF(OR(I4120=0,I4120=""),"unrated",VLOOKUP(I4120,MappingTables!$B$19:$C$31,2,FALSE))</f>
        <v>4</v>
      </c>
      <c r="K4120" s="72">
        <v>31.780543909438116</v>
      </c>
      <c r="L4120" s="70">
        <v>1.0414994768163094</v>
      </c>
      <c r="M4120" s="71">
        <f>IF(L4120&lt;1,1,L4120)</f>
        <v>1.0414994768163094</v>
      </c>
      <c r="N4120" s="70" t="s">
        <v>141</v>
      </c>
      <c r="O4120" s="71">
        <f>INDEX(DurClassMapping,MATCH(M4120,MappingTables!$D$4:$D$8,-1),1)</f>
        <v>1</v>
      </c>
      <c r="P4120" s="73">
        <f>IF(M4120=$A$1,1,$M4120-INDEX(MappingTables!$E$4:$E$8,MATCH(O4120,MappingTables!$B$4:$B$8,0)))</f>
        <v>1.0414994768163094</v>
      </c>
      <c r="Q4120" s="71">
        <f>IF(B4120="",0,INDEX(ModelParameters!$D$6:$K$10,MATCH($O4120,ModelParameters!$B$6:$B$10,0),MATCH($J4120,ModelParameters!$D$5:$K$5,0)))</f>
        <v>0.045</v>
      </c>
      <c r="R4120" s="71">
        <f>IF(B4120="",0,INDEX(ModelParameters!$D$13:$K$17,MATCH($O4120,ModelParameters!$B$13:$B$17,0),MATCH($J4120,ModelParameters!$D$5:$K$5,0)))</f>
        <v>0</v>
      </c>
      <c r="S4120" s="160">
        <f>IF(B4120="",0,MIN(IF($N4120="Other Bond TM",ModelParameters!$N$21,1)*(P4120*Q4120+R4120),1))</f>
        <v>0.046867476456733928</v>
      </c>
      <c r="T4120" s="85">
        <f>IF(B4120="",0,$S4120*$K4120)</f>
        <v>1.4894738934577896</v>
      </c>
      <c r="U4120" s="85">
        <f>IF(B4120="",0,IF(OR(H4120=MappingTables!$C$34,H4120=MappingTables!$C$35),T4120,0))</f>
        <v>0</v>
      </c>
      <c r="V4120" s="85">
        <f>IF(ISNA(IF(AND(VLOOKUP(CONCATENATE($D4120,$G4120),CSRFinput!$B:$E,4,0)=0,OR(H4120=MappingTables!$C$34,H4120=MappingTables!$C$35)),1,VLOOKUP(CONCATENATE($D4120,$G4120),CSRFinput!$B:$E,4,0))),0,IF(AND(VLOOKUP(CONCATENATE($D4120,$G4120),CSRFinput!$B:$E,4,0)=0,OR(H4120=MappingTables!$C$34,H4120=MappingTables!$C$35)),1,VLOOKUP(CONCATENATE($D4120,$G4120),CSRFinput!$B:$E,4,0)))</f>
        <v>0.054776304963434752</v>
      </c>
      <c r="W4120" s="85">
        <f>IF(B4120="",0,+$T4120*$V4120)</f>
        <v>0.0815878762231184</v>
      </c>
      <c r="X4120" s="85">
        <f>IF(B4120="",0,IF(OR(H4120=MappingTables!$C$34,H4120=MappingTables!$C$35),W4120,0))</f>
        <v>0</v>
      </c>
    </row>
    <row r="4121" spans="2:24" s="0" customFormat="0" ht="15">
      <c r="B4121" s="69">
        <v>20774628</v>
      </c>
      <c r="C4121" s="70" t="s">
        <v>1446</v>
      </c>
      <c r="D4121" s="70" t="s">
        <v>1</v>
      </c>
      <c r="E4121" s="70" t="s">
        <v>1</v>
      </c>
      <c r="F4121" s="70"/>
      <c r="G4121" s="70" t="s">
        <v>61</v>
      </c>
      <c r="H4121" s="70" t="s">
        <v>178</v>
      </c>
      <c r="I4121" s="70" t="s">
        <v>181</v>
      </c>
      <c r="J4121" s="71">
        <f>IF(OR(I4121=0,I4121=""),"unrated",VLOOKUP(I4121,MappingTables!$B$19:$C$31,2,FALSE))</f>
        <v>3</v>
      </c>
      <c r="K4121" s="72">
        <v>666.73808443932272</v>
      </c>
      <c r="L4121" s="70">
        <v>5.3190904154158288</v>
      </c>
      <c r="M4121" s="71">
        <f>IF(L4121&lt;1,1,L4121)</f>
        <v>5.3190904154158288</v>
      </c>
      <c r="N4121" s="70" t="s">
        <v>141</v>
      </c>
      <c r="O4121" s="71">
        <f>INDEX(DurClassMapping,MATCH(M4121,MappingTables!$D$4:$D$8,-1),1)</f>
        <v>2</v>
      </c>
      <c r="P4121" s="73">
        <f>IF(M4121=$A$1,1,$M4121-INDEX(MappingTables!$E$4:$E$8,MATCH(O4121,MappingTables!$B$4:$B$8,0)))</f>
        <v>0.31909041541582896</v>
      </c>
      <c r="Q4121" s="71">
        <f>IF(B4121="",0,INDEX(ModelParameters!$D$6:$K$10,MATCH($O4121,ModelParameters!$B$6:$B$10,0),MATCH($J4121,ModelParameters!$D$5:$K$5,0)))</f>
        <v>0.015</v>
      </c>
      <c r="R4121" s="71">
        <f>IF(B4121="",0,INDEX(ModelParameters!$D$13:$K$17,MATCH($O4121,ModelParameters!$B$13:$B$17,0),MATCH($J4121,ModelParameters!$D$5:$K$5,0)))</f>
        <v>0.125</v>
      </c>
      <c r="S4121" s="160">
        <f>IF(B4121="",0,MIN(IF($N4121="Other Bond TM",ModelParameters!$N$21,1)*(P4121*Q4121+R4121),1))</f>
        <v>0.12978635623123744</v>
      </c>
      <c r="T4121" s="85">
        <f>IF(B4121="",0,$S4121*$K4121)</f>
        <v>86.533506539974816</v>
      </c>
      <c r="U4121" s="85">
        <f>IF(B4121="",0,IF(OR(H4121=MappingTables!$C$34,H4121=MappingTables!$C$35),T4121,0))</f>
        <v>0</v>
      </c>
      <c r="V4121" s="85">
        <f>IF(ISNA(IF(AND(VLOOKUP(CONCATENATE($D4121,$G4121),CSRFinput!$B:$E,4,0)=0,OR(H4121=MappingTables!$C$34,H4121=MappingTables!$C$35)),1,VLOOKUP(CONCATENATE($D4121,$G4121),CSRFinput!$B:$E,4,0))),0,IF(AND(VLOOKUP(CONCATENATE($D4121,$G4121),CSRFinput!$B:$E,4,0)=0,OR(H4121=MappingTables!$C$34,H4121=MappingTables!$C$35)),1,VLOOKUP(CONCATENATE($D4121,$G4121),CSRFinput!$B:$E,4,0)))</f>
        <v>0.054776304963434752</v>
      </c>
      <c r="W4121" s="85">
        <f>IF(B4121="",0,+$T4121*$V4121)</f>
        <v>4.7399857437890352</v>
      </c>
      <c r="X4121" s="85">
        <f>IF(B4121="",0,IF(OR(H4121=MappingTables!$C$34,H4121=MappingTables!$C$35),W4121,0))</f>
        <v>0</v>
      </c>
    </row>
    <row r="4122" spans="2:24" s="0" customFormat="0" ht="15">
      <c r="B4122" s="69">
        <v>6590851</v>
      </c>
      <c r="C4122" s="70" t="s">
        <v>2556</v>
      </c>
      <c r="D4122" s="70" t="s">
        <v>1</v>
      </c>
      <c r="E4122" s="70" t="s">
        <v>1</v>
      </c>
      <c r="F4122" s="70"/>
      <c r="G4122" s="70" t="s">
        <v>61</v>
      </c>
      <c r="H4122" s="70" t="s">
        <v>178</v>
      </c>
      <c r="I4122" s="70" t="s">
        <v>181</v>
      </c>
      <c r="J4122" s="71">
        <f>IF(OR(I4122=0,I4122=""),"unrated",VLOOKUP(I4122,MappingTables!$B$19:$C$31,2,FALSE))</f>
        <v>3</v>
      </c>
      <c r="K4122" s="72">
        <v>980.46505469600688</v>
      </c>
      <c r="L4122" s="70">
        <v>0.16985910172641968</v>
      </c>
      <c r="M4122" s="71">
        <f>IF(L4122&lt;1,1,L4122)</f>
        <v>1</v>
      </c>
      <c r="N4122" s="70" t="s">
        <v>141</v>
      </c>
      <c r="O4122" s="71">
        <f>INDEX(DurClassMapping,MATCH(M4122,MappingTables!$D$4:$D$8,-1),1)</f>
        <v>1</v>
      </c>
      <c r="P4122" s="73">
        <f>IF(M4122=$A$1,1,$M4122-INDEX(MappingTables!$E$4:$E$8,MATCH(O4122,MappingTables!$B$4:$B$8,0)))</f>
        <v>1</v>
      </c>
      <c r="Q4122" s="71">
        <f>IF(B4122="",0,INDEX(ModelParameters!$D$6:$K$10,MATCH($O4122,ModelParameters!$B$6:$B$10,0),MATCH($J4122,ModelParameters!$D$5:$K$5,0)))</f>
        <v>0.025</v>
      </c>
      <c r="R4122" s="71">
        <f>IF(B4122="",0,INDEX(ModelParameters!$D$13:$K$17,MATCH($O4122,ModelParameters!$B$13:$B$17,0),MATCH($J4122,ModelParameters!$D$5:$K$5,0)))</f>
        <v>0</v>
      </c>
      <c r="S4122" s="160">
        <f>IF(B4122="",0,MIN(IF($N4122="Other Bond TM",ModelParameters!$N$21,1)*(P4122*Q4122+R4122),1))</f>
        <v>0.025</v>
      </c>
      <c r="T4122" s="85">
        <f>IF(B4122="",0,$S4122*$K4122)</f>
        <v>24.511626367400172</v>
      </c>
      <c r="U4122" s="85">
        <f>IF(B4122="",0,IF(OR(H4122=MappingTables!$C$34,H4122=MappingTables!$C$35),T4122,0))</f>
        <v>0</v>
      </c>
      <c r="V4122" s="85">
        <f>IF(ISNA(IF(AND(VLOOKUP(CONCATENATE($D4122,$G4122),CSRFinput!$B:$E,4,0)=0,OR(H4122=MappingTables!$C$34,H4122=MappingTables!$C$35)),1,VLOOKUP(CONCATENATE($D4122,$G4122),CSRFinput!$B:$E,4,0))),0,IF(AND(VLOOKUP(CONCATENATE($D4122,$G4122),CSRFinput!$B:$E,4,0)=0,OR(H4122=MappingTables!$C$34,H4122=MappingTables!$C$35)),1,VLOOKUP(CONCATENATE($D4122,$G4122),CSRFinput!$B:$E,4,0)))</f>
        <v>0.054776304963434752</v>
      </c>
      <c r="W4122" s="85">
        <f>IF(B4122="",0,+$T4122*$V4122)</f>
        <v>1.3426563210504802</v>
      </c>
      <c r="X4122" s="85">
        <f>IF(B4122="",0,IF(OR(H4122=MappingTables!$C$34,H4122=MappingTables!$C$35),W4122,0))</f>
        <v>0</v>
      </c>
    </row>
    <row r="4123" spans="2:24" s="0" customFormat="0" ht="15">
      <c r="B4123" s="69" t="s">
        <v>2246</v>
      </c>
      <c r="C4123" s="70" t="s">
        <v>2247</v>
      </c>
      <c r="D4123" s="70" t="s">
        <v>1</v>
      </c>
      <c r="E4123" s="70" t="s">
        <v>1</v>
      </c>
      <c r="F4123" s="70"/>
      <c r="G4123" s="70" t="s">
        <v>61</v>
      </c>
      <c r="H4123" s="70" t="s">
        <v>178</v>
      </c>
      <c r="I4123" s="70" t="s">
        <v>198</v>
      </c>
      <c r="J4123" s="71" t="str">
        <f>IF(OR(I4123=0,I4123=""),"unrated",VLOOKUP(I4123,MappingTables!$B$19:$C$31,2,FALSE))</f>
        <v>unrated</v>
      </c>
      <c r="K4123" s="72">
        <v>74.23297295413352</v>
      </c>
      <c r="L4123" s="70">
        <v>7.9076452685636864</v>
      </c>
      <c r="M4123" s="71">
        <f>IF(L4123&lt;1,1,L4123)</f>
        <v>7.9076452685636864</v>
      </c>
      <c r="N4123" s="70" t="s">
        <v>141</v>
      </c>
      <c r="O4123" s="71">
        <f>INDEX(DurClassMapping,MATCH(M4123,MappingTables!$D$4:$D$8,-1),1)</f>
        <v>2</v>
      </c>
      <c r="P4123" s="73">
        <f>IF(M4123=$A$1,1,$M4123-INDEX(MappingTables!$E$4:$E$8,MATCH(O4123,MappingTables!$B$4:$B$8,0)))</f>
        <v>2.9076452685636864</v>
      </c>
      <c r="Q4123" s="71">
        <f>IF(B4123="",0,INDEX(ModelParameters!$D$6:$K$10,MATCH($O4123,ModelParameters!$B$6:$B$10,0),MATCH($J4123,ModelParameters!$D$5:$K$5,0)))</f>
        <v>0.017000000000000002</v>
      </c>
      <c r="R4123" s="71">
        <f>IF(B4123="",0,INDEX(ModelParameters!$D$13:$K$17,MATCH($O4123,ModelParameters!$B$13:$B$17,0),MATCH($J4123,ModelParameters!$D$5:$K$5,0)))</f>
        <v>0.15</v>
      </c>
      <c r="S4123" s="160">
        <f>IF(B4123="",0,MIN(IF($N4123="Other Bond TM",ModelParameters!$N$21,1)*(P4123*Q4123+R4123),1))</f>
        <v>0.19942996956558268</v>
      </c>
      <c r="T4123" s="85">
        <f>IF(B4123="",0,$S4123*$K4123)</f>
        <v>14.804279537005568</v>
      </c>
      <c r="U4123" s="85">
        <f>IF(B4123="",0,IF(OR(H4123=MappingTables!$C$34,H4123=MappingTables!$C$35),T4123,0))</f>
        <v>0</v>
      </c>
      <c r="V4123" s="85">
        <f>IF(ISNA(IF(AND(VLOOKUP(CONCATENATE($D4123,$G4123),CSRFinput!$B:$E,4,0)=0,OR(H4123=MappingTables!$C$34,H4123=MappingTables!$C$35)),1,VLOOKUP(CONCATENATE($D4123,$G4123),CSRFinput!$B:$E,4,0))),0,IF(AND(VLOOKUP(CONCATENATE($D4123,$G4123),CSRFinput!$B:$E,4,0)=0,OR(H4123=MappingTables!$C$34,H4123=MappingTables!$C$35)),1,VLOOKUP(CONCATENATE($D4123,$G4123),CSRFinput!$B:$E,4,0)))</f>
        <v>0.054776304963434752</v>
      </c>
      <c r="W4123" s="85">
        <f>IF(B4123="",0,+$T4123*$V4123)</f>
        <v>0.8109237306829536</v>
      </c>
      <c r="X4123" s="85">
        <f>IF(B4123="",0,IF(OR(H4123=MappingTables!$C$34,H4123=MappingTables!$C$35),W4123,0))</f>
        <v>0</v>
      </c>
    </row>
    <row r="4124" spans="2:24" s="0" customFormat="0" ht="15">
      <c r="B4124" s="69">
        <v>21026165</v>
      </c>
      <c r="C4124" s="70" t="s">
        <v>1213</v>
      </c>
      <c r="D4124" s="70" t="s">
        <v>1</v>
      </c>
      <c r="E4124" s="70" t="s">
        <v>1</v>
      </c>
      <c r="F4124" s="70"/>
      <c r="G4124" s="70" t="s">
        <v>61</v>
      </c>
      <c r="H4124" s="70" t="s">
        <v>178</v>
      </c>
      <c r="I4124" s="70" t="s">
        <v>184</v>
      </c>
      <c r="J4124" s="71">
        <f>IF(OR(I4124=0,I4124=""),"unrated",VLOOKUP(I4124,MappingTables!$B$19:$C$31,2,FALSE))</f>
        <v>5</v>
      </c>
      <c r="K4124" s="72">
        <v>2849.7460275609264</v>
      </c>
      <c r="L4124" s="70">
        <v>0.7371657744248536</v>
      </c>
      <c r="M4124" s="71">
        <f>IF(L4124&lt;1,1,L4124)</f>
        <v>1</v>
      </c>
      <c r="N4124" s="70" t="s">
        <v>141</v>
      </c>
      <c r="O4124" s="71">
        <f>INDEX(DurClassMapping,MATCH(M4124,MappingTables!$D$4:$D$8,-1),1)</f>
        <v>1</v>
      </c>
      <c r="P4124" s="73">
        <f>IF(M4124=$A$1,1,$M4124-INDEX(MappingTables!$E$4:$E$8,MATCH(O4124,MappingTables!$B$4:$B$8,0)))</f>
        <v>1</v>
      </c>
      <c r="Q4124" s="71">
        <f>IF(B4124="",0,INDEX(ModelParameters!$D$6:$K$10,MATCH($O4124,ModelParameters!$B$6:$B$10,0),MATCH($J4124,ModelParameters!$D$5:$K$5,0)))</f>
        <v>0.075</v>
      </c>
      <c r="R4124" s="71">
        <f>IF(B4124="",0,INDEX(ModelParameters!$D$13:$K$17,MATCH($O4124,ModelParameters!$B$13:$B$17,0),MATCH($J4124,ModelParameters!$D$5:$K$5,0)))</f>
        <v>0</v>
      </c>
      <c r="S4124" s="160">
        <f>IF(B4124="",0,MIN(IF($N4124="Other Bond TM",ModelParameters!$N$21,1)*(P4124*Q4124+R4124),1))</f>
        <v>0.075</v>
      </c>
      <c r="T4124" s="85">
        <f>IF(B4124="",0,$S4124*$K4124)</f>
        <v>213.73095206706948</v>
      </c>
      <c r="U4124" s="85">
        <f>IF(B4124="",0,IF(OR(H4124=MappingTables!$C$34,H4124=MappingTables!$C$35),T4124,0))</f>
        <v>0</v>
      </c>
      <c r="V4124" s="85">
        <f>IF(ISNA(IF(AND(VLOOKUP(CONCATENATE($D4124,$G4124),CSRFinput!$B:$E,4,0)=0,OR(H4124=MappingTables!$C$34,H4124=MappingTables!$C$35)),1,VLOOKUP(CONCATENATE($D4124,$G4124),CSRFinput!$B:$E,4,0))),0,IF(AND(VLOOKUP(CONCATENATE($D4124,$G4124),CSRFinput!$B:$E,4,0)=0,OR(H4124=MappingTables!$C$34,H4124=MappingTables!$C$35)),1,VLOOKUP(CONCATENATE($D4124,$G4124),CSRFinput!$B:$E,4,0)))</f>
        <v>0.054776304963434752</v>
      </c>
      <c r="W4124" s="85">
        <f>IF(B4124="",0,+$T4124*$V4124)</f>
        <v>11.707391810551054</v>
      </c>
      <c r="X4124" s="85">
        <f>IF(B4124="",0,IF(OR(H4124=MappingTables!$C$34,H4124=MappingTables!$C$35),W4124,0))</f>
        <v>0</v>
      </c>
    </row>
    <row r="4125" spans="2:24" s="0" customFormat="0" ht="15">
      <c r="B4125" s="69">
        <v>13240037</v>
      </c>
      <c r="C4125" s="70" t="s">
        <v>2221</v>
      </c>
      <c r="D4125" s="70" t="s">
        <v>1</v>
      </c>
      <c r="E4125" s="70" t="s">
        <v>1</v>
      </c>
      <c r="F4125" s="70"/>
      <c r="G4125" s="70" t="s">
        <v>61</v>
      </c>
      <c r="H4125" s="70" t="s">
        <v>178</v>
      </c>
      <c r="I4125" s="70" t="s">
        <v>184</v>
      </c>
      <c r="J4125" s="71">
        <f>IF(OR(I4125=0,I4125=""),"unrated",VLOOKUP(I4125,MappingTables!$B$19:$C$31,2,FALSE))</f>
        <v>5</v>
      </c>
      <c r="K4125" s="72">
        <v>515.55814370785152</v>
      </c>
      <c r="L4125" s="70">
        <v>0.087671186834263664</v>
      </c>
      <c r="M4125" s="71">
        <f>IF(L4125&lt;1,1,L4125)</f>
        <v>1</v>
      </c>
      <c r="N4125" s="70" t="s">
        <v>141</v>
      </c>
      <c r="O4125" s="71">
        <f>INDEX(DurClassMapping,MATCH(M4125,MappingTables!$D$4:$D$8,-1),1)</f>
        <v>1</v>
      </c>
      <c r="P4125" s="73">
        <f>IF(M4125=$A$1,1,$M4125-INDEX(MappingTables!$E$4:$E$8,MATCH(O4125,MappingTables!$B$4:$B$8,0)))</f>
        <v>1</v>
      </c>
      <c r="Q4125" s="71">
        <f>IF(B4125="",0,INDEX(ModelParameters!$D$6:$K$10,MATCH($O4125,ModelParameters!$B$6:$B$10,0),MATCH($J4125,ModelParameters!$D$5:$K$5,0)))</f>
        <v>0.075</v>
      </c>
      <c r="R4125" s="71">
        <f>IF(B4125="",0,INDEX(ModelParameters!$D$13:$K$17,MATCH($O4125,ModelParameters!$B$13:$B$17,0),MATCH($J4125,ModelParameters!$D$5:$K$5,0)))</f>
        <v>0</v>
      </c>
      <c r="S4125" s="160">
        <f>IF(B4125="",0,MIN(IF($N4125="Other Bond TM",ModelParameters!$N$21,1)*(P4125*Q4125+R4125),1))</f>
        <v>0.075</v>
      </c>
      <c r="T4125" s="85">
        <f>IF(B4125="",0,$S4125*$K4125)</f>
        <v>38.666860778088864</v>
      </c>
      <c r="U4125" s="85">
        <f>IF(B4125="",0,IF(OR(H4125=MappingTables!$C$34,H4125=MappingTables!$C$35),T4125,0))</f>
        <v>0</v>
      </c>
      <c r="V4125" s="85">
        <f>IF(ISNA(IF(AND(VLOOKUP(CONCATENATE($D4125,$G4125),CSRFinput!$B:$E,4,0)=0,OR(H4125=MappingTables!$C$34,H4125=MappingTables!$C$35)),1,VLOOKUP(CONCATENATE($D4125,$G4125),CSRFinput!$B:$E,4,0))),0,IF(AND(VLOOKUP(CONCATENATE($D4125,$G4125),CSRFinput!$B:$E,4,0)=0,OR(H4125=MappingTables!$C$34,H4125=MappingTables!$C$35)),1,VLOOKUP(CONCATENATE($D4125,$G4125),CSRFinput!$B:$E,4,0)))</f>
        <v>0.054776304963434752</v>
      </c>
      <c r="W4125" s="85">
        <f>IF(B4125="",0,+$T4125*$V4125)</f>
        <v>2.1180277579592696</v>
      </c>
      <c r="X4125" s="85">
        <f>IF(B4125="",0,IF(OR(H4125=MappingTables!$C$34,H4125=MappingTables!$C$35),W4125,0))</f>
        <v>0</v>
      </c>
    </row>
    <row r="4126" spans="2:24" s="0" customFormat="0" ht="15">
      <c r="B4126" s="69">
        <v>19494656</v>
      </c>
      <c r="C4126" s="70" t="s">
        <v>2629</v>
      </c>
      <c r="D4126" s="70" t="s">
        <v>1</v>
      </c>
      <c r="E4126" s="70" t="s">
        <v>1</v>
      </c>
      <c r="F4126" s="70"/>
      <c r="G4126" s="70" t="s">
        <v>61</v>
      </c>
      <c r="H4126" s="70" t="s">
        <v>178</v>
      </c>
      <c r="I4126" s="70" t="s">
        <v>184</v>
      </c>
      <c r="J4126" s="71">
        <f>IF(OR(I4126=0,I4126=""),"unrated",VLOOKUP(I4126,MappingTables!$B$19:$C$31,2,FALSE))</f>
        <v>5</v>
      </c>
      <c r="K4126" s="72">
        <v>2906.2878531940328</v>
      </c>
      <c r="L4126" s="70">
        <v>0.29315108667041772</v>
      </c>
      <c r="M4126" s="71">
        <f>IF(L4126&lt;1,1,L4126)</f>
        <v>1</v>
      </c>
      <c r="N4126" s="70" t="s">
        <v>141</v>
      </c>
      <c r="O4126" s="71">
        <f>INDEX(DurClassMapping,MATCH(M4126,MappingTables!$D$4:$D$8,-1),1)</f>
        <v>1</v>
      </c>
      <c r="P4126" s="73">
        <f>IF(M4126=$A$1,1,$M4126-INDEX(MappingTables!$E$4:$E$8,MATCH(O4126,MappingTables!$B$4:$B$8,0)))</f>
        <v>1</v>
      </c>
      <c r="Q4126" s="71">
        <f>IF(B4126="",0,INDEX(ModelParameters!$D$6:$K$10,MATCH($O4126,ModelParameters!$B$6:$B$10,0),MATCH($J4126,ModelParameters!$D$5:$K$5,0)))</f>
        <v>0.075</v>
      </c>
      <c r="R4126" s="71">
        <f>IF(B4126="",0,INDEX(ModelParameters!$D$13:$K$17,MATCH($O4126,ModelParameters!$B$13:$B$17,0),MATCH($J4126,ModelParameters!$D$5:$K$5,0)))</f>
        <v>0</v>
      </c>
      <c r="S4126" s="160">
        <f>IF(B4126="",0,MIN(IF($N4126="Other Bond TM",ModelParameters!$N$21,1)*(P4126*Q4126+R4126),1))</f>
        <v>0.075</v>
      </c>
      <c r="T4126" s="85">
        <f>IF(B4126="",0,$S4126*$K4126)</f>
        <v>217.97158898955244</v>
      </c>
      <c r="U4126" s="85">
        <f>IF(B4126="",0,IF(OR(H4126=MappingTables!$C$34,H4126=MappingTables!$C$35),T4126,0))</f>
        <v>0</v>
      </c>
      <c r="V4126" s="85">
        <f>IF(ISNA(IF(AND(VLOOKUP(CONCATENATE($D4126,$G4126),CSRFinput!$B:$E,4,0)=0,OR(H4126=MappingTables!$C$34,H4126=MappingTables!$C$35)),1,VLOOKUP(CONCATENATE($D4126,$G4126),CSRFinput!$B:$E,4,0))),0,IF(AND(VLOOKUP(CONCATENATE($D4126,$G4126),CSRFinput!$B:$E,4,0)=0,OR(H4126=MappingTables!$C$34,H4126=MappingTables!$C$35)),1,VLOOKUP(CONCATENATE($D4126,$G4126),CSRFinput!$B:$E,4,0)))</f>
        <v>0.054776304963434752</v>
      </c>
      <c r="W4126" s="85">
        <f>IF(B4126="",0,+$T4126*$V4126)</f>
        <v>11.939678231856182</v>
      </c>
      <c r="X4126" s="85">
        <f>IF(B4126="",0,IF(OR(H4126=MappingTables!$C$34,H4126=MappingTables!$C$35),W4126,0))</f>
        <v>0</v>
      </c>
    </row>
    <row r="4127" spans="2:24" s="0" customFormat="0" ht="15">
      <c r="B4127" s="69">
        <v>10572226</v>
      </c>
      <c r="C4127" s="70" t="s">
        <v>418</v>
      </c>
      <c r="D4127" s="70" t="s">
        <v>1</v>
      </c>
      <c r="E4127" s="70" t="s">
        <v>1</v>
      </c>
      <c r="F4127" s="70"/>
      <c r="G4127" s="70" t="s">
        <v>61</v>
      </c>
      <c r="H4127" s="70" t="s">
        <v>178</v>
      </c>
      <c r="I4127" s="70" t="s">
        <v>181</v>
      </c>
      <c r="J4127" s="71">
        <f>IF(OR(I4127=0,I4127=""),"unrated",VLOOKUP(I4127,MappingTables!$B$19:$C$31,2,FALSE))</f>
        <v>3</v>
      </c>
      <c r="K4127" s="72">
        <v>7.740495556524296</v>
      </c>
      <c r="L4127" s="70">
        <v>0.31780620118626752</v>
      </c>
      <c r="M4127" s="71">
        <f>IF(L4127&lt;1,1,L4127)</f>
        <v>1</v>
      </c>
      <c r="N4127" s="70" t="s">
        <v>141</v>
      </c>
      <c r="O4127" s="71">
        <f>INDEX(DurClassMapping,MATCH(M4127,MappingTables!$D$4:$D$8,-1),1)</f>
        <v>1</v>
      </c>
      <c r="P4127" s="73">
        <f>IF(M4127=$A$1,1,$M4127-INDEX(MappingTables!$E$4:$E$8,MATCH(O4127,MappingTables!$B$4:$B$8,0)))</f>
        <v>1</v>
      </c>
      <c r="Q4127" s="71">
        <f>IF(B4127="",0,INDEX(ModelParameters!$D$6:$K$10,MATCH($O4127,ModelParameters!$B$6:$B$10,0),MATCH($J4127,ModelParameters!$D$5:$K$5,0)))</f>
        <v>0.025</v>
      </c>
      <c r="R4127" s="71">
        <f>IF(B4127="",0,INDEX(ModelParameters!$D$13:$K$17,MATCH($O4127,ModelParameters!$B$13:$B$17,0),MATCH($J4127,ModelParameters!$D$5:$K$5,0)))</f>
        <v>0</v>
      </c>
      <c r="S4127" s="160">
        <f>IF(B4127="",0,MIN(IF($N4127="Other Bond TM",ModelParameters!$N$21,1)*(P4127*Q4127+R4127),1))</f>
        <v>0.025</v>
      </c>
      <c r="T4127" s="85">
        <f>IF(B4127="",0,$S4127*$K4127)</f>
        <v>0.1935123889131074</v>
      </c>
      <c r="U4127" s="85">
        <f>IF(B4127="",0,IF(OR(H4127=MappingTables!$C$34,H4127=MappingTables!$C$35),T4127,0))</f>
        <v>0</v>
      </c>
      <c r="V4127" s="85">
        <f>IF(ISNA(IF(AND(VLOOKUP(CONCATENATE($D4127,$G4127),CSRFinput!$B:$E,4,0)=0,OR(H4127=MappingTables!$C$34,H4127=MappingTables!$C$35)),1,VLOOKUP(CONCATENATE($D4127,$G4127),CSRFinput!$B:$E,4,0))),0,IF(AND(VLOOKUP(CONCATENATE($D4127,$G4127),CSRFinput!$B:$E,4,0)=0,OR(H4127=MappingTables!$C$34,H4127=MappingTables!$C$35)),1,VLOOKUP(CONCATENATE($D4127,$G4127),CSRFinput!$B:$E,4,0)))</f>
        <v>0.054776304963434752</v>
      </c>
      <c r="W4127" s="85">
        <f>IF(B4127="",0,+$T4127*$V4127)</f>
        <v>0.010599893629307162</v>
      </c>
      <c r="X4127" s="85">
        <f>IF(B4127="",0,IF(OR(H4127=MappingTables!$C$34,H4127=MappingTables!$C$35),W4127,0))</f>
        <v>0</v>
      </c>
    </row>
    <row r="4128" spans="2:24" s="0" customFormat="0" ht="15">
      <c r="B4128" s="69" t="s">
        <v>2560</v>
      </c>
      <c r="C4128" s="70" t="s">
        <v>2561</v>
      </c>
      <c r="D4128" s="70" t="s">
        <v>1</v>
      </c>
      <c r="E4128" s="70" t="s">
        <v>1</v>
      </c>
      <c r="F4128" s="70"/>
      <c r="G4128" s="70" t="s">
        <v>61</v>
      </c>
      <c r="H4128" s="70" t="s">
        <v>178</v>
      </c>
      <c r="I4128" s="70" t="s">
        <v>188</v>
      </c>
      <c r="J4128" s="71">
        <f>IF(OR(I4128=0,I4128=""),"unrated",VLOOKUP(I4128,MappingTables!$B$19:$C$31,2,FALSE))</f>
        <v>2</v>
      </c>
      <c r="K4128" s="72">
        <v>1.051997843557068</v>
      </c>
      <c r="L4128" s="70">
        <v>1.9277791176449952</v>
      </c>
      <c r="M4128" s="71">
        <f>IF(L4128&lt;1,1,L4128)</f>
        <v>1.9277791176449952</v>
      </c>
      <c r="N4128" s="70" t="s">
        <v>141</v>
      </c>
      <c r="O4128" s="71">
        <f>INDEX(DurClassMapping,MATCH(M4128,MappingTables!$D$4:$D$8,-1),1)</f>
        <v>1</v>
      </c>
      <c r="P4128" s="73">
        <f>IF(M4128=$A$1,1,$M4128-INDEX(MappingTables!$E$4:$E$8,MATCH(O4128,MappingTables!$B$4:$B$8,0)))</f>
        <v>1.9277791176449952</v>
      </c>
      <c r="Q4128" s="71">
        <f>IF(B4128="",0,INDEX(ModelParameters!$D$6:$K$10,MATCH($O4128,ModelParameters!$B$6:$B$10,0),MATCH($J4128,ModelParameters!$D$5:$K$5,0)))</f>
        <v>0.013999999999999998</v>
      </c>
      <c r="R4128" s="71">
        <f>IF(B4128="",0,INDEX(ModelParameters!$D$13:$K$17,MATCH($O4128,ModelParameters!$B$13:$B$17,0),MATCH($J4128,ModelParameters!$D$5:$K$5,0)))</f>
        <v>0</v>
      </c>
      <c r="S4128" s="160">
        <f>IF(B4128="",0,MIN(IF($N4128="Other Bond TM",ModelParameters!$N$21,1)*(P4128*Q4128+R4128),1))</f>
        <v>0.026988907647029928</v>
      </c>
      <c r="T4128" s="85">
        <f>IF(B4128="",0,$S4128*$K4128)</f>
        <v>0.028392272644636348</v>
      </c>
      <c r="U4128" s="85">
        <f>IF(B4128="",0,IF(OR(H4128=MappingTables!$C$34,H4128=MappingTables!$C$35),T4128,0))</f>
        <v>0</v>
      </c>
      <c r="V4128" s="85">
        <f>IF(ISNA(IF(AND(VLOOKUP(CONCATENATE($D4128,$G4128),CSRFinput!$B:$E,4,0)=0,OR(H4128=MappingTables!$C$34,H4128=MappingTables!$C$35)),1,VLOOKUP(CONCATENATE($D4128,$G4128),CSRFinput!$B:$E,4,0))),0,IF(AND(VLOOKUP(CONCATENATE($D4128,$G4128),CSRFinput!$B:$E,4,0)=0,OR(H4128=MappingTables!$C$34,H4128=MappingTables!$C$35)),1,VLOOKUP(CONCATENATE($D4128,$G4128),CSRFinput!$B:$E,4,0)))</f>
        <v>0.054776304963434752</v>
      </c>
      <c r="W4128" s="85">
        <f>IF(B4128="",0,+$T4128*$V4128)</f>
        <v>0.0015552237849875868</v>
      </c>
      <c r="X4128" s="85">
        <f>IF(B4128="",0,IF(OR(H4128=MappingTables!$C$34,H4128=MappingTables!$C$35),W4128,0))</f>
        <v>0</v>
      </c>
    </row>
    <row r="4129" spans="2:24" s="0" customFormat="0" ht="15">
      <c r="B4129" s="69" t="s">
        <v>1979</v>
      </c>
      <c r="C4129" s="70" t="s">
        <v>1980</v>
      </c>
      <c r="D4129" s="70" t="s">
        <v>1</v>
      </c>
      <c r="E4129" s="70" t="s">
        <v>1</v>
      </c>
      <c r="F4129" s="70"/>
      <c r="G4129" s="70" t="s">
        <v>61</v>
      </c>
      <c r="H4129" s="70" t="s">
        <v>178</v>
      </c>
      <c r="I4129" s="70" t="s">
        <v>179</v>
      </c>
      <c r="J4129" s="71">
        <f>IF(OR(I4129=0,I4129=""),"unrated",VLOOKUP(I4129,MappingTables!$B$19:$C$31,2,FALSE))</f>
        <v>4</v>
      </c>
      <c r="K4129" s="72">
        <v>29.63519829686904</v>
      </c>
      <c r="L4129" s="70">
        <v>4.5105426263966016</v>
      </c>
      <c r="M4129" s="71">
        <f>IF(L4129&lt;1,1,L4129)</f>
        <v>4.5105426263966016</v>
      </c>
      <c r="N4129" s="70" t="s">
        <v>141</v>
      </c>
      <c r="O4129" s="71">
        <f>INDEX(DurClassMapping,MATCH(M4129,MappingTables!$D$4:$D$8,-1),1)</f>
        <v>1</v>
      </c>
      <c r="P4129" s="73">
        <f>IF(M4129=$A$1,1,$M4129-INDEX(MappingTables!$E$4:$E$8,MATCH(O4129,MappingTables!$B$4:$B$8,0)))</f>
        <v>4.5105426263966016</v>
      </c>
      <c r="Q4129" s="71">
        <f>IF(B4129="",0,INDEX(ModelParameters!$D$6:$K$10,MATCH($O4129,ModelParameters!$B$6:$B$10,0),MATCH($J4129,ModelParameters!$D$5:$K$5,0)))</f>
        <v>0.045</v>
      </c>
      <c r="R4129" s="71">
        <f>IF(B4129="",0,INDEX(ModelParameters!$D$13:$K$17,MATCH($O4129,ModelParameters!$B$13:$B$17,0),MATCH($J4129,ModelParameters!$D$5:$K$5,0)))</f>
        <v>0</v>
      </c>
      <c r="S4129" s="160">
        <f>IF(B4129="",0,MIN(IF($N4129="Other Bond TM",ModelParameters!$N$21,1)*(P4129*Q4129+R4129),1))</f>
        <v>0.20297441818784708</v>
      </c>
      <c r="T4129" s="85">
        <f>IF(B4129="",0,$S4129*$K4129)</f>
        <v>6.0151871321884688</v>
      </c>
      <c r="U4129" s="85">
        <f>IF(B4129="",0,IF(OR(H4129=MappingTables!$C$34,H4129=MappingTables!$C$35),T4129,0))</f>
        <v>0</v>
      </c>
      <c r="V4129" s="85">
        <f>IF(ISNA(IF(AND(VLOOKUP(CONCATENATE($D4129,$G4129),CSRFinput!$B:$E,4,0)=0,OR(H4129=MappingTables!$C$34,H4129=MappingTables!$C$35)),1,VLOOKUP(CONCATENATE($D4129,$G4129),CSRFinput!$B:$E,4,0))),0,IF(AND(VLOOKUP(CONCATENATE($D4129,$G4129),CSRFinput!$B:$E,4,0)=0,OR(H4129=MappingTables!$C$34,H4129=MappingTables!$C$35)),1,VLOOKUP(CONCATENATE($D4129,$G4129),CSRFinput!$B:$E,4,0)))</f>
        <v>0.054776304963434752</v>
      </c>
      <c r="W4129" s="85">
        <f>IF(B4129="",0,+$T4129*$V4129)</f>
        <v>0.32948972476488408</v>
      </c>
      <c r="X4129" s="85">
        <f>IF(B4129="",0,IF(OR(H4129=MappingTables!$C$34,H4129=MappingTables!$C$35),W4129,0))</f>
        <v>0</v>
      </c>
    </row>
    <row r="4130" spans="2:24" s="0" customFormat="0" ht="15">
      <c r="B4130" s="69">
        <v>14845766</v>
      </c>
      <c r="C4130" s="70" t="s">
        <v>773</v>
      </c>
      <c r="D4130" s="70" t="s">
        <v>1</v>
      </c>
      <c r="E4130" s="70" t="s">
        <v>1</v>
      </c>
      <c r="F4130" s="70"/>
      <c r="G4130" s="70" t="s">
        <v>61</v>
      </c>
      <c r="H4130" s="70" t="s">
        <v>178</v>
      </c>
      <c r="I4130" s="70" t="s">
        <v>181</v>
      </c>
      <c r="J4130" s="71">
        <f>IF(OR(I4130=0,I4130=""),"unrated",VLOOKUP(I4130,MappingTables!$B$19:$C$31,2,FALSE))</f>
        <v>3</v>
      </c>
      <c r="K4130" s="72">
        <v>502.48367937612648</v>
      </c>
      <c r="L4130" s="70">
        <v>1.6299980803636418</v>
      </c>
      <c r="M4130" s="71">
        <f>IF(L4130&lt;1,1,L4130)</f>
        <v>1.6299980803636418</v>
      </c>
      <c r="N4130" s="70" t="s">
        <v>141</v>
      </c>
      <c r="O4130" s="71">
        <f>INDEX(DurClassMapping,MATCH(M4130,MappingTables!$D$4:$D$8,-1),1)</f>
        <v>1</v>
      </c>
      <c r="P4130" s="73">
        <f>IF(M4130=$A$1,1,$M4130-INDEX(MappingTables!$E$4:$E$8,MATCH(O4130,MappingTables!$B$4:$B$8,0)))</f>
        <v>1.6299980803636418</v>
      </c>
      <c r="Q4130" s="71">
        <f>IF(B4130="",0,INDEX(ModelParameters!$D$6:$K$10,MATCH($O4130,ModelParameters!$B$6:$B$10,0),MATCH($J4130,ModelParameters!$D$5:$K$5,0)))</f>
        <v>0.025</v>
      </c>
      <c r="R4130" s="71">
        <f>IF(B4130="",0,INDEX(ModelParameters!$D$13:$K$17,MATCH($O4130,ModelParameters!$B$13:$B$17,0),MATCH($J4130,ModelParameters!$D$5:$K$5,0)))</f>
        <v>0</v>
      </c>
      <c r="S4130" s="160">
        <f>IF(B4130="",0,MIN(IF($N4130="Other Bond TM",ModelParameters!$N$21,1)*(P4130*Q4130+R4130),1))</f>
        <v>0.040749952009091048</v>
      </c>
      <c r="T4130" s="85">
        <f>IF(B4130="",0,$S4130*$K4130)</f>
        <v>20.476185819928644</v>
      </c>
      <c r="U4130" s="85">
        <f>IF(B4130="",0,IF(OR(H4130=MappingTables!$C$34,H4130=MappingTables!$C$35),T4130,0))</f>
        <v>0</v>
      </c>
      <c r="V4130" s="85">
        <f>IF(ISNA(IF(AND(VLOOKUP(CONCATENATE($D4130,$G4130),CSRFinput!$B:$E,4,0)=0,OR(H4130=MappingTables!$C$34,H4130=MappingTables!$C$35)),1,VLOOKUP(CONCATENATE($D4130,$G4130),CSRFinput!$B:$E,4,0))),0,IF(AND(VLOOKUP(CONCATENATE($D4130,$G4130),CSRFinput!$B:$E,4,0)=0,OR(H4130=MappingTables!$C$34,H4130=MappingTables!$C$35)),1,VLOOKUP(CONCATENATE($D4130,$G4130),CSRFinput!$B:$E,4,0)))</f>
        <v>0.054776304963434752</v>
      </c>
      <c r="W4130" s="85">
        <f>IF(B4130="",0,+$T4130*$V4130)</f>
        <v>1.1216097989603698</v>
      </c>
      <c r="X4130" s="85">
        <f>IF(B4130="",0,IF(OR(H4130=MappingTables!$C$34,H4130=MappingTables!$C$35),W4130,0))</f>
        <v>0</v>
      </c>
    </row>
    <row r="4131" spans="2:24" s="0" customFormat="0" ht="15">
      <c r="B4131" s="69">
        <v>12827546</v>
      </c>
      <c r="C4131" s="70" t="s">
        <v>261</v>
      </c>
      <c r="D4131" s="70" t="s">
        <v>1</v>
      </c>
      <c r="E4131" s="70" t="s">
        <v>1</v>
      </c>
      <c r="F4131" s="70"/>
      <c r="G4131" s="70" t="s">
        <v>61</v>
      </c>
      <c r="H4131" s="70" t="s">
        <v>178</v>
      </c>
      <c r="I4131" s="70" t="s">
        <v>179</v>
      </c>
      <c r="J4131" s="71">
        <f>IF(OR(I4131=0,I4131=""),"unrated",VLOOKUP(I4131,MappingTables!$B$19:$C$31,2,FALSE))</f>
        <v>4</v>
      </c>
      <c r="K4131" s="72">
        <v>63.81476448771596</v>
      </c>
      <c r="L4131" s="70">
        <v>0.74888730418107248</v>
      </c>
      <c r="M4131" s="71">
        <f>IF(L4131&lt;1,1,L4131)</f>
        <v>1</v>
      </c>
      <c r="N4131" s="70" t="s">
        <v>141</v>
      </c>
      <c r="O4131" s="71">
        <f>INDEX(DurClassMapping,MATCH(M4131,MappingTables!$D$4:$D$8,-1),1)</f>
        <v>1</v>
      </c>
      <c r="P4131" s="73">
        <f>IF(M4131=$A$1,1,$M4131-INDEX(MappingTables!$E$4:$E$8,MATCH(O4131,MappingTables!$B$4:$B$8,0)))</f>
        <v>1</v>
      </c>
      <c r="Q4131" s="71">
        <f>IF(B4131="",0,INDEX(ModelParameters!$D$6:$K$10,MATCH($O4131,ModelParameters!$B$6:$B$10,0),MATCH($J4131,ModelParameters!$D$5:$K$5,0)))</f>
        <v>0.045</v>
      </c>
      <c r="R4131" s="71">
        <f>IF(B4131="",0,INDEX(ModelParameters!$D$13:$K$17,MATCH($O4131,ModelParameters!$B$13:$B$17,0),MATCH($J4131,ModelParameters!$D$5:$K$5,0)))</f>
        <v>0</v>
      </c>
      <c r="S4131" s="160">
        <f>IF(B4131="",0,MIN(IF($N4131="Other Bond TM",ModelParameters!$N$21,1)*(P4131*Q4131+R4131),1))</f>
        <v>0.045</v>
      </c>
      <c r="T4131" s="85">
        <f>IF(B4131="",0,$S4131*$K4131)</f>
        <v>2.871664401947218</v>
      </c>
      <c r="U4131" s="85">
        <f>IF(B4131="",0,IF(OR(H4131=MappingTables!$C$34,H4131=MappingTables!$C$35),T4131,0))</f>
        <v>0</v>
      </c>
      <c r="V4131" s="85">
        <f>IF(ISNA(IF(AND(VLOOKUP(CONCATENATE($D4131,$G4131),CSRFinput!$B:$E,4,0)=0,OR(H4131=MappingTables!$C$34,H4131=MappingTables!$C$35)),1,VLOOKUP(CONCATENATE($D4131,$G4131),CSRFinput!$B:$E,4,0))),0,IF(AND(VLOOKUP(CONCATENATE($D4131,$G4131),CSRFinput!$B:$E,4,0)=0,OR(H4131=MappingTables!$C$34,H4131=MappingTables!$C$35)),1,VLOOKUP(CONCATENATE($D4131,$G4131),CSRFinput!$B:$E,4,0)))</f>
        <v>0.054776304963434752</v>
      </c>
      <c r="W4131" s="85">
        <f>IF(B4131="",0,+$T4131*$V4131)</f>
        <v>0.15729916503370032</v>
      </c>
      <c r="X4131" s="85">
        <f>IF(B4131="",0,IF(OR(H4131=MappingTables!$C$34,H4131=MappingTables!$C$35),W4131,0))</f>
        <v>0</v>
      </c>
    </row>
    <row r="4132" spans="2:24" s="0" customFormat="0" ht="15">
      <c r="B4132" s="69">
        <v>7811728</v>
      </c>
      <c r="C4132" s="70" t="s">
        <v>2731</v>
      </c>
      <c r="D4132" s="70" t="s">
        <v>1</v>
      </c>
      <c r="E4132" s="70" t="s">
        <v>1</v>
      </c>
      <c r="F4132" s="70"/>
      <c r="G4132" s="70" t="s">
        <v>61</v>
      </c>
      <c r="H4132" s="70" t="s">
        <v>178</v>
      </c>
      <c r="I4132" s="70" t="s">
        <v>188</v>
      </c>
      <c r="J4132" s="71">
        <f>IF(OR(I4132=0,I4132=""),"unrated",VLOOKUP(I4132,MappingTables!$B$19:$C$31,2,FALSE))</f>
        <v>2</v>
      </c>
      <c r="K4132" s="72">
        <v>2.324765346571534</v>
      </c>
      <c r="L4132" s="70">
        <v>0.89042419931317968</v>
      </c>
      <c r="M4132" s="71">
        <f>IF(L4132&lt;1,1,L4132)</f>
        <v>1</v>
      </c>
      <c r="N4132" s="70" t="s">
        <v>141</v>
      </c>
      <c r="O4132" s="71">
        <f>INDEX(DurClassMapping,MATCH(M4132,MappingTables!$D$4:$D$8,-1),1)</f>
        <v>1</v>
      </c>
      <c r="P4132" s="73">
        <f>IF(M4132=$A$1,1,$M4132-INDEX(MappingTables!$E$4:$E$8,MATCH(O4132,MappingTables!$B$4:$B$8,0)))</f>
        <v>1</v>
      </c>
      <c r="Q4132" s="71">
        <f>IF(B4132="",0,INDEX(ModelParameters!$D$6:$K$10,MATCH($O4132,ModelParameters!$B$6:$B$10,0),MATCH($J4132,ModelParameters!$D$5:$K$5,0)))</f>
        <v>0.013999999999999998</v>
      </c>
      <c r="R4132" s="71">
        <f>IF(B4132="",0,INDEX(ModelParameters!$D$13:$K$17,MATCH($O4132,ModelParameters!$B$13:$B$17,0),MATCH($J4132,ModelParameters!$D$5:$K$5,0)))</f>
        <v>0</v>
      </c>
      <c r="S4132" s="160">
        <f>IF(B4132="",0,MIN(IF($N4132="Other Bond TM",ModelParameters!$N$21,1)*(P4132*Q4132+R4132),1))</f>
        <v>0.013999999999999998</v>
      </c>
      <c r="T4132" s="85">
        <f>IF(B4132="",0,$S4132*$K4132)</f>
        <v>0.032546714852001472</v>
      </c>
      <c r="U4132" s="85">
        <f>IF(B4132="",0,IF(OR(H4132=MappingTables!$C$34,H4132=MappingTables!$C$35),T4132,0))</f>
        <v>0</v>
      </c>
      <c r="V4132" s="85">
        <f>IF(ISNA(IF(AND(VLOOKUP(CONCATENATE($D4132,$G4132),CSRFinput!$B:$E,4,0)=0,OR(H4132=MappingTables!$C$34,H4132=MappingTables!$C$35)),1,VLOOKUP(CONCATENATE($D4132,$G4132),CSRFinput!$B:$E,4,0))),0,IF(AND(VLOOKUP(CONCATENATE($D4132,$G4132),CSRFinput!$B:$E,4,0)=0,OR(H4132=MappingTables!$C$34,H4132=MappingTables!$C$35)),1,VLOOKUP(CONCATENATE($D4132,$G4132),CSRFinput!$B:$E,4,0)))</f>
        <v>0.054776304963434752</v>
      </c>
      <c r="W4132" s="85">
        <f>IF(B4132="",0,+$T4132*$V4132)</f>
        <v>0.0017827887782911838</v>
      </c>
      <c r="X4132" s="85">
        <f>IF(B4132="",0,IF(OR(H4132=MappingTables!$C$34,H4132=MappingTables!$C$35),W4132,0))</f>
        <v>0</v>
      </c>
    </row>
    <row r="4133" spans="2:24" s="0" customFormat="0" ht="15">
      <c r="B4133" s="69" t="s">
        <v>428</v>
      </c>
      <c r="C4133" s="70" t="s">
        <v>429</v>
      </c>
      <c r="D4133" s="70" t="s">
        <v>1</v>
      </c>
      <c r="E4133" s="70" t="s">
        <v>1</v>
      </c>
      <c r="F4133" s="70"/>
      <c r="G4133" s="70" t="s">
        <v>61</v>
      </c>
      <c r="H4133" s="70" t="s">
        <v>178</v>
      </c>
      <c r="I4133" s="70" t="s">
        <v>198</v>
      </c>
      <c r="J4133" s="71" t="str">
        <f>IF(OR(I4133=0,I4133=""),"unrated",VLOOKUP(I4133,MappingTables!$B$19:$C$31,2,FALSE))</f>
        <v>unrated</v>
      </c>
      <c r="K4133" s="72">
        <v>5146.1038597483936</v>
      </c>
      <c r="L4133" s="70">
        <v>0.20821941745263688</v>
      </c>
      <c r="M4133" s="71">
        <f>IF(L4133&lt;1,1,L4133)</f>
        <v>1</v>
      </c>
      <c r="N4133" s="70" t="s">
        <v>141</v>
      </c>
      <c r="O4133" s="71">
        <f>INDEX(DurClassMapping,MATCH(M4133,MappingTables!$D$4:$D$8,-1),1)</f>
        <v>1</v>
      </c>
      <c r="P4133" s="73">
        <f>IF(M4133=$A$1,1,$M4133-INDEX(MappingTables!$E$4:$E$8,MATCH(O4133,MappingTables!$B$4:$B$8,0)))</f>
        <v>1</v>
      </c>
      <c r="Q4133" s="71">
        <f>IF(B4133="",0,INDEX(ModelParameters!$D$6:$K$10,MATCH($O4133,ModelParameters!$B$6:$B$10,0),MATCH($J4133,ModelParameters!$D$5:$K$5,0)))</f>
        <v>0.03</v>
      </c>
      <c r="R4133" s="71">
        <f>IF(B4133="",0,INDEX(ModelParameters!$D$13:$K$17,MATCH($O4133,ModelParameters!$B$13:$B$17,0),MATCH($J4133,ModelParameters!$D$5:$K$5,0)))</f>
        <v>0</v>
      </c>
      <c r="S4133" s="160">
        <f>IF(B4133="",0,MIN(IF($N4133="Other Bond TM",ModelParameters!$N$21,1)*(P4133*Q4133+R4133),1))</f>
        <v>0.03</v>
      </c>
      <c r="T4133" s="85">
        <f>IF(B4133="",0,$S4133*$K4133)</f>
        <v>154.3831157924518</v>
      </c>
      <c r="U4133" s="85">
        <f>IF(B4133="",0,IF(OR(H4133=MappingTables!$C$34,H4133=MappingTables!$C$35),T4133,0))</f>
        <v>0</v>
      </c>
      <c r="V4133" s="85">
        <f>IF(ISNA(IF(AND(VLOOKUP(CONCATENATE($D4133,$G4133),CSRFinput!$B:$E,4,0)=0,OR(H4133=MappingTables!$C$34,H4133=MappingTables!$C$35)),1,VLOOKUP(CONCATENATE($D4133,$G4133),CSRFinput!$B:$E,4,0))),0,IF(AND(VLOOKUP(CONCATENATE($D4133,$G4133),CSRFinput!$B:$E,4,0)=0,OR(H4133=MappingTables!$C$34,H4133=MappingTables!$C$35)),1,VLOOKUP(CONCATENATE($D4133,$G4133),CSRFinput!$B:$E,4,0)))</f>
        <v>0.054776304963434752</v>
      </c>
      <c r="W4133" s="85">
        <f>IF(B4133="",0,+$T4133*$V4133)</f>
        <v>8.4565366318526</v>
      </c>
      <c r="X4133" s="85">
        <f>IF(B4133="",0,IF(OR(H4133=MappingTables!$C$34,H4133=MappingTables!$C$35),W4133,0))</f>
        <v>0</v>
      </c>
    </row>
    <row r="4134" spans="2:24" s="0" customFormat="0" ht="15">
      <c r="B4134" s="69" t="s">
        <v>2917</v>
      </c>
      <c r="C4134" s="70" t="s">
        <v>2918</v>
      </c>
      <c r="D4134" s="70" t="s">
        <v>1</v>
      </c>
      <c r="E4134" s="70" t="s">
        <v>1</v>
      </c>
      <c r="F4134" s="70"/>
      <c r="G4134" s="70" t="s">
        <v>61</v>
      </c>
      <c r="H4134" s="70" t="s">
        <v>178</v>
      </c>
      <c r="I4134" s="70" t="s">
        <v>184</v>
      </c>
      <c r="J4134" s="71">
        <f>IF(OR(I4134=0,I4134=""),"unrated",VLOOKUP(I4134,MappingTables!$B$19:$C$31,2,FALSE))</f>
        <v>5</v>
      </c>
      <c r="K4134" s="72">
        <v>6025.612092204104</v>
      </c>
      <c r="L4134" s="70">
        <v>2.4146860009493708</v>
      </c>
      <c r="M4134" s="71">
        <f>IF(L4134&lt;1,1,L4134)</f>
        <v>2.4146860009493708</v>
      </c>
      <c r="N4134" s="70" t="s">
        <v>141</v>
      </c>
      <c r="O4134" s="71">
        <f>INDEX(DurClassMapping,MATCH(M4134,MappingTables!$D$4:$D$8,-1),1)</f>
        <v>1</v>
      </c>
      <c r="P4134" s="73">
        <f>IF(M4134=$A$1,1,$M4134-INDEX(MappingTables!$E$4:$E$8,MATCH(O4134,MappingTables!$B$4:$B$8,0)))</f>
        <v>2.4146860009493708</v>
      </c>
      <c r="Q4134" s="71">
        <f>IF(B4134="",0,INDEX(ModelParameters!$D$6:$K$10,MATCH($O4134,ModelParameters!$B$6:$B$10,0),MATCH($J4134,ModelParameters!$D$5:$K$5,0)))</f>
        <v>0.075</v>
      </c>
      <c r="R4134" s="71">
        <f>IF(B4134="",0,INDEX(ModelParameters!$D$13:$K$17,MATCH($O4134,ModelParameters!$B$13:$B$17,0),MATCH($J4134,ModelParameters!$D$5:$K$5,0)))</f>
        <v>0</v>
      </c>
      <c r="S4134" s="160">
        <f>IF(B4134="",0,MIN(IF($N4134="Other Bond TM",ModelParameters!$N$21,1)*(P4134*Q4134+R4134),1))</f>
        <v>0.1811014500712028</v>
      </c>
      <c r="T4134" s="85">
        <f>IF(B4134="",0,$S4134*$K4134)</f>
        <v>1091.2470874647374</v>
      </c>
      <c r="U4134" s="85">
        <f>IF(B4134="",0,IF(OR(H4134=MappingTables!$C$34,H4134=MappingTables!$C$35),T4134,0))</f>
        <v>0</v>
      </c>
      <c r="V4134" s="85">
        <f>IF(ISNA(IF(AND(VLOOKUP(CONCATENATE($D4134,$G4134),CSRFinput!$B:$E,4,0)=0,OR(H4134=MappingTables!$C$34,H4134=MappingTables!$C$35)),1,VLOOKUP(CONCATENATE($D4134,$G4134),CSRFinput!$B:$E,4,0))),0,IF(AND(VLOOKUP(CONCATENATE($D4134,$G4134),CSRFinput!$B:$E,4,0)=0,OR(H4134=MappingTables!$C$34,H4134=MappingTables!$C$35)),1,VLOOKUP(CONCATENATE($D4134,$G4134),CSRFinput!$B:$E,4,0)))</f>
        <v>0.054776304963434752</v>
      </c>
      <c r="W4134" s="85">
        <f>IF(B4134="",0,+$T4134*$V4134)</f>
        <v>59.774483253428416</v>
      </c>
      <c r="X4134" s="85">
        <f>IF(B4134="",0,IF(OR(H4134=MappingTables!$C$34,H4134=MappingTables!$C$35),W4134,0))</f>
        <v>0</v>
      </c>
    </row>
    <row r="4135" spans="2:24" s="0" customFormat="0" ht="15">
      <c r="B4135" s="69">
        <v>17596333</v>
      </c>
      <c r="C4135" s="70" t="s">
        <v>2222</v>
      </c>
      <c r="D4135" s="70" t="s">
        <v>1</v>
      </c>
      <c r="E4135" s="70" t="s">
        <v>1</v>
      </c>
      <c r="F4135" s="70"/>
      <c r="G4135" s="70" t="s">
        <v>61</v>
      </c>
      <c r="H4135" s="70" t="s">
        <v>178</v>
      </c>
      <c r="I4135" s="70" t="s">
        <v>188</v>
      </c>
      <c r="J4135" s="71">
        <f>IF(OR(I4135=0,I4135=""),"unrated",VLOOKUP(I4135,MappingTables!$B$19:$C$31,2,FALSE))</f>
        <v>2</v>
      </c>
      <c r="K4135" s="72">
        <v>14351.095733833824</v>
      </c>
      <c r="L4135" s="70">
        <v>6.62332110931844</v>
      </c>
      <c r="M4135" s="71">
        <f>IF(L4135&lt;1,1,L4135)</f>
        <v>6.62332110931844</v>
      </c>
      <c r="N4135" s="70" t="s">
        <v>141</v>
      </c>
      <c r="O4135" s="71">
        <f>INDEX(DurClassMapping,MATCH(M4135,MappingTables!$D$4:$D$8,-1),1)</f>
        <v>2</v>
      </c>
      <c r="P4135" s="73">
        <f>IF(M4135=$A$1,1,$M4135-INDEX(MappingTables!$E$4:$E$8,MATCH(O4135,MappingTables!$B$4:$B$8,0)))</f>
        <v>1.6233211093184404</v>
      </c>
      <c r="Q4135" s="71">
        <f>IF(B4135="",0,INDEX(ModelParameters!$D$6:$K$10,MATCH($O4135,ModelParameters!$B$6:$B$10,0),MATCH($J4135,ModelParameters!$D$5:$K$5,0)))</f>
        <v>0.0069999999999999992</v>
      </c>
      <c r="R4135" s="71">
        <f>IF(B4135="",0,INDEX(ModelParameters!$D$13:$K$17,MATCH($O4135,ModelParameters!$B$13:$B$17,0),MATCH($J4135,ModelParameters!$D$5:$K$5,0)))</f>
        <v>0.070000000000000008</v>
      </c>
      <c r="S4135" s="160">
        <f>IF(B4135="",0,MIN(IF($N4135="Other Bond TM",ModelParameters!$N$21,1)*(P4135*Q4135+R4135),1))</f>
        <v>0.081363247765229088</v>
      </c>
      <c r="T4135" s="85">
        <f>IF(B4135="",0,$S4135*$K4135)</f>
        <v>1167.6517578944436</v>
      </c>
      <c r="U4135" s="85">
        <f>IF(B4135="",0,IF(OR(H4135=MappingTables!$C$34,H4135=MappingTables!$C$35),T4135,0))</f>
        <v>0</v>
      </c>
      <c r="V4135" s="85">
        <f>IF(ISNA(IF(AND(VLOOKUP(CONCATENATE($D4135,$G4135),CSRFinput!$B:$E,4,0)=0,OR(H4135=MappingTables!$C$34,H4135=MappingTables!$C$35)),1,VLOOKUP(CONCATENATE($D4135,$G4135),CSRFinput!$B:$E,4,0))),0,IF(AND(VLOOKUP(CONCATENATE($D4135,$G4135),CSRFinput!$B:$E,4,0)=0,OR(H4135=MappingTables!$C$34,H4135=MappingTables!$C$35)),1,VLOOKUP(CONCATENATE($D4135,$G4135),CSRFinput!$B:$E,4,0)))</f>
        <v>0.054776304963434752</v>
      </c>
      <c r="W4135" s="85">
        <f>IF(B4135="",0,+$T4135*$V4135)</f>
        <v>63.959648781516728</v>
      </c>
      <c r="X4135" s="85">
        <f>IF(B4135="",0,IF(OR(H4135=MappingTables!$C$34,H4135=MappingTables!$C$35),W4135,0))</f>
        <v>0</v>
      </c>
    </row>
    <row r="4136" spans="2:24" s="0" customFormat="0" ht="15">
      <c r="B4136" s="69">
        <v>16989337</v>
      </c>
      <c r="C4136" s="70" t="s">
        <v>1430</v>
      </c>
      <c r="D4136" s="70" t="s">
        <v>1</v>
      </c>
      <c r="E4136" s="70" t="s">
        <v>1</v>
      </c>
      <c r="F4136" s="70"/>
      <c r="G4136" s="70" t="s">
        <v>61</v>
      </c>
      <c r="H4136" s="70" t="s">
        <v>178</v>
      </c>
      <c r="I4136" s="70" t="s">
        <v>179</v>
      </c>
      <c r="J4136" s="71">
        <f>IF(OR(I4136=0,I4136=""),"unrated",VLOOKUP(I4136,MappingTables!$B$19:$C$31,2,FALSE))</f>
        <v>4</v>
      </c>
      <c r="K4136" s="72">
        <v>66.553509575443272</v>
      </c>
      <c r="L4136" s="70">
        <v>0.041096045884690728</v>
      </c>
      <c r="M4136" s="71">
        <f>IF(L4136&lt;1,1,L4136)</f>
        <v>1</v>
      </c>
      <c r="N4136" s="70" t="s">
        <v>141</v>
      </c>
      <c r="O4136" s="71">
        <f>INDEX(DurClassMapping,MATCH(M4136,MappingTables!$D$4:$D$8,-1),1)</f>
        <v>1</v>
      </c>
      <c r="P4136" s="73">
        <f>IF(M4136=$A$1,1,$M4136-INDEX(MappingTables!$E$4:$E$8,MATCH(O4136,MappingTables!$B$4:$B$8,0)))</f>
        <v>1</v>
      </c>
      <c r="Q4136" s="71">
        <f>IF(B4136="",0,INDEX(ModelParameters!$D$6:$K$10,MATCH($O4136,ModelParameters!$B$6:$B$10,0),MATCH($J4136,ModelParameters!$D$5:$K$5,0)))</f>
        <v>0.045</v>
      </c>
      <c r="R4136" s="71">
        <f>IF(B4136="",0,INDEX(ModelParameters!$D$13:$K$17,MATCH($O4136,ModelParameters!$B$13:$B$17,0),MATCH($J4136,ModelParameters!$D$5:$K$5,0)))</f>
        <v>0</v>
      </c>
      <c r="S4136" s="160">
        <f>IF(B4136="",0,MIN(IF($N4136="Other Bond TM",ModelParameters!$N$21,1)*(P4136*Q4136+R4136),1))</f>
        <v>0.045</v>
      </c>
      <c r="T4136" s="85">
        <f>IF(B4136="",0,$S4136*$K4136)</f>
        <v>2.9949079308949472</v>
      </c>
      <c r="U4136" s="85">
        <f>IF(B4136="",0,IF(OR(H4136=MappingTables!$C$34,H4136=MappingTables!$C$35),T4136,0))</f>
        <v>0</v>
      </c>
      <c r="V4136" s="85">
        <f>IF(ISNA(IF(AND(VLOOKUP(CONCATENATE($D4136,$G4136),CSRFinput!$B:$E,4,0)=0,OR(H4136=MappingTables!$C$34,H4136=MappingTables!$C$35)),1,VLOOKUP(CONCATENATE($D4136,$G4136),CSRFinput!$B:$E,4,0))),0,IF(AND(VLOOKUP(CONCATENATE($D4136,$G4136),CSRFinput!$B:$E,4,0)=0,OR(H4136=MappingTables!$C$34,H4136=MappingTables!$C$35)),1,VLOOKUP(CONCATENATE($D4136,$G4136),CSRFinput!$B:$E,4,0)))</f>
        <v>0.054776304963434752</v>
      </c>
      <c r="W4136" s="85">
        <f>IF(B4136="",0,+$T4136*$V4136)</f>
        <v>0.16404999016011102</v>
      </c>
      <c r="X4136" s="85">
        <f>IF(B4136="",0,IF(OR(H4136=MappingTables!$C$34,H4136=MappingTables!$C$35),W4136,0))</f>
        <v>0</v>
      </c>
    </row>
    <row r="4137" spans="2:24" s="0" customFormat="0" ht="15">
      <c r="B4137" s="69">
        <v>11975419</v>
      </c>
      <c r="C4137" s="70" t="s">
        <v>1951</v>
      </c>
      <c r="D4137" s="70" t="s">
        <v>1</v>
      </c>
      <c r="E4137" s="70" t="s">
        <v>1</v>
      </c>
      <c r="F4137" s="70"/>
      <c r="G4137" s="70" t="s">
        <v>61</v>
      </c>
      <c r="H4137" s="70" t="s">
        <v>178</v>
      </c>
      <c r="I4137" s="70" t="s">
        <v>184</v>
      </c>
      <c r="J4137" s="71">
        <f>IF(OR(I4137=0,I4137=""),"unrated",VLOOKUP(I4137,MappingTables!$B$19:$C$31,2,FALSE))</f>
        <v>5</v>
      </c>
      <c r="K4137" s="72">
        <v>1445.7699082951358</v>
      </c>
      <c r="L4137" s="70">
        <v>2.2074970563930564</v>
      </c>
      <c r="M4137" s="71">
        <f>IF(L4137&lt;1,1,L4137)</f>
        <v>2.2074970563930564</v>
      </c>
      <c r="N4137" s="70" t="s">
        <v>141</v>
      </c>
      <c r="O4137" s="71">
        <f>INDEX(DurClassMapping,MATCH(M4137,MappingTables!$D$4:$D$8,-1),1)</f>
        <v>1</v>
      </c>
      <c r="P4137" s="73">
        <f>IF(M4137=$A$1,1,$M4137-INDEX(MappingTables!$E$4:$E$8,MATCH(O4137,MappingTables!$B$4:$B$8,0)))</f>
        <v>2.2074970563930564</v>
      </c>
      <c r="Q4137" s="71">
        <f>IF(B4137="",0,INDEX(ModelParameters!$D$6:$K$10,MATCH($O4137,ModelParameters!$B$6:$B$10,0),MATCH($J4137,ModelParameters!$D$5:$K$5,0)))</f>
        <v>0.075</v>
      </c>
      <c r="R4137" s="71">
        <f>IF(B4137="",0,INDEX(ModelParameters!$D$13:$K$17,MATCH($O4137,ModelParameters!$B$13:$B$17,0),MATCH($J4137,ModelParameters!$D$5:$K$5,0)))</f>
        <v>0</v>
      </c>
      <c r="S4137" s="160">
        <f>IF(B4137="",0,MIN(IF($N4137="Other Bond TM",ModelParameters!$N$21,1)*(P4137*Q4137+R4137),1))</f>
        <v>0.16556227922947922</v>
      </c>
      <c r="T4137" s="85">
        <f>IF(B4137="",0,$S4137*$K4137)</f>
        <v>239.36496125873784</v>
      </c>
      <c r="U4137" s="85">
        <f>IF(B4137="",0,IF(OR(H4137=MappingTables!$C$34,H4137=MappingTables!$C$35),T4137,0))</f>
        <v>0</v>
      </c>
      <c r="V4137" s="85">
        <f>IF(ISNA(IF(AND(VLOOKUP(CONCATENATE($D4137,$G4137),CSRFinput!$B:$E,4,0)=0,OR(H4137=MappingTables!$C$34,H4137=MappingTables!$C$35)),1,VLOOKUP(CONCATENATE($D4137,$G4137),CSRFinput!$B:$E,4,0))),0,IF(AND(VLOOKUP(CONCATENATE($D4137,$G4137),CSRFinput!$B:$E,4,0)=0,OR(H4137=MappingTables!$C$34,H4137=MappingTables!$C$35)),1,VLOOKUP(CONCATENATE($D4137,$G4137),CSRFinput!$B:$E,4,0)))</f>
        <v>0.054776304963434752</v>
      </c>
      <c r="W4137" s="85">
        <f>IF(B4137="",0,+$T4137*$V4137)</f>
        <v>13.11152811546937</v>
      </c>
      <c r="X4137" s="85">
        <f>IF(B4137="",0,IF(OR(H4137=MappingTables!$C$34,H4137=MappingTables!$C$35),W4137,0))</f>
        <v>0</v>
      </c>
    </row>
    <row r="4138" spans="2:24" s="0" customFormat="0" ht="15">
      <c r="B4138" s="69">
        <v>18812113</v>
      </c>
      <c r="C4138" s="70" t="s">
        <v>273</v>
      </c>
      <c r="D4138" s="70" t="s">
        <v>1</v>
      </c>
      <c r="E4138" s="70" t="s">
        <v>1</v>
      </c>
      <c r="F4138" s="70"/>
      <c r="G4138" s="70" t="s">
        <v>61</v>
      </c>
      <c r="H4138" s="70" t="s">
        <v>178</v>
      </c>
      <c r="I4138" s="70" t="s">
        <v>188</v>
      </c>
      <c r="J4138" s="71">
        <f>IF(OR(I4138=0,I4138=""),"unrated",VLOOKUP(I4138,MappingTables!$B$19:$C$31,2,FALSE))</f>
        <v>2</v>
      </c>
      <c r="K4138" s="72">
        <v>592.65247512450904</v>
      </c>
      <c r="L4138" s="70">
        <v>0.93964967305657728</v>
      </c>
      <c r="M4138" s="71">
        <f>IF(L4138&lt;1,1,L4138)</f>
        <v>1</v>
      </c>
      <c r="N4138" s="70" t="s">
        <v>141</v>
      </c>
      <c r="O4138" s="71">
        <f>INDEX(DurClassMapping,MATCH(M4138,MappingTables!$D$4:$D$8,-1),1)</f>
        <v>1</v>
      </c>
      <c r="P4138" s="73">
        <f>IF(M4138=$A$1,1,$M4138-INDEX(MappingTables!$E$4:$E$8,MATCH(O4138,MappingTables!$B$4:$B$8,0)))</f>
        <v>1</v>
      </c>
      <c r="Q4138" s="71">
        <f>IF(B4138="",0,INDEX(ModelParameters!$D$6:$K$10,MATCH($O4138,ModelParameters!$B$6:$B$10,0),MATCH($J4138,ModelParameters!$D$5:$K$5,0)))</f>
        <v>0.013999999999999998</v>
      </c>
      <c r="R4138" s="71">
        <f>IF(B4138="",0,INDEX(ModelParameters!$D$13:$K$17,MATCH($O4138,ModelParameters!$B$13:$B$17,0),MATCH($J4138,ModelParameters!$D$5:$K$5,0)))</f>
        <v>0</v>
      </c>
      <c r="S4138" s="160">
        <f>IF(B4138="",0,MIN(IF($N4138="Other Bond TM",ModelParameters!$N$21,1)*(P4138*Q4138+R4138),1))</f>
        <v>0.013999999999999998</v>
      </c>
      <c r="T4138" s="85">
        <f>IF(B4138="",0,$S4138*$K4138)</f>
        <v>8.2971346517431248</v>
      </c>
      <c r="U4138" s="85">
        <f>IF(B4138="",0,IF(OR(H4138=MappingTables!$C$34,H4138=MappingTables!$C$35),T4138,0))</f>
        <v>0</v>
      </c>
      <c r="V4138" s="85">
        <f>IF(ISNA(IF(AND(VLOOKUP(CONCATENATE($D4138,$G4138),CSRFinput!$B:$E,4,0)=0,OR(H4138=MappingTables!$C$34,H4138=MappingTables!$C$35)),1,VLOOKUP(CONCATENATE($D4138,$G4138),CSRFinput!$B:$E,4,0))),0,IF(AND(VLOOKUP(CONCATENATE($D4138,$G4138),CSRFinput!$B:$E,4,0)=0,OR(H4138=MappingTables!$C$34,H4138=MappingTables!$C$35)),1,VLOOKUP(CONCATENATE($D4138,$G4138),CSRFinput!$B:$E,4,0)))</f>
        <v>0.054776304963434752</v>
      </c>
      <c r="W4138" s="85">
        <f>IF(B4138="",0,+$T4138*$V4138)</f>
        <v>0.45448637800656344</v>
      </c>
      <c r="X4138" s="85">
        <f>IF(B4138="",0,IF(OR(H4138=MappingTables!$C$34,H4138=MappingTables!$C$35),W4138,0))</f>
        <v>0</v>
      </c>
    </row>
    <row r="4139" spans="2:24" s="0" customFormat="0" ht="15">
      <c r="B4139" s="69">
        <v>22927564</v>
      </c>
      <c r="C4139" s="70" t="s">
        <v>2157</v>
      </c>
      <c r="D4139" s="70" t="s">
        <v>1</v>
      </c>
      <c r="E4139" s="70" t="s">
        <v>1</v>
      </c>
      <c r="F4139" s="70"/>
      <c r="G4139" s="70" t="s">
        <v>61</v>
      </c>
      <c r="H4139" s="70" t="s">
        <v>178</v>
      </c>
      <c r="I4139" s="70" t="s">
        <v>188</v>
      </c>
      <c r="J4139" s="71">
        <f>IF(OR(I4139=0,I4139=""),"unrated",VLOOKUP(I4139,MappingTables!$B$19:$C$31,2,FALSE))</f>
        <v>2</v>
      </c>
      <c r="K4139" s="72">
        <v>219.37479508483596</v>
      </c>
      <c r="L4139" s="70">
        <v>0.70046366203216968</v>
      </c>
      <c r="M4139" s="71">
        <f>IF(L4139&lt;1,1,L4139)</f>
        <v>1</v>
      </c>
      <c r="N4139" s="70" t="s">
        <v>141</v>
      </c>
      <c r="O4139" s="71">
        <f>INDEX(DurClassMapping,MATCH(M4139,MappingTables!$D$4:$D$8,-1),1)</f>
        <v>1</v>
      </c>
      <c r="P4139" s="73">
        <f>IF(M4139=$A$1,1,$M4139-INDEX(MappingTables!$E$4:$E$8,MATCH(O4139,MappingTables!$B$4:$B$8,0)))</f>
        <v>1</v>
      </c>
      <c r="Q4139" s="71">
        <f>IF(B4139="",0,INDEX(ModelParameters!$D$6:$K$10,MATCH($O4139,ModelParameters!$B$6:$B$10,0),MATCH($J4139,ModelParameters!$D$5:$K$5,0)))</f>
        <v>0.013999999999999998</v>
      </c>
      <c r="R4139" s="71">
        <f>IF(B4139="",0,INDEX(ModelParameters!$D$13:$K$17,MATCH($O4139,ModelParameters!$B$13:$B$17,0),MATCH($J4139,ModelParameters!$D$5:$K$5,0)))</f>
        <v>0</v>
      </c>
      <c r="S4139" s="160">
        <f>IF(B4139="",0,MIN(IF($N4139="Other Bond TM",ModelParameters!$N$21,1)*(P4139*Q4139+R4139),1))</f>
        <v>0.013999999999999998</v>
      </c>
      <c r="T4139" s="85">
        <f>IF(B4139="",0,$S4139*$K4139)</f>
        <v>3.0712471311877036</v>
      </c>
      <c r="U4139" s="85">
        <f>IF(B4139="",0,IF(OR(H4139=MappingTables!$C$34,H4139=MappingTables!$C$35),T4139,0))</f>
        <v>0</v>
      </c>
      <c r="V4139" s="85">
        <f>IF(ISNA(IF(AND(VLOOKUP(CONCATENATE($D4139,$G4139),CSRFinput!$B:$E,4,0)=0,OR(H4139=MappingTables!$C$34,H4139=MappingTables!$C$35)),1,VLOOKUP(CONCATENATE($D4139,$G4139),CSRFinput!$B:$E,4,0))),0,IF(AND(VLOOKUP(CONCATENATE($D4139,$G4139),CSRFinput!$B:$E,4,0)=0,OR(H4139=MappingTables!$C$34,H4139=MappingTables!$C$35)),1,VLOOKUP(CONCATENATE($D4139,$G4139),CSRFinput!$B:$E,4,0)))</f>
        <v>0.054776304963434752</v>
      </c>
      <c r="W4139" s="85">
        <f>IF(B4139="",0,+$T4139*$V4139)</f>
        <v>0.16823156947601176</v>
      </c>
      <c r="X4139" s="85">
        <f>IF(B4139="",0,IF(OR(H4139=MappingTables!$C$34,H4139=MappingTables!$C$35),W4139,0))</f>
        <v>0</v>
      </c>
    </row>
    <row r="4140" spans="2:24" s="0" customFormat="0" ht="15">
      <c r="B4140" s="69">
        <v>16168537</v>
      </c>
      <c r="C4140" s="70" t="s">
        <v>1424</v>
      </c>
      <c r="D4140" s="70" t="s">
        <v>1</v>
      </c>
      <c r="E4140" s="70" t="s">
        <v>1</v>
      </c>
      <c r="F4140" s="70"/>
      <c r="G4140" s="70" t="s">
        <v>61</v>
      </c>
      <c r="H4140" s="70" t="s">
        <v>178</v>
      </c>
      <c r="I4140" s="70" t="s">
        <v>181</v>
      </c>
      <c r="J4140" s="71">
        <f>IF(OR(I4140=0,I4140=""),"unrated",VLOOKUP(I4140,MappingTables!$B$19:$C$31,2,FALSE))</f>
        <v>3</v>
      </c>
      <c r="K4140" s="72">
        <v>2510.4635329813644</v>
      </c>
      <c r="L4140" s="70">
        <v>1.0490081581131218</v>
      </c>
      <c r="M4140" s="71">
        <f>IF(L4140&lt;1,1,L4140)</f>
        <v>1.0490081581131218</v>
      </c>
      <c r="N4140" s="70" t="s">
        <v>141</v>
      </c>
      <c r="O4140" s="71">
        <f>INDEX(DurClassMapping,MATCH(M4140,MappingTables!$D$4:$D$8,-1),1)</f>
        <v>1</v>
      </c>
      <c r="P4140" s="73">
        <f>IF(M4140=$A$1,1,$M4140-INDEX(MappingTables!$E$4:$E$8,MATCH(O4140,MappingTables!$B$4:$B$8,0)))</f>
        <v>1.0490081581131218</v>
      </c>
      <c r="Q4140" s="71">
        <f>IF(B4140="",0,INDEX(ModelParameters!$D$6:$K$10,MATCH($O4140,ModelParameters!$B$6:$B$10,0),MATCH($J4140,ModelParameters!$D$5:$K$5,0)))</f>
        <v>0.025</v>
      </c>
      <c r="R4140" s="71">
        <f>IF(B4140="",0,INDEX(ModelParameters!$D$13:$K$17,MATCH($O4140,ModelParameters!$B$13:$B$17,0),MATCH($J4140,ModelParameters!$D$5:$K$5,0)))</f>
        <v>0</v>
      </c>
      <c r="S4140" s="160">
        <f>IF(B4140="",0,MIN(IF($N4140="Other Bond TM",ModelParameters!$N$21,1)*(P4140*Q4140+R4140),1))</f>
        <v>0.026225203952828048</v>
      </c>
      <c r="T4140" s="85">
        <f>IF(B4140="",0,$S4140*$K4140)</f>
        <v>65.837418168573552</v>
      </c>
      <c r="U4140" s="85">
        <f>IF(B4140="",0,IF(OR(H4140=MappingTables!$C$34,H4140=MappingTables!$C$35),T4140,0))</f>
        <v>0</v>
      </c>
      <c r="V4140" s="85">
        <f>IF(ISNA(IF(AND(VLOOKUP(CONCATENATE($D4140,$G4140),CSRFinput!$B:$E,4,0)=0,OR(H4140=MappingTables!$C$34,H4140=MappingTables!$C$35)),1,VLOOKUP(CONCATENATE($D4140,$G4140),CSRFinput!$B:$E,4,0))),0,IF(AND(VLOOKUP(CONCATENATE($D4140,$G4140),CSRFinput!$B:$E,4,0)=0,OR(H4140=MappingTables!$C$34,H4140=MappingTables!$C$35)),1,VLOOKUP(CONCATENATE($D4140,$G4140),CSRFinput!$B:$E,4,0)))</f>
        <v>0.054776304963434752</v>
      </c>
      <c r="W4140" s="85">
        <f>IF(B4140="",0,+$T4140*$V4140)</f>
        <v>3.6063304956069648</v>
      </c>
      <c r="X4140" s="85">
        <f>IF(B4140="",0,IF(OR(H4140=MappingTables!$C$34,H4140=MappingTables!$C$35),W4140,0))</f>
        <v>0</v>
      </c>
    </row>
    <row r="4141" spans="2:24" s="0" customFormat="0" ht="15">
      <c r="B4141" s="69">
        <v>18728679</v>
      </c>
      <c r="C4141" s="70" t="s">
        <v>2510</v>
      </c>
      <c r="D4141" s="70" t="s">
        <v>1</v>
      </c>
      <c r="E4141" s="70" t="s">
        <v>1</v>
      </c>
      <c r="F4141" s="70"/>
      <c r="G4141" s="70" t="s">
        <v>61</v>
      </c>
      <c r="H4141" s="70" t="s">
        <v>178</v>
      </c>
      <c r="I4141" s="70" t="s">
        <v>204</v>
      </c>
      <c r="J4141" s="71">
        <f>IF(OR(I4141=0,I4141=""),"unrated",VLOOKUP(I4141,MappingTables!$B$19:$C$31,2,FALSE))</f>
        <v>6</v>
      </c>
      <c r="K4141" s="72">
        <v>45194.392899885072</v>
      </c>
      <c r="L4141" s="70">
        <v>2.8814911866017296</v>
      </c>
      <c r="M4141" s="71">
        <f>IF(L4141&lt;1,1,L4141)</f>
        <v>2.8814911866017296</v>
      </c>
      <c r="N4141" s="70" t="s">
        <v>141</v>
      </c>
      <c r="O4141" s="71">
        <f>INDEX(DurClassMapping,MATCH(M4141,MappingTables!$D$4:$D$8,-1),1)</f>
        <v>1</v>
      </c>
      <c r="P4141" s="73">
        <f>IF(M4141=$A$1,1,$M4141-INDEX(MappingTables!$E$4:$E$8,MATCH(O4141,MappingTables!$B$4:$B$8,0)))</f>
        <v>2.8814911866017296</v>
      </c>
      <c r="Q4141" s="71">
        <f>IF(B4141="",0,INDEX(ModelParameters!$D$6:$K$10,MATCH($O4141,ModelParameters!$B$6:$B$10,0),MATCH($J4141,ModelParameters!$D$5:$K$5,0)))</f>
        <v>0.075</v>
      </c>
      <c r="R4141" s="71">
        <f>IF(B4141="",0,INDEX(ModelParameters!$D$13:$K$17,MATCH($O4141,ModelParameters!$B$13:$B$17,0),MATCH($J4141,ModelParameters!$D$5:$K$5,0)))</f>
        <v>0</v>
      </c>
      <c r="S4141" s="160">
        <f>IF(B4141="",0,MIN(IF($N4141="Other Bond TM",ModelParameters!$N$21,1)*(P4141*Q4141+R4141),1))</f>
        <v>0.21611183899512972</v>
      </c>
      <c r="T4141" s="85">
        <f>IF(B4141="",0,$S4141*$K4141)</f>
        <v>9767.0433618625968</v>
      </c>
      <c r="U4141" s="85">
        <f>IF(B4141="",0,IF(OR(H4141=MappingTables!$C$34,H4141=MappingTables!$C$35),T4141,0))</f>
        <v>0</v>
      </c>
      <c r="V4141" s="85">
        <f>IF(ISNA(IF(AND(VLOOKUP(CONCATENATE($D4141,$G4141),CSRFinput!$B:$E,4,0)=0,OR(H4141=MappingTables!$C$34,H4141=MappingTables!$C$35)),1,VLOOKUP(CONCATENATE($D4141,$G4141),CSRFinput!$B:$E,4,0))),0,IF(AND(VLOOKUP(CONCATENATE($D4141,$G4141),CSRFinput!$B:$E,4,0)=0,OR(H4141=MappingTables!$C$34,H4141=MappingTables!$C$35)),1,VLOOKUP(CONCATENATE($D4141,$G4141),CSRFinput!$B:$E,4,0)))</f>
        <v>0.054776304963434752</v>
      </c>
      <c r="W4141" s="85">
        <f>IF(B4141="",0,+$T4141*$V4141)</f>
        <v>535.00254578047672</v>
      </c>
      <c r="X4141" s="85">
        <f>IF(B4141="",0,IF(OR(H4141=MappingTables!$C$34,H4141=MappingTables!$C$35),W4141,0))</f>
        <v>0</v>
      </c>
    </row>
    <row r="4142" spans="2:24" s="0" customFormat="0" ht="15">
      <c r="B4142" s="69">
        <v>10596345</v>
      </c>
      <c r="C4142" s="70" t="s">
        <v>1596</v>
      </c>
      <c r="D4142" s="70" t="s">
        <v>1</v>
      </c>
      <c r="E4142" s="70" t="s">
        <v>1</v>
      </c>
      <c r="F4142" s="70"/>
      <c r="G4142" s="70" t="s">
        <v>61</v>
      </c>
      <c r="H4142" s="70" t="s">
        <v>178</v>
      </c>
      <c r="I4142" s="70" t="s">
        <v>220</v>
      </c>
      <c r="J4142" s="71">
        <f>IF(OR(I4142=0,I4142=""),"unrated",VLOOKUP(I4142,MappingTables!$B$19:$C$31,2,FALSE))</f>
        <v>1</v>
      </c>
      <c r="K4142" s="72">
        <v>154.87813477641432</v>
      </c>
      <c r="L4142" s="70">
        <v>15.584451028010382</v>
      </c>
      <c r="M4142" s="71">
        <f>IF(L4142&lt;1,1,L4142)</f>
        <v>15.584451028010382</v>
      </c>
      <c r="N4142" s="70" t="s">
        <v>141</v>
      </c>
      <c r="O4142" s="71">
        <f>INDEX(DurClassMapping,MATCH(M4142,MappingTables!$D$4:$D$8,-1),1)</f>
        <v>4</v>
      </c>
      <c r="P4142" s="73">
        <f>IF(M4142=$A$1,1,$M4142-INDEX(MappingTables!$E$4:$E$8,MATCH(O4142,MappingTables!$B$4:$B$8,0)))</f>
        <v>0.5844510280103812</v>
      </c>
      <c r="Q4142" s="71">
        <f>IF(B4142="",0,INDEX(ModelParameters!$D$6:$K$10,MATCH($O4142,ModelParameters!$B$6:$B$10,0),MATCH($J4142,ModelParameters!$D$5:$K$5,0)))</f>
        <v>0.005</v>
      </c>
      <c r="R4142" s="71">
        <f>IF(B4142="",0,INDEX(ModelParameters!$D$13:$K$17,MATCH($O4142,ModelParameters!$B$13:$B$17,0),MATCH($J4142,ModelParameters!$D$5:$K$5,0)))</f>
        <v>0.11</v>
      </c>
      <c r="S4142" s="160">
        <f>IF(B4142="",0,MIN(IF($N4142="Other Bond TM",ModelParameters!$N$21,1)*(P4142*Q4142+R4142),1))</f>
        <v>0.11292225514005192</v>
      </c>
      <c r="T4142" s="85">
        <f>IF(B4142="",0,$S4142*$K4142)</f>
        <v>17.489188250837608</v>
      </c>
      <c r="U4142" s="85">
        <f>IF(B4142="",0,IF(OR(H4142=MappingTables!$C$34,H4142=MappingTables!$C$35),T4142,0))</f>
        <v>0</v>
      </c>
      <c r="V4142" s="85">
        <f>IF(ISNA(IF(AND(VLOOKUP(CONCATENATE($D4142,$G4142),CSRFinput!$B:$E,4,0)=0,OR(H4142=MappingTables!$C$34,H4142=MappingTables!$C$35)),1,VLOOKUP(CONCATENATE($D4142,$G4142),CSRFinput!$B:$E,4,0))),0,IF(AND(VLOOKUP(CONCATENATE($D4142,$G4142),CSRFinput!$B:$E,4,0)=0,OR(H4142=MappingTables!$C$34,H4142=MappingTables!$C$35)),1,VLOOKUP(CONCATENATE($D4142,$G4142),CSRFinput!$B:$E,4,0)))</f>
        <v>0.054776304963434752</v>
      </c>
      <c r="W4142" s="85">
        <f>IF(B4142="",0,+$T4142*$V4142)</f>
        <v>0.9579931091908008</v>
      </c>
      <c r="X4142" s="85">
        <f>IF(B4142="",0,IF(OR(H4142=MappingTables!$C$34,H4142=MappingTables!$C$35),W4142,0))</f>
        <v>0</v>
      </c>
    </row>
    <row r="4143" spans="2:24" s="0" customFormat="0" ht="15">
      <c r="B4143" s="69">
        <v>17357776</v>
      </c>
      <c r="C4143" s="70" t="s">
        <v>2446</v>
      </c>
      <c r="D4143" s="70" t="s">
        <v>1</v>
      </c>
      <c r="E4143" s="70" t="s">
        <v>1</v>
      </c>
      <c r="F4143" s="70"/>
      <c r="G4143" s="70" t="s">
        <v>61</v>
      </c>
      <c r="H4143" s="70" t="s">
        <v>178</v>
      </c>
      <c r="I4143" s="70" t="s">
        <v>188</v>
      </c>
      <c r="J4143" s="71">
        <f>IF(OR(I4143=0,I4143=""),"unrated",VLOOKUP(I4143,MappingTables!$B$19:$C$31,2,FALSE))</f>
        <v>2</v>
      </c>
      <c r="K4143" s="72">
        <v>121.35761984129716</v>
      </c>
      <c r="L4143" s="70">
        <v>0.5357559561017784</v>
      </c>
      <c r="M4143" s="71">
        <f>IF(L4143&lt;1,1,L4143)</f>
        <v>1</v>
      </c>
      <c r="N4143" s="70" t="s">
        <v>141</v>
      </c>
      <c r="O4143" s="71">
        <f>INDEX(DurClassMapping,MATCH(M4143,MappingTables!$D$4:$D$8,-1),1)</f>
        <v>1</v>
      </c>
      <c r="P4143" s="73">
        <f>IF(M4143=$A$1,1,$M4143-INDEX(MappingTables!$E$4:$E$8,MATCH(O4143,MappingTables!$B$4:$B$8,0)))</f>
        <v>1</v>
      </c>
      <c r="Q4143" s="71">
        <f>IF(B4143="",0,INDEX(ModelParameters!$D$6:$K$10,MATCH($O4143,ModelParameters!$B$6:$B$10,0),MATCH($J4143,ModelParameters!$D$5:$K$5,0)))</f>
        <v>0.013999999999999998</v>
      </c>
      <c r="R4143" s="71">
        <f>IF(B4143="",0,INDEX(ModelParameters!$D$13:$K$17,MATCH($O4143,ModelParameters!$B$13:$B$17,0),MATCH($J4143,ModelParameters!$D$5:$K$5,0)))</f>
        <v>0</v>
      </c>
      <c r="S4143" s="160">
        <f>IF(B4143="",0,MIN(IF($N4143="Other Bond TM",ModelParameters!$N$21,1)*(P4143*Q4143+R4143),1))</f>
        <v>0.013999999999999998</v>
      </c>
      <c r="T4143" s="85">
        <f>IF(B4143="",0,$S4143*$K4143)</f>
        <v>1.6990066777781598</v>
      </c>
      <c r="U4143" s="85">
        <f>IF(B4143="",0,IF(OR(H4143=MappingTables!$C$34,H4143=MappingTables!$C$35),T4143,0))</f>
        <v>0</v>
      </c>
      <c r="V4143" s="85">
        <f>IF(ISNA(IF(AND(VLOOKUP(CONCATENATE($D4143,$G4143),CSRFinput!$B:$E,4,0)=0,OR(H4143=MappingTables!$C$34,H4143=MappingTables!$C$35)),1,VLOOKUP(CONCATENATE($D4143,$G4143),CSRFinput!$B:$E,4,0))),0,IF(AND(VLOOKUP(CONCATENATE($D4143,$G4143),CSRFinput!$B:$E,4,0)=0,OR(H4143=MappingTables!$C$34,H4143=MappingTables!$C$35)),1,VLOOKUP(CONCATENATE($D4143,$G4143),CSRFinput!$B:$E,4,0)))</f>
        <v>0.054776304963434752</v>
      </c>
      <c r="W4143" s="85">
        <f>IF(B4143="",0,+$T4143*$V4143)</f>
        <v>0.093065307916888608</v>
      </c>
      <c r="X4143" s="85">
        <f>IF(B4143="",0,IF(OR(H4143=MappingTables!$C$34,H4143=MappingTables!$C$35),W4143,0))</f>
        <v>0</v>
      </c>
    </row>
    <row r="4144" spans="2:24" s="0" customFormat="0" ht="15">
      <c r="B4144" s="69" t="s">
        <v>2952</v>
      </c>
      <c r="C4144" s="70" t="s">
        <v>2953</v>
      </c>
      <c r="D4144" s="70" t="s">
        <v>1</v>
      </c>
      <c r="E4144" s="70" t="s">
        <v>1</v>
      </c>
      <c r="F4144" s="70"/>
      <c r="G4144" s="70" t="s">
        <v>61</v>
      </c>
      <c r="H4144" s="70" t="s">
        <v>178</v>
      </c>
      <c r="I4144" s="70" t="s">
        <v>179</v>
      </c>
      <c r="J4144" s="71">
        <f>IF(OR(I4144=0,I4144=""),"unrated",VLOOKUP(I4144,MappingTables!$B$19:$C$31,2,FALSE))</f>
        <v>4</v>
      </c>
      <c r="K4144" s="72">
        <v>155.96082313635046</v>
      </c>
      <c r="L4144" s="70">
        <v>8.6767085386791168</v>
      </c>
      <c r="M4144" s="71">
        <f>IF(L4144&lt;1,1,L4144)</f>
        <v>8.6767085386791168</v>
      </c>
      <c r="N4144" s="70" t="s">
        <v>141</v>
      </c>
      <c r="O4144" s="71">
        <f>INDEX(DurClassMapping,MATCH(M4144,MappingTables!$D$4:$D$8,-1),1)</f>
        <v>2</v>
      </c>
      <c r="P4144" s="73">
        <f>IF(M4144=$A$1,1,$M4144-INDEX(MappingTables!$E$4:$E$8,MATCH(O4144,MappingTables!$B$4:$B$8,0)))</f>
        <v>3.6767085386791168</v>
      </c>
      <c r="Q4144" s="71">
        <f>IF(B4144="",0,INDEX(ModelParameters!$D$6:$K$10,MATCH($O4144,ModelParameters!$B$6:$B$10,0),MATCH($J4144,ModelParameters!$D$5:$K$5,0)))</f>
        <v>0.025</v>
      </c>
      <c r="R4144" s="71">
        <f>IF(B4144="",0,INDEX(ModelParameters!$D$13:$K$17,MATCH($O4144,ModelParameters!$B$13:$B$17,0),MATCH($J4144,ModelParameters!$D$5:$K$5,0)))</f>
        <v>0.225</v>
      </c>
      <c r="S4144" s="160">
        <f>IF(B4144="",0,MIN(IF($N4144="Other Bond TM",ModelParameters!$N$21,1)*(P4144*Q4144+R4144),1))</f>
        <v>0.31691771346697796</v>
      </c>
      <c r="T4144" s="85">
        <f>IF(B4144="",0,$S4144*$K4144)</f>
        <v>49.426747458799936</v>
      </c>
      <c r="U4144" s="85">
        <f>IF(B4144="",0,IF(OR(H4144=MappingTables!$C$34,H4144=MappingTables!$C$35),T4144,0))</f>
        <v>0</v>
      </c>
      <c r="V4144" s="85">
        <f>IF(ISNA(IF(AND(VLOOKUP(CONCATENATE($D4144,$G4144),CSRFinput!$B:$E,4,0)=0,OR(H4144=MappingTables!$C$34,H4144=MappingTables!$C$35)),1,VLOOKUP(CONCATENATE($D4144,$G4144),CSRFinput!$B:$E,4,0))),0,IF(AND(VLOOKUP(CONCATENATE($D4144,$G4144),CSRFinput!$B:$E,4,0)=0,OR(H4144=MappingTables!$C$34,H4144=MappingTables!$C$35)),1,VLOOKUP(CONCATENATE($D4144,$G4144),CSRFinput!$B:$E,4,0)))</f>
        <v>0.054776304963434752</v>
      </c>
      <c r="W4144" s="85">
        <f>IF(B4144="",0,+$T4144*$V4144)</f>
        <v>2.7074145921538992</v>
      </c>
      <c r="X4144" s="85">
        <f>IF(B4144="",0,IF(OR(H4144=MappingTables!$C$34,H4144=MappingTables!$C$35),W4144,0))</f>
        <v>0</v>
      </c>
    </row>
    <row r="4145" spans="2:24" s="0" customFormat="0" ht="15">
      <c r="B4145" s="69">
        <v>12561864</v>
      </c>
      <c r="C4145" s="70" t="s">
        <v>1118</v>
      </c>
      <c r="D4145" s="70" t="s">
        <v>1</v>
      </c>
      <c r="E4145" s="70" t="s">
        <v>1</v>
      </c>
      <c r="F4145" s="70"/>
      <c r="G4145" s="70" t="s">
        <v>61</v>
      </c>
      <c r="H4145" s="70" t="s">
        <v>178</v>
      </c>
      <c r="I4145" s="70" t="s">
        <v>181</v>
      </c>
      <c r="J4145" s="71">
        <f>IF(OR(I4145=0,I4145=""),"unrated",VLOOKUP(I4145,MappingTables!$B$19:$C$31,2,FALSE))</f>
        <v>3</v>
      </c>
      <c r="K4145" s="72">
        <v>2569.750374434442</v>
      </c>
      <c r="L4145" s="70">
        <v>0.61462699730547696</v>
      </c>
      <c r="M4145" s="71">
        <f>IF(L4145&lt;1,1,L4145)</f>
        <v>1</v>
      </c>
      <c r="N4145" s="70" t="s">
        <v>141</v>
      </c>
      <c r="O4145" s="71">
        <f>INDEX(DurClassMapping,MATCH(M4145,MappingTables!$D$4:$D$8,-1),1)</f>
        <v>1</v>
      </c>
      <c r="P4145" s="73">
        <f>IF(M4145=$A$1,1,$M4145-INDEX(MappingTables!$E$4:$E$8,MATCH(O4145,MappingTables!$B$4:$B$8,0)))</f>
        <v>1</v>
      </c>
      <c r="Q4145" s="71">
        <f>IF(B4145="",0,INDEX(ModelParameters!$D$6:$K$10,MATCH($O4145,ModelParameters!$B$6:$B$10,0),MATCH($J4145,ModelParameters!$D$5:$K$5,0)))</f>
        <v>0.025</v>
      </c>
      <c r="R4145" s="71">
        <f>IF(B4145="",0,INDEX(ModelParameters!$D$13:$K$17,MATCH($O4145,ModelParameters!$B$13:$B$17,0),MATCH($J4145,ModelParameters!$D$5:$K$5,0)))</f>
        <v>0</v>
      </c>
      <c r="S4145" s="160">
        <f>IF(B4145="",0,MIN(IF($N4145="Other Bond TM",ModelParameters!$N$21,1)*(P4145*Q4145+R4145),1))</f>
        <v>0.025</v>
      </c>
      <c r="T4145" s="85">
        <f>IF(B4145="",0,$S4145*$K4145)</f>
        <v>64.243759360861064</v>
      </c>
      <c r="U4145" s="85">
        <f>IF(B4145="",0,IF(OR(H4145=MappingTables!$C$34,H4145=MappingTables!$C$35),T4145,0))</f>
        <v>0</v>
      </c>
      <c r="V4145" s="85">
        <f>IF(ISNA(IF(AND(VLOOKUP(CONCATENATE($D4145,$G4145),CSRFinput!$B:$E,4,0)=0,OR(H4145=MappingTables!$C$34,H4145=MappingTables!$C$35)),1,VLOOKUP(CONCATENATE($D4145,$G4145),CSRFinput!$B:$E,4,0))),0,IF(AND(VLOOKUP(CONCATENATE($D4145,$G4145),CSRFinput!$B:$E,4,0)=0,OR(H4145=MappingTables!$C$34,H4145=MappingTables!$C$35)),1,VLOOKUP(CONCATENATE($D4145,$G4145),CSRFinput!$B:$E,4,0)))</f>
        <v>0.054776304963434752</v>
      </c>
      <c r="W4145" s="85">
        <f>IF(B4145="",0,+$T4145*$V4145)</f>
        <v>3.5190357547480416</v>
      </c>
      <c r="X4145" s="85">
        <f>IF(B4145="",0,IF(OR(H4145=MappingTables!$C$34,H4145=MappingTables!$C$35),W4145,0))</f>
        <v>0</v>
      </c>
    </row>
    <row r="4146" spans="2:24" s="0" customFormat="0" ht="15">
      <c r="B4146" s="69">
        <v>16209205</v>
      </c>
      <c r="C4146" s="70" t="s">
        <v>2386</v>
      </c>
      <c r="D4146" s="70" t="s">
        <v>1</v>
      </c>
      <c r="E4146" s="70" t="s">
        <v>1</v>
      </c>
      <c r="F4146" s="70"/>
      <c r="G4146" s="70" t="s">
        <v>61</v>
      </c>
      <c r="H4146" s="70" t="s">
        <v>178</v>
      </c>
      <c r="I4146" s="70" t="s">
        <v>181</v>
      </c>
      <c r="J4146" s="71">
        <f>IF(OR(I4146=0,I4146=""),"unrated",VLOOKUP(I4146,MappingTables!$B$19:$C$31,2,FALSE))</f>
        <v>3</v>
      </c>
      <c r="K4146" s="72">
        <v>516.41481520525392</v>
      </c>
      <c r="L4146" s="70">
        <v>6.5985615232017552</v>
      </c>
      <c r="M4146" s="71">
        <f>IF(L4146&lt;1,1,L4146)</f>
        <v>6.5985615232017552</v>
      </c>
      <c r="N4146" s="70" t="s">
        <v>141</v>
      </c>
      <c r="O4146" s="71">
        <f>INDEX(DurClassMapping,MATCH(M4146,MappingTables!$D$4:$D$8,-1),1)</f>
        <v>2</v>
      </c>
      <c r="P4146" s="73">
        <f>IF(M4146=$A$1,1,$M4146-INDEX(MappingTables!$E$4:$E$8,MATCH(O4146,MappingTables!$B$4:$B$8,0)))</f>
        <v>1.598561523201755</v>
      </c>
      <c r="Q4146" s="71">
        <f>IF(B4146="",0,INDEX(ModelParameters!$D$6:$K$10,MATCH($O4146,ModelParameters!$B$6:$B$10,0),MATCH($J4146,ModelParameters!$D$5:$K$5,0)))</f>
        <v>0.015</v>
      </c>
      <c r="R4146" s="71">
        <f>IF(B4146="",0,INDEX(ModelParameters!$D$13:$K$17,MATCH($O4146,ModelParameters!$B$13:$B$17,0),MATCH($J4146,ModelParameters!$D$5:$K$5,0)))</f>
        <v>0.125</v>
      </c>
      <c r="S4146" s="160">
        <f>IF(B4146="",0,MIN(IF($N4146="Other Bond TM",ModelParameters!$N$21,1)*(P4146*Q4146+R4146),1))</f>
        <v>0.14897842284802632</v>
      </c>
      <c r="T4146" s="85">
        <f>IF(B4146="",0,$S4146*$K4146)</f>
        <v>76.934664704633696</v>
      </c>
      <c r="U4146" s="85">
        <f>IF(B4146="",0,IF(OR(H4146=MappingTables!$C$34,H4146=MappingTables!$C$35),T4146,0))</f>
        <v>0</v>
      </c>
      <c r="V4146" s="85">
        <f>IF(ISNA(IF(AND(VLOOKUP(CONCATENATE($D4146,$G4146),CSRFinput!$B:$E,4,0)=0,OR(H4146=MappingTables!$C$34,H4146=MappingTables!$C$35)),1,VLOOKUP(CONCATENATE($D4146,$G4146),CSRFinput!$B:$E,4,0))),0,IF(AND(VLOOKUP(CONCATENATE($D4146,$G4146),CSRFinput!$B:$E,4,0)=0,OR(H4146=MappingTables!$C$34,H4146=MappingTables!$C$35)),1,VLOOKUP(CONCATENATE($D4146,$G4146),CSRFinput!$B:$E,4,0)))</f>
        <v>0.054776304963434752</v>
      </c>
      <c r="W4146" s="85">
        <f>IF(B4146="",0,+$T4146*$V4146)</f>
        <v>4.2141966561206152</v>
      </c>
      <c r="X4146" s="85">
        <f>IF(B4146="",0,IF(OR(H4146=MappingTables!$C$34,H4146=MappingTables!$C$35),W4146,0))</f>
        <v>0</v>
      </c>
    </row>
    <row r="4147" spans="2:24" s="0" customFormat="0" ht="15">
      <c r="B4147" s="69" t="s">
        <v>998</v>
      </c>
      <c r="C4147" s="70" t="s">
        <v>999</v>
      </c>
      <c r="D4147" s="70" t="s">
        <v>1</v>
      </c>
      <c r="E4147" s="70" t="s">
        <v>1</v>
      </c>
      <c r="F4147" s="70"/>
      <c r="G4147" s="70" t="s">
        <v>61</v>
      </c>
      <c r="H4147" s="70" t="s">
        <v>178</v>
      </c>
      <c r="I4147" s="70" t="s">
        <v>198</v>
      </c>
      <c r="J4147" s="71" t="str">
        <f>IF(OR(I4147=0,I4147=""),"unrated",VLOOKUP(I4147,MappingTables!$B$19:$C$31,2,FALSE))</f>
        <v>unrated</v>
      </c>
      <c r="K4147" s="72">
        <v>1.0387183462795122</v>
      </c>
      <c r="L4147" s="70">
        <v>0.13150626109455144</v>
      </c>
      <c r="M4147" s="71">
        <f>IF(L4147&lt;1,1,L4147)</f>
        <v>1</v>
      </c>
      <c r="N4147" s="70" t="s">
        <v>141</v>
      </c>
      <c r="O4147" s="71">
        <f>INDEX(DurClassMapping,MATCH(M4147,MappingTables!$D$4:$D$8,-1),1)</f>
        <v>1</v>
      </c>
      <c r="P4147" s="73">
        <f>IF(M4147=$A$1,1,$M4147-INDEX(MappingTables!$E$4:$E$8,MATCH(O4147,MappingTables!$B$4:$B$8,0)))</f>
        <v>1</v>
      </c>
      <c r="Q4147" s="71">
        <f>IF(B4147="",0,INDEX(ModelParameters!$D$6:$K$10,MATCH($O4147,ModelParameters!$B$6:$B$10,0),MATCH($J4147,ModelParameters!$D$5:$K$5,0)))</f>
        <v>0.03</v>
      </c>
      <c r="R4147" s="71">
        <f>IF(B4147="",0,INDEX(ModelParameters!$D$13:$K$17,MATCH($O4147,ModelParameters!$B$13:$B$17,0),MATCH($J4147,ModelParameters!$D$5:$K$5,0)))</f>
        <v>0</v>
      </c>
      <c r="S4147" s="160">
        <f>IF(B4147="",0,MIN(IF($N4147="Other Bond TM",ModelParameters!$N$21,1)*(P4147*Q4147+R4147),1))</f>
        <v>0.03</v>
      </c>
      <c r="T4147" s="85">
        <f>IF(B4147="",0,$S4147*$K4147)</f>
        <v>0.031161550388385364</v>
      </c>
      <c r="U4147" s="85">
        <f>IF(B4147="",0,IF(OR(H4147=MappingTables!$C$34,H4147=MappingTables!$C$35),T4147,0))</f>
        <v>0</v>
      </c>
      <c r="V4147" s="85">
        <f>IF(ISNA(IF(AND(VLOOKUP(CONCATENATE($D4147,$G4147),CSRFinput!$B:$E,4,0)=0,OR(H4147=MappingTables!$C$34,H4147=MappingTables!$C$35)),1,VLOOKUP(CONCATENATE($D4147,$G4147),CSRFinput!$B:$E,4,0))),0,IF(AND(VLOOKUP(CONCATENATE($D4147,$G4147),CSRFinput!$B:$E,4,0)=0,OR(H4147=MappingTables!$C$34,H4147=MappingTables!$C$35)),1,VLOOKUP(CONCATENATE($D4147,$G4147),CSRFinput!$B:$E,4,0)))</f>
        <v>0.054776304963434752</v>
      </c>
      <c r="W4147" s="85">
        <f>IF(B4147="",0,+$T4147*$V4147)</f>
        <v>0.0017069145872076356</v>
      </c>
      <c r="X4147" s="85">
        <f>IF(B4147="",0,IF(OR(H4147=MappingTables!$C$34,H4147=MappingTables!$C$35),W4147,0))</f>
        <v>0</v>
      </c>
    </row>
    <row r="4148" spans="2:24" s="0" customFormat="0" ht="15">
      <c r="B4148" s="69" t="s">
        <v>2538</v>
      </c>
      <c r="C4148" s="70" t="s">
        <v>2539</v>
      </c>
      <c r="D4148" s="70" t="s">
        <v>1</v>
      </c>
      <c r="E4148" s="70" t="s">
        <v>1</v>
      </c>
      <c r="F4148" s="70"/>
      <c r="G4148" s="70" t="s">
        <v>61</v>
      </c>
      <c r="H4148" s="70" t="s">
        <v>178</v>
      </c>
      <c r="I4148" s="70" t="s">
        <v>184</v>
      </c>
      <c r="J4148" s="71">
        <f>IF(OR(I4148=0,I4148=""),"unrated",VLOOKUP(I4148,MappingTables!$B$19:$C$31,2,FALSE))</f>
        <v>5</v>
      </c>
      <c r="K4148" s="72">
        <v>47.300138639260512</v>
      </c>
      <c r="L4148" s="70">
        <v>0.46301707787600504</v>
      </c>
      <c r="M4148" s="71">
        <f>IF(L4148&lt;1,1,L4148)</f>
        <v>1</v>
      </c>
      <c r="N4148" s="70" t="s">
        <v>141</v>
      </c>
      <c r="O4148" s="71">
        <f>INDEX(DurClassMapping,MATCH(M4148,MappingTables!$D$4:$D$8,-1),1)</f>
        <v>1</v>
      </c>
      <c r="P4148" s="73">
        <f>IF(M4148=$A$1,1,$M4148-INDEX(MappingTables!$E$4:$E$8,MATCH(O4148,MappingTables!$B$4:$B$8,0)))</f>
        <v>1</v>
      </c>
      <c r="Q4148" s="71">
        <f>IF(B4148="",0,INDEX(ModelParameters!$D$6:$K$10,MATCH($O4148,ModelParameters!$B$6:$B$10,0),MATCH($J4148,ModelParameters!$D$5:$K$5,0)))</f>
        <v>0.075</v>
      </c>
      <c r="R4148" s="71">
        <f>IF(B4148="",0,INDEX(ModelParameters!$D$13:$K$17,MATCH($O4148,ModelParameters!$B$13:$B$17,0),MATCH($J4148,ModelParameters!$D$5:$K$5,0)))</f>
        <v>0</v>
      </c>
      <c r="S4148" s="160">
        <f>IF(B4148="",0,MIN(IF($N4148="Other Bond TM",ModelParameters!$N$21,1)*(P4148*Q4148+R4148),1))</f>
        <v>0.075</v>
      </c>
      <c r="T4148" s="85">
        <f>IF(B4148="",0,$S4148*$K4148)</f>
        <v>3.547510397944538</v>
      </c>
      <c r="U4148" s="85">
        <f>IF(B4148="",0,IF(OR(H4148=MappingTables!$C$34,H4148=MappingTables!$C$35),T4148,0))</f>
        <v>0</v>
      </c>
      <c r="V4148" s="85">
        <f>IF(ISNA(IF(AND(VLOOKUP(CONCATENATE($D4148,$G4148),CSRFinput!$B:$E,4,0)=0,OR(H4148=MappingTables!$C$34,H4148=MappingTables!$C$35)),1,VLOOKUP(CONCATENATE($D4148,$G4148),CSRFinput!$B:$E,4,0))),0,IF(AND(VLOOKUP(CONCATENATE($D4148,$G4148),CSRFinput!$B:$E,4,0)=0,OR(H4148=MappingTables!$C$34,H4148=MappingTables!$C$35)),1,VLOOKUP(CONCATENATE($D4148,$G4148),CSRFinput!$B:$E,4,0)))</f>
        <v>0.054776304963434752</v>
      </c>
      <c r="W4148" s="85">
        <f>IF(B4148="",0,+$T4148*$V4148)</f>
        <v>0.1943195114187658</v>
      </c>
      <c r="X4148" s="85">
        <f>IF(B4148="",0,IF(OR(H4148=MappingTables!$C$34,H4148=MappingTables!$C$35),W4148,0))</f>
        <v>0</v>
      </c>
    </row>
    <row r="4149" spans="2:24" s="0" customFormat="0" ht="15">
      <c r="B4149" s="69">
        <v>15419814</v>
      </c>
      <c r="C4149" s="70" t="s">
        <v>3003</v>
      </c>
      <c r="D4149" s="70" t="s">
        <v>1</v>
      </c>
      <c r="E4149" s="70" t="s">
        <v>1</v>
      </c>
      <c r="F4149" s="70"/>
      <c r="G4149" s="70" t="s">
        <v>61</v>
      </c>
      <c r="H4149" s="70" t="s">
        <v>178</v>
      </c>
      <c r="I4149" s="70" t="s">
        <v>181</v>
      </c>
      <c r="J4149" s="71">
        <f>IF(OR(I4149=0,I4149=""),"unrated",VLOOKUP(I4149,MappingTables!$B$19:$C$31,2,FALSE))</f>
        <v>3</v>
      </c>
      <c r="K4149" s="72">
        <v>2001.3371687745636</v>
      </c>
      <c r="L4149" s="70">
        <v>0.01369927199288624</v>
      </c>
      <c r="M4149" s="71">
        <f>IF(L4149&lt;1,1,L4149)</f>
        <v>1</v>
      </c>
      <c r="N4149" s="70" t="s">
        <v>141</v>
      </c>
      <c r="O4149" s="71">
        <f>INDEX(DurClassMapping,MATCH(M4149,MappingTables!$D$4:$D$8,-1),1)</f>
        <v>1</v>
      </c>
      <c r="P4149" s="73">
        <f>IF(M4149=$A$1,1,$M4149-INDEX(MappingTables!$E$4:$E$8,MATCH(O4149,MappingTables!$B$4:$B$8,0)))</f>
        <v>1</v>
      </c>
      <c r="Q4149" s="71">
        <f>IF(B4149="",0,INDEX(ModelParameters!$D$6:$K$10,MATCH($O4149,ModelParameters!$B$6:$B$10,0),MATCH($J4149,ModelParameters!$D$5:$K$5,0)))</f>
        <v>0.025</v>
      </c>
      <c r="R4149" s="71">
        <f>IF(B4149="",0,INDEX(ModelParameters!$D$13:$K$17,MATCH($O4149,ModelParameters!$B$13:$B$17,0),MATCH($J4149,ModelParameters!$D$5:$K$5,0)))</f>
        <v>0</v>
      </c>
      <c r="S4149" s="160">
        <f>IF(B4149="",0,MIN(IF($N4149="Other Bond TM",ModelParameters!$N$21,1)*(P4149*Q4149+R4149),1))</f>
        <v>0.025</v>
      </c>
      <c r="T4149" s="85">
        <f>IF(B4149="",0,$S4149*$K4149)</f>
        <v>50.033429219364096</v>
      </c>
      <c r="U4149" s="85">
        <f>IF(B4149="",0,IF(OR(H4149=MappingTables!$C$34,H4149=MappingTables!$C$35),T4149,0))</f>
        <v>0</v>
      </c>
      <c r="V4149" s="85">
        <f>IF(ISNA(IF(AND(VLOOKUP(CONCATENATE($D4149,$G4149),CSRFinput!$B:$E,4,0)=0,OR(H4149=MappingTables!$C$34,H4149=MappingTables!$C$35)),1,VLOOKUP(CONCATENATE($D4149,$G4149),CSRFinput!$B:$E,4,0))),0,IF(AND(VLOOKUP(CONCATENATE($D4149,$G4149),CSRFinput!$B:$E,4,0)=0,OR(H4149=MappingTables!$C$34,H4149=MappingTables!$C$35)),1,VLOOKUP(CONCATENATE($D4149,$G4149),CSRFinput!$B:$E,4,0)))</f>
        <v>0.054776304963434752</v>
      </c>
      <c r="W4149" s="85">
        <f>IF(B4149="",0,+$T4149*$V4149)</f>
        <v>2.7406463772863148</v>
      </c>
      <c r="X4149" s="85">
        <f>IF(B4149="",0,IF(OR(H4149=MappingTables!$C$34,H4149=MappingTables!$C$35),W4149,0))</f>
        <v>0</v>
      </c>
    </row>
    <row r="4150" spans="2:24" s="0" customFormat="0" ht="15">
      <c r="B4150" s="69">
        <v>20649047</v>
      </c>
      <c r="C4150" s="70" t="s">
        <v>3004</v>
      </c>
      <c r="D4150" s="70" t="s">
        <v>1</v>
      </c>
      <c r="E4150" s="70" t="s">
        <v>1</v>
      </c>
      <c r="F4150" s="70"/>
      <c r="G4150" s="70" t="s">
        <v>61</v>
      </c>
      <c r="H4150" s="70" t="s">
        <v>178</v>
      </c>
      <c r="I4150" s="70" t="s">
        <v>181</v>
      </c>
      <c r="J4150" s="71">
        <f>IF(OR(I4150=0,I4150=""),"unrated",VLOOKUP(I4150,MappingTables!$B$19:$C$31,2,FALSE))</f>
        <v>3</v>
      </c>
      <c r="K4150" s="72">
        <v>114.74806697116504</v>
      </c>
      <c r="L4150" s="70">
        <v>0.6093885162440076</v>
      </c>
      <c r="M4150" s="71">
        <f>IF(L4150&lt;1,1,L4150)</f>
        <v>1</v>
      </c>
      <c r="N4150" s="70" t="s">
        <v>141</v>
      </c>
      <c r="O4150" s="71">
        <f>INDEX(DurClassMapping,MATCH(M4150,MappingTables!$D$4:$D$8,-1),1)</f>
        <v>1</v>
      </c>
      <c r="P4150" s="73">
        <f>IF(M4150=$A$1,1,$M4150-INDEX(MappingTables!$E$4:$E$8,MATCH(O4150,MappingTables!$B$4:$B$8,0)))</f>
        <v>1</v>
      </c>
      <c r="Q4150" s="71">
        <f>IF(B4150="",0,INDEX(ModelParameters!$D$6:$K$10,MATCH($O4150,ModelParameters!$B$6:$B$10,0),MATCH($J4150,ModelParameters!$D$5:$K$5,0)))</f>
        <v>0.025</v>
      </c>
      <c r="R4150" s="71">
        <f>IF(B4150="",0,INDEX(ModelParameters!$D$13:$K$17,MATCH($O4150,ModelParameters!$B$13:$B$17,0),MATCH($J4150,ModelParameters!$D$5:$K$5,0)))</f>
        <v>0</v>
      </c>
      <c r="S4150" s="160">
        <f>IF(B4150="",0,MIN(IF($N4150="Other Bond TM",ModelParameters!$N$21,1)*(P4150*Q4150+R4150),1))</f>
        <v>0.025</v>
      </c>
      <c r="T4150" s="85">
        <f>IF(B4150="",0,$S4150*$K4150)</f>
        <v>2.868701674279126</v>
      </c>
      <c r="U4150" s="85">
        <f>IF(B4150="",0,IF(OR(H4150=MappingTables!$C$34,H4150=MappingTables!$C$35),T4150,0))</f>
        <v>0</v>
      </c>
      <c r="V4150" s="85">
        <f>IF(ISNA(IF(AND(VLOOKUP(CONCATENATE($D4150,$G4150),CSRFinput!$B:$E,4,0)=0,OR(H4150=MappingTables!$C$34,H4150=MappingTables!$C$35)),1,VLOOKUP(CONCATENATE($D4150,$G4150),CSRFinput!$B:$E,4,0))),0,IF(AND(VLOOKUP(CONCATENATE($D4150,$G4150),CSRFinput!$B:$E,4,0)=0,OR(H4150=MappingTables!$C$34,H4150=MappingTables!$C$35)),1,VLOOKUP(CONCATENATE($D4150,$G4150),CSRFinput!$B:$E,4,0)))</f>
        <v>0.054776304963434752</v>
      </c>
      <c r="W4150" s="85">
        <f>IF(B4150="",0,+$T4150*$V4150)</f>
        <v>0.15713687775942928</v>
      </c>
      <c r="X4150" s="85">
        <f>IF(B4150="",0,IF(OR(H4150=MappingTables!$C$34,H4150=MappingTables!$C$35),W4150,0))</f>
        <v>0</v>
      </c>
    </row>
    <row r="4151" spans="2:24" s="0" customFormat="0" ht="15">
      <c r="B4151" s="69">
        <v>22843188</v>
      </c>
      <c r="C4151" s="70" t="s">
        <v>2984</v>
      </c>
      <c r="D4151" s="70" t="s">
        <v>1</v>
      </c>
      <c r="E4151" s="70" t="s">
        <v>1</v>
      </c>
      <c r="F4151" s="70"/>
      <c r="G4151" s="70" t="s">
        <v>61</v>
      </c>
      <c r="H4151" s="70" t="s">
        <v>178</v>
      </c>
      <c r="I4151" s="70" t="s">
        <v>179</v>
      </c>
      <c r="J4151" s="71">
        <f>IF(OR(I4151=0,I4151=""),"unrated",VLOOKUP(I4151,MappingTables!$B$19:$C$31,2,FALSE))</f>
        <v>4</v>
      </c>
      <c r="K4151" s="72">
        <v>8236.3432932662448</v>
      </c>
      <c r="L4151" s="70">
        <v>11.808119740527622</v>
      </c>
      <c r="M4151" s="71">
        <f>IF(L4151&lt;1,1,L4151)</f>
        <v>11.808119740527622</v>
      </c>
      <c r="N4151" s="70" t="s">
        <v>141</v>
      </c>
      <c r="O4151" s="71">
        <f>INDEX(DurClassMapping,MATCH(M4151,MappingTables!$D$4:$D$8,-1),1)</f>
        <v>3</v>
      </c>
      <c r="P4151" s="73">
        <f>IF(M4151=$A$1,1,$M4151-INDEX(MappingTables!$E$4:$E$8,MATCH(O4151,MappingTables!$B$4:$B$8,0)))</f>
        <v>1.8081197405276228</v>
      </c>
      <c r="Q4151" s="71">
        <f>IF(B4151="",0,INDEX(ModelParameters!$D$6:$K$10,MATCH($O4151,ModelParameters!$B$6:$B$10,0),MATCH($J4151,ModelParameters!$D$5:$K$5,0)))</f>
        <v>0.018000000000000002</v>
      </c>
      <c r="R4151" s="71">
        <f>IF(B4151="",0,INDEX(ModelParameters!$D$13:$K$17,MATCH($O4151,ModelParameters!$B$13:$B$17,0),MATCH($J4151,ModelParameters!$D$5:$K$5,0)))</f>
        <v>0.34999999999999996</v>
      </c>
      <c r="S4151" s="160">
        <f>IF(B4151="",0,MIN(IF($N4151="Other Bond TM",ModelParameters!$N$21,1)*(P4151*Q4151+R4151),1))</f>
        <v>0.3825461553294972</v>
      </c>
      <c r="T4151" s="85">
        <f>IF(B4151="",0,$S4151*$K4151)</f>
        <v>3150.7814608128916</v>
      </c>
      <c r="U4151" s="85">
        <f>IF(B4151="",0,IF(OR(H4151=MappingTables!$C$34,H4151=MappingTables!$C$35),T4151,0))</f>
        <v>0</v>
      </c>
      <c r="V4151" s="85">
        <f>IF(ISNA(IF(AND(VLOOKUP(CONCATENATE($D4151,$G4151),CSRFinput!$B:$E,4,0)=0,OR(H4151=MappingTables!$C$34,H4151=MappingTables!$C$35)),1,VLOOKUP(CONCATENATE($D4151,$G4151),CSRFinput!$B:$E,4,0))),0,IF(AND(VLOOKUP(CONCATENATE($D4151,$G4151),CSRFinput!$B:$E,4,0)=0,OR(H4151=MappingTables!$C$34,H4151=MappingTables!$C$35)),1,VLOOKUP(CONCATENATE($D4151,$G4151),CSRFinput!$B:$E,4,0)))</f>
        <v>0.054776304963434752</v>
      </c>
      <c r="W4151" s="85">
        <f>IF(B4151="",0,+$T4151*$V4151)</f>
        <v>172.5881661706234</v>
      </c>
      <c r="X4151" s="85">
        <f>IF(B4151="",0,IF(OR(H4151=MappingTables!$C$34,H4151=MappingTables!$C$35),W4151,0))</f>
        <v>0</v>
      </c>
    </row>
    <row r="4152" spans="2:24" s="0" customFormat="0" ht="15">
      <c r="B4152" s="69">
        <v>22289604</v>
      </c>
      <c r="C4152" s="70" t="s">
        <v>1513</v>
      </c>
      <c r="D4152" s="70" t="s">
        <v>1</v>
      </c>
      <c r="E4152" s="70" t="s">
        <v>1</v>
      </c>
      <c r="F4152" s="70"/>
      <c r="G4152" s="70" t="s">
        <v>61</v>
      </c>
      <c r="H4152" s="70" t="s">
        <v>178</v>
      </c>
      <c r="I4152" s="70" t="s">
        <v>181</v>
      </c>
      <c r="J4152" s="71">
        <f>IF(OR(I4152=0,I4152=""),"unrated",VLOOKUP(I4152,MappingTables!$B$19:$C$31,2,FALSE))</f>
        <v>3</v>
      </c>
      <c r="K4152" s="72">
        <v>8067.8930447209728</v>
      </c>
      <c r="L4152" s="70">
        <v>4.071004907837564</v>
      </c>
      <c r="M4152" s="71">
        <f>IF(L4152&lt;1,1,L4152)</f>
        <v>4.071004907837564</v>
      </c>
      <c r="N4152" s="70" t="s">
        <v>141</v>
      </c>
      <c r="O4152" s="71">
        <f>INDEX(DurClassMapping,MATCH(M4152,MappingTables!$D$4:$D$8,-1),1)</f>
        <v>1</v>
      </c>
      <c r="P4152" s="73">
        <f>IF(M4152=$A$1,1,$M4152-INDEX(MappingTables!$E$4:$E$8,MATCH(O4152,MappingTables!$B$4:$B$8,0)))</f>
        <v>4.071004907837564</v>
      </c>
      <c r="Q4152" s="71">
        <f>IF(B4152="",0,INDEX(ModelParameters!$D$6:$K$10,MATCH($O4152,ModelParameters!$B$6:$B$10,0),MATCH($J4152,ModelParameters!$D$5:$K$5,0)))</f>
        <v>0.025</v>
      </c>
      <c r="R4152" s="71">
        <f>IF(B4152="",0,INDEX(ModelParameters!$D$13:$K$17,MATCH($O4152,ModelParameters!$B$13:$B$17,0),MATCH($J4152,ModelParameters!$D$5:$K$5,0)))</f>
        <v>0</v>
      </c>
      <c r="S4152" s="160">
        <f>IF(B4152="",0,MIN(IF($N4152="Other Bond TM",ModelParameters!$N$21,1)*(P4152*Q4152+R4152),1))</f>
        <v>0.1017751226959391</v>
      </c>
      <c r="T4152" s="85">
        <f>IF(B4152="",0,$S4152*$K4152)</f>
        <v>821.11080452419072</v>
      </c>
      <c r="U4152" s="85">
        <f>IF(B4152="",0,IF(OR(H4152=MappingTables!$C$34,H4152=MappingTables!$C$35),T4152,0))</f>
        <v>0</v>
      </c>
      <c r="V4152" s="85">
        <f>IF(ISNA(IF(AND(VLOOKUP(CONCATENATE($D4152,$G4152),CSRFinput!$B:$E,4,0)=0,OR(H4152=MappingTables!$C$34,H4152=MappingTables!$C$35)),1,VLOOKUP(CONCATENATE($D4152,$G4152),CSRFinput!$B:$E,4,0))),0,IF(AND(VLOOKUP(CONCATENATE($D4152,$G4152),CSRFinput!$B:$E,4,0)=0,OR(H4152=MappingTables!$C$34,H4152=MappingTables!$C$35)),1,VLOOKUP(CONCATENATE($D4152,$G4152),CSRFinput!$B:$E,4,0)))</f>
        <v>0.054776304963434752</v>
      </c>
      <c r="W4152" s="85">
        <f>IF(B4152="",0,+$T4152*$V4152)</f>
        <v>44.977415837388328</v>
      </c>
      <c r="X4152" s="85">
        <f>IF(B4152="",0,IF(OR(H4152=MappingTables!$C$34,H4152=MappingTables!$C$35),W4152,0))</f>
        <v>0</v>
      </c>
    </row>
    <row r="4153" spans="2:24" s="0" customFormat="0" ht="15">
      <c r="B4153" s="69">
        <v>10483612</v>
      </c>
      <c r="C4153" s="70" t="s">
        <v>1954</v>
      </c>
      <c r="D4153" s="70" t="s">
        <v>1</v>
      </c>
      <c r="E4153" s="70" t="s">
        <v>1</v>
      </c>
      <c r="F4153" s="70"/>
      <c r="G4153" s="70" t="s">
        <v>61</v>
      </c>
      <c r="H4153" s="70" t="s">
        <v>178</v>
      </c>
      <c r="I4153" s="70" t="s">
        <v>179</v>
      </c>
      <c r="J4153" s="71">
        <f>IF(OR(I4153=0,I4153=""),"unrated",VLOOKUP(I4153,MappingTables!$B$19:$C$31,2,FALSE))</f>
        <v>4</v>
      </c>
      <c r="K4153" s="72">
        <v>3058.475181709498</v>
      </c>
      <c r="L4153" s="70">
        <v>1.5470692954183022</v>
      </c>
      <c r="M4153" s="71">
        <f>IF(L4153&lt;1,1,L4153)</f>
        <v>1.5470692954183022</v>
      </c>
      <c r="N4153" s="70" t="s">
        <v>141</v>
      </c>
      <c r="O4153" s="71">
        <f>INDEX(DurClassMapping,MATCH(M4153,MappingTables!$D$4:$D$8,-1),1)</f>
        <v>1</v>
      </c>
      <c r="P4153" s="73">
        <f>IF(M4153=$A$1,1,$M4153-INDEX(MappingTables!$E$4:$E$8,MATCH(O4153,MappingTables!$B$4:$B$8,0)))</f>
        <v>1.5470692954183022</v>
      </c>
      <c r="Q4153" s="71">
        <f>IF(B4153="",0,INDEX(ModelParameters!$D$6:$K$10,MATCH($O4153,ModelParameters!$B$6:$B$10,0),MATCH($J4153,ModelParameters!$D$5:$K$5,0)))</f>
        <v>0.045</v>
      </c>
      <c r="R4153" s="71">
        <f>IF(B4153="",0,INDEX(ModelParameters!$D$13:$K$17,MATCH($O4153,ModelParameters!$B$13:$B$17,0),MATCH($J4153,ModelParameters!$D$5:$K$5,0)))</f>
        <v>0</v>
      </c>
      <c r="S4153" s="160">
        <f>IF(B4153="",0,MIN(IF($N4153="Other Bond TM",ModelParameters!$N$21,1)*(P4153*Q4153+R4153),1))</f>
        <v>0.0696181182938236</v>
      </c>
      <c r="T4153" s="85">
        <f>IF(B4153="",0,$S4153*$K4153)</f>
        <v>212.92528699897544</v>
      </c>
      <c r="U4153" s="85">
        <f>IF(B4153="",0,IF(OR(H4153=MappingTables!$C$34,H4153=MappingTables!$C$35),T4153,0))</f>
        <v>0</v>
      </c>
      <c r="V4153" s="85">
        <f>IF(ISNA(IF(AND(VLOOKUP(CONCATENATE($D4153,$G4153),CSRFinput!$B:$E,4,0)=0,OR(H4153=MappingTables!$C$34,H4153=MappingTables!$C$35)),1,VLOOKUP(CONCATENATE($D4153,$G4153),CSRFinput!$B:$E,4,0))),0,IF(AND(VLOOKUP(CONCATENATE($D4153,$G4153),CSRFinput!$B:$E,4,0)=0,OR(H4153=MappingTables!$C$34,H4153=MappingTables!$C$35)),1,VLOOKUP(CONCATENATE($D4153,$G4153),CSRFinput!$B:$E,4,0)))</f>
        <v>0.054776304963434752</v>
      </c>
      <c r="W4153" s="85">
        <f>IF(B4153="",0,+$T4153*$V4153)</f>
        <v>11.663260455082748</v>
      </c>
      <c r="X4153" s="85">
        <f>IF(B4153="",0,IF(OR(H4153=MappingTables!$C$34,H4153=MappingTables!$C$35),W4153,0))</f>
        <v>0</v>
      </c>
    </row>
    <row r="4154" spans="2:24" s="0" customFormat="0" ht="15">
      <c r="B4154" s="69">
        <v>15148669</v>
      </c>
      <c r="C4154" s="70" t="s">
        <v>2688</v>
      </c>
      <c r="D4154" s="70" t="s">
        <v>1</v>
      </c>
      <c r="E4154" s="70" t="s">
        <v>1</v>
      </c>
      <c r="F4154" s="70"/>
      <c r="G4154" s="70" t="s">
        <v>61</v>
      </c>
      <c r="H4154" s="70" t="s">
        <v>178</v>
      </c>
      <c r="I4154" s="70" t="s">
        <v>181</v>
      </c>
      <c r="J4154" s="71">
        <f>IF(OR(I4154=0,I4154=""),"unrated",VLOOKUP(I4154,MappingTables!$B$19:$C$31,2,FALSE))</f>
        <v>3</v>
      </c>
      <c r="K4154" s="72">
        <v>21353.935438590308</v>
      </c>
      <c r="L4154" s="70">
        <v>1.774829584413429</v>
      </c>
      <c r="M4154" s="71">
        <f>IF(L4154&lt;1,1,L4154)</f>
        <v>1.774829584413429</v>
      </c>
      <c r="N4154" s="70" t="s">
        <v>141</v>
      </c>
      <c r="O4154" s="71">
        <f>INDEX(DurClassMapping,MATCH(M4154,MappingTables!$D$4:$D$8,-1),1)</f>
        <v>1</v>
      </c>
      <c r="P4154" s="73">
        <f>IF(M4154=$A$1,1,$M4154-INDEX(MappingTables!$E$4:$E$8,MATCH(O4154,MappingTables!$B$4:$B$8,0)))</f>
        <v>1.774829584413429</v>
      </c>
      <c r="Q4154" s="71">
        <f>IF(B4154="",0,INDEX(ModelParameters!$D$6:$K$10,MATCH($O4154,ModelParameters!$B$6:$B$10,0),MATCH($J4154,ModelParameters!$D$5:$K$5,0)))</f>
        <v>0.025</v>
      </c>
      <c r="R4154" s="71">
        <f>IF(B4154="",0,INDEX(ModelParameters!$D$13:$K$17,MATCH($O4154,ModelParameters!$B$13:$B$17,0),MATCH($J4154,ModelParameters!$D$5:$K$5,0)))</f>
        <v>0</v>
      </c>
      <c r="S4154" s="160">
        <f>IF(B4154="",0,MIN(IF($N4154="Other Bond TM",ModelParameters!$N$21,1)*(P4154*Q4154+R4154),1))</f>
        <v>0.044370739610335728</v>
      </c>
      <c r="T4154" s="85">
        <f>IF(B4154="",0,$S4154*$K4154)</f>
        <v>947.48990900161072</v>
      </c>
      <c r="U4154" s="85">
        <f>IF(B4154="",0,IF(OR(H4154=MappingTables!$C$34,H4154=MappingTables!$C$35),T4154,0))</f>
        <v>0</v>
      </c>
      <c r="V4154" s="85">
        <f>IF(ISNA(IF(AND(VLOOKUP(CONCATENATE($D4154,$G4154),CSRFinput!$B:$E,4,0)=0,OR(H4154=MappingTables!$C$34,H4154=MappingTables!$C$35)),1,VLOOKUP(CONCATENATE($D4154,$G4154),CSRFinput!$B:$E,4,0))),0,IF(AND(VLOOKUP(CONCATENATE($D4154,$G4154),CSRFinput!$B:$E,4,0)=0,OR(H4154=MappingTables!$C$34,H4154=MappingTables!$C$35)),1,VLOOKUP(CONCATENATE($D4154,$G4154),CSRFinput!$B:$E,4,0)))</f>
        <v>0.054776304963434752</v>
      </c>
      <c r="W4154" s="85">
        <f>IF(B4154="",0,+$T4154*$V4154)</f>
        <v>51.899996205249272</v>
      </c>
      <c r="X4154" s="85">
        <f>IF(B4154="",0,IF(OR(H4154=MappingTables!$C$34,H4154=MappingTables!$C$35),W4154,0))</f>
        <v>0</v>
      </c>
    </row>
    <row r="4155" spans="2:24" s="0" customFormat="0" ht="15">
      <c r="B4155" s="69">
        <v>20870454</v>
      </c>
      <c r="C4155" s="70" t="s">
        <v>3005</v>
      </c>
      <c r="D4155" s="70" t="s">
        <v>1</v>
      </c>
      <c r="E4155" s="70" t="s">
        <v>1</v>
      </c>
      <c r="F4155" s="70"/>
      <c r="G4155" s="70" t="s">
        <v>61</v>
      </c>
      <c r="H4155" s="70" t="s">
        <v>178</v>
      </c>
      <c r="I4155" s="70" t="s">
        <v>181</v>
      </c>
      <c r="J4155" s="71">
        <f>IF(OR(I4155=0,I4155=""),"unrated",VLOOKUP(I4155,MappingTables!$B$19:$C$31,2,FALSE))</f>
        <v>3</v>
      </c>
      <c r="K4155" s="72">
        <v>251.40316736157052</v>
      </c>
      <c r="L4155" s="70">
        <v>3.5344749588849456</v>
      </c>
      <c r="M4155" s="71">
        <f>IF(L4155&lt;1,1,L4155)</f>
        <v>3.5344749588849456</v>
      </c>
      <c r="N4155" s="70" t="s">
        <v>141</v>
      </c>
      <c r="O4155" s="71">
        <f>INDEX(DurClassMapping,MATCH(M4155,MappingTables!$D$4:$D$8,-1),1)</f>
        <v>1</v>
      </c>
      <c r="P4155" s="73">
        <f>IF(M4155=$A$1,1,$M4155-INDEX(MappingTables!$E$4:$E$8,MATCH(O4155,MappingTables!$B$4:$B$8,0)))</f>
        <v>3.5344749588849456</v>
      </c>
      <c r="Q4155" s="71">
        <f>IF(B4155="",0,INDEX(ModelParameters!$D$6:$K$10,MATCH($O4155,ModelParameters!$B$6:$B$10,0),MATCH($J4155,ModelParameters!$D$5:$K$5,0)))</f>
        <v>0.025</v>
      </c>
      <c r="R4155" s="71">
        <f>IF(B4155="",0,INDEX(ModelParameters!$D$13:$K$17,MATCH($O4155,ModelParameters!$B$13:$B$17,0),MATCH($J4155,ModelParameters!$D$5:$K$5,0)))</f>
        <v>0</v>
      </c>
      <c r="S4155" s="160">
        <f>IF(B4155="",0,MIN(IF($N4155="Other Bond TM",ModelParameters!$N$21,1)*(P4155*Q4155+R4155),1))</f>
        <v>0.088361873972123632</v>
      </c>
      <c r="T4155" s="85">
        <f>IF(B4155="",0,$S4155*$K4155)</f>
        <v>22.2144549905958</v>
      </c>
      <c r="U4155" s="85">
        <f>IF(B4155="",0,IF(OR(H4155=MappingTables!$C$34,H4155=MappingTables!$C$35),T4155,0))</f>
        <v>0</v>
      </c>
      <c r="V4155" s="85">
        <f>IF(ISNA(IF(AND(VLOOKUP(CONCATENATE($D4155,$G4155),CSRFinput!$B:$E,4,0)=0,OR(H4155=MappingTables!$C$34,H4155=MappingTables!$C$35)),1,VLOOKUP(CONCATENATE($D4155,$G4155),CSRFinput!$B:$E,4,0))),0,IF(AND(VLOOKUP(CONCATENATE($D4155,$G4155),CSRFinput!$B:$E,4,0)=0,OR(H4155=MappingTables!$C$34,H4155=MappingTables!$C$35)),1,VLOOKUP(CONCATENATE($D4155,$G4155),CSRFinput!$B:$E,4,0)))</f>
        <v>0.054776304963434752</v>
      </c>
      <c r="W4155" s="85">
        <f>IF(B4155="",0,+$T4155*$V4155)</f>
        <v>1.2168257611613706</v>
      </c>
      <c r="X4155" s="85">
        <f>IF(B4155="",0,IF(OR(H4155=MappingTables!$C$34,H4155=MappingTables!$C$35),W4155,0))</f>
        <v>0</v>
      </c>
    </row>
    <row r="4156" spans="2:24" s="0" customFormat="0" ht="15">
      <c r="B4156" s="69">
        <v>9511665</v>
      </c>
      <c r="C4156" s="70" t="s">
        <v>2783</v>
      </c>
      <c r="D4156" s="70" t="s">
        <v>1</v>
      </c>
      <c r="E4156" s="70" t="s">
        <v>1</v>
      </c>
      <c r="F4156" s="70"/>
      <c r="G4156" s="70" t="s">
        <v>61</v>
      </c>
      <c r="H4156" s="70" t="s">
        <v>178</v>
      </c>
      <c r="I4156" s="70" t="s">
        <v>188</v>
      </c>
      <c r="J4156" s="71">
        <f>IF(OR(I4156=0,I4156=""),"unrated",VLOOKUP(I4156,MappingTables!$B$19:$C$31,2,FALSE))</f>
        <v>2</v>
      </c>
      <c r="K4156" s="72">
        <v>0.59013442862026208</v>
      </c>
      <c r="L4156" s="70">
        <v>1.1119376409548992</v>
      </c>
      <c r="M4156" s="71">
        <f>IF(L4156&lt;1,1,L4156)</f>
        <v>1.1119376409548992</v>
      </c>
      <c r="N4156" s="70" t="s">
        <v>141</v>
      </c>
      <c r="O4156" s="71">
        <f>INDEX(DurClassMapping,MATCH(M4156,MappingTables!$D$4:$D$8,-1),1)</f>
        <v>1</v>
      </c>
      <c r="P4156" s="73">
        <f>IF(M4156=$A$1,1,$M4156-INDEX(MappingTables!$E$4:$E$8,MATCH(O4156,MappingTables!$B$4:$B$8,0)))</f>
        <v>1.1119376409548992</v>
      </c>
      <c r="Q4156" s="71">
        <f>IF(B4156="",0,INDEX(ModelParameters!$D$6:$K$10,MATCH($O4156,ModelParameters!$B$6:$B$10,0),MATCH($J4156,ModelParameters!$D$5:$K$5,0)))</f>
        <v>0.013999999999999998</v>
      </c>
      <c r="R4156" s="71">
        <f>IF(B4156="",0,INDEX(ModelParameters!$D$13:$K$17,MATCH($O4156,ModelParameters!$B$13:$B$17,0),MATCH($J4156,ModelParameters!$D$5:$K$5,0)))</f>
        <v>0</v>
      </c>
      <c r="S4156" s="160">
        <f>IF(B4156="",0,MIN(IF($N4156="Other Bond TM",ModelParameters!$N$21,1)*(P4156*Q4156+R4156),1))</f>
        <v>0.015567126973368586</v>
      </c>
      <c r="T4156" s="85">
        <f>IF(B4156="",0,$S4156*$K4156)</f>
        <v>0.0091866975816879408</v>
      </c>
      <c r="U4156" s="85">
        <f>IF(B4156="",0,IF(OR(H4156=MappingTables!$C$34,H4156=MappingTables!$C$35),T4156,0))</f>
        <v>0</v>
      </c>
      <c r="V4156" s="85">
        <f>IF(ISNA(IF(AND(VLOOKUP(CONCATENATE($D4156,$G4156),CSRFinput!$B:$E,4,0)=0,OR(H4156=MappingTables!$C$34,H4156=MappingTables!$C$35)),1,VLOOKUP(CONCATENATE($D4156,$G4156),CSRFinput!$B:$E,4,0))),0,IF(AND(VLOOKUP(CONCATENATE($D4156,$G4156),CSRFinput!$B:$E,4,0)=0,OR(H4156=MappingTables!$C$34,H4156=MappingTables!$C$35)),1,VLOOKUP(CONCATENATE($D4156,$G4156),CSRFinput!$B:$E,4,0)))</f>
        <v>0.054776304963434752</v>
      </c>
      <c r="W4156" s="85">
        <f>IF(B4156="",0,+$T4156*$V4156)</f>
        <v>0.00050321334834138728</v>
      </c>
      <c r="X4156" s="85">
        <f>IF(B4156="",0,IF(OR(H4156=MappingTables!$C$34,H4156=MappingTables!$C$35),W4156,0))</f>
        <v>0</v>
      </c>
    </row>
    <row r="4157" spans="2:24" s="0" customFormat="0" ht="15">
      <c r="B4157" s="69">
        <v>15851015</v>
      </c>
      <c r="C4157" s="70" t="s">
        <v>299</v>
      </c>
      <c r="D4157" s="70" t="s">
        <v>1</v>
      </c>
      <c r="E4157" s="70" t="s">
        <v>1</v>
      </c>
      <c r="F4157" s="70"/>
      <c r="G4157" s="70" t="s">
        <v>61</v>
      </c>
      <c r="H4157" s="70" t="s">
        <v>178</v>
      </c>
      <c r="I4157" s="70" t="s">
        <v>181</v>
      </c>
      <c r="J4157" s="71">
        <f>IF(OR(I4157=0,I4157=""),"unrated",VLOOKUP(I4157,MappingTables!$B$19:$C$31,2,FALSE))</f>
        <v>3</v>
      </c>
      <c r="K4157" s="72">
        <v>12094.820300571312</v>
      </c>
      <c r="L4157" s="70">
        <v>0.7854113819369048</v>
      </c>
      <c r="M4157" s="71">
        <f>IF(L4157&lt;1,1,L4157)</f>
        <v>1</v>
      </c>
      <c r="N4157" s="70" t="s">
        <v>141</v>
      </c>
      <c r="O4157" s="71">
        <f>INDEX(DurClassMapping,MATCH(M4157,MappingTables!$D$4:$D$8,-1),1)</f>
        <v>1</v>
      </c>
      <c r="P4157" s="73">
        <f>IF(M4157=$A$1,1,$M4157-INDEX(MappingTables!$E$4:$E$8,MATCH(O4157,MappingTables!$B$4:$B$8,0)))</f>
        <v>1</v>
      </c>
      <c r="Q4157" s="71">
        <f>IF(B4157="",0,INDEX(ModelParameters!$D$6:$K$10,MATCH($O4157,ModelParameters!$B$6:$B$10,0),MATCH($J4157,ModelParameters!$D$5:$K$5,0)))</f>
        <v>0.025</v>
      </c>
      <c r="R4157" s="71">
        <f>IF(B4157="",0,INDEX(ModelParameters!$D$13:$K$17,MATCH($O4157,ModelParameters!$B$13:$B$17,0),MATCH($J4157,ModelParameters!$D$5:$K$5,0)))</f>
        <v>0</v>
      </c>
      <c r="S4157" s="160">
        <f>IF(B4157="",0,MIN(IF($N4157="Other Bond TM",ModelParameters!$N$21,1)*(P4157*Q4157+R4157),1))</f>
        <v>0.025</v>
      </c>
      <c r="T4157" s="85">
        <f>IF(B4157="",0,$S4157*$K4157)</f>
        <v>302.3705075142828</v>
      </c>
      <c r="U4157" s="85">
        <f>IF(B4157="",0,IF(OR(H4157=MappingTables!$C$34,H4157=MappingTables!$C$35),T4157,0))</f>
        <v>0</v>
      </c>
      <c r="V4157" s="85">
        <f>IF(ISNA(IF(AND(VLOOKUP(CONCATENATE($D4157,$G4157),CSRFinput!$B:$E,4,0)=0,OR(H4157=MappingTables!$C$34,H4157=MappingTables!$C$35)),1,VLOOKUP(CONCATENATE($D4157,$G4157),CSRFinput!$B:$E,4,0))),0,IF(AND(VLOOKUP(CONCATENATE($D4157,$G4157),CSRFinput!$B:$E,4,0)=0,OR(H4157=MappingTables!$C$34,H4157=MappingTables!$C$35)),1,VLOOKUP(CONCATENATE($D4157,$G4157),CSRFinput!$B:$E,4,0)))</f>
        <v>0.054776304963434752</v>
      </c>
      <c r="W4157" s="85">
        <f>IF(B4157="",0,+$T4157*$V4157)</f>
        <v>16.562739131550896</v>
      </c>
      <c r="X4157" s="85">
        <f>IF(B4157="",0,IF(OR(H4157=MappingTables!$C$34,H4157=MappingTables!$C$35),W4157,0))</f>
        <v>0</v>
      </c>
    </row>
    <row r="4158" spans="2:24" s="0" customFormat="0" ht="15">
      <c r="B4158" s="69" t="s">
        <v>2359</v>
      </c>
      <c r="C4158" s="70" t="s">
        <v>2360</v>
      </c>
      <c r="D4158" s="70" t="s">
        <v>1</v>
      </c>
      <c r="E4158" s="70" t="s">
        <v>1</v>
      </c>
      <c r="F4158" s="70"/>
      <c r="G4158" s="70" t="s">
        <v>61</v>
      </c>
      <c r="H4158" s="70" t="s">
        <v>178</v>
      </c>
      <c r="I4158" s="70" t="s">
        <v>181</v>
      </c>
      <c r="J4158" s="71">
        <f>IF(OR(I4158=0,I4158=""),"unrated",VLOOKUP(I4158,MappingTables!$B$19:$C$31,2,FALSE))</f>
        <v>3</v>
      </c>
      <c r="K4158" s="72">
        <v>5472.9363705153328</v>
      </c>
      <c r="L4158" s="70">
        <v>1.9483133662034484</v>
      </c>
      <c r="M4158" s="71">
        <f>IF(L4158&lt;1,1,L4158)</f>
        <v>1.9483133662034484</v>
      </c>
      <c r="N4158" s="70" t="s">
        <v>141</v>
      </c>
      <c r="O4158" s="71">
        <f>INDEX(DurClassMapping,MATCH(M4158,MappingTables!$D$4:$D$8,-1),1)</f>
        <v>1</v>
      </c>
      <c r="P4158" s="73">
        <f>IF(M4158=$A$1,1,$M4158-INDEX(MappingTables!$E$4:$E$8,MATCH(O4158,MappingTables!$B$4:$B$8,0)))</f>
        <v>1.9483133662034484</v>
      </c>
      <c r="Q4158" s="71">
        <f>IF(B4158="",0,INDEX(ModelParameters!$D$6:$K$10,MATCH($O4158,ModelParameters!$B$6:$B$10,0),MATCH($J4158,ModelParameters!$D$5:$K$5,0)))</f>
        <v>0.025</v>
      </c>
      <c r="R4158" s="71">
        <f>IF(B4158="",0,INDEX(ModelParameters!$D$13:$K$17,MATCH($O4158,ModelParameters!$B$13:$B$17,0),MATCH($J4158,ModelParameters!$D$5:$K$5,0)))</f>
        <v>0</v>
      </c>
      <c r="S4158" s="160">
        <f>IF(B4158="",0,MIN(IF($N4158="Other Bond TM",ModelParameters!$N$21,1)*(P4158*Q4158+R4158),1))</f>
        <v>0.048707834155086216</v>
      </c>
      <c r="T4158" s="85">
        <f>IF(B4158="",0,$S4158*$K4158)</f>
        <v>266.57487707640028</v>
      </c>
      <c r="U4158" s="85">
        <f>IF(B4158="",0,IF(OR(H4158=MappingTables!$C$34,H4158=MappingTables!$C$35),T4158,0))</f>
        <v>0</v>
      </c>
      <c r="V4158" s="85">
        <f>IF(ISNA(IF(AND(VLOOKUP(CONCATENATE($D4158,$G4158),CSRFinput!$B:$E,4,0)=0,OR(H4158=MappingTables!$C$34,H4158=MappingTables!$C$35)),1,VLOOKUP(CONCATENATE($D4158,$G4158),CSRFinput!$B:$E,4,0))),0,IF(AND(VLOOKUP(CONCATENATE($D4158,$G4158),CSRFinput!$B:$E,4,0)=0,OR(H4158=MappingTables!$C$34,H4158=MappingTables!$C$35)),1,VLOOKUP(CONCATENATE($D4158,$G4158),CSRFinput!$B:$E,4,0)))</f>
        <v>0.054776304963434752</v>
      </c>
      <c r="W4158" s="85">
        <f>IF(B4158="",0,+$T4158*$V4158)</f>
        <v>14.601986762327036</v>
      </c>
      <c r="X4158" s="85">
        <f>IF(B4158="",0,IF(OR(H4158=MappingTables!$C$34,H4158=MappingTables!$C$35),W4158,0))</f>
        <v>0</v>
      </c>
    </row>
    <row r="4159" spans="2:24" s="0" customFormat="0" ht="15">
      <c r="B4159" s="69">
        <v>19567720</v>
      </c>
      <c r="C4159" s="70" t="s">
        <v>462</v>
      </c>
      <c r="D4159" s="70" t="s">
        <v>1</v>
      </c>
      <c r="E4159" s="70" t="s">
        <v>1</v>
      </c>
      <c r="F4159" s="70"/>
      <c r="G4159" s="70" t="s">
        <v>61</v>
      </c>
      <c r="H4159" s="70" t="s">
        <v>178</v>
      </c>
      <c r="I4159" s="70" t="s">
        <v>179</v>
      </c>
      <c r="J4159" s="71">
        <f>IF(OR(I4159=0,I4159=""),"unrated",VLOOKUP(I4159,MappingTables!$B$19:$C$31,2,FALSE))</f>
        <v>4</v>
      </c>
      <c r="K4159" s="72">
        <v>21510.8877798831</v>
      </c>
      <c r="L4159" s="70">
        <v>13.727182771408968</v>
      </c>
      <c r="M4159" s="71">
        <f>IF(L4159&lt;1,1,L4159)</f>
        <v>13.727182771408968</v>
      </c>
      <c r="N4159" s="70" t="s">
        <v>141</v>
      </c>
      <c r="O4159" s="71">
        <f>INDEX(DurClassMapping,MATCH(M4159,MappingTables!$D$4:$D$8,-1),1)</f>
        <v>3</v>
      </c>
      <c r="P4159" s="73">
        <f>IF(M4159=$A$1,1,$M4159-INDEX(MappingTables!$E$4:$E$8,MATCH(O4159,MappingTables!$B$4:$B$8,0)))</f>
        <v>3.727182771408968</v>
      </c>
      <c r="Q4159" s="71">
        <f>IF(B4159="",0,INDEX(ModelParameters!$D$6:$K$10,MATCH($O4159,ModelParameters!$B$6:$B$10,0),MATCH($J4159,ModelParameters!$D$5:$K$5,0)))</f>
        <v>0.018000000000000002</v>
      </c>
      <c r="R4159" s="71">
        <f>IF(B4159="",0,INDEX(ModelParameters!$D$13:$K$17,MATCH($O4159,ModelParameters!$B$13:$B$17,0),MATCH($J4159,ModelParameters!$D$5:$K$5,0)))</f>
        <v>0.34999999999999996</v>
      </c>
      <c r="S4159" s="160">
        <f>IF(B4159="",0,MIN(IF($N4159="Other Bond TM",ModelParameters!$N$21,1)*(P4159*Q4159+R4159),1))</f>
        <v>0.41708928988536144</v>
      </c>
      <c r="T4159" s="85">
        <f>IF(B4159="",0,$S4159*$K4159)</f>
        <v>8971.9609089151392</v>
      </c>
      <c r="U4159" s="85">
        <f>IF(B4159="",0,IF(OR(H4159=MappingTables!$C$34,H4159=MappingTables!$C$35),T4159,0))</f>
        <v>0</v>
      </c>
      <c r="V4159" s="85">
        <f>IF(ISNA(IF(AND(VLOOKUP(CONCATENATE($D4159,$G4159),CSRFinput!$B:$E,4,0)=0,OR(H4159=MappingTables!$C$34,H4159=MappingTables!$C$35)),1,VLOOKUP(CONCATENATE($D4159,$G4159),CSRFinput!$B:$E,4,0))),0,IF(AND(VLOOKUP(CONCATENATE($D4159,$G4159),CSRFinput!$B:$E,4,0)=0,OR(H4159=MappingTables!$C$34,H4159=MappingTables!$C$35)),1,VLOOKUP(CONCATENATE($D4159,$G4159),CSRFinput!$B:$E,4,0)))</f>
        <v>0.054776304963434752</v>
      </c>
      <c r="W4159" s="85">
        <f>IF(B4159="",0,+$T4159*$V4159)</f>
        <v>491.45086686675096</v>
      </c>
      <c r="X4159" s="85">
        <f>IF(B4159="",0,IF(OR(H4159=MappingTables!$C$34,H4159=MappingTables!$C$35),W4159,0))</f>
        <v>0</v>
      </c>
    </row>
    <row r="4160" spans="2:24" s="0" customFormat="0" ht="15">
      <c r="B4160" s="69">
        <v>14905454</v>
      </c>
      <c r="C4160" s="70" t="s">
        <v>2430</v>
      </c>
      <c r="D4160" s="70" t="s">
        <v>1</v>
      </c>
      <c r="E4160" s="70" t="s">
        <v>1</v>
      </c>
      <c r="F4160" s="70"/>
      <c r="G4160" s="70" t="s">
        <v>61</v>
      </c>
      <c r="H4160" s="70" t="s">
        <v>178</v>
      </c>
      <c r="I4160" s="70" t="s">
        <v>181</v>
      </c>
      <c r="J4160" s="71">
        <f>IF(OR(I4160=0,I4160=""),"unrated",VLOOKUP(I4160,MappingTables!$B$19:$C$31,2,FALSE))</f>
        <v>3</v>
      </c>
      <c r="K4160" s="72">
        <v>3.503149106282776</v>
      </c>
      <c r="L4160" s="70">
        <v>0.73701574733402016</v>
      </c>
      <c r="M4160" s="71">
        <f>IF(L4160&lt;1,1,L4160)</f>
        <v>1</v>
      </c>
      <c r="N4160" s="70" t="s">
        <v>141</v>
      </c>
      <c r="O4160" s="71">
        <f>INDEX(DurClassMapping,MATCH(M4160,MappingTables!$D$4:$D$8,-1),1)</f>
        <v>1</v>
      </c>
      <c r="P4160" s="73">
        <f>IF(M4160=$A$1,1,$M4160-INDEX(MappingTables!$E$4:$E$8,MATCH(O4160,MappingTables!$B$4:$B$8,0)))</f>
        <v>1</v>
      </c>
      <c r="Q4160" s="71">
        <f>IF(B4160="",0,INDEX(ModelParameters!$D$6:$K$10,MATCH($O4160,ModelParameters!$B$6:$B$10,0),MATCH($J4160,ModelParameters!$D$5:$K$5,0)))</f>
        <v>0.025</v>
      </c>
      <c r="R4160" s="71">
        <f>IF(B4160="",0,INDEX(ModelParameters!$D$13:$K$17,MATCH($O4160,ModelParameters!$B$13:$B$17,0),MATCH($J4160,ModelParameters!$D$5:$K$5,0)))</f>
        <v>0</v>
      </c>
      <c r="S4160" s="160">
        <f>IF(B4160="",0,MIN(IF($N4160="Other Bond TM",ModelParameters!$N$21,1)*(P4160*Q4160+R4160),1))</f>
        <v>0.025</v>
      </c>
      <c r="T4160" s="85">
        <f>IF(B4160="",0,$S4160*$K4160)</f>
        <v>0.087578727657069408</v>
      </c>
      <c r="U4160" s="85">
        <f>IF(B4160="",0,IF(OR(H4160=MappingTables!$C$34,H4160=MappingTables!$C$35),T4160,0))</f>
        <v>0</v>
      </c>
      <c r="V4160" s="85">
        <f>IF(ISNA(IF(AND(VLOOKUP(CONCATENATE($D4160,$G4160),CSRFinput!$B:$E,4,0)=0,OR(H4160=MappingTables!$C$34,H4160=MappingTables!$C$35)),1,VLOOKUP(CONCATENATE($D4160,$G4160),CSRFinput!$B:$E,4,0))),0,IF(AND(VLOOKUP(CONCATENATE($D4160,$G4160),CSRFinput!$B:$E,4,0)=0,OR(H4160=MappingTables!$C$34,H4160=MappingTables!$C$35)),1,VLOOKUP(CONCATENATE($D4160,$G4160),CSRFinput!$B:$E,4,0)))</f>
        <v>0.054776304963434752</v>
      </c>
      <c r="W4160" s="85">
        <f>IF(B4160="",0,+$T4160*$V4160)</f>
        <v>0.004797239094453232</v>
      </c>
      <c r="X4160" s="85">
        <f>IF(B4160="",0,IF(OR(H4160=MappingTables!$C$34,H4160=MappingTables!$C$35),W4160,0))</f>
        <v>0</v>
      </c>
    </row>
    <row r="4161" spans="2:24" s="0" customFormat="0" ht="15">
      <c r="B4161" s="69">
        <v>12057776</v>
      </c>
      <c r="C4161" s="70" t="s">
        <v>2954</v>
      </c>
      <c r="D4161" s="70" t="s">
        <v>1</v>
      </c>
      <c r="E4161" s="70" t="s">
        <v>1</v>
      </c>
      <c r="F4161" s="70"/>
      <c r="G4161" s="70" t="s">
        <v>61</v>
      </c>
      <c r="H4161" s="70" t="s">
        <v>178</v>
      </c>
      <c r="I4161" s="70" t="s">
        <v>188</v>
      </c>
      <c r="J4161" s="71">
        <f>IF(OR(I4161=0,I4161=""),"unrated",VLOOKUP(I4161,MappingTables!$B$19:$C$31,2,FALSE))</f>
        <v>2</v>
      </c>
      <c r="K4161" s="72">
        <v>428.3446120828076</v>
      </c>
      <c r="L4161" s="70">
        <v>0.3965974319736412</v>
      </c>
      <c r="M4161" s="71">
        <f>IF(L4161&lt;1,1,L4161)</f>
        <v>1</v>
      </c>
      <c r="N4161" s="70" t="s">
        <v>141</v>
      </c>
      <c r="O4161" s="71">
        <f>INDEX(DurClassMapping,MATCH(M4161,MappingTables!$D$4:$D$8,-1),1)</f>
        <v>1</v>
      </c>
      <c r="P4161" s="73">
        <f>IF(M4161=$A$1,1,$M4161-INDEX(MappingTables!$E$4:$E$8,MATCH(O4161,MappingTables!$B$4:$B$8,0)))</f>
        <v>1</v>
      </c>
      <c r="Q4161" s="71">
        <f>IF(B4161="",0,INDEX(ModelParameters!$D$6:$K$10,MATCH($O4161,ModelParameters!$B$6:$B$10,0),MATCH($J4161,ModelParameters!$D$5:$K$5,0)))</f>
        <v>0.013999999999999998</v>
      </c>
      <c r="R4161" s="71">
        <f>IF(B4161="",0,INDEX(ModelParameters!$D$13:$K$17,MATCH($O4161,ModelParameters!$B$13:$B$17,0),MATCH($J4161,ModelParameters!$D$5:$K$5,0)))</f>
        <v>0</v>
      </c>
      <c r="S4161" s="160">
        <f>IF(B4161="",0,MIN(IF($N4161="Other Bond TM",ModelParameters!$N$21,1)*(P4161*Q4161+R4161),1))</f>
        <v>0.013999999999999998</v>
      </c>
      <c r="T4161" s="85">
        <f>IF(B4161="",0,$S4161*$K4161)</f>
        <v>5.9968245691593056</v>
      </c>
      <c r="U4161" s="85">
        <f>IF(B4161="",0,IF(OR(H4161=MappingTables!$C$34,H4161=MappingTables!$C$35),T4161,0))</f>
        <v>0</v>
      </c>
      <c r="V4161" s="85">
        <f>IF(ISNA(IF(AND(VLOOKUP(CONCATENATE($D4161,$G4161),CSRFinput!$B:$E,4,0)=0,OR(H4161=MappingTables!$C$34,H4161=MappingTables!$C$35)),1,VLOOKUP(CONCATENATE($D4161,$G4161),CSRFinput!$B:$E,4,0))),0,IF(AND(VLOOKUP(CONCATENATE($D4161,$G4161),CSRFinput!$B:$E,4,0)=0,OR(H4161=MappingTables!$C$34,H4161=MappingTables!$C$35)),1,VLOOKUP(CONCATENATE($D4161,$G4161),CSRFinput!$B:$E,4,0)))</f>
        <v>0.054776304963434752</v>
      </c>
      <c r="W4161" s="85">
        <f>IF(B4161="",0,+$T4161*$V4161)</f>
        <v>0.32848389141248836</v>
      </c>
      <c r="X4161" s="85">
        <f>IF(B4161="",0,IF(OR(H4161=MappingTables!$C$34,H4161=MappingTables!$C$35),W4161,0))</f>
        <v>0</v>
      </c>
    </row>
    <row r="4162" spans="2:24" s="0" customFormat="0" ht="15">
      <c r="B4162" s="69">
        <v>3883655</v>
      </c>
      <c r="C4162" s="70" t="s">
        <v>2189</v>
      </c>
      <c r="D4162" s="70" t="s">
        <v>1</v>
      </c>
      <c r="E4162" s="70" t="s">
        <v>1</v>
      </c>
      <c r="F4162" s="70"/>
      <c r="G4162" s="70" t="s">
        <v>61</v>
      </c>
      <c r="H4162" s="70" t="s">
        <v>178</v>
      </c>
      <c r="I4162" s="70" t="s">
        <v>181</v>
      </c>
      <c r="J4162" s="71">
        <f>IF(OR(I4162=0,I4162=""),"unrated",VLOOKUP(I4162,MappingTables!$B$19:$C$31,2,FALSE))</f>
        <v>3</v>
      </c>
      <c r="K4162" s="72">
        <v>2451.7408710706064</v>
      </c>
      <c r="L4162" s="70">
        <v>0.57736715657425664</v>
      </c>
      <c r="M4162" s="71">
        <f>IF(L4162&lt;1,1,L4162)</f>
        <v>1</v>
      </c>
      <c r="N4162" s="70" t="s">
        <v>141</v>
      </c>
      <c r="O4162" s="71">
        <f>INDEX(DurClassMapping,MATCH(M4162,MappingTables!$D$4:$D$8,-1),1)</f>
        <v>1</v>
      </c>
      <c r="P4162" s="73">
        <f>IF(M4162=$A$1,1,$M4162-INDEX(MappingTables!$E$4:$E$8,MATCH(O4162,MappingTables!$B$4:$B$8,0)))</f>
        <v>1</v>
      </c>
      <c r="Q4162" s="71">
        <f>IF(B4162="",0,INDEX(ModelParameters!$D$6:$K$10,MATCH($O4162,ModelParameters!$B$6:$B$10,0),MATCH($J4162,ModelParameters!$D$5:$K$5,0)))</f>
        <v>0.025</v>
      </c>
      <c r="R4162" s="71">
        <f>IF(B4162="",0,INDEX(ModelParameters!$D$13:$K$17,MATCH($O4162,ModelParameters!$B$13:$B$17,0),MATCH($J4162,ModelParameters!$D$5:$K$5,0)))</f>
        <v>0</v>
      </c>
      <c r="S4162" s="160">
        <f>IF(B4162="",0,MIN(IF($N4162="Other Bond TM",ModelParameters!$N$21,1)*(P4162*Q4162+R4162),1))</f>
        <v>0.025</v>
      </c>
      <c r="T4162" s="85">
        <f>IF(B4162="",0,$S4162*$K4162)</f>
        <v>61.29352177676516</v>
      </c>
      <c r="U4162" s="85">
        <f>IF(B4162="",0,IF(OR(H4162=MappingTables!$C$34,H4162=MappingTables!$C$35),T4162,0))</f>
        <v>0</v>
      </c>
      <c r="V4162" s="85">
        <f>IF(ISNA(IF(AND(VLOOKUP(CONCATENATE($D4162,$G4162),CSRFinput!$B:$E,4,0)=0,OR(H4162=MappingTables!$C$34,H4162=MappingTables!$C$35)),1,VLOOKUP(CONCATENATE($D4162,$G4162),CSRFinput!$B:$E,4,0))),0,IF(AND(VLOOKUP(CONCATENATE($D4162,$G4162),CSRFinput!$B:$E,4,0)=0,OR(H4162=MappingTables!$C$34,H4162=MappingTables!$C$35)),1,VLOOKUP(CONCATENATE($D4162,$G4162),CSRFinput!$B:$E,4,0)))</f>
        <v>0.054776304963434752</v>
      </c>
      <c r="W4162" s="85">
        <f>IF(B4162="",0,+$T4162*$V4162)</f>
        <v>3.3574326411270176</v>
      </c>
      <c r="X4162" s="85">
        <f>IF(B4162="",0,IF(OR(H4162=MappingTables!$C$34,H4162=MappingTables!$C$35),W4162,0))</f>
        <v>0</v>
      </c>
    </row>
    <row r="4163" spans="2:24" s="0" customFormat="0" ht="15">
      <c r="B4163" s="69" t="s">
        <v>3006</v>
      </c>
      <c r="C4163" s="70" t="s">
        <v>3007</v>
      </c>
      <c r="D4163" s="70" t="s">
        <v>1</v>
      </c>
      <c r="E4163" s="70" t="s">
        <v>1</v>
      </c>
      <c r="F4163" s="70"/>
      <c r="G4163" s="70" t="s">
        <v>61</v>
      </c>
      <c r="H4163" s="70" t="s">
        <v>178</v>
      </c>
      <c r="I4163" s="70" t="s">
        <v>181</v>
      </c>
      <c r="J4163" s="71">
        <f>IF(OR(I4163=0,I4163=""),"unrated",VLOOKUP(I4163,MappingTables!$B$19:$C$31,2,FALSE))</f>
        <v>3</v>
      </c>
      <c r="K4163" s="72">
        <v>113.02395261981414</v>
      </c>
      <c r="L4163" s="70">
        <v>1.6898293151265726</v>
      </c>
      <c r="M4163" s="71">
        <f>IF(L4163&lt;1,1,L4163)</f>
        <v>1.6898293151265726</v>
      </c>
      <c r="N4163" s="70" t="s">
        <v>141</v>
      </c>
      <c r="O4163" s="71">
        <f>INDEX(DurClassMapping,MATCH(M4163,MappingTables!$D$4:$D$8,-1),1)</f>
        <v>1</v>
      </c>
      <c r="P4163" s="73">
        <f>IF(M4163=$A$1,1,$M4163-INDEX(MappingTables!$E$4:$E$8,MATCH(O4163,MappingTables!$B$4:$B$8,0)))</f>
        <v>1.6898293151265726</v>
      </c>
      <c r="Q4163" s="71">
        <f>IF(B4163="",0,INDEX(ModelParameters!$D$6:$K$10,MATCH($O4163,ModelParameters!$B$6:$B$10,0),MATCH($J4163,ModelParameters!$D$5:$K$5,0)))</f>
        <v>0.025</v>
      </c>
      <c r="R4163" s="71">
        <f>IF(B4163="",0,INDEX(ModelParameters!$D$13:$K$17,MATCH($O4163,ModelParameters!$B$13:$B$17,0),MATCH($J4163,ModelParameters!$D$5:$K$5,0)))</f>
        <v>0</v>
      </c>
      <c r="S4163" s="160">
        <f>IF(B4163="",0,MIN(IF($N4163="Other Bond TM",ModelParameters!$N$21,1)*(P4163*Q4163+R4163),1))</f>
        <v>0.04224573287816432</v>
      </c>
      <c r="T4163" s="85">
        <f>IF(B4163="",0,$S4163*$K4163)</f>
        <v>4.7747797112109688</v>
      </c>
      <c r="U4163" s="85">
        <f>IF(B4163="",0,IF(OR(H4163=MappingTables!$C$34,H4163=MappingTables!$C$35),T4163,0))</f>
        <v>0</v>
      </c>
      <c r="V4163" s="85">
        <f>IF(ISNA(IF(AND(VLOOKUP(CONCATENATE($D4163,$G4163),CSRFinput!$B:$E,4,0)=0,OR(H4163=MappingTables!$C$34,H4163=MappingTables!$C$35)),1,VLOOKUP(CONCATENATE($D4163,$G4163),CSRFinput!$B:$E,4,0))),0,IF(AND(VLOOKUP(CONCATENATE($D4163,$G4163),CSRFinput!$B:$E,4,0)=0,OR(H4163=MappingTables!$C$34,H4163=MappingTables!$C$35)),1,VLOOKUP(CONCATENATE($D4163,$G4163),CSRFinput!$B:$E,4,0)))</f>
        <v>0.054776304963434752</v>
      </c>
      <c r="W4163" s="85">
        <f>IF(B4163="",0,+$T4163*$V4163)</f>
        <v>0.26154478959451292</v>
      </c>
      <c r="X4163" s="85">
        <f>IF(B4163="",0,IF(OR(H4163=MappingTables!$C$34,H4163=MappingTables!$C$35),W4163,0))</f>
        <v>0</v>
      </c>
    </row>
    <row r="4164" spans="2:24" s="0" customFormat="0" ht="15">
      <c r="B4164" s="69">
        <v>23245610</v>
      </c>
      <c r="C4164" s="70" t="s">
        <v>743</v>
      </c>
      <c r="D4164" s="70" t="s">
        <v>1</v>
      </c>
      <c r="E4164" s="70" t="s">
        <v>1</v>
      </c>
      <c r="F4164" s="70"/>
      <c r="G4164" s="70" t="s">
        <v>61</v>
      </c>
      <c r="H4164" s="70" t="s">
        <v>178</v>
      </c>
      <c r="I4164" s="70" t="s">
        <v>179</v>
      </c>
      <c r="J4164" s="71">
        <f>IF(OR(I4164=0,I4164=""),"unrated",VLOOKUP(I4164,MappingTables!$B$19:$C$31,2,FALSE))</f>
        <v>4</v>
      </c>
      <c r="K4164" s="72">
        <v>290.03413429831256</v>
      </c>
      <c r="L4164" s="70">
        <v>2.4026307977271144</v>
      </c>
      <c r="M4164" s="71">
        <f>IF(L4164&lt;1,1,L4164)</f>
        <v>2.4026307977271144</v>
      </c>
      <c r="N4164" s="70" t="s">
        <v>141</v>
      </c>
      <c r="O4164" s="71">
        <f>INDEX(DurClassMapping,MATCH(M4164,MappingTables!$D$4:$D$8,-1),1)</f>
        <v>1</v>
      </c>
      <c r="P4164" s="73">
        <f>IF(M4164=$A$1,1,$M4164-INDEX(MappingTables!$E$4:$E$8,MATCH(O4164,MappingTables!$B$4:$B$8,0)))</f>
        <v>2.4026307977271144</v>
      </c>
      <c r="Q4164" s="71">
        <f>IF(B4164="",0,INDEX(ModelParameters!$D$6:$K$10,MATCH($O4164,ModelParameters!$B$6:$B$10,0),MATCH($J4164,ModelParameters!$D$5:$K$5,0)))</f>
        <v>0.045</v>
      </c>
      <c r="R4164" s="71">
        <f>IF(B4164="",0,INDEX(ModelParameters!$D$13:$K$17,MATCH($O4164,ModelParameters!$B$13:$B$17,0),MATCH($J4164,ModelParameters!$D$5:$K$5,0)))</f>
        <v>0</v>
      </c>
      <c r="S4164" s="160">
        <f>IF(B4164="",0,MIN(IF($N4164="Other Bond TM",ModelParameters!$N$21,1)*(P4164*Q4164+R4164),1))</f>
        <v>0.10811838589772014</v>
      </c>
      <c r="T4164" s="85">
        <f>IF(B4164="",0,$S4164*$K4164)</f>
        <v>31.358022455576148</v>
      </c>
      <c r="U4164" s="85">
        <f>IF(B4164="",0,IF(OR(H4164=MappingTables!$C$34,H4164=MappingTables!$C$35),T4164,0))</f>
        <v>0</v>
      </c>
      <c r="V4164" s="85">
        <f>IF(ISNA(IF(AND(VLOOKUP(CONCATENATE($D4164,$G4164),CSRFinput!$B:$E,4,0)=0,OR(H4164=MappingTables!$C$34,H4164=MappingTables!$C$35)),1,VLOOKUP(CONCATENATE($D4164,$G4164),CSRFinput!$B:$E,4,0))),0,IF(AND(VLOOKUP(CONCATENATE($D4164,$G4164),CSRFinput!$B:$E,4,0)=0,OR(H4164=MappingTables!$C$34,H4164=MappingTables!$C$35)),1,VLOOKUP(CONCATENATE($D4164,$G4164),CSRFinput!$B:$E,4,0)))</f>
        <v>0.054776304963434752</v>
      </c>
      <c r="W4164" s="85">
        <f>IF(B4164="",0,+$T4164*$V4164)</f>
        <v>1.7176766010768742</v>
      </c>
      <c r="X4164" s="85">
        <f>IF(B4164="",0,IF(OR(H4164=MappingTables!$C$34,H4164=MappingTables!$C$35),W4164,0))</f>
        <v>0</v>
      </c>
    </row>
    <row r="4165" spans="2:24" s="0" customFormat="0" ht="15">
      <c r="B4165" s="69" t="s">
        <v>2438</v>
      </c>
      <c r="C4165" s="70" t="s">
        <v>2439</v>
      </c>
      <c r="D4165" s="70" t="s">
        <v>1</v>
      </c>
      <c r="E4165" s="70" t="s">
        <v>1</v>
      </c>
      <c r="F4165" s="70"/>
      <c r="G4165" s="70" t="s">
        <v>61</v>
      </c>
      <c r="H4165" s="70" t="s">
        <v>178</v>
      </c>
      <c r="I4165" s="70" t="s">
        <v>198</v>
      </c>
      <c r="J4165" s="71" t="str">
        <f>IF(OR(I4165=0,I4165=""),"unrated",VLOOKUP(I4165,MappingTables!$B$19:$C$31,2,FALSE))</f>
        <v>unrated</v>
      </c>
      <c r="K4165" s="72">
        <v>4.0961756977603512</v>
      </c>
      <c r="L4165" s="70">
        <v>0.70685747992804784</v>
      </c>
      <c r="M4165" s="71">
        <f>IF(L4165&lt;1,1,L4165)</f>
        <v>1</v>
      </c>
      <c r="N4165" s="70" t="s">
        <v>141</v>
      </c>
      <c r="O4165" s="71">
        <f>INDEX(DurClassMapping,MATCH(M4165,MappingTables!$D$4:$D$8,-1),1)</f>
        <v>1</v>
      </c>
      <c r="P4165" s="73">
        <f>IF(M4165=$A$1,1,$M4165-INDEX(MappingTables!$E$4:$E$8,MATCH(O4165,MappingTables!$B$4:$B$8,0)))</f>
        <v>1</v>
      </c>
      <c r="Q4165" s="71">
        <f>IF(B4165="",0,INDEX(ModelParameters!$D$6:$K$10,MATCH($O4165,ModelParameters!$B$6:$B$10,0),MATCH($J4165,ModelParameters!$D$5:$K$5,0)))</f>
        <v>0.03</v>
      </c>
      <c r="R4165" s="71">
        <f>IF(B4165="",0,INDEX(ModelParameters!$D$13:$K$17,MATCH($O4165,ModelParameters!$B$13:$B$17,0),MATCH($J4165,ModelParameters!$D$5:$K$5,0)))</f>
        <v>0</v>
      </c>
      <c r="S4165" s="160">
        <f>IF(B4165="",0,MIN(IF($N4165="Other Bond TM",ModelParameters!$N$21,1)*(P4165*Q4165+R4165),1))</f>
        <v>0.03</v>
      </c>
      <c r="T4165" s="85">
        <f>IF(B4165="",0,$S4165*$K4165)</f>
        <v>0.12288527093281054</v>
      </c>
      <c r="U4165" s="85">
        <f>IF(B4165="",0,IF(OR(H4165=MappingTables!$C$34,H4165=MappingTables!$C$35),T4165,0))</f>
        <v>0</v>
      </c>
      <c r="V4165" s="85">
        <f>IF(ISNA(IF(AND(VLOOKUP(CONCATENATE($D4165,$G4165),CSRFinput!$B:$E,4,0)=0,OR(H4165=MappingTables!$C$34,H4165=MappingTables!$C$35)),1,VLOOKUP(CONCATENATE($D4165,$G4165),CSRFinput!$B:$E,4,0))),0,IF(AND(VLOOKUP(CONCATENATE($D4165,$G4165),CSRFinput!$B:$E,4,0)=0,OR(H4165=MappingTables!$C$34,H4165=MappingTables!$C$35)),1,VLOOKUP(CONCATENATE($D4165,$G4165),CSRFinput!$B:$E,4,0)))</f>
        <v>0.054776304963434752</v>
      </c>
      <c r="W4165" s="85">
        <f>IF(B4165="",0,+$T4165*$V4165)</f>
        <v>0.0067312010761299352</v>
      </c>
      <c r="X4165" s="85">
        <f>IF(B4165="",0,IF(OR(H4165=MappingTables!$C$34,H4165=MappingTables!$C$35),W4165,0))</f>
        <v>0</v>
      </c>
    </row>
    <row r="4166" spans="2:24" s="0" customFormat="0" ht="15">
      <c r="B4166" s="69">
        <v>10407144</v>
      </c>
      <c r="C4166" s="70" t="s">
        <v>2594</v>
      </c>
      <c r="D4166" s="70" t="s">
        <v>1</v>
      </c>
      <c r="E4166" s="70" t="s">
        <v>1</v>
      </c>
      <c r="F4166" s="70"/>
      <c r="G4166" s="70" t="s">
        <v>61</v>
      </c>
      <c r="H4166" s="70" t="s">
        <v>178</v>
      </c>
      <c r="I4166" s="70" t="s">
        <v>179</v>
      </c>
      <c r="J4166" s="71">
        <f>IF(OR(I4166=0,I4166=""),"unrated",VLOOKUP(I4166,MappingTables!$B$19:$C$31,2,FALSE))</f>
        <v>4</v>
      </c>
      <c r="K4166" s="72">
        <v>9928.7630015010784</v>
      </c>
      <c r="L4166" s="70">
        <v>4.0498756289963752</v>
      </c>
      <c r="M4166" s="71">
        <f>IF(L4166&lt;1,1,L4166)</f>
        <v>4.0498756289963752</v>
      </c>
      <c r="N4166" s="70" t="s">
        <v>141</v>
      </c>
      <c r="O4166" s="71">
        <f>INDEX(DurClassMapping,MATCH(M4166,MappingTables!$D$4:$D$8,-1),1)</f>
        <v>1</v>
      </c>
      <c r="P4166" s="73">
        <f>IF(M4166=$A$1,1,$M4166-INDEX(MappingTables!$E$4:$E$8,MATCH(O4166,MappingTables!$B$4:$B$8,0)))</f>
        <v>4.0498756289963752</v>
      </c>
      <c r="Q4166" s="71">
        <f>IF(B4166="",0,INDEX(ModelParameters!$D$6:$K$10,MATCH($O4166,ModelParameters!$B$6:$B$10,0),MATCH($J4166,ModelParameters!$D$5:$K$5,0)))</f>
        <v>0.045</v>
      </c>
      <c r="R4166" s="71">
        <f>IF(B4166="",0,INDEX(ModelParameters!$D$13:$K$17,MATCH($O4166,ModelParameters!$B$13:$B$17,0),MATCH($J4166,ModelParameters!$D$5:$K$5,0)))</f>
        <v>0</v>
      </c>
      <c r="S4166" s="160">
        <f>IF(B4166="",0,MIN(IF($N4166="Other Bond TM",ModelParameters!$N$21,1)*(P4166*Q4166+R4166),1))</f>
        <v>0.18224440330483688</v>
      </c>
      <c r="T4166" s="85">
        <f>IF(B4166="",0,$S4166*$K4166)</f>
        <v>1809.4614887637052</v>
      </c>
      <c r="U4166" s="85">
        <f>IF(B4166="",0,IF(OR(H4166=MappingTables!$C$34,H4166=MappingTables!$C$35),T4166,0))</f>
        <v>0</v>
      </c>
      <c r="V4166" s="85">
        <f>IF(ISNA(IF(AND(VLOOKUP(CONCATENATE($D4166,$G4166),CSRFinput!$B:$E,4,0)=0,OR(H4166=MappingTables!$C$34,H4166=MappingTables!$C$35)),1,VLOOKUP(CONCATENATE($D4166,$G4166),CSRFinput!$B:$E,4,0))),0,IF(AND(VLOOKUP(CONCATENATE($D4166,$G4166),CSRFinput!$B:$E,4,0)=0,OR(H4166=MappingTables!$C$34,H4166=MappingTables!$C$35)),1,VLOOKUP(CONCATENATE($D4166,$G4166),CSRFinput!$B:$E,4,0)))</f>
        <v>0.054776304963434752</v>
      </c>
      <c r="W4166" s="85">
        <f>IF(B4166="",0,+$T4166*$V4166)</f>
        <v>99.115614328111376</v>
      </c>
      <c r="X4166" s="85">
        <f>IF(B4166="",0,IF(OR(H4166=MappingTables!$C$34,H4166=MappingTables!$C$35),W4166,0))</f>
        <v>0</v>
      </c>
    </row>
    <row r="4167" spans="2:24" s="0" customFormat="0" ht="15">
      <c r="B4167" s="69" t="s">
        <v>1131</v>
      </c>
      <c r="C4167" s="70" t="s">
        <v>1132</v>
      </c>
      <c r="D4167" s="70" t="s">
        <v>1</v>
      </c>
      <c r="E4167" s="70" t="s">
        <v>1</v>
      </c>
      <c r="F4167" s="70"/>
      <c r="G4167" s="70" t="s">
        <v>61</v>
      </c>
      <c r="H4167" s="70" t="s">
        <v>178</v>
      </c>
      <c r="I4167" s="70" t="s">
        <v>179</v>
      </c>
      <c r="J4167" s="71">
        <f>IF(OR(I4167=0,I4167=""),"unrated",VLOOKUP(I4167,MappingTables!$B$19:$C$31,2,FALSE))</f>
        <v>4</v>
      </c>
      <c r="K4167" s="72">
        <v>91.131582589977792</v>
      </c>
      <c r="L4167" s="70">
        <v>1.6600650693084166</v>
      </c>
      <c r="M4167" s="71">
        <f>IF(L4167&lt;1,1,L4167)</f>
        <v>1.6600650693084166</v>
      </c>
      <c r="N4167" s="70" t="s">
        <v>141</v>
      </c>
      <c r="O4167" s="71">
        <f>INDEX(DurClassMapping,MATCH(M4167,MappingTables!$D$4:$D$8,-1),1)</f>
        <v>1</v>
      </c>
      <c r="P4167" s="73">
        <f>IF(M4167=$A$1,1,$M4167-INDEX(MappingTables!$E$4:$E$8,MATCH(O4167,MappingTables!$B$4:$B$8,0)))</f>
        <v>1.6600650693084166</v>
      </c>
      <c r="Q4167" s="71">
        <f>IF(B4167="",0,INDEX(ModelParameters!$D$6:$K$10,MATCH($O4167,ModelParameters!$B$6:$B$10,0),MATCH($J4167,ModelParameters!$D$5:$K$5,0)))</f>
        <v>0.045</v>
      </c>
      <c r="R4167" s="71">
        <f>IF(B4167="",0,INDEX(ModelParameters!$D$13:$K$17,MATCH($O4167,ModelParameters!$B$13:$B$17,0),MATCH($J4167,ModelParameters!$D$5:$K$5,0)))</f>
        <v>0</v>
      </c>
      <c r="S4167" s="160">
        <f>IF(B4167="",0,MIN(IF($N4167="Other Bond TM",ModelParameters!$N$21,1)*(P4167*Q4167+R4167),1))</f>
        <v>0.074702928118878736</v>
      </c>
      <c r="T4167" s="85">
        <f>IF(B4167="",0,$S4167*$K4167)</f>
        <v>6.8077960635787728</v>
      </c>
      <c r="U4167" s="85">
        <f>IF(B4167="",0,IF(OR(H4167=MappingTables!$C$34,H4167=MappingTables!$C$35),T4167,0))</f>
        <v>0</v>
      </c>
      <c r="V4167" s="85">
        <f>IF(ISNA(IF(AND(VLOOKUP(CONCATENATE($D4167,$G4167),CSRFinput!$B:$E,4,0)=0,OR(H4167=MappingTables!$C$34,H4167=MappingTables!$C$35)),1,VLOOKUP(CONCATENATE($D4167,$G4167),CSRFinput!$B:$E,4,0))),0,IF(AND(VLOOKUP(CONCATENATE($D4167,$G4167),CSRFinput!$B:$E,4,0)=0,OR(H4167=MappingTables!$C$34,H4167=MappingTables!$C$35)),1,VLOOKUP(CONCATENATE($D4167,$G4167),CSRFinput!$B:$E,4,0)))</f>
        <v>0.054776304963434752</v>
      </c>
      <c r="W4167" s="85">
        <f>IF(B4167="",0,+$T4167*$V4167)</f>
        <v>0.37290591330746152</v>
      </c>
      <c r="X4167" s="85">
        <f>IF(B4167="",0,IF(OR(H4167=MappingTables!$C$34,H4167=MappingTables!$C$35),W4167,0))</f>
        <v>0</v>
      </c>
    </row>
    <row r="4168" spans="2:24" s="0" customFormat="0" ht="15">
      <c r="B4168" s="69">
        <v>18991273</v>
      </c>
      <c r="C4168" s="70" t="s">
        <v>2155</v>
      </c>
      <c r="D4168" s="70" t="s">
        <v>1</v>
      </c>
      <c r="E4168" s="70" t="s">
        <v>1</v>
      </c>
      <c r="F4168" s="70"/>
      <c r="G4168" s="70" t="s">
        <v>61</v>
      </c>
      <c r="H4168" s="70" t="s">
        <v>178</v>
      </c>
      <c r="I4168" s="70" t="s">
        <v>179</v>
      </c>
      <c r="J4168" s="71">
        <f>IF(OR(I4168=0,I4168=""),"unrated",VLOOKUP(I4168,MappingTables!$B$19:$C$31,2,FALSE))</f>
        <v>4</v>
      </c>
      <c r="K4168" s="72">
        <v>65.68018162545384</v>
      </c>
      <c r="L4168" s="70">
        <v>1.0542992121112078</v>
      </c>
      <c r="M4168" s="71">
        <f>IF(L4168&lt;1,1,L4168)</f>
        <v>1.0542992121112078</v>
      </c>
      <c r="N4168" s="70" t="s">
        <v>141</v>
      </c>
      <c r="O4168" s="71">
        <f>INDEX(DurClassMapping,MATCH(M4168,MappingTables!$D$4:$D$8,-1),1)</f>
        <v>1</v>
      </c>
      <c r="P4168" s="73">
        <f>IF(M4168=$A$1,1,$M4168-INDEX(MappingTables!$E$4:$E$8,MATCH(O4168,MappingTables!$B$4:$B$8,0)))</f>
        <v>1.0542992121112078</v>
      </c>
      <c r="Q4168" s="71">
        <f>IF(B4168="",0,INDEX(ModelParameters!$D$6:$K$10,MATCH($O4168,ModelParameters!$B$6:$B$10,0),MATCH($J4168,ModelParameters!$D$5:$K$5,0)))</f>
        <v>0.045</v>
      </c>
      <c r="R4168" s="71">
        <f>IF(B4168="",0,INDEX(ModelParameters!$D$13:$K$17,MATCH($O4168,ModelParameters!$B$13:$B$17,0),MATCH($J4168,ModelParameters!$D$5:$K$5,0)))</f>
        <v>0</v>
      </c>
      <c r="S4168" s="160">
        <f>IF(B4168="",0,MIN(IF($N4168="Other Bond TM",ModelParameters!$N$21,1)*(P4168*Q4168+R4168),1))</f>
        <v>0.047443464545004352</v>
      </c>
      <c r="T4168" s="85">
        <f>IF(B4168="",0,$S4168*$K4168)</f>
        <v>3.1160953682566656</v>
      </c>
      <c r="U4168" s="85">
        <f>IF(B4168="",0,IF(OR(H4168=MappingTables!$C$34,H4168=MappingTables!$C$35),T4168,0))</f>
        <v>0</v>
      </c>
      <c r="V4168" s="85">
        <f>IF(ISNA(IF(AND(VLOOKUP(CONCATENATE($D4168,$G4168),CSRFinput!$B:$E,4,0)=0,OR(H4168=MappingTables!$C$34,H4168=MappingTables!$C$35)),1,VLOOKUP(CONCATENATE($D4168,$G4168),CSRFinput!$B:$E,4,0))),0,IF(AND(VLOOKUP(CONCATENATE($D4168,$G4168),CSRFinput!$B:$E,4,0)=0,OR(H4168=MappingTables!$C$34,H4168=MappingTables!$C$35)),1,VLOOKUP(CONCATENATE($D4168,$G4168),CSRFinput!$B:$E,4,0)))</f>
        <v>0.054776304963434752</v>
      </c>
      <c r="W4168" s="85">
        <f>IF(B4168="",0,+$T4168*$V4168)</f>
        <v>0.17068819018677364</v>
      </c>
      <c r="X4168" s="85">
        <f>IF(B4168="",0,IF(OR(H4168=MappingTables!$C$34,H4168=MappingTables!$C$35),W4168,0))</f>
        <v>0</v>
      </c>
    </row>
    <row r="4169" spans="2:24" s="0" customFormat="0" ht="15">
      <c r="B4169" s="69" t="s">
        <v>715</v>
      </c>
      <c r="C4169" s="70" t="s">
        <v>716</v>
      </c>
      <c r="D4169" s="70" t="s">
        <v>1</v>
      </c>
      <c r="E4169" s="70" t="s">
        <v>1</v>
      </c>
      <c r="F4169" s="70"/>
      <c r="G4169" s="70" t="s">
        <v>61</v>
      </c>
      <c r="H4169" s="70" t="s">
        <v>178</v>
      </c>
      <c r="I4169" s="70" t="s">
        <v>181</v>
      </c>
      <c r="J4169" s="71">
        <f>IF(OR(I4169=0,I4169=""),"unrated",VLOOKUP(I4169,MappingTables!$B$19:$C$31,2,FALSE))</f>
        <v>3</v>
      </c>
      <c r="K4169" s="72">
        <v>4249.5110681406328</v>
      </c>
      <c r="L4169" s="70">
        <v>1.6932411949940396</v>
      </c>
      <c r="M4169" s="71">
        <f>IF(L4169&lt;1,1,L4169)</f>
        <v>1.6932411949940396</v>
      </c>
      <c r="N4169" s="70" t="s">
        <v>141</v>
      </c>
      <c r="O4169" s="71">
        <f>INDEX(DurClassMapping,MATCH(M4169,MappingTables!$D$4:$D$8,-1),1)</f>
        <v>1</v>
      </c>
      <c r="P4169" s="73">
        <f>IF(M4169=$A$1,1,$M4169-INDEX(MappingTables!$E$4:$E$8,MATCH(O4169,MappingTables!$B$4:$B$8,0)))</f>
        <v>1.6932411949940396</v>
      </c>
      <c r="Q4169" s="71">
        <f>IF(B4169="",0,INDEX(ModelParameters!$D$6:$K$10,MATCH($O4169,ModelParameters!$B$6:$B$10,0),MATCH($J4169,ModelParameters!$D$5:$K$5,0)))</f>
        <v>0.025</v>
      </c>
      <c r="R4169" s="71">
        <f>IF(B4169="",0,INDEX(ModelParameters!$D$13:$K$17,MATCH($O4169,ModelParameters!$B$13:$B$17,0),MATCH($J4169,ModelParameters!$D$5:$K$5,0)))</f>
        <v>0</v>
      </c>
      <c r="S4169" s="160">
        <f>IF(B4169="",0,MIN(IF($N4169="Other Bond TM",ModelParameters!$N$21,1)*(P4169*Q4169+R4169),1))</f>
        <v>0.042331029874850992</v>
      </c>
      <c r="T4169" s="85">
        <f>IF(B4169="",0,$S4169*$K4169)</f>
        <v>179.88617997897108</v>
      </c>
      <c r="U4169" s="85">
        <f>IF(B4169="",0,IF(OR(H4169=MappingTables!$C$34,H4169=MappingTables!$C$35),T4169,0))</f>
        <v>0</v>
      </c>
      <c r="V4169" s="85">
        <f>IF(ISNA(IF(AND(VLOOKUP(CONCATENATE($D4169,$G4169),CSRFinput!$B:$E,4,0)=0,OR(H4169=MappingTables!$C$34,H4169=MappingTables!$C$35)),1,VLOOKUP(CONCATENATE($D4169,$G4169),CSRFinput!$B:$E,4,0))),0,IF(AND(VLOOKUP(CONCATENATE($D4169,$G4169),CSRFinput!$B:$E,4,0)=0,OR(H4169=MappingTables!$C$34,H4169=MappingTables!$C$35)),1,VLOOKUP(CONCATENATE($D4169,$G4169),CSRFinput!$B:$E,4,0)))</f>
        <v>0.054776304963434752</v>
      </c>
      <c r="W4169" s="85">
        <f>IF(B4169="",0,+$T4169*$V4169)</f>
        <v>9.853500253235432</v>
      </c>
      <c r="X4169" s="85">
        <f>IF(B4169="",0,IF(OR(H4169=MappingTables!$C$34,H4169=MappingTables!$C$35),W4169,0))</f>
        <v>0</v>
      </c>
    </row>
    <row r="4170" spans="2:24" s="0" customFormat="0" ht="15">
      <c r="B4170" s="69" t="s">
        <v>223</v>
      </c>
      <c r="C4170" s="70" t="s">
        <v>224</v>
      </c>
      <c r="D4170" s="70" t="s">
        <v>1</v>
      </c>
      <c r="E4170" s="70" t="s">
        <v>1</v>
      </c>
      <c r="F4170" s="70"/>
      <c r="G4170" s="70" t="s">
        <v>61</v>
      </c>
      <c r="H4170" s="70" t="s">
        <v>178</v>
      </c>
      <c r="I4170" s="70" t="s">
        <v>181</v>
      </c>
      <c r="J4170" s="71">
        <f>IF(OR(I4170=0,I4170=""),"unrated",VLOOKUP(I4170,MappingTables!$B$19:$C$31,2,FALSE))</f>
        <v>3</v>
      </c>
      <c r="K4170" s="72">
        <v>16992.521789137044</v>
      </c>
      <c r="L4170" s="70">
        <v>3.9128017496153256</v>
      </c>
      <c r="M4170" s="71">
        <f>IF(L4170&lt;1,1,L4170)</f>
        <v>3.9128017496153256</v>
      </c>
      <c r="N4170" s="70" t="s">
        <v>141</v>
      </c>
      <c r="O4170" s="71">
        <f>INDEX(DurClassMapping,MATCH(M4170,MappingTables!$D$4:$D$8,-1),1)</f>
        <v>1</v>
      </c>
      <c r="P4170" s="73">
        <f>IF(M4170=$A$1,1,$M4170-INDEX(MappingTables!$E$4:$E$8,MATCH(O4170,MappingTables!$B$4:$B$8,0)))</f>
        <v>3.9128017496153256</v>
      </c>
      <c r="Q4170" s="71">
        <f>IF(B4170="",0,INDEX(ModelParameters!$D$6:$K$10,MATCH($O4170,ModelParameters!$B$6:$B$10,0),MATCH($J4170,ModelParameters!$D$5:$K$5,0)))</f>
        <v>0.025</v>
      </c>
      <c r="R4170" s="71">
        <f>IF(B4170="",0,INDEX(ModelParameters!$D$13:$K$17,MATCH($O4170,ModelParameters!$B$13:$B$17,0),MATCH($J4170,ModelParameters!$D$5:$K$5,0)))</f>
        <v>0</v>
      </c>
      <c r="S4170" s="160">
        <f>IF(B4170="",0,MIN(IF($N4170="Other Bond TM",ModelParameters!$N$21,1)*(P4170*Q4170+R4170),1))</f>
        <v>0.097820043740383136</v>
      </c>
      <c r="T4170" s="85">
        <f>IF(B4170="",0,$S4170*$K4170)</f>
        <v>1662.2092246727994</v>
      </c>
      <c r="U4170" s="85">
        <f>IF(B4170="",0,IF(OR(H4170=MappingTables!$C$34,H4170=MappingTables!$C$35),T4170,0))</f>
        <v>0</v>
      </c>
      <c r="V4170" s="85">
        <f>IF(ISNA(IF(AND(VLOOKUP(CONCATENATE($D4170,$G4170),CSRFinput!$B:$E,4,0)=0,OR(H4170=MappingTables!$C$34,H4170=MappingTables!$C$35)),1,VLOOKUP(CONCATENATE($D4170,$G4170),CSRFinput!$B:$E,4,0))),0,IF(AND(VLOOKUP(CONCATENATE($D4170,$G4170),CSRFinput!$B:$E,4,0)=0,OR(H4170=MappingTables!$C$34,H4170=MappingTables!$C$35)),1,VLOOKUP(CONCATENATE($D4170,$G4170),CSRFinput!$B:$E,4,0)))</f>
        <v>0.054776304963434752</v>
      </c>
      <c r="W4170" s="85">
        <f>IF(B4170="",0,+$T4170*$V4170)</f>
        <v>91.049679403711696</v>
      </c>
      <c r="X4170" s="85">
        <f>IF(B4170="",0,IF(OR(H4170=MappingTables!$C$34,H4170=MappingTables!$C$35),W4170,0))</f>
        <v>0</v>
      </c>
    </row>
    <row r="4171" spans="2:24" s="0" customFormat="0" ht="15">
      <c r="B4171" s="69">
        <v>15468825</v>
      </c>
      <c r="C4171" s="70" t="s">
        <v>2894</v>
      </c>
      <c r="D4171" s="70" t="s">
        <v>1</v>
      </c>
      <c r="E4171" s="70" t="s">
        <v>1</v>
      </c>
      <c r="F4171" s="70"/>
      <c r="G4171" s="70" t="s">
        <v>61</v>
      </c>
      <c r="H4171" s="70" t="s">
        <v>178</v>
      </c>
      <c r="I4171" s="70" t="s">
        <v>181</v>
      </c>
      <c r="J4171" s="71">
        <f>IF(OR(I4171=0,I4171=""),"unrated",VLOOKUP(I4171,MappingTables!$B$19:$C$31,2,FALSE))</f>
        <v>3</v>
      </c>
      <c r="K4171" s="72">
        <v>17.852890814373072</v>
      </c>
      <c r="L4171" s="70">
        <v>0.002738225154488406</v>
      </c>
      <c r="M4171" s="71">
        <f>IF(L4171&lt;1,1,L4171)</f>
        <v>1</v>
      </c>
      <c r="N4171" s="70" t="s">
        <v>141</v>
      </c>
      <c r="O4171" s="71">
        <f>INDEX(DurClassMapping,MATCH(M4171,MappingTables!$D$4:$D$8,-1),1)</f>
        <v>1</v>
      </c>
      <c r="P4171" s="73">
        <f>IF(M4171=$A$1,1,$M4171-INDEX(MappingTables!$E$4:$E$8,MATCH(O4171,MappingTables!$B$4:$B$8,0)))</f>
        <v>1</v>
      </c>
      <c r="Q4171" s="71">
        <f>IF(B4171="",0,INDEX(ModelParameters!$D$6:$K$10,MATCH($O4171,ModelParameters!$B$6:$B$10,0),MATCH($J4171,ModelParameters!$D$5:$K$5,0)))</f>
        <v>0.025</v>
      </c>
      <c r="R4171" s="71">
        <f>IF(B4171="",0,INDEX(ModelParameters!$D$13:$K$17,MATCH($O4171,ModelParameters!$B$13:$B$17,0),MATCH($J4171,ModelParameters!$D$5:$K$5,0)))</f>
        <v>0</v>
      </c>
      <c r="S4171" s="160">
        <f>IF(B4171="",0,MIN(IF($N4171="Other Bond TM",ModelParameters!$N$21,1)*(P4171*Q4171+R4171),1))</f>
        <v>0.025</v>
      </c>
      <c r="T4171" s="85">
        <f>IF(B4171="",0,$S4171*$K4171)</f>
        <v>0.4463222703593268</v>
      </c>
      <c r="U4171" s="85">
        <f>IF(B4171="",0,IF(OR(H4171=MappingTables!$C$34,H4171=MappingTables!$C$35),T4171,0))</f>
        <v>0</v>
      </c>
      <c r="V4171" s="85">
        <f>IF(ISNA(IF(AND(VLOOKUP(CONCATENATE($D4171,$G4171),CSRFinput!$B:$E,4,0)=0,OR(H4171=MappingTables!$C$34,H4171=MappingTables!$C$35)),1,VLOOKUP(CONCATENATE($D4171,$G4171),CSRFinput!$B:$E,4,0))),0,IF(AND(VLOOKUP(CONCATENATE($D4171,$G4171),CSRFinput!$B:$E,4,0)=0,OR(H4171=MappingTables!$C$34,H4171=MappingTables!$C$35)),1,VLOOKUP(CONCATENATE($D4171,$G4171),CSRFinput!$B:$E,4,0)))</f>
        <v>0.054776304963434752</v>
      </c>
      <c r="W4171" s="85">
        <f>IF(B4171="",0,+$T4171*$V4171)</f>
        <v>0.02444788479317506</v>
      </c>
      <c r="X4171" s="85">
        <f>IF(B4171="",0,IF(OR(H4171=MappingTables!$C$34,H4171=MappingTables!$C$35),W4171,0))</f>
        <v>0</v>
      </c>
    </row>
    <row r="4172" spans="2:24" s="0" customFormat="0" ht="15">
      <c r="B4172" s="69">
        <v>20959890</v>
      </c>
      <c r="C4172" s="70" t="s">
        <v>2916</v>
      </c>
      <c r="D4172" s="70" t="s">
        <v>1</v>
      </c>
      <c r="E4172" s="70" t="s">
        <v>1</v>
      </c>
      <c r="F4172" s="70"/>
      <c r="G4172" s="70" t="s">
        <v>61</v>
      </c>
      <c r="H4172" s="70" t="s">
        <v>178</v>
      </c>
      <c r="I4172" s="70" t="s">
        <v>184</v>
      </c>
      <c r="J4172" s="71">
        <f>IF(OR(I4172=0,I4172=""),"unrated",VLOOKUP(I4172,MappingTables!$B$19:$C$31,2,FALSE))</f>
        <v>5</v>
      </c>
      <c r="K4172" s="72">
        <v>160.65515227901972</v>
      </c>
      <c r="L4172" s="70">
        <v>0.7023388465437812</v>
      </c>
      <c r="M4172" s="71">
        <f>IF(L4172&lt;1,1,L4172)</f>
        <v>1</v>
      </c>
      <c r="N4172" s="70" t="s">
        <v>141</v>
      </c>
      <c r="O4172" s="71">
        <f>INDEX(DurClassMapping,MATCH(M4172,MappingTables!$D$4:$D$8,-1),1)</f>
        <v>1</v>
      </c>
      <c r="P4172" s="73">
        <f>IF(M4172=$A$1,1,$M4172-INDEX(MappingTables!$E$4:$E$8,MATCH(O4172,MappingTables!$B$4:$B$8,0)))</f>
        <v>1</v>
      </c>
      <c r="Q4172" s="71">
        <f>IF(B4172="",0,INDEX(ModelParameters!$D$6:$K$10,MATCH($O4172,ModelParameters!$B$6:$B$10,0),MATCH($J4172,ModelParameters!$D$5:$K$5,0)))</f>
        <v>0.075</v>
      </c>
      <c r="R4172" s="71">
        <f>IF(B4172="",0,INDEX(ModelParameters!$D$13:$K$17,MATCH($O4172,ModelParameters!$B$13:$B$17,0),MATCH($J4172,ModelParameters!$D$5:$K$5,0)))</f>
        <v>0</v>
      </c>
      <c r="S4172" s="160">
        <f>IF(B4172="",0,MIN(IF($N4172="Other Bond TM",ModelParameters!$N$21,1)*(P4172*Q4172+R4172),1))</f>
        <v>0.075</v>
      </c>
      <c r="T4172" s="85">
        <f>IF(B4172="",0,$S4172*$K4172)</f>
        <v>12.049136420926478</v>
      </c>
      <c r="U4172" s="85">
        <f>IF(B4172="",0,IF(OR(H4172=MappingTables!$C$34,H4172=MappingTables!$C$35),T4172,0))</f>
        <v>0</v>
      </c>
      <c r="V4172" s="85">
        <f>IF(ISNA(IF(AND(VLOOKUP(CONCATENATE($D4172,$G4172),CSRFinput!$B:$E,4,0)=0,OR(H4172=MappingTables!$C$34,H4172=MappingTables!$C$35)),1,VLOOKUP(CONCATENATE($D4172,$G4172),CSRFinput!$B:$E,4,0))),0,IF(AND(VLOOKUP(CONCATENATE($D4172,$G4172),CSRFinput!$B:$E,4,0)=0,OR(H4172=MappingTables!$C$34,H4172=MappingTables!$C$35)),1,VLOOKUP(CONCATENATE($D4172,$G4172),CSRFinput!$B:$E,4,0)))</f>
        <v>0.054776304963434752</v>
      </c>
      <c r="W4172" s="85">
        <f>IF(B4172="",0,+$T4172*$V4172)</f>
        <v>0.66000717113869752</v>
      </c>
      <c r="X4172" s="85">
        <f>IF(B4172="",0,IF(OR(H4172=MappingTables!$C$34,H4172=MappingTables!$C$35),W4172,0))</f>
        <v>0</v>
      </c>
    </row>
    <row r="4173" spans="2:24" s="0" customFormat="0" ht="15">
      <c r="B4173" s="69">
        <v>22227999</v>
      </c>
      <c r="C4173" s="70" t="s">
        <v>2810</v>
      </c>
      <c r="D4173" s="70" t="s">
        <v>1</v>
      </c>
      <c r="E4173" s="70" t="s">
        <v>1</v>
      </c>
      <c r="F4173" s="70"/>
      <c r="G4173" s="70" t="s">
        <v>61</v>
      </c>
      <c r="H4173" s="70" t="s">
        <v>178</v>
      </c>
      <c r="I4173" s="70" t="s">
        <v>179</v>
      </c>
      <c r="J4173" s="71">
        <f>IF(OR(I4173=0,I4173=""),"unrated",VLOOKUP(I4173,MappingTables!$B$19:$C$31,2,FALSE))</f>
        <v>4</v>
      </c>
      <c r="K4173" s="72">
        <v>1803.2490467962524</v>
      </c>
      <c r="L4173" s="70">
        <v>3.7977709250672416</v>
      </c>
      <c r="M4173" s="71">
        <f>IF(L4173&lt;1,1,L4173)</f>
        <v>3.7977709250672416</v>
      </c>
      <c r="N4173" s="70" t="s">
        <v>141</v>
      </c>
      <c r="O4173" s="71">
        <f>INDEX(DurClassMapping,MATCH(M4173,MappingTables!$D$4:$D$8,-1),1)</f>
        <v>1</v>
      </c>
      <c r="P4173" s="73">
        <f>IF(M4173=$A$1,1,$M4173-INDEX(MappingTables!$E$4:$E$8,MATCH(O4173,MappingTables!$B$4:$B$8,0)))</f>
        <v>3.7977709250672416</v>
      </c>
      <c r="Q4173" s="71">
        <f>IF(B4173="",0,INDEX(ModelParameters!$D$6:$K$10,MATCH($O4173,ModelParameters!$B$6:$B$10,0),MATCH($J4173,ModelParameters!$D$5:$K$5,0)))</f>
        <v>0.045</v>
      </c>
      <c r="R4173" s="71">
        <f>IF(B4173="",0,INDEX(ModelParameters!$D$13:$K$17,MATCH($O4173,ModelParameters!$B$13:$B$17,0),MATCH($J4173,ModelParameters!$D$5:$K$5,0)))</f>
        <v>0</v>
      </c>
      <c r="S4173" s="160">
        <f>IF(B4173="",0,MIN(IF($N4173="Other Bond TM",ModelParameters!$N$21,1)*(P4173*Q4173+R4173),1))</f>
        <v>0.17089969162802588</v>
      </c>
      <c r="T4173" s="85">
        <f>IF(B4173="",0,$S4173*$K4173)</f>
        <v>308.17470602601112</v>
      </c>
      <c r="U4173" s="85">
        <f>IF(B4173="",0,IF(OR(H4173=MappingTables!$C$34,H4173=MappingTables!$C$35),T4173,0))</f>
        <v>0</v>
      </c>
      <c r="V4173" s="85">
        <f>IF(ISNA(IF(AND(VLOOKUP(CONCATENATE($D4173,$G4173),CSRFinput!$B:$E,4,0)=0,OR(H4173=MappingTables!$C$34,H4173=MappingTables!$C$35)),1,VLOOKUP(CONCATENATE($D4173,$G4173),CSRFinput!$B:$E,4,0))),0,IF(AND(VLOOKUP(CONCATENATE($D4173,$G4173),CSRFinput!$B:$E,4,0)=0,OR(H4173=MappingTables!$C$34,H4173=MappingTables!$C$35)),1,VLOOKUP(CONCATENATE($D4173,$G4173),CSRFinput!$B:$E,4,0)))</f>
        <v>0.054776304963434752</v>
      </c>
      <c r="W4173" s="85">
        <f>IF(B4173="",0,+$T4173*$V4173)</f>
        <v>16.880671679297638</v>
      </c>
      <c r="X4173" s="85">
        <f>IF(B4173="",0,IF(OR(H4173=MappingTables!$C$34,H4173=MappingTables!$C$35),W4173,0))</f>
        <v>0</v>
      </c>
    </row>
    <row r="4174" spans="2:24" s="0" customFormat="0" ht="15">
      <c r="B4174" s="69">
        <v>7821787</v>
      </c>
      <c r="C4174" s="70" t="s">
        <v>2404</v>
      </c>
      <c r="D4174" s="70" t="s">
        <v>1</v>
      </c>
      <c r="E4174" s="70" t="s">
        <v>1</v>
      </c>
      <c r="F4174" s="70"/>
      <c r="G4174" s="70" t="s">
        <v>61</v>
      </c>
      <c r="H4174" s="70" t="s">
        <v>178</v>
      </c>
      <c r="I4174" s="70" t="s">
        <v>179</v>
      </c>
      <c r="J4174" s="71">
        <f>IF(OR(I4174=0,I4174=""),"unrated",VLOOKUP(I4174,MappingTables!$B$19:$C$31,2,FALSE))</f>
        <v>4</v>
      </c>
      <c r="K4174" s="72">
        <v>1096.3348116805342</v>
      </c>
      <c r="L4174" s="70">
        <v>2.4819500158978644</v>
      </c>
      <c r="M4174" s="71">
        <f>IF(L4174&lt;1,1,L4174)</f>
        <v>2.4819500158978644</v>
      </c>
      <c r="N4174" s="70" t="s">
        <v>141</v>
      </c>
      <c r="O4174" s="71">
        <f>INDEX(DurClassMapping,MATCH(M4174,MappingTables!$D$4:$D$8,-1),1)</f>
        <v>1</v>
      </c>
      <c r="P4174" s="73">
        <f>IF(M4174=$A$1,1,$M4174-INDEX(MappingTables!$E$4:$E$8,MATCH(O4174,MappingTables!$B$4:$B$8,0)))</f>
        <v>2.4819500158978644</v>
      </c>
      <c r="Q4174" s="71">
        <f>IF(B4174="",0,INDEX(ModelParameters!$D$6:$K$10,MATCH($O4174,ModelParameters!$B$6:$B$10,0),MATCH($J4174,ModelParameters!$D$5:$K$5,0)))</f>
        <v>0.045</v>
      </c>
      <c r="R4174" s="71">
        <f>IF(B4174="",0,INDEX(ModelParameters!$D$13:$K$17,MATCH($O4174,ModelParameters!$B$13:$B$17,0),MATCH($J4174,ModelParameters!$D$5:$K$5,0)))</f>
        <v>0</v>
      </c>
      <c r="S4174" s="160">
        <f>IF(B4174="",0,MIN(IF($N4174="Other Bond TM",ModelParameters!$N$21,1)*(P4174*Q4174+R4174),1))</f>
        <v>0.1116877507154039</v>
      </c>
      <c r="T4174" s="85">
        <f>IF(B4174="",0,$S4174*$K4174)</f>
        <v>122.44716914759476</v>
      </c>
      <c r="U4174" s="85">
        <f>IF(B4174="",0,IF(OR(H4174=MappingTables!$C$34,H4174=MappingTables!$C$35),T4174,0))</f>
        <v>0</v>
      </c>
      <c r="V4174" s="85">
        <f>IF(ISNA(IF(AND(VLOOKUP(CONCATENATE($D4174,$G4174),CSRFinput!$B:$E,4,0)=0,OR(H4174=MappingTables!$C$34,H4174=MappingTables!$C$35)),1,VLOOKUP(CONCATENATE($D4174,$G4174),CSRFinput!$B:$E,4,0))),0,IF(AND(VLOOKUP(CONCATENATE($D4174,$G4174),CSRFinput!$B:$E,4,0)=0,OR(H4174=MappingTables!$C$34,H4174=MappingTables!$C$35)),1,VLOOKUP(CONCATENATE($D4174,$G4174),CSRFinput!$B:$E,4,0)))</f>
        <v>0.054776304963434752</v>
      </c>
      <c r="W4174" s="85">
        <f>IF(B4174="",0,+$T4174*$V4174)</f>
        <v>6.7072034791379304</v>
      </c>
      <c r="X4174" s="85">
        <f>IF(B4174="",0,IF(OR(H4174=MappingTables!$C$34,H4174=MappingTables!$C$35),W4174,0))</f>
        <v>0</v>
      </c>
    </row>
    <row r="4175" spans="2:24" s="0" customFormat="0" ht="15">
      <c r="B4175" s="69">
        <v>15462933</v>
      </c>
      <c r="C4175" s="70" t="s">
        <v>1767</v>
      </c>
      <c r="D4175" s="70" t="s">
        <v>1</v>
      </c>
      <c r="E4175" s="70" t="s">
        <v>1</v>
      </c>
      <c r="F4175" s="70"/>
      <c r="G4175" s="70" t="s">
        <v>61</v>
      </c>
      <c r="H4175" s="70" t="s">
        <v>178</v>
      </c>
      <c r="I4175" s="70" t="s">
        <v>181</v>
      </c>
      <c r="J4175" s="71">
        <f>IF(OR(I4175=0,I4175=""),"unrated",VLOOKUP(I4175,MappingTables!$B$19:$C$31,2,FALSE))</f>
        <v>3</v>
      </c>
      <c r="K4175" s="72">
        <v>4003.0731738564104</v>
      </c>
      <c r="L4175" s="70">
        <v>3.736722338552056</v>
      </c>
      <c r="M4175" s="71">
        <f>IF(L4175&lt;1,1,L4175)</f>
        <v>3.736722338552056</v>
      </c>
      <c r="N4175" s="70" t="s">
        <v>141</v>
      </c>
      <c r="O4175" s="71">
        <f>INDEX(DurClassMapping,MATCH(M4175,MappingTables!$D$4:$D$8,-1),1)</f>
        <v>1</v>
      </c>
      <c r="P4175" s="73">
        <f>IF(M4175=$A$1,1,$M4175-INDEX(MappingTables!$E$4:$E$8,MATCH(O4175,MappingTables!$B$4:$B$8,0)))</f>
        <v>3.736722338552056</v>
      </c>
      <c r="Q4175" s="71">
        <f>IF(B4175="",0,INDEX(ModelParameters!$D$6:$K$10,MATCH($O4175,ModelParameters!$B$6:$B$10,0),MATCH($J4175,ModelParameters!$D$5:$K$5,0)))</f>
        <v>0.025</v>
      </c>
      <c r="R4175" s="71">
        <f>IF(B4175="",0,INDEX(ModelParameters!$D$13:$K$17,MATCH($O4175,ModelParameters!$B$13:$B$17,0),MATCH($J4175,ModelParameters!$D$5:$K$5,0)))</f>
        <v>0</v>
      </c>
      <c r="S4175" s="160">
        <f>IF(B4175="",0,MIN(IF($N4175="Other Bond TM",ModelParameters!$N$21,1)*(P4175*Q4175+R4175),1))</f>
        <v>0.093418058463801392</v>
      </c>
      <c r="T4175" s="85">
        <f>IF(B4175="",0,$S4175*$K4175)</f>
        <v>373.9593237901932</v>
      </c>
      <c r="U4175" s="85">
        <f>IF(B4175="",0,IF(OR(H4175=MappingTables!$C$34,H4175=MappingTables!$C$35),T4175,0))</f>
        <v>0</v>
      </c>
      <c r="V4175" s="85">
        <f>IF(ISNA(IF(AND(VLOOKUP(CONCATENATE($D4175,$G4175),CSRFinput!$B:$E,4,0)=0,OR(H4175=MappingTables!$C$34,H4175=MappingTables!$C$35)),1,VLOOKUP(CONCATENATE($D4175,$G4175),CSRFinput!$B:$E,4,0))),0,IF(AND(VLOOKUP(CONCATENATE($D4175,$G4175),CSRFinput!$B:$E,4,0)=0,OR(H4175=MappingTables!$C$34,H4175=MappingTables!$C$35)),1,VLOOKUP(CONCATENATE($D4175,$G4175),CSRFinput!$B:$E,4,0)))</f>
        <v>0.054776304963434752</v>
      </c>
      <c r="W4175" s="85">
        <f>IF(B4175="",0,+$T4175*$V4175)</f>
        <v>20.484109963851464</v>
      </c>
      <c r="X4175" s="85">
        <f>IF(B4175="",0,IF(OR(H4175=MappingTables!$C$34,H4175=MappingTables!$C$35),W4175,0))</f>
        <v>0</v>
      </c>
    </row>
    <row r="4176" spans="2:24" s="0" customFormat="0" ht="15">
      <c r="B4176" s="69">
        <v>260991</v>
      </c>
      <c r="C4176" s="70" t="s">
        <v>1186</v>
      </c>
      <c r="D4176" s="70" t="s">
        <v>1</v>
      </c>
      <c r="E4176" s="70" t="s">
        <v>1</v>
      </c>
      <c r="F4176" s="70"/>
      <c r="G4176" s="70" t="s">
        <v>61</v>
      </c>
      <c r="H4176" s="70" t="s">
        <v>178</v>
      </c>
      <c r="I4176" s="70" t="s">
        <v>181</v>
      </c>
      <c r="J4176" s="71">
        <f>IF(OR(I4176=0,I4176=""),"unrated",VLOOKUP(I4176,MappingTables!$B$19:$C$31,2,FALSE))</f>
        <v>3</v>
      </c>
      <c r="K4176" s="72">
        <v>549.07371276470056</v>
      </c>
      <c r="L4176" s="70">
        <v>8.6361408190547312</v>
      </c>
      <c r="M4176" s="71">
        <f>IF(L4176&lt;1,1,L4176)</f>
        <v>8.6361408190547312</v>
      </c>
      <c r="N4176" s="70" t="s">
        <v>141</v>
      </c>
      <c r="O4176" s="71">
        <f>INDEX(DurClassMapping,MATCH(M4176,MappingTables!$D$4:$D$8,-1),1)</f>
        <v>2</v>
      </c>
      <c r="P4176" s="73">
        <f>IF(M4176=$A$1,1,$M4176-INDEX(MappingTables!$E$4:$E$8,MATCH(O4176,MappingTables!$B$4:$B$8,0)))</f>
        <v>3.6361408190547312</v>
      </c>
      <c r="Q4176" s="71">
        <f>IF(B4176="",0,INDEX(ModelParameters!$D$6:$K$10,MATCH($O4176,ModelParameters!$B$6:$B$10,0),MATCH($J4176,ModelParameters!$D$5:$K$5,0)))</f>
        <v>0.015</v>
      </c>
      <c r="R4176" s="71">
        <f>IF(B4176="",0,INDEX(ModelParameters!$D$13:$K$17,MATCH($O4176,ModelParameters!$B$13:$B$17,0),MATCH($J4176,ModelParameters!$D$5:$K$5,0)))</f>
        <v>0.125</v>
      </c>
      <c r="S4176" s="160">
        <f>IF(B4176="",0,MIN(IF($N4176="Other Bond TM",ModelParameters!$N$21,1)*(P4176*Q4176+R4176),1))</f>
        <v>0.17954211228582096</v>
      </c>
      <c r="T4176" s="85">
        <f>IF(B4176="",0,$S4176*$K4176)</f>
        <v>98.581854190392464</v>
      </c>
      <c r="U4176" s="85">
        <f>IF(B4176="",0,IF(OR(H4176=MappingTables!$C$34,H4176=MappingTables!$C$35),T4176,0))</f>
        <v>0</v>
      </c>
      <c r="V4176" s="85">
        <f>IF(ISNA(IF(AND(VLOOKUP(CONCATENATE($D4176,$G4176),CSRFinput!$B:$E,4,0)=0,OR(H4176=MappingTables!$C$34,H4176=MappingTables!$C$35)),1,VLOOKUP(CONCATENATE($D4176,$G4176),CSRFinput!$B:$E,4,0))),0,IF(AND(VLOOKUP(CONCATENATE($D4176,$G4176),CSRFinput!$B:$E,4,0)=0,OR(H4176=MappingTables!$C$34,H4176=MappingTables!$C$35)),1,VLOOKUP(CONCATENATE($D4176,$G4176),CSRFinput!$B:$E,4,0)))</f>
        <v>0.054776304963434752</v>
      </c>
      <c r="W4176" s="85">
        <f>IF(B4176="",0,+$T4176*$V4176)</f>
        <v>5.3999497089937952</v>
      </c>
      <c r="X4176" s="85">
        <f>IF(B4176="",0,IF(OR(H4176=MappingTables!$C$34,H4176=MappingTables!$C$35),W4176,0))</f>
        <v>0</v>
      </c>
    </row>
    <row r="4177" spans="2:24" s="0" customFormat="0" ht="15">
      <c r="B4177" s="69">
        <v>22412940</v>
      </c>
      <c r="C4177" s="70" t="s">
        <v>2494</v>
      </c>
      <c r="D4177" s="70" t="s">
        <v>1</v>
      </c>
      <c r="E4177" s="70" t="s">
        <v>1</v>
      </c>
      <c r="F4177" s="70"/>
      <c r="G4177" s="70" t="s">
        <v>61</v>
      </c>
      <c r="H4177" s="70" t="s">
        <v>178</v>
      </c>
      <c r="I4177" s="70" t="s">
        <v>216</v>
      </c>
      <c r="J4177" s="71">
        <f>IF(OR(I4177=0,I4177=""),"unrated",VLOOKUP(I4177,MappingTables!$B$19:$C$31,2,FALSE))</f>
        <v>0</v>
      </c>
      <c r="K4177" s="72">
        <v>7645.1692059422896</v>
      </c>
      <c r="L4177" s="70">
        <v>0.21643751159366872</v>
      </c>
      <c r="M4177" s="71">
        <f>IF(L4177&lt;1,1,L4177)</f>
        <v>1</v>
      </c>
      <c r="N4177" s="70" t="s">
        <v>141</v>
      </c>
      <c r="O4177" s="71">
        <f>INDEX(DurClassMapping,MATCH(M4177,MappingTables!$D$4:$D$8,-1),1)</f>
        <v>1</v>
      </c>
      <c r="P4177" s="73">
        <f>IF(M4177=$A$1,1,$M4177-INDEX(MappingTables!$E$4:$E$8,MATCH(O4177,MappingTables!$B$4:$B$8,0)))</f>
        <v>1</v>
      </c>
      <c r="Q4177" s="71">
        <f>IF(B4177="",0,INDEX(ModelParameters!$D$6:$K$10,MATCH($O4177,ModelParameters!$B$6:$B$10,0),MATCH($J4177,ModelParameters!$D$5:$K$5,0)))</f>
        <v>0.0090000000000000016</v>
      </c>
      <c r="R4177" s="71">
        <f>IF(B4177="",0,INDEX(ModelParameters!$D$13:$K$17,MATCH($O4177,ModelParameters!$B$13:$B$17,0),MATCH($J4177,ModelParameters!$D$5:$K$5,0)))</f>
        <v>0</v>
      </c>
      <c r="S4177" s="160">
        <f>IF(B4177="",0,MIN(IF($N4177="Other Bond TM",ModelParameters!$N$21,1)*(P4177*Q4177+R4177),1))</f>
        <v>0.0090000000000000016</v>
      </c>
      <c r="T4177" s="85">
        <f>IF(B4177="",0,$S4177*$K4177)</f>
        <v>68.806522853480616</v>
      </c>
      <c r="U4177" s="85">
        <f>IF(B4177="",0,IF(OR(H4177=MappingTables!$C$34,H4177=MappingTables!$C$35),T4177,0))</f>
        <v>0</v>
      </c>
      <c r="V4177" s="85">
        <f>IF(ISNA(IF(AND(VLOOKUP(CONCATENATE($D4177,$G4177),CSRFinput!$B:$E,4,0)=0,OR(H4177=MappingTables!$C$34,H4177=MappingTables!$C$35)),1,VLOOKUP(CONCATENATE($D4177,$G4177),CSRFinput!$B:$E,4,0))),0,IF(AND(VLOOKUP(CONCATENATE($D4177,$G4177),CSRFinput!$B:$E,4,0)=0,OR(H4177=MappingTables!$C$34,H4177=MappingTables!$C$35)),1,VLOOKUP(CONCATENATE($D4177,$G4177),CSRFinput!$B:$E,4,0)))</f>
        <v>0.054776304963434752</v>
      </c>
      <c r="W4177" s="85">
        <f>IF(B4177="",0,+$T4177*$V4177)</f>
        <v>3.7689670792957968</v>
      </c>
      <c r="X4177" s="85">
        <f>IF(B4177="",0,IF(OR(H4177=MappingTables!$C$34,H4177=MappingTables!$C$35),W4177,0))</f>
        <v>0</v>
      </c>
    </row>
    <row r="4178" spans="2:24" s="0" customFormat="0" ht="15">
      <c r="B4178" s="69">
        <v>18960229</v>
      </c>
      <c r="C4178" s="70" t="s">
        <v>2178</v>
      </c>
      <c r="D4178" s="70" t="s">
        <v>1</v>
      </c>
      <c r="E4178" s="70" t="s">
        <v>1</v>
      </c>
      <c r="F4178" s="70"/>
      <c r="G4178" s="70" t="s">
        <v>61</v>
      </c>
      <c r="H4178" s="70" t="s">
        <v>178</v>
      </c>
      <c r="I4178" s="70" t="s">
        <v>179</v>
      </c>
      <c r="J4178" s="71">
        <f>IF(OR(I4178=0,I4178=""),"unrated",VLOOKUP(I4178,MappingTables!$B$19:$C$31,2,FALSE))</f>
        <v>4</v>
      </c>
      <c r="K4178" s="72">
        <v>398.52225797723</v>
      </c>
      <c r="L4178" s="70">
        <v>1.041499476816314</v>
      </c>
      <c r="M4178" s="71">
        <f>IF(L4178&lt;1,1,L4178)</f>
        <v>1.041499476816314</v>
      </c>
      <c r="N4178" s="70" t="s">
        <v>141</v>
      </c>
      <c r="O4178" s="71">
        <f>INDEX(DurClassMapping,MATCH(M4178,MappingTables!$D$4:$D$8,-1),1)</f>
        <v>1</v>
      </c>
      <c r="P4178" s="73">
        <f>IF(M4178=$A$1,1,$M4178-INDEX(MappingTables!$E$4:$E$8,MATCH(O4178,MappingTables!$B$4:$B$8,0)))</f>
        <v>1.041499476816314</v>
      </c>
      <c r="Q4178" s="71">
        <f>IF(B4178="",0,INDEX(ModelParameters!$D$6:$K$10,MATCH($O4178,ModelParameters!$B$6:$B$10,0),MATCH($J4178,ModelParameters!$D$5:$K$5,0)))</f>
        <v>0.045</v>
      </c>
      <c r="R4178" s="71">
        <f>IF(B4178="",0,INDEX(ModelParameters!$D$13:$K$17,MATCH($O4178,ModelParameters!$B$13:$B$17,0),MATCH($J4178,ModelParameters!$D$5:$K$5,0)))</f>
        <v>0</v>
      </c>
      <c r="S4178" s="160">
        <f>IF(B4178="",0,MIN(IF($N4178="Other Bond TM",ModelParameters!$N$21,1)*(P4178*Q4178+R4178),1))</f>
        <v>0.046867476456734128</v>
      </c>
      <c r="T4178" s="85">
        <f>IF(B4178="",0,$S4178*$K4178)</f>
        <v>18.677732543232352</v>
      </c>
      <c r="U4178" s="85">
        <f>IF(B4178="",0,IF(OR(H4178=MappingTables!$C$34,H4178=MappingTables!$C$35),T4178,0))</f>
        <v>0</v>
      </c>
      <c r="V4178" s="85">
        <f>IF(ISNA(IF(AND(VLOOKUP(CONCATENATE($D4178,$G4178),CSRFinput!$B:$E,4,0)=0,OR(H4178=MappingTables!$C$34,H4178=MappingTables!$C$35)),1,VLOOKUP(CONCATENATE($D4178,$G4178),CSRFinput!$B:$E,4,0))),0,IF(AND(VLOOKUP(CONCATENATE($D4178,$G4178),CSRFinput!$B:$E,4,0)=0,OR(H4178=MappingTables!$C$34,H4178=MappingTables!$C$35)),1,VLOOKUP(CONCATENATE($D4178,$G4178),CSRFinput!$B:$E,4,0)))</f>
        <v>0.054776304963434752</v>
      </c>
      <c r="W4178" s="85">
        <f>IF(B4178="",0,+$T4178*$V4178)</f>
        <v>1.023097173813565</v>
      </c>
      <c r="X4178" s="85">
        <f>IF(B4178="",0,IF(OR(H4178=MappingTables!$C$34,H4178=MappingTables!$C$35),W4178,0))</f>
        <v>0</v>
      </c>
    </row>
    <row r="4179" spans="2:24" s="0" customFormat="0" ht="15">
      <c r="B4179" s="69">
        <v>21483226</v>
      </c>
      <c r="C4179" s="70" t="s">
        <v>2985</v>
      </c>
      <c r="D4179" s="70" t="s">
        <v>1</v>
      </c>
      <c r="E4179" s="70" t="s">
        <v>1</v>
      </c>
      <c r="F4179" s="70"/>
      <c r="G4179" s="70" t="s">
        <v>61</v>
      </c>
      <c r="H4179" s="70" t="s">
        <v>178</v>
      </c>
      <c r="I4179" s="70" t="s">
        <v>181</v>
      </c>
      <c r="J4179" s="71">
        <f>IF(OR(I4179=0,I4179=""),"unrated",VLOOKUP(I4179,MappingTables!$B$19:$C$31,2,FALSE))</f>
        <v>3</v>
      </c>
      <c r="K4179" s="72">
        <v>51343.289942476424</v>
      </c>
      <c r="L4179" s="70">
        <v>3.4612159430984656</v>
      </c>
      <c r="M4179" s="71">
        <f>IF(L4179&lt;1,1,L4179)</f>
        <v>3.4612159430984656</v>
      </c>
      <c r="N4179" s="70" t="s">
        <v>141</v>
      </c>
      <c r="O4179" s="71">
        <f>INDEX(DurClassMapping,MATCH(M4179,MappingTables!$D$4:$D$8,-1),1)</f>
        <v>1</v>
      </c>
      <c r="P4179" s="73">
        <f>IF(M4179=$A$1,1,$M4179-INDEX(MappingTables!$E$4:$E$8,MATCH(O4179,MappingTables!$B$4:$B$8,0)))</f>
        <v>3.4612159430984656</v>
      </c>
      <c r="Q4179" s="71">
        <f>IF(B4179="",0,INDEX(ModelParameters!$D$6:$K$10,MATCH($O4179,ModelParameters!$B$6:$B$10,0),MATCH($J4179,ModelParameters!$D$5:$K$5,0)))</f>
        <v>0.025</v>
      </c>
      <c r="R4179" s="71">
        <f>IF(B4179="",0,INDEX(ModelParameters!$D$13:$K$17,MATCH($O4179,ModelParameters!$B$13:$B$17,0),MATCH($J4179,ModelParameters!$D$5:$K$5,0)))</f>
        <v>0</v>
      </c>
      <c r="S4179" s="160">
        <f>IF(B4179="",0,MIN(IF($N4179="Other Bond TM",ModelParameters!$N$21,1)*(P4179*Q4179+R4179),1))</f>
        <v>0.086530398577461648</v>
      </c>
      <c r="T4179" s="85">
        <f>IF(B4179="",0,$S4179*$K4179)</f>
        <v>4442.7553430006632</v>
      </c>
      <c r="U4179" s="85">
        <f>IF(B4179="",0,IF(OR(H4179=MappingTables!$C$34,H4179=MappingTables!$C$35),T4179,0))</f>
        <v>0</v>
      </c>
      <c r="V4179" s="85">
        <f>IF(ISNA(IF(AND(VLOOKUP(CONCATENATE($D4179,$G4179),CSRFinput!$B:$E,4,0)=0,OR(H4179=MappingTables!$C$34,H4179=MappingTables!$C$35)),1,VLOOKUP(CONCATENATE($D4179,$G4179),CSRFinput!$B:$E,4,0))),0,IF(AND(VLOOKUP(CONCATENATE($D4179,$G4179),CSRFinput!$B:$E,4,0)=0,OR(H4179=MappingTables!$C$34,H4179=MappingTables!$C$35)),1,VLOOKUP(CONCATENATE($D4179,$G4179),CSRFinput!$B:$E,4,0)))</f>
        <v>0.054776304963434752</v>
      </c>
      <c r="W4179" s="85">
        <f>IF(B4179="",0,+$T4179*$V4179)</f>
        <v>243.35772154613348</v>
      </c>
      <c r="X4179" s="85">
        <f>IF(B4179="",0,IF(OR(H4179=MappingTables!$C$34,H4179=MappingTables!$C$35),W4179,0))</f>
        <v>0</v>
      </c>
    </row>
    <row r="4180" spans="2:24" s="0" customFormat="0" ht="15">
      <c r="B4180" s="69">
        <v>14577841</v>
      </c>
      <c r="C4180" s="70" t="s">
        <v>2967</v>
      </c>
      <c r="D4180" s="70" t="s">
        <v>1</v>
      </c>
      <c r="E4180" s="70" t="s">
        <v>1</v>
      </c>
      <c r="F4180" s="70"/>
      <c r="G4180" s="70" t="s">
        <v>61</v>
      </c>
      <c r="H4180" s="70" t="s">
        <v>178</v>
      </c>
      <c r="I4180" s="70" t="s">
        <v>179</v>
      </c>
      <c r="J4180" s="71">
        <f>IF(OR(I4180=0,I4180=""),"unrated",VLOOKUP(I4180,MappingTables!$B$19:$C$31,2,FALSE))</f>
        <v>4</v>
      </c>
      <c r="K4180" s="72">
        <v>383.40973898891152</v>
      </c>
      <c r="L4180" s="70">
        <v>3.9457600726367168</v>
      </c>
      <c r="M4180" s="71">
        <f>IF(L4180&lt;1,1,L4180)</f>
        <v>3.9457600726367168</v>
      </c>
      <c r="N4180" s="70" t="s">
        <v>141</v>
      </c>
      <c r="O4180" s="71">
        <f>INDEX(DurClassMapping,MATCH(M4180,MappingTables!$D$4:$D$8,-1),1)</f>
        <v>1</v>
      </c>
      <c r="P4180" s="73">
        <f>IF(M4180=$A$1,1,$M4180-INDEX(MappingTables!$E$4:$E$8,MATCH(O4180,MappingTables!$B$4:$B$8,0)))</f>
        <v>3.9457600726367168</v>
      </c>
      <c r="Q4180" s="71">
        <f>IF(B4180="",0,INDEX(ModelParameters!$D$6:$K$10,MATCH($O4180,ModelParameters!$B$6:$B$10,0),MATCH($J4180,ModelParameters!$D$5:$K$5,0)))</f>
        <v>0.045</v>
      </c>
      <c r="R4180" s="71">
        <f>IF(B4180="",0,INDEX(ModelParameters!$D$13:$K$17,MATCH($O4180,ModelParameters!$B$13:$B$17,0),MATCH($J4180,ModelParameters!$D$5:$K$5,0)))</f>
        <v>0</v>
      </c>
      <c r="S4180" s="160">
        <f>IF(B4180="",0,MIN(IF($N4180="Other Bond TM",ModelParameters!$N$21,1)*(P4180*Q4180+R4180),1))</f>
        <v>0.17755920326865226</v>
      </c>
      <c r="T4180" s="85">
        <f>IF(B4180="",0,$S4180*$K4180)</f>
        <v>68.077927780313048</v>
      </c>
      <c r="U4180" s="85">
        <f>IF(B4180="",0,IF(OR(H4180=MappingTables!$C$34,H4180=MappingTables!$C$35),T4180,0))</f>
        <v>0</v>
      </c>
      <c r="V4180" s="85">
        <f>IF(ISNA(IF(AND(VLOOKUP(CONCATENATE($D4180,$G4180),CSRFinput!$B:$E,4,0)=0,OR(H4180=MappingTables!$C$34,H4180=MappingTables!$C$35)),1,VLOOKUP(CONCATENATE($D4180,$G4180),CSRFinput!$B:$E,4,0))),0,IF(AND(VLOOKUP(CONCATENATE($D4180,$G4180),CSRFinput!$B:$E,4,0)=0,OR(H4180=MappingTables!$C$34,H4180=MappingTables!$C$35)),1,VLOOKUP(CONCATENATE($D4180,$G4180),CSRFinput!$B:$E,4,0)))</f>
        <v>0.054776304963434752</v>
      </c>
      <c r="W4180" s="85">
        <f>IF(B4180="",0,+$T4180*$V4180)</f>
        <v>3.7290573333731144</v>
      </c>
      <c r="X4180" s="85">
        <f>IF(B4180="",0,IF(OR(H4180=MappingTables!$C$34,H4180=MappingTables!$C$35),W4180,0))</f>
        <v>0</v>
      </c>
    </row>
    <row r="4181" spans="2:24" s="0" customFormat="0" ht="15">
      <c r="B4181" s="69">
        <v>11252201</v>
      </c>
      <c r="C4181" s="70" t="s">
        <v>2767</v>
      </c>
      <c r="D4181" s="70" t="s">
        <v>1</v>
      </c>
      <c r="E4181" s="70" t="s">
        <v>1</v>
      </c>
      <c r="F4181" s="70"/>
      <c r="G4181" s="70" t="s">
        <v>61</v>
      </c>
      <c r="H4181" s="70" t="s">
        <v>178</v>
      </c>
      <c r="I4181" s="70" t="s">
        <v>188</v>
      </c>
      <c r="J4181" s="71">
        <f>IF(OR(I4181=0,I4181=""),"unrated",VLOOKUP(I4181,MappingTables!$B$19:$C$31,2,FALSE))</f>
        <v>2</v>
      </c>
      <c r="K4181" s="72">
        <v>189.58070259934204</v>
      </c>
      <c r="L4181" s="70">
        <v>0.013697691938911294</v>
      </c>
      <c r="M4181" s="71">
        <f>IF(L4181&lt;1,1,L4181)</f>
        <v>1</v>
      </c>
      <c r="N4181" s="70" t="s">
        <v>141</v>
      </c>
      <c r="O4181" s="71">
        <f>INDEX(DurClassMapping,MATCH(M4181,MappingTables!$D$4:$D$8,-1),1)</f>
        <v>1</v>
      </c>
      <c r="P4181" s="73">
        <f>IF(M4181=$A$1,1,$M4181-INDEX(MappingTables!$E$4:$E$8,MATCH(O4181,MappingTables!$B$4:$B$8,0)))</f>
        <v>1</v>
      </c>
      <c r="Q4181" s="71">
        <f>IF(B4181="",0,INDEX(ModelParameters!$D$6:$K$10,MATCH($O4181,ModelParameters!$B$6:$B$10,0),MATCH($J4181,ModelParameters!$D$5:$K$5,0)))</f>
        <v>0.013999999999999998</v>
      </c>
      <c r="R4181" s="71">
        <f>IF(B4181="",0,INDEX(ModelParameters!$D$13:$K$17,MATCH($O4181,ModelParameters!$B$13:$B$17,0),MATCH($J4181,ModelParameters!$D$5:$K$5,0)))</f>
        <v>0</v>
      </c>
      <c r="S4181" s="160">
        <f>IF(B4181="",0,MIN(IF($N4181="Other Bond TM",ModelParameters!$N$21,1)*(P4181*Q4181+R4181),1))</f>
        <v>0.013999999999999998</v>
      </c>
      <c r="T4181" s="85">
        <f>IF(B4181="",0,$S4181*$K4181)</f>
        <v>2.6541298363907884</v>
      </c>
      <c r="U4181" s="85">
        <f>IF(B4181="",0,IF(OR(H4181=MappingTables!$C$34,H4181=MappingTables!$C$35),T4181,0))</f>
        <v>0</v>
      </c>
      <c r="V4181" s="85">
        <f>IF(ISNA(IF(AND(VLOOKUP(CONCATENATE($D4181,$G4181),CSRFinput!$B:$E,4,0)=0,OR(H4181=MappingTables!$C$34,H4181=MappingTables!$C$35)),1,VLOOKUP(CONCATENATE($D4181,$G4181),CSRFinput!$B:$E,4,0))),0,IF(AND(VLOOKUP(CONCATENATE($D4181,$G4181),CSRFinput!$B:$E,4,0)=0,OR(H4181=MappingTables!$C$34,H4181=MappingTables!$C$35)),1,VLOOKUP(CONCATENATE($D4181,$G4181),CSRFinput!$B:$E,4,0)))</f>
        <v>0.054776304963434752</v>
      </c>
      <c r="W4181" s="85">
        <f>IF(B4181="",0,+$T4181*$V4181)</f>
        <v>0.14538342533069302</v>
      </c>
      <c r="X4181" s="85">
        <f>IF(B4181="",0,IF(OR(H4181=MappingTables!$C$34,H4181=MappingTables!$C$35),W4181,0))</f>
        <v>0</v>
      </c>
    </row>
    <row r="4182" spans="2:24" s="0" customFormat="0" ht="15">
      <c r="B4182" s="69" t="s">
        <v>2843</v>
      </c>
      <c r="C4182" s="70" t="s">
        <v>2844</v>
      </c>
      <c r="D4182" s="70" t="s">
        <v>1</v>
      </c>
      <c r="E4182" s="70" t="s">
        <v>1</v>
      </c>
      <c r="F4182" s="70"/>
      <c r="G4182" s="70" t="s">
        <v>61</v>
      </c>
      <c r="H4182" s="70" t="s">
        <v>178</v>
      </c>
      <c r="I4182" s="70" t="s">
        <v>184</v>
      </c>
      <c r="J4182" s="71">
        <f>IF(OR(I4182=0,I4182=""),"unrated",VLOOKUP(I4182,MappingTables!$B$19:$C$31,2,FALSE))</f>
        <v>5</v>
      </c>
      <c r="K4182" s="72">
        <v>604.41732116439576</v>
      </c>
      <c r="L4182" s="70">
        <v>5.1033739031961368</v>
      </c>
      <c r="M4182" s="71">
        <f>IF(L4182&lt;1,1,L4182)</f>
        <v>5.1033739031961368</v>
      </c>
      <c r="N4182" s="70" t="s">
        <v>141</v>
      </c>
      <c r="O4182" s="71">
        <f>INDEX(DurClassMapping,MATCH(M4182,MappingTables!$D$4:$D$8,-1),1)</f>
        <v>2</v>
      </c>
      <c r="P4182" s="73">
        <f>IF(M4182=$A$1,1,$M4182-INDEX(MappingTables!$E$4:$E$8,MATCH(O4182,MappingTables!$B$4:$B$8,0)))</f>
        <v>0.10337390319613692</v>
      </c>
      <c r="Q4182" s="71">
        <f>IF(B4182="",0,INDEX(ModelParameters!$D$6:$K$10,MATCH($O4182,ModelParameters!$B$6:$B$10,0),MATCH($J4182,ModelParameters!$D$5:$K$5,0)))</f>
        <v>0.042</v>
      </c>
      <c r="R4182" s="71">
        <f>IF(B4182="",0,INDEX(ModelParameters!$D$13:$K$17,MATCH($O4182,ModelParameters!$B$13:$B$17,0),MATCH($J4182,ModelParameters!$D$5:$K$5,0)))</f>
        <v>0.375</v>
      </c>
      <c r="S4182" s="160">
        <f>IF(B4182="",0,MIN(IF($N4182="Other Bond TM",ModelParameters!$N$21,1)*(P4182*Q4182+R4182),1))</f>
        <v>0.37934170393423776</v>
      </c>
      <c r="T4182" s="85">
        <f>IF(B4182="",0,$S4182*$K4182)</f>
        <v>229.28069649786932</v>
      </c>
      <c r="U4182" s="85">
        <f>IF(B4182="",0,IF(OR(H4182=MappingTables!$C$34,H4182=MappingTables!$C$35),T4182,0))</f>
        <v>0</v>
      </c>
      <c r="V4182" s="85">
        <f>IF(ISNA(IF(AND(VLOOKUP(CONCATENATE($D4182,$G4182),CSRFinput!$B:$E,4,0)=0,OR(H4182=MappingTables!$C$34,H4182=MappingTables!$C$35)),1,VLOOKUP(CONCATENATE($D4182,$G4182),CSRFinput!$B:$E,4,0))),0,IF(AND(VLOOKUP(CONCATENATE($D4182,$G4182),CSRFinput!$B:$E,4,0)=0,OR(H4182=MappingTables!$C$34,H4182=MappingTables!$C$35)),1,VLOOKUP(CONCATENATE($D4182,$G4182),CSRFinput!$B:$E,4,0)))</f>
        <v>0.054776304963434752</v>
      </c>
      <c r="W4182" s="85">
        <f>IF(B4182="",0,+$T4182*$V4182)</f>
        <v>12.559149353596016</v>
      </c>
      <c r="X4182" s="85">
        <f>IF(B4182="",0,IF(OR(H4182=MappingTables!$C$34,H4182=MappingTables!$C$35),W4182,0))</f>
        <v>0</v>
      </c>
    </row>
    <row r="4183" spans="2:24" s="0" customFormat="0" ht="15">
      <c r="B4183" s="69" t="s">
        <v>2805</v>
      </c>
      <c r="C4183" s="70" t="s">
        <v>2806</v>
      </c>
      <c r="D4183" s="70" t="s">
        <v>1</v>
      </c>
      <c r="E4183" s="70" t="s">
        <v>1</v>
      </c>
      <c r="F4183" s="70"/>
      <c r="G4183" s="70" t="s">
        <v>61</v>
      </c>
      <c r="H4183" s="70" t="s">
        <v>178</v>
      </c>
      <c r="I4183" s="70" t="s">
        <v>181</v>
      </c>
      <c r="J4183" s="71">
        <f>IF(OR(I4183=0,I4183=""),"unrated",VLOOKUP(I4183,MappingTables!$B$19:$C$31,2,FALSE))</f>
        <v>3</v>
      </c>
      <c r="K4183" s="72">
        <v>2.0910599946726904</v>
      </c>
      <c r="L4183" s="70">
        <v>2.873224345638274</v>
      </c>
      <c r="M4183" s="71">
        <f>IF(L4183&lt;1,1,L4183)</f>
        <v>2.873224345638274</v>
      </c>
      <c r="N4183" s="70" t="s">
        <v>141</v>
      </c>
      <c r="O4183" s="71">
        <f>INDEX(DurClassMapping,MATCH(M4183,MappingTables!$D$4:$D$8,-1),1)</f>
        <v>1</v>
      </c>
      <c r="P4183" s="73">
        <f>IF(M4183=$A$1,1,$M4183-INDEX(MappingTables!$E$4:$E$8,MATCH(O4183,MappingTables!$B$4:$B$8,0)))</f>
        <v>2.873224345638274</v>
      </c>
      <c r="Q4183" s="71">
        <f>IF(B4183="",0,INDEX(ModelParameters!$D$6:$K$10,MATCH($O4183,ModelParameters!$B$6:$B$10,0),MATCH($J4183,ModelParameters!$D$5:$K$5,0)))</f>
        <v>0.025</v>
      </c>
      <c r="R4183" s="71">
        <f>IF(B4183="",0,INDEX(ModelParameters!$D$13:$K$17,MATCH($O4183,ModelParameters!$B$13:$B$17,0),MATCH($J4183,ModelParameters!$D$5:$K$5,0)))</f>
        <v>0</v>
      </c>
      <c r="S4183" s="160">
        <f>IF(B4183="",0,MIN(IF($N4183="Other Bond TM",ModelParameters!$N$21,1)*(P4183*Q4183+R4183),1))</f>
        <v>0.071830608640956848</v>
      </c>
      <c r="T4183" s="85">
        <f>IF(B4183="",0,$S4183*$K4183)</f>
        <v>0.15020211212209534</v>
      </c>
      <c r="U4183" s="85">
        <f>IF(B4183="",0,IF(OR(H4183=MappingTables!$C$34,H4183=MappingTables!$C$35),T4183,0))</f>
        <v>0</v>
      </c>
      <c r="V4183" s="85">
        <f>IF(ISNA(IF(AND(VLOOKUP(CONCATENATE($D4183,$G4183),CSRFinput!$B:$E,4,0)=0,OR(H4183=MappingTables!$C$34,H4183=MappingTables!$C$35)),1,VLOOKUP(CONCATENATE($D4183,$G4183),CSRFinput!$B:$E,4,0))),0,IF(AND(VLOOKUP(CONCATENATE($D4183,$G4183),CSRFinput!$B:$E,4,0)=0,OR(H4183=MappingTables!$C$34,H4183=MappingTables!$C$35)),1,VLOOKUP(CONCATENATE($D4183,$G4183),CSRFinput!$B:$E,4,0)))</f>
        <v>0.054776304963434752</v>
      </c>
      <c r="W4183" s="85">
        <f>IF(B4183="",0,+$T4183*$V4183)</f>
        <v>0.0082275166997519136</v>
      </c>
      <c r="X4183" s="85">
        <f>IF(B4183="",0,IF(OR(H4183=MappingTables!$C$34,H4183=MappingTables!$C$35),W4183,0))</f>
        <v>0</v>
      </c>
    </row>
    <row r="4184" spans="2:24" s="0" customFormat="0" ht="15">
      <c r="B4184" s="69" t="s">
        <v>2965</v>
      </c>
      <c r="C4184" s="70" t="s">
        <v>2966</v>
      </c>
      <c r="D4184" s="70" t="s">
        <v>1</v>
      </c>
      <c r="E4184" s="70" t="s">
        <v>1</v>
      </c>
      <c r="F4184" s="70"/>
      <c r="G4184" s="70" t="s">
        <v>61</v>
      </c>
      <c r="H4184" s="70" t="s">
        <v>178</v>
      </c>
      <c r="I4184" s="70" t="s">
        <v>181</v>
      </c>
      <c r="J4184" s="71">
        <f>IF(OR(I4184=0,I4184=""),"unrated",VLOOKUP(I4184,MappingTables!$B$19:$C$31,2,FALSE))</f>
        <v>3</v>
      </c>
      <c r="K4184" s="72">
        <v>1.8216897500013128</v>
      </c>
      <c r="L4184" s="70">
        <v>0.032873561213392148</v>
      </c>
      <c r="M4184" s="71">
        <f>IF(L4184&lt;1,1,L4184)</f>
        <v>1</v>
      </c>
      <c r="N4184" s="70" t="s">
        <v>141</v>
      </c>
      <c r="O4184" s="71">
        <f>INDEX(DurClassMapping,MATCH(M4184,MappingTables!$D$4:$D$8,-1),1)</f>
        <v>1</v>
      </c>
      <c r="P4184" s="73">
        <f>IF(M4184=$A$1,1,$M4184-INDEX(MappingTables!$E$4:$E$8,MATCH(O4184,MappingTables!$B$4:$B$8,0)))</f>
        <v>1</v>
      </c>
      <c r="Q4184" s="71">
        <f>IF(B4184="",0,INDEX(ModelParameters!$D$6:$K$10,MATCH($O4184,ModelParameters!$B$6:$B$10,0),MATCH($J4184,ModelParameters!$D$5:$K$5,0)))</f>
        <v>0.025</v>
      </c>
      <c r="R4184" s="71">
        <f>IF(B4184="",0,INDEX(ModelParameters!$D$13:$K$17,MATCH($O4184,ModelParameters!$B$13:$B$17,0),MATCH($J4184,ModelParameters!$D$5:$K$5,0)))</f>
        <v>0</v>
      </c>
      <c r="S4184" s="160">
        <f>IF(B4184="",0,MIN(IF($N4184="Other Bond TM",ModelParameters!$N$21,1)*(P4184*Q4184+R4184),1))</f>
        <v>0.025</v>
      </c>
      <c r="T4184" s="85">
        <f>IF(B4184="",0,$S4184*$K4184)</f>
        <v>0.045542243750032824</v>
      </c>
      <c r="U4184" s="85">
        <f>IF(B4184="",0,IF(OR(H4184=MappingTables!$C$34,H4184=MappingTables!$C$35),T4184,0))</f>
        <v>0</v>
      </c>
      <c r="V4184" s="85">
        <f>IF(ISNA(IF(AND(VLOOKUP(CONCATENATE($D4184,$G4184),CSRFinput!$B:$E,4,0)=0,OR(H4184=MappingTables!$C$34,H4184=MappingTables!$C$35)),1,VLOOKUP(CONCATENATE($D4184,$G4184),CSRFinput!$B:$E,4,0))),0,IF(AND(VLOOKUP(CONCATENATE($D4184,$G4184),CSRFinput!$B:$E,4,0)=0,OR(H4184=MappingTables!$C$34,H4184=MappingTables!$C$35)),1,VLOOKUP(CONCATENATE($D4184,$G4184),CSRFinput!$B:$E,4,0)))</f>
        <v>0.054776304963434752</v>
      </c>
      <c r="W4184" s="85">
        <f>IF(B4184="",0,+$T4184*$V4184)</f>
        <v>0.0024946358323708784</v>
      </c>
      <c r="X4184" s="85">
        <f>IF(B4184="",0,IF(OR(H4184=MappingTables!$C$34,H4184=MappingTables!$C$35),W4184,0))</f>
        <v>0</v>
      </c>
    </row>
    <row r="4185" spans="2:24" s="0" customFormat="0" ht="15">
      <c r="B4185" s="69" t="s">
        <v>1584</v>
      </c>
      <c r="C4185" s="70" t="s">
        <v>1585</v>
      </c>
      <c r="D4185" s="70" t="s">
        <v>1</v>
      </c>
      <c r="E4185" s="70" t="s">
        <v>1</v>
      </c>
      <c r="F4185" s="70"/>
      <c r="G4185" s="70" t="s">
        <v>61</v>
      </c>
      <c r="H4185" s="70" t="s">
        <v>178</v>
      </c>
      <c r="I4185" s="70" t="s">
        <v>198</v>
      </c>
      <c r="J4185" s="71" t="str">
        <f>IF(OR(I4185=0,I4185=""),"unrated",VLOOKUP(I4185,MappingTables!$B$19:$C$31,2,FALSE))</f>
        <v>unrated</v>
      </c>
      <c r="K4185" s="72">
        <v>84.62143162487208</v>
      </c>
      <c r="L4185" s="70">
        <v>5.3635099700044808</v>
      </c>
      <c r="M4185" s="71">
        <f>IF(L4185&lt;1,1,L4185)</f>
        <v>5.3635099700044808</v>
      </c>
      <c r="N4185" s="70" t="s">
        <v>141</v>
      </c>
      <c r="O4185" s="71">
        <f>INDEX(DurClassMapping,MATCH(M4185,MappingTables!$D$4:$D$8,-1),1)</f>
        <v>2</v>
      </c>
      <c r="P4185" s="73">
        <f>IF(M4185=$A$1,1,$M4185-INDEX(MappingTables!$E$4:$E$8,MATCH(O4185,MappingTables!$B$4:$B$8,0)))</f>
        <v>0.3635099700044808</v>
      </c>
      <c r="Q4185" s="71">
        <f>IF(B4185="",0,INDEX(ModelParameters!$D$6:$K$10,MATCH($O4185,ModelParameters!$B$6:$B$10,0),MATCH($J4185,ModelParameters!$D$5:$K$5,0)))</f>
        <v>0.017000000000000002</v>
      </c>
      <c r="R4185" s="71">
        <f>IF(B4185="",0,INDEX(ModelParameters!$D$13:$K$17,MATCH($O4185,ModelParameters!$B$13:$B$17,0),MATCH($J4185,ModelParameters!$D$5:$K$5,0)))</f>
        <v>0.15</v>
      </c>
      <c r="S4185" s="160">
        <f>IF(B4185="",0,MIN(IF($N4185="Other Bond TM",ModelParameters!$N$21,1)*(P4185*Q4185+R4185),1))</f>
        <v>0.15617966949007616</v>
      </c>
      <c r="T4185" s="85">
        <f>IF(B4185="",0,$S4185*$K4185)</f>
        <v>13.216147222949602</v>
      </c>
      <c r="U4185" s="85">
        <f>IF(B4185="",0,IF(OR(H4185=MappingTables!$C$34,H4185=MappingTables!$C$35),T4185,0))</f>
        <v>0</v>
      </c>
      <c r="V4185" s="85">
        <f>IF(ISNA(IF(AND(VLOOKUP(CONCATENATE($D4185,$G4185),CSRFinput!$B:$E,4,0)=0,OR(H4185=MappingTables!$C$34,H4185=MappingTables!$C$35)),1,VLOOKUP(CONCATENATE($D4185,$G4185),CSRFinput!$B:$E,4,0))),0,IF(AND(VLOOKUP(CONCATENATE($D4185,$G4185),CSRFinput!$B:$E,4,0)=0,OR(H4185=MappingTables!$C$34,H4185=MappingTables!$C$35)),1,VLOOKUP(CONCATENATE($D4185,$G4185),CSRFinput!$B:$E,4,0)))</f>
        <v>0.054776304963434752</v>
      </c>
      <c r="W4185" s="85">
        <f>IF(B4185="",0,+$T4185*$V4185)</f>
        <v>0.72393171072593872</v>
      </c>
      <c r="X4185" s="85">
        <f>IF(B4185="",0,IF(OR(H4185=MappingTables!$C$34,H4185=MappingTables!$C$35),W4185,0))</f>
        <v>0</v>
      </c>
    </row>
    <row r="4186" spans="2:24" s="0" customFormat="0" ht="15">
      <c r="B4186" s="69" t="s">
        <v>2116</v>
      </c>
      <c r="C4186" s="70" t="s">
        <v>2117</v>
      </c>
      <c r="D4186" s="70" t="s">
        <v>1</v>
      </c>
      <c r="E4186" s="70" t="s">
        <v>1</v>
      </c>
      <c r="F4186" s="70"/>
      <c r="G4186" s="70" t="s">
        <v>61</v>
      </c>
      <c r="H4186" s="70" t="s">
        <v>178</v>
      </c>
      <c r="I4186" s="70" t="s">
        <v>179</v>
      </c>
      <c r="J4186" s="71">
        <f>IF(OR(I4186=0,I4186=""),"unrated",VLOOKUP(I4186,MappingTables!$B$19:$C$31,2,FALSE))</f>
        <v>4</v>
      </c>
      <c r="K4186" s="72">
        <v>46139.034937472552</v>
      </c>
      <c r="L4186" s="70">
        <v>0.11232798798448692</v>
      </c>
      <c r="M4186" s="71">
        <f>IF(L4186&lt;1,1,L4186)</f>
        <v>1</v>
      </c>
      <c r="N4186" s="70" t="s">
        <v>141</v>
      </c>
      <c r="O4186" s="71">
        <f>INDEX(DurClassMapping,MATCH(M4186,MappingTables!$D$4:$D$8,-1),1)</f>
        <v>1</v>
      </c>
      <c r="P4186" s="73">
        <f>IF(M4186=$A$1,1,$M4186-INDEX(MappingTables!$E$4:$E$8,MATCH(O4186,MappingTables!$B$4:$B$8,0)))</f>
        <v>1</v>
      </c>
      <c r="Q4186" s="71">
        <f>IF(B4186="",0,INDEX(ModelParameters!$D$6:$K$10,MATCH($O4186,ModelParameters!$B$6:$B$10,0),MATCH($J4186,ModelParameters!$D$5:$K$5,0)))</f>
        <v>0.045</v>
      </c>
      <c r="R4186" s="71">
        <f>IF(B4186="",0,INDEX(ModelParameters!$D$13:$K$17,MATCH($O4186,ModelParameters!$B$13:$B$17,0),MATCH($J4186,ModelParameters!$D$5:$K$5,0)))</f>
        <v>0</v>
      </c>
      <c r="S4186" s="160">
        <f>IF(B4186="",0,MIN(IF($N4186="Other Bond TM",ModelParameters!$N$21,1)*(P4186*Q4186+R4186),1))</f>
        <v>0.045</v>
      </c>
      <c r="T4186" s="85">
        <f>IF(B4186="",0,$S4186*$K4186)</f>
        <v>2076.2565721862648</v>
      </c>
      <c r="U4186" s="85">
        <f>IF(B4186="",0,IF(OR(H4186=MappingTables!$C$34,H4186=MappingTables!$C$35),T4186,0))</f>
        <v>0</v>
      </c>
      <c r="V4186" s="85">
        <f>IF(ISNA(IF(AND(VLOOKUP(CONCATENATE($D4186,$G4186),CSRFinput!$B:$E,4,0)=0,OR(H4186=MappingTables!$C$34,H4186=MappingTables!$C$35)),1,VLOOKUP(CONCATENATE($D4186,$G4186),CSRFinput!$B:$E,4,0))),0,IF(AND(VLOOKUP(CONCATENATE($D4186,$G4186),CSRFinput!$B:$E,4,0)=0,OR(H4186=MappingTables!$C$34,H4186=MappingTables!$C$35)),1,VLOOKUP(CONCATENATE($D4186,$G4186),CSRFinput!$B:$E,4,0)))</f>
        <v>0.054776304963434752</v>
      </c>
      <c r="W4186" s="85">
        <f>IF(B4186="",0,+$T4186*$V4186)</f>
        <v>113.72966318041052</v>
      </c>
      <c r="X4186" s="85">
        <f>IF(B4186="",0,IF(OR(H4186=MappingTables!$C$34,H4186=MappingTables!$C$35),W4186,0))</f>
        <v>0</v>
      </c>
    </row>
    <row r="4187" spans="2:24" s="0" customFormat="0" ht="15">
      <c r="B4187" s="69">
        <v>17087721</v>
      </c>
      <c r="C4187" s="70" t="s">
        <v>412</v>
      </c>
      <c r="D4187" s="70" t="s">
        <v>1</v>
      </c>
      <c r="E4187" s="70" t="s">
        <v>1</v>
      </c>
      <c r="F4187" s="70"/>
      <c r="G4187" s="70" t="s">
        <v>61</v>
      </c>
      <c r="H4187" s="70" t="s">
        <v>178</v>
      </c>
      <c r="I4187" s="70" t="s">
        <v>181</v>
      </c>
      <c r="J4187" s="71">
        <f>IF(OR(I4187=0,I4187=""),"unrated",VLOOKUP(I4187,MappingTables!$B$19:$C$31,2,FALSE))</f>
        <v>3</v>
      </c>
      <c r="K4187" s="72">
        <v>208.99454942375756</v>
      </c>
      <c r="L4187" s="70">
        <v>3.0807348861903992</v>
      </c>
      <c r="M4187" s="71">
        <f>IF(L4187&lt;1,1,L4187)</f>
        <v>3.0807348861903992</v>
      </c>
      <c r="N4187" s="70" t="s">
        <v>141</v>
      </c>
      <c r="O4187" s="71">
        <f>INDEX(DurClassMapping,MATCH(M4187,MappingTables!$D$4:$D$8,-1),1)</f>
        <v>1</v>
      </c>
      <c r="P4187" s="73">
        <f>IF(M4187=$A$1,1,$M4187-INDEX(MappingTables!$E$4:$E$8,MATCH(O4187,MappingTables!$B$4:$B$8,0)))</f>
        <v>3.0807348861903992</v>
      </c>
      <c r="Q4187" s="71">
        <f>IF(B4187="",0,INDEX(ModelParameters!$D$6:$K$10,MATCH($O4187,ModelParameters!$B$6:$B$10,0),MATCH($J4187,ModelParameters!$D$5:$K$5,0)))</f>
        <v>0.025</v>
      </c>
      <c r="R4187" s="71">
        <f>IF(B4187="",0,INDEX(ModelParameters!$D$13:$K$17,MATCH($O4187,ModelParameters!$B$13:$B$17,0),MATCH($J4187,ModelParameters!$D$5:$K$5,0)))</f>
        <v>0</v>
      </c>
      <c r="S4187" s="160">
        <f>IF(B4187="",0,MIN(IF($N4187="Other Bond TM",ModelParameters!$N$21,1)*(P4187*Q4187+R4187),1))</f>
        <v>0.077018372154759984</v>
      </c>
      <c r="T4187" s="85">
        <f>IF(B4187="",0,$S4187*$K4187)</f>
        <v>16.09641998583534</v>
      </c>
      <c r="U4187" s="85">
        <f>IF(B4187="",0,IF(OR(H4187=MappingTables!$C$34,H4187=MappingTables!$C$35),T4187,0))</f>
        <v>0</v>
      </c>
      <c r="V4187" s="85">
        <f>IF(ISNA(IF(AND(VLOOKUP(CONCATENATE($D4187,$G4187),CSRFinput!$B:$E,4,0)=0,OR(H4187=MappingTables!$C$34,H4187=MappingTables!$C$35)),1,VLOOKUP(CONCATENATE($D4187,$G4187),CSRFinput!$B:$E,4,0))),0,IF(AND(VLOOKUP(CONCATENATE($D4187,$G4187),CSRFinput!$B:$E,4,0)=0,OR(H4187=MappingTables!$C$34,H4187=MappingTables!$C$35)),1,VLOOKUP(CONCATENATE($D4187,$G4187),CSRFinput!$B:$E,4,0)))</f>
        <v>0.054776304963434752</v>
      </c>
      <c r="W4187" s="85">
        <f>IF(B4187="",0,+$T4187*$V4187)</f>
        <v>0.88170240996364272</v>
      </c>
      <c r="X4187" s="85">
        <f>IF(B4187="",0,IF(OR(H4187=MappingTables!$C$34,H4187=MappingTables!$C$35),W4187,0))</f>
        <v>0</v>
      </c>
    </row>
    <row r="4188" spans="2:24" s="0" customFormat="0" ht="15">
      <c r="B4188" s="69">
        <v>18686747</v>
      </c>
      <c r="C4188" s="70" t="s">
        <v>1051</v>
      </c>
      <c r="D4188" s="70" t="s">
        <v>1</v>
      </c>
      <c r="E4188" s="70" t="s">
        <v>1</v>
      </c>
      <c r="F4188" s="70"/>
      <c r="G4188" s="70" t="s">
        <v>61</v>
      </c>
      <c r="H4188" s="70" t="s">
        <v>178</v>
      </c>
      <c r="I4188" s="70" t="s">
        <v>179</v>
      </c>
      <c r="J4188" s="71">
        <f>IF(OR(I4188=0,I4188=""),"unrated",VLOOKUP(I4188,MappingTables!$B$19:$C$31,2,FALSE))</f>
        <v>4</v>
      </c>
      <c r="K4188" s="72">
        <v>4827.1991848693344</v>
      </c>
      <c r="L4188" s="70">
        <v>4.338383724082972</v>
      </c>
      <c r="M4188" s="71">
        <f>IF(L4188&lt;1,1,L4188)</f>
        <v>4.338383724082972</v>
      </c>
      <c r="N4188" s="70" t="s">
        <v>141</v>
      </c>
      <c r="O4188" s="71">
        <f>INDEX(DurClassMapping,MATCH(M4188,MappingTables!$D$4:$D$8,-1),1)</f>
        <v>1</v>
      </c>
      <c r="P4188" s="73">
        <f>IF(M4188=$A$1,1,$M4188-INDEX(MappingTables!$E$4:$E$8,MATCH(O4188,MappingTables!$B$4:$B$8,0)))</f>
        <v>4.338383724082972</v>
      </c>
      <c r="Q4188" s="71">
        <f>IF(B4188="",0,INDEX(ModelParameters!$D$6:$K$10,MATCH($O4188,ModelParameters!$B$6:$B$10,0),MATCH($J4188,ModelParameters!$D$5:$K$5,0)))</f>
        <v>0.045</v>
      </c>
      <c r="R4188" s="71">
        <f>IF(B4188="",0,INDEX(ModelParameters!$D$13:$K$17,MATCH($O4188,ModelParameters!$B$13:$B$17,0),MATCH($J4188,ModelParameters!$D$5:$K$5,0)))</f>
        <v>0</v>
      </c>
      <c r="S4188" s="160">
        <f>IF(B4188="",0,MIN(IF($N4188="Other Bond TM",ModelParameters!$N$21,1)*(P4188*Q4188+R4188),1))</f>
        <v>0.19522726758373372</v>
      </c>
      <c r="T4188" s="85">
        <f>IF(B4188="",0,$S4188*$K4188)</f>
        <v>942.40090694446672</v>
      </c>
      <c r="U4188" s="85">
        <f>IF(B4188="",0,IF(OR(H4188=MappingTables!$C$34,H4188=MappingTables!$C$35),T4188,0))</f>
        <v>0</v>
      </c>
      <c r="V4188" s="85">
        <f>IF(ISNA(IF(AND(VLOOKUP(CONCATENATE($D4188,$G4188),CSRFinput!$B:$E,4,0)=0,OR(H4188=MappingTables!$C$34,H4188=MappingTables!$C$35)),1,VLOOKUP(CONCATENATE($D4188,$G4188),CSRFinput!$B:$E,4,0))),0,IF(AND(VLOOKUP(CONCATENATE($D4188,$G4188),CSRFinput!$B:$E,4,0)=0,OR(H4188=MappingTables!$C$34,H4188=MappingTables!$C$35)),1,VLOOKUP(CONCATENATE($D4188,$G4188),CSRFinput!$B:$E,4,0)))</f>
        <v>0.054776304963434752</v>
      </c>
      <c r="W4188" s="85">
        <f>IF(B4188="",0,+$T4188*$V4188)</f>
        <v>51.621239476607608</v>
      </c>
      <c r="X4188" s="85">
        <f>IF(B4188="",0,IF(OR(H4188=MappingTables!$C$34,H4188=MappingTables!$C$35),W4188,0))</f>
        <v>0</v>
      </c>
    </row>
    <row r="4189" spans="2:24" s="0" customFormat="0" ht="15">
      <c r="B4189" s="69">
        <v>13173833</v>
      </c>
      <c r="C4189" s="70" t="s">
        <v>711</v>
      </c>
      <c r="D4189" s="70" t="s">
        <v>1</v>
      </c>
      <c r="E4189" s="70" t="s">
        <v>1</v>
      </c>
      <c r="F4189" s="70"/>
      <c r="G4189" s="70" t="s">
        <v>61</v>
      </c>
      <c r="H4189" s="70" t="s">
        <v>178</v>
      </c>
      <c r="I4189" s="70" t="s">
        <v>188</v>
      </c>
      <c r="J4189" s="71">
        <f>IF(OR(I4189=0,I4189=""),"unrated",VLOOKUP(I4189,MappingTables!$B$19:$C$31,2,FALSE))</f>
        <v>2</v>
      </c>
      <c r="K4189" s="72">
        <v>626.33940907340584</v>
      </c>
      <c r="L4189" s="70">
        <v>0.9525733722846456</v>
      </c>
      <c r="M4189" s="71">
        <f>IF(L4189&lt;1,1,L4189)</f>
        <v>1</v>
      </c>
      <c r="N4189" s="70" t="s">
        <v>141</v>
      </c>
      <c r="O4189" s="71">
        <f>INDEX(DurClassMapping,MATCH(M4189,MappingTables!$D$4:$D$8,-1),1)</f>
        <v>1</v>
      </c>
      <c r="P4189" s="73">
        <f>IF(M4189=$A$1,1,$M4189-INDEX(MappingTables!$E$4:$E$8,MATCH(O4189,MappingTables!$B$4:$B$8,0)))</f>
        <v>1</v>
      </c>
      <c r="Q4189" s="71">
        <f>IF(B4189="",0,INDEX(ModelParameters!$D$6:$K$10,MATCH($O4189,ModelParameters!$B$6:$B$10,0),MATCH($J4189,ModelParameters!$D$5:$K$5,0)))</f>
        <v>0.013999999999999998</v>
      </c>
      <c r="R4189" s="71">
        <f>IF(B4189="",0,INDEX(ModelParameters!$D$13:$K$17,MATCH($O4189,ModelParameters!$B$13:$B$17,0),MATCH($J4189,ModelParameters!$D$5:$K$5,0)))</f>
        <v>0</v>
      </c>
      <c r="S4189" s="160">
        <f>IF(B4189="",0,MIN(IF($N4189="Other Bond TM",ModelParameters!$N$21,1)*(P4189*Q4189+R4189),1))</f>
        <v>0.013999999999999998</v>
      </c>
      <c r="T4189" s="85">
        <f>IF(B4189="",0,$S4189*$K4189)</f>
        <v>8.76875172702768</v>
      </c>
      <c r="U4189" s="85">
        <f>IF(B4189="",0,IF(OR(H4189=MappingTables!$C$34,H4189=MappingTables!$C$35),T4189,0))</f>
        <v>0</v>
      </c>
      <c r="V4189" s="85">
        <f>IF(ISNA(IF(AND(VLOOKUP(CONCATENATE($D4189,$G4189),CSRFinput!$B:$E,4,0)=0,OR(H4189=MappingTables!$C$34,H4189=MappingTables!$C$35)),1,VLOOKUP(CONCATENATE($D4189,$G4189),CSRFinput!$B:$E,4,0))),0,IF(AND(VLOOKUP(CONCATENATE($D4189,$G4189),CSRFinput!$B:$E,4,0)=0,OR(H4189=MappingTables!$C$34,H4189=MappingTables!$C$35)),1,VLOOKUP(CONCATENATE($D4189,$G4189),CSRFinput!$B:$E,4,0)))</f>
        <v>0.054776304963434752</v>
      </c>
      <c r="W4189" s="85">
        <f>IF(B4189="",0,+$T4189*$V4189)</f>
        <v>0.48031981874831344</v>
      </c>
      <c r="X4189" s="85">
        <f>IF(B4189="",0,IF(OR(H4189=MappingTables!$C$34,H4189=MappingTables!$C$35),W4189,0))</f>
        <v>0</v>
      </c>
    </row>
    <row r="4190" spans="2:24" s="0" customFormat="0" ht="15">
      <c r="B4190" s="69" t="s">
        <v>3008</v>
      </c>
      <c r="C4190" s="70" t="s">
        <v>3009</v>
      </c>
      <c r="D4190" s="70" t="s">
        <v>1</v>
      </c>
      <c r="E4190" s="70" t="s">
        <v>1</v>
      </c>
      <c r="F4190" s="70"/>
      <c r="G4190" s="70" t="s">
        <v>61</v>
      </c>
      <c r="H4190" s="70" t="s">
        <v>178</v>
      </c>
      <c r="I4190" s="70" t="s">
        <v>179</v>
      </c>
      <c r="J4190" s="71">
        <f>IF(OR(I4190=0,I4190=""),"unrated",VLOOKUP(I4190,MappingTables!$B$19:$C$31,2,FALSE))</f>
        <v>4</v>
      </c>
      <c r="K4190" s="72">
        <v>339.61224077250064</v>
      </c>
      <c r="L4190" s="70">
        <v>4.0276036092800664</v>
      </c>
      <c r="M4190" s="71">
        <f>IF(L4190&lt;1,1,L4190)</f>
        <v>4.0276036092800664</v>
      </c>
      <c r="N4190" s="70" t="s">
        <v>141</v>
      </c>
      <c r="O4190" s="71">
        <f>INDEX(DurClassMapping,MATCH(M4190,MappingTables!$D$4:$D$8,-1),1)</f>
        <v>1</v>
      </c>
      <c r="P4190" s="73">
        <f>IF(M4190=$A$1,1,$M4190-INDEX(MappingTables!$E$4:$E$8,MATCH(O4190,MappingTables!$B$4:$B$8,0)))</f>
        <v>4.0276036092800664</v>
      </c>
      <c r="Q4190" s="71">
        <f>IF(B4190="",0,INDEX(ModelParameters!$D$6:$K$10,MATCH($O4190,ModelParameters!$B$6:$B$10,0),MATCH($J4190,ModelParameters!$D$5:$K$5,0)))</f>
        <v>0.045</v>
      </c>
      <c r="R4190" s="71">
        <f>IF(B4190="",0,INDEX(ModelParameters!$D$13:$K$17,MATCH($O4190,ModelParameters!$B$13:$B$17,0),MATCH($J4190,ModelParameters!$D$5:$K$5,0)))</f>
        <v>0</v>
      </c>
      <c r="S4190" s="160">
        <f>IF(B4190="",0,MIN(IF($N4190="Other Bond TM",ModelParameters!$N$21,1)*(P4190*Q4190+R4190),1))</f>
        <v>0.181242162417603</v>
      </c>
      <c r="T4190" s="85">
        <f>IF(B4190="",0,$S4190*$K4190)</f>
        <v>61.552056901095656</v>
      </c>
      <c r="U4190" s="85">
        <f>IF(B4190="",0,IF(OR(H4190=MappingTables!$C$34,H4190=MappingTables!$C$35),T4190,0))</f>
        <v>0</v>
      </c>
      <c r="V4190" s="85">
        <f>IF(ISNA(IF(AND(VLOOKUP(CONCATENATE($D4190,$G4190),CSRFinput!$B:$E,4,0)=0,OR(H4190=MappingTables!$C$34,H4190=MappingTables!$C$35)),1,VLOOKUP(CONCATENATE($D4190,$G4190),CSRFinput!$B:$E,4,0))),0,IF(AND(VLOOKUP(CONCATENATE($D4190,$G4190),CSRFinput!$B:$E,4,0)=0,OR(H4190=MappingTables!$C$34,H4190=MappingTables!$C$35)),1,VLOOKUP(CONCATENATE($D4190,$G4190),CSRFinput!$B:$E,4,0)))</f>
        <v>0.054776304963434752</v>
      </c>
      <c r="W4190" s="85">
        <f>IF(B4190="",0,+$T4190*$V4190)</f>
        <v>3.3715942399411044</v>
      </c>
      <c r="X4190" s="85">
        <f>IF(B4190="",0,IF(OR(H4190=MappingTables!$C$34,H4190=MappingTables!$C$35),W4190,0))</f>
        <v>0</v>
      </c>
    </row>
    <row r="4191" spans="2:24" s="0" customFormat="0" ht="15">
      <c r="B4191" s="69" t="s">
        <v>546</v>
      </c>
      <c r="C4191" s="70" t="s">
        <v>547</v>
      </c>
      <c r="D4191" s="70" t="s">
        <v>1</v>
      </c>
      <c r="E4191" s="70" t="s">
        <v>1</v>
      </c>
      <c r="F4191" s="70"/>
      <c r="G4191" s="70" t="s">
        <v>61</v>
      </c>
      <c r="H4191" s="70" t="s">
        <v>178</v>
      </c>
      <c r="I4191" s="70" t="s">
        <v>181</v>
      </c>
      <c r="J4191" s="71">
        <f>IF(OR(I4191=0,I4191=""),"unrated",VLOOKUP(I4191,MappingTables!$B$19:$C$31,2,FALSE))</f>
        <v>3</v>
      </c>
      <c r="K4191" s="72">
        <v>68.828620483604696</v>
      </c>
      <c r="L4191" s="70">
        <v>5.3642241675268488</v>
      </c>
      <c r="M4191" s="71">
        <f>IF(L4191&lt;1,1,L4191)</f>
        <v>5.3642241675268488</v>
      </c>
      <c r="N4191" s="70" t="s">
        <v>141</v>
      </c>
      <c r="O4191" s="71">
        <f>INDEX(DurClassMapping,MATCH(M4191,MappingTables!$D$4:$D$8,-1),1)</f>
        <v>2</v>
      </c>
      <c r="P4191" s="73">
        <f>IF(M4191=$A$1,1,$M4191-INDEX(MappingTables!$E$4:$E$8,MATCH(O4191,MappingTables!$B$4:$B$8,0)))</f>
        <v>0.36422416752684848</v>
      </c>
      <c r="Q4191" s="71">
        <f>IF(B4191="",0,INDEX(ModelParameters!$D$6:$K$10,MATCH($O4191,ModelParameters!$B$6:$B$10,0),MATCH($J4191,ModelParameters!$D$5:$K$5,0)))</f>
        <v>0.015</v>
      </c>
      <c r="R4191" s="71">
        <f>IF(B4191="",0,INDEX(ModelParameters!$D$13:$K$17,MATCH($O4191,ModelParameters!$B$13:$B$17,0),MATCH($J4191,ModelParameters!$D$5:$K$5,0)))</f>
        <v>0.125</v>
      </c>
      <c r="S4191" s="160">
        <f>IF(B4191="",0,MIN(IF($N4191="Other Bond TM",ModelParameters!$N$21,1)*(P4191*Q4191+R4191),1))</f>
        <v>0.13046336251290272</v>
      </c>
      <c r="T4191" s="85">
        <f>IF(B4191="",0,$S4191*$K4191)</f>
        <v>8.9796132654155216</v>
      </c>
      <c r="U4191" s="85">
        <f>IF(B4191="",0,IF(OR(H4191=MappingTables!$C$34,H4191=MappingTables!$C$35),T4191,0))</f>
        <v>0</v>
      </c>
      <c r="V4191" s="85">
        <f>IF(ISNA(IF(AND(VLOOKUP(CONCATENATE($D4191,$G4191),CSRFinput!$B:$E,4,0)=0,OR(H4191=MappingTables!$C$34,H4191=MappingTables!$C$35)),1,VLOOKUP(CONCATENATE($D4191,$G4191),CSRFinput!$B:$E,4,0))),0,IF(AND(VLOOKUP(CONCATENATE($D4191,$G4191),CSRFinput!$B:$E,4,0)=0,OR(H4191=MappingTables!$C$34,H4191=MappingTables!$C$35)),1,VLOOKUP(CONCATENATE($D4191,$G4191),CSRFinput!$B:$E,4,0)))</f>
        <v>0.054776304963434752</v>
      </c>
      <c r="W4191" s="85">
        <f>IF(B4191="",0,+$T4191*$V4191)</f>
        <v>0.4918700346801048</v>
      </c>
      <c r="X4191" s="85">
        <f>IF(B4191="",0,IF(OR(H4191=MappingTables!$C$34,H4191=MappingTables!$C$35),W4191,0))</f>
        <v>0</v>
      </c>
    </row>
    <row r="4192" spans="2:24" s="0" customFormat="0" ht="15">
      <c r="B4192" s="69">
        <v>19142221</v>
      </c>
      <c r="C4192" s="70" t="s">
        <v>2079</v>
      </c>
      <c r="D4192" s="70" t="s">
        <v>1</v>
      </c>
      <c r="E4192" s="70" t="s">
        <v>1</v>
      </c>
      <c r="F4192" s="70"/>
      <c r="G4192" s="70" t="s">
        <v>61</v>
      </c>
      <c r="H4192" s="70" t="s">
        <v>178</v>
      </c>
      <c r="I4192" s="70" t="s">
        <v>179</v>
      </c>
      <c r="J4192" s="71">
        <f>IF(OR(I4192=0,I4192=""),"unrated",VLOOKUP(I4192,MappingTables!$B$19:$C$31,2,FALSE))</f>
        <v>4</v>
      </c>
      <c r="K4192" s="72">
        <v>172.66266103415524</v>
      </c>
      <c r="L4192" s="70">
        <v>1.567302453338506</v>
      </c>
      <c r="M4192" s="71">
        <f>IF(L4192&lt;1,1,L4192)</f>
        <v>1.567302453338506</v>
      </c>
      <c r="N4192" s="70" t="s">
        <v>141</v>
      </c>
      <c r="O4192" s="71">
        <f>INDEX(DurClassMapping,MATCH(M4192,MappingTables!$D$4:$D$8,-1),1)</f>
        <v>1</v>
      </c>
      <c r="P4192" s="73">
        <f>IF(M4192=$A$1,1,$M4192-INDEX(MappingTables!$E$4:$E$8,MATCH(O4192,MappingTables!$B$4:$B$8,0)))</f>
        <v>1.567302453338506</v>
      </c>
      <c r="Q4192" s="71">
        <f>IF(B4192="",0,INDEX(ModelParameters!$D$6:$K$10,MATCH($O4192,ModelParameters!$B$6:$B$10,0),MATCH($J4192,ModelParameters!$D$5:$K$5,0)))</f>
        <v>0.045</v>
      </c>
      <c r="R4192" s="71">
        <f>IF(B4192="",0,INDEX(ModelParameters!$D$13:$K$17,MATCH($O4192,ModelParameters!$B$13:$B$17,0),MATCH($J4192,ModelParameters!$D$5:$K$5,0)))</f>
        <v>0</v>
      </c>
      <c r="S4192" s="160">
        <f>IF(B4192="",0,MIN(IF($N4192="Other Bond TM",ModelParameters!$N$21,1)*(P4192*Q4192+R4192),1))</f>
        <v>0.070528610400232768</v>
      </c>
      <c r="T4192" s="85">
        <f>IF(B4192="",0,$S4192*$K4192)</f>
        <v>12.177657550745388</v>
      </c>
      <c r="U4192" s="85">
        <f>IF(B4192="",0,IF(OR(H4192=MappingTables!$C$34,H4192=MappingTables!$C$35),T4192,0))</f>
        <v>0</v>
      </c>
      <c r="V4192" s="85">
        <f>IF(ISNA(IF(AND(VLOOKUP(CONCATENATE($D4192,$G4192),CSRFinput!$B:$E,4,0)=0,OR(H4192=MappingTables!$C$34,H4192=MappingTables!$C$35)),1,VLOOKUP(CONCATENATE($D4192,$G4192),CSRFinput!$B:$E,4,0))),0,IF(AND(VLOOKUP(CONCATENATE($D4192,$G4192),CSRFinput!$B:$E,4,0)=0,OR(H4192=MappingTables!$C$34,H4192=MappingTables!$C$35)),1,VLOOKUP(CONCATENATE($D4192,$G4192),CSRFinput!$B:$E,4,0)))</f>
        <v>0.054776304963434752</v>
      </c>
      <c r="W4192" s="85">
        <f>IF(B4192="",0,+$T4192*$V4192)</f>
        <v>0.66704708373990328</v>
      </c>
      <c r="X4192" s="85">
        <f>IF(B4192="",0,IF(OR(H4192=MappingTables!$C$34,H4192=MappingTables!$C$35),W4192,0))</f>
        <v>0</v>
      </c>
    </row>
    <row r="4193" spans="2:24" s="0" customFormat="0" ht="15">
      <c r="B4193" s="69">
        <v>2614752</v>
      </c>
      <c r="C4193" s="70" t="s">
        <v>2834</v>
      </c>
      <c r="D4193" s="70" t="s">
        <v>1</v>
      </c>
      <c r="E4193" s="70" t="s">
        <v>1</v>
      </c>
      <c r="F4193" s="70"/>
      <c r="G4193" s="70" t="s">
        <v>61</v>
      </c>
      <c r="H4193" s="70" t="s">
        <v>178</v>
      </c>
      <c r="I4193" s="70" t="s">
        <v>220</v>
      </c>
      <c r="J4193" s="71">
        <f>IF(OR(I4193=0,I4193=""),"unrated",VLOOKUP(I4193,MappingTables!$B$19:$C$31,2,FALSE))</f>
        <v>1</v>
      </c>
      <c r="K4193" s="72">
        <v>2924.4833529709592</v>
      </c>
      <c r="L4193" s="70">
        <v>11.896718757168394</v>
      </c>
      <c r="M4193" s="71">
        <f>IF(L4193&lt;1,1,L4193)</f>
        <v>11.896718757168394</v>
      </c>
      <c r="N4193" s="70" t="s">
        <v>141</v>
      </c>
      <c r="O4193" s="71">
        <f>INDEX(DurClassMapping,MATCH(M4193,MappingTables!$D$4:$D$8,-1),1)</f>
        <v>3</v>
      </c>
      <c r="P4193" s="73">
        <f>IF(M4193=$A$1,1,$M4193-INDEX(MappingTables!$E$4:$E$8,MATCH(O4193,MappingTables!$B$4:$B$8,0)))</f>
        <v>1.8967187571683936</v>
      </c>
      <c r="Q4193" s="71">
        <f>IF(B4193="",0,INDEX(ModelParameters!$D$6:$K$10,MATCH($O4193,ModelParameters!$B$6:$B$10,0),MATCH($J4193,ModelParameters!$D$5:$K$5,0)))</f>
        <v>0.005</v>
      </c>
      <c r="R4193" s="71">
        <f>IF(B4193="",0,INDEX(ModelParameters!$D$13:$K$17,MATCH($O4193,ModelParameters!$B$13:$B$17,0),MATCH($J4193,ModelParameters!$D$5:$K$5,0)))</f>
        <v>0.085</v>
      </c>
      <c r="S4193" s="160">
        <f>IF(B4193="",0,MIN(IF($N4193="Other Bond TM",ModelParameters!$N$21,1)*(P4193*Q4193+R4193),1))</f>
        <v>0.094483593785841984</v>
      </c>
      <c r="T4193" s="85">
        <f>IF(B4193="",0,$S4193*$K4193)</f>
        <v>276.3156971555652</v>
      </c>
      <c r="U4193" s="85">
        <f>IF(B4193="",0,IF(OR(H4193=MappingTables!$C$34,H4193=MappingTables!$C$35),T4193,0))</f>
        <v>0</v>
      </c>
      <c r="V4193" s="85">
        <f>IF(ISNA(IF(AND(VLOOKUP(CONCATENATE($D4193,$G4193),CSRFinput!$B:$E,4,0)=0,OR(H4193=MappingTables!$C$34,H4193=MappingTables!$C$35)),1,VLOOKUP(CONCATENATE($D4193,$G4193),CSRFinput!$B:$E,4,0))),0,IF(AND(VLOOKUP(CONCATENATE($D4193,$G4193),CSRFinput!$B:$E,4,0)=0,OR(H4193=MappingTables!$C$34,H4193=MappingTables!$C$35)),1,VLOOKUP(CONCATENATE($D4193,$G4193),CSRFinput!$B:$E,4,0)))</f>
        <v>0.054776304963434752</v>
      </c>
      <c r="W4193" s="85">
        <f>IF(B4193="",0,+$T4193*$V4193)</f>
        <v>15.135552893577322</v>
      </c>
      <c r="X4193" s="85">
        <f>IF(B4193="",0,IF(OR(H4193=MappingTables!$C$34,H4193=MappingTables!$C$35),W4193,0))</f>
        <v>0</v>
      </c>
    </row>
    <row r="4194" spans="2:24" s="0" customFormat="0" ht="15">
      <c r="B4194" s="69">
        <v>22817241</v>
      </c>
      <c r="C4194" s="70" t="s">
        <v>2944</v>
      </c>
      <c r="D4194" s="70" t="s">
        <v>1</v>
      </c>
      <c r="E4194" s="70" t="s">
        <v>1</v>
      </c>
      <c r="F4194" s="70"/>
      <c r="G4194" s="70" t="s">
        <v>61</v>
      </c>
      <c r="H4194" s="70" t="s">
        <v>178</v>
      </c>
      <c r="I4194" s="70" t="s">
        <v>181</v>
      </c>
      <c r="J4194" s="71">
        <f>IF(OR(I4194=0,I4194=""),"unrated",VLOOKUP(I4194,MappingTables!$B$19:$C$31,2,FALSE))</f>
        <v>3</v>
      </c>
      <c r="K4194" s="72">
        <v>482.184654094494</v>
      </c>
      <c r="L4194" s="70">
        <v>2.2697040202823052</v>
      </c>
      <c r="M4194" s="71">
        <f>IF(L4194&lt;1,1,L4194)</f>
        <v>2.2697040202823052</v>
      </c>
      <c r="N4194" s="70" t="s">
        <v>141</v>
      </c>
      <c r="O4194" s="71">
        <f>INDEX(DurClassMapping,MATCH(M4194,MappingTables!$D$4:$D$8,-1),1)</f>
        <v>1</v>
      </c>
      <c r="P4194" s="73">
        <f>IF(M4194=$A$1,1,$M4194-INDEX(MappingTables!$E$4:$E$8,MATCH(O4194,MappingTables!$B$4:$B$8,0)))</f>
        <v>2.2697040202823052</v>
      </c>
      <c r="Q4194" s="71">
        <f>IF(B4194="",0,INDEX(ModelParameters!$D$6:$K$10,MATCH($O4194,ModelParameters!$B$6:$B$10,0),MATCH($J4194,ModelParameters!$D$5:$K$5,0)))</f>
        <v>0.025</v>
      </c>
      <c r="R4194" s="71">
        <f>IF(B4194="",0,INDEX(ModelParameters!$D$13:$K$17,MATCH($O4194,ModelParameters!$B$13:$B$17,0),MATCH($J4194,ModelParameters!$D$5:$K$5,0)))</f>
        <v>0</v>
      </c>
      <c r="S4194" s="160">
        <f>IF(B4194="",0,MIN(IF($N4194="Other Bond TM",ModelParameters!$N$21,1)*(P4194*Q4194+R4194),1))</f>
        <v>0.056742600507057632</v>
      </c>
      <c r="T4194" s="85">
        <f>IF(B4194="",0,$S4194*$K4194)</f>
        <v>27.360411197917644</v>
      </c>
      <c r="U4194" s="85">
        <f>IF(B4194="",0,IF(OR(H4194=MappingTables!$C$34,H4194=MappingTables!$C$35),T4194,0))</f>
        <v>0</v>
      </c>
      <c r="V4194" s="85">
        <f>IF(ISNA(IF(AND(VLOOKUP(CONCATENATE($D4194,$G4194),CSRFinput!$B:$E,4,0)=0,OR(H4194=MappingTables!$C$34,H4194=MappingTables!$C$35)),1,VLOOKUP(CONCATENATE($D4194,$G4194),CSRFinput!$B:$E,4,0))),0,IF(AND(VLOOKUP(CONCATENATE($D4194,$G4194),CSRFinput!$B:$E,4,0)=0,OR(H4194=MappingTables!$C$34,H4194=MappingTables!$C$35)),1,VLOOKUP(CONCATENATE($D4194,$G4194),CSRFinput!$B:$E,4,0)))</f>
        <v>0.054776304963434752</v>
      </c>
      <c r="W4194" s="85">
        <f>IF(B4194="",0,+$T4194*$V4194)</f>
        <v>1.498702227702112</v>
      </c>
      <c r="X4194" s="85">
        <f>IF(B4194="",0,IF(OR(H4194=MappingTables!$C$34,H4194=MappingTables!$C$35),W4194,0))</f>
        <v>0</v>
      </c>
    </row>
    <row r="4195" spans="2:24" s="0" customFormat="0" ht="15">
      <c r="B4195" s="69">
        <v>23431288</v>
      </c>
      <c r="C4195" s="70" t="s">
        <v>1266</v>
      </c>
      <c r="D4195" s="70" t="s">
        <v>1</v>
      </c>
      <c r="E4195" s="70" t="s">
        <v>1</v>
      </c>
      <c r="F4195" s="70"/>
      <c r="G4195" s="70" t="s">
        <v>61</v>
      </c>
      <c r="H4195" s="70" t="s">
        <v>178</v>
      </c>
      <c r="I4195" s="70" t="s">
        <v>181</v>
      </c>
      <c r="J4195" s="71">
        <f>IF(OR(I4195=0,I4195=""),"unrated",VLOOKUP(I4195,MappingTables!$B$19:$C$31,2,FALSE))</f>
        <v>3</v>
      </c>
      <c r="K4195" s="72">
        <v>475.18176878478768</v>
      </c>
      <c r="L4195" s="70">
        <v>4.1893369385281448</v>
      </c>
      <c r="M4195" s="71">
        <f>IF(L4195&lt;1,1,L4195)</f>
        <v>4.1893369385281448</v>
      </c>
      <c r="N4195" s="70" t="s">
        <v>141</v>
      </c>
      <c r="O4195" s="71">
        <f>INDEX(DurClassMapping,MATCH(M4195,MappingTables!$D$4:$D$8,-1),1)</f>
        <v>1</v>
      </c>
      <c r="P4195" s="73">
        <f>IF(M4195=$A$1,1,$M4195-INDEX(MappingTables!$E$4:$E$8,MATCH(O4195,MappingTables!$B$4:$B$8,0)))</f>
        <v>4.1893369385281448</v>
      </c>
      <c r="Q4195" s="71">
        <f>IF(B4195="",0,INDEX(ModelParameters!$D$6:$K$10,MATCH($O4195,ModelParameters!$B$6:$B$10,0),MATCH($J4195,ModelParameters!$D$5:$K$5,0)))</f>
        <v>0.025</v>
      </c>
      <c r="R4195" s="71">
        <f>IF(B4195="",0,INDEX(ModelParameters!$D$13:$K$17,MATCH($O4195,ModelParameters!$B$13:$B$17,0),MATCH($J4195,ModelParameters!$D$5:$K$5,0)))</f>
        <v>0</v>
      </c>
      <c r="S4195" s="160">
        <f>IF(B4195="",0,MIN(IF($N4195="Other Bond TM",ModelParameters!$N$21,1)*(P4195*Q4195+R4195),1))</f>
        <v>0.10473342346320364</v>
      </c>
      <c r="T4195" s="85">
        <f>IF(B4195="",0,$S4195*$K4195)</f>
        <v>49.76741341213128</v>
      </c>
      <c r="U4195" s="85">
        <f>IF(B4195="",0,IF(OR(H4195=MappingTables!$C$34,H4195=MappingTables!$C$35),T4195,0))</f>
        <v>0</v>
      </c>
      <c r="V4195" s="85">
        <f>IF(ISNA(IF(AND(VLOOKUP(CONCATENATE($D4195,$G4195),CSRFinput!$B:$E,4,0)=0,OR(H4195=MappingTables!$C$34,H4195=MappingTables!$C$35)),1,VLOOKUP(CONCATENATE($D4195,$G4195),CSRFinput!$B:$E,4,0))),0,IF(AND(VLOOKUP(CONCATENATE($D4195,$G4195),CSRFinput!$B:$E,4,0)=0,OR(H4195=MappingTables!$C$34,H4195=MappingTables!$C$35)),1,VLOOKUP(CONCATENATE($D4195,$G4195),CSRFinput!$B:$E,4,0)))</f>
        <v>0.054776304963434752</v>
      </c>
      <c r="W4195" s="85">
        <f>IF(B4195="",0,+$T4195*$V4195)</f>
        <v>2.7260750143042364</v>
      </c>
      <c r="X4195" s="85">
        <f>IF(B4195="",0,IF(OR(H4195=MappingTables!$C$34,H4195=MappingTables!$C$35),W4195,0))</f>
        <v>0</v>
      </c>
    </row>
    <row r="4196" spans="2:24" s="0" customFormat="0" ht="15">
      <c r="B4196" s="69">
        <v>14957286</v>
      </c>
      <c r="C4196" s="70" t="s">
        <v>2212</v>
      </c>
      <c r="D4196" s="70" t="s">
        <v>1</v>
      </c>
      <c r="E4196" s="70" t="s">
        <v>1</v>
      </c>
      <c r="F4196" s="70"/>
      <c r="G4196" s="70" t="s">
        <v>61</v>
      </c>
      <c r="H4196" s="70" t="s">
        <v>178</v>
      </c>
      <c r="I4196" s="70" t="s">
        <v>181</v>
      </c>
      <c r="J4196" s="71">
        <f>IF(OR(I4196=0,I4196=""),"unrated",VLOOKUP(I4196,MappingTables!$B$19:$C$31,2,FALSE))</f>
        <v>3</v>
      </c>
      <c r="K4196" s="72">
        <v>4099.3104724050344</v>
      </c>
      <c r="L4196" s="70">
        <v>2.2055193118209956</v>
      </c>
      <c r="M4196" s="71">
        <f>IF(L4196&lt;1,1,L4196)</f>
        <v>2.2055193118209956</v>
      </c>
      <c r="N4196" s="70" t="s">
        <v>141</v>
      </c>
      <c r="O4196" s="71">
        <f>INDEX(DurClassMapping,MATCH(M4196,MappingTables!$D$4:$D$8,-1),1)</f>
        <v>1</v>
      </c>
      <c r="P4196" s="73">
        <f>IF(M4196=$A$1,1,$M4196-INDEX(MappingTables!$E$4:$E$8,MATCH(O4196,MappingTables!$B$4:$B$8,0)))</f>
        <v>2.2055193118209956</v>
      </c>
      <c r="Q4196" s="71">
        <f>IF(B4196="",0,INDEX(ModelParameters!$D$6:$K$10,MATCH($O4196,ModelParameters!$B$6:$B$10,0),MATCH($J4196,ModelParameters!$D$5:$K$5,0)))</f>
        <v>0.025</v>
      </c>
      <c r="R4196" s="71">
        <f>IF(B4196="",0,INDEX(ModelParameters!$D$13:$K$17,MATCH($O4196,ModelParameters!$B$13:$B$17,0),MATCH($J4196,ModelParameters!$D$5:$K$5,0)))</f>
        <v>0</v>
      </c>
      <c r="S4196" s="160">
        <f>IF(B4196="",0,MIN(IF($N4196="Other Bond TM",ModelParameters!$N$21,1)*(P4196*Q4196+R4196),1))</f>
        <v>0.055137982795524888</v>
      </c>
      <c r="T4196" s="85">
        <f>IF(B4196="",0,$S4196*$K4196)</f>
        <v>226.0277103009838</v>
      </c>
      <c r="U4196" s="85">
        <f>IF(B4196="",0,IF(OR(H4196=MappingTables!$C$34,H4196=MappingTables!$C$35),T4196,0))</f>
        <v>0</v>
      </c>
      <c r="V4196" s="85">
        <f>IF(ISNA(IF(AND(VLOOKUP(CONCATENATE($D4196,$G4196),CSRFinput!$B:$E,4,0)=0,OR(H4196=MappingTables!$C$34,H4196=MappingTables!$C$35)),1,VLOOKUP(CONCATENATE($D4196,$G4196),CSRFinput!$B:$E,4,0))),0,IF(AND(VLOOKUP(CONCATENATE($D4196,$G4196),CSRFinput!$B:$E,4,0)=0,OR(H4196=MappingTables!$C$34,H4196=MappingTables!$C$35)),1,VLOOKUP(CONCATENATE($D4196,$G4196),CSRFinput!$B:$E,4,0)))</f>
        <v>0.054776304963434752</v>
      </c>
      <c r="W4196" s="85">
        <f>IF(B4196="",0,+$T4196*$V4196)</f>
        <v>12.380962789633572</v>
      </c>
      <c r="X4196" s="85">
        <f>IF(B4196="",0,IF(OR(H4196=MappingTables!$C$34,H4196=MappingTables!$C$35),W4196,0))</f>
        <v>0</v>
      </c>
    </row>
    <row r="4197" spans="2:24" s="0" customFormat="0" ht="15">
      <c r="B4197" s="69">
        <v>19503911</v>
      </c>
      <c r="C4197" s="70" t="s">
        <v>2327</v>
      </c>
      <c r="D4197" s="70" t="s">
        <v>1</v>
      </c>
      <c r="E4197" s="70" t="s">
        <v>1</v>
      </c>
      <c r="F4197" s="70"/>
      <c r="G4197" s="70" t="s">
        <v>61</v>
      </c>
      <c r="H4197" s="70" t="s">
        <v>178</v>
      </c>
      <c r="I4197" s="70" t="s">
        <v>179</v>
      </c>
      <c r="J4197" s="71">
        <f>IF(OR(I4197=0,I4197=""),"unrated",VLOOKUP(I4197,MappingTables!$B$19:$C$31,2,FALSE))</f>
        <v>4</v>
      </c>
      <c r="K4197" s="72">
        <v>19181.147496083912</v>
      </c>
      <c r="L4197" s="70">
        <v>3.047068520503008</v>
      </c>
      <c r="M4197" s="71">
        <f>IF(L4197&lt;1,1,L4197)</f>
        <v>3.047068520503008</v>
      </c>
      <c r="N4197" s="70" t="s">
        <v>141</v>
      </c>
      <c r="O4197" s="71">
        <f>INDEX(DurClassMapping,MATCH(M4197,MappingTables!$D$4:$D$8,-1),1)</f>
        <v>1</v>
      </c>
      <c r="P4197" s="73">
        <f>IF(M4197=$A$1,1,$M4197-INDEX(MappingTables!$E$4:$E$8,MATCH(O4197,MappingTables!$B$4:$B$8,0)))</f>
        <v>3.047068520503008</v>
      </c>
      <c r="Q4197" s="71">
        <f>IF(B4197="",0,INDEX(ModelParameters!$D$6:$K$10,MATCH($O4197,ModelParameters!$B$6:$B$10,0),MATCH($J4197,ModelParameters!$D$5:$K$5,0)))</f>
        <v>0.045</v>
      </c>
      <c r="R4197" s="71">
        <f>IF(B4197="",0,INDEX(ModelParameters!$D$13:$K$17,MATCH($O4197,ModelParameters!$B$13:$B$17,0),MATCH($J4197,ModelParameters!$D$5:$K$5,0)))</f>
        <v>0</v>
      </c>
      <c r="S4197" s="160">
        <f>IF(B4197="",0,MIN(IF($N4197="Other Bond TM",ModelParameters!$N$21,1)*(P4197*Q4197+R4197),1))</f>
        <v>0.13711808342263538</v>
      </c>
      <c r="T4197" s="85">
        <f>IF(B4197="",0,$S4197*$K4197)</f>
        <v>2630.0821825099072</v>
      </c>
      <c r="U4197" s="85">
        <f>IF(B4197="",0,IF(OR(H4197=MappingTables!$C$34,H4197=MappingTables!$C$35),T4197,0))</f>
        <v>0</v>
      </c>
      <c r="V4197" s="85">
        <f>IF(ISNA(IF(AND(VLOOKUP(CONCATENATE($D4197,$G4197),CSRFinput!$B:$E,4,0)=0,OR(H4197=MappingTables!$C$34,H4197=MappingTables!$C$35)),1,VLOOKUP(CONCATENATE($D4197,$G4197),CSRFinput!$B:$E,4,0))),0,IF(AND(VLOOKUP(CONCATENATE($D4197,$G4197),CSRFinput!$B:$E,4,0)=0,OR(H4197=MappingTables!$C$34,H4197=MappingTables!$C$35)),1,VLOOKUP(CONCATENATE($D4197,$G4197),CSRFinput!$B:$E,4,0)))</f>
        <v>0.054776304963434752</v>
      </c>
      <c r="W4197" s="85">
        <f>IF(B4197="",0,+$T4197*$V4197)</f>
        <v>144.06618370805876</v>
      </c>
      <c r="X4197" s="85">
        <f>IF(B4197="",0,IF(OR(H4197=MappingTables!$C$34,H4197=MappingTables!$C$35),W4197,0))</f>
        <v>0</v>
      </c>
    </row>
    <row r="4198" spans="2:24" s="0" customFormat="0" ht="15">
      <c r="B4198" s="69">
        <v>18085386</v>
      </c>
      <c r="C4198" s="70" t="s">
        <v>1971</v>
      </c>
      <c r="D4198" s="70" t="s">
        <v>1</v>
      </c>
      <c r="E4198" s="70" t="s">
        <v>1</v>
      </c>
      <c r="F4198" s="70"/>
      <c r="G4198" s="70" t="s">
        <v>61</v>
      </c>
      <c r="H4198" s="70" t="s">
        <v>178</v>
      </c>
      <c r="I4198" s="70" t="s">
        <v>181</v>
      </c>
      <c r="J4198" s="71">
        <f>IF(OR(I4198=0,I4198=""),"unrated",VLOOKUP(I4198,MappingTables!$B$19:$C$31,2,FALSE))</f>
        <v>3</v>
      </c>
      <c r="K4198" s="72">
        <v>4373.8058584506664</v>
      </c>
      <c r="L4198" s="70">
        <v>2.6584391449015676</v>
      </c>
      <c r="M4198" s="71">
        <f>IF(L4198&lt;1,1,L4198)</f>
        <v>2.6584391449015676</v>
      </c>
      <c r="N4198" s="70" t="s">
        <v>141</v>
      </c>
      <c r="O4198" s="71">
        <f>INDEX(DurClassMapping,MATCH(M4198,MappingTables!$D$4:$D$8,-1),1)</f>
        <v>1</v>
      </c>
      <c r="P4198" s="73">
        <f>IF(M4198=$A$1,1,$M4198-INDEX(MappingTables!$E$4:$E$8,MATCH(O4198,MappingTables!$B$4:$B$8,0)))</f>
        <v>2.6584391449015676</v>
      </c>
      <c r="Q4198" s="71">
        <f>IF(B4198="",0,INDEX(ModelParameters!$D$6:$K$10,MATCH($O4198,ModelParameters!$B$6:$B$10,0),MATCH($J4198,ModelParameters!$D$5:$K$5,0)))</f>
        <v>0.025</v>
      </c>
      <c r="R4198" s="71">
        <f>IF(B4198="",0,INDEX(ModelParameters!$D$13:$K$17,MATCH($O4198,ModelParameters!$B$13:$B$17,0),MATCH($J4198,ModelParameters!$D$5:$K$5,0)))</f>
        <v>0</v>
      </c>
      <c r="S4198" s="160">
        <f>IF(B4198="",0,MIN(IF($N4198="Other Bond TM",ModelParameters!$N$21,1)*(P4198*Q4198+R4198),1))</f>
        <v>0.066460978622539192</v>
      </c>
      <c r="T4198" s="85">
        <f>IF(B4198="",0,$S4198*$K4198)</f>
        <v>290.6874176576264</v>
      </c>
      <c r="U4198" s="85">
        <f>IF(B4198="",0,IF(OR(H4198=MappingTables!$C$34,H4198=MappingTables!$C$35),T4198,0))</f>
        <v>0</v>
      </c>
      <c r="V4198" s="85">
        <f>IF(ISNA(IF(AND(VLOOKUP(CONCATENATE($D4198,$G4198),CSRFinput!$B:$E,4,0)=0,OR(H4198=MappingTables!$C$34,H4198=MappingTables!$C$35)),1,VLOOKUP(CONCATENATE($D4198,$G4198),CSRFinput!$B:$E,4,0))),0,IF(AND(VLOOKUP(CONCATENATE($D4198,$G4198),CSRFinput!$B:$E,4,0)=0,OR(H4198=MappingTables!$C$34,H4198=MappingTables!$C$35)),1,VLOOKUP(CONCATENATE($D4198,$G4198),CSRFinput!$B:$E,4,0)))</f>
        <v>0.054776304963434752</v>
      </c>
      <c r="W4198" s="85">
        <f>IF(B4198="",0,+$T4198*$V4198)</f>
        <v>15.92278263864747</v>
      </c>
      <c r="X4198" s="85">
        <f>IF(B4198="",0,IF(OR(H4198=MappingTables!$C$34,H4198=MappingTables!$C$35),W4198,0))</f>
        <v>0</v>
      </c>
    </row>
    <row r="4199" spans="2:24" s="0" customFormat="0" ht="15">
      <c r="B4199" s="69">
        <v>3797504</v>
      </c>
      <c r="C4199" s="70" t="s">
        <v>2758</v>
      </c>
      <c r="D4199" s="70" t="s">
        <v>1</v>
      </c>
      <c r="E4199" s="70" t="s">
        <v>1</v>
      </c>
      <c r="F4199" s="70"/>
      <c r="G4199" s="70" t="s">
        <v>61</v>
      </c>
      <c r="H4199" s="70" t="s">
        <v>178</v>
      </c>
      <c r="I4199" s="70" t="s">
        <v>184</v>
      </c>
      <c r="J4199" s="71">
        <f>IF(OR(I4199=0,I4199=""),"unrated",VLOOKUP(I4199,MappingTables!$B$19:$C$31,2,FALSE))</f>
        <v>5</v>
      </c>
      <c r="K4199" s="72">
        <v>3548.4557318875676</v>
      </c>
      <c r="L4199" s="70">
        <v>0.45479535413022992</v>
      </c>
      <c r="M4199" s="71">
        <f>IF(L4199&lt;1,1,L4199)</f>
        <v>1</v>
      </c>
      <c r="N4199" s="70" t="s">
        <v>141</v>
      </c>
      <c r="O4199" s="71">
        <f>INDEX(DurClassMapping,MATCH(M4199,MappingTables!$D$4:$D$8,-1),1)</f>
        <v>1</v>
      </c>
      <c r="P4199" s="73">
        <f>IF(M4199=$A$1,1,$M4199-INDEX(MappingTables!$E$4:$E$8,MATCH(O4199,MappingTables!$B$4:$B$8,0)))</f>
        <v>1</v>
      </c>
      <c r="Q4199" s="71">
        <f>IF(B4199="",0,INDEX(ModelParameters!$D$6:$K$10,MATCH($O4199,ModelParameters!$B$6:$B$10,0),MATCH($J4199,ModelParameters!$D$5:$K$5,0)))</f>
        <v>0.075</v>
      </c>
      <c r="R4199" s="71">
        <f>IF(B4199="",0,INDEX(ModelParameters!$D$13:$K$17,MATCH($O4199,ModelParameters!$B$13:$B$17,0),MATCH($J4199,ModelParameters!$D$5:$K$5,0)))</f>
        <v>0</v>
      </c>
      <c r="S4199" s="160">
        <f>IF(B4199="",0,MIN(IF($N4199="Other Bond TM",ModelParameters!$N$21,1)*(P4199*Q4199+R4199),1))</f>
        <v>0.075</v>
      </c>
      <c r="T4199" s="85">
        <f>IF(B4199="",0,$S4199*$K4199)</f>
        <v>266.13417989156756</v>
      </c>
      <c r="U4199" s="85">
        <f>IF(B4199="",0,IF(OR(H4199=MappingTables!$C$34,H4199=MappingTables!$C$35),T4199,0))</f>
        <v>0</v>
      </c>
      <c r="V4199" s="85">
        <f>IF(ISNA(IF(AND(VLOOKUP(CONCATENATE($D4199,$G4199),CSRFinput!$B:$E,4,0)=0,OR(H4199=MappingTables!$C$34,H4199=MappingTables!$C$35)),1,VLOOKUP(CONCATENATE($D4199,$G4199),CSRFinput!$B:$E,4,0))),0,IF(AND(VLOOKUP(CONCATENATE($D4199,$G4199),CSRFinput!$B:$E,4,0)=0,OR(H4199=MappingTables!$C$34,H4199=MappingTables!$C$35)),1,VLOOKUP(CONCATENATE($D4199,$G4199),CSRFinput!$B:$E,4,0)))</f>
        <v>0.054776304963434752</v>
      </c>
      <c r="W4199" s="85">
        <f>IF(B4199="",0,+$T4199*$V4199)</f>
        <v>14.57784699893411</v>
      </c>
      <c r="X4199" s="85">
        <f>IF(B4199="",0,IF(OR(H4199=MappingTables!$C$34,H4199=MappingTables!$C$35),W4199,0))</f>
        <v>0</v>
      </c>
    </row>
    <row r="4200" spans="2:24" s="0" customFormat="0" ht="15">
      <c r="B4200" s="69">
        <v>13244697</v>
      </c>
      <c r="C4200" s="70" t="s">
        <v>2636</v>
      </c>
      <c r="D4200" s="70" t="s">
        <v>1</v>
      </c>
      <c r="E4200" s="70" t="s">
        <v>1</v>
      </c>
      <c r="F4200" s="70"/>
      <c r="G4200" s="70" t="s">
        <v>61</v>
      </c>
      <c r="H4200" s="70" t="s">
        <v>178</v>
      </c>
      <c r="I4200" s="70" t="s">
        <v>188</v>
      </c>
      <c r="J4200" s="71">
        <f>IF(OR(I4200=0,I4200=""),"unrated",VLOOKUP(I4200,MappingTables!$B$19:$C$31,2,FALSE))</f>
        <v>2</v>
      </c>
      <c r="K4200" s="72">
        <v>15.907493583417728</v>
      </c>
      <c r="L4200" s="70">
        <v>1.0292273954949916</v>
      </c>
      <c r="M4200" s="71">
        <f>IF(L4200&lt;1,1,L4200)</f>
        <v>1.0292273954949916</v>
      </c>
      <c r="N4200" s="70" t="s">
        <v>141</v>
      </c>
      <c r="O4200" s="71">
        <f>INDEX(DurClassMapping,MATCH(M4200,MappingTables!$D$4:$D$8,-1),1)</f>
        <v>1</v>
      </c>
      <c r="P4200" s="73">
        <f>IF(M4200=$A$1,1,$M4200-INDEX(MappingTables!$E$4:$E$8,MATCH(O4200,MappingTables!$B$4:$B$8,0)))</f>
        <v>1.0292273954949916</v>
      </c>
      <c r="Q4200" s="71">
        <f>IF(B4200="",0,INDEX(ModelParameters!$D$6:$K$10,MATCH($O4200,ModelParameters!$B$6:$B$10,0),MATCH($J4200,ModelParameters!$D$5:$K$5,0)))</f>
        <v>0.013999999999999998</v>
      </c>
      <c r="R4200" s="71">
        <f>IF(B4200="",0,INDEX(ModelParameters!$D$13:$K$17,MATCH($O4200,ModelParameters!$B$13:$B$17,0),MATCH($J4200,ModelParameters!$D$5:$K$5,0)))</f>
        <v>0</v>
      </c>
      <c r="S4200" s="160">
        <f>IF(B4200="",0,MIN(IF($N4200="Other Bond TM",ModelParameters!$N$21,1)*(P4200*Q4200+R4200),1))</f>
        <v>0.01440918353692988</v>
      </c>
      <c r="T4200" s="85">
        <f>IF(B4200="",0,$S4200*$K4200)</f>
        <v>0.22921399465600044</v>
      </c>
      <c r="U4200" s="85">
        <f>IF(B4200="",0,IF(OR(H4200=MappingTables!$C$34,H4200=MappingTables!$C$35),T4200,0))</f>
        <v>0</v>
      </c>
      <c r="V4200" s="85">
        <f>IF(ISNA(IF(AND(VLOOKUP(CONCATENATE($D4200,$G4200),CSRFinput!$B:$E,4,0)=0,OR(H4200=MappingTables!$C$34,H4200=MappingTables!$C$35)),1,VLOOKUP(CONCATENATE($D4200,$G4200),CSRFinput!$B:$E,4,0))),0,IF(AND(VLOOKUP(CONCATENATE($D4200,$G4200),CSRFinput!$B:$E,4,0)=0,OR(H4200=MappingTables!$C$34,H4200=MappingTables!$C$35)),1,VLOOKUP(CONCATENATE($D4200,$G4200),CSRFinput!$B:$E,4,0)))</f>
        <v>0.054776304963434752</v>
      </c>
      <c r="W4200" s="85">
        <f>IF(B4200="",0,+$T4200*$V4200)</f>
        <v>0.012555495673164184</v>
      </c>
      <c r="X4200" s="85">
        <f>IF(B4200="",0,IF(OR(H4200=MappingTables!$C$34,H4200=MappingTables!$C$35),W4200,0))</f>
        <v>0</v>
      </c>
    </row>
    <row r="4201" spans="2:24" s="0" customFormat="0" ht="15">
      <c r="B4201" s="69">
        <v>19215363</v>
      </c>
      <c r="C4201" s="70" t="s">
        <v>410</v>
      </c>
      <c r="D4201" s="70" t="s">
        <v>1</v>
      </c>
      <c r="E4201" s="70" t="s">
        <v>1</v>
      </c>
      <c r="F4201" s="70"/>
      <c r="G4201" s="70" t="s">
        <v>61</v>
      </c>
      <c r="H4201" s="70" t="s">
        <v>178</v>
      </c>
      <c r="I4201" s="70" t="s">
        <v>184</v>
      </c>
      <c r="J4201" s="71">
        <f>IF(OR(I4201=0,I4201=""),"unrated",VLOOKUP(I4201,MappingTables!$B$19:$C$31,2,FALSE))</f>
        <v>5</v>
      </c>
      <c r="K4201" s="72">
        <v>2075.1071591483948</v>
      </c>
      <c r="L4201" s="70">
        <v>0.11780777037913562</v>
      </c>
      <c r="M4201" s="71">
        <f>IF(L4201&lt;1,1,L4201)</f>
        <v>1</v>
      </c>
      <c r="N4201" s="70" t="s">
        <v>141</v>
      </c>
      <c r="O4201" s="71">
        <f>INDEX(DurClassMapping,MATCH(M4201,MappingTables!$D$4:$D$8,-1),1)</f>
        <v>1</v>
      </c>
      <c r="P4201" s="73">
        <f>IF(M4201=$A$1,1,$M4201-INDEX(MappingTables!$E$4:$E$8,MATCH(O4201,MappingTables!$B$4:$B$8,0)))</f>
        <v>1</v>
      </c>
      <c r="Q4201" s="71">
        <f>IF(B4201="",0,INDEX(ModelParameters!$D$6:$K$10,MATCH($O4201,ModelParameters!$B$6:$B$10,0),MATCH($J4201,ModelParameters!$D$5:$K$5,0)))</f>
        <v>0.075</v>
      </c>
      <c r="R4201" s="71">
        <f>IF(B4201="",0,INDEX(ModelParameters!$D$13:$K$17,MATCH($O4201,ModelParameters!$B$13:$B$17,0),MATCH($J4201,ModelParameters!$D$5:$K$5,0)))</f>
        <v>0</v>
      </c>
      <c r="S4201" s="160">
        <f>IF(B4201="",0,MIN(IF($N4201="Other Bond TM",ModelParameters!$N$21,1)*(P4201*Q4201+R4201),1))</f>
        <v>0.075</v>
      </c>
      <c r="T4201" s="85">
        <f>IF(B4201="",0,$S4201*$K4201)</f>
        <v>155.6330369361296</v>
      </c>
      <c r="U4201" s="85">
        <f>IF(B4201="",0,IF(OR(H4201=MappingTables!$C$34,H4201=MappingTables!$C$35),T4201,0))</f>
        <v>0</v>
      </c>
      <c r="V4201" s="85">
        <f>IF(ISNA(IF(AND(VLOOKUP(CONCATENATE($D4201,$G4201),CSRFinput!$B:$E,4,0)=0,OR(H4201=MappingTables!$C$34,H4201=MappingTables!$C$35)),1,VLOOKUP(CONCATENATE($D4201,$G4201),CSRFinput!$B:$E,4,0))),0,IF(AND(VLOOKUP(CONCATENATE($D4201,$G4201),CSRFinput!$B:$E,4,0)=0,OR(H4201=MappingTables!$C$34,H4201=MappingTables!$C$35)),1,VLOOKUP(CONCATENATE($D4201,$G4201),CSRFinput!$B:$E,4,0)))</f>
        <v>0.054776304963434752</v>
      </c>
      <c r="W4201" s="85">
        <f>IF(B4201="",0,+$T4201*$V4201)</f>
        <v>8.5250026935989408</v>
      </c>
      <c r="X4201" s="85">
        <f>IF(B4201="",0,IF(OR(H4201=MappingTables!$C$34,H4201=MappingTables!$C$35),W4201,0))</f>
        <v>0</v>
      </c>
    </row>
    <row r="4202" spans="2:24" s="0" customFormat="0" ht="15">
      <c r="B4202" s="69" t="s">
        <v>2881</v>
      </c>
      <c r="C4202" s="70" t="s">
        <v>2882</v>
      </c>
      <c r="D4202" s="70" t="s">
        <v>1</v>
      </c>
      <c r="E4202" s="70" t="s">
        <v>1</v>
      </c>
      <c r="F4202" s="70"/>
      <c r="G4202" s="70" t="s">
        <v>61</v>
      </c>
      <c r="H4202" s="70" t="s">
        <v>178</v>
      </c>
      <c r="I4202" s="70" t="s">
        <v>184</v>
      </c>
      <c r="J4202" s="71">
        <f>IF(OR(I4202=0,I4202=""),"unrated",VLOOKUP(I4202,MappingTables!$B$19:$C$31,2,FALSE))</f>
        <v>5</v>
      </c>
      <c r="K4202" s="72">
        <v>263.88844577202396</v>
      </c>
      <c r="L4202" s="70">
        <v>4.7520066287442392</v>
      </c>
      <c r="M4202" s="71">
        <f>IF(L4202&lt;1,1,L4202)</f>
        <v>4.7520066287442392</v>
      </c>
      <c r="N4202" s="70" t="s">
        <v>141</v>
      </c>
      <c r="O4202" s="71">
        <f>INDEX(DurClassMapping,MATCH(M4202,MappingTables!$D$4:$D$8,-1),1)</f>
        <v>1</v>
      </c>
      <c r="P4202" s="73">
        <f>IF(M4202=$A$1,1,$M4202-INDEX(MappingTables!$E$4:$E$8,MATCH(O4202,MappingTables!$B$4:$B$8,0)))</f>
        <v>4.7520066287442392</v>
      </c>
      <c r="Q4202" s="71">
        <f>IF(B4202="",0,INDEX(ModelParameters!$D$6:$K$10,MATCH($O4202,ModelParameters!$B$6:$B$10,0),MATCH($J4202,ModelParameters!$D$5:$K$5,0)))</f>
        <v>0.075</v>
      </c>
      <c r="R4202" s="71">
        <f>IF(B4202="",0,INDEX(ModelParameters!$D$13:$K$17,MATCH($O4202,ModelParameters!$B$13:$B$17,0),MATCH($J4202,ModelParameters!$D$5:$K$5,0)))</f>
        <v>0</v>
      </c>
      <c r="S4202" s="160">
        <f>IF(B4202="",0,MIN(IF($N4202="Other Bond TM",ModelParameters!$N$21,1)*(P4202*Q4202+R4202),1))</f>
        <v>0.35640049715581796</v>
      </c>
      <c r="T4202" s="85">
        <f>IF(B4202="",0,$S4202*$K4202)</f>
        <v>94.04997326682544</v>
      </c>
      <c r="U4202" s="85">
        <f>IF(B4202="",0,IF(OR(H4202=MappingTables!$C$34,H4202=MappingTables!$C$35),T4202,0))</f>
        <v>0</v>
      </c>
      <c r="V4202" s="85">
        <f>IF(ISNA(IF(AND(VLOOKUP(CONCATENATE($D4202,$G4202),CSRFinput!$B:$E,4,0)=0,OR(H4202=MappingTables!$C$34,H4202=MappingTables!$C$35)),1,VLOOKUP(CONCATENATE($D4202,$G4202),CSRFinput!$B:$E,4,0))),0,IF(AND(VLOOKUP(CONCATENATE($D4202,$G4202),CSRFinput!$B:$E,4,0)=0,OR(H4202=MappingTables!$C$34,H4202=MappingTables!$C$35)),1,VLOOKUP(CONCATENATE($D4202,$G4202),CSRFinput!$B:$E,4,0)))</f>
        <v>0.054776304963434752</v>
      </c>
      <c r="W4202" s="85">
        <f>IF(B4202="",0,+$T4202*$V4202)</f>
        <v>5.151710017466516</v>
      </c>
      <c r="X4202" s="85">
        <f>IF(B4202="",0,IF(OR(H4202=MappingTables!$C$34,H4202=MappingTables!$C$35),W4202,0))</f>
        <v>0</v>
      </c>
    </row>
    <row r="4203" spans="2:24" s="0" customFormat="0" ht="15">
      <c r="B4203" s="69">
        <v>21015446</v>
      </c>
      <c r="C4203" s="70" t="s">
        <v>1283</v>
      </c>
      <c r="D4203" s="70" t="s">
        <v>1</v>
      </c>
      <c r="E4203" s="70" t="s">
        <v>1</v>
      </c>
      <c r="F4203" s="70"/>
      <c r="G4203" s="70" t="s">
        <v>61</v>
      </c>
      <c r="H4203" s="70" t="s">
        <v>178</v>
      </c>
      <c r="I4203" s="70" t="s">
        <v>198</v>
      </c>
      <c r="J4203" s="71" t="str">
        <f>IF(OR(I4203=0,I4203=""),"unrated",VLOOKUP(I4203,MappingTables!$B$19:$C$31,2,FALSE))</f>
        <v>unrated</v>
      </c>
      <c r="K4203" s="72">
        <v>255.94433850023204</v>
      </c>
      <c r="L4203" s="70">
        <v>7.1105138659258632</v>
      </c>
      <c r="M4203" s="71">
        <f>IF(L4203&lt;1,1,L4203)</f>
        <v>7.1105138659258632</v>
      </c>
      <c r="N4203" s="70" t="s">
        <v>141</v>
      </c>
      <c r="O4203" s="71">
        <f>INDEX(DurClassMapping,MATCH(M4203,MappingTables!$D$4:$D$8,-1),1)</f>
        <v>2</v>
      </c>
      <c r="P4203" s="73">
        <f>IF(M4203=$A$1,1,$M4203-INDEX(MappingTables!$E$4:$E$8,MATCH(O4203,MappingTables!$B$4:$B$8,0)))</f>
        <v>2.1105138659258636</v>
      </c>
      <c r="Q4203" s="71">
        <f>IF(B4203="",0,INDEX(ModelParameters!$D$6:$K$10,MATCH($O4203,ModelParameters!$B$6:$B$10,0),MATCH($J4203,ModelParameters!$D$5:$K$5,0)))</f>
        <v>0.017000000000000002</v>
      </c>
      <c r="R4203" s="71">
        <f>IF(B4203="",0,INDEX(ModelParameters!$D$13:$K$17,MATCH($O4203,ModelParameters!$B$13:$B$17,0),MATCH($J4203,ModelParameters!$D$5:$K$5,0)))</f>
        <v>0.15</v>
      </c>
      <c r="S4203" s="160">
        <f>IF(B4203="",0,MIN(IF($N4203="Other Bond TM",ModelParameters!$N$21,1)*(P4203*Q4203+R4203),1))</f>
        <v>0.18587873572073968</v>
      </c>
      <c r="T4203" s="85">
        <f>IF(B4203="",0,$S4203*$K4203)</f>
        <v>47.574610055304168</v>
      </c>
      <c r="U4203" s="85">
        <f>IF(B4203="",0,IF(OR(H4203=MappingTables!$C$34,H4203=MappingTables!$C$35),T4203,0))</f>
        <v>0</v>
      </c>
      <c r="V4203" s="85">
        <f>IF(ISNA(IF(AND(VLOOKUP(CONCATENATE($D4203,$G4203),CSRFinput!$B:$E,4,0)=0,OR(H4203=MappingTables!$C$34,H4203=MappingTables!$C$35)),1,VLOOKUP(CONCATENATE($D4203,$G4203),CSRFinput!$B:$E,4,0))),0,IF(AND(VLOOKUP(CONCATENATE($D4203,$G4203),CSRFinput!$B:$E,4,0)=0,OR(H4203=MappingTables!$C$34,H4203=MappingTables!$C$35)),1,VLOOKUP(CONCATENATE($D4203,$G4203),CSRFinput!$B:$E,4,0)))</f>
        <v>0.054776304963434752</v>
      </c>
      <c r="W4203" s="85">
        <f>IF(B4203="",0,+$T4203*$V4203)</f>
        <v>2.6059613489058308</v>
      </c>
      <c r="X4203" s="85">
        <f>IF(B4203="",0,IF(OR(H4203=MappingTables!$C$34,H4203=MappingTables!$C$35),W4203,0))</f>
        <v>0</v>
      </c>
    </row>
    <row r="4204" spans="2:24" s="0" customFormat="0" ht="15">
      <c r="B4204" s="69" t="s">
        <v>2986</v>
      </c>
      <c r="C4204" s="70" t="s">
        <v>2987</v>
      </c>
      <c r="D4204" s="70" t="s">
        <v>1</v>
      </c>
      <c r="E4204" s="70" t="s">
        <v>1</v>
      </c>
      <c r="F4204" s="70"/>
      <c r="G4204" s="70" t="s">
        <v>61</v>
      </c>
      <c r="H4204" s="70" t="s">
        <v>178</v>
      </c>
      <c r="I4204" s="70" t="s">
        <v>181</v>
      </c>
      <c r="J4204" s="71">
        <f>IF(OR(I4204=0,I4204=""),"unrated",VLOOKUP(I4204,MappingTables!$B$19:$C$31,2,FALSE))</f>
        <v>3</v>
      </c>
      <c r="K4204" s="72">
        <v>77035.420531674256</v>
      </c>
      <c r="L4204" s="70">
        <v>5.539315786836836</v>
      </c>
      <c r="M4204" s="71">
        <f>IF(L4204&lt;1,1,L4204)</f>
        <v>5.539315786836836</v>
      </c>
      <c r="N4204" s="70" t="s">
        <v>141</v>
      </c>
      <c r="O4204" s="71">
        <f>INDEX(DurClassMapping,MATCH(M4204,MappingTables!$D$4:$D$8,-1),1)</f>
        <v>2</v>
      </c>
      <c r="P4204" s="73">
        <f>IF(M4204=$A$1,1,$M4204-INDEX(MappingTables!$E$4:$E$8,MATCH(O4204,MappingTables!$B$4:$B$8,0)))</f>
        <v>0.53931578683683592</v>
      </c>
      <c r="Q4204" s="71">
        <f>IF(B4204="",0,INDEX(ModelParameters!$D$6:$K$10,MATCH($O4204,ModelParameters!$B$6:$B$10,0),MATCH($J4204,ModelParameters!$D$5:$K$5,0)))</f>
        <v>0.015</v>
      </c>
      <c r="R4204" s="71">
        <f>IF(B4204="",0,INDEX(ModelParameters!$D$13:$K$17,MATCH($O4204,ModelParameters!$B$13:$B$17,0),MATCH($J4204,ModelParameters!$D$5:$K$5,0)))</f>
        <v>0.125</v>
      </c>
      <c r="S4204" s="160">
        <f>IF(B4204="",0,MIN(IF($N4204="Other Bond TM",ModelParameters!$N$21,1)*(P4204*Q4204+R4204),1))</f>
        <v>0.13308973680255254</v>
      </c>
      <c r="T4204" s="85">
        <f>IF(B4204="",0,$S4204*$K4204)</f>
        <v>10252.623843034478</v>
      </c>
      <c r="U4204" s="85">
        <f>IF(B4204="",0,IF(OR(H4204=MappingTables!$C$34,H4204=MappingTables!$C$35),T4204,0))</f>
        <v>0</v>
      </c>
      <c r="V4204" s="85">
        <f>IF(ISNA(IF(AND(VLOOKUP(CONCATENATE($D4204,$G4204),CSRFinput!$B:$E,4,0)=0,OR(H4204=MappingTables!$C$34,H4204=MappingTables!$C$35)),1,VLOOKUP(CONCATENATE($D4204,$G4204),CSRFinput!$B:$E,4,0))),0,IF(AND(VLOOKUP(CONCATENATE($D4204,$G4204),CSRFinput!$B:$E,4,0)=0,OR(H4204=MappingTables!$C$34,H4204=MappingTables!$C$35)),1,VLOOKUP(CONCATENATE($D4204,$G4204),CSRFinput!$B:$E,4,0)))</f>
        <v>0.054776304963434752</v>
      </c>
      <c r="W4204" s="85">
        <f>IF(B4204="",0,+$T4204*$V4204)</f>
        <v>561.60085030143896</v>
      </c>
      <c r="X4204" s="85">
        <f>IF(B4204="",0,IF(OR(H4204=MappingTables!$C$34,H4204=MappingTables!$C$35),W4204,0))</f>
        <v>0</v>
      </c>
    </row>
    <row r="4205" spans="2:24" s="0" customFormat="0" ht="15">
      <c r="B4205" s="69">
        <v>24926976</v>
      </c>
      <c r="C4205" s="70" t="s">
        <v>2261</v>
      </c>
      <c r="D4205" s="70" t="s">
        <v>1</v>
      </c>
      <c r="E4205" s="70" t="s">
        <v>1</v>
      </c>
      <c r="F4205" s="70"/>
      <c r="G4205" s="70" t="s">
        <v>61</v>
      </c>
      <c r="H4205" s="70" t="s">
        <v>178</v>
      </c>
      <c r="I4205" s="70" t="s">
        <v>179</v>
      </c>
      <c r="J4205" s="71">
        <f>IF(OR(I4205=0,I4205=""),"unrated",VLOOKUP(I4205,MappingTables!$B$19:$C$31,2,FALSE))</f>
        <v>4</v>
      </c>
      <c r="K4205" s="72">
        <v>9416.5410901032272</v>
      </c>
      <c r="L4205" s="70">
        <v>4.4970276694460424</v>
      </c>
      <c r="M4205" s="71">
        <f>IF(L4205&lt;1,1,L4205)</f>
        <v>4.4970276694460424</v>
      </c>
      <c r="N4205" s="70" t="s">
        <v>141</v>
      </c>
      <c r="O4205" s="71">
        <f>INDEX(DurClassMapping,MATCH(M4205,MappingTables!$D$4:$D$8,-1),1)</f>
        <v>1</v>
      </c>
      <c r="P4205" s="73">
        <f>IF(M4205=$A$1,1,$M4205-INDEX(MappingTables!$E$4:$E$8,MATCH(O4205,MappingTables!$B$4:$B$8,0)))</f>
        <v>4.4970276694460424</v>
      </c>
      <c r="Q4205" s="71">
        <f>IF(B4205="",0,INDEX(ModelParameters!$D$6:$K$10,MATCH($O4205,ModelParameters!$B$6:$B$10,0),MATCH($J4205,ModelParameters!$D$5:$K$5,0)))</f>
        <v>0.045</v>
      </c>
      <c r="R4205" s="71">
        <f>IF(B4205="",0,INDEX(ModelParameters!$D$13:$K$17,MATCH($O4205,ModelParameters!$B$13:$B$17,0),MATCH($J4205,ModelParameters!$D$5:$K$5,0)))</f>
        <v>0</v>
      </c>
      <c r="S4205" s="160">
        <f>IF(B4205="",0,MIN(IF($N4205="Other Bond TM",ModelParameters!$N$21,1)*(P4205*Q4205+R4205),1))</f>
        <v>0.20236624512507192</v>
      </c>
      <c r="T4205" s="85">
        <f>IF(B4205="",0,$S4205*$K4205)</f>
        <v>1905.5900624701416</v>
      </c>
      <c r="U4205" s="85">
        <f>IF(B4205="",0,IF(OR(H4205=MappingTables!$C$34,H4205=MappingTables!$C$35),T4205,0))</f>
        <v>0</v>
      </c>
      <c r="V4205" s="85">
        <f>IF(ISNA(IF(AND(VLOOKUP(CONCATENATE($D4205,$G4205),CSRFinput!$B:$E,4,0)=0,OR(H4205=MappingTables!$C$34,H4205=MappingTables!$C$35)),1,VLOOKUP(CONCATENATE($D4205,$G4205),CSRFinput!$B:$E,4,0))),0,IF(AND(VLOOKUP(CONCATENATE($D4205,$G4205),CSRFinput!$B:$E,4,0)=0,OR(H4205=MappingTables!$C$34,H4205=MappingTables!$C$35)),1,VLOOKUP(CONCATENATE($D4205,$G4205),CSRFinput!$B:$E,4,0)))</f>
        <v>0.054776304963434752</v>
      </c>
      <c r="W4205" s="85">
        <f>IF(B4205="",0,+$T4205*$V4205)</f>
        <v>104.38118239715516</v>
      </c>
      <c r="X4205" s="85">
        <f>IF(B4205="",0,IF(OR(H4205=MappingTables!$C$34,H4205=MappingTables!$C$35),W4205,0))</f>
        <v>0</v>
      </c>
    </row>
    <row r="4206" spans="2:24" s="0" customFormat="0" ht="15">
      <c r="B4206" s="69">
        <v>22963703</v>
      </c>
      <c r="C4206" s="70" t="s">
        <v>2752</v>
      </c>
      <c r="D4206" s="70" t="s">
        <v>1</v>
      </c>
      <c r="E4206" s="70" t="s">
        <v>1</v>
      </c>
      <c r="F4206" s="70"/>
      <c r="G4206" s="70" t="s">
        <v>61</v>
      </c>
      <c r="H4206" s="70" t="s">
        <v>178</v>
      </c>
      <c r="I4206" s="70" t="s">
        <v>220</v>
      </c>
      <c r="J4206" s="71">
        <f>IF(OR(I4206=0,I4206=""),"unrated",VLOOKUP(I4206,MappingTables!$B$19:$C$31,2,FALSE))</f>
        <v>1</v>
      </c>
      <c r="K4206" s="72">
        <v>24.196907672860076</v>
      </c>
      <c r="L4206" s="70">
        <v>20.738364577234116</v>
      </c>
      <c r="M4206" s="71">
        <f>IF(L4206&lt;1,1,L4206)</f>
        <v>20.738364577234116</v>
      </c>
      <c r="N4206" s="70" t="s">
        <v>141</v>
      </c>
      <c r="O4206" s="71">
        <f>INDEX(DurClassMapping,MATCH(M4206,MappingTables!$D$4:$D$8,-1),1)</f>
        <v>5</v>
      </c>
      <c r="P4206" s="73">
        <f>IF(M4206=$A$1,1,$M4206-INDEX(MappingTables!$E$4:$E$8,MATCH(O4206,MappingTables!$B$4:$B$8,0)))</f>
        <v>0.73836457723411536</v>
      </c>
      <c r="Q4206" s="71">
        <f>IF(B4206="",0,INDEX(ModelParameters!$D$6:$K$10,MATCH($O4206,ModelParameters!$B$6:$B$10,0),MATCH($J4206,ModelParameters!$D$5:$K$5,0)))</f>
        <v>0.005</v>
      </c>
      <c r="R4206" s="71">
        <f>IF(B4206="",0,INDEX(ModelParameters!$D$13:$K$17,MATCH($O4206,ModelParameters!$B$13:$B$17,0),MATCH($J4206,ModelParameters!$D$5:$K$5,0)))</f>
        <v>0.135</v>
      </c>
      <c r="S4206" s="160">
        <f>IF(B4206="",0,MIN(IF($N4206="Other Bond TM",ModelParameters!$N$21,1)*(P4206*Q4206+R4206),1))</f>
        <v>0.13869182288617058</v>
      </c>
      <c r="T4206" s="85">
        <f>IF(B4206="",0,$S4206*$K4206)</f>
        <v>3.3559132333573312</v>
      </c>
      <c r="U4206" s="85">
        <f>IF(B4206="",0,IF(OR(H4206=MappingTables!$C$34,H4206=MappingTables!$C$35),T4206,0))</f>
        <v>0</v>
      </c>
      <c r="V4206" s="85">
        <f>IF(ISNA(IF(AND(VLOOKUP(CONCATENATE($D4206,$G4206),CSRFinput!$B:$E,4,0)=0,OR(H4206=MappingTables!$C$34,H4206=MappingTables!$C$35)),1,VLOOKUP(CONCATENATE($D4206,$G4206),CSRFinput!$B:$E,4,0))),0,IF(AND(VLOOKUP(CONCATENATE($D4206,$G4206),CSRFinput!$B:$E,4,0)=0,OR(H4206=MappingTables!$C$34,H4206=MappingTables!$C$35)),1,VLOOKUP(CONCATENATE($D4206,$G4206),CSRFinput!$B:$E,4,0)))</f>
        <v>0.054776304963434752</v>
      </c>
      <c r="W4206" s="85">
        <f>IF(B4206="",0,+$T4206*$V4206)</f>
        <v>0.18382452670120756</v>
      </c>
      <c r="X4206" s="85">
        <f>IF(B4206="",0,IF(OR(H4206=MappingTables!$C$34,H4206=MappingTables!$C$35),W4206,0))</f>
        <v>0</v>
      </c>
    </row>
    <row r="4207" spans="2:24" s="0" customFormat="0" ht="15">
      <c r="B4207" s="69">
        <v>14418867</v>
      </c>
      <c r="C4207" s="70" t="s">
        <v>2383</v>
      </c>
      <c r="D4207" s="70" t="s">
        <v>1</v>
      </c>
      <c r="E4207" s="70" t="s">
        <v>1</v>
      </c>
      <c r="F4207" s="70"/>
      <c r="G4207" s="70" t="s">
        <v>61</v>
      </c>
      <c r="H4207" s="70" t="s">
        <v>178</v>
      </c>
      <c r="I4207" s="70" t="s">
        <v>181</v>
      </c>
      <c r="J4207" s="71">
        <f>IF(OR(I4207=0,I4207=""),"unrated",VLOOKUP(I4207,MappingTables!$B$19:$C$31,2,FALSE))</f>
        <v>3</v>
      </c>
      <c r="K4207" s="72">
        <v>76029.840508069248</v>
      </c>
      <c r="L4207" s="70">
        <v>3.3316891653877424</v>
      </c>
      <c r="M4207" s="71">
        <f>IF(L4207&lt;1,1,L4207)</f>
        <v>3.3316891653877424</v>
      </c>
      <c r="N4207" s="70" t="s">
        <v>141</v>
      </c>
      <c r="O4207" s="71">
        <f>INDEX(DurClassMapping,MATCH(M4207,MappingTables!$D$4:$D$8,-1),1)</f>
        <v>1</v>
      </c>
      <c r="P4207" s="73">
        <f>IF(M4207=$A$1,1,$M4207-INDEX(MappingTables!$E$4:$E$8,MATCH(O4207,MappingTables!$B$4:$B$8,0)))</f>
        <v>3.3316891653877424</v>
      </c>
      <c r="Q4207" s="71">
        <f>IF(B4207="",0,INDEX(ModelParameters!$D$6:$K$10,MATCH($O4207,ModelParameters!$B$6:$B$10,0),MATCH($J4207,ModelParameters!$D$5:$K$5,0)))</f>
        <v>0.025</v>
      </c>
      <c r="R4207" s="71">
        <f>IF(B4207="",0,INDEX(ModelParameters!$D$13:$K$17,MATCH($O4207,ModelParameters!$B$13:$B$17,0),MATCH($J4207,ModelParameters!$D$5:$K$5,0)))</f>
        <v>0</v>
      </c>
      <c r="S4207" s="160">
        <f>IF(B4207="",0,MIN(IF($N4207="Other Bond TM",ModelParameters!$N$21,1)*(P4207*Q4207+R4207),1))</f>
        <v>0.083292229134693568</v>
      </c>
      <c r="T4207" s="85">
        <f>IF(B4207="",0,$S4207*$K4207)</f>
        <v>6332.6948966723112</v>
      </c>
      <c r="U4207" s="85">
        <f>IF(B4207="",0,IF(OR(H4207=MappingTables!$C$34,H4207=MappingTables!$C$35),T4207,0))</f>
        <v>0</v>
      </c>
      <c r="V4207" s="85">
        <f>IF(ISNA(IF(AND(VLOOKUP(CONCATENATE($D4207,$G4207),CSRFinput!$B:$E,4,0)=0,OR(H4207=MappingTables!$C$34,H4207=MappingTables!$C$35)),1,VLOOKUP(CONCATENATE($D4207,$G4207),CSRFinput!$B:$E,4,0))),0,IF(AND(VLOOKUP(CONCATENATE($D4207,$G4207),CSRFinput!$B:$E,4,0)=0,OR(H4207=MappingTables!$C$34,H4207=MappingTables!$C$35)),1,VLOOKUP(CONCATENATE($D4207,$G4207),CSRFinput!$B:$E,4,0)))</f>
        <v>0.054776304963434752</v>
      </c>
      <c r="W4207" s="85">
        <f>IF(B4207="",0,+$T4207*$V4207)</f>
        <v>346.88162690050944</v>
      </c>
      <c r="X4207" s="85">
        <f>IF(B4207="",0,IF(OR(H4207=MappingTables!$C$34,H4207=MappingTables!$C$35),W4207,0))</f>
        <v>0</v>
      </c>
    </row>
    <row r="4208" spans="2:24" s="0" customFormat="0" ht="15">
      <c r="B4208" s="69">
        <v>8896432</v>
      </c>
      <c r="C4208" s="70" t="s">
        <v>2908</v>
      </c>
      <c r="D4208" s="70" t="s">
        <v>1</v>
      </c>
      <c r="E4208" s="70" t="s">
        <v>1</v>
      </c>
      <c r="F4208" s="70"/>
      <c r="G4208" s="70" t="s">
        <v>61</v>
      </c>
      <c r="H4208" s="70" t="s">
        <v>178</v>
      </c>
      <c r="I4208" s="70" t="s">
        <v>181</v>
      </c>
      <c r="J4208" s="71">
        <f>IF(OR(I4208=0,I4208=""),"unrated",VLOOKUP(I4208,MappingTables!$B$19:$C$31,2,FALSE))</f>
        <v>3</v>
      </c>
      <c r="K4208" s="72">
        <v>604.81367968404688</v>
      </c>
      <c r="L4208" s="70">
        <v>3.2406549068579344</v>
      </c>
      <c r="M4208" s="71">
        <f>IF(L4208&lt;1,1,L4208)</f>
        <v>3.2406549068579344</v>
      </c>
      <c r="N4208" s="70" t="s">
        <v>141</v>
      </c>
      <c r="O4208" s="71">
        <f>INDEX(DurClassMapping,MATCH(M4208,MappingTables!$D$4:$D$8,-1),1)</f>
        <v>1</v>
      </c>
      <c r="P4208" s="73">
        <f>IF(M4208=$A$1,1,$M4208-INDEX(MappingTables!$E$4:$E$8,MATCH(O4208,MappingTables!$B$4:$B$8,0)))</f>
        <v>3.2406549068579344</v>
      </c>
      <c r="Q4208" s="71">
        <f>IF(B4208="",0,INDEX(ModelParameters!$D$6:$K$10,MATCH($O4208,ModelParameters!$B$6:$B$10,0),MATCH($J4208,ModelParameters!$D$5:$K$5,0)))</f>
        <v>0.025</v>
      </c>
      <c r="R4208" s="71">
        <f>IF(B4208="",0,INDEX(ModelParameters!$D$13:$K$17,MATCH($O4208,ModelParameters!$B$13:$B$17,0),MATCH($J4208,ModelParameters!$D$5:$K$5,0)))</f>
        <v>0</v>
      </c>
      <c r="S4208" s="160">
        <f>IF(B4208="",0,MIN(IF($N4208="Other Bond TM",ModelParameters!$N$21,1)*(P4208*Q4208+R4208),1))</f>
        <v>0.081016372671448352</v>
      </c>
      <c r="T4208" s="85">
        <f>IF(B4208="",0,$S4208*$K4208)</f>
        <v>48.999810470072736</v>
      </c>
      <c r="U4208" s="85">
        <f>IF(B4208="",0,IF(OR(H4208=MappingTables!$C$34,H4208=MappingTables!$C$35),T4208,0))</f>
        <v>0</v>
      </c>
      <c r="V4208" s="85">
        <f>IF(ISNA(IF(AND(VLOOKUP(CONCATENATE($D4208,$G4208),CSRFinput!$B:$E,4,0)=0,OR(H4208=MappingTables!$C$34,H4208=MappingTables!$C$35)),1,VLOOKUP(CONCATENATE($D4208,$G4208),CSRFinput!$B:$E,4,0))),0,IF(AND(VLOOKUP(CONCATENATE($D4208,$G4208),CSRFinput!$B:$E,4,0)=0,OR(H4208=MappingTables!$C$34,H4208=MappingTables!$C$35)),1,VLOOKUP(CONCATENATE($D4208,$G4208),CSRFinput!$B:$E,4,0)))</f>
        <v>0.054776304963434752</v>
      </c>
      <c r="W4208" s="85">
        <f>IF(B4208="",0,+$T4208*$V4208)</f>
        <v>2.6840285614592076</v>
      </c>
      <c r="X4208" s="85">
        <f>IF(B4208="",0,IF(OR(H4208=MappingTables!$C$34,H4208=MappingTables!$C$35),W4208,0))</f>
        <v>0</v>
      </c>
    </row>
    <row r="4209" spans="2:24" s="0" customFormat="0" ht="15">
      <c r="B4209" s="69" t="s">
        <v>2298</v>
      </c>
      <c r="C4209" s="70" t="s">
        <v>2299</v>
      </c>
      <c r="D4209" s="70" t="s">
        <v>1</v>
      </c>
      <c r="E4209" s="70" t="s">
        <v>1</v>
      </c>
      <c r="F4209" s="70"/>
      <c r="G4209" s="70" t="s">
        <v>61</v>
      </c>
      <c r="H4209" s="70" t="s">
        <v>178</v>
      </c>
      <c r="I4209" s="70" t="s">
        <v>181</v>
      </c>
      <c r="J4209" s="71">
        <f>IF(OR(I4209=0,I4209=""),"unrated",VLOOKUP(I4209,MappingTables!$B$19:$C$31,2,FALSE))</f>
        <v>3</v>
      </c>
      <c r="K4209" s="72">
        <v>216.08209135801512</v>
      </c>
      <c r="L4209" s="70">
        <v>1.6070491509054992</v>
      </c>
      <c r="M4209" s="71">
        <f>IF(L4209&lt;1,1,L4209)</f>
        <v>1.6070491509054992</v>
      </c>
      <c r="N4209" s="70" t="s">
        <v>141</v>
      </c>
      <c r="O4209" s="71">
        <f>INDEX(DurClassMapping,MATCH(M4209,MappingTables!$D$4:$D$8,-1),1)</f>
        <v>1</v>
      </c>
      <c r="P4209" s="73">
        <f>IF(M4209=$A$1,1,$M4209-INDEX(MappingTables!$E$4:$E$8,MATCH(O4209,MappingTables!$B$4:$B$8,0)))</f>
        <v>1.6070491509054992</v>
      </c>
      <c r="Q4209" s="71">
        <f>IF(B4209="",0,INDEX(ModelParameters!$D$6:$K$10,MATCH($O4209,ModelParameters!$B$6:$B$10,0),MATCH($J4209,ModelParameters!$D$5:$K$5,0)))</f>
        <v>0.025</v>
      </c>
      <c r="R4209" s="71">
        <f>IF(B4209="",0,INDEX(ModelParameters!$D$13:$K$17,MATCH($O4209,ModelParameters!$B$13:$B$17,0),MATCH($J4209,ModelParameters!$D$5:$K$5,0)))</f>
        <v>0</v>
      </c>
      <c r="S4209" s="160">
        <f>IF(B4209="",0,MIN(IF($N4209="Other Bond TM",ModelParameters!$N$21,1)*(P4209*Q4209+R4209),1))</f>
        <v>0.04017622877263748</v>
      </c>
      <c r="T4209" s="85">
        <f>IF(B4209="",0,$S4209*$K4209)</f>
        <v>8.681363536069568</v>
      </c>
      <c r="U4209" s="85">
        <f>IF(B4209="",0,IF(OR(H4209=MappingTables!$C$34,H4209=MappingTables!$C$35),T4209,0))</f>
        <v>0</v>
      </c>
      <c r="V4209" s="85">
        <f>IF(ISNA(IF(AND(VLOOKUP(CONCATENATE($D4209,$G4209),CSRFinput!$B:$E,4,0)=0,OR(H4209=MappingTables!$C$34,H4209=MappingTables!$C$35)),1,VLOOKUP(CONCATENATE($D4209,$G4209),CSRFinput!$B:$E,4,0))),0,IF(AND(VLOOKUP(CONCATENATE($D4209,$G4209),CSRFinput!$B:$E,4,0)=0,OR(H4209=MappingTables!$C$34,H4209=MappingTables!$C$35)),1,VLOOKUP(CONCATENATE($D4209,$G4209),CSRFinput!$B:$E,4,0)))</f>
        <v>0.054776304963434752</v>
      </c>
      <c r="W4209" s="85">
        <f>IF(B4209="",0,+$T4209*$V4209)</f>
        <v>0.47553301655018896</v>
      </c>
      <c r="X4209" s="85">
        <f>IF(B4209="",0,IF(OR(H4209=MappingTables!$C$34,H4209=MappingTables!$C$35),W4209,0))</f>
        <v>0</v>
      </c>
    </row>
    <row r="4210" spans="2:24" s="0" customFormat="0" ht="15">
      <c r="B4210" s="69">
        <v>14504610</v>
      </c>
      <c r="C4210" s="70" t="s">
        <v>2713</v>
      </c>
      <c r="D4210" s="70" t="s">
        <v>1</v>
      </c>
      <c r="E4210" s="70" t="s">
        <v>1</v>
      </c>
      <c r="F4210" s="70"/>
      <c r="G4210" s="70" t="s">
        <v>61</v>
      </c>
      <c r="H4210" s="70" t="s">
        <v>178</v>
      </c>
      <c r="I4210" s="70" t="s">
        <v>188</v>
      </c>
      <c r="J4210" s="71">
        <f>IF(OR(I4210=0,I4210=""),"unrated",VLOOKUP(I4210,MappingTables!$B$19:$C$31,2,FALSE))</f>
        <v>2</v>
      </c>
      <c r="K4210" s="72">
        <v>345.24538989271464</v>
      </c>
      <c r="L4210" s="70">
        <v>0.51365689539667224</v>
      </c>
      <c r="M4210" s="71">
        <f>IF(L4210&lt;1,1,L4210)</f>
        <v>1</v>
      </c>
      <c r="N4210" s="70" t="s">
        <v>141</v>
      </c>
      <c r="O4210" s="71">
        <f>INDEX(DurClassMapping,MATCH(M4210,MappingTables!$D$4:$D$8,-1),1)</f>
        <v>1</v>
      </c>
      <c r="P4210" s="73">
        <f>IF(M4210=$A$1,1,$M4210-INDEX(MappingTables!$E$4:$E$8,MATCH(O4210,MappingTables!$B$4:$B$8,0)))</f>
        <v>1</v>
      </c>
      <c r="Q4210" s="71">
        <f>IF(B4210="",0,INDEX(ModelParameters!$D$6:$K$10,MATCH($O4210,ModelParameters!$B$6:$B$10,0),MATCH($J4210,ModelParameters!$D$5:$K$5,0)))</f>
        <v>0.013999999999999998</v>
      </c>
      <c r="R4210" s="71">
        <f>IF(B4210="",0,INDEX(ModelParameters!$D$13:$K$17,MATCH($O4210,ModelParameters!$B$13:$B$17,0),MATCH($J4210,ModelParameters!$D$5:$K$5,0)))</f>
        <v>0</v>
      </c>
      <c r="S4210" s="160">
        <f>IF(B4210="",0,MIN(IF($N4210="Other Bond TM",ModelParameters!$N$21,1)*(P4210*Q4210+R4210),1))</f>
        <v>0.013999999999999998</v>
      </c>
      <c r="T4210" s="85">
        <f>IF(B4210="",0,$S4210*$K4210)</f>
        <v>4.8334354584980048</v>
      </c>
      <c r="U4210" s="85">
        <f>IF(B4210="",0,IF(OR(H4210=MappingTables!$C$34,H4210=MappingTables!$C$35),T4210,0))</f>
        <v>0</v>
      </c>
      <c r="V4210" s="85">
        <f>IF(ISNA(IF(AND(VLOOKUP(CONCATENATE($D4210,$G4210),CSRFinput!$B:$E,4,0)=0,OR(H4210=MappingTables!$C$34,H4210=MappingTables!$C$35)),1,VLOOKUP(CONCATENATE($D4210,$G4210),CSRFinput!$B:$E,4,0))),0,IF(AND(VLOOKUP(CONCATENATE($D4210,$G4210),CSRFinput!$B:$E,4,0)=0,OR(H4210=MappingTables!$C$34,H4210=MappingTables!$C$35)),1,VLOOKUP(CONCATENATE($D4210,$G4210),CSRFinput!$B:$E,4,0)))</f>
        <v>0.054776304963434752</v>
      </c>
      <c r="W4210" s="85">
        <f>IF(B4210="",0,+$T4210*$V4210)</f>
        <v>0.2647577346957658</v>
      </c>
      <c r="X4210" s="85">
        <f>IF(B4210="",0,IF(OR(H4210=MappingTables!$C$34,H4210=MappingTables!$C$35),W4210,0))</f>
        <v>0</v>
      </c>
    </row>
    <row r="4211" spans="2:24" s="0" customFormat="0" ht="15">
      <c r="B4211" s="69">
        <v>20986313</v>
      </c>
      <c r="C4211" s="70" t="s">
        <v>2720</v>
      </c>
      <c r="D4211" s="70" t="s">
        <v>1</v>
      </c>
      <c r="E4211" s="70" t="s">
        <v>1</v>
      </c>
      <c r="F4211" s="70"/>
      <c r="G4211" s="70" t="s">
        <v>61</v>
      </c>
      <c r="H4211" s="70" t="s">
        <v>178</v>
      </c>
      <c r="I4211" s="70" t="s">
        <v>184</v>
      </c>
      <c r="J4211" s="71">
        <f>IF(OR(I4211=0,I4211=""),"unrated",VLOOKUP(I4211,MappingTables!$B$19:$C$31,2,FALSE))</f>
        <v>5</v>
      </c>
      <c r="K4211" s="72">
        <v>8623.1135745834016</v>
      </c>
      <c r="L4211" s="70">
        <v>0.69316958660176976</v>
      </c>
      <c r="M4211" s="71">
        <f>IF(L4211&lt;1,1,L4211)</f>
        <v>1</v>
      </c>
      <c r="N4211" s="70" t="s">
        <v>141</v>
      </c>
      <c r="O4211" s="71">
        <f>INDEX(DurClassMapping,MATCH(M4211,MappingTables!$D$4:$D$8,-1),1)</f>
        <v>1</v>
      </c>
      <c r="P4211" s="73">
        <f>IF(M4211=$A$1,1,$M4211-INDEX(MappingTables!$E$4:$E$8,MATCH(O4211,MappingTables!$B$4:$B$8,0)))</f>
        <v>1</v>
      </c>
      <c r="Q4211" s="71">
        <f>IF(B4211="",0,INDEX(ModelParameters!$D$6:$K$10,MATCH($O4211,ModelParameters!$B$6:$B$10,0),MATCH($J4211,ModelParameters!$D$5:$K$5,0)))</f>
        <v>0.075</v>
      </c>
      <c r="R4211" s="71">
        <f>IF(B4211="",0,INDEX(ModelParameters!$D$13:$K$17,MATCH($O4211,ModelParameters!$B$13:$B$17,0),MATCH($J4211,ModelParameters!$D$5:$K$5,0)))</f>
        <v>0</v>
      </c>
      <c r="S4211" s="160">
        <f>IF(B4211="",0,MIN(IF($N4211="Other Bond TM",ModelParameters!$N$21,1)*(P4211*Q4211+R4211),1))</f>
        <v>0.075</v>
      </c>
      <c r="T4211" s="85">
        <f>IF(B4211="",0,$S4211*$K4211)</f>
        <v>646.73351809375512</v>
      </c>
      <c r="U4211" s="85">
        <f>IF(B4211="",0,IF(OR(H4211=MappingTables!$C$34,H4211=MappingTables!$C$35),T4211,0))</f>
        <v>0</v>
      </c>
      <c r="V4211" s="85">
        <f>IF(ISNA(IF(AND(VLOOKUP(CONCATENATE($D4211,$G4211),CSRFinput!$B:$E,4,0)=0,OR(H4211=MappingTables!$C$34,H4211=MappingTables!$C$35)),1,VLOOKUP(CONCATENATE($D4211,$G4211),CSRFinput!$B:$E,4,0))),0,IF(AND(VLOOKUP(CONCATENATE($D4211,$G4211),CSRFinput!$B:$E,4,0)=0,OR(H4211=MappingTables!$C$34,H4211=MappingTables!$C$35)),1,VLOOKUP(CONCATENATE($D4211,$G4211),CSRFinput!$B:$E,4,0)))</f>
        <v>0.054776304963434752</v>
      </c>
      <c r="W4211" s="85">
        <f>IF(B4211="",0,+$T4211*$V4211)</f>
        <v>35.42567241717858</v>
      </c>
      <c r="X4211" s="85">
        <f>IF(B4211="",0,IF(OR(H4211=MappingTables!$C$34,H4211=MappingTables!$C$35),W4211,0))</f>
        <v>0</v>
      </c>
    </row>
    <row r="4212" spans="2:24" s="0" customFormat="0" ht="15">
      <c r="B4212" s="69">
        <v>14284409</v>
      </c>
      <c r="C4212" s="70" t="s">
        <v>1776</v>
      </c>
      <c r="D4212" s="70" t="s">
        <v>1</v>
      </c>
      <c r="E4212" s="70" t="s">
        <v>1</v>
      </c>
      <c r="F4212" s="70"/>
      <c r="G4212" s="70" t="s">
        <v>61</v>
      </c>
      <c r="H4212" s="70" t="s">
        <v>178</v>
      </c>
      <c r="I4212" s="70" t="s">
        <v>188</v>
      </c>
      <c r="J4212" s="71">
        <f>IF(OR(I4212=0,I4212=""),"unrated",VLOOKUP(I4212,MappingTables!$B$19:$C$31,2,FALSE))</f>
        <v>2</v>
      </c>
      <c r="K4212" s="72">
        <v>966.2436445788608</v>
      </c>
      <c r="L4212" s="70">
        <v>1.4192472343083294</v>
      </c>
      <c r="M4212" s="71">
        <f>IF(L4212&lt;1,1,L4212)</f>
        <v>1.4192472343083294</v>
      </c>
      <c r="N4212" s="70" t="s">
        <v>141</v>
      </c>
      <c r="O4212" s="71">
        <f>INDEX(DurClassMapping,MATCH(M4212,MappingTables!$D$4:$D$8,-1),1)</f>
        <v>1</v>
      </c>
      <c r="P4212" s="73">
        <f>IF(M4212=$A$1,1,$M4212-INDEX(MappingTables!$E$4:$E$8,MATCH(O4212,MappingTables!$B$4:$B$8,0)))</f>
        <v>1.4192472343083294</v>
      </c>
      <c r="Q4212" s="71">
        <f>IF(B4212="",0,INDEX(ModelParameters!$D$6:$K$10,MATCH($O4212,ModelParameters!$B$6:$B$10,0),MATCH($J4212,ModelParameters!$D$5:$K$5,0)))</f>
        <v>0.013999999999999998</v>
      </c>
      <c r="R4212" s="71">
        <f>IF(B4212="",0,INDEX(ModelParameters!$D$13:$K$17,MATCH($O4212,ModelParameters!$B$13:$B$17,0),MATCH($J4212,ModelParameters!$D$5:$K$5,0)))</f>
        <v>0</v>
      </c>
      <c r="S4212" s="160">
        <f>IF(B4212="",0,MIN(IF($N4212="Other Bond TM",ModelParameters!$N$21,1)*(P4212*Q4212+R4212),1))</f>
        <v>0.019869461280316608</v>
      </c>
      <c r="T4212" s="85">
        <f>IF(B4212="",0,$S4212*$K4212)</f>
        <v>19.198740683311676</v>
      </c>
      <c r="U4212" s="85">
        <f>IF(B4212="",0,IF(OR(H4212=MappingTables!$C$34,H4212=MappingTables!$C$35),T4212,0))</f>
        <v>0</v>
      </c>
      <c r="V4212" s="85">
        <f>IF(ISNA(IF(AND(VLOOKUP(CONCATENATE($D4212,$G4212),CSRFinput!$B:$E,4,0)=0,OR(H4212=MappingTables!$C$34,H4212=MappingTables!$C$35)),1,VLOOKUP(CONCATENATE($D4212,$G4212),CSRFinput!$B:$E,4,0))),0,IF(AND(VLOOKUP(CONCATENATE($D4212,$G4212),CSRFinput!$B:$E,4,0)=0,OR(H4212=MappingTables!$C$34,H4212=MappingTables!$C$35)),1,VLOOKUP(CONCATENATE($D4212,$G4212),CSRFinput!$B:$E,4,0)))</f>
        <v>0.054776304963434752</v>
      </c>
      <c r="W4212" s="85">
        <f>IF(B4212="",0,+$T4212*$V4212)</f>
        <v>1.051636074582982</v>
      </c>
      <c r="X4212" s="85">
        <f>IF(B4212="",0,IF(OR(H4212=MappingTables!$C$34,H4212=MappingTables!$C$35),W4212,0))</f>
        <v>0</v>
      </c>
    </row>
    <row r="4213" spans="2:24" s="0" customFormat="0" ht="15">
      <c r="B4213" s="69">
        <v>15887208</v>
      </c>
      <c r="C4213" s="70" t="s">
        <v>1688</v>
      </c>
      <c r="D4213" s="70" t="s">
        <v>1</v>
      </c>
      <c r="E4213" s="70" t="s">
        <v>1</v>
      </c>
      <c r="F4213" s="70"/>
      <c r="G4213" s="70" t="s">
        <v>61</v>
      </c>
      <c r="H4213" s="70" t="s">
        <v>178</v>
      </c>
      <c r="I4213" s="70" t="s">
        <v>188</v>
      </c>
      <c r="J4213" s="71">
        <f>IF(OR(I4213=0,I4213=""),"unrated",VLOOKUP(I4213,MappingTables!$B$19:$C$31,2,FALSE))</f>
        <v>2</v>
      </c>
      <c r="K4213" s="72">
        <v>2700.8724958181936</v>
      </c>
      <c r="L4213" s="70">
        <v>0.098631776466411008</v>
      </c>
      <c r="M4213" s="71">
        <f>IF(L4213&lt;1,1,L4213)</f>
        <v>1</v>
      </c>
      <c r="N4213" s="70" t="s">
        <v>141</v>
      </c>
      <c r="O4213" s="71">
        <f>INDEX(DurClassMapping,MATCH(M4213,MappingTables!$D$4:$D$8,-1),1)</f>
        <v>1</v>
      </c>
      <c r="P4213" s="73">
        <f>IF(M4213=$A$1,1,$M4213-INDEX(MappingTables!$E$4:$E$8,MATCH(O4213,MappingTables!$B$4:$B$8,0)))</f>
        <v>1</v>
      </c>
      <c r="Q4213" s="71">
        <f>IF(B4213="",0,INDEX(ModelParameters!$D$6:$K$10,MATCH($O4213,ModelParameters!$B$6:$B$10,0),MATCH($J4213,ModelParameters!$D$5:$K$5,0)))</f>
        <v>0.013999999999999998</v>
      </c>
      <c r="R4213" s="71">
        <f>IF(B4213="",0,INDEX(ModelParameters!$D$13:$K$17,MATCH($O4213,ModelParameters!$B$13:$B$17,0),MATCH($J4213,ModelParameters!$D$5:$K$5,0)))</f>
        <v>0</v>
      </c>
      <c r="S4213" s="160">
        <f>IF(B4213="",0,MIN(IF($N4213="Other Bond TM",ModelParameters!$N$21,1)*(P4213*Q4213+R4213),1))</f>
        <v>0.013999999999999998</v>
      </c>
      <c r="T4213" s="85">
        <f>IF(B4213="",0,$S4213*$K4213)</f>
        <v>37.812214941454712</v>
      </c>
      <c r="U4213" s="85">
        <f>IF(B4213="",0,IF(OR(H4213=MappingTables!$C$34,H4213=MappingTables!$C$35),T4213,0))</f>
        <v>0</v>
      </c>
      <c r="V4213" s="85">
        <f>IF(ISNA(IF(AND(VLOOKUP(CONCATENATE($D4213,$G4213),CSRFinput!$B:$E,4,0)=0,OR(H4213=MappingTables!$C$34,H4213=MappingTables!$C$35)),1,VLOOKUP(CONCATENATE($D4213,$G4213),CSRFinput!$B:$E,4,0))),0,IF(AND(VLOOKUP(CONCATENATE($D4213,$G4213),CSRFinput!$B:$E,4,0)=0,OR(H4213=MappingTables!$C$34,H4213=MappingTables!$C$35)),1,VLOOKUP(CONCATENATE($D4213,$G4213),CSRFinput!$B:$E,4,0)))</f>
        <v>0.054776304963434752</v>
      </c>
      <c r="W4213" s="85">
        <f>IF(B4213="",0,+$T4213*$V4213)</f>
        <v>2.0712134169760676</v>
      </c>
      <c r="X4213" s="85">
        <f>IF(B4213="",0,IF(OR(H4213=MappingTables!$C$34,H4213=MappingTables!$C$35),W4213,0))</f>
        <v>0</v>
      </c>
    </row>
    <row r="4214" spans="2:24" s="0" customFormat="0" ht="15">
      <c r="B4214" s="69">
        <v>7852167</v>
      </c>
      <c r="C4214" s="70" t="s">
        <v>2287</v>
      </c>
      <c r="D4214" s="70" t="s">
        <v>1</v>
      </c>
      <c r="E4214" s="70" t="s">
        <v>1</v>
      </c>
      <c r="F4214" s="70"/>
      <c r="G4214" s="70" t="s">
        <v>61</v>
      </c>
      <c r="H4214" s="70" t="s">
        <v>178</v>
      </c>
      <c r="I4214" s="70" t="s">
        <v>181</v>
      </c>
      <c r="J4214" s="71">
        <f>IF(OR(I4214=0,I4214=""),"unrated",VLOOKUP(I4214,MappingTables!$B$19:$C$31,2,FALSE))</f>
        <v>3</v>
      </c>
      <c r="K4214" s="72">
        <v>551.16442242198568</v>
      </c>
      <c r="L4214" s="70">
        <v>0.20821369682501936</v>
      </c>
      <c r="M4214" s="71">
        <f>IF(L4214&lt;1,1,L4214)</f>
        <v>1</v>
      </c>
      <c r="N4214" s="70" t="s">
        <v>141</v>
      </c>
      <c r="O4214" s="71">
        <f>INDEX(DurClassMapping,MATCH(M4214,MappingTables!$D$4:$D$8,-1),1)</f>
        <v>1</v>
      </c>
      <c r="P4214" s="73">
        <f>IF(M4214=$A$1,1,$M4214-INDEX(MappingTables!$E$4:$E$8,MATCH(O4214,MappingTables!$B$4:$B$8,0)))</f>
        <v>1</v>
      </c>
      <c r="Q4214" s="71">
        <f>IF(B4214="",0,INDEX(ModelParameters!$D$6:$K$10,MATCH($O4214,ModelParameters!$B$6:$B$10,0),MATCH($J4214,ModelParameters!$D$5:$K$5,0)))</f>
        <v>0.025</v>
      </c>
      <c r="R4214" s="71">
        <f>IF(B4214="",0,INDEX(ModelParameters!$D$13:$K$17,MATCH($O4214,ModelParameters!$B$13:$B$17,0),MATCH($J4214,ModelParameters!$D$5:$K$5,0)))</f>
        <v>0</v>
      </c>
      <c r="S4214" s="160">
        <f>IF(B4214="",0,MIN(IF($N4214="Other Bond TM",ModelParameters!$N$21,1)*(P4214*Q4214+R4214),1))</f>
        <v>0.025</v>
      </c>
      <c r="T4214" s="85">
        <f>IF(B4214="",0,$S4214*$K4214)</f>
        <v>13.779110560549644</v>
      </c>
      <c r="U4214" s="85">
        <f>IF(B4214="",0,IF(OR(H4214=MappingTables!$C$34,H4214=MappingTables!$C$35),T4214,0))</f>
        <v>0</v>
      </c>
      <c r="V4214" s="85">
        <f>IF(ISNA(IF(AND(VLOOKUP(CONCATENATE($D4214,$G4214),CSRFinput!$B:$E,4,0)=0,OR(H4214=MappingTables!$C$34,H4214=MappingTables!$C$35)),1,VLOOKUP(CONCATENATE($D4214,$G4214),CSRFinput!$B:$E,4,0))),0,IF(AND(VLOOKUP(CONCATENATE($D4214,$G4214),CSRFinput!$B:$E,4,0)=0,OR(H4214=MappingTables!$C$34,H4214=MappingTables!$C$35)),1,VLOOKUP(CONCATENATE($D4214,$G4214),CSRFinput!$B:$E,4,0)))</f>
        <v>0.054776304963434752</v>
      </c>
      <c r="W4214" s="85">
        <f>IF(B4214="",0,+$T4214*$V4214)</f>
        <v>0.75476876218955168</v>
      </c>
      <c r="X4214" s="85">
        <f>IF(B4214="",0,IF(OR(H4214=MappingTables!$C$34,H4214=MappingTables!$C$35),W4214,0))</f>
        <v>0</v>
      </c>
    </row>
    <row r="4215" spans="2:24" s="0" customFormat="0" ht="15">
      <c r="B4215" s="69">
        <v>19203904</v>
      </c>
      <c r="C4215" s="70" t="s">
        <v>2692</v>
      </c>
      <c r="D4215" s="70" t="s">
        <v>1</v>
      </c>
      <c r="E4215" s="70" t="s">
        <v>1</v>
      </c>
      <c r="F4215" s="70"/>
      <c r="G4215" s="70" t="s">
        <v>61</v>
      </c>
      <c r="H4215" s="70" t="s">
        <v>178</v>
      </c>
      <c r="I4215" s="70" t="s">
        <v>179</v>
      </c>
      <c r="J4215" s="71">
        <f>IF(OR(I4215=0,I4215=""),"unrated",VLOOKUP(I4215,MappingTables!$B$19:$C$31,2,FALSE))</f>
        <v>4</v>
      </c>
      <c r="K4215" s="72">
        <v>12841.302683049742</v>
      </c>
      <c r="L4215" s="70">
        <v>2.9193169029223184</v>
      </c>
      <c r="M4215" s="71">
        <f>IF(L4215&lt;1,1,L4215)</f>
        <v>2.9193169029223184</v>
      </c>
      <c r="N4215" s="70" t="s">
        <v>141</v>
      </c>
      <c r="O4215" s="71">
        <f>INDEX(DurClassMapping,MATCH(M4215,MappingTables!$D$4:$D$8,-1),1)</f>
        <v>1</v>
      </c>
      <c r="P4215" s="73">
        <f>IF(M4215=$A$1,1,$M4215-INDEX(MappingTables!$E$4:$E$8,MATCH(O4215,MappingTables!$B$4:$B$8,0)))</f>
        <v>2.9193169029223184</v>
      </c>
      <c r="Q4215" s="71">
        <f>IF(B4215="",0,INDEX(ModelParameters!$D$6:$K$10,MATCH($O4215,ModelParameters!$B$6:$B$10,0),MATCH($J4215,ModelParameters!$D$5:$K$5,0)))</f>
        <v>0.045</v>
      </c>
      <c r="R4215" s="71">
        <f>IF(B4215="",0,INDEX(ModelParameters!$D$13:$K$17,MATCH($O4215,ModelParameters!$B$13:$B$17,0),MATCH($J4215,ModelParameters!$D$5:$K$5,0)))</f>
        <v>0</v>
      </c>
      <c r="S4215" s="160">
        <f>IF(B4215="",0,MIN(IF($N4215="Other Bond TM",ModelParameters!$N$21,1)*(P4215*Q4215+R4215),1))</f>
        <v>0.13136926063150434</v>
      </c>
      <c r="T4215" s="85">
        <f>IF(B4215="",0,$S4215*$K4215)</f>
        <v>1686.9524390175974</v>
      </c>
      <c r="U4215" s="85">
        <f>IF(B4215="",0,IF(OR(H4215=MappingTables!$C$34,H4215=MappingTables!$C$35),T4215,0))</f>
        <v>0</v>
      </c>
      <c r="V4215" s="85">
        <f>IF(ISNA(IF(AND(VLOOKUP(CONCATENATE($D4215,$G4215),CSRFinput!$B:$E,4,0)=0,OR(H4215=MappingTables!$C$34,H4215=MappingTables!$C$35)),1,VLOOKUP(CONCATENATE($D4215,$G4215),CSRFinput!$B:$E,4,0))),0,IF(AND(VLOOKUP(CONCATENATE($D4215,$G4215),CSRFinput!$B:$E,4,0)=0,OR(H4215=MappingTables!$C$34,H4215=MappingTables!$C$35)),1,VLOOKUP(CONCATENATE($D4215,$G4215),CSRFinput!$B:$E,4,0)))</f>
        <v>0.054776304963434752</v>
      </c>
      <c r="W4215" s="85">
        <f>IF(B4215="",0,+$T4215*$V4215)</f>
        <v>92.405021258437984</v>
      </c>
      <c r="X4215" s="85">
        <f>IF(B4215="",0,IF(OR(H4215=MappingTables!$C$34,H4215=MappingTables!$C$35),W4215,0))</f>
        <v>0</v>
      </c>
    </row>
    <row r="4216" spans="2:24" s="0" customFormat="0" ht="15">
      <c r="B4216" s="69">
        <v>7621870</v>
      </c>
      <c r="C4216" s="70" t="s">
        <v>475</v>
      </c>
      <c r="D4216" s="70" t="s">
        <v>1</v>
      </c>
      <c r="E4216" s="70" t="s">
        <v>1</v>
      </c>
      <c r="F4216" s="70"/>
      <c r="G4216" s="70" t="s">
        <v>61</v>
      </c>
      <c r="H4216" s="70" t="s">
        <v>178</v>
      </c>
      <c r="I4216" s="70" t="s">
        <v>181</v>
      </c>
      <c r="J4216" s="71">
        <f>IF(OR(I4216=0,I4216=""),"unrated",VLOOKUP(I4216,MappingTables!$B$19:$C$31,2,FALSE))</f>
        <v>3</v>
      </c>
      <c r="K4216" s="72">
        <v>1.5021616290035368</v>
      </c>
      <c r="L4216" s="70">
        <v>0.76438850270035056</v>
      </c>
      <c r="M4216" s="71">
        <f>IF(L4216&lt;1,1,L4216)</f>
        <v>1</v>
      </c>
      <c r="N4216" s="70" t="s">
        <v>141</v>
      </c>
      <c r="O4216" s="71">
        <f>INDEX(DurClassMapping,MATCH(M4216,MappingTables!$D$4:$D$8,-1),1)</f>
        <v>1</v>
      </c>
      <c r="P4216" s="73">
        <f>IF(M4216=$A$1,1,$M4216-INDEX(MappingTables!$E$4:$E$8,MATCH(O4216,MappingTables!$B$4:$B$8,0)))</f>
        <v>1</v>
      </c>
      <c r="Q4216" s="71">
        <f>IF(B4216="",0,INDEX(ModelParameters!$D$6:$K$10,MATCH($O4216,ModelParameters!$B$6:$B$10,0),MATCH($J4216,ModelParameters!$D$5:$K$5,0)))</f>
        <v>0.025</v>
      </c>
      <c r="R4216" s="71">
        <f>IF(B4216="",0,INDEX(ModelParameters!$D$13:$K$17,MATCH($O4216,ModelParameters!$B$13:$B$17,0),MATCH($J4216,ModelParameters!$D$5:$K$5,0)))</f>
        <v>0</v>
      </c>
      <c r="S4216" s="160">
        <f>IF(B4216="",0,MIN(IF($N4216="Other Bond TM",ModelParameters!$N$21,1)*(P4216*Q4216+R4216),1))</f>
        <v>0.025</v>
      </c>
      <c r="T4216" s="85">
        <f>IF(B4216="",0,$S4216*$K4216)</f>
        <v>0.037554040725088424</v>
      </c>
      <c r="U4216" s="85">
        <f>IF(B4216="",0,IF(OR(H4216=MappingTables!$C$34,H4216=MappingTables!$C$35),T4216,0))</f>
        <v>0</v>
      </c>
      <c r="V4216" s="85">
        <f>IF(ISNA(IF(AND(VLOOKUP(CONCATENATE($D4216,$G4216),CSRFinput!$B:$E,4,0)=0,OR(H4216=MappingTables!$C$34,H4216=MappingTables!$C$35)),1,VLOOKUP(CONCATENATE($D4216,$G4216),CSRFinput!$B:$E,4,0))),0,IF(AND(VLOOKUP(CONCATENATE($D4216,$G4216),CSRFinput!$B:$E,4,0)=0,OR(H4216=MappingTables!$C$34,H4216=MappingTables!$C$35)),1,VLOOKUP(CONCATENATE($D4216,$G4216),CSRFinput!$B:$E,4,0)))</f>
        <v>0.054776304963434752</v>
      </c>
      <c r="W4216" s="85">
        <f>IF(B4216="",0,+$T4216*$V4216)</f>
        <v>0.002057071587366692</v>
      </c>
      <c r="X4216" s="85">
        <f>IF(B4216="",0,IF(OR(H4216=MappingTables!$C$34,H4216=MappingTables!$C$35),W4216,0))</f>
        <v>0</v>
      </c>
    </row>
    <row r="4217" spans="2:24" s="0" customFormat="0" ht="15">
      <c r="B4217" s="69">
        <v>16151235</v>
      </c>
      <c r="C4217" s="70" t="s">
        <v>375</v>
      </c>
      <c r="D4217" s="70" t="s">
        <v>1</v>
      </c>
      <c r="E4217" s="70" t="s">
        <v>1</v>
      </c>
      <c r="F4217" s="70"/>
      <c r="G4217" s="70" t="s">
        <v>61</v>
      </c>
      <c r="H4217" s="70" t="s">
        <v>178</v>
      </c>
      <c r="I4217" s="70" t="s">
        <v>181</v>
      </c>
      <c r="J4217" s="71">
        <f>IF(OR(I4217=0,I4217=""),"unrated",VLOOKUP(I4217,MappingTables!$B$19:$C$31,2,FALSE))</f>
        <v>3</v>
      </c>
      <c r="K4217" s="72">
        <v>741.44231554999824</v>
      </c>
      <c r="L4217" s="70">
        <v>0.31781412772368184</v>
      </c>
      <c r="M4217" s="71">
        <f>IF(L4217&lt;1,1,L4217)</f>
        <v>1</v>
      </c>
      <c r="N4217" s="70" t="s">
        <v>141</v>
      </c>
      <c r="O4217" s="71">
        <f>INDEX(DurClassMapping,MATCH(M4217,MappingTables!$D$4:$D$8,-1),1)</f>
        <v>1</v>
      </c>
      <c r="P4217" s="73">
        <f>IF(M4217=$A$1,1,$M4217-INDEX(MappingTables!$E$4:$E$8,MATCH(O4217,MappingTables!$B$4:$B$8,0)))</f>
        <v>1</v>
      </c>
      <c r="Q4217" s="71">
        <f>IF(B4217="",0,INDEX(ModelParameters!$D$6:$K$10,MATCH($O4217,ModelParameters!$B$6:$B$10,0),MATCH($J4217,ModelParameters!$D$5:$K$5,0)))</f>
        <v>0.025</v>
      </c>
      <c r="R4217" s="71">
        <f>IF(B4217="",0,INDEX(ModelParameters!$D$13:$K$17,MATCH($O4217,ModelParameters!$B$13:$B$17,0),MATCH($J4217,ModelParameters!$D$5:$K$5,0)))</f>
        <v>0</v>
      </c>
      <c r="S4217" s="160">
        <f>IF(B4217="",0,MIN(IF($N4217="Other Bond TM",ModelParameters!$N$21,1)*(P4217*Q4217+R4217),1))</f>
        <v>0.025</v>
      </c>
      <c r="T4217" s="85">
        <f>IF(B4217="",0,$S4217*$K4217)</f>
        <v>18.536057888749956</v>
      </c>
      <c r="U4217" s="85">
        <f>IF(B4217="",0,IF(OR(H4217=MappingTables!$C$34,H4217=MappingTables!$C$35),T4217,0))</f>
        <v>0</v>
      </c>
      <c r="V4217" s="85">
        <f>IF(ISNA(IF(AND(VLOOKUP(CONCATENATE($D4217,$G4217),CSRFinput!$B:$E,4,0)=0,OR(H4217=MappingTables!$C$34,H4217=MappingTables!$C$35)),1,VLOOKUP(CONCATENATE($D4217,$G4217),CSRFinput!$B:$E,4,0))),0,IF(AND(VLOOKUP(CONCATENATE($D4217,$G4217),CSRFinput!$B:$E,4,0)=0,OR(H4217=MappingTables!$C$34,H4217=MappingTables!$C$35)),1,VLOOKUP(CONCATENATE($D4217,$G4217),CSRFinput!$B:$E,4,0)))</f>
        <v>0.054776304963434752</v>
      </c>
      <c r="W4217" s="85">
        <f>IF(B4217="",0,+$T4217*$V4217)</f>
        <v>1.0153367597340482</v>
      </c>
      <c r="X4217" s="85">
        <f>IF(B4217="",0,IF(OR(H4217=MappingTables!$C$34,H4217=MappingTables!$C$35),W4217,0))</f>
        <v>0</v>
      </c>
    </row>
    <row r="4218" spans="2:24" s="0" customFormat="0" ht="15">
      <c r="B4218" s="69">
        <v>17069409</v>
      </c>
      <c r="C4218" s="70" t="s">
        <v>2760</v>
      </c>
      <c r="D4218" s="70" t="s">
        <v>1</v>
      </c>
      <c r="E4218" s="70" t="s">
        <v>1</v>
      </c>
      <c r="F4218" s="70"/>
      <c r="G4218" s="70" t="s">
        <v>61</v>
      </c>
      <c r="H4218" s="70" t="s">
        <v>178</v>
      </c>
      <c r="I4218" s="70" t="s">
        <v>181</v>
      </c>
      <c r="J4218" s="71">
        <f>IF(OR(I4218=0,I4218=""),"unrated",VLOOKUP(I4218,MappingTables!$B$19:$C$31,2,FALSE))</f>
        <v>3</v>
      </c>
      <c r="K4218" s="72">
        <v>144.96949387369556</v>
      </c>
      <c r="L4218" s="70">
        <v>0.34794317989878476</v>
      </c>
      <c r="M4218" s="71">
        <f>IF(L4218&lt;1,1,L4218)</f>
        <v>1</v>
      </c>
      <c r="N4218" s="70" t="s">
        <v>141</v>
      </c>
      <c r="O4218" s="71">
        <f>INDEX(DurClassMapping,MATCH(M4218,MappingTables!$D$4:$D$8,-1),1)</f>
        <v>1</v>
      </c>
      <c r="P4218" s="73">
        <f>IF(M4218=$A$1,1,$M4218-INDEX(MappingTables!$E$4:$E$8,MATCH(O4218,MappingTables!$B$4:$B$8,0)))</f>
        <v>1</v>
      </c>
      <c r="Q4218" s="71">
        <f>IF(B4218="",0,INDEX(ModelParameters!$D$6:$K$10,MATCH($O4218,ModelParameters!$B$6:$B$10,0),MATCH($J4218,ModelParameters!$D$5:$K$5,0)))</f>
        <v>0.025</v>
      </c>
      <c r="R4218" s="71">
        <f>IF(B4218="",0,INDEX(ModelParameters!$D$13:$K$17,MATCH($O4218,ModelParameters!$B$13:$B$17,0),MATCH($J4218,ModelParameters!$D$5:$K$5,0)))</f>
        <v>0</v>
      </c>
      <c r="S4218" s="160">
        <f>IF(B4218="",0,MIN(IF($N4218="Other Bond TM",ModelParameters!$N$21,1)*(P4218*Q4218+R4218),1))</f>
        <v>0.025</v>
      </c>
      <c r="T4218" s="85">
        <f>IF(B4218="",0,$S4218*$K4218)</f>
        <v>3.6242373468423896</v>
      </c>
      <c r="U4218" s="85">
        <f>IF(B4218="",0,IF(OR(H4218=MappingTables!$C$34,H4218=MappingTables!$C$35),T4218,0))</f>
        <v>0</v>
      </c>
      <c r="V4218" s="85">
        <f>IF(ISNA(IF(AND(VLOOKUP(CONCATENATE($D4218,$G4218),CSRFinput!$B:$E,4,0)=0,OR(H4218=MappingTables!$C$34,H4218=MappingTables!$C$35)),1,VLOOKUP(CONCATENATE($D4218,$G4218),CSRFinput!$B:$E,4,0))),0,IF(AND(VLOOKUP(CONCATENATE($D4218,$G4218),CSRFinput!$B:$E,4,0)=0,OR(H4218=MappingTables!$C$34,H4218=MappingTables!$C$35)),1,VLOOKUP(CONCATENATE($D4218,$G4218),CSRFinput!$B:$E,4,0)))</f>
        <v>0.054776304963434752</v>
      </c>
      <c r="W4218" s="85">
        <f>IF(B4218="",0,+$T4218*$V4218)</f>
        <v>0.1985223301705084</v>
      </c>
      <c r="X4218" s="85">
        <f>IF(B4218="",0,IF(OR(H4218=MappingTables!$C$34,H4218=MappingTables!$C$35),W4218,0))</f>
        <v>0</v>
      </c>
    </row>
    <row r="4219" spans="2:24" s="0" customFormat="0" ht="15">
      <c r="B4219" s="69">
        <v>24426297</v>
      </c>
      <c r="C4219" s="70" t="s">
        <v>2891</v>
      </c>
      <c r="D4219" s="70" t="s">
        <v>1</v>
      </c>
      <c r="E4219" s="70" t="s">
        <v>1</v>
      </c>
      <c r="F4219" s="70"/>
      <c r="G4219" s="70" t="s">
        <v>61</v>
      </c>
      <c r="H4219" s="70" t="s">
        <v>178</v>
      </c>
      <c r="I4219" s="70" t="s">
        <v>181</v>
      </c>
      <c r="J4219" s="71">
        <f>IF(OR(I4219=0,I4219=""),"unrated",VLOOKUP(I4219,MappingTables!$B$19:$C$31,2,FALSE))</f>
        <v>3</v>
      </c>
      <c r="K4219" s="72">
        <v>1277.9876808338356</v>
      </c>
      <c r="L4219" s="70">
        <v>2.5729324850606348</v>
      </c>
      <c r="M4219" s="71">
        <f>IF(L4219&lt;1,1,L4219)</f>
        <v>2.5729324850606348</v>
      </c>
      <c r="N4219" s="70" t="s">
        <v>141</v>
      </c>
      <c r="O4219" s="71">
        <f>INDEX(DurClassMapping,MATCH(M4219,MappingTables!$D$4:$D$8,-1),1)</f>
        <v>1</v>
      </c>
      <c r="P4219" s="73">
        <f>IF(M4219=$A$1,1,$M4219-INDEX(MappingTables!$E$4:$E$8,MATCH(O4219,MappingTables!$B$4:$B$8,0)))</f>
        <v>2.5729324850606348</v>
      </c>
      <c r="Q4219" s="71">
        <f>IF(B4219="",0,INDEX(ModelParameters!$D$6:$K$10,MATCH($O4219,ModelParameters!$B$6:$B$10,0),MATCH($J4219,ModelParameters!$D$5:$K$5,0)))</f>
        <v>0.025</v>
      </c>
      <c r="R4219" s="71">
        <f>IF(B4219="",0,INDEX(ModelParameters!$D$13:$K$17,MATCH($O4219,ModelParameters!$B$13:$B$17,0),MATCH($J4219,ModelParameters!$D$5:$K$5,0)))</f>
        <v>0</v>
      </c>
      <c r="S4219" s="160">
        <f>IF(B4219="",0,MIN(IF($N4219="Other Bond TM",ModelParameters!$N$21,1)*(P4219*Q4219+R4219),1))</f>
        <v>0.064323312126515872</v>
      </c>
      <c r="T4219" s="85">
        <f>IF(B4219="",0,$S4219*$K4219)</f>
        <v>82.20440048811696</v>
      </c>
      <c r="U4219" s="85">
        <f>IF(B4219="",0,IF(OR(H4219=MappingTables!$C$34,H4219=MappingTables!$C$35),T4219,0))</f>
        <v>0</v>
      </c>
      <c r="V4219" s="85">
        <f>IF(ISNA(IF(AND(VLOOKUP(CONCATENATE($D4219,$G4219),CSRFinput!$B:$E,4,0)=0,OR(H4219=MappingTables!$C$34,H4219=MappingTables!$C$35)),1,VLOOKUP(CONCATENATE($D4219,$G4219),CSRFinput!$B:$E,4,0))),0,IF(AND(VLOOKUP(CONCATENATE($D4219,$G4219),CSRFinput!$B:$E,4,0)=0,OR(H4219=MappingTables!$C$34,H4219=MappingTables!$C$35)),1,VLOOKUP(CONCATENATE($D4219,$G4219),CSRFinput!$B:$E,4,0)))</f>
        <v>0.054776304963434752</v>
      </c>
      <c r="W4219" s="85">
        <f>IF(B4219="",0,+$T4219*$V4219)</f>
        <v>4.5028533104734192</v>
      </c>
      <c r="X4219" s="85">
        <f>IF(B4219="",0,IF(OR(H4219=MappingTables!$C$34,H4219=MappingTables!$C$35),W4219,0))</f>
        <v>0</v>
      </c>
    </row>
    <row r="4220" spans="2:24" s="0" customFormat="0" ht="15">
      <c r="B4220" s="69">
        <v>11372165</v>
      </c>
      <c r="C4220" s="70" t="s">
        <v>2807</v>
      </c>
      <c r="D4220" s="70" t="s">
        <v>1</v>
      </c>
      <c r="E4220" s="70" t="s">
        <v>1</v>
      </c>
      <c r="F4220" s="70"/>
      <c r="G4220" s="70" t="s">
        <v>61</v>
      </c>
      <c r="H4220" s="70" t="s">
        <v>178</v>
      </c>
      <c r="I4220" s="70" t="s">
        <v>198</v>
      </c>
      <c r="J4220" s="71" t="str">
        <f>IF(OR(I4220=0,I4220=""),"unrated",VLOOKUP(I4220,MappingTables!$B$19:$C$31,2,FALSE))</f>
        <v>unrated</v>
      </c>
      <c r="K4220" s="72">
        <v>171.87902535368044</v>
      </c>
      <c r="L4220" s="70">
        <v>2.4277784450681164</v>
      </c>
      <c r="M4220" s="71">
        <f>IF(L4220&lt;1,1,L4220)</f>
        <v>2.4277784450681164</v>
      </c>
      <c r="N4220" s="70" t="s">
        <v>141</v>
      </c>
      <c r="O4220" s="71">
        <f>INDEX(DurClassMapping,MATCH(M4220,MappingTables!$D$4:$D$8,-1),1)</f>
        <v>1</v>
      </c>
      <c r="P4220" s="73">
        <f>IF(M4220=$A$1,1,$M4220-INDEX(MappingTables!$E$4:$E$8,MATCH(O4220,MappingTables!$B$4:$B$8,0)))</f>
        <v>2.4277784450681164</v>
      </c>
      <c r="Q4220" s="71">
        <f>IF(B4220="",0,INDEX(ModelParameters!$D$6:$K$10,MATCH($O4220,ModelParameters!$B$6:$B$10,0),MATCH($J4220,ModelParameters!$D$5:$K$5,0)))</f>
        <v>0.03</v>
      </c>
      <c r="R4220" s="71">
        <f>IF(B4220="",0,INDEX(ModelParameters!$D$13:$K$17,MATCH($O4220,ModelParameters!$B$13:$B$17,0),MATCH($J4220,ModelParameters!$D$5:$K$5,0)))</f>
        <v>0</v>
      </c>
      <c r="S4220" s="160">
        <f>IF(B4220="",0,MIN(IF($N4220="Other Bond TM",ModelParameters!$N$21,1)*(P4220*Q4220+R4220),1))</f>
        <v>0.072833353352043488</v>
      </c>
      <c r="T4220" s="85">
        <f>IF(B4220="",0,$S4220*$K4220)</f>
        <v>12.51852578738945</v>
      </c>
      <c r="U4220" s="85">
        <f>IF(B4220="",0,IF(OR(H4220=MappingTables!$C$34,H4220=MappingTables!$C$35),T4220,0))</f>
        <v>0</v>
      </c>
      <c r="V4220" s="85">
        <f>IF(ISNA(IF(AND(VLOOKUP(CONCATENATE($D4220,$G4220),CSRFinput!$B:$E,4,0)=0,OR(H4220=MappingTables!$C$34,H4220=MappingTables!$C$35)),1,VLOOKUP(CONCATENATE($D4220,$G4220),CSRFinput!$B:$E,4,0))),0,IF(AND(VLOOKUP(CONCATENATE($D4220,$G4220),CSRFinput!$B:$E,4,0)=0,OR(H4220=MappingTables!$C$34,H4220=MappingTables!$C$35)),1,VLOOKUP(CONCATENATE($D4220,$G4220),CSRFinput!$B:$E,4,0)))</f>
        <v>0.054776304963434752</v>
      </c>
      <c r="W4220" s="85">
        <f>IF(B4220="",0,+$T4220*$V4220)</f>
        <v>0.68571858622266672</v>
      </c>
      <c r="X4220" s="85">
        <f>IF(B4220="",0,IF(OR(H4220=MappingTables!$C$34,H4220=MappingTables!$C$35),W4220,0))</f>
        <v>0</v>
      </c>
    </row>
    <row r="4221" spans="2:24" s="0" customFormat="0" ht="15">
      <c r="B4221" s="69">
        <v>11578696</v>
      </c>
      <c r="C4221" s="70" t="s">
        <v>2115</v>
      </c>
      <c r="D4221" s="70" t="s">
        <v>1</v>
      </c>
      <c r="E4221" s="70" t="s">
        <v>1</v>
      </c>
      <c r="F4221" s="70"/>
      <c r="G4221" s="70" t="s">
        <v>61</v>
      </c>
      <c r="H4221" s="70" t="s">
        <v>178</v>
      </c>
      <c r="I4221" s="70" t="s">
        <v>188</v>
      </c>
      <c r="J4221" s="71">
        <f>IF(OR(I4221=0,I4221=""),"unrated",VLOOKUP(I4221,MappingTables!$B$19:$C$31,2,FALSE))</f>
        <v>2</v>
      </c>
      <c r="K4221" s="72">
        <v>904.28098042005904</v>
      </c>
      <c r="L4221" s="70">
        <v>0.049316401164723928</v>
      </c>
      <c r="M4221" s="71">
        <f>IF(L4221&lt;1,1,L4221)</f>
        <v>1</v>
      </c>
      <c r="N4221" s="70" t="s">
        <v>141</v>
      </c>
      <c r="O4221" s="71">
        <f>INDEX(DurClassMapping,MATCH(M4221,MappingTables!$D$4:$D$8,-1),1)</f>
        <v>1</v>
      </c>
      <c r="P4221" s="73">
        <f>IF(M4221=$A$1,1,$M4221-INDEX(MappingTables!$E$4:$E$8,MATCH(O4221,MappingTables!$B$4:$B$8,0)))</f>
        <v>1</v>
      </c>
      <c r="Q4221" s="71">
        <f>IF(B4221="",0,INDEX(ModelParameters!$D$6:$K$10,MATCH($O4221,ModelParameters!$B$6:$B$10,0),MATCH($J4221,ModelParameters!$D$5:$K$5,0)))</f>
        <v>0.013999999999999998</v>
      </c>
      <c r="R4221" s="71">
        <f>IF(B4221="",0,INDEX(ModelParameters!$D$13:$K$17,MATCH($O4221,ModelParameters!$B$13:$B$17,0),MATCH($J4221,ModelParameters!$D$5:$K$5,0)))</f>
        <v>0</v>
      </c>
      <c r="S4221" s="160">
        <f>IF(B4221="",0,MIN(IF($N4221="Other Bond TM",ModelParameters!$N$21,1)*(P4221*Q4221+R4221),1))</f>
        <v>0.013999999999999998</v>
      </c>
      <c r="T4221" s="85">
        <f>IF(B4221="",0,$S4221*$K4221)</f>
        <v>12.659933725880824</v>
      </c>
      <c r="U4221" s="85">
        <f>IF(B4221="",0,IF(OR(H4221=MappingTables!$C$34,H4221=MappingTables!$C$35),T4221,0))</f>
        <v>0</v>
      </c>
      <c r="V4221" s="85">
        <f>IF(ISNA(IF(AND(VLOOKUP(CONCATENATE($D4221,$G4221),CSRFinput!$B:$E,4,0)=0,OR(H4221=MappingTables!$C$34,H4221=MappingTables!$C$35)),1,VLOOKUP(CONCATENATE($D4221,$G4221),CSRFinput!$B:$E,4,0))),0,IF(AND(VLOOKUP(CONCATENATE($D4221,$G4221),CSRFinput!$B:$E,4,0)=0,OR(H4221=MappingTables!$C$34,H4221=MappingTables!$C$35)),1,VLOOKUP(CONCATENATE($D4221,$G4221),CSRFinput!$B:$E,4,0)))</f>
        <v>0.054776304963434752</v>
      </c>
      <c r="W4221" s="85">
        <f>IF(B4221="",0,+$T4221*$V4221)</f>
        <v>0.69346439058572088</v>
      </c>
      <c r="X4221" s="85">
        <f>IF(B4221="",0,IF(OR(H4221=MappingTables!$C$34,H4221=MappingTables!$C$35),W4221,0))</f>
        <v>0</v>
      </c>
    </row>
    <row r="4222" spans="2:24" s="0" customFormat="0" ht="15">
      <c r="B4222" s="69" t="s">
        <v>2621</v>
      </c>
      <c r="C4222" s="70" t="s">
        <v>2622</v>
      </c>
      <c r="D4222" s="70" t="s">
        <v>1</v>
      </c>
      <c r="E4222" s="70" t="s">
        <v>1</v>
      </c>
      <c r="F4222" s="70"/>
      <c r="G4222" s="70" t="s">
        <v>61</v>
      </c>
      <c r="H4222" s="70" t="s">
        <v>178</v>
      </c>
      <c r="I4222" s="70" t="s">
        <v>184</v>
      </c>
      <c r="J4222" s="71">
        <f>IF(OR(I4222=0,I4222=""),"unrated",VLOOKUP(I4222,MappingTables!$B$19:$C$31,2,FALSE))</f>
        <v>5</v>
      </c>
      <c r="K4222" s="72">
        <v>209.86651567445632</v>
      </c>
      <c r="L4222" s="70">
        <v>3.2050796128175044</v>
      </c>
      <c r="M4222" s="71">
        <f>IF(L4222&lt;1,1,L4222)</f>
        <v>3.2050796128175044</v>
      </c>
      <c r="N4222" s="70" t="s">
        <v>141</v>
      </c>
      <c r="O4222" s="71">
        <f>INDEX(DurClassMapping,MATCH(M4222,MappingTables!$D$4:$D$8,-1),1)</f>
        <v>1</v>
      </c>
      <c r="P4222" s="73">
        <f>IF(M4222=$A$1,1,$M4222-INDEX(MappingTables!$E$4:$E$8,MATCH(O4222,MappingTables!$B$4:$B$8,0)))</f>
        <v>3.2050796128175044</v>
      </c>
      <c r="Q4222" s="71">
        <f>IF(B4222="",0,INDEX(ModelParameters!$D$6:$K$10,MATCH($O4222,ModelParameters!$B$6:$B$10,0),MATCH($J4222,ModelParameters!$D$5:$K$5,0)))</f>
        <v>0.075</v>
      </c>
      <c r="R4222" s="71">
        <f>IF(B4222="",0,INDEX(ModelParameters!$D$13:$K$17,MATCH($O4222,ModelParameters!$B$13:$B$17,0),MATCH($J4222,ModelParameters!$D$5:$K$5,0)))</f>
        <v>0</v>
      </c>
      <c r="S4222" s="160">
        <f>IF(B4222="",0,MIN(IF($N4222="Other Bond TM",ModelParameters!$N$21,1)*(P4222*Q4222+R4222),1))</f>
        <v>0.2403809709613128</v>
      </c>
      <c r="T4222" s="85">
        <f>IF(B4222="",0,$S4222*$K4222)</f>
        <v>50.447916810093392</v>
      </c>
      <c r="U4222" s="85">
        <f>IF(B4222="",0,IF(OR(H4222=MappingTables!$C$34,H4222=MappingTables!$C$35),T4222,0))</f>
        <v>0</v>
      </c>
      <c r="V4222" s="85">
        <f>IF(ISNA(IF(AND(VLOOKUP(CONCATENATE($D4222,$G4222),CSRFinput!$B:$E,4,0)=0,OR(H4222=MappingTables!$C$34,H4222=MappingTables!$C$35)),1,VLOOKUP(CONCATENATE($D4222,$G4222),CSRFinput!$B:$E,4,0))),0,IF(AND(VLOOKUP(CONCATENATE($D4222,$G4222),CSRFinput!$B:$E,4,0)=0,OR(H4222=MappingTables!$C$34,H4222=MappingTables!$C$35)),1,VLOOKUP(CONCATENATE($D4222,$G4222),CSRFinput!$B:$E,4,0)))</f>
        <v>0.054776304963434752</v>
      </c>
      <c r="W4222" s="85">
        <f>IF(B4222="",0,+$T4222*$V4222)</f>
        <v>2.763350475959662</v>
      </c>
      <c r="X4222" s="85">
        <f>IF(B4222="",0,IF(OR(H4222=MappingTables!$C$34,H4222=MappingTables!$C$35),W4222,0))</f>
        <v>0</v>
      </c>
    </row>
    <row r="4223" spans="2:24" s="0" customFormat="0" ht="15">
      <c r="B4223" s="69">
        <v>12828176</v>
      </c>
      <c r="C4223" s="70" t="s">
        <v>3010</v>
      </c>
      <c r="D4223" s="70" t="s">
        <v>1</v>
      </c>
      <c r="E4223" s="70" t="s">
        <v>1</v>
      </c>
      <c r="F4223" s="70"/>
      <c r="G4223" s="70" t="s">
        <v>61</v>
      </c>
      <c r="H4223" s="70" t="s">
        <v>178</v>
      </c>
      <c r="I4223" s="70" t="s">
        <v>181</v>
      </c>
      <c r="J4223" s="71">
        <f>IF(OR(I4223=0,I4223=""),"unrated",VLOOKUP(I4223,MappingTables!$B$19:$C$31,2,FALSE))</f>
        <v>3</v>
      </c>
      <c r="K4223" s="72">
        <v>5909.6152427862088</v>
      </c>
      <c r="L4223" s="70">
        <v>5.318409401141704</v>
      </c>
      <c r="M4223" s="71">
        <f>IF(L4223&lt;1,1,L4223)</f>
        <v>5.318409401141704</v>
      </c>
      <c r="N4223" s="70" t="s">
        <v>141</v>
      </c>
      <c r="O4223" s="71">
        <f>INDEX(DurClassMapping,MATCH(M4223,MappingTables!$D$4:$D$8,-1),1)</f>
        <v>2</v>
      </c>
      <c r="P4223" s="73">
        <f>IF(M4223=$A$1,1,$M4223-INDEX(MappingTables!$E$4:$E$8,MATCH(O4223,MappingTables!$B$4:$B$8,0)))</f>
        <v>0.3184094011417038</v>
      </c>
      <c r="Q4223" s="71">
        <f>IF(B4223="",0,INDEX(ModelParameters!$D$6:$K$10,MATCH($O4223,ModelParameters!$B$6:$B$10,0),MATCH($J4223,ModelParameters!$D$5:$K$5,0)))</f>
        <v>0.015</v>
      </c>
      <c r="R4223" s="71">
        <f>IF(B4223="",0,INDEX(ModelParameters!$D$13:$K$17,MATCH($O4223,ModelParameters!$B$13:$B$17,0),MATCH($J4223,ModelParameters!$D$5:$K$5,0)))</f>
        <v>0.125</v>
      </c>
      <c r="S4223" s="160">
        <f>IF(B4223="",0,MIN(IF($N4223="Other Bond TM",ModelParameters!$N$21,1)*(P4223*Q4223+R4223),1))</f>
        <v>0.12977614101712556</v>
      </c>
      <c r="T4223" s="85">
        <f>IF(B4223="",0,$S4223*$K4223)</f>
        <v>766.92706110477776</v>
      </c>
      <c r="U4223" s="85">
        <f>IF(B4223="",0,IF(OR(H4223=MappingTables!$C$34,H4223=MappingTables!$C$35),T4223,0))</f>
        <v>0</v>
      </c>
      <c r="V4223" s="85">
        <f>IF(ISNA(IF(AND(VLOOKUP(CONCATENATE($D4223,$G4223),CSRFinput!$B:$E,4,0)=0,OR(H4223=MappingTables!$C$34,H4223=MappingTables!$C$35)),1,VLOOKUP(CONCATENATE($D4223,$G4223),CSRFinput!$B:$E,4,0))),0,IF(AND(VLOOKUP(CONCATENATE($D4223,$G4223),CSRFinput!$B:$E,4,0)=0,OR(H4223=MappingTables!$C$34,H4223=MappingTables!$C$35)),1,VLOOKUP(CONCATENATE($D4223,$G4223),CSRFinput!$B:$E,4,0)))</f>
        <v>0.054776304963434752</v>
      </c>
      <c r="W4223" s="85">
        <f>IF(B4223="",0,+$T4223*$V4223)</f>
        <v>42.009430583786064</v>
      </c>
      <c r="X4223" s="85">
        <f>IF(B4223="",0,IF(OR(H4223=MappingTables!$C$34,H4223=MappingTables!$C$35),W4223,0))</f>
        <v>0</v>
      </c>
    </row>
    <row r="4224" spans="2:24" s="0" customFormat="0" ht="15">
      <c r="B4224" s="69">
        <v>8247517</v>
      </c>
      <c r="C4224" s="70" t="s">
        <v>2799</v>
      </c>
      <c r="D4224" s="70" t="s">
        <v>1</v>
      </c>
      <c r="E4224" s="70" t="s">
        <v>1</v>
      </c>
      <c r="F4224" s="70"/>
      <c r="G4224" s="70" t="s">
        <v>61</v>
      </c>
      <c r="H4224" s="70" t="s">
        <v>178</v>
      </c>
      <c r="I4224" s="70" t="s">
        <v>181</v>
      </c>
      <c r="J4224" s="71">
        <f>IF(OR(I4224=0,I4224=""),"unrated",VLOOKUP(I4224,MappingTables!$B$19:$C$31,2,FALSE))</f>
        <v>3</v>
      </c>
      <c r="K4224" s="72">
        <v>2.9167276206888468</v>
      </c>
      <c r="L4224" s="70">
        <v>0.36712577780356296</v>
      </c>
      <c r="M4224" s="71">
        <f>IF(L4224&lt;1,1,L4224)</f>
        <v>1</v>
      </c>
      <c r="N4224" s="70" t="s">
        <v>141</v>
      </c>
      <c r="O4224" s="71">
        <f>INDEX(DurClassMapping,MATCH(M4224,MappingTables!$D$4:$D$8,-1),1)</f>
        <v>1</v>
      </c>
      <c r="P4224" s="73">
        <f>IF(M4224=$A$1,1,$M4224-INDEX(MappingTables!$E$4:$E$8,MATCH(O4224,MappingTables!$B$4:$B$8,0)))</f>
        <v>1</v>
      </c>
      <c r="Q4224" s="71">
        <f>IF(B4224="",0,INDEX(ModelParameters!$D$6:$K$10,MATCH($O4224,ModelParameters!$B$6:$B$10,0),MATCH($J4224,ModelParameters!$D$5:$K$5,0)))</f>
        <v>0.025</v>
      </c>
      <c r="R4224" s="71">
        <f>IF(B4224="",0,INDEX(ModelParameters!$D$13:$K$17,MATCH($O4224,ModelParameters!$B$13:$B$17,0),MATCH($J4224,ModelParameters!$D$5:$K$5,0)))</f>
        <v>0</v>
      </c>
      <c r="S4224" s="160">
        <f>IF(B4224="",0,MIN(IF($N4224="Other Bond TM",ModelParameters!$N$21,1)*(P4224*Q4224+R4224),1))</f>
        <v>0.025</v>
      </c>
      <c r="T4224" s="85">
        <f>IF(B4224="",0,$S4224*$K4224)</f>
        <v>0.072918190517221184</v>
      </c>
      <c r="U4224" s="85">
        <f>IF(B4224="",0,IF(OR(H4224=MappingTables!$C$34,H4224=MappingTables!$C$35),T4224,0))</f>
        <v>0</v>
      </c>
      <c r="V4224" s="85">
        <f>IF(ISNA(IF(AND(VLOOKUP(CONCATENATE($D4224,$G4224),CSRFinput!$B:$E,4,0)=0,OR(H4224=MappingTables!$C$34,H4224=MappingTables!$C$35)),1,VLOOKUP(CONCATENATE($D4224,$G4224),CSRFinput!$B:$E,4,0))),0,IF(AND(VLOOKUP(CONCATENATE($D4224,$G4224),CSRFinput!$B:$E,4,0)=0,OR(H4224=MappingTables!$C$34,H4224=MappingTables!$C$35)),1,VLOOKUP(CONCATENATE($D4224,$G4224),CSRFinput!$B:$E,4,0)))</f>
        <v>0.054776304963434752</v>
      </c>
      <c r="W4224" s="85">
        <f>IF(B4224="",0,+$T4224*$V4224)</f>
        <v>0.0039941890411531432</v>
      </c>
      <c r="X4224" s="85">
        <f>IF(B4224="",0,IF(OR(H4224=MappingTables!$C$34,H4224=MappingTables!$C$35),W4224,0))</f>
        <v>0</v>
      </c>
    </row>
    <row r="4225" spans="2:24" s="0" customFormat="0" ht="15">
      <c r="B4225" s="69">
        <v>15887204</v>
      </c>
      <c r="C4225" s="70" t="s">
        <v>586</v>
      </c>
      <c r="D4225" s="70" t="s">
        <v>1</v>
      </c>
      <c r="E4225" s="70" t="s">
        <v>1</v>
      </c>
      <c r="F4225" s="70"/>
      <c r="G4225" s="70" t="s">
        <v>61</v>
      </c>
      <c r="H4225" s="70" t="s">
        <v>178</v>
      </c>
      <c r="I4225" s="70" t="s">
        <v>181</v>
      </c>
      <c r="J4225" s="71">
        <f>IF(OR(I4225=0,I4225=""),"unrated",VLOOKUP(I4225,MappingTables!$B$19:$C$31,2,FALSE))</f>
        <v>3</v>
      </c>
      <c r="K4225" s="72">
        <v>4805.9479193001936</v>
      </c>
      <c r="L4225" s="70">
        <v>0.10137272720458838</v>
      </c>
      <c r="M4225" s="71">
        <f>IF(L4225&lt;1,1,L4225)</f>
        <v>1</v>
      </c>
      <c r="N4225" s="70" t="s">
        <v>141</v>
      </c>
      <c r="O4225" s="71">
        <f>INDEX(DurClassMapping,MATCH(M4225,MappingTables!$D$4:$D$8,-1),1)</f>
        <v>1</v>
      </c>
      <c r="P4225" s="73">
        <f>IF(M4225=$A$1,1,$M4225-INDEX(MappingTables!$E$4:$E$8,MATCH(O4225,MappingTables!$B$4:$B$8,0)))</f>
        <v>1</v>
      </c>
      <c r="Q4225" s="71">
        <f>IF(B4225="",0,INDEX(ModelParameters!$D$6:$K$10,MATCH($O4225,ModelParameters!$B$6:$B$10,0),MATCH($J4225,ModelParameters!$D$5:$K$5,0)))</f>
        <v>0.025</v>
      </c>
      <c r="R4225" s="71">
        <f>IF(B4225="",0,INDEX(ModelParameters!$D$13:$K$17,MATCH($O4225,ModelParameters!$B$13:$B$17,0),MATCH($J4225,ModelParameters!$D$5:$K$5,0)))</f>
        <v>0</v>
      </c>
      <c r="S4225" s="160">
        <f>IF(B4225="",0,MIN(IF($N4225="Other Bond TM",ModelParameters!$N$21,1)*(P4225*Q4225+R4225),1))</f>
        <v>0.025</v>
      </c>
      <c r="T4225" s="85">
        <f>IF(B4225="",0,$S4225*$K4225)</f>
        <v>120.14869798250484</v>
      </c>
      <c r="U4225" s="85">
        <f>IF(B4225="",0,IF(OR(H4225=MappingTables!$C$34,H4225=MappingTables!$C$35),T4225,0))</f>
        <v>0</v>
      </c>
      <c r="V4225" s="85">
        <f>IF(ISNA(IF(AND(VLOOKUP(CONCATENATE($D4225,$G4225),CSRFinput!$B:$E,4,0)=0,OR(H4225=MappingTables!$C$34,H4225=MappingTables!$C$35)),1,VLOOKUP(CONCATENATE($D4225,$G4225),CSRFinput!$B:$E,4,0))),0,IF(AND(VLOOKUP(CONCATENATE($D4225,$G4225),CSRFinput!$B:$E,4,0)=0,OR(H4225=MappingTables!$C$34,H4225=MappingTables!$C$35)),1,VLOOKUP(CONCATENATE($D4225,$G4225),CSRFinput!$B:$E,4,0)))</f>
        <v>0.054776304963434752</v>
      </c>
      <c r="W4225" s="85">
        <f>IF(B4225="",0,+$T4225*$V4225)</f>
        <v>6.5813017216493032</v>
      </c>
      <c r="X4225" s="85">
        <f>IF(B4225="",0,IF(OR(H4225=MappingTables!$C$34,H4225=MappingTables!$C$35),W4225,0))</f>
        <v>0</v>
      </c>
    </row>
    <row r="4226" spans="2:24" s="0" customFormat="0" ht="15">
      <c r="B4226" s="69" t="s">
        <v>3011</v>
      </c>
      <c r="C4226" s="70" t="s">
        <v>3012</v>
      </c>
      <c r="D4226" s="70" t="s">
        <v>1</v>
      </c>
      <c r="E4226" s="70" t="s">
        <v>1</v>
      </c>
      <c r="F4226" s="70"/>
      <c r="G4226" s="70" t="s">
        <v>61</v>
      </c>
      <c r="H4226" s="70" t="s">
        <v>178</v>
      </c>
      <c r="I4226" s="70" t="s">
        <v>179</v>
      </c>
      <c r="J4226" s="71">
        <f>IF(OR(I4226=0,I4226=""),"unrated",VLOOKUP(I4226,MappingTables!$B$19:$C$31,2,FALSE))</f>
        <v>4</v>
      </c>
      <c r="K4226" s="72">
        <v>340.1685378378972</v>
      </c>
      <c r="L4226" s="70">
        <v>7.1222400021599256</v>
      </c>
      <c r="M4226" s="71">
        <f>IF(L4226&lt;1,1,L4226)</f>
        <v>7.1222400021599256</v>
      </c>
      <c r="N4226" s="70" t="s">
        <v>141</v>
      </c>
      <c r="O4226" s="71">
        <f>INDEX(DurClassMapping,MATCH(M4226,MappingTables!$D$4:$D$8,-1),1)</f>
        <v>2</v>
      </c>
      <c r="P4226" s="73">
        <f>IF(M4226=$A$1,1,$M4226-INDEX(MappingTables!$E$4:$E$8,MATCH(O4226,MappingTables!$B$4:$B$8,0)))</f>
        <v>2.1222400021599252</v>
      </c>
      <c r="Q4226" s="71">
        <f>IF(B4226="",0,INDEX(ModelParameters!$D$6:$K$10,MATCH($O4226,ModelParameters!$B$6:$B$10,0),MATCH($J4226,ModelParameters!$D$5:$K$5,0)))</f>
        <v>0.025</v>
      </c>
      <c r="R4226" s="71">
        <f>IF(B4226="",0,INDEX(ModelParameters!$D$13:$K$17,MATCH($O4226,ModelParameters!$B$13:$B$17,0),MATCH($J4226,ModelParameters!$D$5:$K$5,0)))</f>
        <v>0.225</v>
      </c>
      <c r="S4226" s="160">
        <f>IF(B4226="",0,MIN(IF($N4226="Other Bond TM",ModelParameters!$N$21,1)*(P4226*Q4226+R4226),1))</f>
        <v>0.27805600005399812</v>
      </c>
      <c r="T4226" s="85">
        <f>IF(B4226="",0,$S4226*$K4226)</f>
        <v>94.5859029754228</v>
      </c>
      <c r="U4226" s="85">
        <f>IF(B4226="",0,IF(OR(H4226=MappingTables!$C$34,H4226=MappingTables!$C$35),T4226,0))</f>
        <v>0</v>
      </c>
      <c r="V4226" s="85">
        <f>IF(ISNA(IF(AND(VLOOKUP(CONCATENATE($D4226,$G4226),CSRFinput!$B:$E,4,0)=0,OR(H4226=MappingTables!$C$34,H4226=MappingTables!$C$35)),1,VLOOKUP(CONCATENATE($D4226,$G4226),CSRFinput!$B:$E,4,0))),0,IF(AND(VLOOKUP(CONCATENATE($D4226,$G4226),CSRFinput!$B:$E,4,0)=0,OR(H4226=MappingTables!$C$34,H4226=MappingTables!$C$35)),1,VLOOKUP(CONCATENATE($D4226,$G4226),CSRFinput!$B:$E,4,0)))</f>
        <v>0.054776304963434752</v>
      </c>
      <c r="W4226" s="85">
        <f>IF(B4226="",0,+$T4226*$V4226)</f>
        <v>5.1810662666236096</v>
      </c>
      <c r="X4226" s="85">
        <f>IF(B4226="",0,IF(OR(H4226=MappingTables!$C$34,H4226=MappingTables!$C$35),W4226,0))</f>
        <v>0</v>
      </c>
    </row>
    <row r="4227" spans="2:24" s="0" customFormat="0" ht="15">
      <c r="B4227" s="69">
        <v>12792348</v>
      </c>
      <c r="C4227" s="70" t="s">
        <v>2634</v>
      </c>
      <c r="D4227" s="70" t="s">
        <v>1</v>
      </c>
      <c r="E4227" s="70" t="s">
        <v>1</v>
      </c>
      <c r="F4227" s="70"/>
      <c r="G4227" s="70" t="s">
        <v>61</v>
      </c>
      <c r="H4227" s="70" t="s">
        <v>178</v>
      </c>
      <c r="I4227" s="70" t="s">
        <v>220</v>
      </c>
      <c r="J4227" s="71">
        <f>IF(OR(I4227=0,I4227=""),"unrated",VLOOKUP(I4227,MappingTables!$B$19:$C$31,2,FALSE))</f>
        <v>1</v>
      </c>
      <c r="K4227" s="72">
        <v>592.52250219862568</v>
      </c>
      <c r="L4227" s="70">
        <v>0.81380122852344304</v>
      </c>
      <c r="M4227" s="71">
        <f>IF(L4227&lt;1,1,L4227)</f>
        <v>1</v>
      </c>
      <c r="N4227" s="70" t="s">
        <v>141</v>
      </c>
      <c r="O4227" s="71">
        <f>INDEX(DurClassMapping,MATCH(M4227,MappingTables!$D$4:$D$8,-1),1)</f>
        <v>1</v>
      </c>
      <c r="P4227" s="73">
        <f>IF(M4227=$A$1,1,$M4227-INDEX(MappingTables!$E$4:$E$8,MATCH(O4227,MappingTables!$B$4:$B$8,0)))</f>
        <v>1</v>
      </c>
      <c r="Q4227" s="71">
        <f>IF(B4227="",0,INDEX(ModelParameters!$D$6:$K$10,MATCH($O4227,ModelParameters!$B$6:$B$10,0),MATCH($J4227,ModelParameters!$D$5:$K$5,0)))</f>
        <v>0.011000000000000002</v>
      </c>
      <c r="R4227" s="71">
        <f>IF(B4227="",0,INDEX(ModelParameters!$D$13:$K$17,MATCH($O4227,ModelParameters!$B$13:$B$17,0),MATCH($J4227,ModelParameters!$D$5:$K$5,0)))</f>
        <v>0</v>
      </c>
      <c r="S4227" s="160">
        <f>IF(B4227="",0,MIN(IF($N4227="Other Bond TM",ModelParameters!$N$21,1)*(P4227*Q4227+R4227),1))</f>
        <v>0.011000000000000002</v>
      </c>
      <c r="T4227" s="85">
        <f>IF(B4227="",0,$S4227*$K4227)</f>
        <v>6.517747524184884</v>
      </c>
      <c r="U4227" s="85">
        <f>IF(B4227="",0,IF(OR(H4227=MappingTables!$C$34,H4227=MappingTables!$C$35),T4227,0))</f>
        <v>0</v>
      </c>
      <c r="V4227" s="85">
        <f>IF(ISNA(IF(AND(VLOOKUP(CONCATENATE($D4227,$G4227),CSRFinput!$B:$E,4,0)=0,OR(H4227=MappingTables!$C$34,H4227=MappingTables!$C$35)),1,VLOOKUP(CONCATENATE($D4227,$G4227),CSRFinput!$B:$E,4,0))),0,IF(AND(VLOOKUP(CONCATENATE($D4227,$G4227),CSRFinput!$B:$E,4,0)=0,OR(H4227=MappingTables!$C$34,H4227=MappingTables!$C$35)),1,VLOOKUP(CONCATENATE($D4227,$G4227),CSRFinput!$B:$E,4,0)))</f>
        <v>0.054776304963434752</v>
      </c>
      <c r="W4227" s="85">
        <f>IF(B4227="",0,+$T4227*$V4227)</f>
        <v>0.357018126059423</v>
      </c>
      <c r="X4227" s="85">
        <f>IF(B4227="",0,IF(OR(H4227=MappingTables!$C$34,H4227=MappingTables!$C$35),W4227,0))</f>
        <v>0</v>
      </c>
    </row>
    <row r="4228" spans="2:24" s="0" customFormat="0" ht="15">
      <c r="B4228" s="69" t="s">
        <v>2906</v>
      </c>
      <c r="C4228" s="70" t="s">
        <v>2907</v>
      </c>
      <c r="D4228" s="70" t="s">
        <v>1</v>
      </c>
      <c r="E4228" s="70" t="s">
        <v>1</v>
      </c>
      <c r="F4228" s="70"/>
      <c r="G4228" s="70" t="s">
        <v>61</v>
      </c>
      <c r="H4228" s="70" t="s">
        <v>178</v>
      </c>
      <c r="I4228" s="70" t="s">
        <v>179</v>
      </c>
      <c r="J4228" s="71">
        <f>IF(OR(I4228=0,I4228=""),"unrated",VLOOKUP(I4228,MappingTables!$B$19:$C$31,2,FALSE))</f>
        <v>4</v>
      </c>
      <c r="K4228" s="72">
        <v>6056.315001080848</v>
      </c>
      <c r="L4228" s="70">
        <v>5.9312852591533792</v>
      </c>
      <c r="M4228" s="71">
        <f>IF(L4228&lt;1,1,L4228)</f>
        <v>5.9312852591533792</v>
      </c>
      <c r="N4228" s="70" t="s">
        <v>141</v>
      </c>
      <c r="O4228" s="71">
        <f>INDEX(DurClassMapping,MATCH(M4228,MappingTables!$D$4:$D$8,-1),1)</f>
        <v>2</v>
      </c>
      <c r="P4228" s="73">
        <f>IF(M4228=$A$1,1,$M4228-INDEX(MappingTables!$E$4:$E$8,MATCH(O4228,MappingTables!$B$4:$B$8,0)))</f>
        <v>0.93128525915337952</v>
      </c>
      <c r="Q4228" s="71">
        <f>IF(B4228="",0,INDEX(ModelParameters!$D$6:$K$10,MATCH($O4228,ModelParameters!$B$6:$B$10,0),MATCH($J4228,ModelParameters!$D$5:$K$5,0)))</f>
        <v>0.025</v>
      </c>
      <c r="R4228" s="71">
        <f>IF(B4228="",0,INDEX(ModelParameters!$D$13:$K$17,MATCH($O4228,ModelParameters!$B$13:$B$17,0),MATCH($J4228,ModelParameters!$D$5:$K$5,0)))</f>
        <v>0.225</v>
      </c>
      <c r="S4228" s="160">
        <f>IF(B4228="",0,MIN(IF($N4228="Other Bond TM",ModelParameters!$N$21,1)*(P4228*Q4228+R4228),1))</f>
        <v>0.24828213147883448</v>
      </c>
      <c r="T4228" s="85">
        <f>IF(B4228="",0,$S4228*$K4228)</f>
        <v>1503.6747973755926</v>
      </c>
      <c r="U4228" s="85">
        <f>IF(B4228="",0,IF(OR(H4228=MappingTables!$C$34,H4228=MappingTables!$C$35),T4228,0))</f>
        <v>0</v>
      </c>
      <c r="V4228" s="85">
        <f>IF(ISNA(IF(AND(VLOOKUP(CONCATENATE($D4228,$G4228),CSRFinput!$B:$E,4,0)=0,OR(H4228=MappingTables!$C$34,H4228=MappingTables!$C$35)),1,VLOOKUP(CONCATENATE($D4228,$G4228),CSRFinput!$B:$E,4,0))),0,IF(AND(VLOOKUP(CONCATENATE($D4228,$G4228),CSRFinput!$B:$E,4,0)=0,OR(H4228=MappingTables!$C$34,H4228=MappingTables!$C$35)),1,VLOOKUP(CONCATENATE($D4228,$G4228),CSRFinput!$B:$E,4,0)))</f>
        <v>0.054776304963434752</v>
      </c>
      <c r="W4228" s="85">
        <f>IF(B4228="",0,+$T4228*$V4228)</f>
        <v>82.365749266876416</v>
      </c>
      <c r="X4228" s="85">
        <f>IF(B4228="",0,IF(OR(H4228=MappingTables!$C$34,H4228=MappingTables!$C$35),W4228,0))</f>
        <v>0</v>
      </c>
    </row>
    <row r="4229" spans="2:24" s="0" customFormat="0" ht="15">
      <c r="B4229" s="69">
        <v>16971309</v>
      </c>
      <c r="C4229" s="70" t="s">
        <v>1989</v>
      </c>
      <c r="D4229" s="70" t="s">
        <v>1</v>
      </c>
      <c r="E4229" s="70" t="s">
        <v>1</v>
      </c>
      <c r="F4229" s="70"/>
      <c r="G4229" s="70" t="s">
        <v>61</v>
      </c>
      <c r="H4229" s="70" t="s">
        <v>178</v>
      </c>
      <c r="I4229" s="70" t="s">
        <v>179</v>
      </c>
      <c r="J4229" s="71">
        <f>IF(OR(I4229=0,I4229=""),"unrated",VLOOKUP(I4229,MappingTables!$B$19:$C$31,2,FALSE))</f>
        <v>4</v>
      </c>
      <c r="K4229" s="72">
        <v>22336.463382443428</v>
      </c>
      <c r="L4229" s="70">
        <v>2.3231053304333584</v>
      </c>
      <c r="M4229" s="71">
        <f>IF(L4229&lt;1,1,L4229)</f>
        <v>2.3231053304333584</v>
      </c>
      <c r="N4229" s="70" t="s">
        <v>141</v>
      </c>
      <c r="O4229" s="71">
        <f>INDEX(DurClassMapping,MATCH(M4229,MappingTables!$D$4:$D$8,-1),1)</f>
        <v>1</v>
      </c>
      <c r="P4229" s="73">
        <f>IF(M4229=$A$1,1,$M4229-INDEX(MappingTables!$E$4:$E$8,MATCH(O4229,MappingTables!$B$4:$B$8,0)))</f>
        <v>2.3231053304333584</v>
      </c>
      <c r="Q4229" s="71">
        <f>IF(B4229="",0,INDEX(ModelParameters!$D$6:$K$10,MATCH($O4229,ModelParameters!$B$6:$B$10,0),MATCH($J4229,ModelParameters!$D$5:$K$5,0)))</f>
        <v>0.045</v>
      </c>
      <c r="R4229" s="71">
        <f>IF(B4229="",0,INDEX(ModelParameters!$D$13:$K$17,MATCH($O4229,ModelParameters!$B$13:$B$17,0),MATCH($J4229,ModelParameters!$D$5:$K$5,0)))</f>
        <v>0</v>
      </c>
      <c r="S4229" s="160">
        <f>IF(B4229="",0,MIN(IF($N4229="Other Bond TM",ModelParameters!$N$21,1)*(P4229*Q4229+R4229),1))</f>
        <v>0.10453973986950114</v>
      </c>
      <c r="T4229" s="85">
        <f>IF(B4229="",0,$S4229*$K4229)</f>
        <v>2335.0480716052736</v>
      </c>
      <c r="U4229" s="85">
        <f>IF(B4229="",0,IF(OR(H4229=MappingTables!$C$34,H4229=MappingTables!$C$35),T4229,0))</f>
        <v>0</v>
      </c>
      <c r="V4229" s="85">
        <f>IF(ISNA(IF(AND(VLOOKUP(CONCATENATE($D4229,$G4229),CSRFinput!$B:$E,4,0)=0,OR(H4229=MappingTables!$C$34,H4229=MappingTables!$C$35)),1,VLOOKUP(CONCATENATE($D4229,$G4229),CSRFinput!$B:$E,4,0))),0,IF(AND(VLOOKUP(CONCATENATE($D4229,$G4229),CSRFinput!$B:$E,4,0)=0,OR(H4229=MappingTables!$C$34,H4229=MappingTables!$C$35)),1,VLOOKUP(CONCATENATE($D4229,$G4229),CSRFinput!$B:$E,4,0)))</f>
        <v>0.054776304963434752</v>
      </c>
      <c r="W4229" s="85">
        <f>IF(B4229="",0,+$T4229*$V4229)</f>
        <v>127.90530527453068</v>
      </c>
      <c r="X4229" s="85">
        <f>IF(B4229="",0,IF(OR(H4229=MappingTables!$C$34,H4229=MappingTables!$C$35),W4229,0))</f>
        <v>0</v>
      </c>
    </row>
    <row r="4230" spans="2:24" s="0" customFormat="0" ht="15">
      <c r="B4230" s="69">
        <v>22282639</v>
      </c>
      <c r="C4230" s="70" t="s">
        <v>2998</v>
      </c>
      <c r="D4230" s="70" t="s">
        <v>1</v>
      </c>
      <c r="E4230" s="70" t="s">
        <v>1</v>
      </c>
      <c r="F4230" s="70"/>
      <c r="G4230" s="70" t="s">
        <v>61</v>
      </c>
      <c r="H4230" s="70" t="s">
        <v>178</v>
      </c>
      <c r="I4230" s="70" t="s">
        <v>181</v>
      </c>
      <c r="J4230" s="71">
        <f>IF(OR(I4230=0,I4230=""),"unrated",VLOOKUP(I4230,MappingTables!$B$19:$C$31,2,FALSE))</f>
        <v>3</v>
      </c>
      <c r="K4230" s="72">
        <v>11156.142200577198</v>
      </c>
      <c r="L4230" s="70">
        <v>0.139727067964589</v>
      </c>
      <c r="M4230" s="71">
        <f>IF(L4230&lt;1,1,L4230)</f>
        <v>1</v>
      </c>
      <c r="N4230" s="70" t="s">
        <v>141</v>
      </c>
      <c r="O4230" s="71">
        <f>INDEX(DurClassMapping,MATCH(M4230,MappingTables!$D$4:$D$8,-1),1)</f>
        <v>1</v>
      </c>
      <c r="P4230" s="73">
        <f>IF(M4230=$A$1,1,$M4230-INDEX(MappingTables!$E$4:$E$8,MATCH(O4230,MappingTables!$B$4:$B$8,0)))</f>
        <v>1</v>
      </c>
      <c r="Q4230" s="71">
        <f>IF(B4230="",0,INDEX(ModelParameters!$D$6:$K$10,MATCH($O4230,ModelParameters!$B$6:$B$10,0),MATCH($J4230,ModelParameters!$D$5:$K$5,0)))</f>
        <v>0.025</v>
      </c>
      <c r="R4230" s="71">
        <f>IF(B4230="",0,INDEX(ModelParameters!$D$13:$K$17,MATCH($O4230,ModelParameters!$B$13:$B$17,0),MATCH($J4230,ModelParameters!$D$5:$K$5,0)))</f>
        <v>0</v>
      </c>
      <c r="S4230" s="160">
        <f>IF(B4230="",0,MIN(IF($N4230="Other Bond TM",ModelParameters!$N$21,1)*(P4230*Q4230+R4230),1))</f>
        <v>0.025</v>
      </c>
      <c r="T4230" s="85">
        <f>IF(B4230="",0,$S4230*$K4230)</f>
        <v>278.90355501442996</v>
      </c>
      <c r="U4230" s="85">
        <f>IF(B4230="",0,IF(OR(H4230=MappingTables!$C$34,H4230=MappingTables!$C$35),T4230,0))</f>
        <v>0</v>
      </c>
      <c r="V4230" s="85">
        <f>IF(ISNA(IF(AND(VLOOKUP(CONCATENATE($D4230,$G4230),CSRFinput!$B:$E,4,0)=0,OR(H4230=MappingTables!$C$34,H4230=MappingTables!$C$35)),1,VLOOKUP(CONCATENATE($D4230,$G4230),CSRFinput!$B:$E,4,0))),0,IF(AND(VLOOKUP(CONCATENATE($D4230,$G4230),CSRFinput!$B:$E,4,0)=0,OR(H4230=MappingTables!$C$34,H4230=MappingTables!$C$35)),1,VLOOKUP(CONCATENATE($D4230,$G4230),CSRFinput!$B:$E,4,0)))</f>
        <v>0.054776304963434752</v>
      </c>
      <c r="W4230" s="85">
        <f>IF(B4230="",0,+$T4230*$V4230)</f>
        <v>15.277306184856518</v>
      </c>
      <c r="X4230" s="85">
        <f>IF(B4230="",0,IF(OR(H4230=MappingTables!$C$34,H4230=MappingTables!$C$35),W4230,0))</f>
        <v>0</v>
      </c>
    </row>
    <row r="4231" spans="2:24" s="0" customFormat="0" ht="15">
      <c r="B4231" s="69">
        <v>19215387</v>
      </c>
      <c r="C4231" s="70" t="s">
        <v>2893</v>
      </c>
      <c r="D4231" s="70" t="s">
        <v>1</v>
      </c>
      <c r="E4231" s="70" t="s">
        <v>1</v>
      </c>
      <c r="F4231" s="70"/>
      <c r="G4231" s="70" t="s">
        <v>61</v>
      </c>
      <c r="H4231" s="70" t="s">
        <v>178</v>
      </c>
      <c r="I4231" s="70" t="s">
        <v>179</v>
      </c>
      <c r="J4231" s="71">
        <f>IF(OR(I4231=0,I4231=""),"unrated",VLOOKUP(I4231,MappingTables!$B$19:$C$31,2,FALSE))</f>
        <v>4</v>
      </c>
      <c r="K4231" s="72">
        <v>241.12285975276004</v>
      </c>
      <c r="L4231" s="70">
        <v>1.0666843975765776</v>
      </c>
      <c r="M4231" s="71">
        <f>IF(L4231&lt;1,1,L4231)</f>
        <v>1.0666843975765776</v>
      </c>
      <c r="N4231" s="70" t="s">
        <v>141</v>
      </c>
      <c r="O4231" s="71">
        <f>INDEX(DurClassMapping,MATCH(M4231,MappingTables!$D$4:$D$8,-1),1)</f>
        <v>1</v>
      </c>
      <c r="P4231" s="73">
        <f>IF(M4231=$A$1,1,$M4231-INDEX(MappingTables!$E$4:$E$8,MATCH(O4231,MappingTables!$B$4:$B$8,0)))</f>
        <v>1.0666843975765776</v>
      </c>
      <c r="Q4231" s="71">
        <f>IF(B4231="",0,INDEX(ModelParameters!$D$6:$K$10,MATCH($O4231,ModelParameters!$B$6:$B$10,0),MATCH($J4231,ModelParameters!$D$5:$K$5,0)))</f>
        <v>0.045</v>
      </c>
      <c r="R4231" s="71">
        <f>IF(B4231="",0,INDEX(ModelParameters!$D$13:$K$17,MATCH($O4231,ModelParameters!$B$13:$B$17,0),MATCH($J4231,ModelParameters!$D$5:$K$5,0)))</f>
        <v>0</v>
      </c>
      <c r="S4231" s="160">
        <f>IF(B4231="",0,MIN(IF($N4231="Other Bond TM",ModelParameters!$N$21,1)*(P4231*Q4231+R4231),1))</f>
        <v>0.048000797890945992</v>
      </c>
      <c r="T4231" s="85">
        <f>IF(B4231="",0,$S4231*$K4231)</f>
        <v>11.57408965787915</v>
      </c>
      <c r="U4231" s="85">
        <f>IF(B4231="",0,IF(OR(H4231=MappingTables!$C$34,H4231=MappingTables!$C$35),T4231,0))</f>
        <v>0</v>
      </c>
      <c r="V4231" s="85">
        <f>IF(ISNA(IF(AND(VLOOKUP(CONCATENATE($D4231,$G4231),CSRFinput!$B:$E,4,0)=0,OR(H4231=MappingTables!$C$34,H4231=MappingTables!$C$35)),1,VLOOKUP(CONCATENATE($D4231,$G4231),CSRFinput!$B:$E,4,0))),0,IF(AND(VLOOKUP(CONCATENATE($D4231,$G4231),CSRFinput!$B:$E,4,0)=0,OR(H4231=MappingTables!$C$34,H4231=MappingTables!$C$35)),1,VLOOKUP(CONCATENATE($D4231,$G4231),CSRFinput!$B:$E,4,0)))</f>
        <v>0.054776304963434752</v>
      </c>
      <c r="W4231" s="85">
        <f>IF(B4231="",0,+$T4231*$V4231)</f>
        <v>0.63398586477412448</v>
      </c>
      <c r="X4231" s="85">
        <f>IF(B4231="",0,IF(OR(H4231=MappingTables!$C$34,H4231=MappingTables!$C$35),W4231,0))</f>
        <v>0</v>
      </c>
    </row>
    <row r="4232" spans="2:24" s="0" customFormat="0" ht="15">
      <c r="B4232" s="69">
        <v>23365199</v>
      </c>
      <c r="C4232" s="70" t="s">
        <v>2959</v>
      </c>
      <c r="D4232" s="70" t="s">
        <v>1</v>
      </c>
      <c r="E4232" s="70" t="s">
        <v>1</v>
      </c>
      <c r="F4232" s="70"/>
      <c r="G4232" s="70" t="s">
        <v>61</v>
      </c>
      <c r="H4232" s="70" t="s">
        <v>178</v>
      </c>
      <c r="I4232" s="70" t="s">
        <v>188</v>
      </c>
      <c r="J4232" s="71">
        <f>IF(OR(I4232=0,I4232=""),"unrated",VLOOKUP(I4232,MappingTables!$B$19:$C$31,2,FALSE))</f>
        <v>2</v>
      </c>
      <c r="K4232" s="72">
        <v>3624.9276697513664</v>
      </c>
      <c r="L4232" s="70">
        <v>0.087667774899672864</v>
      </c>
      <c r="M4232" s="71">
        <f>IF(L4232&lt;1,1,L4232)</f>
        <v>1</v>
      </c>
      <c r="N4232" s="70" t="s">
        <v>141</v>
      </c>
      <c r="O4232" s="71">
        <f>INDEX(DurClassMapping,MATCH(M4232,MappingTables!$D$4:$D$8,-1),1)</f>
        <v>1</v>
      </c>
      <c r="P4232" s="73">
        <f>IF(M4232=$A$1,1,$M4232-INDEX(MappingTables!$E$4:$E$8,MATCH(O4232,MappingTables!$B$4:$B$8,0)))</f>
        <v>1</v>
      </c>
      <c r="Q4232" s="71">
        <f>IF(B4232="",0,INDEX(ModelParameters!$D$6:$K$10,MATCH($O4232,ModelParameters!$B$6:$B$10,0),MATCH($J4232,ModelParameters!$D$5:$K$5,0)))</f>
        <v>0.013999999999999998</v>
      </c>
      <c r="R4232" s="71">
        <f>IF(B4232="",0,INDEX(ModelParameters!$D$13:$K$17,MATCH($O4232,ModelParameters!$B$13:$B$17,0),MATCH($J4232,ModelParameters!$D$5:$K$5,0)))</f>
        <v>0</v>
      </c>
      <c r="S4232" s="160">
        <f>IF(B4232="",0,MIN(IF($N4232="Other Bond TM",ModelParameters!$N$21,1)*(P4232*Q4232+R4232),1))</f>
        <v>0.013999999999999998</v>
      </c>
      <c r="T4232" s="85">
        <f>IF(B4232="",0,$S4232*$K4232)</f>
        <v>50.74898737651912</v>
      </c>
      <c r="U4232" s="85">
        <f>IF(B4232="",0,IF(OR(H4232=MappingTables!$C$34,H4232=MappingTables!$C$35),T4232,0))</f>
        <v>0</v>
      </c>
      <c r="V4232" s="85">
        <f>IF(ISNA(IF(AND(VLOOKUP(CONCATENATE($D4232,$G4232),CSRFinput!$B:$E,4,0)=0,OR(H4232=MappingTables!$C$34,H4232=MappingTables!$C$35)),1,VLOOKUP(CONCATENATE($D4232,$G4232),CSRFinput!$B:$E,4,0))),0,IF(AND(VLOOKUP(CONCATENATE($D4232,$G4232),CSRFinput!$B:$E,4,0)=0,OR(H4232=MappingTables!$C$34,H4232=MappingTables!$C$35)),1,VLOOKUP(CONCATENATE($D4232,$G4232),CSRFinput!$B:$E,4,0)))</f>
        <v>0.054776304963434752</v>
      </c>
      <c r="W4232" s="85">
        <f>IF(B4232="",0,+$T4232*$V4232)</f>
        <v>2.7798420091217116</v>
      </c>
      <c r="X4232" s="85">
        <f>IF(B4232="",0,IF(OR(H4232=MappingTables!$C$34,H4232=MappingTables!$C$35),W4232,0))</f>
        <v>0</v>
      </c>
    </row>
    <row r="4233" spans="2:24" s="0" customFormat="0" ht="15">
      <c r="B4233" s="69" t="s">
        <v>2300</v>
      </c>
      <c r="C4233" s="70" t="s">
        <v>2301</v>
      </c>
      <c r="D4233" s="70" t="s">
        <v>1</v>
      </c>
      <c r="E4233" s="70" t="s">
        <v>1</v>
      </c>
      <c r="F4233" s="70"/>
      <c r="G4233" s="70" t="s">
        <v>61</v>
      </c>
      <c r="H4233" s="70" t="s">
        <v>178</v>
      </c>
      <c r="I4233" s="70" t="s">
        <v>198</v>
      </c>
      <c r="J4233" s="71" t="str">
        <f>IF(OR(I4233=0,I4233=""),"unrated",VLOOKUP(I4233,MappingTables!$B$19:$C$31,2,FALSE))</f>
        <v>unrated</v>
      </c>
      <c r="K4233" s="72">
        <v>0.056803250890731808</v>
      </c>
      <c r="L4233" s="70">
        <v>0.052054292417171304</v>
      </c>
      <c r="M4233" s="71">
        <f>IF(L4233&lt;1,1,L4233)</f>
        <v>1</v>
      </c>
      <c r="N4233" s="70" t="s">
        <v>141</v>
      </c>
      <c r="O4233" s="71">
        <f>INDEX(DurClassMapping,MATCH(M4233,MappingTables!$D$4:$D$8,-1),1)</f>
        <v>1</v>
      </c>
      <c r="P4233" s="73">
        <f>IF(M4233=$A$1,1,$M4233-INDEX(MappingTables!$E$4:$E$8,MATCH(O4233,MappingTables!$B$4:$B$8,0)))</f>
        <v>1</v>
      </c>
      <c r="Q4233" s="71">
        <f>IF(B4233="",0,INDEX(ModelParameters!$D$6:$K$10,MATCH($O4233,ModelParameters!$B$6:$B$10,0),MATCH($J4233,ModelParameters!$D$5:$K$5,0)))</f>
        <v>0.03</v>
      </c>
      <c r="R4233" s="71">
        <f>IF(B4233="",0,INDEX(ModelParameters!$D$13:$K$17,MATCH($O4233,ModelParameters!$B$13:$B$17,0),MATCH($J4233,ModelParameters!$D$5:$K$5,0)))</f>
        <v>0</v>
      </c>
      <c r="S4233" s="160">
        <f>IF(B4233="",0,MIN(IF($N4233="Other Bond TM",ModelParameters!$N$21,1)*(P4233*Q4233+R4233),1))</f>
        <v>0.03</v>
      </c>
      <c r="T4233" s="85">
        <f>IF(B4233="",0,$S4233*$K4233)</f>
        <v>0.0017040975267219542</v>
      </c>
      <c r="U4233" s="85">
        <f>IF(B4233="",0,IF(OR(H4233=MappingTables!$C$34,H4233=MappingTables!$C$35),T4233,0))</f>
        <v>0</v>
      </c>
      <c r="V4233" s="85">
        <f>IF(ISNA(IF(AND(VLOOKUP(CONCATENATE($D4233,$G4233),CSRFinput!$B:$E,4,0)=0,OR(H4233=MappingTables!$C$34,H4233=MappingTables!$C$35)),1,VLOOKUP(CONCATENATE($D4233,$G4233),CSRFinput!$B:$E,4,0))),0,IF(AND(VLOOKUP(CONCATENATE($D4233,$G4233),CSRFinput!$B:$E,4,0)=0,OR(H4233=MappingTables!$C$34,H4233=MappingTables!$C$35)),1,VLOOKUP(CONCATENATE($D4233,$G4233),CSRFinput!$B:$E,4,0)))</f>
        <v>0.054776304963434752</v>
      </c>
      <c r="W4233" s="85">
        <f>IF(B4233="",0,+$T4233*$V4233)</f>
        <v>0.000093344165811156672</v>
      </c>
      <c r="X4233" s="85">
        <f>IF(B4233="",0,IF(OR(H4233=MappingTables!$C$34,H4233=MappingTables!$C$35),W4233,0))</f>
        <v>0</v>
      </c>
    </row>
    <row r="4234" spans="2:24" s="0" customFormat="0" ht="15">
      <c r="B4234" s="69">
        <v>16988739</v>
      </c>
      <c r="C4234" s="70" t="s">
        <v>641</v>
      </c>
      <c r="D4234" s="70" t="s">
        <v>1</v>
      </c>
      <c r="E4234" s="70" t="s">
        <v>1</v>
      </c>
      <c r="F4234" s="70"/>
      <c r="G4234" s="70" t="s">
        <v>61</v>
      </c>
      <c r="H4234" s="70" t="s">
        <v>178</v>
      </c>
      <c r="I4234" s="70" t="s">
        <v>188</v>
      </c>
      <c r="J4234" s="71">
        <f>IF(OR(I4234=0,I4234=""),"unrated",VLOOKUP(I4234,MappingTables!$B$19:$C$31,2,FALSE))</f>
        <v>2</v>
      </c>
      <c r="K4234" s="72">
        <v>333.42585066078004</v>
      </c>
      <c r="L4234" s="70">
        <v>0.32876848595942844</v>
      </c>
      <c r="M4234" s="71">
        <f>IF(L4234&lt;1,1,L4234)</f>
        <v>1</v>
      </c>
      <c r="N4234" s="70" t="s">
        <v>141</v>
      </c>
      <c r="O4234" s="71">
        <f>INDEX(DurClassMapping,MATCH(M4234,MappingTables!$D$4:$D$8,-1),1)</f>
        <v>1</v>
      </c>
      <c r="P4234" s="73">
        <f>IF(M4234=$A$1,1,$M4234-INDEX(MappingTables!$E$4:$E$8,MATCH(O4234,MappingTables!$B$4:$B$8,0)))</f>
        <v>1</v>
      </c>
      <c r="Q4234" s="71">
        <f>IF(B4234="",0,INDEX(ModelParameters!$D$6:$K$10,MATCH($O4234,ModelParameters!$B$6:$B$10,0),MATCH($J4234,ModelParameters!$D$5:$K$5,0)))</f>
        <v>0.013999999999999998</v>
      </c>
      <c r="R4234" s="71">
        <f>IF(B4234="",0,INDEX(ModelParameters!$D$13:$K$17,MATCH($O4234,ModelParameters!$B$13:$B$17,0),MATCH($J4234,ModelParameters!$D$5:$K$5,0)))</f>
        <v>0</v>
      </c>
      <c r="S4234" s="160">
        <f>IF(B4234="",0,MIN(IF($N4234="Other Bond TM",ModelParameters!$N$21,1)*(P4234*Q4234+R4234),1))</f>
        <v>0.013999999999999998</v>
      </c>
      <c r="T4234" s="85">
        <f>IF(B4234="",0,$S4234*$K4234)</f>
        <v>4.66796190925092</v>
      </c>
      <c r="U4234" s="85">
        <f>IF(B4234="",0,IF(OR(H4234=MappingTables!$C$34,H4234=MappingTables!$C$35),T4234,0))</f>
        <v>0</v>
      </c>
      <c r="V4234" s="85">
        <f>IF(ISNA(IF(AND(VLOOKUP(CONCATENATE($D4234,$G4234),CSRFinput!$B:$E,4,0)=0,OR(H4234=MappingTables!$C$34,H4234=MappingTables!$C$35)),1,VLOOKUP(CONCATENATE($D4234,$G4234),CSRFinput!$B:$E,4,0))),0,IF(AND(VLOOKUP(CONCATENATE($D4234,$G4234),CSRFinput!$B:$E,4,0)=0,OR(H4234=MappingTables!$C$34,H4234=MappingTables!$C$35)),1,VLOOKUP(CONCATENATE($D4234,$G4234),CSRFinput!$B:$E,4,0)))</f>
        <v>0.054776304963434752</v>
      </c>
      <c r="W4234" s="85">
        <f>IF(B4234="",0,+$T4234*$V4234)</f>
        <v>0.25569370509882556</v>
      </c>
      <c r="X4234" s="85">
        <f>IF(B4234="",0,IF(OR(H4234=MappingTables!$C$34,H4234=MappingTables!$C$35),W4234,0))</f>
        <v>0</v>
      </c>
    </row>
    <row r="4235" spans="2:24" s="0" customFormat="0" ht="15">
      <c r="B4235" s="69">
        <v>21851167</v>
      </c>
      <c r="C4235" s="70" t="s">
        <v>2699</v>
      </c>
      <c r="D4235" s="70" t="s">
        <v>1</v>
      </c>
      <c r="E4235" s="70" t="s">
        <v>1</v>
      </c>
      <c r="F4235" s="70"/>
      <c r="G4235" s="70" t="s">
        <v>61</v>
      </c>
      <c r="H4235" s="70" t="s">
        <v>178</v>
      </c>
      <c r="I4235" s="70" t="s">
        <v>181</v>
      </c>
      <c r="J4235" s="71">
        <f>IF(OR(I4235=0,I4235=""),"unrated",VLOOKUP(I4235,MappingTables!$B$19:$C$31,2,FALSE))</f>
        <v>3</v>
      </c>
      <c r="K4235" s="72">
        <v>1153.2335049477222</v>
      </c>
      <c r="L4235" s="70">
        <v>7.4720859342020112</v>
      </c>
      <c r="M4235" s="71">
        <f>IF(L4235&lt;1,1,L4235)</f>
        <v>7.4720859342020112</v>
      </c>
      <c r="N4235" s="70" t="s">
        <v>141</v>
      </c>
      <c r="O4235" s="71">
        <f>INDEX(DurClassMapping,MATCH(M4235,MappingTables!$D$4:$D$8,-1),1)</f>
        <v>2</v>
      </c>
      <c r="P4235" s="73">
        <f>IF(M4235=$A$1,1,$M4235-INDEX(MappingTables!$E$4:$E$8,MATCH(O4235,MappingTables!$B$4:$B$8,0)))</f>
        <v>2.4720859342020108</v>
      </c>
      <c r="Q4235" s="71">
        <f>IF(B4235="",0,INDEX(ModelParameters!$D$6:$K$10,MATCH($O4235,ModelParameters!$B$6:$B$10,0),MATCH($J4235,ModelParameters!$D$5:$K$5,0)))</f>
        <v>0.015</v>
      </c>
      <c r="R4235" s="71">
        <f>IF(B4235="",0,INDEX(ModelParameters!$D$13:$K$17,MATCH($O4235,ModelParameters!$B$13:$B$17,0),MATCH($J4235,ModelParameters!$D$5:$K$5,0)))</f>
        <v>0.125</v>
      </c>
      <c r="S4235" s="160">
        <f>IF(B4235="",0,MIN(IF($N4235="Other Bond TM",ModelParameters!$N$21,1)*(P4235*Q4235+R4235),1))</f>
        <v>0.16208128901303014</v>
      </c>
      <c r="T4235" s="85">
        <f>IF(B4235="",0,$S4235*$K4235)</f>
        <v>186.91757301494148</v>
      </c>
      <c r="U4235" s="85">
        <f>IF(B4235="",0,IF(OR(H4235=MappingTables!$C$34,H4235=MappingTables!$C$35),T4235,0))</f>
        <v>0</v>
      </c>
      <c r="V4235" s="85">
        <f>IF(ISNA(IF(AND(VLOOKUP(CONCATENATE($D4235,$G4235),CSRFinput!$B:$E,4,0)=0,OR(H4235=MappingTables!$C$34,H4235=MappingTables!$C$35)),1,VLOOKUP(CONCATENATE($D4235,$G4235),CSRFinput!$B:$E,4,0))),0,IF(AND(VLOOKUP(CONCATENATE($D4235,$G4235),CSRFinput!$B:$E,4,0)=0,OR(H4235=MappingTables!$C$34,H4235=MappingTables!$C$35)),1,VLOOKUP(CONCATENATE($D4235,$G4235),CSRFinput!$B:$E,4,0)))</f>
        <v>0.054776304963434752</v>
      </c>
      <c r="W4235" s="85">
        <f>IF(B4235="",0,+$T4235*$V4235)</f>
        <v>10.238653982491518</v>
      </c>
      <c r="X4235" s="85">
        <f>IF(B4235="",0,IF(OR(H4235=MappingTables!$C$34,H4235=MappingTables!$C$35),W4235,0))</f>
        <v>0</v>
      </c>
    </row>
    <row r="4236" spans="2:24" s="0" customFormat="0" ht="15">
      <c r="B4236" s="69">
        <v>10616292</v>
      </c>
      <c r="C4236" s="70" t="s">
        <v>2269</v>
      </c>
      <c r="D4236" s="70" t="s">
        <v>1</v>
      </c>
      <c r="E4236" s="70" t="s">
        <v>1</v>
      </c>
      <c r="F4236" s="70"/>
      <c r="G4236" s="70" t="s">
        <v>61</v>
      </c>
      <c r="H4236" s="70" t="s">
        <v>178</v>
      </c>
      <c r="I4236" s="70" t="s">
        <v>181</v>
      </c>
      <c r="J4236" s="71">
        <f>IF(OR(I4236=0,I4236=""),"unrated",VLOOKUP(I4236,MappingTables!$B$19:$C$31,2,FALSE))</f>
        <v>3</v>
      </c>
      <c r="K4236" s="72">
        <v>8.970816905774024</v>
      </c>
      <c r="L4236" s="70">
        <v>1.4211113995520014</v>
      </c>
      <c r="M4236" s="71">
        <f>IF(L4236&lt;1,1,L4236)</f>
        <v>1.4211113995520014</v>
      </c>
      <c r="N4236" s="70" t="s">
        <v>141</v>
      </c>
      <c r="O4236" s="71">
        <f>INDEX(DurClassMapping,MATCH(M4236,MappingTables!$D$4:$D$8,-1),1)</f>
        <v>1</v>
      </c>
      <c r="P4236" s="73">
        <f>IF(M4236=$A$1,1,$M4236-INDEX(MappingTables!$E$4:$E$8,MATCH(O4236,MappingTables!$B$4:$B$8,0)))</f>
        <v>1.4211113995520014</v>
      </c>
      <c r="Q4236" s="71">
        <f>IF(B4236="",0,INDEX(ModelParameters!$D$6:$K$10,MATCH($O4236,ModelParameters!$B$6:$B$10,0),MATCH($J4236,ModelParameters!$D$5:$K$5,0)))</f>
        <v>0.025</v>
      </c>
      <c r="R4236" s="71">
        <f>IF(B4236="",0,INDEX(ModelParameters!$D$13:$K$17,MATCH($O4236,ModelParameters!$B$13:$B$17,0),MATCH($J4236,ModelParameters!$D$5:$K$5,0)))</f>
        <v>0</v>
      </c>
      <c r="S4236" s="160">
        <f>IF(B4236="",0,MIN(IF($N4236="Other Bond TM",ModelParameters!$N$21,1)*(P4236*Q4236+R4236),1))</f>
        <v>0.03552778498880004</v>
      </c>
      <c r="T4236" s="85">
        <f>IF(B4236="",0,$S4236*$K4236)</f>
        <v>0.318713254202232</v>
      </c>
      <c r="U4236" s="85">
        <f>IF(B4236="",0,IF(OR(H4236=MappingTables!$C$34,H4236=MappingTables!$C$35),T4236,0))</f>
        <v>0</v>
      </c>
      <c r="V4236" s="85">
        <f>IF(ISNA(IF(AND(VLOOKUP(CONCATENATE($D4236,$G4236),CSRFinput!$B:$E,4,0)=0,OR(H4236=MappingTables!$C$34,H4236=MappingTables!$C$35)),1,VLOOKUP(CONCATENATE($D4236,$G4236),CSRFinput!$B:$E,4,0))),0,IF(AND(VLOOKUP(CONCATENATE($D4236,$G4236),CSRFinput!$B:$E,4,0)=0,OR(H4236=MappingTables!$C$34,H4236=MappingTables!$C$35)),1,VLOOKUP(CONCATENATE($D4236,$G4236),CSRFinput!$B:$E,4,0)))</f>
        <v>0.054776304963434752</v>
      </c>
      <c r="W4236" s="85">
        <f>IF(B4236="",0,+$T4236*$V4236)</f>
        <v>0.017457934408070162</v>
      </c>
      <c r="X4236" s="85">
        <f>IF(B4236="",0,IF(OR(H4236=MappingTables!$C$34,H4236=MappingTables!$C$35),W4236,0))</f>
        <v>0</v>
      </c>
    </row>
    <row r="4237" spans="2:24" s="0" customFormat="0" ht="15">
      <c r="B4237" s="69">
        <v>21617036</v>
      </c>
      <c r="C4237" s="70" t="s">
        <v>2293</v>
      </c>
      <c r="D4237" s="70" t="s">
        <v>1</v>
      </c>
      <c r="E4237" s="70" t="s">
        <v>1</v>
      </c>
      <c r="F4237" s="70"/>
      <c r="G4237" s="70" t="s">
        <v>61</v>
      </c>
      <c r="H4237" s="70" t="s">
        <v>178</v>
      </c>
      <c r="I4237" s="70" t="s">
        <v>181</v>
      </c>
      <c r="J4237" s="71">
        <f>IF(OR(I4237=0,I4237=""),"unrated",VLOOKUP(I4237,MappingTables!$B$19:$C$31,2,FALSE))</f>
        <v>3</v>
      </c>
      <c r="K4237" s="72">
        <v>6333.0084053010744</v>
      </c>
      <c r="L4237" s="70">
        <v>0.087673643082480736</v>
      </c>
      <c r="M4237" s="71">
        <f>IF(L4237&lt;1,1,L4237)</f>
        <v>1</v>
      </c>
      <c r="N4237" s="70" t="s">
        <v>141</v>
      </c>
      <c r="O4237" s="71">
        <f>INDEX(DurClassMapping,MATCH(M4237,MappingTables!$D$4:$D$8,-1),1)</f>
        <v>1</v>
      </c>
      <c r="P4237" s="73">
        <f>IF(M4237=$A$1,1,$M4237-INDEX(MappingTables!$E$4:$E$8,MATCH(O4237,MappingTables!$B$4:$B$8,0)))</f>
        <v>1</v>
      </c>
      <c r="Q4237" s="71">
        <f>IF(B4237="",0,INDEX(ModelParameters!$D$6:$K$10,MATCH($O4237,ModelParameters!$B$6:$B$10,0),MATCH($J4237,ModelParameters!$D$5:$K$5,0)))</f>
        <v>0.025</v>
      </c>
      <c r="R4237" s="71">
        <f>IF(B4237="",0,INDEX(ModelParameters!$D$13:$K$17,MATCH($O4237,ModelParameters!$B$13:$B$17,0),MATCH($J4237,ModelParameters!$D$5:$K$5,0)))</f>
        <v>0</v>
      </c>
      <c r="S4237" s="160">
        <f>IF(B4237="",0,MIN(IF($N4237="Other Bond TM",ModelParameters!$N$21,1)*(P4237*Q4237+R4237),1))</f>
        <v>0.025</v>
      </c>
      <c r="T4237" s="85">
        <f>IF(B4237="",0,$S4237*$K4237)</f>
        <v>158.32521013252688</v>
      </c>
      <c r="U4237" s="85">
        <f>IF(B4237="",0,IF(OR(H4237=MappingTables!$C$34,H4237=MappingTables!$C$35),T4237,0))</f>
        <v>0</v>
      </c>
      <c r="V4237" s="85">
        <f>IF(ISNA(IF(AND(VLOOKUP(CONCATENATE($D4237,$G4237),CSRFinput!$B:$E,4,0)=0,OR(H4237=MappingTables!$C$34,H4237=MappingTables!$C$35)),1,VLOOKUP(CONCATENATE($D4237,$G4237),CSRFinput!$B:$E,4,0))),0,IF(AND(VLOOKUP(CONCATENATE($D4237,$G4237),CSRFinput!$B:$E,4,0)=0,OR(H4237=MappingTables!$C$34,H4237=MappingTables!$C$35)),1,VLOOKUP(CONCATENATE($D4237,$G4237),CSRFinput!$B:$E,4,0)))</f>
        <v>0.054776304963434752</v>
      </c>
      <c r="W4237" s="85">
        <f>IF(B4237="",0,+$T4237*$V4237)</f>
        <v>8.6724699936191824</v>
      </c>
      <c r="X4237" s="85">
        <f>IF(B4237="",0,IF(OR(H4237=MappingTables!$C$34,H4237=MappingTables!$C$35),W4237,0))</f>
        <v>0</v>
      </c>
    </row>
    <row r="4238" spans="2:24" s="0" customFormat="0" ht="15">
      <c r="B4238" s="69">
        <v>17255180</v>
      </c>
      <c r="C4238" s="70" t="s">
        <v>2531</v>
      </c>
      <c r="D4238" s="70" t="s">
        <v>1</v>
      </c>
      <c r="E4238" s="70" t="s">
        <v>1</v>
      </c>
      <c r="F4238" s="70"/>
      <c r="G4238" s="70" t="s">
        <v>61</v>
      </c>
      <c r="H4238" s="70" t="s">
        <v>178</v>
      </c>
      <c r="I4238" s="70" t="s">
        <v>181</v>
      </c>
      <c r="J4238" s="71">
        <f>IF(OR(I4238=0,I4238=""),"unrated",VLOOKUP(I4238,MappingTables!$B$19:$C$31,2,FALSE))</f>
        <v>3</v>
      </c>
      <c r="K4238" s="72">
        <v>59.122018742266416</v>
      </c>
      <c r="L4238" s="70">
        <v>1.4219498801430868</v>
      </c>
      <c r="M4238" s="71">
        <f>IF(L4238&lt;1,1,L4238)</f>
        <v>1.4219498801430868</v>
      </c>
      <c r="N4238" s="70" t="s">
        <v>141</v>
      </c>
      <c r="O4238" s="71">
        <f>INDEX(DurClassMapping,MATCH(M4238,MappingTables!$D$4:$D$8,-1),1)</f>
        <v>1</v>
      </c>
      <c r="P4238" s="73">
        <f>IF(M4238=$A$1,1,$M4238-INDEX(MappingTables!$E$4:$E$8,MATCH(O4238,MappingTables!$B$4:$B$8,0)))</f>
        <v>1.4219498801430868</v>
      </c>
      <c r="Q4238" s="71">
        <f>IF(B4238="",0,INDEX(ModelParameters!$D$6:$K$10,MATCH($O4238,ModelParameters!$B$6:$B$10,0),MATCH($J4238,ModelParameters!$D$5:$K$5,0)))</f>
        <v>0.025</v>
      </c>
      <c r="R4238" s="71">
        <f>IF(B4238="",0,INDEX(ModelParameters!$D$13:$K$17,MATCH($O4238,ModelParameters!$B$13:$B$17,0),MATCH($J4238,ModelParameters!$D$5:$K$5,0)))</f>
        <v>0</v>
      </c>
      <c r="S4238" s="160">
        <f>IF(B4238="",0,MIN(IF($N4238="Other Bond TM",ModelParameters!$N$21,1)*(P4238*Q4238+R4238),1))</f>
        <v>0.035548747003577172</v>
      </c>
      <c r="T4238" s="85">
        <f>IF(B4238="",0,$S4238*$K4238)</f>
        <v>2.1017136866095768</v>
      </c>
      <c r="U4238" s="85">
        <f>IF(B4238="",0,IF(OR(H4238=MappingTables!$C$34,H4238=MappingTables!$C$35),T4238,0))</f>
        <v>0</v>
      </c>
      <c r="V4238" s="85">
        <f>IF(ISNA(IF(AND(VLOOKUP(CONCATENATE($D4238,$G4238),CSRFinput!$B:$E,4,0)=0,OR(H4238=MappingTables!$C$34,H4238=MappingTables!$C$35)),1,VLOOKUP(CONCATENATE($D4238,$G4238),CSRFinput!$B:$E,4,0))),0,IF(AND(VLOOKUP(CONCATENATE($D4238,$G4238),CSRFinput!$B:$E,4,0)=0,OR(H4238=MappingTables!$C$34,H4238=MappingTables!$C$35)),1,VLOOKUP(CONCATENATE($D4238,$G4238),CSRFinput!$B:$E,4,0)))</f>
        <v>0.054776304963434752</v>
      </c>
      <c r="W4238" s="85">
        <f>IF(B4238="",0,+$T4238*$V4238)</f>
        <v>0.11512410984355092</v>
      </c>
      <c r="X4238" s="85">
        <f>IF(B4238="",0,IF(OR(H4238=MappingTables!$C$34,H4238=MappingTables!$C$35),W4238,0))</f>
        <v>0</v>
      </c>
    </row>
    <row r="4239" spans="2:24" s="0" customFormat="0" ht="15">
      <c r="B4239" s="69">
        <v>14731422</v>
      </c>
      <c r="C4239" s="70" t="s">
        <v>1193</v>
      </c>
      <c r="D4239" s="70" t="s">
        <v>1</v>
      </c>
      <c r="E4239" s="70" t="s">
        <v>1</v>
      </c>
      <c r="F4239" s="70"/>
      <c r="G4239" s="70" t="s">
        <v>61</v>
      </c>
      <c r="H4239" s="70" t="s">
        <v>178</v>
      </c>
      <c r="I4239" s="70" t="s">
        <v>179</v>
      </c>
      <c r="J4239" s="71">
        <f>IF(OR(I4239=0,I4239=""),"unrated",VLOOKUP(I4239,MappingTables!$B$19:$C$31,2,FALSE))</f>
        <v>4</v>
      </c>
      <c r="K4239" s="72">
        <v>554.18015083012128</v>
      </c>
      <c r="L4239" s="70">
        <v>3.8143318863557936</v>
      </c>
      <c r="M4239" s="71">
        <f>IF(L4239&lt;1,1,L4239)</f>
        <v>3.8143318863557936</v>
      </c>
      <c r="N4239" s="70" t="s">
        <v>141</v>
      </c>
      <c r="O4239" s="71">
        <f>INDEX(DurClassMapping,MATCH(M4239,MappingTables!$D$4:$D$8,-1),1)</f>
        <v>1</v>
      </c>
      <c r="P4239" s="73">
        <f>IF(M4239=$A$1,1,$M4239-INDEX(MappingTables!$E$4:$E$8,MATCH(O4239,MappingTables!$B$4:$B$8,0)))</f>
        <v>3.8143318863557936</v>
      </c>
      <c r="Q4239" s="71">
        <f>IF(B4239="",0,INDEX(ModelParameters!$D$6:$K$10,MATCH($O4239,ModelParameters!$B$6:$B$10,0),MATCH($J4239,ModelParameters!$D$5:$K$5,0)))</f>
        <v>0.045</v>
      </c>
      <c r="R4239" s="71">
        <f>IF(B4239="",0,INDEX(ModelParameters!$D$13:$K$17,MATCH($O4239,ModelParameters!$B$13:$B$17,0),MATCH($J4239,ModelParameters!$D$5:$K$5,0)))</f>
        <v>0</v>
      </c>
      <c r="S4239" s="160">
        <f>IF(B4239="",0,MIN(IF($N4239="Other Bond TM",ModelParameters!$N$21,1)*(P4239*Q4239+R4239),1))</f>
        <v>0.1716449348860107</v>
      </c>
      <c r="T4239" s="85">
        <f>IF(B4239="",0,$S4239*$K4239)</f>
        <v>95.122215904355776</v>
      </c>
      <c r="U4239" s="85">
        <f>IF(B4239="",0,IF(OR(H4239=MappingTables!$C$34,H4239=MappingTables!$C$35),T4239,0))</f>
        <v>0</v>
      </c>
      <c r="V4239" s="85">
        <f>IF(ISNA(IF(AND(VLOOKUP(CONCATENATE($D4239,$G4239),CSRFinput!$B:$E,4,0)=0,OR(H4239=MappingTables!$C$34,H4239=MappingTables!$C$35)),1,VLOOKUP(CONCATENATE($D4239,$G4239),CSRFinput!$B:$E,4,0))),0,IF(AND(VLOOKUP(CONCATENATE($D4239,$G4239),CSRFinput!$B:$E,4,0)=0,OR(H4239=MappingTables!$C$34,H4239=MappingTables!$C$35)),1,VLOOKUP(CONCATENATE($D4239,$G4239),CSRFinput!$B:$E,4,0)))</f>
        <v>0.054776304963434752</v>
      </c>
      <c r="W4239" s="85">
        <f>IF(B4239="",0,+$T4239*$V4239)</f>
        <v>5.2104435071746752</v>
      </c>
      <c r="X4239" s="85">
        <f>IF(B4239="",0,IF(OR(H4239=MappingTables!$C$34,H4239=MappingTables!$C$35),W4239,0))</f>
        <v>0</v>
      </c>
    </row>
    <row r="4240" spans="2:24" s="0" customFormat="0" ht="15">
      <c r="B4240" s="69">
        <v>16139752</v>
      </c>
      <c r="C4240" s="70" t="s">
        <v>1757</v>
      </c>
      <c r="D4240" s="70" t="s">
        <v>1</v>
      </c>
      <c r="E4240" s="70" t="s">
        <v>1</v>
      </c>
      <c r="F4240" s="70"/>
      <c r="G4240" s="70" t="s">
        <v>61</v>
      </c>
      <c r="H4240" s="70" t="s">
        <v>178</v>
      </c>
      <c r="I4240" s="70" t="s">
        <v>181</v>
      </c>
      <c r="J4240" s="71">
        <f>IF(OR(I4240=0,I4240=""),"unrated",VLOOKUP(I4240,MappingTables!$B$19:$C$31,2,FALSE))</f>
        <v>3</v>
      </c>
      <c r="K4240" s="72">
        <v>18.49663449530562</v>
      </c>
      <c r="L4240" s="70">
        <v>0.2849310249742012</v>
      </c>
      <c r="M4240" s="71">
        <f>IF(L4240&lt;1,1,L4240)</f>
        <v>1</v>
      </c>
      <c r="N4240" s="70" t="s">
        <v>141</v>
      </c>
      <c r="O4240" s="71">
        <f>INDEX(DurClassMapping,MATCH(M4240,MappingTables!$D$4:$D$8,-1),1)</f>
        <v>1</v>
      </c>
      <c r="P4240" s="73">
        <f>IF(M4240=$A$1,1,$M4240-INDEX(MappingTables!$E$4:$E$8,MATCH(O4240,MappingTables!$B$4:$B$8,0)))</f>
        <v>1</v>
      </c>
      <c r="Q4240" s="71">
        <f>IF(B4240="",0,INDEX(ModelParameters!$D$6:$K$10,MATCH($O4240,ModelParameters!$B$6:$B$10,0),MATCH($J4240,ModelParameters!$D$5:$K$5,0)))</f>
        <v>0.025</v>
      </c>
      <c r="R4240" s="71">
        <f>IF(B4240="",0,INDEX(ModelParameters!$D$13:$K$17,MATCH($O4240,ModelParameters!$B$13:$B$17,0),MATCH($J4240,ModelParameters!$D$5:$K$5,0)))</f>
        <v>0</v>
      </c>
      <c r="S4240" s="160">
        <f>IF(B4240="",0,MIN(IF($N4240="Other Bond TM",ModelParameters!$N$21,1)*(P4240*Q4240+R4240),1))</f>
        <v>0.025</v>
      </c>
      <c r="T4240" s="85">
        <f>IF(B4240="",0,$S4240*$K4240)</f>
        <v>0.46241586238264056</v>
      </c>
      <c r="U4240" s="85">
        <f>IF(B4240="",0,IF(OR(H4240=MappingTables!$C$34,H4240=MappingTables!$C$35),T4240,0))</f>
        <v>0</v>
      </c>
      <c r="V4240" s="85">
        <f>IF(ISNA(IF(AND(VLOOKUP(CONCATENATE($D4240,$G4240),CSRFinput!$B:$E,4,0)=0,OR(H4240=MappingTables!$C$34,H4240=MappingTables!$C$35)),1,VLOOKUP(CONCATENATE($D4240,$G4240),CSRFinput!$B:$E,4,0))),0,IF(AND(VLOOKUP(CONCATENATE($D4240,$G4240),CSRFinput!$B:$E,4,0)=0,OR(H4240=MappingTables!$C$34,H4240=MappingTables!$C$35)),1,VLOOKUP(CONCATENATE($D4240,$G4240),CSRFinput!$B:$E,4,0)))</f>
        <v>0.054776304963434752</v>
      </c>
      <c r="W4240" s="85">
        <f>IF(B4240="",0,+$T4240*$V4240)</f>
        <v>0.025329432297801196</v>
      </c>
      <c r="X4240" s="85">
        <f>IF(B4240="",0,IF(OR(H4240=MappingTables!$C$34,H4240=MappingTables!$C$35),W4240,0))</f>
        <v>0</v>
      </c>
    </row>
    <row r="4241" spans="2:24" s="0" customFormat="0" ht="15">
      <c r="B4241" s="69">
        <v>14059598</v>
      </c>
      <c r="C4241" s="70" t="s">
        <v>2935</v>
      </c>
      <c r="D4241" s="70" t="s">
        <v>1</v>
      </c>
      <c r="E4241" s="70" t="s">
        <v>1</v>
      </c>
      <c r="F4241" s="70"/>
      <c r="G4241" s="70" t="s">
        <v>61</v>
      </c>
      <c r="H4241" s="70" t="s">
        <v>178</v>
      </c>
      <c r="I4241" s="70" t="s">
        <v>188</v>
      </c>
      <c r="J4241" s="71">
        <f>IF(OR(I4241=0,I4241=""),"unrated",VLOOKUP(I4241,MappingTables!$B$19:$C$31,2,FALSE))</f>
        <v>2</v>
      </c>
      <c r="K4241" s="72">
        <v>1116.0108127790552</v>
      </c>
      <c r="L4241" s="70">
        <v>1.3920964355347836</v>
      </c>
      <c r="M4241" s="71">
        <f>IF(L4241&lt;1,1,L4241)</f>
        <v>1.3920964355347836</v>
      </c>
      <c r="N4241" s="70" t="s">
        <v>141</v>
      </c>
      <c r="O4241" s="71">
        <f>INDEX(DurClassMapping,MATCH(M4241,MappingTables!$D$4:$D$8,-1),1)</f>
        <v>1</v>
      </c>
      <c r="P4241" s="73">
        <f>IF(M4241=$A$1,1,$M4241-INDEX(MappingTables!$E$4:$E$8,MATCH(O4241,MappingTables!$B$4:$B$8,0)))</f>
        <v>1.3920964355347836</v>
      </c>
      <c r="Q4241" s="71">
        <f>IF(B4241="",0,INDEX(ModelParameters!$D$6:$K$10,MATCH($O4241,ModelParameters!$B$6:$B$10,0),MATCH($J4241,ModelParameters!$D$5:$K$5,0)))</f>
        <v>0.013999999999999998</v>
      </c>
      <c r="R4241" s="71">
        <f>IF(B4241="",0,INDEX(ModelParameters!$D$13:$K$17,MATCH($O4241,ModelParameters!$B$13:$B$17,0),MATCH($J4241,ModelParameters!$D$5:$K$5,0)))</f>
        <v>0</v>
      </c>
      <c r="S4241" s="160">
        <f>IF(B4241="",0,MIN(IF($N4241="Other Bond TM",ModelParameters!$N$21,1)*(P4241*Q4241+R4241),1))</f>
        <v>0.019489350097486968</v>
      </c>
      <c r="T4241" s="85">
        <f>IF(B4241="",0,$S4241*$K4241)</f>
        <v>21.750325442831988</v>
      </c>
      <c r="U4241" s="85">
        <f>IF(B4241="",0,IF(OR(H4241=MappingTables!$C$34,H4241=MappingTables!$C$35),T4241,0))</f>
        <v>0</v>
      </c>
      <c r="V4241" s="85">
        <f>IF(ISNA(IF(AND(VLOOKUP(CONCATENATE($D4241,$G4241),CSRFinput!$B:$E,4,0)=0,OR(H4241=MappingTables!$C$34,H4241=MappingTables!$C$35)),1,VLOOKUP(CONCATENATE($D4241,$G4241),CSRFinput!$B:$E,4,0))),0,IF(AND(VLOOKUP(CONCATENATE($D4241,$G4241),CSRFinput!$B:$E,4,0)=0,OR(H4241=MappingTables!$C$34,H4241=MappingTables!$C$35)),1,VLOOKUP(CONCATENATE($D4241,$G4241),CSRFinput!$B:$E,4,0)))</f>
        <v>0.054776304963434752</v>
      </c>
      <c r="W4241" s="85">
        <f>IF(B4241="",0,+$T4241*$V4241)</f>
        <v>1.191402459510519</v>
      </c>
      <c r="X4241" s="85">
        <f>IF(B4241="",0,IF(OR(H4241=MappingTables!$C$34,H4241=MappingTables!$C$35),W4241,0))</f>
        <v>0</v>
      </c>
    </row>
    <row r="4242" spans="2:24" s="0" customFormat="0" ht="15">
      <c r="B4242" s="69" t="s">
        <v>2428</v>
      </c>
      <c r="C4242" s="70" t="s">
        <v>2429</v>
      </c>
      <c r="D4242" s="70" t="s">
        <v>1</v>
      </c>
      <c r="E4242" s="70" t="s">
        <v>1</v>
      </c>
      <c r="F4242" s="70"/>
      <c r="G4242" s="70" t="s">
        <v>61</v>
      </c>
      <c r="H4242" s="70" t="s">
        <v>178</v>
      </c>
      <c r="I4242" s="70" t="s">
        <v>181</v>
      </c>
      <c r="J4242" s="71">
        <f>IF(OR(I4242=0,I4242=""),"unrated",VLOOKUP(I4242,MappingTables!$B$19:$C$31,2,FALSE))</f>
        <v>3</v>
      </c>
      <c r="K4242" s="72">
        <v>3.9880058149892784</v>
      </c>
      <c r="L4242" s="70">
        <v>0.9810555086854024</v>
      </c>
      <c r="M4242" s="71">
        <f>IF(L4242&lt;1,1,L4242)</f>
        <v>1</v>
      </c>
      <c r="N4242" s="70" t="s">
        <v>141</v>
      </c>
      <c r="O4242" s="71">
        <f>INDEX(DurClassMapping,MATCH(M4242,MappingTables!$D$4:$D$8,-1),1)</f>
        <v>1</v>
      </c>
      <c r="P4242" s="73">
        <f>IF(M4242=$A$1,1,$M4242-INDEX(MappingTables!$E$4:$E$8,MATCH(O4242,MappingTables!$B$4:$B$8,0)))</f>
        <v>1</v>
      </c>
      <c r="Q4242" s="71">
        <f>IF(B4242="",0,INDEX(ModelParameters!$D$6:$K$10,MATCH($O4242,ModelParameters!$B$6:$B$10,0),MATCH($J4242,ModelParameters!$D$5:$K$5,0)))</f>
        <v>0.025</v>
      </c>
      <c r="R4242" s="71">
        <f>IF(B4242="",0,INDEX(ModelParameters!$D$13:$K$17,MATCH($O4242,ModelParameters!$B$13:$B$17,0),MATCH($J4242,ModelParameters!$D$5:$K$5,0)))</f>
        <v>0</v>
      </c>
      <c r="S4242" s="160">
        <f>IF(B4242="",0,MIN(IF($N4242="Other Bond TM",ModelParameters!$N$21,1)*(P4242*Q4242+R4242),1))</f>
        <v>0.025</v>
      </c>
      <c r="T4242" s="85">
        <f>IF(B4242="",0,$S4242*$K4242)</f>
        <v>0.099700145374731952</v>
      </c>
      <c r="U4242" s="85">
        <f>IF(B4242="",0,IF(OR(H4242=MappingTables!$C$34,H4242=MappingTables!$C$35),T4242,0))</f>
        <v>0</v>
      </c>
      <c r="V4242" s="85">
        <f>IF(ISNA(IF(AND(VLOOKUP(CONCATENATE($D4242,$G4242),CSRFinput!$B:$E,4,0)=0,OR(H4242=MappingTables!$C$34,H4242=MappingTables!$C$35)),1,VLOOKUP(CONCATENATE($D4242,$G4242),CSRFinput!$B:$E,4,0))),0,IF(AND(VLOOKUP(CONCATENATE($D4242,$G4242),CSRFinput!$B:$E,4,0)=0,OR(H4242=MappingTables!$C$34,H4242=MappingTables!$C$35)),1,VLOOKUP(CONCATENATE($D4242,$G4242),CSRFinput!$B:$E,4,0)))</f>
        <v>0.054776304963434752</v>
      </c>
      <c r="W4242" s="85">
        <f>IF(B4242="",0,+$T4242*$V4242)</f>
        <v>0.0054612055679450968</v>
      </c>
      <c r="X4242" s="85">
        <f>IF(B4242="",0,IF(OR(H4242=MappingTables!$C$34,H4242=MappingTables!$C$35),W4242,0))</f>
        <v>0</v>
      </c>
    </row>
    <row r="4243" spans="2:24" s="0" customFormat="0" ht="15">
      <c r="B4243" s="69" t="s">
        <v>2006</v>
      </c>
      <c r="C4243" s="70" t="s">
        <v>2007</v>
      </c>
      <c r="D4243" s="70" t="s">
        <v>1</v>
      </c>
      <c r="E4243" s="70" t="s">
        <v>1</v>
      </c>
      <c r="F4243" s="70"/>
      <c r="G4243" s="70" t="s">
        <v>61</v>
      </c>
      <c r="H4243" s="70" t="s">
        <v>178</v>
      </c>
      <c r="I4243" s="70" t="s">
        <v>181</v>
      </c>
      <c r="J4243" s="71">
        <f>IF(OR(I4243=0,I4243=""),"unrated",VLOOKUP(I4243,MappingTables!$B$19:$C$31,2,FALSE))</f>
        <v>3</v>
      </c>
      <c r="K4243" s="72">
        <v>3.6244804603185648</v>
      </c>
      <c r="L4243" s="70">
        <v>0.6684972371944804</v>
      </c>
      <c r="M4243" s="71">
        <f>IF(L4243&lt;1,1,L4243)</f>
        <v>1</v>
      </c>
      <c r="N4243" s="70" t="s">
        <v>141</v>
      </c>
      <c r="O4243" s="71">
        <f>INDEX(DurClassMapping,MATCH(M4243,MappingTables!$D$4:$D$8,-1),1)</f>
        <v>1</v>
      </c>
      <c r="P4243" s="73">
        <f>IF(M4243=$A$1,1,$M4243-INDEX(MappingTables!$E$4:$E$8,MATCH(O4243,MappingTables!$B$4:$B$8,0)))</f>
        <v>1</v>
      </c>
      <c r="Q4243" s="71">
        <f>IF(B4243="",0,INDEX(ModelParameters!$D$6:$K$10,MATCH($O4243,ModelParameters!$B$6:$B$10,0),MATCH($J4243,ModelParameters!$D$5:$K$5,0)))</f>
        <v>0.025</v>
      </c>
      <c r="R4243" s="71">
        <f>IF(B4243="",0,INDEX(ModelParameters!$D$13:$K$17,MATCH($O4243,ModelParameters!$B$13:$B$17,0),MATCH($J4243,ModelParameters!$D$5:$K$5,0)))</f>
        <v>0</v>
      </c>
      <c r="S4243" s="160">
        <f>IF(B4243="",0,MIN(IF($N4243="Other Bond TM",ModelParameters!$N$21,1)*(P4243*Q4243+R4243),1))</f>
        <v>0.025</v>
      </c>
      <c r="T4243" s="85">
        <f>IF(B4243="",0,$S4243*$K4243)</f>
        <v>0.090612011507964128</v>
      </c>
      <c r="U4243" s="85">
        <f>IF(B4243="",0,IF(OR(H4243=MappingTables!$C$34,H4243=MappingTables!$C$35),T4243,0))</f>
        <v>0</v>
      </c>
      <c r="V4243" s="85">
        <f>IF(ISNA(IF(AND(VLOOKUP(CONCATENATE($D4243,$G4243),CSRFinput!$B:$E,4,0)=0,OR(H4243=MappingTables!$C$34,H4243=MappingTables!$C$35)),1,VLOOKUP(CONCATENATE($D4243,$G4243),CSRFinput!$B:$E,4,0))),0,IF(AND(VLOOKUP(CONCATENATE($D4243,$G4243),CSRFinput!$B:$E,4,0)=0,OR(H4243=MappingTables!$C$34,H4243=MappingTables!$C$35)),1,VLOOKUP(CONCATENATE($D4243,$G4243),CSRFinput!$B:$E,4,0)))</f>
        <v>0.054776304963434752</v>
      </c>
      <c r="W4243" s="85">
        <f>IF(B4243="",0,+$T4243*$V4243)</f>
        <v>0.0049633911757105024</v>
      </c>
      <c r="X4243" s="85">
        <f>IF(B4243="",0,IF(OR(H4243=MappingTables!$C$34,H4243=MappingTables!$C$35),W4243,0))</f>
        <v>0</v>
      </c>
    </row>
    <row r="4244" spans="2:24" s="0" customFormat="0" ht="15">
      <c r="B4244" s="69">
        <v>18676480</v>
      </c>
      <c r="C4244" s="70" t="s">
        <v>1170</v>
      </c>
      <c r="D4244" s="70" t="s">
        <v>1</v>
      </c>
      <c r="E4244" s="70" t="s">
        <v>1</v>
      </c>
      <c r="F4244" s="70"/>
      <c r="G4244" s="70" t="s">
        <v>61</v>
      </c>
      <c r="H4244" s="70" t="s">
        <v>178</v>
      </c>
      <c r="I4244" s="70" t="s">
        <v>184</v>
      </c>
      <c r="J4244" s="71">
        <f>IF(OR(I4244=0,I4244=""),"unrated",VLOOKUP(I4244,MappingTables!$B$19:$C$31,2,FALSE))</f>
        <v>5</v>
      </c>
      <c r="K4244" s="72">
        <v>661.38115411307296</v>
      </c>
      <c r="L4244" s="70">
        <v>0.951213587344288</v>
      </c>
      <c r="M4244" s="71">
        <f>IF(L4244&lt;1,1,L4244)</f>
        <v>1</v>
      </c>
      <c r="N4244" s="70" t="s">
        <v>141</v>
      </c>
      <c r="O4244" s="71">
        <f>INDEX(DurClassMapping,MATCH(M4244,MappingTables!$D$4:$D$8,-1),1)</f>
        <v>1</v>
      </c>
      <c r="P4244" s="73">
        <f>IF(M4244=$A$1,1,$M4244-INDEX(MappingTables!$E$4:$E$8,MATCH(O4244,MappingTables!$B$4:$B$8,0)))</f>
        <v>1</v>
      </c>
      <c r="Q4244" s="71">
        <f>IF(B4244="",0,INDEX(ModelParameters!$D$6:$K$10,MATCH($O4244,ModelParameters!$B$6:$B$10,0),MATCH($J4244,ModelParameters!$D$5:$K$5,0)))</f>
        <v>0.075</v>
      </c>
      <c r="R4244" s="71">
        <f>IF(B4244="",0,INDEX(ModelParameters!$D$13:$K$17,MATCH($O4244,ModelParameters!$B$13:$B$17,0),MATCH($J4244,ModelParameters!$D$5:$K$5,0)))</f>
        <v>0</v>
      </c>
      <c r="S4244" s="160">
        <f>IF(B4244="",0,MIN(IF($N4244="Other Bond TM",ModelParameters!$N$21,1)*(P4244*Q4244+R4244),1))</f>
        <v>0.075</v>
      </c>
      <c r="T4244" s="85">
        <f>IF(B4244="",0,$S4244*$K4244)</f>
        <v>49.603586558480472</v>
      </c>
      <c r="U4244" s="85">
        <f>IF(B4244="",0,IF(OR(H4244=MappingTables!$C$34,H4244=MappingTables!$C$35),T4244,0))</f>
        <v>0</v>
      </c>
      <c r="V4244" s="85">
        <f>IF(ISNA(IF(AND(VLOOKUP(CONCATENATE($D4244,$G4244),CSRFinput!$B:$E,4,0)=0,OR(H4244=MappingTables!$C$34,H4244=MappingTables!$C$35)),1,VLOOKUP(CONCATENATE($D4244,$G4244),CSRFinput!$B:$E,4,0))),0,IF(AND(VLOOKUP(CONCATENATE($D4244,$G4244),CSRFinput!$B:$E,4,0)=0,OR(H4244=MappingTables!$C$34,H4244=MappingTables!$C$35)),1,VLOOKUP(CONCATENATE($D4244,$G4244),CSRFinput!$B:$E,4,0)))</f>
        <v>0.054776304963434752</v>
      </c>
      <c r="W4244" s="85">
        <f>IF(B4244="",0,+$T4244*$V4244)</f>
        <v>2.7171011846074596</v>
      </c>
      <c r="X4244" s="85">
        <f>IF(B4244="",0,IF(OR(H4244=MappingTables!$C$34,H4244=MappingTables!$C$35),W4244,0))</f>
        <v>0</v>
      </c>
    </row>
    <row r="4245" spans="2:24" s="0" customFormat="0" ht="15">
      <c r="B4245" s="69" t="s">
        <v>1713</v>
      </c>
      <c r="C4245" s="70" t="s">
        <v>1714</v>
      </c>
      <c r="D4245" s="70" t="s">
        <v>1</v>
      </c>
      <c r="E4245" s="70" t="s">
        <v>1</v>
      </c>
      <c r="F4245" s="70"/>
      <c r="G4245" s="70" t="s">
        <v>61</v>
      </c>
      <c r="H4245" s="70" t="s">
        <v>178</v>
      </c>
      <c r="I4245" s="70" t="s">
        <v>179</v>
      </c>
      <c r="J4245" s="71">
        <f>IF(OR(I4245=0,I4245=""),"unrated",VLOOKUP(I4245,MappingTables!$B$19:$C$31,2,FALSE))</f>
        <v>4</v>
      </c>
      <c r="K4245" s="72">
        <v>2824.4719434870108</v>
      </c>
      <c r="L4245" s="70">
        <v>0.1123259013935568</v>
      </c>
      <c r="M4245" s="71">
        <f>IF(L4245&lt;1,1,L4245)</f>
        <v>1</v>
      </c>
      <c r="N4245" s="70" t="s">
        <v>141</v>
      </c>
      <c r="O4245" s="71">
        <f>INDEX(DurClassMapping,MATCH(M4245,MappingTables!$D$4:$D$8,-1),1)</f>
        <v>1</v>
      </c>
      <c r="P4245" s="73">
        <f>IF(M4245=$A$1,1,$M4245-INDEX(MappingTables!$E$4:$E$8,MATCH(O4245,MappingTables!$B$4:$B$8,0)))</f>
        <v>1</v>
      </c>
      <c r="Q4245" s="71">
        <f>IF(B4245="",0,INDEX(ModelParameters!$D$6:$K$10,MATCH($O4245,ModelParameters!$B$6:$B$10,0),MATCH($J4245,ModelParameters!$D$5:$K$5,0)))</f>
        <v>0.045</v>
      </c>
      <c r="R4245" s="71">
        <f>IF(B4245="",0,INDEX(ModelParameters!$D$13:$K$17,MATCH($O4245,ModelParameters!$B$13:$B$17,0),MATCH($J4245,ModelParameters!$D$5:$K$5,0)))</f>
        <v>0</v>
      </c>
      <c r="S4245" s="160">
        <f>IF(B4245="",0,MIN(IF($N4245="Other Bond TM",ModelParameters!$N$21,1)*(P4245*Q4245+R4245),1))</f>
        <v>0.045</v>
      </c>
      <c r="T4245" s="85">
        <f>IF(B4245="",0,$S4245*$K4245)</f>
        <v>127.10123745691548</v>
      </c>
      <c r="U4245" s="85">
        <f>IF(B4245="",0,IF(OR(H4245=MappingTables!$C$34,H4245=MappingTables!$C$35),T4245,0))</f>
        <v>0</v>
      </c>
      <c r="V4245" s="85">
        <f>IF(ISNA(IF(AND(VLOOKUP(CONCATENATE($D4245,$G4245),CSRFinput!$B:$E,4,0)=0,OR(H4245=MappingTables!$C$34,H4245=MappingTables!$C$35)),1,VLOOKUP(CONCATENATE($D4245,$G4245),CSRFinput!$B:$E,4,0))),0,IF(AND(VLOOKUP(CONCATENATE($D4245,$G4245),CSRFinput!$B:$E,4,0)=0,OR(H4245=MappingTables!$C$34,H4245=MappingTables!$C$35)),1,VLOOKUP(CONCATENATE($D4245,$G4245),CSRFinput!$B:$E,4,0)))</f>
        <v>0.054776304963434752</v>
      </c>
      <c r="W4245" s="85">
        <f>IF(B4245="",0,+$T4245*$V4245)</f>
        <v>6.9621361441699392</v>
      </c>
      <c r="X4245" s="85">
        <f>IF(B4245="",0,IF(OR(H4245=MappingTables!$C$34,H4245=MappingTables!$C$35),W4245,0))</f>
        <v>0</v>
      </c>
    </row>
    <row r="4246" spans="2:24" s="0" customFormat="0" ht="15">
      <c r="B4246" s="69">
        <v>13321967</v>
      </c>
      <c r="C4246" s="70" t="s">
        <v>2919</v>
      </c>
      <c r="D4246" s="70" t="s">
        <v>1</v>
      </c>
      <c r="E4246" s="70" t="s">
        <v>1</v>
      </c>
      <c r="F4246" s="70"/>
      <c r="G4246" s="70" t="s">
        <v>61</v>
      </c>
      <c r="H4246" s="70" t="s">
        <v>178</v>
      </c>
      <c r="I4246" s="70" t="s">
        <v>181</v>
      </c>
      <c r="J4246" s="71">
        <f>IF(OR(I4246=0,I4246=""),"unrated",VLOOKUP(I4246,MappingTables!$B$19:$C$31,2,FALSE))</f>
        <v>3</v>
      </c>
      <c r="K4246" s="72">
        <v>22.540852682811916</v>
      </c>
      <c r="L4246" s="70">
        <v>1.5243775534158208</v>
      </c>
      <c r="M4246" s="71">
        <f>IF(L4246&lt;1,1,L4246)</f>
        <v>1.5243775534158208</v>
      </c>
      <c r="N4246" s="70" t="s">
        <v>141</v>
      </c>
      <c r="O4246" s="71">
        <f>INDEX(DurClassMapping,MATCH(M4246,MappingTables!$D$4:$D$8,-1),1)</f>
        <v>1</v>
      </c>
      <c r="P4246" s="73">
        <f>IF(M4246=$A$1,1,$M4246-INDEX(MappingTables!$E$4:$E$8,MATCH(O4246,MappingTables!$B$4:$B$8,0)))</f>
        <v>1.5243775534158208</v>
      </c>
      <c r="Q4246" s="71">
        <f>IF(B4246="",0,INDEX(ModelParameters!$D$6:$K$10,MATCH($O4246,ModelParameters!$B$6:$B$10,0),MATCH($J4246,ModelParameters!$D$5:$K$5,0)))</f>
        <v>0.025</v>
      </c>
      <c r="R4246" s="71">
        <f>IF(B4246="",0,INDEX(ModelParameters!$D$13:$K$17,MATCH($O4246,ModelParameters!$B$13:$B$17,0),MATCH($J4246,ModelParameters!$D$5:$K$5,0)))</f>
        <v>0</v>
      </c>
      <c r="S4246" s="160">
        <f>IF(B4246="",0,MIN(IF($N4246="Other Bond TM",ModelParameters!$N$21,1)*(P4246*Q4246+R4246),1))</f>
        <v>0.038109438835395528</v>
      </c>
      <c r="T4246" s="85">
        <f>IF(B4246="",0,$S4246*$K4246)</f>
        <v>0.85901924661328192</v>
      </c>
      <c r="U4246" s="85">
        <f>IF(B4246="",0,IF(OR(H4246=MappingTables!$C$34,H4246=MappingTables!$C$35),T4246,0))</f>
        <v>0</v>
      </c>
      <c r="V4246" s="85">
        <f>IF(ISNA(IF(AND(VLOOKUP(CONCATENATE($D4246,$G4246),CSRFinput!$B:$E,4,0)=0,OR(H4246=MappingTables!$C$34,H4246=MappingTables!$C$35)),1,VLOOKUP(CONCATENATE($D4246,$G4246),CSRFinput!$B:$E,4,0))),0,IF(AND(VLOOKUP(CONCATENATE($D4246,$G4246),CSRFinput!$B:$E,4,0)=0,OR(H4246=MappingTables!$C$34,H4246=MappingTables!$C$35)),1,VLOOKUP(CONCATENATE($D4246,$G4246),CSRFinput!$B:$E,4,0)))</f>
        <v>0.054776304963434752</v>
      </c>
      <c r="W4246" s="85">
        <f>IF(B4246="",0,+$T4246*$V4246)</f>
        <v>0.047053900221949096</v>
      </c>
      <c r="X4246" s="85">
        <f>IF(B4246="",0,IF(OR(H4246=MappingTables!$C$34,H4246=MappingTables!$C$35),W4246,0))</f>
        <v>0</v>
      </c>
    </row>
    <row r="4247" spans="2:24" s="0" customFormat="0" ht="15">
      <c r="B4247" s="69">
        <v>18066183</v>
      </c>
      <c r="C4247" s="70" t="s">
        <v>1391</v>
      </c>
      <c r="D4247" s="70" t="s">
        <v>1</v>
      </c>
      <c r="E4247" s="70" t="s">
        <v>1</v>
      </c>
      <c r="F4247" s="70"/>
      <c r="G4247" s="70" t="s">
        <v>61</v>
      </c>
      <c r="H4247" s="70" t="s">
        <v>178</v>
      </c>
      <c r="I4247" s="70" t="s">
        <v>184</v>
      </c>
      <c r="J4247" s="71">
        <f>IF(OR(I4247=0,I4247=""),"unrated",VLOOKUP(I4247,MappingTables!$B$19:$C$31,2,FALSE))</f>
        <v>5</v>
      </c>
      <c r="K4247" s="72">
        <v>5734.5184912531312</v>
      </c>
      <c r="L4247" s="70">
        <v>0.0876753608817252</v>
      </c>
      <c r="M4247" s="71">
        <f>IF(L4247&lt;1,1,L4247)</f>
        <v>1</v>
      </c>
      <c r="N4247" s="70" t="s">
        <v>141</v>
      </c>
      <c r="O4247" s="71">
        <f>INDEX(DurClassMapping,MATCH(M4247,MappingTables!$D$4:$D$8,-1),1)</f>
        <v>1</v>
      </c>
      <c r="P4247" s="73">
        <f>IF(M4247=$A$1,1,$M4247-INDEX(MappingTables!$E$4:$E$8,MATCH(O4247,MappingTables!$B$4:$B$8,0)))</f>
        <v>1</v>
      </c>
      <c r="Q4247" s="71">
        <f>IF(B4247="",0,INDEX(ModelParameters!$D$6:$K$10,MATCH($O4247,ModelParameters!$B$6:$B$10,0),MATCH($J4247,ModelParameters!$D$5:$K$5,0)))</f>
        <v>0.075</v>
      </c>
      <c r="R4247" s="71">
        <f>IF(B4247="",0,INDEX(ModelParameters!$D$13:$K$17,MATCH($O4247,ModelParameters!$B$13:$B$17,0),MATCH($J4247,ModelParameters!$D$5:$K$5,0)))</f>
        <v>0</v>
      </c>
      <c r="S4247" s="160">
        <f>IF(B4247="",0,MIN(IF($N4247="Other Bond TM",ModelParameters!$N$21,1)*(P4247*Q4247+R4247),1))</f>
        <v>0.075</v>
      </c>
      <c r="T4247" s="85">
        <f>IF(B4247="",0,$S4247*$K4247)</f>
        <v>430.0888868439848</v>
      </c>
      <c r="U4247" s="85">
        <f>IF(B4247="",0,IF(OR(H4247=MappingTables!$C$34,H4247=MappingTables!$C$35),T4247,0))</f>
        <v>0</v>
      </c>
      <c r="V4247" s="85">
        <f>IF(ISNA(IF(AND(VLOOKUP(CONCATENATE($D4247,$G4247),CSRFinput!$B:$E,4,0)=0,OR(H4247=MappingTables!$C$34,H4247=MappingTables!$C$35)),1,VLOOKUP(CONCATENATE($D4247,$G4247),CSRFinput!$B:$E,4,0))),0,IF(AND(VLOOKUP(CONCATENATE($D4247,$G4247),CSRFinput!$B:$E,4,0)=0,OR(H4247=MappingTables!$C$34,H4247=MappingTables!$C$35)),1,VLOOKUP(CONCATENATE($D4247,$G4247),CSRFinput!$B:$E,4,0)))</f>
        <v>0.054776304963434752</v>
      </c>
      <c r="W4247" s="85">
        <f>IF(B4247="",0,+$T4247*$V4247)</f>
        <v>23.558680027150296</v>
      </c>
      <c r="X4247" s="85">
        <f>IF(B4247="",0,IF(OR(H4247=MappingTables!$C$34,H4247=MappingTables!$C$35),W4247,0))</f>
        <v>0</v>
      </c>
    </row>
    <row r="4248" spans="2:24" s="0" customFormat="0" ht="15">
      <c r="B4248" s="69">
        <v>8749137</v>
      </c>
      <c r="C4248" s="70" t="s">
        <v>324</v>
      </c>
      <c r="D4248" s="70" t="s">
        <v>1</v>
      </c>
      <c r="E4248" s="70" t="s">
        <v>1</v>
      </c>
      <c r="F4248" s="70"/>
      <c r="G4248" s="70" t="s">
        <v>61</v>
      </c>
      <c r="H4248" s="70" t="s">
        <v>178</v>
      </c>
      <c r="I4248" s="70" t="s">
        <v>181</v>
      </c>
      <c r="J4248" s="71">
        <f>IF(OR(I4248=0,I4248=""),"unrated",VLOOKUP(I4248,MappingTables!$B$19:$C$31,2,FALSE))</f>
        <v>3</v>
      </c>
      <c r="K4248" s="72">
        <v>1.1293059916607742</v>
      </c>
      <c r="L4248" s="70">
        <v>0.61373909121234784</v>
      </c>
      <c r="M4248" s="71">
        <f>IF(L4248&lt;1,1,L4248)</f>
        <v>1</v>
      </c>
      <c r="N4248" s="70" t="s">
        <v>141</v>
      </c>
      <c r="O4248" s="71">
        <f>INDEX(DurClassMapping,MATCH(M4248,MappingTables!$D$4:$D$8,-1),1)</f>
        <v>1</v>
      </c>
      <c r="P4248" s="73">
        <f>IF(M4248=$A$1,1,$M4248-INDEX(MappingTables!$E$4:$E$8,MATCH(O4248,MappingTables!$B$4:$B$8,0)))</f>
        <v>1</v>
      </c>
      <c r="Q4248" s="71">
        <f>IF(B4248="",0,INDEX(ModelParameters!$D$6:$K$10,MATCH($O4248,ModelParameters!$B$6:$B$10,0),MATCH($J4248,ModelParameters!$D$5:$K$5,0)))</f>
        <v>0.025</v>
      </c>
      <c r="R4248" s="71">
        <f>IF(B4248="",0,INDEX(ModelParameters!$D$13:$K$17,MATCH($O4248,ModelParameters!$B$13:$B$17,0),MATCH($J4248,ModelParameters!$D$5:$K$5,0)))</f>
        <v>0</v>
      </c>
      <c r="S4248" s="160">
        <f>IF(B4248="",0,MIN(IF($N4248="Other Bond TM",ModelParameters!$N$21,1)*(P4248*Q4248+R4248),1))</f>
        <v>0.025</v>
      </c>
      <c r="T4248" s="85">
        <f>IF(B4248="",0,$S4248*$K4248)</f>
        <v>0.028232649791519356</v>
      </c>
      <c r="U4248" s="85">
        <f>IF(B4248="",0,IF(OR(H4248=MappingTables!$C$34,H4248=MappingTables!$C$35),T4248,0))</f>
        <v>0</v>
      </c>
      <c r="V4248" s="85">
        <f>IF(ISNA(IF(AND(VLOOKUP(CONCATENATE($D4248,$G4248),CSRFinput!$B:$E,4,0)=0,OR(H4248=MappingTables!$C$34,H4248=MappingTables!$C$35)),1,VLOOKUP(CONCATENATE($D4248,$G4248),CSRFinput!$B:$E,4,0))),0,IF(AND(VLOOKUP(CONCATENATE($D4248,$G4248),CSRFinput!$B:$E,4,0)=0,OR(H4248=MappingTables!$C$34,H4248=MappingTables!$C$35)),1,VLOOKUP(CONCATENATE($D4248,$G4248),CSRFinput!$B:$E,4,0)))</f>
        <v>0.054776304963434752</v>
      </c>
      <c r="W4248" s="85">
        <f>IF(B4248="",0,+$T4248*$V4248)</f>
        <v>0.0015464802349061168</v>
      </c>
      <c r="X4248" s="85">
        <f>IF(B4248="",0,IF(OR(H4248=MappingTables!$C$34,H4248=MappingTables!$C$35),W4248,0))</f>
        <v>0</v>
      </c>
    </row>
    <row r="4249" spans="2:24" s="0" customFormat="0" ht="15">
      <c r="B4249" s="69">
        <v>12830227</v>
      </c>
      <c r="C4249" s="70" t="s">
        <v>1706</v>
      </c>
      <c r="D4249" s="70" t="s">
        <v>1</v>
      </c>
      <c r="E4249" s="70" t="s">
        <v>1</v>
      </c>
      <c r="F4249" s="70"/>
      <c r="G4249" s="70" t="s">
        <v>61</v>
      </c>
      <c r="H4249" s="70" t="s">
        <v>178</v>
      </c>
      <c r="I4249" s="70" t="s">
        <v>188</v>
      </c>
      <c r="J4249" s="71">
        <f>IF(OR(I4249=0,I4249=""),"unrated",VLOOKUP(I4249,MappingTables!$B$19:$C$31,2,FALSE))</f>
        <v>2</v>
      </c>
      <c r="K4249" s="72">
        <v>516.3301989598184</v>
      </c>
      <c r="L4249" s="70">
        <v>0.7775701055940176</v>
      </c>
      <c r="M4249" s="71">
        <f>IF(L4249&lt;1,1,L4249)</f>
        <v>1</v>
      </c>
      <c r="N4249" s="70" t="s">
        <v>141</v>
      </c>
      <c r="O4249" s="71">
        <f>INDEX(DurClassMapping,MATCH(M4249,MappingTables!$D$4:$D$8,-1),1)</f>
        <v>1</v>
      </c>
      <c r="P4249" s="73">
        <f>IF(M4249=$A$1,1,$M4249-INDEX(MappingTables!$E$4:$E$8,MATCH(O4249,MappingTables!$B$4:$B$8,0)))</f>
        <v>1</v>
      </c>
      <c r="Q4249" s="71">
        <f>IF(B4249="",0,INDEX(ModelParameters!$D$6:$K$10,MATCH($O4249,ModelParameters!$B$6:$B$10,0),MATCH($J4249,ModelParameters!$D$5:$K$5,0)))</f>
        <v>0.013999999999999998</v>
      </c>
      <c r="R4249" s="71">
        <f>IF(B4249="",0,INDEX(ModelParameters!$D$13:$K$17,MATCH($O4249,ModelParameters!$B$13:$B$17,0),MATCH($J4249,ModelParameters!$D$5:$K$5,0)))</f>
        <v>0</v>
      </c>
      <c r="S4249" s="160">
        <f>IF(B4249="",0,MIN(IF($N4249="Other Bond TM",ModelParameters!$N$21,1)*(P4249*Q4249+R4249),1))</f>
        <v>0.013999999999999998</v>
      </c>
      <c r="T4249" s="85">
        <f>IF(B4249="",0,$S4249*$K4249)</f>
        <v>7.2286227854374576</v>
      </c>
      <c r="U4249" s="85">
        <f>IF(B4249="",0,IF(OR(H4249=MappingTables!$C$34,H4249=MappingTables!$C$35),T4249,0))</f>
        <v>0</v>
      </c>
      <c r="V4249" s="85">
        <f>IF(ISNA(IF(AND(VLOOKUP(CONCATENATE($D4249,$G4249),CSRFinput!$B:$E,4,0)=0,OR(H4249=MappingTables!$C$34,H4249=MappingTables!$C$35)),1,VLOOKUP(CONCATENATE($D4249,$G4249),CSRFinput!$B:$E,4,0))),0,IF(AND(VLOOKUP(CONCATENATE($D4249,$G4249),CSRFinput!$B:$E,4,0)=0,OR(H4249=MappingTables!$C$34,H4249=MappingTables!$C$35)),1,VLOOKUP(CONCATENATE($D4249,$G4249),CSRFinput!$B:$E,4,0)))</f>
        <v>0.054776304963434752</v>
      </c>
      <c r="W4249" s="85">
        <f>IF(B4249="",0,+$T4249*$V4249)</f>
        <v>0.39595724616075536</v>
      </c>
      <c r="X4249" s="85">
        <f>IF(B4249="",0,IF(OR(H4249=MappingTables!$C$34,H4249=MappingTables!$C$35),W4249,0))</f>
        <v>0</v>
      </c>
    </row>
    <row r="4250" spans="2:24" s="0" customFormat="0" ht="15">
      <c r="B4250" s="69">
        <v>17838079</v>
      </c>
      <c r="C4250" s="70" t="s">
        <v>263</v>
      </c>
      <c r="D4250" s="70" t="s">
        <v>1</v>
      </c>
      <c r="E4250" s="70" t="s">
        <v>1</v>
      </c>
      <c r="F4250" s="70"/>
      <c r="G4250" s="70" t="s">
        <v>61</v>
      </c>
      <c r="H4250" s="70" t="s">
        <v>178</v>
      </c>
      <c r="I4250" s="70" t="s">
        <v>181</v>
      </c>
      <c r="J4250" s="71">
        <f>IF(OR(I4250=0,I4250=""),"unrated",VLOOKUP(I4250,MappingTables!$B$19:$C$31,2,FALSE))</f>
        <v>3</v>
      </c>
      <c r="K4250" s="72">
        <v>132.89976120794888</v>
      </c>
      <c r="L4250" s="70">
        <v>6.5213895901819152</v>
      </c>
      <c r="M4250" s="71">
        <f>IF(L4250&lt;1,1,L4250)</f>
        <v>6.5213895901819152</v>
      </c>
      <c r="N4250" s="70" t="s">
        <v>141</v>
      </c>
      <c r="O4250" s="71">
        <f>INDEX(DurClassMapping,MATCH(M4250,MappingTables!$D$4:$D$8,-1),1)</f>
        <v>2</v>
      </c>
      <c r="P4250" s="73">
        <f>IF(M4250=$A$1,1,$M4250-INDEX(MappingTables!$E$4:$E$8,MATCH(O4250,MappingTables!$B$4:$B$8,0)))</f>
        <v>1.521389590181915</v>
      </c>
      <c r="Q4250" s="71">
        <f>IF(B4250="",0,INDEX(ModelParameters!$D$6:$K$10,MATCH($O4250,ModelParameters!$B$6:$B$10,0),MATCH($J4250,ModelParameters!$D$5:$K$5,0)))</f>
        <v>0.015</v>
      </c>
      <c r="R4250" s="71">
        <f>IF(B4250="",0,INDEX(ModelParameters!$D$13:$K$17,MATCH($O4250,ModelParameters!$B$13:$B$17,0),MATCH($J4250,ModelParameters!$D$5:$K$5,0)))</f>
        <v>0.125</v>
      </c>
      <c r="S4250" s="160">
        <f>IF(B4250="",0,MIN(IF($N4250="Other Bond TM",ModelParameters!$N$21,1)*(P4250*Q4250+R4250),1))</f>
        <v>0.14782084385272872</v>
      </c>
      <c r="T4250" s="85">
        <f>IF(B4250="",0,$S4250*$K4250)</f>
        <v>19.645354849585148</v>
      </c>
      <c r="U4250" s="85">
        <f>IF(B4250="",0,IF(OR(H4250=MappingTables!$C$34,H4250=MappingTables!$C$35),T4250,0))</f>
        <v>0</v>
      </c>
      <c r="V4250" s="85">
        <f>IF(ISNA(IF(AND(VLOOKUP(CONCATENATE($D4250,$G4250),CSRFinput!$B:$E,4,0)=0,OR(H4250=MappingTables!$C$34,H4250=MappingTables!$C$35)),1,VLOOKUP(CONCATENATE($D4250,$G4250),CSRFinput!$B:$E,4,0))),0,IF(AND(VLOOKUP(CONCATENATE($D4250,$G4250),CSRFinput!$B:$E,4,0)=0,OR(H4250=MappingTables!$C$34,H4250=MappingTables!$C$35)),1,VLOOKUP(CONCATENATE($D4250,$G4250),CSRFinput!$B:$E,4,0)))</f>
        <v>0.054776304963434752</v>
      </c>
      <c r="W4250" s="85">
        <f>IF(B4250="",0,+$T4250*$V4250)</f>
        <v>1.0760999483557678</v>
      </c>
      <c r="X4250" s="85">
        <f>IF(B4250="",0,IF(OR(H4250=MappingTables!$C$34,H4250=MappingTables!$C$35),W4250,0))</f>
        <v>0</v>
      </c>
    </row>
    <row r="4251" spans="2:24" s="0" customFormat="0" ht="15">
      <c r="B4251" s="69">
        <v>19603895</v>
      </c>
      <c r="C4251" s="70" t="s">
        <v>1490</v>
      </c>
      <c r="D4251" s="70" t="s">
        <v>1</v>
      </c>
      <c r="E4251" s="70" t="s">
        <v>1</v>
      </c>
      <c r="F4251" s="70"/>
      <c r="G4251" s="70" t="s">
        <v>61</v>
      </c>
      <c r="H4251" s="70" t="s">
        <v>178</v>
      </c>
      <c r="I4251" s="70" t="s">
        <v>179</v>
      </c>
      <c r="J4251" s="71">
        <f>IF(OR(I4251=0,I4251=""),"unrated",VLOOKUP(I4251,MappingTables!$B$19:$C$31,2,FALSE))</f>
        <v>4</v>
      </c>
      <c r="K4251" s="72">
        <v>46904.263966442824</v>
      </c>
      <c r="L4251" s="70">
        <v>2.9618913211431292</v>
      </c>
      <c r="M4251" s="71">
        <f>IF(L4251&lt;1,1,L4251)</f>
        <v>2.9618913211431292</v>
      </c>
      <c r="N4251" s="70" t="s">
        <v>141</v>
      </c>
      <c r="O4251" s="71">
        <f>INDEX(DurClassMapping,MATCH(M4251,MappingTables!$D$4:$D$8,-1),1)</f>
        <v>1</v>
      </c>
      <c r="P4251" s="73">
        <f>IF(M4251=$A$1,1,$M4251-INDEX(MappingTables!$E$4:$E$8,MATCH(O4251,MappingTables!$B$4:$B$8,0)))</f>
        <v>2.9618913211431292</v>
      </c>
      <c r="Q4251" s="71">
        <f>IF(B4251="",0,INDEX(ModelParameters!$D$6:$K$10,MATCH($O4251,ModelParameters!$B$6:$B$10,0),MATCH($J4251,ModelParameters!$D$5:$K$5,0)))</f>
        <v>0.045</v>
      </c>
      <c r="R4251" s="71">
        <f>IF(B4251="",0,INDEX(ModelParameters!$D$13:$K$17,MATCH($O4251,ModelParameters!$B$13:$B$17,0),MATCH($J4251,ModelParameters!$D$5:$K$5,0)))</f>
        <v>0</v>
      </c>
      <c r="S4251" s="160">
        <f>IF(B4251="",0,MIN(IF($N4251="Other Bond TM",ModelParameters!$N$21,1)*(P4251*Q4251+R4251),1))</f>
        <v>0.13328510945144082</v>
      </c>
      <c r="T4251" s="85">
        <f>IF(B4251="",0,$S4251*$K4251)</f>
        <v>6251.6399565066032</v>
      </c>
      <c r="U4251" s="85">
        <f>IF(B4251="",0,IF(OR(H4251=MappingTables!$C$34,H4251=MappingTables!$C$35),T4251,0))</f>
        <v>0</v>
      </c>
      <c r="V4251" s="85">
        <f>IF(ISNA(IF(AND(VLOOKUP(CONCATENATE($D4251,$G4251),CSRFinput!$B:$E,4,0)=0,OR(H4251=MappingTables!$C$34,H4251=MappingTables!$C$35)),1,VLOOKUP(CONCATENATE($D4251,$G4251),CSRFinput!$B:$E,4,0))),0,IF(AND(VLOOKUP(CONCATENATE($D4251,$G4251),CSRFinput!$B:$E,4,0)=0,OR(H4251=MappingTables!$C$34,H4251=MappingTables!$C$35)),1,VLOOKUP(CONCATENATE($D4251,$G4251),CSRFinput!$B:$E,4,0)))</f>
        <v>0.054776304963434752</v>
      </c>
      <c r="W4251" s="85">
        <f>IF(B4251="",0,+$T4251*$V4251)</f>
        <v>342.44173677919968</v>
      </c>
      <c r="X4251" s="85">
        <f>IF(B4251="",0,IF(OR(H4251=MappingTables!$C$34,H4251=MappingTables!$C$35),W4251,0))</f>
        <v>0</v>
      </c>
    </row>
    <row r="4252" spans="2:24" s="0" customFormat="0" ht="15">
      <c r="B4252" s="69">
        <v>20374630</v>
      </c>
      <c r="C4252" s="70" t="s">
        <v>2923</v>
      </c>
      <c r="D4252" s="70" t="s">
        <v>1</v>
      </c>
      <c r="E4252" s="70" t="s">
        <v>1</v>
      </c>
      <c r="F4252" s="70"/>
      <c r="G4252" s="70" t="s">
        <v>61</v>
      </c>
      <c r="H4252" s="70" t="s">
        <v>178</v>
      </c>
      <c r="I4252" s="70" t="s">
        <v>181</v>
      </c>
      <c r="J4252" s="71">
        <f>IF(OR(I4252=0,I4252=""),"unrated",VLOOKUP(I4252,MappingTables!$B$19:$C$31,2,FALSE))</f>
        <v>3</v>
      </c>
      <c r="K4252" s="72">
        <v>40782.6877539518</v>
      </c>
      <c r="L4252" s="70">
        <v>4.0001046846303912</v>
      </c>
      <c r="M4252" s="71">
        <f>IF(L4252&lt;1,1,L4252)</f>
        <v>4.0001046846303912</v>
      </c>
      <c r="N4252" s="70" t="s">
        <v>141</v>
      </c>
      <c r="O4252" s="71">
        <f>INDEX(DurClassMapping,MATCH(M4252,MappingTables!$D$4:$D$8,-1),1)</f>
        <v>1</v>
      </c>
      <c r="P4252" s="73">
        <f>IF(M4252=$A$1,1,$M4252-INDEX(MappingTables!$E$4:$E$8,MATCH(O4252,MappingTables!$B$4:$B$8,0)))</f>
        <v>4.0001046846303912</v>
      </c>
      <c r="Q4252" s="71">
        <f>IF(B4252="",0,INDEX(ModelParameters!$D$6:$K$10,MATCH($O4252,ModelParameters!$B$6:$B$10,0),MATCH($J4252,ModelParameters!$D$5:$K$5,0)))</f>
        <v>0.025</v>
      </c>
      <c r="R4252" s="71">
        <f>IF(B4252="",0,INDEX(ModelParameters!$D$13:$K$17,MATCH($O4252,ModelParameters!$B$13:$B$17,0),MATCH($J4252,ModelParameters!$D$5:$K$5,0)))</f>
        <v>0</v>
      </c>
      <c r="S4252" s="160">
        <f>IF(B4252="",0,MIN(IF($N4252="Other Bond TM",ModelParameters!$N$21,1)*(P4252*Q4252+R4252),1))</f>
        <v>0.10000261711575978</v>
      </c>
      <c r="T4252" s="85">
        <f>IF(B4252="",0,$S4252*$K4252)</f>
        <v>4078.3755084100272</v>
      </c>
      <c r="U4252" s="85">
        <f>IF(B4252="",0,IF(OR(H4252=MappingTables!$C$34,H4252=MappingTables!$C$35),T4252,0))</f>
        <v>0</v>
      </c>
      <c r="V4252" s="85">
        <f>IF(ISNA(IF(AND(VLOOKUP(CONCATENATE($D4252,$G4252),CSRFinput!$B:$E,4,0)=0,OR(H4252=MappingTables!$C$34,H4252=MappingTables!$C$35)),1,VLOOKUP(CONCATENATE($D4252,$G4252),CSRFinput!$B:$E,4,0))),0,IF(AND(VLOOKUP(CONCATENATE($D4252,$G4252),CSRFinput!$B:$E,4,0)=0,OR(H4252=MappingTables!$C$34,H4252=MappingTables!$C$35)),1,VLOOKUP(CONCATENATE($D4252,$G4252),CSRFinput!$B:$E,4,0)))</f>
        <v>0.054776304963434752</v>
      </c>
      <c r="W4252" s="85">
        <f>IF(B4252="",0,+$T4252*$V4252)</f>
        <v>223.39834060407092</v>
      </c>
      <c r="X4252" s="85">
        <f>IF(B4252="",0,IF(OR(H4252=MappingTables!$C$34,H4252=MappingTables!$C$35),W4252,0))</f>
        <v>0</v>
      </c>
    </row>
    <row r="4253" spans="2:24" s="0" customFormat="0" ht="15">
      <c r="B4253" s="69">
        <v>13105590</v>
      </c>
      <c r="C4253" s="70" t="s">
        <v>1517</v>
      </c>
      <c r="D4253" s="70" t="s">
        <v>1</v>
      </c>
      <c r="E4253" s="70" t="s">
        <v>1</v>
      </c>
      <c r="F4253" s="70"/>
      <c r="G4253" s="70" t="s">
        <v>61</v>
      </c>
      <c r="H4253" s="70" t="s">
        <v>178</v>
      </c>
      <c r="I4253" s="70" t="s">
        <v>184</v>
      </c>
      <c r="J4253" s="71">
        <f>IF(OR(I4253=0,I4253=""),"unrated",VLOOKUP(I4253,MappingTables!$B$19:$C$31,2,FALSE))</f>
        <v>5</v>
      </c>
      <c r="K4253" s="72">
        <v>1320.3581369256928</v>
      </c>
      <c r="L4253" s="70">
        <v>0.96156412018419008</v>
      </c>
      <c r="M4253" s="71">
        <f>IF(L4253&lt;1,1,L4253)</f>
        <v>1</v>
      </c>
      <c r="N4253" s="70" t="s">
        <v>141</v>
      </c>
      <c r="O4253" s="71">
        <f>INDEX(DurClassMapping,MATCH(M4253,MappingTables!$D$4:$D$8,-1),1)</f>
        <v>1</v>
      </c>
      <c r="P4253" s="73">
        <f>IF(M4253=$A$1,1,$M4253-INDEX(MappingTables!$E$4:$E$8,MATCH(O4253,MappingTables!$B$4:$B$8,0)))</f>
        <v>1</v>
      </c>
      <c r="Q4253" s="71">
        <f>IF(B4253="",0,INDEX(ModelParameters!$D$6:$K$10,MATCH($O4253,ModelParameters!$B$6:$B$10,0),MATCH($J4253,ModelParameters!$D$5:$K$5,0)))</f>
        <v>0.075</v>
      </c>
      <c r="R4253" s="71">
        <f>IF(B4253="",0,INDEX(ModelParameters!$D$13:$K$17,MATCH($O4253,ModelParameters!$B$13:$B$17,0),MATCH($J4253,ModelParameters!$D$5:$K$5,0)))</f>
        <v>0</v>
      </c>
      <c r="S4253" s="160">
        <f>IF(B4253="",0,MIN(IF($N4253="Other Bond TM",ModelParameters!$N$21,1)*(P4253*Q4253+R4253),1))</f>
        <v>0.075</v>
      </c>
      <c r="T4253" s="85">
        <f>IF(B4253="",0,$S4253*$K4253)</f>
        <v>99.02686026942696</v>
      </c>
      <c r="U4253" s="85">
        <f>IF(B4253="",0,IF(OR(H4253=MappingTables!$C$34,H4253=MappingTables!$C$35),T4253,0))</f>
        <v>0</v>
      </c>
      <c r="V4253" s="85">
        <f>IF(ISNA(IF(AND(VLOOKUP(CONCATENATE($D4253,$G4253),CSRFinput!$B:$E,4,0)=0,OR(H4253=MappingTables!$C$34,H4253=MappingTables!$C$35)),1,VLOOKUP(CONCATENATE($D4253,$G4253),CSRFinput!$B:$E,4,0))),0,IF(AND(VLOOKUP(CONCATENATE($D4253,$G4253),CSRFinput!$B:$E,4,0)=0,OR(H4253=MappingTables!$C$34,H4253=MappingTables!$C$35)),1,VLOOKUP(CONCATENATE($D4253,$G4253),CSRFinput!$B:$E,4,0)))</f>
        <v>0.054776304963434752</v>
      </c>
      <c r="W4253" s="85">
        <f>IF(B4253="",0,+$T4253*$V4253)</f>
        <v>5.424325497689572</v>
      </c>
      <c r="X4253" s="85">
        <f>IF(B4253="",0,IF(OR(H4253=MappingTables!$C$34,H4253=MappingTables!$C$35),W4253,0))</f>
        <v>0</v>
      </c>
    </row>
    <row r="4254" spans="2:24" s="0" customFormat="0" ht="15">
      <c r="B4254" s="69">
        <v>11773266</v>
      </c>
      <c r="C4254" s="70" t="s">
        <v>565</v>
      </c>
      <c r="D4254" s="70" t="s">
        <v>1</v>
      </c>
      <c r="E4254" s="70" t="s">
        <v>1</v>
      </c>
      <c r="F4254" s="70"/>
      <c r="G4254" s="70" t="s">
        <v>61</v>
      </c>
      <c r="H4254" s="70" t="s">
        <v>178</v>
      </c>
      <c r="I4254" s="70" t="s">
        <v>181</v>
      </c>
      <c r="J4254" s="71">
        <f>IF(OR(I4254=0,I4254=""),"unrated",VLOOKUP(I4254,MappingTables!$B$19:$C$31,2,FALSE))</f>
        <v>3</v>
      </c>
      <c r="K4254" s="72">
        <v>695.6611404184424</v>
      </c>
      <c r="L4254" s="70">
        <v>0.27835010663390424</v>
      </c>
      <c r="M4254" s="71">
        <f>IF(L4254&lt;1,1,L4254)</f>
        <v>1</v>
      </c>
      <c r="N4254" s="70" t="s">
        <v>141</v>
      </c>
      <c r="O4254" s="71">
        <f>INDEX(DurClassMapping,MATCH(M4254,MappingTables!$D$4:$D$8,-1),1)</f>
        <v>1</v>
      </c>
      <c r="P4254" s="73">
        <f>IF(M4254=$A$1,1,$M4254-INDEX(MappingTables!$E$4:$E$8,MATCH(O4254,MappingTables!$B$4:$B$8,0)))</f>
        <v>1</v>
      </c>
      <c r="Q4254" s="71">
        <f>IF(B4254="",0,INDEX(ModelParameters!$D$6:$K$10,MATCH($O4254,ModelParameters!$B$6:$B$10,0),MATCH($J4254,ModelParameters!$D$5:$K$5,0)))</f>
        <v>0.025</v>
      </c>
      <c r="R4254" s="71">
        <f>IF(B4254="",0,INDEX(ModelParameters!$D$13:$K$17,MATCH($O4254,ModelParameters!$B$13:$B$17,0),MATCH($J4254,ModelParameters!$D$5:$K$5,0)))</f>
        <v>0</v>
      </c>
      <c r="S4254" s="160">
        <f>IF(B4254="",0,MIN(IF($N4254="Other Bond TM",ModelParameters!$N$21,1)*(P4254*Q4254+R4254),1))</f>
        <v>0.025</v>
      </c>
      <c r="T4254" s="85">
        <f>IF(B4254="",0,$S4254*$K4254)</f>
        <v>17.391528510461062</v>
      </c>
      <c r="U4254" s="85">
        <f>IF(B4254="",0,IF(OR(H4254=MappingTables!$C$34,H4254=MappingTables!$C$35),T4254,0))</f>
        <v>0</v>
      </c>
      <c r="V4254" s="85">
        <f>IF(ISNA(IF(AND(VLOOKUP(CONCATENATE($D4254,$G4254),CSRFinput!$B:$E,4,0)=0,OR(H4254=MappingTables!$C$34,H4254=MappingTables!$C$35)),1,VLOOKUP(CONCATENATE($D4254,$G4254),CSRFinput!$B:$E,4,0))),0,IF(AND(VLOOKUP(CONCATENATE($D4254,$G4254),CSRFinput!$B:$E,4,0)=0,OR(H4254=MappingTables!$C$34,H4254=MappingTables!$C$35)),1,VLOOKUP(CONCATENATE($D4254,$G4254),CSRFinput!$B:$E,4,0)))</f>
        <v>0.054776304963434752</v>
      </c>
      <c r="W4254" s="85">
        <f>IF(B4254="",0,+$T4254*$V4254)</f>
        <v>0.95264366946928528</v>
      </c>
      <c r="X4254" s="85">
        <f>IF(B4254="",0,IF(OR(H4254=MappingTables!$C$34,H4254=MappingTables!$C$35),W4254,0))</f>
        <v>0</v>
      </c>
    </row>
    <row r="4255" spans="2:24" s="0" customFormat="0" ht="15">
      <c r="B4255" s="69" t="s">
        <v>2324</v>
      </c>
      <c r="C4255" s="70" t="s">
        <v>2325</v>
      </c>
      <c r="D4255" s="70" t="s">
        <v>1</v>
      </c>
      <c r="E4255" s="70" t="s">
        <v>1</v>
      </c>
      <c r="F4255" s="70"/>
      <c r="G4255" s="70" t="s">
        <v>61</v>
      </c>
      <c r="H4255" s="70" t="s">
        <v>178</v>
      </c>
      <c r="I4255" s="70" t="s">
        <v>179</v>
      </c>
      <c r="J4255" s="71">
        <f>IF(OR(I4255=0,I4255=""),"unrated",VLOOKUP(I4255,MappingTables!$B$19:$C$31,2,FALSE))</f>
        <v>4</v>
      </c>
      <c r="K4255" s="72">
        <v>34148.7165889373</v>
      </c>
      <c r="L4255" s="70">
        <v>3.1653310360715144</v>
      </c>
      <c r="M4255" s="71">
        <f>IF(L4255&lt;1,1,L4255)</f>
        <v>3.1653310360715144</v>
      </c>
      <c r="N4255" s="70" t="s">
        <v>141</v>
      </c>
      <c r="O4255" s="71">
        <f>INDEX(DurClassMapping,MATCH(M4255,MappingTables!$D$4:$D$8,-1),1)</f>
        <v>1</v>
      </c>
      <c r="P4255" s="73">
        <f>IF(M4255=$A$1,1,$M4255-INDEX(MappingTables!$E$4:$E$8,MATCH(O4255,MappingTables!$B$4:$B$8,0)))</f>
        <v>3.1653310360715144</v>
      </c>
      <c r="Q4255" s="71">
        <f>IF(B4255="",0,INDEX(ModelParameters!$D$6:$K$10,MATCH($O4255,ModelParameters!$B$6:$B$10,0),MATCH($J4255,ModelParameters!$D$5:$K$5,0)))</f>
        <v>0.045</v>
      </c>
      <c r="R4255" s="71">
        <f>IF(B4255="",0,INDEX(ModelParameters!$D$13:$K$17,MATCH($O4255,ModelParameters!$B$13:$B$17,0),MATCH($J4255,ModelParameters!$D$5:$K$5,0)))</f>
        <v>0</v>
      </c>
      <c r="S4255" s="160">
        <f>IF(B4255="",0,MIN(IF($N4255="Other Bond TM",ModelParameters!$N$21,1)*(P4255*Q4255+R4255),1))</f>
        <v>0.14243989662321812</v>
      </c>
      <c r="T4255" s="85">
        <f>IF(B4255="",0,$S4255*$K4255)</f>
        <v>4864.1396607438024</v>
      </c>
      <c r="U4255" s="85">
        <f>IF(B4255="",0,IF(OR(H4255=MappingTables!$C$34,H4255=MappingTables!$C$35),T4255,0))</f>
        <v>0</v>
      </c>
      <c r="V4255" s="85">
        <f>IF(ISNA(IF(AND(VLOOKUP(CONCATENATE($D4255,$G4255),CSRFinput!$B:$E,4,0)=0,OR(H4255=MappingTables!$C$34,H4255=MappingTables!$C$35)),1,VLOOKUP(CONCATENATE($D4255,$G4255),CSRFinput!$B:$E,4,0))),0,IF(AND(VLOOKUP(CONCATENATE($D4255,$G4255),CSRFinput!$B:$E,4,0)=0,OR(H4255=MappingTables!$C$34,H4255=MappingTables!$C$35)),1,VLOOKUP(CONCATENATE($D4255,$G4255),CSRFinput!$B:$E,4,0)))</f>
        <v>0.054776304963434752</v>
      </c>
      <c r="W4255" s="85">
        <f>IF(B4255="",0,+$T4255*$V4255)</f>
        <v>266.4395974416406</v>
      </c>
      <c r="X4255" s="85">
        <f>IF(B4255="",0,IF(OR(H4255=MappingTables!$C$34,H4255=MappingTables!$C$35),W4255,0))</f>
        <v>0</v>
      </c>
    </row>
    <row r="4256" spans="2:24" s="0" customFormat="0" ht="15">
      <c r="B4256" s="69">
        <v>22270574</v>
      </c>
      <c r="C4256" s="70" t="s">
        <v>1247</v>
      </c>
      <c r="D4256" s="70" t="s">
        <v>1</v>
      </c>
      <c r="E4256" s="70" t="s">
        <v>1</v>
      </c>
      <c r="F4256" s="70"/>
      <c r="G4256" s="70" t="s">
        <v>61</v>
      </c>
      <c r="H4256" s="70" t="s">
        <v>178</v>
      </c>
      <c r="I4256" s="70" t="s">
        <v>181</v>
      </c>
      <c r="J4256" s="71">
        <f>IF(OR(I4256=0,I4256=""),"unrated",VLOOKUP(I4256,MappingTables!$B$19:$C$31,2,FALSE))</f>
        <v>3</v>
      </c>
      <c r="K4256" s="72">
        <v>485.7045527180576</v>
      </c>
      <c r="L4256" s="70">
        <v>0.29315139004623624</v>
      </c>
      <c r="M4256" s="71">
        <f>IF(L4256&lt;1,1,L4256)</f>
        <v>1</v>
      </c>
      <c r="N4256" s="70" t="s">
        <v>141</v>
      </c>
      <c r="O4256" s="71">
        <f>INDEX(DurClassMapping,MATCH(M4256,MappingTables!$D$4:$D$8,-1),1)</f>
        <v>1</v>
      </c>
      <c r="P4256" s="73">
        <f>IF(M4256=$A$1,1,$M4256-INDEX(MappingTables!$E$4:$E$8,MATCH(O4256,MappingTables!$B$4:$B$8,0)))</f>
        <v>1</v>
      </c>
      <c r="Q4256" s="71">
        <f>IF(B4256="",0,INDEX(ModelParameters!$D$6:$K$10,MATCH($O4256,ModelParameters!$B$6:$B$10,0),MATCH($J4256,ModelParameters!$D$5:$K$5,0)))</f>
        <v>0.025</v>
      </c>
      <c r="R4256" s="71">
        <f>IF(B4256="",0,INDEX(ModelParameters!$D$13:$K$17,MATCH($O4256,ModelParameters!$B$13:$B$17,0),MATCH($J4256,ModelParameters!$D$5:$K$5,0)))</f>
        <v>0</v>
      </c>
      <c r="S4256" s="160">
        <f>IF(B4256="",0,MIN(IF($N4256="Other Bond TM",ModelParameters!$N$21,1)*(P4256*Q4256+R4256),1))</f>
        <v>0.025</v>
      </c>
      <c r="T4256" s="85">
        <f>IF(B4256="",0,$S4256*$K4256)</f>
        <v>12.14261381795144</v>
      </c>
      <c r="U4256" s="85">
        <f>IF(B4256="",0,IF(OR(H4256=MappingTables!$C$34,H4256=MappingTables!$C$35),T4256,0))</f>
        <v>0</v>
      </c>
      <c r="V4256" s="85">
        <f>IF(ISNA(IF(AND(VLOOKUP(CONCATENATE($D4256,$G4256),CSRFinput!$B:$E,4,0)=0,OR(H4256=MappingTables!$C$34,H4256=MappingTables!$C$35)),1,VLOOKUP(CONCATENATE($D4256,$G4256),CSRFinput!$B:$E,4,0))),0,IF(AND(VLOOKUP(CONCATENATE($D4256,$G4256),CSRFinput!$B:$E,4,0)=0,OR(H4256=MappingTables!$C$34,H4256=MappingTables!$C$35)),1,VLOOKUP(CONCATENATE($D4256,$G4256),CSRFinput!$B:$E,4,0)))</f>
        <v>0.054776304963434752</v>
      </c>
      <c r="W4256" s="85">
        <f>IF(B4256="",0,+$T4256*$V4256)</f>
        <v>0.66512751754532496</v>
      </c>
      <c r="X4256" s="85">
        <f>IF(B4256="",0,IF(OR(H4256=MappingTables!$C$34,H4256=MappingTables!$C$35),W4256,0))</f>
        <v>0</v>
      </c>
    </row>
    <row r="4257" spans="2:24" s="0" customFormat="0" ht="15">
      <c r="B4257" s="69">
        <v>16636568</v>
      </c>
      <c r="C4257" s="70" t="s">
        <v>2942</v>
      </c>
      <c r="D4257" s="70" t="s">
        <v>1</v>
      </c>
      <c r="E4257" s="70" t="s">
        <v>1</v>
      </c>
      <c r="F4257" s="70"/>
      <c r="G4257" s="70" t="s">
        <v>61</v>
      </c>
      <c r="H4257" s="70" t="s">
        <v>178</v>
      </c>
      <c r="I4257" s="70" t="s">
        <v>181</v>
      </c>
      <c r="J4257" s="71">
        <f>IF(OR(I4257=0,I4257=""),"unrated",VLOOKUP(I4257,MappingTables!$B$19:$C$31,2,FALSE))</f>
        <v>3</v>
      </c>
      <c r="K4257" s="72">
        <v>3944.5476462494656</v>
      </c>
      <c r="L4257" s="70">
        <v>4.1374909414378968</v>
      </c>
      <c r="M4257" s="71">
        <f>IF(L4257&lt;1,1,L4257)</f>
        <v>4.1374909414378968</v>
      </c>
      <c r="N4257" s="70" t="s">
        <v>141</v>
      </c>
      <c r="O4257" s="71">
        <f>INDEX(DurClassMapping,MATCH(M4257,MappingTables!$D$4:$D$8,-1),1)</f>
        <v>1</v>
      </c>
      <c r="P4257" s="73">
        <f>IF(M4257=$A$1,1,$M4257-INDEX(MappingTables!$E$4:$E$8,MATCH(O4257,MappingTables!$B$4:$B$8,0)))</f>
        <v>4.1374909414378968</v>
      </c>
      <c r="Q4257" s="71">
        <f>IF(B4257="",0,INDEX(ModelParameters!$D$6:$K$10,MATCH($O4257,ModelParameters!$B$6:$B$10,0),MATCH($J4257,ModelParameters!$D$5:$K$5,0)))</f>
        <v>0.025</v>
      </c>
      <c r="R4257" s="71">
        <f>IF(B4257="",0,INDEX(ModelParameters!$D$13:$K$17,MATCH($O4257,ModelParameters!$B$13:$B$17,0),MATCH($J4257,ModelParameters!$D$5:$K$5,0)))</f>
        <v>0</v>
      </c>
      <c r="S4257" s="160">
        <f>IF(B4257="",0,MIN(IF($N4257="Other Bond TM",ModelParameters!$N$21,1)*(P4257*Q4257+R4257),1))</f>
        <v>0.10343727353594744</v>
      </c>
      <c r="T4257" s="85">
        <f>IF(B4257="",0,$S4257*$K4257)</f>
        <v>408.0132538606836</v>
      </c>
      <c r="U4257" s="85">
        <f>IF(B4257="",0,IF(OR(H4257=MappingTables!$C$34,H4257=MappingTables!$C$35),T4257,0))</f>
        <v>0</v>
      </c>
      <c r="V4257" s="85">
        <f>IF(ISNA(IF(AND(VLOOKUP(CONCATENATE($D4257,$G4257),CSRFinput!$B:$E,4,0)=0,OR(H4257=MappingTables!$C$34,H4257=MappingTables!$C$35)),1,VLOOKUP(CONCATENATE($D4257,$G4257),CSRFinput!$B:$E,4,0))),0,IF(AND(VLOOKUP(CONCATENATE($D4257,$G4257),CSRFinput!$B:$E,4,0)=0,OR(H4257=MappingTables!$C$34,H4257=MappingTables!$C$35)),1,VLOOKUP(CONCATENATE($D4257,$G4257),CSRFinput!$B:$E,4,0)))</f>
        <v>0.054776304963434752</v>
      </c>
      <c r="W4257" s="85">
        <f>IF(B4257="",0,+$T4257*$V4257)</f>
        <v>22.349458422596124</v>
      </c>
      <c r="X4257" s="85">
        <f>IF(B4257="",0,IF(OR(H4257=MappingTables!$C$34,H4257=MappingTables!$C$35),W4257,0))</f>
        <v>0</v>
      </c>
    </row>
    <row r="4258" spans="2:24" s="0" customFormat="0" ht="15">
      <c r="B4258" s="69">
        <v>14818854</v>
      </c>
      <c r="C4258" s="70" t="s">
        <v>2913</v>
      </c>
      <c r="D4258" s="70" t="s">
        <v>1</v>
      </c>
      <c r="E4258" s="70" t="s">
        <v>1</v>
      </c>
      <c r="F4258" s="70"/>
      <c r="G4258" s="70" t="s">
        <v>61</v>
      </c>
      <c r="H4258" s="70" t="s">
        <v>178</v>
      </c>
      <c r="I4258" s="70" t="s">
        <v>181</v>
      </c>
      <c r="J4258" s="71">
        <f>IF(OR(I4258=0,I4258=""),"unrated",VLOOKUP(I4258,MappingTables!$B$19:$C$31,2,FALSE))</f>
        <v>3</v>
      </c>
      <c r="K4258" s="72">
        <v>4184.7972346777424</v>
      </c>
      <c r="L4258" s="70">
        <v>0.038353927250662744</v>
      </c>
      <c r="M4258" s="71">
        <f>IF(L4258&lt;1,1,L4258)</f>
        <v>1</v>
      </c>
      <c r="N4258" s="70" t="s">
        <v>141</v>
      </c>
      <c r="O4258" s="71">
        <f>INDEX(DurClassMapping,MATCH(M4258,MappingTables!$D$4:$D$8,-1),1)</f>
        <v>1</v>
      </c>
      <c r="P4258" s="73">
        <f>IF(M4258=$A$1,1,$M4258-INDEX(MappingTables!$E$4:$E$8,MATCH(O4258,MappingTables!$B$4:$B$8,0)))</f>
        <v>1</v>
      </c>
      <c r="Q4258" s="71">
        <f>IF(B4258="",0,INDEX(ModelParameters!$D$6:$K$10,MATCH($O4258,ModelParameters!$B$6:$B$10,0),MATCH($J4258,ModelParameters!$D$5:$K$5,0)))</f>
        <v>0.025</v>
      </c>
      <c r="R4258" s="71">
        <f>IF(B4258="",0,INDEX(ModelParameters!$D$13:$K$17,MATCH($O4258,ModelParameters!$B$13:$B$17,0),MATCH($J4258,ModelParameters!$D$5:$K$5,0)))</f>
        <v>0</v>
      </c>
      <c r="S4258" s="160">
        <f>IF(B4258="",0,MIN(IF($N4258="Other Bond TM",ModelParameters!$N$21,1)*(P4258*Q4258+R4258),1))</f>
        <v>0.025</v>
      </c>
      <c r="T4258" s="85">
        <f>IF(B4258="",0,$S4258*$K4258)</f>
        <v>104.61993086694356</v>
      </c>
      <c r="U4258" s="85">
        <f>IF(B4258="",0,IF(OR(H4258=MappingTables!$C$34,H4258=MappingTables!$C$35),T4258,0))</f>
        <v>0</v>
      </c>
      <c r="V4258" s="85">
        <f>IF(ISNA(IF(AND(VLOOKUP(CONCATENATE($D4258,$G4258),CSRFinput!$B:$E,4,0)=0,OR(H4258=MappingTables!$C$34,H4258=MappingTables!$C$35)),1,VLOOKUP(CONCATENATE($D4258,$G4258),CSRFinput!$B:$E,4,0))),0,IF(AND(VLOOKUP(CONCATENATE($D4258,$G4258),CSRFinput!$B:$E,4,0)=0,OR(H4258=MappingTables!$C$34,H4258=MappingTables!$C$35)),1,VLOOKUP(CONCATENATE($D4258,$G4258),CSRFinput!$B:$E,4,0)))</f>
        <v>0.054776304963434752</v>
      </c>
      <c r="W4258" s="85">
        <f>IF(B4258="",0,+$T4258*$V4258)</f>
        <v>5.7306932384211616</v>
      </c>
      <c r="X4258" s="85">
        <f>IF(B4258="",0,IF(OR(H4258=MappingTables!$C$34,H4258=MappingTables!$C$35),W4258,0))</f>
        <v>0</v>
      </c>
    </row>
    <row r="4259" spans="2:24" s="0" customFormat="0" ht="15">
      <c r="B4259" s="69">
        <v>19676193</v>
      </c>
      <c r="C4259" s="70" t="s">
        <v>591</v>
      </c>
      <c r="D4259" s="70" t="s">
        <v>1</v>
      </c>
      <c r="E4259" s="70" t="s">
        <v>1</v>
      </c>
      <c r="F4259" s="70"/>
      <c r="G4259" s="70" t="s">
        <v>61</v>
      </c>
      <c r="H4259" s="70" t="s">
        <v>178</v>
      </c>
      <c r="I4259" s="70" t="s">
        <v>184</v>
      </c>
      <c r="J4259" s="71">
        <f>IF(OR(I4259=0,I4259=""),"unrated",VLOOKUP(I4259,MappingTables!$B$19:$C$31,2,FALSE))</f>
        <v>5</v>
      </c>
      <c r="K4259" s="72">
        <v>139.0336518213116</v>
      </c>
      <c r="L4259" s="70">
        <v>1.3524672857235376</v>
      </c>
      <c r="M4259" s="71">
        <f>IF(L4259&lt;1,1,L4259)</f>
        <v>1.3524672857235376</v>
      </c>
      <c r="N4259" s="70" t="s">
        <v>141</v>
      </c>
      <c r="O4259" s="71">
        <f>INDEX(DurClassMapping,MATCH(M4259,MappingTables!$D$4:$D$8,-1),1)</f>
        <v>1</v>
      </c>
      <c r="P4259" s="73">
        <f>IF(M4259=$A$1,1,$M4259-INDEX(MappingTables!$E$4:$E$8,MATCH(O4259,MappingTables!$B$4:$B$8,0)))</f>
        <v>1.3524672857235376</v>
      </c>
      <c r="Q4259" s="71">
        <f>IF(B4259="",0,INDEX(ModelParameters!$D$6:$K$10,MATCH($O4259,ModelParameters!$B$6:$B$10,0),MATCH($J4259,ModelParameters!$D$5:$K$5,0)))</f>
        <v>0.075</v>
      </c>
      <c r="R4259" s="71">
        <f>IF(B4259="",0,INDEX(ModelParameters!$D$13:$K$17,MATCH($O4259,ModelParameters!$B$13:$B$17,0),MATCH($J4259,ModelParameters!$D$5:$K$5,0)))</f>
        <v>0</v>
      </c>
      <c r="S4259" s="160">
        <f>IF(B4259="",0,MIN(IF($N4259="Other Bond TM",ModelParameters!$N$21,1)*(P4259*Q4259+R4259),1))</f>
        <v>0.10143504642926532</v>
      </c>
      <c r="T4259" s="85">
        <f>IF(B4259="",0,$S4259*$K4259)</f>
        <v>14.10288492772505</v>
      </c>
      <c r="U4259" s="85">
        <f>IF(B4259="",0,IF(OR(H4259=MappingTables!$C$34,H4259=MappingTables!$C$35),T4259,0))</f>
        <v>0</v>
      </c>
      <c r="V4259" s="85">
        <f>IF(ISNA(IF(AND(VLOOKUP(CONCATENATE($D4259,$G4259),CSRFinput!$B:$E,4,0)=0,OR(H4259=MappingTables!$C$34,H4259=MappingTables!$C$35)),1,VLOOKUP(CONCATENATE($D4259,$G4259),CSRFinput!$B:$E,4,0))),0,IF(AND(VLOOKUP(CONCATENATE($D4259,$G4259),CSRFinput!$B:$E,4,0)=0,OR(H4259=MappingTables!$C$34,H4259=MappingTables!$C$35)),1,VLOOKUP(CONCATENATE($D4259,$G4259),CSRFinput!$B:$E,4,0)))</f>
        <v>0.054776304963434752</v>
      </c>
      <c r="W4259" s="85">
        <f>IF(B4259="",0,+$T4259*$V4259)</f>
        <v>0.77250392566529472</v>
      </c>
      <c r="X4259" s="85">
        <f>IF(B4259="",0,IF(OR(H4259=MappingTables!$C$34,H4259=MappingTables!$C$35),W4259,0))</f>
        <v>0</v>
      </c>
    </row>
    <row r="4260" spans="2:24" s="0" customFormat="0" ht="15">
      <c r="B4260" s="69">
        <v>17296778</v>
      </c>
      <c r="C4260" s="70" t="s">
        <v>2584</v>
      </c>
      <c r="D4260" s="70" t="s">
        <v>1</v>
      </c>
      <c r="E4260" s="70" t="s">
        <v>1</v>
      </c>
      <c r="F4260" s="70"/>
      <c r="G4260" s="70" t="s">
        <v>61</v>
      </c>
      <c r="H4260" s="70" t="s">
        <v>178</v>
      </c>
      <c r="I4260" s="70" t="s">
        <v>188</v>
      </c>
      <c r="J4260" s="71">
        <f>IF(OR(I4260=0,I4260=""),"unrated",VLOOKUP(I4260,MappingTables!$B$19:$C$31,2,FALSE))</f>
        <v>2</v>
      </c>
      <c r="K4260" s="72">
        <v>113.04964091252088</v>
      </c>
      <c r="L4260" s="70">
        <v>6.384542440398412</v>
      </c>
      <c r="M4260" s="71">
        <f>IF(L4260&lt;1,1,L4260)</f>
        <v>6.384542440398412</v>
      </c>
      <c r="N4260" s="70" t="s">
        <v>141</v>
      </c>
      <c r="O4260" s="71">
        <f>INDEX(DurClassMapping,MATCH(M4260,MappingTables!$D$4:$D$8,-1),1)</f>
        <v>2</v>
      </c>
      <c r="P4260" s="73">
        <f>IF(M4260=$A$1,1,$M4260-INDEX(MappingTables!$E$4:$E$8,MATCH(O4260,MappingTables!$B$4:$B$8,0)))</f>
        <v>1.3845424403984116</v>
      </c>
      <c r="Q4260" s="71">
        <f>IF(B4260="",0,INDEX(ModelParameters!$D$6:$K$10,MATCH($O4260,ModelParameters!$B$6:$B$10,0),MATCH($J4260,ModelParameters!$D$5:$K$5,0)))</f>
        <v>0.0069999999999999992</v>
      </c>
      <c r="R4260" s="71">
        <f>IF(B4260="",0,INDEX(ModelParameters!$D$13:$K$17,MATCH($O4260,ModelParameters!$B$13:$B$17,0),MATCH($J4260,ModelParameters!$D$5:$K$5,0)))</f>
        <v>0.070000000000000008</v>
      </c>
      <c r="S4260" s="160">
        <f>IF(B4260="",0,MIN(IF($N4260="Other Bond TM",ModelParameters!$N$21,1)*(P4260*Q4260+R4260),1))</f>
        <v>0.07969179708278888</v>
      </c>
      <c r="T4260" s="85">
        <f>IF(B4260="",0,$S4260*$K4260)</f>
        <v>9.0091290438827616</v>
      </c>
      <c r="U4260" s="85">
        <f>IF(B4260="",0,IF(OR(H4260=MappingTables!$C$34,H4260=MappingTables!$C$35),T4260,0))</f>
        <v>0</v>
      </c>
      <c r="V4260" s="85">
        <f>IF(ISNA(IF(AND(VLOOKUP(CONCATENATE($D4260,$G4260),CSRFinput!$B:$E,4,0)=0,OR(H4260=MappingTables!$C$34,H4260=MappingTables!$C$35)),1,VLOOKUP(CONCATENATE($D4260,$G4260),CSRFinput!$B:$E,4,0))),0,IF(AND(VLOOKUP(CONCATENATE($D4260,$G4260),CSRFinput!$B:$E,4,0)=0,OR(H4260=MappingTables!$C$34,H4260=MappingTables!$C$35)),1,VLOOKUP(CONCATENATE($D4260,$G4260),CSRFinput!$B:$E,4,0)))</f>
        <v>0.054776304963434752</v>
      </c>
      <c r="W4260" s="85">
        <f>IF(B4260="",0,+$T4260*$V4260)</f>
        <v>0.49348679996265952</v>
      </c>
      <c r="X4260" s="85">
        <f>IF(B4260="",0,IF(OR(H4260=MappingTables!$C$34,H4260=MappingTables!$C$35),W4260,0))</f>
        <v>0</v>
      </c>
    </row>
    <row r="4261" spans="2:24" s="0" customFormat="0" ht="15">
      <c r="B4261" s="69">
        <v>16196303</v>
      </c>
      <c r="C4261" s="70" t="s">
        <v>1929</v>
      </c>
      <c r="D4261" s="70" t="s">
        <v>1</v>
      </c>
      <c r="E4261" s="70" t="s">
        <v>1</v>
      </c>
      <c r="F4261" s="70"/>
      <c r="G4261" s="70" t="s">
        <v>61</v>
      </c>
      <c r="H4261" s="70" t="s">
        <v>178</v>
      </c>
      <c r="I4261" s="70" t="s">
        <v>179</v>
      </c>
      <c r="J4261" s="71">
        <f>IF(OR(I4261=0,I4261=""),"unrated",VLOOKUP(I4261,MappingTables!$B$19:$C$31,2,FALSE))</f>
        <v>4</v>
      </c>
      <c r="K4261" s="72">
        <v>111.11573482661382</v>
      </c>
      <c r="L4261" s="70">
        <v>0.3589065247337964</v>
      </c>
      <c r="M4261" s="71">
        <f>IF(L4261&lt;1,1,L4261)</f>
        <v>1</v>
      </c>
      <c r="N4261" s="70" t="s">
        <v>141</v>
      </c>
      <c r="O4261" s="71">
        <f>INDEX(DurClassMapping,MATCH(M4261,MappingTables!$D$4:$D$8,-1),1)</f>
        <v>1</v>
      </c>
      <c r="P4261" s="73">
        <f>IF(M4261=$A$1,1,$M4261-INDEX(MappingTables!$E$4:$E$8,MATCH(O4261,MappingTables!$B$4:$B$8,0)))</f>
        <v>1</v>
      </c>
      <c r="Q4261" s="71">
        <f>IF(B4261="",0,INDEX(ModelParameters!$D$6:$K$10,MATCH($O4261,ModelParameters!$B$6:$B$10,0),MATCH($J4261,ModelParameters!$D$5:$K$5,0)))</f>
        <v>0.045</v>
      </c>
      <c r="R4261" s="71">
        <f>IF(B4261="",0,INDEX(ModelParameters!$D$13:$K$17,MATCH($O4261,ModelParameters!$B$13:$B$17,0),MATCH($J4261,ModelParameters!$D$5:$K$5,0)))</f>
        <v>0</v>
      </c>
      <c r="S4261" s="160">
        <f>IF(B4261="",0,MIN(IF($N4261="Other Bond TM",ModelParameters!$N$21,1)*(P4261*Q4261+R4261),1))</f>
        <v>0.045</v>
      </c>
      <c r="T4261" s="85">
        <f>IF(B4261="",0,$S4261*$K4261)</f>
        <v>5.0002080671976216</v>
      </c>
      <c r="U4261" s="85">
        <f>IF(B4261="",0,IF(OR(H4261=MappingTables!$C$34,H4261=MappingTables!$C$35),T4261,0))</f>
        <v>0</v>
      </c>
      <c r="V4261" s="85">
        <f>IF(ISNA(IF(AND(VLOOKUP(CONCATENATE($D4261,$G4261),CSRFinput!$B:$E,4,0)=0,OR(H4261=MappingTables!$C$34,H4261=MappingTables!$C$35)),1,VLOOKUP(CONCATENATE($D4261,$G4261),CSRFinput!$B:$E,4,0))),0,IF(AND(VLOOKUP(CONCATENATE($D4261,$G4261),CSRFinput!$B:$E,4,0)=0,OR(H4261=MappingTables!$C$34,H4261=MappingTables!$C$35)),1,VLOOKUP(CONCATENATE($D4261,$G4261),CSRFinput!$B:$E,4,0)))</f>
        <v>0.054776304963434752</v>
      </c>
      <c r="W4261" s="85">
        <f>IF(B4261="",0,+$T4261*$V4261)</f>
        <v>0.2738929219694436</v>
      </c>
      <c r="X4261" s="85">
        <f>IF(B4261="",0,IF(OR(H4261=MappingTables!$C$34,H4261=MappingTables!$C$35),W4261,0))</f>
        <v>0</v>
      </c>
    </row>
    <row r="4262" spans="2:24" s="0" customFormat="0" ht="15">
      <c r="B4262" s="69">
        <v>6842237</v>
      </c>
      <c r="C4262" s="70" t="s">
        <v>2877</v>
      </c>
      <c r="D4262" s="70" t="s">
        <v>1</v>
      </c>
      <c r="E4262" s="70" t="s">
        <v>1</v>
      </c>
      <c r="F4262" s="70"/>
      <c r="G4262" s="70" t="s">
        <v>61</v>
      </c>
      <c r="H4262" s="70" t="s">
        <v>178</v>
      </c>
      <c r="I4262" s="70" t="s">
        <v>181</v>
      </c>
      <c r="J4262" s="71">
        <f>IF(OR(I4262=0,I4262=""),"unrated",VLOOKUP(I4262,MappingTables!$B$19:$C$31,2,FALSE))</f>
        <v>3</v>
      </c>
      <c r="K4262" s="72">
        <v>399.36426427050152</v>
      </c>
      <c r="L4262" s="70">
        <v>3.3658153677817352</v>
      </c>
      <c r="M4262" s="71">
        <f>IF(L4262&lt;1,1,L4262)</f>
        <v>3.3658153677817352</v>
      </c>
      <c r="N4262" s="70" t="s">
        <v>141</v>
      </c>
      <c r="O4262" s="71">
        <f>INDEX(DurClassMapping,MATCH(M4262,MappingTables!$D$4:$D$8,-1),1)</f>
        <v>1</v>
      </c>
      <c r="P4262" s="73">
        <f>IF(M4262=$A$1,1,$M4262-INDEX(MappingTables!$E$4:$E$8,MATCH(O4262,MappingTables!$B$4:$B$8,0)))</f>
        <v>3.3658153677817352</v>
      </c>
      <c r="Q4262" s="71">
        <f>IF(B4262="",0,INDEX(ModelParameters!$D$6:$K$10,MATCH($O4262,ModelParameters!$B$6:$B$10,0),MATCH($J4262,ModelParameters!$D$5:$K$5,0)))</f>
        <v>0.025</v>
      </c>
      <c r="R4262" s="71">
        <f>IF(B4262="",0,INDEX(ModelParameters!$D$13:$K$17,MATCH($O4262,ModelParameters!$B$13:$B$17,0),MATCH($J4262,ModelParameters!$D$5:$K$5,0)))</f>
        <v>0</v>
      </c>
      <c r="S4262" s="160">
        <f>IF(B4262="",0,MIN(IF($N4262="Other Bond TM",ModelParameters!$N$21,1)*(P4262*Q4262+R4262),1))</f>
        <v>0.084145384194543392</v>
      </c>
      <c r="T4262" s="85">
        <f>IF(B4262="",0,$S4262*$K4262)</f>
        <v>33.6046594506125</v>
      </c>
      <c r="U4262" s="85">
        <f>IF(B4262="",0,IF(OR(H4262=MappingTables!$C$34,H4262=MappingTables!$C$35),T4262,0))</f>
        <v>0</v>
      </c>
      <c r="V4262" s="85">
        <f>IF(ISNA(IF(AND(VLOOKUP(CONCATENATE($D4262,$G4262),CSRFinput!$B:$E,4,0)=0,OR(H4262=MappingTables!$C$34,H4262=MappingTables!$C$35)),1,VLOOKUP(CONCATENATE($D4262,$G4262),CSRFinput!$B:$E,4,0))),0,IF(AND(VLOOKUP(CONCATENATE($D4262,$G4262),CSRFinput!$B:$E,4,0)=0,OR(H4262=MappingTables!$C$34,H4262=MappingTables!$C$35)),1,VLOOKUP(CONCATENATE($D4262,$G4262),CSRFinput!$B:$E,4,0)))</f>
        <v>0.054776304963434752</v>
      </c>
      <c r="W4262" s="85">
        <f>IF(B4262="",0,+$T4262*$V4262)</f>
        <v>1.84073907425912</v>
      </c>
      <c r="X4262" s="85">
        <f>IF(B4262="",0,IF(OR(H4262=MappingTables!$C$34,H4262=MappingTables!$C$35),W4262,0))</f>
        <v>0</v>
      </c>
    </row>
    <row r="4263" spans="2:24" s="0" customFormat="0" ht="15">
      <c r="B4263" s="69" t="s">
        <v>519</v>
      </c>
      <c r="C4263" s="70" t="s">
        <v>520</v>
      </c>
      <c r="D4263" s="70" t="s">
        <v>1</v>
      </c>
      <c r="E4263" s="70" t="s">
        <v>1</v>
      </c>
      <c r="F4263" s="70"/>
      <c r="G4263" s="70" t="s">
        <v>61</v>
      </c>
      <c r="H4263" s="70" t="s">
        <v>178</v>
      </c>
      <c r="I4263" s="70" t="s">
        <v>181</v>
      </c>
      <c r="J4263" s="71">
        <f>IF(OR(I4263=0,I4263=""),"unrated",VLOOKUP(I4263,MappingTables!$B$19:$C$31,2,FALSE))</f>
        <v>3</v>
      </c>
      <c r="K4263" s="72">
        <v>2127.8807066750724</v>
      </c>
      <c r="L4263" s="70">
        <v>5.10920564946266</v>
      </c>
      <c r="M4263" s="71">
        <f>IF(L4263&lt;1,1,L4263)</f>
        <v>5.10920564946266</v>
      </c>
      <c r="N4263" s="70" t="s">
        <v>141</v>
      </c>
      <c r="O4263" s="71">
        <f>INDEX(DurClassMapping,MATCH(M4263,MappingTables!$D$4:$D$8,-1),1)</f>
        <v>2</v>
      </c>
      <c r="P4263" s="73">
        <f>IF(M4263=$A$1,1,$M4263-INDEX(MappingTables!$E$4:$E$8,MATCH(O4263,MappingTables!$B$4:$B$8,0)))</f>
        <v>0.10920564946265988</v>
      </c>
      <c r="Q4263" s="71">
        <f>IF(B4263="",0,INDEX(ModelParameters!$D$6:$K$10,MATCH($O4263,ModelParameters!$B$6:$B$10,0),MATCH($J4263,ModelParameters!$D$5:$K$5,0)))</f>
        <v>0.015</v>
      </c>
      <c r="R4263" s="71">
        <f>IF(B4263="",0,INDEX(ModelParameters!$D$13:$K$17,MATCH($O4263,ModelParameters!$B$13:$B$17,0),MATCH($J4263,ModelParameters!$D$5:$K$5,0)))</f>
        <v>0.125</v>
      </c>
      <c r="S4263" s="160">
        <f>IF(B4263="",0,MIN(IF($N4263="Other Bond TM",ModelParameters!$N$21,1)*(P4263*Q4263+R4263),1))</f>
        <v>0.12663808474193992</v>
      </c>
      <c r="T4263" s="85">
        <f>IF(B4263="",0,$S4263*$K4263)</f>
        <v>269.4707372526568</v>
      </c>
      <c r="U4263" s="85">
        <f>IF(B4263="",0,IF(OR(H4263=MappingTables!$C$34,H4263=MappingTables!$C$35),T4263,0))</f>
        <v>0</v>
      </c>
      <c r="V4263" s="85">
        <f>IF(ISNA(IF(AND(VLOOKUP(CONCATENATE($D4263,$G4263),CSRFinput!$B:$E,4,0)=0,OR(H4263=MappingTables!$C$34,H4263=MappingTables!$C$35)),1,VLOOKUP(CONCATENATE($D4263,$G4263),CSRFinput!$B:$E,4,0))),0,IF(AND(VLOOKUP(CONCATENATE($D4263,$G4263),CSRFinput!$B:$E,4,0)=0,OR(H4263=MappingTables!$C$34,H4263=MappingTables!$C$35)),1,VLOOKUP(CONCATENATE($D4263,$G4263),CSRFinput!$B:$E,4,0)))</f>
        <v>0.054776304963434752</v>
      </c>
      <c r="W4263" s="85">
        <f>IF(B4263="",0,+$T4263*$V4263)</f>
        <v>14.760611282473128</v>
      </c>
      <c r="X4263" s="85">
        <f>IF(B4263="",0,IF(OR(H4263=MappingTables!$C$34,H4263=MappingTables!$C$35),W4263,0))</f>
        <v>0</v>
      </c>
    </row>
    <row r="4264" spans="2:24" s="0" customFormat="0" ht="15">
      <c r="B4264" s="69" t="s">
        <v>2582</v>
      </c>
      <c r="C4264" s="70" t="s">
        <v>2583</v>
      </c>
      <c r="D4264" s="70" t="s">
        <v>1</v>
      </c>
      <c r="E4264" s="70" t="s">
        <v>1</v>
      </c>
      <c r="F4264" s="70"/>
      <c r="G4264" s="70" t="s">
        <v>61</v>
      </c>
      <c r="H4264" s="70" t="s">
        <v>178</v>
      </c>
      <c r="I4264" s="70" t="s">
        <v>198</v>
      </c>
      <c r="J4264" s="71" t="str">
        <f>IF(OR(I4264=0,I4264=""),"unrated",VLOOKUP(I4264,MappingTables!$B$19:$C$31,2,FALSE))</f>
        <v>unrated</v>
      </c>
      <c r="K4264" s="72">
        <v>9.4318845168287968</v>
      </c>
      <c r="L4264" s="70">
        <v>2.5759005436143196</v>
      </c>
      <c r="M4264" s="71">
        <f>IF(L4264&lt;1,1,L4264)</f>
        <v>2.5759005436143196</v>
      </c>
      <c r="N4264" s="70" t="s">
        <v>141</v>
      </c>
      <c r="O4264" s="71">
        <f>INDEX(DurClassMapping,MATCH(M4264,MappingTables!$D$4:$D$8,-1),1)</f>
        <v>1</v>
      </c>
      <c r="P4264" s="73">
        <f>IF(M4264=$A$1,1,$M4264-INDEX(MappingTables!$E$4:$E$8,MATCH(O4264,MappingTables!$B$4:$B$8,0)))</f>
        <v>2.5759005436143196</v>
      </c>
      <c r="Q4264" s="71">
        <f>IF(B4264="",0,INDEX(ModelParameters!$D$6:$K$10,MATCH($O4264,ModelParameters!$B$6:$B$10,0),MATCH($J4264,ModelParameters!$D$5:$K$5,0)))</f>
        <v>0.03</v>
      </c>
      <c r="R4264" s="71">
        <f>IF(B4264="",0,INDEX(ModelParameters!$D$13:$K$17,MATCH($O4264,ModelParameters!$B$13:$B$17,0),MATCH($J4264,ModelParameters!$D$5:$K$5,0)))</f>
        <v>0</v>
      </c>
      <c r="S4264" s="160">
        <f>IF(B4264="",0,MIN(IF($N4264="Other Bond TM",ModelParameters!$N$21,1)*(P4264*Q4264+R4264),1))</f>
        <v>0.077277016308429584</v>
      </c>
      <c r="T4264" s="85">
        <f>IF(B4264="",0,$S4264*$K4264)</f>
        <v>0.72886789362620352</v>
      </c>
      <c r="U4264" s="85">
        <f>IF(B4264="",0,IF(OR(H4264=MappingTables!$C$34,H4264=MappingTables!$C$35),T4264,0))</f>
        <v>0</v>
      </c>
      <c r="V4264" s="85">
        <f>IF(ISNA(IF(AND(VLOOKUP(CONCATENATE($D4264,$G4264),CSRFinput!$B:$E,4,0)=0,OR(H4264=MappingTables!$C$34,H4264=MappingTables!$C$35)),1,VLOOKUP(CONCATENATE($D4264,$G4264),CSRFinput!$B:$E,4,0))),0,IF(AND(VLOOKUP(CONCATENATE($D4264,$G4264),CSRFinput!$B:$E,4,0)=0,OR(H4264=MappingTables!$C$34,H4264=MappingTables!$C$35)),1,VLOOKUP(CONCATENATE($D4264,$G4264),CSRFinput!$B:$E,4,0)))</f>
        <v>0.054776304963434752</v>
      </c>
      <c r="W4264" s="85">
        <f>IF(B4264="",0,+$T4264*$V4264)</f>
        <v>0.039924690019325248</v>
      </c>
      <c r="X4264" s="85">
        <f>IF(B4264="",0,IF(OR(H4264=MappingTables!$C$34,H4264=MappingTables!$C$35),W4264,0))</f>
        <v>0</v>
      </c>
    </row>
    <row r="4265" spans="2:24" s="0" customFormat="0" ht="15">
      <c r="B4265" s="69" t="s">
        <v>1571</v>
      </c>
      <c r="C4265" s="70" t="s">
        <v>1572</v>
      </c>
      <c r="D4265" s="70" t="s">
        <v>1</v>
      </c>
      <c r="E4265" s="70" t="s">
        <v>1</v>
      </c>
      <c r="F4265" s="70"/>
      <c r="G4265" s="70" t="s">
        <v>61</v>
      </c>
      <c r="H4265" s="70" t="s">
        <v>178</v>
      </c>
      <c r="I4265" s="70" t="s">
        <v>181</v>
      </c>
      <c r="J4265" s="71">
        <f>IF(OR(I4265=0,I4265=""),"unrated",VLOOKUP(I4265,MappingTables!$B$19:$C$31,2,FALSE))</f>
        <v>3</v>
      </c>
      <c r="K4265" s="72">
        <v>759.12211713818448</v>
      </c>
      <c r="L4265" s="70">
        <v>5.6906700136761616</v>
      </c>
      <c r="M4265" s="71">
        <f>IF(L4265&lt;1,1,L4265)</f>
        <v>5.6906700136761616</v>
      </c>
      <c r="N4265" s="70" t="s">
        <v>141</v>
      </c>
      <c r="O4265" s="71">
        <f>INDEX(DurClassMapping,MATCH(M4265,MappingTables!$D$4:$D$8,-1),1)</f>
        <v>2</v>
      </c>
      <c r="P4265" s="73">
        <f>IF(M4265=$A$1,1,$M4265-INDEX(MappingTables!$E$4:$E$8,MATCH(O4265,MappingTables!$B$4:$B$8,0)))</f>
        <v>0.69067001367616144</v>
      </c>
      <c r="Q4265" s="71">
        <f>IF(B4265="",0,INDEX(ModelParameters!$D$6:$K$10,MATCH($O4265,ModelParameters!$B$6:$B$10,0),MATCH($J4265,ModelParameters!$D$5:$K$5,0)))</f>
        <v>0.015</v>
      </c>
      <c r="R4265" s="71">
        <f>IF(B4265="",0,INDEX(ModelParameters!$D$13:$K$17,MATCH($O4265,ModelParameters!$B$13:$B$17,0),MATCH($J4265,ModelParameters!$D$5:$K$5,0)))</f>
        <v>0.125</v>
      </c>
      <c r="S4265" s="160">
        <f>IF(B4265="",0,MIN(IF($N4265="Other Bond TM",ModelParameters!$N$21,1)*(P4265*Q4265+R4265),1))</f>
        <v>0.13536005020514242</v>
      </c>
      <c r="T4265" s="85">
        <f>IF(B4265="",0,$S4265*$K4265)</f>
        <v>102.75480788765864</v>
      </c>
      <c r="U4265" s="85">
        <f>IF(B4265="",0,IF(OR(H4265=MappingTables!$C$34,H4265=MappingTables!$C$35),T4265,0))</f>
        <v>0</v>
      </c>
      <c r="V4265" s="85">
        <f>IF(ISNA(IF(AND(VLOOKUP(CONCATENATE($D4265,$G4265),CSRFinput!$B:$E,4,0)=0,OR(H4265=MappingTables!$C$34,H4265=MappingTables!$C$35)),1,VLOOKUP(CONCATENATE($D4265,$G4265),CSRFinput!$B:$E,4,0))),0,IF(AND(VLOOKUP(CONCATENATE($D4265,$G4265),CSRFinput!$B:$E,4,0)=0,OR(H4265=MappingTables!$C$34,H4265=MappingTables!$C$35)),1,VLOOKUP(CONCATENATE($D4265,$G4265),CSRFinput!$B:$E,4,0)))</f>
        <v>0.054776304963434752</v>
      </c>
      <c r="W4265" s="85">
        <f>IF(B4265="",0,+$T4265*$V4265)</f>
        <v>5.6285286933135408</v>
      </c>
      <c r="X4265" s="85">
        <f>IF(B4265="",0,IF(OR(H4265=MappingTables!$C$34,H4265=MappingTables!$C$35),W4265,0))</f>
        <v>0</v>
      </c>
    </row>
    <row r="4266" spans="2:24" s="0" customFormat="0" ht="15">
      <c r="B4266" s="69" t="s">
        <v>505</v>
      </c>
      <c r="C4266" s="70" t="s">
        <v>506</v>
      </c>
      <c r="D4266" s="70" t="s">
        <v>1</v>
      </c>
      <c r="E4266" s="70" t="s">
        <v>1</v>
      </c>
      <c r="F4266" s="70"/>
      <c r="G4266" s="70" t="s">
        <v>61</v>
      </c>
      <c r="H4266" s="70" t="s">
        <v>178</v>
      </c>
      <c r="I4266" s="70" t="s">
        <v>198</v>
      </c>
      <c r="J4266" s="71" t="str">
        <f>IF(OR(I4266=0,I4266=""),"unrated",VLOOKUP(I4266,MappingTables!$B$19:$C$31,2,FALSE))</f>
        <v>unrated</v>
      </c>
      <c r="K4266" s="72">
        <v>4799.0090109784576</v>
      </c>
      <c r="L4266" s="70">
        <v>4.0785276061116464</v>
      </c>
      <c r="M4266" s="71">
        <f>IF(L4266&lt;1,1,L4266)</f>
        <v>4.0785276061116464</v>
      </c>
      <c r="N4266" s="70" t="s">
        <v>141</v>
      </c>
      <c r="O4266" s="71">
        <f>INDEX(DurClassMapping,MATCH(M4266,MappingTables!$D$4:$D$8,-1),1)</f>
        <v>1</v>
      </c>
      <c r="P4266" s="73">
        <f>IF(M4266=$A$1,1,$M4266-INDEX(MappingTables!$E$4:$E$8,MATCH(O4266,MappingTables!$B$4:$B$8,0)))</f>
        <v>4.0785276061116464</v>
      </c>
      <c r="Q4266" s="71">
        <f>IF(B4266="",0,INDEX(ModelParameters!$D$6:$K$10,MATCH($O4266,ModelParameters!$B$6:$B$10,0),MATCH($J4266,ModelParameters!$D$5:$K$5,0)))</f>
        <v>0.03</v>
      </c>
      <c r="R4266" s="71">
        <f>IF(B4266="",0,INDEX(ModelParameters!$D$13:$K$17,MATCH($O4266,ModelParameters!$B$13:$B$17,0),MATCH($J4266,ModelParameters!$D$5:$K$5,0)))</f>
        <v>0</v>
      </c>
      <c r="S4266" s="160">
        <f>IF(B4266="",0,MIN(IF($N4266="Other Bond TM",ModelParameters!$N$21,1)*(P4266*Q4266+R4266),1))</f>
        <v>0.1223558281833494</v>
      </c>
      <c r="T4266" s="85">
        <f>IF(B4266="",0,$S4266*$K4266)</f>
        <v>587.18672199762568</v>
      </c>
      <c r="U4266" s="85">
        <f>IF(B4266="",0,IF(OR(H4266=MappingTables!$C$34,H4266=MappingTables!$C$35),T4266,0))</f>
        <v>0</v>
      </c>
      <c r="V4266" s="85">
        <f>IF(ISNA(IF(AND(VLOOKUP(CONCATENATE($D4266,$G4266),CSRFinput!$B:$E,4,0)=0,OR(H4266=MappingTables!$C$34,H4266=MappingTables!$C$35)),1,VLOOKUP(CONCATENATE($D4266,$G4266),CSRFinput!$B:$E,4,0))),0,IF(AND(VLOOKUP(CONCATENATE($D4266,$G4266),CSRFinput!$B:$E,4,0)=0,OR(H4266=MappingTables!$C$34,H4266=MappingTables!$C$35)),1,VLOOKUP(CONCATENATE($D4266,$G4266),CSRFinput!$B:$E,4,0)))</f>
        <v>0.054776304963434752</v>
      </c>
      <c r="W4266" s="85">
        <f>IF(B4266="",0,+$T4266*$V4266)</f>
        <v>32.163918954621528</v>
      </c>
      <c r="X4266" s="85">
        <f>IF(B4266="",0,IF(OR(H4266=MappingTables!$C$34,H4266=MappingTables!$C$35),W4266,0))</f>
        <v>0</v>
      </c>
    </row>
    <row r="4267" spans="2:24" s="0" customFormat="0" ht="15">
      <c r="B4267" s="69" t="s">
        <v>1741</v>
      </c>
      <c r="C4267" s="70" t="s">
        <v>1742</v>
      </c>
      <c r="D4267" s="70" t="s">
        <v>1</v>
      </c>
      <c r="E4267" s="70" t="s">
        <v>1</v>
      </c>
      <c r="F4267" s="70"/>
      <c r="G4267" s="70" t="s">
        <v>61</v>
      </c>
      <c r="H4267" s="70" t="s">
        <v>178</v>
      </c>
      <c r="I4267" s="70" t="s">
        <v>198</v>
      </c>
      <c r="J4267" s="71" t="str">
        <f>IF(OR(I4267=0,I4267=""),"unrated",VLOOKUP(I4267,MappingTables!$B$19:$C$31,2,FALSE))</f>
        <v>unrated</v>
      </c>
      <c r="K4267" s="72">
        <v>207.14184443721016</v>
      </c>
      <c r="L4267" s="70">
        <v>4.1477442778946856</v>
      </c>
      <c r="M4267" s="71">
        <f>IF(L4267&lt;1,1,L4267)</f>
        <v>4.1477442778946856</v>
      </c>
      <c r="N4267" s="70" t="s">
        <v>141</v>
      </c>
      <c r="O4267" s="71">
        <f>INDEX(DurClassMapping,MATCH(M4267,MappingTables!$D$4:$D$8,-1),1)</f>
        <v>1</v>
      </c>
      <c r="P4267" s="73">
        <f>IF(M4267=$A$1,1,$M4267-INDEX(MappingTables!$E$4:$E$8,MATCH(O4267,MappingTables!$B$4:$B$8,0)))</f>
        <v>4.1477442778946856</v>
      </c>
      <c r="Q4267" s="71">
        <f>IF(B4267="",0,INDEX(ModelParameters!$D$6:$K$10,MATCH($O4267,ModelParameters!$B$6:$B$10,0),MATCH($J4267,ModelParameters!$D$5:$K$5,0)))</f>
        <v>0.03</v>
      </c>
      <c r="R4267" s="71">
        <f>IF(B4267="",0,INDEX(ModelParameters!$D$13:$K$17,MATCH($O4267,ModelParameters!$B$13:$B$17,0),MATCH($J4267,ModelParameters!$D$5:$K$5,0)))</f>
        <v>0</v>
      </c>
      <c r="S4267" s="160">
        <f>IF(B4267="",0,MIN(IF($N4267="Other Bond TM",ModelParameters!$N$21,1)*(P4267*Q4267+R4267),1))</f>
        <v>0.12443232833684056</v>
      </c>
      <c r="T4267" s="85">
        <f>IF(B4267="",0,$S4267*$K4267)</f>
        <v>25.77514199930968</v>
      </c>
      <c r="U4267" s="85">
        <f>IF(B4267="",0,IF(OR(H4267=MappingTables!$C$34,H4267=MappingTables!$C$35),T4267,0))</f>
        <v>0</v>
      </c>
      <c r="V4267" s="85">
        <f>IF(ISNA(IF(AND(VLOOKUP(CONCATENATE($D4267,$G4267),CSRFinput!$B:$E,4,0)=0,OR(H4267=MappingTables!$C$34,H4267=MappingTables!$C$35)),1,VLOOKUP(CONCATENATE($D4267,$G4267),CSRFinput!$B:$E,4,0))),0,IF(AND(VLOOKUP(CONCATENATE($D4267,$G4267),CSRFinput!$B:$E,4,0)=0,OR(H4267=MappingTables!$C$34,H4267=MappingTables!$C$35)),1,VLOOKUP(CONCATENATE($D4267,$G4267),CSRFinput!$B:$E,4,0)))</f>
        <v>0.054776304963434752</v>
      </c>
      <c r="W4267" s="85">
        <f>IF(B4267="",0,+$T4267*$V4267)</f>
        <v>1.4118670386300224</v>
      </c>
      <c r="X4267" s="85">
        <f>IF(B4267="",0,IF(OR(H4267=MappingTables!$C$34,H4267=MappingTables!$C$35),W4267,0))</f>
        <v>0</v>
      </c>
    </row>
    <row r="4268" spans="2:24" s="0" customFormat="0" ht="15">
      <c r="B4268" s="69">
        <v>15473454</v>
      </c>
      <c r="C4268" s="70" t="s">
        <v>1535</v>
      </c>
      <c r="D4268" s="70" t="s">
        <v>1</v>
      </c>
      <c r="E4268" s="70" t="s">
        <v>1</v>
      </c>
      <c r="F4268" s="70"/>
      <c r="G4268" s="70" t="s">
        <v>61</v>
      </c>
      <c r="H4268" s="70" t="s">
        <v>178</v>
      </c>
      <c r="I4268" s="70" t="s">
        <v>181</v>
      </c>
      <c r="J4268" s="71">
        <f>IF(OR(I4268=0,I4268=""),"unrated",VLOOKUP(I4268,MappingTables!$B$19:$C$31,2,FALSE))</f>
        <v>3</v>
      </c>
      <c r="K4268" s="72">
        <v>13.503280767817656</v>
      </c>
      <c r="L4268" s="70">
        <v>1.920761010438606</v>
      </c>
      <c r="M4268" s="71">
        <f>IF(L4268&lt;1,1,L4268)</f>
        <v>1.920761010438606</v>
      </c>
      <c r="N4268" s="70" t="s">
        <v>141</v>
      </c>
      <c r="O4268" s="71">
        <f>INDEX(DurClassMapping,MATCH(M4268,MappingTables!$D$4:$D$8,-1),1)</f>
        <v>1</v>
      </c>
      <c r="P4268" s="73">
        <f>IF(M4268=$A$1,1,$M4268-INDEX(MappingTables!$E$4:$E$8,MATCH(O4268,MappingTables!$B$4:$B$8,0)))</f>
        <v>1.920761010438606</v>
      </c>
      <c r="Q4268" s="71">
        <f>IF(B4268="",0,INDEX(ModelParameters!$D$6:$K$10,MATCH($O4268,ModelParameters!$B$6:$B$10,0),MATCH($J4268,ModelParameters!$D$5:$K$5,0)))</f>
        <v>0.025</v>
      </c>
      <c r="R4268" s="71">
        <f>IF(B4268="",0,INDEX(ModelParameters!$D$13:$K$17,MATCH($O4268,ModelParameters!$B$13:$B$17,0),MATCH($J4268,ModelParameters!$D$5:$K$5,0)))</f>
        <v>0</v>
      </c>
      <c r="S4268" s="160">
        <f>IF(B4268="",0,MIN(IF($N4268="Other Bond TM",ModelParameters!$N$21,1)*(P4268*Q4268+R4268),1))</f>
        <v>0.048019025260965152</v>
      </c>
      <c r="T4268" s="85">
        <f>IF(B4268="",0,$S4268*$K4268)</f>
        <v>0.64841438029574096</v>
      </c>
      <c r="U4268" s="85">
        <f>IF(B4268="",0,IF(OR(H4268=MappingTables!$C$34,H4268=MappingTables!$C$35),T4268,0))</f>
        <v>0</v>
      </c>
      <c r="V4268" s="85">
        <f>IF(ISNA(IF(AND(VLOOKUP(CONCATENATE($D4268,$G4268),CSRFinput!$B:$E,4,0)=0,OR(H4268=MappingTables!$C$34,H4268=MappingTables!$C$35)),1,VLOOKUP(CONCATENATE($D4268,$G4268),CSRFinput!$B:$E,4,0))),0,IF(AND(VLOOKUP(CONCATENATE($D4268,$G4268),CSRFinput!$B:$E,4,0)=0,OR(H4268=MappingTables!$C$34,H4268=MappingTables!$C$35)),1,VLOOKUP(CONCATENATE($D4268,$G4268),CSRFinput!$B:$E,4,0)))</f>
        <v>0.054776304963434752</v>
      </c>
      <c r="W4268" s="85">
        <f>IF(B4268="",0,+$T4268*$V4268)</f>
        <v>0.035517743837756064</v>
      </c>
      <c r="X4268" s="85">
        <f>IF(B4268="",0,IF(OR(H4268=MappingTables!$C$34,H4268=MappingTables!$C$35),W4268,0))</f>
        <v>0</v>
      </c>
    </row>
    <row r="4269" spans="2:24" s="0" customFormat="0" ht="15">
      <c r="B4269" s="69" t="s">
        <v>1931</v>
      </c>
      <c r="C4269" s="70" t="s">
        <v>1932</v>
      </c>
      <c r="D4269" s="70" t="s">
        <v>1</v>
      </c>
      <c r="E4269" s="70" t="s">
        <v>1</v>
      </c>
      <c r="F4269" s="70"/>
      <c r="G4269" s="70" t="s">
        <v>61</v>
      </c>
      <c r="H4269" s="70" t="s">
        <v>178</v>
      </c>
      <c r="I4269" s="70" t="s">
        <v>181</v>
      </c>
      <c r="J4269" s="71">
        <f>IF(OR(I4269=0,I4269=""),"unrated",VLOOKUP(I4269,MappingTables!$B$19:$C$31,2,FALSE))</f>
        <v>3</v>
      </c>
      <c r="K4269" s="72">
        <v>1228.6690378990552</v>
      </c>
      <c r="L4269" s="70">
        <v>8.6002888244992864</v>
      </c>
      <c r="M4269" s="71">
        <f>IF(L4269&lt;1,1,L4269)</f>
        <v>8.6002888244992864</v>
      </c>
      <c r="N4269" s="70" t="s">
        <v>141</v>
      </c>
      <c r="O4269" s="71">
        <f>INDEX(DurClassMapping,MATCH(M4269,MappingTables!$D$4:$D$8,-1),1)</f>
        <v>2</v>
      </c>
      <c r="P4269" s="73">
        <f>IF(M4269=$A$1,1,$M4269-INDEX(MappingTables!$E$4:$E$8,MATCH(O4269,MappingTables!$B$4:$B$8,0)))</f>
        <v>3.6002888244992856</v>
      </c>
      <c r="Q4269" s="71">
        <f>IF(B4269="",0,INDEX(ModelParameters!$D$6:$K$10,MATCH($O4269,ModelParameters!$B$6:$B$10,0),MATCH($J4269,ModelParameters!$D$5:$K$5,0)))</f>
        <v>0.015</v>
      </c>
      <c r="R4269" s="71">
        <f>IF(B4269="",0,INDEX(ModelParameters!$D$13:$K$17,MATCH($O4269,ModelParameters!$B$13:$B$17,0),MATCH($J4269,ModelParameters!$D$5:$K$5,0)))</f>
        <v>0.125</v>
      </c>
      <c r="S4269" s="160">
        <f>IF(B4269="",0,MIN(IF($N4269="Other Bond TM",ModelParameters!$N$21,1)*(P4269*Q4269+R4269),1))</f>
        <v>0.17900433236748928</v>
      </c>
      <c r="T4269" s="85">
        <f>IF(B4269="",0,$S4269*$K4269)</f>
        <v>219.93708082972576</v>
      </c>
      <c r="U4269" s="85">
        <f>IF(B4269="",0,IF(OR(H4269=MappingTables!$C$34,H4269=MappingTables!$C$35),T4269,0))</f>
        <v>0</v>
      </c>
      <c r="V4269" s="85">
        <f>IF(ISNA(IF(AND(VLOOKUP(CONCATENATE($D4269,$G4269),CSRFinput!$B:$E,4,0)=0,OR(H4269=MappingTables!$C$34,H4269=MappingTables!$C$35)),1,VLOOKUP(CONCATENATE($D4269,$G4269),CSRFinput!$B:$E,4,0))),0,IF(AND(VLOOKUP(CONCATENATE($D4269,$G4269),CSRFinput!$B:$E,4,0)=0,OR(H4269=MappingTables!$C$34,H4269=MappingTables!$C$35)),1,VLOOKUP(CONCATENATE($D4269,$G4269),CSRFinput!$B:$E,4,0)))</f>
        <v>0.054776304963434752</v>
      </c>
      <c r="W4269" s="85">
        <f>IF(B4269="",0,+$T4269*$V4269)</f>
        <v>12.047340612296656</v>
      </c>
      <c r="X4269" s="85">
        <f>IF(B4269="",0,IF(OR(H4269=MappingTables!$C$34,H4269=MappingTables!$C$35),W4269,0))</f>
        <v>0</v>
      </c>
    </row>
    <row r="4270" spans="2:24" s="0" customFormat="0" ht="15">
      <c r="B4270" s="69">
        <v>19771038</v>
      </c>
      <c r="C4270" s="70" t="s">
        <v>1070</v>
      </c>
      <c r="D4270" s="70" t="s">
        <v>1</v>
      </c>
      <c r="E4270" s="70" t="s">
        <v>1</v>
      </c>
      <c r="F4270" s="70"/>
      <c r="G4270" s="70" t="s">
        <v>61</v>
      </c>
      <c r="H4270" s="70" t="s">
        <v>178</v>
      </c>
      <c r="I4270" s="70" t="s">
        <v>184</v>
      </c>
      <c r="J4270" s="71">
        <f>IF(OR(I4270=0,I4270=""),"unrated",VLOOKUP(I4270,MappingTables!$B$19:$C$31,2,FALSE))</f>
        <v>5</v>
      </c>
      <c r="K4270" s="72">
        <v>13524.941499150506</v>
      </c>
      <c r="L4270" s="70">
        <v>3.2332997022247492</v>
      </c>
      <c r="M4270" s="71">
        <f>IF(L4270&lt;1,1,L4270)</f>
        <v>3.2332997022247492</v>
      </c>
      <c r="N4270" s="70" t="s">
        <v>141</v>
      </c>
      <c r="O4270" s="71">
        <f>INDEX(DurClassMapping,MATCH(M4270,MappingTables!$D$4:$D$8,-1),1)</f>
        <v>1</v>
      </c>
      <c r="P4270" s="73">
        <f>IF(M4270=$A$1,1,$M4270-INDEX(MappingTables!$E$4:$E$8,MATCH(O4270,MappingTables!$B$4:$B$8,0)))</f>
        <v>3.2332997022247492</v>
      </c>
      <c r="Q4270" s="71">
        <f>IF(B4270="",0,INDEX(ModelParameters!$D$6:$K$10,MATCH($O4270,ModelParameters!$B$6:$B$10,0),MATCH($J4270,ModelParameters!$D$5:$K$5,0)))</f>
        <v>0.075</v>
      </c>
      <c r="R4270" s="71">
        <f>IF(B4270="",0,INDEX(ModelParameters!$D$13:$K$17,MATCH($O4270,ModelParameters!$B$13:$B$17,0),MATCH($J4270,ModelParameters!$D$5:$K$5,0)))</f>
        <v>0</v>
      </c>
      <c r="S4270" s="160">
        <f>IF(B4270="",0,MIN(IF($N4270="Other Bond TM",ModelParameters!$N$21,1)*(P4270*Q4270+R4270),1))</f>
        <v>0.24249747766685616</v>
      </c>
      <c r="T4270" s="85">
        <f>IF(B4270="",0,$S4270*$K4270)</f>
        <v>3279.764199135786</v>
      </c>
      <c r="U4270" s="85">
        <f>IF(B4270="",0,IF(OR(H4270=MappingTables!$C$34,H4270=MappingTables!$C$35),T4270,0))</f>
        <v>0</v>
      </c>
      <c r="V4270" s="85">
        <f>IF(ISNA(IF(AND(VLOOKUP(CONCATENATE($D4270,$G4270),CSRFinput!$B:$E,4,0)=0,OR(H4270=MappingTables!$C$34,H4270=MappingTables!$C$35)),1,VLOOKUP(CONCATENATE($D4270,$G4270),CSRFinput!$B:$E,4,0))),0,IF(AND(VLOOKUP(CONCATENATE($D4270,$G4270),CSRFinput!$B:$E,4,0)=0,OR(H4270=MappingTables!$C$34,H4270=MappingTables!$C$35)),1,VLOOKUP(CONCATENATE($D4270,$G4270),CSRFinput!$B:$E,4,0)))</f>
        <v>0.054776304963434752</v>
      </c>
      <c r="W4270" s="85">
        <f>IF(B4270="",0,+$T4270*$V4270)</f>
        <v>179.65336398001716</v>
      </c>
      <c r="X4270" s="85">
        <f>IF(B4270="",0,IF(OR(H4270=MappingTables!$C$34,H4270=MappingTables!$C$35),W4270,0))</f>
        <v>0</v>
      </c>
    </row>
    <row r="4271" spans="2:24" s="0" customFormat="0" ht="15">
      <c r="B4271" s="69" t="s">
        <v>531</v>
      </c>
      <c r="C4271" s="70" t="s">
        <v>532</v>
      </c>
      <c r="D4271" s="70" t="s">
        <v>1</v>
      </c>
      <c r="E4271" s="70" t="s">
        <v>1</v>
      </c>
      <c r="F4271" s="70"/>
      <c r="G4271" s="70" t="s">
        <v>61</v>
      </c>
      <c r="H4271" s="70" t="s">
        <v>178</v>
      </c>
      <c r="I4271" s="70" t="s">
        <v>181</v>
      </c>
      <c r="J4271" s="71">
        <f>IF(OR(I4271=0,I4271=""),"unrated",VLOOKUP(I4271,MappingTables!$B$19:$C$31,2,FALSE))</f>
        <v>3</v>
      </c>
      <c r="K4271" s="72">
        <v>83.251894609784544</v>
      </c>
      <c r="L4271" s="70">
        <v>4.067305848076432</v>
      </c>
      <c r="M4271" s="71">
        <f>IF(L4271&lt;1,1,L4271)</f>
        <v>4.067305848076432</v>
      </c>
      <c r="N4271" s="70" t="s">
        <v>141</v>
      </c>
      <c r="O4271" s="71">
        <f>INDEX(DurClassMapping,MATCH(M4271,MappingTables!$D$4:$D$8,-1),1)</f>
        <v>1</v>
      </c>
      <c r="P4271" s="73">
        <f>IF(M4271=$A$1,1,$M4271-INDEX(MappingTables!$E$4:$E$8,MATCH(O4271,MappingTables!$B$4:$B$8,0)))</f>
        <v>4.067305848076432</v>
      </c>
      <c r="Q4271" s="71">
        <f>IF(B4271="",0,INDEX(ModelParameters!$D$6:$K$10,MATCH($O4271,ModelParameters!$B$6:$B$10,0),MATCH($J4271,ModelParameters!$D$5:$K$5,0)))</f>
        <v>0.025</v>
      </c>
      <c r="R4271" s="71">
        <f>IF(B4271="",0,INDEX(ModelParameters!$D$13:$K$17,MATCH($O4271,ModelParameters!$B$13:$B$17,0),MATCH($J4271,ModelParameters!$D$5:$K$5,0)))</f>
        <v>0</v>
      </c>
      <c r="S4271" s="160">
        <f>IF(B4271="",0,MIN(IF($N4271="Other Bond TM",ModelParameters!$N$21,1)*(P4271*Q4271+R4271),1))</f>
        <v>0.1016826462019108</v>
      </c>
      <c r="T4271" s="85">
        <f>IF(B4271="",0,$S4271*$K4271)</f>
        <v>8.465272945245488</v>
      </c>
      <c r="U4271" s="85">
        <f>IF(B4271="",0,IF(OR(H4271=MappingTables!$C$34,H4271=MappingTables!$C$35),T4271,0))</f>
        <v>0</v>
      </c>
      <c r="V4271" s="85">
        <f>IF(ISNA(IF(AND(VLOOKUP(CONCATENATE($D4271,$G4271),CSRFinput!$B:$E,4,0)=0,OR(H4271=MappingTables!$C$34,H4271=MappingTables!$C$35)),1,VLOOKUP(CONCATENATE($D4271,$G4271),CSRFinput!$B:$E,4,0))),0,IF(AND(VLOOKUP(CONCATENATE($D4271,$G4271),CSRFinput!$B:$E,4,0)=0,OR(H4271=MappingTables!$C$34,H4271=MappingTables!$C$35)),1,VLOOKUP(CONCATENATE($D4271,$G4271),CSRFinput!$B:$E,4,0)))</f>
        <v>0.054776304963434752</v>
      </c>
      <c r="W4271" s="85">
        <f>IF(B4271="",0,+$T4271*$V4271)</f>
        <v>0.46369637244748032</v>
      </c>
      <c r="X4271" s="85">
        <f>IF(B4271="",0,IF(OR(H4271=MappingTables!$C$34,H4271=MappingTables!$C$35),W4271,0))</f>
        <v>0</v>
      </c>
    </row>
    <row r="4272" spans="2:24" s="0" customFormat="0" ht="15">
      <c r="B4272" s="69">
        <v>24190230</v>
      </c>
      <c r="C4272" s="70" t="s">
        <v>2057</v>
      </c>
      <c r="D4272" s="70" t="s">
        <v>1</v>
      </c>
      <c r="E4272" s="70" t="s">
        <v>1</v>
      </c>
      <c r="F4272" s="70"/>
      <c r="G4272" s="70" t="s">
        <v>61</v>
      </c>
      <c r="H4272" s="70" t="s">
        <v>178</v>
      </c>
      <c r="I4272" s="70" t="s">
        <v>179</v>
      </c>
      <c r="J4272" s="71">
        <f>IF(OR(I4272=0,I4272=""),"unrated",VLOOKUP(I4272,MappingTables!$B$19:$C$31,2,FALSE))</f>
        <v>4</v>
      </c>
      <c r="K4272" s="72">
        <v>5212.7061511986256</v>
      </c>
      <c r="L4272" s="70">
        <v>2.503737713618816</v>
      </c>
      <c r="M4272" s="71">
        <f>IF(L4272&lt;1,1,L4272)</f>
        <v>2.503737713618816</v>
      </c>
      <c r="N4272" s="70" t="s">
        <v>141</v>
      </c>
      <c r="O4272" s="71">
        <f>INDEX(DurClassMapping,MATCH(M4272,MappingTables!$D$4:$D$8,-1),1)</f>
        <v>1</v>
      </c>
      <c r="P4272" s="73">
        <f>IF(M4272=$A$1,1,$M4272-INDEX(MappingTables!$E$4:$E$8,MATCH(O4272,MappingTables!$B$4:$B$8,0)))</f>
        <v>2.503737713618816</v>
      </c>
      <c r="Q4272" s="71">
        <f>IF(B4272="",0,INDEX(ModelParameters!$D$6:$K$10,MATCH($O4272,ModelParameters!$B$6:$B$10,0),MATCH($J4272,ModelParameters!$D$5:$K$5,0)))</f>
        <v>0.045</v>
      </c>
      <c r="R4272" s="71">
        <f>IF(B4272="",0,INDEX(ModelParameters!$D$13:$K$17,MATCH($O4272,ModelParameters!$B$13:$B$17,0),MATCH($J4272,ModelParameters!$D$5:$K$5,0)))</f>
        <v>0</v>
      </c>
      <c r="S4272" s="160">
        <f>IF(B4272="",0,MIN(IF($N4272="Other Bond TM",ModelParameters!$N$21,1)*(P4272*Q4272+R4272),1))</f>
        <v>0.11266819711284672</v>
      </c>
      <c r="T4272" s="85">
        <f>IF(B4272="",0,$S4272*$K4272)</f>
        <v>587.30620413459528</v>
      </c>
      <c r="U4272" s="85">
        <f>IF(B4272="",0,IF(OR(H4272=MappingTables!$C$34,H4272=MappingTables!$C$35),T4272,0))</f>
        <v>0</v>
      </c>
      <c r="V4272" s="85">
        <f>IF(ISNA(IF(AND(VLOOKUP(CONCATENATE($D4272,$G4272),CSRFinput!$B:$E,4,0)=0,OR(H4272=MappingTables!$C$34,H4272=MappingTables!$C$35)),1,VLOOKUP(CONCATENATE($D4272,$G4272),CSRFinput!$B:$E,4,0))),0,IF(AND(VLOOKUP(CONCATENATE($D4272,$G4272),CSRFinput!$B:$E,4,0)=0,OR(H4272=MappingTables!$C$34,H4272=MappingTables!$C$35)),1,VLOOKUP(CONCATENATE($D4272,$G4272),CSRFinput!$B:$E,4,0)))</f>
        <v>0.054776304963434752</v>
      </c>
      <c r="W4272" s="85">
        <f>IF(B4272="",0,+$T4272*$V4272)</f>
        <v>32.17046374459386</v>
      </c>
      <c r="X4272" s="85">
        <f>IF(B4272="",0,IF(OR(H4272=MappingTables!$C$34,H4272=MappingTables!$C$35),W4272,0))</f>
        <v>0</v>
      </c>
    </row>
    <row r="4273" spans="2:24" s="0" customFormat="0" ht="15">
      <c r="B4273" s="69" t="s">
        <v>582</v>
      </c>
      <c r="C4273" s="70" t="s">
        <v>583</v>
      </c>
      <c r="D4273" s="70" t="s">
        <v>1</v>
      </c>
      <c r="E4273" s="70" t="s">
        <v>1</v>
      </c>
      <c r="F4273" s="70"/>
      <c r="G4273" s="70" t="s">
        <v>61</v>
      </c>
      <c r="H4273" s="70" t="s">
        <v>178</v>
      </c>
      <c r="I4273" s="70" t="s">
        <v>198</v>
      </c>
      <c r="J4273" s="71" t="str">
        <f>IF(OR(I4273=0,I4273=""),"unrated",VLOOKUP(I4273,MappingTables!$B$19:$C$31,2,FALSE))</f>
        <v>unrated</v>
      </c>
      <c r="K4273" s="72">
        <v>850.0407871086448</v>
      </c>
      <c r="L4273" s="70">
        <v>4.794825115002612</v>
      </c>
      <c r="M4273" s="71">
        <f>IF(L4273&lt;1,1,L4273)</f>
        <v>4.794825115002612</v>
      </c>
      <c r="N4273" s="70" t="s">
        <v>141</v>
      </c>
      <c r="O4273" s="71">
        <f>INDEX(DurClassMapping,MATCH(M4273,MappingTables!$D$4:$D$8,-1),1)</f>
        <v>1</v>
      </c>
      <c r="P4273" s="73">
        <f>IF(M4273=$A$1,1,$M4273-INDEX(MappingTables!$E$4:$E$8,MATCH(O4273,MappingTables!$B$4:$B$8,0)))</f>
        <v>4.794825115002612</v>
      </c>
      <c r="Q4273" s="71">
        <f>IF(B4273="",0,INDEX(ModelParameters!$D$6:$K$10,MATCH($O4273,ModelParameters!$B$6:$B$10,0),MATCH($J4273,ModelParameters!$D$5:$K$5,0)))</f>
        <v>0.03</v>
      </c>
      <c r="R4273" s="71">
        <f>IF(B4273="",0,INDEX(ModelParameters!$D$13:$K$17,MATCH($O4273,ModelParameters!$B$13:$B$17,0),MATCH($J4273,ModelParameters!$D$5:$K$5,0)))</f>
        <v>0</v>
      </c>
      <c r="S4273" s="160">
        <f>IF(B4273="",0,MIN(IF($N4273="Other Bond TM",ModelParameters!$N$21,1)*(P4273*Q4273+R4273),1))</f>
        <v>0.14384475345007836</v>
      </c>
      <c r="T4273" s="85">
        <f>IF(B4273="",0,$S4273*$K4273)</f>
        <v>122.27390744415356</v>
      </c>
      <c r="U4273" s="85">
        <f>IF(B4273="",0,IF(OR(H4273=MappingTables!$C$34,H4273=MappingTables!$C$35),T4273,0))</f>
        <v>0</v>
      </c>
      <c r="V4273" s="85">
        <f>IF(ISNA(IF(AND(VLOOKUP(CONCATENATE($D4273,$G4273),CSRFinput!$B:$E,4,0)=0,OR(H4273=MappingTables!$C$34,H4273=MappingTables!$C$35)),1,VLOOKUP(CONCATENATE($D4273,$G4273),CSRFinput!$B:$E,4,0))),0,IF(AND(VLOOKUP(CONCATENATE($D4273,$G4273),CSRFinput!$B:$E,4,0)=0,OR(H4273=MappingTables!$C$34,H4273=MappingTables!$C$35)),1,VLOOKUP(CONCATENATE($D4273,$G4273),CSRFinput!$B:$E,4,0)))</f>
        <v>0.054776304963434752</v>
      </c>
      <c r="W4273" s="85">
        <f>IF(B4273="",0,+$T4273*$V4273)</f>
        <v>6.6977128432317496</v>
      </c>
      <c r="X4273" s="85">
        <f>IF(B4273="",0,IF(OR(H4273=MappingTables!$C$34,H4273=MappingTables!$C$35),W4273,0))</f>
        <v>0</v>
      </c>
    </row>
    <row r="4274" spans="2:24" s="0" customFormat="0" ht="15">
      <c r="B4274" s="69">
        <v>22281224</v>
      </c>
      <c r="C4274" s="70" t="s">
        <v>1221</v>
      </c>
      <c r="D4274" s="70" t="s">
        <v>1</v>
      </c>
      <c r="E4274" s="70" t="s">
        <v>1</v>
      </c>
      <c r="F4274" s="70"/>
      <c r="G4274" s="70" t="s">
        <v>61</v>
      </c>
      <c r="H4274" s="70" t="s">
        <v>178</v>
      </c>
      <c r="I4274" s="70" t="s">
        <v>188</v>
      </c>
      <c r="J4274" s="71">
        <f>IF(OR(I4274=0,I4274=""),"unrated",VLOOKUP(I4274,MappingTables!$B$19:$C$31,2,FALSE))</f>
        <v>2</v>
      </c>
      <c r="K4274" s="72">
        <v>1686.5105077970832</v>
      </c>
      <c r="L4274" s="70">
        <v>2.0582616291874868</v>
      </c>
      <c r="M4274" s="71">
        <f>IF(L4274&lt;1,1,L4274)</f>
        <v>2.0582616291874868</v>
      </c>
      <c r="N4274" s="70" t="s">
        <v>141</v>
      </c>
      <c r="O4274" s="71">
        <f>INDEX(DurClassMapping,MATCH(M4274,MappingTables!$D$4:$D$8,-1),1)</f>
        <v>1</v>
      </c>
      <c r="P4274" s="73">
        <f>IF(M4274=$A$1,1,$M4274-INDEX(MappingTables!$E$4:$E$8,MATCH(O4274,MappingTables!$B$4:$B$8,0)))</f>
        <v>2.0582616291874868</v>
      </c>
      <c r="Q4274" s="71">
        <f>IF(B4274="",0,INDEX(ModelParameters!$D$6:$K$10,MATCH($O4274,ModelParameters!$B$6:$B$10,0),MATCH($J4274,ModelParameters!$D$5:$K$5,0)))</f>
        <v>0.013999999999999998</v>
      </c>
      <c r="R4274" s="71">
        <f>IF(B4274="",0,INDEX(ModelParameters!$D$13:$K$17,MATCH($O4274,ModelParameters!$B$13:$B$17,0),MATCH($J4274,ModelParameters!$D$5:$K$5,0)))</f>
        <v>0</v>
      </c>
      <c r="S4274" s="160">
        <f>IF(B4274="",0,MIN(IF($N4274="Other Bond TM",ModelParameters!$N$21,1)*(P4274*Q4274+R4274),1))</f>
        <v>0.028815662808624816</v>
      </c>
      <c r="T4274" s="85">
        <f>IF(B4274="",0,$S4274*$K4274)</f>
        <v>48.59791811588336</v>
      </c>
      <c r="U4274" s="85">
        <f>IF(B4274="",0,IF(OR(H4274=MappingTables!$C$34,H4274=MappingTables!$C$35),T4274,0))</f>
        <v>0</v>
      </c>
      <c r="V4274" s="85">
        <f>IF(ISNA(IF(AND(VLOOKUP(CONCATENATE($D4274,$G4274),CSRFinput!$B:$E,4,0)=0,OR(H4274=MappingTables!$C$34,H4274=MappingTables!$C$35)),1,VLOOKUP(CONCATENATE($D4274,$G4274),CSRFinput!$B:$E,4,0))),0,IF(AND(VLOOKUP(CONCATENATE($D4274,$G4274),CSRFinput!$B:$E,4,0)=0,OR(H4274=MappingTables!$C$34,H4274=MappingTables!$C$35)),1,VLOOKUP(CONCATENATE($D4274,$G4274),CSRFinput!$B:$E,4,0)))</f>
        <v>0.054776304963434752</v>
      </c>
      <c r="W4274" s="85">
        <f>IF(B4274="",0,+$T4274*$V4274)</f>
        <v>2.6620143833036572</v>
      </c>
      <c r="X4274" s="85">
        <f>IF(B4274="",0,IF(OR(H4274=MappingTables!$C$34,H4274=MappingTables!$C$35),W4274,0))</f>
        <v>0</v>
      </c>
    </row>
    <row r="4275" spans="2:24" s="0" customFormat="0" ht="15">
      <c r="B4275" s="69" t="s">
        <v>2845</v>
      </c>
      <c r="C4275" s="70" t="s">
        <v>2846</v>
      </c>
      <c r="D4275" s="70" t="s">
        <v>1</v>
      </c>
      <c r="E4275" s="70" t="s">
        <v>1</v>
      </c>
      <c r="F4275" s="70"/>
      <c r="G4275" s="70" t="s">
        <v>61</v>
      </c>
      <c r="H4275" s="70" t="s">
        <v>178</v>
      </c>
      <c r="I4275" s="70" t="s">
        <v>181</v>
      </c>
      <c r="J4275" s="71">
        <f>IF(OR(I4275=0,I4275=""),"unrated",VLOOKUP(I4275,MappingTables!$B$19:$C$31,2,FALSE))</f>
        <v>3</v>
      </c>
      <c r="K4275" s="72">
        <v>308.2292091553856</v>
      </c>
      <c r="L4275" s="70">
        <v>5.5782289116665824</v>
      </c>
      <c r="M4275" s="71">
        <f>IF(L4275&lt;1,1,L4275)</f>
        <v>5.5782289116665824</v>
      </c>
      <c r="N4275" s="70" t="s">
        <v>141</v>
      </c>
      <c r="O4275" s="71">
        <f>INDEX(DurClassMapping,MATCH(M4275,MappingTables!$D$4:$D$8,-1),1)</f>
        <v>2</v>
      </c>
      <c r="P4275" s="73">
        <f>IF(M4275=$A$1,1,$M4275-INDEX(MappingTables!$E$4:$E$8,MATCH(O4275,MappingTables!$B$4:$B$8,0)))</f>
        <v>0.5782289116665824</v>
      </c>
      <c r="Q4275" s="71">
        <f>IF(B4275="",0,INDEX(ModelParameters!$D$6:$K$10,MATCH($O4275,ModelParameters!$B$6:$B$10,0),MATCH($J4275,ModelParameters!$D$5:$K$5,0)))</f>
        <v>0.015</v>
      </c>
      <c r="R4275" s="71">
        <f>IF(B4275="",0,INDEX(ModelParameters!$D$13:$K$17,MATCH($O4275,ModelParameters!$B$13:$B$17,0),MATCH($J4275,ModelParameters!$D$5:$K$5,0)))</f>
        <v>0.125</v>
      </c>
      <c r="S4275" s="160">
        <f>IF(B4275="",0,MIN(IF($N4275="Other Bond TM",ModelParameters!$N$21,1)*(P4275*Q4275+R4275),1))</f>
        <v>0.13367343367499874</v>
      </c>
      <c r="T4275" s="85">
        <f>IF(B4275="",0,$S4275*$K4275)</f>
        <v>41.202056746729752</v>
      </c>
      <c r="U4275" s="85">
        <f>IF(B4275="",0,IF(OR(H4275=MappingTables!$C$34,H4275=MappingTables!$C$35),T4275,0))</f>
        <v>0</v>
      </c>
      <c r="V4275" s="85">
        <f>IF(ISNA(IF(AND(VLOOKUP(CONCATENATE($D4275,$G4275),CSRFinput!$B:$E,4,0)=0,OR(H4275=MappingTables!$C$34,H4275=MappingTables!$C$35)),1,VLOOKUP(CONCATENATE($D4275,$G4275),CSRFinput!$B:$E,4,0))),0,IF(AND(VLOOKUP(CONCATENATE($D4275,$G4275),CSRFinput!$B:$E,4,0)=0,OR(H4275=MappingTables!$C$34,H4275=MappingTables!$C$35)),1,VLOOKUP(CONCATENATE($D4275,$G4275),CSRFinput!$B:$E,4,0)))</f>
        <v>0.054776304963434752</v>
      </c>
      <c r="W4275" s="85">
        <f>IF(B4275="",0,+$T4275*$V4275)</f>
        <v>2.2568964254796132</v>
      </c>
      <c r="X4275" s="85">
        <f>IF(B4275="",0,IF(OR(H4275=MappingTables!$C$34,H4275=MappingTables!$C$35),W4275,0))</f>
        <v>0</v>
      </c>
    </row>
    <row r="4276" spans="2:24" s="0" customFormat="0" ht="15">
      <c r="B4276" s="69" t="s">
        <v>2562</v>
      </c>
      <c r="C4276" s="70" t="s">
        <v>2563</v>
      </c>
      <c r="D4276" s="70" t="s">
        <v>1</v>
      </c>
      <c r="E4276" s="70" t="s">
        <v>1</v>
      </c>
      <c r="F4276" s="70"/>
      <c r="G4276" s="70" t="s">
        <v>61</v>
      </c>
      <c r="H4276" s="70" t="s">
        <v>178</v>
      </c>
      <c r="I4276" s="70" t="s">
        <v>188</v>
      </c>
      <c r="J4276" s="71">
        <f>IF(OR(I4276=0,I4276=""),"unrated",VLOOKUP(I4276,MappingTables!$B$19:$C$31,2,FALSE))</f>
        <v>2</v>
      </c>
      <c r="K4276" s="72">
        <v>140.50735812175114</v>
      </c>
      <c r="L4276" s="70">
        <v>0.94027531856386112</v>
      </c>
      <c r="M4276" s="71">
        <f>IF(L4276&lt;1,1,L4276)</f>
        <v>1</v>
      </c>
      <c r="N4276" s="70" t="s">
        <v>141</v>
      </c>
      <c r="O4276" s="71">
        <f>INDEX(DurClassMapping,MATCH(M4276,MappingTables!$D$4:$D$8,-1),1)</f>
        <v>1</v>
      </c>
      <c r="P4276" s="73">
        <f>IF(M4276=$A$1,1,$M4276-INDEX(MappingTables!$E$4:$E$8,MATCH(O4276,MappingTables!$B$4:$B$8,0)))</f>
        <v>1</v>
      </c>
      <c r="Q4276" s="71">
        <f>IF(B4276="",0,INDEX(ModelParameters!$D$6:$K$10,MATCH($O4276,ModelParameters!$B$6:$B$10,0),MATCH($J4276,ModelParameters!$D$5:$K$5,0)))</f>
        <v>0.013999999999999998</v>
      </c>
      <c r="R4276" s="71">
        <f>IF(B4276="",0,INDEX(ModelParameters!$D$13:$K$17,MATCH($O4276,ModelParameters!$B$13:$B$17,0),MATCH($J4276,ModelParameters!$D$5:$K$5,0)))</f>
        <v>0</v>
      </c>
      <c r="S4276" s="160">
        <f>IF(B4276="",0,MIN(IF($N4276="Other Bond TM",ModelParameters!$N$21,1)*(P4276*Q4276+R4276),1))</f>
        <v>0.013999999999999998</v>
      </c>
      <c r="T4276" s="85">
        <f>IF(B4276="",0,$S4276*$K4276)</f>
        <v>1.9671030137045156</v>
      </c>
      <c r="U4276" s="85">
        <f>IF(B4276="",0,IF(OR(H4276=MappingTables!$C$34,H4276=MappingTables!$C$35),T4276,0))</f>
        <v>0</v>
      </c>
      <c r="V4276" s="85">
        <f>IF(ISNA(IF(AND(VLOOKUP(CONCATENATE($D4276,$G4276),CSRFinput!$B:$E,4,0)=0,OR(H4276=MappingTables!$C$34,H4276=MappingTables!$C$35)),1,VLOOKUP(CONCATENATE($D4276,$G4276),CSRFinput!$B:$E,4,0))),0,IF(AND(VLOOKUP(CONCATENATE($D4276,$G4276),CSRFinput!$B:$E,4,0)=0,OR(H4276=MappingTables!$C$34,H4276=MappingTables!$C$35)),1,VLOOKUP(CONCATENATE($D4276,$G4276),CSRFinput!$B:$E,4,0)))</f>
        <v>0.054776304963434752</v>
      </c>
      <c r="W4276" s="85">
        <f>IF(B4276="",0,+$T4276*$V4276)</f>
        <v>0.10775063457317014</v>
      </c>
      <c r="X4276" s="85">
        <f>IF(B4276="",0,IF(OR(H4276=MappingTables!$C$34,H4276=MappingTables!$C$35),W4276,0))</f>
        <v>0</v>
      </c>
    </row>
    <row r="4277" spans="2:24" s="0" customFormat="0" ht="15">
      <c r="B4277" s="69" t="s">
        <v>537</v>
      </c>
      <c r="C4277" s="70" t="s">
        <v>538</v>
      </c>
      <c r="D4277" s="70" t="s">
        <v>1</v>
      </c>
      <c r="E4277" s="70" t="s">
        <v>1</v>
      </c>
      <c r="F4277" s="70"/>
      <c r="G4277" s="70" t="s">
        <v>61</v>
      </c>
      <c r="H4277" s="70" t="s">
        <v>178</v>
      </c>
      <c r="I4277" s="70" t="s">
        <v>198</v>
      </c>
      <c r="J4277" s="71" t="str">
        <f>IF(OR(I4277=0,I4277=""),"unrated",VLOOKUP(I4277,MappingTables!$B$19:$C$31,2,FALSE))</f>
        <v>unrated</v>
      </c>
      <c r="K4277" s="72">
        <v>13098.057040447446</v>
      </c>
      <c r="L4277" s="70">
        <v>3.9950742234619776</v>
      </c>
      <c r="M4277" s="71">
        <f>IF(L4277&lt;1,1,L4277)</f>
        <v>3.9950742234619776</v>
      </c>
      <c r="N4277" s="70" t="s">
        <v>141</v>
      </c>
      <c r="O4277" s="71">
        <f>INDEX(DurClassMapping,MATCH(M4277,MappingTables!$D$4:$D$8,-1),1)</f>
        <v>1</v>
      </c>
      <c r="P4277" s="73">
        <f>IF(M4277=$A$1,1,$M4277-INDEX(MappingTables!$E$4:$E$8,MATCH(O4277,MappingTables!$B$4:$B$8,0)))</f>
        <v>3.9950742234619776</v>
      </c>
      <c r="Q4277" s="71">
        <f>IF(B4277="",0,INDEX(ModelParameters!$D$6:$K$10,MATCH($O4277,ModelParameters!$B$6:$B$10,0),MATCH($J4277,ModelParameters!$D$5:$K$5,0)))</f>
        <v>0.03</v>
      </c>
      <c r="R4277" s="71">
        <f>IF(B4277="",0,INDEX(ModelParameters!$D$13:$K$17,MATCH($O4277,ModelParameters!$B$13:$B$17,0),MATCH($J4277,ModelParameters!$D$5:$K$5,0)))</f>
        <v>0</v>
      </c>
      <c r="S4277" s="160">
        <f>IF(B4277="",0,MIN(IF($N4277="Other Bond TM",ModelParameters!$N$21,1)*(P4277*Q4277+R4277),1))</f>
        <v>0.11985222670385932</v>
      </c>
      <c r="T4277" s="85">
        <f>IF(B4277="",0,$S4277*$K4277)</f>
        <v>1569.831301791788</v>
      </c>
      <c r="U4277" s="85">
        <f>IF(B4277="",0,IF(OR(H4277=MappingTables!$C$34,H4277=MappingTables!$C$35),T4277,0))</f>
        <v>0</v>
      </c>
      <c r="V4277" s="85">
        <f>IF(ISNA(IF(AND(VLOOKUP(CONCATENATE($D4277,$G4277),CSRFinput!$B:$E,4,0)=0,OR(H4277=MappingTables!$C$34,H4277=MappingTables!$C$35)),1,VLOOKUP(CONCATENATE($D4277,$G4277),CSRFinput!$B:$E,4,0))),0,IF(AND(VLOOKUP(CONCATENATE($D4277,$G4277),CSRFinput!$B:$E,4,0)=0,OR(H4277=MappingTables!$C$34,H4277=MappingTables!$C$35)),1,VLOOKUP(CONCATENATE($D4277,$G4277),CSRFinput!$B:$E,4,0)))</f>
        <v>0.054776304963434752</v>
      </c>
      <c r="W4277" s="85">
        <f>IF(B4277="",0,+$T4277*$V4277)</f>
        <v>85.989558128092768</v>
      </c>
      <c r="X4277" s="85">
        <f>IF(B4277="",0,IF(OR(H4277=MappingTables!$C$34,H4277=MappingTables!$C$35),W4277,0))</f>
        <v>0</v>
      </c>
    </row>
    <row r="4278" spans="2:24" s="0" customFormat="0" ht="15">
      <c r="B4278" s="69">
        <v>17356653</v>
      </c>
      <c r="C4278" s="70" t="s">
        <v>719</v>
      </c>
      <c r="D4278" s="70" t="s">
        <v>1</v>
      </c>
      <c r="E4278" s="70" t="s">
        <v>1</v>
      </c>
      <c r="F4278" s="70"/>
      <c r="G4278" s="70" t="s">
        <v>61</v>
      </c>
      <c r="H4278" s="70" t="s">
        <v>178</v>
      </c>
      <c r="I4278" s="70" t="s">
        <v>188</v>
      </c>
      <c r="J4278" s="71">
        <f>IF(OR(I4278=0,I4278=""),"unrated",VLOOKUP(I4278,MappingTables!$B$19:$C$31,2,FALSE))</f>
        <v>2</v>
      </c>
      <c r="K4278" s="72">
        <v>819.55641537103536</v>
      </c>
      <c r="L4278" s="70">
        <v>2.3747537345226884</v>
      </c>
      <c r="M4278" s="71">
        <f>IF(L4278&lt;1,1,L4278)</f>
        <v>2.3747537345226884</v>
      </c>
      <c r="N4278" s="70" t="s">
        <v>141</v>
      </c>
      <c r="O4278" s="71">
        <f>INDEX(DurClassMapping,MATCH(M4278,MappingTables!$D$4:$D$8,-1),1)</f>
        <v>1</v>
      </c>
      <c r="P4278" s="73">
        <f>IF(M4278=$A$1,1,$M4278-INDEX(MappingTables!$E$4:$E$8,MATCH(O4278,MappingTables!$B$4:$B$8,0)))</f>
        <v>2.3747537345226884</v>
      </c>
      <c r="Q4278" s="71">
        <f>IF(B4278="",0,INDEX(ModelParameters!$D$6:$K$10,MATCH($O4278,ModelParameters!$B$6:$B$10,0),MATCH($J4278,ModelParameters!$D$5:$K$5,0)))</f>
        <v>0.013999999999999998</v>
      </c>
      <c r="R4278" s="71">
        <f>IF(B4278="",0,INDEX(ModelParameters!$D$13:$K$17,MATCH($O4278,ModelParameters!$B$13:$B$17,0),MATCH($J4278,ModelParameters!$D$5:$K$5,0)))</f>
        <v>0</v>
      </c>
      <c r="S4278" s="160">
        <f>IF(B4278="",0,MIN(IF($N4278="Other Bond TM",ModelParameters!$N$21,1)*(P4278*Q4278+R4278),1))</f>
        <v>0.03324655228331764</v>
      </c>
      <c r="T4278" s="85">
        <f>IF(B4278="",0,$S4278*$K4278)</f>
        <v>27.247425212761516</v>
      </c>
      <c r="U4278" s="85">
        <f>IF(B4278="",0,IF(OR(H4278=MappingTables!$C$34,H4278=MappingTables!$C$35),T4278,0))</f>
        <v>0</v>
      </c>
      <c r="V4278" s="85">
        <f>IF(ISNA(IF(AND(VLOOKUP(CONCATENATE($D4278,$G4278),CSRFinput!$B:$E,4,0)=0,OR(H4278=MappingTables!$C$34,H4278=MappingTables!$C$35)),1,VLOOKUP(CONCATENATE($D4278,$G4278),CSRFinput!$B:$E,4,0))),0,IF(AND(VLOOKUP(CONCATENATE($D4278,$G4278),CSRFinput!$B:$E,4,0)=0,OR(H4278=MappingTables!$C$34,H4278=MappingTables!$C$35)),1,VLOOKUP(CONCATENATE($D4278,$G4278),CSRFinput!$B:$E,4,0)))</f>
        <v>0.054776304963434752</v>
      </c>
      <c r="W4278" s="85">
        <f>IF(B4278="",0,+$T4278*$V4278)</f>
        <v>1.4925132729226058</v>
      </c>
      <c r="X4278" s="85">
        <f>IF(B4278="",0,IF(OR(H4278=MappingTables!$C$34,H4278=MappingTables!$C$35),W4278,0))</f>
        <v>0</v>
      </c>
    </row>
    <row r="4279" spans="2:24" s="0" customFormat="0" ht="15">
      <c r="B4279" s="69">
        <v>13128752</v>
      </c>
      <c r="C4279" s="70" t="s">
        <v>2408</v>
      </c>
      <c r="D4279" s="70" t="s">
        <v>1</v>
      </c>
      <c r="E4279" s="70" t="s">
        <v>1</v>
      </c>
      <c r="F4279" s="70"/>
      <c r="G4279" s="70" t="s">
        <v>61</v>
      </c>
      <c r="H4279" s="70" t="s">
        <v>178</v>
      </c>
      <c r="I4279" s="70" t="s">
        <v>181</v>
      </c>
      <c r="J4279" s="71">
        <f>IF(OR(I4279=0,I4279=""),"unrated",VLOOKUP(I4279,MappingTables!$B$19:$C$31,2,FALSE))</f>
        <v>3</v>
      </c>
      <c r="K4279" s="72">
        <v>311.09913194451816</v>
      </c>
      <c r="L4279" s="70">
        <v>0.96472475648082736</v>
      </c>
      <c r="M4279" s="71">
        <f>IF(L4279&lt;1,1,L4279)</f>
        <v>1</v>
      </c>
      <c r="N4279" s="70" t="s">
        <v>141</v>
      </c>
      <c r="O4279" s="71">
        <f>INDEX(DurClassMapping,MATCH(M4279,MappingTables!$D$4:$D$8,-1),1)</f>
        <v>1</v>
      </c>
      <c r="P4279" s="73">
        <f>IF(M4279=$A$1,1,$M4279-INDEX(MappingTables!$E$4:$E$8,MATCH(O4279,MappingTables!$B$4:$B$8,0)))</f>
        <v>1</v>
      </c>
      <c r="Q4279" s="71">
        <f>IF(B4279="",0,INDEX(ModelParameters!$D$6:$K$10,MATCH($O4279,ModelParameters!$B$6:$B$10,0),MATCH($J4279,ModelParameters!$D$5:$K$5,0)))</f>
        <v>0.025</v>
      </c>
      <c r="R4279" s="71">
        <f>IF(B4279="",0,INDEX(ModelParameters!$D$13:$K$17,MATCH($O4279,ModelParameters!$B$13:$B$17,0),MATCH($J4279,ModelParameters!$D$5:$K$5,0)))</f>
        <v>0</v>
      </c>
      <c r="S4279" s="160">
        <f>IF(B4279="",0,MIN(IF($N4279="Other Bond TM",ModelParameters!$N$21,1)*(P4279*Q4279+R4279),1))</f>
        <v>0.025</v>
      </c>
      <c r="T4279" s="85">
        <f>IF(B4279="",0,$S4279*$K4279)</f>
        <v>7.7774782986129536</v>
      </c>
      <c r="U4279" s="85">
        <f>IF(B4279="",0,IF(OR(H4279=MappingTables!$C$34,H4279=MappingTables!$C$35),T4279,0))</f>
        <v>0</v>
      </c>
      <c r="V4279" s="85">
        <f>IF(ISNA(IF(AND(VLOOKUP(CONCATENATE($D4279,$G4279),CSRFinput!$B:$E,4,0)=0,OR(H4279=MappingTables!$C$34,H4279=MappingTables!$C$35)),1,VLOOKUP(CONCATENATE($D4279,$G4279),CSRFinput!$B:$E,4,0))),0,IF(AND(VLOOKUP(CONCATENATE($D4279,$G4279),CSRFinput!$B:$E,4,0)=0,OR(H4279=MappingTables!$C$34,H4279=MappingTables!$C$35)),1,VLOOKUP(CONCATENATE($D4279,$G4279),CSRFinput!$B:$E,4,0)))</f>
        <v>0.054776304963434752</v>
      </c>
      <c r="W4279" s="85">
        <f>IF(B4279="",0,+$T4279*$V4279)</f>
        <v>0.42602152313131888</v>
      </c>
      <c r="X4279" s="85">
        <f>IF(B4279="",0,IF(OR(H4279=MappingTables!$C$34,H4279=MappingTables!$C$35),W4279,0))</f>
        <v>0</v>
      </c>
    </row>
    <row r="4280" spans="2:24" s="0" customFormat="0" ht="15">
      <c r="B4280" s="69">
        <v>11393825</v>
      </c>
      <c r="C4280" s="70" t="s">
        <v>2387</v>
      </c>
      <c r="D4280" s="70" t="s">
        <v>1</v>
      </c>
      <c r="E4280" s="70" t="s">
        <v>1</v>
      </c>
      <c r="F4280" s="70"/>
      <c r="G4280" s="70" t="s">
        <v>61</v>
      </c>
      <c r="H4280" s="70" t="s">
        <v>178</v>
      </c>
      <c r="I4280" s="70" t="s">
        <v>188</v>
      </c>
      <c r="J4280" s="71">
        <f>IF(OR(I4280=0,I4280=""),"unrated",VLOOKUP(I4280,MappingTables!$B$19:$C$31,2,FALSE))</f>
        <v>2</v>
      </c>
      <c r="K4280" s="72">
        <v>9010.5336115662432</v>
      </c>
      <c r="L4280" s="70">
        <v>1.0565572572806728</v>
      </c>
      <c r="M4280" s="71">
        <f>IF(L4280&lt;1,1,L4280)</f>
        <v>1.0565572572806728</v>
      </c>
      <c r="N4280" s="70" t="s">
        <v>141</v>
      </c>
      <c r="O4280" s="71">
        <f>INDEX(DurClassMapping,MATCH(M4280,MappingTables!$D$4:$D$8,-1),1)</f>
        <v>1</v>
      </c>
      <c r="P4280" s="73">
        <f>IF(M4280=$A$1,1,$M4280-INDEX(MappingTables!$E$4:$E$8,MATCH(O4280,MappingTables!$B$4:$B$8,0)))</f>
        <v>1.0565572572806728</v>
      </c>
      <c r="Q4280" s="71">
        <f>IF(B4280="",0,INDEX(ModelParameters!$D$6:$K$10,MATCH($O4280,ModelParameters!$B$6:$B$10,0),MATCH($J4280,ModelParameters!$D$5:$K$5,0)))</f>
        <v>0.013999999999999998</v>
      </c>
      <c r="R4280" s="71">
        <f>IF(B4280="",0,INDEX(ModelParameters!$D$13:$K$17,MATCH($O4280,ModelParameters!$B$13:$B$17,0),MATCH($J4280,ModelParameters!$D$5:$K$5,0)))</f>
        <v>0</v>
      </c>
      <c r="S4280" s="160">
        <f>IF(B4280="",0,MIN(IF($N4280="Other Bond TM",ModelParameters!$N$21,1)*(P4280*Q4280+R4280),1))</f>
        <v>0.014791801601929416</v>
      </c>
      <c r="T4280" s="85">
        <f>IF(B4280="",0,$S4280*$K4280)</f>
        <v>133.28202550980442</v>
      </c>
      <c r="U4280" s="85">
        <f>IF(B4280="",0,IF(OR(H4280=MappingTables!$C$34,H4280=MappingTables!$C$35),T4280,0))</f>
        <v>0</v>
      </c>
      <c r="V4280" s="85">
        <f>IF(ISNA(IF(AND(VLOOKUP(CONCATENATE($D4280,$G4280),CSRFinput!$B:$E,4,0)=0,OR(H4280=MappingTables!$C$34,H4280=MappingTables!$C$35)),1,VLOOKUP(CONCATENATE($D4280,$G4280),CSRFinput!$B:$E,4,0))),0,IF(AND(VLOOKUP(CONCATENATE($D4280,$G4280),CSRFinput!$B:$E,4,0)=0,OR(H4280=MappingTables!$C$34,H4280=MappingTables!$C$35)),1,VLOOKUP(CONCATENATE($D4280,$G4280),CSRFinput!$B:$E,4,0)))</f>
        <v>0.054776304963434752</v>
      </c>
      <c r="W4280" s="85">
        <f>IF(B4280="",0,+$T4280*$V4280)</f>
        <v>7.3006968754693376</v>
      </c>
      <c r="X4280" s="85">
        <f>IF(B4280="",0,IF(OR(H4280=MappingTables!$C$34,H4280=MappingTables!$C$35),W4280,0))</f>
        <v>0</v>
      </c>
    </row>
    <row r="4281" spans="2:24" s="0" customFormat="0" ht="15">
      <c r="B4281" s="69">
        <v>24449320</v>
      </c>
      <c r="C4281" s="70" t="s">
        <v>811</v>
      </c>
      <c r="D4281" s="70" t="s">
        <v>1</v>
      </c>
      <c r="E4281" s="70" t="s">
        <v>1</v>
      </c>
      <c r="F4281" s="70"/>
      <c r="G4281" s="70" t="s">
        <v>61</v>
      </c>
      <c r="H4281" s="70" t="s">
        <v>178</v>
      </c>
      <c r="I4281" s="70" t="s">
        <v>188</v>
      </c>
      <c r="J4281" s="71">
        <f>IF(OR(I4281=0,I4281=""),"unrated",VLOOKUP(I4281,MappingTables!$B$19:$C$31,2,FALSE))</f>
        <v>2</v>
      </c>
      <c r="K4281" s="72">
        <v>1140.1264262640036</v>
      </c>
      <c r="L4281" s="70">
        <v>2.7270167941515284</v>
      </c>
      <c r="M4281" s="71">
        <f>IF(L4281&lt;1,1,L4281)</f>
        <v>2.7270167941515284</v>
      </c>
      <c r="N4281" s="70" t="s">
        <v>141</v>
      </c>
      <c r="O4281" s="71">
        <f>INDEX(DurClassMapping,MATCH(M4281,MappingTables!$D$4:$D$8,-1),1)</f>
        <v>1</v>
      </c>
      <c r="P4281" s="73">
        <f>IF(M4281=$A$1,1,$M4281-INDEX(MappingTables!$E$4:$E$8,MATCH(O4281,MappingTables!$B$4:$B$8,0)))</f>
        <v>2.7270167941515284</v>
      </c>
      <c r="Q4281" s="71">
        <f>IF(B4281="",0,INDEX(ModelParameters!$D$6:$K$10,MATCH($O4281,ModelParameters!$B$6:$B$10,0),MATCH($J4281,ModelParameters!$D$5:$K$5,0)))</f>
        <v>0.013999999999999998</v>
      </c>
      <c r="R4281" s="71">
        <f>IF(B4281="",0,INDEX(ModelParameters!$D$13:$K$17,MATCH($O4281,ModelParameters!$B$13:$B$17,0),MATCH($J4281,ModelParameters!$D$5:$K$5,0)))</f>
        <v>0</v>
      </c>
      <c r="S4281" s="160">
        <f>IF(B4281="",0,MIN(IF($N4281="Other Bond TM",ModelParameters!$N$21,1)*(P4281*Q4281+R4281),1))</f>
        <v>0.038178235118121392</v>
      </c>
      <c r="T4281" s="85">
        <f>IF(B4281="",0,$S4281*$K4281)</f>
        <v>43.528014766290624</v>
      </c>
      <c r="U4281" s="85">
        <f>IF(B4281="",0,IF(OR(H4281=MappingTables!$C$34,H4281=MappingTables!$C$35),T4281,0))</f>
        <v>0</v>
      </c>
      <c r="V4281" s="85">
        <f>IF(ISNA(IF(AND(VLOOKUP(CONCATENATE($D4281,$G4281),CSRFinput!$B:$E,4,0)=0,OR(H4281=MappingTables!$C$34,H4281=MappingTables!$C$35)),1,VLOOKUP(CONCATENATE($D4281,$G4281),CSRFinput!$B:$E,4,0))),0,IF(AND(VLOOKUP(CONCATENATE($D4281,$G4281),CSRFinput!$B:$E,4,0)=0,OR(H4281=MappingTables!$C$34,H4281=MappingTables!$C$35)),1,VLOOKUP(CONCATENATE($D4281,$G4281),CSRFinput!$B:$E,4,0)))</f>
        <v>0.054776304963434752</v>
      </c>
      <c r="W4281" s="85">
        <f>IF(B4281="",0,+$T4281*$V4281)</f>
        <v>2.3843038112912264</v>
      </c>
      <c r="X4281" s="85">
        <f>IF(B4281="",0,IF(OR(H4281=MappingTables!$C$34,H4281=MappingTables!$C$35),W4281,0))</f>
        <v>0</v>
      </c>
    </row>
    <row r="4282" spans="2:24" s="0" customFormat="0" ht="15">
      <c r="B4282" s="69" t="s">
        <v>1630</v>
      </c>
      <c r="C4282" s="70" t="s">
        <v>1631</v>
      </c>
      <c r="D4282" s="70" t="s">
        <v>1</v>
      </c>
      <c r="E4282" s="70" t="s">
        <v>1</v>
      </c>
      <c r="F4282" s="70"/>
      <c r="G4282" s="70" t="s">
        <v>61</v>
      </c>
      <c r="H4282" s="70" t="s">
        <v>178</v>
      </c>
      <c r="I4282" s="70" t="s">
        <v>179</v>
      </c>
      <c r="J4282" s="71">
        <f>IF(OR(I4282=0,I4282=""),"unrated",VLOOKUP(I4282,MappingTables!$B$19:$C$31,2,FALSE))</f>
        <v>4</v>
      </c>
      <c r="K4282" s="72">
        <v>14858.042517852066</v>
      </c>
      <c r="L4282" s="70">
        <v>4.4016035605943832</v>
      </c>
      <c r="M4282" s="71">
        <f>IF(L4282&lt;1,1,L4282)</f>
        <v>4.4016035605943832</v>
      </c>
      <c r="N4282" s="70" t="s">
        <v>141</v>
      </c>
      <c r="O4282" s="71">
        <f>INDEX(DurClassMapping,MATCH(M4282,MappingTables!$D$4:$D$8,-1),1)</f>
        <v>1</v>
      </c>
      <c r="P4282" s="73">
        <f>IF(M4282=$A$1,1,$M4282-INDEX(MappingTables!$E$4:$E$8,MATCH(O4282,MappingTables!$B$4:$B$8,0)))</f>
        <v>4.4016035605943832</v>
      </c>
      <c r="Q4282" s="71">
        <f>IF(B4282="",0,INDEX(ModelParameters!$D$6:$K$10,MATCH($O4282,ModelParameters!$B$6:$B$10,0),MATCH($J4282,ModelParameters!$D$5:$K$5,0)))</f>
        <v>0.045</v>
      </c>
      <c r="R4282" s="71">
        <f>IF(B4282="",0,INDEX(ModelParameters!$D$13:$K$17,MATCH($O4282,ModelParameters!$B$13:$B$17,0),MATCH($J4282,ModelParameters!$D$5:$K$5,0)))</f>
        <v>0</v>
      </c>
      <c r="S4282" s="160">
        <f>IF(B4282="",0,MIN(IF($N4282="Other Bond TM",ModelParameters!$N$21,1)*(P4282*Q4282+R4282),1))</f>
        <v>0.19807216022674724</v>
      </c>
      <c r="T4282" s="85">
        <f>IF(B4282="",0,$S4282*$K4282)</f>
        <v>2942.9645782518172</v>
      </c>
      <c r="U4282" s="85">
        <f>IF(B4282="",0,IF(OR(H4282=MappingTables!$C$34,H4282=MappingTables!$C$35),T4282,0))</f>
        <v>0</v>
      </c>
      <c r="V4282" s="85">
        <f>IF(ISNA(IF(AND(VLOOKUP(CONCATENATE($D4282,$G4282),CSRFinput!$B:$E,4,0)=0,OR(H4282=MappingTables!$C$34,H4282=MappingTables!$C$35)),1,VLOOKUP(CONCATENATE($D4282,$G4282),CSRFinput!$B:$E,4,0))),0,IF(AND(VLOOKUP(CONCATENATE($D4282,$G4282),CSRFinput!$B:$E,4,0)=0,OR(H4282=MappingTables!$C$34,H4282=MappingTables!$C$35)),1,VLOOKUP(CONCATENATE($D4282,$G4282),CSRFinput!$B:$E,4,0)))</f>
        <v>0.054776304963434752</v>
      </c>
      <c r="W4282" s="85">
        <f>IF(B4282="",0,+$T4282*$V4282)</f>
        <v>161.2047252349077</v>
      </c>
      <c r="X4282" s="85">
        <f>IF(B4282="",0,IF(OR(H4282=MappingTables!$C$34,H4282=MappingTables!$C$35),W4282,0))</f>
        <v>0</v>
      </c>
    </row>
    <row r="4283" spans="2:24" s="0" customFormat="0" ht="15">
      <c r="B4283" s="69" t="s">
        <v>3006</v>
      </c>
      <c r="C4283" s="70" t="s">
        <v>3007</v>
      </c>
      <c r="D4283" s="70" t="s">
        <v>1</v>
      </c>
      <c r="E4283" s="70" t="s">
        <v>1</v>
      </c>
      <c r="F4283" s="70"/>
      <c r="G4283" s="70" t="s">
        <v>61</v>
      </c>
      <c r="H4283" s="70" t="s">
        <v>178</v>
      </c>
      <c r="I4283" s="70" t="s">
        <v>181</v>
      </c>
      <c r="J4283" s="71">
        <f>IF(OR(I4283=0,I4283=""),"unrated",VLOOKUP(I4283,MappingTables!$B$19:$C$31,2,FALSE))</f>
        <v>3</v>
      </c>
      <c r="K4283" s="72">
        <v>239.73149681099096</v>
      </c>
      <c r="L4283" s="70">
        <v>1.6898293151265716</v>
      </c>
      <c r="M4283" s="71">
        <f>IF(L4283&lt;1,1,L4283)</f>
        <v>1.6898293151265716</v>
      </c>
      <c r="N4283" s="70" t="s">
        <v>141</v>
      </c>
      <c r="O4283" s="71">
        <f>INDEX(DurClassMapping,MATCH(M4283,MappingTables!$D$4:$D$8,-1),1)</f>
        <v>1</v>
      </c>
      <c r="P4283" s="73">
        <f>IF(M4283=$A$1,1,$M4283-INDEX(MappingTables!$E$4:$E$8,MATCH(O4283,MappingTables!$B$4:$B$8,0)))</f>
        <v>1.6898293151265716</v>
      </c>
      <c r="Q4283" s="71">
        <f>IF(B4283="",0,INDEX(ModelParameters!$D$6:$K$10,MATCH($O4283,ModelParameters!$B$6:$B$10,0),MATCH($J4283,ModelParameters!$D$5:$K$5,0)))</f>
        <v>0.025</v>
      </c>
      <c r="R4283" s="71">
        <f>IF(B4283="",0,INDEX(ModelParameters!$D$13:$K$17,MATCH($O4283,ModelParameters!$B$13:$B$17,0),MATCH($J4283,ModelParameters!$D$5:$K$5,0)))</f>
        <v>0</v>
      </c>
      <c r="S4283" s="160">
        <f>IF(B4283="",0,MIN(IF($N4283="Other Bond TM",ModelParameters!$N$21,1)*(P4283*Q4283+R4283),1))</f>
        <v>0.042245732878164296</v>
      </c>
      <c r="T4283" s="85">
        <f>IF(B4283="",0,$S4283*$K4283)</f>
        <v>10.127632776759618</v>
      </c>
      <c r="U4283" s="85">
        <f>IF(B4283="",0,IF(OR(H4283=MappingTables!$C$34,H4283=MappingTables!$C$35),T4283,0))</f>
        <v>0</v>
      </c>
      <c r="V4283" s="85">
        <f>IF(ISNA(IF(AND(VLOOKUP(CONCATENATE($D4283,$G4283),CSRFinput!$B:$E,4,0)=0,OR(H4283=MappingTables!$C$34,H4283=MappingTables!$C$35)),1,VLOOKUP(CONCATENATE($D4283,$G4283),CSRFinput!$B:$E,4,0))),0,IF(AND(VLOOKUP(CONCATENATE($D4283,$G4283),CSRFinput!$B:$E,4,0)=0,OR(H4283=MappingTables!$C$34,H4283=MappingTables!$C$35)),1,VLOOKUP(CONCATENATE($D4283,$G4283),CSRFinput!$B:$E,4,0)))</f>
        <v>0.054776304963434752</v>
      </c>
      <c r="W4283" s="85">
        <f>IF(B4283="",0,+$T4283*$V4283)</f>
        <v>0.5547543015374624</v>
      </c>
      <c r="X4283" s="85">
        <f>IF(B4283="",0,IF(OR(H4283=MappingTables!$C$34,H4283=MappingTables!$C$35),W4283,0))</f>
        <v>0</v>
      </c>
    </row>
    <row r="4284" spans="2:24" s="0" customFormat="0" ht="15">
      <c r="B4284" s="69">
        <v>17860440</v>
      </c>
      <c r="C4284" s="70" t="s">
        <v>2960</v>
      </c>
      <c r="D4284" s="70" t="s">
        <v>1</v>
      </c>
      <c r="E4284" s="70" t="s">
        <v>1</v>
      </c>
      <c r="F4284" s="70"/>
      <c r="G4284" s="70" t="s">
        <v>61</v>
      </c>
      <c r="H4284" s="70" t="s">
        <v>178</v>
      </c>
      <c r="I4284" s="70" t="s">
        <v>181</v>
      </c>
      <c r="J4284" s="71">
        <f>IF(OR(I4284=0,I4284=""),"unrated",VLOOKUP(I4284,MappingTables!$B$19:$C$31,2,FALSE))</f>
        <v>3</v>
      </c>
      <c r="K4284" s="72">
        <v>2925.921543444258</v>
      </c>
      <c r="L4284" s="70">
        <v>13.815403849732646</v>
      </c>
      <c r="M4284" s="71">
        <f>IF(L4284&lt;1,1,L4284)</f>
        <v>13.815403849732646</v>
      </c>
      <c r="N4284" s="70" t="s">
        <v>141</v>
      </c>
      <c r="O4284" s="71">
        <f>INDEX(DurClassMapping,MATCH(M4284,MappingTables!$D$4:$D$8,-1),1)</f>
        <v>3</v>
      </c>
      <c r="P4284" s="73">
        <f>IF(M4284=$A$1,1,$M4284-INDEX(MappingTables!$E$4:$E$8,MATCH(O4284,MappingTables!$B$4:$B$8,0)))</f>
        <v>3.8154038497326464</v>
      </c>
      <c r="Q4284" s="71">
        <f>IF(B4284="",0,INDEX(ModelParameters!$D$6:$K$10,MATCH($O4284,ModelParameters!$B$6:$B$10,0),MATCH($J4284,ModelParameters!$D$5:$K$5,0)))</f>
        <v>0.01</v>
      </c>
      <c r="R4284" s="71">
        <f>IF(B4284="",0,INDEX(ModelParameters!$D$13:$K$17,MATCH($O4284,ModelParameters!$B$13:$B$17,0),MATCH($J4284,ModelParameters!$D$5:$K$5,0)))</f>
        <v>0.2</v>
      </c>
      <c r="S4284" s="160">
        <f>IF(B4284="",0,MIN(IF($N4284="Other Bond TM",ModelParameters!$N$21,1)*(P4284*Q4284+R4284),1))</f>
        <v>0.23815403849732648</v>
      </c>
      <c r="T4284" s="85">
        <f>IF(B4284="",0,$S4284*$K4284)</f>
        <v>696.82003189758072</v>
      </c>
      <c r="U4284" s="85">
        <f>IF(B4284="",0,IF(OR(H4284=MappingTables!$C$34,H4284=MappingTables!$C$35),T4284,0))</f>
        <v>0</v>
      </c>
      <c r="V4284" s="85">
        <f>IF(ISNA(IF(AND(VLOOKUP(CONCATENATE($D4284,$G4284),CSRFinput!$B:$E,4,0)=0,OR(H4284=MappingTables!$C$34,H4284=MappingTables!$C$35)),1,VLOOKUP(CONCATENATE($D4284,$G4284),CSRFinput!$B:$E,4,0))),0,IF(AND(VLOOKUP(CONCATENATE($D4284,$G4284),CSRFinput!$B:$E,4,0)=0,OR(H4284=MappingTables!$C$34,H4284=MappingTables!$C$35)),1,VLOOKUP(CONCATENATE($D4284,$G4284),CSRFinput!$B:$E,4,0)))</f>
        <v>0.054776304963434752</v>
      </c>
      <c r="W4284" s="85">
        <f>IF(B4284="",0,+$T4284*$V4284)</f>
        <v>38.169226571852216</v>
      </c>
      <c r="X4284" s="85">
        <f>IF(B4284="",0,IF(OR(H4284=MappingTables!$C$34,H4284=MappingTables!$C$35),W4284,0))</f>
        <v>0</v>
      </c>
    </row>
    <row r="4285" spans="2:24" s="0" customFormat="0" ht="15">
      <c r="B4285" s="69">
        <v>18762284</v>
      </c>
      <c r="C4285" s="70" t="s">
        <v>2497</v>
      </c>
      <c r="D4285" s="70" t="s">
        <v>1</v>
      </c>
      <c r="E4285" s="70" t="s">
        <v>1</v>
      </c>
      <c r="F4285" s="70"/>
      <c r="G4285" s="70" t="s">
        <v>61</v>
      </c>
      <c r="H4285" s="70" t="s">
        <v>178</v>
      </c>
      <c r="I4285" s="70" t="s">
        <v>179</v>
      </c>
      <c r="J4285" s="71">
        <f>IF(OR(I4285=0,I4285=""),"unrated",VLOOKUP(I4285,MappingTables!$B$19:$C$31,2,FALSE))</f>
        <v>4</v>
      </c>
      <c r="K4285" s="72">
        <v>19555.1988869977</v>
      </c>
      <c r="L4285" s="70">
        <v>6.7038218450976072</v>
      </c>
      <c r="M4285" s="71">
        <f>IF(L4285&lt;1,1,L4285)</f>
        <v>6.7038218450976072</v>
      </c>
      <c r="N4285" s="70" t="s">
        <v>141</v>
      </c>
      <c r="O4285" s="71">
        <f>INDEX(DurClassMapping,MATCH(M4285,MappingTables!$D$4:$D$8,-1),1)</f>
        <v>2</v>
      </c>
      <c r="P4285" s="73">
        <f>IF(M4285=$A$1,1,$M4285-INDEX(MappingTables!$E$4:$E$8,MATCH(O4285,MappingTables!$B$4:$B$8,0)))</f>
        <v>1.7038218450976074</v>
      </c>
      <c r="Q4285" s="71">
        <f>IF(B4285="",0,INDEX(ModelParameters!$D$6:$K$10,MATCH($O4285,ModelParameters!$B$6:$B$10,0),MATCH($J4285,ModelParameters!$D$5:$K$5,0)))</f>
        <v>0.025</v>
      </c>
      <c r="R4285" s="71">
        <f>IF(B4285="",0,INDEX(ModelParameters!$D$13:$K$17,MATCH($O4285,ModelParameters!$B$13:$B$17,0),MATCH($J4285,ModelParameters!$D$5:$K$5,0)))</f>
        <v>0.225</v>
      </c>
      <c r="S4285" s="160">
        <f>IF(B4285="",0,MIN(IF($N4285="Other Bond TM",ModelParameters!$N$21,1)*(P4285*Q4285+R4285),1))</f>
        <v>0.2675955461274402</v>
      </c>
      <c r="T4285" s="85">
        <f>IF(B4285="",0,$S4285*$K4285)</f>
        <v>5232.88412579686</v>
      </c>
      <c r="U4285" s="85">
        <f>IF(B4285="",0,IF(OR(H4285=MappingTables!$C$34,H4285=MappingTables!$C$35),T4285,0))</f>
        <v>0</v>
      </c>
      <c r="V4285" s="85">
        <f>IF(ISNA(IF(AND(VLOOKUP(CONCATENATE($D4285,$G4285),CSRFinput!$B:$E,4,0)=0,OR(H4285=MappingTables!$C$34,H4285=MappingTables!$C$35)),1,VLOOKUP(CONCATENATE($D4285,$G4285),CSRFinput!$B:$E,4,0))),0,IF(AND(VLOOKUP(CONCATENATE($D4285,$G4285),CSRFinput!$B:$E,4,0)=0,OR(H4285=MappingTables!$C$34,H4285=MappingTables!$C$35)),1,VLOOKUP(CONCATENATE($D4285,$G4285),CSRFinput!$B:$E,4,0)))</f>
        <v>0.054776304963434752</v>
      </c>
      <c r="W4285" s="85">
        <f>IF(B4285="",0,+$T4285*$V4285)</f>
        <v>286.63805671296548</v>
      </c>
      <c r="X4285" s="85">
        <f>IF(B4285="",0,IF(OR(H4285=MappingTables!$C$34,H4285=MappingTables!$C$35),W4285,0))</f>
        <v>0</v>
      </c>
    </row>
    <row r="4286" spans="2:24" s="0" customFormat="0" ht="15">
      <c r="B4286" s="69">
        <v>14559425</v>
      </c>
      <c r="C4286" s="70" t="s">
        <v>3013</v>
      </c>
      <c r="D4286" s="70" t="s">
        <v>1</v>
      </c>
      <c r="E4286" s="70" t="s">
        <v>1</v>
      </c>
      <c r="F4286" s="70"/>
      <c r="G4286" s="70" t="s">
        <v>61</v>
      </c>
      <c r="H4286" s="70" t="s">
        <v>178</v>
      </c>
      <c r="I4286" s="70" t="s">
        <v>181</v>
      </c>
      <c r="J4286" s="71">
        <f>IF(OR(I4286=0,I4286=""),"unrated",VLOOKUP(I4286,MappingTables!$B$19:$C$31,2,FALSE))</f>
        <v>3</v>
      </c>
      <c r="K4286" s="72">
        <v>29077.217422843584</v>
      </c>
      <c r="L4286" s="70">
        <v>3.1748922532947736</v>
      </c>
      <c r="M4286" s="71">
        <f>IF(L4286&lt;1,1,L4286)</f>
        <v>3.1748922532947736</v>
      </c>
      <c r="N4286" s="70" t="s">
        <v>141</v>
      </c>
      <c r="O4286" s="71">
        <f>INDEX(DurClassMapping,MATCH(M4286,MappingTables!$D$4:$D$8,-1),1)</f>
        <v>1</v>
      </c>
      <c r="P4286" s="73">
        <f>IF(M4286=$A$1,1,$M4286-INDEX(MappingTables!$E$4:$E$8,MATCH(O4286,MappingTables!$B$4:$B$8,0)))</f>
        <v>3.1748922532947736</v>
      </c>
      <c r="Q4286" s="71">
        <f>IF(B4286="",0,INDEX(ModelParameters!$D$6:$K$10,MATCH($O4286,ModelParameters!$B$6:$B$10,0),MATCH($J4286,ModelParameters!$D$5:$K$5,0)))</f>
        <v>0.025</v>
      </c>
      <c r="R4286" s="71">
        <f>IF(B4286="",0,INDEX(ModelParameters!$D$13:$K$17,MATCH($O4286,ModelParameters!$B$13:$B$17,0),MATCH($J4286,ModelParameters!$D$5:$K$5,0)))</f>
        <v>0</v>
      </c>
      <c r="S4286" s="160">
        <f>IF(B4286="",0,MIN(IF($N4286="Other Bond TM",ModelParameters!$N$21,1)*(P4286*Q4286+R4286),1))</f>
        <v>0.079372306332369344</v>
      </c>
      <c r="T4286" s="85">
        <f>IF(B4286="",0,$S4286*$K4286)</f>
        <v>2307.925808578848</v>
      </c>
      <c r="U4286" s="85">
        <f>IF(B4286="",0,IF(OR(H4286=MappingTables!$C$34,H4286=MappingTables!$C$35),T4286,0))</f>
        <v>0</v>
      </c>
      <c r="V4286" s="85">
        <f>IF(ISNA(IF(AND(VLOOKUP(CONCATENATE($D4286,$G4286),CSRFinput!$B:$E,4,0)=0,OR(H4286=MappingTables!$C$34,H4286=MappingTables!$C$35)),1,VLOOKUP(CONCATENATE($D4286,$G4286),CSRFinput!$B:$E,4,0))),0,IF(AND(VLOOKUP(CONCATENATE($D4286,$G4286),CSRFinput!$B:$E,4,0)=0,OR(H4286=MappingTables!$C$34,H4286=MappingTables!$C$35)),1,VLOOKUP(CONCATENATE($D4286,$G4286),CSRFinput!$B:$E,4,0)))</f>
        <v>0.054776304963434752</v>
      </c>
      <c r="W4286" s="85">
        <f>IF(B4286="",0,+$T4286*$V4286)</f>
        <v>126.41964792369672</v>
      </c>
      <c r="X4286" s="85">
        <f>IF(B4286="",0,IF(OR(H4286=MappingTables!$C$34,H4286=MappingTables!$C$35),W4286,0))</f>
        <v>0</v>
      </c>
    </row>
    <row r="4287" spans="2:24" s="0" customFormat="0" ht="15">
      <c r="B4287" s="69">
        <v>18903817</v>
      </c>
      <c r="C4287" s="70" t="s">
        <v>1736</v>
      </c>
      <c r="D4287" s="70" t="s">
        <v>1</v>
      </c>
      <c r="E4287" s="70" t="s">
        <v>1</v>
      </c>
      <c r="F4287" s="70"/>
      <c r="G4287" s="70" t="s">
        <v>61</v>
      </c>
      <c r="H4287" s="70" t="s">
        <v>178</v>
      </c>
      <c r="I4287" s="70" t="s">
        <v>179</v>
      </c>
      <c r="J4287" s="71">
        <f>IF(OR(I4287=0,I4287=""),"unrated",VLOOKUP(I4287,MappingTables!$B$19:$C$31,2,FALSE))</f>
        <v>4</v>
      </c>
      <c r="K4287" s="72">
        <v>12.983413203960624</v>
      </c>
      <c r="L4287" s="70">
        <v>3.0290647318039924</v>
      </c>
      <c r="M4287" s="71">
        <f>IF(L4287&lt;1,1,L4287)</f>
        <v>3.0290647318039924</v>
      </c>
      <c r="N4287" s="70" t="s">
        <v>141</v>
      </c>
      <c r="O4287" s="71">
        <f>INDEX(DurClassMapping,MATCH(M4287,MappingTables!$D$4:$D$8,-1),1)</f>
        <v>1</v>
      </c>
      <c r="P4287" s="73">
        <f>IF(M4287=$A$1,1,$M4287-INDEX(MappingTables!$E$4:$E$8,MATCH(O4287,MappingTables!$B$4:$B$8,0)))</f>
        <v>3.0290647318039924</v>
      </c>
      <c r="Q4287" s="71">
        <f>IF(B4287="",0,INDEX(ModelParameters!$D$6:$K$10,MATCH($O4287,ModelParameters!$B$6:$B$10,0),MATCH($J4287,ModelParameters!$D$5:$K$5,0)))</f>
        <v>0.045</v>
      </c>
      <c r="R4287" s="71">
        <f>IF(B4287="",0,INDEX(ModelParameters!$D$13:$K$17,MATCH($O4287,ModelParameters!$B$13:$B$17,0),MATCH($J4287,ModelParameters!$D$5:$K$5,0)))</f>
        <v>0</v>
      </c>
      <c r="S4287" s="160">
        <f>IF(B4287="",0,MIN(IF($N4287="Other Bond TM",ModelParameters!$N$21,1)*(P4287*Q4287+R4287),1))</f>
        <v>0.13630791293117966</v>
      </c>
      <c r="T4287" s="85">
        <f>IF(B4287="",0,$S4287*$K4287)</f>
        <v>1.7697419565549932</v>
      </c>
      <c r="U4287" s="85">
        <f>IF(B4287="",0,IF(OR(H4287=MappingTables!$C$34,H4287=MappingTables!$C$35),T4287,0))</f>
        <v>0</v>
      </c>
      <c r="V4287" s="85">
        <f>IF(ISNA(IF(AND(VLOOKUP(CONCATENATE($D4287,$G4287),CSRFinput!$B:$E,4,0)=0,OR(H4287=MappingTables!$C$34,H4287=MappingTables!$C$35)),1,VLOOKUP(CONCATENATE($D4287,$G4287),CSRFinput!$B:$E,4,0))),0,IF(AND(VLOOKUP(CONCATENATE($D4287,$G4287),CSRFinput!$B:$E,4,0)=0,OR(H4287=MappingTables!$C$34,H4287=MappingTables!$C$35)),1,VLOOKUP(CONCATENATE($D4287,$G4287),CSRFinput!$B:$E,4,0)))</f>
        <v>0.054776304963434752</v>
      </c>
      <c r="W4287" s="85">
        <f>IF(B4287="",0,+$T4287*$V4287)</f>
        <v>0.096939925118842</v>
      </c>
      <c r="X4287" s="85">
        <f>IF(B4287="",0,IF(OR(H4287=MappingTables!$C$34,H4287=MappingTables!$C$35),W4287,0))</f>
        <v>0</v>
      </c>
    </row>
    <row r="4288" spans="2:24" s="0" customFormat="0" ht="15">
      <c r="B4288" s="69">
        <v>20982109</v>
      </c>
      <c r="C4288" s="70" t="s">
        <v>995</v>
      </c>
      <c r="D4288" s="70" t="s">
        <v>1</v>
      </c>
      <c r="E4288" s="70" t="s">
        <v>1</v>
      </c>
      <c r="F4288" s="70"/>
      <c r="G4288" s="70" t="s">
        <v>61</v>
      </c>
      <c r="H4288" s="70" t="s">
        <v>178</v>
      </c>
      <c r="I4288" s="70" t="s">
        <v>181</v>
      </c>
      <c r="J4288" s="71">
        <f>IF(OR(I4288=0,I4288=""),"unrated",VLOOKUP(I4288,MappingTables!$B$19:$C$31,2,FALSE))</f>
        <v>3</v>
      </c>
      <c r="K4288" s="72">
        <v>2032.5737783890508</v>
      </c>
      <c r="L4288" s="70">
        <v>0.47352646682206432</v>
      </c>
      <c r="M4288" s="71">
        <f>IF(L4288&lt;1,1,L4288)</f>
        <v>1</v>
      </c>
      <c r="N4288" s="70" t="s">
        <v>141</v>
      </c>
      <c r="O4288" s="71">
        <f>INDEX(DurClassMapping,MATCH(M4288,MappingTables!$D$4:$D$8,-1),1)</f>
        <v>1</v>
      </c>
      <c r="P4288" s="73">
        <f>IF(M4288=$A$1,1,$M4288-INDEX(MappingTables!$E$4:$E$8,MATCH(O4288,MappingTables!$B$4:$B$8,0)))</f>
        <v>1</v>
      </c>
      <c r="Q4288" s="71">
        <f>IF(B4288="",0,INDEX(ModelParameters!$D$6:$K$10,MATCH($O4288,ModelParameters!$B$6:$B$10,0),MATCH($J4288,ModelParameters!$D$5:$K$5,0)))</f>
        <v>0.025</v>
      </c>
      <c r="R4288" s="71">
        <f>IF(B4288="",0,INDEX(ModelParameters!$D$13:$K$17,MATCH($O4288,ModelParameters!$B$13:$B$17,0),MATCH($J4288,ModelParameters!$D$5:$K$5,0)))</f>
        <v>0</v>
      </c>
      <c r="S4288" s="160">
        <f>IF(B4288="",0,MIN(IF($N4288="Other Bond TM",ModelParameters!$N$21,1)*(P4288*Q4288+R4288),1))</f>
        <v>0.025</v>
      </c>
      <c r="T4288" s="85">
        <f>IF(B4288="",0,$S4288*$K4288)</f>
        <v>50.814344459726272</v>
      </c>
      <c r="U4288" s="85">
        <f>IF(B4288="",0,IF(OR(H4288=MappingTables!$C$34,H4288=MappingTables!$C$35),T4288,0))</f>
        <v>0</v>
      </c>
      <c r="V4288" s="85">
        <f>IF(ISNA(IF(AND(VLOOKUP(CONCATENATE($D4288,$G4288),CSRFinput!$B:$E,4,0)=0,OR(H4288=MappingTables!$C$34,H4288=MappingTables!$C$35)),1,VLOOKUP(CONCATENATE($D4288,$G4288),CSRFinput!$B:$E,4,0))),0,IF(AND(VLOOKUP(CONCATENATE($D4288,$G4288),CSRFinput!$B:$E,4,0)=0,OR(H4288=MappingTables!$C$34,H4288=MappingTables!$C$35)),1,VLOOKUP(CONCATENATE($D4288,$G4288),CSRFinput!$B:$E,4,0)))</f>
        <v>0.054776304963434752</v>
      </c>
      <c r="W4288" s="85">
        <f>IF(B4288="",0,+$T4288*$V4288)</f>
        <v>2.7834220286429872</v>
      </c>
      <c r="X4288" s="85">
        <f>IF(B4288="",0,IF(OR(H4288=MappingTables!$C$34,H4288=MappingTables!$C$35),W4288,0))</f>
        <v>0</v>
      </c>
    </row>
    <row r="4289" spans="2:24" s="0" customFormat="0" ht="15">
      <c r="B4289" s="69">
        <v>15839016</v>
      </c>
      <c r="C4289" s="70" t="s">
        <v>2905</v>
      </c>
      <c r="D4289" s="70" t="s">
        <v>1</v>
      </c>
      <c r="E4289" s="70" t="s">
        <v>1</v>
      </c>
      <c r="F4289" s="70"/>
      <c r="G4289" s="70" t="s">
        <v>61</v>
      </c>
      <c r="H4289" s="70" t="s">
        <v>178</v>
      </c>
      <c r="I4289" s="70" t="s">
        <v>181</v>
      </c>
      <c r="J4289" s="71">
        <f>IF(OR(I4289=0,I4289=""),"unrated",VLOOKUP(I4289,MappingTables!$B$19:$C$31,2,FALSE))</f>
        <v>3</v>
      </c>
      <c r="K4289" s="72">
        <v>2173.0522380347032</v>
      </c>
      <c r="L4289" s="70">
        <v>2.59704732460504</v>
      </c>
      <c r="M4289" s="71">
        <f>IF(L4289&lt;1,1,L4289)</f>
        <v>2.59704732460504</v>
      </c>
      <c r="N4289" s="70" t="s">
        <v>141</v>
      </c>
      <c r="O4289" s="71">
        <f>INDEX(DurClassMapping,MATCH(M4289,MappingTables!$D$4:$D$8,-1),1)</f>
        <v>1</v>
      </c>
      <c r="P4289" s="73">
        <f>IF(M4289=$A$1,1,$M4289-INDEX(MappingTables!$E$4:$E$8,MATCH(O4289,MappingTables!$B$4:$B$8,0)))</f>
        <v>2.59704732460504</v>
      </c>
      <c r="Q4289" s="71">
        <f>IF(B4289="",0,INDEX(ModelParameters!$D$6:$K$10,MATCH($O4289,ModelParameters!$B$6:$B$10,0),MATCH($J4289,ModelParameters!$D$5:$K$5,0)))</f>
        <v>0.025</v>
      </c>
      <c r="R4289" s="71">
        <f>IF(B4289="",0,INDEX(ModelParameters!$D$13:$K$17,MATCH($O4289,ModelParameters!$B$13:$B$17,0),MATCH($J4289,ModelParameters!$D$5:$K$5,0)))</f>
        <v>0</v>
      </c>
      <c r="S4289" s="160">
        <f>IF(B4289="",0,MIN(IF($N4289="Other Bond TM",ModelParameters!$N$21,1)*(P4289*Q4289+R4289),1))</f>
        <v>0.064926183115126008</v>
      </c>
      <c r="T4289" s="85">
        <f>IF(B4289="",0,$S4289*$K4289)</f>
        <v>141.08798752537552</v>
      </c>
      <c r="U4289" s="85">
        <f>IF(B4289="",0,IF(OR(H4289=MappingTables!$C$34,H4289=MappingTables!$C$35),T4289,0))</f>
        <v>0</v>
      </c>
      <c r="V4289" s="85">
        <f>IF(ISNA(IF(AND(VLOOKUP(CONCATENATE($D4289,$G4289),CSRFinput!$B:$E,4,0)=0,OR(H4289=MappingTables!$C$34,H4289=MappingTables!$C$35)),1,VLOOKUP(CONCATENATE($D4289,$G4289),CSRFinput!$B:$E,4,0))),0,IF(AND(VLOOKUP(CONCATENATE($D4289,$G4289),CSRFinput!$B:$E,4,0)=0,OR(H4289=MappingTables!$C$34,H4289=MappingTables!$C$35)),1,VLOOKUP(CONCATENATE($D4289,$G4289),CSRFinput!$B:$E,4,0)))</f>
        <v>0.054776304963434752</v>
      </c>
      <c r="W4289" s="85">
        <f>IF(B4289="",0,+$T4289*$V4289)</f>
        <v>7.728278631367248</v>
      </c>
      <c r="X4289" s="85">
        <f>IF(B4289="",0,IF(OR(H4289=MappingTables!$C$34,H4289=MappingTables!$C$35),W4289,0))</f>
        <v>0</v>
      </c>
    </row>
    <row r="4290" spans="2:24" s="0" customFormat="0" ht="15">
      <c r="B4290" s="69" t="s">
        <v>1851</v>
      </c>
      <c r="C4290" s="70" t="s">
        <v>1852</v>
      </c>
      <c r="D4290" s="70" t="s">
        <v>1</v>
      </c>
      <c r="E4290" s="70" t="s">
        <v>1</v>
      </c>
      <c r="F4290" s="70"/>
      <c r="G4290" s="70" t="s">
        <v>61</v>
      </c>
      <c r="H4290" s="70" t="s">
        <v>178</v>
      </c>
      <c r="I4290" s="70" t="s">
        <v>220</v>
      </c>
      <c r="J4290" s="71">
        <f>IF(OR(I4290=0,I4290=""),"unrated",VLOOKUP(I4290,MappingTables!$B$19:$C$31,2,FALSE))</f>
        <v>1</v>
      </c>
      <c r="K4290" s="72">
        <v>0.11570539309125976</v>
      </c>
      <c r="L4290" s="70">
        <v>1.45021167648737</v>
      </c>
      <c r="M4290" s="71">
        <f>IF(L4290&lt;1,1,L4290)</f>
        <v>1.45021167648737</v>
      </c>
      <c r="N4290" s="70" t="s">
        <v>141</v>
      </c>
      <c r="O4290" s="71">
        <f>INDEX(DurClassMapping,MATCH(M4290,MappingTables!$D$4:$D$8,-1),1)</f>
        <v>1</v>
      </c>
      <c r="P4290" s="73">
        <f>IF(M4290=$A$1,1,$M4290-INDEX(MappingTables!$E$4:$E$8,MATCH(O4290,MappingTables!$B$4:$B$8,0)))</f>
        <v>1.45021167648737</v>
      </c>
      <c r="Q4290" s="71">
        <f>IF(B4290="",0,INDEX(ModelParameters!$D$6:$K$10,MATCH($O4290,ModelParameters!$B$6:$B$10,0),MATCH($J4290,ModelParameters!$D$5:$K$5,0)))</f>
        <v>0.011000000000000002</v>
      </c>
      <c r="R4290" s="71">
        <f>IF(B4290="",0,INDEX(ModelParameters!$D$13:$K$17,MATCH($O4290,ModelParameters!$B$13:$B$17,0),MATCH($J4290,ModelParameters!$D$5:$K$5,0)))</f>
        <v>0</v>
      </c>
      <c r="S4290" s="160">
        <f>IF(B4290="",0,MIN(IF($N4290="Other Bond TM",ModelParameters!$N$21,1)*(P4290*Q4290+R4290),1))</f>
        <v>0.01595232844136107</v>
      </c>
      <c r="T4290" s="85">
        <f>IF(B4290="",0,$S4290*$K4290)</f>
        <v>0.001845770433028566</v>
      </c>
      <c r="U4290" s="85">
        <f>IF(B4290="",0,IF(OR(H4290=MappingTables!$C$34,H4290=MappingTables!$C$35),T4290,0))</f>
        <v>0</v>
      </c>
      <c r="V4290" s="85">
        <f>IF(ISNA(IF(AND(VLOOKUP(CONCATENATE($D4290,$G4290),CSRFinput!$B:$E,4,0)=0,OR(H4290=MappingTables!$C$34,H4290=MappingTables!$C$35)),1,VLOOKUP(CONCATENATE($D4290,$G4290),CSRFinput!$B:$E,4,0))),0,IF(AND(VLOOKUP(CONCATENATE($D4290,$G4290),CSRFinput!$B:$E,4,0)=0,OR(H4290=MappingTables!$C$34,H4290=MappingTables!$C$35)),1,VLOOKUP(CONCATENATE($D4290,$G4290),CSRFinput!$B:$E,4,0)))</f>
        <v>0.054776304963434752</v>
      </c>
      <c r="W4290" s="85">
        <f>IF(B4290="",0,+$T4290*$V4290)</f>
        <v>0.00010110448413206376</v>
      </c>
      <c r="X4290" s="85">
        <f>IF(B4290="",0,IF(OR(H4290=MappingTables!$C$34,H4290=MappingTables!$C$35),W4290,0))</f>
        <v>0</v>
      </c>
    </row>
    <row r="4291" spans="2:24" s="0" customFormat="0" ht="15">
      <c r="B4291" s="69" t="s">
        <v>1537</v>
      </c>
      <c r="C4291" s="70" t="s">
        <v>1538</v>
      </c>
      <c r="D4291" s="70" t="s">
        <v>1</v>
      </c>
      <c r="E4291" s="70" t="s">
        <v>1</v>
      </c>
      <c r="F4291" s="70"/>
      <c r="G4291" s="70" t="s">
        <v>61</v>
      </c>
      <c r="H4291" s="70" t="s">
        <v>178</v>
      </c>
      <c r="I4291" s="70" t="s">
        <v>181</v>
      </c>
      <c r="J4291" s="71">
        <f>IF(OR(I4291=0,I4291=""),"unrated",VLOOKUP(I4291,MappingTables!$B$19:$C$31,2,FALSE))</f>
        <v>3</v>
      </c>
      <c r="K4291" s="72">
        <v>2.2087057377226868</v>
      </c>
      <c r="L4291" s="70">
        <v>0.50685133983689544</v>
      </c>
      <c r="M4291" s="71">
        <f>IF(L4291&lt;1,1,L4291)</f>
        <v>1</v>
      </c>
      <c r="N4291" s="70" t="s">
        <v>141</v>
      </c>
      <c r="O4291" s="71">
        <f>INDEX(DurClassMapping,MATCH(M4291,MappingTables!$D$4:$D$8,-1),1)</f>
        <v>1</v>
      </c>
      <c r="P4291" s="73">
        <f>IF(M4291=$A$1,1,$M4291-INDEX(MappingTables!$E$4:$E$8,MATCH(O4291,MappingTables!$B$4:$B$8,0)))</f>
        <v>1</v>
      </c>
      <c r="Q4291" s="71">
        <f>IF(B4291="",0,INDEX(ModelParameters!$D$6:$K$10,MATCH($O4291,ModelParameters!$B$6:$B$10,0),MATCH($J4291,ModelParameters!$D$5:$K$5,0)))</f>
        <v>0.025</v>
      </c>
      <c r="R4291" s="71">
        <f>IF(B4291="",0,INDEX(ModelParameters!$D$13:$K$17,MATCH($O4291,ModelParameters!$B$13:$B$17,0),MATCH($J4291,ModelParameters!$D$5:$K$5,0)))</f>
        <v>0</v>
      </c>
      <c r="S4291" s="160">
        <f>IF(B4291="",0,MIN(IF($N4291="Other Bond TM",ModelParameters!$N$21,1)*(P4291*Q4291+R4291),1))</f>
        <v>0.025</v>
      </c>
      <c r="T4291" s="85">
        <f>IF(B4291="",0,$S4291*$K4291)</f>
        <v>0.055217643443067168</v>
      </c>
      <c r="U4291" s="85">
        <f>IF(B4291="",0,IF(OR(H4291=MappingTables!$C$34,H4291=MappingTables!$C$35),T4291,0))</f>
        <v>0</v>
      </c>
      <c r="V4291" s="85">
        <f>IF(ISNA(IF(AND(VLOOKUP(CONCATENATE($D4291,$G4291),CSRFinput!$B:$E,4,0)=0,OR(H4291=MappingTables!$C$34,H4291=MappingTables!$C$35)),1,VLOOKUP(CONCATENATE($D4291,$G4291),CSRFinput!$B:$E,4,0))),0,IF(AND(VLOOKUP(CONCATENATE($D4291,$G4291),CSRFinput!$B:$E,4,0)=0,OR(H4291=MappingTables!$C$34,H4291=MappingTables!$C$35)),1,VLOOKUP(CONCATENATE($D4291,$G4291),CSRFinput!$B:$E,4,0)))</f>
        <v>0.054776304963434752</v>
      </c>
      <c r="W4291" s="85">
        <f>IF(B4291="",0,+$T4291*$V4291)</f>
        <v>0.0030246184765996504</v>
      </c>
      <c r="X4291" s="85">
        <f>IF(B4291="",0,IF(OR(H4291=MappingTables!$C$34,H4291=MappingTables!$C$35),W4291,0))</f>
        <v>0</v>
      </c>
    </row>
    <row r="4292" spans="2:24" s="0" customFormat="0" ht="15">
      <c r="B4292" s="69">
        <v>21883382</v>
      </c>
      <c r="C4292" s="70" t="s">
        <v>2926</v>
      </c>
      <c r="D4292" s="70" t="s">
        <v>1</v>
      </c>
      <c r="E4292" s="70" t="s">
        <v>1</v>
      </c>
      <c r="F4292" s="70"/>
      <c r="G4292" s="70" t="s">
        <v>61</v>
      </c>
      <c r="H4292" s="70" t="s">
        <v>178</v>
      </c>
      <c r="I4292" s="70" t="s">
        <v>181</v>
      </c>
      <c r="J4292" s="71">
        <f>IF(OR(I4292=0,I4292=""),"unrated",VLOOKUP(I4292,MappingTables!$B$19:$C$31,2,FALSE))</f>
        <v>3</v>
      </c>
      <c r="K4292" s="72">
        <v>2006.0846918616468</v>
      </c>
      <c r="L4292" s="70">
        <v>1.936536929083832</v>
      </c>
      <c r="M4292" s="71">
        <f>IF(L4292&lt;1,1,L4292)</f>
        <v>1.936536929083832</v>
      </c>
      <c r="N4292" s="70" t="s">
        <v>141</v>
      </c>
      <c r="O4292" s="71">
        <f>INDEX(DurClassMapping,MATCH(M4292,MappingTables!$D$4:$D$8,-1),1)</f>
        <v>1</v>
      </c>
      <c r="P4292" s="73">
        <f>IF(M4292=$A$1,1,$M4292-INDEX(MappingTables!$E$4:$E$8,MATCH(O4292,MappingTables!$B$4:$B$8,0)))</f>
        <v>1.936536929083832</v>
      </c>
      <c r="Q4292" s="71">
        <f>IF(B4292="",0,INDEX(ModelParameters!$D$6:$K$10,MATCH($O4292,ModelParameters!$B$6:$B$10,0),MATCH($J4292,ModelParameters!$D$5:$K$5,0)))</f>
        <v>0.025</v>
      </c>
      <c r="R4292" s="71">
        <f>IF(B4292="",0,INDEX(ModelParameters!$D$13:$K$17,MATCH($O4292,ModelParameters!$B$13:$B$17,0),MATCH($J4292,ModelParameters!$D$5:$K$5,0)))</f>
        <v>0</v>
      </c>
      <c r="S4292" s="160">
        <f>IF(B4292="",0,MIN(IF($N4292="Other Bond TM",ModelParameters!$N$21,1)*(P4292*Q4292+R4292),1))</f>
        <v>0.048413423227095808</v>
      </c>
      <c r="T4292" s="85">
        <f>IF(B4292="",0,$S4292*$K4292)</f>
        <v>97.121427216495984</v>
      </c>
      <c r="U4292" s="85">
        <f>IF(B4292="",0,IF(OR(H4292=MappingTables!$C$34,H4292=MappingTables!$C$35),T4292,0))</f>
        <v>0</v>
      </c>
      <c r="V4292" s="85">
        <f>IF(ISNA(IF(AND(VLOOKUP(CONCATENATE($D4292,$G4292),CSRFinput!$B:$E,4,0)=0,OR(H4292=MappingTables!$C$34,H4292=MappingTables!$C$35)),1,VLOOKUP(CONCATENATE($D4292,$G4292),CSRFinput!$B:$E,4,0))),0,IF(AND(VLOOKUP(CONCATENATE($D4292,$G4292),CSRFinput!$B:$E,4,0)=0,OR(H4292=MappingTables!$C$34,H4292=MappingTables!$C$35)),1,VLOOKUP(CONCATENATE($D4292,$G4292),CSRFinput!$B:$E,4,0)))</f>
        <v>0.054776304963434752</v>
      </c>
      <c r="W4292" s="85">
        <f>IF(B4292="",0,+$T4292*$V4292)</f>
        <v>5.3199529156948168</v>
      </c>
      <c r="X4292" s="85">
        <f>IF(B4292="",0,IF(OR(H4292=MappingTables!$C$34,H4292=MappingTables!$C$35),W4292,0))</f>
        <v>0</v>
      </c>
    </row>
    <row r="4293" spans="2:24" s="0" customFormat="0" ht="15">
      <c r="B4293" s="69">
        <v>24601963</v>
      </c>
      <c r="C4293" s="70" t="s">
        <v>2669</v>
      </c>
      <c r="D4293" s="70" t="s">
        <v>1</v>
      </c>
      <c r="E4293" s="70" t="s">
        <v>1</v>
      </c>
      <c r="F4293" s="70"/>
      <c r="G4293" s="70" t="s">
        <v>61</v>
      </c>
      <c r="H4293" s="70" t="s">
        <v>178</v>
      </c>
      <c r="I4293" s="70" t="s">
        <v>198</v>
      </c>
      <c r="J4293" s="71" t="str">
        <f>IF(OR(I4293=0,I4293=""),"unrated",VLOOKUP(I4293,MappingTables!$B$19:$C$31,2,FALSE))</f>
        <v>unrated</v>
      </c>
      <c r="K4293" s="72">
        <v>10403.231994395872</v>
      </c>
      <c r="L4293" s="70">
        <v>0.74648364120377792</v>
      </c>
      <c r="M4293" s="71">
        <f>IF(L4293&lt;1,1,L4293)</f>
        <v>1</v>
      </c>
      <c r="N4293" s="70" t="s">
        <v>141</v>
      </c>
      <c r="O4293" s="71">
        <f>INDEX(DurClassMapping,MATCH(M4293,MappingTables!$D$4:$D$8,-1),1)</f>
        <v>1</v>
      </c>
      <c r="P4293" s="73">
        <f>IF(M4293=$A$1,1,$M4293-INDEX(MappingTables!$E$4:$E$8,MATCH(O4293,MappingTables!$B$4:$B$8,0)))</f>
        <v>1</v>
      </c>
      <c r="Q4293" s="71">
        <f>IF(B4293="",0,INDEX(ModelParameters!$D$6:$K$10,MATCH($O4293,ModelParameters!$B$6:$B$10,0),MATCH($J4293,ModelParameters!$D$5:$K$5,0)))</f>
        <v>0.03</v>
      </c>
      <c r="R4293" s="71">
        <f>IF(B4293="",0,INDEX(ModelParameters!$D$13:$K$17,MATCH($O4293,ModelParameters!$B$13:$B$17,0),MATCH($J4293,ModelParameters!$D$5:$K$5,0)))</f>
        <v>0</v>
      </c>
      <c r="S4293" s="160">
        <f>IF(B4293="",0,MIN(IF($N4293="Other Bond TM",ModelParameters!$N$21,1)*(P4293*Q4293+R4293),1))</f>
        <v>0.03</v>
      </c>
      <c r="T4293" s="85">
        <f>IF(B4293="",0,$S4293*$K4293)</f>
        <v>312.09695983187612</v>
      </c>
      <c r="U4293" s="85">
        <f>IF(B4293="",0,IF(OR(H4293=MappingTables!$C$34,H4293=MappingTables!$C$35),T4293,0))</f>
        <v>0</v>
      </c>
      <c r="V4293" s="85">
        <f>IF(ISNA(IF(AND(VLOOKUP(CONCATENATE($D4293,$G4293),CSRFinput!$B:$E,4,0)=0,OR(H4293=MappingTables!$C$34,H4293=MappingTables!$C$35)),1,VLOOKUP(CONCATENATE($D4293,$G4293),CSRFinput!$B:$E,4,0))),0,IF(AND(VLOOKUP(CONCATENATE($D4293,$G4293),CSRFinput!$B:$E,4,0)=0,OR(H4293=MappingTables!$C$34,H4293=MappingTables!$C$35)),1,VLOOKUP(CONCATENATE($D4293,$G4293),CSRFinput!$B:$E,4,0)))</f>
        <v>0.054776304963434752</v>
      </c>
      <c r="W4293" s="85">
        <f>IF(B4293="",0,+$T4293*$V4293)</f>
        <v>17.095518249911692</v>
      </c>
      <c r="X4293" s="85">
        <f>IF(B4293="",0,IF(OR(H4293=MappingTables!$C$34,H4293=MappingTables!$C$35),W4293,0))</f>
        <v>0</v>
      </c>
    </row>
    <row r="4294" spans="2:24" s="0" customFormat="0" ht="15">
      <c r="B4294" s="69">
        <v>21917556</v>
      </c>
      <c r="C4294" s="70" t="s">
        <v>2143</v>
      </c>
      <c r="D4294" s="70" t="s">
        <v>1</v>
      </c>
      <c r="E4294" s="70" t="s">
        <v>1</v>
      </c>
      <c r="F4294" s="70"/>
      <c r="G4294" s="70" t="s">
        <v>61</v>
      </c>
      <c r="H4294" s="70" t="s">
        <v>178</v>
      </c>
      <c r="I4294" s="70" t="s">
        <v>188</v>
      </c>
      <c r="J4294" s="71">
        <f>IF(OR(I4294=0,I4294=""),"unrated",VLOOKUP(I4294,MappingTables!$B$19:$C$31,2,FALSE))</f>
        <v>2</v>
      </c>
      <c r="K4294" s="72">
        <v>3.1262445346188352</v>
      </c>
      <c r="L4294" s="70">
        <v>1.0302515961884376</v>
      </c>
      <c r="M4294" s="71">
        <f>IF(L4294&lt;1,1,L4294)</f>
        <v>1.0302515961884376</v>
      </c>
      <c r="N4294" s="70" t="s">
        <v>141</v>
      </c>
      <c r="O4294" s="71">
        <f>INDEX(DurClassMapping,MATCH(M4294,MappingTables!$D$4:$D$8,-1),1)</f>
        <v>1</v>
      </c>
      <c r="P4294" s="73">
        <f>IF(M4294=$A$1,1,$M4294-INDEX(MappingTables!$E$4:$E$8,MATCH(O4294,MappingTables!$B$4:$B$8,0)))</f>
        <v>1.0302515961884376</v>
      </c>
      <c r="Q4294" s="71">
        <f>IF(B4294="",0,INDEX(ModelParameters!$D$6:$K$10,MATCH($O4294,ModelParameters!$B$6:$B$10,0),MATCH($J4294,ModelParameters!$D$5:$K$5,0)))</f>
        <v>0.013999999999999998</v>
      </c>
      <c r="R4294" s="71">
        <f>IF(B4294="",0,INDEX(ModelParameters!$D$13:$K$17,MATCH($O4294,ModelParameters!$B$13:$B$17,0),MATCH($J4294,ModelParameters!$D$5:$K$5,0)))</f>
        <v>0</v>
      </c>
      <c r="S4294" s="160">
        <f>IF(B4294="",0,MIN(IF($N4294="Other Bond TM",ModelParameters!$N$21,1)*(P4294*Q4294+R4294),1))</f>
        <v>0.014423522346638124</v>
      </c>
      <c r="T4294" s="85">
        <f>IF(B4294="",0,$S4294*$K4294)</f>
        <v>0.045091457906130072</v>
      </c>
      <c r="U4294" s="85">
        <f>IF(B4294="",0,IF(OR(H4294=MappingTables!$C$34,H4294=MappingTables!$C$35),T4294,0))</f>
        <v>0</v>
      </c>
      <c r="V4294" s="85">
        <f>IF(ISNA(IF(AND(VLOOKUP(CONCATENATE($D4294,$G4294),CSRFinput!$B:$E,4,0)=0,OR(H4294=MappingTables!$C$34,H4294=MappingTables!$C$35)),1,VLOOKUP(CONCATENATE($D4294,$G4294),CSRFinput!$B:$E,4,0))),0,IF(AND(VLOOKUP(CONCATENATE($D4294,$G4294),CSRFinput!$B:$E,4,0)=0,OR(H4294=MappingTables!$C$34,H4294=MappingTables!$C$35)),1,VLOOKUP(CONCATENATE($D4294,$G4294),CSRFinput!$B:$E,4,0)))</f>
        <v>0.054776304963434752</v>
      </c>
      <c r="W4294" s="85">
        <f>IF(B4294="",0,+$T4294*$V4294)</f>
        <v>0.0024699434495120616</v>
      </c>
      <c r="X4294" s="85">
        <f>IF(B4294="",0,IF(OR(H4294=MappingTables!$C$34,H4294=MappingTables!$C$35),W4294,0))</f>
        <v>0</v>
      </c>
    </row>
    <row r="4295" spans="2:24" s="0" customFormat="0" ht="15">
      <c r="B4295" s="69" t="s">
        <v>3014</v>
      </c>
      <c r="C4295" s="70" t="s">
        <v>3015</v>
      </c>
      <c r="D4295" s="70" t="s">
        <v>1</v>
      </c>
      <c r="E4295" s="70" t="s">
        <v>1</v>
      </c>
      <c r="F4295" s="70"/>
      <c r="G4295" s="70" t="s">
        <v>61</v>
      </c>
      <c r="H4295" s="70" t="s">
        <v>178</v>
      </c>
      <c r="I4295" s="70" t="s">
        <v>198</v>
      </c>
      <c r="J4295" s="71" t="str">
        <f>IF(OR(I4295=0,I4295=""),"unrated",VLOOKUP(I4295,MappingTables!$B$19:$C$31,2,FALSE))</f>
        <v>unrated</v>
      </c>
      <c r="K4295" s="72">
        <v>0.056803250890731808</v>
      </c>
      <c r="L4295" s="70">
        <v>0.032876796779126236</v>
      </c>
      <c r="M4295" s="71">
        <f>IF(L4295&lt;1,1,L4295)</f>
        <v>1</v>
      </c>
      <c r="N4295" s="70" t="s">
        <v>141</v>
      </c>
      <c r="O4295" s="71">
        <f>INDEX(DurClassMapping,MATCH(M4295,MappingTables!$D$4:$D$8,-1),1)</f>
        <v>1</v>
      </c>
      <c r="P4295" s="73">
        <f>IF(M4295=$A$1,1,$M4295-INDEX(MappingTables!$E$4:$E$8,MATCH(O4295,MappingTables!$B$4:$B$8,0)))</f>
        <v>1</v>
      </c>
      <c r="Q4295" s="71">
        <f>IF(B4295="",0,INDEX(ModelParameters!$D$6:$K$10,MATCH($O4295,ModelParameters!$B$6:$B$10,0),MATCH($J4295,ModelParameters!$D$5:$K$5,0)))</f>
        <v>0.03</v>
      </c>
      <c r="R4295" s="71">
        <f>IF(B4295="",0,INDEX(ModelParameters!$D$13:$K$17,MATCH($O4295,ModelParameters!$B$13:$B$17,0),MATCH($J4295,ModelParameters!$D$5:$K$5,0)))</f>
        <v>0</v>
      </c>
      <c r="S4295" s="160">
        <f>IF(B4295="",0,MIN(IF($N4295="Other Bond TM",ModelParameters!$N$21,1)*(P4295*Q4295+R4295),1))</f>
        <v>0.03</v>
      </c>
      <c r="T4295" s="85">
        <f>IF(B4295="",0,$S4295*$K4295)</f>
        <v>0.0017040975267219542</v>
      </c>
      <c r="U4295" s="85">
        <f>IF(B4295="",0,IF(OR(H4295=MappingTables!$C$34,H4295=MappingTables!$C$35),T4295,0))</f>
        <v>0</v>
      </c>
      <c r="V4295" s="85">
        <f>IF(ISNA(IF(AND(VLOOKUP(CONCATENATE($D4295,$G4295),CSRFinput!$B:$E,4,0)=0,OR(H4295=MappingTables!$C$34,H4295=MappingTables!$C$35)),1,VLOOKUP(CONCATENATE($D4295,$G4295),CSRFinput!$B:$E,4,0))),0,IF(AND(VLOOKUP(CONCATENATE($D4295,$G4295),CSRFinput!$B:$E,4,0)=0,OR(H4295=MappingTables!$C$34,H4295=MappingTables!$C$35)),1,VLOOKUP(CONCATENATE($D4295,$G4295),CSRFinput!$B:$E,4,0)))</f>
        <v>0.054776304963434752</v>
      </c>
      <c r="W4295" s="85">
        <f>IF(B4295="",0,+$T4295*$V4295)</f>
        <v>0.000093344165811156672</v>
      </c>
      <c r="X4295" s="85">
        <f>IF(B4295="",0,IF(OR(H4295=MappingTables!$C$34,H4295=MappingTables!$C$35),W4295,0))</f>
        <v>0</v>
      </c>
    </row>
    <row r="4296" spans="2:24" s="0" customFormat="0" ht="15">
      <c r="B4296" s="69" t="s">
        <v>2710</v>
      </c>
      <c r="C4296" s="70" t="s">
        <v>2711</v>
      </c>
      <c r="D4296" s="70" t="s">
        <v>1</v>
      </c>
      <c r="E4296" s="70" t="s">
        <v>1</v>
      </c>
      <c r="F4296" s="70"/>
      <c r="G4296" s="70" t="s">
        <v>61</v>
      </c>
      <c r="H4296" s="70" t="s">
        <v>178</v>
      </c>
      <c r="I4296" s="70" t="s">
        <v>198</v>
      </c>
      <c r="J4296" s="71" t="str">
        <f>IF(OR(I4296=0,I4296=""),"unrated",VLOOKUP(I4296,MappingTables!$B$19:$C$31,2,FALSE))</f>
        <v>unrated</v>
      </c>
      <c r="K4296" s="72">
        <v>2795.4170770193164</v>
      </c>
      <c r="L4296" s="70">
        <v>0.087672116468032144</v>
      </c>
      <c r="M4296" s="71">
        <f>IF(L4296&lt;1,1,L4296)</f>
        <v>1</v>
      </c>
      <c r="N4296" s="70" t="s">
        <v>141</v>
      </c>
      <c r="O4296" s="71">
        <f>INDEX(DurClassMapping,MATCH(M4296,MappingTables!$D$4:$D$8,-1),1)</f>
        <v>1</v>
      </c>
      <c r="P4296" s="73">
        <f>IF(M4296=$A$1,1,$M4296-INDEX(MappingTables!$E$4:$E$8,MATCH(O4296,MappingTables!$B$4:$B$8,0)))</f>
        <v>1</v>
      </c>
      <c r="Q4296" s="71">
        <f>IF(B4296="",0,INDEX(ModelParameters!$D$6:$K$10,MATCH($O4296,ModelParameters!$B$6:$B$10,0),MATCH($J4296,ModelParameters!$D$5:$K$5,0)))</f>
        <v>0.03</v>
      </c>
      <c r="R4296" s="71">
        <f>IF(B4296="",0,INDEX(ModelParameters!$D$13:$K$17,MATCH($O4296,ModelParameters!$B$13:$B$17,0),MATCH($J4296,ModelParameters!$D$5:$K$5,0)))</f>
        <v>0</v>
      </c>
      <c r="S4296" s="160">
        <f>IF(B4296="",0,MIN(IF($N4296="Other Bond TM",ModelParameters!$N$21,1)*(P4296*Q4296+R4296),1))</f>
        <v>0.03</v>
      </c>
      <c r="T4296" s="85">
        <f>IF(B4296="",0,$S4296*$K4296)</f>
        <v>83.862512310579488</v>
      </c>
      <c r="U4296" s="85">
        <f>IF(B4296="",0,IF(OR(H4296=MappingTables!$C$34,H4296=MappingTables!$C$35),T4296,0))</f>
        <v>0</v>
      </c>
      <c r="V4296" s="85">
        <f>IF(ISNA(IF(AND(VLOOKUP(CONCATENATE($D4296,$G4296),CSRFinput!$B:$E,4,0)=0,OR(H4296=MappingTables!$C$34,H4296=MappingTables!$C$35)),1,VLOOKUP(CONCATENATE($D4296,$G4296),CSRFinput!$B:$E,4,0))),0,IF(AND(VLOOKUP(CONCATENATE($D4296,$G4296),CSRFinput!$B:$E,4,0)=0,OR(H4296=MappingTables!$C$34,H4296=MappingTables!$C$35)),1,VLOOKUP(CONCATENATE($D4296,$G4296),CSRFinput!$B:$E,4,0)))</f>
        <v>0.054776304963434752</v>
      </c>
      <c r="W4296" s="85">
        <f>IF(B4296="",0,+$T4296*$V4296)</f>
        <v>4.5936785493241032</v>
      </c>
      <c r="X4296" s="85">
        <f>IF(B4296="",0,IF(OR(H4296=MappingTables!$C$34,H4296=MappingTables!$C$35),W4296,0))</f>
        <v>0</v>
      </c>
    </row>
    <row r="4297" spans="2:24" s="0" customFormat="0" ht="15">
      <c r="B4297" s="69" t="s">
        <v>1838</v>
      </c>
      <c r="C4297" s="70" t="s">
        <v>1839</v>
      </c>
      <c r="D4297" s="70" t="s">
        <v>1</v>
      </c>
      <c r="E4297" s="70" t="s">
        <v>1</v>
      </c>
      <c r="F4297" s="70"/>
      <c r="G4297" s="70" t="s">
        <v>61</v>
      </c>
      <c r="H4297" s="70" t="s">
        <v>178</v>
      </c>
      <c r="I4297" s="70" t="s">
        <v>181</v>
      </c>
      <c r="J4297" s="71">
        <f>IF(OR(I4297=0,I4297=""),"unrated",VLOOKUP(I4297,MappingTables!$B$19:$C$31,2,FALSE))</f>
        <v>3</v>
      </c>
      <c r="K4297" s="72">
        <v>1.9842415260795156</v>
      </c>
      <c r="L4297" s="70">
        <v>2.2009713491832824</v>
      </c>
      <c r="M4297" s="71">
        <f>IF(L4297&lt;1,1,L4297)</f>
        <v>2.2009713491832824</v>
      </c>
      <c r="N4297" s="70" t="s">
        <v>141</v>
      </c>
      <c r="O4297" s="71">
        <f>INDEX(DurClassMapping,MATCH(M4297,MappingTables!$D$4:$D$8,-1),1)</f>
        <v>1</v>
      </c>
      <c r="P4297" s="73">
        <f>IF(M4297=$A$1,1,$M4297-INDEX(MappingTables!$E$4:$E$8,MATCH(O4297,MappingTables!$B$4:$B$8,0)))</f>
        <v>2.2009713491832824</v>
      </c>
      <c r="Q4297" s="71">
        <f>IF(B4297="",0,INDEX(ModelParameters!$D$6:$K$10,MATCH($O4297,ModelParameters!$B$6:$B$10,0),MATCH($J4297,ModelParameters!$D$5:$K$5,0)))</f>
        <v>0.025</v>
      </c>
      <c r="R4297" s="71">
        <f>IF(B4297="",0,INDEX(ModelParameters!$D$13:$K$17,MATCH($O4297,ModelParameters!$B$13:$B$17,0),MATCH($J4297,ModelParameters!$D$5:$K$5,0)))</f>
        <v>0</v>
      </c>
      <c r="S4297" s="160">
        <f>IF(B4297="",0,MIN(IF($N4297="Other Bond TM",ModelParameters!$N$21,1)*(P4297*Q4297+R4297),1))</f>
        <v>0.055024283729582064</v>
      </c>
      <c r="T4297" s="85">
        <f>IF(B4297="",0,$S4297*$K4297)</f>
        <v>0.10918146871901816</v>
      </c>
      <c r="U4297" s="85">
        <f>IF(B4297="",0,IF(OR(H4297=MappingTables!$C$34,H4297=MappingTables!$C$35),T4297,0))</f>
        <v>0</v>
      </c>
      <c r="V4297" s="85">
        <f>IF(ISNA(IF(AND(VLOOKUP(CONCATENATE($D4297,$G4297),CSRFinput!$B:$E,4,0)=0,OR(H4297=MappingTables!$C$34,H4297=MappingTables!$C$35)),1,VLOOKUP(CONCATENATE($D4297,$G4297),CSRFinput!$B:$E,4,0))),0,IF(AND(VLOOKUP(CONCATENATE($D4297,$G4297),CSRFinput!$B:$E,4,0)=0,OR(H4297=MappingTables!$C$34,H4297=MappingTables!$C$35)),1,VLOOKUP(CONCATENATE($D4297,$G4297),CSRFinput!$B:$E,4,0)))</f>
        <v>0.054776304963434752</v>
      </c>
      <c r="W4297" s="85">
        <f>IF(B4297="",0,+$T4297*$V4297)</f>
        <v>0.0059805574269086512</v>
      </c>
      <c r="X4297" s="85">
        <f>IF(B4297="",0,IF(OR(H4297=MappingTables!$C$34,H4297=MappingTables!$C$35),W4297,0))</f>
        <v>0</v>
      </c>
    </row>
    <row r="4298" spans="2:24" s="0" customFormat="0" ht="15">
      <c r="B4298" s="69" t="s">
        <v>2795</v>
      </c>
      <c r="C4298" s="70" t="s">
        <v>2796</v>
      </c>
      <c r="D4298" s="70" t="s">
        <v>1</v>
      </c>
      <c r="E4298" s="70" t="s">
        <v>1</v>
      </c>
      <c r="F4298" s="70"/>
      <c r="G4298" s="70" t="s">
        <v>61</v>
      </c>
      <c r="H4298" s="70" t="s">
        <v>178</v>
      </c>
      <c r="I4298" s="70" t="s">
        <v>198</v>
      </c>
      <c r="J4298" s="71" t="str">
        <f>IF(OR(I4298=0,I4298=""),"unrated",VLOOKUP(I4298,MappingTables!$B$19:$C$31,2,FALSE))</f>
        <v>unrated</v>
      </c>
      <c r="K4298" s="72">
        <v>2137.5609187938732</v>
      </c>
      <c r="L4298" s="70">
        <v>5.1594508961388144</v>
      </c>
      <c r="M4298" s="71">
        <f>IF(L4298&lt;1,1,L4298)</f>
        <v>5.1594508961388144</v>
      </c>
      <c r="N4298" s="70" t="s">
        <v>141</v>
      </c>
      <c r="O4298" s="71">
        <f>INDEX(DurClassMapping,MATCH(M4298,MappingTables!$D$4:$D$8,-1),1)</f>
        <v>2</v>
      </c>
      <c r="P4298" s="73">
        <f>IF(M4298=$A$1,1,$M4298-INDEX(MappingTables!$E$4:$E$8,MATCH(O4298,MappingTables!$B$4:$B$8,0)))</f>
        <v>0.15945089613881436</v>
      </c>
      <c r="Q4298" s="71">
        <f>IF(B4298="",0,INDEX(ModelParameters!$D$6:$K$10,MATCH($O4298,ModelParameters!$B$6:$B$10,0),MATCH($J4298,ModelParameters!$D$5:$K$5,0)))</f>
        <v>0.017000000000000002</v>
      </c>
      <c r="R4298" s="71">
        <f>IF(B4298="",0,INDEX(ModelParameters!$D$13:$K$17,MATCH($O4298,ModelParameters!$B$13:$B$17,0),MATCH($J4298,ModelParameters!$D$5:$K$5,0)))</f>
        <v>0.15</v>
      </c>
      <c r="S4298" s="160">
        <f>IF(B4298="",0,MIN(IF($N4298="Other Bond TM",ModelParameters!$N$21,1)*(P4298*Q4298+R4298),1))</f>
        <v>0.15271066523435984</v>
      </c>
      <c r="T4298" s="85">
        <f>IF(B4298="",0,$S4298*$K4298)</f>
        <v>326.42834988798176</v>
      </c>
      <c r="U4298" s="85">
        <f>IF(B4298="",0,IF(OR(H4298=MappingTables!$C$34,H4298=MappingTables!$C$35),T4298,0))</f>
        <v>0</v>
      </c>
      <c r="V4298" s="85">
        <f>IF(ISNA(IF(AND(VLOOKUP(CONCATENATE($D4298,$G4298),CSRFinput!$B:$E,4,0)=0,OR(H4298=MappingTables!$C$34,H4298=MappingTables!$C$35)),1,VLOOKUP(CONCATENATE($D4298,$G4298),CSRFinput!$B:$E,4,0))),0,IF(AND(VLOOKUP(CONCATENATE($D4298,$G4298),CSRFinput!$B:$E,4,0)=0,OR(H4298=MappingTables!$C$34,H4298=MappingTables!$C$35)),1,VLOOKUP(CONCATENATE($D4298,$G4298),CSRFinput!$B:$E,4,0)))</f>
        <v>0.054776304963434752</v>
      </c>
      <c r="W4298" s="85">
        <f>IF(B4298="",0,+$T4298*$V4298)</f>
        <v>17.880538842174872</v>
      </c>
      <c r="X4298" s="85">
        <f>IF(B4298="",0,IF(OR(H4298=MappingTables!$C$34,H4298=MappingTables!$C$35),W4298,0))</f>
        <v>0</v>
      </c>
    </row>
    <row r="4299" spans="2:24" s="0" customFormat="0" ht="15">
      <c r="B4299" s="69">
        <v>7529282</v>
      </c>
      <c r="C4299" s="70" t="s">
        <v>2971</v>
      </c>
      <c r="D4299" s="70" t="s">
        <v>1</v>
      </c>
      <c r="E4299" s="70" t="s">
        <v>1</v>
      </c>
      <c r="F4299" s="70"/>
      <c r="G4299" s="70" t="s">
        <v>61</v>
      </c>
      <c r="H4299" s="70" t="s">
        <v>178</v>
      </c>
      <c r="I4299" s="70" t="s">
        <v>181</v>
      </c>
      <c r="J4299" s="71">
        <f>IF(OR(I4299=0,I4299=""),"unrated",VLOOKUP(I4299,MappingTables!$B$19:$C$31,2,FALSE))</f>
        <v>3</v>
      </c>
      <c r="K4299" s="72">
        <v>11.019515890256334</v>
      </c>
      <c r="L4299" s="70">
        <v>0.049315813937665968</v>
      </c>
      <c r="M4299" s="71">
        <f>IF(L4299&lt;1,1,L4299)</f>
        <v>1</v>
      </c>
      <c r="N4299" s="70" t="s">
        <v>141</v>
      </c>
      <c r="O4299" s="71">
        <f>INDEX(DurClassMapping,MATCH(M4299,MappingTables!$D$4:$D$8,-1),1)</f>
        <v>1</v>
      </c>
      <c r="P4299" s="73">
        <f>IF(M4299=$A$1,1,$M4299-INDEX(MappingTables!$E$4:$E$8,MATCH(O4299,MappingTables!$B$4:$B$8,0)))</f>
        <v>1</v>
      </c>
      <c r="Q4299" s="71">
        <f>IF(B4299="",0,INDEX(ModelParameters!$D$6:$K$10,MATCH($O4299,ModelParameters!$B$6:$B$10,0),MATCH($J4299,ModelParameters!$D$5:$K$5,0)))</f>
        <v>0.025</v>
      </c>
      <c r="R4299" s="71">
        <f>IF(B4299="",0,INDEX(ModelParameters!$D$13:$K$17,MATCH($O4299,ModelParameters!$B$13:$B$17,0),MATCH($J4299,ModelParameters!$D$5:$K$5,0)))</f>
        <v>0</v>
      </c>
      <c r="S4299" s="160">
        <f>IF(B4299="",0,MIN(IF($N4299="Other Bond TM",ModelParameters!$N$21,1)*(P4299*Q4299+R4299),1))</f>
        <v>0.025</v>
      </c>
      <c r="T4299" s="85">
        <f>IF(B4299="",0,$S4299*$K4299)</f>
        <v>0.27548789725640836</v>
      </c>
      <c r="U4299" s="85">
        <f>IF(B4299="",0,IF(OR(H4299=MappingTables!$C$34,H4299=MappingTables!$C$35),T4299,0))</f>
        <v>0</v>
      </c>
      <c r="V4299" s="85">
        <f>IF(ISNA(IF(AND(VLOOKUP(CONCATENATE($D4299,$G4299),CSRFinput!$B:$E,4,0)=0,OR(H4299=MappingTables!$C$34,H4299=MappingTables!$C$35)),1,VLOOKUP(CONCATENATE($D4299,$G4299),CSRFinput!$B:$E,4,0))),0,IF(AND(VLOOKUP(CONCATENATE($D4299,$G4299),CSRFinput!$B:$E,4,0)=0,OR(H4299=MappingTables!$C$34,H4299=MappingTables!$C$35)),1,VLOOKUP(CONCATENATE($D4299,$G4299),CSRFinput!$B:$E,4,0)))</f>
        <v>0.054776304963434752</v>
      </c>
      <c r="W4299" s="85">
        <f>IF(B4299="",0,+$T4299*$V4299)</f>
        <v>0.015090209073852406</v>
      </c>
      <c r="X4299" s="85">
        <f>IF(B4299="",0,IF(OR(H4299=MappingTables!$C$34,H4299=MappingTables!$C$35),W4299,0))</f>
        <v>0</v>
      </c>
    </row>
    <row r="4300" spans="2:24" s="0" customFormat="0" ht="15">
      <c r="B4300" s="69" t="s">
        <v>1819</v>
      </c>
      <c r="C4300" s="70" t="s">
        <v>1820</v>
      </c>
      <c r="D4300" s="70" t="s">
        <v>1</v>
      </c>
      <c r="E4300" s="70" t="s">
        <v>1</v>
      </c>
      <c r="F4300" s="70"/>
      <c r="G4300" s="70" t="s">
        <v>61</v>
      </c>
      <c r="H4300" s="70" t="s">
        <v>178</v>
      </c>
      <c r="I4300" s="70" t="s">
        <v>181</v>
      </c>
      <c r="J4300" s="71">
        <f>IF(OR(I4300=0,I4300=""),"unrated",VLOOKUP(I4300,MappingTables!$B$19:$C$31,2,FALSE))</f>
        <v>3</v>
      </c>
      <c r="K4300" s="72">
        <v>0.70849143765776376</v>
      </c>
      <c r="L4300" s="70">
        <v>0.97535772255551184</v>
      </c>
      <c r="M4300" s="71">
        <f>IF(L4300&lt;1,1,L4300)</f>
        <v>1</v>
      </c>
      <c r="N4300" s="70" t="s">
        <v>141</v>
      </c>
      <c r="O4300" s="71">
        <f>INDEX(DurClassMapping,MATCH(M4300,MappingTables!$D$4:$D$8,-1),1)</f>
        <v>1</v>
      </c>
      <c r="P4300" s="73">
        <f>IF(M4300=$A$1,1,$M4300-INDEX(MappingTables!$E$4:$E$8,MATCH(O4300,MappingTables!$B$4:$B$8,0)))</f>
        <v>1</v>
      </c>
      <c r="Q4300" s="71">
        <f>IF(B4300="",0,INDEX(ModelParameters!$D$6:$K$10,MATCH($O4300,ModelParameters!$B$6:$B$10,0),MATCH($J4300,ModelParameters!$D$5:$K$5,0)))</f>
        <v>0.025</v>
      </c>
      <c r="R4300" s="71">
        <f>IF(B4300="",0,INDEX(ModelParameters!$D$13:$K$17,MATCH($O4300,ModelParameters!$B$13:$B$17,0),MATCH($J4300,ModelParameters!$D$5:$K$5,0)))</f>
        <v>0</v>
      </c>
      <c r="S4300" s="160">
        <f>IF(B4300="",0,MIN(IF($N4300="Other Bond TM",ModelParameters!$N$21,1)*(P4300*Q4300+R4300),1))</f>
        <v>0.025</v>
      </c>
      <c r="T4300" s="85">
        <f>IF(B4300="",0,$S4300*$K4300)</f>
        <v>0.017712285941444094</v>
      </c>
      <c r="U4300" s="85">
        <f>IF(B4300="",0,IF(OR(H4300=MappingTables!$C$34,H4300=MappingTables!$C$35),T4300,0))</f>
        <v>0</v>
      </c>
      <c r="V4300" s="85">
        <f>IF(ISNA(IF(AND(VLOOKUP(CONCATENATE($D4300,$G4300),CSRFinput!$B:$E,4,0)=0,OR(H4300=MappingTables!$C$34,H4300=MappingTables!$C$35)),1,VLOOKUP(CONCATENATE($D4300,$G4300),CSRFinput!$B:$E,4,0))),0,IF(AND(VLOOKUP(CONCATENATE($D4300,$G4300),CSRFinput!$B:$E,4,0)=0,OR(H4300=MappingTables!$C$34,H4300=MappingTables!$C$35)),1,VLOOKUP(CONCATENATE($D4300,$G4300),CSRFinput!$B:$E,4,0)))</f>
        <v>0.054776304963434752</v>
      </c>
      <c r="W4300" s="85">
        <f>IF(B4300="",0,+$T4300*$V4300)</f>
        <v>0.00097021357632809984</v>
      </c>
      <c r="X4300" s="85">
        <f>IF(B4300="",0,IF(OR(H4300=MappingTables!$C$34,H4300=MappingTables!$C$35),W4300,0))</f>
        <v>0</v>
      </c>
    </row>
    <row r="4301" spans="2:24" s="0" customFormat="0" ht="15">
      <c r="B4301" s="69">
        <v>15419814</v>
      </c>
      <c r="C4301" s="70" t="s">
        <v>3003</v>
      </c>
      <c r="D4301" s="70" t="s">
        <v>1</v>
      </c>
      <c r="E4301" s="70" t="s">
        <v>1</v>
      </c>
      <c r="F4301" s="70"/>
      <c r="G4301" s="70" t="s">
        <v>61</v>
      </c>
      <c r="H4301" s="70" t="s">
        <v>178</v>
      </c>
      <c r="I4301" s="70" t="s">
        <v>181</v>
      </c>
      <c r="J4301" s="71">
        <f>IF(OR(I4301=0,I4301=""),"unrated",VLOOKUP(I4301,MappingTables!$B$19:$C$31,2,FALSE))</f>
        <v>3</v>
      </c>
      <c r="K4301" s="72">
        <v>943.55159978983664</v>
      </c>
      <c r="L4301" s="70">
        <v>0.013699271992888954</v>
      </c>
      <c r="M4301" s="71">
        <f>IF(L4301&lt;1,1,L4301)</f>
        <v>1</v>
      </c>
      <c r="N4301" s="70" t="s">
        <v>141</v>
      </c>
      <c r="O4301" s="71">
        <f>INDEX(DurClassMapping,MATCH(M4301,MappingTables!$D$4:$D$8,-1),1)</f>
        <v>1</v>
      </c>
      <c r="P4301" s="73">
        <f>IF(M4301=$A$1,1,$M4301-INDEX(MappingTables!$E$4:$E$8,MATCH(O4301,MappingTables!$B$4:$B$8,0)))</f>
        <v>1</v>
      </c>
      <c r="Q4301" s="71">
        <f>IF(B4301="",0,INDEX(ModelParameters!$D$6:$K$10,MATCH($O4301,ModelParameters!$B$6:$B$10,0),MATCH($J4301,ModelParameters!$D$5:$K$5,0)))</f>
        <v>0.025</v>
      </c>
      <c r="R4301" s="71">
        <f>IF(B4301="",0,INDEX(ModelParameters!$D$13:$K$17,MATCH($O4301,ModelParameters!$B$13:$B$17,0),MATCH($J4301,ModelParameters!$D$5:$K$5,0)))</f>
        <v>0</v>
      </c>
      <c r="S4301" s="160">
        <f>IF(B4301="",0,MIN(IF($N4301="Other Bond TM",ModelParameters!$N$21,1)*(P4301*Q4301+R4301),1))</f>
        <v>0.025</v>
      </c>
      <c r="T4301" s="85">
        <f>IF(B4301="",0,$S4301*$K4301)</f>
        <v>23.58878999474592</v>
      </c>
      <c r="U4301" s="85">
        <f>IF(B4301="",0,IF(OR(H4301=MappingTables!$C$34,H4301=MappingTables!$C$35),T4301,0))</f>
        <v>0</v>
      </c>
      <c r="V4301" s="85">
        <f>IF(ISNA(IF(AND(VLOOKUP(CONCATENATE($D4301,$G4301),CSRFinput!$B:$E,4,0)=0,OR(H4301=MappingTables!$C$34,H4301=MappingTables!$C$35)),1,VLOOKUP(CONCATENATE($D4301,$G4301),CSRFinput!$B:$E,4,0))),0,IF(AND(VLOOKUP(CONCATENATE($D4301,$G4301),CSRFinput!$B:$E,4,0)=0,OR(H4301=MappingTables!$C$34,H4301=MappingTables!$C$35)),1,VLOOKUP(CONCATENATE($D4301,$G4301),CSRFinput!$B:$E,4,0)))</f>
        <v>0.054776304963434752</v>
      </c>
      <c r="W4301" s="85">
        <f>IF(B4301="",0,+$T4301*$V4301)</f>
        <v>1.292106754470621</v>
      </c>
      <c r="X4301" s="85">
        <f>IF(B4301="",0,IF(OR(H4301=MappingTables!$C$34,H4301=MappingTables!$C$35),W4301,0))</f>
        <v>0</v>
      </c>
    </row>
    <row r="4302" spans="2:24" s="0" customFormat="0" ht="15">
      <c r="B4302" s="69">
        <v>12942097</v>
      </c>
      <c r="C4302" s="70" t="s">
        <v>1949</v>
      </c>
      <c r="D4302" s="70" t="s">
        <v>1</v>
      </c>
      <c r="E4302" s="70" t="s">
        <v>1</v>
      </c>
      <c r="F4302" s="70"/>
      <c r="G4302" s="70" t="s">
        <v>61</v>
      </c>
      <c r="H4302" s="70" t="s">
        <v>178</v>
      </c>
      <c r="I4302" s="70" t="s">
        <v>181</v>
      </c>
      <c r="J4302" s="71">
        <f>IF(OR(I4302=0,I4302=""),"unrated",VLOOKUP(I4302,MappingTables!$B$19:$C$31,2,FALSE))</f>
        <v>3</v>
      </c>
      <c r="K4302" s="72">
        <v>637.23276034664112</v>
      </c>
      <c r="L4302" s="70">
        <v>0.79830999631116736</v>
      </c>
      <c r="M4302" s="71">
        <f>IF(L4302&lt;1,1,L4302)</f>
        <v>1</v>
      </c>
      <c r="N4302" s="70" t="s">
        <v>141</v>
      </c>
      <c r="O4302" s="71">
        <f>INDEX(DurClassMapping,MATCH(M4302,MappingTables!$D$4:$D$8,-1),1)</f>
        <v>1</v>
      </c>
      <c r="P4302" s="73">
        <f>IF(M4302=$A$1,1,$M4302-INDEX(MappingTables!$E$4:$E$8,MATCH(O4302,MappingTables!$B$4:$B$8,0)))</f>
        <v>1</v>
      </c>
      <c r="Q4302" s="71">
        <f>IF(B4302="",0,INDEX(ModelParameters!$D$6:$K$10,MATCH($O4302,ModelParameters!$B$6:$B$10,0),MATCH($J4302,ModelParameters!$D$5:$K$5,0)))</f>
        <v>0.025</v>
      </c>
      <c r="R4302" s="71">
        <f>IF(B4302="",0,INDEX(ModelParameters!$D$13:$K$17,MATCH($O4302,ModelParameters!$B$13:$B$17,0),MATCH($J4302,ModelParameters!$D$5:$K$5,0)))</f>
        <v>0</v>
      </c>
      <c r="S4302" s="160">
        <f>IF(B4302="",0,MIN(IF($N4302="Other Bond TM",ModelParameters!$N$21,1)*(P4302*Q4302+R4302),1))</f>
        <v>0.025</v>
      </c>
      <c r="T4302" s="85">
        <f>IF(B4302="",0,$S4302*$K4302)</f>
        <v>15.93081900866603</v>
      </c>
      <c r="U4302" s="85">
        <f>IF(B4302="",0,IF(OR(H4302=MappingTables!$C$34,H4302=MappingTables!$C$35),T4302,0))</f>
        <v>0</v>
      </c>
      <c r="V4302" s="85">
        <f>IF(ISNA(IF(AND(VLOOKUP(CONCATENATE($D4302,$G4302),CSRFinput!$B:$E,4,0)=0,OR(H4302=MappingTables!$C$34,H4302=MappingTables!$C$35)),1,VLOOKUP(CONCATENATE($D4302,$G4302),CSRFinput!$B:$E,4,0))),0,IF(AND(VLOOKUP(CONCATENATE($D4302,$G4302),CSRFinput!$B:$E,4,0)=0,OR(H4302=MappingTables!$C$34,H4302=MappingTables!$C$35)),1,VLOOKUP(CONCATENATE($D4302,$G4302),CSRFinput!$B:$E,4,0)))</f>
        <v>0.054776304963434752</v>
      </c>
      <c r="W4302" s="85">
        <f>IF(B4302="",0,+$T4302*$V4302)</f>
        <v>0.87263140033597376</v>
      </c>
      <c r="X4302" s="85">
        <f>IF(B4302="",0,IF(OR(H4302=MappingTables!$C$34,H4302=MappingTables!$C$35),W4302,0))</f>
        <v>0</v>
      </c>
    </row>
    <row r="4303" spans="2:24" s="0" customFormat="0" ht="15">
      <c r="B4303" s="69">
        <v>22896289</v>
      </c>
      <c r="C4303" s="70" t="s">
        <v>1306</v>
      </c>
      <c r="D4303" s="70" t="s">
        <v>1</v>
      </c>
      <c r="E4303" s="70" t="s">
        <v>1</v>
      </c>
      <c r="F4303" s="70"/>
      <c r="G4303" s="70" t="s">
        <v>61</v>
      </c>
      <c r="H4303" s="70" t="s">
        <v>178</v>
      </c>
      <c r="I4303" s="70" t="s">
        <v>184</v>
      </c>
      <c r="J4303" s="71">
        <f>IF(OR(I4303=0,I4303=""),"unrated",VLOOKUP(I4303,MappingTables!$B$19:$C$31,2,FALSE))</f>
        <v>5</v>
      </c>
      <c r="K4303" s="72">
        <v>38823.116664963552</v>
      </c>
      <c r="L4303" s="70">
        <v>3.911491970265848</v>
      </c>
      <c r="M4303" s="71">
        <f>IF(L4303&lt;1,1,L4303)</f>
        <v>3.911491970265848</v>
      </c>
      <c r="N4303" s="70" t="s">
        <v>141</v>
      </c>
      <c r="O4303" s="71">
        <f>INDEX(DurClassMapping,MATCH(M4303,MappingTables!$D$4:$D$8,-1),1)</f>
        <v>1</v>
      </c>
      <c r="P4303" s="73">
        <f>IF(M4303=$A$1,1,$M4303-INDEX(MappingTables!$E$4:$E$8,MATCH(O4303,MappingTables!$B$4:$B$8,0)))</f>
        <v>3.911491970265848</v>
      </c>
      <c r="Q4303" s="71">
        <f>IF(B4303="",0,INDEX(ModelParameters!$D$6:$K$10,MATCH($O4303,ModelParameters!$B$6:$B$10,0),MATCH($J4303,ModelParameters!$D$5:$K$5,0)))</f>
        <v>0.075</v>
      </c>
      <c r="R4303" s="71">
        <f>IF(B4303="",0,INDEX(ModelParameters!$D$13:$K$17,MATCH($O4303,ModelParameters!$B$13:$B$17,0),MATCH($J4303,ModelParameters!$D$5:$K$5,0)))</f>
        <v>0</v>
      </c>
      <c r="S4303" s="160">
        <f>IF(B4303="",0,MIN(IF($N4303="Other Bond TM",ModelParameters!$N$21,1)*(P4303*Q4303+R4303),1))</f>
        <v>0.2933618977699386</v>
      </c>
      <c r="T4303" s="85">
        <f>IF(B4303="",0,$S4303*$K4303)</f>
        <v>11389.223182177436</v>
      </c>
      <c r="U4303" s="85">
        <f>IF(B4303="",0,IF(OR(H4303=MappingTables!$C$34,H4303=MappingTables!$C$35),T4303,0))</f>
        <v>0</v>
      </c>
      <c r="V4303" s="85">
        <f>IF(ISNA(IF(AND(VLOOKUP(CONCATENATE($D4303,$G4303),CSRFinput!$B:$E,4,0)=0,OR(H4303=MappingTables!$C$34,H4303=MappingTables!$C$35)),1,VLOOKUP(CONCATENATE($D4303,$G4303),CSRFinput!$B:$E,4,0))),0,IF(AND(VLOOKUP(CONCATENATE($D4303,$G4303),CSRFinput!$B:$E,4,0)=0,OR(H4303=MappingTables!$C$34,H4303=MappingTables!$C$35)),1,VLOOKUP(CONCATENATE($D4303,$G4303),CSRFinput!$B:$E,4,0)))</f>
        <v>0.054776304963434752</v>
      </c>
      <c r="W4303" s="85">
        <f>IF(B4303="",0,+$T4303*$V4303)</f>
        <v>623.85956232357208</v>
      </c>
      <c r="X4303" s="85">
        <f>IF(B4303="",0,IF(OR(H4303=MappingTables!$C$34,H4303=MappingTables!$C$35),W4303,0))</f>
        <v>0</v>
      </c>
    </row>
    <row r="4304" spans="2:24" s="0" customFormat="0" ht="15">
      <c r="B4304" s="69" t="s">
        <v>2972</v>
      </c>
      <c r="C4304" s="70" t="s">
        <v>2973</v>
      </c>
      <c r="D4304" s="70" t="s">
        <v>1</v>
      </c>
      <c r="E4304" s="70" t="s">
        <v>1</v>
      </c>
      <c r="F4304" s="70"/>
      <c r="G4304" s="70" t="s">
        <v>61</v>
      </c>
      <c r="H4304" s="70" t="s">
        <v>178</v>
      </c>
      <c r="I4304" s="70" t="s">
        <v>181</v>
      </c>
      <c r="J4304" s="71">
        <f>IF(OR(I4304=0,I4304=""),"unrated",VLOOKUP(I4304,MappingTables!$B$19:$C$31,2,FALSE))</f>
        <v>3</v>
      </c>
      <c r="K4304" s="72">
        <v>641.01016477086408</v>
      </c>
      <c r="L4304" s="70">
        <v>4.8522204320055104</v>
      </c>
      <c r="M4304" s="71">
        <f>IF(L4304&lt;1,1,L4304)</f>
        <v>4.8522204320055104</v>
      </c>
      <c r="N4304" s="70" t="s">
        <v>141</v>
      </c>
      <c r="O4304" s="71">
        <f>INDEX(DurClassMapping,MATCH(M4304,MappingTables!$D$4:$D$8,-1),1)</f>
        <v>1</v>
      </c>
      <c r="P4304" s="73">
        <f>IF(M4304=$A$1,1,$M4304-INDEX(MappingTables!$E$4:$E$8,MATCH(O4304,MappingTables!$B$4:$B$8,0)))</f>
        <v>4.8522204320055104</v>
      </c>
      <c r="Q4304" s="71">
        <f>IF(B4304="",0,INDEX(ModelParameters!$D$6:$K$10,MATCH($O4304,ModelParameters!$B$6:$B$10,0),MATCH($J4304,ModelParameters!$D$5:$K$5,0)))</f>
        <v>0.025</v>
      </c>
      <c r="R4304" s="71">
        <f>IF(B4304="",0,INDEX(ModelParameters!$D$13:$K$17,MATCH($O4304,ModelParameters!$B$13:$B$17,0),MATCH($J4304,ModelParameters!$D$5:$K$5,0)))</f>
        <v>0</v>
      </c>
      <c r="S4304" s="160">
        <f>IF(B4304="",0,MIN(IF($N4304="Other Bond TM",ModelParameters!$N$21,1)*(P4304*Q4304+R4304),1))</f>
        <v>0.12130551080013776</v>
      </c>
      <c r="T4304" s="85">
        <f>IF(B4304="",0,$S4304*$K4304)</f>
        <v>77.758065465610144</v>
      </c>
      <c r="U4304" s="85">
        <f>IF(B4304="",0,IF(OR(H4304=MappingTables!$C$34,H4304=MappingTables!$C$35),T4304,0))</f>
        <v>0</v>
      </c>
      <c r="V4304" s="85">
        <f>IF(ISNA(IF(AND(VLOOKUP(CONCATENATE($D4304,$G4304),CSRFinput!$B:$E,4,0)=0,OR(H4304=MappingTables!$C$34,H4304=MappingTables!$C$35)),1,VLOOKUP(CONCATENATE($D4304,$G4304),CSRFinput!$B:$E,4,0))),0,IF(AND(VLOOKUP(CONCATENATE($D4304,$G4304),CSRFinput!$B:$E,4,0)=0,OR(H4304=MappingTables!$C$34,H4304=MappingTables!$C$35)),1,VLOOKUP(CONCATENATE($D4304,$G4304),CSRFinput!$B:$E,4,0)))</f>
        <v>0.054776304963434752</v>
      </c>
      <c r="W4304" s="85">
        <f>IF(B4304="",0,+$T4304*$V4304)</f>
        <v>4.2592995073109856</v>
      </c>
      <c r="X4304" s="85">
        <f>IF(B4304="",0,IF(OR(H4304=MappingTables!$C$34,H4304=MappingTables!$C$35),W4304,0))</f>
        <v>0</v>
      </c>
    </row>
    <row r="4305" spans="2:24" s="0" customFormat="0" ht="15">
      <c r="B4305" s="69" t="s">
        <v>2614</v>
      </c>
      <c r="C4305" s="70" t="s">
        <v>2615</v>
      </c>
      <c r="D4305" s="70" t="s">
        <v>1</v>
      </c>
      <c r="E4305" s="70" t="s">
        <v>1</v>
      </c>
      <c r="F4305" s="70"/>
      <c r="G4305" s="70" t="s">
        <v>61</v>
      </c>
      <c r="H4305" s="70" t="s">
        <v>178</v>
      </c>
      <c r="I4305" s="70" t="s">
        <v>179</v>
      </c>
      <c r="J4305" s="71">
        <f>IF(OR(I4305=0,I4305=""),"unrated",VLOOKUP(I4305,MappingTables!$B$19:$C$31,2,FALSE))</f>
        <v>4</v>
      </c>
      <c r="K4305" s="72">
        <v>227.93733950931108</v>
      </c>
      <c r="L4305" s="70">
        <v>3.2434947570313196</v>
      </c>
      <c r="M4305" s="71">
        <f>IF(L4305&lt;1,1,L4305)</f>
        <v>3.2434947570313196</v>
      </c>
      <c r="N4305" s="70" t="s">
        <v>141</v>
      </c>
      <c r="O4305" s="71">
        <f>INDEX(DurClassMapping,MATCH(M4305,MappingTables!$D$4:$D$8,-1),1)</f>
        <v>1</v>
      </c>
      <c r="P4305" s="73">
        <f>IF(M4305=$A$1,1,$M4305-INDEX(MappingTables!$E$4:$E$8,MATCH(O4305,MappingTables!$B$4:$B$8,0)))</f>
        <v>3.2434947570313196</v>
      </c>
      <c r="Q4305" s="71">
        <f>IF(B4305="",0,INDEX(ModelParameters!$D$6:$K$10,MATCH($O4305,ModelParameters!$B$6:$B$10,0),MATCH($J4305,ModelParameters!$D$5:$K$5,0)))</f>
        <v>0.045</v>
      </c>
      <c r="R4305" s="71">
        <f>IF(B4305="",0,INDEX(ModelParameters!$D$13:$K$17,MATCH($O4305,ModelParameters!$B$13:$B$17,0),MATCH($J4305,ModelParameters!$D$5:$K$5,0)))</f>
        <v>0</v>
      </c>
      <c r="S4305" s="160">
        <f>IF(B4305="",0,MIN(IF($N4305="Other Bond TM",ModelParameters!$N$21,1)*(P4305*Q4305+R4305),1))</f>
        <v>0.14595726406640938</v>
      </c>
      <c r="T4305" s="85">
        <f>IF(B4305="",0,$S4305*$K4305)</f>
        <v>33.269110453355324</v>
      </c>
      <c r="U4305" s="85">
        <f>IF(B4305="",0,IF(OR(H4305=MappingTables!$C$34,H4305=MappingTables!$C$35),T4305,0))</f>
        <v>0</v>
      </c>
      <c r="V4305" s="85">
        <f>IF(ISNA(IF(AND(VLOOKUP(CONCATENATE($D4305,$G4305),CSRFinput!$B:$E,4,0)=0,OR(H4305=MappingTables!$C$34,H4305=MappingTables!$C$35)),1,VLOOKUP(CONCATENATE($D4305,$G4305),CSRFinput!$B:$E,4,0))),0,IF(AND(VLOOKUP(CONCATENATE($D4305,$G4305),CSRFinput!$B:$E,4,0)=0,OR(H4305=MappingTables!$C$34,H4305=MappingTables!$C$35)),1,VLOOKUP(CONCATENATE($D4305,$G4305),CSRFinput!$B:$E,4,0)))</f>
        <v>0.054776304963434752</v>
      </c>
      <c r="W4305" s="85">
        <f>IF(B4305="",0,+$T4305*$V4305)</f>
        <v>1.8223589400551864</v>
      </c>
      <c r="X4305" s="85">
        <f>IF(B4305="",0,IF(OR(H4305=MappingTables!$C$34,H4305=MappingTables!$C$35),W4305,0))</f>
        <v>0</v>
      </c>
    </row>
    <row r="4306" spans="2:24" s="0" customFormat="0" ht="15">
      <c r="B4306" s="69" t="s">
        <v>1462</v>
      </c>
      <c r="C4306" s="70" t="s">
        <v>1463</v>
      </c>
      <c r="D4306" s="70" t="s">
        <v>1</v>
      </c>
      <c r="E4306" s="70" t="s">
        <v>1</v>
      </c>
      <c r="F4306" s="70"/>
      <c r="G4306" s="70" t="s">
        <v>61</v>
      </c>
      <c r="H4306" s="70" t="s">
        <v>178</v>
      </c>
      <c r="I4306" s="70" t="s">
        <v>179</v>
      </c>
      <c r="J4306" s="71">
        <f>IF(OR(I4306=0,I4306=""),"unrated",VLOOKUP(I4306,MappingTables!$B$19:$C$31,2,FALSE))</f>
        <v>4</v>
      </c>
      <c r="K4306" s="72">
        <v>2969.44237752887</v>
      </c>
      <c r="L4306" s="70">
        <v>1.3688011496538076</v>
      </c>
      <c r="M4306" s="71">
        <f>IF(L4306&lt;1,1,L4306)</f>
        <v>1.3688011496538076</v>
      </c>
      <c r="N4306" s="70" t="s">
        <v>141</v>
      </c>
      <c r="O4306" s="71">
        <f>INDEX(DurClassMapping,MATCH(M4306,MappingTables!$D$4:$D$8,-1),1)</f>
        <v>1</v>
      </c>
      <c r="P4306" s="73">
        <f>IF(M4306=$A$1,1,$M4306-INDEX(MappingTables!$E$4:$E$8,MATCH(O4306,MappingTables!$B$4:$B$8,0)))</f>
        <v>1.3688011496538076</v>
      </c>
      <c r="Q4306" s="71">
        <f>IF(B4306="",0,INDEX(ModelParameters!$D$6:$K$10,MATCH($O4306,ModelParameters!$B$6:$B$10,0),MATCH($J4306,ModelParameters!$D$5:$K$5,0)))</f>
        <v>0.045</v>
      </c>
      <c r="R4306" s="71">
        <f>IF(B4306="",0,INDEX(ModelParameters!$D$13:$K$17,MATCH($O4306,ModelParameters!$B$13:$B$17,0),MATCH($J4306,ModelParameters!$D$5:$K$5,0)))</f>
        <v>0</v>
      </c>
      <c r="S4306" s="160">
        <f>IF(B4306="",0,MIN(IF($N4306="Other Bond TM",ModelParameters!$N$21,1)*(P4306*Q4306+R4306),1))</f>
        <v>0.061596051734421336</v>
      </c>
      <c r="T4306" s="85">
        <f>IF(B4306="",0,$S4306*$K4306)</f>
        <v>182.90592630865136</v>
      </c>
      <c r="U4306" s="85">
        <f>IF(B4306="",0,IF(OR(H4306=MappingTables!$C$34,H4306=MappingTables!$C$35),T4306,0))</f>
        <v>0</v>
      </c>
      <c r="V4306" s="85">
        <f>IF(ISNA(IF(AND(VLOOKUP(CONCATENATE($D4306,$G4306),CSRFinput!$B:$E,4,0)=0,OR(H4306=MappingTables!$C$34,H4306=MappingTables!$C$35)),1,VLOOKUP(CONCATENATE($D4306,$G4306),CSRFinput!$B:$E,4,0))),0,IF(AND(VLOOKUP(CONCATENATE($D4306,$G4306),CSRFinput!$B:$E,4,0)=0,OR(H4306=MappingTables!$C$34,H4306=MappingTables!$C$35)),1,VLOOKUP(CONCATENATE($D4306,$G4306),CSRFinput!$B:$E,4,0)))</f>
        <v>0.054776304963434752</v>
      </c>
      <c r="W4306" s="85">
        <f>IF(B4306="",0,+$T4306*$V4306)</f>
        <v>10.018910799102212</v>
      </c>
      <c r="X4306" s="85">
        <f>IF(B4306="",0,IF(OR(H4306=MappingTables!$C$34,H4306=MappingTables!$C$35),W4306,0))</f>
        <v>0</v>
      </c>
    </row>
    <row r="4307" spans="2:24" s="0" customFormat="0" ht="15">
      <c r="B4307" s="69">
        <v>19215090</v>
      </c>
      <c r="C4307" s="70" t="s">
        <v>2988</v>
      </c>
      <c r="D4307" s="70" t="s">
        <v>1</v>
      </c>
      <c r="E4307" s="70" t="s">
        <v>1</v>
      </c>
      <c r="F4307" s="70"/>
      <c r="G4307" s="70" t="s">
        <v>61</v>
      </c>
      <c r="H4307" s="70" t="s">
        <v>178</v>
      </c>
      <c r="I4307" s="70" t="s">
        <v>184</v>
      </c>
      <c r="J4307" s="71">
        <f>IF(OR(I4307=0,I4307=""),"unrated",VLOOKUP(I4307,MappingTables!$B$19:$C$31,2,FALSE))</f>
        <v>5</v>
      </c>
      <c r="K4307" s="72">
        <v>15.671313230391682</v>
      </c>
      <c r="L4307" s="70">
        <v>0.084931850342425792</v>
      </c>
      <c r="M4307" s="71">
        <f>IF(L4307&lt;1,1,L4307)</f>
        <v>1</v>
      </c>
      <c r="N4307" s="70" t="s">
        <v>141</v>
      </c>
      <c r="O4307" s="71">
        <f>INDEX(DurClassMapping,MATCH(M4307,MappingTables!$D$4:$D$8,-1),1)</f>
        <v>1</v>
      </c>
      <c r="P4307" s="73">
        <f>IF(M4307=$A$1,1,$M4307-INDEX(MappingTables!$E$4:$E$8,MATCH(O4307,MappingTables!$B$4:$B$8,0)))</f>
        <v>1</v>
      </c>
      <c r="Q4307" s="71">
        <f>IF(B4307="",0,INDEX(ModelParameters!$D$6:$K$10,MATCH($O4307,ModelParameters!$B$6:$B$10,0),MATCH($J4307,ModelParameters!$D$5:$K$5,0)))</f>
        <v>0.075</v>
      </c>
      <c r="R4307" s="71">
        <f>IF(B4307="",0,INDEX(ModelParameters!$D$13:$K$17,MATCH($O4307,ModelParameters!$B$13:$B$17,0),MATCH($J4307,ModelParameters!$D$5:$K$5,0)))</f>
        <v>0</v>
      </c>
      <c r="S4307" s="160">
        <f>IF(B4307="",0,MIN(IF($N4307="Other Bond TM",ModelParameters!$N$21,1)*(P4307*Q4307+R4307),1))</f>
        <v>0.075</v>
      </c>
      <c r="T4307" s="85">
        <f>IF(B4307="",0,$S4307*$K4307)</f>
        <v>1.1753484922793762</v>
      </c>
      <c r="U4307" s="85">
        <f>IF(B4307="",0,IF(OR(H4307=MappingTables!$C$34,H4307=MappingTables!$C$35),T4307,0))</f>
        <v>0</v>
      </c>
      <c r="V4307" s="85">
        <f>IF(ISNA(IF(AND(VLOOKUP(CONCATENATE($D4307,$G4307),CSRFinput!$B:$E,4,0)=0,OR(H4307=MappingTables!$C$34,H4307=MappingTables!$C$35)),1,VLOOKUP(CONCATENATE($D4307,$G4307),CSRFinput!$B:$E,4,0))),0,IF(AND(VLOOKUP(CONCATENATE($D4307,$G4307),CSRFinput!$B:$E,4,0)=0,OR(H4307=MappingTables!$C$34,H4307=MappingTables!$C$35)),1,VLOOKUP(CONCATENATE($D4307,$G4307),CSRFinput!$B:$E,4,0)))</f>
        <v>0.054776304963434752</v>
      </c>
      <c r="W4307" s="85">
        <f>IF(B4307="",0,+$T4307*$V4307)</f>
        <v>0.064381247451408344</v>
      </c>
      <c r="X4307" s="85">
        <f>IF(B4307="",0,IF(OR(H4307=MappingTables!$C$34,H4307=MappingTables!$C$35),W4307,0))</f>
        <v>0</v>
      </c>
    </row>
    <row r="4308" spans="2:24" s="0" customFormat="0" ht="15">
      <c r="B4308" s="69">
        <v>5149490</v>
      </c>
      <c r="C4308" s="70" t="s">
        <v>1127</v>
      </c>
      <c r="D4308" s="70" t="s">
        <v>1</v>
      </c>
      <c r="E4308" s="70" t="s">
        <v>1</v>
      </c>
      <c r="F4308" s="70"/>
      <c r="G4308" s="70" t="s">
        <v>61</v>
      </c>
      <c r="H4308" s="70" t="s">
        <v>178</v>
      </c>
      <c r="I4308" s="70" t="s">
        <v>181</v>
      </c>
      <c r="J4308" s="71">
        <f>IF(OR(I4308=0,I4308=""),"unrated",VLOOKUP(I4308,MappingTables!$B$19:$C$31,2,FALSE))</f>
        <v>3</v>
      </c>
      <c r="K4308" s="72">
        <v>231.44832196434136</v>
      </c>
      <c r="L4308" s="70">
        <v>1.6315315276172056</v>
      </c>
      <c r="M4308" s="71">
        <f>IF(L4308&lt;1,1,L4308)</f>
        <v>1.6315315276172056</v>
      </c>
      <c r="N4308" s="70" t="s">
        <v>141</v>
      </c>
      <c r="O4308" s="71">
        <f>INDEX(DurClassMapping,MATCH(M4308,MappingTables!$D$4:$D$8,-1),1)</f>
        <v>1</v>
      </c>
      <c r="P4308" s="73">
        <f>IF(M4308=$A$1,1,$M4308-INDEX(MappingTables!$E$4:$E$8,MATCH(O4308,MappingTables!$B$4:$B$8,0)))</f>
        <v>1.6315315276172056</v>
      </c>
      <c r="Q4308" s="71">
        <f>IF(B4308="",0,INDEX(ModelParameters!$D$6:$K$10,MATCH($O4308,ModelParameters!$B$6:$B$10,0),MATCH($J4308,ModelParameters!$D$5:$K$5,0)))</f>
        <v>0.025</v>
      </c>
      <c r="R4308" s="71">
        <f>IF(B4308="",0,INDEX(ModelParameters!$D$13:$K$17,MATCH($O4308,ModelParameters!$B$13:$B$17,0),MATCH($J4308,ModelParameters!$D$5:$K$5,0)))</f>
        <v>0</v>
      </c>
      <c r="S4308" s="160">
        <f>IF(B4308="",0,MIN(IF($N4308="Other Bond TM",ModelParameters!$N$21,1)*(P4308*Q4308+R4308),1))</f>
        <v>0.040788288190430144</v>
      </c>
      <c r="T4308" s="85">
        <f>IF(B4308="",0,$S4308*$K4308)</f>
        <v>9.4403808574730176</v>
      </c>
      <c r="U4308" s="85">
        <f>IF(B4308="",0,IF(OR(H4308=MappingTables!$C$34,H4308=MappingTables!$C$35),T4308,0))</f>
        <v>0</v>
      </c>
      <c r="V4308" s="85">
        <f>IF(ISNA(IF(AND(VLOOKUP(CONCATENATE($D4308,$G4308),CSRFinput!$B:$E,4,0)=0,OR(H4308=MappingTables!$C$34,H4308=MappingTables!$C$35)),1,VLOOKUP(CONCATENATE($D4308,$G4308),CSRFinput!$B:$E,4,0))),0,IF(AND(VLOOKUP(CONCATENATE($D4308,$G4308),CSRFinput!$B:$E,4,0)=0,OR(H4308=MappingTables!$C$34,H4308=MappingTables!$C$35)),1,VLOOKUP(CONCATENATE($D4308,$G4308),CSRFinput!$B:$E,4,0)))</f>
        <v>0.054776304963434752</v>
      </c>
      <c r="W4308" s="85">
        <f>IF(B4308="",0,+$T4308*$V4308)</f>
        <v>0.51710918081991376</v>
      </c>
      <c r="X4308" s="85">
        <f>IF(B4308="",0,IF(OR(H4308=MappingTables!$C$34,H4308=MappingTables!$C$35),W4308,0))</f>
        <v>0</v>
      </c>
    </row>
    <row r="4309" spans="2:24" s="0" customFormat="0" ht="15">
      <c r="B4309" s="69">
        <v>15861122</v>
      </c>
      <c r="C4309" s="70" t="s">
        <v>1386</v>
      </c>
      <c r="D4309" s="70" t="s">
        <v>1</v>
      </c>
      <c r="E4309" s="70" t="s">
        <v>1</v>
      </c>
      <c r="F4309" s="70"/>
      <c r="G4309" s="70" t="s">
        <v>61</v>
      </c>
      <c r="H4309" s="70" t="s">
        <v>178</v>
      </c>
      <c r="I4309" s="70" t="s">
        <v>181</v>
      </c>
      <c r="J4309" s="71">
        <f>IF(OR(I4309=0,I4309=""),"unrated",VLOOKUP(I4309,MappingTables!$B$19:$C$31,2,FALSE))</f>
        <v>3</v>
      </c>
      <c r="K4309" s="72">
        <v>59642.70649756912</v>
      </c>
      <c r="L4309" s="70">
        <v>2.0111624735251108</v>
      </c>
      <c r="M4309" s="71">
        <f>IF(L4309&lt;1,1,L4309)</f>
        <v>2.0111624735251108</v>
      </c>
      <c r="N4309" s="70" t="s">
        <v>141</v>
      </c>
      <c r="O4309" s="71">
        <f>INDEX(DurClassMapping,MATCH(M4309,MappingTables!$D$4:$D$8,-1),1)</f>
        <v>1</v>
      </c>
      <c r="P4309" s="73">
        <f>IF(M4309=$A$1,1,$M4309-INDEX(MappingTables!$E$4:$E$8,MATCH(O4309,MappingTables!$B$4:$B$8,0)))</f>
        <v>2.0111624735251108</v>
      </c>
      <c r="Q4309" s="71">
        <f>IF(B4309="",0,INDEX(ModelParameters!$D$6:$K$10,MATCH($O4309,ModelParameters!$B$6:$B$10,0),MATCH($J4309,ModelParameters!$D$5:$K$5,0)))</f>
        <v>0.025</v>
      </c>
      <c r="R4309" s="71">
        <f>IF(B4309="",0,INDEX(ModelParameters!$D$13:$K$17,MATCH($O4309,ModelParameters!$B$13:$B$17,0),MATCH($J4309,ModelParameters!$D$5:$K$5,0)))</f>
        <v>0</v>
      </c>
      <c r="S4309" s="160">
        <f>IF(B4309="",0,MIN(IF($N4309="Other Bond TM",ModelParameters!$N$21,1)*(P4309*Q4309+R4309),1))</f>
        <v>0.050279061838127776</v>
      </c>
      <c r="T4309" s="85">
        <f>IF(B4309="",0,$S4309*$K4309)</f>
        <v>2998.7793281845828</v>
      </c>
      <c r="U4309" s="85">
        <f>IF(B4309="",0,IF(OR(H4309=MappingTables!$C$34,H4309=MappingTables!$C$35),T4309,0))</f>
        <v>0</v>
      </c>
      <c r="V4309" s="85">
        <f>IF(ISNA(IF(AND(VLOOKUP(CONCATENATE($D4309,$G4309),CSRFinput!$B:$E,4,0)=0,OR(H4309=MappingTables!$C$34,H4309=MappingTables!$C$35)),1,VLOOKUP(CONCATENATE($D4309,$G4309),CSRFinput!$B:$E,4,0))),0,IF(AND(VLOOKUP(CONCATENATE($D4309,$G4309),CSRFinput!$B:$E,4,0)=0,OR(H4309=MappingTables!$C$34,H4309=MappingTables!$C$35)),1,VLOOKUP(CONCATENATE($D4309,$G4309),CSRFinput!$B:$E,4,0)))</f>
        <v>0.054776304963434752</v>
      </c>
      <c r="W4309" s="85">
        <f>IF(B4309="",0,+$T4309*$V4309)</f>
        <v>164.2620509986827</v>
      </c>
      <c r="X4309" s="85">
        <f>IF(B4309="",0,IF(OR(H4309=MappingTables!$C$34,H4309=MappingTables!$C$35),W4309,0))</f>
        <v>0</v>
      </c>
    </row>
    <row r="4310" spans="2:24" s="0" customFormat="0" ht="15">
      <c r="B4310" s="69">
        <v>14844837</v>
      </c>
      <c r="C4310" s="70" t="s">
        <v>640</v>
      </c>
      <c r="D4310" s="70" t="s">
        <v>1</v>
      </c>
      <c r="E4310" s="70" t="s">
        <v>1</v>
      </c>
      <c r="F4310" s="70"/>
      <c r="G4310" s="70" t="s">
        <v>61</v>
      </c>
      <c r="H4310" s="70" t="s">
        <v>178</v>
      </c>
      <c r="I4310" s="70" t="s">
        <v>181</v>
      </c>
      <c r="J4310" s="71">
        <f>IF(OR(I4310=0,I4310=""),"unrated",VLOOKUP(I4310,MappingTables!$B$19:$C$31,2,FALSE))</f>
        <v>3</v>
      </c>
      <c r="K4310" s="72">
        <v>59.423052181784544</v>
      </c>
      <c r="L4310" s="70">
        <v>1.8152654757206816</v>
      </c>
      <c r="M4310" s="71">
        <f>IF(L4310&lt;1,1,L4310)</f>
        <v>1.8152654757206816</v>
      </c>
      <c r="N4310" s="70" t="s">
        <v>141</v>
      </c>
      <c r="O4310" s="71">
        <f>INDEX(DurClassMapping,MATCH(M4310,MappingTables!$D$4:$D$8,-1),1)</f>
        <v>1</v>
      </c>
      <c r="P4310" s="73">
        <f>IF(M4310=$A$1,1,$M4310-INDEX(MappingTables!$E$4:$E$8,MATCH(O4310,MappingTables!$B$4:$B$8,0)))</f>
        <v>1.8152654757206816</v>
      </c>
      <c r="Q4310" s="71">
        <f>IF(B4310="",0,INDEX(ModelParameters!$D$6:$K$10,MATCH($O4310,ModelParameters!$B$6:$B$10,0),MATCH($J4310,ModelParameters!$D$5:$K$5,0)))</f>
        <v>0.025</v>
      </c>
      <c r="R4310" s="71">
        <f>IF(B4310="",0,INDEX(ModelParameters!$D$13:$K$17,MATCH($O4310,ModelParameters!$B$13:$B$17,0),MATCH($J4310,ModelParameters!$D$5:$K$5,0)))</f>
        <v>0</v>
      </c>
      <c r="S4310" s="160">
        <f>IF(B4310="",0,MIN(IF($N4310="Other Bond TM",ModelParameters!$N$21,1)*(P4310*Q4310+R4310),1))</f>
        <v>0.04538163689301704</v>
      </c>
      <c r="T4310" s="85">
        <f>IF(B4310="",0,$S4310*$K4310)</f>
        <v>2.69671537718855</v>
      </c>
      <c r="U4310" s="85">
        <f>IF(B4310="",0,IF(OR(H4310=MappingTables!$C$34,H4310=MappingTables!$C$35),T4310,0))</f>
        <v>0</v>
      </c>
      <c r="V4310" s="85">
        <f>IF(ISNA(IF(AND(VLOOKUP(CONCATENATE($D4310,$G4310),CSRFinput!$B:$E,4,0)=0,OR(H4310=MappingTables!$C$34,H4310=MappingTables!$C$35)),1,VLOOKUP(CONCATENATE($D4310,$G4310),CSRFinput!$B:$E,4,0))),0,IF(AND(VLOOKUP(CONCATENATE($D4310,$G4310),CSRFinput!$B:$E,4,0)=0,OR(H4310=MappingTables!$C$34,H4310=MappingTables!$C$35)),1,VLOOKUP(CONCATENATE($D4310,$G4310),CSRFinput!$B:$E,4,0)))</f>
        <v>0.054776304963434752</v>
      </c>
      <c r="W4310" s="85">
        <f>IF(B4310="",0,+$T4310*$V4310)</f>
        <v>0.147716103900464</v>
      </c>
      <c r="X4310" s="85">
        <f>IF(B4310="",0,IF(OR(H4310=MappingTables!$C$34,H4310=MappingTables!$C$35),W4310,0))</f>
        <v>0</v>
      </c>
    </row>
    <row r="4311" spans="2:24" s="0" customFormat="0" ht="15">
      <c r="B4311" s="69" t="s">
        <v>1381</v>
      </c>
      <c r="C4311" s="70" t="s">
        <v>1382</v>
      </c>
      <c r="D4311" s="70" t="s">
        <v>1</v>
      </c>
      <c r="E4311" s="70" t="s">
        <v>1</v>
      </c>
      <c r="F4311" s="70"/>
      <c r="G4311" s="70" t="s">
        <v>61</v>
      </c>
      <c r="H4311" s="70" t="s">
        <v>178</v>
      </c>
      <c r="I4311" s="70" t="s">
        <v>204</v>
      </c>
      <c r="J4311" s="71">
        <f>IF(OR(I4311=0,I4311=""),"unrated",VLOOKUP(I4311,MappingTables!$B$19:$C$31,2,FALSE))</f>
        <v>6</v>
      </c>
      <c r="K4311" s="72">
        <v>43123.630146796016</v>
      </c>
      <c r="L4311" s="70">
        <v>0.087670551590068576</v>
      </c>
      <c r="M4311" s="71">
        <f>IF(L4311&lt;1,1,L4311)</f>
        <v>1</v>
      </c>
      <c r="N4311" s="70" t="s">
        <v>141</v>
      </c>
      <c r="O4311" s="71">
        <f>INDEX(DurClassMapping,MATCH(M4311,MappingTables!$D$4:$D$8,-1),1)</f>
        <v>1</v>
      </c>
      <c r="P4311" s="73">
        <f>IF(M4311=$A$1,1,$M4311-INDEX(MappingTables!$E$4:$E$8,MATCH(O4311,MappingTables!$B$4:$B$8,0)))</f>
        <v>1</v>
      </c>
      <c r="Q4311" s="71">
        <f>IF(B4311="",0,INDEX(ModelParameters!$D$6:$K$10,MATCH($O4311,ModelParameters!$B$6:$B$10,0),MATCH($J4311,ModelParameters!$D$5:$K$5,0)))</f>
        <v>0.075</v>
      </c>
      <c r="R4311" s="71">
        <f>IF(B4311="",0,INDEX(ModelParameters!$D$13:$K$17,MATCH($O4311,ModelParameters!$B$13:$B$17,0),MATCH($J4311,ModelParameters!$D$5:$K$5,0)))</f>
        <v>0</v>
      </c>
      <c r="S4311" s="160">
        <f>IF(B4311="",0,MIN(IF($N4311="Other Bond TM",ModelParameters!$N$21,1)*(P4311*Q4311+R4311),1))</f>
        <v>0.075</v>
      </c>
      <c r="T4311" s="85">
        <f>IF(B4311="",0,$S4311*$K4311)</f>
        <v>3234.2722610097012</v>
      </c>
      <c r="U4311" s="85">
        <f>IF(B4311="",0,IF(OR(H4311=MappingTables!$C$34,H4311=MappingTables!$C$35),T4311,0))</f>
        <v>0</v>
      </c>
      <c r="V4311" s="85">
        <f>IF(ISNA(IF(AND(VLOOKUP(CONCATENATE($D4311,$G4311),CSRFinput!$B:$E,4,0)=0,OR(H4311=MappingTables!$C$34,H4311=MappingTables!$C$35)),1,VLOOKUP(CONCATENATE($D4311,$G4311),CSRFinput!$B:$E,4,0))),0,IF(AND(VLOOKUP(CONCATENATE($D4311,$G4311),CSRFinput!$B:$E,4,0)=0,OR(H4311=MappingTables!$C$34,H4311=MappingTables!$C$35)),1,VLOOKUP(CONCATENATE($D4311,$G4311),CSRFinput!$B:$E,4,0)))</f>
        <v>0.054776304963434752</v>
      </c>
      <c r="W4311" s="85">
        <f>IF(B4311="",0,+$T4311*$V4311)</f>
        <v>177.16148370384506</v>
      </c>
      <c r="X4311" s="85">
        <f>IF(B4311="",0,IF(OR(H4311=MappingTables!$C$34,H4311=MappingTables!$C$35),W4311,0))</f>
        <v>0</v>
      </c>
    </row>
    <row r="4312" spans="2:24" s="0" customFormat="0" ht="15">
      <c r="B4312" s="69">
        <v>23127282</v>
      </c>
      <c r="C4312" s="70" t="s">
        <v>339</v>
      </c>
      <c r="D4312" s="70" t="s">
        <v>1</v>
      </c>
      <c r="E4312" s="70" t="s">
        <v>1</v>
      </c>
      <c r="F4312" s="70"/>
      <c r="G4312" s="70" t="s">
        <v>61</v>
      </c>
      <c r="H4312" s="70" t="s">
        <v>178</v>
      </c>
      <c r="I4312" s="70" t="s">
        <v>184</v>
      </c>
      <c r="J4312" s="71">
        <f>IF(OR(I4312=0,I4312=""),"unrated",VLOOKUP(I4312,MappingTables!$B$19:$C$31,2,FALSE))</f>
        <v>5</v>
      </c>
      <c r="K4312" s="72">
        <v>1991.8666035392256</v>
      </c>
      <c r="L4312" s="70">
        <v>1.3117564836601532</v>
      </c>
      <c r="M4312" s="71">
        <f>IF(L4312&lt;1,1,L4312)</f>
        <v>1.3117564836601532</v>
      </c>
      <c r="N4312" s="70" t="s">
        <v>141</v>
      </c>
      <c r="O4312" s="71">
        <f>INDEX(DurClassMapping,MATCH(M4312,MappingTables!$D$4:$D$8,-1),1)</f>
        <v>1</v>
      </c>
      <c r="P4312" s="73">
        <f>IF(M4312=$A$1,1,$M4312-INDEX(MappingTables!$E$4:$E$8,MATCH(O4312,MappingTables!$B$4:$B$8,0)))</f>
        <v>1.3117564836601532</v>
      </c>
      <c r="Q4312" s="71">
        <f>IF(B4312="",0,INDEX(ModelParameters!$D$6:$K$10,MATCH($O4312,ModelParameters!$B$6:$B$10,0),MATCH($J4312,ModelParameters!$D$5:$K$5,0)))</f>
        <v>0.075</v>
      </c>
      <c r="R4312" s="71">
        <f>IF(B4312="",0,INDEX(ModelParameters!$D$13:$K$17,MATCH($O4312,ModelParameters!$B$13:$B$17,0),MATCH($J4312,ModelParameters!$D$5:$K$5,0)))</f>
        <v>0</v>
      </c>
      <c r="S4312" s="160">
        <f>IF(B4312="",0,MIN(IF($N4312="Other Bond TM",ModelParameters!$N$21,1)*(P4312*Q4312+R4312),1))</f>
        <v>0.098381736274511488</v>
      </c>
      <c r="T4312" s="85">
        <f>IF(B4312="",0,$S4312*$K4312)</f>
        <v>195.963294883403</v>
      </c>
      <c r="U4312" s="85">
        <f>IF(B4312="",0,IF(OR(H4312=MappingTables!$C$34,H4312=MappingTables!$C$35),T4312,0))</f>
        <v>0</v>
      </c>
      <c r="V4312" s="85">
        <f>IF(ISNA(IF(AND(VLOOKUP(CONCATENATE($D4312,$G4312),CSRFinput!$B:$E,4,0)=0,OR(H4312=MappingTables!$C$34,H4312=MappingTables!$C$35)),1,VLOOKUP(CONCATENATE($D4312,$G4312),CSRFinput!$B:$E,4,0))),0,IF(AND(VLOOKUP(CONCATENATE($D4312,$G4312),CSRFinput!$B:$E,4,0)=0,OR(H4312=MappingTables!$C$34,H4312=MappingTables!$C$35)),1,VLOOKUP(CONCATENATE($D4312,$G4312),CSRFinput!$B:$E,4,0)))</f>
        <v>0.054776304963434752</v>
      </c>
      <c r="W4312" s="85">
        <f>IF(B4312="",0,+$T4312*$V4312)</f>
        <v>10.734145202172776</v>
      </c>
      <c r="X4312" s="85">
        <f>IF(B4312="",0,IF(OR(H4312=MappingTables!$C$34,H4312=MappingTables!$C$35),W4312,0))</f>
        <v>0</v>
      </c>
    </row>
    <row r="4313" spans="2:24" s="0" customFormat="0" ht="15">
      <c r="B4313" s="69">
        <v>8939457</v>
      </c>
      <c r="C4313" s="70" t="s">
        <v>1134</v>
      </c>
      <c r="D4313" s="70" t="s">
        <v>1</v>
      </c>
      <c r="E4313" s="70" t="s">
        <v>1</v>
      </c>
      <c r="F4313" s="70"/>
      <c r="G4313" s="70" t="s">
        <v>61</v>
      </c>
      <c r="H4313" s="70" t="s">
        <v>178</v>
      </c>
      <c r="I4313" s="70" t="s">
        <v>181</v>
      </c>
      <c r="J4313" s="71">
        <f>IF(OR(I4313=0,I4313=""),"unrated",VLOOKUP(I4313,MappingTables!$B$19:$C$31,2,FALSE))</f>
        <v>3</v>
      </c>
      <c r="K4313" s="72">
        <v>1371.1842266407974</v>
      </c>
      <c r="L4313" s="70">
        <v>13.458322722577422</v>
      </c>
      <c r="M4313" s="71">
        <f>IF(L4313&lt;1,1,L4313)</f>
        <v>13.458322722577422</v>
      </c>
      <c r="N4313" s="70" t="s">
        <v>141</v>
      </c>
      <c r="O4313" s="71">
        <f>INDEX(DurClassMapping,MATCH(M4313,MappingTables!$D$4:$D$8,-1),1)</f>
        <v>3</v>
      </c>
      <c r="P4313" s="73">
        <f>IF(M4313=$A$1,1,$M4313-INDEX(MappingTables!$E$4:$E$8,MATCH(O4313,MappingTables!$B$4:$B$8,0)))</f>
        <v>3.4583227225774228</v>
      </c>
      <c r="Q4313" s="71">
        <f>IF(B4313="",0,INDEX(ModelParameters!$D$6:$K$10,MATCH($O4313,ModelParameters!$B$6:$B$10,0),MATCH($J4313,ModelParameters!$D$5:$K$5,0)))</f>
        <v>0.01</v>
      </c>
      <c r="R4313" s="71">
        <f>IF(B4313="",0,INDEX(ModelParameters!$D$13:$K$17,MATCH($O4313,ModelParameters!$B$13:$B$17,0),MATCH($J4313,ModelParameters!$D$5:$K$5,0)))</f>
        <v>0.2</v>
      </c>
      <c r="S4313" s="160">
        <f>IF(B4313="",0,MIN(IF($N4313="Other Bond TM",ModelParameters!$N$21,1)*(P4313*Q4313+R4313),1))</f>
        <v>0.23458322722577424</v>
      </c>
      <c r="T4313" s="85">
        <f>IF(B4313="",0,$S4313*$K4313)</f>
        <v>321.65682100647568</v>
      </c>
      <c r="U4313" s="85">
        <f>IF(B4313="",0,IF(OR(H4313=MappingTables!$C$34,H4313=MappingTables!$C$35),T4313,0))</f>
        <v>0</v>
      </c>
      <c r="V4313" s="85">
        <f>IF(ISNA(IF(AND(VLOOKUP(CONCATENATE($D4313,$G4313),CSRFinput!$B:$E,4,0)=0,OR(H4313=MappingTables!$C$34,H4313=MappingTables!$C$35)),1,VLOOKUP(CONCATENATE($D4313,$G4313),CSRFinput!$B:$E,4,0))),0,IF(AND(VLOOKUP(CONCATENATE($D4313,$G4313),CSRFinput!$B:$E,4,0)=0,OR(H4313=MappingTables!$C$34,H4313=MappingTables!$C$35)),1,VLOOKUP(CONCATENATE($D4313,$G4313),CSRFinput!$B:$E,4,0)))</f>
        <v>0.054776304963434752</v>
      </c>
      <c r="W4313" s="85">
        <f>IF(B4313="",0,+$T4313*$V4313)</f>
        <v>17.61917212101966</v>
      </c>
      <c r="X4313" s="85">
        <f>IF(B4313="",0,IF(OR(H4313=MappingTables!$C$34,H4313=MappingTables!$C$35),W4313,0))</f>
        <v>0</v>
      </c>
    </row>
    <row r="4314" spans="2:24" s="0" customFormat="0" ht="15">
      <c r="B4314" s="69">
        <v>8234466</v>
      </c>
      <c r="C4314" s="70" t="s">
        <v>2282</v>
      </c>
      <c r="D4314" s="70" t="s">
        <v>1</v>
      </c>
      <c r="E4314" s="70" t="s">
        <v>1</v>
      </c>
      <c r="F4314" s="70"/>
      <c r="G4314" s="70" t="s">
        <v>61</v>
      </c>
      <c r="H4314" s="70" t="s">
        <v>178</v>
      </c>
      <c r="I4314" s="70" t="s">
        <v>181</v>
      </c>
      <c r="J4314" s="71">
        <f>IF(OR(I4314=0,I4314=""),"unrated",VLOOKUP(I4314,MappingTables!$B$19:$C$31,2,FALSE))</f>
        <v>3</v>
      </c>
      <c r="K4314" s="72">
        <v>261.30683005792696</v>
      </c>
      <c r="L4314" s="70">
        <v>0.36438608297406864</v>
      </c>
      <c r="M4314" s="71">
        <f>IF(L4314&lt;1,1,L4314)</f>
        <v>1</v>
      </c>
      <c r="N4314" s="70" t="s">
        <v>141</v>
      </c>
      <c r="O4314" s="71">
        <f>INDEX(DurClassMapping,MATCH(M4314,MappingTables!$D$4:$D$8,-1),1)</f>
        <v>1</v>
      </c>
      <c r="P4314" s="73">
        <f>IF(M4314=$A$1,1,$M4314-INDEX(MappingTables!$E$4:$E$8,MATCH(O4314,MappingTables!$B$4:$B$8,0)))</f>
        <v>1</v>
      </c>
      <c r="Q4314" s="71">
        <f>IF(B4314="",0,INDEX(ModelParameters!$D$6:$K$10,MATCH($O4314,ModelParameters!$B$6:$B$10,0),MATCH($J4314,ModelParameters!$D$5:$K$5,0)))</f>
        <v>0.025</v>
      </c>
      <c r="R4314" s="71">
        <f>IF(B4314="",0,INDEX(ModelParameters!$D$13:$K$17,MATCH($O4314,ModelParameters!$B$13:$B$17,0),MATCH($J4314,ModelParameters!$D$5:$K$5,0)))</f>
        <v>0</v>
      </c>
      <c r="S4314" s="160">
        <f>IF(B4314="",0,MIN(IF($N4314="Other Bond TM",ModelParameters!$N$21,1)*(P4314*Q4314+R4314),1))</f>
        <v>0.025</v>
      </c>
      <c r="T4314" s="85">
        <f>IF(B4314="",0,$S4314*$K4314)</f>
        <v>6.5326707514481744</v>
      </c>
      <c r="U4314" s="85">
        <f>IF(B4314="",0,IF(OR(H4314=MappingTables!$C$34,H4314=MappingTables!$C$35),T4314,0))</f>
        <v>0</v>
      </c>
      <c r="V4314" s="85">
        <f>IF(ISNA(IF(AND(VLOOKUP(CONCATENATE($D4314,$G4314),CSRFinput!$B:$E,4,0)=0,OR(H4314=MappingTables!$C$34,H4314=MappingTables!$C$35)),1,VLOOKUP(CONCATENATE($D4314,$G4314),CSRFinput!$B:$E,4,0))),0,IF(AND(VLOOKUP(CONCATENATE($D4314,$G4314),CSRFinput!$B:$E,4,0)=0,OR(H4314=MappingTables!$C$34,H4314=MappingTables!$C$35)),1,VLOOKUP(CONCATENATE($D4314,$G4314),CSRFinput!$B:$E,4,0)))</f>
        <v>0.054776304963434752</v>
      </c>
      <c r="W4314" s="85">
        <f>IF(B4314="",0,+$T4314*$V4314)</f>
        <v>0.35783556530703568</v>
      </c>
      <c r="X4314" s="85">
        <f>IF(B4314="",0,IF(OR(H4314=MappingTables!$C$34,H4314=MappingTables!$C$35),W4314,0))</f>
        <v>0</v>
      </c>
    </row>
    <row r="4315" spans="2:24" s="0" customFormat="0" ht="15">
      <c r="B4315" s="69" t="s">
        <v>3016</v>
      </c>
      <c r="C4315" s="70" t="s">
        <v>3017</v>
      </c>
      <c r="D4315" s="70" t="s">
        <v>1</v>
      </c>
      <c r="E4315" s="70" t="s">
        <v>1</v>
      </c>
      <c r="F4315" s="70"/>
      <c r="G4315" s="70" t="s">
        <v>61</v>
      </c>
      <c r="H4315" s="70" t="s">
        <v>178</v>
      </c>
      <c r="I4315" s="70" t="s">
        <v>216</v>
      </c>
      <c r="J4315" s="71">
        <f>IF(OR(I4315=0,I4315=""),"unrated",VLOOKUP(I4315,MappingTables!$B$19:$C$31,2,FALSE))</f>
        <v>0</v>
      </c>
      <c r="K4315" s="72">
        <v>32819.673102720808</v>
      </c>
      <c r="L4315" s="70">
        <v>0.22465444264127888</v>
      </c>
      <c r="M4315" s="71">
        <f>IF(L4315&lt;1,1,L4315)</f>
        <v>1</v>
      </c>
      <c r="N4315" s="70" t="s">
        <v>141</v>
      </c>
      <c r="O4315" s="71">
        <f>INDEX(DurClassMapping,MATCH(M4315,MappingTables!$D$4:$D$8,-1),1)</f>
        <v>1</v>
      </c>
      <c r="P4315" s="73">
        <f>IF(M4315=$A$1,1,$M4315-INDEX(MappingTables!$E$4:$E$8,MATCH(O4315,MappingTables!$B$4:$B$8,0)))</f>
        <v>1</v>
      </c>
      <c r="Q4315" s="71">
        <f>IF(B4315="",0,INDEX(ModelParameters!$D$6:$K$10,MATCH($O4315,ModelParameters!$B$6:$B$10,0),MATCH($J4315,ModelParameters!$D$5:$K$5,0)))</f>
        <v>0.0090000000000000016</v>
      </c>
      <c r="R4315" s="71">
        <f>IF(B4315="",0,INDEX(ModelParameters!$D$13:$K$17,MATCH($O4315,ModelParameters!$B$13:$B$17,0),MATCH($J4315,ModelParameters!$D$5:$K$5,0)))</f>
        <v>0</v>
      </c>
      <c r="S4315" s="160">
        <f>IF(B4315="",0,MIN(IF($N4315="Other Bond TM",ModelParameters!$N$21,1)*(P4315*Q4315+R4315),1))</f>
        <v>0.0090000000000000016</v>
      </c>
      <c r="T4315" s="85">
        <f>IF(B4315="",0,$S4315*$K4315)</f>
        <v>295.37705792448732</v>
      </c>
      <c r="U4315" s="85">
        <f>IF(B4315="",0,IF(OR(H4315=MappingTables!$C$34,H4315=MappingTables!$C$35),T4315,0))</f>
        <v>0</v>
      </c>
      <c r="V4315" s="85">
        <f>IF(ISNA(IF(AND(VLOOKUP(CONCATENATE($D4315,$G4315),CSRFinput!$B:$E,4,0)=0,OR(H4315=MappingTables!$C$34,H4315=MappingTables!$C$35)),1,VLOOKUP(CONCATENATE($D4315,$G4315),CSRFinput!$B:$E,4,0))),0,IF(AND(VLOOKUP(CONCATENATE($D4315,$G4315),CSRFinput!$B:$E,4,0)=0,OR(H4315=MappingTables!$C$34,H4315=MappingTables!$C$35)),1,VLOOKUP(CONCATENATE($D4315,$G4315),CSRFinput!$B:$E,4,0)))</f>
        <v>0.054776304963434752</v>
      </c>
      <c r="W4315" s="85">
        <f>IF(B4315="",0,+$T4315*$V4315)</f>
        <v>16.179663804073848</v>
      </c>
      <c r="X4315" s="85">
        <f>IF(B4315="",0,IF(OR(H4315=MappingTables!$C$34,H4315=MappingTables!$C$35),W4315,0))</f>
        <v>0</v>
      </c>
    </row>
    <row r="4316" spans="2:24" s="0" customFormat="0" ht="15">
      <c r="B4316" s="69">
        <v>13326754</v>
      </c>
      <c r="C4316" s="70" t="s">
        <v>2579</v>
      </c>
      <c r="D4316" s="70" t="s">
        <v>1</v>
      </c>
      <c r="E4316" s="70" t="s">
        <v>1</v>
      </c>
      <c r="F4316" s="70"/>
      <c r="G4316" s="70" t="s">
        <v>61</v>
      </c>
      <c r="H4316" s="70" t="s">
        <v>178</v>
      </c>
      <c r="I4316" s="70" t="s">
        <v>179</v>
      </c>
      <c r="J4316" s="71">
        <f>IF(OR(I4316=0,I4316=""),"unrated",VLOOKUP(I4316,MappingTables!$B$19:$C$31,2,FALSE))</f>
        <v>4</v>
      </c>
      <c r="K4316" s="72">
        <v>90.217636432837808</v>
      </c>
      <c r="L4316" s="70">
        <v>1.0728979904861586</v>
      </c>
      <c r="M4316" s="71">
        <f>IF(L4316&lt;1,1,L4316)</f>
        <v>1.0728979904861586</v>
      </c>
      <c r="N4316" s="70" t="s">
        <v>141</v>
      </c>
      <c r="O4316" s="71">
        <f>INDEX(DurClassMapping,MATCH(M4316,MappingTables!$D$4:$D$8,-1),1)</f>
        <v>1</v>
      </c>
      <c r="P4316" s="73">
        <f>IF(M4316=$A$1,1,$M4316-INDEX(MappingTables!$E$4:$E$8,MATCH(O4316,MappingTables!$B$4:$B$8,0)))</f>
        <v>1.0728979904861586</v>
      </c>
      <c r="Q4316" s="71">
        <f>IF(B4316="",0,INDEX(ModelParameters!$D$6:$K$10,MATCH($O4316,ModelParameters!$B$6:$B$10,0),MATCH($J4316,ModelParameters!$D$5:$K$5,0)))</f>
        <v>0.045</v>
      </c>
      <c r="R4316" s="71">
        <f>IF(B4316="",0,INDEX(ModelParameters!$D$13:$K$17,MATCH($O4316,ModelParameters!$B$13:$B$17,0),MATCH($J4316,ModelParameters!$D$5:$K$5,0)))</f>
        <v>0</v>
      </c>
      <c r="S4316" s="160">
        <f>IF(B4316="",0,MIN(IF($N4316="Other Bond TM",ModelParameters!$N$21,1)*(P4316*Q4316+R4316),1))</f>
        <v>0.048280409571877136</v>
      </c>
      <c r="T4316" s="85">
        <f>IF(B4316="",0,$S4316*$K4316)</f>
        <v>4.3557444375841144</v>
      </c>
      <c r="U4316" s="85">
        <f>IF(B4316="",0,IF(OR(H4316=MappingTables!$C$34,H4316=MappingTables!$C$35),T4316,0))</f>
        <v>0</v>
      </c>
      <c r="V4316" s="85">
        <f>IF(ISNA(IF(AND(VLOOKUP(CONCATENATE($D4316,$G4316),CSRFinput!$B:$E,4,0)=0,OR(H4316=MappingTables!$C$34,H4316=MappingTables!$C$35)),1,VLOOKUP(CONCATENATE($D4316,$G4316),CSRFinput!$B:$E,4,0))),0,IF(AND(VLOOKUP(CONCATENATE($D4316,$G4316),CSRFinput!$B:$E,4,0)=0,OR(H4316=MappingTables!$C$34,H4316=MappingTables!$C$35)),1,VLOOKUP(CONCATENATE($D4316,$G4316),CSRFinput!$B:$E,4,0)))</f>
        <v>0.054776304963434752</v>
      </c>
      <c r="W4316" s="85">
        <f>IF(B4316="",0,+$T4316*$V4316)</f>
        <v>0.23859158565589204</v>
      </c>
      <c r="X4316" s="85">
        <f>IF(B4316="",0,IF(OR(H4316=MappingTables!$C$34,H4316=MappingTables!$C$35),W4316,0))</f>
        <v>0</v>
      </c>
    </row>
    <row r="4317" spans="2:24" s="0" customFormat="0" ht="15">
      <c r="B4317" s="69">
        <v>20631186</v>
      </c>
      <c r="C4317" s="70" t="s">
        <v>2635</v>
      </c>
      <c r="D4317" s="70" t="s">
        <v>1</v>
      </c>
      <c r="E4317" s="70" t="s">
        <v>1</v>
      </c>
      <c r="F4317" s="70"/>
      <c r="G4317" s="70" t="s">
        <v>61</v>
      </c>
      <c r="H4317" s="70" t="s">
        <v>178</v>
      </c>
      <c r="I4317" s="70" t="s">
        <v>179</v>
      </c>
      <c r="J4317" s="71">
        <f>IF(OR(I4317=0,I4317=""),"unrated",VLOOKUP(I4317,MappingTables!$B$19:$C$31,2,FALSE))</f>
        <v>4</v>
      </c>
      <c r="K4317" s="72">
        <v>1771.6863400110026</v>
      </c>
      <c r="L4317" s="70">
        <v>1.1781327392110686</v>
      </c>
      <c r="M4317" s="71">
        <f>IF(L4317&lt;1,1,L4317)</f>
        <v>1.1781327392110686</v>
      </c>
      <c r="N4317" s="70" t="s">
        <v>141</v>
      </c>
      <c r="O4317" s="71">
        <f>INDEX(DurClassMapping,MATCH(M4317,MappingTables!$D$4:$D$8,-1),1)</f>
        <v>1</v>
      </c>
      <c r="P4317" s="73">
        <f>IF(M4317=$A$1,1,$M4317-INDEX(MappingTables!$E$4:$E$8,MATCH(O4317,MappingTables!$B$4:$B$8,0)))</f>
        <v>1.1781327392110686</v>
      </c>
      <c r="Q4317" s="71">
        <f>IF(B4317="",0,INDEX(ModelParameters!$D$6:$K$10,MATCH($O4317,ModelParameters!$B$6:$B$10,0),MATCH($J4317,ModelParameters!$D$5:$K$5,0)))</f>
        <v>0.045</v>
      </c>
      <c r="R4317" s="71">
        <f>IF(B4317="",0,INDEX(ModelParameters!$D$13:$K$17,MATCH($O4317,ModelParameters!$B$13:$B$17,0),MATCH($J4317,ModelParameters!$D$5:$K$5,0)))</f>
        <v>0</v>
      </c>
      <c r="S4317" s="160">
        <f>IF(B4317="",0,MIN(IF($N4317="Other Bond TM",ModelParameters!$N$21,1)*(P4317*Q4317+R4317),1))</f>
        <v>0.053015973264498088</v>
      </c>
      <c r="T4317" s="85">
        <f>IF(B4317="",0,$S4317*$K4317)</f>
        <v>93.927675635099776</v>
      </c>
      <c r="U4317" s="85">
        <f>IF(B4317="",0,IF(OR(H4317=MappingTables!$C$34,H4317=MappingTables!$C$35),T4317,0))</f>
        <v>0</v>
      </c>
      <c r="V4317" s="85">
        <f>IF(ISNA(IF(AND(VLOOKUP(CONCATENATE($D4317,$G4317),CSRFinput!$B:$E,4,0)=0,OR(H4317=MappingTables!$C$34,H4317=MappingTables!$C$35)),1,VLOOKUP(CONCATENATE($D4317,$G4317),CSRFinput!$B:$E,4,0))),0,IF(AND(VLOOKUP(CONCATENATE($D4317,$G4317),CSRFinput!$B:$E,4,0)=0,OR(H4317=MappingTables!$C$34,H4317=MappingTables!$C$35)),1,VLOOKUP(CONCATENATE($D4317,$G4317),CSRFinput!$B:$E,4,0)))</f>
        <v>0.054776304963434752</v>
      </c>
      <c r="W4317" s="85">
        <f>IF(B4317="",0,+$T4317*$V4317)</f>
        <v>5.1450110050948056</v>
      </c>
      <c r="X4317" s="85">
        <f>IF(B4317="",0,IF(OR(H4317=MappingTables!$C$34,H4317=MappingTables!$C$35),W4317,0))</f>
        <v>0</v>
      </c>
    </row>
    <row r="4318" spans="2:24" s="0" customFormat="0" ht="15">
      <c r="B4318" s="69">
        <v>12156146</v>
      </c>
      <c r="C4318" s="70" t="s">
        <v>2303</v>
      </c>
      <c r="D4318" s="70" t="s">
        <v>1</v>
      </c>
      <c r="E4318" s="70" t="s">
        <v>1</v>
      </c>
      <c r="F4318" s="70"/>
      <c r="G4318" s="70" t="s">
        <v>61</v>
      </c>
      <c r="H4318" s="70" t="s">
        <v>178</v>
      </c>
      <c r="I4318" s="70" t="s">
        <v>181</v>
      </c>
      <c r="J4318" s="71">
        <f>IF(OR(I4318=0,I4318=""),"unrated",VLOOKUP(I4318,MappingTables!$B$19:$C$31,2,FALSE))</f>
        <v>3</v>
      </c>
      <c r="K4318" s="72">
        <v>10189.186846569414</v>
      </c>
      <c r="L4318" s="70">
        <v>4.9959199713339432</v>
      </c>
      <c r="M4318" s="71">
        <f>IF(L4318&lt;1,1,L4318)</f>
        <v>4.9959199713339432</v>
      </c>
      <c r="N4318" s="70" t="s">
        <v>141</v>
      </c>
      <c r="O4318" s="71">
        <f>INDEX(DurClassMapping,MATCH(M4318,MappingTables!$D$4:$D$8,-1),1)</f>
        <v>1</v>
      </c>
      <c r="P4318" s="73">
        <f>IF(M4318=$A$1,1,$M4318-INDEX(MappingTables!$E$4:$E$8,MATCH(O4318,MappingTables!$B$4:$B$8,0)))</f>
        <v>4.9959199713339432</v>
      </c>
      <c r="Q4318" s="71">
        <f>IF(B4318="",0,INDEX(ModelParameters!$D$6:$K$10,MATCH($O4318,ModelParameters!$B$6:$B$10,0),MATCH($J4318,ModelParameters!$D$5:$K$5,0)))</f>
        <v>0.025</v>
      </c>
      <c r="R4318" s="71">
        <f>IF(B4318="",0,INDEX(ModelParameters!$D$13:$K$17,MATCH($O4318,ModelParameters!$B$13:$B$17,0),MATCH($J4318,ModelParameters!$D$5:$K$5,0)))</f>
        <v>0</v>
      </c>
      <c r="S4318" s="160">
        <f>IF(B4318="",0,MIN(IF($N4318="Other Bond TM",ModelParameters!$N$21,1)*(P4318*Q4318+R4318),1))</f>
        <v>0.12489799928334858</v>
      </c>
      <c r="T4318" s="85">
        <f>IF(B4318="",0,$S4318*$K4318)</f>
        <v>1272.6090514607312</v>
      </c>
      <c r="U4318" s="85">
        <f>IF(B4318="",0,IF(OR(H4318=MappingTables!$C$34,H4318=MappingTables!$C$35),T4318,0))</f>
        <v>0</v>
      </c>
      <c r="V4318" s="85">
        <f>IF(ISNA(IF(AND(VLOOKUP(CONCATENATE($D4318,$G4318),CSRFinput!$B:$E,4,0)=0,OR(H4318=MappingTables!$C$34,H4318=MappingTables!$C$35)),1,VLOOKUP(CONCATENATE($D4318,$G4318),CSRFinput!$B:$E,4,0))),0,IF(AND(VLOOKUP(CONCATENATE($D4318,$G4318),CSRFinput!$B:$E,4,0)=0,OR(H4318=MappingTables!$C$34,H4318=MappingTables!$C$35)),1,VLOOKUP(CONCATENATE($D4318,$G4318),CSRFinput!$B:$E,4,0)))</f>
        <v>0.054776304963434752</v>
      </c>
      <c r="W4318" s="85">
        <f>IF(B4318="",0,+$T4318*$V4318)</f>
        <v>69.708821502040448</v>
      </c>
      <c r="X4318" s="85">
        <f>IF(B4318="",0,IF(OR(H4318=MappingTables!$C$34,H4318=MappingTables!$C$35),W4318,0))</f>
        <v>0</v>
      </c>
    </row>
    <row r="4319" spans="2:24" s="0" customFormat="0" ht="15">
      <c r="B4319" s="69" t="s">
        <v>2716</v>
      </c>
      <c r="C4319" s="70" t="s">
        <v>2717</v>
      </c>
      <c r="D4319" s="70" t="s">
        <v>1</v>
      </c>
      <c r="E4319" s="70" t="s">
        <v>1</v>
      </c>
      <c r="F4319" s="70"/>
      <c r="G4319" s="70" t="s">
        <v>61</v>
      </c>
      <c r="H4319" s="70" t="s">
        <v>178</v>
      </c>
      <c r="I4319" s="70" t="s">
        <v>179</v>
      </c>
      <c r="J4319" s="71">
        <f>IF(OR(I4319=0,I4319=""),"unrated",VLOOKUP(I4319,MappingTables!$B$19:$C$31,2,FALSE))</f>
        <v>4</v>
      </c>
      <c r="K4319" s="72">
        <v>30566.32416701792</v>
      </c>
      <c r="L4319" s="70">
        <v>5.1904546072036312</v>
      </c>
      <c r="M4319" s="71">
        <f>IF(L4319&lt;1,1,L4319)</f>
        <v>5.1904546072036312</v>
      </c>
      <c r="N4319" s="70" t="s">
        <v>141</v>
      </c>
      <c r="O4319" s="71">
        <f>INDEX(DurClassMapping,MATCH(M4319,MappingTables!$D$4:$D$8,-1),1)</f>
        <v>2</v>
      </c>
      <c r="P4319" s="73">
        <f>IF(M4319=$A$1,1,$M4319-INDEX(MappingTables!$E$4:$E$8,MATCH(O4319,MappingTables!$B$4:$B$8,0)))</f>
        <v>0.19045460720363128</v>
      </c>
      <c r="Q4319" s="71">
        <f>IF(B4319="",0,INDEX(ModelParameters!$D$6:$K$10,MATCH($O4319,ModelParameters!$B$6:$B$10,0),MATCH($J4319,ModelParameters!$D$5:$K$5,0)))</f>
        <v>0.025</v>
      </c>
      <c r="R4319" s="71">
        <f>IF(B4319="",0,INDEX(ModelParameters!$D$13:$K$17,MATCH($O4319,ModelParameters!$B$13:$B$17,0),MATCH($J4319,ModelParameters!$D$5:$K$5,0)))</f>
        <v>0.225</v>
      </c>
      <c r="S4319" s="160">
        <f>IF(B4319="",0,MIN(IF($N4319="Other Bond TM",ModelParameters!$N$21,1)*(P4319*Q4319+R4319),1))</f>
        <v>0.2297613651800908</v>
      </c>
      <c r="T4319" s="85">
        <f>IF(B4319="",0,$S4319*$K4319)</f>
        <v>7022.9603691512392</v>
      </c>
      <c r="U4319" s="85">
        <f>IF(B4319="",0,IF(OR(H4319=MappingTables!$C$34,H4319=MappingTables!$C$35),T4319,0))</f>
        <v>0</v>
      </c>
      <c r="V4319" s="85">
        <f>IF(ISNA(IF(AND(VLOOKUP(CONCATENATE($D4319,$G4319),CSRFinput!$B:$E,4,0)=0,OR(H4319=MappingTables!$C$34,H4319=MappingTables!$C$35)),1,VLOOKUP(CONCATENATE($D4319,$G4319),CSRFinput!$B:$E,4,0))),0,IF(AND(VLOOKUP(CONCATENATE($D4319,$G4319),CSRFinput!$B:$E,4,0)=0,OR(H4319=MappingTables!$C$34,H4319=MappingTables!$C$35)),1,VLOOKUP(CONCATENATE($D4319,$G4319),CSRFinput!$B:$E,4,0)))</f>
        <v>0.054776304963434752</v>
      </c>
      <c r="W4319" s="85">
        <f>IF(B4319="",0,+$T4319*$V4319)</f>
        <v>384.69181892674456</v>
      </c>
      <c r="X4319" s="85">
        <f>IF(B4319="",0,IF(OR(H4319=MappingTables!$C$34,H4319=MappingTables!$C$35),W4319,0))</f>
        <v>0</v>
      </c>
    </row>
    <row r="4320" spans="2:24" s="0" customFormat="0" ht="15">
      <c r="B4320" s="69">
        <v>14276622</v>
      </c>
      <c r="C4320" s="70" t="s">
        <v>2001</v>
      </c>
      <c r="D4320" s="70" t="s">
        <v>1</v>
      </c>
      <c r="E4320" s="70" t="s">
        <v>1</v>
      </c>
      <c r="F4320" s="70"/>
      <c r="G4320" s="70" t="s">
        <v>61</v>
      </c>
      <c r="H4320" s="70" t="s">
        <v>178</v>
      </c>
      <c r="I4320" s="70" t="s">
        <v>198</v>
      </c>
      <c r="J4320" s="71" t="str">
        <f>IF(OR(I4320=0,I4320=""),"unrated",VLOOKUP(I4320,MappingTables!$B$19:$C$31,2,FALSE))</f>
        <v>unrated</v>
      </c>
      <c r="K4320" s="72">
        <v>69.71494998131544</v>
      </c>
      <c r="L4320" s="70">
        <v>0.58052013219594576</v>
      </c>
      <c r="M4320" s="71">
        <f>IF(L4320&lt;1,1,L4320)</f>
        <v>1</v>
      </c>
      <c r="N4320" s="70" t="s">
        <v>141</v>
      </c>
      <c r="O4320" s="71">
        <f>INDEX(DurClassMapping,MATCH(M4320,MappingTables!$D$4:$D$8,-1),1)</f>
        <v>1</v>
      </c>
      <c r="P4320" s="73">
        <f>IF(M4320=$A$1,1,$M4320-INDEX(MappingTables!$E$4:$E$8,MATCH(O4320,MappingTables!$B$4:$B$8,0)))</f>
        <v>1</v>
      </c>
      <c r="Q4320" s="71">
        <f>IF(B4320="",0,INDEX(ModelParameters!$D$6:$K$10,MATCH($O4320,ModelParameters!$B$6:$B$10,0),MATCH($J4320,ModelParameters!$D$5:$K$5,0)))</f>
        <v>0.03</v>
      </c>
      <c r="R4320" s="71">
        <f>IF(B4320="",0,INDEX(ModelParameters!$D$13:$K$17,MATCH($O4320,ModelParameters!$B$13:$B$17,0),MATCH($J4320,ModelParameters!$D$5:$K$5,0)))</f>
        <v>0</v>
      </c>
      <c r="S4320" s="160">
        <f>IF(B4320="",0,MIN(IF($N4320="Other Bond TM",ModelParameters!$N$21,1)*(P4320*Q4320+R4320),1))</f>
        <v>0.03</v>
      </c>
      <c r="T4320" s="85">
        <f>IF(B4320="",0,$S4320*$K4320)</f>
        <v>2.0914484994394632</v>
      </c>
      <c r="U4320" s="85">
        <f>IF(B4320="",0,IF(OR(H4320=MappingTables!$C$34,H4320=MappingTables!$C$35),T4320,0))</f>
        <v>0</v>
      </c>
      <c r="V4320" s="85">
        <f>IF(ISNA(IF(AND(VLOOKUP(CONCATENATE($D4320,$G4320),CSRFinput!$B:$E,4,0)=0,OR(H4320=MappingTables!$C$34,H4320=MappingTables!$C$35)),1,VLOOKUP(CONCATENATE($D4320,$G4320),CSRFinput!$B:$E,4,0))),0,IF(AND(VLOOKUP(CONCATENATE($D4320,$G4320),CSRFinput!$B:$E,4,0)=0,OR(H4320=MappingTables!$C$34,H4320=MappingTables!$C$35)),1,VLOOKUP(CONCATENATE($D4320,$G4320),CSRFinput!$B:$E,4,0)))</f>
        <v>0.054776304963434752</v>
      </c>
      <c r="W4320" s="85">
        <f>IF(B4320="",0,+$T4320*$V4320)</f>
        <v>0.11456182082061404</v>
      </c>
      <c r="X4320" s="85">
        <f>IF(B4320="",0,IF(OR(H4320=MappingTables!$C$34,H4320=MappingTables!$C$35),W4320,0))</f>
        <v>0</v>
      </c>
    </row>
    <row r="4321" spans="2:24" s="0" customFormat="0" ht="15">
      <c r="B4321" s="69">
        <v>14271823</v>
      </c>
      <c r="C4321" s="70" t="s">
        <v>848</v>
      </c>
      <c r="D4321" s="70" t="s">
        <v>1</v>
      </c>
      <c r="E4321" s="70" t="s">
        <v>1</v>
      </c>
      <c r="F4321" s="70"/>
      <c r="G4321" s="70" t="s">
        <v>61</v>
      </c>
      <c r="H4321" s="70" t="s">
        <v>178</v>
      </c>
      <c r="I4321" s="70" t="s">
        <v>181</v>
      </c>
      <c r="J4321" s="71">
        <f>IF(OR(I4321=0,I4321=""),"unrated",VLOOKUP(I4321,MappingTables!$B$19:$C$31,2,FALSE))</f>
        <v>3</v>
      </c>
      <c r="K4321" s="72">
        <v>1.2131299423573678</v>
      </c>
      <c r="L4321" s="70">
        <v>1.4381675076433504</v>
      </c>
      <c r="M4321" s="71">
        <f>IF(L4321&lt;1,1,L4321)</f>
        <v>1.4381675076433504</v>
      </c>
      <c r="N4321" s="70" t="s">
        <v>141</v>
      </c>
      <c r="O4321" s="71">
        <f>INDEX(DurClassMapping,MATCH(M4321,MappingTables!$D$4:$D$8,-1),1)</f>
        <v>1</v>
      </c>
      <c r="P4321" s="73">
        <f>IF(M4321=$A$1,1,$M4321-INDEX(MappingTables!$E$4:$E$8,MATCH(O4321,MappingTables!$B$4:$B$8,0)))</f>
        <v>1.4381675076433504</v>
      </c>
      <c r="Q4321" s="71">
        <f>IF(B4321="",0,INDEX(ModelParameters!$D$6:$K$10,MATCH($O4321,ModelParameters!$B$6:$B$10,0),MATCH($J4321,ModelParameters!$D$5:$K$5,0)))</f>
        <v>0.025</v>
      </c>
      <c r="R4321" s="71">
        <f>IF(B4321="",0,INDEX(ModelParameters!$D$13:$K$17,MATCH($O4321,ModelParameters!$B$13:$B$17,0),MATCH($J4321,ModelParameters!$D$5:$K$5,0)))</f>
        <v>0</v>
      </c>
      <c r="S4321" s="160">
        <f>IF(B4321="",0,MIN(IF($N4321="Other Bond TM",ModelParameters!$N$21,1)*(P4321*Q4321+R4321),1))</f>
        <v>0.035954187691083764</v>
      </c>
      <c r="T4321" s="85">
        <f>IF(B4321="",0,$S4321*$K4321)</f>
        <v>0.043617101641190432</v>
      </c>
      <c r="U4321" s="85">
        <f>IF(B4321="",0,IF(OR(H4321=MappingTables!$C$34,H4321=MappingTables!$C$35),T4321,0))</f>
        <v>0</v>
      </c>
      <c r="V4321" s="85">
        <f>IF(ISNA(IF(AND(VLOOKUP(CONCATENATE($D4321,$G4321),CSRFinput!$B:$E,4,0)=0,OR(H4321=MappingTables!$C$34,H4321=MappingTables!$C$35)),1,VLOOKUP(CONCATENATE($D4321,$G4321),CSRFinput!$B:$E,4,0))),0,IF(AND(VLOOKUP(CONCATENATE($D4321,$G4321),CSRFinput!$B:$E,4,0)=0,OR(H4321=MappingTables!$C$34,H4321=MappingTables!$C$35)),1,VLOOKUP(CONCATENATE($D4321,$G4321),CSRFinput!$B:$E,4,0)))</f>
        <v>0.054776304963434752</v>
      </c>
      <c r="W4321" s="85">
        <f>IF(B4321="",0,+$T4321*$V4321)</f>
        <v>0.0023891836611189776</v>
      </c>
      <c r="X4321" s="85">
        <f>IF(B4321="",0,IF(OR(H4321=MappingTables!$C$34,H4321=MappingTables!$C$35),W4321,0))</f>
        <v>0</v>
      </c>
    </row>
    <row r="4322" spans="2:24" s="0" customFormat="0" ht="15">
      <c r="B4322" s="69">
        <v>10572489</v>
      </c>
      <c r="C4322" s="70" t="s">
        <v>2314</v>
      </c>
      <c r="D4322" s="70" t="s">
        <v>1</v>
      </c>
      <c r="E4322" s="70" t="s">
        <v>1</v>
      </c>
      <c r="F4322" s="70"/>
      <c r="G4322" s="70" t="s">
        <v>61</v>
      </c>
      <c r="H4322" s="70" t="s">
        <v>178</v>
      </c>
      <c r="I4322" s="70" t="s">
        <v>181</v>
      </c>
      <c r="J4322" s="71">
        <f>IF(OR(I4322=0,I4322=""),"unrated",VLOOKUP(I4322,MappingTables!$B$19:$C$31,2,FALSE))</f>
        <v>3</v>
      </c>
      <c r="K4322" s="72">
        <v>1900.274684138398</v>
      </c>
      <c r="L4322" s="70">
        <v>4.0433458593162216</v>
      </c>
      <c r="M4322" s="71">
        <f>IF(L4322&lt;1,1,L4322)</f>
        <v>4.0433458593162216</v>
      </c>
      <c r="N4322" s="70" t="s">
        <v>141</v>
      </c>
      <c r="O4322" s="71">
        <f>INDEX(DurClassMapping,MATCH(M4322,MappingTables!$D$4:$D$8,-1),1)</f>
        <v>1</v>
      </c>
      <c r="P4322" s="73">
        <f>IF(M4322=$A$1,1,$M4322-INDEX(MappingTables!$E$4:$E$8,MATCH(O4322,MappingTables!$B$4:$B$8,0)))</f>
        <v>4.0433458593162216</v>
      </c>
      <c r="Q4322" s="71">
        <f>IF(B4322="",0,INDEX(ModelParameters!$D$6:$K$10,MATCH($O4322,ModelParameters!$B$6:$B$10,0),MATCH($J4322,ModelParameters!$D$5:$K$5,0)))</f>
        <v>0.025</v>
      </c>
      <c r="R4322" s="71">
        <f>IF(B4322="",0,INDEX(ModelParameters!$D$13:$K$17,MATCH($O4322,ModelParameters!$B$13:$B$17,0),MATCH($J4322,ModelParameters!$D$5:$K$5,0)))</f>
        <v>0</v>
      </c>
      <c r="S4322" s="160">
        <f>IF(B4322="",0,MIN(IF($N4322="Other Bond TM",ModelParameters!$N$21,1)*(P4322*Q4322+R4322),1))</f>
        <v>0.10108364648290554</v>
      </c>
      <c r="T4322" s="85">
        <f>IF(B4322="",0,$S4322*$K4322)</f>
        <v>192.0866943918608</v>
      </c>
      <c r="U4322" s="85">
        <f>IF(B4322="",0,IF(OR(H4322=MappingTables!$C$34,H4322=MappingTables!$C$35),T4322,0))</f>
        <v>0</v>
      </c>
      <c r="V4322" s="85">
        <f>IF(ISNA(IF(AND(VLOOKUP(CONCATENATE($D4322,$G4322),CSRFinput!$B:$E,4,0)=0,OR(H4322=MappingTables!$C$34,H4322=MappingTables!$C$35)),1,VLOOKUP(CONCATENATE($D4322,$G4322),CSRFinput!$B:$E,4,0))),0,IF(AND(VLOOKUP(CONCATENATE($D4322,$G4322),CSRFinput!$B:$E,4,0)=0,OR(H4322=MappingTables!$C$34,H4322=MappingTables!$C$35)),1,VLOOKUP(CONCATENATE($D4322,$G4322),CSRFinput!$B:$E,4,0)))</f>
        <v>0.054776304963434752</v>
      </c>
      <c r="W4322" s="85">
        <f>IF(B4322="",0,+$T4322*$V4322)</f>
        <v>10.521799351426658</v>
      </c>
      <c r="X4322" s="85">
        <f>IF(B4322="",0,IF(OR(H4322=MappingTables!$C$34,H4322=MappingTables!$C$35),W4322,0))</f>
        <v>0</v>
      </c>
    </row>
    <row r="4323" spans="2:24" s="0" customFormat="0" ht="15">
      <c r="B4323" s="69" t="s">
        <v>2974</v>
      </c>
      <c r="C4323" s="70" t="s">
        <v>2975</v>
      </c>
      <c r="D4323" s="70" t="s">
        <v>1</v>
      </c>
      <c r="E4323" s="70" t="s">
        <v>1</v>
      </c>
      <c r="F4323" s="70"/>
      <c r="G4323" s="70" t="s">
        <v>61</v>
      </c>
      <c r="H4323" s="70" t="s">
        <v>178</v>
      </c>
      <c r="I4323" s="70" t="s">
        <v>198</v>
      </c>
      <c r="J4323" s="71" t="str">
        <f>IF(OR(I4323=0,I4323=""),"unrated",VLOOKUP(I4323,MappingTables!$B$19:$C$31,2,FALSE))</f>
        <v>unrated</v>
      </c>
      <c r="K4323" s="72">
        <v>0.311547130491951</v>
      </c>
      <c r="L4323" s="70">
        <v>0.18629749441997512</v>
      </c>
      <c r="M4323" s="71">
        <f>IF(L4323&lt;1,1,L4323)</f>
        <v>1</v>
      </c>
      <c r="N4323" s="70" t="s">
        <v>141</v>
      </c>
      <c r="O4323" s="71">
        <f>INDEX(DurClassMapping,MATCH(M4323,MappingTables!$D$4:$D$8,-1),1)</f>
        <v>1</v>
      </c>
      <c r="P4323" s="73">
        <f>IF(M4323=$A$1,1,$M4323-INDEX(MappingTables!$E$4:$E$8,MATCH(O4323,MappingTables!$B$4:$B$8,0)))</f>
        <v>1</v>
      </c>
      <c r="Q4323" s="71">
        <f>IF(B4323="",0,INDEX(ModelParameters!$D$6:$K$10,MATCH($O4323,ModelParameters!$B$6:$B$10,0),MATCH($J4323,ModelParameters!$D$5:$K$5,0)))</f>
        <v>0.03</v>
      </c>
      <c r="R4323" s="71">
        <f>IF(B4323="",0,INDEX(ModelParameters!$D$13:$K$17,MATCH($O4323,ModelParameters!$B$13:$B$17,0),MATCH($J4323,ModelParameters!$D$5:$K$5,0)))</f>
        <v>0</v>
      </c>
      <c r="S4323" s="160">
        <f>IF(B4323="",0,MIN(IF($N4323="Other Bond TM",ModelParameters!$N$21,1)*(P4323*Q4323+R4323),1))</f>
        <v>0.03</v>
      </c>
      <c r="T4323" s="85">
        <f>IF(B4323="",0,$S4323*$K4323)</f>
        <v>0.0093464139147585296</v>
      </c>
      <c r="U4323" s="85">
        <f>IF(B4323="",0,IF(OR(H4323=MappingTables!$C$34,H4323=MappingTables!$C$35),T4323,0))</f>
        <v>0</v>
      </c>
      <c r="V4323" s="85">
        <f>IF(ISNA(IF(AND(VLOOKUP(CONCATENATE($D4323,$G4323),CSRFinput!$B:$E,4,0)=0,OR(H4323=MappingTables!$C$34,H4323=MappingTables!$C$35)),1,VLOOKUP(CONCATENATE($D4323,$G4323),CSRFinput!$B:$E,4,0))),0,IF(AND(VLOOKUP(CONCATENATE($D4323,$G4323),CSRFinput!$B:$E,4,0)=0,OR(H4323=MappingTables!$C$34,H4323=MappingTables!$C$35)),1,VLOOKUP(CONCATENATE($D4323,$G4323),CSRFinput!$B:$E,4,0)))</f>
        <v>0.054776304963434752</v>
      </c>
      <c r="W4323" s="85">
        <f>IF(B4323="",0,+$T4323*$V4323)</f>
        <v>0.00051196201890930328</v>
      </c>
      <c r="X4323" s="85">
        <f>IF(B4323="",0,IF(OR(H4323=MappingTables!$C$34,H4323=MappingTables!$C$35),W4323,0))</f>
        <v>0</v>
      </c>
    </row>
    <row r="4324" spans="2:24" s="0" customFormat="0" ht="15">
      <c r="B4324" s="69">
        <v>2549190</v>
      </c>
      <c r="C4324" s="70" t="s">
        <v>2993</v>
      </c>
      <c r="D4324" s="70" t="s">
        <v>1</v>
      </c>
      <c r="E4324" s="70" t="s">
        <v>1</v>
      </c>
      <c r="F4324" s="70"/>
      <c r="G4324" s="70" t="s">
        <v>61</v>
      </c>
      <c r="H4324" s="70" t="s">
        <v>178</v>
      </c>
      <c r="I4324" s="70" t="s">
        <v>181</v>
      </c>
      <c r="J4324" s="71">
        <f>IF(OR(I4324=0,I4324=""),"unrated",VLOOKUP(I4324,MappingTables!$B$19:$C$31,2,FALSE))</f>
        <v>3</v>
      </c>
      <c r="K4324" s="72">
        <v>14804.531852402712</v>
      </c>
      <c r="L4324" s="70">
        <v>18.321766357117136</v>
      </c>
      <c r="M4324" s="71">
        <f>IF(L4324&lt;1,1,L4324)</f>
        <v>18.321766357117136</v>
      </c>
      <c r="N4324" s="70" t="s">
        <v>141</v>
      </c>
      <c r="O4324" s="71">
        <f>INDEX(DurClassMapping,MATCH(M4324,MappingTables!$D$4:$D$8,-1),1)</f>
        <v>4</v>
      </c>
      <c r="P4324" s="73">
        <f>IF(M4324=$A$1,1,$M4324-INDEX(MappingTables!$E$4:$E$8,MATCH(O4324,MappingTables!$B$4:$B$8,0)))</f>
        <v>3.3217663571171344</v>
      </c>
      <c r="Q4324" s="71">
        <f>IF(B4324="",0,INDEX(ModelParameters!$D$6:$K$10,MATCH($O4324,ModelParameters!$B$6:$B$10,0),MATCH($J4324,ModelParameters!$D$5:$K$5,0)))</f>
        <v>0.01</v>
      </c>
      <c r="R4324" s="71">
        <f>IF(B4324="",0,INDEX(ModelParameters!$D$13:$K$17,MATCH($O4324,ModelParameters!$B$13:$B$17,0),MATCH($J4324,ModelParameters!$D$5:$K$5,0)))</f>
        <v>0.25</v>
      </c>
      <c r="S4324" s="160">
        <f>IF(B4324="",0,MIN(IF($N4324="Other Bond TM",ModelParameters!$N$21,1)*(P4324*Q4324+R4324),1))</f>
        <v>0.28321766357117136</v>
      </c>
      <c r="T4324" s="85">
        <f>IF(B4324="",0,$S4324*$K4324)</f>
        <v>4192.9049215024816</v>
      </c>
      <c r="U4324" s="85">
        <f>IF(B4324="",0,IF(OR(H4324=MappingTables!$C$34,H4324=MappingTables!$C$35),T4324,0))</f>
        <v>0</v>
      </c>
      <c r="V4324" s="85">
        <f>IF(ISNA(IF(AND(VLOOKUP(CONCATENATE($D4324,$G4324),CSRFinput!$B:$E,4,0)=0,OR(H4324=MappingTables!$C$34,H4324=MappingTables!$C$35)),1,VLOOKUP(CONCATENATE($D4324,$G4324),CSRFinput!$B:$E,4,0))),0,IF(AND(VLOOKUP(CONCATENATE($D4324,$G4324),CSRFinput!$B:$E,4,0)=0,OR(H4324=MappingTables!$C$34,H4324=MappingTables!$C$35)),1,VLOOKUP(CONCATENATE($D4324,$G4324),CSRFinput!$B:$E,4,0)))</f>
        <v>0.054776304963434752</v>
      </c>
      <c r="W4324" s="85">
        <f>IF(B4324="",0,+$T4324*$V4324)</f>
        <v>229.6718386629064</v>
      </c>
      <c r="X4324" s="85">
        <f>IF(B4324="",0,IF(OR(H4324=MappingTables!$C$34,H4324=MappingTables!$C$35),W4324,0))</f>
        <v>0</v>
      </c>
    </row>
    <row r="4325" spans="2:24" s="0" customFormat="0" ht="15">
      <c r="B4325" s="69">
        <v>20658179</v>
      </c>
      <c r="C4325" s="70" t="s">
        <v>1439</v>
      </c>
      <c r="D4325" s="70" t="s">
        <v>1</v>
      </c>
      <c r="E4325" s="70" t="s">
        <v>1</v>
      </c>
      <c r="F4325" s="70"/>
      <c r="G4325" s="70" t="s">
        <v>61</v>
      </c>
      <c r="H4325" s="70" t="s">
        <v>178</v>
      </c>
      <c r="I4325" s="70" t="s">
        <v>179</v>
      </c>
      <c r="J4325" s="71">
        <f>IF(OR(I4325=0,I4325=""),"unrated",VLOOKUP(I4325,MappingTables!$B$19:$C$31,2,FALSE))</f>
        <v>4</v>
      </c>
      <c r="K4325" s="72">
        <v>2128.64676347237</v>
      </c>
      <c r="L4325" s="70">
        <v>5.204982951905432</v>
      </c>
      <c r="M4325" s="71">
        <f>IF(L4325&lt;1,1,L4325)</f>
        <v>5.204982951905432</v>
      </c>
      <c r="N4325" s="70" t="s">
        <v>141</v>
      </c>
      <c r="O4325" s="71">
        <f>INDEX(DurClassMapping,MATCH(M4325,MappingTables!$D$4:$D$8,-1),1)</f>
        <v>2</v>
      </c>
      <c r="P4325" s="73">
        <f>IF(M4325=$A$1,1,$M4325-INDEX(MappingTables!$E$4:$E$8,MATCH(O4325,MappingTables!$B$4:$B$8,0)))</f>
        <v>0.20498295190543204</v>
      </c>
      <c r="Q4325" s="71">
        <f>IF(B4325="",0,INDEX(ModelParameters!$D$6:$K$10,MATCH($O4325,ModelParameters!$B$6:$B$10,0),MATCH($J4325,ModelParameters!$D$5:$K$5,0)))</f>
        <v>0.025</v>
      </c>
      <c r="R4325" s="71">
        <f>IF(B4325="",0,INDEX(ModelParameters!$D$13:$K$17,MATCH($O4325,ModelParameters!$B$13:$B$17,0),MATCH($J4325,ModelParameters!$D$5:$K$5,0)))</f>
        <v>0.225</v>
      </c>
      <c r="S4325" s="160">
        <f>IF(B4325="",0,MIN(IF($N4325="Other Bond TM",ModelParameters!$N$21,1)*(P4325*Q4325+R4325),1))</f>
        <v>0.2301245737976358</v>
      </c>
      <c r="T4325" s="85">
        <f>IF(B4325="",0,$S4325*$K4325)</f>
        <v>489.853929209796</v>
      </c>
      <c r="U4325" s="85">
        <f>IF(B4325="",0,IF(OR(H4325=MappingTables!$C$34,H4325=MappingTables!$C$35),T4325,0))</f>
        <v>0</v>
      </c>
      <c r="V4325" s="85">
        <f>IF(ISNA(IF(AND(VLOOKUP(CONCATENATE($D4325,$G4325),CSRFinput!$B:$E,4,0)=0,OR(H4325=MappingTables!$C$34,H4325=MappingTables!$C$35)),1,VLOOKUP(CONCATENATE($D4325,$G4325),CSRFinput!$B:$E,4,0))),0,IF(AND(VLOOKUP(CONCATENATE($D4325,$G4325),CSRFinput!$B:$E,4,0)=0,OR(H4325=MappingTables!$C$34,H4325=MappingTables!$C$35)),1,VLOOKUP(CONCATENATE($D4325,$G4325),CSRFinput!$B:$E,4,0)))</f>
        <v>0.054776304963434752</v>
      </c>
      <c r="W4325" s="85">
        <f>IF(B4325="",0,+$T4325*$V4325)</f>
        <v>26.832388213932568</v>
      </c>
      <c r="X4325" s="85">
        <f>IF(B4325="",0,IF(OR(H4325=MappingTables!$C$34,H4325=MappingTables!$C$35),W4325,0))</f>
        <v>0</v>
      </c>
    </row>
    <row r="4326" spans="2:24" s="0" customFormat="0" ht="15">
      <c r="B4326" s="69" t="s">
        <v>2781</v>
      </c>
      <c r="C4326" s="70" t="s">
        <v>2782</v>
      </c>
      <c r="D4326" s="70" t="s">
        <v>1</v>
      </c>
      <c r="E4326" s="70" t="s">
        <v>1</v>
      </c>
      <c r="F4326" s="70"/>
      <c r="G4326" s="70" t="s">
        <v>61</v>
      </c>
      <c r="H4326" s="70" t="s">
        <v>178</v>
      </c>
      <c r="I4326" s="70" t="s">
        <v>220</v>
      </c>
      <c r="J4326" s="71">
        <f>IF(OR(I4326=0,I4326=""),"unrated",VLOOKUP(I4326,MappingTables!$B$19:$C$31,2,FALSE))</f>
        <v>1</v>
      </c>
      <c r="K4326" s="72">
        <v>693.14041165163632</v>
      </c>
      <c r="L4326" s="70">
        <v>1.5222890916296516</v>
      </c>
      <c r="M4326" s="71">
        <f>IF(L4326&lt;1,1,L4326)</f>
        <v>1.5222890916296516</v>
      </c>
      <c r="N4326" s="70" t="s">
        <v>141</v>
      </c>
      <c r="O4326" s="71">
        <f>INDEX(DurClassMapping,MATCH(M4326,MappingTables!$D$4:$D$8,-1),1)</f>
        <v>1</v>
      </c>
      <c r="P4326" s="73">
        <f>IF(M4326=$A$1,1,$M4326-INDEX(MappingTables!$E$4:$E$8,MATCH(O4326,MappingTables!$B$4:$B$8,0)))</f>
        <v>1.5222890916296516</v>
      </c>
      <c r="Q4326" s="71">
        <f>IF(B4326="",0,INDEX(ModelParameters!$D$6:$K$10,MATCH($O4326,ModelParameters!$B$6:$B$10,0),MATCH($J4326,ModelParameters!$D$5:$K$5,0)))</f>
        <v>0.011000000000000002</v>
      </c>
      <c r="R4326" s="71">
        <f>IF(B4326="",0,INDEX(ModelParameters!$D$13:$K$17,MATCH($O4326,ModelParameters!$B$13:$B$17,0),MATCH($J4326,ModelParameters!$D$5:$K$5,0)))</f>
        <v>0</v>
      </c>
      <c r="S4326" s="160">
        <f>IF(B4326="",0,MIN(IF($N4326="Other Bond TM",ModelParameters!$N$21,1)*(P4326*Q4326+R4326),1))</f>
        <v>0.016745180007926168</v>
      </c>
      <c r="T4326" s="85">
        <f>IF(B4326="",0,$S4326*$K4326)</f>
        <v>11.606760963874696</v>
      </c>
      <c r="U4326" s="85">
        <f>IF(B4326="",0,IF(OR(H4326=MappingTables!$C$34,H4326=MappingTables!$C$35),T4326,0))</f>
        <v>0</v>
      </c>
      <c r="V4326" s="85">
        <f>IF(ISNA(IF(AND(VLOOKUP(CONCATENATE($D4326,$G4326),CSRFinput!$B:$E,4,0)=0,OR(H4326=MappingTables!$C$34,H4326=MappingTables!$C$35)),1,VLOOKUP(CONCATENATE($D4326,$G4326),CSRFinput!$B:$E,4,0))),0,IF(AND(VLOOKUP(CONCATENATE($D4326,$G4326),CSRFinput!$B:$E,4,0)=0,OR(H4326=MappingTables!$C$34,H4326=MappingTables!$C$35)),1,VLOOKUP(CONCATENATE($D4326,$G4326),CSRFinput!$B:$E,4,0)))</f>
        <v>0.054776304963434752</v>
      </c>
      <c r="W4326" s="85">
        <f>IF(B4326="",0,+$T4326*$V4326)</f>
        <v>0.63577547819489024</v>
      </c>
      <c r="X4326" s="85">
        <f>IF(B4326="",0,IF(OR(H4326=MappingTables!$C$34,H4326=MappingTables!$C$35),W4326,0))</f>
        <v>0</v>
      </c>
    </row>
    <row r="4327" spans="2:24" s="0" customFormat="0" ht="15">
      <c r="B4327" s="69">
        <v>4938090</v>
      </c>
      <c r="C4327" s="70" t="s">
        <v>2970</v>
      </c>
      <c r="D4327" s="70" t="s">
        <v>1</v>
      </c>
      <c r="E4327" s="70" t="s">
        <v>1</v>
      </c>
      <c r="F4327" s="70"/>
      <c r="G4327" s="70" t="s">
        <v>61</v>
      </c>
      <c r="H4327" s="70" t="s">
        <v>178</v>
      </c>
      <c r="I4327" s="70" t="s">
        <v>188</v>
      </c>
      <c r="J4327" s="71">
        <f>IF(OR(I4327=0,I4327=""),"unrated",VLOOKUP(I4327,MappingTables!$B$19:$C$31,2,FALSE))</f>
        <v>2</v>
      </c>
      <c r="K4327" s="72">
        <v>9.3535637506662416</v>
      </c>
      <c r="L4327" s="70">
        <v>1.5648739625973214</v>
      </c>
      <c r="M4327" s="71">
        <f>IF(L4327&lt;1,1,L4327)</f>
        <v>1.5648739625973214</v>
      </c>
      <c r="N4327" s="70" t="s">
        <v>141</v>
      </c>
      <c r="O4327" s="71">
        <f>INDEX(DurClassMapping,MATCH(M4327,MappingTables!$D$4:$D$8,-1),1)</f>
        <v>1</v>
      </c>
      <c r="P4327" s="73">
        <f>IF(M4327=$A$1,1,$M4327-INDEX(MappingTables!$E$4:$E$8,MATCH(O4327,MappingTables!$B$4:$B$8,0)))</f>
        <v>1.5648739625973214</v>
      </c>
      <c r="Q4327" s="71">
        <f>IF(B4327="",0,INDEX(ModelParameters!$D$6:$K$10,MATCH($O4327,ModelParameters!$B$6:$B$10,0),MATCH($J4327,ModelParameters!$D$5:$K$5,0)))</f>
        <v>0.013999999999999998</v>
      </c>
      <c r="R4327" s="71">
        <f>IF(B4327="",0,INDEX(ModelParameters!$D$13:$K$17,MATCH($O4327,ModelParameters!$B$13:$B$17,0),MATCH($J4327,ModelParameters!$D$5:$K$5,0)))</f>
        <v>0</v>
      </c>
      <c r="S4327" s="160">
        <f>IF(B4327="",0,MIN(IF($N4327="Other Bond TM",ModelParameters!$N$21,1)*(P4327*Q4327+R4327),1))</f>
        <v>0.021908235476362496</v>
      </c>
      <c r="T4327" s="85">
        <f>IF(B4327="",0,$S4327*$K4327)</f>
        <v>0.2049200771927644</v>
      </c>
      <c r="U4327" s="85">
        <f>IF(B4327="",0,IF(OR(H4327=MappingTables!$C$34,H4327=MappingTables!$C$35),T4327,0))</f>
        <v>0</v>
      </c>
      <c r="V4327" s="85">
        <f>IF(ISNA(IF(AND(VLOOKUP(CONCATENATE($D4327,$G4327),CSRFinput!$B:$E,4,0)=0,OR(H4327=MappingTables!$C$34,H4327=MappingTables!$C$35)),1,VLOOKUP(CONCATENATE($D4327,$G4327),CSRFinput!$B:$E,4,0))),0,IF(AND(VLOOKUP(CONCATENATE($D4327,$G4327),CSRFinput!$B:$E,4,0)=0,OR(H4327=MappingTables!$C$34,H4327=MappingTables!$C$35)),1,VLOOKUP(CONCATENATE($D4327,$G4327),CSRFinput!$B:$E,4,0)))</f>
        <v>0.054776304963434752</v>
      </c>
      <c r="W4327" s="85">
        <f>IF(B4327="",0,+$T4327*$V4327)</f>
        <v>0.011224764641441454</v>
      </c>
      <c r="X4327" s="85">
        <f>IF(B4327="",0,IF(OR(H4327=MappingTables!$C$34,H4327=MappingTables!$C$35),W4327,0))</f>
        <v>0</v>
      </c>
    </row>
    <row r="4328" spans="2:24" s="0" customFormat="0" ht="15">
      <c r="B4328" s="69">
        <v>8675037</v>
      </c>
      <c r="C4328" s="70" t="s">
        <v>2681</v>
      </c>
      <c r="D4328" s="70" t="s">
        <v>1</v>
      </c>
      <c r="E4328" s="70" t="s">
        <v>1</v>
      </c>
      <c r="F4328" s="70"/>
      <c r="G4328" s="70" t="s">
        <v>61</v>
      </c>
      <c r="H4328" s="70" t="s">
        <v>178</v>
      </c>
      <c r="I4328" s="70" t="s">
        <v>181</v>
      </c>
      <c r="J4328" s="71">
        <f>IF(OR(I4328=0,I4328=""),"unrated",VLOOKUP(I4328,MappingTables!$B$19:$C$31,2,FALSE))</f>
        <v>3</v>
      </c>
      <c r="K4328" s="72">
        <v>107.78569147137272</v>
      </c>
      <c r="L4328" s="70">
        <v>13.873013164585736</v>
      </c>
      <c r="M4328" s="71">
        <f>IF(L4328&lt;1,1,L4328)</f>
        <v>13.873013164585736</v>
      </c>
      <c r="N4328" s="70" t="s">
        <v>141</v>
      </c>
      <c r="O4328" s="71">
        <f>INDEX(DurClassMapping,MATCH(M4328,MappingTables!$D$4:$D$8,-1),1)</f>
        <v>3</v>
      </c>
      <c r="P4328" s="73">
        <f>IF(M4328=$A$1,1,$M4328-INDEX(MappingTables!$E$4:$E$8,MATCH(O4328,MappingTables!$B$4:$B$8,0)))</f>
        <v>3.8730131645857352</v>
      </c>
      <c r="Q4328" s="71">
        <f>IF(B4328="",0,INDEX(ModelParameters!$D$6:$K$10,MATCH($O4328,ModelParameters!$B$6:$B$10,0),MATCH($J4328,ModelParameters!$D$5:$K$5,0)))</f>
        <v>0.01</v>
      </c>
      <c r="R4328" s="71">
        <f>IF(B4328="",0,INDEX(ModelParameters!$D$13:$K$17,MATCH($O4328,ModelParameters!$B$13:$B$17,0),MATCH($J4328,ModelParameters!$D$5:$K$5,0)))</f>
        <v>0.2</v>
      </c>
      <c r="S4328" s="160">
        <f>IF(B4328="",0,MIN(IF($N4328="Other Bond TM",ModelParameters!$N$21,1)*(P4328*Q4328+R4328),1))</f>
        <v>0.23873013164585736</v>
      </c>
      <c r="T4328" s="85">
        <f>IF(B4328="",0,$S4328*$K4328)</f>
        <v>25.731692314500572</v>
      </c>
      <c r="U4328" s="85">
        <f>IF(B4328="",0,IF(OR(H4328=MappingTables!$C$34,H4328=MappingTables!$C$35),T4328,0))</f>
        <v>0</v>
      </c>
      <c r="V4328" s="85">
        <f>IF(ISNA(IF(AND(VLOOKUP(CONCATENATE($D4328,$G4328),CSRFinput!$B:$E,4,0)=0,OR(H4328=MappingTables!$C$34,H4328=MappingTables!$C$35)),1,VLOOKUP(CONCATENATE($D4328,$G4328),CSRFinput!$B:$E,4,0))),0,IF(AND(VLOOKUP(CONCATENATE($D4328,$G4328),CSRFinput!$B:$E,4,0)=0,OR(H4328=MappingTables!$C$34,H4328=MappingTables!$C$35)),1,VLOOKUP(CONCATENATE($D4328,$G4328),CSRFinput!$B:$E,4,0)))</f>
        <v>0.054776304963434752</v>
      </c>
      <c r="W4328" s="85">
        <f>IF(B4328="",0,+$T4328*$V4328)</f>
        <v>1.4094870254443536</v>
      </c>
      <c r="X4328" s="85">
        <f>IF(B4328="",0,IF(OR(H4328=MappingTables!$C$34,H4328=MappingTables!$C$35),W4328,0))</f>
        <v>0</v>
      </c>
    </row>
    <row r="4329" spans="2:24" s="0" customFormat="0" ht="15">
      <c r="B4329" s="69" t="s">
        <v>1573</v>
      </c>
      <c r="C4329" s="70" t="s">
        <v>1574</v>
      </c>
      <c r="D4329" s="70" t="s">
        <v>1</v>
      </c>
      <c r="E4329" s="70" t="s">
        <v>1</v>
      </c>
      <c r="F4329" s="70"/>
      <c r="G4329" s="70" t="s">
        <v>61</v>
      </c>
      <c r="H4329" s="70" t="s">
        <v>178</v>
      </c>
      <c r="I4329" s="70" t="s">
        <v>181</v>
      </c>
      <c r="J4329" s="71">
        <f>IF(OR(I4329=0,I4329=""),"unrated",VLOOKUP(I4329,MappingTables!$B$19:$C$31,2,FALSE))</f>
        <v>3</v>
      </c>
      <c r="K4329" s="72">
        <v>358.97437136114496</v>
      </c>
      <c r="L4329" s="70">
        <v>0.31780830858656716</v>
      </c>
      <c r="M4329" s="71">
        <f>IF(L4329&lt;1,1,L4329)</f>
        <v>1</v>
      </c>
      <c r="N4329" s="70" t="s">
        <v>141</v>
      </c>
      <c r="O4329" s="71">
        <f>INDEX(DurClassMapping,MATCH(M4329,MappingTables!$D$4:$D$8,-1),1)</f>
        <v>1</v>
      </c>
      <c r="P4329" s="73">
        <f>IF(M4329=$A$1,1,$M4329-INDEX(MappingTables!$E$4:$E$8,MATCH(O4329,MappingTables!$B$4:$B$8,0)))</f>
        <v>1</v>
      </c>
      <c r="Q4329" s="71">
        <f>IF(B4329="",0,INDEX(ModelParameters!$D$6:$K$10,MATCH($O4329,ModelParameters!$B$6:$B$10,0),MATCH($J4329,ModelParameters!$D$5:$K$5,0)))</f>
        <v>0.025</v>
      </c>
      <c r="R4329" s="71">
        <f>IF(B4329="",0,INDEX(ModelParameters!$D$13:$K$17,MATCH($O4329,ModelParameters!$B$13:$B$17,0),MATCH($J4329,ModelParameters!$D$5:$K$5,0)))</f>
        <v>0</v>
      </c>
      <c r="S4329" s="160">
        <f>IF(B4329="",0,MIN(IF($N4329="Other Bond TM",ModelParameters!$N$21,1)*(P4329*Q4329+R4329),1))</f>
        <v>0.025</v>
      </c>
      <c r="T4329" s="85">
        <f>IF(B4329="",0,$S4329*$K4329)</f>
        <v>8.974359284028624</v>
      </c>
      <c r="U4329" s="85">
        <f>IF(B4329="",0,IF(OR(H4329=MappingTables!$C$34,H4329=MappingTables!$C$35),T4329,0))</f>
        <v>0</v>
      </c>
      <c r="V4329" s="85">
        <f>IF(ISNA(IF(AND(VLOOKUP(CONCATENATE($D4329,$G4329),CSRFinput!$B:$E,4,0)=0,OR(H4329=MappingTables!$C$34,H4329=MappingTables!$C$35)),1,VLOOKUP(CONCATENATE($D4329,$G4329),CSRFinput!$B:$E,4,0))),0,IF(AND(VLOOKUP(CONCATENATE($D4329,$G4329),CSRFinput!$B:$E,4,0)=0,OR(H4329=MappingTables!$C$34,H4329=MappingTables!$C$35)),1,VLOOKUP(CONCATENATE($D4329,$G4329),CSRFinput!$B:$E,4,0)))</f>
        <v>0.054776304963434752</v>
      </c>
      <c r="W4329" s="85">
        <f>IF(B4329="",0,+$T4329*$V4329)</f>
        <v>0.49158224099338384</v>
      </c>
      <c r="X4329" s="85">
        <f>IF(B4329="",0,IF(OR(H4329=MappingTables!$C$34,H4329=MappingTables!$C$35),W4329,0))</f>
        <v>0</v>
      </c>
    </row>
    <row r="4330" spans="2:24" s="0" customFormat="0" ht="15">
      <c r="B4330" s="69">
        <v>14962706</v>
      </c>
      <c r="C4330" s="70" t="s">
        <v>2457</v>
      </c>
      <c r="D4330" s="70" t="s">
        <v>1</v>
      </c>
      <c r="E4330" s="70" t="s">
        <v>1</v>
      </c>
      <c r="F4330" s="70"/>
      <c r="G4330" s="70" t="s">
        <v>61</v>
      </c>
      <c r="H4330" s="70" t="s">
        <v>178</v>
      </c>
      <c r="I4330" s="70" t="s">
        <v>181</v>
      </c>
      <c r="J4330" s="71">
        <f>IF(OR(I4330=0,I4330=""),"unrated",VLOOKUP(I4330,MappingTables!$B$19:$C$31,2,FALSE))</f>
        <v>3</v>
      </c>
      <c r="K4330" s="72">
        <v>99.91739966537368</v>
      </c>
      <c r="L4330" s="70">
        <v>1.681210991260504</v>
      </c>
      <c r="M4330" s="71">
        <f>IF(L4330&lt;1,1,L4330)</f>
        <v>1.681210991260504</v>
      </c>
      <c r="N4330" s="70" t="s">
        <v>141</v>
      </c>
      <c r="O4330" s="71">
        <f>INDEX(DurClassMapping,MATCH(M4330,MappingTables!$D$4:$D$8,-1),1)</f>
        <v>1</v>
      </c>
      <c r="P4330" s="73">
        <f>IF(M4330=$A$1,1,$M4330-INDEX(MappingTables!$E$4:$E$8,MATCH(O4330,MappingTables!$B$4:$B$8,0)))</f>
        <v>1.681210991260504</v>
      </c>
      <c r="Q4330" s="71">
        <f>IF(B4330="",0,INDEX(ModelParameters!$D$6:$K$10,MATCH($O4330,ModelParameters!$B$6:$B$10,0),MATCH($J4330,ModelParameters!$D$5:$K$5,0)))</f>
        <v>0.025</v>
      </c>
      <c r="R4330" s="71">
        <f>IF(B4330="",0,INDEX(ModelParameters!$D$13:$K$17,MATCH($O4330,ModelParameters!$B$13:$B$17,0),MATCH($J4330,ModelParameters!$D$5:$K$5,0)))</f>
        <v>0</v>
      </c>
      <c r="S4330" s="160">
        <f>IF(B4330="",0,MIN(IF($N4330="Other Bond TM",ModelParameters!$N$21,1)*(P4330*Q4330+R4330),1))</f>
        <v>0.042030274781512608</v>
      </c>
      <c r="T4330" s="85">
        <f>IF(B4330="",0,$S4330*$K4330)</f>
        <v>4.1995557633898712</v>
      </c>
      <c r="U4330" s="85">
        <f>IF(B4330="",0,IF(OR(H4330=MappingTables!$C$34,H4330=MappingTables!$C$35),T4330,0))</f>
        <v>0</v>
      </c>
      <c r="V4330" s="85">
        <f>IF(ISNA(IF(AND(VLOOKUP(CONCATENATE($D4330,$G4330),CSRFinput!$B:$E,4,0)=0,OR(H4330=MappingTables!$C$34,H4330=MappingTables!$C$35)),1,VLOOKUP(CONCATENATE($D4330,$G4330),CSRFinput!$B:$E,4,0))),0,IF(AND(VLOOKUP(CONCATENATE($D4330,$G4330),CSRFinput!$B:$E,4,0)=0,OR(H4330=MappingTables!$C$34,H4330=MappingTables!$C$35)),1,VLOOKUP(CONCATENATE($D4330,$G4330),CSRFinput!$B:$E,4,0)))</f>
        <v>0.054776304963434752</v>
      </c>
      <c r="W4330" s="85">
        <f>IF(B4330="",0,+$T4330*$V4330)</f>
        <v>0.23003614720639364</v>
      </c>
      <c r="X4330" s="85">
        <f>IF(B4330="",0,IF(OR(H4330=MappingTables!$C$34,H4330=MappingTables!$C$35),W4330,0))</f>
        <v>0</v>
      </c>
    </row>
    <row r="4331" spans="2:24" s="0" customFormat="0" ht="15">
      <c r="B4331" s="69">
        <v>23595944</v>
      </c>
      <c r="C4331" s="70" t="s">
        <v>609</v>
      </c>
      <c r="D4331" s="70" t="s">
        <v>1</v>
      </c>
      <c r="E4331" s="70" t="s">
        <v>1</v>
      </c>
      <c r="F4331" s="70"/>
      <c r="G4331" s="70" t="s">
        <v>61</v>
      </c>
      <c r="H4331" s="70" t="s">
        <v>178</v>
      </c>
      <c r="I4331" s="70" t="s">
        <v>188</v>
      </c>
      <c r="J4331" s="71">
        <f>IF(OR(I4331=0,I4331=""),"unrated",VLOOKUP(I4331,MappingTables!$B$19:$C$31,2,FALSE))</f>
        <v>2</v>
      </c>
      <c r="K4331" s="72">
        <v>4562.0039274837424</v>
      </c>
      <c r="L4331" s="70">
        <v>1.489176051037127</v>
      </c>
      <c r="M4331" s="71">
        <f>IF(L4331&lt;1,1,L4331)</f>
        <v>1.489176051037127</v>
      </c>
      <c r="N4331" s="70" t="s">
        <v>141</v>
      </c>
      <c r="O4331" s="71">
        <f>INDEX(DurClassMapping,MATCH(M4331,MappingTables!$D$4:$D$8,-1),1)</f>
        <v>1</v>
      </c>
      <c r="P4331" s="73">
        <f>IF(M4331=$A$1,1,$M4331-INDEX(MappingTables!$E$4:$E$8,MATCH(O4331,MappingTables!$B$4:$B$8,0)))</f>
        <v>1.489176051037127</v>
      </c>
      <c r="Q4331" s="71">
        <f>IF(B4331="",0,INDEX(ModelParameters!$D$6:$K$10,MATCH($O4331,ModelParameters!$B$6:$B$10,0),MATCH($J4331,ModelParameters!$D$5:$K$5,0)))</f>
        <v>0.013999999999999998</v>
      </c>
      <c r="R4331" s="71">
        <f>IF(B4331="",0,INDEX(ModelParameters!$D$13:$K$17,MATCH($O4331,ModelParameters!$B$13:$B$17,0),MATCH($J4331,ModelParameters!$D$5:$K$5,0)))</f>
        <v>0</v>
      </c>
      <c r="S4331" s="160">
        <f>IF(B4331="",0,MIN(IF($N4331="Other Bond TM",ModelParameters!$N$21,1)*(P4331*Q4331+R4331),1))</f>
        <v>0.020848464714519776</v>
      </c>
      <c r="T4331" s="85">
        <f>IF(B4331="",0,$S4331*$K4331)</f>
        <v>95.110777909645456</v>
      </c>
      <c r="U4331" s="85">
        <f>IF(B4331="",0,IF(OR(H4331=MappingTables!$C$34,H4331=MappingTables!$C$35),T4331,0))</f>
        <v>0</v>
      </c>
      <c r="V4331" s="85">
        <f>IF(ISNA(IF(AND(VLOOKUP(CONCATENATE($D4331,$G4331),CSRFinput!$B:$E,4,0)=0,OR(H4331=MappingTables!$C$34,H4331=MappingTables!$C$35)),1,VLOOKUP(CONCATENATE($D4331,$G4331),CSRFinput!$B:$E,4,0))),0,IF(AND(VLOOKUP(CONCATENATE($D4331,$G4331),CSRFinput!$B:$E,4,0)=0,OR(H4331=MappingTables!$C$34,H4331=MappingTables!$C$35)),1,VLOOKUP(CONCATENATE($D4331,$G4331),CSRFinput!$B:$E,4,0)))</f>
        <v>0.054776304963434752</v>
      </c>
      <c r="W4331" s="85">
        <f>IF(B4331="",0,+$T4331*$V4331)</f>
        <v>5.2098169760882528</v>
      </c>
      <c r="X4331" s="85">
        <f>IF(B4331="",0,IF(OR(H4331=MappingTables!$C$34,H4331=MappingTables!$C$35),W4331,0))</f>
        <v>0</v>
      </c>
    </row>
    <row r="4332" spans="2:24" s="0" customFormat="0" ht="15">
      <c r="B4332" s="69">
        <v>13477624</v>
      </c>
      <c r="C4332" s="70" t="s">
        <v>2931</v>
      </c>
      <c r="D4332" s="70" t="s">
        <v>1</v>
      </c>
      <c r="E4332" s="70" t="s">
        <v>1</v>
      </c>
      <c r="F4332" s="70"/>
      <c r="G4332" s="70" t="s">
        <v>61</v>
      </c>
      <c r="H4332" s="70" t="s">
        <v>178</v>
      </c>
      <c r="I4332" s="70" t="s">
        <v>181</v>
      </c>
      <c r="J4332" s="71">
        <f>IF(OR(I4332=0,I4332=""),"unrated",VLOOKUP(I4332,MappingTables!$B$19:$C$31,2,FALSE))</f>
        <v>3</v>
      </c>
      <c r="K4332" s="72">
        <v>6677.5714930651808</v>
      </c>
      <c r="L4332" s="70">
        <v>5.507711290292924</v>
      </c>
      <c r="M4332" s="71">
        <f>IF(L4332&lt;1,1,L4332)</f>
        <v>5.507711290292924</v>
      </c>
      <c r="N4332" s="70" t="s">
        <v>141</v>
      </c>
      <c r="O4332" s="71">
        <f>INDEX(DurClassMapping,MATCH(M4332,MappingTables!$D$4:$D$8,-1),1)</f>
        <v>2</v>
      </c>
      <c r="P4332" s="73">
        <f>IF(M4332=$A$1,1,$M4332-INDEX(MappingTables!$E$4:$E$8,MATCH(O4332,MappingTables!$B$4:$B$8,0)))</f>
        <v>0.5077112902929244</v>
      </c>
      <c r="Q4332" s="71">
        <f>IF(B4332="",0,INDEX(ModelParameters!$D$6:$K$10,MATCH($O4332,ModelParameters!$B$6:$B$10,0),MATCH($J4332,ModelParameters!$D$5:$K$5,0)))</f>
        <v>0.015</v>
      </c>
      <c r="R4332" s="71">
        <f>IF(B4332="",0,INDEX(ModelParameters!$D$13:$K$17,MATCH($O4332,ModelParameters!$B$13:$B$17,0),MATCH($J4332,ModelParameters!$D$5:$K$5,0)))</f>
        <v>0.125</v>
      </c>
      <c r="S4332" s="160">
        <f>IF(B4332="",0,MIN(IF($N4332="Other Bond TM",ModelParameters!$N$21,1)*(P4332*Q4332+R4332),1))</f>
        <v>0.13261566935439386</v>
      </c>
      <c r="T4332" s="85">
        <f>IF(B4332="",0,$S4332*$K4332)</f>
        <v>885.55061321465824</v>
      </c>
      <c r="U4332" s="85">
        <f>IF(B4332="",0,IF(OR(H4332=MappingTables!$C$34,H4332=MappingTables!$C$35),T4332,0))</f>
        <v>0</v>
      </c>
      <c r="V4332" s="85">
        <f>IF(ISNA(IF(AND(VLOOKUP(CONCATENATE($D4332,$G4332),CSRFinput!$B:$E,4,0)=0,OR(H4332=MappingTables!$C$34,H4332=MappingTables!$C$35)),1,VLOOKUP(CONCATENATE($D4332,$G4332),CSRFinput!$B:$E,4,0))),0,IF(AND(VLOOKUP(CONCATENATE($D4332,$G4332),CSRFinput!$B:$E,4,0)=0,OR(H4332=MappingTables!$C$34,H4332=MappingTables!$C$35)),1,VLOOKUP(CONCATENATE($D4332,$G4332),CSRFinput!$B:$E,4,0)))</f>
        <v>0.054776304963434752</v>
      </c>
      <c r="W4332" s="85">
        <f>IF(B4332="",0,+$T4332*$V4332)</f>
        <v>48.507190450002776</v>
      </c>
      <c r="X4332" s="85">
        <f>IF(B4332="",0,IF(OR(H4332=MappingTables!$C$34,H4332=MappingTables!$C$35),W4332,0))</f>
        <v>0</v>
      </c>
    </row>
    <row r="4333" spans="2:24" s="0" customFormat="0" ht="15">
      <c r="B4333" s="69" t="s">
        <v>3018</v>
      </c>
      <c r="C4333" s="70" t="s">
        <v>3019</v>
      </c>
      <c r="D4333" s="70" t="s">
        <v>1</v>
      </c>
      <c r="E4333" s="70" t="s">
        <v>1</v>
      </c>
      <c r="F4333" s="70"/>
      <c r="G4333" s="70" t="s">
        <v>61</v>
      </c>
      <c r="H4333" s="70" t="s">
        <v>178</v>
      </c>
      <c r="I4333" s="70" t="s">
        <v>184</v>
      </c>
      <c r="J4333" s="71">
        <f>IF(OR(I4333=0,I4333=""),"unrated",VLOOKUP(I4333,MappingTables!$B$19:$C$31,2,FALSE))</f>
        <v>5</v>
      </c>
      <c r="K4333" s="72">
        <v>623.4160521243092</v>
      </c>
      <c r="L4333" s="70">
        <v>2.0375210409744128</v>
      </c>
      <c r="M4333" s="71">
        <f>IF(L4333&lt;1,1,L4333)</f>
        <v>2.0375210409744128</v>
      </c>
      <c r="N4333" s="70" t="s">
        <v>141</v>
      </c>
      <c r="O4333" s="71">
        <f>INDEX(DurClassMapping,MATCH(M4333,MappingTables!$D$4:$D$8,-1),1)</f>
        <v>1</v>
      </c>
      <c r="P4333" s="73">
        <f>IF(M4333=$A$1,1,$M4333-INDEX(MappingTables!$E$4:$E$8,MATCH(O4333,MappingTables!$B$4:$B$8,0)))</f>
        <v>2.0375210409744128</v>
      </c>
      <c r="Q4333" s="71">
        <f>IF(B4333="",0,INDEX(ModelParameters!$D$6:$K$10,MATCH($O4333,ModelParameters!$B$6:$B$10,0),MATCH($J4333,ModelParameters!$D$5:$K$5,0)))</f>
        <v>0.075</v>
      </c>
      <c r="R4333" s="71">
        <f>IF(B4333="",0,INDEX(ModelParameters!$D$13:$K$17,MATCH($O4333,ModelParameters!$B$13:$B$17,0),MATCH($J4333,ModelParameters!$D$5:$K$5,0)))</f>
        <v>0</v>
      </c>
      <c r="S4333" s="160">
        <f>IF(B4333="",0,MIN(IF($N4333="Other Bond TM",ModelParameters!$N$21,1)*(P4333*Q4333+R4333),1))</f>
        <v>0.15281407807308096</v>
      </c>
      <c r="T4333" s="85">
        <f>IF(B4333="",0,$S4333*$K4333)</f>
        <v>95.26674926133608</v>
      </c>
      <c r="U4333" s="85">
        <f>IF(B4333="",0,IF(OR(H4333=MappingTables!$C$34,H4333=MappingTables!$C$35),T4333,0))</f>
        <v>0</v>
      </c>
      <c r="V4333" s="85">
        <f>IF(ISNA(IF(AND(VLOOKUP(CONCATENATE($D4333,$G4333),CSRFinput!$B:$E,4,0)=0,OR(H4333=MappingTables!$C$34,H4333=MappingTables!$C$35)),1,VLOOKUP(CONCATENATE($D4333,$G4333),CSRFinput!$B:$E,4,0))),0,IF(AND(VLOOKUP(CONCATENATE($D4333,$G4333),CSRFinput!$B:$E,4,0)=0,OR(H4333=MappingTables!$C$34,H4333=MappingTables!$C$35)),1,VLOOKUP(CONCATENATE($D4333,$G4333),CSRFinput!$B:$E,4,0)))</f>
        <v>0.054776304963434752</v>
      </c>
      <c r="W4333" s="85">
        <f>IF(B4333="",0,+$T4333*$V4333)</f>
        <v>5.2183605104140184</v>
      </c>
      <c r="X4333" s="85">
        <f>IF(B4333="",0,IF(OR(H4333=MappingTables!$C$34,H4333=MappingTables!$C$35),W4333,0))</f>
        <v>0</v>
      </c>
    </row>
    <row r="4334" spans="2:24" s="0" customFormat="0" ht="15">
      <c r="B4334" s="69">
        <v>17101589</v>
      </c>
      <c r="C4334" s="70" t="s">
        <v>2656</v>
      </c>
      <c r="D4334" s="70" t="s">
        <v>1</v>
      </c>
      <c r="E4334" s="70" t="s">
        <v>1</v>
      </c>
      <c r="F4334" s="70"/>
      <c r="G4334" s="70" t="s">
        <v>61</v>
      </c>
      <c r="H4334" s="70" t="s">
        <v>178</v>
      </c>
      <c r="I4334" s="70" t="s">
        <v>198</v>
      </c>
      <c r="J4334" s="71" t="str">
        <f>IF(OR(I4334=0,I4334=""),"unrated",VLOOKUP(I4334,MappingTables!$B$19:$C$31,2,FALSE))</f>
        <v>unrated</v>
      </c>
      <c r="K4334" s="72">
        <v>0.12296411088442306</v>
      </c>
      <c r="L4334" s="70">
        <v>0.43562110523081568</v>
      </c>
      <c r="M4334" s="71">
        <f>IF(L4334&lt;1,1,L4334)</f>
        <v>1</v>
      </c>
      <c r="N4334" s="70" t="s">
        <v>141</v>
      </c>
      <c r="O4334" s="71">
        <f>INDEX(DurClassMapping,MATCH(M4334,MappingTables!$D$4:$D$8,-1),1)</f>
        <v>1</v>
      </c>
      <c r="P4334" s="73">
        <f>IF(M4334=$A$1,1,$M4334-INDEX(MappingTables!$E$4:$E$8,MATCH(O4334,MappingTables!$B$4:$B$8,0)))</f>
        <v>1</v>
      </c>
      <c r="Q4334" s="71">
        <f>IF(B4334="",0,INDEX(ModelParameters!$D$6:$K$10,MATCH($O4334,ModelParameters!$B$6:$B$10,0),MATCH($J4334,ModelParameters!$D$5:$K$5,0)))</f>
        <v>0.03</v>
      </c>
      <c r="R4334" s="71">
        <f>IF(B4334="",0,INDEX(ModelParameters!$D$13:$K$17,MATCH($O4334,ModelParameters!$B$13:$B$17,0),MATCH($J4334,ModelParameters!$D$5:$K$5,0)))</f>
        <v>0</v>
      </c>
      <c r="S4334" s="160">
        <f>IF(B4334="",0,MIN(IF($N4334="Other Bond TM",ModelParameters!$N$21,1)*(P4334*Q4334+R4334),1))</f>
        <v>0.03</v>
      </c>
      <c r="T4334" s="85">
        <f>IF(B4334="",0,$S4334*$K4334)</f>
        <v>0.0036889233265326912</v>
      </c>
      <c r="U4334" s="85">
        <f>IF(B4334="",0,IF(OR(H4334=MappingTables!$C$34,H4334=MappingTables!$C$35),T4334,0))</f>
        <v>0</v>
      </c>
      <c r="V4334" s="85">
        <f>IF(ISNA(IF(AND(VLOOKUP(CONCATENATE($D4334,$G4334),CSRFinput!$B:$E,4,0)=0,OR(H4334=MappingTables!$C$34,H4334=MappingTables!$C$35)),1,VLOOKUP(CONCATENATE($D4334,$G4334),CSRFinput!$B:$E,4,0))),0,IF(AND(VLOOKUP(CONCATENATE($D4334,$G4334),CSRFinput!$B:$E,4,0)=0,OR(H4334=MappingTables!$C$34,H4334=MappingTables!$C$35)),1,VLOOKUP(CONCATENATE($D4334,$G4334),CSRFinput!$B:$E,4,0)))</f>
        <v>0.054776304963434752</v>
      </c>
      <c r="W4334" s="85">
        <f>IF(B4334="",0,+$T4334*$V4334)</f>
        <v>0.00020206558912088292</v>
      </c>
      <c r="X4334" s="85">
        <f>IF(B4334="",0,IF(OR(H4334=MappingTables!$C$34,H4334=MappingTables!$C$35),W4334,0))</f>
        <v>0</v>
      </c>
    </row>
    <row r="4335" spans="2:24" s="0" customFormat="0" ht="15">
      <c r="B4335" s="69">
        <v>21520715</v>
      </c>
      <c r="C4335" s="70" t="s">
        <v>2003</v>
      </c>
      <c r="D4335" s="70" t="s">
        <v>1</v>
      </c>
      <c r="E4335" s="70" t="s">
        <v>1</v>
      </c>
      <c r="F4335" s="70"/>
      <c r="G4335" s="70" t="s">
        <v>61</v>
      </c>
      <c r="H4335" s="70" t="s">
        <v>178</v>
      </c>
      <c r="I4335" s="70" t="s">
        <v>188</v>
      </c>
      <c r="J4335" s="71">
        <f>IF(OR(I4335=0,I4335=""),"unrated",VLOOKUP(I4335,MappingTables!$B$19:$C$31,2,FALSE))</f>
        <v>2</v>
      </c>
      <c r="K4335" s="72">
        <v>6570.9726991628704</v>
      </c>
      <c r="L4335" s="70">
        <v>3.4384161908082948</v>
      </c>
      <c r="M4335" s="71">
        <f>IF(L4335&lt;1,1,L4335)</f>
        <v>3.4384161908082948</v>
      </c>
      <c r="N4335" s="70" t="s">
        <v>141</v>
      </c>
      <c r="O4335" s="71">
        <f>INDEX(DurClassMapping,MATCH(M4335,MappingTables!$D$4:$D$8,-1),1)</f>
        <v>1</v>
      </c>
      <c r="P4335" s="73">
        <f>IF(M4335=$A$1,1,$M4335-INDEX(MappingTables!$E$4:$E$8,MATCH(O4335,MappingTables!$B$4:$B$8,0)))</f>
        <v>3.4384161908082948</v>
      </c>
      <c r="Q4335" s="71">
        <f>IF(B4335="",0,INDEX(ModelParameters!$D$6:$K$10,MATCH($O4335,ModelParameters!$B$6:$B$10,0),MATCH($J4335,ModelParameters!$D$5:$K$5,0)))</f>
        <v>0.013999999999999998</v>
      </c>
      <c r="R4335" s="71">
        <f>IF(B4335="",0,INDEX(ModelParameters!$D$13:$K$17,MATCH($O4335,ModelParameters!$B$13:$B$17,0),MATCH($J4335,ModelParameters!$D$5:$K$5,0)))</f>
        <v>0</v>
      </c>
      <c r="S4335" s="160">
        <f>IF(B4335="",0,MIN(IF($N4335="Other Bond TM",ModelParameters!$N$21,1)*(P4335*Q4335+R4335),1))</f>
        <v>0.04813782667131612</v>
      </c>
      <c r="T4335" s="85">
        <f>IF(B4335="",0,$S4335*$K4335)</f>
        <v>316.31234485425252</v>
      </c>
      <c r="U4335" s="85">
        <f>IF(B4335="",0,IF(OR(H4335=MappingTables!$C$34,H4335=MappingTables!$C$35),T4335,0))</f>
        <v>0</v>
      </c>
      <c r="V4335" s="85">
        <f>IF(ISNA(IF(AND(VLOOKUP(CONCATENATE($D4335,$G4335),CSRFinput!$B:$E,4,0)=0,OR(H4335=MappingTables!$C$34,H4335=MappingTables!$C$35)),1,VLOOKUP(CONCATENATE($D4335,$G4335),CSRFinput!$B:$E,4,0))),0,IF(AND(VLOOKUP(CONCATENATE($D4335,$G4335),CSRFinput!$B:$E,4,0)=0,OR(H4335=MappingTables!$C$34,H4335=MappingTables!$C$35)),1,VLOOKUP(CONCATENATE($D4335,$G4335),CSRFinput!$B:$E,4,0)))</f>
        <v>0.054776304963434752</v>
      </c>
      <c r="W4335" s="85">
        <f>IF(B4335="",0,+$T4335*$V4335)</f>
        <v>17.326421465435676</v>
      </c>
      <c r="X4335" s="85">
        <f>IF(B4335="",0,IF(OR(H4335=MappingTables!$C$34,H4335=MappingTables!$C$35),W4335,0))</f>
        <v>0</v>
      </c>
    </row>
    <row r="4336" spans="2:24" s="0" customFormat="0" ht="15">
      <c r="B4336" s="69" t="s">
        <v>3020</v>
      </c>
      <c r="C4336" s="70" t="s">
        <v>3021</v>
      </c>
      <c r="D4336" s="70" t="s">
        <v>1</v>
      </c>
      <c r="E4336" s="70" t="s">
        <v>1</v>
      </c>
      <c r="F4336" s="70"/>
      <c r="G4336" s="70" t="s">
        <v>61</v>
      </c>
      <c r="H4336" s="70" t="s">
        <v>178</v>
      </c>
      <c r="I4336" s="70" t="s">
        <v>184</v>
      </c>
      <c r="J4336" s="71">
        <f>IF(OR(I4336=0,I4336=""),"unrated",VLOOKUP(I4336,MappingTables!$B$19:$C$31,2,FALSE))</f>
        <v>5</v>
      </c>
      <c r="K4336" s="72">
        <v>864.58020077228848</v>
      </c>
      <c r="L4336" s="70">
        <v>3.9045124607009856</v>
      </c>
      <c r="M4336" s="71">
        <f>IF(L4336&lt;1,1,L4336)</f>
        <v>3.9045124607009856</v>
      </c>
      <c r="N4336" s="70" t="s">
        <v>141</v>
      </c>
      <c r="O4336" s="71">
        <f>INDEX(DurClassMapping,MATCH(M4336,MappingTables!$D$4:$D$8,-1),1)</f>
        <v>1</v>
      </c>
      <c r="P4336" s="73">
        <f>IF(M4336=$A$1,1,$M4336-INDEX(MappingTables!$E$4:$E$8,MATCH(O4336,MappingTables!$B$4:$B$8,0)))</f>
        <v>3.9045124607009856</v>
      </c>
      <c r="Q4336" s="71">
        <f>IF(B4336="",0,INDEX(ModelParameters!$D$6:$K$10,MATCH($O4336,ModelParameters!$B$6:$B$10,0),MATCH($J4336,ModelParameters!$D$5:$K$5,0)))</f>
        <v>0.075</v>
      </c>
      <c r="R4336" s="71">
        <f>IF(B4336="",0,INDEX(ModelParameters!$D$13:$K$17,MATCH($O4336,ModelParameters!$B$13:$B$17,0),MATCH($J4336,ModelParameters!$D$5:$K$5,0)))</f>
        <v>0</v>
      </c>
      <c r="S4336" s="160">
        <f>IF(B4336="",0,MIN(IF($N4336="Other Bond TM",ModelParameters!$N$21,1)*(P4336*Q4336+R4336),1))</f>
        <v>0.29283843455257392</v>
      </c>
      <c r="T4336" s="85">
        <f>IF(B4336="",0,$S4336*$K4336)</f>
        <v>253.182312539307</v>
      </c>
      <c r="U4336" s="85">
        <f>IF(B4336="",0,IF(OR(H4336=MappingTables!$C$34,H4336=MappingTables!$C$35),T4336,0))</f>
        <v>0</v>
      </c>
      <c r="V4336" s="85">
        <f>IF(ISNA(IF(AND(VLOOKUP(CONCATENATE($D4336,$G4336),CSRFinput!$B:$E,4,0)=0,OR(H4336=MappingTables!$C$34,H4336=MappingTables!$C$35)),1,VLOOKUP(CONCATENATE($D4336,$G4336),CSRFinput!$B:$E,4,0))),0,IF(AND(VLOOKUP(CONCATENATE($D4336,$G4336),CSRFinput!$B:$E,4,0)=0,OR(H4336=MappingTables!$C$34,H4336=MappingTables!$C$35)),1,VLOOKUP(CONCATENATE($D4336,$G4336),CSRFinput!$B:$E,4,0)))</f>
        <v>0.054776304963434752</v>
      </c>
      <c r="W4336" s="85">
        <f>IF(B4336="",0,+$T4336*$V4336)</f>
        <v>13.868391563000732</v>
      </c>
      <c r="X4336" s="85">
        <f>IF(B4336="",0,IF(OR(H4336=MappingTables!$C$34,H4336=MappingTables!$C$35),W4336,0))</f>
        <v>0</v>
      </c>
    </row>
    <row r="4337" spans="2:24" s="0" customFormat="0" ht="15">
      <c r="B4337" s="69">
        <v>18657604</v>
      </c>
      <c r="C4337" s="70" t="s">
        <v>2567</v>
      </c>
      <c r="D4337" s="70" t="s">
        <v>1</v>
      </c>
      <c r="E4337" s="70" t="s">
        <v>1</v>
      </c>
      <c r="F4337" s="70"/>
      <c r="G4337" s="70" t="s">
        <v>61</v>
      </c>
      <c r="H4337" s="70" t="s">
        <v>178</v>
      </c>
      <c r="I4337" s="70" t="s">
        <v>179</v>
      </c>
      <c r="J4337" s="71">
        <f>IF(OR(I4337=0,I4337=""),"unrated",VLOOKUP(I4337,MappingTables!$B$19:$C$31,2,FALSE))</f>
        <v>4</v>
      </c>
      <c r="K4337" s="72">
        <v>316.80702851288544</v>
      </c>
      <c r="L4337" s="70">
        <v>0.72438066089287728</v>
      </c>
      <c r="M4337" s="71">
        <f>IF(L4337&lt;1,1,L4337)</f>
        <v>1</v>
      </c>
      <c r="N4337" s="70" t="s">
        <v>141</v>
      </c>
      <c r="O4337" s="71">
        <f>INDEX(DurClassMapping,MATCH(M4337,MappingTables!$D$4:$D$8,-1),1)</f>
        <v>1</v>
      </c>
      <c r="P4337" s="73">
        <f>IF(M4337=$A$1,1,$M4337-INDEX(MappingTables!$E$4:$E$8,MATCH(O4337,MappingTables!$B$4:$B$8,0)))</f>
        <v>1</v>
      </c>
      <c r="Q4337" s="71">
        <f>IF(B4337="",0,INDEX(ModelParameters!$D$6:$K$10,MATCH($O4337,ModelParameters!$B$6:$B$10,0),MATCH($J4337,ModelParameters!$D$5:$K$5,0)))</f>
        <v>0.045</v>
      </c>
      <c r="R4337" s="71">
        <f>IF(B4337="",0,INDEX(ModelParameters!$D$13:$K$17,MATCH($O4337,ModelParameters!$B$13:$B$17,0),MATCH($J4337,ModelParameters!$D$5:$K$5,0)))</f>
        <v>0</v>
      </c>
      <c r="S4337" s="160">
        <f>IF(B4337="",0,MIN(IF($N4337="Other Bond TM",ModelParameters!$N$21,1)*(P4337*Q4337+R4337),1))</f>
        <v>0.045</v>
      </c>
      <c r="T4337" s="85">
        <f>IF(B4337="",0,$S4337*$K4337)</f>
        <v>14.256316283079844</v>
      </c>
      <c r="U4337" s="85">
        <f>IF(B4337="",0,IF(OR(H4337=MappingTables!$C$34,H4337=MappingTables!$C$35),T4337,0))</f>
        <v>0</v>
      </c>
      <c r="V4337" s="85">
        <f>IF(ISNA(IF(AND(VLOOKUP(CONCATENATE($D4337,$G4337),CSRFinput!$B:$E,4,0)=0,OR(H4337=MappingTables!$C$34,H4337=MappingTables!$C$35)),1,VLOOKUP(CONCATENATE($D4337,$G4337),CSRFinput!$B:$E,4,0))),0,IF(AND(VLOOKUP(CONCATENATE($D4337,$G4337),CSRFinput!$B:$E,4,0)=0,OR(H4337=MappingTables!$C$34,H4337=MappingTables!$C$35)),1,VLOOKUP(CONCATENATE($D4337,$G4337),CSRFinput!$B:$E,4,0)))</f>
        <v>0.054776304963434752</v>
      </c>
      <c r="W4337" s="85">
        <f>IF(B4337="",0,+$T4337*$V4337)</f>
        <v>0.78090832837716224</v>
      </c>
      <c r="X4337" s="85">
        <f>IF(B4337="",0,IF(OR(H4337=MappingTables!$C$34,H4337=MappingTables!$C$35),W4337,0))</f>
        <v>0</v>
      </c>
    </row>
    <row r="4338" spans="2:24" s="0" customFormat="0" ht="15">
      <c r="B4338" s="69">
        <v>13036774</v>
      </c>
      <c r="C4338" s="70" t="s">
        <v>1590</v>
      </c>
      <c r="D4338" s="70" t="s">
        <v>1</v>
      </c>
      <c r="E4338" s="70" t="s">
        <v>1</v>
      </c>
      <c r="F4338" s="70"/>
      <c r="G4338" s="70" t="s">
        <v>61</v>
      </c>
      <c r="H4338" s="70" t="s">
        <v>178</v>
      </c>
      <c r="I4338" s="70" t="s">
        <v>188</v>
      </c>
      <c r="J4338" s="71">
        <f>IF(OR(I4338=0,I4338=""),"unrated",VLOOKUP(I4338,MappingTables!$B$19:$C$31,2,FALSE))</f>
        <v>2</v>
      </c>
      <c r="K4338" s="72">
        <v>313.75805097395608</v>
      </c>
      <c r="L4338" s="70">
        <v>0.94433662079473872</v>
      </c>
      <c r="M4338" s="71">
        <f>IF(L4338&lt;1,1,L4338)</f>
        <v>1</v>
      </c>
      <c r="N4338" s="70" t="s">
        <v>141</v>
      </c>
      <c r="O4338" s="71">
        <f>INDEX(DurClassMapping,MATCH(M4338,MappingTables!$D$4:$D$8,-1),1)</f>
        <v>1</v>
      </c>
      <c r="P4338" s="73">
        <f>IF(M4338=$A$1,1,$M4338-INDEX(MappingTables!$E$4:$E$8,MATCH(O4338,MappingTables!$B$4:$B$8,0)))</f>
        <v>1</v>
      </c>
      <c r="Q4338" s="71">
        <f>IF(B4338="",0,INDEX(ModelParameters!$D$6:$K$10,MATCH($O4338,ModelParameters!$B$6:$B$10,0),MATCH($J4338,ModelParameters!$D$5:$K$5,0)))</f>
        <v>0.013999999999999998</v>
      </c>
      <c r="R4338" s="71">
        <f>IF(B4338="",0,INDEX(ModelParameters!$D$13:$K$17,MATCH($O4338,ModelParameters!$B$13:$B$17,0),MATCH($J4338,ModelParameters!$D$5:$K$5,0)))</f>
        <v>0</v>
      </c>
      <c r="S4338" s="160">
        <f>IF(B4338="",0,MIN(IF($N4338="Other Bond TM",ModelParameters!$N$21,1)*(P4338*Q4338+R4338),1))</f>
        <v>0.013999999999999998</v>
      </c>
      <c r="T4338" s="85">
        <f>IF(B4338="",0,$S4338*$K4338)</f>
        <v>4.392612713635384</v>
      </c>
      <c r="U4338" s="85">
        <f>IF(B4338="",0,IF(OR(H4338=MappingTables!$C$34,H4338=MappingTables!$C$35),T4338,0))</f>
        <v>0</v>
      </c>
      <c r="V4338" s="85">
        <f>IF(ISNA(IF(AND(VLOOKUP(CONCATENATE($D4338,$G4338),CSRFinput!$B:$E,4,0)=0,OR(H4338=MappingTables!$C$34,H4338=MappingTables!$C$35)),1,VLOOKUP(CONCATENATE($D4338,$G4338),CSRFinput!$B:$E,4,0))),0,IF(AND(VLOOKUP(CONCATENATE($D4338,$G4338),CSRFinput!$B:$E,4,0)=0,OR(H4338=MappingTables!$C$34,H4338=MappingTables!$C$35)),1,VLOOKUP(CONCATENATE($D4338,$G4338),CSRFinput!$B:$E,4,0)))</f>
        <v>0.054776304963434752</v>
      </c>
      <c r="W4338" s="85">
        <f>IF(B4338="",0,+$T4338*$V4338)</f>
        <v>0.24061109358835252</v>
      </c>
      <c r="X4338" s="85">
        <f>IF(B4338="",0,IF(OR(H4338=MappingTables!$C$34,H4338=MappingTables!$C$35),W4338,0))</f>
        <v>0</v>
      </c>
    </row>
    <row r="4339" spans="2:24" s="0" customFormat="0" ht="15">
      <c r="B4339" s="69">
        <v>8903954</v>
      </c>
      <c r="C4339" s="70" t="s">
        <v>2124</v>
      </c>
      <c r="D4339" s="70" t="s">
        <v>1</v>
      </c>
      <c r="E4339" s="70" t="s">
        <v>1</v>
      </c>
      <c r="F4339" s="70"/>
      <c r="G4339" s="70" t="s">
        <v>61</v>
      </c>
      <c r="H4339" s="70" t="s">
        <v>178</v>
      </c>
      <c r="I4339" s="70" t="s">
        <v>181</v>
      </c>
      <c r="J4339" s="71">
        <f>IF(OR(I4339=0,I4339=""),"unrated",VLOOKUP(I4339,MappingTables!$B$19:$C$31,2,FALSE))</f>
        <v>3</v>
      </c>
      <c r="K4339" s="72">
        <v>2587.9444833458704</v>
      </c>
      <c r="L4339" s="70">
        <v>3.285777963828286</v>
      </c>
      <c r="M4339" s="71">
        <f>IF(L4339&lt;1,1,L4339)</f>
        <v>3.285777963828286</v>
      </c>
      <c r="N4339" s="70" t="s">
        <v>141</v>
      </c>
      <c r="O4339" s="71">
        <f>INDEX(DurClassMapping,MATCH(M4339,MappingTables!$D$4:$D$8,-1),1)</f>
        <v>1</v>
      </c>
      <c r="P4339" s="73">
        <f>IF(M4339=$A$1,1,$M4339-INDEX(MappingTables!$E$4:$E$8,MATCH(O4339,MappingTables!$B$4:$B$8,0)))</f>
        <v>3.285777963828286</v>
      </c>
      <c r="Q4339" s="71">
        <f>IF(B4339="",0,INDEX(ModelParameters!$D$6:$K$10,MATCH($O4339,ModelParameters!$B$6:$B$10,0),MATCH($J4339,ModelParameters!$D$5:$K$5,0)))</f>
        <v>0.025</v>
      </c>
      <c r="R4339" s="71">
        <f>IF(B4339="",0,INDEX(ModelParameters!$D$13:$K$17,MATCH($O4339,ModelParameters!$B$13:$B$17,0),MATCH($J4339,ModelParameters!$D$5:$K$5,0)))</f>
        <v>0</v>
      </c>
      <c r="S4339" s="160">
        <f>IF(B4339="",0,MIN(IF($N4339="Other Bond TM",ModelParameters!$N$21,1)*(P4339*Q4339+R4339),1))</f>
        <v>0.082144449095707152</v>
      </c>
      <c r="T4339" s="85">
        <f>IF(B4339="",0,$S4339*$K4339)</f>
        <v>212.58527387472104</v>
      </c>
      <c r="U4339" s="85">
        <f>IF(B4339="",0,IF(OR(H4339=MappingTables!$C$34,H4339=MappingTables!$C$35),T4339,0))</f>
        <v>0</v>
      </c>
      <c r="V4339" s="85">
        <f>IF(ISNA(IF(AND(VLOOKUP(CONCATENATE($D4339,$G4339),CSRFinput!$B:$E,4,0)=0,OR(H4339=MappingTables!$C$34,H4339=MappingTables!$C$35)),1,VLOOKUP(CONCATENATE($D4339,$G4339),CSRFinput!$B:$E,4,0))),0,IF(AND(VLOOKUP(CONCATENATE($D4339,$G4339),CSRFinput!$B:$E,4,0)=0,OR(H4339=MappingTables!$C$34,H4339=MappingTables!$C$35)),1,VLOOKUP(CONCATENATE($D4339,$G4339),CSRFinput!$B:$E,4,0)))</f>
        <v>0.054776304963434752</v>
      </c>
      <c r="W4339" s="85">
        <f>IF(B4339="",0,+$T4339*$V4339)</f>
        <v>11.644635792497018</v>
      </c>
      <c r="X4339" s="85">
        <f>IF(B4339="",0,IF(OR(H4339=MappingTables!$C$34,H4339=MappingTables!$C$35),W4339,0))</f>
        <v>0</v>
      </c>
    </row>
    <row r="4340" spans="2:24" s="0" customFormat="0" ht="15">
      <c r="B4340" s="69">
        <v>7062459</v>
      </c>
      <c r="C4340" s="70" t="s">
        <v>2798</v>
      </c>
      <c r="D4340" s="70" t="s">
        <v>1</v>
      </c>
      <c r="E4340" s="70" t="s">
        <v>1</v>
      </c>
      <c r="F4340" s="70"/>
      <c r="G4340" s="70" t="s">
        <v>61</v>
      </c>
      <c r="H4340" s="70" t="s">
        <v>178</v>
      </c>
      <c r="I4340" s="70" t="s">
        <v>179</v>
      </c>
      <c r="J4340" s="71">
        <f>IF(OR(I4340=0,I4340=""),"unrated",VLOOKUP(I4340,MappingTables!$B$19:$C$31,2,FALSE))</f>
        <v>4</v>
      </c>
      <c r="K4340" s="72">
        <v>114.50884601825224</v>
      </c>
      <c r="L4340" s="70">
        <v>12.347275612730294</v>
      </c>
      <c r="M4340" s="71">
        <f>IF(L4340&lt;1,1,L4340)</f>
        <v>12.347275612730294</v>
      </c>
      <c r="N4340" s="70" t="s">
        <v>141</v>
      </c>
      <c r="O4340" s="71">
        <f>INDEX(DurClassMapping,MATCH(M4340,MappingTables!$D$4:$D$8,-1),1)</f>
        <v>3</v>
      </c>
      <c r="P4340" s="73">
        <f>IF(M4340=$A$1,1,$M4340-INDEX(MappingTables!$E$4:$E$8,MATCH(O4340,MappingTables!$B$4:$B$8,0)))</f>
        <v>2.3472756127302948</v>
      </c>
      <c r="Q4340" s="71">
        <f>IF(B4340="",0,INDEX(ModelParameters!$D$6:$K$10,MATCH($O4340,ModelParameters!$B$6:$B$10,0),MATCH($J4340,ModelParameters!$D$5:$K$5,0)))</f>
        <v>0.018000000000000002</v>
      </c>
      <c r="R4340" s="71">
        <f>IF(B4340="",0,INDEX(ModelParameters!$D$13:$K$17,MATCH($O4340,ModelParameters!$B$13:$B$17,0),MATCH($J4340,ModelParameters!$D$5:$K$5,0)))</f>
        <v>0.34999999999999996</v>
      </c>
      <c r="S4340" s="160">
        <f>IF(B4340="",0,MIN(IF($N4340="Other Bond TM",ModelParameters!$N$21,1)*(P4340*Q4340+R4340),1))</f>
        <v>0.39225096102914528</v>
      </c>
      <c r="T4340" s="85">
        <f>IF(B4340="",0,$S4340*$K4340)</f>
        <v>44.916204896997864</v>
      </c>
      <c r="U4340" s="85">
        <f>IF(B4340="",0,IF(OR(H4340=MappingTables!$C$34,H4340=MappingTables!$C$35),T4340,0))</f>
        <v>0</v>
      </c>
      <c r="V4340" s="85">
        <f>IF(ISNA(IF(AND(VLOOKUP(CONCATENATE($D4340,$G4340),CSRFinput!$B:$E,4,0)=0,OR(H4340=MappingTables!$C$34,H4340=MappingTables!$C$35)),1,VLOOKUP(CONCATENATE($D4340,$G4340),CSRFinput!$B:$E,4,0))),0,IF(AND(VLOOKUP(CONCATENATE($D4340,$G4340),CSRFinput!$B:$E,4,0)=0,OR(H4340=MappingTables!$C$34,H4340=MappingTables!$C$35)),1,VLOOKUP(CONCATENATE($D4340,$G4340),CSRFinput!$B:$E,4,0)))</f>
        <v>0.054776304963434752</v>
      </c>
      <c r="W4340" s="85">
        <f>IF(B4340="",0,+$T4340*$V4340)</f>
        <v>2.4603437372380764</v>
      </c>
      <c r="X4340" s="85">
        <f>IF(B4340="",0,IF(OR(H4340=MappingTables!$C$34,H4340=MappingTables!$C$35),W4340,0))</f>
        <v>0</v>
      </c>
    </row>
    <row r="4341" spans="2:24" s="0" customFormat="0" ht="15">
      <c r="B4341" s="69" t="s">
        <v>2909</v>
      </c>
      <c r="C4341" s="70" t="s">
        <v>2910</v>
      </c>
      <c r="D4341" s="70" t="s">
        <v>1</v>
      </c>
      <c r="E4341" s="70" t="s">
        <v>1</v>
      </c>
      <c r="F4341" s="70"/>
      <c r="G4341" s="70" t="s">
        <v>61</v>
      </c>
      <c r="H4341" s="70" t="s">
        <v>178</v>
      </c>
      <c r="I4341" s="70" t="s">
        <v>181</v>
      </c>
      <c r="J4341" s="71">
        <f>IF(OR(I4341=0,I4341=""),"unrated",VLOOKUP(I4341,MappingTables!$B$19:$C$31,2,FALSE))</f>
        <v>3</v>
      </c>
      <c r="K4341" s="72">
        <v>0.56965998247880856</v>
      </c>
      <c r="L4341" s="70">
        <v>0.21095980141861532</v>
      </c>
      <c r="M4341" s="71">
        <f>IF(L4341&lt;1,1,L4341)</f>
        <v>1</v>
      </c>
      <c r="N4341" s="70" t="s">
        <v>141</v>
      </c>
      <c r="O4341" s="71">
        <f>INDEX(DurClassMapping,MATCH(M4341,MappingTables!$D$4:$D$8,-1),1)</f>
        <v>1</v>
      </c>
      <c r="P4341" s="73">
        <f>IF(M4341=$A$1,1,$M4341-INDEX(MappingTables!$E$4:$E$8,MATCH(O4341,MappingTables!$B$4:$B$8,0)))</f>
        <v>1</v>
      </c>
      <c r="Q4341" s="71">
        <f>IF(B4341="",0,INDEX(ModelParameters!$D$6:$K$10,MATCH($O4341,ModelParameters!$B$6:$B$10,0),MATCH($J4341,ModelParameters!$D$5:$K$5,0)))</f>
        <v>0.025</v>
      </c>
      <c r="R4341" s="71">
        <f>IF(B4341="",0,INDEX(ModelParameters!$D$13:$K$17,MATCH($O4341,ModelParameters!$B$13:$B$17,0),MATCH($J4341,ModelParameters!$D$5:$K$5,0)))</f>
        <v>0</v>
      </c>
      <c r="S4341" s="160">
        <f>IF(B4341="",0,MIN(IF($N4341="Other Bond TM",ModelParameters!$N$21,1)*(P4341*Q4341+R4341),1))</f>
        <v>0.025</v>
      </c>
      <c r="T4341" s="85">
        <f>IF(B4341="",0,$S4341*$K4341)</f>
        <v>0.014241499561970214</v>
      </c>
      <c r="U4341" s="85">
        <f>IF(B4341="",0,IF(OR(H4341=MappingTables!$C$34,H4341=MappingTables!$C$35),T4341,0))</f>
        <v>0</v>
      </c>
      <c r="V4341" s="85">
        <f>IF(ISNA(IF(AND(VLOOKUP(CONCATENATE($D4341,$G4341),CSRFinput!$B:$E,4,0)=0,OR(H4341=MappingTables!$C$34,H4341=MappingTables!$C$35)),1,VLOOKUP(CONCATENATE($D4341,$G4341),CSRFinput!$B:$E,4,0))),0,IF(AND(VLOOKUP(CONCATENATE($D4341,$G4341),CSRFinput!$B:$E,4,0)=0,OR(H4341=MappingTables!$C$34,H4341=MappingTables!$C$35)),1,VLOOKUP(CONCATENATE($D4341,$G4341),CSRFinput!$B:$E,4,0)))</f>
        <v>0.054776304963434752</v>
      </c>
      <c r="W4341" s="85">
        <f>IF(B4341="",0,+$T4341*$V4341)</f>
        <v>0.00078009672314310288</v>
      </c>
      <c r="X4341" s="85">
        <f>IF(B4341="",0,IF(OR(H4341=MappingTables!$C$34,H4341=MappingTables!$C$35),W4341,0))</f>
        <v>0</v>
      </c>
    </row>
    <row r="4342" spans="2:24" s="0" customFormat="0" ht="15">
      <c r="B4342" s="69">
        <v>22071386</v>
      </c>
      <c r="C4342" s="70" t="s">
        <v>2997</v>
      </c>
      <c r="D4342" s="70" t="s">
        <v>1</v>
      </c>
      <c r="E4342" s="70" t="s">
        <v>1</v>
      </c>
      <c r="F4342" s="70"/>
      <c r="G4342" s="70" t="s">
        <v>61</v>
      </c>
      <c r="H4342" s="70" t="s">
        <v>178</v>
      </c>
      <c r="I4342" s="70" t="s">
        <v>188</v>
      </c>
      <c r="J4342" s="71">
        <f>IF(OR(I4342=0,I4342=""),"unrated",VLOOKUP(I4342,MappingTables!$B$19:$C$31,2,FALSE))</f>
        <v>2</v>
      </c>
      <c r="K4342" s="72">
        <v>26483.482777438896</v>
      </c>
      <c r="L4342" s="70">
        <v>3.1515132260844376</v>
      </c>
      <c r="M4342" s="71">
        <f>IF(L4342&lt;1,1,L4342)</f>
        <v>3.1515132260844376</v>
      </c>
      <c r="N4342" s="70" t="s">
        <v>141</v>
      </c>
      <c r="O4342" s="71">
        <f>INDEX(DurClassMapping,MATCH(M4342,MappingTables!$D$4:$D$8,-1),1)</f>
        <v>1</v>
      </c>
      <c r="P4342" s="73">
        <f>IF(M4342=$A$1,1,$M4342-INDEX(MappingTables!$E$4:$E$8,MATCH(O4342,MappingTables!$B$4:$B$8,0)))</f>
        <v>3.1515132260844376</v>
      </c>
      <c r="Q4342" s="71">
        <f>IF(B4342="",0,INDEX(ModelParameters!$D$6:$K$10,MATCH($O4342,ModelParameters!$B$6:$B$10,0),MATCH($J4342,ModelParameters!$D$5:$K$5,0)))</f>
        <v>0.013999999999999998</v>
      </c>
      <c r="R4342" s="71">
        <f>IF(B4342="",0,INDEX(ModelParameters!$D$13:$K$17,MATCH($O4342,ModelParameters!$B$13:$B$17,0),MATCH($J4342,ModelParameters!$D$5:$K$5,0)))</f>
        <v>0</v>
      </c>
      <c r="S4342" s="160">
        <f>IF(B4342="",0,MIN(IF($N4342="Other Bond TM",ModelParameters!$N$21,1)*(P4342*Q4342+R4342),1))</f>
        <v>0.04412118516518212</v>
      </c>
      <c r="T4342" s="85">
        <f>IF(B4342="",0,$S4342*$K4342)</f>
        <v>1168.4826474422932</v>
      </c>
      <c r="U4342" s="85">
        <f>IF(B4342="",0,IF(OR(H4342=MappingTables!$C$34,H4342=MappingTables!$C$35),T4342,0))</f>
        <v>0</v>
      </c>
      <c r="V4342" s="85">
        <f>IF(ISNA(IF(AND(VLOOKUP(CONCATENATE($D4342,$G4342),CSRFinput!$B:$E,4,0)=0,OR(H4342=MappingTables!$C$34,H4342=MappingTables!$C$35)),1,VLOOKUP(CONCATENATE($D4342,$G4342),CSRFinput!$B:$E,4,0))),0,IF(AND(VLOOKUP(CONCATENATE($D4342,$G4342),CSRFinput!$B:$E,4,0)=0,OR(H4342=MappingTables!$C$34,H4342=MappingTables!$C$35)),1,VLOOKUP(CONCATENATE($D4342,$G4342),CSRFinput!$B:$E,4,0)))</f>
        <v>0.054776304963434752</v>
      </c>
      <c r="W4342" s="85">
        <f>IF(B4342="",0,+$T4342*$V4342)</f>
        <v>64.005161840780672</v>
      </c>
      <c r="X4342" s="85">
        <f>IF(B4342="",0,IF(OR(H4342=MappingTables!$C$34,H4342=MappingTables!$C$35),W4342,0))</f>
        <v>0</v>
      </c>
    </row>
    <row r="4343" spans="2:24" s="0" customFormat="0" ht="15">
      <c r="B4343" s="69" t="s">
        <v>2113</v>
      </c>
      <c r="C4343" s="70" t="s">
        <v>2114</v>
      </c>
      <c r="D4343" s="70" t="s">
        <v>1</v>
      </c>
      <c r="E4343" s="70" t="s">
        <v>1</v>
      </c>
      <c r="F4343" s="70"/>
      <c r="G4343" s="70" t="s">
        <v>61</v>
      </c>
      <c r="H4343" s="70" t="s">
        <v>178</v>
      </c>
      <c r="I4343" s="70" t="s">
        <v>188</v>
      </c>
      <c r="J4343" s="71">
        <f>IF(OR(I4343=0,I4343=""),"unrated",VLOOKUP(I4343,MappingTables!$B$19:$C$31,2,FALSE))</f>
        <v>2</v>
      </c>
      <c r="K4343" s="72">
        <v>10150.21903493995</v>
      </c>
      <c r="L4343" s="70">
        <v>9.024124919022256</v>
      </c>
      <c r="M4343" s="71">
        <f>IF(L4343&lt;1,1,L4343)</f>
        <v>9.024124919022256</v>
      </c>
      <c r="N4343" s="70" t="s">
        <v>141</v>
      </c>
      <c r="O4343" s="71">
        <f>INDEX(DurClassMapping,MATCH(M4343,MappingTables!$D$4:$D$8,-1),1)</f>
        <v>2</v>
      </c>
      <c r="P4343" s="73">
        <f>IF(M4343=$A$1,1,$M4343-INDEX(MappingTables!$E$4:$E$8,MATCH(O4343,MappingTables!$B$4:$B$8,0)))</f>
        <v>4.024124919022256</v>
      </c>
      <c r="Q4343" s="71">
        <f>IF(B4343="",0,INDEX(ModelParameters!$D$6:$K$10,MATCH($O4343,ModelParameters!$B$6:$B$10,0),MATCH($J4343,ModelParameters!$D$5:$K$5,0)))</f>
        <v>0.0069999999999999992</v>
      </c>
      <c r="R4343" s="71">
        <f>IF(B4343="",0,INDEX(ModelParameters!$D$13:$K$17,MATCH($O4343,ModelParameters!$B$13:$B$17,0),MATCH($J4343,ModelParameters!$D$5:$K$5,0)))</f>
        <v>0.070000000000000008</v>
      </c>
      <c r="S4343" s="160">
        <f>IF(B4343="",0,MIN(IF($N4343="Other Bond TM",ModelParameters!$N$21,1)*(P4343*Q4343+R4343),1))</f>
        <v>0.098168874433155792</v>
      </c>
      <c r="T4343" s="85">
        <f>IF(B4343="",0,$S4343*$K4343)</f>
        <v>996.43557791004768</v>
      </c>
      <c r="U4343" s="85">
        <f>IF(B4343="",0,IF(OR(H4343=MappingTables!$C$34,H4343=MappingTables!$C$35),T4343,0))</f>
        <v>0</v>
      </c>
      <c r="V4343" s="85">
        <f>IF(ISNA(IF(AND(VLOOKUP(CONCATENATE($D4343,$G4343),CSRFinput!$B:$E,4,0)=0,OR(H4343=MappingTables!$C$34,H4343=MappingTables!$C$35)),1,VLOOKUP(CONCATENATE($D4343,$G4343),CSRFinput!$B:$E,4,0))),0,IF(AND(VLOOKUP(CONCATENATE($D4343,$G4343),CSRFinput!$B:$E,4,0)=0,OR(H4343=MappingTables!$C$34,H4343=MappingTables!$C$35)),1,VLOOKUP(CONCATENATE($D4343,$G4343),CSRFinput!$B:$E,4,0)))</f>
        <v>0.054776304963434752</v>
      </c>
      <c r="W4343" s="85">
        <f>IF(B4343="",0,+$T4343*$V4343)</f>
        <v>54.58105909201712</v>
      </c>
      <c r="X4343" s="85">
        <f>IF(B4343="",0,IF(OR(H4343=MappingTables!$C$34,H4343=MappingTables!$C$35),W4343,0))</f>
        <v>0</v>
      </c>
    </row>
    <row r="4344" spans="2:24" s="0" customFormat="0" ht="15">
      <c r="B4344" s="69">
        <v>16131459</v>
      </c>
      <c r="C4344" s="70" t="s">
        <v>3022</v>
      </c>
      <c r="D4344" s="70" t="s">
        <v>1</v>
      </c>
      <c r="E4344" s="70" t="s">
        <v>1</v>
      </c>
      <c r="F4344" s="70"/>
      <c r="G4344" s="70" t="s">
        <v>61</v>
      </c>
      <c r="H4344" s="70" t="s">
        <v>178</v>
      </c>
      <c r="I4344" s="70" t="s">
        <v>181</v>
      </c>
      <c r="J4344" s="71">
        <f>IF(OR(I4344=0,I4344=""),"unrated",VLOOKUP(I4344,MappingTables!$B$19:$C$31,2,FALSE))</f>
        <v>3</v>
      </c>
      <c r="K4344" s="72">
        <v>319.11366873361868</v>
      </c>
      <c r="L4344" s="70">
        <v>2.1640718218541952</v>
      </c>
      <c r="M4344" s="71">
        <f>IF(L4344&lt;1,1,L4344)</f>
        <v>2.1640718218541952</v>
      </c>
      <c r="N4344" s="70" t="s">
        <v>141</v>
      </c>
      <c r="O4344" s="71">
        <f>INDEX(DurClassMapping,MATCH(M4344,MappingTables!$D$4:$D$8,-1),1)</f>
        <v>1</v>
      </c>
      <c r="P4344" s="73">
        <f>IF(M4344=$A$1,1,$M4344-INDEX(MappingTables!$E$4:$E$8,MATCH(O4344,MappingTables!$B$4:$B$8,0)))</f>
        <v>2.1640718218541952</v>
      </c>
      <c r="Q4344" s="71">
        <f>IF(B4344="",0,INDEX(ModelParameters!$D$6:$K$10,MATCH($O4344,ModelParameters!$B$6:$B$10,0),MATCH($J4344,ModelParameters!$D$5:$K$5,0)))</f>
        <v>0.025</v>
      </c>
      <c r="R4344" s="71">
        <f>IF(B4344="",0,INDEX(ModelParameters!$D$13:$K$17,MATCH($O4344,ModelParameters!$B$13:$B$17,0),MATCH($J4344,ModelParameters!$D$5:$K$5,0)))</f>
        <v>0</v>
      </c>
      <c r="S4344" s="160">
        <f>IF(B4344="",0,MIN(IF($N4344="Other Bond TM",ModelParameters!$N$21,1)*(P4344*Q4344+R4344),1))</f>
        <v>0.054101795546354888</v>
      </c>
      <c r="T4344" s="85">
        <f>IF(B4344="",0,$S4344*$K4344)</f>
        <v>17.264622461873462</v>
      </c>
      <c r="U4344" s="85">
        <f>IF(B4344="",0,IF(OR(H4344=MappingTables!$C$34,H4344=MappingTables!$C$35),T4344,0))</f>
        <v>0</v>
      </c>
      <c r="V4344" s="85">
        <f>IF(ISNA(IF(AND(VLOOKUP(CONCATENATE($D4344,$G4344),CSRFinput!$B:$E,4,0)=0,OR(H4344=MappingTables!$C$34,H4344=MappingTables!$C$35)),1,VLOOKUP(CONCATENATE($D4344,$G4344),CSRFinput!$B:$E,4,0))),0,IF(AND(VLOOKUP(CONCATENATE($D4344,$G4344),CSRFinput!$B:$E,4,0)=0,OR(H4344=MappingTables!$C$34,H4344=MappingTables!$C$35)),1,VLOOKUP(CONCATENATE($D4344,$G4344),CSRFinput!$B:$E,4,0)))</f>
        <v>0.054776304963434752</v>
      </c>
      <c r="W4344" s="85">
        <f>IF(B4344="",0,+$T4344*$V4344)</f>
        <v>0.9456922250501464</v>
      </c>
      <c r="X4344" s="85">
        <f>IF(B4344="",0,IF(OR(H4344=MappingTables!$C$34,H4344=MappingTables!$C$35),W4344,0))</f>
        <v>0</v>
      </c>
    </row>
    <row r="4345" spans="2:24" s="0" customFormat="0" ht="15">
      <c r="B4345" s="69">
        <v>23118781</v>
      </c>
      <c r="C4345" s="70" t="s">
        <v>2895</v>
      </c>
      <c r="D4345" s="70" t="s">
        <v>1</v>
      </c>
      <c r="E4345" s="70" t="s">
        <v>1</v>
      </c>
      <c r="F4345" s="70"/>
      <c r="G4345" s="70" t="s">
        <v>61</v>
      </c>
      <c r="H4345" s="70" t="s">
        <v>178</v>
      </c>
      <c r="I4345" s="70" t="s">
        <v>181</v>
      </c>
      <c r="J4345" s="71">
        <f>IF(OR(I4345=0,I4345=""),"unrated",VLOOKUP(I4345,MappingTables!$B$19:$C$31,2,FALSE))</f>
        <v>3</v>
      </c>
      <c r="K4345" s="72">
        <v>3819.4225737832984</v>
      </c>
      <c r="L4345" s="70">
        <v>0.34794807757530928</v>
      </c>
      <c r="M4345" s="71">
        <f>IF(L4345&lt;1,1,L4345)</f>
        <v>1</v>
      </c>
      <c r="N4345" s="70" t="s">
        <v>141</v>
      </c>
      <c r="O4345" s="71">
        <f>INDEX(DurClassMapping,MATCH(M4345,MappingTables!$D$4:$D$8,-1),1)</f>
        <v>1</v>
      </c>
      <c r="P4345" s="73">
        <f>IF(M4345=$A$1,1,$M4345-INDEX(MappingTables!$E$4:$E$8,MATCH(O4345,MappingTables!$B$4:$B$8,0)))</f>
        <v>1</v>
      </c>
      <c r="Q4345" s="71">
        <f>IF(B4345="",0,INDEX(ModelParameters!$D$6:$K$10,MATCH($O4345,ModelParameters!$B$6:$B$10,0),MATCH($J4345,ModelParameters!$D$5:$K$5,0)))</f>
        <v>0.025</v>
      </c>
      <c r="R4345" s="71">
        <f>IF(B4345="",0,INDEX(ModelParameters!$D$13:$K$17,MATCH($O4345,ModelParameters!$B$13:$B$17,0),MATCH($J4345,ModelParameters!$D$5:$K$5,0)))</f>
        <v>0</v>
      </c>
      <c r="S4345" s="160">
        <f>IF(B4345="",0,MIN(IF($N4345="Other Bond TM",ModelParameters!$N$21,1)*(P4345*Q4345+R4345),1))</f>
        <v>0.025</v>
      </c>
      <c r="T4345" s="85">
        <f>IF(B4345="",0,$S4345*$K4345)</f>
        <v>95.485564344582464</v>
      </c>
      <c r="U4345" s="85">
        <f>IF(B4345="",0,IF(OR(H4345=MappingTables!$C$34,H4345=MappingTables!$C$35),T4345,0))</f>
        <v>0</v>
      </c>
      <c r="V4345" s="85">
        <f>IF(ISNA(IF(AND(VLOOKUP(CONCATENATE($D4345,$G4345),CSRFinput!$B:$E,4,0)=0,OR(H4345=MappingTables!$C$34,H4345=MappingTables!$C$35)),1,VLOOKUP(CONCATENATE($D4345,$G4345),CSRFinput!$B:$E,4,0))),0,IF(AND(VLOOKUP(CONCATENATE($D4345,$G4345),CSRFinput!$B:$E,4,0)=0,OR(H4345=MappingTables!$C$34,H4345=MappingTables!$C$35)),1,VLOOKUP(CONCATENATE($D4345,$G4345),CSRFinput!$B:$E,4,0)))</f>
        <v>0.054776304963434752</v>
      </c>
      <c r="W4345" s="85">
        <f>IF(B4345="",0,+$T4345*$V4345)</f>
        <v>5.23034639214452</v>
      </c>
      <c r="X4345" s="85">
        <f>IF(B4345="",0,IF(OR(H4345=MappingTables!$C$34,H4345=MappingTables!$C$35),W4345,0))</f>
        <v>0</v>
      </c>
    </row>
    <row r="4346" spans="2:24" s="0" customFormat="0" ht="15">
      <c r="B4346" s="69" t="s">
        <v>604</v>
      </c>
      <c r="C4346" s="70" t="s">
        <v>605</v>
      </c>
      <c r="D4346" s="70" t="s">
        <v>1</v>
      </c>
      <c r="E4346" s="70" t="s">
        <v>1</v>
      </c>
      <c r="F4346" s="70"/>
      <c r="G4346" s="70" t="s">
        <v>61</v>
      </c>
      <c r="H4346" s="70" t="s">
        <v>178</v>
      </c>
      <c r="I4346" s="70" t="s">
        <v>179</v>
      </c>
      <c r="J4346" s="71">
        <f>IF(OR(I4346=0,I4346=""),"unrated",VLOOKUP(I4346,MappingTables!$B$19:$C$31,2,FALSE))</f>
        <v>4</v>
      </c>
      <c r="K4346" s="72">
        <v>46791.566542072176</v>
      </c>
      <c r="L4346" s="70">
        <v>4.426820387471304</v>
      </c>
      <c r="M4346" s="71">
        <f>IF(L4346&lt;1,1,L4346)</f>
        <v>4.426820387471304</v>
      </c>
      <c r="N4346" s="70" t="s">
        <v>141</v>
      </c>
      <c r="O4346" s="71">
        <f>INDEX(DurClassMapping,MATCH(M4346,MappingTables!$D$4:$D$8,-1),1)</f>
        <v>1</v>
      </c>
      <c r="P4346" s="73">
        <f>IF(M4346=$A$1,1,$M4346-INDEX(MappingTables!$E$4:$E$8,MATCH(O4346,MappingTables!$B$4:$B$8,0)))</f>
        <v>4.426820387471304</v>
      </c>
      <c r="Q4346" s="71">
        <f>IF(B4346="",0,INDEX(ModelParameters!$D$6:$K$10,MATCH($O4346,ModelParameters!$B$6:$B$10,0),MATCH($J4346,ModelParameters!$D$5:$K$5,0)))</f>
        <v>0.045</v>
      </c>
      <c r="R4346" s="71">
        <f>IF(B4346="",0,INDEX(ModelParameters!$D$13:$K$17,MATCH($O4346,ModelParameters!$B$13:$B$17,0),MATCH($J4346,ModelParameters!$D$5:$K$5,0)))</f>
        <v>0</v>
      </c>
      <c r="S4346" s="160">
        <f>IF(B4346="",0,MIN(IF($N4346="Other Bond TM",ModelParameters!$N$21,1)*(P4346*Q4346+R4346),1))</f>
        <v>0.19920691743620868</v>
      </c>
      <c r="T4346" s="85">
        <f>IF(B4346="",0,$S4346*$K4346)</f>
        <v>9321.2037328574368</v>
      </c>
      <c r="U4346" s="85">
        <f>IF(B4346="",0,IF(OR(H4346=MappingTables!$C$34,H4346=MappingTables!$C$35),T4346,0))</f>
        <v>0</v>
      </c>
      <c r="V4346" s="85">
        <f>IF(ISNA(IF(AND(VLOOKUP(CONCATENATE($D4346,$G4346),CSRFinput!$B:$E,4,0)=0,OR(H4346=MappingTables!$C$34,H4346=MappingTables!$C$35)),1,VLOOKUP(CONCATENATE($D4346,$G4346),CSRFinput!$B:$E,4,0))),0,IF(AND(VLOOKUP(CONCATENATE($D4346,$G4346),CSRFinput!$B:$E,4,0)=0,OR(H4346=MappingTables!$C$34,H4346=MappingTables!$C$35)),1,VLOOKUP(CONCATENATE($D4346,$G4346),CSRFinput!$B:$E,4,0)))</f>
        <v>0.054776304963434752</v>
      </c>
      <c r="W4346" s="85">
        <f>IF(B4346="",0,+$T4346*$V4346)</f>
        <v>510.58109829730544</v>
      </c>
      <c r="X4346" s="85">
        <f>IF(B4346="",0,IF(OR(H4346=MappingTables!$C$34,H4346=MappingTables!$C$35),W4346,0))</f>
        <v>0</v>
      </c>
    </row>
    <row r="4347" spans="2:24" s="0" customFormat="0" ht="15">
      <c r="B4347" s="69" t="s">
        <v>2864</v>
      </c>
      <c r="C4347" s="70" t="s">
        <v>2865</v>
      </c>
      <c r="D4347" s="70" t="s">
        <v>1</v>
      </c>
      <c r="E4347" s="70" t="s">
        <v>1</v>
      </c>
      <c r="F4347" s="70"/>
      <c r="G4347" s="70" t="s">
        <v>61</v>
      </c>
      <c r="H4347" s="70" t="s">
        <v>178</v>
      </c>
      <c r="I4347" s="70" t="s">
        <v>188</v>
      </c>
      <c r="J4347" s="71">
        <f>IF(OR(I4347=0,I4347=""),"unrated",VLOOKUP(I4347,MappingTables!$B$19:$C$31,2,FALSE))</f>
        <v>2</v>
      </c>
      <c r="K4347" s="72">
        <v>245.83829494326216</v>
      </c>
      <c r="L4347" s="70">
        <v>3.0590623956459284</v>
      </c>
      <c r="M4347" s="71">
        <f>IF(L4347&lt;1,1,L4347)</f>
        <v>3.0590623956459284</v>
      </c>
      <c r="N4347" s="70" t="s">
        <v>141</v>
      </c>
      <c r="O4347" s="71">
        <f>INDEX(DurClassMapping,MATCH(M4347,MappingTables!$D$4:$D$8,-1),1)</f>
        <v>1</v>
      </c>
      <c r="P4347" s="73">
        <f>IF(M4347=$A$1,1,$M4347-INDEX(MappingTables!$E$4:$E$8,MATCH(O4347,MappingTables!$B$4:$B$8,0)))</f>
        <v>3.0590623956459284</v>
      </c>
      <c r="Q4347" s="71">
        <f>IF(B4347="",0,INDEX(ModelParameters!$D$6:$K$10,MATCH($O4347,ModelParameters!$B$6:$B$10,0),MATCH($J4347,ModelParameters!$D$5:$K$5,0)))</f>
        <v>0.013999999999999998</v>
      </c>
      <c r="R4347" s="71">
        <f>IF(B4347="",0,INDEX(ModelParameters!$D$13:$K$17,MATCH($O4347,ModelParameters!$B$13:$B$17,0),MATCH($J4347,ModelParameters!$D$5:$K$5,0)))</f>
        <v>0</v>
      </c>
      <c r="S4347" s="160">
        <f>IF(B4347="",0,MIN(IF($N4347="Other Bond TM",ModelParameters!$N$21,1)*(P4347*Q4347+R4347),1))</f>
        <v>0.042826873539042992</v>
      </c>
      <c r="T4347" s="85">
        <f>IF(B4347="",0,$S4347*$K4347)</f>
        <v>10.52848556858904</v>
      </c>
      <c r="U4347" s="85">
        <f>IF(B4347="",0,IF(OR(H4347=MappingTables!$C$34,H4347=MappingTables!$C$35),T4347,0))</f>
        <v>0</v>
      </c>
      <c r="V4347" s="85">
        <f>IF(ISNA(IF(AND(VLOOKUP(CONCATENATE($D4347,$G4347),CSRFinput!$B:$E,4,0)=0,OR(H4347=MappingTables!$C$34,H4347=MappingTables!$C$35)),1,VLOOKUP(CONCATENATE($D4347,$G4347),CSRFinput!$B:$E,4,0))),0,IF(AND(VLOOKUP(CONCATENATE($D4347,$G4347),CSRFinput!$B:$E,4,0)=0,OR(H4347=MappingTables!$C$34,H4347=MappingTables!$C$35)),1,VLOOKUP(CONCATENATE($D4347,$G4347),CSRFinput!$B:$E,4,0)))</f>
        <v>0.054776304963434752</v>
      </c>
      <c r="W4347" s="85">
        <f>IF(B4347="",0,+$T4347*$V4347)</f>
        <v>0.57671153630815512</v>
      </c>
      <c r="X4347" s="85">
        <f>IF(B4347="",0,IF(OR(H4347=MappingTables!$C$34,H4347=MappingTables!$C$35),W4347,0))</f>
        <v>0</v>
      </c>
    </row>
    <row r="4348" spans="2:24" s="0" customFormat="0" ht="15">
      <c r="B4348" s="69">
        <v>17251929</v>
      </c>
      <c r="C4348" s="70" t="s">
        <v>2995</v>
      </c>
      <c r="D4348" s="70" t="s">
        <v>1</v>
      </c>
      <c r="E4348" s="70" t="s">
        <v>1</v>
      </c>
      <c r="F4348" s="70"/>
      <c r="G4348" s="70" t="s">
        <v>61</v>
      </c>
      <c r="H4348" s="70" t="s">
        <v>178</v>
      </c>
      <c r="I4348" s="70" t="s">
        <v>179</v>
      </c>
      <c r="J4348" s="71">
        <f>IF(OR(I4348=0,I4348=""),"unrated",VLOOKUP(I4348,MappingTables!$B$19:$C$31,2,FALSE))</f>
        <v>4</v>
      </c>
      <c r="K4348" s="72">
        <v>36.578618291656928</v>
      </c>
      <c r="L4348" s="70">
        <v>0.49041122657351208</v>
      </c>
      <c r="M4348" s="71">
        <f>IF(L4348&lt;1,1,L4348)</f>
        <v>1</v>
      </c>
      <c r="N4348" s="70" t="s">
        <v>141</v>
      </c>
      <c r="O4348" s="71">
        <f>INDEX(DurClassMapping,MATCH(M4348,MappingTables!$D$4:$D$8,-1),1)</f>
        <v>1</v>
      </c>
      <c r="P4348" s="73">
        <f>IF(M4348=$A$1,1,$M4348-INDEX(MappingTables!$E$4:$E$8,MATCH(O4348,MappingTables!$B$4:$B$8,0)))</f>
        <v>1</v>
      </c>
      <c r="Q4348" s="71">
        <f>IF(B4348="",0,INDEX(ModelParameters!$D$6:$K$10,MATCH($O4348,ModelParameters!$B$6:$B$10,0),MATCH($J4348,ModelParameters!$D$5:$K$5,0)))</f>
        <v>0.045</v>
      </c>
      <c r="R4348" s="71">
        <f>IF(B4348="",0,INDEX(ModelParameters!$D$13:$K$17,MATCH($O4348,ModelParameters!$B$13:$B$17,0),MATCH($J4348,ModelParameters!$D$5:$K$5,0)))</f>
        <v>0</v>
      </c>
      <c r="S4348" s="160">
        <f>IF(B4348="",0,MIN(IF($N4348="Other Bond TM",ModelParameters!$N$21,1)*(P4348*Q4348+R4348),1))</f>
        <v>0.045</v>
      </c>
      <c r="T4348" s="85">
        <f>IF(B4348="",0,$S4348*$K4348)</f>
        <v>1.6460378231245618</v>
      </c>
      <c r="U4348" s="85">
        <f>IF(B4348="",0,IF(OR(H4348=MappingTables!$C$34,H4348=MappingTables!$C$35),T4348,0))</f>
        <v>0</v>
      </c>
      <c r="V4348" s="85">
        <f>IF(ISNA(IF(AND(VLOOKUP(CONCATENATE($D4348,$G4348),CSRFinput!$B:$E,4,0)=0,OR(H4348=MappingTables!$C$34,H4348=MappingTables!$C$35)),1,VLOOKUP(CONCATENATE($D4348,$G4348),CSRFinput!$B:$E,4,0))),0,IF(AND(VLOOKUP(CONCATENATE($D4348,$G4348),CSRFinput!$B:$E,4,0)=0,OR(H4348=MappingTables!$C$34,H4348=MappingTables!$C$35)),1,VLOOKUP(CONCATENATE($D4348,$G4348),CSRFinput!$B:$E,4,0)))</f>
        <v>0.054776304963434752</v>
      </c>
      <c r="W4348" s="85">
        <f>IF(B4348="",0,+$T4348*$V4348)</f>
        <v>0.09016386978081928</v>
      </c>
      <c r="X4348" s="85">
        <f>IF(B4348="",0,IF(OR(H4348=MappingTables!$C$34,H4348=MappingTables!$C$35),W4348,0))</f>
        <v>0</v>
      </c>
    </row>
    <row r="4349" spans="2:24" s="0" customFormat="0" ht="15">
      <c r="B4349" s="69">
        <v>14542340</v>
      </c>
      <c r="C4349" s="70" t="s">
        <v>2215</v>
      </c>
      <c r="D4349" s="70" t="s">
        <v>1</v>
      </c>
      <c r="E4349" s="70" t="s">
        <v>1</v>
      </c>
      <c r="F4349" s="70"/>
      <c r="G4349" s="70" t="s">
        <v>61</v>
      </c>
      <c r="H4349" s="70" t="s">
        <v>178</v>
      </c>
      <c r="I4349" s="70" t="s">
        <v>220</v>
      </c>
      <c r="J4349" s="71">
        <f>IF(OR(I4349=0,I4349=""),"unrated",VLOOKUP(I4349,MappingTables!$B$19:$C$31,2,FALSE))</f>
        <v>1</v>
      </c>
      <c r="K4349" s="72">
        <v>9863.5267199387488</v>
      </c>
      <c r="L4349" s="70">
        <v>15.818527877938956</v>
      </c>
      <c r="M4349" s="71">
        <f>IF(L4349&lt;1,1,L4349)</f>
        <v>15.818527877938956</v>
      </c>
      <c r="N4349" s="70" t="s">
        <v>141</v>
      </c>
      <c r="O4349" s="71">
        <f>INDEX(DurClassMapping,MATCH(M4349,MappingTables!$D$4:$D$8,-1),1)</f>
        <v>4</v>
      </c>
      <c r="P4349" s="73">
        <f>IF(M4349=$A$1,1,$M4349-INDEX(MappingTables!$E$4:$E$8,MATCH(O4349,MappingTables!$B$4:$B$8,0)))</f>
        <v>0.81852787793895664</v>
      </c>
      <c r="Q4349" s="71">
        <f>IF(B4349="",0,INDEX(ModelParameters!$D$6:$K$10,MATCH($O4349,ModelParameters!$B$6:$B$10,0),MATCH($J4349,ModelParameters!$D$5:$K$5,0)))</f>
        <v>0.005</v>
      </c>
      <c r="R4349" s="71">
        <f>IF(B4349="",0,INDEX(ModelParameters!$D$13:$K$17,MATCH($O4349,ModelParameters!$B$13:$B$17,0),MATCH($J4349,ModelParameters!$D$5:$K$5,0)))</f>
        <v>0.11</v>
      </c>
      <c r="S4349" s="160">
        <f>IF(B4349="",0,MIN(IF($N4349="Other Bond TM",ModelParameters!$N$21,1)*(P4349*Q4349+R4349),1))</f>
        <v>0.11409263938969478</v>
      </c>
      <c r="T4349" s="85">
        <f>IF(B4349="",0,$S4349*$K4349)</f>
        <v>1125.3557971685906</v>
      </c>
      <c r="U4349" s="85">
        <f>IF(B4349="",0,IF(OR(H4349=MappingTables!$C$34,H4349=MappingTables!$C$35),T4349,0))</f>
        <v>0</v>
      </c>
      <c r="V4349" s="85">
        <f>IF(ISNA(IF(AND(VLOOKUP(CONCATENATE($D4349,$G4349),CSRFinput!$B:$E,4,0)=0,OR(H4349=MappingTables!$C$34,H4349=MappingTables!$C$35)),1,VLOOKUP(CONCATENATE($D4349,$G4349),CSRFinput!$B:$E,4,0))),0,IF(AND(VLOOKUP(CONCATENATE($D4349,$G4349),CSRFinput!$B:$E,4,0)=0,OR(H4349=MappingTables!$C$34,H4349=MappingTables!$C$35)),1,VLOOKUP(CONCATENATE($D4349,$G4349),CSRFinput!$B:$E,4,0)))</f>
        <v>0.054776304963434752</v>
      </c>
      <c r="W4349" s="85">
        <f>IF(B4349="",0,+$T4349*$V4349)</f>
        <v>61.642832338075944</v>
      </c>
      <c r="X4349" s="85">
        <f>IF(B4349="",0,IF(OR(H4349=MappingTables!$C$34,H4349=MappingTables!$C$35),W4349,0))</f>
        <v>0</v>
      </c>
    </row>
    <row r="4350" spans="2:24" s="0" customFormat="0" ht="15">
      <c r="B4350" s="69">
        <v>17240179</v>
      </c>
      <c r="C4350" s="70" t="s">
        <v>1060</v>
      </c>
      <c r="D4350" s="70" t="s">
        <v>1</v>
      </c>
      <c r="E4350" s="70" t="s">
        <v>1</v>
      </c>
      <c r="F4350" s="70"/>
      <c r="G4350" s="70" t="s">
        <v>61</v>
      </c>
      <c r="H4350" s="70" t="s">
        <v>178</v>
      </c>
      <c r="I4350" s="70" t="s">
        <v>188</v>
      </c>
      <c r="J4350" s="71">
        <f>IF(OR(I4350=0,I4350=""),"unrated",VLOOKUP(I4350,MappingTables!$B$19:$C$31,2,FALSE))</f>
        <v>2</v>
      </c>
      <c r="K4350" s="72">
        <v>23.98719685061602</v>
      </c>
      <c r="L4350" s="70">
        <v>0.98851270788326528</v>
      </c>
      <c r="M4350" s="71">
        <f>IF(L4350&lt;1,1,L4350)</f>
        <v>1</v>
      </c>
      <c r="N4350" s="70" t="s">
        <v>141</v>
      </c>
      <c r="O4350" s="71">
        <f>INDEX(DurClassMapping,MATCH(M4350,MappingTables!$D$4:$D$8,-1),1)</f>
        <v>1</v>
      </c>
      <c r="P4350" s="73">
        <f>IF(M4350=$A$1,1,$M4350-INDEX(MappingTables!$E$4:$E$8,MATCH(O4350,MappingTables!$B$4:$B$8,0)))</f>
        <v>1</v>
      </c>
      <c r="Q4350" s="71">
        <f>IF(B4350="",0,INDEX(ModelParameters!$D$6:$K$10,MATCH($O4350,ModelParameters!$B$6:$B$10,0),MATCH($J4350,ModelParameters!$D$5:$K$5,0)))</f>
        <v>0.013999999999999998</v>
      </c>
      <c r="R4350" s="71">
        <f>IF(B4350="",0,INDEX(ModelParameters!$D$13:$K$17,MATCH($O4350,ModelParameters!$B$13:$B$17,0),MATCH($J4350,ModelParameters!$D$5:$K$5,0)))</f>
        <v>0</v>
      </c>
      <c r="S4350" s="160">
        <f>IF(B4350="",0,MIN(IF($N4350="Other Bond TM",ModelParameters!$N$21,1)*(P4350*Q4350+R4350),1))</f>
        <v>0.013999999999999998</v>
      </c>
      <c r="T4350" s="85">
        <f>IF(B4350="",0,$S4350*$K4350)</f>
        <v>0.33582075590862424</v>
      </c>
      <c r="U4350" s="85">
        <f>IF(B4350="",0,IF(OR(H4350=MappingTables!$C$34,H4350=MappingTables!$C$35),T4350,0))</f>
        <v>0</v>
      </c>
      <c r="V4350" s="85">
        <f>IF(ISNA(IF(AND(VLOOKUP(CONCATENATE($D4350,$G4350),CSRFinput!$B:$E,4,0)=0,OR(H4350=MappingTables!$C$34,H4350=MappingTables!$C$35)),1,VLOOKUP(CONCATENATE($D4350,$G4350),CSRFinput!$B:$E,4,0))),0,IF(AND(VLOOKUP(CONCATENATE($D4350,$G4350),CSRFinput!$B:$E,4,0)=0,OR(H4350=MappingTables!$C$34,H4350=MappingTables!$C$35)),1,VLOOKUP(CONCATENATE($D4350,$G4350),CSRFinput!$B:$E,4,0)))</f>
        <v>0.054776304963434752</v>
      </c>
      <c r="W4350" s="85">
        <f>IF(B4350="",0,+$T4350*$V4350)</f>
        <v>0.018395020138701984</v>
      </c>
      <c r="X4350" s="85">
        <f>IF(B4350="",0,IF(OR(H4350=MappingTables!$C$34,H4350=MappingTables!$C$35),W4350,0))</f>
        <v>0</v>
      </c>
    </row>
    <row r="4351" spans="2:24" s="0" customFormat="0" ht="15">
      <c r="B4351" s="69">
        <v>13551324</v>
      </c>
      <c r="C4351" s="70" t="s">
        <v>2742</v>
      </c>
      <c r="D4351" s="70" t="s">
        <v>1</v>
      </c>
      <c r="E4351" s="70" t="s">
        <v>1</v>
      </c>
      <c r="F4351" s="70"/>
      <c r="G4351" s="70" t="s">
        <v>61</v>
      </c>
      <c r="H4351" s="70" t="s">
        <v>178</v>
      </c>
      <c r="I4351" s="70" t="s">
        <v>188</v>
      </c>
      <c r="J4351" s="71">
        <f>IF(OR(I4351=0,I4351=""),"unrated",VLOOKUP(I4351,MappingTables!$B$19:$C$31,2,FALSE))</f>
        <v>2</v>
      </c>
      <c r="K4351" s="72">
        <v>484.5312598668608</v>
      </c>
      <c r="L4351" s="70">
        <v>5.6335359196325984</v>
      </c>
      <c r="M4351" s="71">
        <f>IF(L4351&lt;1,1,L4351)</f>
        <v>5.6335359196325984</v>
      </c>
      <c r="N4351" s="70" t="s">
        <v>141</v>
      </c>
      <c r="O4351" s="71">
        <f>INDEX(DurClassMapping,MATCH(M4351,MappingTables!$D$4:$D$8,-1),1)</f>
        <v>2</v>
      </c>
      <c r="P4351" s="73">
        <f>IF(M4351=$A$1,1,$M4351-INDEX(MappingTables!$E$4:$E$8,MATCH(O4351,MappingTables!$B$4:$B$8,0)))</f>
        <v>0.63353591963259872</v>
      </c>
      <c r="Q4351" s="71">
        <f>IF(B4351="",0,INDEX(ModelParameters!$D$6:$K$10,MATCH($O4351,ModelParameters!$B$6:$B$10,0),MATCH($J4351,ModelParameters!$D$5:$K$5,0)))</f>
        <v>0.0069999999999999992</v>
      </c>
      <c r="R4351" s="71">
        <f>IF(B4351="",0,INDEX(ModelParameters!$D$13:$K$17,MATCH($O4351,ModelParameters!$B$13:$B$17,0),MATCH($J4351,ModelParameters!$D$5:$K$5,0)))</f>
        <v>0.070000000000000008</v>
      </c>
      <c r="S4351" s="160">
        <f>IF(B4351="",0,MIN(IF($N4351="Other Bond TM",ModelParameters!$N$21,1)*(P4351*Q4351+R4351),1))</f>
        <v>0.074434751437428192</v>
      </c>
      <c r="T4351" s="85">
        <f>IF(B4351="",0,$S4351*$K4351)</f>
        <v>36.065963891853712</v>
      </c>
      <c r="U4351" s="85">
        <f>IF(B4351="",0,IF(OR(H4351=MappingTables!$C$34,H4351=MappingTables!$C$35),T4351,0))</f>
        <v>0</v>
      </c>
      <c r="V4351" s="85">
        <f>IF(ISNA(IF(AND(VLOOKUP(CONCATENATE($D4351,$G4351),CSRFinput!$B:$E,4,0)=0,OR(H4351=MappingTables!$C$34,H4351=MappingTables!$C$35)),1,VLOOKUP(CONCATENATE($D4351,$G4351),CSRFinput!$B:$E,4,0))),0,IF(AND(VLOOKUP(CONCATENATE($D4351,$G4351),CSRFinput!$B:$E,4,0)=0,OR(H4351=MappingTables!$C$34,H4351=MappingTables!$C$35)),1,VLOOKUP(CONCATENATE($D4351,$G4351),CSRFinput!$B:$E,4,0)))</f>
        <v>0.054776304963434752</v>
      </c>
      <c r="W4351" s="85">
        <f>IF(B4351="",0,+$T4351*$V4351)</f>
        <v>1.9755602369404052</v>
      </c>
      <c r="X4351" s="85">
        <f>IF(B4351="",0,IF(OR(H4351=MappingTables!$C$34,H4351=MappingTables!$C$35),W4351,0))</f>
        <v>0</v>
      </c>
    </row>
    <row r="4352" spans="2:24" s="0" customFormat="0" ht="15">
      <c r="B4352" s="69">
        <v>20996854</v>
      </c>
      <c r="C4352" s="70" t="s">
        <v>1888</v>
      </c>
      <c r="D4352" s="70" t="s">
        <v>1</v>
      </c>
      <c r="E4352" s="70" t="s">
        <v>1</v>
      </c>
      <c r="F4352" s="70"/>
      <c r="G4352" s="70" t="s">
        <v>61</v>
      </c>
      <c r="H4352" s="70" t="s">
        <v>178</v>
      </c>
      <c r="I4352" s="70" t="s">
        <v>181</v>
      </c>
      <c r="J4352" s="71">
        <f>IF(OR(I4352=0,I4352=""),"unrated",VLOOKUP(I4352,MappingTables!$B$19:$C$31,2,FALSE))</f>
        <v>3</v>
      </c>
      <c r="K4352" s="72">
        <v>5949.0191267835136</v>
      </c>
      <c r="L4352" s="70">
        <v>2.7045482914029684</v>
      </c>
      <c r="M4352" s="71">
        <f>IF(L4352&lt;1,1,L4352)</f>
        <v>2.7045482914029684</v>
      </c>
      <c r="N4352" s="70" t="s">
        <v>141</v>
      </c>
      <c r="O4352" s="71">
        <f>INDEX(DurClassMapping,MATCH(M4352,MappingTables!$D$4:$D$8,-1),1)</f>
        <v>1</v>
      </c>
      <c r="P4352" s="73">
        <f>IF(M4352=$A$1,1,$M4352-INDEX(MappingTables!$E$4:$E$8,MATCH(O4352,MappingTables!$B$4:$B$8,0)))</f>
        <v>2.7045482914029684</v>
      </c>
      <c r="Q4352" s="71">
        <f>IF(B4352="",0,INDEX(ModelParameters!$D$6:$K$10,MATCH($O4352,ModelParameters!$B$6:$B$10,0),MATCH($J4352,ModelParameters!$D$5:$K$5,0)))</f>
        <v>0.025</v>
      </c>
      <c r="R4352" s="71">
        <f>IF(B4352="",0,INDEX(ModelParameters!$D$13:$K$17,MATCH($O4352,ModelParameters!$B$13:$B$17,0),MATCH($J4352,ModelParameters!$D$5:$K$5,0)))</f>
        <v>0</v>
      </c>
      <c r="S4352" s="160">
        <f>IF(B4352="",0,MIN(IF($N4352="Other Bond TM",ModelParameters!$N$21,1)*(P4352*Q4352+R4352),1))</f>
        <v>0.067613707285074208</v>
      </c>
      <c r="T4352" s="85">
        <f>IF(B4352="",0,$S4352*$K4352)</f>
        <v>402.23523787164832</v>
      </c>
      <c r="U4352" s="85">
        <f>IF(B4352="",0,IF(OR(H4352=MappingTables!$C$34,H4352=MappingTables!$C$35),T4352,0))</f>
        <v>0</v>
      </c>
      <c r="V4352" s="85">
        <f>IF(ISNA(IF(AND(VLOOKUP(CONCATENATE($D4352,$G4352),CSRFinput!$B:$E,4,0)=0,OR(H4352=MappingTables!$C$34,H4352=MappingTables!$C$35)),1,VLOOKUP(CONCATENATE($D4352,$G4352),CSRFinput!$B:$E,4,0))),0,IF(AND(VLOOKUP(CONCATENATE($D4352,$G4352),CSRFinput!$B:$E,4,0)=0,OR(H4352=MappingTables!$C$34,H4352=MappingTables!$C$35)),1,VLOOKUP(CONCATENATE($D4352,$G4352),CSRFinput!$B:$E,4,0)))</f>
        <v>0.054776304963434752</v>
      </c>
      <c r="W4352" s="85">
        <f>IF(B4352="",0,+$T4352*$V4352)</f>
        <v>22.032960056697128</v>
      </c>
      <c r="X4352" s="85">
        <f>IF(B4352="",0,IF(OR(H4352=MappingTables!$C$34,H4352=MappingTables!$C$35),W4352,0))</f>
        <v>0</v>
      </c>
    </row>
    <row r="4353" spans="2:24" s="0" customFormat="0" ht="15">
      <c r="B4353" s="69">
        <v>13555241</v>
      </c>
      <c r="C4353" s="70" t="s">
        <v>1751</v>
      </c>
      <c r="D4353" s="70" t="s">
        <v>1</v>
      </c>
      <c r="E4353" s="70" t="s">
        <v>1</v>
      </c>
      <c r="F4353" s="70"/>
      <c r="G4353" s="70" t="s">
        <v>61</v>
      </c>
      <c r="H4353" s="70" t="s">
        <v>178</v>
      </c>
      <c r="I4353" s="70" t="s">
        <v>204</v>
      </c>
      <c r="J4353" s="71">
        <f>IF(OR(I4353=0,I4353=""),"unrated",VLOOKUP(I4353,MappingTables!$B$19:$C$31,2,FALSE))</f>
        <v>6</v>
      </c>
      <c r="K4353" s="72">
        <v>112.66651250375174</v>
      </c>
      <c r="L4353" s="70">
        <v>0.030135189658957908</v>
      </c>
      <c r="M4353" s="71">
        <f>IF(L4353&lt;1,1,L4353)</f>
        <v>1</v>
      </c>
      <c r="N4353" s="70" t="s">
        <v>141</v>
      </c>
      <c r="O4353" s="71">
        <f>INDEX(DurClassMapping,MATCH(M4353,MappingTables!$D$4:$D$8,-1),1)</f>
        <v>1</v>
      </c>
      <c r="P4353" s="73">
        <f>IF(M4353=$A$1,1,$M4353-INDEX(MappingTables!$E$4:$E$8,MATCH(O4353,MappingTables!$B$4:$B$8,0)))</f>
        <v>1</v>
      </c>
      <c r="Q4353" s="71">
        <f>IF(B4353="",0,INDEX(ModelParameters!$D$6:$K$10,MATCH($O4353,ModelParameters!$B$6:$B$10,0),MATCH($J4353,ModelParameters!$D$5:$K$5,0)))</f>
        <v>0.075</v>
      </c>
      <c r="R4353" s="71">
        <f>IF(B4353="",0,INDEX(ModelParameters!$D$13:$K$17,MATCH($O4353,ModelParameters!$B$13:$B$17,0),MATCH($J4353,ModelParameters!$D$5:$K$5,0)))</f>
        <v>0</v>
      </c>
      <c r="S4353" s="160">
        <f>IF(B4353="",0,MIN(IF($N4353="Other Bond TM",ModelParameters!$N$21,1)*(P4353*Q4353+R4353),1))</f>
        <v>0.075</v>
      </c>
      <c r="T4353" s="85">
        <f>IF(B4353="",0,$S4353*$K4353)</f>
        <v>8.4499884377813808</v>
      </c>
      <c r="U4353" s="85">
        <f>IF(B4353="",0,IF(OR(H4353=MappingTables!$C$34,H4353=MappingTables!$C$35),T4353,0))</f>
        <v>0</v>
      </c>
      <c r="V4353" s="85">
        <f>IF(ISNA(IF(AND(VLOOKUP(CONCATENATE($D4353,$G4353),CSRFinput!$B:$E,4,0)=0,OR(H4353=MappingTables!$C$34,H4353=MappingTables!$C$35)),1,VLOOKUP(CONCATENATE($D4353,$G4353),CSRFinput!$B:$E,4,0))),0,IF(AND(VLOOKUP(CONCATENATE($D4353,$G4353),CSRFinput!$B:$E,4,0)=0,OR(H4353=MappingTables!$C$34,H4353=MappingTables!$C$35)),1,VLOOKUP(CONCATENATE($D4353,$G4353),CSRFinput!$B:$E,4,0)))</f>
        <v>0.054776304963434752</v>
      </c>
      <c r="W4353" s="85">
        <f>IF(B4353="",0,+$T4353*$V4353)</f>
        <v>0.46285914360541056</v>
      </c>
      <c r="X4353" s="85">
        <f>IF(B4353="",0,IF(OR(H4353=MappingTables!$C$34,H4353=MappingTables!$C$35),W4353,0))</f>
        <v>0</v>
      </c>
    </row>
    <row r="4354" spans="2:24" s="0" customFormat="0" ht="15">
      <c r="B4354" s="69">
        <v>3001303</v>
      </c>
      <c r="C4354" s="70" t="s">
        <v>602</v>
      </c>
      <c r="D4354" s="70" t="s">
        <v>1</v>
      </c>
      <c r="E4354" s="70" t="s">
        <v>1</v>
      </c>
      <c r="F4354" s="70"/>
      <c r="G4354" s="70" t="s">
        <v>61</v>
      </c>
      <c r="H4354" s="70" t="s">
        <v>178</v>
      </c>
      <c r="I4354" s="70" t="s">
        <v>188</v>
      </c>
      <c r="J4354" s="71">
        <f>IF(OR(I4354=0,I4354=""),"unrated",VLOOKUP(I4354,MappingTables!$B$19:$C$31,2,FALSE))</f>
        <v>2</v>
      </c>
      <c r="K4354" s="72">
        <v>328.7726730576242</v>
      </c>
      <c r="L4354" s="70">
        <v>7.5095618374611232</v>
      </c>
      <c r="M4354" s="71">
        <f>IF(L4354&lt;1,1,L4354)</f>
        <v>7.5095618374611232</v>
      </c>
      <c r="N4354" s="70" t="s">
        <v>141</v>
      </c>
      <c r="O4354" s="71">
        <f>INDEX(DurClassMapping,MATCH(M4354,MappingTables!$D$4:$D$8,-1),1)</f>
        <v>2</v>
      </c>
      <c r="P4354" s="73">
        <f>IF(M4354=$A$1,1,$M4354-INDEX(MappingTables!$E$4:$E$8,MATCH(O4354,MappingTables!$B$4:$B$8,0)))</f>
        <v>2.5095618374611232</v>
      </c>
      <c r="Q4354" s="71">
        <f>IF(B4354="",0,INDEX(ModelParameters!$D$6:$K$10,MATCH($O4354,ModelParameters!$B$6:$B$10,0),MATCH($J4354,ModelParameters!$D$5:$K$5,0)))</f>
        <v>0.0069999999999999992</v>
      </c>
      <c r="R4354" s="71">
        <f>IF(B4354="",0,INDEX(ModelParameters!$D$13:$K$17,MATCH($O4354,ModelParameters!$B$13:$B$17,0),MATCH($J4354,ModelParameters!$D$5:$K$5,0)))</f>
        <v>0.070000000000000008</v>
      </c>
      <c r="S4354" s="160">
        <f>IF(B4354="",0,MIN(IF($N4354="Other Bond TM",ModelParameters!$N$21,1)*(P4354*Q4354+R4354),1))</f>
        <v>0.087566932862227872</v>
      </c>
      <c r="T4354" s="85">
        <f>IF(B4354="",0,$S4354*$K4354)</f>
        <v>28.789614588572176</v>
      </c>
      <c r="U4354" s="85">
        <f>IF(B4354="",0,IF(OR(H4354=MappingTables!$C$34,H4354=MappingTables!$C$35),T4354,0))</f>
        <v>0</v>
      </c>
      <c r="V4354" s="85">
        <f>IF(ISNA(IF(AND(VLOOKUP(CONCATENATE($D4354,$G4354),CSRFinput!$B:$E,4,0)=0,OR(H4354=MappingTables!$C$34,H4354=MappingTables!$C$35)),1,VLOOKUP(CONCATENATE($D4354,$G4354),CSRFinput!$B:$E,4,0))),0,IF(AND(VLOOKUP(CONCATENATE($D4354,$G4354),CSRFinput!$B:$E,4,0)=0,OR(H4354=MappingTables!$C$34,H4354=MappingTables!$C$35)),1,VLOOKUP(CONCATENATE($D4354,$G4354),CSRFinput!$B:$E,4,0)))</f>
        <v>0.054776304963434752</v>
      </c>
      <c r="W4354" s="85">
        <f>IF(B4354="",0,+$T4354*$V4354)</f>
        <v>1.5769887084833796</v>
      </c>
      <c r="X4354" s="85">
        <f>IF(B4354="",0,IF(OR(H4354=MappingTables!$C$34,H4354=MappingTables!$C$35),W4354,0))</f>
        <v>0</v>
      </c>
    </row>
    <row r="4355" spans="2:24" s="0" customFormat="0" ht="15">
      <c r="B4355" s="69">
        <v>4337950</v>
      </c>
      <c r="C4355" s="70" t="s">
        <v>1506</v>
      </c>
      <c r="D4355" s="70" t="s">
        <v>1</v>
      </c>
      <c r="E4355" s="70" t="s">
        <v>1</v>
      </c>
      <c r="F4355" s="70"/>
      <c r="G4355" s="70" t="s">
        <v>61</v>
      </c>
      <c r="H4355" s="70" t="s">
        <v>178</v>
      </c>
      <c r="I4355" s="70" t="s">
        <v>179</v>
      </c>
      <c r="J4355" s="71">
        <f>IF(OR(I4355=0,I4355=""),"unrated",VLOOKUP(I4355,MappingTables!$B$19:$C$31,2,FALSE))</f>
        <v>4</v>
      </c>
      <c r="K4355" s="72">
        <v>232.37908118869732</v>
      </c>
      <c r="L4355" s="70">
        <v>1.0840816491869832</v>
      </c>
      <c r="M4355" s="71">
        <f>IF(L4355&lt;1,1,L4355)</f>
        <v>1.0840816491869832</v>
      </c>
      <c r="N4355" s="70" t="s">
        <v>141</v>
      </c>
      <c r="O4355" s="71">
        <f>INDEX(DurClassMapping,MATCH(M4355,MappingTables!$D$4:$D$8,-1),1)</f>
        <v>1</v>
      </c>
      <c r="P4355" s="73">
        <f>IF(M4355=$A$1,1,$M4355-INDEX(MappingTables!$E$4:$E$8,MATCH(O4355,MappingTables!$B$4:$B$8,0)))</f>
        <v>1.0840816491869832</v>
      </c>
      <c r="Q4355" s="71">
        <f>IF(B4355="",0,INDEX(ModelParameters!$D$6:$K$10,MATCH($O4355,ModelParameters!$B$6:$B$10,0),MATCH($J4355,ModelParameters!$D$5:$K$5,0)))</f>
        <v>0.045</v>
      </c>
      <c r="R4355" s="71">
        <f>IF(B4355="",0,INDEX(ModelParameters!$D$13:$K$17,MATCH($O4355,ModelParameters!$B$13:$B$17,0),MATCH($J4355,ModelParameters!$D$5:$K$5,0)))</f>
        <v>0</v>
      </c>
      <c r="S4355" s="160">
        <f>IF(B4355="",0,MIN(IF($N4355="Other Bond TM",ModelParameters!$N$21,1)*(P4355*Q4355+R4355),1))</f>
        <v>0.04878367421341424</v>
      </c>
      <c r="T4355" s="85">
        <f>IF(B4355="",0,$S4355*$K4355)</f>
        <v>11.336305390721946</v>
      </c>
      <c r="U4355" s="85">
        <f>IF(B4355="",0,IF(OR(H4355=MappingTables!$C$34,H4355=MappingTables!$C$35),T4355,0))</f>
        <v>0</v>
      </c>
      <c r="V4355" s="85">
        <f>IF(ISNA(IF(AND(VLOOKUP(CONCATENATE($D4355,$G4355),CSRFinput!$B:$E,4,0)=0,OR(H4355=MappingTables!$C$34,H4355=MappingTables!$C$35)),1,VLOOKUP(CONCATENATE($D4355,$G4355),CSRFinput!$B:$E,4,0))),0,IF(AND(VLOOKUP(CONCATENATE($D4355,$G4355),CSRFinput!$B:$E,4,0)=0,OR(H4355=MappingTables!$C$34,H4355=MappingTables!$C$35)),1,VLOOKUP(CONCATENATE($D4355,$G4355),CSRFinput!$B:$E,4,0)))</f>
        <v>0.054776304963434752</v>
      </c>
      <c r="W4355" s="85">
        <f>IF(B4355="",0,+$T4355*$V4355)</f>
        <v>0.62096092124081472</v>
      </c>
      <c r="X4355" s="85">
        <f>IF(B4355="",0,IF(OR(H4355=MappingTables!$C$34,H4355=MappingTables!$C$35),W4355,0))</f>
        <v>0</v>
      </c>
    </row>
    <row r="4356" spans="2:24" s="0" customFormat="0" ht="15">
      <c r="B4356" s="69">
        <v>13384013</v>
      </c>
      <c r="C4356" s="70" t="s">
        <v>2745</v>
      </c>
      <c r="D4356" s="70" t="s">
        <v>1</v>
      </c>
      <c r="E4356" s="70" t="s">
        <v>1</v>
      </c>
      <c r="F4356" s="70"/>
      <c r="G4356" s="70" t="s">
        <v>61</v>
      </c>
      <c r="H4356" s="70" t="s">
        <v>178</v>
      </c>
      <c r="I4356" s="70" t="s">
        <v>179</v>
      </c>
      <c r="J4356" s="71">
        <f>IF(OR(I4356=0,I4356=""),"unrated",VLOOKUP(I4356,MappingTables!$B$19:$C$31,2,FALSE))</f>
        <v>4</v>
      </c>
      <c r="K4356" s="72">
        <v>361.74134591109216</v>
      </c>
      <c r="L4356" s="70">
        <v>0.11232693740692874</v>
      </c>
      <c r="M4356" s="71">
        <f>IF(L4356&lt;1,1,L4356)</f>
        <v>1</v>
      </c>
      <c r="N4356" s="70" t="s">
        <v>141</v>
      </c>
      <c r="O4356" s="71">
        <f>INDEX(DurClassMapping,MATCH(M4356,MappingTables!$D$4:$D$8,-1),1)</f>
        <v>1</v>
      </c>
      <c r="P4356" s="73">
        <f>IF(M4356=$A$1,1,$M4356-INDEX(MappingTables!$E$4:$E$8,MATCH(O4356,MappingTables!$B$4:$B$8,0)))</f>
        <v>1</v>
      </c>
      <c r="Q4356" s="71">
        <f>IF(B4356="",0,INDEX(ModelParameters!$D$6:$K$10,MATCH($O4356,ModelParameters!$B$6:$B$10,0),MATCH($J4356,ModelParameters!$D$5:$K$5,0)))</f>
        <v>0.045</v>
      </c>
      <c r="R4356" s="71">
        <f>IF(B4356="",0,INDEX(ModelParameters!$D$13:$K$17,MATCH($O4356,ModelParameters!$B$13:$B$17,0),MATCH($J4356,ModelParameters!$D$5:$K$5,0)))</f>
        <v>0</v>
      </c>
      <c r="S4356" s="160">
        <f>IF(B4356="",0,MIN(IF($N4356="Other Bond TM",ModelParameters!$N$21,1)*(P4356*Q4356+R4356),1))</f>
        <v>0.045</v>
      </c>
      <c r="T4356" s="85">
        <f>IF(B4356="",0,$S4356*$K4356)</f>
        <v>16.278360565999148</v>
      </c>
      <c r="U4356" s="85">
        <f>IF(B4356="",0,IF(OR(H4356=MappingTables!$C$34,H4356=MappingTables!$C$35),T4356,0))</f>
        <v>0</v>
      </c>
      <c r="V4356" s="85">
        <f>IF(ISNA(IF(AND(VLOOKUP(CONCATENATE($D4356,$G4356),CSRFinput!$B:$E,4,0)=0,OR(H4356=MappingTables!$C$34,H4356=MappingTables!$C$35)),1,VLOOKUP(CONCATENATE($D4356,$G4356),CSRFinput!$B:$E,4,0))),0,IF(AND(VLOOKUP(CONCATENATE($D4356,$G4356),CSRFinput!$B:$E,4,0)=0,OR(H4356=MappingTables!$C$34,H4356=MappingTables!$C$35)),1,VLOOKUP(CONCATENATE($D4356,$G4356),CSRFinput!$B:$E,4,0)))</f>
        <v>0.054776304963434752</v>
      </c>
      <c r="W4356" s="85">
        <f>IF(B4356="",0,+$T4356*$V4356)</f>
        <v>0.89166844266791968</v>
      </c>
      <c r="X4356" s="85">
        <f>IF(B4356="",0,IF(OR(H4356=MappingTables!$C$34,H4356=MappingTables!$C$35),W4356,0))</f>
        <v>0</v>
      </c>
    </row>
    <row r="4357" spans="2:24" s="0" customFormat="0" ht="15">
      <c r="B4357" s="69" t="s">
        <v>2351</v>
      </c>
      <c r="C4357" s="70" t="s">
        <v>2352</v>
      </c>
      <c r="D4357" s="70" t="s">
        <v>1</v>
      </c>
      <c r="E4357" s="70" t="s">
        <v>1</v>
      </c>
      <c r="F4357" s="70"/>
      <c r="G4357" s="70" t="s">
        <v>61</v>
      </c>
      <c r="H4357" s="70" t="s">
        <v>178</v>
      </c>
      <c r="I4357" s="70" t="s">
        <v>198</v>
      </c>
      <c r="J4357" s="71" t="str">
        <f>IF(OR(I4357=0,I4357=""),"unrated",VLOOKUP(I4357,MappingTables!$B$19:$C$31,2,FALSE))</f>
        <v>unrated</v>
      </c>
      <c r="K4357" s="72">
        <v>280.99720077516388</v>
      </c>
      <c r="L4357" s="70">
        <v>8.4035426689698992</v>
      </c>
      <c r="M4357" s="71">
        <f>IF(L4357&lt;1,1,L4357)</f>
        <v>8.4035426689698992</v>
      </c>
      <c r="N4357" s="70" t="s">
        <v>141</v>
      </c>
      <c r="O4357" s="71">
        <f>INDEX(DurClassMapping,MATCH(M4357,MappingTables!$D$4:$D$8,-1),1)</f>
        <v>2</v>
      </c>
      <c r="P4357" s="73">
        <f>IF(M4357=$A$1,1,$M4357-INDEX(MappingTables!$E$4:$E$8,MATCH(O4357,MappingTables!$B$4:$B$8,0)))</f>
        <v>3.4035426689698996</v>
      </c>
      <c r="Q4357" s="71">
        <f>IF(B4357="",0,INDEX(ModelParameters!$D$6:$K$10,MATCH($O4357,ModelParameters!$B$6:$B$10,0),MATCH($J4357,ModelParameters!$D$5:$K$5,0)))</f>
        <v>0.017000000000000002</v>
      </c>
      <c r="R4357" s="71">
        <f>IF(B4357="",0,INDEX(ModelParameters!$D$13:$K$17,MATCH($O4357,ModelParameters!$B$13:$B$17,0),MATCH($J4357,ModelParameters!$D$5:$K$5,0)))</f>
        <v>0.15</v>
      </c>
      <c r="S4357" s="160">
        <f>IF(B4357="",0,MIN(IF($N4357="Other Bond TM",ModelParameters!$N$21,1)*(P4357*Q4357+R4357),1))</f>
        <v>0.20786022537248828</v>
      </c>
      <c r="T4357" s="85">
        <f>IF(B4357="",0,$S4357*$K4357)</f>
        <v>58.408141482163912</v>
      </c>
      <c r="U4357" s="85">
        <f>IF(B4357="",0,IF(OR(H4357=MappingTables!$C$34,H4357=MappingTables!$C$35),T4357,0))</f>
        <v>0</v>
      </c>
      <c r="V4357" s="85">
        <f>IF(ISNA(IF(AND(VLOOKUP(CONCATENATE($D4357,$G4357),CSRFinput!$B:$E,4,0)=0,OR(H4357=MappingTables!$C$34,H4357=MappingTables!$C$35)),1,VLOOKUP(CONCATENATE($D4357,$G4357),CSRFinput!$B:$E,4,0))),0,IF(AND(VLOOKUP(CONCATENATE($D4357,$G4357),CSRFinput!$B:$E,4,0)=0,OR(H4357=MappingTables!$C$34,H4357=MappingTables!$C$35)),1,VLOOKUP(CONCATENATE($D4357,$G4357),CSRFinput!$B:$E,4,0)))</f>
        <v>0.054776304963434752</v>
      </c>
      <c r="W4357" s="85">
        <f>IF(B4357="",0,+$T4357*$V4357)</f>
        <v>3.1993821701744544</v>
      </c>
      <c r="X4357" s="85">
        <f>IF(B4357="",0,IF(OR(H4357=MappingTables!$C$34,H4357=MappingTables!$C$35),W4357,0))</f>
        <v>0</v>
      </c>
    </row>
    <row r="4358" spans="2:24" s="0" customFormat="0" ht="15">
      <c r="B4358" s="69" t="s">
        <v>2008</v>
      </c>
      <c r="C4358" s="70" t="s">
        <v>2009</v>
      </c>
      <c r="D4358" s="70" t="s">
        <v>1</v>
      </c>
      <c r="E4358" s="70" t="s">
        <v>1</v>
      </c>
      <c r="F4358" s="70"/>
      <c r="G4358" s="70" t="s">
        <v>61</v>
      </c>
      <c r="H4358" s="70" t="s">
        <v>178</v>
      </c>
      <c r="I4358" s="70" t="s">
        <v>184</v>
      </c>
      <c r="J4358" s="71">
        <f>IF(OR(I4358=0,I4358=""),"unrated",VLOOKUP(I4358,MappingTables!$B$19:$C$31,2,FALSE))</f>
        <v>5</v>
      </c>
      <c r="K4358" s="72">
        <v>113.08180867248398</v>
      </c>
      <c r="L4358" s="70">
        <v>2.6983928600127984</v>
      </c>
      <c r="M4358" s="71">
        <f>IF(L4358&lt;1,1,L4358)</f>
        <v>2.6983928600127984</v>
      </c>
      <c r="N4358" s="70" t="s">
        <v>141</v>
      </c>
      <c r="O4358" s="71">
        <f>INDEX(DurClassMapping,MATCH(M4358,MappingTables!$D$4:$D$8,-1),1)</f>
        <v>1</v>
      </c>
      <c r="P4358" s="73">
        <f>IF(M4358=$A$1,1,$M4358-INDEX(MappingTables!$E$4:$E$8,MATCH(O4358,MappingTables!$B$4:$B$8,0)))</f>
        <v>2.6983928600127984</v>
      </c>
      <c r="Q4358" s="71">
        <f>IF(B4358="",0,INDEX(ModelParameters!$D$6:$K$10,MATCH($O4358,ModelParameters!$B$6:$B$10,0),MATCH($J4358,ModelParameters!$D$5:$K$5,0)))</f>
        <v>0.075</v>
      </c>
      <c r="R4358" s="71">
        <f>IF(B4358="",0,INDEX(ModelParameters!$D$13:$K$17,MATCH($O4358,ModelParameters!$B$13:$B$17,0),MATCH($J4358,ModelParameters!$D$5:$K$5,0)))</f>
        <v>0</v>
      </c>
      <c r="S4358" s="160">
        <f>IF(B4358="",0,MIN(IF($N4358="Other Bond TM",ModelParameters!$N$21,1)*(P4358*Q4358+R4358),1))</f>
        <v>0.20237946450095988</v>
      </c>
      <c r="T4358" s="85">
        <f>IF(B4358="",0,$S4358*$K4358)</f>
        <v>22.885435883937304</v>
      </c>
      <c r="U4358" s="85">
        <f>IF(B4358="",0,IF(OR(H4358=MappingTables!$C$34,H4358=MappingTables!$C$35),T4358,0))</f>
        <v>0</v>
      </c>
      <c r="V4358" s="85">
        <f>IF(ISNA(IF(AND(VLOOKUP(CONCATENATE($D4358,$G4358),CSRFinput!$B:$E,4,0)=0,OR(H4358=MappingTables!$C$34,H4358=MappingTables!$C$35)),1,VLOOKUP(CONCATENATE($D4358,$G4358),CSRFinput!$B:$E,4,0))),0,IF(AND(VLOOKUP(CONCATENATE($D4358,$G4358),CSRFinput!$B:$E,4,0)=0,OR(H4358=MappingTables!$C$34,H4358=MappingTables!$C$35)),1,VLOOKUP(CONCATENATE($D4358,$G4358),CSRFinput!$B:$E,4,0)))</f>
        <v>0.054776304963434752</v>
      </c>
      <c r="W4358" s="85">
        <f>IF(B4358="",0,+$T4358*$V4358)</f>
        <v>1.2535796151996828</v>
      </c>
      <c r="X4358" s="85">
        <f>IF(B4358="",0,IF(OR(H4358=MappingTables!$C$34,H4358=MappingTables!$C$35),W4358,0))</f>
        <v>0</v>
      </c>
    </row>
    <row r="4359" spans="2:24" s="0" customFormat="0" ht="15">
      <c r="B4359" s="69">
        <v>14767410</v>
      </c>
      <c r="C4359" s="70" t="s">
        <v>2784</v>
      </c>
      <c r="D4359" s="70" t="s">
        <v>1</v>
      </c>
      <c r="E4359" s="70" t="s">
        <v>1</v>
      </c>
      <c r="F4359" s="70"/>
      <c r="G4359" s="70" t="s">
        <v>61</v>
      </c>
      <c r="H4359" s="70" t="s">
        <v>178</v>
      </c>
      <c r="I4359" s="70" t="s">
        <v>220</v>
      </c>
      <c r="J4359" s="71">
        <f>IF(OR(I4359=0,I4359=""),"unrated",VLOOKUP(I4359,MappingTables!$B$19:$C$31,2,FALSE))</f>
        <v>1</v>
      </c>
      <c r="K4359" s="72">
        <v>325.42362510561764</v>
      </c>
      <c r="L4359" s="70">
        <v>1.6570146893901772</v>
      </c>
      <c r="M4359" s="71">
        <f>IF(L4359&lt;1,1,L4359)</f>
        <v>1.6570146893901772</v>
      </c>
      <c r="N4359" s="70" t="s">
        <v>141</v>
      </c>
      <c r="O4359" s="71">
        <f>INDEX(DurClassMapping,MATCH(M4359,MappingTables!$D$4:$D$8,-1),1)</f>
        <v>1</v>
      </c>
      <c r="P4359" s="73">
        <f>IF(M4359=$A$1,1,$M4359-INDEX(MappingTables!$E$4:$E$8,MATCH(O4359,MappingTables!$B$4:$B$8,0)))</f>
        <v>1.6570146893901772</v>
      </c>
      <c r="Q4359" s="71">
        <f>IF(B4359="",0,INDEX(ModelParameters!$D$6:$K$10,MATCH($O4359,ModelParameters!$B$6:$B$10,0),MATCH($J4359,ModelParameters!$D$5:$K$5,0)))</f>
        <v>0.011000000000000002</v>
      </c>
      <c r="R4359" s="71">
        <f>IF(B4359="",0,INDEX(ModelParameters!$D$13:$K$17,MATCH($O4359,ModelParameters!$B$13:$B$17,0),MATCH($J4359,ModelParameters!$D$5:$K$5,0)))</f>
        <v>0</v>
      </c>
      <c r="S4359" s="160">
        <f>IF(B4359="",0,MIN(IF($N4359="Other Bond TM",ModelParameters!$N$21,1)*(P4359*Q4359+R4359),1))</f>
        <v>0.018227161583291952</v>
      </c>
      <c r="T4359" s="85">
        <f>IF(B4359="",0,$S4359*$K4359)</f>
        <v>5.931548997820716</v>
      </c>
      <c r="U4359" s="85">
        <f>IF(B4359="",0,IF(OR(H4359=MappingTables!$C$34,H4359=MappingTables!$C$35),T4359,0))</f>
        <v>0</v>
      </c>
      <c r="V4359" s="85">
        <f>IF(ISNA(IF(AND(VLOOKUP(CONCATENATE($D4359,$G4359),CSRFinput!$B:$E,4,0)=0,OR(H4359=MappingTables!$C$34,H4359=MappingTables!$C$35)),1,VLOOKUP(CONCATENATE($D4359,$G4359),CSRFinput!$B:$E,4,0))),0,IF(AND(VLOOKUP(CONCATENATE($D4359,$G4359),CSRFinput!$B:$E,4,0)=0,OR(H4359=MappingTables!$C$34,H4359=MappingTables!$C$35)),1,VLOOKUP(CONCATENATE($D4359,$G4359),CSRFinput!$B:$E,4,0)))</f>
        <v>0.054776304963434752</v>
      </c>
      <c r="W4359" s="85">
        <f>IF(B4359="",0,+$T4359*$V4359)</f>
        <v>0.32490833681018332</v>
      </c>
      <c r="X4359" s="85">
        <f>IF(B4359="",0,IF(OR(H4359=MappingTables!$C$34,H4359=MappingTables!$C$35),W4359,0))</f>
        <v>0</v>
      </c>
    </row>
    <row r="4360" spans="2:24" s="0" customFormat="0" ht="15">
      <c r="B4360" s="69" t="s">
        <v>1665</v>
      </c>
      <c r="C4360" s="70" t="s">
        <v>1666</v>
      </c>
      <c r="D4360" s="70" t="s">
        <v>1</v>
      </c>
      <c r="E4360" s="70" t="s">
        <v>1</v>
      </c>
      <c r="F4360" s="70"/>
      <c r="G4360" s="70" t="s">
        <v>61</v>
      </c>
      <c r="H4360" s="70" t="s">
        <v>178</v>
      </c>
      <c r="I4360" s="70" t="s">
        <v>181</v>
      </c>
      <c r="J4360" s="71">
        <f>IF(OR(I4360=0,I4360=""),"unrated",VLOOKUP(I4360,MappingTables!$B$19:$C$31,2,FALSE))</f>
        <v>3</v>
      </c>
      <c r="K4360" s="72">
        <v>44.059193785253048</v>
      </c>
      <c r="L4360" s="70">
        <v>0.7963878164070464</v>
      </c>
      <c r="M4360" s="71">
        <f>IF(L4360&lt;1,1,L4360)</f>
        <v>1</v>
      </c>
      <c r="N4360" s="70" t="s">
        <v>141</v>
      </c>
      <c r="O4360" s="71">
        <f>INDEX(DurClassMapping,MATCH(M4360,MappingTables!$D$4:$D$8,-1),1)</f>
        <v>1</v>
      </c>
      <c r="P4360" s="73">
        <f>IF(M4360=$A$1,1,$M4360-INDEX(MappingTables!$E$4:$E$8,MATCH(O4360,MappingTables!$B$4:$B$8,0)))</f>
        <v>1</v>
      </c>
      <c r="Q4360" s="71">
        <f>IF(B4360="",0,INDEX(ModelParameters!$D$6:$K$10,MATCH($O4360,ModelParameters!$B$6:$B$10,0),MATCH($J4360,ModelParameters!$D$5:$K$5,0)))</f>
        <v>0.025</v>
      </c>
      <c r="R4360" s="71">
        <f>IF(B4360="",0,INDEX(ModelParameters!$D$13:$K$17,MATCH($O4360,ModelParameters!$B$13:$B$17,0),MATCH($J4360,ModelParameters!$D$5:$K$5,0)))</f>
        <v>0</v>
      </c>
      <c r="S4360" s="160">
        <f>IF(B4360="",0,MIN(IF($N4360="Other Bond TM",ModelParameters!$N$21,1)*(P4360*Q4360+R4360),1))</f>
        <v>0.025</v>
      </c>
      <c r="T4360" s="85">
        <f>IF(B4360="",0,$S4360*$K4360)</f>
        <v>1.1014798446313264</v>
      </c>
      <c r="U4360" s="85">
        <f>IF(B4360="",0,IF(OR(H4360=MappingTables!$C$34,H4360=MappingTables!$C$35),T4360,0))</f>
        <v>0</v>
      </c>
      <c r="V4360" s="85">
        <f>IF(ISNA(IF(AND(VLOOKUP(CONCATENATE($D4360,$G4360),CSRFinput!$B:$E,4,0)=0,OR(H4360=MappingTables!$C$34,H4360=MappingTables!$C$35)),1,VLOOKUP(CONCATENATE($D4360,$G4360),CSRFinput!$B:$E,4,0))),0,IF(AND(VLOOKUP(CONCATENATE($D4360,$G4360),CSRFinput!$B:$E,4,0)=0,OR(H4360=MappingTables!$C$34,H4360=MappingTables!$C$35)),1,VLOOKUP(CONCATENATE($D4360,$G4360),CSRFinput!$B:$E,4,0)))</f>
        <v>0.054776304963434752</v>
      </c>
      <c r="W4360" s="85">
        <f>IF(B4360="",0,+$T4360*$V4360)</f>
        <v>0.060334995880602264</v>
      </c>
      <c r="X4360" s="85">
        <f>IF(B4360="",0,IF(OR(H4360=MappingTables!$C$34,H4360=MappingTables!$C$35),W4360,0))</f>
        <v>0</v>
      </c>
    </row>
    <row r="4361" spans="2:24" s="0" customFormat="0" ht="15">
      <c r="B4361" s="69" t="s">
        <v>3011</v>
      </c>
      <c r="C4361" s="70" t="s">
        <v>3012</v>
      </c>
      <c r="D4361" s="70" t="s">
        <v>1</v>
      </c>
      <c r="E4361" s="70" t="s">
        <v>1</v>
      </c>
      <c r="F4361" s="70"/>
      <c r="G4361" s="70" t="s">
        <v>61</v>
      </c>
      <c r="H4361" s="70" t="s">
        <v>178</v>
      </c>
      <c r="I4361" s="70" t="s">
        <v>179</v>
      </c>
      <c r="J4361" s="71">
        <f>IF(OR(I4361=0,I4361=""),"unrated",VLOOKUP(I4361,MappingTables!$B$19:$C$31,2,FALSE))</f>
        <v>4</v>
      </c>
      <c r="K4361" s="72">
        <v>160.37605910791712</v>
      </c>
      <c r="L4361" s="70">
        <v>7.1222400021599264</v>
      </c>
      <c r="M4361" s="71">
        <f>IF(L4361&lt;1,1,L4361)</f>
        <v>7.1222400021599264</v>
      </c>
      <c r="N4361" s="70" t="s">
        <v>141</v>
      </c>
      <c r="O4361" s="71">
        <f>INDEX(DurClassMapping,MATCH(M4361,MappingTables!$D$4:$D$8,-1),1)</f>
        <v>2</v>
      </c>
      <c r="P4361" s="73">
        <f>IF(M4361=$A$1,1,$M4361-INDEX(MappingTables!$E$4:$E$8,MATCH(O4361,MappingTables!$B$4:$B$8,0)))</f>
        <v>2.122240002159926</v>
      </c>
      <c r="Q4361" s="71">
        <f>IF(B4361="",0,INDEX(ModelParameters!$D$6:$K$10,MATCH($O4361,ModelParameters!$B$6:$B$10,0),MATCH($J4361,ModelParameters!$D$5:$K$5,0)))</f>
        <v>0.025</v>
      </c>
      <c r="R4361" s="71">
        <f>IF(B4361="",0,INDEX(ModelParameters!$D$13:$K$17,MATCH($O4361,ModelParameters!$B$13:$B$17,0),MATCH($J4361,ModelParameters!$D$5:$K$5,0)))</f>
        <v>0.225</v>
      </c>
      <c r="S4361" s="160">
        <f>IF(B4361="",0,MIN(IF($N4361="Other Bond TM",ModelParameters!$N$21,1)*(P4361*Q4361+R4361),1))</f>
        <v>0.27805600005399816</v>
      </c>
      <c r="T4361" s="85">
        <f>IF(B4361="",0,$S4361*$K4361)</f>
        <v>44.593525499971016</v>
      </c>
      <c r="U4361" s="85">
        <f>IF(B4361="",0,IF(OR(H4361=MappingTables!$C$34,H4361=MappingTables!$C$35),T4361,0))</f>
        <v>0</v>
      </c>
      <c r="V4361" s="85">
        <f>IF(ISNA(IF(AND(VLOOKUP(CONCATENATE($D4361,$G4361),CSRFinput!$B:$E,4,0)=0,OR(H4361=MappingTables!$C$34,H4361=MappingTables!$C$35)),1,VLOOKUP(CONCATENATE($D4361,$G4361),CSRFinput!$B:$E,4,0))),0,IF(AND(VLOOKUP(CONCATENATE($D4361,$G4361),CSRFinput!$B:$E,4,0)=0,OR(H4361=MappingTables!$C$34,H4361=MappingTables!$C$35)),1,VLOOKUP(CONCATENATE($D4361,$G4361),CSRFinput!$B:$E,4,0)))</f>
        <v>0.054776304963434752</v>
      </c>
      <c r="W4361" s="85">
        <f>IF(B4361="",0,+$T4361*$V4361)</f>
        <v>2.4426685521811168</v>
      </c>
      <c r="X4361" s="85">
        <f>IF(B4361="",0,IF(OR(H4361=MappingTables!$C$34,H4361=MappingTables!$C$35),W4361,0))</f>
        <v>0</v>
      </c>
    </row>
    <row r="4362" spans="2:24" s="0" customFormat="0" ht="15">
      <c r="B4362" s="69">
        <v>12657547</v>
      </c>
      <c r="C4362" s="70" t="s">
        <v>2691</v>
      </c>
      <c r="D4362" s="70" t="s">
        <v>1</v>
      </c>
      <c r="E4362" s="70" t="s">
        <v>1</v>
      </c>
      <c r="F4362" s="70"/>
      <c r="G4362" s="70" t="s">
        <v>61</v>
      </c>
      <c r="H4362" s="70" t="s">
        <v>178</v>
      </c>
      <c r="I4362" s="70" t="s">
        <v>188</v>
      </c>
      <c r="J4362" s="71">
        <f>IF(OR(I4362=0,I4362=""),"unrated",VLOOKUP(I4362,MappingTables!$B$19:$C$31,2,FALSE))</f>
        <v>2</v>
      </c>
      <c r="K4362" s="72">
        <v>3007.4432156176848</v>
      </c>
      <c r="L4362" s="70">
        <v>0.7457542289772184</v>
      </c>
      <c r="M4362" s="71">
        <f>IF(L4362&lt;1,1,L4362)</f>
        <v>1</v>
      </c>
      <c r="N4362" s="70" t="s">
        <v>141</v>
      </c>
      <c r="O4362" s="71">
        <f>INDEX(DurClassMapping,MATCH(M4362,MappingTables!$D$4:$D$8,-1),1)</f>
        <v>1</v>
      </c>
      <c r="P4362" s="73">
        <f>IF(M4362=$A$1,1,$M4362-INDEX(MappingTables!$E$4:$E$8,MATCH(O4362,MappingTables!$B$4:$B$8,0)))</f>
        <v>1</v>
      </c>
      <c r="Q4362" s="71">
        <f>IF(B4362="",0,INDEX(ModelParameters!$D$6:$K$10,MATCH($O4362,ModelParameters!$B$6:$B$10,0),MATCH($J4362,ModelParameters!$D$5:$K$5,0)))</f>
        <v>0.013999999999999998</v>
      </c>
      <c r="R4362" s="71">
        <f>IF(B4362="",0,INDEX(ModelParameters!$D$13:$K$17,MATCH($O4362,ModelParameters!$B$13:$B$17,0),MATCH($J4362,ModelParameters!$D$5:$K$5,0)))</f>
        <v>0</v>
      </c>
      <c r="S4362" s="160">
        <f>IF(B4362="",0,MIN(IF($N4362="Other Bond TM",ModelParameters!$N$21,1)*(P4362*Q4362+R4362),1))</f>
        <v>0.013999999999999998</v>
      </c>
      <c r="T4362" s="85">
        <f>IF(B4362="",0,$S4362*$K4362)</f>
        <v>42.104205018647584</v>
      </c>
      <c r="U4362" s="85">
        <f>IF(B4362="",0,IF(OR(H4362=MappingTables!$C$34,H4362=MappingTables!$C$35),T4362,0))</f>
        <v>0</v>
      </c>
      <c r="V4362" s="85">
        <f>IF(ISNA(IF(AND(VLOOKUP(CONCATENATE($D4362,$G4362),CSRFinput!$B:$E,4,0)=0,OR(H4362=MappingTables!$C$34,H4362=MappingTables!$C$35)),1,VLOOKUP(CONCATENATE($D4362,$G4362),CSRFinput!$B:$E,4,0))),0,IF(AND(VLOOKUP(CONCATENATE($D4362,$G4362),CSRFinput!$B:$E,4,0)=0,OR(H4362=MappingTables!$C$34,H4362=MappingTables!$C$35)),1,VLOOKUP(CONCATENATE($D4362,$G4362),CSRFinput!$B:$E,4,0)))</f>
        <v>0.054776304963434752</v>
      </c>
      <c r="W4362" s="85">
        <f>IF(B4362="",0,+$T4362*$V4362)</f>
        <v>2.3063127743444204</v>
      </c>
      <c r="X4362" s="85">
        <f>IF(B4362="",0,IF(OR(H4362=MappingTables!$C$34,H4362=MappingTables!$C$35),W4362,0))</f>
        <v>0</v>
      </c>
    </row>
    <row r="4363" spans="2:24" s="0" customFormat="0" ht="15">
      <c r="B4363" s="69">
        <v>16209303</v>
      </c>
      <c r="C4363" s="70" t="s">
        <v>1816</v>
      </c>
      <c r="D4363" s="70" t="s">
        <v>1</v>
      </c>
      <c r="E4363" s="70" t="s">
        <v>1</v>
      </c>
      <c r="F4363" s="70"/>
      <c r="G4363" s="70" t="s">
        <v>61</v>
      </c>
      <c r="H4363" s="70" t="s">
        <v>178</v>
      </c>
      <c r="I4363" s="70" t="s">
        <v>181</v>
      </c>
      <c r="J4363" s="71">
        <f>IF(OR(I4363=0,I4363=""),"unrated",VLOOKUP(I4363,MappingTables!$B$19:$C$31,2,FALSE))</f>
        <v>3</v>
      </c>
      <c r="K4363" s="72">
        <v>1238.8165098228012</v>
      </c>
      <c r="L4363" s="70">
        <v>1.7034161672722862</v>
      </c>
      <c r="M4363" s="71">
        <f>IF(L4363&lt;1,1,L4363)</f>
        <v>1.7034161672722862</v>
      </c>
      <c r="N4363" s="70" t="s">
        <v>141</v>
      </c>
      <c r="O4363" s="71">
        <f>INDEX(DurClassMapping,MATCH(M4363,MappingTables!$D$4:$D$8,-1),1)</f>
        <v>1</v>
      </c>
      <c r="P4363" s="73">
        <f>IF(M4363=$A$1,1,$M4363-INDEX(MappingTables!$E$4:$E$8,MATCH(O4363,MappingTables!$B$4:$B$8,0)))</f>
        <v>1.7034161672722862</v>
      </c>
      <c r="Q4363" s="71">
        <f>IF(B4363="",0,INDEX(ModelParameters!$D$6:$K$10,MATCH($O4363,ModelParameters!$B$6:$B$10,0),MATCH($J4363,ModelParameters!$D$5:$K$5,0)))</f>
        <v>0.025</v>
      </c>
      <c r="R4363" s="71">
        <f>IF(B4363="",0,INDEX(ModelParameters!$D$13:$K$17,MATCH($O4363,ModelParameters!$B$13:$B$17,0),MATCH($J4363,ModelParameters!$D$5:$K$5,0)))</f>
        <v>0</v>
      </c>
      <c r="S4363" s="160">
        <f>IF(B4363="",0,MIN(IF($N4363="Other Bond TM",ModelParameters!$N$21,1)*(P4363*Q4363+R4363),1))</f>
        <v>0.04258540418180716</v>
      </c>
      <c r="T4363" s="85">
        <f>IF(B4363="",0,$S4363*$K4363)</f>
        <v>52.755501777899664</v>
      </c>
      <c r="U4363" s="85">
        <f>IF(B4363="",0,IF(OR(H4363=MappingTables!$C$34,H4363=MappingTables!$C$35),T4363,0))</f>
        <v>0</v>
      </c>
      <c r="V4363" s="85">
        <f>IF(ISNA(IF(AND(VLOOKUP(CONCATENATE($D4363,$G4363),CSRFinput!$B:$E,4,0)=0,OR(H4363=MappingTables!$C$34,H4363=MappingTables!$C$35)),1,VLOOKUP(CONCATENATE($D4363,$G4363),CSRFinput!$B:$E,4,0))),0,IF(AND(VLOOKUP(CONCATENATE($D4363,$G4363),CSRFinput!$B:$E,4,0)=0,OR(H4363=MappingTables!$C$34,H4363=MappingTables!$C$35)),1,VLOOKUP(CONCATENATE($D4363,$G4363),CSRFinput!$B:$E,4,0)))</f>
        <v>0.054776304963434752</v>
      </c>
      <c r="W4363" s="85">
        <f>IF(B4363="",0,+$T4363*$V4363)</f>
        <v>2.8897514538852564</v>
      </c>
      <c r="X4363" s="85">
        <f>IF(B4363="",0,IF(OR(H4363=MappingTables!$C$34,H4363=MappingTables!$C$35),W4363,0))</f>
        <v>0</v>
      </c>
    </row>
    <row r="4364" spans="2:24" s="0" customFormat="0" ht="15">
      <c r="B4364" s="69" t="s">
        <v>2248</v>
      </c>
      <c r="C4364" s="70" t="s">
        <v>2249</v>
      </c>
      <c r="D4364" s="70" t="s">
        <v>1</v>
      </c>
      <c r="E4364" s="70" t="s">
        <v>1</v>
      </c>
      <c r="F4364" s="70"/>
      <c r="G4364" s="70" t="s">
        <v>61</v>
      </c>
      <c r="H4364" s="70" t="s">
        <v>178</v>
      </c>
      <c r="I4364" s="70" t="s">
        <v>198</v>
      </c>
      <c r="J4364" s="71" t="str">
        <f>IF(OR(I4364=0,I4364=""),"unrated",VLOOKUP(I4364,MappingTables!$B$19:$C$31,2,FALSE))</f>
        <v>unrated</v>
      </c>
      <c r="K4364" s="72">
        <v>56.03104968139068</v>
      </c>
      <c r="L4364" s="70">
        <v>4.0901416405058456</v>
      </c>
      <c r="M4364" s="71">
        <f>IF(L4364&lt;1,1,L4364)</f>
        <v>4.0901416405058456</v>
      </c>
      <c r="N4364" s="70" t="s">
        <v>141</v>
      </c>
      <c r="O4364" s="71">
        <f>INDEX(DurClassMapping,MATCH(M4364,MappingTables!$D$4:$D$8,-1),1)</f>
        <v>1</v>
      </c>
      <c r="P4364" s="73">
        <f>IF(M4364=$A$1,1,$M4364-INDEX(MappingTables!$E$4:$E$8,MATCH(O4364,MappingTables!$B$4:$B$8,0)))</f>
        <v>4.0901416405058456</v>
      </c>
      <c r="Q4364" s="71">
        <f>IF(B4364="",0,INDEX(ModelParameters!$D$6:$K$10,MATCH($O4364,ModelParameters!$B$6:$B$10,0),MATCH($J4364,ModelParameters!$D$5:$K$5,0)))</f>
        <v>0.03</v>
      </c>
      <c r="R4364" s="71">
        <f>IF(B4364="",0,INDEX(ModelParameters!$D$13:$K$17,MATCH($O4364,ModelParameters!$B$13:$B$17,0),MATCH($J4364,ModelParameters!$D$5:$K$5,0)))</f>
        <v>0</v>
      </c>
      <c r="S4364" s="160">
        <f>IF(B4364="",0,MIN(IF($N4364="Other Bond TM",ModelParameters!$N$21,1)*(P4364*Q4364+R4364),1))</f>
        <v>0.12270424921517536</v>
      </c>
      <c r="T4364" s="85">
        <f>IF(B4364="",0,$S4364*$K4364)</f>
        <v>6.8752478838932344</v>
      </c>
      <c r="U4364" s="85">
        <f>IF(B4364="",0,IF(OR(H4364=MappingTables!$C$34,H4364=MappingTables!$C$35),T4364,0))</f>
        <v>0</v>
      </c>
      <c r="V4364" s="85">
        <f>IF(ISNA(IF(AND(VLOOKUP(CONCATENATE($D4364,$G4364),CSRFinput!$B:$E,4,0)=0,OR(H4364=MappingTables!$C$34,H4364=MappingTables!$C$35)),1,VLOOKUP(CONCATENATE($D4364,$G4364),CSRFinput!$B:$E,4,0))),0,IF(AND(VLOOKUP(CONCATENATE($D4364,$G4364),CSRFinput!$B:$E,4,0)=0,OR(H4364=MappingTables!$C$34,H4364=MappingTables!$C$35)),1,VLOOKUP(CONCATENATE($D4364,$G4364),CSRFinput!$B:$E,4,0)))</f>
        <v>0.054776304963434752</v>
      </c>
      <c r="W4364" s="85">
        <f>IF(B4364="",0,+$T4364*$V4364)</f>
        <v>0.37660067478734528</v>
      </c>
      <c r="X4364" s="85">
        <f>IF(B4364="",0,IF(OR(H4364=MappingTables!$C$34,H4364=MappingTables!$C$35),W4364,0))</f>
        <v>0</v>
      </c>
    </row>
    <row r="4365" spans="2:24" s="0" customFormat="0" ht="15">
      <c r="B4365" s="69" t="s">
        <v>3018</v>
      </c>
      <c r="C4365" s="70" t="s">
        <v>3019</v>
      </c>
      <c r="D4365" s="70" t="s">
        <v>1</v>
      </c>
      <c r="E4365" s="70" t="s">
        <v>1</v>
      </c>
      <c r="F4365" s="70"/>
      <c r="G4365" s="70" t="s">
        <v>61</v>
      </c>
      <c r="H4365" s="70" t="s">
        <v>178</v>
      </c>
      <c r="I4365" s="70" t="s">
        <v>184</v>
      </c>
      <c r="J4365" s="71">
        <f>IF(OR(I4365=0,I4365=""),"unrated",VLOOKUP(I4365,MappingTables!$B$19:$C$31,2,FALSE))</f>
        <v>5</v>
      </c>
      <c r="K4365" s="72">
        <v>293.91609894152264</v>
      </c>
      <c r="L4365" s="70">
        <v>2.0375210409744088</v>
      </c>
      <c r="M4365" s="71">
        <f>IF(L4365&lt;1,1,L4365)</f>
        <v>2.0375210409744088</v>
      </c>
      <c r="N4365" s="70" t="s">
        <v>141</v>
      </c>
      <c r="O4365" s="71">
        <f>INDEX(DurClassMapping,MATCH(M4365,MappingTables!$D$4:$D$8,-1),1)</f>
        <v>1</v>
      </c>
      <c r="P4365" s="73">
        <f>IF(M4365=$A$1,1,$M4365-INDEX(MappingTables!$E$4:$E$8,MATCH(O4365,MappingTables!$B$4:$B$8,0)))</f>
        <v>2.0375210409744088</v>
      </c>
      <c r="Q4365" s="71">
        <f>IF(B4365="",0,INDEX(ModelParameters!$D$6:$K$10,MATCH($O4365,ModelParameters!$B$6:$B$10,0),MATCH($J4365,ModelParameters!$D$5:$K$5,0)))</f>
        <v>0.075</v>
      </c>
      <c r="R4365" s="71">
        <f>IF(B4365="",0,INDEX(ModelParameters!$D$13:$K$17,MATCH($O4365,ModelParameters!$B$13:$B$17,0),MATCH($J4365,ModelParameters!$D$5:$K$5,0)))</f>
        <v>0</v>
      </c>
      <c r="S4365" s="160">
        <f>IF(B4365="",0,MIN(IF($N4365="Other Bond TM",ModelParameters!$N$21,1)*(P4365*Q4365+R4365),1))</f>
        <v>0.15281407807308064</v>
      </c>
      <c r="T4365" s="85">
        <f>IF(B4365="",0,$S4365*$K4365)</f>
        <v>44.914517690585136</v>
      </c>
      <c r="U4365" s="85">
        <f>IF(B4365="",0,IF(OR(H4365=MappingTables!$C$34,H4365=MappingTables!$C$35),T4365,0))</f>
        <v>0</v>
      </c>
      <c r="V4365" s="85">
        <f>IF(ISNA(IF(AND(VLOOKUP(CONCATENATE($D4365,$G4365),CSRFinput!$B:$E,4,0)=0,OR(H4365=MappingTables!$C$34,H4365=MappingTables!$C$35)),1,VLOOKUP(CONCATENATE($D4365,$G4365),CSRFinput!$B:$E,4,0))),0,IF(AND(VLOOKUP(CONCATENATE($D4365,$G4365),CSRFinput!$B:$E,4,0)=0,OR(H4365=MappingTables!$C$34,H4365=MappingTables!$C$35)),1,VLOOKUP(CONCATENATE($D4365,$G4365),CSRFinput!$B:$E,4,0)))</f>
        <v>0.054776304963434752</v>
      </c>
      <c r="W4365" s="85">
        <f>IF(B4365="",0,+$T4365*$V4365)</f>
        <v>2.4602513183050764</v>
      </c>
      <c r="X4365" s="85">
        <f>IF(B4365="",0,IF(OR(H4365=MappingTables!$C$34,H4365=MappingTables!$C$35),W4365,0))</f>
        <v>0</v>
      </c>
    </row>
    <row r="4366" spans="2:24" s="0" customFormat="0" ht="15">
      <c r="B4366" s="69">
        <v>14395981</v>
      </c>
      <c r="C4366" s="70" t="s">
        <v>2019</v>
      </c>
      <c r="D4366" s="70" t="s">
        <v>1</v>
      </c>
      <c r="E4366" s="70" t="s">
        <v>1</v>
      </c>
      <c r="F4366" s="70"/>
      <c r="G4366" s="70" t="s">
        <v>61</v>
      </c>
      <c r="H4366" s="70" t="s">
        <v>178</v>
      </c>
      <c r="I4366" s="70" t="s">
        <v>181</v>
      </c>
      <c r="J4366" s="71">
        <f>IF(OR(I4366=0,I4366=""),"unrated",VLOOKUP(I4366,MappingTables!$B$19:$C$31,2,FALSE))</f>
        <v>3</v>
      </c>
      <c r="K4366" s="72">
        <v>5.1011738790961928</v>
      </c>
      <c r="L4366" s="70">
        <v>1.4851601564948634</v>
      </c>
      <c r="M4366" s="71">
        <f>IF(L4366&lt;1,1,L4366)</f>
        <v>1.4851601564948634</v>
      </c>
      <c r="N4366" s="70" t="s">
        <v>141</v>
      </c>
      <c r="O4366" s="71">
        <f>INDEX(DurClassMapping,MATCH(M4366,MappingTables!$D$4:$D$8,-1),1)</f>
        <v>1</v>
      </c>
      <c r="P4366" s="73">
        <f>IF(M4366=$A$1,1,$M4366-INDEX(MappingTables!$E$4:$E$8,MATCH(O4366,MappingTables!$B$4:$B$8,0)))</f>
        <v>1.4851601564948634</v>
      </c>
      <c r="Q4366" s="71">
        <f>IF(B4366="",0,INDEX(ModelParameters!$D$6:$K$10,MATCH($O4366,ModelParameters!$B$6:$B$10,0),MATCH($J4366,ModelParameters!$D$5:$K$5,0)))</f>
        <v>0.025</v>
      </c>
      <c r="R4366" s="71">
        <f>IF(B4366="",0,INDEX(ModelParameters!$D$13:$K$17,MATCH($O4366,ModelParameters!$B$13:$B$17,0),MATCH($J4366,ModelParameters!$D$5:$K$5,0)))</f>
        <v>0</v>
      </c>
      <c r="S4366" s="160">
        <f>IF(B4366="",0,MIN(IF($N4366="Other Bond TM",ModelParameters!$N$21,1)*(P4366*Q4366+R4366),1))</f>
        <v>0.037129003912371584</v>
      </c>
      <c r="T4366" s="85">
        <f>IF(B4366="",0,$S4366*$K4366)</f>
        <v>0.18940150491465024</v>
      </c>
      <c r="U4366" s="85">
        <f>IF(B4366="",0,IF(OR(H4366=MappingTables!$C$34,H4366=MappingTables!$C$35),T4366,0))</f>
        <v>0</v>
      </c>
      <c r="V4366" s="85">
        <f>IF(ISNA(IF(AND(VLOOKUP(CONCATENATE($D4366,$G4366),CSRFinput!$B:$E,4,0)=0,OR(H4366=MappingTables!$C$34,H4366=MappingTables!$C$35)),1,VLOOKUP(CONCATENATE($D4366,$G4366),CSRFinput!$B:$E,4,0))),0,IF(AND(VLOOKUP(CONCATENATE($D4366,$G4366),CSRFinput!$B:$E,4,0)=0,OR(H4366=MappingTables!$C$34,H4366=MappingTables!$C$35)),1,VLOOKUP(CONCATENATE($D4366,$G4366),CSRFinput!$B:$E,4,0)))</f>
        <v>0.054776304963434752</v>
      </c>
      <c r="W4366" s="85">
        <f>IF(B4366="",0,+$T4366*$V4366)</f>
        <v>0.010374714593738368</v>
      </c>
      <c r="X4366" s="85">
        <f>IF(B4366="",0,IF(OR(H4366=MappingTables!$C$34,H4366=MappingTables!$C$35),W4366,0))</f>
        <v>0</v>
      </c>
    </row>
    <row r="4367" spans="2:24" s="0" customFormat="0" ht="15">
      <c r="B4367" s="69">
        <v>23824584</v>
      </c>
      <c r="C4367" s="70" t="s">
        <v>2848</v>
      </c>
      <c r="D4367" s="70" t="s">
        <v>1</v>
      </c>
      <c r="E4367" s="70" t="s">
        <v>1</v>
      </c>
      <c r="F4367" s="70"/>
      <c r="G4367" s="70" t="s">
        <v>61</v>
      </c>
      <c r="H4367" s="70" t="s">
        <v>178</v>
      </c>
      <c r="I4367" s="70" t="s">
        <v>181</v>
      </c>
      <c r="J4367" s="71">
        <f>IF(OR(I4367=0,I4367=""),"unrated",VLOOKUP(I4367,MappingTables!$B$19:$C$31,2,FALSE))</f>
        <v>3</v>
      </c>
      <c r="K4367" s="72">
        <v>54.034515037312968</v>
      </c>
      <c r="L4367" s="70">
        <v>2.5082670398650128</v>
      </c>
      <c r="M4367" s="71">
        <f>IF(L4367&lt;1,1,L4367)</f>
        <v>2.5082670398650128</v>
      </c>
      <c r="N4367" s="70" t="s">
        <v>141</v>
      </c>
      <c r="O4367" s="71">
        <f>INDEX(DurClassMapping,MATCH(M4367,MappingTables!$D$4:$D$8,-1),1)</f>
        <v>1</v>
      </c>
      <c r="P4367" s="73">
        <f>IF(M4367=$A$1,1,$M4367-INDEX(MappingTables!$E$4:$E$8,MATCH(O4367,MappingTables!$B$4:$B$8,0)))</f>
        <v>2.5082670398650128</v>
      </c>
      <c r="Q4367" s="71">
        <f>IF(B4367="",0,INDEX(ModelParameters!$D$6:$K$10,MATCH($O4367,ModelParameters!$B$6:$B$10,0),MATCH($J4367,ModelParameters!$D$5:$K$5,0)))</f>
        <v>0.025</v>
      </c>
      <c r="R4367" s="71">
        <f>IF(B4367="",0,INDEX(ModelParameters!$D$13:$K$17,MATCH($O4367,ModelParameters!$B$13:$B$17,0),MATCH($J4367,ModelParameters!$D$5:$K$5,0)))</f>
        <v>0</v>
      </c>
      <c r="S4367" s="160">
        <f>IF(B4367="",0,MIN(IF($N4367="Other Bond TM",ModelParameters!$N$21,1)*(P4367*Q4367+R4367),1))</f>
        <v>0.062706675996625312</v>
      </c>
      <c r="T4367" s="85">
        <f>IF(B4367="",0,$S4367*$K4367)</f>
        <v>3.3883248270795624</v>
      </c>
      <c r="U4367" s="85">
        <f>IF(B4367="",0,IF(OR(H4367=MappingTables!$C$34,H4367=MappingTables!$C$35),T4367,0))</f>
        <v>0</v>
      </c>
      <c r="V4367" s="85">
        <f>IF(ISNA(IF(AND(VLOOKUP(CONCATENATE($D4367,$G4367),CSRFinput!$B:$E,4,0)=0,OR(H4367=MappingTables!$C$34,H4367=MappingTables!$C$35)),1,VLOOKUP(CONCATENATE($D4367,$G4367),CSRFinput!$B:$E,4,0))),0,IF(AND(VLOOKUP(CONCATENATE($D4367,$G4367),CSRFinput!$B:$E,4,0)=0,OR(H4367=MappingTables!$C$34,H4367=MappingTables!$C$35)),1,VLOOKUP(CONCATENATE($D4367,$G4367),CSRFinput!$B:$E,4,0)))</f>
        <v>0.054776304963434752</v>
      </c>
      <c r="W4367" s="85">
        <f>IF(B4367="",0,+$T4367*$V4367)</f>
        <v>0.18559991404328744</v>
      </c>
      <c r="X4367" s="85">
        <f>IF(B4367="",0,IF(OR(H4367=MappingTables!$C$34,H4367=MappingTables!$C$35),W4367,0))</f>
        <v>0</v>
      </c>
    </row>
    <row r="4368" spans="2:24" s="0" customFormat="0" ht="15">
      <c r="B4368" s="69" t="s">
        <v>697</v>
      </c>
      <c r="C4368" s="70" t="s">
        <v>698</v>
      </c>
      <c r="D4368" s="70" t="s">
        <v>1</v>
      </c>
      <c r="E4368" s="70" t="s">
        <v>1</v>
      </c>
      <c r="F4368" s="70"/>
      <c r="G4368" s="70" t="s">
        <v>61</v>
      </c>
      <c r="H4368" s="70" t="s">
        <v>178</v>
      </c>
      <c r="I4368" s="70" t="s">
        <v>198</v>
      </c>
      <c r="J4368" s="71" t="str">
        <f>IF(OR(I4368=0,I4368=""),"unrated",VLOOKUP(I4368,MappingTables!$B$19:$C$31,2,FALSE))</f>
        <v>unrated</v>
      </c>
      <c r="K4368" s="72">
        <v>2.1874035318458648</v>
      </c>
      <c r="L4368" s="70">
        <v>2.1078892538647896</v>
      </c>
      <c r="M4368" s="71">
        <f>IF(L4368&lt;1,1,L4368)</f>
        <v>2.1078892538647896</v>
      </c>
      <c r="N4368" s="70" t="s">
        <v>141</v>
      </c>
      <c r="O4368" s="71">
        <f>INDEX(DurClassMapping,MATCH(M4368,MappingTables!$D$4:$D$8,-1),1)</f>
        <v>1</v>
      </c>
      <c r="P4368" s="73">
        <f>IF(M4368=$A$1,1,$M4368-INDEX(MappingTables!$E$4:$E$8,MATCH(O4368,MappingTables!$B$4:$B$8,0)))</f>
        <v>2.1078892538647896</v>
      </c>
      <c r="Q4368" s="71">
        <f>IF(B4368="",0,INDEX(ModelParameters!$D$6:$K$10,MATCH($O4368,ModelParameters!$B$6:$B$10,0),MATCH($J4368,ModelParameters!$D$5:$K$5,0)))</f>
        <v>0.03</v>
      </c>
      <c r="R4368" s="71">
        <f>IF(B4368="",0,INDEX(ModelParameters!$D$13:$K$17,MATCH($O4368,ModelParameters!$B$13:$B$17,0),MATCH($J4368,ModelParameters!$D$5:$K$5,0)))</f>
        <v>0</v>
      </c>
      <c r="S4368" s="160">
        <f>IF(B4368="",0,MIN(IF($N4368="Other Bond TM",ModelParameters!$N$21,1)*(P4368*Q4368+R4368),1))</f>
        <v>0.063236677615943688</v>
      </c>
      <c r="T4368" s="85">
        <f>IF(B4368="",0,$S4368*$K4368)</f>
        <v>0.13832413195931356</v>
      </c>
      <c r="U4368" s="85">
        <f>IF(B4368="",0,IF(OR(H4368=MappingTables!$C$34,H4368=MappingTables!$C$35),T4368,0))</f>
        <v>0</v>
      </c>
      <c r="V4368" s="85">
        <f>IF(ISNA(IF(AND(VLOOKUP(CONCATENATE($D4368,$G4368),CSRFinput!$B:$E,4,0)=0,OR(H4368=MappingTables!$C$34,H4368=MappingTables!$C$35)),1,VLOOKUP(CONCATENATE($D4368,$G4368),CSRFinput!$B:$E,4,0))),0,IF(AND(VLOOKUP(CONCATENATE($D4368,$G4368),CSRFinput!$B:$E,4,0)=0,OR(H4368=MappingTables!$C$34,H4368=MappingTables!$C$35)),1,VLOOKUP(CONCATENATE($D4368,$G4368),CSRFinput!$B:$E,4,0)))</f>
        <v>0.054776304963434752</v>
      </c>
      <c r="W4368" s="85">
        <f>IF(B4368="",0,+$T4368*$V4368)</f>
        <v>0.007576884836005752</v>
      </c>
      <c r="X4368" s="85">
        <f>IF(B4368="",0,IF(OR(H4368=MappingTables!$C$34,H4368=MappingTables!$C$35),W4368,0))</f>
        <v>0</v>
      </c>
    </row>
    <row r="4369" spans="2:24" s="0" customFormat="0" ht="15">
      <c r="B4369" s="69">
        <v>19216275</v>
      </c>
      <c r="C4369" s="70" t="s">
        <v>503</v>
      </c>
      <c r="D4369" s="70" t="s">
        <v>1</v>
      </c>
      <c r="E4369" s="70" t="s">
        <v>1</v>
      </c>
      <c r="F4369" s="70"/>
      <c r="G4369" s="70" t="s">
        <v>61</v>
      </c>
      <c r="H4369" s="70" t="s">
        <v>178</v>
      </c>
      <c r="I4369" s="70" t="s">
        <v>220</v>
      </c>
      <c r="J4369" s="71">
        <f>IF(OR(I4369=0,I4369=""),"unrated",VLOOKUP(I4369,MappingTables!$B$19:$C$31,2,FALSE))</f>
        <v>1</v>
      </c>
      <c r="K4369" s="72">
        <v>1920.0914426309624</v>
      </c>
      <c r="L4369" s="70">
        <v>1.05961068490599</v>
      </c>
      <c r="M4369" s="71">
        <f>IF(L4369&lt;1,1,L4369)</f>
        <v>1.05961068490599</v>
      </c>
      <c r="N4369" s="70" t="s">
        <v>141</v>
      </c>
      <c r="O4369" s="71">
        <f>INDEX(DurClassMapping,MATCH(M4369,MappingTables!$D$4:$D$8,-1),1)</f>
        <v>1</v>
      </c>
      <c r="P4369" s="73">
        <f>IF(M4369=$A$1,1,$M4369-INDEX(MappingTables!$E$4:$E$8,MATCH(O4369,MappingTables!$B$4:$B$8,0)))</f>
        <v>1.05961068490599</v>
      </c>
      <c r="Q4369" s="71">
        <f>IF(B4369="",0,INDEX(ModelParameters!$D$6:$K$10,MATCH($O4369,ModelParameters!$B$6:$B$10,0),MATCH($J4369,ModelParameters!$D$5:$K$5,0)))</f>
        <v>0.011000000000000002</v>
      </c>
      <c r="R4369" s="71">
        <f>IF(B4369="",0,INDEX(ModelParameters!$D$13:$K$17,MATCH($O4369,ModelParameters!$B$13:$B$17,0),MATCH($J4369,ModelParameters!$D$5:$K$5,0)))</f>
        <v>0</v>
      </c>
      <c r="S4369" s="160">
        <f>IF(B4369="",0,MIN(IF($N4369="Other Bond TM",ModelParameters!$N$21,1)*(P4369*Q4369+R4369),1))</f>
        <v>0.011655717533965892</v>
      </c>
      <c r="T4369" s="85">
        <f>IF(B4369="",0,$S4369*$K4369)</f>
        <v>22.380043494691572</v>
      </c>
      <c r="U4369" s="85">
        <f>IF(B4369="",0,IF(OR(H4369=MappingTables!$C$34,H4369=MappingTables!$C$35),T4369,0))</f>
        <v>0</v>
      </c>
      <c r="V4369" s="85">
        <f>IF(ISNA(IF(AND(VLOOKUP(CONCATENATE($D4369,$G4369),CSRFinput!$B:$E,4,0)=0,OR(H4369=MappingTables!$C$34,H4369=MappingTables!$C$35)),1,VLOOKUP(CONCATENATE($D4369,$G4369),CSRFinput!$B:$E,4,0))),0,IF(AND(VLOOKUP(CONCATENATE($D4369,$G4369),CSRFinput!$B:$E,4,0)=0,OR(H4369=MappingTables!$C$34,H4369=MappingTables!$C$35)),1,VLOOKUP(CONCATENATE($D4369,$G4369),CSRFinput!$B:$E,4,0)))</f>
        <v>0.054776304963434752</v>
      </c>
      <c r="W4369" s="85">
        <f>IF(B4369="",0,+$T4369*$V4369)</f>
        <v>1.2258960875601596</v>
      </c>
      <c r="X4369" s="85">
        <f>IF(B4369="",0,IF(OR(H4369=MappingTables!$C$34,H4369=MappingTables!$C$35),W4369,0))</f>
        <v>0</v>
      </c>
    </row>
    <row r="4370" spans="2:24" s="0" customFormat="0" ht="15">
      <c r="B4370" s="69">
        <v>22857471</v>
      </c>
      <c r="C4370" s="70" t="s">
        <v>2077</v>
      </c>
      <c r="D4370" s="70" t="s">
        <v>1</v>
      </c>
      <c r="E4370" s="70" t="s">
        <v>1</v>
      </c>
      <c r="F4370" s="70"/>
      <c r="G4370" s="70" t="s">
        <v>61</v>
      </c>
      <c r="H4370" s="70" t="s">
        <v>178</v>
      </c>
      <c r="I4370" s="70" t="s">
        <v>179</v>
      </c>
      <c r="J4370" s="71">
        <f>IF(OR(I4370=0,I4370=""),"unrated",VLOOKUP(I4370,MappingTables!$B$19:$C$31,2,FALSE))</f>
        <v>4</v>
      </c>
      <c r="K4370" s="72">
        <v>854.646665567096</v>
      </c>
      <c r="L4370" s="70">
        <v>12.07309034174279</v>
      </c>
      <c r="M4370" s="71">
        <f>IF(L4370&lt;1,1,L4370)</f>
        <v>12.07309034174279</v>
      </c>
      <c r="N4370" s="70" t="s">
        <v>141</v>
      </c>
      <c r="O4370" s="71">
        <f>INDEX(DurClassMapping,MATCH(M4370,MappingTables!$D$4:$D$8,-1),1)</f>
        <v>3</v>
      </c>
      <c r="P4370" s="73">
        <f>IF(M4370=$A$1,1,$M4370-INDEX(MappingTables!$E$4:$E$8,MATCH(O4370,MappingTables!$B$4:$B$8,0)))</f>
        <v>2.0730903417427892</v>
      </c>
      <c r="Q4370" s="71">
        <f>IF(B4370="",0,INDEX(ModelParameters!$D$6:$K$10,MATCH($O4370,ModelParameters!$B$6:$B$10,0),MATCH($J4370,ModelParameters!$D$5:$K$5,0)))</f>
        <v>0.018000000000000002</v>
      </c>
      <c r="R4370" s="71">
        <f>IF(B4370="",0,INDEX(ModelParameters!$D$13:$K$17,MATCH($O4370,ModelParameters!$B$13:$B$17,0),MATCH($J4370,ModelParameters!$D$5:$K$5,0)))</f>
        <v>0.34999999999999996</v>
      </c>
      <c r="S4370" s="160">
        <f>IF(B4370="",0,MIN(IF($N4370="Other Bond TM",ModelParameters!$N$21,1)*(P4370*Q4370+R4370),1))</f>
        <v>0.38731562615137016</v>
      </c>
      <c r="T4370" s="85">
        <f>IF(B4370="",0,$S4370*$K4370)</f>
        <v>331.01800841230044</v>
      </c>
      <c r="U4370" s="85">
        <f>IF(B4370="",0,IF(OR(H4370=MappingTables!$C$34,H4370=MappingTables!$C$35),T4370,0))</f>
        <v>0</v>
      </c>
      <c r="V4370" s="85">
        <f>IF(ISNA(IF(AND(VLOOKUP(CONCATENATE($D4370,$G4370),CSRFinput!$B:$E,4,0)=0,OR(H4370=MappingTables!$C$34,H4370=MappingTables!$C$35)),1,VLOOKUP(CONCATENATE($D4370,$G4370),CSRFinput!$B:$E,4,0))),0,IF(AND(VLOOKUP(CONCATENATE($D4370,$G4370),CSRFinput!$B:$E,4,0)=0,OR(H4370=MappingTables!$C$34,H4370=MappingTables!$C$35)),1,VLOOKUP(CONCATENATE($D4370,$G4370),CSRFinput!$B:$E,4,0)))</f>
        <v>0.054776304963434752</v>
      </c>
      <c r="W4370" s="85">
        <f>IF(B4370="",0,+$T4370*$V4370)</f>
        <v>18.13194337718098</v>
      </c>
      <c r="X4370" s="85">
        <f>IF(B4370="",0,IF(OR(H4370=MappingTables!$C$34,H4370=MappingTables!$C$35),W4370,0))</f>
        <v>0</v>
      </c>
    </row>
    <row r="4371" spans="2:24" s="0" customFormat="0" ht="15">
      <c r="B4371" s="69" t="s">
        <v>2885</v>
      </c>
      <c r="C4371" s="70" t="s">
        <v>2886</v>
      </c>
      <c r="D4371" s="70" t="s">
        <v>1</v>
      </c>
      <c r="E4371" s="70" t="s">
        <v>1</v>
      </c>
      <c r="F4371" s="70"/>
      <c r="G4371" s="70" t="s">
        <v>61</v>
      </c>
      <c r="H4371" s="70" t="s">
        <v>178</v>
      </c>
      <c r="I4371" s="70" t="s">
        <v>181</v>
      </c>
      <c r="J4371" s="71">
        <f>IF(OR(I4371=0,I4371=""),"unrated",VLOOKUP(I4371,MappingTables!$B$19:$C$31,2,FALSE))</f>
        <v>3</v>
      </c>
      <c r="K4371" s="72">
        <v>0.85264206286907568</v>
      </c>
      <c r="L4371" s="70">
        <v>0.39999939624441352</v>
      </c>
      <c r="M4371" s="71">
        <f>IF(L4371&lt;1,1,L4371)</f>
        <v>1</v>
      </c>
      <c r="N4371" s="70" t="s">
        <v>141</v>
      </c>
      <c r="O4371" s="71">
        <f>INDEX(DurClassMapping,MATCH(M4371,MappingTables!$D$4:$D$8,-1),1)</f>
        <v>1</v>
      </c>
      <c r="P4371" s="73">
        <f>IF(M4371=$A$1,1,$M4371-INDEX(MappingTables!$E$4:$E$8,MATCH(O4371,MappingTables!$B$4:$B$8,0)))</f>
        <v>1</v>
      </c>
      <c r="Q4371" s="71">
        <f>IF(B4371="",0,INDEX(ModelParameters!$D$6:$K$10,MATCH($O4371,ModelParameters!$B$6:$B$10,0),MATCH($J4371,ModelParameters!$D$5:$K$5,0)))</f>
        <v>0.025</v>
      </c>
      <c r="R4371" s="71">
        <f>IF(B4371="",0,INDEX(ModelParameters!$D$13:$K$17,MATCH($O4371,ModelParameters!$B$13:$B$17,0),MATCH($J4371,ModelParameters!$D$5:$K$5,0)))</f>
        <v>0</v>
      </c>
      <c r="S4371" s="160">
        <f>IF(B4371="",0,MIN(IF($N4371="Other Bond TM",ModelParameters!$N$21,1)*(P4371*Q4371+R4371),1))</f>
        <v>0.025</v>
      </c>
      <c r="T4371" s="85">
        <f>IF(B4371="",0,$S4371*$K4371)</f>
        <v>0.021316051571726896</v>
      </c>
      <c r="U4371" s="85">
        <f>IF(B4371="",0,IF(OR(H4371=MappingTables!$C$34,H4371=MappingTables!$C$35),T4371,0))</f>
        <v>0</v>
      </c>
      <c r="V4371" s="85">
        <f>IF(ISNA(IF(AND(VLOOKUP(CONCATENATE($D4371,$G4371),CSRFinput!$B:$E,4,0)=0,OR(H4371=MappingTables!$C$34,H4371=MappingTables!$C$35)),1,VLOOKUP(CONCATENATE($D4371,$G4371),CSRFinput!$B:$E,4,0))),0,IF(AND(VLOOKUP(CONCATENATE($D4371,$G4371),CSRFinput!$B:$E,4,0)=0,OR(H4371=MappingTables!$C$34,H4371=MappingTables!$C$35)),1,VLOOKUP(CONCATENATE($D4371,$G4371),CSRFinput!$B:$E,4,0)))</f>
        <v>0.054776304963434752</v>
      </c>
      <c r="W4371" s="85">
        <f>IF(B4371="",0,+$T4371*$V4371)</f>
        <v>0.001167614541509215</v>
      </c>
      <c r="X4371" s="85">
        <f>IF(B4371="",0,IF(OR(H4371=MappingTables!$C$34,H4371=MappingTables!$C$35),W4371,0))</f>
        <v>0</v>
      </c>
    </row>
    <row r="4372" spans="2:24" s="0" customFormat="0" ht="15">
      <c r="B4372" s="69">
        <v>19295240</v>
      </c>
      <c r="C4372" s="70" t="s">
        <v>2021</v>
      </c>
      <c r="D4372" s="70" t="s">
        <v>1</v>
      </c>
      <c r="E4372" s="70" t="s">
        <v>1</v>
      </c>
      <c r="F4372" s="70"/>
      <c r="G4372" s="70" t="s">
        <v>61</v>
      </c>
      <c r="H4372" s="70" t="s">
        <v>178</v>
      </c>
      <c r="I4372" s="70" t="s">
        <v>220</v>
      </c>
      <c r="J4372" s="71">
        <f>IF(OR(I4372=0,I4372=""),"unrated",VLOOKUP(I4372,MappingTables!$B$19:$C$31,2,FALSE))</f>
        <v>1</v>
      </c>
      <c r="K4372" s="72">
        <v>5251.6878062820176</v>
      </c>
      <c r="L4372" s="70">
        <v>1.1954790001009246</v>
      </c>
      <c r="M4372" s="71">
        <f>IF(L4372&lt;1,1,L4372)</f>
        <v>1.1954790001009246</v>
      </c>
      <c r="N4372" s="70" t="s">
        <v>141</v>
      </c>
      <c r="O4372" s="71">
        <f>INDEX(DurClassMapping,MATCH(M4372,MappingTables!$D$4:$D$8,-1),1)</f>
        <v>1</v>
      </c>
      <c r="P4372" s="73">
        <f>IF(M4372=$A$1,1,$M4372-INDEX(MappingTables!$E$4:$E$8,MATCH(O4372,MappingTables!$B$4:$B$8,0)))</f>
        <v>1.1954790001009246</v>
      </c>
      <c r="Q4372" s="71">
        <f>IF(B4372="",0,INDEX(ModelParameters!$D$6:$K$10,MATCH($O4372,ModelParameters!$B$6:$B$10,0),MATCH($J4372,ModelParameters!$D$5:$K$5,0)))</f>
        <v>0.011000000000000002</v>
      </c>
      <c r="R4372" s="71">
        <f>IF(B4372="",0,INDEX(ModelParameters!$D$13:$K$17,MATCH($O4372,ModelParameters!$B$13:$B$17,0),MATCH($J4372,ModelParameters!$D$5:$K$5,0)))</f>
        <v>0</v>
      </c>
      <c r="S4372" s="160">
        <f>IF(B4372="",0,MIN(IF($N4372="Other Bond TM",ModelParameters!$N$21,1)*(P4372*Q4372+R4372),1))</f>
        <v>0.013150269001110172</v>
      </c>
      <c r="T4372" s="85">
        <f>IF(B4372="",0,$S4372*$K4372)</f>
        <v>69.061107362458696</v>
      </c>
      <c r="U4372" s="85">
        <f>IF(B4372="",0,IF(OR(H4372=MappingTables!$C$34,H4372=MappingTables!$C$35),T4372,0))</f>
        <v>0</v>
      </c>
      <c r="V4372" s="85">
        <f>IF(ISNA(IF(AND(VLOOKUP(CONCATENATE($D4372,$G4372),CSRFinput!$B:$E,4,0)=0,OR(H4372=MappingTables!$C$34,H4372=MappingTables!$C$35)),1,VLOOKUP(CONCATENATE($D4372,$G4372),CSRFinput!$B:$E,4,0))),0,IF(AND(VLOOKUP(CONCATENATE($D4372,$G4372),CSRFinput!$B:$E,4,0)=0,OR(H4372=MappingTables!$C$34,H4372=MappingTables!$C$35)),1,VLOOKUP(CONCATENATE($D4372,$G4372),CSRFinput!$B:$E,4,0)))</f>
        <v>0.054776304963434752</v>
      </c>
      <c r="W4372" s="85">
        <f>IF(B4372="",0,+$T4372*$V4372)</f>
        <v>3.7829122779985472</v>
      </c>
      <c r="X4372" s="85">
        <f>IF(B4372="",0,IF(OR(H4372=MappingTables!$C$34,H4372=MappingTables!$C$35),W4372,0))</f>
        <v>0</v>
      </c>
    </row>
    <row r="4373" spans="2:24" s="0" customFormat="0" ht="15">
      <c r="B4373" s="69">
        <v>17346000</v>
      </c>
      <c r="C4373" s="70" t="s">
        <v>2707</v>
      </c>
      <c r="D4373" s="70" t="s">
        <v>1</v>
      </c>
      <c r="E4373" s="70" t="s">
        <v>1</v>
      </c>
      <c r="F4373" s="70"/>
      <c r="G4373" s="70" t="s">
        <v>61</v>
      </c>
      <c r="H4373" s="70" t="s">
        <v>178</v>
      </c>
      <c r="I4373" s="70" t="s">
        <v>179</v>
      </c>
      <c r="J4373" s="71">
        <f>IF(OR(I4373=0,I4373=""),"unrated",VLOOKUP(I4373,MappingTables!$B$19:$C$31,2,FALSE))</f>
        <v>4</v>
      </c>
      <c r="K4373" s="72">
        <v>6351.9102784643</v>
      </c>
      <c r="L4373" s="70">
        <v>0.087675831436773664</v>
      </c>
      <c r="M4373" s="71">
        <f>IF(L4373&lt;1,1,L4373)</f>
        <v>1</v>
      </c>
      <c r="N4373" s="70" t="s">
        <v>141</v>
      </c>
      <c r="O4373" s="71">
        <f>INDEX(DurClassMapping,MATCH(M4373,MappingTables!$D$4:$D$8,-1),1)</f>
        <v>1</v>
      </c>
      <c r="P4373" s="73">
        <f>IF(M4373=$A$1,1,$M4373-INDEX(MappingTables!$E$4:$E$8,MATCH(O4373,MappingTables!$B$4:$B$8,0)))</f>
        <v>1</v>
      </c>
      <c r="Q4373" s="71">
        <f>IF(B4373="",0,INDEX(ModelParameters!$D$6:$K$10,MATCH($O4373,ModelParameters!$B$6:$B$10,0),MATCH($J4373,ModelParameters!$D$5:$K$5,0)))</f>
        <v>0.045</v>
      </c>
      <c r="R4373" s="71">
        <f>IF(B4373="",0,INDEX(ModelParameters!$D$13:$K$17,MATCH($O4373,ModelParameters!$B$13:$B$17,0),MATCH($J4373,ModelParameters!$D$5:$K$5,0)))</f>
        <v>0</v>
      </c>
      <c r="S4373" s="160">
        <f>IF(B4373="",0,MIN(IF($N4373="Other Bond TM",ModelParameters!$N$21,1)*(P4373*Q4373+R4373),1))</f>
        <v>0.045</v>
      </c>
      <c r="T4373" s="85">
        <f>IF(B4373="",0,$S4373*$K4373)</f>
        <v>285.83596253089348</v>
      </c>
      <c r="U4373" s="85">
        <f>IF(B4373="",0,IF(OR(H4373=MappingTables!$C$34,H4373=MappingTables!$C$35),T4373,0))</f>
        <v>0</v>
      </c>
      <c r="V4373" s="85">
        <f>IF(ISNA(IF(AND(VLOOKUP(CONCATENATE($D4373,$G4373),CSRFinput!$B:$E,4,0)=0,OR(H4373=MappingTables!$C$34,H4373=MappingTables!$C$35)),1,VLOOKUP(CONCATENATE($D4373,$G4373),CSRFinput!$B:$E,4,0))),0,IF(AND(VLOOKUP(CONCATENATE($D4373,$G4373),CSRFinput!$B:$E,4,0)=0,OR(H4373=MappingTables!$C$34,H4373=MappingTables!$C$35)),1,VLOOKUP(CONCATENATE($D4373,$G4373),CSRFinput!$B:$E,4,0)))</f>
        <v>0.054776304963434752</v>
      </c>
      <c r="W4373" s="85">
        <f>IF(B4373="",0,+$T4373*$V4373)</f>
        <v>15.65703785310913</v>
      </c>
      <c r="X4373" s="85">
        <f>IF(B4373="",0,IF(OR(H4373=MappingTables!$C$34,H4373=MappingTables!$C$35),W4373,0))</f>
        <v>0</v>
      </c>
    </row>
    <row r="4374" spans="2:24" s="0" customFormat="0" ht="15">
      <c r="B4374" s="69" t="s">
        <v>3023</v>
      </c>
      <c r="C4374" s="70" t="s">
        <v>3024</v>
      </c>
      <c r="D4374" s="70" t="s">
        <v>1</v>
      </c>
      <c r="E4374" s="70" t="s">
        <v>1</v>
      </c>
      <c r="F4374" s="70"/>
      <c r="G4374" s="70" t="s">
        <v>61</v>
      </c>
      <c r="H4374" s="70" t="s">
        <v>178</v>
      </c>
      <c r="I4374" s="70" t="s">
        <v>181</v>
      </c>
      <c r="J4374" s="71">
        <f>IF(OR(I4374=0,I4374=""),"unrated",VLOOKUP(I4374,MappingTables!$B$19:$C$31,2,FALSE))</f>
        <v>3</v>
      </c>
      <c r="K4374" s="72">
        <v>998.82159452256752</v>
      </c>
      <c r="L4374" s="70">
        <v>2.032789312226858</v>
      </c>
      <c r="M4374" s="71">
        <f>IF(L4374&lt;1,1,L4374)</f>
        <v>2.032789312226858</v>
      </c>
      <c r="N4374" s="70" t="s">
        <v>141</v>
      </c>
      <c r="O4374" s="71">
        <f>INDEX(DurClassMapping,MATCH(M4374,MappingTables!$D$4:$D$8,-1),1)</f>
        <v>1</v>
      </c>
      <c r="P4374" s="73">
        <f>IF(M4374=$A$1,1,$M4374-INDEX(MappingTables!$E$4:$E$8,MATCH(O4374,MappingTables!$B$4:$B$8,0)))</f>
        <v>2.032789312226858</v>
      </c>
      <c r="Q4374" s="71">
        <f>IF(B4374="",0,INDEX(ModelParameters!$D$6:$K$10,MATCH($O4374,ModelParameters!$B$6:$B$10,0),MATCH($J4374,ModelParameters!$D$5:$K$5,0)))</f>
        <v>0.025</v>
      </c>
      <c r="R4374" s="71">
        <f>IF(B4374="",0,INDEX(ModelParameters!$D$13:$K$17,MATCH($O4374,ModelParameters!$B$13:$B$17,0),MATCH($J4374,ModelParameters!$D$5:$K$5,0)))</f>
        <v>0</v>
      </c>
      <c r="S4374" s="160">
        <f>IF(B4374="",0,MIN(IF($N4374="Other Bond TM",ModelParameters!$N$21,1)*(P4374*Q4374+R4374),1))</f>
        <v>0.050819732805671456</v>
      </c>
      <c r="T4374" s="85">
        <f>IF(B4374="",0,$S4374*$K4374)</f>
        <v>50.759846554171592</v>
      </c>
      <c r="U4374" s="85">
        <f>IF(B4374="",0,IF(OR(H4374=MappingTables!$C$34,H4374=MappingTables!$C$35),T4374,0))</f>
        <v>0</v>
      </c>
      <c r="V4374" s="85">
        <f>IF(ISNA(IF(AND(VLOOKUP(CONCATENATE($D4374,$G4374),CSRFinput!$B:$E,4,0)=0,OR(H4374=MappingTables!$C$34,H4374=MappingTables!$C$35)),1,VLOOKUP(CONCATENATE($D4374,$G4374),CSRFinput!$B:$E,4,0))),0,IF(AND(VLOOKUP(CONCATENATE($D4374,$G4374),CSRFinput!$B:$E,4,0)=0,OR(H4374=MappingTables!$C$34,H4374=MappingTables!$C$35)),1,VLOOKUP(CONCATENATE($D4374,$G4374),CSRFinput!$B:$E,4,0)))</f>
        <v>0.054776304963434752</v>
      </c>
      <c r="W4374" s="85">
        <f>IF(B4374="",0,+$T4374*$V4374)</f>
        <v>2.780436834748456</v>
      </c>
      <c r="X4374" s="85">
        <f>IF(B4374="",0,IF(OR(H4374=MappingTables!$C$34,H4374=MappingTables!$C$35),W4374,0))</f>
        <v>0</v>
      </c>
    </row>
    <row r="4375" spans="2:24" s="0" customFormat="0" ht="15">
      <c r="B4375" s="69">
        <v>12828176</v>
      </c>
      <c r="C4375" s="70" t="s">
        <v>3010</v>
      </c>
      <c r="D4375" s="70" t="s">
        <v>1</v>
      </c>
      <c r="E4375" s="70" t="s">
        <v>1</v>
      </c>
      <c r="F4375" s="70"/>
      <c r="G4375" s="70" t="s">
        <v>61</v>
      </c>
      <c r="H4375" s="70" t="s">
        <v>178</v>
      </c>
      <c r="I4375" s="70" t="s">
        <v>181</v>
      </c>
      <c r="J4375" s="71">
        <f>IF(OR(I4375=0,I4375=""),"unrated",VLOOKUP(I4375,MappingTables!$B$19:$C$31,2,FALSE))</f>
        <v>3</v>
      </c>
      <c r="K4375" s="72">
        <v>2786.1506814040648</v>
      </c>
      <c r="L4375" s="70">
        <v>5.318409401141704</v>
      </c>
      <c r="M4375" s="71">
        <f>IF(L4375&lt;1,1,L4375)</f>
        <v>5.318409401141704</v>
      </c>
      <c r="N4375" s="70" t="s">
        <v>141</v>
      </c>
      <c r="O4375" s="71">
        <f>INDEX(DurClassMapping,MATCH(M4375,MappingTables!$D$4:$D$8,-1),1)</f>
        <v>2</v>
      </c>
      <c r="P4375" s="73">
        <f>IF(M4375=$A$1,1,$M4375-INDEX(MappingTables!$E$4:$E$8,MATCH(O4375,MappingTables!$B$4:$B$8,0)))</f>
        <v>0.3184094011417038</v>
      </c>
      <c r="Q4375" s="71">
        <f>IF(B4375="",0,INDEX(ModelParameters!$D$6:$K$10,MATCH($O4375,ModelParameters!$B$6:$B$10,0),MATCH($J4375,ModelParameters!$D$5:$K$5,0)))</f>
        <v>0.015</v>
      </c>
      <c r="R4375" s="71">
        <f>IF(B4375="",0,INDEX(ModelParameters!$D$13:$K$17,MATCH($O4375,ModelParameters!$B$13:$B$17,0),MATCH($J4375,ModelParameters!$D$5:$K$5,0)))</f>
        <v>0.125</v>
      </c>
      <c r="S4375" s="160">
        <f>IF(B4375="",0,MIN(IF($N4375="Other Bond TM",ModelParameters!$N$21,1)*(P4375*Q4375+R4375),1))</f>
        <v>0.12977614101712556</v>
      </c>
      <c r="T4375" s="85">
        <f>IF(B4375="",0,$S4375*$K4375)</f>
        <v>361.5758837248544</v>
      </c>
      <c r="U4375" s="85">
        <f>IF(B4375="",0,IF(OR(H4375=MappingTables!$C$34,H4375=MappingTables!$C$35),T4375,0))</f>
        <v>0</v>
      </c>
      <c r="V4375" s="85">
        <f>IF(ISNA(IF(AND(VLOOKUP(CONCATENATE($D4375,$G4375),CSRFinput!$B:$E,4,0)=0,OR(H4375=MappingTables!$C$34,H4375=MappingTables!$C$35)),1,VLOOKUP(CONCATENATE($D4375,$G4375),CSRFinput!$B:$E,4,0))),0,IF(AND(VLOOKUP(CONCATENATE($D4375,$G4375),CSRFinput!$B:$E,4,0)=0,OR(H4375=MappingTables!$C$34,H4375=MappingTables!$C$35)),1,VLOOKUP(CONCATENATE($D4375,$G4375),CSRFinput!$B:$E,4,0)))</f>
        <v>0.054776304963434752</v>
      </c>
      <c r="W4375" s="85">
        <f>IF(B4375="",0,+$T4375*$V4375)</f>
        <v>19.805790874336052</v>
      </c>
      <c r="X4375" s="85">
        <f>IF(B4375="",0,IF(OR(H4375=MappingTables!$C$34,H4375=MappingTables!$C$35),W4375,0))</f>
        <v>0</v>
      </c>
    </row>
    <row r="4376" spans="2:24" s="0" customFormat="0" ht="15">
      <c r="B4376" s="69" t="s">
        <v>2217</v>
      </c>
      <c r="C4376" s="70" t="s">
        <v>2218</v>
      </c>
      <c r="D4376" s="70" t="s">
        <v>1</v>
      </c>
      <c r="E4376" s="70" t="s">
        <v>1</v>
      </c>
      <c r="F4376" s="70"/>
      <c r="G4376" s="70" t="s">
        <v>61</v>
      </c>
      <c r="H4376" s="70" t="s">
        <v>178</v>
      </c>
      <c r="I4376" s="70" t="s">
        <v>198</v>
      </c>
      <c r="J4376" s="71" t="str">
        <f>IF(OR(I4376=0,I4376=""),"unrated",VLOOKUP(I4376,MappingTables!$B$19:$C$31,2,FALSE))</f>
        <v>unrated</v>
      </c>
      <c r="K4376" s="72">
        <v>207.78754431580008</v>
      </c>
      <c r="L4376" s="70">
        <v>5.8798407568579528</v>
      </c>
      <c r="M4376" s="71">
        <f>IF(L4376&lt;1,1,L4376)</f>
        <v>5.8798407568579528</v>
      </c>
      <c r="N4376" s="70" t="s">
        <v>141</v>
      </c>
      <c r="O4376" s="71">
        <f>INDEX(DurClassMapping,MATCH(M4376,MappingTables!$D$4:$D$8,-1),1)</f>
        <v>2</v>
      </c>
      <c r="P4376" s="73">
        <f>IF(M4376=$A$1,1,$M4376-INDEX(MappingTables!$E$4:$E$8,MATCH(O4376,MappingTables!$B$4:$B$8,0)))</f>
        <v>0.87984075685795296</v>
      </c>
      <c r="Q4376" s="71">
        <f>IF(B4376="",0,INDEX(ModelParameters!$D$6:$K$10,MATCH($O4376,ModelParameters!$B$6:$B$10,0),MATCH($J4376,ModelParameters!$D$5:$K$5,0)))</f>
        <v>0.017000000000000002</v>
      </c>
      <c r="R4376" s="71">
        <f>IF(B4376="",0,INDEX(ModelParameters!$D$13:$K$17,MATCH($O4376,ModelParameters!$B$13:$B$17,0),MATCH($J4376,ModelParameters!$D$5:$K$5,0)))</f>
        <v>0.15</v>
      </c>
      <c r="S4376" s="160">
        <f>IF(B4376="",0,MIN(IF($N4376="Other Bond TM",ModelParameters!$N$21,1)*(P4376*Q4376+R4376),1))</f>
        <v>0.1649572928665852</v>
      </c>
      <c r="T4376" s="85">
        <f>IF(B4376="",0,$S4376*$K4376)</f>
        <v>34.27607080172998</v>
      </c>
      <c r="U4376" s="85">
        <f>IF(B4376="",0,IF(OR(H4376=MappingTables!$C$34,H4376=MappingTables!$C$35),T4376,0))</f>
        <v>0</v>
      </c>
      <c r="V4376" s="85">
        <f>IF(ISNA(IF(AND(VLOOKUP(CONCATENATE($D4376,$G4376),CSRFinput!$B:$E,4,0)=0,OR(H4376=MappingTables!$C$34,H4376=MappingTables!$C$35)),1,VLOOKUP(CONCATENATE($D4376,$G4376),CSRFinput!$B:$E,4,0))),0,IF(AND(VLOOKUP(CONCATENATE($D4376,$G4376),CSRFinput!$B:$E,4,0)=0,OR(H4376=MappingTables!$C$34,H4376=MappingTables!$C$35)),1,VLOOKUP(CONCATENATE($D4376,$G4376),CSRFinput!$B:$E,4,0)))</f>
        <v>0.054776304963434752</v>
      </c>
      <c r="W4376" s="85">
        <f>IF(B4376="",0,+$T4376*$V4376)</f>
        <v>1.8775165071838428</v>
      </c>
      <c r="X4376" s="85">
        <f>IF(B4376="",0,IF(OR(H4376=MappingTables!$C$34,H4376=MappingTables!$C$35),W4376,0))</f>
        <v>0</v>
      </c>
    </row>
    <row r="4377" spans="2:24" s="0" customFormat="0" ht="15">
      <c r="B4377" s="69">
        <v>15242247</v>
      </c>
      <c r="C4377" s="70" t="s">
        <v>2469</v>
      </c>
      <c r="D4377" s="70" t="s">
        <v>1</v>
      </c>
      <c r="E4377" s="70" t="s">
        <v>1</v>
      </c>
      <c r="F4377" s="70"/>
      <c r="G4377" s="70" t="s">
        <v>61</v>
      </c>
      <c r="H4377" s="70" t="s">
        <v>178</v>
      </c>
      <c r="I4377" s="70" t="s">
        <v>179</v>
      </c>
      <c r="J4377" s="71">
        <f>IF(OR(I4377=0,I4377=""),"unrated",VLOOKUP(I4377,MappingTables!$B$19:$C$31,2,FALSE))</f>
        <v>4</v>
      </c>
      <c r="K4377" s="72">
        <v>4774.519424547448</v>
      </c>
      <c r="L4377" s="70">
        <v>1.8371904913407556</v>
      </c>
      <c r="M4377" s="71">
        <f>IF(L4377&lt;1,1,L4377)</f>
        <v>1.8371904913407556</v>
      </c>
      <c r="N4377" s="70" t="s">
        <v>141</v>
      </c>
      <c r="O4377" s="71">
        <f>INDEX(DurClassMapping,MATCH(M4377,MappingTables!$D$4:$D$8,-1),1)</f>
        <v>1</v>
      </c>
      <c r="P4377" s="73">
        <f>IF(M4377=$A$1,1,$M4377-INDEX(MappingTables!$E$4:$E$8,MATCH(O4377,MappingTables!$B$4:$B$8,0)))</f>
        <v>1.8371904913407556</v>
      </c>
      <c r="Q4377" s="71">
        <f>IF(B4377="",0,INDEX(ModelParameters!$D$6:$K$10,MATCH($O4377,ModelParameters!$B$6:$B$10,0),MATCH($J4377,ModelParameters!$D$5:$K$5,0)))</f>
        <v>0.045</v>
      </c>
      <c r="R4377" s="71">
        <f>IF(B4377="",0,INDEX(ModelParameters!$D$13:$K$17,MATCH($O4377,ModelParameters!$B$13:$B$17,0),MATCH($J4377,ModelParameters!$D$5:$K$5,0)))</f>
        <v>0</v>
      </c>
      <c r="S4377" s="160">
        <f>IF(B4377="",0,MIN(IF($N4377="Other Bond TM",ModelParameters!$N$21,1)*(P4377*Q4377+R4377),1))</f>
        <v>0.082673572110334</v>
      </c>
      <c r="T4377" s="85">
        <f>IF(B4377="",0,$S4377*$K4377)</f>
        <v>394.72657593751384</v>
      </c>
      <c r="U4377" s="85">
        <f>IF(B4377="",0,IF(OR(H4377=MappingTables!$C$34,H4377=MappingTables!$C$35),T4377,0))</f>
        <v>0</v>
      </c>
      <c r="V4377" s="85">
        <f>IF(ISNA(IF(AND(VLOOKUP(CONCATENATE($D4377,$G4377),CSRFinput!$B:$E,4,0)=0,OR(H4377=MappingTables!$C$34,H4377=MappingTables!$C$35)),1,VLOOKUP(CONCATENATE($D4377,$G4377),CSRFinput!$B:$E,4,0))),0,IF(AND(VLOOKUP(CONCATENATE($D4377,$G4377),CSRFinput!$B:$E,4,0)=0,OR(H4377=MappingTables!$C$34,H4377=MappingTables!$C$35)),1,VLOOKUP(CONCATENATE($D4377,$G4377),CSRFinput!$B:$E,4,0)))</f>
        <v>0.054776304963434752</v>
      </c>
      <c r="W4377" s="85">
        <f>IF(B4377="",0,+$T4377*$V4377)</f>
        <v>21.621663300725644</v>
      </c>
      <c r="X4377" s="85">
        <f>IF(B4377="",0,IF(OR(H4377=MappingTables!$C$34,H4377=MappingTables!$C$35),W4377,0))</f>
        <v>0</v>
      </c>
    </row>
    <row r="4378" spans="2:24" s="0" customFormat="0" ht="15">
      <c r="B4378" s="69">
        <v>14230544</v>
      </c>
      <c r="C4378" s="70" t="s">
        <v>1448</v>
      </c>
      <c r="D4378" s="70" t="s">
        <v>1</v>
      </c>
      <c r="E4378" s="70" t="s">
        <v>1</v>
      </c>
      <c r="F4378" s="70"/>
      <c r="G4378" s="70" t="s">
        <v>61</v>
      </c>
      <c r="H4378" s="70" t="s">
        <v>178</v>
      </c>
      <c r="I4378" s="70" t="s">
        <v>184</v>
      </c>
      <c r="J4378" s="71">
        <f>IF(OR(I4378=0,I4378=""),"unrated",VLOOKUP(I4378,MappingTables!$B$19:$C$31,2,FALSE))</f>
        <v>5</v>
      </c>
      <c r="K4378" s="72">
        <v>6754.8819506844344</v>
      </c>
      <c r="L4378" s="70">
        <v>6.3534669454399808</v>
      </c>
      <c r="M4378" s="71">
        <f>IF(L4378&lt;1,1,L4378)</f>
        <v>6.3534669454399808</v>
      </c>
      <c r="N4378" s="70" t="s">
        <v>141</v>
      </c>
      <c r="O4378" s="71">
        <f>INDEX(DurClassMapping,MATCH(M4378,MappingTables!$D$4:$D$8,-1),1)</f>
        <v>2</v>
      </c>
      <c r="P4378" s="73">
        <f>IF(M4378=$A$1,1,$M4378-INDEX(MappingTables!$E$4:$E$8,MATCH(O4378,MappingTables!$B$4:$B$8,0)))</f>
        <v>1.3534669454399806</v>
      </c>
      <c r="Q4378" s="71">
        <f>IF(B4378="",0,INDEX(ModelParameters!$D$6:$K$10,MATCH($O4378,ModelParameters!$B$6:$B$10,0),MATCH($J4378,ModelParameters!$D$5:$K$5,0)))</f>
        <v>0.042</v>
      </c>
      <c r="R4378" s="71">
        <f>IF(B4378="",0,INDEX(ModelParameters!$D$13:$K$17,MATCH($O4378,ModelParameters!$B$13:$B$17,0),MATCH($J4378,ModelParameters!$D$5:$K$5,0)))</f>
        <v>0.375</v>
      </c>
      <c r="S4378" s="160">
        <f>IF(B4378="",0,MIN(IF($N4378="Other Bond TM",ModelParameters!$N$21,1)*(P4378*Q4378+R4378),1))</f>
        <v>0.4318456117084792</v>
      </c>
      <c r="T4378" s="85">
        <f>IF(B4378="",0,$S4378*$K4378)</f>
        <v>2917.0661280118848</v>
      </c>
      <c r="U4378" s="85">
        <f>IF(B4378="",0,IF(OR(H4378=MappingTables!$C$34,H4378=MappingTables!$C$35),T4378,0))</f>
        <v>0</v>
      </c>
      <c r="V4378" s="85">
        <f>IF(ISNA(IF(AND(VLOOKUP(CONCATENATE($D4378,$G4378),CSRFinput!$B:$E,4,0)=0,OR(H4378=MappingTables!$C$34,H4378=MappingTables!$C$35)),1,VLOOKUP(CONCATENATE($D4378,$G4378),CSRFinput!$B:$E,4,0))),0,IF(AND(VLOOKUP(CONCATENATE($D4378,$G4378),CSRFinput!$B:$E,4,0)=0,OR(H4378=MappingTables!$C$34,H4378=MappingTables!$C$35)),1,VLOOKUP(CONCATENATE($D4378,$G4378),CSRFinput!$B:$E,4,0)))</f>
        <v>0.054776304963434752</v>
      </c>
      <c r="W4378" s="85">
        <f>IF(B4378="",0,+$T4378*$V4378)</f>
        <v>159.7861038264848</v>
      </c>
      <c r="X4378" s="85">
        <f>IF(B4378="",0,IF(OR(H4378=MappingTables!$C$34,H4378=MappingTables!$C$35),W4378,0))</f>
        <v>0</v>
      </c>
    </row>
    <row r="4379" spans="2:24" s="0" customFormat="0" ht="15">
      <c r="B4379" s="69">
        <v>20525960</v>
      </c>
      <c r="C4379" s="70" t="s">
        <v>3025</v>
      </c>
      <c r="D4379" s="70" t="s">
        <v>1</v>
      </c>
      <c r="E4379" s="70" t="s">
        <v>1</v>
      </c>
      <c r="F4379" s="70"/>
      <c r="G4379" s="70" t="s">
        <v>61</v>
      </c>
      <c r="H4379" s="70" t="s">
        <v>178</v>
      </c>
      <c r="I4379" s="70" t="s">
        <v>181</v>
      </c>
      <c r="J4379" s="71">
        <f>IF(OR(I4379=0,I4379=""),"unrated",VLOOKUP(I4379,MappingTables!$B$19:$C$31,2,FALSE))</f>
        <v>3</v>
      </c>
      <c r="K4379" s="72">
        <v>19034.593484935636</v>
      </c>
      <c r="L4379" s="70">
        <v>3.1835705236264956</v>
      </c>
      <c r="M4379" s="71">
        <f>IF(L4379&lt;1,1,L4379)</f>
        <v>3.1835705236264956</v>
      </c>
      <c r="N4379" s="70" t="s">
        <v>141</v>
      </c>
      <c r="O4379" s="71">
        <f>INDEX(DurClassMapping,MATCH(M4379,MappingTables!$D$4:$D$8,-1),1)</f>
        <v>1</v>
      </c>
      <c r="P4379" s="73">
        <f>IF(M4379=$A$1,1,$M4379-INDEX(MappingTables!$E$4:$E$8,MATCH(O4379,MappingTables!$B$4:$B$8,0)))</f>
        <v>3.1835705236264956</v>
      </c>
      <c r="Q4379" s="71">
        <f>IF(B4379="",0,INDEX(ModelParameters!$D$6:$K$10,MATCH($O4379,ModelParameters!$B$6:$B$10,0),MATCH($J4379,ModelParameters!$D$5:$K$5,0)))</f>
        <v>0.025</v>
      </c>
      <c r="R4379" s="71">
        <f>IF(B4379="",0,INDEX(ModelParameters!$D$13:$K$17,MATCH($O4379,ModelParameters!$B$13:$B$17,0),MATCH($J4379,ModelParameters!$D$5:$K$5,0)))</f>
        <v>0</v>
      </c>
      <c r="S4379" s="160">
        <f>IF(B4379="",0,MIN(IF($N4379="Other Bond TM",ModelParameters!$N$21,1)*(P4379*Q4379+R4379),1))</f>
        <v>0.079589263090662384</v>
      </c>
      <c r="T4379" s="85">
        <f>IF(B4379="",0,$S4379*$K4379)</f>
        <v>1514.9492686963504</v>
      </c>
      <c r="U4379" s="85">
        <f>IF(B4379="",0,IF(OR(H4379=MappingTables!$C$34,H4379=MappingTables!$C$35),T4379,0))</f>
        <v>0</v>
      </c>
      <c r="V4379" s="85">
        <f>IF(ISNA(IF(AND(VLOOKUP(CONCATENATE($D4379,$G4379),CSRFinput!$B:$E,4,0)=0,OR(H4379=MappingTables!$C$34,H4379=MappingTables!$C$35)),1,VLOOKUP(CONCATENATE($D4379,$G4379),CSRFinput!$B:$E,4,0))),0,IF(AND(VLOOKUP(CONCATENATE($D4379,$G4379),CSRFinput!$B:$E,4,0)=0,OR(H4379=MappingTables!$C$34,H4379=MappingTables!$C$35)),1,VLOOKUP(CONCATENATE($D4379,$G4379),CSRFinput!$B:$E,4,0)))</f>
        <v>0.054776304963434752</v>
      </c>
      <c r="W4379" s="85">
        <f>IF(B4379="",0,+$T4379*$V4379)</f>
        <v>82.983323146243744</v>
      </c>
      <c r="X4379" s="85">
        <f>IF(B4379="",0,IF(OR(H4379=MappingTables!$C$34,H4379=MappingTables!$C$35),W4379,0))</f>
        <v>0</v>
      </c>
    </row>
    <row r="4380" spans="2:24" s="0" customFormat="0" ht="15">
      <c r="B4380" s="69">
        <v>22301292</v>
      </c>
      <c r="C4380" s="70" t="s">
        <v>1933</v>
      </c>
      <c r="D4380" s="70" t="s">
        <v>1</v>
      </c>
      <c r="E4380" s="70" t="s">
        <v>1</v>
      </c>
      <c r="F4380" s="70"/>
      <c r="G4380" s="70" t="s">
        <v>61</v>
      </c>
      <c r="H4380" s="70" t="s">
        <v>178</v>
      </c>
      <c r="I4380" s="70" t="s">
        <v>181</v>
      </c>
      <c r="J4380" s="71">
        <f>IF(OR(I4380=0,I4380=""),"unrated",VLOOKUP(I4380,MappingTables!$B$19:$C$31,2,FALSE))</f>
        <v>3</v>
      </c>
      <c r="K4380" s="72">
        <v>507.45998145819856</v>
      </c>
      <c r="L4380" s="70">
        <v>1.1423534861883498</v>
      </c>
      <c r="M4380" s="71">
        <f>IF(L4380&lt;1,1,L4380)</f>
        <v>1.1423534861883498</v>
      </c>
      <c r="N4380" s="70" t="s">
        <v>141</v>
      </c>
      <c r="O4380" s="71">
        <f>INDEX(DurClassMapping,MATCH(M4380,MappingTables!$D$4:$D$8,-1),1)</f>
        <v>1</v>
      </c>
      <c r="P4380" s="73">
        <f>IF(M4380=$A$1,1,$M4380-INDEX(MappingTables!$E$4:$E$8,MATCH(O4380,MappingTables!$B$4:$B$8,0)))</f>
        <v>1.1423534861883498</v>
      </c>
      <c r="Q4380" s="71">
        <f>IF(B4380="",0,INDEX(ModelParameters!$D$6:$K$10,MATCH($O4380,ModelParameters!$B$6:$B$10,0),MATCH($J4380,ModelParameters!$D$5:$K$5,0)))</f>
        <v>0.025</v>
      </c>
      <c r="R4380" s="71">
        <f>IF(B4380="",0,INDEX(ModelParameters!$D$13:$K$17,MATCH($O4380,ModelParameters!$B$13:$B$17,0),MATCH($J4380,ModelParameters!$D$5:$K$5,0)))</f>
        <v>0</v>
      </c>
      <c r="S4380" s="160">
        <f>IF(B4380="",0,MIN(IF($N4380="Other Bond TM",ModelParameters!$N$21,1)*(P4380*Q4380+R4380),1))</f>
        <v>0.028558837154708744</v>
      </c>
      <c r="T4380" s="85">
        <f>IF(B4380="",0,$S4380*$K4380)</f>
        <v>14.492466972996212</v>
      </c>
      <c r="U4380" s="85">
        <f>IF(B4380="",0,IF(OR(H4380=MappingTables!$C$34,H4380=MappingTables!$C$35),T4380,0))</f>
        <v>0</v>
      </c>
      <c r="V4380" s="85">
        <f>IF(ISNA(IF(AND(VLOOKUP(CONCATENATE($D4380,$G4380),CSRFinput!$B:$E,4,0)=0,OR(H4380=MappingTables!$C$34,H4380=MappingTables!$C$35)),1,VLOOKUP(CONCATENATE($D4380,$G4380),CSRFinput!$B:$E,4,0))),0,IF(AND(VLOOKUP(CONCATENATE($D4380,$G4380),CSRFinput!$B:$E,4,0)=0,OR(H4380=MappingTables!$C$34,H4380=MappingTables!$C$35)),1,VLOOKUP(CONCATENATE($D4380,$G4380),CSRFinput!$B:$E,4,0)))</f>
        <v>0.054776304963434752</v>
      </c>
      <c r="W4380" s="85">
        <f>IF(B4380="",0,+$T4380*$V4380)</f>
        <v>0.79384379058534656</v>
      </c>
      <c r="X4380" s="85">
        <f>IF(B4380="",0,IF(OR(H4380=MappingTables!$C$34,H4380=MappingTables!$C$35),W4380,0))</f>
        <v>0</v>
      </c>
    </row>
    <row r="4381" spans="2:24" s="0" customFormat="0" ht="15">
      <c r="B4381" s="69">
        <v>17252299</v>
      </c>
      <c r="C4381" s="70" t="s">
        <v>1670</v>
      </c>
      <c r="D4381" s="70" t="s">
        <v>1</v>
      </c>
      <c r="E4381" s="70" t="s">
        <v>1</v>
      </c>
      <c r="F4381" s="70"/>
      <c r="G4381" s="70" t="s">
        <v>61</v>
      </c>
      <c r="H4381" s="70" t="s">
        <v>178</v>
      </c>
      <c r="I4381" s="70" t="s">
        <v>179</v>
      </c>
      <c r="J4381" s="71">
        <f>IF(OR(I4381=0,I4381=""),"unrated",VLOOKUP(I4381,MappingTables!$B$19:$C$31,2,FALSE))</f>
        <v>4</v>
      </c>
      <c r="K4381" s="72">
        <v>17557.04377007327</v>
      </c>
      <c r="L4381" s="70">
        <v>5.8824694904335288</v>
      </c>
      <c r="M4381" s="71">
        <f>IF(L4381&lt;1,1,L4381)</f>
        <v>5.8824694904335288</v>
      </c>
      <c r="N4381" s="70" t="s">
        <v>141</v>
      </c>
      <c r="O4381" s="71">
        <f>INDEX(DurClassMapping,MATCH(M4381,MappingTables!$D$4:$D$8,-1),1)</f>
        <v>2</v>
      </c>
      <c r="P4381" s="73">
        <f>IF(M4381=$A$1,1,$M4381-INDEX(MappingTables!$E$4:$E$8,MATCH(O4381,MappingTables!$B$4:$B$8,0)))</f>
        <v>0.8824694904335288</v>
      </c>
      <c r="Q4381" s="71">
        <f>IF(B4381="",0,INDEX(ModelParameters!$D$6:$K$10,MATCH($O4381,ModelParameters!$B$6:$B$10,0),MATCH($J4381,ModelParameters!$D$5:$K$5,0)))</f>
        <v>0.025</v>
      </c>
      <c r="R4381" s="71">
        <f>IF(B4381="",0,INDEX(ModelParameters!$D$13:$K$17,MATCH($O4381,ModelParameters!$B$13:$B$17,0),MATCH($J4381,ModelParameters!$D$5:$K$5,0)))</f>
        <v>0.225</v>
      </c>
      <c r="S4381" s="160">
        <f>IF(B4381="",0,MIN(IF($N4381="Other Bond TM",ModelParameters!$N$21,1)*(P4381*Q4381+R4381),1))</f>
        <v>0.24706173726083824</v>
      </c>
      <c r="T4381" s="85">
        <f>IF(B4381="",0,$S4381*$K4381)</f>
        <v>4337.6737349988792</v>
      </c>
      <c r="U4381" s="85">
        <f>IF(B4381="",0,IF(OR(H4381=MappingTables!$C$34,H4381=MappingTables!$C$35),T4381,0))</f>
        <v>0</v>
      </c>
      <c r="V4381" s="85">
        <f>IF(ISNA(IF(AND(VLOOKUP(CONCATENATE($D4381,$G4381),CSRFinput!$B:$E,4,0)=0,OR(H4381=MappingTables!$C$34,H4381=MappingTables!$C$35)),1,VLOOKUP(CONCATENATE($D4381,$G4381),CSRFinput!$B:$E,4,0))),0,IF(AND(VLOOKUP(CONCATENATE($D4381,$G4381),CSRFinput!$B:$E,4,0)=0,OR(H4381=MappingTables!$C$34,H4381=MappingTables!$C$35)),1,VLOOKUP(CONCATENATE($D4381,$G4381),CSRFinput!$B:$E,4,0)))</f>
        <v>0.054776304963434752</v>
      </c>
      <c r="W4381" s="85">
        <f>IF(B4381="",0,+$T4381*$V4381)</f>
        <v>237.60173934017964</v>
      </c>
      <c r="X4381" s="85">
        <f>IF(B4381="",0,IF(OR(H4381=MappingTables!$C$34,H4381=MappingTables!$C$35),W4381,0))</f>
        <v>0</v>
      </c>
    </row>
    <row r="4382" spans="2:24" s="0" customFormat="0" ht="15">
      <c r="B4382" s="69" t="s">
        <v>2447</v>
      </c>
      <c r="C4382" s="70" t="s">
        <v>2448</v>
      </c>
      <c r="D4382" s="70" t="s">
        <v>1</v>
      </c>
      <c r="E4382" s="70" t="s">
        <v>1</v>
      </c>
      <c r="F4382" s="70"/>
      <c r="G4382" s="70" t="s">
        <v>61</v>
      </c>
      <c r="H4382" s="70" t="s">
        <v>178</v>
      </c>
      <c r="I4382" s="70" t="s">
        <v>181</v>
      </c>
      <c r="J4382" s="71">
        <f>IF(OR(I4382=0,I4382=""),"unrated",VLOOKUP(I4382,MappingTables!$B$19:$C$31,2,FALSE))</f>
        <v>3</v>
      </c>
      <c r="K4382" s="72">
        <v>13020.770768048892</v>
      </c>
      <c r="L4382" s="70">
        <v>0.93160063323902</v>
      </c>
      <c r="M4382" s="71">
        <f>IF(L4382&lt;1,1,L4382)</f>
        <v>1</v>
      </c>
      <c r="N4382" s="70" t="s">
        <v>141</v>
      </c>
      <c r="O4382" s="71">
        <f>INDEX(DurClassMapping,MATCH(M4382,MappingTables!$D$4:$D$8,-1),1)</f>
        <v>1</v>
      </c>
      <c r="P4382" s="73">
        <f>IF(M4382=$A$1,1,$M4382-INDEX(MappingTables!$E$4:$E$8,MATCH(O4382,MappingTables!$B$4:$B$8,0)))</f>
        <v>1</v>
      </c>
      <c r="Q4382" s="71">
        <f>IF(B4382="",0,INDEX(ModelParameters!$D$6:$K$10,MATCH($O4382,ModelParameters!$B$6:$B$10,0),MATCH($J4382,ModelParameters!$D$5:$K$5,0)))</f>
        <v>0.025</v>
      </c>
      <c r="R4382" s="71">
        <f>IF(B4382="",0,INDEX(ModelParameters!$D$13:$K$17,MATCH($O4382,ModelParameters!$B$13:$B$17,0),MATCH($J4382,ModelParameters!$D$5:$K$5,0)))</f>
        <v>0</v>
      </c>
      <c r="S4382" s="160">
        <f>IF(B4382="",0,MIN(IF($N4382="Other Bond TM",ModelParameters!$N$21,1)*(P4382*Q4382+R4382),1))</f>
        <v>0.025</v>
      </c>
      <c r="T4382" s="85">
        <f>IF(B4382="",0,$S4382*$K4382)</f>
        <v>325.51926920122232</v>
      </c>
      <c r="U4382" s="85">
        <f>IF(B4382="",0,IF(OR(H4382=MappingTables!$C$34,H4382=MappingTables!$C$35),T4382,0))</f>
        <v>0</v>
      </c>
      <c r="V4382" s="85">
        <f>IF(ISNA(IF(AND(VLOOKUP(CONCATENATE($D4382,$G4382),CSRFinput!$B:$E,4,0)=0,OR(H4382=MappingTables!$C$34,H4382=MappingTables!$C$35)),1,VLOOKUP(CONCATENATE($D4382,$G4382),CSRFinput!$B:$E,4,0))),0,IF(AND(VLOOKUP(CONCATENATE($D4382,$G4382),CSRFinput!$B:$E,4,0)=0,OR(H4382=MappingTables!$C$34,H4382=MappingTables!$C$35)),1,VLOOKUP(CONCATENATE($D4382,$G4382),CSRFinput!$B:$E,4,0)))</f>
        <v>0.054776304963434752</v>
      </c>
      <c r="W4382" s="85">
        <f>IF(B4382="",0,+$T4382*$V4382)</f>
        <v>17.830742761240568</v>
      </c>
      <c r="X4382" s="85">
        <f>IF(B4382="",0,IF(OR(H4382=MappingTables!$C$34,H4382=MappingTables!$C$35),W4382,0))</f>
        <v>0</v>
      </c>
    </row>
    <row r="4383" spans="2:24" s="0" customFormat="0" ht="15">
      <c r="B4383" s="69">
        <v>18085385</v>
      </c>
      <c r="C4383" s="70" t="s">
        <v>2512</v>
      </c>
      <c r="D4383" s="70" t="s">
        <v>1</v>
      </c>
      <c r="E4383" s="70" t="s">
        <v>1</v>
      </c>
      <c r="F4383" s="70"/>
      <c r="G4383" s="70" t="s">
        <v>61</v>
      </c>
      <c r="H4383" s="70" t="s">
        <v>178</v>
      </c>
      <c r="I4383" s="70" t="s">
        <v>181</v>
      </c>
      <c r="J4383" s="71">
        <f>IF(OR(I4383=0,I4383=""),"unrated",VLOOKUP(I4383,MappingTables!$B$19:$C$31,2,FALSE))</f>
        <v>3</v>
      </c>
      <c r="K4383" s="72">
        <v>4030.5318054952256</v>
      </c>
      <c r="L4383" s="70">
        <v>6.5514903410160296</v>
      </c>
      <c r="M4383" s="71">
        <f>IF(L4383&lt;1,1,L4383)</f>
        <v>6.5514903410160296</v>
      </c>
      <c r="N4383" s="70" t="s">
        <v>141</v>
      </c>
      <c r="O4383" s="71">
        <f>INDEX(DurClassMapping,MATCH(M4383,MappingTables!$D$4:$D$8,-1),1)</f>
        <v>2</v>
      </c>
      <c r="P4383" s="73">
        <f>IF(M4383=$A$1,1,$M4383-INDEX(MappingTables!$E$4:$E$8,MATCH(O4383,MappingTables!$B$4:$B$8,0)))</f>
        <v>1.5514903410160298</v>
      </c>
      <c r="Q4383" s="71">
        <f>IF(B4383="",0,INDEX(ModelParameters!$D$6:$K$10,MATCH($O4383,ModelParameters!$B$6:$B$10,0),MATCH($J4383,ModelParameters!$D$5:$K$5,0)))</f>
        <v>0.015</v>
      </c>
      <c r="R4383" s="71">
        <f>IF(B4383="",0,INDEX(ModelParameters!$D$13:$K$17,MATCH($O4383,ModelParameters!$B$13:$B$17,0),MATCH($J4383,ModelParameters!$D$5:$K$5,0)))</f>
        <v>0.125</v>
      </c>
      <c r="S4383" s="160">
        <f>IF(B4383="",0,MIN(IF($N4383="Other Bond TM",ModelParameters!$N$21,1)*(P4383*Q4383+R4383),1))</f>
        <v>0.14827235511524046</v>
      </c>
      <c r="T4383" s="85">
        <f>IF(B4383="",0,$S4383*$K4383)</f>
        <v>597.61644316765936</v>
      </c>
      <c r="U4383" s="85">
        <f>IF(B4383="",0,IF(OR(H4383=MappingTables!$C$34,H4383=MappingTables!$C$35),T4383,0))</f>
        <v>0</v>
      </c>
      <c r="V4383" s="85">
        <f>IF(ISNA(IF(AND(VLOOKUP(CONCATENATE($D4383,$G4383),CSRFinput!$B:$E,4,0)=0,OR(H4383=MappingTables!$C$34,H4383=MappingTables!$C$35)),1,VLOOKUP(CONCATENATE($D4383,$G4383),CSRFinput!$B:$E,4,0))),0,IF(AND(VLOOKUP(CONCATENATE($D4383,$G4383),CSRFinput!$B:$E,4,0)=0,OR(H4383=MappingTables!$C$34,H4383=MappingTables!$C$35)),1,VLOOKUP(CONCATENATE($D4383,$G4383),CSRFinput!$B:$E,4,0)))</f>
        <v>0.054776304963434752</v>
      </c>
      <c r="W4383" s="85">
        <f>IF(B4383="",0,+$T4383*$V4383)</f>
        <v>32.73522054211488</v>
      </c>
      <c r="X4383" s="85">
        <f>IF(B4383="",0,IF(OR(H4383=MappingTables!$C$34,H4383=MappingTables!$C$35),W4383,0))</f>
        <v>0</v>
      </c>
    </row>
    <row r="4384" spans="2:24" s="0" customFormat="0" ht="15">
      <c r="B4384" s="69">
        <v>23353978</v>
      </c>
      <c r="C4384" s="70" t="s">
        <v>744</v>
      </c>
      <c r="D4384" s="70" t="s">
        <v>1</v>
      </c>
      <c r="E4384" s="70" t="s">
        <v>1</v>
      </c>
      <c r="F4384" s="70"/>
      <c r="G4384" s="70" t="s">
        <v>61</v>
      </c>
      <c r="H4384" s="70" t="s">
        <v>178</v>
      </c>
      <c r="I4384" s="70" t="s">
        <v>220</v>
      </c>
      <c r="J4384" s="71">
        <f>IF(OR(I4384=0,I4384=""),"unrated",VLOOKUP(I4384,MappingTables!$B$19:$C$31,2,FALSE))</f>
        <v>1</v>
      </c>
      <c r="K4384" s="72">
        <v>3113.944087275574</v>
      </c>
      <c r="L4384" s="70">
        <v>0.17534277847142482</v>
      </c>
      <c r="M4384" s="71">
        <f>IF(L4384&lt;1,1,L4384)</f>
        <v>1</v>
      </c>
      <c r="N4384" s="70" t="s">
        <v>141</v>
      </c>
      <c r="O4384" s="71">
        <f>INDEX(DurClassMapping,MATCH(M4384,MappingTables!$D$4:$D$8,-1),1)</f>
        <v>1</v>
      </c>
      <c r="P4384" s="73">
        <f>IF(M4384=$A$1,1,$M4384-INDEX(MappingTables!$E$4:$E$8,MATCH(O4384,MappingTables!$B$4:$B$8,0)))</f>
        <v>1</v>
      </c>
      <c r="Q4384" s="71">
        <f>IF(B4384="",0,INDEX(ModelParameters!$D$6:$K$10,MATCH($O4384,ModelParameters!$B$6:$B$10,0),MATCH($J4384,ModelParameters!$D$5:$K$5,0)))</f>
        <v>0.011000000000000002</v>
      </c>
      <c r="R4384" s="71">
        <f>IF(B4384="",0,INDEX(ModelParameters!$D$13:$K$17,MATCH($O4384,ModelParameters!$B$13:$B$17,0),MATCH($J4384,ModelParameters!$D$5:$K$5,0)))</f>
        <v>0</v>
      </c>
      <c r="S4384" s="160">
        <f>IF(B4384="",0,MIN(IF($N4384="Other Bond TM",ModelParameters!$N$21,1)*(P4384*Q4384+R4384),1))</f>
        <v>0.011000000000000002</v>
      </c>
      <c r="T4384" s="85">
        <f>IF(B4384="",0,$S4384*$K4384)</f>
        <v>34.25338496003132</v>
      </c>
      <c r="U4384" s="85">
        <f>IF(B4384="",0,IF(OR(H4384=MappingTables!$C$34,H4384=MappingTables!$C$35),T4384,0))</f>
        <v>0</v>
      </c>
      <c r="V4384" s="85">
        <f>IF(ISNA(IF(AND(VLOOKUP(CONCATENATE($D4384,$G4384),CSRFinput!$B:$E,4,0)=0,OR(H4384=MappingTables!$C$34,H4384=MappingTables!$C$35)),1,VLOOKUP(CONCATENATE($D4384,$G4384),CSRFinput!$B:$E,4,0))),0,IF(AND(VLOOKUP(CONCATENATE($D4384,$G4384),CSRFinput!$B:$E,4,0)=0,OR(H4384=MappingTables!$C$34,H4384=MappingTables!$C$35)),1,VLOOKUP(CONCATENATE($D4384,$G4384),CSRFinput!$B:$E,4,0)))</f>
        <v>0.054776304963434752</v>
      </c>
      <c r="W4384" s="85">
        <f>IF(B4384="",0,+$T4384*$V4384)</f>
        <v>1.8762738606006048</v>
      </c>
      <c r="X4384" s="85">
        <f>IF(B4384="",0,IF(OR(H4384=MappingTables!$C$34,H4384=MappingTables!$C$35),W4384,0))</f>
        <v>0</v>
      </c>
    </row>
    <row r="4385" spans="2:24" s="0" customFormat="0" ht="15">
      <c r="B4385" s="69">
        <v>13658441</v>
      </c>
      <c r="C4385" s="70" t="s">
        <v>1143</v>
      </c>
      <c r="D4385" s="70" t="s">
        <v>1</v>
      </c>
      <c r="E4385" s="70" t="s">
        <v>1</v>
      </c>
      <c r="F4385" s="70"/>
      <c r="G4385" s="70" t="s">
        <v>61</v>
      </c>
      <c r="H4385" s="70" t="s">
        <v>178</v>
      </c>
      <c r="I4385" s="70" t="s">
        <v>198</v>
      </c>
      <c r="J4385" s="71" t="str">
        <f>IF(OR(I4385=0,I4385=""),"unrated",VLOOKUP(I4385,MappingTables!$B$19:$C$31,2,FALSE))</f>
        <v>unrated</v>
      </c>
      <c r="K4385" s="72">
        <v>19928.510896663012</v>
      </c>
      <c r="L4385" s="70">
        <v>0.08767131788651256</v>
      </c>
      <c r="M4385" s="71">
        <f>IF(L4385&lt;1,1,L4385)</f>
        <v>1</v>
      </c>
      <c r="N4385" s="70" t="s">
        <v>141</v>
      </c>
      <c r="O4385" s="71">
        <f>INDEX(DurClassMapping,MATCH(M4385,MappingTables!$D$4:$D$8,-1),1)</f>
        <v>1</v>
      </c>
      <c r="P4385" s="73">
        <f>IF(M4385=$A$1,1,$M4385-INDEX(MappingTables!$E$4:$E$8,MATCH(O4385,MappingTables!$B$4:$B$8,0)))</f>
        <v>1</v>
      </c>
      <c r="Q4385" s="71">
        <f>IF(B4385="",0,INDEX(ModelParameters!$D$6:$K$10,MATCH($O4385,ModelParameters!$B$6:$B$10,0),MATCH($J4385,ModelParameters!$D$5:$K$5,0)))</f>
        <v>0.03</v>
      </c>
      <c r="R4385" s="71">
        <f>IF(B4385="",0,INDEX(ModelParameters!$D$13:$K$17,MATCH($O4385,ModelParameters!$B$13:$B$17,0),MATCH($J4385,ModelParameters!$D$5:$K$5,0)))</f>
        <v>0</v>
      </c>
      <c r="S4385" s="160">
        <f>IF(B4385="",0,MIN(IF($N4385="Other Bond TM",ModelParameters!$N$21,1)*(P4385*Q4385+R4385),1))</f>
        <v>0.03</v>
      </c>
      <c r="T4385" s="85">
        <f>IF(B4385="",0,$S4385*$K4385)</f>
        <v>597.85532689989032</v>
      </c>
      <c r="U4385" s="85">
        <f>IF(B4385="",0,IF(OR(H4385=MappingTables!$C$34,H4385=MappingTables!$C$35),T4385,0))</f>
        <v>0</v>
      </c>
      <c r="V4385" s="85">
        <f>IF(ISNA(IF(AND(VLOOKUP(CONCATENATE($D4385,$G4385),CSRFinput!$B:$E,4,0)=0,OR(H4385=MappingTables!$C$34,H4385=MappingTables!$C$35)),1,VLOOKUP(CONCATENATE($D4385,$G4385),CSRFinput!$B:$E,4,0))),0,IF(AND(VLOOKUP(CONCATENATE($D4385,$G4385),CSRFinput!$B:$E,4,0)=0,OR(H4385=MappingTables!$C$34,H4385=MappingTables!$C$35)),1,VLOOKUP(CONCATENATE($D4385,$G4385),CSRFinput!$B:$E,4,0)))</f>
        <v>0.054776304963434752</v>
      </c>
      <c r="W4385" s="85">
        <f>IF(B4385="",0,+$T4385*$V4385)</f>
        <v>32.748305710282368</v>
      </c>
      <c r="X4385" s="85">
        <f>IF(B4385="",0,IF(OR(H4385=MappingTables!$C$34,H4385=MappingTables!$C$35),W4385,0))</f>
        <v>0</v>
      </c>
    </row>
    <row r="4386" spans="2:24" s="0" customFormat="0" ht="15">
      <c r="B4386" s="69">
        <v>22251687</v>
      </c>
      <c r="C4386" s="70" t="s">
        <v>689</v>
      </c>
      <c r="D4386" s="70" t="s">
        <v>1</v>
      </c>
      <c r="E4386" s="70" t="s">
        <v>1</v>
      </c>
      <c r="F4386" s="70"/>
      <c r="G4386" s="70" t="s">
        <v>61</v>
      </c>
      <c r="H4386" s="70" t="s">
        <v>178</v>
      </c>
      <c r="I4386" s="70" t="s">
        <v>198</v>
      </c>
      <c r="J4386" s="71" t="str">
        <f>IF(OR(I4386=0,I4386=""),"unrated",VLOOKUP(I4386,MappingTables!$B$19:$C$31,2,FALSE))</f>
        <v>unrated</v>
      </c>
      <c r="K4386" s="72">
        <v>26.479058097518616</v>
      </c>
      <c r="L4386" s="70">
        <v>4.034363397070308</v>
      </c>
      <c r="M4386" s="71">
        <f>IF(L4386&lt;1,1,L4386)</f>
        <v>4.034363397070308</v>
      </c>
      <c r="N4386" s="70" t="s">
        <v>141</v>
      </c>
      <c r="O4386" s="71">
        <f>INDEX(DurClassMapping,MATCH(M4386,MappingTables!$D$4:$D$8,-1),1)</f>
        <v>1</v>
      </c>
      <c r="P4386" s="73">
        <f>IF(M4386=$A$1,1,$M4386-INDEX(MappingTables!$E$4:$E$8,MATCH(O4386,MappingTables!$B$4:$B$8,0)))</f>
        <v>4.034363397070308</v>
      </c>
      <c r="Q4386" s="71">
        <f>IF(B4386="",0,INDEX(ModelParameters!$D$6:$K$10,MATCH($O4386,ModelParameters!$B$6:$B$10,0),MATCH($J4386,ModelParameters!$D$5:$K$5,0)))</f>
        <v>0.03</v>
      </c>
      <c r="R4386" s="71">
        <f>IF(B4386="",0,INDEX(ModelParameters!$D$13:$K$17,MATCH($O4386,ModelParameters!$B$13:$B$17,0),MATCH($J4386,ModelParameters!$D$5:$K$5,0)))</f>
        <v>0</v>
      </c>
      <c r="S4386" s="160">
        <f>IF(B4386="",0,MIN(IF($N4386="Other Bond TM",ModelParameters!$N$21,1)*(P4386*Q4386+R4386),1))</f>
        <v>0.12103090191210924</v>
      </c>
      <c r="T4386" s="85">
        <f>IF(B4386="",0,$S4386*$K4386)</f>
        <v>3.204784283325818</v>
      </c>
      <c r="U4386" s="85">
        <f>IF(B4386="",0,IF(OR(H4386=MappingTables!$C$34,H4386=MappingTables!$C$35),T4386,0))</f>
        <v>0</v>
      </c>
      <c r="V4386" s="85">
        <f>IF(ISNA(IF(AND(VLOOKUP(CONCATENATE($D4386,$G4386),CSRFinput!$B:$E,4,0)=0,OR(H4386=MappingTables!$C$34,H4386=MappingTables!$C$35)),1,VLOOKUP(CONCATENATE($D4386,$G4386),CSRFinput!$B:$E,4,0))),0,IF(AND(VLOOKUP(CONCATENATE($D4386,$G4386),CSRFinput!$B:$E,4,0)=0,OR(H4386=MappingTables!$C$34,H4386=MappingTables!$C$35)),1,VLOOKUP(CONCATENATE($D4386,$G4386),CSRFinput!$B:$E,4,0)))</f>
        <v>0.054776304963434752</v>
      </c>
      <c r="W4386" s="85">
        <f>IF(B4386="",0,+$T4386*$V4386)</f>
        <v>0.17554624124547768</v>
      </c>
      <c r="X4386" s="85">
        <f>IF(B4386="",0,IF(OR(H4386=MappingTables!$C$34,H4386=MappingTables!$C$35),W4386,0))</f>
        <v>0</v>
      </c>
    </row>
    <row r="4387" spans="2:24" s="0" customFormat="0" ht="15">
      <c r="B4387" s="69" t="s">
        <v>2315</v>
      </c>
      <c r="C4387" s="70" t="s">
        <v>2316</v>
      </c>
      <c r="D4387" s="70" t="s">
        <v>1</v>
      </c>
      <c r="E4387" s="70" t="s">
        <v>1</v>
      </c>
      <c r="F4387" s="70"/>
      <c r="G4387" s="70" t="s">
        <v>61</v>
      </c>
      <c r="H4387" s="70" t="s">
        <v>178</v>
      </c>
      <c r="I4387" s="70" t="s">
        <v>181</v>
      </c>
      <c r="J4387" s="71">
        <f>IF(OR(I4387=0,I4387=""),"unrated",VLOOKUP(I4387,MappingTables!$B$19:$C$31,2,FALSE))</f>
        <v>3</v>
      </c>
      <c r="K4387" s="72">
        <v>3.2013379404175296</v>
      </c>
      <c r="L4387" s="70">
        <v>1.4310554854877844</v>
      </c>
      <c r="M4387" s="71">
        <f>IF(L4387&lt;1,1,L4387)</f>
        <v>1.4310554854877844</v>
      </c>
      <c r="N4387" s="70" t="s">
        <v>141</v>
      </c>
      <c r="O4387" s="71">
        <f>INDEX(DurClassMapping,MATCH(M4387,MappingTables!$D$4:$D$8,-1),1)</f>
        <v>1</v>
      </c>
      <c r="P4387" s="73">
        <f>IF(M4387=$A$1,1,$M4387-INDEX(MappingTables!$E$4:$E$8,MATCH(O4387,MappingTables!$B$4:$B$8,0)))</f>
        <v>1.4310554854877844</v>
      </c>
      <c r="Q4387" s="71">
        <f>IF(B4387="",0,INDEX(ModelParameters!$D$6:$K$10,MATCH($O4387,ModelParameters!$B$6:$B$10,0),MATCH($J4387,ModelParameters!$D$5:$K$5,0)))</f>
        <v>0.025</v>
      </c>
      <c r="R4387" s="71">
        <f>IF(B4387="",0,INDEX(ModelParameters!$D$13:$K$17,MATCH($O4387,ModelParameters!$B$13:$B$17,0),MATCH($J4387,ModelParameters!$D$5:$K$5,0)))</f>
        <v>0</v>
      </c>
      <c r="S4387" s="160">
        <f>IF(B4387="",0,MIN(IF($N4387="Other Bond TM",ModelParameters!$N$21,1)*(P4387*Q4387+R4387),1))</f>
        <v>0.035776387137194608</v>
      </c>
      <c r="T4387" s="85">
        <f>IF(B4387="",0,$S4387*$K4387)</f>
        <v>0.1145323055133668</v>
      </c>
      <c r="U4387" s="85">
        <f>IF(B4387="",0,IF(OR(H4387=MappingTables!$C$34,H4387=MappingTables!$C$35),T4387,0))</f>
        <v>0</v>
      </c>
      <c r="V4387" s="85">
        <f>IF(ISNA(IF(AND(VLOOKUP(CONCATENATE($D4387,$G4387),CSRFinput!$B:$E,4,0)=0,OR(H4387=MappingTables!$C$34,H4387=MappingTables!$C$35)),1,VLOOKUP(CONCATENATE($D4387,$G4387),CSRFinput!$B:$E,4,0))),0,IF(AND(VLOOKUP(CONCATENATE($D4387,$G4387),CSRFinput!$B:$E,4,0)=0,OR(H4387=MappingTables!$C$34,H4387=MappingTables!$C$35)),1,VLOOKUP(CONCATENATE($D4387,$G4387),CSRFinput!$B:$E,4,0)))</f>
        <v>0.054776304963434752</v>
      </c>
      <c r="W4387" s="85">
        <f>IF(B4387="",0,+$T4387*$V4387)</f>
        <v>0.0062736564949654592</v>
      </c>
      <c r="X4387" s="85">
        <f>IF(B4387="",0,IF(OR(H4387=MappingTables!$C$34,H4387=MappingTables!$C$35),W4387,0))</f>
        <v>0</v>
      </c>
    </row>
    <row r="4388" spans="2:24" s="0" customFormat="0" ht="15">
      <c r="B4388" s="69">
        <v>4310929</v>
      </c>
      <c r="C4388" s="70" t="s">
        <v>2566</v>
      </c>
      <c r="D4388" s="70" t="s">
        <v>1</v>
      </c>
      <c r="E4388" s="70" t="s">
        <v>1</v>
      </c>
      <c r="F4388" s="70"/>
      <c r="G4388" s="70" t="s">
        <v>61</v>
      </c>
      <c r="H4388" s="70" t="s">
        <v>178</v>
      </c>
      <c r="I4388" s="70" t="s">
        <v>179</v>
      </c>
      <c r="J4388" s="71">
        <f>IF(OR(I4388=0,I4388=""),"unrated",VLOOKUP(I4388,MappingTables!$B$19:$C$31,2,FALSE))</f>
        <v>4</v>
      </c>
      <c r="K4388" s="72">
        <v>4869.854178109048</v>
      </c>
      <c r="L4388" s="70">
        <v>1.0431440111960434</v>
      </c>
      <c r="M4388" s="71">
        <f>IF(L4388&lt;1,1,L4388)</f>
        <v>1.0431440111960434</v>
      </c>
      <c r="N4388" s="70" t="s">
        <v>141</v>
      </c>
      <c r="O4388" s="71">
        <f>INDEX(DurClassMapping,MATCH(M4388,MappingTables!$D$4:$D$8,-1),1)</f>
        <v>1</v>
      </c>
      <c r="P4388" s="73">
        <f>IF(M4388=$A$1,1,$M4388-INDEX(MappingTables!$E$4:$E$8,MATCH(O4388,MappingTables!$B$4:$B$8,0)))</f>
        <v>1.0431440111960434</v>
      </c>
      <c r="Q4388" s="71">
        <f>IF(B4388="",0,INDEX(ModelParameters!$D$6:$K$10,MATCH($O4388,ModelParameters!$B$6:$B$10,0),MATCH($J4388,ModelParameters!$D$5:$K$5,0)))</f>
        <v>0.045</v>
      </c>
      <c r="R4388" s="71">
        <f>IF(B4388="",0,INDEX(ModelParameters!$D$13:$K$17,MATCH($O4388,ModelParameters!$B$13:$B$17,0),MATCH($J4388,ModelParameters!$D$5:$K$5,0)))</f>
        <v>0</v>
      </c>
      <c r="S4388" s="160">
        <f>IF(B4388="",0,MIN(IF($N4388="Other Bond TM",ModelParameters!$N$21,1)*(P4388*Q4388+R4388),1))</f>
        <v>0.04694148050382196</v>
      </c>
      <c r="T4388" s="85">
        <f>IF(B4388="",0,$S4388*$K4388)</f>
        <v>228.5981649581618</v>
      </c>
      <c r="U4388" s="85">
        <f>IF(B4388="",0,IF(OR(H4388=MappingTables!$C$34,H4388=MappingTables!$C$35),T4388,0))</f>
        <v>0</v>
      </c>
      <c r="V4388" s="85">
        <f>IF(ISNA(IF(AND(VLOOKUP(CONCATENATE($D4388,$G4388),CSRFinput!$B:$E,4,0)=0,OR(H4388=MappingTables!$C$34,H4388=MappingTables!$C$35)),1,VLOOKUP(CONCATENATE($D4388,$G4388),CSRFinput!$B:$E,4,0))),0,IF(AND(VLOOKUP(CONCATENATE($D4388,$G4388),CSRFinput!$B:$E,4,0)=0,OR(H4388=MappingTables!$C$34,H4388=MappingTables!$C$35)),1,VLOOKUP(CONCATENATE($D4388,$G4388),CSRFinput!$B:$E,4,0)))</f>
        <v>0.054776304963434752</v>
      </c>
      <c r="W4388" s="85">
        <f>IF(B4388="",0,+$T4388*$V4388)</f>
        <v>12.521762797829834</v>
      </c>
      <c r="X4388" s="85">
        <f>IF(B4388="",0,IF(OR(H4388=MappingTables!$C$34,H4388=MappingTables!$C$35),W4388,0))</f>
        <v>0</v>
      </c>
    </row>
    <row r="4389" spans="2:24" s="0" customFormat="0" ht="15">
      <c r="B4389" s="69" t="s">
        <v>2976</v>
      </c>
      <c r="C4389" s="70" t="s">
        <v>2977</v>
      </c>
      <c r="D4389" s="70" t="s">
        <v>1</v>
      </c>
      <c r="E4389" s="70" t="s">
        <v>1</v>
      </c>
      <c r="F4389" s="70"/>
      <c r="G4389" s="70" t="s">
        <v>61</v>
      </c>
      <c r="H4389" s="70" t="s">
        <v>178</v>
      </c>
      <c r="I4389" s="70" t="s">
        <v>181</v>
      </c>
      <c r="J4389" s="71">
        <f>IF(OR(I4389=0,I4389=""),"unrated",VLOOKUP(I4389,MappingTables!$B$19:$C$31,2,FALSE))</f>
        <v>3</v>
      </c>
      <c r="K4389" s="72">
        <v>0.69768051676010744</v>
      </c>
      <c r="L4389" s="70">
        <v>1.8630707949086152</v>
      </c>
      <c r="M4389" s="71">
        <f>IF(L4389&lt;1,1,L4389)</f>
        <v>1.8630707949086152</v>
      </c>
      <c r="N4389" s="70" t="s">
        <v>141</v>
      </c>
      <c r="O4389" s="71">
        <f>INDEX(DurClassMapping,MATCH(M4389,MappingTables!$D$4:$D$8,-1),1)</f>
        <v>1</v>
      </c>
      <c r="P4389" s="73">
        <f>IF(M4389=$A$1,1,$M4389-INDEX(MappingTables!$E$4:$E$8,MATCH(O4389,MappingTables!$B$4:$B$8,0)))</f>
        <v>1.8630707949086152</v>
      </c>
      <c r="Q4389" s="71">
        <f>IF(B4389="",0,INDEX(ModelParameters!$D$6:$K$10,MATCH($O4389,ModelParameters!$B$6:$B$10,0),MATCH($J4389,ModelParameters!$D$5:$K$5,0)))</f>
        <v>0.025</v>
      </c>
      <c r="R4389" s="71">
        <f>IF(B4389="",0,INDEX(ModelParameters!$D$13:$K$17,MATCH($O4389,ModelParameters!$B$13:$B$17,0),MATCH($J4389,ModelParameters!$D$5:$K$5,0)))</f>
        <v>0</v>
      </c>
      <c r="S4389" s="160">
        <f>IF(B4389="",0,MIN(IF($N4389="Other Bond TM",ModelParameters!$N$21,1)*(P4389*Q4389+R4389),1))</f>
        <v>0.046576769872715392</v>
      </c>
      <c r="T4389" s="85">
        <f>IF(B4389="",0,$S4389*$K4389)</f>
        <v>0.032495704873812676</v>
      </c>
      <c r="U4389" s="85">
        <f>IF(B4389="",0,IF(OR(H4389=MappingTables!$C$34,H4389=MappingTables!$C$35),T4389,0))</f>
        <v>0</v>
      </c>
      <c r="V4389" s="85">
        <f>IF(ISNA(IF(AND(VLOOKUP(CONCATENATE($D4389,$G4389),CSRFinput!$B:$E,4,0)=0,OR(H4389=MappingTables!$C$34,H4389=MappingTables!$C$35)),1,VLOOKUP(CONCATENATE($D4389,$G4389),CSRFinput!$B:$E,4,0))),0,IF(AND(VLOOKUP(CONCATENATE($D4389,$G4389),CSRFinput!$B:$E,4,0)=0,OR(H4389=MappingTables!$C$34,H4389=MappingTables!$C$35)),1,VLOOKUP(CONCATENATE($D4389,$G4389),CSRFinput!$B:$E,4,0)))</f>
        <v>0.054776304963434752</v>
      </c>
      <c r="W4389" s="85">
        <f>IF(B4389="",0,+$T4389*$V4389)</f>
        <v>0.0017799946401697362</v>
      </c>
      <c r="X4389" s="85">
        <f>IF(B4389="",0,IF(OR(H4389=MappingTables!$C$34,H4389=MappingTables!$C$35),W4389,0))</f>
        <v>0</v>
      </c>
    </row>
    <row r="4390" spans="2:24" s="0" customFormat="0" ht="15">
      <c r="B4390" s="69">
        <v>12138004</v>
      </c>
      <c r="C4390" s="70" t="s">
        <v>2338</v>
      </c>
      <c r="D4390" s="70" t="s">
        <v>1</v>
      </c>
      <c r="E4390" s="70" t="s">
        <v>1</v>
      </c>
      <c r="F4390" s="70"/>
      <c r="G4390" s="70" t="s">
        <v>61</v>
      </c>
      <c r="H4390" s="70" t="s">
        <v>178</v>
      </c>
      <c r="I4390" s="70" t="s">
        <v>181</v>
      </c>
      <c r="J4390" s="71">
        <f>IF(OR(I4390=0,I4390=""),"unrated",VLOOKUP(I4390,MappingTables!$B$19:$C$31,2,FALSE))</f>
        <v>3</v>
      </c>
      <c r="K4390" s="72">
        <v>575.64881670754024</v>
      </c>
      <c r="L4390" s="70">
        <v>2.4405324362390912</v>
      </c>
      <c r="M4390" s="71">
        <f>IF(L4390&lt;1,1,L4390)</f>
        <v>2.4405324362390912</v>
      </c>
      <c r="N4390" s="70" t="s">
        <v>141</v>
      </c>
      <c r="O4390" s="71">
        <f>INDEX(DurClassMapping,MATCH(M4390,MappingTables!$D$4:$D$8,-1),1)</f>
        <v>1</v>
      </c>
      <c r="P4390" s="73">
        <f>IF(M4390=$A$1,1,$M4390-INDEX(MappingTables!$E$4:$E$8,MATCH(O4390,MappingTables!$B$4:$B$8,0)))</f>
        <v>2.4405324362390912</v>
      </c>
      <c r="Q4390" s="71">
        <f>IF(B4390="",0,INDEX(ModelParameters!$D$6:$K$10,MATCH($O4390,ModelParameters!$B$6:$B$10,0),MATCH($J4390,ModelParameters!$D$5:$K$5,0)))</f>
        <v>0.025</v>
      </c>
      <c r="R4390" s="71">
        <f>IF(B4390="",0,INDEX(ModelParameters!$D$13:$K$17,MATCH($O4390,ModelParameters!$B$13:$B$17,0),MATCH($J4390,ModelParameters!$D$5:$K$5,0)))</f>
        <v>0</v>
      </c>
      <c r="S4390" s="160">
        <f>IF(B4390="",0,MIN(IF($N4390="Other Bond TM",ModelParameters!$N$21,1)*(P4390*Q4390+R4390),1))</f>
        <v>0.06101331090597728</v>
      </c>
      <c r="T4390" s="85">
        <f>IF(B4390="",0,$S4390*$K4390)</f>
        <v>35.12224022643508</v>
      </c>
      <c r="U4390" s="85">
        <f>IF(B4390="",0,IF(OR(H4390=MappingTables!$C$34,H4390=MappingTables!$C$35),T4390,0))</f>
        <v>0</v>
      </c>
      <c r="V4390" s="85">
        <f>IF(ISNA(IF(AND(VLOOKUP(CONCATENATE($D4390,$G4390),CSRFinput!$B:$E,4,0)=0,OR(H4390=MappingTables!$C$34,H4390=MappingTables!$C$35)),1,VLOOKUP(CONCATENATE($D4390,$G4390),CSRFinput!$B:$E,4,0))),0,IF(AND(VLOOKUP(CONCATENATE($D4390,$G4390),CSRFinput!$B:$E,4,0)=0,OR(H4390=MappingTables!$C$34,H4390=MappingTables!$C$35)),1,VLOOKUP(CONCATENATE($D4390,$G4390),CSRFinput!$B:$E,4,0)))</f>
        <v>0.054776304963434752</v>
      </c>
      <c r="W4390" s="85">
        <f>IF(B4390="",0,+$T4390*$V4390)</f>
        <v>1.923866541642224</v>
      </c>
      <c r="X4390" s="85">
        <f>IF(B4390="",0,IF(OR(H4390=MappingTables!$C$34,H4390=MappingTables!$C$35),W4390,0))</f>
        <v>0</v>
      </c>
    </row>
    <row r="4391" spans="2:24" s="0" customFormat="0" ht="15">
      <c r="B4391" s="69">
        <v>14497935</v>
      </c>
      <c r="C4391" s="70" t="s">
        <v>2461</v>
      </c>
      <c r="D4391" s="70" t="s">
        <v>1</v>
      </c>
      <c r="E4391" s="70" t="s">
        <v>1</v>
      </c>
      <c r="F4391" s="70"/>
      <c r="G4391" s="70" t="s">
        <v>61</v>
      </c>
      <c r="H4391" s="70" t="s">
        <v>178</v>
      </c>
      <c r="I4391" s="70" t="s">
        <v>184</v>
      </c>
      <c r="J4391" s="71">
        <f>IF(OR(I4391=0,I4391=""),"unrated",VLOOKUP(I4391,MappingTables!$B$19:$C$31,2,FALSE))</f>
        <v>5</v>
      </c>
      <c r="K4391" s="72">
        <v>42202.0627216278</v>
      </c>
      <c r="L4391" s="70">
        <v>0.087669782631099776</v>
      </c>
      <c r="M4391" s="71">
        <f>IF(L4391&lt;1,1,L4391)</f>
        <v>1</v>
      </c>
      <c r="N4391" s="70" t="s">
        <v>141</v>
      </c>
      <c r="O4391" s="71">
        <f>INDEX(DurClassMapping,MATCH(M4391,MappingTables!$D$4:$D$8,-1),1)</f>
        <v>1</v>
      </c>
      <c r="P4391" s="73">
        <f>IF(M4391=$A$1,1,$M4391-INDEX(MappingTables!$E$4:$E$8,MATCH(O4391,MappingTables!$B$4:$B$8,0)))</f>
        <v>1</v>
      </c>
      <c r="Q4391" s="71">
        <f>IF(B4391="",0,INDEX(ModelParameters!$D$6:$K$10,MATCH($O4391,ModelParameters!$B$6:$B$10,0),MATCH($J4391,ModelParameters!$D$5:$K$5,0)))</f>
        <v>0.075</v>
      </c>
      <c r="R4391" s="71">
        <f>IF(B4391="",0,INDEX(ModelParameters!$D$13:$K$17,MATCH($O4391,ModelParameters!$B$13:$B$17,0),MATCH($J4391,ModelParameters!$D$5:$K$5,0)))</f>
        <v>0</v>
      </c>
      <c r="S4391" s="160">
        <f>IF(B4391="",0,MIN(IF($N4391="Other Bond TM",ModelParameters!$N$21,1)*(P4391*Q4391+R4391),1))</f>
        <v>0.075</v>
      </c>
      <c r="T4391" s="85">
        <f>IF(B4391="",0,$S4391*$K4391)</f>
        <v>3165.1547041220852</v>
      </c>
      <c r="U4391" s="85">
        <f>IF(B4391="",0,IF(OR(H4391=MappingTables!$C$34,H4391=MappingTables!$C$35),T4391,0))</f>
        <v>0</v>
      </c>
      <c r="V4391" s="85">
        <f>IF(ISNA(IF(AND(VLOOKUP(CONCATENATE($D4391,$G4391),CSRFinput!$B:$E,4,0)=0,OR(H4391=MappingTables!$C$34,H4391=MappingTables!$C$35)),1,VLOOKUP(CONCATENATE($D4391,$G4391),CSRFinput!$B:$E,4,0))),0,IF(AND(VLOOKUP(CONCATENATE($D4391,$G4391),CSRFinput!$B:$E,4,0)=0,OR(H4391=MappingTables!$C$34,H4391=MappingTables!$C$35)),1,VLOOKUP(CONCATENATE($D4391,$G4391),CSRFinput!$B:$E,4,0)))</f>
        <v>0.054776304963434752</v>
      </c>
      <c r="W4391" s="85">
        <f>IF(B4391="",0,+$T4391*$V4391)</f>
        <v>173.37547932944142</v>
      </c>
      <c r="X4391" s="85">
        <f>IF(B4391="",0,IF(OR(H4391=MappingTables!$C$34,H4391=MappingTables!$C$35),W4391,0))</f>
        <v>0</v>
      </c>
    </row>
    <row r="4392" spans="2:24" s="0" customFormat="0" ht="15">
      <c r="B4392" s="69">
        <v>17087265</v>
      </c>
      <c r="C4392" s="70" t="s">
        <v>2185</v>
      </c>
      <c r="D4392" s="70" t="s">
        <v>1</v>
      </c>
      <c r="E4392" s="70" t="s">
        <v>1</v>
      </c>
      <c r="F4392" s="70"/>
      <c r="G4392" s="70" t="s">
        <v>61</v>
      </c>
      <c r="H4392" s="70" t="s">
        <v>178</v>
      </c>
      <c r="I4392" s="70" t="s">
        <v>220</v>
      </c>
      <c r="J4392" s="71">
        <f>IF(OR(I4392=0,I4392=""),"unrated",VLOOKUP(I4392,MappingTables!$B$19:$C$31,2,FALSE))</f>
        <v>1</v>
      </c>
      <c r="K4392" s="72">
        <v>9795.360269162808</v>
      </c>
      <c r="L4392" s="70">
        <v>16.588628327007786</v>
      </c>
      <c r="M4392" s="71">
        <f>IF(L4392&lt;1,1,L4392)</f>
        <v>16.588628327007786</v>
      </c>
      <c r="N4392" s="70" t="s">
        <v>141</v>
      </c>
      <c r="O4392" s="71">
        <f>INDEX(DurClassMapping,MATCH(M4392,MappingTables!$D$4:$D$8,-1),1)</f>
        <v>4</v>
      </c>
      <c r="P4392" s="73">
        <f>IF(M4392=$A$1,1,$M4392-INDEX(MappingTables!$E$4:$E$8,MATCH(O4392,MappingTables!$B$4:$B$8,0)))</f>
        <v>1.5886283270077862</v>
      </c>
      <c r="Q4392" s="71">
        <f>IF(B4392="",0,INDEX(ModelParameters!$D$6:$K$10,MATCH($O4392,ModelParameters!$B$6:$B$10,0),MATCH($J4392,ModelParameters!$D$5:$K$5,0)))</f>
        <v>0.005</v>
      </c>
      <c r="R4392" s="71">
        <f>IF(B4392="",0,INDEX(ModelParameters!$D$13:$K$17,MATCH($O4392,ModelParameters!$B$13:$B$17,0),MATCH($J4392,ModelParameters!$D$5:$K$5,0)))</f>
        <v>0.11</v>
      </c>
      <c r="S4392" s="160">
        <f>IF(B4392="",0,MIN(IF($N4392="Other Bond TM",ModelParameters!$N$21,1)*(P4392*Q4392+R4392),1))</f>
        <v>0.11794314163503892</v>
      </c>
      <c r="T4392" s="85">
        <f>IF(B4392="",0,$S4392*$K4392)</f>
        <v>1155.295563592102</v>
      </c>
      <c r="U4392" s="85">
        <f>IF(B4392="",0,IF(OR(H4392=MappingTables!$C$34,H4392=MappingTables!$C$35),T4392,0))</f>
        <v>0</v>
      </c>
      <c r="V4392" s="85">
        <f>IF(ISNA(IF(AND(VLOOKUP(CONCATENATE($D4392,$G4392),CSRFinput!$B:$E,4,0)=0,OR(H4392=MappingTables!$C$34,H4392=MappingTables!$C$35)),1,VLOOKUP(CONCATENATE($D4392,$G4392),CSRFinput!$B:$E,4,0))),0,IF(AND(VLOOKUP(CONCATENATE($D4392,$G4392),CSRFinput!$B:$E,4,0)=0,OR(H4392=MappingTables!$C$34,H4392=MappingTables!$C$35)),1,VLOOKUP(CONCATENATE($D4392,$G4392),CSRFinput!$B:$E,4,0)))</f>
        <v>0.054776304963434752</v>
      </c>
      <c r="W4392" s="85">
        <f>IF(B4392="",0,+$T4392*$V4392)</f>
        <v>63.282822114224208</v>
      </c>
      <c r="X4392" s="85">
        <f>IF(B4392="",0,IF(OR(H4392=MappingTables!$C$34,H4392=MappingTables!$C$35),W4392,0))</f>
        <v>0</v>
      </c>
    </row>
    <row r="4393" spans="2:24" s="0" customFormat="0" ht="15">
      <c r="B4393" s="69">
        <v>20870454</v>
      </c>
      <c r="C4393" s="70" t="s">
        <v>3005</v>
      </c>
      <c r="D4393" s="70" t="s">
        <v>1</v>
      </c>
      <c r="E4393" s="70" t="s">
        <v>1</v>
      </c>
      <c r="F4393" s="70"/>
      <c r="G4393" s="70" t="s">
        <v>61</v>
      </c>
      <c r="H4393" s="70" t="s">
        <v>178</v>
      </c>
      <c r="I4393" s="70" t="s">
        <v>181</v>
      </c>
      <c r="J4393" s="71">
        <f>IF(OR(I4393=0,I4393=""),"unrated",VLOOKUP(I4393,MappingTables!$B$19:$C$31,2,FALSE))</f>
        <v>3</v>
      </c>
      <c r="K4393" s="72">
        <v>533.2432304659724</v>
      </c>
      <c r="L4393" s="70">
        <v>3.5344749588849376</v>
      </c>
      <c r="M4393" s="71">
        <f>IF(L4393&lt;1,1,L4393)</f>
        <v>3.5344749588849376</v>
      </c>
      <c r="N4393" s="70" t="s">
        <v>141</v>
      </c>
      <c r="O4393" s="71">
        <f>INDEX(DurClassMapping,MATCH(M4393,MappingTables!$D$4:$D$8,-1),1)</f>
        <v>1</v>
      </c>
      <c r="P4393" s="73">
        <f>IF(M4393=$A$1,1,$M4393-INDEX(MappingTables!$E$4:$E$8,MATCH(O4393,MappingTables!$B$4:$B$8,0)))</f>
        <v>3.5344749588849376</v>
      </c>
      <c r="Q4393" s="71">
        <f>IF(B4393="",0,INDEX(ModelParameters!$D$6:$K$10,MATCH($O4393,ModelParameters!$B$6:$B$10,0),MATCH($J4393,ModelParameters!$D$5:$K$5,0)))</f>
        <v>0.025</v>
      </c>
      <c r="R4393" s="71">
        <f>IF(B4393="",0,INDEX(ModelParameters!$D$13:$K$17,MATCH($O4393,ModelParameters!$B$13:$B$17,0),MATCH($J4393,ModelParameters!$D$5:$K$5,0)))</f>
        <v>0</v>
      </c>
      <c r="S4393" s="160">
        <f>IF(B4393="",0,MIN(IF($N4393="Other Bond TM",ModelParameters!$N$21,1)*(P4393*Q4393+R4393),1))</f>
        <v>0.08836187397212344</v>
      </c>
      <c r="T4393" s="85">
        <f>IF(B4393="",0,$S4393*$K4393)</f>
        <v>47.118371126922224</v>
      </c>
      <c r="U4393" s="85">
        <f>IF(B4393="",0,IF(OR(H4393=MappingTables!$C$34,H4393=MappingTables!$C$35),T4393,0))</f>
        <v>0</v>
      </c>
      <c r="V4393" s="85">
        <f>IF(ISNA(IF(AND(VLOOKUP(CONCATENATE($D4393,$G4393),CSRFinput!$B:$E,4,0)=0,OR(H4393=MappingTables!$C$34,H4393=MappingTables!$C$35)),1,VLOOKUP(CONCATENATE($D4393,$G4393),CSRFinput!$B:$E,4,0))),0,IF(AND(VLOOKUP(CONCATENATE($D4393,$G4393),CSRFinput!$B:$E,4,0)=0,OR(H4393=MappingTables!$C$34,H4393=MappingTables!$C$35)),1,VLOOKUP(CONCATENATE($D4393,$G4393),CSRFinput!$B:$E,4,0)))</f>
        <v>0.054776304963434752</v>
      </c>
      <c r="W4393" s="85">
        <f>IF(B4393="",0,+$T4393*$V4393)</f>
        <v>2.5809702662285908</v>
      </c>
      <c r="X4393" s="85">
        <f>IF(B4393="",0,IF(OR(H4393=MappingTables!$C$34,H4393=MappingTables!$C$35),W4393,0))</f>
        <v>0</v>
      </c>
    </row>
    <row r="4394" spans="2:24" s="0" customFormat="0" ht="15">
      <c r="B4394" s="69" t="s">
        <v>3023</v>
      </c>
      <c r="C4394" s="70" t="s">
        <v>3024</v>
      </c>
      <c r="D4394" s="70" t="s">
        <v>1</v>
      </c>
      <c r="E4394" s="70" t="s">
        <v>1</v>
      </c>
      <c r="F4394" s="70"/>
      <c r="G4394" s="70" t="s">
        <v>61</v>
      </c>
      <c r="H4394" s="70" t="s">
        <v>178</v>
      </c>
      <c r="I4394" s="70" t="s">
        <v>181</v>
      </c>
      <c r="J4394" s="71">
        <f>IF(OR(I4394=0,I4394=""),"unrated",VLOOKUP(I4394,MappingTables!$B$19:$C$31,2,FALSE))</f>
        <v>3</v>
      </c>
      <c r="K4394" s="72">
        <v>2118.5685897153996</v>
      </c>
      <c r="L4394" s="70">
        <v>2.0327893122268616</v>
      </c>
      <c r="M4394" s="71">
        <f>IF(L4394&lt;1,1,L4394)</f>
        <v>2.0327893122268616</v>
      </c>
      <c r="N4394" s="70" t="s">
        <v>141</v>
      </c>
      <c r="O4394" s="71">
        <f>INDEX(DurClassMapping,MATCH(M4394,MappingTables!$D$4:$D$8,-1),1)</f>
        <v>1</v>
      </c>
      <c r="P4394" s="73">
        <f>IF(M4394=$A$1,1,$M4394-INDEX(MappingTables!$E$4:$E$8,MATCH(O4394,MappingTables!$B$4:$B$8,0)))</f>
        <v>2.0327893122268616</v>
      </c>
      <c r="Q4394" s="71">
        <f>IF(B4394="",0,INDEX(ModelParameters!$D$6:$K$10,MATCH($O4394,ModelParameters!$B$6:$B$10,0),MATCH($J4394,ModelParameters!$D$5:$K$5,0)))</f>
        <v>0.025</v>
      </c>
      <c r="R4394" s="71">
        <f>IF(B4394="",0,INDEX(ModelParameters!$D$13:$K$17,MATCH($O4394,ModelParameters!$B$13:$B$17,0),MATCH($J4394,ModelParameters!$D$5:$K$5,0)))</f>
        <v>0</v>
      </c>
      <c r="S4394" s="160">
        <f>IF(B4394="",0,MIN(IF($N4394="Other Bond TM",ModelParameters!$N$21,1)*(P4394*Q4394+R4394),1))</f>
        <v>0.050819732805671536</v>
      </c>
      <c r="T4394" s="85">
        <f>IF(B4394="",0,$S4394*$K4394)</f>
        <v>107.66508965982496</v>
      </c>
      <c r="U4394" s="85">
        <f>IF(B4394="",0,IF(OR(H4394=MappingTables!$C$34,H4394=MappingTables!$C$35),T4394,0))</f>
        <v>0</v>
      </c>
      <c r="V4394" s="85">
        <f>IF(ISNA(IF(AND(VLOOKUP(CONCATENATE($D4394,$G4394),CSRFinput!$B:$E,4,0)=0,OR(H4394=MappingTables!$C$34,H4394=MappingTables!$C$35)),1,VLOOKUP(CONCATENATE($D4394,$G4394),CSRFinput!$B:$E,4,0))),0,IF(AND(VLOOKUP(CONCATENATE($D4394,$G4394),CSRFinput!$B:$E,4,0)=0,OR(H4394=MappingTables!$C$34,H4394=MappingTables!$C$35)),1,VLOOKUP(CONCATENATE($D4394,$G4394),CSRFinput!$B:$E,4,0)))</f>
        <v>0.054776304963434752</v>
      </c>
      <c r="W4394" s="85">
        <f>IF(B4394="",0,+$T4394*$V4394)</f>
        <v>5.8974957851221176</v>
      </c>
      <c r="X4394" s="85">
        <f>IF(B4394="",0,IF(OR(H4394=MappingTables!$C$34,H4394=MappingTables!$C$35),W4394,0))</f>
        <v>0</v>
      </c>
    </row>
    <row r="4395" spans="2:24" s="0" customFormat="0" ht="15">
      <c r="B4395" s="69">
        <v>12847675</v>
      </c>
      <c r="C4395" s="70" t="s">
        <v>1887</v>
      </c>
      <c r="D4395" s="70" t="s">
        <v>1</v>
      </c>
      <c r="E4395" s="70" t="s">
        <v>1</v>
      </c>
      <c r="F4395" s="70"/>
      <c r="G4395" s="70" t="s">
        <v>61</v>
      </c>
      <c r="H4395" s="70" t="s">
        <v>178</v>
      </c>
      <c r="I4395" s="70" t="s">
        <v>188</v>
      </c>
      <c r="J4395" s="71">
        <f>IF(OR(I4395=0,I4395=""),"unrated",VLOOKUP(I4395,MappingTables!$B$19:$C$31,2,FALSE))</f>
        <v>2</v>
      </c>
      <c r="K4395" s="72">
        <v>372.5321434958896</v>
      </c>
      <c r="L4395" s="70">
        <v>0.84564933294342368</v>
      </c>
      <c r="M4395" s="71">
        <f>IF(L4395&lt;1,1,L4395)</f>
        <v>1</v>
      </c>
      <c r="N4395" s="70" t="s">
        <v>141</v>
      </c>
      <c r="O4395" s="71">
        <f>INDEX(DurClassMapping,MATCH(M4395,MappingTables!$D$4:$D$8,-1),1)</f>
        <v>1</v>
      </c>
      <c r="P4395" s="73">
        <f>IF(M4395=$A$1,1,$M4395-INDEX(MappingTables!$E$4:$E$8,MATCH(O4395,MappingTables!$B$4:$B$8,0)))</f>
        <v>1</v>
      </c>
      <c r="Q4395" s="71">
        <f>IF(B4395="",0,INDEX(ModelParameters!$D$6:$K$10,MATCH($O4395,ModelParameters!$B$6:$B$10,0),MATCH($J4395,ModelParameters!$D$5:$K$5,0)))</f>
        <v>0.013999999999999998</v>
      </c>
      <c r="R4395" s="71">
        <f>IF(B4395="",0,INDEX(ModelParameters!$D$13:$K$17,MATCH($O4395,ModelParameters!$B$13:$B$17,0),MATCH($J4395,ModelParameters!$D$5:$K$5,0)))</f>
        <v>0</v>
      </c>
      <c r="S4395" s="160">
        <f>IF(B4395="",0,MIN(IF($N4395="Other Bond TM",ModelParameters!$N$21,1)*(P4395*Q4395+R4395),1))</f>
        <v>0.013999999999999998</v>
      </c>
      <c r="T4395" s="85">
        <f>IF(B4395="",0,$S4395*$K4395)</f>
        <v>5.2154500089424544</v>
      </c>
      <c r="U4395" s="85">
        <f>IF(B4395="",0,IF(OR(H4395=MappingTables!$C$34,H4395=MappingTables!$C$35),T4395,0))</f>
        <v>0</v>
      </c>
      <c r="V4395" s="85">
        <f>IF(ISNA(IF(AND(VLOOKUP(CONCATENATE($D4395,$G4395),CSRFinput!$B:$E,4,0)=0,OR(H4395=MappingTables!$C$34,H4395=MappingTables!$C$35)),1,VLOOKUP(CONCATENATE($D4395,$G4395),CSRFinput!$B:$E,4,0))),0,IF(AND(VLOOKUP(CONCATENATE($D4395,$G4395),CSRFinput!$B:$E,4,0)=0,OR(H4395=MappingTables!$C$34,H4395=MappingTables!$C$35)),1,VLOOKUP(CONCATENATE($D4395,$G4395),CSRFinput!$B:$E,4,0)))</f>
        <v>0.054776304963434752</v>
      </c>
      <c r="W4395" s="85">
        <f>IF(B4395="",0,+$T4395*$V4395)</f>
        <v>0.2856830802113804</v>
      </c>
      <c r="X4395" s="85">
        <f>IF(B4395="",0,IF(OR(H4395=MappingTables!$C$34,H4395=MappingTables!$C$35),W4395,0))</f>
        <v>0</v>
      </c>
    </row>
    <row r="4396" spans="2:24" s="0" customFormat="0" ht="15">
      <c r="B4396" s="69">
        <v>3515501</v>
      </c>
      <c r="C4396" s="70" t="s">
        <v>1123</v>
      </c>
      <c r="D4396" s="70" t="s">
        <v>1</v>
      </c>
      <c r="E4396" s="70" t="s">
        <v>1</v>
      </c>
      <c r="F4396" s="70"/>
      <c r="G4396" s="70" t="s">
        <v>61</v>
      </c>
      <c r="H4396" s="70" t="s">
        <v>178</v>
      </c>
      <c r="I4396" s="70" t="s">
        <v>181</v>
      </c>
      <c r="J4396" s="71">
        <f>IF(OR(I4396=0,I4396=""),"unrated",VLOOKUP(I4396,MappingTables!$B$19:$C$31,2,FALSE))</f>
        <v>3</v>
      </c>
      <c r="K4396" s="72">
        <v>22.145084946942656</v>
      </c>
      <c r="L4396" s="70">
        <v>13.09978794485874</v>
      </c>
      <c r="M4396" s="71">
        <f>IF(L4396&lt;1,1,L4396)</f>
        <v>13.09978794485874</v>
      </c>
      <c r="N4396" s="70" t="s">
        <v>141</v>
      </c>
      <c r="O4396" s="71">
        <f>INDEX(DurClassMapping,MATCH(M4396,MappingTables!$D$4:$D$8,-1),1)</f>
        <v>3</v>
      </c>
      <c r="P4396" s="73">
        <f>IF(M4396=$A$1,1,$M4396-INDEX(MappingTables!$E$4:$E$8,MATCH(O4396,MappingTables!$B$4:$B$8,0)))</f>
        <v>3.0997879448587396</v>
      </c>
      <c r="Q4396" s="71">
        <f>IF(B4396="",0,INDEX(ModelParameters!$D$6:$K$10,MATCH($O4396,ModelParameters!$B$6:$B$10,0),MATCH($J4396,ModelParameters!$D$5:$K$5,0)))</f>
        <v>0.01</v>
      </c>
      <c r="R4396" s="71">
        <f>IF(B4396="",0,INDEX(ModelParameters!$D$13:$K$17,MATCH($O4396,ModelParameters!$B$13:$B$17,0),MATCH($J4396,ModelParameters!$D$5:$K$5,0)))</f>
        <v>0.2</v>
      </c>
      <c r="S4396" s="160">
        <f>IF(B4396="",0,MIN(IF($N4396="Other Bond TM",ModelParameters!$N$21,1)*(P4396*Q4396+R4396),1))</f>
        <v>0.2309978794485874</v>
      </c>
      <c r="T4396" s="85">
        <f>IF(B4396="",0,$S4396*$K4396)</f>
        <v>5.115467662952588</v>
      </c>
      <c r="U4396" s="85">
        <f>IF(B4396="",0,IF(OR(H4396=MappingTables!$C$34,H4396=MappingTables!$C$35),T4396,0))</f>
        <v>0</v>
      </c>
      <c r="V4396" s="85">
        <f>IF(ISNA(IF(AND(VLOOKUP(CONCATENATE($D4396,$G4396),CSRFinput!$B:$E,4,0)=0,OR(H4396=MappingTables!$C$34,H4396=MappingTables!$C$35)),1,VLOOKUP(CONCATENATE($D4396,$G4396),CSRFinput!$B:$E,4,0))),0,IF(AND(VLOOKUP(CONCATENATE($D4396,$G4396),CSRFinput!$B:$E,4,0)=0,OR(H4396=MappingTables!$C$34,H4396=MappingTables!$C$35)),1,VLOOKUP(CONCATENATE($D4396,$G4396),CSRFinput!$B:$E,4,0)))</f>
        <v>0.054776304963434752</v>
      </c>
      <c r="W4396" s="85">
        <f>IF(B4396="",0,+$T4396*$V4396)</f>
        <v>0.28020641673647984</v>
      </c>
      <c r="X4396" s="85">
        <f>IF(B4396="",0,IF(OR(H4396=MappingTables!$C$34,H4396=MappingTables!$C$35),W4396,0))</f>
        <v>0</v>
      </c>
    </row>
    <row r="4397" spans="2:24" s="0" customFormat="0" ht="15">
      <c r="B4397" s="69">
        <v>3467211</v>
      </c>
      <c r="C4397" s="70" t="s">
        <v>2955</v>
      </c>
      <c r="D4397" s="70" t="s">
        <v>1</v>
      </c>
      <c r="E4397" s="70" t="s">
        <v>1</v>
      </c>
      <c r="F4397" s="70"/>
      <c r="G4397" s="70" t="s">
        <v>61</v>
      </c>
      <c r="H4397" s="70" t="s">
        <v>178</v>
      </c>
      <c r="I4397" s="70" t="s">
        <v>181</v>
      </c>
      <c r="J4397" s="71">
        <f>IF(OR(I4397=0,I4397=""),"unrated",VLOOKUP(I4397,MappingTables!$B$19:$C$31,2,FALSE))</f>
        <v>3</v>
      </c>
      <c r="K4397" s="72">
        <v>5979.6289168365296</v>
      </c>
      <c r="L4397" s="70">
        <v>0.293150473572654</v>
      </c>
      <c r="M4397" s="71">
        <f>IF(L4397&lt;1,1,L4397)</f>
        <v>1</v>
      </c>
      <c r="N4397" s="70" t="s">
        <v>141</v>
      </c>
      <c r="O4397" s="71">
        <f>INDEX(DurClassMapping,MATCH(M4397,MappingTables!$D$4:$D$8,-1),1)</f>
        <v>1</v>
      </c>
      <c r="P4397" s="73">
        <f>IF(M4397=$A$1,1,$M4397-INDEX(MappingTables!$E$4:$E$8,MATCH(O4397,MappingTables!$B$4:$B$8,0)))</f>
        <v>1</v>
      </c>
      <c r="Q4397" s="71">
        <f>IF(B4397="",0,INDEX(ModelParameters!$D$6:$K$10,MATCH($O4397,ModelParameters!$B$6:$B$10,0),MATCH($J4397,ModelParameters!$D$5:$K$5,0)))</f>
        <v>0.025</v>
      </c>
      <c r="R4397" s="71">
        <f>IF(B4397="",0,INDEX(ModelParameters!$D$13:$K$17,MATCH($O4397,ModelParameters!$B$13:$B$17,0),MATCH($J4397,ModelParameters!$D$5:$K$5,0)))</f>
        <v>0</v>
      </c>
      <c r="S4397" s="160">
        <f>IF(B4397="",0,MIN(IF($N4397="Other Bond TM",ModelParameters!$N$21,1)*(P4397*Q4397+R4397),1))</f>
        <v>0.025</v>
      </c>
      <c r="T4397" s="85">
        <f>IF(B4397="",0,$S4397*$K4397)</f>
        <v>149.49072292091324</v>
      </c>
      <c r="U4397" s="85">
        <f>IF(B4397="",0,IF(OR(H4397=MappingTables!$C$34,H4397=MappingTables!$C$35),T4397,0))</f>
        <v>0</v>
      </c>
      <c r="V4397" s="85">
        <f>IF(ISNA(IF(AND(VLOOKUP(CONCATENATE($D4397,$G4397),CSRFinput!$B:$E,4,0)=0,OR(H4397=MappingTables!$C$34,H4397=MappingTables!$C$35)),1,VLOOKUP(CONCATENATE($D4397,$G4397),CSRFinput!$B:$E,4,0))),0,IF(AND(VLOOKUP(CONCATENATE($D4397,$G4397),CSRFinput!$B:$E,4,0)=0,OR(H4397=MappingTables!$C$34,H4397=MappingTables!$C$35)),1,VLOOKUP(CONCATENATE($D4397,$G4397),CSRFinput!$B:$E,4,0)))</f>
        <v>0.054776304963434752</v>
      </c>
      <c r="W4397" s="85">
        <f>IF(B4397="",0,+$T4397*$V4397)</f>
        <v>8.1885494279202704</v>
      </c>
      <c r="X4397" s="85">
        <f>IF(B4397="",0,IF(OR(H4397=MappingTables!$C$34,H4397=MappingTables!$C$35),W4397,0))</f>
        <v>0</v>
      </c>
    </row>
    <row r="4398" spans="2:24" s="0" customFormat="0" ht="15">
      <c r="B4398" s="69" t="s">
        <v>2946</v>
      </c>
      <c r="C4398" s="70" t="s">
        <v>2947</v>
      </c>
      <c r="D4398" s="70" t="s">
        <v>1</v>
      </c>
      <c r="E4398" s="70" t="s">
        <v>1</v>
      </c>
      <c r="F4398" s="70"/>
      <c r="G4398" s="70" t="s">
        <v>61</v>
      </c>
      <c r="H4398" s="70" t="s">
        <v>178</v>
      </c>
      <c r="I4398" s="70" t="s">
        <v>220</v>
      </c>
      <c r="J4398" s="71">
        <f>IF(OR(I4398=0,I4398=""),"unrated",VLOOKUP(I4398,MappingTables!$B$19:$C$31,2,FALSE))</f>
        <v>1</v>
      </c>
      <c r="K4398" s="72">
        <v>1017.0363113666526</v>
      </c>
      <c r="L4398" s="70">
        <v>0.93820494263161424</v>
      </c>
      <c r="M4398" s="71">
        <f>IF(L4398&lt;1,1,L4398)</f>
        <v>1</v>
      </c>
      <c r="N4398" s="70" t="s">
        <v>141</v>
      </c>
      <c r="O4398" s="71">
        <f>INDEX(DurClassMapping,MATCH(M4398,MappingTables!$D$4:$D$8,-1),1)</f>
        <v>1</v>
      </c>
      <c r="P4398" s="73">
        <f>IF(M4398=$A$1,1,$M4398-INDEX(MappingTables!$E$4:$E$8,MATCH(O4398,MappingTables!$B$4:$B$8,0)))</f>
        <v>1</v>
      </c>
      <c r="Q4398" s="71">
        <f>IF(B4398="",0,INDEX(ModelParameters!$D$6:$K$10,MATCH($O4398,ModelParameters!$B$6:$B$10,0),MATCH($J4398,ModelParameters!$D$5:$K$5,0)))</f>
        <v>0.011000000000000002</v>
      </c>
      <c r="R4398" s="71">
        <f>IF(B4398="",0,INDEX(ModelParameters!$D$13:$K$17,MATCH($O4398,ModelParameters!$B$13:$B$17,0),MATCH($J4398,ModelParameters!$D$5:$K$5,0)))</f>
        <v>0</v>
      </c>
      <c r="S4398" s="160">
        <f>IF(B4398="",0,MIN(IF($N4398="Other Bond TM",ModelParameters!$N$21,1)*(P4398*Q4398+R4398),1))</f>
        <v>0.011000000000000002</v>
      </c>
      <c r="T4398" s="85">
        <f>IF(B4398="",0,$S4398*$K4398)</f>
        <v>11.18739942503318</v>
      </c>
      <c r="U4398" s="85">
        <f>IF(B4398="",0,IF(OR(H4398=MappingTables!$C$34,H4398=MappingTables!$C$35),T4398,0))</f>
        <v>0</v>
      </c>
      <c r="V4398" s="85">
        <f>IF(ISNA(IF(AND(VLOOKUP(CONCATENATE($D4398,$G4398),CSRFinput!$B:$E,4,0)=0,OR(H4398=MappingTables!$C$34,H4398=MappingTables!$C$35)),1,VLOOKUP(CONCATENATE($D4398,$G4398),CSRFinput!$B:$E,4,0))),0,IF(AND(VLOOKUP(CONCATENATE($D4398,$G4398),CSRFinput!$B:$E,4,0)=0,OR(H4398=MappingTables!$C$34,H4398=MappingTables!$C$35)),1,VLOOKUP(CONCATENATE($D4398,$G4398),CSRFinput!$B:$E,4,0)))</f>
        <v>0.054776304963434752</v>
      </c>
      <c r="W4398" s="85">
        <f>IF(B4398="",0,+$T4398*$V4398)</f>
        <v>0.61280440265337208</v>
      </c>
      <c r="X4398" s="85">
        <f>IF(B4398="",0,IF(OR(H4398=MappingTables!$C$34,H4398=MappingTables!$C$35),W4398,0))</f>
        <v>0</v>
      </c>
    </row>
    <row r="4399" spans="2:24" s="0" customFormat="0" ht="15">
      <c r="B4399" s="69" t="s">
        <v>2229</v>
      </c>
      <c r="C4399" s="70" t="s">
        <v>2230</v>
      </c>
      <c r="D4399" s="70" t="s">
        <v>1</v>
      </c>
      <c r="E4399" s="70" t="s">
        <v>1</v>
      </c>
      <c r="F4399" s="70"/>
      <c r="G4399" s="70" t="s">
        <v>61</v>
      </c>
      <c r="H4399" s="70" t="s">
        <v>178</v>
      </c>
      <c r="I4399" s="70" t="s">
        <v>198</v>
      </c>
      <c r="J4399" s="71" t="str">
        <f>IF(OR(I4399=0,I4399=""),"unrated",VLOOKUP(I4399,MappingTables!$B$19:$C$31,2,FALSE))</f>
        <v>unrated</v>
      </c>
      <c r="K4399" s="72">
        <v>256.15864366058872</v>
      </c>
      <c r="L4399" s="70">
        <v>4.5146879800239808</v>
      </c>
      <c r="M4399" s="71">
        <f>IF(L4399&lt;1,1,L4399)</f>
        <v>4.5146879800239808</v>
      </c>
      <c r="N4399" s="70" t="s">
        <v>141</v>
      </c>
      <c r="O4399" s="71">
        <f>INDEX(DurClassMapping,MATCH(M4399,MappingTables!$D$4:$D$8,-1),1)</f>
        <v>1</v>
      </c>
      <c r="P4399" s="73">
        <f>IF(M4399=$A$1,1,$M4399-INDEX(MappingTables!$E$4:$E$8,MATCH(O4399,MappingTables!$B$4:$B$8,0)))</f>
        <v>4.5146879800239808</v>
      </c>
      <c r="Q4399" s="71">
        <f>IF(B4399="",0,INDEX(ModelParameters!$D$6:$K$10,MATCH($O4399,ModelParameters!$B$6:$B$10,0),MATCH($J4399,ModelParameters!$D$5:$K$5,0)))</f>
        <v>0.03</v>
      </c>
      <c r="R4399" s="71">
        <f>IF(B4399="",0,INDEX(ModelParameters!$D$13:$K$17,MATCH($O4399,ModelParameters!$B$13:$B$17,0),MATCH($J4399,ModelParameters!$D$5:$K$5,0)))</f>
        <v>0</v>
      </c>
      <c r="S4399" s="160">
        <f>IF(B4399="",0,MIN(IF($N4399="Other Bond TM",ModelParameters!$N$21,1)*(P4399*Q4399+R4399),1))</f>
        <v>0.1354406394007194</v>
      </c>
      <c r="T4399" s="85">
        <f>IF(B4399="",0,$S4399*$K4399)</f>
        <v>34.694290485411172</v>
      </c>
      <c r="U4399" s="85">
        <f>IF(B4399="",0,IF(OR(H4399=MappingTables!$C$34,H4399=MappingTables!$C$35),T4399,0))</f>
        <v>0</v>
      </c>
      <c r="V4399" s="85">
        <f>IF(ISNA(IF(AND(VLOOKUP(CONCATENATE($D4399,$G4399),CSRFinput!$B:$E,4,0)=0,OR(H4399=MappingTables!$C$34,H4399=MappingTables!$C$35)),1,VLOOKUP(CONCATENATE($D4399,$G4399),CSRFinput!$B:$E,4,0))),0,IF(AND(VLOOKUP(CONCATENATE($D4399,$G4399),CSRFinput!$B:$E,4,0)=0,OR(H4399=MappingTables!$C$34,H4399=MappingTables!$C$35)),1,VLOOKUP(CONCATENATE($D4399,$G4399),CSRFinput!$B:$E,4,0)))</f>
        <v>0.054776304963434752</v>
      </c>
      <c r="W4399" s="85">
        <f>IF(B4399="",0,+$T4399*$V4399)</f>
        <v>1.9004250361188752</v>
      </c>
      <c r="X4399" s="85">
        <f>IF(B4399="",0,IF(OR(H4399=MappingTables!$C$34,H4399=MappingTables!$C$35),W4399,0))</f>
        <v>0</v>
      </c>
    </row>
    <row r="4400" spans="2:24" s="0" customFormat="0" ht="15">
      <c r="B4400" s="69">
        <v>12774289</v>
      </c>
      <c r="C4400" s="70" t="s">
        <v>2774</v>
      </c>
      <c r="D4400" s="70" t="s">
        <v>1</v>
      </c>
      <c r="E4400" s="70" t="s">
        <v>1</v>
      </c>
      <c r="F4400" s="70"/>
      <c r="G4400" s="70" t="s">
        <v>61</v>
      </c>
      <c r="H4400" s="70" t="s">
        <v>178</v>
      </c>
      <c r="I4400" s="70" t="s">
        <v>188</v>
      </c>
      <c r="J4400" s="71">
        <f>IF(OR(I4400=0,I4400=""),"unrated",VLOOKUP(I4400,MappingTables!$B$19:$C$31,2,FALSE))</f>
        <v>2</v>
      </c>
      <c r="K4400" s="72">
        <v>2456.1875381521936</v>
      </c>
      <c r="L4400" s="70">
        <v>0.80980957054215392</v>
      </c>
      <c r="M4400" s="71">
        <f>IF(L4400&lt;1,1,L4400)</f>
        <v>1</v>
      </c>
      <c r="N4400" s="70" t="s">
        <v>141</v>
      </c>
      <c r="O4400" s="71">
        <f>INDEX(DurClassMapping,MATCH(M4400,MappingTables!$D$4:$D$8,-1),1)</f>
        <v>1</v>
      </c>
      <c r="P4400" s="73">
        <f>IF(M4400=$A$1,1,$M4400-INDEX(MappingTables!$E$4:$E$8,MATCH(O4400,MappingTables!$B$4:$B$8,0)))</f>
        <v>1</v>
      </c>
      <c r="Q4400" s="71">
        <f>IF(B4400="",0,INDEX(ModelParameters!$D$6:$K$10,MATCH($O4400,ModelParameters!$B$6:$B$10,0),MATCH($J4400,ModelParameters!$D$5:$K$5,0)))</f>
        <v>0.013999999999999998</v>
      </c>
      <c r="R4400" s="71">
        <f>IF(B4400="",0,INDEX(ModelParameters!$D$13:$K$17,MATCH($O4400,ModelParameters!$B$13:$B$17,0),MATCH($J4400,ModelParameters!$D$5:$K$5,0)))</f>
        <v>0</v>
      </c>
      <c r="S4400" s="160">
        <f>IF(B4400="",0,MIN(IF($N4400="Other Bond TM",ModelParameters!$N$21,1)*(P4400*Q4400+R4400),1))</f>
        <v>0.013999999999999998</v>
      </c>
      <c r="T4400" s="85">
        <f>IF(B4400="",0,$S4400*$K4400)</f>
        <v>34.386625534130708</v>
      </c>
      <c r="U4400" s="85">
        <f>IF(B4400="",0,IF(OR(H4400=MappingTables!$C$34,H4400=MappingTables!$C$35),T4400,0))</f>
        <v>0</v>
      </c>
      <c r="V4400" s="85">
        <f>IF(ISNA(IF(AND(VLOOKUP(CONCATENATE($D4400,$G4400),CSRFinput!$B:$E,4,0)=0,OR(H4400=MappingTables!$C$34,H4400=MappingTables!$C$35)),1,VLOOKUP(CONCATENATE($D4400,$G4400),CSRFinput!$B:$E,4,0))),0,IF(AND(VLOOKUP(CONCATENATE($D4400,$G4400),CSRFinput!$B:$E,4,0)=0,OR(H4400=MappingTables!$C$34,H4400=MappingTables!$C$35)),1,VLOOKUP(CONCATENATE($D4400,$G4400),CSRFinput!$B:$E,4,0)))</f>
        <v>0.054776304963434752</v>
      </c>
      <c r="W4400" s="85">
        <f>IF(B4400="",0,+$T4400*$V4400)</f>
        <v>1.883572286920976</v>
      </c>
      <c r="X4400" s="85">
        <f>IF(B4400="",0,IF(OR(H4400=MappingTables!$C$34,H4400=MappingTables!$C$35),W4400,0))</f>
        <v>0</v>
      </c>
    </row>
    <row r="4401" spans="2:24" s="0" customFormat="0" ht="15">
      <c r="B4401" s="69">
        <v>1669787</v>
      </c>
      <c r="C4401" s="70" t="s">
        <v>2978</v>
      </c>
      <c r="D4401" s="70" t="s">
        <v>1</v>
      </c>
      <c r="E4401" s="70" t="s">
        <v>1</v>
      </c>
      <c r="F4401" s="70"/>
      <c r="G4401" s="70" t="s">
        <v>61</v>
      </c>
      <c r="H4401" s="70" t="s">
        <v>178</v>
      </c>
      <c r="I4401" s="70" t="s">
        <v>181</v>
      </c>
      <c r="J4401" s="71">
        <f>IF(OR(I4401=0,I4401=""),"unrated",VLOOKUP(I4401,MappingTables!$B$19:$C$31,2,FALSE))</f>
        <v>3</v>
      </c>
      <c r="K4401" s="72">
        <v>10746.923900162622</v>
      </c>
      <c r="L4401" s="70">
        <v>7.4365177289330112</v>
      </c>
      <c r="M4401" s="71">
        <f>IF(L4401&lt;1,1,L4401)</f>
        <v>7.4365177289330112</v>
      </c>
      <c r="N4401" s="70" t="s">
        <v>141</v>
      </c>
      <c r="O4401" s="71">
        <f>INDEX(DurClassMapping,MATCH(M4401,MappingTables!$D$4:$D$8,-1),1)</f>
        <v>2</v>
      </c>
      <c r="P4401" s="73">
        <f>IF(M4401=$A$1,1,$M4401-INDEX(MappingTables!$E$4:$E$8,MATCH(O4401,MappingTables!$B$4:$B$8,0)))</f>
        <v>2.4365177289330112</v>
      </c>
      <c r="Q4401" s="71">
        <f>IF(B4401="",0,INDEX(ModelParameters!$D$6:$K$10,MATCH($O4401,ModelParameters!$B$6:$B$10,0),MATCH($J4401,ModelParameters!$D$5:$K$5,0)))</f>
        <v>0.015</v>
      </c>
      <c r="R4401" s="71">
        <f>IF(B4401="",0,INDEX(ModelParameters!$D$13:$K$17,MATCH($O4401,ModelParameters!$B$13:$B$17,0),MATCH($J4401,ModelParameters!$D$5:$K$5,0)))</f>
        <v>0.125</v>
      </c>
      <c r="S4401" s="160">
        <f>IF(B4401="",0,MIN(IF($N4401="Other Bond TM",ModelParameters!$N$21,1)*(P4401*Q4401+R4401),1))</f>
        <v>0.16154776593399516</v>
      </c>
      <c r="T4401" s="85">
        <f>IF(B4401="",0,$S4401*$K4401)</f>
        <v>1736.1415467339298</v>
      </c>
      <c r="U4401" s="85">
        <f>IF(B4401="",0,IF(OR(H4401=MappingTables!$C$34,H4401=MappingTables!$C$35),T4401,0))</f>
        <v>0</v>
      </c>
      <c r="V4401" s="85">
        <f>IF(ISNA(IF(AND(VLOOKUP(CONCATENATE($D4401,$G4401),CSRFinput!$B:$E,4,0)=0,OR(H4401=MappingTables!$C$34,H4401=MappingTables!$C$35)),1,VLOOKUP(CONCATENATE($D4401,$G4401),CSRFinput!$B:$E,4,0))),0,IF(AND(VLOOKUP(CONCATENATE($D4401,$G4401),CSRFinput!$B:$E,4,0)=0,OR(H4401=MappingTables!$C$34,H4401=MappingTables!$C$35)),1,VLOOKUP(CONCATENATE($D4401,$G4401),CSRFinput!$B:$E,4,0)))</f>
        <v>0.054776304963434752</v>
      </c>
      <c r="W4401" s="85">
        <f>IF(B4401="",0,+$T4401*$V4401)</f>
        <v>95.09941882358704</v>
      </c>
      <c r="X4401" s="85">
        <f>IF(B4401="",0,IF(OR(H4401=MappingTables!$C$34,H4401=MappingTables!$C$35),W4401,0))</f>
        <v>0</v>
      </c>
    </row>
    <row r="4402" spans="2:24" s="0" customFormat="0" ht="15">
      <c r="B4402" s="69">
        <v>16974005</v>
      </c>
      <c r="C4402" s="70" t="s">
        <v>1461</v>
      </c>
      <c r="D4402" s="70" t="s">
        <v>1</v>
      </c>
      <c r="E4402" s="70" t="s">
        <v>1</v>
      </c>
      <c r="F4402" s="70"/>
      <c r="G4402" s="70" t="s">
        <v>61</v>
      </c>
      <c r="H4402" s="70" t="s">
        <v>178</v>
      </c>
      <c r="I4402" s="70" t="s">
        <v>220</v>
      </c>
      <c r="J4402" s="71">
        <f>IF(OR(I4402=0,I4402=""),"unrated",VLOOKUP(I4402,MappingTables!$B$19:$C$31,2,FALSE))</f>
        <v>1</v>
      </c>
      <c r="K4402" s="72">
        <v>2772.6132291354084</v>
      </c>
      <c r="L4402" s="70">
        <v>0.13698835925908492</v>
      </c>
      <c r="M4402" s="71">
        <f>IF(L4402&lt;1,1,L4402)</f>
        <v>1</v>
      </c>
      <c r="N4402" s="70" t="s">
        <v>141</v>
      </c>
      <c r="O4402" s="71">
        <f>INDEX(DurClassMapping,MATCH(M4402,MappingTables!$D$4:$D$8,-1),1)</f>
        <v>1</v>
      </c>
      <c r="P4402" s="73">
        <f>IF(M4402=$A$1,1,$M4402-INDEX(MappingTables!$E$4:$E$8,MATCH(O4402,MappingTables!$B$4:$B$8,0)))</f>
        <v>1</v>
      </c>
      <c r="Q4402" s="71">
        <f>IF(B4402="",0,INDEX(ModelParameters!$D$6:$K$10,MATCH($O4402,ModelParameters!$B$6:$B$10,0),MATCH($J4402,ModelParameters!$D$5:$K$5,0)))</f>
        <v>0.011000000000000002</v>
      </c>
      <c r="R4402" s="71">
        <f>IF(B4402="",0,INDEX(ModelParameters!$D$13:$K$17,MATCH($O4402,ModelParameters!$B$13:$B$17,0),MATCH($J4402,ModelParameters!$D$5:$K$5,0)))</f>
        <v>0</v>
      </c>
      <c r="S4402" s="160">
        <f>IF(B4402="",0,MIN(IF($N4402="Other Bond TM",ModelParameters!$N$21,1)*(P4402*Q4402+R4402),1))</f>
        <v>0.011000000000000002</v>
      </c>
      <c r="T4402" s="85">
        <f>IF(B4402="",0,$S4402*$K4402)</f>
        <v>30.498745520489496</v>
      </c>
      <c r="U4402" s="85">
        <f>IF(B4402="",0,IF(OR(H4402=MappingTables!$C$34,H4402=MappingTables!$C$35),T4402,0))</f>
        <v>0</v>
      </c>
      <c r="V4402" s="85">
        <f>IF(ISNA(IF(AND(VLOOKUP(CONCATENATE($D4402,$G4402),CSRFinput!$B:$E,4,0)=0,OR(H4402=MappingTables!$C$34,H4402=MappingTables!$C$35)),1,VLOOKUP(CONCATENATE($D4402,$G4402),CSRFinput!$B:$E,4,0))),0,IF(AND(VLOOKUP(CONCATENATE($D4402,$G4402),CSRFinput!$B:$E,4,0)=0,OR(H4402=MappingTables!$C$34,H4402=MappingTables!$C$35)),1,VLOOKUP(CONCATENATE($D4402,$G4402),CSRFinput!$B:$E,4,0)))</f>
        <v>0.054776304963434752</v>
      </c>
      <c r="W4402" s="85">
        <f>IF(B4402="",0,+$T4402*$V4402)</f>
        <v>1.6706085856325224</v>
      </c>
      <c r="X4402" s="85">
        <f>IF(B4402="",0,IF(OR(H4402=MappingTables!$C$34,H4402=MappingTables!$C$35),W4402,0))</f>
        <v>0</v>
      </c>
    </row>
    <row r="4403" spans="2:24" s="0" customFormat="0" ht="15">
      <c r="B4403" s="69">
        <v>16131459</v>
      </c>
      <c r="C4403" s="70" t="s">
        <v>3022</v>
      </c>
      <c r="D4403" s="70" t="s">
        <v>1</v>
      </c>
      <c r="E4403" s="70" t="s">
        <v>1</v>
      </c>
      <c r="F4403" s="70"/>
      <c r="G4403" s="70" t="s">
        <v>61</v>
      </c>
      <c r="H4403" s="70" t="s">
        <v>178</v>
      </c>
      <c r="I4403" s="70" t="s">
        <v>181</v>
      </c>
      <c r="J4403" s="71">
        <f>IF(OR(I4403=0,I4403=""),"unrated",VLOOKUP(I4403,MappingTables!$B$19:$C$31,2,FALSE))</f>
        <v>3</v>
      </c>
      <c r="K4403" s="72">
        <v>676.86181280399112</v>
      </c>
      <c r="L4403" s="70">
        <v>2.1640718218542008</v>
      </c>
      <c r="M4403" s="71">
        <f>IF(L4403&lt;1,1,L4403)</f>
        <v>2.1640718218542008</v>
      </c>
      <c r="N4403" s="70" t="s">
        <v>141</v>
      </c>
      <c r="O4403" s="71">
        <f>INDEX(DurClassMapping,MATCH(M4403,MappingTables!$D$4:$D$8,-1),1)</f>
        <v>1</v>
      </c>
      <c r="P4403" s="73">
        <f>IF(M4403=$A$1,1,$M4403-INDEX(MappingTables!$E$4:$E$8,MATCH(O4403,MappingTables!$B$4:$B$8,0)))</f>
        <v>2.1640718218542008</v>
      </c>
      <c r="Q4403" s="71">
        <f>IF(B4403="",0,INDEX(ModelParameters!$D$6:$K$10,MATCH($O4403,ModelParameters!$B$6:$B$10,0),MATCH($J4403,ModelParameters!$D$5:$K$5,0)))</f>
        <v>0.025</v>
      </c>
      <c r="R4403" s="71">
        <f>IF(B4403="",0,INDEX(ModelParameters!$D$13:$K$17,MATCH($O4403,ModelParameters!$B$13:$B$17,0),MATCH($J4403,ModelParameters!$D$5:$K$5,0)))</f>
        <v>0</v>
      </c>
      <c r="S4403" s="160">
        <f>IF(B4403="",0,MIN(IF($N4403="Other Bond TM",ModelParameters!$N$21,1)*(P4403*Q4403+R4403),1))</f>
        <v>0.054101795546355024</v>
      </c>
      <c r="T4403" s="85">
        <f>IF(B4403="",0,$S4403*$K4403)</f>
        <v>36.61943940945676</v>
      </c>
      <c r="U4403" s="85">
        <f>IF(B4403="",0,IF(OR(H4403=MappingTables!$C$34,H4403=MappingTables!$C$35),T4403,0))</f>
        <v>0</v>
      </c>
      <c r="V4403" s="85">
        <f>IF(ISNA(IF(AND(VLOOKUP(CONCATENATE($D4403,$G4403),CSRFinput!$B:$E,4,0)=0,OR(H4403=MappingTables!$C$34,H4403=MappingTables!$C$35)),1,VLOOKUP(CONCATENATE($D4403,$G4403),CSRFinput!$B:$E,4,0))),0,IF(AND(VLOOKUP(CONCATENATE($D4403,$G4403),CSRFinput!$B:$E,4,0)=0,OR(H4403=MappingTables!$C$34,H4403=MappingTables!$C$35)),1,VLOOKUP(CONCATENATE($D4403,$G4403),CSRFinput!$B:$E,4,0)))</f>
        <v>0.054776304963434752</v>
      </c>
      <c r="W4403" s="85">
        <f>IF(B4403="",0,+$T4403*$V4403)</f>
        <v>2.0058775806824248</v>
      </c>
      <c r="X4403" s="85">
        <f>IF(B4403="",0,IF(OR(H4403=MappingTables!$C$34,H4403=MappingTables!$C$35),W4403,0))</f>
        <v>0</v>
      </c>
    </row>
    <row r="4404" spans="2:24" s="0" customFormat="0" ht="15">
      <c r="B4404" s="69">
        <v>17290604</v>
      </c>
      <c r="C4404" s="70" t="s">
        <v>2687</v>
      </c>
      <c r="D4404" s="70" t="s">
        <v>1</v>
      </c>
      <c r="E4404" s="70" t="s">
        <v>1</v>
      </c>
      <c r="F4404" s="70"/>
      <c r="G4404" s="70" t="s">
        <v>61</v>
      </c>
      <c r="H4404" s="70" t="s">
        <v>178</v>
      </c>
      <c r="I4404" s="70" t="s">
        <v>184</v>
      </c>
      <c r="J4404" s="71">
        <f>IF(OR(I4404=0,I4404=""),"unrated",VLOOKUP(I4404,MappingTables!$B$19:$C$31,2,FALSE))</f>
        <v>5</v>
      </c>
      <c r="K4404" s="72">
        <v>2378.1687332023668</v>
      </c>
      <c r="L4404" s="70">
        <v>0.5326288273191696</v>
      </c>
      <c r="M4404" s="71">
        <f>IF(L4404&lt;1,1,L4404)</f>
        <v>1</v>
      </c>
      <c r="N4404" s="70" t="s">
        <v>141</v>
      </c>
      <c r="O4404" s="71">
        <f>INDEX(DurClassMapping,MATCH(M4404,MappingTables!$D$4:$D$8,-1),1)</f>
        <v>1</v>
      </c>
      <c r="P4404" s="73">
        <f>IF(M4404=$A$1,1,$M4404-INDEX(MappingTables!$E$4:$E$8,MATCH(O4404,MappingTables!$B$4:$B$8,0)))</f>
        <v>1</v>
      </c>
      <c r="Q4404" s="71">
        <f>IF(B4404="",0,INDEX(ModelParameters!$D$6:$K$10,MATCH($O4404,ModelParameters!$B$6:$B$10,0),MATCH($J4404,ModelParameters!$D$5:$K$5,0)))</f>
        <v>0.075</v>
      </c>
      <c r="R4404" s="71">
        <f>IF(B4404="",0,INDEX(ModelParameters!$D$13:$K$17,MATCH($O4404,ModelParameters!$B$13:$B$17,0),MATCH($J4404,ModelParameters!$D$5:$K$5,0)))</f>
        <v>0</v>
      </c>
      <c r="S4404" s="160">
        <f>IF(B4404="",0,MIN(IF($N4404="Other Bond TM",ModelParameters!$N$21,1)*(P4404*Q4404+R4404),1))</f>
        <v>0.075</v>
      </c>
      <c r="T4404" s="85">
        <f>IF(B4404="",0,$S4404*$K4404)</f>
        <v>178.3626549901775</v>
      </c>
      <c r="U4404" s="85">
        <f>IF(B4404="",0,IF(OR(H4404=MappingTables!$C$34,H4404=MappingTables!$C$35),T4404,0))</f>
        <v>0</v>
      </c>
      <c r="V4404" s="85">
        <f>IF(ISNA(IF(AND(VLOOKUP(CONCATENATE($D4404,$G4404),CSRFinput!$B:$E,4,0)=0,OR(H4404=MappingTables!$C$34,H4404=MappingTables!$C$35)),1,VLOOKUP(CONCATENATE($D4404,$G4404),CSRFinput!$B:$E,4,0))),0,IF(AND(VLOOKUP(CONCATENATE($D4404,$G4404),CSRFinput!$B:$E,4,0)=0,OR(H4404=MappingTables!$C$34,H4404=MappingTables!$C$35)),1,VLOOKUP(CONCATENATE($D4404,$G4404),CSRFinput!$B:$E,4,0)))</f>
        <v>0.054776304963434752</v>
      </c>
      <c r="W4404" s="85">
        <f>IF(B4404="",0,+$T4404*$V4404)</f>
        <v>9.7700471838298592</v>
      </c>
      <c r="X4404" s="85">
        <f>IF(B4404="",0,IF(OR(H4404=MappingTables!$C$34,H4404=MappingTables!$C$35),W4404,0))</f>
        <v>0</v>
      </c>
    </row>
    <row r="4405" spans="2:24" s="0" customFormat="0" ht="15">
      <c r="B4405" s="69">
        <v>12182640</v>
      </c>
      <c r="C4405" s="70" t="s">
        <v>2863</v>
      </c>
      <c r="D4405" s="70" t="s">
        <v>1</v>
      </c>
      <c r="E4405" s="70" t="s">
        <v>1</v>
      </c>
      <c r="F4405" s="70"/>
      <c r="G4405" s="70" t="s">
        <v>61</v>
      </c>
      <c r="H4405" s="70" t="s">
        <v>178</v>
      </c>
      <c r="I4405" s="70" t="s">
        <v>179</v>
      </c>
      <c r="J4405" s="71">
        <f>IF(OR(I4405=0,I4405=""),"unrated",VLOOKUP(I4405,MappingTables!$B$19:$C$31,2,FALSE))</f>
        <v>4</v>
      </c>
      <c r="K4405" s="72">
        <v>527.64648509274136</v>
      </c>
      <c r="L4405" s="70">
        <v>0.413700408647328</v>
      </c>
      <c r="M4405" s="71">
        <f>IF(L4405&lt;1,1,L4405)</f>
        <v>1</v>
      </c>
      <c r="N4405" s="70" t="s">
        <v>141</v>
      </c>
      <c r="O4405" s="71">
        <f>INDEX(DurClassMapping,MATCH(M4405,MappingTables!$D$4:$D$8,-1),1)</f>
        <v>1</v>
      </c>
      <c r="P4405" s="73">
        <f>IF(M4405=$A$1,1,$M4405-INDEX(MappingTables!$E$4:$E$8,MATCH(O4405,MappingTables!$B$4:$B$8,0)))</f>
        <v>1</v>
      </c>
      <c r="Q4405" s="71">
        <f>IF(B4405="",0,INDEX(ModelParameters!$D$6:$K$10,MATCH($O4405,ModelParameters!$B$6:$B$10,0),MATCH($J4405,ModelParameters!$D$5:$K$5,0)))</f>
        <v>0.045</v>
      </c>
      <c r="R4405" s="71">
        <f>IF(B4405="",0,INDEX(ModelParameters!$D$13:$K$17,MATCH($O4405,ModelParameters!$B$13:$B$17,0),MATCH($J4405,ModelParameters!$D$5:$K$5,0)))</f>
        <v>0</v>
      </c>
      <c r="S4405" s="160">
        <f>IF(B4405="",0,MIN(IF($N4405="Other Bond TM",ModelParameters!$N$21,1)*(P4405*Q4405+R4405),1))</f>
        <v>0.045</v>
      </c>
      <c r="T4405" s="85">
        <f>IF(B4405="",0,$S4405*$K4405)</f>
        <v>23.74409182917336</v>
      </c>
      <c r="U4405" s="85">
        <f>IF(B4405="",0,IF(OR(H4405=MappingTables!$C$34,H4405=MappingTables!$C$35),T4405,0))</f>
        <v>0</v>
      </c>
      <c r="V4405" s="85">
        <f>IF(ISNA(IF(AND(VLOOKUP(CONCATENATE($D4405,$G4405),CSRFinput!$B:$E,4,0)=0,OR(H4405=MappingTables!$C$34,H4405=MappingTables!$C$35)),1,VLOOKUP(CONCATENATE($D4405,$G4405),CSRFinput!$B:$E,4,0))),0,IF(AND(VLOOKUP(CONCATENATE($D4405,$G4405),CSRFinput!$B:$E,4,0)=0,OR(H4405=MappingTables!$C$34,H4405=MappingTables!$C$35)),1,VLOOKUP(CONCATENATE($D4405,$G4405),CSRFinput!$B:$E,4,0)))</f>
        <v>0.054776304963434752</v>
      </c>
      <c r="W4405" s="85">
        <f>IF(B4405="",0,+$T4405*$V4405)</f>
        <v>1.3006136151145992</v>
      </c>
      <c r="X4405" s="85">
        <f>IF(B4405="",0,IF(OR(H4405=MappingTables!$C$34,H4405=MappingTables!$C$35),W4405,0))</f>
        <v>0</v>
      </c>
    </row>
    <row r="4406" spans="2:24" s="0" customFormat="0" ht="15">
      <c r="B4406" s="69">
        <v>19005970</v>
      </c>
      <c r="C4406" s="70" t="s">
        <v>1879</v>
      </c>
      <c r="D4406" s="70" t="s">
        <v>1</v>
      </c>
      <c r="E4406" s="70" t="s">
        <v>1</v>
      </c>
      <c r="F4406" s="70"/>
      <c r="G4406" s="70" t="s">
        <v>61</v>
      </c>
      <c r="H4406" s="70" t="s">
        <v>178</v>
      </c>
      <c r="I4406" s="70" t="s">
        <v>179</v>
      </c>
      <c r="J4406" s="71">
        <f>IF(OR(I4406=0,I4406=""),"unrated",VLOOKUP(I4406,MappingTables!$B$19:$C$31,2,FALSE))</f>
        <v>4</v>
      </c>
      <c r="K4406" s="72">
        <v>49194.69269214192</v>
      </c>
      <c r="L4406" s="70">
        <v>2.8091676634817268</v>
      </c>
      <c r="M4406" s="71">
        <f>IF(L4406&lt;1,1,L4406)</f>
        <v>2.8091676634817268</v>
      </c>
      <c r="N4406" s="70" t="s">
        <v>141</v>
      </c>
      <c r="O4406" s="71">
        <f>INDEX(DurClassMapping,MATCH(M4406,MappingTables!$D$4:$D$8,-1),1)</f>
        <v>1</v>
      </c>
      <c r="P4406" s="73">
        <f>IF(M4406=$A$1,1,$M4406-INDEX(MappingTables!$E$4:$E$8,MATCH(O4406,MappingTables!$B$4:$B$8,0)))</f>
        <v>2.8091676634817268</v>
      </c>
      <c r="Q4406" s="71">
        <f>IF(B4406="",0,INDEX(ModelParameters!$D$6:$K$10,MATCH($O4406,ModelParameters!$B$6:$B$10,0),MATCH($J4406,ModelParameters!$D$5:$K$5,0)))</f>
        <v>0.045</v>
      </c>
      <c r="R4406" s="71">
        <f>IF(B4406="",0,INDEX(ModelParameters!$D$13:$K$17,MATCH($O4406,ModelParameters!$B$13:$B$17,0),MATCH($J4406,ModelParameters!$D$5:$K$5,0)))</f>
        <v>0</v>
      </c>
      <c r="S4406" s="160">
        <f>IF(B4406="",0,MIN(IF($N4406="Other Bond TM",ModelParameters!$N$21,1)*(P4406*Q4406+R4406),1))</f>
        <v>0.12641254485667772</v>
      </c>
      <c r="T4406" s="85">
        <f>IF(B4406="",0,$S4406*$K4406)</f>
        <v>6218.8262966558656</v>
      </c>
      <c r="U4406" s="85">
        <f>IF(B4406="",0,IF(OR(H4406=MappingTables!$C$34,H4406=MappingTables!$C$35),T4406,0))</f>
        <v>0</v>
      </c>
      <c r="V4406" s="85">
        <f>IF(ISNA(IF(AND(VLOOKUP(CONCATENATE($D4406,$G4406),CSRFinput!$B:$E,4,0)=0,OR(H4406=MappingTables!$C$34,H4406=MappingTables!$C$35)),1,VLOOKUP(CONCATENATE($D4406,$G4406),CSRFinput!$B:$E,4,0))),0,IF(AND(VLOOKUP(CONCATENATE($D4406,$G4406),CSRFinput!$B:$E,4,0)=0,OR(H4406=MappingTables!$C$34,H4406=MappingTables!$C$35)),1,VLOOKUP(CONCATENATE($D4406,$G4406),CSRFinput!$B:$E,4,0)))</f>
        <v>0.054776304963434752</v>
      </c>
      <c r="W4406" s="85">
        <f>IF(B4406="",0,+$T4406*$V4406)</f>
        <v>340.64432574024924</v>
      </c>
      <c r="X4406" s="85">
        <f>IF(B4406="",0,IF(OR(H4406=MappingTables!$C$34,H4406=MappingTables!$C$35),W4406,0))</f>
        <v>0</v>
      </c>
    </row>
    <row r="4407" spans="2:24" s="0" customFormat="0" ht="15">
      <c r="B4407" s="69">
        <v>20525960</v>
      </c>
      <c r="C4407" s="70" t="s">
        <v>3025</v>
      </c>
      <c r="D4407" s="70" t="s">
        <v>1</v>
      </c>
      <c r="E4407" s="70" t="s">
        <v>1</v>
      </c>
      <c r="F4407" s="70"/>
      <c r="G4407" s="70" t="s">
        <v>61</v>
      </c>
      <c r="H4407" s="70" t="s">
        <v>178</v>
      </c>
      <c r="I4407" s="70" t="s">
        <v>181</v>
      </c>
      <c r="J4407" s="71">
        <f>IF(OR(I4407=0,I4407=""),"unrated",VLOOKUP(I4407,MappingTables!$B$19:$C$31,2,FALSE))</f>
        <v>3</v>
      </c>
      <c r="K4407" s="72">
        <v>8974.0606502251296</v>
      </c>
      <c r="L4407" s="70">
        <v>3.1835705236265008</v>
      </c>
      <c r="M4407" s="71">
        <f>IF(L4407&lt;1,1,L4407)</f>
        <v>3.1835705236265008</v>
      </c>
      <c r="N4407" s="70" t="s">
        <v>141</v>
      </c>
      <c r="O4407" s="71">
        <f>INDEX(DurClassMapping,MATCH(M4407,MappingTables!$D$4:$D$8,-1),1)</f>
        <v>1</v>
      </c>
      <c r="P4407" s="73">
        <f>IF(M4407=$A$1,1,$M4407-INDEX(MappingTables!$E$4:$E$8,MATCH(O4407,MappingTables!$B$4:$B$8,0)))</f>
        <v>3.1835705236265008</v>
      </c>
      <c r="Q4407" s="71">
        <f>IF(B4407="",0,INDEX(ModelParameters!$D$6:$K$10,MATCH($O4407,ModelParameters!$B$6:$B$10,0),MATCH($J4407,ModelParameters!$D$5:$K$5,0)))</f>
        <v>0.025</v>
      </c>
      <c r="R4407" s="71">
        <f>IF(B4407="",0,INDEX(ModelParameters!$D$13:$K$17,MATCH($O4407,ModelParameters!$B$13:$B$17,0),MATCH($J4407,ModelParameters!$D$5:$K$5,0)))</f>
        <v>0</v>
      </c>
      <c r="S4407" s="160">
        <f>IF(B4407="",0,MIN(IF($N4407="Other Bond TM",ModelParameters!$N$21,1)*(P4407*Q4407+R4407),1))</f>
        <v>0.079589263090662528</v>
      </c>
      <c r="T4407" s="85">
        <f>IF(B4407="",0,$S4407*$K4407)</f>
        <v>714.23887408233</v>
      </c>
      <c r="U4407" s="85">
        <f>IF(B4407="",0,IF(OR(H4407=MappingTables!$C$34,H4407=MappingTables!$C$35),T4407,0))</f>
        <v>0</v>
      </c>
      <c r="V4407" s="85">
        <f>IF(ISNA(IF(AND(VLOOKUP(CONCATENATE($D4407,$G4407),CSRFinput!$B:$E,4,0)=0,OR(H4407=MappingTables!$C$34,H4407=MappingTables!$C$35)),1,VLOOKUP(CONCATENATE($D4407,$G4407),CSRFinput!$B:$E,4,0))),0,IF(AND(VLOOKUP(CONCATENATE($D4407,$G4407),CSRFinput!$B:$E,4,0)=0,OR(H4407=MappingTables!$C$34,H4407=MappingTables!$C$35)),1,VLOOKUP(CONCATENATE($D4407,$G4407),CSRFinput!$B:$E,4,0)))</f>
        <v>0.054776304963434752</v>
      </c>
      <c r="W4407" s="85">
        <f>IF(B4407="",0,+$T4407*$V4407)</f>
        <v>39.123366383473976</v>
      </c>
      <c r="X4407" s="85">
        <f>IF(B4407="",0,IF(OR(H4407=MappingTables!$C$34,H4407=MappingTables!$C$35),W4407,0))</f>
        <v>0</v>
      </c>
    </row>
    <row r="4408" spans="2:24" s="0" customFormat="0" ht="15">
      <c r="B4408" s="69" t="s">
        <v>2856</v>
      </c>
      <c r="C4408" s="70" t="s">
        <v>2857</v>
      </c>
      <c r="D4408" s="70" t="s">
        <v>1</v>
      </c>
      <c r="E4408" s="70" t="s">
        <v>1</v>
      </c>
      <c r="F4408" s="70"/>
      <c r="G4408" s="70" t="s">
        <v>61</v>
      </c>
      <c r="H4408" s="70" t="s">
        <v>178</v>
      </c>
      <c r="I4408" s="70" t="s">
        <v>184</v>
      </c>
      <c r="J4408" s="71">
        <f>IF(OR(I4408=0,I4408=""),"unrated",VLOOKUP(I4408,MappingTables!$B$19:$C$31,2,FALSE))</f>
        <v>5</v>
      </c>
      <c r="K4408" s="72">
        <v>272.59819173252588</v>
      </c>
      <c r="L4408" s="70">
        <v>4.164019107447408</v>
      </c>
      <c r="M4408" s="71">
        <f>IF(L4408&lt;1,1,L4408)</f>
        <v>4.164019107447408</v>
      </c>
      <c r="N4408" s="70" t="s">
        <v>141</v>
      </c>
      <c r="O4408" s="71">
        <f>INDEX(DurClassMapping,MATCH(M4408,MappingTables!$D$4:$D$8,-1),1)</f>
        <v>1</v>
      </c>
      <c r="P4408" s="73">
        <f>IF(M4408=$A$1,1,$M4408-INDEX(MappingTables!$E$4:$E$8,MATCH(O4408,MappingTables!$B$4:$B$8,0)))</f>
        <v>4.164019107447408</v>
      </c>
      <c r="Q4408" s="71">
        <f>IF(B4408="",0,INDEX(ModelParameters!$D$6:$K$10,MATCH($O4408,ModelParameters!$B$6:$B$10,0),MATCH($J4408,ModelParameters!$D$5:$K$5,0)))</f>
        <v>0.075</v>
      </c>
      <c r="R4408" s="71">
        <f>IF(B4408="",0,INDEX(ModelParameters!$D$13:$K$17,MATCH($O4408,ModelParameters!$B$13:$B$17,0),MATCH($J4408,ModelParameters!$D$5:$K$5,0)))</f>
        <v>0</v>
      </c>
      <c r="S4408" s="160">
        <f>IF(B4408="",0,MIN(IF($N4408="Other Bond TM",ModelParameters!$N$21,1)*(P4408*Q4408+R4408),1))</f>
        <v>0.31230143305855556</v>
      </c>
      <c r="T4408" s="85">
        <f>IF(B4408="",0,$S4408*$K4408)</f>
        <v>85.132805927238736</v>
      </c>
      <c r="U4408" s="85">
        <f>IF(B4408="",0,IF(OR(H4408=MappingTables!$C$34,H4408=MappingTables!$C$35),T4408,0))</f>
        <v>0</v>
      </c>
      <c r="V4408" s="85">
        <f>IF(ISNA(IF(AND(VLOOKUP(CONCATENATE($D4408,$G4408),CSRFinput!$B:$E,4,0)=0,OR(H4408=MappingTables!$C$34,H4408=MappingTables!$C$35)),1,VLOOKUP(CONCATENATE($D4408,$G4408),CSRFinput!$B:$E,4,0))),0,IF(AND(VLOOKUP(CONCATENATE($D4408,$G4408),CSRFinput!$B:$E,4,0)=0,OR(H4408=MappingTables!$C$34,H4408=MappingTables!$C$35)),1,VLOOKUP(CONCATENATE($D4408,$G4408),CSRFinput!$B:$E,4,0)))</f>
        <v>0.054776304963434752</v>
      </c>
      <c r="W4408" s="85">
        <f>IF(B4408="",0,+$T4408*$V4408)</f>
        <v>4.6632605398633344</v>
      </c>
      <c r="X4408" s="85">
        <f>IF(B4408="",0,IF(OR(H4408=MappingTables!$C$34,H4408=MappingTables!$C$35),W4408,0))</f>
        <v>0</v>
      </c>
    </row>
    <row r="4409" spans="2:24" s="0" customFormat="0" ht="15">
      <c r="B4409" s="69">
        <v>9338568</v>
      </c>
      <c r="C4409" s="70" t="s">
        <v>202</v>
      </c>
      <c r="D4409" s="70" t="s">
        <v>1</v>
      </c>
      <c r="E4409" s="70" t="s">
        <v>1</v>
      </c>
      <c r="F4409" s="70"/>
      <c r="G4409" s="70" t="s">
        <v>61</v>
      </c>
      <c r="H4409" s="70" t="s">
        <v>178</v>
      </c>
      <c r="I4409" s="70" t="s">
        <v>184</v>
      </c>
      <c r="J4409" s="71">
        <f>IF(OR(I4409=0,I4409=""),"unrated",VLOOKUP(I4409,MappingTables!$B$19:$C$31,2,FALSE))</f>
        <v>5</v>
      </c>
      <c r="K4409" s="72">
        <v>146.1864157421579</v>
      </c>
      <c r="L4409" s="70">
        <v>3.5028901639998168</v>
      </c>
      <c r="M4409" s="71">
        <f>IF(L4409&lt;1,1,L4409)</f>
        <v>3.5028901639998168</v>
      </c>
      <c r="N4409" s="70" t="s">
        <v>141</v>
      </c>
      <c r="O4409" s="71">
        <f>INDEX(DurClassMapping,MATCH(M4409,MappingTables!$D$4:$D$8,-1),1)</f>
        <v>1</v>
      </c>
      <c r="P4409" s="73">
        <f>IF(M4409=$A$1,1,$M4409-INDEX(MappingTables!$E$4:$E$8,MATCH(O4409,MappingTables!$B$4:$B$8,0)))</f>
        <v>3.5028901639998168</v>
      </c>
      <c r="Q4409" s="71">
        <f>IF(B4409="",0,INDEX(ModelParameters!$D$6:$K$10,MATCH($O4409,ModelParameters!$B$6:$B$10,0),MATCH($J4409,ModelParameters!$D$5:$K$5,0)))</f>
        <v>0.075</v>
      </c>
      <c r="R4409" s="71">
        <f>IF(B4409="",0,INDEX(ModelParameters!$D$13:$K$17,MATCH($O4409,ModelParameters!$B$13:$B$17,0),MATCH($J4409,ModelParameters!$D$5:$K$5,0)))</f>
        <v>0</v>
      </c>
      <c r="S4409" s="160">
        <f>IF(B4409="",0,MIN(IF($N4409="Other Bond TM",ModelParameters!$N$21,1)*(P4409*Q4409+R4409),1))</f>
        <v>0.26271676229998624</v>
      </c>
      <c r="T4409" s="85">
        <f>IF(B4409="",0,$S4409*$K4409)</f>
        <v>38.405621836019464</v>
      </c>
      <c r="U4409" s="85">
        <f>IF(B4409="",0,IF(OR(H4409=MappingTables!$C$34,H4409=MappingTables!$C$35),T4409,0))</f>
        <v>0</v>
      </c>
      <c r="V4409" s="85">
        <f>IF(ISNA(IF(AND(VLOOKUP(CONCATENATE($D4409,$G4409),CSRFinput!$B:$E,4,0)=0,OR(H4409=MappingTables!$C$34,H4409=MappingTables!$C$35)),1,VLOOKUP(CONCATENATE($D4409,$G4409),CSRFinput!$B:$E,4,0))),0,IF(AND(VLOOKUP(CONCATENATE($D4409,$G4409),CSRFinput!$B:$E,4,0)=0,OR(H4409=MappingTables!$C$34,H4409=MappingTables!$C$35)),1,VLOOKUP(CONCATENATE($D4409,$G4409),CSRFinput!$B:$E,4,0)))</f>
        <v>0.054776304963434752</v>
      </c>
      <c r="W4409" s="85">
        <f>IF(B4409="",0,+$T4409*$V4409)</f>
        <v>2.1037180540001512</v>
      </c>
      <c r="X4409" s="85">
        <f>IF(B4409="",0,IF(OR(H4409=MappingTables!$C$34,H4409=MappingTables!$C$35),W4409,0))</f>
        <v>0</v>
      </c>
    </row>
    <row r="4410" spans="2:24" s="0" customFormat="0" ht="15">
      <c r="B4410" s="69" t="s">
        <v>2283</v>
      </c>
      <c r="C4410" s="70" t="s">
        <v>2284</v>
      </c>
      <c r="D4410" s="70" t="s">
        <v>1</v>
      </c>
      <c r="E4410" s="70" t="s">
        <v>1</v>
      </c>
      <c r="F4410" s="70"/>
      <c r="G4410" s="70" t="s">
        <v>61</v>
      </c>
      <c r="H4410" s="70" t="s">
        <v>178</v>
      </c>
      <c r="I4410" s="70" t="s">
        <v>179</v>
      </c>
      <c r="J4410" s="71">
        <f>IF(OR(I4410=0,I4410=""),"unrated",VLOOKUP(I4410,MappingTables!$B$19:$C$31,2,FALSE))</f>
        <v>4</v>
      </c>
      <c r="K4410" s="72">
        <v>760.59945685602064</v>
      </c>
      <c r="L4410" s="70">
        <v>4.1075400389361768</v>
      </c>
      <c r="M4410" s="71">
        <f>IF(L4410&lt;1,1,L4410)</f>
        <v>4.1075400389361768</v>
      </c>
      <c r="N4410" s="70" t="s">
        <v>141</v>
      </c>
      <c r="O4410" s="71">
        <f>INDEX(DurClassMapping,MATCH(M4410,MappingTables!$D$4:$D$8,-1),1)</f>
        <v>1</v>
      </c>
      <c r="P4410" s="73">
        <f>IF(M4410=$A$1,1,$M4410-INDEX(MappingTables!$E$4:$E$8,MATCH(O4410,MappingTables!$B$4:$B$8,0)))</f>
        <v>4.1075400389361768</v>
      </c>
      <c r="Q4410" s="71">
        <f>IF(B4410="",0,INDEX(ModelParameters!$D$6:$K$10,MATCH($O4410,ModelParameters!$B$6:$B$10,0),MATCH($J4410,ModelParameters!$D$5:$K$5,0)))</f>
        <v>0.045</v>
      </c>
      <c r="R4410" s="71">
        <f>IF(B4410="",0,INDEX(ModelParameters!$D$13:$K$17,MATCH($O4410,ModelParameters!$B$13:$B$17,0),MATCH($J4410,ModelParameters!$D$5:$K$5,0)))</f>
        <v>0</v>
      </c>
      <c r="S4410" s="160">
        <f>IF(B4410="",0,MIN(IF($N4410="Other Bond TM",ModelParameters!$N$21,1)*(P4410*Q4410+R4410),1))</f>
        <v>0.18483930175212796</v>
      </c>
      <c r="T4410" s="85">
        <f>IF(B4410="",0,$S4410*$K4410)</f>
        <v>140.58867251831464</v>
      </c>
      <c r="U4410" s="85">
        <f>IF(B4410="",0,IF(OR(H4410=MappingTables!$C$34,H4410=MappingTables!$C$35),T4410,0))</f>
        <v>0</v>
      </c>
      <c r="V4410" s="85">
        <f>IF(ISNA(IF(AND(VLOOKUP(CONCATENATE($D4410,$G4410),CSRFinput!$B:$E,4,0)=0,OR(H4410=MappingTables!$C$34,H4410=MappingTables!$C$35)),1,VLOOKUP(CONCATENATE($D4410,$G4410),CSRFinput!$B:$E,4,0))),0,IF(AND(VLOOKUP(CONCATENATE($D4410,$G4410),CSRFinput!$B:$E,4,0)=0,OR(H4410=MappingTables!$C$34,H4410=MappingTables!$C$35)),1,VLOOKUP(CONCATENATE($D4410,$G4410),CSRFinput!$B:$E,4,0)))</f>
        <v>0.054776304963434752</v>
      </c>
      <c r="W4410" s="85">
        <f>IF(B4410="",0,+$T4410*$V4410)</f>
        <v>7.7009280002676624</v>
      </c>
      <c r="X4410" s="85">
        <f>IF(B4410="",0,IF(OR(H4410=MappingTables!$C$34,H4410=MappingTables!$C$35),W4410,0))</f>
        <v>0</v>
      </c>
    </row>
    <row r="4411" spans="2:24" s="0" customFormat="0" ht="15">
      <c r="B4411" s="69" t="s">
        <v>2425</v>
      </c>
      <c r="C4411" s="70" t="s">
        <v>2426</v>
      </c>
      <c r="D4411" s="70" t="s">
        <v>1</v>
      </c>
      <c r="E4411" s="70" t="s">
        <v>1</v>
      </c>
      <c r="F4411" s="70"/>
      <c r="G4411" s="70" t="s">
        <v>61</v>
      </c>
      <c r="H4411" s="70" t="s">
        <v>178</v>
      </c>
      <c r="I4411" s="70" t="s">
        <v>184</v>
      </c>
      <c r="J4411" s="71">
        <f>IF(OR(I4411=0,I4411=""),"unrated",VLOOKUP(I4411,MappingTables!$B$19:$C$31,2,FALSE))</f>
        <v>5</v>
      </c>
      <c r="K4411" s="72">
        <v>44.282428471464088</v>
      </c>
      <c r="L4411" s="70">
        <v>2.7652195012599204</v>
      </c>
      <c r="M4411" s="71">
        <f>IF(L4411&lt;1,1,L4411)</f>
        <v>2.7652195012599204</v>
      </c>
      <c r="N4411" s="70" t="s">
        <v>141</v>
      </c>
      <c r="O4411" s="71">
        <f>INDEX(DurClassMapping,MATCH(M4411,MappingTables!$D$4:$D$8,-1),1)</f>
        <v>1</v>
      </c>
      <c r="P4411" s="73">
        <f>IF(M4411=$A$1,1,$M4411-INDEX(MappingTables!$E$4:$E$8,MATCH(O4411,MappingTables!$B$4:$B$8,0)))</f>
        <v>2.7652195012599204</v>
      </c>
      <c r="Q4411" s="71">
        <f>IF(B4411="",0,INDEX(ModelParameters!$D$6:$K$10,MATCH($O4411,ModelParameters!$B$6:$B$10,0),MATCH($J4411,ModelParameters!$D$5:$K$5,0)))</f>
        <v>0.075</v>
      </c>
      <c r="R4411" s="71">
        <f>IF(B4411="",0,INDEX(ModelParameters!$D$13:$K$17,MATCH($O4411,ModelParameters!$B$13:$B$17,0),MATCH($J4411,ModelParameters!$D$5:$K$5,0)))</f>
        <v>0</v>
      </c>
      <c r="S4411" s="160">
        <f>IF(B4411="",0,MIN(IF($N4411="Other Bond TM",ModelParameters!$N$21,1)*(P4411*Q4411+R4411),1))</f>
        <v>0.207391462594494</v>
      </c>
      <c r="T4411" s="85">
        <f>IF(B4411="",0,$S4411*$K4411)</f>
        <v>9.183797607933</v>
      </c>
      <c r="U4411" s="85">
        <f>IF(B4411="",0,IF(OR(H4411=MappingTables!$C$34,H4411=MappingTables!$C$35),T4411,0))</f>
        <v>0</v>
      </c>
      <c r="V4411" s="85">
        <f>IF(ISNA(IF(AND(VLOOKUP(CONCATENATE($D4411,$G4411),CSRFinput!$B:$E,4,0)=0,OR(H4411=MappingTables!$C$34,H4411=MappingTables!$C$35)),1,VLOOKUP(CONCATENATE($D4411,$G4411),CSRFinput!$B:$E,4,0))),0,IF(AND(VLOOKUP(CONCATENATE($D4411,$G4411),CSRFinput!$B:$E,4,0)=0,OR(H4411=MappingTables!$C$34,H4411=MappingTables!$C$35)),1,VLOOKUP(CONCATENATE($D4411,$G4411),CSRFinput!$B:$E,4,0)))</f>
        <v>0.054776304963434752</v>
      </c>
      <c r="W4411" s="85">
        <f>IF(B4411="",0,+$T4411*$V4411)</f>
        <v>0.50305449849460056</v>
      </c>
      <c r="X4411" s="85">
        <f>IF(B4411="",0,IF(OR(H4411=MappingTables!$C$34,H4411=MappingTables!$C$35),W4411,0))</f>
        <v>0</v>
      </c>
    </row>
    <row r="4412" spans="2:24" s="0" customFormat="0" ht="15">
      <c r="B4412" s="69">
        <v>20928443</v>
      </c>
      <c r="C4412" s="70" t="s">
        <v>2763</v>
      </c>
      <c r="D4412" s="70" t="s">
        <v>1</v>
      </c>
      <c r="E4412" s="70" t="s">
        <v>1</v>
      </c>
      <c r="F4412" s="70"/>
      <c r="G4412" s="70" t="s">
        <v>61</v>
      </c>
      <c r="H4412" s="70" t="s">
        <v>178</v>
      </c>
      <c r="I4412" s="70" t="s">
        <v>198</v>
      </c>
      <c r="J4412" s="71" t="str">
        <f>IF(OR(I4412=0,I4412=""),"unrated",VLOOKUP(I4412,MappingTables!$B$19:$C$31,2,FALSE))</f>
        <v>unrated</v>
      </c>
      <c r="K4412" s="72">
        <v>14701.622296362444</v>
      </c>
      <c r="L4412" s="70">
        <v>3.8574327310979072</v>
      </c>
      <c r="M4412" s="71">
        <f>IF(L4412&lt;1,1,L4412)</f>
        <v>3.8574327310979072</v>
      </c>
      <c r="N4412" s="70" t="s">
        <v>141</v>
      </c>
      <c r="O4412" s="71">
        <f>INDEX(DurClassMapping,MATCH(M4412,MappingTables!$D$4:$D$8,-1),1)</f>
        <v>1</v>
      </c>
      <c r="P4412" s="73">
        <f>IF(M4412=$A$1,1,$M4412-INDEX(MappingTables!$E$4:$E$8,MATCH(O4412,MappingTables!$B$4:$B$8,0)))</f>
        <v>3.8574327310979072</v>
      </c>
      <c r="Q4412" s="71">
        <f>IF(B4412="",0,INDEX(ModelParameters!$D$6:$K$10,MATCH($O4412,ModelParameters!$B$6:$B$10,0),MATCH($J4412,ModelParameters!$D$5:$K$5,0)))</f>
        <v>0.03</v>
      </c>
      <c r="R4412" s="71">
        <f>IF(B4412="",0,INDEX(ModelParameters!$D$13:$K$17,MATCH($O4412,ModelParameters!$B$13:$B$17,0),MATCH($J4412,ModelParameters!$D$5:$K$5,0)))</f>
        <v>0</v>
      </c>
      <c r="S4412" s="160">
        <f>IF(B4412="",0,MIN(IF($N4412="Other Bond TM",ModelParameters!$N$21,1)*(P4412*Q4412+R4412),1))</f>
        <v>0.11572298193293722</v>
      </c>
      <c r="T4412" s="85">
        <f>IF(B4412="",0,$S4412*$K4412)</f>
        <v>1701.315571386818</v>
      </c>
      <c r="U4412" s="85">
        <f>IF(B4412="",0,IF(OR(H4412=MappingTables!$C$34,H4412=MappingTables!$C$35),T4412,0))</f>
        <v>0</v>
      </c>
      <c r="V4412" s="85">
        <f>IF(ISNA(IF(AND(VLOOKUP(CONCATENATE($D4412,$G4412),CSRFinput!$B:$E,4,0)=0,OR(H4412=MappingTables!$C$34,H4412=MappingTables!$C$35)),1,VLOOKUP(CONCATENATE($D4412,$G4412),CSRFinput!$B:$E,4,0))),0,IF(AND(VLOOKUP(CONCATENATE($D4412,$G4412),CSRFinput!$B:$E,4,0)=0,OR(H4412=MappingTables!$C$34,H4412=MappingTables!$C$35)),1,VLOOKUP(CONCATENATE($D4412,$G4412),CSRFinput!$B:$E,4,0)))</f>
        <v>0.054776304963434752</v>
      </c>
      <c r="W4412" s="85">
        <f>IF(B4412="",0,+$T4412*$V4412)</f>
        <v>93.191780577324592</v>
      </c>
      <c r="X4412" s="85">
        <f>IF(B4412="",0,IF(OR(H4412=MappingTables!$C$34,H4412=MappingTables!$C$35),W4412,0))</f>
        <v>0</v>
      </c>
    </row>
    <row r="4413" spans="2:24" s="0" customFormat="0" ht="15">
      <c r="B4413" s="69">
        <v>22817934</v>
      </c>
      <c r="C4413" s="70" t="s">
        <v>2890</v>
      </c>
      <c r="D4413" s="70" t="s">
        <v>1</v>
      </c>
      <c r="E4413" s="70" t="s">
        <v>1</v>
      </c>
      <c r="F4413" s="70"/>
      <c r="G4413" s="70" t="s">
        <v>61</v>
      </c>
      <c r="H4413" s="70" t="s">
        <v>178</v>
      </c>
      <c r="I4413" s="70" t="s">
        <v>184</v>
      </c>
      <c r="J4413" s="71">
        <f>IF(OR(I4413=0,I4413=""),"unrated",VLOOKUP(I4413,MappingTables!$B$19:$C$31,2,FALSE))</f>
        <v>5</v>
      </c>
      <c r="K4413" s="72">
        <v>517.97437350977416</v>
      </c>
      <c r="L4413" s="70">
        <v>2.1673029383634532</v>
      </c>
      <c r="M4413" s="71">
        <f>IF(L4413&lt;1,1,L4413)</f>
        <v>2.1673029383634532</v>
      </c>
      <c r="N4413" s="70" t="s">
        <v>141</v>
      </c>
      <c r="O4413" s="71">
        <f>INDEX(DurClassMapping,MATCH(M4413,MappingTables!$D$4:$D$8,-1),1)</f>
        <v>1</v>
      </c>
      <c r="P4413" s="73">
        <f>IF(M4413=$A$1,1,$M4413-INDEX(MappingTables!$E$4:$E$8,MATCH(O4413,MappingTables!$B$4:$B$8,0)))</f>
        <v>2.1673029383634532</v>
      </c>
      <c r="Q4413" s="71">
        <f>IF(B4413="",0,INDEX(ModelParameters!$D$6:$K$10,MATCH($O4413,ModelParameters!$B$6:$B$10,0),MATCH($J4413,ModelParameters!$D$5:$K$5,0)))</f>
        <v>0.075</v>
      </c>
      <c r="R4413" s="71">
        <f>IF(B4413="",0,INDEX(ModelParameters!$D$13:$K$17,MATCH($O4413,ModelParameters!$B$13:$B$17,0),MATCH($J4413,ModelParameters!$D$5:$K$5,0)))</f>
        <v>0</v>
      </c>
      <c r="S4413" s="160">
        <f>IF(B4413="",0,MIN(IF($N4413="Other Bond TM",ModelParameters!$N$21,1)*(P4413*Q4413+R4413),1))</f>
        <v>0.16254772037725898</v>
      </c>
      <c r="T4413" s="85">
        <f>IF(B4413="",0,$S4413*$K4413)</f>
        <v>84.195553627852672</v>
      </c>
      <c r="U4413" s="85">
        <f>IF(B4413="",0,IF(OR(H4413=MappingTables!$C$34,H4413=MappingTables!$C$35),T4413,0))</f>
        <v>0</v>
      </c>
      <c r="V4413" s="85">
        <f>IF(ISNA(IF(AND(VLOOKUP(CONCATENATE($D4413,$G4413),CSRFinput!$B:$E,4,0)=0,OR(H4413=MappingTables!$C$34,H4413=MappingTables!$C$35)),1,VLOOKUP(CONCATENATE($D4413,$G4413),CSRFinput!$B:$E,4,0))),0,IF(AND(VLOOKUP(CONCATENATE($D4413,$G4413),CSRFinput!$B:$E,4,0)=0,OR(H4413=MappingTables!$C$34,H4413=MappingTables!$C$35)),1,VLOOKUP(CONCATENATE($D4413,$G4413),CSRFinput!$B:$E,4,0)))</f>
        <v>0.054776304963434752</v>
      </c>
      <c r="W4413" s="85">
        <f>IF(B4413="",0,+$T4413*$V4413)</f>
        <v>4.6119213220844832</v>
      </c>
      <c r="X4413" s="85">
        <f>IF(B4413="",0,IF(OR(H4413=MappingTables!$C$34,H4413=MappingTables!$C$35),W4413,0))</f>
        <v>0</v>
      </c>
    </row>
    <row r="4414" spans="2:24" s="0" customFormat="0" ht="15">
      <c r="B4414" s="69">
        <v>13442904</v>
      </c>
      <c r="C4414" s="70" t="s">
        <v>2516</v>
      </c>
      <c r="D4414" s="70" t="s">
        <v>1</v>
      </c>
      <c r="E4414" s="70" t="s">
        <v>1</v>
      </c>
      <c r="F4414" s="70"/>
      <c r="G4414" s="70" t="s">
        <v>61</v>
      </c>
      <c r="H4414" s="70" t="s">
        <v>178</v>
      </c>
      <c r="I4414" s="70" t="s">
        <v>184</v>
      </c>
      <c r="J4414" s="71">
        <f>IF(OR(I4414=0,I4414=""),"unrated",VLOOKUP(I4414,MappingTables!$B$19:$C$31,2,FALSE))</f>
        <v>5</v>
      </c>
      <c r="K4414" s="72">
        <v>11016.360258033786</v>
      </c>
      <c r="L4414" s="70">
        <v>10.440090034009704</v>
      </c>
      <c r="M4414" s="71">
        <f>IF(L4414&lt;1,1,L4414)</f>
        <v>10.440090034009704</v>
      </c>
      <c r="N4414" s="70" t="s">
        <v>141</v>
      </c>
      <c r="O4414" s="71">
        <f>INDEX(DurClassMapping,MATCH(M4414,MappingTables!$D$4:$D$8,-1),1)</f>
        <v>3</v>
      </c>
      <c r="P4414" s="73">
        <f>IF(M4414=$A$1,1,$M4414-INDEX(MappingTables!$E$4:$E$8,MATCH(O4414,MappingTables!$B$4:$B$8,0)))</f>
        <v>0.44009003400970312</v>
      </c>
      <c r="Q4414" s="71">
        <f>IF(B4414="",0,INDEX(ModelParameters!$D$6:$K$10,MATCH($O4414,ModelParameters!$B$6:$B$10,0),MATCH($J4414,ModelParameters!$D$5:$K$5,0)))</f>
        <v>0.005</v>
      </c>
      <c r="R4414" s="71">
        <f>IF(B4414="",0,INDEX(ModelParameters!$D$13:$K$17,MATCH($O4414,ModelParameters!$B$13:$B$17,0),MATCH($J4414,ModelParameters!$D$5:$K$5,0)))</f>
        <v>0.585</v>
      </c>
      <c r="S4414" s="160">
        <f>IF(B4414="",0,MIN(IF($N4414="Other Bond TM",ModelParameters!$N$21,1)*(P4414*Q4414+R4414),1))</f>
        <v>0.58720045017004848</v>
      </c>
      <c r="T4414" s="85">
        <f>IF(B4414="",0,$S4414*$K4414)</f>
        <v>6468.8117027528712</v>
      </c>
      <c r="U4414" s="85">
        <f>IF(B4414="",0,IF(OR(H4414=MappingTables!$C$34,H4414=MappingTables!$C$35),T4414,0))</f>
        <v>0</v>
      </c>
      <c r="V4414" s="85">
        <f>IF(ISNA(IF(AND(VLOOKUP(CONCATENATE($D4414,$G4414),CSRFinput!$B:$E,4,0)=0,OR(H4414=MappingTables!$C$34,H4414=MappingTables!$C$35)),1,VLOOKUP(CONCATENATE($D4414,$G4414),CSRFinput!$B:$E,4,0))),0,IF(AND(VLOOKUP(CONCATENATE($D4414,$G4414),CSRFinput!$B:$E,4,0)=0,OR(H4414=MappingTables!$C$34,H4414=MappingTables!$C$35)),1,VLOOKUP(CONCATENATE($D4414,$G4414),CSRFinput!$B:$E,4,0)))</f>
        <v>0.054776304963434752</v>
      </c>
      <c r="W4414" s="85">
        <f>IF(B4414="",0,+$T4414*$V4414)</f>
        <v>354.33760258102696</v>
      </c>
      <c r="X4414" s="85">
        <f>IF(B4414="",0,IF(OR(H4414=MappingTables!$C$34,H4414=MappingTables!$C$35),W4414,0))</f>
        <v>0</v>
      </c>
    </row>
    <row r="4415" spans="2:24" s="0" customFormat="0" ht="15">
      <c r="B4415" s="69">
        <v>12777384</v>
      </c>
      <c r="C4415" s="70" t="s">
        <v>2276</v>
      </c>
      <c r="D4415" s="70" t="s">
        <v>1</v>
      </c>
      <c r="E4415" s="70" t="s">
        <v>1</v>
      </c>
      <c r="F4415" s="70"/>
      <c r="G4415" s="70" t="s">
        <v>61</v>
      </c>
      <c r="H4415" s="70" t="s">
        <v>178</v>
      </c>
      <c r="I4415" s="70" t="s">
        <v>188</v>
      </c>
      <c r="J4415" s="71">
        <f>IF(OR(I4415=0,I4415=""),"unrated",VLOOKUP(I4415,MappingTables!$B$19:$C$31,2,FALSE))</f>
        <v>2</v>
      </c>
      <c r="K4415" s="72">
        <v>3103.9086881877348</v>
      </c>
      <c r="L4415" s="70">
        <v>0.8131409888758472</v>
      </c>
      <c r="M4415" s="71">
        <f>IF(L4415&lt;1,1,L4415)</f>
        <v>1</v>
      </c>
      <c r="N4415" s="70" t="s">
        <v>141</v>
      </c>
      <c r="O4415" s="71">
        <f>INDEX(DurClassMapping,MATCH(M4415,MappingTables!$D$4:$D$8,-1),1)</f>
        <v>1</v>
      </c>
      <c r="P4415" s="73">
        <f>IF(M4415=$A$1,1,$M4415-INDEX(MappingTables!$E$4:$E$8,MATCH(O4415,MappingTables!$B$4:$B$8,0)))</f>
        <v>1</v>
      </c>
      <c r="Q4415" s="71">
        <f>IF(B4415="",0,INDEX(ModelParameters!$D$6:$K$10,MATCH($O4415,ModelParameters!$B$6:$B$10,0),MATCH($J4415,ModelParameters!$D$5:$K$5,0)))</f>
        <v>0.013999999999999998</v>
      </c>
      <c r="R4415" s="71">
        <f>IF(B4415="",0,INDEX(ModelParameters!$D$13:$K$17,MATCH($O4415,ModelParameters!$B$13:$B$17,0),MATCH($J4415,ModelParameters!$D$5:$K$5,0)))</f>
        <v>0</v>
      </c>
      <c r="S4415" s="160">
        <f>IF(B4415="",0,MIN(IF($N4415="Other Bond TM",ModelParameters!$N$21,1)*(P4415*Q4415+R4415),1))</f>
        <v>0.013999999999999998</v>
      </c>
      <c r="T4415" s="85">
        <f>IF(B4415="",0,$S4415*$K4415)</f>
        <v>43.45472163462828</v>
      </c>
      <c r="U4415" s="85">
        <f>IF(B4415="",0,IF(OR(H4415=MappingTables!$C$34,H4415=MappingTables!$C$35),T4415,0))</f>
        <v>0</v>
      </c>
      <c r="V4415" s="85">
        <f>IF(ISNA(IF(AND(VLOOKUP(CONCATENATE($D4415,$G4415),CSRFinput!$B:$E,4,0)=0,OR(H4415=MappingTables!$C$34,H4415=MappingTables!$C$35)),1,VLOOKUP(CONCATENATE($D4415,$G4415),CSRFinput!$B:$E,4,0))),0,IF(AND(VLOOKUP(CONCATENATE($D4415,$G4415),CSRFinput!$B:$E,4,0)=0,OR(H4415=MappingTables!$C$34,H4415=MappingTables!$C$35)),1,VLOOKUP(CONCATENATE($D4415,$G4415),CSRFinput!$B:$E,4,0)))</f>
        <v>0.054776304963434752</v>
      </c>
      <c r="W4415" s="85">
        <f>IF(B4415="",0,+$T4415*$V4415)</f>
        <v>2.3802890843595644</v>
      </c>
      <c r="X4415" s="85">
        <f>IF(B4415="",0,IF(OR(H4415=MappingTables!$C$34,H4415=MappingTables!$C$35),W4415,0))</f>
        <v>0</v>
      </c>
    </row>
    <row r="4416" spans="2:24" s="0" customFormat="0" ht="15">
      <c r="B4416" s="69">
        <v>24432467</v>
      </c>
      <c r="C4416" s="70" t="s">
        <v>1966</v>
      </c>
      <c r="D4416" s="70" t="s">
        <v>1</v>
      </c>
      <c r="E4416" s="70" t="s">
        <v>1</v>
      </c>
      <c r="F4416" s="70"/>
      <c r="G4416" s="70" t="s">
        <v>61</v>
      </c>
      <c r="H4416" s="70" t="s">
        <v>178</v>
      </c>
      <c r="I4416" s="70" t="s">
        <v>179</v>
      </c>
      <c r="J4416" s="71">
        <f>IF(OR(I4416=0,I4416=""),"unrated",VLOOKUP(I4416,MappingTables!$B$19:$C$31,2,FALSE))</f>
        <v>4</v>
      </c>
      <c r="K4416" s="72">
        <v>23249.327172057956</v>
      </c>
      <c r="L4416" s="70">
        <v>4.3029501249284696</v>
      </c>
      <c r="M4416" s="71">
        <f>IF(L4416&lt;1,1,L4416)</f>
        <v>4.3029501249284696</v>
      </c>
      <c r="N4416" s="70" t="s">
        <v>141</v>
      </c>
      <c r="O4416" s="71">
        <f>INDEX(DurClassMapping,MATCH(M4416,MappingTables!$D$4:$D$8,-1),1)</f>
        <v>1</v>
      </c>
      <c r="P4416" s="73">
        <f>IF(M4416=$A$1,1,$M4416-INDEX(MappingTables!$E$4:$E$8,MATCH(O4416,MappingTables!$B$4:$B$8,0)))</f>
        <v>4.3029501249284696</v>
      </c>
      <c r="Q4416" s="71">
        <f>IF(B4416="",0,INDEX(ModelParameters!$D$6:$K$10,MATCH($O4416,ModelParameters!$B$6:$B$10,0),MATCH($J4416,ModelParameters!$D$5:$K$5,0)))</f>
        <v>0.045</v>
      </c>
      <c r="R4416" s="71">
        <f>IF(B4416="",0,INDEX(ModelParameters!$D$13:$K$17,MATCH($O4416,ModelParameters!$B$13:$B$17,0),MATCH($J4416,ModelParameters!$D$5:$K$5,0)))</f>
        <v>0</v>
      </c>
      <c r="S4416" s="160">
        <f>IF(B4416="",0,MIN(IF($N4416="Other Bond TM",ModelParameters!$N$21,1)*(P4416*Q4416+R4416),1))</f>
        <v>0.19363275562178112</v>
      </c>
      <c r="T4416" s="85">
        <f>IF(B4416="",0,$S4416*$K4416)</f>
        <v>4501.8312866779336</v>
      </c>
      <c r="U4416" s="85">
        <f>IF(B4416="",0,IF(OR(H4416=MappingTables!$C$34,H4416=MappingTables!$C$35),T4416,0))</f>
        <v>0</v>
      </c>
      <c r="V4416" s="85">
        <f>IF(ISNA(IF(AND(VLOOKUP(CONCATENATE($D4416,$G4416),CSRFinput!$B:$E,4,0)=0,OR(H4416=MappingTables!$C$34,H4416=MappingTables!$C$35)),1,VLOOKUP(CONCATENATE($D4416,$G4416),CSRFinput!$B:$E,4,0))),0,IF(AND(VLOOKUP(CONCATENATE($D4416,$G4416),CSRFinput!$B:$E,4,0)=0,OR(H4416=MappingTables!$C$34,H4416=MappingTables!$C$35)),1,VLOOKUP(CONCATENATE($D4416,$G4416),CSRFinput!$B:$E,4,0)))</f>
        <v>0.054776304963434752</v>
      </c>
      <c r="W4416" s="85">
        <f>IF(B4416="",0,+$T4416*$V4416)</f>
        <v>246.59368345300236</v>
      </c>
      <c r="X4416" s="85">
        <f>IF(B4416="",0,IF(OR(H4416=MappingTables!$C$34,H4416=MappingTables!$C$35),W4416,0))</f>
        <v>0</v>
      </c>
    </row>
    <row r="4417" spans="2:24" s="0" customFormat="0" ht="15">
      <c r="B4417" s="69">
        <v>22301296</v>
      </c>
      <c r="C4417" s="70" t="s">
        <v>1441</v>
      </c>
      <c r="D4417" s="70" t="s">
        <v>1</v>
      </c>
      <c r="E4417" s="70" t="s">
        <v>1</v>
      </c>
      <c r="F4417" s="70"/>
      <c r="G4417" s="70" t="s">
        <v>61</v>
      </c>
      <c r="H4417" s="70" t="s">
        <v>178</v>
      </c>
      <c r="I4417" s="70" t="s">
        <v>181</v>
      </c>
      <c r="J4417" s="71">
        <f>IF(OR(I4417=0,I4417=""),"unrated",VLOOKUP(I4417,MappingTables!$B$19:$C$31,2,FALSE))</f>
        <v>3</v>
      </c>
      <c r="K4417" s="72">
        <v>34778.576007177268</v>
      </c>
      <c r="L4417" s="70">
        <v>10.52166341177358</v>
      </c>
      <c r="M4417" s="71">
        <f>IF(L4417&lt;1,1,L4417)</f>
        <v>10.52166341177358</v>
      </c>
      <c r="N4417" s="70" t="s">
        <v>141</v>
      </c>
      <c r="O4417" s="71">
        <f>INDEX(DurClassMapping,MATCH(M4417,MappingTables!$D$4:$D$8,-1),1)</f>
        <v>3</v>
      </c>
      <c r="P4417" s="73">
        <f>IF(M4417=$A$1,1,$M4417-INDEX(MappingTables!$E$4:$E$8,MATCH(O4417,MappingTables!$B$4:$B$8,0)))</f>
        <v>0.5216634117735808</v>
      </c>
      <c r="Q4417" s="71">
        <f>IF(B4417="",0,INDEX(ModelParameters!$D$6:$K$10,MATCH($O4417,ModelParameters!$B$6:$B$10,0),MATCH($J4417,ModelParameters!$D$5:$K$5,0)))</f>
        <v>0.01</v>
      </c>
      <c r="R4417" s="71">
        <f>IF(B4417="",0,INDEX(ModelParameters!$D$13:$K$17,MATCH($O4417,ModelParameters!$B$13:$B$17,0),MATCH($J4417,ModelParameters!$D$5:$K$5,0)))</f>
        <v>0.2</v>
      </c>
      <c r="S4417" s="160">
        <f>IF(B4417="",0,MIN(IF($N4417="Other Bond TM",ModelParameters!$N$21,1)*(P4417*Q4417+R4417),1))</f>
        <v>0.20521663411773584</v>
      </c>
      <c r="T4417" s="85">
        <f>IF(B4417="",0,$S4417*$K4417)</f>
        <v>7137.1423076007632</v>
      </c>
      <c r="U4417" s="85">
        <f>IF(B4417="",0,IF(OR(H4417=MappingTables!$C$34,H4417=MappingTables!$C$35),T4417,0))</f>
        <v>0</v>
      </c>
      <c r="V4417" s="85">
        <f>IF(ISNA(IF(AND(VLOOKUP(CONCATENATE($D4417,$G4417),CSRFinput!$B:$E,4,0)=0,OR(H4417=MappingTables!$C$34,H4417=MappingTables!$C$35)),1,VLOOKUP(CONCATENATE($D4417,$G4417),CSRFinput!$B:$E,4,0))),0,IF(AND(VLOOKUP(CONCATENATE($D4417,$G4417),CSRFinput!$B:$E,4,0)=0,OR(H4417=MappingTables!$C$34,H4417=MappingTables!$C$35)),1,VLOOKUP(CONCATENATE($D4417,$G4417),CSRFinput!$B:$E,4,0)))</f>
        <v>0.054776304963434752</v>
      </c>
      <c r="W4417" s="85">
        <f>IF(B4417="",0,+$T4417*$V4417)</f>
        <v>390.94628360857184</v>
      </c>
      <c r="X4417" s="85">
        <f>IF(B4417="",0,IF(OR(H4417=MappingTables!$C$34,H4417=MappingTables!$C$35),W4417,0))</f>
        <v>0</v>
      </c>
    </row>
    <row r="4418" spans="2:24" s="0" customFormat="0" ht="15">
      <c r="B4418" s="69">
        <v>21282457</v>
      </c>
      <c r="C4418" s="70" t="s">
        <v>2779</v>
      </c>
      <c r="D4418" s="70" t="s">
        <v>1</v>
      </c>
      <c r="E4418" s="70" t="s">
        <v>1</v>
      </c>
      <c r="F4418" s="70"/>
      <c r="G4418" s="70" t="s">
        <v>61</v>
      </c>
      <c r="H4418" s="70" t="s">
        <v>178</v>
      </c>
      <c r="I4418" s="70" t="s">
        <v>181</v>
      </c>
      <c r="J4418" s="71">
        <f>IF(OR(I4418=0,I4418=""),"unrated",VLOOKUP(I4418,MappingTables!$B$19:$C$31,2,FALSE))</f>
        <v>3</v>
      </c>
      <c r="K4418" s="72">
        <v>43.559724483182216</v>
      </c>
      <c r="L4418" s="70">
        <v>7.5138387686979856</v>
      </c>
      <c r="M4418" s="71">
        <f>IF(L4418&lt;1,1,L4418)</f>
        <v>7.5138387686979856</v>
      </c>
      <c r="N4418" s="70" t="s">
        <v>141</v>
      </c>
      <c r="O4418" s="71">
        <f>INDEX(DurClassMapping,MATCH(M4418,MappingTables!$D$4:$D$8,-1),1)</f>
        <v>2</v>
      </c>
      <c r="P4418" s="73">
        <f>IF(M4418=$A$1,1,$M4418-INDEX(MappingTables!$E$4:$E$8,MATCH(O4418,MappingTables!$B$4:$B$8,0)))</f>
        <v>2.5138387686979852</v>
      </c>
      <c r="Q4418" s="71">
        <f>IF(B4418="",0,INDEX(ModelParameters!$D$6:$K$10,MATCH($O4418,ModelParameters!$B$6:$B$10,0),MATCH($J4418,ModelParameters!$D$5:$K$5,0)))</f>
        <v>0.015</v>
      </c>
      <c r="R4418" s="71">
        <f>IF(B4418="",0,INDEX(ModelParameters!$D$13:$K$17,MATCH($O4418,ModelParameters!$B$13:$B$17,0),MATCH($J4418,ModelParameters!$D$5:$K$5,0)))</f>
        <v>0.125</v>
      </c>
      <c r="S4418" s="160">
        <f>IF(B4418="",0,MIN(IF($N4418="Other Bond TM",ModelParameters!$N$21,1)*(P4418*Q4418+R4418),1))</f>
        <v>0.16270758153046976</v>
      </c>
      <c r="T4418" s="85">
        <f>IF(B4418="",0,$S4418*$K4418)</f>
        <v>7.0874974227921704</v>
      </c>
      <c r="U4418" s="85">
        <f>IF(B4418="",0,IF(OR(H4418=MappingTables!$C$34,H4418=MappingTables!$C$35),T4418,0))</f>
        <v>0</v>
      </c>
      <c r="V4418" s="85">
        <f>IF(ISNA(IF(AND(VLOOKUP(CONCATENATE($D4418,$G4418),CSRFinput!$B:$E,4,0)=0,OR(H4418=MappingTables!$C$34,H4418=MappingTables!$C$35)),1,VLOOKUP(CONCATENATE($D4418,$G4418),CSRFinput!$B:$E,4,0))),0,IF(AND(VLOOKUP(CONCATENATE($D4418,$G4418),CSRFinput!$B:$E,4,0)=0,OR(H4418=MappingTables!$C$34,H4418=MappingTables!$C$35)),1,VLOOKUP(CONCATENATE($D4418,$G4418),CSRFinput!$B:$E,4,0)))</f>
        <v>0.054776304963434752</v>
      </c>
      <c r="W4418" s="85">
        <f>IF(B4418="",0,+$T4418*$V4418)</f>
        <v>0.38822692025842176</v>
      </c>
      <c r="X4418" s="85">
        <f>IF(B4418="",0,IF(OR(H4418=MappingTables!$C$34,H4418=MappingTables!$C$35),W4418,0))</f>
        <v>0</v>
      </c>
    </row>
    <row r="4419" spans="2:24" s="0" customFormat="0" ht="15">
      <c r="B4419" s="69">
        <v>11866824</v>
      </c>
      <c r="C4419" s="70" t="s">
        <v>2586</v>
      </c>
      <c r="D4419" s="70" t="s">
        <v>1</v>
      </c>
      <c r="E4419" s="70" t="s">
        <v>1</v>
      </c>
      <c r="F4419" s="70"/>
      <c r="G4419" s="70" t="s">
        <v>61</v>
      </c>
      <c r="H4419" s="70" t="s">
        <v>178</v>
      </c>
      <c r="I4419" s="70" t="s">
        <v>181</v>
      </c>
      <c r="J4419" s="71">
        <f>IF(OR(I4419=0,I4419=""),"unrated",VLOOKUP(I4419,MappingTables!$B$19:$C$31,2,FALSE))</f>
        <v>3</v>
      </c>
      <c r="K4419" s="72">
        <v>654.83195648334824</v>
      </c>
      <c r="L4419" s="70">
        <v>2.254052232120568</v>
      </c>
      <c r="M4419" s="71">
        <f>IF(L4419&lt;1,1,L4419)</f>
        <v>2.254052232120568</v>
      </c>
      <c r="N4419" s="70" t="s">
        <v>141</v>
      </c>
      <c r="O4419" s="71">
        <f>INDEX(DurClassMapping,MATCH(M4419,MappingTables!$D$4:$D$8,-1),1)</f>
        <v>1</v>
      </c>
      <c r="P4419" s="73">
        <f>IF(M4419=$A$1,1,$M4419-INDEX(MappingTables!$E$4:$E$8,MATCH(O4419,MappingTables!$B$4:$B$8,0)))</f>
        <v>2.254052232120568</v>
      </c>
      <c r="Q4419" s="71">
        <f>IF(B4419="",0,INDEX(ModelParameters!$D$6:$K$10,MATCH($O4419,ModelParameters!$B$6:$B$10,0),MATCH($J4419,ModelParameters!$D$5:$K$5,0)))</f>
        <v>0.025</v>
      </c>
      <c r="R4419" s="71">
        <f>IF(B4419="",0,INDEX(ModelParameters!$D$13:$K$17,MATCH($O4419,ModelParameters!$B$13:$B$17,0),MATCH($J4419,ModelParameters!$D$5:$K$5,0)))</f>
        <v>0</v>
      </c>
      <c r="S4419" s="160">
        <f>IF(B4419="",0,MIN(IF($N4419="Other Bond TM",ModelParameters!$N$21,1)*(P4419*Q4419+R4419),1))</f>
        <v>0.0563513058030142</v>
      </c>
      <c r="T4419" s="85">
        <f>IF(B4419="",0,$S4419*$K4419)</f>
        <v>36.90063582937924</v>
      </c>
      <c r="U4419" s="85">
        <f>IF(B4419="",0,IF(OR(H4419=MappingTables!$C$34,H4419=MappingTables!$C$35),T4419,0))</f>
        <v>0</v>
      </c>
      <c r="V4419" s="85">
        <f>IF(ISNA(IF(AND(VLOOKUP(CONCATENATE($D4419,$G4419),CSRFinput!$B:$E,4,0)=0,OR(H4419=MappingTables!$C$34,H4419=MappingTables!$C$35)),1,VLOOKUP(CONCATENATE($D4419,$G4419),CSRFinput!$B:$E,4,0))),0,IF(AND(VLOOKUP(CONCATENATE($D4419,$G4419),CSRFinput!$B:$E,4,0)=0,OR(H4419=MappingTables!$C$34,H4419=MappingTables!$C$35)),1,VLOOKUP(CONCATENATE($D4419,$G4419),CSRFinput!$B:$E,4,0)))</f>
        <v>0.054776304963434752</v>
      </c>
      <c r="W4419" s="85">
        <f>IF(B4419="",0,+$T4419*$V4419)</f>
        <v>2.0212804815347244</v>
      </c>
      <c r="X4419" s="85">
        <f>IF(B4419="",0,IF(OR(H4419=MappingTables!$C$34,H4419=MappingTables!$C$35),W4419,0))</f>
        <v>0</v>
      </c>
    </row>
    <row r="4420" spans="2:24" s="0" customFormat="0" ht="15">
      <c r="B4420" s="69">
        <v>15345826</v>
      </c>
      <c r="C4420" s="70" t="s">
        <v>2257</v>
      </c>
      <c r="D4420" s="70" t="s">
        <v>1</v>
      </c>
      <c r="E4420" s="70" t="s">
        <v>1</v>
      </c>
      <c r="F4420" s="70"/>
      <c r="G4420" s="70" t="s">
        <v>61</v>
      </c>
      <c r="H4420" s="70" t="s">
        <v>178</v>
      </c>
      <c r="I4420" s="70" t="s">
        <v>181</v>
      </c>
      <c r="J4420" s="71">
        <f>IF(OR(I4420=0,I4420=""),"unrated",VLOOKUP(I4420,MappingTables!$B$19:$C$31,2,FALSE))</f>
        <v>3</v>
      </c>
      <c r="K4420" s="72">
        <v>32518.062655798648</v>
      </c>
      <c r="L4420" s="70">
        <v>3.532086201608784</v>
      </c>
      <c r="M4420" s="71">
        <f>IF(L4420&lt;1,1,L4420)</f>
        <v>3.532086201608784</v>
      </c>
      <c r="N4420" s="70" t="s">
        <v>141</v>
      </c>
      <c r="O4420" s="71">
        <f>INDEX(DurClassMapping,MATCH(M4420,MappingTables!$D$4:$D$8,-1),1)</f>
        <v>1</v>
      </c>
      <c r="P4420" s="73">
        <f>IF(M4420=$A$1,1,$M4420-INDEX(MappingTables!$E$4:$E$8,MATCH(O4420,MappingTables!$B$4:$B$8,0)))</f>
        <v>3.532086201608784</v>
      </c>
      <c r="Q4420" s="71">
        <f>IF(B4420="",0,INDEX(ModelParameters!$D$6:$K$10,MATCH($O4420,ModelParameters!$B$6:$B$10,0),MATCH($J4420,ModelParameters!$D$5:$K$5,0)))</f>
        <v>0.025</v>
      </c>
      <c r="R4420" s="71">
        <f>IF(B4420="",0,INDEX(ModelParameters!$D$13:$K$17,MATCH($O4420,ModelParameters!$B$13:$B$17,0),MATCH($J4420,ModelParameters!$D$5:$K$5,0)))</f>
        <v>0</v>
      </c>
      <c r="S4420" s="160">
        <f>IF(B4420="",0,MIN(IF($N4420="Other Bond TM",ModelParameters!$N$21,1)*(P4420*Q4420+R4420),1))</f>
        <v>0.0883021550402196</v>
      </c>
      <c r="T4420" s="85">
        <f>IF(B4420="",0,$S4420*$K4420)</f>
        <v>2871.4150102399072</v>
      </c>
      <c r="U4420" s="85">
        <f>IF(B4420="",0,IF(OR(H4420=MappingTables!$C$34,H4420=MappingTables!$C$35),T4420,0))</f>
        <v>0</v>
      </c>
      <c r="V4420" s="85">
        <f>IF(ISNA(IF(AND(VLOOKUP(CONCATENATE($D4420,$G4420),CSRFinput!$B:$E,4,0)=0,OR(H4420=MappingTables!$C$34,H4420=MappingTables!$C$35)),1,VLOOKUP(CONCATENATE($D4420,$G4420),CSRFinput!$B:$E,4,0))),0,IF(AND(VLOOKUP(CONCATENATE($D4420,$G4420),CSRFinput!$B:$E,4,0)=0,OR(H4420=MappingTables!$C$34,H4420=MappingTables!$C$35)),1,VLOOKUP(CONCATENATE($D4420,$G4420),CSRFinput!$B:$E,4,0)))</f>
        <v>0.054776304963434752</v>
      </c>
      <c r="W4420" s="85">
        <f>IF(B4420="",0,+$T4420*$V4420)</f>
        <v>157.28550427748528</v>
      </c>
      <c r="X4420" s="85">
        <f>IF(B4420="",0,IF(OR(H4420=MappingTables!$C$34,H4420=MappingTables!$C$35),W4420,0))</f>
        <v>0</v>
      </c>
    </row>
    <row r="4421" spans="2:24" s="0" customFormat="0" ht="15">
      <c r="B4421" s="69">
        <v>12635400</v>
      </c>
      <c r="C4421" s="70" t="s">
        <v>1732</v>
      </c>
      <c r="D4421" s="70" t="s">
        <v>1</v>
      </c>
      <c r="E4421" s="70" t="s">
        <v>1</v>
      </c>
      <c r="F4421" s="70"/>
      <c r="G4421" s="70" t="s">
        <v>61</v>
      </c>
      <c r="H4421" s="70" t="s">
        <v>178</v>
      </c>
      <c r="I4421" s="70" t="s">
        <v>181</v>
      </c>
      <c r="J4421" s="71">
        <f>IF(OR(I4421=0,I4421=""),"unrated",VLOOKUP(I4421,MappingTables!$B$19:$C$31,2,FALSE))</f>
        <v>3</v>
      </c>
      <c r="K4421" s="72">
        <v>1573.8924513936732</v>
      </c>
      <c r="L4421" s="70">
        <v>0.745395649219232</v>
      </c>
      <c r="M4421" s="71">
        <f>IF(L4421&lt;1,1,L4421)</f>
        <v>1</v>
      </c>
      <c r="N4421" s="70" t="s">
        <v>141</v>
      </c>
      <c r="O4421" s="71">
        <f>INDEX(DurClassMapping,MATCH(M4421,MappingTables!$D$4:$D$8,-1),1)</f>
        <v>1</v>
      </c>
      <c r="P4421" s="73">
        <f>IF(M4421=$A$1,1,$M4421-INDEX(MappingTables!$E$4:$E$8,MATCH(O4421,MappingTables!$B$4:$B$8,0)))</f>
        <v>1</v>
      </c>
      <c r="Q4421" s="71">
        <f>IF(B4421="",0,INDEX(ModelParameters!$D$6:$K$10,MATCH($O4421,ModelParameters!$B$6:$B$10,0),MATCH($J4421,ModelParameters!$D$5:$K$5,0)))</f>
        <v>0.025</v>
      </c>
      <c r="R4421" s="71">
        <f>IF(B4421="",0,INDEX(ModelParameters!$D$13:$K$17,MATCH($O4421,ModelParameters!$B$13:$B$17,0),MATCH($J4421,ModelParameters!$D$5:$K$5,0)))</f>
        <v>0</v>
      </c>
      <c r="S4421" s="160">
        <f>IF(B4421="",0,MIN(IF($N4421="Other Bond TM",ModelParameters!$N$21,1)*(P4421*Q4421+R4421),1))</f>
        <v>0.025</v>
      </c>
      <c r="T4421" s="85">
        <f>IF(B4421="",0,$S4421*$K4421)</f>
        <v>39.347311284841832</v>
      </c>
      <c r="U4421" s="85">
        <f>IF(B4421="",0,IF(OR(H4421=MappingTables!$C$34,H4421=MappingTables!$C$35),T4421,0))</f>
        <v>0</v>
      </c>
      <c r="V4421" s="85">
        <f>IF(ISNA(IF(AND(VLOOKUP(CONCATENATE($D4421,$G4421),CSRFinput!$B:$E,4,0)=0,OR(H4421=MappingTables!$C$34,H4421=MappingTables!$C$35)),1,VLOOKUP(CONCATENATE($D4421,$G4421),CSRFinput!$B:$E,4,0))),0,IF(AND(VLOOKUP(CONCATENATE($D4421,$G4421),CSRFinput!$B:$E,4,0)=0,OR(H4421=MappingTables!$C$34,H4421=MappingTables!$C$35)),1,VLOOKUP(CONCATENATE($D4421,$G4421),CSRFinput!$B:$E,4,0)))</f>
        <v>0.054776304963434752</v>
      </c>
      <c r="W4421" s="85">
        <f>IF(B4421="",0,+$T4421*$V4421)</f>
        <v>2.1553003224296936</v>
      </c>
      <c r="X4421" s="85">
        <f>IF(B4421="",0,IF(OR(H4421=MappingTables!$C$34,H4421=MappingTables!$C$35),W4421,0))</f>
        <v>0</v>
      </c>
    </row>
    <row r="4422" spans="2:24" s="0" customFormat="0" ht="15">
      <c r="B4422" s="69">
        <v>22676179</v>
      </c>
      <c r="C4422" s="70" t="s">
        <v>2532</v>
      </c>
      <c r="D4422" s="70" t="s">
        <v>1</v>
      </c>
      <c r="E4422" s="70" t="s">
        <v>1</v>
      </c>
      <c r="F4422" s="70"/>
      <c r="G4422" s="70" t="s">
        <v>61</v>
      </c>
      <c r="H4422" s="70" t="s">
        <v>178</v>
      </c>
      <c r="I4422" s="70" t="s">
        <v>181</v>
      </c>
      <c r="J4422" s="71">
        <f>IF(OR(I4422=0,I4422=""),"unrated",VLOOKUP(I4422,MappingTables!$B$19:$C$31,2,FALSE))</f>
        <v>3</v>
      </c>
      <c r="K4422" s="72">
        <v>18797.253516270468</v>
      </c>
      <c r="L4422" s="70">
        <v>1.7809145596680668</v>
      </c>
      <c r="M4422" s="71">
        <f>IF(L4422&lt;1,1,L4422)</f>
        <v>1.7809145596680668</v>
      </c>
      <c r="N4422" s="70" t="s">
        <v>141</v>
      </c>
      <c r="O4422" s="71">
        <f>INDEX(DurClassMapping,MATCH(M4422,MappingTables!$D$4:$D$8,-1),1)</f>
        <v>1</v>
      </c>
      <c r="P4422" s="73">
        <f>IF(M4422=$A$1,1,$M4422-INDEX(MappingTables!$E$4:$E$8,MATCH(O4422,MappingTables!$B$4:$B$8,0)))</f>
        <v>1.7809145596680668</v>
      </c>
      <c r="Q4422" s="71">
        <f>IF(B4422="",0,INDEX(ModelParameters!$D$6:$K$10,MATCH($O4422,ModelParameters!$B$6:$B$10,0),MATCH($J4422,ModelParameters!$D$5:$K$5,0)))</f>
        <v>0.025</v>
      </c>
      <c r="R4422" s="71">
        <f>IF(B4422="",0,INDEX(ModelParameters!$D$13:$K$17,MATCH($O4422,ModelParameters!$B$13:$B$17,0),MATCH($J4422,ModelParameters!$D$5:$K$5,0)))</f>
        <v>0</v>
      </c>
      <c r="S4422" s="160">
        <f>IF(B4422="",0,MIN(IF($N4422="Other Bond TM",ModelParameters!$N$21,1)*(P4422*Q4422+R4422),1))</f>
        <v>0.044522863991701672</v>
      </c>
      <c r="T4422" s="85">
        <f>IF(B4422="",0,$S4422*$K4422)</f>
        <v>836.90756172244624</v>
      </c>
      <c r="U4422" s="85">
        <f>IF(B4422="",0,IF(OR(H4422=MappingTables!$C$34,H4422=MappingTables!$C$35),T4422,0))</f>
        <v>0</v>
      </c>
      <c r="V4422" s="85">
        <f>IF(ISNA(IF(AND(VLOOKUP(CONCATENATE($D4422,$G4422),CSRFinput!$B:$E,4,0)=0,OR(H4422=MappingTables!$C$34,H4422=MappingTables!$C$35)),1,VLOOKUP(CONCATENATE($D4422,$G4422),CSRFinput!$B:$E,4,0))),0,IF(AND(VLOOKUP(CONCATENATE($D4422,$G4422),CSRFinput!$B:$E,4,0)=0,OR(H4422=MappingTables!$C$34,H4422=MappingTables!$C$35)),1,VLOOKUP(CONCATENATE($D4422,$G4422),CSRFinput!$B:$E,4,0)))</f>
        <v>0.054776304963434752</v>
      </c>
      <c r="W4422" s="85">
        <f>IF(B4422="",0,+$T4422*$V4422)</f>
        <v>45.842703827113304</v>
      </c>
      <c r="X4422" s="85">
        <f>IF(B4422="",0,IF(OR(H4422=MappingTables!$C$34,H4422=MappingTables!$C$35),W4422,0))</f>
        <v>0</v>
      </c>
    </row>
    <row r="4423" spans="2:24" s="0" customFormat="0" ht="15">
      <c r="B4423" s="69" t="s">
        <v>2411</v>
      </c>
      <c r="C4423" s="70" t="s">
        <v>2412</v>
      </c>
      <c r="D4423" s="70" t="s">
        <v>1</v>
      </c>
      <c r="E4423" s="70" t="s">
        <v>1</v>
      </c>
      <c r="F4423" s="70"/>
      <c r="G4423" s="70" t="s">
        <v>61</v>
      </c>
      <c r="H4423" s="70" t="s">
        <v>178</v>
      </c>
      <c r="I4423" s="70" t="s">
        <v>204</v>
      </c>
      <c r="J4423" s="71">
        <f>IF(OR(I4423=0,I4423=""),"unrated",VLOOKUP(I4423,MappingTables!$B$19:$C$31,2,FALSE))</f>
        <v>6</v>
      </c>
      <c r="K4423" s="72">
        <v>851.42765805895312</v>
      </c>
      <c r="L4423" s="70">
        <v>2.253606170041664</v>
      </c>
      <c r="M4423" s="71">
        <f>IF(L4423&lt;1,1,L4423)</f>
        <v>2.253606170041664</v>
      </c>
      <c r="N4423" s="70" t="s">
        <v>141</v>
      </c>
      <c r="O4423" s="71">
        <f>INDEX(DurClassMapping,MATCH(M4423,MappingTables!$D$4:$D$8,-1),1)</f>
        <v>1</v>
      </c>
      <c r="P4423" s="73">
        <f>IF(M4423=$A$1,1,$M4423-INDEX(MappingTables!$E$4:$E$8,MATCH(O4423,MappingTables!$B$4:$B$8,0)))</f>
        <v>2.253606170041664</v>
      </c>
      <c r="Q4423" s="71">
        <f>IF(B4423="",0,INDEX(ModelParameters!$D$6:$K$10,MATCH($O4423,ModelParameters!$B$6:$B$10,0),MATCH($J4423,ModelParameters!$D$5:$K$5,0)))</f>
        <v>0.075</v>
      </c>
      <c r="R4423" s="71">
        <f>IF(B4423="",0,INDEX(ModelParameters!$D$13:$K$17,MATCH($O4423,ModelParameters!$B$13:$B$17,0),MATCH($J4423,ModelParameters!$D$5:$K$5,0)))</f>
        <v>0</v>
      </c>
      <c r="S4423" s="160">
        <f>IF(B4423="",0,MIN(IF($N4423="Other Bond TM",ModelParameters!$N$21,1)*(P4423*Q4423+R4423),1))</f>
        <v>0.1690204627531248</v>
      </c>
      <c r="T4423" s="85">
        <f>IF(B4423="",0,$S4423*$K4423)</f>
        <v>143.90869676593354</v>
      </c>
      <c r="U4423" s="85">
        <f>IF(B4423="",0,IF(OR(H4423=MappingTables!$C$34,H4423=MappingTables!$C$35),T4423,0))</f>
        <v>0</v>
      </c>
      <c r="V4423" s="85">
        <f>IF(ISNA(IF(AND(VLOOKUP(CONCATENATE($D4423,$G4423),CSRFinput!$B:$E,4,0)=0,OR(H4423=MappingTables!$C$34,H4423=MappingTables!$C$35)),1,VLOOKUP(CONCATENATE($D4423,$G4423),CSRFinput!$B:$E,4,0))),0,IF(AND(VLOOKUP(CONCATENATE($D4423,$G4423),CSRFinput!$B:$E,4,0)=0,OR(H4423=MappingTables!$C$34,H4423=MappingTables!$C$35)),1,VLOOKUP(CONCATENATE($D4423,$G4423),CSRFinput!$B:$E,4,0)))</f>
        <v>0.054776304963434752</v>
      </c>
      <c r="W4423" s="85">
        <f>IF(B4423="",0,+$T4423*$V4423)</f>
        <v>7.882786660941232</v>
      </c>
      <c r="X4423" s="85">
        <f>IF(B4423="",0,IF(OR(H4423=MappingTables!$C$34,H4423=MappingTables!$C$35),W4423,0))</f>
        <v>0</v>
      </c>
    </row>
    <row r="4424" spans="2:24" s="0" customFormat="0" ht="15">
      <c r="B4424" s="69">
        <v>387894</v>
      </c>
      <c r="C4424" s="70" t="s">
        <v>2053</v>
      </c>
      <c r="D4424" s="70" t="s">
        <v>1</v>
      </c>
      <c r="E4424" s="70" t="s">
        <v>1</v>
      </c>
      <c r="F4424" s="70"/>
      <c r="G4424" s="70" t="s">
        <v>61</v>
      </c>
      <c r="H4424" s="70" t="s">
        <v>178</v>
      </c>
      <c r="I4424" s="70" t="s">
        <v>181</v>
      </c>
      <c r="J4424" s="71">
        <f>IF(OR(I4424=0,I4424=""),"unrated",VLOOKUP(I4424,MappingTables!$B$19:$C$31,2,FALSE))</f>
        <v>3</v>
      </c>
      <c r="K4424" s="72">
        <v>43.74409757504736</v>
      </c>
      <c r="L4424" s="70">
        <v>6.5104776821338184</v>
      </c>
      <c r="M4424" s="71">
        <f>IF(L4424&lt;1,1,L4424)</f>
        <v>6.5104776821338184</v>
      </c>
      <c r="N4424" s="70" t="s">
        <v>141</v>
      </c>
      <c r="O4424" s="71">
        <f>INDEX(DurClassMapping,MATCH(M4424,MappingTables!$D$4:$D$8,-1),1)</f>
        <v>2</v>
      </c>
      <c r="P4424" s="73">
        <f>IF(M4424=$A$1,1,$M4424-INDEX(MappingTables!$E$4:$E$8,MATCH(O4424,MappingTables!$B$4:$B$8,0)))</f>
        <v>1.5104776821338186</v>
      </c>
      <c r="Q4424" s="71">
        <f>IF(B4424="",0,INDEX(ModelParameters!$D$6:$K$10,MATCH($O4424,ModelParameters!$B$6:$B$10,0),MATCH($J4424,ModelParameters!$D$5:$K$5,0)))</f>
        <v>0.015</v>
      </c>
      <c r="R4424" s="71">
        <f>IF(B4424="",0,INDEX(ModelParameters!$D$13:$K$17,MATCH($O4424,ModelParameters!$B$13:$B$17,0),MATCH($J4424,ModelParameters!$D$5:$K$5,0)))</f>
        <v>0.125</v>
      </c>
      <c r="S4424" s="160">
        <f>IF(B4424="",0,MIN(IF($N4424="Other Bond TM",ModelParameters!$N$21,1)*(P4424*Q4424+R4424),1))</f>
        <v>0.14765716523200728</v>
      </c>
      <c r="T4424" s="85">
        <f>IF(B4424="",0,$S4424*$K4424)</f>
        <v>6.4591294435638176</v>
      </c>
      <c r="U4424" s="85">
        <f>IF(B4424="",0,IF(OR(H4424=MappingTables!$C$34,H4424=MappingTables!$C$35),T4424,0))</f>
        <v>0</v>
      </c>
      <c r="V4424" s="85">
        <f>IF(ISNA(IF(AND(VLOOKUP(CONCATENATE($D4424,$G4424),CSRFinput!$B:$E,4,0)=0,OR(H4424=MappingTables!$C$34,H4424=MappingTables!$C$35)),1,VLOOKUP(CONCATENATE($D4424,$G4424),CSRFinput!$B:$E,4,0))),0,IF(AND(VLOOKUP(CONCATENATE($D4424,$G4424),CSRFinput!$B:$E,4,0)=0,OR(H4424=MappingTables!$C$34,H4424=MappingTables!$C$35)),1,VLOOKUP(CONCATENATE($D4424,$G4424),CSRFinput!$B:$E,4,0)))</f>
        <v>0.054776304963434752</v>
      </c>
      <c r="W4424" s="85">
        <f>IF(B4424="",0,+$T4424*$V4424)</f>
        <v>0.35380724419895232</v>
      </c>
      <c r="X4424" s="85">
        <f>IF(B4424="",0,IF(OR(H4424=MappingTables!$C$34,H4424=MappingTables!$C$35),W4424,0))</f>
        <v>0</v>
      </c>
    </row>
    <row r="4425" spans="2:24" s="0" customFormat="0" ht="15">
      <c r="B4425" s="69">
        <v>14519212</v>
      </c>
      <c r="C4425" s="70" t="s">
        <v>302</v>
      </c>
      <c r="D4425" s="70" t="s">
        <v>1</v>
      </c>
      <c r="E4425" s="70" t="s">
        <v>1</v>
      </c>
      <c r="F4425" s="70"/>
      <c r="G4425" s="70" t="s">
        <v>61</v>
      </c>
      <c r="H4425" s="70" t="s">
        <v>178</v>
      </c>
      <c r="I4425" s="70" t="s">
        <v>184</v>
      </c>
      <c r="J4425" s="71">
        <f>IF(OR(I4425=0,I4425=""),"unrated",VLOOKUP(I4425,MappingTables!$B$19:$C$31,2,FALSE))</f>
        <v>5</v>
      </c>
      <c r="K4425" s="72">
        <v>1671.2872716998674</v>
      </c>
      <c r="L4425" s="70">
        <v>6.7567862076561344</v>
      </c>
      <c r="M4425" s="71">
        <f>IF(L4425&lt;1,1,L4425)</f>
        <v>6.7567862076561344</v>
      </c>
      <c r="N4425" s="70" t="s">
        <v>141</v>
      </c>
      <c r="O4425" s="71">
        <f>INDEX(DurClassMapping,MATCH(M4425,MappingTables!$D$4:$D$8,-1),1)</f>
        <v>2</v>
      </c>
      <c r="P4425" s="73">
        <f>IF(M4425=$A$1,1,$M4425-INDEX(MappingTables!$E$4:$E$8,MATCH(O4425,MappingTables!$B$4:$B$8,0)))</f>
        <v>1.756786207656134</v>
      </c>
      <c r="Q4425" s="71">
        <f>IF(B4425="",0,INDEX(ModelParameters!$D$6:$K$10,MATCH($O4425,ModelParameters!$B$6:$B$10,0),MATCH($J4425,ModelParameters!$D$5:$K$5,0)))</f>
        <v>0.042</v>
      </c>
      <c r="R4425" s="71">
        <f>IF(B4425="",0,INDEX(ModelParameters!$D$13:$K$17,MATCH($O4425,ModelParameters!$B$13:$B$17,0),MATCH($J4425,ModelParameters!$D$5:$K$5,0)))</f>
        <v>0.375</v>
      </c>
      <c r="S4425" s="160">
        <f>IF(B4425="",0,MIN(IF($N4425="Other Bond TM",ModelParameters!$N$21,1)*(P4425*Q4425+R4425),1))</f>
        <v>0.4487850207215576</v>
      </c>
      <c r="T4425" s="85">
        <f>IF(B4425="",0,$S4425*$K4425)</f>
        <v>750.04869286150048</v>
      </c>
      <c r="U4425" s="85">
        <f>IF(B4425="",0,IF(OR(H4425=MappingTables!$C$34,H4425=MappingTables!$C$35),T4425,0))</f>
        <v>0</v>
      </c>
      <c r="V4425" s="85">
        <f>IF(ISNA(IF(AND(VLOOKUP(CONCATENATE($D4425,$G4425),CSRFinput!$B:$E,4,0)=0,OR(H4425=MappingTables!$C$34,H4425=MappingTables!$C$35)),1,VLOOKUP(CONCATENATE($D4425,$G4425),CSRFinput!$B:$E,4,0))),0,IF(AND(VLOOKUP(CONCATENATE($D4425,$G4425),CSRFinput!$B:$E,4,0)=0,OR(H4425=MappingTables!$C$34,H4425=MappingTables!$C$35)),1,VLOOKUP(CONCATENATE($D4425,$G4425),CSRFinput!$B:$E,4,0)))</f>
        <v>0.054776304963434752</v>
      </c>
      <c r="W4425" s="85">
        <f>IF(B4425="",0,+$T4425*$V4425)</f>
        <v>41.08489593760716</v>
      </c>
      <c r="X4425" s="85">
        <f>IF(B4425="",0,IF(OR(H4425=MappingTables!$C$34,H4425=MappingTables!$C$35),W4425,0))</f>
        <v>0</v>
      </c>
    </row>
    <row r="4426" spans="2:24" s="0" customFormat="0" ht="15">
      <c r="B4426" s="69">
        <v>11899219</v>
      </c>
      <c r="C4426" s="70" t="s">
        <v>2898</v>
      </c>
      <c r="D4426" s="70" t="s">
        <v>1</v>
      </c>
      <c r="E4426" s="70" t="s">
        <v>1</v>
      </c>
      <c r="F4426" s="70"/>
      <c r="G4426" s="70" t="s">
        <v>61</v>
      </c>
      <c r="H4426" s="70" t="s">
        <v>178</v>
      </c>
      <c r="I4426" s="70" t="s">
        <v>179</v>
      </c>
      <c r="J4426" s="71">
        <f>IF(OR(I4426=0,I4426=""),"unrated",VLOOKUP(I4426,MappingTables!$B$19:$C$31,2,FALSE))</f>
        <v>4</v>
      </c>
      <c r="K4426" s="72">
        <v>134.69638361791974</v>
      </c>
      <c r="L4426" s="70">
        <v>0.087670962709916032</v>
      </c>
      <c r="M4426" s="71">
        <f>IF(L4426&lt;1,1,L4426)</f>
        <v>1</v>
      </c>
      <c r="N4426" s="70" t="s">
        <v>141</v>
      </c>
      <c r="O4426" s="71">
        <f>INDEX(DurClassMapping,MATCH(M4426,MappingTables!$D$4:$D$8,-1),1)</f>
        <v>1</v>
      </c>
      <c r="P4426" s="73">
        <f>IF(M4426=$A$1,1,$M4426-INDEX(MappingTables!$E$4:$E$8,MATCH(O4426,MappingTables!$B$4:$B$8,0)))</f>
        <v>1</v>
      </c>
      <c r="Q4426" s="71">
        <f>IF(B4426="",0,INDEX(ModelParameters!$D$6:$K$10,MATCH($O4426,ModelParameters!$B$6:$B$10,0),MATCH($J4426,ModelParameters!$D$5:$K$5,0)))</f>
        <v>0.045</v>
      </c>
      <c r="R4426" s="71">
        <f>IF(B4426="",0,INDEX(ModelParameters!$D$13:$K$17,MATCH($O4426,ModelParameters!$B$13:$B$17,0),MATCH($J4426,ModelParameters!$D$5:$K$5,0)))</f>
        <v>0</v>
      </c>
      <c r="S4426" s="160">
        <f>IF(B4426="",0,MIN(IF($N4426="Other Bond TM",ModelParameters!$N$21,1)*(P4426*Q4426+R4426),1))</f>
        <v>0.045</v>
      </c>
      <c r="T4426" s="85">
        <f>IF(B4426="",0,$S4426*$K4426)</f>
        <v>6.061337262806388</v>
      </c>
      <c r="U4426" s="85">
        <f>IF(B4426="",0,IF(OR(H4426=MappingTables!$C$34,H4426=MappingTables!$C$35),T4426,0))</f>
        <v>0</v>
      </c>
      <c r="V4426" s="85">
        <f>IF(ISNA(IF(AND(VLOOKUP(CONCATENATE($D4426,$G4426),CSRFinput!$B:$E,4,0)=0,OR(H4426=MappingTables!$C$34,H4426=MappingTables!$C$35)),1,VLOOKUP(CONCATENATE($D4426,$G4426),CSRFinput!$B:$E,4,0))),0,IF(AND(VLOOKUP(CONCATENATE($D4426,$G4426),CSRFinput!$B:$E,4,0)=0,OR(H4426=MappingTables!$C$34,H4426=MappingTables!$C$35)),1,VLOOKUP(CONCATENATE($D4426,$G4426),CSRFinput!$B:$E,4,0)))</f>
        <v>0.054776304963434752</v>
      </c>
      <c r="W4426" s="85">
        <f>IF(B4426="",0,+$T4426*$V4426)</f>
        <v>0.3320176583937136</v>
      </c>
      <c r="X4426" s="85">
        <f>IF(B4426="",0,IF(OR(H4426=MappingTables!$C$34,H4426=MappingTables!$C$35),W4426,0))</f>
        <v>0</v>
      </c>
    </row>
    <row r="4427" spans="2:24" s="0" customFormat="0" ht="15">
      <c r="B4427" s="69">
        <v>19481667</v>
      </c>
      <c r="C4427" s="70" t="s">
        <v>2191</v>
      </c>
      <c r="D4427" s="70" t="s">
        <v>1</v>
      </c>
      <c r="E4427" s="70" t="s">
        <v>1</v>
      </c>
      <c r="F4427" s="70"/>
      <c r="G4427" s="70" t="s">
        <v>61</v>
      </c>
      <c r="H4427" s="70" t="s">
        <v>178</v>
      </c>
      <c r="I4427" s="70" t="s">
        <v>181</v>
      </c>
      <c r="J4427" s="71">
        <f>IF(OR(I4427=0,I4427=""),"unrated",VLOOKUP(I4427,MappingTables!$B$19:$C$31,2,FALSE))</f>
        <v>3</v>
      </c>
      <c r="K4427" s="72">
        <v>978.98167033614688</v>
      </c>
      <c r="L4427" s="70">
        <v>15.500759319238726</v>
      </c>
      <c r="M4427" s="71">
        <f>IF(L4427&lt;1,1,L4427)</f>
        <v>15.500759319238726</v>
      </c>
      <c r="N4427" s="70" t="s">
        <v>141</v>
      </c>
      <c r="O4427" s="71">
        <f>INDEX(DurClassMapping,MATCH(M4427,MappingTables!$D$4:$D$8,-1),1)</f>
        <v>4</v>
      </c>
      <c r="P4427" s="73">
        <f>IF(M4427=$A$1,1,$M4427-INDEX(MappingTables!$E$4:$E$8,MATCH(O4427,MappingTables!$B$4:$B$8,0)))</f>
        <v>0.50075931923872648</v>
      </c>
      <c r="Q4427" s="71">
        <f>IF(B4427="",0,INDEX(ModelParameters!$D$6:$K$10,MATCH($O4427,ModelParameters!$B$6:$B$10,0),MATCH($J4427,ModelParameters!$D$5:$K$5,0)))</f>
        <v>0.01</v>
      </c>
      <c r="R4427" s="71">
        <f>IF(B4427="",0,INDEX(ModelParameters!$D$13:$K$17,MATCH($O4427,ModelParameters!$B$13:$B$17,0),MATCH($J4427,ModelParameters!$D$5:$K$5,0)))</f>
        <v>0.25</v>
      </c>
      <c r="S4427" s="160">
        <f>IF(B4427="",0,MIN(IF($N4427="Other Bond TM",ModelParameters!$N$21,1)*(P4427*Q4427+R4427),1))</f>
        <v>0.25500759319238724</v>
      </c>
      <c r="T4427" s="85">
        <f>IF(B4427="",0,$S4427*$K4427)</f>
        <v>249.64775953188392</v>
      </c>
      <c r="U4427" s="85">
        <f>IF(B4427="",0,IF(OR(H4427=MappingTables!$C$34,H4427=MappingTables!$C$35),T4427,0))</f>
        <v>0</v>
      </c>
      <c r="V4427" s="85">
        <f>IF(ISNA(IF(AND(VLOOKUP(CONCATENATE($D4427,$G4427),CSRFinput!$B:$E,4,0)=0,OR(H4427=MappingTables!$C$34,H4427=MappingTables!$C$35)),1,VLOOKUP(CONCATENATE($D4427,$G4427),CSRFinput!$B:$E,4,0))),0,IF(AND(VLOOKUP(CONCATENATE($D4427,$G4427),CSRFinput!$B:$E,4,0)=0,OR(H4427=MappingTables!$C$34,H4427=MappingTables!$C$35)),1,VLOOKUP(CONCATENATE($D4427,$G4427),CSRFinput!$B:$E,4,0)))</f>
        <v>0.054776304963434752</v>
      </c>
      <c r="W4427" s="85">
        <f>IF(B4427="",0,+$T4427*$V4427)</f>
        <v>13.674781809556698</v>
      </c>
      <c r="X4427" s="85">
        <f>IF(B4427="",0,IF(OR(H4427=MappingTables!$C$34,H4427=MappingTables!$C$35),W4427,0))</f>
        <v>0</v>
      </c>
    </row>
    <row r="4428" spans="2:24" s="0" customFormat="0" ht="15">
      <c r="B4428" s="69">
        <v>21007288</v>
      </c>
      <c r="C4428" s="70" t="s">
        <v>2957</v>
      </c>
      <c r="D4428" s="70" t="s">
        <v>1</v>
      </c>
      <c r="E4428" s="70" t="s">
        <v>1</v>
      </c>
      <c r="F4428" s="70"/>
      <c r="G4428" s="70" t="s">
        <v>61</v>
      </c>
      <c r="H4428" s="70" t="s">
        <v>178</v>
      </c>
      <c r="I4428" s="70" t="s">
        <v>181</v>
      </c>
      <c r="J4428" s="71">
        <f>IF(OR(I4428=0,I4428=""),"unrated",VLOOKUP(I4428,MappingTables!$B$19:$C$31,2,FALSE))</f>
        <v>3</v>
      </c>
      <c r="K4428" s="72">
        <v>222.24567275723744</v>
      </c>
      <c r="L4428" s="70">
        <v>3.5693867870888076</v>
      </c>
      <c r="M4428" s="71">
        <f>IF(L4428&lt;1,1,L4428)</f>
        <v>3.5693867870888076</v>
      </c>
      <c r="N4428" s="70" t="s">
        <v>141</v>
      </c>
      <c r="O4428" s="71">
        <f>INDEX(DurClassMapping,MATCH(M4428,MappingTables!$D$4:$D$8,-1),1)</f>
        <v>1</v>
      </c>
      <c r="P4428" s="73">
        <f>IF(M4428=$A$1,1,$M4428-INDEX(MappingTables!$E$4:$E$8,MATCH(O4428,MappingTables!$B$4:$B$8,0)))</f>
        <v>3.5693867870888076</v>
      </c>
      <c r="Q4428" s="71">
        <f>IF(B4428="",0,INDEX(ModelParameters!$D$6:$K$10,MATCH($O4428,ModelParameters!$B$6:$B$10,0),MATCH($J4428,ModelParameters!$D$5:$K$5,0)))</f>
        <v>0.025</v>
      </c>
      <c r="R4428" s="71">
        <f>IF(B4428="",0,INDEX(ModelParameters!$D$13:$K$17,MATCH($O4428,ModelParameters!$B$13:$B$17,0),MATCH($J4428,ModelParameters!$D$5:$K$5,0)))</f>
        <v>0</v>
      </c>
      <c r="S4428" s="160">
        <f>IF(B4428="",0,MIN(IF($N4428="Other Bond TM",ModelParameters!$N$21,1)*(P4428*Q4428+R4428),1))</f>
        <v>0.089234669677220192</v>
      </c>
      <c r="T4428" s="85">
        <f>IF(B4428="",0,$S4428*$K4428)</f>
        <v>19.832019195683656</v>
      </c>
      <c r="U4428" s="85">
        <f>IF(B4428="",0,IF(OR(H4428=MappingTables!$C$34,H4428=MappingTables!$C$35),T4428,0))</f>
        <v>0</v>
      </c>
      <c r="V4428" s="85">
        <f>IF(ISNA(IF(AND(VLOOKUP(CONCATENATE($D4428,$G4428),CSRFinput!$B:$E,4,0)=0,OR(H4428=MappingTables!$C$34,H4428=MappingTables!$C$35)),1,VLOOKUP(CONCATENATE($D4428,$G4428),CSRFinput!$B:$E,4,0))),0,IF(AND(VLOOKUP(CONCATENATE($D4428,$G4428),CSRFinput!$B:$E,4,0)=0,OR(H4428=MappingTables!$C$34,H4428=MappingTables!$C$35)),1,VLOOKUP(CONCATENATE($D4428,$G4428),CSRFinput!$B:$E,4,0)))</f>
        <v>0.054776304963434752</v>
      </c>
      <c r="W4428" s="85">
        <f>IF(B4428="",0,+$T4428*$V4428)</f>
        <v>1.08632473150346</v>
      </c>
      <c r="X4428" s="85">
        <f>IF(B4428="",0,IF(OR(H4428=MappingTables!$C$34,H4428=MappingTables!$C$35),W4428,0))</f>
        <v>0</v>
      </c>
    </row>
    <row r="4429" spans="2:24" s="0" customFormat="0" ht="15">
      <c r="B4429" s="69">
        <v>7728521</v>
      </c>
      <c r="C4429" s="70" t="s">
        <v>2500</v>
      </c>
      <c r="D4429" s="70" t="s">
        <v>1</v>
      </c>
      <c r="E4429" s="70" t="s">
        <v>1</v>
      </c>
      <c r="F4429" s="70"/>
      <c r="G4429" s="70" t="s">
        <v>61</v>
      </c>
      <c r="H4429" s="70" t="s">
        <v>178</v>
      </c>
      <c r="I4429" s="70" t="s">
        <v>188</v>
      </c>
      <c r="J4429" s="71">
        <f>IF(OR(I4429=0,I4429=""),"unrated",VLOOKUP(I4429,MappingTables!$B$19:$C$31,2,FALSE))</f>
        <v>2</v>
      </c>
      <c r="K4429" s="72">
        <v>22.225007669459148</v>
      </c>
      <c r="L4429" s="70">
        <v>0.079455178434066416</v>
      </c>
      <c r="M4429" s="71">
        <f>IF(L4429&lt;1,1,L4429)</f>
        <v>1</v>
      </c>
      <c r="N4429" s="70" t="s">
        <v>141</v>
      </c>
      <c r="O4429" s="71">
        <f>INDEX(DurClassMapping,MATCH(M4429,MappingTables!$D$4:$D$8,-1),1)</f>
        <v>1</v>
      </c>
      <c r="P4429" s="73">
        <f>IF(M4429=$A$1,1,$M4429-INDEX(MappingTables!$E$4:$E$8,MATCH(O4429,MappingTables!$B$4:$B$8,0)))</f>
        <v>1</v>
      </c>
      <c r="Q4429" s="71">
        <f>IF(B4429="",0,INDEX(ModelParameters!$D$6:$K$10,MATCH($O4429,ModelParameters!$B$6:$B$10,0),MATCH($J4429,ModelParameters!$D$5:$K$5,0)))</f>
        <v>0.013999999999999998</v>
      </c>
      <c r="R4429" s="71">
        <f>IF(B4429="",0,INDEX(ModelParameters!$D$13:$K$17,MATCH($O4429,ModelParameters!$B$13:$B$17,0),MATCH($J4429,ModelParameters!$D$5:$K$5,0)))</f>
        <v>0</v>
      </c>
      <c r="S4429" s="160">
        <f>IF(B4429="",0,MIN(IF($N4429="Other Bond TM",ModelParameters!$N$21,1)*(P4429*Q4429+R4429),1))</f>
        <v>0.013999999999999998</v>
      </c>
      <c r="T4429" s="85">
        <f>IF(B4429="",0,$S4429*$K4429)</f>
        <v>0.31115010737242804</v>
      </c>
      <c r="U4429" s="85">
        <f>IF(B4429="",0,IF(OR(H4429=MappingTables!$C$34,H4429=MappingTables!$C$35),T4429,0))</f>
        <v>0</v>
      </c>
      <c r="V4429" s="85">
        <f>IF(ISNA(IF(AND(VLOOKUP(CONCATENATE($D4429,$G4429),CSRFinput!$B:$E,4,0)=0,OR(H4429=MappingTables!$C$34,H4429=MappingTables!$C$35)),1,VLOOKUP(CONCATENATE($D4429,$G4429),CSRFinput!$B:$E,4,0))),0,IF(AND(VLOOKUP(CONCATENATE($D4429,$G4429),CSRFinput!$B:$E,4,0)=0,OR(H4429=MappingTables!$C$34,H4429=MappingTables!$C$35)),1,VLOOKUP(CONCATENATE($D4429,$G4429),CSRFinput!$B:$E,4,0)))</f>
        <v>0.054776304963434752</v>
      </c>
      <c r="W4429" s="85">
        <f>IF(B4429="",0,+$T4429*$V4429)</f>
        <v>0.017043653170837586</v>
      </c>
      <c r="X4429" s="85">
        <f>IF(B4429="",0,IF(OR(H4429=MappingTables!$C$34,H4429=MappingTables!$C$35),W4429,0))</f>
        <v>0</v>
      </c>
    </row>
    <row r="4430" spans="2:24" s="0" customFormat="0" ht="15">
      <c r="B4430" s="69">
        <v>12686062</v>
      </c>
      <c r="C4430" s="70" t="s">
        <v>2990</v>
      </c>
      <c r="D4430" s="70" t="s">
        <v>1</v>
      </c>
      <c r="E4430" s="70" t="s">
        <v>1</v>
      </c>
      <c r="F4430" s="70"/>
      <c r="G4430" s="70" t="s">
        <v>61</v>
      </c>
      <c r="H4430" s="70" t="s">
        <v>178</v>
      </c>
      <c r="I4430" s="70" t="s">
        <v>179</v>
      </c>
      <c r="J4430" s="71">
        <f>IF(OR(I4430=0,I4430=""),"unrated",VLOOKUP(I4430,MappingTables!$B$19:$C$31,2,FALSE))</f>
        <v>4</v>
      </c>
      <c r="K4430" s="72">
        <v>4596.5000847649448</v>
      </c>
      <c r="L4430" s="70">
        <v>5.2716710813738776</v>
      </c>
      <c r="M4430" s="71">
        <f>IF(L4430&lt;1,1,L4430)</f>
        <v>5.2716710813738776</v>
      </c>
      <c r="N4430" s="70" t="s">
        <v>141</v>
      </c>
      <c r="O4430" s="71">
        <f>INDEX(DurClassMapping,MATCH(M4430,MappingTables!$D$4:$D$8,-1),1)</f>
        <v>2</v>
      </c>
      <c r="P4430" s="73">
        <f>IF(M4430=$A$1,1,$M4430-INDEX(MappingTables!$E$4:$E$8,MATCH(O4430,MappingTables!$B$4:$B$8,0)))</f>
        <v>0.27167108137387784</v>
      </c>
      <c r="Q4430" s="71">
        <f>IF(B4430="",0,INDEX(ModelParameters!$D$6:$K$10,MATCH($O4430,ModelParameters!$B$6:$B$10,0),MATCH($J4430,ModelParameters!$D$5:$K$5,0)))</f>
        <v>0.025</v>
      </c>
      <c r="R4430" s="71">
        <f>IF(B4430="",0,INDEX(ModelParameters!$D$13:$K$17,MATCH($O4430,ModelParameters!$B$13:$B$17,0),MATCH($J4430,ModelParameters!$D$5:$K$5,0)))</f>
        <v>0.225</v>
      </c>
      <c r="S4430" s="160">
        <f>IF(B4430="",0,MIN(IF($N4430="Other Bond TM",ModelParameters!$N$21,1)*(P4430*Q4430+R4430),1))</f>
        <v>0.23179177703434696</v>
      </c>
      <c r="T4430" s="85">
        <f>IF(B4430="",0,$S4430*$K4430)</f>
        <v>1065.430922786193</v>
      </c>
      <c r="U4430" s="85">
        <f>IF(B4430="",0,IF(OR(H4430=MappingTables!$C$34,H4430=MappingTables!$C$35),T4430,0))</f>
        <v>0</v>
      </c>
      <c r="V4430" s="85">
        <f>IF(ISNA(IF(AND(VLOOKUP(CONCATENATE($D4430,$G4430),CSRFinput!$B:$E,4,0)=0,OR(H4430=MappingTables!$C$34,H4430=MappingTables!$C$35)),1,VLOOKUP(CONCATENATE($D4430,$G4430),CSRFinput!$B:$E,4,0))),0,IF(AND(VLOOKUP(CONCATENATE($D4430,$G4430),CSRFinput!$B:$E,4,0)=0,OR(H4430=MappingTables!$C$34,H4430=MappingTables!$C$35)),1,VLOOKUP(CONCATENATE($D4430,$G4430),CSRFinput!$B:$E,4,0)))</f>
        <v>0.054776304963434752</v>
      </c>
      <c r="W4430" s="85">
        <f>IF(B4430="",0,+$T4430*$V4430)</f>
        <v>58.360369144010208</v>
      </c>
      <c r="X4430" s="85">
        <f>IF(B4430="",0,IF(OR(H4430=MappingTables!$C$34,H4430=MappingTables!$C$35),W4430,0))</f>
        <v>0</v>
      </c>
    </row>
    <row r="4431" spans="2:24" s="0" customFormat="0" ht="15">
      <c r="B4431" s="69">
        <v>24263604</v>
      </c>
      <c r="C4431" s="70" t="s">
        <v>2912</v>
      </c>
      <c r="D4431" s="70" t="s">
        <v>1</v>
      </c>
      <c r="E4431" s="70" t="s">
        <v>1</v>
      </c>
      <c r="F4431" s="70"/>
      <c r="G4431" s="70" t="s">
        <v>61</v>
      </c>
      <c r="H4431" s="70" t="s">
        <v>178</v>
      </c>
      <c r="I4431" s="70" t="s">
        <v>179</v>
      </c>
      <c r="J4431" s="71">
        <f>IF(OR(I4431=0,I4431=""),"unrated",VLOOKUP(I4431,MappingTables!$B$19:$C$31,2,FALSE))</f>
        <v>4</v>
      </c>
      <c r="K4431" s="72">
        <v>11160.313707440072</v>
      </c>
      <c r="L4431" s="70">
        <v>13.393671797119846</v>
      </c>
      <c r="M4431" s="71">
        <f>IF(L4431&lt;1,1,L4431)</f>
        <v>13.393671797119846</v>
      </c>
      <c r="N4431" s="70" t="s">
        <v>141</v>
      </c>
      <c r="O4431" s="71">
        <f>INDEX(DurClassMapping,MATCH(M4431,MappingTables!$D$4:$D$8,-1),1)</f>
        <v>3</v>
      </c>
      <c r="P4431" s="73">
        <f>IF(M4431=$A$1,1,$M4431-INDEX(MappingTables!$E$4:$E$8,MATCH(O4431,MappingTables!$B$4:$B$8,0)))</f>
        <v>3.3936717971198468</v>
      </c>
      <c r="Q4431" s="71">
        <f>IF(B4431="",0,INDEX(ModelParameters!$D$6:$K$10,MATCH($O4431,ModelParameters!$B$6:$B$10,0),MATCH($J4431,ModelParameters!$D$5:$K$5,0)))</f>
        <v>0.018000000000000002</v>
      </c>
      <c r="R4431" s="71">
        <f>IF(B4431="",0,INDEX(ModelParameters!$D$13:$K$17,MATCH($O4431,ModelParameters!$B$13:$B$17,0),MATCH($J4431,ModelParameters!$D$5:$K$5,0)))</f>
        <v>0.34999999999999996</v>
      </c>
      <c r="S4431" s="160">
        <f>IF(B4431="",0,MIN(IF($N4431="Other Bond TM",ModelParameters!$N$21,1)*(P4431*Q4431+R4431),1))</f>
        <v>0.4110860923481572</v>
      </c>
      <c r="T4431" s="85">
        <f>IF(B4431="",0,$S4431*$K4431)</f>
        <v>4587.8497513711144</v>
      </c>
      <c r="U4431" s="85">
        <f>IF(B4431="",0,IF(OR(H4431=MappingTables!$C$34,H4431=MappingTables!$C$35),T4431,0))</f>
        <v>0</v>
      </c>
      <c r="V4431" s="85">
        <f>IF(ISNA(IF(AND(VLOOKUP(CONCATENATE($D4431,$G4431),CSRFinput!$B:$E,4,0)=0,OR(H4431=MappingTables!$C$34,H4431=MappingTables!$C$35)),1,VLOOKUP(CONCATENATE($D4431,$G4431),CSRFinput!$B:$E,4,0))),0,IF(AND(VLOOKUP(CONCATENATE($D4431,$G4431),CSRFinput!$B:$E,4,0)=0,OR(H4431=MappingTables!$C$34,H4431=MappingTables!$C$35)),1,VLOOKUP(CONCATENATE($D4431,$G4431),CSRFinput!$B:$E,4,0)))</f>
        <v>0.054776304963434752</v>
      </c>
      <c r="W4431" s="85">
        <f>IF(B4431="",0,+$T4431*$V4431)</f>
        <v>251.30545710752248</v>
      </c>
      <c r="X4431" s="85">
        <f>IF(B4431="",0,IF(OR(H4431=MappingTables!$C$34,H4431=MappingTables!$C$35),W4431,0))</f>
        <v>0</v>
      </c>
    </row>
    <row r="4432" spans="2:24" s="0" customFormat="0" ht="15">
      <c r="B4432" s="69">
        <v>14370170</v>
      </c>
      <c r="C4432" s="70" t="s">
        <v>2904</v>
      </c>
      <c r="D4432" s="70" t="s">
        <v>1</v>
      </c>
      <c r="E4432" s="70" t="s">
        <v>1</v>
      </c>
      <c r="F4432" s="70"/>
      <c r="G4432" s="70" t="s">
        <v>61</v>
      </c>
      <c r="H4432" s="70" t="s">
        <v>178</v>
      </c>
      <c r="I4432" s="70" t="s">
        <v>184</v>
      </c>
      <c r="J4432" s="71">
        <f>IF(OR(I4432=0,I4432=""),"unrated",VLOOKUP(I4432,MappingTables!$B$19:$C$31,2,FALSE))</f>
        <v>5</v>
      </c>
      <c r="K4432" s="72">
        <v>131.83522458770082</v>
      </c>
      <c r="L4432" s="70">
        <v>0.48064822767031272</v>
      </c>
      <c r="M4432" s="71">
        <f>IF(L4432&lt;1,1,L4432)</f>
        <v>1</v>
      </c>
      <c r="N4432" s="70" t="s">
        <v>141</v>
      </c>
      <c r="O4432" s="71">
        <f>INDEX(DurClassMapping,MATCH(M4432,MappingTables!$D$4:$D$8,-1),1)</f>
        <v>1</v>
      </c>
      <c r="P4432" s="73">
        <f>IF(M4432=$A$1,1,$M4432-INDEX(MappingTables!$E$4:$E$8,MATCH(O4432,MappingTables!$B$4:$B$8,0)))</f>
        <v>1</v>
      </c>
      <c r="Q4432" s="71">
        <f>IF(B4432="",0,INDEX(ModelParameters!$D$6:$K$10,MATCH($O4432,ModelParameters!$B$6:$B$10,0),MATCH($J4432,ModelParameters!$D$5:$K$5,0)))</f>
        <v>0.075</v>
      </c>
      <c r="R4432" s="71">
        <f>IF(B4432="",0,INDEX(ModelParameters!$D$13:$K$17,MATCH($O4432,ModelParameters!$B$13:$B$17,0),MATCH($J4432,ModelParameters!$D$5:$K$5,0)))</f>
        <v>0</v>
      </c>
      <c r="S4432" s="160">
        <f>IF(B4432="",0,MIN(IF($N4432="Other Bond TM",ModelParameters!$N$21,1)*(P4432*Q4432+R4432),1))</f>
        <v>0.075</v>
      </c>
      <c r="T4432" s="85">
        <f>IF(B4432="",0,$S4432*$K4432)</f>
        <v>9.8876418440775616</v>
      </c>
      <c r="U4432" s="85">
        <f>IF(B4432="",0,IF(OR(H4432=MappingTables!$C$34,H4432=MappingTables!$C$35),T4432,0))</f>
        <v>0</v>
      </c>
      <c r="V4432" s="85">
        <f>IF(ISNA(IF(AND(VLOOKUP(CONCATENATE($D4432,$G4432),CSRFinput!$B:$E,4,0)=0,OR(H4432=MappingTables!$C$34,H4432=MappingTables!$C$35)),1,VLOOKUP(CONCATENATE($D4432,$G4432),CSRFinput!$B:$E,4,0))),0,IF(AND(VLOOKUP(CONCATENATE($D4432,$G4432),CSRFinput!$B:$E,4,0)=0,OR(H4432=MappingTables!$C$34,H4432=MappingTables!$C$35)),1,VLOOKUP(CONCATENATE($D4432,$G4432),CSRFinput!$B:$E,4,0)))</f>
        <v>0.054776304963434752</v>
      </c>
      <c r="W4432" s="85">
        <f>IF(B4432="",0,+$T4432*$V4432)</f>
        <v>0.54160848502041096</v>
      </c>
      <c r="X4432" s="85">
        <f>IF(B4432="",0,IF(OR(H4432=MappingTables!$C$34,H4432=MappingTables!$C$35),W4432,0))</f>
        <v>0</v>
      </c>
    </row>
    <row r="4433" spans="2:24" s="0" customFormat="0" ht="15">
      <c r="B4433" s="69">
        <v>20649047</v>
      </c>
      <c r="C4433" s="70" t="s">
        <v>3004</v>
      </c>
      <c r="D4433" s="70" t="s">
        <v>1</v>
      </c>
      <c r="E4433" s="70" t="s">
        <v>1</v>
      </c>
      <c r="F4433" s="70"/>
      <c r="G4433" s="70" t="s">
        <v>61</v>
      </c>
      <c r="H4433" s="70" t="s">
        <v>178</v>
      </c>
      <c r="I4433" s="70" t="s">
        <v>181</v>
      </c>
      <c r="J4433" s="71">
        <f>IF(OR(I4433=0,I4433=""),"unrated",VLOOKUP(I4433,MappingTables!$B$19:$C$31,2,FALSE))</f>
        <v>3</v>
      </c>
      <c r="K4433" s="72">
        <v>243.38846071345252</v>
      </c>
      <c r="L4433" s="70">
        <v>0.60938851624400424</v>
      </c>
      <c r="M4433" s="71">
        <f>IF(L4433&lt;1,1,L4433)</f>
        <v>1</v>
      </c>
      <c r="N4433" s="70" t="s">
        <v>141</v>
      </c>
      <c r="O4433" s="71">
        <f>INDEX(DurClassMapping,MATCH(M4433,MappingTables!$D$4:$D$8,-1),1)</f>
        <v>1</v>
      </c>
      <c r="P4433" s="73">
        <f>IF(M4433=$A$1,1,$M4433-INDEX(MappingTables!$E$4:$E$8,MATCH(O4433,MappingTables!$B$4:$B$8,0)))</f>
        <v>1</v>
      </c>
      <c r="Q4433" s="71">
        <f>IF(B4433="",0,INDEX(ModelParameters!$D$6:$K$10,MATCH($O4433,ModelParameters!$B$6:$B$10,0),MATCH($J4433,ModelParameters!$D$5:$K$5,0)))</f>
        <v>0.025</v>
      </c>
      <c r="R4433" s="71">
        <f>IF(B4433="",0,INDEX(ModelParameters!$D$13:$K$17,MATCH($O4433,ModelParameters!$B$13:$B$17,0),MATCH($J4433,ModelParameters!$D$5:$K$5,0)))</f>
        <v>0</v>
      </c>
      <c r="S4433" s="160">
        <f>IF(B4433="",0,MIN(IF($N4433="Other Bond TM",ModelParameters!$N$21,1)*(P4433*Q4433+R4433),1))</f>
        <v>0.025</v>
      </c>
      <c r="T4433" s="85">
        <f>IF(B4433="",0,$S4433*$K4433)</f>
        <v>6.0847115178363128</v>
      </c>
      <c r="U4433" s="85">
        <f>IF(B4433="",0,IF(OR(H4433=MappingTables!$C$34,H4433=MappingTables!$C$35),T4433,0))</f>
        <v>0</v>
      </c>
      <c r="V4433" s="85">
        <f>IF(ISNA(IF(AND(VLOOKUP(CONCATENATE($D4433,$G4433),CSRFinput!$B:$E,4,0)=0,OR(H4433=MappingTables!$C$34,H4433=MappingTables!$C$35)),1,VLOOKUP(CONCATENATE($D4433,$G4433),CSRFinput!$B:$E,4,0))),0,IF(AND(VLOOKUP(CONCATENATE($D4433,$G4433),CSRFinput!$B:$E,4,0)=0,OR(H4433=MappingTables!$C$34,H4433=MappingTables!$C$35)),1,VLOOKUP(CONCATENATE($D4433,$G4433),CSRFinput!$B:$E,4,0)))</f>
        <v>0.054776304963434752</v>
      </c>
      <c r="W4433" s="85">
        <f>IF(B4433="",0,+$T4433*$V4433)</f>
        <v>0.33329801371552588</v>
      </c>
      <c r="X4433" s="85">
        <f>IF(B4433="",0,IF(OR(H4433=MappingTables!$C$34,H4433=MappingTables!$C$35),W4433,0))</f>
        <v>0</v>
      </c>
    </row>
    <row r="4434" spans="2:24" s="0" customFormat="0" ht="15">
      <c r="B4434" s="69">
        <v>22857474</v>
      </c>
      <c r="C4434" s="70" t="s">
        <v>2853</v>
      </c>
      <c r="D4434" s="70" t="s">
        <v>1</v>
      </c>
      <c r="E4434" s="70" t="s">
        <v>1</v>
      </c>
      <c r="F4434" s="70"/>
      <c r="G4434" s="70" t="s">
        <v>61</v>
      </c>
      <c r="H4434" s="70" t="s">
        <v>178</v>
      </c>
      <c r="I4434" s="70" t="s">
        <v>181</v>
      </c>
      <c r="J4434" s="71">
        <f>IF(OR(I4434=0,I4434=""),"unrated",VLOOKUP(I4434,MappingTables!$B$19:$C$31,2,FALSE))</f>
        <v>3</v>
      </c>
      <c r="K4434" s="72">
        <v>4903.6998855600344</v>
      </c>
      <c r="L4434" s="70">
        <v>20.557499889836968</v>
      </c>
      <c r="M4434" s="71">
        <f>IF(L4434&lt;1,1,L4434)</f>
        <v>20.557499889836968</v>
      </c>
      <c r="N4434" s="70" t="s">
        <v>141</v>
      </c>
      <c r="O4434" s="71">
        <f>INDEX(DurClassMapping,MATCH(M4434,MappingTables!$D$4:$D$8,-1),1)</f>
        <v>5</v>
      </c>
      <c r="P4434" s="73">
        <f>IF(M4434=$A$1,1,$M4434-INDEX(MappingTables!$E$4:$E$8,MATCH(O4434,MappingTables!$B$4:$B$8,0)))</f>
        <v>0.55749988983696856</v>
      </c>
      <c r="Q4434" s="71">
        <f>IF(B4434="",0,INDEX(ModelParameters!$D$6:$K$10,MATCH($O4434,ModelParameters!$B$6:$B$10,0),MATCH($J4434,ModelParameters!$D$5:$K$5,0)))</f>
        <v>0.005</v>
      </c>
      <c r="R4434" s="71">
        <f>IF(B4434="",0,INDEX(ModelParameters!$D$13:$K$17,MATCH($O4434,ModelParameters!$B$13:$B$17,0),MATCH($J4434,ModelParameters!$D$5:$K$5,0)))</f>
        <v>0.3</v>
      </c>
      <c r="S4434" s="160">
        <f>IF(B4434="",0,MIN(IF($N4434="Other Bond TM",ModelParameters!$N$21,1)*(P4434*Q4434+R4434),1))</f>
        <v>0.3027874994491848</v>
      </c>
      <c r="T4434" s="85">
        <f>IF(B4434="",0,$S4434*$K4434)</f>
        <v>1484.7790263979764</v>
      </c>
      <c r="U4434" s="85">
        <f>IF(B4434="",0,IF(OR(H4434=MappingTables!$C$34,H4434=MappingTables!$C$35),T4434,0))</f>
        <v>0</v>
      </c>
      <c r="V4434" s="85">
        <f>IF(ISNA(IF(AND(VLOOKUP(CONCATENATE($D4434,$G4434),CSRFinput!$B:$E,4,0)=0,OR(H4434=MappingTables!$C$34,H4434=MappingTables!$C$35)),1,VLOOKUP(CONCATENATE($D4434,$G4434),CSRFinput!$B:$E,4,0))),0,IF(AND(VLOOKUP(CONCATENATE($D4434,$G4434),CSRFinput!$B:$E,4,0)=0,OR(H4434=MappingTables!$C$34,H4434=MappingTables!$C$35)),1,VLOOKUP(CONCATENATE($D4434,$G4434),CSRFinput!$B:$E,4,0)))</f>
        <v>0.054776304963434752</v>
      </c>
      <c r="W4434" s="85">
        <f>IF(B4434="",0,+$T4434*$V4434)</f>
        <v>81.330708753287296</v>
      </c>
      <c r="X4434" s="85">
        <f>IF(B4434="",0,IF(OR(H4434=MappingTables!$C$34,H4434=MappingTables!$C$35),W4434,0))</f>
        <v>0</v>
      </c>
    </row>
    <row r="4435" spans="2:24" s="0" customFormat="0" ht="15">
      <c r="B4435" s="69">
        <v>6087964</v>
      </c>
      <c r="C4435" s="70" t="s">
        <v>2005</v>
      </c>
      <c r="D4435" s="70" t="s">
        <v>1</v>
      </c>
      <c r="E4435" s="70" t="s">
        <v>1</v>
      </c>
      <c r="F4435" s="70"/>
      <c r="G4435" s="70" t="s">
        <v>61</v>
      </c>
      <c r="H4435" s="70" t="s">
        <v>178</v>
      </c>
      <c r="I4435" s="70" t="s">
        <v>181</v>
      </c>
      <c r="J4435" s="71">
        <f>IF(OR(I4435=0,I4435=""),"unrated",VLOOKUP(I4435,MappingTables!$B$19:$C$31,2,FALSE))</f>
        <v>3</v>
      </c>
      <c r="K4435" s="72">
        <v>7.106342196509308</v>
      </c>
      <c r="L4435" s="70">
        <v>0.010960582824288088</v>
      </c>
      <c r="M4435" s="71">
        <f>IF(L4435&lt;1,1,L4435)</f>
        <v>1</v>
      </c>
      <c r="N4435" s="70" t="s">
        <v>141</v>
      </c>
      <c r="O4435" s="71">
        <f>INDEX(DurClassMapping,MATCH(M4435,MappingTables!$D$4:$D$8,-1),1)</f>
        <v>1</v>
      </c>
      <c r="P4435" s="73">
        <f>IF(M4435=$A$1,1,$M4435-INDEX(MappingTables!$E$4:$E$8,MATCH(O4435,MappingTables!$B$4:$B$8,0)))</f>
        <v>1</v>
      </c>
      <c r="Q4435" s="71">
        <f>IF(B4435="",0,INDEX(ModelParameters!$D$6:$K$10,MATCH($O4435,ModelParameters!$B$6:$B$10,0),MATCH($J4435,ModelParameters!$D$5:$K$5,0)))</f>
        <v>0.025</v>
      </c>
      <c r="R4435" s="71">
        <f>IF(B4435="",0,INDEX(ModelParameters!$D$13:$K$17,MATCH($O4435,ModelParameters!$B$13:$B$17,0),MATCH($J4435,ModelParameters!$D$5:$K$5,0)))</f>
        <v>0</v>
      </c>
      <c r="S4435" s="160">
        <f>IF(B4435="",0,MIN(IF($N4435="Other Bond TM",ModelParameters!$N$21,1)*(P4435*Q4435+R4435),1))</f>
        <v>0.025</v>
      </c>
      <c r="T4435" s="85">
        <f>IF(B4435="",0,$S4435*$K4435)</f>
        <v>0.17765855491273272</v>
      </c>
      <c r="U4435" s="85">
        <f>IF(B4435="",0,IF(OR(H4435=MappingTables!$C$34,H4435=MappingTables!$C$35),T4435,0))</f>
        <v>0</v>
      </c>
      <c r="V4435" s="85">
        <f>IF(ISNA(IF(AND(VLOOKUP(CONCATENATE($D4435,$G4435),CSRFinput!$B:$E,4,0)=0,OR(H4435=MappingTables!$C$34,H4435=MappingTables!$C$35)),1,VLOOKUP(CONCATENATE($D4435,$G4435),CSRFinput!$B:$E,4,0))),0,IF(AND(VLOOKUP(CONCATENATE($D4435,$G4435),CSRFinput!$B:$E,4,0)=0,OR(H4435=MappingTables!$C$34,H4435=MappingTables!$C$35)),1,VLOOKUP(CONCATENATE($D4435,$G4435),CSRFinput!$B:$E,4,0)))</f>
        <v>0.054776304963434752</v>
      </c>
      <c r="W4435" s="85">
        <f>IF(B4435="",0,+$T4435*$V4435)</f>
        <v>0.0097314791832629664</v>
      </c>
      <c r="X4435" s="85">
        <f>IF(B4435="",0,IF(OR(H4435=MappingTables!$C$34,H4435=MappingTables!$C$35),W4435,0))</f>
        <v>0</v>
      </c>
    </row>
    <row r="4436" spans="2:24" s="0" customFormat="0" ht="15">
      <c r="B4436" s="69">
        <v>20622079</v>
      </c>
      <c r="C4436" s="70" t="s">
        <v>1693</v>
      </c>
      <c r="D4436" s="70" t="s">
        <v>1</v>
      </c>
      <c r="E4436" s="70" t="s">
        <v>1</v>
      </c>
      <c r="F4436" s="70"/>
      <c r="G4436" s="70" t="s">
        <v>61</v>
      </c>
      <c r="H4436" s="70" t="s">
        <v>178</v>
      </c>
      <c r="I4436" s="70" t="s">
        <v>181</v>
      </c>
      <c r="J4436" s="71">
        <f>IF(OR(I4436=0,I4436=""),"unrated",VLOOKUP(I4436,MappingTables!$B$19:$C$31,2,FALSE))</f>
        <v>3</v>
      </c>
      <c r="K4436" s="72">
        <v>17132.06149193821</v>
      </c>
      <c r="L4436" s="70">
        <v>4.126945122339292</v>
      </c>
      <c r="M4436" s="71">
        <f>IF(L4436&lt;1,1,L4436)</f>
        <v>4.126945122339292</v>
      </c>
      <c r="N4436" s="70" t="s">
        <v>141</v>
      </c>
      <c r="O4436" s="71">
        <f>INDEX(DurClassMapping,MATCH(M4436,MappingTables!$D$4:$D$8,-1),1)</f>
        <v>1</v>
      </c>
      <c r="P4436" s="73">
        <f>IF(M4436=$A$1,1,$M4436-INDEX(MappingTables!$E$4:$E$8,MATCH(O4436,MappingTables!$B$4:$B$8,0)))</f>
        <v>4.126945122339292</v>
      </c>
      <c r="Q4436" s="71">
        <f>IF(B4436="",0,INDEX(ModelParameters!$D$6:$K$10,MATCH($O4436,ModelParameters!$B$6:$B$10,0),MATCH($J4436,ModelParameters!$D$5:$K$5,0)))</f>
        <v>0.025</v>
      </c>
      <c r="R4436" s="71">
        <f>IF(B4436="",0,INDEX(ModelParameters!$D$13:$K$17,MATCH($O4436,ModelParameters!$B$13:$B$17,0),MATCH($J4436,ModelParameters!$D$5:$K$5,0)))</f>
        <v>0</v>
      </c>
      <c r="S4436" s="160">
        <f>IF(B4436="",0,MIN(IF($N4436="Other Bond TM",ModelParameters!$N$21,1)*(P4436*Q4436+R4436),1))</f>
        <v>0.1031736280584823</v>
      </c>
      <c r="T4436" s="85">
        <f>IF(B4436="",0,$S4436*$K4436)</f>
        <v>1767.57694024428</v>
      </c>
      <c r="U4436" s="85">
        <f>IF(B4436="",0,IF(OR(H4436=MappingTables!$C$34,H4436=MappingTables!$C$35),T4436,0))</f>
        <v>0</v>
      </c>
      <c r="V4436" s="85">
        <f>IF(ISNA(IF(AND(VLOOKUP(CONCATENATE($D4436,$G4436),CSRFinput!$B:$E,4,0)=0,OR(H4436=MappingTables!$C$34,H4436=MappingTables!$C$35)),1,VLOOKUP(CONCATENATE($D4436,$G4436),CSRFinput!$B:$E,4,0))),0,IF(AND(VLOOKUP(CONCATENATE($D4436,$G4436),CSRFinput!$B:$E,4,0)=0,OR(H4436=MappingTables!$C$34,H4436=MappingTables!$C$35)),1,VLOOKUP(CONCATENATE($D4436,$G4436),CSRFinput!$B:$E,4,0)))</f>
        <v>0.054776304963434752</v>
      </c>
      <c r="W4436" s="85">
        <f>IF(B4436="",0,+$T4436*$V4436)</f>
        <v>96.821333525155568</v>
      </c>
      <c r="X4436" s="85">
        <f>IF(B4436="",0,IF(OR(H4436=MappingTables!$C$34,H4436=MappingTables!$C$35),W4436,0))</f>
        <v>0</v>
      </c>
    </row>
    <row r="4437" spans="2:24" s="0" customFormat="0" ht="15">
      <c r="B4437" s="69" t="s">
        <v>3020</v>
      </c>
      <c r="C4437" s="70" t="s">
        <v>3021</v>
      </c>
      <c r="D4437" s="70" t="s">
        <v>1</v>
      </c>
      <c r="E4437" s="70" t="s">
        <v>1</v>
      </c>
      <c r="F4437" s="70"/>
      <c r="G4437" s="70" t="s">
        <v>61</v>
      </c>
      <c r="H4437" s="70" t="s">
        <v>178</v>
      </c>
      <c r="I4437" s="70" t="s">
        <v>184</v>
      </c>
      <c r="J4437" s="71">
        <f>IF(OR(I4437=0,I4437=""),"unrated",VLOOKUP(I4437,MappingTables!$B$19:$C$31,2,FALSE))</f>
        <v>5</v>
      </c>
      <c r="K4437" s="72">
        <v>1833.8334560331032</v>
      </c>
      <c r="L4437" s="70">
        <v>3.9045124607009848</v>
      </c>
      <c r="M4437" s="71">
        <f>IF(L4437&lt;1,1,L4437)</f>
        <v>3.9045124607009848</v>
      </c>
      <c r="N4437" s="70" t="s">
        <v>141</v>
      </c>
      <c r="O4437" s="71">
        <f>INDEX(DurClassMapping,MATCH(M4437,MappingTables!$D$4:$D$8,-1),1)</f>
        <v>1</v>
      </c>
      <c r="P4437" s="73">
        <f>IF(M4437=$A$1,1,$M4437-INDEX(MappingTables!$E$4:$E$8,MATCH(O4437,MappingTables!$B$4:$B$8,0)))</f>
        <v>3.9045124607009848</v>
      </c>
      <c r="Q4437" s="71">
        <f>IF(B4437="",0,INDEX(ModelParameters!$D$6:$K$10,MATCH($O4437,ModelParameters!$B$6:$B$10,0),MATCH($J4437,ModelParameters!$D$5:$K$5,0)))</f>
        <v>0.075</v>
      </c>
      <c r="R4437" s="71">
        <f>IF(B4437="",0,INDEX(ModelParameters!$D$13:$K$17,MATCH($O4437,ModelParameters!$B$13:$B$17,0),MATCH($J4437,ModelParameters!$D$5:$K$5,0)))</f>
        <v>0</v>
      </c>
      <c r="S4437" s="160">
        <f>IF(B4437="",0,MIN(IF($N4437="Other Bond TM",ModelParameters!$N$21,1)*(P4437*Q4437+R4437),1))</f>
        <v>0.2928384345525738</v>
      </c>
      <c r="T4437" s="85">
        <f>IF(B4437="",0,$S4437*$K4437)</f>
        <v>537.01691849487008</v>
      </c>
      <c r="U4437" s="85">
        <f>IF(B4437="",0,IF(OR(H4437=MappingTables!$C$34,H4437=MappingTables!$C$35),T4437,0))</f>
        <v>0</v>
      </c>
      <c r="V4437" s="85">
        <f>IF(ISNA(IF(AND(VLOOKUP(CONCATENATE($D4437,$G4437),CSRFinput!$B:$E,4,0)=0,OR(H4437=MappingTables!$C$34,H4437=MappingTables!$C$35)),1,VLOOKUP(CONCATENATE($D4437,$G4437),CSRFinput!$B:$E,4,0))),0,IF(AND(VLOOKUP(CONCATENATE($D4437,$G4437),CSRFinput!$B:$E,4,0)=0,OR(H4437=MappingTables!$C$34,H4437=MappingTables!$C$35)),1,VLOOKUP(CONCATENATE($D4437,$G4437),CSRFinput!$B:$E,4,0)))</f>
        <v>0.054776304963434752</v>
      </c>
      <c r="W4437" s="85">
        <f>IF(B4437="",0,+$T4437*$V4437)</f>
        <v>29.415802497998988</v>
      </c>
      <c r="X4437" s="85">
        <f>IF(B4437="",0,IF(OR(H4437=MappingTables!$C$34,H4437=MappingTables!$C$35),W4437,0))</f>
        <v>0</v>
      </c>
    </row>
    <row r="4438" spans="2:24" s="0" customFormat="0" ht="15">
      <c r="B4438" s="69">
        <v>21908432</v>
      </c>
      <c r="C4438" s="70" t="s">
        <v>2199</v>
      </c>
      <c r="D4438" s="70" t="s">
        <v>1</v>
      </c>
      <c r="E4438" s="70" t="s">
        <v>1</v>
      </c>
      <c r="F4438" s="70"/>
      <c r="G4438" s="70" t="s">
        <v>61</v>
      </c>
      <c r="H4438" s="70" t="s">
        <v>178</v>
      </c>
      <c r="I4438" s="70" t="s">
        <v>216</v>
      </c>
      <c r="J4438" s="71">
        <f>IF(OR(I4438=0,I4438=""),"unrated",VLOOKUP(I4438,MappingTables!$B$19:$C$31,2,FALSE))</f>
        <v>0</v>
      </c>
      <c r="K4438" s="72">
        <v>3327.3303846252804</v>
      </c>
      <c r="L4438" s="70">
        <v>0.0410965081291152</v>
      </c>
      <c r="M4438" s="71">
        <f>IF(L4438&lt;1,1,L4438)</f>
        <v>1</v>
      </c>
      <c r="N4438" s="70" t="s">
        <v>141</v>
      </c>
      <c r="O4438" s="71">
        <f>INDEX(DurClassMapping,MATCH(M4438,MappingTables!$D$4:$D$8,-1),1)</f>
        <v>1</v>
      </c>
      <c r="P4438" s="73">
        <f>IF(M4438=$A$1,1,$M4438-INDEX(MappingTables!$E$4:$E$8,MATCH(O4438,MappingTables!$B$4:$B$8,0)))</f>
        <v>1</v>
      </c>
      <c r="Q4438" s="71">
        <f>IF(B4438="",0,INDEX(ModelParameters!$D$6:$K$10,MATCH($O4438,ModelParameters!$B$6:$B$10,0),MATCH($J4438,ModelParameters!$D$5:$K$5,0)))</f>
        <v>0.0090000000000000016</v>
      </c>
      <c r="R4438" s="71">
        <f>IF(B4438="",0,INDEX(ModelParameters!$D$13:$K$17,MATCH($O4438,ModelParameters!$B$13:$B$17,0),MATCH($J4438,ModelParameters!$D$5:$K$5,0)))</f>
        <v>0</v>
      </c>
      <c r="S4438" s="160">
        <f>IF(B4438="",0,MIN(IF($N4438="Other Bond TM",ModelParameters!$N$21,1)*(P4438*Q4438+R4438),1))</f>
        <v>0.0090000000000000016</v>
      </c>
      <c r="T4438" s="85">
        <f>IF(B4438="",0,$S4438*$K4438)</f>
        <v>29.945973461627524</v>
      </c>
      <c r="U4438" s="85">
        <f>IF(B4438="",0,IF(OR(H4438=MappingTables!$C$34,H4438=MappingTables!$C$35),T4438,0))</f>
        <v>0</v>
      </c>
      <c r="V4438" s="85">
        <f>IF(ISNA(IF(AND(VLOOKUP(CONCATENATE($D4438,$G4438),CSRFinput!$B:$E,4,0)=0,OR(H4438=MappingTables!$C$34,H4438=MappingTables!$C$35)),1,VLOOKUP(CONCATENATE($D4438,$G4438),CSRFinput!$B:$E,4,0))),0,IF(AND(VLOOKUP(CONCATENATE($D4438,$G4438),CSRFinput!$B:$E,4,0)=0,OR(H4438=MappingTables!$C$34,H4438=MappingTables!$C$35)),1,VLOOKUP(CONCATENATE($D4438,$G4438),CSRFinput!$B:$E,4,0)))</f>
        <v>0.054776304963434752</v>
      </c>
      <c r="W4438" s="85">
        <f>IF(B4438="",0,+$T4438*$V4438)</f>
        <v>1.6403297747610332</v>
      </c>
      <c r="X4438" s="85">
        <f>IF(B4438="",0,IF(OR(H4438=MappingTables!$C$34,H4438=MappingTables!$C$35),W4438,0))</f>
        <v>0</v>
      </c>
    </row>
    <row r="4439" spans="2:24" s="0" customFormat="0" ht="15">
      <c r="B4439" s="69">
        <v>12081610</v>
      </c>
      <c r="C4439" s="70" t="s">
        <v>348</v>
      </c>
      <c r="D4439" s="70" t="s">
        <v>1</v>
      </c>
      <c r="E4439" s="70" t="s">
        <v>1</v>
      </c>
      <c r="F4439" s="70"/>
      <c r="G4439" s="70" t="s">
        <v>61</v>
      </c>
      <c r="H4439" s="70" t="s">
        <v>178</v>
      </c>
      <c r="I4439" s="70" t="s">
        <v>179</v>
      </c>
      <c r="J4439" s="71">
        <f>IF(OR(I4439=0,I4439=""),"unrated",VLOOKUP(I4439,MappingTables!$B$19:$C$31,2,FALSE))</f>
        <v>4</v>
      </c>
      <c r="K4439" s="72">
        <v>7109.3398075122416</v>
      </c>
      <c r="L4439" s="70">
        <v>4.6397258116828024</v>
      </c>
      <c r="M4439" s="71">
        <f>IF(L4439&lt;1,1,L4439)</f>
        <v>4.6397258116828024</v>
      </c>
      <c r="N4439" s="70" t="s">
        <v>141</v>
      </c>
      <c r="O4439" s="71">
        <f>INDEX(DurClassMapping,MATCH(M4439,MappingTables!$D$4:$D$8,-1),1)</f>
        <v>1</v>
      </c>
      <c r="P4439" s="73">
        <f>IF(M4439=$A$1,1,$M4439-INDEX(MappingTables!$E$4:$E$8,MATCH(O4439,MappingTables!$B$4:$B$8,0)))</f>
        <v>4.6397258116828024</v>
      </c>
      <c r="Q4439" s="71">
        <f>IF(B4439="",0,INDEX(ModelParameters!$D$6:$K$10,MATCH($O4439,ModelParameters!$B$6:$B$10,0),MATCH($J4439,ModelParameters!$D$5:$K$5,0)))</f>
        <v>0.045</v>
      </c>
      <c r="R4439" s="71">
        <f>IF(B4439="",0,INDEX(ModelParameters!$D$13:$K$17,MATCH($O4439,ModelParameters!$B$13:$B$17,0),MATCH($J4439,ModelParameters!$D$5:$K$5,0)))</f>
        <v>0</v>
      </c>
      <c r="S4439" s="160">
        <f>IF(B4439="",0,MIN(IF($N4439="Other Bond TM",ModelParameters!$N$21,1)*(P4439*Q4439+R4439),1))</f>
        <v>0.20878766152572608</v>
      </c>
      <c r="T4439" s="85">
        <f>IF(B4439="",0,$S4439*$K4439)</f>
        <v>1484.3424334022366</v>
      </c>
      <c r="U4439" s="85">
        <f>IF(B4439="",0,IF(OR(H4439=MappingTables!$C$34,H4439=MappingTables!$C$35),T4439,0))</f>
        <v>0</v>
      </c>
      <c r="V4439" s="85">
        <f>IF(ISNA(IF(AND(VLOOKUP(CONCATENATE($D4439,$G4439),CSRFinput!$B:$E,4,0)=0,OR(H4439=MappingTables!$C$34,H4439=MappingTables!$C$35)),1,VLOOKUP(CONCATENATE($D4439,$G4439),CSRFinput!$B:$E,4,0))),0,IF(AND(VLOOKUP(CONCATENATE($D4439,$G4439),CSRFinput!$B:$E,4,0)=0,OR(H4439=MappingTables!$C$34,H4439=MappingTables!$C$35)),1,VLOOKUP(CONCATENATE($D4439,$G4439),CSRFinput!$B:$E,4,0)))</f>
        <v>0.054776304963434752</v>
      </c>
      <c r="W4439" s="85">
        <f>IF(B4439="",0,+$T4439*$V4439)</f>
        <v>81.306793802207744</v>
      </c>
      <c r="X4439" s="85">
        <f>IF(B4439="",0,IF(OR(H4439=MappingTables!$C$34,H4439=MappingTables!$C$35),W4439,0))</f>
        <v>0</v>
      </c>
    </row>
    <row r="4440" spans="2:24" s="0" customFormat="0" ht="15">
      <c r="B4440" s="69">
        <v>19639661</v>
      </c>
      <c r="C4440" s="70" t="s">
        <v>693</v>
      </c>
      <c r="D4440" s="70" t="s">
        <v>1</v>
      </c>
      <c r="E4440" s="70" t="s">
        <v>1</v>
      </c>
      <c r="F4440" s="70"/>
      <c r="G4440" s="70" t="s">
        <v>61</v>
      </c>
      <c r="H4440" s="70" t="s">
        <v>178</v>
      </c>
      <c r="I4440" s="70" t="s">
        <v>204</v>
      </c>
      <c r="J4440" s="71">
        <f>IF(OR(I4440=0,I4440=""),"unrated",VLOOKUP(I4440,MappingTables!$B$19:$C$31,2,FALSE))</f>
        <v>6</v>
      </c>
      <c r="K4440" s="72">
        <v>26907.734310136524</v>
      </c>
      <c r="L4440" s="70">
        <v>3.4238837532823396</v>
      </c>
      <c r="M4440" s="71">
        <f>IF(L4440&lt;1,1,L4440)</f>
        <v>3.4238837532823396</v>
      </c>
      <c r="N4440" s="70" t="s">
        <v>141</v>
      </c>
      <c r="O4440" s="71">
        <f>INDEX(DurClassMapping,MATCH(M4440,MappingTables!$D$4:$D$8,-1),1)</f>
        <v>1</v>
      </c>
      <c r="P4440" s="73">
        <f>IF(M4440=$A$1,1,$M4440-INDEX(MappingTables!$E$4:$E$8,MATCH(O4440,MappingTables!$B$4:$B$8,0)))</f>
        <v>3.4238837532823396</v>
      </c>
      <c r="Q4440" s="71">
        <f>IF(B4440="",0,INDEX(ModelParameters!$D$6:$K$10,MATCH($O4440,ModelParameters!$B$6:$B$10,0),MATCH($J4440,ModelParameters!$D$5:$K$5,0)))</f>
        <v>0.075</v>
      </c>
      <c r="R4440" s="71">
        <f>IF(B4440="",0,INDEX(ModelParameters!$D$13:$K$17,MATCH($O4440,ModelParameters!$B$13:$B$17,0),MATCH($J4440,ModelParameters!$D$5:$K$5,0)))</f>
        <v>0</v>
      </c>
      <c r="S4440" s="160">
        <f>IF(B4440="",0,MIN(IF($N4440="Other Bond TM",ModelParameters!$N$21,1)*(P4440*Q4440+R4440),1))</f>
        <v>0.25679128149617548</v>
      </c>
      <c r="T4440" s="85">
        <f>IF(B4440="",0,$S4440*$K4440)</f>
        <v>6909.6715756585672</v>
      </c>
      <c r="U4440" s="85">
        <f>IF(B4440="",0,IF(OR(H4440=MappingTables!$C$34,H4440=MappingTables!$C$35),T4440,0))</f>
        <v>0</v>
      </c>
      <c r="V4440" s="85">
        <f>IF(ISNA(IF(AND(VLOOKUP(CONCATENATE($D4440,$G4440),CSRFinput!$B:$E,4,0)=0,OR(H4440=MappingTables!$C$34,H4440=MappingTables!$C$35)),1,VLOOKUP(CONCATENATE($D4440,$G4440),CSRFinput!$B:$E,4,0))),0,IF(AND(VLOOKUP(CONCATENATE($D4440,$G4440),CSRFinput!$B:$E,4,0)=0,OR(H4440=MappingTables!$C$34,H4440=MappingTables!$C$35)),1,VLOOKUP(CONCATENATE($D4440,$G4440),CSRFinput!$B:$E,4,0)))</f>
        <v>0.054776304963434752</v>
      </c>
      <c r="W4440" s="85">
        <f>IF(B4440="",0,+$T4440*$V4440)</f>
        <v>378.4862774254504</v>
      </c>
      <c r="X4440" s="85">
        <f>IF(B4440="",0,IF(OR(H4440=MappingTables!$C$34,H4440=MappingTables!$C$35),W4440,0))</f>
        <v>0</v>
      </c>
    </row>
    <row r="4441" spans="2:24" s="0" customFormat="0" ht="15">
      <c r="B4441" s="69">
        <v>10331465</v>
      </c>
      <c r="C4441" s="70" t="s">
        <v>1779</v>
      </c>
      <c r="D4441" s="70" t="s">
        <v>1</v>
      </c>
      <c r="E4441" s="70" t="s">
        <v>1</v>
      </c>
      <c r="F4441" s="70"/>
      <c r="G4441" s="70" t="s">
        <v>61</v>
      </c>
      <c r="H4441" s="70" t="s">
        <v>178</v>
      </c>
      <c r="I4441" s="70" t="s">
        <v>179</v>
      </c>
      <c r="J4441" s="71">
        <f>IF(OR(I4441=0,I4441=""),"unrated",VLOOKUP(I4441,MappingTables!$B$19:$C$31,2,FALSE))</f>
        <v>4</v>
      </c>
      <c r="K4441" s="72">
        <v>10734.113389224344</v>
      </c>
      <c r="L4441" s="70">
        <v>4.0087785861298712</v>
      </c>
      <c r="M4441" s="71">
        <f>IF(L4441&lt;1,1,L4441)</f>
        <v>4.0087785861298712</v>
      </c>
      <c r="N4441" s="70" t="s">
        <v>141</v>
      </c>
      <c r="O4441" s="71">
        <f>INDEX(DurClassMapping,MATCH(M4441,MappingTables!$D$4:$D$8,-1),1)</f>
        <v>1</v>
      </c>
      <c r="P4441" s="73">
        <f>IF(M4441=$A$1,1,$M4441-INDEX(MappingTables!$E$4:$E$8,MATCH(O4441,MappingTables!$B$4:$B$8,0)))</f>
        <v>4.0087785861298712</v>
      </c>
      <c r="Q4441" s="71">
        <f>IF(B4441="",0,INDEX(ModelParameters!$D$6:$K$10,MATCH($O4441,ModelParameters!$B$6:$B$10,0),MATCH($J4441,ModelParameters!$D$5:$K$5,0)))</f>
        <v>0.045</v>
      </c>
      <c r="R4441" s="71">
        <f>IF(B4441="",0,INDEX(ModelParameters!$D$13:$K$17,MATCH($O4441,ModelParameters!$B$13:$B$17,0),MATCH($J4441,ModelParameters!$D$5:$K$5,0)))</f>
        <v>0</v>
      </c>
      <c r="S4441" s="160">
        <f>IF(B4441="",0,MIN(IF($N4441="Other Bond TM",ModelParameters!$N$21,1)*(P4441*Q4441+R4441),1))</f>
        <v>0.1803950363758442</v>
      </c>
      <c r="T4441" s="85">
        <f>IF(B4441="",0,$S4441*$K4441)</f>
        <v>1936.3807753115616</v>
      </c>
      <c r="U4441" s="85">
        <f>IF(B4441="",0,IF(OR(H4441=MappingTables!$C$34,H4441=MappingTables!$C$35),T4441,0))</f>
        <v>0</v>
      </c>
      <c r="V4441" s="85">
        <f>IF(ISNA(IF(AND(VLOOKUP(CONCATENATE($D4441,$G4441),CSRFinput!$B:$E,4,0)=0,OR(H4441=MappingTables!$C$34,H4441=MappingTables!$C$35)),1,VLOOKUP(CONCATENATE($D4441,$G4441),CSRFinput!$B:$E,4,0))),0,IF(AND(VLOOKUP(CONCATENATE($D4441,$G4441),CSRFinput!$B:$E,4,0)=0,OR(H4441=MappingTables!$C$34,H4441=MappingTables!$C$35)),1,VLOOKUP(CONCATENATE($D4441,$G4441),CSRFinput!$B:$E,4,0)))</f>
        <v>0.054776304963434752</v>
      </c>
      <c r="W4441" s="85">
        <f>IF(B4441="",0,+$T4441*$V4441)</f>
        <v>106.06778387379834</v>
      </c>
      <c r="X4441" s="85">
        <f>IF(B4441="",0,IF(OR(H4441=MappingTables!$C$34,H4441=MappingTables!$C$35),W4441,0))</f>
        <v>0</v>
      </c>
    </row>
    <row r="4442" spans="2:24" s="0" customFormat="0" ht="15">
      <c r="B4442" s="69">
        <v>14851179</v>
      </c>
      <c r="C4442" s="70" t="s">
        <v>2820</v>
      </c>
      <c r="D4442" s="70" t="s">
        <v>1</v>
      </c>
      <c r="E4442" s="70" t="s">
        <v>1</v>
      </c>
      <c r="F4442" s="70"/>
      <c r="G4442" s="70" t="s">
        <v>61</v>
      </c>
      <c r="H4442" s="70" t="s">
        <v>178</v>
      </c>
      <c r="I4442" s="70" t="s">
        <v>181</v>
      </c>
      <c r="J4442" s="71">
        <f>IF(OR(I4442=0,I4442=""),"unrated",VLOOKUP(I4442,MappingTables!$B$19:$C$31,2,FALSE))</f>
        <v>3</v>
      </c>
      <c r="K4442" s="72">
        <v>1536.5114431372298</v>
      </c>
      <c r="L4442" s="70">
        <v>1.896209091872308</v>
      </c>
      <c r="M4442" s="71">
        <f>IF(L4442&lt;1,1,L4442)</f>
        <v>1.896209091872308</v>
      </c>
      <c r="N4442" s="70" t="s">
        <v>141</v>
      </c>
      <c r="O4442" s="71">
        <f>INDEX(DurClassMapping,MATCH(M4442,MappingTables!$D$4:$D$8,-1),1)</f>
        <v>1</v>
      </c>
      <c r="P4442" s="73">
        <f>IF(M4442=$A$1,1,$M4442-INDEX(MappingTables!$E$4:$E$8,MATCH(O4442,MappingTables!$B$4:$B$8,0)))</f>
        <v>1.896209091872308</v>
      </c>
      <c r="Q4442" s="71">
        <f>IF(B4442="",0,INDEX(ModelParameters!$D$6:$K$10,MATCH($O4442,ModelParameters!$B$6:$B$10,0),MATCH($J4442,ModelParameters!$D$5:$K$5,0)))</f>
        <v>0.025</v>
      </c>
      <c r="R4442" s="71">
        <f>IF(B4442="",0,INDEX(ModelParameters!$D$13:$K$17,MATCH($O4442,ModelParameters!$B$13:$B$17,0),MATCH($J4442,ModelParameters!$D$5:$K$5,0)))</f>
        <v>0</v>
      </c>
      <c r="S4442" s="160">
        <f>IF(B4442="",0,MIN(IF($N4442="Other Bond TM",ModelParameters!$N$21,1)*(P4442*Q4442+R4442),1))</f>
        <v>0.047405227296807704</v>
      </c>
      <c r="T4442" s="85">
        <f>IF(B4442="",0,$S4442*$K4442)</f>
        <v>72.838674206066416</v>
      </c>
      <c r="U4442" s="85">
        <f>IF(B4442="",0,IF(OR(H4442=MappingTables!$C$34,H4442=MappingTables!$C$35),T4442,0))</f>
        <v>0</v>
      </c>
      <c r="V4442" s="85">
        <f>IF(ISNA(IF(AND(VLOOKUP(CONCATENATE($D4442,$G4442),CSRFinput!$B:$E,4,0)=0,OR(H4442=MappingTables!$C$34,H4442=MappingTables!$C$35)),1,VLOOKUP(CONCATENATE($D4442,$G4442),CSRFinput!$B:$E,4,0))),0,IF(AND(VLOOKUP(CONCATENATE($D4442,$G4442),CSRFinput!$B:$E,4,0)=0,OR(H4442=MappingTables!$C$34,H4442=MappingTables!$C$35)),1,VLOOKUP(CONCATENATE($D4442,$G4442),CSRFinput!$B:$E,4,0)))</f>
        <v>0.054776304963434752</v>
      </c>
      <c r="W4442" s="85">
        <f>IF(B4442="",0,+$T4442*$V4442)</f>
        <v>3.9898334314437632</v>
      </c>
      <c r="X4442" s="85">
        <f>IF(B4442="",0,IF(OR(H4442=MappingTables!$C$34,H4442=MappingTables!$C$35),W4442,0))</f>
        <v>0</v>
      </c>
    </row>
    <row r="4443" spans="2:24" s="0" customFormat="0" ht="15">
      <c r="B4443" s="69">
        <v>17126672</v>
      </c>
      <c r="C4443" s="70" t="s">
        <v>2883</v>
      </c>
      <c r="D4443" s="70" t="s">
        <v>1</v>
      </c>
      <c r="E4443" s="70" t="s">
        <v>1</v>
      </c>
      <c r="F4443" s="70"/>
      <c r="G4443" s="70" t="s">
        <v>61</v>
      </c>
      <c r="H4443" s="70" t="s">
        <v>178</v>
      </c>
      <c r="I4443" s="70" t="s">
        <v>179</v>
      </c>
      <c r="J4443" s="71">
        <f>IF(OR(I4443=0,I4443=""),"unrated",VLOOKUP(I4443,MappingTables!$B$19:$C$31,2,FALSE))</f>
        <v>4</v>
      </c>
      <c r="K4443" s="72">
        <v>5087.4926009347256</v>
      </c>
      <c r="L4443" s="70">
        <v>0.53215622406986144</v>
      </c>
      <c r="M4443" s="71">
        <f>IF(L4443&lt;1,1,L4443)</f>
        <v>1</v>
      </c>
      <c r="N4443" s="70" t="s">
        <v>141</v>
      </c>
      <c r="O4443" s="71">
        <f>INDEX(DurClassMapping,MATCH(M4443,MappingTables!$D$4:$D$8,-1),1)</f>
        <v>1</v>
      </c>
      <c r="P4443" s="73">
        <f>IF(M4443=$A$1,1,$M4443-INDEX(MappingTables!$E$4:$E$8,MATCH(O4443,MappingTables!$B$4:$B$8,0)))</f>
        <v>1</v>
      </c>
      <c r="Q4443" s="71">
        <f>IF(B4443="",0,INDEX(ModelParameters!$D$6:$K$10,MATCH($O4443,ModelParameters!$B$6:$B$10,0),MATCH($J4443,ModelParameters!$D$5:$K$5,0)))</f>
        <v>0.045</v>
      </c>
      <c r="R4443" s="71">
        <f>IF(B4443="",0,INDEX(ModelParameters!$D$13:$K$17,MATCH($O4443,ModelParameters!$B$13:$B$17,0),MATCH($J4443,ModelParameters!$D$5:$K$5,0)))</f>
        <v>0</v>
      </c>
      <c r="S4443" s="160">
        <f>IF(B4443="",0,MIN(IF($N4443="Other Bond TM",ModelParameters!$N$21,1)*(P4443*Q4443+R4443),1))</f>
        <v>0.045</v>
      </c>
      <c r="T4443" s="85">
        <f>IF(B4443="",0,$S4443*$K4443)</f>
        <v>228.93716704206264</v>
      </c>
      <c r="U4443" s="85">
        <f>IF(B4443="",0,IF(OR(H4443=MappingTables!$C$34,H4443=MappingTables!$C$35),T4443,0))</f>
        <v>0</v>
      </c>
      <c r="V4443" s="85">
        <f>IF(ISNA(IF(AND(VLOOKUP(CONCATENATE($D4443,$G4443),CSRFinput!$B:$E,4,0)=0,OR(H4443=MappingTables!$C$34,H4443=MappingTables!$C$35)),1,VLOOKUP(CONCATENATE($D4443,$G4443),CSRFinput!$B:$E,4,0))),0,IF(AND(VLOOKUP(CONCATENATE($D4443,$G4443),CSRFinput!$B:$E,4,0)=0,OR(H4443=MappingTables!$C$34,H4443=MappingTables!$C$35)),1,VLOOKUP(CONCATENATE($D4443,$G4443),CSRFinput!$B:$E,4,0)))</f>
        <v>0.054776304963434752</v>
      </c>
      <c r="W4443" s="85">
        <f>IF(B4443="",0,+$T4443*$V4443)</f>
        <v>12.540332079360826</v>
      </c>
      <c r="X4443" s="85">
        <f>IF(B4443="",0,IF(OR(H4443=MappingTables!$C$34,H4443=MappingTables!$C$35),W4443,0))</f>
        <v>0</v>
      </c>
    </row>
    <row r="4444" spans="2:24" s="0" customFormat="0" ht="15">
      <c r="B4444" s="69">
        <v>14832156</v>
      </c>
      <c r="C4444" s="70" t="s">
        <v>1697</v>
      </c>
      <c r="D4444" s="70" t="s">
        <v>1</v>
      </c>
      <c r="E4444" s="70" t="s">
        <v>1</v>
      </c>
      <c r="F4444" s="70"/>
      <c r="G4444" s="70" t="s">
        <v>61</v>
      </c>
      <c r="H4444" s="70" t="s">
        <v>178</v>
      </c>
      <c r="I4444" s="70" t="s">
        <v>181</v>
      </c>
      <c r="J4444" s="71">
        <f>IF(OR(I4444=0,I4444=""),"unrated",VLOOKUP(I4444,MappingTables!$B$19:$C$31,2,FALSE))</f>
        <v>3</v>
      </c>
      <c r="K4444" s="72">
        <v>8631.713423883088</v>
      </c>
      <c r="L4444" s="70">
        <v>2.5377208168085064</v>
      </c>
      <c r="M4444" s="71">
        <f>IF(L4444&lt;1,1,L4444)</f>
        <v>2.5377208168085064</v>
      </c>
      <c r="N4444" s="70" t="s">
        <v>141</v>
      </c>
      <c r="O4444" s="71">
        <f>INDEX(DurClassMapping,MATCH(M4444,MappingTables!$D$4:$D$8,-1),1)</f>
        <v>1</v>
      </c>
      <c r="P4444" s="73">
        <f>IF(M4444=$A$1,1,$M4444-INDEX(MappingTables!$E$4:$E$8,MATCH(O4444,MappingTables!$B$4:$B$8,0)))</f>
        <v>2.5377208168085064</v>
      </c>
      <c r="Q4444" s="71">
        <f>IF(B4444="",0,INDEX(ModelParameters!$D$6:$K$10,MATCH($O4444,ModelParameters!$B$6:$B$10,0),MATCH($J4444,ModelParameters!$D$5:$K$5,0)))</f>
        <v>0.025</v>
      </c>
      <c r="R4444" s="71">
        <f>IF(B4444="",0,INDEX(ModelParameters!$D$13:$K$17,MATCH($O4444,ModelParameters!$B$13:$B$17,0),MATCH($J4444,ModelParameters!$D$5:$K$5,0)))</f>
        <v>0</v>
      </c>
      <c r="S4444" s="160">
        <f>IF(B4444="",0,MIN(IF($N4444="Other Bond TM",ModelParameters!$N$21,1)*(P4444*Q4444+R4444),1))</f>
        <v>0.063443020420212656</v>
      </c>
      <c r="T4444" s="85">
        <f>IF(B4444="",0,$S4444*$K4444)</f>
        <v>547.62197101283848</v>
      </c>
      <c r="U4444" s="85">
        <f>IF(B4444="",0,IF(OR(H4444=MappingTables!$C$34,H4444=MappingTables!$C$35),T4444,0))</f>
        <v>0</v>
      </c>
      <c r="V4444" s="85">
        <f>IF(ISNA(IF(AND(VLOOKUP(CONCATENATE($D4444,$G4444),CSRFinput!$B:$E,4,0)=0,OR(H4444=MappingTables!$C$34,H4444=MappingTables!$C$35)),1,VLOOKUP(CONCATENATE($D4444,$G4444),CSRFinput!$B:$E,4,0))),0,IF(AND(VLOOKUP(CONCATENATE($D4444,$G4444),CSRFinput!$B:$E,4,0)=0,OR(H4444=MappingTables!$C$34,H4444=MappingTables!$C$35)),1,VLOOKUP(CONCATENATE($D4444,$G4444),CSRFinput!$B:$E,4,0)))</f>
        <v>0.054776304963434752</v>
      </c>
      <c r="W4444" s="85">
        <f>IF(B4444="",0,+$T4444*$V4444)</f>
        <v>29.996708088876468</v>
      </c>
      <c r="X4444" s="85">
        <f>IF(B4444="",0,IF(OR(H4444=MappingTables!$C$34,H4444=MappingTables!$C$35),W4444,0))</f>
        <v>0</v>
      </c>
    </row>
    <row r="4445" spans="2:24" s="0" customFormat="0" ht="15">
      <c r="B4445" s="69" t="s">
        <v>2999</v>
      </c>
      <c r="C4445" s="70" t="s">
        <v>3000</v>
      </c>
      <c r="D4445" s="70" t="s">
        <v>1</v>
      </c>
      <c r="E4445" s="70" t="s">
        <v>1</v>
      </c>
      <c r="F4445" s="70"/>
      <c r="G4445" s="70" t="s">
        <v>61</v>
      </c>
      <c r="H4445" s="70" t="s">
        <v>178</v>
      </c>
      <c r="I4445" s="70" t="s">
        <v>181</v>
      </c>
      <c r="J4445" s="71">
        <f>IF(OR(I4445=0,I4445=""),"unrated",VLOOKUP(I4445,MappingTables!$B$19:$C$31,2,FALSE))</f>
        <v>3</v>
      </c>
      <c r="K4445" s="72">
        <v>535.99866181085648</v>
      </c>
      <c r="L4445" s="70">
        <v>4.5551984528097632</v>
      </c>
      <c r="M4445" s="71">
        <f>IF(L4445&lt;1,1,L4445)</f>
        <v>4.5551984528097632</v>
      </c>
      <c r="N4445" s="70" t="s">
        <v>141</v>
      </c>
      <c r="O4445" s="71">
        <f>INDEX(DurClassMapping,MATCH(M4445,MappingTables!$D$4:$D$8,-1),1)</f>
        <v>1</v>
      </c>
      <c r="P4445" s="73">
        <f>IF(M4445=$A$1,1,$M4445-INDEX(MappingTables!$E$4:$E$8,MATCH(O4445,MappingTables!$B$4:$B$8,0)))</f>
        <v>4.5551984528097632</v>
      </c>
      <c r="Q4445" s="71">
        <f>IF(B4445="",0,INDEX(ModelParameters!$D$6:$K$10,MATCH($O4445,ModelParameters!$B$6:$B$10,0),MATCH($J4445,ModelParameters!$D$5:$K$5,0)))</f>
        <v>0.025</v>
      </c>
      <c r="R4445" s="71">
        <f>IF(B4445="",0,INDEX(ModelParameters!$D$13:$K$17,MATCH($O4445,ModelParameters!$B$13:$B$17,0),MATCH($J4445,ModelParameters!$D$5:$K$5,0)))</f>
        <v>0</v>
      </c>
      <c r="S4445" s="160">
        <f>IF(B4445="",0,MIN(IF($N4445="Other Bond TM",ModelParameters!$N$21,1)*(P4445*Q4445+R4445),1))</f>
        <v>0.11387996132024408</v>
      </c>
      <c r="T4445" s="85">
        <f>IF(B4445="",0,$S4445*$K4445)</f>
        <v>61.039506874722928</v>
      </c>
      <c r="U4445" s="85">
        <f>IF(B4445="",0,IF(OR(H4445=MappingTables!$C$34,H4445=MappingTables!$C$35),T4445,0))</f>
        <v>0</v>
      </c>
      <c r="V4445" s="85">
        <f>IF(ISNA(IF(AND(VLOOKUP(CONCATENATE($D4445,$G4445),CSRFinput!$B:$E,4,0)=0,OR(H4445=MappingTables!$C$34,H4445=MappingTables!$C$35)),1,VLOOKUP(CONCATENATE($D4445,$G4445),CSRFinput!$B:$E,4,0))),0,IF(AND(VLOOKUP(CONCATENATE($D4445,$G4445),CSRFinput!$B:$E,4,0)=0,OR(H4445=MappingTables!$C$34,H4445=MappingTables!$C$35)),1,VLOOKUP(CONCATENATE($D4445,$G4445),CSRFinput!$B:$E,4,0)))</f>
        <v>0.054776304963434752</v>
      </c>
      <c r="W4445" s="85">
        <f>IF(B4445="",0,+$T4445*$V4445)</f>
        <v>3.3435186433874952</v>
      </c>
      <c r="X4445" s="85">
        <f>IF(B4445="",0,IF(OR(H4445=MappingTables!$C$34,H4445=MappingTables!$C$35),W4445,0))</f>
        <v>0</v>
      </c>
    </row>
    <row r="4446" spans="2:24" s="0" customFormat="0" ht="15">
      <c r="B4446" s="69">
        <v>19863554</v>
      </c>
      <c r="C4446" s="70" t="s">
        <v>2660</v>
      </c>
      <c r="D4446" s="70" t="s">
        <v>1</v>
      </c>
      <c r="E4446" s="70" t="s">
        <v>1</v>
      </c>
      <c r="F4446" s="70"/>
      <c r="G4446" s="70" t="s">
        <v>61</v>
      </c>
      <c r="H4446" s="70" t="s">
        <v>178</v>
      </c>
      <c r="I4446" s="70" t="s">
        <v>216</v>
      </c>
      <c r="J4446" s="71">
        <f>IF(OR(I4446=0,I4446=""),"unrated",VLOOKUP(I4446,MappingTables!$B$19:$C$31,2,FALSE))</f>
        <v>0</v>
      </c>
      <c r="K4446" s="72">
        <v>657.27106317627776</v>
      </c>
      <c r="L4446" s="70">
        <v>0.20821909137497316</v>
      </c>
      <c r="M4446" s="71">
        <f>IF(L4446&lt;1,1,L4446)</f>
        <v>1</v>
      </c>
      <c r="N4446" s="70" t="s">
        <v>141</v>
      </c>
      <c r="O4446" s="71">
        <f>INDEX(DurClassMapping,MATCH(M4446,MappingTables!$D$4:$D$8,-1),1)</f>
        <v>1</v>
      </c>
      <c r="P4446" s="73">
        <f>IF(M4446=$A$1,1,$M4446-INDEX(MappingTables!$E$4:$E$8,MATCH(O4446,MappingTables!$B$4:$B$8,0)))</f>
        <v>1</v>
      </c>
      <c r="Q4446" s="71">
        <f>IF(B4446="",0,INDEX(ModelParameters!$D$6:$K$10,MATCH($O4446,ModelParameters!$B$6:$B$10,0),MATCH($J4446,ModelParameters!$D$5:$K$5,0)))</f>
        <v>0.0090000000000000016</v>
      </c>
      <c r="R4446" s="71">
        <f>IF(B4446="",0,INDEX(ModelParameters!$D$13:$K$17,MATCH($O4446,ModelParameters!$B$13:$B$17,0),MATCH($J4446,ModelParameters!$D$5:$K$5,0)))</f>
        <v>0</v>
      </c>
      <c r="S4446" s="160">
        <f>IF(B4446="",0,MIN(IF($N4446="Other Bond TM",ModelParameters!$N$21,1)*(P4446*Q4446+R4446),1))</f>
        <v>0.0090000000000000016</v>
      </c>
      <c r="T4446" s="85">
        <f>IF(B4446="",0,$S4446*$K4446)</f>
        <v>5.9154395685865</v>
      </c>
      <c r="U4446" s="85">
        <f>IF(B4446="",0,IF(OR(H4446=MappingTables!$C$34,H4446=MappingTables!$C$35),T4446,0))</f>
        <v>0</v>
      </c>
      <c r="V4446" s="85">
        <f>IF(ISNA(IF(AND(VLOOKUP(CONCATENATE($D4446,$G4446),CSRFinput!$B:$E,4,0)=0,OR(H4446=MappingTables!$C$34,H4446=MappingTables!$C$35)),1,VLOOKUP(CONCATENATE($D4446,$G4446),CSRFinput!$B:$E,4,0))),0,IF(AND(VLOOKUP(CONCATENATE($D4446,$G4446),CSRFinput!$B:$E,4,0)=0,OR(H4446=MappingTables!$C$34,H4446=MappingTables!$C$35)),1,VLOOKUP(CONCATENATE($D4446,$G4446),CSRFinput!$B:$E,4,0)))</f>
        <v>0.054776304963434752</v>
      </c>
      <c r="W4446" s="85">
        <f>IF(B4446="",0,+$T4446*$V4446)</f>
        <v>0.324025921801663</v>
      </c>
      <c r="X4446" s="85">
        <f>IF(B4446="",0,IF(OR(H4446=MappingTables!$C$34,H4446=MappingTables!$C$35),W4446,0))</f>
        <v>0</v>
      </c>
    </row>
    <row r="4447" spans="2:24" s="0" customFormat="0" ht="15">
      <c r="B4447" s="69">
        <v>22681324</v>
      </c>
      <c r="C4447" s="70" t="s">
        <v>1144</v>
      </c>
      <c r="D4447" s="70" t="s">
        <v>1</v>
      </c>
      <c r="E4447" s="70" t="s">
        <v>1</v>
      </c>
      <c r="F4447" s="70"/>
      <c r="G4447" s="70" t="s">
        <v>61</v>
      </c>
      <c r="H4447" s="70" t="s">
        <v>178</v>
      </c>
      <c r="I4447" s="70" t="s">
        <v>181</v>
      </c>
      <c r="J4447" s="71">
        <f>IF(OR(I4447=0,I4447=""),"unrated",VLOOKUP(I4447,MappingTables!$B$19:$C$31,2,FALSE))</f>
        <v>3</v>
      </c>
      <c r="K4447" s="72">
        <v>11601.57204440745</v>
      </c>
      <c r="L4447" s="70">
        <v>7.6660742707927184</v>
      </c>
      <c r="M4447" s="71">
        <f>IF(L4447&lt;1,1,L4447)</f>
        <v>7.6660742707927184</v>
      </c>
      <c r="N4447" s="70" t="s">
        <v>141</v>
      </c>
      <c r="O4447" s="71">
        <f>INDEX(DurClassMapping,MATCH(M4447,MappingTables!$D$4:$D$8,-1),1)</f>
        <v>2</v>
      </c>
      <c r="P4447" s="73">
        <f>IF(M4447=$A$1,1,$M4447-INDEX(MappingTables!$E$4:$E$8,MATCH(O4447,MappingTables!$B$4:$B$8,0)))</f>
        <v>2.666074270792718</v>
      </c>
      <c r="Q4447" s="71">
        <f>IF(B4447="",0,INDEX(ModelParameters!$D$6:$K$10,MATCH($O4447,ModelParameters!$B$6:$B$10,0),MATCH($J4447,ModelParameters!$D$5:$K$5,0)))</f>
        <v>0.015</v>
      </c>
      <c r="R4447" s="71">
        <f>IF(B4447="",0,INDEX(ModelParameters!$D$13:$K$17,MATCH($O4447,ModelParameters!$B$13:$B$17,0),MATCH($J4447,ModelParameters!$D$5:$K$5,0)))</f>
        <v>0.125</v>
      </c>
      <c r="S4447" s="160">
        <f>IF(B4447="",0,MIN(IF($N4447="Other Bond TM",ModelParameters!$N$21,1)*(P4447*Q4447+R4447),1))</f>
        <v>0.16499111406189076</v>
      </c>
      <c r="T4447" s="85">
        <f>IF(B4447="",0,$S4447*$K4447)</f>
        <v>1914.1562964760728</v>
      </c>
      <c r="U4447" s="85">
        <f>IF(B4447="",0,IF(OR(H4447=MappingTables!$C$34,H4447=MappingTables!$C$35),T4447,0))</f>
        <v>0</v>
      </c>
      <c r="V4447" s="85">
        <f>IF(ISNA(IF(AND(VLOOKUP(CONCATENATE($D4447,$G4447),CSRFinput!$B:$E,4,0)=0,OR(H4447=MappingTables!$C$34,H4447=MappingTables!$C$35)),1,VLOOKUP(CONCATENATE($D4447,$G4447),CSRFinput!$B:$E,4,0))),0,IF(AND(VLOOKUP(CONCATENATE($D4447,$G4447),CSRFinput!$B:$E,4,0)=0,OR(H4447=MappingTables!$C$34,H4447=MappingTables!$C$35)),1,VLOOKUP(CONCATENATE($D4447,$G4447),CSRFinput!$B:$E,4,0)))</f>
        <v>0.054776304963434752</v>
      </c>
      <c r="W4447" s="85">
        <f>IF(B4447="",0,+$T4447*$V4447)</f>
        <v>104.85040904345218</v>
      </c>
      <c r="X4447" s="85">
        <f>IF(B4447="",0,IF(OR(H4447=MappingTables!$C$34,H4447=MappingTables!$C$35),W4447,0))</f>
        <v>0</v>
      </c>
    </row>
    <row r="4448" spans="2:24" s="0" customFormat="0" ht="15">
      <c r="B4448" s="69">
        <v>14122091</v>
      </c>
      <c r="C4448" s="70" t="s">
        <v>2694</v>
      </c>
      <c r="D4448" s="70" t="s">
        <v>1</v>
      </c>
      <c r="E4448" s="70" t="s">
        <v>1</v>
      </c>
      <c r="F4448" s="70"/>
      <c r="G4448" s="70" t="s">
        <v>61</v>
      </c>
      <c r="H4448" s="70" t="s">
        <v>178</v>
      </c>
      <c r="I4448" s="70" t="s">
        <v>188</v>
      </c>
      <c r="J4448" s="71">
        <f>IF(OR(I4448=0,I4448=""),"unrated",VLOOKUP(I4448,MappingTables!$B$19:$C$31,2,FALSE))</f>
        <v>2</v>
      </c>
      <c r="K4448" s="72">
        <v>10474.824552827256</v>
      </c>
      <c r="L4448" s="70">
        <v>0.3777160419361704</v>
      </c>
      <c r="M4448" s="71">
        <f>IF(L4448&lt;1,1,L4448)</f>
        <v>1</v>
      </c>
      <c r="N4448" s="70" t="s">
        <v>141</v>
      </c>
      <c r="O4448" s="71">
        <f>INDEX(DurClassMapping,MATCH(M4448,MappingTables!$D$4:$D$8,-1),1)</f>
        <v>1</v>
      </c>
      <c r="P4448" s="73">
        <f>IF(M4448=$A$1,1,$M4448-INDEX(MappingTables!$E$4:$E$8,MATCH(O4448,MappingTables!$B$4:$B$8,0)))</f>
        <v>1</v>
      </c>
      <c r="Q4448" s="71">
        <f>IF(B4448="",0,INDEX(ModelParameters!$D$6:$K$10,MATCH($O4448,ModelParameters!$B$6:$B$10,0),MATCH($J4448,ModelParameters!$D$5:$K$5,0)))</f>
        <v>0.013999999999999998</v>
      </c>
      <c r="R4448" s="71">
        <f>IF(B4448="",0,INDEX(ModelParameters!$D$13:$K$17,MATCH($O4448,ModelParameters!$B$13:$B$17,0),MATCH($J4448,ModelParameters!$D$5:$K$5,0)))</f>
        <v>0</v>
      </c>
      <c r="S4448" s="160">
        <f>IF(B4448="",0,MIN(IF($N4448="Other Bond TM",ModelParameters!$N$21,1)*(P4448*Q4448+R4448),1))</f>
        <v>0.013999999999999998</v>
      </c>
      <c r="T4448" s="85">
        <f>IF(B4448="",0,$S4448*$K4448)</f>
        <v>146.64754373958158</v>
      </c>
      <c r="U4448" s="85">
        <f>IF(B4448="",0,IF(OR(H4448=MappingTables!$C$34,H4448=MappingTables!$C$35),T4448,0))</f>
        <v>0</v>
      </c>
      <c r="V4448" s="85">
        <f>IF(ISNA(IF(AND(VLOOKUP(CONCATENATE($D4448,$G4448),CSRFinput!$B:$E,4,0)=0,OR(H4448=MappingTables!$C$34,H4448=MappingTables!$C$35)),1,VLOOKUP(CONCATENATE($D4448,$G4448),CSRFinput!$B:$E,4,0))),0,IF(AND(VLOOKUP(CONCATENATE($D4448,$G4448),CSRFinput!$B:$E,4,0)=0,OR(H4448=MappingTables!$C$34,H4448=MappingTables!$C$35)),1,VLOOKUP(CONCATENATE($D4448,$G4448),CSRFinput!$B:$E,4,0)))</f>
        <v>0.054776304963434752</v>
      </c>
      <c r="W4448" s="85">
        <f>IF(B4448="",0,+$T4448*$V4448)</f>
        <v>8.0328105780179584</v>
      </c>
      <c r="X4448" s="85">
        <f>IF(B4448="",0,IF(OR(H4448=MappingTables!$C$34,H4448=MappingTables!$C$35),W4448,0))</f>
        <v>0</v>
      </c>
    </row>
    <row r="4449" spans="2:24" s="0" customFormat="0" ht="15">
      <c r="B4449" s="69">
        <v>8590153</v>
      </c>
      <c r="C4449" s="70" t="s">
        <v>1417</v>
      </c>
      <c r="D4449" s="70" t="s">
        <v>1</v>
      </c>
      <c r="E4449" s="70" t="s">
        <v>1</v>
      </c>
      <c r="F4449" s="70"/>
      <c r="G4449" s="70" t="s">
        <v>61</v>
      </c>
      <c r="H4449" s="70" t="s">
        <v>178</v>
      </c>
      <c r="I4449" s="70" t="s">
        <v>181</v>
      </c>
      <c r="J4449" s="71">
        <f>IF(OR(I4449=0,I4449=""),"unrated",VLOOKUP(I4449,MappingTables!$B$19:$C$31,2,FALSE))</f>
        <v>3</v>
      </c>
      <c r="K4449" s="72">
        <v>8.589945901110248</v>
      </c>
      <c r="L4449" s="70">
        <v>0.53698587947623712</v>
      </c>
      <c r="M4449" s="71">
        <f>IF(L4449&lt;1,1,L4449)</f>
        <v>1</v>
      </c>
      <c r="N4449" s="70" t="s">
        <v>141</v>
      </c>
      <c r="O4449" s="71">
        <f>INDEX(DurClassMapping,MATCH(M4449,MappingTables!$D$4:$D$8,-1),1)</f>
        <v>1</v>
      </c>
      <c r="P4449" s="73">
        <f>IF(M4449=$A$1,1,$M4449-INDEX(MappingTables!$E$4:$E$8,MATCH(O4449,MappingTables!$B$4:$B$8,0)))</f>
        <v>1</v>
      </c>
      <c r="Q4449" s="71">
        <f>IF(B4449="",0,INDEX(ModelParameters!$D$6:$K$10,MATCH($O4449,ModelParameters!$B$6:$B$10,0),MATCH($J4449,ModelParameters!$D$5:$K$5,0)))</f>
        <v>0.025</v>
      </c>
      <c r="R4449" s="71">
        <f>IF(B4449="",0,INDEX(ModelParameters!$D$13:$K$17,MATCH($O4449,ModelParameters!$B$13:$B$17,0),MATCH($J4449,ModelParameters!$D$5:$K$5,0)))</f>
        <v>0</v>
      </c>
      <c r="S4449" s="160">
        <f>IF(B4449="",0,MIN(IF($N4449="Other Bond TM",ModelParameters!$N$21,1)*(P4449*Q4449+R4449),1))</f>
        <v>0.025</v>
      </c>
      <c r="T4449" s="85">
        <f>IF(B4449="",0,$S4449*$K4449)</f>
        <v>0.2147486475277562</v>
      </c>
      <c r="U4449" s="85">
        <f>IF(B4449="",0,IF(OR(H4449=MappingTables!$C$34,H4449=MappingTables!$C$35),T4449,0))</f>
        <v>0</v>
      </c>
      <c r="V4449" s="85">
        <f>IF(ISNA(IF(AND(VLOOKUP(CONCATENATE($D4449,$G4449),CSRFinput!$B:$E,4,0)=0,OR(H4449=MappingTables!$C$34,H4449=MappingTables!$C$35)),1,VLOOKUP(CONCATENATE($D4449,$G4449),CSRFinput!$B:$E,4,0))),0,IF(AND(VLOOKUP(CONCATENATE($D4449,$G4449),CSRFinput!$B:$E,4,0)=0,OR(H4449=MappingTables!$C$34,H4449=MappingTables!$C$35)),1,VLOOKUP(CONCATENATE($D4449,$G4449),CSRFinput!$B:$E,4,0)))</f>
        <v>0.054776304963434752</v>
      </c>
      <c r="W4449" s="85">
        <f>IF(B4449="",0,+$T4449*$V4449)</f>
        <v>0.011763137407465534</v>
      </c>
      <c r="X4449" s="85">
        <f>IF(B4449="",0,IF(OR(H4449=MappingTables!$C$34,H4449=MappingTables!$C$35),W4449,0))</f>
        <v>0</v>
      </c>
    </row>
    <row r="4450" spans="2:24" s="0" customFormat="0" ht="15">
      <c r="B4450" s="69">
        <v>18026294</v>
      </c>
      <c r="C4450" s="70" t="s">
        <v>2308</v>
      </c>
      <c r="D4450" s="70" t="s">
        <v>1</v>
      </c>
      <c r="E4450" s="70" t="s">
        <v>1</v>
      </c>
      <c r="F4450" s="70"/>
      <c r="G4450" s="70" t="s">
        <v>61</v>
      </c>
      <c r="H4450" s="70" t="s">
        <v>178</v>
      </c>
      <c r="I4450" s="70" t="s">
        <v>184</v>
      </c>
      <c r="J4450" s="71">
        <f>IF(OR(I4450=0,I4450=""),"unrated",VLOOKUP(I4450,MappingTables!$B$19:$C$31,2,FALSE))</f>
        <v>5</v>
      </c>
      <c r="K4450" s="72">
        <v>5413.9908124455256</v>
      </c>
      <c r="L4450" s="70">
        <v>0.030136101796766812</v>
      </c>
      <c r="M4450" s="71">
        <f>IF(L4450&lt;1,1,L4450)</f>
        <v>1</v>
      </c>
      <c r="N4450" s="70" t="s">
        <v>141</v>
      </c>
      <c r="O4450" s="71">
        <f>INDEX(DurClassMapping,MATCH(M4450,MappingTables!$D$4:$D$8,-1),1)</f>
        <v>1</v>
      </c>
      <c r="P4450" s="73">
        <f>IF(M4450=$A$1,1,$M4450-INDEX(MappingTables!$E$4:$E$8,MATCH(O4450,MappingTables!$B$4:$B$8,0)))</f>
        <v>1</v>
      </c>
      <c r="Q4450" s="71">
        <f>IF(B4450="",0,INDEX(ModelParameters!$D$6:$K$10,MATCH($O4450,ModelParameters!$B$6:$B$10,0),MATCH($J4450,ModelParameters!$D$5:$K$5,0)))</f>
        <v>0.075</v>
      </c>
      <c r="R4450" s="71">
        <f>IF(B4450="",0,INDEX(ModelParameters!$D$13:$K$17,MATCH($O4450,ModelParameters!$B$13:$B$17,0),MATCH($J4450,ModelParameters!$D$5:$K$5,0)))</f>
        <v>0</v>
      </c>
      <c r="S4450" s="160">
        <f>IF(B4450="",0,MIN(IF($N4450="Other Bond TM",ModelParameters!$N$21,1)*(P4450*Q4450+R4450),1))</f>
        <v>0.075</v>
      </c>
      <c r="T4450" s="85">
        <f>IF(B4450="",0,$S4450*$K4450)</f>
        <v>406.04931093341448</v>
      </c>
      <c r="U4450" s="85">
        <f>IF(B4450="",0,IF(OR(H4450=MappingTables!$C$34,H4450=MappingTables!$C$35),T4450,0))</f>
        <v>0</v>
      </c>
      <c r="V4450" s="85">
        <f>IF(ISNA(IF(AND(VLOOKUP(CONCATENATE($D4450,$G4450),CSRFinput!$B:$E,4,0)=0,OR(H4450=MappingTables!$C$34,H4450=MappingTables!$C$35)),1,VLOOKUP(CONCATENATE($D4450,$G4450),CSRFinput!$B:$E,4,0))),0,IF(AND(VLOOKUP(CONCATENATE($D4450,$G4450),CSRFinput!$B:$E,4,0)=0,OR(H4450=MappingTables!$C$34,H4450=MappingTables!$C$35)),1,VLOOKUP(CONCATENATE($D4450,$G4450),CSRFinput!$B:$E,4,0)))</f>
        <v>0.054776304963434752</v>
      </c>
      <c r="W4450" s="85">
        <f>IF(B4450="",0,+$T4450*$V4450)</f>
        <v>22.241880885881252</v>
      </c>
      <c r="X4450" s="85">
        <f>IF(B4450="",0,IF(OR(H4450=MappingTables!$C$34,H4450=MappingTables!$C$35),W4450,0))</f>
        <v>0</v>
      </c>
    </row>
    <row r="4451" spans="2:24" s="0" customFormat="0" ht="15">
      <c r="B4451" s="69">
        <v>16995939</v>
      </c>
      <c r="C4451" s="70" t="s">
        <v>3026</v>
      </c>
      <c r="D4451" s="70" t="s">
        <v>1</v>
      </c>
      <c r="E4451" s="70" t="s">
        <v>1</v>
      </c>
      <c r="F4451" s="70"/>
      <c r="G4451" s="70" t="s">
        <v>61</v>
      </c>
      <c r="H4451" s="70" t="s">
        <v>178</v>
      </c>
      <c r="I4451" s="70" t="s">
        <v>188</v>
      </c>
      <c r="J4451" s="71">
        <f>IF(OR(I4451=0,I4451=""),"unrated",VLOOKUP(I4451,MappingTables!$B$19:$C$31,2,FALSE))</f>
        <v>2</v>
      </c>
      <c r="K4451" s="72">
        <v>1640220.7946777344</v>
      </c>
      <c r="L4451" s="70">
        <v>6.9920651488634064</v>
      </c>
      <c r="M4451" s="71">
        <f>IF(L4451&lt;1,1,L4451)</f>
        <v>6.9920651488634064</v>
      </c>
      <c r="N4451" s="70" t="s">
        <v>141</v>
      </c>
      <c r="O4451" s="71">
        <f>INDEX(DurClassMapping,MATCH(M4451,MappingTables!$D$4:$D$8,-1),1)</f>
        <v>2</v>
      </c>
      <c r="P4451" s="73">
        <f>IF(M4451=$A$1,1,$M4451-INDEX(MappingTables!$E$4:$E$8,MATCH(O4451,MappingTables!$B$4:$B$8,0)))</f>
        <v>1.9920651488634064</v>
      </c>
      <c r="Q4451" s="71">
        <f>IF(B4451="",0,INDEX(ModelParameters!$D$6:$K$10,MATCH($O4451,ModelParameters!$B$6:$B$10,0),MATCH($J4451,ModelParameters!$D$5:$K$5,0)))</f>
        <v>0.0069999999999999992</v>
      </c>
      <c r="R4451" s="71">
        <f>IF(B4451="",0,INDEX(ModelParameters!$D$13:$K$17,MATCH($O4451,ModelParameters!$B$13:$B$17,0),MATCH($J4451,ModelParameters!$D$5:$K$5,0)))</f>
        <v>0.070000000000000008</v>
      </c>
      <c r="S4451" s="160">
        <f>IF(B4451="",0,MIN(IF($N4451="Other Bond TM",ModelParameters!$N$21,1)*(P4451*Q4451+R4451),1))</f>
        <v>0.08394445604204384</v>
      </c>
      <c r="T4451" s="85">
        <f>IF(B4451="",0,$S4451*$K4451)</f>
        <v>137687.44239807128</v>
      </c>
      <c r="U4451" s="85">
        <f>IF(B4451="",0,IF(OR(H4451=MappingTables!$C$34,H4451=MappingTables!$C$35),T4451,0))</f>
        <v>0</v>
      </c>
      <c r="V4451" s="85">
        <f>IF(ISNA(IF(AND(VLOOKUP(CONCATENATE($D4451,$G4451),CSRFinput!$B:$E,4,0)=0,OR(H4451=MappingTables!$C$34,H4451=MappingTables!$C$35)),1,VLOOKUP(CONCATENATE($D4451,$G4451),CSRFinput!$B:$E,4,0))),0,IF(AND(VLOOKUP(CONCATENATE($D4451,$G4451),CSRFinput!$B:$E,4,0)=0,OR(H4451=MappingTables!$C$34,H4451=MappingTables!$C$35)),1,VLOOKUP(CONCATENATE($D4451,$G4451),CSRFinput!$B:$E,4,0)))</f>
        <v>0.054776304963434752</v>
      </c>
      <c r="W4451" s="85">
        <f>IF(B4451="",0,+$T4451*$V4451)</f>
        <v>7542.0093344321088</v>
      </c>
      <c r="X4451" s="85">
        <f>IF(B4451="",0,IF(OR(H4451=MappingTables!$C$34,H4451=MappingTables!$C$35),W4451,0))</f>
        <v>0</v>
      </c>
    </row>
    <row r="4452" spans="2:24" s="0" customFormat="0" ht="15">
      <c r="B4452" s="69" t="s">
        <v>2153</v>
      </c>
      <c r="C4452" s="70" t="s">
        <v>2154</v>
      </c>
      <c r="D4452" s="70" t="s">
        <v>1</v>
      </c>
      <c r="E4452" s="70" t="s">
        <v>1</v>
      </c>
      <c r="F4452" s="70"/>
      <c r="G4452" s="70" t="s">
        <v>61</v>
      </c>
      <c r="H4452" s="70" t="s">
        <v>178</v>
      </c>
      <c r="I4452" s="70" t="s">
        <v>198</v>
      </c>
      <c r="J4452" s="71" t="str">
        <f>IF(OR(I4452=0,I4452=""),"unrated",VLOOKUP(I4452,MappingTables!$B$19:$C$31,2,FALSE))</f>
        <v>unrated</v>
      </c>
      <c r="K4452" s="72">
        <v>13369.82348783688</v>
      </c>
      <c r="L4452" s="70">
        <v>0.74794896521740096</v>
      </c>
      <c r="M4452" s="71">
        <f>IF(L4452&lt;1,1,L4452)</f>
        <v>1</v>
      </c>
      <c r="N4452" s="70" t="s">
        <v>141</v>
      </c>
      <c r="O4452" s="71">
        <f>INDEX(DurClassMapping,MATCH(M4452,MappingTables!$D$4:$D$8,-1),1)</f>
        <v>1</v>
      </c>
      <c r="P4452" s="73">
        <f>IF(M4452=$A$1,1,$M4452-INDEX(MappingTables!$E$4:$E$8,MATCH(O4452,MappingTables!$B$4:$B$8,0)))</f>
        <v>1</v>
      </c>
      <c r="Q4452" s="71">
        <f>IF(B4452="",0,INDEX(ModelParameters!$D$6:$K$10,MATCH($O4452,ModelParameters!$B$6:$B$10,0),MATCH($J4452,ModelParameters!$D$5:$K$5,0)))</f>
        <v>0.03</v>
      </c>
      <c r="R4452" s="71">
        <f>IF(B4452="",0,INDEX(ModelParameters!$D$13:$K$17,MATCH($O4452,ModelParameters!$B$13:$B$17,0),MATCH($J4452,ModelParameters!$D$5:$K$5,0)))</f>
        <v>0</v>
      </c>
      <c r="S4452" s="160">
        <f>IF(B4452="",0,MIN(IF($N4452="Other Bond TM",ModelParameters!$N$21,1)*(P4452*Q4452+R4452),1))</f>
        <v>0.03</v>
      </c>
      <c r="T4452" s="85">
        <f>IF(B4452="",0,$S4452*$K4452)</f>
        <v>401.0947046351064</v>
      </c>
      <c r="U4452" s="85">
        <f>IF(B4452="",0,IF(OR(H4452=MappingTables!$C$34,H4452=MappingTables!$C$35),T4452,0))</f>
        <v>0</v>
      </c>
      <c r="V4452" s="85">
        <f>IF(ISNA(IF(AND(VLOOKUP(CONCATENATE($D4452,$G4452),CSRFinput!$B:$E,4,0)=0,OR(H4452=MappingTables!$C$34,H4452=MappingTables!$C$35)),1,VLOOKUP(CONCATENATE($D4452,$G4452),CSRFinput!$B:$E,4,0))),0,IF(AND(VLOOKUP(CONCATENATE($D4452,$G4452),CSRFinput!$B:$E,4,0)=0,OR(H4452=MappingTables!$C$34,H4452=MappingTables!$C$35)),1,VLOOKUP(CONCATENATE($D4452,$G4452),CSRFinput!$B:$E,4,0)))</f>
        <v>0.054776304963434752</v>
      </c>
      <c r="W4452" s="85">
        <f>IF(B4452="",0,+$T4452*$V4452)</f>
        <v>21.970485860311376</v>
      </c>
      <c r="X4452" s="85">
        <f>IF(B4452="",0,IF(OR(H4452=MappingTables!$C$34,H4452=MappingTables!$C$35),W4452,0))</f>
        <v>0</v>
      </c>
    </row>
    <row r="4453" spans="2:24" s="0" customFormat="0" ht="15">
      <c r="B4453" s="69">
        <v>21507543</v>
      </c>
      <c r="C4453" s="70" t="s">
        <v>2802</v>
      </c>
      <c r="D4453" s="70" t="s">
        <v>1</v>
      </c>
      <c r="E4453" s="70" t="s">
        <v>1</v>
      </c>
      <c r="F4453" s="70"/>
      <c r="G4453" s="70" t="s">
        <v>61</v>
      </c>
      <c r="H4453" s="70" t="s">
        <v>178</v>
      </c>
      <c r="I4453" s="70" t="s">
        <v>181</v>
      </c>
      <c r="J4453" s="71">
        <f>IF(OR(I4453=0,I4453=""),"unrated",VLOOKUP(I4453,MappingTables!$B$19:$C$31,2,FALSE))</f>
        <v>3</v>
      </c>
      <c r="K4453" s="72">
        <v>1781.0233712786408</v>
      </c>
      <c r="L4453" s="70">
        <v>6.935017917351204</v>
      </c>
      <c r="M4453" s="71">
        <f>IF(L4453&lt;1,1,L4453)</f>
        <v>6.935017917351204</v>
      </c>
      <c r="N4453" s="70" t="s">
        <v>141</v>
      </c>
      <c r="O4453" s="71">
        <f>INDEX(DurClassMapping,MATCH(M4453,MappingTables!$D$4:$D$8,-1),1)</f>
        <v>2</v>
      </c>
      <c r="P4453" s="73">
        <f>IF(M4453=$A$1,1,$M4453-INDEX(MappingTables!$E$4:$E$8,MATCH(O4453,MappingTables!$B$4:$B$8,0)))</f>
        <v>1.935017917351204</v>
      </c>
      <c r="Q4453" s="71">
        <f>IF(B4453="",0,INDEX(ModelParameters!$D$6:$K$10,MATCH($O4453,ModelParameters!$B$6:$B$10,0),MATCH($J4453,ModelParameters!$D$5:$K$5,0)))</f>
        <v>0.015</v>
      </c>
      <c r="R4453" s="71">
        <f>IF(B4453="",0,INDEX(ModelParameters!$D$13:$K$17,MATCH($O4453,ModelParameters!$B$13:$B$17,0),MATCH($J4453,ModelParameters!$D$5:$K$5,0)))</f>
        <v>0.125</v>
      </c>
      <c r="S4453" s="160">
        <f>IF(B4453="",0,MIN(IF($N4453="Other Bond TM",ModelParameters!$N$21,1)*(P4453*Q4453+R4453),1))</f>
        <v>0.15402526876026806</v>
      </c>
      <c r="T4453" s="85">
        <f>IF(B4453="",0,$S4453*$K4453)</f>
        <v>274.32260342951132</v>
      </c>
      <c r="U4453" s="85">
        <f>IF(B4453="",0,IF(OR(H4453=MappingTables!$C$34,H4453=MappingTables!$C$35),T4453,0))</f>
        <v>0</v>
      </c>
      <c r="V4453" s="85">
        <f>IF(ISNA(IF(AND(VLOOKUP(CONCATENATE($D4453,$G4453),CSRFinput!$B:$E,4,0)=0,OR(H4453=MappingTables!$C$34,H4453=MappingTables!$C$35)),1,VLOOKUP(CONCATENATE($D4453,$G4453),CSRFinput!$B:$E,4,0))),0,IF(AND(VLOOKUP(CONCATENATE($D4453,$G4453),CSRFinput!$B:$E,4,0)=0,OR(H4453=MappingTables!$C$34,H4453=MappingTables!$C$35)),1,VLOOKUP(CONCATENATE($D4453,$G4453),CSRFinput!$B:$E,4,0)))</f>
        <v>0.054776304963434752</v>
      </c>
      <c r="W4453" s="85">
        <f>IF(B4453="",0,+$T4453*$V4453)</f>
        <v>15.026378583818286</v>
      </c>
      <c r="X4453" s="85">
        <f>IF(B4453="",0,IF(OR(H4453=MappingTables!$C$34,H4453=MappingTables!$C$35),W4453,0))</f>
        <v>0</v>
      </c>
    </row>
    <row r="4454" spans="2:24" s="0" customFormat="0" ht="15">
      <c r="B4454" s="69">
        <v>10567183</v>
      </c>
      <c r="C4454" s="70" t="s">
        <v>1765</v>
      </c>
      <c r="D4454" s="70" t="s">
        <v>1</v>
      </c>
      <c r="E4454" s="70" t="s">
        <v>1</v>
      </c>
      <c r="F4454" s="70"/>
      <c r="G4454" s="70" t="s">
        <v>61</v>
      </c>
      <c r="H4454" s="70" t="s">
        <v>178</v>
      </c>
      <c r="I4454" s="70" t="s">
        <v>181</v>
      </c>
      <c r="J4454" s="71">
        <f>IF(OR(I4454=0,I4454=""),"unrated",VLOOKUP(I4454,MappingTables!$B$19:$C$31,2,FALSE))</f>
        <v>3</v>
      </c>
      <c r="K4454" s="72">
        <v>706.81544990963776</v>
      </c>
      <c r="L4454" s="70">
        <v>1.5124173837768458</v>
      </c>
      <c r="M4454" s="71">
        <f>IF(L4454&lt;1,1,L4454)</f>
        <v>1.5124173837768458</v>
      </c>
      <c r="N4454" s="70" t="s">
        <v>141</v>
      </c>
      <c r="O4454" s="71">
        <f>INDEX(DurClassMapping,MATCH(M4454,MappingTables!$D$4:$D$8,-1),1)</f>
        <v>1</v>
      </c>
      <c r="P4454" s="73">
        <f>IF(M4454=$A$1,1,$M4454-INDEX(MappingTables!$E$4:$E$8,MATCH(O4454,MappingTables!$B$4:$B$8,0)))</f>
        <v>1.5124173837768458</v>
      </c>
      <c r="Q4454" s="71">
        <f>IF(B4454="",0,INDEX(ModelParameters!$D$6:$K$10,MATCH($O4454,ModelParameters!$B$6:$B$10,0),MATCH($J4454,ModelParameters!$D$5:$K$5,0)))</f>
        <v>0.025</v>
      </c>
      <c r="R4454" s="71">
        <f>IF(B4454="",0,INDEX(ModelParameters!$D$13:$K$17,MATCH($O4454,ModelParameters!$B$13:$B$17,0),MATCH($J4454,ModelParameters!$D$5:$K$5,0)))</f>
        <v>0</v>
      </c>
      <c r="S4454" s="160">
        <f>IF(B4454="",0,MIN(IF($N4454="Other Bond TM",ModelParameters!$N$21,1)*(P4454*Q4454+R4454),1))</f>
        <v>0.037810434594421152</v>
      </c>
      <c r="T4454" s="85">
        <f>IF(B4454="",0,$S4454*$K4454)</f>
        <v>26.724999339134716</v>
      </c>
      <c r="U4454" s="85">
        <f>IF(B4454="",0,IF(OR(H4454=MappingTables!$C$34,H4454=MappingTables!$C$35),T4454,0))</f>
        <v>0</v>
      </c>
      <c r="V4454" s="85">
        <f>IF(ISNA(IF(AND(VLOOKUP(CONCATENATE($D4454,$G4454),CSRFinput!$B:$E,4,0)=0,OR(H4454=MappingTables!$C$34,H4454=MappingTables!$C$35)),1,VLOOKUP(CONCATENATE($D4454,$G4454),CSRFinput!$B:$E,4,0))),0,IF(AND(VLOOKUP(CONCATENATE($D4454,$G4454),CSRFinput!$B:$E,4,0)=0,OR(H4454=MappingTables!$C$34,H4454=MappingTables!$C$35)),1,VLOOKUP(CONCATENATE($D4454,$G4454),CSRFinput!$B:$E,4,0)))</f>
        <v>0.054776304963434752</v>
      </c>
      <c r="W4454" s="85">
        <f>IF(B4454="",0,+$T4454*$V4454)</f>
        <v>1.4638967139480354</v>
      </c>
      <c r="X4454" s="85">
        <f>IF(B4454="",0,IF(OR(H4454=MappingTables!$C$34,H4454=MappingTables!$C$35),W4454,0))</f>
        <v>0</v>
      </c>
    </row>
    <row r="4455" spans="2:24" s="0" customFormat="0" ht="15">
      <c r="B4455" s="69" t="s">
        <v>571</v>
      </c>
      <c r="C4455" s="70" t="s">
        <v>572</v>
      </c>
      <c r="D4455" s="70" t="s">
        <v>1</v>
      </c>
      <c r="E4455" s="70" t="s">
        <v>1</v>
      </c>
      <c r="F4455" s="70"/>
      <c r="G4455" s="70" t="s">
        <v>61</v>
      </c>
      <c r="H4455" s="70" t="s">
        <v>178</v>
      </c>
      <c r="I4455" s="70" t="s">
        <v>198</v>
      </c>
      <c r="J4455" s="71" t="str">
        <f>IF(OR(I4455=0,I4455=""),"unrated",VLOOKUP(I4455,MappingTables!$B$19:$C$31,2,FALSE))</f>
        <v>unrated</v>
      </c>
      <c r="K4455" s="72">
        <v>3044.9935855370504</v>
      </c>
      <c r="L4455" s="70">
        <v>1.9176572347365432</v>
      </c>
      <c r="M4455" s="71">
        <f>IF(L4455&lt;1,1,L4455)</f>
        <v>1.9176572347365432</v>
      </c>
      <c r="N4455" s="70" t="s">
        <v>141</v>
      </c>
      <c r="O4455" s="71">
        <f>INDEX(DurClassMapping,MATCH(M4455,MappingTables!$D$4:$D$8,-1),1)</f>
        <v>1</v>
      </c>
      <c r="P4455" s="73">
        <f>IF(M4455=$A$1,1,$M4455-INDEX(MappingTables!$E$4:$E$8,MATCH(O4455,MappingTables!$B$4:$B$8,0)))</f>
        <v>1.9176572347365432</v>
      </c>
      <c r="Q4455" s="71">
        <f>IF(B4455="",0,INDEX(ModelParameters!$D$6:$K$10,MATCH($O4455,ModelParameters!$B$6:$B$10,0),MATCH($J4455,ModelParameters!$D$5:$K$5,0)))</f>
        <v>0.03</v>
      </c>
      <c r="R4455" s="71">
        <f>IF(B4455="",0,INDEX(ModelParameters!$D$13:$K$17,MATCH($O4455,ModelParameters!$B$13:$B$17,0),MATCH($J4455,ModelParameters!$D$5:$K$5,0)))</f>
        <v>0</v>
      </c>
      <c r="S4455" s="160">
        <f>IF(B4455="",0,MIN(IF($N4455="Other Bond TM",ModelParameters!$N$21,1)*(P4455*Q4455+R4455),1))</f>
        <v>0.057529717042096288</v>
      </c>
      <c r="T4455" s="85">
        <f>IF(B4455="",0,$S4455*$K4455)</f>
        <v>175.17761937094472</v>
      </c>
      <c r="U4455" s="85">
        <f>IF(B4455="",0,IF(OR(H4455=MappingTables!$C$34,H4455=MappingTables!$C$35),T4455,0))</f>
        <v>0</v>
      </c>
      <c r="V4455" s="85">
        <f>IF(ISNA(IF(AND(VLOOKUP(CONCATENATE($D4455,$G4455),CSRFinput!$B:$E,4,0)=0,OR(H4455=MappingTables!$C$34,H4455=MappingTables!$C$35)),1,VLOOKUP(CONCATENATE($D4455,$G4455),CSRFinput!$B:$E,4,0))),0,IF(AND(VLOOKUP(CONCATENATE($D4455,$G4455),CSRFinput!$B:$E,4,0)=0,OR(H4455=MappingTables!$C$34,H4455=MappingTables!$C$35)),1,VLOOKUP(CONCATENATE($D4455,$G4455),CSRFinput!$B:$E,4,0)))</f>
        <v>0.054776304963434752</v>
      </c>
      <c r="W4455" s="85">
        <f>IF(B4455="",0,+$T4455*$V4455)</f>
        <v>9.5955827014313632</v>
      </c>
      <c r="X4455" s="85">
        <f>IF(B4455="",0,IF(OR(H4455=MappingTables!$C$34,H4455=MappingTables!$C$35),W4455,0))</f>
        <v>0</v>
      </c>
    </row>
    <row r="4456" spans="2:24" s="0" customFormat="0" ht="15">
      <c r="B4456" s="69" t="s">
        <v>3001</v>
      </c>
      <c r="C4456" s="70" t="s">
        <v>3002</v>
      </c>
      <c r="D4456" s="70" t="s">
        <v>1</v>
      </c>
      <c r="E4456" s="70" t="s">
        <v>1</v>
      </c>
      <c r="F4456" s="70"/>
      <c r="G4456" s="70" t="s">
        <v>61</v>
      </c>
      <c r="H4456" s="70" t="s">
        <v>178</v>
      </c>
      <c r="I4456" s="70" t="s">
        <v>181</v>
      </c>
      <c r="J4456" s="71">
        <f>IF(OR(I4456=0,I4456=""),"unrated",VLOOKUP(I4456,MappingTables!$B$19:$C$31,2,FALSE))</f>
        <v>3</v>
      </c>
      <c r="K4456" s="72">
        <v>44.166170437330816</v>
      </c>
      <c r="L4456" s="70">
        <v>0.67703726562556608</v>
      </c>
      <c r="M4456" s="71">
        <f>IF(L4456&lt;1,1,L4456)</f>
        <v>1</v>
      </c>
      <c r="N4456" s="70" t="s">
        <v>141</v>
      </c>
      <c r="O4456" s="71">
        <f>INDEX(DurClassMapping,MATCH(M4456,MappingTables!$D$4:$D$8,-1),1)</f>
        <v>1</v>
      </c>
      <c r="P4456" s="73">
        <f>IF(M4456=$A$1,1,$M4456-INDEX(MappingTables!$E$4:$E$8,MATCH(O4456,MappingTables!$B$4:$B$8,0)))</f>
        <v>1</v>
      </c>
      <c r="Q4456" s="71">
        <f>IF(B4456="",0,INDEX(ModelParameters!$D$6:$K$10,MATCH($O4456,ModelParameters!$B$6:$B$10,0),MATCH($J4456,ModelParameters!$D$5:$K$5,0)))</f>
        <v>0.025</v>
      </c>
      <c r="R4456" s="71">
        <f>IF(B4456="",0,INDEX(ModelParameters!$D$13:$K$17,MATCH($O4456,ModelParameters!$B$13:$B$17,0),MATCH($J4456,ModelParameters!$D$5:$K$5,0)))</f>
        <v>0</v>
      </c>
      <c r="S4456" s="160">
        <f>IF(B4456="",0,MIN(IF($N4456="Other Bond TM",ModelParameters!$N$21,1)*(P4456*Q4456+R4456),1))</f>
        <v>0.025</v>
      </c>
      <c r="T4456" s="85">
        <f>IF(B4456="",0,$S4456*$K4456)</f>
        <v>1.1041542609332704</v>
      </c>
      <c r="U4456" s="85">
        <f>IF(B4456="",0,IF(OR(H4456=MappingTables!$C$34,H4456=MappingTables!$C$35),T4456,0))</f>
        <v>0</v>
      </c>
      <c r="V4456" s="85">
        <f>IF(ISNA(IF(AND(VLOOKUP(CONCATENATE($D4456,$G4456),CSRFinput!$B:$E,4,0)=0,OR(H4456=MappingTables!$C$34,H4456=MappingTables!$C$35)),1,VLOOKUP(CONCATENATE($D4456,$G4456),CSRFinput!$B:$E,4,0))),0,IF(AND(VLOOKUP(CONCATENATE($D4456,$G4456),CSRFinput!$B:$E,4,0)=0,OR(H4456=MappingTables!$C$34,H4456=MappingTables!$C$35)),1,VLOOKUP(CONCATENATE($D4456,$G4456),CSRFinput!$B:$E,4,0)))</f>
        <v>0.054776304963434752</v>
      </c>
      <c r="W4456" s="85">
        <f>IF(B4456="",0,+$T4456*$V4456)</f>
        <v>0.060481490523556728</v>
      </c>
      <c r="X4456" s="85">
        <f>IF(B4456="",0,IF(OR(H4456=MappingTables!$C$34,H4456=MappingTables!$C$35),W4456,0))</f>
        <v>0</v>
      </c>
    </row>
    <row r="4457" spans="2:24" s="0" customFormat="0" ht="15">
      <c r="B4457" s="69">
        <v>11864945</v>
      </c>
      <c r="C4457" s="70" t="s">
        <v>200</v>
      </c>
      <c r="D4457" s="70" t="s">
        <v>1</v>
      </c>
      <c r="E4457" s="70" t="s">
        <v>1</v>
      </c>
      <c r="F4457" s="70"/>
      <c r="G4457" s="70" t="s">
        <v>61</v>
      </c>
      <c r="H4457" s="70" t="s">
        <v>178</v>
      </c>
      <c r="I4457" s="70" t="s">
        <v>181</v>
      </c>
      <c r="J4457" s="71">
        <f>IF(OR(I4457=0,I4457=""),"unrated",VLOOKUP(I4457,MappingTables!$B$19:$C$31,2,FALSE))</f>
        <v>3</v>
      </c>
      <c r="K4457" s="72">
        <v>1322.2819451519106</v>
      </c>
      <c r="L4457" s="70">
        <v>0.77653032942683696</v>
      </c>
      <c r="M4457" s="71">
        <f>IF(L4457&lt;1,1,L4457)</f>
        <v>1</v>
      </c>
      <c r="N4457" s="70" t="s">
        <v>141</v>
      </c>
      <c r="O4457" s="71">
        <f>INDEX(DurClassMapping,MATCH(M4457,MappingTables!$D$4:$D$8,-1),1)</f>
        <v>1</v>
      </c>
      <c r="P4457" s="73">
        <f>IF(M4457=$A$1,1,$M4457-INDEX(MappingTables!$E$4:$E$8,MATCH(O4457,MappingTables!$B$4:$B$8,0)))</f>
        <v>1</v>
      </c>
      <c r="Q4457" s="71">
        <f>IF(B4457="",0,INDEX(ModelParameters!$D$6:$K$10,MATCH($O4457,ModelParameters!$B$6:$B$10,0),MATCH($J4457,ModelParameters!$D$5:$K$5,0)))</f>
        <v>0.025</v>
      </c>
      <c r="R4457" s="71">
        <f>IF(B4457="",0,INDEX(ModelParameters!$D$13:$K$17,MATCH($O4457,ModelParameters!$B$13:$B$17,0),MATCH($J4457,ModelParameters!$D$5:$K$5,0)))</f>
        <v>0</v>
      </c>
      <c r="S4457" s="160">
        <f>IF(B4457="",0,MIN(IF($N4457="Other Bond TM",ModelParameters!$N$21,1)*(P4457*Q4457+R4457),1))</f>
        <v>0.025</v>
      </c>
      <c r="T4457" s="85">
        <f>IF(B4457="",0,$S4457*$K4457)</f>
        <v>33.057048628797764</v>
      </c>
      <c r="U4457" s="85">
        <f>IF(B4457="",0,IF(OR(H4457=MappingTables!$C$34,H4457=MappingTables!$C$35),T4457,0))</f>
        <v>0</v>
      </c>
      <c r="V4457" s="85">
        <f>IF(ISNA(IF(AND(VLOOKUP(CONCATENATE($D4457,$G4457),CSRFinput!$B:$E,4,0)=0,OR(H4457=MappingTables!$C$34,H4457=MappingTables!$C$35)),1,VLOOKUP(CONCATENATE($D4457,$G4457),CSRFinput!$B:$E,4,0))),0,IF(AND(VLOOKUP(CONCATENATE($D4457,$G4457),CSRFinput!$B:$E,4,0)=0,OR(H4457=MappingTables!$C$34,H4457=MappingTables!$C$35)),1,VLOOKUP(CONCATENATE($D4457,$G4457),CSRFinput!$B:$E,4,0)))</f>
        <v>0.054776304963434752</v>
      </c>
      <c r="W4457" s="85">
        <f>IF(B4457="",0,+$T4457*$V4457)</f>
        <v>1.8107429768821192</v>
      </c>
      <c r="X4457" s="85">
        <f>IF(B4457="",0,IF(OR(H4457=MappingTables!$C$34,H4457=MappingTables!$C$35),W4457,0))</f>
        <v>0</v>
      </c>
    </row>
    <row r="4458" spans="2:24" s="0" customFormat="0" ht="15">
      <c r="B4458" s="69">
        <v>10177835</v>
      </c>
      <c r="C4458" s="70" t="s">
        <v>2994</v>
      </c>
      <c r="D4458" s="70" t="s">
        <v>1</v>
      </c>
      <c r="E4458" s="70" t="s">
        <v>1</v>
      </c>
      <c r="F4458" s="70"/>
      <c r="G4458" s="70" t="s">
        <v>61</v>
      </c>
      <c r="H4458" s="70" t="s">
        <v>178</v>
      </c>
      <c r="I4458" s="70" t="s">
        <v>181</v>
      </c>
      <c r="J4458" s="71">
        <f>IF(OR(I4458=0,I4458=""),"unrated",VLOOKUP(I4458,MappingTables!$B$19:$C$31,2,FALSE))</f>
        <v>3</v>
      </c>
      <c r="K4458" s="72">
        <v>734.63442602314576</v>
      </c>
      <c r="L4458" s="70">
        <v>3.9222778077567352</v>
      </c>
      <c r="M4458" s="71">
        <f>IF(L4458&lt;1,1,L4458)</f>
        <v>3.9222778077567352</v>
      </c>
      <c r="N4458" s="70" t="s">
        <v>141</v>
      </c>
      <c r="O4458" s="71">
        <f>INDEX(DurClassMapping,MATCH(M4458,MappingTables!$D$4:$D$8,-1),1)</f>
        <v>1</v>
      </c>
      <c r="P4458" s="73">
        <f>IF(M4458=$A$1,1,$M4458-INDEX(MappingTables!$E$4:$E$8,MATCH(O4458,MappingTables!$B$4:$B$8,0)))</f>
        <v>3.9222778077567352</v>
      </c>
      <c r="Q4458" s="71">
        <f>IF(B4458="",0,INDEX(ModelParameters!$D$6:$K$10,MATCH($O4458,ModelParameters!$B$6:$B$10,0),MATCH($J4458,ModelParameters!$D$5:$K$5,0)))</f>
        <v>0.025</v>
      </c>
      <c r="R4458" s="71">
        <f>IF(B4458="",0,INDEX(ModelParameters!$D$13:$K$17,MATCH($O4458,ModelParameters!$B$13:$B$17,0),MATCH($J4458,ModelParameters!$D$5:$K$5,0)))</f>
        <v>0</v>
      </c>
      <c r="S4458" s="160">
        <f>IF(B4458="",0,MIN(IF($N4458="Other Bond TM",ModelParameters!$N$21,1)*(P4458*Q4458+R4458),1))</f>
        <v>0.098056945193918384</v>
      </c>
      <c r="T4458" s="85">
        <f>IF(B4458="",0,$S4458*$K4458)</f>
        <v>72.036007650117288</v>
      </c>
      <c r="U4458" s="85">
        <f>IF(B4458="",0,IF(OR(H4458=MappingTables!$C$34,H4458=MappingTables!$C$35),T4458,0))</f>
        <v>0</v>
      </c>
      <c r="V4458" s="85">
        <f>IF(ISNA(IF(AND(VLOOKUP(CONCATENATE($D4458,$G4458),CSRFinput!$B:$E,4,0)=0,OR(H4458=MappingTables!$C$34,H4458=MappingTables!$C$35)),1,VLOOKUP(CONCATENATE($D4458,$G4458),CSRFinput!$B:$E,4,0))),0,IF(AND(VLOOKUP(CONCATENATE($D4458,$G4458),CSRFinput!$B:$E,4,0)=0,OR(H4458=MappingTables!$C$34,H4458=MappingTables!$C$35)),1,VLOOKUP(CONCATENATE($D4458,$G4458),CSRFinput!$B:$E,4,0)))</f>
        <v>0.054776304963434752</v>
      </c>
      <c r="W4458" s="85">
        <f>IF(B4458="",0,+$T4458*$V4458)</f>
        <v>3.9458663233911432</v>
      </c>
      <c r="X4458" s="85">
        <f>IF(B4458="",0,IF(OR(H4458=MappingTables!$C$34,H4458=MappingTables!$C$35),W4458,0))</f>
        <v>0</v>
      </c>
    </row>
    <row r="4459" spans="2:24" s="0" customFormat="0" ht="15">
      <c r="B4459" s="69">
        <v>17121464</v>
      </c>
      <c r="C4459" s="70" t="s">
        <v>1628</v>
      </c>
      <c r="D4459" s="70" t="s">
        <v>1</v>
      </c>
      <c r="E4459" s="70" t="s">
        <v>1</v>
      </c>
      <c r="F4459" s="70"/>
      <c r="G4459" s="70" t="s">
        <v>61</v>
      </c>
      <c r="H4459" s="70" t="s">
        <v>178</v>
      </c>
      <c r="I4459" s="70" t="s">
        <v>184</v>
      </c>
      <c r="J4459" s="71">
        <f>IF(OR(I4459=0,I4459=""),"unrated",VLOOKUP(I4459,MappingTables!$B$19:$C$31,2,FALSE))</f>
        <v>5</v>
      </c>
      <c r="K4459" s="72">
        <v>4954.5503374879376</v>
      </c>
      <c r="L4459" s="70">
        <v>4.0074739311217224</v>
      </c>
      <c r="M4459" s="71">
        <f>IF(L4459&lt;1,1,L4459)</f>
        <v>4.0074739311217224</v>
      </c>
      <c r="N4459" s="70" t="s">
        <v>141</v>
      </c>
      <c r="O4459" s="71">
        <f>INDEX(DurClassMapping,MATCH(M4459,MappingTables!$D$4:$D$8,-1),1)</f>
        <v>1</v>
      </c>
      <c r="P4459" s="73">
        <f>IF(M4459=$A$1,1,$M4459-INDEX(MappingTables!$E$4:$E$8,MATCH(O4459,MappingTables!$B$4:$B$8,0)))</f>
        <v>4.0074739311217224</v>
      </c>
      <c r="Q4459" s="71">
        <f>IF(B4459="",0,INDEX(ModelParameters!$D$6:$K$10,MATCH($O4459,ModelParameters!$B$6:$B$10,0),MATCH($J4459,ModelParameters!$D$5:$K$5,0)))</f>
        <v>0.075</v>
      </c>
      <c r="R4459" s="71">
        <f>IF(B4459="",0,INDEX(ModelParameters!$D$13:$K$17,MATCH($O4459,ModelParameters!$B$13:$B$17,0),MATCH($J4459,ModelParameters!$D$5:$K$5,0)))</f>
        <v>0</v>
      </c>
      <c r="S4459" s="160">
        <f>IF(B4459="",0,MIN(IF($N4459="Other Bond TM",ModelParameters!$N$21,1)*(P4459*Q4459+R4459),1))</f>
        <v>0.30056054483412912</v>
      </c>
      <c r="T4459" s="85">
        <f>IF(B4459="",0,$S4459*$K4459)</f>
        <v>1489.1423488434928</v>
      </c>
      <c r="U4459" s="85">
        <f>IF(B4459="",0,IF(OR(H4459=MappingTables!$C$34,H4459=MappingTables!$C$35),T4459,0))</f>
        <v>0</v>
      </c>
      <c r="V4459" s="85">
        <f>IF(ISNA(IF(AND(VLOOKUP(CONCATENATE($D4459,$G4459),CSRFinput!$B:$E,4,0)=0,OR(H4459=MappingTables!$C$34,H4459=MappingTables!$C$35)),1,VLOOKUP(CONCATENATE($D4459,$G4459),CSRFinput!$B:$E,4,0))),0,IF(AND(VLOOKUP(CONCATENATE($D4459,$G4459),CSRFinput!$B:$E,4,0)=0,OR(H4459=MappingTables!$C$34,H4459=MappingTables!$C$35)),1,VLOOKUP(CONCATENATE($D4459,$G4459),CSRFinput!$B:$E,4,0)))</f>
        <v>0.054776304963434752</v>
      </c>
      <c r="W4459" s="85">
        <f>IF(B4459="",0,+$T4459*$V4459)</f>
        <v>81.569715434216704</v>
      </c>
      <c r="X4459" s="85">
        <f>IF(B4459="",0,IF(OR(H4459=MappingTables!$C$34,H4459=MappingTables!$C$35),W4459,0))</f>
        <v>0</v>
      </c>
    </row>
    <row r="4460" spans="2:24" s="0" customFormat="0" ht="15">
      <c r="B4460" s="69" t="s">
        <v>2420</v>
      </c>
      <c r="C4460" s="70" t="s">
        <v>2421</v>
      </c>
      <c r="D4460" s="70" t="s">
        <v>1</v>
      </c>
      <c r="E4460" s="70" t="s">
        <v>1</v>
      </c>
      <c r="F4460" s="70"/>
      <c r="G4460" s="70" t="s">
        <v>61</v>
      </c>
      <c r="H4460" s="70" t="s">
        <v>178</v>
      </c>
      <c r="I4460" s="70" t="s">
        <v>181</v>
      </c>
      <c r="J4460" s="71">
        <f>IF(OR(I4460=0,I4460=""),"unrated",VLOOKUP(I4460,MappingTables!$B$19:$C$31,2,FALSE))</f>
        <v>3</v>
      </c>
      <c r="K4460" s="72">
        <v>9723.4593848204608</v>
      </c>
      <c r="L4460" s="70">
        <v>2.932848502951892</v>
      </c>
      <c r="M4460" s="71">
        <f>IF(L4460&lt;1,1,L4460)</f>
        <v>2.932848502951892</v>
      </c>
      <c r="N4460" s="70" t="s">
        <v>141</v>
      </c>
      <c r="O4460" s="71">
        <f>INDEX(DurClassMapping,MATCH(M4460,MappingTables!$D$4:$D$8,-1),1)</f>
        <v>1</v>
      </c>
      <c r="P4460" s="73">
        <f>IF(M4460=$A$1,1,$M4460-INDEX(MappingTables!$E$4:$E$8,MATCH(O4460,MappingTables!$B$4:$B$8,0)))</f>
        <v>2.932848502951892</v>
      </c>
      <c r="Q4460" s="71">
        <f>IF(B4460="",0,INDEX(ModelParameters!$D$6:$K$10,MATCH($O4460,ModelParameters!$B$6:$B$10,0),MATCH($J4460,ModelParameters!$D$5:$K$5,0)))</f>
        <v>0.025</v>
      </c>
      <c r="R4460" s="71">
        <f>IF(B4460="",0,INDEX(ModelParameters!$D$13:$K$17,MATCH($O4460,ModelParameters!$B$13:$B$17,0),MATCH($J4460,ModelParameters!$D$5:$K$5,0)))</f>
        <v>0</v>
      </c>
      <c r="S4460" s="160">
        <f>IF(B4460="",0,MIN(IF($N4460="Other Bond TM",ModelParameters!$N$21,1)*(P4460*Q4460+R4460),1))</f>
        <v>0.073321212573797296</v>
      </c>
      <c r="T4460" s="85">
        <f>IF(B4460="",0,$S4460*$K4460)</f>
        <v>712.93583250710528</v>
      </c>
      <c r="U4460" s="85">
        <f>IF(B4460="",0,IF(OR(H4460=MappingTables!$C$34,H4460=MappingTables!$C$35),T4460,0))</f>
        <v>0</v>
      </c>
      <c r="V4460" s="85">
        <f>IF(ISNA(IF(AND(VLOOKUP(CONCATENATE($D4460,$G4460),CSRFinput!$B:$E,4,0)=0,OR(H4460=MappingTables!$C$34,H4460=MappingTables!$C$35)),1,VLOOKUP(CONCATENATE($D4460,$G4460),CSRFinput!$B:$E,4,0))),0,IF(AND(VLOOKUP(CONCATENATE($D4460,$G4460),CSRFinput!$B:$E,4,0)=0,OR(H4460=MappingTables!$C$34,H4460=MappingTables!$C$35)),1,VLOOKUP(CONCATENATE($D4460,$G4460),CSRFinput!$B:$E,4,0)))</f>
        <v>0.054776304963434752</v>
      </c>
      <c r="W4460" s="85">
        <f>IF(B4460="",0,+$T4460*$V4460)</f>
        <v>39.05199058076944</v>
      </c>
      <c r="X4460" s="85">
        <f>IF(B4460="",0,IF(OR(H4460=MappingTables!$C$34,H4460=MappingTables!$C$35),W4460,0))</f>
        <v>0</v>
      </c>
    </row>
    <row r="4461" spans="2:24" s="0" customFormat="0" ht="15">
      <c r="B4461" s="69" t="s">
        <v>1504</v>
      </c>
      <c r="C4461" s="70" t="s">
        <v>1505</v>
      </c>
      <c r="D4461" s="70" t="s">
        <v>1</v>
      </c>
      <c r="E4461" s="70" t="s">
        <v>1</v>
      </c>
      <c r="F4461" s="70"/>
      <c r="G4461" s="70" t="s">
        <v>61</v>
      </c>
      <c r="H4461" s="70" t="s">
        <v>178</v>
      </c>
      <c r="I4461" s="70" t="s">
        <v>204</v>
      </c>
      <c r="J4461" s="71">
        <f>IF(OR(I4461=0,I4461=""),"unrated",VLOOKUP(I4461,MappingTables!$B$19:$C$31,2,FALSE))</f>
        <v>6</v>
      </c>
      <c r="K4461" s="72">
        <v>317.56710355851532</v>
      </c>
      <c r="L4461" s="70">
        <v>0.21643782236299764</v>
      </c>
      <c r="M4461" s="71">
        <f>IF(L4461&lt;1,1,L4461)</f>
        <v>1</v>
      </c>
      <c r="N4461" s="70" t="s">
        <v>141</v>
      </c>
      <c r="O4461" s="71">
        <f>INDEX(DurClassMapping,MATCH(M4461,MappingTables!$D$4:$D$8,-1),1)</f>
        <v>1</v>
      </c>
      <c r="P4461" s="73">
        <f>IF(M4461=$A$1,1,$M4461-INDEX(MappingTables!$E$4:$E$8,MATCH(O4461,MappingTables!$B$4:$B$8,0)))</f>
        <v>1</v>
      </c>
      <c r="Q4461" s="71">
        <f>IF(B4461="",0,INDEX(ModelParameters!$D$6:$K$10,MATCH($O4461,ModelParameters!$B$6:$B$10,0),MATCH($J4461,ModelParameters!$D$5:$K$5,0)))</f>
        <v>0.075</v>
      </c>
      <c r="R4461" s="71">
        <f>IF(B4461="",0,INDEX(ModelParameters!$D$13:$K$17,MATCH($O4461,ModelParameters!$B$13:$B$17,0),MATCH($J4461,ModelParameters!$D$5:$K$5,0)))</f>
        <v>0</v>
      </c>
      <c r="S4461" s="160">
        <f>IF(B4461="",0,MIN(IF($N4461="Other Bond TM",ModelParameters!$N$21,1)*(P4461*Q4461+R4461),1))</f>
        <v>0.075</v>
      </c>
      <c r="T4461" s="85">
        <f>IF(B4461="",0,$S4461*$K4461)</f>
        <v>23.817532766888652</v>
      </c>
      <c r="U4461" s="85">
        <f>IF(B4461="",0,IF(OR(H4461=MappingTables!$C$34,H4461=MappingTables!$C$35),T4461,0))</f>
        <v>0</v>
      </c>
      <c r="V4461" s="85">
        <f>IF(ISNA(IF(AND(VLOOKUP(CONCATENATE($D4461,$G4461),CSRFinput!$B:$E,4,0)=0,OR(H4461=MappingTables!$C$34,H4461=MappingTables!$C$35)),1,VLOOKUP(CONCATENATE($D4461,$G4461),CSRFinput!$B:$E,4,0))),0,IF(AND(VLOOKUP(CONCATENATE($D4461,$G4461),CSRFinput!$B:$E,4,0)=0,OR(H4461=MappingTables!$C$34,H4461=MappingTables!$C$35)),1,VLOOKUP(CONCATENATE($D4461,$G4461),CSRFinput!$B:$E,4,0)))</f>
        <v>0.054776304963434752</v>
      </c>
      <c r="W4461" s="85">
        <f>IF(B4461="",0,+$T4461*$V4461)</f>
        <v>1.3046364383156928</v>
      </c>
      <c r="X4461" s="85">
        <f>IF(B4461="",0,IF(OR(H4461=MappingTables!$C$34,H4461=MappingTables!$C$35),W4461,0))</f>
        <v>0</v>
      </c>
    </row>
    <row r="4462" spans="2:24" s="0" customFormat="0" ht="15">
      <c r="B4462" s="69">
        <v>24892936</v>
      </c>
      <c r="C4462" s="70" t="s">
        <v>1128</v>
      </c>
      <c r="D4462" s="70" t="s">
        <v>1</v>
      </c>
      <c r="E4462" s="70" t="s">
        <v>1</v>
      </c>
      <c r="F4462" s="70"/>
      <c r="G4462" s="70" t="s">
        <v>61</v>
      </c>
      <c r="H4462" s="70" t="s">
        <v>178</v>
      </c>
      <c r="I4462" s="70" t="s">
        <v>188</v>
      </c>
      <c r="J4462" s="71">
        <f>IF(OR(I4462=0,I4462=""),"unrated",VLOOKUP(I4462,MappingTables!$B$19:$C$31,2,FALSE))</f>
        <v>2</v>
      </c>
      <c r="K4462" s="72">
        <v>1437.6057121660574</v>
      </c>
      <c r="L4462" s="70">
        <v>2.8107964965011396</v>
      </c>
      <c r="M4462" s="71">
        <f>IF(L4462&lt;1,1,L4462)</f>
        <v>2.8107964965011396</v>
      </c>
      <c r="N4462" s="70" t="s">
        <v>141</v>
      </c>
      <c r="O4462" s="71">
        <f>INDEX(DurClassMapping,MATCH(M4462,MappingTables!$D$4:$D$8,-1),1)</f>
        <v>1</v>
      </c>
      <c r="P4462" s="73">
        <f>IF(M4462=$A$1,1,$M4462-INDEX(MappingTables!$E$4:$E$8,MATCH(O4462,MappingTables!$B$4:$B$8,0)))</f>
        <v>2.8107964965011396</v>
      </c>
      <c r="Q4462" s="71">
        <f>IF(B4462="",0,INDEX(ModelParameters!$D$6:$K$10,MATCH($O4462,ModelParameters!$B$6:$B$10,0),MATCH($J4462,ModelParameters!$D$5:$K$5,0)))</f>
        <v>0.013999999999999998</v>
      </c>
      <c r="R4462" s="71">
        <f>IF(B4462="",0,INDEX(ModelParameters!$D$13:$K$17,MATCH($O4462,ModelParameters!$B$13:$B$17,0),MATCH($J4462,ModelParameters!$D$5:$K$5,0)))</f>
        <v>0</v>
      </c>
      <c r="S4462" s="160">
        <f>IF(B4462="",0,MIN(IF($N4462="Other Bond TM",ModelParameters!$N$21,1)*(P4462*Q4462+R4462),1))</f>
        <v>0.039351150951015944</v>
      </c>
      <c r="T4462" s="85">
        <f>IF(B4462="",0,$S4462*$K4462)</f>
        <v>56.571439387489304</v>
      </c>
      <c r="U4462" s="85">
        <f>IF(B4462="",0,IF(OR(H4462=MappingTables!$C$34,H4462=MappingTables!$C$35),T4462,0))</f>
        <v>0</v>
      </c>
      <c r="V4462" s="85">
        <f>IF(ISNA(IF(AND(VLOOKUP(CONCATENATE($D4462,$G4462),CSRFinput!$B:$E,4,0)=0,OR(H4462=MappingTables!$C$34,H4462=MappingTables!$C$35)),1,VLOOKUP(CONCATENATE($D4462,$G4462),CSRFinput!$B:$E,4,0))),0,IF(AND(VLOOKUP(CONCATENATE($D4462,$G4462),CSRFinput!$B:$E,4,0)=0,OR(H4462=MappingTables!$C$34,H4462=MappingTables!$C$35)),1,VLOOKUP(CONCATENATE($D4462,$G4462),CSRFinput!$B:$E,4,0)))</f>
        <v>0.054776304963434752</v>
      </c>
      <c r="W4462" s="85">
        <f>IF(B4462="",0,+$T4462*$V4462)</f>
        <v>3.0987744161095788</v>
      </c>
      <c r="X4462" s="85">
        <f>IF(B4462="",0,IF(OR(H4462=MappingTables!$C$34,H4462=MappingTables!$C$35),W4462,0))</f>
        <v>0</v>
      </c>
    </row>
    <row r="4463" spans="2:24" s="0" customFormat="0" ht="15">
      <c r="B4463" s="69">
        <v>17357779</v>
      </c>
      <c r="C4463" s="70" t="s">
        <v>1235</v>
      </c>
      <c r="D4463" s="70" t="s">
        <v>1</v>
      </c>
      <c r="E4463" s="70" t="s">
        <v>1</v>
      </c>
      <c r="F4463" s="70"/>
      <c r="G4463" s="70" t="s">
        <v>61</v>
      </c>
      <c r="H4463" s="70" t="s">
        <v>178</v>
      </c>
      <c r="I4463" s="70" t="s">
        <v>184</v>
      </c>
      <c r="J4463" s="71">
        <f>IF(OR(I4463=0,I4463=""),"unrated",VLOOKUP(I4463,MappingTables!$B$19:$C$31,2,FALSE))</f>
        <v>5</v>
      </c>
      <c r="K4463" s="72">
        <v>4824.5076044892056</v>
      </c>
      <c r="L4463" s="70">
        <v>0.04109234560661588</v>
      </c>
      <c r="M4463" s="71">
        <f>IF(L4463&lt;1,1,L4463)</f>
        <v>1</v>
      </c>
      <c r="N4463" s="70" t="s">
        <v>141</v>
      </c>
      <c r="O4463" s="71">
        <f>INDEX(DurClassMapping,MATCH(M4463,MappingTables!$D$4:$D$8,-1),1)</f>
        <v>1</v>
      </c>
      <c r="P4463" s="73">
        <f>IF(M4463=$A$1,1,$M4463-INDEX(MappingTables!$E$4:$E$8,MATCH(O4463,MappingTables!$B$4:$B$8,0)))</f>
        <v>1</v>
      </c>
      <c r="Q4463" s="71">
        <f>IF(B4463="",0,INDEX(ModelParameters!$D$6:$K$10,MATCH($O4463,ModelParameters!$B$6:$B$10,0),MATCH($J4463,ModelParameters!$D$5:$K$5,0)))</f>
        <v>0.075</v>
      </c>
      <c r="R4463" s="71">
        <f>IF(B4463="",0,INDEX(ModelParameters!$D$13:$K$17,MATCH($O4463,ModelParameters!$B$13:$B$17,0),MATCH($J4463,ModelParameters!$D$5:$K$5,0)))</f>
        <v>0</v>
      </c>
      <c r="S4463" s="160">
        <f>IF(B4463="",0,MIN(IF($N4463="Other Bond TM",ModelParameters!$N$21,1)*(P4463*Q4463+R4463),1))</f>
        <v>0.075</v>
      </c>
      <c r="T4463" s="85">
        <f>IF(B4463="",0,$S4463*$K4463)</f>
        <v>361.8380703366904</v>
      </c>
      <c r="U4463" s="85">
        <f>IF(B4463="",0,IF(OR(H4463=MappingTables!$C$34,H4463=MappingTables!$C$35),T4463,0))</f>
        <v>0</v>
      </c>
      <c r="V4463" s="85">
        <f>IF(ISNA(IF(AND(VLOOKUP(CONCATENATE($D4463,$G4463),CSRFinput!$B:$E,4,0)=0,OR(H4463=MappingTables!$C$34,H4463=MappingTables!$C$35)),1,VLOOKUP(CONCATENATE($D4463,$G4463),CSRFinput!$B:$E,4,0))),0,IF(AND(VLOOKUP(CONCATENATE($D4463,$G4463),CSRFinput!$B:$E,4,0)=0,OR(H4463=MappingTables!$C$34,H4463=MappingTables!$C$35)),1,VLOOKUP(CONCATENATE($D4463,$G4463),CSRFinput!$B:$E,4,0)))</f>
        <v>0.054776304963434752</v>
      </c>
      <c r="W4463" s="85">
        <f>IF(B4463="",0,+$T4463*$V4463)</f>
        <v>19.820152488143308</v>
      </c>
      <c r="X4463" s="85">
        <f>IF(B4463="",0,IF(OR(H4463=MappingTables!$C$34,H4463=MappingTables!$C$35),W4463,0))</f>
        <v>0</v>
      </c>
    </row>
    <row r="4464" spans="2:24" s="0" customFormat="0" ht="15">
      <c r="B4464" s="69" t="s">
        <v>2514</v>
      </c>
      <c r="C4464" s="70" t="s">
        <v>2515</v>
      </c>
      <c r="D4464" s="70" t="s">
        <v>1</v>
      </c>
      <c r="E4464" s="70" t="s">
        <v>1</v>
      </c>
      <c r="F4464" s="70"/>
      <c r="G4464" s="70" t="s">
        <v>61</v>
      </c>
      <c r="H4464" s="70" t="s">
        <v>178</v>
      </c>
      <c r="I4464" s="70" t="s">
        <v>188</v>
      </c>
      <c r="J4464" s="71">
        <f>IF(OR(I4464=0,I4464=""),"unrated",VLOOKUP(I4464,MappingTables!$B$19:$C$31,2,FALSE))</f>
        <v>2</v>
      </c>
      <c r="K4464" s="72">
        <v>162.44919830503926</v>
      </c>
      <c r="L4464" s="70">
        <v>6.1514768111438248</v>
      </c>
      <c r="M4464" s="71">
        <f>IF(L4464&lt;1,1,L4464)</f>
        <v>6.1514768111438248</v>
      </c>
      <c r="N4464" s="70" t="s">
        <v>141</v>
      </c>
      <c r="O4464" s="71">
        <f>INDEX(DurClassMapping,MATCH(M4464,MappingTables!$D$4:$D$8,-1),1)</f>
        <v>2</v>
      </c>
      <c r="P4464" s="73">
        <f>IF(M4464=$A$1,1,$M4464-INDEX(MappingTables!$E$4:$E$8,MATCH(O4464,MappingTables!$B$4:$B$8,0)))</f>
        <v>1.1514768111438248</v>
      </c>
      <c r="Q4464" s="71">
        <f>IF(B4464="",0,INDEX(ModelParameters!$D$6:$K$10,MATCH($O4464,ModelParameters!$B$6:$B$10,0),MATCH($J4464,ModelParameters!$D$5:$K$5,0)))</f>
        <v>0.0069999999999999992</v>
      </c>
      <c r="R4464" s="71">
        <f>IF(B4464="",0,INDEX(ModelParameters!$D$13:$K$17,MATCH($O4464,ModelParameters!$B$13:$B$17,0),MATCH($J4464,ModelParameters!$D$5:$K$5,0)))</f>
        <v>0.070000000000000008</v>
      </c>
      <c r="S4464" s="160">
        <f>IF(B4464="",0,MIN(IF($N4464="Other Bond TM",ModelParameters!$N$21,1)*(P4464*Q4464+R4464),1))</f>
        <v>0.078060337678006784</v>
      </c>
      <c r="T4464" s="85">
        <f>IF(B4464="",0,$S4464*$K4464)</f>
        <v>12.680839275212852</v>
      </c>
      <c r="U4464" s="85">
        <f>IF(B4464="",0,IF(OR(H4464=MappingTables!$C$34,H4464=MappingTables!$C$35),T4464,0))</f>
        <v>0</v>
      </c>
      <c r="V4464" s="85">
        <f>IF(ISNA(IF(AND(VLOOKUP(CONCATENATE($D4464,$G4464),CSRFinput!$B:$E,4,0)=0,OR(H4464=MappingTables!$C$34,H4464=MappingTables!$C$35)),1,VLOOKUP(CONCATENATE($D4464,$G4464),CSRFinput!$B:$E,4,0))),0,IF(AND(VLOOKUP(CONCATENATE($D4464,$G4464),CSRFinput!$B:$E,4,0)=0,OR(H4464=MappingTables!$C$34,H4464=MappingTables!$C$35)),1,VLOOKUP(CONCATENATE($D4464,$G4464),CSRFinput!$B:$E,4,0)))</f>
        <v>0.054776304963434752</v>
      </c>
      <c r="W4464" s="85">
        <f>IF(B4464="",0,+$T4464*$V4464)</f>
        <v>0.69460951933136016</v>
      </c>
      <c r="X4464" s="85">
        <f>IF(B4464="",0,IF(OR(H4464=MappingTables!$C$34,H4464=MappingTables!$C$35),W4464,0))</f>
        <v>0</v>
      </c>
    </row>
    <row r="4465" spans="2:24" s="0" customFormat="0" ht="15">
      <c r="B4465" s="69" t="s">
        <v>1125</v>
      </c>
      <c r="C4465" s="70" t="s">
        <v>1126</v>
      </c>
      <c r="D4465" s="70" t="s">
        <v>1</v>
      </c>
      <c r="E4465" s="70" t="s">
        <v>1</v>
      </c>
      <c r="F4465" s="70"/>
      <c r="G4465" s="70" t="s">
        <v>61</v>
      </c>
      <c r="H4465" s="70" t="s">
        <v>178</v>
      </c>
      <c r="I4465" s="70" t="s">
        <v>181</v>
      </c>
      <c r="J4465" s="71">
        <f>IF(OR(I4465=0,I4465=""),"unrated",VLOOKUP(I4465,MappingTables!$B$19:$C$31,2,FALSE))</f>
        <v>3</v>
      </c>
      <c r="K4465" s="72">
        <v>0.80484045067199712</v>
      </c>
      <c r="L4465" s="70">
        <v>0.83219195535086016</v>
      </c>
      <c r="M4465" s="71">
        <f>IF(L4465&lt;1,1,L4465)</f>
        <v>1</v>
      </c>
      <c r="N4465" s="70" t="s">
        <v>141</v>
      </c>
      <c r="O4465" s="71">
        <f>INDEX(DurClassMapping,MATCH(M4465,MappingTables!$D$4:$D$8,-1),1)</f>
        <v>1</v>
      </c>
      <c r="P4465" s="73">
        <f>IF(M4465=$A$1,1,$M4465-INDEX(MappingTables!$E$4:$E$8,MATCH(O4465,MappingTables!$B$4:$B$8,0)))</f>
        <v>1</v>
      </c>
      <c r="Q4465" s="71">
        <f>IF(B4465="",0,INDEX(ModelParameters!$D$6:$K$10,MATCH($O4465,ModelParameters!$B$6:$B$10,0),MATCH($J4465,ModelParameters!$D$5:$K$5,0)))</f>
        <v>0.025</v>
      </c>
      <c r="R4465" s="71">
        <f>IF(B4465="",0,INDEX(ModelParameters!$D$13:$K$17,MATCH($O4465,ModelParameters!$B$13:$B$17,0),MATCH($J4465,ModelParameters!$D$5:$K$5,0)))</f>
        <v>0</v>
      </c>
      <c r="S4465" s="160">
        <f>IF(B4465="",0,MIN(IF($N4465="Other Bond TM",ModelParameters!$N$21,1)*(P4465*Q4465+R4465),1))</f>
        <v>0.025</v>
      </c>
      <c r="T4465" s="85">
        <f>IF(B4465="",0,$S4465*$K4465)</f>
        <v>0.020121011266799932</v>
      </c>
      <c r="U4465" s="85">
        <f>IF(B4465="",0,IF(OR(H4465=MappingTables!$C$34,H4465=MappingTables!$C$35),T4465,0))</f>
        <v>0</v>
      </c>
      <c r="V4465" s="85">
        <f>IF(ISNA(IF(AND(VLOOKUP(CONCATENATE($D4465,$G4465),CSRFinput!$B:$E,4,0)=0,OR(H4465=MappingTables!$C$34,H4465=MappingTables!$C$35)),1,VLOOKUP(CONCATENATE($D4465,$G4465),CSRFinput!$B:$E,4,0))),0,IF(AND(VLOOKUP(CONCATENATE($D4465,$G4465),CSRFinput!$B:$E,4,0)=0,OR(H4465=MappingTables!$C$34,H4465=MappingTables!$C$35)),1,VLOOKUP(CONCATENATE($D4465,$G4465),CSRFinput!$B:$E,4,0)))</f>
        <v>0.054776304963434752</v>
      </c>
      <c r="W4465" s="85">
        <f>IF(B4465="",0,+$T4465*$V4465)</f>
        <v>0.0011021546493229396</v>
      </c>
      <c r="X4465" s="85">
        <f>IF(B4465="",0,IF(OR(H4465=MappingTables!$C$34,H4465=MappingTables!$C$35),W4465,0))</f>
        <v>0</v>
      </c>
    </row>
    <row r="4466" spans="2:24" s="0" customFormat="0" ht="15">
      <c r="B4466" s="69">
        <v>8959372</v>
      </c>
      <c r="C4466" s="70" t="s">
        <v>2607</v>
      </c>
      <c r="D4466" s="70" t="s">
        <v>1</v>
      </c>
      <c r="E4466" s="70" t="s">
        <v>1</v>
      </c>
      <c r="F4466" s="70"/>
      <c r="G4466" s="70" t="s">
        <v>61</v>
      </c>
      <c r="H4466" s="70" t="s">
        <v>178</v>
      </c>
      <c r="I4466" s="70" t="s">
        <v>179</v>
      </c>
      <c r="J4466" s="71">
        <f>IF(OR(I4466=0,I4466=""),"unrated",VLOOKUP(I4466,MappingTables!$B$19:$C$31,2,FALSE))</f>
        <v>4</v>
      </c>
      <c r="K4466" s="72">
        <v>1261.4806625849006</v>
      </c>
      <c r="L4466" s="70">
        <v>4.9729658394528936</v>
      </c>
      <c r="M4466" s="71">
        <f>IF(L4466&lt;1,1,L4466)</f>
        <v>4.9729658394528936</v>
      </c>
      <c r="N4466" s="70" t="s">
        <v>141</v>
      </c>
      <c r="O4466" s="71">
        <f>INDEX(DurClassMapping,MATCH(M4466,MappingTables!$D$4:$D$8,-1),1)</f>
        <v>1</v>
      </c>
      <c r="P4466" s="73">
        <f>IF(M4466=$A$1,1,$M4466-INDEX(MappingTables!$E$4:$E$8,MATCH(O4466,MappingTables!$B$4:$B$8,0)))</f>
        <v>4.9729658394528936</v>
      </c>
      <c r="Q4466" s="71">
        <f>IF(B4466="",0,INDEX(ModelParameters!$D$6:$K$10,MATCH($O4466,ModelParameters!$B$6:$B$10,0),MATCH($J4466,ModelParameters!$D$5:$K$5,0)))</f>
        <v>0.045</v>
      </c>
      <c r="R4466" s="71">
        <f>IF(B4466="",0,INDEX(ModelParameters!$D$13:$K$17,MATCH($O4466,ModelParameters!$B$13:$B$17,0),MATCH($J4466,ModelParameters!$D$5:$K$5,0)))</f>
        <v>0</v>
      </c>
      <c r="S4466" s="160">
        <f>IF(B4466="",0,MIN(IF($N4466="Other Bond TM",ModelParameters!$N$21,1)*(P4466*Q4466+R4466),1))</f>
        <v>0.2237834627753802</v>
      </c>
      <c r="T4466" s="85">
        <f>IF(B4466="",0,$S4466*$K4466)</f>
        <v>282.29851089743004</v>
      </c>
      <c r="U4466" s="85">
        <f>IF(B4466="",0,IF(OR(H4466=MappingTables!$C$34,H4466=MappingTables!$C$35),T4466,0))</f>
        <v>0</v>
      </c>
      <c r="V4466" s="85">
        <f>IF(ISNA(IF(AND(VLOOKUP(CONCATENATE($D4466,$G4466),CSRFinput!$B:$E,4,0)=0,OR(H4466=MappingTables!$C$34,H4466=MappingTables!$C$35)),1,VLOOKUP(CONCATENATE($D4466,$G4466),CSRFinput!$B:$E,4,0))),0,IF(AND(VLOOKUP(CONCATENATE($D4466,$G4466),CSRFinput!$B:$E,4,0)=0,OR(H4466=MappingTables!$C$34,H4466=MappingTables!$C$35)),1,VLOOKUP(CONCATENATE($D4466,$G4466),CSRFinput!$B:$E,4,0)))</f>
        <v>0.054776304963434752</v>
      </c>
      <c r="W4466" s="85">
        <f>IF(B4466="",0,+$T4466*$V4466)</f>
        <v>15.463269323641138</v>
      </c>
      <c r="X4466" s="85">
        <f>IF(B4466="",0,IF(OR(H4466=MappingTables!$C$34,H4466=MappingTables!$C$35),W4466,0))</f>
        <v>0</v>
      </c>
    </row>
    <row r="4467" spans="2:24" s="0" customFormat="0" ht="15">
      <c r="B4467" s="69">
        <v>14851927</v>
      </c>
      <c r="C4467" s="70" t="s">
        <v>2208</v>
      </c>
      <c r="D4467" s="70" t="s">
        <v>1</v>
      </c>
      <c r="E4467" s="70" t="s">
        <v>1</v>
      </c>
      <c r="F4467" s="70"/>
      <c r="G4467" s="70" t="s">
        <v>61</v>
      </c>
      <c r="H4467" s="70" t="s">
        <v>178</v>
      </c>
      <c r="I4467" s="70" t="s">
        <v>181</v>
      </c>
      <c r="J4467" s="71">
        <f>IF(OR(I4467=0,I4467=""),"unrated",VLOOKUP(I4467,MappingTables!$B$19:$C$31,2,FALSE))</f>
        <v>3</v>
      </c>
      <c r="K4467" s="72">
        <v>169.3452029954373</v>
      </c>
      <c r="L4467" s="70">
        <v>1.9300375957001756</v>
      </c>
      <c r="M4467" s="71">
        <f>IF(L4467&lt;1,1,L4467)</f>
        <v>1.9300375957001756</v>
      </c>
      <c r="N4467" s="70" t="s">
        <v>141</v>
      </c>
      <c r="O4467" s="71">
        <f>INDEX(DurClassMapping,MATCH(M4467,MappingTables!$D$4:$D$8,-1),1)</f>
        <v>1</v>
      </c>
      <c r="P4467" s="73">
        <f>IF(M4467=$A$1,1,$M4467-INDEX(MappingTables!$E$4:$E$8,MATCH(O4467,MappingTables!$B$4:$B$8,0)))</f>
        <v>1.9300375957001756</v>
      </c>
      <c r="Q4467" s="71">
        <f>IF(B4467="",0,INDEX(ModelParameters!$D$6:$K$10,MATCH($O4467,ModelParameters!$B$6:$B$10,0),MATCH($J4467,ModelParameters!$D$5:$K$5,0)))</f>
        <v>0.025</v>
      </c>
      <c r="R4467" s="71">
        <f>IF(B4467="",0,INDEX(ModelParameters!$D$13:$K$17,MATCH($O4467,ModelParameters!$B$13:$B$17,0),MATCH($J4467,ModelParameters!$D$5:$K$5,0)))</f>
        <v>0</v>
      </c>
      <c r="S4467" s="160">
        <f>IF(B4467="",0,MIN(IF($N4467="Other Bond TM",ModelParameters!$N$21,1)*(P4467*Q4467+R4467),1))</f>
        <v>0.0482509398925044</v>
      </c>
      <c r="T4467" s="85">
        <f>IF(B4467="",0,$S4467*$K4467)</f>
        <v>8.1710652108168016</v>
      </c>
      <c r="U4467" s="85">
        <f>IF(B4467="",0,IF(OR(H4467=MappingTables!$C$34,H4467=MappingTables!$C$35),T4467,0))</f>
        <v>0</v>
      </c>
      <c r="V4467" s="85">
        <f>IF(ISNA(IF(AND(VLOOKUP(CONCATENATE($D4467,$G4467),CSRFinput!$B:$E,4,0)=0,OR(H4467=MappingTables!$C$34,H4467=MappingTables!$C$35)),1,VLOOKUP(CONCATENATE($D4467,$G4467),CSRFinput!$B:$E,4,0))),0,IF(AND(VLOOKUP(CONCATENATE($D4467,$G4467),CSRFinput!$B:$E,4,0)=0,OR(H4467=MappingTables!$C$34,H4467=MappingTables!$C$35)),1,VLOOKUP(CONCATENATE($D4467,$G4467),CSRFinput!$B:$E,4,0)))</f>
        <v>0.054776304963434752</v>
      </c>
      <c r="W4467" s="85">
        <f>IF(B4467="",0,+$T4467*$V4467)</f>
        <v>0.44758075986381336</v>
      </c>
      <c r="X4467" s="85">
        <f>IF(B4467="",0,IF(OR(H4467=MappingTables!$C$34,H4467=MappingTables!$C$35),W4467,0))</f>
        <v>0</v>
      </c>
    </row>
    <row r="4468" spans="2:24" s="0" customFormat="0" ht="15">
      <c r="B4468" s="69" t="s">
        <v>2914</v>
      </c>
      <c r="C4468" s="70" t="s">
        <v>2915</v>
      </c>
      <c r="D4468" s="70" t="s">
        <v>1</v>
      </c>
      <c r="E4468" s="70" t="s">
        <v>1</v>
      </c>
      <c r="F4468" s="70"/>
      <c r="G4468" s="70" t="s">
        <v>61</v>
      </c>
      <c r="H4468" s="70" t="s">
        <v>178</v>
      </c>
      <c r="I4468" s="70" t="s">
        <v>179</v>
      </c>
      <c r="J4468" s="71">
        <f>IF(OR(I4468=0,I4468=""),"unrated",VLOOKUP(I4468,MappingTables!$B$19:$C$31,2,FALSE))</f>
        <v>4</v>
      </c>
      <c r="K4468" s="72">
        <v>904.25393359529248</v>
      </c>
      <c r="L4468" s="70">
        <v>1.435013672786994</v>
      </c>
      <c r="M4468" s="71">
        <f>IF(L4468&lt;1,1,L4468)</f>
        <v>1.435013672786994</v>
      </c>
      <c r="N4468" s="70" t="s">
        <v>141</v>
      </c>
      <c r="O4468" s="71">
        <f>INDEX(DurClassMapping,MATCH(M4468,MappingTables!$D$4:$D$8,-1),1)</f>
        <v>1</v>
      </c>
      <c r="P4468" s="73">
        <f>IF(M4468=$A$1,1,$M4468-INDEX(MappingTables!$E$4:$E$8,MATCH(O4468,MappingTables!$B$4:$B$8,0)))</f>
        <v>1.435013672786994</v>
      </c>
      <c r="Q4468" s="71">
        <f>IF(B4468="",0,INDEX(ModelParameters!$D$6:$K$10,MATCH($O4468,ModelParameters!$B$6:$B$10,0),MATCH($J4468,ModelParameters!$D$5:$K$5,0)))</f>
        <v>0.045</v>
      </c>
      <c r="R4468" s="71">
        <f>IF(B4468="",0,INDEX(ModelParameters!$D$13:$K$17,MATCH($O4468,ModelParameters!$B$13:$B$17,0),MATCH($J4468,ModelParameters!$D$5:$K$5,0)))</f>
        <v>0</v>
      </c>
      <c r="S4468" s="160">
        <f>IF(B4468="",0,MIN(IF($N4468="Other Bond TM",ModelParameters!$N$21,1)*(P4468*Q4468+R4468),1))</f>
        <v>0.06457561527541472</v>
      </c>
      <c r="T4468" s="85">
        <f>IF(B4468="",0,$S4468*$K4468)</f>
        <v>58.392754127130016</v>
      </c>
      <c r="U4468" s="85">
        <f>IF(B4468="",0,IF(OR(H4468=MappingTables!$C$34,H4468=MappingTables!$C$35),T4468,0))</f>
        <v>0</v>
      </c>
      <c r="V4468" s="85">
        <f>IF(ISNA(IF(AND(VLOOKUP(CONCATENATE($D4468,$G4468),CSRFinput!$B:$E,4,0)=0,OR(H4468=MappingTables!$C$34,H4468=MappingTables!$C$35)),1,VLOOKUP(CONCATENATE($D4468,$G4468),CSRFinput!$B:$E,4,0))),0,IF(AND(VLOOKUP(CONCATENATE($D4468,$G4468),CSRFinput!$B:$E,4,0)=0,OR(H4468=MappingTables!$C$34,H4468=MappingTables!$C$35)),1,VLOOKUP(CONCATENATE($D4468,$G4468),CSRFinput!$B:$E,4,0)))</f>
        <v>0.054776304963434752</v>
      </c>
      <c r="W4468" s="85">
        <f>IF(B4468="",0,+$T4468*$V4468)</f>
        <v>3.1985393077225372</v>
      </c>
      <c r="X4468" s="85">
        <f>IF(B4468="",0,IF(OR(H4468=MappingTables!$C$34,H4468=MappingTables!$C$35),W4468,0))</f>
        <v>0</v>
      </c>
    </row>
    <row r="4469" spans="2:24" s="0" customFormat="0" ht="15">
      <c r="B4469" s="69">
        <v>12299582</v>
      </c>
      <c r="C4469" s="70" t="s">
        <v>1229</v>
      </c>
      <c r="D4469" s="70" t="s">
        <v>1</v>
      </c>
      <c r="E4469" s="70" t="s">
        <v>1</v>
      </c>
      <c r="F4469" s="70"/>
      <c r="G4469" s="70" t="s">
        <v>61</v>
      </c>
      <c r="H4469" s="70" t="s">
        <v>178</v>
      </c>
      <c r="I4469" s="70" t="s">
        <v>188</v>
      </c>
      <c r="J4469" s="71">
        <f>IF(OR(I4469=0,I4469=""),"unrated",VLOOKUP(I4469,MappingTables!$B$19:$C$31,2,FALSE))</f>
        <v>2</v>
      </c>
      <c r="K4469" s="72">
        <v>382.50180576842448</v>
      </c>
      <c r="L4469" s="70">
        <v>1.5856966309182096</v>
      </c>
      <c r="M4469" s="71">
        <f>IF(L4469&lt;1,1,L4469)</f>
        <v>1.5856966309182096</v>
      </c>
      <c r="N4469" s="70" t="s">
        <v>141</v>
      </c>
      <c r="O4469" s="71">
        <f>INDEX(DurClassMapping,MATCH(M4469,MappingTables!$D$4:$D$8,-1),1)</f>
        <v>1</v>
      </c>
      <c r="P4469" s="73">
        <f>IF(M4469=$A$1,1,$M4469-INDEX(MappingTables!$E$4:$E$8,MATCH(O4469,MappingTables!$B$4:$B$8,0)))</f>
        <v>1.5856966309182096</v>
      </c>
      <c r="Q4469" s="71">
        <f>IF(B4469="",0,INDEX(ModelParameters!$D$6:$K$10,MATCH($O4469,ModelParameters!$B$6:$B$10,0),MATCH($J4469,ModelParameters!$D$5:$K$5,0)))</f>
        <v>0.013999999999999998</v>
      </c>
      <c r="R4469" s="71">
        <f>IF(B4469="",0,INDEX(ModelParameters!$D$13:$K$17,MATCH($O4469,ModelParameters!$B$13:$B$17,0),MATCH($J4469,ModelParameters!$D$5:$K$5,0)))</f>
        <v>0</v>
      </c>
      <c r="S4469" s="160">
        <f>IF(B4469="",0,MIN(IF($N4469="Other Bond TM",ModelParameters!$N$21,1)*(P4469*Q4469+R4469),1))</f>
        <v>0.022199752832854936</v>
      </c>
      <c r="T4469" s="85">
        <f>IF(B4469="",0,$S4469*$K4469)</f>
        <v>8.4914455461797104</v>
      </c>
      <c r="U4469" s="85">
        <f>IF(B4469="",0,IF(OR(H4469=MappingTables!$C$34,H4469=MappingTables!$C$35),T4469,0))</f>
        <v>0</v>
      </c>
      <c r="V4469" s="85">
        <f>IF(ISNA(IF(AND(VLOOKUP(CONCATENATE($D4469,$G4469),CSRFinput!$B:$E,4,0)=0,OR(H4469=MappingTables!$C$34,H4469=MappingTables!$C$35)),1,VLOOKUP(CONCATENATE($D4469,$G4469),CSRFinput!$B:$E,4,0))),0,IF(AND(VLOOKUP(CONCATENATE($D4469,$G4469),CSRFinput!$B:$E,4,0)=0,OR(H4469=MappingTables!$C$34,H4469=MappingTables!$C$35)),1,VLOOKUP(CONCATENATE($D4469,$G4469),CSRFinput!$B:$E,4,0)))</f>
        <v>0.054776304963434752</v>
      </c>
      <c r="W4469" s="85">
        <f>IF(B4469="",0,+$T4469*$V4469)</f>
        <v>0.4651300108179396</v>
      </c>
      <c r="X4469" s="85">
        <f>IF(B4469="",0,IF(OR(H4469=MappingTables!$C$34,H4469=MappingTables!$C$35),W4469,0))</f>
        <v>0</v>
      </c>
    </row>
    <row r="4470" spans="2:24" s="0" customFormat="0" ht="15">
      <c r="B4470" s="69">
        <v>22214088</v>
      </c>
      <c r="C4470" s="70" t="s">
        <v>581</v>
      </c>
      <c r="D4470" s="70" t="s">
        <v>1</v>
      </c>
      <c r="E4470" s="70" t="s">
        <v>1</v>
      </c>
      <c r="F4470" s="70"/>
      <c r="G4470" s="70" t="s">
        <v>61</v>
      </c>
      <c r="H4470" s="70" t="s">
        <v>178</v>
      </c>
      <c r="I4470" s="70" t="s">
        <v>181</v>
      </c>
      <c r="J4470" s="71">
        <f>IF(OR(I4470=0,I4470=""),"unrated",VLOOKUP(I4470,MappingTables!$B$19:$C$31,2,FALSE))</f>
        <v>3</v>
      </c>
      <c r="K4470" s="72">
        <v>15312.13359209988</v>
      </c>
      <c r="L4470" s="70">
        <v>7.5670353182407104</v>
      </c>
      <c r="M4470" s="71">
        <f>IF(L4470&lt;1,1,L4470)</f>
        <v>7.5670353182407104</v>
      </c>
      <c r="N4470" s="70" t="s">
        <v>141</v>
      </c>
      <c r="O4470" s="71">
        <f>INDEX(DurClassMapping,MATCH(M4470,MappingTables!$D$4:$D$8,-1),1)</f>
        <v>2</v>
      </c>
      <c r="P4470" s="73">
        <f>IF(M4470=$A$1,1,$M4470-INDEX(MappingTables!$E$4:$E$8,MATCH(O4470,MappingTables!$B$4:$B$8,0)))</f>
        <v>2.5670353182407108</v>
      </c>
      <c r="Q4470" s="71">
        <f>IF(B4470="",0,INDEX(ModelParameters!$D$6:$K$10,MATCH($O4470,ModelParameters!$B$6:$B$10,0),MATCH($J4470,ModelParameters!$D$5:$K$5,0)))</f>
        <v>0.015</v>
      </c>
      <c r="R4470" s="71">
        <f>IF(B4470="",0,INDEX(ModelParameters!$D$13:$K$17,MATCH($O4470,ModelParameters!$B$13:$B$17,0),MATCH($J4470,ModelParameters!$D$5:$K$5,0)))</f>
        <v>0.125</v>
      </c>
      <c r="S4470" s="160">
        <f>IF(B4470="",0,MIN(IF($N4470="Other Bond TM",ModelParameters!$N$21,1)*(P4470*Q4470+R4470),1))</f>
        <v>0.16350552977361066</v>
      </c>
      <c r="T4470" s="85">
        <f>IF(B4470="",0,$S4470*$K4470)</f>
        <v>2503.6185149405912</v>
      </c>
      <c r="U4470" s="85">
        <f>IF(B4470="",0,IF(OR(H4470=MappingTables!$C$34,H4470=MappingTables!$C$35),T4470,0))</f>
        <v>0</v>
      </c>
      <c r="V4470" s="85">
        <f>IF(ISNA(IF(AND(VLOOKUP(CONCATENATE($D4470,$G4470),CSRFinput!$B:$E,4,0)=0,OR(H4470=MappingTables!$C$34,H4470=MappingTables!$C$35)),1,VLOOKUP(CONCATENATE($D4470,$G4470),CSRFinput!$B:$E,4,0))),0,IF(AND(VLOOKUP(CONCATENATE($D4470,$G4470),CSRFinput!$B:$E,4,0)=0,OR(H4470=MappingTables!$C$34,H4470=MappingTables!$C$35)),1,VLOOKUP(CONCATENATE($D4470,$G4470),CSRFinput!$B:$E,4,0)))</f>
        <v>0.054776304963434752</v>
      </c>
      <c r="W4470" s="85">
        <f>IF(B4470="",0,+$T4470*$V4470)</f>
        <v>137.13897128648744</v>
      </c>
      <c r="X4470" s="85">
        <f>IF(B4470="",0,IF(OR(H4470=MappingTables!$C$34,H4470=MappingTables!$C$35),W4470,0))</f>
        <v>0</v>
      </c>
    </row>
    <row r="4471" spans="2:24" s="0" customFormat="0" ht="15">
      <c r="B4471" s="69">
        <v>9189714</v>
      </c>
      <c r="C4471" s="70" t="s">
        <v>1492</v>
      </c>
      <c r="D4471" s="70" t="s">
        <v>1</v>
      </c>
      <c r="E4471" s="70" t="s">
        <v>1</v>
      </c>
      <c r="F4471" s="70"/>
      <c r="G4471" s="70" t="s">
        <v>61</v>
      </c>
      <c r="H4471" s="70" t="s">
        <v>178</v>
      </c>
      <c r="I4471" s="70" t="s">
        <v>179</v>
      </c>
      <c r="J4471" s="71">
        <f>IF(OR(I4471=0,I4471=""),"unrated",VLOOKUP(I4471,MappingTables!$B$19:$C$31,2,FALSE))</f>
        <v>4</v>
      </c>
      <c r="K4471" s="72">
        <v>7561.285304758808</v>
      </c>
      <c r="L4471" s="70">
        <v>0.63288170629740272</v>
      </c>
      <c r="M4471" s="71">
        <f>IF(L4471&lt;1,1,L4471)</f>
        <v>1</v>
      </c>
      <c r="N4471" s="70" t="s">
        <v>141</v>
      </c>
      <c r="O4471" s="71">
        <f>INDEX(DurClassMapping,MATCH(M4471,MappingTables!$D$4:$D$8,-1),1)</f>
        <v>1</v>
      </c>
      <c r="P4471" s="73">
        <f>IF(M4471=$A$1,1,$M4471-INDEX(MappingTables!$E$4:$E$8,MATCH(O4471,MappingTables!$B$4:$B$8,0)))</f>
        <v>1</v>
      </c>
      <c r="Q4471" s="71">
        <f>IF(B4471="",0,INDEX(ModelParameters!$D$6:$K$10,MATCH($O4471,ModelParameters!$B$6:$B$10,0),MATCH($J4471,ModelParameters!$D$5:$K$5,0)))</f>
        <v>0.045</v>
      </c>
      <c r="R4471" s="71">
        <f>IF(B4471="",0,INDEX(ModelParameters!$D$13:$K$17,MATCH($O4471,ModelParameters!$B$13:$B$17,0),MATCH($J4471,ModelParameters!$D$5:$K$5,0)))</f>
        <v>0</v>
      </c>
      <c r="S4471" s="160">
        <f>IF(B4471="",0,MIN(IF($N4471="Other Bond TM",ModelParameters!$N$21,1)*(P4471*Q4471+R4471),1))</f>
        <v>0.045</v>
      </c>
      <c r="T4471" s="85">
        <f>IF(B4471="",0,$S4471*$K4471)</f>
        <v>340.25783871414632</v>
      </c>
      <c r="U4471" s="85">
        <f>IF(B4471="",0,IF(OR(H4471=MappingTables!$C$34,H4471=MappingTables!$C$35),T4471,0))</f>
        <v>0</v>
      </c>
      <c r="V4471" s="85">
        <f>IF(ISNA(IF(AND(VLOOKUP(CONCATENATE($D4471,$G4471),CSRFinput!$B:$E,4,0)=0,OR(H4471=MappingTables!$C$34,H4471=MappingTables!$C$35)),1,VLOOKUP(CONCATENATE($D4471,$G4471),CSRFinput!$B:$E,4,0))),0,IF(AND(VLOOKUP(CONCATENATE($D4471,$G4471),CSRFinput!$B:$E,4,0)=0,OR(H4471=MappingTables!$C$34,H4471=MappingTables!$C$35)),1,VLOOKUP(CONCATENATE($D4471,$G4471),CSRFinput!$B:$E,4,0)))</f>
        <v>0.054776304963434752</v>
      </c>
      <c r="W4471" s="85">
        <f>IF(B4471="",0,+$T4471*$V4471)</f>
        <v>18.638067139605276</v>
      </c>
      <c r="X4471" s="85">
        <f>IF(B4471="",0,IF(OR(H4471=MappingTables!$C$34,H4471=MappingTables!$C$35),W4471,0))</f>
        <v>0</v>
      </c>
    </row>
    <row r="4472" spans="2:24" s="0" customFormat="0" ht="15">
      <c r="B4472" s="69">
        <v>20801543</v>
      </c>
      <c r="C4472" s="70" t="s">
        <v>2549</v>
      </c>
      <c r="D4472" s="70" t="s">
        <v>1</v>
      </c>
      <c r="E4472" s="70" t="s">
        <v>1</v>
      </c>
      <c r="F4472" s="70"/>
      <c r="G4472" s="70" t="s">
        <v>61</v>
      </c>
      <c r="H4472" s="70" t="s">
        <v>178</v>
      </c>
      <c r="I4472" s="70" t="s">
        <v>181</v>
      </c>
      <c r="J4472" s="71">
        <f>IF(OR(I4472=0,I4472=""),"unrated",VLOOKUP(I4472,MappingTables!$B$19:$C$31,2,FALSE))</f>
        <v>3</v>
      </c>
      <c r="K4472" s="72">
        <v>2125.2030395641032</v>
      </c>
      <c r="L4472" s="70">
        <v>7.539576476563408</v>
      </c>
      <c r="M4472" s="71">
        <f>IF(L4472&lt;1,1,L4472)</f>
        <v>7.539576476563408</v>
      </c>
      <c r="N4472" s="70" t="s">
        <v>141</v>
      </c>
      <c r="O4472" s="71">
        <f>INDEX(DurClassMapping,MATCH(M4472,MappingTables!$D$4:$D$8,-1),1)</f>
        <v>2</v>
      </c>
      <c r="P4472" s="73">
        <f>IF(M4472=$A$1,1,$M4472-INDEX(MappingTables!$E$4:$E$8,MATCH(O4472,MappingTables!$B$4:$B$8,0)))</f>
        <v>2.5395764765634084</v>
      </c>
      <c r="Q4472" s="71">
        <f>IF(B4472="",0,INDEX(ModelParameters!$D$6:$K$10,MATCH($O4472,ModelParameters!$B$6:$B$10,0),MATCH($J4472,ModelParameters!$D$5:$K$5,0)))</f>
        <v>0.015</v>
      </c>
      <c r="R4472" s="71">
        <f>IF(B4472="",0,INDEX(ModelParameters!$D$13:$K$17,MATCH($O4472,ModelParameters!$B$13:$B$17,0),MATCH($J4472,ModelParameters!$D$5:$K$5,0)))</f>
        <v>0.125</v>
      </c>
      <c r="S4472" s="160">
        <f>IF(B4472="",0,MIN(IF($N4472="Other Bond TM",ModelParameters!$N$21,1)*(P4472*Q4472+R4472),1))</f>
        <v>0.16309364714845112</v>
      </c>
      <c r="T4472" s="85">
        <f>IF(B4472="",0,$S4472*$K4472)</f>
        <v>346.60711465348364</v>
      </c>
      <c r="U4472" s="85">
        <f>IF(B4472="",0,IF(OR(H4472=MappingTables!$C$34,H4472=MappingTables!$C$35),T4472,0))</f>
        <v>0</v>
      </c>
      <c r="V4472" s="85">
        <f>IF(ISNA(IF(AND(VLOOKUP(CONCATENATE($D4472,$G4472),CSRFinput!$B:$E,4,0)=0,OR(H4472=MappingTables!$C$34,H4472=MappingTables!$C$35)),1,VLOOKUP(CONCATENATE($D4472,$G4472),CSRFinput!$B:$E,4,0))),0,IF(AND(VLOOKUP(CONCATENATE($D4472,$G4472),CSRFinput!$B:$E,4,0)=0,OR(H4472=MappingTables!$C$34,H4472=MappingTables!$C$35)),1,VLOOKUP(CONCATENATE($D4472,$G4472),CSRFinput!$B:$E,4,0)))</f>
        <v>0.054776304963434752</v>
      </c>
      <c r="W4472" s="85">
        <f>IF(B4472="",0,+$T4472*$V4472)</f>
        <v>18.985857014755412</v>
      </c>
      <c r="X4472" s="85">
        <f>IF(B4472="",0,IF(OR(H4472=MappingTables!$C$34,H4472=MappingTables!$C$35),W4472,0))</f>
        <v>0</v>
      </c>
    </row>
    <row r="4473" spans="2:24" s="0" customFormat="0" ht="15">
      <c r="B4473" s="69">
        <v>24964663</v>
      </c>
      <c r="C4473" s="70" t="s">
        <v>2234</v>
      </c>
      <c r="D4473" s="70" t="s">
        <v>1</v>
      </c>
      <c r="E4473" s="70" t="s">
        <v>1</v>
      </c>
      <c r="F4473" s="70"/>
      <c r="G4473" s="70" t="s">
        <v>61</v>
      </c>
      <c r="H4473" s="70" t="s">
        <v>178</v>
      </c>
      <c r="I4473" s="70" t="s">
        <v>181</v>
      </c>
      <c r="J4473" s="71">
        <f>IF(OR(I4473=0,I4473=""),"unrated",VLOOKUP(I4473,MappingTables!$B$19:$C$31,2,FALSE))</f>
        <v>3</v>
      </c>
      <c r="K4473" s="72">
        <v>515.50759370992784</v>
      </c>
      <c r="L4473" s="70">
        <v>0.87505140768408944</v>
      </c>
      <c r="M4473" s="71">
        <f>IF(L4473&lt;1,1,L4473)</f>
        <v>1</v>
      </c>
      <c r="N4473" s="70" t="s">
        <v>141</v>
      </c>
      <c r="O4473" s="71">
        <f>INDEX(DurClassMapping,MATCH(M4473,MappingTables!$D$4:$D$8,-1),1)</f>
        <v>1</v>
      </c>
      <c r="P4473" s="73">
        <f>IF(M4473=$A$1,1,$M4473-INDEX(MappingTables!$E$4:$E$8,MATCH(O4473,MappingTables!$B$4:$B$8,0)))</f>
        <v>1</v>
      </c>
      <c r="Q4473" s="71">
        <f>IF(B4473="",0,INDEX(ModelParameters!$D$6:$K$10,MATCH($O4473,ModelParameters!$B$6:$B$10,0),MATCH($J4473,ModelParameters!$D$5:$K$5,0)))</f>
        <v>0.025</v>
      </c>
      <c r="R4473" s="71">
        <f>IF(B4473="",0,INDEX(ModelParameters!$D$13:$K$17,MATCH($O4473,ModelParameters!$B$13:$B$17,0),MATCH($J4473,ModelParameters!$D$5:$K$5,0)))</f>
        <v>0</v>
      </c>
      <c r="S4473" s="160">
        <f>IF(B4473="",0,MIN(IF($N4473="Other Bond TM",ModelParameters!$N$21,1)*(P4473*Q4473+R4473),1))</f>
        <v>0.025</v>
      </c>
      <c r="T4473" s="85">
        <f>IF(B4473="",0,$S4473*$K4473)</f>
        <v>12.887689842748196</v>
      </c>
      <c r="U4473" s="85">
        <f>IF(B4473="",0,IF(OR(H4473=MappingTables!$C$34,H4473=MappingTables!$C$35),T4473,0))</f>
        <v>0</v>
      </c>
      <c r="V4473" s="85">
        <f>IF(ISNA(IF(AND(VLOOKUP(CONCATENATE($D4473,$G4473),CSRFinput!$B:$E,4,0)=0,OR(H4473=MappingTables!$C$34,H4473=MappingTables!$C$35)),1,VLOOKUP(CONCATENATE($D4473,$G4473),CSRFinput!$B:$E,4,0))),0,IF(AND(VLOOKUP(CONCATENATE($D4473,$G4473),CSRFinput!$B:$E,4,0)=0,OR(H4473=MappingTables!$C$34,H4473=MappingTables!$C$35)),1,VLOOKUP(CONCATENATE($D4473,$G4473),CSRFinput!$B:$E,4,0)))</f>
        <v>0.054776304963434752</v>
      </c>
      <c r="W4473" s="85">
        <f>IF(B4473="",0,+$T4473*$V4473)</f>
        <v>0.70594002910053568</v>
      </c>
      <c r="X4473" s="85">
        <f>IF(B4473="",0,IF(OR(H4473=MappingTables!$C$34,H4473=MappingTables!$C$35),W4473,0))</f>
        <v>0</v>
      </c>
    </row>
    <row r="4474" spans="2:24" s="0" customFormat="0" ht="15">
      <c r="B4474" s="69" t="s">
        <v>952</v>
      </c>
      <c r="C4474" s="70" t="s">
        <v>953</v>
      </c>
      <c r="D4474" s="70" t="s">
        <v>1</v>
      </c>
      <c r="E4474" s="70" t="s">
        <v>1</v>
      </c>
      <c r="F4474" s="70"/>
      <c r="G4474" s="70" t="s">
        <v>61</v>
      </c>
      <c r="H4474" s="70" t="s">
        <v>178</v>
      </c>
      <c r="I4474" s="70" t="s">
        <v>181</v>
      </c>
      <c r="J4474" s="71">
        <f>IF(OR(I4474=0,I4474=""),"unrated",VLOOKUP(I4474,MappingTables!$B$19:$C$31,2,FALSE))</f>
        <v>3</v>
      </c>
      <c r="K4474" s="72">
        <v>0.0001832399894621782</v>
      </c>
      <c r="L4474" s="70">
        <v>0.99882306623870192</v>
      </c>
      <c r="M4474" s="71">
        <f>IF(L4474&lt;1,1,L4474)</f>
        <v>1</v>
      </c>
      <c r="N4474" s="70" t="s">
        <v>141</v>
      </c>
      <c r="O4474" s="71">
        <f>INDEX(DurClassMapping,MATCH(M4474,MappingTables!$D$4:$D$8,-1),1)</f>
        <v>1</v>
      </c>
      <c r="P4474" s="73">
        <f>IF(M4474=$A$1,1,$M4474-INDEX(MappingTables!$E$4:$E$8,MATCH(O4474,MappingTables!$B$4:$B$8,0)))</f>
        <v>1</v>
      </c>
      <c r="Q4474" s="71">
        <f>IF(B4474="",0,INDEX(ModelParameters!$D$6:$K$10,MATCH($O4474,ModelParameters!$B$6:$B$10,0),MATCH($J4474,ModelParameters!$D$5:$K$5,0)))</f>
        <v>0.025</v>
      </c>
      <c r="R4474" s="71">
        <f>IF(B4474="",0,INDEX(ModelParameters!$D$13:$K$17,MATCH($O4474,ModelParameters!$B$13:$B$17,0),MATCH($J4474,ModelParameters!$D$5:$K$5,0)))</f>
        <v>0</v>
      </c>
      <c r="S4474" s="160">
        <f>IF(B4474="",0,MIN(IF($N4474="Other Bond TM",ModelParameters!$N$21,1)*(P4474*Q4474+R4474),1))</f>
        <v>0.025</v>
      </c>
      <c r="T4474" s="85">
        <f>IF(B4474="",0,$S4474*$K4474)</f>
        <v>0.000004580999736554456</v>
      </c>
      <c r="U4474" s="85">
        <f>IF(B4474="",0,IF(OR(H4474=MappingTables!$C$34,H4474=MappingTables!$C$35),T4474,0))</f>
        <v>0</v>
      </c>
      <c r="V4474" s="85">
        <f>IF(ISNA(IF(AND(VLOOKUP(CONCATENATE($D4474,$G4474),CSRFinput!$B:$E,4,0)=0,OR(H4474=MappingTables!$C$34,H4474=MappingTables!$C$35)),1,VLOOKUP(CONCATENATE($D4474,$G4474),CSRFinput!$B:$E,4,0))),0,IF(AND(VLOOKUP(CONCATENATE($D4474,$G4474),CSRFinput!$B:$E,4,0)=0,OR(H4474=MappingTables!$C$34,H4474=MappingTables!$C$35)),1,VLOOKUP(CONCATENATE($D4474,$G4474),CSRFinput!$B:$E,4,0)))</f>
        <v>0.054776304963434752</v>
      </c>
      <c r="W4474" s="85">
        <f>IF(B4474="",0,+$T4474*$V4474)</f>
        <v>0.00000025093023860692112</v>
      </c>
      <c r="X4474" s="85">
        <f>IF(B4474="",0,IF(OR(H4474=MappingTables!$C$34,H4474=MappingTables!$C$35),W4474,0))</f>
        <v>0</v>
      </c>
    </row>
    <row r="4475" spans="2:24" s="0" customFormat="0" ht="15">
      <c r="B4475" s="69">
        <v>22943429</v>
      </c>
      <c r="C4475" s="70" t="s">
        <v>1835</v>
      </c>
      <c r="D4475" s="70" t="s">
        <v>1</v>
      </c>
      <c r="E4475" s="70" t="s">
        <v>1</v>
      </c>
      <c r="F4475" s="70"/>
      <c r="G4475" s="70" t="s">
        <v>61</v>
      </c>
      <c r="H4475" s="70" t="s">
        <v>178</v>
      </c>
      <c r="I4475" s="70" t="s">
        <v>179</v>
      </c>
      <c r="J4475" s="71">
        <f>IF(OR(I4475=0,I4475=""),"unrated",VLOOKUP(I4475,MappingTables!$B$19:$C$31,2,FALSE))</f>
        <v>4</v>
      </c>
      <c r="K4475" s="72">
        <v>253.63110694168044</v>
      </c>
      <c r="L4475" s="70">
        <v>1.2684422069926004</v>
      </c>
      <c r="M4475" s="71">
        <f>IF(L4475&lt;1,1,L4475)</f>
        <v>1.2684422069926004</v>
      </c>
      <c r="N4475" s="70" t="s">
        <v>141</v>
      </c>
      <c r="O4475" s="71">
        <f>INDEX(DurClassMapping,MATCH(M4475,MappingTables!$D$4:$D$8,-1),1)</f>
        <v>1</v>
      </c>
      <c r="P4475" s="73">
        <f>IF(M4475=$A$1,1,$M4475-INDEX(MappingTables!$E$4:$E$8,MATCH(O4475,MappingTables!$B$4:$B$8,0)))</f>
        <v>1.2684422069926004</v>
      </c>
      <c r="Q4475" s="71">
        <f>IF(B4475="",0,INDEX(ModelParameters!$D$6:$K$10,MATCH($O4475,ModelParameters!$B$6:$B$10,0),MATCH($J4475,ModelParameters!$D$5:$K$5,0)))</f>
        <v>0.045</v>
      </c>
      <c r="R4475" s="71">
        <f>IF(B4475="",0,INDEX(ModelParameters!$D$13:$K$17,MATCH($O4475,ModelParameters!$B$13:$B$17,0),MATCH($J4475,ModelParameters!$D$5:$K$5,0)))</f>
        <v>0</v>
      </c>
      <c r="S4475" s="160">
        <f>IF(B4475="",0,MIN(IF($N4475="Other Bond TM",ModelParameters!$N$21,1)*(P4475*Q4475+R4475),1))</f>
        <v>0.057079899314667016</v>
      </c>
      <c r="T4475" s="85">
        <f>IF(B4475="",0,$S4475*$K4475)</f>
        <v>14.477238047298662</v>
      </c>
      <c r="U4475" s="85">
        <f>IF(B4475="",0,IF(OR(H4475=MappingTables!$C$34,H4475=MappingTables!$C$35),T4475,0))</f>
        <v>0</v>
      </c>
      <c r="V4475" s="85">
        <f>IF(ISNA(IF(AND(VLOOKUP(CONCATENATE($D4475,$G4475),CSRFinput!$B:$E,4,0)=0,OR(H4475=MappingTables!$C$34,H4475=MappingTables!$C$35)),1,VLOOKUP(CONCATENATE($D4475,$G4475),CSRFinput!$B:$E,4,0))),0,IF(AND(VLOOKUP(CONCATENATE($D4475,$G4475),CSRFinput!$B:$E,4,0)=0,OR(H4475=MappingTables!$C$34,H4475=MappingTables!$C$35)),1,VLOOKUP(CONCATENATE($D4475,$G4475),CSRFinput!$B:$E,4,0)))</f>
        <v>0.054776304963434752</v>
      </c>
      <c r="W4475" s="85">
        <f>IF(B4475="",0,+$T4475*$V4475)</f>
        <v>0.79300960630707216</v>
      </c>
      <c r="X4475" s="85">
        <f>IF(B4475="",0,IF(OR(H4475=MappingTables!$C$34,H4475=MappingTables!$C$35),W4475,0))</f>
        <v>0</v>
      </c>
    </row>
    <row r="4476" spans="2:24" s="0" customFormat="0" ht="15">
      <c r="B4476" s="69">
        <v>19012867</v>
      </c>
      <c r="C4476" s="70" t="s">
        <v>205</v>
      </c>
      <c r="D4476" s="70" t="s">
        <v>1</v>
      </c>
      <c r="E4476" s="70" t="s">
        <v>1</v>
      </c>
      <c r="F4476" s="70"/>
      <c r="G4476" s="70" t="s">
        <v>61</v>
      </c>
      <c r="H4476" s="70" t="s">
        <v>178</v>
      </c>
      <c r="I4476" s="70" t="s">
        <v>179</v>
      </c>
      <c r="J4476" s="71">
        <f>IF(OR(I4476=0,I4476=""),"unrated",VLOOKUP(I4476,MappingTables!$B$19:$C$31,2,FALSE))</f>
        <v>4</v>
      </c>
      <c r="K4476" s="72">
        <v>247.51048666836864</v>
      </c>
      <c r="L4476" s="70">
        <v>1.0574947674120938</v>
      </c>
      <c r="M4476" s="71">
        <f>IF(L4476&lt;1,1,L4476)</f>
        <v>1.0574947674120938</v>
      </c>
      <c r="N4476" s="70" t="s">
        <v>141</v>
      </c>
      <c r="O4476" s="71">
        <f>INDEX(DurClassMapping,MATCH(M4476,MappingTables!$D$4:$D$8,-1),1)</f>
        <v>1</v>
      </c>
      <c r="P4476" s="73">
        <f>IF(M4476=$A$1,1,$M4476-INDEX(MappingTables!$E$4:$E$8,MATCH(O4476,MappingTables!$B$4:$B$8,0)))</f>
        <v>1.0574947674120938</v>
      </c>
      <c r="Q4476" s="71">
        <f>IF(B4476="",0,INDEX(ModelParameters!$D$6:$K$10,MATCH($O4476,ModelParameters!$B$6:$B$10,0),MATCH($J4476,ModelParameters!$D$5:$K$5,0)))</f>
        <v>0.045</v>
      </c>
      <c r="R4476" s="71">
        <f>IF(B4476="",0,INDEX(ModelParameters!$D$13:$K$17,MATCH($O4476,ModelParameters!$B$13:$B$17,0),MATCH($J4476,ModelParameters!$D$5:$K$5,0)))</f>
        <v>0</v>
      </c>
      <c r="S4476" s="160">
        <f>IF(B4476="",0,MIN(IF($N4476="Other Bond TM",ModelParameters!$N$21,1)*(P4476*Q4476+R4476),1))</f>
        <v>0.047587264533544216</v>
      </c>
      <c r="T4476" s="85">
        <f>IF(B4476="",0,$S4476*$K4476)</f>
        <v>11.778347003913928</v>
      </c>
      <c r="U4476" s="85">
        <f>IF(B4476="",0,IF(OR(H4476=MappingTables!$C$34,H4476=MappingTables!$C$35),T4476,0))</f>
        <v>0</v>
      </c>
      <c r="V4476" s="85">
        <f>IF(ISNA(IF(AND(VLOOKUP(CONCATENATE($D4476,$G4476),CSRFinput!$B:$E,4,0)=0,OR(H4476=MappingTables!$C$34,H4476=MappingTables!$C$35)),1,VLOOKUP(CONCATENATE($D4476,$G4476),CSRFinput!$B:$E,4,0))),0,IF(AND(VLOOKUP(CONCATENATE($D4476,$G4476),CSRFinput!$B:$E,4,0)=0,OR(H4476=MappingTables!$C$34,H4476=MappingTables!$C$35)),1,VLOOKUP(CONCATENATE($D4476,$G4476),CSRFinput!$B:$E,4,0)))</f>
        <v>0.054776304963434752</v>
      </c>
      <c r="W4476" s="85">
        <f>IF(B4476="",0,+$T4476*$V4476)</f>
        <v>0.64517432745154736</v>
      </c>
      <c r="X4476" s="85">
        <f>IF(B4476="",0,IF(OR(H4476=MappingTables!$C$34,H4476=MappingTables!$C$35),W4476,0))</f>
        <v>0</v>
      </c>
    </row>
    <row r="4477" spans="2:24" s="0" customFormat="0" ht="15">
      <c r="B4477" s="69">
        <v>19641203</v>
      </c>
      <c r="C4477" s="70" t="s">
        <v>2770</v>
      </c>
      <c r="D4477" s="70" t="s">
        <v>1</v>
      </c>
      <c r="E4477" s="70" t="s">
        <v>1</v>
      </c>
      <c r="F4477" s="70"/>
      <c r="G4477" s="70" t="s">
        <v>61</v>
      </c>
      <c r="H4477" s="70" t="s">
        <v>178</v>
      </c>
      <c r="I4477" s="70" t="s">
        <v>184</v>
      </c>
      <c r="J4477" s="71">
        <f>IF(OR(I4477=0,I4477=""),"unrated",VLOOKUP(I4477,MappingTables!$B$19:$C$31,2,FALSE))</f>
        <v>5</v>
      </c>
      <c r="K4477" s="72">
        <v>257.34241549577012</v>
      </c>
      <c r="L4477" s="70">
        <v>0.29315272995921236</v>
      </c>
      <c r="M4477" s="71">
        <f>IF(L4477&lt;1,1,L4477)</f>
        <v>1</v>
      </c>
      <c r="N4477" s="70" t="s">
        <v>141</v>
      </c>
      <c r="O4477" s="71">
        <f>INDEX(DurClassMapping,MATCH(M4477,MappingTables!$D$4:$D$8,-1),1)</f>
        <v>1</v>
      </c>
      <c r="P4477" s="73">
        <f>IF(M4477=$A$1,1,$M4477-INDEX(MappingTables!$E$4:$E$8,MATCH(O4477,MappingTables!$B$4:$B$8,0)))</f>
        <v>1</v>
      </c>
      <c r="Q4477" s="71">
        <f>IF(B4477="",0,INDEX(ModelParameters!$D$6:$K$10,MATCH($O4477,ModelParameters!$B$6:$B$10,0),MATCH($J4477,ModelParameters!$D$5:$K$5,0)))</f>
        <v>0.075</v>
      </c>
      <c r="R4477" s="71">
        <f>IF(B4477="",0,INDEX(ModelParameters!$D$13:$K$17,MATCH($O4477,ModelParameters!$B$13:$B$17,0),MATCH($J4477,ModelParameters!$D$5:$K$5,0)))</f>
        <v>0</v>
      </c>
      <c r="S4477" s="160">
        <f>IF(B4477="",0,MIN(IF($N4477="Other Bond TM",ModelParameters!$N$21,1)*(P4477*Q4477+R4477),1))</f>
        <v>0.075</v>
      </c>
      <c r="T4477" s="85">
        <f>IF(B4477="",0,$S4477*$K4477)</f>
        <v>19.30068116218276</v>
      </c>
      <c r="U4477" s="85">
        <f>IF(B4477="",0,IF(OR(H4477=MappingTables!$C$34,H4477=MappingTables!$C$35),T4477,0))</f>
        <v>0</v>
      </c>
      <c r="V4477" s="85">
        <f>IF(ISNA(IF(AND(VLOOKUP(CONCATENATE($D4477,$G4477),CSRFinput!$B:$E,4,0)=0,OR(H4477=MappingTables!$C$34,H4477=MappingTables!$C$35)),1,VLOOKUP(CONCATENATE($D4477,$G4477),CSRFinput!$B:$E,4,0))),0,IF(AND(VLOOKUP(CONCATENATE($D4477,$G4477),CSRFinput!$B:$E,4,0)=0,OR(H4477=MappingTables!$C$34,H4477=MappingTables!$C$35)),1,VLOOKUP(CONCATENATE($D4477,$G4477),CSRFinput!$B:$E,4,0)))</f>
        <v>0.054776304963434752</v>
      </c>
      <c r="W4477" s="85">
        <f>IF(B4477="",0,+$T4477*$V4477)</f>
        <v>1.0572199973417432</v>
      </c>
      <c r="X4477" s="85">
        <f>IF(B4477="",0,IF(OR(H4477=MappingTables!$C$34,H4477=MappingTables!$C$35),W4477,0))</f>
        <v>0</v>
      </c>
    </row>
    <row r="4478" spans="2:24" s="0" customFormat="0" ht="15">
      <c r="B4478" s="69">
        <v>21694766</v>
      </c>
      <c r="C4478" s="70" t="s">
        <v>1664</v>
      </c>
      <c r="D4478" s="70" t="s">
        <v>1</v>
      </c>
      <c r="E4478" s="70" t="s">
        <v>1</v>
      </c>
      <c r="F4478" s="70"/>
      <c r="G4478" s="70" t="s">
        <v>61</v>
      </c>
      <c r="H4478" s="70" t="s">
        <v>178</v>
      </c>
      <c r="I4478" s="70" t="s">
        <v>188</v>
      </c>
      <c r="J4478" s="71">
        <f>IF(OR(I4478=0,I4478=""),"unrated",VLOOKUP(I4478,MappingTables!$B$19:$C$31,2,FALSE))</f>
        <v>2</v>
      </c>
      <c r="K4478" s="72">
        <v>4457.6083194185008</v>
      </c>
      <c r="L4478" s="70">
        <v>1.9267297621716976</v>
      </c>
      <c r="M4478" s="71">
        <f>IF(L4478&lt;1,1,L4478)</f>
        <v>1.9267297621716976</v>
      </c>
      <c r="N4478" s="70" t="s">
        <v>141</v>
      </c>
      <c r="O4478" s="71">
        <f>INDEX(DurClassMapping,MATCH(M4478,MappingTables!$D$4:$D$8,-1),1)</f>
        <v>1</v>
      </c>
      <c r="P4478" s="73">
        <f>IF(M4478=$A$1,1,$M4478-INDEX(MappingTables!$E$4:$E$8,MATCH(O4478,MappingTables!$B$4:$B$8,0)))</f>
        <v>1.9267297621716976</v>
      </c>
      <c r="Q4478" s="71">
        <f>IF(B4478="",0,INDEX(ModelParameters!$D$6:$K$10,MATCH($O4478,ModelParameters!$B$6:$B$10,0),MATCH($J4478,ModelParameters!$D$5:$K$5,0)))</f>
        <v>0.013999999999999998</v>
      </c>
      <c r="R4478" s="71">
        <f>IF(B4478="",0,INDEX(ModelParameters!$D$13:$K$17,MATCH($O4478,ModelParameters!$B$13:$B$17,0),MATCH($J4478,ModelParameters!$D$5:$K$5,0)))</f>
        <v>0</v>
      </c>
      <c r="S4478" s="160">
        <f>IF(B4478="",0,MIN(IF($N4478="Other Bond TM",ModelParameters!$N$21,1)*(P4478*Q4478+R4478),1))</f>
        <v>0.026974216670403764</v>
      </c>
      <c r="T4478" s="85">
        <f>IF(B4478="",0,$S4478*$K4478)</f>
        <v>120.24049263978904</v>
      </c>
      <c r="U4478" s="85">
        <f>IF(B4478="",0,IF(OR(H4478=MappingTables!$C$34,H4478=MappingTables!$C$35),T4478,0))</f>
        <v>0</v>
      </c>
      <c r="V4478" s="85">
        <f>IF(ISNA(IF(AND(VLOOKUP(CONCATENATE($D4478,$G4478),CSRFinput!$B:$E,4,0)=0,OR(H4478=MappingTables!$C$34,H4478=MappingTables!$C$35)),1,VLOOKUP(CONCATENATE($D4478,$G4478),CSRFinput!$B:$E,4,0))),0,IF(AND(VLOOKUP(CONCATENATE($D4478,$G4478),CSRFinput!$B:$E,4,0)=0,OR(H4478=MappingTables!$C$34,H4478=MappingTables!$C$35)),1,VLOOKUP(CONCATENATE($D4478,$G4478),CSRFinput!$B:$E,4,0)))</f>
        <v>0.054776304963434752</v>
      </c>
      <c r="W4478" s="85">
        <f>IF(B4478="",0,+$T4478*$V4478)</f>
        <v>6.586329893790716</v>
      </c>
      <c r="X4478" s="85">
        <f>IF(B4478="",0,IF(OR(H4478=MappingTables!$C$34,H4478=MappingTables!$C$35),W4478,0))</f>
        <v>0</v>
      </c>
    </row>
    <row r="4479" spans="2:24" s="0" customFormat="0" ht="15">
      <c r="B4479" s="69" t="s">
        <v>2932</v>
      </c>
      <c r="C4479" s="70" t="s">
        <v>2933</v>
      </c>
      <c r="D4479" s="70" t="s">
        <v>1</v>
      </c>
      <c r="E4479" s="70" t="s">
        <v>1</v>
      </c>
      <c r="F4479" s="70"/>
      <c r="G4479" s="70" t="s">
        <v>61</v>
      </c>
      <c r="H4479" s="70" t="s">
        <v>178</v>
      </c>
      <c r="I4479" s="70" t="s">
        <v>198</v>
      </c>
      <c r="J4479" s="71" t="str">
        <f>IF(OR(I4479=0,I4479=""),"unrated",VLOOKUP(I4479,MappingTables!$B$19:$C$31,2,FALSE))</f>
        <v>unrated</v>
      </c>
      <c r="K4479" s="72">
        <v>0.84123226371608352</v>
      </c>
      <c r="L4479" s="70">
        <v>0.01369951522016813</v>
      </c>
      <c r="M4479" s="71">
        <f>IF(L4479&lt;1,1,L4479)</f>
        <v>1</v>
      </c>
      <c r="N4479" s="70" t="s">
        <v>141</v>
      </c>
      <c r="O4479" s="71">
        <f>INDEX(DurClassMapping,MATCH(M4479,MappingTables!$D$4:$D$8,-1),1)</f>
        <v>1</v>
      </c>
      <c r="P4479" s="73">
        <f>IF(M4479=$A$1,1,$M4479-INDEX(MappingTables!$E$4:$E$8,MATCH(O4479,MappingTables!$B$4:$B$8,0)))</f>
        <v>1</v>
      </c>
      <c r="Q4479" s="71">
        <f>IF(B4479="",0,INDEX(ModelParameters!$D$6:$K$10,MATCH($O4479,ModelParameters!$B$6:$B$10,0),MATCH($J4479,ModelParameters!$D$5:$K$5,0)))</f>
        <v>0.03</v>
      </c>
      <c r="R4479" s="71">
        <f>IF(B4479="",0,INDEX(ModelParameters!$D$13:$K$17,MATCH($O4479,ModelParameters!$B$13:$B$17,0),MATCH($J4479,ModelParameters!$D$5:$K$5,0)))</f>
        <v>0</v>
      </c>
      <c r="S4479" s="160">
        <f>IF(B4479="",0,MIN(IF($N4479="Other Bond TM",ModelParameters!$N$21,1)*(P4479*Q4479+R4479),1))</f>
        <v>0.03</v>
      </c>
      <c r="T4479" s="85">
        <f>IF(B4479="",0,$S4479*$K4479)</f>
        <v>0.025236967911482504</v>
      </c>
      <c r="U4479" s="85">
        <f>IF(B4479="",0,IF(OR(H4479=MappingTables!$C$34,H4479=MappingTables!$C$35),T4479,0))</f>
        <v>0</v>
      </c>
      <c r="V4479" s="85">
        <f>IF(ISNA(IF(AND(VLOOKUP(CONCATENATE($D4479,$G4479),CSRFinput!$B:$E,4,0)=0,OR(H4479=MappingTables!$C$34,H4479=MappingTables!$C$35)),1,VLOOKUP(CONCATENATE($D4479,$G4479),CSRFinput!$B:$E,4,0))),0,IF(AND(VLOOKUP(CONCATENATE($D4479,$G4479),CSRFinput!$B:$E,4,0)=0,OR(H4479=MappingTables!$C$34,H4479=MappingTables!$C$35)),1,VLOOKUP(CONCATENATE($D4479,$G4479),CSRFinput!$B:$E,4,0)))</f>
        <v>0.054776304963434752</v>
      </c>
      <c r="W4479" s="85">
        <f>IF(B4479="",0,+$T4479*$V4479)</f>
        <v>0.0013823878506717826</v>
      </c>
      <c r="X4479" s="85">
        <f>IF(B4479="",0,IF(OR(H4479=MappingTables!$C$34,H4479=MappingTables!$C$35),W4479,0))</f>
        <v>0</v>
      </c>
    </row>
    <row r="4480" spans="2:24" s="0" customFormat="0" ht="15">
      <c r="B4480" s="69">
        <v>14383860</v>
      </c>
      <c r="C4480" s="70" t="s">
        <v>2958</v>
      </c>
      <c r="D4480" s="70" t="s">
        <v>1</v>
      </c>
      <c r="E4480" s="70" t="s">
        <v>1</v>
      </c>
      <c r="F4480" s="70"/>
      <c r="G4480" s="70" t="s">
        <v>61</v>
      </c>
      <c r="H4480" s="70" t="s">
        <v>178</v>
      </c>
      <c r="I4480" s="70" t="s">
        <v>179</v>
      </c>
      <c r="J4480" s="71">
        <f>IF(OR(I4480=0,I4480=""),"unrated",VLOOKUP(I4480,MappingTables!$B$19:$C$31,2,FALSE))</f>
        <v>4</v>
      </c>
      <c r="K4480" s="72">
        <v>6699.8856355658032</v>
      </c>
      <c r="L4480" s="70">
        <v>6.8524717865540824</v>
      </c>
      <c r="M4480" s="71">
        <f>IF(L4480&lt;1,1,L4480)</f>
        <v>6.8524717865540824</v>
      </c>
      <c r="N4480" s="70" t="s">
        <v>141</v>
      </c>
      <c r="O4480" s="71">
        <f>INDEX(DurClassMapping,MATCH(M4480,MappingTables!$D$4:$D$8,-1),1)</f>
        <v>2</v>
      </c>
      <c r="P4480" s="73">
        <f>IF(M4480=$A$1,1,$M4480-INDEX(MappingTables!$E$4:$E$8,MATCH(O4480,MappingTables!$B$4:$B$8,0)))</f>
        <v>1.8524717865540828</v>
      </c>
      <c r="Q4480" s="71">
        <f>IF(B4480="",0,INDEX(ModelParameters!$D$6:$K$10,MATCH($O4480,ModelParameters!$B$6:$B$10,0),MATCH($J4480,ModelParameters!$D$5:$K$5,0)))</f>
        <v>0.025</v>
      </c>
      <c r="R4480" s="71">
        <f>IF(B4480="",0,INDEX(ModelParameters!$D$13:$K$17,MATCH($O4480,ModelParameters!$B$13:$B$17,0),MATCH($J4480,ModelParameters!$D$5:$K$5,0)))</f>
        <v>0.225</v>
      </c>
      <c r="S4480" s="160">
        <f>IF(B4480="",0,MIN(IF($N4480="Other Bond TM",ModelParameters!$N$21,1)*(P4480*Q4480+R4480),1))</f>
        <v>0.27131179466385208</v>
      </c>
      <c r="T4480" s="85">
        <f>IF(B4480="",0,$S4480*$K4480)</f>
        <v>1817.7579958279212</v>
      </c>
      <c r="U4480" s="85">
        <f>IF(B4480="",0,IF(OR(H4480=MappingTables!$C$34,H4480=MappingTables!$C$35),T4480,0))</f>
        <v>0</v>
      </c>
      <c r="V4480" s="85">
        <f>IF(ISNA(IF(AND(VLOOKUP(CONCATENATE($D4480,$G4480),CSRFinput!$B:$E,4,0)=0,OR(H4480=MappingTables!$C$34,H4480=MappingTables!$C$35)),1,VLOOKUP(CONCATENATE($D4480,$G4480),CSRFinput!$B:$E,4,0))),0,IF(AND(VLOOKUP(CONCATENATE($D4480,$G4480),CSRFinput!$B:$E,4,0)=0,OR(H4480=MappingTables!$C$34,H4480=MappingTables!$C$35)),1,VLOOKUP(CONCATENATE($D4480,$G4480),CSRFinput!$B:$E,4,0)))</f>
        <v>0.054776304963434752</v>
      </c>
      <c r="W4480" s="85">
        <f>IF(B4480="",0,+$T4480*$V4480)</f>
        <v>99.570066329192176</v>
      </c>
      <c r="X4480" s="85">
        <f>IF(B4480="",0,IF(OR(H4480=MappingTables!$C$34,H4480=MappingTables!$C$35),W4480,0))</f>
        <v>0</v>
      </c>
    </row>
    <row r="4481" spans="2:24" s="0" customFormat="0" ht="15">
      <c r="B4481" s="69">
        <v>18568285</v>
      </c>
      <c r="C4481" s="70" t="s">
        <v>2616</v>
      </c>
      <c r="D4481" s="70" t="s">
        <v>1</v>
      </c>
      <c r="E4481" s="70" t="s">
        <v>1</v>
      </c>
      <c r="F4481" s="70"/>
      <c r="G4481" s="70" t="s">
        <v>61</v>
      </c>
      <c r="H4481" s="70" t="s">
        <v>178</v>
      </c>
      <c r="I4481" s="70" t="s">
        <v>188</v>
      </c>
      <c r="J4481" s="71">
        <f>IF(OR(I4481=0,I4481=""),"unrated",VLOOKUP(I4481,MappingTables!$B$19:$C$31,2,FALSE))</f>
        <v>2</v>
      </c>
      <c r="K4481" s="72">
        <v>1271.4307573106478</v>
      </c>
      <c r="L4481" s="70">
        <v>0.86245920937477632</v>
      </c>
      <c r="M4481" s="71">
        <f>IF(L4481&lt;1,1,L4481)</f>
        <v>1</v>
      </c>
      <c r="N4481" s="70" t="s">
        <v>141</v>
      </c>
      <c r="O4481" s="71">
        <f>INDEX(DurClassMapping,MATCH(M4481,MappingTables!$D$4:$D$8,-1),1)</f>
        <v>1</v>
      </c>
      <c r="P4481" s="73">
        <f>IF(M4481=$A$1,1,$M4481-INDEX(MappingTables!$E$4:$E$8,MATCH(O4481,MappingTables!$B$4:$B$8,0)))</f>
        <v>1</v>
      </c>
      <c r="Q4481" s="71">
        <f>IF(B4481="",0,INDEX(ModelParameters!$D$6:$K$10,MATCH($O4481,ModelParameters!$B$6:$B$10,0),MATCH($J4481,ModelParameters!$D$5:$K$5,0)))</f>
        <v>0.013999999999999998</v>
      </c>
      <c r="R4481" s="71">
        <f>IF(B4481="",0,INDEX(ModelParameters!$D$13:$K$17,MATCH($O4481,ModelParameters!$B$13:$B$17,0),MATCH($J4481,ModelParameters!$D$5:$K$5,0)))</f>
        <v>0</v>
      </c>
      <c r="S4481" s="160">
        <f>IF(B4481="",0,MIN(IF($N4481="Other Bond TM",ModelParameters!$N$21,1)*(P4481*Q4481+R4481),1))</f>
        <v>0.013999999999999998</v>
      </c>
      <c r="T4481" s="85">
        <f>IF(B4481="",0,$S4481*$K4481)</f>
        <v>17.800030602349068</v>
      </c>
      <c r="U4481" s="85">
        <f>IF(B4481="",0,IF(OR(H4481=MappingTables!$C$34,H4481=MappingTables!$C$35),T4481,0))</f>
        <v>0</v>
      </c>
      <c r="V4481" s="85">
        <f>IF(ISNA(IF(AND(VLOOKUP(CONCATENATE($D4481,$G4481),CSRFinput!$B:$E,4,0)=0,OR(H4481=MappingTables!$C$34,H4481=MappingTables!$C$35)),1,VLOOKUP(CONCATENATE($D4481,$G4481),CSRFinput!$B:$E,4,0))),0,IF(AND(VLOOKUP(CONCATENATE($D4481,$G4481),CSRFinput!$B:$E,4,0)=0,OR(H4481=MappingTables!$C$34,H4481=MappingTables!$C$35)),1,VLOOKUP(CONCATENATE($D4481,$G4481),CSRFinput!$B:$E,4,0)))</f>
        <v>0.054776304963434752</v>
      </c>
      <c r="W4481" s="85">
        <f>IF(B4481="",0,+$T4481*$V4481)</f>
        <v>0.97501990463274384</v>
      </c>
      <c r="X4481" s="85">
        <f>IF(B4481="",0,IF(OR(H4481=MappingTables!$C$34,H4481=MappingTables!$C$35),W4481,0))</f>
        <v>0</v>
      </c>
    </row>
    <row r="4482" spans="2:24" s="0" customFormat="0" ht="15">
      <c r="B4482" s="69" t="s">
        <v>3016</v>
      </c>
      <c r="C4482" s="70" t="s">
        <v>3017</v>
      </c>
      <c r="D4482" s="70" t="s">
        <v>1</v>
      </c>
      <c r="E4482" s="70" t="s">
        <v>1</v>
      </c>
      <c r="F4482" s="70"/>
      <c r="G4482" s="70" t="s">
        <v>61</v>
      </c>
      <c r="H4482" s="70" t="s">
        <v>178</v>
      </c>
      <c r="I4482" s="70" t="s">
        <v>216</v>
      </c>
      <c r="J4482" s="71">
        <f>IF(OR(I4482=0,I4482=""),"unrated",VLOOKUP(I4482,MappingTables!$B$19:$C$31,2,FALSE))</f>
        <v>0</v>
      </c>
      <c r="K4482" s="72">
        <v>15473.182402211786</v>
      </c>
      <c r="L4482" s="70">
        <v>0.22465444264128364</v>
      </c>
      <c r="M4482" s="71">
        <f>IF(L4482&lt;1,1,L4482)</f>
        <v>1</v>
      </c>
      <c r="N4482" s="70" t="s">
        <v>141</v>
      </c>
      <c r="O4482" s="71">
        <f>INDEX(DurClassMapping,MATCH(M4482,MappingTables!$D$4:$D$8,-1),1)</f>
        <v>1</v>
      </c>
      <c r="P4482" s="73">
        <f>IF(M4482=$A$1,1,$M4482-INDEX(MappingTables!$E$4:$E$8,MATCH(O4482,MappingTables!$B$4:$B$8,0)))</f>
        <v>1</v>
      </c>
      <c r="Q4482" s="71">
        <f>IF(B4482="",0,INDEX(ModelParameters!$D$6:$K$10,MATCH($O4482,ModelParameters!$B$6:$B$10,0),MATCH($J4482,ModelParameters!$D$5:$K$5,0)))</f>
        <v>0.0090000000000000016</v>
      </c>
      <c r="R4482" s="71">
        <f>IF(B4482="",0,INDEX(ModelParameters!$D$13:$K$17,MATCH($O4482,ModelParameters!$B$13:$B$17,0),MATCH($J4482,ModelParameters!$D$5:$K$5,0)))</f>
        <v>0</v>
      </c>
      <c r="S4482" s="160">
        <f>IF(B4482="",0,MIN(IF($N4482="Other Bond TM",ModelParameters!$N$21,1)*(P4482*Q4482+R4482),1))</f>
        <v>0.0090000000000000016</v>
      </c>
      <c r="T4482" s="85">
        <f>IF(B4482="",0,$S4482*$K4482)</f>
        <v>139.25864161990608</v>
      </c>
      <c r="U4482" s="85">
        <f>IF(B4482="",0,IF(OR(H4482=MappingTables!$C$34,H4482=MappingTables!$C$35),T4482,0))</f>
        <v>0</v>
      </c>
      <c r="V4482" s="85">
        <f>IF(ISNA(IF(AND(VLOOKUP(CONCATENATE($D4482,$G4482),CSRFinput!$B:$E,4,0)=0,OR(H4482=MappingTables!$C$34,H4482=MappingTables!$C$35)),1,VLOOKUP(CONCATENATE($D4482,$G4482),CSRFinput!$B:$E,4,0))),0,IF(AND(VLOOKUP(CONCATENATE($D4482,$G4482),CSRFinput!$B:$E,4,0)=0,OR(H4482=MappingTables!$C$34,H4482=MappingTables!$C$35)),1,VLOOKUP(CONCATENATE($D4482,$G4482),CSRFinput!$B:$E,4,0)))</f>
        <v>0.054776304963434752</v>
      </c>
      <c r="W4482" s="85">
        <f>IF(B4482="",0,+$T4482*$V4482)</f>
        <v>7.6280738221656432</v>
      </c>
      <c r="X4482" s="85">
        <f>IF(B4482="",0,IF(OR(H4482=MappingTables!$C$34,H4482=MappingTables!$C$35),W4482,0))</f>
        <v>0</v>
      </c>
    </row>
    <row r="4483" spans="2:24" s="0" customFormat="0" ht="15">
      <c r="B4483" s="69">
        <v>23120391</v>
      </c>
      <c r="C4483" s="70" t="s">
        <v>2131</v>
      </c>
      <c r="D4483" s="70" t="s">
        <v>1</v>
      </c>
      <c r="E4483" s="70" t="s">
        <v>1</v>
      </c>
      <c r="F4483" s="70"/>
      <c r="G4483" s="70" t="s">
        <v>61</v>
      </c>
      <c r="H4483" s="70" t="s">
        <v>178</v>
      </c>
      <c r="I4483" s="70" t="s">
        <v>220</v>
      </c>
      <c r="J4483" s="71">
        <f>IF(OR(I4483=0,I4483=""),"unrated",VLOOKUP(I4483,MappingTables!$B$19:$C$31,2,FALSE))</f>
        <v>1</v>
      </c>
      <c r="K4483" s="72">
        <v>7971.7035718064464</v>
      </c>
      <c r="L4483" s="70">
        <v>0.11232533708832006</v>
      </c>
      <c r="M4483" s="71">
        <f>IF(L4483&lt;1,1,L4483)</f>
        <v>1</v>
      </c>
      <c r="N4483" s="70" t="s">
        <v>141</v>
      </c>
      <c r="O4483" s="71">
        <f>INDEX(DurClassMapping,MATCH(M4483,MappingTables!$D$4:$D$8,-1),1)</f>
        <v>1</v>
      </c>
      <c r="P4483" s="73">
        <f>IF(M4483=$A$1,1,$M4483-INDEX(MappingTables!$E$4:$E$8,MATCH(O4483,MappingTables!$B$4:$B$8,0)))</f>
        <v>1</v>
      </c>
      <c r="Q4483" s="71">
        <f>IF(B4483="",0,INDEX(ModelParameters!$D$6:$K$10,MATCH($O4483,ModelParameters!$B$6:$B$10,0),MATCH($J4483,ModelParameters!$D$5:$K$5,0)))</f>
        <v>0.011000000000000002</v>
      </c>
      <c r="R4483" s="71">
        <f>IF(B4483="",0,INDEX(ModelParameters!$D$13:$K$17,MATCH($O4483,ModelParameters!$B$13:$B$17,0),MATCH($J4483,ModelParameters!$D$5:$K$5,0)))</f>
        <v>0</v>
      </c>
      <c r="S4483" s="160">
        <f>IF(B4483="",0,MIN(IF($N4483="Other Bond TM",ModelParameters!$N$21,1)*(P4483*Q4483+R4483),1))</f>
        <v>0.011000000000000002</v>
      </c>
      <c r="T4483" s="85">
        <f>IF(B4483="",0,$S4483*$K4483)</f>
        <v>87.688739289870928</v>
      </c>
      <c r="U4483" s="85">
        <f>IF(B4483="",0,IF(OR(H4483=MappingTables!$C$34,H4483=MappingTables!$C$35),T4483,0))</f>
        <v>0</v>
      </c>
      <c r="V4483" s="85">
        <f>IF(ISNA(IF(AND(VLOOKUP(CONCATENATE($D4483,$G4483),CSRFinput!$B:$E,4,0)=0,OR(H4483=MappingTables!$C$34,H4483=MappingTables!$C$35)),1,VLOOKUP(CONCATENATE($D4483,$G4483),CSRFinput!$B:$E,4,0))),0,IF(AND(VLOOKUP(CONCATENATE($D4483,$G4483),CSRFinput!$B:$E,4,0)=0,OR(H4483=MappingTables!$C$34,H4483=MappingTables!$C$35)),1,VLOOKUP(CONCATENATE($D4483,$G4483),CSRFinput!$B:$E,4,0)))</f>
        <v>0.054776304963434752</v>
      </c>
      <c r="W4483" s="85">
        <f>IF(B4483="",0,+$T4483*$V4483)</f>
        <v>4.8032651252010928</v>
      </c>
      <c r="X4483" s="85">
        <f>IF(B4483="",0,IF(OR(H4483=MappingTables!$C$34,H4483=MappingTables!$C$35),W4483,0))</f>
        <v>0</v>
      </c>
    </row>
    <row r="4484" spans="2:24" s="0" customFormat="0" ht="15">
      <c r="B4484" s="69">
        <v>24824154</v>
      </c>
      <c r="C4484" s="70" t="s">
        <v>2588</v>
      </c>
      <c r="D4484" s="70" t="s">
        <v>1</v>
      </c>
      <c r="E4484" s="70" t="s">
        <v>1</v>
      </c>
      <c r="F4484" s="70"/>
      <c r="G4484" s="70" t="s">
        <v>61</v>
      </c>
      <c r="H4484" s="70" t="s">
        <v>178</v>
      </c>
      <c r="I4484" s="70" t="s">
        <v>220</v>
      </c>
      <c r="J4484" s="71">
        <f>IF(OR(I4484=0,I4484=""),"unrated",VLOOKUP(I4484,MappingTables!$B$19:$C$31,2,FALSE))</f>
        <v>1</v>
      </c>
      <c r="K4484" s="72">
        <v>8040.5389319491328</v>
      </c>
      <c r="L4484" s="70">
        <v>0.03561736635092956</v>
      </c>
      <c r="M4484" s="71">
        <f>IF(L4484&lt;1,1,L4484)</f>
        <v>1</v>
      </c>
      <c r="N4484" s="70" t="s">
        <v>141</v>
      </c>
      <c r="O4484" s="71">
        <f>INDEX(DurClassMapping,MATCH(M4484,MappingTables!$D$4:$D$8,-1),1)</f>
        <v>1</v>
      </c>
      <c r="P4484" s="73">
        <f>IF(M4484=$A$1,1,$M4484-INDEX(MappingTables!$E$4:$E$8,MATCH(O4484,MappingTables!$B$4:$B$8,0)))</f>
        <v>1</v>
      </c>
      <c r="Q4484" s="71">
        <f>IF(B4484="",0,INDEX(ModelParameters!$D$6:$K$10,MATCH($O4484,ModelParameters!$B$6:$B$10,0),MATCH($J4484,ModelParameters!$D$5:$K$5,0)))</f>
        <v>0.011000000000000002</v>
      </c>
      <c r="R4484" s="71">
        <f>IF(B4484="",0,INDEX(ModelParameters!$D$13:$K$17,MATCH($O4484,ModelParameters!$B$13:$B$17,0),MATCH($J4484,ModelParameters!$D$5:$K$5,0)))</f>
        <v>0</v>
      </c>
      <c r="S4484" s="160">
        <f>IF(B4484="",0,MIN(IF($N4484="Other Bond TM",ModelParameters!$N$21,1)*(P4484*Q4484+R4484),1))</f>
        <v>0.011000000000000002</v>
      </c>
      <c r="T4484" s="85">
        <f>IF(B4484="",0,$S4484*$K4484)</f>
        <v>88.44592825144048</v>
      </c>
      <c r="U4484" s="85">
        <f>IF(B4484="",0,IF(OR(H4484=MappingTables!$C$34,H4484=MappingTables!$C$35),T4484,0))</f>
        <v>0</v>
      </c>
      <c r="V4484" s="85">
        <f>IF(ISNA(IF(AND(VLOOKUP(CONCATENATE($D4484,$G4484),CSRFinput!$B:$E,4,0)=0,OR(H4484=MappingTables!$C$34,H4484=MappingTables!$C$35)),1,VLOOKUP(CONCATENATE($D4484,$G4484),CSRFinput!$B:$E,4,0))),0,IF(AND(VLOOKUP(CONCATENATE($D4484,$G4484),CSRFinput!$B:$E,4,0)=0,OR(H4484=MappingTables!$C$34,H4484=MappingTables!$C$35)),1,VLOOKUP(CONCATENATE($D4484,$G4484),CSRFinput!$B:$E,4,0)))</f>
        <v>0.054776304963434752</v>
      </c>
      <c r="W4484" s="85">
        <f>IF(B4484="",0,+$T4484*$V4484)</f>
        <v>4.8447411386749728</v>
      </c>
      <c r="X4484" s="85">
        <f>IF(B4484="",0,IF(OR(H4484=MappingTables!$C$34,H4484=MappingTables!$C$35),W4484,0))</f>
        <v>0</v>
      </c>
    </row>
    <row r="4485" spans="2:24" s="0" customFormat="0" ht="15">
      <c r="B4485" s="69" t="s">
        <v>2663</v>
      </c>
      <c r="C4485" s="70" t="s">
        <v>2664</v>
      </c>
      <c r="D4485" s="70" t="s">
        <v>1</v>
      </c>
      <c r="E4485" s="70" t="s">
        <v>1</v>
      </c>
      <c r="F4485" s="70"/>
      <c r="G4485" s="70" t="s">
        <v>61</v>
      </c>
      <c r="H4485" s="70" t="s">
        <v>178</v>
      </c>
      <c r="I4485" s="70" t="s">
        <v>181</v>
      </c>
      <c r="J4485" s="71">
        <f>IF(OR(I4485=0,I4485=""),"unrated",VLOOKUP(I4485,MappingTables!$B$19:$C$31,2,FALSE))</f>
        <v>3</v>
      </c>
      <c r="K4485" s="72">
        <v>0.60485573349156184</v>
      </c>
      <c r="L4485" s="70">
        <v>0.99727787499471888</v>
      </c>
      <c r="M4485" s="71">
        <f>IF(L4485&lt;1,1,L4485)</f>
        <v>1</v>
      </c>
      <c r="N4485" s="70" t="s">
        <v>141</v>
      </c>
      <c r="O4485" s="71">
        <f>INDEX(DurClassMapping,MATCH(M4485,MappingTables!$D$4:$D$8,-1),1)</f>
        <v>1</v>
      </c>
      <c r="P4485" s="73">
        <f>IF(M4485=$A$1,1,$M4485-INDEX(MappingTables!$E$4:$E$8,MATCH(O4485,MappingTables!$B$4:$B$8,0)))</f>
        <v>1</v>
      </c>
      <c r="Q4485" s="71">
        <f>IF(B4485="",0,INDEX(ModelParameters!$D$6:$K$10,MATCH($O4485,ModelParameters!$B$6:$B$10,0),MATCH($J4485,ModelParameters!$D$5:$K$5,0)))</f>
        <v>0.025</v>
      </c>
      <c r="R4485" s="71">
        <f>IF(B4485="",0,INDEX(ModelParameters!$D$13:$K$17,MATCH($O4485,ModelParameters!$B$13:$B$17,0),MATCH($J4485,ModelParameters!$D$5:$K$5,0)))</f>
        <v>0</v>
      </c>
      <c r="S4485" s="160">
        <f>IF(B4485="",0,MIN(IF($N4485="Other Bond TM",ModelParameters!$N$21,1)*(P4485*Q4485+R4485),1))</f>
        <v>0.025</v>
      </c>
      <c r="T4485" s="85">
        <f>IF(B4485="",0,$S4485*$K4485)</f>
        <v>0.015121393337289048</v>
      </c>
      <c r="U4485" s="85">
        <f>IF(B4485="",0,IF(OR(H4485=MappingTables!$C$34,H4485=MappingTables!$C$35),T4485,0))</f>
        <v>0</v>
      </c>
      <c r="V4485" s="85">
        <f>IF(ISNA(IF(AND(VLOOKUP(CONCATENATE($D4485,$G4485),CSRFinput!$B:$E,4,0)=0,OR(H4485=MappingTables!$C$34,H4485=MappingTables!$C$35)),1,VLOOKUP(CONCATENATE($D4485,$G4485),CSRFinput!$B:$E,4,0))),0,IF(AND(VLOOKUP(CONCATENATE($D4485,$G4485),CSRFinput!$B:$E,4,0)=0,OR(H4485=MappingTables!$C$34,H4485=MappingTables!$C$35)),1,VLOOKUP(CONCATENATE($D4485,$G4485),CSRFinput!$B:$E,4,0)))</f>
        <v>0.054776304963434752</v>
      </c>
      <c r="W4485" s="85">
        <f>IF(B4485="",0,+$T4485*$V4485)</f>
        <v>0.00082829405291539536</v>
      </c>
      <c r="X4485" s="85">
        <f>IF(B4485="",0,IF(OR(H4485=MappingTables!$C$34,H4485=MappingTables!$C$35),W4485,0))</f>
        <v>0</v>
      </c>
    </row>
    <row r="4486" spans="2:24" s="0" customFormat="0" ht="15">
      <c r="B4486" s="69" t="s">
        <v>1717</v>
      </c>
      <c r="C4486" s="70" t="s">
        <v>1718</v>
      </c>
      <c r="D4486" s="70" t="s">
        <v>1</v>
      </c>
      <c r="E4486" s="70" t="s">
        <v>1</v>
      </c>
      <c r="F4486" s="70"/>
      <c r="G4486" s="70" t="s">
        <v>61</v>
      </c>
      <c r="H4486" s="70" t="s">
        <v>178</v>
      </c>
      <c r="I4486" s="70" t="s">
        <v>181</v>
      </c>
      <c r="J4486" s="71">
        <f>IF(OR(I4486=0,I4486=""),"unrated",VLOOKUP(I4486,MappingTables!$B$19:$C$31,2,FALSE))</f>
        <v>3</v>
      </c>
      <c r="K4486" s="72">
        <v>2973.8402878833732</v>
      </c>
      <c r="L4486" s="70">
        <v>3.57991001072734</v>
      </c>
      <c r="M4486" s="71">
        <f>IF(L4486&lt;1,1,L4486)</f>
        <v>3.57991001072734</v>
      </c>
      <c r="N4486" s="70" t="s">
        <v>141</v>
      </c>
      <c r="O4486" s="71">
        <f>INDEX(DurClassMapping,MATCH(M4486,MappingTables!$D$4:$D$8,-1),1)</f>
        <v>1</v>
      </c>
      <c r="P4486" s="73">
        <f>IF(M4486=$A$1,1,$M4486-INDEX(MappingTables!$E$4:$E$8,MATCH(O4486,MappingTables!$B$4:$B$8,0)))</f>
        <v>3.57991001072734</v>
      </c>
      <c r="Q4486" s="71">
        <f>IF(B4486="",0,INDEX(ModelParameters!$D$6:$K$10,MATCH($O4486,ModelParameters!$B$6:$B$10,0),MATCH($J4486,ModelParameters!$D$5:$K$5,0)))</f>
        <v>0.025</v>
      </c>
      <c r="R4486" s="71">
        <f>IF(B4486="",0,INDEX(ModelParameters!$D$13:$K$17,MATCH($O4486,ModelParameters!$B$13:$B$17,0),MATCH($J4486,ModelParameters!$D$5:$K$5,0)))</f>
        <v>0</v>
      </c>
      <c r="S4486" s="160">
        <f>IF(B4486="",0,MIN(IF($N4486="Other Bond TM",ModelParameters!$N$21,1)*(P4486*Q4486+R4486),1))</f>
        <v>0.089497750268183504</v>
      </c>
      <c r="T4486" s="85">
        <f>IF(B4486="",0,$S4486*$K4486)</f>
        <v>266.15201542244904</v>
      </c>
      <c r="U4486" s="85">
        <f>IF(B4486="",0,IF(OR(H4486=MappingTables!$C$34,H4486=MappingTables!$C$35),T4486,0))</f>
        <v>0</v>
      </c>
      <c r="V4486" s="85">
        <f>IF(ISNA(IF(AND(VLOOKUP(CONCATENATE($D4486,$G4486),CSRFinput!$B:$E,4,0)=0,OR(H4486=MappingTables!$C$34,H4486=MappingTables!$C$35)),1,VLOOKUP(CONCATENATE($D4486,$G4486),CSRFinput!$B:$E,4,0))),0,IF(AND(VLOOKUP(CONCATENATE($D4486,$G4486),CSRFinput!$B:$E,4,0)=0,OR(H4486=MappingTables!$C$34,H4486=MappingTables!$C$35)),1,VLOOKUP(CONCATENATE($D4486,$G4486),CSRFinput!$B:$E,4,0)))</f>
        <v>0.054776304963434752</v>
      </c>
      <c r="W4486" s="85">
        <f>IF(B4486="",0,+$T4486*$V4486)</f>
        <v>14.578823963412858</v>
      </c>
      <c r="X4486" s="85">
        <f>IF(B4486="",0,IF(OR(H4486=MappingTables!$C$34,H4486=MappingTables!$C$35),W4486,0))</f>
        <v>0</v>
      </c>
    </row>
    <row r="4487" spans="2:24" s="0" customFormat="0" ht="15">
      <c r="B4487" s="69" t="s">
        <v>2296</v>
      </c>
      <c r="C4487" s="70" t="s">
        <v>2297</v>
      </c>
      <c r="D4487" s="70" t="s">
        <v>1</v>
      </c>
      <c r="E4487" s="70" t="s">
        <v>1</v>
      </c>
      <c r="F4487" s="70"/>
      <c r="G4487" s="70" t="s">
        <v>61</v>
      </c>
      <c r="H4487" s="70" t="s">
        <v>178</v>
      </c>
      <c r="I4487" s="70" t="s">
        <v>198</v>
      </c>
      <c r="J4487" s="71" t="str">
        <f>IF(OR(I4487=0,I4487=""),"unrated",VLOOKUP(I4487,MappingTables!$B$19:$C$31,2,FALSE))</f>
        <v>unrated</v>
      </c>
      <c r="K4487" s="72">
        <v>794.30534752365696</v>
      </c>
      <c r="L4487" s="70">
        <v>0.087671319258824272</v>
      </c>
      <c r="M4487" s="71">
        <f>IF(L4487&lt;1,1,L4487)</f>
        <v>1</v>
      </c>
      <c r="N4487" s="70" t="s">
        <v>141</v>
      </c>
      <c r="O4487" s="71">
        <f>INDEX(DurClassMapping,MATCH(M4487,MappingTables!$D$4:$D$8,-1),1)</f>
        <v>1</v>
      </c>
      <c r="P4487" s="73">
        <f>IF(M4487=$A$1,1,$M4487-INDEX(MappingTables!$E$4:$E$8,MATCH(O4487,MappingTables!$B$4:$B$8,0)))</f>
        <v>1</v>
      </c>
      <c r="Q4487" s="71">
        <f>IF(B4487="",0,INDEX(ModelParameters!$D$6:$K$10,MATCH($O4487,ModelParameters!$B$6:$B$10,0),MATCH($J4487,ModelParameters!$D$5:$K$5,0)))</f>
        <v>0.03</v>
      </c>
      <c r="R4487" s="71">
        <f>IF(B4487="",0,INDEX(ModelParameters!$D$13:$K$17,MATCH($O4487,ModelParameters!$B$13:$B$17,0),MATCH($J4487,ModelParameters!$D$5:$K$5,0)))</f>
        <v>0</v>
      </c>
      <c r="S4487" s="160">
        <f>IF(B4487="",0,MIN(IF($N4487="Other Bond TM",ModelParameters!$N$21,1)*(P4487*Q4487+R4487),1))</f>
        <v>0.03</v>
      </c>
      <c r="T4487" s="85">
        <f>IF(B4487="",0,$S4487*$K4487)</f>
        <v>23.829160425709708</v>
      </c>
      <c r="U4487" s="85">
        <f>IF(B4487="",0,IF(OR(H4487=MappingTables!$C$34,H4487=MappingTables!$C$35),T4487,0))</f>
        <v>0</v>
      </c>
      <c r="V4487" s="85">
        <f>IF(ISNA(IF(AND(VLOOKUP(CONCATENATE($D4487,$G4487),CSRFinput!$B:$E,4,0)=0,OR(H4487=MappingTables!$C$34,H4487=MappingTables!$C$35)),1,VLOOKUP(CONCATENATE($D4487,$G4487),CSRFinput!$B:$E,4,0))),0,IF(AND(VLOOKUP(CONCATENATE($D4487,$G4487),CSRFinput!$B:$E,4,0)=0,OR(H4487=MappingTables!$C$34,H4487=MappingTables!$C$35)),1,VLOOKUP(CONCATENATE($D4487,$G4487),CSRFinput!$B:$E,4,0)))</f>
        <v>0.054776304963434752</v>
      </c>
      <c r="W4487" s="85">
        <f>IF(B4487="",0,+$T4487*$V4487)</f>
        <v>1.3052733585012856</v>
      </c>
      <c r="X4487" s="85">
        <f>IF(B4487="",0,IF(OR(H4487=MappingTables!$C$34,H4487=MappingTables!$C$35),W4487,0))</f>
        <v>0</v>
      </c>
    </row>
    <row r="4488" spans="2:24" s="0" customFormat="0" ht="15">
      <c r="B4488" s="69">
        <v>12365026</v>
      </c>
      <c r="C4488" s="70" t="s">
        <v>1081</v>
      </c>
      <c r="D4488" s="70" t="s">
        <v>1</v>
      </c>
      <c r="E4488" s="70" t="s">
        <v>1</v>
      </c>
      <c r="F4488" s="70"/>
      <c r="G4488" s="70" t="s">
        <v>61</v>
      </c>
      <c r="H4488" s="70" t="s">
        <v>178</v>
      </c>
      <c r="I4488" s="70" t="s">
        <v>184</v>
      </c>
      <c r="J4488" s="71">
        <f>IF(OR(I4488=0,I4488=""),"unrated",VLOOKUP(I4488,MappingTables!$B$19:$C$31,2,FALSE))</f>
        <v>5</v>
      </c>
      <c r="K4488" s="72">
        <v>396.00200496797896</v>
      </c>
      <c r="L4488" s="70">
        <v>4.7261836391605776</v>
      </c>
      <c r="M4488" s="71">
        <f>IF(L4488&lt;1,1,L4488)</f>
        <v>4.7261836391605776</v>
      </c>
      <c r="N4488" s="70" t="s">
        <v>141</v>
      </c>
      <c r="O4488" s="71">
        <f>INDEX(DurClassMapping,MATCH(M4488,MappingTables!$D$4:$D$8,-1),1)</f>
        <v>1</v>
      </c>
      <c r="P4488" s="73">
        <f>IF(M4488=$A$1,1,$M4488-INDEX(MappingTables!$E$4:$E$8,MATCH(O4488,MappingTables!$B$4:$B$8,0)))</f>
        <v>4.7261836391605776</v>
      </c>
      <c r="Q4488" s="71">
        <f>IF(B4488="",0,INDEX(ModelParameters!$D$6:$K$10,MATCH($O4488,ModelParameters!$B$6:$B$10,0),MATCH($J4488,ModelParameters!$D$5:$K$5,0)))</f>
        <v>0.075</v>
      </c>
      <c r="R4488" s="71">
        <f>IF(B4488="",0,INDEX(ModelParameters!$D$13:$K$17,MATCH($O4488,ModelParameters!$B$13:$B$17,0),MATCH($J4488,ModelParameters!$D$5:$K$5,0)))</f>
        <v>0</v>
      </c>
      <c r="S4488" s="160">
        <f>IF(B4488="",0,MIN(IF($N4488="Other Bond TM",ModelParameters!$N$21,1)*(P4488*Q4488+R4488),1))</f>
        <v>0.35446377293704328</v>
      </c>
      <c r="T4488" s="85">
        <f>IF(B4488="",0,$S4488*$K4488)</f>
        <v>140.36836477158358</v>
      </c>
      <c r="U4488" s="85">
        <f>IF(B4488="",0,IF(OR(H4488=MappingTables!$C$34,H4488=MappingTables!$C$35),T4488,0))</f>
        <v>0</v>
      </c>
      <c r="V4488" s="85">
        <f>IF(ISNA(IF(AND(VLOOKUP(CONCATENATE($D4488,$G4488),CSRFinput!$B:$E,4,0)=0,OR(H4488=MappingTables!$C$34,H4488=MappingTables!$C$35)),1,VLOOKUP(CONCATENATE($D4488,$G4488),CSRFinput!$B:$E,4,0))),0,IF(AND(VLOOKUP(CONCATENATE($D4488,$G4488),CSRFinput!$B:$E,4,0)=0,OR(H4488=MappingTables!$C$34,H4488=MappingTables!$C$35)),1,VLOOKUP(CONCATENATE($D4488,$G4488),CSRFinput!$B:$E,4,0)))</f>
        <v>0.054776304963434752</v>
      </c>
      <c r="W4488" s="85">
        <f>IF(B4488="",0,+$T4488*$V4488)</f>
        <v>7.6888603559469136</v>
      </c>
      <c r="X4488" s="85">
        <f>IF(B4488="",0,IF(OR(H4488=MappingTables!$C$34,H4488=MappingTables!$C$35),W4488,0))</f>
        <v>0</v>
      </c>
    </row>
    <row r="4489" spans="2:24" s="0" customFormat="0" ht="15">
      <c r="B4489" s="69" t="s">
        <v>3014</v>
      </c>
      <c r="C4489" s="70" t="s">
        <v>3015</v>
      </c>
      <c r="D4489" s="70" t="s">
        <v>1</v>
      </c>
      <c r="E4489" s="70" t="s">
        <v>1</v>
      </c>
      <c r="F4489" s="70"/>
      <c r="G4489" s="70" t="s">
        <v>61</v>
      </c>
      <c r="H4489" s="70" t="s">
        <v>178</v>
      </c>
      <c r="I4489" s="70" t="s">
        <v>198</v>
      </c>
      <c r="J4489" s="71" t="str">
        <f>IF(OR(I4489=0,I4489=""),"unrated",VLOOKUP(I4489,MappingTables!$B$19:$C$31,2,FALSE))</f>
        <v>unrated</v>
      </c>
      <c r="K4489" s="72">
        <v>0.12048355868525392</v>
      </c>
      <c r="L4489" s="70">
        <v>0.032876796779128652</v>
      </c>
      <c r="M4489" s="71">
        <f>IF(L4489&lt;1,1,L4489)</f>
        <v>1</v>
      </c>
      <c r="N4489" s="70" t="s">
        <v>141</v>
      </c>
      <c r="O4489" s="71">
        <f>INDEX(DurClassMapping,MATCH(M4489,MappingTables!$D$4:$D$8,-1),1)</f>
        <v>1</v>
      </c>
      <c r="P4489" s="73">
        <f>IF(M4489=$A$1,1,$M4489-INDEX(MappingTables!$E$4:$E$8,MATCH(O4489,MappingTables!$B$4:$B$8,0)))</f>
        <v>1</v>
      </c>
      <c r="Q4489" s="71">
        <f>IF(B4489="",0,INDEX(ModelParameters!$D$6:$K$10,MATCH($O4489,ModelParameters!$B$6:$B$10,0),MATCH($J4489,ModelParameters!$D$5:$K$5,0)))</f>
        <v>0.03</v>
      </c>
      <c r="R4489" s="71">
        <f>IF(B4489="",0,INDEX(ModelParameters!$D$13:$K$17,MATCH($O4489,ModelParameters!$B$13:$B$17,0),MATCH($J4489,ModelParameters!$D$5:$K$5,0)))</f>
        <v>0</v>
      </c>
      <c r="S4489" s="160">
        <f>IF(B4489="",0,MIN(IF($N4489="Other Bond TM",ModelParameters!$N$21,1)*(P4489*Q4489+R4489),1))</f>
        <v>0.03</v>
      </c>
      <c r="T4489" s="85">
        <f>IF(B4489="",0,$S4489*$K4489)</f>
        <v>0.0036145067605576176</v>
      </c>
      <c r="U4489" s="85">
        <f>IF(B4489="",0,IF(OR(H4489=MappingTables!$C$34,H4489=MappingTables!$C$35),T4489,0))</f>
        <v>0</v>
      </c>
      <c r="V4489" s="85">
        <f>IF(ISNA(IF(AND(VLOOKUP(CONCATENATE($D4489,$G4489),CSRFinput!$B:$E,4,0)=0,OR(H4489=MappingTables!$C$34,H4489=MappingTables!$C$35)),1,VLOOKUP(CONCATENATE($D4489,$G4489),CSRFinput!$B:$E,4,0))),0,IF(AND(VLOOKUP(CONCATENATE($D4489,$G4489),CSRFinput!$B:$E,4,0)=0,OR(H4489=MappingTables!$C$34,H4489=MappingTables!$C$35)),1,VLOOKUP(CONCATENATE($D4489,$G4489),CSRFinput!$B:$E,4,0)))</f>
        <v>0.054776304963434752</v>
      </c>
      <c r="W4489" s="85">
        <f>IF(B4489="",0,+$T4489*$V4489)</f>
        <v>0.00019798932460870068</v>
      </c>
      <c r="X4489" s="85">
        <f>IF(B4489="",0,IF(OR(H4489=MappingTables!$C$34,H4489=MappingTables!$C$35),W4489,0))</f>
        <v>0</v>
      </c>
    </row>
    <row r="4490" spans="2:24" s="0" customFormat="0" ht="15">
      <c r="B4490" s="69">
        <v>13315410</v>
      </c>
      <c r="C4490" s="70" t="s">
        <v>1411</v>
      </c>
      <c r="D4490" s="70" t="s">
        <v>1</v>
      </c>
      <c r="E4490" s="70" t="s">
        <v>1</v>
      </c>
      <c r="F4490" s="70"/>
      <c r="G4490" s="70" t="s">
        <v>61</v>
      </c>
      <c r="H4490" s="70" t="s">
        <v>178</v>
      </c>
      <c r="I4490" s="70" t="s">
        <v>181</v>
      </c>
      <c r="J4490" s="71">
        <f>IF(OR(I4490=0,I4490=""),"unrated",VLOOKUP(I4490,MappingTables!$B$19:$C$31,2,FALSE))</f>
        <v>3</v>
      </c>
      <c r="K4490" s="72">
        <v>13090.258937187558</v>
      </c>
      <c r="L4490" s="70">
        <v>5.4418008338619768</v>
      </c>
      <c r="M4490" s="71">
        <f>IF(L4490&lt;1,1,L4490)</f>
        <v>5.4418008338619768</v>
      </c>
      <c r="N4490" s="70" t="s">
        <v>141</v>
      </c>
      <c r="O4490" s="71">
        <f>INDEX(DurClassMapping,MATCH(M4490,MappingTables!$D$4:$D$8,-1),1)</f>
        <v>2</v>
      </c>
      <c r="P4490" s="73">
        <f>IF(M4490=$A$1,1,$M4490-INDEX(MappingTables!$E$4:$E$8,MATCH(O4490,MappingTables!$B$4:$B$8,0)))</f>
        <v>0.44180083386197656</v>
      </c>
      <c r="Q4490" s="71">
        <f>IF(B4490="",0,INDEX(ModelParameters!$D$6:$K$10,MATCH($O4490,ModelParameters!$B$6:$B$10,0),MATCH($J4490,ModelParameters!$D$5:$K$5,0)))</f>
        <v>0.015</v>
      </c>
      <c r="R4490" s="71">
        <f>IF(B4490="",0,INDEX(ModelParameters!$D$13:$K$17,MATCH($O4490,ModelParameters!$B$13:$B$17,0),MATCH($J4490,ModelParameters!$D$5:$K$5,0)))</f>
        <v>0.125</v>
      </c>
      <c r="S4490" s="160">
        <f>IF(B4490="",0,MIN(IF($N4490="Other Bond TM",ModelParameters!$N$21,1)*(P4490*Q4490+R4490),1))</f>
        <v>0.13162701250792966</v>
      </c>
      <c r="T4490" s="85">
        <f>IF(B4490="",0,$S4490*$K4490)</f>
        <v>1723.0316768572248</v>
      </c>
      <c r="U4490" s="85">
        <f>IF(B4490="",0,IF(OR(H4490=MappingTables!$C$34,H4490=MappingTables!$C$35),T4490,0))</f>
        <v>0</v>
      </c>
      <c r="V4490" s="85">
        <f>IF(ISNA(IF(AND(VLOOKUP(CONCATENATE($D4490,$G4490),CSRFinput!$B:$E,4,0)=0,OR(H4490=MappingTables!$C$34,H4490=MappingTables!$C$35)),1,VLOOKUP(CONCATENATE($D4490,$G4490),CSRFinput!$B:$E,4,0))),0,IF(AND(VLOOKUP(CONCATENATE($D4490,$G4490),CSRFinput!$B:$E,4,0)=0,OR(H4490=MappingTables!$C$34,H4490=MappingTables!$C$35)),1,VLOOKUP(CONCATENATE($D4490,$G4490),CSRFinput!$B:$E,4,0)))</f>
        <v>0.054776304963434752</v>
      </c>
      <c r="W4490" s="85">
        <f>IF(B4490="",0,+$T4490*$V4490)</f>
        <v>94.381308593189696</v>
      </c>
      <c r="X4490" s="85">
        <f>IF(B4490="",0,IF(OR(H4490=MappingTables!$C$34,H4490=MappingTables!$C$35),W4490,0))</f>
        <v>0</v>
      </c>
    </row>
    <row r="4491" spans="2:24" s="0" customFormat="0" ht="15">
      <c r="B4491" s="69">
        <v>19579227</v>
      </c>
      <c r="C4491" s="70" t="s">
        <v>2949</v>
      </c>
      <c r="D4491" s="70" t="s">
        <v>1</v>
      </c>
      <c r="E4491" s="70" t="s">
        <v>1</v>
      </c>
      <c r="F4491" s="70"/>
      <c r="G4491" s="70" t="s">
        <v>61</v>
      </c>
      <c r="H4491" s="70" t="s">
        <v>178</v>
      </c>
      <c r="I4491" s="70" t="s">
        <v>181</v>
      </c>
      <c r="J4491" s="71">
        <f>IF(OR(I4491=0,I4491=""),"unrated",VLOOKUP(I4491,MappingTables!$B$19:$C$31,2,FALSE))</f>
        <v>3</v>
      </c>
      <c r="K4491" s="72">
        <v>7153.0949074858744</v>
      </c>
      <c r="L4491" s="70">
        <v>7.7165865202785632</v>
      </c>
      <c r="M4491" s="71">
        <f>IF(L4491&lt;1,1,L4491)</f>
        <v>7.7165865202785632</v>
      </c>
      <c r="N4491" s="70" t="s">
        <v>141</v>
      </c>
      <c r="O4491" s="71">
        <f>INDEX(DurClassMapping,MATCH(M4491,MappingTables!$D$4:$D$8,-1),1)</f>
        <v>2</v>
      </c>
      <c r="P4491" s="73">
        <f>IF(M4491=$A$1,1,$M4491-INDEX(MappingTables!$E$4:$E$8,MATCH(O4491,MappingTables!$B$4:$B$8,0)))</f>
        <v>2.7165865202785628</v>
      </c>
      <c r="Q4491" s="71">
        <f>IF(B4491="",0,INDEX(ModelParameters!$D$6:$K$10,MATCH($O4491,ModelParameters!$B$6:$B$10,0),MATCH($J4491,ModelParameters!$D$5:$K$5,0)))</f>
        <v>0.015</v>
      </c>
      <c r="R4491" s="71">
        <f>IF(B4491="",0,INDEX(ModelParameters!$D$13:$K$17,MATCH($O4491,ModelParameters!$B$13:$B$17,0),MATCH($J4491,ModelParameters!$D$5:$K$5,0)))</f>
        <v>0.125</v>
      </c>
      <c r="S4491" s="160">
        <f>IF(B4491="",0,MIN(IF($N4491="Other Bond TM",ModelParameters!$N$21,1)*(P4491*Q4491+R4491),1))</f>
        <v>0.16574879780417844</v>
      </c>
      <c r="T4491" s="85">
        <f>IF(B4491="",0,$S4491*$K4491)</f>
        <v>1185.6168814949746</v>
      </c>
      <c r="U4491" s="85">
        <f>IF(B4491="",0,IF(OR(H4491=MappingTables!$C$34,H4491=MappingTables!$C$35),T4491,0))</f>
        <v>0</v>
      </c>
      <c r="V4491" s="85">
        <f>IF(ISNA(IF(AND(VLOOKUP(CONCATENATE($D4491,$G4491),CSRFinput!$B:$E,4,0)=0,OR(H4491=MappingTables!$C$34,H4491=MappingTables!$C$35)),1,VLOOKUP(CONCATENATE($D4491,$G4491),CSRFinput!$B:$E,4,0))),0,IF(AND(VLOOKUP(CONCATENATE($D4491,$G4491),CSRFinput!$B:$E,4,0)=0,OR(H4491=MappingTables!$C$34,H4491=MappingTables!$C$35)),1,VLOOKUP(CONCATENATE($D4491,$G4491),CSRFinput!$B:$E,4,0)))</f>
        <v>0.054776304963434752</v>
      </c>
      <c r="W4491" s="85">
        <f>IF(B4491="",0,+$T4491*$V4491)</f>
        <v>64.943711870565208</v>
      </c>
      <c r="X4491" s="85">
        <f>IF(B4491="",0,IF(OR(H4491=MappingTables!$C$34,H4491=MappingTables!$C$35),W4491,0))</f>
        <v>0</v>
      </c>
    </row>
    <row r="4492" spans="2:24" s="0" customFormat="0" ht="15">
      <c r="B4492" s="69">
        <v>23545374</v>
      </c>
      <c r="C4492" s="70" t="s">
        <v>1185</v>
      </c>
      <c r="D4492" s="70" t="s">
        <v>1</v>
      </c>
      <c r="E4492" s="70" t="s">
        <v>1</v>
      </c>
      <c r="F4492" s="70"/>
      <c r="G4492" s="70" t="s">
        <v>61</v>
      </c>
      <c r="H4492" s="70" t="s">
        <v>178</v>
      </c>
      <c r="I4492" s="70" t="s">
        <v>184</v>
      </c>
      <c r="J4492" s="71">
        <f>IF(OR(I4492=0,I4492=""),"unrated",VLOOKUP(I4492,MappingTables!$B$19:$C$31,2,FALSE))</f>
        <v>5</v>
      </c>
      <c r="K4492" s="72">
        <v>12407.117368174608</v>
      </c>
      <c r="L4492" s="70">
        <v>2.2071861522174684</v>
      </c>
      <c r="M4492" s="71">
        <f>IF(L4492&lt;1,1,L4492)</f>
        <v>2.2071861522174684</v>
      </c>
      <c r="N4492" s="70" t="s">
        <v>141</v>
      </c>
      <c r="O4492" s="71">
        <f>INDEX(DurClassMapping,MATCH(M4492,MappingTables!$D$4:$D$8,-1),1)</f>
        <v>1</v>
      </c>
      <c r="P4492" s="73">
        <f>IF(M4492=$A$1,1,$M4492-INDEX(MappingTables!$E$4:$E$8,MATCH(O4492,MappingTables!$B$4:$B$8,0)))</f>
        <v>2.2071861522174684</v>
      </c>
      <c r="Q4492" s="71">
        <f>IF(B4492="",0,INDEX(ModelParameters!$D$6:$K$10,MATCH($O4492,ModelParameters!$B$6:$B$10,0),MATCH($J4492,ModelParameters!$D$5:$K$5,0)))</f>
        <v>0.075</v>
      </c>
      <c r="R4492" s="71">
        <f>IF(B4492="",0,INDEX(ModelParameters!$D$13:$K$17,MATCH($O4492,ModelParameters!$B$13:$B$17,0),MATCH($J4492,ModelParameters!$D$5:$K$5,0)))</f>
        <v>0</v>
      </c>
      <c r="S4492" s="160">
        <f>IF(B4492="",0,MIN(IF($N4492="Other Bond TM",ModelParameters!$N$21,1)*(P4492*Q4492+R4492),1))</f>
        <v>0.16553896141631014</v>
      </c>
      <c r="T4492" s="85">
        <f>IF(B4492="",0,$S4492*$K4492)</f>
        <v>2053.8613232978876</v>
      </c>
      <c r="U4492" s="85">
        <f>IF(B4492="",0,IF(OR(H4492=MappingTables!$C$34,H4492=MappingTables!$C$35),T4492,0))</f>
        <v>0</v>
      </c>
      <c r="V4492" s="85">
        <f>IF(ISNA(IF(AND(VLOOKUP(CONCATENATE($D4492,$G4492),CSRFinput!$B:$E,4,0)=0,OR(H4492=MappingTables!$C$34,H4492=MappingTables!$C$35)),1,VLOOKUP(CONCATENATE($D4492,$G4492),CSRFinput!$B:$E,4,0))),0,IF(AND(VLOOKUP(CONCATENATE($D4492,$G4492),CSRFinput!$B:$E,4,0)=0,OR(H4492=MappingTables!$C$34,H4492=MappingTables!$C$35)),1,VLOOKUP(CONCATENATE($D4492,$G4492),CSRFinput!$B:$E,4,0)))</f>
        <v>0.054776304963434752</v>
      </c>
      <c r="W4492" s="85">
        <f>IF(B4492="",0,+$T4492*$V4492)</f>
        <v>112.50293419756876</v>
      </c>
      <c r="X4492" s="85">
        <f>IF(B4492="",0,IF(OR(H4492=MappingTables!$C$34,H4492=MappingTables!$C$35),W4492,0))</f>
        <v>0</v>
      </c>
    </row>
    <row r="4493" spans="2:24" s="0" customFormat="0" ht="15">
      <c r="B4493" s="69" t="s">
        <v>3008</v>
      </c>
      <c r="C4493" s="70" t="s">
        <v>3009</v>
      </c>
      <c r="D4493" s="70" t="s">
        <v>1</v>
      </c>
      <c r="E4493" s="70" t="s">
        <v>1</v>
      </c>
      <c r="F4493" s="70"/>
      <c r="G4493" s="70" t="s">
        <v>61</v>
      </c>
      <c r="H4493" s="70" t="s">
        <v>178</v>
      </c>
      <c r="I4493" s="70" t="s">
        <v>179</v>
      </c>
      <c r="J4493" s="71">
        <f>IF(OR(I4493=0,I4493=""),"unrated",VLOOKUP(I4493,MappingTables!$B$19:$C$31,2,FALSE))</f>
        <v>4</v>
      </c>
      <c r="K4493" s="72">
        <v>160.11378697234634</v>
      </c>
      <c r="L4493" s="70">
        <v>4.0276036092800688</v>
      </c>
      <c r="M4493" s="71">
        <f>IF(L4493&lt;1,1,L4493)</f>
        <v>4.0276036092800688</v>
      </c>
      <c r="N4493" s="70" t="s">
        <v>141</v>
      </c>
      <c r="O4493" s="71">
        <f>INDEX(DurClassMapping,MATCH(M4493,MappingTables!$D$4:$D$8,-1),1)</f>
        <v>1</v>
      </c>
      <c r="P4493" s="73">
        <f>IF(M4493=$A$1,1,$M4493-INDEX(MappingTables!$E$4:$E$8,MATCH(O4493,MappingTables!$B$4:$B$8,0)))</f>
        <v>4.0276036092800688</v>
      </c>
      <c r="Q4493" s="71">
        <f>IF(B4493="",0,INDEX(ModelParameters!$D$6:$K$10,MATCH($O4493,ModelParameters!$B$6:$B$10,0),MATCH($J4493,ModelParameters!$D$5:$K$5,0)))</f>
        <v>0.045</v>
      </c>
      <c r="R4493" s="71">
        <f>IF(B4493="",0,INDEX(ModelParameters!$D$13:$K$17,MATCH($O4493,ModelParameters!$B$13:$B$17,0),MATCH($J4493,ModelParameters!$D$5:$K$5,0)))</f>
        <v>0</v>
      </c>
      <c r="S4493" s="160">
        <f>IF(B4493="",0,MIN(IF($N4493="Other Bond TM",ModelParameters!$N$21,1)*(P4493*Q4493+R4493),1))</f>
        <v>0.18124216241760312</v>
      </c>
      <c r="T4493" s="85">
        <f>IF(B4493="",0,$S4493*$K4493)</f>
        <v>29.019368983739496</v>
      </c>
      <c r="U4493" s="85">
        <f>IF(B4493="",0,IF(OR(H4493=MappingTables!$C$34,H4493=MappingTables!$C$35),T4493,0))</f>
        <v>0</v>
      </c>
      <c r="V4493" s="85">
        <f>IF(ISNA(IF(AND(VLOOKUP(CONCATENATE($D4493,$G4493),CSRFinput!$B:$E,4,0)=0,OR(H4493=MappingTables!$C$34,H4493=MappingTables!$C$35)),1,VLOOKUP(CONCATENATE($D4493,$G4493),CSRFinput!$B:$E,4,0))),0,IF(AND(VLOOKUP(CONCATENATE($D4493,$G4493),CSRFinput!$B:$E,4,0)=0,OR(H4493=MappingTables!$C$34,H4493=MappingTables!$C$35)),1,VLOOKUP(CONCATENATE($D4493,$G4493),CSRFinput!$B:$E,4,0)))</f>
        <v>0.054776304963434752</v>
      </c>
      <c r="W4493" s="85">
        <f>IF(B4493="",0,+$T4493*$V4493)</f>
        <v>1.5895738052997544</v>
      </c>
      <c r="X4493" s="85">
        <f>IF(B4493="",0,IF(OR(H4493=MappingTables!$C$34,H4493=MappingTables!$C$35),W4493,0))</f>
        <v>0</v>
      </c>
    </row>
    <row r="4494" spans="2:24" s="0" customFormat="0" ht="15">
      <c r="B4494" s="69">
        <v>16606683</v>
      </c>
      <c r="C4494" s="70" t="s">
        <v>2996</v>
      </c>
      <c r="D4494" s="70" t="s">
        <v>1</v>
      </c>
      <c r="E4494" s="70" t="s">
        <v>1</v>
      </c>
      <c r="F4494" s="70"/>
      <c r="G4494" s="70" t="s">
        <v>61</v>
      </c>
      <c r="H4494" s="70" t="s">
        <v>178</v>
      </c>
      <c r="I4494" s="70" t="s">
        <v>198</v>
      </c>
      <c r="J4494" s="71" t="str">
        <f>IF(OR(I4494=0,I4494=""),"unrated",VLOOKUP(I4494,MappingTables!$B$19:$C$31,2,FALSE))</f>
        <v>unrated</v>
      </c>
      <c r="K4494" s="72">
        <v>762.27114561659136</v>
      </c>
      <c r="L4494" s="70">
        <v>2.2029162059017096</v>
      </c>
      <c r="M4494" s="71">
        <f>IF(L4494&lt;1,1,L4494)</f>
        <v>2.2029162059017096</v>
      </c>
      <c r="N4494" s="70" t="s">
        <v>141</v>
      </c>
      <c r="O4494" s="71">
        <f>INDEX(DurClassMapping,MATCH(M4494,MappingTables!$D$4:$D$8,-1),1)</f>
        <v>1</v>
      </c>
      <c r="P4494" s="73">
        <f>IF(M4494=$A$1,1,$M4494-INDEX(MappingTables!$E$4:$E$8,MATCH(O4494,MappingTables!$B$4:$B$8,0)))</f>
        <v>2.2029162059017096</v>
      </c>
      <c r="Q4494" s="71">
        <f>IF(B4494="",0,INDEX(ModelParameters!$D$6:$K$10,MATCH($O4494,ModelParameters!$B$6:$B$10,0),MATCH($J4494,ModelParameters!$D$5:$K$5,0)))</f>
        <v>0.03</v>
      </c>
      <c r="R4494" s="71">
        <f>IF(B4494="",0,INDEX(ModelParameters!$D$13:$K$17,MATCH($O4494,ModelParameters!$B$13:$B$17,0),MATCH($J4494,ModelParameters!$D$5:$K$5,0)))</f>
        <v>0</v>
      </c>
      <c r="S4494" s="160">
        <f>IF(B4494="",0,MIN(IF($N4494="Other Bond TM",ModelParameters!$N$21,1)*(P4494*Q4494+R4494),1))</f>
        <v>0.066087486177051288</v>
      </c>
      <c r="T4494" s="85">
        <f>IF(B4494="",0,$S4494*$K4494)</f>
        <v>50.376583799101528</v>
      </c>
      <c r="U4494" s="85">
        <f>IF(B4494="",0,IF(OR(H4494=MappingTables!$C$34,H4494=MappingTables!$C$35),T4494,0))</f>
        <v>0</v>
      </c>
      <c r="V4494" s="85">
        <f>IF(ISNA(IF(AND(VLOOKUP(CONCATENATE($D4494,$G4494),CSRFinput!$B:$E,4,0)=0,OR(H4494=MappingTables!$C$34,H4494=MappingTables!$C$35)),1,VLOOKUP(CONCATENATE($D4494,$G4494),CSRFinput!$B:$E,4,0))),0,IF(AND(VLOOKUP(CONCATENATE($D4494,$G4494),CSRFinput!$B:$E,4,0)=0,OR(H4494=MappingTables!$C$34,H4494=MappingTables!$C$35)),1,VLOOKUP(CONCATENATE($D4494,$G4494),CSRFinput!$B:$E,4,0)))</f>
        <v>0.054776304963434752</v>
      </c>
      <c r="W4494" s="85">
        <f>IF(B4494="",0,+$T4494*$V4494)</f>
        <v>2.759443117195612</v>
      </c>
      <c r="X4494" s="85">
        <f>IF(B4494="",0,IF(OR(H4494=MappingTables!$C$34,H4494=MappingTables!$C$35),W4494,0))</f>
        <v>0</v>
      </c>
    </row>
    <row r="4495" spans="2:24" s="0" customFormat="0" ht="15">
      <c r="B4495" s="69" t="s">
        <v>228</v>
      </c>
      <c r="C4495" s="70" t="s">
        <v>229</v>
      </c>
      <c r="D4495" s="70" t="s">
        <v>1</v>
      </c>
      <c r="E4495" s="70" t="s">
        <v>1</v>
      </c>
      <c r="F4495" s="70"/>
      <c r="G4495" s="70" t="s">
        <v>61</v>
      </c>
      <c r="H4495" s="70" t="s">
        <v>178</v>
      </c>
      <c r="I4495" s="70" t="s">
        <v>198</v>
      </c>
      <c r="J4495" s="71" t="str">
        <f>IF(OR(I4495=0,I4495=""),"unrated",VLOOKUP(I4495,MappingTables!$B$19:$C$31,2,FALSE))</f>
        <v>unrated</v>
      </c>
      <c r="K4495" s="72">
        <v>352.90782224143588</v>
      </c>
      <c r="L4495" s="70">
        <v>4.3164074721923136</v>
      </c>
      <c r="M4495" s="71">
        <f>IF(L4495&lt;1,1,L4495)</f>
        <v>4.3164074721923136</v>
      </c>
      <c r="N4495" s="70" t="s">
        <v>141</v>
      </c>
      <c r="O4495" s="71">
        <f>INDEX(DurClassMapping,MATCH(M4495,MappingTables!$D$4:$D$8,-1),1)</f>
        <v>1</v>
      </c>
      <c r="P4495" s="73">
        <f>IF(M4495=$A$1,1,$M4495-INDEX(MappingTables!$E$4:$E$8,MATCH(O4495,MappingTables!$B$4:$B$8,0)))</f>
        <v>4.3164074721923136</v>
      </c>
      <c r="Q4495" s="71">
        <f>IF(B4495="",0,INDEX(ModelParameters!$D$6:$K$10,MATCH($O4495,ModelParameters!$B$6:$B$10,0),MATCH($J4495,ModelParameters!$D$5:$K$5,0)))</f>
        <v>0.03</v>
      </c>
      <c r="R4495" s="71">
        <f>IF(B4495="",0,INDEX(ModelParameters!$D$13:$K$17,MATCH($O4495,ModelParameters!$B$13:$B$17,0),MATCH($J4495,ModelParameters!$D$5:$K$5,0)))</f>
        <v>0</v>
      </c>
      <c r="S4495" s="160">
        <f>IF(B4495="",0,MIN(IF($N4495="Other Bond TM",ModelParameters!$N$21,1)*(P4495*Q4495+R4495),1))</f>
        <v>0.12949222416576942</v>
      </c>
      <c r="T4495" s="85">
        <f>IF(B4495="",0,$S4495*$K4495)</f>
        <v>45.69881882754152</v>
      </c>
      <c r="U4495" s="85">
        <f>IF(B4495="",0,IF(OR(H4495=MappingTables!$C$34,H4495=MappingTables!$C$35),T4495,0))</f>
        <v>0</v>
      </c>
      <c r="V4495" s="85">
        <f>IF(ISNA(IF(AND(VLOOKUP(CONCATENATE($D4495,$G4495),CSRFinput!$B:$E,4,0)=0,OR(H4495=MappingTables!$C$34,H4495=MappingTables!$C$35)),1,VLOOKUP(CONCATENATE($D4495,$G4495),CSRFinput!$B:$E,4,0))),0,IF(AND(VLOOKUP(CONCATENATE($D4495,$G4495),CSRFinput!$B:$E,4,0)=0,OR(H4495=MappingTables!$C$34,H4495=MappingTables!$C$35)),1,VLOOKUP(CONCATENATE($D4495,$G4495),CSRFinput!$B:$E,4,0)))</f>
        <v>0.054776304963434752</v>
      </c>
      <c r="W4495" s="85">
        <f>IF(B4495="",0,+$T4495*$V4495)</f>
        <v>2.503212436566168</v>
      </c>
      <c r="X4495" s="85">
        <f>IF(B4495="",0,IF(OR(H4495=MappingTables!$C$34,H4495=MappingTables!$C$35),W4495,0))</f>
        <v>0</v>
      </c>
    </row>
    <row r="4496" spans="2:24" s="0" customFormat="0" ht="15">
      <c r="B4496" s="69">
        <v>14579747</v>
      </c>
      <c r="C4496" s="70" t="s">
        <v>1232</v>
      </c>
      <c r="D4496" s="70" t="s">
        <v>1</v>
      </c>
      <c r="E4496" s="70" t="s">
        <v>1</v>
      </c>
      <c r="F4496" s="70"/>
      <c r="G4496" s="70" t="s">
        <v>61</v>
      </c>
      <c r="H4496" s="70" t="s">
        <v>178</v>
      </c>
      <c r="I4496" s="70" t="s">
        <v>181</v>
      </c>
      <c r="J4496" s="71">
        <f>IF(OR(I4496=0,I4496=""),"unrated",VLOOKUP(I4496,MappingTables!$B$19:$C$31,2,FALSE))</f>
        <v>3</v>
      </c>
      <c r="K4496" s="72">
        <v>2.0355484996631196</v>
      </c>
      <c r="L4496" s="70">
        <v>1.576579245192886</v>
      </c>
      <c r="M4496" s="71">
        <f>IF(L4496&lt;1,1,L4496)</f>
        <v>1.576579245192886</v>
      </c>
      <c r="N4496" s="70" t="s">
        <v>141</v>
      </c>
      <c r="O4496" s="71">
        <f>INDEX(DurClassMapping,MATCH(M4496,MappingTables!$D$4:$D$8,-1),1)</f>
        <v>1</v>
      </c>
      <c r="P4496" s="73">
        <f>IF(M4496=$A$1,1,$M4496-INDEX(MappingTables!$E$4:$E$8,MATCH(O4496,MappingTables!$B$4:$B$8,0)))</f>
        <v>1.576579245192886</v>
      </c>
      <c r="Q4496" s="71">
        <f>IF(B4496="",0,INDEX(ModelParameters!$D$6:$K$10,MATCH($O4496,ModelParameters!$B$6:$B$10,0),MATCH($J4496,ModelParameters!$D$5:$K$5,0)))</f>
        <v>0.025</v>
      </c>
      <c r="R4496" s="71">
        <f>IF(B4496="",0,INDEX(ModelParameters!$D$13:$K$17,MATCH($O4496,ModelParameters!$B$13:$B$17,0),MATCH($J4496,ModelParameters!$D$5:$K$5,0)))</f>
        <v>0</v>
      </c>
      <c r="S4496" s="160">
        <f>IF(B4496="",0,MIN(IF($N4496="Other Bond TM",ModelParameters!$N$21,1)*(P4496*Q4496+R4496),1))</f>
        <v>0.039414481129822152</v>
      </c>
      <c r="T4496" s="85">
        <f>IF(B4496="",0,$S4496*$K4496)</f>
        <v>0.080230087928809824</v>
      </c>
      <c r="U4496" s="85">
        <f>IF(B4496="",0,IF(OR(H4496=MappingTables!$C$34,H4496=MappingTables!$C$35),T4496,0))</f>
        <v>0</v>
      </c>
      <c r="V4496" s="85">
        <f>IF(ISNA(IF(AND(VLOOKUP(CONCATENATE($D4496,$G4496),CSRFinput!$B:$E,4,0)=0,OR(H4496=MappingTables!$C$34,H4496=MappingTables!$C$35)),1,VLOOKUP(CONCATENATE($D4496,$G4496),CSRFinput!$B:$E,4,0))),0,IF(AND(VLOOKUP(CONCATENATE($D4496,$G4496),CSRFinput!$B:$E,4,0)=0,OR(H4496=MappingTables!$C$34,H4496=MappingTables!$C$35)),1,VLOOKUP(CONCATENATE($D4496,$G4496),CSRFinput!$B:$E,4,0)))</f>
        <v>0.054776304963434752</v>
      </c>
      <c r="W4496" s="85">
        <f>IF(B4496="",0,+$T4496*$V4496)</f>
        <v>0.004394707763631672</v>
      </c>
      <c r="X4496" s="85">
        <f>IF(B4496="",0,IF(OR(H4496=MappingTables!$C$34,H4496=MappingTables!$C$35),W4496,0))</f>
        <v>0</v>
      </c>
    </row>
    <row r="4497" spans="2:24" s="0" customFormat="0" ht="15">
      <c r="B4497" s="69">
        <v>3767589</v>
      </c>
      <c r="C4497" s="70" t="s">
        <v>319</v>
      </c>
      <c r="D4497" s="70" t="s">
        <v>1</v>
      </c>
      <c r="E4497" s="70" t="s">
        <v>1</v>
      </c>
      <c r="F4497" s="70"/>
      <c r="G4497" s="70" t="s">
        <v>61</v>
      </c>
      <c r="H4497" s="70" t="s">
        <v>178</v>
      </c>
      <c r="I4497" s="70" t="s">
        <v>181</v>
      </c>
      <c r="J4497" s="71">
        <f>IF(OR(I4497=0,I4497=""),"unrated",VLOOKUP(I4497,MappingTables!$B$19:$C$31,2,FALSE))</f>
        <v>3</v>
      </c>
      <c r="K4497" s="72">
        <v>223.55956971867584</v>
      </c>
      <c r="L4497" s="70">
        <v>0.038354109573384896</v>
      </c>
      <c r="M4497" s="71">
        <f>IF(L4497&lt;1,1,L4497)</f>
        <v>1</v>
      </c>
      <c r="N4497" s="70" t="s">
        <v>141</v>
      </c>
      <c r="O4497" s="71">
        <f>INDEX(DurClassMapping,MATCH(M4497,MappingTables!$D$4:$D$8,-1),1)</f>
        <v>1</v>
      </c>
      <c r="P4497" s="73">
        <f>IF(M4497=$A$1,1,$M4497-INDEX(MappingTables!$E$4:$E$8,MATCH(O4497,MappingTables!$B$4:$B$8,0)))</f>
        <v>1</v>
      </c>
      <c r="Q4497" s="71">
        <f>IF(B4497="",0,INDEX(ModelParameters!$D$6:$K$10,MATCH($O4497,ModelParameters!$B$6:$B$10,0),MATCH($J4497,ModelParameters!$D$5:$K$5,0)))</f>
        <v>0.025</v>
      </c>
      <c r="R4497" s="71">
        <f>IF(B4497="",0,INDEX(ModelParameters!$D$13:$K$17,MATCH($O4497,ModelParameters!$B$13:$B$17,0),MATCH($J4497,ModelParameters!$D$5:$K$5,0)))</f>
        <v>0</v>
      </c>
      <c r="S4497" s="160">
        <f>IF(B4497="",0,MIN(IF($N4497="Other Bond TM",ModelParameters!$N$21,1)*(P4497*Q4497+R4497),1))</f>
        <v>0.025</v>
      </c>
      <c r="T4497" s="85">
        <f>IF(B4497="",0,$S4497*$K4497)</f>
        <v>5.588989242966896</v>
      </c>
      <c r="U4497" s="85">
        <f>IF(B4497="",0,IF(OR(H4497=MappingTables!$C$34,H4497=MappingTables!$C$35),T4497,0))</f>
        <v>0</v>
      </c>
      <c r="V4497" s="85">
        <f>IF(ISNA(IF(AND(VLOOKUP(CONCATENATE($D4497,$G4497),CSRFinput!$B:$E,4,0)=0,OR(H4497=MappingTables!$C$34,H4497=MappingTables!$C$35)),1,VLOOKUP(CONCATENATE($D4497,$G4497),CSRFinput!$B:$E,4,0))),0,IF(AND(VLOOKUP(CONCATENATE($D4497,$G4497),CSRFinput!$B:$E,4,0)=0,OR(H4497=MappingTables!$C$34,H4497=MappingTables!$C$35)),1,VLOOKUP(CONCATENATE($D4497,$G4497),CSRFinput!$B:$E,4,0)))</f>
        <v>0.054776304963434752</v>
      </c>
      <c r="W4497" s="85">
        <f>IF(B4497="",0,+$T4497*$V4497)</f>
        <v>0.30614417921011104</v>
      </c>
      <c r="X4497" s="85">
        <f>IF(B4497="",0,IF(OR(H4497=MappingTables!$C$34,H4497=MappingTables!$C$35),W4497,0))</f>
        <v>0</v>
      </c>
    </row>
    <row r="4498" spans="2:24" s="0" customFormat="0" ht="15">
      <c r="B4498" s="69">
        <v>10660661</v>
      </c>
      <c r="C4498" s="70" t="s">
        <v>249</v>
      </c>
      <c r="D4498" s="70" t="s">
        <v>1</v>
      </c>
      <c r="E4498" s="70" t="s">
        <v>1</v>
      </c>
      <c r="F4498" s="70"/>
      <c r="G4498" s="70" t="s">
        <v>61</v>
      </c>
      <c r="H4498" s="70" t="s">
        <v>178</v>
      </c>
      <c r="I4498" s="70" t="s">
        <v>181</v>
      </c>
      <c r="J4498" s="71">
        <f>IF(OR(I4498=0,I4498=""),"unrated",VLOOKUP(I4498,MappingTables!$B$19:$C$31,2,FALSE))</f>
        <v>3</v>
      </c>
      <c r="K4498" s="72">
        <v>15.017695325200926</v>
      </c>
      <c r="L4498" s="70">
        <v>1.6791578815085784</v>
      </c>
      <c r="M4498" s="71">
        <f>IF(L4498&lt;1,1,L4498)</f>
        <v>1.6791578815085784</v>
      </c>
      <c r="N4498" s="70" t="s">
        <v>141</v>
      </c>
      <c r="O4498" s="71">
        <f>INDEX(DurClassMapping,MATCH(M4498,MappingTables!$D$4:$D$8,-1),1)</f>
        <v>1</v>
      </c>
      <c r="P4498" s="73">
        <f>IF(M4498=$A$1,1,$M4498-INDEX(MappingTables!$E$4:$E$8,MATCH(O4498,MappingTables!$B$4:$B$8,0)))</f>
        <v>1.6791578815085784</v>
      </c>
      <c r="Q4498" s="71">
        <f>IF(B4498="",0,INDEX(ModelParameters!$D$6:$K$10,MATCH($O4498,ModelParameters!$B$6:$B$10,0),MATCH($J4498,ModelParameters!$D$5:$K$5,0)))</f>
        <v>0.025</v>
      </c>
      <c r="R4498" s="71">
        <f>IF(B4498="",0,INDEX(ModelParameters!$D$13:$K$17,MATCH($O4498,ModelParameters!$B$13:$B$17,0),MATCH($J4498,ModelParameters!$D$5:$K$5,0)))</f>
        <v>0</v>
      </c>
      <c r="S4498" s="160">
        <f>IF(B4498="",0,MIN(IF($N4498="Other Bond TM",ModelParameters!$N$21,1)*(P4498*Q4498+R4498),1))</f>
        <v>0.041978947037714456</v>
      </c>
      <c r="T4498" s="85">
        <f>IF(B4498="",0,$S4498*$K4498)</f>
        <v>0.63042703668514168</v>
      </c>
      <c r="U4498" s="85">
        <f>IF(B4498="",0,IF(OR(H4498=MappingTables!$C$34,H4498=MappingTables!$C$35),T4498,0))</f>
        <v>0</v>
      </c>
      <c r="V4498" s="85">
        <f>IF(ISNA(IF(AND(VLOOKUP(CONCATENATE($D4498,$G4498),CSRFinput!$B:$E,4,0)=0,OR(H4498=MappingTables!$C$34,H4498=MappingTables!$C$35)),1,VLOOKUP(CONCATENATE($D4498,$G4498),CSRFinput!$B:$E,4,0))),0,IF(AND(VLOOKUP(CONCATENATE($D4498,$G4498),CSRFinput!$B:$E,4,0)=0,OR(H4498=MappingTables!$C$34,H4498=MappingTables!$C$35)),1,VLOOKUP(CONCATENATE($D4498,$G4498),CSRFinput!$B:$E,4,0)))</f>
        <v>0.054776304963434752</v>
      </c>
      <c r="W4498" s="85">
        <f>IF(B4498="",0,+$T4498*$V4498)</f>
        <v>0.034532463618659788</v>
      </c>
      <c r="X4498" s="85">
        <f>IF(B4498="",0,IF(OR(H4498=MappingTables!$C$34,H4498=MappingTables!$C$35),W4498,0))</f>
        <v>0</v>
      </c>
    </row>
    <row r="4499" spans="2:24" s="0" customFormat="0" ht="15">
      <c r="B4499" s="69">
        <v>14087341</v>
      </c>
      <c r="C4499" s="70" t="s">
        <v>2511</v>
      </c>
      <c r="D4499" s="70" t="s">
        <v>1</v>
      </c>
      <c r="E4499" s="70" t="s">
        <v>1</v>
      </c>
      <c r="F4499" s="70"/>
      <c r="G4499" s="70" t="s">
        <v>61</v>
      </c>
      <c r="H4499" s="70" t="s">
        <v>178</v>
      </c>
      <c r="I4499" s="70" t="s">
        <v>198</v>
      </c>
      <c r="J4499" s="71" t="str">
        <f>IF(OR(I4499=0,I4499=""),"unrated",VLOOKUP(I4499,MappingTables!$B$19:$C$31,2,FALSE))</f>
        <v>unrated</v>
      </c>
      <c r="K4499" s="72">
        <v>0.40749674163907472</v>
      </c>
      <c r="L4499" s="70">
        <v>1.0696319030280208</v>
      </c>
      <c r="M4499" s="71">
        <f>IF(L4499&lt;1,1,L4499)</f>
        <v>1.0696319030280208</v>
      </c>
      <c r="N4499" s="70" t="s">
        <v>141</v>
      </c>
      <c r="O4499" s="71">
        <f>INDEX(DurClassMapping,MATCH(M4499,MappingTables!$D$4:$D$8,-1),1)</f>
        <v>1</v>
      </c>
      <c r="P4499" s="73">
        <f>IF(M4499=$A$1,1,$M4499-INDEX(MappingTables!$E$4:$E$8,MATCH(O4499,MappingTables!$B$4:$B$8,0)))</f>
        <v>1.0696319030280208</v>
      </c>
      <c r="Q4499" s="71">
        <f>IF(B4499="",0,INDEX(ModelParameters!$D$6:$K$10,MATCH($O4499,ModelParameters!$B$6:$B$10,0),MATCH($J4499,ModelParameters!$D$5:$K$5,0)))</f>
        <v>0.03</v>
      </c>
      <c r="R4499" s="71">
        <f>IF(B4499="",0,INDEX(ModelParameters!$D$13:$K$17,MATCH($O4499,ModelParameters!$B$13:$B$17,0),MATCH($J4499,ModelParameters!$D$5:$K$5,0)))</f>
        <v>0</v>
      </c>
      <c r="S4499" s="160">
        <f>IF(B4499="",0,MIN(IF($N4499="Other Bond TM",ModelParameters!$N$21,1)*(P4499*Q4499+R4499),1))</f>
        <v>0.03208895709084062</v>
      </c>
      <c r="T4499" s="85">
        <f>IF(B4499="",0,$S4499*$K4499)</f>
        <v>0.013076145457113636</v>
      </c>
      <c r="U4499" s="85">
        <f>IF(B4499="",0,IF(OR(H4499=MappingTables!$C$34,H4499=MappingTables!$C$35),T4499,0))</f>
        <v>0</v>
      </c>
      <c r="V4499" s="85">
        <f>IF(ISNA(IF(AND(VLOOKUP(CONCATENATE($D4499,$G4499),CSRFinput!$B:$E,4,0)=0,OR(H4499=MappingTables!$C$34,H4499=MappingTables!$C$35)),1,VLOOKUP(CONCATENATE($D4499,$G4499),CSRFinput!$B:$E,4,0))),0,IF(AND(VLOOKUP(CONCATENATE($D4499,$G4499),CSRFinput!$B:$E,4,0)=0,OR(H4499=MappingTables!$C$34,H4499=MappingTables!$C$35)),1,VLOOKUP(CONCATENATE($D4499,$G4499),CSRFinput!$B:$E,4,0)))</f>
        <v>0.054776304963434752</v>
      </c>
      <c r="W4499" s="85">
        <f>IF(B4499="",0,+$T4499*$V4499)</f>
        <v>0.00071626293130508848</v>
      </c>
      <c r="X4499" s="85">
        <f>IF(B4499="",0,IF(OR(H4499=MappingTables!$C$34,H4499=MappingTables!$C$35),W4499,0))</f>
        <v>0</v>
      </c>
    </row>
    <row r="4500" spans="2:24" s="0" customFormat="0" ht="15">
      <c r="B4500" s="69">
        <v>19812482</v>
      </c>
      <c r="C4500" s="70" t="s">
        <v>1083</v>
      </c>
      <c r="D4500" s="70" t="s">
        <v>1</v>
      </c>
      <c r="E4500" s="70" t="s">
        <v>1</v>
      </c>
      <c r="F4500" s="70"/>
      <c r="G4500" s="70" t="s">
        <v>61</v>
      </c>
      <c r="H4500" s="70" t="s">
        <v>178</v>
      </c>
      <c r="I4500" s="70" t="s">
        <v>220</v>
      </c>
      <c r="J4500" s="71">
        <f>IF(OR(I4500=0,I4500=""),"unrated",VLOOKUP(I4500,MappingTables!$B$19:$C$31,2,FALSE))</f>
        <v>1</v>
      </c>
      <c r="K4500" s="72">
        <v>131.1165596741781</v>
      </c>
      <c r="L4500" s="70">
        <v>1.358028127219226</v>
      </c>
      <c r="M4500" s="71">
        <f>IF(L4500&lt;1,1,L4500)</f>
        <v>1.358028127219226</v>
      </c>
      <c r="N4500" s="70" t="s">
        <v>141</v>
      </c>
      <c r="O4500" s="71">
        <f>INDEX(DurClassMapping,MATCH(M4500,MappingTables!$D$4:$D$8,-1),1)</f>
        <v>1</v>
      </c>
      <c r="P4500" s="73">
        <f>IF(M4500=$A$1,1,$M4500-INDEX(MappingTables!$E$4:$E$8,MATCH(O4500,MappingTables!$B$4:$B$8,0)))</f>
        <v>1.358028127219226</v>
      </c>
      <c r="Q4500" s="71">
        <f>IF(B4500="",0,INDEX(ModelParameters!$D$6:$K$10,MATCH($O4500,ModelParameters!$B$6:$B$10,0),MATCH($J4500,ModelParameters!$D$5:$K$5,0)))</f>
        <v>0.011000000000000002</v>
      </c>
      <c r="R4500" s="71">
        <f>IF(B4500="",0,INDEX(ModelParameters!$D$13:$K$17,MATCH($O4500,ModelParameters!$B$13:$B$17,0),MATCH($J4500,ModelParameters!$D$5:$K$5,0)))</f>
        <v>0</v>
      </c>
      <c r="S4500" s="160">
        <f>IF(B4500="",0,MIN(IF($N4500="Other Bond TM",ModelParameters!$N$21,1)*(P4500*Q4500+R4500),1))</f>
        <v>0.014938309399411488</v>
      </c>
      <c r="T4500" s="85">
        <f>IF(B4500="",0,$S4500*$K4500)</f>
        <v>1.958659735799272</v>
      </c>
      <c r="U4500" s="85">
        <f>IF(B4500="",0,IF(OR(H4500=MappingTables!$C$34,H4500=MappingTables!$C$35),T4500,0))</f>
        <v>0</v>
      </c>
      <c r="V4500" s="85">
        <f>IF(ISNA(IF(AND(VLOOKUP(CONCATENATE($D4500,$G4500),CSRFinput!$B:$E,4,0)=0,OR(H4500=MappingTables!$C$34,H4500=MappingTables!$C$35)),1,VLOOKUP(CONCATENATE($D4500,$G4500),CSRFinput!$B:$E,4,0))),0,IF(AND(VLOOKUP(CONCATENATE($D4500,$G4500),CSRFinput!$B:$E,4,0)=0,OR(H4500=MappingTables!$C$34,H4500=MappingTables!$C$35)),1,VLOOKUP(CONCATENATE($D4500,$G4500),CSRFinput!$B:$E,4,0)))</f>
        <v>0.054776304963434752</v>
      </c>
      <c r="W4500" s="85">
        <f>IF(B4500="",0,+$T4500*$V4500)</f>
        <v>0.10728814300774146</v>
      </c>
      <c r="X4500" s="85">
        <f>IF(B4500="",0,IF(OR(H4500=MappingTables!$C$34,H4500=MappingTables!$C$35),W4500,0))</f>
        <v>0</v>
      </c>
    </row>
    <row r="4501" spans="2:24" s="0" customFormat="0" ht="15">
      <c r="B4501" s="69">
        <v>21736822</v>
      </c>
      <c r="C4501" s="70" t="s">
        <v>1183</v>
      </c>
      <c r="D4501" s="70" t="s">
        <v>1</v>
      </c>
      <c r="E4501" s="70" t="s">
        <v>1</v>
      </c>
      <c r="F4501" s="70"/>
      <c r="G4501" s="70" t="s">
        <v>61</v>
      </c>
      <c r="H4501" s="70" t="s">
        <v>178</v>
      </c>
      <c r="I4501" s="70" t="s">
        <v>181</v>
      </c>
      <c r="J4501" s="71">
        <f>IF(OR(I4501=0,I4501=""),"unrated",VLOOKUP(I4501,MappingTables!$B$19:$C$31,2,FALSE))</f>
        <v>3</v>
      </c>
      <c r="K4501" s="72">
        <v>30.4066219683329</v>
      </c>
      <c r="L4501" s="70">
        <v>3.754651704667512</v>
      </c>
      <c r="M4501" s="71">
        <f>IF(L4501&lt;1,1,L4501)</f>
        <v>3.754651704667512</v>
      </c>
      <c r="N4501" s="70" t="s">
        <v>141</v>
      </c>
      <c r="O4501" s="71">
        <f>INDEX(DurClassMapping,MATCH(M4501,MappingTables!$D$4:$D$8,-1),1)</f>
        <v>1</v>
      </c>
      <c r="P4501" s="73">
        <f>IF(M4501=$A$1,1,$M4501-INDEX(MappingTables!$E$4:$E$8,MATCH(O4501,MappingTables!$B$4:$B$8,0)))</f>
        <v>3.754651704667512</v>
      </c>
      <c r="Q4501" s="71">
        <f>IF(B4501="",0,INDEX(ModelParameters!$D$6:$K$10,MATCH($O4501,ModelParameters!$B$6:$B$10,0),MATCH($J4501,ModelParameters!$D$5:$K$5,0)))</f>
        <v>0.025</v>
      </c>
      <c r="R4501" s="71">
        <f>IF(B4501="",0,INDEX(ModelParameters!$D$13:$K$17,MATCH($O4501,ModelParameters!$B$13:$B$17,0),MATCH($J4501,ModelParameters!$D$5:$K$5,0)))</f>
        <v>0</v>
      </c>
      <c r="S4501" s="160">
        <f>IF(B4501="",0,MIN(IF($N4501="Other Bond TM",ModelParameters!$N$21,1)*(P4501*Q4501+R4501),1))</f>
        <v>0.093866292616687808</v>
      </c>
      <c r="T4501" s="85">
        <f>IF(B4501="",0,$S4501*$K4501)</f>
        <v>2.854156875164544</v>
      </c>
      <c r="U4501" s="85">
        <f>IF(B4501="",0,IF(OR(H4501=MappingTables!$C$34,H4501=MappingTables!$C$35),T4501,0))</f>
        <v>0</v>
      </c>
      <c r="V4501" s="85">
        <f>IF(ISNA(IF(AND(VLOOKUP(CONCATENATE($D4501,$G4501),CSRFinput!$B:$E,4,0)=0,OR(H4501=MappingTables!$C$34,H4501=MappingTables!$C$35)),1,VLOOKUP(CONCATENATE($D4501,$G4501),CSRFinput!$B:$E,4,0))),0,IF(AND(VLOOKUP(CONCATENATE($D4501,$G4501),CSRFinput!$B:$E,4,0)=0,OR(H4501=MappingTables!$C$34,H4501=MappingTables!$C$35)),1,VLOOKUP(CONCATENATE($D4501,$G4501),CSRFinput!$B:$E,4,0)))</f>
        <v>0.054776304963434752</v>
      </c>
      <c r="W4501" s="85">
        <f>IF(B4501="",0,+$T4501*$V4501)</f>
        <v>0.15634016740749704</v>
      </c>
      <c r="X4501" s="85">
        <f>IF(B4501="",0,IF(OR(H4501=MappingTables!$C$34,H4501=MappingTables!$C$35),W4501,0))</f>
        <v>0</v>
      </c>
    </row>
    <row r="4502" spans="2:24" s="0" customFormat="0" ht="15">
      <c r="B4502" s="69">
        <v>17600993</v>
      </c>
      <c r="C4502" s="70" t="s">
        <v>1332</v>
      </c>
      <c r="D4502" s="70" t="s">
        <v>1</v>
      </c>
      <c r="E4502" s="70" t="s">
        <v>1</v>
      </c>
      <c r="F4502" s="70"/>
      <c r="G4502" s="70" t="s">
        <v>61</v>
      </c>
      <c r="H4502" s="70" t="s">
        <v>178</v>
      </c>
      <c r="I4502" s="70" t="s">
        <v>181</v>
      </c>
      <c r="J4502" s="71">
        <f>IF(OR(I4502=0,I4502=""),"unrated",VLOOKUP(I4502,MappingTables!$B$19:$C$31,2,FALSE))</f>
        <v>3</v>
      </c>
      <c r="K4502" s="72">
        <v>6912.030690346336</v>
      </c>
      <c r="L4502" s="70">
        <v>1.5339839069895218</v>
      </c>
      <c r="M4502" s="71">
        <f>IF(L4502&lt;1,1,L4502)</f>
        <v>1.5339839069895218</v>
      </c>
      <c r="N4502" s="70" t="s">
        <v>141</v>
      </c>
      <c r="O4502" s="71">
        <f>INDEX(DurClassMapping,MATCH(M4502,MappingTables!$D$4:$D$8,-1),1)</f>
        <v>1</v>
      </c>
      <c r="P4502" s="73">
        <f>IF(M4502=$A$1,1,$M4502-INDEX(MappingTables!$E$4:$E$8,MATCH(O4502,MappingTables!$B$4:$B$8,0)))</f>
        <v>1.5339839069895218</v>
      </c>
      <c r="Q4502" s="71">
        <f>IF(B4502="",0,INDEX(ModelParameters!$D$6:$K$10,MATCH($O4502,ModelParameters!$B$6:$B$10,0),MATCH($J4502,ModelParameters!$D$5:$K$5,0)))</f>
        <v>0.025</v>
      </c>
      <c r="R4502" s="71">
        <f>IF(B4502="",0,INDEX(ModelParameters!$D$13:$K$17,MATCH($O4502,ModelParameters!$B$13:$B$17,0),MATCH($J4502,ModelParameters!$D$5:$K$5,0)))</f>
        <v>0</v>
      </c>
      <c r="S4502" s="160">
        <f>IF(B4502="",0,MIN(IF($N4502="Other Bond TM",ModelParameters!$N$21,1)*(P4502*Q4502+R4502),1))</f>
        <v>0.038349597674738048</v>
      </c>
      <c r="T4502" s="85">
        <f>IF(B4502="",0,$S4502*$K4502)</f>
        <v>265.07359609022388</v>
      </c>
      <c r="U4502" s="85">
        <f>IF(B4502="",0,IF(OR(H4502=MappingTables!$C$34,H4502=MappingTables!$C$35),T4502,0))</f>
        <v>0</v>
      </c>
      <c r="V4502" s="85">
        <f>IF(ISNA(IF(AND(VLOOKUP(CONCATENATE($D4502,$G4502),CSRFinput!$B:$E,4,0)=0,OR(H4502=MappingTables!$C$34,H4502=MappingTables!$C$35)),1,VLOOKUP(CONCATENATE($D4502,$G4502),CSRFinput!$B:$E,4,0))),0,IF(AND(VLOOKUP(CONCATENATE($D4502,$G4502),CSRFinput!$B:$E,4,0)=0,OR(H4502=MappingTables!$C$34,H4502=MappingTables!$C$35)),1,VLOOKUP(CONCATENATE($D4502,$G4502),CSRFinput!$B:$E,4,0)))</f>
        <v>0.054776304963434752</v>
      </c>
      <c r="W4502" s="85">
        <f>IF(B4502="",0,+$T4502*$V4502)</f>
        <v>14.519752137192428</v>
      </c>
      <c r="X4502" s="85">
        <f>IF(B4502="",0,IF(OR(H4502=MappingTables!$C$34,H4502=MappingTables!$C$35),W4502,0))</f>
        <v>0</v>
      </c>
    </row>
    <row r="4503" spans="2:24" s="0" customFormat="0" ht="15">
      <c r="B4503" s="69">
        <v>18647860</v>
      </c>
      <c r="C4503" s="70" t="s">
        <v>2937</v>
      </c>
      <c r="D4503" s="70" t="s">
        <v>1</v>
      </c>
      <c r="E4503" s="70" t="s">
        <v>1</v>
      </c>
      <c r="F4503" s="70"/>
      <c r="G4503" s="70" t="s">
        <v>61</v>
      </c>
      <c r="H4503" s="70" t="s">
        <v>178</v>
      </c>
      <c r="I4503" s="70" t="s">
        <v>181</v>
      </c>
      <c r="J4503" s="71">
        <f>IF(OR(I4503=0,I4503=""),"unrated",VLOOKUP(I4503,MappingTables!$B$19:$C$31,2,FALSE))</f>
        <v>3</v>
      </c>
      <c r="K4503" s="72">
        <v>20132.577496422484</v>
      </c>
      <c r="L4503" s="70">
        <v>6.6346450701312784</v>
      </c>
      <c r="M4503" s="71">
        <f>IF(L4503&lt;1,1,L4503)</f>
        <v>6.6346450701312784</v>
      </c>
      <c r="N4503" s="70" t="s">
        <v>141</v>
      </c>
      <c r="O4503" s="71">
        <f>INDEX(DurClassMapping,MATCH(M4503,MappingTables!$D$4:$D$8,-1),1)</f>
        <v>2</v>
      </c>
      <c r="P4503" s="73">
        <f>IF(M4503=$A$1,1,$M4503-INDEX(MappingTables!$E$4:$E$8,MATCH(O4503,MappingTables!$B$4:$B$8,0)))</f>
        <v>1.6346450701312784</v>
      </c>
      <c r="Q4503" s="71">
        <f>IF(B4503="",0,INDEX(ModelParameters!$D$6:$K$10,MATCH($O4503,ModelParameters!$B$6:$B$10,0),MATCH($J4503,ModelParameters!$D$5:$K$5,0)))</f>
        <v>0.015</v>
      </c>
      <c r="R4503" s="71">
        <f>IF(B4503="",0,INDEX(ModelParameters!$D$13:$K$17,MATCH($O4503,ModelParameters!$B$13:$B$17,0),MATCH($J4503,ModelParameters!$D$5:$K$5,0)))</f>
        <v>0.125</v>
      </c>
      <c r="S4503" s="160">
        <f>IF(B4503="",0,MIN(IF($N4503="Other Bond TM",ModelParameters!$N$21,1)*(P4503*Q4503+R4503),1))</f>
        <v>0.14951967605196916</v>
      </c>
      <c r="T4503" s="85">
        <f>IF(B4503="",0,$S4503*$K4503)</f>
        <v>3010.216465356254</v>
      </c>
      <c r="U4503" s="85">
        <f>IF(B4503="",0,IF(OR(H4503=MappingTables!$C$34,H4503=MappingTables!$C$35),T4503,0))</f>
        <v>0</v>
      </c>
      <c r="V4503" s="85">
        <f>IF(ISNA(IF(AND(VLOOKUP(CONCATENATE($D4503,$G4503),CSRFinput!$B:$E,4,0)=0,OR(H4503=MappingTables!$C$34,H4503=MappingTables!$C$35)),1,VLOOKUP(CONCATENATE($D4503,$G4503),CSRFinput!$B:$E,4,0))),0,IF(AND(VLOOKUP(CONCATENATE($D4503,$G4503),CSRFinput!$B:$E,4,0)=0,OR(H4503=MappingTables!$C$34,H4503=MappingTables!$C$35)),1,VLOOKUP(CONCATENATE($D4503,$G4503),CSRFinput!$B:$E,4,0)))</f>
        <v>0.054776304963434752</v>
      </c>
      <c r="W4503" s="85">
        <f>IF(B4503="",0,+$T4503*$V4503)</f>
        <v>164.88853511230682</v>
      </c>
      <c r="X4503" s="85">
        <f>IF(B4503="",0,IF(OR(H4503=MappingTables!$C$34,H4503=MappingTables!$C$35),W4503,0))</f>
        <v>0</v>
      </c>
    </row>
    <row r="4504" spans="2:24" s="0" customFormat="0" ht="15">
      <c r="B4504" s="69">
        <v>10849654</v>
      </c>
      <c r="C4504" s="70" t="s">
        <v>2809</v>
      </c>
      <c r="D4504" s="70" t="s">
        <v>1</v>
      </c>
      <c r="E4504" s="70" t="s">
        <v>1</v>
      </c>
      <c r="F4504" s="70"/>
      <c r="G4504" s="70" t="s">
        <v>61</v>
      </c>
      <c r="H4504" s="70" t="s">
        <v>178</v>
      </c>
      <c r="I4504" s="70" t="s">
        <v>181</v>
      </c>
      <c r="J4504" s="71">
        <f>IF(OR(I4504=0,I4504=""),"unrated",VLOOKUP(I4504,MappingTables!$B$19:$C$31,2,FALSE))</f>
        <v>3</v>
      </c>
      <c r="K4504" s="72">
        <v>1756.2371701000414</v>
      </c>
      <c r="L4504" s="70">
        <v>10.763705341931206</v>
      </c>
      <c r="M4504" s="71">
        <f>IF(L4504&lt;1,1,L4504)</f>
        <v>10.763705341931206</v>
      </c>
      <c r="N4504" s="70" t="s">
        <v>141</v>
      </c>
      <c r="O4504" s="71">
        <f>INDEX(DurClassMapping,MATCH(M4504,MappingTables!$D$4:$D$8,-1),1)</f>
        <v>3</v>
      </c>
      <c r="P4504" s="73">
        <f>IF(M4504=$A$1,1,$M4504-INDEX(MappingTables!$E$4:$E$8,MATCH(O4504,MappingTables!$B$4:$B$8,0)))</f>
        <v>0.76370534193120672</v>
      </c>
      <c r="Q4504" s="71">
        <f>IF(B4504="",0,INDEX(ModelParameters!$D$6:$K$10,MATCH($O4504,ModelParameters!$B$6:$B$10,0),MATCH($J4504,ModelParameters!$D$5:$K$5,0)))</f>
        <v>0.01</v>
      </c>
      <c r="R4504" s="71">
        <f>IF(B4504="",0,INDEX(ModelParameters!$D$13:$K$17,MATCH($O4504,ModelParameters!$B$13:$B$17,0),MATCH($J4504,ModelParameters!$D$5:$K$5,0)))</f>
        <v>0.2</v>
      </c>
      <c r="S4504" s="160">
        <f>IF(B4504="",0,MIN(IF($N4504="Other Bond TM",ModelParameters!$N$21,1)*(P4504*Q4504+R4504),1))</f>
        <v>0.20763705341931208</v>
      </c>
      <c r="T4504" s="85">
        <f>IF(B4504="",0,$S4504*$K4504)</f>
        <v>364.65991110504376</v>
      </c>
      <c r="U4504" s="85">
        <f>IF(B4504="",0,IF(OR(H4504=MappingTables!$C$34,H4504=MappingTables!$C$35),T4504,0))</f>
        <v>0</v>
      </c>
      <c r="V4504" s="85">
        <f>IF(ISNA(IF(AND(VLOOKUP(CONCATENATE($D4504,$G4504),CSRFinput!$B:$E,4,0)=0,OR(H4504=MappingTables!$C$34,H4504=MappingTables!$C$35)),1,VLOOKUP(CONCATENATE($D4504,$G4504),CSRFinput!$B:$E,4,0))),0,IF(AND(VLOOKUP(CONCATENATE($D4504,$G4504),CSRFinput!$B:$E,4,0)=0,OR(H4504=MappingTables!$C$34,H4504=MappingTables!$C$35)),1,VLOOKUP(CONCATENATE($D4504,$G4504),CSRFinput!$B:$E,4,0)))</f>
        <v>0.054776304963434752</v>
      </c>
      <c r="W4504" s="85">
        <f>IF(B4504="",0,+$T4504*$V4504)</f>
        <v>19.974722498628884</v>
      </c>
      <c r="X4504" s="85">
        <f>IF(B4504="",0,IF(OR(H4504=MappingTables!$C$34,H4504=MappingTables!$C$35),W4504,0))</f>
        <v>0</v>
      </c>
    </row>
    <row r="4505" spans="2:24" s="0" customFormat="0" ht="15">
      <c r="B4505" s="69">
        <v>21329473</v>
      </c>
      <c r="C4505" s="70" t="s">
        <v>2963</v>
      </c>
      <c r="D4505" s="70" t="s">
        <v>1</v>
      </c>
      <c r="E4505" s="70" t="s">
        <v>1</v>
      </c>
      <c r="F4505" s="70"/>
      <c r="G4505" s="70" t="s">
        <v>61</v>
      </c>
      <c r="H4505" s="70" t="s">
        <v>178</v>
      </c>
      <c r="I4505" s="70" t="s">
        <v>188</v>
      </c>
      <c r="J4505" s="71">
        <f>IF(OR(I4505=0,I4505=""),"unrated",VLOOKUP(I4505,MappingTables!$B$19:$C$31,2,FALSE))</f>
        <v>2</v>
      </c>
      <c r="K4505" s="72">
        <v>215.86089991716248</v>
      </c>
      <c r="L4505" s="70">
        <v>3.7125577257505568</v>
      </c>
      <c r="M4505" s="71">
        <f>IF(L4505&lt;1,1,L4505)</f>
        <v>3.7125577257505568</v>
      </c>
      <c r="N4505" s="70" t="s">
        <v>141</v>
      </c>
      <c r="O4505" s="71">
        <f>INDEX(DurClassMapping,MATCH(M4505,MappingTables!$D$4:$D$8,-1),1)</f>
        <v>1</v>
      </c>
      <c r="P4505" s="73">
        <f>IF(M4505=$A$1,1,$M4505-INDEX(MappingTables!$E$4:$E$8,MATCH(O4505,MappingTables!$B$4:$B$8,0)))</f>
        <v>3.7125577257505568</v>
      </c>
      <c r="Q4505" s="71">
        <f>IF(B4505="",0,INDEX(ModelParameters!$D$6:$K$10,MATCH($O4505,ModelParameters!$B$6:$B$10,0),MATCH($J4505,ModelParameters!$D$5:$K$5,0)))</f>
        <v>0.013999999999999998</v>
      </c>
      <c r="R4505" s="71">
        <f>IF(B4505="",0,INDEX(ModelParameters!$D$13:$K$17,MATCH($O4505,ModelParameters!$B$13:$B$17,0),MATCH($J4505,ModelParameters!$D$5:$K$5,0)))</f>
        <v>0</v>
      </c>
      <c r="S4505" s="160">
        <f>IF(B4505="",0,MIN(IF($N4505="Other Bond TM",ModelParameters!$N$21,1)*(P4505*Q4505+R4505),1))</f>
        <v>0.051975808160507784</v>
      </c>
      <c r="T4505" s="85">
        <f>IF(B4505="",0,$S4505*$K4505)</f>
        <v>11.219544723449008</v>
      </c>
      <c r="U4505" s="85">
        <f>IF(B4505="",0,IF(OR(H4505=MappingTables!$C$34,H4505=MappingTables!$C$35),T4505,0))</f>
        <v>0</v>
      </c>
      <c r="V4505" s="85">
        <f>IF(ISNA(IF(AND(VLOOKUP(CONCATENATE($D4505,$G4505),CSRFinput!$B:$E,4,0)=0,OR(H4505=MappingTables!$C$34,H4505=MappingTables!$C$35)),1,VLOOKUP(CONCATENATE($D4505,$G4505),CSRFinput!$B:$E,4,0))),0,IF(AND(VLOOKUP(CONCATENATE($D4505,$G4505),CSRFinput!$B:$E,4,0)=0,OR(H4505=MappingTables!$C$34,H4505=MappingTables!$C$35)),1,VLOOKUP(CONCATENATE($D4505,$G4505),CSRFinput!$B:$E,4,0)))</f>
        <v>0.054776304963434752</v>
      </c>
      <c r="W4505" s="85">
        <f>IF(B4505="",0,+$T4505*$V4505)</f>
        <v>0.61456520332253808</v>
      </c>
      <c r="X4505" s="85">
        <f>IF(B4505="",0,IF(OR(H4505=MappingTables!$C$34,H4505=MappingTables!$C$35),W4505,0))</f>
        <v>0</v>
      </c>
    </row>
    <row r="4506" spans="2:24" s="0" customFormat="0" ht="15">
      <c r="B4506" s="69" t="s">
        <v>2927</v>
      </c>
      <c r="C4506" s="70" t="s">
        <v>2928</v>
      </c>
      <c r="D4506" s="70" t="s">
        <v>1</v>
      </c>
      <c r="E4506" s="70" t="s">
        <v>1</v>
      </c>
      <c r="F4506" s="70"/>
      <c r="G4506" s="70" t="s">
        <v>61</v>
      </c>
      <c r="H4506" s="70" t="s">
        <v>178</v>
      </c>
      <c r="I4506" s="70" t="s">
        <v>198</v>
      </c>
      <c r="J4506" s="71" t="str">
        <f>IF(OR(I4506=0,I4506=""),"unrated",VLOOKUP(I4506,MappingTables!$B$19:$C$31,2,FALSE))</f>
        <v>unrated</v>
      </c>
      <c r="K4506" s="72">
        <v>49002.96859011256</v>
      </c>
      <c r="L4506" s="70">
        <v>14.327451256683312</v>
      </c>
      <c r="M4506" s="71">
        <f>IF(L4506&lt;1,1,L4506)</f>
        <v>14.327451256683312</v>
      </c>
      <c r="N4506" s="70" t="s">
        <v>141</v>
      </c>
      <c r="O4506" s="71">
        <f>INDEX(DurClassMapping,MATCH(M4506,MappingTables!$D$4:$D$8,-1),1)</f>
        <v>3</v>
      </c>
      <c r="P4506" s="73">
        <f>IF(M4506=$A$1,1,$M4506-INDEX(MappingTables!$E$4:$E$8,MATCH(O4506,MappingTables!$B$4:$B$8,0)))</f>
        <v>4.3274512566833128</v>
      </c>
      <c r="Q4506" s="71">
        <f>IF(B4506="",0,INDEX(ModelParameters!$D$6:$K$10,MATCH($O4506,ModelParameters!$B$6:$B$10,0),MATCH($J4506,ModelParameters!$D$5:$K$5,0)))</f>
        <v>0.012</v>
      </c>
      <c r="R4506" s="71">
        <f>IF(B4506="",0,INDEX(ModelParameters!$D$13:$K$17,MATCH($O4506,ModelParameters!$B$13:$B$17,0),MATCH($J4506,ModelParameters!$D$5:$K$5,0)))</f>
        <v>0.235</v>
      </c>
      <c r="S4506" s="160">
        <f>IF(B4506="",0,MIN(IF($N4506="Other Bond TM",ModelParameters!$N$21,1)*(P4506*Q4506+R4506),1))</f>
        <v>0.28692941508019976</v>
      </c>
      <c r="T4506" s="85">
        <f>IF(B4506="",0,$S4506*$K4506)</f>
        <v>14060.393114754398</v>
      </c>
      <c r="U4506" s="85">
        <f>IF(B4506="",0,IF(OR(H4506=MappingTables!$C$34,H4506=MappingTables!$C$35),T4506,0))</f>
        <v>0</v>
      </c>
      <c r="V4506" s="85">
        <f>IF(ISNA(IF(AND(VLOOKUP(CONCATENATE($D4506,$G4506),CSRFinput!$B:$E,4,0)=0,OR(H4506=MappingTables!$C$34,H4506=MappingTables!$C$35)),1,VLOOKUP(CONCATENATE($D4506,$G4506),CSRFinput!$B:$E,4,0))),0,IF(AND(VLOOKUP(CONCATENATE($D4506,$G4506),CSRFinput!$B:$E,4,0)=0,OR(H4506=MappingTables!$C$34,H4506=MappingTables!$C$35)),1,VLOOKUP(CONCATENATE($D4506,$G4506),CSRFinput!$B:$E,4,0)))</f>
        <v>0.054776304963434752</v>
      </c>
      <c r="W4506" s="85">
        <f>IF(B4506="",0,+$T4506*$V4506)</f>
        <v>770.17638115956528</v>
      </c>
      <c r="X4506" s="85">
        <f>IF(B4506="",0,IF(OR(H4506=MappingTables!$C$34,H4506=MappingTables!$C$35),W4506,0))</f>
        <v>0</v>
      </c>
    </row>
    <row r="4507" spans="2:24" s="0" customFormat="0" ht="15">
      <c r="B4507" s="69">
        <v>15217220</v>
      </c>
      <c r="C4507" s="70" t="s">
        <v>1184</v>
      </c>
      <c r="D4507" s="70" t="s">
        <v>1</v>
      </c>
      <c r="E4507" s="70" t="s">
        <v>1</v>
      </c>
      <c r="F4507" s="70"/>
      <c r="G4507" s="70" t="s">
        <v>61</v>
      </c>
      <c r="H4507" s="70" t="s">
        <v>178</v>
      </c>
      <c r="I4507" s="70" t="s">
        <v>179</v>
      </c>
      <c r="J4507" s="71">
        <f>IF(OR(I4507=0,I4507=""),"unrated",VLOOKUP(I4507,MappingTables!$B$19:$C$31,2,FALSE))</f>
        <v>4</v>
      </c>
      <c r="K4507" s="72">
        <v>1323.1632310174494</v>
      </c>
      <c r="L4507" s="70">
        <v>0.032871256475111028</v>
      </c>
      <c r="M4507" s="71">
        <f>IF(L4507&lt;1,1,L4507)</f>
        <v>1</v>
      </c>
      <c r="N4507" s="70" t="s">
        <v>141</v>
      </c>
      <c r="O4507" s="71">
        <f>INDEX(DurClassMapping,MATCH(M4507,MappingTables!$D$4:$D$8,-1),1)</f>
        <v>1</v>
      </c>
      <c r="P4507" s="73">
        <f>IF(M4507=$A$1,1,$M4507-INDEX(MappingTables!$E$4:$E$8,MATCH(O4507,MappingTables!$B$4:$B$8,0)))</f>
        <v>1</v>
      </c>
      <c r="Q4507" s="71">
        <f>IF(B4507="",0,INDEX(ModelParameters!$D$6:$K$10,MATCH($O4507,ModelParameters!$B$6:$B$10,0),MATCH($J4507,ModelParameters!$D$5:$K$5,0)))</f>
        <v>0.045</v>
      </c>
      <c r="R4507" s="71">
        <f>IF(B4507="",0,INDEX(ModelParameters!$D$13:$K$17,MATCH($O4507,ModelParameters!$B$13:$B$17,0),MATCH($J4507,ModelParameters!$D$5:$K$5,0)))</f>
        <v>0</v>
      </c>
      <c r="S4507" s="160">
        <f>IF(B4507="",0,MIN(IF($N4507="Other Bond TM",ModelParameters!$N$21,1)*(P4507*Q4507+R4507),1))</f>
        <v>0.045</v>
      </c>
      <c r="T4507" s="85">
        <f>IF(B4507="",0,$S4507*$K4507)</f>
        <v>59.542345395785216</v>
      </c>
      <c r="U4507" s="85">
        <f>IF(B4507="",0,IF(OR(H4507=MappingTables!$C$34,H4507=MappingTables!$C$35),T4507,0))</f>
        <v>0</v>
      </c>
      <c r="V4507" s="85">
        <f>IF(ISNA(IF(AND(VLOOKUP(CONCATENATE($D4507,$G4507),CSRFinput!$B:$E,4,0)=0,OR(H4507=MappingTables!$C$34,H4507=MappingTables!$C$35)),1,VLOOKUP(CONCATENATE($D4507,$G4507),CSRFinput!$B:$E,4,0))),0,IF(AND(VLOOKUP(CONCATENATE($D4507,$G4507),CSRFinput!$B:$E,4,0)=0,OR(H4507=MappingTables!$C$34,H4507=MappingTables!$C$35)),1,VLOOKUP(CONCATENATE($D4507,$G4507),CSRFinput!$B:$E,4,0)))</f>
        <v>0.054776304963434752</v>
      </c>
      <c r="W4507" s="85">
        <f>IF(B4507="",0,+$T4507*$V4507)</f>
        <v>3.261509669637696</v>
      </c>
      <c r="X4507" s="85">
        <f>IF(B4507="",0,IF(OR(H4507=MappingTables!$C$34,H4507=MappingTables!$C$35),W4507,0))</f>
        <v>0</v>
      </c>
    </row>
    <row r="4508" spans="2:24" s="0" customFormat="0" ht="15">
      <c r="B4508" s="69">
        <v>14553905</v>
      </c>
      <c r="C4508" s="70" t="s">
        <v>2526</v>
      </c>
      <c r="D4508" s="70" t="s">
        <v>1</v>
      </c>
      <c r="E4508" s="70" t="s">
        <v>1</v>
      </c>
      <c r="F4508" s="70"/>
      <c r="G4508" s="70" t="s">
        <v>61</v>
      </c>
      <c r="H4508" s="70" t="s">
        <v>178</v>
      </c>
      <c r="I4508" s="70" t="s">
        <v>184</v>
      </c>
      <c r="J4508" s="71">
        <f>IF(OR(I4508=0,I4508=""),"unrated",VLOOKUP(I4508,MappingTables!$B$19:$C$31,2,FALSE))</f>
        <v>5</v>
      </c>
      <c r="K4508" s="72">
        <v>1294.761387320878</v>
      </c>
      <c r="L4508" s="70">
        <v>5.6304097407560064</v>
      </c>
      <c r="M4508" s="71">
        <f>IF(L4508&lt;1,1,L4508)</f>
        <v>5.6304097407560064</v>
      </c>
      <c r="N4508" s="70" t="s">
        <v>141</v>
      </c>
      <c r="O4508" s="71">
        <f>INDEX(DurClassMapping,MATCH(M4508,MappingTables!$D$4:$D$8,-1),1)</f>
        <v>2</v>
      </c>
      <c r="P4508" s="73">
        <f>IF(M4508=$A$1,1,$M4508-INDEX(MappingTables!$E$4:$E$8,MATCH(O4508,MappingTables!$B$4:$B$8,0)))</f>
        <v>0.63040974075600608</v>
      </c>
      <c r="Q4508" s="71">
        <f>IF(B4508="",0,INDEX(ModelParameters!$D$6:$K$10,MATCH($O4508,ModelParameters!$B$6:$B$10,0),MATCH($J4508,ModelParameters!$D$5:$K$5,0)))</f>
        <v>0.042</v>
      </c>
      <c r="R4508" s="71">
        <f>IF(B4508="",0,INDEX(ModelParameters!$D$13:$K$17,MATCH($O4508,ModelParameters!$B$13:$B$17,0),MATCH($J4508,ModelParameters!$D$5:$K$5,0)))</f>
        <v>0.375</v>
      </c>
      <c r="S4508" s="160">
        <f>IF(B4508="",0,MIN(IF($N4508="Other Bond TM",ModelParameters!$N$21,1)*(P4508*Q4508+R4508),1))</f>
        <v>0.40147720911175224</v>
      </c>
      <c r="T4508" s="85">
        <f>IF(B4508="",0,$S4508*$K4508)</f>
        <v>519.81718824724656</v>
      </c>
      <c r="U4508" s="85">
        <f>IF(B4508="",0,IF(OR(H4508=MappingTables!$C$34,H4508=MappingTables!$C$35),T4508,0))</f>
        <v>0</v>
      </c>
      <c r="V4508" s="85">
        <f>IF(ISNA(IF(AND(VLOOKUP(CONCATENATE($D4508,$G4508),CSRFinput!$B:$E,4,0)=0,OR(H4508=MappingTables!$C$34,H4508=MappingTables!$C$35)),1,VLOOKUP(CONCATENATE($D4508,$G4508),CSRFinput!$B:$E,4,0))),0,IF(AND(VLOOKUP(CONCATENATE($D4508,$G4508),CSRFinput!$B:$E,4,0)=0,OR(H4508=MappingTables!$C$34,H4508=MappingTables!$C$35)),1,VLOOKUP(CONCATENATE($D4508,$G4508),CSRFinput!$B:$E,4,0)))</f>
        <v>0.054776304963434752</v>
      </c>
      <c r="W4508" s="85">
        <f>IF(B4508="",0,+$T4508*$V4508)</f>
        <v>28.473664828666352</v>
      </c>
      <c r="X4508" s="85">
        <f>IF(B4508="",0,IF(OR(H4508=MappingTables!$C$34,H4508=MappingTables!$C$35),W4508,0))</f>
        <v>0</v>
      </c>
    </row>
    <row r="4509" spans="2:24" s="0" customFormat="0" ht="15">
      <c r="B4509" s="69">
        <v>14041518</v>
      </c>
      <c r="C4509" s="70" t="s">
        <v>2728</v>
      </c>
      <c r="D4509" s="70" t="s">
        <v>1</v>
      </c>
      <c r="E4509" s="70" t="s">
        <v>1</v>
      </c>
      <c r="F4509" s="70"/>
      <c r="G4509" s="70" t="s">
        <v>61</v>
      </c>
      <c r="H4509" s="70" t="s">
        <v>178</v>
      </c>
      <c r="I4509" s="70" t="s">
        <v>181</v>
      </c>
      <c r="J4509" s="71">
        <f>IF(OR(I4509=0,I4509=""),"unrated",VLOOKUP(I4509,MappingTables!$B$19:$C$31,2,FALSE))</f>
        <v>3</v>
      </c>
      <c r="K4509" s="72">
        <v>92.837625200145312</v>
      </c>
      <c r="L4509" s="70">
        <v>1.2880102107575526</v>
      </c>
      <c r="M4509" s="71">
        <f>IF(L4509&lt;1,1,L4509)</f>
        <v>1.2880102107575526</v>
      </c>
      <c r="N4509" s="70" t="s">
        <v>141</v>
      </c>
      <c r="O4509" s="71">
        <f>INDEX(DurClassMapping,MATCH(M4509,MappingTables!$D$4:$D$8,-1),1)</f>
        <v>1</v>
      </c>
      <c r="P4509" s="73">
        <f>IF(M4509=$A$1,1,$M4509-INDEX(MappingTables!$E$4:$E$8,MATCH(O4509,MappingTables!$B$4:$B$8,0)))</f>
        <v>1.2880102107575526</v>
      </c>
      <c r="Q4509" s="71">
        <f>IF(B4509="",0,INDEX(ModelParameters!$D$6:$K$10,MATCH($O4509,ModelParameters!$B$6:$B$10,0),MATCH($J4509,ModelParameters!$D$5:$K$5,0)))</f>
        <v>0.025</v>
      </c>
      <c r="R4509" s="71">
        <f>IF(B4509="",0,INDEX(ModelParameters!$D$13:$K$17,MATCH($O4509,ModelParameters!$B$13:$B$17,0),MATCH($J4509,ModelParameters!$D$5:$K$5,0)))</f>
        <v>0</v>
      </c>
      <c r="S4509" s="160">
        <f>IF(B4509="",0,MIN(IF($N4509="Other Bond TM",ModelParameters!$N$21,1)*(P4509*Q4509+R4509),1))</f>
        <v>0.03220025526893882</v>
      </c>
      <c r="T4509" s="85">
        <f>IF(B4509="",0,$S4509*$K4509)</f>
        <v>2.9893952300067464</v>
      </c>
      <c r="U4509" s="85">
        <f>IF(B4509="",0,IF(OR(H4509=MappingTables!$C$34,H4509=MappingTables!$C$35),T4509,0))</f>
        <v>0</v>
      </c>
      <c r="V4509" s="85">
        <f>IF(ISNA(IF(AND(VLOOKUP(CONCATENATE($D4509,$G4509),CSRFinput!$B:$E,4,0)=0,OR(H4509=MappingTables!$C$34,H4509=MappingTables!$C$35)),1,VLOOKUP(CONCATENATE($D4509,$G4509),CSRFinput!$B:$E,4,0))),0,IF(AND(VLOOKUP(CONCATENATE($D4509,$G4509),CSRFinput!$B:$E,4,0)=0,OR(H4509=MappingTables!$C$34,H4509=MappingTables!$C$35)),1,VLOOKUP(CONCATENATE($D4509,$G4509),CSRFinput!$B:$E,4,0)))</f>
        <v>0.054776304963434752</v>
      </c>
      <c r="W4509" s="85">
        <f>IF(B4509="",0,+$T4509*$V4509)</f>
        <v>0.16374802477508674</v>
      </c>
      <c r="X4509" s="85">
        <f>IF(B4509="",0,IF(OR(H4509=MappingTables!$C$34,H4509=MappingTables!$C$35),W4509,0))</f>
        <v>0</v>
      </c>
    </row>
    <row r="4510" spans="2:24" s="0" customFormat="0" ht="15">
      <c r="B4510" s="69">
        <v>14542520</v>
      </c>
      <c r="C4510" s="70" t="s">
        <v>1620</v>
      </c>
      <c r="D4510" s="70" t="s">
        <v>1</v>
      </c>
      <c r="E4510" s="70" t="s">
        <v>1</v>
      </c>
      <c r="F4510" s="70"/>
      <c r="G4510" s="70" t="s">
        <v>61</v>
      </c>
      <c r="H4510" s="70" t="s">
        <v>178</v>
      </c>
      <c r="I4510" s="70" t="s">
        <v>220</v>
      </c>
      <c r="J4510" s="71">
        <f>IF(OR(I4510=0,I4510=""),"unrated",VLOOKUP(I4510,MappingTables!$B$19:$C$31,2,FALSE))</f>
        <v>1</v>
      </c>
      <c r="K4510" s="72">
        <v>4359.8421122357432</v>
      </c>
      <c r="L4510" s="70">
        <v>5.7227238804940512</v>
      </c>
      <c r="M4510" s="71">
        <f>IF(L4510&lt;1,1,L4510)</f>
        <v>5.7227238804940512</v>
      </c>
      <c r="N4510" s="70" t="s">
        <v>141</v>
      </c>
      <c r="O4510" s="71">
        <f>INDEX(DurClassMapping,MATCH(M4510,MappingTables!$D$4:$D$8,-1),1)</f>
        <v>2</v>
      </c>
      <c r="P4510" s="73">
        <f>IF(M4510=$A$1,1,$M4510-INDEX(MappingTables!$E$4:$E$8,MATCH(O4510,MappingTables!$B$4:$B$8,0)))</f>
        <v>0.7227238804940512</v>
      </c>
      <c r="Q4510" s="71">
        <f>IF(B4510="",0,INDEX(ModelParameters!$D$6:$K$10,MATCH($O4510,ModelParameters!$B$6:$B$10,0),MATCH($J4510,ModelParameters!$D$5:$K$5,0)))</f>
        <v>0.006</v>
      </c>
      <c r="R4510" s="71">
        <f>IF(B4510="",0,INDEX(ModelParameters!$D$13:$K$17,MATCH($O4510,ModelParameters!$B$13:$B$17,0),MATCH($J4510,ModelParameters!$D$5:$K$5,0)))</f>
        <v>0.055</v>
      </c>
      <c r="S4510" s="160">
        <f>IF(B4510="",0,MIN(IF($N4510="Other Bond TM",ModelParameters!$N$21,1)*(P4510*Q4510+R4510),1))</f>
        <v>0.059336343282964304</v>
      </c>
      <c r="T4510" s="85">
        <f>IF(B4510="",0,$S4510*$K4510)</f>
        <v>258.69708823114424</v>
      </c>
      <c r="U4510" s="85">
        <f>IF(B4510="",0,IF(OR(H4510=MappingTables!$C$34,H4510=MappingTables!$C$35),T4510,0))</f>
        <v>0</v>
      </c>
      <c r="V4510" s="85">
        <f>IF(ISNA(IF(AND(VLOOKUP(CONCATENATE($D4510,$G4510),CSRFinput!$B:$E,4,0)=0,OR(H4510=MappingTables!$C$34,H4510=MappingTables!$C$35)),1,VLOOKUP(CONCATENATE($D4510,$G4510),CSRFinput!$B:$E,4,0))),0,IF(AND(VLOOKUP(CONCATENATE($D4510,$G4510),CSRFinput!$B:$E,4,0)=0,OR(H4510=MappingTables!$C$34,H4510=MappingTables!$C$35)),1,VLOOKUP(CONCATENATE($D4510,$G4510),CSRFinput!$B:$E,4,0)))</f>
        <v>0.054776304963434752</v>
      </c>
      <c r="W4510" s="85">
        <f>IF(B4510="",0,+$T4510*$V4510)</f>
        <v>14.170470598101744</v>
      </c>
      <c r="X4510" s="85">
        <f>IF(B4510="",0,IF(OR(H4510=MappingTables!$C$34,H4510=MappingTables!$C$35),W4510,0))</f>
        <v>0</v>
      </c>
    </row>
    <row r="4511" spans="2:24" s="0" customFormat="0" ht="15">
      <c r="B4511" s="69">
        <v>25212139</v>
      </c>
      <c r="C4511" s="70" t="s">
        <v>2887</v>
      </c>
      <c r="D4511" s="70" t="s">
        <v>1</v>
      </c>
      <c r="E4511" s="70" t="s">
        <v>1</v>
      </c>
      <c r="F4511" s="70"/>
      <c r="G4511" s="70" t="s">
        <v>61</v>
      </c>
      <c r="H4511" s="70" t="s">
        <v>178</v>
      </c>
      <c r="I4511" s="70" t="s">
        <v>188</v>
      </c>
      <c r="J4511" s="71">
        <f>IF(OR(I4511=0,I4511=""),"unrated",VLOOKUP(I4511,MappingTables!$B$19:$C$31,2,FALSE))</f>
        <v>2</v>
      </c>
      <c r="K4511" s="72">
        <v>624.86387238509416</v>
      </c>
      <c r="L4511" s="70">
        <v>1.8490355515818832</v>
      </c>
      <c r="M4511" s="71">
        <f>IF(L4511&lt;1,1,L4511)</f>
        <v>1.8490355515818832</v>
      </c>
      <c r="N4511" s="70" t="s">
        <v>141</v>
      </c>
      <c r="O4511" s="71">
        <f>INDEX(DurClassMapping,MATCH(M4511,MappingTables!$D$4:$D$8,-1),1)</f>
        <v>1</v>
      </c>
      <c r="P4511" s="73">
        <f>IF(M4511=$A$1,1,$M4511-INDEX(MappingTables!$E$4:$E$8,MATCH(O4511,MappingTables!$B$4:$B$8,0)))</f>
        <v>1.8490355515818832</v>
      </c>
      <c r="Q4511" s="71">
        <f>IF(B4511="",0,INDEX(ModelParameters!$D$6:$K$10,MATCH($O4511,ModelParameters!$B$6:$B$10,0),MATCH($J4511,ModelParameters!$D$5:$K$5,0)))</f>
        <v>0.013999999999999998</v>
      </c>
      <c r="R4511" s="71">
        <f>IF(B4511="",0,INDEX(ModelParameters!$D$13:$K$17,MATCH($O4511,ModelParameters!$B$13:$B$17,0),MATCH($J4511,ModelParameters!$D$5:$K$5,0)))</f>
        <v>0</v>
      </c>
      <c r="S4511" s="160">
        <f>IF(B4511="",0,MIN(IF($N4511="Other Bond TM",ModelParameters!$N$21,1)*(P4511*Q4511+R4511),1))</f>
        <v>0.02588649772214636</v>
      </c>
      <c r="T4511" s="85">
        <f>IF(B4511="",0,$S4511*$K4511)</f>
        <v>16.175537209148296</v>
      </c>
      <c r="U4511" s="85">
        <f>IF(B4511="",0,IF(OR(H4511=MappingTables!$C$34,H4511=MappingTables!$C$35),T4511,0))</f>
        <v>0</v>
      </c>
      <c r="V4511" s="85">
        <f>IF(ISNA(IF(AND(VLOOKUP(CONCATENATE($D4511,$G4511),CSRFinput!$B:$E,4,0)=0,OR(H4511=MappingTables!$C$34,H4511=MappingTables!$C$35)),1,VLOOKUP(CONCATENATE($D4511,$G4511),CSRFinput!$B:$E,4,0))),0,IF(AND(VLOOKUP(CONCATENATE($D4511,$G4511),CSRFinput!$B:$E,4,0)=0,OR(H4511=MappingTables!$C$34,H4511=MappingTables!$C$35)),1,VLOOKUP(CONCATENATE($D4511,$G4511),CSRFinput!$B:$E,4,0)))</f>
        <v>0.054776304963434752</v>
      </c>
      <c r="W4511" s="85">
        <f>IF(B4511="",0,+$T4511*$V4511)</f>
        <v>0.88603615911569328</v>
      </c>
      <c r="X4511" s="85">
        <f>IF(B4511="",0,IF(OR(H4511=MappingTables!$C$34,H4511=MappingTables!$C$35),W4511,0))</f>
        <v>0</v>
      </c>
    </row>
    <row r="4512" spans="2:24" s="0" customFormat="0" ht="15">
      <c r="B4512" s="69">
        <v>14559425</v>
      </c>
      <c r="C4512" s="70" t="s">
        <v>3013</v>
      </c>
      <c r="D4512" s="70" t="s">
        <v>1</v>
      </c>
      <c r="E4512" s="70" t="s">
        <v>1</v>
      </c>
      <c r="F4512" s="70"/>
      <c r="G4512" s="70" t="s">
        <v>61</v>
      </c>
      <c r="H4512" s="70" t="s">
        <v>178</v>
      </c>
      <c r="I4512" s="70" t="s">
        <v>181</v>
      </c>
      <c r="J4512" s="71">
        <f>IF(OR(I4512=0,I4512=""),"unrated",VLOOKUP(I4512,MappingTables!$B$19:$C$31,2,FALSE))</f>
        <v>3</v>
      </c>
      <c r="K4512" s="72">
        <v>61674.757380105528</v>
      </c>
      <c r="L4512" s="70">
        <v>3.1748922532947744</v>
      </c>
      <c r="M4512" s="71">
        <f>IF(L4512&lt;1,1,L4512)</f>
        <v>3.1748922532947744</v>
      </c>
      <c r="N4512" s="70" t="s">
        <v>141</v>
      </c>
      <c r="O4512" s="71">
        <f>INDEX(DurClassMapping,MATCH(M4512,MappingTables!$D$4:$D$8,-1),1)</f>
        <v>1</v>
      </c>
      <c r="P4512" s="73">
        <f>IF(M4512=$A$1,1,$M4512-INDEX(MappingTables!$E$4:$E$8,MATCH(O4512,MappingTables!$B$4:$B$8,0)))</f>
        <v>3.1748922532947744</v>
      </c>
      <c r="Q4512" s="71">
        <f>IF(B4512="",0,INDEX(ModelParameters!$D$6:$K$10,MATCH($O4512,ModelParameters!$B$6:$B$10,0),MATCH($J4512,ModelParameters!$D$5:$K$5,0)))</f>
        <v>0.025</v>
      </c>
      <c r="R4512" s="71">
        <f>IF(B4512="",0,INDEX(ModelParameters!$D$13:$K$17,MATCH($O4512,ModelParameters!$B$13:$B$17,0),MATCH($J4512,ModelParameters!$D$5:$K$5,0)))</f>
        <v>0</v>
      </c>
      <c r="S4512" s="160">
        <f>IF(B4512="",0,MIN(IF($N4512="Other Bond TM",ModelParameters!$N$21,1)*(P4512*Q4512+R4512),1))</f>
        <v>0.07937230633236936</v>
      </c>
      <c r="T4512" s="85">
        <f>IF(B4512="",0,$S4512*$K4512)</f>
        <v>4895.2677357482936</v>
      </c>
      <c r="U4512" s="85">
        <f>IF(B4512="",0,IF(OR(H4512=MappingTables!$C$34,H4512=MappingTables!$C$35),T4512,0))</f>
        <v>0</v>
      </c>
      <c r="V4512" s="85">
        <f>IF(ISNA(IF(AND(VLOOKUP(CONCATENATE($D4512,$G4512),CSRFinput!$B:$E,4,0)=0,OR(H4512=MappingTables!$C$34,H4512=MappingTables!$C$35)),1,VLOOKUP(CONCATENATE($D4512,$G4512),CSRFinput!$B:$E,4,0))),0,IF(AND(VLOOKUP(CONCATENATE($D4512,$G4512),CSRFinput!$B:$E,4,0)=0,OR(H4512=MappingTables!$C$34,H4512=MappingTables!$C$35)),1,VLOOKUP(CONCATENATE($D4512,$G4512),CSRFinput!$B:$E,4,0)))</f>
        <v>0.054776304963434752</v>
      </c>
      <c r="W4512" s="85">
        <f>IF(B4512="",0,+$T4512*$V4512)</f>
        <v>268.14467837101124</v>
      </c>
      <c r="X4512" s="85">
        <f>IF(B4512="",0,IF(OR(H4512=MappingTables!$C$34,H4512=MappingTables!$C$35),W4512,0))</f>
        <v>0</v>
      </c>
    </row>
    <row r="4513" spans="2:24" s="0" customFormat="0" ht="15">
      <c r="B4513" s="69">
        <v>13627396</v>
      </c>
      <c r="C4513" s="70" t="s">
        <v>2869</v>
      </c>
      <c r="D4513" s="70" t="s">
        <v>1</v>
      </c>
      <c r="E4513" s="70" t="s">
        <v>1</v>
      </c>
      <c r="F4513" s="70"/>
      <c r="G4513" s="70" t="s">
        <v>61</v>
      </c>
      <c r="H4513" s="70" t="s">
        <v>178</v>
      </c>
      <c r="I4513" s="70" t="s">
        <v>181</v>
      </c>
      <c r="J4513" s="71">
        <f>IF(OR(I4513=0,I4513=""),"unrated",VLOOKUP(I4513,MappingTables!$B$19:$C$31,2,FALSE))</f>
        <v>3</v>
      </c>
      <c r="K4513" s="72">
        <v>18216.508595803568</v>
      </c>
      <c r="L4513" s="70">
        <v>4.6673159166547128</v>
      </c>
      <c r="M4513" s="71">
        <f>IF(L4513&lt;1,1,L4513)</f>
        <v>4.6673159166547128</v>
      </c>
      <c r="N4513" s="70" t="s">
        <v>141</v>
      </c>
      <c r="O4513" s="71">
        <f>INDEX(DurClassMapping,MATCH(M4513,MappingTables!$D$4:$D$8,-1),1)</f>
        <v>1</v>
      </c>
      <c r="P4513" s="73">
        <f>IF(M4513=$A$1,1,$M4513-INDEX(MappingTables!$E$4:$E$8,MATCH(O4513,MappingTables!$B$4:$B$8,0)))</f>
        <v>4.6673159166547128</v>
      </c>
      <c r="Q4513" s="71">
        <f>IF(B4513="",0,INDEX(ModelParameters!$D$6:$K$10,MATCH($O4513,ModelParameters!$B$6:$B$10,0),MATCH($J4513,ModelParameters!$D$5:$K$5,0)))</f>
        <v>0.025</v>
      </c>
      <c r="R4513" s="71">
        <f>IF(B4513="",0,INDEX(ModelParameters!$D$13:$K$17,MATCH($O4513,ModelParameters!$B$13:$B$17,0),MATCH($J4513,ModelParameters!$D$5:$K$5,0)))</f>
        <v>0</v>
      </c>
      <c r="S4513" s="160">
        <f>IF(B4513="",0,MIN(IF($N4513="Other Bond TM",ModelParameters!$N$21,1)*(P4513*Q4513+R4513),1))</f>
        <v>0.11668289791636782</v>
      </c>
      <c r="T4513" s="85">
        <f>IF(B4513="",0,$S4513*$K4513)</f>
        <v>2125.5550128767844</v>
      </c>
      <c r="U4513" s="85">
        <f>IF(B4513="",0,IF(OR(H4513=MappingTables!$C$34,H4513=MappingTables!$C$35),T4513,0))</f>
        <v>0</v>
      </c>
      <c r="V4513" s="85">
        <f>IF(ISNA(IF(AND(VLOOKUP(CONCATENATE($D4513,$G4513),CSRFinput!$B:$E,4,0)=0,OR(H4513=MappingTables!$C$34,H4513=MappingTables!$C$35)),1,VLOOKUP(CONCATENATE($D4513,$G4513),CSRFinput!$B:$E,4,0))),0,IF(AND(VLOOKUP(CONCATENATE($D4513,$G4513),CSRFinput!$B:$E,4,0)=0,OR(H4513=MappingTables!$C$34,H4513=MappingTables!$C$35)),1,VLOOKUP(CONCATENATE($D4513,$G4513),CSRFinput!$B:$E,4,0)))</f>
        <v>0.054776304963434752</v>
      </c>
      <c r="W4513" s="85">
        <f>IF(B4513="",0,+$T4513*$V4513)</f>
        <v>116.43004960189622</v>
      </c>
      <c r="X4513" s="85">
        <f>IF(B4513="",0,IF(OR(H4513=MappingTables!$C$34,H4513=MappingTables!$C$35),W4513,0))</f>
        <v>0</v>
      </c>
    </row>
    <row r="4514" spans="2:24" s="0" customFormat="0" ht="15">
      <c r="B4514" s="69">
        <v>13563455</v>
      </c>
      <c r="C4514" s="70" t="s">
        <v>2530</v>
      </c>
      <c r="D4514" s="70" t="s">
        <v>1</v>
      </c>
      <c r="E4514" s="70" t="s">
        <v>1</v>
      </c>
      <c r="F4514" s="70"/>
      <c r="G4514" s="70" t="s">
        <v>61</v>
      </c>
      <c r="H4514" s="70" t="s">
        <v>178</v>
      </c>
      <c r="I4514" s="70" t="s">
        <v>184</v>
      </c>
      <c r="J4514" s="71">
        <f>IF(OR(I4514=0,I4514=""),"unrated",VLOOKUP(I4514,MappingTables!$B$19:$C$31,2,FALSE))</f>
        <v>5</v>
      </c>
      <c r="K4514" s="72">
        <v>11602.205248860482</v>
      </c>
      <c r="L4514" s="70">
        <v>1.2593116932121982</v>
      </c>
      <c r="M4514" s="71">
        <f>IF(L4514&lt;1,1,L4514)</f>
        <v>1.2593116932121982</v>
      </c>
      <c r="N4514" s="70" t="s">
        <v>141</v>
      </c>
      <c r="O4514" s="71">
        <f>INDEX(DurClassMapping,MATCH(M4514,MappingTables!$D$4:$D$8,-1),1)</f>
        <v>1</v>
      </c>
      <c r="P4514" s="73">
        <f>IF(M4514=$A$1,1,$M4514-INDEX(MappingTables!$E$4:$E$8,MATCH(O4514,MappingTables!$B$4:$B$8,0)))</f>
        <v>1.2593116932121982</v>
      </c>
      <c r="Q4514" s="71">
        <f>IF(B4514="",0,INDEX(ModelParameters!$D$6:$K$10,MATCH($O4514,ModelParameters!$B$6:$B$10,0),MATCH($J4514,ModelParameters!$D$5:$K$5,0)))</f>
        <v>0.075</v>
      </c>
      <c r="R4514" s="71">
        <f>IF(B4514="",0,INDEX(ModelParameters!$D$13:$K$17,MATCH($O4514,ModelParameters!$B$13:$B$17,0),MATCH($J4514,ModelParameters!$D$5:$K$5,0)))</f>
        <v>0</v>
      </c>
      <c r="S4514" s="160">
        <f>IF(B4514="",0,MIN(IF($N4514="Other Bond TM",ModelParameters!$N$21,1)*(P4514*Q4514+R4514),1))</f>
        <v>0.094448376990914864</v>
      </c>
      <c r="T4514" s="85">
        <f>IF(B4514="",0,$S4514*$K4514)</f>
        <v>1095.809455270346</v>
      </c>
      <c r="U4514" s="85">
        <f>IF(B4514="",0,IF(OR(H4514=MappingTables!$C$34,H4514=MappingTables!$C$35),T4514,0))</f>
        <v>0</v>
      </c>
      <c r="V4514" s="85">
        <f>IF(ISNA(IF(AND(VLOOKUP(CONCATENATE($D4514,$G4514),CSRFinput!$B:$E,4,0)=0,OR(H4514=MappingTables!$C$34,H4514=MappingTables!$C$35)),1,VLOOKUP(CONCATENATE($D4514,$G4514),CSRFinput!$B:$E,4,0))),0,IF(AND(VLOOKUP(CONCATENATE($D4514,$G4514),CSRFinput!$B:$E,4,0)=0,OR(H4514=MappingTables!$C$34,H4514=MappingTables!$C$35)),1,VLOOKUP(CONCATENATE($D4514,$G4514),CSRFinput!$B:$E,4,0)))</f>
        <v>0.054776304963434752</v>
      </c>
      <c r="W4514" s="85">
        <f>IF(B4514="",0,+$T4514*$V4514)</f>
        <v>60.024392903703784</v>
      </c>
      <c r="X4514" s="85">
        <f>IF(B4514="",0,IF(OR(H4514=MappingTables!$C$34,H4514=MappingTables!$C$35),W4514,0))</f>
        <v>0</v>
      </c>
    </row>
    <row r="4515" spans="2:24" s="0" customFormat="0" ht="15">
      <c r="B4515" s="69" t="s">
        <v>2718</v>
      </c>
      <c r="C4515" s="70" t="s">
        <v>2719</v>
      </c>
      <c r="D4515" s="70" t="s">
        <v>1</v>
      </c>
      <c r="E4515" s="70" t="s">
        <v>1</v>
      </c>
      <c r="F4515" s="70"/>
      <c r="G4515" s="70" t="s">
        <v>61</v>
      </c>
      <c r="H4515" s="70" t="s">
        <v>178</v>
      </c>
      <c r="I4515" s="70" t="s">
        <v>179</v>
      </c>
      <c r="J4515" s="71">
        <f>IF(OR(I4515=0,I4515=""),"unrated",VLOOKUP(I4515,MappingTables!$B$19:$C$31,2,FALSE))</f>
        <v>4</v>
      </c>
      <c r="K4515" s="72">
        <v>6820.5108701942624</v>
      </c>
      <c r="L4515" s="70">
        <v>10.394584089232306</v>
      </c>
      <c r="M4515" s="71">
        <f>IF(L4515&lt;1,1,L4515)</f>
        <v>10.394584089232306</v>
      </c>
      <c r="N4515" s="70" t="s">
        <v>141</v>
      </c>
      <c r="O4515" s="71">
        <f>INDEX(DurClassMapping,MATCH(M4515,MappingTables!$D$4:$D$8,-1),1)</f>
        <v>3</v>
      </c>
      <c r="P4515" s="73">
        <f>IF(M4515=$A$1,1,$M4515-INDEX(MappingTables!$E$4:$E$8,MATCH(O4515,MappingTables!$B$4:$B$8,0)))</f>
        <v>0.39458408923230512</v>
      </c>
      <c r="Q4515" s="71">
        <f>IF(B4515="",0,INDEX(ModelParameters!$D$6:$K$10,MATCH($O4515,ModelParameters!$B$6:$B$10,0),MATCH($J4515,ModelParameters!$D$5:$K$5,0)))</f>
        <v>0.018000000000000002</v>
      </c>
      <c r="R4515" s="71">
        <f>IF(B4515="",0,INDEX(ModelParameters!$D$13:$K$17,MATCH($O4515,ModelParameters!$B$13:$B$17,0),MATCH($J4515,ModelParameters!$D$5:$K$5,0)))</f>
        <v>0.34999999999999996</v>
      </c>
      <c r="S4515" s="160">
        <f>IF(B4515="",0,MIN(IF($N4515="Other Bond TM",ModelParameters!$N$21,1)*(P4515*Q4515+R4515),1))</f>
        <v>0.35710251360618144</v>
      </c>
      <c r="T4515" s="85">
        <f>IF(B4515="",0,$S4515*$K4515)</f>
        <v>2435.6215758246552</v>
      </c>
      <c r="U4515" s="85">
        <f>IF(B4515="",0,IF(OR(H4515=MappingTables!$C$34,H4515=MappingTables!$C$35),T4515,0))</f>
        <v>0</v>
      </c>
      <c r="V4515" s="85">
        <f>IF(ISNA(IF(AND(VLOOKUP(CONCATENATE($D4515,$G4515),CSRFinput!$B:$E,4,0)=0,OR(H4515=MappingTables!$C$34,H4515=MappingTables!$C$35)),1,VLOOKUP(CONCATENATE($D4515,$G4515),CSRFinput!$B:$E,4,0))),0,IF(AND(VLOOKUP(CONCATENATE($D4515,$G4515),CSRFinput!$B:$E,4,0)=0,OR(H4515=MappingTables!$C$34,H4515=MappingTables!$C$35)),1,VLOOKUP(CONCATENATE($D4515,$G4515),CSRFinput!$B:$E,4,0)))</f>
        <v>0.054776304963434752</v>
      </c>
      <c r="W4515" s="85">
        <f>IF(B4515="",0,+$T4515*$V4515)</f>
        <v>133.41435021289286</v>
      </c>
      <c r="X4515" s="85">
        <f>IF(B4515="",0,IF(OR(H4515=MappingTables!$C$34,H4515=MappingTables!$C$35),W4515,0))</f>
        <v>0</v>
      </c>
    </row>
    <row r="4516" spans="2:24" s="0" customFormat="0" ht="15">
      <c r="B4516" s="69" t="s">
        <v>827</v>
      </c>
      <c r="C4516" s="70" t="s">
        <v>828</v>
      </c>
      <c r="D4516" s="70" t="s">
        <v>1</v>
      </c>
      <c r="E4516" s="70" t="s">
        <v>1</v>
      </c>
      <c r="F4516" s="70"/>
      <c r="G4516" s="70" t="s">
        <v>61</v>
      </c>
      <c r="H4516" s="70" t="s">
        <v>178</v>
      </c>
      <c r="I4516" s="70" t="s">
        <v>204</v>
      </c>
      <c r="J4516" s="71">
        <f>IF(OR(I4516=0,I4516=""),"unrated",VLOOKUP(I4516,MappingTables!$B$19:$C$31,2,FALSE))</f>
        <v>6</v>
      </c>
      <c r="K4516" s="72">
        <v>2612.3043815425632</v>
      </c>
      <c r="L4516" s="70">
        <v>4.0949329471953912</v>
      </c>
      <c r="M4516" s="71">
        <f>IF(L4516&lt;1,1,L4516)</f>
        <v>4.0949329471953912</v>
      </c>
      <c r="N4516" s="70" t="s">
        <v>141</v>
      </c>
      <c r="O4516" s="71">
        <f>INDEX(DurClassMapping,MATCH(M4516,MappingTables!$D$4:$D$8,-1),1)</f>
        <v>1</v>
      </c>
      <c r="P4516" s="73">
        <f>IF(M4516=$A$1,1,$M4516-INDEX(MappingTables!$E$4:$E$8,MATCH(O4516,MappingTables!$B$4:$B$8,0)))</f>
        <v>4.0949329471953912</v>
      </c>
      <c r="Q4516" s="71">
        <f>IF(B4516="",0,INDEX(ModelParameters!$D$6:$K$10,MATCH($O4516,ModelParameters!$B$6:$B$10,0),MATCH($J4516,ModelParameters!$D$5:$K$5,0)))</f>
        <v>0.075</v>
      </c>
      <c r="R4516" s="71">
        <f>IF(B4516="",0,INDEX(ModelParameters!$D$13:$K$17,MATCH($O4516,ModelParameters!$B$13:$B$17,0),MATCH($J4516,ModelParameters!$D$5:$K$5,0)))</f>
        <v>0</v>
      </c>
      <c r="S4516" s="160">
        <f>IF(B4516="",0,MIN(IF($N4516="Other Bond TM",ModelParameters!$N$21,1)*(P4516*Q4516+R4516),1))</f>
        <v>0.30711997103965432</v>
      </c>
      <c r="T4516" s="85">
        <f>IF(B4516="",0,$S4516*$K4516)</f>
        <v>802.29084600611408</v>
      </c>
      <c r="U4516" s="85">
        <f>IF(B4516="",0,IF(OR(H4516=MappingTables!$C$34,H4516=MappingTables!$C$35),T4516,0))</f>
        <v>0</v>
      </c>
      <c r="V4516" s="85">
        <f>IF(ISNA(IF(AND(VLOOKUP(CONCATENATE($D4516,$G4516),CSRFinput!$B:$E,4,0)=0,OR(H4516=MappingTables!$C$34,H4516=MappingTables!$C$35)),1,VLOOKUP(CONCATENATE($D4516,$G4516),CSRFinput!$B:$E,4,0))),0,IF(AND(VLOOKUP(CONCATENATE($D4516,$G4516),CSRFinput!$B:$E,4,0)=0,OR(H4516=MappingTables!$C$34,H4516=MappingTables!$C$35)),1,VLOOKUP(CONCATENATE($D4516,$G4516),CSRFinput!$B:$E,4,0)))</f>
        <v>0.054776304963434752</v>
      </c>
      <c r="W4516" s="85">
        <f>IF(B4516="",0,+$T4516*$V4516)</f>
        <v>43.946528050202968</v>
      </c>
      <c r="X4516" s="85">
        <f>IF(B4516="",0,IF(OR(H4516=MappingTables!$C$34,H4516=MappingTables!$C$35),W4516,0))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B2:AB51"/>
  <sheetViews>
    <sheetView showGridLines="0" workbookViewId="0"/>
  </sheetViews>
  <sheetFormatPr defaultColWidth="9.1484375" defaultRowHeight="12.75" customHeight="0"/>
  <cols>
    <col min="10" max="10" width="12" style="1" customWidth="1"/>
    <col min="11" max="11" width="12.5703125" style="1" customWidth="1"/>
    <col min="12" max="12" width="28.85546875" style="1" customWidth="1"/>
    <col min="15" max="15" width="11.28515625" style="1" customWidth="1"/>
    <col min="16" max="16" width="13.5703125" style="1" customWidth="1"/>
    <col min="20" max="21" width="15.5703125" style="1" customWidth="1"/>
  </cols>
  <sheetData>
    <row r="1" s="0" customFormat="0" ht="15"/>
    <row r="2" spans="2:28" s="0" customFormat="0" ht="15">
      <c r="B2" s="200" t="s">
        <v>147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15831633</v>
      </c>
      <c r="C4" s="70" t="s">
        <v>3027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216</v>
      </c>
      <c r="J4" s="71">
        <f>IF(OR(I4=0,I4=""),"unrated",VLOOKUP(I4,MappingTables!$B$19:$C$31,2,FALSE))</f>
        <v>0</v>
      </c>
      <c r="K4" s="72">
        <v>94.447327945130608</v>
      </c>
      <c r="L4" s="70">
        <v>0.15068456804380228</v>
      </c>
      <c r="M4" s="71">
        <f>IF(L4&lt;1,1,L4)</f>
        <v>1</v>
      </c>
      <c r="N4" s="70" t="s">
        <v>147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IF(B4="",0,INDEX(ModelParameters!$D$22:$K$26,MATCH($O4,ModelParameters!$B$6:$B$10,0),MATCH($J4,ModelParameters!$D$5:$K$5,0)))</f>
        <v>0.0069999999999999992</v>
      </c>
      <c r="R4" s="71">
        <f>IF(B4="",0,INDEX(ModelParameters!$D$29:$K$33,MATCH($O4,ModelParameters!$B$13:$B$17,0),MATCH($J4,ModelParameters!$D$5:$K$5,0)))</f>
        <v>0</v>
      </c>
      <c r="S4" s="160">
        <f>IF(B4="",0,MIN(P4*Q4+R4,1))</f>
        <v>0.0069999999999999992</v>
      </c>
      <c r="T4" s="85">
        <f>IF(B4="",0,$S4*$K4)</f>
        <v>0.66113129561591424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0.036214329469528048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3028</v>
      </c>
      <c r="C5" s="70" t="s">
        <v>3029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198</v>
      </c>
      <c r="J5" s="71" t="str">
        <f>IF(OR(I5=0,I5=""),"unrated",VLOOKUP(I5,MappingTables!$B$19:$C$31,2,FALSE))</f>
        <v>unrated</v>
      </c>
      <c r="K5" s="72">
        <v>4.042356536921676</v>
      </c>
      <c r="L5" s="70">
        <v>21.785505990476908</v>
      </c>
      <c r="M5" s="71">
        <f>IF(L5&lt;1,1,L5)</f>
        <v>21.785505990476908</v>
      </c>
      <c r="N5" s="70" t="s">
        <v>147</v>
      </c>
      <c r="O5" s="71">
        <f>INDEX(DurClassMapping,MATCH(M5,MappingTables!$D$4:$D$8,-1),1)</f>
        <v>5</v>
      </c>
      <c r="P5" s="73">
        <f>IF(M5=$A$1,1,$M5-INDEX(MappingTables!$E$4:$E$8,MATCH(O5,MappingTables!$B$4:$B$8,0)))</f>
        <v>1.7855059904769064</v>
      </c>
      <c r="Q5" s="71">
        <f>IF(B5="",0,INDEX(ModelParameters!$D$22:$K$26,MATCH($O5,ModelParameters!$B$6:$B$10,0),MATCH($J5,ModelParameters!$D$5:$K$5,0)))</f>
        <v>0.005</v>
      </c>
      <c r="R5" s="71">
        <f>IF(B5="",0,INDEX(ModelParameters!$D$29:$K$33,MATCH($O5,ModelParameters!$B$13:$B$17,0),MATCH($J5,ModelParameters!$D$5:$K$5,0)))</f>
        <v>0.355</v>
      </c>
      <c r="S5" s="160">
        <f>IF(B5="",0,MIN(P5*Q5+R5,1))</f>
        <v>0.36392752995238456</v>
      </c>
      <c r="T5" s="85">
        <f>IF(B5="",0,$S5*$K5)</f>
        <v>1.4711248296687806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0.080582782309218144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12077023</v>
      </c>
      <c r="C6" s="70" t="s">
        <v>3030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216</v>
      </c>
      <c r="J6" s="71">
        <f>IF(OR(I6=0,I6=""),"unrated",VLOOKUP(I6,MappingTables!$B$19:$C$31,2,FALSE))</f>
        <v>0</v>
      </c>
      <c r="K6" s="72">
        <v>0.91084231382158816</v>
      </c>
      <c r="L6" s="70">
        <v>0.19178245187967176</v>
      </c>
      <c r="M6" s="71">
        <f>IF(L6&lt;1,1,L6)</f>
        <v>1</v>
      </c>
      <c r="N6" s="70" t="s">
        <v>147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IF(B6="",0,INDEX(ModelParameters!$D$22:$K$26,MATCH($O6,ModelParameters!$B$6:$B$10,0),MATCH($J6,ModelParameters!$D$5:$K$5,0)))</f>
        <v>0.0069999999999999992</v>
      </c>
      <c r="R6" s="71">
        <f>IF(B6="",0,INDEX(ModelParameters!$D$29:$K$33,MATCH($O6,ModelParameters!$B$13:$B$17,0),MATCH($J6,ModelParameters!$D$5:$K$5,0)))</f>
        <v>0</v>
      </c>
      <c r="S6" s="160">
        <f>IF(B6="",0,MIN(P6*Q6+R6,1))</f>
        <v>0.0069999999999999992</v>
      </c>
      <c r="T6" s="85">
        <f>IF(B6="",0,$S6*$K6)</f>
        <v>0.006375896196751116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0.00034924803448844296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506717</v>
      </c>
      <c r="C7" s="70" t="s">
        <v>3031</v>
      </c>
      <c r="D7" s="70" t="s">
        <v>1</v>
      </c>
      <c r="E7" s="70" t="s">
        <v>1</v>
      </c>
      <c r="F7" s="70"/>
      <c r="G7" s="70" t="s">
        <v>55</v>
      </c>
      <c r="H7" s="70" t="s">
        <v>178</v>
      </c>
      <c r="I7" s="70" t="s">
        <v>220</v>
      </c>
      <c r="J7" s="71">
        <f>IF(OR(I7=0,I7=""),"unrated",VLOOKUP(I7,MappingTables!$B$19:$C$31,2,FALSE))</f>
        <v>1</v>
      </c>
      <c r="K7" s="72">
        <v>1398188.1713867188</v>
      </c>
      <c r="L7" s="70">
        <v>8.1582391937459168</v>
      </c>
      <c r="M7" s="71">
        <f>IF(L7&lt;1,1,L7)</f>
        <v>8.1582391937459168</v>
      </c>
      <c r="N7" s="70" t="s">
        <v>147</v>
      </c>
      <c r="O7" s="71">
        <f>INDEX(DurClassMapping,MATCH(M7,MappingTables!$D$4:$D$8,-1),1)</f>
        <v>2</v>
      </c>
      <c r="P7" s="73">
        <f>IF(M7=$A$1,1,$M7-INDEX(MappingTables!$E$4:$E$8,MATCH(O7,MappingTables!$B$4:$B$8,0)))</f>
        <v>3.1582391937459172</v>
      </c>
      <c r="Q7" s="71">
        <f>IF(B7="",0,INDEX(ModelParameters!$D$22:$K$26,MATCH($O7,ModelParameters!$B$6:$B$10,0),MATCH($J7,ModelParameters!$D$5:$K$5,0)))</f>
        <v>0.005</v>
      </c>
      <c r="R7" s="71">
        <f>IF(B7="",0,INDEX(ModelParameters!$D$29:$K$33,MATCH($O7,ModelParameters!$B$13:$B$17,0),MATCH($J7,ModelParameters!$D$5:$K$5,0)))</f>
        <v>0.045</v>
      </c>
      <c r="S7" s="160">
        <f>IF(B7="",0,MIN(P7*Q7+R7,1))</f>
        <v>0.060791195968729592</v>
      </c>
      <c r="T7" s="85">
        <f>IF(B7="",0,$S7*$K7)</f>
        <v>84997.53112792968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0.14144277112511686</v>
      </c>
      <c r="W7" s="85">
        <f>IF(B7="",0,+$T7*$V7)</f>
        <v>12022.286341527756</v>
      </c>
      <c r="X7" s="85">
        <f>IF(B7="",0,IF(OR(H7=MappingTables!$C$34,H7=MappingTables!$C$35),W7,0))</f>
        <v>0</v>
      </c>
    </row>
    <row r="8" spans="2:24" s="0" customFormat="0" ht="15">
      <c r="B8" s="69">
        <v>17555097</v>
      </c>
      <c r="C8" s="70" t="s">
        <v>3032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181</v>
      </c>
      <c r="J8" s="71">
        <f>IF(OR(I8=0,I8=""),"unrated",VLOOKUP(I8,MappingTables!$B$19:$C$31,2,FALSE))</f>
        <v>3</v>
      </c>
      <c r="K8" s="72">
        <v>16.405143232562078</v>
      </c>
      <c r="L8" s="70">
        <v>0.057535319892036248</v>
      </c>
      <c r="M8" s="71">
        <f>IF(L8&lt;1,1,L8)</f>
        <v>1</v>
      </c>
      <c r="N8" s="70" t="s">
        <v>147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IF(B8="",0,INDEX(ModelParameters!$D$22:$K$26,MATCH($O8,ModelParameters!$B$6:$B$10,0),MATCH($J8,ModelParameters!$D$5:$K$5,0)))</f>
        <v>0.025</v>
      </c>
      <c r="R8" s="71">
        <f>IF(B8="",0,INDEX(ModelParameters!$D$29:$K$33,MATCH($O8,ModelParameters!$B$13:$B$17,0),MATCH($J8,ModelParameters!$D$5:$K$5,0)))</f>
        <v>0</v>
      </c>
      <c r="S8" s="160">
        <f>IF(B8="",0,MIN(P8*Q8+R8,1))</f>
        <v>0.025</v>
      </c>
      <c r="T8" s="85">
        <f>IF(B8="",0,$S8*$K8)</f>
        <v>0.410128580814052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0.022465328216891208</v>
      </c>
      <c r="X8" s="85">
        <f>IF(B8="",0,IF(OR(H8=MappingTables!$C$34,H8=MappingTables!$C$35),W8,0))</f>
        <v>0</v>
      </c>
    </row>
    <row r="9" spans="2:24" s="0" customFormat="0" ht="15">
      <c r="B9" s="69">
        <v>13513713</v>
      </c>
      <c r="C9" s="70" t="s">
        <v>3033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216</v>
      </c>
      <c r="J9" s="71">
        <f>IF(OR(I9=0,I9=""),"unrated",VLOOKUP(I9,MappingTables!$B$19:$C$31,2,FALSE))</f>
        <v>0</v>
      </c>
      <c r="K9" s="72">
        <v>3.087174750131558</v>
      </c>
      <c r="L9" s="70">
        <v>1.1752098468522336</v>
      </c>
      <c r="M9" s="71">
        <f>IF(L9&lt;1,1,L9)</f>
        <v>1.1752098468522336</v>
      </c>
      <c r="N9" s="70" t="s">
        <v>147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1.1752098468522336</v>
      </c>
      <c r="Q9" s="71">
        <f>IF(B9="",0,INDEX(ModelParameters!$D$22:$K$26,MATCH($O9,ModelParameters!$B$6:$B$10,0),MATCH($J9,ModelParameters!$D$5:$K$5,0)))</f>
        <v>0.0069999999999999992</v>
      </c>
      <c r="R9" s="71">
        <f>IF(B9="",0,INDEX(ModelParameters!$D$29:$K$33,MATCH($O9,ModelParameters!$B$13:$B$17,0),MATCH($J9,ModelParameters!$D$5:$K$5,0)))</f>
        <v>0</v>
      </c>
      <c r="S9" s="160">
        <f>IF(B9="",0,MIN(P9*Q9+R9,1))</f>
        <v>0.0082264689279656336</v>
      </c>
      <c r="T9" s="85">
        <f>IF(B9="",0,$S9*$K9)</f>
        <v>0.025396547157157332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0.0013911290120987018</v>
      </c>
      <c r="X9" s="85">
        <f>IF(B9="",0,IF(OR(H9=MappingTables!$C$34,H9=MappingTables!$C$35),W9,0))</f>
        <v>0</v>
      </c>
    </row>
    <row r="10" spans="2:24" s="0" customFormat="0" ht="15">
      <c r="B10" s="69">
        <v>9443127</v>
      </c>
      <c r="C10" s="70" t="s">
        <v>3034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220</v>
      </c>
      <c r="J10" s="71">
        <f>IF(OR(I10=0,I10=""),"unrated",VLOOKUP(I10,MappingTables!$B$19:$C$31,2,FALSE))</f>
        <v>1</v>
      </c>
      <c r="K10" s="72">
        <v>29.558019987961832</v>
      </c>
      <c r="L10" s="70">
        <v>0.29589170052925528</v>
      </c>
      <c r="M10" s="71">
        <f>IF(L10&lt;1,1,L10)</f>
        <v>1</v>
      </c>
      <c r="N10" s="70" t="s">
        <v>147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IF(B10="",0,INDEX(ModelParameters!$D$22:$K$26,MATCH($O10,ModelParameters!$B$6:$B$10,0),MATCH($J10,ModelParameters!$D$5:$K$5,0)))</f>
        <v>0.0090000000000000016</v>
      </c>
      <c r="R10" s="71">
        <f>IF(B10="",0,INDEX(ModelParameters!$D$29:$K$33,MATCH($O10,ModelParameters!$B$13:$B$17,0),MATCH($J10,ModelParameters!$D$5:$K$5,0)))</f>
        <v>0</v>
      </c>
      <c r="S10" s="160">
        <f>IF(B10="",0,MIN(P10*Q10+R10,1))</f>
        <v>0.0090000000000000016</v>
      </c>
      <c r="T10" s="85">
        <f>IF(B10="",0,$S10*$K10)</f>
        <v>0.26602217989165648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0.014571712052783078</v>
      </c>
      <c r="X10" s="85">
        <f>IF(B10="",0,IF(OR(H10=MappingTables!$C$34,H10=MappingTables!$C$35),W10,0))</f>
        <v>0</v>
      </c>
    </row>
    <row r="11" spans="2:24" s="0" customFormat="0" ht="15">
      <c r="B11" s="69">
        <v>16168539</v>
      </c>
      <c r="C11" s="70" t="s">
        <v>3035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220</v>
      </c>
      <c r="J11" s="71">
        <f>IF(OR(I11=0,I11=""),"unrated",VLOOKUP(I11,MappingTables!$B$19:$C$31,2,FALSE))</f>
        <v>1</v>
      </c>
      <c r="K11" s="72">
        <v>1.0256166148101334</v>
      </c>
      <c r="L11" s="70">
        <v>0.13698928136838028</v>
      </c>
      <c r="M11" s="71">
        <f>IF(L11&lt;1,1,L11)</f>
        <v>1</v>
      </c>
      <c r="N11" s="70" t="s">
        <v>147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IF(B11="",0,INDEX(ModelParameters!$D$22:$K$26,MATCH($O11,ModelParameters!$B$6:$B$10,0),MATCH($J11,ModelParameters!$D$5:$K$5,0)))</f>
        <v>0.0090000000000000016</v>
      </c>
      <c r="R11" s="71">
        <f>IF(B11="",0,INDEX(ModelParameters!$D$29:$K$33,MATCH($O11,ModelParameters!$B$13:$B$17,0),MATCH($J11,ModelParameters!$D$5:$K$5,0)))</f>
        <v>0</v>
      </c>
      <c r="S11" s="160">
        <f>IF(B11="",0,MIN(P11*Q11+R11,1))</f>
        <v>0.0090000000000000016</v>
      </c>
      <c r="T11" s="85">
        <f>IF(B11="",0,$S11*$K11)</f>
        <v>0.0092305495332912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0.00050561539621564912</v>
      </c>
      <c r="X11" s="85">
        <f>IF(B11="",0,IF(OR(H11=MappingTables!$C$34,H11=MappingTables!$C$35),W11,0))</f>
        <v>0</v>
      </c>
    </row>
    <row r="12" spans="2:24" s="0" customFormat="0" ht="15">
      <c r="B12" s="69">
        <v>2511127</v>
      </c>
      <c r="C12" s="70" t="s">
        <v>3036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216</v>
      </c>
      <c r="J12" s="71">
        <f>IF(OR(I12=0,I12=""),"unrated",VLOOKUP(I12,MappingTables!$B$19:$C$31,2,FALSE))</f>
        <v>0</v>
      </c>
      <c r="K12" s="72">
        <v>1040306.5490722656</v>
      </c>
      <c r="L12" s="70">
        <v>0.9643976541831304</v>
      </c>
      <c r="M12" s="71">
        <f>IF(L12&lt;1,1,L12)</f>
        <v>1</v>
      </c>
      <c r="N12" s="70" t="s">
        <v>147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IF(B12="",0,INDEX(ModelParameters!$D$22:$K$26,MATCH($O12,ModelParameters!$B$6:$B$10,0),MATCH($J12,ModelParameters!$D$5:$K$5,0)))</f>
        <v>0.0069999999999999992</v>
      </c>
      <c r="R12" s="71">
        <f>IF(B12="",0,INDEX(ModelParameters!$D$29:$K$33,MATCH($O12,ModelParameters!$B$13:$B$17,0),MATCH($J12,ModelParameters!$D$5:$K$5,0)))</f>
        <v>0</v>
      </c>
      <c r="S12" s="160">
        <f>IF(B12="",0,MIN(P12*Q12+R12,1))</f>
        <v>0.0069999999999999992</v>
      </c>
      <c r="T12" s="85">
        <f>IF(B12="",0,$S12*$K12)</f>
        <v>7282.1458435058592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398.88904151208576</v>
      </c>
      <c r="X12" s="85">
        <f>IF(B12="",0,IF(OR(H12=MappingTables!$C$34,H12=MappingTables!$C$35),W12,0))</f>
        <v>0</v>
      </c>
    </row>
    <row r="13" spans="2:24" s="0" customFormat="0" ht="15">
      <c r="B13" s="69">
        <v>18946108</v>
      </c>
      <c r="C13" s="70" t="s">
        <v>3037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179</v>
      </c>
      <c r="J13" s="71">
        <f>IF(OR(I13=0,I13=""),"unrated",VLOOKUP(I13,MappingTables!$B$19:$C$31,2,FALSE))</f>
        <v>4</v>
      </c>
      <c r="K13" s="72">
        <v>632.51918751169776</v>
      </c>
      <c r="L13" s="70">
        <v>0.087672402502143136</v>
      </c>
      <c r="M13" s="71">
        <f>IF(L13&lt;1,1,L13)</f>
        <v>1</v>
      </c>
      <c r="N13" s="70" t="s">
        <v>147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IF(B13="",0,INDEX(ModelParameters!$D$22:$K$26,MATCH($O13,ModelParameters!$B$6:$B$10,0),MATCH($J13,ModelParameters!$D$5:$K$5,0)))</f>
        <v>0.045</v>
      </c>
      <c r="R13" s="71">
        <f>IF(B13="",0,INDEX(ModelParameters!$D$29:$K$33,MATCH($O13,ModelParameters!$B$13:$B$17,0),MATCH($J13,ModelParameters!$D$5:$K$5,0)))</f>
        <v>0</v>
      </c>
      <c r="S13" s="160">
        <f>IF(B13="",0,MIN(P13*Q13+R13,1))</f>
        <v>0.045</v>
      </c>
      <c r="T13" s="85">
        <f>IF(B13="",0,$S13*$K13)</f>
        <v>28.4633634380264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1.5591178759664126</v>
      </c>
      <c r="X13" s="85">
        <f>IF(B13="",0,IF(OR(H13=MappingTables!$C$34,H13=MappingTables!$C$35),W13,0))</f>
        <v>0</v>
      </c>
    </row>
    <row r="14" spans="2:24" s="0" customFormat="0" ht="15">
      <c r="B14" s="69">
        <v>15638340</v>
      </c>
      <c r="C14" s="70" t="s">
        <v>3038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216</v>
      </c>
      <c r="J14" s="71">
        <f>IF(OR(I14=0,I14=""),"unrated",VLOOKUP(I14,MappingTables!$B$19:$C$31,2,FALSE))</f>
        <v>0</v>
      </c>
      <c r="K14" s="72">
        <v>236.19403234146784</v>
      </c>
      <c r="L14" s="70">
        <v>0.049313451184119248</v>
      </c>
      <c r="M14" s="71">
        <f>IF(L14&lt;1,1,L14)</f>
        <v>1</v>
      </c>
      <c r="N14" s="70" t="s">
        <v>147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IF(B14="",0,INDEX(ModelParameters!$D$22:$K$26,MATCH($O14,ModelParameters!$B$6:$B$10,0),MATCH($J14,ModelParameters!$D$5:$K$5,0)))</f>
        <v>0.0069999999999999992</v>
      </c>
      <c r="R14" s="71">
        <f>IF(B14="",0,INDEX(ModelParameters!$D$29:$K$33,MATCH($O14,ModelParameters!$B$13:$B$17,0),MATCH($J14,ModelParameters!$D$5:$K$5,0)))</f>
        <v>0</v>
      </c>
      <c r="S14" s="160">
        <f>IF(B14="",0,MIN(P14*Q14+R14,1))</f>
        <v>0.0069999999999999992</v>
      </c>
      <c r="T14" s="85">
        <f>IF(B14="",0,$S14*$K14)</f>
        <v>1.6533582263902748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0.090564854422557296</v>
      </c>
      <c r="X14" s="85">
        <f>IF(B14="",0,IF(OR(H14=MappingTables!$C$34,H14=MappingTables!$C$35),W14,0))</f>
        <v>0</v>
      </c>
    </row>
    <row r="15" spans="2:24" s="0" customFormat="0" ht="15">
      <c r="B15" s="69">
        <v>22390625</v>
      </c>
      <c r="C15" s="70" t="s">
        <v>3039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188</v>
      </c>
      <c r="J15" s="71">
        <f>IF(OR(I15=0,I15=""),"unrated",VLOOKUP(I15,MappingTables!$B$19:$C$31,2,FALSE))</f>
        <v>2</v>
      </c>
      <c r="K15" s="72">
        <v>2331.5317771418884</v>
      </c>
      <c r="L15" s="70">
        <v>0.16164575448457808</v>
      </c>
      <c r="M15" s="71">
        <f>IF(L15&lt;1,1,L15)</f>
        <v>1</v>
      </c>
      <c r="N15" s="70" t="s">
        <v>147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IF(B15="",0,INDEX(ModelParameters!$D$22:$K$26,MATCH($O15,ModelParameters!$B$6:$B$10,0),MATCH($J15,ModelParameters!$D$5:$K$5,0)))</f>
        <v>0.013999999999999998</v>
      </c>
      <c r="R15" s="71">
        <f>IF(B15="",0,INDEX(ModelParameters!$D$29:$K$33,MATCH($O15,ModelParameters!$B$13:$B$17,0),MATCH($J15,ModelParameters!$D$5:$K$5,0)))</f>
        <v>0</v>
      </c>
      <c r="S15" s="160">
        <f>IF(B15="",0,MIN(P15*Q15+R15,1))</f>
        <v>0.013999999999999998</v>
      </c>
      <c r="T15" s="85">
        <f>IF(B15="",0,$S15*$K15)</f>
        <v>32.641444879986436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1.787977739193283</v>
      </c>
      <c r="X15" s="85">
        <f>IF(B15="",0,IF(OR(H15=MappingTables!$C$34,H15=MappingTables!$C$35),W15,0))</f>
        <v>0</v>
      </c>
    </row>
    <row r="16" spans="2:24" s="0" customFormat="0" ht="15">
      <c r="B16" s="69" t="s">
        <v>3040</v>
      </c>
      <c r="C16" s="70" t="s">
        <v>3041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198</v>
      </c>
      <c r="J16" s="71" t="str">
        <f>IF(OR(I16=0,I16=""),"unrated",VLOOKUP(I16,MappingTables!$B$19:$C$31,2,FALSE))</f>
        <v>unrated</v>
      </c>
      <c r="K16" s="72">
        <v>170.81010399816818</v>
      </c>
      <c r="L16" s="70">
        <v>0.087671319258828208</v>
      </c>
      <c r="M16" s="71">
        <f>IF(L16&lt;1,1,L16)</f>
        <v>1</v>
      </c>
      <c r="N16" s="70" t="s">
        <v>147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</v>
      </c>
      <c r="Q16" s="71">
        <f>IF(B16="",0,INDEX(ModelParameters!$D$22:$K$26,MATCH($O16,ModelParameters!$B$6:$B$10,0),MATCH($J16,ModelParameters!$D$5:$K$5,0)))</f>
        <v>0.03</v>
      </c>
      <c r="R16" s="71">
        <f>IF(B16="",0,INDEX(ModelParameters!$D$29:$K$33,MATCH($O16,ModelParameters!$B$13:$B$17,0),MATCH($J16,ModelParameters!$D$5:$K$5,0)))</f>
        <v>0</v>
      </c>
      <c r="S16" s="160">
        <f>IF(B16="",0,MIN(P16*Q16+R16,1))</f>
        <v>0.03</v>
      </c>
      <c r="T16" s="85">
        <f>IF(B16="",0,$S16*$K16)</f>
        <v>5.1243031199450456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0.28069039042319</v>
      </c>
      <c r="X16" s="85">
        <f>IF(B16="",0,IF(OR(H16=MappingTables!$C$34,H16=MappingTables!$C$35),W16,0))</f>
        <v>0</v>
      </c>
    </row>
    <row r="17" spans="2:24" s="0" customFormat="0" ht="15">
      <c r="B17" s="69">
        <v>24728975</v>
      </c>
      <c r="C17" s="70" t="s">
        <v>3042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188</v>
      </c>
      <c r="J17" s="71">
        <f>IF(OR(I17=0,I17=""),"unrated",VLOOKUP(I17,MappingTables!$B$19:$C$31,2,FALSE))</f>
        <v>2</v>
      </c>
      <c r="K17" s="72">
        <v>2782.4695286060424</v>
      </c>
      <c r="L17" s="70">
        <v>0.68966245262471528</v>
      </c>
      <c r="M17" s="71">
        <f>IF(L17&lt;1,1,L17)</f>
        <v>1</v>
      </c>
      <c r="N17" s="70" t="s">
        <v>147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</v>
      </c>
      <c r="Q17" s="71">
        <f>IF(B17="",0,INDEX(ModelParameters!$D$22:$K$26,MATCH($O17,ModelParameters!$B$6:$B$10,0),MATCH($J17,ModelParameters!$D$5:$K$5,0)))</f>
        <v>0.013999999999999998</v>
      </c>
      <c r="R17" s="71">
        <f>IF(B17="",0,INDEX(ModelParameters!$D$29:$K$33,MATCH($O17,ModelParameters!$B$13:$B$17,0),MATCH($J17,ModelParameters!$D$5:$K$5,0)))</f>
        <v>0</v>
      </c>
      <c r="S17" s="160">
        <f>IF(B17="",0,MIN(P17*Q17+R17,1))</f>
        <v>0.013999999999999998</v>
      </c>
      <c r="T17" s="85">
        <f>IF(B17="",0,$S17*$K17)</f>
        <v>38.954573400484592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2.1337875923054476</v>
      </c>
      <c r="X17" s="85">
        <f>IF(B17="",0,IF(OR(H17=MappingTables!$C$34,H17=MappingTables!$C$35),W17,0))</f>
        <v>0</v>
      </c>
    </row>
    <row r="18" spans="2:24" s="0" customFormat="0" ht="15">
      <c r="B18" s="69" t="s">
        <v>3043</v>
      </c>
      <c r="C18" s="70" t="s">
        <v>3044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188</v>
      </c>
      <c r="J18" s="71">
        <f>IF(OR(I18=0,I18=""),"unrated",VLOOKUP(I18,MappingTables!$B$19:$C$31,2,FALSE))</f>
        <v>2</v>
      </c>
      <c r="K18" s="72">
        <v>39.214804118107464</v>
      </c>
      <c r="L18" s="70">
        <v>21.942137829684668</v>
      </c>
      <c r="M18" s="71">
        <f>IF(L18&lt;1,1,L18)</f>
        <v>21.942137829684668</v>
      </c>
      <c r="N18" s="70" t="s">
        <v>147</v>
      </c>
      <c r="O18" s="71">
        <f>INDEX(DurClassMapping,MATCH(M18,MappingTables!$D$4:$D$8,-1),1)</f>
        <v>5</v>
      </c>
      <c r="P18" s="73">
        <f>IF(M18=$A$1,1,$M18-INDEX(MappingTables!$E$4:$E$8,MATCH(O18,MappingTables!$B$4:$B$8,0)))</f>
        <v>1.9421378296846684</v>
      </c>
      <c r="Q18" s="71">
        <f>IF(B18="",0,INDEX(ModelParameters!$D$22:$K$26,MATCH($O18,ModelParameters!$B$6:$B$10,0),MATCH($J18,ModelParameters!$D$5:$K$5,0)))</f>
        <v>0.005</v>
      </c>
      <c r="R18" s="71">
        <f>IF(B18="",0,INDEX(ModelParameters!$D$29:$K$33,MATCH($O18,ModelParameters!$B$13:$B$17,0),MATCH($J18,ModelParameters!$D$5:$K$5,0)))</f>
        <v>0.155</v>
      </c>
      <c r="S18" s="160">
        <f>IF(B18="",0,MIN(P18*Q18+R18,1))</f>
        <v>0.16471068914842336</v>
      </c>
      <c r="T18" s="85">
        <f>IF(B18="",0,$S18*$K18)</f>
        <v>6.4590974111139104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0.35380548957970748</v>
      </c>
      <c r="X18" s="85">
        <f>IF(B18="",0,IF(OR(H18=MappingTables!$C$34,H18=MappingTables!$C$35),W18,0))</f>
        <v>0</v>
      </c>
    </row>
    <row r="19" spans="2:24" s="0" customFormat="0" ht="15">
      <c r="B19" s="69">
        <v>15653146</v>
      </c>
      <c r="C19" s="70" t="s">
        <v>3045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216</v>
      </c>
      <c r="J19" s="71">
        <f>IF(OR(I19=0,I19=""),"unrated",VLOOKUP(I19,MappingTables!$B$19:$C$31,2,FALSE))</f>
        <v>0</v>
      </c>
      <c r="K19" s="72">
        <v>283.43283899223896</v>
      </c>
      <c r="L19" s="70">
        <v>0.049313451184112232</v>
      </c>
      <c r="M19" s="71">
        <f>IF(L19&lt;1,1,L19)</f>
        <v>1</v>
      </c>
      <c r="N19" s="70" t="s">
        <v>147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IF(B19="",0,INDEX(ModelParameters!$D$22:$K$26,MATCH($O19,ModelParameters!$B$6:$B$10,0),MATCH($J19,ModelParameters!$D$5:$K$5,0)))</f>
        <v>0.0069999999999999992</v>
      </c>
      <c r="R19" s="71">
        <f>IF(B19="",0,INDEX(ModelParameters!$D$29:$K$33,MATCH($O19,ModelParameters!$B$13:$B$17,0),MATCH($J19,ModelParameters!$D$5:$K$5,0)))</f>
        <v>0</v>
      </c>
      <c r="S19" s="160">
        <f>IF(B19="",0,MIN(P19*Q19+R19,1))</f>
        <v>0.0069999999999999992</v>
      </c>
      <c r="T19" s="85">
        <f>IF(B19="",0,$S19*$K19)</f>
        <v>1.9840298729456724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0.10867782537703686</v>
      </c>
      <c r="X19" s="85">
        <f>IF(B19="",0,IF(OR(H19=MappingTables!$C$34,H19=MappingTables!$C$35),W19,0))</f>
        <v>0</v>
      </c>
    </row>
    <row r="20" spans="2:24" s="0" customFormat="0" ht="15">
      <c r="B20" s="69" t="s">
        <v>3046</v>
      </c>
      <c r="C20" s="70" t="s">
        <v>3047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188</v>
      </c>
      <c r="J20" s="71">
        <f>IF(OR(I20=0,I20=""),"unrated",VLOOKUP(I20,MappingTables!$B$19:$C$31,2,FALSE))</f>
        <v>2</v>
      </c>
      <c r="K20" s="72">
        <v>719.32612719740256</v>
      </c>
      <c r="L20" s="70">
        <v>0.12602949663141918</v>
      </c>
      <c r="M20" s="71">
        <f>IF(L20&lt;1,1,L20)</f>
        <v>1</v>
      </c>
      <c r="N20" s="70" t="s">
        <v>147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IF(B20="",0,INDEX(ModelParameters!$D$22:$K$26,MATCH($O20,ModelParameters!$B$6:$B$10,0),MATCH($J20,ModelParameters!$D$5:$K$5,0)))</f>
        <v>0.013999999999999998</v>
      </c>
      <c r="R20" s="71">
        <f>IF(B20="",0,INDEX(ModelParameters!$D$29:$K$33,MATCH($O20,ModelParameters!$B$13:$B$17,0),MATCH($J20,ModelParameters!$D$5:$K$5,0)))</f>
        <v>0</v>
      </c>
      <c r="S20" s="160">
        <f>IF(B20="",0,MIN(P20*Q20+R20,1))</f>
        <v>0.013999999999999998</v>
      </c>
      <c r="T20" s="85">
        <f>IF(B20="",0,$S20*$K20)</f>
        <v>10.070565780763636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0.55162838236143928</v>
      </c>
      <c r="X20" s="85">
        <f>IF(B20="",0,IF(OR(H20=MappingTables!$C$34,H20=MappingTables!$C$35),W20,0))</f>
        <v>0</v>
      </c>
    </row>
    <row r="21" spans="2:24" s="0" customFormat="0" ht="15">
      <c r="B21" s="69">
        <v>12077023</v>
      </c>
      <c r="C21" s="70" t="s">
        <v>3030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216</v>
      </c>
      <c r="J21" s="71">
        <f>IF(OR(I21=0,I21=""),"unrated",VLOOKUP(I21,MappingTables!$B$19:$C$31,2,FALSE))</f>
        <v>0</v>
      </c>
      <c r="K21" s="72">
        <v>1.9319585500606112</v>
      </c>
      <c r="L21" s="70">
        <v>0.19178245187967556</v>
      </c>
      <c r="M21" s="71">
        <f>IF(L21&lt;1,1,L21)</f>
        <v>1</v>
      </c>
      <c r="N21" s="70" t="s">
        <v>147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</v>
      </c>
      <c r="Q21" s="71">
        <f>IF(B21="",0,INDEX(ModelParameters!$D$22:$K$26,MATCH($O21,ModelParameters!$B$6:$B$10,0),MATCH($J21,ModelParameters!$D$5:$K$5,0)))</f>
        <v>0.0069999999999999992</v>
      </c>
      <c r="R21" s="71">
        <f>IF(B21="",0,INDEX(ModelParameters!$D$29:$K$33,MATCH($O21,ModelParameters!$B$13:$B$17,0),MATCH($J21,ModelParameters!$D$5:$K$5,0)))</f>
        <v>0</v>
      </c>
      <c r="S21" s="160">
        <f>IF(B21="",0,MIN(P21*Q21+R21,1))</f>
        <v>0.0069999999999999992</v>
      </c>
      <c r="T21" s="85">
        <f>IF(B21="",0,$S21*$K21)</f>
        <v>0.013523709850424276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0.00074077885500384672</v>
      </c>
      <c r="X21" s="85">
        <f>IF(B21="",0,IF(OR(H21=MappingTables!$C$34,H21=MappingTables!$C$35),W21,0))</f>
        <v>0</v>
      </c>
    </row>
    <row r="22" spans="2:24" s="0" customFormat="0" ht="15">
      <c r="B22" s="69">
        <v>813975</v>
      </c>
      <c r="C22" s="70" t="s">
        <v>3048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220</v>
      </c>
      <c r="J22" s="71">
        <f>IF(OR(I22=0,I22=""),"unrated",VLOOKUP(I22,MappingTables!$B$19:$C$31,2,FALSE))</f>
        <v>1</v>
      </c>
      <c r="K22" s="72">
        <v>4.0719196046815448</v>
      </c>
      <c r="L22" s="70">
        <v>0.79179078562651536</v>
      </c>
      <c r="M22" s="71">
        <f>IF(L22&lt;1,1,L22)</f>
        <v>1</v>
      </c>
      <c r="N22" s="70" t="s">
        <v>147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</v>
      </c>
      <c r="Q22" s="71">
        <f>IF(B22="",0,INDEX(ModelParameters!$D$22:$K$26,MATCH($O22,ModelParameters!$B$6:$B$10,0),MATCH($J22,ModelParameters!$D$5:$K$5,0)))</f>
        <v>0.0090000000000000016</v>
      </c>
      <c r="R22" s="71">
        <f>IF(B22="",0,INDEX(ModelParameters!$D$29:$K$33,MATCH($O22,ModelParameters!$B$13:$B$17,0),MATCH($J22,ModelParameters!$D$5:$K$5,0)))</f>
        <v>0</v>
      </c>
      <c r="S22" s="160">
        <f>IF(B22="",0,MIN(P22*Q22+R22,1))</f>
        <v>0.0090000000000000016</v>
      </c>
      <c r="T22" s="85">
        <f>IF(B22="",0,$S22*$K22)</f>
        <v>0.036647276442133912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0.0020074023904736252</v>
      </c>
      <c r="X22" s="85">
        <f>IF(B22="",0,IF(OR(H22=MappingTables!$C$34,H22=MappingTables!$C$35),W22,0))</f>
        <v>0</v>
      </c>
    </row>
    <row r="23" spans="2:24" s="0" customFormat="0" ht="15">
      <c r="B23" s="69">
        <v>17809766</v>
      </c>
      <c r="C23" s="70" t="s">
        <v>3049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216</v>
      </c>
      <c r="J23" s="71">
        <f>IF(OR(I23=0,I23=""),"unrated",VLOOKUP(I23,MappingTables!$B$19:$C$31,2,FALSE))</f>
        <v>0</v>
      </c>
      <c r="K23" s="72">
        <v>2.916419746173406</v>
      </c>
      <c r="L23" s="70">
        <v>0.71939851751824376</v>
      </c>
      <c r="M23" s="71">
        <f>IF(L23&lt;1,1,L23)</f>
        <v>1</v>
      </c>
      <c r="N23" s="70" t="s">
        <v>147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IF(B23="",0,INDEX(ModelParameters!$D$22:$K$26,MATCH($O23,ModelParameters!$B$6:$B$10,0),MATCH($J23,ModelParameters!$D$5:$K$5,0)))</f>
        <v>0.0069999999999999992</v>
      </c>
      <c r="R23" s="71">
        <f>IF(B23="",0,INDEX(ModelParameters!$D$29:$K$33,MATCH($O23,ModelParameters!$B$13:$B$17,0),MATCH($J23,ModelParameters!$D$5:$K$5,0)))</f>
        <v>0</v>
      </c>
      <c r="S23" s="160">
        <f>IF(B23="",0,MIN(P23*Q23+R23,1))</f>
        <v>0.0069999999999999992</v>
      </c>
      <c r="T23" s="85">
        <f>IF(B23="",0,$S23*$K23)</f>
        <v>0.02041493822321384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0.001118254881924442</v>
      </c>
      <c r="X23" s="85">
        <f>IF(B23="",0,IF(OR(H23=MappingTables!$C$34,H23=MappingTables!$C$35),W23,0))</f>
        <v>0</v>
      </c>
    </row>
    <row r="24" spans="2:24" s="0" customFormat="0" ht="15">
      <c r="B24" s="69">
        <v>22390625</v>
      </c>
      <c r="C24" s="70" t="s">
        <v>3039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188</v>
      </c>
      <c r="J24" s="71">
        <f>IF(OR(I24=0,I24=""),"unrated",VLOOKUP(I24,MappingTables!$B$19:$C$31,2,FALSE))</f>
        <v>2</v>
      </c>
      <c r="K24" s="72">
        <v>1099.2253442410716</v>
      </c>
      <c r="L24" s="70">
        <v>0.16164575448458044</v>
      </c>
      <c r="M24" s="71">
        <f>IF(L24&lt;1,1,L24)</f>
        <v>1</v>
      </c>
      <c r="N24" s="70" t="s">
        <v>147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IF(B24="",0,INDEX(ModelParameters!$D$22:$K$26,MATCH($O24,ModelParameters!$B$6:$B$10,0),MATCH($J24,ModelParameters!$D$5:$K$5,0)))</f>
        <v>0.013999999999999998</v>
      </c>
      <c r="R24" s="71">
        <f>IF(B24="",0,INDEX(ModelParameters!$D$29:$K$33,MATCH($O24,ModelParameters!$B$13:$B$17,0),MATCH($J24,ModelParameters!$D$5:$K$5,0)))</f>
        <v>0</v>
      </c>
      <c r="S24" s="160">
        <f>IF(B24="",0,MIN(P24*Q24+R24,1))</f>
        <v>0.013999999999999998</v>
      </c>
      <c r="T24" s="85">
        <f>IF(B24="",0,$S24*$K24)</f>
        <v>15.389154819375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0.84296103751559664</v>
      </c>
      <c r="X24" s="85">
        <f>IF(B24="",0,IF(OR(H24=MappingTables!$C$34,H24=MappingTables!$C$35),W24,0))</f>
        <v>0</v>
      </c>
    </row>
    <row r="25" spans="2:24" s="0" customFormat="0" ht="15">
      <c r="B25" s="69" t="s">
        <v>3046</v>
      </c>
      <c r="C25" s="70" t="s">
        <v>3047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188</v>
      </c>
      <c r="J25" s="71">
        <f>IF(OR(I25=0,I25=""),"unrated",VLOOKUP(I25,MappingTables!$B$19:$C$31,2,FALSE))</f>
        <v>2</v>
      </c>
      <c r="K25" s="72">
        <v>1525.7396788314526</v>
      </c>
      <c r="L25" s="70">
        <v>0.1260294966314203</v>
      </c>
      <c r="M25" s="71">
        <f>IF(L25&lt;1,1,L25)</f>
        <v>1</v>
      </c>
      <c r="N25" s="70" t="s">
        <v>147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</v>
      </c>
      <c r="Q25" s="71">
        <f>IF(B25="",0,INDEX(ModelParameters!$D$22:$K$26,MATCH($O25,ModelParameters!$B$6:$B$10,0),MATCH($J25,ModelParameters!$D$5:$K$5,0)))</f>
        <v>0.013999999999999998</v>
      </c>
      <c r="R25" s="71">
        <f>IF(B25="",0,INDEX(ModelParameters!$D$29:$K$33,MATCH($O25,ModelParameters!$B$13:$B$17,0),MATCH($J25,ModelParameters!$D$5:$K$5,0)))</f>
        <v>0</v>
      </c>
      <c r="S25" s="160">
        <f>IF(B25="",0,MIN(P25*Q25+R25,1))</f>
        <v>0.013999999999999998</v>
      </c>
      <c r="T25" s="85">
        <f>IF(B25="",0,$S25*$K25)</f>
        <v>21.360355503640336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1.170041347194785</v>
      </c>
      <c r="X25" s="85">
        <f>IF(B25="",0,IF(OR(H25=MappingTables!$C$34,H25=MappingTables!$C$35),W25,0))</f>
        <v>0</v>
      </c>
    </row>
    <row r="26" spans="2:24" s="0" customFormat="0" ht="15">
      <c r="B26" s="69" t="s">
        <v>3028</v>
      </c>
      <c r="C26" s="70" t="s">
        <v>3029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198</v>
      </c>
      <c r="J26" s="71" t="str">
        <f>IF(OR(I26=0,I26=""),"unrated",VLOOKUP(I26,MappingTables!$B$19:$C$31,2,FALSE))</f>
        <v>unrated</v>
      </c>
      <c r="K26" s="72">
        <v>8.5741133679872592</v>
      </c>
      <c r="L26" s="70">
        <v>21.78550599047692</v>
      </c>
      <c r="M26" s="71">
        <f>IF(L26&lt;1,1,L26)</f>
        <v>21.78550599047692</v>
      </c>
      <c r="N26" s="70" t="s">
        <v>147</v>
      </c>
      <c r="O26" s="71">
        <f>INDEX(DurClassMapping,MATCH(M26,MappingTables!$D$4:$D$8,-1),1)</f>
        <v>5</v>
      </c>
      <c r="P26" s="73">
        <f>IF(M26=$A$1,1,$M26-INDEX(MappingTables!$E$4:$E$8,MATCH(O26,MappingTables!$B$4:$B$8,0)))</f>
        <v>1.7855059904769206</v>
      </c>
      <c r="Q26" s="71">
        <f>IF(B26="",0,INDEX(ModelParameters!$D$22:$K$26,MATCH($O26,ModelParameters!$B$6:$B$10,0),MATCH($J26,ModelParameters!$D$5:$K$5,0)))</f>
        <v>0.005</v>
      </c>
      <c r="R26" s="71">
        <f>IF(B26="",0,INDEX(ModelParameters!$D$29:$K$33,MATCH($O26,ModelParameters!$B$13:$B$17,0),MATCH($J26,ModelParameters!$D$5:$K$5,0)))</f>
        <v>0.355</v>
      </c>
      <c r="S26" s="160">
        <f>IF(B26="",0,MIN(P26*Q26+R26,1))</f>
        <v>0.36392752995238456</v>
      </c>
      <c r="T26" s="85">
        <f>IF(B26="",0,$S26*$K26)</f>
        <v>3.1203558995433244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0.1709215663478379</v>
      </c>
      <c r="X26" s="85">
        <f>IF(B26="",0,IF(OR(H26=MappingTables!$C$34,H26=MappingTables!$C$35),W26,0))</f>
        <v>0</v>
      </c>
    </row>
    <row r="27" spans="2:24" s="0" customFormat="0" ht="15">
      <c r="B27" s="69" t="s">
        <v>3050</v>
      </c>
      <c r="C27" s="70" t="s">
        <v>3051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188</v>
      </c>
      <c r="J27" s="71">
        <f>IF(OR(I27=0,I27=""),"unrated",VLOOKUP(I27,MappingTables!$B$19:$C$31,2,FALSE))</f>
        <v>2</v>
      </c>
      <c r="K27" s="72">
        <v>4.2940005298790576</v>
      </c>
      <c r="L27" s="70">
        <v>21.941485633020576</v>
      </c>
      <c r="M27" s="71">
        <f>IF(L27&lt;1,1,L27)</f>
        <v>21.941485633020576</v>
      </c>
      <c r="N27" s="70" t="s">
        <v>147</v>
      </c>
      <c r="O27" s="71">
        <f>INDEX(DurClassMapping,MATCH(M27,MappingTables!$D$4:$D$8,-1),1)</f>
        <v>5</v>
      </c>
      <c r="P27" s="73">
        <f>IF(M27=$A$1,1,$M27-INDEX(MappingTables!$E$4:$E$8,MATCH(O27,MappingTables!$B$4:$B$8,0)))</f>
        <v>1.9414856330205764</v>
      </c>
      <c r="Q27" s="71">
        <f>IF(B27="",0,INDEX(ModelParameters!$D$22:$K$26,MATCH($O27,ModelParameters!$B$6:$B$10,0),MATCH($J27,ModelParameters!$D$5:$K$5,0)))</f>
        <v>0.005</v>
      </c>
      <c r="R27" s="71">
        <f>IF(B27="",0,INDEX(ModelParameters!$D$29:$K$33,MATCH($O27,ModelParameters!$B$13:$B$17,0),MATCH($J27,ModelParameters!$D$5:$K$5,0)))</f>
        <v>0.155</v>
      </c>
      <c r="S27" s="160">
        <f>IF(B27="",0,MIN(P27*Q27+R27,1))</f>
        <v>0.1647074281651029</v>
      </c>
      <c r="T27" s="85">
        <f>IF(B27="",0,$S27*$K27)</f>
        <v>0.70725378381596856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0.038740748948846656</v>
      </c>
      <c r="X27" s="85">
        <f>IF(B27="",0,IF(OR(H27=MappingTables!$C$34,H27=MappingTables!$C$35),W27,0))</f>
        <v>0</v>
      </c>
    </row>
    <row r="28" spans="2:24" s="0" customFormat="0" ht="15">
      <c r="B28" s="69">
        <v>17809766</v>
      </c>
      <c r="C28" s="70" t="s">
        <v>3049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216</v>
      </c>
      <c r="J28" s="71">
        <f>IF(OR(I28=0,I28=""),"unrated",VLOOKUP(I28,MappingTables!$B$19:$C$31,2,FALSE))</f>
        <v>0</v>
      </c>
      <c r="K28" s="72">
        <v>6.1859248036381608</v>
      </c>
      <c r="L28" s="70">
        <v>0.71939851751825016</v>
      </c>
      <c r="M28" s="71">
        <f>IF(L28&lt;1,1,L28)</f>
        <v>1</v>
      </c>
      <c r="N28" s="70" t="s">
        <v>147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IF(B28="",0,INDEX(ModelParameters!$D$22:$K$26,MATCH($O28,ModelParameters!$B$6:$B$10,0),MATCH($J28,ModelParameters!$D$5:$K$5,0)))</f>
        <v>0.0069999999999999992</v>
      </c>
      <c r="R28" s="71">
        <f>IF(B28="",0,INDEX(ModelParameters!$D$29:$K$33,MATCH($O28,ModelParameters!$B$13:$B$17,0),MATCH($J28,ModelParameters!$D$5:$K$5,0)))</f>
        <v>0</v>
      </c>
      <c r="S28" s="160">
        <f>IF(B28="",0,MIN(P28*Q28+R28,1))</f>
        <v>0.0069999999999999992</v>
      </c>
      <c r="T28" s="85">
        <f>IF(B28="",0,$S28*$K28)</f>
        <v>0.043301473625467112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0.0023718947246747132</v>
      </c>
      <c r="X28" s="85">
        <f>IF(B28="",0,IF(OR(H28=MappingTables!$C$34,H28=MappingTables!$C$35),W28,0))</f>
        <v>0</v>
      </c>
    </row>
    <row r="29" spans="2:24" s="0" customFormat="0" ht="15">
      <c r="B29" s="69">
        <v>9443127</v>
      </c>
      <c r="C29" s="70" t="s">
        <v>3034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220</v>
      </c>
      <c r="J29" s="71">
        <f>IF(OR(I29=0,I29=""),"unrated",VLOOKUP(I29,MappingTables!$B$19:$C$31,2,FALSE))</f>
        <v>1</v>
      </c>
      <c r="K29" s="72">
        <v>13.9354415002813</v>
      </c>
      <c r="L29" s="70">
        <v>0.29589170052925244</v>
      </c>
      <c r="M29" s="71">
        <f>IF(L29&lt;1,1,L29)</f>
        <v>1</v>
      </c>
      <c r="N29" s="70" t="s">
        <v>147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IF(B29="",0,INDEX(ModelParameters!$D$22:$K$26,MATCH($O29,ModelParameters!$B$6:$B$10,0),MATCH($J29,ModelParameters!$D$5:$K$5,0)))</f>
        <v>0.0090000000000000016</v>
      </c>
      <c r="R29" s="71">
        <f>IF(B29="",0,INDEX(ModelParameters!$D$29:$K$33,MATCH($O29,ModelParameters!$B$13:$B$17,0),MATCH($J29,ModelParameters!$D$5:$K$5,0)))</f>
        <v>0</v>
      </c>
      <c r="S29" s="160">
        <f>IF(B29="",0,MIN(P29*Q29+R29,1))</f>
        <v>0.0090000000000000016</v>
      </c>
      <c r="T29" s="85">
        <f>IF(B29="",0,$S29*$K29)</f>
        <v>0.12541897350253172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0.0068699879407756208</v>
      </c>
      <c r="X29" s="85">
        <f>IF(B29="",0,IF(OR(H29=MappingTables!$C$34,H29=MappingTables!$C$35),W29,0))</f>
        <v>0</v>
      </c>
    </row>
    <row r="30" spans="2:24" s="0" customFormat="0" ht="15">
      <c r="B30" s="69">
        <v>24728975</v>
      </c>
      <c r="C30" s="70" t="s">
        <v>3042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188</v>
      </c>
      <c r="J30" s="71">
        <f>IF(OR(I30=0,I30=""),"unrated",VLOOKUP(I30,MappingTables!$B$19:$C$31,2,FALSE))</f>
        <v>2</v>
      </c>
      <c r="K30" s="72">
        <v>1311.8247220164306</v>
      </c>
      <c r="L30" s="70">
        <v>0.68966245262471208</v>
      </c>
      <c r="M30" s="71">
        <f>IF(L30&lt;1,1,L30)</f>
        <v>1</v>
      </c>
      <c r="N30" s="70" t="s">
        <v>147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IF(B30="",0,INDEX(ModelParameters!$D$22:$K$26,MATCH($O30,ModelParameters!$B$6:$B$10,0),MATCH($J30,ModelParameters!$D$5:$K$5,0)))</f>
        <v>0.013999999999999998</v>
      </c>
      <c r="R30" s="71">
        <f>IF(B30="",0,INDEX(ModelParameters!$D$29:$K$33,MATCH($O30,ModelParameters!$B$13:$B$17,0),MATCH($J30,ModelParameters!$D$5:$K$5,0)))</f>
        <v>0</v>
      </c>
      <c r="S30" s="160">
        <f>IF(B30="",0,MIN(P30*Q30+R30,1))</f>
        <v>0.013999999999999998</v>
      </c>
      <c r="T30" s="85">
        <f>IF(B30="",0,$S30*$K30)</f>
        <v>18.365546108230024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1.0059967544444302</v>
      </c>
      <c r="X30" s="85">
        <f>IF(B30="",0,IF(OR(H30=MappingTables!$C$34,H30=MappingTables!$C$35),W30,0))</f>
        <v>0</v>
      </c>
    </row>
    <row r="31" spans="2:24" s="0" customFormat="0" ht="15">
      <c r="B31" s="69">
        <v>17555097</v>
      </c>
      <c r="C31" s="70" t="s">
        <v>3032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181</v>
      </c>
      <c r="J31" s="71">
        <f>IF(OR(I31=0,I31=""),"unrated",VLOOKUP(I31,MappingTables!$B$19:$C$31,2,FALSE))</f>
        <v>3</v>
      </c>
      <c r="K31" s="72">
        <v>34.796425448677544</v>
      </c>
      <c r="L31" s="70">
        <v>0.057535319892044096</v>
      </c>
      <c r="M31" s="71">
        <f>IF(L31&lt;1,1,L31)</f>
        <v>1</v>
      </c>
      <c r="N31" s="70" t="s">
        <v>147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IF(B31="",0,INDEX(ModelParameters!$D$22:$K$26,MATCH($O31,ModelParameters!$B$6:$B$10,0),MATCH($J31,ModelParameters!$D$5:$K$5,0)))</f>
        <v>0.025</v>
      </c>
      <c r="R31" s="71">
        <f>IF(B31="",0,INDEX(ModelParameters!$D$29:$K$33,MATCH($O31,ModelParameters!$B$13:$B$17,0),MATCH($J31,ModelParameters!$D$5:$K$5,0)))</f>
        <v>0</v>
      </c>
      <c r="S31" s="160">
        <f>IF(B31="",0,MIN(P31*Q31+R31,1))</f>
        <v>0.025</v>
      </c>
      <c r="T31" s="85">
        <f>IF(B31="",0,$S31*$K31)</f>
        <v>0.86991063621693872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0.047650490300354576</v>
      </c>
      <c r="X31" s="85">
        <f>IF(B31="",0,IF(OR(H31=MappingTables!$C$34,H31=MappingTables!$C$35),W31,0))</f>
        <v>0</v>
      </c>
    </row>
    <row r="32" spans="2:24" s="0" customFormat="0" ht="15">
      <c r="B32" s="69">
        <v>22246375</v>
      </c>
      <c r="C32" s="70" t="s">
        <v>3052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181</v>
      </c>
      <c r="J32" s="71">
        <f>IF(OR(I32=0,I32=""),"unrated",VLOOKUP(I32,MappingTables!$B$19:$C$31,2,FALSE))</f>
        <v>3</v>
      </c>
      <c r="K32" s="72">
        <v>5883.032723359776</v>
      </c>
      <c r="L32" s="70">
        <v>0.11232806586690656</v>
      </c>
      <c r="M32" s="71">
        <f>IF(L32&lt;1,1,L32)</f>
        <v>1</v>
      </c>
      <c r="N32" s="70" t="s">
        <v>147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IF(B32="",0,INDEX(ModelParameters!$D$22:$K$26,MATCH($O32,ModelParameters!$B$6:$B$10,0),MATCH($J32,ModelParameters!$D$5:$K$5,0)))</f>
        <v>0.025</v>
      </c>
      <c r="R32" s="71">
        <f>IF(B32="",0,INDEX(ModelParameters!$D$29:$K$33,MATCH($O32,ModelParameters!$B$13:$B$17,0),MATCH($J32,ModelParameters!$D$5:$K$5,0)))</f>
        <v>0</v>
      </c>
      <c r="S32" s="160">
        <f>IF(B32="",0,MIN(P32*Q32+R32,1))</f>
        <v>0.025</v>
      </c>
      <c r="T32" s="85">
        <f>IF(B32="",0,$S32*$K32)</f>
        <v>147.07581808399442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8.0562698641155296</v>
      </c>
      <c r="X32" s="85">
        <f>IF(B32="",0,IF(OR(H32=MappingTables!$C$34,H32=MappingTables!$C$35),W32,0))</f>
        <v>0</v>
      </c>
    </row>
    <row r="33" spans="2:24" s="0" customFormat="0" ht="15">
      <c r="B33" s="69" t="s">
        <v>3040</v>
      </c>
      <c r="C33" s="70" t="s">
        <v>3041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198</v>
      </c>
      <c r="J33" s="71" t="str">
        <f>IF(OR(I33=0,I33=""),"unrated",VLOOKUP(I33,MappingTables!$B$19:$C$31,2,FALSE))</f>
        <v>unrated</v>
      </c>
      <c r="K33" s="72">
        <v>362.29985726944448</v>
      </c>
      <c r="L33" s="70">
        <v>0.087671319258823456</v>
      </c>
      <c r="M33" s="71">
        <f>IF(L33&lt;1,1,L33)</f>
        <v>1</v>
      </c>
      <c r="N33" s="70" t="s">
        <v>147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</v>
      </c>
      <c r="Q33" s="71">
        <f>IF(B33="",0,INDEX(ModelParameters!$D$22:$K$26,MATCH($O33,ModelParameters!$B$6:$B$10,0),MATCH($J33,ModelParameters!$D$5:$K$5,0)))</f>
        <v>0.03</v>
      </c>
      <c r="R33" s="71">
        <f>IF(B33="",0,INDEX(ModelParameters!$D$29:$K$33,MATCH($O33,ModelParameters!$B$13:$B$17,0),MATCH($J33,ModelParameters!$D$5:$K$5,0)))</f>
        <v>0</v>
      </c>
      <c r="S33" s="160">
        <f>IF(B33="",0,MIN(P33*Q33+R33,1))</f>
        <v>0.03</v>
      </c>
      <c r="T33" s="85">
        <f>IF(B33="",0,$S33*$K33)</f>
        <v>10.868995718083334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0.59536342409999928</v>
      </c>
      <c r="X33" s="85">
        <f>IF(B33="",0,IF(OR(H33=MappingTables!$C$34,H33=MappingTables!$C$35),W33,0))</f>
        <v>0</v>
      </c>
    </row>
    <row r="34" spans="2:24" s="0" customFormat="0" ht="15">
      <c r="B34" s="69">
        <v>21834589</v>
      </c>
      <c r="C34" s="70" t="s">
        <v>3053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220</v>
      </c>
      <c r="J34" s="71">
        <f>IF(OR(I34=0,I34=""),"unrated",VLOOKUP(I34,MappingTables!$B$19:$C$31,2,FALSE))</f>
        <v>1</v>
      </c>
      <c r="K34" s="72">
        <v>2.28092503747673</v>
      </c>
      <c r="L34" s="70">
        <v>1.9629714451098172</v>
      </c>
      <c r="M34" s="71">
        <f>IF(L34&lt;1,1,L34)</f>
        <v>1.9629714451098172</v>
      </c>
      <c r="N34" s="70" t="s">
        <v>147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1.9629714451098172</v>
      </c>
      <c r="Q34" s="71">
        <f>IF(B34="",0,INDEX(ModelParameters!$D$22:$K$26,MATCH($O34,ModelParameters!$B$6:$B$10,0),MATCH($J34,ModelParameters!$D$5:$K$5,0)))</f>
        <v>0.0090000000000000016</v>
      </c>
      <c r="R34" s="71">
        <f>IF(B34="",0,INDEX(ModelParameters!$D$29:$K$33,MATCH($O34,ModelParameters!$B$13:$B$17,0),MATCH($J34,ModelParameters!$D$5:$K$5,0)))</f>
        <v>0</v>
      </c>
      <c r="S34" s="160">
        <f>IF(B34="",0,MIN(P34*Q34+R34,1))</f>
        <v>0.017666743005988354</v>
      </c>
      <c r="T34" s="85">
        <f>IF(B34="",0,$S34*$K34)</f>
        <v>0.040296516453025744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0.0022072942741950044</v>
      </c>
      <c r="X34" s="85">
        <f>IF(B34="",0,IF(OR(H34=MappingTables!$C$34,H34=MappingTables!$C$35),W34,0))</f>
        <v>0</v>
      </c>
    </row>
    <row r="35" spans="2:24" s="0" customFormat="0" ht="15">
      <c r="B35" s="69">
        <v>15802732</v>
      </c>
      <c r="C35" s="70" t="s">
        <v>3054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220</v>
      </c>
      <c r="J35" s="71">
        <f>IF(OR(I35=0,I35=""),"unrated",VLOOKUP(I35,MappingTables!$B$19:$C$31,2,FALSE))</f>
        <v>1</v>
      </c>
      <c r="K35" s="72">
        <v>423.7678450308388</v>
      </c>
      <c r="L35" s="70">
        <v>0.13150813621301038</v>
      </c>
      <c r="M35" s="71">
        <f>IF(L35&lt;1,1,L35)</f>
        <v>1</v>
      </c>
      <c r="N35" s="70" t="s">
        <v>147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IF(B35="",0,INDEX(ModelParameters!$D$22:$K$26,MATCH($O35,ModelParameters!$B$6:$B$10,0),MATCH($J35,ModelParameters!$D$5:$K$5,0)))</f>
        <v>0.0090000000000000016</v>
      </c>
      <c r="R35" s="71">
        <f>IF(B35="",0,INDEX(ModelParameters!$D$29:$K$33,MATCH($O35,ModelParameters!$B$13:$B$17,0),MATCH($J35,ModelParameters!$D$5:$K$5,0)))</f>
        <v>0</v>
      </c>
      <c r="S35" s="160">
        <f>IF(B35="",0,MIN(P35*Q35+R35,1))</f>
        <v>0.0090000000000000016</v>
      </c>
      <c r="T35" s="85">
        <f>IF(B35="",0,$S35*$K35)</f>
        <v>3.8139106052775496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0.20891193041796108</v>
      </c>
      <c r="X35" s="85">
        <f>IF(B35="",0,IF(OR(H35=MappingTables!$C$34,H35=MappingTables!$C$35),W35,0))</f>
        <v>0</v>
      </c>
    </row>
    <row r="36" spans="2:24" s="0" customFormat="0" ht="15">
      <c r="B36" s="69">
        <v>14504605</v>
      </c>
      <c r="C36" s="70" t="s">
        <v>3055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188</v>
      </c>
      <c r="J36" s="71">
        <f>IF(OR(I36=0,I36=""),"unrated",VLOOKUP(I36,MappingTables!$B$19:$C$31,2,FALSE))</f>
        <v>2</v>
      </c>
      <c r="K36" s="72">
        <v>299.37328440074388</v>
      </c>
      <c r="L36" s="70">
        <v>0.745754291192304</v>
      </c>
      <c r="M36" s="71">
        <f>IF(L36&lt;1,1,L36)</f>
        <v>1</v>
      </c>
      <c r="N36" s="70" t="s">
        <v>147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IF(B36="",0,INDEX(ModelParameters!$D$22:$K$26,MATCH($O36,ModelParameters!$B$6:$B$10,0),MATCH($J36,ModelParameters!$D$5:$K$5,0)))</f>
        <v>0.013999999999999998</v>
      </c>
      <c r="R36" s="71">
        <f>IF(B36="",0,INDEX(ModelParameters!$D$29:$K$33,MATCH($O36,ModelParameters!$B$13:$B$17,0),MATCH($J36,ModelParameters!$D$5:$K$5,0)))</f>
        <v>0</v>
      </c>
      <c r="S36" s="160">
        <f>IF(B36="",0,MIN(P36*Q36+R36,1))</f>
        <v>0.013999999999999998</v>
      </c>
      <c r="T36" s="85">
        <f>IF(B36="",0,$S36*$K36)</f>
        <v>4.1912259816104144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0.22957987253936324</v>
      </c>
      <c r="X36" s="85">
        <f>IF(B36="",0,IF(OR(H36=MappingTables!$C$34,H36=MappingTables!$C$35),W36,0))</f>
        <v>0</v>
      </c>
    </row>
    <row r="37" spans="2:24" s="0" customFormat="0" ht="15">
      <c r="B37" s="69">
        <v>19671746</v>
      </c>
      <c r="C37" s="70" t="s">
        <v>3056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216</v>
      </c>
      <c r="J37" s="71">
        <f>IF(OR(I37=0,I37=""),"unrated",VLOOKUP(I37,MappingTables!$B$19:$C$31,2,FALSE))</f>
        <v>0</v>
      </c>
      <c r="K37" s="72">
        <v>11.39945218234315</v>
      </c>
      <c r="L37" s="70">
        <v>1.32565697425142</v>
      </c>
      <c r="M37" s="71">
        <f>IF(L37&lt;1,1,L37)</f>
        <v>1.32565697425142</v>
      </c>
      <c r="N37" s="70" t="s">
        <v>147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1.32565697425142</v>
      </c>
      <c r="Q37" s="71">
        <f>IF(B37="",0,INDEX(ModelParameters!$D$22:$K$26,MATCH($O37,ModelParameters!$B$6:$B$10,0),MATCH($J37,ModelParameters!$D$5:$K$5,0)))</f>
        <v>0.0069999999999999992</v>
      </c>
      <c r="R37" s="71">
        <f>IF(B37="",0,INDEX(ModelParameters!$D$29:$K$33,MATCH($O37,ModelParameters!$B$13:$B$17,0),MATCH($J37,ModelParameters!$D$5:$K$5,0)))</f>
        <v>0</v>
      </c>
      <c r="S37" s="160">
        <f>IF(B37="",0,MIN(P37*Q37+R37,1))</f>
        <v>0.0092795988197599392</v>
      </c>
      <c r="T37" s="85">
        <f>IF(B37="",0,$S37*$K37)</f>
        <v>0.10578234301718136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0.0057943658808557888</v>
      </c>
      <c r="X37" s="85">
        <f>IF(B37="",0,IF(OR(H37=MappingTables!$C$34,H37=MappingTables!$C$35),W37,0))</f>
        <v>0</v>
      </c>
    </row>
    <row r="38" spans="2:24" s="0" customFormat="0" ht="15">
      <c r="B38" s="69">
        <v>22246375</v>
      </c>
      <c r="C38" s="70" t="s">
        <v>3052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181</v>
      </c>
      <c r="J38" s="71">
        <f>IF(OR(I38=0,I38=""),"unrated",VLOOKUP(I38,MappingTables!$B$19:$C$31,2,FALSE))</f>
        <v>3</v>
      </c>
      <c r="K38" s="72">
        <v>12478.312852154104</v>
      </c>
      <c r="L38" s="70">
        <v>0.11232806586690436</v>
      </c>
      <c r="M38" s="71">
        <f>IF(L38&lt;1,1,L38)</f>
        <v>1</v>
      </c>
      <c r="N38" s="70" t="s">
        <v>147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1</v>
      </c>
      <c r="Q38" s="71">
        <f>IF(B38="",0,INDEX(ModelParameters!$D$22:$K$26,MATCH($O38,ModelParameters!$B$6:$B$10,0),MATCH($J38,ModelParameters!$D$5:$K$5,0)))</f>
        <v>0.025</v>
      </c>
      <c r="R38" s="71">
        <f>IF(B38="",0,INDEX(ModelParameters!$D$29:$K$33,MATCH($O38,ModelParameters!$B$13:$B$17,0),MATCH($J38,ModelParameters!$D$5:$K$5,0)))</f>
        <v>0</v>
      </c>
      <c r="S38" s="160">
        <f>IF(B38="",0,MIN(P38*Q38+R38,1))</f>
        <v>0.025</v>
      </c>
      <c r="T38" s="85">
        <f>IF(B38="",0,$S38*$K38)</f>
        <v>311.9578213038526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17.087896755468514</v>
      </c>
      <c r="X38" s="85">
        <f>IF(B38="",0,IF(OR(H38=MappingTables!$C$34,H38=MappingTables!$C$35),W38,0))</f>
        <v>0</v>
      </c>
    </row>
    <row r="39" spans="2:24" s="0" customFormat="0" ht="15">
      <c r="B39" s="69" t="s">
        <v>3043</v>
      </c>
      <c r="C39" s="70" t="s">
        <v>3044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188</v>
      </c>
      <c r="J39" s="71">
        <f>IF(OR(I39=0,I39=""),"unrated",VLOOKUP(I39,MappingTables!$B$19:$C$31,2,FALSE))</f>
        <v>2</v>
      </c>
      <c r="K39" s="72">
        <v>18.488234635558664</v>
      </c>
      <c r="L39" s="70">
        <v>21.942137829684672</v>
      </c>
      <c r="M39" s="71">
        <f>IF(L39&lt;1,1,L39)</f>
        <v>21.942137829684672</v>
      </c>
      <c r="N39" s="70" t="s">
        <v>147</v>
      </c>
      <c r="O39" s="71">
        <f>INDEX(DurClassMapping,MATCH(M39,MappingTables!$D$4:$D$8,-1),1)</f>
        <v>5</v>
      </c>
      <c r="P39" s="73">
        <f>IF(M39=$A$1,1,$M39-INDEX(MappingTables!$E$4:$E$8,MATCH(O39,MappingTables!$B$4:$B$8,0)))</f>
        <v>1.942137829684672</v>
      </c>
      <c r="Q39" s="71">
        <f>IF(B39="",0,INDEX(ModelParameters!$D$22:$K$26,MATCH($O39,ModelParameters!$B$6:$B$10,0),MATCH($J39,ModelParameters!$D$5:$K$5,0)))</f>
        <v>0.005</v>
      </c>
      <c r="R39" s="71">
        <f>IF(B39="",0,INDEX(ModelParameters!$D$29:$K$33,MATCH($O39,ModelParameters!$B$13:$B$17,0),MATCH($J39,ModelParameters!$D$5:$K$5,0)))</f>
        <v>0.155</v>
      </c>
      <c r="S39" s="160">
        <f>IF(B39="",0,MIN(P39*Q39+R39,1))</f>
        <v>0.16471068914842336</v>
      </c>
      <c r="T39" s="85">
        <f>IF(B39="",0,$S39*$K39)</f>
        <v>3.0452098679606176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85">
        <f>IF(B39="",0,+$T39*$V39)</f>
        <v>0.16680534440507166</v>
      </c>
      <c r="X39" s="85">
        <f>IF(B39="",0,IF(OR(H39=MappingTables!$C$34,H39=MappingTables!$C$35),W39,0))</f>
        <v>0</v>
      </c>
    </row>
    <row r="40" spans="2:24" s="0" customFormat="0" ht="15">
      <c r="B40" s="69">
        <v>16168539</v>
      </c>
      <c r="C40" s="70" t="s">
        <v>3035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220</v>
      </c>
      <c r="J40" s="71">
        <f>IF(OR(I40=0,I40=""),"unrated",VLOOKUP(I40,MappingTables!$B$19:$C$31,2,FALSE))</f>
        <v>1</v>
      </c>
      <c r="K40" s="72">
        <v>2.1754026403233396</v>
      </c>
      <c r="L40" s="70">
        <v>0.13698928136837888</v>
      </c>
      <c r="M40" s="71">
        <f>IF(L40&lt;1,1,L40)</f>
        <v>1</v>
      </c>
      <c r="N40" s="70" t="s">
        <v>147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</v>
      </c>
      <c r="Q40" s="71">
        <f>IF(B40="",0,INDEX(ModelParameters!$D$22:$K$26,MATCH($O40,ModelParameters!$B$6:$B$10,0),MATCH($J40,ModelParameters!$D$5:$K$5,0)))</f>
        <v>0.0090000000000000016</v>
      </c>
      <c r="R40" s="71">
        <f>IF(B40="",0,INDEX(ModelParameters!$D$29:$K$33,MATCH($O40,ModelParameters!$B$13:$B$17,0),MATCH($J40,ModelParameters!$D$5:$K$5,0)))</f>
        <v>0</v>
      </c>
      <c r="S40" s="160">
        <f>IF(B40="",0,MIN(P40*Q40+R40,1))</f>
        <v>0.0090000000000000016</v>
      </c>
      <c r="T40" s="85">
        <f>IF(B40="",0,$S40*$K40)</f>
        <v>0.01957862376291006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85">
        <f>IF(B40="",0,+$T40*$V40)</f>
        <v>0.001072444666001512</v>
      </c>
      <c r="X40" s="85">
        <f>IF(B40="",0,IF(OR(H40=MappingTables!$C$34,H40=MappingTables!$C$35),W40,0))</f>
        <v>0</v>
      </c>
    </row>
    <row r="41" spans="2:24" s="0" customFormat="0" ht="15">
      <c r="B41" s="69">
        <v>813975</v>
      </c>
      <c r="C41" s="70" t="s">
        <v>3048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220</v>
      </c>
      <c r="J41" s="71">
        <f>IF(OR(I41=0,I41=""),"unrated",VLOOKUP(I41,MappingTables!$B$19:$C$31,2,FALSE))</f>
        <v>1</v>
      </c>
      <c r="K41" s="72">
        <v>8.6368186471463696</v>
      </c>
      <c r="L41" s="70">
        <v>0.79179078562651184</v>
      </c>
      <c r="M41" s="71">
        <f>IF(L41&lt;1,1,L41)</f>
        <v>1</v>
      </c>
      <c r="N41" s="70" t="s">
        <v>147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IF(B41="",0,INDEX(ModelParameters!$D$22:$K$26,MATCH($O41,ModelParameters!$B$6:$B$10,0),MATCH($J41,ModelParameters!$D$5:$K$5,0)))</f>
        <v>0.0090000000000000016</v>
      </c>
      <c r="R41" s="71">
        <f>IF(B41="",0,INDEX(ModelParameters!$D$29:$K$33,MATCH($O41,ModelParameters!$B$13:$B$17,0),MATCH($J41,ModelParameters!$D$5:$K$5,0)))</f>
        <v>0</v>
      </c>
      <c r="S41" s="160">
        <f>IF(B41="",0,MIN(P41*Q41+R41,1))</f>
        <v>0.0090000000000000016</v>
      </c>
      <c r="T41" s="85">
        <f>IF(B41="",0,$S41*$K41)</f>
        <v>0.077731367824317344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0.0042578371091697264</v>
      </c>
      <c r="X41" s="85">
        <f>IF(B41="",0,IF(OR(H41=MappingTables!$C$34,H41=MappingTables!$C$35),W41,0))</f>
        <v>0</v>
      </c>
    </row>
    <row r="42" spans="2:24" s="0" customFormat="0" ht="15">
      <c r="B42" s="69">
        <v>15653146</v>
      </c>
      <c r="C42" s="70" t="s">
        <v>3045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216</v>
      </c>
      <c r="J42" s="71">
        <f>IF(OR(I42=0,I42=""),"unrated",VLOOKUP(I42,MappingTables!$B$19:$C$31,2,FALSE))</f>
        <v>0</v>
      </c>
      <c r="K42" s="72">
        <v>133.6274131266512</v>
      </c>
      <c r="L42" s="70">
        <v>0.049313451184116984</v>
      </c>
      <c r="M42" s="71">
        <f>IF(L42&lt;1,1,L42)</f>
        <v>1</v>
      </c>
      <c r="N42" s="70" t="s">
        <v>147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IF(B42="",0,INDEX(ModelParameters!$D$22:$K$26,MATCH($O42,ModelParameters!$B$6:$B$10,0),MATCH($J42,ModelParameters!$D$5:$K$5,0)))</f>
        <v>0.0069999999999999992</v>
      </c>
      <c r="R42" s="71">
        <f>IF(B42="",0,INDEX(ModelParameters!$D$29:$K$33,MATCH($O42,ModelParameters!$B$13:$B$17,0),MATCH($J42,ModelParameters!$D$5:$K$5,0)))</f>
        <v>0</v>
      </c>
      <c r="S42" s="160">
        <f>IF(B42="",0,MIN(P42*Q42+R42,1))</f>
        <v>0.0069999999999999992</v>
      </c>
      <c r="T42" s="85">
        <f>IF(B42="",0,$S42*$K42)</f>
        <v>0.93539189188655824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0.051237311530302304</v>
      </c>
      <c r="X42" s="85">
        <f>IF(B42="",0,IF(OR(H42=MappingTables!$C$34,H42=MappingTables!$C$35),W42,0))</f>
        <v>0</v>
      </c>
    </row>
    <row r="43" spans="2:24" s="0" customFormat="0" ht="15">
      <c r="B43" s="69">
        <v>14504605</v>
      </c>
      <c r="C43" s="70" t="s">
        <v>3055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188</v>
      </c>
      <c r="J43" s="71">
        <f>IF(OR(I43=0,I43=""),"unrated",VLOOKUP(I43,MappingTables!$B$19:$C$31,2,FALSE))</f>
        <v>2</v>
      </c>
      <c r="K43" s="72">
        <v>141.14270491017482</v>
      </c>
      <c r="L43" s="70">
        <v>0.74575429119229904</v>
      </c>
      <c r="M43" s="71">
        <f>IF(L43&lt;1,1,L43)</f>
        <v>1</v>
      </c>
      <c r="N43" s="70" t="s">
        <v>147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</v>
      </c>
      <c r="Q43" s="71">
        <f>IF(B43="",0,INDEX(ModelParameters!$D$22:$K$26,MATCH($O43,ModelParameters!$B$6:$B$10,0),MATCH($J43,ModelParameters!$D$5:$K$5,0)))</f>
        <v>0.013999999999999998</v>
      </c>
      <c r="R43" s="71">
        <f>IF(B43="",0,INDEX(ModelParameters!$D$29:$K$33,MATCH($O43,ModelParameters!$B$13:$B$17,0),MATCH($J43,ModelParameters!$D$5:$K$5,0)))</f>
        <v>0</v>
      </c>
      <c r="S43" s="160">
        <f>IF(B43="",0,MIN(P43*Q43+R43,1))</f>
        <v>0.013999999999999998</v>
      </c>
      <c r="T43" s="85">
        <f>IF(B43="",0,$S43*$K43)</f>
        <v>1.9759978687424472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0.1082378618653334</v>
      </c>
      <c r="X43" s="85">
        <f>IF(B43="",0,IF(OR(H43=MappingTables!$C$34,H43=MappingTables!$C$35),W43,0))</f>
        <v>0</v>
      </c>
    </row>
    <row r="44" spans="2:24" s="0" customFormat="0" ht="15">
      <c r="B44" s="69" t="s">
        <v>3050</v>
      </c>
      <c r="C44" s="70" t="s">
        <v>3051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188</v>
      </c>
      <c r="J44" s="71">
        <f>IF(OR(I44=0,I44=""),"unrated",VLOOKUP(I44,MappingTables!$B$19:$C$31,2,FALSE))</f>
        <v>2</v>
      </c>
      <c r="K44" s="72">
        <v>2.0244520173137604</v>
      </c>
      <c r="L44" s="70">
        <v>21.941485633020572</v>
      </c>
      <c r="M44" s="71">
        <f>IF(L44&lt;1,1,L44)</f>
        <v>21.941485633020572</v>
      </c>
      <c r="N44" s="70" t="s">
        <v>147</v>
      </c>
      <c r="O44" s="71">
        <f>INDEX(DurClassMapping,MATCH(M44,MappingTables!$D$4:$D$8,-1),1)</f>
        <v>5</v>
      </c>
      <c r="P44" s="73">
        <f>IF(M44=$A$1,1,$M44-INDEX(MappingTables!$E$4:$E$8,MATCH(O44,MappingTables!$B$4:$B$8,0)))</f>
        <v>1.9414856330205728</v>
      </c>
      <c r="Q44" s="71">
        <f>IF(B44="",0,INDEX(ModelParameters!$D$22:$K$26,MATCH($O44,ModelParameters!$B$6:$B$10,0),MATCH($J44,ModelParameters!$D$5:$K$5,0)))</f>
        <v>0.005</v>
      </c>
      <c r="R44" s="71">
        <f>IF(B44="",0,INDEX(ModelParameters!$D$29:$K$33,MATCH($O44,ModelParameters!$B$13:$B$17,0),MATCH($J44,ModelParameters!$D$5:$K$5,0)))</f>
        <v>0.155</v>
      </c>
      <c r="S44" s="160">
        <f>IF(B44="",0,MIN(P44*Q44+R44,1))</f>
        <v>0.16470742816510286</v>
      </c>
      <c r="T44" s="85">
        <f>IF(B44="",0,$S44*$K44)</f>
        <v>0.33344228521540376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0.018264736302663548</v>
      </c>
      <c r="X44" s="85">
        <f>IF(B44="",0,IF(OR(H44=MappingTables!$C$34,H44=MappingTables!$C$35),W44,0))</f>
        <v>0</v>
      </c>
    </row>
    <row r="45" spans="2:24" s="0" customFormat="0" ht="15">
      <c r="B45" s="69">
        <v>15831633</v>
      </c>
      <c r="C45" s="70" t="s">
        <v>3027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216</v>
      </c>
      <c r="J45" s="71">
        <f>IF(OR(I45=0,I45=""),"unrated",VLOOKUP(I45,MappingTables!$B$19:$C$31,2,FALSE))</f>
        <v>0</v>
      </c>
      <c r="K45" s="72">
        <v>44.528192837941024</v>
      </c>
      <c r="L45" s="70">
        <v>0.15068456804380844</v>
      </c>
      <c r="M45" s="71">
        <f>IF(L45&lt;1,1,L45)</f>
        <v>1</v>
      </c>
      <c r="N45" s="70" t="s">
        <v>147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IF(B45="",0,INDEX(ModelParameters!$D$22:$K$26,MATCH($O45,ModelParameters!$B$6:$B$10,0),MATCH($J45,ModelParameters!$D$5:$K$5,0)))</f>
        <v>0.0069999999999999992</v>
      </c>
      <c r="R45" s="71">
        <f>IF(B45="",0,INDEX(ModelParameters!$D$29:$K$33,MATCH($O45,ModelParameters!$B$13:$B$17,0),MATCH($J45,ModelParameters!$D$5:$K$5,0)))</f>
        <v>0</v>
      </c>
      <c r="S45" s="160">
        <f>IF(B45="",0,MIN(P45*Q45+R45,1))</f>
        <v>0.0069999999999999992</v>
      </c>
      <c r="T45" s="85">
        <f>IF(B45="",0,$S45*$K45)</f>
        <v>0.31169734986558712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0.017073629092531818</v>
      </c>
      <c r="X45" s="85">
        <f>IF(B45="",0,IF(OR(H45=MappingTables!$C$34,H45=MappingTables!$C$35),W45,0))</f>
        <v>0</v>
      </c>
    </row>
    <row r="46" spans="2:24" s="0" customFormat="0" ht="15">
      <c r="B46" s="69">
        <v>15802732</v>
      </c>
      <c r="C46" s="70" t="s">
        <v>3054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220</v>
      </c>
      <c r="J46" s="71">
        <f>IF(OR(I46=0,I46=""),"unrated",VLOOKUP(I46,MappingTables!$B$19:$C$31,2,FALSE))</f>
        <v>1</v>
      </c>
      <c r="K46" s="72">
        <v>199.78983769193296</v>
      </c>
      <c r="L46" s="70">
        <v>0.13150813621301544</v>
      </c>
      <c r="M46" s="71">
        <f>IF(L46&lt;1,1,L46)</f>
        <v>1</v>
      </c>
      <c r="N46" s="70" t="s">
        <v>147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IF(B46="",0,INDEX(ModelParameters!$D$22:$K$26,MATCH($O46,ModelParameters!$B$6:$B$10,0),MATCH($J46,ModelParameters!$D$5:$K$5,0)))</f>
        <v>0.0090000000000000016</v>
      </c>
      <c r="R46" s="71">
        <f>IF(B46="",0,INDEX(ModelParameters!$D$29:$K$33,MATCH($O46,ModelParameters!$B$13:$B$17,0),MATCH($J46,ModelParameters!$D$5:$K$5,0)))</f>
        <v>0</v>
      </c>
      <c r="S46" s="160">
        <f>IF(B46="",0,MIN(P46*Q46+R46,1))</f>
        <v>0.0090000000000000016</v>
      </c>
      <c r="T46" s="85">
        <f>IF(B46="",0,$S46*$K46)</f>
        <v>1.798108539227397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0.09849374170207608</v>
      </c>
      <c r="X46" s="85">
        <f>IF(B46="",0,IF(OR(H46=MappingTables!$C$34,H46=MappingTables!$C$35),W46,0))</f>
        <v>0</v>
      </c>
    </row>
    <row r="47" spans="2:24" s="0" customFormat="0" ht="15">
      <c r="B47" s="69">
        <v>15638340</v>
      </c>
      <c r="C47" s="70" t="s">
        <v>3038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216</v>
      </c>
      <c r="J47" s="71">
        <f>IF(OR(I47=0,I47=""),"unrated",VLOOKUP(I47,MappingTables!$B$19:$C$31,2,FALSE))</f>
        <v>0</v>
      </c>
      <c r="K47" s="72">
        <v>111.35617753389682</v>
      </c>
      <c r="L47" s="70">
        <v>0.049313451184119544</v>
      </c>
      <c r="M47" s="71">
        <f>IF(L47&lt;1,1,L47)</f>
        <v>1</v>
      </c>
      <c r="N47" s="70" t="s">
        <v>147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IF(B47="",0,INDEX(ModelParameters!$D$22:$K$26,MATCH($O47,ModelParameters!$B$6:$B$10,0),MATCH($J47,ModelParameters!$D$5:$K$5,0)))</f>
        <v>0.0069999999999999992</v>
      </c>
      <c r="R47" s="71">
        <f>IF(B47="",0,INDEX(ModelParameters!$D$29:$K$33,MATCH($O47,ModelParameters!$B$13:$B$17,0),MATCH($J47,ModelParameters!$D$5:$K$5,0)))</f>
        <v>0</v>
      </c>
      <c r="S47" s="160">
        <f>IF(B47="",0,MIN(P47*Q47+R47,1))</f>
        <v>0.0069999999999999992</v>
      </c>
      <c r="T47" s="85">
        <f>IF(B47="",0,$S47*$K47)</f>
        <v>0.77949324273727776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0.0426977595811138</v>
      </c>
      <c r="X47" s="85">
        <f>IF(B47="",0,IF(OR(H47=MappingTables!$C$34,H47=MappingTables!$C$35),W47,0))</f>
        <v>0</v>
      </c>
    </row>
    <row r="48" spans="2:24" s="0" customFormat="0" ht="15">
      <c r="B48" s="69">
        <v>13513713</v>
      </c>
      <c r="C48" s="70" t="s">
        <v>3033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216</v>
      </c>
      <c r="J48" s="71">
        <f>IF(OR(I48=0,I48=""),"unrated",VLOOKUP(I48,MappingTables!$B$19:$C$31,2,FALSE))</f>
        <v>0</v>
      </c>
      <c r="K48" s="72">
        <v>1.4554812319866462</v>
      </c>
      <c r="L48" s="70">
        <v>1.1752098468522334</v>
      </c>
      <c r="M48" s="71">
        <f>IF(L48&lt;1,1,L48)</f>
        <v>1.1752098468522334</v>
      </c>
      <c r="N48" s="70" t="s">
        <v>147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1.1752098468522334</v>
      </c>
      <c r="Q48" s="71">
        <f>IF(B48="",0,INDEX(ModelParameters!$D$22:$K$26,MATCH($O48,ModelParameters!$B$6:$B$10,0),MATCH($J48,ModelParameters!$D$5:$K$5,0)))</f>
        <v>0.0069999999999999992</v>
      </c>
      <c r="R48" s="71">
        <f>IF(B48="",0,INDEX(ModelParameters!$D$29:$K$33,MATCH($O48,ModelParameters!$B$13:$B$17,0),MATCH($J48,ModelParameters!$D$5:$K$5,0)))</f>
        <v>0</v>
      </c>
      <c r="S48" s="160">
        <f>IF(B48="",0,MIN(P48*Q48+R48,1))</f>
        <v>0.008226468927965632</v>
      </c>
      <c r="T48" s="85">
        <f>IF(B48="",0,$S48*$K48)</f>
        <v>0.011973471130175284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0.00065586250609736312</v>
      </c>
      <c r="X48" s="85">
        <f>IF(B48="",0,IF(OR(H48=MappingTables!$C$34,H48=MappingTables!$C$35),W48,0))</f>
        <v>0</v>
      </c>
    </row>
    <row r="49" spans="2:24" s="0" customFormat="0" ht="15">
      <c r="B49" s="69">
        <v>21834589</v>
      </c>
      <c r="C49" s="70" t="s">
        <v>3053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220</v>
      </c>
      <c r="J49" s="71">
        <f>IF(OR(I49=0,I49=""),"unrated",VLOOKUP(I49,MappingTables!$B$19:$C$31,2,FALSE))</f>
        <v>1</v>
      </c>
      <c r="K49" s="72">
        <v>4.8379972552332496</v>
      </c>
      <c r="L49" s="70">
        <v>1.9629714451098216</v>
      </c>
      <c r="M49" s="71">
        <f>IF(L49&lt;1,1,L49)</f>
        <v>1.9629714451098216</v>
      </c>
      <c r="N49" s="70" t="s">
        <v>147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1.9629714451098216</v>
      </c>
      <c r="Q49" s="71">
        <f>IF(B49="",0,INDEX(ModelParameters!$D$22:$K$26,MATCH($O49,ModelParameters!$B$6:$B$10,0),MATCH($J49,ModelParameters!$D$5:$K$5,0)))</f>
        <v>0.0090000000000000016</v>
      </c>
      <c r="R49" s="71">
        <f>IF(B49="",0,INDEX(ModelParameters!$D$29:$K$33,MATCH($O49,ModelParameters!$B$13:$B$17,0),MATCH($J49,ModelParameters!$D$5:$K$5,0)))</f>
        <v>0</v>
      </c>
      <c r="S49" s="160">
        <f>IF(B49="",0,MIN(P49*Q49+R49,1))</f>
        <v>0.017666743005988396</v>
      </c>
      <c r="T49" s="85">
        <f>IF(B49="",0,$S49*$K49)</f>
        <v>0.085471654171883056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0.0046818213946482968</v>
      </c>
      <c r="X49" s="85">
        <f>IF(B49="",0,IF(OR(H49=MappingTables!$C$34,H49=MappingTables!$C$35),W49,0))</f>
        <v>0</v>
      </c>
    </row>
    <row r="50" spans="2:24" s="0" customFormat="0" ht="15">
      <c r="B50" s="69">
        <v>18946108</v>
      </c>
      <c r="C50" s="70" t="s">
        <v>3037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179</v>
      </c>
      <c r="J50" s="71">
        <f>IF(OR(I50=0,I50=""),"unrated",VLOOKUP(I50,MappingTables!$B$19:$C$31,2,FALSE))</f>
        <v>4</v>
      </c>
      <c r="K50" s="72">
        <v>1341.6162509989048</v>
      </c>
      <c r="L50" s="70">
        <v>0.087672402502142304</v>
      </c>
      <c r="M50" s="71">
        <f>IF(L50&lt;1,1,L50)</f>
        <v>1</v>
      </c>
      <c r="N50" s="70" t="s">
        <v>147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</v>
      </c>
      <c r="Q50" s="71">
        <f>IF(B50="",0,INDEX(ModelParameters!$D$22:$K$26,MATCH($O50,ModelParameters!$B$6:$B$10,0),MATCH($J50,ModelParameters!$D$5:$K$5,0)))</f>
        <v>0.045</v>
      </c>
      <c r="R50" s="71">
        <f>IF(B50="",0,INDEX(ModelParameters!$D$29:$K$33,MATCH($O50,ModelParameters!$B$13:$B$17,0),MATCH($J50,ModelParameters!$D$5:$K$5,0)))</f>
        <v>0</v>
      </c>
      <c r="S50" s="160">
        <f>IF(B50="",0,MIN(P50*Q50+R50,1))</f>
        <v>0.045</v>
      </c>
      <c r="T50" s="85">
        <f>IF(B50="",0,$S50*$K50)</f>
        <v>60.37273129495072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3.3069951408877216</v>
      </c>
      <c r="X50" s="85">
        <f>IF(B50="",0,IF(OR(H50=MappingTables!$C$34,H50=MappingTables!$C$35),W50,0))</f>
        <v>0</v>
      </c>
    </row>
    <row r="51" spans="2:24" s="0" customFormat="0" ht="15">
      <c r="B51" s="69">
        <v>19671746</v>
      </c>
      <c r="C51" s="70" t="s">
        <v>3056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216</v>
      </c>
      <c r="J51" s="71">
        <f>IF(OR(I51=0,I51=""),"unrated",VLOOKUP(I51,MappingTables!$B$19:$C$31,2,FALSE))</f>
        <v>0</v>
      </c>
      <c r="K51" s="72">
        <v>5.3743924415731048</v>
      </c>
      <c r="L51" s="70">
        <v>1.325656974251419</v>
      </c>
      <c r="M51" s="71">
        <f>IF(L51&lt;1,1,L51)</f>
        <v>1.325656974251419</v>
      </c>
      <c r="N51" s="70" t="s">
        <v>147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1.325656974251419</v>
      </c>
      <c r="Q51" s="71">
        <f>IF(B51="",0,INDEX(ModelParameters!$D$22:$K$26,MATCH($O51,ModelParameters!$B$6:$B$10,0),MATCH($J51,ModelParameters!$D$5:$K$5,0)))</f>
        <v>0.0069999999999999992</v>
      </c>
      <c r="R51" s="71">
        <f>IF(B51="",0,INDEX(ModelParameters!$D$29:$K$33,MATCH($O51,ModelParameters!$B$13:$B$17,0),MATCH($J51,ModelParameters!$D$5:$K$5,0)))</f>
        <v>0</v>
      </c>
      <c r="S51" s="160">
        <f>IF(B51="",0,MIN(P51*Q51+R51,1))</f>
        <v>0.0092795988197599312</v>
      </c>
      <c r="T51" s="85">
        <f>IF(B51="",0,$S51*$K51)</f>
        <v>0.04987220575774848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0.0027318151517855972</v>
      </c>
      <c r="X51" s="85">
        <f>IF(B51="",0,IF(OR(H51=MappingTables!$C$34,H51=MappingTables!$C$35),W51,0))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B2:AB88"/>
  <sheetViews>
    <sheetView showGridLines="0" workbookViewId="0"/>
  </sheetViews>
  <sheetFormatPr defaultColWidth="9.1484375" defaultRowHeight="12.75" customHeight="0"/>
  <cols>
    <col min="10" max="10" width="11.4296875" style="1" customWidth="1"/>
    <col min="11" max="11" width="13.28515625" style="1" customWidth="1"/>
    <col min="12" max="12" width="28.85546875" style="1" customWidth="1"/>
    <col min="15" max="15" width="11.85546875" style="1" customWidth="1"/>
    <col min="16" max="16" width="19.5703125" style="1" customWidth="1"/>
    <col min="20" max="21" width="15.14453125" style="1" customWidth="1"/>
  </cols>
  <sheetData>
    <row r="1" s="0" customFormat="0" ht="15"/>
    <row r="2" spans="2:28" s="0" customFormat="0" ht="15">
      <c r="B2" s="200" t="s">
        <v>148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20904570</v>
      </c>
      <c r="C4" s="70" t="s">
        <v>3057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188</v>
      </c>
      <c r="J4" s="71">
        <f>IF(OR(I4=0,I4=""),"unrated",VLOOKUP(I4,MappingTables!$B$19:$C$31,2,FALSE))</f>
        <v>2</v>
      </c>
      <c r="K4" s="72">
        <v>0.13135434398912774</v>
      </c>
      <c r="L4" s="70">
        <v>5.2793844529337552</v>
      </c>
      <c r="M4" s="71">
        <f>IF(L4&lt;1,1,L4)</f>
        <v>5.2793844529337552</v>
      </c>
      <c r="N4" s="70" t="s">
        <v>148</v>
      </c>
      <c r="O4" s="71">
        <f>INDEX(DurClassMapping,MATCH(M4,MappingTables!$D$4:$D$8,-1),1)</f>
        <v>2</v>
      </c>
      <c r="P4" s="73">
        <f>IF(M4=$A$1,1,$M4-INDEX(MappingTables!$E$4:$E$8,MATCH(O4,MappingTables!$B$4:$B$8,0)))</f>
        <v>0.2793844529337548</v>
      </c>
      <c r="Q4" s="71">
        <f>IF(B4="",0,INDEX(ModelParameters!$D$38:$K$42,MATCH($O4,ModelParameters!$B$6:$B$10,0),MATCH($J4,ModelParameters!$D$5:$K$5,0)))</f>
        <v>0.006</v>
      </c>
      <c r="R4" s="71">
        <f>IF(B4="",0,INDEX(ModelParameters!$D$45:$K$49,MATCH($O4,ModelParameters!$B$13:$B$17,0),MATCH($J4,ModelParameters!$D$5:$K$5,0)))</f>
        <v>0.055</v>
      </c>
      <c r="S4" s="160">
        <f>IF(B4="",0,MIN(P4*Q4+R4,1))</f>
        <v>0.056676306717602528</v>
      </c>
      <c r="T4" s="85">
        <f>IF(B4="",0,$S4*$K4)</f>
        <v>0.0074446790886172736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0.00040779201211300528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3058</v>
      </c>
      <c r="C5" s="70" t="s">
        <v>3059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188</v>
      </c>
      <c r="J5" s="71">
        <f>IF(OR(I5=0,I5=""),"unrated",VLOOKUP(I5,MappingTables!$B$19:$C$31,2,FALSE))</f>
        <v>2</v>
      </c>
      <c r="K5" s="72">
        <v>0.66839878774513184</v>
      </c>
      <c r="L5" s="70">
        <v>0.4137034354948992</v>
      </c>
      <c r="M5" s="71">
        <f>IF(L5&lt;1,1,L5)</f>
        <v>1</v>
      </c>
      <c r="N5" s="70" t="s">
        <v>148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IF(B5="",0,INDEX(ModelParameters!$D$38:$K$42,MATCH($O5,ModelParameters!$B$6:$B$10,0),MATCH($J5,ModelParameters!$D$5:$K$5,0)))</f>
        <v>0.011000000000000002</v>
      </c>
      <c r="R5" s="71">
        <f>IF(B5="",0,INDEX(ModelParameters!$D$45:$K$49,MATCH($O5,ModelParameters!$B$13:$B$17,0),MATCH($J5,ModelParameters!$D$5:$K$5,0)))</f>
        <v>0</v>
      </c>
      <c r="S5" s="160">
        <f>IF(B5="",0,MIN(P5*Q5+R5,1))</f>
        <v>0.011000000000000002</v>
      </c>
      <c r="T5" s="85">
        <f>IF(B5="",0,$S5*$K5)</f>
        <v>0.0073523866651964512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0.00040273657418189184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23963922</v>
      </c>
      <c r="C6" s="70" t="s">
        <v>3060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216</v>
      </c>
      <c r="J6" s="71">
        <f>IF(OR(I6=0,I6=""),"unrated",VLOOKUP(I6,MappingTables!$B$19:$C$31,2,FALSE))</f>
        <v>0</v>
      </c>
      <c r="K6" s="72">
        <v>6085.3716733495696</v>
      </c>
      <c r="L6" s="70">
        <v>0.07671354928139432</v>
      </c>
      <c r="M6" s="71">
        <f>IF(L6&lt;1,1,L6)</f>
        <v>1</v>
      </c>
      <c r="N6" s="70" t="s">
        <v>148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IF(B6="",0,INDEX(ModelParameters!$D$38:$K$42,MATCH($O6,ModelParameters!$B$6:$B$10,0),MATCH($J6,ModelParameters!$D$5:$K$5,0)))</f>
        <v>0</v>
      </c>
      <c r="R6" s="71">
        <f>IF(B6="",0,INDEX(ModelParameters!$D$45:$K$49,MATCH($O6,ModelParameters!$B$13:$B$17,0),MATCH($J6,ModelParameters!$D$5:$K$5,0)))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3061</v>
      </c>
      <c r="C7" s="70" t="s">
        <v>3062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188</v>
      </c>
      <c r="J7" s="71">
        <f>IF(OR(I7=0,I7=""),"unrated",VLOOKUP(I7,MappingTables!$B$19:$C$31,2,FALSE))</f>
        <v>2</v>
      </c>
      <c r="K7" s="72">
        <v>0.0048702990731796264</v>
      </c>
      <c r="L7" s="70">
        <v>18.050564341112908</v>
      </c>
      <c r="M7" s="71">
        <f>IF(L7&lt;1,1,L7)</f>
        <v>18.050564341112908</v>
      </c>
      <c r="N7" s="70" t="s">
        <v>148</v>
      </c>
      <c r="O7" s="71">
        <f>INDEX(DurClassMapping,MATCH(M7,MappingTables!$D$4:$D$8,-1),1)</f>
        <v>4</v>
      </c>
      <c r="P7" s="73">
        <f>IF(M7=$A$1,1,$M7-INDEX(MappingTables!$E$4:$E$8,MATCH(O7,MappingTables!$B$4:$B$8,0)))</f>
        <v>3.0505643411129064</v>
      </c>
      <c r="Q7" s="71">
        <f>IF(B7="",0,INDEX(ModelParameters!$D$38:$K$42,MATCH($O7,ModelParameters!$B$6:$B$10,0),MATCH($J7,ModelParameters!$D$5:$K$5,0)))</f>
        <v>0.005</v>
      </c>
      <c r="R7" s="71">
        <f>IF(B7="",0,INDEX(ModelParameters!$D$45:$K$49,MATCH($O7,ModelParameters!$B$13:$B$17,0),MATCH($J7,ModelParameters!$D$5:$K$5,0)))</f>
        <v>0.109</v>
      </c>
      <c r="S7" s="160">
        <f>IF(B7="",0,MIN(P7*Q7+R7,1))</f>
        <v>0.12425282170556454</v>
      </c>
      <c r="T7" s="85">
        <f>IF(B7="",0,$S7*$K7)</f>
        <v>0.00060514840239256424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0.000033147793437590428</v>
      </c>
      <c r="X7" s="85">
        <f>IF(B7="",0,IF(OR(H7=MappingTables!$C$34,H7=MappingTables!$C$35),W7,0))</f>
        <v>0</v>
      </c>
    </row>
    <row r="8" spans="2:24" s="0" customFormat="0" ht="15">
      <c r="B8" s="69">
        <v>25010321</v>
      </c>
      <c r="C8" s="70" t="s">
        <v>3063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216</v>
      </c>
      <c r="J8" s="71">
        <f>IF(OR(I8=0,I8=""),"unrated",VLOOKUP(I8,MappingTables!$B$19:$C$31,2,FALSE))</f>
        <v>0</v>
      </c>
      <c r="K8" s="72">
        <v>117162.67457329872</v>
      </c>
      <c r="L8" s="70">
        <v>0.38356561256282936</v>
      </c>
      <c r="M8" s="71">
        <f>IF(L8&lt;1,1,L8)</f>
        <v>1</v>
      </c>
      <c r="N8" s="70" t="s">
        <v>148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IF(B8="",0,INDEX(ModelParameters!$D$38:$K$42,MATCH($O8,ModelParameters!$B$6:$B$10,0),MATCH($J8,ModelParameters!$D$5:$K$5,0)))</f>
        <v>0</v>
      </c>
      <c r="R8" s="71">
        <f>IF(B8="",0,INDEX(ModelParameters!$D$45:$K$49,MATCH($O8,ModelParameters!$B$13:$B$17,0),MATCH($J8,ModelParameters!$D$5:$K$5,0)))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23552919</v>
      </c>
      <c r="C9" s="70" t="s">
        <v>3064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216</v>
      </c>
      <c r="J9" s="71">
        <f>IF(OR(I9=0,I9=""),"unrated",VLOOKUP(I9,MappingTables!$B$19:$C$31,2,FALSE))</f>
        <v>0</v>
      </c>
      <c r="K9" s="72">
        <v>17933.988526667458</v>
      </c>
      <c r="L9" s="70">
        <v>1.497746028500887</v>
      </c>
      <c r="M9" s="71">
        <f>IF(L9&lt;1,1,L9)</f>
        <v>1.497746028500887</v>
      </c>
      <c r="N9" s="70" t="s">
        <v>148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1.497746028500887</v>
      </c>
      <c r="Q9" s="71">
        <f>IF(B9="",0,INDEX(ModelParameters!$D$38:$K$42,MATCH($O9,ModelParameters!$B$6:$B$10,0),MATCH($J9,ModelParameters!$D$5:$K$5,0)))</f>
        <v>0</v>
      </c>
      <c r="R9" s="71">
        <f>IF(B9="",0,INDEX(ModelParameters!$D$45:$K$49,MATCH($O9,ModelParameters!$B$13:$B$17,0),MATCH($J9,ModelParameters!$D$5:$K$5,0)))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>
        <v>22433332</v>
      </c>
      <c r="C10" s="70" t="s">
        <v>3065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188</v>
      </c>
      <c r="J10" s="71">
        <f>IF(OR(I10=0,I10=""),"unrated",VLOOKUP(I10,MappingTables!$B$19:$C$31,2,FALSE))</f>
        <v>2</v>
      </c>
      <c r="K10" s="72">
        <v>0.64852952258425712</v>
      </c>
      <c r="L10" s="70">
        <v>5.5572441958225584</v>
      </c>
      <c r="M10" s="71">
        <f>IF(L10&lt;1,1,L10)</f>
        <v>5.5572441958225584</v>
      </c>
      <c r="N10" s="70" t="s">
        <v>148</v>
      </c>
      <c r="O10" s="71">
        <f>INDEX(DurClassMapping,MATCH(M10,MappingTables!$D$4:$D$8,-1),1)</f>
        <v>2</v>
      </c>
      <c r="P10" s="73">
        <f>IF(M10=$A$1,1,$M10-INDEX(MappingTables!$E$4:$E$8,MATCH(O10,MappingTables!$B$4:$B$8,0)))</f>
        <v>0.557244195822558</v>
      </c>
      <c r="Q10" s="71">
        <f>IF(B10="",0,INDEX(ModelParameters!$D$38:$K$42,MATCH($O10,ModelParameters!$B$6:$B$10,0),MATCH($J10,ModelParameters!$D$5:$K$5,0)))</f>
        <v>0.006</v>
      </c>
      <c r="R10" s="71">
        <f>IF(B10="",0,INDEX(ModelParameters!$D$45:$K$49,MATCH($O10,ModelParameters!$B$13:$B$17,0),MATCH($J10,ModelParameters!$D$5:$K$5,0)))</f>
        <v>0.055</v>
      </c>
      <c r="S10" s="160">
        <f>IF(B10="",0,MIN(P10*Q10+R10,1))</f>
        <v>0.058343465174935352</v>
      </c>
      <c r="T10" s="85">
        <f>IF(B10="",0,$S10*$K10)</f>
        <v>0.037837459615812048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0.0020725962269573676</v>
      </c>
      <c r="X10" s="85">
        <f>IF(B10="",0,IF(OR(H10=MappingTables!$C$34,H10=MappingTables!$C$35),W10,0))</f>
        <v>0</v>
      </c>
    </row>
    <row r="11" spans="2:24" s="0" customFormat="0" ht="15">
      <c r="B11" s="69">
        <v>24964907</v>
      </c>
      <c r="C11" s="70" t="s">
        <v>3066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216</v>
      </c>
      <c r="J11" s="71">
        <f>IF(OR(I11=0,I11=""),"unrated",VLOOKUP(I11,MappingTables!$B$19:$C$31,2,FALSE))</f>
        <v>0</v>
      </c>
      <c r="K11" s="72">
        <v>7869.8940389475088</v>
      </c>
      <c r="L11" s="70">
        <v>0.36438277736897088</v>
      </c>
      <c r="M11" s="71">
        <f>IF(L11&lt;1,1,L11)</f>
        <v>1</v>
      </c>
      <c r="N11" s="70" t="s">
        <v>148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IF(B11="",0,INDEX(ModelParameters!$D$38:$K$42,MATCH($O11,ModelParameters!$B$6:$B$10,0),MATCH($J11,ModelParameters!$D$5:$K$5,0)))</f>
        <v>0</v>
      </c>
      <c r="R11" s="71">
        <f>IF(B11="",0,INDEX(ModelParameters!$D$45:$K$49,MATCH($O11,ModelParameters!$B$13:$B$17,0),MATCH($J11,ModelParameters!$D$5:$K$5,0)))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10740749</v>
      </c>
      <c r="C12" s="70" t="s">
        <v>3067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188</v>
      </c>
      <c r="J12" s="71">
        <f>IF(OR(I12=0,I12=""),"unrated",VLOOKUP(I12,MappingTables!$B$19:$C$31,2,FALSE))</f>
        <v>2</v>
      </c>
      <c r="K12" s="72">
        <v>0.28943631646808792</v>
      </c>
      <c r="L12" s="70">
        <v>4.2892954799284</v>
      </c>
      <c r="M12" s="71">
        <f>IF(L12&lt;1,1,L12)</f>
        <v>4.2892954799284</v>
      </c>
      <c r="N12" s="70" t="s">
        <v>148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4.2892954799284</v>
      </c>
      <c r="Q12" s="71">
        <f>IF(B12="",0,INDEX(ModelParameters!$D$38:$K$42,MATCH($O12,ModelParameters!$B$6:$B$10,0),MATCH($J12,ModelParameters!$D$5:$K$5,0)))</f>
        <v>0.011000000000000002</v>
      </c>
      <c r="R12" s="71">
        <f>IF(B12="",0,INDEX(ModelParameters!$D$45:$K$49,MATCH($O12,ModelParameters!$B$13:$B$17,0),MATCH($J12,ModelParameters!$D$5:$K$5,0)))</f>
        <v>0</v>
      </c>
      <c r="S12" s="160">
        <f>IF(B12="",0,MIN(P12*Q12+R12,1))</f>
        <v>0.047182250279212408</v>
      </c>
      <c r="T12" s="85">
        <f>IF(B12="",0,$S12*$K12)</f>
        <v>0.013656256723490652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0.00074803928294488016</v>
      </c>
      <c r="X12" s="85">
        <f>IF(B12="",0,IF(OR(H12=MappingTables!$C$34,H12=MappingTables!$C$35),W12,0))</f>
        <v>0</v>
      </c>
    </row>
    <row r="13" spans="2:24" s="0" customFormat="0" ht="15">
      <c r="B13" s="69">
        <v>17737410</v>
      </c>
      <c r="C13" s="70" t="s">
        <v>3068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188</v>
      </c>
      <c r="J13" s="71">
        <f>IF(OR(I13=0,I13=""),"unrated",VLOOKUP(I13,MappingTables!$B$19:$C$31,2,FALSE))</f>
        <v>2</v>
      </c>
      <c r="K13" s="72">
        <v>4.2837112731461</v>
      </c>
      <c r="L13" s="70">
        <v>0.83288211493980464</v>
      </c>
      <c r="M13" s="71">
        <f>IF(L13&lt;1,1,L13)</f>
        <v>1</v>
      </c>
      <c r="N13" s="70" t="s">
        <v>148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IF(B13="",0,INDEX(ModelParameters!$D$38:$K$42,MATCH($O13,ModelParameters!$B$6:$B$10,0),MATCH($J13,ModelParameters!$D$5:$K$5,0)))</f>
        <v>0.011000000000000002</v>
      </c>
      <c r="R13" s="71">
        <f>IF(B13="",0,INDEX(ModelParameters!$D$45:$K$49,MATCH($O13,ModelParameters!$B$13:$B$17,0),MATCH($J13,ModelParameters!$D$5:$K$5,0)))</f>
        <v>0</v>
      </c>
      <c r="S13" s="160">
        <f>IF(B13="",0,MIN(P13*Q13+R13,1))</f>
        <v>0.011000000000000002</v>
      </c>
      <c r="T13" s="85">
        <f>IF(B13="",0,$S13*$K13)</f>
        <v>0.047120824004607104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0.0025811046258046956</v>
      </c>
      <c r="X13" s="85">
        <f>IF(B13="",0,IF(OR(H13=MappingTables!$C$34,H13=MappingTables!$C$35),W13,0))</f>
        <v>0</v>
      </c>
    </row>
    <row r="14" spans="2:24" s="0" customFormat="0" ht="15">
      <c r="B14" s="69" t="s">
        <v>3069</v>
      </c>
      <c r="C14" s="70" t="s">
        <v>3070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188</v>
      </c>
      <c r="J14" s="71">
        <f>IF(OR(I14=0,I14=""),"unrated",VLOOKUP(I14,MappingTables!$B$19:$C$31,2,FALSE))</f>
        <v>2</v>
      </c>
      <c r="K14" s="72">
        <v>0.12511461773048838</v>
      </c>
      <c r="L14" s="70">
        <v>3.7807265188361688</v>
      </c>
      <c r="M14" s="71">
        <f>IF(L14&lt;1,1,L14)</f>
        <v>3.7807265188361688</v>
      </c>
      <c r="N14" s="70" t="s">
        <v>148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3.7807265188361688</v>
      </c>
      <c r="Q14" s="71">
        <f>IF(B14="",0,INDEX(ModelParameters!$D$38:$K$42,MATCH($O14,ModelParameters!$B$6:$B$10,0),MATCH($J14,ModelParameters!$D$5:$K$5,0)))</f>
        <v>0.011000000000000002</v>
      </c>
      <c r="R14" s="71">
        <f>IF(B14="",0,INDEX(ModelParameters!$D$45:$K$49,MATCH($O14,ModelParameters!$B$13:$B$17,0),MATCH($J14,ModelParameters!$D$5:$K$5,0)))</f>
        <v>0</v>
      </c>
      <c r="S14" s="160">
        <f>IF(B14="",0,MIN(P14*Q14+R14,1))</f>
        <v>0.041587991707197864</v>
      </c>
      <c r="T14" s="85">
        <f>IF(B14="",0,$S14*$K14)</f>
        <v>0.0052032656846247816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0.00028501566794678216</v>
      </c>
      <c r="X14" s="85">
        <f>IF(B14="",0,IF(OR(H14=MappingTables!$C$34,H14=MappingTables!$C$35),W14,0))</f>
        <v>0</v>
      </c>
    </row>
    <row r="15" spans="2:24" s="0" customFormat="0" ht="15">
      <c r="B15" s="69">
        <v>21990923</v>
      </c>
      <c r="C15" s="70" t="s">
        <v>3071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216</v>
      </c>
      <c r="J15" s="71">
        <f>IF(OR(I15=0,I15=""),"unrated",VLOOKUP(I15,MappingTables!$B$19:$C$31,2,FALSE))</f>
        <v>0</v>
      </c>
      <c r="K15" s="72">
        <v>1116.2443195705928</v>
      </c>
      <c r="L15" s="70">
        <v>0.019178581953863696</v>
      </c>
      <c r="M15" s="71">
        <f>IF(L15&lt;1,1,L15)</f>
        <v>1</v>
      </c>
      <c r="N15" s="70" t="s">
        <v>148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IF(B15="",0,INDEX(ModelParameters!$D$38:$K$42,MATCH($O15,ModelParameters!$B$6:$B$10,0),MATCH($J15,ModelParameters!$D$5:$K$5,0)))</f>
        <v>0</v>
      </c>
      <c r="R15" s="71">
        <f>IF(B15="",0,INDEX(ModelParameters!$D$45:$K$49,MATCH($O15,ModelParameters!$B$13:$B$17,0),MATCH($J15,ModelParameters!$D$5:$K$5,0)))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 t="s">
        <v>3072</v>
      </c>
      <c r="C16" s="70" t="s">
        <v>3073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188</v>
      </c>
      <c r="J16" s="71">
        <f>IF(OR(I16=0,I16=""),"unrated",VLOOKUP(I16,MappingTables!$B$19:$C$31,2,FALSE))</f>
        <v>2</v>
      </c>
      <c r="K16" s="72">
        <v>60.213449879170512</v>
      </c>
      <c r="L16" s="70">
        <v>0.21095729747209748</v>
      </c>
      <c r="M16" s="71">
        <f>IF(L16&lt;1,1,L16)</f>
        <v>1</v>
      </c>
      <c r="N16" s="70" t="s">
        <v>148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</v>
      </c>
      <c r="Q16" s="71">
        <f>IF(B16="",0,INDEX(ModelParameters!$D$38:$K$42,MATCH($O16,ModelParameters!$B$6:$B$10,0),MATCH($J16,ModelParameters!$D$5:$K$5,0)))</f>
        <v>0.011000000000000002</v>
      </c>
      <c r="R16" s="71">
        <f>IF(B16="",0,INDEX(ModelParameters!$D$45:$K$49,MATCH($O16,ModelParameters!$B$13:$B$17,0),MATCH($J16,ModelParameters!$D$5:$K$5,0)))</f>
        <v>0</v>
      </c>
      <c r="S16" s="160">
        <f>IF(B16="",0,MIN(P16*Q16+R16,1))</f>
        <v>0.011000000000000002</v>
      </c>
      <c r="T16" s="85">
        <f>IF(B16="",0,$S16*$K16)</f>
        <v>0.66234794867087568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0.03628097322830132</v>
      </c>
      <c r="X16" s="85">
        <f>IF(B16="",0,IF(OR(H16=MappingTables!$C$34,H16=MappingTables!$C$35),W16,0))</f>
        <v>0</v>
      </c>
    </row>
    <row r="17" spans="2:24" s="0" customFormat="0" ht="15">
      <c r="B17" s="69">
        <v>24190431</v>
      </c>
      <c r="C17" s="70" t="s">
        <v>3074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216</v>
      </c>
      <c r="J17" s="71">
        <f>IF(OR(I17=0,I17=""),"unrated",VLOOKUP(I17,MappingTables!$B$19:$C$31,2,FALSE))</f>
        <v>0</v>
      </c>
      <c r="K17" s="72">
        <v>11028.100162224224</v>
      </c>
      <c r="L17" s="70">
        <v>0.1561641718245364</v>
      </c>
      <c r="M17" s="71">
        <f>IF(L17&lt;1,1,L17)</f>
        <v>1</v>
      </c>
      <c r="N17" s="70" t="s">
        <v>148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</v>
      </c>
      <c r="Q17" s="71">
        <f>IF(B17="",0,INDEX(ModelParameters!$D$38:$K$42,MATCH($O17,ModelParameters!$B$6:$B$10,0),MATCH($J17,ModelParameters!$D$5:$K$5,0)))</f>
        <v>0</v>
      </c>
      <c r="R17" s="71">
        <f>IF(B17="",0,INDEX(ModelParameters!$D$45:$K$49,MATCH($O17,ModelParameters!$B$13:$B$17,0),MATCH($J17,ModelParameters!$D$5:$K$5,0)))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 t="s">
        <v>3075</v>
      </c>
      <c r="C18" s="70" t="s">
        <v>3076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188</v>
      </c>
      <c r="J18" s="71">
        <f>IF(OR(I18=0,I18=""),"unrated",VLOOKUP(I18,MappingTables!$B$19:$C$31,2,FALSE))</f>
        <v>2</v>
      </c>
      <c r="K18" s="72">
        <v>14.404056906028048</v>
      </c>
      <c r="L18" s="70">
        <v>0.51507350342768264</v>
      </c>
      <c r="M18" s="71">
        <f>IF(L18&lt;1,1,L18)</f>
        <v>1</v>
      </c>
      <c r="N18" s="70" t="s">
        <v>148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</v>
      </c>
      <c r="Q18" s="71">
        <f>IF(B18="",0,INDEX(ModelParameters!$D$38:$K$42,MATCH($O18,ModelParameters!$B$6:$B$10,0),MATCH($J18,ModelParameters!$D$5:$K$5,0)))</f>
        <v>0.011000000000000002</v>
      </c>
      <c r="R18" s="71">
        <f>IF(B18="",0,INDEX(ModelParameters!$D$45:$K$49,MATCH($O18,ModelParameters!$B$13:$B$17,0),MATCH($J18,ModelParameters!$D$5:$K$5,0)))</f>
        <v>0</v>
      </c>
      <c r="S18" s="160">
        <f>IF(B18="",0,MIN(P18*Q18+R18,1))</f>
        <v>0.011000000000000002</v>
      </c>
      <c r="T18" s="85">
        <f>IF(B18="",0,$S18*$K18)</f>
        <v>0.15844462596630854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0.0086790111517478704</v>
      </c>
      <c r="X18" s="85">
        <f>IF(B18="",0,IF(OR(H18=MappingTables!$C$34,H18=MappingTables!$C$35),W18,0))</f>
        <v>0</v>
      </c>
    </row>
    <row r="19" spans="2:24" s="0" customFormat="0" ht="15">
      <c r="B19" s="69">
        <v>24738794</v>
      </c>
      <c r="C19" s="70" t="s">
        <v>3077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216</v>
      </c>
      <c r="J19" s="71">
        <f>IF(OR(I19=0,I19=""),"unrated",VLOOKUP(I19,MappingTables!$B$19:$C$31,2,FALSE))</f>
        <v>0</v>
      </c>
      <c r="K19" s="72">
        <v>234041.89599754444</v>
      </c>
      <c r="L19" s="70">
        <v>0.30684943039322444</v>
      </c>
      <c r="M19" s="71">
        <f>IF(L19&lt;1,1,L19)</f>
        <v>1</v>
      </c>
      <c r="N19" s="70" t="s">
        <v>148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IF(B19="",0,INDEX(ModelParameters!$D$38:$K$42,MATCH($O19,ModelParameters!$B$6:$B$10,0),MATCH($J19,ModelParameters!$D$5:$K$5,0)))</f>
        <v>0</v>
      </c>
      <c r="R19" s="71">
        <f>IF(B19="",0,INDEX(ModelParameters!$D$45:$K$49,MATCH($O19,ModelParameters!$B$13:$B$17,0),MATCH($J19,ModelParameters!$D$5:$K$5,0)))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 t="s">
        <v>3078</v>
      </c>
      <c r="C20" s="70" t="s">
        <v>3079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181</v>
      </c>
      <c r="J20" s="71">
        <f>IF(OR(I20=0,I20=""),"unrated",VLOOKUP(I20,MappingTables!$B$19:$C$31,2,FALSE))</f>
        <v>3</v>
      </c>
      <c r="K20" s="72">
        <v>2033.627785568236</v>
      </c>
      <c r="L20" s="70">
        <v>4.2091478394266224</v>
      </c>
      <c r="M20" s="71">
        <f>IF(L20&lt;1,1,L20)</f>
        <v>4.2091478394266224</v>
      </c>
      <c r="N20" s="70" t="s">
        <v>148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4.2091478394266224</v>
      </c>
      <c r="Q20" s="71">
        <f>IF(B20="",0,INDEX(ModelParameters!$D$38:$K$42,MATCH($O20,ModelParameters!$B$6:$B$10,0),MATCH($J20,ModelParameters!$D$5:$K$5,0)))</f>
        <v>0.013999999999999998</v>
      </c>
      <c r="R20" s="71">
        <f>IF(B20="",0,INDEX(ModelParameters!$D$45:$K$49,MATCH($O20,ModelParameters!$B$13:$B$17,0),MATCH($J20,ModelParameters!$D$5:$K$5,0)))</f>
        <v>0</v>
      </c>
      <c r="S20" s="160">
        <f>IF(B20="",0,MIN(P20*Q20+R20,1))</f>
        <v>0.058928069751972704</v>
      </c>
      <c r="T20" s="85">
        <f>IF(B20="",0,$S20*$K20)</f>
        <v>119.8377599975148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6.564269687758772</v>
      </c>
      <c r="X20" s="85">
        <f>IF(B20="",0,IF(OR(H20=MappingTables!$C$34,H20=MappingTables!$C$35),W20,0))</f>
        <v>0</v>
      </c>
    </row>
    <row r="21" spans="2:24" s="0" customFormat="0" ht="15">
      <c r="B21" s="69">
        <v>24674941</v>
      </c>
      <c r="C21" s="70" t="s">
        <v>3080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216</v>
      </c>
      <c r="J21" s="71">
        <f>IF(OR(I21=0,I21=""),"unrated",VLOOKUP(I21,MappingTables!$B$19:$C$31,2,FALSE))</f>
        <v>0</v>
      </c>
      <c r="K21" s="72">
        <v>5226.25382886524</v>
      </c>
      <c r="L21" s="70">
        <v>0.2876707604366342</v>
      </c>
      <c r="M21" s="71">
        <f>IF(L21&lt;1,1,L21)</f>
        <v>1</v>
      </c>
      <c r="N21" s="70" t="s">
        <v>148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</v>
      </c>
      <c r="Q21" s="71">
        <f>IF(B21="",0,INDEX(ModelParameters!$D$38:$K$42,MATCH($O21,ModelParameters!$B$6:$B$10,0),MATCH($J21,ModelParameters!$D$5:$K$5,0)))</f>
        <v>0</v>
      </c>
      <c r="R21" s="71">
        <f>IF(B21="",0,INDEX(ModelParameters!$D$45:$K$49,MATCH($O21,ModelParameters!$B$13:$B$17,0),MATCH($J21,ModelParameters!$D$5:$K$5,0)))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20081374</v>
      </c>
      <c r="C22" s="70" t="s">
        <v>3081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188</v>
      </c>
      <c r="J22" s="71">
        <f>IF(OR(I22=0,I22=""),"unrated",VLOOKUP(I22,MappingTables!$B$19:$C$31,2,FALSE))</f>
        <v>2</v>
      </c>
      <c r="K22" s="72">
        <v>0.17756928523455134</v>
      </c>
      <c r="L22" s="70">
        <v>18.236714914504836</v>
      </c>
      <c r="M22" s="71">
        <f>IF(L22&lt;1,1,L22)</f>
        <v>18.236714914504836</v>
      </c>
      <c r="N22" s="70" t="s">
        <v>148</v>
      </c>
      <c r="O22" s="71">
        <f>INDEX(DurClassMapping,MATCH(M22,MappingTables!$D$4:$D$8,-1),1)</f>
        <v>4</v>
      </c>
      <c r="P22" s="73">
        <f>IF(M22=$A$1,1,$M22-INDEX(MappingTables!$E$4:$E$8,MATCH(O22,MappingTables!$B$4:$B$8,0)))</f>
        <v>3.2367149145048372</v>
      </c>
      <c r="Q22" s="71">
        <f>IF(B22="",0,INDEX(ModelParameters!$D$38:$K$42,MATCH($O22,ModelParameters!$B$6:$B$10,0),MATCH($J22,ModelParameters!$D$5:$K$5,0)))</f>
        <v>0.005</v>
      </c>
      <c r="R22" s="71">
        <f>IF(B22="",0,INDEX(ModelParameters!$D$45:$K$49,MATCH($O22,ModelParameters!$B$13:$B$17,0),MATCH($J22,ModelParameters!$D$5:$K$5,0)))</f>
        <v>0.109</v>
      </c>
      <c r="S22" s="160">
        <f>IF(B22="",0,MIN(P22*Q22+R22,1))</f>
        <v>0.12518357457252418</v>
      </c>
      <c r="T22" s="85">
        <f>IF(B22="",0,$S22*$K22)</f>
        <v>0.022228757859949276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0.0012176092194949288</v>
      </c>
      <c r="X22" s="85">
        <f>IF(B22="",0,IF(OR(H22=MappingTables!$C$34,H22=MappingTables!$C$35),W22,0))</f>
        <v>0</v>
      </c>
    </row>
    <row r="23" spans="2:24" s="0" customFormat="0" ht="15">
      <c r="B23" s="69">
        <v>16627755</v>
      </c>
      <c r="C23" s="70" t="s">
        <v>3082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216</v>
      </c>
      <c r="J23" s="71">
        <f>IF(OR(I23=0,I23=""),"unrated",VLOOKUP(I23,MappingTables!$B$19:$C$31,2,FALSE))</f>
        <v>0</v>
      </c>
      <c r="K23" s="72">
        <v>45.86393325251596</v>
      </c>
      <c r="L23" s="70">
        <v>0.37808553947290448</v>
      </c>
      <c r="M23" s="71">
        <f>IF(L23&lt;1,1,L23)</f>
        <v>1</v>
      </c>
      <c r="N23" s="70" t="s">
        <v>148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IF(B23="",0,INDEX(ModelParameters!$D$38:$K$42,MATCH($O23,ModelParameters!$B$6:$B$10,0),MATCH($J23,ModelParameters!$D$5:$K$5,0)))</f>
        <v>0</v>
      </c>
      <c r="R23" s="71">
        <f>IF(B23="",0,INDEX(ModelParameters!$D$45:$K$49,MATCH($O23,ModelParameters!$B$13:$B$17,0),MATCH($J23,ModelParameters!$D$5:$K$5,0)))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>
        <v>24306016</v>
      </c>
      <c r="C24" s="70" t="s">
        <v>3083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216</v>
      </c>
      <c r="J24" s="71">
        <f>IF(OR(I24=0,I24=""),"unrated",VLOOKUP(I24,MappingTables!$B$19:$C$31,2,FALSE))</f>
        <v>0</v>
      </c>
      <c r="K24" s="72">
        <v>86.87699972708264</v>
      </c>
      <c r="L24" s="70">
        <v>0.19177820790126004</v>
      </c>
      <c r="M24" s="71">
        <f>IF(L24&lt;1,1,L24)</f>
        <v>1</v>
      </c>
      <c r="N24" s="70" t="s">
        <v>148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IF(B24="",0,INDEX(ModelParameters!$D$38:$K$42,MATCH($O24,ModelParameters!$B$6:$B$10,0),MATCH($J24,ModelParameters!$D$5:$K$5,0)))</f>
        <v>0</v>
      </c>
      <c r="R24" s="71">
        <f>IF(B24="",0,INDEX(ModelParameters!$D$45:$K$49,MATCH($O24,ModelParameters!$B$13:$B$17,0),MATCH($J24,ModelParameters!$D$5:$K$5,0)))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>
        <v>22185637</v>
      </c>
      <c r="C25" s="70" t="s">
        <v>3084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216</v>
      </c>
      <c r="J25" s="71">
        <f>IF(OR(I25=0,I25=""),"unrated",VLOOKUP(I25,MappingTables!$B$19:$C$31,2,FALSE))</f>
        <v>0</v>
      </c>
      <c r="K25" s="72">
        <v>4791.2896841227384</v>
      </c>
      <c r="L25" s="70">
        <v>0.095892991044266608</v>
      </c>
      <c r="M25" s="71">
        <f>IF(L25&lt;1,1,L25)</f>
        <v>1</v>
      </c>
      <c r="N25" s="70" t="s">
        <v>148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</v>
      </c>
      <c r="Q25" s="71">
        <f>IF(B25="",0,INDEX(ModelParameters!$D$38:$K$42,MATCH($O25,ModelParameters!$B$6:$B$10,0),MATCH($J25,ModelParameters!$D$5:$K$5,0)))</f>
        <v>0</v>
      </c>
      <c r="R25" s="71">
        <f>IF(B25="",0,INDEX(ModelParameters!$D$45:$K$49,MATCH($O25,ModelParameters!$B$13:$B$17,0),MATCH($J25,ModelParameters!$D$5:$K$5,0)))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>
        <v>18041120</v>
      </c>
      <c r="C26" s="70" t="s">
        <v>3085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188</v>
      </c>
      <c r="J26" s="71">
        <f>IF(OR(I26=0,I26=""),"unrated",VLOOKUP(I26,MappingTables!$B$19:$C$31,2,FALSE))</f>
        <v>2</v>
      </c>
      <c r="K26" s="72">
        <v>0.14193855555478096</v>
      </c>
      <c r="L26" s="70">
        <v>17.399077602351888</v>
      </c>
      <c r="M26" s="71">
        <f>IF(L26&lt;1,1,L26)</f>
        <v>17.399077602351888</v>
      </c>
      <c r="N26" s="70" t="s">
        <v>148</v>
      </c>
      <c r="O26" s="71">
        <f>INDEX(DurClassMapping,MATCH(M26,MappingTables!$D$4:$D$8,-1),1)</f>
        <v>4</v>
      </c>
      <c r="P26" s="73">
        <f>IF(M26=$A$1,1,$M26-INDEX(MappingTables!$E$4:$E$8,MATCH(O26,MappingTables!$B$4:$B$8,0)))</f>
        <v>2.3990776023518876</v>
      </c>
      <c r="Q26" s="71">
        <f>IF(B26="",0,INDEX(ModelParameters!$D$38:$K$42,MATCH($O26,ModelParameters!$B$6:$B$10,0),MATCH($J26,ModelParameters!$D$5:$K$5,0)))</f>
        <v>0.005</v>
      </c>
      <c r="R26" s="71">
        <f>IF(B26="",0,INDEX(ModelParameters!$D$45:$K$49,MATCH($O26,ModelParameters!$B$13:$B$17,0),MATCH($J26,ModelParameters!$D$5:$K$5,0)))</f>
        <v>0.109</v>
      </c>
      <c r="S26" s="160">
        <f>IF(B26="",0,MIN(P26*Q26+R26,1))</f>
        <v>0.12099538801175944</v>
      </c>
      <c r="T26" s="85">
        <f>IF(B26="",0,$S26*$K26)</f>
        <v>0.017173910603179396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0.00094072336461452032</v>
      </c>
      <c r="X26" s="85">
        <f>IF(B26="",0,IF(OR(H26=MappingTables!$C$34,H26=MappingTables!$C$35),W26,0))</f>
        <v>0</v>
      </c>
    </row>
    <row r="27" spans="2:24" s="0" customFormat="0" ht="15">
      <c r="B27" s="69" t="s">
        <v>3061</v>
      </c>
      <c r="C27" s="70" t="s">
        <v>3062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188</v>
      </c>
      <c r="J27" s="71">
        <f>IF(OR(I27=0,I27=""),"unrated",VLOOKUP(I27,MappingTables!$B$19:$C$31,2,FALSE))</f>
        <v>2</v>
      </c>
      <c r="K27" s="72">
        <v>0.010330235339889528</v>
      </c>
      <c r="L27" s="70">
        <v>18.050564341112912</v>
      </c>
      <c r="M27" s="71">
        <f>IF(L27&lt;1,1,L27)</f>
        <v>18.050564341112912</v>
      </c>
      <c r="N27" s="70" t="s">
        <v>148</v>
      </c>
      <c r="O27" s="71">
        <f>INDEX(DurClassMapping,MATCH(M27,MappingTables!$D$4:$D$8,-1),1)</f>
        <v>4</v>
      </c>
      <c r="P27" s="73">
        <f>IF(M27=$A$1,1,$M27-INDEX(MappingTables!$E$4:$E$8,MATCH(O27,MappingTables!$B$4:$B$8,0)))</f>
        <v>3.0505643411129136</v>
      </c>
      <c r="Q27" s="71">
        <f>IF(B27="",0,INDEX(ModelParameters!$D$38:$K$42,MATCH($O27,ModelParameters!$B$6:$B$10,0),MATCH($J27,ModelParameters!$D$5:$K$5,0)))</f>
        <v>0.005</v>
      </c>
      <c r="R27" s="71">
        <f>IF(B27="",0,INDEX(ModelParameters!$D$45:$K$49,MATCH($O27,ModelParameters!$B$13:$B$17,0),MATCH($J27,ModelParameters!$D$5:$K$5,0)))</f>
        <v>0.109</v>
      </c>
      <c r="S27" s="160">
        <f>IF(B27="",0,MIN(P27*Q27+R27,1))</f>
        <v>0.12425282170556456</v>
      </c>
      <c r="T27" s="85">
        <f>IF(B27="",0,$S27*$K27)</f>
        <v>0.0012835608898638156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0.000070308722742318056</v>
      </c>
      <c r="X27" s="85">
        <f>IF(B27="",0,IF(OR(H27=MappingTables!$C$34,H27=MappingTables!$C$35),W27,0))</f>
        <v>0</v>
      </c>
    </row>
    <row r="28" spans="2:24" s="0" customFormat="0" ht="15">
      <c r="B28" s="69" t="s">
        <v>3086</v>
      </c>
      <c r="C28" s="70" t="s">
        <v>3087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188</v>
      </c>
      <c r="J28" s="71">
        <f>IF(OR(I28=0,I28=""),"unrated",VLOOKUP(I28,MappingTables!$B$19:$C$31,2,FALSE))</f>
        <v>2</v>
      </c>
      <c r="K28" s="72">
        <v>60.579949249280016</v>
      </c>
      <c r="L28" s="70">
        <v>0.1068478235323308</v>
      </c>
      <c r="M28" s="71">
        <f>IF(L28&lt;1,1,L28)</f>
        <v>1</v>
      </c>
      <c r="N28" s="70" t="s">
        <v>148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IF(B28="",0,INDEX(ModelParameters!$D$38:$K$42,MATCH($O28,ModelParameters!$B$6:$B$10,0),MATCH($J28,ModelParameters!$D$5:$K$5,0)))</f>
        <v>0.011000000000000002</v>
      </c>
      <c r="R28" s="71">
        <f>IF(B28="",0,INDEX(ModelParameters!$D$45:$K$49,MATCH($O28,ModelParameters!$B$13:$B$17,0),MATCH($J28,ModelParameters!$D$5:$K$5,0)))</f>
        <v>0</v>
      </c>
      <c r="S28" s="160">
        <f>IF(B28="",0,MIN(P28*Q28+R28,1))</f>
        <v>0.011000000000000002</v>
      </c>
      <c r="T28" s="85">
        <f>IF(B28="",0,$S28*$K28)</f>
        <v>0.66637944174208032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0.036501803522227592</v>
      </c>
      <c r="X28" s="85">
        <f>IF(B28="",0,IF(OR(H28=MappingTables!$C$34,H28=MappingTables!$C$35),W28,0))</f>
        <v>0</v>
      </c>
    </row>
    <row r="29" spans="2:24" s="0" customFormat="0" ht="15">
      <c r="B29" s="69" t="s">
        <v>3058</v>
      </c>
      <c r="C29" s="70" t="s">
        <v>3059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188</v>
      </c>
      <c r="J29" s="71">
        <f>IF(OR(I29=0,I29=""),"unrated",VLOOKUP(I29,MappingTables!$B$19:$C$31,2,FALSE))</f>
        <v>2</v>
      </c>
      <c r="K29" s="72">
        <v>1.4177193270136528</v>
      </c>
      <c r="L29" s="70">
        <v>0.4137034354948968</v>
      </c>
      <c r="M29" s="71">
        <f>IF(L29&lt;1,1,L29)</f>
        <v>1</v>
      </c>
      <c r="N29" s="70" t="s">
        <v>148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IF(B29="",0,INDEX(ModelParameters!$D$38:$K$42,MATCH($O29,ModelParameters!$B$6:$B$10,0),MATCH($J29,ModelParameters!$D$5:$K$5,0)))</f>
        <v>0.011000000000000002</v>
      </c>
      <c r="R29" s="71">
        <f>IF(B29="",0,INDEX(ModelParameters!$D$45:$K$49,MATCH($O29,ModelParameters!$B$13:$B$17,0),MATCH($J29,ModelParameters!$D$5:$K$5,0)))</f>
        <v>0</v>
      </c>
      <c r="S29" s="160">
        <f>IF(B29="",0,MIN(P29*Q29+R29,1))</f>
        <v>0.011000000000000002</v>
      </c>
      <c r="T29" s="85">
        <f>IF(B29="",0,$S29*$K29)</f>
        <v>0.015594912597150182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0.00085423168829960864</v>
      </c>
      <c r="X29" s="85">
        <f>IF(B29="",0,IF(OR(H29=MappingTables!$C$34,H29=MappingTables!$C$35),W29,0))</f>
        <v>0</v>
      </c>
    </row>
    <row r="30" spans="2:24" s="0" customFormat="0" ht="15">
      <c r="B30" s="69">
        <v>10931330</v>
      </c>
      <c r="C30" s="70" t="s">
        <v>3088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188</v>
      </c>
      <c r="J30" s="71">
        <f>IF(OR(I30=0,I30=""),"unrated",VLOOKUP(I30,MappingTables!$B$19:$C$31,2,FALSE))</f>
        <v>2</v>
      </c>
      <c r="K30" s="72">
        <v>0.059375486343522832</v>
      </c>
      <c r="L30" s="70">
        <v>1.6811261045486864</v>
      </c>
      <c r="M30" s="71">
        <f>IF(L30&lt;1,1,L30)</f>
        <v>1.6811261045486864</v>
      </c>
      <c r="N30" s="70" t="s">
        <v>148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1.6811261045486864</v>
      </c>
      <c r="Q30" s="71">
        <f>IF(B30="",0,INDEX(ModelParameters!$D$38:$K$42,MATCH($O30,ModelParameters!$B$6:$B$10,0),MATCH($J30,ModelParameters!$D$5:$K$5,0)))</f>
        <v>0.011000000000000002</v>
      </c>
      <c r="R30" s="71">
        <f>IF(B30="",0,INDEX(ModelParameters!$D$45:$K$49,MATCH($O30,ModelParameters!$B$13:$B$17,0),MATCH($J30,ModelParameters!$D$5:$K$5,0)))</f>
        <v>0</v>
      </c>
      <c r="S30" s="160">
        <f>IF(B30="",0,MIN(P30*Q30+R30,1))</f>
        <v>0.018492387150035552</v>
      </c>
      <c r="T30" s="85">
        <f>IF(B30="",0,$S30*$K30)</f>
        <v>0.0010979944806860732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0.000060144080522228512</v>
      </c>
      <c r="X30" s="85">
        <f>IF(B30="",0,IF(OR(H30=MappingTables!$C$34,H30=MappingTables!$C$35),W30,0))</f>
        <v>0</v>
      </c>
    </row>
    <row r="31" spans="2:24" s="0" customFormat="0" ht="15">
      <c r="B31" s="69">
        <v>24964907</v>
      </c>
      <c r="C31" s="70" t="s">
        <v>3066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216</v>
      </c>
      <c r="J31" s="71">
        <f>IF(OR(I31=0,I31=""),"unrated",VLOOKUP(I31,MappingTables!$B$19:$C$31,2,FALSE))</f>
        <v>0</v>
      </c>
      <c r="K31" s="72">
        <v>16692.580944071306</v>
      </c>
      <c r="L31" s="70">
        <v>0.36438277736896432</v>
      </c>
      <c r="M31" s="71">
        <f>IF(L31&lt;1,1,L31)</f>
        <v>1</v>
      </c>
      <c r="N31" s="70" t="s">
        <v>148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IF(B31="",0,INDEX(ModelParameters!$D$38:$K$42,MATCH($O31,ModelParameters!$B$6:$B$10,0),MATCH($J31,ModelParameters!$D$5:$K$5,0)))</f>
        <v>0</v>
      </c>
      <c r="R31" s="71">
        <f>IF(B31="",0,INDEX(ModelParameters!$D$45:$K$49,MATCH($O31,ModelParameters!$B$13:$B$17,0),MATCH($J31,ModelParameters!$D$5:$K$5,0)))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 t="s">
        <v>3069</v>
      </c>
      <c r="C32" s="70" t="s">
        <v>3070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188</v>
      </c>
      <c r="J32" s="71">
        <f>IF(OR(I32=0,I32=""),"unrated",VLOOKUP(I32,MappingTables!$B$19:$C$31,2,FALSE))</f>
        <v>2</v>
      </c>
      <c r="K32" s="72">
        <v>0.058986611354047872</v>
      </c>
      <c r="L32" s="70">
        <v>3.78072651883616</v>
      </c>
      <c r="M32" s="71">
        <f>IF(L32&lt;1,1,L32)</f>
        <v>3.78072651883616</v>
      </c>
      <c r="N32" s="70" t="s">
        <v>148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3.78072651883616</v>
      </c>
      <c r="Q32" s="71">
        <f>IF(B32="",0,INDEX(ModelParameters!$D$38:$K$42,MATCH($O32,ModelParameters!$B$6:$B$10,0),MATCH($J32,ModelParameters!$D$5:$K$5,0)))</f>
        <v>0.011000000000000002</v>
      </c>
      <c r="R32" s="71">
        <f>IF(B32="",0,INDEX(ModelParameters!$D$45:$K$49,MATCH($O32,ModelParameters!$B$13:$B$17,0),MATCH($J32,ModelParameters!$D$5:$K$5,0)))</f>
        <v>0</v>
      </c>
      <c r="S32" s="160">
        <f>IF(B32="",0,MIN(P32*Q32+R32,1))</f>
        <v>0.041587991707197768</v>
      </c>
      <c r="T32" s="85">
        <f>IF(B32="",0,$S32*$K32)</f>
        <v>0.0024531347038278412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0.000134373654653259</v>
      </c>
      <c r="X32" s="85">
        <f>IF(B32="",0,IF(OR(H32=MappingTables!$C$34,H32=MappingTables!$C$35),W32,0))</f>
        <v>0</v>
      </c>
    </row>
    <row r="33" spans="2:24" s="0" customFormat="0" ht="15">
      <c r="B33" s="69">
        <v>23552919</v>
      </c>
      <c r="C33" s="70" t="s">
        <v>3064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216</v>
      </c>
      <c r="J33" s="71">
        <f>IF(OR(I33=0,I33=""),"unrated",VLOOKUP(I33,MappingTables!$B$19:$C$31,2,FALSE))</f>
        <v>0</v>
      </c>
      <c r="K33" s="72">
        <v>38039.210394679</v>
      </c>
      <c r="L33" s="70">
        <v>1.4977460285008924</v>
      </c>
      <c r="M33" s="71">
        <f>IF(L33&lt;1,1,L33)</f>
        <v>1.4977460285008924</v>
      </c>
      <c r="N33" s="70" t="s">
        <v>148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1.4977460285008924</v>
      </c>
      <c r="Q33" s="71">
        <f>IF(B33="",0,INDEX(ModelParameters!$D$38:$K$42,MATCH($O33,ModelParameters!$B$6:$B$10,0),MATCH($J33,ModelParameters!$D$5:$K$5,0)))</f>
        <v>0</v>
      </c>
      <c r="R33" s="71">
        <f>IF(B33="",0,INDEX(ModelParameters!$D$45:$K$49,MATCH($O33,ModelParameters!$B$13:$B$17,0),MATCH($J33,ModelParameters!$D$5:$K$5,0)))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17737410</v>
      </c>
      <c r="C34" s="70" t="s">
        <v>3068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188</v>
      </c>
      <c r="J34" s="71">
        <f>IF(OR(I34=0,I34=""),"unrated",VLOOKUP(I34,MappingTables!$B$19:$C$31,2,FALSE))</f>
        <v>2</v>
      </c>
      <c r="K34" s="72">
        <v>2.0196010389146836</v>
      </c>
      <c r="L34" s="70">
        <v>0.83288211493979984</v>
      </c>
      <c r="M34" s="71">
        <f>IF(L34&lt;1,1,L34)</f>
        <v>1</v>
      </c>
      <c r="N34" s="70" t="s">
        <v>148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IF(B34="",0,INDEX(ModelParameters!$D$38:$K$42,MATCH($O34,ModelParameters!$B$6:$B$10,0),MATCH($J34,ModelParameters!$D$5:$K$5,0)))</f>
        <v>0.011000000000000002</v>
      </c>
      <c r="R34" s="71">
        <f>IF(B34="",0,INDEX(ModelParameters!$D$45:$K$49,MATCH($O34,ModelParameters!$B$13:$B$17,0),MATCH($J34,ModelParameters!$D$5:$K$5,0)))</f>
        <v>0</v>
      </c>
      <c r="S34" s="160">
        <f>IF(B34="",0,MIN(P34*Q34+R34,1))</f>
        <v>0.011000000000000002</v>
      </c>
      <c r="T34" s="85">
        <f>IF(B34="",0,$S34*$K34)</f>
        <v>0.022215611428061524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0.0012168891065326642</v>
      </c>
      <c r="X34" s="85">
        <f>IF(B34="",0,IF(OR(H34=MappingTables!$C$34,H34=MappingTables!$C$35),W34,0))</f>
        <v>0</v>
      </c>
    </row>
    <row r="35" spans="2:24" s="0" customFormat="0" ht="15">
      <c r="B35" s="69">
        <v>20394611</v>
      </c>
      <c r="C35" s="70" t="s">
        <v>3089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188</v>
      </c>
      <c r="J35" s="71">
        <f>IF(OR(I35=0,I35=""),"unrated",VLOOKUP(I35,MappingTables!$B$19:$C$31,2,FALSE))</f>
        <v>2</v>
      </c>
      <c r="K35" s="72">
        <v>0.49604952025195904</v>
      </c>
      <c r="L35" s="70">
        <v>3.4089567626201776</v>
      </c>
      <c r="M35" s="71">
        <f>IF(L35&lt;1,1,L35)</f>
        <v>3.4089567626201776</v>
      </c>
      <c r="N35" s="70" t="s">
        <v>148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3.4089567626201776</v>
      </c>
      <c r="Q35" s="71">
        <f>IF(B35="",0,INDEX(ModelParameters!$D$38:$K$42,MATCH($O35,ModelParameters!$B$6:$B$10,0),MATCH($J35,ModelParameters!$D$5:$K$5,0)))</f>
        <v>0.011000000000000002</v>
      </c>
      <c r="R35" s="71">
        <f>IF(B35="",0,INDEX(ModelParameters!$D$45:$K$49,MATCH($O35,ModelParameters!$B$13:$B$17,0),MATCH($J35,ModelParameters!$D$5:$K$5,0)))</f>
        <v>0</v>
      </c>
      <c r="S35" s="160">
        <f>IF(B35="",0,MIN(P35*Q35+R35,1))</f>
        <v>0.03749852438882196</v>
      </c>
      <c r="T35" s="85">
        <f>IF(B35="",0,$S35*$K35)</f>
        <v>0.018601125033231516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0.00101890089748327</v>
      </c>
      <c r="X35" s="85">
        <f>IF(B35="",0,IF(OR(H35=MappingTables!$C$34,H35=MappingTables!$C$35),W35,0))</f>
        <v>0</v>
      </c>
    </row>
    <row r="36" spans="2:24" s="0" customFormat="0" ht="15">
      <c r="B36" s="69">
        <v>24909349</v>
      </c>
      <c r="C36" s="70" t="s">
        <v>3090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216</v>
      </c>
      <c r="J36" s="71">
        <f>IF(OR(I36=0,I36=""),"unrated",VLOOKUP(I36,MappingTables!$B$19:$C$31,2,FALSE))</f>
        <v>0</v>
      </c>
      <c r="K36" s="72">
        <v>214416.37993654852</v>
      </c>
      <c r="L36" s="70">
        <v>0.34520477536662568</v>
      </c>
      <c r="M36" s="71">
        <f>IF(L36&lt;1,1,L36)</f>
        <v>1</v>
      </c>
      <c r="N36" s="70" t="s">
        <v>148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IF(B36="",0,INDEX(ModelParameters!$D$38:$K$42,MATCH($O36,ModelParameters!$B$6:$B$10,0),MATCH($J36,ModelParameters!$D$5:$K$5,0)))</f>
        <v>0</v>
      </c>
      <c r="R36" s="71">
        <f>IF(B36="",0,INDEX(ModelParameters!$D$45:$K$49,MATCH($O36,ModelParameters!$B$13:$B$17,0),MATCH($J36,ModelParameters!$D$5:$K$5,0)))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16064045</v>
      </c>
      <c r="C37" s="70" t="s">
        <v>3091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216</v>
      </c>
      <c r="J37" s="71">
        <f>IF(OR(I37=0,I37=""),"unrated",VLOOKUP(I37,MappingTables!$B$19:$C$31,2,FALSE))</f>
        <v>0</v>
      </c>
      <c r="K37" s="72">
        <v>2351.633670974978</v>
      </c>
      <c r="L37" s="70">
        <v>0.29315519629541292</v>
      </c>
      <c r="M37" s="71">
        <f>IF(L37&lt;1,1,L37)</f>
        <v>1</v>
      </c>
      <c r="N37" s="70" t="s">
        <v>148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</v>
      </c>
      <c r="Q37" s="71">
        <f>IF(B37="",0,INDEX(ModelParameters!$D$38:$K$42,MATCH($O37,ModelParameters!$B$6:$B$10,0),MATCH($J37,ModelParameters!$D$5:$K$5,0)))</f>
        <v>0</v>
      </c>
      <c r="R37" s="71">
        <f>IF(B37="",0,INDEX(ModelParameters!$D$45:$K$49,MATCH($O37,ModelParameters!$B$13:$B$17,0),MATCH($J37,ModelParameters!$D$5:$K$5,0)))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25010321</v>
      </c>
      <c r="C38" s="70" t="s">
        <v>3063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216</v>
      </c>
      <c r="J38" s="71">
        <f>IF(OR(I38=0,I38=""),"unrated",VLOOKUP(I38,MappingTables!$B$19:$C$31,2,FALSE))</f>
        <v>0</v>
      </c>
      <c r="K38" s="72">
        <v>248510.00779170128</v>
      </c>
      <c r="L38" s="70">
        <v>0.3835656125628256</v>
      </c>
      <c r="M38" s="71">
        <f>IF(L38&lt;1,1,L38)</f>
        <v>1</v>
      </c>
      <c r="N38" s="70" t="s">
        <v>148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1</v>
      </c>
      <c r="Q38" s="71">
        <f>IF(B38="",0,INDEX(ModelParameters!$D$38:$K$42,MATCH($O38,ModelParameters!$B$6:$B$10,0),MATCH($J38,ModelParameters!$D$5:$K$5,0)))</f>
        <v>0</v>
      </c>
      <c r="R38" s="71">
        <f>IF(B38="",0,INDEX(ModelParameters!$D$45:$K$49,MATCH($O38,ModelParameters!$B$13:$B$17,0),MATCH($J38,ModelParameters!$D$5:$K$5,0)))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0</v>
      </c>
      <c r="X38" s="85">
        <f>IF(B38="",0,IF(OR(H38=MappingTables!$C$34,H38=MappingTables!$C$35),W38,0))</f>
        <v>0</v>
      </c>
    </row>
    <row r="39" spans="2:24" s="0" customFormat="0" ht="15">
      <c r="B39" s="69" t="s">
        <v>3092</v>
      </c>
      <c r="C39" s="70" t="s">
        <v>3092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198</v>
      </c>
      <c r="J39" s="71" t="str">
        <f>IF(OR(I39=0,I39=""),"unrated",VLOOKUP(I39,MappingTables!$B$19:$C$31,2,FALSE))</f>
        <v>unrated</v>
      </c>
      <c r="K39" s="72">
        <v>-13172.011270990052</v>
      </c>
      <c r="L39" s="70">
        <v>0</v>
      </c>
      <c r="M39" s="71">
        <f>IF(L39&lt;1,1,L39)</f>
        <v>1</v>
      </c>
      <c r="N39" s="70" t="s">
        <v>148</v>
      </c>
      <c r="O39" s="71">
        <f>INDEX(DurClassMapping,MATCH(M39,MappingTables!$D$4:$D$8,-1),1)</f>
        <v>1</v>
      </c>
      <c r="P39" s="73">
        <f>IF(M39=$A$1,1,$M39-INDEX(MappingTables!$E$4:$E$8,MATCH(O39,MappingTables!$B$4:$B$8,0)))</f>
        <v>1</v>
      </c>
      <c r="Q39" s="71">
        <f>IF(B39="",0,INDEX(ModelParameters!$D$38:$K$42,MATCH($O39,ModelParameters!$B$6:$B$10,0),MATCH($J39,ModelParameters!$D$5:$K$5,0)))</f>
        <v>0.03</v>
      </c>
      <c r="R39" s="71">
        <f>IF(B39="",0,INDEX(ModelParameters!$D$45:$K$49,MATCH($O39,ModelParameters!$B$13:$B$17,0),MATCH($J39,ModelParameters!$D$5:$K$5,0)))</f>
        <v>0</v>
      </c>
      <c r="S39" s="160">
        <f>IF(B39="",0,MIN(P39*Q39+R39,1))</f>
        <v>0.03</v>
      </c>
      <c r="T39" s="85">
        <f>IF(B39="",0,$S39*$K39)</f>
        <v>-395.16033812970152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85">
        <f>IF(B39="",0,+$T39*$V39)</f>
        <v>-21.645423190846524</v>
      </c>
      <c r="X39" s="85">
        <f>IF(B39="",0,IF(OR(H39=MappingTables!$C$34,H39=MappingTables!$C$35),W39,0))</f>
        <v>0</v>
      </c>
    </row>
    <row r="40" spans="2:24" s="0" customFormat="0" ht="15">
      <c r="B40" s="69">
        <v>21755092</v>
      </c>
      <c r="C40" s="70" t="s">
        <v>3093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188</v>
      </c>
      <c r="J40" s="71">
        <f>IF(OR(I40=0,I40=""),"unrated",VLOOKUP(I40,MappingTables!$B$19:$C$31,2,FALSE))</f>
        <v>2</v>
      </c>
      <c r="K40" s="72">
        <v>0.1101710803229451</v>
      </c>
      <c r="L40" s="70">
        <v>17.97710301130602</v>
      </c>
      <c r="M40" s="71">
        <f>IF(L40&lt;1,1,L40)</f>
        <v>17.97710301130602</v>
      </c>
      <c r="N40" s="70" t="s">
        <v>148</v>
      </c>
      <c r="O40" s="71">
        <f>INDEX(DurClassMapping,MATCH(M40,MappingTables!$D$4:$D$8,-1),1)</f>
        <v>4</v>
      </c>
      <c r="P40" s="73">
        <f>IF(M40=$A$1,1,$M40-INDEX(MappingTables!$E$4:$E$8,MATCH(O40,MappingTables!$B$4:$B$8,0)))</f>
        <v>2.9771030113060208</v>
      </c>
      <c r="Q40" s="71">
        <f>IF(B40="",0,INDEX(ModelParameters!$D$38:$K$42,MATCH($O40,ModelParameters!$B$6:$B$10,0),MATCH($J40,ModelParameters!$D$5:$K$5,0)))</f>
        <v>0.005</v>
      </c>
      <c r="R40" s="71">
        <f>IF(B40="",0,INDEX(ModelParameters!$D$45:$K$49,MATCH($O40,ModelParameters!$B$13:$B$17,0),MATCH($J40,ModelParameters!$D$5:$K$5,0)))</f>
        <v>0.109</v>
      </c>
      <c r="S40" s="160">
        <f>IF(B40="",0,MIN(P40*Q40+R40,1))</f>
        <v>0.1238855150565301</v>
      </c>
      <c r="T40" s="85">
        <f>IF(B40="",0,$S40*$K40)</f>
        <v>0.013648601030142402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85">
        <f>IF(B40="",0,+$T40*$V40)</f>
        <v>0.00074761993235132992</v>
      </c>
      <c r="X40" s="85">
        <f>IF(B40="",0,IF(OR(H40=MappingTables!$C$34,H40=MappingTables!$C$35),W40,0))</f>
        <v>0</v>
      </c>
    </row>
    <row r="41" spans="2:24" s="0" customFormat="0" ht="15">
      <c r="B41" s="69">
        <v>21990923</v>
      </c>
      <c r="C41" s="70" t="s">
        <v>3071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216</v>
      </c>
      <c r="J41" s="71">
        <f>IF(OR(I41=0,I41=""),"unrated",VLOOKUP(I41,MappingTables!$B$19:$C$31,2,FALSE))</f>
        <v>0</v>
      </c>
      <c r="K41" s="72">
        <v>526.2652040465324</v>
      </c>
      <c r="L41" s="70">
        <v>0.019178581953872084</v>
      </c>
      <c r="M41" s="71">
        <f>IF(L41&lt;1,1,L41)</f>
        <v>1</v>
      </c>
      <c r="N41" s="70" t="s">
        <v>148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IF(B41="",0,INDEX(ModelParameters!$D$38:$K$42,MATCH($O41,ModelParameters!$B$6:$B$10,0),MATCH($J41,ModelParameters!$D$5:$K$5,0)))</f>
        <v>0</v>
      </c>
      <c r="R41" s="71">
        <f>IF(B41="",0,INDEX(ModelParameters!$D$45:$K$49,MATCH($O41,ModelParameters!$B$13:$B$17,0),MATCH($J41,ModelParameters!$D$5:$K$5,0)))</f>
        <v>0</v>
      </c>
      <c r="S41" s="160">
        <f>IF(B41="",0,MIN(P41*Q41+R41,1))</f>
        <v>0</v>
      </c>
      <c r="T41" s="85">
        <f>IF(B41="",0,$S41*$K41)</f>
        <v>0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0</v>
      </c>
      <c r="X41" s="85">
        <f>IF(B41="",0,IF(OR(H41=MappingTables!$C$34,H41=MappingTables!$C$35),W41,0))</f>
        <v>0</v>
      </c>
    </row>
    <row r="42" spans="2:24" s="0" customFormat="0" ht="15">
      <c r="B42" s="69">
        <v>23045956</v>
      </c>
      <c r="C42" s="70" t="s">
        <v>3094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216</v>
      </c>
      <c r="J42" s="71">
        <f>IF(OR(I42=0,I42=""),"unrated",VLOOKUP(I42,MappingTables!$B$19:$C$31,2,FALSE))</f>
        <v>0</v>
      </c>
      <c r="K42" s="72">
        <v>78543.338541392976</v>
      </c>
      <c r="L42" s="70">
        <v>0.32602486053972808</v>
      </c>
      <c r="M42" s="71">
        <f>IF(L42&lt;1,1,L42)</f>
        <v>1</v>
      </c>
      <c r="N42" s="70" t="s">
        <v>148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IF(B42="",0,INDEX(ModelParameters!$D$38:$K$42,MATCH($O42,ModelParameters!$B$6:$B$10,0),MATCH($J42,ModelParameters!$D$5:$K$5,0)))</f>
        <v>0</v>
      </c>
      <c r="R42" s="71">
        <f>IF(B42="",0,INDEX(ModelParameters!$D$45:$K$49,MATCH($O42,ModelParameters!$B$13:$B$17,0),MATCH($J42,ModelParameters!$D$5:$K$5,0)))</f>
        <v>0</v>
      </c>
      <c r="S42" s="160">
        <f>IF(B42="",0,MIN(P42*Q42+R42,1))</f>
        <v>0</v>
      </c>
      <c r="T42" s="85">
        <f>IF(B42="",0,$S42*$K42)</f>
        <v>0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0</v>
      </c>
      <c r="X42" s="85">
        <f>IF(B42="",0,IF(OR(H42=MappingTables!$C$34,H42=MappingTables!$C$35),W42,0))</f>
        <v>0</v>
      </c>
    </row>
    <row r="43" spans="2:24" s="0" customFormat="0" ht="15">
      <c r="B43" s="69">
        <v>23963922</v>
      </c>
      <c r="C43" s="70" t="s">
        <v>3060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216</v>
      </c>
      <c r="J43" s="71">
        <f>IF(OR(I43=0,I43=""),"unrated",VLOOKUP(I43,MappingTables!$B$19:$C$31,2,FALSE))</f>
        <v>0</v>
      </c>
      <c r="K43" s="72">
        <v>2869.0129116233248</v>
      </c>
      <c r="L43" s="70">
        <v>0.07671354928139192</v>
      </c>
      <c r="M43" s="71">
        <f>IF(L43&lt;1,1,L43)</f>
        <v>1</v>
      </c>
      <c r="N43" s="70" t="s">
        <v>148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</v>
      </c>
      <c r="Q43" s="71">
        <f>IF(B43="",0,INDEX(ModelParameters!$D$38:$K$42,MATCH($O43,ModelParameters!$B$6:$B$10,0),MATCH($J43,ModelParameters!$D$5:$K$5,0)))</f>
        <v>0</v>
      </c>
      <c r="R43" s="71">
        <f>IF(B43="",0,INDEX(ModelParameters!$D$45:$K$49,MATCH($O43,ModelParameters!$B$13:$B$17,0),MATCH($J43,ModelParameters!$D$5:$K$5,0)))</f>
        <v>0</v>
      </c>
      <c r="S43" s="160">
        <f>IF(B43="",0,MIN(P43*Q43+R43,1))</f>
        <v>0</v>
      </c>
      <c r="T43" s="85">
        <f>IF(B43="",0,$S43*$K43)</f>
        <v>0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0</v>
      </c>
      <c r="X43" s="85">
        <f>IF(B43="",0,IF(OR(H43=MappingTables!$C$34,H43=MappingTables!$C$35),W43,0))</f>
        <v>0</v>
      </c>
    </row>
    <row r="44" spans="2:24" s="0" customFormat="0" ht="15">
      <c r="B44" s="69">
        <v>20394611</v>
      </c>
      <c r="C44" s="70" t="s">
        <v>3089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188</v>
      </c>
      <c r="J44" s="71">
        <f>IF(OR(I44=0,I44=""),"unrated",VLOOKUP(I44,MappingTables!$B$19:$C$31,2,FALSE))</f>
        <v>2</v>
      </c>
      <c r="K44" s="72">
        <v>0.23386779871286732</v>
      </c>
      <c r="L44" s="70">
        <v>3.4089567626201776</v>
      </c>
      <c r="M44" s="71">
        <f>IF(L44&lt;1,1,L44)</f>
        <v>3.4089567626201776</v>
      </c>
      <c r="N44" s="70" t="s">
        <v>148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3.4089567626201776</v>
      </c>
      <c r="Q44" s="71">
        <f>IF(B44="",0,INDEX(ModelParameters!$D$38:$K$42,MATCH($O44,ModelParameters!$B$6:$B$10,0),MATCH($J44,ModelParameters!$D$5:$K$5,0)))</f>
        <v>0.011000000000000002</v>
      </c>
      <c r="R44" s="71">
        <f>IF(B44="",0,INDEX(ModelParameters!$D$45:$K$49,MATCH($O44,ModelParameters!$B$13:$B$17,0),MATCH($J44,ModelParameters!$D$5:$K$5,0)))</f>
        <v>0</v>
      </c>
      <c r="S44" s="160">
        <f>IF(B44="",0,MIN(P44*Q44+R44,1))</f>
        <v>0.03749852438882196</v>
      </c>
      <c r="T44" s="85">
        <f>IF(B44="",0,$S44*$K44)</f>
        <v>0.0087696973537945616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0.0004803716166884776</v>
      </c>
      <c r="X44" s="85">
        <f>IF(B44="",0,IF(OR(H44=MappingTables!$C$34,H44=MappingTables!$C$35),W44,0))</f>
        <v>0</v>
      </c>
    </row>
    <row r="45" spans="2:24" s="0" customFormat="0" ht="15">
      <c r="B45" s="69">
        <v>23134853</v>
      </c>
      <c r="C45" s="70" t="s">
        <v>3095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188</v>
      </c>
      <c r="J45" s="71">
        <f>IF(OR(I45=0,I45=""),"unrated",VLOOKUP(I45,MappingTables!$B$19:$C$31,2,FALSE))</f>
        <v>2</v>
      </c>
      <c r="K45" s="72">
        <v>5.6070918822570424</v>
      </c>
      <c r="L45" s="70">
        <v>0.34246663267234616</v>
      </c>
      <c r="M45" s="71">
        <f>IF(L45&lt;1,1,L45)</f>
        <v>1</v>
      </c>
      <c r="N45" s="70" t="s">
        <v>148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IF(B45="",0,INDEX(ModelParameters!$D$38:$K$42,MATCH($O45,ModelParameters!$B$6:$B$10,0),MATCH($J45,ModelParameters!$D$5:$K$5,0)))</f>
        <v>0.011000000000000002</v>
      </c>
      <c r="R45" s="71">
        <f>IF(B45="",0,INDEX(ModelParameters!$D$45:$K$49,MATCH($O45,ModelParameters!$B$13:$B$17,0),MATCH($J45,ModelParameters!$D$5:$K$5,0)))</f>
        <v>0</v>
      </c>
      <c r="S45" s="160">
        <f>IF(B45="",0,MIN(P45*Q45+R45,1))</f>
        <v>0.011000000000000002</v>
      </c>
      <c r="T45" s="85">
        <f>IF(B45="",0,$S45*$K45)</f>
        <v>0.061678010704827472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0.0033784935239056232</v>
      </c>
      <c r="X45" s="85">
        <f>IF(B45="",0,IF(OR(H45=MappingTables!$C$34,H45=MappingTables!$C$35),W45,0))</f>
        <v>0</v>
      </c>
    </row>
    <row r="46" spans="2:24" s="0" customFormat="0" ht="15">
      <c r="B46" s="69">
        <v>24139040</v>
      </c>
      <c r="C46" s="70" t="s">
        <v>3096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216</v>
      </c>
      <c r="J46" s="71">
        <f>IF(OR(I46=0,I46=""),"unrated",VLOOKUP(I46,MappingTables!$B$19:$C$31,2,FALSE))</f>
        <v>0</v>
      </c>
      <c r="K46" s="72">
        <v>3951.8115680126328</v>
      </c>
      <c r="L46" s="70">
        <v>0.13425034149502324</v>
      </c>
      <c r="M46" s="71">
        <f>IF(L46&lt;1,1,L46)</f>
        <v>1</v>
      </c>
      <c r="N46" s="70" t="s">
        <v>148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IF(B46="",0,INDEX(ModelParameters!$D$38:$K$42,MATCH($O46,ModelParameters!$B$6:$B$10,0),MATCH($J46,ModelParameters!$D$5:$K$5,0)))</f>
        <v>0</v>
      </c>
      <c r="R46" s="71">
        <f>IF(B46="",0,INDEX(ModelParameters!$D$45:$K$49,MATCH($O46,ModelParameters!$B$13:$B$17,0),MATCH($J46,ModelParameters!$D$5:$K$5,0)))</f>
        <v>0</v>
      </c>
      <c r="S46" s="160">
        <f>IF(B46="",0,MIN(P46*Q46+R46,1))</f>
        <v>0</v>
      </c>
      <c r="T46" s="85">
        <f>IF(B46="",0,$S46*$K46)</f>
        <v>0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</v>
      </c>
      <c r="X46" s="85">
        <f>IF(B46="",0,IF(OR(H46=MappingTables!$C$34,H46=MappingTables!$C$35),W46,0))</f>
        <v>0</v>
      </c>
    </row>
    <row r="47" spans="2:24" s="0" customFormat="0" ht="15">
      <c r="B47" s="69">
        <v>24621131</v>
      </c>
      <c r="C47" s="70" t="s">
        <v>3097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216</v>
      </c>
      <c r="J47" s="71">
        <f>IF(OR(I47=0,I47=""),"unrated",VLOOKUP(I47,MappingTables!$B$19:$C$31,2,FALSE))</f>
        <v>0</v>
      </c>
      <c r="K47" s="72">
        <v>32621.01223898722</v>
      </c>
      <c r="L47" s="70">
        <v>0.26848954524481084</v>
      </c>
      <c r="M47" s="71">
        <f>IF(L47&lt;1,1,L47)</f>
        <v>1</v>
      </c>
      <c r="N47" s="70" t="s">
        <v>148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IF(B47="",0,INDEX(ModelParameters!$D$38:$K$42,MATCH($O47,ModelParameters!$B$6:$B$10,0),MATCH($J47,ModelParameters!$D$5:$K$5,0)))</f>
        <v>0</v>
      </c>
      <c r="R47" s="71">
        <f>IF(B47="",0,INDEX(ModelParameters!$D$45:$K$49,MATCH($O47,ModelParameters!$B$13:$B$17,0),MATCH($J47,ModelParameters!$D$5:$K$5,0)))</f>
        <v>0</v>
      </c>
      <c r="S47" s="160">
        <f>IF(B47="",0,MIN(P47*Q47+R47,1))</f>
        <v>0</v>
      </c>
      <c r="T47" s="85">
        <f>IF(B47="",0,$S47*$K47)</f>
        <v>0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</v>
      </c>
      <c r="X47" s="85">
        <f>IF(B47="",0,IF(OR(H47=MappingTables!$C$34,H47=MappingTables!$C$35),W47,0))</f>
        <v>0</v>
      </c>
    </row>
    <row r="48" spans="2:24" s="0" customFormat="0" ht="15">
      <c r="B48" s="69">
        <v>2983248</v>
      </c>
      <c r="C48" s="70" t="s">
        <v>3098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188</v>
      </c>
      <c r="J48" s="71">
        <f>IF(OR(I48=0,I48=""),"unrated",VLOOKUP(I48,MappingTables!$B$19:$C$31,2,FALSE))</f>
        <v>2</v>
      </c>
      <c r="K48" s="72">
        <v>7.6409610619230208</v>
      </c>
      <c r="L48" s="70">
        <v>0.3369865717396912</v>
      </c>
      <c r="M48" s="71">
        <f>IF(L48&lt;1,1,L48)</f>
        <v>1</v>
      </c>
      <c r="N48" s="70" t="s">
        <v>148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IF(B48="",0,INDEX(ModelParameters!$D$38:$K$42,MATCH($O48,ModelParameters!$B$6:$B$10,0),MATCH($J48,ModelParameters!$D$5:$K$5,0)))</f>
        <v>0.011000000000000002</v>
      </c>
      <c r="R48" s="71">
        <f>IF(B48="",0,INDEX(ModelParameters!$D$45:$K$49,MATCH($O48,ModelParameters!$B$13:$B$17,0),MATCH($J48,ModelParameters!$D$5:$K$5,0)))</f>
        <v>0</v>
      </c>
      <c r="S48" s="160">
        <f>IF(B48="",0,MIN(P48*Q48+R48,1))</f>
        <v>0.011000000000000002</v>
      </c>
      <c r="T48" s="85">
        <f>IF(B48="",0,$S48*$K48)</f>
        <v>0.084050571681153232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0.0046039797467578824</v>
      </c>
      <c r="X48" s="85">
        <f>IF(B48="",0,IF(OR(H48=MappingTables!$C$34,H48=MappingTables!$C$35),W48,0))</f>
        <v>0</v>
      </c>
    </row>
    <row r="49" spans="2:24" s="0" customFormat="0" ht="15">
      <c r="B49" s="69">
        <v>22413270</v>
      </c>
      <c r="C49" s="70" t="s">
        <v>3099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216</v>
      </c>
      <c r="J49" s="71">
        <f>IF(OR(I49=0,I49=""),"unrated",VLOOKUP(I49,MappingTables!$B$19:$C$31,2,FALSE))</f>
        <v>0</v>
      </c>
      <c r="K49" s="72">
        <v>1108.3111225956204</v>
      </c>
      <c r="L49" s="70">
        <v>0.1726020173023819</v>
      </c>
      <c r="M49" s="71">
        <f>IF(L49&lt;1,1,L49)</f>
        <v>1</v>
      </c>
      <c r="N49" s="70" t="s">
        <v>148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</v>
      </c>
      <c r="Q49" s="71">
        <f>IF(B49="",0,INDEX(ModelParameters!$D$38:$K$42,MATCH($O49,ModelParameters!$B$6:$B$10,0),MATCH($J49,ModelParameters!$D$5:$K$5,0)))</f>
        <v>0</v>
      </c>
      <c r="R49" s="71">
        <f>IF(B49="",0,INDEX(ModelParameters!$D$45:$K$49,MATCH($O49,ModelParameters!$B$13:$B$17,0),MATCH($J49,ModelParameters!$D$5:$K$5,0)))</f>
        <v>0</v>
      </c>
      <c r="S49" s="160">
        <f>IF(B49="",0,MIN(P49*Q49+R49,1))</f>
        <v>0</v>
      </c>
      <c r="T49" s="85">
        <f>IF(B49="",0,$S49*$K49)</f>
        <v>0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</v>
      </c>
      <c r="X49" s="85">
        <f>IF(B49="",0,IF(OR(H49=MappingTables!$C$34,H49=MappingTables!$C$35),W49,0))</f>
        <v>0</v>
      </c>
    </row>
    <row r="50" spans="2:24" s="0" customFormat="0" ht="15">
      <c r="B50" s="69">
        <v>22433332</v>
      </c>
      <c r="C50" s="70" t="s">
        <v>3065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188</v>
      </c>
      <c r="J50" s="71">
        <f>IF(OR(I50=0,I50=""),"unrated",VLOOKUP(I50,MappingTables!$B$19:$C$31,2,FALSE))</f>
        <v>2</v>
      </c>
      <c r="K50" s="72">
        <v>0.30575611011890432</v>
      </c>
      <c r="L50" s="70">
        <v>5.5572441958225624</v>
      </c>
      <c r="M50" s="71">
        <f>IF(L50&lt;1,1,L50)</f>
        <v>5.5572441958225624</v>
      </c>
      <c r="N50" s="70" t="s">
        <v>148</v>
      </c>
      <c r="O50" s="71">
        <f>INDEX(DurClassMapping,MATCH(M50,MappingTables!$D$4:$D$8,-1),1)</f>
        <v>2</v>
      </c>
      <c r="P50" s="73">
        <f>IF(M50=$A$1,1,$M50-INDEX(MappingTables!$E$4:$E$8,MATCH(O50,MappingTables!$B$4:$B$8,0)))</f>
        <v>0.55724419582256248</v>
      </c>
      <c r="Q50" s="71">
        <f>IF(B50="",0,INDEX(ModelParameters!$D$38:$K$42,MATCH($O50,ModelParameters!$B$6:$B$10,0),MATCH($J50,ModelParameters!$D$5:$K$5,0)))</f>
        <v>0.006</v>
      </c>
      <c r="R50" s="71">
        <f>IF(B50="",0,INDEX(ModelParameters!$D$45:$K$49,MATCH($O50,ModelParameters!$B$13:$B$17,0),MATCH($J50,ModelParameters!$D$5:$K$5,0)))</f>
        <v>0.055</v>
      </c>
      <c r="S50" s="160">
        <f>IF(B50="",0,MIN(P50*Q50+R50,1))</f>
        <v>0.058343465174935376</v>
      </c>
      <c r="T50" s="85">
        <f>IF(B50="",0,$S50*$K50)</f>
        <v>0.017838870962745998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0.00097714743605873568</v>
      </c>
      <c r="X50" s="85">
        <f>IF(B50="",0,IF(OR(H50=MappingTables!$C$34,H50=MappingTables!$C$35),W50,0))</f>
        <v>0</v>
      </c>
    </row>
    <row r="51" spans="2:24" s="0" customFormat="0" ht="15">
      <c r="B51" s="69">
        <v>18126309</v>
      </c>
      <c r="C51" s="70" t="s">
        <v>3100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216</v>
      </c>
      <c r="J51" s="71">
        <f>IF(OR(I51=0,I51=""),"unrated",VLOOKUP(I51,MappingTables!$B$19:$C$31,2,FALSE))</f>
        <v>0</v>
      </c>
      <c r="K51" s="72">
        <v>1.2499033129145842</v>
      </c>
      <c r="L51" s="70">
        <v>20.917000836326776</v>
      </c>
      <c r="M51" s="71">
        <f>IF(L51&lt;1,1,L51)</f>
        <v>20.917000836326776</v>
      </c>
      <c r="N51" s="70" t="s">
        <v>148</v>
      </c>
      <c r="O51" s="71">
        <f>INDEX(DurClassMapping,MATCH(M51,MappingTables!$D$4:$D$8,-1),1)</f>
        <v>5</v>
      </c>
      <c r="P51" s="73">
        <f>IF(M51=$A$1,1,$M51-INDEX(MappingTables!$E$4:$E$8,MATCH(O51,MappingTables!$B$4:$B$8,0)))</f>
        <v>0.91700083632677472</v>
      </c>
      <c r="Q51" s="71">
        <f>IF(B51="",0,INDEX(ModelParameters!$D$38:$K$42,MATCH($O51,ModelParameters!$B$6:$B$10,0),MATCH($J51,ModelParameters!$D$5:$K$5,0)))</f>
        <v>0</v>
      </c>
      <c r="R51" s="71">
        <f>IF(B51="",0,INDEX(ModelParameters!$D$45:$K$49,MATCH($O51,ModelParameters!$B$13:$B$17,0),MATCH($J51,ModelParameters!$D$5:$K$5,0)))</f>
        <v>0</v>
      </c>
      <c r="S51" s="160">
        <f>IF(B51="",0,MIN(P51*Q51+R51,1))</f>
        <v>0</v>
      </c>
      <c r="T51" s="85">
        <f>IF(B51="",0,$S51*$K51)</f>
        <v>0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</v>
      </c>
      <c r="X51" s="85">
        <f>IF(B51="",0,IF(OR(H51=MappingTables!$C$34,H51=MappingTables!$C$35),W51,0))</f>
        <v>0</v>
      </c>
    </row>
    <row r="52" spans="2:24" s="0" customFormat="0" ht="15">
      <c r="B52" s="69">
        <v>24343663</v>
      </c>
      <c r="C52" s="70" t="s">
        <v>3101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216</v>
      </c>
      <c r="J52" s="71">
        <f>IF(OR(I52=0,I52=""),"unrated",VLOOKUP(I52,MappingTables!$B$19:$C$31,2,FALSE))</f>
        <v>0</v>
      </c>
      <c r="K52" s="72">
        <v>4554.184965194768</v>
      </c>
      <c r="L52" s="70">
        <v>0.032879498693093548</v>
      </c>
      <c r="M52" s="71">
        <f>IF(L52&lt;1,1,L52)</f>
        <v>1</v>
      </c>
      <c r="N52" s="70" t="s">
        <v>148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1</v>
      </c>
      <c r="Q52" s="71">
        <f>IF(B52="",0,INDEX(ModelParameters!$D$38:$K$42,MATCH($O52,ModelParameters!$B$6:$B$10,0),MATCH($J52,ModelParameters!$D$5:$K$5,0)))</f>
        <v>0</v>
      </c>
      <c r="R52" s="71">
        <f>IF(B52="",0,INDEX(ModelParameters!$D$45:$K$49,MATCH($O52,ModelParameters!$B$13:$B$17,0),MATCH($J52,ModelParameters!$D$5:$K$5,0)))</f>
        <v>0</v>
      </c>
      <c r="S52" s="160">
        <f>IF(B52="",0,MIN(P52*Q52+R52,1))</f>
        <v>0</v>
      </c>
      <c r="T52" s="85">
        <f>IF(B52="",0,$S52*$K52)</f>
        <v>0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85">
        <f>IF(B52="",0,+$T52*$V52)</f>
        <v>0</v>
      </c>
      <c r="X52" s="85">
        <f>IF(B52="",0,IF(OR(H52=MappingTables!$C$34,H52=MappingTables!$C$35),W52,0))</f>
        <v>0</v>
      </c>
    </row>
    <row r="53" spans="2:24" s="0" customFormat="0" ht="15">
      <c r="B53" s="69">
        <v>21227977</v>
      </c>
      <c r="C53" s="70" t="s">
        <v>3102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188</v>
      </c>
      <c r="J53" s="71">
        <f>IF(OR(I53=0,I53=""),"unrated",VLOOKUP(I53,MappingTables!$B$19:$C$31,2,FALSE))</f>
        <v>2</v>
      </c>
      <c r="K53" s="72">
        <v>6585.9813630850704</v>
      </c>
      <c r="L53" s="70">
        <v>26.626983879079036</v>
      </c>
      <c r="M53" s="71">
        <f>IF(L53&lt;1,1,L53)</f>
        <v>26.626983879079036</v>
      </c>
      <c r="N53" s="70" t="s">
        <v>148</v>
      </c>
      <c r="O53" s="71">
        <f>INDEX(DurClassMapping,MATCH(M53,MappingTables!$D$4:$D$8,-1),1)</f>
        <v>5</v>
      </c>
      <c r="P53" s="73">
        <f>IF(M53=$A$1,1,$M53-INDEX(MappingTables!$E$4:$E$8,MATCH(O53,MappingTables!$B$4:$B$8,0)))</f>
        <v>6.6269838790790344</v>
      </c>
      <c r="Q53" s="71">
        <f>IF(B53="",0,INDEX(ModelParameters!$D$38:$K$42,MATCH($O53,ModelParameters!$B$6:$B$10,0),MATCH($J53,ModelParameters!$D$5:$K$5,0)))</f>
        <v>0.005</v>
      </c>
      <c r="R53" s="71">
        <f>IF(B53="",0,INDEX(ModelParameters!$D$45:$K$49,MATCH($O53,ModelParameters!$B$13:$B$17,0),MATCH($J53,ModelParameters!$D$5:$K$5,0)))</f>
        <v>0.134</v>
      </c>
      <c r="S53" s="160">
        <f>IF(B53="",0,MIN(P53*Q53+R53,1))</f>
        <v>0.16713491939539518</v>
      </c>
      <c r="T53" s="85">
        <f>IF(B53="",0,$S53*$K53)</f>
        <v>1100.7474642587982</v>
      </c>
      <c r="U53" s="85">
        <f>IF(B53="",0,IF(OR(H53=MappingTables!$C$34,H53=MappingTables!$C$35),T53,0))</f>
        <v>0</v>
      </c>
      <c r="V53" s="85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0.054776304963434752</v>
      </c>
      <c r="W53" s="85">
        <f>IF(B53="",0,+$T53*$V53)</f>
        <v>60.294878789967424</v>
      </c>
      <c r="X53" s="85">
        <f>IF(B53="",0,IF(OR(H53=MappingTables!$C$34,H53=MappingTables!$C$35),W53,0))</f>
        <v>0</v>
      </c>
    </row>
    <row r="54" spans="2:24" s="0" customFormat="0" ht="15">
      <c r="B54" s="69">
        <v>10931330</v>
      </c>
      <c r="C54" s="70" t="s">
        <v>3088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188</v>
      </c>
      <c r="J54" s="71">
        <f>IF(OR(I54=0,I54=""),"unrated",VLOOKUP(I54,MappingTables!$B$19:$C$31,2,FALSE))</f>
        <v>2</v>
      </c>
      <c r="K54" s="72">
        <v>0.1259394471745282</v>
      </c>
      <c r="L54" s="70">
        <v>1.681126104548684</v>
      </c>
      <c r="M54" s="71">
        <f>IF(L54&lt;1,1,L54)</f>
        <v>1.681126104548684</v>
      </c>
      <c r="N54" s="70" t="s">
        <v>148</v>
      </c>
      <c r="O54" s="71">
        <f>INDEX(DurClassMapping,MATCH(M54,MappingTables!$D$4:$D$8,-1),1)</f>
        <v>1</v>
      </c>
      <c r="P54" s="73">
        <f>IF(M54=$A$1,1,$M54-INDEX(MappingTables!$E$4:$E$8,MATCH(O54,MappingTables!$B$4:$B$8,0)))</f>
        <v>1.681126104548684</v>
      </c>
      <c r="Q54" s="71">
        <f>IF(B54="",0,INDEX(ModelParameters!$D$38:$K$42,MATCH($O54,ModelParameters!$B$6:$B$10,0),MATCH($J54,ModelParameters!$D$5:$K$5,0)))</f>
        <v>0.011000000000000002</v>
      </c>
      <c r="R54" s="71">
        <f>IF(B54="",0,INDEX(ModelParameters!$D$45:$K$49,MATCH($O54,ModelParameters!$B$13:$B$17,0),MATCH($J54,ModelParameters!$D$5:$K$5,0)))</f>
        <v>0</v>
      </c>
      <c r="S54" s="160">
        <f>IF(B54="",0,MIN(P54*Q54+R54,1))</f>
        <v>0.018492387150035524</v>
      </c>
      <c r="T54" s="85">
        <f>IF(B54="",0,$S54*$K54)</f>
        <v>0.0023289210146128232</v>
      </c>
      <c r="U54" s="85">
        <f>IF(B54="",0,IF(OR(H54=MappingTables!$C$34,H54=MappingTables!$C$35),T54,0))</f>
        <v>0</v>
      </c>
      <c r="V54" s="85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0.054776304963434752</v>
      </c>
      <c r="W54" s="85">
        <f>IF(B54="",0,+$T54*$V54)</f>
        <v>0.0001275696877321839</v>
      </c>
      <c r="X54" s="85">
        <f>IF(B54="",0,IF(OR(H54=MappingTables!$C$34,H54=MappingTables!$C$35),W54,0))</f>
        <v>0</v>
      </c>
    </row>
    <row r="55" spans="2:24" s="0" customFormat="0" ht="15">
      <c r="B55" s="69">
        <v>25200623</v>
      </c>
      <c r="C55" s="70" t="s">
        <v>3103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216</v>
      </c>
      <c r="J55" s="71">
        <f>IF(OR(I55=0,I55=""),"unrated",VLOOKUP(I55,MappingTables!$B$19:$C$31,2,FALSE))</f>
        <v>0</v>
      </c>
      <c r="K55" s="72">
        <v>28396.787480971112</v>
      </c>
      <c r="L55" s="70">
        <v>0.42191452754107008</v>
      </c>
      <c r="M55" s="71">
        <f>IF(L55&lt;1,1,L55)</f>
        <v>1</v>
      </c>
      <c r="N55" s="70" t="s">
        <v>148</v>
      </c>
      <c r="O55" s="71">
        <f>INDEX(DurClassMapping,MATCH(M55,MappingTables!$D$4:$D$8,-1),1)</f>
        <v>1</v>
      </c>
      <c r="P55" s="73">
        <f>IF(M55=$A$1,1,$M55-INDEX(MappingTables!$E$4:$E$8,MATCH(O55,MappingTables!$B$4:$B$8,0)))</f>
        <v>1</v>
      </c>
      <c r="Q55" s="71">
        <f>IF(B55="",0,INDEX(ModelParameters!$D$38:$K$42,MATCH($O55,ModelParameters!$B$6:$B$10,0),MATCH($J55,ModelParameters!$D$5:$K$5,0)))</f>
        <v>0</v>
      </c>
      <c r="R55" s="71">
        <f>IF(B55="",0,INDEX(ModelParameters!$D$45:$K$49,MATCH($O55,ModelParameters!$B$13:$B$17,0),MATCH($J55,ModelParameters!$D$5:$K$5,0)))</f>
        <v>0</v>
      </c>
      <c r="S55" s="160">
        <f>IF(B55="",0,MIN(P55*Q55+R55,1))</f>
        <v>0</v>
      </c>
      <c r="T55" s="85">
        <f>IF(B55="",0,$S55*$K55)</f>
        <v>0</v>
      </c>
      <c r="U55" s="85">
        <f>IF(B55="",0,IF(OR(H55=MappingTables!$C$34,H55=MappingTables!$C$35),T55,0))</f>
        <v>0</v>
      </c>
      <c r="V55" s="85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0.054776304963434752</v>
      </c>
      <c r="W55" s="85">
        <f>IF(B55="",0,+$T55*$V55)</f>
        <v>0</v>
      </c>
      <c r="X55" s="85">
        <f>IF(B55="",0,IF(OR(H55=MappingTables!$C$34,H55=MappingTables!$C$35),W55,0))</f>
        <v>0</v>
      </c>
    </row>
    <row r="56" spans="2:24" s="0" customFormat="0" ht="15">
      <c r="B56" s="69" t="s">
        <v>3086</v>
      </c>
      <c r="C56" s="70" t="s">
        <v>3087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188</v>
      </c>
      <c r="J56" s="71">
        <f>IF(OR(I56=0,I56=""),"unrated",VLOOKUP(I56,MappingTables!$B$19:$C$31,2,FALSE))</f>
        <v>2</v>
      </c>
      <c r="K56" s="72">
        <v>28.561058536952292</v>
      </c>
      <c r="L56" s="70">
        <v>0.10684782353233968</v>
      </c>
      <c r="M56" s="71">
        <f>IF(L56&lt;1,1,L56)</f>
        <v>1</v>
      </c>
      <c r="N56" s="70" t="s">
        <v>148</v>
      </c>
      <c r="O56" s="71">
        <f>INDEX(DurClassMapping,MATCH(M56,MappingTables!$D$4:$D$8,-1),1)</f>
        <v>1</v>
      </c>
      <c r="P56" s="73">
        <f>IF(M56=$A$1,1,$M56-INDEX(MappingTables!$E$4:$E$8,MATCH(O56,MappingTables!$B$4:$B$8,0)))</f>
        <v>1</v>
      </c>
      <c r="Q56" s="71">
        <f>IF(B56="",0,INDEX(ModelParameters!$D$38:$K$42,MATCH($O56,ModelParameters!$B$6:$B$10,0),MATCH($J56,ModelParameters!$D$5:$K$5,0)))</f>
        <v>0.011000000000000002</v>
      </c>
      <c r="R56" s="71">
        <f>IF(B56="",0,INDEX(ModelParameters!$D$45:$K$49,MATCH($O56,ModelParameters!$B$13:$B$17,0),MATCH($J56,ModelParameters!$D$5:$K$5,0)))</f>
        <v>0</v>
      </c>
      <c r="S56" s="160">
        <f>IF(B56="",0,MIN(P56*Q56+R56,1))</f>
        <v>0.011000000000000002</v>
      </c>
      <c r="T56" s="85">
        <f>IF(B56="",0,$S56*$K56)</f>
        <v>0.31417164390647524</v>
      </c>
      <c r="U56" s="85">
        <f>IF(B56="",0,IF(OR(H56=MappingTables!$C$34,H56=MappingTables!$C$35),T56,0))</f>
        <v>0</v>
      </c>
      <c r="V56" s="85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0.054776304963434752</v>
      </c>
      <c r="W56" s="85">
        <f>IF(B56="",0,+$T56*$V56)</f>
        <v>0.017209161777484716</v>
      </c>
      <c r="X56" s="85">
        <f>IF(B56="",0,IF(OR(H56=MappingTables!$C$34,H56=MappingTables!$C$35),W56,0))</f>
        <v>0</v>
      </c>
    </row>
    <row r="57" spans="2:24" s="0" customFormat="0" ht="15">
      <c r="B57" s="69">
        <v>25200623</v>
      </c>
      <c r="C57" s="70" t="s">
        <v>3103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216</v>
      </c>
      <c r="J57" s="71">
        <f>IF(OR(I57=0,I57=""),"unrated",VLOOKUP(I57,MappingTables!$B$19:$C$31,2,FALSE))</f>
        <v>0</v>
      </c>
      <c r="K57" s="72">
        <v>60231.519157934888</v>
      </c>
      <c r="L57" s="70">
        <v>0.4219145275410688</v>
      </c>
      <c r="M57" s="71">
        <f>IF(L57&lt;1,1,L57)</f>
        <v>1</v>
      </c>
      <c r="N57" s="70" t="s">
        <v>148</v>
      </c>
      <c r="O57" s="71">
        <f>INDEX(DurClassMapping,MATCH(M57,MappingTables!$D$4:$D$8,-1),1)</f>
        <v>1</v>
      </c>
      <c r="P57" s="73">
        <f>IF(M57=$A$1,1,$M57-INDEX(MappingTables!$E$4:$E$8,MATCH(O57,MappingTables!$B$4:$B$8,0)))</f>
        <v>1</v>
      </c>
      <c r="Q57" s="71">
        <f>IF(B57="",0,INDEX(ModelParameters!$D$38:$K$42,MATCH($O57,ModelParameters!$B$6:$B$10,0),MATCH($J57,ModelParameters!$D$5:$K$5,0)))</f>
        <v>0</v>
      </c>
      <c r="R57" s="71">
        <f>IF(B57="",0,INDEX(ModelParameters!$D$45:$K$49,MATCH($O57,ModelParameters!$B$13:$B$17,0),MATCH($J57,ModelParameters!$D$5:$K$5,0)))</f>
        <v>0</v>
      </c>
      <c r="S57" s="160">
        <f>IF(B57="",0,MIN(P57*Q57+R57,1))</f>
        <v>0</v>
      </c>
      <c r="T57" s="85">
        <f>IF(B57="",0,$S57*$K57)</f>
        <v>0</v>
      </c>
      <c r="U57" s="85">
        <f>IF(B57="",0,IF(OR(H57=MappingTables!$C$34,H57=MappingTables!$C$35),T57,0))</f>
        <v>0</v>
      </c>
      <c r="V57" s="85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0.054776304963434752</v>
      </c>
      <c r="W57" s="85">
        <f>IF(B57="",0,+$T57*$V57)</f>
        <v>0</v>
      </c>
      <c r="X57" s="85">
        <f>IF(B57="",0,IF(OR(H57=MappingTables!$C$34,H57=MappingTables!$C$35),W57,0))</f>
        <v>0</v>
      </c>
    </row>
    <row r="58" spans="2:24" s="0" customFormat="0" ht="15">
      <c r="B58" s="69">
        <v>2983248</v>
      </c>
      <c r="C58" s="70" t="s">
        <v>3098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188</v>
      </c>
      <c r="J58" s="71">
        <f>IF(OR(I58=0,I58=""),"unrated",VLOOKUP(I58,MappingTables!$B$19:$C$31,2,FALSE))</f>
        <v>2</v>
      </c>
      <c r="K58" s="72">
        <v>16.20699851871764</v>
      </c>
      <c r="L58" s="70">
        <v>0.33698657173969008</v>
      </c>
      <c r="M58" s="71">
        <f>IF(L58&lt;1,1,L58)</f>
        <v>1</v>
      </c>
      <c r="N58" s="70" t="s">
        <v>148</v>
      </c>
      <c r="O58" s="71">
        <f>INDEX(DurClassMapping,MATCH(M58,MappingTables!$D$4:$D$8,-1),1)</f>
        <v>1</v>
      </c>
      <c r="P58" s="73">
        <f>IF(M58=$A$1,1,$M58-INDEX(MappingTables!$E$4:$E$8,MATCH(O58,MappingTables!$B$4:$B$8,0)))</f>
        <v>1</v>
      </c>
      <c r="Q58" s="71">
        <f>IF(B58="",0,INDEX(ModelParameters!$D$38:$K$42,MATCH($O58,ModelParameters!$B$6:$B$10,0),MATCH($J58,ModelParameters!$D$5:$K$5,0)))</f>
        <v>0.011000000000000002</v>
      </c>
      <c r="R58" s="71">
        <f>IF(B58="",0,INDEX(ModelParameters!$D$45:$K$49,MATCH($O58,ModelParameters!$B$13:$B$17,0),MATCH($J58,ModelParameters!$D$5:$K$5,0)))</f>
        <v>0</v>
      </c>
      <c r="S58" s="160">
        <f>IF(B58="",0,MIN(P58*Q58+R58,1))</f>
        <v>0.011000000000000002</v>
      </c>
      <c r="T58" s="85">
        <f>IF(B58="",0,$S58*$K58)</f>
        <v>0.17827698370589406</v>
      </c>
      <c r="U58" s="85">
        <f>IF(B58="",0,IF(OR(H58=MappingTables!$C$34,H58=MappingTables!$C$35),T58,0))</f>
        <v>0</v>
      </c>
      <c r="V58" s="85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0.054776304963434752</v>
      </c>
      <c r="W58" s="85">
        <f>IF(B58="",0,+$T58*$V58)</f>
        <v>0.0097653544274353408</v>
      </c>
      <c r="X58" s="85">
        <f>IF(B58="",0,IF(OR(H58=MappingTables!$C$34,H58=MappingTables!$C$35),W58,0))</f>
        <v>0</v>
      </c>
    </row>
    <row r="59" spans="2:24" s="0" customFormat="0" ht="15">
      <c r="B59" s="69">
        <v>20904570</v>
      </c>
      <c r="C59" s="70" t="s">
        <v>3057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188</v>
      </c>
      <c r="J59" s="71">
        <f>IF(OR(I59=0,I59=""),"unrated",VLOOKUP(I59,MappingTables!$B$19:$C$31,2,FALSE))</f>
        <v>2</v>
      </c>
      <c r="K59" s="72">
        <v>0.061928396593177992</v>
      </c>
      <c r="L59" s="70">
        <v>5.2793844529337624</v>
      </c>
      <c r="M59" s="71">
        <f>IF(L59&lt;1,1,L59)</f>
        <v>5.2793844529337624</v>
      </c>
      <c r="N59" s="70" t="s">
        <v>148</v>
      </c>
      <c r="O59" s="71">
        <f>INDEX(DurClassMapping,MATCH(M59,MappingTables!$D$4:$D$8,-1),1)</f>
        <v>2</v>
      </c>
      <c r="P59" s="73">
        <f>IF(M59=$A$1,1,$M59-INDEX(MappingTables!$E$4:$E$8,MATCH(O59,MappingTables!$B$4:$B$8,0)))</f>
        <v>0.2793844529337628</v>
      </c>
      <c r="Q59" s="71">
        <f>IF(B59="",0,INDEX(ModelParameters!$D$38:$K$42,MATCH($O59,ModelParameters!$B$6:$B$10,0),MATCH($J59,ModelParameters!$D$5:$K$5,0)))</f>
        <v>0.006</v>
      </c>
      <c r="R59" s="71">
        <f>IF(B59="",0,INDEX(ModelParameters!$D$45:$K$49,MATCH($O59,ModelParameters!$B$13:$B$17,0),MATCH($J59,ModelParameters!$D$5:$K$5,0)))</f>
        <v>0.055</v>
      </c>
      <c r="S59" s="160">
        <f>IF(B59="",0,MIN(P59*Q59+R59,1))</f>
        <v>0.056676306717602576</v>
      </c>
      <c r="T59" s="85">
        <f>IF(B59="",0,$S59*$K59)</f>
        <v>0.0035098727998442904</v>
      </c>
      <c r="U59" s="85">
        <f>IF(B59="",0,IF(OR(H59=MappingTables!$C$34,H59=MappingTables!$C$35),T59,0))</f>
        <v>0</v>
      </c>
      <c r="V59" s="85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0.054776304963434752</v>
      </c>
      <c r="W59" s="85">
        <f>IF(B59="",0,+$T59*$V59)</f>
        <v>0.00019225786286713544</v>
      </c>
      <c r="X59" s="85">
        <f>IF(B59="",0,IF(OR(H59=MappingTables!$C$34,H59=MappingTables!$C$35),W59,0))</f>
        <v>0</v>
      </c>
    </row>
    <row r="60" spans="2:24" s="0" customFormat="0" ht="15">
      <c r="B60" s="69">
        <v>18041120</v>
      </c>
      <c r="C60" s="70" t="s">
        <v>3085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188</v>
      </c>
      <c r="J60" s="71">
        <f>IF(OR(I60=0,I60=""),"unrated",VLOOKUP(I60,MappingTables!$B$19:$C$31,2,FALSE))</f>
        <v>2</v>
      </c>
      <c r="K60" s="72">
        <v>0.0669184345475216</v>
      </c>
      <c r="L60" s="70">
        <v>17.399077602351888</v>
      </c>
      <c r="M60" s="71">
        <f>IF(L60&lt;1,1,L60)</f>
        <v>17.399077602351888</v>
      </c>
      <c r="N60" s="70" t="s">
        <v>148</v>
      </c>
      <c r="O60" s="71">
        <f>INDEX(DurClassMapping,MATCH(M60,MappingTables!$D$4:$D$8,-1),1)</f>
        <v>4</v>
      </c>
      <c r="P60" s="73">
        <f>IF(M60=$A$1,1,$M60-INDEX(MappingTables!$E$4:$E$8,MATCH(O60,MappingTables!$B$4:$B$8,0)))</f>
        <v>2.3990776023518876</v>
      </c>
      <c r="Q60" s="71">
        <f>IF(B60="",0,INDEX(ModelParameters!$D$38:$K$42,MATCH($O60,ModelParameters!$B$6:$B$10,0),MATCH($J60,ModelParameters!$D$5:$K$5,0)))</f>
        <v>0.005</v>
      </c>
      <c r="R60" s="71">
        <f>IF(B60="",0,INDEX(ModelParameters!$D$45:$K$49,MATCH($O60,ModelParameters!$B$13:$B$17,0),MATCH($J60,ModelParameters!$D$5:$K$5,0)))</f>
        <v>0.109</v>
      </c>
      <c r="S60" s="160">
        <f>IF(B60="",0,MIN(P60*Q60+R60,1))</f>
        <v>0.12099538801175944</v>
      </c>
      <c r="T60" s="85">
        <f>IF(B60="",0,$S60*$K60)</f>
        <v>0.008096821953216904</v>
      </c>
      <c r="U60" s="85">
        <f>IF(B60="",0,IF(OR(H60=MappingTables!$C$34,H60=MappingTables!$C$35),T60,0))</f>
        <v>0</v>
      </c>
      <c r="V60" s="85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0.054776304963434752</v>
      </c>
      <c r="W60" s="85">
        <f>IF(B60="",0,+$T60*$V60)</f>
        <v>0.00044351398854404256</v>
      </c>
      <c r="X60" s="85">
        <f>IF(B60="",0,IF(OR(H60=MappingTables!$C$34,H60=MappingTables!$C$35),W60,0))</f>
        <v>0</v>
      </c>
    </row>
    <row r="61" spans="2:24" s="0" customFormat="0" ht="15">
      <c r="B61" s="69">
        <v>22185637</v>
      </c>
      <c r="C61" s="70" t="s">
        <v>3084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216</v>
      </c>
      <c r="J61" s="71">
        <f>IF(OR(I61=0,I61=""),"unrated",VLOOKUP(I61,MappingTables!$B$19:$C$31,2,FALSE))</f>
        <v>0</v>
      </c>
      <c r="K61" s="72">
        <v>10162.651553234416</v>
      </c>
      <c r="L61" s="70">
        <v>0.09589299104427152</v>
      </c>
      <c r="M61" s="71">
        <f>IF(L61&lt;1,1,L61)</f>
        <v>1</v>
      </c>
      <c r="N61" s="70" t="s">
        <v>148</v>
      </c>
      <c r="O61" s="71">
        <f>INDEX(DurClassMapping,MATCH(M61,MappingTables!$D$4:$D$8,-1),1)</f>
        <v>1</v>
      </c>
      <c r="P61" s="73">
        <f>IF(M61=$A$1,1,$M61-INDEX(MappingTables!$E$4:$E$8,MATCH(O61,MappingTables!$B$4:$B$8,0)))</f>
        <v>1</v>
      </c>
      <c r="Q61" s="71">
        <f>IF(B61="",0,INDEX(ModelParameters!$D$38:$K$42,MATCH($O61,ModelParameters!$B$6:$B$10,0),MATCH($J61,ModelParameters!$D$5:$K$5,0)))</f>
        <v>0</v>
      </c>
      <c r="R61" s="71">
        <f>IF(B61="",0,INDEX(ModelParameters!$D$45:$K$49,MATCH($O61,ModelParameters!$B$13:$B$17,0),MATCH($J61,ModelParameters!$D$5:$K$5,0)))</f>
        <v>0</v>
      </c>
      <c r="S61" s="160">
        <f>IF(B61="",0,MIN(P61*Q61+R61,1))</f>
        <v>0</v>
      </c>
      <c r="T61" s="85">
        <f>IF(B61="",0,$S61*$K61)</f>
        <v>0</v>
      </c>
      <c r="U61" s="85">
        <f>IF(B61="",0,IF(OR(H61=MappingTables!$C$34,H61=MappingTables!$C$35),T61,0))</f>
        <v>0</v>
      </c>
      <c r="V61" s="85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0.054776304963434752</v>
      </c>
      <c r="W61" s="85">
        <f>IF(B61="",0,+$T61*$V61)</f>
        <v>0</v>
      </c>
      <c r="X61" s="85">
        <f>IF(B61="",0,IF(OR(H61=MappingTables!$C$34,H61=MappingTables!$C$35),W61,0))</f>
        <v>0</v>
      </c>
    </row>
    <row r="62" spans="2:24" s="0" customFormat="0" ht="15">
      <c r="B62" s="69">
        <v>23134853</v>
      </c>
      <c r="C62" s="70" t="s">
        <v>3095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188</v>
      </c>
      <c r="J62" s="71">
        <f>IF(OR(I62=0,I62=""),"unrated",VLOOKUP(I62,MappingTables!$B$19:$C$31,2,FALSE))</f>
        <v>2</v>
      </c>
      <c r="K62" s="72">
        <v>2.643522838431816</v>
      </c>
      <c r="L62" s="70">
        <v>0.34246663267235128</v>
      </c>
      <c r="M62" s="71">
        <f>IF(L62&lt;1,1,L62)</f>
        <v>1</v>
      </c>
      <c r="N62" s="70" t="s">
        <v>148</v>
      </c>
      <c r="O62" s="71">
        <f>INDEX(DurClassMapping,MATCH(M62,MappingTables!$D$4:$D$8,-1),1)</f>
        <v>1</v>
      </c>
      <c r="P62" s="73">
        <f>IF(M62=$A$1,1,$M62-INDEX(MappingTables!$E$4:$E$8,MATCH(O62,MappingTables!$B$4:$B$8,0)))</f>
        <v>1</v>
      </c>
      <c r="Q62" s="71">
        <f>IF(B62="",0,INDEX(ModelParameters!$D$38:$K$42,MATCH($O62,ModelParameters!$B$6:$B$10,0),MATCH($J62,ModelParameters!$D$5:$K$5,0)))</f>
        <v>0.011000000000000002</v>
      </c>
      <c r="R62" s="71">
        <f>IF(B62="",0,INDEX(ModelParameters!$D$45:$K$49,MATCH($O62,ModelParameters!$B$13:$B$17,0),MATCH($J62,ModelParameters!$D$5:$K$5,0)))</f>
        <v>0</v>
      </c>
      <c r="S62" s="160">
        <f>IF(B62="",0,MIN(P62*Q62+R62,1))</f>
        <v>0.011000000000000002</v>
      </c>
      <c r="T62" s="85">
        <f>IF(B62="",0,$S62*$K62)</f>
        <v>0.02907875122274998</v>
      </c>
      <c r="U62" s="85">
        <f>IF(B62="",0,IF(OR(H62=MappingTables!$C$34,H62=MappingTables!$C$35),T62,0))</f>
        <v>0</v>
      </c>
      <c r="V62" s="85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0.054776304963434752</v>
      </c>
      <c r="W62" s="85">
        <f>IF(B62="",0,+$T62*$V62)</f>
        <v>0.0015928265449332042</v>
      </c>
      <c r="X62" s="85">
        <f>IF(B62="",0,IF(OR(H62=MappingTables!$C$34,H62=MappingTables!$C$35),W62,0))</f>
        <v>0</v>
      </c>
    </row>
    <row r="63" spans="2:24" s="0" customFormat="0" ht="15">
      <c r="B63" s="69">
        <v>22413270</v>
      </c>
      <c r="C63" s="70" t="s">
        <v>3099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216</v>
      </c>
      <c r="J63" s="71">
        <f>IF(OR(I63=0,I63=""),"unrated",VLOOKUP(I63,MappingTables!$B$19:$C$31,2,FALSE))</f>
        <v>0</v>
      </c>
      <c r="K63" s="72">
        <v>2350.803331478992</v>
      </c>
      <c r="L63" s="70">
        <v>0.17260201730238378</v>
      </c>
      <c r="M63" s="71">
        <f>IF(L63&lt;1,1,L63)</f>
        <v>1</v>
      </c>
      <c r="N63" s="70" t="s">
        <v>148</v>
      </c>
      <c r="O63" s="71">
        <f>INDEX(DurClassMapping,MATCH(M63,MappingTables!$D$4:$D$8,-1),1)</f>
        <v>1</v>
      </c>
      <c r="P63" s="73">
        <f>IF(M63=$A$1,1,$M63-INDEX(MappingTables!$E$4:$E$8,MATCH(O63,MappingTables!$B$4:$B$8,0)))</f>
        <v>1</v>
      </c>
      <c r="Q63" s="71">
        <f>IF(B63="",0,INDEX(ModelParameters!$D$38:$K$42,MATCH($O63,ModelParameters!$B$6:$B$10,0),MATCH($J63,ModelParameters!$D$5:$K$5,0)))</f>
        <v>0</v>
      </c>
      <c r="R63" s="71">
        <f>IF(B63="",0,INDEX(ModelParameters!$D$45:$K$49,MATCH($O63,ModelParameters!$B$13:$B$17,0),MATCH($J63,ModelParameters!$D$5:$K$5,0)))</f>
        <v>0</v>
      </c>
      <c r="S63" s="160">
        <f>IF(B63="",0,MIN(P63*Q63+R63,1))</f>
        <v>0</v>
      </c>
      <c r="T63" s="85">
        <f>IF(B63="",0,$S63*$K63)</f>
        <v>0</v>
      </c>
      <c r="U63" s="85">
        <f>IF(B63="",0,IF(OR(H63=MappingTables!$C$34,H63=MappingTables!$C$35),T63,0))</f>
        <v>0</v>
      </c>
      <c r="V63" s="85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0.054776304963434752</v>
      </c>
      <c r="W63" s="85">
        <f>IF(B63="",0,+$T63*$V63)</f>
        <v>0</v>
      </c>
      <c r="X63" s="85">
        <f>IF(B63="",0,IF(OR(H63=MappingTables!$C$34,H63=MappingTables!$C$35),W63,0))</f>
        <v>0</v>
      </c>
    </row>
    <row r="64" spans="2:24" s="0" customFormat="0" ht="15">
      <c r="B64" s="69" t="s">
        <v>3078</v>
      </c>
      <c r="C64" s="70" t="s">
        <v>3079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181</v>
      </c>
      <c r="J64" s="71">
        <f>IF(OR(I64=0,I64=""),"unrated",VLOOKUP(I64,MappingTables!$B$19:$C$31,2,FALSE))</f>
        <v>3</v>
      </c>
      <c r="K64" s="72">
        <v>958.77535299691344</v>
      </c>
      <c r="L64" s="70">
        <v>4.2091478394266176</v>
      </c>
      <c r="M64" s="71">
        <f>IF(L64&lt;1,1,L64)</f>
        <v>4.2091478394266176</v>
      </c>
      <c r="N64" s="70" t="s">
        <v>148</v>
      </c>
      <c r="O64" s="71">
        <f>INDEX(DurClassMapping,MATCH(M64,MappingTables!$D$4:$D$8,-1),1)</f>
        <v>1</v>
      </c>
      <c r="P64" s="73">
        <f>IF(M64=$A$1,1,$M64-INDEX(MappingTables!$E$4:$E$8,MATCH(O64,MappingTables!$B$4:$B$8,0)))</f>
        <v>4.2091478394266176</v>
      </c>
      <c r="Q64" s="71">
        <f>IF(B64="",0,INDEX(ModelParameters!$D$38:$K$42,MATCH($O64,ModelParameters!$B$6:$B$10,0),MATCH($J64,ModelParameters!$D$5:$K$5,0)))</f>
        <v>0.013999999999999998</v>
      </c>
      <c r="R64" s="71">
        <f>IF(B64="",0,INDEX(ModelParameters!$D$45:$K$49,MATCH($O64,ModelParameters!$B$13:$B$17,0),MATCH($J64,ModelParameters!$D$5:$K$5,0)))</f>
        <v>0</v>
      </c>
      <c r="S64" s="160">
        <f>IF(B64="",0,MIN(P64*Q64+R64,1))</f>
        <v>0.05892806975197264</v>
      </c>
      <c r="T64" s="85">
        <f>IF(B64="",0,$S64*$K64)</f>
        <v>56.498780877874312</v>
      </c>
      <c r="U64" s="85">
        <f>IF(B64="",0,IF(OR(H64=MappingTables!$C$34,H64=MappingTables!$C$35),T64,0))</f>
        <v>0</v>
      </c>
      <c r="V64" s="85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0.054776304963434752</v>
      </c>
      <c r="W64" s="85">
        <f>IF(B64="",0,+$T64*$V64)</f>
        <v>3.0947944514287192</v>
      </c>
      <c r="X64" s="85">
        <f>IF(B64="",0,IF(OR(H64=MappingTables!$C$34,H64=MappingTables!$C$35),W64,0))</f>
        <v>0</v>
      </c>
    </row>
    <row r="65" spans="2:24" s="0" customFormat="0" ht="15">
      <c r="B65" s="69">
        <v>23045956</v>
      </c>
      <c r="C65" s="70" t="s">
        <v>3094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216</v>
      </c>
      <c r="J65" s="71">
        <f>IF(OR(I65=0,I65=""),"unrated",VLOOKUP(I65,MappingTables!$B$19:$C$31,2,FALSE))</f>
        <v>0</v>
      </c>
      <c r="K65" s="72">
        <v>37030.088627816256</v>
      </c>
      <c r="L65" s="70">
        <v>0.32602486053973044</v>
      </c>
      <c r="M65" s="71">
        <f>IF(L65&lt;1,1,L65)</f>
        <v>1</v>
      </c>
      <c r="N65" s="70" t="s">
        <v>148</v>
      </c>
      <c r="O65" s="71">
        <f>INDEX(DurClassMapping,MATCH(M65,MappingTables!$D$4:$D$8,-1),1)</f>
        <v>1</v>
      </c>
      <c r="P65" s="73">
        <f>IF(M65=$A$1,1,$M65-INDEX(MappingTables!$E$4:$E$8,MATCH(O65,MappingTables!$B$4:$B$8,0)))</f>
        <v>1</v>
      </c>
      <c r="Q65" s="71">
        <f>IF(B65="",0,INDEX(ModelParameters!$D$38:$K$42,MATCH($O65,ModelParameters!$B$6:$B$10,0),MATCH($J65,ModelParameters!$D$5:$K$5,0)))</f>
        <v>0</v>
      </c>
      <c r="R65" s="71">
        <f>IF(B65="",0,INDEX(ModelParameters!$D$45:$K$49,MATCH($O65,ModelParameters!$B$13:$B$17,0),MATCH($J65,ModelParameters!$D$5:$K$5,0)))</f>
        <v>0</v>
      </c>
      <c r="S65" s="160">
        <f>IF(B65="",0,MIN(P65*Q65+R65,1))</f>
        <v>0</v>
      </c>
      <c r="T65" s="85">
        <f>IF(B65="",0,$S65*$K65)</f>
        <v>0</v>
      </c>
      <c r="U65" s="85">
        <f>IF(B65="",0,IF(OR(H65=MappingTables!$C$34,H65=MappingTables!$C$35),T65,0))</f>
        <v>0</v>
      </c>
      <c r="V65" s="85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0.054776304963434752</v>
      </c>
      <c r="W65" s="85">
        <f>IF(B65="",0,+$T65*$V65)</f>
        <v>0</v>
      </c>
      <c r="X65" s="85">
        <f>IF(B65="",0,IF(OR(H65=MappingTables!$C$34,H65=MappingTables!$C$35),W65,0))</f>
        <v>0</v>
      </c>
    </row>
    <row r="66" spans="2:24" s="0" customFormat="0" ht="15">
      <c r="B66" s="69">
        <v>24343663</v>
      </c>
      <c r="C66" s="70" t="s">
        <v>3101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216</v>
      </c>
      <c r="J66" s="71">
        <f>IF(OR(I66=0,I66=""),"unrated",VLOOKUP(I66,MappingTables!$B$19:$C$31,2,FALSE))</f>
        <v>0</v>
      </c>
      <c r="K66" s="72">
        <v>9659.7363051670416</v>
      </c>
      <c r="L66" s="70">
        <v>0.032879498693085456</v>
      </c>
      <c r="M66" s="71">
        <f>IF(L66&lt;1,1,L66)</f>
        <v>1</v>
      </c>
      <c r="N66" s="70" t="s">
        <v>148</v>
      </c>
      <c r="O66" s="71">
        <f>INDEX(DurClassMapping,MATCH(M66,MappingTables!$D$4:$D$8,-1),1)</f>
        <v>1</v>
      </c>
      <c r="P66" s="73">
        <f>IF(M66=$A$1,1,$M66-INDEX(MappingTables!$E$4:$E$8,MATCH(O66,MappingTables!$B$4:$B$8,0)))</f>
        <v>1</v>
      </c>
      <c r="Q66" s="71">
        <f>IF(B66="",0,INDEX(ModelParameters!$D$38:$K$42,MATCH($O66,ModelParameters!$B$6:$B$10,0),MATCH($J66,ModelParameters!$D$5:$K$5,0)))</f>
        <v>0</v>
      </c>
      <c r="R66" s="71">
        <f>IF(B66="",0,INDEX(ModelParameters!$D$45:$K$49,MATCH($O66,ModelParameters!$B$13:$B$17,0),MATCH($J66,ModelParameters!$D$5:$K$5,0)))</f>
        <v>0</v>
      </c>
      <c r="S66" s="160">
        <f>IF(B66="",0,MIN(P66*Q66+R66,1))</f>
        <v>0</v>
      </c>
      <c r="T66" s="85">
        <f>IF(B66="",0,$S66*$K66)</f>
        <v>0</v>
      </c>
      <c r="U66" s="85">
        <f>IF(B66="",0,IF(OR(H66=MappingTables!$C$34,H66=MappingTables!$C$35),T66,0))</f>
        <v>0</v>
      </c>
      <c r="V66" s="85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0.054776304963434752</v>
      </c>
      <c r="W66" s="85">
        <f>IF(B66="",0,+$T66*$V66)</f>
        <v>0</v>
      </c>
      <c r="X66" s="85">
        <f>IF(B66="",0,IF(OR(H66=MappingTables!$C$34,H66=MappingTables!$C$35),W66,0))</f>
        <v>0</v>
      </c>
    </row>
    <row r="67" spans="2:24" s="0" customFormat="0" ht="15">
      <c r="B67" s="69">
        <v>21227977</v>
      </c>
      <c r="C67" s="70" t="s">
        <v>3102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188</v>
      </c>
      <c r="J67" s="71">
        <f>IF(OR(I67=0,I67=""),"unrated",VLOOKUP(I67,MappingTables!$B$19:$C$31,2,FALSE))</f>
        <v>2</v>
      </c>
      <c r="K67" s="72">
        <v>3105.0306506599416</v>
      </c>
      <c r="L67" s="70">
        <v>26.626983879079036</v>
      </c>
      <c r="M67" s="71">
        <f>IF(L67&lt;1,1,L67)</f>
        <v>26.626983879079036</v>
      </c>
      <c r="N67" s="70" t="s">
        <v>148</v>
      </c>
      <c r="O67" s="71">
        <f>INDEX(DurClassMapping,MATCH(M67,MappingTables!$D$4:$D$8,-1),1)</f>
        <v>5</v>
      </c>
      <c r="P67" s="73">
        <f>IF(M67=$A$1,1,$M67-INDEX(MappingTables!$E$4:$E$8,MATCH(O67,MappingTables!$B$4:$B$8,0)))</f>
        <v>6.6269838790790344</v>
      </c>
      <c r="Q67" s="71">
        <f>IF(B67="",0,INDEX(ModelParameters!$D$38:$K$42,MATCH($O67,ModelParameters!$B$6:$B$10,0),MATCH($J67,ModelParameters!$D$5:$K$5,0)))</f>
        <v>0.005</v>
      </c>
      <c r="R67" s="71">
        <f>IF(B67="",0,INDEX(ModelParameters!$D$45:$K$49,MATCH($O67,ModelParameters!$B$13:$B$17,0),MATCH($J67,ModelParameters!$D$5:$K$5,0)))</f>
        <v>0.134</v>
      </c>
      <c r="S67" s="160">
        <f>IF(B67="",0,MIN(P67*Q67+R67,1))</f>
        <v>0.16713491939539518</v>
      </c>
      <c r="T67" s="85">
        <f>IF(B67="",0,$S67*$K67)</f>
        <v>518.95904751828088</v>
      </c>
      <c r="U67" s="85">
        <f>IF(B67="",0,IF(OR(H67=MappingTables!$C$34,H67=MappingTables!$C$35),T67,0))</f>
        <v>0</v>
      </c>
      <c r="V67" s="85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0.054776304963434752</v>
      </c>
      <c r="W67" s="85">
        <f>IF(B67="",0,+$T67*$V67)</f>
        <v>28.426659050394976</v>
      </c>
      <c r="X67" s="85">
        <f>IF(B67="",0,IF(OR(H67=MappingTables!$C$34,H67=MappingTables!$C$35),W67,0))</f>
        <v>0</v>
      </c>
    </row>
    <row r="68" spans="2:24" s="0" customFormat="0" ht="15">
      <c r="B68" s="69">
        <v>24306016</v>
      </c>
      <c r="C68" s="70" t="s">
        <v>3083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216</v>
      </c>
      <c r="J68" s="71">
        <f>IF(OR(I68=0,I68=""),"unrated",VLOOKUP(I68,MappingTables!$B$19:$C$31,2,FALSE))</f>
        <v>0</v>
      </c>
      <c r="K68" s="72">
        <v>40.959081438781808</v>
      </c>
      <c r="L68" s="70">
        <v>0.19177820790126652</v>
      </c>
      <c r="M68" s="71">
        <f>IF(L68&lt;1,1,L68)</f>
        <v>1</v>
      </c>
      <c r="N68" s="70" t="s">
        <v>148</v>
      </c>
      <c r="O68" s="71">
        <f>INDEX(DurClassMapping,MATCH(M68,MappingTables!$D$4:$D$8,-1),1)</f>
        <v>1</v>
      </c>
      <c r="P68" s="73">
        <f>IF(M68=$A$1,1,$M68-INDEX(MappingTables!$E$4:$E$8,MATCH(O68,MappingTables!$B$4:$B$8,0)))</f>
        <v>1</v>
      </c>
      <c r="Q68" s="71">
        <f>IF(B68="",0,INDEX(ModelParameters!$D$38:$K$42,MATCH($O68,ModelParameters!$B$6:$B$10,0),MATCH($J68,ModelParameters!$D$5:$K$5,0)))</f>
        <v>0</v>
      </c>
      <c r="R68" s="71">
        <f>IF(B68="",0,INDEX(ModelParameters!$D$45:$K$49,MATCH($O68,ModelParameters!$B$13:$B$17,0),MATCH($J68,ModelParameters!$D$5:$K$5,0)))</f>
        <v>0</v>
      </c>
      <c r="S68" s="160">
        <f>IF(B68="",0,MIN(P68*Q68+R68,1))</f>
        <v>0</v>
      </c>
      <c r="T68" s="85">
        <f>IF(B68="",0,$S68*$K68)</f>
        <v>0</v>
      </c>
      <c r="U68" s="85">
        <f>IF(B68="",0,IF(OR(H68=MappingTables!$C$34,H68=MappingTables!$C$35),T68,0))</f>
        <v>0</v>
      </c>
      <c r="V68" s="85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0.054776304963434752</v>
      </c>
      <c r="W68" s="85">
        <f>IF(B68="",0,+$T68*$V68)</f>
        <v>0</v>
      </c>
      <c r="X68" s="85">
        <f>IF(B68="",0,IF(OR(H68=MappingTables!$C$34,H68=MappingTables!$C$35),W68,0))</f>
        <v>0</v>
      </c>
    </row>
    <row r="69" spans="2:24" s="0" customFormat="0" ht="15">
      <c r="B69" s="69">
        <v>23306339</v>
      </c>
      <c r="C69" s="70" t="s">
        <v>3104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216</v>
      </c>
      <c r="J69" s="71">
        <f>IF(OR(I69=0,I69=""),"unrated",VLOOKUP(I69,MappingTables!$B$19:$C$31,2,FALSE))</f>
        <v>0</v>
      </c>
      <c r="K69" s="72">
        <v>174678.32609972256</v>
      </c>
      <c r="L69" s="70">
        <v>0.402742113099614</v>
      </c>
      <c r="M69" s="71">
        <f>IF(L69&lt;1,1,L69)</f>
        <v>1</v>
      </c>
      <c r="N69" s="70" t="s">
        <v>148</v>
      </c>
      <c r="O69" s="71">
        <f>INDEX(DurClassMapping,MATCH(M69,MappingTables!$D$4:$D$8,-1),1)</f>
        <v>1</v>
      </c>
      <c r="P69" s="73">
        <f>IF(M69=$A$1,1,$M69-INDEX(MappingTables!$E$4:$E$8,MATCH(O69,MappingTables!$B$4:$B$8,0)))</f>
        <v>1</v>
      </c>
      <c r="Q69" s="71">
        <f>IF(B69="",0,INDEX(ModelParameters!$D$38:$K$42,MATCH($O69,ModelParameters!$B$6:$B$10,0),MATCH($J69,ModelParameters!$D$5:$K$5,0)))</f>
        <v>0</v>
      </c>
      <c r="R69" s="71">
        <f>IF(B69="",0,INDEX(ModelParameters!$D$45:$K$49,MATCH($O69,ModelParameters!$B$13:$B$17,0),MATCH($J69,ModelParameters!$D$5:$K$5,0)))</f>
        <v>0</v>
      </c>
      <c r="S69" s="160">
        <f>IF(B69="",0,MIN(P69*Q69+R69,1))</f>
        <v>0</v>
      </c>
      <c r="T69" s="85">
        <f>IF(B69="",0,$S69*$K69)</f>
        <v>0</v>
      </c>
      <c r="U69" s="85">
        <f>IF(B69="",0,IF(OR(H69=MappingTables!$C$34,H69=MappingTables!$C$35),T69,0))</f>
        <v>0</v>
      </c>
      <c r="V69" s="85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0.054776304963434752</v>
      </c>
      <c r="W69" s="85">
        <f>IF(B69="",0,+$T69*$V69)</f>
        <v>0</v>
      </c>
      <c r="X69" s="85">
        <f>IF(B69="",0,IF(OR(H69=MappingTables!$C$34,H69=MappingTables!$C$35),W69,0))</f>
        <v>0</v>
      </c>
    </row>
    <row r="70" spans="2:24" s="0" customFormat="0" ht="15">
      <c r="B70" s="69">
        <v>23848887</v>
      </c>
      <c r="C70" s="70" t="s">
        <v>3105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216</v>
      </c>
      <c r="J70" s="71">
        <f>IF(OR(I70=0,I70=""),"unrated",VLOOKUP(I70,MappingTables!$B$19:$C$31,2,FALSE))</f>
        <v>0</v>
      </c>
      <c r="K70" s="72">
        <v>54715.250437006104</v>
      </c>
      <c r="L70" s="70">
        <v>0.038357316529921656</v>
      </c>
      <c r="M70" s="71">
        <f>IF(L70&lt;1,1,L70)</f>
        <v>1</v>
      </c>
      <c r="N70" s="70" t="s">
        <v>148</v>
      </c>
      <c r="O70" s="71">
        <f>INDEX(DurClassMapping,MATCH(M70,MappingTables!$D$4:$D$8,-1),1)</f>
        <v>1</v>
      </c>
      <c r="P70" s="73">
        <f>IF(M70=$A$1,1,$M70-INDEX(MappingTables!$E$4:$E$8,MATCH(O70,MappingTables!$B$4:$B$8,0)))</f>
        <v>1</v>
      </c>
      <c r="Q70" s="71">
        <f>IF(B70="",0,INDEX(ModelParameters!$D$38:$K$42,MATCH($O70,ModelParameters!$B$6:$B$10,0),MATCH($J70,ModelParameters!$D$5:$K$5,0)))</f>
        <v>0</v>
      </c>
      <c r="R70" s="71">
        <f>IF(B70="",0,INDEX(ModelParameters!$D$45:$K$49,MATCH($O70,ModelParameters!$B$13:$B$17,0),MATCH($J70,ModelParameters!$D$5:$K$5,0)))</f>
        <v>0</v>
      </c>
      <c r="S70" s="160">
        <f>IF(B70="",0,MIN(P70*Q70+R70,1))</f>
        <v>0</v>
      </c>
      <c r="T70" s="85">
        <f>IF(B70="",0,$S70*$K70)</f>
        <v>0</v>
      </c>
      <c r="U70" s="85">
        <f>IF(B70="",0,IF(OR(H70=MappingTables!$C$34,H70=MappingTables!$C$35),T70,0))</f>
        <v>0</v>
      </c>
      <c r="V70" s="85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0.054776304963434752</v>
      </c>
      <c r="W70" s="85">
        <f>IF(B70="",0,+$T70*$V70)</f>
        <v>0</v>
      </c>
      <c r="X70" s="85">
        <f>IF(B70="",0,IF(OR(H70=MappingTables!$C$34,H70=MappingTables!$C$35),W70,0))</f>
        <v>0</v>
      </c>
    </row>
    <row r="71" spans="2:24" s="0" customFormat="0" ht="15">
      <c r="B71" s="69">
        <v>20081374</v>
      </c>
      <c r="C71" s="70" t="s">
        <v>3081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188</v>
      </c>
      <c r="J71" s="71">
        <f>IF(OR(I71=0,I71=""),"unrated",VLOOKUP(I71,MappingTables!$B$19:$C$31,2,FALSE))</f>
        <v>2</v>
      </c>
      <c r="K71" s="72">
        <v>0.083716919767558672</v>
      </c>
      <c r="L71" s="70">
        <v>18.236714914504832</v>
      </c>
      <c r="M71" s="71">
        <f>IF(L71&lt;1,1,L71)</f>
        <v>18.236714914504832</v>
      </c>
      <c r="N71" s="70" t="s">
        <v>148</v>
      </c>
      <c r="O71" s="71">
        <f>INDEX(DurClassMapping,MATCH(M71,MappingTables!$D$4:$D$8,-1),1)</f>
        <v>4</v>
      </c>
      <c r="P71" s="73">
        <f>IF(M71=$A$1,1,$M71-INDEX(MappingTables!$E$4:$E$8,MATCH(O71,MappingTables!$B$4:$B$8,0)))</f>
        <v>3.23671491450483</v>
      </c>
      <c r="Q71" s="71">
        <f>IF(B71="",0,INDEX(ModelParameters!$D$38:$K$42,MATCH($O71,ModelParameters!$B$6:$B$10,0),MATCH($J71,ModelParameters!$D$5:$K$5,0)))</f>
        <v>0.005</v>
      </c>
      <c r="R71" s="71">
        <f>IF(B71="",0,INDEX(ModelParameters!$D$45:$K$49,MATCH($O71,ModelParameters!$B$13:$B$17,0),MATCH($J71,ModelParameters!$D$5:$K$5,0)))</f>
        <v>0.109</v>
      </c>
      <c r="S71" s="160">
        <f>IF(B71="",0,MIN(P71*Q71+R71,1))</f>
        <v>0.12518357457252416</v>
      </c>
      <c r="T71" s="85">
        <f>IF(B71="",0,$S71*$K71)</f>
        <v>0.010479983268704202</v>
      </c>
      <c r="U71" s="85">
        <f>IF(B71="",0,IF(OR(H71=MappingTables!$C$34,H71=MappingTables!$C$35),T71,0))</f>
        <v>0</v>
      </c>
      <c r="V71" s="85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0.054776304963434752</v>
      </c>
      <c r="W71" s="85">
        <f>IF(B71="",0,+$T71*$V71)</f>
        <v>0.0005740547595382352</v>
      </c>
      <c r="X71" s="85">
        <f>IF(B71="",0,IF(OR(H71=MappingTables!$C$34,H71=MappingTables!$C$35),W71,0))</f>
        <v>0</v>
      </c>
    </row>
    <row r="72" spans="2:24" s="0" customFormat="0" ht="15">
      <c r="B72" s="69">
        <v>18126309</v>
      </c>
      <c r="C72" s="70" t="s">
        <v>3100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216</v>
      </c>
      <c r="J72" s="71">
        <f>IF(OR(I72=0,I72=""),"unrated",VLOOKUP(I72,MappingTables!$B$19:$C$31,2,FALSE))</f>
        <v>0</v>
      </c>
      <c r="K72" s="72">
        <v>2.6511300034724688</v>
      </c>
      <c r="L72" s="70">
        <v>20.917000836326772</v>
      </c>
      <c r="M72" s="71">
        <f>IF(L72&lt;1,1,L72)</f>
        <v>20.917000836326772</v>
      </c>
      <c r="N72" s="70" t="s">
        <v>148</v>
      </c>
      <c r="O72" s="71">
        <f>INDEX(DurClassMapping,MATCH(M72,MappingTables!$D$4:$D$8,-1),1)</f>
        <v>5</v>
      </c>
      <c r="P72" s="73">
        <f>IF(M72=$A$1,1,$M72-INDEX(MappingTables!$E$4:$E$8,MATCH(O72,MappingTables!$B$4:$B$8,0)))</f>
        <v>0.9170008363267712</v>
      </c>
      <c r="Q72" s="71">
        <f>IF(B72="",0,INDEX(ModelParameters!$D$38:$K$42,MATCH($O72,ModelParameters!$B$6:$B$10,0),MATCH($J72,ModelParameters!$D$5:$K$5,0)))</f>
        <v>0</v>
      </c>
      <c r="R72" s="71">
        <f>IF(B72="",0,INDEX(ModelParameters!$D$45:$K$49,MATCH($O72,ModelParameters!$B$13:$B$17,0),MATCH($J72,ModelParameters!$D$5:$K$5,0)))</f>
        <v>0</v>
      </c>
      <c r="S72" s="160">
        <f>IF(B72="",0,MIN(P72*Q72+R72,1))</f>
        <v>0</v>
      </c>
      <c r="T72" s="85">
        <f>IF(B72="",0,$S72*$K72)</f>
        <v>0</v>
      </c>
      <c r="U72" s="85">
        <f>IF(B72="",0,IF(OR(H72=MappingTables!$C$34,H72=MappingTables!$C$35),T72,0))</f>
        <v>0</v>
      </c>
      <c r="V72" s="85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0.054776304963434752</v>
      </c>
      <c r="W72" s="85">
        <f>IF(B72="",0,+$T72*$V72)</f>
        <v>0</v>
      </c>
      <c r="X72" s="85">
        <f>IF(B72="",0,IF(OR(H72=MappingTables!$C$34,H72=MappingTables!$C$35),W72,0))</f>
        <v>0</v>
      </c>
    </row>
    <row r="73" spans="2:24" s="0" customFormat="0" ht="15">
      <c r="B73" s="69">
        <v>16064045</v>
      </c>
      <c r="C73" s="70" t="s">
        <v>3091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216</v>
      </c>
      <c r="J73" s="71">
        <f>IF(OR(I73=0,I73=""),"unrated",VLOOKUP(I73,MappingTables!$B$19:$C$31,2,FALSE))</f>
        <v>0</v>
      </c>
      <c r="K73" s="72">
        <v>1108.702594946197</v>
      </c>
      <c r="L73" s="70">
        <v>0.29315519629540236</v>
      </c>
      <c r="M73" s="71">
        <f>IF(L73&lt;1,1,L73)</f>
        <v>1</v>
      </c>
      <c r="N73" s="70" t="s">
        <v>148</v>
      </c>
      <c r="O73" s="71">
        <f>INDEX(DurClassMapping,MATCH(M73,MappingTables!$D$4:$D$8,-1),1)</f>
        <v>1</v>
      </c>
      <c r="P73" s="73">
        <f>IF(M73=$A$1,1,$M73-INDEX(MappingTables!$E$4:$E$8,MATCH(O73,MappingTables!$B$4:$B$8,0)))</f>
        <v>1</v>
      </c>
      <c r="Q73" s="71">
        <f>IF(B73="",0,INDEX(ModelParameters!$D$38:$K$42,MATCH($O73,ModelParameters!$B$6:$B$10,0),MATCH($J73,ModelParameters!$D$5:$K$5,0)))</f>
        <v>0</v>
      </c>
      <c r="R73" s="71">
        <f>IF(B73="",0,INDEX(ModelParameters!$D$45:$K$49,MATCH($O73,ModelParameters!$B$13:$B$17,0),MATCH($J73,ModelParameters!$D$5:$K$5,0)))</f>
        <v>0</v>
      </c>
      <c r="S73" s="160">
        <f>IF(B73="",0,MIN(P73*Q73+R73,1))</f>
        <v>0</v>
      </c>
      <c r="T73" s="85">
        <f>IF(B73="",0,$S73*$K73)</f>
        <v>0</v>
      </c>
      <c r="U73" s="85">
        <f>IF(B73="",0,IF(OR(H73=MappingTables!$C$34,H73=MappingTables!$C$35),T73,0))</f>
        <v>0</v>
      </c>
      <c r="V73" s="85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0.054776304963434752</v>
      </c>
      <c r="W73" s="85">
        <f>IF(B73="",0,+$T73*$V73)</f>
        <v>0</v>
      </c>
      <c r="X73" s="85">
        <f>IF(B73="",0,IF(OR(H73=MappingTables!$C$34,H73=MappingTables!$C$35),W73,0))</f>
        <v>0</v>
      </c>
    </row>
    <row r="74" spans="2:24" s="0" customFormat="0" ht="15">
      <c r="B74" s="69">
        <v>23306339</v>
      </c>
      <c r="C74" s="70" t="s">
        <v>3104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216</v>
      </c>
      <c r="J74" s="71">
        <f>IF(OR(I74=0,I74=""),"unrated",VLOOKUP(I74,MappingTables!$B$19:$C$31,2,FALSE))</f>
        <v>0</v>
      </c>
      <c r="K74" s="72">
        <v>82353.946457502336</v>
      </c>
      <c r="L74" s="70">
        <v>0.40274211309960648</v>
      </c>
      <c r="M74" s="71">
        <f>IF(L74&lt;1,1,L74)</f>
        <v>1</v>
      </c>
      <c r="N74" s="70" t="s">
        <v>148</v>
      </c>
      <c r="O74" s="71">
        <f>INDEX(DurClassMapping,MATCH(M74,MappingTables!$D$4:$D$8,-1),1)</f>
        <v>1</v>
      </c>
      <c r="P74" s="73">
        <f>IF(M74=$A$1,1,$M74-INDEX(MappingTables!$E$4:$E$8,MATCH(O74,MappingTables!$B$4:$B$8,0)))</f>
        <v>1</v>
      </c>
      <c r="Q74" s="71">
        <f>IF(B74="",0,INDEX(ModelParameters!$D$38:$K$42,MATCH($O74,ModelParameters!$B$6:$B$10,0),MATCH($J74,ModelParameters!$D$5:$K$5,0)))</f>
        <v>0</v>
      </c>
      <c r="R74" s="71">
        <f>IF(B74="",0,INDEX(ModelParameters!$D$45:$K$49,MATCH($O74,ModelParameters!$B$13:$B$17,0),MATCH($J74,ModelParameters!$D$5:$K$5,0)))</f>
        <v>0</v>
      </c>
      <c r="S74" s="160">
        <f>IF(B74="",0,MIN(P74*Q74+R74,1))</f>
        <v>0</v>
      </c>
      <c r="T74" s="85">
        <f>IF(B74="",0,$S74*$K74)</f>
        <v>0</v>
      </c>
      <c r="U74" s="85">
        <f>IF(B74="",0,IF(OR(H74=MappingTables!$C$34,H74=MappingTables!$C$35),T74,0))</f>
        <v>0</v>
      </c>
      <c r="V74" s="85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0.054776304963434752</v>
      </c>
      <c r="W74" s="85">
        <f>IF(B74="",0,+$T74*$V74)</f>
        <v>0</v>
      </c>
      <c r="X74" s="85">
        <f>IF(B74="",0,IF(OR(H74=MappingTables!$C$34,H74=MappingTables!$C$35),W74,0))</f>
        <v>0</v>
      </c>
    </row>
    <row r="75" spans="2:24" s="0" customFormat="0" ht="15">
      <c r="B75" s="69">
        <v>24359496</v>
      </c>
      <c r="C75" s="70" t="s">
        <v>3106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216</v>
      </c>
      <c r="J75" s="71">
        <f>IF(OR(I75=0,I75=""),"unrated",VLOOKUP(I75,MappingTables!$B$19:$C$31,2,FALSE))</f>
        <v>0</v>
      </c>
      <c r="K75" s="72">
        <v>1178.3756861452724</v>
      </c>
      <c r="L75" s="70">
        <v>0.21095682691362172</v>
      </c>
      <c r="M75" s="71">
        <f>IF(L75&lt;1,1,L75)</f>
        <v>1</v>
      </c>
      <c r="N75" s="70" t="s">
        <v>148</v>
      </c>
      <c r="O75" s="71">
        <f>INDEX(DurClassMapping,MATCH(M75,MappingTables!$D$4:$D$8,-1),1)</f>
        <v>1</v>
      </c>
      <c r="P75" s="73">
        <f>IF(M75=$A$1,1,$M75-INDEX(MappingTables!$E$4:$E$8,MATCH(O75,MappingTables!$B$4:$B$8,0)))</f>
        <v>1</v>
      </c>
      <c r="Q75" s="71">
        <f>IF(B75="",0,INDEX(ModelParameters!$D$38:$K$42,MATCH($O75,ModelParameters!$B$6:$B$10,0),MATCH($J75,ModelParameters!$D$5:$K$5,0)))</f>
        <v>0</v>
      </c>
      <c r="R75" s="71">
        <f>IF(B75="",0,INDEX(ModelParameters!$D$45:$K$49,MATCH($O75,ModelParameters!$B$13:$B$17,0),MATCH($J75,ModelParameters!$D$5:$K$5,0)))</f>
        <v>0</v>
      </c>
      <c r="S75" s="160">
        <f>IF(B75="",0,MIN(P75*Q75+R75,1))</f>
        <v>0</v>
      </c>
      <c r="T75" s="85">
        <f>IF(B75="",0,$S75*$K75)</f>
        <v>0</v>
      </c>
      <c r="U75" s="85">
        <f>IF(B75="",0,IF(OR(H75=MappingTables!$C$34,H75=MappingTables!$C$35),T75,0))</f>
        <v>0</v>
      </c>
      <c r="V75" s="85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0.054776304963434752</v>
      </c>
      <c r="W75" s="85">
        <f>IF(B75="",0,+$T75*$V75)</f>
        <v>0</v>
      </c>
      <c r="X75" s="85">
        <f>IF(B75="",0,IF(OR(H75=MappingTables!$C$34,H75=MappingTables!$C$35),W75,0))</f>
        <v>0</v>
      </c>
    </row>
    <row r="76" spans="2:24" s="0" customFormat="0" ht="15">
      <c r="B76" s="69">
        <v>24139040</v>
      </c>
      <c r="C76" s="70" t="s">
        <v>3096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216</v>
      </c>
      <c r="J76" s="71">
        <f>IF(OR(I76=0,I76=""),"unrated",VLOOKUP(I76,MappingTables!$B$19:$C$31,2,FALSE))</f>
        <v>0</v>
      </c>
      <c r="K76" s="72">
        <v>1863.1234083231688</v>
      </c>
      <c r="L76" s="70">
        <v>0.13425034149502432</v>
      </c>
      <c r="M76" s="71">
        <f>IF(L76&lt;1,1,L76)</f>
        <v>1</v>
      </c>
      <c r="N76" s="70" t="s">
        <v>148</v>
      </c>
      <c r="O76" s="71">
        <f>INDEX(DurClassMapping,MATCH(M76,MappingTables!$D$4:$D$8,-1),1)</f>
        <v>1</v>
      </c>
      <c r="P76" s="73">
        <f>IF(M76=$A$1,1,$M76-INDEX(MappingTables!$E$4:$E$8,MATCH(O76,MappingTables!$B$4:$B$8,0)))</f>
        <v>1</v>
      </c>
      <c r="Q76" s="71">
        <f>IF(B76="",0,INDEX(ModelParameters!$D$38:$K$42,MATCH($O76,ModelParameters!$B$6:$B$10,0),MATCH($J76,ModelParameters!$D$5:$K$5,0)))</f>
        <v>0</v>
      </c>
      <c r="R76" s="71">
        <f>IF(B76="",0,INDEX(ModelParameters!$D$45:$K$49,MATCH($O76,ModelParameters!$B$13:$B$17,0),MATCH($J76,ModelParameters!$D$5:$K$5,0)))</f>
        <v>0</v>
      </c>
      <c r="S76" s="160">
        <f>IF(B76="",0,MIN(P76*Q76+R76,1))</f>
        <v>0</v>
      </c>
      <c r="T76" s="85">
        <f>IF(B76="",0,$S76*$K76)</f>
        <v>0</v>
      </c>
      <c r="U76" s="85">
        <f>IF(B76="",0,IF(OR(H76=MappingTables!$C$34,H76=MappingTables!$C$35),T76,0))</f>
        <v>0</v>
      </c>
      <c r="V76" s="85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0.054776304963434752</v>
      </c>
      <c r="W76" s="85">
        <f>IF(B76="",0,+$T76*$V76)</f>
        <v>0</v>
      </c>
      <c r="X76" s="85">
        <f>IF(B76="",0,IF(OR(H76=MappingTables!$C$34,H76=MappingTables!$C$35),W76,0))</f>
        <v>0</v>
      </c>
    </row>
    <row r="77" spans="2:24" s="0" customFormat="0" ht="15">
      <c r="B77" s="69">
        <v>21755092</v>
      </c>
      <c r="C77" s="70" t="s">
        <v>3093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188</v>
      </c>
      <c r="J77" s="71">
        <f>IF(OR(I77=0,I77=""),"unrated",VLOOKUP(I77,MappingTables!$B$19:$C$31,2,FALSE))</f>
        <v>2</v>
      </c>
      <c r="K77" s="72">
        <v>0.051941322018349168</v>
      </c>
      <c r="L77" s="70">
        <v>17.977103011306018</v>
      </c>
      <c r="M77" s="71">
        <f>IF(L77&lt;1,1,L77)</f>
        <v>17.977103011306018</v>
      </c>
      <c r="N77" s="70" t="s">
        <v>148</v>
      </c>
      <c r="O77" s="71">
        <f>INDEX(DurClassMapping,MATCH(M77,MappingTables!$D$4:$D$8,-1),1)</f>
        <v>4</v>
      </c>
      <c r="P77" s="73">
        <f>IF(M77=$A$1,1,$M77-INDEX(MappingTables!$E$4:$E$8,MATCH(O77,MappingTables!$B$4:$B$8,0)))</f>
        <v>2.9771030113060172</v>
      </c>
      <c r="Q77" s="71">
        <f>IF(B77="",0,INDEX(ModelParameters!$D$38:$K$42,MATCH($O77,ModelParameters!$B$6:$B$10,0),MATCH($J77,ModelParameters!$D$5:$K$5,0)))</f>
        <v>0.005</v>
      </c>
      <c r="R77" s="71">
        <f>IF(B77="",0,INDEX(ModelParameters!$D$45:$K$49,MATCH($O77,ModelParameters!$B$13:$B$17,0),MATCH($J77,ModelParameters!$D$5:$K$5,0)))</f>
        <v>0.109</v>
      </c>
      <c r="S77" s="160">
        <f>IF(B77="",0,MIN(P77*Q77+R77,1))</f>
        <v>0.12388551505653008</v>
      </c>
      <c r="T77" s="85">
        <f>IF(B77="",0,$S77*$K77)</f>
        <v>0.0064347774309602736</v>
      </c>
      <c r="U77" s="85">
        <f>IF(B77="",0,IF(OR(H77=MappingTables!$C$34,H77=MappingTables!$C$35),T77,0))</f>
        <v>0</v>
      </c>
      <c r="V77" s="85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0.054776304963434752</v>
      </c>
      <c r="W77" s="85">
        <f>IF(B77="",0,+$T77*$V77)</f>
        <v>0.00035247333093010716</v>
      </c>
      <c r="X77" s="85">
        <f>IF(B77="",0,IF(OR(H77=MappingTables!$C$34,H77=MappingTables!$C$35),W77,0))</f>
        <v>0</v>
      </c>
    </row>
    <row r="78" spans="2:24" s="0" customFormat="0" ht="15">
      <c r="B78" s="69">
        <v>24190431</v>
      </c>
      <c r="C78" s="70" t="s">
        <v>3074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216</v>
      </c>
      <c r="J78" s="71">
        <f>IF(OR(I78=0,I78=""),"unrated",VLOOKUP(I78,MappingTables!$B$19:$C$31,2,FALSE))</f>
        <v>0</v>
      </c>
      <c r="K78" s="72">
        <v>5199.3145948147264</v>
      </c>
      <c r="L78" s="70">
        <v>0.15616417182453698</v>
      </c>
      <c r="M78" s="71">
        <f>IF(L78&lt;1,1,L78)</f>
        <v>1</v>
      </c>
      <c r="N78" s="70" t="s">
        <v>148</v>
      </c>
      <c r="O78" s="71">
        <f>INDEX(DurClassMapping,MATCH(M78,MappingTables!$D$4:$D$8,-1),1)</f>
        <v>1</v>
      </c>
      <c r="P78" s="73">
        <f>IF(M78=$A$1,1,$M78-INDEX(MappingTables!$E$4:$E$8,MATCH(O78,MappingTables!$B$4:$B$8,0)))</f>
        <v>1</v>
      </c>
      <c r="Q78" s="71">
        <f>IF(B78="",0,INDEX(ModelParameters!$D$38:$K$42,MATCH($O78,ModelParameters!$B$6:$B$10,0),MATCH($J78,ModelParameters!$D$5:$K$5,0)))</f>
        <v>0</v>
      </c>
      <c r="R78" s="71">
        <f>IF(B78="",0,INDEX(ModelParameters!$D$45:$K$49,MATCH($O78,ModelParameters!$B$13:$B$17,0),MATCH($J78,ModelParameters!$D$5:$K$5,0)))</f>
        <v>0</v>
      </c>
      <c r="S78" s="160">
        <f>IF(B78="",0,MIN(P78*Q78+R78,1))</f>
        <v>0</v>
      </c>
      <c r="T78" s="85">
        <f>IF(B78="",0,$S78*$K78)</f>
        <v>0</v>
      </c>
      <c r="U78" s="85">
        <f>IF(B78="",0,IF(OR(H78=MappingTables!$C$34,H78=MappingTables!$C$35),T78,0))</f>
        <v>0</v>
      </c>
      <c r="V78" s="85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0.054776304963434752</v>
      </c>
      <c r="W78" s="85">
        <f>IF(B78="",0,+$T78*$V78)</f>
        <v>0</v>
      </c>
      <c r="X78" s="85">
        <f>IF(B78="",0,IF(OR(H78=MappingTables!$C$34,H78=MappingTables!$C$35),W78,0))</f>
        <v>0</v>
      </c>
    </row>
    <row r="79" spans="2:24" s="0" customFormat="0" ht="15">
      <c r="B79" s="69">
        <v>24909349</v>
      </c>
      <c r="C79" s="70" t="s">
        <v>3090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216</v>
      </c>
      <c r="J79" s="71">
        <f>IF(OR(I79=0,I79=""),"unrated",VLOOKUP(I79,MappingTables!$B$19:$C$31,2,FALSE))</f>
        <v>0</v>
      </c>
      <c r="K79" s="72">
        <v>101088.87271352388</v>
      </c>
      <c r="L79" s="70">
        <v>0.34520477536662864</v>
      </c>
      <c r="M79" s="71">
        <f>IF(L79&lt;1,1,L79)</f>
        <v>1</v>
      </c>
      <c r="N79" s="70" t="s">
        <v>148</v>
      </c>
      <c r="O79" s="71">
        <f>INDEX(DurClassMapping,MATCH(M79,MappingTables!$D$4:$D$8,-1),1)</f>
        <v>1</v>
      </c>
      <c r="P79" s="73">
        <f>IF(M79=$A$1,1,$M79-INDEX(MappingTables!$E$4:$E$8,MATCH(O79,MappingTables!$B$4:$B$8,0)))</f>
        <v>1</v>
      </c>
      <c r="Q79" s="71">
        <f>IF(B79="",0,INDEX(ModelParameters!$D$38:$K$42,MATCH($O79,ModelParameters!$B$6:$B$10,0),MATCH($J79,ModelParameters!$D$5:$K$5,0)))</f>
        <v>0</v>
      </c>
      <c r="R79" s="71">
        <f>IF(B79="",0,INDEX(ModelParameters!$D$45:$K$49,MATCH($O79,ModelParameters!$B$13:$B$17,0),MATCH($J79,ModelParameters!$D$5:$K$5,0)))</f>
        <v>0</v>
      </c>
      <c r="S79" s="160">
        <f>IF(B79="",0,MIN(P79*Q79+R79,1))</f>
        <v>0</v>
      </c>
      <c r="T79" s="85">
        <f>IF(B79="",0,$S79*$K79)</f>
        <v>0</v>
      </c>
      <c r="U79" s="85">
        <f>IF(B79="",0,IF(OR(H79=MappingTables!$C$34,H79=MappingTables!$C$35),T79,0))</f>
        <v>0</v>
      </c>
      <c r="V79" s="85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0.054776304963434752</v>
      </c>
      <c r="W79" s="85">
        <f>IF(B79="",0,+$T79*$V79)</f>
        <v>0</v>
      </c>
      <c r="X79" s="85">
        <f>IF(B79="",0,IF(OR(H79=MappingTables!$C$34,H79=MappingTables!$C$35),W79,0))</f>
        <v>0</v>
      </c>
    </row>
    <row r="80" spans="2:24" s="0" customFormat="0" ht="15">
      <c r="B80" s="69">
        <v>24359496</v>
      </c>
      <c r="C80" s="70" t="s">
        <v>3106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216</v>
      </c>
      <c r="J80" s="71">
        <f>IF(OR(I80=0,I80=""),"unrated",VLOOKUP(I80,MappingTables!$B$19:$C$31,2,FALSE))</f>
        <v>0</v>
      </c>
      <c r="K80" s="72">
        <v>2499.4150399152064</v>
      </c>
      <c r="L80" s="70">
        <v>0.21095682691362212</v>
      </c>
      <c r="M80" s="71">
        <f>IF(L80&lt;1,1,L80)</f>
        <v>1</v>
      </c>
      <c r="N80" s="70" t="s">
        <v>148</v>
      </c>
      <c r="O80" s="71">
        <f>INDEX(DurClassMapping,MATCH(M80,MappingTables!$D$4:$D$8,-1),1)</f>
        <v>1</v>
      </c>
      <c r="P80" s="73">
        <f>IF(M80=$A$1,1,$M80-INDEX(MappingTables!$E$4:$E$8,MATCH(O80,MappingTables!$B$4:$B$8,0)))</f>
        <v>1</v>
      </c>
      <c r="Q80" s="71">
        <f>IF(B80="",0,INDEX(ModelParameters!$D$38:$K$42,MATCH($O80,ModelParameters!$B$6:$B$10,0),MATCH($J80,ModelParameters!$D$5:$K$5,0)))</f>
        <v>0</v>
      </c>
      <c r="R80" s="71">
        <f>IF(B80="",0,INDEX(ModelParameters!$D$45:$K$49,MATCH($O80,ModelParameters!$B$13:$B$17,0),MATCH($J80,ModelParameters!$D$5:$K$5,0)))</f>
        <v>0</v>
      </c>
      <c r="S80" s="160">
        <f>IF(B80="",0,MIN(P80*Q80+R80,1))</f>
        <v>0</v>
      </c>
      <c r="T80" s="85">
        <f>IF(B80="",0,$S80*$K80)</f>
        <v>0</v>
      </c>
      <c r="U80" s="85">
        <f>IF(B80="",0,IF(OR(H80=MappingTables!$C$34,H80=MappingTables!$C$35),T80,0))</f>
        <v>0</v>
      </c>
      <c r="V80" s="85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0.054776304963434752</v>
      </c>
      <c r="W80" s="85">
        <f>IF(B80="",0,+$T80*$V80)</f>
        <v>0</v>
      </c>
      <c r="X80" s="85">
        <f>IF(B80="",0,IF(OR(H80=MappingTables!$C$34,H80=MappingTables!$C$35),W80,0))</f>
        <v>0</v>
      </c>
    </row>
    <row r="81" spans="2:24" s="0" customFormat="0" ht="15">
      <c r="B81" s="69">
        <v>24674941</v>
      </c>
      <c r="C81" s="70" t="s">
        <v>3080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216</v>
      </c>
      <c r="J81" s="71">
        <f>IF(OR(I81=0,I81=""),"unrated",VLOOKUP(I81,MappingTables!$B$19:$C$31,2,FALSE))</f>
        <v>0</v>
      </c>
      <c r="K81" s="72">
        <v>2463.9727068920252</v>
      </c>
      <c r="L81" s="70">
        <v>0.28767076043663408</v>
      </c>
      <c r="M81" s="71">
        <f>IF(L81&lt;1,1,L81)</f>
        <v>1</v>
      </c>
      <c r="N81" s="70" t="s">
        <v>148</v>
      </c>
      <c r="O81" s="71">
        <f>INDEX(DurClassMapping,MATCH(M81,MappingTables!$D$4:$D$8,-1),1)</f>
        <v>1</v>
      </c>
      <c r="P81" s="73">
        <f>IF(M81=$A$1,1,$M81-INDEX(MappingTables!$E$4:$E$8,MATCH(O81,MappingTables!$B$4:$B$8,0)))</f>
        <v>1</v>
      </c>
      <c r="Q81" s="71">
        <f>IF(B81="",0,INDEX(ModelParameters!$D$38:$K$42,MATCH($O81,ModelParameters!$B$6:$B$10,0),MATCH($J81,ModelParameters!$D$5:$K$5,0)))</f>
        <v>0</v>
      </c>
      <c r="R81" s="71">
        <f>IF(B81="",0,INDEX(ModelParameters!$D$45:$K$49,MATCH($O81,ModelParameters!$B$13:$B$17,0),MATCH($J81,ModelParameters!$D$5:$K$5,0)))</f>
        <v>0</v>
      </c>
      <c r="S81" s="160">
        <f>IF(B81="",0,MIN(P81*Q81+R81,1))</f>
        <v>0</v>
      </c>
      <c r="T81" s="85">
        <f>IF(B81="",0,$S81*$K81)</f>
        <v>0</v>
      </c>
      <c r="U81" s="85">
        <f>IF(B81="",0,IF(OR(H81=MappingTables!$C$34,H81=MappingTables!$C$35),T81,0))</f>
        <v>0</v>
      </c>
      <c r="V81" s="85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0.054776304963434752</v>
      </c>
      <c r="W81" s="85">
        <f>IF(B81="",0,+$T81*$V81)</f>
        <v>0</v>
      </c>
      <c r="X81" s="85">
        <f>IF(B81="",0,IF(OR(H81=MappingTables!$C$34,H81=MappingTables!$C$35),W81,0))</f>
        <v>0</v>
      </c>
    </row>
    <row r="82" spans="2:24" s="0" customFormat="0" ht="15">
      <c r="B82" s="69">
        <v>24621131</v>
      </c>
      <c r="C82" s="70" t="s">
        <v>3097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216</v>
      </c>
      <c r="J82" s="71">
        <f>IF(OR(I82=0,I82=""),"unrated",VLOOKUP(I82,MappingTables!$B$19:$C$31,2,FALSE))</f>
        <v>0</v>
      </c>
      <c r="K82" s="72">
        <v>15379.52163444442</v>
      </c>
      <c r="L82" s="70">
        <v>0.26848954524480812</v>
      </c>
      <c r="M82" s="71">
        <f>IF(L82&lt;1,1,L82)</f>
        <v>1</v>
      </c>
      <c r="N82" s="70" t="s">
        <v>148</v>
      </c>
      <c r="O82" s="71">
        <f>INDEX(DurClassMapping,MATCH(M82,MappingTables!$D$4:$D$8,-1),1)</f>
        <v>1</v>
      </c>
      <c r="P82" s="73">
        <f>IF(M82=$A$1,1,$M82-INDEX(MappingTables!$E$4:$E$8,MATCH(O82,MappingTables!$B$4:$B$8,0)))</f>
        <v>1</v>
      </c>
      <c r="Q82" s="71">
        <f>IF(B82="",0,INDEX(ModelParameters!$D$38:$K$42,MATCH($O82,ModelParameters!$B$6:$B$10,0),MATCH($J82,ModelParameters!$D$5:$K$5,0)))</f>
        <v>0</v>
      </c>
      <c r="R82" s="71">
        <f>IF(B82="",0,INDEX(ModelParameters!$D$45:$K$49,MATCH($O82,ModelParameters!$B$13:$B$17,0),MATCH($J82,ModelParameters!$D$5:$K$5,0)))</f>
        <v>0</v>
      </c>
      <c r="S82" s="160">
        <f>IF(B82="",0,MIN(P82*Q82+R82,1))</f>
        <v>0</v>
      </c>
      <c r="T82" s="85">
        <f>IF(B82="",0,$S82*$K82)</f>
        <v>0</v>
      </c>
      <c r="U82" s="85">
        <f>IF(B82="",0,IF(OR(H82=MappingTables!$C$34,H82=MappingTables!$C$35),T82,0))</f>
        <v>0</v>
      </c>
      <c r="V82" s="85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0.054776304963434752</v>
      </c>
      <c r="W82" s="85">
        <f>IF(B82="",0,+$T82*$V82)</f>
        <v>0</v>
      </c>
      <c r="X82" s="85">
        <f>IF(B82="",0,IF(OR(H82=MappingTables!$C$34,H82=MappingTables!$C$35),W82,0))</f>
        <v>0</v>
      </c>
    </row>
    <row r="83" spans="2:24" s="0" customFormat="0" ht="15">
      <c r="B83" s="69" t="s">
        <v>3072</v>
      </c>
      <c r="C83" s="70" t="s">
        <v>3073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188</v>
      </c>
      <c r="J83" s="71">
        <f>IF(OR(I83=0,I83=""),"unrated",VLOOKUP(I83,MappingTables!$B$19:$C$31,2,FALSE))</f>
        <v>2</v>
      </c>
      <c r="K83" s="72">
        <v>28.388268528211056</v>
      </c>
      <c r="L83" s="70">
        <v>0.21095729747209808</v>
      </c>
      <c r="M83" s="71">
        <f>IF(L83&lt;1,1,L83)</f>
        <v>1</v>
      </c>
      <c r="N83" s="70" t="s">
        <v>148</v>
      </c>
      <c r="O83" s="71">
        <f>INDEX(DurClassMapping,MATCH(M83,MappingTables!$D$4:$D$8,-1),1)</f>
        <v>1</v>
      </c>
      <c r="P83" s="73">
        <f>IF(M83=$A$1,1,$M83-INDEX(MappingTables!$E$4:$E$8,MATCH(O83,MappingTables!$B$4:$B$8,0)))</f>
        <v>1</v>
      </c>
      <c r="Q83" s="71">
        <f>IF(B83="",0,INDEX(ModelParameters!$D$38:$K$42,MATCH($O83,ModelParameters!$B$6:$B$10,0),MATCH($J83,ModelParameters!$D$5:$K$5,0)))</f>
        <v>0.011000000000000002</v>
      </c>
      <c r="R83" s="71">
        <f>IF(B83="",0,INDEX(ModelParameters!$D$45:$K$49,MATCH($O83,ModelParameters!$B$13:$B$17,0),MATCH($J83,ModelParameters!$D$5:$K$5,0)))</f>
        <v>0</v>
      </c>
      <c r="S83" s="160">
        <f>IF(B83="",0,MIN(P83*Q83+R83,1))</f>
        <v>0.011000000000000002</v>
      </c>
      <c r="T83" s="85">
        <f>IF(B83="",0,$S83*$K83)</f>
        <v>0.31227095381032168</v>
      </c>
      <c r="U83" s="85">
        <f>IF(B83="",0,IF(OR(H83=MappingTables!$C$34,H83=MappingTables!$C$35),T83,0))</f>
        <v>0</v>
      </c>
      <c r="V83" s="85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0.054776304963434752</v>
      </c>
      <c r="W83" s="85">
        <f>IF(B83="",0,+$T83*$V83)</f>
        <v>0.017105048997136826</v>
      </c>
      <c r="X83" s="85">
        <f>IF(B83="",0,IF(OR(H83=MappingTables!$C$34,H83=MappingTables!$C$35),W83,0))</f>
        <v>0</v>
      </c>
    </row>
    <row r="84" spans="2:24" s="0" customFormat="0" ht="15">
      <c r="B84" s="69" t="s">
        <v>3075</v>
      </c>
      <c r="C84" s="70" t="s">
        <v>3076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188</v>
      </c>
      <c r="J84" s="71">
        <f>IF(OR(I84=0,I84=""),"unrated",VLOOKUP(I84,MappingTables!$B$19:$C$31,2,FALSE))</f>
        <v>2</v>
      </c>
      <c r="K84" s="72">
        <v>6.790945148570488</v>
      </c>
      <c r="L84" s="70">
        <v>0.51507350342767312</v>
      </c>
      <c r="M84" s="71">
        <f>IF(L84&lt;1,1,L84)</f>
        <v>1</v>
      </c>
      <c r="N84" s="70" t="s">
        <v>148</v>
      </c>
      <c r="O84" s="71">
        <f>INDEX(DurClassMapping,MATCH(M84,MappingTables!$D$4:$D$8,-1),1)</f>
        <v>1</v>
      </c>
      <c r="P84" s="73">
        <f>IF(M84=$A$1,1,$M84-INDEX(MappingTables!$E$4:$E$8,MATCH(O84,MappingTables!$B$4:$B$8,0)))</f>
        <v>1</v>
      </c>
      <c r="Q84" s="71">
        <f>IF(B84="",0,INDEX(ModelParameters!$D$38:$K$42,MATCH($O84,ModelParameters!$B$6:$B$10,0),MATCH($J84,ModelParameters!$D$5:$K$5,0)))</f>
        <v>0.011000000000000002</v>
      </c>
      <c r="R84" s="71">
        <f>IF(B84="",0,INDEX(ModelParameters!$D$45:$K$49,MATCH($O84,ModelParameters!$B$13:$B$17,0),MATCH($J84,ModelParameters!$D$5:$K$5,0)))</f>
        <v>0</v>
      </c>
      <c r="S84" s="160">
        <f>IF(B84="",0,MIN(P84*Q84+R84,1))</f>
        <v>0.011000000000000002</v>
      </c>
      <c r="T84" s="85">
        <f>IF(B84="",0,$S84*$K84)</f>
        <v>0.074700396634275376</v>
      </c>
      <c r="U84" s="85">
        <f>IF(B84="",0,IF(OR(H84=MappingTables!$C$34,H84=MappingTables!$C$35),T84,0))</f>
        <v>0</v>
      </c>
      <c r="V84" s="85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0.054776304963434752</v>
      </c>
      <c r="W84" s="85">
        <f>IF(B84="",0,+$T84*$V84)</f>
        <v>0.0040918117069286024</v>
      </c>
      <c r="X84" s="85">
        <f>IF(B84="",0,IF(OR(H84=MappingTables!$C$34,H84=MappingTables!$C$35),W84,0))</f>
        <v>0</v>
      </c>
    </row>
    <row r="85" spans="2:24" s="0" customFormat="0" ht="15">
      <c r="B85" s="69">
        <v>16627755</v>
      </c>
      <c r="C85" s="70" t="s">
        <v>3082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216</v>
      </c>
      <c r="J85" s="71">
        <f>IF(OR(I85=0,I85=""),"unrated",VLOOKUP(I85,MappingTables!$B$19:$C$31,2,FALSE))</f>
        <v>0</v>
      </c>
      <c r="K85" s="72">
        <v>21.623036967920448</v>
      </c>
      <c r="L85" s="70">
        <v>0.37808553947291288</v>
      </c>
      <c r="M85" s="71">
        <f>IF(L85&lt;1,1,L85)</f>
        <v>1</v>
      </c>
      <c r="N85" s="70" t="s">
        <v>148</v>
      </c>
      <c r="O85" s="71">
        <f>INDEX(DurClassMapping,MATCH(M85,MappingTables!$D$4:$D$8,-1),1)</f>
        <v>1</v>
      </c>
      <c r="P85" s="73">
        <f>IF(M85=$A$1,1,$M85-INDEX(MappingTables!$E$4:$E$8,MATCH(O85,MappingTables!$B$4:$B$8,0)))</f>
        <v>1</v>
      </c>
      <c r="Q85" s="71">
        <f>IF(B85="",0,INDEX(ModelParameters!$D$38:$K$42,MATCH($O85,ModelParameters!$B$6:$B$10,0),MATCH($J85,ModelParameters!$D$5:$K$5,0)))</f>
        <v>0</v>
      </c>
      <c r="R85" s="71">
        <f>IF(B85="",0,INDEX(ModelParameters!$D$45:$K$49,MATCH($O85,ModelParameters!$B$13:$B$17,0),MATCH($J85,ModelParameters!$D$5:$K$5,0)))</f>
        <v>0</v>
      </c>
      <c r="S85" s="160">
        <f>IF(B85="",0,MIN(P85*Q85+R85,1))</f>
        <v>0</v>
      </c>
      <c r="T85" s="85">
        <f>IF(B85="",0,$S85*$K85)</f>
        <v>0</v>
      </c>
      <c r="U85" s="85">
        <f>IF(B85="",0,IF(OR(H85=MappingTables!$C$34,H85=MappingTables!$C$35),T85,0))</f>
        <v>0</v>
      </c>
      <c r="V85" s="85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0.054776304963434752</v>
      </c>
      <c r="W85" s="85">
        <f>IF(B85="",0,+$T85*$V85)</f>
        <v>0</v>
      </c>
      <c r="X85" s="85">
        <f>IF(B85="",0,IF(OR(H85=MappingTables!$C$34,H85=MappingTables!$C$35),W85,0))</f>
        <v>0</v>
      </c>
    </row>
    <row r="86" spans="2:24" s="0" customFormat="0" ht="15">
      <c r="B86" s="69">
        <v>24738794</v>
      </c>
      <c r="C86" s="70" t="s">
        <v>3077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216</v>
      </c>
      <c r="J86" s="71">
        <f>IF(OR(I86=0,I86=""),"unrated",VLOOKUP(I86,MappingTables!$B$19:$C$31,2,FALSE))</f>
        <v>0</v>
      </c>
      <c r="K86" s="72">
        <v>496418.7921601804</v>
      </c>
      <c r="L86" s="70">
        <v>0.30684943039322384</v>
      </c>
      <c r="M86" s="71">
        <f>IF(L86&lt;1,1,L86)</f>
        <v>1</v>
      </c>
      <c r="N86" s="70" t="s">
        <v>148</v>
      </c>
      <c r="O86" s="71">
        <f>INDEX(DurClassMapping,MATCH(M86,MappingTables!$D$4:$D$8,-1),1)</f>
        <v>1</v>
      </c>
      <c r="P86" s="73">
        <f>IF(M86=$A$1,1,$M86-INDEX(MappingTables!$E$4:$E$8,MATCH(O86,MappingTables!$B$4:$B$8,0)))</f>
        <v>1</v>
      </c>
      <c r="Q86" s="71">
        <f>IF(B86="",0,INDEX(ModelParameters!$D$38:$K$42,MATCH($O86,ModelParameters!$B$6:$B$10,0),MATCH($J86,ModelParameters!$D$5:$K$5,0)))</f>
        <v>0</v>
      </c>
      <c r="R86" s="71">
        <f>IF(B86="",0,INDEX(ModelParameters!$D$45:$K$49,MATCH($O86,ModelParameters!$B$13:$B$17,0),MATCH($J86,ModelParameters!$D$5:$K$5,0)))</f>
        <v>0</v>
      </c>
      <c r="S86" s="160">
        <f>IF(B86="",0,MIN(P86*Q86+R86,1))</f>
        <v>0</v>
      </c>
      <c r="T86" s="85">
        <f>IF(B86="",0,$S86*$K86)</f>
        <v>0</v>
      </c>
      <c r="U86" s="85">
        <f>IF(B86="",0,IF(OR(H86=MappingTables!$C$34,H86=MappingTables!$C$35),T86,0))</f>
        <v>0</v>
      </c>
      <c r="V86" s="85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0.054776304963434752</v>
      </c>
      <c r="W86" s="85">
        <f>IF(B86="",0,+$T86*$V86)</f>
        <v>0</v>
      </c>
      <c r="X86" s="85">
        <f>IF(B86="",0,IF(OR(H86=MappingTables!$C$34,H86=MappingTables!$C$35),W86,0))</f>
        <v>0</v>
      </c>
    </row>
    <row r="87" spans="2:24" s="0" customFormat="0" ht="15">
      <c r="B87" s="69">
        <v>23848887</v>
      </c>
      <c r="C87" s="70" t="s">
        <v>3105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216</v>
      </c>
      <c r="J87" s="71">
        <f>IF(OR(I87=0,I87=""),"unrated",VLOOKUP(I87,MappingTables!$B$19:$C$31,2,FALSE))</f>
        <v>0</v>
      </c>
      <c r="K87" s="72">
        <v>116054.77053118744</v>
      </c>
      <c r="L87" s="70">
        <v>0.038357316529917008</v>
      </c>
      <c r="M87" s="71">
        <f>IF(L87&lt;1,1,L87)</f>
        <v>1</v>
      </c>
      <c r="N87" s="70" t="s">
        <v>148</v>
      </c>
      <c r="O87" s="71">
        <f>INDEX(DurClassMapping,MATCH(M87,MappingTables!$D$4:$D$8,-1),1)</f>
        <v>1</v>
      </c>
      <c r="P87" s="73">
        <f>IF(M87=$A$1,1,$M87-INDEX(MappingTables!$E$4:$E$8,MATCH(O87,MappingTables!$B$4:$B$8,0)))</f>
        <v>1</v>
      </c>
      <c r="Q87" s="71">
        <f>IF(B87="",0,INDEX(ModelParameters!$D$38:$K$42,MATCH($O87,ModelParameters!$B$6:$B$10,0),MATCH($J87,ModelParameters!$D$5:$K$5,0)))</f>
        <v>0</v>
      </c>
      <c r="R87" s="71">
        <f>IF(B87="",0,INDEX(ModelParameters!$D$45:$K$49,MATCH($O87,ModelParameters!$B$13:$B$17,0),MATCH($J87,ModelParameters!$D$5:$K$5,0)))</f>
        <v>0</v>
      </c>
      <c r="S87" s="160">
        <f>IF(B87="",0,MIN(P87*Q87+R87,1))</f>
        <v>0</v>
      </c>
      <c r="T87" s="85">
        <f>IF(B87="",0,$S87*$K87)</f>
        <v>0</v>
      </c>
      <c r="U87" s="85">
        <f>IF(B87="",0,IF(OR(H87=MappingTables!$C$34,H87=MappingTables!$C$35),T87,0))</f>
        <v>0</v>
      </c>
      <c r="V87" s="85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0.054776304963434752</v>
      </c>
      <c r="W87" s="85">
        <f>IF(B87="",0,+$T87*$V87)</f>
        <v>0</v>
      </c>
      <c r="X87" s="85">
        <f>IF(B87="",0,IF(OR(H87=MappingTables!$C$34,H87=MappingTables!$C$35),W87,0))</f>
        <v>0</v>
      </c>
    </row>
    <row r="88" spans="2:24" s="0" customFormat="0" ht="15">
      <c r="B88" s="69">
        <v>10740749</v>
      </c>
      <c r="C88" s="70" t="s">
        <v>3067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188</v>
      </c>
      <c r="J88" s="71">
        <f>IF(OR(I88=0,I88=""),"unrated",VLOOKUP(I88,MappingTables!$B$19:$C$31,2,FALSE))</f>
        <v>2</v>
      </c>
      <c r="K88" s="72">
        <v>0.1364578157795677</v>
      </c>
      <c r="L88" s="70">
        <v>4.2892954799283952</v>
      </c>
      <c r="M88" s="71">
        <f>IF(L88&lt;1,1,L88)</f>
        <v>4.2892954799283952</v>
      </c>
      <c r="N88" s="70" t="s">
        <v>148</v>
      </c>
      <c r="O88" s="71">
        <f>INDEX(DurClassMapping,MATCH(M88,MappingTables!$D$4:$D$8,-1),1)</f>
        <v>1</v>
      </c>
      <c r="P88" s="73">
        <f>IF(M88=$A$1,1,$M88-INDEX(MappingTables!$E$4:$E$8,MATCH(O88,MappingTables!$B$4:$B$8,0)))</f>
        <v>4.2892954799283952</v>
      </c>
      <c r="Q88" s="71">
        <f>IF(B88="",0,INDEX(ModelParameters!$D$38:$K$42,MATCH($O88,ModelParameters!$B$6:$B$10,0),MATCH($J88,ModelParameters!$D$5:$K$5,0)))</f>
        <v>0.011000000000000002</v>
      </c>
      <c r="R88" s="71">
        <f>IF(B88="",0,INDEX(ModelParameters!$D$45:$K$49,MATCH($O88,ModelParameters!$B$13:$B$17,0),MATCH($J88,ModelParameters!$D$5:$K$5,0)))</f>
        <v>0</v>
      </c>
      <c r="S88" s="160">
        <f>IF(B88="",0,MIN(P88*Q88+R88,1))</f>
        <v>0.047182250279212352</v>
      </c>
      <c r="T88" s="85">
        <f>IF(B88="",0,$S88*$K88)</f>
        <v>0.0064383868166662152</v>
      </c>
      <c r="U88" s="85">
        <f>IF(B88="",0,IF(OR(H88=MappingTables!$C$34,H88=MappingTables!$C$35),T88,0))</f>
        <v>0</v>
      </c>
      <c r="V88" s="85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0.054776304963434752</v>
      </c>
      <c r="W88" s="85">
        <f>IF(B88="",0,+$T88*$V88)</f>
        <v>0.00035267103974226648</v>
      </c>
      <c r="X88" s="85">
        <f>IF(B88="",0,IF(OR(H88=MappingTables!$C$34,H88=MappingTables!$C$35),W88,0))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/>
  <dimension ref="B2:AB52"/>
  <sheetViews>
    <sheetView showGridLines="0" workbookViewId="0"/>
  </sheetViews>
  <sheetFormatPr defaultColWidth="9.1484375" defaultRowHeight="12.75" customHeight="0"/>
  <cols>
    <col min="10" max="10" width="13.85546875" style="1" customWidth="1"/>
    <col min="11" max="11" width="11.71484375" style="1" customWidth="1"/>
    <col min="12" max="12" width="28.85546875" style="1" customWidth="1"/>
    <col min="15" max="15" width="12" style="1" customWidth="1"/>
    <col min="16" max="16" width="12.4296875" style="1" customWidth="1"/>
    <col min="20" max="21" width="16.14453125" style="1" customWidth="1"/>
    <col min="28" max="28" width="53.85546875" style="1" customWidth="1"/>
  </cols>
  <sheetData>
    <row r="1" s="0" customFormat="0" ht="15"/>
    <row r="2" spans="2:28" s="0" customFormat="0" ht="15">
      <c r="B2" s="200" t="s">
        <v>151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2373826</v>
      </c>
      <c r="C4" s="70" t="s">
        <v>3107</v>
      </c>
      <c r="D4" s="70" t="s">
        <v>1</v>
      </c>
      <c r="E4" s="70" t="s">
        <v>1</v>
      </c>
      <c r="F4" s="70"/>
      <c r="G4" s="70" t="s">
        <v>55</v>
      </c>
      <c r="H4" s="70" t="s">
        <v>178</v>
      </c>
      <c r="I4" s="70" t="s">
        <v>220</v>
      </c>
      <c r="J4" s="71">
        <f>IF(OR(I4=0,I4=""),"unrated",VLOOKUP(I4,MappingTables!$B$19:$C$31,2,FALSE))</f>
        <v>1</v>
      </c>
      <c r="K4" s="72">
        <v>6029820.0988769528</v>
      </c>
      <c r="L4" s="70">
        <v>8.5061139085127072</v>
      </c>
      <c r="M4" s="71">
        <f>IF(L4&lt;1,1,L4)</f>
        <v>8.5061139085127072</v>
      </c>
      <c r="N4" s="70" t="s">
        <v>151</v>
      </c>
      <c r="O4" s="71">
        <f>INDEX(DurClassMapping,MATCH(M4,MappingTables!$D$4:$D$8,-1),1)</f>
        <v>2</v>
      </c>
      <c r="P4" s="73">
        <f>IF(M4=$A$1,1,$M4-INDEX(MappingTables!$E$4:$E$8,MATCH(O4,MappingTables!$B$4:$B$8,0)))</f>
        <v>3.5061139085127076</v>
      </c>
      <c r="Q4" s="71">
        <f>IF(B4="",0,INDEX(ModelParameters!$D$70:$K$74,MATCH($O4,ModelParameters!$B$6:$B$10,0),MATCH($J4,ModelParameters!$D$5:$K$5,0)))</f>
        <v>0</v>
      </c>
      <c r="R4" s="71">
        <f>IF(B4="",0,INDEX(ModelParameters!$D$77:$K$81,MATCH($O4,ModelParameters!$B$13:$B$17,0),MATCH($J4,ModelParameters!$D$5:$K$5,0)))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0.14144277112511686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2402967</v>
      </c>
      <c r="C5" s="70" t="s">
        <v>3108</v>
      </c>
      <c r="D5" s="70" t="s">
        <v>1</v>
      </c>
      <c r="E5" s="70" t="s">
        <v>1</v>
      </c>
      <c r="F5" s="70"/>
      <c r="G5" s="70" t="s">
        <v>55</v>
      </c>
      <c r="H5" s="70" t="s">
        <v>178</v>
      </c>
      <c r="I5" s="70" t="s">
        <v>220</v>
      </c>
      <c r="J5" s="71">
        <f>IF(OR(I5=0,I5=""),"unrated",VLOOKUP(I5,MappingTables!$B$19:$C$31,2,FALSE))</f>
        <v>1</v>
      </c>
      <c r="K5" s="72">
        <v>931900.02441406256</v>
      </c>
      <c r="L5" s="70">
        <v>14.552248947980286</v>
      </c>
      <c r="M5" s="71">
        <f>IF(L5&lt;1,1,L5)</f>
        <v>14.552248947980286</v>
      </c>
      <c r="N5" s="70" t="s">
        <v>151</v>
      </c>
      <c r="O5" s="71">
        <f>INDEX(DurClassMapping,MATCH(M5,MappingTables!$D$4:$D$8,-1),1)</f>
        <v>3</v>
      </c>
      <c r="P5" s="73">
        <f>IF(M5=$A$1,1,$M5-INDEX(MappingTables!$E$4:$E$8,MATCH(O5,MappingTables!$B$4:$B$8,0)))</f>
        <v>4.5522489479802848</v>
      </c>
      <c r="Q5" s="71">
        <f>IF(B5="",0,INDEX(ModelParameters!$D$70:$K$74,MATCH($O5,ModelParameters!$B$6:$B$10,0),MATCH($J5,ModelParameters!$D$5:$K$5,0)))</f>
        <v>0</v>
      </c>
      <c r="R5" s="71">
        <f>IF(B5="",0,INDEX(ModelParameters!$D$77:$K$81,MATCH($O5,ModelParameters!$B$13:$B$17,0),MATCH($J5,ModelParameters!$D$5:$K$5,0)))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0.14144277112511686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2402964</v>
      </c>
      <c r="C6" s="70" t="s">
        <v>3109</v>
      </c>
      <c r="D6" s="70" t="s">
        <v>1</v>
      </c>
      <c r="E6" s="70" t="s">
        <v>1</v>
      </c>
      <c r="F6" s="70"/>
      <c r="G6" s="70" t="s">
        <v>55</v>
      </c>
      <c r="H6" s="70" t="s">
        <v>178</v>
      </c>
      <c r="I6" s="70" t="s">
        <v>220</v>
      </c>
      <c r="J6" s="71">
        <f>IF(OR(I6=0,I6=""),"unrated",VLOOKUP(I6,MappingTables!$B$19:$C$31,2,FALSE))</f>
        <v>1</v>
      </c>
      <c r="K6" s="72">
        <v>2948250.0457763672</v>
      </c>
      <c r="L6" s="70">
        <v>10.517924671190762</v>
      </c>
      <c r="M6" s="71">
        <f>IF(L6&lt;1,1,L6)</f>
        <v>10.517924671190762</v>
      </c>
      <c r="N6" s="70" t="s">
        <v>151</v>
      </c>
      <c r="O6" s="71">
        <f>INDEX(DurClassMapping,MATCH(M6,MappingTables!$D$4:$D$8,-1),1)</f>
        <v>3</v>
      </c>
      <c r="P6" s="73">
        <f>IF(M6=$A$1,1,$M6-INDEX(MappingTables!$E$4:$E$8,MATCH(O6,MappingTables!$B$4:$B$8,0)))</f>
        <v>0.51792467119076232</v>
      </c>
      <c r="Q6" s="71">
        <f>IF(B6="",0,INDEX(ModelParameters!$D$70:$K$74,MATCH($O6,ModelParameters!$B$6:$B$10,0),MATCH($J6,ModelParameters!$D$5:$K$5,0)))</f>
        <v>0</v>
      </c>
      <c r="R6" s="71">
        <f>IF(B6="",0,INDEX(ModelParameters!$D$77:$K$81,MATCH($O6,ModelParameters!$B$13:$B$17,0),MATCH($J6,ModelParameters!$D$5:$K$5,0)))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0.14144277112511686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356679</v>
      </c>
      <c r="C7" s="70" t="s">
        <v>3110</v>
      </c>
      <c r="D7" s="70" t="s">
        <v>1</v>
      </c>
      <c r="E7" s="70" t="s">
        <v>1</v>
      </c>
      <c r="F7" s="70"/>
      <c r="G7" s="70" t="s">
        <v>55</v>
      </c>
      <c r="H7" s="70" t="s">
        <v>178</v>
      </c>
      <c r="I7" s="70" t="s">
        <v>220</v>
      </c>
      <c r="J7" s="71">
        <f>IF(OR(I7=0,I7=""),"unrated",VLOOKUP(I7,MappingTables!$B$19:$C$31,2,FALSE))</f>
        <v>1</v>
      </c>
      <c r="K7" s="72">
        <v>1812535.3393554688</v>
      </c>
      <c r="L7" s="70">
        <v>10.73298628101237</v>
      </c>
      <c r="M7" s="71">
        <f>IF(L7&lt;1,1,L7)</f>
        <v>10.73298628101237</v>
      </c>
      <c r="N7" s="70" t="s">
        <v>151</v>
      </c>
      <c r="O7" s="71">
        <f>INDEX(DurClassMapping,MATCH(M7,MappingTables!$D$4:$D$8,-1),1)</f>
        <v>3</v>
      </c>
      <c r="P7" s="73">
        <f>IF(M7=$A$1,1,$M7-INDEX(MappingTables!$E$4:$E$8,MATCH(O7,MappingTables!$B$4:$B$8,0)))</f>
        <v>0.73298628101236928</v>
      </c>
      <c r="Q7" s="71">
        <f>IF(B7="",0,INDEX(ModelParameters!$D$70:$K$74,MATCH($O7,ModelParameters!$B$6:$B$10,0),MATCH($J7,ModelParameters!$D$5:$K$5,0)))</f>
        <v>0</v>
      </c>
      <c r="R7" s="71">
        <f>IF(B7="",0,INDEX(ModelParameters!$D$77:$K$81,MATCH($O7,ModelParameters!$B$13:$B$17,0),MATCH($J7,ModelParameters!$D$5:$K$5,0)))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0.14144277112511686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>
        <v>357822</v>
      </c>
      <c r="C8" s="70" t="s">
        <v>3111</v>
      </c>
      <c r="D8" s="70" t="s">
        <v>1</v>
      </c>
      <c r="E8" s="70" t="s">
        <v>1</v>
      </c>
      <c r="F8" s="70"/>
      <c r="G8" s="70" t="s">
        <v>55</v>
      </c>
      <c r="H8" s="70" t="s">
        <v>178</v>
      </c>
      <c r="I8" s="70" t="s">
        <v>220</v>
      </c>
      <c r="J8" s="71">
        <f>IF(OR(I8=0,I8=""),"unrated",VLOOKUP(I8,MappingTables!$B$19:$C$31,2,FALSE))</f>
        <v>1</v>
      </c>
      <c r="K8" s="72">
        <v>6100800.0183105472</v>
      </c>
      <c r="L8" s="70">
        <v>3.4938620065532656</v>
      </c>
      <c r="M8" s="71">
        <f>IF(L8&lt;1,1,L8)</f>
        <v>3.4938620065532656</v>
      </c>
      <c r="N8" s="70" t="s">
        <v>151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3.4938620065532656</v>
      </c>
      <c r="Q8" s="71">
        <f>IF(B8="",0,INDEX(ModelParameters!$D$70:$K$74,MATCH($O8,ModelParameters!$B$6:$B$10,0),MATCH($J8,ModelParameters!$D$5:$K$5,0)))</f>
        <v>0</v>
      </c>
      <c r="R8" s="71">
        <f>IF(B8="",0,INDEX(ModelParameters!$D$77:$K$81,MATCH($O8,ModelParameters!$B$13:$B$17,0),MATCH($J8,ModelParameters!$D$5:$K$5,0)))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0.14144277112511686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1043463</v>
      </c>
      <c r="C9" s="70" t="s">
        <v>3112</v>
      </c>
      <c r="D9" s="70" t="s">
        <v>1</v>
      </c>
      <c r="E9" s="70" t="s">
        <v>1</v>
      </c>
      <c r="F9" s="70"/>
      <c r="G9" s="70" t="s">
        <v>55</v>
      </c>
      <c r="H9" s="70" t="s">
        <v>178</v>
      </c>
      <c r="I9" s="70" t="s">
        <v>216</v>
      </c>
      <c r="J9" s="71">
        <f>IF(OR(I9=0,I9=""),"unrated",VLOOKUP(I9,MappingTables!$B$19:$C$31,2,FALSE))</f>
        <v>0</v>
      </c>
      <c r="K9" s="72">
        <v>6529615.1046752928</v>
      </c>
      <c r="L9" s="70">
        <v>14.46416162895684</v>
      </c>
      <c r="M9" s="71">
        <f>IF(L9&lt;1,1,L9)</f>
        <v>14.46416162895684</v>
      </c>
      <c r="N9" s="70" t="s">
        <v>151</v>
      </c>
      <c r="O9" s="71">
        <f>INDEX(DurClassMapping,MATCH(M9,MappingTables!$D$4:$D$8,-1),1)</f>
        <v>3</v>
      </c>
      <c r="P9" s="73">
        <f>IF(M9=$A$1,1,$M9-INDEX(MappingTables!$E$4:$E$8,MATCH(O9,MappingTables!$B$4:$B$8,0)))</f>
        <v>4.4641616289568392</v>
      </c>
      <c r="Q9" s="71">
        <f>IF(B9="",0,INDEX(ModelParameters!$D$70:$K$74,MATCH($O9,ModelParameters!$B$6:$B$10,0),MATCH($J9,ModelParameters!$D$5:$K$5,0)))</f>
        <v>0</v>
      </c>
      <c r="R9" s="71">
        <f>IF(B9="",0,INDEX(ModelParameters!$D$77:$K$81,MATCH($O9,ModelParameters!$B$13:$B$17,0),MATCH($J9,ModelParameters!$D$5:$K$5,0)))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0.14144277112511686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>
        <v>147412</v>
      </c>
      <c r="C10" s="70" t="s">
        <v>3113</v>
      </c>
      <c r="D10" s="70" t="s">
        <v>1</v>
      </c>
      <c r="E10" s="70" t="s">
        <v>1</v>
      </c>
      <c r="F10" s="70"/>
      <c r="G10" s="70" t="s">
        <v>55</v>
      </c>
      <c r="H10" s="70" t="s">
        <v>178</v>
      </c>
      <c r="I10" s="70" t="s">
        <v>216</v>
      </c>
      <c r="J10" s="71">
        <f>IF(OR(I10=0,I10=""),"unrated",VLOOKUP(I10,MappingTables!$B$19:$C$31,2,FALSE))</f>
        <v>0</v>
      </c>
      <c r="K10" s="72">
        <v>579506.8359375</v>
      </c>
      <c r="L10" s="70">
        <v>1.2283673999224826</v>
      </c>
      <c r="M10" s="71">
        <f>IF(L10&lt;1,1,L10)</f>
        <v>1.2283673999224826</v>
      </c>
      <c r="N10" s="70" t="s">
        <v>151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1.2283673999224826</v>
      </c>
      <c r="Q10" s="71">
        <f>IF(B10="",0,INDEX(ModelParameters!$D$70:$K$74,MATCH($O10,ModelParameters!$B$6:$B$10,0),MATCH($J10,ModelParameters!$D$5:$K$5,0)))</f>
        <v>0</v>
      </c>
      <c r="R10" s="71">
        <f>IF(B10="",0,INDEX(ModelParameters!$D$77:$K$81,MATCH($O10,ModelParameters!$B$13:$B$17,0),MATCH($J10,ModelParameters!$D$5:$K$5,0)))</f>
        <v>0</v>
      </c>
      <c r="S10" s="160">
        <f>IF(B10="",0,MIN(P10*Q10+R10,1))</f>
        <v>0</v>
      </c>
      <c r="T10" s="85">
        <f>IF(B10="",0,$S10*$K10)</f>
        <v>0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0.14144277112511686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>
        <v>147343</v>
      </c>
      <c r="C11" s="70" t="s">
        <v>3114</v>
      </c>
      <c r="D11" s="70" t="s">
        <v>1</v>
      </c>
      <c r="E11" s="70" t="s">
        <v>1</v>
      </c>
      <c r="F11" s="70"/>
      <c r="G11" s="70" t="s">
        <v>55</v>
      </c>
      <c r="H11" s="70" t="s">
        <v>178</v>
      </c>
      <c r="I11" s="70" t="s">
        <v>188</v>
      </c>
      <c r="J11" s="71">
        <f>IF(OR(I11=0,I11=""),"unrated",VLOOKUP(I11,MappingTables!$B$19:$C$31,2,FALSE))</f>
        <v>2</v>
      </c>
      <c r="K11" s="72">
        <v>5902463.9892578128</v>
      </c>
      <c r="L11" s="70">
        <v>6.1983453555142464</v>
      </c>
      <c r="M11" s="71">
        <f>IF(L11&lt;1,1,L11)</f>
        <v>6.1983453555142464</v>
      </c>
      <c r="N11" s="70" t="s">
        <v>151</v>
      </c>
      <c r="O11" s="71">
        <f>INDEX(DurClassMapping,MATCH(M11,MappingTables!$D$4:$D$8,-1),1)</f>
        <v>2</v>
      </c>
      <c r="P11" s="73">
        <f>IF(M11=$A$1,1,$M11-INDEX(MappingTables!$E$4:$E$8,MATCH(O11,MappingTables!$B$4:$B$8,0)))</f>
        <v>1.1983453555142462</v>
      </c>
      <c r="Q11" s="71">
        <f>IF(B11="",0,INDEX(ModelParameters!$D$70:$K$74,MATCH($O11,ModelParameters!$B$6:$B$10,0),MATCH($J11,ModelParameters!$D$5:$K$5,0)))</f>
        <v>0</v>
      </c>
      <c r="R11" s="71">
        <f>IF(B11="",0,INDEX(ModelParameters!$D$77:$K$81,MATCH($O11,ModelParameters!$B$13:$B$17,0),MATCH($J11,ModelParameters!$D$5:$K$5,0)))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0.14144277112511686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309831</v>
      </c>
      <c r="C12" s="70" t="s">
        <v>3115</v>
      </c>
      <c r="D12" s="70" t="s">
        <v>1</v>
      </c>
      <c r="E12" s="70" t="s">
        <v>1</v>
      </c>
      <c r="F12" s="70"/>
      <c r="G12" s="70" t="s">
        <v>55</v>
      </c>
      <c r="H12" s="70" t="s">
        <v>178</v>
      </c>
      <c r="I12" s="70" t="s">
        <v>220</v>
      </c>
      <c r="J12" s="71">
        <f>IF(OR(I12=0,I12=""),"unrated",VLOOKUP(I12,MappingTables!$B$19:$C$31,2,FALSE))</f>
        <v>1</v>
      </c>
      <c r="K12" s="72">
        <v>2494249.91607666</v>
      </c>
      <c r="L12" s="70">
        <v>7.5798423390958192</v>
      </c>
      <c r="M12" s="71">
        <f>IF(L12&lt;1,1,L12)</f>
        <v>7.5798423390958192</v>
      </c>
      <c r="N12" s="70" t="s">
        <v>151</v>
      </c>
      <c r="O12" s="71">
        <f>INDEX(DurClassMapping,MATCH(M12,MappingTables!$D$4:$D$8,-1),1)</f>
        <v>2</v>
      </c>
      <c r="P12" s="73">
        <f>IF(M12=$A$1,1,$M12-INDEX(MappingTables!$E$4:$E$8,MATCH(O12,MappingTables!$B$4:$B$8,0)))</f>
        <v>2.5798423390958192</v>
      </c>
      <c r="Q12" s="71">
        <f>IF(B12="",0,INDEX(ModelParameters!$D$70:$K$74,MATCH($O12,ModelParameters!$B$6:$B$10,0),MATCH($J12,ModelParameters!$D$5:$K$5,0)))</f>
        <v>0</v>
      </c>
      <c r="R12" s="71">
        <f>IF(B12="",0,INDEX(ModelParameters!$D$77:$K$81,MATCH($O12,ModelParameters!$B$13:$B$17,0),MATCH($J12,ModelParameters!$D$5:$K$5,0)))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0.14144277112511686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2457733</v>
      </c>
      <c r="C13" s="70" t="s">
        <v>3116</v>
      </c>
      <c r="D13" s="70" t="s">
        <v>1</v>
      </c>
      <c r="E13" s="70" t="s">
        <v>1</v>
      </c>
      <c r="F13" s="70"/>
      <c r="G13" s="70" t="s">
        <v>55</v>
      </c>
      <c r="H13" s="70" t="s">
        <v>178</v>
      </c>
      <c r="I13" s="70" t="s">
        <v>220</v>
      </c>
      <c r="J13" s="71">
        <f>IF(OR(I13=0,I13=""),"unrated",VLOOKUP(I13,MappingTables!$B$19:$C$31,2,FALSE))</f>
        <v>1</v>
      </c>
      <c r="K13" s="72">
        <v>3222342.5674438476</v>
      </c>
      <c r="L13" s="70">
        <v>9.510168704039456</v>
      </c>
      <c r="M13" s="71">
        <f>IF(L13&lt;1,1,L13)</f>
        <v>9.510168704039456</v>
      </c>
      <c r="N13" s="70" t="s">
        <v>151</v>
      </c>
      <c r="O13" s="71">
        <f>INDEX(DurClassMapping,MATCH(M13,MappingTables!$D$4:$D$8,-1),1)</f>
        <v>2</v>
      </c>
      <c r="P13" s="73">
        <f>IF(M13=$A$1,1,$M13-INDEX(MappingTables!$E$4:$E$8,MATCH(O13,MappingTables!$B$4:$B$8,0)))</f>
        <v>4.510168704039456</v>
      </c>
      <c r="Q13" s="71">
        <f>IF(B13="",0,INDEX(ModelParameters!$D$70:$K$74,MATCH($O13,ModelParameters!$B$6:$B$10,0),MATCH($J13,ModelParameters!$D$5:$K$5,0)))</f>
        <v>0</v>
      </c>
      <c r="R13" s="71">
        <f>IF(B13="",0,INDEX(ModelParameters!$D$77:$K$81,MATCH($O13,ModelParameters!$B$13:$B$17,0),MATCH($J13,ModelParameters!$D$5:$K$5,0)))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0.14144277112511686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2319641</v>
      </c>
      <c r="C14" s="70" t="s">
        <v>3117</v>
      </c>
      <c r="D14" s="70" t="s">
        <v>1</v>
      </c>
      <c r="E14" s="70" t="s">
        <v>1</v>
      </c>
      <c r="F14" s="70"/>
      <c r="G14" s="70" t="s">
        <v>55</v>
      </c>
      <c r="H14" s="70" t="s">
        <v>178</v>
      </c>
      <c r="I14" s="70" t="s">
        <v>220</v>
      </c>
      <c r="J14" s="71">
        <f>IF(OR(I14=0,I14=""),"unrated",VLOOKUP(I14,MappingTables!$B$19:$C$31,2,FALSE))</f>
        <v>1</v>
      </c>
      <c r="K14" s="72">
        <v>2839410.0952148436</v>
      </c>
      <c r="L14" s="70">
        <v>13.53966185517282</v>
      </c>
      <c r="M14" s="71">
        <f>IF(L14&lt;1,1,L14)</f>
        <v>13.53966185517282</v>
      </c>
      <c r="N14" s="70" t="s">
        <v>151</v>
      </c>
      <c r="O14" s="71">
        <f>INDEX(DurClassMapping,MATCH(M14,MappingTables!$D$4:$D$8,-1),1)</f>
        <v>3</v>
      </c>
      <c r="P14" s="73">
        <f>IF(M14=$A$1,1,$M14-INDEX(MappingTables!$E$4:$E$8,MATCH(O14,MappingTables!$B$4:$B$8,0)))</f>
        <v>3.5396618551728204</v>
      </c>
      <c r="Q14" s="71">
        <f>IF(B14="",0,INDEX(ModelParameters!$D$70:$K$74,MATCH($O14,ModelParameters!$B$6:$B$10,0),MATCH($J14,ModelParameters!$D$5:$K$5,0)))</f>
        <v>0</v>
      </c>
      <c r="R14" s="71">
        <f>IF(B14="",0,INDEX(ModelParameters!$D$77:$K$81,MATCH($O14,ModelParameters!$B$13:$B$17,0),MATCH($J14,ModelParameters!$D$5:$K$5,0)))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0.14144277112511686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2457732</v>
      </c>
      <c r="C15" s="70" t="s">
        <v>3118</v>
      </c>
      <c r="D15" s="70" t="s">
        <v>1</v>
      </c>
      <c r="E15" s="70" t="s">
        <v>1</v>
      </c>
      <c r="F15" s="70"/>
      <c r="G15" s="70" t="s">
        <v>55</v>
      </c>
      <c r="H15" s="70" t="s">
        <v>178</v>
      </c>
      <c r="I15" s="70" t="s">
        <v>220</v>
      </c>
      <c r="J15" s="71">
        <f>IF(OR(I15=0,I15=""),"unrated",VLOOKUP(I15,MappingTables!$B$19:$C$31,2,FALSE))</f>
        <v>1</v>
      </c>
      <c r="K15" s="72">
        <v>4052720.0317382816</v>
      </c>
      <c r="L15" s="70">
        <v>7.5029143551938768</v>
      </c>
      <c r="M15" s="71">
        <f>IF(L15&lt;1,1,L15)</f>
        <v>7.5029143551938768</v>
      </c>
      <c r="N15" s="70" t="s">
        <v>151</v>
      </c>
      <c r="O15" s="71">
        <f>INDEX(DurClassMapping,MATCH(M15,MappingTables!$D$4:$D$8,-1),1)</f>
        <v>2</v>
      </c>
      <c r="P15" s="73">
        <f>IF(M15=$A$1,1,$M15-INDEX(MappingTables!$E$4:$E$8,MATCH(O15,MappingTables!$B$4:$B$8,0)))</f>
        <v>2.5029143551938776</v>
      </c>
      <c r="Q15" s="71">
        <f>IF(B15="",0,INDEX(ModelParameters!$D$70:$K$74,MATCH($O15,ModelParameters!$B$6:$B$10,0),MATCH($J15,ModelParameters!$D$5:$K$5,0)))</f>
        <v>0</v>
      </c>
      <c r="R15" s="71">
        <f>IF(B15="",0,INDEX(ModelParameters!$D$77:$K$81,MATCH($O15,ModelParameters!$B$13:$B$17,0),MATCH($J15,ModelParameters!$D$5:$K$5,0)))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0.14144277112511686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>
        <v>499095</v>
      </c>
      <c r="C16" s="70" t="s">
        <v>3119</v>
      </c>
      <c r="D16" s="70" t="s">
        <v>1</v>
      </c>
      <c r="E16" s="70" t="s">
        <v>1</v>
      </c>
      <c r="F16" s="70"/>
      <c r="G16" s="70" t="s">
        <v>55</v>
      </c>
      <c r="H16" s="70" t="s">
        <v>178</v>
      </c>
      <c r="I16" s="70" t="s">
        <v>216</v>
      </c>
      <c r="J16" s="71">
        <f>IF(OR(I16=0,I16=""),"unrated",VLOOKUP(I16,MappingTables!$B$19:$C$31,2,FALSE))</f>
        <v>0</v>
      </c>
      <c r="K16" s="72">
        <v>2168213.6535644532</v>
      </c>
      <c r="L16" s="70">
        <v>1.2585325207843568</v>
      </c>
      <c r="M16" s="71">
        <f>IF(L16&lt;1,1,L16)</f>
        <v>1.2585325207843568</v>
      </c>
      <c r="N16" s="70" t="s">
        <v>151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1.2585325207843568</v>
      </c>
      <c r="Q16" s="71">
        <f>IF(B16="",0,INDEX(ModelParameters!$D$70:$K$74,MATCH($O16,ModelParameters!$B$6:$B$10,0),MATCH($J16,ModelParameters!$D$5:$K$5,0)))</f>
        <v>0</v>
      </c>
      <c r="R16" s="71">
        <f>IF(B16="",0,INDEX(ModelParameters!$D$77:$K$81,MATCH($O16,ModelParameters!$B$13:$B$17,0),MATCH($J16,ModelParameters!$D$5:$K$5,0)))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0.14144277112511686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3883660</v>
      </c>
      <c r="C17" s="70" t="s">
        <v>3120</v>
      </c>
      <c r="D17" s="70" t="s">
        <v>1</v>
      </c>
      <c r="E17" s="70" t="s">
        <v>1</v>
      </c>
      <c r="F17" s="70"/>
      <c r="G17" s="70" t="s">
        <v>55</v>
      </c>
      <c r="H17" s="70" t="s">
        <v>178</v>
      </c>
      <c r="I17" s="70" t="s">
        <v>216</v>
      </c>
      <c r="J17" s="71">
        <f>IF(OR(I17=0,I17=""),"unrated",VLOOKUP(I17,MappingTables!$B$19:$C$31,2,FALSE))</f>
        <v>0</v>
      </c>
      <c r="K17" s="72">
        <v>1538587.3413085938</v>
      </c>
      <c r="L17" s="70">
        <v>18.706208472119108</v>
      </c>
      <c r="M17" s="71">
        <f>IF(L17&lt;1,1,L17)</f>
        <v>18.706208472119108</v>
      </c>
      <c r="N17" s="70" t="s">
        <v>151</v>
      </c>
      <c r="O17" s="71">
        <f>INDEX(DurClassMapping,MATCH(M17,MappingTables!$D$4:$D$8,-1),1)</f>
        <v>4</v>
      </c>
      <c r="P17" s="73">
        <f>IF(M17=$A$1,1,$M17-INDEX(MappingTables!$E$4:$E$8,MATCH(O17,MappingTables!$B$4:$B$8,0)))</f>
        <v>3.7062084721191088</v>
      </c>
      <c r="Q17" s="71">
        <f>IF(B17="",0,INDEX(ModelParameters!$D$70:$K$74,MATCH($O17,ModelParameters!$B$6:$B$10,0),MATCH($J17,ModelParameters!$D$5:$K$5,0)))</f>
        <v>0</v>
      </c>
      <c r="R17" s="71">
        <f>IF(B17="",0,INDEX(ModelParameters!$D$77:$K$81,MATCH($O17,ModelParameters!$B$13:$B$17,0),MATCH($J17,ModelParameters!$D$5:$K$5,0)))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0.14144277112511686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2402966</v>
      </c>
      <c r="C18" s="70" t="s">
        <v>3121</v>
      </c>
      <c r="D18" s="70" t="s">
        <v>1</v>
      </c>
      <c r="E18" s="70" t="s">
        <v>1</v>
      </c>
      <c r="F18" s="70"/>
      <c r="G18" s="70" t="s">
        <v>55</v>
      </c>
      <c r="H18" s="70" t="s">
        <v>178</v>
      </c>
      <c r="I18" s="70" t="s">
        <v>220</v>
      </c>
      <c r="J18" s="71">
        <f>IF(OR(I18=0,I18=""),"unrated",VLOOKUP(I18,MappingTables!$B$19:$C$31,2,FALSE))</f>
        <v>1</v>
      </c>
      <c r="K18" s="72">
        <v>3833479.9194335936</v>
      </c>
      <c r="L18" s="70">
        <v>12.531199381732202</v>
      </c>
      <c r="M18" s="71">
        <f>IF(L18&lt;1,1,L18)</f>
        <v>12.531199381732202</v>
      </c>
      <c r="N18" s="70" t="s">
        <v>151</v>
      </c>
      <c r="O18" s="71">
        <f>INDEX(DurClassMapping,MATCH(M18,MappingTables!$D$4:$D$8,-1),1)</f>
        <v>3</v>
      </c>
      <c r="P18" s="73">
        <f>IF(M18=$A$1,1,$M18-INDEX(MappingTables!$E$4:$E$8,MATCH(O18,MappingTables!$B$4:$B$8,0)))</f>
        <v>2.5311993817322024</v>
      </c>
      <c r="Q18" s="71">
        <f>IF(B18="",0,INDEX(ModelParameters!$D$70:$K$74,MATCH($O18,ModelParameters!$B$6:$B$10,0),MATCH($J18,ModelParameters!$D$5:$K$5,0)))</f>
        <v>0</v>
      </c>
      <c r="R18" s="71">
        <f>IF(B18="",0,INDEX(ModelParameters!$D$77:$K$81,MATCH($O18,ModelParameters!$B$13:$B$17,0),MATCH($J18,ModelParameters!$D$5:$K$5,0)))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0.14144277112511686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1753192</v>
      </c>
      <c r="C19" s="70" t="s">
        <v>3122</v>
      </c>
      <c r="D19" s="70" t="s">
        <v>1</v>
      </c>
      <c r="E19" s="70" t="s">
        <v>1</v>
      </c>
      <c r="F19" s="70"/>
      <c r="G19" s="70" t="s">
        <v>55</v>
      </c>
      <c r="H19" s="70" t="s">
        <v>178</v>
      </c>
      <c r="I19" s="70" t="s">
        <v>220</v>
      </c>
      <c r="J19" s="71">
        <f>IF(OR(I19=0,I19=""),"unrated",VLOOKUP(I19,MappingTables!$B$19:$C$31,2,FALSE))</f>
        <v>1</v>
      </c>
      <c r="K19" s="72">
        <v>4083800.0488281248</v>
      </c>
      <c r="L19" s="70">
        <v>6.5004577860849168</v>
      </c>
      <c r="M19" s="71">
        <f>IF(L19&lt;1,1,L19)</f>
        <v>6.5004577860849168</v>
      </c>
      <c r="N19" s="70" t="s">
        <v>151</v>
      </c>
      <c r="O19" s="71">
        <f>INDEX(DurClassMapping,MATCH(M19,MappingTables!$D$4:$D$8,-1),1)</f>
        <v>2</v>
      </c>
      <c r="P19" s="73">
        <f>IF(M19=$A$1,1,$M19-INDEX(MappingTables!$E$4:$E$8,MATCH(O19,MappingTables!$B$4:$B$8,0)))</f>
        <v>1.500457786084917</v>
      </c>
      <c r="Q19" s="71">
        <f>IF(B19="",0,INDEX(ModelParameters!$D$70:$K$74,MATCH($O19,ModelParameters!$B$6:$B$10,0),MATCH($J19,ModelParameters!$D$5:$K$5,0)))</f>
        <v>0</v>
      </c>
      <c r="R19" s="71">
        <f>IF(B19="",0,INDEX(ModelParameters!$D$77:$K$81,MATCH($O19,ModelParameters!$B$13:$B$17,0),MATCH($J19,ModelParameters!$D$5:$K$5,0)))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0.14144277112511686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497663</v>
      </c>
      <c r="C20" s="70" t="s">
        <v>3123</v>
      </c>
      <c r="D20" s="70" t="s">
        <v>1</v>
      </c>
      <c r="E20" s="70" t="s">
        <v>1</v>
      </c>
      <c r="F20" s="70"/>
      <c r="G20" s="70" t="s">
        <v>55</v>
      </c>
      <c r="H20" s="70" t="s">
        <v>178</v>
      </c>
      <c r="I20" s="70" t="s">
        <v>181</v>
      </c>
      <c r="J20" s="71">
        <f>IF(OR(I20=0,I20=""),"unrated",VLOOKUP(I20,MappingTables!$B$19:$C$31,2,FALSE))</f>
        <v>3</v>
      </c>
      <c r="K20" s="72">
        <v>1002255.7830810546</v>
      </c>
      <c r="L20" s="70">
        <v>2.8387387855779128</v>
      </c>
      <c r="M20" s="71">
        <f>IF(L20&lt;1,1,L20)</f>
        <v>2.8387387855779128</v>
      </c>
      <c r="N20" s="70" t="s">
        <v>151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2.8387387855779128</v>
      </c>
      <c r="Q20" s="71">
        <f>IF(B20="",0,INDEX(ModelParameters!$D$70:$K$74,MATCH($O20,ModelParameters!$B$6:$B$10,0),MATCH($J20,ModelParameters!$D$5:$K$5,0)))</f>
        <v>0</v>
      </c>
      <c r="R20" s="71">
        <f>IF(B20="",0,INDEX(ModelParameters!$D$77:$K$81,MATCH($O20,ModelParameters!$B$13:$B$17,0),MATCH($J20,ModelParameters!$D$5:$K$5,0)))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0.14144277112511686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>
        <v>961384</v>
      </c>
      <c r="C21" s="70" t="s">
        <v>3124</v>
      </c>
      <c r="D21" s="70" t="s">
        <v>1</v>
      </c>
      <c r="E21" s="70" t="s">
        <v>1</v>
      </c>
      <c r="F21" s="70"/>
      <c r="G21" s="70" t="s">
        <v>55</v>
      </c>
      <c r="H21" s="70" t="s">
        <v>178</v>
      </c>
      <c r="I21" s="70" t="s">
        <v>181</v>
      </c>
      <c r="J21" s="71">
        <f>IF(OR(I21=0,I21=""),"unrated",VLOOKUP(I21,MappingTables!$B$19:$C$31,2,FALSE))</f>
        <v>3</v>
      </c>
      <c r="K21" s="72">
        <v>1654228.2485961914</v>
      </c>
      <c r="L21" s="70">
        <v>1.7708810465015002</v>
      </c>
      <c r="M21" s="71">
        <f>IF(L21&lt;1,1,L21)</f>
        <v>1.7708810465015002</v>
      </c>
      <c r="N21" s="70" t="s">
        <v>151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1.7708810465015002</v>
      </c>
      <c r="Q21" s="71">
        <f>IF(B21="",0,INDEX(ModelParameters!$D$70:$K$74,MATCH($O21,ModelParameters!$B$6:$B$10,0),MATCH($J21,ModelParameters!$D$5:$K$5,0)))</f>
        <v>0</v>
      </c>
      <c r="R21" s="71">
        <f>IF(B21="",0,INDEX(ModelParameters!$D$77:$K$81,MATCH($O21,ModelParameters!$B$13:$B$17,0),MATCH($J21,ModelParameters!$D$5:$K$5,0)))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0.14144277112511686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404965</v>
      </c>
      <c r="C22" s="70" t="s">
        <v>3125</v>
      </c>
      <c r="D22" s="70" t="s">
        <v>1</v>
      </c>
      <c r="E22" s="70" t="s">
        <v>1</v>
      </c>
      <c r="F22" s="70"/>
      <c r="G22" s="70" t="s">
        <v>55</v>
      </c>
      <c r="H22" s="70" t="s">
        <v>178</v>
      </c>
      <c r="I22" s="70" t="s">
        <v>216</v>
      </c>
      <c r="J22" s="71">
        <f>IF(OR(I22=0,I22=""),"unrated",VLOOKUP(I22,MappingTables!$B$19:$C$31,2,FALSE))</f>
        <v>0</v>
      </c>
      <c r="K22" s="72">
        <v>4939018.2495117184</v>
      </c>
      <c r="L22" s="70">
        <v>12.341815384472796</v>
      </c>
      <c r="M22" s="71">
        <f>IF(L22&lt;1,1,L22)</f>
        <v>12.341815384472796</v>
      </c>
      <c r="N22" s="70" t="s">
        <v>151</v>
      </c>
      <c r="O22" s="71">
        <f>INDEX(DurClassMapping,MATCH(M22,MappingTables!$D$4:$D$8,-1),1)</f>
        <v>3</v>
      </c>
      <c r="P22" s="73">
        <f>IF(M22=$A$1,1,$M22-INDEX(MappingTables!$E$4:$E$8,MATCH(O22,MappingTables!$B$4:$B$8,0)))</f>
        <v>2.3418153844727952</v>
      </c>
      <c r="Q22" s="71">
        <f>IF(B22="",0,INDEX(ModelParameters!$D$70:$K$74,MATCH($O22,ModelParameters!$B$6:$B$10,0),MATCH($J22,ModelParameters!$D$5:$K$5,0)))</f>
        <v>0</v>
      </c>
      <c r="R22" s="71">
        <f>IF(B22="",0,INDEX(ModelParameters!$D$77:$K$81,MATCH($O22,ModelParameters!$B$13:$B$17,0),MATCH($J22,ModelParameters!$D$5:$K$5,0)))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0.14144277112511686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>
        <v>2402965</v>
      </c>
      <c r="C23" s="70" t="s">
        <v>3126</v>
      </c>
      <c r="D23" s="70" t="s">
        <v>1</v>
      </c>
      <c r="E23" s="70" t="s">
        <v>1</v>
      </c>
      <c r="F23" s="70"/>
      <c r="G23" s="70" t="s">
        <v>55</v>
      </c>
      <c r="H23" s="70" t="s">
        <v>178</v>
      </c>
      <c r="I23" s="70" t="s">
        <v>220</v>
      </c>
      <c r="J23" s="71">
        <f>IF(OR(I23=0,I23=""),"unrated",VLOOKUP(I23,MappingTables!$B$19:$C$31,2,FALSE))</f>
        <v>1</v>
      </c>
      <c r="K23" s="72">
        <v>3871799.9267578128</v>
      </c>
      <c r="L23" s="70">
        <v>11.523984099141854</v>
      </c>
      <c r="M23" s="71">
        <f>IF(L23&lt;1,1,L23)</f>
        <v>11.523984099141854</v>
      </c>
      <c r="N23" s="70" t="s">
        <v>151</v>
      </c>
      <c r="O23" s="71">
        <f>INDEX(DurClassMapping,MATCH(M23,MappingTables!$D$4:$D$8,-1),1)</f>
        <v>3</v>
      </c>
      <c r="P23" s="73">
        <f>IF(M23=$A$1,1,$M23-INDEX(MappingTables!$E$4:$E$8,MATCH(O23,MappingTables!$B$4:$B$8,0)))</f>
        <v>1.5239840991418542</v>
      </c>
      <c r="Q23" s="71">
        <f>IF(B23="",0,INDEX(ModelParameters!$D$70:$K$74,MATCH($O23,ModelParameters!$B$6:$B$10,0),MATCH($J23,ModelParameters!$D$5:$K$5,0)))</f>
        <v>0</v>
      </c>
      <c r="R23" s="71">
        <f>IF(B23="",0,INDEX(ModelParameters!$D$77:$K$81,MATCH($O23,ModelParameters!$B$13:$B$17,0),MATCH($J23,ModelParameters!$D$5:$K$5,0)))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0.14144277112511686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>
        <v>421102</v>
      </c>
      <c r="C24" s="70" t="s">
        <v>3127</v>
      </c>
      <c r="D24" s="70" t="s">
        <v>1</v>
      </c>
      <c r="E24" s="70" t="s">
        <v>1</v>
      </c>
      <c r="F24" s="70"/>
      <c r="G24" s="70" t="s">
        <v>55</v>
      </c>
      <c r="H24" s="70" t="s">
        <v>178</v>
      </c>
      <c r="I24" s="70" t="s">
        <v>220</v>
      </c>
      <c r="J24" s="71">
        <f>IF(OR(I24=0,I24=""),"unrated",VLOOKUP(I24,MappingTables!$B$19:$C$31,2,FALSE))</f>
        <v>1</v>
      </c>
      <c r="K24" s="72">
        <v>2028000.030517578</v>
      </c>
      <c r="L24" s="70">
        <v>3.5706205413845368</v>
      </c>
      <c r="M24" s="71">
        <f>IF(L24&lt;1,1,L24)</f>
        <v>3.5706205413845368</v>
      </c>
      <c r="N24" s="70" t="s">
        <v>151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3.5706205413845368</v>
      </c>
      <c r="Q24" s="71">
        <f>IF(B24="",0,INDEX(ModelParameters!$D$70:$K$74,MATCH($O24,ModelParameters!$B$6:$B$10,0),MATCH($J24,ModelParameters!$D$5:$K$5,0)))</f>
        <v>0</v>
      </c>
      <c r="R24" s="71">
        <f>IF(B24="",0,INDEX(ModelParameters!$D$77:$K$81,MATCH($O24,ModelParameters!$B$13:$B$17,0),MATCH($J24,ModelParameters!$D$5:$K$5,0)))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0.14144277112511686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>
        <v>357823</v>
      </c>
      <c r="C25" s="70" t="s">
        <v>3128</v>
      </c>
      <c r="D25" s="70" t="s">
        <v>1</v>
      </c>
      <c r="E25" s="70" t="s">
        <v>1</v>
      </c>
      <c r="F25" s="70"/>
      <c r="G25" s="70" t="s">
        <v>55</v>
      </c>
      <c r="H25" s="70" t="s">
        <v>178</v>
      </c>
      <c r="I25" s="70" t="s">
        <v>220</v>
      </c>
      <c r="J25" s="71">
        <f>IF(OR(I25=0,I25=""),"unrated",VLOOKUP(I25,MappingTables!$B$19:$C$31,2,FALSE))</f>
        <v>1</v>
      </c>
      <c r="K25" s="72">
        <v>4089599.9145507816</v>
      </c>
      <c r="L25" s="70">
        <v>4.4946604311190056</v>
      </c>
      <c r="M25" s="71">
        <f>IF(L25&lt;1,1,L25)</f>
        <v>4.4946604311190056</v>
      </c>
      <c r="N25" s="70" t="s">
        <v>151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4.4946604311190056</v>
      </c>
      <c r="Q25" s="71">
        <f>IF(B25="",0,INDEX(ModelParameters!$D$70:$K$74,MATCH($O25,ModelParameters!$B$6:$B$10,0),MATCH($J25,ModelParameters!$D$5:$K$5,0)))</f>
        <v>0</v>
      </c>
      <c r="R25" s="71">
        <f>IF(B25="",0,INDEX(ModelParameters!$D$77:$K$81,MATCH($O25,ModelParameters!$B$13:$B$17,0),MATCH($J25,ModelParameters!$D$5:$K$5,0)))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0.14144277112511686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>
        <v>629102</v>
      </c>
      <c r="C26" s="70" t="s">
        <v>3129</v>
      </c>
      <c r="D26" s="70" t="s">
        <v>1</v>
      </c>
      <c r="E26" s="70" t="s">
        <v>1</v>
      </c>
      <c r="F26" s="70"/>
      <c r="G26" s="70" t="s">
        <v>55</v>
      </c>
      <c r="H26" s="70" t="s">
        <v>178</v>
      </c>
      <c r="I26" s="70" t="s">
        <v>216</v>
      </c>
      <c r="J26" s="71">
        <f>IF(OR(I26=0,I26=""),"unrated",VLOOKUP(I26,MappingTables!$B$19:$C$31,2,FALSE))</f>
        <v>0</v>
      </c>
      <c r="K26" s="72">
        <v>7748033.0200195312</v>
      </c>
      <c r="L26" s="70">
        <v>14.06258028899141</v>
      </c>
      <c r="M26" s="71">
        <f>IF(L26&lt;1,1,L26)</f>
        <v>14.06258028899141</v>
      </c>
      <c r="N26" s="70" t="s">
        <v>151</v>
      </c>
      <c r="O26" s="71">
        <f>INDEX(DurClassMapping,MATCH(M26,MappingTables!$D$4:$D$8,-1),1)</f>
        <v>3</v>
      </c>
      <c r="P26" s="73">
        <f>IF(M26=$A$1,1,$M26-INDEX(MappingTables!$E$4:$E$8,MATCH(O26,MappingTables!$B$4:$B$8,0)))</f>
        <v>4.0625802889914112</v>
      </c>
      <c r="Q26" s="71">
        <f>IF(B26="",0,INDEX(ModelParameters!$D$70:$K$74,MATCH($O26,ModelParameters!$B$6:$B$10,0),MATCH($J26,ModelParameters!$D$5:$K$5,0)))</f>
        <v>0</v>
      </c>
      <c r="R26" s="71">
        <f>IF(B26="",0,INDEX(ModelParameters!$D$77:$K$81,MATCH($O26,ModelParameters!$B$13:$B$17,0),MATCH($J26,ModelParameters!$D$5:$K$5,0)))</f>
        <v>0</v>
      </c>
      <c r="S26" s="160">
        <f>IF(B26="",0,MIN(P26*Q26+R26,1))</f>
        <v>0</v>
      </c>
      <c r="T26" s="85">
        <f>IF(B26="",0,$S26*$K26)</f>
        <v>0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0.14144277112511686</v>
      </c>
      <c r="W26" s="85">
        <f>IF(B26="",0,+$T26*$V26)</f>
        <v>0</v>
      </c>
      <c r="X26" s="85">
        <f>IF(B26="",0,IF(OR(H26=MappingTables!$C$34,H26=MappingTables!$C$35),W26,0))</f>
        <v>0</v>
      </c>
    </row>
    <row r="27" spans="2:24" s="0" customFormat="0" ht="15">
      <c r="B27" s="69">
        <v>421101</v>
      </c>
      <c r="C27" s="70" t="s">
        <v>3130</v>
      </c>
      <c r="D27" s="70" t="s">
        <v>1</v>
      </c>
      <c r="E27" s="70" t="s">
        <v>1</v>
      </c>
      <c r="F27" s="70"/>
      <c r="G27" s="70" t="s">
        <v>55</v>
      </c>
      <c r="H27" s="70" t="s">
        <v>178</v>
      </c>
      <c r="I27" s="70" t="s">
        <v>220</v>
      </c>
      <c r="J27" s="71">
        <f>IF(OR(I27=0,I27=""),"unrated",VLOOKUP(I27,MappingTables!$B$19:$C$31,2,FALSE))</f>
        <v>1</v>
      </c>
      <c r="K27" s="72">
        <v>3048600.0823974608</v>
      </c>
      <c r="L27" s="70">
        <v>4.5714539476860192</v>
      </c>
      <c r="M27" s="71">
        <f>IF(L27&lt;1,1,L27)</f>
        <v>4.5714539476860192</v>
      </c>
      <c r="N27" s="70" t="s">
        <v>151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4.5714539476860192</v>
      </c>
      <c r="Q27" s="71">
        <f>IF(B27="",0,INDEX(ModelParameters!$D$70:$K$74,MATCH($O27,ModelParameters!$B$6:$B$10,0),MATCH($J27,ModelParameters!$D$5:$K$5,0)))</f>
        <v>0</v>
      </c>
      <c r="R27" s="71">
        <f>IF(B27="",0,INDEX(ModelParameters!$D$77:$K$81,MATCH($O27,ModelParameters!$B$13:$B$17,0),MATCH($J27,ModelParameters!$D$5:$K$5,0)))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0.14144277112511686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477552</v>
      </c>
      <c r="C28" s="70" t="s">
        <v>3131</v>
      </c>
      <c r="D28" s="70" t="s">
        <v>1</v>
      </c>
      <c r="E28" s="70" t="s">
        <v>1</v>
      </c>
      <c r="F28" s="70"/>
      <c r="G28" s="70" t="s">
        <v>55</v>
      </c>
      <c r="H28" s="70" t="s">
        <v>178</v>
      </c>
      <c r="I28" s="70" t="s">
        <v>216</v>
      </c>
      <c r="J28" s="71">
        <f>IF(OR(I28=0,I28=""),"unrated",VLOOKUP(I28,MappingTables!$B$19:$C$31,2,FALSE))</f>
        <v>0</v>
      </c>
      <c r="K28" s="72">
        <v>2549625.0152587892</v>
      </c>
      <c r="L28" s="70">
        <v>6.7695437355029536</v>
      </c>
      <c r="M28" s="71">
        <f>IF(L28&lt;1,1,L28)</f>
        <v>6.7695437355029536</v>
      </c>
      <c r="N28" s="70" t="s">
        <v>151</v>
      </c>
      <c r="O28" s="71">
        <f>INDEX(DurClassMapping,MATCH(M28,MappingTables!$D$4:$D$8,-1),1)</f>
        <v>2</v>
      </c>
      <c r="P28" s="73">
        <f>IF(M28=$A$1,1,$M28-INDEX(MappingTables!$E$4:$E$8,MATCH(O28,MappingTables!$B$4:$B$8,0)))</f>
        <v>1.7695437355029532</v>
      </c>
      <c r="Q28" s="71">
        <f>IF(B28="",0,INDEX(ModelParameters!$D$70:$K$74,MATCH($O28,ModelParameters!$B$6:$B$10,0),MATCH($J28,ModelParameters!$D$5:$K$5,0)))</f>
        <v>0</v>
      </c>
      <c r="R28" s="71">
        <f>IF(B28="",0,INDEX(ModelParameters!$D$77:$K$81,MATCH($O28,ModelParameters!$B$13:$B$17,0),MATCH($J28,ModelParameters!$D$5:$K$5,0)))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0.14144277112511686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2265534</v>
      </c>
      <c r="C29" s="70" t="s">
        <v>3132</v>
      </c>
      <c r="D29" s="70" t="s">
        <v>1</v>
      </c>
      <c r="E29" s="70" t="s">
        <v>1</v>
      </c>
      <c r="F29" s="70"/>
      <c r="G29" s="70" t="s">
        <v>55</v>
      </c>
      <c r="H29" s="70" t="s">
        <v>178</v>
      </c>
      <c r="I29" s="70" t="s">
        <v>220</v>
      </c>
      <c r="J29" s="71">
        <f>IF(OR(I29=0,I29=""),"unrated",VLOOKUP(I29,MappingTables!$B$19:$C$31,2,FALSE))</f>
        <v>1</v>
      </c>
      <c r="K29" s="72">
        <v>1686757.5073242188</v>
      </c>
      <c r="L29" s="70">
        <v>14.805654506187346</v>
      </c>
      <c r="M29" s="71">
        <f>IF(L29&lt;1,1,L29)</f>
        <v>14.805654506187346</v>
      </c>
      <c r="N29" s="70" t="s">
        <v>151</v>
      </c>
      <c r="O29" s="71">
        <f>INDEX(DurClassMapping,MATCH(M29,MappingTables!$D$4:$D$8,-1),1)</f>
        <v>3</v>
      </c>
      <c r="P29" s="73">
        <f>IF(M29=$A$1,1,$M29-INDEX(MappingTables!$E$4:$E$8,MATCH(O29,MappingTables!$B$4:$B$8,0)))</f>
        <v>4.8056545061873464</v>
      </c>
      <c r="Q29" s="71">
        <f>IF(B29="",0,INDEX(ModelParameters!$D$70:$K$74,MATCH($O29,ModelParameters!$B$6:$B$10,0),MATCH($J29,ModelParameters!$D$5:$K$5,0)))</f>
        <v>0</v>
      </c>
      <c r="R29" s="71">
        <f>IF(B29="",0,INDEX(ModelParameters!$D$77:$K$81,MATCH($O29,ModelParameters!$B$13:$B$17,0),MATCH($J29,ModelParameters!$D$5:$K$5,0)))</f>
        <v>0</v>
      </c>
      <c r="S29" s="160">
        <f>IF(B29="",0,MIN(P29*Q29+R29,1))</f>
        <v>0</v>
      </c>
      <c r="T29" s="85">
        <f>IF(B29="",0,$S29*$K29)</f>
        <v>0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0.14144277112511686</v>
      </c>
      <c r="W29" s="85">
        <f>IF(B29="",0,+$T29*$V29)</f>
        <v>0</v>
      </c>
      <c r="X29" s="85">
        <f>IF(B29="",0,IF(OR(H29=MappingTables!$C$34,H29=MappingTables!$C$35),W29,0))</f>
        <v>0</v>
      </c>
    </row>
    <row r="30" spans="2:24" s="0" customFormat="0" ht="15">
      <c r="B30" s="69">
        <v>2321380</v>
      </c>
      <c r="C30" s="70" t="s">
        <v>3133</v>
      </c>
      <c r="D30" s="70" t="s">
        <v>1</v>
      </c>
      <c r="E30" s="70" t="s">
        <v>1</v>
      </c>
      <c r="F30" s="70"/>
      <c r="G30" s="70" t="s">
        <v>55</v>
      </c>
      <c r="H30" s="70" t="s">
        <v>178</v>
      </c>
      <c r="I30" s="70" t="s">
        <v>216</v>
      </c>
      <c r="J30" s="71">
        <f>IF(OR(I30=0,I30=""),"unrated",VLOOKUP(I30,MappingTables!$B$19:$C$31,2,FALSE))</f>
        <v>0</v>
      </c>
      <c r="K30" s="72">
        <v>6298585.139465332</v>
      </c>
      <c r="L30" s="70">
        <v>15.79785222804805</v>
      </c>
      <c r="M30" s="71">
        <f>IF(L30&lt;1,1,L30)</f>
        <v>15.79785222804805</v>
      </c>
      <c r="N30" s="70" t="s">
        <v>151</v>
      </c>
      <c r="O30" s="71">
        <f>INDEX(DurClassMapping,MATCH(M30,MappingTables!$D$4:$D$8,-1),1)</f>
        <v>4</v>
      </c>
      <c r="P30" s="73">
        <f>IF(M30=$A$1,1,$M30-INDEX(MappingTables!$E$4:$E$8,MATCH(O30,MappingTables!$B$4:$B$8,0)))</f>
        <v>0.7978522280480504</v>
      </c>
      <c r="Q30" s="71">
        <f>IF(B30="",0,INDEX(ModelParameters!$D$70:$K$74,MATCH($O30,ModelParameters!$B$6:$B$10,0),MATCH($J30,ModelParameters!$D$5:$K$5,0)))</f>
        <v>0</v>
      </c>
      <c r="R30" s="71">
        <f>IF(B30="",0,INDEX(ModelParameters!$D$77:$K$81,MATCH($O30,ModelParameters!$B$13:$B$17,0),MATCH($J30,ModelParameters!$D$5:$K$5,0)))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0.14144277112511686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>
        <v>155342</v>
      </c>
      <c r="C31" s="70" t="s">
        <v>3134</v>
      </c>
      <c r="D31" s="70" t="s">
        <v>1</v>
      </c>
      <c r="E31" s="70" t="s">
        <v>1</v>
      </c>
      <c r="F31" s="70"/>
      <c r="G31" s="70" t="s">
        <v>55</v>
      </c>
      <c r="H31" s="70" t="s">
        <v>178</v>
      </c>
      <c r="I31" s="70" t="s">
        <v>220</v>
      </c>
      <c r="J31" s="71">
        <f>IF(OR(I31=0,I31=""),"unrated",VLOOKUP(I31,MappingTables!$B$19:$C$31,2,FALSE))</f>
        <v>1</v>
      </c>
      <c r="K31" s="72">
        <v>4037999.8779296872</v>
      </c>
      <c r="L31" s="70">
        <v>1.4904640500953846</v>
      </c>
      <c r="M31" s="71">
        <f>IF(L31&lt;1,1,L31)</f>
        <v>1.4904640500953846</v>
      </c>
      <c r="N31" s="70" t="s">
        <v>151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1.4904640500953846</v>
      </c>
      <c r="Q31" s="71">
        <f>IF(B31="",0,INDEX(ModelParameters!$D$70:$K$74,MATCH($O31,ModelParameters!$B$6:$B$10,0),MATCH($J31,ModelParameters!$D$5:$K$5,0)))</f>
        <v>0</v>
      </c>
      <c r="R31" s="71">
        <f>IF(B31="",0,INDEX(ModelParameters!$D$77:$K$81,MATCH($O31,ModelParameters!$B$13:$B$17,0),MATCH($J31,ModelParameters!$D$5:$K$5,0)))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0.14144277112511686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3824603</v>
      </c>
      <c r="C32" s="70" t="s">
        <v>3135</v>
      </c>
      <c r="D32" s="70" t="s">
        <v>1</v>
      </c>
      <c r="E32" s="70" t="s">
        <v>1</v>
      </c>
      <c r="F32" s="70"/>
      <c r="G32" s="70" t="s">
        <v>55</v>
      </c>
      <c r="H32" s="70" t="s">
        <v>178</v>
      </c>
      <c r="I32" s="70" t="s">
        <v>216</v>
      </c>
      <c r="J32" s="71">
        <f>IF(OR(I32=0,I32=""),"unrated",VLOOKUP(I32,MappingTables!$B$19:$C$31,2,FALSE))</f>
        <v>0</v>
      </c>
      <c r="K32" s="72">
        <v>10935717.956542968</v>
      </c>
      <c r="L32" s="70">
        <v>10.033300738178864</v>
      </c>
      <c r="M32" s="71">
        <f>IF(L32&lt;1,1,L32)</f>
        <v>10.033300738178864</v>
      </c>
      <c r="N32" s="70" t="s">
        <v>151</v>
      </c>
      <c r="O32" s="71">
        <f>INDEX(DurClassMapping,MATCH(M32,MappingTables!$D$4:$D$8,-1),1)</f>
        <v>3</v>
      </c>
      <c r="P32" s="73">
        <f>IF(M32=$A$1,1,$M32-INDEX(MappingTables!$E$4:$E$8,MATCH(O32,MappingTables!$B$4:$B$8,0)))</f>
        <v>0.033300738178864364</v>
      </c>
      <c r="Q32" s="71">
        <f>IF(B32="",0,INDEX(ModelParameters!$D$70:$K$74,MATCH($O32,ModelParameters!$B$6:$B$10,0),MATCH($J32,ModelParameters!$D$5:$K$5,0)))</f>
        <v>0</v>
      </c>
      <c r="R32" s="71">
        <f>IF(B32="",0,INDEX(ModelParameters!$D$77:$K$81,MATCH($O32,ModelParameters!$B$13:$B$17,0),MATCH($J32,ModelParameters!$D$5:$K$5,0)))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0.14144277112511686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147347</v>
      </c>
      <c r="C33" s="70" t="s">
        <v>3136</v>
      </c>
      <c r="D33" s="70" t="s">
        <v>1</v>
      </c>
      <c r="E33" s="70" t="s">
        <v>1</v>
      </c>
      <c r="F33" s="70"/>
      <c r="G33" s="70" t="s">
        <v>55</v>
      </c>
      <c r="H33" s="70" t="s">
        <v>178</v>
      </c>
      <c r="I33" s="70" t="s">
        <v>220</v>
      </c>
      <c r="J33" s="71">
        <f>IF(OR(I33=0,I33=""),"unrated",VLOOKUP(I33,MappingTables!$B$19:$C$31,2,FALSE))</f>
        <v>1</v>
      </c>
      <c r="K33" s="72">
        <v>706323.69995117184</v>
      </c>
      <c r="L33" s="70">
        <v>5.6696445834628616</v>
      </c>
      <c r="M33" s="71">
        <f>IF(L33&lt;1,1,L33)</f>
        <v>5.6696445834628616</v>
      </c>
      <c r="N33" s="70" t="s">
        <v>151</v>
      </c>
      <c r="O33" s="71">
        <f>INDEX(DurClassMapping,MATCH(M33,MappingTables!$D$4:$D$8,-1),1)</f>
        <v>2</v>
      </c>
      <c r="P33" s="73">
        <f>IF(M33=$A$1,1,$M33-INDEX(MappingTables!$E$4:$E$8,MATCH(O33,MappingTables!$B$4:$B$8,0)))</f>
        <v>0.66964458346286192</v>
      </c>
      <c r="Q33" s="71">
        <f>IF(B33="",0,INDEX(ModelParameters!$D$70:$K$74,MATCH($O33,ModelParameters!$B$6:$B$10,0),MATCH($J33,ModelParameters!$D$5:$K$5,0)))</f>
        <v>0</v>
      </c>
      <c r="R33" s="71">
        <f>IF(B33="",0,INDEX(ModelParameters!$D$77:$K$81,MATCH($O33,ModelParameters!$B$13:$B$17,0),MATCH($J33,ModelParameters!$D$5:$K$5,0)))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0.14144277112511686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262358</v>
      </c>
      <c r="C34" s="70" t="s">
        <v>3137</v>
      </c>
      <c r="D34" s="70" t="s">
        <v>1</v>
      </c>
      <c r="E34" s="70" t="s">
        <v>1</v>
      </c>
      <c r="F34" s="70"/>
      <c r="G34" s="70" t="s">
        <v>55</v>
      </c>
      <c r="H34" s="70" t="s">
        <v>178</v>
      </c>
      <c r="I34" s="70" t="s">
        <v>216</v>
      </c>
      <c r="J34" s="71">
        <f>IF(OR(I34=0,I34=""),"unrated",VLOOKUP(I34,MappingTables!$B$19:$C$31,2,FALSE))</f>
        <v>0</v>
      </c>
      <c r="K34" s="72">
        <v>2769739.0617370604</v>
      </c>
      <c r="L34" s="70">
        <v>10.486867604995246</v>
      </c>
      <c r="M34" s="71">
        <f>IF(L34&lt;1,1,L34)</f>
        <v>10.486867604995246</v>
      </c>
      <c r="N34" s="70" t="s">
        <v>151</v>
      </c>
      <c r="O34" s="71">
        <f>INDEX(DurClassMapping,MATCH(M34,MappingTables!$D$4:$D$8,-1),1)</f>
        <v>3</v>
      </c>
      <c r="P34" s="73">
        <f>IF(M34=$A$1,1,$M34-INDEX(MappingTables!$E$4:$E$8,MATCH(O34,MappingTables!$B$4:$B$8,0)))</f>
        <v>0.48686760499524696</v>
      </c>
      <c r="Q34" s="71">
        <f>IF(B34="",0,INDEX(ModelParameters!$D$70:$K$74,MATCH($O34,ModelParameters!$B$6:$B$10,0),MATCH($J34,ModelParameters!$D$5:$K$5,0)))</f>
        <v>0</v>
      </c>
      <c r="R34" s="71">
        <f>IF(B34="",0,INDEX(ModelParameters!$D$77:$K$81,MATCH($O34,ModelParameters!$B$13:$B$17,0),MATCH($J34,ModelParameters!$D$5:$K$5,0)))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0.14144277112511686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>
        <v>517699</v>
      </c>
      <c r="C35" s="70" t="s">
        <v>3138</v>
      </c>
      <c r="D35" s="70" t="s">
        <v>1</v>
      </c>
      <c r="E35" s="70" t="s">
        <v>1</v>
      </c>
      <c r="F35" s="70"/>
      <c r="G35" s="70" t="s">
        <v>55</v>
      </c>
      <c r="H35" s="70" t="s">
        <v>178</v>
      </c>
      <c r="I35" s="70" t="s">
        <v>220</v>
      </c>
      <c r="J35" s="71">
        <f>IF(OR(I35=0,I35=""),"unrated",VLOOKUP(I35,MappingTables!$B$19:$C$31,2,FALSE))</f>
        <v>1</v>
      </c>
      <c r="K35" s="72">
        <v>4087200.0122070312</v>
      </c>
      <c r="L35" s="70">
        <v>5.4959154963545336</v>
      </c>
      <c r="M35" s="71">
        <f>IF(L35&lt;1,1,L35)</f>
        <v>5.4959154963545336</v>
      </c>
      <c r="N35" s="70" t="s">
        <v>151</v>
      </c>
      <c r="O35" s="71">
        <f>INDEX(DurClassMapping,MATCH(M35,MappingTables!$D$4:$D$8,-1),1)</f>
        <v>2</v>
      </c>
      <c r="P35" s="73">
        <f>IF(M35=$A$1,1,$M35-INDEX(MappingTables!$E$4:$E$8,MATCH(O35,MappingTables!$B$4:$B$8,0)))</f>
        <v>0.4959154963545336</v>
      </c>
      <c r="Q35" s="71">
        <f>IF(B35="",0,INDEX(ModelParameters!$D$70:$K$74,MATCH($O35,ModelParameters!$B$6:$B$10,0),MATCH($J35,ModelParameters!$D$5:$K$5,0)))</f>
        <v>0</v>
      </c>
      <c r="R35" s="71">
        <f>IF(B35="",0,INDEX(ModelParameters!$D$77:$K$81,MATCH($O35,ModelParameters!$B$13:$B$17,0),MATCH($J35,ModelParameters!$D$5:$K$5,0)))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0.14144277112511686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>
        <v>8452273</v>
      </c>
      <c r="C36" s="70" t="s">
        <v>3139</v>
      </c>
      <c r="D36" s="70" t="s">
        <v>1</v>
      </c>
      <c r="E36" s="70" t="s">
        <v>1</v>
      </c>
      <c r="F36" s="70"/>
      <c r="G36" s="70" t="s">
        <v>55</v>
      </c>
      <c r="H36" s="70" t="s">
        <v>178</v>
      </c>
      <c r="I36" s="70" t="s">
        <v>216</v>
      </c>
      <c r="J36" s="71">
        <f>IF(OR(I36=0,I36=""),"unrated",VLOOKUP(I36,MappingTables!$B$19:$C$31,2,FALSE))</f>
        <v>0</v>
      </c>
      <c r="K36" s="72">
        <v>681009.01794433592</v>
      </c>
      <c r="L36" s="70">
        <v>16.848573222407662</v>
      </c>
      <c r="M36" s="71">
        <f>IF(L36&lt;1,1,L36)</f>
        <v>16.848573222407662</v>
      </c>
      <c r="N36" s="70" t="s">
        <v>151</v>
      </c>
      <c r="O36" s="71">
        <f>INDEX(DurClassMapping,MATCH(M36,MappingTables!$D$4:$D$8,-1),1)</f>
        <v>4</v>
      </c>
      <c r="P36" s="73">
        <f>IF(M36=$A$1,1,$M36-INDEX(MappingTables!$E$4:$E$8,MATCH(O36,MappingTables!$B$4:$B$8,0)))</f>
        <v>1.848573222407662</v>
      </c>
      <c r="Q36" s="71">
        <f>IF(B36="",0,INDEX(ModelParameters!$D$70:$K$74,MATCH($O36,ModelParameters!$B$6:$B$10,0),MATCH($J36,ModelParameters!$D$5:$K$5,0)))</f>
        <v>0</v>
      </c>
      <c r="R36" s="71">
        <f>IF(B36="",0,INDEX(ModelParameters!$D$77:$K$81,MATCH($O36,ModelParameters!$B$13:$B$17,0),MATCH($J36,ModelParameters!$D$5:$K$5,0)))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0.14144277112511686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8452279</v>
      </c>
      <c r="C37" s="70" t="s">
        <v>3140</v>
      </c>
      <c r="D37" s="70" t="s">
        <v>1</v>
      </c>
      <c r="E37" s="70" t="s">
        <v>1</v>
      </c>
      <c r="F37" s="70"/>
      <c r="G37" s="70" t="s">
        <v>55</v>
      </c>
      <c r="H37" s="70" t="s">
        <v>178</v>
      </c>
      <c r="I37" s="70" t="s">
        <v>216</v>
      </c>
      <c r="J37" s="71">
        <f>IF(OR(I37=0,I37=""),"unrated",VLOOKUP(I37,MappingTables!$B$19:$C$31,2,FALSE))</f>
        <v>0</v>
      </c>
      <c r="K37" s="72">
        <v>679280.00640869144</v>
      </c>
      <c r="L37" s="70">
        <v>14.35016844970217</v>
      </c>
      <c r="M37" s="71">
        <f>IF(L37&lt;1,1,L37)</f>
        <v>14.35016844970217</v>
      </c>
      <c r="N37" s="70" t="s">
        <v>151</v>
      </c>
      <c r="O37" s="71">
        <f>INDEX(DurClassMapping,MATCH(M37,MappingTables!$D$4:$D$8,-1),1)</f>
        <v>3</v>
      </c>
      <c r="P37" s="73">
        <f>IF(M37=$A$1,1,$M37-INDEX(MappingTables!$E$4:$E$8,MATCH(O37,MappingTables!$B$4:$B$8,0)))</f>
        <v>4.3501684497021704</v>
      </c>
      <c r="Q37" s="71">
        <f>IF(B37="",0,INDEX(ModelParameters!$D$70:$K$74,MATCH($O37,ModelParameters!$B$6:$B$10,0),MATCH($J37,ModelParameters!$D$5:$K$5,0)))</f>
        <v>0</v>
      </c>
      <c r="R37" s="71">
        <f>IF(B37="",0,INDEX(ModelParameters!$D$77:$K$81,MATCH($O37,ModelParameters!$B$13:$B$17,0),MATCH($J37,ModelParameters!$D$5:$K$5,0)))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0.14144277112511686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527870</v>
      </c>
      <c r="C38" s="70" t="s">
        <v>3141</v>
      </c>
      <c r="D38" s="70" t="s">
        <v>1</v>
      </c>
      <c r="E38" s="70" t="s">
        <v>1</v>
      </c>
      <c r="F38" s="70"/>
      <c r="G38" s="70" t="s">
        <v>55</v>
      </c>
      <c r="H38" s="70" t="s">
        <v>178</v>
      </c>
      <c r="I38" s="70" t="s">
        <v>220</v>
      </c>
      <c r="J38" s="71">
        <f>IF(OR(I38=0,I38=""),"unrated",VLOOKUP(I38,MappingTables!$B$19:$C$31,2,FALSE))</f>
        <v>1</v>
      </c>
      <c r="K38" s="72">
        <v>5075000</v>
      </c>
      <c r="L38" s="70">
        <v>2.493406399130234</v>
      </c>
      <c r="M38" s="71">
        <f>IF(L38&lt;1,1,L38)</f>
        <v>2.493406399130234</v>
      </c>
      <c r="N38" s="70" t="s">
        <v>151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2.493406399130234</v>
      </c>
      <c r="Q38" s="71">
        <f>IF(B38="",0,INDEX(ModelParameters!$D$70:$K$74,MATCH($O38,ModelParameters!$B$6:$B$10,0),MATCH($J38,ModelParameters!$D$5:$K$5,0)))</f>
        <v>0</v>
      </c>
      <c r="R38" s="71">
        <f>IF(B38="",0,INDEX(ModelParameters!$D$77:$K$81,MATCH($O38,ModelParameters!$B$13:$B$17,0),MATCH($J38,ModelParameters!$D$5:$K$5,0)))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0.14144277112511686</v>
      </c>
      <c r="W38" s="85">
        <f>IF(B38="",0,+$T38*$V38)</f>
        <v>0</v>
      </c>
      <c r="X38" s="85">
        <f>IF(B38="",0,IF(OR(H38=MappingTables!$C$34,H38=MappingTables!$C$35),W38,0))</f>
        <v>0</v>
      </c>
    </row>
    <row r="39" spans="2:24" s="0" customFormat="0" ht="15">
      <c r="B39" s="69">
        <v>422157</v>
      </c>
      <c r="C39" s="70" t="s">
        <v>3142</v>
      </c>
      <c r="D39" s="70" t="s">
        <v>1</v>
      </c>
      <c r="E39" s="70" t="s">
        <v>1</v>
      </c>
      <c r="F39" s="70"/>
      <c r="G39" s="70" t="s">
        <v>55</v>
      </c>
      <c r="H39" s="70" t="s">
        <v>178</v>
      </c>
      <c r="I39" s="70" t="s">
        <v>216</v>
      </c>
      <c r="J39" s="71">
        <f>IF(OR(I39=0,I39=""),"unrated",VLOOKUP(I39,MappingTables!$B$19:$C$31,2,FALSE))</f>
        <v>0</v>
      </c>
      <c r="K39" s="72">
        <v>5668558.415222168</v>
      </c>
      <c r="L39" s="70">
        <v>12.332347842140884</v>
      </c>
      <c r="M39" s="71">
        <f>IF(L39&lt;1,1,L39)</f>
        <v>12.332347842140884</v>
      </c>
      <c r="N39" s="70" t="s">
        <v>151</v>
      </c>
      <c r="O39" s="71">
        <f>INDEX(DurClassMapping,MATCH(M39,MappingTables!$D$4:$D$8,-1),1)</f>
        <v>3</v>
      </c>
      <c r="P39" s="73">
        <f>IF(M39=$A$1,1,$M39-INDEX(MappingTables!$E$4:$E$8,MATCH(O39,MappingTables!$B$4:$B$8,0)))</f>
        <v>2.3323478421408836</v>
      </c>
      <c r="Q39" s="71">
        <f>IF(B39="",0,INDEX(ModelParameters!$D$70:$K$74,MATCH($O39,ModelParameters!$B$6:$B$10,0),MATCH($J39,ModelParameters!$D$5:$K$5,0)))</f>
        <v>0</v>
      </c>
      <c r="R39" s="71">
        <f>IF(B39="",0,INDEX(ModelParameters!$D$77:$K$81,MATCH($O39,ModelParameters!$B$13:$B$17,0),MATCH($J39,ModelParameters!$D$5:$K$5,0)))</f>
        <v>0</v>
      </c>
      <c r="S39" s="160">
        <f>IF(B39="",0,MIN(P39*Q39+R39,1))</f>
        <v>0</v>
      </c>
      <c r="T39" s="85">
        <f>IF(B39="",0,$S39*$K39)</f>
        <v>0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0.14144277112511686</v>
      </c>
      <c r="W39" s="85">
        <f>IF(B39="",0,+$T39*$V39)</f>
        <v>0</v>
      </c>
      <c r="X39" s="85">
        <f>IF(B39="",0,IF(OR(H39=MappingTables!$C$34,H39=MappingTables!$C$35),W39,0))</f>
        <v>0</v>
      </c>
    </row>
    <row r="40" spans="2:24" s="0" customFormat="0" ht="15">
      <c r="B40" s="69">
        <v>4513159</v>
      </c>
      <c r="C40" s="70" t="s">
        <v>3143</v>
      </c>
      <c r="D40" s="70" t="s">
        <v>1</v>
      </c>
      <c r="E40" s="70" t="s">
        <v>1</v>
      </c>
      <c r="F40" s="70"/>
      <c r="G40" s="70" t="s">
        <v>55</v>
      </c>
      <c r="H40" s="70" t="s">
        <v>178</v>
      </c>
      <c r="I40" s="70" t="s">
        <v>181</v>
      </c>
      <c r="J40" s="71">
        <f>IF(OR(I40=0,I40=""),"unrated",VLOOKUP(I40,MappingTables!$B$19:$C$31,2,FALSE))</f>
        <v>3</v>
      </c>
      <c r="K40" s="72">
        <v>1004576.1108398438</v>
      </c>
      <c r="L40" s="70">
        <v>1.0876930367778066</v>
      </c>
      <c r="M40" s="71">
        <f>IF(L40&lt;1,1,L40)</f>
        <v>1.0876930367778066</v>
      </c>
      <c r="N40" s="70" t="s">
        <v>151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1.0876930367778066</v>
      </c>
      <c r="Q40" s="71">
        <f>IF(B40="",0,INDEX(ModelParameters!$D$70:$K$74,MATCH($O40,ModelParameters!$B$6:$B$10,0),MATCH($J40,ModelParameters!$D$5:$K$5,0)))</f>
        <v>0</v>
      </c>
      <c r="R40" s="71">
        <f>IF(B40="",0,INDEX(ModelParameters!$D$77:$K$81,MATCH($O40,ModelParameters!$B$13:$B$17,0),MATCH($J40,ModelParameters!$D$5:$K$5,0)))</f>
        <v>0</v>
      </c>
      <c r="S40" s="160">
        <f>IF(B40="",0,MIN(P40*Q40+R40,1))</f>
        <v>0</v>
      </c>
      <c r="T40" s="85">
        <f>IF(B40="",0,$S40*$K40)</f>
        <v>0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0.14144277112511686</v>
      </c>
      <c r="W40" s="85">
        <f>IF(B40="",0,+$T40*$V40)</f>
        <v>0</v>
      </c>
      <c r="X40" s="85">
        <f>IF(B40="",0,IF(OR(H40=MappingTables!$C$34,H40=MappingTables!$C$35),W40,0))</f>
        <v>0</v>
      </c>
    </row>
    <row r="41" spans="2:24" s="0" customFormat="0" ht="15">
      <c r="B41" s="69" t="s">
        <v>3144</v>
      </c>
      <c r="C41" s="70" t="s">
        <v>3144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198</v>
      </c>
      <c r="J41" s="71" t="str">
        <f>IF(OR(I41=0,I41=""),"unrated",VLOOKUP(I41,MappingTables!$B$19:$C$31,2,FALSE))</f>
        <v>unrated</v>
      </c>
      <c r="K41" s="72">
        <v>-971.86147766</v>
      </c>
      <c r="L41" s="70">
        <v>0</v>
      </c>
      <c r="M41" s="71">
        <f>IF(L41&lt;1,1,L41)</f>
        <v>1</v>
      </c>
      <c r="N41" s="70" t="s">
        <v>151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IF(B41="",0,INDEX(ModelParameters!$D$70:$K$74,MATCH($O41,ModelParameters!$B$6:$B$10,0),MATCH($J41,ModelParameters!$D$5:$K$5,0)))</f>
        <v>0</v>
      </c>
      <c r="R41" s="71">
        <f>IF(B41="",0,INDEX(ModelParameters!$D$77:$K$81,MATCH($O41,ModelParameters!$B$13:$B$17,0),MATCH($J41,ModelParameters!$D$5:$K$5,0)))</f>
        <v>0</v>
      </c>
      <c r="S41" s="160">
        <f>IF(B41="",0,MIN(P41*Q41+R41,1))</f>
        <v>0</v>
      </c>
      <c r="T41" s="85">
        <f>IF(B41="",0,$S41*$K41)</f>
        <v>0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0</v>
      </c>
      <c r="X41" s="85">
        <f>IF(B41="",0,IF(OR(H41=MappingTables!$C$34,H41=MappingTables!$C$35),W41,0))</f>
        <v>0</v>
      </c>
    </row>
    <row r="42" spans="2:24" s="0" customFormat="0" ht="15">
      <c r="B42" s="69" t="s">
        <v>3145</v>
      </c>
      <c r="C42" s="70" t="s">
        <v>3146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220</v>
      </c>
      <c r="J42" s="71">
        <f>IF(OR(I42=0,I42=""),"unrated",VLOOKUP(I42,MappingTables!$B$19:$C$31,2,FALSE))</f>
        <v>1</v>
      </c>
      <c r="K42" s="72">
        <v>152.54836352643006</v>
      </c>
      <c r="L42" s="70">
        <v>0.32328637113358704</v>
      </c>
      <c r="M42" s="71">
        <f>IF(L42&lt;1,1,L42)</f>
        <v>1</v>
      </c>
      <c r="N42" s="70" t="s">
        <v>151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IF(B42="",0,INDEX(ModelParameters!$D$70:$K$74,MATCH($O42,ModelParameters!$B$6:$B$10,0),MATCH($J42,ModelParameters!$D$5:$K$5,0)))</f>
        <v>0</v>
      </c>
      <c r="R42" s="71">
        <f>IF(B42="",0,INDEX(ModelParameters!$D$77:$K$81,MATCH($O42,ModelParameters!$B$13:$B$17,0),MATCH($J42,ModelParameters!$D$5:$K$5,0)))</f>
        <v>0</v>
      </c>
      <c r="S42" s="160">
        <f>IF(B42="",0,MIN(P42*Q42+R42,1))</f>
        <v>0</v>
      </c>
      <c r="T42" s="85">
        <f>IF(B42="",0,$S42*$K42)</f>
        <v>0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0</v>
      </c>
      <c r="X42" s="85">
        <f>IF(B42="",0,IF(OR(H42=MappingTables!$C$34,H42=MappingTables!$C$35),W42,0))</f>
        <v>0</v>
      </c>
    </row>
    <row r="43" spans="2:24" s="0" customFormat="0" ht="15">
      <c r="B43" s="69" t="s">
        <v>3147</v>
      </c>
      <c r="C43" s="70" t="s">
        <v>3148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216</v>
      </c>
      <c r="J43" s="71">
        <f>IF(OR(I43=0,I43=""),"unrated",VLOOKUP(I43,MappingTables!$B$19:$C$31,2,FALSE))</f>
        <v>0</v>
      </c>
      <c r="K43" s="72">
        <v>290.82414443082876</v>
      </c>
      <c r="L43" s="70">
        <v>0.1506844442115245</v>
      </c>
      <c r="M43" s="71">
        <f>IF(L43&lt;1,1,L43)</f>
        <v>1</v>
      </c>
      <c r="N43" s="70" t="s">
        <v>151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</v>
      </c>
      <c r="Q43" s="71">
        <f>IF(B43="",0,INDEX(ModelParameters!$D$70:$K$74,MATCH($O43,ModelParameters!$B$6:$B$10,0),MATCH($J43,ModelParameters!$D$5:$K$5,0)))</f>
        <v>0</v>
      </c>
      <c r="R43" s="71">
        <f>IF(B43="",0,INDEX(ModelParameters!$D$77:$K$81,MATCH($O43,ModelParameters!$B$13:$B$17,0),MATCH($J43,ModelParameters!$D$5:$K$5,0)))</f>
        <v>0</v>
      </c>
      <c r="S43" s="160">
        <f>IF(B43="",0,MIN(P43*Q43+R43,1))</f>
        <v>0</v>
      </c>
      <c r="T43" s="85">
        <f>IF(B43="",0,$S43*$K43)</f>
        <v>0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0</v>
      </c>
      <c r="X43" s="85">
        <f>IF(B43="",0,IF(OR(H43=MappingTables!$C$34,H43=MappingTables!$C$35),W43,0))</f>
        <v>0</v>
      </c>
    </row>
    <row r="44" spans="2:24" s="0" customFormat="0" ht="15">
      <c r="B44" s="69" t="s">
        <v>3149</v>
      </c>
      <c r="C44" s="70" t="s">
        <v>3150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220</v>
      </c>
      <c r="J44" s="71">
        <f>IF(OR(I44=0,I44=""),"unrated",VLOOKUP(I44,MappingTables!$B$19:$C$31,2,FALSE))</f>
        <v>1</v>
      </c>
      <c r="K44" s="72">
        <v>6.6187283686451408</v>
      </c>
      <c r="L44" s="70">
        <v>0.054793910795150896</v>
      </c>
      <c r="M44" s="71">
        <f>IF(L44&lt;1,1,L44)</f>
        <v>1</v>
      </c>
      <c r="N44" s="70" t="s">
        <v>151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IF(B44="",0,INDEX(ModelParameters!$D$70:$K$74,MATCH($O44,ModelParameters!$B$6:$B$10,0),MATCH($J44,ModelParameters!$D$5:$K$5,0)))</f>
        <v>0</v>
      </c>
      <c r="R44" s="71">
        <f>IF(B44="",0,INDEX(ModelParameters!$D$77:$K$81,MATCH($O44,ModelParameters!$B$13:$B$17,0),MATCH($J44,ModelParameters!$D$5:$K$5,0)))</f>
        <v>0</v>
      </c>
      <c r="S44" s="160">
        <f>IF(B44="",0,MIN(P44*Q44+R44,1))</f>
        <v>0</v>
      </c>
      <c r="T44" s="85">
        <f>IF(B44="",0,$S44*$K44)</f>
        <v>0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0</v>
      </c>
      <c r="X44" s="85">
        <f>IF(B44="",0,IF(OR(H44=MappingTables!$C$34,H44=MappingTables!$C$35),W44,0))</f>
        <v>0</v>
      </c>
    </row>
    <row r="45" spans="2:24" s="0" customFormat="0" ht="15">
      <c r="B45" s="69">
        <v>519065</v>
      </c>
      <c r="C45" s="70" t="s">
        <v>3151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220</v>
      </c>
      <c r="J45" s="71">
        <f>IF(OR(I45=0,I45=""),"unrated",VLOOKUP(I45,MappingTables!$B$19:$C$31,2,FALSE))</f>
        <v>1</v>
      </c>
      <c r="K45" s="72">
        <v>521491.77551269528</v>
      </c>
      <c r="L45" s="70">
        <v>0.49041394982544288</v>
      </c>
      <c r="M45" s="71">
        <f>IF(L45&lt;1,1,L45)</f>
        <v>1</v>
      </c>
      <c r="N45" s="70" t="s">
        <v>151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IF(B45="",0,INDEX(ModelParameters!$D$70:$K$74,MATCH($O45,ModelParameters!$B$6:$B$10,0),MATCH($J45,ModelParameters!$D$5:$K$5,0)))</f>
        <v>0</v>
      </c>
      <c r="R45" s="71">
        <f>IF(B45="",0,INDEX(ModelParameters!$D$77:$K$81,MATCH($O45,ModelParameters!$B$13:$B$17,0),MATCH($J45,ModelParameters!$D$5:$K$5,0)))</f>
        <v>0</v>
      </c>
      <c r="S45" s="160">
        <f>IF(B45="",0,MIN(P45*Q45+R45,1))</f>
        <v>0</v>
      </c>
      <c r="T45" s="85">
        <f>IF(B45="",0,$S45*$K45)</f>
        <v>0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0</v>
      </c>
      <c r="X45" s="85">
        <f>IF(B45="",0,IF(OR(H45=MappingTables!$C$34,H45=MappingTables!$C$35),W45,0))</f>
        <v>0</v>
      </c>
    </row>
    <row r="46" spans="2:24" s="0" customFormat="0" ht="15">
      <c r="B46" s="69" t="s">
        <v>3152</v>
      </c>
      <c r="C46" s="70" t="s">
        <v>3153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216</v>
      </c>
      <c r="J46" s="71">
        <f>IF(OR(I46=0,I46=""),"unrated",VLOOKUP(I46,MappingTables!$B$19:$C$31,2,FALSE))</f>
        <v>0</v>
      </c>
      <c r="K46" s="72">
        <v>0.14785502468613814</v>
      </c>
      <c r="L46" s="70">
        <v>0.073971233223011072</v>
      </c>
      <c r="M46" s="71">
        <f>IF(L46&lt;1,1,L46)</f>
        <v>1</v>
      </c>
      <c r="N46" s="70" t="s">
        <v>151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IF(B46="",0,INDEX(ModelParameters!$D$70:$K$74,MATCH($O46,ModelParameters!$B$6:$B$10,0),MATCH($J46,ModelParameters!$D$5:$K$5,0)))</f>
        <v>0</v>
      </c>
      <c r="R46" s="71">
        <f>IF(B46="",0,INDEX(ModelParameters!$D$77:$K$81,MATCH($O46,ModelParameters!$B$13:$B$17,0),MATCH($J46,ModelParameters!$D$5:$K$5,0)))</f>
        <v>0</v>
      </c>
      <c r="S46" s="160">
        <f>IF(B46="",0,MIN(P46*Q46+R46,1))</f>
        <v>0</v>
      </c>
      <c r="T46" s="85">
        <f>IF(B46="",0,$S46*$K46)</f>
        <v>0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</v>
      </c>
      <c r="X46" s="85">
        <f>IF(B46="",0,IF(OR(H46=MappingTables!$C$34,H46=MappingTables!$C$35),W46,0))</f>
        <v>0</v>
      </c>
    </row>
    <row r="47" spans="2:24" s="0" customFormat="0" ht="15">
      <c r="B47" s="69">
        <v>262358</v>
      </c>
      <c r="C47" s="70" t="s">
        <v>3137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216</v>
      </c>
      <c r="J47" s="71">
        <f>IF(OR(I47=0,I47=""),"unrated",VLOOKUP(I47,MappingTables!$B$19:$C$31,2,FALSE))</f>
        <v>0</v>
      </c>
      <c r="K47" s="72">
        <v>2777957.8720092772</v>
      </c>
      <c r="L47" s="70">
        <v>10.486867604995246</v>
      </c>
      <c r="M47" s="71">
        <f>IF(L47&lt;1,1,L47)</f>
        <v>10.486867604995246</v>
      </c>
      <c r="N47" s="70" t="s">
        <v>151</v>
      </c>
      <c r="O47" s="71">
        <f>INDEX(DurClassMapping,MATCH(M47,MappingTables!$D$4:$D$8,-1),1)</f>
        <v>3</v>
      </c>
      <c r="P47" s="73">
        <f>IF(M47=$A$1,1,$M47-INDEX(MappingTables!$E$4:$E$8,MATCH(O47,MappingTables!$B$4:$B$8,0)))</f>
        <v>0.48686760499524696</v>
      </c>
      <c r="Q47" s="71">
        <f>IF(B47="",0,INDEX(ModelParameters!$D$70:$K$74,MATCH($O47,ModelParameters!$B$6:$B$10,0),MATCH($J47,ModelParameters!$D$5:$K$5,0)))</f>
        <v>0</v>
      </c>
      <c r="R47" s="71">
        <f>IF(B47="",0,INDEX(ModelParameters!$D$77:$K$81,MATCH($O47,ModelParameters!$B$13:$B$17,0),MATCH($J47,ModelParameters!$D$5:$K$5,0)))</f>
        <v>0</v>
      </c>
      <c r="S47" s="160">
        <f>IF(B47="",0,MIN(P47*Q47+R47,1))</f>
        <v>0</v>
      </c>
      <c r="T47" s="85">
        <f>IF(B47="",0,$S47*$K47)</f>
        <v>0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</v>
      </c>
      <c r="X47" s="85">
        <f>IF(B47="",0,IF(OR(H47=MappingTables!$C$34,H47=MappingTables!$C$35),W47,0))</f>
        <v>0</v>
      </c>
    </row>
    <row r="48" spans="2:24" s="0" customFormat="0" ht="15">
      <c r="B48" s="69" t="s">
        <v>3145</v>
      </c>
      <c r="C48" s="70" t="s">
        <v>3146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220</v>
      </c>
      <c r="J48" s="71">
        <f>IF(OR(I48=0,I48=""),"unrated",VLOOKUP(I48,MappingTables!$B$19:$C$31,2,FALSE))</f>
        <v>1</v>
      </c>
      <c r="K48" s="72">
        <v>323.56546269795104</v>
      </c>
      <c r="L48" s="70">
        <v>0.32328637113359448</v>
      </c>
      <c r="M48" s="71">
        <f>IF(L48&lt;1,1,L48)</f>
        <v>1</v>
      </c>
      <c r="N48" s="70" t="s">
        <v>151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IF(B48="",0,INDEX(ModelParameters!$D$70:$K$74,MATCH($O48,ModelParameters!$B$6:$B$10,0),MATCH($J48,ModelParameters!$D$5:$K$5,0)))</f>
        <v>0</v>
      </c>
      <c r="R48" s="71">
        <f>IF(B48="",0,INDEX(ModelParameters!$D$77:$K$81,MATCH($O48,ModelParameters!$B$13:$B$17,0),MATCH($J48,ModelParameters!$D$5:$K$5,0)))</f>
        <v>0</v>
      </c>
      <c r="S48" s="160">
        <f>IF(B48="",0,MIN(P48*Q48+R48,1))</f>
        <v>0</v>
      </c>
      <c r="T48" s="85">
        <f>IF(B48="",0,$S48*$K48)</f>
        <v>0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0</v>
      </c>
      <c r="X48" s="85">
        <f>IF(B48="",0,IF(OR(H48=MappingTables!$C$34,H48=MappingTables!$C$35),W48,0))</f>
        <v>0</v>
      </c>
    </row>
    <row r="49" spans="2:24" s="0" customFormat="0" ht="15">
      <c r="B49" s="69" t="s">
        <v>3147</v>
      </c>
      <c r="C49" s="70" t="s">
        <v>3148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216</v>
      </c>
      <c r="J49" s="71">
        <f>IF(OR(I49=0,I49=""),"unrated",VLOOKUP(I49,MappingTables!$B$19:$C$31,2,FALSE))</f>
        <v>0</v>
      </c>
      <c r="K49" s="72">
        <v>137.11212234291336</v>
      </c>
      <c r="L49" s="70">
        <v>0.15068444421152332</v>
      </c>
      <c r="M49" s="71">
        <f>IF(L49&lt;1,1,L49)</f>
        <v>1</v>
      </c>
      <c r="N49" s="70" t="s">
        <v>151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</v>
      </c>
      <c r="Q49" s="71">
        <f>IF(B49="",0,INDEX(ModelParameters!$D$70:$K$74,MATCH($O49,ModelParameters!$B$6:$B$10,0),MATCH($J49,ModelParameters!$D$5:$K$5,0)))</f>
        <v>0</v>
      </c>
      <c r="R49" s="71">
        <f>IF(B49="",0,INDEX(ModelParameters!$D$77:$K$81,MATCH($O49,ModelParameters!$B$13:$B$17,0),MATCH($J49,ModelParameters!$D$5:$K$5,0)))</f>
        <v>0</v>
      </c>
      <c r="S49" s="160">
        <f>IF(B49="",0,MIN(P49*Q49+R49,1))</f>
        <v>0</v>
      </c>
      <c r="T49" s="85">
        <f>IF(B49="",0,$S49*$K49)</f>
        <v>0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</v>
      </c>
      <c r="X49" s="85">
        <f>IF(B49="",0,IF(OR(H49=MappingTables!$C$34,H49=MappingTables!$C$35),W49,0))</f>
        <v>0</v>
      </c>
    </row>
    <row r="50" spans="2:24" s="0" customFormat="0" ht="15">
      <c r="B50" s="69" t="s">
        <v>3152</v>
      </c>
      <c r="C50" s="70" t="s">
        <v>3153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216</v>
      </c>
      <c r="J50" s="71">
        <f>IF(OR(I50=0,I50=""),"unrated",VLOOKUP(I50,MappingTables!$B$19:$C$31,2,FALSE))</f>
        <v>0</v>
      </c>
      <c r="K50" s="72">
        <v>0.3136105682336212</v>
      </c>
      <c r="L50" s="70">
        <v>0.073971233223006176</v>
      </c>
      <c r="M50" s="71">
        <f>IF(L50&lt;1,1,L50)</f>
        <v>1</v>
      </c>
      <c r="N50" s="70" t="s">
        <v>151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</v>
      </c>
      <c r="Q50" s="71">
        <f>IF(B50="",0,INDEX(ModelParameters!$D$70:$K$74,MATCH($O50,ModelParameters!$B$6:$B$10,0),MATCH($J50,ModelParameters!$D$5:$K$5,0)))</f>
        <v>0</v>
      </c>
      <c r="R50" s="71">
        <f>IF(B50="",0,INDEX(ModelParameters!$D$77:$K$81,MATCH($O50,ModelParameters!$B$13:$B$17,0),MATCH($J50,ModelParameters!$D$5:$K$5,0)))</f>
        <v>0</v>
      </c>
      <c r="S50" s="160">
        <f>IF(B50="",0,MIN(P50*Q50+R50,1))</f>
        <v>0</v>
      </c>
      <c r="T50" s="85">
        <f>IF(B50="",0,$S50*$K50)</f>
        <v>0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0</v>
      </c>
      <c r="X50" s="85">
        <f>IF(B50="",0,IF(OR(H50=MappingTables!$C$34,H50=MappingTables!$C$35),W50,0))</f>
        <v>0</v>
      </c>
    </row>
    <row r="51" spans="2:24" s="0" customFormat="0" ht="15">
      <c r="B51" s="69">
        <v>2999108</v>
      </c>
      <c r="C51" s="70" t="s">
        <v>3154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220</v>
      </c>
      <c r="J51" s="71">
        <f>IF(OR(I51=0,I51=""),"unrated",VLOOKUP(I51,MappingTables!$B$19:$C$31,2,FALSE))</f>
        <v>1</v>
      </c>
      <c r="K51" s="72">
        <v>1251631.4697265624</v>
      </c>
      <c r="L51" s="70">
        <v>4.1309913867301128</v>
      </c>
      <c r="M51" s="71">
        <f>IF(L51&lt;1,1,L51)</f>
        <v>4.1309913867301128</v>
      </c>
      <c r="N51" s="70" t="s">
        <v>151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4.1309913867301128</v>
      </c>
      <c r="Q51" s="71">
        <f>IF(B51="",0,INDEX(ModelParameters!$D$70:$K$74,MATCH($O51,ModelParameters!$B$6:$B$10,0),MATCH($J51,ModelParameters!$D$5:$K$5,0)))</f>
        <v>0</v>
      </c>
      <c r="R51" s="71">
        <f>IF(B51="",0,INDEX(ModelParameters!$D$77:$K$81,MATCH($O51,ModelParameters!$B$13:$B$17,0),MATCH($J51,ModelParameters!$D$5:$K$5,0)))</f>
        <v>0</v>
      </c>
      <c r="S51" s="160">
        <f>IF(B51="",0,MIN(P51*Q51+R51,1))</f>
        <v>0</v>
      </c>
      <c r="T51" s="85">
        <f>IF(B51="",0,$S51*$K51)</f>
        <v>0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</v>
      </c>
      <c r="X51" s="85">
        <f>IF(B51="",0,IF(OR(H51=MappingTables!$C$34,H51=MappingTables!$C$35),W51,0))</f>
        <v>0</v>
      </c>
    </row>
    <row r="52" spans="2:24" s="0" customFormat="0" ht="15">
      <c r="B52" s="69" t="s">
        <v>3149</v>
      </c>
      <c r="C52" s="70" t="s">
        <v>3150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220</v>
      </c>
      <c r="J52" s="71">
        <f>IF(OR(I52=0,I52=""),"unrated",VLOOKUP(I52,MappingTables!$B$19:$C$31,2,FALSE))</f>
        <v>1</v>
      </c>
      <c r="K52" s="72">
        <v>14.03877340178535</v>
      </c>
      <c r="L52" s="70">
        <v>0.054793910795144552</v>
      </c>
      <c r="M52" s="71">
        <f>IF(L52&lt;1,1,L52)</f>
        <v>1</v>
      </c>
      <c r="N52" s="70" t="s">
        <v>151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1</v>
      </c>
      <c r="Q52" s="71">
        <f>IF(B52="",0,INDEX(ModelParameters!$D$70:$K$74,MATCH($O52,ModelParameters!$B$6:$B$10,0),MATCH($J52,ModelParameters!$D$5:$K$5,0)))</f>
        <v>0</v>
      </c>
      <c r="R52" s="71">
        <f>IF(B52="",0,INDEX(ModelParameters!$D$77:$K$81,MATCH($O52,ModelParameters!$B$13:$B$17,0),MATCH($J52,ModelParameters!$D$5:$K$5,0)))</f>
        <v>0</v>
      </c>
      <c r="S52" s="160">
        <f>IF(B52="",0,MIN(P52*Q52+R52,1))</f>
        <v>0</v>
      </c>
      <c r="T52" s="85">
        <f>IF(B52="",0,$S52*$K52)</f>
        <v>0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85">
        <f>IF(B52="",0,+$T52*$V52)</f>
        <v>0</v>
      </c>
      <c r="X52" s="85">
        <f>IF(B52="",0,IF(OR(H52=MappingTables!$C$34,H52=MappingTables!$C$35),W52,0))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/>
  <dimension ref="B2:AB38"/>
  <sheetViews>
    <sheetView showGridLines="0" workbookViewId="0"/>
  </sheetViews>
  <sheetFormatPr defaultColWidth="9.1484375" defaultRowHeight="12.75" customHeight="0"/>
  <cols>
    <col min="10" max="10" width="15.71484375" style="1" customWidth="1"/>
    <col min="11" max="11" width="12.28515625" style="1" customWidth="1"/>
    <col min="12" max="12" width="28.85546875" style="1" customWidth="1"/>
    <col min="15" max="15" width="9.85546875" style="1" customWidth="1"/>
    <col min="16" max="16" width="14.28515625" style="1" customWidth="1"/>
    <col min="20" max="21" width="16.85546875" style="1" customWidth="1"/>
    <col min="27" max="27" width="12.71484375" style="1" customWidth="1"/>
  </cols>
  <sheetData>
    <row r="1" s="0" customFormat="0" ht="15"/>
    <row r="2" spans="2:28" s="0" customFormat="0" ht="15">
      <c r="B2" s="200" t="s">
        <v>152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 t="s">
        <v>3155</v>
      </c>
      <c r="C4" s="70" t="s">
        <v>3156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216</v>
      </c>
      <c r="J4" s="71">
        <f>IF(OR(I4=0,I4=""),"unrated",VLOOKUP(I4,MappingTables!$B$19:$C$31,2,FALSE))</f>
        <v>0</v>
      </c>
      <c r="K4" s="72">
        <v>2960.943252128728</v>
      </c>
      <c r="L4" s="70">
        <v>1.2858559030524292</v>
      </c>
      <c r="M4" s="71">
        <f>IF(L4&lt;1,1,L4)</f>
        <v>1.2858559030524292</v>
      </c>
      <c r="N4" s="70" t="s">
        <v>152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1.2858559030524292</v>
      </c>
      <c r="Q4" s="71">
        <f>IF(B4="",0,INDEX(ModelParameters!$D$86:$K$90,MATCH($O4,ModelParameters!$B$6:$B$10,0),MATCH($J4,ModelParameters!$D$5:$K$5,0)))</f>
        <v>0</v>
      </c>
      <c r="R4" s="71">
        <f>IF(B4="",0,INDEX(ModelParameters!$D$93:$K$97,MATCH($O4,ModelParameters!$B$13:$B$17,0),MATCH($J4,ModelParameters!$D$5:$K$5,0)))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3157</v>
      </c>
      <c r="C5" s="70" t="s">
        <v>3158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220</v>
      </c>
      <c r="J5" s="71">
        <f>IF(OR(I5=0,I5=""),"unrated",VLOOKUP(I5,MappingTables!$B$19:$C$31,2,FALSE))</f>
        <v>1</v>
      </c>
      <c r="K5" s="72">
        <v>344.14029812678864</v>
      </c>
      <c r="L5" s="70">
        <v>0.44369550976045168</v>
      </c>
      <c r="M5" s="71">
        <f>IF(L5&lt;1,1,L5)</f>
        <v>1</v>
      </c>
      <c r="N5" s="70" t="s">
        <v>152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IF(B5="",0,INDEX(ModelParameters!$D$86:$K$90,MATCH($O5,ModelParameters!$B$6:$B$10,0),MATCH($J5,ModelParameters!$D$5:$K$5,0)))</f>
        <v>0</v>
      </c>
      <c r="R5" s="71">
        <f>IF(B5="",0,INDEX(ModelParameters!$D$93:$K$97,MATCH($O5,ModelParameters!$B$13:$B$17,0),MATCH($J5,ModelParameters!$D$5:$K$5,0)))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23673151</v>
      </c>
      <c r="C6" s="70" t="s">
        <v>3159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216</v>
      </c>
      <c r="J6" s="71">
        <f>IF(OR(I6=0,I6=""),"unrated",VLOOKUP(I6,MappingTables!$B$19:$C$31,2,FALSE))</f>
        <v>0</v>
      </c>
      <c r="K6" s="72">
        <v>1487.6215810601032</v>
      </c>
      <c r="L6" s="70">
        <v>0.96046094007868672</v>
      </c>
      <c r="M6" s="71">
        <f>IF(L6&lt;1,1,L6)</f>
        <v>1</v>
      </c>
      <c r="N6" s="70" t="s">
        <v>152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IF(B6="",0,INDEX(ModelParameters!$D$86:$K$90,MATCH($O6,ModelParameters!$B$6:$B$10,0),MATCH($J6,ModelParameters!$D$5:$K$5,0)))</f>
        <v>0</v>
      </c>
      <c r="R6" s="71">
        <f>IF(B6="",0,INDEX(ModelParameters!$D$93:$K$97,MATCH($O6,ModelParameters!$B$13:$B$17,0),MATCH($J6,ModelParameters!$D$5:$K$5,0)))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3160</v>
      </c>
      <c r="C7" s="70" t="s">
        <v>3161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216</v>
      </c>
      <c r="J7" s="71">
        <f>IF(OR(I7=0,I7=""),"unrated",VLOOKUP(I7,MappingTables!$B$19:$C$31,2,FALSE))</f>
        <v>0</v>
      </c>
      <c r="K7" s="72">
        <v>8472.779093428128</v>
      </c>
      <c r="L7" s="70">
        <v>0.11233077315055994</v>
      </c>
      <c r="M7" s="71">
        <f>IF(L7&lt;1,1,L7)</f>
        <v>1</v>
      </c>
      <c r="N7" s="70" t="s">
        <v>152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IF(B7="",0,INDEX(ModelParameters!$D$86:$K$90,MATCH($O7,ModelParameters!$B$6:$B$10,0),MATCH($J7,ModelParameters!$D$5:$K$5,0)))</f>
        <v>0</v>
      </c>
      <c r="R7" s="71">
        <f>IF(B7="",0,INDEX(ModelParameters!$D$93:$K$97,MATCH($O7,ModelParameters!$B$13:$B$17,0),MATCH($J7,ModelParameters!$D$5:$K$5,0)))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 t="s">
        <v>3157</v>
      </c>
      <c r="C8" s="70" t="s">
        <v>3158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220</v>
      </c>
      <c r="J8" s="71">
        <f>IF(OR(I8=0,I8=""),"unrated",VLOOKUP(I8,MappingTables!$B$19:$C$31,2,FALSE))</f>
        <v>1</v>
      </c>
      <c r="K8" s="72">
        <v>162.24858755086978</v>
      </c>
      <c r="L8" s="70">
        <v>0.44369550976044656</v>
      </c>
      <c r="M8" s="71">
        <f>IF(L8&lt;1,1,L8)</f>
        <v>1</v>
      </c>
      <c r="N8" s="70" t="s">
        <v>152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IF(B8="",0,INDEX(ModelParameters!$D$86:$K$90,MATCH($O8,ModelParameters!$B$6:$B$10,0),MATCH($J8,ModelParameters!$D$5:$K$5,0)))</f>
        <v>0</v>
      </c>
      <c r="R8" s="71">
        <f>IF(B8="",0,INDEX(ModelParameters!$D$93:$K$97,MATCH($O8,ModelParameters!$B$13:$B$17,0),MATCH($J8,ModelParameters!$D$5:$K$5,0)))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14121289</v>
      </c>
      <c r="C9" s="70" t="s">
        <v>3162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216</v>
      </c>
      <c r="J9" s="71">
        <f>IF(OR(I9=0,I9=""),"unrated",VLOOKUP(I9,MappingTables!$B$19:$C$31,2,FALSE))</f>
        <v>0</v>
      </c>
      <c r="K9" s="72">
        <v>186.54394308761016</v>
      </c>
      <c r="L9" s="70">
        <v>1.3023041709722746</v>
      </c>
      <c r="M9" s="71">
        <f>IF(L9&lt;1,1,L9)</f>
        <v>1.3023041709722746</v>
      </c>
      <c r="N9" s="70" t="s">
        <v>152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1.3023041709722746</v>
      </c>
      <c r="Q9" s="71">
        <f>IF(B9="",0,INDEX(ModelParameters!$D$86:$K$90,MATCH($O9,ModelParameters!$B$6:$B$10,0),MATCH($J9,ModelParameters!$D$5:$K$5,0)))</f>
        <v>0</v>
      </c>
      <c r="R9" s="71">
        <f>IF(B9="",0,INDEX(ModelParameters!$D$93:$K$97,MATCH($O9,ModelParameters!$B$13:$B$17,0),MATCH($J9,ModelParameters!$D$5:$K$5,0)))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 t="s">
        <v>3163</v>
      </c>
      <c r="C10" s="70" t="s">
        <v>3164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216</v>
      </c>
      <c r="J10" s="71">
        <f>IF(OR(I10=0,I10=""),"unrated",VLOOKUP(I10,MappingTables!$B$19:$C$31,2,FALSE))</f>
        <v>0</v>
      </c>
      <c r="K10" s="72">
        <v>1470.5124445880872</v>
      </c>
      <c r="L10" s="70">
        <v>1.3317085156005912</v>
      </c>
      <c r="M10" s="71">
        <f>IF(L10&lt;1,1,L10)</f>
        <v>1.3317085156005912</v>
      </c>
      <c r="N10" s="70" t="s">
        <v>152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1.3317085156005912</v>
      </c>
      <c r="Q10" s="71">
        <f>IF(B10="",0,INDEX(ModelParameters!$D$86:$K$90,MATCH($O10,ModelParameters!$B$6:$B$10,0),MATCH($J10,ModelParameters!$D$5:$K$5,0)))</f>
        <v>0</v>
      </c>
      <c r="R10" s="71">
        <f>IF(B10="",0,INDEX(ModelParameters!$D$93:$K$97,MATCH($O10,ModelParameters!$B$13:$B$17,0),MATCH($J10,ModelParameters!$D$5:$K$5,0)))</f>
        <v>0</v>
      </c>
      <c r="S10" s="160">
        <f>IF(B10="",0,MIN(P10*Q10+R10,1))</f>
        <v>0</v>
      </c>
      <c r="T10" s="85">
        <f>IF(B10="",0,$S10*$K10)</f>
        <v>0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>
        <v>19202938</v>
      </c>
      <c r="C11" s="70" t="s">
        <v>3165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216</v>
      </c>
      <c r="J11" s="71">
        <f>IF(OR(I11=0,I11=""),"unrated",VLOOKUP(I11,MappingTables!$B$19:$C$31,2,FALSE))</f>
        <v>0</v>
      </c>
      <c r="K11" s="72">
        <v>177.80246032962284</v>
      </c>
      <c r="L11" s="70">
        <v>0.88377306622336208</v>
      </c>
      <c r="M11" s="71">
        <f>IF(L11&lt;1,1,L11)</f>
        <v>1</v>
      </c>
      <c r="N11" s="70" t="s">
        <v>152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IF(B11="",0,INDEX(ModelParameters!$D$86:$K$90,MATCH($O11,ModelParameters!$B$6:$B$10,0),MATCH($J11,ModelParameters!$D$5:$K$5,0)))</f>
        <v>0</v>
      </c>
      <c r="R11" s="71">
        <f>IF(B11="",0,INDEX(ModelParameters!$D$93:$K$97,MATCH($O11,ModelParameters!$B$13:$B$17,0),MATCH($J11,ModelParameters!$D$5:$K$5,0)))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24501432</v>
      </c>
      <c r="C12" s="70" t="s">
        <v>3166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216</v>
      </c>
      <c r="J12" s="71">
        <f>IF(OR(I12=0,I12=""),"unrated",VLOOKUP(I12,MappingTables!$B$19:$C$31,2,FALSE))</f>
        <v>0</v>
      </c>
      <c r="K12" s="72">
        <v>441.39105206929592</v>
      </c>
      <c r="L12" s="70">
        <v>1.7453630918103032</v>
      </c>
      <c r="M12" s="71">
        <f>IF(L12&lt;1,1,L12)</f>
        <v>1.7453630918103032</v>
      </c>
      <c r="N12" s="70" t="s">
        <v>152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1.7453630918103032</v>
      </c>
      <c r="Q12" s="71">
        <f>IF(B12="",0,INDEX(ModelParameters!$D$86:$K$90,MATCH($O12,ModelParameters!$B$6:$B$10,0),MATCH($J12,ModelParameters!$D$5:$K$5,0)))</f>
        <v>0</v>
      </c>
      <c r="R12" s="71">
        <f>IF(B12="",0,INDEX(ModelParameters!$D$93:$K$97,MATCH($O12,ModelParameters!$B$13:$B$17,0),MATCH($J12,ModelParameters!$D$5:$K$5,0)))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14812095</v>
      </c>
      <c r="C13" s="70" t="s">
        <v>3167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216</v>
      </c>
      <c r="J13" s="71">
        <f>IF(OR(I13=0,I13=""),"unrated",VLOOKUP(I13,MappingTables!$B$19:$C$31,2,FALSE))</f>
        <v>0</v>
      </c>
      <c r="K13" s="72">
        <v>127.79946147271502</v>
      </c>
      <c r="L13" s="70">
        <v>0.61074325401834904</v>
      </c>
      <c r="M13" s="71">
        <f>IF(L13&lt;1,1,L13)</f>
        <v>1</v>
      </c>
      <c r="N13" s="70" t="s">
        <v>152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IF(B13="",0,INDEX(ModelParameters!$D$86:$K$90,MATCH($O13,ModelParameters!$B$6:$B$10,0),MATCH($J13,ModelParameters!$D$5:$K$5,0)))</f>
        <v>0</v>
      </c>
      <c r="R13" s="71">
        <f>IF(B13="",0,INDEX(ModelParameters!$D$93:$K$97,MATCH($O13,ModelParameters!$B$13:$B$17,0),MATCH($J13,ModelParameters!$D$5:$K$5,0)))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21244054</v>
      </c>
      <c r="C14" s="70" t="s">
        <v>3168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216</v>
      </c>
      <c r="J14" s="71">
        <f>IF(OR(I14=0,I14=""),"unrated",VLOOKUP(I14,MappingTables!$B$19:$C$31,2,FALSE))</f>
        <v>0</v>
      </c>
      <c r="K14" s="72">
        <v>5321.2376194161632</v>
      </c>
      <c r="L14" s="70">
        <v>0.69250906259668856</v>
      </c>
      <c r="M14" s="71">
        <f>IF(L14&lt;1,1,L14)</f>
        <v>1</v>
      </c>
      <c r="N14" s="70" t="s">
        <v>152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IF(B14="",0,INDEX(ModelParameters!$D$86:$K$90,MATCH($O14,ModelParameters!$B$6:$B$10,0),MATCH($J14,ModelParameters!$D$5:$K$5,0)))</f>
        <v>0</v>
      </c>
      <c r="R14" s="71">
        <f>IF(B14="",0,INDEX(ModelParameters!$D$93:$K$97,MATCH($O14,ModelParameters!$B$13:$B$17,0),MATCH($J14,ModelParameters!$D$5:$K$5,0)))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 t="s">
        <v>3169</v>
      </c>
      <c r="C15" s="70" t="s">
        <v>3170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216</v>
      </c>
      <c r="J15" s="71">
        <f>IF(OR(I15=0,I15=""),"unrated",VLOOKUP(I15,MappingTables!$B$19:$C$31,2,FALSE))</f>
        <v>0</v>
      </c>
      <c r="K15" s="72">
        <v>3901.725441855324</v>
      </c>
      <c r="L15" s="70">
        <v>0.11232795652280122</v>
      </c>
      <c r="M15" s="71">
        <f>IF(L15&lt;1,1,L15)</f>
        <v>1</v>
      </c>
      <c r="N15" s="70" t="s">
        <v>152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IF(B15="",0,INDEX(ModelParameters!$D$86:$K$90,MATCH($O15,ModelParameters!$B$6:$B$10,0),MATCH($J15,ModelParameters!$D$5:$K$5,0)))</f>
        <v>0</v>
      </c>
      <c r="R15" s="71">
        <f>IF(B15="",0,INDEX(ModelParameters!$D$93:$K$97,MATCH($O15,ModelParameters!$B$13:$B$17,0),MATCH($J15,ModelParameters!$D$5:$K$5,0)))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>
        <v>20350200</v>
      </c>
      <c r="C16" s="70" t="s">
        <v>3171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216</v>
      </c>
      <c r="J16" s="71">
        <f>IF(OR(I16=0,I16=""),"unrated",VLOOKUP(I16,MappingTables!$B$19:$C$31,2,FALSE))</f>
        <v>0</v>
      </c>
      <c r="K16" s="72">
        <v>592.74290581138192</v>
      </c>
      <c r="L16" s="70">
        <v>0.69250906259669096</v>
      </c>
      <c r="M16" s="71">
        <f>IF(L16&lt;1,1,L16)</f>
        <v>1</v>
      </c>
      <c r="N16" s="70" t="s">
        <v>152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</v>
      </c>
      <c r="Q16" s="71">
        <f>IF(B16="",0,INDEX(ModelParameters!$D$86:$K$90,MATCH($O16,ModelParameters!$B$6:$B$10,0),MATCH($J16,ModelParameters!$D$5:$K$5,0)))</f>
        <v>0</v>
      </c>
      <c r="R16" s="71">
        <f>IF(B16="",0,INDEX(ModelParameters!$D$93:$K$97,MATCH($O16,ModelParameters!$B$13:$B$17,0),MATCH($J16,ModelParameters!$D$5:$K$5,0)))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7480978</v>
      </c>
      <c r="C17" s="70" t="s">
        <v>3172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216</v>
      </c>
      <c r="J17" s="71">
        <f>IF(OR(I17=0,I17=""),"unrated",VLOOKUP(I17,MappingTables!$B$19:$C$31,2,FALSE))</f>
        <v>0</v>
      </c>
      <c r="K17" s="72">
        <v>276.6569693484624</v>
      </c>
      <c r="L17" s="70">
        <v>0.041094607732891544</v>
      </c>
      <c r="M17" s="71">
        <f>IF(L17&lt;1,1,L17)</f>
        <v>1</v>
      </c>
      <c r="N17" s="70" t="s">
        <v>152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</v>
      </c>
      <c r="Q17" s="71">
        <f>IF(B17="",0,INDEX(ModelParameters!$D$86:$K$90,MATCH($O17,ModelParameters!$B$6:$B$10,0),MATCH($J17,ModelParameters!$D$5:$K$5,0)))</f>
        <v>0</v>
      </c>
      <c r="R17" s="71">
        <f>IF(B17="",0,INDEX(ModelParameters!$D$93:$K$97,MATCH($O17,ModelParameters!$B$13:$B$17,0),MATCH($J17,ModelParameters!$D$5:$K$5,0)))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5009193</v>
      </c>
      <c r="C18" s="70" t="s">
        <v>3173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220</v>
      </c>
      <c r="J18" s="71">
        <f>IF(OR(I18=0,I18=""),"unrated",VLOOKUP(I18,MappingTables!$B$19:$C$31,2,FALSE))</f>
        <v>1</v>
      </c>
      <c r="K18" s="72">
        <v>1047158.0505371094</v>
      </c>
      <c r="L18" s="70">
        <v>1.6259304890017056</v>
      </c>
      <c r="M18" s="71">
        <f>IF(L18&lt;1,1,L18)</f>
        <v>1.6259304890017056</v>
      </c>
      <c r="N18" s="70" t="s">
        <v>152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1.6259304890017056</v>
      </c>
      <c r="Q18" s="71">
        <f>IF(B18="",0,INDEX(ModelParameters!$D$86:$K$90,MATCH($O18,ModelParameters!$B$6:$B$10,0),MATCH($J18,ModelParameters!$D$5:$K$5,0)))</f>
        <v>0</v>
      </c>
      <c r="R18" s="71">
        <f>IF(B18="",0,INDEX(ModelParameters!$D$93:$K$97,MATCH($O18,ModelParameters!$B$13:$B$17,0),MATCH($J18,ModelParameters!$D$5:$K$5,0)))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 t="s">
        <v>3160</v>
      </c>
      <c r="C19" s="70" t="s">
        <v>3161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216</v>
      </c>
      <c r="J19" s="71">
        <f>IF(OR(I19=0,I19=""),"unrated",VLOOKUP(I19,MappingTables!$B$19:$C$31,2,FALSE))</f>
        <v>0</v>
      </c>
      <c r="K19" s="72">
        <v>3994.581419378172</v>
      </c>
      <c r="L19" s="70">
        <v>0.1123307731505596</v>
      </c>
      <c r="M19" s="71">
        <f>IF(L19&lt;1,1,L19)</f>
        <v>1</v>
      </c>
      <c r="N19" s="70" t="s">
        <v>152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IF(B19="",0,INDEX(ModelParameters!$D$86:$K$90,MATCH($O19,ModelParameters!$B$6:$B$10,0),MATCH($J19,ModelParameters!$D$5:$K$5,0)))</f>
        <v>0</v>
      </c>
      <c r="R19" s="71">
        <f>IF(B19="",0,INDEX(ModelParameters!$D$93:$K$97,MATCH($O19,ModelParameters!$B$13:$B$17,0),MATCH($J19,ModelParameters!$D$5:$K$5,0)))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19714580</v>
      </c>
      <c r="C20" s="70" t="s">
        <v>3174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216</v>
      </c>
      <c r="J20" s="71">
        <f>IF(OR(I20=0,I20=""),"unrated",VLOOKUP(I20,MappingTables!$B$19:$C$31,2,FALSE))</f>
        <v>0</v>
      </c>
      <c r="K20" s="72">
        <v>1369.6486182354864</v>
      </c>
      <c r="L20" s="70">
        <v>0.20821837971248568</v>
      </c>
      <c r="M20" s="71">
        <f>IF(L20&lt;1,1,L20)</f>
        <v>1</v>
      </c>
      <c r="N20" s="70" t="s">
        <v>152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IF(B20="",0,INDEX(ModelParameters!$D$86:$K$90,MATCH($O20,ModelParameters!$B$6:$B$10,0),MATCH($J20,ModelParameters!$D$5:$K$5,0)))</f>
        <v>0</v>
      </c>
      <c r="R20" s="71">
        <f>IF(B20="",0,INDEX(ModelParameters!$D$93:$K$97,MATCH($O20,ModelParameters!$B$13:$B$17,0),MATCH($J20,ModelParameters!$D$5:$K$5,0)))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 t="s">
        <v>3163</v>
      </c>
      <c r="C21" s="70" t="s">
        <v>3164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216</v>
      </c>
      <c r="J21" s="71">
        <f>IF(OR(I21=0,I21=""),"unrated",VLOOKUP(I21,MappingTables!$B$19:$C$31,2,FALSE))</f>
        <v>0</v>
      </c>
      <c r="K21" s="72">
        <v>3119.0569897217192</v>
      </c>
      <c r="L21" s="70">
        <v>1.3317085156005936</v>
      </c>
      <c r="M21" s="71">
        <f>IF(L21&lt;1,1,L21)</f>
        <v>1.3317085156005936</v>
      </c>
      <c r="N21" s="70" t="s">
        <v>152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1.3317085156005936</v>
      </c>
      <c r="Q21" s="71">
        <f>IF(B21="",0,INDEX(ModelParameters!$D$86:$K$90,MATCH($O21,ModelParameters!$B$6:$B$10,0),MATCH($J21,ModelParameters!$D$5:$K$5,0)))</f>
        <v>0</v>
      </c>
      <c r="R21" s="71">
        <f>IF(B21="",0,INDEX(ModelParameters!$D$93:$K$97,MATCH($O21,ModelParameters!$B$13:$B$17,0),MATCH($J21,ModelParameters!$D$5:$K$5,0)))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20350200</v>
      </c>
      <c r="C22" s="70" t="s">
        <v>3171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216</v>
      </c>
      <c r="J22" s="71">
        <f>IF(OR(I22=0,I22=""),"unrated",VLOOKUP(I22,MappingTables!$B$19:$C$31,2,FALSE))</f>
        <v>0</v>
      </c>
      <c r="K22" s="72">
        <v>1257.2480500086058</v>
      </c>
      <c r="L22" s="70">
        <v>0.69250906259668688</v>
      </c>
      <c r="M22" s="71">
        <f>IF(L22&lt;1,1,L22)</f>
        <v>1</v>
      </c>
      <c r="N22" s="70" t="s">
        <v>152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</v>
      </c>
      <c r="Q22" s="71">
        <f>IF(B22="",0,INDEX(ModelParameters!$D$86:$K$90,MATCH($O22,ModelParameters!$B$6:$B$10,0),MATCH($J22,ModelParameters!$D$5:$K$5,0)))</f>
        <v>0</v>
      </c>
      <c r="R22" s="71">
        <f>IF(B22="",0,INDEX(ModelParameters!$D$93:$K$97,MATCH($O22,ModelParameters!$B$13:$B$17,0),MATCH($J22,ModelParameters!$D$5:$K$5,0)))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>
        <v>22857475</v>
      </c>
      <c r="C23" s="70" t="s">
        <v>3175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181</v>
      </c>
      <c r="J23" s="71">
        <f>IF(OR(I23=0,I23=""),"unrated",VLOOKUP(I23,MappingTables!$B$19:$C$31,2,FALSE))</f>
        <v>3</v>
      </c>
      <c r="K23" s="72">
        <v>11982.31486974254</v>
      </c>
      <c r="L23" s="70">
        <v>9.5546506310383424</v>
      </c>
      <c r="M23" s="71">
        <f>IF(L23&lt;1,1,L23)</f>
        <v>9.5546506310383424</v>
      </c>
      <c r="N23" s="70" t="s">
        <v>152</v>
      </c>
      <c r="O23" s="71">
        <f>INDEX(DurClassMapping,MATCH(M23,MappingTables!$D$4:$D$8,-1),1)</f>
        <v>2</v>
      </c>
      <c r="P23" s="73">
        <f>IF(M23=$A$1,1,$M23-INDEX(MappingTables!$E$4:$E$8,MATCH(O23,MappingTables!$B$4:$B$8,0)))</f>
        <v>4.5546506310383424</v>
      </c>
      <c r="Q23" s="71">
        <f>IF(B23="",0,INDEX(ModelParameters!$D$86:$K$90,MATCH($O23,ModelParameters!$B$6:$B$10,0),MATCH($J23,ModelParameters!$D$5:$K$5,0)))</f>
        <v>0</v>
      </c>
      <c r="R23" s="71">
        <f>IF(B23="",0,INDEX(ModelParameters!$D$93:$K$97,MATCH($O23,ModelParameters!$B$13:$B$17,0),MATCH($J23,ModelParameters!$D$5:$K$5,0)))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 t="s">
        <v>3169</v>
      </c>
      <c r="C24" s="70" t="s">
        <v>3170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216</v>
      </c>
      <c r="J24" s="71">
        <f>IF(OR(I24=0,I24=""),"unrated",VLOOKUP(I24,MappingTables!$B$19:$C$31,2,FALSE))</f>
        <v>0</v>
      </c>
      <c r="K24" s="72">
        <v>1839.5097737904004</v>
      </c>
      <c r="L24" s="70">
        <v>0.11232795652280458</v>
      </c>
      <c r="M24" s="71">
        <f>IF(L24&lt;1,1,L24)</f>
        <v>1</v>
      </c>
      <c r="N24" s="70" t="s">
        <v>152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IF(B24="",0,INDEX(ModelParameters!$D$86:$K$90,MATCH($O24,ModelParameters!$B$6:$B$10,0),MATCH($J24,ModelParameters!$D$5:$K$5,0)))</f>
        <v>0</v>
      </c>
      <c r="R24" s="71">
        <f>IF(B24="",0,INDEX(ModelParameters!$D$93:$K$97,MATCH($O24,ModelParameters!$B$13:$B$17,0),MATCH($J24,ModelParameters!$D$5:$K$5,0)))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>
        <v>19714580</v>
      </c>
      <c r="C25" s="70" t="s">
        <v>3174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216</v>
      </c>
      <c r="J25" s="71">
        <f>IF(OR(I25=0,I25=""),"unrated",VLOOKUP(I25,MappingTables!$B$19:$C$31,2,FALSE))</f>
        <v>0</v>
      </c>
      <c r="K25" s="72">
        <v>645.73534387403936</v>
      </c>
      <c r="L25" s="70">
        <v>0.20821837971249156</v>
      </c>
      <c r="M25" s="71">
        <f>IF(L25&lt;1,1,L25)</f>
        <v>1</v>
      </c>
      <c r="N25" s="70" t="s">
        <v>152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</v>
      </c>
      <c r="Q25" s="71">
        <f>IF(B25="",0,INDEX(ModelParameters!$D$86:$K$90,MATCH($O25,ModelParameters!$B$6:$B$10,0),MATCH($J25,ModelParameters!$D$5:$K$5,0)))</f>
        <v>0</v>
      </c>
      <c r="R25" s="71">
        <f>IF(B25="",0,INDEX(ModelParameters!$D$93:$K$97,MATCH($O25,ModelParameters!$B$13:$B$17,0),MATCH($J25,ModelParameters!$D$5:$K$5,0)))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 t="s">
        <v>3155</v>
      </c>
      <c r="C26" s="70" t="s">
        <v>3156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216</v>
      </c>
      <c r="J26" s="71">
        <f>IF(OR(I26=0,I26=""),"unrated",VLOOKUP(I26,MappingTables!$B$19:$C$31,2,FALSE))</f>
        <v>0</v>
      </c>
      <c r="K26" s="72">
        <v>6280.3621830765456</v>
      </c>
      <c r="L26" s="70">
        <v>1.2858559030524288</v>
      </c>
      <c r="M26" s="71">
        <f>IF(L26&lt;1,1,L26)</f>
        <v>1.2858559030524288</v>
      </c>
      <c r="N26" s="70" t="s">
        <v>152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1.2858559030524288</v>
      </c>
      <c r="Q26" s="71">
        <f>IF(B26="",0,INDEX(ModelParameters!$D$86:$K$90,MATCH($O26,ModelParameters!$B$6:$B$10,0),MATCH($J26,ModelParameters!$D$5:$K$5,0)))</f>
        <v>0</v>
      </c>
      <c r="R26" s="71">
        <f>IF(B26="",0,INDEX(ModelParameters!$D$93:$K$97,MATCH($O26,ModelParameters!$B$13:$B$17,0),MATCH($J26,ModelParameters!$D$5:$K$5,0)))</f>
        <v>0</v>
      </c>
      <c r="S26" s="160">
        <f>IF(B26="",0,MIN(P26*Q26+R26,1))</f>
        <v>0</v>
      </c>
      <c r="T26" s="85">
        <f>IF(B26="",0,$S26*$K26)</f>
        <v>0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</v>
      </c>
      <c r="X26" s="85">
        <f>IF(B26="",0,IF(OR(H26=MappingTables!$C$34,H26=MappingTables!$C$35),W26,0))</f>
        <v>0</v>
      </c>
    </row>
    <row r="27" spans="2:24" s="0" customFormat="0" ht="15">
      <c r="B27" s="69" t="s">
        <v>3176</v>
      </c>
      <c r="C27" s="70" t="s">
        <v>3177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216</v>
      </c>
      <c r="J27" s="71">
        <f>IF(OR(I27=0,I27=""),"unrated",VLOOKUP(I27,MappingTables!$B$19:$C$31,2,FALSE))</f>
        <v>0</v>
      </c>
      <c r="K27" s="72">
        <v>12934.012669596756</v>
      </c>
      <c r="L27" s="70">
        <v>0.20822291142286944</v>
      </c>
      <c r="M27" s="71">
        <f>IF(L27&lt;1,1,L27)</f>
        <v>1</v>
      </c>
      <c r="N27" s="70" t="s">
        <v>152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IF(B27="",0,INDEX(ModelParameters!$D$86:$K$90,MATCH($O27,ModelParameters!$B$6:$B$10,0),MATCH($J27,ModelParameters!$D$5:$K$5,0)))</f>
        <v>0</v>
      </c>
      <c r="R27" s="71">
        <f>IF(B27="",0,INDEX(ModelParameters!$D$93:$K$97,MATCH($O27,ModelParameters!$B$13:$B$17,0),MATCH($J27,ModelParameters!$D$5:$K$5,0)))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14121289</v>
      </c>
      <c r="C28" s="70" t="s">
        <v>3162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216</v>
      </c>
      <c r="J28" s="71">
        <f>IF(OR(I28=0,I28=""),"unrated",VLOOKUP(I28,MappingTables!$B$19:$C$31,2,FALSE))</f>
        <v>0</v>
      </c>
      <c r="K28" s="72">
        <v>395.6724009438544</v>
      </c>
      <c r="L28" s="70">
        <v>1.3023041709722816</v>
      </c>
      <c r="M28" s="71">
        <f>IF(L28&lt;1,1,L28)</f>
        <v>1.3023041709722816</v>
      </c>
      <c r="N28" s="70" t="s">
        <v>152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1.3023041709722816</v>
      </c>
      <c r="Q28" s="71">
        <f>IF(B28="",0,INDEX(ModelParameters!$D$86:$K$90,MATCH($O28,ModelParameters!$B$6:$B$10,0),MATCH($J28,ModelParameters!$D$5:$K$5,0)))</f>
        <v>0</v>
      </c>
      <c r="R28" s="71">
        <f>IF(B28="",0,INDEX(ModelParameters!$D$93:$K$97,MATCH($O28,ModelParameters!$B$13:$B$17,0),MATCH($J28,ModelParameters!$D$5:$K$5,0)))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19202938</v>
      </c>
      <c r="C29" s="70" t="s">
        <v>3165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216</v>
      </c>
      <c r="J29" s="71">
        <f>IF(OR(I29=0,I29=""),"unrated",VLOOKUP(I29,MappingTables!$B$19:$C$31,2,FALSE))</f>
        <v>0</v>
      </c>
      <c r="K29" s="72">
        <v>377.13112101295872</v>
      </c>
      <c r="L29" s="70">
        <v>0.8837730662233512</v>
      </c>
      <c r="M29" s="71">
        <f>IF(L29&lt;1,1,L29)</f>
        <v>1</v>
      </c>
      <c r="N29" s="70" t="s">
        <v>152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IF(B29="",0,INDEX(ModelParameters!$D$86:$K$90,MATCH($O29,ModelParameters!$B$6:$B$10,0),MATCH($J29,ModelParameters!$D$5:$K$5,0)))</f>
        <v>0</v>
      </c>
      <c r="R29" s="71">
        <f>IF(B29="",0,INDEX(ModelParameters!$D$93:$K$97,MATCH($O29,ModelParameters!$B$13:$B$17,0),MATCH($J29,ModelParameters!$D$5:$K$5,0)))</f>
        <v>0</v>
      </c>
      <c r="S29" s="160">
        <f>IF(B29="",0,MIN(P29*Q29+R29,1))</f>
        <v>0</v>
      </c>
      <c r="T29" s="85">
        <f>IF(B29="",0,$S29*$K29)</f>
        <v>0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0</v>
      </c>
      <c r="X29" s="85">
        <f>IF(B29="",0,IF(OR(H29=MappingTables!$C$34,H29=MappingTables!$C$35),W29,0))</f>
        <v>0</v>
      </c>
    </row>
    <row r="30" spans="2:24" s="0" customFormat="0" ht="15">
      <c r="B30" s="69" t="s">
        <v>3176</v>
      </c>
      <c r="C30" s="70" t="s">
        <v>3177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216</v>
      </c>
      <c r="J30" s="71">
        <f>IF(OR(I30=0,I30=""),"unrated",VLOOKUP(I30,MappingTables!$B$19:$C$31,2,FALSE))</f>
        <v>0</v>
      </c>
      <c r="K30" s="72">
        <v>27433.921263792236</v>
      </c>
      <c r="L30" s="70">
        <v>0.20822291142286552</v>
      </c>
      <c r="M30" s="71">
        <f>IF(L30&lt;1,1,L30)</f>
        <v>1</v>
      </c>
      <c r="N30" s="70" t="s">
        <v>152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IF(B30="",0,INDEX(ModelParameters!$D$86:$K$90,MATCH($O30,ModelParameters!$B$6:$B$10,0),MATCH($J30,ModelParameters!$D$5:$K$5,0)))</f>
        <v>0</v>
      </c>
      <c r="R30" s="71">
        <f>IF(B30="",0,INDEX(ModelParameters!$D$93:$K$97,MATCH($O30,ModelParameters!$B$13:$B$17,0),MATCH($J30,ModelParameters!$D$5:$K$5,0)))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>
        <v>23673151</v>
      </c>
      <c r="C31" s="70" t="s">
        <v>3159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216</v>
      </c>
      <c r="J31" s="71">
        <f>IF(OR(I31=0,I31=""),"unrated",VLOOKUP(I31,MappingTables!$B$19:$C$31,2,FALSE))</f>
        <v>0</v>
      </c>
      <c r="K31" s="72">
        <v>701.3549463796436</v>
      </c>
      <c r="L31" s="70">
        <v>0.96046094007869296</v>
      </c>
      <c r="M31" s="71">
        <f>IF(L31&lt;1,1,L31)</f>
        <v>1</v>
      </c>
      <c r="N31" s="70" t="s">
        <v>152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IF(B31="",0,INDEX(ModelParameters!$D$86:$K$90,MATCH($O31,ModelParameters!$B$6:$B$10,0),MATCH($J31,ModelParameters!$D$5:$K$5,0)))</f>
        <v>0</v>
      </c>
      <c r="R31" s="71">
        <f>IF(B31="",0,INDEX(ModelParameters!$D$93:$K$97,MATCH($O31,ModelParameters!$B$13:$B$17,0),MATCH($J31,ModelParameters!$D$5:$K$5,0)))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21244054</v>
      </c>
      <c r="C32" s="70" t="s">
        <v>3168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216</v>
      </c>
      <c r="J32" s="71">
        <f>IF(OR(I32=0,I32=""),"unrated",VLOOKUP(I32,MappingTables!$B$19:$C$31,2,FALSE))</f>
        <v>0</v>
      </c>
      <c r="K32" s="72">
        <v>2508.7538207038388</v>
      </c>
      <c r="L32" s="70">
        <v>0.69250906259669552</v>
      </c>
      <c r="M32" s="71">
        <f>IF(L32&lt;1,1,L32)</f>
        <v>1</v>
      </c>
      <c r="N32" s="70" t="s">
        <v>152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IF(B32="",0,INDEX(ModelParameters!$D$86:$K$90,MATCH($O32,ModelParameters!$B$6:$B$10,0),MATCH($J32,ModelParameters!$D$5:$K$5,0)))</f>
        <v>0</v>
      </c>
      <c r="R32" s="71">
        <f>IF(B32="",0,INDEX(ModelParameters!$D$93:$K$97,MATCH($O32,ModelParameters!$B$13:$B$17,0),MATCH($J32,ModelParameters!$D$5:$K$5,0)))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7480978</v>
      </c>
      <c r="C33" s="70" t="s">
        <v>3172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216</v>
      </c>
      <c r="J33" s="71">
        <f>IF(OR(I33=0,I33=""),"unrated",VLOOKUP(I33,MappingTables!$B$19:$C$31,2,FALSE))</f>
        <v>0</v>
      </c>
      <c r="K33" s="72">
        <v>586.80826346541416</v>
      </c>
      <c r="L33" s="70">
        <v>0.041094607732900728</v>
      </c>
      <c r="M33" s="71">
        <f>IF(L33&lt;1,1,L33)</f>
        <v>1</v>
      </c>
      <c r="N33" s="70" t="s">
        <v>152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</v>
      </c>
      <c r="Q33" s="71">
        <f>IF(B33="",0,INDEX(ModelParameters!$D$86:$K$90,MATCH($O33,ModelParameters!$B$6:$B$10,0),MATCH($J33,ModelParameters!$D$5:$K$5,0)))</f>
        <v>0</v>
      </c>
      <c r="R33" s="71">
        <f>IF(B33="",0,INDEX(ModelParameters!$D$93:$K$97,MATCH($O33,ModelParameters!$B$13:$B$17,0),MATCH($J33,ModelParameters!$D$5:$K$5,0)))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17901012</v>
      </c>
      <c r="C34" s="70" t="s">
        <v>3178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216</v>
      </c>
      <c r="J34" s="71">
        <f>IF(OR(I34=0,I34=""),"unrated",VLOOKUP(I34,MappingTables!$B$19:$C$31,2,FALSE))</f>
        <v>0</v>
      </c>
      <c r="K34" s="72">
        <v>109.55563595327636</v>
      </c>
      <c r="L34" s="70">
        <v>0.45470404172629224</v>
      </c>
      <c r="M34" s="71">
        <f>IF(L34&lt;1,1,L34)</f>
        <v>1</v>
      </c>
      <c r="N34" s="70" t="s">
        <v>152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IF(B34="",0,INDEX(ModelParameters!$D$86:$K$90,MATCH($O34,ModelParameters!$B$6:$B$10,0),MATCH($J34,ModelParameters!$D$5:$K$5,0)))</f>
        <v>0</v>
      </c>
      <c r="R34" s="71">
        <f>IF(B34="",0,INDEX(ModelParameters!$D$93:$K$97,MATCH($O34,ModelParameters!$B$13:$B$17,0),MATCH($J34,ModelParameters!$D$5:$K$5,0)))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>
        <v>14812095</v>
      </c>
      <c r="C35" s="70" t="s">
        <v>3167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216</v>
      </c>
      <c r="J35" s="71">
        <f>IF(OR(I35=0,I35=""),"unrated",VLOOKUP(I35,MappingTables!$B$19:$C$31,2,FALSE))</f>
        <v>0</v>
      </c>
      <c r="K35" s="72">
        <v>60.25240933869168</v>
      </c>
      <c r="L35" s="70">
        <v>0.61074325401834584</v>
      </c>
      <c r="M35" s="71">
        <f>IF(L35&lt;1,1,L35)</f>
        <v>1</v>
      </c>
      <c r="N35" s="70" t="s">
        <v>152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IF(B35="",0,INDEX(ModelParameters!$D$86:$K$90,MATCH($O35,ModelParameters!$B$6:$B$10,0),MATCH($J35,ModelParameters!$D$5:$K$5,0)))</f>
        <v>0</v>
      </c>
      <c r="R35" s="71">
        <f>IF(B35="",0,INDEX(ModelParameters!$D$93:$K$97,MATCH($O35,ModelParameters!$B$13:$B$17,0),MATCH($J35,ModelParameters!$D$5:$K$5,0)))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>
        <v>22857475</v>
      </c>
      <c r="C36" s="70" t="s">
        <v>3175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181</v>
      </c>
      <c r="J36" s="71">
        <f>IF(OR(I36=0,I36=""),"unrated",VLOOKUP(I36,MappingTables!$B$19:$C$31,2,FALSE))</f>
        <v>3</v>
      </c>
      <c r="K36" s="72">
        <v>5649.1892225781048</v>
      </c>
      <c r="L36" s="70">
        <v>9.554650631038344</v>
      </c>
      <c r="M36" s="71">
        <f>IF(L36&lt;1,1,L36)</f>
        <v>9.554650631038344</v>
      </c>
      <c r="N36" s="70" t="s">
        <v>152</v>
      </c>
      <c r="O36" s="71">
        <f>INDEX(DurClassMapping,MATCH(M36,MappingTables!$D$4:$D$8,-1),1)</f>
        <v>2</v>
      </c>
      <c r="P36" s="73">
        <f>IF(M36=$A$1,1,$M36-INDEX(MappingTables!$E$4:$E$8,MATCH(O36,MappingTables!$B$4:$B$8,0)))</f>
        <v>4.554650631038344</v>
      </c>
      <c r="Q36" s="71">
        <f>IF(B36="",0,INDEX(ModelParameters!$D$86:$K$90,MATCH($O36,ModelParameters!$B$6:$B$10,0),MATCH($J36,ModelParameters!$D$5:$K$5,0)))</f>
        <v>0</v>
      </c>
      <c r="R36" s="71">
        <f>IF(B36="",0,INDEX(ModelParameters!$D$93:$K$97,MATCH($O36,ModelParameters!$B$13:$B$17,0),MATCH($J36,ModelParameters!$D$5:$K$5,0)))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24501432</v>
      </c>
      <c r="C37" s="70" t="s">
        <v>3166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216</v>
      </c>
      <c r="J37" s="71">
        <f>IF(OR(I37=0,I37=""),"unrated",VLOOKUP(I37,MappingTables!$B$19:$C$31,2,FALSE))</f>
        <v>0</v>
      </c>
      <c r="K37" s="72">
        <v>208.09848526170684</v>
      </c>
      <c r="L37" s="70">
        <v>1.7453630918103014</v>
      </c>
      <c r="M37" s="71">
        <f>IF(L37&lt;1,1,L37)</f>
        <v>1.7453630918103014</v>
      </c>
      <c r="N37" s="70" t="s">
        <v>152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1.7453630918103014</v>
      </c>
      <c r="Q37" s="71">
        <f>IF(B37="",0,INDEX(ModelParameters!$D$86:$K$90,MATCH($O37,ModelParameters!$B$6:$B$10,0),MATCH($J37,ModelParameters!$D$5:$K$5,0)))</f>
        <v>0</v>
      </c>
      <c r="R37" s="71">
        <f>IF(B37="",0,INDEX(ModelParameters!$D$93:$K$97,MATCH($O37,ModelParameters!$B$13:$B$17,0),MATCH($J37,ModelParameters!$D$5:$K$5,0)))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17901012</v>
      </c>
      <c r="C38" s="70" t="s">
        <v>3178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216</v>
      </c>
      <c r="J38" s="71">
        <f>IF(OR(I38=0,I38=""),"unrated",VLOOKUP(I38,MappingTables!$B$19:$C$31,2,FALSE))</f>
        <v>0</v>
      </c>
      <c r="K38" s="72">
        <v>232.37496108971108</v>
      </c>
      <c r="L38" s="70">
        <v>0.4547040417262928</v>
      </c>
      <c r="M38" s="71">
        <f>IF(L38&lt;1,1,L38)</f>
        <v>1</v>
      </c>
      <c r="N38" s="70" t="s">
        <v>152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1</v>
      </c>
      <c r="Q38" s="71">
        <f>IF(B38="",0,INDEX(ModelParameters!$D$86:$K$90,MATCH($O38,ModelParameters!$B$6:$B$10,0),MATCH($J38,ModelParameters!$D$5:$K$5,0)))</f>
        <v>0</v>
      </c>
      <c r="R38" s="71">
        <f>IF(B38="",0,INDEX(ModelParameters!$D$93:$K$97,MATCH($O38,ModelParameters!$B$13:$B$17,0),MATCH($J38,ModelParameters!$D$5:$K$5,0)))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0</v>
      </c>
      <c r="X38" s="85">
        <f>IF(B38="",0,IF(OR(H38=MappingTables!$C$34,H38=MappingTables!$C$35),W38,0))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4"/>
  <dimension ref="B2:AB12"/>
  <sheetViews>
    <sheetView showGridLines="0" workbookViewId="0"/>
  </sheetViews>
  <sheetFormatPr defaultColWidth="9.1484375" defaultRowHeight="12.75" customHeight="0"/>
  <cols>
    <col min="10" max="10" width="13.28515625" style="1" customWidth="1"/>
    <col min="11" max="11" width="15.85546875" style="1" customWidth="1"/>
    <col min="12" max="12" width="28.85546875" style="1" customWidth="1"/>
    <col min="15" max="15" width="11.714843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153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 t="s">
        <v>3179</v>
      </c>
      <c r="C4" s="70" t="s">
        <v>3180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220</v>
      </c>
      <c r="J4" s="71">
        <f>IF(OR(I4=0,I4=""),"unrated",IF(N4=MappingTables!$B$37,VLOOKUP(I4,MappingTables!$B$39:$C$51,2,FALSE),VLOOKUP(I4,MappingTables!$B$19:$C$31,2,FALSE)))</f>
        <v>2</v>
      </c>
      <c r="K4" s="72">
        <v>280.33074436307908</v>
      </c>
      <c r="L4" s="70">
        <v>0.42466423967719112</v>
      </c>
      <c r="M4" s="71">
        <f>IF(L4&lt;1,1,L4)</f>
        <v>1</v>
      </c>
      <c r="N4" s="70" t="s">
        <v>3181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IF(B4="",0,IF(N4=MappingTables!$B$37,INDEX(ModelParameters!$D$166:$K$170,MATCH($O4,ModelParameters!$B$6:$B$10,0),MATCH($J4,ModelParameters!$D$5:$K$5,0)),INDEX(ModelParameters!$D$102:$K$106,MATCH($O4,ModelParameters!$B$6:$B$10,0),MATCH($J4,ModelParameters!$D$5:$K$5,0))))</f>
        <v>0.011000000000000002</v>
      </c>
      <c r="R4" s="71">
        <f>IF(B4="",0,IF(N4=MappingTables!$B$37,INDEX(ModelParameters!$D$173:$K$177,MATCH($O4,ModelParameters!$B$6:$B$10,0),MATCH($J4,ModelParameters!$D$5:$K$5,0)),INDEX(ModelParameters!$D$102:$K$106,MATCH($O4,ModelParameters!$B$6:$B$10,0),MATCH($J4,ModelParameters!$D$5:$K$5,0))))</f>
        <v>0</v>
      </c>
      <c r="S4" s="160">
        <f>IF(B4="",0,MIN(P4*Q4+R4,1))</f>
        <v>0.011000000000000002</v>
      </c>
      <c r="T4" s="85">
        <f>IF(B4="",0,$S4*$K4)</f>
        <v>3.0836381879938704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0.1689103057824456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640472</v>
      </c>
      <c r="C5" s="70" t="s">
        <v>3182</v>
      </c>
      <c r="D5" s="70" t="s">
        <v>1</v>
      </c>
      <c r="E5" s="70" t="s">
        <v>1</v>
      </c>
      <c r="F5" s="70"/>
      <c r="G5" s="70" t="s">
        <v>55</v>
      </c>
      <c r="H5" s="70" t="s">
        <v>178</v>
      </c>
      <c r="I5" s="70" t="s">
        <v>220</v>
      </c>
      <c r="J5" s="71">
        <f>IF(OR(I5=0,I5=""),"unrated",IF(N5=MappingTables!$B$37,VLOOKUP(I5,MappingTables!$B$39:$C$51,2,FALSE),VLOOKUP(I5,MappingTables!$B$19:$C$31,2,FALSE)))</f>
        <v>1</v>
      </c>
      <c r="K5" s="72">
        <v>2090434.5703125</v>
      </c>
      <c r="L5" s="70">
        <v>0.567129386318354</v>
      </c>
      <c r="M5" s="71">
        <f>IF(L5&lt;1,1,L5)</f>
        <v>1</v>
      </c>
      <c r="N5" s="70" t="s">
        <v>153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IF(B5="",0,IF(N5=MappingTables!$B$37,INDEX(ModelParameters!$D$166:$K$170,MATCH($O5,ModelParameters!$B$6:$B$10,0),MATCH($J5,ModelParameters!$D$5:$K$5,0)),INDEX(ModelParameters!$D$102:$K$106,MATCH($O5,ModelParameters!$B$6:$B$10,0),MATCH($J5,ModelParameters!$D$5:$K$5,0))))</f>
        <v>0</v>
      </c>
      <c r="R5" s="71">
        <f>IF(B5="",0,IF(N5=MappingTables!$B$37,INDEX(ModelParameters!$D$173:$K$177,MATCH($O5,ModelParameters!$B$6:$B$10,0),MATCH($J5,ModelParameters!$D$5:$K$5,0)),INDEX(ModelParameters!$D$102:$K$106,MATCH($O5,ModelParameters!$B$6:$B$10,0),MATCH($J5,ModelParameters!$D$5:$K$5,0))))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0.14144277112511686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 t="s">
        <v>3179</v>
      </c>
      <c r="C6" s="70" t="s">
        <v>3180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220</v>
      </c>
      <c r="J6" s="71">
        <f>IF(OR(I6=0,I6=""),"unrated",IF(N6=MappingTables!$B$37,VLOOKUP(I6,MappingTables!$B$39:$C$51,2,FALSE),VLOOKUP(I6,MappingTables!$B$19:$C$31,2,FALSE)))</f>
        <v>2</v>
      </c>
      <c r="K6" s="72">
        <v>132.16489777358148</v>
      </c>
      <c r="L6" s="70">
        <v>0.42466423967718256</v>
      </c>
      <c r="M6" s="71">
        <f>IF(L6&lt;1,1,L6)</f>
        <v>1</v>
      </c>
      <c r="N6" s="70" t="s">
        <v>3181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IF(B6="",0,IF(N6=MappingTables!$B$37,INDEX(ModelParameters!$D$166:$K$170,MATCH($O6,ModelParameters!$B$6:$B$10,0),MATCH($J6,ModelParameters!$D$5:$K$5,0)),INDEX(ModelParameters!$D$102:$K$106,MATCH($O6,ModelParameters!$B$6:$B$10,0),MATCH($J6,ModelParameters!$D$5:$K$5,0))))</f>
        <v>0.011000000000000002</v>
      </c>
      <c r="R6" s="71">
        <f>IF(B6="",0,IF(N6=MappingTables!$B$37,INDEX(ModelParameters!$D$173:$K$177,MATCH($O6,ModelParameters!$B$6:$B$10,0),MATCH($J6,ModelParameters!$D$5:$K$5,0)),INDEX(ModelParameters!$D$102:$K$106,MATCH($O6,ModelParameters!$B$6:$B$10,0),MATCH($J6,ModelParameters!$D$5:$K$5,0))))</f>
        <v>0</v>
      </c>
      <c r="S6" s="160">
        <f>IF(B6="",0,MIN(P6*Q6+R6,1))</f>
        <v>0.011000000000000002</v>
      </c>
      <c r="T6" s="85">
        <f>IF(B6="",0,$S6*$K6)</f>
        <v>1.4538138755093966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0.07963455220497568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16973990</v>
      </c>
      <c r="C7" s="70" t="s">
        <v>3183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220</v>
      </c>
      <c r="J7" s="71">
        <f>IF(OR(I7=0,I7=""),"unrated",IF(N7=MappingTables!$B$37,VLOOKUP(I7,MappingTables!$B$39:$C$51,2,FALSE),VLOOKUP(I7,MappingTables!$B$19:$C$31,2,FALSE)))</f>
        <v>2</v>
      </c>
      <c r="K7" s="72">
        <v>1074.6002607602824</v>
      </c>
      <c r="L7" s="70">
        <v>0.33957245243334496</v>
      </c>
      <c r="M7" s="71">
        <f>IF(L7&lt;1,1,L7)</f>
        <v>1</v>
      </c>
      <c r="N7" s="70" t="s">
        <v>3181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IF(B7="",0,IF(N7=MappingTables!$B$37,INDEX(ModelParameters!$D$166:$K$170,MATCH($O7,ModelParameters!$B$6:$B$10,0),MATCH($J7,ModelParameters!$D$5:$K$5,0)),INDEX(ModelParameters!$D$102:$K$106,MATCH($O7,ModelParameters!$B$6:$B$10,0),MATCH($J7,ModelParameters!$D$5:$K$5,0))))</f>
        <v>0.011000000000000002</v>
      </c>
      <c r="R7" s="71">
        <f>IF(B7="",0,IF(N7=MappingTables!$B$37,INDEX(ModelParameters!$D$173:$K$177,MATCH($O7,ModelParameters!$B$6:$B$10,0),MATCH($J7,ModelParameters!$D$5:$K$5,0)),INDEX(ModelParameters!$D$102:$K$106,MATCH($O7,ModelParameters!$B$6:$B$10,0),MATCH($J7,ModelParameters!$D$5:$K$5,0))))</f>
        <v>0</v>
      </c>
      <c r="S7" s="160">
        <f>IF(B7="",0,MIN(P7*Q7+R7,1))</f>
        <v>0.011000000000000002</v>
      </c>
      <c r="T7" s="85">
        <f>IF(B7="",0,$S7*$K7)</f>
        <v>11.820602868363108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0.64748894756910928</v>
      </c>
      <c r="X7" s="85">
        <f>IF(B7="",0,IF(OR(H7=MappingTables!$C$34,H7=MappingTables!$C$35),W7,0))</f>
        <v>0</v>
      </c>
    </row>
    <row r="8" spans="2:24" s="0" customFormat="0" ht="15">
      <c r="B8" s="69">
        <v>22281184</v>
      </c>
      <c r="C8" s="70" t="s">
        <v>3184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216</v>
      </c>
      <c r="J8" s="71">
        <f>IF(OR(I8=0,I8=""),"unrated",IF(N8=MappingTables!$B$37,VLOOKUP(I8,MappingTables!$B$39:$C$51,2,FALSE),VLOOKUP(I8,MappingTables!$B$19:$C$31,2,FALSE)))</f>
        <v>2</v>
      </c>
      <c r="K8" s="72">
        <v>273.81914661716308</v>
      </c>
      <c r="L8" s="70">
        <v>0.80243064722653024</v>
      </c>
      <c r="M8" s="71">
        <f>IF(L8&lt;1,1,L8)</f>
        <v>1</v>
      </c>
      <c r="N8" s="70" t="s">
        <v>3181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IF(B8="",0,IF(N8=MappingTables!$B$37,INDEX(ModelParameters!$D$166:$K$170,MATCH($O8,ModelParameters!$B$6:$B$10,0),MATCH($J8,ModelParameters!$D$5:$K$5,0)),INDEX(ModelParameters!$D$102:$K$106,MATCH($O8,ModelParameters!$B$6:$B$10,0),MATCH($J8,ModelParameters!$D$5:$K$5,0))))</f>
        <v>0.011000000000000002</v>
      </c>
      <c r="R8" s="71">
        <f>IF(B8="",0,IF(N8=MappingTables!$B$37,INDEX(ModelParameters!$D$173:$K$177,MATCH($O8,ModelParameters!$B$6:$B$10,0),MATCH($J8,ModelParameters!$D$5:$K$5,0)),INDEX(ModelParameters!$D$102:$K$106,MATCH($O8,ModelParameters!$B$6:$B$10,0),MATCH($J8,ModelParameters!$D$5:$K$5,0))))</f>
        <v>0</v>
      </c>
      <c r="S8" s="160">
        <f>IF(B8="",0,MIN(P8*Q8+R8,1))</f>
        <v>0.011000000000000002</v>
      </c>
      <c r="T8" s="85">
        <f>IF(B8="",0,$S8*$K8)</f>
        <v>3.0120106127887944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0.16498681187922098</v>
      </c>
      <c r="X8" s="85">
        <f>IF(B8="",0,IF(OR(H8=MappingTables!$C$34,H8=MappingTables!$C$35),W8,0))</f>
        <v>0</v>
      </c>
    </row>
    <row r="9" spans="2:24" s="0" customFormat="0" ht="15">
      <c r="B9" s="69" t="s">
        <v>3185</v>
      </c>
      <c r="C9" s="70" t="s">
        <v>3186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198</v>
      </c>
      <c r="J9" s="71" t="str">
        <f>IF(OR(I9=0,I9=""),"unrated",IF(N9=MappingTables!$B$37,VLOOKUP(I9,MappingTables!$B$39:$C$51,2,FALSE),VLOOKUP(I9,MappingTables!$B$19:$C$31,2,FALSE)))</f>
        <v>unrated</v>
      </c>
      <c r="K9" s="72">
        <v>5.1408323445281112</v>
      </c>
      <c r="L9" s="70">
        <v>0.71233459838915072</v>
      </c>
      <c r="M9" s="71">
        <f>IF(L9&lt;1,1,L9)</f>
        <v>1</v>
      </c>
      <c r="N9" s="70" t="s">
        <v>153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IF(B9="",0,IF(N9=MappingTables!$B$37,INDEX(ModelParameters!$D$166:$K$170,MATCH($O9,ModelParameters!$B$6:$B$10,0),MATCH($J9,ModelParameters!$D$5:$K$5,0)),INDEX(ModelParameters!$D$102:$K$106,MATCH($O9,ModelParameters!$B$6:$B$10,0),MATCH($J9,ModelParameters!$D$5:$K$5,0))))</f>
        <v>0</v>
      </c>
      <c r="R9" s="71">
        <f>IF(B9="",0,IF(N9=MappingTables!$B$37,INDEX(ModelParameters!$D$173:$K$177,MATCH($O9,ModelParameters!$B$6:$B$10,0),MATCH($J9,ModelParameters!$D$5:$K$5,0)),INDEX(ModelParameters!$D$102:$K$106,MATCH($O9,ModelParameters!$B$6:$B$10,0),MATCH($J9,ModelParameters!$D$5:$K$5,0))))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>
        <v>22281184</v>
      </c>
      <c r="C10" s="70" t="s">
        <v>3184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216</v>
      </c>
      <c r="J10" s="71">
        <f>IF(OR(I10=0,I10=""),"unrated",IF(N10=MappingTables!$B$37,VLOOKUP(I10,MappingTables!$B$39:$C$51,2,FALSE),VLOOKUP(I10,MappingTables!$B$19:$C$31,2,FALSE)))</f>
        <v>2</v>
      </c>
      <c r="K10" s="72">
        <v>580.78904828750568</v>
      </c>
      <c r="L10" s="70">
        <v>0.80243064722653984</v>
      </c>
      <c r="M10" s="71">
        <f>IF(L10&lt;1,1,L10)</f>
        <v>1</v>
      </c>
      <c r="N10" s="70" t="s">
        <v>3181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IF(B10="",0,IF(N10=MappingTables!$B$37,INDEX(ModelParameters!$D$166:$K$170,MATCH($O10,ModelParameters!$B$6:$B$10,0),MATCH($J10,ModelParameters!$D$5:$K$5,0)),INDEX(ModelParameters!$D$102:$K$106,MATCH($O10,ModelParameters!$B$6:$B$10,0),MATCH($J10,ModelParameters!$D$5:$K$5,0))))</f>
        <v>0.011000000000000002</v>
      </c>
      <c r="R10" s="71">
        <f>IF(B10="",0,IF(N10=MappingTables!$B$37,INDEX(ModelParameters!$D$173:$K$177,MATCH($O10,ModelParameters!$B$6:$B$10,0),MATCH($J10,ModelParameters!$D$5:$K$5,0)),INDEX(ModelParameters!$D$102:$K$106,MATCH($O10,ModelParameters!$B$6:$B$10,0),MATCH($J10,ModelParameters!$D$5:$K$5,0))))</f>
        <v>0</v>
      </c>
      <c r="S10" s="160">
        <f>IF(B10="",0,MIN(P10*Q10+R10,1))</f>
        <v>0.011000000000000002</v>
      </c>
      <c r="T10" s="85">
        <f>IF(B10="",0,$S10*$K10)</f>
        <v>6.3886795311625632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0.34994825831261396</v>
      </c>
      <c r="X10" s="85">
        <f>IF(B10="",0,IF(OR(H10=MappingTables!$C$34,H10=MappingTables!$C$35),W10,0))</f>
        <v>0</v>
      </c>
    </row>
    <row r="11" spans="2:24" s="0" customFormat="0" ht="15">
      <c r="B11" s="69" t="s">
        <v>3185</v>
      </c>
      <c r="C11" s="70" t="s">
        <v>3186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198</v>
      </c>
      <c r="J11" s="71" t="str">
        <f>IF(OR(I11=0,I11=""),"unrated",IF(N11=MappingTables!$B$37,VLOOKUP(I11,MappingTables!$B$39:$C$51,2,FALSE),VLOOKUP(I11,MappingTables!$B$19:$C$31,2,FALSE)))</f>
        <v>unrated</v>
      </c>
      <c r="K11" s="72">
        <v>2.4236998377603576</v>
      </c>
      <c r="L11" s="70">
        <v>0.71233459838915448</v>
      </c>
      <c r="M11" s="71">
        <f>IF(L11&lt;1,1,L11)</f>
        <v>1</v>
      </c>
      <c r="N11" s="70" t="s">
        <v>153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IF(B11="",0,IF(N11=MappingTables!$B$37,INDEX(ModelParameters!$D$166:$K$170,MATCH($O11,ModelParameters!$B$6:$B$10,0),MATCH($J11,ModelParameters!$D$5:$K$5,0)),INDEX(ModelParameters!$D$102:$K$106,MATCH($O11,ModelParameters!$B$6:$B$10,0),MATCH($J11,ModelParameters!$D$5:$K$5,0))))</f>
        <v>0</v>
      </c>
      <c r="R11" s="71">
        <f>IF(B11="",0,IF(N11=MappingTables!$B$37,INDEX(ModelParameters!$D$173:$K$177,MATCH($O11,ModelParameters!$B$6:$B$10,0),MATCH($J11,ModelParameters!$D$5:$K$5,0)),INDEX(ModelParameters!$D$102:$K$106,MATCH($O11,ModelParameters!$B$6:$B$10,0),MATCH($J11,ModelParameters!$D$5:$K$5,0))))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16973990</v>
      </c>
      <c r="C12" s="70" t="s">
        <v>3183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220</v>
      </c>
      <c r="J12" s="71">
        <f>IF(OR(I12=0,I12=""),"unrated",IF(N12=MappingTables!$B$37,VLOOKUP(I12,MappingTables!$B$39:$C$51,2,FALSE),VLOOKUP(I12,MappingTables!$B$19:$C$31,2,FALSE)))</f>
        <v>2</v>
      </c>
      <c r="K12" s="72">
        <v>2279.3002988891536</v>
      </c>
      <c r="L12" s="70">
        <v>0.33957245243334772</v>
      </c>
      <c r="M12" s="71">
        <f>IF(L12&lt;1,1,L12)</f>
        <v>1</v>
      </c>
      <c r="N12" s="70" t="s">
        <v>3181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IF(B12="",0,IF(N12=MappingTables!$B$37,INDEX(ModelParameters!$D$166:$K$170,MATCH($O12,ModelParameters!$B$6:$B$10,0),MATCH($J12,ModelParameters!$D$5:$K$5,0)),INDEX(ModelParameters!$D$102:$K$106,MATCH($O12,ModelParameters!$B$6:$B$10,0),MATCH($J12,ModelParameters!$D$5:$K$5,0))))</f>
        <v>0.011000000000000002</v>
      </c>
      <c r="R12" s="71">
        <f>IF(B12="",0,IF(N12=MappingTables!$B$37,INDEX(ModelParameters!$D$173:$K$177,MATCH($O12,ModelParameters!$B$6:$B$10,0),MATCH($J12,ModelParameters!$D$5:$K$5,0)),INDEX(ModelParameters!$D$102:$K$106,MATCH($O12,ModelParameters!$B$6:$B$10,0),MATCH($J12,ModelParameters!$D$5:$K$5,0))))</f>
        <v>0</v>
      </c>
      <c r="S12" s="160">
        <f>IF(B12="",0,MIN(P12*Q12+R12,1))</f>
        <v>0.011000000000000002</v>
      </c>
      <c r="T12" s="85">
        <f>IF(B12="",0,$S12*$K12)</f>
        <v>25.072303287780692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1.373368131027203</v>
      </c>
      <c r="X12" s="85">
        <f>IF(B12="",0,IF(OR(H12=MappingTables!$C$34,H12=MappingTables!$C$35),W12,0))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5"/>
  <dimension ref="B1:AB117"/>
  <sheetViews>
    <sheetView showGridLines="0" workbookViewId="0"/>
  </sheetViews>
  <sheetFormatPr defaultColWidth="9.1484375" defaultRowHeight="12.75" customHeight="0"/>
  <cols>
    <col min="10" max="10" width="11.5703125" style="1" customWidth="1"/>
    <col min="11" max="11" width="13.71484375" style="1" customWidth="1"/>
    <col min="12" max="12" width="28.85546875" style="1" customWidth="1"/>
    <col min="13" max="13" width="18.4296875" style="1" customWidth="1"/>
    <col min="14" max="18" width="15.5703125" style="1" customWidth="1"/>
    <col min="20" max="20" width="10.4296875" style="1" customWidth="1"/>
    <col min="21" max="21" width="13" style="1" customWidth="1"/>
    <col min="23" max="23" width="11.71484375" style="1" customWidth="1"/>
    <col min="24" max="24" width="22" style="1" customWidth="1"/>
    <col min="25" max="25" width="24.28515625" style="1" customWidth="1"/>
    <col min="26" max="26" width="20.71484375" style="1" customWidth="1"/>
  </cols>
  <sheetData>
    <row r="1" spans="24:24" s="0" customFormat="0" ht="15">
      <c r="X1" s="1"/>
    </row>
    <row r="2" spans="2:28" s="0" customFormat="0" ht="15">
      <c r="B2" s="154" t="s">
        <v>3187</v>
      </c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6"/>
      <c r="Y2" s="27"/>
      <c r="Z2" s="27"/>
      <c r="AA2" s="27"/>
      <c r="AB2" s="5"/>
    </row>
    <row r="3" spans="2:28" s="0" customFormat="0" ht="48" customHeight="1">
      <c r="B3" s="122" t="s">
        <v>155</v>
      </c>
      <c r="C3" s="122" t="s">
        <v>156</v>
      </c>
      <c r="D3" s="122" t="s">
        <v>10</v>
      </c>
      <c r="E3" s="122" t="s">
        <v>157</v>
      </c>
      <c r="F3" s="122" t="s">
        <v>158</v>
      </c>
      <c r="G3" s="122" t="s">
        <v>159</v>
      </c>
      <c r="H3" s="122" t="s">
        <v>160</v>
      </c>
      <c r="I3" s="122" t="s">
        <v>161</v>
      </c>
      <c r="J3" s="122" t="s">
        <v>162</v>
      </c>
      <c r="K3" s="122" t="s">
        <v>163</v>
      </c>
      <c r="L3" s="122" t="s">
        <v>164</v>
      </c>
      <c r="M3" s="122" t="s">
        <v>165</v>
      </c>
      <c r="N3" s="122" t="s">
        <v>3188</v>
      </c>
      <c r="O3" s="122" t="s">
        <v>166</v>
      </c>
      <c r="P3" s="122" t="s">
        <v>167</v>
      </c>
      <c r="Q3" s="122" t="s">
        <v>168</v>
      </c>
      <c r="R3" s="122" t="s">
        <v>169</v>
      </c>
      <c r="S3" s="122" t="s">
        <v>170</v>
      </c>
      <c r="T3" s="122" t="s">
        <v>171</v>
      </c>
      <c r="U3" s="122" t="s">
        <v>172</v>
      </c>
      <c r="V3" s="122" t="s">
        <v>173</v>
      </c>
      <c r="W3" s="123" t="s">
        <v>174</v>
      </c>
      <c r="X3" s="163" t="s">
        <v>175</v>
      </c>
      <c r="AA3" s="124"/>
      <c r="AB3" s="24" t="s">
        <v>5</v>
      </c>
    </row>
    <row r="4" spans="2:28" s="0" customFormat="0" ht="15">
      <c r="B4" s="69" t="s">
        <v>3189</v>
      </c>
      <c r="C4" s="70" t="s">
        <v>3190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188</v>
      </c>
      <c r="J4" s="71">
        <f>IF(OR(I4=0,I4=""),"unrated",VLOOKUP(I4,MappingTables!$B$19:$C$31,2,FALSE))</f>
        <v>2</v>
      </c>
      <c r="K4" s="72">
        <v>77.84024686962896</v>
      </c>
      <c r="L4" s="70">
        <v>0.068497820651690192</v>
      </c>
      <c r="M4" s="71">
        <f>IF(L4&lt;1,1,L4)</f>
        <v>1</v>
      </c>
      <c r="N4" s="70" t="s">
        <v>3191</v>
      </c>
      <c r="O4" s="157">
        <f>INDEX(DurClassMapping,MATCH(M4,MappingTables!$D$4:$D$8,-1),1)</f>
        <v>1</v>
      </c>
      <c r="P4" s="157">
        <f>IF(M4=$A$1,1,$M4-INDEX(MappingTables!$E$4:$E$8,MATCH(O4,MappingTables!$B$4:$B$8,0)))</f>
        <v>1</v>
      </c>
      <c r="Q4" s="157">
        <f>IF(B4="",0,IF(OR(N4=MappingTables!$C$12,N4=MappingTables!$C$15),INDEX(ModelParameters!$D$134:$K$138,MATCH($O4,ModelParameters!$B$6:$B$10,0),MATCH($J4,ModelParameters!$D$5:$K$5,0)),IF(N4=MappingTables!$C$13,INDEX(ModelParameters!$D$150:$K$154,MATCH($O4,ModelParameters!$B$6:$B$10,0),MATCH($J4,ModelParameters!$D$5:$K$5,0)),0)))</f>
        <v>0.016</v>
      </c>
      <c r="R4" s="157">
        <f>IF(B4="",0,IF(OR(N4=MappingTables!$C$12,N4=MappingTables!$C$15),INDEX(ModelParameters!$D$141:$K$145,MATCH($O4,ModelParameters!$B$13:$B$17,0),MATCH($J4,ModelParameters!$D$5:$K$5,0)),IF(N4=MappingTables!$C$13,INDEX(ModelParameters!$D$157:$K$161,MATCH($O4,ModelParameters!$B$13:$B$17,0),MATCH($J4,ModelParameters!$D$5:$K$5,0)),0)))</f>
        <v>0</v>
      </c>
      <c r="S4" s="71">
        <f>IF(B4="",0,MIN(P4*Q4+R4,1))</f>
        <v>0.016</v>
      </c>
      <c r="T4" s="73">
        <f>IF(B4="",0,$S4*$K4)</f>
        <v>1.2454439499140632</v>
      </c>
      <c r="U4" s="73">
        <f>IF(B4="",0,IF(OR(H4=MappingTables!$C$34,H4=MappingTables!$C$35),T4,0))</f>
        <v>0</v>
      </c>
      <c r="V4" s="73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73">
        <f>IF(B4="",0,+$T4*$V4)</f>
        <v>0.068220817615357488</v>
      </c>
      <c r="X4" s="85">
        <f>IF(B4="",0,IF(OR(H4=MappingTables!$C$34,H4=MappingTables!$C$35),W4,0))</f>
        <v>0</v>
      </c>
      <c r="AA4" s="35"/>
      <c r="AB4" s="27" t="s">
        <v>8</v>
      </c>
    </row>
    <row r="5" spans="2:28" s="0" customFormat="0" ht="15">
      <c r="B5" s="69">
        <v>22554600</v>
      </c>
      <c r="C5" s="70" t="s">
        <v>3192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216</v>
      </c>
      <c r="J5" s="71">
        <f>IF(OR(I5=0,I5=""),"unrated",VLOOKUP(I5,MappingTables!$B$19:$C$31,2,FALSE))</f>
        <v>0</v>
      </c>
      <c r="K5" s="72">
        <v>293.94064710001316</v>
      </c>
      <c r="L5" s="70">
        <v>3.2569707515527556</v>
      </c>
      <c r="M5" s="71">
        <f>IF(L5&lt;1,1,L5)</f>
        <v>3.2569707515527556</v>
      </c>
      <c r="N5" s="70" t="s">
        <v>3191</v>
      </c>
      <c r="O5" s="157">
        <f>INDEX(DurClassMapping,MATCH(M5,MappingTables!$D$4:$D$8,-1),1)</f>
        <v>1</v>
      </c>
      <c r="P5" s="157">
        <f>IF(M5=$A$1,1,$M5-INDEX(MappingTables!$E$4:$E$8,MATCH(O5,MappingTables!$B$4:$B$8,0)))</f>
        <v>3.2569707515527556</v>
      </c>
      <c r="Q5" s="157">
        <f>IF(B5="",0,IF(OR(N5=MappingTables!$C$12,N5=MappingTables!$C$15),INDEX(ModelParameters!$D$134:$K$138,MATCH($O5,ModelParameters!$B$6:$B$10,0),MATCH($J5,ModelParameters!$D$5:$K$5,0)),IF(N5=MappingTables!$C$13,INDEX(ModelParameters!$D$150:$K$154,MATCH($O5,ModelParameters!$B$6:$B$10,0),MATCH($J5,ModelParameters!$D$5:$K$5,0)),0)))</f>
        <v>0.01</v>
      </c>
      <c r="R5" s="157">
        <f>IF(B5="",0,IF(OR(N5=MappingTables!$C$12,N5=MappingTables!$C$15),INDEX(ModelParameters!$D$141:$K$145,MATCH($O5,ModelParameters!$B$13:$B$17,0),MATCH($J5,ModelParameters!$D$5:$K$5,0)),IF(N5=MappingTables!$C$13,INDEX(ModelParameters!$D$157:$K$161,MATCH($O5,ModelParameters!$B$13:$B$17,0),MATCH($J5,ModelParameters!$D$5:$K$5,0)),0)))</f>
        <v>0</v>
      </c>
      <c r="S5" s="71">
        <f>IF(B5="",0,MIN(P5*Q5+R5,1))</f>
        <v>0.032569707515527556</v>
      </c>
      <c r="T5" s="73">
        <f>IF(B5="",0,$S5*$K5)</f>
        <v>9.5735609029723328</v>
      </c>
      <c r="U5" s="73">
        <f>IF(B5="",0,IF(OR(H5=MappingTables!$C$34,H5=MappingTables!$C$35),T5,0))</f>
        <v>0</v>
      </c>
      <c r="V5" s="73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73">
        <f>IF(B5="",0,+$T5*$V5)</f>
        <v>0.52440429160722824</v>
      </c>
      <c r="X5" s="85">
        <f>IF(B5="",0,IF(OR(H5=MappingTables!$C$34,H5=MappingTables!$C$35),W5,0))</f>
        <v>0</v>
      </c>
      <c r="AA5" s="36"/>
      <c r="AB5" s="27" t="s">
        <v>11</v>
      </c>
    </row>
    <row r="6" spans="2:28" s="0" customFormat="0" ht="15">
      <c r="B6" s="69">
        <v>22554345</v>
      </c>
      <c r="C6" s="70" t="s">
        <v>3193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216</v>
      </c>
      <c r="J6" s="71">
        <f>IF(OR(I6=0,I6=""),"unrated",VLOOKUP(I6,MappingTables!$B$19:$C$31,2,FALSE))</f>
        <v>0</v>
      </c>
      <c r="K6" s="72">
        <v>14.206336637449032</v>
      </c>
      <c r="L6" s="70">
        <v>0.0694193020424696</v>
      </c>
      <c r="M6" s="71">
        <f>IF(L6&lt;1,1,L6)</f>
        <v>1</v>
      </c>
      <c r="N6" s="70" t="s">
        <v>3191</v>
      </c>
      <c r="O6" s="157">
        <f>INDEX(DurClassMapping,MATCH(M6,MappingTables!$D$4:$D$8,-1),1)</f>
        <v>1</v>
      </c>
      <c r="P6" s="157">
        <f>IF(M6=$A$1,1,$M6-INDEX(MappingTables!$E$4:$E$8,MATCH(O6,MappingTables!$B$4:$B$8,0)))</f>
        <v>1</v>
      </c>
      <c r="Q6" s="157">
        <f>IF(B6="",0,IF(OR(N6=MappingTables!$C$12,N6=MappingTables!$C$15),INDEX(ModelParameters!$D$134:$K$138,MATCH($O6,ModelParameters!$B$6:$B$10,0),MATCH($J6,ModelParameters!$D$5:$K$5,0)),IF(N6=MappingTables!$C$13,INDEX(ModelParameters!$D$150:$K$154,MATCH($O6,ModelParameters!$B$6:$B$10,0),MATCH($J6,ModelParameters!$D$5:$K$5,0)),0)))</f>
        <v>0.01</v>
      </c>
      <c r="R6" s="157">
        <f>IF(B6="",0,IF(OR(N6=MappingTables!$C$12,N6=MappingTables!$C$15),INDEX(ModelParameters!$D$141:$K$145,MATCH($O6,ModelParameters!$B$13:$B$17,0),MATCH($J6,ModelParameters!$D$5:$K$5,0)),IF(N6=MappingTables!$C$13,INDEX(ModelParameters!$D$157:$K$161,MATCH($O6,ModelParameters!$B$13:$B$17,0),MATCH($J6,ModelParameters!$D$5:$K$5,0)),0)))</f>
        <v>0</v>
      </c>
      <c r="S6" s="71">
        <f>IF(B6="",0,MIN(P6*Q6+R6,1))</f>
        <v>0.01</v>
      </c>
      <c r="T6" s="73">
        <f>IF(B6="",0,$S6*$K6)</f>
        <v>0.14206336637449032</v>
      </c>
      <c r="U6" s="73">
        <f>IF(B6="",0,IF(OR(H6=MappingTables!$C$34,H6=MappingTables!$C$35),T6,0))</f>
        <v>0</v>
      </c>
      <c r="V6" s="73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73">
        <f>IF(B6="",0,+$T6*$V6)</f>
        <v>0.0077817062806612448</v>
      </c>
      <c r="X6" s="85">
        <f>IF(B6="",0,IF(OR(H6=MappingTables!$C$34,H6=MappingTables!$C$35),W6,0))</f>
        <v>0</v>
      </c>
      <c r="AA6" s="37"/>
      <c r="AB6" s="27" t="s">
        <v>14</v>
      </c>
    </row>
    <row r="7" spans="2:24" s="0" customFormat="0" ht="15">
      <c r="B7" s="69">
        <v>4279957</v>
      </c>
      <c r="C7" s="70" t="s">
        <v>3194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188</v>
      </c>
      <c r="J7" s="71">
        <f>IF(OR(I7=0,I7=""),"unrated",VLOOKUP(I7,MappingTables!$B$19:$C$31,2,FALSE))</f>
        <v>2</v>
      </c>
      <c r="K7" s="72">
        <v>22.640154988313704</v>
      </c>
      <c r="L7" s="70">
        <v>0.068494817858307816</v>
      </c>
      <c r="M7" s="71">
        <f>IF(L7&lt;1,1,L7)</f>
        <v>1</v>
      </c>
      <c r="N7" s="70" t="s">
        <v>3191</v>
      </c>
      <c r="O7" s="157">
        <f>INDEX(DurClassMapping,MATCH(M7,MappingTables!$D$4:$D$8,-1),1)</f>
        <v>1</v>
      </c>
      <c r="P7" s="157">
        <f>IF(M7=$A$1,1,$M7-INDEX(MappingTables!$E$4:$E$8,MATCH(O7,MappingTables!$B$4:$B$8,0)))</f>
        <v>1</v>
      </c>
      <c r="Q7" s="157">
        <f>IF(B7="",0,IF(OR(N7=MappingTables!$C$12,N7=MappingTables!$C$15),INDEX(ModelParameters!$D$134:$K$138,MATCH($O7,ModelParameters!$B$6:$B$10,0),MATCH($J7,ModelParameters!$D$5:$K$5,0)),IF(N7=MappingTables!$C$13,INDEX(ModelParameters!$D$150:$K$154,MATCH($O7,ModelParameters!$B$6:$B$10,0),MATCH($J7,ModelParameters!$D$5:$K$5,0)),0)))</f>
        <v>0.016</v>
      </c>
      <c r="R7" s="157">
        <f>IF(B7="",0,IF(OR(N7=MappingTables!$C$12,N7=MappingTables!$C$15),INDEX(ModelParameters!$D$141:$K$145,MATCH($O7,ModelParameters!$B$13:$B$17,0),MATCH($J7,ModelParameters!$D$5:$K$5,0)),IF(N7=MappingTables!$C$13,INDEX(ModelParameters!$D$157:$K$161,MATCH($O7,ModelParameters!$B$13:$B$17,0),MATCH($J7,ModelParameters!$D$5:$K$5,0)),0)))</f>
        <v>0</v>
      </c>
      <c r="S7" s="71">
        <f>IF(B7="",0,MIN(P7*Q7+R7,1))</f>
        <v>0.016</v>
      </c>
      <c r="T7" s="73">
        <f>IF(B7="",0,$S7*$K7)</f>
        <v>0.36224247981301928</v>
      </c>
      <c r="U7" s="73">
        <f>IF(B7="",0,IF(OR(H7=MappingTables!$C$34,H7=MappingTables!$C$35),T7,0))</f>
        <v>0</v>
      </c>
      <c r="V7" s="73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73">
        <f>IF(B7="",0,+$T7*$V7)</f>
        <v>0.0198423045449488</v>
      </c>
      <c r="X7" s="85">
        <f>IF(B7="",0,IF(OR(H7=MappingTables!$C$34,H7=MappingTables!$C$35),W7,0))</f>
        <v>0</v>
      </c>
    </row>
    <row r="8" spans="2:24" s="0" customFormat="0" ht="15">
      <c r="B8" s="69" t="s">
        <v>3195</v>
      </c>
      <c r="C8" s="70" t="s">
        <v>3196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181</v>
      </c>
      <c r="J8" s="71">
        <f>IF(OR(I8=0,I8=""),"unrated",VLOOKUP(I8,MappingTables!$B$19:$C$31,2,FALSE))</f>
        <v>3</v>
      </c>
      <c r="K8" s="72">
        <v>67.04971152492364</v>
      </c>
      <c r="L8" s="70">
        <v>0.068495093851095976</v>
      </c>
      <c r="M8" s="71">
        <f>IF(L8&lt;1,1,L8)</f>
        <v>1</v>
      </c>
      <c r="N8" s="70" t="s">
        <v>3191</v>
      </c>
      <c r="O8" s="157">
        <f>INDEX(DurClassMapping,MATCH(M8,MappingTables!$D$4:$D$8,-1),1)</f>
        <v>1</v>
      </c>
      <c r="P8" s="157">
        <f>IF(M8=$A$1,1,$M8-INDEX(MappingTables!$E$4:$E$8,MATCH(O8,MappingTables!$B$4:$B$8,0)))</f>
        <v>1</v>
      </c>
      <c r="Q8" s="157">
        <f>IF(B8="",0,IF(OR(N8=MappingTables!$C$12,N8=MappingTables!$C$15),INDEX(ModelParameters!$D$134:$K$138,MATCH($O8,ModelParameters!$B$6:$B$10,0),MATCH($J8,ModelParameters!$D$5:$K$5,0)),IF(N8=MappingTables!$C$13,INDEX(ModelParameters!$D$150:$K$154,MATCH($O8,ModelParameters!$B$6:$B$10,0),MATCH($J8,ModelParameters!$D$5:$K$5,0)),0)))</f>
        <v>0.028</v>
      </c>
      <c r="R8" s="157">
        <f>IF(B8="",0,IF(OR(N8=MappingTables!$C$12,N8=MappingTables!$C$15),INDEX(ModelParameters!$D$141:$K$145,MATCH($O8,ModelParameters!$B$13:$B$17,0),MATCH($J8,ModelParameters!$D$5:$K$5,0)),IF(N8=MappingTables!$C$13,INDEX(ModelParameters!$D$157:$K$161,MATCH($O8,ModelParameters!$B$13:$B$17,0),MATCH($J8,ModelParameters!$D$5:$K$5,0)),0)))</f>
        <v>0</v>
      </c>
      <c r="S8" s="71">
        <f>IF(B8="",0,MIN(P8*Q8+R8,1))</f>
        <v>0.028</v>
      </c>
      <c r="T8" s="73">
        <f>IF(B8="",0,$S8*$K8)</f>
        <v>1.877391922697862</v>
      </c>
      <c r="U8" s="73">
        <f>IF(B8="",0,IF(OR(H8=MappingTables!$C$34,H8=MappingTables!$C$35),T8,0))</f>
        <v>0</v>
      </c>
      <c r="V8" s="73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73">
        <f>IF(B8="",0,+$T8*$V8)</f>
        <v>0.1028365924935872</v>
      </c>
      <c r="X8" s="85">
        <f>IF(B8="",0,IF(OR(H8=MappingTables!$C$34,H8=MappingTables!$C$35),W8,0))</f>
        <v>0</v>
      </c>
    </row>
    <row r="9" spans="2:24" s="0" customFormat="0" ht="15">
      <c r="B9" s="69">
        <v>22554288</v>
      </c>
      <c r="C9" s="70" t="s">
        <v>3197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181</v>
      </c>
      <c r="J9" s="71">
        <f>IF(OR(I9=0,I9=""),"unrated",VLOOKUP(I9,MappingTables!$B$19:$C$31,2,FALSE))</f>
        <v>3</v>
      </c>
      <c r="K9" s="72">
        <v>78.207560099003296</v>
      </c>
      <c r="L9" s="70">
        <v>0.068490025643247008</v>
      </c>
      <c r="M9" s="71">
        <f>IF(L9&lt;1,1,L9)</f>
        <v>1</v>
      </c>
      <c r="N9" s="70" t="s">
        <v>3191</v>
      </c>
      <c r="O9" s="157">
        <f>INDEX(DurClassMapping,MATCH(M9,MappingTables!$D$4:$D$8,-1),1)</f>
        <v>1</v>
      </c>
      <c r="P9" s="157">
        <f>IF(M9=$A$1,1,$M9-INDEX(MappingTables!$E$4:$E$8,MATCH(O9,MappingTables!$B$4:$B$8,0)))</f>
        <v>1</v>
      </c>
      <c r="Q9" s="157">
        <f>IF(B9="",0,IF(OR(N9=MappingTables!$C$12,N9=MappingTables!$C$15),INDEX(ModelParameters!$D$134:$K$138,MATCH($O9,ModelParameters!$B$6:$B$10,0),MATCH($J9,ModelParameters!$D$5:$K$5,0)),IF(N9=MappingTables!$C$13,INDEX(ModelParameters!$D$150:$K$154,MATCH($O9,ModelParameters!$B$6:$B$10,0),MATCH($J9,ModelParameters!$D$5:$K$5,0)),0)))</f>
        <v>0.028</v>
      </c>
      <c r="R9" s="157">
        <f>IF(B9="",0,IF(OR(N9=MappingTables!$C$12,N9=MappingTables!$C$15),INDEX(ModelParameters!$D$141:$K$145,MATCH($O9,ModelParameters!$B$13:$B$17,0),MATCH($J9,ModelParameters!$D$5:$K$5,0)),IF(N9=MappingTables!$C$13,INDEX(ModelParameters!$D$157:$K$161,MATCH($O9,ModelParameters!$B$13:$B$17,0),MATCH($J9,ModelParameters!$D$5:$K$5,0)),0)))</f>
        <v>0</v>
      </c>
      <c r="S9" s="71">
        <f>IF(B9="",0,MIN(P9*Q9+R9,1))</f>
        <v>0.028</v>
      </c>
      <c r="T9" s="73">
        <f>IF(B9="",0,$S9*$K9)</f>
        <v>2.189811682772092</v>
      </c>
      <c r="U9" s="73">
        <f>IF(B9="",0,IF(OR(H9=MappingTables!$C$34,H9=MappingTables!$C$35),T9,0))</f>
        <v>0</v>
      </c>
      <c r="V9" s="73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73">
        <f>IF(B9="",0,+$T9*$V9)</f>
        <v>0.11994979254801636</v>
      </c>
      <c r="X9" s="85">
        <f>IF(B9="",0,IF(OR(H9=MappingTables!$C$34,H9=MappingTables!$C$35),W9,0))</f>
        <v>0</v>
      </c>
    </row>
    <row r="10" spans="2:24" s="0" customFormat="0" ht="15">
      <c r="B10" s="69" t="s">
        <v>3198</v>
      </c>
      <c r="C10" s="70" t="s">
        <v>3199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188</v>
      </c>
      <c r="J10" s="71">
        <f>IF(OR(I10=0,I10=""),"unrated",VLOOKUP(I10,MappingTables!$B$19:$C$31,2,FALSE))</f>
        <v>2</v>
      </c>
      <c r="K10" s="72">
        <v>57.096794464614664</v>
      </c>
      <c r="L10" s="70">
        <v>0.068495261311079888</v>
      </c>
      <c r="M10" s="71">
        <f>IF(L10&lt;1,1,L10)</f>
        <v>1</v>
      </c>
      <c r="N10" s="70" t="s">
        <v>3191</v>
      </c>
      <c r="O10" s="157">
        <f>INDEX(DurClassMapping,MATCH(M10,MappingTables!$D$4:$D$8,-1),1)</f>
        <v>1</v>
      </c>
      <c r="P10" s="157">
        <f>IF(M10=$A$1,1,$M10-INDEX(MappingTables!$E$4:$E$8,MATCH(O10,MappingTables!$B$4:$B$8,0)))</f>
        <v>1</v>
      </c>
      <c r="Q10" s="157">
        <f>IF(B10="",0,IF(OR(N10=MappingTables!$C$12,N10=MappingTables!$C$15),INDEX(ModelParameters!$D$134:$K$138,MATCH($O10,ModelParameters!$B$6:$B$10,0),MATCH($J10,ModelParameters!$D$5:$K$5,0)),IF(N10=MappingTables!$C$13,INDEX(ModelParameters!$D$150:$K$154,MATCH($O10,ModelParameters!$B$6:$B$10,0),MATCH($J10,ModelParameters!$D$5:$K$5,0)),0)))</f>
        <v>0.016</v>
      </c>
      <c r="R10" s="157">
        <f>IF(B10="",0,IF(OR(N10=MappingTables!$C$12,N10=MappingTables!$C$15),INDEX(ModelParameters!$D$141:$K$145,MATCH($O10,ModelParameters!$B$13:$B$17,0),MATCH($J10,ModelParameters!$D$5:$K$5,0)),IF(N10=MappingTables!$C$13,INDEX(ModelParameters!$D$157:$K$161,MATCH($O10,ModelParameters!$B$13:$B$17,0),MATCH($J10,ModelParameters!$D$5:$K$5,0)),0)))</f>
        <v>0</v>
      </c>
      <c r="S10" s="71">
        <f>IF(B10="",0,MIN(P10*Q10+R10,1))</f>
        <v>0.016</v>
      </c>
      <c r="T10" s="73">
        <f>IF(B10="",0,$S10*$K10)</f>
        <v>0.91354871143383472</v>
      </c>
      <c r="U10" s="73">
        <f>IF(B10="",0,IF(OR(H10=MappingTables!$C$34,H10=MappingTables!$C$35),T10,0))</f>
        <v>0</v>
      </c>
      <c r="V10" s="73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73">
        <f>IF(B10="",0,+$T10*$V10)</f>
        <v>0.050040822816452576</v>
      </c>
      <c r="X10" s="85">
        <f>IF(B10="",0,IF(OR(H10=MappingTables!$C$34,H10=MappingTables!$C$35),W10,0))</f>
        <v>0</v>
      </c>
    </row>
    <row r="11" spans="2:24" s="0" customFormat="0" ht="15">
      <c r="B11" s="69" t="s">
        <v>3200</v>
      </c>
      <c r="C11" s="70" t="s">
        <v>3201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188</v>
      </c>
      <c r="J11" s="71">
        <f>IF(OR(I11=0,I11=""),"unrated",VLOOKUP(I11,MappingTables!$B$19:$C$31,2,FALSE))</f>
        <v>2</v>
      </c>
      <c r="K11" s="72">
        <v>18.83225901904356</v>
      </c>
      <c r="L11" s="70">
        <v>0.068496776367144048</v>
      </c>
      <c r="M11" s="71">
        <f>IF(L11&lt;1,1,L11)</f>
        <v>1</v>
      </c>
      <c r="N11" s="70" t="s">
        <v>3191</v>
      </c>
      <c r="O11" s="157">
        <f>INDEX(DurClassMapping,MATCH(M11,MappingTables!$D$4:$D$8,-1),1)</f>
        <v>1</v>
      </c>
      <c r="P11" s="157">
        <f>IF(M11=$A$1,1,$M11-INDEX(MappingTables!$E$4:$E$8,MATCH(O11,MappingTables!$B$4:$B$8,0)))</f>
        <v>1</v>
      </c>
      <c r="Q11" s="157">
        <f>IF(B11="",0,IF(OR(N11=MappingTables!$C$12,N11=MappingTables!$C$15),INDEX(ModelParameters!$D$134:$K$138,MATCH($O11,ModelParameters!$B$6:$B$10,0),MATCH($J11,ModelParameters!$D$5:$K$5,0)),IF(N11=MappingTables!$C$13,INDEX(ModelParameters!$D$150:$K$154,MATCH($O11,ModelParameters!$B$6:$B$10,0),MATCH($J11,ModelParameters!$D$5:$K$5,0)),0)))</f>
        <v>0.016</v>
      </c>
      <c r="R11" s="157">
        <f>IF(B11="",0,IF(OR(N11=MappingTables!$C$12,N11=MappingTables!$C$15),INDEX(ModelParameters!$D$141:$K$145,MATCH($O11,ModelParameters!$B$13:$B$17,0),MATCH($J11,ModelParameters!$D$5:$K$5,0)),IF(N11=MappingTables!$C$13,INDEX(ModelParameters!$D$157:$K$161,MATCH($O11,ModelParameters!$B$13:$B$17,0),MATCH($J11,ModelParameters!$D$5:$K$5,0)),0)))</f>
        <v>0</v>
      </c>
      <c r="S11" s="71">
        <f>IF(B11="",0,MIN(P11*Q11+R11,1))</f>
        <v>0.016</v>
      </c>
      <c r="T11" s="73">
        <f>IF(B11="",0,$S11*$K11)</f>
        <v>0.301316144304697</v>
      </c>
      <c r="U11" s="73">
        <f>IF(B11="",0,IF(OR(H11=MappingTables!$C$34,H11=MappingTables!$C$35),T11,0))</f>
        <v>0</v>
      </c>
      <c r="V11" s="73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73">
        <f>IF(B11="",0,+$T11*$V11)</f>
        <v>0.016504985010840398</v>
      </c>
      <c r="X11" s="85">
        <f>IF(B11="",0,IF(OR(H11=MappingTables!$C$34,H11=MappingTables!$C$35),W11,0))</f>
        <v>0</v>
      </c>
    </row>
    <row r="12" spans="2:24" s="0" customFormat="0" ht="15">
      <c r="B12" s="69" t="s">
        <v>3202</v>
      </c>
      <c r="C12" s="70" t="s">
        <v>3203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220</v>
      </c>
      <c r="J12" s="71">
        <f>IF(OR(I12=0,I12=""),"unrated",VLOOKUP(I12,MappingTables!$B$19:$C$31,2,FALSE))</f>
        <v>1</v>
      </c>
      <c r="K12" s="72">
        <v>679.36737825047056</v>
      </c>
      <c r="L12" s="70">
        <v>0.06253879507550844</v>
      </c>
      <c r="M12" s="71">
        <f>IF(L12&lt;1,1,L12)</f>
        <v>1</v>
      </c>
      <c r="N12" s="70" t="s">
        <v>3191</v>
      </c>
      <c r="O12" s="157">
        <f>INDEX(DurClassMapping,MATCH(M12,MappingTables!$D$4:$D$8,-1),1)</f>
        <v>1</v>
      </c>
      <c r="P12" s="157">
        <f>IF(M12=$A$1,1,$M12-INDEX(MappingTables!$E$4:$E$8,MATCH(O12,MappingTables!$B$4:$B$8,0)))</f>
        <v>1</v>
      </c>
      <c r="Q12" s="157">
        <f>IF(B12="",0,IF(OR(N12=MappingTables!$C$12,N12=MappingTables!$C$15),INDEX(ModelParameters!$D$134:$K$138,MATCH($O12,ModelParameters!$B$6:$B$10,0),MATCH($J12,ModelParameters!$D$5:$K$5,0)),IF(N12=MappingTables!$C$13,INDEX(ModelParameters!$D$150:$K$154,MATCH($O12,ModelParameters!$B$6:$B$10,0),MATCH($J12,ModelParameters!$D$5:$K$5,0)),0)))</f>
        <v>0.012</v>
      </c>
      <c r="R12" s="157">
        <f>IF(B12="",0,IF(OR(N12=MappingTables!$C$12,N12=MappingTables!$C$15),INDEX(ModelParameters!$D$141:$K$145,MATCH($O12,ModelParameters!$B$13:$B$17,0),MATCH($J12,ModelParameters!$D$5:$K$5,0)),IF(N12=MappingTables!$C$13,INDEX(ModelParameters!$D$157:$K$161,MATCH($O12,ModelParameters!$B$13:$B$17,0),MATCH($J12,ModelParameters!$D$5:$K$5,0)),0)))</f>
        <v>0</v>
      </c>
      <c r="S12" s="71">
        <f>IF(B12="",0,MIN(P12*Q12+R12,1))</f>
        <v>0.012</v>
      </c>
      <c r="T12" s="73">
        <f>IF(B12="",0,$S12*$K12)</f>
        <v>8.1524085390056464</v>
      </c>
      <c r="U12" s="73">
        <f>IF(B12="",0,IF(OR(H12=MappingTables!$C$34,H12=MappingTables!$C$35),T12,0))</f>
        <v>0</v>
      </c>
      <c r="V12" s="73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73">
        <f>IF(B12="",0,+$T12*$V12)</f>
        <v>0.44655881631908288</v>
      </c>
      <c r="X12" s="85">
        <f>IF(B12="",0,IF(OR(H12=MappingTables!$C$34,H12=MappingTables!$C$35),W12,0))</f>
        <v>0</v>
      </c>
    </row>
    <row r="13" spans="2:24" s="0" customFormat="0" ht="15">
      <c r="B13" s="69" t="s">
        <v>3204</v>
      </c>
      <c r="C13" s="70" t="s">
        <v>3205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188</v>
      </c>
      <c r="J13" s="71">
        <f>IF(OR(I13=0,I13=""),"unrated",VLOOKUP(I13,MappingTables!$B$19:$C$31,2,FALSE))</f>
        <v>2</v>
      </c>
      <c r="K13" s="72">
        <v>198.38508875259568</v>
      </c>
      <c r="L13" s="70">
        <v>0.068489182506760488</v>
      </c>
      <c r="M13" s="71">
        <f>IF(L13&lt;1,1,L13)</f>
        <v>1</v>
      </c>
      <c r="N13" s="70" t="s">
        <v>3191</v>
      </c>
      <c r="O13" s="157">
        <f>INDEX(DurClassMapping,MATCH(M13,MappingTables!$D$4:$D$8,-1),1)</f>
        <v>1</v>
      </c>
      <c r="P13" s="157">
        <f>IF(M13=$A$1,1,$M13-INDEX(MappingTables!$E$4:$E$8,MATCH(O13,MappingTables!$B$4:$B$8,0)))</f>
        <v>1</v>
      </c>
      <c r="Q13" s="157">
        <f>IF(B13="",0,IF(OR(N13=MappingTables!$C$12,N13=MappingTables!$C$15),INDEX(ModelParameters!$D$134:$K$138,MATCH($O13,ModelParameters!$B$6:$B$10,0),MATCH($J13,ModelParameters!$D$5:$K$5,0)),IF(N13=MappingTables!$C$13,INDEX(ModelParameters!$D$150:$K$154,MATCH($O13,ModelParameters!$B$6:$B$10,0),MATCH($J13,ModelParameters!$D$5:$K$5,0)),0)))</f>
        <v>0.016</v>
      </c>
      <c r="R13" s="157">
        <f>IF(B13="",0,IF(OR(N13=MappingTables!$C$12,N13=MappingTables!$C$15),INDEX(ModelParameters!$D$141:$K$145,MATCH($O13,ModelParameters!$B$13:$B$17,0),MATCH($J13,ModelParameters!$D$5:$K$5,0)),IF(N13=MappingTables!$C$13,INDEX(ModelParameters!$D$157:$K$161,MATCH($O13,ModelParameters!$B$13:$B$17,0),MATCH($J13,ModelParameters!$D$5:$K$5,0)),0)))</f>
        <v>0</v>
      </c>
      <c r="S13" s="71">
        <f>IF(B13="",0,MIN(P13*Q13+R13,1))</f>
        <v>0.016</v>
      </c>
      <c r="T13" s="73">
        <f>IF(B13="",0,$S13*$K13)</f>
        <v>3.1741614200415312</v>
      </c>
      <c r="U13" s="73">
        <f>IF(B13="",0,IF(OR(H13=MappingTables!$C$34,H13=MappingTables!$C$35),T13,0))</f>
        <v>0</v>
      </c>
      <c r="V13" s="73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73">
        <f>IF(B13="",0,+$T13*$V13)</f>
        <v>0.17386883394736402</v>
      </c>
      <c r="X13" s="85">
        <f>IF(B13="",0,IF(OR(H13=MappingTables!$C$34,H13=MappingTables!$C$35),W13,0))</f>
        <v>0</v>
      </c>
    </row>
    <row r="14" spans="2:24" s="0" customFormat="0" ht="15">
      <c r="B14" s="69" t="s">
        <v>3206</v>
      </c>
      <c r="C14" s="70" t="s">
        <v>3207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220</v>
      </c>
      <c r="J14" s="71">
        <f>IF(OR(I14=0,I14=""),"unrated",VLOOKUP(I14,MappingTables!$B$19:$C$31,2,FALSE))</f>
        <v>1</v>
      </c>
      <c r="K14" s="72">
        <v>158.07669042543924</v>
      </c>
      <c r="L14" s="70">
        <v>0.0667934693627102</v>
      </c>
      <c r="M14" s="71">
        <f>IF(L14&lt;1,1,L14)</f>
        <v>1</v>
      </c>
      <c r="N14" s="70" t="s">
        <v>3191</v>
      </c>
      <c r="O14" s="157">
        <f>INDEX(DurClassMapping,MATCH(M14,MappingTables!$D$4:$D$8,-1),1)</f>
        <v>1</v>
      </c>
      <c r="P14" s="157">
        <f>IF(M14=$A$1,1,$M14-INDEX(MappingTables!$E$4:$E$8,MATCH(O14,MappingTables!$B$4:$B$8,0)))</f>
        <v>1</v>
      </c>
      <c r="Q14" s="157">
        <f>IF(B14="",0,IF(OR(N14=MappingTables!$C$12,N14=MappingTables!$C$15),INDEX(ModelParameters!$D$134:$K$138,MATCH($O14,ModelParameters!$B$6:$B$10,0),MATCH($J14,ModelParameters!$D$5:$K$5,0)),IF(N14=MappingTables!$C$13,INDEX(ModelParameters!$D$150:$K$154,MATCH($O14,ModelParameters!$B$6:$B$10,0),MATCH($J14,ModelParameters!$D$5:$K$5,0)),0)))</f>
        <v>0.012</v>
      </c>
      <c r="R14" s="157">
        <f>IF(B14="",0,IF(OR(N14=MappingTables!$C$12,N14=MappingTables!$C$15),INDEX(ModelParameters!$D$141:$K$145,MATCH($O14,ModelParameters!$B$13:$B$17,0),MATCH($J14,ModelParameters!$D$5:$K$5,0)),IF(N14=MappingTables!$C$13,INDEX(ModelParameters!$D$157:$K$161,MATCH($O14,ModelParameters!$B$13:$B$17,0),MATCH($J14,ModelParameters!$D$5:$K$5,0)),0)))</f>
        <v>0</v>
      </c>
      <c r="S14" s="71">
        <f>IF(B14="",0,MIN(P14*Q14+R14,1))</f>
        <v>0.012</v>
      </c>
      <c r="T14" s="73">
        <f>IF(B14="",0,$S14*$K14)</f>
        <v>1.8969202851052708</v>
      </c>
      <c r="U14" s="73">
        <f>IF(B14="",0,IF(OR(H14=MappingTables!$C$34,H14=MappingTables!$C$35),T14,0))</f>
        <v>0</v>
      </c>
      <c r="V14" s="73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73">
        <f>IF(B14="",0,+$T14*$V14)</f>
        <v>0.10390628402825192</v>
      </c>
      <c r="X14" s="85">
        <f>IF(B14="",0,IF(OR(H14=MappingTables!$C$34,H14=MappingTables!$C$35),W14,0))</f>
        <v>0</v>
      </c>
    </row>
    <row r="15" spans="2:24" s="0" customFormat="0" ht="15">
      <c r="B15" s="69">
        <v>13321999</v>
      </c>
      <c r="C15" s="70" t="s">
        <v>3208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216</v>
      </c>
      <c r="J15" s="71">
        <f>IF(OR(I15=0,I15=""),"unrated",VLOOKUP(I15,MappingTables!$B$19:$C$31,2,FALSE))</f>
        <v>0</v>
      </c>
      <c r="K15" s="72">
        <v>2709.1155618684244</v>
      </c>
      <c r="L15" s="70">
        <v>2.7953260404655456</v>
      </c>
      <c r="M15" s="71">
        <f>IF(L15&lt;1,1,L15)</f>
        <v>2.7953260404655456</v>
      </c>
      <c r="N15" s="70" t="s">
        <v>3191</v>
      </c>
      <c r="O15" s="157">
        <f>INDEX(DurClassMapping,MATCH(M15,MappingTables!$D$4:$D$8,-1),1)</f>
        <v>1</v>
      </c>
      <c r="P15" s="157">
        <f>IF(M15=$A$1,1,$M15-INDEX(MappingTables!$E$4:$E$8,MATCH(O15,MappingTables!$B$4:$B$8,0)))</f>
        <v>2.7953260404655456</v>
      </c>
      <c r="Q15" s="157">
        <f>IF(B15="",0,IF(OR(N15=MappingTables!$C$12,N15=MappingTables!$C$15),INDEX(ModelParameters!$D$134:$K$138,MATCH($O15,ModelParameters!$B$6:$B$10,0),MATCH($J15,ModelParameters!$D$5:$K$5,0)),IF(N15=MappingTables!$C$13,INDEX(ModelParameters!$D$150:$K$154,MATCH($O15,ModelParameters!$B$6:$B$10,0),MATCH($J15,ModelParameters!$D$5:$K$5,0)),0)))</f>
        <v>0.01</v>
      </c>
      <c r="R15" s="157">
        <f>IF(B15="",0,IF(OR(N15=MappingTables!$C$12,N15=MappingTables!$C$15),INDEX(ModelParameters!$D$141:$K$145,MATCH($O15,ModelParameters!$B$13:$B$17,0),MATCH($J15,ModelParameters!$D$5:$K$5,0)),IF(N15=MappingTables!$C$13,INDEX(ModelParameters!$D$157:$K$161,MATCH($O15,ModelParameters!$B$13:$B$17,0),MATCH($J15,ModelParameters!$D$5:$K$5,0)),0)))</f>
        <v>0</v>
      </c>
      <c r="S15" s="71">
        <f>IF(B15="",0,MIN(P15*Q15+R15,1))</f>
        <v>0.02795326040465546</v>
      </c>
      <c r="T15" s="73">
        <f>IF(B15="",0,$S15*$K15)</f>
        <v>75.72861276721256</v>
      </c>
      <c r="U15" s="73">
        <f>IF(B15="",0,IF(OR(H15=MappingTables!$C$34,H15=MappingTables!$C$35),T15,0))</f>
        <v>0</v>
      </c>
      <c r="V15" s="73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73">
        <f>IF(B15="",0,+$T15*$V15)</f>
        <v>4.1481335873946936</v>
      </c>
      <c r="X15" s="85">
        <f>IF(B15="",0,IF(OR(H15=MappingTables!$C$34,H15=MappingTables!$C$35),W15,0))</f>
        <v>0</v>
      </c>
    </row>
    <row r="16" spans="2:24" s="0" customFormat="0" ht="15">
      <c r="B16" s="69" t="s">
        <v>3209</v>
      </c>
      <c r="C16" s="70" t="s">
        <v>3210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220</v>
      </c>
      <c r="J16" s="71">
        <f>IF(OR(I16=0,I16=""),"unrated",VLOOKUP(I16,MappingTables!$B$19:$C$31,2,FALSE))</f>
        <v>1</v>
      </c>
      <c r="K16" s="72">
        <v>36.035273358107952</v>
      </c>
      <c r="L16" s="70">
        <v>0.073664813677889104</v>
      </c>
      <c r="M16" s="71">
        <f>IF(L16&lt;1,1,L16)</f>
        <v>1</v>
      </c>
      <c r="N16" s="70" t="s">
        <v>3191</v>
      </c>
      <c r="O16" s="157">
        <f>INDEX(DurClassMapping,MATCH(M16,MappingTables!$D$4:$D$8,-1),1)</f>
        <v>1</v>
      </c>
      <c r="P16" s="157">
        <f>IF(M16=$A$1,1,$M16-INDEX(MappingTables!$E$4:$E$8,MATCH(O16,MappingTables!$B$4:$B$8,0)))</f>
        <v>1</v>
      </c>
      <c r="Q16" s="157">
        <f>IF(B16="",0,IF(OR(N16=MappingTables!$C$12,N16=MappingTables!$C$15),INDEX(ModelParameters!$D$134:$K$138,MATCH($O16,ModelParameters!$B$6:$B$10,0),MATCH($J16,ModelParameters!$D$5:$K$5,0)),IF(N16=MappingTables!$C$13,INDEX(ModelParameters!$D$150:$K$154,MATCH($O16,ModelParameters!$B$6:$B$10,0),MATCH($J16,ModelParameters!$D$5:$K$5,0)),0)))</f>
        <v>0.012</v>
      </c>
      <c r="R16" s="157">
        <f>IF(B16="",0,IF(OR(N16=MappingTables!$C$12,N16=MappingTables!$C$15),INDEX(ModelParameters!$D$141:$K$145,MATCH($O16,ModelParameters!$B$13:$B$17,0),MATCH($J16,ModelParameters!$D$5:$K$5,0)),IF(N16=MappingTables!$C$13,INDEX(ModelParameters!$D$157:$K$161,MATCH($O16,ModelParameters!$B$13:$B$17,0),MATCH($J16,ModelParameters!$D$5:$K$5,0)),0)))</f>
        <v>0</v>
      </c>
      <c r="S16" s="71">
        <f>IF(B16="",0,MIN(P16*Q16+R16,1))</f>
        <v>0.012</v>
      </c>
      <c r="T16" s="73">
        <f>IF(B16="",0,$S16*$K16)</f>
        <v>0.43242328029729544</v>
      </c>
      <c r="U16" s="73">
        <f>IF(B16="",0,IF(OR(H16=MappingTables!$C$34,H16=MappingTables!$C$35),T16,0))</f>
        <v>0</v>
      </c>
      <c r="V16" s="73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73">
        <f>IF(B16="",0,+$T16*$V16)</f>
        <v>0.02368654947485348</v>
      </c>
      <c r="X16" s="85">
        <f>IF(B16="",0,IF(OR(H16=MappingTables!$C$34,H16=MappingTables!$C$35),W16,0))</f>
        <v>0</v>
      </c>
    </row>
    <row r="17" spans="2:24" s="0" customFormat="0" ht="15">
      <c r="B17" s="69" t="s">
        <v>3211</v>
      </c>
      <c r="C17" s="70" t="s">
        <v>3212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181</v>
      </c>
      <c r="J17" s="71">
        <f>IF(OR(I17=0,I17=""),"unrated",VLOOKUP(I17,MappingTables!$B$19:$C$31,2,FALSE))</f>
        <v>3</v>
      </c>
      <c r="K17" s="72">
        <v>124.8688654912469</v>
      </c>
      <c r="L17" s="70">
        <v>0.068490517088596424</v>
      </c>
      <c r="M17" s="71">
        <f>IF(L17&lt;1,1,L17)</f>
        <v>1</v>
      </c>
      <c r="N17" s="70" t="s">
        <v>3191</v>
      </c>
      <c r="O17" s="157">
        <f>INDEX(DurClassMapping,MATCH(M17,MappingTables!$D$4:$D$8,-1),1)</f>
        <v>1</v>
      </c>
      <c r="P17" s="157">
        <f>IF(M17=$A$1,1,$M17-INDEX(MappingTables!$E$4:$E$8,MATCH(O17,MappingTables!$B$4:$B$8,0)))</f>
        <v>1</v>
      </c>
      <c r="Q17" s="157">
        <f>IF(B17="",0,IF(OR(N17=MappingTables!$C$12,N17=MappingTables!$C$15),INDEX(ModelParameters!$D$134:$K$138,MATCH($O17,ModelParameters!$B$6:$B$10,0),MATCH($J17,ModelParameters!$D$5:$K$5,0)),IF(N17=MappingTables!$C$13,INDEX(ModelParameters!$D$150:$K$154,MATCH($O17,ModelParameters!$B$6:$B$10,0),MATCH($J17,ModelParameters!$D$5:$K$5,0)),0)))</f>
        <v>0.028</v>
      </c>
      <c r="R17" s="157">
        <f>IF(B17="",0,IF(OR(N17=MappingTables!$C$12,N17=MappingTables!$C$15),INDEX(ModelParameters!$D$141:$K$145,MATCH($O17,ModelParameters!$B$13:$B$17,0),MATCH($J17,ModelParameters!$D$5:$K$5,0)),IF(N17=MappingTables!$C$13,INDEX(ModelParameters!$D$157:$K$161,MATCH($O17,ModelParameters!$B$13:$B$17,0),MATCH($J17,ModelParameters!$D$5:$K$5,0)),0)))</f>
        <v>0</v>
      </c>
      <c r="S17" s="71">
        <f>IF(B17="",0,MIN(P17*Q17+R17,1))</f>
        <v>0.028</v>
      </c>
      <c r="T17" s="73">
        <f>IF(B17="",0,$S17*$K17)</f>
        <v>3.4963282337549132</v>
      </c>
      <c r="U17" s="73">
        <f>IF(B17="",0,IF(OR(H17=MappingTables!$C$34,H17=MappingTables!$C$35),T17,0))</f>
        <v>0</v>
      </c>
      <c r="V17" s="73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73">
        <f>IF(B17="",0,+$T17*$V17)</f>
        <v>0.19151594158442632</v>
      </c>
      <c r="X17" s="85">
        <f>IF(B17="",0,IF(OR(H17=MappingTables!$C$34,H17=MappingTables!$C$35),W17,0))</f>
        <v>0</v>
      </c>
    </row>
    <row r="18" spans="2:24" s="0" customFormat="0" ht="15">
      <c r="B18" s="69">
        <v>14504601</v>
      </c>
      <c r="C18" s="70" t="s">
        <v>3213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216</v>
      </c>
      <c r="J18" s="71">
        <f>IF(OR(I18=0,I18=""),"unrated",VLOOKUP(I18,MappingTables!$B$19:$C$31,2,FALSE))</f>
        <v>0</v>
      </c>
      <c r="K18" s="72">
        <v>255.4294101132108</v>
      </c>
      <c r="L18" s="70">
        <v>0.1557608619627825</v>
      </c>
      <c r="M18" s="71">
        <f>IF(L18&lt;1,1,L18)</f>
        <v>1</v>
      </c>
      <c r="N18" s="70" t="s">
        <v>3191</v>
      </c>
      <c r="O18" s="157">
        <f>INDEX(DurClassMapping,MATCH(M18,MappingTables!$D$4:$D$8,-1),1)</f>
        <v>1</v>
      </c>
      <c r="P18" s="157">
        <f>IF(M18=$A$1,1,$M18-INDEX(MappingTables!$E$4:$E$8,MATCH(O18,MappingTables!$B$4:$B$8,0)))</f>
        <v>1</v>
      </c>
      <c r="Q18" s="157">
        <f>IF(B18="",0,IF(OR(N18=MappingTables!$C$12,N18=MappingTables!$C$15),INDEX(ModelParameters!$D$134:$K$138,MATCH($O18,ModelParameters!$B$6:$B$10,0),MATCH($J18,ModelParameters!$D$5:$K$5,0)),IF(N18=MappingTables!$C$13,INDEX(ModelParameters!$D$150:$K$154,MATCH($O18,ModelParameters!$B$6:$B$10,0),MATCH($J18,ModelParameters!$D$5:$K$5,0)),0)))</f>
        <v>0.01</v>
      </c>
      <c r="R18" s="157">
        <f>IF(B18="",0,IF(OR(N18=MappingTables!$C$12,N18=MappingTables!$C$15),INDEX(ModelParameters!$D$141:$K$145,MATCH($O18,ModelParameters!$B$13:$B$17,0),MATCH($J18,ModelParameters!$D$5:$K$5,0)),IF(N18=MappingTables!$C$13,INDEX(ModelParameters!$D$157:$K$161,MATCH($O18,ModelParameters!$B$13:$B$17,0),MATCH($J18,ModelParameters!$D$5:$K$5,0)),0)))</f>
        <v>0</v>
      </c>
      <c r="S18" s="71">
        <f>IF(B18="",0,MIN(P18*Q18+R18,1))</f>
        <v>0.01</v>
      </c>
      <c r="T18" s="73">
        <f>IF(B18="",0,$S18*$K18)</f>
        <v>2.554294101132108</v>
      </c>
      <c r="U18" s="73">
        <f>IF(B18="",0,IF(OR(H18=MappingTables!$C$34,H18=MappingTables!$C$35),T18,0))</f>
        <v>0</v>
      </c>
      <c r="V18" s="73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73">
        <f>IF(B18="",0,+$T18*$V18)</f>
        <v>0.1399147926499148</v>
      </c>
      <c r="X18" s="85">
        <f>IF(B18="",0,IF(OR(H18=MappingTables!$C$34,H18=MappingTables!$C$35),W18,0))</f>
        <v>0</v>
      </c>
    </row>
    <row r="19" spans="2:24" s="0" customFormat="0" ht="15">
      <c r="B19" s="69" t="s">
        <v>3211</v>
      </c>
      <c r="C19" s="70" t="s">
        <v>3212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181</v>
      </c>
      <c r="J19" s="71">
        <f>IF(OR(I19=0,I19=""),"unrated",VLOOKUP(I19,MappingTables!$B$19:$C$31,2,FALSE))</f>
        <v>3</v>
      </c>
      <c r="K19" s="72">
        <v>264.85536326978116</v>
      </c>
      <c r="L19" s="70">
        <v>0.06849051708858876</v>
      </c>
      <c r="M19" s="71">
        <f>IF(L19&lt;1,1,L19)</f>
        <v>1</v>
      </c>
      <c r="N19" s="70" t="s">
        <v>3191</v>
      </c>
      <c r="O19" s="157">
        <f>INDEX(DurClassMapping,MATCH(M19,MappingTables!$D$4:$D$8,-1),1)</f>
        <v>1</v>
      </c>
      <c r="P19" s="157">
        <f>IF(M19=$A$1,1,$M19-INDEX(MappingTables!$E$4:$E$8,MATCH(O19,MappingTables!$B$4:$B$8,0)))</f>
        <v>1</v>
      </c>
      <c r="Q19" s="157">
        <f>IF(B19="",0,IF(OR(N19=MappingTables!$C$12,N19=MappingTables!$C$15),INDEX(ModelParameters!$D$134:$K$138,MATCH($O19,ModelParameters!$B$6:$B$10,0),MATCH($J19,ModelParameters!$D$5:$K$5,0)),IF(N19=MappingTables!$C$13,INDEX(ModelParameters!$D$150:$K$154,MATCH($O19,ModelParameters!$B$6:$B$10,0),MATCH($J19,ModelParameters!$D$5:$K$5,0)),0)))</f>
        <v>0.028</v>
      </c>
      <c r="R19" s="157">
        <f>IF(B19="",0,IF(OR(N19=MappingTables!$C$12,N19=MappingTables!$C$15),INDEX(ModelParameters!$D$141:$K$145,MATCH($O19,ModelParameters!$B$13:$B$17,0),MATCH($J19,ModelParameters!$D$5:$K$5,0)),IF(N19=MappingTables!$C$13,INDEX(ModelParameters!$D$157:$K$161,MATCH($O19,ModelParameters!$B$13:$B$17,0),MATCH($J19,ModelParameters!$D$5:$K$5,0)),0)))</f>
        <v>0</v>
      </c>
      <c r="S19" s="71">
        <f>IF(B19="",0,MIN(P19*Q19+R19,1))</f>
        <v>0.028</v>
      </c>
      <c r="T19" s="73">
        <f>IF(B19="",0,$S19*$K19)</f>
        <v>7.415950171553872</v>
      </c>
      <c r="U19" s="73">
        <f>IF(B19="",0,IF(OR(H19=MappingTables!$C$34,H19=MappingTables!$C$35),T19,0))</f>
        <v>0</v>
      </c>
      <c r="V19" s="73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73">
        <f>IF(B19="",0,+$T19*$V19)</f>
        <v>0.40621834819067112</v>
      </c>
      <c r="X19" s="85">
        <f>IF(B19="",0,IF(OR(H19=MappingTables!$C$34,H19=MappingTables!$C$35),W19,0))</f>
        <v>0</v>
      </c>
    </row>
    <row r="20" spans="2:24" s="0" customFormat="0" ht="15">
      <c r="B20" s="69" t="s">
        <v>3214</v>
      </c>
      <c r="C20" s="70" t="s">
        <v>3215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181</v>
      </c>
      <c r="J20" s="71">
        <f>IF(OR(I20=0,I20=""),"unrated",VLOOKUP(I20,MappingTables!$B$19:$C$31,2,FALSE))</f>
        <v>3</v>
      </c>
      <c r="K20" s="72">
        <v>293.84473985088512</v>
      </c>
      <c r="L20" s="70">
        <v>0.068497174552280408</v>
      </c>
      <c r="M20" s="71">
        <f>IF(L20&lt;1,1,L20)</f>
        <v>1</v>
      </c>
      <c r="N20" s="70" t="s">
        <v>3191</v>
      </c>
      <c r="O20" s="157">
        <f>INDEX(DurClassMapping,MATCH(M20,MappingTables!$D$4:$D$8,-1),1)</f>
        <v>1</v>
      </c>
      <c r="P20" s="157">
        <f>IF(M20=$A$1,1,$M20-INDEX(MappingTables!$E$4:$E$8,MATCH(O20,MappingTables!$B$4:$B$8,0)))</f>
        <v>1</v>
      </c>
      <c r="Q20" s="157">
        <f>IF(B20="",0,IF(OR(N20=MappingTables!$C$12,N20=MappingTables!$C$15),INDEX(ModelParameters!$D$134:$K$138,MATCH($O20,ModelParameters!$B$6:$B$10,0),MATCH($J20,ModelParameters!$D$5:$K$5,0)),IF(N20=MappingTables!$C$13,INDEX(ModelParameters!$D$150:$K$154,MATCH($O20,ModelParameters!$B$6:$B$10,0),MATCH($J20,ModelParameters!$D$5:$K$5,0)),0)))</f>
        <v>0.028</v>
      </c>
      <c r="R20" s="157">
        <f>IF(B20="",0,IF(OR(N20=MappingTables!$C$12,N20=MappingTables!$C$15),INDEX(ModelParameters!$D$141:$K$145,MATCH($O20,ModelParameters!$B$13:$B$17,0),MATCH($J20,ModelParameters!$D$5:$K$5,0)),IF(N20=MappingTables!$C$13,INDEX(ModelParameters!$D$157:$K$161,MATCH($O20,ModelParameters!$B$13:$B$17,0),MATCH($J20,ModelParameters!$D$5:$K$5,0)),0)))</f>
        <v>0</v>
      </c>
      <c r="S20" s="71">
        <f>IF(B20="",0,MIN(P20*Q20+R20,1))</f>
        <v>0.028</v>
      </c>
      <c r="T20" s="73">
        <f>IF(B20="",0,$S20*$K20)</f>
        <v>8.227652715824784</v>
      </c>
      <c r="U20" s="73">
        <f>IF(B20="",0,IF(OR(H20=MappingTables!$C$34,H20=MappingTables!$C$35),T20,0))</f>
        <v>0</v>
      </c>
      <c r="V20" s="73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73">
        <f>IF(B20="",0,+$T20*$V20)</f>
        <v>0.45068041429525048</v>
      </c>
      <c r="X20" s="85">
        <f>IF(B20="",0,IF(OR(H20=MappingTables!$C$34,H20=MappingTables!$C$35),W20,0))</f>
        <v>0</v>
      </c>
    </row>
    <row r="21" spans="2:24" s="0" customFormat="0" ht="15">
      <c r="B21" s="69" t="s">
        <v>3216</v>
      </c>
      <c r="C21" s="70" t="s">
        <v>3217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188</v>
      </c>
      <c r="J21" s="71">
        <f>IF(OR(I21=0,I21=""),"unrated",VLOOKUP(I21,MappingTables!$B$19:$C$31,2,FALSE))</f>
        <v>2</v>
      </c>
      <c r="K21" s="72">
        <v>114.79403983976348</v>
      </c>
      <c r="L21" s="70">
        <v>0.06849012748158652</v>
      </c>
      <c r="M21" s="71">
        <f>IF(L21&lt;1,1,L21)</f>
        <v>1</v>
      </c>
      <c r="N21" s="70" t="s">
        <v>3191</v>
      </c>
      <c r="O21" s="157">
        <f>INDEX(DurClassMapping,MATCH(M21,MappingTables!$D$4:$D$8,-1),1)</f>
        <v>1</v>
      </c>
      <c r="P21" s="157">
        <f>IF(M21=$A$1,1,$M21-INDEX(MappingTables!$E$4:$E$8,MATCH(O21,MappingTables!$B$4:$B$8,0)))</f>
        <v>1</v>
      </c>
      <c r="Q21" s="157">
        <f>IF(B21="",0,IF(OR(N21=MappingTables!$C$12,N21=MappingTables!$C$15),INDEX(ModelParameters!$D$134:$K$138,MATCH($O21,ModelParameters!$B$6:$B$10,0),MATCH($J21,ModelParameters!$D$5:$K$5,0)),IF(N21=MappingTables!$C$13,INDEX(ModelParameters!$D$150:$K$154,MATCH($O21,ModelParameters!$B$6:$B$10,0),MATCH($J21,ModelParameters!$D$5:$K$5,0)),0)))</f>
        <v>0.016</v>
      </c>
      <c r="R21" s="157">
        <f>IF(B21="",0,IF(OR(N21=MappingTables!$C$12,N21=MappingTables!$C$15),INDEX(ModelParameters!$D$141:$K$145,MATCH($O21,ModelParameters!$B$13:$B$17,0),MATCH($J21,ModelParameters!$D$5:$K$5,0)),IF(N21=MappingTables!$C$13,INDEX(ModelParameters!$D$157:$K$161,MATCH($O21,ModelParameters!$B$13:$B$17,0),MATCH($J21,ModelParameters!$D$5:$K$5,0)),0)))</f>
        <v>0</v>
      </c>
      <c r="S21" s="71">
        <f>IF(B21="",0,MIN(P21*Q21+R21,1))</f>
        <v>0.016</v>
      </c>
      <c r="T21" s="73">
        <f>IF(B21="",0,$S21*$K21)</f>
        <v>1.8367046374362156</v>
      </c>
      <c r="U21" s="73">
        <f>IF(B21="",0,IF(OR(H21=MappingTables!$C$34,H21=MappingTables!$C$35),T21,0))</f>
        <v>0</v>
      </c>
      <c r="V21" s="73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73">
        <f>IF(B21="",0,+$T21*$V21)</f>
        <v>0.10060789334796102</v>
      </c>
      <c r="X21" s="85">
        <f>IF(B21="",0,IF(OR(H21=MappingTables!$C$34,H21=MappingTables!$C$35),W21,0))</f>
        <v>0</v>
      </c>
    </row>
    <row r="22" spans="2:24" s="0" customFormat="0" ht="15">
      <c r="B22" s="69" t="s">
        <v>3218</v>
      </c>
      <c r="C22" s="70" t="s">
        <v>3219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188</v>
      </c>
      <c r="J22" s="71">
        <f>IF(OR(I22=0,I22=""),"unrated",VLOOKUP(I22,MappingTables!$B$19:$C$31,2,FALSE))</f>
        <v>2</v>
      </c>
      <c r="K22" s="72">
        <v>190.4601266639016</v>
      </c>
      <c r="L22" s="70">
        <v>0.06849246203678008</v>
      </c>
      <c r="M22" s="71">
        <f>IF(L22&lt;1,1,L22)</f>
        <v>1</v>
      </c>
      <c r="N22" s="70" t="s">
        <v>3191</v>
      </c>
      <c r="O22" s="157">
        <f>INDEX(DurClassMapping,MATCH(M22,MappingTables!$D$4:$D$8,-1),1)</f>
        <v>1</v>
      </c>
      <c r="P22" s="157">
        <f>IF(M22=$A$1,1,$M22-INDEX(MappingTables!$E$4:$E$8,MATCH(O22,MappingTables!$B$4:$B$8,0)))</f>
        <v>1</v>
      </c>
      <c r="Q22" s="157">
        <f>IF(B22="",0,IF(OR(N22=MappingTables!$C$12,N22=MappingTables!$C$15),INDEX(ModelParameters!$D$134:$K$138,MATCH($O22,ModelParameters!$B$6:$B$10,0),MATCH($J22,ModelParameters!$D$5:$K$5,0)),IF(N22=MappingTables!$C$13,INDEX(ModelParameters!$D$150:$K$154,MATCH($O22,ModelParameters!$B$6:$B$10,0),MATCH($J22,ModelParameters!$D$5:$K$5,0)),0)))</f>
        <v>0.016</v>
      </c>
      <c r="R22" s="157">
        <f>IF(B22="",0,IF(OR(N22=MappingTables!$C$12,N22=MappingTables!$C$15),INDEX(ModelParameters!$D$141:$K$145,MATCH($O22,ModelParameters!$B$13:$B$17,0),MATCH($J22,ModelParameters!$D$5:$K$5,0)),IF(N22=MappingTables!$C$13,INDEX(ModelParameters!$D$157:$K$161,MATCH($O22,ModelParameters!$B$13:$B$17,0),MATCH($J22,ModelParameters!$D$5:$K$5,0)),0)))</f>
        <v>0</v>
      </c>
      <c r="S22" s="71">
        <f>IF(B22="",0,MIN(P22*Q22+R22,1))</f>
        <v>0.016</v>
      </c>
      <c r="T22" s="73">
        <f>IF(B22="",0,$S22*$K22)</f>
        <v>3.0473620266224256</v>
      </c>
      <c r="U22" s="73">
        <f>IF(B22="",0,IF(OR(H22=MappingTables!$C$34,H22=MappingTables!$C$35),T22,0))</f>
        <v>0</v>
      </c>
      <c r="V22" s="73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73">
        <f>IF(B22="",0,+$T22*$V22)</f>
        <v>0.16692323170426058</v>
      </c>
      <c r="X22" s="85">
        <f>IF(B22="",0,IF(OR(H22=MappingTables!$C$34,H22=MappingTables!$C$35),W22,0))</f>
        <v>0</v>
      </c>
    </row>
    <row r="23" spans="2:24" s="0" customFormat="0" ht="15">
      <c r="B23" s="69" t="s">
        <v>3220</v>
      </c>
      <c r="C23" s="70" t="s">
        <v>3221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181</v>
      </c>
      <c r="J23" s="71">
        <f>IF(OR(I23=0,I23=""),"unrated",VLOOKUP(I23,MappingTables!$B$19:$C$31,2,FALSE))</f>
        <v>3</v>
      </c>
      <c r="K23" s="72">
        <v>49.24060384195008</v>
      </c>
      <c r="L23" s="70">
        <v>0.060550859158570256</v>
      </c>
      <c r="M23" s="71">
        <f>IF(L23&lt;1,1,L23)</f>
        <v>1</v>
      </c>
      <c r="N23" s="70" t="s">
        <v>3191</v>
      </c>
      <c r="O23" s="157">
        <f>INDEX(DurClassMapping,MATCH(M23,MappingTables!$D$4:$D$8,-1),1)</f>
        <v>1</v>
      </c>
      <c r="P23" s="157">
        <f>IF(M23=$A$1,1,$M23-INDEX(MappingTables!$E$4:$E$8,MATCH(O23,MappingTables!$B$4:$B$8,0)))</f>
        <v>1</v>
      </c>
      <c r="Q23" s="157">
        <f>IF(B23="",0,IF(OR(N23=MappingTables!$C$12,N23=MappingTables!$C$15),INDEX(ModelParameters!$D$134:$K$138,MATCH($O23,ModelParameters!$B$6:$B$10,0),MATCH($J23,ModelParameters!$D$5:$K$5,0)),IF(N23=MappingTables!$C$13,INDEX(ModelParameters!$D$150:$K$154,MATCH($O23,ModelParameters!$B$6:$B$10,0),MATCH($J23,ModelParameters!$D$5:$K$5,0)),0)))</f>
        <v>0.028</v>
      </c>
      <c r="R23" s="157">
        <f>IF(B23="",0,IF(OR(N23=MappingTables!$C$12,N23=MappingTables!$C$15),INDEX(ModelParameters!$D$141:$K$145,MATCH($O23,ModelParameters!$B$13:$B$17,0),MATCH($J23,ModelParameters!$D$5:$K$5,0)),IF(N23=MappingTables!$C$13,INDEX(ModelParameters!$D$157:$K$161,MATCH($O23,ModelParameters!$B$13:$B$17,0),MATCH($J23,ModelParameters!$D$5:$K$5,0)),0)))</f>
        <v>0</v>
      </c>
      <c r="S23" s="71">
        <f>IF(B23="",0,MIN(P23*Q23+R23,1))</f>
        <v>0.028</v>
      </c>
      <c r="T23" s="73">
        <f>IF(B23="",0,$S23*$K23)</f>
        <v>1.378736907574602</v>
      </c>
      <c r="U23" s="73">
        <f>IF(B23="",0,IF(OR(H23=MappingTables!$C$34,H23=MappingTables!$C$35),T23,0))</f>
        <v>0</v>
      </c>
      <c r="V23" s="73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73">
        <f>IF(B23="",0,+$T23*$V23)</f>
        <v>0.07552211331364936</v>
      </c>
      <c r="X23" s="85">
        <f>IF(B23="",0,IF(OR(H23=MappingTables!$C$34,H23=MappingTables!$C$35),W23,0))</f>
        <v>0</v>
      </c>
    </row>
    <row r="24" spans="2:24" s="0" customFormat="0" ht="15">
      <c r="B24" s="69" t="s">
        <v>3222</v>
      </c>
      <c r="C24" s="70" t="s">
        <v>3223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181</v>
      </c>
      <c r="J24" s="71">
        <f>IF(OR(I24=0,I24=""),"unrated",VLOOKUP(I24,MappingTables!$B$19:$C$31,2,FALSE))</f>
        <v>3</v>
      </c>
      <c r="K24" s="72">
        <v>257.23198614897404</v>
      </c>
      <c r="L24" s="70">
        <v>0.062680773146477144</v>
      </c>
      <c r="M24" s="71">
        <f>IF(L24&lt;1,1,L24)</f>
        <v>1</v>
      </c>
      <c r="N24" s="70" t="s">
        <v>3191</v>
      </c>
      <c r="O24" s="157">
        <f>INDEX(DurClassMapping,MATCH(M24,MappingTables!$D$4:$D$8,-1),1)</f>
        <v>1</v>
      </c>
      <c r="P24" s="157">
        <f>IF(M24=$A$1,1,$M24-INDEX(MappingTables!$E$4:$E$8,MATCH(O24,MappingTables!$B$4:$B$8,0)))</f>
        <v>1</v>
      </c>
      <c r="Q24" s="157">
        <f>IF(B24="",0,IF(OR(N24=MappingTables!$C$12,N24=MappingTables!$C$15),INDEX(ModelParameters!$D$134:$K$138,MATCH($O24,ModelParameters!$B$6:$B$10,0),MATCH($J24,ModelParameters!$D$5:$K$5,0)),IF(N24=MappingTables!$C$13,INDEX(ModelParameters!$D$150:$K$154,MATCH($O24,ModelParameters!$B$6:$B$10,0),MATCH($J24,ModelParameters!$D$5:$K$5,0)),0)))</f>
        <v>0.028</v>
      </c>
      <c r="R24" s="157">
        <f>IF(B24="",0,IF(OR(N24=MappingTables!$C$12,N24=MappingTables!$C$15),INDEX(ModelParameters!$D$141:$K$145,MATCH($O24,ModelParameters!$B$13:$B$17,0),MATCH($J24,ModelParameters!$D$5:$K$5,0)),IF(N24=MappingTables!$C$13,INDEX(ModelParameters!$D$157:$K$161,MATCH($O24,ModelParameters!$B$13:$B$17,0),MATCH($J24,ModelParameters!$D$5:$K$5,0)),0)))</f>
        <v>0</v>
      </c>
      <c r="S24" s="71">
        <f>IF(B24="",0,MIN(P24*Q24+R24,1))</f>
        <v>0.028</v>
      </c>
      <c r="T24" s="73">
        <f>IF(B24="",0,$S24*$K24)</f>
        <v>7.2024956121712736</v>
      </c>
      <c r="U24" s="73">
        <f>IF(B24="",0,IF(OR(H24=MappingTables!$C$34,H24=MappingTables!$C$35),T24,0))</f>
        <v>0</v>
      </c>
      <c r="V24" s="73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73">
        <f>IF(B24="",0,+$T24*$V24)</f>
        <v>0.3945260961500944</v>
      </c>
      <c r="X24" s="85">
        <f>IF(B24="",0,IF(OR(H24=MappingTables!$C$34,H24=MappingTables!$C$35),W24,0))</f>
        <v>0</v>
      </c>
    </row>
    <row r="25" spans="2:24" s="0" customFormat="0" ht="15">
      <c r="B25" s="69">
        <v>22554568</v>
      </c>
      <c r="C25" s="70" t="s">
        <v>3224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220</v>
      </c>
      <c r="J25" s="71">
        <f>IF(OR(I25=0,I25=""),"unrated",VLOOKUP(I25,MappingTables!$B$19:$C$31,2,FALSE))</f>
        <v>1</v>
      </c>
      <c r="K25" s="72">
        <v>361.12032512303392</v>
      </c>
      <c r="L25" s="70">
        <v>0.068494897390848576</v>
      </c>
      <c r="M25" s="71">
        <f>IF(L25&lt;1,1,L25)</f>
        <v>1</v>
      </c>
      <c r="N25" s="70" t="s">
        <v>3191</v>
      </c>
      <c r="O25" s="157">
        <f>INDEX(DurClassMapping,MATCH(M25,MappingTables!$D$4:$D$8,-1),1)</f>
        <v>1</v>
      </c>
      <c r="P25" s="157">
        <f>IF(M25=$A$1,1,$M25-INDEX(MappingTables!$E$4:$E$8,MATCH(O25,MappingTables!$B$4:$B$8,0)))</f>
        <v>1</v>
      </c>
      <c r="Q25" s="157">
        <f>IF(B25="",0,IF(OR(N25=MappingTables!$C$12,N25=MappingTables!$C$15),INDEX(ModelParameters!$D$134:$K$138,MATCH($O25,ModelParameters!$B$6:$B$10,0),MATCH($J25,ModelParameters!$D$5:$K$5,0)),IF(N25=MappingTables!$C$13,INDEX(ModelParameters!$D$150:$K$154,MATCH($O25,ModelParameters!$B$6:$B$10,0),MATCH($J25,ModelParameters!$D$5:$K$5,0)),0)))</f>
        <v>0.012</v>
      </c>
      <c r="R25" s="157">
        <f>IF(B25="",0,IF(OR(N25=MappingTables!$C$12,N25=MappingTables!$C$15),INDEX(ModelParameters!$D$141:$K$145,MATCH($O25,ModelParameters!$B$13:$B$17,0),MATCH($J25,ModelParameters!$D$5:$K$5,0)),IF(N25=MappingTables!$C$13,INDEX(ModelParameters!$D$157:$K$161,MATCH($O25,ModelParameters!$B$13:$B$17,0),MATCH($J25,ModelParameters!$D$5:$K$5,0)),0)))</f>
        <v>0</v>
      </c>
      <c r="S25" s="71">
        <f>IF(B25="",0,MIN(P25*Q25+R25,1))</f>
        <v>0.012</v>
      </c>
      <c r="T25" s="73">
        <f>IF(B25="",0,$S25*$K25)</f>
        <v>4.3334439014764072</v>
      </c>
      <c r="U25" s="73">
        <f>IF(B25="",0,IF(OR(H25=MappingTables!$C$34,H25=MappingTables!$C$35),T25,0))</f>
        <v>0</v>
      </c>
      <c r="V25" s="73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73">
        <f>IF(B25="",0,+$T25*$V25)</f>
        <v>0.2373700446892082</v>
      </c>
      <c r="X25" s="85">
        <f>IF(B25="",0,IF(OR(H25=MappingTables!$C$34,H25=MappingTables!$C$35),W25,0))</f>
        <v>0</v>
      </c>
    </row>
    <row r="26" spans="2:24" s="0" customFormat="0" ht="15">
      <c r="B26" s="69" t="s">
        <v>3225</v>
      </c>
      <c r="C26" s="70" t="s">
        <v>3226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188</v>
      </c>
      <c r="J26" s="71">
        <f>IF(OR(I26=0,I26=""),"unrated",VLOOKUP(I26,MappingTables!$B$19:$C$31,2,FALSE))</f>
        <v>2</v>
      </c>
      <c r="K26" s="72">
        <v>6.2758079948633464</v>
      </c>
      <c r="L26" s="70">
        <v>0.068493047752331112</v>
      </c>
      <c r="M26" s="71">
        <f>IF(L26&lt;1,1,L26)</f>
        <v>1</v>
      </c>
      <c r="N26" s="70" t="s">
        <v>3191</v>
      </c>
      <c r="O26" s="157">
        <f>INDEX(DurClassMapping,MATCH(M26,MappingTables!$D$4:$D$8,-1),1)</f>
        <v>1</v>
      </c>
      <c r="P26" s="157">
        <f>IF(M26=$A$1,1,$M26-INDEX(MappingTables!$E$4:$E$8,MATCH(O26,MappingTables!$B$4:$B$8,0)))</f>
        <v>1</v>
      </c>
      <c r="Q26" s="157">
        <f>IF(B26="",0,IF(OR(N26=MappingTables!$C$12,N26=MappingTables!$C$15),INDEX(ModelParameters!$D$134:$K$138,MATCH($O26,ModelParameters!$B$6:$B$10,0),MATCH($J26,ModelParameters!$D$5:$K$5,0)),IF(N26=MappingTables!$C$13,INDEX(ModelParameters!$D$150:$K$154,MATCH($O26,ModelParameters!$B$6:$B$10,0),MATCH($J26,ModelParameters!$D$5:$K$5,0)),0)))</f>
        <v>0.016</v>
      </c>
      <c r="R26" s="157">
        <f>IF(B26="",0,IF(OR(N26=MappingTables!$C$12,N26=MappingTables!$C$15),INDEX(ModelParameters!$D$141:$K$145,MATCH($O26,ModelParameters!$B$13:$B$17,0),MATCH($J26,ModelParameters!$D$5:$K$5,0)),IF(N26=MappingTables!$C$13,INDEX(ModelParameters!$D$157:$K$161,MATCH($O26,ModelParameters!$B$13:$B$17,0),MATCH($J26,ModelParameters!$D$5:$K$5,0)),0)))</f>
        <v>0</v>
      </c>
      <c r="S26" s="71">
        <f>IF(B26="",0,MIN(P26*Q26+R26,1))</f>
        <v>0.016</v>
      </c>
      <c r="T26" s="73">
        <f>IF(B26="",0,$S26*$K26)</f>
        <v>0.10041292791781354</v>
      </c>
      <c r="U26" s="73">
        <f>IF(B26="",0,IF(OR(H26=MappingTables!$C$34,H26=MappingTables!$C$35),T26,0))</f>
        <v>0</v>
      </c>
      <c r="V26" s="73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73">
        <f>IF(B26="",0,+$T26*$V26)</f>
        <v>0.0055002491618975464</v>
      </c>
      <c r="X26" s="85">
        <f>IF(B26="",0,IF(OR(H26=MappingTables!$C$34,H26=MappingTables!$C$35),W26,0))</f>
        <v>0</v>
      </c>
    </row>
    <row r="27" spans="2:24" s="0" customFormat="0" ht="15">
      <c r="B27" s="69" t="s">
        <v>3227</v>
      </c>
      <c r="C27" s="70" t="s">
        <v>3228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216</v>
      </c>
      <c r="J27" s="71">
        <f>IF(OR(I27=0,I27=""),"unrated",VLOOKUP(I27,MappingTables!$B$19:$C$31,2,FALSE))</f>
        <v>0</v>
      </c>
      <c r="K27" s="72">
        <v>1.1190498159436736</v>
      </c>
      <c r="L27" s="70">
        <v>0.06849519524111268</v>
      </c>
      <c r="M27" s="71">
        <f>IF(L27&lt;1,1,L27)</f>
        <v>1</v>
      </c>
      <c r="N27" s="70" t="s">
        <v>3191</v>
      </c>
      <c r="O27" s="157">
        <f>INDEX(DurClassMapping,MATCH(M27,MappingTables!$D$4:$D$8,-1),1)</f>
        <v>1</v>
      </c>
      <c r="P27" s="157">
        <f>IF(M27=$A$1,1,$M27-INDEX(MappingTables!$E$4:$E$8,MATCH(O27,MappingTables!$B$4:$B$8,0)))</f>
        <v>1</v>
      </c>
      <c r="Q27" s="157">
        <f>IF(B27="",0,IF(OR(N27=MappingTables!$C$12,N27=MappingTables!$C$15),INDEX(ModelParameters!$D$134:$K$138,MATCH($O27,ModelParameters!$B$6:$B$10,0),MATCH($J27,ModelParameters!$D$5:$K$5,0)),IF(N27=MappingTables!$C$13,INDEX(ModelParameters!$D$150:$K$154,MATCH($O27,ModelParameters!$B$6:$B$10,0),MATCH($J27,ModelParameters!$D$5:$K$5,0)),0)))</f>
        <v>0.01</v>
      </c>
      <c r="R27" s="157">
        <f>IF(B27="",0,IF(OR(N27=MappingTables!$C$12,N27=MappingTables!$C$15),INDEX(ModelParameters!$D$141:$K$145,MATCH($O27,ModelParameters!$B$13:$B$17,0),MATCH($J27,ModelParameters!$D$5:$K$5,0)),IF(N27=MappingTables!$C$13,INDEX(ModelParameters!$D$157:$K$161,MATCH($O27,ModelParameters!$B$13:$B$17,0),MATCH($J27,ModelParameters!$D$5:$K$5,0)),0)))</f>
        <v>0</v>
      </c>
      <c r="S27" s="71">
        <f>IF(B27="",0,MIN(P27*Q27+R27,1))</f>
        <v>0.01</v>
      </c>
      <c r="T27" s="73">
        <f>IF(B27="",0,$S27*$K27)</f>
        <v>0.011190498159436736</v>
      </c>
      <c r="U27" s="73">
        <f>IF(B27="",0,IF(OR(H27=MappingTables!$C$34,H27=MappingTables!$C$35),T27,0))</f>
        <v>0</v>
      </c>
      <c r="V27" s="73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73">
        <f>IF(B27="",0,+$T27*$V27)</f>
        <v>0.00061297413987406192</v>
      </c>
      <c r="X27" s="85">
        <f>IF(B27="",0,IF(OR(H27=MappingTables!$C$34,H27=MappingTables!$C$35),W27,0))</f>
        <v>0</v>
      </c>
    </row>
    <row r="28" spans="2:24" s="0" customFormat="0" ht="15">
      <c r="B28" s="69" t="s">
        <v>3229</v>
      </c>
      <c r="C28" s="70" t="s">
        <v>3230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188</v>
      </c>
      <c r="J28" s="71">
        <f>IF(OR(I28=0,I28=""),"unrated",VLOOKUP(I28,MappingTables!$B$19:$C$31,2,FALSE))</f>
        <v>2</v>
      </c>
      <c r="K28" s="72">
        <v>1185.0692739567698</v>
      </c>
      <c r="L28" s="70">
        <v>0.068493821051429632</v>
      </c>
      <c r="M28" s="71">
        <f>IF(L28&lt;1,1,L28)</f>
        <v>1</v>
      </c>
      <c r="N28" s="70" t="s">
        <v>3191</v>
      </c>
      <c r="O28" s="157">
        <f>INDEX(DurClassMapping,MATCH(M28,MappingTables!$D$4:$D$8,-1),1)</f>
        <v>1</v>
      </c>
      <c r="P28" s="157">
        <f>IF(M28=$A$1,1,$M28-INDEX(MappingTables!$E$4:$E$8,MATCH(O28,MappingTables!$B$4:$B$8,0)))</f>
        <v>1</v>
      </c>
      <c r="Q28" s="157">
        <f>IF(B28="",0,IF(OR(N28=MappingTables!$C$12,N28=MappingTables!$C$15),INDEX(ModelParameters!$D$134:$K$138,MATCH($O28,ModelParameters!$B$6:$B$10,0),MATCH($J28,ModelParameters!$D$5:$K$5,0)),IF(N28=MappingTables!$C$13,INDEX(ModelParameters!$D$150:$K$154,MATCH($O28,ModelParameters!$B$6:$B$10,0),MATCH($J28,ModelParameters!$D$5:$K$5,0)),0)))</f>
        <v>0.016</v>
      </c>
      <c r="R28" s="157">
        <f>IF(B28="",0,IF(OR(N28=MappingTables!$C$12,N28=MappingTables!$C$15),INDEX(ModelParameters!$D$141:$K$145,MATCH($O28,ModelParameters!$B$13:$B$17,0),MATCH($J28,ModelParameters!$D$5:$K$5,0)),IF(N28=MappingTables!$C$13,INDEX(ModelParameters!$D$157:$K$161,MATCH($O28,ModelParameters!$B$13:$B$17,0),MATCH($J28,ModelParameters!$D$5:$K$5,0)),0)))</f>
        <v>0</v>
      </c>
      <c r="S28" s="71">
        <f>IF(B28="",0,MIN(P28*Q28+R28,1))</f>
        <v>0.016</v>
      </c>
      <c r="T28" s="73">
        <f>IF(B28="",0,$S28*$K28)</f>
        <v>18.961108383308316</v>
      </c>
      <c r="U28" s="73">
        <f>IF(B28="",0,IF(OR(H28=MappingTables!$C$34,H28=MappingTables!$C$35),T28,0))</f>
        <v>0</v>
      </c>
      <c r="V28" s="73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73">
        <f>IF(B28="",0,+$T28*$V28)</f>
        <v>1.0386194552488356</v>
      </c>
      <c r="X28" s="85">
        <f>IF(B28="",0,IF(OR(H28=MappingTables!$C$34,H28=MappingTables!$C$35),W28,0))</f>
        <v>0</v>
      </c>
    </row>
    <row r="29" spans="2:24" s="0" customFormat="0" ht="15">
      <c r="B29" s="69">
        <v>22554149</v>
      </c>
      <c r="C29" s="70" t="s">
        <v>3231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188</v>
      </c>
      <c r="J29" s="71">
        <f>IF(OR(I29=0,I29=""),"unrated",VLOOKUP(I29,MappingTables!$B$19:$C$31,2,FALSE))</f>
        <v>2</v>
      </c>
      <c r="K29" s="72">
        <v>1591.894581195992</v>
      </c>
      <c r="L29" s="70">
        <v>0.065678134181412304</v>
      </c>
      <c r="M29" s="71">
        <f>IF(L29&lt;1,1,L29)</f>
        <v>1</v>
      </c>
      <c r="N29" s="70" t="s">
        <v>3191</v>
      </c>
      <c r="O29" s="157">
        <f>INDEX(DurClassMapping,MATCH(M29,MappingTables!$D$4:$D$8,-1),1)</f>
        <v>1</v>
      </c>
      <c r="P29" s="157">
        <f>IF(M29=$A$1,1,$M29-INDEX(MappingTables!$E$4:$E$8,MATCH(O29,MappingTables!$B$4:$B$8,0)))</f>
        <v>1</v>
      </c>
      <c r="Q29" s="157">
        <f>IF(B29="",0,IF(OR(N29=MappingTables!$C$12,N29=MappingTables!$C$15),INDEX(ModelParameters!$D$134:$K$138,MATCH($O29,ModelParameters!$B$6:$B$10,0),MATCH($J29,ModelParameters!$D$5:$K$5,0)),IF(N29=MappingTables!$C$13,INDEX(ModelParameters!$D$150:$K$154,MATCH($O29,ModelParameters!$B$6:$B$10,0),MATCH($J29,ModelParameters!$D$5:$K$5,0)),0)))</f>
        <v>0.016</v>
      </c>
      <c r="R29" s="157">
        <f>IF(B29="",0,IF(OR(N29=MappingTables!$C$12,N29=MappingTables!$C$15),INDEX(ModelParameters!$D$141:$K$145,MATCH($O29,ModelParameters!$B$13:$B$17,0),MATCH($J29,ModelParameters!$D$5:$K$5,0)),IF(N29=MappingTables!$C$13,INDEX(ModelParameters!$D$157:$K$161,MATCH($O29,ModelParameters!$B$13:$B$17,0),MATCH($J29,ModelParameters!$D$5:$K$5,0)),0)))</f>
        <v>0</v>
      </c>
      <c r="S29" s="71">
        <f>IF(B29="",0,MIN(P29*Q29+R29,1))</f>
        <v>0.016</v>
      </c>
      <c r="T29" s="73">
        <f>IF(B29="",0,$S29*$K29)</f>
        <v>25.470313299135876</v>
      </c>
      <c r="U29" s="73">
        <f>IF(B29="",0,IF(OR(H29=MappingTables!$C$34,H29=MappingTables!$C$35),T29,0))</f>
        <v>0</v>
      </c>
      <c r="V29" s="73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73">
        <f>IF(B29="",0,+$T29*$V29)</f>
        <v>1.3951696487876946</v>
      </c>
      <c r="X29" s="85">
        <f>IF(B29="",0,IF(OR(H29=MappingTables!$C$34,H29=MappingTables!$C$35),W29,0))</f>
        <v>0</v>
      </c>
    </row>
    <row r="30" spans="2:24" s="0" customFormat="0" ht="15">
      <c r="B30" s="69">
        <v>22554243</v>
      </c>
      <c r="C30" s="70" t="s">
        <v>3232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188</v>
      </c>
      <c r="J30" s="71">
        <f>IF(OR(I30=0,I30=""),"unrated",VLOOKUP(I30,MappingTables!$B$19:$C$31,2,FALSE))</f>
        <v>2</v>
      </c>
      <c r="K30" s="72">
        <v>106.92240245361558</v>
      </c>
      <c r="L30" s="70">
        <v>0.056244683235302608</v>
      </c>
      <c r="M30" s="71">
        <f>IF(L30&lt;1,1,L30)</f>
        <v>1</v>
      </c>
      <c r="N30" s="70" t="s">
        <v>3191</v>
      </c>
      <c r="O30" s="157">
        <f>INDEX(DurClassMapping,MATCH(M30,MappingTables!$D$4:$D$8,-1),1)</f>
        <v>1</v>
      </c>
      <c r="P30" s="157">
        <f>IF(M30=$A$1,1,$M30-INDEX(MappingTables!$E$4:$E$8,MATCH(O30,MappingTables!$B$4:$B$8,0)))</f>
        <v>1</v>
      </c>
      <c r="Q30" s="157">
        <f>IF(B30="",0,IF(OR(N30=MappingTables!$C$12,N30=MappingTables!$C$15),INDEX(ModelParameters!$D$134:$K$138,MATCH($O30,ModelParameters!$B$6:$B$10,0),MATCH($J30,ModelParameters!$D$5:$K$5,0)),IF(N30=MappingTables!$C$13,INDEX(ModelParameters!$D$150:$K$154,MATCH($O30,ModelParameters!$B$6:$B$10,0),MATCH($J30,ModelParameters!$D$5:$K$5,0)),0)))</f>
        <v>0.016</v>
      </c>
      <c r="R30" s="157">
        <f>IF(B30="",0,IF(OR(N30=MappingTables!$C$12,N30=MappingTables!$C$15),INDEX(ModelParameters!$D$141:$K$145,MATCH($O30,ModelParameters!$B$13:$B$17,0),MATCH($J30,ModelParameters!$D$5:$K$5,0)),IF(N30=MappingTables!$C$13,INDEX(ModelParameters!$D$157:$K$161,MATCH($O30,ModelParameters!$B$13:$B$17,0),MATCH($J30,ModelParameters!$D$5:$K$5,0)),0)))</f>
        <v>0</v>
      </c>
      <c r="S30" s="71">
        <f>IF(B30="",0,MIN(P30*Q30+R30,1))</f>
        <v>0.016</v>
      </c>
      <c r="T30" s="73">
        <f>IF(B30="",0,$S30*$K30)</f>
        <v>1.7107584392578492</v>
      </c>
      <c r="U30" s="73">
        <f>IF(B30="",0,IF(OR(H30=MappingTables!$C$34,H30=MappingTables!$C$35),T30,0))</f>
        <v>0</v>
      </c>
      <c r="V30" s="73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73">
        <f>IF(B30="",0,+$T30*$V30)</f>
        <v>0.093709025987557616</v>
      </c>
      <c r="X30" s="85">
        <f>IF(B30="",0,IF(OR(H30=MappingTables!$C$34,H30=MappingTables!$C$35),W30,0))</f>
        <v>0</v>
      </c>
    </row>
    <row r="31" spans="2:24" s="0" customFormat="0" ht="15">
      <c r="B31" s="69">
        <v>13321999</v>
      </c>
      <c r="C31" s="70" t="s">
        <v>3208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216</v>
      </c>
      <c r="J31" s="71">
        <f>IF(OR(I31=0,I31=""),"unrated",VLOOKUP(I31,MappingTables!$B$19:$C$31,2,FALSE))</f>
        <v>0</v>
      </c>
      <c r="K31" s="72">
        <v>1277.2412176727542</v>
      </c>
      <c r="L31" s="70">
        <v>2.7953260404655516</v>
      </c>
      <c r="M31" s="71">
        <f>IF(L31&lt;1,1,L31)</f>
        <v>2.7953260404655516</v>
      </c>
      <c r="N31" s="70" t="s">
        <v>3191</v>
      </c>
      <c r="O31" s="157">
        <f>INDEX(DurClassMapping,MATCH(M31,MappingTables!$D$4:$D$8,-1),1)</f>
        <v>1</v>
      </c>
      <c r="P31" s="157">
        <f>IF(M31=$A$1,1,$M31-INDEX(MappingTables!$E$4:$E$8,MATCH(O31,MappingTables!$B$4:$B$8,0)))</f>
        <v>2.7953260404655516</v>
      </c>
      <c r="Q31" s="157">
        <f>IF(B31="",0,IF(OR(N31=MappingTables!$C$12,N31=MappingTables!$C$15),INDEX(ModelParameters!$D$134:$K$138,MATCH($O31,ModelParameters!$B$6:$B$10,0),MATCH($J31,ModelParameters!$D$5:$K$5,0)),IF(N31=MappingTables!$C$13,INDEX(ModelParameters!$D$150:$K$154,MATCH($O31,ModelParameters!$B$6:$B$10,0),MATCH($J31,ModelParameters!$D$5:$K$5,0)),0)))</f>
        <v>0.01</v>
      </c>
      <c r="R31" s="157">
        <f>IF(B31="",0,IF(OR(N31=MappingTables!$C$12,N31=MappingTables!$C$15),INDEX(ModelParameters!$D$141:$K$145,MATCH($O31,ModelParameters!$B$13:$B$17,0),MATCH($J31,ModelParameters!$D$5:$K$5,0)),IF(N31=MappingTables!$C$13,INDEX(ModelParameters!$D$157:$K$161,MATCH($O31,ModelParameters!$B$13:$B$17,0),MATCH($J31,ModelParameters!$D$5:$K$5,0)),0)))</f>
        <v>0</v>
      </c>
      <c r="S31" s="71">
        <f>IF(B31="",0,MIN(P31*Q31+R31,1))</f>
        <v>0.027953260404655516</v>
      </c>
      <c r="T31" s="73">
        <f>IF(B31="",0,$S31*$K31)</f>
        <v>35.703056357165792</v>
      </c>
      <c r="U31" s="73">
        <f>IF(B31="",0,IF(OR(H31=MappingTables!$C$34,H31=MappingTables!$C$35),T31,0))</f>
        <v>0</v>
      </c>
      <c r="V31" s="73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73">
        <f>IF(B31="",0,+$T31*$V31)</f>
        <v>1.9556815031468112</v>
      </c>
      <c r="X31" s="85">
        <f>IF(B31="",0,IF(OR(H31=MappingTables!$C$34,H31=MappingTables!$C$35),W31,0))</f>
        <v>0</v>
      </c>
    </row>
    <row r="32" spans="2:24" s="0" customFormat="0" ht="15">
      <c r="B32" s="69" t="s">
        <v>3233</v>
      </c>
      <c r="C32" s="70" t="s">
        <v>3234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220</v>
      </c>
      <c r="J32" s="71">
        <f>IF(OR(I32=0,I32=""),"unrated",VLOOKUP(I32,MappingTables!$B$19:$C$31,2,FALSE))</f>
        <v>1</v>
      </c>
      <c r="K32" s="72">
        <v>78.840481986681392</v>
      </c>
      <c r="L32" s="70">
        <v>0.06849431859171204</v>
      </c>
      <c r="M32" s="71">
        <f>IF(L32&lt;1,1,L32)</f>
        <v>1</v>
      </c>
      <c r="N32" s="70" t="s">
        <v>3191</v>
      </c>
      <c r="O32" s="157">
        <f>INDEX(DurClassMapping,MATCH(M32,MappingTables!$D$4:$D$8,-1),1)</f>
        <v>1</v>
      </c>
      <c r="P32" s="157">
        <f>IF(M32=$A$1,1,$M32-INDEX(MappingTables!$E$4:$E$8,MATCH(O32,MappingTables!$B$4:$B$8,0)))</f>
        <v>1</v>
      </c>
      <c r="Q32" s="157">
        <f>IF(B32="",0,IF(OR(N32=MappingTables!$C$12,N32=MappingTables!$C$15),INDEX(ModelParameters!$D$134:$K$138,MATCH($O32,ModelParameters!$B$6:$B$10,0),MATCH($J32,ModelParameters!$D$5:$K$5,0)),IF(N32=MappingTables!$C$13,INDEX(ModelParameters!$D$150:$K$154,MATCH($O32,ModelParameters!$B$6:$B$10,0),MATCH($J32,ModelParameters!$D$5:$K$5,0)),0)))</f>
        <v>0.012</v>
      </c>
      <c r="R32" s="157">
        <f>IF(B32="",0,IF(OR(N32=MappingTables!$C$12,N32=MappingTables!$C$15),INDEX(ModelParameters!$D$141:$K$145,MATCH($O32,ModelParameters!$B$13:$B$17,0),MATCH($J32,ModelParameters!$D$5:$K$5,0)),IF(N32=MappingTables!$C$13,INDEX(ModelParameters!$D$157:$K$161,MATCH($O32,ModelParameters!$B$13:$B$17,0),MATCH($J32,ModelParameters!$D$5:$K$5,0)),0)))</f>
        <v>0</v>
      </c>
      <c r="S32" s="71">
        <f>IF(B32="",0,MIN(P32*Q32+R32,1))</f>
        <v>0.012</v>
      </c>
      <c r="T32" s="73">
        <f>IF(B32="",0,$S32*$K32)</f>
        <v>0.9460857838401768</v>
      </c>
      <c r="U32" s="73">
        <f>IF(B32="",0,IF(OR(H32=MappingTables!$C$34,H32=MappingTables!$C$35),T32,0))</f>
        <v>0</v>
      </c>
      <c r="V32" s="73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73">
        <f>IF(B32="",0,+$T32*$V32)</f>
        <v>0.051823083417199736</v>
      </c>
      <c r="X32" s="85">
        <f>IF(B32="",0,IF(OR(H32=MappingTables!$C$34,H32=MappingTables!$C$35),W32,0))</f>
        <v>0</v>
      </c>
    </row>
    <row r="33" spans="2:24" s="0" customFormat="0" ht="15">
      <c r="B33" s="69" t="s">
        <v>3235</v>
      </c>
      <c r="C33" s="70" t="s">
        <v>3236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188</v>
      </c>
      <c r="J33" s="71">
        <f>IF(OR(I33=0,I33=""),"unrated",VLOOKUP(I33,MappingTables!$B$19:$C$31,2,FALSE))</f>
        <v>2</v>
      </c>
      <c r="K33" s="72">
        <v>61.914719867305688</v>
      </c>
      <c r="L33" s="70">
        <v>0.068492353252784672</v>
      </c>
      <c r="M33" s="71">
        <f>IF(L33&lt;1,1,L33)</f>
        <v>1</v>
      </c>
      <c r="N33" s="70" t="s">
        <v>3191</v>
      </c>
      <c r="O33" s="157">
        <f>INDEX(DurClassMapping,MATCH(M33,MappingTables!$D$4:$D$8,-1),1)</f>
        <v>1</v>
      </c>
      <c r="P33" s="157">
        <f>IF(M33=$A$1,1,$M33-INDEX(MappingTables!$E$4:$E$8,MATCH(O33,MappingTables!$B$4:$B$8,0)))</f>
        <v>1</v>
      </c>
      <c r="Q33" s="157">
        <f>IF(B33="",0,IF(OR(N33=MappingTables!$C$12,N33=MappingTables!$C$15),INDEX(ModelParameters!$D$134:$K$138,MATCH($O33,ModelParameters!$B$6:$B$10,0),MATCH($J33,ModelParameters!$D$5:$K$5,0)),IF(N33=MappingTables!$C$13,INDEX(ModelParameters!$D$150:$K$154,MATCH($O33,ModelParameters!$B$6:$B$10,0),MATCH($J33,ModelParameters!$D$5:$K$5,0)),0)))</f>
        <v>0.016</v>
      </c>
      <c r="R33" s="157">
        <f>IF(B33="",0,IF(OR(N33=MappingTables!$C$12,N33=MappingTables!$C$15),INDEX(ModelParameters!$D$141:$K$145,MATCH($O33,ModelParameters!$B$13:$B$17,0),MATCH($J33,ModelParameters!$D$5:$K$5,0)),IF(N33=MappingTables!$C$13,INDEX(ModelParameters!$D$157:$K$161,MATCH($O33,ModelParameters!$B$13:$B$17,0),MATCH($J33,ModelParameters!$D$5:$K$5,0)),0)))</f>
        <v>0</v>
      </c>
      <c r="S33" s="71">
        <f>IF(B33="",0,MIN(P33*Q33+R33,1))</f>
        <v>0.016</v>
      </c>
      <c r="T33" s="73">
        <f>IF(B33="",0,$S33*$K33)</f>
        <v>0.99063551787689104</v>
      </c>
      <c r="U33" s="73">
        <f>IF(B33="",0,IF(OR(H33=MappingTables!$C$34,H33=MappingTables!$C$35),T33,0))</f>
        <v>0</v>
      </c>
      <c r="V33" s="73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73">
        <f>IF(B33="",0,+$T33*$V33)</f>
        <v>0.054263353234834704</v>
      </c>
      <c r="X33" s="85">
        <f>IF(B33="",0,IF(OR(H33=MappingTables!$C$34,H33=MappingTables!$C$35),W33,0))</f>
        <v>0</v>
      </c>
    </row>
    <row r="34" spans="2:24" s="0" customFormat="0" ht="15">
      <c r="B34" s="69">
        <v>22554288</v>
      </c>
      <c r="C34" s="70" t="s">
        <v>3197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181</v>
      </c>
      <c r="J34" s="71">
        <f>IF(OR(I34=0,I34=""),"unrated",VLOOKUP(I34,MappingTables!$B$19:$C$31,2,FALSE))</f>
        <v>3</v>
      </c>
      <c r="K34" s="72">
        <v>165.88355839717568</v>
      </c>
      <c r="L34" s="70">
        <v>0.068490025643243736</v>
      </c>
      <c r="M34" s="71">
        <f>IF(L34&lt;1,1,L34)</f>
        <v>1</v>
      </c>
      <c r="N34" s="70" t="s">
        <v>3191</v>
      </c>
      <c r="O34" s="157">
        <f>INDEX(DurClassMapping,MATCH(M34,MappingTables!$D$4:$D$8,-1),1)</f>
        <v>1</v>
      </c>
      <c r="P34" s="157">
        <f>IF(M34=$A$1,1,$M34-INDEX(MappingTables!$E$4:$E$8,MATCH(O34,MappingTables!$B$4:$B$8,0)))</f>
        <v>1</v>
      </c>
      <c r="Q34" s="157">
        <f>IF(B34="",0,IF(OR(N34=MappingTables!$C$12,N34=MappingTables!$C$15),INDEX(ModelParameters!$D$134:$K$138,MATCH($O34,ModelParameters!$B$6:$B$10,0),MATCH($J34,ModelParameters!$D$5:$K$5,0)),IF(N34=MappingTables!$C$13,INDEX(ModelParameters!$D$150:$K$154,MATCH($O34,ModelParameters!$B$6:$B$10,0),MATCH($J34,ModelParameters!$D$5:$K$5,0)),0)))</f>
        <v>0.028</v>
      </c>
      <c r="R34" s="157">
        <f>IF(B34="",0,IF(OR(N34=MappingTables!$C$12,N34=MappingTables!$C$15),INDEX(ModelParameters!$D$141:$K$145,MATCH($O34,ModelParameters!$B$13:$B$17,0),MATCH($J34,ModelParameters!$D$5:$K$5,0)),IF(N34=MappingTables!$C$13,INDEX(ModelParameters!$D$157:$K$161,MATCH($O34,ModelParameters!$B$13:$B$17,0),MATCH($J34,ModelParameters!$D$5:$K$5,0)),0)))</f>
        <v>0</v>
      </c>
      <c r="S34" s="71">
        <f>IF(B34="",0,MIN(P34*Q34+R34,1))</f>
        <v>0.028</v>
      </c>
      <c r="T34" s="73">
        <f>IF(B34="",0,$S34*$K34)</f>
        <v>4.6447396351209192</v>
      </c>
      <c r="U34" s="73">
        <f>IF(B34="",0,IF(OR(H34=MappingTables!$C$34,H34=MappingTables!$C$35),T34,0))</f>
        <v>0</v>
      </c>
      <c r="V34" s="73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73">
        <f>IF(B34="",0,+$T34*$V34)</f>
        <v>0.25442167472913612</v>
      </c>
      <c r="X34" s="85">
        <f>IF(B34="",0,IF(OR(H34=MappingTables!$C$34,H34=MappingTables!$C$35),W34,0))</f>
        <v>0</v>
      </c>
    </row>
    <row r="35" spans="2:24" s="0" customFormat="0" ht="15">
      <c r="B35" s="69" t="s">
        <v>3237</v>
      </c>
      <c r="C35" s="70" t="s">
        <v>3238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188</v>
      </c>
      <c r="J35" s="71">
        <f>IF(OR(I35=0,I35=""),"unrated",VLOOKUP(I35,MappingTables!$B$19:$C$31,2,FALSE))</f>
        <v>2</v>
      </c>
      <c r="K35" s="72">
        <v>106.3755442090644</v>
      </c>
      <c r="L35" s="70">
        <v>0.070170914189119168</v>
      </c>
      <c r="M35" s="71">
        <f>IF(L35&lt;1,1,L35)</f>
        <v>1</v>
      </c>
      <c r="N35" s="70" t="s">
        <v>3191</v>
      </c>
      <c r="O35" s="157">
        <f>INDEX(DurClassMapping,MATCH(M35,MappingTables!$D$4:$D$8,-1),1)</f>
        <v>1</v>
      </c>
      <c r="P35" s="157">
        <f>IF(M35=$A$1,1,$M35-INDEX(MappingTables!$E$4:$E$8,MATCH(O35,MappingTables!$B$4:$B$8,0)))</f>
        <v>1</v>
      </c>
      <c r="Q35" s="157">
        <f>IF(B35="",0,IF(OR(N35=MappingTables!$C$12,N35=MappingTables!$C$15),INDEX(ModelParameters!$D$134:$K$138,MATCH($O35,ModelParameters!$B$6:$B$10,0),MATCH($J35,ModelParameters!$D$5:$K$5,0)),IF(N35=MappingTables!$C$13,INDEX(ModelParameters!$D$150:$K$154,MATCH($O35,ModelParameters!$B$6:$B$10,0),MATCH($J35,ModelParameters!$D$5:$K$5,0)),0)))</f>
        <v>0.016</v>
      </c>
      <c r="R35" s="157">
        <f>IF(B35="",0,IF(OR(N35=MappingTables!$C$12,N35=MappingTables!$C$15),INDEX(ModelParameters!$D$141:$K$145,MATCH($O35,ModelParameters!$B$13:$B$17,0),MATCH($J35,ModelParameters!$D$5:$K$5,0)),IF(N35=MappingTables!$C$13,INDEX(ModelParameters!$D$157:$K$161,MATCH($O35,ModelParameters!$B$13:$B$17,0),MATCH($J35,ModelParameters!$D$5:$K$5,0)),0)))</f>
        <v>0</v>
      </c>
      <c r="S35" s="71">
        <f>IF(B35="",0,MIN(P35*Q35+R35,1))</f>
        <v>0.016</v>
      </c>
      <c r="T35" s="73">
        <f>IF(B35="",0,$S35*$K35)</f>
        <v>1.7020087073450306</v>
      </c>
      <c r="U35" s="73">
        <f>IF(B35="",0,IF(OR(H35=MappingTables!$C$34,H35=MappingTables!$C$35),T35,0))</f>
        <v>0</v>
      </c>
      <c r="V35" s="73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73">
        <f>IF(B35="",0,+$T35*$V35)</f>
        <v>0.093229748003952768</v>
      </c>
      <c r="X35" s="85">
        <f>IF(B35="",0,IF(OR(H35=MappingTables!$C$34,H35=MappingTables!$C$35),W35,0))</f>
        <v>0</v>
      </c>
    </row>
    <row r="36" spans="2:24" s="0" customFormat="0" ht="15">
      <c r="B36" s="69" t="s">
        <v>3189</v>
      </c>
      <c r="C36" s="70" t="s">
        <v>3190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188</v>
      </c>
      <c r="J36" s="71">
        <f>IF(OR(I36=0,I36=""),"unrated",VLOOKUP(I36,MappingTables!$B$19:$C$31,2,FALSE))</f>
        <v>2</v>
      </c>
      <c r="K36" s="72">
        <v>165.10446204070246</v>
      </c>
      <c r="L36" s="70">
        <v>0.068497820651688984</v>
      </c>
      <c r="M36" s="71">
        <f>IF(L36&lt;1,1,L36)</f>
        <v>1</v>
      </c>
      <c r="N36" s="70" t="s">
        <v>3191</v>
      </c>
      <c r="O36" s="157">
        <f>INDEX(DurClassMapping,MATCH(M36,MappingTables!$D$4:$D$8,-1),1)</f>
        <v>1</v>
      </c>
      <c r="P36" s="157">
        <f>IF(M36=$A$1,1,$M36-INDEX(MappingTables!$E$4:$E$8,MATCH(O36,MappingTables!$B$4:$B$8,0)))</f>
        <v>1</v>
      </c>
      <c r="Q36" s="157">
        <f>IF(B36="",0,IF(OR(N36=MappingTables!$C$12,N36=MappingTables!$C$15),INDEX(ModelParameters!$D$134:$K$138,MATCH($O36,ModelParameters!$B$6:$B$10,0),MATCH($J36,ModelParameters!$D$5:$K$5,0)),IF(N36=MappingTables!$C$13,INDEX(ModelParameters!$D$150:$K$154,MATCH($O36,ModelParameters!$B$6:$B$10,0),MATCH($J36,ModelParameters!$D$5:$K$5,0)),0)))</f>
        <v>0.016</v>
      </c>
      <c r="R36" s="157">
        <f>IF(B36="",0,IF(OR(N36=MappingTables!$C$12,N36=MappingTables!$C$15),INDEX(ModelParameters!$D$141:$K$145,MATCH($O36,ModelParameters!$B$13:$B$17,0),MATCH($J36,ModelParameters!$D$5:$K$5,0)),IF(N36=MappingTables!$C$13,INDEX(ModelParameters!$D$157:$K$161,MATCH($O36,ModelParameters!$B$13:$B$17,0),MATCH($J36,ModelParameters!$D$5:$K$5,0)),0)))</f>
        <v>0</v>
      </c>
      <c r="S36" s="71">
        <f>IF(B36="",0,MIN(P36*Q36+R36,1))</f>
        <v>0.016</v>
      </c>
      <c r="T36" s="73">
        <f>IF(B36="",0,$S36*$K36)</f>
        <v>2.6416713926512392</v>
      </c>
      <c r="U36" s="73">
        <f>IF(B36="",0,IF(OR(H36=MappingTables!$C$34,H36=MappingTables!$C$35),T36,0))</f>
        <v>0</v>
      </c>
      <c r="V36" s="73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73">
        <f>IF(B36="",0,+$T36*$V36)</f>
        <v>0.14470099781704568</v>
      </c>
      <c r="X36" s="85">
        <f>IF(B36="",0,IF(OR(H36=MappingTables!$C$34,H36=MappingTables!$C$35),W36,0))</f>
        <v>0</v>
      </c>
    </row>
    <row r="37" spans="2:24" s="0" customFormat="0" ht="15">
      <c r="B37" s="69" t="s">
        <v>3209</v>
      </c>
      <c r="C37" s="70" t="s">
        <v>3210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220</v>
      </c>
      <c r="J37" s="71">
        <f>IF(OR(I37=0,I37=""),"unrated",VLOOKUP(I37,MappingTables!$B$19:$C$31,2,FALSE))</f>
        <v>1</v>
      </c>
      <c r="K37" s="72">
        <v>76.433267636129136</v>
      </c>
      <c r="L37" s="70">
        <v>0.0736648136778904</v>
      </c>
      <c r="M37" s="71">
        <f>IF(L37&lt;1,1,L37)</f>
        <v>1</v>
      </c>
      <c r="N37" s="70" t="s">
        <v>3191</v>
      </c>
      <c r="O37" s="157">
        <f>INDEX(DurClassMapping,MATCH(M37,MappingTables!$D$4:$D$8,-1),1)</f>
        <v>1</v>
      </c>
      <c r="P37" s="157">
        <f>IF(M37=$A$1,1,$M37-INDEX(MappingTables!$E$4:$E$8,MATCH(O37,MappingTables!$B$4:$B$8,0)))</f>
        <v>1</v>
      </c>
      <c r="Q37" s="157">
        <f>IF(B37="",0,IF(OR(N37=MappingTables!$C$12,N37=MappingTables!$C$15),INDEX(ModelParameters!$D$134:$K$138,MATCH($O37,ModelParameters!$B$6:$B$10,0),MATCH($J37,ModelParameters!$D$5:$K$5,0)),IF(N37=MappingTables!$C$13,INDEX(ModelParameters!$D$150:$K$154,MATCH($O37,ModelParameters!$B$6:$B$10,0),MATCH($J37,ModelParameters!$D$5:$K$5,0)),0)))</f>
        <v>0.012</v>
      </c>
      <c r="R37" s="157">
        <f>IF(B37="",0,IF(OR(N37=MappingTables!$C$12,N37=MappingTables!$C$15),INDEX(ModelParameters!$D$141:$K$145,MATCH($O37,ModelParameters!$B$13:$B$17,0),MATCH($J37,ModelParameters!$D$5:$K$5,0)),IF(N37=MappingTables!$C$13,INDEX(ModelParameters!$D$157:$K$161,MATCH($O37,ModelParameters!$B$13:$B$17,0),MATCH($J37,ModelParameters!$D$5:$K$5,0)),0)))</f>
        <v>0</v>
      </c>
      <c r="S37" s="71">
        <f>IF(B37="",0,MIN(P37*Q37+R37,1))</f>
        <v>0.012</v>
      </c>
      <c r="T37" s="73">
        <f>IF(B37="",0,$S37*$K37)</f>
        <v>0.9171992116335496</v>
      </c>
      <c r="U37" s="73">
        <f>IF(B37="",0,IF(OR(H37=MappingTables!$C$34,H37=MappingTables!$C$35),T37,0))</f>
        <v>0</v>
      </c>
      <c r="V37" s="73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73">
        <f>IF(B37="",0,+$T37*$V37)</f>
        <v>0.050240783728661248</v>
      </c>
      <c r="X37" s="85">
        <f>IF(B37="",0,IF(OR(H37=MappingTables!$C$34,H37=MappingTables!$C$35),W37,0))</f>
        <v>0</v>
      </c>
    </row>
    <row r="38" spans="2:24" s="0" customFormat="0" ht="15">
      <c r="B38" s="69" t="s">
        <v>3239</v>
      </c>
      <c r="C38" s="70" t="s">
        <v>3240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188</v>
      </c>
      <c r="J38" s="71">
        <f>IF(OR(I38=0,I38=""),"unrated",VLOOKUP(I38,MappingTables!$B$19:$C$31,2,FALSE))</f>
        <v>2</v>
      </c>
      <c r="K38" s="72">
        <v>107.79259844018268</v>
      </c>
      <c r="L38" s="70">
        <v>0.068493597479435576</v>
      </c>
      <c r="M38" s="71">
        <f>IF(L38&lt;1,1,L38)</f>
        <v>1</v>
      </c>
      <c r="N38" s="70" t="s">
        <v>3191</v>
      </c>
      <c r="O38" s="157">
        <f>INDEX(DurClassMapping,MATCH(M38,MappingTables!$D$4:$D$8,-1),1)</f>
        <v>1</v>
      </c>
      <c r="P38" s="157">
        <f>IF(M38=$A$1,1,$M38-INDEX(MappingTables!$E$4:$E$8,MATCH(O38,MappingTables!$B$4:$B$8,0)))</f>
        <v>1</v>
      </c>
      <c r="Q38" s="157">
        <f>IF(B38="",0,IF(OR(N38=MappingTables!$C$12,N38=MappingTables!$C$15),INDEX(ModelParameters!$D$134:$K$138,MATCH($O38,ModelParameters!$B$6:$B$10,0),MATCH($J38,ModelParameters!$D$5:$K$5,0)),IF(N38=MappingTables!$C$13,INDEX(ModelParameters!$D$150:$K$154,MATCH($O38,ModelParameters!$B$6:$B$10,0),MATCH($J38,ModelParameters!$D$5:$K$5,0)),0)))</f>
        <v>0.016</v>
      </c>
      <c r="R38" s="157">
        <f>IF(B38="",0,IF(OR(N38=MappingTables!$C$12,N38=MappingTables!$C$15),INDEX(ModelParameters!$D$141:$K$145,MATCH($O38,ModelParameters!$B$13:$B$17,0),MATCH($J38,ModelParameters!$D$5:$K$5,0)),IF(N38=MappingTables!$C$13,INDEX(ModelParameters!$D$157:$K$161,MATCH($O38,ModelParameters!$B$13:$B$17,0),MATCH($J38,ModelParameters!$D$5:$K$5,0)),0)))</f>
        <v>0</v>
      </c>
      <c r="S38" s="71">
        <f>IF(B38="",0,MIN(P38*Q38+R38,1))</f>
        <v>0.016</v>
      </c>
      <c r="T38" s="73">
        <f>IF(B38="",0,$S38*$K38)</f>
        <v>1.7246815750429228</v>
      </c>
      <c r="U38" s="73">
        <f>IF(B38="",0,IF(OR(H38=MappingTables!$C$34,H38=MappingTables!$C$35),T38,0))</f>
        <v>0</v>
      </c>
      <c r="V38" s="73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73">
        <f>IF(B38="",0,+$T38*$V38)</f>
        <v>0.094471683919368128</v>
      </c>
      <c r="X38" s="85">
        <f>IF(B38="",0,IF(OR(H38=MappingTables!$C$34,H38=MappingTables!$C$35),W38,0))</f>
        <v>0</v>
      </c>
    </row>
    <row r="39" spans="2:24" s="0" customFormat="0" ht="15">
      <c r="B39" s="69">
        <v>14504604</v>
      </c>
      <c r="C39" s="70" t="s">
        <v>3241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216</v>
      </c>
      <c r="J39" s="71">
        <f>IF(OR(I39=0,I39=""),"unrated",VLOOKUP(I39,MappingTables!$B$19:$C$31,2,FALSE))</f>
        <v>0</v>
      </c>
      <c r="K39" s="72">
        <v>38.599353995628304</v>
      </c>
      <c r="L39" s="70">
        <v>0.13738951769744872</v>
      </c>
      <c r="M39" s="71">
        <f>IF(L39&lt;1,1,L39)</f>
        <v>1</v>
      </c>
      <c r="N39" s="70" t="s">
        <v>3191</v>
      </c>
      <c r="O39" s="157">
        <f>INDEX(DurClassMapping,MATCH(M39,MappingTables!$D$4:$D$8,-1),1)</f>
        <v>1</v>
      </c>
      <c r="P39" s="157">
        <f>IF(M39=$A$1,1,$M39-INDEX(MappingTables!$E$4:$E$8,MATCH(O39,MappingTables!$B$4:$B$8,0)))</f>
        <v>1</v>
      </c>
      <c r="Q39" s="157">
        <f>IF(B39="",0,IF(OR(N39=MappingTables!$C$12,N39=MappingTables!$C$15),INDEX(ModelParameters!$D$134:$K$138,MATCH($O39,ModelParameters!$B$6:$B$10,0),MATCH($J39,ModelParameters!$D$5:$K$5,0)),IF(N39=MappingTables!$C$13,INDEX(ModelParameters!$D$150:$K$154,MATCH($O39,ModelParameters!$B$6:$B$10,0),MATCH($J39,ModelParameters!$D$5:$K$5,0)),0)))</f>
        <v>0.01</v>
      </c>
      <c r="R39" s="157">
        <f>IF(B39="",0,IF(OR(N39=MappingTables!$C$12,N39=MappingTables!$C$15),INDEX(ModelParameters!$D$141:$K$145,MATCH($O39,ModelParameters!$B$13:$B$17,0),MATCH($J39,ModelParameters!$D$5:$K$5,0)),IF(N39=MappingTables!$C$13,INDEX(ModelParameters!$D$157:$K$161,MATCH($O39,ModelParameters!$B$13:$B$17,0),MATCH($J39,ModelParameters!$D$5:$K$5,0)),0)))</f>
        <v>0</v>
      </c>
      <c r="S39" s="71">
        <f>IF(B39="",0,MIN(P39*Q39+R39,1))</f>
        <v>0.01</v>
      </c>
      <c r="T39" s="73">
        <f>IF(B39="",0,$S39*$K39)</f>
        <v>0.38599353995628304</v>
      </c>
      <c r="U39" s="73">
        <f>IF(B39="",0,IF(OR(H39=MappingTables!$C$34,H39=MappingTables!$C$35),T39,0))</f>
        <v>0</v>
      </c>
      <c r="V39" s="73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73">
        <f>IF(B39="",0,+$T39*$V39)</f>
        <v>0.0211432998585611</v>
      </c>
      <c r="X39" s="85">
        <f>IF(B39="",0,IF(OR(H39=MappingTables!$C$34,H39=MappingTables!$C$35),W39,0))</f>
        <v>0</v>
      </c>
    </row>
    <row r="40" spans="2:24" s="0" customFormat="0" ht="15">
      <c r="B40" s="69" t="s">
        <v>3242</v>
      </c>
      <c r="C40" s="70" t="s">
        <v>3243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216</v>
      </c>
      <c r="J40" s="71">
        <f>IF(OR(I40=0,I40=""),"unrated",VLOOKUP(I40,MappingTables!$B$19:$C$31,2,FALSE))</f>
        <v>0</v>
      </c>
      <c r="K40" s="72">
        <v>84.317679066872912</v>
      </c>
      <c r="L40" s="70">
        <v>0.041125807946719616</v>
      </c>
      <c r="M40" s="71">
        <f>IF(L40&lt;1,1,L40)</f>
        <v>1</v>
      </c>
      <c r="N40" s="70" t="s">
        <v>3191</v>
      </c>
      <c r="O40" s="157">
        <f>INDEX(DurClassMapping,MATCH(M40,MappingTables!$D$4:$D$8,-1),1)</f>
        <v>1</v>
      </c>
      <c r="P40" s="157">
        <f>IF(M40=$A$1,1,$M40-INDEX(MappingTables!$E$4:$E$8,MATCH(O40,MappingTables!$B$4:$B$8,0)))</f>
        <v>1</v>
      </c>
      <c r="Q40" s="157">
        <f>IF(B40="",0,IF(OR(N40=MappingTables!$C$12,N40=MappingTables!$C$15),INDEX(ModelParameters!$D$134:$K$138,MATCH($O40,ModelParameters!$B$6:$B$10,0),MATCH($J40,ModelParameters!$D$5:$K$5,0)),IF(N40=MappingTables!$C$13,INDEX(ModelParameters!$D$150:$K$154,MATCH($O40,ModelParameters!$B$6:$B$10,0),MATCH($J40,ModelParameters!$D$5:$K$5,0)),0)))</f>
        <v>0.01</v>
      </c>
      <c r="R40" s="157">
        <f>IF(B40="",0,IF(OR(N40=MappingTables!$C$12,N40=MappingTables!$C$15),INDEX(ModelParameters!$D$141:$K$145,MATCH($O40,ModelParameters!$B$13:$B$17,0),MATCH($J40,ModelParameters!$D$5:$K$5,0)),IF(N40=MappingTables!$C$13,INDEX(ModelParameters!$D$157:$K$161,MATCH($O40,ModelParameters!$B$13:$B$17,0),MATCH($J40,ModelParameters!$D$5:$K$5,0)),0)))</f>
        <v>0</v>
      </c>
      <c r="S40" s="71">
        <f>IF(B40="",0,MIN(P40*Q40+R40,1))</f>
        <v>0.01</v>
      </c>
      <c r="T40" s="73">
        <f>IF(B40="",0,$S40*$K40)</f>
        <v>0.84317679066872912</v>
      </c>
      <c r="U40" s="73">
        <f>IF(B40="",0,IF(OR(H40=MappingTables!$C$34,H40=MappingTables!$C$35),T40,0))</f>
        <v>0</v>
      </c>
      <c r="V40" s="73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73">
        <f>IF(B40="",0,+$T40*$V40)</f>
        <v>0.046186109023760496</v>
      </c>
      <c r="X40" s="85">
        <f>IF(B40="",0,IF(OR(H40=MappingTables!$C$34,H40=MappingTables!$C$35),W40,0))</f>
        <v>0</v>
      </c>
    </row>
    <row r="41" spans="2:24" s="0" customFormat="0" ht="15">
      <c r="B41" s="69" t="s">
        <v>3244</v>
      </c>
      <c r="C41" s="70" t="s">
        <v>3245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216</v>
      </c>
      <c r="J41" s="71">
        <f>IF(OR(I41=0,I41=""),"unrated",VLOOKUP(I41,MappingTables!$B$19:$C$31,2,FALSE))</f>
        <v>0</v>
      </c>
      <c r="K41" s="72">
        <v>17.605704603617876</v>
      </c>
      <c r="L41" s="70">
        <v>0.068494219396183928</v>
      </c>
      <c r="M41" s="71">
        <f>IF(L41&lt;1,1,L41)</f>
        <v>1</v>
      </c>
      <c r="N41" s="70" t="s">
        <v>3191</v>
      </c>
      <c r="O41" s="157">
        <f>INDEX(DurClassMapping,MATCH(M41,MappingTables!$D$4:$D$8,-1),1)</f>
        <v>1</v>
      </c>
      <c r="P41" s="157">
        <f>IF(M41=$A$1,1,$M41-INDEX(MappingTables!$E$4:$E$8,MATCH(O41,MappingTables!$B$4:$B$8,0)))</f>
        <v>1</v>
      </c>
      <c r="Q41" s="157">
        <f>IF(B41="",0,IF(OR(N41=MappingTables!$C$12,N41=MappingTables!$C$15),INDEX(ModelParameters!$D$134:$K$138,MATCH($O41,ModelParameters!$B$6:$B$10,0),MATCH($J41,ModelParameters!$D$5:$K$5,0)),IF(N41=MappingTables!$C$13,INDEX(ModelParameters!$D$150:$K$154,MATCH($O41,ModelParameters!$B$6:$B$10,0),MATCH($J41,ModelParameters!$D$5:$K$5,0)),0)))</f>
        <v>0.01</v>
      </c>
      <c r="R41" s="157">
        <f>IF(B41="",0,IF(OR(N41=MappingTables!$C$12,N41=MappingTables!$C$15),INDEX(ModelParameters!$D$141:$K$145,MATCH($O41,ModelParameters!$B$13:$B$17,0),MATCH($J41,ModelParameters!$D$5:$K$5,0)),IF(N41=MappingTables!$C$13,INDEX(ModelParameters!$D$157:$K$161,MATCH($O41,ModelParameters!$B$13:$B$17,0),MATCH($J41,ModelParameters!$D$5:$K$5,0)),0)))</f>
        <v>0</v>
      </c>
      <c r="S41" s="71">
        <f>IF(B41="",0,MIN(P41*Q41+R41,1))</f>
        <v>0.01</v>
      </c>
      <c r="T41" s="73">
        <f>IF(B41="",0,$S41*$K41)</f>
        <v>0.17605704603617878</v>
      </c>
      <c r="U41" s="73">
        <f>IF(B41="",0,IF(OR(H41=MappingTables!$C$34,H41=MappingTables!$C$35),T41,0))</f>
        <v>0</v>
      </c>
      <c r="V41" s="73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73">
        <f>IF(B41="",0,+$T41*$V41)</f>
        <v>0.0096437544446392</v>
      </c>
      <c r="X41" s="85">
        <f>IF(B41="",0,IF(OR(H41=MappingTables!$C$34,H41=MappingTables!$C$35),W41,0))</f>
        <v>0</v>
      </c>
    </row>
    <row r="42" spans="2:24" s="0" customFormat="0" ht="15">
      <c r="B42" s="69" t="s">
        <v>3246</v>
      </c>
      <c r="C42" s="70" t="s">
        <v>3247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181</v>
      </c>
      <c r="J42" s="71">
        <f>IF(OR(I42=0,I42=""),"unrated",VLOOKUP(I42,MappingTables!$B$19:$C$31,2,FALSE))</f>
        <v>3</v>
      </c>
      <c r="K42" s="72">
        <v>171.8175394568126</v>
      </c>
      <c r="L42" s="70">
        <v>0.068491337606819512</v>
      </c>
      <c r="M42" s="71">
        <f>IF(L42&lt;1,1,L42)</f>
        <v>1</v>
      </c>
      <c r="N42" s="70" t="s">
        <v>3191</v>
      </c>
      <c r="O42" s="157">
        <f>INDEX(DurClassMapping,MATCH(M42,MappingTables!$D$4:$D$8,-1),1)</f>
        <v>1</v>
      </c>
      <c r="P42" s="157">
        <f>IF(M42=$A$1,1,$M42-INDEX(MappingTables!$E$4:$E$8,MATCH(O42,MappingTables!$B$4:$B$8,0)))</f>
        <v>1</v>
      </c>
      <c r="Q42" s="157">
        <f>IF(B42="",0,IF(OR(N42=MappingTables!$C$12,N42=MappingTables!$C$15),INDEX(ModelParameters!$D$134:$K$138,MATCH($O42,ModelParameters!$B$6:$B$10,0),MATCH($J42,ModelParameters!$D$5:$K$5,0)),IF(N42=MappingTables!$C$13,INDEX(ModelParameters!$D$150:$K$154,MATCH($O42,ModelParameters!$B$6:$B$10,0),MATCH($J42,ModelParameters!$D$5:$K$5,0)),0)))</f>
        <v>0.028</v>
      </c>
      <c r="R42" s="157">
        <f>IF(B42="",0,IF(OR(N42=MappingTables!$C$12,N42=MappingTables!$C$15),INDEX(ModelParameters!$D$141:$K$145,MATCH($O42,ModelParameters!$B$13:$B$17,0),MATCH($J42,ModelParameters!$D$5:$K$5,0)),IF(N42=MappingTables!$C$13,INDEX(ModelParameters!$D$157:$K$161,MATCH($O42,ModelParameters!$B$13:$B$17,0),MATCH($J42,ModelParameters!$D$5:$K$5,0)),0)))</f>
        <v>0</v>
      </c>
      <c r="S42" s="71">
        <f>IF(B42="",0,MIN(P42*Q42+R42,1))</f>
        <v>0.028</v>
      </c>
      <c r="T42" s="73">
        <f>IF(B42="",0,$S42*$K42)</f>
        <v>4.8108911047907528</v>
      </c>
      <c r="U42" s="73">
        <f>IF(B42="",0,IF(OR(H42=MappingTables!$C$34,H42=MappingTables!$C$35),T42,0))</f>
        <v>0</v>
      </c>
      <c r="V42" s="73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73">
        <f>IF(B42="",0,+$T42*$V42)</f>
        <v>0.26352283830189384</v>
      </c>
      <c r="X42" s="85">
        <f>IF(B42="",0,IF(OR(H42=MappingTables!$C$34,H42=MappingTables!$C$35),W42,0))</f>
        <v>0</v>
      </c>
    </row>
    <row r="43" spans="2:24" s="0" customFormat="0" ht="15">
      <c r="B43" s="69">
        <v>14504604</v>
      </c>
      <c r="C43" s="70" t="s">
        <v>3241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216</v>
      </c>
      <c r="J43" s="71">
        <f>IF(OR(I43=0,I43=""),"unrated",VLOOKUP(I43,MappingTables!$B$19:$C$31,2,FALSE))</f>
        <v>0</v>
      </c>
      <c r="K43" s="72">
        <v>18.198074154630864</v>
      </c>
      <c r="L43" s="70">
        <v>0.13738951769745448</v>
      </c>
      <c r="M43" s="71">
        <f>IF(L43&lt;1,1,L43)</f>
        <v>1</v>
      </c>
      <c r="N43" s="70" t="s">
        <v>3191</v>
      </c>
      <c r="O43" s="157">
        <f>INDEX(DurClassMapping,MATCH(M43,MappingTables!$D$4:$D$8,-1),1)</f>
        <v>1</v>
      </c>
      <c r="P43" s="157">
        <f>IF(M43=$A$1,1,$M43-INDEX(MappingTables!$E$4:$E$8,MATCH(O43,MappingTables!$B$4:$B$8,0)))</f>
        <v>1</v>
      </c>
      <c r="Q43" s="157">
        <f>IF(B43="",0,IF(OR(N43=MappingTables!$C$12,N43=MappingTables!$C$15),INDEX(ModelParameters!$D$134:$K$138,MATCH($O43,ModelParameters!$B$6:$B$10,0),MATCH($J43,ModelParameters!$D$5:$K$5,0)),IF(N43=MappingTables!$C$13,INDEX(ModelParameters!$D$150:$K$154,MATCH($O43,ModelParameters!$B$6:$B$10,0),MATCH($J43,ModelParameters!$D$5:$K$5,0)),0)))</f>
        <v>0.01</v>
      </c>
      <c r="R43" s="157">
        <f>IF(B43="",0,IF(OR(N43=MappingTables!$C$12,N43=MappingTables!$C$15),INDEX(ModelParameters!$D$141:$K$145,MATCH($O43,ModelParameters!$B$13:$B$17,0),MATCH($J43,ModelParameters!$D$5:$K$5,0)),IF(N43=MappingTables!$C$13,INDEX(ModelParameters!$D$157:$K$161,MATCH($O43,ModelParameters!$B$13:$B$17,0),MATCH($J43,ModelParameters!$D$5:$K$5,0)),0)))</f>
        <v>0</v>
      </c>
      <c r="S43" s="71">
        <f>IF(B43="",0,MIN(P43*Q43+R43,1))</f>
        <v>0.01</v>
      </c>
      <c r="T43" s="73">
        <f>IF(B43="",0,$S43*$K43)</f>
        <v>0.18198074154630864</v>
      </c>
      <c r="U43" s="73">
        <f>IF(B43="",0,IF(OR(H43=MappingTables!$C$34,H43=MappingTables!$C$35),T43,0))</f>
        <v>0</v>
      </c>
      <c r="V43" s="73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73">
        <f>IF(B43="",0,+$T43*$V43)</f>
        <v>0.0099682325964126016</v>
      </c>
      <c r="X43" s="85">
        <f>IF(B43="",0,IF(OR(H43=MappingTables!$C$34,H43=MappingTables!$C$35),W43,0))</f>
        <v>0</v>
      </c>
    </row>
    <row r="44" spans="2:24" s="0" customFormat="0" ht="15">
      <c r="B44" s="69" t="s">
        <v>3248</v>
      </c>
      <c r="C44" s="70" t="s">
        <v>3249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188</v>
      </c>
      <c r="J44" s="71">
        <f>IF(OR(I44=0,I44=""),"unrated",VLOOKUP(I44,MappingTables!$B$19:$C$31,2,FALSE))</f>
        <v>2</v>
      </c>
      <c r="K44" s="72">
        <v>263.4980049150056</v>
      </c>
      <c r="L44" s="70">
        <v>0.068493950228289096</v>
      </c>
      <c r="M44" s="71">
        <f>IF(L44&lt;1,1,L44)</f>
        <v>1</v>
      </c>
      <c r="N44" s="70" t="s">
        <v>3191</v>
      </c>
      <c r="O44" s="157">
        <f>INDEX(DurClassMapping,MATCH(M44,MappingTables!$D$4:$D$8,-1),1)</f>
        <v>1</v>
      </c>
      <c r="P44" s="157">
        <f>IF(M44=$A$1,1,$M44-INDEX(MappingTables!$E$4:$E$8,MATCH(O44,MappingTables!$B$4:$B$8,0)))</f>
        <v>1</v>
      </c>
      <c r="Q44" s="157">
        <f>IF(B44="",0,IF(OR(N44=MappingTables!$C$12,N44=MappingTables!$C$15),INDEX(ModelParameters!$D$134:$K$138,MATCH($O44,ModelParameters!$B$6:$B$10,0),MATCH($J44,ModelParameters!$D$5:$K$5,0)),IF(N44=MappingTables!$C$13,INDEX(ModelParameters!$D$150:$K$154,MATCH($O44,ModelParameters!$B$6:$B$10,0),MATCH($J44,ModelParameters!$D$5:$K$5,0)),0)))</f>
        <v>0.016</v>
      </c>
      <c r="R44" s="157">
        <f>IF(B44="",0,IF(OR(N44=MappingTables!$C$12,N44=MappingTables!$C$15),INDEX(ModelParameters!$D$141:$K$145,MATCH($O44,ModelParameters!$B$13:$B$17,0),MATCH($J44,ModelParameters!$D$5:$K$5,0)),IF(N44=MappingTables!$C$13,INDEX(ModelParameters!$D$157:$K$161,MATCH($O44,ModelParameters!$B$13:$B$17,0),MATCH($J44,ModelParameters!$D$5:$K$5,0)),0)))</f>
        <v>0</v>
      </c>
      <c r="S44" s="71">
        <f>IF(B44="",0,MIN(P44*Q44+R44,1))</f>
        <v>0.016</v>
      </c>
      <c r="T44" s="73">
        <f>IF(B44="",0,$S44*$K44)</f>
        <v>4.2159680786400896</v>
      </c>
      <c r="U44" s="73">
        <f>IF(B44="",0,IF(OR(H44=MappingTables!$C$34,H44=MappingTables!$C$35),T44,0))</f>
        <v>0</v>
      </c>
      <c r="V44" s="73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73">
        <f>IF(B44="",0,+$T44*$V44)</f>
        <v>0.2309351531916956</v>
      </c>
      <c r="X44" s="85">
        <f>IF(B44="",0,IF(OR(H44=MappingTables!$C$34,H44=MappingTables!$C$35),W44,0))</f>
        <v>0</v>
      </c>
    </row>
    <row r="45" spans="2:24" s="0" customFormat="0" ht="15">
      <c r="B45" s="69" t="s">
        <v>3204</v>
      </c>
      <c r="C45" s="70" t="s">
        <v>3205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188</v>
      </c>
      <c r="J45" s="71">
        <f>IF(OR(I45=0,I45=""),"unrated",VLOOKUP(I45,MappingTables!$B$19:$C$31,2,FALSE))</f>
        <v>2</v>
      </c>
      <c r="K45" s="72">
        <v>93.530750734386288</v>
      </c>
      <c r="L45" s="70">
        <v>0.068489182506764512</v>
      </c>
      <c r="M45" s="71">
        <f>IF(L45&lt;1,1,L45)</f>
        <v>1</v>
      </c>
      <c r="N45" s="70" t="s">
        <v>3191</v>
      </c>
      <c r="O45" s="157">
        <f>INDEX(DurClassMapping,MATCH(M45,MappingTables!$D$4:$D$8,-1),1)</f>
        <v>1</v>
      </c>
      <c r="P45" s="157">
        <f>IF(M45=$A$1,1,$M45-INDEX(MappingTables!$E$4:$E$8,MATCH(O45,MappingTables!$B$4:$B$8,0)))</f>
        <v>1</v>
      </c>
      <c r="Q45" s="157">
        <f>IF(B45="",0,IF(OR(N45=MappingTables!$C$12,N45=MappingTables!$C$15),INDEX(ModelParameters!$D$134:$K$138,MATCH($O45,ModelParameters!$B$6:$B$10,0),MATCH($J45,ModelParameters!$D$5:$K$5,0)),IF(N45=MappingTables!$C$13,INDEX(ModelParameters!$D$150:$K$154,MATCH($O45,ModelParameters!$B$6:$B$10,0),MATCH($J45,ModelParameters!$D$5:$K$5,0)),0)))</f>
        <v>0.016</v>
      </c>
      <c r="R45" s="157">
        <f>IF(B45="",0,IF(OR(N45=MappingTables!$C$12,N45=MappingTables!$C$15),INDEX(ModelParameters!$D$141:$K$145,MATCH($O45,ModelParameters!$B$13:$B$17,0),MATCH($J45,ModelParameters!$D$5:$K$5,0)),IF(N45=MappingTables!$C$13,INDEX(ModelParameters!$D$157:$K$161,MATCH($O45,ModelParameters!$B$13:$B$17,0),MATCH($J45,ModelParameters!$D$5:$K$5,0)),0)))</f>
        <v>0</v>
      </c>
      <c r="S45" s="71">
        <f>IF(B45="",0,MIN(P45*Q45+R45,1))</f>
        <v>0.016</v>
      </c>
      <c r="T45" s="73">
        <f>IF(B45="",0,$S45*$K45)</f>
        <v>1.4964920117501806</v>
      </c>
      <c r="U45" s="73">
        <f>IF(B45="",0,IF(OR(H45=MappingTables!$C$34,H45=MappingTables!$C$35),T45,0))</f>
        <v>0</v>
      </c>
      <c r="V45" s="73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73">
        <f>IF(B45="",0,+$T45*$V45)</f>
        <v>0.081972302810971872</v>
      </c>
      <c r="X45" s="85">
        <f>IF(B45="",0,IF(OR(H45=MappingTables!$C$34,H45=MappingTables!$C$35),W45,0))</f>
        <v>0</v>
      </c>
    </row>
    <row r="46" spans="2:24" s="0" customFormat="0" ht="15">
      <c r="B46" s="69">
        <v>16974047</v>
      </c>
      <c r="C46" s="70" t="s">
        <v>3250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216</v>
      </c>
      <c r="J46" s="71">
        <f>IF(OR(I46=0,I46=""),"unrated",VLOOKUP(I46,MappingTables!$B$19:$C$31,2,FALSE))</f>
        <v>0</v>
      </c>
      <c r="K46" s="72">
        <v>2050.6993321595552</v>
      </c>
      <c r="L46" s="70">
        <v>0.041747705246429512</v>
      </c>
      <c r="M46" s="71">
        <f>IF(L46&lt;1,1,L46)</f>
        <v>1</v>
      </c>
      <c r="N46" s="70" t="s">
        <v>3191</v>
      </c>
      <c r="O46" s="157">
        <f>INDEX(DurClassMapping,MATCH(M46,MappingTables!$D$4:$D$8,-1),1)</f>
        <v>1</v>
      </c>
      <c r="P46" s="157">
        <f>IF(M46=$A$1,1,$M46-INDEX(MappingTables!$E$4:$E$8,MATCH(O46,MappingTables!$B$4:$B$8,0)))</f>
        <v>1</v>
      </c>
      <c r="Q46" s="157">
        <f>IF(B46="",0,IF(OR(N46=MappingTables!$C$12,N46=MappingTables!$C$15),INDEX(ModelParameters!$D$134:$K$138,MATCH($O46,ModelParameters!$B$6:$B$10,0),MATCH($J46,ModelParameters!$D$5:$K$5,0)),IF(N46=MappingTables!$C$13,INDEX(ModelParameters!$D$150:$K$154,MATCH($O46,ModelParameters!$B$6:$B$10,0),MATCH($J46,ModelParameters!$D$5:$K$5,0)),0)))</f>
        <v>0.01</v>
      </c>
      <c r="R46" s="157">
        <f>IF(B46="",0,IF(OR(N46=MappingTables!$C$12,N46=MappingTables!$C$15),INDEX(ModelParameters!$D$141:$K$145,MATCH($O46,ModelParameters!$B$13:$B$17,0),MATCH($J46,ModelParameters!$D$5:$K$5,0)),IF(N46=MappingTables!$C$13,INDEX(ModelParameters!$D$157:$K$161,MATCH($O46,ModelParameters!$B$13:$B$17,0),MATCH($J46,ModelParameters!$D$5:$K$5,0)),0)))</f>
        <v>0</v>
      </c>
      <c r="S46" s="71">
        <f>IF(B46="",0,MIN(P46*Q46+R46,1))</f>
        <v>0.01</v>
      </c>
      <c r="T46" s="73">
        <f>IF(B46="",0,$S46*$K46)</f>
        <v>20.506993321595552</v>
      </c>
      <c r="U46" s="73">
        <f>IF(B46="",0,IF(OR(H46=MappingTables!$C$34,H46=MappingTables!$C$35),T46,0))</f>
        <v>0</v>
      </c>
      <c r="V46" s="73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73">
        <f>IF(B46="",0,+$T46*$V46)</f>
        <v>1.1232973200668376</v>
      </c>
      <c r="X46" s="85">
        <f>IF(B46="",0,IF(OR(H46=MappingTables!$C$34,H46=MappingTables!$C$35),W46,0))</f>
        <v>0</v>
      </c>
    </row>
    <row r="47" spans="2:24" s="0" customFormat="0" ht="15">
      <c r="B47" s="69">
        <v>4172301</v>
      </c>
      <c r="C47" s="70" t="s">
        <v>3251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181</v>
      </c>
      <c r="J47" s="71">
        <f>IF(OR(I47=0,I47=""),"unrated",VLOOKUP(I47,MappingTables!$B$19:$C$31,2,FALSE))</f>
        <v>3</v>
      </c>
      <c r="K47" s="72">
        <v>191.47641692247528</v>
      </c>
      <c r="L47" s="70">
        <v>0.068493327508935736</v>
      </c>
      <c r="M47" s="71">
        <f>IF(L47&lt;1,1,L47)</f>
        <v>1</v>
      </c>
      <c r="N47" s="70" t="s">
        <v>3191</v>
      </c>
      <c r="O47" s="157">
        <f>INDEX(DurClassMapping,MATCH(M47,MappingTables!$D$4:$D$8,-1),1)</f>
        <v>1</v>
      </c>
      <c r="P47" s="157">
        <f>IF(M47=$A$1,1,$M47-INDEX(MappingTables!$E$4:$E$8,MATCH(O47,MappingTables!$B$4:$B$8,0)))</f>
        <v>1</v>
      </c>
      <c r="Q47" s="157">
        <f>IF(B47="",0,IF(OR(N47=MappingTables!$C$12,N47=MappingTables!$C$15),INDEX(ModelParameters!$D$134:$K$138,MATCH($O47,ModelParameters!$B$6:$B$10,0),MATCH($J47,ModelParameters!$D$5:$K$5,0)),IF(N47=MappingTables!$C$13,INDEX(ModelParameters!$D$150:$K$154,MATCH($O47,ModelParameters!$B$6:$B$10,0),MATCH($J47,ModelParameters!$D$5:$K$5,0)),0)))</f>
        <v>0.028</v>
      </c>
      <c r="R47" s="157">
        <f>IF(B47="",0,IF(OR(N47=MappingTables!$C$12,N47=MappingTables!$C$15),INDEX(ModelParameters!$D$141:$K$145,MATCH($O47,ModelParameters!$B$13:$B$17,0),MATCH($J47,ModelParameters!$D$5:$K$5,0)),IF(N47=MappingTables!$C$13,INDEX(ModelParameters!$D$157:$K$161,MATCH($O47,ModelParameters!$B$13:$B$17,0),MATCH($J47,ModelParameters!$D$5:$K$5,0)),0)))</f>
        <v>0</v>
      </c>
      <c r="S47" s="71">
        <f>IF(B47="",0,MIN(P47*Q47+R47,1))</f>
        <v>0.028</v>
      </c>
      <c r="T47" s="73">
        <f>IF(B47="",0,$S47*$K47)</f>
        <v>5.361339673829308</v>
      </c>
      <c r="U47" s="73">
        <f>IF(B47="",0,IF(OR(H47=MappingTables!$C$34,H47=MappingTables!$C$35),T47,0))</f>
        <v>0</v>
      </c>
      <c r="V47" s="73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73">
        <f>IF(B47="",0,+$T47*$V47)</f>
        <v>0.293674376986236</v>
      </c>
      <c r="X47" s="85">
        <f>IF(B47="",0,IF(OR(H47=MappingTables!$C$34,H47=MappingTables!$C$35),W47,0))</f>
        <v>0</v>
      </c>
    </row>
    <row r="48" spans="2:24" s="0" customFormat="0" ht="15">
      <c r="B48" s="69" t="s">
        <v>3252</v>
      </c>
      <c r="C48" s="70" t="s">
        <v>3253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188</v>
      </c>
      <c r="J48" s="71">
        <f>IF(OR(I48=0,I48=""),"unrated",VLOOKUP(I48,MappingTables!$B$19:$C$31,2,FALSE))</f>
        <v>2</v>
      </c>
      <c r="K48" s="72">
        <v>9.8048996580039968</v>
      </c>
      <c r="L48" s="70">
        <v>0.068493229362765448</v>
      </c>
      <c r="M48" s="71">
        <f>IF(L48&lt;1,1,L48)</f>
        <v>1</v>
      </c>
      <c r="N48" s="70" t="s">
        <v>3191</v>
      </c>
      <c r="O48" s="157">
        <f>INDEX(DurClassMapping,MATCH(M48,MappingTables!$D$4:$D$8,-1),1)</f>
        <v>1</v>
      </c>
      <c r="P48" s="157">
        <f>IF(M48=$A$1,1,$M48-INDEX(MappingTables!$E$4:$E$8,MATCH(O48,MappingTables!$B$4:$B$8,0)))</f>
        <v>1</v>
      </c>
      <c r="Q48" s="157">
        <f>IF(B48="",0,IF(OR(N48=MappingTables!$C$12,N48=MappingTables!$C$15),INDEX(ModelParameters!$D$134:$K$138,MATCH($O48,ModelParameters!$B$6:$B$10,0),MATCH($J48,ModelParameters!$D$5:$K$5,0)),IF(N48=MappingTables!$C$13,INDEX(ModelParameters!$D$150:$K$154,MATCH($O48,ModelParameters!$B$6:$B$10,0),MATCH($J48,ModelParameters!$D$5:$K$5,0)),0)))</f>
        <v>0.016</v>
      </c>
      <c r="R48" s="157">
        <f>IF(B48="",0,IF(OR(N48=MappingTables!$C$12,N48=MappingTables!$C$15),INDEX(ModelParameters!$D$141:$K$145,MATCH($O48,ModelParameters!$B$13:$B$17,0),MATCH($J48,ModelParameters!$D$5:$K$5,0)),IF(N48=MappingTables!$C$13,INDEX(ModelParameters!$D$157:$K$161,MATCH($O48,ModelParameters!$B$13:$B$17,0),MATCH($J48,ModelParameters!$D$5:$K$5,0)),0)))</f>
        <v>0</v>
      </c>
      <c r="S48" s="71">
        <f>IF(B48="",0,MIN(P48*Q48+R48,1))</f>
        <v>0.016</v>
      </c>
      <c r="T48" s="73">
        <f>IF(B48="",0,$S48*$K48)</f>
        <v>0.15687839452806396</v>
      </c>
      <c r="U48" s="73">
        <f>IF(B48="",0,IF(OR(H48=MappingTables!$C$34,H48=MappingTables!$C$35),T48,0))</f>
        <v>0</v>
      </c>
      <c r="V48" s="73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73">
        <f>IF(B48="",0,+$T48*$V48)</f>
        <v>0.008593218780843264</v>
      </c>
      <c r="X48" s="85">
        <f>IF(B48="",0,IF(OR(H48=MappingTables!$C$34,H48=MappingTables!$C$35),W48,0))</f>
        <v>0</v>
      </c>
    </row>
    <row r="49" spans="2:24" s="0" customFormat="0" ht="15">
      <c r="B49" s="69" t="s">
        <v>3254</v>
      </c>
      <c r="C49" s="70" t="s">
        <v>3255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181</v>
      </c>
      <c r="J49" s="71">
        <f>IF(OR(I49=0,I49=""),"unrated",VLOOKUP(I49,MappingTables!$B$19:$C$31,2,FALSE))</f>
        <v>3</v>
      </c>
      <c r="K49" s="72">
        <v>270.00525790994556</v>
      </c>
      <c r="L49" s="70">
        <v>0.068492492906121416</v>
      </c>
      <c r="M49" s="71">
        <f>IF(L49&lt;1,1,L49)</f>
        <v>1</v>
      </c>
      <c r="N49" s="70" t="s">
        <v>3191</v>
      </c>
      <c r="O49" s="157">
        <f>INDEX(DurClassMapping,MATCH(M49,MappingTables!$D$4:$D$8,-1),1)</f>
        <v>1</v>
      </c>
      <c r="P49" s="157">
        <f>IF(M49=$A$1,1,$M49-INDEX(MappingTables!$E$4:$E$8,MATCH(O49,MappingTables!$B$4:$B$8,0)))</f>
        <v>1</v>
      </c>
      <c r="Q49" s="157">
        <f>IF(B49="",0,IF(OR(N49=MappingTables!$C$12,N49=MappingTables!$C$15),INDEX(ModelParameters!$D$134:$K$138,MATCH($O49,ModelParameters!$B$6:$B$10,0),MATCH($J49,ModelParameters!$D$5:$K$5,0)),IF(N49=MappingTables!$C$13,INDEX(ModelParameters!$D$150:$K$154,MATCH($O49,ModelParameters!$B$6:$B$10,0),MATCH($J49,ModelParameters!$D$5:$K$5,0)),0)))</f>
        <v>0.028</v>
      </c>
      <c r="R49" s="157">
        <f>IF(B49="",0,IF(OR(N49=MappingTables!$C$12,N49=MappingTables!$C$15),INDEX(ModelParameters!$D$141:$K$145,MATCH($O49,ModelParameters!$B$13:$B$17,0),MATCH($J49,ModelParameters!$D$5:$K$5,0)),IF(N49=MappingTables!$C$13,INDEX(ModelParameters!$D$157:$K$161,MATCH($O49,ModelParameters!$B$13:$B$17,0),MATCH($J49,ModelParameters!$D$5:$K$5,0)),0)))</f>
        <v>0</v>
      </c>
      <c r="S49" s="71">
        <f>IF(B49="",0,MIN(P49*Q49+R49,1))</f>
        <v>0.028</v>
      </c>
      <c r="T49" s="73">
        <f>IF(B49="",0,$S49*$K49)</f>
        <v>7.5601472214784752</v>
      </c>
      <c r="U49" s="73">
        <f>IF(B49="",0,IF(OR(H49=MappingTables!$C$34,H49=MappingTables!$C$35),T49,0))</f>
        <v>0</v>
      </c>
      <c r="V49" s="73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73">
        <f>IF(B49="",0,+$T49*$V49)</f>
        <v>0.41411692977216888</v>
      </c>
      <c r="X49" s="85">
        <f>IF(B49="",0,IF(OR(H49=MappingTables!$C$34,H49=MappingTables!$C$35),W49,0))</f>
        <v>0</v>
      </c>
    </row>
    <row r="50" spans="2:24" s="0" customFormat="0" ht="15">
      <c r="B50" s="69" t="s">
        <v>3218</v>
      </c>
      <c r="C50" s="70" t="s">
        <v>3219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188</v>
      </c>
      <c r="J50" s="71">
        <f>IF(OR(I50=0,I50=""),"unrated",VLOOKUP(I50,MappingTables!$B$19:$C$31,2,FALSE))</f>
        <v>2</v>
      </c>
      <c r="K50" s="72">
        <v>89.79444344678192</v>
      </c>
      <c r="L50" s="70">
        <v>0.068492462036779888</v>
      </c>
      <c r="M50" s="71">
        <f>IF(L50&lt;1,1,L50)</f>
        <v>1</v>
      </c>
      <c r="N50" s="70" t="s">
        <v>3191</v>
      </c>
      <c r="O50" s="157">
        <f>INDEX(DurClassMapping,MATCH(M50,MappingTables!$D$4:$D$8,-1),1)</f>
        <v>1</v>
      </c>
      <c r="P50" s="157">
        <f>IF(M50=$A$1,1,$M50-INDEX(MappingTables!$E$4:$E$8,MATCH(O50,MappingTables!$B$4:$B$8,0)))</f>
        <v>1</v>
      </c>
      <c r="Q50" s="157">
        <f>IF(B50="",0,IF(OR(N50=MappingTables!$C$12,N50=MappingTables!$C$15),INDEX(ModelParameters!$D$134:$K$138,MATCH($O50,ModelParameters!$B$6:$B$10,0),MATCH($J50,ModelParameters!$D$5:$K$5,0)),IF(N50=MappingTables!$C$13,INDEX(ModelParameters!$D$150:$K$154,MATCH($O50,ModelParameters!$B$6:$B$10,0),MATCH($J50,ModelParameters!$D$5:$K$5,0)),0)))</f>
        <v>0.016</v>
      </c>
      <c r="R50" s="157">
        <f>IF(B50="",0,IF(OR(N50=MappingTables!$C$12,N50=MappingTables!$C$15),INDEX(ModelParameters!$D$141:$K$145,MATCH($O50,ModelParameters!$B$13:$B$17,0),MATCH($J50,ModelParameters!$D$5:$K$5,0)),IF(N50=MappingTables!$C$13,INDEX(ModelParameters!$D$157:$K$161,MATCH($O50,ModelParameters!$B$13:$B$17,0),MATCH($J50,ModelParameters!$D$5:$K$5,0)),0)))</f>
        <v>0</v>
      </c>
      <c r="S50" s="71">
        <f>IF(B50="",0,MIN(P50*Q50+R50,1))</f>
        <v>0.016</v>
      </c>
      <c r="T50" s="73">
        <f>IF(B50="",0,$S50*$K50)</f>
        <v>1.436711095148511</v>
      </c>
      <c r="U50" s="73">
        <f>IF(B50="",0,IF(OR(H50=MappingTables!$C$34,H50=MappingTables!$C$35),T50,0))</f>
        <v>0</v>
      </c>
      <c r="V50" s="73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73">
        <f>IF(B50="",0,+$T50*$V50)</f>
        <v>0.078697725092205152</v>
      </c>
      <c r="X50" s="85">
        <f>IF(B50="",0,IF(OR(H50=MappingTables!$C$34,H50=MappingTables!$C$35),W50,0))</f>
        <v>0</v>
      </c>
    </row>
    <row r="51" spans="2:24" s="0" customFormat="0" ht="15">
      <c r="B51" s="69">
        <v>22554600</v>
      </c>
      <c r="C51" s="70" t="s">
        <v>3192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216</v>
      </c>
      <c r="J51" s="71">
        <f>IF(OR(I51=0,I51=""),"unrated",VLOOKUP(I51,MappingTables!$B$19:$C$31,2,FALSE))</f>
        <v>0</v>
      </c>
      <c r="K51" s="72">
        <v>138.58143053103362</v>
      </c>
      <c r="L51" s="70">
        <v>3.2569707515527548</v>
      </c>
      <c r="M51" s="71">
        <f>IF(L51&lt;1,1,L51)</f>
        <v>3.2569707515527548</v>
      </c>
      <c r="N51" s="70" t="s">
        <v>3191</v>
      </c>
      <c r="O51" s="157">
        <f>INDEX(DurClassMapping,MATCH(M51,MappingTables!$D$4:$D$8,-1),1)</f>
        <v>1</v>
      </c>
      <c r="P51" s="157">
        <f>IF(M51=$A$1,1,$M51-INDEX(MappingTables!$E$4:$E$8,MATCH(O51,MappingTables!$B$4:$B$8,0)))</f>
        <v>3.2569707515527548</v>
      </c>
      <c r="Q51" s="157">
        <f>IF(B51="",0,IF(OR(N51=MappingTables!$C$12,N51=MappingTables!$C$15),INDEX(ModelParameters!$D$134:$K$138,MATCH($O51,ModelParameters!$B$6:$B$10,0),MATCH($J51,ModelParameters!$D$5:$K$5,0)),IF(N51=MappingTables!$C$13,INDEX(ModelParameters!$D$150:$K$154,MATCH($O51,ModelParameters!$B$6:$B$10,0),MATCH($J51,ModelParameters!$D$5:$K$5,0)),0)))</f>
        <v>0.01</v>
      </c>
      <c r="R51" s="157">
        <f>IF(B51="",0,IF(OR(N51=MappingTables!$C$12,N51=MappingTables!$C$15),INDEX(ModelParameters!$D$141:$K$145,MATCH($O51,ModelParameters!$B$13:$B$17,0),MATCH($J51,ModelParameters!$D$5:$K$5,0)),IF(N51=MappingTables!$C$13,INDEX(ModelParameters!$D$157:$K$161,MATCH($O51,ModelParameters!$B$13:$B$17,0),MATCH($J51,ModelParameters!$D$5:$K$5,0)),0)))</f>
        <v>0</v>
      </c>
      <c r="S51" s="71">
        <f>IF(B51="",0,MIN(P51*Q51+R51,1))</f>
        <v>0.032569707515527548</v>
      </c>
      <c r="T51" s="73">
        <f>IF(B51="",0,$S51*$K51)</f>
        <v>4.513556659479164</v>
      </c>
      <c r="U51" s="73">
        <f>IF(B51="",0,IF(OR(H51=MappingTables!$C$34,H51=MappingTables!$C$35),T51,0))</f>
        <v>0</v>
      </c>
      <c r="V51" s="73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73">
        <f>IF(B51="",0,+$T51*$V51)</f>
        <v>0.24723595604937252</v>
      </c>
      <c r="X51" s="85">
        <f>IF(B51="",0,IF(OR(H51=MappingTables!$C$34,H51=MappingTables!$C$35),W51,0))</f>
        <v>0</v>
      </c>
    </row>
    <row r="52" spans="2:24" s="0" customFormat="0" ht="15">
      <c r="B52" s="69" t="s">
        <v>3256</v>
      </c>
      <c r="C52" s="70" t="s">
        <v>3257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181</v>
      </c>
      <c r="J52" s="71">
        <f>IF(OR(I52=0,I52=""),"unrated",VLOOKUP(I52,MappingTables!$B$19:$C$31,2,FALSE))</f>
        <v>3</v>
      </c>
      <c r="K52" s="72">
        <v>70.109611166836544</v>
      </c>
      <c r="L52" s="70">
        <v>0.068491356591260376</v>
      </c>
      <c r="M52" s="71">
        <f>IF(L52&lt;1,1,L52)</f>
        <v>1</v>
      </c>
      <c r="N52" s="70" t="s">
        <v>3191</v>
      </c>
      <c r="O52" s="157">
        <f>INDEX(DurClassMapping,MATCH(M52,MappingTables!$D$4:$D$8,-1),1)</f>
        <v>1</v>
      </c>
      <c r="P52" s="157">
        <f>IF(M52=$A$1,1,$M52-INDEX(MappingTables!$E$4:$E$8,MATCH(O52,MappingTables!$B$4:$B$8,0)))</f>
        <v>1</v>
      </c>
      <c r="Q52" s="157">
        <f>IF(B52="",0,IF(OR(N52=MappingTables!$C$12,N52=MappingTables!$C$15),INDEX(ModelParameters!$D$134:$K$138,MATCH($O52,ModelParameters!$B$6:$B$10,0),MATCH($J52,ModelParameters!$D$5:$K$5,0)),IF(N52=MappingTables!$C$13,INDEX(ModelParameters!$D$150:$K$154,MATCH($O52,ModelParameters!$B$6:$B$10,0),MATCH($J52,ModelParameters!$D$5:$K$5,0)),0)))</f>
        <v>0.028</v>
      </c>
      <c r="R52" s="157">
        <f>IF(B52="",0,IF(OR(N52=MappingTables!$C$12,N52=MappingTables!$C$15),INDEX(ModelParameters!$D$141:$K$145,MATCH($O52,ModelParameters!$B$13:$B$17,0),MATCH($J52,ModelParameters!$D$5:$K$5,0)),IF(N52=MappingTables!$C$13,INDEX(ModelParameters!$D$157:$K$161,MATCH($O52,ModelParameters!$B$13:$B$17,0),MATCH($J52,ModelParameters!$D$5:$K$5,0)),0)))</f>
        <v>0</v>
      </c>
      <c r="S52" s="71">
        <f>IF(B52="",0,MIN(P52*Q52+R52,1))</f>
        <v>0.028</v>
      </c>
      <c r="T52" s="73">
        <f>IF(B52="",0,$S52*$K52)</f>
        <v>1.9630691126714232</v>
      </c>
      <c r="U52" s="73">
        <f>IF(B52="",0,IF(OR(H52=MappingTables!$C$34,H52=MappingTables!$C$35),T52,0))</f>
        <v>0</v>
      </c>
      <c r="V52" s="73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73">
        <f>IF(B52="",0,+$T52*$V52)</f>
        <v>0.10752967237998914</v>
      </c>
      <c r="X52" s="85">
        <f>IF(B52="",0,IF(OR(H52=MappingTables!$C$34,H52=MappingTables!$C$35),W52,0))</f>
        <v>0</v>
      </c>
    </row>
    <row r="53" spans="2:24" s="0" customFormat="0" ht="15">
      <c r="B53" s="69" t="s">
        <v>3258</v>
      </c>
      <c r="C53" s="70" t="s">
        <v>3259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181</v>
      </c>
      <c r="J53" s="71">
        <f>IF(OR(I53=0,I53=""),"unrated",VLOOKUP(I53,MappingTables!$B$19:$C$31,2,FALSE))</f>
        <v>3</v>
      </c>
      <c r="K53" s="72">
        <v>157.233339781127</v>
      </c>
      <c r="L53" s="70">
        <v>0.068494690550705648</v>
      </c>
      <c r="M53" s="71">
        <f>IF(L53&lt;1,1,L53)</f>
        <v>1</v>
      </c>
      <c r="N53" s="70" t="s">
        <v>3191</v>
      </c>
      <c r="O53" s="157">
        <f>INDEX(DurClassMapping,MATCH(M53,MappingTables!$D$4:$D$8,-1),1)</f>
        <v>1</v>
      </c>
      <c r="P53" s="157">
        <f>IF(M53=$A$1,1,$M53-INDEX(MappingTables!$E$4:$E$8,MATCH(O53,MappingTables!$B$4:$B$8,0)))</f>
        <v>1</v>
      </c>
      <c r="Q53" s="157">
        <f>IF(B53="",0,IF(OR(N53=MappingTables!$C$12,N53=MappingTables!$C$15),INDEX(ModelParameters!$D$134:$K$138,MATCH($O53,ModelParameters!$B$6:$B$10,0),MATCH($J53,ModelParameters!$D$5:$K$5,0)),IF(N53=MappingTables!$C$13,INDEX(ModelParameters!$D$150:$K$154,MATCH($O53,ModelParameters!$B$6:$B$10,0),MATCH($J53,ModelParameters!$D$5:$K$5,0)),0)))</f>
        <v>0.028</v>
      </c>
      <c r="R53" s="157">
        <f>IF(B53="",0,IF(OR(N53=MappingTables!$C$12,N53=MappingTables!$C$15),INDEX(ModelParameters!$D$141:$K$145,MATCH($O53,ModelParameters!$B$13:$B$17,0),MATCH($J53,ModelParameters!$D$5:$K$5,0)),IF(N53=MappingTables!$C$13,INDEX(ModelParameters!$D$157:$K$161,MATCH($O53,ModelParameters!$B$13:$B$17,0),MATCH($J53,ModelParameters!$D$5:$K$5,0)),0)))</f>
        <v>0</v>
      </c>
      <c r="S53" s="71">
        <f>IF(B53="",0,MIN(P53*Q53+R53,1))</f>
        <v>0.028</v>
      </c>
      <c r="T53" s="73">
        <f>IF(B53="",0,$S53*$K53)</f>
        <v>4.402533513871556</v>
      </c>
      <c r="U53" s="73">
        <f>IF(B53="",0,IF(OR(H53=MappingTables!$C$34,H53=MappingTables!$C$35),T53,0))</f>
        <v>0</v>
      </c>
      <c r="V53" s="73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0.054776304963434752</v>
      </c>
      <c r="W53" s="73">
        <f>IF(B53="",0,+$T53*$V53)</f>
        <v>0.24115451836757036</v>
      </c>
      <c r="X53" s="85">
        <f>IF(B53="",0,IF(OR(H53=MappingTables!$C$34,H53=MappingTables!$C$35),W53,0))</f>
        <v>0</v>
      </c>
    </row>
    <row r="54" spans="2:24" s="0" customFormat="0" ht="15">
      <c r="B54" s="69">
        <v>14071393</v>
      </c>
      <c r="C54" s="70" t="s">
        <v>3260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181</v>
      </c>
      <c r="J54" s="71">
        <f>IF(OR(I54=0,I54=""),"unrated",VLOOKUP(I54,MappingTables!$B$19:$C$31,2,FALSE))</f>
        <v>3</v>
      </c>
      <c r="K54" s="72">
        <v>3187.5022346710772</v>
      </c>
      <c r="L54" s="70">
        <v>0.076372693091264368</v>
      </c>
      <c r="M54" s="71">
        <f>IF(L54&lt;1,1,L54)</f>
        <v>1</v>
      </c>
      <c r="N54" s="70" t="s">
        <v>3191</v>
      </c>
      <c r="O54" s="157">
        <f>INDEX(DurClassMapping,MATCH(M54,MappingTables!$D$4:$D$8,-1),1)</f>
        <v>1</v>
      </c>
      <c r="P54" s="157">
        <f>IF(M54=$A$1,1,$M54-INDEX(MappingTables!$E$4:$E$8,MATCH(O54,MappingTables!$B$4:$B$8,0)))</f>
        <v>1</v>
      </c>
      <c r="Q54" s="157">
        <f>IF(B54="",0,IF(OR(N54=MappingTables!$C$12,N54=MappingTables!$C$15),INDEX(ModelParameters!$D$134:$K$138,MATCH($O54,ModelParameters!$B$6:$B$10,0),MATCH($J54,ModelParameters!$D$5:$K$5,0)),IF(N54=MappingTables!$C$13,INDEX(ModelParameters!$D$150:$K$154,MATCH($O54,ModelParameters!$B$6:$B$10,0),MATCH($J54,ModelParameters!$D$5:$K$5,0)),0)))</f>
        <v>0.028</v>
      </c>
      <c r="R54" s="157">
        <f>IF(B54="",0,IF(OR(N54=MappingTables!$C$12,N54=MappingTables!$C$15),INDEX(ModelParameters!$D$141:$K$145,MATCH($O54,ModelParameters!$B$13:$B$17,0),MATCH($J54,ModelParameters!$D$5:$K$5,0)),IF(N54=MappingTables!$C$13,INDEX(ModelParameters!$D$157:$K$161,MATCH($O54,ModelParameters!$B$13:$B$17,0),MATCH($J54,ModelParameters!$D$5:$K$5,0)),0)))</f>
        <v>0</v>
      </c>
      <c r="S54" s="71">
        <f>IF(B54="",0,MIN(P54*Q54+R54,1))</f>
        <v>0.028</v>
      </c>
      <c r="T54" s="73">
        <f>IF(B54="",0,$S54*$K54)</f>
        <v>89.25006257079016</v>
      </c>
      <c r="U54" s="73">
        <f>IF(B54="",0,IF(OR(H54=MappingTables!$C$34,H54=MappingTables!$C$35),T54,0))</f>
        <v>0</v>
      </c>
      <c r="V54" s="73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0.054776304963434752</v>
      </c>
      <c r="W54" s="73">
        <f>IF(B54="",0,+$T54*$V54)</f>
        <v>4.888788645383236</v>
      </c>
      <c r="X54" s="85">
        <f>IF(B54="",0,IF(OR(H54=MappingTables!$C$34,H54=MappingTables!$C$35),W54,0))</f>
        <v>0</v>
      </c>
    </row>
    <row r="55" spans="2:24" s="0" customFormat="0" ht="15">
      <c r="B55" s="69">
        <v>22554298</v>
      </c>
      <c r="C55" s="70" t="s">
        <v>3261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216</v>
      </c>
      <c r="J55" s="71">
        <f>IF(OR(I55=0,I55=""),"unrated",VLOOKUP(I55,MappingTables!$B$19:$C$31,2,FALSE))</f>
        <v>0</v>
      </c>
      <c r="K55" s="72">
        <v>281.04809490001556</v>
      </c>
      <c r="L55" s="70">
        <v>2.156733985525308</v>
      </c>
      <c r="M55" s="71">
        <f>IF(L55&lt;1,1,L55)</f>
        <v>2.156733985525308</v>
      </c>
      <c r="N55" s="70" t="s">
        <v>3191</v>
      </c>
      <c r="O55" s="157">
        <f>INDEX(DurClassMapping,MATCH(M55,MappingTables!$D$4:$D$8,-1),1)</f>
        <v>1</v>
      </c>
      <c r="P55" s="157">
        <f>IF(M55=$A$1,1,$M55-INDEX(MappingTables!$E$4:$E$8,MATCH(O55,MappingTables!$B$4:$B$8,0)))</f>
        <v>2.156733985525308</v>
      </c>
      <c r="Q55" s="157">
        <f>IF(B55="",0,IF(OR(N55=MappingTables!$C$12,N55=MappingTables!$C$15),INDEX(ModelParameters!$D$134:$K$138,MATCH($O55,ModelParameters!$B$6:$B$10,0),MATCH($J55,ModelParameters!$D$5:$K$5,0)),IF(N55=MappingTables!$C$13,INDEX(ModelParameters!$D$150:$K$154,MATCH($O55,ModelParameters!$B$6:$B$10,0),MATCH($J55,ModelParameters!$D$5:$K$5,0)),0)))</f>
        <v>0.01</v>
      </c>
      <c r="R55" s="157">
        <f>IF(B55="",0,IF(OR(N55=MappingTables!$C$12,N55=MappingTables!$C$15),INDEX(ModelParameters!$D$141:$K$145,MATCH($O55,ModelParameters!$B$13:$B$17,0),MATCH($J55,ModelParameters!$D$5:$K$5,0)),IF(N55=MappingTables!$C$13,INDEX(ModelParameters!$D$157:$K$161,MATCH($O55,ModelParameters!$B$13:$B$17,0),MATCH($J55,ModelParameters!$D$5:$K$5,0)),0)))</f>
        <v>0</v>
      </c>
      <c r="S55" s="71">
        <f>IF(B55="",0,MIN(P55*Q55+R55,1))</f>
        <v>0.02156733985525308</v>
      </c>
      <c r="T55" s="73">
        <f>IF(B55="",0,$S55*$K55)</f>
        <v>6.061459778380056</v>
      </c>
      <c r="U55" s="73">
        <f>IF(B55="",0,IF(OR(H55=MappingTables!$C$34,H55=MappingTables!$C$35),T55,0))</f>
        <v>0</v>
      </c>
      <c r="V55" s="73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0.054776304963434752</v>
      </c>
      <c r="W55" s="73">
        <f>IF(B55="",0,+$T55*$V55)</f>
        <v>0.3320243693441396</v>
      </c>
      <c r="X55" s="85">
        <f>IF(B55="",0,IF(OR(H55=MappingTables!$C$34,H55=MappingTables!$C$35),W55,0))</f>
        <v>0</v>
      </c>
    </row>
    <row r="56" spans="2:24" s="0" customFormat="0" ht="15">
      <c r="B56" s="69" t="s">
        <v>3262</v>
      </c>
      <c r="C56" s="70" t="s">
        <v>3263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216</v>
      </c>
      <c r="J56" s="71">
        <f>IF(OR(I56=0,I56=""),"unrated",VLOOKUP(I56,MappingTables!$B$19:$C$31,2,FALSE))</f>
        <v>0</v>
      </c>
      <c r="K56" s="72">
        <v>15.648307365725012</v>
      </c>
      <c r="L56" s="70">
        <v>0.068495352596284376</v>
      </c>
      <c r="M56" s="71">
        <f>IF(L56&lt;1,1,L56)</f>
        <v>1</v>
      </c>
      <c r="N56" s="70" t="s">
        <v>3191</v>
      </c>
      <c r="O56" s="157">
        <f>INDEX(DurClassMapping,MATCH(M56,MappingTables!$D$4:$D$8,-1),1)</f>
        <v>1</v>
      </c>
      <c r="P56" s="157">
        <f>IF(M56=$A$1,1,$M56-INDEX(MappingTables!$E$4:$E$8,MATCH(O56,MappingTables!$B$4:$B$8,0)))</f>
        <v>1</v>
      </c>
      <c r="Q56" s="157">
        <f>IF(B56="",0,IF(OR(N56=MappingTables!$C$12,N56=MappingTables!$C$15),INDEX(ModelParameters!$D$134:$K$138,MATCH($O56,ModelParameters!$B$6:$B$10,0),MATCH($J56,ModelParameters!$D$5:$K$5,0)),IF(N56=MappingTables!$C$13,INDEX(ModelParameters!$D$150:$K$154,MATCH($O56,ModelParameters!$B$6:$B$10,0),MATCH($J56,ModelParameters!$D$5:$K$5,0)),0)))</f>
        <v>0.01</v>
      </c>
      <c r="R56" s="157">
        <f>IF(B56="",0,IF(OR(N56=MappingTables!$C$12,N56=MappingTables!$C$15),INDEX(ModelParameters!$D$141:$K$145,MATCH($O56,ModelParameters!$B$13:$B$17,0),MATCH($J56,ModelParameters!$D$5:$K$5,0)),IF(N56=MappingTables!$C$13,INDEX(ModelParameters!$D$157:$K$161,MATCH($O56,ModelParameters!$B$13:$B$17,0),MATCH($J56,ModelParameters!$D$5:$K$5,0)),0)))</f>
        <v>0</v>
      </c>
      <c r="S56" s="71">
        <f>IF(B56="",0,MIN(P56*Q56+R56,1))</f>
        <v>0.01</v>
      </c>
      <c r="T56" s="73">
        <f>IF(B56="",0,$S56*$K56)</f>
        <v>0.15648307365725012</v>
      </c>
      <c r="U56" s="73">
        <f>IF(B56="",0,IF(OR(H56=MappingTables!$C$34,H56=MappingTables!$C$35),T56,0))</f>
        <v>0</v>
      </c>
      <c r="V56" s="73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0.054776304963434752</v>
      </c>
      <c r="W56" s="73">
        <f>IF(B56="",0,+$T56*$V56)</f>
        <v>0.0085715645642651552</v>
      </c>
      <c r="X56" s="85">
        <f>IF(B56="",0,IF(OR(H56=MappingTables!$C$34,H56=MappingTables!$C$35),W56,0))</f>
        <v>0</v>
      </c>
    </row>
    <row r="57" spans="2:24" s="0" customFormat="0" ht="15">
      <c r="B57" s="69" t="s">
        <v>3225</v>
      </c>
      <c r="C57" s="70" t="s">
        <v>3226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188</v>
      </c>
      <c r="J57" s="71">
        <f>IF(OR(I57=0,I57=""),"unrated",VLOOKUP(I57,MappingTables!$B$19:$C$31,2,FALSE))</f>
        <v>2</v>
      </c>
      <c r="K57" s="72">
        <v>13.311415943441746</v>
      </c>
      <c r="L57" s="70">
        <v>0.068493047752332208</v>
      </c>
      <c r="M57" s="71">
        <f>IF(L57&lt;1,1,L57)</f>
        <v>1</v>
      </c>
      <c r="N57" s="70" t="s">
        <v>3191</v>
      </c>
      <c r="O57" s="157">
        <f>INDEX(DurClassMapping,MATCH(M57,MappingTables!$D$4:$D$8,-1),1)</f>
        <v>1</v>
      </c>
      <c r="P57" s="157">
        <f>IF(M57=$A$1,1,$M57-INDEX(MappingTables!$E$4:$E$8,MATCH(O57,MappingTables!$B$4:$B$8,0)))</f>
        <v>1</v>
      </c>
      <c r="Q57" s="157">
        <f>IF(B57="",0,IF(OR(N57=MappingTables!$C$12,N57=MappingTables!$C$15),INDEX(ModelParameters!$D$134:$K$138,MATCH($O57,ModelParameters!$B$6:$B$10,0),MATCH($J57,ModelParameters!$D$5:$K$5,0)),IF(N57=MappingTables!$C$13,INDEX(ModelParameters!$D$150:$K$154,MATCH($O57,ModelParameters!$B$6:$B$10,0),MATCH($J57,ModelParameters!$D$5:$K$5,0)),0)))</f>
        <v>0.016</v>
      </c>
      <c r="R57" s="157">
        <f>IF(B57="",0,IF(OR(N57=MappingTables!$C$12,N57=MappingTables!$C$15),INDEX(ModelParameters!$D$141:$K$145,MATCH($O57,ModelParameters!$B$13:$B$17,0),MATCH($J57,ModelParameters!$D$5:$K$5,0)),IF(N57=MappingTables!$C$13,INDEX(ModelParameters!$D$157:$K$161,MATCH($O57,ModelParameters!$B$13:$B$17,0),MATCH($J57,ModelParameters!$D$5:$K$5,0)),0)))</f>
        <v>0</v>
      </c>
      <c r="S57" s="71">
        <f>IF(B57="",0,MIN(P57*Q57+R57,1))</f>
        <v>0.016</v>
      </c>
      <c r="T57" s="73">
        <f>IF(B57="",0,$S57*$K57)</f>
        <v>0.21298265509506796</v>
      </c>
      <c r="U57" s="73">
        <f>IF(B57="",0,IF(OR(H57=MappingTables!$C$34,H57=MappingTables!$C$35),T57,0))</f>
        <v>0</v>
      </c>
      <c r="V57" s="73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0.054776304963434752</v>
      </c>
      <c r="W57" s="73">
        <f>IF(B57="",0,+$T57*$V57)</f>
        <v>0.011666402867409482</v>
      </c>
      <c r="X57" s="85">
        <f>IF(B57="",0,IF(OR(H57=MappingTables!$C$34,H57=MappingTables!$C$35),W57,0))</f>
        <v>0</v>
      </c>
    </row>
    <row r="58" spans="2:24" s="0" customFormat="0" ht="15">
      <c r="B58" s="69" t="s">
        <v>3264</v>
      </c>
      <c r="C58" s="70" t="s">
        <v>3265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188</v>
      </c>
      <c r="J58" s="71">
        <f>IF(OR(I58=0,I58=""),"unrated",VLOOKUP(I58,MappingTables!$B$19:$C$31,2,FALSE))</f>
        <v>2</v>
      </c>
      <c r="K58" s="72">
        <v>52.163083606326224</v>
      </c>
      <c r="L58" s="70">
        <v>0.068497522730476784</v>
      </c>
      <c r="M58" s="71">
        <f>IF(L58&lt;1,1,L58)</f>
        <v>1</v>
      </c>
      <c r="N58" s="70" t="s">
        <v>3191</v>
      </c>
      <c r="O58" s="157">
        <f>INDEX(DurClassMapping,MATCH(M58,MappingTables!$D$4:$D$8,-1),1)</f>
        <v>1</v>
      </c>
      <c r="P58" s="157">
        <f>IF(M58=$A$1,1,$M58-INDEX(MappingTables!$E$4:$E$8,MATCH(O58,MappingTables!$B$4:$B$8,0)))</f>
        <v>1</v>
      </c>
      <c r="Q58" s="157">
        <f>IF(B58="",0,IF(OR(N58=MappingTables!$C$12,N58=MappingTables!$C$15),INDEX(ModelParameters!$D$134:$K$138,MATCH($O58,ModelParameters!$B$6:$B$10,0),MATCH($J58,ModelParameters!$D$5:$K$5,0)),IF(N58=MappingTables!$C$13,INDEX(ModelParameters!$D$150:$K$154,MATCH($O58,ModelParameters!$B$6:$B$10,0),MATCH($J58,ModelParameters!$D$5:$K$5,0)),0)))</f>
        <v>0.016</v>
      </c>
      <c r="R58" s="157">
        <f>IF(B58="",0,IF(OR(N58=MappingTables!$C$12,N58=MappingTables!$C$15),INDEX(ModelParameters!$D$141:$K$145,MATCH($O58,ModelParameters!$B$13:$B$17,0),MATCH($J58,ModelParameters!$D$5:$K$5,0)),IF(N58=MappingTables!$C$13,INDEX(ModelParameters!$D$157:$K$161,MATCH($O58,ModelParameters!$B$13:$B$17,0),MATCH($J58,ModelParameters!$D$5:$K$5,0)),0)))</f>
        <v>0</v>
      </c>
      <c r="S58" s="71">
        <f>IF(B58="",0,MIN(P58*Q58+R58,1))</f>
        <v>0.016</v>
      </c>
      <c r="T58" s="73">
        <f>IF(B58="",0,$S58*$K58)</f>
        <v>0.83460933770121952</v>
      </c>
      <c r="U58" s="73">
        <f>IF(B58="",0,IF(OR(H58=MappingTables!$C$34,H58=MappingTables!$C$35),T58,0))</f>
        <v>0</v>
      </c>
      <c r="V58" s="73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0.054776304963434752</v>
      </c>
      <c r="W58" s="73">
        <f>IF(B58="",0,+$T58*$V58)</f>
        <v>0.045716815607252304</v>
      </c>
      <c r="X58" s="85">
        <f>IF(B58="",0,IF(OR(H58=MappingTables!$C$34,H58=MappingTables!$C$35),W58,0))</f>
        <v>0</v>
      </c>
    </row>
    <row r="59" spans="2:24" s="0" customFormat="0" ht="15">
      <c r="B59" s="69" t="s">
        <v>3244</v>
      </c>
      <c r="C59" s="70" t="s">
        <v>3245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216</v>
      </c>
      <c r="J59" s="71">
        <f>IF(OR(I59=0,I59=""),"unrated",VLOOKUP(I59,MappingTables!$B$19:$C$31,2,FALSE))</f>
        <v>0</v>
      </c>
      <c r="K59" s="72">
        <v>8.3003958554683936</v>
      </c>
      <c r="L59" s="70">
        <v>0.068494219396192632</v>
      </c>
      <c r="M59" s="71">
        <f>IF(L59&lt;1,1,L59)</f>
        <v>1</v>
      </c>
      <c r="N59" s="70" t="s">
        <v>3191</v>
      </c>
      <c r="O59" s="157">
        <f>INDEX(DurClassMapping,MATCH(M59,MappingTables!$D$4:$D$8,-1),1)</f>
        <v>1</v>
      </c>
      <c r="P59" s="157">
        <f>IF(M59=$A$1,1,$M59-INDEX(MappingTables!$E$4:$E$8,MATCH(O59,MappingTables!$B$4:$B$8,0)))</f>
        <v>1</v>
      </c>
      <c r="Q59" s="157">
        <f>IF(B59="",0,IF(OR(N59=MappingTables!$C$12,N59=MappingTables!$C$15),INDEX(ModelParameters!$D$134:$K$138,MATCH($O59,ModelParameters!$B$6:$B$10,0),MATCH($J59,ModelParameters!$D$5:$K$5,0)),IF(N59=MappingTables!$C$13,INDEX(ModelParameters!$D$150:$K$154,MATCH($O59,ModelParameters!$B$6:$B$10,0),MATCH($J59,ModelParameters!$D$5:$K$5,0)),0)))</f>
        <v>0.01</v>
      </c>
      <c r="R59" s="157">
        <f>IF(B59="",0,IF(OR(N59=MappingTables!$C$12,N59=MappingTables!$C$15),INDEX(ModelParameters!$D$141:$K$145,MATCH($O59,ModelParameters!$B$13:$B$17,0),MATCH($J59,ModelParameters!$D$5:$K$5,0)),IF(N59=MappingTables!$C$13,INDEX(ModelParameters!$D$157:$K$161,MATCH($O59,ModelParameters!$B$13:$B$17,0),MATCH($J59,ModelParameters!$D$5:$K$5,0)),0)))</f>
        <v>0</v>
      </c>
      <c r="S59" s="71">
        <f>IF(B59="",0,MIN(P59*Q59+R59,1))</f>
        <v>0.01</v>
      </c>
      <c r="T59" s="73">
        <f>IF(B59="",0,$S59*$K59)</f>
        <v>0.08300395855468392</v>
      </c>
      <c r="U59" s="73">
        <f>IF(B59="",0,IF(OR(H59=MappingTables!$C$34,H59=MappingTables!$C$35),T59,0))</f>
        <v>0</v>
      </c>
      <c r="V59" s="73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0.054776304963434752</v>
      </c>
      <c r="W59" s="73">
        <f>IF(B59="",0,+$T59*$V59)</f>
        <v>0.0045466501469636656</v>
      </c>
      <c r="X59" s="85">
        <f>IF(B59="",0,IF(OR(H59=MappingTables!$C$34,H59=MappingTables!$C$35),W59,0))</f>
        <v>0</v>
      </c>
    </row>
    <row r="60" spans="2:24" s="0" customFormat="0" ht="15">
      <c r="B60" s="69">
        <v>22554149</v>
      </c>
      <c r="C60" s="70" t="s">
        <v>3231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188</v>
      </c>
      <c r="J60" s="71">
        <f>IF(OR(I60=0,I60=""),"unrated",VLOOKUP(I60,MappingTables!$B$19:$C$31,2,FALSE))</f>
        <v>2</v>
      </c>
      <c r="K60" s="72">
        <v>750.515556411884</v>
      </c>
      <c r="L60" s="70">
        <v>0.065678134181414744</v>
      </c>
      <c r="M60" s="71">
        <f>IF(L60&lt;1,1,L60)</f>
        <v>1</v>
      </c>
      <c r="N60" s="70" t="s">
        <v>3191</v>
      </c>
      <c r="O60" s="157">
        <f>INDEX(DurClassMapping,MATCH(M60,MappingTables!$D$4:$D$8,-1),1)</f>
        <v>1</v>
      </c>
      <c r="P60" s="157">
        <f>IF(M60=$A$1,1,$M60-INDEX(MappingTables!$E$4:$E$8,MATCH(O60,MappingTables!$B$4:$B$8,0)))</f>
        <v>1</v>
      </c>
      <c r="Q60" s="157">
        <f>IF(B60="",0,IF(OR(N60=MappingTables!$C$12,N60=MappingTables!$C$15),INDEX(ModelParameters!$D$134:$K$138,MATCH($O60,ModelParameters!$B$6:$B$10,0),MATCH($J60,ModelParameters!$D$5:$K$5,0)),IF(N60=MappingTables!$C$13,INDEX(ModelParameters!$D$150:$K$154,MATCH($O60,ModelParameters!$B$6:$B$10,0),MATCH($J60,ModelParameters!$D$5:$K$5,0)),0)))</f>
        <v>0.016</v>
      </c>
      <c r="R60" s="157">
        <f>IF(B60="",0,IF(OR(N60=MappingTables!$C$12,N60=MappingTables!$C$15),INDEX(ModelParameters!$D$141:$K$145,MATCH($O60,ModelParameters!$B$13:$B$17,0),MATCH($J60,ModelParameters!$D$5:$K$5,0)),IF(N60=MappingTables!$C$13,INDEX(ModelParameters!$D$157:$K$161,MATCH($O60,ModelParameters!$B$13:$B$17,0),MATCH($J60,ModelParameters!$D$5:$K$5,0)),0)))</f>
        <v>0</v>
      </c>
      <c r="S60" s="71">
        <f>IF(B60="",0,MIN(P60*Q60+R60,1))</f>
        <v>0.016</v>
      </c>
      <c r="T60" s="73">
        <f>IF(B60="",0,$S60*$K60)</f>
        <v>12.008248902590144</v>
      </c>
      <c r="U60" s="73">
        <f>IF(B60="",0,IF(OR(H60=MappingTables!$C$34,H60=MappingTables!$C$35),T60,0))</f>
        <v>0</v>
      </c>
      <c r="V60" s="73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0.054776304963434752</v>
      </c>
      <c r="W60" s="73">
        <f>IF(B60="",0,+$T60*$V60)</f>
        <v>0.65776750396510856</v>
      </c>
      <c r="X60" s="85">
        <f>IF(B60="",0,IF(OR(H60=MappingTables!$C$34,H60=MappingTables!$C$35),W60,0))</f>
        <v>0</v>
      </c>
    </row>
    <row r="61" spans="2:24" s="0" customFormat="0" ht="15">
      <c r="B61" s="69" t="s">
        <v>3248</v>
      </c>
      <c r="C61" s="70" t="s">
        <v>3249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188</v>
      </c>
      <c r="J61" s="71">
        <f>IF(OR(I61=0,I61=""),"unrated",VLOOKUP(I61,MappingTables!$B$19:$C$31,2,FALSE))</f>
        <v>2</v>
      </c>
      <c r="K61" s="72">
        <v>124.2289245226122</v>
      </c>
      <c r="L61" s="70">
        <v>0.068493950228294296</v>
      </c>
      <c r="M61" s="71">
        <f>IF(L61&lt;1,1,L61)</f>
        <v>1</v>
      </c>
      <c r="N61" s="70" t="s">
        <v>3191</v>
      </c>
      <c r="O61" s="157">
        <f>INDEX(DurClassMapping,MATCH(M61,MappingTables!$D$4:$D$8,-1),1)</f>
        <v>1</v>
      </c>
      <c r="P61" s="157">
        <f>IF(M61=$A$1,1,$M61-INDEX(MappingTables!$E$4:$E$8,MATCH(O61,MappingTables!$B$4:$B$8,0)))</f>
        <v>1</v>
      </c>
      <c r="Q61" s="157">
        <f>IF(B61="",0,IF(OR(N61=MappingTables!$C$12,N61=MappingTables!$C$15),INDEX(ModelParameters!$D$134:$K$138,MATCH($O61,ModelParameters!$B$6:$B$10,0),MATCH($J61,ModelParameters!$D$5:$K$5,0)),IF(N61=MappingTables!$C$13,INDEX(ModelParameters!$D$150:$K$154,MATCH($O61,ModelParameters!$B$6:$B$10,0),MATCH($J61,ModelParameters!$D$5:$K$5,0)),0)))</f>
        <v>0.016</v>
      </c>
      <c r="R61" s="157">
        <f>IF(B61="",0,IF(OR(N61=MappingTables!$C$12,N61=MappingTables!$C$15),INDEX(ModelParameters!$D$141:$K$145,MATCH($O61,ModelParameters!$B$13:$B$17,0),MATCH($J61,ModelParameters!$D$5:$K$5,0)),IF(N61=MappingTables!$C$13,INDEX(ModelParameters!$D$157:$K$161,MATCH($O61,ModelParameters!$B$13:$B$17,0),MATCH($J61,ModelParameters!$D$5:$K$5,0)),0)))</f>
        <v>0</v>
      </c>
      <c r="S61" s="71">
        <f>IF(B61="",0,MIN(P61*Q61+R61,1))</f>
        <v>0.016</v>
      </c>
      <c r="T61" s="73">
        <f>IF(B61="",0,$S61*$K61)</f>
        <v>1.9876627923617952</v>
      </c>
      <c r="U61" s="73">
        <f>IF(B61="",0,IF(OR(H61=MappingTables!$C$34,H61=MappingTables!$C$35),T61,0))</f>
        <v>0</v>
      </c>
      <c r="V61" s="73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0.054776304963434752</v>
      </c>
      <c r="W61" s="73">
        <f>IF(B61="",0,+$T61*$V61)</f>
        <v>0.10887682327888198</v>
      </c>
      <c r="X61" s="85">
        <f>IF(B61="",0,IF(OR(H61=MappingTables!$C$34,H61=MappingTables!$C$35),W61,0))</f>
        <v>0</v>
      </c>
    </row>
    <row r="62" spans="2:24" s="0" customFormat="0" ht="15">
      <c r="B62" s="69" t="s">
        <v>3227</v>
      </c>
      <c r="C62" s="70" t="s">
        <v>3228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216</v>
      </c>
      <c r="J62" s="71">
        <f>IF(OR(I62=0,I62=""),"unrated",VLOOKUP(I62,MappingTables!$B$19:$C$31,2,FALSE))</f>
        <v>0</v>
      </c>
      <c r="K62" s="72">
        <v>2.373580834234222</v>
      </c>
      <c r="L62" s="70">
        <v>0.06849519524111684</v>
      </c>
      <c r="M62" s="71">
        <f>IF(L62&lt;1,1,L62)</f>
        <v>1</v>
      </c>
      <c r="N62" s="70" t="s">
        <v>3191</v>
      </c>
      <c r="O62" s="157">
        <f>INDEX(DurClassMapping,MATCH(M62,MappingTables!$D$4:$D$8,-1),1)</f>
        <v>1</v>
      </c>
      <c r="P62" s="157">
        <f>IF(M62=$A$1,1,$M62-INDEX(MappingTables!$E$4:$E$8,MATCH(O62,MappingTables!$B$4:$B$8,0)))</f>
        <v>1</v>
      </c>
      <c r="Q62" s="157">
        <f>IF(B62="",0,IF(OR(N62=MappingTables!$C$12,N62=MappingTables!$C$15),INDEX(ModelParameters!$D$134:$K$138,MATCH($O62,ModelParameters!$B$6:$B$10,0),MATCH($J62,ModelParameters!$D$5:$K$5,0)),IF(N62=MappingTables!$C$13,INDEX(ModelParameters!$D$150:$K$154,MATCH($O62,ModelParameters!$B$6:$B$10,0),MATCH($J62,ModelParameters!$D$5:$K$5,0)),0)))</f>
        <v>0.01</v>
      </c>
      <c r="R62" s="157">
        <f>IF(B62="",0,IF(OR(N62=MappingTables!$C$12,N62=MappingTables!$C$15),INDEX(ModelParameters!$D$141:$K$145,MATCH($O62,ModelParameters!$B$13:$B$17,0),MATCH($J62,ModelParameters!$D$5:$K$5,0)),IF(N62=MappingTables!$C$13,INDEX(ModelParameters!$D$157:$K$161,MATCH($O62,ModelParameters!$B$13:$B$17,0),MATCH($J62,ModelParameters!$D$5:$K$5,0)),0)))</f>
        <v>0</v>
      </c>
      <c r="S62" s="71">
        <f>IF(B62="",0,MIN(P62*Q62+R62,1))</f>
        <v>0.01</v>
      </c>
      <c r="T62" s="73">
        <f>IF(B62="",0,$S62*$K62)</f>
        <v>0.02373580834234222</v>
      </c>
      <c r="U62" s="73">
        <f>IF(B62="",0,IF(OR(H62=MappingTables!$C$34,H62=MappingTables!$C$35),T62,0))</f>
        <v>0</v>
      </c>
      <c r="V62" s="73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0.054776304963434752</v>
      </c>
      <c r="W62" s="73">
        <f>IF(B62="",0,+$T62*$V62)</f>
        <v>0.0013001598763137762</v>
      </c>
      <c r="X62" s="85">
        <f>IF(B62="",0,IF(OR(H62=MappingTables!$C$34,H62=MappingTables!$C$35),W62,0))</f>
        <v>0</v>
      </c>
    </row>
    <row r="63" spans="2:24" s="0" customFormat="0" ht="15">
      <c r="B63" s="69">
        <v>22554243</v>
      </c>
      <c r="C63" s="70" t="s">
        <v>3232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188</v>
      </c>
      <c r="J63" s="71">
        <f>IF(OR(I63=0,I63=""),"unrated",VLOOKUP(I63,MappingTables!$B$19:$C$31,2,FALSE))</f>
        <v>2</v>
      </c>
      <c r="K63" s="72">
        <v>226.78969358595352</v>
      </c>
      <c r="L63" s="70">
        <v>0.056244683235303528</v>
      </c>
      <c r="M63" s="71">
        <f>IF(L63&lt;1,1,L63)</f>
        <v>1</v>
      </c>
      <c r="N63" s="70" t="s">
        <v>3191</v>
      </c>
      <c r="O63" s="157">
        <f>INDEX(DurClassMapping,MATCH(M63,MappingTables!$D$4:$D$8,-1),1)</f>
        <v>1</v>
      </c>
      <c r="P63" s="157">
        <f>IF(M63=$A$1,1,$M63-INDEX(MappingTables!$E$4:$E$8,MATCH(O63,MappingTables!$B$4:$B$8,0)))</f>
        <v>1</v>
      </c>
      <c r="Q63" s="157">
        <f>IF(B63="",0,IF(OR(N63=MappingTables!$C$12,N63=MappingTables!$C$15),INDEX(ModelParameters!$D$134:$K$138,MATCH($O63,ModelParameters!$B$6:$B$10,0),MATCH($J63,ModelParameters!$D$5:$K$5,0)),IF(N63=MappingTables!$C$13,INDEX(ModelParameters!$D$150:$K$154,MATCH($O63,ModelParameters!$B$6:$B$10,0),MATCH($J63,ModelParameters!$D$5:$K$5,0)),0)))</f>
        <v>0.016</v>
      </c>
      <c r="R63" s="157">
        <f>IF(B63="",0,IF(OR(N63=MappingTables!$C$12,N63=MappingTables!$C$15),INDEX(ModelParameters!$D$141:$K$145,MATCH($O63,ModelParameters!$B$13:$B$17,0),MATCH($J63,ModelParameters!$D$5:$K$5,0)),IF(N63=MappingTables!$C$13,INDEX(ModelParameters!$D$157:$K$161,MATCH($O63,ModelParameters!$B$13:$B$17,0),MATCH($J63,ModelParameters!$D$5:$K$5,0)),0)))</f>
        <v>0</v>
      </c>
      <c r="S63" s="71">
        <f>IF(B63="",0,MIN(P63*Q63+R63,1))</f>
        <v>0.016</v>
      </c>
      <c r="T63" s="73">
        <f>IF(B63="",0,$S63*$K63)</f>
        <v>3.628635097375256</v>
      </c>
      <c r="U63" s="73">
        <f>IF(B63="",0,IF(OR(H63=MappingTables!$C$34,H63=MappingTables!$C$35),T63,0))</f>
        <v>0</v>
      </c>
      <c r="V63" s="73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0.054776304963434752</v>
      </c>
      <c r="W63" s="73">
        <f>IF(B63="",0,+$T63*$V63)</f>
        <v>0.1987632226948498</v>
      </c>
      <c r="X63" s="85">
        <f>IF(B63="",0,IF(OR(H63=MappingTables!$C$34,H63=MappingTables!$C$35),W63,0))</f>
        <v>0</v>
      </c>
    </row>
    <row r="64" spans="2:24" s="0" customFormat="0" ht="15">
      <c r="B64" s="69">
        <v>4172303</v>
      </c>
      <c r="C64" s="70" t="s">
        <v>3266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220</v>
      </c>
      <c r="J64" s="71">
        <f>IF(OR(I64=0,I64=""),"unrated",VLOOKUP(I64,MappingTables!$B$19:$C$31,2,FALSE))</f>
        <v>1</v>
      </c>
      <c r="K64" s="72">
        <v>57.27318432817604</v>
      </c>
      <c r="L64" s="70">
        <v>0.068493418257065328</v>
      </c>
      <c r="M64" s="71">
        <f>IF(L64&lt;1,1,L64)</f>
        <v>1</v>
      </c>
      <c r="N64" s="70" t="s">
        <v>3191</v>
      </c>
      <c r="O64" s="157">
        <f>INDEX(DurClassMapping,MATCH(M64,MappingTables!$D$4:$D$8,-1),1)</f>
        <v>1</v>
      </c>
      <c r="P64" s="157">
        <f>IF(M64=$A$1,1,$M64-INDEX(MappingTables!$E$4:$E$8,MATCH(O64,MappingTables!$B$4:$B$8,0)))</f>
        <v>1</v>
      </c>
      <c r="Q64" s="157">
        <f>IF(B64="",0,IF(OR(N64=MappingTables!$C$12,N64=MappingTables!$C$15),INDEX(ModelParameters!$D$134:$K$138,MATCH($O64,ModelParameters!$B$6:$B$10,0),MATCH($J64,ModelParameters!$D$5:$K$5,0)),IF(N64=MappingTables!$C$13,INDEX(ModelParameters!$D$150:$K$154,MATCH($O64,ModelParameters!$B$6:$B$10,0),MATCH($J64,ModelParameters!$D$5:$K$5,0)),0)))</f>
        <v>0.012</v>
      </c>
      <c r="R64" s="157">
        <f>IF(B64="",0,IF(OR(N64=MappingTables!$C$12,N64=MappingTables!$C$15),INDEX(ModelParameters!$D$141:$K$145,MATCH($O64,ModelParameters!$B$13:$B$17,0),MATCH($J64,ModelParameters!$D$5:$K$5,0)),IF(N64=MappingTables!$C$13,INDEX(ModelParameters!$D$157:$K$161,MATCH($O64,ModelParameters!$B$13:$B$17,0),MATCH($J64,ModelParameters!$D$5:$K$5,0)),0)))</f>
        <v>0</v>
      </c>
      <c r="S64" s="71">
        <f>IF(B64="",0,MIN(P64*Q64+R64,1))</f>
        <v>0.012</v>
      </c>
      <c r="T64" s="73">
        <f>IF(B64="",0,$S64*$K64)</f>
        <v>0.68727821193811248</v>
      </c>
      <c r="U64" s="73">
        <f>IF(B64="",0,IF(OR(H64=MappingTables!$C$34,H64=MappingTables!$C$35),T64,0))</f>
        <v>0</v>
      </c>
      <c r="V64" s="73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0.054776304963434752</v>
      </c>
      <c r="W64" s="73">
        <f>IF(B64="",0,+$T64*$V64)</f>
        <v>0.037646560931846192</v>
      </c>
      <c r="X64" s="85">
        <f>IF(B64="",0,IF(OR(H64=MappingTables!$C$34,H64=MappingTables!$C$35),W64,0))</f>
        <v>0</v>
      </c>
    </row>
    <row r="65" spans="2:24" s="0" customFormat="0" ht="15">
      <c r="B65" s="69" t="s">
        <v>3229</v>
      </c>
      <c r="C65" s="70" t="s">
        <v>3230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188</v>
      </c>
      <c r="J65" s="71">
        <f>IF(OR(I65=0,I65=""),"unrated",VLOOKUP(I65,MappingTables!$B$19:$C$31,2,FALSE))</f>
        <v>2</v>
      </c>
      <c r="K65" s="72">
        <v>558.7134575599168</v>
      </c>
      <c r="L65" s="70">
        <v>0.068493821051430672</v>
      </c>
      <c r="M65" s="71">
        <f>IF(L65&lt;1,1,L65)</f>
        <v>1</v>
      </c>
      <c r="N65" s="70" t="s">
        <v>3191</v>
      </c>
      <c r="O65" s="157">
        <f>INDEX(DurClassMapping,MATCH(M65,MappingTables!$D$4:$D$8,-1),1)</f>
        <v>1</v>
      </c>
      <c r="P65" s="157">
        <f>IF(M65=$A$1,1,$M65-INDEX(MappingTables!$E$4:$E$8,MATCH(O65,MappingTables!$B$4:$B$8,0)))</f>
        <v>1</v>
      </c>
      <c r="Q65" s="157">
        <f>IF(B65="",0,IF(OR(N65=MappingTables!$C$12,N65=MappingTables!$C$15),INDEX(ModelParameters!$D$134:$K$138,MATCH($O65,ModelParameters!$B$6:$B$10,0),MATCH($J65,ModelParameters!$D$5:$K$5,0)),IF(N65=MappingTables!$C$13,INDEX(ModelParameters!$D$150:$K$154,MATCH($O65,ModelParameters!$B$6:$B$10,0),MATCH($J65,ModelParameters!$D$5:$K$5,0)),0)))</f>
        <v>0.016</v>
      </c>
      <c r="R65" s="157">
        <f>IF(B65="",0,IF(OR(N65=MappingTables!$C$12,N65=MappingTables!$C$15),INDEX(ModelParameters!$D$141:$K$145,MATCH($O65,ModelParameters!$B$13:$B$17,0),MATCH($J65,ModelParameters!$D$5:$K$5,0)),IF(N65=MappingTables!$C$13,INDEX(ModelParameters!$D$157:$K$161,MATCH($O65,ModelParameters!$B$13:$B$17,0),MATCH($J65,ModelParameters!$D$5:$K$5,0)),0)))</f>
        <v>0</v>
      </c>
      <c r="S65" s="71">
        <f>IF(B65="",0,MIN(P65*Q65+R65,1))</f>
        <v>0.016</v>
      </c>
      <c r="T65" s="73">
        <f>IF(B65="",0,$S65*$K65)</f>
        <v>8.9394153209586704</v>
      </c>
      <c r="U65" s="73">
        <f>IF(B65="",0,IF(OR(H65=MappingTables!$C$34,H65=MappingTables!$C$35),T65,0))</f>
        <v>0</v>
      </c>
      <c r="V65" s="73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0.054776304963434752</v>
      </c>
      <c r="W65" s="73">
        <f>IF(B65="",0,+$T65*$V65)</f>
        <v>0.48966813981563304</v>
      </c>
      <c r="X65" s="85">
        <f>IF(B65="",0,IF(OR(H65=MappingTables!$C$34,H65=MappingTables!$C$35),W65,0))</f>
        <v>0</v>
      </c>
    </row>
    <row r="66" spans="2:24" s="0" customFormat="0" ht="15">
      <c r="B66" s="69" t="s">
        <v>3252</v>
      </c>
      <c r="C66" s="70" t="s">
        <v>3253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188</v>
      </c>
      <c r="J66" s="71">
        <f>IF(OR(I66=0,I66=""),"unrated",VLOOKUP(I66,MappingTables!$B$19:$C$31,2,FALSE))</f>
        <v>2</v>
      </c>
      <c r="K66" s="72">
        <v>20.796859567442608</v>
      </c>
      <c r="L66" s="70">
        <v>0.0684932293627656</v>
      </c>
      <c r="M66" s="71">
        <f>IF(L66&lt;1,1,L66)</f>
        <v>1</v>
      </c>
      <c r="N66" s="70" t="s">
        <v>3191</v>
      </c>
      <c r="O66" s="157">
        <f>INDEX(DurClassMapping,MATCH(M66,MappingTables!$D$4:$D$8,-1),1)</f>
        <v>1</v>
      </c>
      <c r="P66" s="157">
        <f>IF(M66=$A$1,1,$M66-INDEX(MappingTables!$E$4:$E$8,MATCH(O66,MappingTables!$B$4:$B$8,0)))</f>
        <v>1</v>
      </c>
      <c r="Q66" s="157">
        <f>IF(B66="",0,IF(OR(N66=MappingTables!$C$12,N66=MappingTables!$C$15),INDEX(ModelParameters!$D$134:$K$138,MATCH($O66,ModelParameters!$B$6:$B$10,0),MATCH($J66,ModelParameters!$D$5:$K$5,0)),IF(N66=MappingTables!$C$13,INDEX(ModelParameters!$D$150:$K$154,MATCH($O66,ModelParameters!$B$6:$B$10,0),MATCH($J66,ModelParameters!$D$5:$K$5,0)),0)))</f>
        <v>0.016</v>
      </c>
      <c r="R66" s="157">
        <f>IF(B66="",0,IF(OR(N66=MappingTables!$C$12,N66=MappingTables!$C$15),INDEX(ModelParameters!$D$141:$K$145,MATCH($O66,ModelParameters!$B$13:$B$17,0),MATCH($J66,ModelParameters!$D$5:$K$5,0)),IF(N66=MappingTables!$C$13,INDEX(ModelParameters!$D$157:$K$161,MATCH($O66,ModelParameters!$B$13:$B$17,0),MATCH($J66,ModelParameters!$D$5:$K$5,0)),0)))</f>
        <v>0</v>
      </c>
      <c r="S66" s="71">
        <f>IF(B66="",0,MIN(P66*Q66+R66,1))</f>
        <v>0.016</v>
      </c>
      <c r="T66" s="73">
        <f>IF(B66="",0,$S66*$K66)</f>
        <v>0.33274975307908176</v>
      </c>
      <c r="U66" s="73">
        <f>IF(B66="",0,IF(OR(H66=MappingTables!$C$34,H66=MappingTables!$C$35),T66,0))</f>
        <v>0</v>
      </c>
      <c r="V66" s="73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0.054776304963434752</v>
      </c>
      <c r="W66" s="73">
        <f>IF(B66="",0,+$T66*$V66)</f>
        <v>0.018226801951167396</v>
      </c>
      <c r="X66" s="85">
        <f>IF(B66="",0,IF(OR(H66=MappingTables!$C$34,H66=MappingTables!$C$35),W66,0))</f>
        <v>0</v>
      </c>
    </row>
    <row r="67" spans="2:24" s="0" customFormat="0" ht="15">
      <c r="B67" s="69" t="s">
        <v>3200</v>
      </c>
      <c r="C67" s="70" t="s">
        <v>3201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188</v>
      </c>
      <c r="J67" s="71">
        <f>IF(OR(I67=0,I67=""),"unrated",VLOOKUP(I67,MappingTables!$B$19:$C$31,2,FALSE))</f>
        <v>2</v>
      </c>
      <c r="K67" s="72">
        <v>39.944503249456408</v>
      </c>
      <c r="L67" s="70">
        <v>0.06849677636714868</v>
      </c>
      <c r="M67" s="71">
        <f>IF(L67&lt;1,1,L67)</f>
        <v>1</v>
      </c>
      <c r="N67" s="70" t="s">
        <v>3191</v>
      </c>
      <c r="O67" s="157">
        <f>INDEX(DurClassMapping,MATCH(M67,MappingTables!$D$4:$D$8,-1),1)</f>
        <v>1</v>
      </c>
      <c r="P67" s="157">
        <f>IF(M67=$A$1,1,$M67-INDEX(MappingTables!$E$4:$E$8,MATCH(O67,MappingTables!$B$4:$B$8,0)))</f>
        <v>1</v>
      </c>
      <c r="Q67" s="157">
        <f>IF(B67="",0,IF(OR(N67=MappingTables!$C$12,N67=MappingTables!$C$15),INDEX(ModelParameters!$D$134:$K$138,MATCH($O67,ModelParameters!$B$6:$B$10,0),MATCH($J67,ModelParameters!$D$5:$K$5,0)),IF(N67=MappingTables!$C$13,INDEX(ModelParameters!$D$150:$K$154,MATCH($O67,ModelParameters!$B$6:$B$10,0),MATCH($J67,ModelParameters!$D$5:$K$5,0)),0)))</f>
        <v>0.016</v>
      </c>
      <c r="R67" s="157">
        <f>IF(B67="",0,IF(OR(N67=MappingTables!$C$12,N67=MappingTables!$C$15),INDEX(ModelParameters!$D$141:$K$145,MATCH($O67,ModelParameters!$B$13:$B$17,0),MATCH($J67,ModelParameters!$D$5:$K$5,0)),IF(N67=MappingTables!$C$13,INDEX(ModelParameters!$D$157:$K$161,MATCH($O67,ModelParameters!$B$13:$B$17,0),MATCH($J67,ModelParameters!$D$5:$K$5,0)),0)))</f>
        <v>0</v>
      </c>
      <c r="S67" s="71">
        <f>IF(B67="",0,MIN(P67*Q67+R67,1))</f>
        <v>0.016</v>
      </c>
      <c r="T67" s="73">
        <f>IF(B67="",0,$S67*$K67)</f>
        <v>0.63911205199130264</v>
      </c>
      <c r="U67" s="73">
        <f>IF(B67="",0,IF(OR(H67=MappingTables!$C$34,H67=MappingTables!$C$35),T67,0))</f>
        <v>0</v>
      </c>
      <c r="V67" s="73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0.054776304963434752</v>
      </c>
      <c r="W67" s="73">
        <f>IF(B67="",0,+$T67*$V67)</f>
        <v>0.03500819666568216</v>
      </c>
      <c r="X67" s="85">
        <f>IF(B67="",0,IF(OR(H67=MappingTables!$C$34,H67=MappingTables!$C$35),W67,0))</f>
        <v>0</v>
      </c>
    </row>
    <row r="68" spans="2:24" s="0" customFormat="0" ht="15">
      <c r="B68" s="69" t="s">
        <v>3254</v>
      </c>
      <c r="C68" s="70" t="s">
        <v>3255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181</v>
      </c>
      <c r="J68" s="71">
        <f>IF(OR(I68=0,I68=""),"unrated",VLOOKUP(I68,MappingTables!$B$19:$C$31,2,FALSE))</f>
        <v>3</v>
      </c>
      <c r="K68" s="72">
        <v>127.29683785086134</v>
      </c>
      <c r="L68" s="70">
        <v>0.068492492906119088</v>
      </c>
      <c r="M68" s="71">
        <f>IF(L68&lt;1,1,L68)</f>
        <v>1</v>
      </c>
      <c r="N68" s="70" t="s">
        <v>3191</v>
      </c>
      <c r="O68" s="157">
        <f>INDEX(DurClassMapping,MATCH(M68,MappingTables!$D$4:$D$8,-1),1)</f>
        <v>1</v>
      </c>
      <c r="P68" s="157">
        <f>IF(M68=$A$1,1,$M68-INDEX(MappingTables!$E$4:$E$8,MATCH(O68,MappingTables!$B$4:$B$8,0)))</f>
        <v>1</v>
      </c>
      <c r="Q68" s="157">
        <f>IF(B68="",0,IF(OR(N68=MappingTables!$C$12,N68=MappingTables!$C$15),INDEX(ModelParameters!$D$134:$K$138,MATCH($O68,ModelParameters!$B$6:$B$10,0),MATCH($J68,ModelParameters!$D$5:$K$5,0)),IF(N68=MappingTables!$C$13,INDEX(ModelParameters!$D$150:$K$154,MATCH($O68,ModelParameters!$B$6:$B$10,0),MATCH($J68,ModelParameters!$D$5:$K$5,0)),0)))</f>
        <v>0.028</v>
      </c>
      <c r="R68" s="157">
        <f>IF(B68="",0,IF(OR(N68=MappingTables!$C$12,N68=MappingTables!$C$15),INDEX(ModelParameters!$D$141:$K$145,MATCH($O68,ModelParameters!$B$13:$B$17,0),MATCH($J68,ModelParameters!$D$5:$K$5,0)),IF(N68=MappingTables!$C$13,INDEX(ModelParameters!$D$157:$K$161,MATCH($O68,ModelParameters!$B$13:$B$17,0),MATCH($J68,ModelParameters!$D$5:$K$5,0)),0)))</f>
        <v>0</v>
      </c>
      <c r="S68" s="71">
        <f>IF(B68="",0,MIN(P68*Q68+R68,1))</f>
        <v>0.028</v>
      </c>
      <c r="T68" s="73">
        <f>IF(B68="",0,$S68*$K68)</f>
        <v>3.5643114598241176</v>
      </c>
      <c r="U68" s="73">
        <f>IF(B68="",0,IF(OR(H68=MappingTables!$C$34,H68=MappingTables!$C$35),T68,0))</f>
        <v>0</v>
      </c>
      <c r="V68" s="73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0.054776304963434752</v>
      </c>
      <c r="W68" s="73">
        <f>IF(B68="",0,+$T68*$V68)</f>
        <v>0.1952398115079912</v>
      </c>
      <c r="X68" s="85">
        <f>IF(B68="",0,IF(OR(H68=MappingTables!$C$34,H68=MappingTables!$C$35),W68,0))</f>
        <v>0</v>
      </c>
    </row>
    <row r="69" spans="2:24" s="0" customFormat="0" ht="15">
      <c r="B69" s="69" t="s">
        <v>3222</v>
      </c>
      <c r="C69" s="70" t="s">
        <v>3223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181</v>
      </c>
      <c r="J69" s="71">
        <f>IF(OR(I69=0,I69=""),"unrated",VLOOKUP(I69,MappingTables!$B$19:$C$31,2,FALSE))</f>
        <v>3</v>
      </c>
      <c r="K69" s="72">
        <v>121.27474362375222</v>
      </c>
      <c r="L69" s="70">
        <v>0.062680773146481528</v>
      </c>
      <c r="M69" s="71">
        <f>IF(L69&lt;1,1,L69)</f>
        <v>1</v>
      </c>
      <c r="N69" s="70" t="s">
        <v>3191</v>
      </c>
      <c r="O69" s="157">
        <f>INDEX(DurClassMapping,MATCH(M69,MappingTables!$D$4:$D$8,-1),1)</f>
        <v>1</v>
      </c>
      <c r="P69" s="157">
        <f>IF(M69=$A$1,1,$M69-INDEX(MappingTables!$E$4:$E$8,MATCH(O69,MappingTables!$B$4:$B$8,0)))</f>
        <v>1</v>
      </c>
      <c r="Q69" s="157">
        <f>IF(B69="",0,IF(OR(N69=MappingTables!$C$12,N69=MappingTables!$C$15),INDEX(ModelParameters!$D$134:$K$138,MATCH($O69,ModelParameters!$B$6:$B$10,0),MATCH($J69,ModelParameters!$D$5:$K$5,0)),IF(N69=MappingTables!$C$13,INDEX(ModelParameters!$D$150:$K$154,MATCH($O69,ModelParameters!$B$6:$B$10,0),MATCH($J69,ModelParameters!$D$5:$K$5,0)),0)))</f>
        <v>0.028</v>
      </c>
      <c r="R69" s="157">
        <f>IF(B69="",0,IF(OR(N69=MappingTables!$C$12,N69=MappingTables!$C$15),INDEX(ModelParameters!$D$141:$K$145,MATCH($O69,ModelParameters!$B$13:$B$17,0),MATCH($J69,ModelParameters!$D$5:$K$5,0)),IF(N69=MappingTables!$C$13,INDEX(ModelParameters!$D$157:$K$161,MATCH($O69,ModelParameters!$B$13:$B$17,0),MATCH($J69,ModelParameters!$D$5:$K$5,0)),0)))</f>
        <v>0</v>
      </c>
      <c r="S69" s="71">
        <f>IF(B69="",0,MIN(P69*Q69+R69,1))</f>
        <v>0.028</v>
      </c>
      <c r="T69" s="73">
        <f>IF(B69="",0,$S69*$K69)</f>
        <v>3.395692821465062</v>
      </c>
      <c r="U69" s="73">
        <f>IF(B69="",0,IF(OR(H69=MappingTables!$C$34,H69=MappingTables!$C$35),T69,0))</f>
        <v>0</v>
      </c>
      <c r="V69" s="73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0.054776304963434752</v>
      </c>
      <c r="W69" s="73">
        <f>IF(B69="",0,+$T69*$V69)</f>
        <v>0.18600350555071644</v>
      </c>
      <c r="X69" s="85">
        <f>IF(B69="",0,IF(OR(H69=MappingTables!$C$34,H69=MappingTables!$C$35),W69,0))</f>
        <v>0</v>
      </c>
    </row>
    <row r="70" spans="2:24" s="0" customFormat="0" ht="15">
      <c r="B70" s="69" t="s">
        <v>3246</v>
      </c>
      <c r="C70" s="70" t="s">
        <v>3247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181</v>
      </c>
      <c r="J70" s="71">
        <f>IF(OR(I70=0,I70=""),"unrated",VLOOKUP(I70,MappingTables!$B$19:$C$31,2,FALSE))</f>
        <v>3</v>
      </c>
      <c r="K70" s="72">
        <v>81.005198299663056</v>
      </c>
      <c r="L70" s="70">
        <v>0.068491337606821024</v>
      </c>
      <c r="M70" s="71">
        <f>IF(L70&lt;1,1,L70)</f>
        <v>1</v>
      </c>
      <c r="N70" s="70" t="s">
        <v>3191</v>
      </c>
      <c r="O70" s="157">
        <f>INDEX(DurClassMapping,MATCH(M70,MappingTables!$D$4:$D$8,-1),1)</f>
        <v>1</v>
      </c>
      <c r="P70" s="157">
        <f>IF(M70=$A$1,1,$M70-INDEX(MappingTables!$E$4:$E$8,MATCH(O70,MappingTables!$B$4:$B$8,0)))</f>
        <v>1</v>
      </c>
      <c r="Q70" s="157">
        <f>IF(B70="",0,IF(OR(N70=MappingTables!$C$12,N70=MappingTables!$C$15),INDEX(ModelParameters!$D$134:$K$138,MATCH($O70,ModelParameters!$B$6:$B$10,0),MATCH($J70,ModelParameters!$D$5:$K$5,0)),IF(N70=MappingTables!$C$13,INDEX(ModelParameters!$D$150:$K$154,MATCH($O70,ModelParameters!$B$6:$B$10,0),MATCH($J70,ModelParameters!$D$5:$K$5,0)),0)))</f>
        <v>0.028</v>
      </c>
      <c r="R70" s="157">
        <f>IF(B70="",0,IF(OR(N70=MappingTables!$C$12,N70=MappingTables!$C$15),INDEX(ModelParameters!$D$141:$K$145,MATCH($O70,ModelParameters!$B$13:$B$17,0),MATCH($J70,ModelParameters!$D$5:$K$5,0)),IF(N70=MappingTables!$C$13,INDEX(ModelParameters!$D$157:$K$161,MATCH($O70,ModelParameters!$B$13:$B$17,0),MATCH($J70,ModelParameters!$D$5:$K$5,0)),0)))</f>
        <v>0</v>
      </c>
      <c r="S70" s="71">
        <f>IF(B70="",0,MIN(P70*Q70+R70,1))</f>
        <v>0.028</v>
      </c>
      <c r="T70" s="73">
        <f>IF(B70="",0,$S70*$K70)</f>
        <v>2.2681455523905652</v>
      </c>
      <c r="U70" s="73">
        <f>IF(B70="",0,IF(OR(H70=MappingTables!$C$34,H70=MappingTables!$C$35),T70,0))</f>
        <v>0</v>
      </c>
      <c r="V70" s="73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0.054776304963434752</v>
      </c>
      <c r="W70" s="73">
        <f>IF(B70="",0,+$T70*$V70)</f>
        <v>0.1242406324792038</v>
      </c>
      <c r="X70" s="85">
        <f>IF(B70="",0,IF(OR(H70=MappingTables!$C$34,H70=MappingTables!$C$35),W70,0))</f>
        <v>0</v>
      </c>
    </row>
    <row r="71" spans="2:24" s="0" customFormat="0" ht="15">
      <c r="B71" s="69">
        <v>16974047</v>
      </c>
      <c r="C71" s="70" t="s">
        <v>3250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216</v>
      </c>
      <c r="J71" s="71">
        <f>IF(OR(I71=0,I71=""),"unrated",VLOOKUP(I71,MappingTables!$B$19:$C$31,2,FALSE))</f>
        <v>0</v>
      </c>
      <c r="K71" s="72">
        <v>966.82391440330976</v>
      </c>
      <c r="L71" s="70">
        <v>0.041747705246439304</v>
      </c>
      <c r="M71" s="71">
        <f>IF(L71&lt;1,1,L71)</f>
        <v>1</v>
      </c>
      <c r="N71" s="70" t="s">
        <v>3191</v>
      </c>
      <c r="O71" s="157">
        <f>INDEX(DurClassMapping,MATCH(M71,MappingTables!$D$4:$D$8,-1),1)</f>
        <v>1</v>
      </c>
      <c r="P71" s="157">
        <f>IF(M71=$A$1,1,$M71-INDEX(MappingTables!$E$4:$E$8,MATCH(O71,MappingTables!$B$4:$B$8,0)))</f>
        <v>1</v>
      </c>
      <c r="Q71" s="157">
        <f>IF(B71="",0,IF(OR(N71=MappingTables!$C$12,N71=MappingTables!$C$15),INDEX(ModelParameters!$D$134:$K$138,MATCH($O71,ModelParameters!$B$6:$B$10,0),MATCH($J71,ModelParameters!$D$5:$K$5,0)),IF(N71=MappingTables!$C$13,INDEX(ModelParameters!$D$150:$K$154,MATCH($O71,ModelParameters!$B$6:$B$10,0),MATCH($J71,ModelParameters!$D$5:$K$5,0)),0)))</f>
        <v>0.01</v>
      </c>
      <c r="R71" s="157">
        <f>IF(B71="",0,IF(OR(N71=MappingTables!$C$12,N71=MappingTables!$C$15),INDEX(ModelParameters!$D$141:$K$145,MATCH($O71,ModelParameters!$B$13:$B$17,0),MATCH($J71,ModelParameters!$D$5:$K$5,0)),IF(N71=MappingTables!$C$13,INDEX(ModelParameters!$D$157:$K$161,MATCH($O71,ModelParameters!$B$13:$B$17,0),MATCH($J71,ModelParameters!$D$5:$K$5,0)),0)))</f>
        <v>0</v>
      </c>
      <c r="S71" s="71">
        <f>IF(B71="",0,MIN(P71*Q71+R71,1))</f>
        <v>0.01</v>
      </c>
      <c r="T71" s="73">
        <f>IF(B71="",0,$S71*$K71)</f>
        <v>9.668239144033096</v>
      </c>
      <c r="U71" s="73">
        <f>IF(B71="",0,IF(OR(H71=MappingTables!$C$34,H71=MappingTables!$C$35),T71,0))</f>
        <v>0</v>
      </c>
      <c r="V71" s="73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0.054776304963434752</v>
      </c>
      <c r="W71" s="73">
        <f>IF(B71="",0,+$T71*$V71)</f>
        <v>0.52959041581297432</v>
      </c>
      <c r="X71" s="85">
        <f>IF(B71="",0,IF(OR(H71=MappingTables!$C$34,H71=MappingTables!$C$35),W71,0))</f>
        <v>0</v>
      </c>
    </row>
    <row r="72" spans="2:24" s="0" customFormat="0" ht="15">
      <c r="B72" s="69" t="s">
        <v>3202</v>
      </c>
      <c r="C72" s="70" t="s">
        <v>3203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220</v>
      </c>
      <c r="J72" s="71">
        <f>IF(OR(I72=0,I72=""),"unrated",VLOOKUP(I72,MappingTables!$B$19:$C$31,2,FALSE))</f>
        <v>1</v>
      </c>
      <c r="K72" s="72">
        <v>320.29494409438296</v>
      </c>
      <c r="L72" s="70">
        <v>0.062538795075509816</v>
      </c>
      <c r="M72" s="71">
        <f>IF(L72&lt;1,1,L72)</f>
        <v>1</v>
      </c>
      <c r="N72" s="70" t="s">
        <v>3191</v>
      </c>
      <c r="O72" s="157">
        <f>INDEX(DurClassMapping,MATCH(M72,MappingTables!$D$4:$D$8,-1),1)</f>
        <v>1</v>
      </c>
      <c r="P72" s="157">
        <f>IF(M72=$A$1,1,$M72-INDEX(MappingTables!$E$4:$E$8,MATCH(O72,MappingTables!$B$4:$B$8,0)))</f>
        <v>1</v>
      </c>
      <c r="Q72" s="157">
        <f>IF(B72="",0,IF(OR(N72=MappingTables!$C$12,N72=MappingTables!$C$15),INDEX(ModelParameters!$D$134:$K$138,MATCH($O72,ModelParameters!$B$6:$B$10,0),MATCH($J72,ModelParameters!$D$5:$K$5,0)),IF(N72=MappingTables!$C$13,INDEX(ModelParameters!$D$150:$K$154,MATCH($O72,ModelParameters!$B$6:$B$10,0),MATCH($J72,ModelParameters!$D$5:$K$5,0)),0)))</f>
        <v>0.012</v>
      </c>
      <c r="R72" s="157">
        <f>IF(B72="",0,IF(OR(N72=MappingTables!$C$12,N72=MappingTables!$C$15),INDEX(ModelParameters!$D$141:$K$145,MATCH($O72,ModelParameters!$B$13:$B$17,0),MATCH($J72,ModelParameters!$D$5:$K$5,0)),IF(N72=MappingTables!$C$13,INDEX(ModelParameters!$D$157:$K$161,MATCH($O72,ModelParameters!$B$13:$B$17,0),MATCH($J72,ModelParameters!$D$5:$K$5,0)),0)))</f>
        <v>0</v>
      </c>
      <c r="S72" s="71">
        <f>IF(B72="",0,MIN(P72*Q72+R72,1))</f>
        <v>0.012</v>
      </c>
      <c r="T72" s="73">
        <f>IF(B72="",0,$S72*$K72)</f>
        <v>3.843539329132596</v>
      </c>
      <c r="U72" s="73">
        <f>IF(B72="",0,IF(OR(H72=MappingTables!$C$34,H72=MappingTables!$C$35),T72,0))</f>
        <v>0</v>
      </c>
      <c r="V72" s="73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0.054776304963434752</v>
      </c>
      <c r="W72" s="73">
        <f>IF(B72="",0,+$T72*$V72)</f>
        <v>0.21053488243152248</v>
      </c>
      <c r="X72" s="85">
        <f>IF(B72="",0,IF(OR(H72=MappingTables!$C$34,H72=MappingTables!$C$35),W72,0))</f>
        <v>0</v>
      </c>
    </row>
    <row r="73" spans="2:24" s="0" customFormat="0" ht="15">
      <c r="B73" s="69" t="s">
        <v>3267</v>
      </c>
      <c r="C73" s="70" t="s">
        <v>3268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216</v>
      </c>
      <c r="J73" s="71">
        <f>IF(OR(I73=0,I73=""),"unrated",VLOOKUP(I73,MappingTables!$B$19:$C$31,2,FALSE))</f>
        <v>0</v>
      </c>
      <c r="K73" s="72">
        <v>0.59038125787980648</v>
      </c>
      <c r="L73" s="70">
        <v>0.077921472221611296</v>
      </c>
      <c r="M73" s="71">
        <f>IF(L73&lt;1,1,L73)</f>
        <v>1</v>
      </c>
      <c r="N73" s="70" t="s">
        <v>3191</v>
      </c>
      <c r="O73" s="157">
        <f>INDEX(DurClassMapping,MATCH(M73,MappingTables!$D$4:$D$8,-1),1)</f>
        <v>1</v>
      </c>
      <c r="P73" s="157">
        <f>IF(M73=$A$1,1,$M73-INDEX(MappingTables!$E$4:$E$8,MATCH(O73,MappingTables!$B$4:$B$8,0)))</f>
        <v>1</v>
      </c>
      <c r="Q73" s="157">
        <f>IF(B73="",0,IF(OR(N73=MappingTables!$C$12,N73=MappingTables!$C$15),INDEX(ModelParameters!$D$134:$K$138,MATCH($O73,ModelParameters!$B$6:$B$10,0),MATCH($J73,ModelParameters!$D$5:$K$5,0)),IF(N73=MappingTables!$C$13,INDEX(ModelParameters!$D$150:$K$154,MATCH($O73,ModelParameters!$B$6:$B$10,0),MATCH($J73,ModelParameters!$D$5:$K$5,0)),0)))</f>
        <v>0.01</v>
      </c>
      <c r="R73" s="157">
        <f>IF(B73="",0,IF(OR(N73=MappingTables!$C$12,N73=MappingTables!$C$15),INDEX(ModelParameters!$D$141:$K$145,MATCH($O73,ModelParameters!$B$13:$B$17,0),MATCH($J73,ModelParameters!$D$5:$K$5,0)),IF(N73=MappingTables!$C$13,INDEX(ModelParameters!$D$157:$K$161,MATCH($O73,ModelParameters!$B$13:$B$17,0),MATCH($J73,ModelParameters!$D$5:$K$5,0)),0)))</f>
        <v>0</v>
      </c>
      <c r="S73" s="71">
        <f>IF(B73="",0,MIN(P73*Q73+R73,1))</f>
        <v>0.01</v>
      </c>
      <c r="T73" s="73">
        <f>IF(B73="",0,$S73*$K73)</f>
        <v>0.0059038125787980648</v>
      </c>
      <c r="U73" s="73">
        <f>IF(B73="",0,IF(OR(H73=MappingTables!$C$34,H73=MappingTables!$C$35),T73,0))</f>
        <v>0</v>
      </c>
      <c r="V73" s="73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0.054776304963434752</v>
      </c>
      <c r="W73" s="73">
        <f>IF(B73="",0,+$T73*$V73)</f>
        <v>0.000323389038263205</v>
      </c>
      <c r="X73" s="85">
        <f>IF(B73="",0,IF(OR(H73=MappingTables!$C$34,H73=MappingTables!$C$35),W73,0))</f>
        <v>0</v>
      </c>
    </row>
    <row r="74" spans="2:24" s="0" customFormat="0" ht="15">
      <c r="B74" s="69" t="s">
        <v>3269</v>
      </c>
      <c r="C74" s="70" t="s">
        <v>3270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188</v>
      </c>
      <c r="J74" s="71">
        <f>IF(OR(I74=0,I74=""),"unrated",VLOOKUP(I74,MappingTables!$B$19:$C$31,2,FALSE))</f>
        <v>2</v>
      </c>
      <c r="K74" s="72">
        <v>81.345934661808096</v>
      </c>
      <c r="L74" s="70">
        <v>0.068497815624679752</v>
      </c>
      <c r="M74" s="71">
        <f>IF(L74&lt;1,1,L74)</f>
        <v>1</v>
      </c>
      <c r="N74" s="70" t="s">
        <v>3191</v>
      </c>
      <c r="O74" s="157">
        <f>INDEX(DurClassMapping,MATCH(M74,MappingTables!$D$4:$D$8,-1),1)</f>
        <v>1</v>
      </c>
      <c r="P74" s="157">
        <f>IF(M74=$A$1,1,$M74-INDEX(MappingTables!$E$4:$E$8,MATCH(O74,MappingTables!$B$4:$B$8,0)))</f>
        <v>1</v>
      </c>
      <c r="Q74" s="157">
        <f>IF(B74="",0,IF(OR(N74=MappingTables!$C$12,N74=MappingTables!$C$15),INDEX(ModelParameters!$D$134:$K$138,MATCH($O74,ModelParameters!$B$6:$B$10,0),MATCH($J74,ModelParameters!$D$5:$K$5,0)),IF(N74=MappingTables!$C$13,INDEX(ModelParameters!$D$150:$K$154,MATCH($O74,ModelParameters!$B$6:$B$10,0),MATCH($J74,ModelParameters!$D$5:$K$5,0)),0)))</f>
        <v>0.016</v>
      </c>
      <c r="R74" s="157">
        <f>IF(B74="",0,IF(OR(N74=MappingTables!$C$12,N74=MappingTables!$C$15),INDEX(ModelParameters!$D$141:$K$145,MATCH($O74,ModelParameters!$B$13:$B$17,0),MATCH($J74,ModelParameters!$D$5:$K$5,0)),IF(N74=MappingTables!$C$13,INDEX(ModelParameters!$D$157:$K$161,MATCH($O74,ModelParameters!$B$13:$B$17,0),MATCH($J74,ModelParameters!$D$5:$K$5,0)),0)))</f>
        <v>0</v>
      </c>
      <c r="S74" s="71">
        <f>IF(B74="",0,MIN(P74*Q74+R74,1))</f>
        <v>0.016</v>
      </c>
      <c r="T74" s="73">
        <f>IF(B74="",0,$S74*$K74)</f>
        <v>1.3015349545889296</v>
      </c>
      <c r="U74" s="73">
        <f>IF(B74="",0,IF(OR(H74=MappingTables!$C$34,H74=MappingTables!$C$35),T74,0))</f>
        <v>0</v>
      </c>
      <c r="V74" s="73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0.054776304963434752</v>
      </c>
      <c r="W74" s="73">
        <f>IF(B74="",0,+$T74*$V74)</f>
        <v>0.071293275593133408</v>
      </c>
      <c r="X74" s="85">
        <f>IF(B74="",0,IF(OR(H74=MappingTables!$C$34,H74=MappingTables!$C$35),W74,0))</f>
        <v>0</v>
      </c>
    </row>
    <row r="75" spans="2:24" s="0" customFormat="0" ht="15">
      <c r="B75" s="69">
        <v>16974894</v>
      </c>
      <c r="C75" s="70" t="s">
        <v>3271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216</v>
      </c>
      <c r="J75" s="71">
        <f>IF(OR(I75=0,I75=""),"unrated",VLOOKUP(I75,MappingTables!$B$19:$C$31,2,FALSE))</f>
        <v>0</v>
      </c>
      <c r="K75" s="72">
        <v>14.648919304231856</v>
      </c>
      <c r="L75" s="70">
        <v>0.068343493753389784</v>
      </c>
      <c r="M75" s="71">
        <f>IF(L75&lt;1,1,L75)</f>
        <v>1</v>
      </c>
      <c r="N75" s="70" t="s">
        <v>3191</v>
      </c>
      <c r="O75" s="157">
        <f>INDEX(DurClassMapping,MATCH(M75,MappingTables!$D$4:$D$8,-1),1)</f>
        <v>1</v>
      </c>
      <c r="P75" s="157">
        <f>IF(M75=$A$1,1,$M75-INDEX(MappingTables!$E$4:$E$8,MATCH(O75,MappingTables!$B$4:$B$8,0)))</f>
        <v>1</v>
      </c>
      <c r="Q75" s="157">
        <f>IF(B75="",0,IF(OR(N75=MappingTables!$C$12,N75=MappingTables!$C$15),INDEX(ModelParameters!$D$134:$K$138,MATCH($O75,ModelParameters!$B$6:$B$10,0),MATCH($J75,ModelParameters!$D$5:$K$5,0)),IF(N75=MappingTables!$C$13,INDEX(ModelParameters!$D$150:$K$154,MATCH($O75,ModelParameters!$B$6:$B$10,0),MATCH($J75,ModelParameters!$D$5:$K$5,0)),0)))</f>
        <v>0.01</v>
      </c>
      <c r="R75" s="157">
        <f>IF(B75="",0,IF(OR(N75=MappingTables!$C$12,N75=MappingTables!$C$15),INDEX(ModelParameters!$D$141:$K$145,MATCH($O75,ModelParameters!$B$13:$B$17,0),MATCH($J75,ModelParameters!$D$5:$K$5,0)),IF(N75=MappingTables!$C$13,INDEX(ModelParameters!$D$157:$K$161,MATCH($O75,ModelParameters!$B$13:$B$17,0),MATCH($J75,ModelParameters!$D$5:$K$5,0)),0)))</f>
        <v>0</v>
      </c>
      <c r="S75" s="71">
        <f>IF(B75="",0,MIN(P75*Q75+R75,1))</f>
        <v>0.01</v>
      </c>
      <c r="T75" s="73">
        <f>IF(B75="",0,$S75*$K75)</f>
        <v>0.14648919304231858</v>
      </c>
      <c r="U75" s="73">
        <f>IF(B75="",0,IF(OR(H75=MappingTables!$C$34,H75=MappingTables!$C$35),T75,0))</f>
        <v>0</v>
      </c>
      <c r="V75" s="73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0.054776304963434752</v>
      </c>
      <c r="W75" s="73">
        <f>IF(B75="",0,+$T75*$V75)</f>
        <v>0.0080241367119335056</v>
      </c>
      <c r="X75" s="85">
        <f>IF(B75="",0,IF(OR(H75=MappingTables!$C$34,H75=MappingTables!$C$35),W75,0))</f>
        <v>0</v>
      </c>
    </row>
    <row r="76" spans="2:24" s="0" customFormat="0" ht="15">
      <c r="B76" s="69" t="s">
        <v>3269</v>
      </c>
      <c r="C76" s="70" t="s">
        <v>3270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188</v>
      </c>
      <c r="J76" s="71">
        <f>IF(OR(I76=0,I76=""),"unrated",VLOOKUP(I76,MappingTables!$B$19:$C$31,2,FALSE))</f>
        <v>2</v>
      </c>
      <c r="K76" s="72">
        <v>38.351402240779376</v>
      </c>
      <c r="L76" s="70">
        <v>0.068497815624673456</v>
      </c>
      <c r="M76" s="71">
        <f>IF(L76&lt;1,1,L76)</f>
        <v>1</v>
      </c>
      <c r="N76" s="70" t="s">
        <v>3191</v>
      </c>
      <c r="O76" s="157">
        <f>INDEX(DurClassMapping,MATCH(M76,MappingTables!$D$4:$D$8,-1),1)</f>
        <v>1</v>
      </c>
      <c r="P76" s="157">
        <f>IF(M76=$A$1,1,$M76-INDEX(MappingTables!$E$4:$E$8,MATCH(O76,MappingTables!$B$4:$B$8,0)))</f>
        <v>1</v>
      </c>
      <c r="Q76" s="157">
        <f>IF(B76="",0,IF(OR(N76=MappingTables!$C$12,N76=MappingTables!$C$15),INDEX(ModelParameters!$D$134:$K$138,MATCH($O76,ModelParameters!$B$6:$B$10,0),MATCH($J76,ModelParameters!$D$5:$K$5,0)),IF(N76=MappingTables!$C$13,INDEX(ModelParameters!$D$150:$K$154,MATCH($O76,ModelParameters!$B$6:$B$10,0),MATCH($J76,ModelParameters!$D$5:$K$5,0)),0)))</f>
        <v>0.016</v>
      </c>
      <c r="R76" s="157">
        <f>IF(B76="",0,IF(OR(N76=MappingTables!$C$12,N76=MappingTables!$C$15),INDEX(ModelParameters!$D$141:$K$145,MATCH($O76,ModelParameters!$B$13:$B$17,0),MATCH($J76,ModelParameters!$D$5:$K$5,0)),IF(N76=MappingTables!$C$13,INDEX(ModelParameters!$D$157:$K$161,MATCH($O76,ModelParameters!$B$13:$B$17,0),MATCH($J76,ModelParameters!$D$5:$K$5,0)),0)))</f>
        <v>0</v>
      </c>
      <c r="S76" s="71">
        <f>IF(B76="",0,MIN(P76*Q76+R76,1))</f>
        <v>0.016</v>
      </c>
      <c r="T76" s="73">
        <f>IF(B76="",0,$S76*$K76)</f>
        <v>0.61362243585247008</v>
      </c>
      <c r="U76" s="73">
        <f>IF(B76="",0,IF(OR(H76=MappingTables!$C$34,H76=MappingTables!$C$35),T76,0))</f>
        <v>0</v>
      </c>
      <c r="V76" s="73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0.054776304963434752</v>
      </c>
      <c r="W76" s="73">
        <f>IF(B76="",0,+$T76*$V76)</f>
        <v>0.033611969678660584</v>
      </c>
      <c r="X76" s="85">
        <f>IF(B76="",0,IF(OR(H76=MappingTables!$C$34,H76=MappingTables!$C$35),W76,0))</f>
        <v>0</v>
      </c>
    </row>
    <row r="77" spans="2:24" s="0" customFormat="0" ht="15">
      <c r="B77" s="69">
        <v>22554298</v>
      </c>
      <c r="C77" s="70" t="s">
        <v>3261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216</v>
      </c>
      <c r="J77" s="71">
        <f>IF(OR(I77=0,I77=""),"unrated",VLOOKUP(I77,MappingTables!$B$19:$C$31,2,FALSE))</f>
        <v>0</v>
      </c>
      <c r="K77" s="72">
        <v>596.12213964917224</v>
      </c>
      <c r="L77" s="70">
        <v>2.156733985525314</v>
      </c>
      <c r="M77" s="71">
        <f>IF(L77&lt;1,1,L77)</f>
        <v>2.156733985525314</v>
      </c>
      <c r="N77" s="70" t="s">
        <v>3191</v>
      </c>
      <c r="O77" s="157">
        <f>INDEX(DurClassMapping,MATCH(M77,MappingTables!$D$4:$D$8,-1),1)</f>
        <v>1</v>
      </c>
      <c r="P77" s="157">
        <f>IF(M77=$A$1,1,$M77-INDEX(MappingTables!$E$4:$E$8,MATCH(O77,MappingTables!$B$4:$B$8,0)))</f>
        <v>2.156733985525314</v>
      </c>
      <c r="Q77" s="157">
        <f>IF(B77="",0,IF(OR(N77=MappingTables!$C$12,N77=MappingTables!$C$15),INDEX(ModelParameters!$D$134:$K$138,MATCH($O77,ModelParameters!$B$6:$B$10,0),MATCH($J77,ModelParameters!$D$5:$K$5,0)),IF(N77=MappingTables!$C$13,INDEX(ModelParameters!$D$150:$K$154,MATCH($O77,ModelParameters!$B$6:$B$10,0),MATCH($J77,ModelParameters!$D$5:$K$5,0)),0)))</f>
        <v>0.01</v>
      </c>
      <c r="R77" s="157">
        <f>IF(B77="",0,IF(OR(N77=MappingTables!$C$12,N77=MappingTables!$C$15),INDEX(ModelParameters!$D$141:$K$145,MATCH($O77,ModelParameters!$B$13:$B$17,0),MATCH($J77,ModelParameters!$D$5:$K$5,0)),IF(N77=MappingTables!$C$13,INDEX(ModelParameters!$D$157:$K$161,MATCH($O77,ModelParameters!$B$13:$B$17,0),MATCH($J77,ModelParameters!$D$5:$K$5,0)),0)))</f>
        <v>0</v>
      </c>
      <c r="S77" s="71">
        <f>IF(B77="",0,MIN(P77*Q77+R77,1))</f>
        <v>0.021567339855253136</v>
      </c>
      <c r="T77" s="73">
        <f>IF(B77="",0,$S77*$K77)</f>
        <v>12.856768781054368</v>
      </c>
      <c r="U77" s="73">
        <f>IF(B77="",0,IF(OR(H77=MappingTables!$C$34,H77=MappingTables!$C$35),T77,0))</f>
        <v>0</v>
      </c>
      <c r="V77" s="73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0.054776304963434752</v>
      </c>
      <c r="W77" s="73">
        <f>IF(B77="",0,+$T77*$V77)</f>
        <v>0.70424628759540144</v>
      </c>
      <c r="X77" s="85">
        <f>IF(B77="",0,IF(OR(H77=MappingTables!$C$34,H77=MappingTables!$C$35),W77,0))</f>
        <v>0</v>
      </c>
    </row>
    <row r="78" spans="2:24" s="0" customFormat="0" ht="15">
      <c r="B78" s="69">
        <v>4279957</v>
      </c>
      <c r="C78" s="70" t="s">
        <v>3194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188</v>
      </c>
      <c r="J78" s="71">
        <f>IF(OR(I78=0,I78=""),"unrated",VLOOKUP(I78,MappingTables!$B$19:$C$31,2,FALSE))</f>
        <v>2</v>
      </c>
      <c r="K78" s="72">
        <v>48.021309803267288</v>
      </c>
      <c r="L78" s="70">
        <v>0.068494817858309768</v>
      </c>
      <c r="M78" s="71">
        <f>IF(L78&lt;1,1,L78)</f>
        <v>1</v>
      </c>
      <c r="N78" s="70" t="s">
        <v>3191</v>
      </c>
      <c r="O78" s="157">
        <f>INDEX(DurClassMapping,MATCH(M78,MappingTables!$D$4:$D$8,-1),1)</f>
        <v>1</v>
      </c>
      <c r="P78" s="157">
        <f>IF(M78=$A$1,1,$M78-INDEX(MappingTables!$E$4:$E$8,MATCH(O78,MappingTables!$B$4:$B$8,0)))</f>
        <v>1</v>
      </c>
      <c r="Q78" s="157">
        <f>IF(B78="",0,IF(OR(N78=MappingTables!$C$12,N78=MappingTables!$C$15),INDEX(ModelParameters!$D$134:$K$138,MATCH($O78,ModelParameters!$B$6:$B$10,0),MATCH($J78,ModelParameters!$D$5:$K$5,0)),IF(N78=MappingTables!$C$13,INDEX(ModelParameters!$D$150:$K$154,MATCH($O78,ModelParameters!$B$6:$B$10,0),MATCH($J78,ModelParameters!$D$5:$K$5,0)),0)))</f>
        <v>0.016</v>
      </c>
      <c r="R78" s="157">
        <f>IF(B78="",0,IF(OR(N78=MappingTables!$C$12,N78=MappingTables!$C$15),INDEX(ModelParameters!$D$141:$K$145,MATCH($O78,ModelParameters!$B$13:$B$17,0),MATCH($J78,ModelParameters!$D$5:$K$5,0)),IF(N78=MappingTables!$C$13,INDEX(ModelParameters!$D$157:$K$161,MATCH($O78,ModelParameters!$B$13:$B$17,0),MATCH($J78,ModelParameters!$D$5:$K$5,0)),0)))</f>
        <v>0</v>
      </c>
      <c r="S78" s="71">
        <f>IF(B78="",0,MIN(P78*Q78+R78,1))</f>
        <v>0.016</v>
      </c>
      <c r="T78" s="73">
        <f>IF(B78="",0,$S78*$K78)</f>
        <v>0.76834095685227648</v>
      </c>
      <c r="U78" s="73">
        <f>IF(B78="",0,IF(OR(H78=MappingTables!$C$34,H78=MappingTables!$C$35),T78,0))</f>
        <v>0</v>
      </c>
      <c r="V78" s="73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0.054776304963434752</v>
      </c>
      <c r="W78" s="73">
        <f>IF(B78="",0,+$T78*$V78)</f>
        <v>0.04208687856843756</v>
      </c>
      <c r="X78" s="85">
        <f>IF(B78="",0,IF(OR(H78=MappingTables!$C$34,H78=MappingTables!$C$35),W78,0))</f>
        <v>0</v>
      </c>
    </row>
    <row r="79" spans="2:24" s="0" customFormat="0" ht="15">
      <c r="B79" s="69" t="s">
        <v>3206</v>
      </c>
      <c r="C79" s="70" t="s">
        <v>3207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220</v>
      </c>
      <c r="J79" s="71">
        <f>IF(OR(I79=0,I79=""),"unrated",VLOOKUP(I79,MappingTables!$B$19:$C$31,2,FALSE))</f>
        <v>1</v>
      </c>
      <c r="K79" s="72">
        <v>74.526929533203152</v>
      </c>
      <c r="L79" s="70">
        <v>0.066793469362710632</v>
      </c>
      <c r="M79" s="71">
        <f>IF(L79&lt;1,1,L79)</f>
        <v>1</v>
      </c>
      <c r="N79" s="70" t="s">
        <v>3191</v>
      </c>
      <c r="O79" s="157">
        <f>INDEX(DurClassMapping,MATCH(M79,MappingTables!$D$4:$D$8,-1),1)</f>
        <v>1</v>
      </c>
      <c r="P79" s="157">
        <f>IF(M79=$A$1,1,$M79-INDEX(MappingTables!$E$4:$E$8,MATCH(O79,MappingTables!$B$4:$B$8,0)))</f>
        <v>1</v>
      </c>
      <c r="Q79" s="157">
        <f>IF(B79="",0,IF(OR(N79=MappingTables!$C$12,N79=MappingTables!$C$15),INDEX(ModelParameters!$D$134:$K$138,MATCH($O79,ModelParameters!$B$6:$B$10,0),MATCH($J79,ModelParameters!$D$5:$K$5,0)),IF(N79=MappingTables!$C$13,INDEX(ModelParameters!$D$150:$K$154,MATCH($O79,ModelParameters!$B$6:$B$10,0),MATCH($J79,ModelParameters!$D$5:$K$5,0)),0)))</f>
        <v>0.012</v>
      </c>
      <c r="R79" s="157">
        <f>IF(B79="",0,IF(OR(N79=MappingTables!$C$12,N79=MappingTables!$C$15),INDEX(ModelParameters!$D$141:$K$145,MATCH($O79,ModelParameters!$B$13:$B$17,0),MATCH($J79,ModelParameters!$D$5:$K$5,0)),IF(N79=MappingTables!$C$13,INDEX(ModelParameters!$D$157:$K$161,MATCH($O79,ModelParameters!$B$13:$B$17,0),MATCH($J79,ModelParameters!$D$5:$K$5,0)),0)))</f>
        <v>0</v>
      </c>
      <c r="S79" s="71">
        <f>IF(B79="",0,MIN(P79*Q79+R79,1))</f>
        <v>0.012</v>
      </c>
      <c r="T79" s="73">
        <f>IF(B79="",0,$S79*$K79)</f>
        <v>0.89432315439843792</v>
      </c>
      <c r="U79" s="73">
        <f>IF(B79="",0,IF(OR(H79=MappingTables!$C$34,H79=MappingTables!$C$35),T79,0))</f>
        <v>0</v>
      </c>
      <c r="V79" s="73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0.054776304963434752</v>
      </c>
      <c r="W79" s="73">
        <f>IF(B79="",0,+$T79*$V79)</f>
        <v>0.048987717841189776</v>
      </c>
      <c r="X79" s="85">
        <f>IF(B79="",0,IF(OR(H79=MappingTables!$C$34,H79=MappingTables!$C$35),W79,0))</f>
        <v>0</v>
      </c>
    </row>
    <row r="80" spans="2:24" s="0" customFormat="0" ht="15">
      <c r="B80" s="69" t="s">
        <v>3272</v>
      </c>
      <c r="C80" s="70" t="s">
        <v>3273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188</v>
      </c>
      <c r="J80" s="71">
        <f>IF(OR(I80=0,I80=""),"unrated",VLOOKUP(I80,MappingTables!$B$19:$C$31,2,FALSE))</f>
        <v>2</v>
      </c>
      <c r="K80" s="72">
        <v>280.15089445142028</v>
      </c>
      <c r="L80" s="70">
        <v>0.068496879042570096</v>
      </c>
      <c r="M80" s="71">
        <f>IF(L80&lt;1,1,L80)</f>
        <v>1</v>
      </c>
      <c r="N80" s="70" t="s">
        <v>3191</v>
      </c>
      <c r="O80" s="157">
        <f>INDEX(DurClassMapping,MATCH(M80,MappingTables!$D$4:$D$8,-1),1)</f>
        <v>1</v>
      </c>
      <c r="P80" s="157">
        <f>IF(M80=$A$1,1,$M80-INDEX(MappingTables!$E$4:$E$8,MATCH(O80,MappingTables!$B$4:$B$8,0)))</f>
        <v>1</v>
      </c>
      <c r="Q80" s="157">
        <f>IF(B80="",0,IF(OR(N80=MappingTables!$C$12,N80=MappingTables!$C$15),INDEX(ModelParameters!$D$134:$K$138,MATCH($O80,ModelParameters!$B$6:$B$10,0),MATCH($J80,ModelParameters!$D$5:$K$5,0)),IF(N80=MappingTables!$C$13,INDEX(ModelParameters!$D$150:$K$154,MATCH($O80,ModelParameters!$B$6:$B$10,0),MATCH($J80,ModelParameters!$D$5:$K$5,0)),0)))</f>
        <v>0.016</v>
      </c>
      <c r="R80" s="157">
        <f>IF(B80="",0,IF(OR(N80=MappingTables!$C$12,N80=MappingTables!$C$15),INDEX(ModelParameters!$D$141:$K$145,MATCH($O80,ModelParameters!$B$13:$B$17,0),MATCH($J80,ModelParameters!$D$5:$K$5,0)),IF(N80=MappingTables!$C$13,INDEX(ModelParameters!$D$157:$K$161,MATCH($O80,ModelParameters!$B$13:$B$17,0),MATCH($J80,ModelParameters!$D$5:$K$5,0)),0)))</f>
        <v>0</v>
      </c>
      <c r="S80" s="71">
        <f>IF(B80="",0,MIN(P80*Q80+R80,1))</f>
        <v>0.016</v>
      </c>
      <c r="T80" s="73">
        <f>IF(B80="",0,$S80*$K80)</f>
        <v>4.4824143112227256</v>
      </c>
      <c r="U80" s="73">
        <f>IF(B80="",0,IF(OR(H80=MappingTables!$C$34,H80=MappingTables!$C$35),T80,0))</f>
        <v>0</v>
      </c>
      <c r="V80" s="73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0.054776304963434752</v>
      </c>
      <c r="W80" s="73">
        <f>IF(B80="",0,+$T80*$V80)</f>
        <v>0.24553009328400032</v>
      </c>
      <c r="X80" s="85">
        <f>IF(B80="",0,IF(OR(H80=MappingTables!$C$34,H80=MappingTables!$C$35),W80,0))</f>
        <v>0</v>
      </c>
    </row>
    <row r="81" spans="2:24" s="0" customFormat="0" ht="15">
      <c r="B81" s="69" t="s">
        <v>3195</v>
      </c>
      <c r="C81" s="70" t="s">
        <v>3196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181</v>
      </c>
      <c r="J81" s="71">
        <f>IF(OR(I81=0,I81=""),"unrated",VLOOKUP(I81,MappingTables!$B$19:$C$31,2,FALSE))</f>
        <v>3</v>
      </c>
      <c r="K81" s="72">
        <v>31.611296470895652</v>
      </c>
      <c r="L81" s="70">
        <v>0.068495093851093144</v>
      </c>
      <c r="M81" s="71">
        <f>IF(L81&lt;1,1,L81)</f>
        <v>1</v>
      </c>
      <c r="N81" s="70" t="s">
        <v>3191</v>
      </c>
      <c r="O81" s="157">
        <f>INDEX(DurClassMapping,MATCH(M81,MappingTables!$D$4:$D$8,-1),1)</f>
        <v>1</v>
      </c>
      <c r="P81" s="157">
        <f>IF(M81=$A$1,1,$M81-INDEX(MappingTables!$E$4:$E$8,MATCH(O81,MappingTables!$B$4:$B$8,0)))</f>
        <v>1</v>
      </c>
      <c r="Q81" s="157">
        <f>IF(B81="",0,IF(OR(N81=MappingTables!$C$12,N81=MappingTables!$C$15),INDEX(ModelParameters!$D$134:$K$138,MATCH($O81,ModelParameters!$B$6:$B$10,0),MATCH($J81,ModelParameters!$D$5:$K$5,0)),IF(N81=MappingTables!$C$13,INDEX(ModelParameters!$D$150:$K$154,MATCH($O81,ModelParameters!$B$6:$B$10,0),MATCH($J81,ModelParameters!$D$5:$K$5,0)),0)))</f>
        <v>0.028</v>
      </c>
      <c r="R81" s="157">
        <f>IF(B81="",0,IF(OR(N81=MappingTables!$C$12,N81=MappingTables!$C$15),INDEX(ModelParameters!$D$141:$K$145,MATCH($O81,ModelParameters!$B$13:$B$17,0),MATCH($J81,ModelParameters!$D$5:$K$5,0)),IF(N81=MappingTables!$C$13,INDEX(ModelParameters!$D$157:$K$161,MATCH($O81,ModelParameters!$B$13:$B$17,0),MATCH($J81,ModelParameters!$D$5:$K$5,0)),0)))</f>
        <v>0</v>
      </c>
      <c r="S81" s="71">
        <f>IF(B81="",0,MIN(P81*Q81+R81,1))</f>
        <v>0.028</v>
      </c>
      <c r="T81" s="73">
        <f>IF(B81="",0,$S81*$K81)</f>
        <v>0.8851163011850784</v>
      </c>
      <c r="U81" s="73">
        <f>IF(B81="",0,IF(OR(H81=MappingTables!$C$34,H81=MappingTables!$C$35),T81,0))</f>
        <v>0</v>
      </c>
      <c r="V81" s="73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0.054776304963434752</v>
      </c>
      <c r="W81" s="73">
        <f>IF(B81="",0,+$T81*$V81)</f>
        <v>0.048483400441821216</v>
      </c>
      <c r="X81" s="85">
        <f>IF(B81="",0,IF(OR(H81=MappingTables!$C$34,H81=MappingTables!$C$35),W81,0))</f>
        <v>0</v>
      </c>
    </row>
    <row r="82" spans="2:24" s="0" customFormat="0" ht="15">
      <c r="B82" s="69" t="s">
        <v>3239</v>
      </c>
      <c r="C82" s="70" t="s">
        <v>3240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188</v>
      </c>
      <c r="J82" s="71">
        <f>IF(OR(I82=0,I82=""),"unrated",VLOOKUP(I82,MappingTables!$B$19:$C$31,2,FALSE))</f>
        <v>2</v>
      </c>
      <c r="K82" s="72">
        <v>228.63543851048664</v>
      </c>
      <c r="L82" s="70">
        <v>0.068493597479433264</v>
      </c>
      <c r="M82" s="71">
        <f>IF(L82&lt;1,1,L82)</f>
        <v>1</v>
      </c>
      <c r="N82" s="70" t="s">
        <v>3191</v>
      </c>
      <c r="O82" s="157">
        <f>INDEX(DurClassMapping,MATCH(M82,MappingTables!$D$4:$D$8,-1),1)</f>
        <v>1</v>
      </c>
      <c r="P82" s="157">
        <f>IF(M82=$A$1,1,$M82-INDEX(MappingTables!$E$4:$E$8,MATCH(O82,MappingTables!$B$4:$B$8,0)))</f>
        <v>1</v>
      </c>
      <c r="Q82" s="157">
        <f>IF(B82="",0,IF(OR(N82=MappingTables!$C$12,N82=MappingTables!$C$15),INDEX(ModelParameters!$D$134:$K$138,MATCH($O82,ModelParameters!$B$6:$B$10,0),MATCH($J82,ModelParameters!$D$5:$K$5,0)),IF(N82=MappingTables!$C$13,INDEX(ModelParameters!$D$150:$K$154,MATCH($O82,ModelParameters!$B$6:$B$10,0),MATCH($J82,ModelParameters!$D$5:$K$5,0)),0)))</f>
        <v>0.016</v>
      </c>
      <c r="R82" s="157">
        <f>IF(B82="",0,IF(OR(N82=MappingTables!$C$12,N82=MappingTables!$C$15),INDEX(ModelParameters!$D$141:$K$145,MATCH($O82,ModelParameters!$B$13:$B$17,0),MATCH($J82,ModelParameters!$D$5:$K$5,0)),IF(N82=MappingTables!$C$13,INDEX(ModelParameters!$D$157:$K$161,MATCH($O82,ModelParameters!$B$13:$B$17,0),MATCH($J82,ModelParameters!$D$5:$K$5,0)),0)))</f>
        <v>0</v>
      </c>
      <c r="S82" s="71">
        <f>IF(B82="",0,MIN(P82*Q82+R82,1))</f>
        <v>0.016</v>
      </c>
      <c r="T82" s="73">
        <f>IF(B82="",0,$S82*$K82)</f>
        <v>3.6581670161677864</v>
      </c>
      <c r="U82" s="73">
        <f>IF(B82="",0,IF(OR(H82=MappingTables!$C$34,H82=MappingTables!$C$35),T82,0))</f>
        <v>0</v>
      </c>
      <c r="V82" s="73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0.054776304963434752</v>
      </c>
      <c r="W82" s="73">
        <f>IF(B82="",0,+$T82*$V82)</f>
        <v>0.20038087208478484</v>
      </c>
      <c r="X82" s="85">
        <f>IF(B82="",0,IF(OR(H82=MappingTables!$C$34,H82=MappingTables!$C$35),W82,0))</f>
        <v>0</v>
      </c>
    </row>
    <row r="83" spans="2:24" s="0" customFormat="0" ht="15">
      <c r="B83" s="69" t="s">
        <v>3262</v>
      </c>
      <c r="C83" s="70" t="s">
        <v>3263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216</v>
      </c>
      <c r="J83" s="71">
        <f>IF(OR(I83=0,I83=""),"unrated",VLOOKUP(I83,MappingTables!$B$19:$C$31,2,FALSE))</f>
        <v>0</v>
      </c>
      <c r="K83" s="72">
        <v>33.191125077670988</v>
      </c>
      <c r="L83" s="70">
        <v>0.068495352596292608</v>
      </c>
      <c r="M83" s="71">
        <f>IF(L83&lt;1,1,L83)</f>
        <v>1</v>
      </c>
      <c r="N83" s="70" t="s">
        <v>3191</v>
      </c>
      <c r="O83" s="157">
        <f>INDEX(DurClassMapping,MATCH(M83,MappingTables!$D$4:$D$8,-1),1)</f>
        <v>1</v>
      </c>
      <c r="P83" s="157">
        <f>IF(M83=$A$1,1,$M83-INDEX(MappingTables!$E$4:$E$8,MATCH(O83,MappingTables!$B$4:$B$8,0)))</f>
        <v>1</v>
      </c>
      <c r="Q83" s="157">
        <f>IF(B83="",0,IF(OR(N83=MappingTables!$C$12,N83=MappingTables!$C$15),INDEX(ModelParameters!$D$134:$K$138,MATCH($O83,ModelParameters!$B$6:$B$10,0),MATCH($J83,ModelParameters!$D$5:$K$5,0)),IF(N83=MappingTables!$C$13,INDEX(ModelParameters!$D$150:$K$154,MATCH($O83,ModelParameters!$B$6:$B$10,0),MATCH($J83,ModelParameters!$D$5:$K$5,0)),0)))</f>
        <v>0.01</v>
      </c>
      <c r="R83" s="157">
        <f>IF(B83="",0,IF(OR(N83=MappingTables!$C$12,N83=MappingTables!$C$15),INDEX(ModelParameters!$D$141:$K$145,MATCH($O83,ModelParameters!$B$13:$B$17,0),MATCH($J83,ModelParameters!$D$5:$K$5,0)),IF(N83=MappingTables!$C$13,INDEX(ModelParameters!$D$157:$K$161,MATCH($O83,ModelParameters!$B$13:$B$17,0),MATCH($J83,ModelParameters!$D$5:$K$5,0)),0)))</f>
        <v>0</v>
      </c>
      <c r="S83" s="71">
        <f>IF(B83="",0,MIN(P83*Q83+R83,1))</f>
        <v>0.01</v>
      </c>
      <c r="T83" s="73">
        <f>IF(B83="",0,$S83*$K83)</f>
        <v>0.33191125077670992</v>
      </c>
      <c r="U83" s="73">
        <f>IF(B83="",0,IF(OR(H83=MappingTables!$C$34,H83=MappingTables!$C$35),T83,0))</f>
        <v>0</v>
      </c>
      <c r="V83" s="73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0.054776304963434752</v>
      </c>
      <c r="W83" s="73">
        <f>IF(B83="",0,+$T83*$V83)</f>
        <v>0.018180871893340132</v>
      </c>
      <c r="X83" s="85">
        <f>IF(B83="",0,IF(OR(H83=MappingTables!$C$34,H83=MappingTables!$C$35),W83,0))</f>
        <v>0</v>
      </c>
    </row>
    <row r="84" spans="2:24" s="0" customFormat="0" ht="15">
      <c r="B84" s="69" t="s">
        <v>3242</v>
      </c>
      <c r="C84" s="70" t="s">
        <v>3243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216</v>
      </c>
      <c r="J84" s="71">
        <f>IF(OR(I84=0,I84=""),"unrated",VLOOKUP(I84,MappingTables!$B$19:$C$31,2,FALSE))</f>
        <v>0</v>
      </c>
      <c r="K84" s="72">
        <v>39.752462607384504</v>
      </c>
      <c r="L84" s="70">
        <v>0.041125807946717192</v>
      </c>
      <c r="M84" s="71">
        <f>IF(L84&lt;1,1,L84)</f>
        <v>1</v>
      </c>
      <c r="N84" s="70" t="s">
        <v>3191</v>
      </c>
      <c r="O84" s="157">
        <f>INDEX(DurClassMapping,MATCH(M84,MappingTables!$D$4:$D$8,-1),1)</f>
        <v>1</v>
      </c>
      <c r="P84" s="157">
        <f>IF(M84=$A$1,1,$M84-INDEX(MappingTables!$E$4:$E$8,MATCH(O84,MappingTables!$B$4:$B$8,0)))</f>
        <v>1</v>
      </c>
      <c r="Q84" s="157">
        <f>IF(B84="",0,IF(OR(N84=MappingTables!$C$12,N84=MappingTables!$C$15),INDEX(ModelParameters!$D$134:$K$138,MATCH($O84,ModelParameters!$B$6:$B$10,0),MATCH($J84,ModelParameters!$D$5:$K$5,0)),IF(N84=MappingTables!$C$13,INDEX(ModelParameters!$D$150:$K$154,MATCH($O84,ModelParameters!$B$6:$B$10,0),MATCH($J84,ModelParameters!$D$5:$K$5,0)),0)))</f>
        <v>0.01</v>
      </c>
      <c r="R84" s="157">
        <f>IF(B84="",0,IF(OR(N84=MappingTables!$C$12,N84=MappingTables!$C$15),INDEX(ModelParameters!$D$141:$K$145,MATCH($O84,ModelParameters!$B$13:$B$17,0),MATCH($J84,ModelParameters!$D$5:$K$5,0)),IF(N84=MappingTables!$C$13,INDEX(ModelParameters!$D$157:$K$161,MATCH($O84,ModelParameters!$B$13:$B$17,0),MATCH($J84,ModelParameters!$D$5:$K$5,0)),0)))</f>
        <v>0</v>
      </c>
      <c r="S84" s="71">
        <f>IF(B84="",0,MIN(P84*Q84+R84,1))</f>
        <v>0.01</v>
      </c>
      <c r="T84" s="73">
        <f>IF(B84="",0,$S84*$K84)</f>
        <v>0.39752462607384504</v>
      </c>
      <c r="U84" s="73">
        <f>IF(B84="",0,IF(OR(H84=MappingTables!$C$34,H84=MappingTables!$C$35),T84,0))</f>
        <v>0</v>
      </c>
      <c r="V84" s="73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0.054776304963434752</v>
      </c>
      <c r="W84" s="73">
        <f>IF(B84="",0,+$T84*$V84)</f>
        <v>0.021774930148296304</v>
      </c>
      <c r="X84" s="85">
        <f>IF(B84="",0,IF(OR(H84=MappingTables!$C$34,H84=MappingTables!$C$35),W84,0))</f>
        <v>0</v>
      </c>
    </row>
    <row r="85" spans="2:24" s="0" customFormat="0" ht="15">
      <c r="B85" s="69">
        <v>22554345</v>
      </c>
      <c r="C85" s="70" t="s">
        <v>3193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216</v>
      </c>
      <c r="J85" s="71">
        <f>IF(OR(I85=0,I85=""),"unrated",VLOOKUP(I85,MappingTables!$B$19:$C$31,2,FALSE))</f>
        <v>0</v>
      </c>
      <c r="K85" s="72">
        <v>30.132607004857576</v>
      </c>
      <c r="L85" s="70">
        <v>0.06941930204246852</v>
      </c>
      <c r="M85" s="71">
        <f>IF(L85&lt;1,1,L85)</f>
        <v>1</v>
      </c>
      <c r="N85" s="70" t="s">
        <v>3191</v>
      </c>
      <c r="O85" s="157">
        <f>INDEX(DurClassMapping,MATCH(M85,MappingTables!$D$4:$D$8,-1),1)</f>
        <v>1</v>
      </c>
      <c r="P85" s="157">
        <f>IF(M85=$A$1,1,$M85-INDEX(MappingTables!$E$4:$E$8,MATCH(O85,MappingTables!$B$4:$B$8,0)))</f>
        <v>1</v>
      </c>
      <c r="Q85" s="157">
        <f>IF(B85="",0,IF(OR(N85=MappingTables!$C$12,N85=MappingTables!$C$15),INDEX(ModelParameters!$D$134:$K$138,MATCH($O85,ModelParameters!$B$6:$B$10,0),MATCH($J85,ModelParameters!$D$5:$K$5,0)),IF(N85=MappingTables!$C$13,INDEX(ModelParameters!$D$150:$K$154,MATCH($O85,ModelParameters!$B$6:$B$10,0),MATCH($J85,ModelParameters!$D$5:$K$5,0)),0)))</f>
        <v>0.01</v>
      </c>
      <c r="R85" s="157">
        <f>IF(B85="",0,IF(OR(N85=MappingTables!$C$12,N85=MappingTables!$C$15),INDEX(ModelParameters!$D$141:$K$145,MATCH($O85,ModelParameters!$B$13:$B$17,0),MATCH($J85,ModelParameters!$D$5:$K$5,0)),IF(N85=MappingTables!$C$13,INDEX(ModelParameters!$D$157:$K$161,MATCH($O85,ModelParameters!$B$13:$B$17,0),MATCH($J85,ModelParameters!$D$5:$K$5,0)),0)))</f>
        <v>0</v>
      </c>
      <c r="S85" s="71">
        <f>IF(B85="",0,MIN(P85*Q85+R85,1))</f>
        <v>0.01</v>
      </c>
      <c r="T85" s="73">
        <f>IF(B85="",0,$S85*$K85)</f>
        <v>0.30132607004857576</v>
      </c>
      <c r="U85" s="73">
        <f>IF(B85="",0,IF(OR(H85=MappingTables!$C$34,H85=MappingTables!$C$35),T85,0))</f>
        <v>0</v>
      </c>
      <c r="V85" s="73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0.054776304963434752</v>
      </c>
      <c r="W85" s="73">
        <f>IF(B85="",0,+$T85*$V85)</f>
        <v>0.016505528706414088</v>
      </c>
      <c r="X85" s="85">
        <f>IF(B85="",0,IF(OR(H85=MappingTables!$C$34,H85=MappingTables!$C$35),W85,0))</f>
        <v>0</v>
      </c>
    </row>
    <row r="86" spans="2:24" s="0" customFormat="0" ht="15">
      <c r="B86" s="69">
        <v>12488134</v>
      </c>
      <c r="C86" s="70" t="s">
        <v>3274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216</v>
      </c>
      <c r="J86" s="71">
        <f>IF(OR(I86=0,I86=""),"unrated",VLOOKUP(I86,MappingTables!$B$19:$C$31,2,FALSE))</f>
        <v>0</v>
      </c>
      <c r="K86" s="72">
        <v>461.03076024213208</v>
      </c>
      <c r="L86" s="70">
        <v>0.064203663545365688</v>
      </c>
      <c r="M86" s="71">
        <f>IF(L86&lt;1,1,L86)</f>
        <v>1</v>
      </c>
      <c r="N86" s="70" t="s">
        <v>3191</v>
      </c>
      <c r="O86" s="157">
        <f>INDEX(DurClassMapping,MATCH(M86,MappingTables!$D$4:$D$8,-1),1)</f>
        <v>1</v>
      </c>
      <c r="P86" s="157">
        <f>IF(M86=$A$1,1,$M86-INDEX(MappingTables!$E$4:$E$8,MATCH(O86,MappingTables!$B$4:$B$8,0)))</f>
        <v>1</v>
      </c>
      <c r="Q86" s="157">
        <f>IF(B86="",0,IF(OR(N86=MappingTables!$C$12,N86=MappingTables!$C$15),INDEX(ModelParameters!$D$134:$K$138,MATCH($O86,ModelParameters!$B$6:$B$10,0),MATCH($J86,ModelParameters!$D$5:$K$5,0)),IF(N86=MappingTables!$C$13,INDEX(ModelParameters!$D$150:$K$154,MATCH($O86,ModelParameters!$B$6:$B$10,0),MATCH($J86,ModelParameters!$D$5:$K$5,0)),0)))</f>
        <v>0.01</v>
      </c>
      <c r="R86" s="157">
        <f>IF(B86="",0,IF(OR(N86=MappingTables!$C$12,N86=MappingTables!$C$15),INDEX(ModelParameters!$D$141:$K$145,MATCH($O86,ModelParameters!$B$13:$B$17,0),MATCH($J86,ModelParameters!$D$5:$K$5,0)),IF(N86=MappingTables!$C$13,INDEX(ModelParameters!$D$157:$K$161,MATCH($O86,ModelParameters!$B$13:$B$17,0),MATCH($J86,ModelParameters!$D$5:$K$5,0)),0)))</f>
        <v>0</v>
      </c>
      <c r="S86" s="71">
        <f>IF(B86="",0,MIN(P86*Q86+R86,1))</f>
        <v>0.01</v>
      </c>
      <c r="T86" s="73">
        <f>IF(B86="",0,$S86*$K86)</f>
        <v>4.6103076024213216</v>
      </c>
      <c r="U86" s="73">
        <f>IF(B86="",0,IF(OR(H86=MappingTables!$C$34,H86=MappingTables!$C$35),T86,0))</f>
        <v>0</v>
      </c>
      <c r="V86" s="73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0.054776304963434752</v>
      </c>
      <c r="W86" s="73">
        <f>IF(B86="",0,+$T86*$V86)</f>
        <v>0.252535615205472</v>
      </c>
      <c r="X86" s="85">
        <f>IF(B86="",0,IF(OR(H86=MappingTables!$C$34,H86=MappingTables!$C$35),W86,0))</f>
        <v>0</v>
      </c>
    </row>
    <row r="87" spans="2:24" s="0" customFormat="0" ht="15">
      <c r="B87" s="69" t="s">
        <v>3258</v>
      </c>
      <c r="C87" s="70" t="s">
        <v>3259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181</v>
      </c>
      <c r="J87" s="71">
        <f>IF(OR(I87=0,I87=""),"unrated",VLOOKUP(I87,MappingTables!$B$19:$C$31,2,FALSE))</f>
        <v>3</v>
      </c>
      <c r="K87" s="72">
        <v>74.129322937310592</v>
      </c>
      <c r="L87" s="70">
        <v>0.06849469055070996</v>
      </c>
      <c r="M87" s="71">
        <f>IF(L87&lt;1,1,L87)</f>
        <v>1</v>
      </c>
      <c r="N87" s="70" t="s">
        <v>3191</v>
      </c>
      <c r="O87" s="157">
        <f>INDEX(DurClassMapping,MATCH(M87,MappingTables!$D$4:$D$8,-1),1)</f>
        <v>1</v>
      </c>
      <c r="P87" s="157">
        <f>IF(M87=$A$1,1,$M87-INDEX(MappingTables!$E$4:$E$8,MATCH(O87,MappingTables!$B$4:$B$8,0)))</f>
        <v>1</v>
      </c>
      <c r="Q87" s="157">
        <f>IF(B87="",0,IF(OR(N87=MappingTables!$C$12,N87=MappingTables!$C$15),INDEX(ModelParameters!$D$134:$K$138,MATCH($O87,ModelParameters!$B$6:$B$10,0),MATCH($J87,ModelParameters!$D$5:$K$5,0)),IF(N87=MappingTables!$C$13,INDEX(ModelParameters!$D$150:$K$154,MATCH($O87,ModelParameters!$B$6:$B$10,0),MATCH($J87,ModelParameters!$D$5:$K$5,0)),0)))</f>
        <v>0.028</v>
      </c>
      <c r="R87" s="157">
        <f>IF(B87="",0,IF(OR(N87=MappingTables!$C$12,N87=MappingTables!$C$15),INDEX(ModelParameters!$D$141:$K$145,MATCH($O87,ModelParameters!$B$13:$B$17,0),MATCH($J87,ModelParameters!$D$5:$K$5,0)),IF(N87=MappingTables!$C$13,INDEX(ModelParameters!$D$157:$K$161,MATCH($O87,ModelParameters!$B$13:$B$17,0),MATCH($J87,ModelParameters!$D$5:$K$5,0)),0)))</f>
        <v>0</v>
      </c>
      <c r="S87" s="71">
        <f>IF(B87="",0,MIN(P87*Q87+R87,1))</f>
        <v>0.028</v>
      </c>
      <c r="T87" s="73">
        <f>IF(B87="",0,$S87*$K87)</f>
        <v>2.0756210422446964</v>
      </c>
      <c r="U87" s="73">
        <f>IF(B87="",0,IF(OR(H87=MappingTables!$C$34,H87=MappingTables!$C$35),T87,0))</f>
        <v>0</v>
      </c>
      <c r="V87" s="73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0.054776304963434752</v>
      </c>
      <c r="W87" s="73">
        <f>IF(B87="",0,+$T87*$V87)</f>
        <v>0.11369485119851778</v>
      </c>
      <c r="X87" s="85">
        <f>IF(B87="",0,IF(OR(H87=MappingTables!$C$34,H87=MappingTables!$C$35),W87,0))</f>
        <v>0</v>
      </c>
    </row>
    <row r="88" spans="2:24" s="0" customFormat="0" ht="15">
      <c r="B88" s="69" t="s">
        <v>3198</v>
      </c>
      <c r="C88" s="70" t="s">
        <v>3199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188</v>
      </c>
      <c r="J88" s="71">
        <f>IF(OR(I88=0,I88=""),"unrated",VLOOKUP(I88,MappingTables!$B$19:$C$31,2,FALSE))</f>
        <v>2</v>
      </c>
      <c r="K88" s="72">
        <v>26.918888334578876</v>
      </c>
      <c r="L88" s="70">
        <v>0.068495261311073936</v>
      </c>
      <c r="M88" s="71">
        <f>IF(L88&lt;1,1,L88)</f>
        <v>1</v>
      </c>
      <c r="N88" s="70" t="s">
        <v>3191</v>
      </c>
      <c r="O88" s="157">
        <f>INDEX(DurClassMapping,MATCH(M88,MappingTables!$D$4:$D$8,-1),1)</f>
        <v>1</v>
      </c>
      <c r="P88" s="157">
        <f>IF(M88=$A$1,1,$M88-INDEX(MappingTables!$E$4:$E$8,MATCH(O88,MappingTables!$B$4:$B$8,0)))</f>
        <v>1</v>
      </c>
      <c r="Q88" s="157">
        <f>IF(B88="",0,IF(OR(N88=MappingTables!$C$12,N88=MappingTables!$C$15),INDEX(ModelParameters!$D$134:$K$138,MATCH($O88,ModelParameters!$B$6:$B$10,0),MATCH($J88,ModelParameters!$D$5:$K$5,0)),IF(N88=MappingTables!$C$13,INDEX(ModelParameters!$D$150:$K$154,MATCH($O88,ModelParameters!$B$6:$B$10,0),MATCH($J88,ModelParameters!$D$5:$K$5,0)),0)))</f>
        <v>0.016</v>
      </c>
      <c r="R88" s="157">
        <f>IF(B88="",0,IF(OR(N88=MappingTables!$C$12,N88=MappingTables!$C$15),INDEX(ModelParameters!$D$141:$K$145,MATCH($O88,ModelParameters!$B$13:$B$17,0),MATCH($J88,ModelParameters!$D$5:$K$5,0)),IF(N88=MappingTables!$C$13,INDEX(ModelParameters!$D$157:$K$161,MATCH($O88,ModelParameters!$B$13:$B$17,0),MATCH($J88,ModelParameters!$D$5:$K$5,0)),0)))</f>
        <v>0</v>
      </c>
      <c r="S88" s="71">
        <f>IF(B88="",0,MIN(P88*Q88+R88,1))</f>
        <v>0.016</v>
      </c>
      <c r="T88" s="73">
        <f>IF(B88="",0,$S88*$K88)</f>
        <v>0.430702213353262</v>
      </c>
      <c r="U88" s="73">
        <f>IF(B88="",0,IF(OR(H88=MappingTables!$C$34,H88=MappingTables!$C$35),T88,0))</f>
        <v>0</v>
      </c>
      <c r="V88" s="73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0.054776304963434752</v>
      </c>
      <c r="W88" s="73">
        <f>IF(B88="",0,+$T88*$V88)</f>
        <v>0.02359227578706462</v>
      </c>
      <c r="X88" s="85">
        <f>IF(B88="",0,IF(OR(H88=MappingTables!$C$34,H88=MappingTables!$C$35),W88,0))</f>
        <v>0</v>
      </c>
    </row>
    <row r="89" spans="2:24" s="0" customFormat="0" ht="15">
      <c r="B89" s="69">
        <v>4172301</v>
      </c>
      <c r="C89" s="70" t="s">
        <v>3251</v>
      </c>
      <c r="D89" s="70" t="s">
        <v>1</v>
      </c>
      <c r="E89" s="70" t="s">
        <v>1</v>
      </c>
      <c r="F89" s="70"/>
      <c r="G89" s="70" t="s">
        <v>61</v>
      </c>
      <c r="H89" s="70" t="s">
        <v>178</v>
      </c>
      <c r="I89" s="70" t="s">
        <v>181</v>
      </c>
      <c r="J89" s="71">
        <f>IF(OR(I89=0,I89=""),"unrated",VLOOKUP(I89,MappingTables!$B$19:$C$31,2,FALSE))</f>
        <v>3</v>
      </c>
      <c r="K89" s="72">
        <v>406.13451369767432</v>
      </c>
      <c r="L89" s="70">
        <v>0.068493327508936096</v>
      </c>
      <c r="M89" s="71">
        <f>IF(L89&lt;1,1,L89)</f>
        <v>1</v>
      </c>
      <c r="N89" s="70" t="s">
        <v>3191</v>
      </c>
      <c r="O89" s="157">
        <f>INDEX(DurClassMapping,MATCH(M89,MappingTables!$D$4:$D$8,-1),1)</f>
        <v>1</v>
      </c>
      <c r="P89" s="157">
        <f>IF(M89=$A$1,1,$M89-INDEX(MappingTables!$E$4:$E$8,MATCH(O89,MappingTables!$B$4:$B$8,0)))</f>
        <v>1</v>
      </c>
      <c r="Q89" s="157">
        <f>IF(B89="",0,IF(OR(N89=MappingTables!$C$12,N89=MappingTables!$C$15),INDEX(ModelParameters!$D$134:$K$138,MATCH($O89,ModelParameters!$B$6:$B$10,0),MATCH($J89,ModelParameters!$D$5:$K$5,0)),IF(N89=MappingTables!$C$13,INDEX(ModelParameters!$D$150:$K$154,MATCH($O89,ModelParameters!$B$6:$B$10,0),MATCH($J89,ModelParameters!$D$5:$K$5,0)),0)))</f>
        <v>0.028</v>
      </c>
      <c r="R89" s="157">
        <f>IF(B89="",0,IF(OR(N89=MappingTables!$C$12,N89=MappingTables!$C$15),INDEX(ModelParameters!$D$141:$K$145,MATCH($O89,ModelParameters!$B$13:$B$17,0),MATCH($J89,ModelParameters!$D$5:$K$5,0)),IF(N89=MappingTables!$C$13,INDEX(ModelParameters!$D$157:$K$161,MATCH($O89,ModelParameters!$B$13:$B$17,0),MATCH($J89,ModelParameters!$D$5:$K$5,0)),0)))</f>
        <v>0</v>
      </c>
      <c r="S89" s="71">
        <f>IF(B89="",0,MIN(P89*Q89+R89,1))</f>
        <v>0.028</v>
      </c>
      <c r="T89" s="73">
        <f>IF(B89="",0,$S89*$K89)</f>
        <v>11.371766383534882</v>
      </c>
      <c r="U89" s="73">
        <f>IF(B89="",0,IF(OR(H89=MappingTables!$C$34,H89=MappingTables!$C$35),T89,0))</f>
        <v>0</v>
      </c>
      <c r="V89" s="73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0.054776304963434752</v>
      </c>
      <c r="W89" s="73">
        <f>IF(B89="",0,+$T89*$V89)</f>
        <v>0.62290334339744224</v>
      </c>
      <c r="X89" s="85">
        <f>IF(B89="",0,IF(OR(H89=MappingTables!$C$34,H89=MappingTables!$C$35),W89,0))</f>
        <v>0</v>
      </c>
    </row>
    <row r="90" spans="2:24" s="0" customFormat="0" ht="15">
      <c r="B90" s="69">
        <v>15341920</v>
      </c>
      <c r="C90" s="70" t="s">
        <v>3275</v>
      </c>
      <c r="D90" s="70" t="s">
        <v>1</v>
      </c>
      <c r="E90" s="70" t="s">
        <v>1</v>
      </c>
      <c r="F90" s="70"/>
      <c r="G90" s="70" t="s">
        <v>61</v>
      </c>
      <c r="H90" s="70" t="s">
        <v>178</v>
      </c>
      <c r="I90" s="70" t="s">
        <v>216</v>
      </c>
      <c r="J90" s="71">
        <f>IF(OR(I90=0,I90=""),"unrated",VLOOKUP(I90,MappingTables!$B$19:$C$31,2,FALSE))</f>
        <v>0</v>
      </c>
      <c r="K90" s="72">
        <v>1348.377182960191</v>
      </c>
      <c r="L90" s="70">
        <v>3.8605017045740192</v>
      </c>
      <c r="M90" s="71">
        <f>IF(L90&lt;1,1,L90)</f>
        <v>3.8605017045740192</v>
      </c>
      <c r="N90" s="70" t="s">
        <v>3191</v>
      </c>
      <c r="O90" s="157">
        <f>INDEX(DurClassMapping,MATCH(M90,MappingTables!$D$4:$D$8,-1),1)</f>
        <v>1</v>
      </c>
      <c r="P90" s="157">
        <f>IF(M90=$A$1,1,$M90-INDEX(MappingTables!$E$4:$E$8,MATCH(O90,MappingTables!$B$4:$B$8,0)))</f>
        <v>3.8605017045740192</v>
      </c>
      <c r="Q90" s="157">
        <f>IF(B90="",0,IF(OR(N90=MappingTables!$C$12,N90=MappingTables!$C$15),INDEX(ModelParameters!$D$134:$K$138,MATCH($O90,ModelParameters!$B$6:$B$10,0),MATCH($J90,ModelParameters!$D$5:$K$5,0)),IF(N90=MappingTables!$C$13,INDEX(ModelParameters!$D$150:$K$154,MATCH($O90,ModelParameters!$B$6:$B$10,0),MATCH($J90,ModelParameters!$D$5:$K$5,0)),0)))</f>
        <v>0.01</v>
      </c>
      <c r="R90" s="157">
        <f>IF(B90="",0,IF(OR(N90=MappingTables!$C$12,N90=MappingTables!$C$15),INDEX(ModelParameters!$D$141:$K$145,MATCH($O90,ModelParameters!$B$13:$B$17,0),MATCH($J90,ModelParameters!$D$5:$K$5,0)),IF(N90=MappingTables!$C$13,INDEX(ModelParameters!$D$157:$K$161,MATCH($O90,ModelParameters!$B$13:$B$17,0),MATCH($J90,ModelParameters!$D$5:$K$5,0)),0)))</f>
        <v>0</v>
      </c>
      <c r="S90" s="71">
        <f>IF(B90="",0,MIN(P90*Q90+R90,1))</f>
        <v>0.038605017045740192</v>
      </c>
      <c r="T90" s="73">
        <f>IF(B90="",0,$S90*$K90)</f>
        <v>52.05412413226532</v>
      </c>
      <c r="U90" s="73">
        <f>IF(B90="",0,IF(OR(H90=MappingTables!$C$34,H90=MappingTables!$C$35),T90,0))</f>
        <v>0</v>
      </c>
      <c r="V90" s="73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0.054776304963434752</v>
      </c>
      <c r="W90" s="73">
        <f>IF(B90="",0,+$T90*$V90)</f>
        <v>2.8513325780734536</v>
      </c>
      <c r="X90" s="85">
        <f>IF(B90="",0,IF(OR(H90=MappingTables!$C$34,H90=MappingTables!$C$35),W90,0))</f>
        <v>0</v>
      </c>
    </row>
    <row r="91" spans="2:24" s="0" customFormat="0" ht="15">
      <c r="B91" s="69" t="s">
        <v>3237</v>
      </c>
      <c r="C91" s="70" t="s">
        <v>3238</v>
      </c>
      <c r="D91" s="70" t="s">
        <v>1</v>
      </c>
      <c r="E91" s="70" t="s">
        <v>1</v>
      </c>
      <c r="F91" s="70"/>
      <c r="G91" s="70" t="s">
        <v>61</v>
      </c>
      <c r="H91" s="70" t="s">
        <v>178</v>
      </c>
      <c r="I91" s="70" t="s">
        <v>188</v>
      </c>
      <c r="J91" s="71">
        <f>IF(OR(I91=0,I91=""),"unrated",VLOOKUP(I91,MappingTables!$B$19:$C$31,2,FALSE))</f>
        <v>2</v>
      </c>
      <c r="K91" s="72">
        <v>50.151876692467384</v>
      </c>
      <c r="L91" s="70">
        <v>0.07017091418911872</v>
      </c>
      <c r="M91" s="71">
        <f>IF(L91&lt;1,1,L91)</f>
        <v>1</v>
      </c>
      <c r="N91" s="70" t="s">
        <v>3191</v>
      </c>
      <c r="O91" s="157">
        <f>INDEX(DurClassMapping,MATCH(M91,MappingTables!$D$4:$D$8,-1),1)</f>
        <v>1</v>
      </c>
      <c r="P91" s="157">
        <f>IF(M91=$A$1,1,$M91-INDEX(MappingTables!$E$4:$E$8,MATCH(O91,MappingTables!$B$4:$B$8,0)))</f>
        <v>1</v>
      </c>
      <c r="Q91" s="157">
        <f>IF(B91="",0,IF(OR(N91=MappingTables!$C$12,N91=MappingTables!$C$15),INDEX(ModelParameters!$D$134:$K$138,MATCH($O91,ModelParameters!$B$6:$B$10,0),MATCH($J91,ModelParameters!$D$5:$K$5,0)),IF(N91=MappingTables!$C$13,INDEX(ModelParameters!$D$150:$K$154,MATCH($O91,ModelParameters!$B$6:$B$10,0),MATCH($J91,ModelParameters!$D$5:$K$5,0)),0)))</f>
        <v>0.016</v>
      </c>
      <c r="R91" s="157">
        <f>IF(B91="",0,IF(OR(N91=MappingTables!$C$12,N91=MappingTables!$C$15),INDEX(ModelParameters!$D$141:$K$145,MATCH($O91,ModelParameters!$B$13:$B$17,0),MATCH($J91,ModelParameters!$D$5:$K$5,0)),IF(N91=MappingTables!$C$13,INDEX(ModelParameters!$D$157:$K$161,MATCH($O91,ModelParameters!$B$13:$B$17,0),MATCH($J91,ModelParameters!$D$5:$K$5,0)),0)))</f>
        <v>0</v>
      </c>
      <c r="S91" s="71">
        <f>IF(B91="",0,MIN(P91*Q91+R91,1))</f>
        <v>0.016</v>
      </c>
      <c r="T91" s="73">
        <f>IF(B91="",0,$S91*$K91)</f>
        <v>0.80243002707947824</v>
      </c>
      <c r="U91" s="73">
        <f>IF(B91="",0,IF(OR(H91=MappingTables!$C$34,H91=MappingTables!$C$35),T91,0))</f>
        <v>0</v>
      </c>
      <c r="V91" s="73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0.054776304963434752</v>
      </c>
      <c r="W91" s="73">
        <f>IF(B91="",0,+$T91*$V91)</f>
        <v>0.043954151875122704</v>
      </c>
      <c r="X91" s="85">
        <f>IF(B91="",0,IF(OR(H91=MappingTables!$C$34,H91=MappingTables!$C$35),W91,0))</f>
        <v>0</v>
      </c>
    </row>
    <row r="92" spans="2:24" s="0" customFormat="0" ht="15">
      <c r="B92" s="69" t="s">
        <v>3216</v>
      </c>
      <c r="C92" s="70" t="s">
        <v>3217</v>
      </c>
      <c r="D92" s="70" t="s">
        <v>1</v>
      </c>
      <c r="E92" s="70" t="s">
        <v>1</v>
      </c>
      <c r="F92" s="70"/>
      <c r="G92" s="70" t="s">
        <v>61</v>
      </c>
      <c r="H92" s="70" t="s">
        <v>178</v>
      </c>
      <c r="I92" s="70" t="s">
        <v>188</v>
      </c>
      <c r="J92" s="71">
        <f>IF(OR(I92=0,I92=""),"unrated",VLOOKUP(I92,MappingTables!$B$19:$C$31,2,FALSE))</f>
        <v>2</v>
      </c>
      <c r="K92" s="72">
        <v>243.48597228812148</v>
      </c>
      <c r="L92" s="70">
        <v>0.068490127481591208</v>
      </c>
      <c r="M92" s="71">
        <f>IF(L92&lt;1,1,L92)</f>
        <v>1</v>
      </c>
      <c r="N92" s="70" t="s">
        <v>3191</v>
      </c>
      <c r="O92" s="157">
        <f>INDEX(DurClassMapping,MATCH(M92,MappingTables!$D$4:$D$8,-1),1)</f>
        <v>1</v>
      </c>
      <c r="P92" s="157">
        <f>IF(M92=$A$1,1,$M92-INDEX(MappingTables!$E$4:$E$8,MATCH(O92,MappingTables!$B$4:$B$8,0)))</f>
        <v>1</v>
      </c>
      <c r="Q92" s="157">
        <f>IF(B92="",0,IF(OR(N92=MappingTables!$C$12,N92=MappingTables!$C$15),INDEX(ModelParameters!$D$134:$K$138,MATCH($O92,ModelParameters!$B$6:$B$10,0),MATCH($J92,ModelParameters!$D$5:$K$5,0)),IF(N92=MappingTables!$C$13,INDEX(ModelParameters!$D$150:$K$154,MATCH($O92,ModelParameters!$B$6:$B$10,0),MATCH($J92,ModelParameters!$D$5:$K$5,0)),0)))</f>
        <v>0.016</v>
      </c>
      <c r="R92" s="157">
        <f>IF(B92="",0,IF(OR(N92=MappingTables!$C$12,N92=MappingTables!$C$15),INDEX(ModelParameters!$D$141:$K$145,MATCH($O92,ModelParameters!$B$13:$B$17,0),MATCH($J92,ModelParameters!$D$5:$K$5,0)),IF(N92=MappingTables!$C$13,INDEX(ModelParameters!$D$157:$K$161,MATCH($O92,ModelParameters!$B$13:$B$17,0),MATCH($J92,ModelParameters!$D$5:$K$5,0)),0)))</f>
        <v>0</v>
      </c>
      <c r="S92" s="71">
        <f>IF(B92="",0,MIN(P92*Q92+R92,1))</f>
        <v>0.016</v>
      </c>
      <c r="T92" s="73">
        <f>IF(B92="",0,$S92*$K92)</f>
        <v>3.8957755566099432</v>
      </c>
      <c r="U92" s="73">
        <f>IF(B92="",0,IF(OR(H92=MappingTables!$C$34,H92=MappingTables!$C$35),T92,0))</f>
        <v>0</v>
      </c>
      <c r="V92" s="73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0.054776304963434752</v>
      </c>
      <c r="W92" s="73">
        <f>IF(B92="",0,+$T92*$V92)</f>
        <v>0.21339618995796104</v>
      </c>
      <c r="X92" s="85">
        <f>IF(B92="",0,IF(OR(H92=MappingTables!$C$34,H92=MappingTables!$C$35),W92,0))</f>
        <v>0</v>
      </c>
    </row>
    <row r="93" spans="2:24" s="0" customFormat="0" ht="15">
      <c r="B93" s="69">
        <v>14071393</v>
      </c>
      <c r="C93" s="70" t="s">
        <v>3260</v>
      </c>
      <c r="D93" s="70" t="s">
        <v>1</v>
      </c>
      <c r="E93" s="70" t="s">
        <v>1</v>
      </c>
      <c r="F93" s="70"/>
      <c r="G93" s="70" t="s">
        <v>61</v>
      </c>
      <c r="H93" s="70" t="s">
        <v>178</v>
      </c>
      <c r="I93" s="70" t="s">
        <v>181</v>
      </c>
      <c r="J93" s="71">
        <f>IF(OR(I93=0,I93=""),"unrated",VLOOKUP(I93,MappingTables!$B$19:$C$31,2,FALSE))</f>
        <v>3</v>
      </c>
      <c r="K93" s="72">
        <v>6760.909206435788</v>
      </c>
      <c r="L93" s="70">
        <v>0.076372693091264352</v>
      </c>
      <c r="M93" s="71">
        <f>IF(L93&lt;1,1,L93)</f>
        <v>1</v>
      </c>
      <c r="N93" s="70" t="s">
        <v>3191</v>
      </c>
      <c r="O93" s="157">
        <f>INDEX(DurClassMapping,MATCH(M93,MappingTables!$D$4:$D$8,-1),1)</f>
        <v>1</v>
      </c>
      <c r="P93" s="157">
        <f>IF(M93=$A$1,1,$M93-INDEX(MappingTables!$E$4:$E$8,MATCH(O93,MappingTables!$B$4:$B$8,0)))</f>
        <v>1</v>
      </c>
      <c r="Q93" s="157">
        <f>IF(B93="",0,IF(OR(N93=MappingTables!$C$12,N93=MappingTables!$C$15),INDEX(ModelParameters!$D$134:$K$138,MATCH($O93,ModelParameters!$B$6:$B$10,0),MATCH($J93,ModelParameters!$D$5:$K$5,0)),IF(N93=MappingTables!$C$13,INDEX(ModelParameters!$D$150:$K$154,MATCH($O93,ModelParameters!$B$6:$B$10,0),MATCH($J93,ModelParameters!$D$5:$K$5,0)),0)))</f>
        <v>0.028</v>
      </c>
      <c r="R93" s="157">
        <f>IF(B93="",0,IF(OR(N93=MappingTables!$C$12,N93=MappingTables!$C$15),INDEX(ModelParameters!$D$141:$K$145,MATCH($O93,ModelParameters!$B$13:$B$17,0),MATCH($J93,ModelParameters!$D$5:$K$5,0)),IF(N93=MappingTables!$C$13,INDEX(ModelParameters!$D$157:$K$161,MATCH($O93,ModelParameters!$B$13:$B$17,0),MATCH($J93,ModelParameters!$D$5:$K$5,0)),0)))</f>
        <v>0</v>
      </c>
      <c r="S93" s="71">
        <f>IF(B93="",0,MIN(P93*Q93+R93,1))</f>
        <v>0.028</v>
      </c>
      <c r="T93" s="73">
        <f>IF(B93="",0,$S93*$K93)</f>
        <v>189.30545778020208</v>
      </c>
      <c r="U93" s="73">
        <f>IF(B93="",0,IF(OR(H93=MappingTables!$C$34,H93=MappingTables!$C$35),T93,0))</f>
        <v>0</v>
      </c>
      <c r="V93" s="73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0.054776304963434752</v>
      </c>
      <c r="W93" s="73">
        <f>IF(B93="",0,+$T93*$V93)</f>
        <v>10.369453486610972</v>
      </c>
      <c r="X93" s="85">
        <f>IF(B93="",0,IF(OR(H93=MappingTables!$C$34,H93=MappingTables!$C$35),W93,0))</f>
        <v>0</v>
      </c>
    </row>
    <row r="94" spans="2:24" s="0" customFormat="0" ht="15">
      <c r="B94" s="69" t="s">
        <v>3276</v>
      </c>
      <c r="C94" s="70" t="s">
        <v>3277</v>
      </c>
      <c r="D94" s="70" t="s">
        <v>1</v>
      </c>
      <c r="E94" s="70" t="s">
        <v>1</v>
      </c>
      <c r="F94" s="70"/>
      <c r="G94" s="70" t="s">
        <v>61</v>
      </c>
      <c r="H94" s="70" t="s">
        <v>178</v>
      </c>
      <c r="I94" s="70" t="s">
        <v>216</v>
      </c>
      <c r="J94" s="71">
        <f>IF(OR(I94=0,I94=""),"unrated",VLOOKUP(I94,MappingTables!$B$19:$C$31,2,FALSE))</f>
        <v>0</v>
      </c>
      <c r="K94" s="72">
        <v>9.9424831823231824</v>
      </c>
      <c r="L94" s="70">
        <v>0.068496040558128136</v>
      </c>
      <c r="M94" s="71">
        <f>IF(L94&lt;1,1,L94)</f>
        <v>1</v>
      </c>
      <c r="N94" s="70" t="s">
        <v>3191</v>
      </c>
      <c r="O94" s="157">
        <f>INDEX(DurClassMapping,MATCH(M94,MappingTables!$D$4:$D$8,-1),1)</f>
        <v>1</v>
      </c>
      <c r="P94" s="157">
        <f>IF(M94=$A$1,1,$M94-INDEX(MappingTables!$E$4:$E$8,MATCH(O94,MappingTables!$B$4:$B$8,0)))</f>
        <v>1</v>
      </c>
      <c r="Q94" s="157">
        <f>IF(B94="",0,IF(OR(N94=MappingTables!$C$12,N94=MappingTables!$C$15),INDEX(ModelParameters!$D$134:$K$138,MATCH($O94,ModelParameters!$B$6:$B$10,0),MATCH($J94,ModelParameters!$D$5:$K$5,0)),IF(N94=MappingTables!$C$13,INDEX(ModelParameters!$D$150:$K$154,MATCH($O94,ModelParameters!$B$6:$B$10,0),MATCH($J94,ModelParameters!$D$5:$K$5,0)),0)))</f>
        <v>0.01</v>
      </c>
      <c r="R94" s="157">
        <f>IF(B94="",0,IF(OR(N94=MappingTables!$C$12,N94=MappingTables!$C$15),INDEX(ModelParameters!$D$141:$K$145,MATCH($O94,ModelParameters!$B$13:$B$17,0),MATCH($J94,ModelParameters!$D$5:$K$5,0)),IF(N94=MappingTables!$C$13,INDEX(ModelParameters!$D$157:$K$161,MATCH($O94,ModelParameters!$B$13:$B$17,0),MATCH($J94,ModelParameters!$D$5:$K$5,0)),0)))</f>
        <v>0</v>
      </c>
      <c r="S94" s="71">
        <f>IF(B94="",0,MIN(P94*Q94+R94,1))</f>
        <v>0.01</v>
      </c>
      <c r="T94" s="73">
        <f>IF(B94="",0,$S94*$K94)</f>
        <v>0.099424831823231824</v>
      </c>
      <c r="U94" s="73">
        <f>IF(B94="",0,IF(OR(H94=MappingTables!$C$34,H94=MappingTables!$C$35),T94,0))</f>
        <v>0</v>
      </c>
      <c r="V94" s="73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0.054776304963434752</v>
      </c>
      <c r="W94" s="73">
        <f>IF(B94="",0,+$T94*$V94)</f>
        <v>0.0054461249088875592</v>
      </c>
      <c r="X94" s="85">
        <f>IF(B94="",0,IF(OR(H94=MappingTables!$C$34,H94=MappingTables!$C$35),W94,0))</f>
        <v>0</v>
      </c>
    </row>
    <row r="95" spans="2:24" s="0" customFormat="0" ht="15">
      <c r="B95" s="69" t="s">
        <v>3278</v>
      </c>
      <c r="C95" s="70" t="s">
        <v>3279</v>
      </c>
      <c r="D95" s="70" t="s">
        <v>1</v>
      </c>
      <c r="E95" s="70" t="s">
        <v>1</v>
      </c>
      <c r="F95" s="70"/>
      <c r="G95" s="70" t="s">
        <v>61</v>
      </c>
      <c r="H95" s="70" t="s">
        <v>178</v>
      </c>
      <c r="I95" s="70" t="s">
        <v>188</v>
      </c>
      <c r="J95" s="71">
        <f>IF(OR(I95=0,I95=""),"unrated",VLOOKUP(I95,MappingTables!$B$19:$C$31,2,FALSE))</f>
        <v>2</v>
      </c>
      <c r="K95" s="72">
        <v>557.04346670653888</v>
      </c>
      <c r="L95" s="70">
        <v>0.068492225317826992</v>
      </c>
      <c r="M95" s="71">
        <f>IF(L95&lt;1,1,L95)</f>
        <v>1</v>
      </c>
      <c r="N95" s="70" t="s">
        <v>3191</v>
      </c>
      <c r="O95" s="157">
        <f>INDEX(DurClassMapping,MATCH(M95,MappingTables!$D$4:$D$8,-1),1)</f>
        <v>1</v>
      </c>
      <c r="P95" s="157">
        <f>IF(M95=$A$1,1,$M95-INDEX(MappingTables!$E$4:$E$8,MATCH(O95,MappingTables!$B$4:$B$8,0)))</f>
        <v>1</v>
      </c>
      <c r="Q95" s="157">
        <f>IF(B95="",0,IF(OR(N95=MappingTables!$C$12,N95=MappingTables!$C$15),INDEX(ModelParameters!$D$134:$K$138,MATCH($O95,ModelParameters!$B$6:$B$10,0),MATCH($J95,ModelParameters!$D$5:$K$5,0)),IF(N95=MappingTables!$C$13,INDEX(ModelParameters!$D$150:$K$154,MATCH($O95,ModelParameters!$B$6:$B$10,0),MATCH($J95,ModelParameters!$D$5:$K$5,0)),0)))</f>
        <v>0.016</v>
      </c>
      <c r="R95" s="157">
        <f>IF(B95="",0,IF(OR(N95=MappingTables!$C$12,N95=MappingTables!$C$15),INDEX(ModelParameters!$D$141:$K$145,MATCH($O95,ModelParameters!$B$13:$B$17,0),MATCH($J95,ModelParameters!$D$5:$K$5,0)),IF(N95=MappingTables!$C$13,INDEX(ModelParameters!$D$157:$K$161,MATCH($O95,ModelParameters!$B$13:$B$17,0),MATCH($J95,ModelParameters!$D$5:$K$5,0)),0)))</f>
        <v>0</v>
      </c>
      <c r="S95" s="71">
        <f>IF(B95="",0,MIN(P95*Q95+R95,1))</f>
        <v>0.016</v>
      </c>
      <c r="T95" s="73">
        <f>IF(B95="",0,$S95*$K95)</f>
        <v>8.9126954673046224</v>
      </c>
      <c r="U95" s="73">
        <f>IF(B95="",0,IF(OR(H95=MappingTables!$C$34,H95=MappingTables!$C$35),T95,0))</f>
        <v>0</v>
      </c>
      <c r="V95" s="73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0.054776304963434752</v>
      </c>
      <c r="W95" s="73">
        <f>IF(B95="",0,+$T95*$V95)</f>
        <v>0.48820452496330064</v>
      </c>
      <c r="X95" s="85">
        <f>IF(B95="",0,IF(OR(H95=MappingTables!$C$34,H95=MappingTables!$C$35),W95,0))</f>
        <v>0</v>
      </c>
    </row>
    <row r="96" spans="2:24" s="0" customFormat="0" ht="15">
      <c r="B96" s="69">
        <v>16974894</v>
      </c>
      <c r="C96" s="70" t="s">
        <v>3271</v>
      </c>
      <c r="D96" s="70" t="s">
        <v>1</v>
      </c>
      <c r="E96" s="70" t="s">
        <v>1</v>
      </c>
      <c r="F96" s="70"/>
      <c r="G96" s="70" t="s">
        <v>61</v>
      </c>
      <c r="H96" s="70" t="s">
        <v>178</v>
      </c>
      <c r="I96" s="70" t="s">
        <v>216</v>
      </c>
      <c r="J96" s="71">
        <f>IF(OR(I96=0,I96=""),"unrated",VLOOKUP(I96,MappingTables!$B$19:$C$31,2,FALSE))</f>
        <v>0</v>
      </c>
      <c r="K96" s="72">
        <v>6.9063881192417008</v>
      </c>
      <c r="L96" s="70">
        <v>0.068343493753393904</v>
      </c>
      <c r="M96" s="71">
        <f>IF(L96&lt;1,1,L96)</f>
        <v>1</v>
      </c>
      <c r="N96" s="70" t="s">
        <v>3191</v>
      </c>
      <c r="O96" s="157">
        <f>INDEX(DurClassMapping,MATCH(M96,MappingTables!$D$4:$D$8,-1),1)</f>
        <v>1</v>
      </c>
      <c r="P96" s="157">
        <f>IF(M96=$A$1,1,$M96-INDEX(MappingTables!$E$4:$E$8,MATCH(O96,MappingTables!$B$4:$B$8,0)))</f>
        <v>1</v>
      </c>
      <c r="Q96" s="157">
        <f>IF(B96="",0,IF(OR(N96=MappingTables!$C$12,N96=MappingTables!$C$15),INDEX(ModelParameters!$D$134:$K$138,MATCH($O96,ModelParameters!$B$6:$B$10,0),MATCH($J96,ModelParameters!$D$5:$K$5,0)),IF(N96=MappingTables!$C$13,INDEX(ModelParameters!$D$150:$K$154,MATCH($O96,ModelParameters!$B$6:$B$10,0),MATCH($J96,ModelParameters!$D$5:$K$5,0)),0)))</f>
        <v>0.01</v>
      </c>
      <c r="R96" s="157">
        <f>IF(B96="",0,IF(OR(N96=MappingTables!$C$12,N96=MappingTables!$C$15),INDEX(ModelParameters!$D$141:$K$145,MATCH($O96,ModelParameters!$B$13:$B$17,0),MATCH($J96,ModelParameters!$D$5:$K$5,0)),IF(N96=MappingTables!$C$13,INDEX(ModelParameters!$D$157:$K$161,MATCH($O96,ModelParameters!$B$13:$B$17,0),MATCH($J96,ModelParameters!$D$5:$K$5,0)),0)))</f>
        <v>0</v>
      </c>
      <c r="S96" s="71">
        <f>IF(B96="",0,MIN(P96*Q96+R96,1))</f>
        <v>0.01</v>
      </c>
      <c r="T96" s="73">
        <f>IF(B96="",0,$S96*$K96)</f>
        <v>0.069063881192417008</v>
      </c>
      <c r="U96" s="73">
        <f>IF(B96="",0,IF(OR(H96=MappingTables!$C$34,H96=MappingTables!$C$35),T96,0))</f>
        <v>0</v>
      </c>
      <c r="V96" s="73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0.054776304963434752</v>
      </c>
      <c r="W96" s="73">
        <f>IF(B96="",0,+$T96*$V96)</f>
        <v>0.00378306421815426</v>
      </c>
      <c r="X96" s="85">
        <f>IF(B96="",0,IF(OR(H96=MappingTables!$C$34,H96=MappingTables!$C$35),W96,0))</f>
        <v>0</v>
      </c>
    </row>
    <row r="97" spans="2:24" s="0" customFormat="0" ht="15">
      <c r="B97" s="69" t="s">
        <v>3276</v>
      </c>
      <c r="C97" s="70" t="s">
        <v>3277</v>
      </c>
      <c r="D97" s="70" t="s">
        <v>1</v>
      </c>
      <c r="E97" s="70" t="s">
        <v>1</v>
      </c>
      <c r="F97" s="70"/>
      <c r="G97" s="70" t="s">
        <v>61</v>
      </c>
      <c r="H97" s="70" t="s">
        <v>178</v>
      </c>
      <c r="I97" s="70" t="s">
        <v>216</v>
      </c>
      <c r="J97" s="71">
        <f>IF(OR(I97=0,I97=""),"unrated",VLOOKUP(I97,MappingTables!$B$19:$C$31,2,FALSE))</f>
        <v>0</v>
      </c>
      <c r="K97" s="72">
        <v>21.088683597799948</v>
      </c>
      <c r="L97" s="70">
        <v>0.068496040558128192</v>
      </c>
      <c r="M97" s="71">
        <f>IF(L97&lt;1,1,L97)</f>
        <v>1</v>
      </c>
      <c r="N97" s="70" t="s">
        <v>3191</v>
      </c>
      <c r="O97" s="157">
        <f>INDEX(DurClassMapping,MATCH(M97,MappingTables!$D$4:$D$8,-1),1)</f>
        <v>1</v>
      </c>
      <c r="P97" s="157">
        <f>IF(M97=$A$1,1,$M97-INDEX(MappingTables!$E$4:$E$8,MATCH(O97,MappingTables!$B$4:$B$8,0)))</f>
        <v>1</v>
      </c>
      <c r="Q97" s="157">
        <f>IF(B97="",0,IF(OR(N97=MappingTables!$C$12,N97=MappingTables!$C$15),INDEX(ModelParameters!$D$134:$K$138,MATCH($O97,ModelParameters!$B$6:$B$10,0),MATCH($J97,ModelParameters!$D$5:$K$5,0)),IF(N97=MappingTables!$C$13,INDEX(ModelParameters!$D$150:$K$154,MATCH($O97,ModelParameters!$B$6:$B$10,0),MATCH($J97,ModelParameters!$D$5:$K$5,0)),0)))</f>
        <v>0.01</v>
      </c>
      <c r="R97" s="157">
        <f>IF(B97="",0,IF(OR(N97=MappingTables!$C$12,N97=MappingTables!$C$15),INDEX(ModelParameters!$D$141:$K$145,MATCH($O97,ModelParameters!$B$13:$B$17,0),MATCH($J97,ModelParameters!$D$5:$K$5,0)),IF(N97=MappingTables!$C$13,INDEX(ModelParameters!$D$157:$K$161,MATCH($O97,ModelParameters!$B$13:$B$17,0),MATCH($J97,ModelParameters!$D$5:$K$5,0)),0)))</f>
        <v>0</v>
      </c>
      <c r="S97" s="71">
        <f>IF(B97="",0,MIN(P97*Q97+R97,1))</f>
        <v>0.01</v>
      </c>
      <c r="T97" s="73">
        <f>IF(B97="",0,$S97*$K97)</f>
        <v>0.21088683597799944</v>
      </c>
      <c r="U97" s="73">
        <f>IF(B97="",0,IF(OR(H97=MappingTables!$C$34,H97=MappingTables!$C$35),T97,0))</f>
        <v>0</v>
      </c>
      <c r="V97" s="73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0.054776304963434752</v>
      </c>
      <c r="W97" s="73">
        <f>IF(B97="",0,+$T97*$V97)</f>
        <v>0.011551601640304742</v>
      </c>
      <c r="X97" s="85">
        <f>IF(B97="",0,IF(OR(H97=MappingTables!$C$34,H97=MappingTables!$C$35),W97,0))</f>
        <v>0</v>
      </c>
    </row>
    <row r="98" spans="2:24" s="0" customFormat="0" ht="15">
      <c r="B98" s="69" t="s">
        <v>3256</v>
      </c>
      <c r="C98" s="70" t="s">
        <v>3257</v>
      </c>
      <c r="D98" s="70" t="s">
        <v>1</v>
      </c>
      <c r="E98" s="70" t="s">
        <v>1</v>
      </c>
      <c r="F98" s="70"/>
      <c r="G98" s="70" t="s">
        <v>61</v>
      </c>
      <c r="H98" s="70" t="s">
        <v>178</v>
      </c>
      <c r="I98" s="70" t="s">
        <v>181</v>
      </c>
      <c r="J98" s="71">
        <f>IF(OR(I98=0,I98=""),"unrated",VLOOKUP(I98,MappingTables!$B$19:$C$31,2,FALSE))</f>
        <v>3</v>
      </c>
      <c r="K98" s="72">
        <v>148.70725750698782</v>
      </c>
      <c r="L98" s="70">
        <v>0.068491356591253032</v>
      </c>
      <c r="M98" s="71">
        <f>IF(L98&lt;1,1,L98)</f>
        <v>1</v>
      </c>
      <c r="N98" s="70" t="s">
        <v>3191</v>
      </c>
      <c r="O98" s="157">
        <f>INDEX(DurClassMapping,MATCH(M98,MappingTables!$D$4:$D$8,-1),1)</f>
        <v>1</v>
      </c>
      <c r="P98" s="157">
        <f>IF(M98=$A$1,1,$M98-INDEX(MappingTables!$E$4:$E$8,MATCH(O98,MappingTables!$B$4:$B$8,0)))</f>
        <v>1</v>
      </c>
      <c r="Q98" s="157">
        <f>IF(B98="",0,IF(OR(N98=MappingTables!$C$12,N98=MappingTables!$C$15),INDEX(ModelParameters!$D$134:$K$138,MATCH($O98,ModelParameters!$B$6:$B$10,0),MATCH($J98,ModelParameters!$D$5:$K$5,0)),IF(N98=MappingTables!$C$13,INDEX(ModelParameters!$D$150:$K$154,MATCH($O98,ModelParameters!$B$6:$B$10,0),MATCH($J98,ModelParameters!$D$5:$K$5,0)),0)))</f>
        <v>0.028</v>
      </c>
      <c r="R98" s="157">
        <f>IF(B98="",0,IF(OR(N98=MappingTables!$C$12,N98=MappingTables!$C$15),INDEX(ModelParameters!$D$141:$K$145,MATCH($O98,ModelParameters!$B$13:$B$17,0),MATCH($J98,ModelParameters!$D$5:$K$5,0)),IF(N98=MappingTables!$C$13,INDEX(ModelParameters!$D$157:$K$161,MATCH($O98,ModelParameters!$B$13:$B$17,0),MATCH($J98,ModelParameters!$D$5:$K$5,0)),0)))</f>
        <v>0</v>
      </c>
      <c r="S98" s="71">
        <f>IF(B98="",0,MIN(P98*Q98+R98,1))</f>
        <v>0.028</v>
      </c>
      <c r="T98" s="73">
        <f>IF(B98="",0,$S98*$K98)</f>
        <v>4.1638032101956584</v>
      </c>
      <c r="U98" s="73">
        <f>IF(B98="",0,IF(OR(H98=MappingTables!$C$34,H98=MappingTables!$C$35),T98,0))</f>
        <v>0</v>
      </c>
      <c r="V98" s="73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0.054776304963434752</v>
      </c>
      <c r="W98" s="73">
        <f>IF(B98="",0,+$T98*$V98)</f>
        <v>0.22807775444940604</v>
      </c>
      <c r="X98" s="85">
        <f>IF(B98="",0,IF(OR(H98=MappingTables!$C$34,H98=MappingTables!$C$35),W98,0))</f>
        <v>0</v>
      </c>
    </row>
    <row r="99" spans="2:24" s="0" customFormat="0" ht="15">
      <c r="B99" s="69" t="s">
        <v>3280</v>
      </c>
      <c r="C99" s="70" t="s">
        <v>3281</v>
      </c>
      <c r="D99" s="70" t="s">
        <v>1</v>
      </c>
      <c r="E99" s="70" t="s">
        <v>1</v>
      </c>
      <c r="F99" s="70"/>
      <c r="G99" s="70" t="s">
        <v>61</v>
      </c>
      <c r="H99" s="70" t="s">
        <v>178</v>
      </c>
      <c r="I99" s="70" t="s">
        <v>181</v>
      </c>
      <c r="J99" s="71">
        <f>IF(OR(I99=0,I99=""),"unrated",VLOOKUP(I99,MappingTables!$B$19:$C$31,2,FALSE))</f>
        <v>3</v>
      </c>
      <c r="K99" s="72">
        <v>353.26399092348272</v>
      </c>
      <c r="L99" s="70">
        <v>0.066513286640190416</v>
      </c>
      <c r="M99" s="71">
        <f>IF(L99&lt;1,1,L99)</f>
        <v>1</v>
      </c>
      <c r="N99" s="70" t="s">
        <v>3191</v>
      </c>
      <c r="O99" s="157">
        <f>INDEX(DurClassMapping,MATCH(M99,MappingTables!$D$4:$D$8,-1),1)</f>
        <v>1</v>
      </c>
      <c r="P99" s="157">
        <f>IF(M99=$A$1,1,$M99-INDEX(MappingTables!$E$4:$E$8,MATCH(O99,MappingTables!$B$4:$B$8,0)))</f>
        <v>1</v>
      </c>
      <c r="Q99" s="157">
        <f>IF(B99="",0,IF(OR(N99=MappingTables!$C$12,N99=MappingTables!$C$15),INDEX(ModelParameters!$D$134:$K$138,MATCH($O99,ModelParameters!$B$6:$B$10,0),MATCH($J99,ModelParameters!$D$5:$K$5,0)),IF(N99=MappingTables!$C$13,INDEX(ModelParameters!$D$150:$K$154,MATCH($O99,ModelParameters!$B$6:$B$10,0),MATCH($J99,ModelParameters!$D$5:$K$5,0)),0)))</f>
        <v>0.028</v>
      </c>
      <c r="R99" s="157">
        <f>IF(B99="",0,IF(OR(N99=MappingTables!$C$12,N99=MappingTables!$C$15),INDEX(ModelParameters!$D$141:$K$145,MATCH($O99,ModelParameters!$B$13:$B$17,0),MATCH($J99,ModelParameters!$D$5:$K$5,0)),IF(N99=MappingTables!$C$13,INDEX(ModelParameters!$D$157:$K$161,MATCH($O99,ModelParameters!$B$13:$B$17,0),MATCH($J99,ModelParameters!$D$5:$K$5,0)),0)))</f>
        <v>0</v>
      </c>
      <c r="S99" s="71">
        <f>IF(B99="",0,MIN(P99*Q99+R99,1))</f>
        <v>0.028</v>
      </c>
      <c r="T99" s="73">
        <f>IF(B99="",0,$S99*$K99)</f>
        <v>9.8913917458575168</v>
      </c>
      <c r="U99" s="73">
        <f>IF(B99="",0,IF(OR(H99=MappingTables!$C$34,H99=MappingTables!$C$35),T99,0))</f>
        <v>0</v>
      </c>
      <c r="V99" s="73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0.054776304963434752</v>
      </c>
      <c r="W99" s="73">
        <f>IF(B99="",0,+$T99*$V99)</f>
        <v>0.54181389078389264</v>
      </c>
      <c r="X99" s="85">
        <f>IF(B99="",0,IF(OR(H99=MappingTables!$C$34,H99=MappingTables!$C$35),W99,0))</f>
        <v>0</v>
      </c>
    </row>
    <row r="100" spans="2:24" s="0" customFormat="0" ht="15">
      <c r="B100" s="69" t="s">
        <v>3282</v>
      </c>
      <c r="C100" s="70" t="s">
        <v>3283</v>
      </c>
      <c r="D100" s="70" t="s">
        <v>1</v>
      </c>
      <c r="E100" s="70" t="s">
        <v>1</v>
      </c>
      <c r="F100" s="70"/>
      <c r="G100" s="70" t="s">
        <v>61</v>
      </c>
      <c r="H100" s="70" t="s">
        <v>178</v>
      </c>
      <c r="I100" s="70" t="s">
        <v>188</v>
      </c>
      <c r="J100" s="71">
        <f>IF(OR(I100=0,I100=""),"unrated",VLOOKUP(I100,MappingTables!$B$19:$C$31,2,FALSE))</f>
        <v>2</v>
      </c>
      <c r="K100" s="72">
        <v>154.06661476719986</v>
      </c>
      <c r="L100" s="70">
        <v>0.068493983986650728</v>
      </c>
      <c r="M100" s="71">
        <f>IF(L100&lt;1,1,L100)</f>
        <v>1</v>
      </c>
      <c r="N100" s="70" t="s">
        <v>3191</v>
      </c>
      <c r="O100" s="157">
        <f>INDEX(DurClassMapping,MATCH(M100,MappingTables!$D$4:$D$8,-1),1)</f>
        <v>1</v>
      </c>
      <c r="P100" s="157">
        <f>IF(M100=$A$1,1,$M100-INDEX(MappingTables!$E$4:$E$8,MATCH(O100,MappingTables!$B$4:$B$8,0)))</f>
        <v>1</v>
      </c>
      <c r="Q100" s="157">
        <f>IF(B100="",0,IF(OR(N100=MappingTables!$C$12,N100=MappingTables!$C$15),INDEX(ModelParameters!$D$134:$K$138,MATCH($O100,ModelParameters!$B$6:$B$10,0),MATCH($J100,ModelParameters!$D$5:$K$5,0)),IF(N100=MappingTables!$C$13,INDEX(ModelParameters!$D$150:$K$154,MATCH($O100,ModelParameters!$B$6:$B$10,0),MATCH($J100,ModelParameters!$D$5:$K$5,0)),0)))</f>
        <v>0.016</v>
      </c>
      <c r="R100" s="157">
        <f>IF(B100="",0,IF(OR(N100=MappingTables!$C$12,N100=MappingTables!$C$15),INDEX(ModelParameters!$D$141:$K$145,MATCH($O100,ModelParameters!$B$13:$B$17,0),MATCH($J100,ModelParameters!$D$5:$K$5,0)),IF(N100=MappingTables!$C$13,INDEX(ModelParameters!$D$157:$K$161,MATCH($O100,ModelParameters!$B$13:$B$17,0),MATCH($J100,ModelParameters!$D$5:$K$5,0)),0)))</f>
        <v>0</v>
      </c>
      <c r="S100" s="71">
        <f>IF(B100="",0,MIN(P100*Q100+R100,1))</f>
        <v>0.016</v>
      </c>
      <c r="T100" s="73">
        <f>IF(B100="",0,$S100*$K100)</f>
        <v>2.465065836275198</v>
      </c>
      <c r="U100" s="73">
        <f>IF(B100="",0,IF(OR(H100=MappingTables!$C$34,H100=MappingTables!$C$35),T100,0))</f>
        <v>0</v>
      </c>
      <c r="V100" s="73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0.054776304963434752</v>
      </c>
      <c r="W100" s="73">
        <f>IF(B100="",0,+$T100*$V100)</f>
        <v>0.13502719800275456</v>
      </c>
      <c r="X100" s="85">
        <f>IF(B100="",0,IF(OR(H100=MappingTables!$C$34,H100=MappingTables!$C$35),W100,0))</f>
        <v>0</v>
      </c>
    </row>
    <row r="101" spans="2:24" s="0" customFormat="0" ht="15">
      <c r="B101" s="69" t="s">
        <v>3233</v>
      </c>
      <c r="C101" s="70" t="s">
        <v>3234</v>
      </c>
      <c r="D101" s="70" t="s">
        <v>1</v>
      </c>
      <c r="E101" s="70" t="s">
        <v>1</v>
      </c>
      <c r="F101" s="70"/>
      <c r="G101" s="70" t="s">
        <v>61</v>
      </c>
      <c r="H101" s="70" t="s">
        <v>178</v>
      </c>
      <c r="I101" s="70" t="s">
        <v>220</v>
      </c>
      <c r="J101" s="71">
        <f>IF(OR(I101=0,I101=""),"unrated",VLOOKUP(I101,MappingTables!$B$19:$C$31,2,FALSE))</f>
        <v>1</v>
      </c>
      <c r="K101" s="72">
        <v>167.2260287988808</v>
      </c>
      <c r="L101" s="70">
        <v>0.068494318591710376</v>
      </c>
      <c r="M101" s="71">
        <f>IF(L101&lt;1,1,L101)</f>
        <v>1</v>
      </c>
      <c r="N101" s="70" t="s">
        <v>3191</v>
      </c>
      <c r="O101" s="157">
        <f>INDEX(DurClassMapping,MATCH(M101,MappingTables!$D$4:$D$8,-1),1)</f>
        <v>1</v>
      </c>
      <c r="P101" s="157">
        <f>IF(M101=$A$1,1,$M101-INDEX(MappingTables!$E$4:$E$8,MATCH(O101,MappingTables!$B$4:$B$8,0)))</f>
        <v>1</v>
      </c>
      <c r="Q101" s="157">
        <f>IF(B101="",0,IF(OR(N101=MappingTables!$C$12,N101=MappingTables!$C$15),INDEX(ModelParameters!$D$134:$K$138,MATCH($O101,ModelParameters!$B$6:$B$10,0),MATCH($J101,ModelParameters!$D$5:$K$5,0)),IF(N101=MappingTables!$C$13,INDEX(ModelParameters!$D$150:$K$154,MATCH($O101,ModelParameters!$B$6:$B$10,0),MATCH($J101,ModelParameters!$D$5:$K$5,0)),0)))</f>
        <v>0.012</v>
      </c>
      <c r="R101" s="157">
        <f>IF(B101="",0,IF(OR(N101=MappingTables!$C$12,N101=MappingTables!$C$15),INDEX(ModelParameters!$D$141:$K$145,MATCH($O101,ModelParameters!$B$13:$B$17,0),MATCH($J101,ModelParameters!$D$5:$K$5,0)),IF(N101=MappingTables!$C$13,INDEX(ModelParameters!$D$157:$K$161,MATCH($O101,ModelParameters!$B$13:$B$17,0),MATCH($J101,ModelParameters!$D$5:$K$5,0)),0)))</f>
        <v>0</v>
      </c>
      <c r="S101" s="71">
        <f>IF(B101="",0,MIN(P101*Q101+R101,1))</f>
        <v>0.012</v>
      </c>
      <c r="T101" s="73">
        <f>IF(B101="",0,$S101*$K101)</f>
        <v>2.00671234558657</v>
      </c>
      <c r="U101" s="73">
        <f>IF(B101="",0,IF(OR(H101=MappingTables!$C$34,H101=MappingTables!$C$35),T101,0))</f>
        <v>0</v>
      </c>
      <c r="V101" s="73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0.054776304963434752</v>
      </c>
      <c r="W101" s="73">
        <f>IF(B101="",0,+$T101*$V101)</f>
        <v>0.10992028741573942</v>
      </c>
      <c r="X101" s="85">
        <f>IF(B101="",0,IF(OR(H101=MappingTables!$C$34,H101=MappingTables!$C$35),W101,0))</f>
        <v>0</v>
      </c>
    </row>
    <row r="102" spans="2:24" s="0" customFormat="0" ht="15">
      <c r="B102" s="69" t="s">
        <v>3220</v>
      </c>
      <c r="C102" s="70" t="s">
        <v>3221</v>
      </c>
      <c r="D102" s="70" t="s">
        <v>1</v>
      </c>
      <c r="E102" s="70" t="s">
        <v>1</v>
      </c>
      <c r="F102" s="70"/>
      <c r="G102" s="70" t="s">
        <v>61</v>
      </c>
      <c r="H102" s="70" t="s">
        <v>178</v>
      </c>
      <c r="I102" s="70" t="s">
        <v>181</v>
      </c>
      <c r="J102" s="71">
        <f>IF(OR(I102=0,I102=""),"unrated",VLOOKUP(I102,MappingTables!$B$19:$C$31,2,FALSE))</f>
        <v>3</v>
      </c>
      <c r="K102" s="72">
        <v>104.44267245729072</v>
      </c>
      <c r="L102" s="70">
        <v>0.060550859158566072</v>
      </c>
      <c r="M102" s="71">
        <f>IF(L102&lt;1,1,L102)</f>
        <v>1</v>
      </c>
      <c r="N102" s="70" t="s">
        <v>3191</v>
      </c>
      <c r="O102" s="157">
        <f>INDEX(DurClassMapping,MATCH(M102,MappingTables!$D$4:$D$8,-1),1)</f>
        <v>1</v>
      </c>
      <c r="P102" s="157">
        <f>IF(M102=$A$1,1,$M102-INDEX(MappingTables!$E$4:$E$8,MATCH(O102,MappingTables!$B$4:$B$8,0)))</f>
        <v>1</v>
      </c>
      <c r="Q102" s="157">
        <f>IF(B102="",0,IF(OR(N102=MappingTables!$C$12,N102=MappingTables!$C$15),INDEX(ModelParameters!$D$134:$K$138,MATCH($O102,ModelParameters!$B$6:$B$10,0),MATCH($J102,ModelParameters!$D$5:$K$5,0)),IF(N102=MappingTables!$C$13,INDEX(ModelParameters!$D$150:$K$154,MATCH($O102,ModelParameters!$B$6:$B$10,0),MATCH($J102,ModelParameters!$D$5:$K$5,0)),0)))</f>
        <v>0.028</v>
      </c>
      <c r="R102" s="157">
        <f>IF(B102="",0,IF(OR(N102=MappingTables!$C$12,N102=MappingTables!$C$15),INDEX(ModelParameters!$D$141:$K$145,MATCH($O102,ModelParameters!$B$13:$B$17,0),MATCH($J102,ModelParameters!$D$5:$K$5,0)),IF(N102=MappingTables!$C$13,INDEX(ModelParameters!$D$157:$K$161,MATCH($O102,ModelParameters!$B$13:$B$17,0),MATCH($J102,ModelParameters!$D$5:$K$5,0)),0)))</f>
        <v>0</v>
      </c>
      <c r="S102" s="71">
        <f>IF(B102="",0,MIN(P102*Q102+R102,1))</f>
        <v>0.028</v>
      </c>
      <c r="T102" s="73">
        <f>IF(B102="",0,$S102*$K102)</f>
        <v>2.9243948288041404</v>
      </c>
      <c r="U102" s="73">
        <f>IF(B102="",0,IF(OR(H102=MappingTables!$C$34,H102=MappingTables!$C$35),T102,0))</f>
        <v>0</v>
      </c>
      <c r="V102" s="73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0.054776304963434752</v>
      </c>
      <c r="W102" s="73">
        <f>IF(B102="",0,+$T102*$V102)</f>
        <v>0.16018754297606716</v>
      </c>
      <c r="X102" s="85">
        <f>IF(B102="",0,IF(OR(H102=MappingTables!$C$34,H102=MappingTables!$C$35),W102,0))</f>
        <v>0</v>
      </c>
    </row>
    <row r="103" spans="2:24" s="0" customFormat="0" ht="15">
      <c r="B103" s="69">
        <v>15510671</v>
      </c>
      <c r="C103" s="70" t="s">
        <v>3284</v>
      </c>
      <c r="D103" s="70" t="s">
        <v>1</v>
      </c>
      <c r="E103" s="70" t="s">
        <v>1</v>
      </c>
      <c r="F103" s="70"/>
      <c r="G103" s="70" t="s">
        <v>61</v>
      </c>
      <c r="H103" s="70" t="s">
        <v>178</v>
      </c>
      <c r="I103" s="70" t="s">
        <v>216</v>
      </c>
      <c r="J103" s="71">
        <f>IF(OR(I103=0,I103=""),"unrated",VLOOKUP(I103,MappingTables!$B$19:$C$31,2,FALSE))</f>
        <v>0</v>
      </c>
      <c r="K103" s="72">
        <v>56.300079859471368</v>
      </c>
      <c r="L103" s="70">
        <v>0.12580363538386736</v>
      </c>
      <c r="M103" s="71">
        <f>IF(L103&lt;1,1,L103)</f>
        <v>1</v>
      </c>
      <c r="N103" s="70" t="s">
        <v>3191</v>
      </c>
      <c r="O103" s="157">
        <f>INDEX(DurClassMapping,MATCH(M103,MappingTables!$D$4:$D$8,-1),1)</f>
        <v>1</v>
      </c>
      <c r="P103" s="157">
        <f>IF(M103=$A$1,1,$M103-INDEX(MappingTables!$E$4:$E$8,MATCH(O103,MappingTables!$B$4:$B$8,0)))</f>
        <v>1</v>
      </c>
      <c r="Q103" s="157">
        <f>IF(B103="",0,IF(OR(N103=MappingTables!$C$12,N103=MappingTables!$C$15),INDEX(ModelParameters!$D$134:$K$138,MATCH($O103,ModelParameters!$B$6:$B$10,0),MATCH($J103,ModelParameters!$D$5:$K$5,0)),IF(N103=MappingTables!$C$13,INDEX(ModelParameters!$D$150:$K$154,MATCH($O103,ModelParameters!$B$6:$B$10,0),MATCH($J103,ModelParameters!$D$5:$K$5,0)),0)))</f>
        <v>0.01</v>
      </c>
      <c r="R103" s="157">
        <f>IF(B103="",0,IF(OR(N103=MappingTables!$C$12,N103=MappingTables!$C$15),INDEX(ModelParameters!$D$141:$K$145,MATCH($O103,ModelParameters!$B$13:$B$17,0),MATCH($J103,ModelParameters!$D$5:$K$5,0)),IF(N103=MappingTables!$C$13,INDEX(ModelParameters!$D$157:$K$161,MATCH($O103,ModelParameters!$B$13:$B$17,0),MATCH($J103,ModelParameters!$D$5:$K$5,0)),0)))</f>
        <v>0</v>
      </c>
      <c r="S103" s="71">
        <f>IF(B103="",0,MIN(P103*Q103+R103,1))</f>
        <v>0.01</v>
      </c>
      <c r="T103" s="73">
        <f>IF(B103="",0,$S103*$K103)</f>
        <v>0.5630007985947136</v>
      </c>
      <c r="U103" s="73">
        <f>IF(B103="",0,IF(OR(H103=MappingTables!$C$34,H103=MappingTables!$C$35),T103,0))</f>
        <v>0</v>
      </c>
      <c r="V103" s="73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0.054776304963434752</v>
      </c>
      <c r="W103" s="73">
        <f>IF(B103="",0,+$T103*$V103)</f>
        <v>0.03083910343848134</v>
      </c>
      <c r="X103" s="85">
        <f>IF(B103="",0,IF(OR(H103=MappingTables!$C$34,H103=MappingTables!$C$35),W103,0))</f>
        <v>0</v>
      </c>
    </row>
    <row r="104" spans="2:24" s="0" customFormat="0" ht="15">
      <c r="B104" s="69" t="s">
        <v>3214</v>
      </c>
      <c r="C104" s="70" t="s">
        <v>3215</v>
      </c>
      <c r="D104" s="70" t="s">
        <v>1</v>
      </c>
      <c r="E104" s="70" t="s">
        <v>1</v>
      </c>
      <c r="F104" s="70"/>
      <c r="G104" s="70" t="s">
        <v>61</v>
      </c>
      <c r="H104" s="70" t="s">
        <v>178</v>
      </c>
      <c r="I104" s="70" t="s">
        <v>181</v>
      </c>
      <c r="J104" s="71">
        <f>IF(OR(I104=0,I104=""),"unrated",VLOOKUP(I104,MappingTables!$B$19:$C$31,2,FALSE))</f>
        <v>3</v>
      </c>
      <c r="K104" s="72">
        <v>138.53621404175894</v>
      </c>
      <c r="L104" s="70">
        <v>0.068497174552287904</v>
      </c>
      <c r="M104" s="71">
        <f>IF(L104&lt;1,1,L104)</f>
        <v>1</v>
      </c>
      <c r="N104" s="70" t="s">
        <v>3191</v>
      </c>
      <c r="O104" s="157">
        <f>INDEX(DurClassMapping,MATCH(M104,MappingTables!$D$4:$D$8,-1),1)</f>
        <v>1</v>
      </c>
      <c r="P104" s="157">
        <f>IF(M104=$A$1,1,$M104-INDEX(MappingTables!$E$4:$E$8,MATCH(O104,MappingTables!$B$4:$B$8,0)))</f>
        <v>1</v>
      </c>
      <c r="Q104" s="157">
        <f>IF(B104="",0,IF(OR(N104=MappingTables!$C$12,N104=MappingTables!$C$15),INDEX(ModelParameters!$D$134:$K$138,MATCH($O104,ModelParameters!$B$6:$B$10,0),MATCH($J104,ModelParameters!$D$5:$K$5,0)),IF(N104=MappingTables!$C$13,INDEX(ModelParameters!$D$150:$K$154,MATCH($O104,ModelParameters!$B$6:$B$10,0),MATCH($J104,ModelParameters!$D$5:$K$5,0)),0)))</f>
        <v>0.028</v>
      </c>
      <c r="R104" s="157">
        <f>IF(B104="",0,IF(OR(N104=MappingTables!$C$12,N104=MappingTables!$C$15),INDEX(ModelParameters!$D$141:$K$145,MATCH($O104,ModelParameters!$B$13:$B$17,0),MATCH($J104,ModelParameters!$D$5:$K$5,0)),IF(N104=MappingTables!$C$13,INDEX(ModelParameters!$D$157:$K$161,MATCH($O104,ModelParameters!$B$13:$B$17,0),MATCH($J104,ModelParameters!$D$5:$K$5,0)),0)))</f>
        <v>0</v>
      </c>
      <c r="S104" s="71">
        <f>IF(B104="",0,MIN(P104*Q104+R104,1))</f>
        <v>0.028</v>
      </c>
      <c r="T104" s="73">
        <f>IF(B104="",0,$S104*$K104)</f>
        <v>3.8790139931692504</v>
      </c>
      <c r="U104" s="73">
        <f>IF(B104="",0,IF(OR(H104=MappingTables!$C$34,H104=MappingTables!$C$35),T104,0))</f>
        <v>0</v>
      </c>
      <c r="V104" s="73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0.054776304963434752</v>
      </c>
      <c r="W104" s="73">
        <f>IF(B104="",0,+$T104*$V104)</f>
        <v>0.21247805344726968</v>
      </c>
      <c r="X104" s="85">
        <f>IF(B104="",0,IF(OR(H104=MappingTables!$C$34,H104=MappingTables!$C$35),W104,0))</f>
        <v>0</v>
      </c>
    </row>
    <row r="105" spans="2:24" s="0" customFormat="0" ht="15">
      <c r="B105" s="69" t="s">
        <v>3282</v>
      </c>
      <c r="C105" s="70" t="s">
        <v>3283</v>
      </c>
      <c r="D105" s="70" t="s">
        <v>1</v>
      </c>
      <c r="E105" s="70" t="s">
        <v>1</v>
      </c>
      <c r="F105" s="70"/>
      <c r="G105" s="70" t="s">
        <v>61</v>
      </c>
      <c r="H105" s="70" t="s">
        <v>178</v>
      </c>
      <c r="I105" s="70" t="s">
        <v>188</v>
      </c>
      <c r="J105" s="71">
        <f>IF(OR(I105=0,I105=""),"unrated",VLOOKUP(I105,MappingTables!$B$19:$C$31,2,FALSE))</f>
        <v>2</v>
      </c>
      <c r="K105" s="72">
        <v>72.636336901747136</v>
      </c>
      <c r="L105" s="70">
        <v>0.068493983986646912</v>
      </c>
      <c r="M105" s="71">
        <f>IF(L105&lt;1,1,L105)</f>
        <v>1</v>
      </c>
      <c r="N105" s="70" t="s">
        <v>3191</v>
      </c>
      <c r="O105" s="157">
        <f>INDEX(DurClassMapping,MATCH(M105,MappingTables!$D$4:$D$8,-1),1)</f>
        <v>1</v>
      </c>
      <c r="P105" s="157">
        <f>IF(M105=$A$1,1,$M105-INDEX(MappingTables!$E$4:$E$8,MATCH(O105,MappingTables!$B$4:$B$8,0)))</f>
        <v>1</v>
      </c>
      <c r="Q105" s="157">
        <f>IF(B105="",0,IF(OR(N105=MappingTables!$C$12,N105=MappingTables!$C$15),INDEX(ModelParameters!$D$134:$K$138,MATCH($O105,ModelParameters!$B$6:$B$10,0),MATCH($J105,ModelParameters!$D$5:$K$5,0)),IF(N105=MappingTables!$C$13,INDEX(ModelParameters!$D$150:$K$154,MATCH($O105,ModelParameters!$B$6:$B$10,0),MATCH($J105,ModelParameters!$D$5:$K$5,0)),0)))</f>
        <v>0.016</v>
      </c>
      <c r="R105" s="157">
        <f>IF(B105="",0,IF(OR(N105=MappingTables!$C$12,N105=MappingTables!$C$15),INDEX(ModelParameters!$D$141:$K$145,MATCH($O105,ModelParameters!$B$13:$B$17,0),MATCH($J105,ModelParameters!$D$5:$K$5,0)),IF(N105=MappingTables!$C$13,INDEX(ModelParameters!$D$157:$K$161,MATCH($O105,ModelParameters!$B$13:$B$17,0),MATCH($J105,ModelParameters!$D$5:$K$5,0)),0)))</f>
        <v>0</v>
      </c>
      <c r="S105" s="71">
        <f>IF(B105="",0,MIN(P105*Q105+R105,1))</f>
        <v>0.016</v>
      </c>
      <c r="T105" s="73">
        <f>IF(B105="",0,$S105*$K105)</f>
        <v>1.162181390427954</v>
      </c>
      <c r="U105" s="73">
        <f>IF(B105="",0,IF(OR(H105=MappingTables!$C$34,H105=MappingTables!$C$35),T105,0))</f>
        <v>0</v>
      </c>
      <c r="V105" s="73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0.054776304963434752</v>
      </c>
      <c r="W105" s="73">
        <f>IF(B105="",0,+$T105*$V105)</f>
        <v>0.06366000226491024</v>
      </c>
      <c r="X105" s="85">
        <f>IF(B105="",0,IF(OR(H105=MappingTables!$C$34,H105=MappingTables!$C$35),W105,0))</f>
        <v>0</v>
      </c>
    </row>
    <row r="106" spans="2:24" s="0" customFormat="0" ht="15">
      <c r="B106" s="69">
        <v>15510671</v>
      </c>
      <c r="C106" s="70" t="s">
        <v>3284</v>
      </c>
      <c r="D106" s="70" t="s">
        <v>1</v>
      </c>
      <c r="E106" s="70" t="s">
        <v>1</v>
      </c>
      <c r="F106" s="70"/>
      <c r="G106" s="70" t="s">
        <v>61</v>
      </c>
      <c r="H106" s="70" t="s">
        <v>178</v>
      </c>
      <c r="I106" s="70" t="s">
        <v>216</v>
      </c>
      <c r="J106" s="71">
        <f>IF(OR(I106=0,I106=""),"unrated",VLOOKUP(I106,MappingTables!$B$19:$C$31,2,FALSE))</f>
        <v>0</v>
      </c>
      <c r="K106" s="72">
        <v>119.41630160898842</v>
      </c>
      <c r="L106" s="70">
        <v>0.12580363538386258</v>
      </c>
      <c r="M106" s="71">
        <f>IF(L106&lt;1,1,L106)</f>
        <v>1</v>
      </c>
      <c r="N106" s="70" t="s">
        <v>3191</v>
      </c>
      <c r="O106" s="157">
        <f>INDEX(DurClassMapping,MATCH(M106,MappingTables!$D$4:$D$8,-1),1)</f>
        <v>1</v>
      </c>
      <c r="P106" s="157">
        <f>IF(M106=$A$1,1,$M106-INDEX(MappingTables!$E$4:$E$8,MATCH(O106,MappingTables!$B$4:$B$8,0)))</f>
        <v>1</v>
      </c>
      <c r="Q106" s="157">
        <f>IF(B106="",0,IF(OR(N106=MappingTables!$C$12,N106=MappingTables!$C$15),INDEX(ModelParameters!$D$134:$K$138,MATCH($O106,ModelParameters!$B$6:$B$10,0),MATCH($J106,ModelParameters!$D$5:$K$5,0)),IF(N106=MappingTables!$C$13,INDEX(ModelParameters!$D$150:$K$154,MATCH($O106,ModelParameters!$B$6:$B$10,0),MATCH($J106,ModelParameters!$D$5:$K$5,0)),0)))</f>
        <v>0.01</v>
      </c>
      <c r="R106" s="157">
        <f>IF(B106="",0,IF(OR(N106=MappingTables!$C$12,N106=MappingTables!$C$15),INDEX(ModelParameters!$D$141:$K$145,MATCH($O106,ModelParameters!$B$13:$B$17,0),MATCH($J106,ModelParameters!$D$5:$K$5,0)),IF(N106=MappingTables!$C$13,INDEX(ModelParameters!$D$157:$K$161,MATCH($O106,ModelParameters!$B$13:$B$17,0),MATCH($J106,ModelParameters!$D$5:$K$5,0)),0)))</f>
        <v>0</v>
      </c>
      <c r="S106" s="71">
        <f>IF(B106="",0,MIN(P106*Q106+R106,1))</f>
        <v>0.01</v>
      </c>
      <c r="T106" s="73">
        <f>IF(B106="",0,$S106*$K106)</f>
        <v>1.1941630160898842</v>
      </c>
      <c r="U106" s="73">
        <f>IF(B106="",0,IF(OR(H106=MappingTables!$C$34,H106=MappingTables!$C$35),T106,0))</f>
        <v>0</v>
      </c>
      <c r="V106" s="73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0.054776304963434752</v>
      </c>
      <c r="W106" s="73">
        <f>IF(B106="",0,+$T106*$V106)</f>
        <v>0.065411837545394536</v>
      </c>
      <c r="X106" s="85">
        <f>IF(B106="",0,IF(OR(H106=MappingTables!$C$34,H106=MappingTables!$C$35),W106,0))</f>
        <v>0</v>
      </c>
    </row>
    <row r="107" spans="2:24" s="0" customFormat="0" ht="15">
      <c r="B107" s="69">
        <v>14504601</v>
      </c>
      <c r="C107" s="70" t="s">
        <v>3213</v>
      </c>
      <c r="D107" s="70" t="s">
        <v>1</v>
      </c>
      <c r="E107" s="70" t="s">
        <v>1</v>
      </c>
      <c r="F107" s="70"/>
      <c r="G107" s="70" t="s">
        <v>61</v>
      </c>
      <c r="H107" s="70" t="s">
        <v>178</v>
      </c>
      <c r="I107" s="70" t="s">
        <v>216</v>
      </c>
      <c r="J107" s="71">
        <f>IF(OR(I107=0,I107=""),"unrated",VLOOKUP(I107,MappingTables!$B$19:$C$31,2,FALSE))</f>
        <v>0</v>
      </c>
      <c r="K107" s="72">
        <v>120.42490006199354</v>
      </c>
      <c r="L107" s="70">
        <v>0.1557608619627773</v>
      </c>
      <c r="M107" s="71">
        <f>IF(L107&lt;1,1,L107)</f>
        <v>1</v>
      </c>
      <c r="N107" s="70" t="s">
        <v>3191</v>
      </c>
      <c r="O107" s="157">
        <f>INDEX(DurClassMapping,MATCH(M107,MappingTables!$D$4:$D$8,-1),1)</f>
        <v>1</v>
      </c>
      <c r="P107" s="157">
        <f>IF(M107=$A$1,1,$M107-INDEX(MappingTables!$E$4:$E$8,MATCH(O107,MappingTables!$B$4:$B$8,0)))</f>
        <v>1</v>
      </c>
      <c r="Q107" s="157">
        <f>IF(B107="",0,IF(OR(N107=MappingTables!$C$12,N107=MappingTables!$C$15),INDEX(ModelParameters!$D$134:$K$138,MATCH($O107,ModelParameters!$B$6:$B$10,0),MATCH($J107,ModelParameters!$D$5:$K$5,0)),IF(N107=MappingTables!$C$13,INDEX(ModelParameters!$D$150:$K$154,MATCH($O107,ModelParameters!$B$6:$B$10,0),MATCH($J107,ModelParameters!$D$5:$K$5,0)),0)))</f>
        <v>0.01</v>
      </c>
      <c r="R107" s="157">
        <f>IF(B107="",0,IF(OR(N107=MappingTables!$C$12,N107=MappingTables!$C$15),INDEX(ModelParameters!$D$141:$K$145,MATCH($O107,ModelParameters!$B$13:$B$17,0),MATCH($J107,ModelParameters!$D$5:$K$5,0)),IF(N107=MappingTables!$C$13,INDEX(ModelParameters!$D$157:$K$161,MATCH($O107,ModelParameters!$B$13:$B$17,0),MATCH($J107,ModelParameters!$D$5:$K$5,0)),0)))</f>
        <v>0</v>
      </c>
      <c r="S107" s="71">
        <f>IF(B107="",0,MIN(P107*Q107+R107,1))</f>
        <v>0.01</v>
      </c>
      <c r="T107" s="73">
        <f>IF(B107="",0,$S107*$K107)</f>
        <v>1.2042490006199354</v>
      </c>
      <c r="U107" s="73">
        <f>IF(B107="",0,IF(OR(H107=MappingTables!$C$34,H107=MappingTables!$C$35),T107,0))</f>
        <v>0</v>
      </c>
      <c r="V107" s="73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0.054776304963434752</v>
      </c>
      <c r="W107" s="73">
        <f>IF(B107="",0,+$T107*$V107)</f>
        <v>0.065964310509869104</v>
      </c>
      <c r="X107" s="85">
        <f>IF(B107="",0,IF(OR(H107=MappingTables!$C$34,H107=MappingTables!$C$35),W107,0))</f>
        <v>0</v>
      </c>
    </row>
    <row r="108" spans="2:24" s="0" customFormat="0" ht="15">
      <c r="B108" s="69" t="s">
        <v>3280</v>
      </c>
      <c r="C108" s="70" t="s">
        <v>3281</v>
      </c>
      <c r="D108" s="70" t="s">
        <v>1</v>
      </c>
      <c r="E108" s="70" t="s">
        <v>1</v>
      </c>
      <c r="F108" s="70"/>
      <c r="G108" s="70" t="s">
        <v>61</v>
      </c>
      <c r="H108" s="70" t="s">
        <v>178</v>
      </c>
      <c r="I108" s="70" t="s">
        <v>181</v>
      </c>
      <c r="J108" s="71">
        <f>IF(OR(I108=0,I108=""),"unrated",VLOOKUP(I108,MappingTables!$B$19:$C$31,2,FALSE))</f>
        <v>3</v>
      </c>
      <c r="K108" s="72">
        <v>166.55004913287154</v>
      </c>
      <c r="L108" s="70">
        <v>0.066513286640187712</v>
      </c>
      <c r="M108" s="71">
        <f>IF(L108&lt;1,1,L108)</f>
        <v>1</v>
      </c>
      <c r="N108" s="70" t="s">
        <v>3191</v>
      </c>
      <c r="O108" s="157">
        <f>INDEX(DurClassMapping,MATCH(M108,MappingTables!$D$4:$D$8,-1),1)</f>
        <v>1</v>
      </c>
      <c r="P108" s="157">
        <f>IF(M108=$A$1,1,$M108-INDEX(MappingTables!$E$4:$E$8,MATCH(O108,MappingTables!$B$4:$B$8,0)))</f>
        <v>1</v>
      </c>
      <c r="Q108" s="157">
        <f>IF(B108="",0,IF(OR(N108=MappingTables!$C$12,N108=MappingTables!$C$15),INDEX(ModelParameters!$D$134:$K$138,MATCH($O108,ModelParameters!$B$6:$B$10,0),MATCH($J108,ModelParameters!$D$5:$K$5,0)),IF(N108=MappingTables!$C$13,INDEX(ModelParameters!$D$150:$K$154,MATCH($O108,ModelParameters!$B$6:$B$10,0),MATCH($J108,ModelParameters!$D$5:$K$5,0)),0)))</f>
        <v>0.028</v>
      </c>
      <c r="R108" s="157">
        <f>IF(B108="",0,IF(OR(N108=MappingTables!$C$12,N108=MappingTables!$C$15),INDEX(ModelParameters!$D$141:$K$145,MATCH($O108,ModelParameters!$B$13:$B$17,0),MATCH($J108,ModelParameters!$D$5:$K$5,0)),IF(N108=MappingTables!$C$13,INDEX(ModelParameters!$D$157:$K$161,MATCH($O108,ModelParameters!$B$13:$B$17,0),MATCH($J108,ModelParameters!$D$5:$K$5,0)),0)))</f>
        <v>0</v>
      </c>
      <c r="S108" s="71">
        <f>IF(B108="",0,MIN(P108*Q108+R108,1))</f>
        <v>0.028</v>
      </c>
      <c r="T108" s="73">
        <f>IF(B108="",0,$S108*$K108)</f>
        <v>4.6634013757204032</v>
      </c>
      <c r="U108" s="73">
        <f>IF(B108="",0,IF(OR(H108=MappingTables!$C$34,H108=MappingTables!$C$35),T108,0))</f>
        <v>0</v>
      </c>
      <c r="V108" s="73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0.054776304963434752</v>
      </c>
      <c r="W108" s="73">
        <f>IF(B108="",0,+$T108*$V108)</f>
        <v>0.25544389592336196</v>
      </c>
      <c r="X108" s="85">
        <f>IF(B108="",0,IF(OR(H108=MappingTables!$C$34,H108=MappingTables!$C$35),W108,0))</f>
        <v>0</v>
      </c>
    </row>
    <row r="109" spans="2:24" s="0" customFormat="0" ht="15">
      <c r="B109" s="69">
        <v>15341920</v>
      </c>
      <c r="C109" s="70" t="s">
        <v>3275</v>
      </c>
      <c r="D109" s="70" t="s">
        <v>1</v>
      </c>
      <c r="E109" s="70" t="s">
        <v>1</v>
      </c>
      <c r="F109" s="70"/>
      <c r="G109" s="70" t="s">
        <v>61</v>
      </c>
      <c r="H109" s="70" t="s">
        <v>178</v>
      </c>
      <c r="I109" s="70" t="s">
        <v>216</v>
      </c>
      <c r="J109" s="71">
        <f>IF(OR(I109=0,I109=""),"unrated",VLOOKUP(I109,MappingTables!$B$19:$C$31,2,FALSE))</f>
        <v>0</v>
      </c>
      <c r="K109" s="72">
        <v>2859.9997863007548</v>
      </c>
      <c r="L109" s="70">
        <v>3.8605017045740176</v>
      </c>
      <c r="M109" s="71">
        <f>IF(L109&lt;1,1,L109)</f>
        <v>3.8605017045740176</v>
      </c>
      <c r="N109" s="70" t="s">
        <v>3191</v>
      </c>
      <c r="O109" s="157">
        <f>INDEX(DurClassMapping,MATCH(M109,MappingTables!$D$4:$D$8,-1),1)</f>
        <v>1</v>
      </c>
      <c r="P109" s="157">
        <f>IF(M109=$A$1,1,$M109-INDEX(MappingTables!$E$4:$E$8,MATCH(O109,MappingTables!$B$4:$B$8,0)))</f>
        <v>3.8605017045740176</v>
      </c>
      <c r="Q109" s="157">
        <f>IF(B109="",0,IF(OR(N109=MappingTables!$C$12,N109=MappingTables!$C$15),INDEX(ModelParameters!$D$134:$K$138,MATCH($O109,ModelParameters!$B$6:$B$10,0),MATCH($J109,ModelParameters!$D$5:$K$5,0)),IF(N109=MappingTables!$C$13,INDEX(ModelParameters!$D$150:$K$154,MATCH($O109,ModelParameters!$B$6:$B$10,0),MATCH($J109,ModelParameters!$D$5:$K$5,0)),0)))</f>
        <v>0.01</v>
      </c>
      <c r="R109" s="157">
        <f>IF(B109="",0,IF(OR(N109=MappingTables!$C$12,N109=MappingTables!$C$15),INDEX(ModelParameters!$D$141:$K$145,MATCH($O109,ModelParameters!$B$13:$B$17,0),MATCH($J109,ModelParameters!$D$5:$K$5,0)),IF(N109=MappingTables!$C$13,INDEX(ModelParameters!$D$157:$K$161,MATCH($O109,ModelParameters!$B$13:$B$17,0),MATCH($J109,ModelParameters!$D$5:$K$5,0)),0)))</f>
        <v>0</v>
      </c>
      <c r="S109" s="71">
        <f>IF(B109="",0,MIN(P109*Q109+R109,1))</f>
        <v>0.038605017045740176</v>
      </c>
      <c r="T109" s="73">
        <f>IF(B109="",0,$S109*$K109)</f>
        <v>110.4103405009539</v>
      </c>
      <c r="U109" s="73">
        <f>IF(B109="",0,IF(OR(H109=MappingTables!$C$34,H109=MappingTables!$C$35),T109,0))</f>
        <v>0</v>
      </c>
      <c r="V109" s="73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0.054776304963434752</v>
      </c>
      <c r="W109" s="73">
        <f>IF(B109="",0,+$T109*$V109)</f>
        <v>6.0478704823969224</v>
      </c>
      <c r="X109" s="85">
        <f>IF(B109="",0,IF(OR(H109=MappingTables!$C$34,H109=MappingTables!$C$35),W109,0))</f>
        <v>0</v>
      </c>
    </row>
    <row r="110" spans="2:24" s="0" customFormat="0" ht="15">
      <c r="B110" s="69" t="s">
        <v>3235</v>
      </c>
      <c r="C110" s="70" t="s">
        <v>3236</v>
      </c>
      <c r="D110" s="70" t="s">
        <v>1</v>
      </c>
      <c r="E110" s="70" t="s">
        <v>1</v>
      </c>
      <c r="F110" s="70"/>
      <c r="G110" s="70" t="s">
        <v>61</v>
      </c>
      <c r="H110" s="70" t="s">
        <v>178</v>
      </c>
      <c r="I110" s="70" t="s">
        <v>188</v>
      </c>
      <c r="J110" s="71">
        <f>IF(OR(I110=0,I110=""),"unrated",VLOOKUP(I110,MappingTables!$B$19:$C$31,2,FALSE))</f>
        <v>2</v>
      </c>
      <c r="K110" s="72">
        <v>131.32533523691392</v>
      </c>
      <c r="L110" s="70">
        <v>0.068492353252777752</v>
      </c>
      <c r="M110" s="71">
        <f>IF(L110&lt;1,1,L110)</f>
        <v>1</v>
      </c>
      <c r="N110" s="70" t="s">
        <v>3191</v>
      </c>
      <c r="O110" s="157">
        <f>INDEX(DurClassMapping,MATCH(M110,MappingTables!$D$4:$D$8,-1),1)</f>
        <v>1</v>
      </c>
      <c r="P110" s="157">
        <f>IF(M110=$A$1,1,$M110-INDEX(MappingTables!$E$4:$E$8,MATCH(O110,MappingTables!$B$4:$B$8,0)))</f>
        <v>1</v>
      </c>
      <c r="Q110" s="157">
        <f>IF(B110="",0,IF(OR(N110=MappingTables!$C$12,N110=MappingTables!$C$15),INDEX(ModelParameters!$D$134:$K$138,MATCH($O110,ModelParameters!$B$6:$B$10,0),MATCH($J110,ModelParameters!$D$5:$K$5,0)),IF(N110=MappingTables!$C$13,INDEX(ModelParameters!$D$150:$K$154,MATCH($O110,ModelParameters!$B$6:$B$10,0),MATCH($J110,ModelParameters!$D$5:$K$5,0)),0)))</f>
        <v>0.016</v>
      </c>
      <c r="R110" s="157">
        <f>IF(B110="",0,IF(OR(N110=MappingTables!$C$12,N110=MappingTables!$C$15),INDEX(ModelParameters!$D$141:$K$145,MATCH($O110,ModelParameters!$B$13:$B$17,0),MATCH($J110,ModelParameters!$D$5:$K$5,0)),IF(N110=MappingTables!$C$13,INDEX(ModelParameters!$D$157:$K$161,MATCH($O110,ModelParameters!$B$13:$B$17,0),MATCH($J110,ModelParameters!$D$5:$K$5,0)),0)))</f>
        <v>0</v>
      </c>
      <c r="S110" s="71">
        <f>IF(B110="",0,MIN(P110*Q110+R110,1))</f>
        <v>0.016</v>
      </c>
      <c r="T110" s="73">
        <f>IF(B110="",0,$S110*$K110)</f>
        <v>2.1012053637906228</v>
      </c>
      <c r="U110" s="73">
        <f>IF(B110="",0,IF(OR(H110=MappingTables!$C$34,H110=MappingTables!$C$35),T110,0))</f>
        <v>0</v>
      </c>
      <c r="V110" s="73">
        <f>IF(ISNA(IF(AND(VLOOKUP(CONCATENATE($D110,$G110),CSRFinput!$B:$E,4,0)=0,OR(H110=MappingTables!$C$34,H110=MappingTables!$C$35)),1,VLOOKUP(CONCATENATE($D110,$G110),CSRFinput!$B:$E,4,0))),0,IF(AND(VLOOKUP(CONCATENATE($D110,$G110),CSRFinput!$B:$E,4,0)=0,OR(H110=MappingTables!$C$34,H110=MappingTables!$C$35)),1,VLOOKUP(CONCATENATE($D110,$G110),CSRFinput!$B:$E,4,0)))</f>
        <v>0.054776304963434752</v>
      </c>
      <c r="W110" s="73">
        <f>IF(B110="",0,+$T110*$V110)</f>
        <v>0.1150962657978</v>
      </c>
      <c r="X110" s="85">
        <f>IF(B110="",0,IF(OR(H110=MappingTables!$C$34,H110=MappingTables!$C$35),W110,0))</f>
        <v>0</v>
      </c>
    </row>
    <row r="111" spans="2:24" s="0" customFormat="0" ht="15">
      <c r="B111" s="69">
        <v>12488134</v>
      </c>
      <c r="C111" s="70" t="s">
        <v>3274</v>
      </c>
      <c r="D111" s="70" t="s">
        <v>1</v>
      </c>
      <c r="E111" s="70" t="s">
        <v>1</v>
      </c>
      <c r="F111" s="70"/>
      <c r="G111" s="70" t="s">
        <v>61</v>
      </c>
      <c r="H111" s="70" t="s">
        <v>178</v>
      </c>
      <c r="I111" s="70" t="s">
        <v>216</v>
      </c>
      <c r="J111" s="71">
        <f>IF(OR(I111=0,I111=""),"unrated",VLOOKUP(I111,MappingTables!$B$19:$C$31,2,FALSE))</f>
        <v>0</v>
      </c>
      <c r="K111" s="72">
        <v>217.3578336387912</v>
      </c>
      <c r="L111" s="70">
        <v>0.06420366354536776</v>
      </c>
      <c r="M111" s="71">
        <f>IF(L111&lt;1,1,L111)</f>
        <v>1</v>
      </c>
      <c r="N111" s="70" t="s">
        <v>3191</v>
      </c>
      <c r="O111" s="157">
        <f>INDEX(DurClassMapping,MATCH(M111,MappingTables!$D$4:$D$8,-1),1)</f>
        <v>1</v>
      </c>
      <c r="P111" s="157">
        <f>IF(M111=$A$1,1,$M111-INDEX(MappingTables!$E$4:$E$8,MATCH(O111,MappingTables!$B$4:$B$8,0)))</f>
        <v>1</v>
      </c>
      <c r="Q111" s="157">
        <f>IF(B111="",0,IF(OR(N111=MappingTables!$C$12,N111=MappingTables!$C$15),INDEX(ModelParameters!$D$134:$K$138,MATCH($O111,ModelParameters!$B$6:$B$10,0),MATCH($J111,ModelParameters!$D$5:$K$5,0)),IF(N111=MappingTables!$C$13,INDEX(ModelParameters!$D$150:$K$154,MATCH($O111,ModelParameters!$B$6:$B$10,0),MATCH($J111,ModelParameters!$D$5:$K$5,0)),0)))</f>
        <v>0.01</v>
      </c>
      <c r="R111" s="157">
        <f>IF(B111="",0,IF(OR(N111=MappingTables!$C$12,N111=MappingTables!$C$15),INDEX(ModelParameters!$D$141:$K$145,MATCH($O111,ModelParameters!$B$13:$B$17,0),MATCH($J111,ModelParameters!$D$5:$K$5,0)),IF(N111=MappingTables!$C$13,INDEX(ModelParameters!$D$157:$K$161,MATCH($O111,ModelParameters!$B$13:$B$17,0),MATCH($J111,ModelParameters!$D$5:$K$5,0)),0)))</f>
        <v>0</v>
      </c>
      <c r="S111" s="71">
        <f>IF(B111="",0,MIN(P111*Q111+R111,1))</f>
        <v>0.01</v>
      </c>
      <c r="T111" s="73">
        <f>IF(B111="",0,$S111*$K111)</f>
        <v>2.1735783363879116</v>
      </c>
      <c r="U111" s="73">
        <f>IF(B111="",0,IF(OR(H111=MappingTables!$C$34,H111=MappingTables!$C$35),T111,0))</f>
        <v>0</v>
      </c>
      <c r="V111" s="73">
        <f>IF(ISNA(IF(AND(VLOOKUP(CONCATENATE($D111,$G111),CSRFinput!$B:$E,4,0)=0,OR(H111=MappingTables!$C$34,H111=MappingTables!$C$35)),1,VLOOKUP(CONCATENATE($D111,$G111),CSRFinput!$B:$E,4,0))),0,IF(AND(VLOOKUP(CONCATENATE($D111,$G111),CSRFinput!$B:$E,4,0)=0,OR(H111=MappingTables!$C$34,H111=MappingTables!$C$35)),1,VLOOKUP(CONCATENATE($D111,$G111),CSRFinput!$B:$E,4,0)))</f>
        <v>0.054776304963434752</v>
      </c>
      <c r="W111" s="73">
        <f>IF(B111="",0,+$T111*$V111)</f>
        <v>0.11906058981589942</v>
      </c>
      <c r="X111" s="85">
        <f>IF(B111="",0,IF(OR(H111=MappingTables!$C$34,H111=MappingTables!$C$35),W111,0))</f>
        <v>0</v>
      </c>
    </row>
    <row r="112" spans="2:24" s="0" customFormat="0" ht="15">
      <c r="B112" s="69" t="s">
        <v>3278</v>
      </c>
      <c r="C112" s="70" t="s">
        <v>3279</v>
      </c>
      <c r="D112" s="70" t="s">
        <v>1</v>
      </c>
      <c r="E112" s="70" t="s">
        <v>1</v>
      </c>
      <c r="F112" s="70"/>
      <c r="G112" s="70" t="s">
        <v>61</v>
      </c>
      <c r="H112" s="70" t="s">
        <v>178</v>
      </c>
      <c r="I112" s="70" t="s">
        <v>188</v>
      </c>
      <c r="J112" s="71">
        <f>IF(OR(I112=0,I112=""),"unrated",VLOOKUP(I112,MappingTables!$B$19:$C$31,2,FALSE))</f>
        <v>2</v>
      </c>
      <c r="K112" s="72">
        <v>1181.5271096856956</v>
      </c>
      <c r="L112" s="70">
        <v>0.068492225317830584</v>
      </c>
      <c r="M112" s="71">
        <f>IF(L112&lt;1,1,L112)</f>
        <v>1</v>
      </c>
      <c r="N112" s="70" t="s">
        <v>3191</v>
      </c>
      <c r="O112" s="157">
        <f>INDEX(DurClassMapping,MATCH(M112,MappingTables!$D$4:$D$8,-1),1)</f>
        <v>1</v>
      </c>
      <c r="P112" s="157">
        <f>IF(M112=$A$1,1,$M112-INDEX(MappingTables!$E$4:$E$8,MATCH(O112,MappingTables!$B$4:$B$8,0)))</f>
        <v>1</v>
      </c>
      <c r="Q112" s="157">
        <f>IF(B112="",0,IF(OR(N112=MappingTables!$C$12,N112=MappingTables!$C$15),INDEX(ModelParameters!$D$134:$K$138,MATCH($O112,ModelParameters!$B$6:$B$10,0),MATCH($J112,ModelParameters!$D$5:$K$5,0)),IF(N112=MappingTables!$C$13,INDEX(ModelParameters!$D$150:$K$154,MATCH($O112,ModelParameters!$B$6:$B$10,0),MATCH($J112,ModelParameters!$D$5:$K$5,0)),0)))</f>
        <v>0.016</v>
      </c>
      <c r="R112" s="157">
        <f>IF(B112="",0,IF(OR(N112=MappingTables!$C$12,N112=MappingTables!$C$15),INDEX(ModelParameters!$D$141:$K$145,MATCH($O112,ModelParameters!$B$13:$B$17,0),MATCH($J112,ModelParameters!$D$5:$K$5,0)),IF(N112=MappingTables!$C$13,INDEX(ModelParameters!$D$157:$K$161,MATCH($O112,ModelParameters!$B$13:$B$17,0),MATCH($J112,ModelParameters!$D$5:$K$5,0)),0)))</f>
        <v>0</v>
      </c>
      <c r="S112" s="71">
        <f>IF(B112="",0,MIN(P112*Q112+R112,1))</f>
        <v>0.016</v>
      </c>
      <c r="T112" s="73">
        <f>IF(B112="",0,$S112*$K112)</f>
        <v>18.904433754971132</v>
      </c>
      <c r="U112" s="73">
        <f>IF(B112="",0,IF(OR(H112=MappingTables!$C$34,H112=MappingTables!$C$35),T112,0))</f>
        <v>0</v>
      </c>
      <c r="V112" s="73">
        <f>IF(ISNA(IF(AND(VLOOKUP(CONCATENATE($D112,$G112),CSRFinput!$B:$E,4,0)=0,OR(H112=MappingTables!$C$34,H112=MappingTables!$C$35)),1,VLOOKUP(CONCATENATE($D112,$G112),CSRFinput!$B:$E,4,0))),0,IF(AND(VLOOKUP(CONCATENATE($D112,$G112),CSRFinput!$B:$E,4,0)=0,OR(H112=MappingTables!$C$34,H112=MappingTables!$C$35)),1,VLOOKUP(CONCATENATE($D112,$G112),CSRFinput!$B:$E,4,0)))</f>
        <v>0.054776304963434752</v>
      </c>
      <c r="W112" s="73">
        <f>IF(B112="",0,+$T112*$V112)</f>
        <v>1.0355150285233486</v>
      </c>
      <c r="X112" s="85">
        <f>IF(B112="",0,IF(OR(H112=MappingTables!$C$34,H112=MappingTables!$C$35),W112,0))</f>
        <v>0</v>
      </c>
    </row>
    <row r="113" spans="2:24" s="0" customFormat="0" ht="15">
      <c r="B113" s="69" t="s">
        <v>3272</v>
      </c>
      <c r="C113" s="70" t="s">
        <v>3273</v>
      </c>
      <c r="D113" s="70" t="s">
        <v>1</v>
      </c>
      <c r="E113" s="70" t="s">
        <v>1</v>
      </c>
      <c r="F113" s="70"/>
      <c r="G113" s="70" t="s">
        <v>61</v>
      </c>
      <c r="H113" s="70" t="s">
        <v>178</v>
      </c>
      <c r="I113" s="70" t="s">
        <v>188</v>
      </c>
      <c r="J113" s="71">
        <f>IF(OR(I113=0,I113=""),"unrated",VLOOKUP(I113,MappingTables!$B$19:$C$31,2,FALSE))</f>
        <v>2</v>
      </c>
      <c r="K113" s="72">
        <v>132.08010562589848</v>
      </c>
      <c r="L113" s="70">
        <v>0.068496879042566392</v>
      </c>
      <c r="M113" s="71">
        <f>IF(L113&lt;1,1,L113)</f>
        <v>1</v>
      </c>
      <c r="N113" s="70" t="s">
        <v>3191</v>
      </c>
      <c r="O113" s="157">
        <f>INDEX(DurClassMapping,MATCH(M113,MappingTables!$D$4:$D$8,-1),1)</f>
        <v>1</v>
      </c>
      <c r="P113" s="157">
        <f>IF(M113=$A$1,1,$M113-INDEX(MappingTables!$E$4:$E$8,MATCH(O113,MappingTables!$B$4:$B$8,0)))</f>
        <v>1</v>
      </c>
      <c r="Q113" s="157">
        <f>IF(B113="",0,IF(OR(N113=MappingTables!$C$12,N113=MappingTables!$C$15),INDEX(ModelParameters!$D$134:$K$138,MATCH($O113,ModelParameters!$B$6:$B$10,0),MATCH($J113,ModelParameters!$D$5:$K$5,0)),IF(N113=MappingTables!$C$13,INDEX(ModelParameters!$D$150:$K$154,MATCH($O113,ModelParameters!$B$6:$B$10,0),MATCH($J113,ModelParameters!$D$5:$K$5,0)),0)))</f>
        <v>0.016</v>
      </c>
      <c r="R113" s="157">
        <f>IF(B113="",0,IF(OR(N113=MappingTables!$C$12,N113=MappingTables!$C$15),INDEX(ModelParameters!$D$141:$K$145,MATCH($O113,ModelParameters!$B$13:$B$17,0),MATCH($J113,ModelParameters!$D$5:$K$5,0)),IF(N113=MappingTables!$C$13,INDEX(ModelParameters!$D$157:$K$161,MATCH($O113,ModelParameters!$B$13:$B$17,0),MATCH($J113,ModelParameters!$D$5:$K$5,0)),0)))</f>
        <v>0</v>
      </c>
      <c r="S113" s="71">
        <f>IF(B113="",0,MIN(P113*Q113+R113,1))</f>
        <v>0.016</v>
      </c>
      <c r="T113" s="73">
        <f>IF(B113="",0,$S113*$K113)</f>
        <v>2.1132816900143756</v>
      </c>
      <c r="U113" s="73">
        <f>IF(B113="",0,IF(OR(H113=MappingTables!$C$34,H113=MappingTables!$C$35),T113,0))</f>
        <v>0</v>
      </c>
      <c r="V113" s="73">
        <f>IF(ISNA(IF(AND(VLOOKUP(CONCATENATE($D113,$G113),CSRFinput!$B:$E,4,0)=0,OR(H113=MappingTables!$C$34,H113=MappingTables!$C$35)),1,VLOOKUP(CONCATENATE($D113,$G113),CSRFinput!$B:$E,4,0))),0,IF(AND(VLOOKUP(CONCATENATE($D113,$G113),CSRFinput!$B:$E,4,0)=0,OR(H113=MappingTables!$C$34,H113=MappingTables!$C$35)),1,VLOOKUP(CONCATENATE($D113,$G113),CSRFinput!$B:$E,4,0)))</f>
        <v>0.054776304963434752</v>
      </c>
      <c r="W113" s="73">
        <f>IF(B113="",0,+$T113*$V113)</f>
        <v>0.11575776232587022</v>
      </c>
      <c r="X113" s="85">
        <f>IF(B113="",0,IF(OR(H113=MappingTables!$C$34,H113=MappingTables!$C$35),W113,0))</f>
        <v>0</v>
      </c>
    </row>
    <row r="114" spans="2:24" s="0" customFormat="0" ht="15">
      <c r="B114" s="69">
        <v>4172303</v>
      </c>
      <c r="C114" s="70" t="s">
        <v>3266</v>
      </c>
      <c r="D114" s="70" t="s">
        <v>1</v>
      </c>
      <c r="E114" s="70" t="s">
        <v>1</v>
      </c>
      <c r="F114" s="70"/>
      <c r="G114" s="70" t="s">
        <v>61</v>
      </c>
      <c r="H114" s="70" t="s">
        <v>178</v>
      </c>
      <c r="I114" s="70" t="s">
        <v>220</v>
      </c>
      <c r="J114" s="71">
        <f>IF(OR(I114=0,I114=""),"unrated",VLOOKUP(I114,MappingTables!$B$19:$C$31,2,FALSE))</f>
        <v>1</v>
      </c>
      <c r="K114" s="72">
        <v>121.48032243438214</v>
      </c>
      <c r="L114" s="70">
        <v>0.068493418257060168</v>
      </c>
      <c r="M114" s="71">
        <f>IF(L114&lt;1,1,L114)</f>
        <v>1</v>
      </c>
      <c r="N114" s="70" t="s">
        <v>3191</v>
      </c>
      <c r="O114" s="157">
        <f>INDEX(DurClassMapping,MATCH(M114,MappingTables!$D$4:$D$8,-1),1)</f>
        <v>1</v>
      </c>
      <c r="P114" s="157">
        <f>IF(M114=$A$1,1,$M114-INDEX(MappingTables!$E$4:$E$8,MATCH(O114,MappingTables!$B$4:$B$8,0)))</f>
        <v>1</v>
      </c>
      <c r="Q114" s="157">
        <f>IF(B114="",0,IF(OR(N114=MappingTables!$C$12,N114=MappingTables!$C$15),INDEX(ModelParameters!$D$134:$K$138,MATCH($O114,ModelParameters!$B$6:$B$10,0),MATCH($J114,ModelParameters!$D$5:$K$5,0)),IF(N114=MappingTables!$C$13,INDEX(ModelParameters!$D$150:$K$154,MATCH($O114,ModelParameters!$B$6:$B$10,0),MATCH($J114,ModelParameters!$D$5:$K$5,0)),0)))</f>
        <v>0.012</v>
      </c>
      <c r="R114" s="157">
        <f>IF(B114="",0,IF(OR(N114=MappingTables!$C$12,N114=MappingTables!$C$15),INDEX(ModelParameters!$D$141:$K$145,MATCH($O114,ModelParameters!$B$13:$B$17,0),MATCH($J114,ModelParameters!$D$5:$K$5,0)),IF(N114=MappingTables!$C$13,INDEX(ModelParameters!$D$157:$K$161,MATCH($O114,ModelParameters!$B$13:$B$17,0),MATCH($J114,ModelParameters!$D$5:$K$5,0)),0)))</f>
        <v>0</v>
      </c>
      <c r="S114" s="71">
        <f>IF(B114="",0,MIN(P114*Q114+R114,1))</f>
        <v>0.012</v>
      </c>
      <c r="T114" s="73">
        <f>IF(B114="",0,$S114*$K114)</f>
        <v>1.4577638692125858</v>
      </c>
      <c r="U114" s="73">
        <f>IF(B114="",0,IF(OR(H114=MappingTables!$C$34,H114=MappingTables!$C$35),T114,0))</f>
        <v>0</v>
      </c>
      <c r="V114" s="73">
        <f>IF(ISNA(IF(AND(VLOOKUP(CONCATENATE($D114,$G114),CSRFinput!$B:$E,4,0)=0,OR(H114=MappingTables!$C$34,H114=MappingTables!$C$35)),1,VLOOKUP(CONCATENATE($D114,$G114),CSRFinput!$B:$E,4,0))),0,IF(AND(VLOOKUP(CONCATENATE($D114,$G114),CSRFinput!$B:$E,4,0)=0,OR(H114=MappingTables!$C$34,H114=MappingTables!$C$35)),1,VLOOKUP(CONCATENATE($D114,$G114),CSRFinput!$B:$E,4,0)))</f>
        <v>0.054776304963434752</v>
      </c>
      <c r="W114" s="73">
        <f>IF(B114="",0,+$T114*$V114)</f>
        <v>0.079850918264665216</v>
      </c>
      <c r="X114" s="85">
        <f>IF(B114="",0,IF(OR(H114=MappingTables!$C$34,H114=MappingTables!$C$35),W114,0))</f>
        <v>0</v>
      </c>
    </row>
    <row r="115" spans="2:24" s="0" customFormat="0" ht="15">
      <c r="B115" s="69" t="s">
        <v>3264</v>
      </c>
      <c r="C115" s="70" t="s">
        <v>3265</v>
      </c>
      <c r="D115" s="70" t="s">
        <v>1</v>
      </c>
      <c r="E115" s="70" t="s">
        <v>1</v>
      </c>
      <c r="F115" s="70"/>
      <c r="G115" s="70" t="s">
        <v>61</v>
      </c>
      <c r="H115" s="70" t="s">
        <v>178</v>
      </c>
      <c r="I115" s="70" t="s">
        <v>188</v>
      </c>
      <c r="J115" s="71">
        <f>IF(OR(I115=0,I115=""),"unrated",VLOOKUP(I115,MappingTables!$B$19:$C$31,2,FALSE))</f>
        <v>2</v>
      </c>
      <c r="K115" s="72">
        <v>110.64145096647098</v>
      </c>
      <c r="L115" s="70">
        <v>0.068497522730473088</v>
      </c>
      <c r="M115" s="71">
        <f>IF(L115&lt;1,1,L115)</f>
        <v>1</v>
      </c>
      <c r="N115" s="70" t="s">
        <v>3191</v>
      </c>
      <c r="O115" s="157">
        <f>INDEX(DurClassMapping,MATCH(M115,MappingTables!$D$4:$D$8,-1),1)</f>
        <v>1</v>
      </c>
      <c r="P115" s="157">
        <f>IF(M115=$A$1,1,$M115-INDEX(MappingTables!$E$4:$E$8,MATCH(O115,MappingTables!$B$4:$B$8,0)))</f>
        <v>1</v>
      </c>
      <c r="Q115" s="157">
        <f>IF(B115="",0,IF(OR(N115=MappingTables!$C$12,N115=MappingTables!$C$15),INDEX(ModelParameters!$D$134:$K$138,MATCH($O115,ModelParameters!$B$6:$B$10,0),MATCH($J115,ModelParameters!$D$5:$K$5,0)),IF(N115=MappingTables!$C$13,INDEX(ModelParameters!$D$150:$K$154,MATCH($O115,ModelParameters!$B$6:$B$10,0),MATCH($J115,ModelParameters!$D$5:$K$5,0)),0)))</f>
        <v>0.016</v>
      </c>
      <c r="R115" s="157">
        <f>IF(B115="",0,IF(OR(N115=MappingTables!$C$12,N115=MappingTables!$C$15),INDEX(ModelParameters!$D$141:$K$145,MATCH($O115,ModelParameters!$B$13:$B$17,0),MATCH($J115,ModelParameters!$D$5:$K$5,0)),IF(N115=MappingTables!$C$13,INDEX(ModelParameters!$D$157:$K$161,MATCH($O115,ModelParameters!$B$13:$B$17,0),MATCH($J115,ModelParameters!$D$5:$K$5,0)),0)))</f>
        <v>0</v>
      </c>
      <c r="S115" s="71">
        <f>IF(B115="",0,MIN(P115*Q115+R115,1))</f>
        <v>0.016</v>
      </c>
      <c r="T115" s="73">
        <f>IF(B115="",0,$S115*$K115)</f>
        <v>1.7702632154635358</v>
      </c>
      <c r="U115" s="73">
        <f>IF(B115="",0,IF(OR(H115=MappingTables!$C$34,H115=MappingTables!$C$35),T115,0))</f>
        <v>0</v>
      </c>
      <c r="V115" s="73">
        <f>IF(ISNA(IF(AND(VLOOKUP(CONCATENATE($D115,$G115),CSRFinput!$B:$E,4,0)=0,OR(H115=MappingTables!$C$34,H115=MappingTables!$C$35)),1,VLOOKUP(CONCATENATE($D115,$G115),CSRFinput!$B:$E,4,0))),0,IF(AND(VLOOKUP(CONCATENATE($D115,$G115),CSRFinput!$B:$E,4,0)=0,OR(H115=MappingTables!$C$34,H115=MappingTables!$C$35)),1,VLOOKUP(CONCATENATE($D115,$G115),CSRFinput!$B:$E,4,0)))</f>
        <v>0.054776304963434752</v>
      </c>
      <c r="W115" s="73">
        <f>IF(B115="",0,+$T115*$V115)</f>
        <v>0.096968477755781248</v>
      </c>
      <c r="X115" s="85">
        <f>IF(B115="",0,IF(OR(H115=MappingTables!$C$34,H115=MappingTables!$C$35),W115,0))</f>
        <v>0</v>
      </c>
    </row>
    <row r="116" spans="2:24" s="0" customFormat="0" ht="15">
      <c r="B116" s="69">
        <v>22554568</v>
      </c>
      <c r="C116" s="70" t="s">
        <v>3224</v>
      </c>
      <c r="D116" s="70" t="s">
        <v>1</v>
      </c>
      <c r="E116" s="70" t="s">
        <v>1</v>
      </c>
      <c r="F116" s="70"/>
      <c r="G116" s="70" t="s">
        <v>61</v>
      </c>
      <c r="H116" s="70" t="s">
        <v>178</v>
      </c>
      <c r="I116" s="70" t="s">
        <v>220</v>
      </c>
      <c r="J116" s="71">
        <f>IF(OR(I116=0,I116=""),"unrated",VLOOKUP(I116,MappingTables!$B$19:$C$31,2,FALSE))</f>
        <v>1</v>
      </c>
      <c r="K116" s="72">
        <v>170.25400108163958</v>
      </c>
      <c r="L116" s="70">
        <v>0.068494897390851072</v>
      </c>
      <c r="M116" s="71">
        <f>IF(L116&lt;1,1,L116)</f>
        <v>1</v>
      </c>
      <c r="N116" s="70" t="s">
        <v>3191</v>
      </c>
      <c r="O116" s="157">
        <f>INDEX(DurClassMapping,MATCH(M116,MappingTables!$D$4:$D$8,-1),1)</f>
        <v>1</v>
      </c>
      <c r="P116" s="157">
        <f>IF(M116=$A$1,1,$M116-INDEX(MappingTables!$E$4:$E$8,MATCH(O116,MappingTables!$B$4:$B$8,0)))</f>
        <v>1</v>
      </c>
      <c r="Q116" s="157">
        <f>IF(B116="",0,IF(OR(N116=MappingTables!$C$12,N116=MappingTables!$C$15),INDEX(ModelParameters!$D$134:$K$138,MATCH($O116,ModelParameters!$B$6:$B$10,0),MATCH($J116,ModelParameters!$D$5:$K$5,0)),IF(N116=MappingTables!$C$13,INDEX(ModelParameters!$D$150:$K$154,MATCH($O116,ModelParameters!$B$6:$B$10,0),MATCH($J116,ModelParameters!$D$5:$K$5,0)),0)))</f>
        <v>0.012</v>
      </c>
      <c r="R116" s="157">
        <f>IF(B116="",0,IF(OR(N116=MappingTables!$C$12,N116=MappingTables!$C$15),INDEX(ModelParameters!$D$141:$K$145,MATCH($O116,ModelParameters!$B$13:$B$17,0),MATCH($J116,ModelParameters!$D$5:$K$5,0)),IF(N116=MappingTables!$C$13,INDEX(ModelParameters!$D$157:$K$161,MATCH($O116,ModelParameters!$B$13:$B$17,0),MATCH($J116,ModelParameters!$D$5:$K$5,0)),0)))</f>
        <v>0</v>
      </c>
      <c r="S116" s="71">
        <f>IF(B116="",0,MIN(P116*Q116+R116,1))</f>
        <v>0.012</v>
      </c>
      <c r="T116" s="73">
        <f>IF(B116="",0,$S116*$K116)</f>
        <v>2.0430480129796748</v>
      </c>
      <c r="U116" s="73">
        <f>IF(B116="",0,IF(OR(H116=MappingTables!$C$34,H116=MappingTables!$C$35),T116,0))</f>
        <v>0</v>
      </c>
      <c r="V116" s="73">
        <f>IF(ISNA(IF(AND(VLOOKUP(CONCATENATE($D116,$G116),CSRFinput!$B:$E,4,0)=0,OR(H116=MappingTables!$C$34,H116=MappingTables!$C$35)),1,VLOOKUP(CONCATENATE($D116,$G116),CSRFinput!$B:$E,4,0))),0,IF(AND(VLOOKUP(CONCATENATE($D116,$G116),CSRFinput!$B:$E,4,0)=0,OR(H116=MappingTables!$C$34,H116=MappingTables!$C$35)),1,VLOOKUP(CONCATENATE($D116,$G116),CSRFinput!$B:$E,4,0)))</f>
        <v>0.054776304963434752</v>
      </c>
      <c r="W116" s="73">
        <f>IF(B116="",0,+$T116*$V116)</f>
        <v>0.11191062101391408</v>
      </c>
      <c r="X116" s="85">
        <f>IF(B116="",0,IF(OR(H116=MappingTables!$C$34,H116=MappingTables!$C$35),W116,0))</f>
        <v>0</v>
      </c>
    </row>
    <row r="117" spans="2:24" s="0" customFormat="0" ht="15">
      <c r="B117" s="69" t="s">
        <v>3267</v>
      </c>
      <c r="C117" s="70" t="s">
        <v>3268</v>
      </c>
      <c r="D117" s="70" t="s">
        <v>1</v>
      </c>
      <c r="E117" s="70" t="s">
        <v>1</v>
      </c>
      <c r="F117" s="70"/>
      <c r="G117" s="70" t="s">
        <v>61</v>
      </c>
      <c r="H117" s="70" t="s">
        <v>178</v>
      </c>
      <c r="I117" s="70" t="s">
        <v>216</v>
      </c>
      <c r="J117" s="71">
        <f>IF(OR(I117=0,I117=""),"unrated",VLOOKUP(I117,MappingTables!$B$19:$C$31,2,FALSE))</f>
        <v>0</v>
      </c>
      <c r="K117" s="72">
        <v>0.2783414925318306</v>
      </c>
      <c r="L117" s="70">
        <v>0.077921472221607408</v>
      </c>
      <c r="M117" s="71">
        <f>IF(L117&lt;1,1,L117)</f>
        <v>1</v>
      </c>
      <c r="N117" s="70" t="s">
        <v>3191</v>
      </c>
      <c r="O117" s="157">
        <f>INDEX(DurClassMapping,MATCH(M117,MappingTables!$D$4:$D$8,-1),1)</f>
        <v>1</v>
      </c>
      <c r="P117" s="157">
        <f>IF(M117=$A$1,1,$M117-INDEX(MappingTables!$E$4:$E$8,MATCH(O117,MappingTables!$B$4:$B$8,0)))</f>
        <v>1</v>
      </c>
      <c r="Q117" s="157">
        <f>IF(B117="",0,IF(OR(N117=MappingTables!$C$12,N117=MappingTables!$C$15),INDEX(ModelParameters!$D$134:$K$138,MATCH($O117,ModelParameters!$B$6:$B$10,0),MATCH($J117,ModelParameters!$D$5:$K$5,0)),IF(N117=MappingTables!$C$13,INDEX(ModelParameters!$D$150:$K$154,MATCH($O117,ModelParameters!$B$6:$B$10,0),MATCH($J117,ModelParameters!$D$5:$K$5,0)),0)))</f>
        <v>0.01</v>
      </c>
      <c r="R117" s="157">
        <f>IF(B117="",0,IF(OR(N117=MappingTables!$C$12,N117=MappingTables!$C$15),INDEX(ModelParameters!$D$141:$K$145,MATCH($O117,ModelParameters!$B$13:$B$17,0),MATCH($J117,ModelParameters!$D$5:$K$5,0)),IF(N117=MappingTables!$C$13,INDEX(ModelParameters!$D$157:$K$161,MATCH($O117,ModelParameters!$B$13:$B$17,0),MATCH($J117,ModelParameters!$D$5:$K$5,0)),0)))</f>
        <v>0</v>
      </c>
      <c r="S117" s="71">
        <f>IF(B117="",0,MIN(P117*Q117+R117,1))</f>
        <v>0.01</v>
      </c>
      <c r="T117" s="73">
        <f>IF(B117="",0,$S117*$K117)</f>
        <v>0.002783414925318306</v>
      </c>
      <c r="U117" s="73">
        <f>IF(B117="",0,IF(OR(H117=MappingTables!$C$34,H117=MappingTables!$C$35),T117,0))</f>
        <v>0</v>
      </c>
      <c r="V117" s="73">
        <f>IF(ISNA(IF(AND(VLOOKUP(CONCATENATE($D117,$G117),CSRFinput!$B:$E,4,0)=0,OR(H117=MappingTables!$C$34,H117=MappingTables!$C$35)),1,VLOOKUP(CONCATENATE($D117,$G117),CSRFinput!$B:$E,4,0))),0,IF(AND(VLOOKUP(CONCATENATE($D117,$G117),CSRFinput!$B:$E,4,0)=0,OR(H117=MappingTables!$C$34,H117=MappingTables!$C$35)),1,VLOOKUP(CONCATENATE($D117,$G117),CSRFinput!$B:$E,4,0)))</f>
        <v>0.054776304963434752</v>
      </c>
      <c r="W117" s="73">
        <f>IF(B117="",0,+$T117*$V117)</f>
        <v>0.0001524651847890115</v>
      </c>
      <c r="X117" s="85">
        <f>IF(B117="",0,IF(OR(H117=MappingTables!$C$34,H117=MappingTables!$C$35),W117,0))</f>
        <v>0</v>
      </c>
    </row>
  </sheetData>
  <pageMargins left="0.75" right="0.75" top="1" bottom="1" header="0.5" footer="0.5"/>
  <headerFooter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1"/>
  <dimension ref="B2:X2309"/>
  <sheetViews>
    <sheetView showGridLines="0" workbookViewId="0"/>
  </sheetViews>
  <sheetFormatPr defaultColWidth="9.1484375" defaultRowHeight="12.75" customHeight="0"/>
  <cols>
    <col min="3" max="3" width="11.5703125" style="1" customWidth="1"/>
    <col min="7" max="7" width="12" style="1" customWidth="1"/>
    <col min="11" max="11" width="17.5703125" style="1" customWidth="1"/>
    <col min="14" max="14" width="13.28515625" style="1" customWidth="1"/>
    <col min="16" max="16" width="14.14453125" style="1" customWidth="1"/>
    <col min="19" max="19" width="14.4296875" style="1" customWidth="1"/>
    <col min="20" max="20" width="13" style="1" customWidth="1"/>
  </cols>
  <sheetData>
    <row r="1" s="0" customFormat="0" ht="15"/>
    <row r="2" spans="2:23" s="0" customFormat="0" ht="15">
      <c r="B2" s="204" t="s">
        <v>3285</v>
      </c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6"/>
      <c r="T2" s="206"/>
      <c r="U2" s="27"/>
      <c r="V2" s="27"/>
      <c r="W2" s="27"/>
    </row>
    <row r="3" spans="2:24" s="0" customFormat="0" ht="44.25" customHeight="1">
      <c r="B3" s="122" t="s">
        <v>155</v>
      </c>
      <c r="C3" s="122" t="s">
        <v>156</v>
      </c>
      <c r="D3" s="122" t="s">
        <v>10</v>
      </c>
      <c r="E3" s="122" t="s">
        <v>157</v>
      </c>
      <c r="F3" s="122" t="s">
        <v>158</v>
      </c>
      <c r="G3" s="122" t="s">
        <v>159</v>
      </c>
      <c r="H3" s="122" t="s">
        <v>160</v>
      </c>
      <c r="I3" s="122" t="s">
        <v>161</v>
      </c>
      <c r="J3" s="122" t="s">
        <v>162</v>
      </c>
      <c r="K3" s="122" t="s">
        <v>163</v>
      </c>
      <c r="L3" s="122" t="s">
        <v>164</v>
      </c>
      <c r="M3" s="122" t="s">
        <v>165</v>
      </c>
      <c r="N3" s="122" t="s">
        <v>3188</v>
      </c>
      <c r="O3" s="122" t="s">
        <v>170</v>
      </c>
      <c r="P3" s="122" t="s">
        <v>171</v>
      </c>
      <c r="Q3" s="122" t="s">
        <v>172</v>
      </c>
      <c r="R3" s="122" t="s">
        <v>173</v>
      </c>
      <c r="S3" s="123" t="s">
        <v>174</v>
      </c>
      <c r="T3" s="95" t="s">
        <v>175</v>
      </c>
      <c r="W3" s="124"/>
      <c r="X3" s="24" t="s">
        <v>5</v>
      </c>
    </row>
    <row r="4" spans="2:24" s="0" customFormat="0" ht="15">
      <c r="B4" s="69" t="s">
        <v>3286</v>
      </c>
      <c r="C4" s="70" t="s">
        <v>3287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198</v>
      </c>
      <c r="J4" s="71" t="str">
        <f>IF(OR(I4=0,I4=""),"unrated",VLOOKUP(I4,MappingTables!$B$19:$C$31,2,FALSE))</f>
        <v>unrated</v>
      </c>
      <c r="K4" s="72">
        <v>664.19267309080576</v>
      </c>
      <c r="L4" s="70">
        <v>25.123094348652568</v>
      </c>
      <c r="M4" s="71">
        <f>IF(L4&lt;1,1,L4)</f>
        <v>25.123094348652568</v>
      </c>
      <c r="N4" s="70" t="s">
        <v>3288</v>
      </c>
      <c r="O4" s="71">
        <f>IF(OR(I4=$A$1,I4=0),"",IF(N4=MappingTables!$C$14,VLOOKUP(J4,ModelParameters!$M$8:$N$15,2,FALSE),IF(N4=MappingTables!$C$16,VLOOKUP(J4,ModelParameters!$P$8:$Q$15,2,FALSE),0)))</f>
        <v>1</v>
      </c>
      <c r="P4" s="73">
        <f>IF(OR(I4=0,I4=$A$1),0,MIN(O4*M4,1)*K4)</f>
        <v>664.19267309080576</v>
      </c>
      <c r="Q4" s="73">
        <f>IF(B4="",0,IF(OR(H4=MappingTables!$C$34,H4=MappingTables!$C$35),P4,0))</f>
        <v>0</v>
      </c>
      <c r="R4" s="73">
        <f>IF(ISNA(IF(AND(VLOOKUP(CONCATENATE($D4,$G4),CSRFinput!$B:$E,4,0)=0,OR(H4=MappingTables!$C$31,H4=MappingTables!$C$32)),1,VLOOKUP(CONCATENATE($D4,$G4),CSRFinput!$B:$E,4,0))),0,IF(AND(VLOOKUP(CONCATENATE($D4,$G4),CSRFinput!$B:$E,4,0)=0,OR(H4=MappingTables!$C$31,H4=MappingTables!$C$32)),1,VLOOKUP(CONCATENATE($D4,$G4),CSRFinput!$B:$E,4,0)))</f>
        <v>0.054776304963434752</v>
      </c>
      <c r="S4" s="73">
        <f>IF(B4="",0,P4*R4)</f>
        <v>36.382020415700904</v>
      </c>
      <c r="T4" s="85">
        <f>IF(B4="",0,IF(OR(H4=MappingTables!$C$34,H4=MappingTables!$C$35),S4,0))</f>
        <v>0</v>
      </c>
      <c r="W4" s="35"/>
      <c r="X4" s="27" t="s">
        <v>8</v>
      </c>
    </row>
    <row r="5" spans="2:24" s="0" customFormat="0" ht="15">
      <c r="B5" s="69" t="s">
        <v>3289</v>
      </c>
      <c r="C5" s="70" t="s">
        <v>3290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3291</v>
      </c>
      <c r="J5" s="71">
        <f>IF(OR(I5=0,I5=""),"unrated",VLOOKUP(I5,MappingTables!$B$19:$C$31,2,FALSE))</f>
        <v>6</v>
      </c>
      <c r="K5" s="72">
        <v>429.89096261577696</v>
      </c>
      <c r="L5" s="70">
        <v>-0.36447158583631776</v>
      </c>
      <c r="M5" s="71">
        <f>IF(L5&lt;1,1,L5)</f>
        <v>1</v>
      </c>
      <c r="N5" s="70" t="s">
        <v>3288</v>
      </c>
      <c r="O5" s="71">
        <f>IF(OR(I5=$A$1,I5=0),"",IF(N5=MappingTables!$C$14,VLOOKUP(J5,ModelParameters!$M$8:$N$15,2,FALSE),IF(N5=MappingTables!$C$16,VLOOKUP(J5,ModelParameters!$P$8:$Q$15,2,FALSE),0)))</f>
        <v>1</v>
      </c>
      <c r="P5" s="73">
        <f>IF(OR(I5=0,I5=$A$1),0,MIN(O5*M5,1)*K5)</f>
        <v>429.89096261577696</v>
      </c>
      <c r="Q5" s="73">
        <f>IF(B5="",0,IF(OR(H5=MappingTables!$C$34,H5=MappingTables!$C$35),P5,0))</f>
        <v>0</v>
      </c>
      <c r="R5" s="73">
        <f>IF(ISNA(IF(AND(VLOOKUP(CONCATENATE($D5,$G5),CSRFinput!$B:$E,4,0)=0,OR(H5=MappingTables!$C$31,H5=MappingTables!$C$32)),1,VLOOKUP(CONCATENATE($D5,$G5),CSRFinput!$B:$E,4,0))),0,IF(AND(VLOOKUP(CONCATENATE($D5,$G5),CSRFinput!$B:$E,4,0)=0,OR(H5=MappingTables!$C$31,H5=MappingTables!$C$32)),1,VLOOKUP(CONCATENATE($D5,$G5),CSRFinput!$B:$E,4,0)))</f>
        <v>0.054776304963434752</v>
      </c>
      <c r="S5" s="73">
        <f>IF(B5="",0,P5*R5)</f>
        <v>23.547838469266328</v>
      </c>
      <c r="T5" s="85">
        <f>IF(B5="",0,IF(OR(H5=MappingTables!$C$34,H5=MappingTables!$C$35),S5,0))</f>
        <v>0</v>
      </c>
      <c r="W5" s="36"/>
      <c r="X5" s="27" t="s">
        <v>11</v>
      </c>
    </row>
    <row r="6" spans="2:24" s="0" customFormat="0" ht="15">
      <c r="B6" s="69">
        <v>16974686</v>
      </c>
      <c r="C6" s="70" t="s">
        <v>3292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198</v>
      </c>
      <c r="J6" s="71" t="str">
        <f>IF(OR(I6=0,I6=""),"unrated",VLOOKUP(I6,MappingTables!$B$19:$C$31,2,FALSE))</f>
        <v>unrated</v>
      </c>
      <c r="K6" s="72">
        <v>235.43972947447632</v>
      </c>
      <c r="L6" s="70">
        <v>0.11212878005977756</v>
      </c>
      <c r="M6" s="71">
        <f>IF(L6&lt;1,1,L6)</f>
        <v>1</v>
      </c>
      <c r="N6" s="70" t="s">
        <v>3288</v>
      </c>
      <c r="O6" s="71">
        <f>IF(OR(I6=$A$1,I6=0),"",IF(N6=MappingTables!$C$14,VLOOKUP(J6,ModelParameters!$M$8:$N$15,2,FALSE),IF(N6=MappingTables!$C$16,VLOOKUP(J6,ModelParameters!$P$8:$Q$15,2,FALSE),0)))</f>
        <v>1</v>
      </c>
      <c r="P6" s="73">
        <f>IF(OR(I6=0,I6=$A$1),0,MIN(O6*M6,1)*K6)</f>
        <v>235.43972947447632</v>
      </c>
      <c r="Q6" s="73">
        <f>IF(B6="",0,IF(OR(H6=MappingTables!$C$34,H6=MappingTables!$C$35),P6,0))</f>
        <v>0</v>
      </c>
      <c r="R6" s="73">
        <f>IF(ISNA(IF(AND(VLOOKUP(CONCATENATE($D6,$G6),CSRFinput!$B:$E,4,0)=0,OR(H6=MappingTables!$C$31,H6=MappingTables!$C$32)),1,VLOOKUP(CONCATENATE($D6,$G6),CSRFinput!$B:$E,4,0))),0,IF(AND(VLOOKUP(CONCATENATE($D6,$G6),CSRFinput!$B:$E,4,0)=0,OR(H6=MappingTables!$C$31,H6=MappingTables!$C$32)),1,VLOOKUP(CONCATENATE($D6,$G6),CSRFinput!$B:$E,4,0)))</f>
        <v>0.054776304963434752</v>
      </c>
      <c r="S6" s="73">
        <f>IF(B6="",0,P6*R6)</f>
        <v>12.896518422202492</v>
      </c>
      <c r="T6" s="85">
        <f>IF(B6="",0,IF(OR(H6=MappingTables!$C$34,H6=MappingTables!$C$35),S6,0))</f>
        <v>0</v>
      </c>
      <c r="W6" s="37"/>
      <c r="X6" s="27" t="s">
        <v>14</v>
      </c>
    </row>
    <row r="7" spans="2:20" s="0" customFormat="0" ht="15">
      <c r="B7" s="69" t="s">
        <v>3293</v>
      </c>
      <c r="C7" s="70" t="s">
        <v>3294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198</v>
      </c>
      <c r="J7" s="71" t="str">
        <f>IF(OR(I7=0,I7=""),"unrated",VLOOKUP(I7,MappingTables!$B$19:$C$31,2,FALSE))</f>
        <v>unrated</v>
      </c>
      <c r="K7" s="72">
        <v>158.7598712947616</v>
      </c>
      <c r="L7" s="70">
        <v>-0.23920875853901936</v>
      </c>
      <c r="M7" s="71">
        <f>IF(L7&lt;1,1,L7)</f>
        <v>1</v>
      </c>
      <c r="N7" s="70" t="s">
        <v>3288</v>
      </c>
      <c r="O7" s="71">
        <f>IF(OR(I7=$A$1,I7=0),"",IF(N7=MappingTables!$C$14,VLOOKUP(J7,ModelParameters!$M$8:$N$15,2,FALSE),IF(N7=MappingTables!$C$16,VLOOKUP(J7,ModelParameters!$P$8:$Q$15,2,FALSE),0)))</f>
        <v>1</v>
      </c>
      <c r="P7" s="73">
        <f>IF(OR(I7=0,I7=$A$1),0,MIN(O7*M7,1)*K7)</f>
        <v>158.7598712947616</v>
      </c>
      <c r="Q7" s="73">
        <f>IF(B7="",0,IF(OR(H7=MappingTables!$C$34,H7=MappingTables!$C$35),P7,0))</f>
        <v>0</v>
      </c>
      <c r="R7" s="73">
        <f>IF(ISNA(IF(AND(VLOOKUP(CONCATENATE($D7,$G7),CSRFinput!$B:$E,4,0)=0,OR(H7=MappingTables!$C$31,H7=MappingTables!$C$32)),1,VLOOKUP(CONCATENATE($D7,$G7),CSRFinput!$B:$E,4,0))),0,IF(AND(VLOOKUP(CONCATENATE($D7,$G7),CSRFinput!$B:$E,4,0)=0,OR(H7=MappingTables!$C$31,H7=MappingTables!$C$32)),1,VLOOKUP(CONCATENATE($D7,$G7),CSRFinput!$B:$E,4,0)))</f>
        <v>0.054776304963434752</v>
      </c>
      <c r="S7" s="73">
        <f>IF(B7="",0,P7*R7)</f>
        <v>8.6962791259975136</v>
      </c>
      <c r="T7" s="85">
        <f>IF(B7="",0,IF(OR(H7=MappingTables!$C$34,H7=MappingTables!$C$35),S7,0))</f>
        <v>0</v>
      </c>
    </row>
    <row r="8" spans="2:20" s="0" customFormat="0" ht="15">
      <c r="B8" s="69">
        <v>16974966</v>
      </c>
      <c r="C8" s="70" t="s">
        <v>3295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216</v>
      </c>
      <c r="J8" s="71">
        <f>IF(OR(I8=0,I8=""),"unrated",VLOOKUP(I8,MappingTables!$B$19:$C$31,2,FALSE))</f>
        <v>0</v>
      </c>
      <c r="K8" s="72">
        <v>1101.7523740897344</v>
      </c>
      <c r="L8" s="70">
        <v>0.026276356156126912</v>
      </c>
      <c r="M8" s="71">
        <f>IF(L8&lt;1,1,L8)</f>
        <v>1</v>
      </c>
      <c r="N8" s="70" t="s">
        <v>3288</v>
      </c>
      <c r="O8" s="71">
        <f>IF(OR(I8=$A$1,I8=0),"",IF(N8=MappingTables!$C$14,VLOOKUP(J8,ModelParameters!$M$8:$N$15,2,FALSE),IF(N8=MappingTables!$C$16,VLOOKUP(J8,ModelParameters!$P$8:$Q$15,2,FALSE),0)))</f>
        <v>0.125</v>
      </c>
      <c r="P8" s="73">
        <f>IF(OR(I8=0,I8=$A$1),0,MIN(O8*M8,1)*K8)</f>
        <v>137.71904676121678</v>
      </c>
      <c r="Q8" s="73">
        <f>IF(B8="",0,IF(OR(H8=MappingTables!$C$34,H8=MappingTables!$C$35),P8,0))</f>
        <v>0</v>
      </c>
      <c r="R8" s="73">
        <f>IF(ISNA(IF(AND(VLOOKUP(CONCATENATE($D8,$G8),CSRFinput!$B:$E,4,0)=0,OR(H8=MappingTables!$C$31,H8=MappingTables!$C$32)),1,VLOOKUP(CONCATENATE($D8,$G8),CSRFinput!$B:$E,4,0))),0,IF(AND(VLOOKUP(CONCATENATE($D8,$G8),CSRFinput!$B:$E,4,0)=0,OR(H8=MappingTables!$C$31,H8=MappingTables!$C$32)),1,VLOOKUP(CONCATENATE($D8,$G8),CSRFinput!$B:$E,4,0)))</f>
        <v>0.054776304963434752</v>
      </c>
      <c r="S8" s="73">
        <f>IF(B8="",0,P8*R8)</f>
        <v>7.5437405046659424</v>
      </c>
      <c r="T8" s="85">
        <f>IF(B8="",0,IF(OR(H8=MappingTables!$C$34,H8=MappingTables!$C$35),S8,0))</f>
        <v>0</v>
      </c>
    </row>
    <row r="9" spans="2:20" s="0" customFormat="0" ht="15">
      <c r="B9" s="69" t="s">
        <v>3296</v>
      </c>
      <c r="C9" s="70" t="s">
        <v>3297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3298</v>
      </c>
      <c r="J9" s="71">
        <f>IF(OR(I9=0,I9=""),"unrated",VLOOKUP(I9,MappingTables!$B$19:$C$31,2,FALSE))</f>
        <v>6</v>
      </c>
      <c r="K9" s="72">
        <v>490.59295789261512</v>
      </c>
      <c r="L9" s="70">
        <v>0.068492366963957776</v>
      </c>
      <c r="M9" s="71">
        <f>IF(L9&lt;1,1,L9)</f>
        <v>1</v>
      </c>
      <c r="N9" s="70" t="s">
        <v>3288</v>
      </c>
      <c r="O9" s="71">
        <f>IF(OR(I9=$A$1,I9=0),"",IF(N9=MappingTables!$C$14,VLOOKUP(J9,ModelParameters!$M$8:$N$15,2,FALSE),IF(N9=MappingTables!$C$16,VLOOKUP(J9,ModelParameters!$P$8:$Q$15,2,FALSE),0)))</f>
        <v>1</v>
      </c>
      <c r="P9" s="73">
        <f>IF(OR(I9=0,I9=$A$1),0,MIN(O9*M9,1)*K9)</f>
        <v>490.59295789261512</v>
      </c>
      <c r="Q9" s="73">
        <f>IF(B9="",0,IF(OR(H9=MappingTables!$C$34,H9=MappingTables!$C$35),P9,0))</f>
        <v>0</v>
      </c>
      <c r="R9" s="73">
        <f>IF(ISNA(IF(AND(VLOOKUP(CONCATENATE($D9,$G9),CSRFinput!$B:$E,4,0)=0,OR(H9=MappingTables!$C$31,H9=MappingTables!$C$32)),1,VLOOKUP(CONCATENATE($D9,$G9),CSRFinput!$B:$E,4,0))),0,IF(AND(VLOOKUP(CONCATENATE($D9,$G9),CSRFinput!$B:$E,4,0)=0,OR(H9=MappingTables!$C$31,H9=MappingTables!$C$32)),1,VLOOKUP(CONCATENATE($D9,$G9),CSRFinput!$B:$E,4,0)))</f>
        <v>0.054776304963434752</v>
      </c>
      <c r="S9" s="73">
        <f>IF(B9="",0,P9*R9)</f>
        <v>26.872869474439392</v>
      </c>
      <c r="T9" s="85">
        <f>IF(B9="",0,IF(OR(H9=MappingTables!$C$34,H9=MappingTables!$C$35),S9,0))</f>
        <v>0</v>
      </c>
    </row>
    <row r="10" spans="2:20" s="0" customFormat="0" ht="15">
      <c r="B10" s="69" t="s">
        <v>3299</v>
      </c>
      <c r="C10" s="70" t="s">
        <v>3300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3298</v>
      </c>
      <c r="J10" s="71">
        <f>IF(OR(I10=0,I10=""),"unrated",VLOOKUP(I10,MappingTables!$B$19:$C$31,2,FALSE))</f>
        <v>6</v>
      </c>
      <c r="K10" s="72">
        <v>51.545807338520384</v>
      </c>
      <c r="L10" s="70">
        <v>0.2344682835694458</v>
      </c>
      <c r="M10" s="71">
        <f>IF(L10&lt;1,1,L10)</f>
        <v>1</v>
      </c>
      <c r="N10" s="70" t="s">
        <v>3288</v>
      </c>
      <c r="O10" s="71">
        <f>IF(OR(I10=$A$1,I10=0),"",IF(N10=MappingTables!$C$14,VLOOKUP(J10,ModelParameters!$M$8:$N$15,2,FALSE),IF(N10=MappingTables!$C$16,VLOOKUP(J10,ModelParameters!$P$8:$Q$15,2,FALSE),0)))</f>
        <v>1</v>
      </c>
      <c r="P10" s="73">
        <f>IF(OR(I10=0,I10=$A$1),0,MIN(O10*M10,1)*K10)</f>
        <v>51.545807338520384</v>
      </c>
      <c r="Q10" s="73">
        <f>IF(B10="",0,IF(OR(H10=MappingTables!$C$34,H10=MappingTables!$C$35),P10,0))</f>
        <v>0</v>
      </c>
      <c r="R10" s="73">
        <f>IF(ISNA(IF(AND(VLOOKUP(CONCATENATE($D10,$G10),CSRFinput!$B:$E,4,0)=0,OR(H10=MappingTables!$C$31,H10=MappingTables!$C$32)),1,VLOOKUP(CONCATENATE($D10,$G10),CSRFinput!$B:$E,4,0))),0,IF(AND(VLOOKUP(CONCATENATE($D10,$G10),CSRFinput!$B:$E,4,0)=0,OR(H10=MappingTables!$C$31,H10=MappingTables!$C$32)),1,VLOOKUP(CONCATENATE($D10,$G10),CSRFinput!$B:$E,4,0)))</f>
        <v>0.054776304963434752</v>
      </c>
      <c r="S10" s="73">
        <f>IF(B10="",0,P10*R10)</f>
        <v>2.8234888623612456</v>
      </c>
      <c r="T10" s="85">
        <f>IF(B10="",0,IF(OR(H10=MappingTables!$C$34,H10=MappingTables!$C$35),S10,0))</f>
        <v>0</v>
      </c>
    </row>
    <row r="11" spans="2:20" s="0" customFormat="0" ht="15">
      <c r="B11" s="69" t="s">
        <v>3301</v>
      </c>
      <c r="C11" s="70" t="s">
        <v>3302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3298</v>
      </c>
      <c r="J11" s="71">
        <f>IF(OR(I11=0,I11=""),"unrated",VLOOKUP(I11,MappingTables!$B$19:$C$31,2,FALSE))</f>
        <v>6</v>
      </c>
      <c r="K11" s="72">
        <v>3664.0995958718496</v>
      </c>
      <c r="L11" s="70">
        <v>0.068496651213655072</v>
      </c>
      <c r="M11" s="71">
        <f>IF(L11&lt;1,1,L11)</f>
        <v>1</v>
      </c>
      <c r="N11" s="70" t="s">
        <v>3288</v>
      </c>
      <c r="O11" s="71">
        <f>IF(OR(I11=$A$1,I11=0),"",IF(N11=MappingTables!$C$14,VLOOKUP(J11,ModelParameters!$M$8:$N$15,2,FALSE),IF(N11=MappingTables!$C$16,VLOOKUP(J11,ModelParameters!$P$8:$Q$15,2,FALSE),0)))</f>
        <v>1</v>
      </c>
      <c r="P11" s="73">
        <f>IF(OR(I11=0,I11=$A$1),0,MIN(O11*M11,1)*K11)</f>
        <v>3664.0995958718496</v>
      </c>
      <c r="Q11" s="73">
        <f>IF(B11="",0,IF(OR(H11=MappingTables!$C$34,H11=MappingTables!$C$35),P11,0))</f>
        <v>0</v>
      </c>
      <c r="R11" s="73">
        <f>IF(ISNA(IF(AND(VLOOKUP(CONCATENATE($D11,$G11),CSRFinput!$B:$E,4,0)=0,OR(H11=MappingTables!$C$31,H11=MappingTables!$C$32)),1,VLOOKUP(CONCATENATE($D11,$G11),CSRFinput!$B:$E,4,0))),0,IF(AND(VLOOKUP(CONCATENATE($D11,$G11),CSRFinput!$B:$E,4,0)=0,OR(H11=MappingTables!$C$31,H11=MappingTables!$C$32)),1,VLOOKUP(CONCATENATE($D11,$G11),CSRFinput!$B:$E,4,0)))</f>
        <v>0.054776304963434752</v>
      </c>
      <c r="S11" s="73">
        <f>IF(B11="",0,P11*R11)</f>
        <v>200.70583687987444</v>
      </c>
      <c r="T11" s="85">
        <f>IF(B11="",0,IF(OR(H11=MappingTables!$C$34,H11=MappingTables!$C$35),S11,0))</f>
        <v>0</v>
      </c>
    </row>
    <row r="12" spans="2:20" s="0" customFormat="0" ht="15">
      <c r="B12" s="69" t="s">
        <v>3303</v>
      </c>
      <c r="C12" s="70" t="s">
        <v>3304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198</v>
      </c>
      <c r="J12" s="71" t="str">
        <f>IF(OR(I12=0,I12=""),"unrated",VLOOKUP(I12,MappingTables!$B$19:$C$31,2,FALSE))</f>
        <v>unrated</v>
      </c>
      <c r="K12" s="72">
        <v>207.57448443285988</v>
      </c>
      <c r="L12" s="70">
        <v>10.863919088151964</v>
      </c>
      <c r="M12" s="71">
        <f>IF(L12&lt;1,1,L12)</f>
        <v>10.863919088151964</v>
      </c>
      <c r="N12" s="70" t="s">
        <v>3288</v>
      </c>
      <c r="O12" s="71">
        <f>IF(OR(I12=$A$1,I12=0),"",IF(N12=MappingTables!$C$14,VLOOKUP(J12,ModelParameters!$M$8:$N$15,2,FALSE),IF(N12=MappingTables!$C$16,VLOOKUP(J12,ModelParameters!$P$8:$Q$15,2,FALSE),0)))</f>
        <v>1</v>
      </c>
      <c r="P12" s="73">
        <f>IF(OR(I12=0,I12=$A$1),0,MIN(O12*M12,1)*K12)</f>
        <v>207.57448443285988</v>
      </c>
      <c r="Q12" s="73">
        <f>IF(B12="",0,IF(OR(H12=MappingTables!$C$34,H12=MappingTables!$C$35),P12,0))</f>
        <v>0</v>
      </c>
      <c r="R12" s="73">
        <f>IF(ISNA(IF(AND(VLOOKUP(CONCATENATE($D12,$G12),CSRFinput!$B:$E,4,0)=0,OR(H12=MappingTables!$C$31,H12=MappingTables!$C$32)),1,VLOOKUP(CONCATENATE($D12,$G12),CSRFinput!$B:$E,4,0))),0,IF(AND(VLOOKUP(CONCATENATE($D12,$G12),CSRFinput!$B:$E,4,0)=0,OR(H12=MappingTables!$C$31,H12=MappingTables!$C$32)),1,VLOOKUP(CONCATENATE($D12,$G12),CSRFinput!$B:$E,4,0)))</f>
        <v>0.054776304963434752</v>
      </c>
      <c r="S12" s="73">
        <f>IF(B12="",0,P12*R12)</f>
        <v>11.370163261922072</v>
      </c>
      <c r="T12" s="85">
        <f>IF(B12="",0,IF(OR(H12=MappingTables!$C$34,H12=MappingTables!$C$35),S12,0))</f>
        <v>0</v>
      </c>
    </row>
    <row r="13" spans="2:20" s="0" customFormat="0" ht="15">
      <c r="B13" s="69">
        <v>18746155</v>
      </c>
      <c r="C13" s="70" t="s">
        <v>3305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216</v>
      </c>
      <c r="J13" s="71">
        <f>IF(OR(I13=0,I13=""),"unrated",VLOOKUP(I13,MappingTables!$B$19:$C$31,2,FALSE))</f>
        <v>0</v>
      </c>
      <c r="K13" s="72">
        <v>352.97751365041212</v>
      </c>
      <c r="L13" s="70">
        <v>0.054209242656061104</v>
      </c>
      <c r="M13" s="71">
        <f>IF(L13&lt;1,1,L13)</f>
        <v>1</v>
      </c>
      <c r="N13" s="70" t="s">
        <v>3288</v>
      </c>
      <c r="O13" s="71">
        <f>IF(OR(I13=$A$1,I13=0),"",IF(N13=MappingTables!$C$14,VLOOKUP(J13,ModelParameters!$M$8:$N$15,2,FALSE),IF(N13=MappingTables!$C$16,VLOOKUP(J13,ModelParameters!$P$8:$Q$15,2,FALSE),0)))</f>
        <v>0.125</v>
      </c>
      <c r="P13" s="73">
        <f>IF(OR(I13=0,I13=$A$1),0,MIN(O13*M13,1)*K13)</f>
        <v>44.122189206301512</v>
      </c>
      <c r="Q13" s="73">
        <f>IF(B13="",0,IF(OR(H13=MappingTables!$C$34,H13=MappingTables!$C$35),P13,0))</f>
        <v>0</v>
      </c>
      <c r="R13" s="73">
        <f>IF(ISNA(IF(AND(VLOOKUP(CONCATENATE($D13,$G13),CSRFinput!$B:$E,4,0)=0,OR(H13=MappingTables!$C$31,H13=MappingTables!$C$32)),1,VLOOKUP(CONCATENATE($D13,$G13),CSRFinput!$B:$E,4,0))),0,IF(AND(VLOOKUP(CONCATENATE($D13,$G13),CSRFinput!$B:$E,4,0)=0,OR(H13=MappingTables!$C$31,H13=MappingTables!$C$32)),1,VLOOKUP(CONCATENATE($D13,$G13),CSRFinput!$B:$E,4,0)))</f>
        <v>0.054776304963434752</v>
      </c>
      <c r="S13" s="73">
        <f>IF(B13="",0,P13*R13)</f>
        <v>2.4168504916187408</v>
      </c>
      <c r="T13" s="85">
        <f>IF(B13="",0,IF(OR(H13=MappingTables!$C$34,H13=MappingTables!$C$35),S13,0))</f>
        <v>0</v>
      </c>
    </row>
    <row r="14" spans="2:20" s="0" customFormat="0" ht="15">
      <c r="B14" s="69" t="s">
        <v>3306</v>
      </c>
      <c r="C14" s="70" t="s">
        <v>3307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198</v>
      </c>
      <c r="J14" s="71" t="str">
        <f>IF(OR(I14=0,I14=""),"unrated",VLOOKUP(I14,MappingTables!$B$19:$C$31,2,FALSE))</f>
        <v>unrated</v>
      </c>
      <c r="K14" s="72">
        <v>262.88620227269836</v>
      </c>
      <c r="L14" s="70">
        <v>39.366076622331216</v>
      </c>
      <c r="M14" s="71">
        <f>IF(L14&lt;1,1,L14)</f>
        <v>39.366076622331216</v>
      </c>
      <c r="N14" s="70" t="s">
        <v>3288</v>
      </c>
      <c r="O14" s="71">
        <f>IF(OR(I14=$A$1,I14=0),"",IF(N14=MappingTables!$C$14,VLOOKUP(J14,ModelParameters!$M$8:$N$15,2,FALSE),IF(N14=MappingTables!$C$16,VLOOKUP(J14,ModelParameters!$P$8:$Q$15,2,FALSE),0)))</f>
        <v>1</v>
      </c>
      <c r="P14" s="73">
        <f>IF(OR(I14=0,I14=$A$1),0,MIN(O14*M14,1)*K14)</f>
        <v>262.88620227269836</v>
      </c>
      <c r="Q14" s="73">
        <f>IF(B14="",0,IF(OR(H14=MappingTables!$C$34,H14=MappingTables!$C$35),P14,0))</f>
        <v>0</v>
      </c>
      <c r="R14" s="73">
        <f>IF(ISNA(IF(AND(VLOOKUP(CONCATENATE($D14,$G14),CSRFinput!$B:$E,4,0)=0,OR(H14=MappingTables!$C$31,H14=MappingTables!$C$32)),1,VLOOKUP(CONCATENATE($D14,$G14),CSRFinput!$B:$E,4,0))),0,IF(AND(VLOOKUP(CONCATENATE($D14,$G14),CSRFinput!$B:$E,4,0)=0,OR(H14=MappingTables!$C$31,H14=MappingTables!$C$32)),1,VLOOKUP(CONCATENATE($D14,$G14),CSRFinput!$B:$E,4,0)))</f>
        <v>0.054776304963434752</v>
      </c>
      <c r="S14" s="73">
        <f>IF(B14="",0,P14*R14)</f>
        <v>14.39993478636852</v>
      </c>
      <c r="T14" s="85">
        <f>IF(B14="",0,IF(OR(H14=MappingTables!$C$34,H14=MappingTables!$C$35),S14,0))</f>
        <v>0</v>
      </c>
    </row>
    <row r="15" spans="2:20" s="0" customFormat="0" ht="15">
      <c r="B15" s="69">
        <v>1921710</v>
      </c>
      <c r="C15" s="70" t="s">
        <v>3308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216</v>
      </c>
      <c r="J15" s="71">
        <f>IF(OR(I15=0,I15=""),"unrated",VLOOKUP(I15,MappingTables!$B$19:$C$31,2,FALSE))</f>
        <v>0</v>
      </c>
      <c r="K15" s="72">
        <v>152.69602389083756</v>
      </c>
      <c r="L15" s="70">
        <v>0.045244934872027072</v>
      </c>
      <c r="M15" s="71">
        <f>IF(L15&lt;1,1,L15)</f>
        <v>1</v>
      </c>
      <c r="N15" s="70" t="s">
        <v>3288</v>
      </c>
      <c r="O15" s="71">
        <f>IF(OR(I15=$A$1,I15=0),"",IF(N15=MappingTables!$C$14,VLOOKUP(J15,ModelParameters!$M$8:$N$15,2,FALSE),IF(N15=MappingTables!$C$16,VLOOKUP(J15,ModelParameters!$P$8:$Q$15,2,FALSE),0)))</f>
        <v>0.125</v>
      </c>
      <c r="P15" s="73">
        <f>IF(OR(I15=0,I15=$A$1),0,MIN(O15*M15,1)*K15)</f>
        <v>19.087002986354692</v>
      </c>
      <c r="Q15" s="73">
        <f>IF(B15="",0,IF(OR(H15=MappingTables!$C$34,H15=MappingTables!$C$35),P15,0))</f>
        <v>0</v>
      </c>
      <c r="R15" s="73">
        <f>IF(ISNA(IF(AND(VLOOKUP(CONCATENATE($D15,$G15),CSRFinput!$B:$E,4,0)=0,OR(H15=MappingTables!$C$31,H15=MappingTables!$C$32)),1,VLOOKUP(CONCATENATE($D15,$G15),CSRFinput!$B:$E,4,0))),0,IF(AND(VLOOKUP(CONCATENATE($D15,$G15),CSRFinput!$B:$E,4,0)=0,OR(H15=MappingTables!$C$31,H15=MappingTables!$C$32)),1,VLOOKUP(CONCATENATE($D15,$G15),CSRFinput!$B:$E,4,0)))</f>
        <v>0.054776304963434752</v>
      </c>
      <c r="S15" s="73">
        <f>IF(B15="",0,P15*R15)</f>
        <v>1.0455154964185546</v>
      </c>
      <c r="T15" s="85">
        <f>IF(B15="",0,IF(OR(H15=MappingTables!$C$34,H15=MappingTables!$C$35),S15,0))</f>
        <v>0</v>
      </c>
    </row>
    <row r="16" spans="2:20" s="0" customFormat="0" ht="15">
      <c r="B16" s="69" t="s">
        <v>3309</v>
      </c>
      <c r="C16" s="70" t="s">
        <v>3310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198</v>
      </c>
      <c r="J16" s="71" t="str">
        <f>IF(OR(I16=0,I16=""),"unrated",VLOOKUP(I16,MappingTables!$B$19:$C$31,2,FALSE))</f>
        <v>unrated</v>
      </c>
      <c r="K16" s="72">
        <v>12.784371731294936</v>
      </c>
      <c r="L16" s="70">
        <v>40.297326172255504</v>
      </c>
      <c r="M16" s="71">
        <f>IF(L16&lt;1,1,L16)</f>
        <v>40.297326172255504</v>
      </c>
      <c r="N16" s="70" t="s">
        <v>3288</v>
      </c>
      <c r="O16" s="71">
        <f>IF(OR(I16=$A$1,I16=0),"",IF(N16=MappingTables!$C$14,VLOOKUP(J16,ModelParameters!$M$8:$N$15,2,FALSE),IF(N16=MappingTables!$C$16,VLOOKUP(J16,ModelParameters!$P$8:$Q$15,2,FALSE),0)))</f>
        <v>1</v>
      </c>
      <c r="P16" s="73">
        <f>IF(OR(I16=0,I16=$A$1),0,MIN(O16*M16,1)*K16)</f>
        <v>12.784371731294936</v>
      </c>
      <c r="Q16" s="73">
        <f>IF(B16="",0,IF(OR(H16=MappingTables!$C$34,H16=MappingTables!$C$35),P16,0))</f>
        <v>0</v>
      </c>
      <c r="R16" s="73">
        <f>IF(ISNA(IF(AND(VLOOKUP(CONCATENATE($D16,$G16),CSRFinput!$B:$E,4,0)=0,OR(H16=MappingTables!$C$31,H16=MappingTables!$C$32)),1,VLOOKUP(CONCATENATE($D16,$G16),CSRFinput!$B:$E,4,0))),0,IF(AND(VLOOKUP(CONCATENATE($D16,$G16),CSRFinput!$B:$E,4,0)=0,OR(H16=MappingTables!$C$31,H16=MappingTables!$C$32)),1,VLOOKUP(CONCATENATE($D16,$G16),CSRFinput!$B:$E,4,0)))</f>
        <v>0.054776304963434752</v>
      </c>
      <c r="S16" s="73">
        <f>IF(B16="",0,P16*R16)</f>
        <v>0.70028064471932568</v>
      </c>
      <c r="T16" s="85">
        <f>IF(B16="",0,IF(OR(H16=MappingTables!$C$34,H16=MappingTables!$C$35),S16,0))</f>
        <v>0</v>
      </c>
    </row>
    <row r="17" spans="2:20" s="0" customFormat="0" ht="15">
      <c r="B17" s="69" t="s">
        <v>3311</v>
      </c>
      <c r="C17" s="70" t="s">
        <v>3312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3298</v>
      </c>
      <c r="J17" s="71">
        <f>IF(OR(I17=0,I17=""),"unrated",VLOOKUP(I17,MappingTables!$B$19:$C$31,2,FALSE))</f>
        <v>6</v>
      </c>
      <c r="K17" s="72">
        <v>1153.6515488065022</v>
      </c>
      <c r="L17" s="70">
        <v>-1.8246567742018668</v>
      </c>
      <c r="M17" s="71">
        <f>IF(L17&lt;1,1,L17)</f>
        <v>1</v>
      </c>
      <c r="N17" s="70" t="s">
        <v>3288</v>
      </c>
      <c r="O17" s="71">
        <f>IF(OR(I17=$A$1,I17=0),"",IF(N17=MappingTables!$C$14,VLOOKUP(J17,ModelParameters!$M$8:$N$15,2,FALSE),IF(N17=MappingTables!$C$16,VLOOKUP(J17,ModelParameters!$P$8:$Q$15,2,FALSE),0)))</f>
        <v>1</v>
      </c>
      <c r="P17" s="73">
        <f>IF(OR(I17=0,I17=$A$1),0,MIN(O17*M17,1)*K17)</f>
        <v>1153.6515488065022</v>
      </c>
      <c r="Q17" s="73">
        <f>IF(B17="",0,IF(OR(H17=MappingTables!$C$34,H17=MappingTables!$C$35),P17,0))</f>
        <v>0</v>
      </c>
      <c r="R17" s="73">
        <f>IF(ISNA(IF(AND(VLOOKUP(CONCATENATE($D17,$G17),CSRFinput!$B:$E,4,0)=0,OR(H17=MappingTables!$C$31,H17=MappingTables!$C$32)),1,VLOOKUP(CONCATENATE($D17,$G17),CSRFinput!$B:$E,4,0))),0,IF(AND(VLOOKUP(CONCATENATE($D17,$G17),CSRFinput!$B:$E,4,0)=0,OR(H17=MappingTables!$C$31,H17=MappingTables!$C$32)),1,VLOOKUP(CONCATENATE($D17,$G17),CSRFinput!$B:$E,4,0)))</f>
        <v>0.054776304963434752</v>
      </c>
      <c r="S17" s="73">
        <f>IF(B17="",0,P17*R17)</f>
        <v>63.1927690589638</v>
      </c>
      <c r="T17" s="85">
        <f>IF(B17="",0,IF(OR(H17=MappingTables!$C$34,H17=MappingTables!$C$35),S17,0))</f>
        <v>0</v>
      </c>
    </row>
    <row r="18" spans="2:20" s="0" customFormat="0" ht="15">
      <c r="B18" s="69" t="s">
        <v>3313</v>
      </c>
      <c r="C18" s="70" t="s">
        <v>3314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198</v>
      </c>
      <c r="J18" s="71" t="str">
        <f>IF(OR(I18=0,I18=""),"unrated",VLOOKUP(I18,MappingTables!$B$19:$C$31,2,FALSE))</f>
        <v>unrated</v>
      </c>
      <c r="K18" s="72">
        <v>28.122184735292072</v>
      </c>
      <c r="L18" s="70">
        <v>0.15442959927838338</v>
      </c>
      <c r="M18" s="71">
        <f>IF(L18&lt;1,1,L18)</f>
        <v>1</v>
      </c>
      <c r="N18" s="70" t="s">
        <v>3288</v>
      </c>
      <c r="O18" s="71">
        <f>IF(OR(I18=$A$1,I18=0),"",IF(N18=MappingTables!$C$14,VLOOKUP(J18,ModelParameters!$M$8:$N$15,2,FALSE),IF(N18=MappingTables!$C$16,VLOOKUP(J18,ModelParameters!$P$8:$Q$15,2,FALSE),0)))</f>
        <v>1</v>
      </c>
      <c r="P18" s="73">
        <f>IF(OR(I18=0,I18=$A$1),0,MIN(O18*M18,1)*K18)</f>
        <v>28.122184735292072</v>
      </c>
      <c r="Q18" s="73">
        <f>IF(B18="",0,IF(OR(H18=MappingTables!$C$34,H18=MappingTables!$C$35),P18,0))</f>
        <v>0</v>
      </c>
      <c r="R18" s="73">
        <f>IF(ISNA(IF(AND(VLOOKUP(CONCATENATE($D18,$G18),CSRFinput!$B:$E,4,0)=0,OR(H18=MappingTables!$C$31,H18=MappingTables!$C$32)),1,VLOOKUP(CONCATENATE($D18,$G18),CSRFinput!$B:$E,4,0))),0,IF(AND(VLOOKUP(CONCATENATE($D18,$G18),CSRFinput!$B:$E,4,0)=0,OR(H18=MappingTables!$C$31,H18=MappingTables!$C$32)),1,VLOOKUP(CONCATENATE($D18,$G18),CSRFinput!$B:$E,4,0)))</f>
        <v>0.054776304963434752</v>
      </c>
      <c r="S18" s="73">
        <f>IF(B18="",0,P18*R18)</f>
        <v>1.5404293672984082</v>
      </c>
      <c r="T18" s="85">
        <f>IF(B18="",0,IF(OR(H18=MappingTables!$C$34,H18=MappingTables!$C$35),S18,0))</f>
        <v>0</v>
      </c>
    </row>
    <row r="19" spans="2:20" s="0" customFormat="0" ht="15">
      <c r="B19" s="69" t="s">
        <v>3315</v>
      </c>
      <c r="C19" s="70" t="s">
        <v>3316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181</v>
      </c>
      <c r="J19" s="71">
        <f>IF(OR(I19=0,I19=""),"unrated",VLOOKUP(I19,MappingTables!$B$19:$C$31,2,FALSE))</f>
        <v>3</v>
      </c>
      <c r="K19" s="72">
        <v>22.048498868835244</v>
      </c>
      <c r="L19" s="70">
        <v>0.068493428707623056</v>
      </c>
      <c r="M19" s="71">
        <f>IF(L19&lt;1,1,L19)</f>
        <v>1</v>
      </c>
      <c r="N19" s="70" t="s">
        <v>3288</v>
      </c>
      <c r="O19" s="71">
        <f>IF(OR(I19=$A$1,I19=0),"",IF(N19=MappingTables!$C$14,VLOOKUP(J19,ModelParameters!$M$8:$N$15,2,FALSE),IF(N19=MappingTables!$C$16,VLOOKUP(J19,ModelParameters!$P$8:$Q$15,2,FALSE),0)))</f>
        <v>0.197</v>
      </c>
      <c r="P19" s="73">
        <f>IF(OR(I19=0,I19=$A$1),0,MIN(O19*M19,1)*K19)</f>
        <v>4.3435542771605424</v>
      </c>
      <c r="Q19" s="73">
        <f>IF(B19="",0,IF(OR(H19=MappingTables!$C$34,H19=MappingTables!$C$35),P19,0))</f>
        <v>0</v>
      </c>
      <c r="R19" s="73">
        <f>IF(ISNA(IF(AND(VLOOKUP(CONCATENATE($D19,$G19),CSRFinput!$B:$E,4,0)=0,OR(H19=MappingTables!$C$31,H19=MappingTables!$C$32)),1,VLOOKUP(CONCATENATE($D19,$G19),CSRFinput!$B:$E,4,0))),0,IF(AND(VLOOKUP(CONCATENATE($D19,$G19),CSRFinput!$B:$E,4,0)=0,OR(H19=MappingTables!$C$31,H19=MappingTables!$C$32)),1,VLOOKUP(CONCATENATE($D19,$G19),CSRFinput!$B:$E,4,0)))</f>
        <v>0.054776304963434752</v>
      </c>
      <c r="S19" s="73">
        <f>IF(B19="",0,P19*R19)</f>
        <v>0.23792385371097728</v>
      </c>
      <c r="T19" s="85">
        <f>IF(B19="",0,IF(OR(H19=MappingTables!$C$34,H19=MappingTables!$C$35),S19,0))</f>
        <v>0</v>
      </c>
    </row>
    <row r="20" spans="2:20" s="0" customFormat="0" ht="15">
      <c r="B20" s="69" t="s">
        <v>3317</v>
      </c>
      <c r="C20" s="70" t="s">
        <v>3318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204</v>
      </c>
      <c r="J20" s="71">
        <f>IF(OR(I20=0,I20=""),"unrated",VLOOKUP(I20,MappingTables!$B$19:$C$31,2,FALSE))</f>
        <v>6</v>
      </c>
      <c r="K20" s="72">
        <v>242.45988950538368</v>
      </c>
      <c r="L20" s="70">
        <v>0.0669712339228266</v>
      </c>
      <c r="M20" s="71">
        <f>IF(L20&lt;1,1,L20)</f>
        <v>1</v>
      </c>
      <c r="N20" s="70" t="s">
        <v>3288</v>
      </c>
      <c r="O20" s="71">
        <f>IF(OR(I20=$A$1,I20=0),"",IF(N20=MappingTables!$C$14,VLOOKUP(J20,ModelParameters!$M$8:$N$15,2,FALSE),IF(N20=MappingTables!$C$16,VLOOKUP(J20,ModelParameters!$P$8:$Q$15,2,FALSE),0)))</f>
        <v>1</v>
      </c>
      <c r="P20" s="73">
        <f>IF(OR(I20=0,I20=$A$1),0,MIN(O20*M20,1)*K20)</f>
        <v>242.45988950538368</v>
      </c>
      <c r="Q20" s="73">
        <f>IF(B20="",0,IF(OR(H20=MappingTables!$C$34,H20=MappingTables!$C$35),P20,0))</f>
        <v>0</v>
      </c>
      <c r="R20" s="73">
        <f>IF(ISNA(IF(AND(VLOOKUP(CONCATENATE($D20,$G20),CSRFinput!$B:$E,4,0)=0,OR(H20=MappingTables!$C$31,H20=MappingTables!$C$32)),1,VLOOKUP(CONCATENATE($D20,$G20),CSRFinput!$B:$E,4,0))),0,IF(AND(VLOOKUP(CONCATENATE($D20,$G20),CSRFinput!$B:$E,4,0)=0,OR(H20=MappingTables!$C$31,H20=MappingTables!$C$32)),1,VLOOKUP(CONCATENATE($D20,$G20),CSRFinput!$B:$E,4,0)))</f>
        <v>0.054776304963434752</v>
      </c>
      <c r="S20" s="73">
        <f>IF(B20="",0,P20*R20)</f>
        <v>13.28105684894759</v>
      </c>
      <c r="T20" s="85">
        <f>IF(B20="",0,IF(OR(H20=MappingTables!$C$34,H20=MappingTables!$C$35),S20,0))</f>
        <v>0</v>
      </c>
    </row>
    <row r="21" spans="2:20" s="0" customFormat="0" ht="15">
      <c r="B21" s="69" t="s">
        <v>3319</v>
      </c>
      <c r="C21" s="70" t="s">
        <v>3320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216</v>
      </c>
      <c r="J21" s="71">
        <f>IF(OR(I21=0,I21=""),"unrated",VLOOKUP(I21,MappingTables!$B$19:$C$31,2,FALSE))</f>
        <v>0</v>
      </c>
      <c r="K21" s="72">
        <v>37.629077749582312</v>
      </c>
      <c r="L21" s="70">
        <v>0.054792211076454208</v>
      </c>
      <c r="M21" s="71">
        <f>IF(L21&lt;1,1,L21)</f>
        <v>1</v>
      </c>
      <c r="N21" s="70" t="s">
        <v>3288</v>
      </c>
      <c r="O21" s="71">
        <f>IF(OR(I21=$A$1,I21=0),"",IF(N21=MappingTables!$C$14,VLOOKUP(J21,ModelParameters!$M$8:$N$15,2,FALSE),IF(N21=MappingTables!$C$16,VLOOKUP(J21,ModelParameters!$P$8:$Q$15,2,FALSE),0)))</f>
        <v>0.125</v>
      </c>
      <c r="P21" s="73">
        <f>IF(OR(I21=0,I21=$A$1),0,MIN(O21*M21,1)*K21)</f>
        <v>4.7036347186977896</v>
      </c>
      <c r="Q21" s="73">
        <f>IF(B21="",0,IF(OR(H21=MappingTables!$C$34,H21=MappingTables!$C$35),P21,0))</f>
        <v>0</v>
      </c>
      <c r="R21" s="73">
        <f>IF(ISNA(IF(AND(VLOOKUP(CONCATENATE($D21,$G21),CSRFinput!$B:$E,4,0)=0,OR(H21=MappingTables!$C$31,H21=MappingTables!$C$32)),1,VLOOKUP(CONCATENATE($D21,$G21),CSRFinput!$B:$E,4,0))),0,IF(AND(VLOOKUP(CONCATENATE($D21,$G21),CSRFinput!$B:$E,4,0)=0,OR(H21=MappingTables!$C$31,H21=MappingTables!$C$32)),1,VLOOKUP(CONCATENATE($D21,$G21),CSRFinput!$B:$E,4,0)))</f>
        <v>0.054776304963434752</v>
      </c>
      <c r="S21" s="73">
        <f>IF(B21="",0,P21*R21)</f>
        <v>0.25764772978798976</v>
      </c>
      <c r="T21" s="85">
        <f>IF(B21="",0,IF(OR(H21=MappingTables!$C$34,H21=MappingTables!$C$35),S21,0))</f>
        <v>0</v>
      </c>
    </row>
    <row r="22" spans="2:20" s="0" customFormat="0" ht="15">
      <c r="B22" s="69" t="s">
        <v>3321</v>
      </c>
      <c r="C22" s="70" t="s">
        <v>3322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3298</v>
      </c>
      <c r="J22" s="71">
        <f>IF(OR(I22=0,I22=""),"unrated",VLOOKUP(I22,MappingTables!$B$19:$C$31,2,FALSE))</f>
        <v>6</v>
      </c>
      <c r="K22" s="72">
        <v>567.67292997920984</v>
      </c>
      <c r="L22" s="70">
        <v>0.06849414000050444</v>
      </c>
      <c r="M22" s="71">
        <f>IF(L22&lt;1,1,L22)</f>
        <v>1</v>
      </c>
      <c r="N22" s="70" t="s">
        <v>3288</v>
      </c>
      <c r="O22" s="71">
        <f>IF(OR(I22=$A$1,I22=0),"",IF(N22=MappingTables!$C$14,VLOOKUP(J22,ModelParameters!$M$8:$N$15,2,FALSE),IF(N22=MappingTables!$C$16,VLOOKUP(J22,ModelParameters!$P$8:$Q$15,2,FALSE),0)))</f>
        <v>1</v>
      </c>
      <c r="P22" s="73">
        <f>IF(OR(I22=0,I22=$A$1),0,MIN(O22*M22,1)*K22)</f>
        <v>567.67292997920984</v>
      </c>
      <c r="Q22" s="73">
        <f>IF(B22="",0,IF(OR(H22=MappingTables!$C$34,H22=MappingTables!$C$35),P22,0))</f>
        <v>0</v>
      </c>
      <c r="R22" s="73">
        <f>IF(ISNA(IF(AND(VLOOKUP(CONCATENATE($D22,$G22),CSRFinput!$B:$E,4,0)=0,OR(H22=MappingTables!$C$31,H22=MappingTables!$C$32)),1,VLOOKUP(CONCATENATE($D22,$G22),CSRFinput!$B:$E,4,0))),0,IF(AND(VLOOKUP(CONCATENATE($D22,$G22),CSRFinput!$B:$E,4,0)=0,OR(H22=MappingTables!$C$31,H22=MappingTables!$C$32)),1,VLOOKUP(CONCATENATE($D22,$G22),CSRFinput!$B:$E,4,0)))</f>
        <v>0.054776304963434752</v>
      </c>
      <c r="S22" s="73">
        <f>IF(B22="",0,P22*R22)</f>
        <v>31.09502553202774</v>
      </c>
      <c r="T22" s="85">
        <f>IF(B22="",0,IF(OR(H22=MappingTables!$C$34,H22=MappingTables!$C$35),S22,0))</f>
        <v>0</v>
      </c>
    </row>
    <row r="23" spans="2:20" s="0" customFormat="0" ht="15">
      <c r="B23" s="69">
        <v>16974123</v>
      </c>
      <c r="C23" s="70" t="s">
        <v>3323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216</v>
      </c>
      <c r="J23" s="71">
        <f>IF(OR(I23=0,I23=""),"unrated",VLOOKUP(I23,MappingTables!$B$19:$C$31,2,FALSE))</f>
        <v>0</v>
      </c>
      <c r="K23" s="72">
        <v>61.73041265941664</v>
      </c>
      <c r="L23" s="70">
        <v>5.9469868679397832</v>
      </c>
      <c r="M23" s="71">
        <f>IF(L23&lt;1,1,L23)</f>
        <v>5.9469868679397832</v>
      </c>
      <c r="N23" s="70" t="s">
        <v>3288</v>
      </c>
      <c r="O23" s="71">
        <f>IF(OR(I23=$A$1,I23=0),"",IF(N23=MappingTables!$C$14,VLOOKUP(J23,ModelParameters!$M$8:$N$15,2,FALSE),IF(N23=MappingTables!$C$16,VLOOKUP(J23,ModelParameters!$P$8:$Q$15,2,FALSE),0)))</f>
        <v>0.125</v>
      </c>
      <c r="P23" s="73">
        <f>IF(OR(I23=0,I23=$A$1),0,MIN(O23*M23,1)*K23)</f>
        <v>45.888744179756816</v>
      </c>
      <c r="Q23" s="73">
        <f>IF(B23="",0,IF(OR(H23=MappingTables!$C$34,H23=MappingTables!$C$35),P23,0))</f>
        <v>0</v>
      </c>
      <c r="R23" s="73">
        <f>IF(ISNA(IF(AND(VLOOKUP(CONCATENATE($D23,$G23),CSRFinput!$B:$E,4,0)=0,OR(H23=MappingTables!$C$31,H23=MappingTables!$C$32)),1,VLOOKUP(CONCATENATE($D23,$G23),CSRFinput!$B:$E,4,0))),0,IF(AND(VLOOKUP(CONCATENATE($D23,$G23),CSRFinput!$B:$E,4,0)=0,OR(H23=MappingTables!$C$31,H23=MappingTables!$C$32)),1,VLOOKUP(CONCATENATE($D23,$G23),CSRFinput!$B:$E,4,0)))</f>
        <v>0.054776304963434752</v>
      </c>
      <c r="S23" s="73">
        <f>IF(B23="",0,P23*R23)</f>
        <v>2.5136158455794008</v>
      </c>
      <c r="T23" s="85">
        <f>IF(B23="",0,IF(OR(H23=MappingTables!$C$34,H23=MappingTables!$C$35),S23,0))</f>
        <v>0</v>
      </c>
    </row>
    <row r="24" spans="2:20" s="0" customFormat="0" ht="15">
      <c r="B24" s="69" t="s">
        <v>3324</v>
      </c>
      <c r="C24" s="70" t="s">
        <v>3325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216</v>
      </c>
      <c r="J24" s="71">
        <f>IF(OR(I24=0,I24=""),"unrated",VLOOKUP(I24,MappingTables!$B$19:$C$31,2,FALSE))</f>
        <v>0</v>
      </c>
      <c r="K24" s="72">
        <v>848.07036122621872</v>
      </c>
      <c r="L24" s="70">
        <v>0.16765659664425588</v>
      </c>
      <c r="M24" s="71">
        <f>IF(L24&lt;1,1,L24)</f>
        <v>1</v>
      </c>
      <c r="N24" s="70" t="s">
        <v>3288</v>
      </c>
      <c r="O24" s="71">
        <f>IF(OR(I24=$A$1,I24=0),"",IF(N24=MappingTables!$C$14,VLOOKUP(J24,ModelParameters!$M$8:$N$15,2,FALSE),IF(N24=MappingTables!$C$16,VLOOKUP(J24,ModelParameters!$P$8:$Q$15,2,FALSE),0)))</f>
        <v>0.125</v>
      </c>
      <c r="P24" s="73">
        <f>IF(OR(I24=0,I24=$A$1),0,MIN(O24*M24,1)*K24)</f>
        <v>106.00879515327734</v>
      </c>
      <c r="Q24" s="73">
        <f>IF(B24="",0,IF(OR(H24=MappingTables!$C$34,H24=MappingTables!$C$35),P24,0))</f>
        <v>0</v>
      </c>
      <c r="R24" s="73">
        <f>IF(ISNA(IF(AND(VLOOKUP(CONCATENATE($D24,$G24),CSRFinput!$B:$E,4,0)=0,OR(H24=MappingTables!$C$31,H24=MappingTables!$C$32)),1,VLOOKUP(CONCATENATE($D24,$G24),CSRFinput!$B:$E,4,0))),0,IF(AND(VLOOKUP(CONCATENATE($D24,$G24),CSRFinput!$B:$E,4,0)=0,OR(H24=MappingTables!$C$31,H24=MappingTables!$C$32)),1,VLOOKUP(CONCATENATE($D24,$G24),CSRFinput!$B:$E,4,0)))</f>
        <v>0.054776304963434752</v>
      </c>
      <c r="S24" s="73">
        <f>IF(B24="",0,P24*R24)</f>
        <v>5.806770092122204</v>
      </c>
      <c r="T24" s="85">
        <f>IF(B24="",0,IF(OR(H24=MappingTables!$C$34,H24=MappingTables!$C$35),S24,0))</f>
        <v>0</v>
      </c>
    </row>
    <row r="25" spans="2:20" s="0" customFormat="0" ht="15">
      <c r="B25" s="69" t="s">
        <v>3326</v>
      </c>
      <c r="C25" s="70" t="s">
        <v>3327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3291</v>
      </c>
      <c r="J25" s="71">
        <f>IF(OR(I25=0,I25=""),"unrated",VLOOKUP(I25,MappingTables!$B$19:$C$31,2,FALSE))</f>
        <v>6</v>
      </c>
      <c r="K25" s="72">
        <v>236.31873137983</v>
      </c>
      <c r="L25" s="70">
        <v>1.1954658380523296</v>
      </c>
      <c r="M25" s="71">
        <f>IF(L25&lt;1,1,L25)</f>
        <v>1.1954658380523296</v>
      </c>
      <c r="N25" s="70" t="s">
        <v>3288</v>
      </c>
      <c r="O25" s="71">
        <f>IF(OR(I25=$A$1,I25=0),"",IF(N25=MappingTables!$C$14,VLOOKUP(J25,ModelParameters!$M$8:$N$15,2,FALSE),IF(N25=MappingTables!$C$16,VLOOKUP(J25,ModelParameters!$P$8:$Q$15,2,FALSE),0)))</f>
        <v>1</v>
      </c>
      <c r="P25" s="73">
        <f>IF(OR(I25=0,I25=$A$1),0,MIN(O25*M25,1)*K25)</f>
        <v>236.31873137983</v>
      </c>
      <c r="Q25" s="73">
        <f>IF(B25="",0,IF(OR(H25=MappingTables!$C$34,H25=MappingTables!$C$35),P25,0))</f>
        <v>0</v>
      </c>
      <c r="R25" s="73">
        <f>IF(ISNA(IF(AND(VLOOKUP(CONCATENATE($D25,$G25),CSRFinput!$B:$E,4,0)=0,OR(H25=MappingTables!$C$31,H25=MappingTables!$C$32)),1,VLOOKUP(CONCATENATE($D25,$G25),CSRFinput!$B:$E,4,0))),0,IF(AND(VLOOKUP(CONCATENATE($D25,$G25),CSRFinput!$B:$E,4,0)=0,OR(H25=MappingTables!$C$31,H25=MappingTables!$C$32)),1,VLOOKUP(CONCATENATE($D25,$G25),CSRFinput!$B:$E,4,0)))</f>
        <v>0.054776304963434752</v>
      </c>
      <c r="S25" s="73">
        <f>IF(B25="",0,P25*R25)</f>
        <v>12.944666898633586</v>
      </c>
      <c r="T25" s="85">
        <f>IF(B25="",0,IF(OR(H25=MappingTables!$C$34,H25=MappingTables!$C$35),S25,0))</f>
        <v>0</v>
      </c>
    </row>
    <row r="26" spans="2:20" s="0" customFormat="0" ht="15">
      <c r="B26" s="69" t="s">
        <v>3328</v>
      </c>
      <c r="C26" s="70" t="s">
        <v>3329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198</v>
      </c>
      <c r="J26" s="71" t="str">
        <f>IF(OR(I26=0,I26=""),"unrated",VLOOKUP(I26,MappingTables!$B$19:$C$31,2,FALSE))</f>
        <v>unrated</v>
      </c>
      <c r="K26" s="72">
        <v>307.14578626923804</v>
      </c>
      <c r="L26" s="70">
        <v>0.068494332428810088</v>
      </c>
      <c r="M26" s="71">
        <f>IF(L26&lt;1,1,L26)</f>
        <v>1</v>
      </c>
      <c r="N26" s="70" t="s">
        <v>3288</v>
      </c>
      <c r="O26" s="71">
        <f>IF(OR(I26=$A$1,I26=0),"",IF(N26=MappingTables!$C$14,VLOOKUP(J26,ModelParameters!$M$8:$N$15,2,FALSE),IF(N26=MappingTables!$C$16,VLOOKUP(J26,ModelParameters!$P$8:$Q$15,2,FALSE),0)))</f>
        <v>1</v>
      </c>
      <c r="P26" s="73">
        <f>IF(OR(I26=0,I26=$A$1),0,MIN(O26*M26,1)*K26)</f>
        <v>307.14578626923804</v>
      </c>
      <c r="Q26" s="73">
        <f>IF(B26="",0,IF(OR(H26=MappingTables!$C$34,H26=MappingTables!$C$35),P26,0))</f>
        <v>0</v>
      </c>
      <c r="R26" s="73">
        <f>IF(ISNA(IF(AND(VLOOKUP(CONCATENATE($D26,$G26),CSRFinput!$B:$E,4,0)=0,OR(H26=MappingTables!$C$31,H26=MappingTables!$C$32)),1,VLOOKUP(CONCATENATE($D26,$G26),CSRFinput!$B:$E,4,0))),0,IF(AND(VLOOKUP(CONCATENATE($D26,$G26),CSRFinput!$B:$E,4,0)=0,OR(H26=MappingTables!$C$31,H26=MappingTables!$C$32)),1,VLOOKUP(CONCATENATE($D26,$G26),CSRFinput!$B:$E,4,0)))</f>
        <v>0.054776304963434752</v>
      </c>
      <c r="S26" s="73">
        <f>IF(B26="",0,P26*R26)</f>
        <v>16.824311256917734</v>
      </c>
      <c r="T26" s="85">
        <f>IF(B26="",0,IF(OR(H26=MappingTables!$C$34,H26=MappingTables!$C$35),S26,0))</f>
        <v>0</v>
      </c>
    </row>
    <row r="27" spans="2:20" s="0" customFormat="0" ht="15">
      <c r="B27" s="69">
        <v>22554389</v>
      </c>
      <c r="C27" s="70" t="s">
        <v>3330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216</v>
      </c>
      <c r="J27" s="71">
        <f>IF(OR(I27=0,I27=""),"unrated",VLOOKUP(I27,MappingTables!$B$19:$C$31,2,FALSE))</f>
        <v>0</v>
      </c>
      <c r="K27" s="72">
        <v>66.408084637588544</v>
      </c>
      <c r="L27" s="70">
        <v>0.080743685989436592</v>
      </c>
      <c r="M27" s="71">
        <f>IF(L27&lt;1,1,L27)</f>
        <v>1</v>
      </c>
      <c r="N27" s="70" t="s">
        <v>3288</v>
      </c>
      <c r="O27" s="71">
        <f>IF(OR(I27=$A$1,I27=0),"",IF(N27=MappingTables!$C$14,VLOOKUP(J27,ModelParameters!$M$8:$N$15,2,FALSE),IF(N27=MappingTables!$C$16,VLOOKUP(J27,ModelParameters!$P$8:$Q$15,2,FALSE),0)))</f>
        <v>0.125</v>
      </c>
      <c r="P27" s="73">
        <f>IF(OR(I27=0,I27=$A$1),0,MIN(O27*M27,1)*K27)</f>
        <v>8.301010579698568</v>
      </c>
      <c r="Q27" s="73">
        <f>IF(B27="",0,IF(OR(H27=MappingTables!$C$34,H27=MappingTables!$C$35),P27,0))</f>
        <v>0</v>
      </c>
      <c r="R27" s="73">
        <f>IF(ISNA(IF(AND(VLOOKUP(CONCATENATE($D27,$G27),CSRFinput!$B:$E,4,0)=0,OR(H27=MappingTables!$C$31,H27=MappingTables!$C$32)),1,VLOOKUP(CONCATENATE($D27,$G27),CSRFinput!$B:$E,4,0))),0,IF(AND(VLOOKUP(CONCATENATE($D27,$G27),CSRFinput!$B:$E,4,0)=0,OR(H27=MappingTables!$C$31,H27=MappingTables!$C$32)),1,VLOOKUP(CONCATENATE($D27,$G27),CSRFinput!$B:$E,4,0)))</f>
        <v>0.054776304963434752</v>
      </c>
      <c r="S27" s="73">
        <f>IF(B27="",0,P27*R27)</f>
        <v>0.45469868701826704</v>
      </c>
      <c r="T27" s="85">
        <f>IF(B27="",0,IF(OR(H27=MappingTables!$C$34,H27=MappingTables!$C$35),S27,0))</f>
        <v>0</v>
      </c>
    </row>
    <row r="28" spans="2:20" s="0" customFormat="0" ht="15">
      <c r="B28" s="69">
        <v>22623682</v>
      </c>
      <c r="C28" s="70" t="s">
        <v>3331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513</v>
      </c>
      <c r="J28" s="71">
        <f>IF(OR(I28=0,I28=""),"unrated",VLOOKUP(I28,MappingTables!$B$19:$C$31,2,FALSE))</f>
        <v>6</v>
      </c>
      <c r="K28" s="72">
        <v>20363.223320670736</v>
      </c>
      <c r="L28" s="70">
        <v>0.06851728115315868</v>
      </c>
      <c r="M28" s="71">
        <f>IF(L28&lt;1,1,L28)</f>
        <v>1</v>
      </c>
      <c r="N28" s="70" t="s">
        <v>3288</v>
      </c>
      <c r="O28" s="71">
        <f>IF(OR(I28=$A$1,I28=0),"",IF(N28=MappingTables!$C$14,VLOOKUP(J28,ModelParameters!$M$8:$N$15,2,FALSE),IF(N28=MappingTables!$C$16,VLOOKUP(J28,ModelParameters!$P$8:$Q$15,2,FALSE),0)))</f>
        <v>1</v>
      </c>
      <c r="P28" s="73">
        <f>IF(OR(I28=0,I28=$A$1),0,MIN(O28*M28,1)*K28)</f>
        <v>20363.223320670736</v>
      </c>
      <c r="Q28" s="73">
        <f>IF(B28="",0,IF(OR(H28=MappingTables!$C$34,H28=MappingTables!$C$35),P28,0))</f>
        <v>0</v>
      </c>
      <c r="R28" s="73">
        <f>IF(ISNA(IF(AND(VLOOKUP(CONCATENATE($D28,$G28),CSRFinput!$B:$E,4,0)=0,OR(H28=MappingTables!$C$31,H28=MappingTables!$C$32)),1,VLOOKUP(CONCATENATE($D28,$G28),CSRFinput!$B:$E,4,0))),0,IF(AND(VLOOKUP(CONCATENATE($D28,$G28),CSRFinput!$B:$E,4,0)=0,OR(H28=MappingTables!$C$31,H28=MappingTables!$C$32)),1,VLOOKUP(CONCATENATE($D28,$G28),CSRFinput!$B:$E,4,0)))</f>
        <v>0.054776304963434752</v>
      </c>
      <c r="S28" s="73">
        <f>IF(B28="",0,P28*R28)</f>
        <v>1115.4221306515868</v>
      </c>
      <c r="T28" s="85">
        <f>IF(B28="",0,IF(OR(H28=MappingTables!$C$34,H28=MappingTables!$C$35),S28,0))</f>
        <v>0</v>
      </c>
    </row>
    <row r="29" spans="2:20" s="0" customFormat="0" ht="15">
      <c r="B29" s="69" t="s">
        <v>3332</v>
      </c>
      <c r="C29" s="70" t="s">
        <v>3333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198</v>
      </c>
      <c r="J29" s="71" t="str">
        <f>IF(OR(I29=0,I29=""),"unrated",VLOOKUP(I29,MappingTables!$B$19:$C$31,2,FALSE))</f>
        <v>unrated</v>
      </c>
      <c r="K29" s="72">
        <v>11191.932615751738</v>
      </c>
      <c r="L29" s="70">
        <v>9.768826715379688</v>
      </c>
      <c r="M29" s="71">
        <f>IF(L29&lt;1,1,L29)</f>
        <v>9.768826715379688</v>
      </c>
      <c r="N29" s="70" t="s">
        <v>3288</v>
      </c>
      <c r="O29" s="71">
        <f>IF(OR(I29=$A$1,I29=0),"",IF(N29=MappingTables!$C$14,VLOOKUP(J29,ModelParameters!$M$8:$N$15,2,FALSE),IF(N29=MappingTables!$C$16,VLOOKUP(J29,ModelParameters!$P$8:$Q$15,2,FALSE),0)))</f>
        <v>1</v>
      </c>
      <c r="P29" s="73">
        <f>IF(OR(I29=0,I29=$A$1),0,MIN(O29*M29,1)*K29)</f>
        <v>11191.932615751738</v>
      </c>
      <c r="Q29" s="73">
        <f>IF(B29="",0,IF(OR(H29=MappingTables!$C$34,H29=MappingTables!$C$35),P29,0))</f>
        <v>0</v>
      </c>
      <c r="R29" s="73">
        <f>IF(ISNA(IF(AND(VLOOKUP(CONCATENATE($D29,$G29),CSRFinput!$B:$E,4,0)=0,OR(H29=MappingTables!$C$31,H29=MappingTables!$C$32)),1,VLOOKUP(CONCATENATE($D29,$G29),CSRFinput!$B:$E,4,0))),0,IF(AND(VLOOKUP(CONCATENATE($D29,$G29),CSRFinput!$B:$E,4,0)=0,OR(H29=MappingTables!$C$31,H29=MappingTables!$C$32)),1,VLOOKUP(CONCATENATE($D29,$G29),CSRFinput!$B:$E,4,0)))</f>
        <v>0.054776304963434752</v>
      </c>
      <c r="S29" s="73">
        <f>IF(B29="",0,P29*R29)</f>
        <v>613.05271409062928</v>
      </c>
      <c r="T29" s="85">
        <f>IF(B29="",0,IF(OR(H29=MappingTables!$C$34,H29=MappingTables!$C$35),S29,0))</f>
        <v>0</v>
      </c>
    </row>
    <row r="30" spans="2:20" s="0" customFormat="0" ht="15">
      <c r="B30" s="69" t="s">
        <v>3334</v>
      </c>
      <c r="C30" s="70" t="s">
        <v>3335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3298</v>
      </c>
      <c r="J30" s="71">
        <f>IF(OR(I30=0,I30=""),"unrated",VLOOKUP(I30,MappingTables!$B$19:$C$31,2,FALSE))</f>
        <v>6</v>
      </c>
      <c r="K30" s="72">
        <v>253.9820623050748</v>
      </c>
      <c r="L30" s="70">
        <v>0.06849385952350744</v>
      </c>
      <c r="M30" s="71">
        <f>IF(L30&lt;1,1,L30)</f>
        <v>1</v>
      </c>
      <c r="N30" s="70" t="s">
        <v>3288</v>
      </c>
      <c r="O30" s="71">
        <f>IF(OR(I30=$A$1,I30=0),"",IF(N30=MappingTables!$C$14,VLOOKUP(J30,ModelParameters!$M$8:$N$15,2,FALSE),IF(N30=MappingTables!$C$16,VLOOKUP(J30,ModelParameters!$P$8:$Q$15,2,FALSE),0)))</f>
        <v>1</v>
      </c>
      <c r="P30" s="73">
        <f>IF(OR(I30=0,I30=$A$1),0,MIN(O30*M30,1)*K30)</f>
        <v>253.9820623050748</v>
      </c>
      <c r="Q30" s="73">
        <f>IF(B30="",0,IF(OR(H30=MappingTables!$C$34,H30=MappingTables!$C$35),P30,0))</f>
        <v>0</v>
      </c>
      <c r="R30" s="73">
        <f>IF(ISNA(IF(AND(VLOOKUP(CONCATENATE($D30,$G30),CSRFinput!$B:$E,4,0)=0,OR(H30=MappingTables!$C$31,H30=MappingTables!$C$32)),1,VLOOKUP(CONCATENATE($D30,$G30),CSRFinput!$B:$E,4,0))),0,IF(AND(VLOOKUP(CONCATENATE($D30,$G30),CSRFinput!$B:$E,4,0)=0,OR(H30=MappingTables!$C$31,H30=MappingTables!$C$32)),1,VLOOKUP(CONCATENATE($D30,$G30),CSRFinput!$B:$E,4,0)))</f>
        <v>0.054776304963434752</v>
      </c>
      <c r="S30" s="73">
        <f>IF(B30="",0,P30*R30)</f>
        <v>13.912198900064864</v>
      </c>
      <c r="T30" s="85">
        <f>IF(B30="",0,IF(OR(H30=MappingTables!$C$34,H30=MappingTables!$C$35),S30,0))</f>
        <v>0</v>
      </c>
    </row>
    <row r="31" spans="2:20" s="0" customFormat="0" ht="15">
      <c r="B31" s="69" t="s">
        <v>3336</v>
      </c>
      <c r="C31" s="70" t="s">
        <v>3337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198</v>
      </c>
      <c r="J31" s="71" t="str">
        <f>IF(OR(I31=0,I31=""),"unrated",VLOOKUP(I31,MappingTables!$B$19:$C$31,2,FALSE))</f>
        <v>unrated</v>
      </c>
      <c r="K31" s="72">
        <v>138.93160111307026</v>
      </c>
      <c r="L31" s="70">
        <v>0.0684902763320278</v>
      </c>
      <c r="M31" s="71">
        <f>IF(L31&lt;1,1,L31)</f>
        <v>1</v>
      </c>
      <c r="N31" s="70" t="s">
        <v>3288</v>
      </c>
      <c r="O31" s="71">
        <f>IF(OR(I31=$A$1,I31=0),"",IF(N31=MappingTables!$C$14,VLOOKUP(J31,ModelParameters!$M$8:$N$15,2,FALSE),IF(N31=MappingTables!$C$16,VLOOKUP(J31,ModelParameters!$P$8:$Q$15,2,FALSE),0)))</f>
        <v>1</v>
      </c>
      <c r="P31" s="73">
        <f>IF(OR(I31=0,I31=$A$1),0,MIN(O31*M31,1)*K31)</f>
        <v>138.93160111307026</v>
      </c>
      <c r="Q31" s="73">
        <f>IF(B31="",0,IF(OR(H31=MappingTables!$C$34,H31=MappingTables!$C$35),P31,0))</f>
        <v>0</v>
      </c>
      <c r="R31" s="73">
        <f>IF(ISNA(IF(AND(VLOOKUP(CONCATENATE($D31,$G31),CSRFinput!$B:$E,4,0)=0,OR(H31=MappingTables!$C$31,H31=MappingTables!$C$32)),1,VLOOKUP(CONCATENATE($D31,$G31),CSRFinput!$B:$E,4,0))),0,IF(AND(VLOOKUP(CONCATENATE($D31,$G31),CSRFinput!$B:$E,4,0)=0,OR(H31=MappingTables!$C$31,H31=MappingTables!$C$32)),1,VLOOKUP(CONCATENATE($D31,$G31),CSRFinput!$B:$E,4,0)))</f>
        <v>0.054776304963434752</v>
      </c>
      <c r="S31" s="73">
        <f>IF(B31="",0,P31*R31)</f>
        <v>7.610159751627808</v>
      </c>
      <c r="T31" s="85">
        <f>IF(B31="",0,IF(OR(H31=MappingTables!$C$34,H31=MappingTables!$C$35),S31,0))</f>
        <v>0</v>
      </c>
    </row>
    <row r="32" spans="2:20" s="0" customFormat="0" ht="15">
      <c r="B32" s="69" t="s">
        <v>3338</v>
      </c>
      <c r="C32" s="70" t="s">
        <v>3339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179</v>
      </c>
      <c r="J32" s="71">
        <f>IF(OR(I32=0,I32=""),"unrated",VLOOKUP(I32,MappingTables!$B$19:$C$31,2,FALSE))</f>
        <v>4</v>
      </c>
      <c r="K32" s="72">
        <v>5858.8565932464928</v>
      </c>
      <c r="L32" s="70">
        <v>0.068490919734438048</v>
      </c>
      <c r="M32" s="71">
        <f>IF(L32&lt;1,1,L32)</f>
        <v>1</v>
      </c>
      <c r="N32" s="70" t="s">
        <v>3288</v>
      </c>
      <c r="O32" s="71">
        <f>IF(OR(I32=$A$1,I32=0),"",IF(N32=MappingTables!$C$14,VLOOKUP(J32,ModelParameters!$M$8:$N$15,2,FALSE),IF(N32=MappingTables!$C$16,VLOOKUP(J32,ModelParameters!$P$8:$Q$15,2,FALSE),0)))</f>
        <v>0.82</v>
      </c>
      <c r="P32" s="73">
        <f>IF(OR(I32=0,I32=$A$1),0,MIN(O32*M32,1)*K32)</f>
        <v>4804.262406462124</v>
      </c>
      <c r="Q32" s="73">
        <f>IF(B32="",0,IF(OR(H32=MappingTables!$C$34,H32=MappingTables!$C$35),P32,0))</f>
        <v>0</v>
      </c>
      <c r="R32" s="73">
        <f>IF(ISNA(IF(AND(VLOOKUP(CONCATENATE($D32,$G32),CSRFinput!$B:$E,4,0)=0,OR(H32=MappingTables!$C$31,H32=MappingTables!$C$32)),1,VLOOKUP(CONCATENATE($D32,$G32),CSRFinput!$B:$E,4,0))),0,IF(AND(VLOOKUP(CONCATENATE($D32,$G32),CSRFinput!$B:$E,4,0)=0,OR(H32=MappingTables!$C$31,H32=MappingTables!$C$32)),1,VLOOKUP(CONCATENATE($D32,$G32),CSRFinput!$B:$E,4,0)))</f>
        <v>0.054776304963434752</v>
      </c>
      <c r="S32" s="73">
        <f>IF(B32="",0,P32*R32)</f>
        <v>263.15974270073424</v>
      </c>
      <c r="T32" s="85">
        <f>IF(B32="",0,IF(OR(H32=MappingTables!$C$34,H32=MappingTables!$C$35),S32,0))</f>
        <v>0</v>
      </c>
    </row>
    <row r="33" spans="2:20" s="0" customFormat="0" ht="15">
      <c r="B33" s="69" t="s">
        <v>3340</v>
      </c>
      <c r="C33" s="70" t="s">
        <v>3341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198</v>
      </c>
      <c r="J33" s="71" t="str">
        <f>IF(OR(I33=0,I33=""),"unrated",VLOOKUP(I33,MappingTables!$B$19:$C$31,2,FALSE))</f>
        <v>unrated</v>
      </c>
      <c r="K33" s="72">
        <v>403.31065630334408</v>
      </c>
      <c r="L33" s="70">
        <v>0.05479471645819952</v>
      </c>
      <c r="M33" s="71">
        <f>IF(L33&lt;1,1,L33)</f>
        <v>1</v>
      </c>
      <c r="N33" s="70" t="s">
        <v>3288</v>
      </c>
      <c r="O33" s="71">
        <f>IF(OR(I33=$A$1,I33=0),"",IF(N33=MappingTables!$C$14,VLOOKUP(J33,ModelParameters!$M$8:$N$15,2,FALSE),IF(N33=MappingTables!$C$16,VLOOKUP(J33,ModelParameters!$P$8:$Q$15,2,FALSE),0)))</f>
        <v>1</v>
      </c>
      <c r="P33" s="73">
        <f>IF(OR(I33=0,I33=$A$1),0,MIN(O33*M33,1)*K33)</f>
        <v>403.31065630334408</v>
      </c>
      <c r="Q33" s="73">
        <f>IF(B33="",0,IF(OR(H33=MappingTables!$C$34,H33=MappingTables!$C$35),P33,0))</f>
        <v>0</v>
      </c>
      <c r="R33" s="73">
        <f>IF(ISNA(IF(AND(VLOOKUP(CONCATENATE($D33,$G33),CSRFinput!$B:$E,4,0)=0,OR(H33=MappingTables!$C$31,H33=MappingTables!$C$32)),1,VLOOKUP(CONCATENATE($D33,$G33),CSRFinput!$B:$E,4,0))),0,IF(AND(VLOOKUP(CONCATENATE($D33,$G33),CSRFinput!$B:$E,4,0)=0,OR(H33=MappingTables!$C$31,H33=MappingTables!$C$32)),1,VLOOKUP(CONCATENATE($D33,$G33),CSRFinput!$B:$E,4,0)))</f>
        <v>0.054776304963434752</v>
      </c>
      <c r="S33" s="73">
        <f>IF(B33="",0,P33*R33)</f>
        <v>22.091867504674992</v>
      </c>
      <c r="T33" s="85">
        <f>IF(B33="",0,IF(OR(H33=MappingTables!$C$34,H33=MappingTables!$C$35),S33,0))</f>
        <v>0</v>
      </c>
    </row>
    <row r="34" spans="2:20" s="0" customFormat="0" ht="15">
      <c r="B34" s="69" t="s">
        <v>3342</v>
      </c>
      <c r="C34" s="70" t="s">
        <v>3343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198</v>
      </c>
      <c r="J34" s="71" t="str">
        <f>IF(OR(I34=0,I34=""),"unrated",VLOOKUP(I34,MappingTables!$B$19:$C$31,2,FALSE))</f>
        <v>unrated</v>
      </c>
      <c r="K34" s="72">
        <v>0.26866775709552076</v>
      </c>
      <c r="L34" s="70">
        <v>23.377731388212316</v>
      </c>
      <c r="M34" s="71">
        <f>IF(L34&lt;1,1,L34)</f>
        <v>23.377731388212316</v>
      </c>
      <c r="N34" s="70" t="s">
        <v>3288</v>
      </c>
      <c r="O34" s="71">
        <f>IF(OR(I34=$A$1,I34=0),"",IF(N34=MappingTables!$C$14,VLOOKUP(J34,ModelParameters!$M$8:$N$15,2,FALSE),IF(N34=MappingTables!$C$16,VLOOKUP(J34,ModelParameters!$P$8:$Q$15,2,FALSE),0)))</f>
        <v>1</v>
      </c>
      <c r="P34" s="73">
        <f>IF(OR(I34=0,I34=$A$1),0,MIN(O34*M34,1)*K34)</f>
        <v>0.26866775709552076</v>
      </c>
      <c r="Q34" s="73">
        <f>IF(B34="",0,IF(OR(H34=MappingTables!$C$34,H34=MappingTables!$C$35),P34,0))</f>
        <v>0</v>
      </c>
      <c r="R34" s="73">
        <f>IF(ISNA(IF(AND(VLOOKUP(CONCATENATE($D34,$G34),CSRFinput!$B:$E,4,0)=0,OR(H34=MappingTables!$C$31,H34=MappingTables!$C$32)),1,VLOOKUP(CONCATENATE($D34,$G34),CSRFinput!$B:$E,4,0))),0,IF(AND(VLOOKUP(CONCATENATE($D34,$G34),CSRFinput!$B:$E,4,0)=0,OR(H34=MappingTables!$C$31,H34=MappingTables!$C$32)),1,VLOOKUP(CONCATENATE($D34,$G34),CSRFinput!$B:$E,4,0)))</f>
        <v>0.054776304963434752</v>
      </c>
      <c r="S34" s="73">
        <f>IF(B34="",0,P34*R34)</f>
        <v>0.014716626996506256</v>
      </c>
      <c r="T34" s="85">
        <f>IF(B34="",0,IF(OR(H34=MappingTables!$C$34,H34=MappingTables!$C$35),S34,0))</f>
        <v>0</v>
      </c>
    </row>
    <row r="35" spans="2:20" s="0" customFormat="0" ht="15">
      <c r="B35" s="69" t="s">
        <v>3344</v>
      </c>
      <c r="C35" s="70" t="s">
        <v>3345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216</v>
      </c>
      <c r="J35" s="71">
        <f>IF(OR(I35=0,I35=""),"unrated",VLOOKUP(I35,MappingTables!$B$19:$C$31,2,FALSE))</f>
        <v>0</v>
      </c>
      <c r="K35" s="72">
        <v>202.69183860763916</v>
      </c>
      <c r="L35" s="70">
        <v>0.041092958865122456</v>
      </c>
      <c r="M35" s="71">
        <f>IF(L35&lt;1,1,L35)</f>
        <v>1</v>
      </c>
      <c r="N35" s="70" t="s">
        <v>3288</v>
      </c>
      <c r="O35" s="71">
        <f>IF(OR(I35=$A$1,I35=0),"",IF(N35=MappingTables!$C$14,VLOOKUP(J35,ModelParameters!$M$8:$N$15,2,FALSE),IF(N35=MappingTables!$C$16,VLOOKUP(J35,ModelParameters!$P$8:$Q$15,2,FALSE),0)))</f>
        <v>0.125</v>
      </c>
      <c r="P35" s="73">
        <f>IF(OR(I35=0,I35=$A$1),0,MIN(O35*M35,1)*K35)</f>
        <v>25.336479825954892</v>
      </c>
      <c r="Q35" s="73">
        <f>IF(B35="",0,IF(OR(H35=MappingTables!$C$34,H35=MappingTables!$C$35),P35,0))</f>
        <v>0</v>
      </c>
      <c r="R35" s="73">
        <f>IF(ISNA(IF(AND(VLOOKUP(CONCATENATE($D35,$G35),CSRFinput!$B:$E,4,0)=0,OR(H35=MappingTables!$C$31,H35=MappingTables!$C$32)),1,VLOOKUP(CONCATENATE($D35,$G35),CSRFinput!$B:$E,4,0))),0,IF(AND(VLOOKUP(CONCATENATE($D35,$G35),CSRFinput!$B:$E,4,0)=0,OR(H35=MappingTables!$C$31,H35=MappingTables!$C$32)),1,VLOOKUP(CONCATENATE($D35,$G35),CSRFinput!$B:$E,4,0)))</f>
        <v>0.054776304963434752</v>
      </c>
      <c r="S35" s="73">
        <f>IF(B35="",0,P35*R35)</f>
        <v>1.3878387456464174</v>
      </c>
      <c r="T35" s="85">
        <f>IF(B35="",0,IF(OR(H35=MappingTables!$C$34,H35=MappingTables!$C$35),S35,0))</f>
        <v>0</v>
      </c>
    </row>
    <row r="36" spans="2:20" s="0" customFormat="0" ht="15">
      <c r="B36" s="69" t="s">
        <v>3346</v>
      </c>
      <c r="C36" s="70" t="s">
        <v>3347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204</v>
      </c>
      <c r="J36" s="71">
        <f>IF(OR(I36=0,I36=""),"unrated",VLOOKUP(I36,MappingTables!$B$19:$C$31,2,FALSE))</f>
        <v>6</v>
      </c>
      <c r="K36" s="72">
        <v>58.093087975886224</v>
      </c>
      <c r="L36" s="70">
        <v>0.068494701365591296</v>
      </c>
      <c r="M36" s="71">
        <f>IF(L36&lt;1,1,L36)</f>
        <v>1</v>
      </c>
      <c r="N36" s="70" t="s">
        <v>3288</v>
      </c>
      <c r="O36" s="71">
        <f>IF(OR(I36=$A$1,I36=0),"",IF(N36=MappingTables!$C$14,VLOOKUP(J36,ModelParameters!$M$8:$N$15,2,FALSE),IF(N36=MappingTables!$C$16,VLOOKUP(J36,ModelParameters!$P$8:$Q$15,2,FALSE),0)))</f>
        <v>1</v>
      </c>
      <c r="P36" s="73">
        <f>IF(OR(I36=0,I36=$A$1),0,MIN(O36*M36,1)*K36)</f>
        <v>58.093087975886224</v>
      </c>
      <c r="Q36" s="73">
        <f>IF(B36="",0,IF(OR(H36=MappingTables!$C$34,H36=MappingTables!$C$35),P36,0))</f>
        <v>0</v>
      </c>
      <c r="R36" s="73">
        <f>IF(ISNA(IF(AND(VLOOKUP(CONCATENATE($D36,$G36),CSRFinput!$B:$E,4,0)=0,OR(H36=MappingTables!$C$31,H36=MappingTables!$C$32)),1,VLOOKUP(CONCATENATE($D36,$G36),CSRFinput!$B:$E,4,0))),0,IF(AND(VLOOKUP(CONCATENATE($D36,$G36),CSRFinput!$B:$E,4,0)=0,OR(H36=MappingTables!$C$31,H36=MappingTables!$C$32)),1,VLOOKUP(CONCATENATE($D36,$G36),CSRFinput!$B:$E,4,0)))</f>
        <v>0.054776304963434752</v>
      </c>
      <c r="S36" s="73">
        <f>IF(B36="",0,P36*R36)</f>
        <v>3.182124703234788</v>
      </c>
      <c r="T36" s="85">
        <f>IF(B36="",0,IF(OR(H36=MappingTables!$C$34,H36=MappingTables!$C$35),S36,0))</f>
        <v>0</v>
      </c>
    </row>
    <row r="37" spans="2:20" s="0" customFormat="0" ht="15">
      <c r="B37" s="69" t="s">
        <v>3348</v>
      </c>
      <c r="C37" s="70" t="s">
        <v>3349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204</v>
      </c>
      <c r="J37" s="71">
        <f>IF(OR(I37=0,I37=""),"unrated",VLOOKUP(I37,MappingTables!$B$19:$C$31,2,FALSE))</f>
        <v>6</v>
      </c>
      <c r="K37" s="72">
        <v>12.29587344816911</v>
      </c>
      <c r="L37" s="70">
        <v>0.068494740894520456</v>
      </c>
      <c r="M37" s="71">
        <f>IF(L37&lt;1,1,L37)</f>
        <v>1</v>
      </c>
      <c r="N37" s="70" t="s">
        <v>3288</v>
      </c>
      <c r="O37" s="71">
        <f>IF(OR(I37=$A$1,I37=0),"",IF(N37=MappingTables!$C$14,VLOOKUP(J37,ModelParameters!$M$8:$N$15,2,FALSE),IF(N37=MappingTables!$C$16,VLOOKUP(J37,ModelParameters!$P$8:$Q$15,2,FALSE),0)))</f>
        <v>1</v>
      </c>
      <c r="P37" s="73">
        <f>IF(OR(I37=0,I37=$A$1),0,MIN(O37*M37,1)*K37)</f>
        <v>12.29587344816911</v>
      </c>
      <c r="Q37" s="73">
        <f>IF(B37="",0,IF(OR(H37=MappingTables!$C$34,H37=MappingTables!$C$35),P37,0))</f>
        <v>0</v>
      </c>
      <c r="R37" s="73">
        <f>IF(ISNA(IF(AND(VLOOKUP(CONCATENATE($D37,$G37),CSRFinput!$B:$E,4,0)=0,OR(H37=MappingTables!$C$31,H37=MappingTables!$C$32)),1,VLOOKUP(CONCATENATE($D37,$G37),CSRFinput!$B:$E,4,0))),0,IF(AND(VLOOKUP(CONCATENATE($D37,$G37),CSRFinput!$B:$E,4,0)=0,OR(H37=MappingTables!$C$31,H37=MappingTables!$C$32)),1,VLOOKUP(CONCATENATE($D37,$G37),CSRFinput!$B:$E,4,0)))</f>
        <v>0.054776304963434752</v>
      </c>
      <c r="S37" s="73">
        <f>IF(B37="",0,P37*R37)</f>
        <v>0.67352251378871128</v>
      </c>
      <c r="T37" s="85">
        <f>IF(B37="",0,IF(OR(H37=MappingTables!$C$34,H37=MappingTables!$C$35),S37,0))</f>
        <v>0</v>
      </c>
    </row>
    <row r="38" spans="2:20" s="0" customFormat="0" ht="15">
      <c r="B38" s="69" t="s">
        <v>3350</v>
      </c>
      <c r="C38" s="70" t="s">
        <v>3351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198</v>
      </c>
      <c r="J38" s="71" t="str">
        <f>IF(OR(I38=0,I38=""),"unrated",VLOOKUP(I38,MappingTables!$B$19:$C$31,2,FALSE))</f>
        <v>unrated</v>
      </c>
      <c r="K38" s="72">
        <v>33.890831112243944</v>
      </c>
      <c r="L38" s="70">
        <v>0.06849754296279932</v>
      </c>
      <c r="M38" s="71">
        <f>IF(L38&lt;1,1,L38)</f>
        <v>1</v>
      </c>
      <c r="N38" s="70" t="s">
        <v>3288</v>
      </c>
      <c r="O38" s="71">
        <f>IF(OR(I38=$A$1,I38=0),"",IF(N38=MappingTables!$C$14,VLOOKUP(J38,ModelParameters!$M$8:$N$15,2,FALSE),IF(N38=MappingTables!$C$16,VLOOKUP(J38,ModelParameters!$P$8:$Q$15,2,FALSE),0)))</f>
        <v>1</v>
      </c>
      <c r="P38" s="73">
        <f>IF(OR(I38=0,I38=$A$1),0,MIN(O38*M38,1)*K38)</f>
        <v>33.890831112243944</v>
      </c>
      <c r="Q38" s="73">
        <f>IF(B38="",0,IF(OR(H38=MappingTables!$C$34,H38=MappingTables!$C$35),P38,0))</f>
        <v>0</v>
      </c>
      <c r="R38" s="73">
        <f>IF(ISNA(IF(AND(VLOOKUP(CONCATENATE($D38,$G38),CSRFinput!$B:$E,4,0)=0,OR(H38=MappingTables!$C$31,H38=MappingTables!$C$32)),1,VLOOKUP(CONCATENATE($D38,$G38),CSRFinput!$B:$E,4,0))),0,IF(AND(VLOOKUP(CONCATENATE($D38,$G38),CSRFinput!$B:$E,4,0)=0,OR(H38=MappingTables!$C$31,H38=MappingTables!$C$32)),1,VLOOKUP(CONCATENATE($D38,$G38),CSRFinput!$B:$E,4,0)))</f>
        <v>0.054776304963434752</v>
      </c>
      <c r="S38" s="73">
        <f>IF(B38="",0,P38*R38)</f>
        <v>1.8564145004685368</v>
      </c>
      <c r="T38" s="85">
        <f>IF(B38="",0,IF(OR(H38=MappingTables!$C$34,H38=MappingTables!$C$35),S38,0))</f>
        <v>0</v>
      </c>
    </row>
    <row r="39" spans="2:20" s="0" customFormat="0" ht="15">
      <c r="B39" s="69" t="s">
        <v>3352</v>
      </c>
      <c r="C39" s="70" t="s">
        <v>3353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198</v>
      </c>
      <c r="J39" s="71" t="str">
        <f>IF(OR(I39=0,I39=""),"unrated",VLOOKUP(I39,MappingTables!$B$19:$C$31,2,FALSE))</f>
        <v>unrated</v>
      </c>
      <c r="K39" s="72">
        <v>7170.6862714215184</v>
      </c>
      <c r="L39" s="70">
        <v>10.319376789618222</v>
      </c>
      <c r="M39" s="71">
        <f>IF(L39&lt;1,1,L39)</f>
        <v>10.319376789618222</v>
      </c>
      <c r="N39" s="70" t="s">
        <v>3288</v>
      </c>
      <c r="O39" s="71">
        <f>IF(OR(I39=$A$1,I39=0),"",IF(N39=MappingTables!$C$14,VLOOKUP(J39,ModelParameters!$M$8:$N$15,2,FALSE),IF(N39=MappingTables!$C$16,VLOOKUP(J39,ModelParameters!$P$8:$Q$15,2,FALSE),0)))</f>
        <v>1</v>
      </c>
      <c r="P39" s="73">
        <f>IF(OR(I39=0,I39=$A$1),0,MIN(O39*M39,1)*K39)</f>
        <v>7170.6862714215184</v>
      </c>
      <c r="Q39" s="73">
        <f>IF(B39="",0,IF(OR(H39=MappingTables!$C$34,H39=MappingTables!$C$35),P39,0))</f>
        <v>0</v>
      </c>
      <c r="R39" s="73">
        <f>IF(ISNA(IF(AND(VLOOKUP(CONCATENATE($D39,$G39),CSRFinput!$B:$E,4,0)=0,OR(H39=MappingTables!$C$31,H39=MappingTables!$C$32)),1,VLOOKUP(CONCATENATE($D39,$G39),CSRFinput!$B:$E,4,0))),0,IF(AND(VLOOKUP(CONCATENATE($D39,$G39),CSRFinput!$B:$E,4,0)=0,OR(H39=MappingTables!$C$31,H39=MappingTables!$C$32)),1,VLOOKUP(CONCATENATE($D39,$G39),CSRFinput!$B:$E,4,0)))</f>
        <v>0.054776304963434752</v>
      </c>
      <c r="S39" s="73">
        <f>IF(B39="",0,P39*R39)</f>
        <v>392.78369800049992</v>
      </c>
      <c r="T39" s="85">
        <f>IF(B39="",0,IF(OR(H39=MappingTables!$C$34,H39=MappingTables!$C$35),S39,0))</f>
        <v>0</v>
      </c>
    </row>
    <row r="40" spans="2:20" s="0" customFormat="0" ht="15">
      <c r="B40" s="69">
        <v>14504645</v>
      </c>
      <c r="C40" s="70" t="s">
        <v>3354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220</v>
      </c>
      <c r="J40" s="71">
        <f>IF(OR(I40=0,I40=""),"unrated",VLOOKUP(I40,MappingTables!$B$19:$C$31,2,FALSE))</f>
        <v>1</v>
      </c>
      <c r="K40" s="72">
        <v>535.47299535469712</v>
      </c>
      <c r="L40" s="70">
        <v>0.13989836229826092</v>
      </c>
      <c r="M40" s="71">
        <f>IF(L40&lt;1,1,L40)</f>
        <v>1</v>
      </c>
      <c r="N40" s="70" t="s">
        <v>3288</v>
      </c>
      <c r="O40" s="71">
        <f>IF(OR(I40=$A$1,I40=0),"",IF(N40=MappingTables!$C$14,VLOOKUP(J40,ModelParameters!$M$8:$N$15,2,FALSE),IF(N40=MappingTables!$C$16,VLOOKUP(J40,ModelParameters!$P$8:$Q$15,2,FALSE),0)))</f>
        <v>0.134</v>
      </c>
      <c r="P40" s="73">
        <f>IF(OR(I40=0,I40=$A$1),0,MIN(O40*M40,1)*K40)</f>
        <v>71.753381377529424</v>
      </c>
      <c r="Q40" s="73">
        <f>IF(B40="",0,IF(OR(H40=MappingTables!$C$34,H40=MappingTables!$C$35),P40,0))</f>
        <v>0</v>
      </c>
      <c r="R40" s="73">
        <f>IF(ISNA(IF(AND(VLOOKUP(CONCATENATE($D40,$G40),CSRFinput!$B:$E,4,0)=0,OR(H40=MappingTables!$C$31,H40=MappingTables!$C$32)),1,VLOOKUP(CONCATENATE($D40,$G40),CSRFinput!$B:$E,4,0))),0,IF(AND(VLOOKUP(CONCATENATE($D40,$G40),CSRFinput!$B:$E,4,0)=0,OR(H40=MappingTables!$C$31,H40=MappingTables!$C$32)),1,VLOOKUP(CONCATENATE($D40,$G40),CSRFinput!$B:$E,4,0)))</f>
        <v>0.054776304963434752</v>
      </c>
      <c r="S40" s="73">
        <f>IF(B40="",0,P40*R40)</f>
        <v>3.930385100493192</v>
      </c>
      <c r="T40" s="85">
        <f>IF(B40="",0,IF(OR(H40=MappingTables!$C$34,H40=MappingTables!$C$35),S40,0))</f>
        <v>0</v>
      </c>
    </row>
    <row r="41" spans="2:20" s="0" customFormat="0" ht="15">
      <c r="B41" s="69" t="s">
        <v>3355</v>
      </c>
      <c r="C41" s="70" t="s">
        <v>3356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198</v>
      </c>
      <c r="J41" s="71" t="str">
        <f>IF(OR(I41=0,I41=""),"unrated",VLOOKUP(I41,MappingTables!$B$19:$C$31,2,FALSE))</f>
        <v>unrated</v>
      </c>
      <c r="K41" s="72">
        <v>2.7365674948589324</v>
      </c>
      <c r="L41" s="70">
        <v>9.7923305792009664</v>
      </c>
      <c r="M41" s="71">
        <f>IF(L41&lt;1,1,L41)</f>
        <v>9.7923305792009664</v>
      </c>
      <c r="N41" s="70" t="s">
        <v>3288</v>
      </c>
      <c r="O41" s="71">
        <f>IF(OR(I41=$A$1,I41=0),"",IF(N41=MappingTables!$C$14,VLOOKUP(J41,ModelParameters!$M$8:$N$15,2,FALSE),IF(N41=MappingTables!$C$16,VLOOKUP(J41,ModelParameters!$P$8:$Q$15,2,FALSE),0)))</f>
        <v>1</v>
      </c>
      <c r="P41" s="73">
        <f>IF(OR(I41=0,I41=$A$1),0,MIN(O41*M41,1)*K41)</f>
        <v>2.7365674948589324</v>
      </c>
      <c r="Q41" s="73">
        <f>IF(B41="",0,IF(OR(H41=MappingTables!$C$34,H41=MappingTables!$C$35),P41,0))</f>
        <v>0</v>
      </c>
      <c r="R41" s="73">
        <f>IF(ISNA(IF(AND(VLOOKUP(CONCATENATE($D41,$G41),CSRFinput!$B:$E,4,0)=0,OR(H41=MappingTables!$C$31,H41=MappingTables!$C$32)),1,VLOOKUP(CONCATENATE($D41,$G41),CSRFinput!$B:$E,4,0))),0,IF(AND(VLOOKUP(CONCATENATE($D41,$G41),CSRFinput!$B:$E,4,0)=0,OR(H41=MappingTables!$C$31,H41=MappingTables!$C$32)),1,VLOOKUP(CONCATENATE($D41,$G41),CSRFinput!$B:$E,4,0)))</f>
        <v>0.054776304963434752</v>
      </c>
      <c r="S41" s="73">
        <f>IF(B41="",0,P41*R41)</f>
        <v>0.14989905565141556</v>
      </c>
      <c r="T41" s="85">
        <f>IF(B41="",0,IF(OR(H41=MappingTables!$C$34,H41=MappingTables!$C$35),S41,0))</f>
        <v>0</v>
      </c>
    </row>
    <row r="42" spans="2:20" s="0" customFormat="0" ht="15">
      <c r="B42" s="69" t="s">
        <v>3357</v>
      </c>
      <c r="C42" s="70" t="s">
        <v>3358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198</v>
      </c>
      <c r="J42" s="71" t="str">
        <f>IF(OR(I42=0,I42=""),"unrated",VLOOKUP(I42,MappingTables!$B$19:$C$31,2,FALSE))</f>
        <v>unrated</v>
      </c>
      <c r="K42" s="72">
        <v>3256.8053248216284</v>
      </c>
      <c r="L42" s="70">
        <v>5.1831381165510288</v>
      </c>
      <c r="M42" s="71">
        <f>IF(L42&lt;1,1,L42)</f>
        <v>5.1831381165510288</v>
      </c>
      <c r="N42" s="70" t="s">
        <v>3288</v>
      </c>
      <c r="O42" s="71">
        <f>IF(OR(I42=$A$1,I42=0),"",IF(N42=MappingTables!$C$14,VLOOKUP(J42,ModelParameters!$M$8:$N$15,2,FALSE),IF(N42=MappingTables!$C$16,VLOOKUP(J42,ModelParameters!$P$8:$Q$15,2,FALSE),0)))</f>
        <v>1</v>
      </c>
      <c r="P42" s="73">
        <f>IF(OR(I42=0,I42=$A$1),0,MIN(O42*M42,1)*K42)</f>
        <v>3256.8053248216284</v>
      </c>
      <c r="Q42" s="73">
        <f>IF(B42="",0,IF(OR(H42=MappingTables!$C$34,H42=MappingTables!$C$35),P42,0))</f>
        <v>0</v>
      </c>
      <c r="R42" s="73">
        <f>IF(ISNA(IF(AND(VLOOKUP(CONCATENATE($D42,$G42),CSRFinput!$B:$E,4,0)=0,OR(H42=MappingTables!$C$31,H42=MappingTables!$C$32)),1,VLOOKUP(CONCATENATE($D42,$G42),CSRFinput!$B:$E,4,0))),0,IF(AND(VLOOKUP(CONCATENATE($D42,$G42),CSRFinput!$B:$E,4,0)=0,OR(H42=MappingTables!$C$31,H42=MappingTables!$C$32)),1,VLOOKUP(CONCATENATE($D42,$G42),CSRFinput!$B:$E,4,0)))</f>
        <v>0.054776304963434752</v>
      </c>
      <c r="S42" s="73">
        <f>IF(B42="",0,P42*R42)</f>
        <v>178.39576167896768</v>
      </c>
      <c r="T42" s="85">
        <f>IF(B42="",0,IF(OR(H42=MappingTables!$C$34,H42=MappingTables!$C$35),S42,0))</f>
        <v>0</v>
      </c>
    </row>
    <row r="43" spans="2:20" s="0" customFormat="0" ht="15">
      <c r="B43" s="69" t="s">
        <v>3359</v>
      </c>
      <c r="C43" s="70" t="s">
        <v>3360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204</v>
      </c>
      <c r="J43" s="71">
        <f>IF(OR(I43=0,I43=""),"unrated",VLOOKUP(I43,MappingTables!$B$19:$C$31,2,FALSE))</f>
        <v>6</v>
      </c>
      <c r="K43" s="72">
        <v>102.06498033807884</v>
      </c>
      <c r="L43" s="70">
        <v>0.068494822624539304</v>
      </c>
      <c r="M43" s="71">
        <f>IF(L43&lt;1,1,L43)</f>
        <v>1</v>
      </c>
      <c r="N43" s="70" t="s">
        <v>3288</v>
      </c>
      <c r="O43" s="71">
        <f>IF(OR(I43=$A$1,I43=0),"",IF(N43=MappingTables!$C$14,VLOOKUP(J43,ModelParameters!$M$8:$N$15,2,FALSE),IF(N43=MappingTables!$C$16,VLOOKUP(J43,ModelParameters!$P$8:$Q$15,2,FALSE),0)))</f>
        <v>1</v>
      </c>
      <c r="P43" s="73">
        <f>IF(OR(I43=0,I43=$A$1),0,MIN(O43*M43,1)*K43)</f>
        <v>102.06498033807884</v>
      </c>
      <c r="Q43" s="73">
        <f>IF(B43="",0,IF(OR(H43=MappingTables!$C$34,H43=MappingTables!$C$35),P43,0))</f>
        <v>0</v>
      </c>
      <c r="R43" s="73">
        <f>IF(ISNA(IF(AND(VLOOKUP(CONCATENATE($D43,$G43),CSRFinput!$B:$E,4,0)=0,OR(H43=MappingTables!$C$31,H43=MappingTables!$C$32)),1,VLOOKUP(CONCATENATE($D43,$G43),CSRFinput!$B:$E,4,0))),0,IF(AND(VLOOKUP(CONCATENATE($D43,$G43),CSRFinput!$B:$E,4,0)=0,OR(H43=MappingTables!$C$31,H43=MappingTables!$C$32)),1,VLOOKUP(CONCATENATE($D43,$G43),CSRFinput!$B:$E,4,0)))</f>
        <v>0.054776304963434752</v>
      </c>
      <c r="S43" s="73">
        <f>IF(B43="",0,P43*R43)</f>
        <v>5.5907424890855792</v>
      </c>
      <c r="T43" s="85">
        <f>IF(B43="",0,IF(OR(H43=MappingTables!$C$34,H43=MappingTables!$C$35),S43,0))</f>
        <v>0</v>
      </c>
    </row>
    <row r="44" spans="2:20" s="0" customFormat="0" ht="15">
      <c r="B44" s="69" t="s">
        <v>3361</v>
      </c>
      <c r="C44" s="70" t="s">
        <v>3362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198</v>
      </c>
      <c r="J44" s="71" t="str">
        <f>IF(OR(I44=0,I44=""),"unrated",VLOOKUP(I44,MappingTables!$B$19:$C$31,2,FALSE))</f>
        <v>unrated</v>
      </c>
      <c r="K44" s="72">
        <v>2032.1234417895324</v>
      </c>
      <c r="L44" s="70">
        <v>0.30782096688414496</v>
      </c>
      <c r="M44" s="71">
        <f>IF(L44&lt;1,1,L44)</f>
        <v>1</v>
      </c>
      <c r="N44" s="70" t="s">
        <v>3288</v>
      </c>
      <c r="O44" s="71">
        <f>IF(OR(I44=$A$1,I44=0),"",IF(N44=MappingTables!$C$14,VLOOKUP(J44,ModelParameters!$M$8:$N$15,2,FALSE),IF(N44=MappingTables!$C$16,VLOOKUP(J44,ModelParameters!$P$8:$Q$15,2,FALSE),0)))</f>
        <v>1</v>
      </c>
      <c r="P44" s="73">
        <f>IF(OR(I44=0,I44=$A$1),0,MIN(O44*M44,1)*K44)</f>
        <v>2032.1234417895324</v>
      </c>
      <c r="Q44" s="73">
        <f>IF(B44="",0,IF(OR(H44=MappingTables!$C$34,H44=MappingTables!$C$35),P44,0))</f>
        <v>0</v>
      </c>
      <c r="R44" s="73">
        <f>IF(ISNA(IF(AND(VLOOKUP(CONCATENATE($D44,$G44),CSRFinput!$B:$E,4,0)=0,OR(H44=MappingTables!$C$31,H44=MappingTables!$C$32)),1,VLOOKUP(CONCATENATE($D44,$G44),CSRFinput!$B:$E,4,0))),0,IF(AND(VLOOKUP(CONCATENATE($D44,$G44),CSRFinput!$B:$E,4,0)=0,OR(H44=MappingTables!$C$31,H44=MappingTables!$C$32)),1,VLOOKUP(CONCATENATE($D44,$G44),CSRFinput!$B:$E,4,0)))</f>
        <v>0.054776304963434752</v>
      </c>
      <c r="S44" s="73">
        <f>IF(B44="",0,P44*R44)</f>
        <v>111.31221337080806</v>
      </c>
      <c r="T44" s="85">
        <f>IF(B44="",0,IF(OR(H44=MappingTables!$C$34,H44=MappingTables!$C$35),S44,0))</f>
        <v>0</v>
      </c>
    </row>
    <row r="45" spans="2:20" s="0" customFormat="0" ht="15">
      <c r="B45" s="69">
        <v>18423531</v>
      </c>
      <c r="C45" s="70" t="s">
        <v>3363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216</v>
      </c>
      <c r="J45" s="71">
        <f>IF(OR(I45=0,I45=""),"unrated",VLOOKUP(I45,MappingTables!$B$19:$C$31,2,FALSE))</f>
        <v>0</v>
      </c>
      <c r="K45" s="72">
        <v>4320.4184320525672</v>
      </c>
      <c r="L45" s="70">
        <v>0.076159523459484992</v>
      </c>
      <c r="M45" s="71">
        <f>IF(L45&lt;1,1,L45)</f>
        <v>1</v>
      </c>
      <c r="N45" s="70" t="s">
        <v>3288</v>
      </c>
      <c r="O45" s="71">
        <f>IF(OR(I45=$A$1,I45=0),"",IF(N45=MappingTables!$C$14,VLOOKUP(J45,ModelParameters!$M$8:$N$15,2,FALSE),IF(N45=MappingTables!$C$16,VLOOKUP(J45,ModelParameters!$P$8:$Q$15,2,FALSE),0)))</f>
        <v>0.125</v>
      </c>
      <c r="P45" s="73">
        <f>IF(OR(I45=0,I45=$A$1),0,MIN(O45*M45,1)*K45)</f>
        <v>540.05230400657096</v>
      </c>
      <c r="Q45" s="73">
        <f>IF(B45="",0,IF(OR(H45=MappingTables!$C$34,H45=MappingTables!$C$35),P45,0))</f>
        <v>0</v>
      </c>
      <c r="R45" s="73">
        <f>IF(ISNA(IF(AND(VLOOKUP(CONCATENATE($D45,$G45),CSRFinput!$B:$E,4,0)=0,OR(H45=MappingTables!$C$31,H45=MappingTables!$C$32)),1,VLOOKUP(CONCATENATE($D45,$G45),CSRFinput!$B:$E,4,0))),0,IF(AND(VLOOKUP(CONCATENATE($D45,$G45),CSRFinput!$B:$E,4,0)=0,OR(H45=MappingTables!$C$31,H45=MappingTables!$C$32)),1,VLOOKUP(CONCATENATE($D45,$G45),CSRFinput!$B:$E,4,0)))</f>
        <v>0.054776304963434752</v>
      </c>
      <c r="S45" s="73">
        <f>IF(B45="",0,P45*R45)</f>
        <v>29.582069700469504</v>
      </c>
      <c r="T45" s="85">
        <f>IF(B45="",0,IF(OR(H45=MappingTables!$C$34,H45=MappingTables!$C$35),S45,0))</f>
        <v>0</v>
      </c>
    </row>
    <row r="46" spans="2:20" s="0" customFormat="0" ht="15">
      <c r="B46" s="69">
        <v>20113245</v>
      </c>
      <c r="C46" s="70" t="s">
        <v>3364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198</v>
      </c>
      <c r="J46" s="71" t="str">
        <f>IF(OR(I46=0,I46=""),"unrated",VLOOKUP(I46,MappingTables!$B$19:$C$31,2,FALSE))</f>
        <v>unrated</v>
      </c>
      <c r="K46" s="72">
        <v>948.51660575364944</v>
      </c>
      <c r="L46" s="70">
        <v>0.060952951062313296</v>
      </c>
      <c r="M46" s="71">
        <f>IF(L46&lt;1,1,L46)</f>
        <v>1</v>
      </c>
      <c r="N46" s="70" t="s">
        <v>3288</v>
      </c>
      <c r="O46" s="71">
        <f>IF(OR(I46=$A$1,I46=0),"",IF(N46=MappingTables!$C$14,VLOOKUP(J46,ModelParameters!$M$8:$N$15,2,FALSE),IF(N46=MappingTables!$C$16,VLOOKUP(J46,ModelParameters!$P$8:$Q$15,2,FALSE),0)))</f>
        <v>1</v>
      </c>
      <c r="P46" s="73">
        <f>IF(OR(I46=0,I46=$A$1),0,MIN(O46*M46,1)*K46)</f>
        <v>948.51660575364944</v>
      </c>
      <c r="Q46" s="73">
        <f>IF(B46="",0,IF(OR(H46=MappingTables!$C$34,H46=MappingTables!$C$35),P46,0))</f>
        <v>0</v>
      </c>
      <c r="R46" s="73">
        <f>IF(ISNA(IF(AND(VLOOKUP(CONCATENATE($D46,$G46),CSRFinput!$B:$E,4,0)=0,OR(H46=MappingTables!$C$31,H46=MappingTables!$C$32)),1,VLOOKUP(CONCATENATE($D46,$G46),CSRFinput!$B:$E,4,0))),0,IF(AND(VLOOKUP(CONCATENATE($D46,$G46),CSRFinput!$B:$E,4,0)=0,OR(H46=MappingTables!$C$31,H46=MappingTables!$C$32)),1,VLOOKUP(CONCATENATE($D46,$G46),CSRFinput!$B:$E,4,0)))</f>
        <v>0.054776304963434752</v>
      </c>
      <c r="S46" s="73">
        <f>IF(B46="",0,P46*R46)</f>
        <v>51.956234859643912</v>
      </c>
      <c r="T46" s="85">
        <f>IF(B46="",0,IF(OR(H46=MappingTables!$C$34,H46=MappingTables!$C$35),S46,0))</f>
        <v>0</v>
      </c>
    </row>
    <row r="47" spans="2:20" s="0" customFormat="0" ht="15">
      <c r="B47" s="69">
        <v>7065952</v>
      </c>
      <c r="C47" s="70" t="s">
        <v>3365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216</v>
      </c>
      <c r="J47" s="71">
        <f>IF(OR(I47=0,I47=""),"unrated",VLOOKUP(I47,MappingTables!$B$19:$C$31,2,FALSE))</f>
        <v>0</v>
      </c>
      <c r="K47" s="72">
        <v>5.2933468050889584</v>
      </c>
      <c r="L47" s="70">
        <v>0.075083565040906512</v>
      </c>
      <c r="M47" s="71">
        <f>IF(L47&lt;1,1,L47)</f>
        <v>1</v>
      </c>
      <c r="N47" s="70" t="s">
        <v>3288</v>
      </c>
      <c r="O47" s="71">
        <f>IF(OR(I47=$A$1,I47=0),"",IF(N47=MappingTables!$C$14,VLOOKUP(J47,ModelParameters!$M$8:$N$15,2,FALSE),IF(N47=MappingTables!$C$16,VLOOKUP(J47,ModelParameters!$P$8:$Q$15,2,FALSE),0)))</f>
        <v>0.125</v>
      </c>
      <c r="P47" s="73">
        <f>IF(OR(I47=0,I47=$A$1),0,MIN(O47*M47,1)*K47)</f>
        <v>0.66166835063611984</v>
      </c>
      <c r="Q47" s="73">
        <f>IF(B47="",0,IF(OR(H47=MappingTables!$C$34,H47=MappingTables!$C$35),P47,0))</f>
        <v>0</v>
      </c>
      <c r="R47" s="73">
        <f>IF(ISNA(IF(AND(VLOOKUP(CONCATENATE($D47,$G47),CSRFinput!$B:$E,4,0)=0,OR(H47=MappingTables!$C$31,H47=MappingTables!$C$32)),1,VLOOKUP(CONCATENATE($D47,$G47),CSRFinput!$B:$E,4,0))),0,IF(AND(VLOOKUP(CONCATENATE($D47,$G47),CSRFinput!$B:$E,4,0)=0,OR(H47=MappingTables!$C$31,H47=MappingTables!$C$32)),1,VLOOKUP(CONCATENATE($D47,$G47),CSRFinput!$B:$E,4,0)))</f>
        <v>0.054776304963434752</v>
      </c>
      <c r="S47" s="73">
        <f>IF(B47="",0,P47*R47)</f>
        <v>0.036243747359096984</v>
      </c>
      <c r="T47" s="85">
        <f>IF(B47="",0,IF(OR(H47=MappingTables!$C$34,H47=MappingTables!$C$35),S47,0))</f>
        <v>0</v>
      </c>
    </row>
    <row r="48" spans="2:20" s="0" customFormat="0" ht="15">
      <c r="B48" s="69" t="s">
        <v>3366</v>
      </c>
      <c r="C48" s="70" t="s">
        <v>3367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188</v>
      </c>
      <c r="J48" s="71">
        <f>IF(OR(I48=0,I48=""),"unrated",VLOOKUP(I48,MappingTables!$B$19:$C$31,2,FALSE))</f>
        <v>2</v>
      </c>
      <c r="K48" s="72">
        <v>71.373392429926984</v>
      </c>
      <c r="L48" s="70">
        <v>0.068494985714331104</v>
      </c>
      <c r="M48" s="71">
        <f>IF(L48&lt;1,1,L48)</f>
        <v>1</v>
      </c>
      <c r="N48" s="70" t="s">
        <v>3288</v>
      </c>
      <c r="O48" s="71">
        <f>IF(OR(I48=$A$1,I48=0),"",IF(N48=MappingTables!$C$14,VLOOKUP(J48,ModelParameters!$M$8:$N$15,2,FALSE),IF(N48=MappingTables!$C$16,VLOOKUP(J48,ModelParameters!$P$8:$Q$15,2,FALSE),0)))</f>
        <v>0.166</v>
      </c>
      <c r="P48" s="73">
        <f>IF(OR(I48=0,I48=$A$1),0,MIN(O48*M48,1)*K48)</f>
        <v>11.847983143367878</v>
      </c>
      <c r="Q48" s="73">
        <f>IF(B48="",0,IF(OR(H48=MappingTables!$C$34,H48=MappingTables!$C$35),P48,0))</f>
        <v>0</v>
      </c>
      <c r="R48" s="73">
        <f>IF(ISNA(IF(AND(VLOOKUP(CONCATENATE($D48,$G48),CSRFinput!$B:$E,4,0)=0,OR(H48=MappingTables!$C$31,H48=MappingTables!$C$32)),1,VLOOKUP(CONCATENATE($D48,$G48),CSRFinput!$B:$E,4,0))),0,IF(AND(VLOOKUP(CONCATENATE($D48,$G48),CSRFinput!$B:$E,4,0)=0,OR(H48=MappingTables!$C$31,H48=MappingTables!$C$32)),1,VLOOKUP(CONCATENATE($D48,$G48),CSRFinput!$B:$E,4,0)))</f>
        <v>0.054776304963434752</v>
      </c>
      <c r="S48" s="73">
        <f>IF(B48="",0,P48*R48)</f>
        <v>0.6489887378627532</v>
      </c>
      <c r="T48" s="85">
        <f>IF(B48="",0,IF(OR(H48=MappingTables!$C$34,H48=MappingTables!$C$35),S48,0))</f>
        <v>0</v>
      </c>
    </row>
    <row r="49" spans="2:20" s="0" customFormat="0" ht="15">
      <c r="B49" s="69">
        <v>22554337</v>
      </c>
      <c r="C49" s="70" t="s">
        <v>3368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216</v>
      </c>
      <c r="J49" s="71">
        <f>IF(OR(I49=0,I49=""),"unrated",VLOOKUP(I49,MappingTables!$B$19:$C$31,2,FALSE))</f>
        <v>0</v>
      </c>
      <c r="K49" s="72">
        <v>34.671592357642844</v>
      </c>
      <c r="L49" s="70">
        <v>0.049363032547858208</v>
      </c>
      <c r="M49" s="71">
        <f>IF(L49&lt;1,1,L49)</f>
        <v>1</v>
      </c>
      <c r="N49" s="70" t="s">
        <v>3288</v>
      </c>
      <c r="O49" s="71">
        <f>IF(OR(I49=$A$1,I49=0),"",IF(N49=MappingTables!$C$14,VLOOKUP(J49,ModelParameters!$M$8:$N$15,2,FALSE),IF(N49=MappingTables!$C$16,VLOOKUP(J49,ModelParameters!$P$8:$Q$15,2,FALSE),0)))</f>
        <v>0.125</v>
      </c>
      <c r="P49" s="73">
        <f>IF(OR(I49=0,I49=$A$1),0,MIN(O49*M49,1)*K49)</f>
        <v>4.3339490447053552</v>
      </c>
      <c r="Q49" s="73">
        <f>IF(B49="",0,IF(OR(H49=MappingTables!$C$34,H49=MappingTables!$C$35),P49,0))</f>
        <v>0</v>
      </c>
      <c r="R49" s="73">
        <f>IF(ISNA(IF(AND(VLOOKUP(CONCATENATE($D49,$G49),CSRFinput!$B:$E,4,0)=0,OR(H49=MappingTables!$C$31,H49=MappingTables!$C$32)),1,VLOOKUP(CONCATENATE($D49,$G49),CSRFinput!$B:$E,4,0))),0,IF(AND(VLOOKUP(CONCATENATE($D49,$G49),CSRFinput!$B:$E,4,0)=0,OR(H49=MappingTables!$C$31,H49=MappingTables!$C$32)),1,VLOOKUP(CONCATENATE($D49,$G49),CSRFinput!$B:$E,4,0)))</f>
        <v>0.054776304963434752</v>
      </c>
      <c r="S49" s="73">
        <f>IF(B49="",0,P49*R49)</f>
        <v>0.23739771456876728</v>
      </c>
      <c r="T49" s="85">
        <f>IF(B49="",0,IF(OR(H49=MappingTables!$C$34,H49=MappingTables!$C$35),S49,0))</f>
        <v>0</v>
      </c>
    </row>
    <row r="50" spans="2:20" s="0" customFormat="0" ht="15">
      <c r="B50" s="69">
        <v>22554261</v>
      </c>
      <c r="C50" s="70" t="s">
        <v>3369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3291</v>
      </c>
      <c r="J50" s="71">
        <f>IF(OR(I50=0,I50=""),"unrated",VLOOKUP(I50,MappingTables!$B$19:$C$31,2,FALSE))</f>
        <v>6</v>
      </c>
      <c r="K50" s="72">
        <v>1581.8529291218294</v>
      </c>
      <c r="L50" s="70">
        <v>0.061237188440780952</v>
      </c>
      <c r="M50" s="71">
        <f>IF(L50&lt;1,1,L50)</f>
        <v>1</v>
      </c>
      <c r="N50" s="70" t="s">
        <v>3288</v>
      </c>
      <c r="O50" s="71">
        <f>IF(OR(I50=$A$1,I50=0),"",IF(N50=MappingTables!$C$14,VLOOKUP(J50,ModelParameters!$M$8:$N$15,2,FALSE),IF(N50=MappingTables!$C$16,VLOOKUP(J50,ModelParameters!$P$8:$Q$15,2,FALSE),0)))</f>
        <v>1</v>
      </c>
      <c r="P50" s="73">
        <f>IF(OR(I50=0,I50=$A$1),0,MIN(O50*M50,1)*K50)</f>
        <v>1581.8529291218294</v>
      </c>
      <c r="Q50" s="73">
        <f>IF(B50="",0,IF(OR(H50=MappingTables!$C$34,H50=MappingTables!$C$35),P50,0))</f>
        <v>0</v>
      </c>
      <c r="R50" s="73">
        <f>IF(ISNA(IF(AND(VLOOKUP(CONCATENATE($D50,$G50),CSRFinput!$B:$E,4,0)=0,OR(H50=MappingTables!$C$31,H50=MappingTables!$C$32)),1,VLOOKUP(CONCATENATE($D50,$G50),CSRFinput!$B:$E,4,0))),0,IF(AND(VLOOKUP(CONCATENATE($D50,$G50),CSRFinput!$B:$E,4,0)=0,OR(H50=MappingTables!$C$31,H50=MappingTables!$C$32)),1,VLOOKUP(CONCATENATE($D50,$G50),CSRFinput!$B:$E,4,0)))</f>
        <v>0.054776304963434752</v>
      </c>
      <c r="S50" s="73">
        <f>IF(B50="",0,P50*R50)</f>
        <v>86.648058452879872</v>
      </c>
      <c r="T50" s="85">
        <f>IF(B50="",0,IF(OR(H50=MappingTables!$C$34,H50=MappingTables!$C$35),S50,0))</f>
        <v>0</v>
      </c>
    </row>
    <row r="51" spans="2:20" s="0" customFormat="0" ht="15">
      <c r="B51" s="69" t="s">
        <v>3370</v>
      </c>
      <c r="C51" s="70" t="s">
        <v>3371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198</v>
      </c>
      <c r="J51" s="71" t="str">
        <f>IF(OR(I51=0,I51=""),"unrated",VLOOKUP(I51,MappingTables!$B$19:$C$31,2,FALSE))</f>
        <v>unrated</v>
      </c>
      <c r="K51" s="72">
        <v>0.64849127225335704</v>
      </c>
      <c r="L51" s="70">
        <v>29.0542533381834</v>
      </c>
      <c r="M51" s="71">
        <f>IF(L51&lt;1,1,L51)</f>
        <v>29.0542533381834</v>
      </c>
      <c r="N51" s="70" t="s">
        <v>3288</v>
      </c>
      <c r="O51" s="71">
        <f>IF(OR(I51=$A$1,I51=0),"",IF(N51=MappingTables!$C$14,VLOOKUP(J51,ModelParameters!$M$8:$N$15,2,FALSE),IF(N51=MappingTables!$C$16,VLOOKUP(J51,ModelParameters!$P$8:$Q$15,2,FALSE),0)))</f>
        <v>1</v>
      </c>
      <c r="P51" s="73">
        <f>IF(OR(I51=0,I51=$A$1),0,MIN(O51*M51,1)*K51)</f>
        <v>0.64849127225335704</v>
      </c>
      <c r="Q51" s="73">
        <f>IF(B51="",0,IF(OR(H51=MappingTables!$C$34,H51=MappingTables!$C$35),P51,0))</f>
        <v>0</v>
      </c>
      <c r="R51" s="73">
        <f>IF(ISNA(IF(AND(VLOOKUP(CONCATENATE($D51,$G51),CSRFinput!$B:$E,4,0)=0,OR(H51=MappingTables!$C$31,H51=MappingTables!$C$32)),1,VLOOKUP(CONCATENATE($D51,$G51),CSRFinput!$B:$E,4,0))),0,IF(AND(VLOOKUP(CONCATENATE($D51,$G51),CSRFinput!$B:$E,4,0)=0,OR(H51=MappingTables!$C$31,H51=MappingTables!$C$32)),1,VLOOKUP(CONCATENATE($D51,$G51),CSRFinput!$B:$E,4,0)))</f>
        <v>0.054776304963434752</v>
      </c>
      <c r="S51" s="73">
        <f>IF(B51="",0,P51*R51)</f>
        <v>0.03552195569507568</v>
      </c>
      <c r="T51" s="85">
        <f>IF(B51="",0,IF(OR(H51=MappingTables!$C$34,H51=MappingTables!$C$35),S51,0))</f>
        <v>0</v>
      </c>
    </row>
    <row r="52" spans="2:20" s="0" customFormat="0" ht="15">
      <c r="B52" s="69" t="s">
        <v>3372</v>
      </c>
      <c r="C52" s="70" t="s">
        <v>3373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198</v>
      </c>
      <c r="J52" s="71" t="str">
        <f>IF(OR(I52=0,I52=""),"unrated",VLOOKUP(I52,MappingTables!$B$19:$C$31,2,FALSE))</f>
        <v>unrated</v>
      </c>
      <c r="K52" s="72">
        <v>55.561393259976864</v>
      </c>
      <c r="L52" s="70">
        <v>0.068492514622247192</v>
      </c>
      <c r="M52" s="71">
        <f>IF(L52&lt;1,1,L52)</f>
        <v>1</v>
      </c>
      <c r="N52" s="70" t="s">
        <v>3288</v>
      </c>
      <c r="O52" s="71">
        <f>IF(OR(I52=$A$1,I52=0),"",IF(N52=MappingTables!$C$14,VLOOKUP(J52,ModelParameters!$M$8:$N$15,2,FALSE),IF(N52=MappingTables!$C$16,VLOOKUP(J52,ModelParameters!$P$8:$Q$15,2,FALSE),0)))</f>
        <v>1</v>
      </c>
      <c r="P52" s="73">
        <f>IF(OR(I52=0,I52=$A$1),0,MIN(O52*M52,1)*K52)</f>
        <v>55.561393259976864</v>
      </c>
      <c r="Q52" s="73">
        <f>IF(B52="",0,IF(OR(H52=MappingTables!$C$34,H52=MappingTables!$C$35),P52,0))</f>
        <v>0</v>
      </c>
      <c r="R52" s="73">
        <f>IF(ISNA(IF(AND(VLOOKUP(CONCATENATE($D52,$G52),CSRFinput!$B:$E,4,0)=0,OR(H52=MappingTables!$C$31,H52=MappingTables!$C$32)),1,VLOOKUP(CONCATENATE($D52,$G52),CSRFinput!$B:$E,4,0))),0,IF(AND(VLOOKUP(CONCATENATE($D52,$G52),CSRFinput!$B:$E,4,0)=0,OR(H52=MappingTables!$C$31,H52=MappingTables!$C$32)),1,VLOOKUP(CONCATENATE($D52,$G52),CSRFinput!$B:$E,4,0)))</f>
        <v>0.054776304963434752</v>
      </c>
      <c r="S52" s="73">
        <f>IF(B52="",0,P52*R52)</f>
        <v>3.0434478214018208</v>
      </c>
      <c r="T52" s="85">
        <f>IF(B52="",0,IF(OR(H52=MappingTables!$C$34,H52=MappingTables!$C$35),S52,0))</f>
        <v>0</v>
      </c>
    </row>
    <row r="53" spans="2:20" s="0" customFormat="0" ht="15">
      <c r="B53" s="69" t="s">
        <v>3374</v>
      </c>
      <c r="C53" s="70" t="s">
        <v>3375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216</v>
      </c>
      <c r="J53" s="71">
        <f>IF(OR(I53=0,I53=""),"unrated",VLOOKUP(I53,MappingTables!$B$19:$C$31,2,FALSE))</f>
        <v>0</v>
      </c>
      <c r="K53" s="72">
        <v>14254.967916635438</v>
      </c>
      <c r="L53" s="70">
        <v>0.060272669639853512</v>
      </c>
      <c r="M53" s="71">
        <f>IF(L53&lt;1,1,L53)</f>
        <v>1</v>
      </c>
      <c r="N53" s="70" t="s">
        <v>3288</v>
      </c>
      <c r="O53" s="71">
        <f>IF(OR(I53=$A$1,I53=0),"",IF(N53=MappingTables!$C$14,VLOOKUP(J53,ModelParameters!$M$8:$N$15,2,FALSE),IF(N53=MappingTables!$C$16,VLOOKUP(J53,ModelParameters!$P$8:$Q$15,2,FALSE),0)))</f>
        <v>0.125</v>
      </c>
      <c r="P53" s="73">
        <f>IF(OR(I53=0,I53=$A$1),0,MIN(O53*M53,1)*K53)</f>
        <v>1781.8709895794298</v>
      </c>
      <c r="Q53" s="73">
        <f>IF(B53="",0,IF(OR(H53=MappingTables!$C$34,H53=MappingTables!$C$35),P53,0))</f>
        <v>0</v>
      </c>
      <c r="R53" s="73">
        <f>IF(ISNA(IF(AND(VLOOKUP(CONCATENATE($D53,$G53),CSRFinput!$B:$E,4,0)=0,OR(H53=MappingTables!$C$31,H53=MappingTables!$C$32)),1,VLOOKUP(CONCATENATE($D53,$G53),CSRFinput!$B:$E,4,0))),0,IF(AND(VLOOKUP(CONCATENATE($D53,$G53),CSRFinput!$B:$E,4,0)=0,OR(H53=MappingTables!$C$31,H53=MappingTables!$C$32)),1,VLOOKUP(CONCATENATE($D53,$G53),CSRFinput!$B:$E,4,0)))</f>
        <v>0.054776304963434752</v>
      </c>
      <c r="S53" s="73">
        <f>IF(B53="",0,P53*R53)</f>
        <v>97.604308730700112</v>
      </c>
      <c r="T53" s="85">
        <f>IF(B53="",0,IF(OR(H53=MappingTables!$C$34,H53=MappingTables!$C$35),S53,0))</f>
        <v>0</v>
      </c>
    </row>
    <row r="54" spans="2:20" s="0" customFormat="0" ht="15">
      <c r="B54" s="69" t="s">
        <v>3376</v>
      </c>
      <c r="C54" s="70" t="s">
        <v>3377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198</v>
      </c>
      <c r="J54" s="71" t="str">
        <f>IF(OR(I54=0,I54=""),"unrated",VLOOKUP(I54,MappingTables!$B$19:$C$31,2,FALSE))</f>
        <v>unrated</v>
      </c>
      <c r="K54" s="72">
        <v>953.80065170829808</v>
      </c>
      <c r="L54" s="70">
        <v>2.2493723735877968</v>
      </c>
      <c r="M54" s="71">
        <f>IF(L54&lt;1,1,L54)</f>
        <v>2.2493723735877968</v>
      </c>
      <c r="N54" s="70" t="s">
        <v>3288</v>
      </c>
      <c r="O54" s="71">
        <f>IF(OR(I54=$A$1,I54=0),"",IF(N54=MappingTables!$C$14,VLOOKUP(J54,ModelParameters!$M$8:$N$15,2,FALSE),IF(N54=MappingTables!$C$16,VLOOKUP(J54,ModelParameters!$P$8:$Q$15,2,FALSE),0)))</f>
        <v>1</v>
      </c>
      <c r="P54" s="73">
        <f>IF(OR(I54=0,I54=$A$1),0,MIN(O54*M54,1)*K54)</f>
        <v>953.80065170829808</v>
      </c>
      <c r="Q54" s="73">
        <f>IF(B54="",0,IF(OR(H54=MappingTables!$C$34,H54=MappingTables!$C$35),P54,0))</f>
        <v>0</v>
      </c>
      <c r="R54" s="73">
        <f>IF(ISNA(IF(AND(VLOOKUP(CONCATENATE($D54,$G54),CSRFinput!$B:$E,4,0)=0,OR(H54=MappingTables!$C$31,H54=MappingTables!$C$32)),1,VLOOKUP(CONCATENATE($D54,$G54),CSRFinput!$B:$E,4,0))),0,IF(AND(VLOOKUP(CONCATENATE($D54,$G54),CSRFinput!$B:$E,4,0)=0,OR(H54=MappingTables!$C$31,H54=MappingTables!$C$32)),1,VLOOKUP(CONCATENATE($D54,$G54),CSRFinput!$B:$E,4,0)))</f>
        <v>0.054776304963434752</v>
      </c>
      <c r="S54" s="73">
        <f>IF(B54="",0,P54*R54)</f>
        <v>52.245675372296544</v>
      </c>
      <c r="T54" s="85">
        <f>IF(B54="",0,IF(OR(H54=MappingTables!$C$34,H54=MappingTables!$C$35),S54,0))</f>
        <v>0</v>
      </c>
    </row>
    <row r="55" spans="2:20" s="0" customFormat="0" ht="15">
      <c r="B55" s="69" t="s">
        <v>3378</v>
      </c>
      <c r="C55" s="70" t="s">
        <v>3379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3291</v>
      </c>
      <c r="J55" s="71">
        <f>IF(OR(I55=0,I55=""),"unrated",VLOOKUP(I55,MappingTables!$B$19:$C$31,2,FALSE))</f>
        <v>6</v>
      </c>
      <c r="K55" s="72">
        <v>308.3814214704034</v>
      </c>
      <c r="L55" s="70">
        <v>0.068493675295778208</v>
      </c>
      <c r="M55" s="71">
        <f>IF(L55&lt;1,1,L55)</f>
        <v>1</v>
      </c>
      <c r="N55" s="70" t="s">
        <v>3288</v>
      </c>
      <c r="O55" s="71">
        <f>IF(OR(I55=$A$1,I55=0),"",IF(N55=MappingTables!$C$14,VLOOKUP(J55,ModelParameters!$M$8:$N$15,2,FALSE),IF(N55=MappingTables!$C$16,VLOOKUP(J55,ModelParameters!$P$8:$Q$15,2,FALSE),0)))</f>
        <v>1</v>
      </c>
      <c r="P55" s="73">
        <f>IF(OR(I55=0,I55=$A$1),0,MIN(O55*M55,1)*K55)</f>
        <v>308.3814214704034</v>
      </c>
      <c r="Q55" s="73">
        <f>IF(B55="",0,IF(OR(H55=MappingTables!$C$34,H55=MappingTables!$C$35),P55,0))</f>
        <v>0</v>
      </c>
      <c r="R55" s="73">
        <f>IF(ISNA(IF(AND(VLOOKUP(CONCATENATE($D55,$G55),CSRFinput!$B:$E,4,0)=0,OR(H55=MappingTables!$C$31,H55=MappingTables!$C$32)),1,VLOOKUP(CONCATENATE($D55,$G55),CSRFinput!$B:$E,4,0))),0,IF(AND(VLOOKUP(CONCATENATE($D55,$G55),CSRFinput!$B:$E,4,0)=0,OR(H55=MappingTables!$C$31,H55=MappingTables!$C$32)),1,VLOOKUP(CONCATENATE($D55,$G55),CSRFinput!$B:$E,4,0)))</f>
        <v>0.054776304963434752</v>
      </c>
      <c r="S55" s="73">
        <f>IF(B55="",0,P55*R55)</f>
        <v>16.891994787520322</v>
      </c>
      <c r="T55" s="85">
        <f>IF(B55="",0,IF(OR(H55=MappingTables!$C$34,H55=MappingTables!$C$35),S55,0))</f>
        <v>0</v>
      </c>
    </row>
    <row r="56" spans="2:20" s="0" customFormat="0" ht="15">
      <c r="B56" s="69" t="s">
        <v>3380</v>
      </c>
      <c r="C56" s="70" t="s">
        <v>3381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204</v>
      </c>
      <c r="J56" s="71">
        <f>IF(OR(I56=0,I56=""),"unrated",VLOOKUP(I56,MappingTables!$B$19:$C$31,2,FALSE))</f>
        <v>6</v>
      </c>
      <c r="K56" s="72">
        <v>24.001793119196268</v>
      </c>
      <c r="L56" s="70">
        <v>0.065164673105774384</v>
      </c>
      <c r="M56" s="71">
        <f>IF(L56&lt;1,1,L56)</f>
        <v>1</v>
      </c>
      <c r="N56" s="70" t="s">
        <v>3288</v>
      </c>
      <c r="O56" s="71">
        <f>IF(OR(I56=$A$1,I56=0),"",IF(N56=MappingTables!$C$14,VLOOKUP(J56,ModelParameters!$M$8:$N$15,2,FALSE),IF(N56=MappingTables!$C$16,VLOOKUP(J56,ModelParameters!$P$8:$Q$15,2,FALSE),0)))</f>
        <v>1</v>
      </c>
      <c r="P56" s="73">
        <f>IF(OR(I56=0,I56=$A$1),0,MIN(O56*M56,1)*K56)</f>
        <v>24.001793119196268</v>
      </c>
      <c r="Q56" s="73">
        <f>IF(B56="",0,IF(OR(H56=MappingTables!$C$34,H56=MappingTables!$C$35),P56,0))</f>
        <v>0</v>
      </c>
      <c r="R56" s="73">
        <f>IF(ISNA(IF(AND(VLOOKUP(CONCATENATE($D56,$G56),CSRFinput!$B:$E,4,0)=0,OR(H56=MappingTables!$C$31,H56=MappingTables!$C$32)),1,VLOOKUP(CONCATENATE($D56,$G56),CSRFinput!$B:$E,4,0))),0,IF(AND(VLOOKUP(CONCATENATE($D56,$G56),CSRFinput!$B:$E,4,0)=0,OR(H56=MappingTables!$C$31,H56=MappingTables!$C$32)),1,VLOOKUP(CONCATENATE($D56,$G56),CSRFinput!$B:$E,4,0)))</f>
        <v>0.054776304963434752</v>
      </c>
      <c r="S56" s="73">
        <f>IF(B56="",0,P56*R56)</f>
        <v>1.3147295395663648</v>
      </c>
      <c r="T56" s="85">
        <f>IF(B56="",0,IF(OR(H56=MappingTables!$C$34,H56=MappingTables!$C$35),S56,0))</f>
        <v>0</v>
      </c>
    </row>
    <row r="57" spans="2:20" s="0" customFormat="0" ht="15">
      <c r="B57" s="69" t="s">
        <v>3382</v>
      </c>
      <c r="C57" s="70" t="s">
        <v>3383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198</v>
      </c>
      <c r="J57" s="71" t="str">
        <f>IF(OR(I57=0,I57=""),"unrated",VLOOKUP(I57,MappingTables!$B$19:$C$31,2,FALSE))</f>
        <v>unrated</v>
      </c>
      <c r="K57" s="72">
        <v>151.1140580398914</v>
      </c>
      <c r="L57" s="70">
        <v>0.068490732473006104</v>
      </c>
      <c r="M57" s="71">
        <f>IF(L57&lt;1,1,L57)</f>
        <v>1</v>
      </c>
      <c r="N57" s="70" t="s">
        <v>3288</v>
      </c>
      <c r="O57" s="71">
        <f>IF(OR(I57=$A$1,I57=0),"",IF(N57=MappingTables!$C$14,VLOOKUP(J57,ModelParameters!$M$8:$N$15,2,FALSE),IF(N57=MappingTables!$C$16,VLOOKUP(J57,ModelParameters!$P$8:$Q$15,2,FALSE),0)))</f>
        <v>1</v>
      </c>
      <c r="P57" s="73">
        <f>IF(OR(I57=0,I57=$A$1),0,MIN(O57*M57,1)*K57)</f>
        <v>151.1140580398914</v>
      </c>
      <c r="Q57" s="73">
        <f>IF(B57="",0,IF(OR(H57=MappingTables!$C$34,H57=MappingTables!$C$35),P57,0))</f>
        <v>0</v>
      </c>
      <c r="R57" s="73">
        <f>IF(ISNA(IF(AND(VLOOKUP(CONCATENATE($D57,$G57),CSRFinput!$B:$E,4,0)=0,OR(H57=MappingTables!$C$31,H57=MappingTables!$C$32)),1,VLOOKUP(CONCATENATE($D57,$G57),CSRFinput!$B:$E,4,0))),0,IF(AND(VLOOKUP(CONCATENATE($D57,$G57),CSRFinput!$B:$E,4,0)=0,OR(H57=MappingTables!$C$31,H57=MappingTables!$C$32)),1,VLOOKUP(CONCATENATE($D57,$G57),CSRFinput!$B:$E,4,0)))</f>
        <v>0.054776304963434752</v>
      </c>
      <c r="S57" s="73">
        <f>IF(B57="",0,P57*R57)</f>
        <v>8.2774697274552704</v>
      </c>
      <c r="T57" s="85">
        <f>IF(B57="",0,IF(OR(H57=MappingTables!$C$34,H57=MappingTables!$C$35),S57,0))</f>
        <v>0</v>
      </c>
    </row>
    <row r="58" spans="2:20" s="0" customFormat="0" ht="15">
      <c r="B58" s="69" t="s">
        <v>3384</v>
      </c>
      <c r="C58" s="70" t="s">
        <v>3385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204</v>
      </c>
      <c r="J58" s="71">
        <f>IF(OR(I58=0,I58=""),"unrated",VLOOKUP(I58,MappingTables!$B$19:$C$31,2,FALSE))</f>
        <v>6</v>
      </c>
      <c r="K58" s="72">
        <v>303.16081523834668</v>
      </c>
      <c r="L58" s="70">
        <v>0.050083119051256024</v>
      </c>
      <c r="M58" s="71">
        <f>IF(L58&lt;1,1,L58)</f>
        <v>1</v>
      </c>
      <c r="N58" s="70" t="s">
        <v>3288</v>
      </c>
      <c r="O58" s="71">
        <f>IF(OR(I58=$A$1,I58=0),"",IF(N58=MappingTables!$C$14,VLOOKUP(J58,ModelParameters!$M$8:$N$15,2,FALSE),IF(N58=MappingTables!$C$16,VLOOKUP(J58,ModelParameters!$P$8:$Q$15,2,FALSE),0)))</f>
        <v>1</v>
      </c>
      <c r="P58" s="73">
        <f>IF(OR(I58=0,I58=$A$1),0,MIN(O58*M58,1)*K58)</f>
        <v>303.16081523834668</v>
      </c>
      <c r="Q58" s="73">
        <f>IF(B58="",0,IF(OR(H58=MappingTables!$C$34,H58=MappingTables!$C$35),P58,0))</f>
        <v>0</v>
      </c>
      <c r="R58" s="73">
        <f>IF(ISNA(IF(AND(VLOOKUP(CONCATENATE($D58,$G58),CSRFinput!$B:$E,4,0)=0,OR(H58=MappingTables!$C$31,H58=MappingTables!$C$32)),1,VLOOKUP(CONCATENATE($D58,$G58),CSRFinput!$B:$E,4,0))),0,IF(AND(VLOOKUP(CONCATENATE($D58,$G58),CSRFinput!$B:$E,4,0)=0,OR(H58=MappingTables!$C$31,H58=MappingTables!$C$32)),1,VLOOKUP(CONCATENATE($D58,$G58),CSRFinput!$B:$E,4,0)))</f>
        <v>0.054776304963434752</v>
      </c>
      <c r="S58" s="73">
        <f>IF(B58="",0,P58*R58)</f>
        <v>16.606029268459174</v>
      </c>
      <c r="T58" s="85">
        <f>IF(B58="",0,IF(OR(H58=MappingTables!$C$34,H58=MappingTables!$C$35),S58,0))</f>
        <v>0</v>
      </c>
    </row>
    <row r="59" spans="2:20" s="0" customFormat="0" ht="15">
      <c r="B59" s="69" t="s">
        <v>3386</v>
      </c>
      <c r="C59" s="70" t="s">
        <v>3387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188</v>
      </c>
      <c r="J59" s="71">
        <f>IF(OR(I59=0,I59=""),"unrated",VLOOKUP(I59,MappingTables!$B$19:$C$31,2,FALSE))</f>
        <v>2</v>
      </c>
      <c r="K59" s="72">
        <v>238.17978430783948</v>
      </c>
      <c r="L59" s="70">
        <v>0.068496341875053016</v>
      </c>
      <c r="M59" s="71">
        <f>IF(L59&lt;1,1,L59)</f>
        <v>1</v>
      </c>
      <c r="N59" s="70" t="s">
        <v>3288</v>
      </c>
      <c r="O59" s="71">
        <f>IF(OR(I59=$A$1,I59=0),"",IF(N59=MappingTables!$C$14,VLOOKUP(J59,ModelParameters!$M$8:$N$15,2,FALSE),IF(N59=MappingTables!$C$16,VLOOKUP(J59,ModelParameters!$P$8:$Q$15,2,FALSE),0)))</f>
        <v>0.166</v>
      </c>
      <c r="P59" s="73">
        <f>IF(OR(I59=0,I59=$A$1),0,MIN(O59*M59,1)*K59)</f>
        <v>39.53784419510136</v>
      </c>
      <c r="Q59" s="73">
        <f>IF(B59="",0,IF(OR(H59=MappingTables!$C$34,H59=MappingTables!$C$35),P59,0))</f>
        <v>0</v>
      </c>
      <c r="R59" s="73">
        <f>IF(ISNA(IF(AND(VLOOKUP(CONCATENATE($D59,$G59),CSRFinput!$B:$E,4,0)=0,OR(H59=MappingTables!$C$31,H59=MappingTables!$C$32)),1,VLOOKUP(CONCATENATE($D59,$G59),CSRFinput!$B:$E,4,0))),0,IF(AND(VLOOKUP(CONCATENATE($D59,$G59),CSRFinput!$B:$E,4,0)=0,OR(H59=MappingTables!$C$31,H59=MappingTables!$C$32)),1,VLOOKUP(CONCATENATE($D59,$G59),CSRFinput!$B:$E,4,0)))</f>
        <v>0.054776304963434752</v>
      </c>
      <c r="S59" s="73">
        <f>IF(B59="",0,P59*R59)</f>
        <v>2.1657370112276408</v>
      </c>
      <c r="T59" s="85">
        <f>IF(B59="",0,IF(OR(H59=MappingTables!$C$34,H59=MappingTables!$C$35),S59,0))</f>
        <v>0</v>
      </c>
    </row>
    <row r="60" spans="2:20" s="0" customFormat="0" ht="15">
      <c r="B60" s="69">
        <v>15454220</v>
      </c>
      <c r="C60" s="70" t="s">
        <v>3388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216</v>
      </c>
      <c r="J60" s="71">
        <f>IF(OR(I60=0,I60=""),"unrated",VLOOKUP(I60,MappingTables!$B$19:$C$31,2,FALSE))</f>
        <v>0</v>
      </c>
      <c r="K60" s="72">
        <v>116.40892044473484</v>
      </c>
      <c r="L60" s="70">
        <v>0.15627972796146878</v>
      </c>
      <c r="M60" s="71">
        <f>IF(L60&lt;1,1,L60)</f>
        <v>1</v>
      </c>
      <c r="N60" s="70" t="s">
        <v>3288</v>
      </c>
      <c r="O60" s="71">
        <f>IF(OR(I60=$A$1,I60=0),"",IF(N60=MappingTables!$C$14,VLOOKUP(J60,ModelParameters!$M$8:$N$15,2,FALSE),IF(N60=MappingTables!$C$16,VLOOKUP(J60,ModelParameters!$P$8:$Q$15,2,FALSE),0)))</f>
        <v>0.125</v>
      </c>
      <c r="P60" s="73">
        <f>IF(OR(I60=0,I60=$A$1),0,MIN(O60*M60,1)*K60)</f>
        <v>14.551115055591856</v>
      </c>
      <c r="Q60" s="73">
        <f>IF(B60="",0,IF(OR(H60=MappingTables!$C$34,H60=MappingTables!$C$35),P60,0))</f>
        <v>0</v>
      </c>
      <c r="R60" s="73">
        <f>IF(ISNA(IF(AND(VLOOKUP(CONCATENATE($D60,$G60),CSRFinput!$B:$E,4,0)=0,OR(H60=MappingTables!$C$31,H60=MappingTables!$C$32)),1,VLOOKUP(CONCATENATE($D60,$G60),CSRFinput!$B:$E,4,0))),0,IF(AND(VLOOKUP(CONCATENATE($D60,$G60),CSRFinput!$B:$E,4,0)=0,OR(H60=MappingTables!$C$31,H60=MappingTables!$C$32)),1,VLOOKUP(CONCATENATE($D60,$G60),CSRFinput!$B:$E,4,0)))</f>
        <v>0.054776304963434752</v>
      </c>
      <c r="S60" s="73">
        <f>IF(B60="",0,P60*R60)</f>
        <v>0.79705631584312624</v>
      </c>
      <c r="T60" s="85">
        <f>IF(B60="",0,IF(OR(H60=MappingTables!$C$34,H60=MappingTables!$C$35),S60,0))</f>
        <v>0</v>
      </c>
    </row>
    <row r="61" spans="2:20" s="0" customFormat="0" ht="15">
      <c r="B61" s="69">
        <v>870799</v>
      </c>
      <c r="C61" s="70" t="s">
        <v>3389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188</v>
      </c>
      <c r="J61" s="71">
        <f>IF(OR(I61=0,I61=""),"unrated",VLOOKUP(I61,MappingTables!$B$19:$C$31,2,FALSE))</f>
        <v>2</v>
      </c>
      <c r="K61" s="72">
        <v>0.1901731344722084</v>
      </c>
      <c r="L61" s="70">
        <v>0.068495281630417168</v>
      </c>
      <c r="M61" s="71">
        <f>IF(L61&lt;1,1,L61)</f>
        <v>1</v>
      </c>
      <c r="N61" s="70" t="s">
        <v>3288</v>
      </c>
      <c r="O61" s="71">
        <f>IF(OR(I61=$A$1,I61=0),"",IF(N61=MappingTables!$C$14,VLOOKUP(J61,ModelParameters!$M$8:$N$15,2,FALSE),IF(N61=MappingTables!$C$16,VLOOKUP(J61,ModelParameters!$P$8:$Q$15,2,FALSE),0)))</f>
        <v>0.166</v>
      </c>
      <c r="P61" s="73">
        <f>IF(OR(I61=0,I61=$A$1),0,MIN(O61*M61,1)*K61)</f>
        <v>0.031568740322386596</v>
      </c>
      <c r="Q61" s="73">
        <f>IF(B61="",0,IF(OR(H61=MappingTables!$C$34,H61=MappingTables!$C$35),P61,0))</f>
        <v>0</v>
      </c>
      <c r="R61" s="73">
        <f>IF(ISNA(IF(AND(VLOOKUP(CONCATENATE($D61,$G61),CSRFinput!$B:$E,4,0)=0,OR(H61=MappingTables!$C$31,H61=MappingTables!$C$32)),1,VLOOKUP(CONCATENATE($D61,$G61),CSRFinput!$B:$E,4,0))),0,IF(AND(VLOOKUP(CONCATENATE($D61,$G61),CSRFinput!$B:$E,4,0)=0,OR(H61=MappingTables!$C$31,H61=MappingTables!$C$32)),1,VLOOKUP(CONCATENATE($D61,$G61),CSRFinput!$B:$E,4,0)))</f>
        <v>0.054776304963434752</v>
      </c>
      <c r="S61" s="73">
        <f>IF(B61="",0,P61*R61)</f>
        <v>0.0017292189472105278</v>
      </c>
      <c r="T61" s="85">
        <f>IF(B61="",0,IF(OR(H61=MappingTables!$C$34,H61=MappingTables!$C$35),S61,0))</f>
        <v>0</v>
      </c>
    </row>
    <row r="62" spans="2:20" s="0" customFormat="0" ht="15">
      <c r="B62" s="69" t="s">
        <v>3390</v>
      </c>
      <c r="C62" s="70" t="s">
        <v>3391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216</v>
      </c>
      <c r="J62" s="71">
        <f>IF(OR(I62=0,I62=""),"unrated",VLOOKUP(I62,MappingTables!$B$19:$C$31,2,FALSE))</f>
        <v>0</v>
      </c>
      <c r="K62" s="72">
        <v>96.163443808218288</v>
      </c>
      <c r="L62" s="70">
        <v>0.04109960798042164</v>
      </c>
      <c r="M62" s="71">
        <f>IF(L62&lt;1,1,L62)</f>
        <v>1</v>
      </c>
      <c r="N62" s="70" t="s">
        <v>3288</v>
      </c>
      <c r="O62" s="71">
        <f>IF(OR(I62=$A$1,I62=0),"",IF(N62=MappingTables!$C$14,VLOOKUP(J62,ModelParameters!$M$8:$N$15,2,FALSE),IF(N62=MappingTables!$C$16,VLOOKUP(J62,ModelParameters!$P$8:$Q$15,2,FALSE),0)))</f>
        <v>0.125</v>
      </c>
      <c r="P62" s="73">
        <f>IF(OR(I62=0,I62=$A$1),0,MIN(O62*M62,1)*K62)</f>
        <v>12.020430476027286</v>
      </c>
      <c r="Q62" s="73">
        <f>IF(B62="",0,IF(OR(H62=MappingTables!$C$34,H62=MappingTables!$C$35),P62,0))</f>
        <v>0</v>
      </c>
      <c r="R62" s="73">
        <f>IF(ISNA(IF(AND(VLOOKUP(CONCATENATE($D62,$G62),CSRFinput!$B:$E,4,0)=0,OR(H62=MappingTables!$C$31,H62=MappingTables!$C$32)),1,VLOOKUP(CONCATENATE($D62,$G62),CSRFinput!$B:$E,4,0))),0,IF(AND(VLOOKUP(CONCATENATE($D62,$G62),CSRFinput!$B:$E,4,0)=0,OR(H62=MappingTables!$C$31,H62=MappingTables!$C$32)),1,VLOOKUP(CONCATENATE($D62,$G62),CSRFinput!$B:$E,4,0)))</f>
        <v>0.054776304963434752</v>
      </c>
      <c r="S62" s="73">
        <f>IF(B62="",0,P62*R62)</f>
        <v>0.65843476554663584</v>
      </c>
      <c r="T62" s="85">
        <f>IF(B62="",0,IF(OR(H62=MappingTables!$C$34,H62=MappingTables!$C$35),S62,0))</f>
        <v>0</v>
      </c>
    </row>
    <row r="63" spans="2:20" s="0" customFormat="0" ht="15">
      <c r="B63" s="69" t="s">
        <v>3392</v>
      </c>
      <c r="C63" s="70" t="s">
        <v>3393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198</v>
      </c>
      <c r="J63" s="71" t="str">
        <f>IF(OR(I63=0,I63=""),"unrated",VLOOKUP(I63,MappingTables!$B$19:$C$31,2,FALSE))</f>
        <v>unrated</v>
      </c>
      <c r="K63" s="72">
        <v>258.73755362534676</v>
      </c>
      <c r="L63" s="70">
        <v>8.6448782126935168</v>
      </c>
      <c r="M63" s="71">
        <f>IF(L63&lt;1,1,L63)</f>
        <v>8.6448782126935168</v>
      </c>
      <c r="N63" s="70" t="s">
        <v>3288</v>
      </c>
      <c r="O63" s="71">
        <f>IF(OR(I63=$A$1,I63=0),"",IF(N63=MappingTables!$C$14,VLOOKUP(J63,ModelParameters!$M$8:$N$15,2,FALSE),IF(N63=MappingTables!$C$16,VLOOKUP(J63,ModelParameters!$P$8:$Q$15,2,FALSE),0)))</f>
        <v>1</v>
      </c>
      <c r="P63" s="73">
        <f>IF(OR(I63=0,I63=$A$1),0,MIN(O63*M63,1)*K63)</f>
        <v>258.73755362534676</v>
      </c>
      <c r="Q63" s="73">
        <f>IF(B63="",0,IF(OR(H63=MappingTables!$C$34,H63=MappingTables!$C$35),P63,0))</f>
        <v>0</v>
      </c>
      <c r="R63" s="73">
        <f>IF(ISNA(IF(AND(VLOOKUP(CONCATENATE($D63,$G63),CSRFinput!$B:$E,4,0)=0,OR(H63=MappingTables!$C$31,H63=MappingTables!$C$32)),1,VLOOKUP(CONCATENATE($D63,$G63),CSRFinput!$B:$E,4,0))),0,IF(AND(VLOOKUP(CONCATENATE($D63,$G63),CSRFinput!$B:$E,4,0)=0,OR(H63=MappingTables!$C$31,H63=MappingTables!$C$32)),1,VLOOKUP(CONCATENATE($D63,$G63),CSRFinput!$B:$E,4,0)))</f>
        <v>0.054776304963434752</v>
      </c>
      <c r="S63" s="73">
        <f>IF(B63="",0,P63*R63)</f>
        <v>14.172687142875048</v>
      </c>
      <c r="T63" s="85">
        <f>IF(B63="",0,IF(OR(H63=MappingTables!$C$34,H63=MappingTables!$C$35),S63,0))</f>
        <v>0</v>
      </c>
    </row>
    <row r="64" spans="2:20" s="0" customFormat="0" ht="15">
      <c r="B64" s="69" t="s">
        <v>3394</v>
      </c>
      <c r="C64" s="70" t="s">
        <v>3395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198</v>
      </c>
      <c r="J64" s="71" t="str">
        <f>IF(OR(I64=0,I64=""),"unrated",VLOOKUP(I64,MappingTables!$B$19:$C$31,2,FALSE))</f>
        <v>unrated</v>
      </c>
      <c r="K64" s="72">
        <v>378.25096766173904</v>
      </c>
      <c r="L64" s="70">
        <v>0.06849203416722356</v>
      </c>
      <c r="M64" s="71">
        <f>IF(L64&lt;1,1,L64)</f>
        <v>1</v>
      </c>
      <c r="N64" s="70" t="s">
        <v>3288</v>
      </c>
      <c r="O64" s="71">
        <f>IF(OR(I64=$A$1,I64=0),"",IF(N64=MappingTables!$C$14,VLOOKUP(J64,ModelParameters!$M$8:$N$15,2,FALSE),IF(N64=MappingTables!$C$16,VLOOKUP(J64,ModelParameters!$P$8:$Q$15,2,FALSE),0)))</f>
        <v>1</v>
      </c>
      <c r="P64" s="73">
        <f>IF(OR(I64=0,I64=$A$1),0,MIN(O64*M64,1)*K64)</f>
        <v>378.25096766173904</v>
      </c>
      <c r="Q64" s="73">
        <f>IF(B64="",0,IF(OR(H64=MappingTables!$C$34,H64=MappingTables!$C$35),P64,0))</f>
        <v>0</v>
      </c>
      <c r="R64" s="73">
        <f>IF(ISNA(IF(AND(VLOOKUP(CONCATENATE($D64,$G64),CSRFinput!$B:$E,4,0)=0,OR(H64=MappingTables!$C$31,H64=MappingTables!$C$32)),1,VLOOKUP(CONCATENATE($D64,$G64),CSRFinput!$B:$E,4,0))),0,IF(AND(VLOOKUP(CONCATENATE($D64,$G64),CSRFinput!$B:$E,4,0)=0,OR(H64=MappingTables!$C$31,H64=MappingTables!$C$32)),1,VLOOKUP(CONCATENATE($D64,$G64),CSRFinput!$B:$E,4,0)))</f>
        <v>0.054776304963434752</v>
      </c>
      <c r="S64" s="73">
        <f>IF(B64="",0,P64*R64)</f>
        <v>20.719190357353712</v>
      </c>
      <c r="T64" s="85">
        <f>IF(B64="",0,IF(OR(H64=MappingTables!$C$34,H64=MappingTables!$C$35),S64,0))</f>
        <v>0</v>
      </c>
    </row>
    <row r="65" spans="2:20" s="0" customFormat="0" ht="15">
      <c r="B65" s="69">
        <v>22554265</v>
      </c>
      <c r="C65" s="70" t="s">
        <v>3396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198</v>
      </c>
      <c r="J65" s="71" t="str">
        <f>IF(OR(I65=0,I65=""),"unrated",VLOOKUP(I65,MappingTables!$B$19:$C$31,2,FALSE))</f>
        <v>unrated</v>
      </c>
      <c r="K65" s="72">
        <v>1.8526263774042344</v>
      </c>
      <c r="L65" s="70">
        <v>0.05860611460315212</v>
      </c>
      <c r="M65" s="71">
        <f>IF(L65&lt;1,1,L65)</f>
        <v>1</v>
      </c>
      <c r="N65" s="70" t="s">
        <v>3288</v>
      </c>
      <c r="O65" s="71">
        <f>IF(OR(I65=$A$1,I65=0),"",IF(N65=MappingTables!$C$14,VLOOKUP(J65,ModelParameters!$M$8:$N$15,2,FALSE),IF(N65=MappingTables!$C$16,VLOOKUP(J65,ModelParameters!$P$8:$Q$15,2,FALSE),0)))</f>
        <v>1</v>
      </c>
      <c r="P65" s="73">
        <f>IF(OR(I65=0,I65=$A$1),0,MIN(O65*M65,1)*K65)</f>
        <v>1.8526263774042344</v>
      </c>
      <c r="Q65" s="73">
        <f>IF(B65="",0,IF(OR(H65=MappingTables!$C$34,H65=MappingTables!$C$35),P65,0))</f>
        <v>0</v>
      </c>
      <c r="R65" s="73">
        <f>IF(ISNA(IF(AND(VLOOKUP(CONCATENATE($D65,$G65),CSRFinput!$B:$E,4,0)=0,OR(H65=MappingTables!$C$31,H65=MappingTables!$C$32)),1,VLOOKUP(CONCATENATE($D65,$G65),CSRFinput!$B:$E,4,0))),0,IF(AND(VLOOKUP(CONCATENATE($D65,$G65),CSRFinput!$B:$E,4,0)=0,OR(H65=MappingTables!$C$31,H65=MappingTables!$C$32)),1,VLOOKUP(CONCATENATE($D65,$G65),CSRFinput!$B:$E,4,0)))</f>
        <v>0.054776304963434752</v>
      </c>
      <c r="S65" s="73">
        <f>IF(B65="",0,P65*R65)</f>
        <v>0.10148002743199772</v>
      </c>
      <c r="T65" s="85">
        <f>IF(B65="",0,IF(OR(H65=MappingTables!$C$34,H65=MappingTables!$C$35),S65,0))</f>
        <v>0</v>
      </c>
    </row>
    <row r="66" spans="2:20" s="0" customFormat="0" ht="15">
      <c r="B66" s="69" t="s">
        <v>3397</v>
      </c>
      <c r="C66" s="70" t="s">
        <v>3398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3298</v>
      </c>
      <c r="J66" s="71">
        <f>IF(OR(I66=0,I66=""),"unrated",VLOOKUP(I66,MappingTables!$B$19:$C$31,2,FALSE))</f>
        <v>6</v>
      </c>
      <c r="K66" s="72">
        <v>1002.1977763054828</v>
      </c>
      <c r="L66" s="70">
        <v>-0.24406947487775444</v>
      </c>
      <c r="M66" s="71">
        <f>IF(L66&lt;1,1,L66)</f>
        <v>1</v>
      </c>
      <c r="N66" s="70" t="s">
        <v>3288</v>
      </c>
      <c r="O66" s="71">
        <f>IF(OR(I66=$A$1,I66=0),"",IF(N66=MappingTables!$C$14,VLOOKUP(J66,ModelParameters!$M$8:$N$15,2,FALSE),IF(N66=MappingTables!$C$16,VLOOKUP(J66,ModelParameters!$P$8:$Q$15,2,FALSE),0)))</f>
        <v>1</v>
      </c>
      <c r="P66" s="73">
        <f>IF(OR(I66=0,I66=$A$1),0,MIN(O66*M66,1)*K66)</f>
        <v>1002.1977763054828</v>
      </c>
      <c r="Q66" s="73">
        <f>IF(B66="",0,IF(OR(H66=MappingTables!$C$34,H66=MappingTables!$C$35),P66,0))</f>
        <v>0</v>
      </c>
      <c r="R66" s="73">
        <f>IF(ISNA(IF(AND(VLOOKUP(CONCATENATE($D66,$G66),CSRFinput!$B:$E,4,0)=0,OR(H66=MappingTables!$C$31,H66=MappingTables!$C$32)),1,VLOOKUP(CONCATENATE($D66,$G66),CSRFinput!$B:$E,4,0))),0,IF(AND(VLOOKUP(CONCATENATE($D66,$G66),CSRFinput!$B:$E,4,0)=0,OR(H66=MappingTables!$C$31,H66=MappingTables!$C$32)),1,VLOOKUP(CONCATENATE($D66,$G66),CSRFinput!$B:$E,4,0)))</f>
        <v>0.054776304963434752</v>
      </c>
      <c r="S66" s="73">
        <f>IF(B66="",0,P66*R66)</f>
        <v>54.896691028585288</v>
      </c>
      <c r="T66" s="85">
        <f>IF(B66="",0,IF(OR(H66=MappingTables!$C$34,H66=MappingTables!$C$35),S66,0))</f>
        <v>0</v>
      </c>
    </row>
    <row r="67" spans="2:20" s="0" customFormat="0" ht="15">
      <c r="B67" s="69">
        <v>22623674</v>
      </c>
      <c r="C67" s="70" t="s">
        <v>3399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198</v>
      </c>
      <c r="J67" s="71" t="str">
        <f>IF(OR(I67=0,I67=""),"unrated",VLOOKUP(I67,MappingTables!$B$19:$C$31,2,FALSE))</f>
        <v>unrated</v>
      </c>
      <c r="K67" s="72">
        <v>64.67791237025416</v>
      </c>
      <c r="L67" s="70">
        <v>0.068495926746254696</v>
      </c>
      <c r="M67" s="71">
        <f>IF(L67&lt;1,1,L67)</f>
        <v>1</v>
      </c>
      <c r="N67" s="70" t="s">
        <v>3288</v>
      </c>
      <c r="O67" s="71">
        <f>IF(OR(I67=$A$1,I67=0),"",IF(N67=MappingTables!$C$14,VLOOKUP(J67,ModelParameters!$M$8:$N$15,2,FALSE),IF(N67=MappingTables!$C$16,VLOOKUP(J67,ModelParameters!$P$8:$Q$15,2,FALSE),0)))</f>
        <v>1</v>
      </c>
      <c r="P67" s="73">
        <f>IF(OR(I67=0,I67=$A$1),0,MIN(O67*M67,1)*K67)</f>
        <v>64.67791237025416</v>
      </c>
      <c r="Q67" s="73">
        <f>IF(B67="",0,IF(OR(H67=MappingTables!$C$34,H67=MappingTables!$C$35),P67,0))</f>
        <v>0</v>
      </c>
      <c r="R67" s="73">
        <f>IF(ISNA(IF(AND(VLOOKUP(CONCATENATE($D67,$G67),CSRFinput!$B:$E,4,0)=0,OR(H67=MappingTables!$C$31,H67=MappingTables!$C$32)),1,VLOOKUP(CONCATENATE($D67,$G67),CSRFinput!$B:$E,4,0))),0,IF(AND(VLOOKUP(CONCATENATE($D67,$G67),CSRFinput!$B:$E,4,0)=0,OR(H67=MappingTables!$C$31,H67=MappingTables!$C$32)),1,VLOOKUP(CONCATENATE($D67,$G67),CSRFinput!$B:$E,4,0)))</f>
        <v>0.054776304963434752</v>
      </c>
      <c r="S67" s="73">
        <f>IF(B67="",0,P67*R67)</f>
        <v>3.5428170523913512</v>
      </c>
      <c r="T67" s="85">
        <f>IF(B67="",0,IF(OR(H67=MappingTables!$C$34,H67=MappingTables!$C$35),S67,0))</f>
        <v>0</v>
      </c>
    </row>
    <row r="68" spans="2:20" s="0" customFormat="0" ht="15">
      <c r="B68" s="69">
        <v>5168892</v>
      </c>
      <c r="C68" s="70" t="s">
        <v>3400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216</v>
      </c>
      <c r="J68" s="71">
        <f>IF(OR(I68=0,I68=""),"unrated",VLOOKUP(I68,MappingTables!$B$19:$C$31,2,FALSE))</f>
        <v>0</v>
      </c>
      <c r="K68" s="72">
        <v>9108.805056868944</v>
      </c>
      <c r="L68" s="70">
        <v>1.5800555893824774</v>
      </c>
      <c r="M68" s="71">
        <f>IF(L68&lt;1,1,L68)</f>
        <v>1.5800555893824774</v>
      </c>
      <c r="N68" s="70" t="s">
        <v>3288</v>
      </c>
      <c r="O68" s="71">
        <f>IF(OR(I68=$A$1,I68=0),"",IF(N68=MappingTables!$C$14,VLOOKUP(J68,ModelParameters!$M$8:$N$15,2,FALSE),IF(N68=MappingTables!$C$16,VLOOKUP(J68,ModelParameters!$P$8:$Q$15,2,FALSE),0)))</f>
        <v>0.125</v>
      </c>
      <c r="P68" s="73">
        <f>IF(OR(I68=0,I68=$A$1),0,MIN(O68*M68,1)*K68)</f>
        <v>1799.0522928376436</v>
      </c>
      <c r="Q68" s="73">
        <f>IF(B68="",0,IF(OR(H68=MappingTables!$C$34,H68=MappingTables!$C$35),P68,0))</f>
        <v>0</v>
      </c>
      <c r="R68" s="73">
        <f>IF(ISNA(IF(AND(VLOOKUP(CONCATENATE($D68,$G68),CSRFinput!$B:$E,4,0)=0,OR(H68=MappingTables!$C$31,H68=MappingTables!$C$32)),1,VLOOKUP(CONCATENATE($D68,$G68),CSRFinput!$B:$E,4,0))),0,IF(AND(VLOOKUP(CONCATENATE($D68,$G68),CSRFinput!$B:$E,4,0)=0,OR(H68=MappingTables!$C$31,H68=MappingTables!$C$32)),1,VLOOKUP(CONCATENATE($D68,$G68),CSRFinput!$B:$E,4,0)))</f>
        <v>0.054776304963434752</v>
      </c>
      <c r="S68" s="73">
        <f>IF(B68="",0,P68*R68)</f>
        <v>98.545437037641296</v>
      </c>
      <c r="T68" s="85">
        <f>IF(B68="",0,IF(OR(H68=MappingTables!$C$34,H68=MappingTables!$C$35),S68,0))</f>
        <v>0</v>
      </c>
    </row>
    <row r="69" spans="2:20" s="0" customFormat="0" ht="15">
      <c r="B69" s="69" t="s">
        <v>3401</v>
      </c>
      <c r="C69" s="70" t="s">
        <v>3402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216</v>
      </c>
      <c r="J69" s="71">
        <f>IF(OR(I69=0,I69=""),"unrated",VLOOKUP(I69,MappingTables!$B$19:$C$31,2,FALSE))</f>
        <v>0</v>
      </c>
      <c r="K69" s="72">
        <v>80.411953669330608</v>
      </c>
      <c r="L69" s="70">
        <v>0.12602784935880046</v>
      </c>
      <c r="M69" s="71">
        <f>IF(L69&lt;1,1,L69)</f>
        <v>1</v>
      </c>
      <c r="N69" s="70" t="s">
        <v>3288</v>
      </c>
      <c r="O69" s="71">
        <f>IF(OR(I69=$A$1,I69=0),"",IF(N69=MappingTables!$C$14,VLOOKUP(J69,ModelParameters!$M$8:$N$15,2,FALSE),IF(N69=MappingTables!$C$16,VLOOKUP(J69,ModelParameters!$P$8:$Q$15,2,FALSE),0)))</f>
        <v>0.125</v>
      </c>
      <c r="P69" s="73">
        <f>IF(OR(I69=0,I69=$A$1),0,MIN(O69*M69,1)*K69)</f>
        <v>10.051494208666326</v>
      </c>
      <c r="Q69" s="73">
        <f>IF(B69="",0,IF(OR(H69=MappingTables!$C$34,H69=MappingTables!$C$35),P69,0))</f>
        <v>0</v>
      </c>
      <c r="R69" s="73">
        <f>IF(ISNA(IF(AND(VLOOKUP(CONCATENATE($D69,$G69),CSRFinput!$B:$E,4,0)=0,OR(H69=MappingTables!$C$31,H69=MappingTables!$C$32)),1,VLOOKUP(CONCATENATE($D69,$G69),CSRFinput!$B:$E,4,0))),0,IF(AND(VLOOKUP(CONCATENATE($D69,$G69),CSRFinput!$B:$E,4,0)=0,OR(H69=MappingTables!$C$31,H69=MappingTables!$C$32)),1,VLOOKUP(CONCATENATE($D69,$G69),CSRFinput!$B:$E,4,0)))</f>
        <v>0.054776304963434752</v>
      </c>
      <c r="S69" s="73">
        <f>IF(B69="",0,P69*R69)</f>
        <v>0.55058371211210488</v>
      </c>
      <c r="T69" s="85">
        <f>IF(B69="",0,IF(OR(H69=MappingTables!$C$34,H69=MappingTables!$C$35),S69,0))</f>
        <v>0</v>
      </c>
    </row>
    <row r="70" spans="2:20" s="0" customFormat="0" ht="15">
      <c r="B70" s="69">
        <v>17619867</v>
      </c>
      <c r="C70" s="70" t="s">
        <v>3403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216</v>
      </c>
      <c r="J70" s="71">
        <f>IF(OR(I70=0,I70=""),"unrated",VLOOKUP(I70,MappingTables!$B$19:$C$31,2,FALSE))</f>
        <v>0</v>
      </c>
      <c r="K70" s="72">
        <v>409.45527732777472</v>
      </c>
      <c r="L70" s="70">
        <v>0.040213995210627992</v>
      </c>
      <c r="M70" s="71">
        <f>IF(L70&lt;1,1,L70)</f>
        <v>1</v>
      </c>
      <c r="N70" s="70" t="s">
        <v>3288</v>
      </c>
      <c r="O70" s="71">
        <f>IF(OR(I70=$A$1,I70=0),"",IF(N70=MappingTables!$C$14,VLOOKUP(J70,ModelParameters!$M$8:$N$15,2,FALSE),IF(N70=MappingTables!$C$16,VLOOKUP(J70,ModelParameters!$P$8:$Q$15,2,FALSE),0)))</f>
        <v>0.125</v>
      </c>
      <c r="P70" s="73">
        <f>IF(OR(I70=0,I70=$A$1),0,MIN(O70*M70,1)*K70)</f>
        <v>51.18190966597184</v>
      </c>
      <c r="Q70" s="73">
        <f>IF(B70="",0,IF(OR(H70=MappingTables!$C$34,H70=MappingTables!$C$35),P70,0))</f>
        <v>0</v>
      </c>
      <c r="R70" s="73">
        <f>IF(ISNA(IF(AND(VLOOKUP(CONCATENATE($D70,$G70),CSRFinput!$B:$E,4,0)=0,OR(H70=MappingTables!$C$31,H70=MappingTables!$C$32)),1,VLOOKUP(CONCATENATE($D70,$G70),CSRFinput!$B:$E,4,0))),0,IF(AND(VLOOKUP(CONCATENATE($D70,$G70),CSRFinput!$B:$E,4,0)=0,OR(H70=MappingTables!$C$31,H70=MappingTables!$C$32)),1,VLOOKUP(CONCATENATE($D70,$G70),CSRFinput!$B:$E,4,0)))</f>
        <v>0.054776304963434752</v>
      </c>
      <c r="S70" s="73">
        <f>IF(B70="",0,P70*R70)</f>
        <v>2.8035558924742424</v>
      </c>
      <c r="T70" s="85">
        <f>IF(B70="",0,IF(OR(H70=MappingTables!$C$34,H70=MappingTables!$C$35),S70,0))</f>
        <v>0</v>
      </c>
    </row>
    <row r="71" spans="2:20" s="0" customFormat="0" ht="15">
      <c r="B71" s="69" t="s">
        <v>3404</v>
      </c>
      <c r="C71" s="70" t="s">
        <v>3405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198</v>
      </c>
      <c r="J71" s="71" t="str">
        <f>IF(OR(I71=0,I71=""),"unrated",VLOOKUP(I71,MappingTables!$B$19:$C$31,2,FALSE))</f>
        <v>unrated</v>
      </c>
      <c r="K71" s="72">
        <v>5.6932840450490368</v>
      </c>
      <c r="L71" s="70">
        <v>0.06849723883192128</v>
      </c>
      <c r="M71" s="71">
        <f>IF(L71&lt;1,1,L71)</f>
        <v>1</v>
      </c>
      <c r="N71" s="70" t="s">
        <v>3288</v>
      </c>
      <c r="O71" s="71">
        <f>IF(OR(I71=$A$1,I71=0),"",IF(N71=MappingTables!$C$14,VLOOKUP(J71,ModelParameters!$M$8:$N$15,2,FALSE),IF(N71=MappingTables!$C$16,VLOOKUP(J71,ModelParameters!$P$8:$Q$15,2,FALSE),0)))</f>
        <v>1</v>
      </c>
      <c r="P71" s="73">
        <f>IF(OR(I71=0,I71=$A$1),0,MIN(O71*M71,1)*K71)</f>
        <v>5.6932840450490368</v>
      </c>
      <c r="Q71" s="73">
        <f>IF(B71="",0,IF(OR(H71=MappingTables!$C$34,H71=MappingTables!$C$35),P71,0))</f>
        <v>0</v>
      </c>
      <c r="R71" s="73">
        <f>IF(ISNA(IF(AND(VLOOKUP(CONCATENATE($D71,$G71),CSRFinput!$B:$E,4,0)=0,OR(H71=MappingTables!$C$31,H71=MappingTables!$C$32)),1,VLOOKUP(CONCATENATE($D71,$G71),CSRFinput!$B:$E,4,0))),0,IF(AND(VLOOKUP(CONCATENATE($D71,$G71),CSRFinput!$B:$E,4,0)=0,OR(H71=MappingTables!$C$31,H71=MappingTables!$C$32)),1,VLOOKUP(CONCATENATE($D71,$G71),CSRFinput!$B:$E,4,0)))</f>
        <v>0.054776304963434752</v>
      </c>
      <c r="S71" s="73">
        <f>IF(B71="",0,P71*R71)</f>
        <v>0.31185706309506344</v>
      </c>
      <c r="T71" s="85">
        <f>IF(B71="",0,IF(OR(H71=MappingTables!$C$34,H71=MappingTables!$C$35),S71,0))</f>
        <v>0</v>
      </c>
    </row>
    <row r="72" spans="2:20" s="0" customFormat="0" ht="15">
      <c r="B72" s="69">
        <v>22554529</v>
      </c>
      <c r="C72" s="70" t="s">
        <v>3406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179</v>
      </c>
      <c r="J72" s="71">
        <f>IF(OR(I72=0,I72=""),"unrated",VLOOKUP(I72,MappingTables!$B$19:$C$31,2,FALSE))</f>
        <v>4</v>
      </c>
      <c r="K72" s="72">
        <v>478.0411232880928</v>
      </c>
      <c r="L72" s="70">
        <v>0.06849168144274144</v>
      </c>
      <c r="M72" s="71">
        <f>IF(L72&lt;1,1,L72)</f>
        <v>1</v>
      </c>
      <c r="N72" s="70" t="s">
        <v>3288</v>
      </c>
      <c r="O72" s="71">
        <f>IF(OR(I72=$A$1,I72=0),"",IF(N72=MappingTables!$C$14,VLOOKUP(J72,ModelParameters!$M$8:$N$15,2,FALSE),IF(N72=MappingTables!$C$16,VLOOKUP(J72,ModelParameters!$P$8:$Q$15,2,FALSE),0)))</f>
        <v>0.82</v>
      </c>
      <c r="P72" s="73">
        <f>IF(OR(I72=0,I72=$A$1),0,MIN(O72*M72,1)*K72)</f>
        <v>391.99372109623608</v>
      </c>
      <c r="Q72" s="73">
        <f>IF(B72="",0,IF(OR(H72=MappingTables!$C$34,H72=MappingTables!$C$35),P72,0))</f>
        <v>0</v>
      </c>
      <c r="R72" s="73">
        <f>IF(ISNA(IF(AND(VLOOKUP(CONCATENATE($D72,$G72),CSRFinput!$B:$E,4,0)=0,OR(H72=MappingTables!$C$31,H72=MappingTables!$C$32)),1,VLOOKUP(CONCATENATE($D72,$G72),CSRFinput!$B:$E,4,0))),0,IF(AND(VLOOKUP(CONCATENATE($D72,$G72),CSRFinput!$B:$E,4,0)=0,OR(H72=MappingTables!$C$31,H72=MappingTables!$C$32)),1,VLOOKUP(CONCATENATE($D72,$G72),CSRFinput!$B:$E,4,0)))</f>
        <v>0.054776304963434752</v>
      </c>
      <c r="S72" s="73">
        <f>IF(B72="",0,P72*R72)</f>
        <v>21.471967610519016</v>
      </c>
      <c r="T72" s="85">
        <f>IF(B72="",0,IF(OR(H72=MappingTables!$C$34,H72=MappingTables!$C$35),S72,0))</f>
        <v>0</v>
      </c>
    </row>
    <row r="73" spans="2:20" s="0" customFormat="0" ht="15">
      <c r="B73" s="69" t="s">
        <v>3407</v>
      </c>
      <c r="C73" s="70" t="s">
        <v>3408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198</v>
      </c>
      <c r="J73" s="71" t="str">
        <f>IF(OR(I73=0,I73=""),"unrated",VLOOKUP(I73,MappingTables!$B$19:$C$31,2,FALSE))</f>
        <v>unrated</v>
      </c>
      <c r="K73" s="72">
        <v>1422.1680356283932</v>
      </c>
      <c r="L73" s="70">
        <v>9.9414559134930544</v>
      </c>
      <c r="M73" s="71">
        <f>IF(L73&lt;1,1,L73)</f>
        <v>9.9414559134930544</v>
      </c>
      <c r="N73" s="70" t="s">
        <v>3288</v>
      </c>
      <c r="O73" s="71">
        <f>IF(OR(I73=$A$1,I73=0),"",IF(N73=MappingTables!$C$14,VLOOKUP(J73,ModelParameters!$M$8:$N$15,2,FALSE),IF(N73=MappingTables!$C$16,VLOOKUP(J73,ModelParameters!$P$8:$Q$15,2,FALSE),0)))</f>
        <v>1</v>
      </c>
      <c r="P73" s="73">
        <f>IF(OR(I73=0,I73=$A$1),0,MIN(O73*M73,1)*K73)</f>
        <v>1422.1680356283932</v>
      </c>
      <c r="Q73" s="73">
        <f>IF(B73="",0,IF(OR(H73=MappingTables!$C$34,H73=MappingTables!$C$35),P73,0))</f>
        <v>0</v>
      </c>
      <c r="R73" s="73">
        <f>IF(ISNA(IF(AND(VLOOKUP(CONCATENATE($D73,$G73),CSRFinput!$B:$E,4,0)=0,OR(H73=MappingTables!$C$31,H73=MappingTables!$C$32)),1,VLOOKUP(CONCATENATE($D73,$G73),CSRFinput!$B:$E,4,0))),0,IF(AND(VLOOKUP(CONCATENATE($D73,$G73),CSRFinput!$B:$E,4,0)=0,OR(H73=MappingTables!$C$31,H73=MappingTables!$C$32)),1,VLOOKUP(CONCATENATE($D73,$G73),CSRFinput!$B:$E,4,0)))</f>
        <v>0.054776304963434752</v>
      </c>
      <c r="S73" s="73">
        <f>IF(B73="",0,P73*R73)</f>
        <v>77.901110028829808</v>
      </c>
      <c r="T73" s="85">
        <f>IF(B73="",0,IF(OR(H73=MappingTables!$C$34,H73=MappingTables!$C$35),S73,0))</f>
        <v>0</v>
      </c>
    </row>
    <row r="74" spans="2:20" s="0" customFormat="0" ht="15">
      <c r="B74" s="69" t="s">
        <v>3409</v>
      </c>
      <c r="C74" s="70" t="s">
        <v>3410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204</v>
      </c>
      <c r="J74" s="71">
        <f>IF(OR(I74=0,I74=""),"unrated",VLOOKUP(I74,MappingTables!$B$19:$C$31,2,FALSE))</f>
        <v>6</v>
      </c>
      <c r="K74" s="72">
        <v>667.7192235755824</v>
      </c>
      <c r="L74" s="70">
        <v>0.068493563830570096</v>
      </c>
      <c r="M74" s="71">
        <f>IF(L74&lt;1,1,L74)</f>
        <v>1</v>
      </c>
      <c r="N74" s="70" t="s">
        <v>3288</v>
      </c>
      <c r="O74" s="71">
        <f>IF(OR(I74=$A$1,I74=0),"",IF(N74=MappingTables!$C$14,VLOOKUP(J74,ModelParameters!$M$8:$N$15,2,FALSE),IF(N74=MappingTables!$C$16,VLOOKUP(J74,ModelParameters!$P$8:$Q$15,2,FALSE),0)))</f>
        <v>1</v>
      </c>
      <c r="P74" s="73">
        <f>IF(OR(I74=0,I74=$A$1),0,MIN(O74*M74,1)*K74)</f>
        <v>667.7192235755824</v>
      </c>
      <c r="Q74" s="73">
        <f>IF(B74="",0,IF(OR(H74=MappingTables!$C$34,H74=MappingTables!$C$35),P74,0))</f>
        <v>0</v>
      </c>
      <c r="R74" s="73">
        <f>IF(ISNA(IF(AND(VLOOKUP(CONCATENATE($D74,$G74),CSRFinput!$B:$E,4,0)=0,OR(H74=MappingTables!$C$31,H74=MappingTables!$C$32)),1,VLOOKUP(CONCATENATE($D74,$G74),CSRFinput!$B:$E,4,0))),0,IF(AND(VLOOKUP(CONCATENATE($D74,$G74),CSRFinput!$B:$E,4,0)=0,OR(H74=MappingTables!$C$31,H74=MappingTables!$C$32)),1,VLOOKUP(CONCATENATE($D74,$G74),CSRFinput!$B:$E,4,0)))</f>
        <v>0.054776304963434752</v>
      </c>
      <c r="S74" s="73">
        <f>IF(B74="",0,P74*R74)</f>
        <v>36.575191820523976</v>
      </c>
      <c r="T74" s="85">
        <f>IF(B74="",0,IF(OR(H74=MappingTables!$C$34,H74=MappingTables!$C$35),S74,0))</f>
        <v>0</v>
      </c>
    </row>
    <row r="75" spans="2:20" s="0" customFormat="0" ht="15">
      <c r="B75" s="69" t="s">
        <v>3411</v>
      </c>
      <c r="C75" s="70" t="s">
        <v>3412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198</v>
      </c>
      <c r="J75" s="71" t="str">
        <f>IF(OR(I75=0,I75=""),"unrated",VLOOKUP(I75,MappingTables!$B$19:$C$31,2,FALSE))</f>
        <v>unrated</v>
      </c>
      <c r="K75" s="72">
        <v>62.501022030010608</v>
      </c>
      <c r="L75" s="70">
        <v>8.0282061352274768</v>
      </c>
      <c r="M75" s="71">
        <f>IF(L75&lt;1,1,L75)</f>
        <v>8.0282061352274768</v>
      </c>
      <c r="N75" s="70" t="s">
        <v>3288</v>
      </c>
      <c r="O75" s="71">
        <f>IF(OR(I75=$A$1,I75=0),"",IF(N75=MappingTables!$C$14,VLOOKUP(J75,ModelParameters!$M$8:$N$15,2,FALSE),IF(N75=MappingTables!$C$16,VLOOKUP(J75,ModelParameters!$P$8:$Q$15,2,FALSE),0)))</f>
        <v>1</v>
      </c>
      <c r="P75" s="73">
        <f>IF(OR(I75=0,I75=$A$1),0,MIN(O75*M75,1)*K75)</f>
        <v>62.501022030010608</v>
      </c>
      <c r="Q75" s="73">
        <f>IF(B75="",0,IF(OR(H75=MappingTables!$C$34,H75=MappingTables!$C$35),P75,0))</f>
        <v>0</v>
      </c>
      <c r="R75" s="73">
        <f>IF(ISNA(IF(AND(VLOOKUP(CONCATENATE($D75,$G75),CSRFinput!$B:$E,4,0)=0,OR(H75=MappingTables!$C$31,H75=MappingTables!$C$32)),1,VLOOKUP(CONCATENATE($D75,$G75),CSRFinput!$B:$E,4,0))),0,IF(AND(VLOOKUP(CONCATENATE($D75,$G75),CSRFinput!$B:$E,4,0)=0,OR(H75=MappingTables!$C$31,H75=MappingTables!$C$32)),1,VLOOKUP(CONCATENATE($D75,$G75),CSRFinput!$B:$E,4,0)))</f>
        <v>0.054776304963434752</v>
      </c>
      <c r="S75" s="73">
        <f>IF(B75="",0,P75*R75)</f>
        <v>3.4235750432422152</v>
      </c>
      <c r="T75" s="85">
        <f>IF(B75="",0,IF(OR(H75=MappingTables!$C$34,H75=MappingTables!$C$35),S75,0))</f>
        <v>0</v>
      </c>
    </row>
    <row r="76" spans="2:20" s="0" customFormat="0" ht="15">
      <c r="B76" s="69">
        <v>12994210</v>
      </c>
      <c r="C76" s="70" t="s">
        <v>3413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216</v>
      </c>
      <c r="J76" s="71">
        <f>IF(OR(I76=0,I76=""),"unrated",VLOOKUP(I76,MappingTables!$B$19:$C$31,2,FALSE))</f>
        <v>0</v>
      </c>
      <c r="K76" s="72">
        <v>72.842212795986304</v>
      </c>
      <c r="L76" s="70">
        <v>3.4107057299630528</v>
      </c>
      <c r="M76" s="71">
        <f>IF(L76&lt;1,1,L76)</f>
        <v>3.4107057299630528</v>
      </c>
      <c r="N76" s="70" t="s">
        <v>3288</v>
      </c>
      <c r="O76" s="71">
        <f>IF(OR(I76=$A$1,I76=0),"",IF(N76=MappingTables!$C$14,VLOOKUP(J76,ModelParameters!$M$8:$N$15,2,FALSE),IF(N76=MappingTables!$C$16,VLOOKUP(J76,ModelParameters!$P$8:$Q$15,2,FALSE),0)))</f>
        <v>0.125</v>
      </c>
      <c r="P76" s="73">
        <f>IF(OR(I76=0,I76=$A$1),0,MIN(O76*M76,1)*K76)</f>
        <v>31.055419070807312</v>
      </c>
      <c r="Q76" s="73">
        <f>IF(B76="",0,IF(OR(H76=MappingTables!$C$34,H76=MappingTables!$C$35),P76,0))</f>
        <v>0</v>
      </c>
      <c r="R76" s="73">
        <f>IF(ISNA(IF(AND(VLOOKUP(CONCATENATE($D76,$G76),CSRFinput!$B:$E,4,0)=0,OR(H76=MappingTables!$C$31,H76=MappingTables!$C$32)),1,VLOOKUP(CONCATENATE($D76,$G76),CSRFinput!$B:$E,4,0))),0,IF(AND(VLOOKUP(CONCATENATE($D76,$G76),CSRFinput!$B:$E,4,0)=0,OR(H76=MappingTables!$C$31,H76=MappingTables!$C$32)),1,VLOOKUP(CONCATENATE($D76,$G76),CSRFinput!$B:$E,4,0)))</f>
        <v>0.054776304963434752</v>
      </c>
      <c r="S76" s="73">
        <f>IF(B76="",0,P76*R76)</f>
        <v>1.7011011057898088</v>
      </c>
      <c r="T76" s="85">
        <f>IF(B76="",0,IF(OR(H76=MappingTables!$C$34,H76=MappingTables!$C$35),S76,0))</f>
        <v>0</v>
      </c>
    </row>
    <row r="77" spans="2:20" s="0" customFormat="0" ht="15">
      <c r="B77" s="69">
        <v>22554416</v>
      </c>
      <c r="C77" s="70" t="s">
        <v>3414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184</v>
      </c>
      <c r="J77" s="71">
        <f>IF(OR(I77=0,I77=""),"unrated",VLOOKUP(I77,MappingTables!$B$19:$C$31,2,FALSE))</f>
        <v>5</v>
      </c>
      <c r="K77" s="72">
        <v>1424.3430837020376</v>
      </c>
      <c r="L77" s="70">
        <v>0.068494456662119672</v>
      </c>
      <c r="M77" s="71">
        <f>IF(L77&lt;1,1,L77)</f>
        <v>1</v>
      </c>
      <c r="N77" s="70" t="s">
        <v>3288</v>
      </c>
      <c r="O77" s="71">
        <f>IF(OR(I77=$A$1,I77=0),"",IF(N77=MappingTables!$C$14,VLOOKUP(J77,ModelParameters!$M$8:$N$15,2,FALSE),IF(N77=MappingTables!$C$16,VLOOKUP(J77,ModelParameters!$P$8:$Q$15,2,FALSE),0)))</f>
        <v>1</v>
      </c>
      <c r="P77" s="73">
        <f>IF(OR(I77=0,I77=$A$1),0,MIN(O77*M77,1)*K77)</f>
        <v>1424.3430837020376</v>
      </c>
      <c r="Q77" s="73">
        <f>IF(B77="",0,IF(OR(H77=MappingTables!$C$34,H77=MappingTables!$C$35),P77,0))</f>
        <v>0</v>
      </c>
      <c r="R77" s="73">
        <f>IF(ISNA(IF(AND(VLOOKUP(CONCATENATE($D77,$G77),CSRFinput!$B:$E,4,0)=0,OR(H77=MappingTables!$C$31,H77=MappingTables!$C$32)),1,VLOOKUP(CONCATENATE($D77,$G77),CSRFinput!$B:$E,4,0))),0,IF(AND(VLOOKUP(CONCATENATE($D77,$G77),CSRFinput!$B:$E,4,0)=0,OR(H77=MappingTables!$C$31,H77=MappingTables!$C$32)),1,VLOOKUP(CONCATENATE($D77,$G77),CSRFinput!$B:$E,4,0)))</f>
        <v>0.054776304963434752</v>
      </c>
      <c r="S77" s="73">
        <f>IF(B77="",0,P77*R77)</f>
        <v>78.020251125421872</v>
      </c>
      <c r="T77" s="85">
        <f>IF(B77="",0,IF(OR(H77=MappingTables!$C$34,H77=MappingTables!$C$35),S77,0))</f>
        <v>0</v>
      </c>
    </row>
    <row r="78" spans="2:20" s="0" customFormat="0" ht="15">
      <c r="B78" s="69" t="s">
        <v>3415</v>
      </c>
      <c r="C78" s="70" t="s">
        <v>3416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3298</v>
      </c>
      <c r="J78" s="71">
        <f>IF(OR(I78=0,I78=""),"unrated",VLOOKUP(I78,MappingTables!$B$19:$C$31,2,FALSE))</f>
        <v>6</v>
      </c>
      <c r="K78" s="72">
        <v>203.34403335812976</v>
      </c>
      <c r="L78" s="70">
        <v>-1.4691604151594012</v>
      </c>
      <c r="M78" s="71">
        <f>IF(L78&lt;1,1,L78)</f>
        <v>1</v>
      </c>
      <c r="N78" s="70" t="s">
        <v>3288</v>
      </c>
      <c r="O78" s="71">
        <f>IF(OR(I78=$A$1,I78=0),"",IF(N78=MappingTables!$C$14,VLOOKUP(J78,ModelParameters!$M$8:$N$15,2,FALSE),IF(N78=MappingTables!$C$16,VLOOKUP(J78,ModelParameters!$P$8:$Q$15,2,FALSE),0)))</f>
        <v>1</v>
      </c>
      <c r="P78" s="73">
        <f>IF(OR(I78=0,I78=$A$1),0,MIN(O78*M78,1)*K78)</f>
        <v>203.34403335812976</v>
      </c>
      <c r="Q78" s="73">
        <f>IF(B78="",0,IF(OR(H78=MappingTables!$C$34,H78=MappingTables!$C$35),P78,0))</f>
        <v>0</v>
      </c>
      <c r="R78" s="73">
        <f>IF(ISNA(IF(AND(VLOOKUP(CONCATENATE($D78,$G78),CSRFinput!$B:$E,4,0)=0,OR(H78=MappingTables!$C$31,H78=MappingTables!$C$32)),1,VLOOKUP(CONCATENATE($D78,$G78),CSRFinput!$B:$E,4,0))),0,IF(AND(VLOOKUP(CONCATENATE($D78,$G78),CSRFinput!$B:$E,4,0)=0,OR(H78=MappingTables!$C$31,H78=MappingTables!$C$32)),1,VLOOKUP(CONCATENATE($D78,$G78),CSRFinput!$B:$E,4,0)))</f>
        <v>0.054776304963434752</v>
      </c>
      <c r="S78" s="73">
        <f>IF(B78="",0,P78*R78)</f>
        <v>11.138434783719764</v>
      </c>
      <c r="T78" s="85">
        <f>IF(B78="",0,IF(OR(H78=MappingTables!$C$34,H78=MappingTables!$C$35),S78,0))</f>
        <v>0</v>
      </c>
    </row>
    <row r="79" spans="2:20" s="0" customFormat="0" ht="15">
      <c r="B79" s="69" t="s">
        <v>3417</v>
      </c>
      <c r="C79" s="70" t="s">
        <v>3418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204</v>
      </c>
      <c r="J79" s="71">
        <f>IF(OR(I79=0,I79=""),"unrated",VLOOKUP(I79,MappingTables!$B$19:$C$31,2,FALSE))</f>
        <v>6</v>
      </c>
      <c r="K79" s="72">
        <v>71.669195112564952</v>
      </c>
      <c r="L79" s="70">
        <v>0.068495152674370104</v>
      </c>
      <c r="M79" s="71">
        <f>IF(L79&lt;1,1,L79)</f>
        <v>1</v>
      </c>
      <c r="N79" s="70" t="s">
        <v>3288</v>
      </c>
      <c r="O79" s="71">
        <f>IF(OR(I79=$A$1,I79=0),"",IF(N79=MappingTables!$C$14,VLOOKUP(J79,ModelParameters!$M$8:$N$15,2,FALSE),IF(N79=MappingTables!$C$16,VLOOKUP(J79,ModelParameters!$P$8:$Q$15,2,FALSE),0)))</f>
        <v>1</v>
      </c>
      <c r="P79" s="73">
        <f>IF(OR(I79=0,I79=$A$1),0,MIN(O79*M79,1)*K79)</f>
        <v>71.669195112564952</v>
      </c>
      <c r="Q79" s="73">
        <f>IF(B79="",0,IF(OR(H79=MappingTables!$C$34,H79=MappingTables!$C$35),P79,0))</f>
        <v>0</v>
      </c>
      <c r="R79" s="73">
        <f>IF(ISNA(IF(AND(VLOOKUP(CONCATENATE($D79,$G79),CSRFinput!$B:$E,4,0)=0,OR(H79=MappingTables!$C$31,H79=MappingTables!$C$32)),1,VLOOKUP(CONCATENATE($D79,$G79),CSRFinput!$B:$E,4,0))),0,IF(AND(VLOOKUP(CONCATENATE($D79,$G79),CSRFinput!$B:$E,4,0)=0,OR(H79=MappingTables!$C$31,H79=MappingTables!$C$32)),1,VLOOKUP(CONCATENATE($D79,$G79),CSRFinput!$B:$E,4,0)))</f>
        <v>0.054776304963434752</v>
      </c>
      <c r="S79" s="73">
        <f>IF(B79="",0,P79*R79)</f>
        <v>3.9257736879697648</v>
      </c>
      <c r="T79" s="85">
        <f>IF(B79="",0,IF(OR(H79=MappingTables!$C$34,H79=MappingTables!$C$35),S79,0))</f>
        <v>0</v>
      </c>
    </row>
    <row r="80" spans="2:20" s="0" customFormat="0" ht="15">
      <c r="B80" s="69" t="s">
        <v>3419</v>
      </c>
      <c r="C80" s="70" t="s">
        <v>3420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3298</v>
      </c>
      <c r="J80" s="71">
        <f>IF(OR(I80=0,I80=""),"unrated",VLOOKUP(I80,MappingTables!$B$19:$C$31,2,FALSE))</f>
        <v>6</v>
      </c>
      <c r="K80" s="72">
        <v>108.36064263555364</v>
      </c>
      <c r="L80" s="70">
        <v>-0.25814191726987636</v>
      </c>
      <c r="M80" s="71">
        <f>IF(L80&lt;1,1,L80)</f>
        <v>1</v>
      </c>
      <c r="N80" s="70" t="s">
        <v>3288</v>
      </c>
      <c r="O80" s="71">
        <f>IF(OR(I80=$A$1,I80=0),"",IF(N80=MappingTables!$C$14,VLOOKUP(J80,ModelParameters!$M$8:$N$15,2,FALSE),IF(N80=MappingTables!$C$16,VLOOKUP(J80,ModelParameters!$P$8:$Q$15,2,FALSE),0)))</f>
        <v>1</v>
      </c>
      <c r="P80" s="73">
        <f>IF(OR(I80=0,I80=$A$1),0,MIN(O80*M80,1)*K80)</f>
        <v>108.36064263555364</v>
      </c>
      <c r="Q80" s="73">
        <f>IF(B80="",0,IF(OR(H80=MappingTables!$C$34,H80=MappingTables!$C$35),P80,0))</f>
        <v>0</v>
      </c>
      <c r="R80" s="73">
        <f>IF(ISNA(IF(AND(VLOOKUP(CONCATENATE($D80,$G80),CSRFinput!$B:$E,4,0)=0,OR(H80=MappingTables!$C$31,H80=MappingTables!$C$32)),1,VLOOKUP(CONCATENATE($D80,$G80),CSRFinput!$B:$E,4,0))),0,IF(AND(VLOOKUP(CONCATENATE($D80,$G80),CSRFinput!$B:$E,4,0)=0,OR(H80=MappingTables!$C$31,H80=MappingTables!$C$32)),1,VLOOKUP(CONCATENATE($D80,$G80),CSRFinput!$B:$E,4,0)))</f>
        <v>0.054776304963434752</v>
      </c>
      <c r="S80" s="73">
        <f>IF(B80="",0,P80*R80)</f>
        <v>5.9355956070388568</v>
      </c>
      <c r="T80" s="85">
        <f>IF(B80="",0,IF(OR(H80=MappingTables!$C$34,H80=MappingTables!$C$35),S80,0))</f>
        <v>0</v>
      </c>
    </row>
    <row r="81" spans="2:20" s="0" customFormat="0" ht="15">
      <c r="B81" s="69" t="s">
        <v>3421</v>
      </c>
      <c r="C81" s="70" t="s">
        <v>3422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198</v>
      </c>
      <c r="J81" s="71" t="str">
        <f>IF(OR(I81=0,I81=""),"unrated",VLOOKUP(I81,MappingTables!$B$19:$C$31,2,FALSE))</f>
        <v>unrated</v>
      </c>
      <c r="K81" s="72">
        <v>16434.778968142892</v>
      </c>
      <c r="L81" s="70">
        <v>9.7473899237502816</v>
      </c>
      <c r="M81" s="71">
        <f>IF(L81&lt;1,1,L81)</f>
        <v>9.7473899237502816</v>
      </c>
      <c r="N81" s="70" t="s">
        <v>3288</v>
      </c>
      <c r="O81" s="71">
        <f>IF(OR(I81=$A$1,I81=0),"",IF(N81=MappingTables!$C$14,VLOOKUP(J81,ModelParameters!$M$8:$N$15,2,FALSE),IF(N81=MappingTables!$C$16,VLOOKUP(J81,ModelParameters!$P$8:$Q$15,2,FALSE),0)))</f>
        <v>1</v>
      </c>
      <c r="P81" s="73">
        <f>IF(OR(I81=0,I81=$A$1),0,MIN(O81*M81,1)*K81)</f>
        <v>16434.778968142892</v>
      </c>
      <c r="Q81" s="73">
        <f>IF(B81="",0,IF(OR(H81=MappingTables!$C$34,H81=MappingTables!$C$35),P81,0))</f>
        <v>0</v>
      </c>
      <c r="R81" s="73">
        <f>IF(ISNA(IF(AND(VLOOKUP(CONCATENATE($D81,$G81),CSRFinput!$B:$E,4,0)=0,OR(H81=MappingTables!$C$31,H81=MappingTables!$C$32)),1,VLOOKUP(CONCATENATE($D81,$G81),CSRFinput!$B:$E,4,0))),0,IF(AND(VLOOKUP(CONCATENATE($D81,$G81),CSRFinput!$B:$E,4,0)=0,OR(H81=MappingTables!$C$31,H81=MappingTables!$C$32)),1,VLOOKUP(CONCATENATE($D81,$G81),CSRFinput!$B:$E,4,0)))</f>
        <v>0.054776304963434752</v>
      </c>
      <c r="S81" s="73">
        <f>IF(B81="",0,P81*R81)</f>
        <v>900.23646476563856</v>
      </c>
      <c r="T81" s="85">
        <f>IF(B81="",0,IF(OR(H81=MappingTables!$C$34,H81=MappingTables!$C$35),S81,0))</f>
        <v>0</v>
      </c>
    </row>
    <row r="82" spans="2:20" s="0" customFormat="0" ht="15">
      <c r="B82" s="69" t="s">
        <v>3423</v>
      </c>
      <c r="C82" s="70" t="s">
        <v>3424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3298</v>
      </c>
      <c r="J82" s="71">
        <f>IF(OR(I82=0,I82=""),"unrated",VLOOKUP(I82,MappingTables!$B$19:$C$31,2,FALSE))</f>
        <v>6</v>
      </c>
      <c r="K82" s="72">
        <v>63.943514068154624</v>
      </c>
      <c r="L82" s="70">
        <v>1.6539997623069688</v>
      </c>
      <c r="M82" s="71">
        <f>IF(L82&lt;1,1,L82)</f>
        <v>1.6539997623069688</v>
      </c>
      <c r="N82" s="70" t="s">
        <v>3288</v>
      </c>
      <c r="O82" s="71">
        <f>IF(OR(I82=$A$1,I82=0),"",IF(N82=MappingTables!$C$14,VLOOKUP(J82,ModelParameters!$M$8:$N$15,2,FALSE),IF(N82=MappingTables!$C$16,VLOOKUP(J82,ModelParameters!$P$8:$Q$15,2,FALSE),0)))</f>
        <v>1</v>
      </c>
      <c r="P82" s="73">
        <f>IF(OR(I82=0,I82=$A$1),0,MIN(O82*M82,1)*K82)</f>
        <v>63.943514068154624</v>
      </c>
      <c r="Q82" s="73">
        <f>IF(B82="",0,IF(OR(H82=MappingTables!$C$34,H82=MappingTables!$C$35),P82,0))</f>
        <v>0</v>
      </c>
      <c r="R82" s="73">
        <f>IF(ISNA(IF(AND(VLOOKUP(CONCATENATE($D82,$G82),CSRFinput!$B:$E,4,0)=0,OR(H82=MappingTables!$C$31,H82=MappingTables!$C$32)),1,VLOOKUP(CONCATENATE($D82,$G82),CSRFinput!$B:$E,4,0))),0,IF(AND(VLOOKUP(CONCATENATE($D82,$G82),CSRFinput!$B:$E,4,0)=0,OR(H82=MappingTables!$C$31,H82=MappingTables!$C$32)),1,VLOOKUP(CONCATENATE($D82,$G82),CSRFinput!$B:$E,4,0)))</f>
        <v>0.054776304963434752</v>
      </c>
      <c r="S82" s="73">
        <f>IF(B82="",0,P82*R82)</f>
        <v>3.5025894270309176</v>
      </c>
      <c r="T82" s="85">
        <f>IF(B82="",0,IF(OR(H82=MappingTables!$C$34,H82=MappingTables!$C$35),S82,0))</f>
        <v>0</v>
      </c>
    </row>
    <row r="83" spans="2:20" s="0" customFormat="0" ht="15">
      <c r="B83" s="69">
        <v>14111070</v>
      </c>
      <c r="C83" s="70" t="s">
        <v>3425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216</v>
      </c>
      <c r="J83" s="71">
        <f>IF(OR(I83=0,I83=""),"unrated",VLOOKUP(I83,MappingTables!$B$19:$C$31,2,FALSE))</f>
        <v>0</v>
      </c>
      <c r="K83" s="72">
        <v>2626.5437403971444</v>
      </c>
      <c r="L83" s="70">
        <v>0.061572827388755144</v>
      </c>
      <c r="M83" s="71">
        <f>IF(L83&lt;1,1,L83)</f>
        <v>1</v>
      </c>
      <c r="N83" s="70" t="s">
        <v>3288</v>
      </c>
      <c r="O83" s="71">
        <f>IF(OR(I83=$A$1,I83=0),"",IF(N83=MappingTables!$C$14,VLOOKUP(J83,ModelParameters!$M$8:$N$15,2,FALSE),IF(N83=MappingTables!$C$16,VLOOKUP(J83,ModelParameters!$P$8:$Q$15,2,FALSE),0)))</f>
        <v>0.125</v>
      </c>
      <c r="P83" s="73">
        <f>IF(OR(I83=0,I83=$A$1),0,MIN(O83*M83,1)*K83)</f>
        <v>328.31796754964308</v>
      </c>
      <c r="Q83" s="73">
        <f>IF(B83="",0,IF(OR(H83=MappingTables!$C$34,H83=MappingTables!$C$35),P83,0))</f>
        <v>0</v>
      </c>
      <c r="R83" s="73">
        <f>IF(ISNA(IF(AND(VLOOKUP(CONCATENATE($D83,$G83),CSRFinput!$B:$E,4,0)=0,OR(H83=MappingTables!$C$31,H83=MappingTables!$C$32)),1,VLOOKUP(CONCATENATE($D83,$G83),CSRFinput!$B:$E,4,0))),0,IF(AND(VLOOKUP(CONCATENATE($D83,$G83),CSRFinput!$B:$E,4,0)=0,OR(H83=MappingTables!$C$31,H83=MappingTables!$C$32)),1,VLOOKUP(CONCATENATE($D83,$G83),CSRFinput!$B:$E,4,0)))</f>
        <v>0.054776304963434752</v>
      </c>
      <c r="S83" s="73">
        <f>IF(B83="",0,P83*R83)</f>
        <v>17.984045115474324</v>
      </c>
      <c r="T83" s="85">
        <f>IF(B83="",0,IF(OR(H83=MappingTables!$C$34,H83=MappingTables!$C$35),S83,0))</f>
        <v>0</v>
      </c>
    </row>
    <row r="84" spans="2:20" s="0" customFormat="0" ht="15">
      <c r="B84" s="69">
        <v>7065905</v>
      </c>
      <c r="C84" s="70" t="s">
        <v>3426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216</v>
      </c>
      <c r="J84" s="71">
        <f>IF(OR(I84=0,I84=""),"unrated",VLOOKUP(I84,MappingTables!$B$19:$C$31,2,FALSE))</f>
        <v>0</v>
      </c>
      <c r="K84" s="72">
        <v>26.529173174027628</v>
      </c>
      <c r="L84" s="70">
        <v>0.070852116497007096</v>
      </c>
      <c r="M84" s="71">
        <f>IF(L84&lt;1,1,L84)</f>
        <v>1</v>
      </c>
      <c r="N84" s="70" t="s">
        <v>3288</v>
      </c>
      <c r="O84" s="71">
        <f>IF(OR(I84=$A$1,I84=0),"",IF(N84=MappingTables!$C$14,VLOOKUP(J84,ModelParameters!$M$8:$N$15,2,FALSE),IF(N84=MappingTables!$C$16,VLOOKUP(J84,ModelParameters!$P$8:$Q$15,2,FALSE),0)))</f>
        <v>0.125</v>
      </c>
      <c r="P84" s="73">
        <f>IF(OR(I84=0,I84=$A$1),0,MIN(O84*M84,1)*K84)</f>
        <v>3.3161466467534532</v>
      </c>
      <c r="Q84" s="73">
        <f>IF(B84="",0,IF(OR(H84=MappingTables!$C$34,H84=MappingTables!$C$35),P84,0))</f>
        <v>0</v>
      </c>
      <c r="R84" s="73">
        <f>IF(ISNA(IF(AND(VLOOKUP(CONCATENATE($D84,$G84),CSRFinput!$B:$E,4,0)=0,OR(H84=MappingTables!$C$31,H84=MappingTables!$C$32)),1,VLOOKUP(CONCATENATE($D84,$G84),CSRFinput!$B:$E,4,0))),0,IF(AND(VLOOKUP(CONCATENATE($D84,$G84),CSRFinput!$B:$E,4,0)=0,OR(H84=MappingTables!$C$31,H84=MappingTables!$C$32)),1,VLOOKUP(CONCATENATE($D84,$G84),CSRFinput!$B:$E,4,0)))</f>
        <v>0.054776304963434752</v>
      </c>
      <c r="S84" s="73">
        <f>IF(B84="",0,P84*R84)</f>
        <v>0.18164626002603872</v>
      </c>
      <c r="T84" s="85">
        <f>IF(B84="",0,IF(OR(H84=MappingTables!$C$34,H84=MappingTables!$C$35),S84,0))</f>
        <v>0</v>
      </c>
    </row>
    <row r="85" spans="2:20" s="0" customFormat="0" ht="15">
      <c r="B85" s="69">
        <v>22623656</v>
      </c>
      <c r="C85" s="70" t="s">
        <v>3427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198</v>
      </c>
      <c r="J85" s="71" t="str">
        <f>IF(OR(I85=0,I85=""),"unrated",VLOOKUP(I85,MappingTables!$B$19:$C$31,2,FALSE))</f>
        <v>unrated</v>
      </c>
      <c r="K85" s="72">
        <v>110.10255113806</v>
      </c>
      <c r="L85" s="70">
        <v>0.075517004253320176</v>
      </c>
      <c r="M85" s="71">
        <f>IF(L85&lt;1,1,L85)</f>
        <v>1</v>
      </c>
      <c r="N85" s="70" t="s">
        <v>3288</v>
      </c>
      <c r="O85" s="71">
        <f>IF(OR(I85=$A$1,I85=0),"",IF(N85=MappingTables!$C$14,VLOOKUP(J85,ModelParameters!$M$8:$N$15,2,FALSE),IF(N85=MappingTables!$C$16,VLOOKUP(J85,ModelParameters!$P$8:$Q$15,2,FALSE),0)))</f>
        <v>1</v>
      </c>
      <c r="P85" s="73">
        <f>IF(OR(I85=0,I85=$A$1),0,MIN(O85*M85,1)*K85)</f>
        <v>110.10255113806</v>
      </c>
      <c r="Q85" s="73">
        <f>IF(B85="",0,IF(OR(H85=MappingTables!$C$34,H85=MappingTables!$C$35),P85,0))</f>
        <v>0</v>
      </c>
      <c r="R85" s="73">
        <f>IF(ISNA(IF(AND(VLOOKUP(CONCATENATE($D85,$G85),CSRFinput!$B:$E,4,0)=0,OR(H85=MappingTables!$C$31,H85=MappingTables!$C$32)),1,VLOOKUP(CONCATENATE($D85,$G85),CSRFinput!$B:$E,4,0))),0,IF(AND(VLOOKUP(CONCATENATE($D85,$G85),CSRFinput!$B:$E,4,0)=0,OR(H85=MappingTables!$C$31,H85=MappingTables!$C$32)),1,VLOOKUP(CONCATENATE($D85,$G85),CSRFinput!$B:$E,4,0)))</f>
        <v>0.054776304963434752</v>
      </c>
      <c r="S85" s="73">
        <f>IF(B85="",0,P85*R85)</f>
        <v>6.0310109183905448</v>
      </c>
      <c r="T85" s="85">
        <f>IF(B85="",0,IF(OR(H85=MappingTables!$C$34,H85=MappingTables!$C$35),S85,0))</f>
        <v>0</v>
      </c>
    </row>
    <row r="86" spans="2:20" s="0" customFormat="0" ht="15">
      <c r="B86" s="69" t="s">
        <v>3428</v>
      </c>
      <c r="C86" s="70" t="s">
        <v>3429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204</v>
      </c>
      <c r="J86" s="71">
        <f>IF(OR(I86=0,I86=""),"unrated",VLOOKUP(I86,MappingTables!$B$19:$C$31,2,FALSE))</f>
        <v>6</v>
      </c>
      <c r="K86" s="72">
        <v>1093.9045126525326</v>
      </c>
      <c r="L86" s="70">
        <v>0.068494811366500736</v>
      </c>
      <c r="M86" s="71">
        <f>IF(L86&lt;1,1,L86)</f>
        <v>1</v>
      </c>
      <c r="N86" s="70" t="s">
        <v>3288</v>
      </c>
      <c r="O86" s="71">
        <f>IF(OR(I86=$A$1,I86=0),"",IF(N86=MappingTables!$C$14,VLOOKUP(J86,ModelParameters!$M$8:$N$15,2,FALSE),IF(N86=MappingTables!$C$16,VLOOKUP(J86,ModelParameters!$P$8:$Q$15,2,FALSE),0)))</f>
        <v>1</v>
      </c>
      <c r="P86" s="73">
        <f>IF(OR(I86=0,I86=$A$1),0,MIN(O86*M86,1)*K86)</f>
        <v>1093.9045126525326</v>
      </c>
      <c r="Q86" s="73">
        <f>IF(B86="",0,IF(OR(H86=MappingTables!$C$34,H86=MappingTables!$C$35),P86,0))</f>
        <v>0</v>
      </c>
      <c r="R86" s="73">
        <f>IF(ISNA(IF(AND(VLOOKUP(CONCATENATE($D86,$G86),CSRFinput!$B:$E,4,0)=0,OR(H86=MappingTables!$C$31,H86=MappingTables!$C$32)),1,VLOOKUP(CONCATENATE($D86,$G86),CSRFinput!$B:$E,4,0))),0,IF(AND(VLOOKUP(CONCATENATE($D86,$G86),CSRFinput!$B:$E,4,0)=0,OR(H86=MappingTables!$C$31,H86=MappingTables!$C$32)),1,VLOOKUP(CONCATENATE($D86,$G86),CSRFinput!$B:$E,4,0)))</f>
        <v>0.054776304963434752</v>
      </c>
      <c r="S86" s="73">
        <f>IF(B86="",0,P86*R86)</f>
        <v>59.920047185932592</v>
      </c>
      <c r="T86" s="85">
        <f>IF(B86="",0,IF(OR(H86=MappingTables!$C$34,H86=MappingTables!$C$35),S86,0))</f>
        <v>0</v>
      </c>
    </row>
    <row r="87" spans="2:20" s="0" customFormat="0" ht="15">
      <c r="B87" s="69" t="s">
        <v>3430</v>
      </c>
      <c r="C87" s="70" t="s">
        <v>3431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179</v>
      </c>
      <c r="J87" s="71">
        <f>IF(OR(I87=0,I87=""),"unrated",VLOOKUP(I87,MappingTables!$B$19:$C$31,2,FALSE))</f>
        <v>4</v>
      </c>
      <c r="K87" s="72">
        <v>41.259779035391832</v>
      </c>
      <c r="L87" s="70">
        <v>0.068491970615249144</v>
      </c>
      <c r="M87" s="71">
        <f>IF(L87&lt;1,1,L87)</f>
        <v>1</v>
      </c>
      <c r="N87" s="70" t="s">
        <v>3288</v>
      </c>
      <c r="O87" s="71">
        <f>IF(OR(I87=$A$1,I87=0),"",IF(N87=MappingTables!$C$14,VLOOKUP(J87,ModelParameters!$M$8:$N$15,2,FALSE),IF(N87=MappingTables!$C$16,VLOOKUP(J87,ModelParameters!$P$8:$Q$15,2,FALSE),0)))</f>
        <v>0.82</v>
      </c>
      <c r="P87" s="73">
        <f>IF(OR(I87=0,I87=$A$1),0,MIN(O87*M87,1)*K87)</f>
        <v>33.833018809021296</v>
      </c>
      <c r="Q87" s="73">
        <f>IF(B87="",0,IF(OR(H87=MappingTables!$C$34,H87=MappingTables!$C$35),P87,0))</f>
        <v>0</v>
      </c>
      <c r="R87" s="73">
        <f>IF(ISNA(IF(AND(VLOOKUP(CONCATENATE($D87,$G87),CSRFinput!$B:$E,4,0)=0,OR(H87=MappingTables!$C$31,H87=MappingTables!$C$32)),1,VLOOKUP(CONCATENATE($D87,$G87),CSRFinput!$B:$E,4,0))),0,IF(AND(VLOOKUP(CONCATENATE($D87,$G87),CSRFinput!$B:$E,4,0)=0,OR(H87=MappingTables!$C$31,H87=MappingTables!$C$32)),1,VLOOKUP(CONCATENATE($D87,$G87),CSRFinput!$B:$E,4,0)))</f>
        <v>0.054776304963434752</v>
      </c>
      <c r="S87" s="73">
        <f>IF(B87="",0,P87*R87)</f>
        <v>1.8532477561165744</v>
      </c>
      <c r="T87" s="85">
        <f>IF(B87="",0,IF(OR(H87=MappingTables!$C$34,H87=MappingTables!$C$35),S87,0))</f>
        <v>0</v>
      </c>
    </row>
    <row r="88" spans="2:20" s="0" customFormat="0" ht="15">
      <c r="B88" s="69" t="s">
        <v>3432</v>
      </c>
      <c r="C88" s="70" t="s">
        <v>3433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513</v>
      </c>
      <c r="J88" s="71">
        <f>IF(OR(I88=0,I88=""),"unrated",VLOOKUP(I88,MappingTables!$B$19:$C$31,2,FALSE))</f>
        <v>6</v>
      </c>
      <c r="K88" s="72">
        <v>295.65871045074896</v>
      </c>
      <c r="L88" s="70">
        <v>0.068492095815349624</v>
      </c>
      <c r="M88" s="71">
        <f>IF(L88&lt;1,1,L88)</f>
        <v>1</v>
      </c>
      <c r="N88" s="70" t="s">
        <v>3288</v>
      </c>
      <c r="O88" s="71">
        <f>IF(OR(I88=$A$1,I88=0),"",IF(N88=MappingTables!$C$14,VLOOKUP(J88,ModelParameters!$M$8:$N$15,2,FALSE),IF(N88=MappingTables!$C$16,VLOOKUP(J88,ModelParameters!$P$8:$Q$15,2,FALSE),0)))</f>
        <v>1</v>
      </c>
      <c r="P88" s="73">
        <f>IF(OR(I88=0,I88=$A$1),0,MIN(O88*M88,1)*K88)</f>
        <v>295.65871045074896</v>
      </c>
      <c r="Q88" s="73">
        <f>IF(B88="",0,IF(OR(H88=MappingTables!$C$34,H88=MappingTables!$C$35),P88,0))</f>
        <v>0</v>
      </c>
      <c r="R88" s="73">
        <f>IF(ISNA(IF(AND(VLOOKUP(CONCATENATE($D88,$G88),CSRFinput!$B:$E,4,0)=0,OR(H88=MappingTables!$C$31,H88=MappingTables!$C$32)),1,VLOOKUP(CONCATENATE($D88,$G88),CSRFinput!$B:$E,4,0))),0,IF(AND(VLOOKUP(CONCATENATE($D88,$G88),CSRFinput!$B:$E,4,0)=0,OR(H88=MappingTables!$C$31,H88=MappingTables!$C$32)),1,VLOOKUP(CONCATENATE($D88,$G88),CSRFinput!$B:$E,4,0)))</f>
        <v>0.054776304963434752</v>
      </c>
      <c r="S88" s="73">
        <f>IF(B88="",0,P88*R88)</f>
        <v>16.195091688746078</v>
      </c>
      <c r="T88" s="85">
        <f>IF(B88="",0,IF(OR(H88=MappingTables!$C$34,H88=MappingTables!$C$35),S88,0))</f>
        <v>0</v>
      </c>
    </row>
    <row r="89" spans="2:20" s="0" customFormat="0" ht="15">
      <c r="B89" s="69" t="s">
        <v>3434</v>
      </c>
      <c r="C89" s="70" t="s">
        <v>3435</v>
      </c>
      <c r="D89" s="70" t="s">
        <v>1</v>
      </c>
      <c r="E89" s="70" t="s">
        <v>1</v>
      </c>
      <c r="F89" s="70"/>
      <c r="G89" s="70" t="s">
        <v>61</v>
      </c>
      <c r="H89" s="70" t="s">
        <v>178</v>
      </c>
      <c r="I89" s="70" t="s">
        <v>198</v>
      </c>
      <c r="J89" s="71" t="str">
        <f>IF(OR(I89=0,I89=""),"unrated",VLOOKUP(I89,MappingTables!$B$19:$C$31,2,FALSE))</f>
        <v>unrated</v>
      </c>
      <c r="K89" s="72">
        <v>12.81154278042867</v>
      </c>
      <c r="L89" s="70">
        <v>0.068496292169309736</v>
      </c>
      <c r="M89" s="71">
        <f>IF(L89&lt;1,1,L89)</f>
        <v>1</v>
      </c>
      <c r="N89" s="70" t="s">
        <v>3288</v>
      </c>
      <c r="O89" s="71">
        <f>IF(OR(I89=$A$1,I89=0),"",IF(N89=MappingTables!$C$14,VLOOKUP(J89,ModelParameters!$M$8:$N$15,2,FALSE),IF(N89=MappingTables!$C$16,VLOOKUP(J89,ModelParameters!$P$8:$Q$15,2,FALSE),0)))</f>
        <v>1</v>
      </c>
      <c r="P89" s="73">
        <f>IF(OR(I89=0,I89=$A$1),0,MIN(O89*M89,1)*K89)</f>
        <v>12.81154278042867</v>
      </c>
      <c r="Q89" s="73">
        <f>IF(B89="",0,IF(OR(H89=MappingTables!$C$34,H89=MappingTables!$C$35),P89,0))</f>
        <v>0</v>
      </c>
      <c r="R89" s="73">
        <f>IF(ISNA(IF(AND(VLOOKUP(CONCATENATE($D89,$G89),CSRFinput!$B:$E,4,0)=0,OR(H89=MappingTables!$C$31,H89=MappingTables!$C$32)),1,VLOOKUP(CONCATENATE($D89,$G89),CSRFinput!$B:$E,4,0))),0,IF(AND(VLOOKUP(CONCATENATE($D89,$G89),CSRFinput!$B:$E,4,0)=0,OR(H89=MappingTables!$C$31,H89=MappingTables!$C$32)),1,VLOOKUP(CONCATENATE($D89,$G89),CSRFinput!$B:$E,4,0)))</f>
        <v>0.054776304963434752</v>
      </c>
      <c r="S89" s="73">
        <f>IF(B89="",0,P89*R89)</f>
        <v>0.70176897439285168</v>
      </c>
      <c r="T89" s="85">
        <f>IF(B89="",0,IF(OR(H89=MappingTables!$C$34,H89=MappingTables!$C$35),S89,0))</f>
        <v>0</v>
      </c>
    </row>
    <row r="90" spans="2:20" s="0" customFormat="0" ht="15">
      <c r="B90" s="69" t="s">
        <v>3436</v>
      </c>
      <c r="C90" s="70" t="s">
        <v>3437</v>
      </c>
      <c r="D90" s="70" t="s">
        <v>1</v>
      </c>
      <c r="E90" s="70" t="s">
        <v>1</v>
      </c>
      <c r="F90" s="70"/>
      <c r="G90" s="70" t="s">
        <v>61</v>
      </c>
      <c r="H90" s="70" t="s">
        <v>178</v>
      </c>
      <c r="I90" s="70" t="s">
        <v>3291</v>
      </c>
      <c r="J90" s="71">
        <f>IF(OR(I90=0,I90=""),"unrated",VLOOKUP(I90,MappingTables!$B$19:$C$31,2,FALSE))</f>
        <v>6</v>
      </c>
      <c r="K90" s="72">
        <v>63.773917157176296</v>
      </c>
      <c r="L90" s="70">
        <v>0.3176462026477606</v>
      </c>
      <c r="M90" s="71">
        <f>IF(L90&lt;1,1,L90)</f>
        <v>1</v>
      </c>
      <c r="N90" s="70" t="s">
        <v>3288</v>
      </c>
      <c r="O90" s="71">
        <f>IF(OR(I90=$A$1,I90=0),"",IF(N90=MappingTables!$C$14,VLOOKUP(J90,ModelParameters!$M$8:$N$15,2,FALSE),IF(N90=MappingTables!$C$16,VLOOKUP(J90,ModelParameters!$P$8:$Q$15,2,FALSE),0)))</f>
        <v>1</v>
      </c>
      <c r="P90" s="73">
        <f>IF(OR(I90=0,I90=$A$1),0,MIN(O90*M90,1)*K90)</f>
        <v>63.773917157176296</v>
      </c>
      <c r="Q90" s="73">
        <f>IF(B90="",0,IF(OR(H90=MappingTables!$C$34,H90=MappingTables!$C$35),P90,0))</f>
        <v>0</v>
      </c>
      <c r="R90" s="73">
        <f>IF(ISNA(IF(AND(VLOOKUP(CONCATENATE($D90,$G90),CSRFinput!$B:$E,4,0)=0,OR(H90=MappingTables!$C$31,H90=MappingTables!$C$32)),1,VLOOKUP(CONCATENATE($D90,$G90),CSRFinput!$B:$E,4,0))),0,IF(AND(VLOOKUP(CONCATENATE($D90,$G90),CSRFinput!$B:$E,4,0)=0,OR(H90=MappingTables!$C$31,H90=MappingTables!$C$32)),1,VLOOKUP(CONCATENATE($D90,$G90),CSRFinput!$B:$E,4,0)))</f>
        <v>0.054776304963434752</v>
      </c>
      <c r="S90" s="73">
        <f>IF(B90="",0,P90*R90)</f>
        <v>3.4932995349143124</v>
      </c>
      <c r="T90" s="85">
        <f>IF(B90="",0,IF(OR(H90=MappingTables!$C$34,H90=MappingTables!$C$35),S90,0))</f>
        <v>0</v>
      </c>
    </row>
    <row r="91" spans="2:20" s="0" customFormat="0" ht="15">
      <c r="B91" s="69" t="s">
        <v>3438</v>
      </c>
      <c r="C91" s="70" t="s">
        <v>3439</v>
      </c>
      <c r="D91" s="70" t="s">
        <v>1</v>
      </c>
      <c r="E91" s="70" t="s">
        <v>1</v>
      </c>
      <c r="F91" s="70"/>
      <c r="G91" s="70" t="s">
        <v>61</v>
      </c>
      <c r="H91" s="70" t="s">
        <v>178</v>
      </c>
      <c r="I91" s="70" t="s">
        <v>204</v>
      </c>
      <c r="J91" s="71">
        <f>IF(OR(I91=0,I91=""),"unrated",VLOOKUP(I91,MappingTables!$B$19:$C$31,2,FALSE))</f>
        <v>6</v>
      </c>
      <c r="K91" s="72">
        <v>250.88015094482528</v>
      </c>
      <c r="L91" s="70">
        <v>0.068492801525948816</v>
      </c>
      <c r="M91" s="71">
        <f>IF(L91&lt;1,1,L91)</f>
        <v>1</v>
      </c>
      <c r="N91" s="70" t="s">
        <v>3288</v>
      </c>
      <c r="O91" s="71">
        <f>IF(OR(I91=$A$1,I91=0),"",IF(N91=MappingTables!$C$14,VLOOKUP(J91,ModelParameters!$M$8:$N$15,2,FALSE),IF(N91=MappingTables!$C$16,VLOOKUP(J91,ModelParameters!$P$8:$Q$15,2,FALSE),0)))</f>
        <v>1</v>
      </c>
      <c r="P91" s="73">
        <f>IF(OR(I91=0,I91=$A$1),0,MIN(O91*M91,1)*K91)</f>
        <v>250.88015094482528</v>
      </c>
      <c r="Q91" s="73">
        <f>IF(B91="",0,IF(OR(H91=MappingTables!$C$34,H91=MappingTables!$C$35),P91,0))</f>
        <v>0</v>
      </c>
      <c r="R91" s="73">
        <f>IF(ISNA(IF(AND(VLOOKUP(CONCATENATE($D91,$G91),CSRFinput!$B:$E,4,0)=0,OR(H91=MappingTables!$C$31,H91=MappingTables!$C$32)),1,VLOOKUP(CONCATENATE($D91,$G91),CSRFinput!$B:$E,4,0))),0,IF(AND(VLOOKUP(CONCATENATE($D91,$G91),CSRFinput!$B:$E,4,0)=0,OR(H91=MappingTables!$C$31,H91=MappingTables!$C$32)),1,VLOOKUP(CONCATENATE($D91,$G91),CSRFinput!$B:$E,4,0)))</f>
        <v>0.054776304963434752</v>
      </c>
      <c r="S91" s="73">
        <f>IF(B91="",0,P91*R91)</f>
        <v>13.742287657426292</v>
      </c>
      <c r="T91" s="85">
        <f>IF(B91="",0,IF(OR(H91=MappingTables!$C$34,H91=MappingTables!$C$35),S91,0))</f>
        <v>0</v>
      </c>
    </row>
    <row r="92" spans="2:20" s="0" customFormat="0" ht="15">
      <c r="B92" s="69" t="s">
        <v>3440</v>
      </c>
      <c r="C92" s="70" t="s">
        <v>3441</v>
      </c>
      <c r="D92" s="70" t="s">
        <v>1</v>
      </c>
      <c r="E92" s="70" t="s">
        <v>1</v>
      </c>
      <c r="F92" s="70"/>
      <c r="G92" s="70" t="s">
        <v>61</v>
      </c>
      <c r="H92" s="70" t="s">
        <v>178</v>
      </c>
      <c r="I92" s="70" t="s">
        <v>204</v>
      </c>
      <c r="J92" s="71">
        <f>IF(OR(I92=0,I92=""),"unrated",VLOOKUP(I92,MappingTables!$B$19:$C$31,2,FALSE))</f>
        <v>6</v>
      </c>
      <c r="K92" s="72">
        <v>135.49806383081088</v>
      </c>
      <c r="L92" s="70">
        <v>0.068496864919580192</v>
      </c>
      <c r="M92" s="71">
        <f>IF(L92&lt;1,1,L92)</f>
        <v>1</v>
      </c>
      <c r="N92" s="70" t="s">
        <v>3288</v>
      </c>
      <c r="O92" s="71">
        <f>IF(OR(I92=$A$1,I92=0),"",IF(N92=MappingTables!$C$14,VLOOKUP(J92,ModelParameters!$M$8:$N$15,2,FALSE),IF(N92=MappingTables!$C$16,VLOOKUP(J92,ModelParameters!$P$8:$Q$15,2,FALSE),0)))</f>
        <v>1</v>
      </c>
      <c r="P92" s="73">
        <f>IF(OR(I92=0,I92=$A$1),0,MIN(O92*M92,1)*K92)</f>
        <v>135.49806383081088</v>
      </c>
      <c r="Q92" s="73">
        <f>IF(B92="",0,IF(OR(H92=MappingTables!$C$34,H92=MappingTables!$C$35),P92,0))</f>
        <v>0</v>
      </c>
      <c r="R92" s="73">
        <f>IF(ISNA(IF(AND(VLOOKUP(CONCATENATE($D92,$G92),CSRFinput!$B:$E,4,0)=0,OR(H92=MappingTables!$C$31,H92=MappingTables!$C$32)),1,VLOOKUP(CONCATENATE($D92,$G92),CSRFinput!$B:$E,4,0))),0,IF(AND(VLOOKUP(CONCATENATE($D92,$G92),CSRFinput!$B:$E,4,0)=0,OR(H92=MappingTables!$C$31,H92=MappingTables!$C$32)),1,VLOOKUP(CONCATENATE($D92,$G92),CSRFinput!$B:$E,4,0)))</f>
        <v>0.054776304963434752</v>
      </c>
      <c r="S92" s="73">
        <f>IF(B92="",0,P92*R92)</f>
        <v>7.4220832663514448</v>
      </c>
      <c r="T92" s="85">
        <f>IF(B92="",0,IF(OR(H92=MappingTables!$C$34,H92=MappingTables!$C$35),S92,0))</f>
        <v>0</v>
      </c>
    </row>
    <row r="93" spans="2:20" s="0" customFormat="0" ht="15">
      <c r="B93" s="69" t="s">
        <v>3442</v>
      </c>
      <c r="C93" s="70" t="s">
        <v>3443</v>
      </c>
      <c r="D93" s="70" t="s">
        <v>1</v>
      </c>
      <c r="E93" s="70" t="s">
        <v>1</v>
      </c>
      <c r="F93" s="70"/>
      <c r="G93" s="70" t="s">
        <v>61</v>
      </c>
      <c r="H93" s="70" t="s">
        <v>178</v>
      </c>
      <c r="I93" s="70" t="s">
        <v>3298</v>
      </c>
      <c r="J93" s="71">
        <f>IF(OR(I93=0,I93=""),"unrated",VLOOKUP(I93,MappingTables!$B$19:$C$31,2,FALSE))</f>
        <v>6</v>
      </c>
      <c r="K93" s="72">
        <v>891.63601416715344</v>
      </c>
      <c r="L93" s="70">
        <v>0.06849742723285644</v>
      </c>
      <c r="M93" s="71">
        <f>IF(L93&lt;1,1,L93)</f>
        <v>1</v>
      </c>
      <c r="N93" s="70" t="s">
        <v>3288</v>
      </c>
      <c r="O93" s="71">
        <f>IF(OR(I93=$A$1,I93=0),"",IF(N93=MappingTables!$C$14,VLOOKUP(J93,ModelParameters!$M$8:$N$15,2,FALSE),IF(N93=MappingTables!$C$16,VLOOKUP(J93,ModelParameters!$P$8:$Q$15,2,FALSE),0)))</f>
        <v>1</v>
      </c>
      <c r="P93" s="73">
        <f>IF(OR(I93=0,I93=$A$1),0,MIN(O93*M93,1)*K93)</f>
        <v>891.63601416715344</v>
      </c>
      <c r="Q93" s="73">
        <f>IF(B93="",0,IF(OR(H93=MappingTables!$C$34,H93=MappingTables!$C$35),P93,0))</f>
        <v>0</v>
      </c>
      <c r="R93" s="73">
        <f>IF(ISNA(IF(AND(VLOOKUP(CONCATENATE($D93,$G93),CSRFinput!$B:$E,4,0)=0,OR(H93=MappingTables!$C$31,H93=MappingTables!$C$32)),1,VLOOKUP(CONCATENATE($D93,$G93),CSRFinput!$B:$E,4,0))),0,IF(AND(VLOOKUP(CONCATENATE($D93,$G93),CSRFinput!$B:$E,4,0)=0,OR(H93=MappingTables!$C$31,H93=MappingTables!$C$32)),1,VLOOKUP(CONCATENATE($D93,$G93),CSRFinput!$B:$E,4,0)))</f>
        <v>0.054776304963434752</v>
      </c>
      <c r="S93" s="73">
        <f>IF(B93="",0,P93*R93)</f>
        <v>48.840526228401432</v>
      </c>
      <c r="T93" s="85">
        <f>IF(B93="",0,IF(OR(H93=MappingTables!$C$34,H93=MappingTables!$C$35),S93,0))</f>
        <v>0</v>
      </c>
    </row>
    <row r="94" spans="2:20" s="0" customFormat="0" ht="15">
      <c r="B94" s="69">
        <v>19863506</v>
      </c>
      <c r="C94" s="70" t="s">
        <v>3444</v>
      </c>
      <c r="D94" s="70" t="s">
        <v>1</v>
      </c>
      <c r="E94" s="70" t="s">
        <v>1</v>
      </c>
      <c r="F94" s="70"/>
      <c r="G94" s="70" t="s">
        <v>61</v>
      </c>
      <c r="H94" s="70" t="s">
        <v>178</v>
      </c>
      <c r="I94" s="70" t="s">
        <v>216</v>
      </c>
      <c r="J94" s="71">
        <f>IF(OR(I94=0,I94=""),"unrated",VLOOKUP(I94,MappingTables!$B$19:$C$31,2,FALSE))</f>
        <v>0</v>
      </c>
      <c r="K94" s="72">
        <v>136.97054343690726</v>
      </c>
      <c r="L94" s="70">
        <v>0.025774898001120992</v>
      </c>
      <c r="M94" s="71">
        <f>IF(L94&lt;1,1,L94)</f>
        <v>1</v>
      </c>
      <c r="N94" s="70" t="s">
        <v>3288</v>
      </c>
      <c r="O94" s="71">
        <f>IF(OR(I94=$A$1,I94=0),"",IF(N94=MappingTables!$C$14,VLOOKUP(J94,ModelParameters!$M$8:$N$15,2,FALSE),IF(N94=MappingTables!$C$16,VLOOKUP(J94,ModelParameters!$P$8:$Q$15,2,FALSE),0)))</f>
        <v>0.125</v>
      </c>
      <c r="P94" s="73">
        <f>IF(OR(I94=0,I94=$A$1),0,MIN(O94*M94,1)*K94)</f>
        <v>17.121317929613408</v>
      </c>
      <c r="Q94" s="73">
        <f>IF(B94="",0,IF(OR(H94=MappingTables!$C$34,H94=MappingTables!$C$35),P94,0))</f>
        <v>0</v>
      </c>
      <c r="R94" s="73">
        <f>IF(ISNA(IF(AND(VLOOKUP(CONCATENATE($D94,$G94),CSRFinput!$B:$E,4,0)=0,OR(H94=MappingTables!$C$31,H94=MappingTables!$C$32)),1,VLOOKUP(CONCATENATE($D94,$G94),CSRFinput!$B:$E,4,0))),0,IF(AND(VLOOKUP(CONCATENATE($D94,$G94),CSRFinput!$B:$E,4,0)=0,OR(H94=MappingTables!$C$31,H94=MappingTables!$C$32)),1,VLOOKUP(CONCATENATE($D94,$G94),CSRFinput!$B:$E,4,0)))</f>
        <v>0.054776304963434752</v>
      </c>
      <c r="S94" s="73">
        <f>IF(B94="",0,P94*R94)</f>
        <v>0.93784253228842736</v>
      </c>
      <c r="T94" s="85">
        <f>IF(B94="",0,IF(OR(H94=MappingTables!$C$34,H94=MappingTables!$C$35),S94,0))</f>
        <v>0</v>
      </c>
    </row>
    <row r="95" spans="2:20" s="0" customFormat="0" ht="15">
      <c r="B95" s="69" t="s">
        <v>3445</v>
      </c>
      <c r="C95" s="70" t="s">
        <v>3446</v>
      </c>
      <c r="D95" s="70" t="s">
        <v>1</v>
      </c>
      <c r="E95" s="70" t="s">
        <v>1</v>
      </c>
      <c r="F95" s="70"/>
      <c r="G95" s="70" t="s">
        <v>61</v>
      </c>
      <c r="H95" s="70" t="s">
        <v>178</v>
      </c>
      <c r="I95" s="70" t="s">
        <v>198</v>
      </c>
      <c r="J95" s="71" t="str">
        <f>IF(OR(I95=0,I95=""),"unrated",VLOOKUP(I95,MappingTables!$B$19:$C$31,2,FALSE))</f>
        <v>unrated</v>
      </c>
      <c r="K95" s="72">
        <v>18.363464153295792</v>
      </c>
      <c r="L95" s="70">
        <v>0.95293979825494064</v>
      </c>
      <c r="M95" s="71">
        <f>IF(L95&lt;1,1,L95)</f>
        <v>1</v>
      </c>
      <c r="N95" s="70" t="s">
        <v>3288</v>
      </c>
      <c r="O95" s="71">
        <f>IF(OR(I95=$A$1,I95=0),"",IF(N95=MappingTables!$C$14,VLOOKUP(J95,ModelParameters!$M$8:$N$15,2,FALSE),IF(N95=MappingTables!$C$16,VLOOKUP(J95,ModelParameters!$P$8:$Q$15,2,FALSE),0)))</f>
        <v>1</v>
      </c>
      <c r="P95" s="73">
        <f>IF(OR(I95=0,I95=$A$1),0,MIN(O95*M95,1)*K95)</f>
        <v>18.363464153295792</v>
      </c>
      <c r="Q95" s="73">
        <f>IF(B95="",0,IF(OR(H95=MappingTables!$C$34,H95=MappingTables!$C$35),P95,0))</f>
        <v>0</v>
      </c>
      <c r="R95" s="73">
        <f>IF(ISNA(IF(AND(VLOOKUP(CONCATENATE($D95,$G95),CSRFinput!$B:$E,4,0)=0,OR(H95=MappingTables!$C$31,H95=MappingTables!$C$32)),1,VLOOKUP(CONCATENATE($D95,$G95),CSRFinput!$B:$E,4,0))),0,IF(AND(VLOOKUP(CONCATENATE($D95,$G95),CSRFinput!$B:$E,4,0)=0,OR(H95=MappingTables!$C$31,H95=MappingTables!$C$32)),1,VLOOKUP(CONCATENATE($D95,$G95),CSRFinput!$B:$E,4,0)))</f>
        <v>0.054776304963434752</v>
      </c>
      <c r="S95" s="73">
        <f>IF(B95="",0,P95*R95)</f>
        <v>1.0058827126460324</v>
      </c>
      <c r="T95" s="85">
        <f>IF(B95="",0,IF(OR(H95=MappingTables!$C$34,H95=MappingTables!$C$35),S95,0))</f>
        <v>0</v>
      </c>
    </row>
    <row r="96" spans="2:20" s="0" customFormat="0" ht="15">
      <c r="B96" s="69" t="s">
        <v>3447</v>
      </c>
      <c r="C96" s="70" t="s">
        <v>3448</v>
      </c>
      <c r="D96" s="70" t="s">
        <v>1</v>
      </c>
      <c r="E96" s="70" t="s">
        <v>1</v>
      </c>
      <c r="F96" s="70"/>
      <c r="G96" s="70" t="s">
        <v>61</v>
      </c>
      <c r="H96" s="70" t="s">
        <v>178</v>
      </c>
      <c r="I96" s="70" t="s">
        <v>198</v>
      </c>
      <c r="J96" s="71" t="str">
        <f>IF(OR(I96=0,I96=""),"unrated",VLOOKUP(I96,MappingTables!$B$19:$C$31,2,FALSE))</f>
        <v>unrated</v>
      </c>
      <c r="K96" s="72">
        <v>1.4516679605880738</v>
      </c>
      <c r="L96" s="70">
        <v>43.423717865908792</v>
      </c>
      <c r="M96" s="71">
        <f>IF(L96&lt;1,1,L96)</f>
        <v>43.423717865908792</v>
      </c>
      <c r="N96" s="70" t="s">
        <v>3288</v>
      </c>
      <c r="O96" s="71">
        <f>IF(OR(I96=$A$1,I96=0),"",IF(N96=MappingTables!$C$14,VLOOKUP(J96,ModelParameters!$M$8:$N$15,2,FALSE),IF(N96=MappingTables!$C$16,VLOOKUP(J96,ModelParameters!$P$8:$Q$15,2,FALSE),0)))</f>
        <v>1</v>
      </c>
      <c r="P96" s="73">
        <f>IF(OR(I96=0,I96=$A$1),0,MIN(O96*M96,1)*K96)</f>
        <v>1.4516679605880738</v>
      </c>
      <c r="Q96" s="73">
        <f>IF(B96="",0,IF(OR(H96=MappingTables!$C$34,H96=MappingTables!$C$35),P96,0))</f>
        <v>0</v>
      </c>
      <c r="R96" s="73">
        <f>IF(ISNA(IF(AND(VLOOKUP(CONCATENATE($D96,$G96),CSRFinput!$B:$E,4,0)=0,OR(H96=MappingTables!$C$31,H96=MappingTables!$C$32)),1,VLOOKUP(CONCATENATE($D96,$G96),CSRFinput!$B:$E,4,0))),0,IF(AND(VLOOKUP(CONCATENATE($D96,$G96),CSRFinput!$B:$E,4,0)=0,OR(H96=MappingTables!$C$31,H96=MappingTables!$C$32)),1,VLOOKUP(CONCATENATE($D96,$G96),CSRFinput!$B:$E,4,0)))</f>
        <v>0.054776304963434752</v>
      </c>
      <c r="S96" s="73">
        <f>IF(B96="",0,P96*R96)</f>
        <v>0.079517006914819712</v>
      </c>
      <c r="T96" s="85">
        <f>IF(B96="",0,IF(OR(H96=MappingTables!$C$34,H96=MappingTables!$C$35),S96,0))</f>
        <v>0</v>
      </c>
    </row>
    <row r="97" spans="2:20" s="0" customFormat="0" ht="15">
      <c r="B97" s="69" t="s">
        <v>3449</v>
      </c>
      <c r="C97" s="70" t="s">
        <v>3450</v>
      </c>
      <c r="D97" s="70" t="s">
        <v>1</v>
      </c>
      <c r="E97" s="70" t="s">
        <v>1</v>
      </c>
      <c r="F97" s="70"/>
      <c r="G97" s="70" t="s">
        <v>61</v>
      </c>
      <c r="H97" s="70" t="s">
        <v>178</v>
      </c>
      <c r="I97" s="70" t="s">
        <v>198</v>
      </c>
      <c r="J97" s="71" t="str">
        <f>IF(OR(I97=0,I97=""),"unrated",VLOOKUP(I97,MappingTables!$B$19:$C$31,2,FALSE))</f>
        <v>unrated</v>
      </c>
      <c r="K97" s="72">
        <v>18.187415701781932</v>
      </c>
      <c r="L97" s="70">
        <v>0.068496290067655312</v>
      </c>
      <c r="M97" s="71">
        <f>IF(L97&lt;1,1,L97)</f>
        <v>1</v>
      </c>
      <c r="N97" s="70" t="s">
        <v>3288</v>
      </c>
      <c r="O97" s="71">
        <f>IF(OR(I97=$A$1,I97=0),"",IF(N97=MappingTables!$C$14,VLOOKUP(J97,ModelParameters!$M$8:$N$15,2,FALSE),IF(N97=MappingTables!$C$16,VLOOKUP(J97,ModelParameters!$P$8:$Q$15,2,FALSE),0)))</f>
        <v>1</v>
      </c>
      <c r="P97" s="73">
        <f>IF(OR(I97=0,I97=$A$1),0,MIN(O97*M97,1)*K97)</f>
        <v>18.187415701781932</v>
      </c>
      <c r="Q97" s="73">
        <f>IF(B97="",0,IF(OR(H97=MappingTables!$C$34,H97=MappingTables!$C$35),P97,0))</f>
        <v>0</v>
      </c>
      <c r="R97" s="73">
        <f>IF(ISNA(IF(AND(VLOOKUP(CONCATENATE($D97,$G97),CSRFinput!$B:$E,4,0)=0,OR(H97=MappingTables!$C$31,H97=MappingTables!$C$32)),1,VLOOKUP(CONCATENATE($D97,$G97),CSRFinput!$B:$E,4,0))),0,IF(AND(VLOOKUP(CONCATENATE($D97,$G97),CSRFinput!$B:$E,4,0)=0,OR(H97=MappingTables!$C$31,H97=MappingTables!$C$32)),1,VLOOKUP(CONCATENATE($D97,$G97),CSRFinput!$B:$E,4,0)))</f>
        <v>0.054776304963434752</v>
      </c>
      <c r="S97" s="73">
        <f>IF(B97="",0,P97*R97)</f>
        <v>0.99623942897756896</v>
      </c>
      <c r="T97" s="85">
        <f>IF(B97="",0,IF(OR(H97=MappingTables!$C$34,H97=MappingTables!$C$35),S97,0))</f>
        <v>0</v>
      </c>
    </row>
    <row r="98" spans="2:20" s="0" customFormat="0" ht="15">
      <c r="B98" s="69">
        <v>14504641</v>
      </c>
      <c r="C98" s="70" t="s">
        <v>3451</v>
      </c>
      <c r="D98" s="70" t="s">
        <v>1</v>
      </c>
      <c r="E98" s="70" t="s">
        <v>1</v>
      </c>
      <c r="F98" s="70"/>
      <c r="G98" s="70" t="s">
        <v>61</v>
      </c>
      <c r="H98" s="70" t="s">
        <v>178</v>
      </c>
      <c r="I98" s="70" t="s">
        <v>216</v>
      </c>
      <c r="J98" s="71">
        <f>IF(OR(I98=0,I98=""),"unrated",VLOOKUP(I98,MappingTables!$B$19:$C$31,2,FALSE))</f>
        <v>0</v>
      </c>
      <c r="K98" s="72">
        <v>7.0943885896213256</v>
      </c>
      <c r="L98" s="70">
        <v>0.070429216715798032</v>
      </c>
      <c r="M98" s="71">
        <f>IF(L98&lt;1,1,L98)</f>
        <v>1</v>
      </c>
      <c r="N98" s="70" t="s">
        <v>3288</v>
      </c>
      <c r="O98" s="71">
        <f>IF(OR(I98=$A$1,I98=0),"",IF(N98=MappingTables!$C$14,VLOOKUP(J98,ModelParameters!$M$8:$N$15,2,FALSE),IF(N98=MappingTables!$C$16,VLOOKUP(J98,ModelParameters!$P$8:$Q$15,2,FALSE),0)))</f>
        <v>0.125</v>
      </c>
      <c r="P98" s="73">
        <f>IF(OR(I98=0,I98=$A$1),0,MIN(O98*M98,1)*K98)</f>
        <v>0.88679857370266576</v>
      </c>
      <c r="Q98" s="73">
        <f>IF(B98="",0,IF(OR(H98=MappingTables!$C$34,H98=MappingTables!$C$35),P98,0))</f>
        <v>0</v>
      </c>
      <c r="R98" s="73">
        <f>IF(ISNA(IF(AND(VLOOKUP(CONCATENATE($D98,$G98),CSRFinput!$B:$E,4,0)=0,OR(H98=MappingTables!$C$31,H98=MappingTables!$C$32)),1,VLOOKUP(CONCATENATE($D98,$G98),CSRFinput!$B:$E,4,0))),0,IF(AND(VLOOKUP(CONCATENATE($D98,$G98),CSRFinput!$B:$E,4,0)=0,OR(H98=MappingTables!$C$31,H98=MappingTables!$C$32)),1,VLOOKUP(CONCATENATE($D98,$G98),CSRFinput!$B:$E,4,0)))</f>
        <v>0.054776304963434752</v>
      </c>
      <c r="S98" s="73">
        <f>IF(B98="",0,P98*R98)</f>
        <v>0.048575549114276192</v>
      </c>
      <c r="T98" s="85">
        <f>IF(B98="",0,IF(OR(H98=MappingTables!$C$34,H98=MappingTables!$C$35),S98,0))</f>
        <v>0</v>
      </c>
    </row>
    <row r="99" spans="2:20" s="0" customFormat="0" ht="15">
      <c r="B99" s="69" t="s">
        <v>3452</v>
      </c>
      <c r="C99" s="70" t="s">
        <v>3453</v>
      </c>
      <c r="D99" s="70" t="s">
        <v>1</v>
      </c>
      <c r="E99" s="70" t="s">
        <v>1</v>
      </c>
      <c r="F99" s="70"/>
      <c r="G99" s="70" t="s">
        <v>61</v>
      </c>
      <c r="H99" s="70" t="s">
        <v>178</v>
      </c>
      <c r="I99" s="70" t="s">
        <v>204</v>
      </c>
      <c r="J99" s="71">
        <f>IF(OR(I99=0,I99=""),"unrated",VLOOKUP(I99,MappingTables!$B$19:$C$31,2,FALSE))</f>
        <v>6</v>
      </c>
      <c r="K99" s="72">
        <v>179.0706594723587</v>
      </c>
      <c r="L99" s="70">
        <v>0.067075866525774864</v>
      </c>
      <c r="M99" s="71">
        <f>IF(L99&lt;1,1,L99)</f>
        <v>1</v>
      </c>
      <c r="N99" s="70" t="s">
        <v>3288</v>
      </c>
      <c r="O99" s="71">
        <f>IF(OR(I99=$A$1,I99=0),"",IF(N99=MappingTables!$C$14,VLOOKUP(J99,ModelParameters!$M$8:$N$15,2,FALSE),IF(N99=MappingTables!$C$16,VLOOKUP(J99,ModelParameters!$P$8:$Q$15,2,FALSE),0)))</f>
        <v>1</v>
      </c>
      <c r="P99" s="73">
        <f>IF(OR(I99=0,I99=$A$1),0,MIN(O99*M99,1)*K99)</f>
        <v>179.0706594723587</v>
      </c>
      <c r="Q99" s="73">
        <f>IF(B99="",0,IF(OR(H99=MappingTables!$C$34,H99=MappingTables!$C$35),P99,0))</f>
        <v>0</v>
      </c>
      <c r="R99" s="73">
        <f>IF(ISNA(IF(AND(VLOOKUP(CONCATENATE($D99,$G99),CSRFinput!$B:$E,4,0)=0,OR(H99=MappingTables!$C$31,H99=MappingTables!$C$32)),1,VLOOKUP(CONCATENATE($D99,$G99),CSRFinput!$B:$E,4,0))),0,IF(AND(VLOOKUP(CONCATENATE($D99,$G99),CSRFinput!$B:$E,4,0)=0,OR(H99=MappingTables!$C$31,H99=MappingTables!$C$32)),1,VLOOKUP(CONCATENATE($D99,$G99),CSRFinput!$B:$E,4,0)))</f>
        <v>0.054776304963434752</v>
      </c>
      <c r="S99" s="73">
        <f>IF(B99="",0,P99*R99)</f>
        <v>9.8088290532612976</v>
      </c>
      <c r="T99" s="85">
        <f>IF(B99="",0,IF(OR(H99=MappingTables!$C$34,H99=MappingTables!$C$35),S99,0))</f>
        <v>0</v>
      </c>
    </row>
    <row r="100" spans="2:20" s="0" customFormat="0" ht="15">
      <c r="B100" s="69" t="s">
        <v>3454</v>
      </c>
      <c r="C100" s="70" t="s">
        <v>3455</v>
      </c>
      <c r="D100" s="70" t="s">
        <v>1</v>
      </c>
      <c r="E100" s="70" t="s">
        <v>1</v>
      </c>
      <c r="F100" s="70"/>
      <c r="G100" s="70" t="s">
        <v>61</v>
      </c>
      <c r="H100" s="70" t="s">
        <v>178</v>
      </c>
      <c r="I100" s="70" t="s">
        <v>3298</v>
      </c>
      <c r="J100" s="71">
        <f>IF(OR(I100=0,I100=""),"unrated",VLOOKUP(I100,MappingTables!$B$19:$C$31,2,FALSE))</f>
        <v>6</v>
      </c>
      <c r="K100" s="72">
        <v>155.76990140433472</v>
      </c>
      <c r="L100" s="70">
        <v>0.068496082741840488</v>
      </c>
      <c r="M100" s="71">
        <f>IF(L100&lt;1,1,L100)</f>
        <v>1</v>
      </c>
      <c r="N100" s="70" t="s">
        <v>3288</v>
      </c>
      <c r="O100" s="71">
        <f>IF(OR(I100=$A$1,I100=0),"",IF(N100=MappingTables!$C$14,VLOOKUP(J100,ModelParameters!$M$8:$N$15,2,FALSE),IF(N100=MappingTables!$C$16,VLOOKUP(J100,ModelParameters!$P$8:$Q$15,2,FALSE),0)))</f>
        <v>1</v>
      </c>
      <c r="P100" s="73">
        <f>IF(OR(I100=0,I100=$A$1),0,MIN(O100*M100,1)*K100)</f>
        <v>155.76990140433472</v>
      </c>
      <c r="Q100" s="73">
        <f>IF(B100="",0,IF(OR(H100=MappingTables!$C$34,H100=MappingTables!$C$35),P100,0))</f>
        <v>0</v>
      </c>
      <c r="R100" s="73">
        <f>IF(ISNA(IF(AND(VLOOKUP(CONCATENATE($D100,$G100),CSRFinput!$B:$E,4,0)=0,OR(H100=MappingTables!$C$31,H100=MappingTables!$C$32)),1,VLOOKUP(CONCATENATE($D100,$G100),CSRFinput!$B:$E,4,0))),0,IF(AND(VLOOKUP(CONCATENATE($D100,$G100),CSRFinput!$B:$E,4,0)=0,OR(H100=MappingTables!$C$31,H100=MappingTables!$C$32)),1,VLOOKUP(CONCATENATE($D100,$G100),CSRFinput!$B:$E,4,0)))</f>
        <v>0.054776304963434752</v>
      </c>
      <c r="S100" s="73">
        <f>IF(B100="",0,P100*R100)</f>
        <v>8.5324996234480016</v>
      </c>
      <c r="T100" s="85">
        <f>IF(B100="",0,IF(OR(H100=MappingTables!$C$34,H100=MappingTables!$C$35),S100,0))</f>
        <v>0</v>
      </c>
    </row>
    <row r="101" spans="2:20" s="0" customFormat="0" ht="15">
      <c r="B101" s="69" t="s">
        <v>3380</v>
      </c>
      <c r="C101" s="70" t="s">
        <v>3381</v>
      </c>
      <c r="D101" s="70" t="s">
        <v>1</v>
      </c>
      <c r="E101" s="70" t="s">
        <v>1</v>
      </c>
      <c r="F101" s="70"/>
      <c r="G101" s="70" t="s">
        <v>61</v>
      </c>
      <c r="H101" s="70" t="s">
        <v>178</v>
      </c>
      <c r="I101" s="70" t="s">
        <v>204</v>
      </c>
      <c r="J101" s="71">
        <f>IF(OR(I101=0,I101=""),"unrated",VLOOKUP(I101,MappingTables!$B$19:$C$31,2,FALSE))</f>
        <v>6</v>
      </c>
      <c r="K101" s="72">
        <v>50.909436958067864</v>
      </c>
      <c r="L101" s="70">
        <v>0.065164673105772672</v>
      </c>
      <c r="M101" s="71">
        <f>IF(L101&lt;1,1,L101)</f>
        <v>1</v>
      </c>
      <c r="N101" s="70" t="s">
        <v>3288</v>
      </c>
      <c r="O101" s="71">
        <f>IF(OR(I101=$A$1,I101=0),"",IF(N101=MappingTables!$C$14,VLOOKUP(J101,ModelParameters!$M$8:$N$15,2,FALSE),IF(N101=MappingTables!$C$16,VLOOKUP(J101,ModelParameters!$P$8:$Q$15,2,FALSE),0)))</f>
        <v>1</v>
      </c>
      <c r="P101" s="73">
        <f>IF(OR(I101=0,I101=$A$1),0,MIN(O101*M101,1)*K101)</f>
        <v>50.909436958067864</v>
      </c>
      <c r="Q101" s="73">
        <f>IF(B101="",0,IF(OR(H101=MappingTables!$C$34,H101=MappingTables!$C$35),P101,0))</f>
        <v>0</v>
      </c>
      <c r="R101" s="73">
        <f>IF(ISNA(IF(AND(VLOOKUP(CONCATENATE($D101,$G101),CSRFinput!$B:$E,4,0)=0,OR(H101=MappingTables!$C$31,H101=MappingTables!$C$32)),1,VLOOKUP(CONCATENATE($D101,$G101),CSRFinput!$B:$E,4,0))),0,IF(AND(VLOOKUP(CONCATENATE($D101,$G101),CSRFinput!$B:$E,4,0)=0,OR(H101=MappingTables!$C$31,H101=MappingTables!$C$32)),1,VLOOKUP(CONCATENATE($D101,$G101),CSRFinput!$B:$E,4,0)))</f>
        <v>0.054776304963434752</v>
      </c>
      <c r="S101" s="73">
        <f>IF(B101="",0,P101*R101)</f>
        <v>2.7886308443318812</v>
      </c>
      <c r="T101" s="85">
        <f>IF(B101="",0,IF(OR(H101=MappingTables!$C$34,H101=MappingTables!$C$35),S101,0))</f>
        <v>0</v>
      </c>
    </row>
    <row r="102" spans="2:20" s="0" customFormat="0" ht="15">
      <c r="B102" s="69" t="s">
        <v>3456</v>
      </c>
      <c r="C102" s="70" t="s">
        <v>3457</v>
      </c>
      <c r="D102" s="70" t="s">
        <v>1</v>
      </c>
      <c r="E102" s="70" t="s">
        <v>1</v>
      </c>
      <c r="F102" s="70"/>
      <c r="G102" s="70" t="s">
        <v>61</v>
      </c>
      <c r="H102" s="70" t="s">
        <v>178</v>
      </c>
      <c r="I102" s="70" t="s">
        <v>198</v>
      </c>
      <c r="J102" s="71" t="str">
        <f>IF(OR(I102=0,I102=""),"unrated",VLOOKUP(I102,MappingTables!$B$19:$C$31,2,FALSE))</f>
        <v>unrated</v>
      </c>
      <c r="K102" s="72">
        <v>36.089945275753224</v>
      </c>
      <c r="L102" s="70">
        <v>0.099155755053093264</v>
      </c>
      <c r="M102" s="71">
        <f>IF(L102&lt;1,1,L102)</f>
        <v>1</v>
      </c>
      <c r="N102" s="70" t="s">
        <v>3288</v>
      </c>
      <c r="O102" s="71">
        <f>IF(OR(I102=$A$1,I102=0),"",IF(N102=MappingTables!$C$14,VLOOKUP(J102,ModelParameters!$M$8:$N$15,2,FALSE),IF(N102=MappingTables!$C$16,VLOOKUP(J102,ModelParameters!$P$8:$Q$15,2,FALSE),0)))</f>
        <v>1</v>
      </c>
      <c r="P102" s="73">
        <f>IF(OR(I102=0,I102=$A$1),0,MIN(O102*M102,1)*K102)</f>
        <v>36.089945275753224</v>
      </c>
      <c r="Q102" s="73">
        <f>IF(B102="",0,IF(OR(H102=MappingTables!$C$34,H102=MappingTables!$C$35),P102,0))</f>
        <v>0</v>
      </c>
      <c r="R102" s="73">
        <f>IF(ISNA(IF(AND(VLOOKUP(CONCATENATE($D102,$G102),CSRFinput!$B:$E,4,0)=0,OR(H102=MappingTables!$C$31,H102=MappingTables!$C$32)),1,VLOOKUP(CONCATENATE($D102,$G102),CSRFinput!$B:$E,4,0))),0,IF(AND(VLOOKUP(CONCATENATE($D102,$G102),CSRFinput!$B:$E,4,0)=0,OR(H102=MappingTables!$C$31,H102=MappingTables!$C$32)),1,VLOOKUP(CONCATENATE($D102,$G102),CSRFinput!$B:$E,4,0)))</f>
        <v>0.054776304963434752</v>
      </c>
      <c r="S102" s="73">
        <f>IF(B102="",0,P102*R102)</f>
        <v>1.97687384853833</v>
      </c>
      <c r="T102" s="85">
        <f>IF(B102="",0,IF(OR(H102=MappingTables!$C$34,H102=MappingTables!$C$35),S102,0))</f>
        <v>0</v>
      </c>
    </row>
    <row r="103" spans="2:20" s="0" customFormat="0" ht="15">
      <c r="B103" s="69">
        <v>14236674</v>
      </c>
      <c r="C103" s="70" t="s">
        <v>3458</v>
      </c>
      <c r="D103" s="70" t="s">
        <v>1</v>
      </c>
      <c r="E103" s="70" t="s">
        <v>1</v>
      </c>
      <c r="F103" s="70"/>
      <c r="G103" s="70" t="s">
        <v>61</v>
      </c>
      <c r="H103" s="70" t="s">
        <v>178</v>
      </c>
      <c r="I103" s="70" t="s">
        <v>216</v>
      </c>
      <c r="J103" s="71">
        <f>IF(OR(I103=0,I103=""),"unrated",VLOOKUP(I103,MappingTables!$B$19:$C$31,2,FALSE))</f>
        <v>0</v>
      </c>
      <c r="K103" s="72">
        <v>4468.215411731204</v>
      </c>
      <c r="L103" s="70">
        <v>0.03440894353229916</v>
      </c>
      <c r="M103" s="71">
        <f>IF(L103&lt;1,1,L103)</f>
        <v>1</v>
      </c>
      <c r="N103" s="70" t="s">
        <v>3288</v>
      </c>
      <c r="O103" s="71">
        <f>IF(OR(I103=$A$1,I103=0),"",IF(N103=MappingTables!$C$14,VLOOKUP(J103,ModelParameters!$M$8:$N$15,2,FALSE),IF(N103=MappingTables!$C$16,VLOOKUP(J103,ModelParameters!$P$8:$Q$15,2,FALSE),0)))</f>
        <v>0.125</v>
      </c>
      <c r="P103" s="73">
        <f>IF(OR(I103=0,I103=$A$1),0,MIN(O103*M103,1)*K103)</f>
        <v>558.52692646640048</v>
      </c>
      <c r="Q103" s="73">
        <f>IF(B103="",0,IF(OR(H103=MappingTables!$C$34,H103=MappingTables!$C$35),P103,0))</f>
        <v>0</v>
      </c>
      <c r="R103" s="73">
        <f>IF(ISNA(IF(AND(VLOOKUP(CONCATENATE($D103,$G103),CSRFinput!$B:$E,4,0)=0,OR(H103=MappingTables!$C$31,H103=MappingTables!$C$32)),1,VLOOKUP(CONCATENATE($D103,$G103),CSRFinput!$B:$E,4,0))),0,IF(AND(VLOOKUP(CONCATENATE($D103,$G103),CSRFinput!$B:$E,4,0)=0,OR(H103=MappingTables!$C$31,H103=MappingTables!$C$32)),1,VLOOKUP(CONCATENATE($D103,$G103),CSRFinput!$B:$E,4,0)))</f>
        <v>0.054776304963434752</v>
      </c>
      <c r="S103" s="73">
        <f>IF(B103="",0,P103*R103)</f>
        <v>30.594041254413452</v>
      </c>
      <c r="T103" s="85">
        <f>IF(B103="",0,IF(OR(H103=MappingTables!$C$34,H103=MappingTables!$C$35),S103,0))</f>
        <v>0</v>
      </c>
    </row>
    <row r="104" spans="2:20" s="0" customFormat="0" ht="15">
      <c r="B104" s="69" t="s">
        <v>3459</v>
      </c>
      <c r="C104" s="70" t="s">
        <v>3460</v>
      </c>
      <c r="D104" s="70" t="s">
        <v>1</v>
      </c>
      <c r="E104" s="70" t="s">
        <v>1</v>
      </c>
      <c r="F104" s="70"/>
      <c r="G104" s="70" t="s">
        <v>61</v>
      </c>
      <c r="H104" s="70" t="s">
        <v>178</v>
      </c>
      <c r="I104" s="70" t="s">
        <v>198</v>
      </c>
      <c r="J104" s="71" t="str">
        <f>IF(OR(I104=0,I104=""),"unrated",VLOOKUP(I104,MappingTables!$B$19:$C$31,2,FALSE))</f>
        <v>unrated</v>
      </c>
      <c r="K104" s="72">
        <v>30455.700085182356</v>
      </c>
      <c r="L104" s="70">
        <v>9.701921122198656</v>
      </c>
      <c r="M104" s="71">
        <f>IF(L104&lt;1,1,L104)</f>
        <v>9.701921122198656</v>
      </c>
      <c r="N104" s="70" t="s">
        <v>3288</v>
      </c>
      <c r="O104" s="71">
        <f>IF(OR(I104=$A$1,I104=0),"",IF(N104=MappingTables!$C$14,VLOOKUP(J104,ModelParameters!$M$8:$N$15,2,FALSE),IF(N104=MappingTables!$C$16,VLOOKUP(J104,ModelParameters!$P$8:$Q$15,2,FALSE),0)))</f>
        <v>1</v>
      </c>
      <c r="P104" s="73">
        <f>IF(OR(I104=0,I104=$A$1),0,MIN(O104*M104,1)*K104)</f>
        <v>30455.700085182356</v>
      </c>
      <c r="Q104" s="73">
        <f>IF(B104="",0,IF(OR(H104=MappingTables!$C$34,H104=MappingTables!$C$35),P104,0))</f>
        <v>0</v>
      </c>
      <c r="R104" s="73">
        <f>IF(ISNA(IF(AND(VLOOKUP(CONCATENATE($D104,$G104),CSRFinput!$B:$E,4,0)=0,OR(H104=MappingTables!$C$31,H104=MappingTables!$C$32)),1,VLOOKUP(CONCATENATE($D104,$G104),CSRFinput!$B:$E,4,0))),0,IF(AND(VLOOKUP(CONCATENATE($D104,$G104),CSRFinput!$B:$E,4,0)=0,OR(H104=MappingTables!$C$31,H104=MappingTables!$C$32)),1,VLOOKUP(CONCATENATE($D104,$G104),CSRFinput!$B:$E,4,0)))</f>
        <v>0.054776304963434752</v>
      </c>
      <c r="S104" s="73">
        <f>IF(B104="",0,P104*R104)</f>
        <v>1668.2507157408548</v>
      </c>
      <c r="T104" s="85">
        <f>IF(B104="",0,IF(OR(H104=MappingTables!$C$34,H104=MappingTables!$C$35),S104,0))</f>
        <v>0</v>
      </c>
    </row>
    <row r="105" spans="2:20" s="0" customFormat="0" ht="15">
      <c r="B105" s="69" t="s">
        <v>3461</v>
      </c>
      <c r="C105" s="70" t="s">
        <v>3462</v>
      </c>
      <c r="D105" s="70" t="s">
        <v>1</v>
      </c>
      <c r="E105" s="70" t="s">
        <v>1</v>
      </c>
      <c r="F105" s="70"/>
      <c r="G105" s="70" t="s">
        <v>61</v>
      </c>
      <c r="H105" s="70" t="s">
        <v>178</v>
      </c>
      <c r="I105" s="70" t="s">
        <v>198</v>
      </c>
      <c r="J105" s="71" t="str">
        <f>IF(OR(I105=0,I105=""),"unrated",VLOOKUP(I105,MappingTables!$B$19:$C$31,2,FALSE))</f>
        <v>unrated</v>
      </c>
      <c r="K105" s="72">
        <v>94.521534784618656</v>
      </c>
      <c r="L105" s="70">
        <v>0.068500522647126264</v>
      </c>
      <c r="M105" s="71">
        <f>IF(L105&lt;1,1,L105)</f>
        <v>1</v>
      </c>
      <c r="N105" s="70" t="s">
        <v>3288</v>
      </c>
      <c r="O105" s="71">
        <f>IF(OR(I105=$A$1,I105=0),"",IF(N105=MappingTables!$C$14,VLOOKUP(J105,ModelParameters!$M$8:$N$15,2,FALSE),IF(N105=MappingTables!$C$16,VLOOKUP(J105,ModelParameters!$P$8:$Q$15,2,FALSE),0)))</f>
        <v>1</v>
      </c>
      <c r="P105" s="73">
        <f>IF(OR(I105=0,I105=$A$1),0,MIN(O105*M105,1)*K105)</f>
        <v>94.521534784618656</v>
      </c>
      <c r="Q105" s="73">
        <f>IF(B105="",0,IF(OR(H105=MappingTables!$C$34,H105=MappingTables!$C$35),P105,0))</f>
        <v>0</v>
      </c>
      <c r="R105" s="73">
        <f>IF(ISNA(IF(AND(VLOOKUP(CONCATENATE($D105,$G105),CSRFinput!$B:$E,4,0)=0,OR(H105=MappingTables!$C$31,H105=MappingTables!$C$32)),1,VLOOKUP(CONCATENATE($D105,$G105),CSRFinput!$B:$E,4,0))),0,IF(AND(VLOOKUP(CONCATENATE($D105,$G105),CSRFinput!$B:$E,4,0)=0,OR(H105=MappingTables!$C$31,H105=MappingTables!$C$32)),1,VLOOKUP(CONCATENATE($D105,$G105),CSRFinput!$B:$E,4,0)))</f>
        <v>0.054776304963434752</v>
      </c>
      <c r="S105" s="73">
        <f>IF(B105="",0,P105*R105)</f>
        <v>5.1775404149741776</v>
      </c>
      <c r="T105" s="85">
        <f>IF(B105="",0,IF(OR(H105=MappingTables!$C$34,H105=MappingTables!$C$35),S105,0))</f>
        <v>0</v>
      </c>
    </row>
    <row r="106" spans="2:20" s="0" customFormat="0" ht="15">
      <c r="B106" s="69" t="s">
        <v>3463</v>
      </c>
      <c r="C106" s="70" t="s">
        <v>3464</v>
      </c>
      <c r="D106" s="70" t="s">
        <v>1</v>
      </c>
      <c r="E106" s="70" t="s">
        <v>1</v>
      </c>
      <c r="F106" s="70"/>
      <c r="G106" s="70" t="s">
        <v>61</v>
      </c>
      <c r="H106" s="70" t="s">
        <v>178</v>
      </c>
      <c r="I106" s="70" t="s">
        <v>204</v>
      </c>
      <c r="J106" s="71">
        <f>IF(OR(I106=0,I106=""),"unrated",VLOOKUP(I106,MappingTables!$B$19:$C$31,2,FALSE))</f>
        <v>6</v>
      </c>
      <c r="K106" s="72">
        <v>351.53285985187368</v>
      </c>
      <c r="L106" s="70">
        <v>0.068492412618181744</v>
      </c>
      <c r="M106" s="71">
        <f>IF(L106&lt;1,1,L106)</f>
        <v>1</v>
      </c>
      <c r="N106" s="70" t="s">
        <v>3288</v>
      </c>
      <c r="O106" s="71">
        <f>IF(OR(I106=$A$1,I106=0),"",IF(N106=MappingTables!$C$14,VLOOKUP(J106,ModelParameters!$M$8:$N$15,2,FALSE),IF(N106=MappingTables!$C$16,VLOOKUP(J106,ModelParameters!$P$8:$Q$15,2,FALSE),0)))</f>
        <v>1</v>
      </c>
      <c r="P106" s="73">
        <f>IF(OR(I106=0,I106=$A$1),0,MIN(O106*M106,1)*K106)</f>
        <v>351.53285985187368</v>
      </c>
      <c r="Q106" s="73">
        <f>IF(B106="",0,IF(OR(H106=MappingTables!$C$34,H106=MappingTables!$C$35),P106,0))</f>
        <v>0</v>
      </c>
      <c r="R106" s="73">
        <f>IF(ISNA(IF(AND(VLOOKUP(CONCATENATE($D106,$G106),CSRFinput!$B:$E,4,0)=0,OR(H106=MappingTables!$C$31,H106=MappingTables!$C$32)),1,VLOOKUP(CONCATENATE($D106,$G106),CSRFinput!$B:$E,4,0))),0,IF(AND(VLOOKUP(CONCATENATE($D106,$G106),CSRFinput!$B:$E,4,0)=0,OR(H106=MappingTables!$C$31,H106=MappingTables!$C$32)),1,VLOOKUP(CONCATENATE($D106,$G106),CSRFinput!$B:$E,4,0)))</f>
        <v>0.054776304963434752</v>
      </c>
      <c r="S106" s="73">
        <f>IF(B106="",0,P106*R106)</f>
        <v>19.255671135914604</v>
      </c>
      <c r="T106" s="85">
        <f>IF(B106="",0,IF(OR(H106=MappingTables!$C$34,H106=MappingTables!$C$35),S106,0))</f>
        <v>0</v>
      </c>
    </row>
    <row r="107" spans="2:20" s="0" customFormat="0" ht="15">
      <c r="B107" s="69">
        <v>22554451</v>
      </c>
      <c r="C107" s="70" t="s">
        <v>3465</v>
      </c>
      <c r="D107" s="70" t="s">
        <v>1</v>
      </c>
      <c r="E107" s="70" t="s">
        <v>1</v>
      </c>
      <c r="F107" s="70"/>
      <c r="G107" s="70" t="s">
        <v>61</v>
      </c>
      <c r="H107" s="70" t="s">
        <v>178</v>
      </c>
      <c r="I107" s="70" t="s">
        <v>216</v>
      </c>
      <c r="J107" s="71">
        <f>IF(OR(I107=0,I107=""),"unrated",VLOOKUP(I107,MappingTables!$B$19:$C$31,2,FALSE))</f>
        <v>0</v>
      </c>
      <c r="K107" s="72">
        <v>8.702005350854936</v>
      </c>
      <c r="L107" s="70">
        <v>0.067845513131189848</v>
      </c>
      <c r="M107" s="71">
        <f>IF(L107&lt;1,1,L107)</f>
        <v>1</v>
      </c>
      <c r="N107" s="70" t="s">
        <v>3288</v>
      </c>
      <c r="O107" s="71">
        <f>IF(OR(I107=$A$1,I107=0),"",IF(N107=MappingTables!$C$14,VLOOKUP(J107,ModelParameters!$M$8:$N$15,2,FALSE),IF(N107=MappingTables!$C$16,VLOOKUP(J107,ModelParameters!$P$8:$Q$15,2,FALSE),0)))</f>
        <v>0.125</v>
      </c>
      <c r="P107" s="73">
        <f>IF(OR(I107=0,I107=$A$1),0,MIN(O107*M107,1)*K107)</f>
        <v>1.087750668856867</v>
      </c>
      <c r="Q107" s="73">
        <f>IF(B107="",0,IF(OR(H107=MappingTables!$C$34,H107=MappingTables!$C$35),P107,0))</f>
        <v>0</v>
      </c>
      <c r="R107" s="73">
        <f>IF(ISNA(IF(AND(VLOOKUP(CONCATENATE($D107,$G107),CSRFinput!$B:$E,4,0)=0,OR(H107=MappingTables!$C$31,H107=MappingTables!$C$32)),1,VLOOKUP(CONCATENATE($D107,$G107),CSRFinput!$B:$E,4,0))),0,IF(AND(VLOOKUP(CONCATENATE($D107,$G107),CSRFinput!$B:$E,4,0)=0,OR(H107=MappingTables!$C$31,H107=MappingTables!$C$32)),1,VLOOKUP(CONCATENATE($D107,$G107),CSRFinput!$B:$E,4,0)))</f>
        <v>0.054776304963434752</v>
      </c>
      <c r="S107" s="73">
        <f>IF(B107="",0,P107*R107)</f>
        <v>0.059582962361483872</v>
      </c>
      <c r="T107" s="85">
        <f>IF(B107="",0,IF(OR(H107=MappingTables!$C$34,H107=MappingTables!$C$35),S107,0))</f>
        <v>0</v>
      </c>
    </row>
    <row r="108" spans="2:20" s="0" customFormat="0" ht="15">
      <c r="B108" s="69">
        <v>16974056</v>
      </c>
      <c r="C108" s="70" t="s">
        <v>3466</v>
      </c>
      <c r="D108" s="70" t="s">
        <v>1</v>
      </c>
      <c r="E108" s="70" t="s">
        <v>1</v>
      </c>
      <c r="F108" s="70"/>
      <c r="G108" s="70" t="s">
        <v>61</v>
      </c>
      <c r="H108" s="70" t="s">
        <v>178</v>
      </c>
      <c r="I108" s="70" t="s">
        <v>198</v>
      </c>
      <c r="J108" s="71" t="str">
        <f>IF(OR(I108=0,I108=""),"unrated",VLOOKUP(I108,MappingTables!$B$19:$C$31,2,FALSE))</f>
        <v>unrated</v>
      </c>
      <c r="K108" s="72">
        <v>35.970111995313504</v>
      </c>
      <c r="L108" s="70">
        <v>0.075079048684678256</v>
      </c>
      <c r="M108" s="71">
        <f>IF(L108&lt;1,1,L108)</f>
        <v>1</v>
      </c>
      <c r="N108" s="70" t="s">
        <v>3288</v>
      </c>
      <c r="O108" s="71">
        <f>IF(OR(I108=$A$1,I108=0),"",IF(N108=MappingTables!$C$14,VLOOKUP(J108,ModelParameters!$M$8:$N$15,2,FALSE),IF(N108=MappingTables!$C$16,VLOOKUP(J108,ModelParameters!$P$8:$Q$15,2,FALSE),0)))</f>
        <v>1</v>
      </c>
      <c r="P108" s="73">
        <f>IF(OR(I108=0,I108=$A$1),0,MIN(O108*M108,1)*K108)</f>
        <v>35.970111995313504</v>
      </c>
      <c r="Q108" s="73">
        <f>IF(B108="",0,IF(OR(H108=MappingTables!$C$34,H108=MappingTables!$C$35),P108,0))</f>
        <v>0</v>
      </c>
      <c r="R108" s="73">
        <f>IF(ISNA(IF(AND(VLOOKUP(CONCATENATE($D108,$G108),CSRFinput!$B:$E,4,0)=0,OR(H108=MappingTables!$C$31,H108=MappingTables!$C$32)),1,VLOOKUP(CONCATENATE($D108,$G108),CSRFinput!$B:$E,4,0))),0,IF(AND(VLOOKUP(CONCATENATE($D108,$G108),CSRFinput!$B:$E,4,0)=0,OR(H108=MappingTables!$C$31,H108=MappingTables!$C$32)),1,VLOOKUP(CONCATENATE($D108,$G108),CSRFinput!$B:$E,4,0)))</f>
        <v>0.054776304963434752</v>
      </c>
      <c r="S108" s="73">
        <f>IF(B108="",0,P108*R108)</f>
        <v>1.9703098242241948</v>
      </c>
      <c r="T108" s="85">
        <f>IF(B108="",0,IF(OR(H108=MappingTables!$C$34,H108=MappingTables!$C$35),S108,0))</f>
        <v>0</v>
      </c>
    </row>
    <row r="109" spans="2:20" s="0" customFormat="0" ht="15">
      <c r="B109" s="69" t="s">
        <v>3467</v>
      </c>
      <c r="C109" s="70" t="s">
        <v>3468</v>
      </c>
      <c r="D109" s="70" t="s">
        <v>1</v>
      </c>
      <c r="E109" s="70" t="s">
        <v>1</v>
      </c>
      <c r="F109" s="70"/>
      <c r="G109" s="70" t="s">
        <v>61</v>
      </c>
      <c r="H109" s="70" t="s">
        <v>178</v>
      </c>
      <c r="I109" s="70" t="s">
        <v>179</v>
      </c>
      <c r="J109" s="71">
        <f>IF(OR(I109=0,I109=""),"unrated",VLOOKUP(I109,MappingTables!$B$19:$C$31,2,FALSE))</f>
        <v>4</v>
      </c>
      <c r="K109" s="72">
        <v>320.92540803359832</v>
      </c>
      <c r="L109" s="70">
        <v>1.5876435072235422</v>
      </c>
      <c r="M109" s="71">
        <f>IF(L109&lt;1,1,L109)</f>
        <v>1.5876435072235422</v>
      </c>
      <c r="N109" s="70" t="s">
        <v>3288</v>
      </c>
      <c r="O109" s="71">
        <f>IF(OR(I109=$A$1,I109=0),"",IF(N109=MappingTables!$C$14,VLOOKUP(J109,ModelParameters!$M$8:$N$15,2,FALSE),IF(N109=MappingTables!$C$16,VLOOKUP(J109,ModelParameters!$P$8:$Q$15,2,FALSE),0)))</f>
        <v>0.82</v>
      </c>
      <c r="P109" s="73">
        <f>IF(OR(I109=0,I109=$A$1),0,MIN(O109*M109,1)*K109)</f>
        <v>320.92540803359832</v>
      </c>
      <c r="Q109" s="73">
        <f>IF(B109="",0,IF(OR(H109=MappingTables!$C$34,H109=MappingTables!$C$35),P109,0))</f>
        <v>0</v>
      </c>
      <c r="R109" s="73">
        <f>IF(ISNA(IF(AND(VLOOKUP(CONCATENATE($D109,$G109),CSRFinput!$B:$E,4,0)=0,OR(H109=MappingTables!$C$31,H109=MappingTables!$C$32)),1,VLOOKUP(CONCATENATE($D109,$G109),CSRFinput!$B:$E,4,0))),0,IF(AND(VLOOKUP(CONCATENATE($D109,$G109),CSRFinput!$B:$E,4,0)=0,OR(H109=MappingTables!$C$31,H109=MappingTables!$C$32)),1,VLOOKUP(CONCATENATE($D109,$G109),CSRFinput!$B:$E,4,0)))</f>
        <v>0.054776304963434752</v>
      </c>
      <c r="S109" s="73">
        <f>IF(B109="",0,P109*R109)</f>
        <v>17.579108020963116</v>
      </c>
      <c r="T109" s="85">
        <f>IF(B109="",0,IF(OR(H109=MappingTables!$C$34,H109=MappingTables!$C$35),S109,0))</f>
        <v>0</v>
      </c>
    </row>
    <row r="110" spans="2:20" s="0" customFormat="0" ht="15">
      <c r="B110" s="69" t="s">
        <v>3469</v>
      </c>
      <c r="C110" s="70" t="s">
        <v>3470</v>
      </c>
      <c r="D110" s="70" t="s">
        <v>1</v>
      </c>
      <c r="E110" s="70" t="s">
        <v>1</v>
      </c>
      <c r="F110" s="70"/>
      <c r="G110" s="70" t="s">
        <v>61</v>
      </c>
      <c r="H110" s="70" t="s">
        <v>178</v>
      </c>
      <c r="I110" s="70" t="s">
        <v>216</v>
      </c>
      <c r="J110" s="71">
        <f>IF(OR(I110=0,I110=""),"unrated",VLOOKUP(I110,MappingTables!$B$19:$C$31,2,FALSE))</f>
        <v>0</v>
      </c>
      <c r="K110" s="72">
        <v>655.4028504058024</v>
      </c>
      <c r="L110" s="70">
        <v>0.068492510156323792</v>
      </c>
      <c r="M110" s="71">
        <f>IF(L110&lt;1,1,L110)</f>
        <v>1</v>
      </c>
      <c r="N110" s="70" t="s">
        <v>3288</v>
      </c>
      <c r="O110" s="71">
        <f>IF(OR(I110=$A$1,I110=0),"",IF(N110=MappingTables!$C$14,VLOOKUP(J110,ModelParameters!$M$8:$N$15,2,FALSE),IF(N110=MappingTables!$C$16,VLOOKUP(J110,ModelParameters!$P$8:$Q$15,2,FALSE),0)))</f>
        <v>0.125</v>
      </c>
      <c r="P110" s="73">
        <f>IF(OR(I110=0,I110=$A$1),0,MIN(O110*M110,1)*K110)</f>
        <v>81.925356300725296</v>
      </c>
      <c r="Q110" s="73">
        <f>IF(B110="",0,IF(OR(H110=MappingTables!$C$34,H110=MappingTables!$C$35),P110,0))</f>
        <v>0</v>
      </c>
      <c r="R110" s="73">
        <f>IF(ISNA(IF(AND(VLOOKUP(CONCATENATE($D110,$G110),CSRFinput!$B:$E,4,0)=0,OR(H110=MappingTables!$C$31,H110=MappingTables!$C$32)),1,VLOOKUP(CONCATENATE($D110,$G110),CSRFinput!$B:$E,4,0))),0,IF(AND(VLOOKUP(CONCATENATE($D110,$G110),CSRFinput!$B:$E,4,0)=0,OR(H110=MappingTables!$C$31,H110=MappingTables!$C$32)),1,VLOOKUP(CONCATENATE($D110,$G110),CSRFinput!$B:$E,4,0)))</f>
        <v>0.054776304963434752</v>
      </c>
      <c r="S110" s="73">
        <f>IF(B110="",0,P110*R110)</f>
        <v>4.48756830096658</v>
      </c>
      <c r="T110" s="85">
        <f>IF(B110="",0,IF(OR(H110=MappingTables!$C$34,H110=MappingTables!$C$35),S110,0))</f>
        <v>0</v>
      </c>
    </row>
    <row r="111" spans="2:20" s="0" customFormat="0" ht="15">
      <c r="B111" s="69">
        <v>22554172</v>
      </c>
      <c r="C111" s="70" t="s">
        <v>3471</v>
      </c>
      <c r="D111" s="70" t="s">
        <v>1</v>
      </c>
      <c r="E111" s="70" t="s">
        <v>1</v>
      </c>
      <c r="F111" s="70"/>
      <c r="G111" s="70" t="s">
        <v>61</v>
      </c>
      <c r="H111" s="70" t="s">
        <v>178</v>
      </c>
      <c r="I111" s="70" t="s">
        <v>513</v>
      </c>
      <c r="J111" s="71">
        <f>IF(OR(I111=0,I111=""),"unrated",VLOOKUP(I111,MappingTables!$B$19:$C$31,2,FALSE))</f>
        <v>6</v>
      </c>
      <c r="K111" s="72">
        <v>6602.7604669118864</v>
      </c>
      <c r="L111" s="70">
        <v>0.068496787322679872</v>
      </c>
      <c r="M111" s="71">
        <f>IF(L111&lt;1,1,L111)</f>
        <v>1</v>
      </c>
      <c r="N111" s="70" t="s">
        <v>3288</v>
      </c>
      <c r="O111" s="71">
        <f>IF(OR(I111=$A$1,I111=0),"",IF(N111=MappingTables!$C$14,VLOOKUP(J111,ModelParameters!$M$8:$N$15,2,FALSE),IF(N111=MappingTables!$C$16,VLOOKUP(J111,ModelParameters!$P$8:$Q$15,2,FALSE),0)))</f>
        <v>1</v>
      </c>
      <c r="P111" s="73">
        <f>IF(OR(I111=0,I111=$A$1),0,MIN(O111*M111,1)*K111)</f>
        <v>6602.7604669118864</v>
      </c>
      <c r="Q111" s="73">
        <f>IF(B111="",0,IF(OR(H111=MappingTables!$C$34,H111=MappingTables!$C$35),P111,0))</f>
        <v>0</v>
      </c>
      <c r="R111" s="73">
        <f>IF(ISNA(IF(AND(VLOOKUP(CONCATENATE($D111,$G111),CSRFinput!$B:$E,4,0)=0,OR(H111=MappingTables!$C$31,H111=MappingTables!$C$32)),1,VLOOKUP(CONCATENATE($D111,$G111),CSRFinput!$B:$E,4,0))),0,IF(AND(VLOOKUP(CONCATENATE($D111,$G111),CSRFinput!$B:$E,4,0)=0,OR(H111=MappingTables!$C$31,H111=MappingTables!$C$32)),1,VLOOKUP(CONCATENATE($D111,$G111),CSRFinput!$B:$E,4,0)))</f>
        <v>0.054776304963434752</v>
      </c>
      <c r="S111" s="73">
        <f>IF(B111="",0,P111*R111)</f>
        <v>361.67482093607632</v>
      </c>
      <c r="T111" s="85">
        <f>IF(B111="",0,IF(OR(H111=MappingTables!$C$34,H111=MappingTables!$C$35),S111,0))</f>
        <v>0</v>
      </c>
    </row>
    <row r="112" spans="2:20" s="0" customFormat="0" ht="15">
      <c r="B112" s="69" t="s">
        <v>3472</v>
      </c>
      <c r="C112" s="70" t="s">
        <v>3473</v>
      </c>
      <c r="D112" s="70" t="s">
        <v>1</v>
      </c>
      <c r="E112" s="70" t="s">
        <v>1</v>
      </c>
      <c r="F112" s="70"/>
      <c r="G112" s="70" t="s">
        <v>61</v>
      </c>
      <c r="H112" s="70" t="s">
        <v>178</v>
      </c>
      <c r="I112" s="70" t="s">
        <v>198</v>
      </c>
      <c r="J112" s="71" t="str">
        <f>IF(OR(I112=0,I112=""),"unrated",VLOOKUP(I112,MappingTables!$B$19:$C$31,2,FALSE))</f>
        <v>unrated</v>
      </c>
      <c r="K112" s="72">
        <v>1509.101047741457</v>
      </c>
      <c r="L112" s="70">
        <v>11.989090917953842</v>
      </c>
      <c r="M112" s="71">
        <f>IF(L112&lt;1,1,L112)</f>
        <v>11.989090917953842</v>
      </c>
      <c r="N112" s="70" t="s">
        <v>3288</v>
      </c>
      <c r="O112" s="71">
        <f>IF(OR(I112=$A$1,I112=0),"",IF(N112=MappingTables!$C$14,VLOOKUP(J112,ModelParameters!$M$8:$N$15,2,FALSE),IF(N112=MappingTables!$C$16,VLOOKUP(J112,ModelParameters!$P$8:$Q$15,2,FALSE),0)))</f>
        <v>1</v>
      </c>
      <c r="P112" s="73">
        <f>IF(OR(I112=0,I112=$A$1),0,MIN(O112*M112,1)*K112)</f>
        <v>1509.101047741457</v>
      </c>
      <c r="Q112" s="73">
        <f>IF(B112="",0,IF(OR(H112=MappingTables!$C$34,H112=MappingTables!$C$35),P112,0))</f>
        <v>0</v>
      </c>
      <c r="R112" s="73">
        <f>IF(ISNA(IF(AND(VLOOKUP(CONCATENATE($D112,$G112),CSRFinput!$B:$E,4,0)=0,OR(H112=MappingTables!$C$31,H112=MappingTables!$C$32)),1,VLOOKUP(CONCATENATE($D112,$G112),CSRFinput!$B:$E,4,0))),0,IF(AND(VLOOKUP(CONCATENATE($D112,$G112),CSRFinput!$B:$E,4,0)=0,OR(H112=MappingTables!$C$31,H112=MappingTables!$C$32)),1,VLOOKUP(CONCATENATE($D112,$G112),CSRFinput!$B:$E,4,0)))</f>
        <v>0.054776304963434752</v>
      </c>
      <c r="S112" s="73">
        <f>IF(B112="",0,P112*R112)</f>
        <v>82.66297921172496</v>
      </c>
      <c r="T112" s="85">
        <f>IF(B112="",0,IF(OR(H112=MappingTables!$C$34,H112=MappingTables!$C$35),S112,0))</f>
        <v>0</v>
      </c>
    </row>
    <row r="113" spans="2:20" s="0" customFormat="0" ht="15">
      <c r="B113" s="69" t="s">
        <v>3474</v>
      </c>
      <c r="C113" s="70" t="s">
        <v>3475</v>
      </c>
      <c r="D113" s="70" t="s">
        <v>1</v>
      </c>
      <c r="E113" s="70" t="s">
        <v>1</v>
      </c>
      <c r="F113" s="70"/>
      <c r="G113" s="70" t="s">
        <v>61</v>
      </c>
      <c r="H113" s="70" t="s">
        <v>178</v>
      </c>
      <c r="I113" s="70" t="s">
        <v>181</v>
      </c>
      <c r="J113" s="71">
        <f>IF(OR(I113=0,I113=""),"unrated",VLOOKUP(I113,MappingTables!$B$19:$C$31,2,FALSE))</f>
        <v>3</v>
      </c>
      <c r="K113" s="72">
        <v>9.5596942073006432</v>
      </c>
      <c r="L113" s="70">
        <v>0.1282393493705199</v>
      </c>
      <c r="M113" s="71">
        <f>IF(L113&lt;1,1,L113)</f>
        <v>1</v>
      </c>
      <c r="N113" s="70" t="s">
        <v>3288</v>
      </c>
      <c r="O113" s="71">
        <f>IF(OR(I113=$A$1,I113=0),"",IF(N113=MappingTables!$C$14,VLOOKUP(J113,ModelParameters!$M$8:$N$15,2,FALSE),IF(N113=MappingTables!$C$16,VLOOKUP(J113,ModelParameters!$P$8:$Q$15,2,FALSE),0)))</f>
        <v>0.197</v>
      </c>
      <c r="P113" s="73">
        <f>IF(OR(I113=0,I113=$A$1),0,MIN(O113*M113,1)*K113)</f>
        <v>1.8832597588382264</v>
      </c>
      <c r="Q113" s="73">
        <f>IF(B113="",0,IF(OR(H113=MappingTables!$C$34,H113=MappingTables!$C$35),P113,0))</f>
        <v>0</v>
      </c>
      <c r="R113" s="73">
        <f>IF(ISNA(IF(AND(VLOOKUP(CONCATENATE($D113,$G113),CSRFinput!$B:$E,4,0)=0,OR(H113=MappingTables!$C$31,H113=MappingTables!$C$32)),1,VLOOKUP(CONCATENATE($D113,$G113),CSRFinput!$B:$E,4,0))),0,IF(AND(VLOOKUP(CONCATENATE($D113,$G113),CSRFinput!$B:$E,4,0)=0,OR(H113=MappingTables!$C$31,H113=MappingTables!$C$32)),1,VLOOKUP(CONCATENATE($D113,$G113),CSRFinput!$B:$E,4,0)))</f>
        <v>0.054776304963434752</v>
      </c>
      <c r="S113" s="73">
        <f>IF(B113="",0,P113*R113)</f>
        <v>0.10315801087548728</v>
      </c>
      <c r="T113" s="85">
        <f>IF(B113="",0,IF(OR(H113=MappingTables!$C$34,H113=MappingTables!$C$35),S113,0))</f>
        <v>0</v>
      </c>
    </row>
    <row r="114" spans="2:20" s="0" customFormat="0" ht="15">
      <c r="B114" s="69" t="s">
        <v>3476</v>
      </c>
      <c r="C114" s="70" t="s">
        <v>3477</v>
      </c>
      <c r="D114" s="70" t="s">
        <v>1</v>
      </c>
      <c r="E114" s="70" t="s">
        <v>1</v>
      </c>
      <c r="F114" s="70"/>
      <c r="G114" s="70" t="s">
        <v>61</v>
      </c>
      <c r="H114" s="70" t="s">
        <v>178</v>
      </c>
      <c r="I114" s="70" t="s">
        <v>204</v>
      </c>
      <c r="J114" s="71">
        <f>IF(OR(I114=0,I114=""),"unrated",VLOOKUP(I114,MappingTables!$B$19:$C$31,2,FALSE))</f>
        <v>6</v>
      </c>
      <c r="K114" s="72">
        <v>193.54008399557828</v>
      </c>
      <c r="L114" s="70">
        <v>0.068490487465279696</v>
      </c>
      <c r="M114" s="71">
        <f>IF(L114&lt;1,1,L114)</f>
        <v>1</v>
      </c>
      <c r="N114" s="70" t="s">
        <v>3288</v>
      </c>
      <c r="O114" s="71">
        <f>IF(OR(I114=$A$1,I114=0),"",IF(N114=MappingTables!$C$14,VLOOKUP(J114,ModelParameters!$M$8:$N$15,2,FALSE),IF(N114=MappingTables!$C$16,VLOOKUP(J114,ModelParameters!$P$8:$Q$15,2,FALSE),0)))</f>
        <v>1</v>
      </c>
      <c r="P114" s="73">
        <f>IF(OR(I114=0,I114=$A$1),0,MIN(O114*M114,1)*K114)</f>
        <v>193.54008399557828</v>
      </c>
      <c r="Q114" s="73">
        <f>IF(B114="",0,IF(OR(H114=MappingTables!$C$34,H114=MappingTables!$C$35),P114,0))</f>
        <v>0</v>
      </c>
      <c r="R114" s="73">
        <f>IF(ISNA(IF(AND(VLOOKUP(CONCATENATE($D114,$G114),CSRFinput!$B:$E,4,0)=0,OR(H114=MappingTables!$C$31,H114=MappingTables!$C$32)),1,VLOOKUP(CONCATENATE($D114,$G114),CSRFinput!$B:$E,4,0))),0,IF(AND(VLOOKUP(CONCATENATE($D114,$G114),CSRFinput!$B:$E,4,0)=0,OR(H114=MappingTables!$C$31,H114=MappingTables!$C$32)),1,VLOOKUP(CONCATENATE($D114,$G114),CSRFinput!$B:$E,4,0)))</f>
        <v>0.054776304963434752</v>
      </c>
      <c r="S114" s="73">
        <f>IF(B114="",0,P114*R114)</f>
        <v>10.601410663590574</v>
      </c>
      <c r="T114" s="85">
        <f>IF(B114="",0,IF(OR(H114=MappingTables!$C$34,H114=MappingTables!$C$35),S114,0))</f>
        <v>0</v>
      </c>
    </row>
    <row r="115" spans="2:20" s="0" customFormat="0" ht="15">
      <c r="B115" s="69">
        <v>22554254</v>
      </c>
      <c r="C115" s="70" t="s">
        <v>3478</v>
      </c>
      <c r="D115" s="70" t="s">
        <v>1</v>
      </c>
      <c r="E115" s="70" t="s">
        <v>1</v>
      </c>
      <c r="F115" s="70"/>
      <c r="G115" s="70" t="s">
        <v>61</v>
      </c>
      <c r="H115" s="70" t="s">
        <v>178</v>
      </c>
      <c r="I115" s="70" t="s">
        <v>216</v>
      </c>
      <c r="J115" s="71">
        <f>IF(OR(I115=0,I115=""),"unrated",VLOOKUP(I115,MappingTables!$B$19:$C$31,2,FALSE))</f>
        <v>0</v>
      </c>
      <c r="K115" s="72">
        <v>175.88400184502702</v>
      </c>
      <c r="L115" s="70">
        <v>0.01825404936328848</v>
      </c>
      <c r="M115" s="71">
        <f>IF(L115&lt;1,1,L115)</f>
        <v>1</v>
      </c>
      <c r="N115" s="70" t="s">
        <v>3288</v>
      </c>
      <c r="O115" s="71">
        <f>IF(OR(I115=$A$1,I115=0),"",IF(N115=MappingTables!$C$14,VLOOKUP(J115,ModelParameters!$M$8:$N$15,2,FALSE),IF(N115=MappingTables!$C$16,VLOOKUP(J115,ModelParameters!$P$8:$Q$15,2,FALSE),0)))</f>
        <v>0.125</v>
      </c>
      <c r="P115" s="73">
        <f>IF(OR(I115=0,I115=$A$1),0,MIN(O115*M115,1)*K115)</f>
        <v>21.98550023062838</v>
      </c>
      <c r="Q115" s="73">
        <f>IF(B115="",0,IF(OR(H115=MappingTables!$C$34,H115=MappingTables!$C$35),P115,0))</f>
        <v>0</v>
      </c>
      <c r="R115" s="73">
        <f>IF(ISNA(IF(AND(VLOOKUP(CONCATENATE($D115,$G115),CSRFinput!$B:$E,4,0)=0,OR(H115=MappingTables!$C$31,H115=MappingTables!$C$32)),1,VLOOKUP(CONCATENATE($D115,$G115),CSRFinput!$B:$E,4,0))),0,IF(AND(VLOOKUP(CONCATENATE($D115,$G115),CSRFinput!$B:$E,4,0)=0,OR(H115=MappingTables!$C$31,H115=MappingTables!$C$32)),1,VLOOKUP(CONCATENATE($D115,$G115),CSRFinput!$B:$E,4,0)))</f>
        <v>0.054776304963434752</v>
      </c>
      <c r="S115" s="73">
        <f>IF(B115="",0,P115*R115)</f>
        <v>1.2042844654065652</v>
      </c>
      <c r="T115" s="85">
        <f>IF(B115="",0,IF(OR(H115=MappingTables!$C$34,H115=MappingTables!$C$35),S115,0))</f>
        <v>0</v>
      </c>
    </row>
    <row r="116" spans="2:20" s="0" customFormat="0" ht="15">
      <c r="B116" s="69" t="s">
        <v>3479</v>
      </c>
      <c r="C116" s="70" t="s">
        <v>3480</v>
      </c>
      <c r="D116" s="70" t="s">
        <v>1</v>
      </c>
      <c r="E116" s="70" t="s">
        <v>1</v>
      </c>
      <c r="F116" s="70"/>
      <c r="G116" s="70" t="s">
        <v>61</v>
      </c>
      <c r="H116" s="70" t="s">
        <v>178</v>
      </c>
      <c r="I116" s="70" t="s">
        <v>3298</v>
      </c>
      <c r="J116" s="71">
        <f>IF(OR(I116=0,I116=""),"unrated",VLOOKUP(I116,MappingTables!$B$19:$C$31,2,FALSE))</f>
        <v>6</v>
      </c>
      <c r="K116" s="72">
        <v>288.32216098232512</v>
      </c>
      <c r="L116" s="70">
        <v>-0.51587206926288784</v>
      </c>
      <c r="M116" s="71">
        <f>IF(L116&lt;1,1,L116)</f>
        <v>1</v>
      </c>
      <c r="N116" s="70" t="s">
        <v>3288</v>
      </c>
      <c r="O116" s="71">
        <f>IF(OR(I116=$A$1,I116=0),"",IF(N116=MappingTables!$C$14,VLOOKUP(J116,ModelParameters!$M$8:$N$15,2,FALSE),IF(N116=MappingTables!$C$16,VLOOKUP(J116,ModelParameters!$P$8:$Q$15,2,FALSE),0)))</f>
        <v>1</v>
      </c>
      <c r="P116" s="73">
        <f>IF(OR(I116=0,I116=$A$1),0,MIN(O116*M116,1)*K116)</f>
        <v>288.32216098232512</v>
      </c>
      <c r="Q116" s="73">
        <f>IF(B116="",0,IF(OR(H116=MappingTables!$C$34,H116=MappingTables!$C$35),P116,0))</f>
        <v>0</v>
      </c>
      <c r="R116" s="73">
        <f>IF(ISNA(IF(AND(VLOOKUP(CONCATENATE($D116,$G116),CSRFinput!$B:$E,4,0)=0,OR(H116=MappingTables!$C$31,H116=MappingTables!$C$32)),1,VLOOKUP(CONCATENATE($D116,$G116),CSRFinput!$B:$E,4,0))),0,IF(AND(VLOOKUP(CONCATENATE($D116,$G116),CSRFinput!$B:$E,4,0)=0,OR(H116=MappingTables!$C$31,H116=MappingTables!$C$32)),1,VLOOKUP(CONCATENATE($D116,$G116),CSRFinput!$B:$E,4,0)))</f>
        <v>0.054776304963434752</v>
      </c>
      <c r="S116" s="73">
        <f>IF(B116="",0,P116*R116)</f>
        <v>15.793222617684368</v>
      </c>
      <c r="T116" s="85">
        <f>IF(B116="",0,IF(OR(H116=MappingTables!$C$34,H116=MappingTables!$C$35),S116,0))</f>
        <v>0</v>
      </c>
    </row>
    <row r="117" spans="2:20" s="0" customFormat="0" ht="15">
      <c r="B117" s="69" t="s">
        <v>3481</v>
      </c>
      <c r="C117" s="70" t="s">
        <v>3482</v>
      </c>
      <c r="D117" s="70" t="s">
        <v>1</v>
      </c>
      <c r="E117" s="70" t="s">
        <v>1</v>
      </c>
      <c r="F117" s="70"/>
      <c r="G117" s="70" t="s">
        <v>61</v>
      </c>
      <c r="H117" s="70" t="s">
        <v>178</v>
      </c>
      <c r="I117" s="70" t="s">
        <v>204</v>
      </c>
      <c r="J117" s="71">
        <f>IF(OR(I117=0,I117=""),"unrated",VLOOKUP(I117,MappingTables!$B$19:$C$31,2,FALSE))</f>
        <v>6</v>
      </c>
      <c r="K117" s="72">
        <v>50.501105439411808</v>
      </c>
      <c r="L117" s="70">
        <v>0.054795327728343192</v>
      </c>
      <c r="M117" s="71">
        <f>IF(L117&lt;1,1,L117)</f>
        <v>1</v>
      </c>
      <c r="N117" s="70" t="s">
        <v>3288</v>
      </c>
      <c r="O117" s="71">
        <f>IF(OR(I117=$A$1,I117=0),"",IF(N117=MappingTables!$C$14,VLOOKUP(J117,ModelParameters!$M$8:$N$15,2,FALSE),IF(N117=MappingTables!$C$16,VLOOKUP(J117,ModelParameters!$P$8:$Q$15,2,FALSE),0)))</f>
        <v>1</v>
      </c>
      <c r="P117" s="73">
        <f>IF(OR(I117=0,I117=$A$1),0,MIN(O117*M117,1)*K117)</f>
        <v>50.501105439411808</v>
      </c>
      <c r="Q117" s="73">
        <f>IF(B117="",0,IF(OR(H117=MappingTables!$C$34,H117=MappingTables!$C$35),P117,0))</f>
        <v>0</v>
      </c>
      <c r="R117" s="73">
        <f>IF(ISNA(IF(AND(VLOOKUP(CONCATENATE($D117,$G117),CSRFinput!$B:$E,4,0)=0,OR(H117=MappingTables!$C$31,H117=MappingTables!$C$32)),1,VLOOKUP(CONCATENATE($D117,$G117),CSRFinput!$B:$E,4,0))),0,IF(AND(VLOOKUP(CONCATENATE($D117,$G117),CSRFinput!$B:$E,4,0)=0,OR(H117=MappingTables!$C$31,H117=MappingTables!$C$32)),1,VLOOKUP(CONCATENATE($D117,$G117),CSRFinput!$B:$E,4,0)))</f>
        <v>0.054776304963434752</v>
      </c>
      <c r="S117" s="73">
        <f>IF(B117="",0,P117*R117)</f>
        <v>2.7662639525397948</v>
      </c>
      <c r="T117" s="85">
        <f>IF(B117="",0,IF(OR(H117=MappingTables!$C$34,H117=MappingTables!$C$35),S117,0))</f>
        <v>0</v>
      </c>
    </row>
    <row r="118" spans="2:20" s="0" customFormat="0" ht="15">
      <c r="B118" s="69" t="s">
        <v>3483</v>
      </c>
      <c r="C118" s="70" t="s">
        <v>3484</v>
      </c>
      <c r="D118" s="70" t="s">
        <v>1</v>
      </c>
      <c r="E118" s="70" t="s">
        <v>1</v>
      </c>
      <c r="F118" s="70"/>
      <c r="G118" s="70" t="s">
        <v>61</v>
      </c>
      <c r="H118" s="70" t="s">
        <v>178</v>
      </c>
      <c r="I118" s="70" t="s">
        <v>204</v>
      </c>
      <c r="J118" s="71">
        <f>IF(OR(I118=0,I118=""),"unrated",VLOOKUP(I118,MappingTables!$B$19:$C$31,2,FALSE))</f>
        <v>6</v>
      </c>
      <c r="K118" s="72">
        <v>66.2611196374034</v>
      </c>
      <c r="L118" s="70">
        <v>0.0650860370477334</v>
      </c>
      <c r="M118" s="71">
        <f>IF(L118&lt;1,1,L118)</f>
        <v>1</v>
      </c>
      <c r="N118" s="70" t="s">
        <v>3288</v>
      </c>
      <c r="O118" s="71">
        <f>IF(OR(I118=$A$1,I118=0),"",IF(N118=MappingTables!$C$14,VLOOKUP(J118,ModelParameters!$M$8:$N$15,2,FALSE),IF(N118=MappingTables!$C$16,VLOOKUP(J118,ModelParameters!$P$8:$Q$15,2,FALSE),0)))</f>
        <v>1</v>
      </c>
      <c r="P118" s="73">
        <f>IF(OR(I118=0,I118=$A$1),0,MIN(O118*M118,1)*K118)</f>
        <v>66.2611196374034</v>
      </c>
      <c r="Q118" s="73">
        <f>IF(B118="",0,IF(OR(H118=MappingTables!$C$34,H118=MappingTables!$C$35),P118,0))</f>
        <v>0</v>
      </c>
      <c r="R118" s="73">
        <f>IF(ISNA(IF(AND(VLOOKUP(CONCATENATE($D118,$G118),CSRFinput!$B:$E,4,0)=0,OR(H118=MappingTables!$C$31,H118=MappingTables!$C$32)),1,VLOOKUP(CONCATENATE($D118,$G118),CSRFinput!$B:$E,4,0))),0,IF(AND(VLOOKUP(CONCATENATE($D118,$G118),CSRFinput!$B:$E,4,0)=0,OR(H118=MappingTables!$C$31,H118=MappingTables!$C$32)),1,VLOOKUP(CONCATENATE($D118,$G118),CSRFinput!$B:$E,4,0)))</f>
        <v>0.054776304963434752</v>
      </c>
      <c r="S118" s="73">
        <f>IF(B118="",0,P118*R118)</f>
        <v>3.629539296477044</v>
      </c>
      <c r="T118" s="85">
        <f>IF(B118="",0,IF(OR(H118=MappingTables!$C$34,H118=MappingTables!$C$35),S118,0))</f>
        <v>0</v>
      </c>
    </row>
    <row r="119" spans="2:20" s="0" customFormat="0" ht="15">
      <c r="B119" s="69">
        <v>22623646</v>
      </c>
      <c r="C119" s="70" t="s">
        <v>3485</v>
      </c>
      <c r="D119" s="70" t="s">
        <v>1</v>
      </c>
      <c r="E119" s="70" t="s">
        <v>1</v>
      </c>
      <c r="F119" s="70"/>
      <c r="G119" s="70" t="s">
        <v>61</v>
      </c>
      <c r="H119" s="70" t="s">
        <v>178</v>
      </c>
      <c r="I119" s="70" t="s">
        <v>216</v>
      </c>
      <c r="J119" s="71">
        <f>IF(OR(I119=0,I119=""),"unrated",VLOOKUP(I119,MappingTables!$B$19:$C$31,2,FALSE))</f>
        <v>0</v>
      </c>
      <c r="K119" s="72">
        <v>76.550363861996672</v>
      </c>
      <c r="L119" s="70">
        <v>0.082314502687508304</v>
      </c>
      <c r="M119" s="71">
        <f>IF(L119&lt;1,1,L119)</f>
        <v>1</v>
      </c>
      <c r="N119" s="70" t="s">
        <v>3288</v>
      </c>
      <c r="O119" s="71">
        <f>IF(OR(I119=$A$1,I119=0),"",IF(N119=MappingTables!$C$14,VLOOKUP(J119,ModelParameters!$M$8:$N$15,2,FALSE),IF(N119=MappingTables!$C$16,VLOOKUP(J119,ModelParameters!$P$8:$Q$15,2,FALSE),0)))</f>
        <v>0.125</v>
      </c>
      <c r="P119" s="73">
        <f>IF(OR(I119=0,I119=$A$1),0,MIN(O119*M119,1)*K119)</f>
        <v>9.568795482749584</v>
      </c>
      <c r="Q119" s="73">
        <f>IF(B119="",0,IF(OR(H119=MappingTables!$C$34,H119=MappingTables!$C$35),P119,0))</f>
        <v>0</v>
      </c>
      <c r="R119" s="73">
        <f>IF(ISNA(IF(AND(VLOOKUP(CONCATENATE($D119,$G119),CSRFinput!$B:$E,4,0)=0,OR(H119=MappingTables!$C$31,H119=MappingTables!$C$32)),1,VLOOKUP(CONCATENATE($D119,$G119),CSRFinput!$B:$E,4,0))),0,IF(AND(VLOOKUP(CONCATENATE($D119,$G119),CSRFinput!$B:$E,4,0)=0,OR(H119=MappingTables!$C$31,H119=MappingTables!$C$32)),1,VLOOKUP(CONCATENATE($D119,$G119),CSRFinput!$B:$E,4,0)))</f>
        <v>0.054776304963434752</v>
      </c>
      <c r="S119" s="73">
        <f>IF(B119="",0,P119*R119)</f>
        <v>0.52414325949582808</v>
      </c>
      <c r="T119" s="85">
        <f>IF(B119="",0,IF(OR(H119=MappingTables!$C$34,H119=MappingTables!$C$35),S119,0))</f>
        <v>0</v>
      </c>
    </row>
    <row r="120" spans="2:20" s="0" customFormat="0" ht="15">
      <c r="B120" s="69">
        <v>22554205</v>
      </c>
      <c r="C120" s="70" t="s">
        <v>3486</v>
      </c>
      <c r="D120" s="70" t="s">
        <v>1</v>
      </c>
      <c r="E120" s="70" t="s">
        <v>1</v>
      </c>
      <c r="F120" s="70"/>
      <c r="G120" s="70" t="s">
        <v>61</v>
      </c>
      <c r="H120" s="70" t="s">
        <v>178</v>
      </c>
      <c r="I120" s="70" t="s">
        <v>198</v>
      </c>
      <c r="J120" s="71" t="str">
        <f>IF(OR(I120=0,I120=""),"unrated",VLOOKUP(I120,MappingTables!$B$19:$C$31,2,FALSE))</f>
        <v>unrated</v>
      </c>
      <c r="K120" s="72">
        <v>1653.4429638145526</v>
      </c>
      <c r="L120" s="70">
        <v>0.068493523885994224</v>
      </c>
      <c r="M120" s="71">
        <f>IF(L120&lt;1,1,L120)</f>
        <v>1</v>
      </c>
      <c r="N120" s="70" t="s">
        <v>3288</v>
      </c>
      <c r="O120" s="71">
        <f>IF(OR(I120=$A$1,I120=0),"",IF(N120=MappingTables!$C$14,VLOOKUP(J120,ModelParameters!$M$8:$N$15,2,FALSE),IF(N120=MappingTables!$C$16,VLOOKUP(J120,ModelParameters!$P$8:$Q$15,2,FALSE),0)))</f>
        <v>1</v>
      </c>
      <c r="P120" s="73">
        <f>IF(OR(I120=0,I120=$A$1),0,MIN(O120*M120,1)*K120)</f>
        <v>1653.4429638145526</v>
      </c>
      <c r="Q120" s="73">
        <f>IF(B120="",0,IF(OR(H120=MappingTables!$C$34,H120=MappingTables!$C$35),P120,0))</f>
        <v>0</v>
      </c>
      <c r="R120" s="73">
        <f>IF(ISNA(IF(AND(VLOOKUP(CONCATENATE($D120,$G120),CSRFinput!$B:$E,4,0)=0,OR(H120=MappingTables!$C$31,H120=MappingTables!$C$32)),1,VLOOKUP(CONCATENATE($D120,$G120),CSRFinput!$B:$E,4,0))),0,IF(AND(VLOOKUP(CONCATENATE($D120,$G120),CSRFinput!$B:$E,4,0)=0,OR(H120=MappingTables!$C$31,H120=MappingTables!$C$32)),1,VLOOKUP(CONCATENATE($D120,$G120),CSRFinput!$B:$E,4,0)))</f>
        <v>0.054776304963434752</v>
      </c>
      <c r="S120" s="73">
        <f>IF(B120="",0,P120*R120)</f>
        <v>90.569496025551344</v>
      </c>
      <c r="T120" s="85">
        <f>IF(B120="",0,IF(OR(H120=MappingTables!$C$34,H120=MappingTables!$C$35),S120,0))</f>
        <v>0</v>
      </c>
    </row>
    <row r="121" spans="2:20" s="0" customFormat="0" ht="15">
      <c r="B121" s="69">
        <v>22623692</v>
      </c>
      <c r="C121" s="70" t="s">
        <v>3487</v>
      </c>
      <c r="D121" s="70" t="s">
        <v>1</v>
      </c>
      <c r="E121" s="70" t="s">
        <v>1</v>
      </c>
      <c r="F121" s="70"/>
      <c r="G121" s="70" t="s">
        <v>61</v>
      </c>
      <c r="H121" s="70" t="s">
        <v>178</v>
      </c>
      <c r="I121" s="70" t="s">
        <v>513</v>
      </c>
      <c r="J121" s="71">
        <f>IF(OR(I121=0,I121=""),"unrated",VLOOKUP(I121,MappingTables!$B$19:$C$31,2,FALSE))</f>
        <v>6</v>
      </c>
      <c r="K121" s="72">
        <v>63.51141667098564</v>
      </c>
      <c r="L121" s="70">
        <v>0.068492762893935576</v>
      </c>
      <c r="M121" s="71">
        <f>IF(L121&lt;1,1,L121)</f>
        <v>1</v>
      </c>
      <c r="N121" s="70" t="s">
        <v>3288</v>
      </c>
      <c r="O121" s="71">
        <f>IF(OR(I121=$A$1,I121=0),"",IF(N121=MappingTables!$C$14,VLOOKUP(J121,ModelParameters!$M$8:$N$15,2,FALSE),IF(N121=MappingTables!$C$16,VLOOKUP(J121,ModelParameters!$P$8:$Q$15,2,FALSE),0)))</f>
        <v>1</v>
      </c>
      <c r="P121" s="73">
        <f>IF(OR(I121=0,I121=$A$1),0,MIN(O121*M121,1)*K121)</f>
        <v>63.51141667098564</v>
      </c>
      <c r="Q121" s="73">
        <f>IF(B121="",0,IF(OR(H121=MappingTables!$C$34,H121=MappingTables!$C$35),P121,0))</f>
        <v>0</v>
      </c>
      <c r="R121" s="73">
        <f>IF(ISNA(IF(AND(VLOOKUP(CONCATENATE($D121,$G121),CSRFinput!$B:$E,4,0)=0,OR(H121=MappingTables!$C$31,H121=MappingTables!$C$32)),1,VLOOKUP(CONCATENATE($D121,$G121),CSRFinput!$B:$E,4,0))),0,IF(AND(VLOOKUP(CONCATENATE($D121,$G121),CSRFinput!$B:$E,4,0)=0,OR(H121=MappingTables!$C$31,H121=MappingTables!$C$32)),1,VLOOKUP(CONCATENATE($D121,$G121),CSRFinput!$B:$E,4,0)))</f>
        <v>0.054776304963434752</v>
      </c>
      <c r="S121" s="73">
        <f>IF(B121="",0,P121*R121)</f>
        <v>3.4789207282296832</v>
      </c>
      <c r="T121" s="85">
        <f>IF(B121="",0,IF(OR(H121=MappingTables!$C$34,H121=MappingTables!$C$35),S121,0))</f>
        <v>0</v>
      </c>
    </row>
    <row r="122" spans="2:20" s="0" customFormat="0" ht="15">
      <c r="B122" s="69">
        <v>22554533</v>
      </c>
      <c r="C122" s="70" t="s">
        <v>3488</v>
      </c>
      <c r="D122" s="70" t="s">
        <v>1</v>
      </c>
      <c r="E122" s="70" t="s">
        <v>1</v>
      </c>
      <c r="F122" s="70"/>
      <c r="G122" s="70" t="s">
        <v>61</v>
      </c>
      <c r="H122" s="70" t="s">
        <v>178</v>
      </c>
      <c r="I122" s="70" t="s">
        <v>198</v>
      </c>
      <c r="J122" s="71" t="str">
        <f>IF(OR(I122=0,I122=""),"unrated",VLOOKUP(I122,MappingTables!$B$19:$C$31,2,FALSE))</f>
        <v>unrated</v>
      </c>
      <c r="K122" s="72">
        <v>755.27729824268592</v>
      </c>
      <c r="L122" s="70">
        <v>0.47913426397756944</v>
      </c>
      <c r="M122" s="71">
        <f>IF(L122&lt;1,1,L122)</f>
        <v>1</v>
      </c>
      <c r="N122" s="70" t="s">
        <v>3288</v>
      </c>
      <c r="O122" s="71">
        <f>IF(OR(I122=$A$1,I122=0),"",IF(N122=MappingTables!$C$14,VLOOKUP(J122,ModelParameters!$M$8:$N$15,2,FALSE),IF(N122=MappingTables!$C$16,VLOOKUP(J122,ModelParameters!$P$8:$Q$15,2,FALSE),0)))</f>
        <v>1</v>
      </c>
      <c r="P122" s="73">
        <f>IF(OR(I122=0,I122=$A$1),0,MIN(O122*M122,1)*K122)</f>
        <v>755.27729824268592</v>
      </c>
      <c r="Q122" s="73">
        <f>IF(B122="",0,IF(OR(H122=MappingTables!$C$34,H122=MappingTables!$C$35),P122,0))</f>
        <v>0</v>
      </c>
      <c r="R122" s="73">
        <f>IF(ISNA(IF(AND(VLOOKUP(CONCATENATE($D122,$G122),CSRFinput!$B:$E,4,0)=0,OR(H122=MappingTables!$C$31,H122=MappingTables!$C$32)),1,VLOOKUP(CONCATENATE($D122,$G122),CSRFinput!$B:$E,4,0))),0,IF(AND(VLOOKUP(CONCATENATE($D122,$G122),CSRFinput!$B:$E,4,0)=0,OR(H122=MappingTables!$C$31,H122=MappingTables!$C$32)),1,VLOOKUP(CONCATENATE($D122,$G122),CSRFinput!$B:$E,4,0)))</f>
        <v>0.054776304963434752</v>
      </c>
      <c r="S122" s="73">
        <f>IF(B122="",0,P122*R122)</f>
        <v>41.371299620500424</v>
      </c>
      <c r="T122" s="85">
        <f>IF(B122="",0,IF(OR(H122=MappingTables!$C$34,H122=MappingTables!$C$35),S122,0))</f>
        <v>0</v>
      </c>
    </row>
    <row r="123" spans="2:20" s="0" customFormat="0" ht="15">
      <c r="B123" s="69">
        <v>7065940</v>
      </c>
      <c r="C123" s="70" t="s">
        <v>3489</v>
      </c>
      <c r="D123" s="70" t="s">
        <v>1</v>
      </c>
      <c r="E123" s="70" t="s">
        <v>1</v>
      </c>
      <c r="F123" s="70"/>
      <c r="G123" s="70" t="s">
        <v>61</v>
      </c>
      <c r="H123" s="70" t="s">
        <v>178</v>
      </c>
      <c r="I123" s="70" t="s">
        <v>216</v>
      </c>
      <c r="J123" s="71">
        <f>IF(OR(I123=0,I123=""),"unrated",VLOOKUP(I123,MappingTables!$B$19:$C$31,2,FALSE))</f>
        <v>0</v>
      </c>
      <c r="K123" s="72">
        <v>10.77665887365198</v>
      </c>
      <c r="L123" s="70">
        <v>0.066604983291064904</v>
      </c>
      <c r="M123" s="71">
        <f>IF(L123&lt;1,1,L123)</f>
        <v>1</v>
      </c>
      <c r="N123" s="70" t="s">
        <v>3288</v>
      </c>
      <c r="O123" s="71">
        <f>IF(OR(I123=$A$1,I123=0),"",IF(N123=MappingTables!$C$14,VLOOKUP(J123,ModelParameters!$M$8:$N$15,2,FALSE),IF(N123=MappingTables!$C$16,VLOOKUP(J123,ModelParameters!$P$8:$Q$15,2,FALSE),0)))</f>
        <v>0.125</v>
      </c>
      <c r="P123" s="73">
        <f>IF(OR(I123=0,I123=$A$1),0,MIN(O123*M123,1)*K123)</f>
        <v>1.3470823592064976</v>
      </c>
      <c r="Q123" s="73">
        <f>IF(B123="",0,IF(OR(H123=MappingTables!$C$34,H123=MappingTables!$C$35),P123,0))</f>
        <v>0</v>
      </c>
      <c r="R123" s="73">
        <f>IF(ISNA(IF(AND(VLOOKUP(CONCATENATE($D123,$G123),CSRFinput!$B:$E,4,0)=0,OR(H123=MappingTables!$C$31,H123=MappingTables!$C$32)),1,VLOOKUP(CONCATENATE($D123,$G123),CSRFinput!$B:$E,4,0))),0,IF(AND(VLOOKUP(CONCATENATE($D123,$G123),CSRFinput!$B:$E,4,0)=0,OR(H123=MappingTables!$C$31,H123=MappingTables!$C$32)),1,VLOOKUP(CONCATENATE($D123,$G123),CSRFinput!$B:$E,4,0)))</f>
        <v>0.054776304963434752</v>
      </c>
      <c r="S123" s="73">
        <f>IF(B123="",0,P123*R123)</f>
        <v>0.073788194118758272</v>
      </c>
      <c r="T123" s="85">
        <f>IF(B123="",0,IF(OR(H123=MappingTables!$C$34,H123=MappingTables!$C$35),S123,0))</f>
        <v>0</v>
      </c>
    </row>
    <row r="124" spans="2:20" s="0" customFormat="0" ht="15">
      <c r="B124" s="69" t="s">
        <v>3490</v>
      </c>
      <c r="C124" s="70" t="s">
        <v>3491</v>
      </c>
      <c r="D124" s="70" t="s">
        <v>1</v>
      </c>
      <c r="E124" s="70" t="s">
        <v>1</v>
      </c>
      <c r="F124" s="70"/>
      <c r="G124" s="70" t="s">
        <v>61</v>
      </c>
      <c r="H124" s="70" t="s">
        <v>178</v>
      </c>
      <c r="I124" s="70" t="s">
        <v>188</v>
      </c>
      <c r="J124" s="71">
        <f>IF(OR(I124=0,I124=""),"unrated",VLOOKUP(I124,MappingTables!$B$19:$C$31,2,FALSE))</f>
        <v>2</v>
      </c>
      <c r="K124" s="72">
        <v>93.865723902095856</v>
      </c>
      <c r="L124" s="70">
        <v>0.068496457334725912</v>
      </c>
      <c r="M124" s="71">
        <f>IF(L124&lt;1,1,L124)</f>
        <v>1</v>
      </c>
      <c r="N124" s="70" t="s">
        <v>3288</v>
      </c>
      <c r="O124" s="71">
        <f>IF(OR(I124=$A$1,I124=0),"",IF(N124=MappingTables!$C$14,VLOOKUP(J124,ModelParameters!$M$8:$N$15,2,FALSE),IF(N124=MappingTables!$C$16,VLOOKUP(J124,ModelParameters!$P$8:$Q$15,2,FALSE),0)))</f>
        <v>0.166</v>
      </c>
      <c r="P124" s="73">
        <f>IF(OR(I124=0,I124=$A$1),0,MIN(O124*M124,1)*K124)</f>
        <v>15.581710167747912</v>
      </c>
      <c r="Q124" s="73">
        <f>IF(B124="",0,IF(OR(H124=MappingTables!$C$34,H124=MappingTables!$C$35),P124,0))</f>
        <v>0</v>
      </c>
      <c r="R124" s="73">
        <f>IF(ISNA(IF(AND(VLOOKUP(CONCATENATE($D124,$G124),CSRFinput!$B:$E,4,0)=0,OR(H124=MappingTables!$C$31,H124=MappingTables!$C$32)),1,VLOOKUP(CONCATENATE($D124,$G124),CSRFinput!$B:$E,4,0))),0,IF(AND(VLOOKUP(CONCATENATE($D124,$G124),CSRFinput!$B:$E,4,0)=0,OR(H124=MappingTables!$C$31,H124=MappingTables!$C$32)),1,VLOOKUP(CONCATENATE($D124,$G124),CSRFinput!$B:$E,4,0)))</f>
        <v>0.054776304963434752</v>
      </c>
      <c r="S124" s="73">
        <f>IF(B124="",0,P124*R124)</f>
        <v>0.85350850800041184</v>
      </c>
      <c r="T124" s="85">
        <f>IF(B124="",0,IF(OR(H124=MappingTables!$C$34,H124=MappingTables!$C$35),S124,0))</f>
        <v>0</v>
      </c>
    </row>
    <row r="125" spans="2:20" s="0" customFormat="0" ht="15">
      <c r="B125" s="69" t="s">
        <v>3492</v>
      </c>
      <c r="C125" s="70" t="s">
        <v>3493</v>
      </c>
      <c r="D125" s="70" t="s">
        <v>1</v>
      </c>
      <c r="E125" s="70" t="s">
        <v>1</v>
      </c>
      <c r="F125" s="70"/>
      <c r="G125" s="70" t="s">
        <v>61</v>
      </c>
      <c r="H125" s="70" t="s">
        <v>178</v>
      </c>
      <c r="I125" s="70" t="s">
        <v>204</v>
      </c>
      <c r="J125" s="71">
        <f>IF(OR(I125=0,I125=""),"unrated",VLOOKUP(I125,MappingTables!$B$19:$C$31,2,FALSE))</f>
        <v>6</v>
      </c>
      <c r="K125" s="72">
        <v>106.19578787289864</v>
      </c>
      <c r="L125" s="70">
        <v>0.054218875419749936</v>
      </c>
      <c r="M125" s="71">
        <f>IF(L125&lt;1,1,L125)</f>
        <v>1</v>
      </c>
      <c r="N125" s="70" t="s">
        <v>3288</v>
      </c>
      <c r="O125" s="71">
        <f>IF(OR(I125=$A$1,I125=0),"",IF(N125=MappingTables!$C$14,VLOOKUP(J125,ModelParameters!$M$8:$N$15,2,FALSE),IF(N125=MappingTables!$C$16,VLOOKUP(J125,ModelParameters!$P$8:$Q$15,2,FALSE),0)))</f>
        <v>1</v>
      </c>
      <c r="P125" s="73">
        <f>IF(OR(I125=0,I125=$A$1),0,MIN(O125*M125,1)*K125)</f>
        <v>106.19578787289864</v>
      </c>
      <c r="Q125" s="73">
        <f>IF(B125="",0,IF(OR(H125=MappingTables!$C$34,H125=MappingTables!$C$35),P125,0))</f>
        <v>0</v>
      </c>
      <c r="R125" s="73">
        <f>IF(ISNA(IF(AND(VLOOKUP(CONCATENATE($D125,$G125),CSRFinput!$B:$E,4,0)=0,OR(H125=MappingTables!$C$31,H125=MappingTables!$C$32)),1,VLOOKUP(CONCATENATE($D125,$G125),CSRFinput!$B:$E,4,0))),0,IF(AND(VLOOKUP(CONCATENATE($D125,$G125),CSRFinput!$B:$E,4,0)=0,OR(H125=MappingTables!$C$31,H125=MappingTables!$C$32)),1,VLOOKUP(CONCATENATE($D125,$G125),CSRFinput!$B:$E,4,0)))</f>
        <v>0.054776304963434752</v>
      </c>
      <c r="S125" s="73">
        <f>IF(B125="",0,P125*R125)</f>
        <v>5.8170128623581224</v>
      </c>
      <c r="T125" s="85">
        <f>IF(B125="",0,IF(OR(H125=MappingTables!$C$34,H125=MappingTables!$C$35),S125,0))</f>
        <v>0</v>
      </c>
    </row>
    <row r="126" spans="2:20" s="0" customFormat="0" ht="15">
      <c r="B126" s="69">
        <v>18746159</v>
      </c>
      <c r="C126" s="70" t="s">
        <v>3494</v>
      </c>
      <c r="D126" s="70" t="s">
        <v>1</v>
      </c>
      <c r="E126" s="70" t="s">
        <v>1</v>
      </c>
      <c r="F126" s="70"/>
      <c r="G126" s="70" t="s">
        <v>61</v>
      </c>
      <c r="H126" s="70" t="s">
        <v>178</v>
      </c>
      <c r="I126" s="70" t="s">
        <v>216</v>
      </c>
      <c r="J126" s="71">
        <f>IF(OR(I126=0,I126=""),"unrated",VLOOKUP(I126,MappingTables!$B$19:$C$31,2,FALSE))</f>
        <v>0</v>
      </c>
      <c r="K126" s="72">
        <v>308.86386548644664</v>
      </c>
      <c r="L126" s="70">
        <v>0.054362021463797272</v>
      </c>
      <c r="M126" s="71">
        <f>IF(L126&lt;1,1,L126)</f>
        <v>1</v>
      </c>
      <c r="N126" s="70" t="s">
        <v>3288</v>
      </c>
      <c r="O126" s="71">
        <f>IF(OR(I126=$A$1,I126=0),"",IF(N126=MappingTables!$C$14,VLOOKUP(J126,ModelParameters!$M$8:$N$15,2,FALSE),IF(N126=MappingTables!$C$16,VLOOKUP(J126,ModelParameters!$P$8:$Q$15,2,FALSE),0)))</f>
        <v>0.125</v>
      </c>
      <c r="P126" s="73">
        <f>IF(OR(I126=0,I126=$A$1),0,MIN(O126*M126,1)*K126)</f>
        <v>38.607983185805832</v>
      </c>
      <c r="Q126" s="73">
        <f>IF(B126="",0,IF(OR(H126=MappingTables!$C$34,H126=MappingTables!$C$35),P126,0))</f>
        <v>0</v>
      </c>
      <c r="R126" s="73">
        <f>IF(ISNA(IF(AND(VLOOKUP(CONCATENATE($D126,$G126),CSRFinput!$B:$E,4,0)=0,OR(H126=MappingTables!$C$31,H126=MappingTables!$C$32)),1,VLOOKUP(CONCATENATE($D126,$G126),CSRFinput!$B:$E,4,0))),0,IF(AND(VLOOKUP(CONCATENATE($D126,$G126),CSRFinput!$B:$E,4,0)=0,OR(H126=MappingTables!$C$31,H126=MappingTables!$C$32)),1,VLOOKUP(CONCATENATE($D126,$G126),CSRFinput!$B:$E,4,0)))</f>
        <v>0.054776304963434752</v>
      </c>
      <c r="S126" s="73">
        <f>IF(B126="",0,P126*R126)</f>
        <v>2.1148026610088616</v>
      </c>
      <c r="T126" s="85">
        <f>IF(B126="",0,IF(OR(H126=MappingTables!$C$34,H126=MappingTables!$C$35),S126,0))</f>
        <v>0</v>
      </c>
    </row>
    <row r="127" spans="2:20" s="0" customFormat="0" ht="15">
      <c r="B127" s="69" t="s">
        <v>3495</v>
      </c>
      <c r="C127" s="70" t="s">
        <v>3496</v>
      </c>
      <c r="D127" s="70" t="s">
        <v>1</v>
      </c>
      <c r="E127" s="70" t="s">
        <v>1</v>
      </c>
      <c r="F127" s="70"/>
      <c r="G127" s="70" t="s">
        <v>61</v>
      </c>
      <c r="H127" s="70" t="s">
        <v>178</v>
      </c>
      <c r="I127" s="70" t="s">
        <v>204</v>
      </c>
      <c r="J127" s="71">
        <f>IF(OR(I127=0,I127=""),"unrated",VLOOKUP(I127,MappingTables!$B$19:$C$31,2,FALSE))</f>
        <v>6</v>
      </c>
      <c r="K127" s="72">
        <v>410.47289911348896</v>
      </c>
      <c r="L127" s="70">
        <v>0.054793947653764536</v>
      </c>
      <c r="M127" s="71">
        <f>IF(L127&lt;1,1,L127)</f>
        <v>1</v>
      </c>
      <c r="N127" s="70" t="s">
        <v>3288</v>
      </c>
      <c r="O127" s="71">
        <f>IF(OR(I127=$A$1,I127=0),"",IF(N127=MappingTables!$C$14,VLOOKUP(J127,ModelParameters!$M$8:$N$15,2,FALSE),IF(N127=MappingTables!$C$16,VLOOKUP(J127,ModelParameters!$P$8:$Q$15,2,FALSE),0)))</f>
        <v>1</v>
      </c>
      <c r="P127" s="73">
        <f>IF(OR(I127=0,I127=$A$1),0,MIN(O127*M127,1)*K127)</f>
        <v>410.47289911348896</v>
      </c>
      <c r="Q127" s="73">
        <f>IF(B127="",0,IF(OR(H127=MappingTables!$C$34,H127=MappingTables!$C$35),P127,0))</f>
        <v>0</v>
      </c>
      <c r="R127" s="73">
        <f>IF(ISNA(IF(AND(VLOOKUP(CONCATENATE($D127,$G127),CSRFinput!$B:$E,4,0)=0,OR(H127=MappingTables!$C$31,H127=MappingTables!$C$32)),1,VLOOKUP(CONCATENATE($D127,$G127),CSRFinput!$B:$E,4,0))),0,IF(AND(VLOOKUP(CONCATENATE($D127,$G127),CSRFinput!$B:$E,4,0)=0,OR(H127=MappingTables!$C$31,H127=MappingTables!$C$32)),1,VLOOKUP(CONCATENATE($D127,$G127),CSRFinput!$B:$E,4,0)))</f>
        <v>0.054776304963434752</v>
      </c>
      <c r="S127" s="73">
        <f>IF(B127="",0,P127*R127)</f>
        <v>22.48418870106566</v>
      </c>
      <c r="T127" s="85">
        <f>IF(B127="",0,IF(OR(H127=MappingTables!$C$34,H127=MappingTables!$C$35),S127,0))</f>
        <v>0</v>
      </c>
    </row>
    <row r="128" spans="2:20" s="0" customFormat="0" ht="15">
      <c r="B128" s="69" t="s">
        <v>3497</v>
      </c>
      <c r="C128" s="70" t="s">
        <v>3498</v>
      </c>
      <c r="D128" s="70" t="s">
        <v>1</v>
      </c>
      <c r="E128" s="70" t="s">
        <v>1</v>
      </c>
      <c r="F128" s="70"/>
      <c r="G128" s="70" t="s">
        <v>61</v>
      </c>
      <c r="H128" s="70" t="s">
        <v>178</v>
      </c>
      <c r="I128" s="70" t="s">
        <v>198</v>
      </c>
      <c r="J128" s="71" t="str">
        <f>IF(OR(I128=0,I128=""),"unrated",VLOOKUP(I128,MappingTables!$B$19:$C$31,2,FALSE))</f>
        <v>unrated</v>
      </c>
      <c r="K128" s="72">
        <v>2.1993403936967896</v>
      </c>
      <c r="L128" s="70">
        <v>31.831908574440704</v>
      </c>
      <c r="M128" s="71">
        <f>IF(L128&lt;1,1,L128)</f>
        <v>31.831908574440704</v>
      </c>
      <c r="N128" s="70" t="s">
        <v>3288</v>
      </c>
      <c r="O128" s="71">
        <f>IF(OR(I128=$A$1,I128=0),"",IF(N128=MappingTables!$C$14,VLOOKUP(J128,ModelParameters!$M$8:$N$15,2,FALSE),IF(N128=MappingTables!$C$16,VLOOKUP(J128,ModelParameters!$P$8:$Q$15,2,FALSE),0)))</f>
        <v>1</v>
      </c>
      <c r="P128" s="73">
        <f>IF(OR(I128=0,I128=$A$1),0,MIN(O128*M128,1)*K128)</f>
        <v>2.1993403936967896</v>
      </c>
      <c r="Q128" s="73">
        <f>IF(B128="",0,IF(OR(H128=MappingTables!$C$34,H128=MappingTables!$C$35),P128,0))</f>
        <v>0</v>
      </c>
      <c r="R128" s="73">
        <f>IF(ISNA(IF(AND(VLOOKUP(CONCATENATE($D128,$G128),CSRFinput!$B:$E,4,0)=0,OR(H128=MappingTables!$C$31,H128=MappingTables!$C$32)),1,VLOOKUP(CONCATENATE($D128,$G128),CSRFinput!$B:$E,4,0))),0,IF(AND(VLOOKUP(CONCATENATE($D128,$G128),CSRFinput!$B:$E,4,0)=0,OR(H128=MappingTables!$C$31,H128=MappingTables!$C$32)),1,VLOOKUP(CONCATENATE($D128,$G128),CSRFinput!$B:$E,4,0)))</f>
        <v>0.054776304963434752</v>
      </c>
      <c r="S128" s="73">
        <f>IF(B128="",0,P128*R128)</f>
        <v>0.120471740123536</v>
      </c>
      <c r="T128" s="85">
        <f>IF(B128="",0,IF(OR(H128=MappingTables!$C$34,H128=MappingTables!$C$35),S128,0))</f>
        <v>0</v>
      </c>
    </row>
    <row r="129" spans="2:20" s="0" customFormat="0" ht="15">
      <c r="B129" s="69">
        <v>22554176</v>
      </c>
      <c r="C129" s="70" t="s">
        <v>3499</v>
      </c>
      <c r="D129" s="70" t="s">
        <v>1</v>
      </c>
      <c r="E129" s="70" t="s">
        <v>1</v>
      </c>
      <c r="F129" s="70"/>
      <c r="G129" s="70" t="s">
        <v>61</v>
      </c>
      <c r="H129" s="70" t="s">
        <v>178</v>
      </c>
      <c r="I129" s="70" t="s">
        <v>204</v>
      </c>
      <c r="J129" s="71">
        <f>IF(OR(I129=0,I129=""),"unrated",VLOOKUP(I129,MappingTables!$B$19:$C$31,2,FALSE))</f>
        <v>6</v>
      </c>
      <c r="K129" s="72">
        <v>1364.293769871033</v>
      </c>
      <c r="L129" s="70">
        <v>0.068490890774289024</v>
      </c>
      <c r="M129" s="71">
        <f>IF(L129&lt;1,1,L129)</f>
        <v>1</v>
      </c>
      <c r="N129" s="70" t="s">
        <v>3288</v>
      </c>
      <c r="O129" s="71">
        <f>IF(OR(I129=$A$1,I129=0),"",IF(N129=MappingTables!$C$14,VLOOKUP(J129,ModelParameters!$M$8:$N$15,2,FALSE),IF(N129=MappingTables!$C$16,VLOOKUP(J129,ModelParameters!$P$8:$Q$15,2,FALSE),0)))</f>
        <v>1</v>
      </c>
      <c r="P129" s="73">
        <f>IF(OR(I129=0,I129=$A$1),0,MIN(O129*M129,1)*K129)</f>
        <v>1364.293769871033</v>
      </c>
      <c r="Q129" s="73">
        <f>IF(B129="",0,IF(OR(H129=MappingTables!$C$34,H129=MappingTables!$C$35),P129,0))</f>
        <v>0</v>
      </c>
      <c r="R129" s="73">
        <f>IF(ISNA(IF(AND(VLOOKUP(CONCATENATE($D129,$G129),CSRFinput!$B:$E,4,0)=0,OR(H129=MappingTables!$C$31,H129=MappingTables!$C$32)),1,VLOOKUP(CONCATENATE($D129,$G129),CSRFinput!$B:$E,4,0))),0,IF(AND(VLOOKUP(CONCATENATE($D129,$G129),CSRFinput!$B:$E,4,0)=0,OR(H129=MappingTables!$C$31,H129=MappingTables!$C$32)),1,VLOOKUP(CONCATENATE($D129,$G129),CSRFinput!$B:$E,4,0)))</f>
        <v>0.054776304963434752</v>
      </c>
      <c r="S129" s="73">
        <f>IF(B129="",0,P129*R129)</f>
        <v>74.730971598169776</v>
      </c>
      <c r="T129" s="85">
        <f>IF(B129="",0,IF(OR(H129=MappingTables!$C$34,H129=MappingTables!$C$35),S129,0))</f>
        <v>0</v>
      </c>
    </row>
    <row r="130" spans="2:20" s="0" customFormat="0" ht="15">
      <c r="B130" s="69">
        <v>20113240</v>
      </c>
      <c r="C130" s="70" t="s">
        <v>3500</v>
      </c>
      <c r="D130" s="70" t="s">
        <v>1</v>
      </c>
      <c r="E130" s="70" t="s">
        <v>1</v>
      </c>
      <c r="F130" s="70"/>
      <c r="G130" s="70" t="s">
        <v>61</v>
      </c>
      <c r="H130" s="70" t="s">
        <v>178</v>
      </c>
      <c r="I130" s="70" t="s">
        <v>198</v>
      </c>
      <c r="J130" s="71" t="str">
        <f>IF(OR(I130=0,I130=""),"unrated",VLOOKUP(I130,MappingTables!$B$19:$C$31,2,FALSE))</f>
        <v>unrated</v>
      </c>
      <c r="K130" s="72">
        <v>478.3408380198276</v>
      </c>
      <c r="L130" s="70">
        <v>0.071249498521547576</v>
      </c>
      <c r="M130" s="71">
        <f>IF(L130&lt;1,1,L130)</f>
        <v>1</v>
      </c>
      <c r="N130" s="70" t="s">
        <v>3288</v>
      </c>
      <c r="O130" s="71">
        <f>IF(OR(I130=$A$1,I130=0),"",IF(N130=MappingTables!$C$14,VLOOKUP(J130,ModelParameters!$M$8:$N$15,2,FALSE),IF(N130=MappingTables!$C$16,VLOOKUP(J130,ModelParameters!$P$8:$Q$15,2,FALSE),0)))</f>
        <v>1</v>
      </c>
      <c r="P130" s="73">
        <f>IF(OR(I130=0,I130=$A$1),0,MIN(O130*M130,1)*K130)</f>
        <v>478.3408380198276</v>
      </c>
      <c r="Q130" s="73">
        <f>IF(B130="",0,IF(OR(H130=MappingTables!$C$34,H130=MappingTables!$C$35),P130,0))</f>
        <v>0</v>
      </c>
      <c r="R130" s="73">
        <f>IF(ISNA(IF(AND(VLOOKUP(CONCATENATE($D130,$G130),CSRFinput!$B:$E,4,0)=0,OR(H130=MappingTables!$C$31,H130=MappingTables!$C$32)),1,VLOOKUP(CONCATENATE($D130,$G130),CSRFinput!$B:$E,4,0))),0,IF(AND(VLOOKUP(CONCATENATE($D130,$G130),CSRFinput!$B:$E,4,0)=0,OR(H130=MappingTables!$C$31,H130=MappingTables!$C$32)),1,VLOOKUP(CONCATENATE($D130,$G130),CSRFinput!$B:$E,4,0)))</f>
        <v>0.054776304963434752</v>
      </c>
      <c r="S130" s="73">
        <f>IF(B130="",0,P130*R130)</f>
        <v>26.20174361983902</v>
      </c>
      <c r="T130" s="85">
        <f>IF(B130="",0,IF(OR(H130=MappingTables!$C$34,H130=MappingTables!$C$35),S130,0))</f>
        <v>0</v>
      </c>
    </row>
    <row r="131" spans="2:20" s="0" customFormat="0" ht="15">
      <c r="B131" s="69" t="s">
        <v>3328</v>
      </c>
      <c r="C131" s="70" t="s">
        <v>3329</v>
      </c>
      <c r="D131" s="70" t="s">
        <v>1</v>
      </c>
      <c r="E131" s="70" t="s">
        <v>1</v>
      </c>
      <c r="F131" s="70"/>
      <c r="G131" s="70" t="s">
        <v>61</v>
      </c>
      <c r="H131" s="70" t="s">
        <v>178</v>
      </c>
      <c r="I131" s="70" t="s">
        <v>198</v>
      </c>
      <c r="J131" s="71" t="str">
        <f>IF(OR(I131=0,I131=""),"unrated",VLOOKUP(I131,MappingTables!$B$19:$C$31,2,FALSE))</f>
        <v>unrated</v>
      </c>
      <c r="K131" s="72">
        <v>144.80713321172052</v>
      </c>
      <c r="L131" s="70">
        <v>0.068494332428809552</v>
      </c>
      <c r="M131" s="71">
        <f>IF(L131&lt;1,1,L131)</f>
        <v>1</v>
      </c>
      <c r="N131" s="70" t="s">
        <v>3288</v>
      </c>
      <c r="O131" s="71">
        <f>IF(OR(I131=$A$1,I131=0),"",IF(N131=MappingTables!$C$14,VLOOKUP(J131,ModelParameters!$M$8:$N$15,2,FALSE),IF(N131=MappingTables!$C$16,VLOOKUP(J131,ModelParameters!$P$8:$Q$15,2,FALSE),0)))</f>
        <v>1</v>
      </c>
      <c r="P131" s="73">
        <f>IF(OR(I131=0,I131=$A$1),0,MIN(O131*M131,1)*K131)</f>
        <v>144.80713321172052</v>
      </c>
      <c r="Q131" s="73">
        <f>IF(B131="",0,IF(OR(H131=MappingTables!$C$34,H131=MappingTables!$C$35),P131,0))</f>
        <v>0</v>
      </c>
      <c r="R131" s="73">
        <f>IF(ISNA(IF(AND(VLOOKUP(CONCATENATE($D131,$G131),CSRFinput!$B:$E,4,0)=0,OR(H131=MappingTables!$C$31,H131=MappingTables!$C$32)),1,VLOOKUP(CONCATENATE($D131,$G131),CSRFinput!$B:$E,4,0))),0,IF(AND(VLOOKUP(CONCATENATE($D131,$G131),CSRFinput!$B:$E,4,0)=0,OR(H131=MappingTables!$C$31,H131=MappingTables!$C$32)),1,VLOOKUP(CONCATENATE($D131,$G131),CSRFinput!$B:$E,4,0)))</f>
        <v>0.054776304963434752</v>
      </c>
      <c r="S131" s="73">
        <f>IF(B131="",0,P131*R131)</f>
        <v>7.9319996896859248</v>
      </c>
      <c r="T131" s="85">
        <f>IF(B131="",0,IF(OR(H131=MappingTables!$C$34,H131=MappingTables!$C$35),S131,0))</f>
        <v>0</v>
      </c>
    </row>
    <row r="132" spans="2:20" s="0" customFormat="0" ht="15">
      <c r="B132" s="69">
        <v>16974691</v>
      </c>
      <c r="C132" s="70" t="s">
        <v>3501</v>
      </c>
      <c r="D132" s="70" t="s">
        <v>1</v>
      </c>
      <c r="E132" s="70" t="s">
        <v>1</v>
      </c>
      <c r="F132" s="70"/>
      <c r="G132" s="70" t="s">
        <v>61</v>
      </c>
      <c r="H132" s="70" t="s">
        <v>178</v>
      </c>
      <c r="I132" s="70" t="s">
        <v>198</v>
      </c>
      <c r="J132" s="71" t="str">
        <f>IF(OR(I132=0,I132=""),"unrated",VLOOKUP(I132,MappingTables!$B$19:$C$31,2,FALSE))</f>
        <v>unrated</v>
      </c>
      <c r="K132" s="72">
        <v>608.9290286117116</v>
      </c>
      <c r="L132" s="70">
        <v>0.053109819402710576</v>
      </c>
      <c r="M132" s="71">
        <f>IF(L132&lt;1,1,L132)</f>
        <v>1</v>
      </c>
      <c r="N132" s="70" t="s">
        <v>3288</v>
      </c>
      <c r="O132" s="71">
        <f>IF(OR(I132=$A$1,I132=0),"",IF(N132=MappingTables!$C$14,VLOOKUP(J132,ModelParameters!$M$8:$N$15,2,FALSE),IF(N132=MappingTables!$C$16,VLOOKUP(J132,ModelParameters!$P$8:$Q$15,2,FALSE),0)))</f>
        <v>1</v>
      </c>
      <c r="P132" s="73">
        <f>IF(OR(I132=0,I132=$A$1),0,MIN(O132*M132,1)*K132)</f>
        <v>608.9290286117116</v>
      </c>
      <c r="Q132" s="73">
        <f>IF(B132="",0,IF(OR(H132=MappingTables!$C$34,H132=MappingTables!$C$35),P132,0))</f>
        <v>0</v>
      </c>
      <c r="R132" s="73">
        <f>IF(ISNA(IF(AND(VLOOKUP(CONCATENATE($D132,$G132),CSRFinput!$B:$E,4,0)=0,OR(H132=MappingTables!$C$31,H132=MappingTables!$C$32)),1,VLOOKUP(CONCATENATE($D132,$G132),CSRFinput!$B:$E,4,0))),0,IF(AND(VLOOKUP(CONCATENATE($D132,$G132),CSRFinput!$B:$E,4,0)=0,OR(H132=MappingTables!$C$31,H132=MappingTables!$C$32)),1,VLOOKUP(CONCATENATE($D132,$G132),CSRFinput!$B:$E,4,0)))</f>
        <v>0.054776304963434752</v>
      </c>
      <c r="S132" s="73">
        <f>IF(B132="",0,P132*R132)</f>
        <v>33.3548821723232</v>
      </c>
      <c r="T132" s="85">
        <f>IF(B132="",0,IF(OR(H132=MappingTables!$C$34,H132=MappingTables!$C$35),S132,0))</f>
        <v>0</v>
      </c>
    </row>
    <row r="133" spans="2:20" s="0" customFormat="0" ht="15">
      <c r="B133" s="69">
        <v>22554528</v>
      </c>
      <c r="C133" s="70" t="s">
        <v>3502</v>
      </c>
      <c r="D133" s="70" t="s">
        <v>1</v>
      </c>
      <c r="E133" s="70" t="s">
        <v>1</v>
      </c>
      <c r="F133" s="70"/>
      <c r="G133" s="70" t="s">
        <v>61</v>
      </c>
      <c r="H133" s="70" t="s">
        <v>178</v>
      </c>
      <c r="I133" s="70" t="s">
        <v>513</v>
      </c>
      <c r="J133" s="71">
        <f>IF(OR(I133=0,I133=""),"unrated",VLOOKUP(I133,MappingTables!$B$19:$C$31,2,FALSE))</f>
        <v>6</v>
      </c>
      <c r="K133" s="72">
        <v>3623.0082560208256</v>
      </c>
      <c r="L133" s="70">
        <v>0.068491109533832568</v>
      </c>
      <c r="M133" s="71">
        <f>IF(L133&lt;1,1,L133)</f>
        <v>1</v>
      </c>
      <c r="N133" s="70" t="s">
        <v>3288</v>
      </c>
      <c r="O133" s="71">
        <f>IF(OR(I133=$A$1,I133=0),"",IF(N133=MappingTables!$C$14,VLOOKUP(J133,ModelParameters!$M$8:$N$15,2,FALSE),IF(N133=MappingTables!$C$16,VLOOKUP(J133,ModelParameters!$P$8:$Q$15,2,FALSE),0)))</f>
        <v>1</v>
      </c>
      <c r="P133" s="73">
        <f>IF(OR(I133=0,I133=$A$1),0,MIN(O133*M133,1)*K133)</f>
        <v>3623.0082560208256</v>
      </c>
      <c r="Q133" s="73">
        <f>IF(B133="",0,IF(OR(H133=MappingTables!$C$34,H133=MappingTables!$C$35),P133,0))</f>
        <v>0</v>
      </c>
      <c r="R133" s="73">
        <f>IF(ISNA(IF(AND(VLOOKUP(CONCATENATE($D133,$G133),CSRFinput!$B:$E,4,0)=0,OR(H133=MappingTables!$C$31,H133=MappingTables!$C$32)),1,VLOOKUP(CONCATENATE($D133,$G133),CSRFinput!$B:$E,4,0))),0,IF(AND(VLOOKUP(CONCATENATE($D133,$G133),CSRFinput!$B:$E,4,0)=0,OR(H133=MappingTables!$C$31,H133=MappingTables!$C$32)),1,VLOOKUP(CONCATENATE($D133,$G133),CSRFinput!$B:$E,4,0)))</f>
        <v>0.054776304963434752</v>
      </c>
      <c r="S133" s="73">
        <f>IF(B133="",0,P133*R133)</f>
        <v>198.45500511683864</v>
      </c>
      <c r="T133" s="85">
        <f>IF(B133="",0,IF(OR(H133=MappingTables!$C$34,H133=MappingTables!$C$35),S133,0))</f>
        <v>0</v>
      </c>
    </row>
    <row r="134" spans="2:20" s="0" customFormat="0" ht="15">
      <c r="B134" s="69">
        <v>22623686</v>
      </c>
      <c r="C134" s="70" t="s">
        <v>3503</v>
      </c>
      <c r="D134" s="70" t="s">
        <v>1</v>
      </c>
      <c r="E134" s="70" t="s">
        <v>1</v>
      </c>
      <c r="F134" s="70"/>
      <c r="G134" s="70" t="s">
        <v>61</v>
      </c>
      <c r="H134" s="70" t="s">
        <v>178</v>
      </c>
      <c r="I134" s="70" t="s">
        <v>181</v>
      </c>
      <c r="J134" s="71">
        <f>IF(OR(I134=0,I134=""),"unrated",VLOOKUP(I134,MappingTables!$B$19:$C$31,2,FALSE))</f>
        <v>3</v>
      </c>
      <c r="K134" s="72">
        <v>371.67277718812368</v>
      </c>
      <c r="L134" s="70">
        <v>0.068493752337205632</v>
      </c>
      <c r="M134" s="71">
        <f>IF(L134&lt;1,1,L134)</f>
        <v>1</v>
      </c>
      <c r="N134" s="70" t="s">
        <v>3288</v>
      </c>
      <c r="O134" s="71">
        <f>IF(OR(I134=$A$1,I134=0),"",IF(N134=MappingTables!$C$14,VLOOKUP(J134,ModelParameters!$M$8:$N$15,2,FALSE),IF(N134=MappingTables!$C$16,VLOOKUP(J134,ModelParameters!$P$8:$Q$15,2,FALSE),0)))</f>
        <v>0.197</v>
      </c>
      <c r="P134" s="73">
        <f>IF(OR(I134=0,I134=$A$1),0,MIN(O134*M134,1)*K134)</f>
        <v>73.219537106060352</v>
      </c>
      <c r="Q134" s="73">
        <f>IF(B134="",0,IF(OR(H134=MappingTables!$C$34,H134=MappingTables!$C$35),P134,0))</f>
        <v>0</v>
      </c>
      <c r="R134" s="73">
        <f>IF(ISNA(IF(AND(VLOOKUP(CONCATENATE($D134,$G134),CSRFinput!$B:$E,4,0)=0,OR(H134=MappingTables!$C$31,H134=MappingTables!$C$32)),1,VLOOKUP(CONCATENATE($D134,$G134),CSRFinput!$B:$E,4,0))),0,IF(AND(VLOOKUP(CONCATENATE($D134,$G134),CSRFinput!$B:$E,4,0)=0,OR(H134=MappingTables!$C$31,H134=MappingTables!$C$32)),1,VLOOKUP(CONCATENATE($D134,$G134),CSRFinput!$B:$E,4,0)))</f>
        <v>0.054776304963434752</v>
      </c>
      <c r="S134" s="73">
        <f>IF(B134="",0,P134*R134)</f>
        <v>4.0106956938030888</v>
      </c>
      <c r="T134" s="85">
        <f>IF(B134="",0,IF(OR(H134=MappingTables!$C$34,H134=MappingTables!$C$35),S134,0))</f>
        <v>0</v>
      </c>
    </row>
    <row r="135" spans="2:20" s="0" customFormat="0" ht="15">
      <c r="B135" s="69" t="s">
        <v>3504</v>
      </c>
      <c r="C135" s="70" t="s">
        <v>3505</v>
      </c>
      <c r="D135" s="70" t="s">
        <v>1</v>
      </c>
      <c r="E135" s="70" t="s">
        <v>1</v>
      </c>
      <c r="F135" s="70"/>
      <c r="G135" s="70" t="s">
        <v>61</v>
      </c>
      <c r="H135" s="70" t="s">
        <v>178</v>
      </c>
      <c r="I135" s="70" t="s">
        <v>198</v>
      </c>
      <c r="J135" s="71" t="str">
        <f>IF(OR(I135=0,I135=""),"unrated",VLOOKUP(I135,MappingTables!$B$19:$C$31,2,FALSE))</f>
        <v>unrated</v>
      </c>
      <c r="K135" s="72">
        <v>262.54890281998888</v>
      </c>
      <c r="L135" s="70">
        <v>0.068494116786966096</v>
      </c>
      <c r="M135" s="71">
        <f>IF(L135&lt;1,1,L135)</f>
        <v>1</v>
      </c>
      <c r="N135" s="70" t="s">
        <v>3288</v>
      </c>
      <c r="O135" s="71">
        <f>IF(OR(I135=$A$1,I135=0),"",IF(N135=MappingTables!$C$14,VLOOKUP(J135,ModelParameters!$M$8:$N$15,2,FALSE),IF(N135=MappingTables!$C$16,VLOOKUP(J135,ModelParameters!$P$8:$Q$15,2,FALSE),0)))</f>
        <v>1</v>
      </c>
      <c r="P135" s="73">
        <f>IF(OR(I135=0,I135=$A$1),0,MIN(O135*M135,1)*K135)</f>
        <v>262.54890281998888</v>
      </c>
      <c r="Q135" s="73">
        <f>IF(B135="",0,IF(OR(H135=MappingTables!$C$34,H135=MappingTables!$C$35),P135,0))</f>
        <v>0</v>
      </c>
      <c r="R135" s="73">
        <f>IF(ISNA(IF(AND(VLOOKUP(CONCATENATE($D135,$G135),CSRFinput!$B:$E,4,0)=0,OR(H135=MappingTables!$C$31,H135=MappingTables!$C$32)),1,VLOOKUP(CONCATENATE($D135,$G135),CSRFinput!$B:$E,4,0))),0,IF(AND(VLOOKUP(CONCATENATE($D135,$G135),CSRFinput!$B:$E,4,0)=0,OR(H135=MappingTables!$C$31,H135=MappingTables!$C$32)),1,VLOOKUP(CONCATENATE($D135,$G135),CSRFinput!$B:$E,4,0)))</f>
        <v>0.054776304963434752</v>
      </c>
      <c r="S135" s="73">
        <f>IF(B135="",0,P135*R135)</f>
        <v>14.381458768682906</v>
      </c>
      <c r="T135" s="85">
        <f>IF(B135="",0,IF(OR(H135=MappingTables!$C$34,H135=MappingTables!$C$35),S135,0))</f>
        <v>0</v>
      </c>
    </row>
    <row r="136" spans="2:20" s="0" customFormat="0" ht="15">
      <c r="B136" s="69">
        <v>16974606</v>
      </c>
      <c r="C136" s="70" t="s">
        <v>3506</v>
      </c>
      <c r="D136" s="70" t="s">
        <v>1</v>
      </c>
      <c r="E136" s="70" t="s">
        <v>1</v>
      </c>
      <c r="F136" s="70"/>
      <c r="G136" s="70" t="s">
        <v>61</v>
      </c>
      <c r="H136" s="70" t="s">
        <v>178</v>
      </c>
      <c r="I136" s="70" t="s">
        <v>216</v>
      </c>
      <c r="J136" s="71">
        <f>IF(OR(I136=0,I136=""),"unrated",VLOOKUP(I136,MappingTables!$B$19:$C$31,2,FALSE))</f>
        <v>0</v>
      </c>
      <c r="K136" s="72">
        <v>65.042795774192384</v>
      </c>
      <c r="L136" s="70">
        <v>0.049917410904238952</v>
      </c>
      <c r="M136" s="71">
        <f>IF(L136&lt;1,1,L136)</f>
        <v>1</v>
      </c>
      <c r="N136" s="70" t="s">
        <v>3288</v>
      </c>
      <c r="O136" s="71">
        <f>IF(OR(I136=$A$1,I136=0),"",IF(N136=MappingTables!$C$14,VLOOKUP(J136,ModelParameters!$M$8:$N$15,2,FALSE),IF(N136=MappingTables!$C$16,VLOOKUP(J136,ModelParameters!$P$8:$Q$15,2,FALSE),0)))</f>
        <v>0.125</v>
      </c>
      <c r="P136" s="73">
        <f>IF(OR(I136=0,I136=$A$1),0,MIN(O136*M136,1)*K136)</f>
        <v>8.130349471774048</v>
      </c>
      <c r="Q136" s="73">
        <f>IF(B136="",0,IF(OR(H136=MappingTables!$C$34,H136=MappingTables!$C$35),P136,0))</f>
        <v>0</v>
      </c>
      <c r="R136" s="73">
        <f>IF(ISNA(IF(AND(VLOOKUP(CONCATENATE($D136,$G136),CSRFinput!$B:$E,4,0)=0,OR(H136=MappingTables!$C$31,H136=MappingTables!$C$32)),1,VLOOKUP(CONCATENATE($D136,$G136),CSRFinput!$B:$E,4,0))),0,IF(AND(VLOOKUP(CONCATENATE($D136,$G136),CSRFinput!$B:$E,4,0)=0,OR(H136=MappingTables!$C$31,H136=MappingTables!$C$32)),1,VLOOKUP(CONCATENATE($D136,$G136),CSRFinput!$B:$E,4,0)))</f>
        <v>0.054776304963434752</v>
      </c>
      <c r="S136" s="73">
        <f>IF(B136="",0,P136*R136)</f>
        <v>0.44535050212519592</v>
      </c>
      <c r="T136" s="85">
        <f>IF(B136="",0,IF(OR(H136=MappingTables!$C$34,H136=MappingTables!$C$35),S136,0))</f>
        <v>0</v>
      </c>
    </row>
    <row r="137" spans="2:20" s="0" customFormat="0" ht="15">
      <c r="B137" s="69" t="s">
        <v>3507</v>
      </c>
      <c r="C137" s="70" t="s">
        <v>3508</v>
      </c>
      <c r="D137" s="70" t="s">
        <v>1</v>
      </c>
      <c r="E137" s="70" t="s">
        <v>1</v>
      </c>
      <c r="F137" s="70"/>
      <c r="G137" s="70" t="s">
        <v>61</v>
      </c>
      <c r="H137" s="70" t="s">
        <v>178</v>
      </c>
      <c r="I137" s="70" t="s">
        <v>198</v>
      </c>
      <c r="J137" s="71" t="str">
        <f>IF(OR(I137=0,I137=""),"unrated",VLOOKUP(I137,MappingTables!$B$19:$C$31,2,FALSE))</f>
        <v>unrated</v>
      </c>
      <c r="K137" s="72">
        <v>1810.8769393460272</v>
      </c>
      <c r="L137" s="70">
        <v>9.2607954931852192</v>
      </c>
      <c r="M137" s="71">
        <f>IF(L137&lt;1,1,L137)</f>
        <v>9.2607954931852192</v>
      </c>
      <c r="N137" s="70" t="s">
        <v>3288</v>
      </c>
      <c r="O137" s="71">
        <f>IF(OR(I137=$A$1,I137=0),"",IF(N137=MappingTables!$C$14,VLOOKUP(J137,ModelParameters!$M$8:$N$15,2,FALSE),IF(N137=MappingTables!$C$16,VLOOKUP(J137,ModelParameters!$P$8:$Q$15,2,FALSE),0)))</f>
        <v>1</v>
      </c>
      <c r="P137" s="73">
        <f>IF(OR(I137=0,I137=$A$1),0,MIN(O137*M137,1)*K137)</f>
        <v>1810.8769393460272</v>
      </c>
      <c r="Q137" s="73">
        <f>IF(B137="",0,IF(OR(H137=MappingTables!$C$34,H137=MappingTables!$C$35),P137,0))</f>
        <v>0</v>
      </c>
      <c r="R137" s="73">
        <f>IF(ISNA(IF(AND(VLOOKUP(CONCATENATE($D137,$G137),CSRFinput!$B:$E,4,0)=0,OR(H137=MappingTables!$C$31,H137=MappingTables!$C$32)),1,VLOOKUP(CONCATENATE($D137,$G137),CSRFinput!$B:$E,4,0))),0,IF(AND(VLOOKUP(CONCATENATE($D137,$G137),CSRFinput!$B:$E,4,0)=0,OR(H137=MappingTables!$C$31,H137=MappingTables!$C$32)),1,VLOOKUP(CONCATENATE($D137,$G137),CSRFinput!$B:$E,4,0)))</f>
        <v>0.054776304963434752</v>
      </c>
      <c r="S137" s="73">
        <f>IF(B137="",0,P137*R137)</f>
        <v>99.193147480869328</v>
      </c>
      <c r="T137" s="85">
        <f>IF(B137="",0,IF(OR(H137=MappingTables!$C$34,H137=MappingTables!$C$35),S137,0))</f>
        <v>0</v>
      </c>
    </row>
    <row r="138" spans="2:20" s="0" customFormat="0" ht="15">
      <c r="B138" s="69" t="s">
        <v>3509</v>
      </c>
      <c r="C138" s="70" t="s">
        <v>3510</v>
      </c>
      <c r="D138" s="70" t="s">
        <v>1</v>
      </c>
      <c r="E138" s="70" t="s">
        <v>1</v>
      </c>
      <c r="F138" s="70"/>
      <c r="G138" s="70" t="s">
        <v>61</v>
      </c>
      <c r="H138" s="70" t="s">
        <v>178</v>
      </c>
      <c r="I138" s="70" t="s">
        <v>3298</v>
      </c>
      <c r="J138" s="71">
        <f>IF(OR(I138=0,I138=""),"unrated",VLOOKUP(I138,MappingTables!$B$19:$C$31,2,FALSE))</f>
        <v>6</v>
      </c>
      <c r="K138" s="72">
        <v>108.9517365167974</v>
      </c>
      <c r="L138" s="70">
        <v>0.068496674638239872</v>
      </c>
      <c r="M138" s="71">
        <f>IF(L138&lt;1,1,L138)</f>
        <v>1</v>
      </c>
      <c r="N138" s="70" t="s">
        <v>3288</v>
      </c>
      <c r="O138" s="71">
        <f>IF(OR(I138=$A$1,I138=0),"",IF(N138=MappingTables!$C$14,VLOOKUP(J138,ModelParameters!$M$8:$N$15,2,FALSE),IF(N138=MappingTables!$C$16,VLOOKUP(J138,ModelParameters!$P$8:$Q$15,2,FALSE),0)))</f>
        <v>1</v>
      </c>
      <c r="P138" s="73">
        <f>IF(OR(I138=0,I138=$A$1),0,MIN(O138*M138,1)*K138)</f>
        <v>108.9517365167974</v>
      </c>
      <c r="Q138" s="73">
        <f>IF(B138="",0,IF(OR(H138=MappingTables!$C$34,H138=MappingTables!$C$35),P138,0))</f>
        <v>0</v>
      </c>
      <c r="R138" s="73">
        <f>IF(ISNA(IF(AND(VLOOKUP(CONCATENATE($D138,$G138),CSRFinput!$B:$E,4,0)=0,OR(H138=MappingTables!$C$31,H138=MappingTables!$C$32)),1,VLOOKUP(CONCATENATE($D138,$G138),CSRFinput!$B:$E,4,0))),0,IF(AND(VLOOKUP(CONCATENATE($D138,$G138),CSRFinput!$B:$E,4,0)=0,OR(H138=MappingTables!$C$31,H138=MappingTables!$C$32)),1,VLOOKUP(CONCATENATE($D138,$G138),CSRFinput!$B:$E,4,0)))</f>
        <v>0.054776304963434752</v>
      </c>
      <c r="S138" s="73">
        <f>IF(B138="",0,P138*R138)</f>
        <v>5.9679735457398848</v>
      </c>
      <c r="T138" s="85">
        <f>IF(B138="",0,IF(OR(H138=MappingTables!$C$34,H138=MappingTables!$C$35),S138,0))</f>
        <v>0</v>
      </c>
    </row>
    <row r="139" spans="2:20" s="0" customFormat="0" ht="15">
      <c r="B139" s="69" t="s">
        <v>3511</v>
      </c>
      <c r="C139" s="70" t="s">
        <v>3512</v>
      </c>
      <c r="D139" s="70" t="s">
        <v>1</v>
      </c>
      <c r="E139" s="70" t="s">
        <v>1</v>
      </c>
      <c r="F139" s="70"/>
      <c r="G139" s="70" t="s">
        <v>61</v>
      </c>
      <c r="H139" s="70" t="s">
        <v>178</v>
      </c>
      <c r="I139" s="70" t="s">
        <v>198</v>
      </c>
      <c r="J139" s="71" t="str">
        <f>IF(OR(I139=0,I139=""),"unrated",VLOOKUP(I139,MappingTables!$B$19:$C$31,2,FALSE))</f>
        <v>unrated</v>
      </c>
      <c r="K139" s="72">
        <v>485.12290157045768</v>
      </c>
      <c r="L139" s="70">
        <v>9.2834269296228144</v>
      </c>
      <c r="M139" s="71">
        <f>IF(L139&lt;1,1,L139)</f>
        <v>9.2834269296228144</v>
      </c>
      <c r="N139" s="70" t="s">
        <v>3288</v>
      </c>
      <c r="O139" s="71">
        <f>IF(OR(I139=$A$1,I139=0),"",IF(N139=MappingTables!$C$14,VLOOKUP(J139,ModelParameters!$M$8:$N$15,2,FALSE),IF(N139=MappingTables!$C$16,VLOOKUP(J139,ModelParameters!$P$8:$Q$15,2,FALSE),0)))</f>
        <v>1</v>
      </c>
      <c r="P139" s="73">
        <f>IF(OR(I139=0,I139=$A$1),0,MIN(O139*M139,1)*K139)</f>
        <v>485.12290157045768</v>
      </c>
      <c r="Q139" s="73">
        <f>IF(B139="",0,IF(OR(H139=MappingTables!$C$34,H139=MappingTables!$C$35),P139,0))</f>
        <v>0</v>
      </c>
      <c r="R139" s="73">
        <f>IF(ISNA(IF(AND(VLOOKUP(CONCATENATE($D139,$G139),CSRFinput!$B:$E,4,0)=0,OR(H139=MappingTables!$C$31,H139=MappingTables!$C$32)),1,VLOOKUP(CONCATENATE($D139,$G139),CSRFinput!$B:$E,4,0))),0,IF(AND(VLOOKUP(CONCATENATE($D139,$G139),CSRFinput!$B:$E,4,0)=0,OR(H139=MappingTables!$C$31,H139=MappingTables!$C$32)),1,VLOOKUP(CONCATENATE($D139,$G139),CSRFinput!$B:$E,4,0)))</f>
        <v>0.054776304963434752</v>
      </c>
      <c r="S139" s="73">
        <f>IF(B139="",0,P139*R139)</f>
        <v>26.573240001169732</v>
      </c>
      <c r="T139" s="85">
        <f>IF(B139="",0,IF(OR(H139=MappingTables!$C$34,H139=MappingTables!$C$35),S139,0))</f>
        <v>0</v>
      </c>
    </row>
    <row r="140" spans="2:20" s="0" customFormat="0" ht="15">
      <c r="B140" s="69">
        <v>22554147</v>
      </c>
      <c r="C140" s="70" t="s">
        <v>3513</v>
      </c>
      <c r="D140" s="70" t="s">
        <v>1</v>
      </c>
      <c r="E140" s="70" t="s">
        <v>1</v>
      </c>
      <c r="F140" s="70"/>
      <c r="G140" s="70" t="s">
        <v>61</v>
      </c>
      <c r="H140" s="70" t="s">
        <v>178</v>
      </c>
      <c r="I140" s="70" t="s">
        <v>188</v>
      </c>
      <c r="J140" s="71">
        <f>IF(OR(I140=0,I140=""),"unrated",VLOOKUP(I140,MappingTables!$B$19:$C$31,2,FALSE))</f>
        <v>2</v>
      </c>
      <c r="K140" s="72">
        <v>217.99086970352712</v>
      </c>
      <c r="L140" s="70">
        <v>0.068492975902131648</v>
      </c>
      <c r="M140" s="71">
        <f>IF(L140&lt;1,1,L140)</f>
        <v>1</v>
      </c>
      <c r="N140" s="70" t="s">
        <v>3288</v>
      </c>
      <c r="O140" s="71">
        <f>IF(OR(I140=$A$1,I140=0),"",IF(N140=MappingTables!$C$14,VLOOKUP(J140,ModelParameters!$M$8:$N$15,2,FALSE),IF(N140=MappingTables!$C$16,VLOOKUP(J140,ModelParameters!$P$8:$Q$15,2,FALSE),0)))</f>
        <v>0.166</v>
      </c>
      <c r="P140" s="73">
        <f>IF(OR(I140=0,I140=$A$1),0,MIN(O140*M140,1)*K140)</f>
        <v>36.186484370785504</v>
      </c>
      <c r="Q140" s="73">
        <f>IF(B140="",0,IF(OR(H140=MappingTables!$C$34,H140=MappingTables!$C$35),P140,0))</f>
        <v>0</v>
      </c>
      <c r="R140" s="73">
        <f>IF(ISNA(IF(AND(VLOOKUP(CONCATENATE($D140,$G140),CSRFinput!$B:$E,4,0)=0,OR(H140=MappingTables!$C$31,H140=MappingTables!$C$32)),1,VLOOKUP(CONCATENATE($D140,$G140),CSRFinput!$B:$E,4,0))),0,IF(AND(VLOOKUP(CONCATENATE($D140,$G140),CSRFinput!$B:$E,4,0)=0,OR(H140=MappingTables!$C$31,H140=MappingTables!$C$32)),1,VLOOKUP(CONCATENATE($D140,$G140),CSRFinput!$B:$E,4,0)))</f>
        <v>0.054776304963434752</v>
      </c>
      <c r="S140" s="73">
        <f>IF(B140="",0,P140*R140)</f>
        <v>1.9821619034487124</v>
      </c>
      <c r="T140" s="85">
        <f>IF(B140="",0,IF(OR(H140=MappingTables!$C$34,H140=MappingTables!$C$35),S140,0))</f>
        <v>0</v>
      </c>
    </row>
    <row r="141" spans="2:20" s="0" customFormat="0" ht="15">
      <c r="B141" s="69" t="s">
        <v>3514</v>
      </c>
      <c r="C141" s="70" t="s">
        <v>3515</v>
      </c>
      <c r="D141" s="70" t="s">
        <v>1</v>
      </c>
      <c r="E141" s="70" t="s">
        <v>1</v>
      </c>
      <c r="F141" s="70"/>
      <c r="G141" s="70" t="s">
        <v>61</v>
      </c>
      <c r="H141" s="70" t="s">
        <v>178</v>
      </c>
      <c r="I141" s="70" t="s">
        <v>198</v>
      </c>
      <c r="J141" s="71" t="str">
        <f>IF(OR(I141=0,I141=""),"unrated",VLOOKUP(I141,MappingTables!$B$19:$C$31,2,FALSE))</f>
        <v>unrated</v>
      </c>
      <c r="K141" s="72">
        <v>0.95707649305195312</v>
      </c>
      <c r="L141" s="70">
        <v>8.0923870193885552</v>
      </c>
      <c r="M141" s="71">
        <f>IF(L141&lt;1,1,L141)</f>
        <v>8.0923870193885552</v>
      </c>
      <c r="N141" s="70" t="s">
        <v>3288</v>
      </c>
      <c r="O141" s="71">
        <f>IF(OR(I141=$A$1,I141=0),"",IF(N141=MappingTables!$C$14,VLOOKUP(J141,ModelParameters!$M$8:$N$15,2,FALSE),IF(N141=MappingTables!$C$16,VLOOKUP(J141,ModelParameters!$P$8:$Q$15,2,FALSE),0)))</f>
        <v>1</v>
      </c>
      <c r="P141" s="73">
        <f>IF(OR(I141=0,I141=$A$1),0,MIN(O141*M141,1)*K141)</f>
        <v>0.95707649305195312</v>
      </c>
      <c r="Q141" s="73">
        <f>IF(B141="",0,IF(OR(H141=MappingTables!$C$34,H141=MappingTables!$C$35),P141,0))</f>
        <v>0</v>
      </c>
      <c r="R141" s="73">
        <f>IF(ISNA(IF(AND(VLOOKUP(CONCATENATE($D141,$G141),CSRFinput!$B:$E,4,0)=0,OR(H141=MappingTables!$C$31,H141=MappingTables!$C$32)),1,VLOOKUP(CONCATENATE($D141,$G141),CSRFinput!$B:$E,4,0))),0,IF(AND(VLOOKUP(CONCATENATE($D141,$G141),CSRFinput!$B:$E,4,0)=0,OR(H141=MappingTables!$C$31,H141=MappingTables!$C$32)),1,VLOOKUP(CONCATENATE($D141,$G141),CSRFinput!$B:$E,4,0)))</f>
        <v>0.054776304963434752</v>
      </c>
      <c r="S141" s="73">
        <f>IF(B141="",0,P141*R141)</f>
        <v>0.052425113856748432</v>
      </c>
      <c r="T141" s="85">
        <f>IF(B141="",0,IF(OR(H141=MappingTables!$C$34,H141=MappingTables!$C$35),S141,0))</f>
        <v>0</v>
      </c>
    </row>
    <row r="142" spans="2:20" s="0" customFormat="0" ht="15">
      <c r="B142" s="69" t="s">
        <v>3516</v>
      </c>
      <c r="C142" s="70" t="s">
        <v>3517</v>
      </c>
      <c r="D142" s="70" t="s">
        <v>1</v>
      </c>
      <c r="E142" s="70" t="s">
        <v>1</v>
      </c>
      <c r="F142" s="70"/>
      <c r="G142" s="70" t="s">
        <v>61</v>
      </c>
      <c r="H142" s="70" t="s">
        <v>178</v>
      </c>
      <c r="I142" s="70" t="s">
        <v>184</v>
      </c>
      <c r="J142" s="71">
        <f>IF(OR(I142=0,I142=""),"unrated",VLOOKUP(I142,MappingTables!$B$19:$C$31,2,FALSE))</f>
        <v>5</v>
      </c>
      <c r="K142" s="72">
        <v>111.7874037147753</v>
      </c>
      <c r="L142" s="70">
        <v>0.068492866949586712</v>
      </c>
      <c r="M142" s="71">
        <f>IF(L142&lt;1,1,L142)</f>
        <v>1</v>
      </c>
      <c r="N142" s="70" t="s">
        <v>3288</v>
      </c>
      <c r="O142" s="71">
        <f>IF(OR(I142=$A$1,I142=0),"",IF(N142=MappingTables!$C$14,VLOOKUP(J142,ModelParameters!$M$8:$N$15,2,FALSE),IF(N142=MappingTables!$C$16,VLOOKUP(J142,ModelParameters!$P$8:$Q$15,2,FALSE),0)))</f>
        <v>1</v>
      </c>
      <c r="P142" s="73">
        <f>IF(OR(I142=0,I142=$A$1),0,MIN(O142*M142,1)*K142)</f>
        <v>111.7874037147753</v>
      </c>
      <c r="Q142" s="73">
        <f>IF(B142="",0,IF(OR(H142=MappingTables!$C$34,H142=MappingTables!$C$35),P142,0))</f>
        <v>0</v>
      </c>
      <c r="R142" s="73">
        <f>IF(ISNA(IF(AND(VLOOKUP(CONCATENATE($D142,$G142),CSRFinput!$B:$E,4,0)=0,OR(H142=MappingTables!$C$31,H142=MappingTables!$C$32)),1,VLOOKUP(CONCATENATE($D142,$G142),CSRFinput!$B:$E,4,0))),0,IF(AND(VLOOKUP(CONCATENATE($D142,$G142),CSRFinput!$B:$E,4,0)=0,OR(H142=MappingTables!$C$31,H142=MappingTables!$C$32)),1,VLOOKUP(CONCATENATE($D142,$G142),CSRFinput!$B:$E,4,0)))</f>
        <v>0.054776304963434752</v>
      </c>
      <c r="S142" s="73">
        <f>IF(B142="",0,P142*R142)</f>
        <v>6.1233009169511312</v>
      </c>
      <c r="T142" s="85">
        <f>IF(B142="",0,IF(OR(H142=MappingTables!$C$34,H142=MappingTables!$C$35),S142,0))</f>
        <v>0</v>
      </c>
    </row>
    <row r="143" spans="2:20" s="0" customFormat="0" ht="15">
      <c r="B143" s="69" t="s">
        <v>3518</v>
      </c>
      <c r="C143" s="70" t="s">
        <v>3519</v>
      </c>
      <c r="D143" s="70" t="s">
        <v>1</v>
      </c>
      <c r="E143" s="70" t="s">
        <v>1</v>
      </c>
      <c r="F143" s="70"/>
      <c r="G143" s="70" t="s">
        <v>61</v>
      </c>
      <c r="H143" s="70" t="s">
        <v>178</v>
      </c>
      <c r="I143" s="70" t="s">
        <v>198</v>
      </c>
      <c r="J143" s="71" t="str">
        <f>IF(OR(I143=0,I143=""),"unrated",VLOOKUP(I143,MappingTables!$B$19:$C$31,2,FALSE))</f>
        <v>unrated</v>
      </c>
      <c r="K143" s="72">
        <v>200.2797332781352</v>
      </c>
      <c r="L143" s="70">
        <v>0.068496139271088512</v>
      </c>
      <c r="M143" s="71">
        <f>IF(L143&lt;1,1,L143)</f>
        <v>1</v>
      </c>
      <c r="N143" s="70" t="s">
        <v>3288</v>
      </c>
      <c r="O143" s="71">
        <f>IF(OR(I143=$A$1,I143=0),"",IF(N143=MappingTables!$C$14,VLOOKUP(J143,ModelParameters!$M$8:$N$15,2,FALSE),IF(N143=MappingTables!$C$16,VLOOKUP(J143,ModelParameters!$P$8:$Q$15,2,FALSE),0)))</f>
        <v>1</v>
      </c>
      <c r="P143" s="73">
        <f>IF(OR(I143=0,I143=$A$1),0,MIN(O143*M143,1)*K143)</f>
        <v>200.2797332781352</v>
      </c>
      <c r="Q143" s="73">
        <f>IF(B143="",0,IF(OR(H143=MappingTables!$C$34,H143=MappingTables!$C$35),P143,0))</f>
        <v>0</v>
      </c>
      <c r="R143" s="73">
        <f>IF(ISNA(IF(AND(VLOOKUP(CONCATENATE($D143,$G143),CSRFinput!$B:$E,4,0)=0,OR(H143=MappingTables!$C$31,H143=MappingTables!$C$32)),1,VLOOKUP(CONCATENATE($D143,$G143),CSRFinput!$B:$E,4,0))),0,IF(AND(VLOOKUP(CONCATENATE($D143,$G143),CSRFinput!$B:$E,4,0)=0,OR(H143=MappingTables!$C$31,H143=MappingTables!$C$32)),1,VLOOKUP(CONCATENATE($D143,$G143),CSRFinput!$B:$E,4,0)))</f>
        <v>0.054776304963434752</v>
      </c>
      <c r="S143" s="73">
        <f>IF(B143="",0,P143*R143)</f>
        <v>10.970583748038506</v>
      </c>
      <c r="T143" s="85">
        <f>IF(B143="",0,IF(OR(H143=MappingTables!$C$34,H143=MappingTables!$C$35),S143,0))</f>
        <v>0</v>
      </c>
    </row>
    <row r="144" spans="2:20" s="0" customFormat="0" ht="15">
      <c r="B144" s="69">
        <v>22623672</v>
      </c>
      <c r="C144" s="70" t="s">
        <v>3520</v>
      </c>
      <c r="D144" s="70" t="s">
        <v>1</v>
      </c>
      <c r="E144" s="70" t="s">
        <v>1</v>
      </c>
      <c r="F144" s="70"/>
      <c r="G144" s="70" t="s">
        <v>61</v>
      </c>
      <c r="H144" s="70" t="s">
        <v>178</v>
      </c>
      <c r="I144" s="70" t="s">
        <v>3291</v>
      </c>
      <c r="J144" s="71">
        <f>IF(OR(I144=0,I144=""),"unrated",VLOOKUP(I144,MappingTables!$B$19:$C$31,2,FALSE))</f>
        <v>6</v>
      </c>
      <c r="K144" s="72">
        <v>1624.553400266338</v>
      </c>
      <c r="L144" s="70">
        <v>0.068491115395295896</v>
      </c>
      <c r="M144" s="71">
        <f>IF(L144&lt;1,1,L144)</f>
        <v>1</v>
      </c>
      <c r="N144" s="70" t="s">
        <v>3288</v>
      </c>
      <c r="O144" s="71">
        <f>IF(OR(I144=$A$1,I144=0),"",IF(N144=MappingTables!$C$14,VLOOKUP(J144,ModelParameters!$M$8:$N$15,2,FALSE),IF(N144=MappingTables!$C$16,VLOOKUP(J144,ModelParameters!$P$8:$Q$15,2,FALSE),0)))</f>
        <v>1</v>
      </c>
      <c r="P144" s="73">
        <f>IF(OR(I144=0,I144=$A$1),0,MIN(O144*M144,1)*K144)</f>
        <v>1624.553400266338</v>
      </c>
      <c r="Q144" s="73">
        <f>IF(B144="",0,IF(OR(H144=MappingTables!$C$34,H144=MappingTables!$C$35),P144,0))</f>
        <v>0</v>
      </c>
      <c r="R144" s="73">
        <f>IF(ISNA(IF(AND(VLOOKUP(CONCATENATE($D144,$G144),CSRFinput!$B:$E,4,0)=0,OR(H144=MappingTables!$C$31,H144=MappingTables!$C$32)),1,VLOOKUP(CONCATENATE($D144,$G144),CSRFinput!$B:$E,4,0))),0,IF(AND(VLOOKUP(CONCATENATE($D144,$G144),CSRFinput!$B:$E,4,0)=0,OR(H144=MappingTables!$C$31,H144=MappingTables!$C$32)),1,VLOOKUP(CONCATENATE($D144,$G144),CSRFinput!$B:$E,4,0)))</f>
        <v>0.054776304963434752</v>
      </c>
      <c r="S144" s="73">
        <f>IF(B144="",0,P144*R144)</f>
        <v>88.987032482373824</v>
      </c>
      <c r="T144" s="85">
        <f>IF(B144="",0,IF(OR(H144=MappingTables!$C$34,H144=MappingTables!$C$35),S144,0))</f>
        <v>0</v>
      </c>
    </row>
    <row r="145" spans="2:20" s="0" customFormat="0" ht="15">
      <c r="B145" s="69" t="s">
        <v>3521</v>
      </c>
      <c r="C145" s="70" t="s">
        <v>3522</v>
      </c>
      <c r="D145" s="70" t="s">
        <v>1</v>
      </c>
      <c r="E145" s="70" t="s">
        <v>1</v>
      </c>
      <c r="F145" s="70"/>
      <c r="G145" s="70" t="s">
        <v>61</v>
      </c>
      <c r="H145" s="70" t="s">
        <v>178</v>
      </c>
      <c r="I145" s="70" t="s">
        <v>198</v>
      </c>
      <c r="J145" s="71" t="str">
        <f>IF(OR(I145=0,I145=""),"unrated",VLOOKUP(I145,MappingTables!$B$19:$C$31,2,FALSE))</f>
        <v>unrated</v>
      </c>
      <c r="K145" s="72">
        <v>5395.4589170692392</v>
      </c>
      <c r="L145" s="70">
        <v>5.0093172598985744</v>
      </c>
      <c r="M145" s="71">
        <f>IF(L145&lt;1,1,L145)</f>
        <v>5.0093172598985744</v>
      </c>
      <c r="N145" s="70" t="s">
        <v>3288</v>
      </c>
      <c r="O145" s="71">
        <f>IF(OR(I145=$A$1,I145=0),"",IF(N145=MappingTables!$C$14,VLOOKUP(J145,ModelParameters!$M$8:$N$15,2,FALSE),IF(N145=MappingTables!$C$16,VLOOKUP(J145,ModelParameters!$P$8:$Q$15,2,FALSE),0)))</f>
        <v>1</v>
      </c>
      <c r="P145" s="73">
        <f>IF(OR(I145=0,I145=$A$1),0,MIN(O145*M145,1)*K145)</f>
        <v>5395.4589170692392</v>
      </c>
      <c r="Q145" s="73">
        <f>IF(B145="",0,IF(OR(H145=MappingTables!$C$34,H145=MappingTables!$C$35),P145,0))</f>
        <v>0</v>
      </c>
      <c r="R145" s="73">
        <f>IF(ISNA(IF(AND(VLOOKUP(CONCATENATE($D145,$G145),CSRFinput!$B:$E,4,0)=0,OR(H145=MappingTables!$C$31,H145=MappingTables!$C$32)),1,VLOOKUP(CONCATENATE($D145,$G145),CSRFinput!$B:$E,4,0))),0,IF(AND(VLOOKUP(CONCATENATE($D145,$G145),CSRFinput!$B:$E,4,0)=0,OR(H145=MappingTables!$C$31,H145=MappingTables!$C$32)),1,VLOOKUP(CONCATENATE($D145,$G145),CSRFinput!$B:$E,4,0)))</f>
        <v>0.054776304963434752</v>
      </c>
      <c r="S145" s="73">
        <f>IF(B145="",0,P145*R145)</f>
        <v>295.54330305906804</v>
      </c>
      <c r="T145" s="85">
        <f>IF(B145="",0,IF(OR(H145=MappingTables!$C$34,H145=MappingTables!$C$35),S145,0))</f>
        <v>0</v>
      </c>
    </row>
    <row r="146" spans="2:20" s="0" customFormat="0" ht="15">
      <c r="B146" s="69" t="s">
        <v>3523</v>
      </c>
      <c r="C146" s="70" t="s">
        <v>3524</v>
      </c>
      <c r="D146" s="70" t="s">
        <v>1</v>
      </c>
      <c r="E146" s="70" t="s">
        <v>1</v>
      </c>
      <c r="F146" s="70"/>
      <c r="G146" s="70" t="s">
        <v>61</v>
      </c>
      <c r="H146" s="70" t="s">
        <v>178</v>
      </c>
      <c r="I146" s="70" t="s">
        <v>198</v>
      </c>
      <c r="J146" s="71" t="str">
        <f>IF(OR(I146=0,I146=""),"unrated",VLOOKUP(I146,MappingTables!$B$19:$C$31,2,FALSE))</f>
        <v>unrated</v>
      </c>
      <c r="K146" s="72">
        <v>96.100183119085744</v>
      </c>
      <c r="L146" s="70">
        <v>14.83732864087453</v>
      </c>
      <c r="M146" s="71">
        <f>IF(L146&lt;1,1,L146)</f>
        <v>14.83732864087453</v>
      </c>
      <c r="N146" s="70" t="s">
        <v>3288</v>
      </c>
      <c r="O146" s="71">
        <f>IF(OR(I146=$A$1,I146=0),"",IF(N146=MappingTables!$C$14,VLOOKUP(J146,ModelParameters!$M$8:$N$15,2,FALSE),IF(N146=MappingTables!$C$16,VLOOKUP(J146,ModelParameters!$P$8:$Q$15,2,FALSE),0)))</f>
        <v>1</v>
      </c>
      <c r="P146" s="73">
        <f>IF(OR(I146=0,I146=$A$1),0,MIN(O146*M146,1)*K146)</f>
        <v>96.100183119085744</v>
      </c>
      <c r="Q146" s="73">
        <f>IF(B146="",0,IF(OR(H146=MappingTables!$C$34,H146=MappingTables!$C$35),P146,0))</f>
        <v>0</v>
      </c>
      <c r="R146" s="73">
        <f>IF(ISNA(IF(AND(VLOOKUP(CONCATENATE($D146,$G146),CSRFinput!$B:$E,4,0)=0,OR(H146=MappingTables!$C$31,H146=MappingTables!$C$32)),1,VLOOKUP(CONCATENATE($D146,$G146),CSRFinput!$B:$E,4,0))),0,IF(AND(VLOOKUP(CONCATENATE($D146,$G146),CSRFinput!$B:$E,4,0)=0,OR(H146=MappingTables!$C$31,H146=MappingTables!$C$32)),1,VLOOKUP(CONCATENATE($D146,$G146),CSRFinput!$B:$E,4,0)))</f>
        <v>0.054776304963434752</v>
      </c>
      <c r="S146" s="73">
        <f>IF(B146="",0,P146*R146)</f>
        <v>5.2640129375729648</v>
      </c>
      <c r="T146" s="85">
        <f>IF(B146="",0,IF(OR(H146=MappingTables!$C$34,H146=MappingTables!$C$35),S146,0))</f>
        <v>0</v>
      </c>
    </row>
    <row r="147" spans="2:20" s="0" customFormat="0" ht="15">
      <c r="B147" s="69">
        <v>18423529</v>
      </c>
      <c r="C147" s="70" t="s">
        <v>3525</v>
      </c>
      <c r="D147" s="70" t="s">
        <v>1</v>
      </c>
      <c r="E147" s="70" t="s">
        <v>1</v>
      </c>
      <c r="F147" s="70"/>
      <c r="G147" s="70" t="s">
        <v>61</v>
      </c>
      <c r="H147" s="70" t="s">
        <v>178</v>
      </c>
      <c r="I147" s="70" t="s">
        <v>216</v>
      </c>
      <c r="J147" s="71">
        <f>IF(OR(I147=0,I147=""),"unrated",VLOOKUP(I147,MappingTables!$B$19:$C$31,2,FALSE))</f>
        <v>0</v>
      </c>
      <c r="K147" s="72">
        <v>2290.2969630884008</v>
      </c>
      <c r="L147" s="70">
        <v>0.088041397151210704</v>
      </c>
      <c r="M147" s="71">
        <f>IF(L147&lt;1,1,L147)</f>
        <v>1</v>
      </c>
      <c r="N147" s="70" t="s">
        <v>3288</v>
      </c>
      <c r="O147" s="71">
        <f>IF(OR(I147=$A$1,I147=0),"",IF(N147=MappingTables!$C$14,VLOOKUP(J147,ModelParameters!$M$8:$N$15,2,FALSE),IF(N147=MappingTables!$C$16,VLOOKUP(J147,ModelParameters!$P$8:$Q$15,2,FALSE),0)))</f>
        <v>0.125</v>
      </c>
      <c r="P147" s="73">
        <f>IF(OR(I147=0,I147=$A$1),0,MIN(O147*M147,1)*K147)</f>
        <v>286.28712038605012</v>
      </c>
      <c r="Q147" s="73">
        <f>IF(B147="",0,IF(OR(H147=MappingTables!$C$34,H147=MappingTables!$C$35),P147,0))</f>
        <v>0</v>
      </c>
      <c r="R147" s="73">
        <f>IF(ISNA(IF(AND(VLOOKUP(CONCATENATE($D147,$G147),CSRFinput!$B:$E,4,0)=0,OR(H147=MappingTables!$C$31,H147=MappingTables!$C$32)),1,VLOOKUP(CONCATENATE($D147,$G147),CSRFinput!$B:$E,4,0))),0,IF(AND(VLOOKUP(CONCATENATE($D147,$G147),CSRFinput!$B:$E,4,0)=0,OR(H147=MappingTables!$C$31,H147=MappingTables!$C$32)),1,VLOOKUP(CONCATENATE($D147,$G147),CSRFinput!$B:$E,4,0)))</f>
        <v>0.054776304963434752</v>
      </c>
      <c r="S147" s="73">
        <f>IF(B147="",0,P147*R147)</f>
        <v>15.68175061336984</v>
      </c>
      <c r="T147" s="85">
        <f>IF(B147="",0,IF(OR(H147=MappingTables!$C$34,H147=MappingTables!$C$35),S147,0))</f>
        <v>0</v>
      </c>
    </row>
    <row r="148" spans="2:20" s="0" customFormat="0" ht="15">
      <c r="B148" s="69" t="s">
        <v>3526</v>
      </c>
      <c r="C148" s="70" t="s">
        <v>3527</v>
      </c>
      <c r="D148" s="70" t="s">
        <v>1</v>
      </c>
      <c r="E148" s="70" t="s">
        <v>1</v>
      </c>
      <c r="F148" s="70"/>
      <c r="G148" s="70" t="s">
        <v>61</v>
      </c>
      <c r="H148" s="70" t="s">
        <v>178</v>
      </c>
      <c r="I148" s="70" t="s">
        <v>198</v>
      </c>
      <c r="J148" s="71" t="str">
        <f>IF(OR(I148=0,I148=""),"unrated",VLOOKUP(I148,MappingTables!$B$19:$C$31,2,FALSE))</f>
        <v>unrated</v>
      </c>
      <c r="K148" s="72">
        <v>67.832739363157656</v>
      </c>
      <c r="L148" s="70">
        <v>0.23440311907890888</v>
      </c>
      <c r="M148" s="71">
        <f>IF(L148&lt;1,1,L148)</f>
        <v>1</v>
      </c>
      <c r="N148" s="70" t="s">
        <v>3288</v>
      </c>
      <c r="O148" s="71">
        <f>IF(OR(I148=$A$1,I148=0),"",IF(N148=MappingTables!$C$14,VLOOKUP(J148,ModelParameters!$M$8:$N$15,2,FALSE),IF(N148=MappingTables!$C$16,VLOOKUP(J148,ModelParameters!$P$8:$Q$15,2,FALSE),0)))</f>
        <v>1</v>
      </c>
      <c r="P148" s="73">
        <f>IF(OR(I148=0,I148=$A$1),0,MIN(O148*M148,1)*K148)</f>
        <v>67.832739363157656</v>
      </c>
      <c r="Q148" s="73">
        <f>IF(B148="",0,IF(OR(H148=MappingTables!$C$34,H148=MappingTables!$C$35),P148,0))</f>
        <v>0</v>
      </c>
      <c r="R148" s="73">
        <f>IF(ISNA(IF(AND(VLOOKUP(CONCATENATE($D148,$G148),CSRFinput!$B:$E,4,0)=0,OR(H148=MappingTables!$C$31,H148=MappingTables!$C$32)),1,VLOOKUP(CONCATENATE($D148,$G148),CSRFinput!$B:$E,4,0))),0,IF(AND(VLOOKUP(CONCATENATE($D148,$G148),CSRFinput!$B:$E,4,0)=0,OR(H148=MappingTables!$C$31,H148=MappingTables!$C$32)),1,VLOOKUP(CONCATENATE($D148,$G148),CSRFinput!$B:$E,4,0)))</f>
        <v>0.054776304963434752</v>
      </c>
      <c r="S148" s="73">
        <f>IF(B148="",0,P148*R148)</f>
        <v>3.7156268178615088</v>
      </c>
      <c r="T148" s="85">
        <f>IF(B148="",0,IF(OR(H148=MappingTables!$C$34,H148=MappingTables!$C$35),S148,0))</f>
        <v>0</v>
      </c>
    </row>
    <row r="149" spans="2:20" s="0" customFormat="0" ht="15">
      <c r="B149" s="69" t="s">
        <v>3528</v>
      </c>
      <c r="C149" s="70" t="s">
        <v>3529</v>
      </c>
      <c r="D149" s="70" t="s">
        <v>1</v>
      </c>
      <c r="E149" s="70" t="s">
        <v>1</v>
      </c>
      <c r="F149" s="70"/>
      <c r="G149" s="70" t="s">
        <v>61</v>
      </c>
      <c r="H149" s="70" t="s">
        <v>178</v>
      </c>
      <c r="I149" s="70" t="s">
        <v>216</v>
      </c>
      <c r="J149" s="71">
        <f>IF(OR(I149=0,I149=""),"unrated",VLOOKUP(I149,MappingTables!$B$19:$C$31,2,FALSE))</f>
        <v>0</v>
      </c>
      <c r="K149" s="72">
        <v>957.402097888352</v>
      </c>
      <c r="L149" s="70">
        <v>0.080029114328885712</v>
      </c>
      <c r="M149" s="71">
        <f>IF(L149&lt;1,1,L149)</f>
        <v>1</v>
      </c>
      <c r="N149" s="70" t="s">
        <v>3288</v>
      </c>
      <c r="O149" s="71">
        <f>IF(OR(I149=$A$1,I149=0),"",IF(N149=MappingTables!$C$14,VLOOKUP(J149,ModelParameters!$M$8:$N$15,2,FALSE),IF(N149=MappingTables!$C$16,VLOOKUP(J149,ModelParameters!$P$8:$Q$15,2,FALSE),0)))</f>
        <v>0.125</v>
      </c>
      <c r="P149" s="73">
        <f>IF(OR(I149=0,I149=$A$1),0,MIN(O149*M149,1)*K149)</f>
        <v>119.675262236044</v>
      </c>
      <c r="Q149" s="73">
        <f>IF(B149="",0,IF(OR(H149=MappingTables!$C$34,H149=MappingTables!$C$35),P149,0))</f>
        <v>0</v>
      </c>
      <c r="R149" s="73">
        <f>IF(ISNA(IF(AND(VLOOKUP(CONCATENATE($D149,$G149),CSRFinput!$B:$E,4,0)=0,OR(H149=MappingTables!$C$31,H149=MappingTables!$C$32)),1,VLOOKUP(CONCATENATE($D149,$G149),CSRFinput!$B:$E,4,0))),0,IF(AND(VLOOKUP(CONCATENATE($D149,$G149),CSRFinput!$B:$E,4,0)=0,OR(H149=MappingTables!$C$31,H149=MappingTables!$C$32)),1,VLOOKUP(CONCATENATE($D149,$G149),CSRFinput!$B:$E,4,0)))</f>
        <v>0.054776304963434752</v>
      </c>
      <c r="S149" s="73">
        <f>IF(B149="",0,P149*R149)</f>
        <v>6.5553686608205728</v>
      </c>
      <c r="T149" s="85">
        <f>IF(B149="",0,IF(OR(H149=MappingTables!$C$34,H149=MappingTables!$C$35),S149,0))</f>
        <v>0</v>
      </c>
    </row>
    <row r="150" spans="2:20" s="0" customFormat="0" ht="15">
      <c r="B150" s="69" t="s">
        <v>3530</v>
      </c>
      <c r="C150" s="70" t="s">
        <v>3531</v>
      </c>
      <c r="D150" s="70" t="s">
        <v>1</v>
      </c>
      <c r="E150" s="70" t="s">
        <v>1</v>
      </c>
      <c r="F150" s="70"/>
      <c r="G150" s="70" t="s">
        <v>61</v>
      </c>
      <c r="H150" s="70" t="s">
        <v>178</v>
      </c>
      <c r="I150" s="70" t="s">
        <v>3298</v>
      </c>
      <c r="J150" s="71">
        <f>IF(OR(I150=0,I150=""),"unrated",VLOOKUP(I150,MappingTables!$B$19:$C$31,2,FALSE))</f>
        <v>6</v>
      </c>
      <c r="K150" s="72">
        <v>20019.779615101928</v>
      </c>
      <c r="L150" s="70">
        <v>0.068490485098557472</v>
      </c>
      <c r="M150" s="71">
        <f>IF(L150&lt;1,1,L150)</f>
        <v>1</v>
      </c>
      <c r="N150" s="70" t="s">
        <v>3288</v>
      </c>
      <c r="O150" s="71">
        <f>IF(OR(I150=$A$1,I150=0),"",IF(N150=MappingTables!$C$14,VLOOKUP(J150,ModelParameters!$M$8:$N$15,2,FALSE),IF(N150=MappingTables!$C$16,VLOOKUP(J150,ModelParameters!$P$8:$Q$15,2,FALSE),0)))</f>
        <v>1</v>
      </c>
      <c r="P150" s="73">
        <f>IF(OR(I150=0,I150=$A$1),0,MIN(O150*M150,1)*K150)</f>
        <v>20019.779615101928</v>
      </c>
      <c r="Q150" s="73">
        <f>IF(B150="",0,IF(OR(H150=MappingTables!$C$34,H150=MappingTables!$C$35),P150,0))</f>
        <v>0</v>
      </c>
      <c r="R150" s="73">
        <f>IF(ISNA(IF(AND(VLOOKUP(CONCATENATE($D150,$G150),CSRFinput!$B:$E,4,0)=0,OR(H150=MappingTables!$C$31,H150=MappingTables!$C$32)),1,VLOOKUP(CONCATENATE($D150,$G150),CSRFinput!$B:$E,4,0))),0,IF(AND(VLOOKUP(CONCATENATE($D150,$G150),CSRFinput!$B:$E,4,0)=0,OR(H150=MappingTables!$C$31,H150=MappingTables!$C$32)),1,VLOOKUP(CONCATENATE($D150,$G150),CSRFinput!$B:$E,4,0)))</f>
        <v>0.054776304963434752</v>
      </c>
      <c r="S150" s="73">
        <f>IF(B150="",0,P150*R150)</f>
        <v>1096.6095534975778</v>
      </c>
      <c r="T150" s="85">
        <f>IF(B150="",0,IF(OR(H150=MappingTables!$C$34,H150=MappingTables!$C$35),S150,0))</f>
        <v>0</v>
      </c>
    </row>
    <row r="151" spans="2:20" s="0" customFormat="0" ht="15">
      <c r="B151" s="69">
        <v>948883</v>
      </c>
      <c r="C151" s="70" t="s">
        <v>3532</v>
      </c>
      <c r="D151" s="70" t="s">
        <v>1</v>
      </c>
      <c r="E151" s="70" t="s">
        <v>1</v>
      </c>
      <c r="F151" s="70"/>
      <c r="G151" s="70" t="s">
        <v>61</v>
      </c>
      <c r="H151" s="70" t="s">
        <v>178</v>
      </c>
      <c r="I151" s="70" t="s">
        <v>204</v>
      </c>
      <c r="J151" s="71">
        <f>IF(OR(I151=0,I151=""),"unrated",VLOOKUP(I151,MappingTables!$B$19:$C$31,2,FALSE))</f>
        <v>6</v>
      </c>
      <c r="K151" s="72">
        <v>157.7406442513896</v>
      </c>
      <c r="L151" s="70">
        <v>0.068494218684814312</v>
      </c>
      <c r="M151" s="71">
        <f>IF(L151&lt;1,1,L151)</f>
        <v>1</v>
      </c>
      <c r="N151" s="70" t="s">
        <v>3288</v>
      </c>
      <c r="O151" s="71">
        <f>IF(OR(I151=$A$1,I151=0),"",IF(N151=MappingTables!$C$14,VLOOKUP(J151,ModelParameters!$M$8:$N$15,2,FALSE),IF(N151=MappingTables!$C$16,VLOOKUP(J151,ModelParameters!$P$8:$Q$15,2,FALSE),0)))</f>
        <v>1</v>
      </c>
      <c r="P151" s="73">
        <f>IF(OR(I151=0,I151=$A$1),0,MIN(O151*M151,1)*K151)</f>
        <v>157.7406442513896</v>
      </c>
      <c r="Q151" s="73">
        <f>IF(B151="",0,IF(OR(H151=MappingTables!$C$34,H151=MappingTables!$C$35),P151,0))</f>
        <v>0</v>
      </c>
      <c r="R151" s="73">
        <f>IF(ISNA(IF(AND(VLOOKUP(CONCATENATE($D151,$G151),CSRFinput!$B:$E,4,0)=0,OR(H151=MappingTables!$C$31,H151=MappingTables!$C$32)),1,VLOOKUP(CONCATENATE($D151,$G151),CSRFinput!$B:$E,4,0))),0,IF(AND(VLOOKUP(CONCATENATE($D151,$G151),CSRFinput!$B:$E,4,0)=0,OR(H151=MappingTables!$C$31,H151=MappingTables!$C$32)),1,VLOOKUP(CONCATENATE($D151,$G151),CSRFinput!$B:$E,4,0)))</f>
        <v>0.054776304963434752</v>
      </c>
      <c r="S151" s="73">
        <f>IF(B151="",0,P151*R151)</f>
        <v>8.6404496346427888</v>
      </c>
      <c r="T151" s="85">
        <f>IF(B151="",0,IF(OR(H151=MappingTables!$C$34,H151=MappingTables!$C$35),S151,0))</f>
        <v>0</v>
      </c>
    </row>
    <row r="152" spans="2:20" s="0" customFormat="0" ht="15">
      <c r="B152" s="69" t="s">
        <v>3533</v>
      </c>
      <c r="C152" s="70" t="s">
        <v>3534</v>
      </c>
      <c r="D152" s="70" t="s">
        <v>1</v>
      </c>
      <c r="E152" s="70" t="s">
        <v>1</v>
      </c>
      <c r="F152" s="70"/>
      <c r="G152" s="70" t="s">
        <v>61</v>
      </c>
      <c r="H152" s="70" t="s">
        <v>178</v>
      </c>
      <c r="I152" s="70" t="s">
        <v>184</v>
      </c>
      <c r="J152" s="71">
        <f>IF(OR(I152=0,I152=""),"unrated",VLOOKUP(I152,MappingTables!$B$19:$C$31,2,FALSE))</f>
        <v>5</v>
      </c>
      <c r="K152" s="72">
        <v>223.21640062444548</v>
      </c>
      <c r="L152" s="70">
        <v>0.0684880775746196</v>
      </c>
      <c r="M152" s="71">
        <f>IF(L152&lt;1,1,L152)</f>
        <v>1</v>
      </c>
      <c r="N152" s="70" t="s">
        <v>3288</v>
      </c>
      <c r="O152" s="71">
        <f>IF(OR(I152=$A$1,I152=0),"",IF(N152=MappingTables!$C$14,VLOOKUP(J152,ModelParameters!$M$8:$N$15,2,FALSE),IF(N152=MappingTables!$C$16,VLOOKUP(J152,ModelParameters!$P$8:$Q$15,2,FALSE),0)))</f>
        <v>1</v>
      </c>
      <c r="P152" s="73">
        <f>IF(OR(I152=0,I152=$A$1),0,MIN(O152*M152,1)*K152)</f>
        <v>223.21640062444548</v>
      </c>
      <c r="Q152" s="73">
        <f>IF(B152="",0,IF(OR(H152=MappingTables!$C$34,H152=MappingTables!$C$35),P152,0))</f>
        <v>0</v>
      </c>
      <c r="R152" s="73">
        <f>IF(ISNA(IF(AND(VLOOKUP(CONCATENATE($D152,$G152),CSRFinput!$B:$E,4,0)=0,OR(H152=MappingTables!$C$31,H152=MappingTables!$C$32)),1,VLOOKUP(CONCATENATE($D152,$G152),CSRFinput!$B:$E,4,0))),0,IF(AND(VLOOKUP(CONCATENATE($D152,$G152),CSRFinput!$B:$E,4,0)=0,OR(H152=MappingTables!$C$31,H152=MappingTables!$C$32)),1,VLOOKUP(CONCATENATE($D152,$G152),CSRFinput!$B:$E,4,0)))</f>
        <v>0.054776304963434752</v>
      </c>
      <c r="S152" s="73">
        <f>IF(B152="",0,P152*R152)</f>
        <v>12.226969633444854</v>
      </c>
      <c r="T152" s="85">
        <f>IF(B152="",0,IF(OR(H152=MappingTables!$C$34,H152=MappingTables!$C$35),S152,0))</f>
        <v>0</v>
      </c>
    </row>
    <row r="153" spans="2:20" s="0" customFormat="0" ht="15">
      <c r="B153" s="69">
        <v>16974927</v>
      </c>
      <c r="C153" s="70" t="s">
        <v>3535</v>
      </c>
      <c r="D153" s="70" t="s">
        <v>1</v>
      </c>
      <c r="E153" s="70" t="s">
        <v>1</v>
      </c>
      <c r="F153" s="70"/>
      <c r="G153" s="70" t="s">
        <v>61</v>
      </c>
      <c r="H153" s="70" t="s">
        <v>178</v>
      </c>
      <c r="I153" s="70" t="s">
        <v>216</v>
      </c>
      <c r="J153" s="71">
        <f>IF(OR(I153=0,I153=""),"unrated",VLOOKUP(I153,MappingTables!$B$19:$C$31,2,FALSE))</f>
        <v>0</v>
      </c>
      <c r="K153" s="72">
        <v>211.1394305594214</v>
      </c>
      <c r="L153" s="70">
        <v>0.2011850403561756</v>
      </c>
      <c r="M153" s="71">
        <f>IF(L153&lt;1,1,L153)</f>
        <v>1</v>
      </c>
      <c r="N153" s="70" t="s">
        <v>3288</v>
      </c>
      <c r="O153" s="71">
        <f>IF(OR(I153=$A$1,I153=0),"",IF(N153=MappingTables!$C$14,VLOOKUP(J153,ModelParameters!$M$8:$N$15,2,FALSE),IF(N153=MappingTables!$C$16,VLOOKUP(J153,ModelParameters!$P$8:$Q$15,2,FALSE),0)))</f>
        <v>0.125</v>
      </c>
      <c r="P153" s="73">
        <f>IF(OR(I153=0,I153=$A$1),0,MIN(O153*M153,1)*K153)</f>
        <v>26.392428819927672</v>
      </c>
      <c r="Q153" s="73">
        <f>IF(B153="",0,IF(OR(H153=MappingTables!$C$34,H153=MappingTables!$C$35),P153,0))</f>
        <v>0</v>
      </c>
      <c r="R153" s="73">
        <f>IF(ISNA(IF(AND(VLOOKUP(CONCATENATE($D153,$G153),CSRFinput!$B:$E,4,0)=0,OR(H153=MappingTables!$C$31,H153=MappingTables!$C$32)),1,VLOOKUP(CONCATENATE($D153,$G153),CSRFinput!$B:$E,4,0))),0,IF(AND(VLOOKUP(CONCATENATE($D153,$G153),CSRFinput!$B:$E,4,0)=0,OR(H153=MappingTables!$C$31,H153=MappingTables!$C$32)),1,VLOOKUP(CONCATENATE($D153,$G153),CSRFinput!$B:$E,4,0)))</f>
        <v>0.054776304963434752</v>
      </c>
      <c r="S153" s="73">
        <f>IF(B153="",0,P153*R153)</f>
        <v>1.4456797297661026</v>
      </c>
      <c r="T153" s="85">
        <f>IF(B153="",0,IF(OR(H153=MappingTables!$C$34,H153=MappingTables!$C$35),S153,0))</f>
        <v>0</v>
      </c>
    </row>
    <row r="154" spans="2:20" s="0" customFormat="0" ht="15">
      <c r="B154" s="69" t="s">
        <v>3536</v>
      </c>
      <c r="C154" s="70" t="s">
        <v>3537</v>
      </c>
      <c r="D154" s="70" t="s">
        <v>1</v>
      </c>
      <c r="E154" s="70" t="s">
        <v>1</v>
      </c>
      <c r="F154" s="70"/>
      <c r="G154" s="70" t="s">
        <v>61</v>
      </c>
      <c r="H154" s="70" t="s">
        <v>178</v>
      </c>
      <c r="I154" s="70" t="s">
        <v>179</v>
      </c>
      <c r="J154" s="71">
        <f>IF(OR(I154=0,I154=""),"unrated",VLOOKUP(I154,MappingTables!$B$19:$C$31,2,FALSE))</f>
        <v>4</v>
      </c>
      <c r="K154" s="72">
        <v>388.62478870699768</v>
      </c>
      <c r="L154" s="70">
        <v>5.3559848806599096</v>
      </c>
      <c r="M154" s="71">
        <f>IF(L154&lt;1,1,L154)</f>
        <v>5.3559848806599096</v>
      </c>
      <c r="N154" s="70" t="s">
        <v>3288</v>
      </c>
      <c r="O154" s="71">
        <f>IF(OR(I154=$A$1,I154=0),"",IF(N154=MappingTables!$C$14,VLOOKUP(J154,ModelParameters!$M$8:$N$15,2,FALSE),IF(N154=MappingTables!$C$16,VLOOKUP(J154,ModelParameters!$P$8:$Q$15,2,FALSE),0)))</f>
        <v>0.82</v>
      </c>
      <c r="P154" s="73">
        <f>IF(OR(I154=0,I154=$A$1),0,MIN(O154*M154,1)*K154)</f>
        <v>388.62478870699768</v>
      </c>
      <c r="Q154" s="73">
        <f>IF(B154="",0,IF(OR(H154=MappingTables!$C$34,H154=MappingTables!$C$35),P154,0))</f>
        <v>0</v>
      </c>
      <c r="R154" s="73">
        <f>IF(ISNA(IF(AND(VLOOKUP(CONCATENATE($D154,$G154),CSRFinput!$B:$E,4,0)=0,OR(H154=MappingTables!$C$31,H154=MappingTables!$C$32)),1,VLOOKUP(CONCATENATE($D154,$G154),CSRFinput!$B:$E,4,0))),0,IF(AND(VLOOKUP(CONCATENATE($D154,$G154),CSRFinput!$B:$E,4,0)=0,OR(H154=MappingTables!$C$31,H154=MappingTables!$C$32)),1,VLOOKUP(CONCATENATE($D154,$G154),CSRFinput!$B:$E,4,0)))</f>
        <v>0.054776304963434752</v>
      </c>
      <c r="S154" s="73">
        <f>IF(B154="",0,P154*R154)</f>
        <v>21.287429942564904</v>
      </c>
      <c r="T154" s="85">
        <f>IF(B154="",0,IF(OR(H154=MappingTables!$C$34,H154=MappingTables!$C$35),S154,0))</f>
        <v>0</v>
      </c>
    </row>
    <row r="155" spans="2:20" s="0" customFormat="0" ht="15">
      <c r="B155" s="69" t="s">
        <v>3538</v>
      </c>
      <c r="C155" s="70" t="s">
        <v>3539</v>
      </c>
      <c r="D155" s="70" t="s">
        <v>1</v>
      </c>
      <c r="E155" s="70" t="s">
        <v>1</v>
      </c>
      <c r="F155" s="70"/>
      <c r="G155" s="70" t="s">
        <v>61</v>
      </c>
      <c r="H155" s="70" t="s">
        <v>178</v>
      </c>
      <c r="I155" s="70" t="s">
        <v>198</v>
      </c>
      <c r="J155" s="71" t="str">
        <f>IF(OR(I155=0,I155=""),"unrated",VLOOKUP(I155,MappingTables!$B$19:$C$31,2,FALSE))</f>
        <v>unrated</v>
      </c>
      <c r="K155" s="72">
        <v>127.3702725759843</v>
      </c>
      <c r="L155" s="70">
        <v>0.2098103744408822</v>
      </c>
      <c r="M155" s="71">
        <f>IF(L155&lt;1,1,L155)</f>
        <v>1</v>
      </c>
      <c r="N155" s="70" t="s">
        <v>3288</v>
      </c>
      <c r="O155" s="71">
        <f>IF(OR(I155=$A$1,I155=0),"",IF(N155=MappingTables!$C$14,VLOOKUP(J155,ModelParameters!$M$8:$N$15,2,FALSE),IF(N155=MappingTables!$C$16,VLOOKUP(J155,ModelParameters!$P$8:$Q$15,2,FALSE),0)))</f>
        <v>1</v>
      </c>
      <c r="P155" s="73">
        <f>IF(OR(I155=0,I155=$A$1),0,MIN(O155*M155,1)*K155)</f>
        <v>127.3702725759843</v>
      </c>
      <c r="Q155" s="73">
        <f>IF(B155="",0,IF(OR(H155=MappingTables!$C$34,H155=MappingTables!$C$35),P155,0))</f>
        <v>0</v>
      </c>
      <c r="R155" s="73">
        <f>IF(ISNA(IF(AND(VLOOKUP(CONCATENATE($D155,$G155),CSRFinput!$B:$E,4,0)=0,OR(H155=MappingTables!$C$31,H155=MappingTables!$C$32)),1,VLOOKUP(CONCATENATE($D155,$G155),CSRFinput!$B:$E,4,0))),0,IF(AND(VLOOKUP(CONCATENATE($D155,$G155),CSRFinput!$B:$E,4,0)=0,OR(H155=MappingTables!$C$31,H155=MappingTables!$C$32)),1,VLOOKUP(CONCATENATE($D155,$G155),CSRFinput!$B:$E,4,0)))</f>
        <v>0.054776304963434752</v>
      </c>
      <c r="S155" s="73">
        <f>IF(B155="",0,P155*R155)</f>
        <v>6.9768728938979264</v>
      </c>
      <c r="T155" s="85">
        <f>IF(B155="",0,IF(OR(H155=MappingTables!$C$34,H155=MappingTables!$C$35),S155,0))</f>
        <v>0</v>
      </c>
    </row>
    <row r="156" spans="2:20" s="0" customFormat="0" ht="15">
      <c r="B156" s="69">
        <v>13166841</v>
      </c>
      <c r="C156" s="70" t="s">
        <v>3540</v>
      </c>
      <c r="D156" s="70" t="s">
        <v>1</v>
      </c>
      <c r="E156" s="70" t="s">
        <v>1</v>
      </c>
      <c r="F156" s="70"/>
      <c r="G156" s="70" t="s">
        <v>61</v>
      </c>
      <c r="H156" s="70" t="s">
        <v>178</v>
      </c>
      <c r="I156" s="70" t="s">
        <v>204</v>
      </c>
      <c r="J156" s="71">
        <f>IF(OR(I156=0,I156=""),"unrated",VLOOKUP(I156,MappingTables!$B$19:$C$31,2,FALSE))</f>
        <v>6</v>
      </c>
      <c r="K156" s="72">
        <v>1253.3421196455856</v>
      </c>
      <c r="L156" s="70">
        <v>0.068490620603304216</v>
      </c>
      <c r="M156" s="71">
        <f>IF(L156&lt;1,1,L156)</f>
        <v>1</v>
      </c>
      <c r="N156" s="70" t="s">
        <v>3288</v>
      </c>
      <c r="O156" s="71">
        <f>IF(OR(I156=$A$1,I156=0),"",IF(N156=MappingTables!$C$14,VLOOKUP(J156,ModelParameters!$M$8:$N$15,2,FALSE),IF(N156=MappingTables!$C$16,VLOOKUP(J156,ModelParameters!$P$8:$Q$15,2,FALSE),0)))</f>
        <v>1</v>
      </c>
      <c r="P156" s="73">
        <f>IF(OR(I156=0,I156=$A$1),0,MIN(O156*M156,1)*K156)</f>
        <v>1253.3421196455856</v>
      </c>
      <c r="Q156" s="73">
        <f>IF(B156="",0,IF(OR(H156=MappingTables!$C$34,H156=MappingTables!$C$35),P156,0))</f>
        <v>0</v>
      </c>
      <c r="R156" s="73">
        <f>IF(ISNA(IF(AND(VLOOKUP(CONCATENATE($D156,$G156),CSRFinput!$B:$E,4,0)=0,OR(H156=MappingTables!$C$31,H156=MappingTables!$C$32)),1,VLOOKUP(CONCATENATE($D156,$G156),CSRFinput!$B:$E,4,0))),0,IF(AND(VLOOKUP(CONCATENATE($D156,$G156),CSRFinput!$B:$E,4,0)=0,OR(H156=MappingTables!$C$31,H156=MappingTables!$C$32)),1,VLOOKUP(CONCATENATE($D156,$G156),CSRFinput!$B:$E,4,0)))</f>
        <v>0.054776304963434752</v>
      </c>
      <c r="S156" s="73">
        <f>IF(B156="",0,P156*R156)</f>
        <v>68.653450169224328</v>
      </c>
      <c r="T156" s="85">
        <f>IF(B156="",0,IF(OR(H156=MappingTables!$C$34,H156=MappingTables!$C$35),S156,0))</f>
        <v>0</v>
      </c>
    </row>
    <row r="157" spans="2:20" s="0" customFormat="0" ht="15">
      <c r="B157" s="69">
        <v>22623666</v>
      </c>
      <c r="C157" s="70" t="s">
        <v>3541</v>
      </c>
      <c r="D157" s="70" t="s">
        <v>1</v>
      </c>
      <c r="E157" s="70" t="s">
        <v>1</v>
      </c>
      <c r="F157" s="70"/>
      <c r="G157" s="70" t="s">
        <v>61</v>
      </c>
      <c r="H157" s="70" t="s">
        <v>178</v>
      </c>
      <c r="I157" s="70" t="s">
        <v>204</v>
      </c>
      <c r="J157" s="71">
        <f>IF(OR(I157=0,I157=""),"unrated",VLOOKUP(I157,MappingTables!$B$19:$C$31,2,FALSE))</f>
        <v>6</v>
      </c>
      <c r="K157" s="72">
        <v>1496.7618962011682</v>
      </c>
      <c r="L157" s="70">
        <v>-0.22404229141333428</v>
      </c>
      <c r="M157" s="71">
        <f>IF(L157&lt;1,1,L157)</f>
        <v>1</v>
      </c>
      <c r="N157" s="70" t="s">
        <v>3288</v>
      </c>
      <c r="O157" s="71">
        <f>IF(OR(I157=$A$1,I157=0),"",IF(N157=MappingTables!$C$14,VLOOKUP(J157,ModelParameters!$M$8:$N$15,2,FALSE),IF(N157=MappingTables!$C$16,VLOOKUP(J157,ModelParameters!$P$8:$Q$15,2,FALSE),0)))</f>
        <v>1</v>
      </c>
      <c r="P157" s="73">
        <f>IF(OR(I157=0,I157=$A$1),0,MIN(O157*M157,1)*K157)</f>
        <v>1496.7618962011682</v>
      </c>
      <c r="Q157" s="73">
        <f>IF(B157="",0,IF(OR(H157=MappingTables!$C$34,H157=MappingTables!$C$35),P157,0))</f>
        <v>0</v>
      </c>
      <c r="R157" s="73">
        <f>IF(ISNA(IF(AND(VLOOKUP(CONCATENATE($D157,$G157),CSRFinput!$B:$E,4,0)=0,OR(H157=MappingTables!$C$31,H157=MappingTables!$C$32)),1,VLOOKUP(CONCATENATE($D157,$G157),CSRFinput!$B:$E,4,0))),0,IF(AND(VLOOKUP(CONCATENATE($D157,$G157),CSRFinput!$B:$E,4,0)=0,OR(H157=MappingTables!$C$31,H157=MappingTables!$C$32)),1,VLOOKUP(CONCATENATE($D157,$G157),CSRFinput!$B:$E,4,0)))</f>
        <v>0.054776304963434752</v>
      </c>
      <c r="S157" s="73">
        <f>IF(B157="",0,P157*R157)</f>
        <v>81.987086083964064</v>
      </c>
      <c r="T157" s="85">
        <f>IF(B157="",0,IF(OR(H157=MappingTables!$C$34,H157=MappingTables!$C$35),S157,0))</f>
        <v>0</v>
      </c>
    </row>
    <row r="158" spans="2:20" s="0" customFormat="0" ht="15">
      <c r="B158" s="69">
        <v>16974681</v>
      </c>
      <c r="C158" s="70" t="s">
        <v>3542</v>
      </c>
      <c r="D158" s="70" t="s">
        <v>1</v>
      </c>
      <c r="E158" s="70" t="s">
        <v>1</v>
      </c>
      <c r="F158" s="70"/>
      <c r="G158" s="70" t="s">
        <v>61</v>
      </c>
      <c r="H158" s="70" t="s">
        <v>178</v>
      </c>
      <c r="I158" s="70" t="s">
        <v>198</v>
      </c>
      <c r="J158" s="71" t="str">
        <f>IF(OR(I158=0,I158=""),"unrated",VLOOKUP(I158,MappingTables!$B$19:$C$31,2,FALSE))</f>
        <v>unrated</v>
      </c>
      <c r="K158" s="72">
        <v>199.79127343315468</v>
      </c>
      <c r="L158" s="70">
        <v>0.08374682880026168</v>
      </c>
      <c r="M158" s="71">
        <f>IF(L158&lt;1,1,L158)</f>
        <v>1</v>
      </c>
      <c r="N158" s="70" t="s">
        <v>3288</v>
      </c>
      <c r="O158" s="71">
        <f>IF(OR(I158=$A$1,I158=0),"",IF(N158=MappingTables!$C$14,VLOOKUP(J158,ModelParameters!$M$8:$N$15,2,FALSE),IF(N158=MappingTables!$C$16,VLOOKUP(J158,ModelParameters!$P$8:$Q$15,2,FALSE),0)))</f>
        <v>1</v>
      </c>
      <c r="P158" s="73">
        <f>IF(OR(I158=0,I158=$A$1),0,MIN(O158*M158,1)*K158)</f>
        <v>199.79127343315468</v>
      </c>
      <c r="Q158" s="73">
        <f>IF(B158="",0,IF(OR(H158=MappingTables!$C$34,H158=MappingTables!$C$35),P158,0))</f>
        <v>0</v>
      </c>
      <c r="R158" s="73">
        <f>IF(ISNA(IF(AND(VLOOKUP(CONCATENATE($D158,$G158),CSRFinput!$B:$E,4,0)=0,OR(H158=MappingTables!$C$31,H158=MappingTables!$C$32)),1,VLOOKUP(CONCATENATE($D158,$G158),CSRFinput!$B:$E,4,0))),0,IF(AND(VLOOKUP(CONCATENATE($D158,$G158),CSRFinput!$B:$E,4,0)=0,OR(H158=MappingTables!$C$31,H158=MappingTables!$C$32)),1,VLOOKUP(CONCATENATE($D158,$G158),CSRFinput!$B:$E,4,0)))</f>
        <v>0.054776304963434752</v>
      </c>
      <c r="S158" s="73">
        <f>IF(B158="",0,P158*R158)</f>
        <v>10.94382772260746</v>
      </c>
      <c r="T158" s="85">
        <f>IF(B158="",0,IF(OR(H158=MappingTables!$C$34,H158=MappingTables!$C$35),S158,0))</f>
        <v>0</v>
      </c>
    </row>
    <row r="159" spans="2:20" s="0" customFormat="0" ht="15">
      <c r="B159" s="69" t="s">
        <v>3543</v>
      </c>
      <c r="C159" s="70" t="s">
        <v>3544</v>
      </c>
      <c r="D159" s="70" t="s">
        <v>1</v>
      </c>
      <c r="E159" s="70" t="s">
        <v>1</v>
      </c>
      <c r="F159" s="70"/>
      <c r="G159" s="70" t="s">
        <v>61</v>
      </c>
      <c r="H159" s="70" t="s">
        <v>178</v>
      </c>
      <c r="I159" s="70" t="s">
        <v>204</v>
      </c>
      <c r="J159" s="71">
        <f>IF(OR(I159=0,I159=""),"unrated",VLOOKUP(I159,MappingTables!$B$19:$C$31,2,FALSE))</f>
        <v>6</v>
      </c>
      <c r="K159" s="72">
        <v>35.566309929361856</v>
      </c>
      <c r="L159" s="70">
        <v>0.068491856386019696</v>
      </c>
      <c r="M159" s="71">
        <f>IF(L159&lt;1,1,L159)</f>
        <v>1</v>
      </c>
      <c r="N159" s="70" t="s">
        <v>3288</v>
      </c>
      <c r="O159" s="71">
        <f>IF(OR(I159=$A$1,I159=0),"",IF(N159=MappingTables!$C$14,VLOOKUP(J159,ModelParameters!$M$8:$N$15,2,FALSE),IF(N159=MappingTables!$C$16,VLOOKUP(J159,ModelParameters!$P$8:$Q$15,2,FALSE),0)))</f>
        <v>1</v>
      </c>
      <c r="P159" s="73">
        <f>IF(OR(I159=0,I159=$A$1),0,MIN(O159*M159,1)*K159)</f>
        <v>35.566309929361856</v>
      </c>
      <c r="Q159" s="73">
        <f>IF(B159="",0,IF(OR(H159=MappingTables!$C$34,H159=MappingTables!$C$35),P159,0))</f>
        <v>0</v>
      </c>
      <c r="R159" s="73">
        <f>IF(ISNA(IF(AND(VLOOKUP(CONCATENATE($D159,$G159),CSRFinput!$B:$E,4,0)=0,OR(H159=MappingTables!$C$31,H159=MappingTables!$C$32)),1,VLOOKUP(CONCATENATE($D159,$G159),CSRFinput!$B:$E,4,0))),0,IF(AND(VLOOKUP(CONCATENATE($D159,$G159),CSRFinput!$B:$E,4,0)=0,OR(H159=MappingTables!$C$31,H159=MappingTables!$C$32)),1,VLOOKUP(CONCATENATE($D159,$G159),CSRFinput!$B:$E,4,0)))</f>
        <v>0.054776304963434752</v>
      </c>
      <c r="S159" s="73">
        <f>IF(B159="",0,P159*R159)</f>
        <v>1.9481910391147624</v>
      </c>
      <c r="T159" s="85">
        <f>IF(B159="",0,IF(OR(H159=MappingTables!$C$34,H159=MappingTables!$C$35),S159,0))</f>
        <v>0</v>
      </c>
    </row>
    <row r="160" spans="2:20" s="0" customFormat="0" ht="15">
      <c r="B160" s="69" t="s">
        <v>3545</v>
      </c>
      <c r="C160" s="70" t="s">
        <v>3546</v>
      </c>
      <c r="D160" s="70" t="s">
        <v>1</v>
      </c>
      <c r="E160" s="70" t="s">
        <v>1</v>
      </c>
      <c r="F160" s="70"/>
      <c r="G160" s="70" t="s">
        <v>61</v>
      </c>
      <c r="H160" s="70" t="s">
        <v>178</v>
      </c>
      <c r="I160" s="70" t="s">
        <v>198</v>
      </c>
      <c r="J160" s="71" t="str">
        <f>IF(OR(I160=0,I160=""),"unrated",VLOOKUP(I160,MappingTables!$B$19:$C$31,2,FALSE))</f>
        <v>unrated</v>
      </c>
      <c r="K160" s="72">
        <v>32.76904760527512</v>
      </c>
      <c r="L160" s="70">
        <v>0.052052865433288872</v>
      </c>
      <c r="M160" s="71">
        <f>IF(L160&lt;1,1,L160)</f>
        <v>1</v>
      </c>
      <c r="N160" s="70" t="s">
        <v>3288</v>
      </c>
      <c r="O160" s="71">
        <f>IF(OR(I160=$A$1,I160=0),"",IF(N160=MappingTables!$C$14,VLOOKUP(J160,ModelParameters!$M$8:$N$15,2,FALSE),IF(N160=MappingTables!$C$16,VLOOKUP(J160,ModelParameters!$P$8:$Q$15,2,FALSE),0)))</f>
        <v>1</v>
      </c>
      <c r="P160" s="73">
        <f>IF(OR(I160=0,I160=$A$1),0,MIN(O160*M160,1)*K160)</f>
        <v>32.76904760527512</v>
      </c>
      <c r="Q160" s="73">
        <f>IF(B160="",0,IF(OR(H160=MappingTables!$C$34,H160=MappingTables!$C$35),P160,0))</f>
        <v>0</v>
      </c>
      <c r="R160" s="73">
        <f>IF(ISNA(IF(AND(VLOOKUP(CONCATENATE($D160,$G160),CSRFinput!$B:$E,4,0)=0,OR(H160=MappingTables!$C$31,H160=MappingTables!$C$32)),1,VLOOKUP(CONCATENATE($D160,$G160),CSRFinput!$B:$E,4,0))),0,IF(AND(VLOOKUP(CONCATENATE($D160,$G160),CSRFinput!$B:$E,4,0)=0,OR(H160=MappingTables!$C$31,H160=MappingTables!$C$32)),1,VLOOKUP(CONCATENATE($D160,$G160),CSRFinput!$B:$E,4,0)))</f>
        <v>0.054776304963434752</v>
      </c>
      <c r="S160" s="73">
        <f>IF(B160="",0,P160*R160)</f>
        <v>1.7949673449878612</v>
      </c>
      <c r="T160" s="85">
        <f>IF(B160="",0,IF(OR(H160=MappingTables!$C$34,H160=MappingTables!$C$35),S160,0))</f>
        <v>0</v>
      </c>
    </row>
    <row r="161" spans="2:20" s="0" customFormat="0" ht="15">
      <c r="B161" s="69" t="s">
        <v>3547</v>
      </c>
      <c r="C161" s="70" t="s">
        <v>3548</v>
      </c>
      <c r="D161" s="70" t="s">
        <v>1</v>
      </c>
      <c r="E161" s="70" t="s">
        <v>1</v>
      </c>
      <c r="F161" s="70"/>
      <c r="G161" s="70" t="s">
        <v>61</v>
      </c>
      <c r="H161" s="70" t="s">
        <v>178</v>
      </c>
      <c r="I161" s="70" t="s">
        <v>204</v>
      </c>
      <c r="J161" s="71">
        <f>IF(OR(I161=0,I161=""),"unrated",VLOOKUP(I161,MappingTables!$B$19:$C$31,2,FALSE))</f>
        <v>6</v>
      </c>
      <c r="K161" s="72">
        <v>869.24201982464832</v>
      </c>
      <c r="L161" s="70">
        <v>0.068491031013975672</v>
      </c>
      <c r="M161" s="71">
        <f>IF(L161&lt;1,1,L161)</f>
        <v>1</v>
      </c>
      <c r="N161" s="70" t="s">
        <v>3288</v>
      </c>
      <c r="O161" s="71">
        <f>IF(OR(I161=$A$1,I161=0),"",IF(N161=MappingTables!$C$14,VLOOKUP(J161,ModelParameters!$M$8:$N$15,2,FALSE),IF(N161=MappingTables!$C$16,VLOOKUP(J161,ModelParameters!$P$8:$Q$15,2,FALSE),0)))</f>
        <v>1</v>
      </c>
      <c r="P161" s="73">
        <f>IF(OR(I161=0,I161=$A$1),0,MIN(O161*M161,1)*K161)</f>
        <v>869.24201982464832</v>
      </c>
      <c r="Q161" s="73">
        <f>IF(B161="",0,IF(OR(H161=MappingTables!$C$34,H161=MappingTables!$C$35),P161,0))</f>
        <v>0</v>
      </c>
      <c r="R161" s="73">
        <f>IF(ISNA(IF(AND(VLOOKUP(CONCATENATE($D161,$G161),CSRFinput!$B:$E,4,0)=0,OR(H161=MappingTables!$C$31,H161=MappingTables!$C$32)),1,VLOOKUP(CONCATENATE($D161,$G161),CSRFinput!$B:$E,4,0))),0,IF(AND(VLOOKUP(CONCATENATE($D161,$G161),CSRFinput!$B:$E,4,0)=0,OR(H161=MappingTables!$C$31,H161=MappingTables!$C$32)),1,VLOOKUP(CONCATENATE($D161,$G161),CSRFinput!$B:$E,4,0)))</f>
        <v>0.054776304963434752</v>
      </c>
      <c r="S161" s="73">
        <f>IF(B161="",0,P161*R161)</f>
        <v>47.613865964946928</v>
      </c>
      <c r="T161" s="85">
        <f>IF(B161="",0,IF(OR(H161=MappingTables!$C$34,H161=MappingTables!$C$35),S161,0))</f>
        <v>0</v>
      </c>
    </row>
    <row r="162" spans="2:20" s="0" customFormat="0" ht="15">
      <c r="B162" s="69" t="s">
        <v>3549</v>
      </c>
      <c r="C162" s="70" t="s">
        <v>3550</v>
      </c>
      <c r="D162" s="70" t="s">
        <v>1</v>
      </c>
      <c r="E162" s="70" t="s">
        <v>1</v>
      </c>
      <c r="F162" s="70"/>
      <c r="G162" s="70" t="s">
        <v>61</v>
      </c>
      <c r="H162" s="70" t="s">
        <v>178</v>
      </c>
      <c r="I162" s="70" t="s">
        <v>198</v>
      </c>
      <c r="J162" s="71" t="str">
        <f>IF(OR(I162=0,I162=""),"unrated",VLOOKUP(I162,MappingTables!$B$19:$C$31,2,FALSE))</f>
        <v>unrated</v>
      </c>
      <c r="K162" s="72">
        <v>444.20107567093896</v>
      </c>
      <c r="L162" s="70">
        <v>22.444274472381228</v>
      </c>
      <c r="M162" s="71">
        <f>IF(L162&lt;1,1,L162)</f>
        <v>22.444274472381228</v>
      </c>
      <c r="N162" s="70" t="s">
        <v>3288</v>
      </c>
      <c r="O162" s="71">
        <f>IF(OR(I162=$A$1,I162=0),"",IF(N162=MappingTables!$C$14,VLOOKUP(J162,ModelParameters!$M$8:$N$15,2,FALSE),IF(N162=MappingTables!$C$16,VLOOKUP(J162,ModelParameters!$P$8:$Q$15,2,FALSE),0)))</f>
        <v>1</v>
      </c>
      <c r="P162" s="73">
        <f>IF(OR(I162=0,I162=$A$1),0,MIN(O162*M162,1)*K162)</f>
        <v>444.20107567093896</v>
      </c>
      <c r="Q162" s="73">
        <f>IF(B162="",0,IF(OR(H162=MappingTables!$C$34,H162=MappingTables!$C$35),P162,0))</f>
        <v>0</v>
      </c>
      <c r="R162" s="73">
        <f>IF(ISNA(IF(AND(VLOOKUP(CONCATENATE($D162,$G162),CSRFinput!$B:$E,4,0)=0,OR(H162=MappingTables!$C$31,H162=MappingTables!$C$32)),1,VLOOKUP(CONCATENATE($D162,$G162),CSRFinput!$B:$E,4,0))),0,IF(AND(VLOOKUP(CONCATENATE($D162,$G162),CSRFinput!$B:$E,4,0)=0,OR(H162=MappingTables!$C$31,H162=MappingTables!$C$32)),1,VLOOKUP(CONCATENATE($D162,$G162),CSRFinput!$B:$E,4,0)))</f>
        <v>0.054776304963434752</v>
      </c>
      <c r="S162" s="73">
        <f>IF(B162="",0,P162*R162)</f>
        <v>24.331693586037112</v>
      </c>
      <c r="T162" s="85">
        <f>IF(B162="",0,IF(OR(H162=MappingTables!$C$34,H162=MappingTables!$C$35),S162,0))</f>
        <v>0</v>
      </c>
    </row>
    <row r="163" spans="2:20" s="0" customFormat="0" ht="15">
      <c r="B163" s="69" t="s">
        <v>3551</v>
      </c>
      <c r="C163" s="70" t="s">
        <v>3552</v>
      </c>
      <c r="D163" s="70" t="s">
        <v>1</v>
      </c>
      <c r="E163" s="70" t="s">
        <v>1</v>
      </c>
      <c r="F163" s="70"/>
      <c r="G163" s="70" t="s">
        <v>61</v>
      </c>
      <c r="H163" s="70" t="s">
        <v>178</v>
      </c>
      <c r="I163" s="70" t="s">
        <v>3298</v>
      </c>
      <c r="J163" s="71">
        <f>IF(OR(I163=0,I163=""),"unrated",VLOOKUP(I163,MappingTables!$B$19:$C$31,2,FALSE))</f>
        <v>6</v>
      </c>
      <c r="K163" s="72">
        <v>144.29883561731748</v>
      </c>
      <c r="L163" s="70">
        <v>-0.26847512303941052</v>
      </c>
      <c r="M163" s="71">
        <f>IF(L163&lt;1,1,L163)</f>
        <v>1</v>
      </c>
      <c r="N163" s="70" t="s">
        <v>3288</v>
      </c>
      <c r="O163" s="71">
        <f>IF(OR(I163=$A$1,I163=0),"",IF(N163=MappingTables!$C$14,VLOOKUP(J163,ModelParameters!$M$8:$N$15,2,FALSE),IF(N163=MappingTables!$C$16,VLOOKUP(J163,ModelParameters!$P$8:$Q$15,2,FALSE),0)))</f>
        <v>1</v>
      </c>
      <c r="P163" s="73">
        <f>IF(OR(I163=0,I163=$A$1),0,MIN(O163*M163,1)*K163)</f>
        <v>144.29883561731748</v>
      </c>
      <c r="Q163" s="73">
        <f>IF(B163="",0,IF(OR(H163=MappingTables!$C$34,H163=MappingTables!$C$35),P163,0))</f>
        <v>0</v>
      </c>
      <c r="R163" s="73">
        <f>IF(ISNA(IF(AND(VLOOKUP(CONCATENATE($D163,$G163),CSRFinput!$B:$E,4,0)=0,OR(H163=MappingTables!$C$31,H163=MappingTables!$C$32)),1,VLOOKUP(CONCATENATE($D163,$G163),CSRFinput!$B:$E,4,0))),0,IF(AND(VLOOKUP(CONCATENATE($D163,$G163),CSRFinput!$B:$E,4,0)=0,OR(H163=MappingTables!$C$31,H163=MappingTables!$C$32)),1,VLOOKUP(CONCATENATE($D163,$G163),CSRFinput!$B:$E,4,0)))</f>
        <v>0.054776304963434752</v>
      </c>
      <c r="S163" s="73">
        <f>IF(B163="",0,P163*R163)</f>
        <v>7.9041570256427232</v>
      </c>
      <c r="T163" s="85">
        <f>IF(B163="",0,IF(OR(H163=MappingTables!$C$34,H163=MappingTables!$C$35),S163,0))</f>
        <v>0</v>
      </c>
    </row>
    <row r="164" spans="2:20" s="0" customFormat="0" ht="15">
      <c r="B164" s="69" t="s">
        <v>3553</v>
      </c>
      <c r="C164" s="70" t="s">
        <v>3554</v>
      </c>
      <c r="D164" s="70" t="s">
        <v>1</v>
      </c>
      <c r="E164" s="70" t="s">
        <v>1</v>
      </c>
      <c r="F164" s="70"/>
      <c r="G164" s="70" t="s">
        <v>61</v>
      </c>
      <c r="H164" s="70" t="s">
        <v>178</v>
      </c>
      <c r="I164" s="70" t="s">
        <v>3298</v>
      </c>
      <c r="J164" s="71">
        <f>IF(OR(I164=0,I164=""),"unrated",VLOOKUP(I164,MappingTables!$B$19:$C$31,2,FALSE))</f>
        <v>6</v>
      </c>
      <c r="K164" s="72">
        <v>903.08354745815264</v>
      </c>
      <c r="L164" s="70">
        <v>-0.18029042754641796</v>
      </c>
      <c r="M164" s="71">
        <f>IF(L164&lt;1,1,L164)</f>
        <v>1</v>
      </c>
      <c r="N164" s="70" t="s">
        <v>3288</v>
      </c>
      <c r="O164" s="71">
        <f>IF(OR(I164=$A$1,I164=0),"",IF(N164=MappingTables!$C$14,VLOOKUP(J164,ModelParameters!$M$8:$N$15,2,FALSE),IF(N164=MappingTables!$C$16,VLOOKUP(J164,ModelParameters!$P$8:$Q$15,2,FALSE),0)))</f>
        <v>1</v>
      </c>
      <c r="P164" s="73">
        <f>IF(OR(I164=0,I164=$A$1),0,MIN(O164*M164,1)*K164)</f>
        <v>903.08354745815264</v>
      </c>
      <c r="Q164" s="73">
        <f>IF(B164="",0,IF(OR(H164=MappingTables!$C$34,H164=MappingTables!$C$35),P164,0))</f>
        <v>0</v>
      </c>
      <c r="R164" s="73">
        <f>IF(ISNA(IF(AND(VLOOKUP(CONCATENATE($D164,$G164),CSRFinput!$B:$E,4,0)=0,OR(H164=MappingTables!$C$31,H164=MappingTables!$C$32)),1,VLOOKUP(CONCATENATE($D164,$G164),CSRFinput!$B:$E,4,0))),0,IF(AND(VLOOKUP(CONCATENATE($D164,$G164),CSRFinput!$B:$E,4,0)=0,OR(H164=MappingTables!$C$31,H164=MappingTables!$C$32)),1,VLOOKUP(CONCATENATE($D164,$G164),CSRFinput!$B:$E,4,0)))</f>
        <v>0.054776304963434752</v>
      </c>
      <c r="S164" s="73">
        <f>IF(B164="",0,P164*R164)</f>
        <v>49.467579803028272</v>
      </c>
      <c r="T164" s="85">
        <f>IF(B164="",0,IF(OR(H164=MappingTables!$C$34,H164=MappingTables!$C$35),S164,0))</f>
        <v>0</v>
      </c>
    </row>
    <row r="165" spans="2:20" s="0" customFormat="0" ht="15">
      <c r="B165" s="69">
        <v>22554451</v>
      </c>
      <c r="C165" s="70" t="s">
        <v>3465</v>
      </c>
      <c r="D165" s="70" t="s">
        <v>1</v>
      </c>
      <c r="E165" s="70" t="s">
        <v>1</v>
      </c>
      <c r="F165" s="70"/>
      <c r="G165" s="70" t="s">
        <v>61</v>
      </c>
      <c r="H165" s="70" t="s">
        <v>178</v>
      </c>
      <c r="I165" s="70" t="s">
        <v>216</v>
      </c>
      <c r="J165" s="71">
        <f>IF(OR(I165=0,I165=""),"unrated",VLOOKUP(I165,MappingTables!$B$19:$C$31,2,FALSE))</f>
        <v>0</v>
      </c>
      <c r="K165" s="72">
        <v>18.457545684507336</v>
      </c>
      <c r="L165" s="70">
        <v>0.0678455131311832</v>
      </c>
      <c r="M165" s="71">
        <f>IF(L165&lt;1,1,L165)</f>
        <v>1</v>
      </c>
      <c r="N165" s="70" t="s">
        <v>3288</v>
      </c>
      <c r="O165" s="71">
        <f>IF(OR(I165=$A$1,I165=0),"",IF(N165=MappingTables!$C$14,VLOOKUP(J165,ModelParameters!$M$8:$N$15,2,FALSE),IF(N165=MappingTables!$C$16,VLOOKUP(J165,ModelParameters!$P$8:$Q$15,2,FALSE),0)))</f>
        <v>0.125</v>
      </c>
      <c r="P165" s="73">
        <f>IF(OR(I165=0,I165=$A$1),0,MIN(O165*M165,1)*K165)</f>
        <v>2.3071932105634168</v>
      </c>
      <c r="Q165" s="73">
        <f>IF(B165="",0,IF(OR(H165=MappingTables!$C$34,H165=MappingTables!$C$35),P165,0))</f>
        <v>0</v>
      </c>
      <c r="R165" s="73">
        <f>IF(ISNA(IF(AND(VLOOKUP(CONCATENATE($D165,$G165),CSRFinput!$B:$E,4,0)=0,OR(H165=MappingTables!$C$31,H165=MappingTables!$C$32)),1,VLOOKUP(CONCATENATE($D165,$G165),CSRFinput!$B:$E,4,0))),0,IF(AND(VLOOKUP(CONCATENATE($D165,$G165),CSRFinput!$B:$E,4,0)=0,OR(H165=MappingTables!$C$31,H165=MappingTables!$C$32)),1,VLOOKUP(CONCATENATE($D165,$G165),CSRFinput!$B:$E,4,0)))</f>
        <v>0.054776304963434752</v>
      </c>
      <c r="S165" s="73">
        <f>IF(B165="",0,P165*R165)</f>
        <v>0.12637951891138786</v>
      </c>
      <c r="T165" s="85">
        <f>IF(B165="",0,IF(OR(H165=MappingTables!$C$34,H165=MappingTables!$C$35),S165,0))</f>
        <v>0</v>
      </c>
    </row>
    <row r="166" spans="2:20" s="0" customFormat="0" ht="15">
      <c r="B166" s="69">
        <v>4797581</v>
      </c>
      <c r="C166" s="70" t="s">
        <v>3555</v>
      </c>
      <c r="D166" s="70" t="s">
        <v>1</v>
      </c>
      <c r="E166" s="70" t="s">
        <v>1</v>
      </c>
      <c r="F166" s="70"/>
      <c r="G166" s="70" t="s">
        <v>61</v>
      </c>
      <c r="H166" s="70" t="s">
        <v>178</v>
      </c>
      <c r="I166" s="70" t="s">
        <v>216</v>
      </c>
      <c r="J166" s="71">
        <f>IF(OR(I166=0,I166=""),"unrated",VLOOKUP(I166,MappingTables!$B$19:$C$31,2,FALSE))</f>
        <v>0</v>
      </c>
      <c r="K166" s="72">
        <v>1.5630642568155214</v>
      </c>
      <c r="L166" s="70">
        <v>0.015668044692339546</v>
      </c>
      <c r="M166" s="71">
        <f>IF(L166&lt;1,1,L166)</f>
        <v>1</v>
      </c>
      <c r="N166" s="70" t="s">
        <v>3288</v>
      </c>
      <c r="O166" s="71">
        <f>IF(OR(I166=$A$1,I166=0),"",IF(N166=MappingTables!$C$14,VLOOKUP(J166,ModelParameters!$M$8:$N$15,2,FALSE),IF(N166=MappingTables!$C$16,VLOOKUP(J166,ModelParameters!$P$8:$Q$15,2,FALSE),0)))</f>
        <v>0.125</v>
      </c>
      <c r="P166" s="73">
        <f>IF(OR(I166=0,I166=$A$1),0,MIN(O166*M166,1)*K166)</f>
        <v>0.19538303210194016</v>
      </c>
      <c r="Q166" s="73">
        <f>IF(B166="",0,IF(OR(H166=MappingTables!$C$34,H166=MappingTables!$C$35),P166,0))</f>
        <v>0</v>
      </c>
      <c r="R166" s="73">
        <f>IF(ISNA(IF(AND(VLOOKUP(CONCATENATE($D166,$G166),CSRFinput!$B:$E,4,0)=0,OR(H166=MappingTables!$C$31,H166=MappingTables!$C$32)),1,VLOOKUP(CONCATENATE($D166,$G166),CSRFinput!$B:$E,4,0))),0,IF(AND(VLOOKUP(CONCATENATE($D166,$G166),CSRFinput!$B:$E,4,0)=0,OR(H166=MappingTables!$C$31,H166=MappingTables!$C$32)),1,VLOOKUP(CONCATENATE($D166,$G166),CSRFinput!$B:$E,4,0)))</f>
        <v>0.054776304963434752</v>
      </c>
      <c r="S166" s="73">
        <f>IF(B166="",0,P166*R166)</f>
        <v>0.010702360551096436</v>
      </c>
      <c r="T166" s="85">
        <f>IF(B166="",0,IF(OR(H166=MappingTables!$C$34,H166=MappingTables!$C$35),S166,0))</f>
        <v>0</v>
      </c>
    </row>
    <row r="167" spans="2:20" s="0" customFormat="0" ht="15">
      <c r="B167" s="69" t="s">
        <v>3556</v>
      </c>
      <c r="C167" s="70" t="s">
        <v>3557</v>
      </c>
      <c r="D167" s="70" t="s">
        <v>1</v>
      </c>
      <c r="E167" s="70" t="s">
        <v>1</v>
      </c>
      <c r="F167" s="70"/>
      <c r="G167" s="70" t="s">
        <v>61</v>
      </c>
      <c r="H167" s="70" t="s">
        <v>178</v>
      </c>
      <c r="I167" s="70" t="s">
        <v>3298</v>
      </c>
      <c r="J167" s="71">
        <f>IF(OR(I167=0,I167=""),"unrated",VLOOKUP(I167,MappingTables!$B$19:$C$31,2,FALSE))</f>
        <v>6</v>
      </c>
      <c r="K167" s="72">
        <v>335.18230078815332</v>
      </c>
      <c r="L167" s="70">
        <v>-0.6362474752472728</v>
      </c>
      <c r="M167" s="71">
        <f>IF(L167&lt;1,1,L167)</f>
        <v>1</v>
      </c>
      <c r="N167" s="70" t="s">
        <v>3288</v>
      </c>
      <c r="O167" s="71">
        <f>IF(OR(I167=$A$1,I167=0),"",IF(N167=MappingTables!$C$14,VLOOKUP(J167,ModelParameters!$M$8:$N$15,2,FALSE),IF(N167=MappingTables!$C$16,VLOOKUP(J167,ModelParameters!$P$8:$Q$15,2,FALSE),0)))</f>
        <v>1</v>
      </c>
      <c r="P167" s="73">
        <f>IF(OR(I167=0,I167=$A$1),0,MIN(O167*M167,1)*K167)</f>
        <v>335.18230078815332</v>
      </c>
      <c r="Q167" s="73">
        <f>IF(B167="",0,IF(OR(H167=MappingTables!$C$34,H167=MappingTables!$C$35),P167,0))</f>
        <v>0</v>
      </c>
      <c r="R167" s="73">
        <f>IF(ISNA(IF(AND(VLOOKUP(CONCATENATE($D167,$G167),CSRFinput!$B:$E,4,0)=0,OR(H167=MappingTables!$C$31,H167=MappingTables!$C$32)),1,VLOOKUP(CONCATENATE($D167,$G167),CSRFinput!$B:$E,4,0))),0,IF(AND(VLOOKUP(CONCATENATE($D167,$G167),CSRFinput!$B:$E,4,0)=0,OR(H167=MappingTables!$C$31,H167=MappingTables!$C$32)),1,VLOOKUP(CONCATENATE($D167,$G167),CSRFinput!$B:$E,4,0)))</f>
        <v>0.054776304963434752</v>
      </c>
      <c r="S167" s="73">
        <f>IF(B167="",0,P167*R167)</f>
        <v>18.3600479263176</v>
      </c>
      <c r="T167" s="85">
        <f>IF(B167="",0,IF(OR(H167=MappingTables!$C$34,H167=MappingTables!$C$35),S167,0))</f>
        <v>0</v>
      </c>
    </row>
    <row r="168" spans="2:20" s="0" customFormat="0" ht="15">
      <c r="B168" s="69" t="s">
        <v>3344</v>
      </c>
      <c r="C168" s="70" t="s">
        <v>3345</v>
      </c>
      <c r="D168" s="70" t="s">
        <v>1</v>
      </c>
      <c r="E168" s="70" t="s">
        <v>1</v>
      </c>
      <c r="F168" s="70"/>
      <c r="G168" s="70" t="s">
        <v>61</v>
      </c>
      <c r="H168" s="70" t="s">
        <v>178</v>
      </c>
      <c r="I168" s="70" t="s">
        <v>216</v>
      </c>
      <c r="J168" s="71">
        <f>IF(OR(I168=0,I168=""),"unrated",VLOOKUP(I168,MappingTables!$B$19:$C$31,2,FALSE))</f>
        <v>0</v>
      </c>
      <c r="K168" s="72">
        <v>429.92318651112672</v>
      </c>
      <c r="L168" s="70">
        <v>0.041092958865122192</v>
      </c>
      <c r="M168" s="71">
        <f>IF(L168&lt;1,1,L168)</f>
        <v>1</v>
      </c>
      <c r="N168" s="70" t="s">
        <v>3288</v>
      </c>
      <c r="O168" s="71">
        <f>IF(OR(I168=$A$1,I168=0),"",IF(N168=MappingTables!$C$14,VLOOKUP(J168,ModelParameters!$M$8:$N$15,2,FALSE),IF(N168=MappingTables!$C$16,VLOOKUP(J168,ModelParameters!$P$8:$Q$15,2,FALSE),0)))</f>
        <v>0.125</v>
      </c>
      <c r="P168" s="73">
        <f>IF(OR(I168=0,I168=$A$1),0,MIN(O168*M168,1)*K168)</f>
        <v>53.74039831389084</v>
      </c>
      <c r="Q168" s="73">
        <f>IF(B168="",0,IF(OR(H168=MappingTables!$C$34,H168=MappingTables!$C$35),P168,0))</f>
        <v>0</v>
      </c>
      <c r="R168" s="73">
        <f>IF(ISNA(IF(AND(VLOOKUP(CONCATENATE($D168,$G168),CSRFinput!$B:$E,4,0)=0,OR(H168=MappingTables!$C$31,H168=MappingTables!$C$32)),1,VLOOKUP(CONCATENATE($D168,$G168),CSRFinput!$B:$E,4,0))),0,IF(AND(VLOOKUP(CONCATENATE($D168,$G168),CSRFinput!$B:$E,4,0)=0,OR(H168=MappingTables!$C$31,H168=MappingTables!$C$32)),1,VLOOKUP(CONCATENATE($D168,$G168),CSRFinput!$B:$E,4,0)))</f>
        <v>0.054776304963434752</v>
      </c>
      <c r="S168" s="73">
        <f>IF(B168="",0,P168*R168)</f>
        <v>2.9437004468981396</v>
      </c>
      <c r="T168" s="85">
        <f>IF(B168="",0,IF(OR(H168=MappingTables!$C$34,H168=MappingTables!$C$35),S168,0))</f>
        <v>0</v>
      </c>
    </row>
    <row r="169" spans="2:20" s="0" customFormat="0" ht="15">
      <c r="B169" s="69" t="s">
        <v>3558</v>
      </c>
      <c r="C169" s="70" t="s">
        <v>3559</v>
      </c>
      <c r="D169" s="70" t="s">
        <v>1</v>
      </c>
      <c r="E169" s="70" t="s">
        <v>1</v>
      </c>
      <c r="F169" s="70"/>
      <c r="G169" s="70" t="s">
        <v>61</v>
      </c>
      <c r="H169" s="70" t="s">
        <v>178</v>
      </c>
      <c r="I169" s="70" t="s">
        <v>184</v>
      </c>
      <c r="J169" s="71">
        <f>IF(OR(I169=0,I169=""),"unrated",VLOOKUP(I169,MappingTables!$B$19:$C$31,2,FALSE))</f>
        <v>5</v>
      </c>
      <c r="K169" s="72">
        <v>114.75594495418722</v>
      </c>
      <c r="L169" s="70">
        <v>0.068491320789544632</v>
      </c>
      <c r="M169" s="71">
        <f>IF(L169&lt;1,1,L169)</f>
        <v>1</v>
      </c>
      <c r="N169" s="70" t="s">
        <v>3288</v>
      </c>
      <c r="O169" s="71">
        <f>IF(OR(I169=$A$1,I169=0),"",IF(N169=MappingTables!$C$14,VLOOKUP(J169,ModelParameters!$M$8:$N$15,2,FALSE),IF(N169=MappingTables!$C$16,VLOOKUP(J169,ModelParameters!$P$8:$Q$15,2,FALSE),0)))</f>
        <v>1</v>
      </c>
      <c r="P169" s="73">
        <f>IF(OR(I169=0,I169=$A$1),0,MIN(O169*M169,1)*K169)</f>
        <v>114.75594495418722</v>
      </c>
      <c r="Q169" s="73">
        <f>IF(B169="",0,IF(OR(H169=MappingTables!$C$34,H169=MappingTables!$C$35),P169,0))</f>
        <v>0</v>
      </c>
      <c r="R169" s="73">
        <f>IF(ISNA(IF(AND(VLOOKUP(CONCATENATE($D169,$G169),CSRFinput!$B:$E,4,0)=0,OR(H169=MappingTables!$C$31,H169=MappingTables!$C$32)),1,VLOOKUP(CONCATENATE($D169,$G169),CSRFinput!$B:$E,4,0))),0,IF(AND(VLOOKUP(CONCATENATE($D169,$G169),CSRFinput!$B:$E,4,0)=0,OR(H169=MappingTables!$C$31,H169=MappingTables!$C$32)),1,VLOOKUP(CONCATENATE($D169,$G169),CSRFinput!$B:$E,4,0)))</f>
        <v>0.054776304963434752</v>
      </c>
      <c r="S169" s="73">
        <f>IF(B169="",0,P169*R169)</f>
        <v>6.2859066371776912</v>
      </c>
      <c r="T169" s="85">
        <f>IF(B169="",0,IF(OR(H169=MappingTables!$C$34,H169=MappingTables!$C$35),S169,0))</f>
        <v>0</v>
      </c>
    </row>
    <row r="170" spans="2:20" s="0" customFormat="0" ht="15">
      <c r="B170" s="69">
        <v>18850582</v>
      </c>
      <c r="C170" s="70" t="s">
        <v>3560</v>
      </c>
      <c r="D170" s="70" t="s">
        <v>1</v>
      </c>
      <c r="E170" s="70" t="s">
        <v>1</v>
      </c>
      <c r="F170" s="70"/>
      <c r="G170" s="70" t="s">
        <v>61</v>
      </c>
      <c r="H170" s="70" t="s">
        <v>178</v>
      </c>
      <c r="I170" s="70" t="s">
        <v>216</v>
      </c>
      <c r="J170" s="71">
        <f>IF(OR(I170=0,I170=""),"unrated",VLOOKUP(I170,MappingTables!$B$19:$C$31,2,FALSE))</f>
        <v>0</v>
      </c>
      <c r="K170" s="72">
        <v>1362.9487256508366</v>
      </c>
      <c r="L170" s="70">
        <v>0.21582079702028536</v>
      </c>
      <c r="M170" s="71">
        <f>IF(L170&lt;1,1,L170)</f>
        <v>1</v>
      </c>
      <c r="N170" s="70" t="s">
        <v>3288</v>
      </c>
      <c r="O170" s="71">
        <f>IF(OR(I170=$A$1,I170=0),"",IF(N170=MappingTables!$C$14,VLOOKUP(J170,ModelParameters!$M$8:$N$15,2,FALSE),IF(N170=MappingTables!$C$16,VLOOKUP(J170,ModelParameters!$P$8:$Q$15,2,FALSE),0)))</f>
        <v>0.125</v>
      </c>
      <c r="P170" s="73">
        <f>IF(OR(I170=0,I170=$A$1),0,MIN(O170*M170,1)*K170)</f>
        <v>170.36859070635458</v>
      </c>
      <c r="Q170" s="73">
        <f>IF(B170="",0,IF(OR(H170=MappingTables!$C$34,H170=MappingTables!$C$35),P170,0))</f>
        <v>0</v>
      </c>
      <c r="R170" s="73">
        <f>IF(ISNA(IF(AND(VLOOKUP(CONCATENATE($D170,$G170),CSRFinput!$B:$E,4,0)=0,OR(H170=MappingTables!$C$31,H170=MappingTables!$C$32)),1,VLOOKUP(CONCATENATE($D170,$G170),CSRFinput!$B:$E,4,0))),0,IF(AND(VLOOKUP(CONCATENATE($D170,$G170),CSRFinput!$B:$E,4,0)=0,OR(H170=MappingTables!$C$31,H170=MappingTables!$C$32)),1,VLOOKUP(CONCATENATE($D170,$G170),CSRFinput!$B:$E,4,0)))</f>
        <v>0.054776304963434752</v>
      </c>
      <c r="S170" s="73">
        <f>IF(B170="",0,P170*R170)</f>
        <v>9.3321618807218752</v>
      </c>
      <c r="T170" s="85">
        <f>IF(B170="",0,IF(OR(H170=MappingTables!$C$34,H170=MappingTables!$C$35),S170,0))</f>
        <v>0</v>
      </c>
    </row>
    <row r="171" spans="2:20" s="0" customFormat="0" ht="15">
      <c r="B171" s="69" t="s">
        <v>3538</v>
      </c>
      <c r="C171" s="70" t="s">
        <v>3539</v>
      </c>
      <c r="D171" s="70" t="s">
        <v>1</v>
      </c>
      <c r="E171" s="70" t="s">
        <v>1</v>
      </c>
      <c r="F171" s="70"/>
      <c r="G171" s="70" t="s">
        <v>61</v>
      </c>
      <c r="H171" s="70" t="s">
        <v>178</v>
      </c>
      <c r="I171" s="70" t="s">
        <v>198</v>
      </c>
      <c r="J171" s="71" t="str">
        <f>IF(OR(I171=0,I171=""),"unrated",VLOOKUP(I171,MappingTables!$B$19:$C$31,2,FALSE))</f>
        <v>unrated</v>
      </c>
      <c r="K171" s="72">
        <v>270.16101796306656</v>
      </c>
      <c r="L171" s="70">
        <v>0.209810374440887</v>
      </c>
      <c r="M171" s="71">
        <f>IF(L171&lt;1,1,L171)</f>
        <v>1</v>
      </c>
      <c r="N171" s="70" t="s">
        <v>3288</v>
      </c>
      <c r="O171" s="71">
        <f>IF(OR(I171=$A$1,I171=0),"",IF(N171=MappingTables!$C$14,VLOOKUP(J171,ModelParameters!$M$8:$N$15,2,FALSE),IF(N171=MappingTables!$C$16,VLOOKUP(J171,ModelParameters!$P$8:$Q$15,2,FALSE),0)))</f>
        <v>1</v>
      </c>
      <c r="P171" s="73">
        <f>IF(OR(I171=0,I171=$A$1),0,MIN(O171*M171,1)*K171)</f>
        <v>270.16101796306656</v>
      </c>
      <c r="Q171" s="73">
        <f>IF(B171="",0,IF(OR(H171=MappingTables!$C$34,H171=MappingTables!$C$35),P171,0))</f>
        <v>0</v>
      </c>
      <c r="R171" s="73">
        <f>IF(ISNA(IF(AND(VLOOKUP(CONCATENATE($D171,$G171),CSRFinput!$B:$E,4,0)=0,OR(H171=MappingTables!$C$31,H171=MappingTables!$C$32)),1,VLOOKUP(CONCATENATE($D171,$G171),CSRFinput!$B:$E,4,0))),0,IF(AND(VLOOKUP(CONCATENATE($D171,$G171),CSRFinput!$B:$E,4,0)=0,OR(H171=MappingTables!$C$31,H171=MappingTables!$C$32)),1,VLOOKUP(CONCATENATE($D171,$G171),CSRFinput!$B:$E,4,0)))</f>
        <v>0.054776304963434752</v>
      </c>
      <c r="S171" s="73">
        <f>IF(B171="",0,P171*R171)</f>
        <v>14.798422309176908</v>
      </c>
      <c r="T171" s="85">
        <f>IF(B171="",0,IF(OR(H171=MappingTables!$C$34,H171=MappingTables!$C$35),S171,0))</f>
        <v>0</v>
      </c>
    </row>
    <row r="172" spans="2:20" s="0" customFormat="0" ht="15">
      <c r="B172" s="69" t="s">
        <v>3561</v>
      </c>
      <c r="C172" s="70" t="s">
        <v>3562</v>
      </c>
      <c r="D172" s="70" t="s">
        <v>1</v>
      </c>
      <c r="E172" s="70" t="s">
        <v>1</v>
      </c>
      <c r="F172" s="70"/>
      <c r="G172" s="70" t="s">
        <v>61</v>
      </c>
      <c r="H172" s="70" t="s">
        <v>178</v>
      </c>
      <c r="I172" s="70" t="s">
        <v>204</v>
      </c>
      <c r="J172" s="71">
        <f>IF(OR(I172=0,I172=""),"unrated",VLOOKUP(I172,MappingTables!$B$19:$C$31,2,FALSE))</f>
        <v>6</v>
      </c>
      <c r="K172" s="72">
        <v>82.919770366379056</v>
      </c>
      <c r="L172" s="70">
        <v>0.06849582563261944</v>
      </c>
      <c r="M172" s="71">
        <f>IF(L172&lt;1,1,L172)</f>
        <v>1</v>
      </c>
      <c r="N172" s="70" t="s">
        <v>3288</v>
      </c>
      <c r="O172" s="71">
        <f>IF(OR(I172=$A$1,I172=0),"",IF(N172=MappingTables!$C$14,VLOOKUP(J172,ModelParameters!$M$8:$N$15,2,FALSE),IF(N172=MappingTables!$C$16,VLOOKUP(J172,ModelParameters!$P$8:$Q$15,2,FALSE),0)))</f>
        <v>1</v>
      </c>
      <c r="P172" s="73">
        <f>IF(OR(I172=0,I172=$A$1),0,MIN(O172*M172,1)*K172)</f>
        <v>82.919770366379056</v>
      </c>
      <c r="Q172" s="73">
        <f>IF(B172="",0,IF(OR(H172=MappingTables!$C$34,H172=MappingTables!$C$35),P172,0))</f>
        <v>0</v>
      </c>
      <c r="R172" s="73">
        <f>IF(ISNA(IF(AND(VLOOKUP(CONCATENATE($D172,$G172),CSRFinput!$B:$E,4,0)=0,OR(H172=MappingTables!$C$31,H172=MappingTables!$C$32)),1,VLOOKUP(CONCATENATE($D172,$G172),CSRFinput!$B:$E,4,0))),0,IF(AND(VLOOKUP(CONCATENATE($D172,$G172),CSRFinput!$B:$E,4,0)=0,OR(H172=MappingTables!$C$31,H172=MappingTables!$C$32)),1,VLOOKUP(CONCATENATE($D172,$G172),CSRFinput!$B:$E,4,0)))</f>
        <v>0.054776304963434752</v>
      </c>
      <c r="S172" s="73">
        <f>IF(B172="",0,P172*R172)</f>
        <v>4.5420386290867592</v>
      </c>
      <c r="T172" s="85">
        <f>IF(B172="",0,IF(OR(H172=MappingTables!$C$34,H172=MappingTables!$C$35),S172,0))</f>
        <v>0</v>
      </c>
    </row>
    <row r="173" spans="2:20" s="0" customFormat="0" ht="15">
      <c r="B173" s="69" t="s">
        <v>3563</v>
      </c>
      <c r="C173" s="70" t="s">
        <v>3564</v>
      </c>
      <c r="D173" s="70" t="s">
        <v>1</v>
      </c>
      <c r="E173" s="70" t="s">
        <v>1</v>
      </c>
      <c r="F173" s="70"/>
      <c r="G173" s="70" t="s">
        <v>61</v>
      </c>
      <c r="H173" s="70" t="s">
        <v>178</v>
      </c>
      <c r="I173" s="70" t="s">
        <v>198</v>
      </c>
      <c r="J173" s="71" t="str">
        <f>IF(OR(I173=0,I173=""),"unrated",VLOOKUP(I173,MappingTables!$B$19:$C$31,2,FALSE))</f>
        <v>unrated</v>
      </c>
      <c r="K173" s="72">
        <v>6136.0198779080528</v>
      </c>
      <c r="L173" s="70">
        <v>12.179209175890562</v>
      </c>
      <c r="M173" s="71">
        <f>IF(L173&lt;1,1,L173)</f>
        <v>12.179209175890562</v>
      </c>
      <c r="N173" s="70" t="s">
        <v>3288</v>
      </c>
      <c r="O173" s="71">
        <f>IF(OR(I173=$A$1,I173=0),"",IF(N173=MappingTables!$C$14,VLOOKUP(J173,ModelParameters!$M$8:$N$15,2,FALSE),IF(N173=MappingTables!$C$16,VLOOKUP(J173,ModelParameters!$P$8:$Q$15,2,FALSE),0)))</f>
        <v>1</v>
      </c>
      <c r="P173" s="73">
        <f>IF(OR(I173=0,I173=$A$1),0,MIN(O173*M173,1)*K173)</f>
        <v>6136.0198779080528</v>
      </c>
      <c r="Q173" s="73">
        <f>IF(B173="",0,IF(OR(H173=MappingTables!$C$34,H173=MappingTables!$C$35),P173,0))</f>
        <v>0</v>
      </c>
      <c r="R173" s="73">
        <f>IF(ISNA(IF(AND(VLOOKUP(CONCATENATE($D173,$G173),CSRFinput!$B:$E,4,0)=0,OR(H173=MappingTables!$C$31,H173=MappingTables!$C$32)),1,VLOOKUP(CONCATENATE($D173,$G173),CSRFinput!$B:$E,4,0))),0,IF(AND(VLOOKUP(CONCATENATE($D173,$G173),CSRFinput!$B:$E,4,0)=0,OR(H173=MappingTables!$C$31,H173=MappingTables!$C$32)),1,VLOOKUP(CONCATENATE($D173,$G173),CSRFinput!$B:$E,4,0)))</f>
        <v>0.054776304963434752</v>
      </c>
      <c r="S173" s="73">
        <f>IF(B173="",0,P173*R173)</f>
        <v>336.10849609398916</v>
      </c>
      <c r="T173" s="85">
        <f>IF(B173="",0,IF(OR(H173=MappingTables!$C$34,H173=MappingTables!$C$35),S173,0))</f>
        <v>0</v>
      </c>
    </row>
    <row r="174" spans="2:20" s="0" customFormat="0" ht="15">
      <c r="B174" s="69">
        <v>14504648</v>
      </c>
      <c r="C174" s="70" t="s">
        <v>3565</v>
      </c>
      <c r="D174" s="70" t="s">
        <v>1</v>
      </c>
      <c r="E174" s="70" t="s">
        <v>1</v>
      </c>
      <c r="F174" s="70"/>
      <c r="G174" s="70" t="s">
        <v>61</v>
      </c>
      <c r="H174" s="70" t="s">
        <v>178</v>
      </c>
      <c r="I174" s="70" t="s">
        <v>216</v>
      </c>
      <c r="J174" s="71">
        <f>IF(OR(I174=0,I174=""),"unrated",VLOOKUP(I174,MappingTables!$B$19:$C$31,2,FALSE))</f>
        <v>0</v>
      </c>
      <c r="K174" s="72">
        <v>48.620710297569344</v>
      </c>
      <c r="L174" s="70">
        <v>0.10638279352755002</v>
      </c>
      <c r="M174" s="71">
        <f>IF(L174&lt;1,1,L174)</f>
        <v>1</v>
      </c>
      <c r="N174" s="70" t="s">
        <v>3288</v>
      </c>
      <c r="O174" s="71">
        <f>IF(OR(I174=$A$1,I174=0),"",IF(N174=MappingTables!$C$14,VLOOKUP(J174,ModelParameters!$M$8:$N$15,2,FALSE),IF(N174=MappingTables!$C$16,VLOOKUP(J174,ModelParameters!$P$8:$Q$15,2,FALSE),0)))</f>
        <v>0.125</v>
      </c>
      <c r="P174" s="73">
        <f>IF(OR(I174=0,I174=$A$1),0,MIN(O174*M174,1)*K174)</f>
        <v>6.077588787196168</v>
      </c>
      <c r="Q174" s="73">
        <f>IF(B174="",0,IF(OR(H174=MappingTables!$C$34,H174=MappingTables!$C$35),P174,0))</f>
        <v>0</v>
      </c>
      <c r="R174" s="73">
        <f>IF(ISNA(IF(AND(VLOOKUP(CONCATENATE($D174,$G174),CSRFinput!$B:$E,4,0)=0,OR(H174=MappingTables!$C$31,H174=MappingTables!$C$32)),1,VLOOKUP(CONCATENATE($D174,$G174),CSRFinput!$B:$E,4,0))),0,IF(AND(VLOOKUP(CONCATENATE($D174,$G174),CSRFinput!$B:$E,4,0)=0,OR(H174=MappingTables!$C$31,H174=MappingTables!$C$32)),1,VLOOKUP(CONCATENATE($D174,$G174),CSRFinput!$B:$E,4,0)))</f>
        <v>0.054776304963434752</v>
      </c>
      <c r="S174" s="73">
        <f>IF(B174="",0,P174*R174)</f>
        <v>0.33290785684980888</v>
      </c>
      <c r="T174" s="85">
        <f>IF(B174="",0,IF(OR(H174=MappingTables!$C$34,H174=MappingTables!$C$35),S174,0))</f>
        <v>0</v>
      </c>
    </row>
    <row r="175" spans="2:20" s="0" customFormat="0" ht="15">
      <c r="B175" s="69" t="s">
        <v>3566</v>
      </c>
      <c r="C175" s="70" t="s">
        <v>3567</v>
      </c>
      <c r="D175" s="70" t="s">
        <v>1</v>
      </c>
      <c r="E175" s="70" t="s">
        <v>1</v>
      </c>
      <c r="F175" s="70"/>
      <c r="G175" s="70" t="s">
        <v>61</v>
      </c>
      <c r="H175" s="70" t="s">
        <v>178</v>
      </c>
      <c r="I175" s="70" t="s">
        <v>179</v>
      </c>
      <c r="J175" s="71">
        <f>IF(OR(I175=0,I175=""),"unrated",VLOOKUP(I175,MappingTables!$B$19:$C$31,2,FALSE))</f>
        <v>4</v>
      </c>
      <c r="K175" s="72">
        <v>18.734426748235556</v>
      </c>
      <c r="L175" s="70">
        <v>0.39865462005446504</v>
      </c>
      <c r="M175" s="71">
        <f>IF(L175&lt;1,1,L175)</f>
        <v>1</v>
      </c>
      <c r="N175" s="70" t="s">
        <v>3288</v>
      </c>
      <c r="O175" s="71">
        <f>IF(OR(I175=$A$1,I175=0),"",IF(N175=MappingTables!$C$14,VLOOKUP(J175,ModelParameters!$M$8:$N$15,2,FALSE),IF(N175=MappingTables!$C$16,VLOOKUP(J175,ModelParameters!$P$8:$Q$15,2,FALSE),0)))</f>
        <v>0.82</v>
      </c>
      <c r="P175" s="73">
        <f>IF(OR(I175=0,I175=$A$1),0,MIN(O175*M175,1)*K175)</f>
        <v>15.362229933553156</v>
      </c>
      <c r="Q175" s="73">
        <f>IF(B175="",0,IF(OR(H175=MappingTables!$C$34,H175=MappingTables!$C$35),P175,0))</f>
        <v>0</v>
      </c>
      <c r="R175" s="73">
        <f>IF(ISNA(IF(AND(VLOOKUP(CONCATENATE($D175,$G175),CSRFinput!$B:$E,4,0)=0,OR(H175=MappingTables!$C$31,H175=MappingTables!$C$32)),1,VLOOKUP(CONCATENATE($D175,$G175),CSRFinput!$B:$E,4,0))),0,IF(AND(VLOOKUP(CONCATENATE($D175,$G175),CSRFinput!$B:$E,4,0)=0,OR(H175=MappingTables!$C$31,H175=MappingTables!$C$32)),1,VLOOKUP(CONCATENATE($D175,$G175),CSRFinput!$B:$E,4,0)))</f>
        <v>0.054776304963434752</v>
      </c>
      <c r="S175" s="73">
        <f>IF(B175="",0,P175*R175)</f>
        <v>0.8414861917587136</v>
      </c>
      <c r="T175" s="85">
        <f>IF(B175="",0,IF(OR(H175=MappingTables!$C$34,H175=MappingTables!$C$35),S175,0))</f>
        <v>0</v>
      </c>
    </row>
    <row r="176" spans="2:20" s="0" customFormat="0" ht="15">
      <c r="B176" s="69" t="s">
        <v>3568</v>
      </c>
      <c r="C176" s="70" t="s">
        <v>3569</v>
      </c>
      <c r="D176" s="70" t="s">
        <v>1</v>
      </c>
      <c r="E176" s="70" t="s">
        <v>1</v>
      </c>
      <c r="F176" s="70"/>
      <c r="G176" s="70" t="s">
        <v>61</v>
      </c>
      <c r="H176" s="70" t="s">
        <v>178</v>
      </c>
      <c r="I176" s="70" t="s">
        <v>198</v>
      </c>
      <c r="J176" s="71" t="str">
        <f>IF(OR(I176=0,I176=""),"unrated",VLOOKUP(I176,MappingTables!$B$19:$C$31,2,FALSE))</f>
        <v>unrated</v>
      </c>
      <c r="K176" s="72">
        <v>0.28613178975015564</v>
      </c>
      <c r="L176" s="70">
        <v>6.5279162216413432</v>
      </c>
      <c r="M176" s="71">
        <f>IF(L176&lt;1,1,L176)</f>
        <v>6.5279162216413432</v>
      </c>
      <c r="N176" s="70" t="s">
        <v>3288</v>
      </c>
      <c r="O176" s="71">
        <f>IF(OR(I176=$A$1,I176=0),"",IF(N176=MappingTables!$C$14,VLOOKUP(J176,ModelParameters!$M$8:$N$15,2,FALSE),IF(N176=MappingTables!$C$16,VLOOKUP(J176,ModelParameters!$P$8:$Q$15,2,FALSE),0)))</f>
        <v>1</v>
      </c>
      <c r="P176" s="73">
        <f>IF(OR(I176=0,I176=$A$1),0,MIN(O176*M176,1)*K176)</f>
        <v>0.28613178975015564</v>
      </c>
      <c r="Q176" s="73">
        <f>IF(B176="",0,IF(OR(H176=MappingTables!$C$34,H176=MappingTables!$C$35),P176,0))</f>
        <v>0</v>
      </c>
      <c r="R176" s="73">
        <f>IF(ISNA(IF(AND(VLOOKUP(CONCATENATE($D176,$G176),CSRFinput!$B:$E,4,0)=0,OR(H176=MappingTables!$C$31,H176=MappingTables!$C$32)),1,VLOOKUP(CONCATENATE($D176,$G176),CSRFinput!$B:$E,4,0))),0,IF(AND(VLOOKUP(CONCATENATE($D176,$G176),CSRFinput!$B:$E,4,0)=0,OR(H176=MappingTables!$C$31,H176=MappingTables!$C$32)),1,VLOOKUP(CONCATENATE($D176,$G176),CSRFinput!$B:$E,4,0)))</f>
        <v>0.054776304963434752</v>
      </c>
      <c r="S176" s="73">
        <f>IF(B176="",0,P176*R176)</f>
        <v>0.01567324217508792</v>
      </c>
      <c r="T176" s="85">
        <f>IF(B176="",0,IF(OR(H176=MappingTables!$C$34,H176=MappingTables!$C$35),S176,0))</f>
        <v>0</v>
      </c>
    </row>
    <row r="177" spans="2:20" s="0" customFormat="0" ht="15">
      <c r="B177" s="69">
        <v>1921702</v>
      </c>
      <c r="C177" s="70" t="s">
        <v>3570</v>
      </c>
      <c r="D177" s="70" t="s">
        <v>1</v>
      </c>
      <c r="E177" s="70" t="s">
        <v>1</v>
      </c>
      <c r="F177" s="70"/>
      <c r="G177" s="70" t="s">
        <v>61</v>
      </c>
      <c r="H177" s="70" t="s">
        <v>178</v>
      </c>
      <c r="I177" s="70" t="s">
        <v>216</v>
      </c>
      <c r="J177" s="71">
        <f>IF(OR(I177=0,I177=""),"unrated",VLOOKUP(I177,MappingTables!$B$19:$C$31,2,FALSE))</f>
        <v>0</v>
      </c>
      <c r="K177" s="72">
        <v>140.68449613722098</v>
      </c>
      <c r="L177" s="70">
        <v>0.064678329537633264</v>
      </c>
      <c r="M177" s="71">
        <f>IF(L177&lt;1,1,L177)</f>
        <v>1</v>
      </c>
      <c r="N177" s="70" t="s">
        <v>3288</v>
      </c>
      <c r="O177" s="71">
        <f>IF(OR(I177=$A$1,I177=0),"",IF(N177=MappingTables!$C$14,VLOOKUP(J177,ModelParameters!$M$8:$N$15,2,FALSE),IF(N177=MappingTables!$C$16,VLOOKUP(J177,ModelParameters!$P$8:$Q$15,2,FALSE),0)))</f>
        <v>0.125</v>
      </c>
      <c r="P177" s="73">
        <f>IF(OR(I177=0,I177=$A$1),0,MIN(O177*M177,1)*K177)</f>
        <v>17.585562017152622</v>
      </c>
      <c r="Q177" s="73">
        <f>IF(B177="",0,IF(OR(H177=MappingTables!$C$34,H177=MappingTables!$C$35),P177,0))</f>
        <v>0</v>
      </c>
      <c r="R177" s="73">
        <f>IF(ISNA(IF(AND(VLOOKUP(CONCATENATE($D177,$G177),CSRFinput!$B:$E,4,0)=0,OR(H177=MappingTables!$C$31,H177=MappingTables!$C$32)),1,VLOOKUP(CONCATENATE($D177,$G177),CSRFinput!$B:$E,4,0))),0,IF(AND(VLOOKUP(CONCATENATE($D177,$G177),CSRFinput!$B:$E,4,0)=0,OR(H177=MappingTables!$C$31,H177=MappingTables!$C$32)),1,VLOOKUP(CONCATENATE($D177,$G177),CSRFinput!$B:$E,4,0)))</f>
        <v>0.054776304963434752</v>
      </c>
      <c r="S177" s="73">
        <f>IF(B177="",0,P177*R177)</f>
        <v>0.96327210800494688</v>
      </c>
      <c r="T177" s="85">
        <f>IF(B177="",0,IF(OR(H177=MappingTables!$C$34,H177=MappingTables!$C$35),S177,0))</f>
        <v>0</v>
      </c>
    </row>
    <row r="178" spans="2:20" s="0" customFormat="0" ht="15">
      <c r="B178" s="69" t="s">
        <v>3571</v>
      </c>
      <c r="C178" s="70" t="s">
        <v>3572</v>
      </c>
      <c r="D178" s="70" t="s">
        <v>1</v>
      </c>
      <c r="E178" s="70" t="s">
        <v>1</v>
      </c>
      <c r="F178" s="70"/>
      <c r="G178" s="70" t="s">
        <v>61</v>
      </c>
      <c r="H178" s="70" t="s">
        <v>178</v>
      </c>
      <c r="I178" s="70" t="s">
        <v>179</v>
      </c>
      <c r="J178" s="71">
        <f>IF(OR(I178=0,I178=""),"unrated",VLOOKUP(I178,MappingTables!$B$19:$C$31,2,FALSE))</f>
        <v>4</v>
      </c>
      <c r="K178" s="72">
        <v>8123.3509792162864</v>
      </c>
      <c r="L178" s="70">
        <v>4.3356013346809336</v>
      </c>
      <c r="M178" s="71">
        <f>IF(L178&lt;1,1,L178)</f>
        <v>4.3356013346809336</v>
      </c>
      <c r="N178" s="70" t="s">
        <v>3288</v>
      </c>
      <c r="O178" s="71">
        <f>IF(OR(I178=$A$1,I178=0),"",IF(N178=MappingTables!$C$14,VLOOKUP(J178,ModelParameters!$M$8:$N$15,2,FALSE),IF(N178=MappingTables!$C$16,VLOOKUP(J178,ModelParameters!$P$8:$Q$15,2,FALSE),0)))</f>
        <v>0.82</v>
      </c>
      <c r="P178" s="73">
        <f>IF(OR(I178=0,I178=$A$1),0,MIN(O178*M178,1)*K178)</f>
        <v>8123.3509792162864</v>
      </c>
      <c r="Q178" s="73">
        <f>IF(B178="",0,IF(OR(H178=MappingTables!$C$34,H178=MappingTables!$C$35),P178,0))</f>
        <v>0</v>
      </c>
      <c r="R178" s="73">
        <f>IF(ISNA(IF(AND(VLOOKUP(CONCATENATE($D178,$G178),CSRFinput!$B:$E,4,0)=0,OR(H178=MappingTables!$C$31,H178=MappingTables!$C$32)),1,VLOOKUP(CONCATENATE($D178,$G178),CSRFinput!$B:$E,4,0))),0,IF(AND(VLOOKUP(CONCATENATE($D178,$G178),CSRFinput!$B:$E,4,0)=0,OR(H178=MappingTables!$C$31,H178=MappingTables!$C$32)),1,VLOOKUP(CONCATENATE($D178,$G178),CSRFinput!$B:$E,4,0)))</f>
        <v>0.054776304963434752</v>
      </c>
      <c r="S178" s="73">
        <f>IF(B178="",0,P178*R178)</f>
        <v>444.96715056256768</v>
      </c>
      <c r="T178" s="85">
        <f>IF(B178="",0,IF(OR(H178=MappingTables!$C$34,H178=MappingTables!$C$35),S178,0))</f>
        <v>0</v>
      </c>
    </row>
    <row r="179" spans="2:20" s="0" customFormat="0" ht="15">
      <c r="B179" s="69" t="s">
        <v>3573</v>
      </c>
      <c r="C179" s="70" t="s">
        <v>3574</v>
      </c>
      <c r="D179" s="70" t="s">
        <v>1</v>
      </c>
      <c r="E179" s="70" t="s">
        <v>1</v>
      </c>
      <c r="F179" s="70"/>
      <c r="G179" s="70" t="s">
        <v>61</v>
      </c>
      <c r="H179" s="70" t="s">
        <v>178</v>
      </c>
      <c r="I179" s="70" t="s">
        <v>3298</v>
      </c>
      <c r="J179" s="71">
        <f>IF(OR(I179=0,I179=""),"unrated",VLOOKUP(I179,MappingTables!$B$19:$C$31,2,FALSE))</f>
        <v>6</v>
      </c>
      <c r="K179" s="72">
        <v>629.6063327613516</v>
      </c>
      <c r="L179" s="70">
        <v>-0.060163508095391768</v>
      </c>
      <c r="M179" s="71">
        <f>IF(L179&lt;1,1,L179)</f>
        <v>1</v>
      </c>
      <c r="N179" s="70" t="s">
        <v>3288</v>
      </c>
      <c r="O179" s="71">
        <f>IF(OR(I179=$A$1,I179=0),"",IF(N179=MappingTables!$C$14,VLOOKUP(J179,ModelParameters!$M$8:$N$15,2,FALSE),IF(N179=MappingTables!$C$16,VLOOKUP(J179,ModelParameters!$P$8:$Q$15,2,FALSE),0)))</f>
        <v>1</v>
      </c>
      <c r="P179" s="73">
        <f>IF(OR(I179=0,I179=$A$1),0,MIN(O179*M179,1)*K179)</f>
        <v>629.6063327613516</v>
      </c>
      <c r="Q179" s="73">
        <f>IF(B179="",0,IF(OR(H179=MappingTables!$C$34,H179=MappingTables!$C$35),P179,0))</f>
        <v>0</v>
      </c>
      <c r="R179" s="73">
        <f>IF(ISNA(IF(AND(VLOOKUP(CONCATENATE($D179,$G179),CSRFinput!$B:$E,4,0)=0,OR(H179=MappingTables!$C$31,H179=MappingTables!$C$32)),1,VLOOKUP(CONCATENATE($D179,$G179),CSRFinput!$B:$E,4,0))),0,IF(AND(VLOOKUP(CONCATENATE($D179,$G179),CSRFinput!$B:$E,4,0)=0,OR(H179=MappingTables!$C$31,H179=MappingTables!$C$32)),1,VLOOKUP(CONCATENATE($D179,$G179),CSRFinput!$B:$E,4,0)))</f>
        <v>0.054776304963434752</v>
      </c>
      <c r="S179" s="73">
        <f>IF(B179="",0,P179*R179)</f>
        <v>34.487508490245572</v>
      </c>
      <c r="T179" s="85">
        <f>IF(B179="",0,IF(OR(H179=MappingTables!$C$34,H179=MappingTables!$C$35),S179,0))</f>
        <v>0</v>
      </c>
    </row>
    <row r="180" spans="2:20" s="0" customFormat="0" ht="15">
      <c r="B180" s="69" t="s">
        <v>3575</v>
      </c>
      <c r="C180" s="70" t="s">
        <v>3576</v>
      </c>
      <c r="D180" s="70" t="s">
        <v>1</v>
      </c>
      <c r="E180" s="70" t="s">
        <v>1</v>
      </c>
      <c r="F180" s="70"/>
      <c r="G180" s="70" t="s">
        <v>61</v>
      </c>
      <c r="H180" s="70" t="s">
        <v>178</v>
      </c>
      <c r="I180" s="70" t="s">
        <v>220</v>
      </c>
      <c r="J180" s="71">
        <f>IF(OR(I180=0,I180=""),"unrated",VLOOKUP(I180,MappingTables!$B$19:$C$31,2,FALSE))</f>
        <v>1</v>
      </c>
      <c r="K180" s="72">
        <v>15.61010679654297</v>
      </c>
      <c r="L180" s="70">
        <v>0.068491348126629648</v>
      </c>
      <c r="M180" s="71">
        <f>IF(L180&lt;1,1,L180)</f>
        <v>1</v>
      </c>
      <c r="N180" s="70" t="s">
        <v>3288</v>
      </c>
      <c r="O180" s="71">
        <f>IF(OR(I180=$A$1,I180=0),"",IF(N180=MappingTables!$C$14,VLOOKUP(J180,ModelParameters!$M$8:$N$15,2,FALSE),IF(N180=MappingTables!$C$16,VLOOKUP(J180,ModelParameters!$P$8:$Q$15,2,FALSE),0)))</f>
        <v>0.134</v>
      </c>
      <c r="P180" s="73">
        <f>IF(OR(I180=0,I180=$A$1),0,MIN(O180*M180,1)*K180)</f>
        <v>2.091754310736758</v>
      </c>
      <c r="Q180" s="73">
        <f>IF(B180="",0,IF(OR(H180=MappingTables!$C$34,H180=MappingTables!$C$35),P180,0))</f>
        <v>0</v>
      </c>
      <c r="R180" s="73">
        <f>IF(ISNA(IF(AND(VLOOKUP(CONCATENATE($D180,$G180),CSRFinput!$B:$E,4,0)=0,OR(H180=MappingTables!$C$31,H180=MappingTables!$C$32)),1,VLOOKUP(CONCATENATE($D180,$G180),CSRFinput!$B:$E,4,0))),0,IF(AND(VLOOKUP(CONCATENATE($D180,$G180),CSRFinput!$B:$E,4,0)=0,OR(H180=MappingTables!$C$31,H180=MappingTables!$C$32)),1,VLOOKUP(CONCATENATE($D180,$G180),CSRFinput!$B:$E,4,0)))</f>
        <v>0.054776304963434752</v>
      </c>
      <c r="S180" s="73">
        <f>IF(B180="",0,P180*R180)</f>
        <v>0.11457857203349592</v>
      </c>
      <c r="T180" s="85">
        <f>IF(B180="",0,IF(OR(H180=MappingTables!$C$34,H180=MappingTables!$C$35),S180,0))</f>
        <v>0</v>
      </c>
    </row>
    <row r="181" spans="2:20" s="0" customFormat="0" ht="15">
      <c r="B181" s="69" t="s">
        <v>3536</v>
      </c>
      <c r="C181" s="70" t="s">
        <v>3537</v>
      </c>
      <c r="D181" s="70" t="s">
        <v>1</v>
      </c>
      <c r="E181" s="70" t="s">
        <v>1</v>
      </c>
      <c r="F181" s="70"/>
      <c r="G181" s="70" t="s">
        <v>61</v>
      </c>
      <c r="H181" s="70" t="s">
        <v>178</v>
      </c>
      <c r="I181" s="70" t="s">
        <v>179</v>
      </c>
      <c r="J181" s="71">
        <f>IF(OR(I181=0,I181=""),"unrated",VLOOKUP(I181,MappingTables!$B$19:$C$31,2,FALSE))</f>
        <v>4</v>
      </c>
      <c r="K181" s="72">
        <v>183.22127167408244</v>
      </c>
      <c r="L181" s="70">
        <v>5.355984880659916</v>
      </c>
      <c r="M181" s="71">
        <f>IF(L181&lt;1,1,L181)</f>
        <v>5.355984880659916</v>
      </c>
      <c r="N181" s="70" t="s">
        <v>3288</v>
      </c>
      <c r="O181" s="71">
        <f>IF(OR(I181=$A$1,I181=0),"",IF(N181=MappingTables!$C$14,VLOOKUP(J181,ModelParameters!$M$8:$N$15,2,FALSE),IF(N181=MappingTables!$C$16,VLOOKUP(J181,ModelParameters!$P$8:$Q$15,2,FALSE),0)))</f>
        <v>0.82</v>
      </c>
      <c r="P181" s="73">
        <f>IF(OR(I181=0,I181=$A$1),0,MIN(O181*M181,1)*K181)</f>
        <v>183.22127167408244</v>
      </c>
      <c r="Q181" s="73">
        <f>IF(B181="",0,IF(OR(H181=MappingTables!$C$34,H181=MappingTables!$C$35),P181,0))</f>
        <v>0</v>
      </c>
      <c r="R181" s="73">
        <f>IF(ISNA(IF(AND(VLOOKUP(CONCATENATE($D181,$G181),CSRFinput!$B:$E,4,0)=0,OR(H181=MappingTables!$C$31,H181=MappingTables!$C$32)),1,VLOOKUP(CONCATENATE($D181,$G181),CSRFinput!$B:$E,4,0))),0,IF(AND(VLOOKUP(CONCATENATE($D181,$G181),CSRFinput!$B:$E,4,0)=0,OR(H181=MappingTables!$C$31,H181=MappingTables!$C$32)),1,VLOOKUP(CONCATENATE($D181,$G181),CSRFinput!$B:$E,4,0)))</f>
        <v>0.054776304963434752</v>
      </c>
      <c r="S181" s="73">
        <f>IF(B181="",0,P181*R181)</f>
        <v>10.036184253007872</v>
      </c>
      <c r="T181" s="85">
        <f>IF(B181="",0,IF(OR(H181=MappingTables!$C$34,H181=MappingTables!$C$35),S181,0))</f>
        <v>0</v>
      </c>
    </row>
    <row r="182" spans="2:20" s="0" customFormat="0" ht="15">
      <c r="B182" s="69">
        <v>16974062</v>
      </c>
      <c r="C182" s="70" t="s">
        <v>3577</v>
      </c>
      <c r="D182" s="70" t="s">
        <v>1</v>
      </c>
      <c r="E182" s="70" t="s">
        <v>1</v>
      </c>
      <c r="F182" s="70"/>
      <c r="G182" s="70" t="s">
        <v>61</v>
      </c>
      <c r="H182" s="70" t="s">
        <v>178</v>
      </c>
      <c r="I182" s="70" t="s">
        <v>198</v>
      </c>
      <c r="J182" s="71" t="str">
        <f>IF(OR(I182=0,I182=""),"unrated",VLOOKUP(I182,MappingTables!$B$19:$C$31,2,FALSE))</f>
        <v>unrated</v>
      </c>
      <c r="K182" s="72">
        <v>505.28526885454512</v>
      </c>
      <c r="L182" s="70">
        <v>0.1071861318640674</v>
      </c>
      <c r="M182" s="71">
        <f>IF(L182&lt;1,1,L182)</f>
        <v>1</v>
      </c>
      <c r="N182" s="70" t="s">
        <v>3288</v>
      </c>
      <c r="O182" s="71">
        <f>IF(OR(I182=$A$1,I182=0),"",IF(N182=MappingTables!$C$14,VLOOKUP(J182,ModelParameters!$M$8:$N$15,2,FALSE),IF(N182=MappingTables!$C$16,VLOOKUP(J182,ModelParameters!$P$8:$Q$15,2,FALSE),0)))</f>
        <v>1</v>
      </c>
      <c r="P182" s="73">
        <f>IF(OR(I182=0,I182=$A$1),0,MIN(O182*M182,1)*K182)</f>
        <v>505.28526885454512</v>
      </c>
      <c r="Q182" s="73">
        <f>IF(B182="",0,IF(OR(H182=MappingTables!$C$34,H182=MappingTables!$C$35),P182,0))</f>
        <v>0</v>
      </c>
      <c r="R182" s="73">
        <f>IF(ISNA(IF(AND(VLOOKUP(CONCATENATE($D182,$G182),CSRFinput!$B:$E,4,0)=0,OR(H182=MappingTables!$C$31,H182=MappingTables!$C$32)),1,VLOOKUP(CONCATENATE($D182,$G182),CSRFinput!$B:$E,4,0))),0,IF(AND(VLOOKUP(CONCATENATE($D182,$G182),CSRFinput!$B:$E,4,0)=0,OR(H182=MappingTables!$C$31,H182=MappingTables!$C$32)),1,VLOOKUP(CONCATENATE($D182,$G182),CSRFinput!$B:$E,4,0)))</f>
        <v>0.054776304963434752</v>
      </c>
      <c r="S182" s="73">
        <f>IF(B182="",0,P182*R182)</f>
        <v>27.677659980307684</v>
      </c>
      <c r="T182" s="85">
        <f>IF(B182="",0,IF(OR(H182=MappingTables!$C$34,H182=MappingTables!$C$35),S182,0))</f>
        <v>0</v>
      </c>
    </row>
    <row r="183" spans="2:20" s="0" customFormat="0" ht="15">
      <c r="B183" s="69" t="s">
        <v>3578</v>
      </c>
      <c r="C183" s="70" t="s">
        <v>3579</v>
      </c>
      <c r="D183" s="70" t="s">
        <v>1</v>
      </c>
      <c r="E183" s="70" t="s">
        <v>1</v>
      </c>
      <c r="F183" s="70"/>
      <c r="G183" s="70" t="s">
        <v>61</v>
      </c>
      <c r="H183" s="70" t="s">
        <v>178</v>
      </c>
      <c r="I183" s="70" t="s">
        <v>204</v>
      </c>
      <c r="J183" s="71">
        <f>IF(OR(I183=0,I183=""),"unrated",VLOOKUP(I183,MappingTables!$B$19:$C$31,2,FALSE))</f>
        <v>6</v>
      </c>
      <c r="K183" s="72">
        <v>160.55880253751024</v>
      </c>
      <c r="L183" s="70">
        <v>0.068493579482181144</v>
      </c>
      <c r="M183" s="71">
        <f>IF(L183&lt;1,1,L183)</f>
        <v>1</v>
      </c>
      <c r="N183" s="70" t="s">
        <v>3288</v>
      </c>
      <c r="O183" s="71">
        <f>IF(OR(I183=$A$1,I183=0),"",IF(N183=MappingTables!$C$14,VLOOKUP(J183,ModelParameters!$M$8:$N$15,2,FALSE),IF(N183=MappingTables!$C$16,VLOOKUP(J183,ModelParameters!$P$8:$Q$15,2,FALSE),0)))</f>
        <v>1</v>
      </c>
      <c r="P183" s="73">
        <f>IF(OR(I183=0,I183=$A$1),0,MIN(O183*M183,1)*K183)</f>
        <v>160.55880253751024</v>
      </c>
      <c r="Q183" s="73">
        <f>IF(B183="",0,IF(OR(H183=MappingTables!$C$34,H183=MappingTables!$C$35),P183,0))</f>
        <v>0</v>
      </c>
      <c r="R183" s="73">
        <f>IF(ISNA(IF(AND(VLOOKUP(CONCATENATE($D183,$G183),CSRFinput!$B:$E,4,0)=0,OR(H183=MappingTables!$C$31,H183=MappingTables!$C$32)),1,VLOOKUP(CONCATENATE($D183,$G183),CSRFinput!$B:$E,4,0))),0,IF(AND(VLOOKUP(CONCATENATE($D183,$G183),CSRFinput!$B:$E,4,0)=0,OR(H183=MappingTables!$C$31,H183=MappingTables!$C$32)),1,VLOOKUP(CONCATENATE($D183,$G183),CSRFinput!$B:$E,4,0)))</f>
        <v>0.054776304963434752</v>
      </c>
      <c r="S183" s="73">
        <f>IF(B183="",0,P183*R183)</f>
        <v>8.7948179323585632</v>
      </c>
      <c r="T183" s="85">
        <f>IF(B183="",0,IF(OR(H183=MappingTables!$C$34,H183=MappingTables!$C$35),S183,0))</f>
        <v>0</v>
      </c>
    </row>
    <row r="184" spans="2:20" s="0" customFormat="0" ht="15">
      <c r="B184" s="69" t="s">
        <v>3580</v>
      </c>
      <c r="C184" s="70" t="s">
        <v>3581</v>
      </c>
      <c r="D184" s="70" t="s">
        <v>1</v>
      </c>
      <c r="E184" s="70" t="s">
        <v>1</v>
      </c>
      <c r="F184" s="70"/>
      <c r="G184" s="70" t="s">
        <v>61</v>
      </c>
      <c r="H184" s="70" t="s">
        <v>178</v>
      </c>
      <c r="I184" s="70" t="s">
        <v>204</v>
      </c>
      <c r="J184" s="71">
        <f>IF(OR(I184=0,I184=""),"unrated",VLOOKUP(I184,MappingTables!$B$19:$C$31,2,FALSE))</f>
        <v>6</v>
      </c>
      <c r="K184" s="72">
        <v>89.984810837073408</v>
      </c>
      <c r="L184" s="70">
        <v>6.27983039908914</v>
      </c>
      <c r="M184" s="71">
        <f>IF(L184&lt;1,1,L184)</f>
        <v>6.27983039908914</v>
      </c>
      <c r="N184" s="70" t="s">
        <v>3288</v>
      </c>
      <c r="O184" s="71">
        <f>IF(OR(I184=$A$1,I184=0),"",IF(N184=MappingTables!$C$14,VLOOKUP(J184,ModelParameters!$M$8:$N$15,2,FALSE),IF(N184=MappingTables!$C$16,VLOOKUP(J184,ModelParameters!$P$8:$Q$15,2,FALSE),0)))</f>
        <v>1</v>
      </c>
      <c r="P184" s="73">
        <f>IF(OR(I184=0,I184=$A$1),0,MIN(O184*M184,1)*K184)</f>
        <v>89.984810837073408</v>
      </c>
      <c r="Q184" s="73">
        <f>IF(B184="",0,IF(OR(H184=MappingTables!$C$34,H184=MappingTables!$C$35),P184,0))</f>
        <v>0</v>
      </c>
      <c r="R184" s="73">
        <f>IF(ISNA(IF(AND(VLOOKUP(CONCATENATE($D184,$G184),CSRFinput!$B:$E,4,0)=0,OR(H184=MappingTables!$C$31,H184=MappingTables!$C$32)),1,VLOOKUP(CONCATENATE($D184,$G184),CSRFinput!$B:$E,4,0))),0,IF(AND(VLOOKUP(CONCATENATE($D184,$G184),CSRFinput!$B:$E,4,0)=0,OR(H184=MappingTables!$C$31,H184=MappingTables!$C$32)),1,VLOOKUP(CONCATENATE($D184,$G184),CSRFinput!$B:$E,4,0)))</f>
        <v>0.054776304963434752</v>
      </c>
      <c r="S184" s="73">
        <f>IF(B184="",0,P184*R184)</f>
        <v>4.9290354404885216</v>
      </c>
      <c r="T184" s="85">
        <f>IF(B184="",0,IF(OR(H184=MappingTables!$C$34,H184=MappingTables!$C$35),S184,0))</f>
        <v>0</v>
      </c>
    </row>
    <row r="185" spans="2:20" s="0" customFormat="0" ht="15">
      <c r="B185" s="69" t="s">
        <v>3582</v>
      </c>
      <c r="C185" s="70" t="s">
        <v>3583</v>
      </c>
      <c r="D185" s="70" t="s">
        <v>1</v>
      </c>
      <c r="E185" s="70" t="s">
        <v>1</v>
      </c>
      <c r="F185" s="70"/>
      <c r="G185" s="70" t="s">
        <v>61</v>
      </c>
      <c r="H185" s="70" t="s">
        <v>178</v>
      </c>
      <c r="I185" s="70" t="s">
        <v>204</v>
      </c>
      <c r="J185" s="71">
        <f>IF(OR(I185=0,I185=""),"unrated",VLOOKUP(I185,MappingTables!$B$19:$C$31,2,FALSE))</f>
        <v>6</v>
      </c>
      <c r="K185" s="72">
        <v>311.03171875667636</v>
      </c>
      <c r="L185" s="70">
        <v>0.068494995946627472</v>
      </c>
      <c r="M185" s="71">
        <f>IF(L185&lt;1,1,L185)</f>
        <v>1</v>
      </c>
      <c r="N185" s="70" t="s">
        <v>3288</v>
      </c>
      <c r="O185" s="71">
        <f>IF(OR(I185=$A$1,I185=0),"",IF(N185=MappingTables!$C$14,VLOOKUP(J185,ModelParameters!$M$8:$N$15,2,FALSE),IF(N185=MappingTables!$C$16,VLOOKUP(J185,ModelParameters!$P$8:$Q$15,2,FALSE),0)))</f>
        <v>1</v>
      </c>
      <c r="P185" s="73">
        <f>IF(OR(I185=0,I185=$A$1),0,MIN(O185*M185,1)*K185)</f>
        <v>311.03171875667636</v>
      </c>
      <c r="Q185" s="73">
        <f>IF(B185="",0,IF(OR(H185=MappingTables!$C$34,H185=MappingTables!$C$35),P185,0))</f>
        <v>0</v>
      </c>
      <c r="R185" s="73">
        <f>IF(ISNA(IF(AND(VLOOKUP(CONCATENATE($D185,$G185),CSRFinput!$B:$E,4,0)=0,OR(H185=MappingTables!$C$31,H185=MappingTables!$C$32)),1,VLOOKUP(CONCATENATE($D185,$G185),CSRFinput!$B:$E,4,0))),0,IF(AND(VLOOKUP(CONCATENATE($D185,$G185),CSRFinput!$B:$E,4,0)=0,OR(H185=MappingTables!$C$31,H185=MappingTables!$C$32)),1,VLOOKUP(CONCATENATE($D185,$G185),CSRFinput!$B:$E,4,0)))</f>
        <v>0.054776304963434752</v>
      </c>
      <c r="S185" s="73">
        <f>IF(B185="",0,P185*R185)</f>
        <v>17.037168279916972</v>
      </c>
      <c r="T185" s="85">
        <f>IF(B185="",0,IF(OR(H185=MappingTables!$C$34,H185=MappingTables!$C$35),S185,0))</f>
        <v>0</v>
      </c>
    </row>
    <row r="186" spans="2:20" s="0" customFormat="0" ht="15">
      <c r="B186" s="69" t="s">
        <v>3584</v>
      </c>
      <c r="C186" s="70" t="s">
        <v>3585</v>
      </c>
      <c r="D186" s="70" t="s">
        <v>1</v>
      </c>
      <c r="E186" s="70" t="s">
        <v>1</v>
      </c>
      <c r="F186" s="70"/>
      <c r="G186" s="70" t="s">
        <v>61</v>
      </c>
      <c r="H186" s="70" t="s">
        <v>178</v>
      </c>
      <c r="I186" s="70" t="s">
        <v>198</v>
      </c>
      <c r="J186" s="71" t="str">
        <f>IF(OR(I186=0,I186=""),"unrated",VLOOKUP(I186,MappingTables!$B$19:$C$31,2,FALSE))</f>
        <v>unrated</v>
      </c>
      <c r="K186" s="72">
        <v>7515.8874397477264</v>
      </c>
      <c r="L186" s="70">
        <v>0.0094505440591719488</v>
      </c>
      <c r="M186" s="71">
        <f>IF(L186&lt;1,1,L186)</f>
        <v>1</v>
      </c>
      <c r="N186" s="70" t="s">
        <v>3288</v>
      </c>
      <c r="O186" s="71">
        <f>IF(OR(I186=$A$1,I186=0),"",IF(N186=MappingTables!$C$14,VLOOKUP(J186,ModelParameters!$M$8:$N$15,2,FALSE),IF(N186=MappingTables!$C$16,VLOOKUP(J186,ModelParameters!$P$8:$Q$15,2,FALSE),0)))</f>
        <v>1</v>
      </c>
      <c r="P186" s="73">
        <f>IF(OR(I186=0,I186=$A$1),0,MIN(O186*M186,1)*K186)</f>
        <v>7515.8874397477264</v>
      </c>
      <c r="Q186" s="73">
        <f>IF(B186="",0,IF(OR(H186=MappingTables!$C$34,H186=MappingTables!$C$35),P186,0))</f>
        <v>0</v>
      </c>
      <c r="R186" s="73">
        <f>IF(ISNA(IF(AND(VLOOKUP(CONCATENATE($D186,$G186),CSRFinput!$B:$E,4,0)=0,OR(H186=MappingTables!$C$31,H186=MappingTables!$C$32)),1,VLOOKUP(CONCATENATE($D186,$G186),CSRFinput!$B:$E,4,0))),0,IF(AND(VLOOKUP(CONCATENATE($D186,$G186),CSRFinput!$B:$E,4,0)=0,OR(H186=MappingTables!$C$31,H186=MappingTables!$C$32)),1,VLOOKUP(CONCATENATE($D186,$G186),CSRFinput!$B:$E,4,0)))</f>
        <v>0.054776304963434752</v>
      </c>
      <c r="S186" s="73">
        <f>IF(B186="",0,P186*R186)</f>
        <v>411.69254247047032</v>
      </c>
      <c r="T186" s="85">
        <f>IF(B186="",0,IF(OR(H186=MappingTables!$C$34,H186=MappingTables!$C$35),S186,0))</f>
        <v>0</v>
      </c>
    </row>
    <row r="187" spans="2:20" s="0" customFormat="0" ht="15">
      <c r="B187" s="69">
        <v>22554179</v>
      </c>
      <c r="C187" s="70" t="s">
        <v>3586</v>
      </c>
      <c r="D187" s="70" t="s">
        <v>1</v>
      </c>
      <c r="E187" s="70" t="s">
        <v>1</v>
      </c>
      <c r="F187" s="70"/>
      <c r="G187" s="70" t="s">
        <v>61</v>
      </c>
      <c r="H187" s="70" t="s">
        <v>178</v>
      </c>
      <c r="I187" s="70" t="s">
        <v>216</v>
      </c>
      <c r="J187" s="71">
        <f>IF(OR(I187=0,I187=""),"unrated",VLOOKUP(I187,MappingTables!$B$19:$C$31,2,FALSE))</f>
        <v>0</v>
      </c>
      <c r="K187" s="72">
        <v>2261.4172906265304</v>
      </c>
      <c r="L187" s="70">
        <v>0.072212889654323232</v>
      </c>
      <c r="M187" s="71">
        <f>IF(L187&lt;1,1,L187)</f>
        <v>1</v>
      </c>
      <c r="N187" s="70" t="s">
        <v>3288</v>
      </c>
      <c r="O187" s="71">
        <f>IF(OR(I187=$A$1,I187=0),"",IF(N187=MappingTables!$C$14,VLOOKUP(J187,ModelParameters!$M$8:$N$15,2,FALSE),IF(N187=MappingTables!$C$16,VLOOKUP(J187,ModelParameters!$P$8:$Q$15,2,FALSE),0)))</f>
        <v>0.125</v>
      </c>
      <c r="P187" s="73">
        <f>IF(OR(I187=0,I187=$A$1),0,MIN(O187*M187,1)*K187)</f>
        <v>282.67716132831628</v>
      </c>
      <c r="Q187" s="73">
        <f>IF(B187="",0,IF(OR(H187=MappingTables!$C$34,H187=MappingTables!$C$35),P187,0))</f>
        <v>0</v>
      </c>
      <c r="R187" s="73">
        <f>IF(ISNA(IF(AND(VLOOKUP(CONCATENATE($D187,$G187),CSRFinput!$B:$E,4,0)=0,OR(H187=MappingTables!$C$31,H187=MappingTables!$C$32)),1,VLOOKUP(CONCATENATE($D187,$G187),CSRFinput!$B:$E,4,0))),0,IF(AND(VLOOKUP(CONCATENATE($D187,$G187),CSRFinput!$B:$E,4,0)=0,OR(H187=MappingTables!$C$31,H187=MappingTables!$C$32)),1,VLOOKUP(CONCATENATE($D187,$G187),CSRFinput!$B:$E,4,0)))</f>
        <v>0.054776304963434752</v>
      </c>
      <c r="S187" s="73">
        <f>IF(B187="",0,P187*R187)</f>
        <v>15.484010395117898</v>
      </c>
      <c r="T187" s="85">
        <f>IF(B187="",0,IF(OR(H187=MappingTables!$C$34,H187=MappingTables!$C$35),S187,0))</f>
        <v>0</v>
      </c>
    </row>
    <row r="188" spans="2:20" s="0" customFormat="0" ht="15">
      <c r="B188" s="69" t="s">
        <v>3587</v>
      </c>
      <c r="C188" s="70" t="s">
        <v>3588</v>
      </c>
      <c r="D188" s="70" t="s">
        <v>1</v>
      </c>
      <c r="E188" s="70" t="s">
        <v>1</v>
      </c>
      <c r="F188" s="70"/>
      <c r="G188" s="70" t="s">
        <v>61</v>
      </c>
      <c r="H188" s="70" t="s">
        <v>178</v>
      </c>
      <c r="I188" s="70" t="s">
        <v>204</v>
      </c>
      <c r="J188" s="71">
        <f>IF(OR(I188=0,I188=""),"unrated",VLOOKUP(I188,MappingTables!$B$19:$C$31,2,FALSE))</f>
        <v>6</v>
      </c>
      <c r="K188" s="72">
        <v>7188.33599509202</v>
      </c>
      <c r="L188" s="70">
        <v>0.023931007311532532</v>
      </c>
      <c r="M188" s="71">
        <f>IF(L188&lt;1,1,L188)</f>
        <v>1</v>
      </c>
      <c r="N188" s="70" t="s">
        <v>3288</v>
      </c>
      <c r="O188" s="71">
        <f>IF(OR(I188=$A$1,I188=0),"",IF(N188=MappingTables!$C$14,VLOOKUP(J188,ModelParameters!$M$8:$N$15,2,FALSE),IF(N188=MappingTables!$C$16,VLOOKUP(J188,ModelParameters!$P$8:$Q$15,2,FALSE),0)))</f>
        <v>1</v>
      </c>
      <c r="P188" s="73">
        <f>IF(OR(I188=0,I188=$A$1),0,MIN(O188*M188,1)*K188)</f>
        <v>7188.33599509202</v>
      </c>
      <c r="Q188" s="73">
        <f>IF(B188="",0,IF(OR(H188=MappingTables!$C$34,H188=MappingTables!$C$35),P188,0))</f>
        <v>0</v>
      </c>
      <c r="R188" s="73">
        <f>IF(ISNA(IF(AND(VLOOKUP(CONCATENATE($D188,$G188),CSRFinput!$B:$E,4,0)=0,OR(H188=MappingTables!$C$31,H188=MappingTables!$C$32)),1,VLOOKUP(CONCATENATE($D188,$G188),CSRFinput!$B:$E,4,0))),0,IF(AND(VLOOKUP(CONCATENATE($D188,$G188),CSRFinput!$B:$E,4,0)=0,OR(H188=MappingTables!$C$31,H188=MappingTables!$C$32)),1,VLOOKUP(CONCATENATE($D188,$G188),CSRFinput!$B:$E,4,0)))</f>
        <v>0.054776304963434752</v>
      </c>
      <c r="S188" s="73">
        <f>IF(B188="",0,P188*R188)</f>
        <v>393.75048464679568</v>
      </c>
      <c r="T188" s="85">
        <f>IF(B188="",0,IF(OR(H188=MappingTables!$C$34,H188=MappingTables!$C$35),S188,0))</f>
        <v>0</v>
      </c>
    </row>
    <row r="189" spans="2:20" s="0" customFormat="0" ht="15">
      <c r="B189" s="69">
        <v>7135731</v>
      </c>
      <c r="C189" s="70" t="s">
        <v>3589</v>
      </c>
      <c r="D189" s="70" t="s">
        <v>1</v>
      </c>
      <c r="E189" s="70" t="s">
        <v>1</v>
      </c>
      <c r="F189" s="70"/>
      <c r="G189" s="70" t="s">
        <v>61</v>
      </c>
      <c r="H189" s="70" t="s">
        <v>178</v>
      </c>
      <c r="I189" s="70" t="s">
        <v>184</v>
      </c>
      <c r="J189" s="71">
        <f>IF(OR(I189=0,I189=""),"unrated",VLOOKUP(I189,MappingTables!$B$19:$C$31,2,FALSE))</f>
        <v>5</v>
      </c>
      <c r="K189" s="72">
        <v>3293.2085526548676</v>
      </c>
      <c r="L189" s="70">
        <v>0.068489304865096624</v>
      </c>
      <c r="M189" s="71">
        <f>IF(L189&lt;1,1,L189)</f>
        <v>1</v>
      </c>
      <c r="N189" s="70" t="s">
        <v>3288</v>
      </c>
      <c r="O189" s="71">
        <f>IF(OR(I189=$A$1,I189=0),"",IF(N189=MappingTables!$C$14,VLOOKUP(J189,ModelParameters!$M$8:$N$15,2,FALSE),IF(N189=MappingTables!$C$16,VLOOKUP(J189,ModelParameters!$P$8:$Q$15,2,FALSE),0)))</f>
        <v>1</v>
      </c>
      <c r="P189" s="73">
        <f>IF(OR(I189=0,I189=$A$1),0,MIN(O189*M189,1)*K189)</f>
        <v>3293.2085526548676</v>
      </c>
      <c r="Q189" s="73">
        <f>IF(B189="",0,IF(OR(H189=MappingTables!$C$34,H189=MappingTables!$C$35),P189,0))</f>
        <v>0</v>
      </c>
      <c r="R189" s="73">
        <f>IF(ISNA(IF(AND(VLOOKUP(CONCATENATE($D189,$G189),CSRFinput!$B:$E,4,0)=0,OR(H189=MappingTables!$C$31,H189=MappingTables!$C$32)),1,VLOOKUP(CONCATENATE($D189,$G189),CSRFinput!$B:$E,4,0))),0,IF(AND(VLOOKUP(CONCATENATE($D189,$G189),CSRFinput!$B:$E,4,0)=0,OR(H189=MappingTables!$C$31,H189=MappingTables!$C$32)),1,VLOOKUP(CONCATENATE($D189,$G189),CSRFinput!$B:$E,4,0)))</f>
        <v>0.054776304963434752</v>
      </c>
      <c r="S189" s="73">
        <f>IF(B189="",0,P189*R189)</f>
        <v>180.3897959884146</v>
      </c>
      <c r="T189" s="85">
        <f>IF(B189="",0,IF(OR(H189=MappingTables!$C$34,H189=MappingTables!$C$35),S189,0))</f>
        <v>0</v>
      </c>
    </row>
    <row r="190" spans="2:20" s="0" customFormat="0" ht="15">
      <c r="B190" s="69" t="s">
        <v>3590</v>
      </c>
      <c r="C190" s="70" t="s">
        <v>3591</v>
      </c>
      <c r="D190" s="70" t="s">
        <v>1</v>
      </c>
      <c r="E190" s="70" t="s">
        <v>1</v>
      </c>
      <c r="F190" s="70"/>
      <c r="G190" s="70" t="s">
        <v>61</v>
      </c>
      <c r="H190" s="70" t="s">
        <v>178</v>
      </c>
      <c r="I190" s="70" t="s">
        <v>198</v>
      </c>
      <c r="J190" s="71" t="str">
        <f>IF(OR(I190=0,I190=""),"unrated",VLOOKUP(I190,MappingTables!$B$19:$C$31,2,FALSE))</f>
        <v>unrated</v>
      </c>
      <c r="K190" s="72">
        <v>22.70053962493104</v>
      </c>
      <c r="L190" s="70">
        <v>1.0277573173828378</v>
      </c>
      <c r="M190" s="71">
        <f>IF(L190&lt;1,1,L190)</f>
        <v>1.0277573173828378</v>
      </c>
      <c r="N190" s="70" t="s">
        <v>3288</v>
      </c>
      <c r="O190" s="71">
        <f>IF(OR(I190=$A$1,I190=0),"",IF(N190=MappingTables!$C$14,VLOOKUP(J190,ModelParameters!$M$8:$N$15,2,FALSE),IF(N190=MappingTables!$C$16,VLOOKUP(J190,ModelParameters!$P$8:$Q$15,2,FALSE),0)))</f>
        <v>1</v>
      </c>
      <c r="P190" s="73">
        <f>IF(OR(I190=0,I190=$A$1),0,MIN(O190*M190,1)*K190)</f>
        <v>22.70053962493104</v>
      </c>
      <c r="Q190" s="73">
        <f>IF(B190="",0,IF(OR(H190=MappingTables!$C$34,H190=MappingTables!$C$35),P190,0))</f>
        <v>0</v>
      </c>
      <c r="R190" s="73">
        <f>IF(ISNA(IF(AND(VLOOKUP(CONCATENATE($D190,$G190),CSRFinput!$B:$E,4,0)=0,OR(H190=MappingTables!$C$31,H190=MappingTables!$C$32)),1,VLOOKUP(CONCATENATE($D190,$G190),CSRFinput!$B:$E,4,0))),0,IF(AND(VLOOKUP(CONCATENATE($D190,$G190),CSRFinput!$B:$E,4,0)=0,OR(H190=MappingTables!$C$31,H190=MappingTables!$C$32)),1,VLOOKUP(CONCATENATE($D190,$G190),CSRFinput!$B:$E,4,0)))</f>
        <v>0.054776304963434752</v>
      </c>
      <c r="S190" s="73">
        <f>IF(B190="",0,P190*R190)</f>
        <v>1.2434516813297574</v>
      </c>
      <c r="T190" s="85">
        <f>IF(B190="",0,IF(OR(H190=MappingTables!$C$34,H190=MappingTables!$C$35),S190,0))</f>
        <v>0</v>
      </c>
    </row>
    <row r="191" spans="2:20" s="0" customFormat="0" ht="15">
      <c r="B191" s="69">
        <v>16974742</v>
      </c>
      <c r="C191" s="70" t="s">
        <v>3592</v>
      </c>
      <c r="D191" s="70" t="s">
        <v>1</v>
      </c>
      <c r="E191" s="70" t="s">
        <v>1</v>
      </c>
      <c r="F191" s="70"/>
      <c r="G191" s="70" t="s">
        <v>61</v>
      </c>
      <c r="H191" s="70" t="s">
        <v>178</v>
      </c>
      <c r="I191" s="70" t="s">
        <v>216</v>
      </c>
      <c r="J191" s="71">
        <f>IF(OR(I191=0,I191=""),"unrated",VLOOKUP(I191,MappingTables!$B$19:$C$31,2,FALSE))</f>
        <v>0</v>
      </c>
      <c r="K191" s="72">
        <v>136.66460078172034</v>
      </c>
      <c r="L191" s="70">
        <v>0.067864961227428632</v>
      </c>
      <c r="M191" s="71">
        <f>IF(L191&lt;1,1,L191)</f>
        <v>1</v>
      </c>
      <c r="N191" s="70" t="s">
        <v>3288</v>
      </c>
      <c r="O191" s="71">
        <f>IF(OR(I191=$A$1,I191=0),"",IF(N191=MappingTables!$C$14,VLOOKUP(J191,ModelParameters!$M$8:$N$15,2,FALSE),IF(N191=MappingTables!$C$16,VLOOKUP(J191,ModelParameters!$P$8:$Q$15,2,FALSE),0)))</f>
        <v>0.125</v>
      </c>
      <c r="P191" s="73">
        <f>IF(OR(I191=0,I191=$A$1),0,MIN(O191*M191,1)*K191)</f>
        <v>17.083075097715042</v>
      </c>
      <c r="Q191" s="73">
        <f>IF(B191="",0,IF(OR(H191=MappingTables!$C$34,H191=MappingTables!$C$35),P191,0))</f>
        <v>0</v>
      </c>
      <c r="R191" s="73">
        <f>IF(ISNA(IF(AND(VLOOKUP(CONCATENATE($D191,$G191),CSRFinput!$B:$E,4,0)=0,OR(H191=MappingTables!$C$31,H191=MappingTables!$C$32)),1,VLOOKUP(CONCATENATE($D191,$G191),CSRFinput!$B:$E,4,0))),0,IF(AND(VLOOKUP(CONCATENATE($D191,$G191),CSRFinput!$B:$E,4,0)=0,OR(H191=MappingTables!$C$31,H191=MappingTables!$C$32)),1,VLOOKUP(CONCATENATE($D191,$G191),CSRFinput!$B:$E,4,0)))</f>
        <v>0.054776304963434752</v>
      </c>
      <c r="S191" s="73">
        <f>IF(B191="",0,P191*R191)</f>
        <v>0.93574773126569712</v>
      </c>
      <c r="T191" s="85">
        <f>IF(B191="",0,IF(OR(H191=MappingTables!$C$34,H191=MappingTables!$C$35),S191,0))</f>
        <v>0</v>
      </c>
    </row>
    <row r="192" spans="2:20" s="0" customFormat="0" ht="15">
      <c r="B192" s="69" t="s">
        <v>3340</v>
      </c>
      <c r="C192" s="70" t="s">
        <v>3341</v>
      </c>
      <c r="D192" s="70" t="s">
        <v>1</v>
      </c>
      <c r="E192" s="70" t="s">
        <v>1</v>
      </c>
      <c r="F192" s="70"/>
      <c r="G192" s="70" t="s">
        <v>61</v>
      </c>
      <c r="H192" s="70" t="s">
        <v>178</v>
      </c>
      <c r="I192" s="70" t="s">
        <v>198</v>
      </c>
      <c r="J192" s="71" t="str">
        <f>IF(OR(I192=0,I192=""),"unrated",VLOOKUP(I192,MappingTables!$B$19:$C$31,2,FALSE))</f>
        <v>unrated</v>
      </c>
      <c r="K192" s="72">
        <v>190.14507945707296</v>
      </c>
      <c r="L192" s="70">
        <v>0.054794716458194384</v>
      </c>
      <c r="M192" s="71">
        <f>IF(L192&lt;1,1,L192)</f>
        <v>1</v>
      </c>
      <c r="N192" s="70" t="s">
        <v>3288</v>
      </c>
      <c r="O192" s="71">
        <f>IF(OR(I192=$A$1,I192=0),"",IF(N192=MappingTables!$C$14,VLOOKUP(J192,ModelParameters!$M$8:$N$15,2,FALSE),IF(N192=MappingTables!$C$16,VLOOKUP(J192,ModelParameters!$P$8:$Q$15,2,FALSE),0)))</f>
        <v>1</v>
      </c>
      <c r="P192" s="73">
        <f>IF(OR(I192=0,I192=$A$1),0,MIN(O192*M192,1)*K192)</f>
        <v>190.14507945707296</v>
      </c>
      <c r="Q192" s="73">
        <f>IF(B192="",0,IF(OR(H192=MappingTables!$C$34,H192=MappingTables!$C$35),P192,0))</f>
        <v>0</v>
      </c>
      <c r="R192" s="73">
        <f>IF(ISNA(IF(AND(VLOOKUP(CONCATENATE($D192,$G192),CSRFinput!$B:$E,4,0)=0,OR(H192=MappingTables!$C$31,H192=MappingTables!$C$32)),1,VLOOKUP(CONCATENATE($D192,$G192),CSRFinput!$B:$E,4,0))),0,IF(AND(VLOOKUP(CONCATENATE($D192,$G192),CSRFinput!$B:$E,4,0)=0,OR(H192=MappingTables!$C$31,H192=MappingTables!$C$32)),1,VLOOKUP(CONCATENATE($D192,$G192),CSRFinput!$B:$E,4,0)))</f>
        <v>0.054776304963434752</v>
      </c>
      <c r="S192" s="73">
        <f>IF(B192="",0,P192*R192)</f>
        <v>10.415444859637162</v>
      </c>
      <c r="T192" s="85">
        <f>IF(B192="",0,IF(OR(H192=MappingTables!$C$34,H192=MappingTables!$C$35),S192,0))</f>
        <v>0</v>
      </c>
    </row>
    <row r="193" spans="2:20" s="0" customFormat="0" ht="15">
      <c r="B193" s="69">
        <v>2290885</v>
      </c>
      <c r="C193" s="70" t="s">
        <v>3593</v>
      </c>
      <c r="D193" s="70" t="s">
        <v>1</v>
      </c>
      <c r="E193" s="70" t="s">
        <v>1</v>
      </c>
      <c r="F193" s="70"/>
      <c r="G193" s="70" t="s">
        <v>61</v>
      </c>
      <c r="H193" s="70" t="s">
        <v>178</v>
      </c>
      <c r="I193" s="70" t="s">
        <v>188</v>
      </c>
      <c r="J193" s="71">
        <f>IF(OR(I193=0,I193=""),"unrated",VLOOKUP(I193,MappingTables!$B$19:$C$31,2,FALSE))</f>
        <v>2</v>
      </c>
      <c r="K193" s="72">
        <v>17.745992298960196</v>
      </c>
      <c r="L193" s="70">
        <v>0.068495327072774936</v>
      </c>
      <c r="M193" s="71">
        <f>IF(L193&lt;1,1,L193)</f>
        <v>1</v>
      </c>
      <c r="N193" s="70" t="s">
        <v>3288</v>
      </c>
      <c r="O193" s="71">
        <f>IF(OR(I193=$A$1,I193=0),"",IF(N193=MappingTables!$C$14,VLOOKUP(J193,ModelParameters!$M$8:$N$15,2,FALSE),IF(N193=MappingTables!$C$16,VLOOKUP(J193,ModelParameters!$P$8:$Q$15,2,FALSE),0)))</f>
        <v>0.166</v>
      </c>
      <c r="P193" s="73">
        <f>IF(OR(I193=0,I193=$A$1),0,MIN(O193*M193,1)*K193)</f>
        <v>2.9458347216273924</v>
      </c>
      <c r="Q193" s="73">
        <f>IF(B193="",0,IF(OR(H193=MappingTables!$C$34,H193=MappingTables!$C$35),P193,0))</f>
        <v>0</v>
      </c>
      <c r="R193" s="73">
        <f>IF(ISNA(IF(AND(VLOOKUP(CONCATENATE($D193,$G193),CSRFinput!$B:$E,4,0)=0,OR(H193=MappingTables!$C$31,H193=MappingTables!$C$32)),1,VLOOKUP(CONCATENATE($D193,$G193),CSRFinput!$B:$E,4,0))),0,IF(AND(VLOOKUP(CONCATENATE($D193,$G193),CSRFinput!$B:$E,4,0)=0,OR(H193=MappingTables!$C$31,H193=MappingTables!$C$32)),1,VLOOKUP(CONCATENATE($D193,$G193),CSRFinput!$B:$E,4,0)))</f>
        <v>0.054776304963434752</v>
      </c>
      <c r="S193" s="73">
        <f>IF(B193="",0,P193*R193)</f>
        <v>0.16136194108373698</v>
      </c>
      <c r="T193" s="85">
        <f>IF(B193="",0,IF(OR(H193=MappingTables!$C$34,H193=MappingTables!$C$35),S193,0))</f>
        <v>0</v>
      </c>
    </row>
    <row r="194" spans="2:20" s="0" customFormat="0" ht="15">
      <c r="B194" s="69" t="s">
        <v>3594</v>
      </c>
      <c r="C194" s="70" t="s">
        <v>3595</v>
      </c>
      <c r="D194" s="70" t="s">
        <v>1</v>
      </c>
      <c r="E194" s="70" t="s">
        <v>1</v>
      </c>
      <c r="F194" s="70"/>
      <c r="G194" s="70" t="s">
        <v>61</v>
      </c>
      <c r="H194" s="70" t="s">
        <v>178</v>
      </c>
      <c r="I194" s="70" t="s">
        <v>204</v>
      </c>
      <c r="J194" s="71">
        <f>IF(OR(I194=0,I194=""),"unrated",VLOOKUP(I194,MappingTables!$B$19:$C$31,2,FALSE))</f>
        <v>6</v>
      </c>
      <c r="K194" s="72">
        <v>0.53326656041056128</v>
      </c>
      <c r="L194" s="70">
        <v>0.06849474376907856</v>
      </c>
      <c r="M194" s="71">
        <f>IF(L194&lt;1,1,L194)</f>
        <v>1</v>
      </c>
      <c r="N194" s="70" t="s">
        <v>3288</v>
      </c>
      <c r="O194" s="71">
        <f>IF(OR(I194=$A$1,I194=0),"",IF(N194=MappingTables!$C$14,VLOOKUP(J194,ModelParameters!$M$8:$N$15,2,FALSE),IF(N194=MappingTables!$C$16,VLOOKUP(J194,ModelParameters!$P$8:$Q$15,2,FALSE),0)))</f>
        <v>1</v>
      </c>
      <c r="P194" s="73">
        <f>IF(OR(I194=0,I194=$A$1),0,MIN(O194*M194,1)*K194)</f>
        <v>0.53326656041056128</v>
      </c>
      <c r="Q194" s="73">
        <f>IF(B194="",0,IF(OR(H194=MappingTables!$C$34,H194=MappingTables!$C$35),P194,0))</f>
        <v>0</v>
      </c>
      <c r="R194" s="73">
        <f>IF(ISNA(IF(AND(VLOOKUP(CONCATENATE($D194,$G194),CSRFinput!$B:$E,4,0)=0,OR(H194=MappingTables!$C$31,H194=MappingTables!$C$32)),1,VLOOKUP(CONCATENATE($D194,$G194),CSRFinput!$B:$E,4,0))),0,IF(AND(VLOOKUP(CONCATENATE($D194,$G194),CSRFinput!$B:$E,4,0)=0,OR(H194=MappingTables!$C$31,H194=MappingTables!$C$32)),1,VLOOKUP(CONCATENATE($D194,$G194),CSRFinput!$B:$E,4,0)))</f>
        <v>0.054776304963434752</v>
      </c>
      <c r="S194" s="73">
        <f>IF(B194="",0,P194*R194)</f>
        <v>0.029210371739850808</v>
      </c>
      <c r="T194" s="85">
        <f>IF(B194="",0,IF(OR(H194=MappingTables!$C$34,H194=MappingTables!$C$35),S194,0))</f>
        <v>0</v>
      </c>
    </row>
    <row r="195" spans="2:20" s="0" customFormat="0" ht="15">
      <c r="B195" s="69">
        <v>17849961</v>
      </c>
      <c r="C195" s="70" t="s">
        <v>3596</v>
      </c>
      <c r="D195" s="70" t="s">
        <v>1</v>
      </c>
      <c r="E195" s="70" t="s">
        <v>1</v>
      </c>
      <c r="F195" s="70"/>
      <c r="G195" s="70" t="s">
        <v>61</v>
      </c>
      <c r="H195" s="70" t="s">
        <v>178</v>
      </c>
      <c r="I195" s="70" t="s">
        <v>216</v>
      </c>
      <c r="J195" s="71">
        <f>IF(OR(I195=0,I195=""),"unrated",VLOOKUP(I195,MappingTables!$B$19:$C$31,2,FALSE))</f>
        <v>0</v>
      </c>
      <c r="K195" s="72">
        <v>261.5527062517146</v>
      </c>
      <c r="L195" s="70">
        <v>0.1029220902989929</v>
      </c>
      <c r="M195" s="71">
        <f>IF(L195&lt;1,1,L195)</f>
        <v>1</v>
      </c>
      <c r="N195" s="70" t="s">
        <v>3288</v>
      </c>
      <c r="O195" s="71">
        <f>IF(OR(I195=$A$1,I195=0),"",IF(N195=MappingTables!$C$14,VLOOKUP(J195,ModelParameters!$M$8:$N$15,2,FALSE),IF(N195=MappingTables!$C$16,VLOOKUP(J195,ModelParameters!$P$8:$Q$15,2,FALSE),0)))</f>
        <v>0.125</v>
      </c>
      <c r="P195" s="73">
        <f>IF(OR(I195=0,I195=$A$1),0,MIN(O195*M195,1)*K195)</f>
        <v>32.694088281464324</v>
      </c>
      <c r="Q195" s="73">
        <f>IF(B195="",0,IF(OR(H195=MappingTables!$C$34,H195=MappingTables!$C$35),P195,0))</f>
        <v>0</v>
      </c>
      <c r="R195" s="73">
        <f>IF(ISNA(IF(AND(VLOOKUP(CONCATENATE($D195,$G195),CSRFinput!$B:$E,4,0)=0,OR(H195=MappingTables!$C$31,H195=MappingTables!$C$32)),1,VLOOKUP(CONCATENATE($D195,$G195),CSRFinput!$B:$E,4,0))),0,IF(AND(VLOOKUP(CONCATENATE($D195,$G195),CSRFinput!$B:$E,4,0)=0,OR(H195=MappingTables!$C$31,H195=MappingTables!$C$32)),1,VLOOKUP(CONCATENATE($D195,$G195),CSRFinput!$B:$E,4,0)))</f>
        <v>0.054776304963434752</v>
      </c>
      <c r="S195" s="73">
        <f>IF(B195="",0,P195*R195)</f>
        <v>1.7908613502069484</v>
      </c>
      <c r="T195" s="85">
        <f>IF(B195="",0,IF(OR(H195=MappingTables!$C$34,H195=MappingTables!$C$35),S195,0))</f>
        <v>0</v>
      </c>
    </row>
    <row r="196" spans="2:20" s="0" customFormat="0" ht="15">
      <c r="B196" s="69" t="s">
        <v>3597</v>
      </c>
      <c r="C196" s="70" t="s">
        <v>3598</v>
      </c>
      <c r="D196" s="70" t="s">
        <v>1</v>
      </c>
      <c r="E196" s="70" t="s">
        <v>1</v>
      </c>
      <c r="F196" s="70"/>
      <c r="G196" s="70" t="s">
        <v>61</v>
      </c>
      <c r="H196" s="70" t="s">
        <v>178</v>
      </c>
      <c r="I196" s="70" t="s">
        <v>204</v>
      </c>
      <c r="J196" s="71">
        <f>IF(OR(I196=0,I196=""),"unrated",VLOOKUP(I196,MappingTables!$B$19:$C$31,2,FALSE))</f>
        <v>6</v>
      </c>
      <c r="K196" s="72">
        <v>335.529900979157</v>
      </c>
      <c r="L196" s="70">
        <v>0.068492377103987184</v>
      </c>
      <c r="M196" s="71">
        <f>IF(L196&lt;1,1,L196)</f>
        <v>1</v>
      </c>
      <c r="N196" s="70" t="s">
        <v>3288</v>
      </c>
      <c r="O196" s="71">
        <f>IF(OR(I196=$A$1,I196=0),"",IF(N196=MappingTables!$C$14,VLOOKUP(J196,ModelParameters!$M$8:$N$15,2,FALSE),IF(N196=MappingTables!$C$16,VLOOKUP(J196,ModelParameters!$P$8:$Q$15,2,FALSE),0)))</f>
        <v>1</v>
      </c>
      <c r="P196" s="73">
        <f>IF(OR(I196=0,I196=$A$1),0,MIN(O196*M196,1)*K196)</f>
        <v>335.529900979157</v>
      </c>
      <c r="Q196" s="73">
        <f>IF(B196="",0,IF(OR(H196=MappingTables!$C$34,H196=MappingTables!$C$35),P196,0))</f>
        <v>0</v>
      </c>
      <c r="R196" s="73">
        <f>IF(ISNA(IF(AND(VLOOKUP(CONCATENATE($D196,$G196),CSRFinput!$B:$E,4,0)=0,OR(H196=MappingTables!$C$31,H196=MappingTables!$C$32)),1,VLOOKUP(CONCATENATE($D196,$G196),CSRFinput!$B:$E,4,0))),0,IF(AND(VLOOKUP(CONCATENATE($D196,$G196),CSRFinput!$B:$E,4,0)=0,OR(H196=MappingTables!$C$31,H196=MappingTables!$C$32)),1,VLOOKUP(CONCATENATE($D196,$G196),CSRFinput!$B:$E,4,0)))</f>
        <v>0.054776304963434752</v>
      </c>
      <c r="S196" s="73">
        <f>IF(B196="",0,P196*R196)</f>
        <v>18.379088180385372</v>
      </c>
      <c r="T196" s="85">
        <f>IF(B196="",0,IF(OR(H196=MappingTables!$C$34,H196=MappingTables!$C$35),S196,0))</f>
        <v>0</v>
      </c>
    </row>
    <row r="197" spans="2:20" s="0" customFormat="0" ht="15">
      <c r="B197" s="69" t="s">
        <v>3599</v>
      </c>
      <c r="C197" s="70" t="s">
        <v>3600</v>
      </c>
      <c r="D197" s="70" t="s">
        <v>1</v>
      </c>
      <c r="E197" s="70" t="s">
        <v>1</v>
      </c>
      <c r="F197" s="70"/>
      <c r="G197" s="70" t="s">
        <v>61</v>
      </c>
      <c r="H197" s="70" t="s">
        <v>178</v>
      </c>
      <c r="I197" s="70" t="s">
        <v>204</v>
      </c>
      <c r="J197" s="71">
        <f>IF(OR(I197=0,I197=""),"unrated",VLOOKUP(I197,MappingTables!$B$19:$C$31,2,FALSE))</f>
        <v>6</v>
      </c>
      <c r="K197" s="72">
        <v>370.26741604350608</v>
      </c>
      <c r="L197" s="70">
        <v>0.0684896620279534</v>
      </c>
      <c r="M197" s="71">
        <f>IF(L197&lt;1,1,L197)</f>
        <v>1</v>
      </c>
      <c r="N197" s="70" t="s">
        <v>3288</v>
      </c>
      <c r="O197" s="71">
        <f>IF(OR(I197=$A$1,I197=0),"",IF(N197=MappingTables!$C$14,VLOOKUP(J197,ModelParameters!$M$8:$N$15,2,FALSE),IF(N197=MappingTables!$C$16,VLOOKUP(J197,ModelParameters!$P$8:$Q$15,2,FALSE),0)))</f>
        <v>1</v>
      </c>
      <c r="P197" s="73">
        <f>IF(OR(I197=0,I197=$A$1),0,MIN(O197*M197,1)*K197)</f>
        <v>370.26741604350608</v>
      </c>
      <c r="Q197" s="73">
        <f>IF(B197="",0,IF(OR(H197=MappingTables!$C$34,H197=MappingTables!$C$35),P197,0))</f>
        <v>0</v>
      </c>
      <c r="R197" s="73">
        <f>IF(ISNA(IF(AND(VLOOKUP(CONCATENATE($D197,$G197),CSRFinput!$B:$E,4,0)=0,OR(H197=MappingTables!$C$31,H197=MappingTables!$C$32)),1,VLOOKUP(CONCATENATE($D197,$G197),CSRFinput!$B:$E,4,0))),0,IF(AND(VLOOKUP(CONCATENATE($D197,$G197),CSRFinput!$B:$E,4,0)=0,OR(H197=MappingTables!$C$31,H197=MappingTables!$C$32)),1,VLOOKUP(CONCATENATE($D197,$G197),CSRFinput!$B:$E,4,0)))</f>
        <v>0.054776304963434752</v>
      </c>
      <c r="S197" s="73">
        <f>IF(B197="",0,P197*R197)</f>
        <v>20.28188089922206</v>
      </c>
      <c r="T197" s="85">
        <f>IF(B197="",0,IF(OR(H197=MappingTables!$C$34,H197=MappingTables!$C$35),S197,0))</f>
        <v>0</v>
      </c>
    </row>
    <row r="198" spans="2:20" s="0" customFormat="0" ht="15">
      <c r="B198" s="69">
        <v>870778</v>
      </c>
      <c r="C198" s="70" t="s">
        <v>3601</v>
      </c>
      <c r="D198" s="70" t="s">
        <v>1</v>
      </c>
      <c r="E198" s="70" t="s">
        <v>1</v>
      </c>
      <c r="F198" s="70"/>
      <c r="G198" s="70" t="s">
        <v>61</v>
      </c>
      <c r="H198" s="70" t="s">
        <v>178</v>
      </c>
      <c r="I198" s="70" t="s">
        <v>220</v>
      </c>
      <c r="J198" s="71">
        <f>IF(OR(I198=0,I198=""),"unrated",VLOOKUP(I198,MappingTables!$B$19:$C$31,2,FALSE))</f>
        <v>1</v>
      </c>
      <c r="K198" s="72">
        <v>25.871205258691288</v>
      </c>
      <c r="L198" s="70">
        <v>0.068493863235500832</v>
      </c>
      <c r="M198" s="71">
        <f>IF(L198&lt;1,1,L198)</f>
        <v>1</v>
      </c>
      <c r="N198" s="70" t="s">
        <v>3288</v>
      </c>
      <c r="O198" s="71">
        <f>IF(OR(I198=$A$1,I198=0),"",IF(N198=MappingTables!$C$14,VLOOKUP(J198,ModelParameters!$M$8:$N$15,2,FALSE),IF(N198=MappingTables!$C$16,VLOOKUP(J198,ModelParameters!$P$8:$Q$15,2,FALSE),0)))</f>
        <v>0.134</v>
      </c>
      <c r="P198" s="73">
        <f>IF(OR(I198=0,I198=$A$1),0,MIN(O198*M198,1)*K198)</f>
        <v>3.4667415046646328</v>
      </c>
      <c r="Q198" s="73">
        <f>IF(B198="",0,IF(OR(H198=MappingTables!$C$34,H198=MappingTables!$C$35),P198,0))</f>
        <v>0</v>
      </c>
      <c r="R198" s="73">
        <f>IF(ISNA(IF(AND(VLOOKUP(CONCATENATE($D198,$G198),CSRFinput!$B:$E,4,0)=0,OR(H198=MappingTables!$C$31,H198=MappingTables!$C$32)),1,VLOOKUP(CONCATENATE($D198,$G198),CSRFinput!$B:$E,4,0))),0,IF(AND(VLOOKUP(CONCATENATE($D198,$G198),CSRFinput!$B:$E,4,0)=0,OR(H198=MappingTables!$C$31,H198=MappingTables!$C$32)),1,VLOOKUP(CONCATENATE($D198,$G198),CSRFinput!$B:$E,4,0)))</f>
        <v>0.054776304963434752</v>
      </c>
      <c r="S198" s="73">
        <f>IF(B198="",0,P198*R198)</f>
        <v>0.1898952898889066</v>
      </c>
      <c r="T198" s="85">
        <f>IF(B198="",0,IF(OR(H198=MappingTables!$C$34,H198=MappingTables!$C$35),S198,0))</f>
        <v>0</v>
      </c>
    </row>
    <row r="199" spans="2:20" s="0" customFormat="0" ht="15">
      <c r="B199" s="69" t="s">
        <v>3602</v>
      </c>
      <c r="C199" s="70" t="s">
        <v>3603</v>
      </c>
      <c r="D199" s="70" t="s">
        <v>1</v>
      </c>
      <c r="E199" s="70" t="s">
        <v>1</v>
      </c>
      <c r="F199" s="70"/>
      <c r="G199" s="70" t="s">
        <v>61</v>
      </c>
      <c r="H199" s="70" t="s">
        <v>178</v>
      </c>
      <c r="I199" s="70" t="s">
        <v>198</v>
      </c>
      <c r="J199" s="71" t="str">
        <f>IF(OR(I199=0,I199=""),"unrated",VLOOKUP(I199,MappingTables!$B$19:$C$31,2,FALSE))</f>
        <v>unrated</v>
      </c>
      <c r="K199" s="72">
        <v>3271.8446454676632</v>
      </c>
      <c r="L199" s="70">
        <v>8.106996026064624</v>
      </c>
      <c r="M199" s="71">
        <f>IF(L199&lt;1,1,L199)</f>
        <v>8.106996026064624</v>
      </c>
      <c r="N199" s="70" t="s">
        <v>3288</v>
      </c>
      <c r="O199" s="71">
        <f>IF(OR(I199=$A$1,I199=0),"",IF(N199=MappingTables!$C$14,VLOOKUP(J199,ModelParameters!$M$8:$N$15,2,FALSE),IF(N199=MappingTables!$C$16,VLOOKUP(J199,ModelParameters!$P$8:$Q$15,2,FALSE),0)))</f>
        <v>1</v>
      </c>
      <c r="P199" s="73">
        <f>IF(OR(I199=0,I199=$A$1),0,MIN(O199*M199,1)*K199)</f>
        <v>3271.8446454676632</v>
      </c>
      <c r="Q199" s="73">
        <f>IF(B199="",0,IF(OR(H199=MappingTables!$C$34,H199=MappingTables!$C$35),P199,0))</f>
        <v>0</v>
      </c>
      <c r="R199" s="73">
        <f>IF(ISNA(IF(AND(VLOOKUP(CONCATENATE($D199,$G199),CSRFinput!$B:$E,4,0)=0,OR(H199=MappingTables!$C$31,H199=MappingTables!$C$32)),1,VLOOKUP(CONCATENATE($D199,$G199),CSRFinput!$B:$E,4,0))),0,IF(AND(VLOOKUP(CONCATENATE($D199,$G199),CSRFinput!$B:$E,4,0)=0,OR(H199=MappingTables!$C$31,H199=MappingTables!$C$32)),1,VLOOKUP(CONCATENATE($D199,$G199),CSRFinput!$B:$E,4,0)))</f>
        <v>0.054776304963434752</v>
      </c>
      <c r="S199" s="73">
        <f>IF(B199="",0,P199*R199)</f>
        <v>179.2195600931178</v>
      </c>
      <c r="T199" s="85">
        <f>IF(B199="",0,IF(OR(H199=MappingTables!$C$34,H199=MappingTables!$C$35),S199,0))</f>
        <v>0</v>
      </c>
    </row>
    <row r="200" spans="2:20" s="0" customFormat="0" ht="15">
      <c r="B200" s="69">
        <v>1551570</v>
      </c>
      <c r="C200" s="70" t="s">
        <v>3604</v>
      </c>
      <c r="D200" s="70" t="s">
        <v>1</v>
      </c>
      <c r="E200" s="70" t="s">
        <v>1</v>
      </c>
      <c r="F200" s="70"/>
      <c r="G200" s="70" t="s">
        <v>61</v>
      </c>
      <c r="H200" s="70" t="s">
        <v>178</v>
      </c>
      <c r="I200" s="70" t="s">
        <v>204</v>
      </c>
      <c r="J200" s="71">
        <f>IF(OR(I200=0,I200=""),"unrated",VLOOKUP(I200,MappingTables!$B$19:$C$31,2,FALSE))</f>
        <v>6</v>
      </c>
      <c r="K200" s="72">
        <v>6.4918670113495632</v>
      </c>
      <c r="L200" s="70">
        <v>0.067480637984490112</v>
      </c>
      <c r="M200" s="71">
        <f>IF(L200&lt;1,1,L200)</f>
        <v>1</v>
      </c>
      <c r="N200" s="70" t="s">
        <v>3288</v>
      </c>
      <c r="O200" s="71">
        <f>IF(OR(I200=$A$1,I200=0),"",IF(N200=MappingTables!$C$14,VLOOKUP(J200,ModelParameters!$M$8:$N$15,2,FALSE),IF(N200=MappingTables!$C$16,VLOOKUP(J200,ModelParameters!$P$8:$Q$15,2,FALSE),0)))</f>
        <v>1</v>
      </c>
      <c r="P200" s="73">
        <f>IF(OR(I200=0,I200=$A$1),0,MIN(O200*M200,1)*K200)</f>
        <v>6.4918670113495632</v>
      </c>
      <c r="Q200" s="73">
        <f>IF(B200="",0,IF(OR(H200=MappingTables!$C$34,H200=MappingTables!$C$35),P200,0))</f>
        <v>0</v>
      </c>
      <c r="R200" s="73">
        <f>IF(ISNA(IF(AND(VLOOKUP(CONCATENATE($D200,$G200),CSRFinput!$B:$E,4,0)=0,OR(H200=MappingTables!$C$31,H200=MappingTables!$C$32)),1,VLOOKUP(CONCATENATE($D200,$G200),CSRFinput!$B:$E,4,0))),0,IF(AND(VLOOKUP(CONCATENATE($D200,$G200),CSRFinput!$B:$E,4,0)=0,OR(H200=MappingTables!$C$31,H200=MappingTables!$C$32)),1,VLOOKUP(CONCATENATE($D200,$G200),CSRFinput!$B:$E,4,0)))</f>
        <v>0.054776304963434752</v>
      </c>
      <c r="S200" s="73">
        <f>IF(B200="",0,P200*R200)</f>
        <v>0.35560048719574544</v>
      </c>
      <c r="T200" s="85">
        <f>IF(B200="",0,IF(OR(H200=MappingTables!$C$34,H200=MappingTables!$C$35),S200,0))</f>
        <v>0</v>
      </c>
    </row>
    <row r="201" spans="2:20" s="0" customFormat="0" ht="15">
      <c r="B201" s="69" t="s">
        <v>3605</v>
      </c>
      <c r="C201" s="70" t="s">
        <v>3606</v>
      </c>
      <c r="D201" s="70" t="s">
        <v>1</v>
      </c>
      <c r="E201" s="70" t="s">
        <v>1</v>
      </c>
      <c r="F201" s="70"/>
      <c r="G201" s="70" t="s">
        <v>61</v>
      </c>
      <c r="H201" s="70" t="s">
        <v>178</v>
      </c>
      <c r="I201" s="70" t="s">
        <v>184</v>
      </c>
      <c r="J201" s="71">
        <f>IF(OR(I201=0,I201=""),"unrated",VLOOKUP(I201,MappingTables!$B$19:$C$31,2,FALSE))</f>
        <v>5</v>
      </c>
      <c r="K201" s="72">
        <v>797.86809106519328</v>
      </c>
      <c r="L201" s="70">
        <v>0.048230006248228232</v>
      </c>
      <c r="M201" s="71">
        <f>IF(L201&lt;1,1,L201)</f>
        <v>1</v>
      </c>
      <c r="N201" s="70" t="s">
        <v>3288</v>
      </c>
      <c r="O201" s="71">
        <f>IF(OR(I201=$A$1,I201=0),"",IF(N201=MappingTables!$C$14,VLOOKUP(J201,ModelParameters!$M$8:$N$15,2,FALSE),IF(N201=MappingTables!$C$16,VLOOKUP(J201,ModelParameters!$P$8:$Q$15,2,FALSE),0)))</f>
        <v>1</v>
      </c>
      <c r="P201" s="73">
        <f>IF(OR(I201=0,I201=$A$1),0,MIN(O201*M201,1)*K201)</f>
        <v>797.86809106519328</v>
      </c>
      <c r="Q201" s="73">
        <f>IF(B201="",0,IF(OR(H201=MappingTables!$C$34,H201=MappingTables!$C$35),P201,0))</f>
        <v>0</v>
      </c>
      <c r="R201" s="73">
        <f>IF(ISNA(IF(AND(VLOOKUP(CONCATENATE($D201,$G201),CSRFinput!$B:$E,4,0)=0,OR(H201=MappingTables!$C$31,H201=MappingTables!$C$32)),1,VLOOKUP(CONCATENATE($D201,$G201),CSRFinput!$B:$E,4,0))),0,IF(AND(VLOOKUP(CONCATENATE($D201,$G201),CSRFinput!$B:$E,4,0)=0,OR(H201=MappingTables!$C$31,H201=MappingTables!$C$32)),1,VLOOKUP(CONCATENATE($D201,$G201),CSRFinput!$B:$E,4,0)))</f>
        <v>0.054776304963434752</v>
      </c>
      <c r="S201" s="73">
        <f>IF(B201="",0,P201*R201)</f>
        <v>43.70426587678056</v>
      </c>
      <c r="T201" s="85">
        <f>IF(B201="",0,IF(OR(H201=MappingTables!$C$34,H201=MappingTables!$C$35),S201,0))</f>
        <v>0</v>
      </c>
    </row>
    <row r="202" spans="2:20" s="0" customFormat="0" ht="15">
      <c r="B202" s="69" t="s">
        <v>3607</v>
      </c>
      <c r="C202" s="70" t="s">
        <v>3608</v>
      </c>
      <c r="D202" s="70" t="s">
        <v>1</v>
      </c>
      <c r="E202" s="70" t="s">
        <v>1</v>
      </c>
      <c r="F202" s="70"/>
      <c r="G202" s="70" t="s">
        <v>61</v>
      </c>
      <c r="H202" s="70" t="s">
        <v>178</v>
      </c>
      <c r="I202" s="70" t="s">
        <v>220</v>
      </c>
      <c r="J202" s="71">
        <f>IF(OR(I202=0,I202=""),"unrated",VLOOKUP(I202,MappingTables!$B$19:$C$31,2,FALSE))</f>
        <v>1</v>
      </c>
      <c r="K202" s="72">
        <v>14.720088961468778</v>
      </c>
      <c r="L202" s="70">
        <v>0.068494712322208832</v>
      </c>
      <c r="M202" s="71">
        <f>IF(L202&lt;1,1,L202)</f>
        <v>1</v>
      </c>
      <c r="N202" s="70" t="s">
        <v>3288</v>
      </c>
      <c r="O202" s="71">
        <f>IF(OR(I202=$A$1,I202=0),"",IF(N202=MappingTables!$C$14,VLOOKUP(J202,ModelParameters!$M$8:$N$15,2,FALSE),IF(N202=MappingTables!$C$16,VLOOKUP(J202,ModelParameters!$P$8:$Q$15,2,FALSE),0)))</f>
        <v>0.134</v>
      </c>
      <c r="P202" s="73">
        <f>IF(OR(I202=0,I202=$A$1),0,MIN(O202*M202,1)*K202)</f>
        <v>1.9724919208368164</v>
      </c>
      <c r="Q202" s="73">
        <f>IF(B202="",0,IF(OR(H202=MappingTables!$C$34,H202=MappingTables!$C$35),P202,0))</f>
        <v>0</v>
      </c>
      <c r="R202" s="73">
        <f>IF(ISNA(IF(AND(VLOOKUP(CONCATENATE($D202,$G202),CSRFinput!$B:$E,4,0)=0,OR(H202=MappingTables!$C$31,H202=MappingTables!$C$32)),1,VLOOKUP(CONCATENATE($D202,$G202),CSRFinput!$B:$E,4,0))),0,IF(AND(VLOOKUP(CONCATENATE($D202,$G202),CSRFinput!$B:$E,4,0)=0,OR(H202=MappingTables!$C$31,H202=MappingTables!$C$32)),1,VLOOKUP(CONCATENATE($D202,$G202),CSRFinput!$B:$E,4,0)))</f>
        <v>0.054776304963434752</v>
      </c>
      <c r="S202" s="73">
        <f>IF(B202="",0,P202*R202)</f>
        <v>0.10804581899366864</v>
      </c>
      <c r="T202" s="85">
        <f>IF(B202="",0,IF(OR(H202=MappingTables!$C$34,H202=MappingTables!$C$35),S202,0))</f>
        <v>0</v>
      </c>
    </row>
    <row r="203" spans="2:20" s="0" customFormat="0" ht="15">
      <c r="B203" s="69" t="s">
        <v>3609</v>
      </c>
      <c r="C203" s="70" t="s">
        <v>3610</v>
      </c>
      <c r="D203" s="70" t="s">
        <v>1</v>
      </c>
      <c r="E203" s="70" t="s">
        <v>1</v>
      </c>
      <c r="F203" s="70"/>
      <c r="G203" s="70" t="s">
        <v>61</v>
      </c>
      <c r="H203" s="70" t="s">
        <v>178</v>
      </c>
      <c r="I203" s="70" t="s">
        <v>179</v>
      </c>
      <c r="J203" s="71">
        <f>IF(OR(I203=0,I203=""),"unrated",VLOOKUP(I203,MappingTables!$B$19:$C$31,2,FALSE))</f>
        <v>4</v>
      </c>
      <c r="K203" s="72">
        <v>44282.184073156032</v>
      </c>
      <c r="L203" s="70">
        <v>5.4602468183771032</v>
      </c>
      <c r="M203" s="71">
        <f>IF(L203&lt;1,1,L203)</f>
        <v>5.4602468183771032</v>
      </c>
      <c r="N203" s="70" t="s">
        <v>3288</v>
      </c>
      <c r="O203" s="71">
        <f>IF(OR(I203=$A$1,I203=0),"",IF(N203=MappingTables!$C$14,VLOOKUP(J203,ModelParameters!$M$8:$N$15,2,FALSE),IF(N203=MappingTables!$C$16,VLOOKUP(J203,ModelParameters!$P$8:$Q$15,2,FALSE),0)))</f>
        <v>0.82</v>
      </c>
      <c r="P203" s="73">
        <f>IF(OR(I203=0,I203=$A$1),0,MIN(O203*M203,1)*K203)</f>
        <v>44282.184073156032</v>
      </c>
      <c r="Q203" s="73">
        <f>IF(B203="",0,IF(OR(H203=MappingTables!$C$34,H203=MappingTables!$C$35),P203,0))</f>
        <v>0</v>
      </c>
      <c r="R203" s="73">
        <f>IF(ISNA(IF(AND(VLOOKUP(CONCATENATE($D203,$G203),CSRFinput!$B:$E,4,0)=0,OR(H203=MappingTables!$C$31,H203=MappingTables!$C$32)),1,VLOOKUP(CONCATENATE($D203,$G203),CSRFinput!$B:$E,4,0))),0,IF(AND(VLOOKUP(CONCATENATE($D203,$G203),CSRFinput!$B:$E,4,0)=0,OR(H203=MappingTables!$C$31,H203=MappingTables!$C$32)),1,VLOOKUP(CONCATENATE($D203,$G203),CSRFinput!$B:$E,4,0)))</f>
        <v>0.054776304963434752</v>
      </c>
      <c r="S203" s="73">
        <f>IF(B203="",0,P203*R203)</f>
        <v>2425.614419238148</v>
      </c>
      <c r="T203" s="85">
        <f>IF(B203="",0,IF(OR(H203=MappingTables!$C$34,H203=MappingTables!$C$35),S203,0))</f>
        <v>0</v>
      </c>
    </row>
    <row r="204" spans="2:20" s="0" customFormat="0" ht="15">
      <c r="B204" s="69">
        <v>1551609</v>
      </c>
      <c r="C204" s="70" t="s">
        <v>3611</v>
      </c>
      <c r="D204" s="70" t="s">
        <v>1</v>
      </c>
      <c r="E204" s="70" t="s">
        <v>1</v>
      </c>
      <c r="F204" s="70"/>
      <c r="G204" s="70" t="s">
        <v>61</v>
      </c>
      <c r="H204" s="70" t="s">
        <v>178</v>
      </c>
      <c r="I204" s="70" t="s">
        <v>198</v>
      </c>
      <c r="J204" s="71" t="str">
        <f>IF(OR(I204=0,I204=""),"unrated",VLOOKUP(I204,MappingTables!$B$19:$C$31,2,FALSE))</f>
        <v>unrated</v>
      </c>
      <c r="K204" s="72">
        <v>35.824669684142604</v>
      </c>
      <c r="L204" s="70">
        <v>0.068493212053880048</v>
      </c>
      <c r="M204" s="71">
        <f>IF(L204&lt;1,1,L204)</f>
        <v>1</v>
      </c>
      <c r="N204" s="70" t="s">
        <v>3288</v>
      </c>
      <c r="O204" s="71">
        <f>IF(OR(I204=$A$1,I204=0),"",IF(N204=MappingTables!$C$14,VLOOKUP(J204,ModelParameters!$M$8:$N$15,2,FALSE),IF(N204=MappingTables!$C$16,VLOOKUP(J204,ModelParameters!$P$8:$Q$15,2,FALSE),0)))</f>
        <v>1</v>
      </c>
      <c r="P204" s="73">
        <f>IF(OR(I204=0,I204=$A$1),0,MIN(O204*M204,1)*K204)</f>
        <v>35.824669684142604</v>
      </c>
      <c r="Q204" s="73">
        <f>IF(B204="",0,IF(OR(H204=MappingTables!$C$34,H204=MappingTables!$C$35),P204,0))</f>
        <v>0</v>
      </c>
      <c r="R204" s="73">
        <f>IF(ISNA(IF(AND(VLOOKUP(CONCATENATE($D204,$G204),CSRFinput!$B:$E,4,0)=0,OR(H204=MappingTables!$C$31,H204=MappingTables!$C$32)),1,VLOOKUP(CONCATENATE($D204,$G204),CSRFinput!$B:$E,4,0))),0,IF(AND(VLOOKUP(CONCATENATE($D204,$G204),CSRFinput!$B:$E,4,0)=0,OR(H204=MappingTables!$C$31,H204=MappingTables!$C$32)),1,VLOOKUP(CONCATENATE($D204,$G204),CSRFinput!$B:$E,4,0)))</f>
        <v>0.054776304963434752</v>
      </c>
      <c r="S204" s="73">
        <f>IF(B204="",0,P204*R204)</f>
        <v>1.9623430318329112</v>
      </c>
      <c r="T204" s="85">
        <f>IF(B204="",0,IF(OR(H204=MappingTables!$C$34,H204=MappingTables!$C$35),S204,0))</f>
        <v>0</v>
      </c>
    </row>
    <row r="205" spans="2:20" s="0" customFormat="0" ht="15">
      <c r="B205" s="69" t="s">
        <v>3612</v>
      </c>
      <c r="C205" s="70" t="s">
        <v>3613</v>
      </c>
      <c r="D205" s="70" t="s">
        <v>1</v>
      </c>
      <c r="E205" s="70" t="s">
        <v>1</v>
      </c>
      <c r="F205" s="70"/>
      <c r="G205" s="70" t="s">
        <v>61</v>
      </c>
      <c r="H205" s="70" t="s">
        <v>178</v>
      </c>
      <c r="I205" s="70" t="s">
        <v>179</v>
      </c>
      <c r="J205" s="71">
        <f>IF(OR(I205=0,I205=""),"unrated",VLOOKUP(I205,MappingTables!$B$19:$C$31,2,FALSE))</f>
        <v>4</v>
      </c>
      <c r="K205" s="72">
        <v>19.128534475141656</v>
      </c>
      <c r="L205" s="70">
        <v>0.068488667171744</v>
      </c>
      <c r="M205" s="71">
        <f>IF(L205&lt;1,1,L205)</f>
        <v>1</v>
      </c>
      <c r="N205" s="70" t="s">
        <v>3288</v>
      </c>
      <c r="O205" s="71">
        <f>IF(OR(I205=$A$1,I205=0),"",IF(N205=MappingTables!$C$14,VLOOKUP(J205,ModelParameters!$M$8:$N$15,2,FALSE),IF(N205=MappingTables!$C$16,VLOOKUP(J205,ModelParameters!$P$8:$Q$15,2,FALSE),0)))</f>
        <v>0.82</v>
      </c>
      <c r="P205" s="73">
        <f>IF(OR(I205=0,I205=$A$1),0,MIN(O205*M205,1)*K205)</f>
        <v>15.685398269616156</v>
      </c>
      <c r="Q205" s="73">
        <f>IF(B205="",0,IF(OR(H205=MappingTables!$C$34,H205=MappingTables!$C$35),P205,0))</f>
        <v>0</v>
      </c>
      <c r="R205" s="73">
        <f>IF(ISNA(IF(AND(VLOOKUP(CONCATENATE($D205,$G205),CSRFinput!$B:$E,4,0)=0,OR(H205=MappingTables!$C$31,H205=MappingTables!$C$32)),1,VLOOKUP(CONCATENATE($D205,$G205),CSRFinput!$B:$E,4,0))),0,IF(AND(VLOOKUP(CONCATENATE($D205,$G205),CSRFinput!$B:$E,4,0)=0,OR(H205=MappingTables!$C$31,H205=MappingTables!$C$32)),1,VLOOKUP(CONCATENATE($D205,$G205),CSRFinput!$B:$E,4,0)))</f>
        <v>0.054776304963434752</v>
      </c>
      <c r="S205" s="73">
        <f>IF(B205="",0,P205*R205)</f>
        <v>0.8591881590894264</v>
      </c>
      <c r="T205" s="85">
        <f>IF(B205="",0,IF(OR(H205=MappingTables!$C$34,H205=MappingTables!$C$35),S205,0))</f>
        <v>0</v>
      </c>
    </row>
    <row r="206" spans="2:20" s="0" customFormat="0" ht="15">
      <c r="B206" s="69" t="s">
        <v>3614</v>
      </c>
      <c r="C206" s="70" t="s">
        <v>3615</v>
      </c>
      <c r="D206" s="70" t="s">
        <v>1</v>
      </c>
      <c r="E206" s="70" t="s">
        <v>1</v>
      </c>
      <c r="F206" s="70"/>
      <c r="G206" s="70" t="s">
        <v>61</v>
      </c>
      <c r="H206" s="70" t="s">
        <v>178</v>
      </c>
      <c r="I206" s="70" t="s">
        <v>3298</v>
      </c>
      <c r="J206" s="71">
        <f>IF(OR(I206=0,I206=""),"unrated",VLOOKUP(I206,MappingTables!$B$19:$C$31,2,FALSE))</f>
        <v>6</v>
      </c>
      <c r="K206" s="72">
        <v>160.9205827603107</v>
      </c>
      <c r="L206" s="70">
        <v>-1.513757312705842</v>
      </c>
      <c r="M206" s="71">
        <f>IF(L206&lt;1,1,L206)</f>
        <v>1</v>
      </c>
      <c r="N206" s="70" t="s">
        <v>3288</v>
      </c>
      <c r="O206" s="71">
        <f>IF(OR(I206=$A$1,I206=0),"",IF(N206=MappingTables!$C$14,VLOOKUP(J206,ModelParameters!$M$8:$N$15,2,FALSE),IF(N206=MappingTables!$C$16,VLOOKUP(J206,ModelParameters!$P$8:$Q$15,2,FALSE),0)))</f>
        <v>1</v>
      </c>
      <c r="P206" s="73">
        <f>IF(OR(I206=0,I206=$A$1),0,MIN(O206*M206,1)*K206)</f>
        <v>160.9205827603107</v>
      </c>
      <c r="Q206" s="73">
        <f>IF(B206="",0,IF(OR(H206=MappingTables!$C$34,H206=MappingTables!$C$35),P206,0))</f>
        <v>0</v>
      </c>
      <c r="R206" s="73">
        <f>IF(ISNA(IF(AND(VLOOKUP(CONCATENATE($D206,$G206),CSRFinput!$B:$E,4,0)=0,OR(H206=MappingTables!$C$31,H206=MappingTables!$C$32)),1,VLOOKUP(CONCATENATE($D206,$G206),CSRFinput!$B:$E,4,0))),0,IF(AND(VLOOKUP(CONCATENATE($D206,$G206),CSRFinput!$B:$E,4,0)=0,OR(H206=MappingTables!$C$31,H206=MappingTables!$C$32)),1,VLOOKUP(CONCATENATE($D206,$G206),CSRFinput!$B:$E,4,0)))</f>
        <v>0.054776304963434752</v>
      </c>
      <c r="S206" s="73">
        <f>IF(B206="",0,P206*R206)</f>
        <v>8.8146349161724208</v>
      </c>
      <c r="T206" s="85">
        <f>IF(B206="",0,IF(OR(H206=MappingTables!$C$34,H206=MappingTables!$C$35),S206,0))</f>
        <v>0</v>
      </c>
    </row>
    <row r="207" spans="2:20" s="0" customFormat="0" ht="15">
      <c r="B207" s="69" t="s">
        <v>3616</v>
      </c>
      <c r="C207" s="70" t="s">
        <v>3617</v>
      </c>
      <c r="D207" s="70" t="s">
        <v>1</v>
      </c>
      <c r="E207" s="70" t="s">
        <v>1</v>
      </c>
      <c r="F207" s="70"/>
      <c r="G207" s="70" t="s">
        <v>61</v>
      </c>
      <c r="H207" s="70" t="s">
        <v>178</v>
      </c>
      <c r="I207" s="70" t="s">
        <v>204</v>
      </c>
      <c r="J207" s="71">
        <f>IF(OR(I207=0,I207=""),"unrated",VLOOKUP(I207,MappingTables!$B$19:$C$31,2,FALSE))</f>
        <v>6</v>
      </c>
      <c r="K207" s="72">
        <v>447.6242897944816</v>
      </c>
      <c r="L207" s="70">
        <v>0.052056551694540136</v>
      </c>
      <c r="M207" s="71">
        <f>IF(L207&lt;1,1,L207)</f>
        <v>1</v>
      </c>
      <c r="N207" s="70" t="s">
        <v>3288</v>
      </c>
      <c r="O207" s="71">
        <f>IF(OR(I207=$A$1,I207=0),"",IF(N207=MappingTables!$C$14,VLOOKUP(J207,ModelParameters!$M$8:$N$15,2,FALSE),IF(N207=MappingTables!$C$16,VLOOKUP(J207,ModelParameters!$P$8:$Q$15,2,FALSE),0)))</f>
        <v>1</v>
      </c>
      <c r="P207" s="73">
        <f>IF(OR(I207=0,I207=$A$1),0,MIN(O207*M207,1)*K207)</f>
        <v>447.6242897944816</v>
      </c>
      <c r="Q207" s="73">
        <f>IF(B207="",0,IF(OR(H207=MappingTables!$C$34,H207=MappingTables!$C$35),P207,0))</f>
        <v>0</v>
      </c>
      <c r="R207" s="73">
        <f>IF(ISNA(IF(AND(VLOOKUP(CONCATENATE($D207,$G207),CSRFinput!$B:$E,4,0)=0,OR(H207=MappingTables!$C$31,H207=MappingTables!$C$32)),1,VLOOKUP(CONCATENATE($D207,$G207),CSRFinput!$B:$E,4,0))),0,IF(AND(VLOOKUP(CONCATENATE($D207,$G207),CSRFinput!$B:$E,4,0)=0,OR(H207=MappingTables!$C$31,H207=MappingTables!$C$32)),1,VLOOKUP(CONCATENATE($D207,$G207),CSRFinput!$B:$E,4,0)))</f>
        <v>0.054776304963434752</v>
      </c>
      <c r="S207" s="73">
        <f>IF(B207="",0,P207*R207)</f>
        <v>24.51920460682342</v>
      </c>
      <c r="T207" s="85">
        <f>IF(B207="",0,IF(OR(H207=MappingTables!$C$34,H207=MappingTables!$C$35),S207,0))</f>
        <v>0</v>
      </c>
    </row>
    <row r="208" spans="2:20" s="0" customFormat="0" ht="15">
      <c r="B208" s="69" t="s">
        <v>3618</v>
      </c>
      <c r="C208" s="70" t="s">
        <v>3619</v>
      </c>
      <c r="D208" s="70" t="s">
        <v>1</v>
      </c>
      <c r="E208" s="70" t="s">
        <v>1</v>
      </c>
      <c r="F208" s="70"/>
      <c r="G208" s="70" t="s">
        <v>61</v>
      </c>
      <c r="H208" s="70" t="s">
        <v>178</v>
      </c>
      <c r="I208" s="70" t="s">
        <v>204</v>
      </c>
      <c r="J208" s="71">
        <f>IF(OR(I208=0,I208=""),"unrated",VLOOKUP(I208,MappingTables!$B$19:$C$31,2,FALSE))</f>
        <v>6</v>
      </c>
      <c r="K208" s="72">
        <v>12.429945492800284</v>
      </c>
      <c r="L208" s="70">
        <v>0.06849570698333124</v>
      </c>
      <c r="M208" s="71">
        <f>IF(L208&lt;1,1,L208)</f>
        <v>1</v>
      </c>
      <c r="N208" s="70" t="s">
        <v>3288</v>
      </c>
      <c r="O208" s="71">
        <f>IF(OR(I208=$A$1,I208=0),"",IF(N208=MappingTables!$C$14,VLOOKUP(J208,ModelParameters!$M$8:$N$15,2,FALSE),IF(N208=MappingTables!$C$16,VLOOKUP(J208,ModelParameters!$P$8:$Q$15,2,FALSE),0)))</f>
        <v>1</v>
      </c>
      <c r="P208" s="73">
        <f>IF(OR(I208=0,I208=$A$1),0,MIN(O208*M208,1)*K208)</f>
        <v>12.429945492800284</v>
      </c>
      <c r="Q208" s="73">
        <f>IF(B208="",0,IF(OR(H208=MappingTables!$C$34,H208=MappingTables!$C$35),P208,0))</f>
        <v>0</v>
      </c>
      <c r="R208" s="73">
        <f>IF(ISNA(IF(AND(VLOOKUP(CONCATENATE($D208,$G208),CSRFinput!$B:$E,4,0)=0,OR(H208=MappingTables!$C$31,H208=MappingTables!$C$32)),1,VLOOKUP(CONCATENATE($D208,$G208),CSRFinput!$B:$E,4,0))),0,IF(AND(VLOOKUP(CONCATENATE($D208,$G208),CSRFinput!$B:$E,4,0)=0,OR(H208=MappingTables!$C$31,H208=MappingTables!$C$32)),1,VLOOKUP(CONCATENATE($D208,$G208),CSRFinput!$B:$E,4,0)))</f>
        <v>0.054776304963434752</v>
      </c>
      <c r="S208" s="73">
        <f>IF(B208="",0,P208*R208)</f>
        <v>0.68086648499249968</v>
      </c>
      <c r="T208" s="85">
        <f>IF(B208="",0,IF(OR(H208=MappingTables!$C$34,H208=MappingTables!$C$35),S208,0))</f>
        <v>0</v>
      </c>
    </row>
    <row r="209" spans="2:20" s="0" customFormat="0" ht="15">
      <c r="B209" s="69" t="s">
        <v>3620</v>
      </c>
      <c r="C209" s="70" t="s">
        <v>3621</v>
      </c>
      <c r="D209" s="70" t="s">
        <v>1</v>
      </c>
      <c r="E209" s="70" t="s">
        <v>1</v>
      </c>
      <c r="F209" s="70"/>
      <c r="G209" s="70" t="s">
        <v>61</v>
      </c>
      <c r="H209" s="70" t="s">
        <v>178</v>
      </c>
      <c r="I209" s="70" t="s">
        <v>204</v>
      </c>
      <c r="J209" s="71">
        <f>IF(OR(I209=0,I209=""),"unrated",VLOOKUP(I209,MappingTables!$B$19:$C$31,2,FALSE))</f>
        <v>6</v>
      </c>
      <c r="K209" s="72">
        <v>279.8683127917716</v>
      </c>
      <c r="L209" s="70">
        <v>0.076369013807325088</v>
      </c>
      <c r="M209" s="71">
        <f>IF(L209&lt;1,1,L209)</f>
        <v>1</v>
      </c>
      <c r="N209" s="70" t="s">
        <v>3288</v>
      </c>
      <c r="O209" s="71">
        <f>IF(OR(I209=$A$1,I209=0),"",IF(N209=MappingTables!$C$14,VLOOKUP(J209,ModelParameters!$M$8:$N$15,2,FALSE),IF(N209=MappingTables!$C$16,VLOOKUP(J209,ModelParameters!$P$8:$Q$15,2,FALSE),0)))</f>
        <v>1</v>
      </c>
      <c r="P209" s="73">
        <f>IF(OR(I209=0,I209=$A$1),0,MIN(O209*M209,1)*K209)</f>
        <v>279.8683127917716</v>
      </c>
      <c r="Q209" s="73">
        <f>IF(B209="",0,IF(OR(H209=MappingTables!$C$34,H209=MappingTables!$C$35),P209,0))</f>
        <v>0</v>
      </c>
      <c r="R209" s="73">
        <f>IF(ISNA(IF(AND(VLOOKUP(CONCATENATE($D209,$G209),CSRFinput!$B:$E,4,0)=0,OR(H209=MappingTables!$C$31,H209=MappingTables!$C$32)),1,VLOOKUP(CONCATENATE($D209,$G209),CSRFinput!$B:$E,4,0))),0,IF(AND(VLOOKUP(CONCATENATE($D209,$G209),CSRFinput!$B:$E,4,0)=0,OR(H209=MappingTables!$C$31,H209=MappingTables!$C$32)),1,VLOOKUP(CONCATENATE($D209,$G209),CSRFinput!$B:$E,4,0)))</f>
        <v>0.054776304963434752</v>
      </c>
      <c r="S209" s="73">
        <f>IF(B209="",0,P209*R209)</f>
        <v>15.330152051084028</v>
      </c>
      <c r="T209" s="85">
        <f>IF(B209="",0,IF(OR(H209=MappingTables!$C$34,H209=MappingTables!$C$35),S209,0))</f>
        <v>0</v>
      </c>
    </row>
    <row r="210" spans="2:20" s="0" customFormat="0" ht="15">
      <c r="B210" s="69">
        <v>20113237</v>
      </c>
      <c r="C210" s="70" t="s">
        <v>3622</v>
      </c>
      <c r="D210" s="70" t="s">
        <v>1</v>
      </c>
      <c r="E210" s="70" t="s">
        <v>1</v>
      </c>
      <c r="F210" s="70"/>
      <c r="G210" s="70" t="s">
        <v>61</v>
      </c>
      <c r="H210" s="70" t="s">
        <v>178</v>
      </c>
      <c r="I210" s="70" t="s">
        <v>216</v>
      </c>
      <c r="J210" s="71">
        <f>IF(OR(I210=0,I210=""),"unrated",VLOOKUP(I210,MappingTables!$B$19:$C$31,2,FALSE))</f>
        <v>0</v>
      </c>
      <c r="K210" s="72">
        <v>255.19103309238472</v>
      </c>
      <c r="L210" s="70">
        <v>0.06959627847486932</v>
      </c>
      <c r="M210" s="71">
        <f>IF(L210&lt;1,1,L210)</f>
        <v>1</v>
      </c>
      <c r="N210" s="70" t="s">
        <v>3288</v>
      </c>
      <c r="O210" s="71">
        <f>IF(OR(I210=$A$1,I210=0),"",IF(N210=MappingTables!$C$14,VLOOKUP(J210,ModelParameters!$M$8:$N$15,2,FALSE),IF(N210=MappingTables!$C$16,VLOOKUP(J210,ModelParameters!$P$8:$Q$15,2,FALSE),0)))</f>
        <v>0.125</v>
      </c>
      <c r="P210" s="73">
        <f>IF(OR(I210=0,I210=$A$1),0,MIN(O210*M210,1)*K210)</f>
        <v>31.898879136548088</v>
      </c>
      <c r="Q210" s="73">
        <f>IF(B210="",0,IF(OR(H210=MappingTables!$C$34,H210=MappingTables!$C$35),P210,0))</f>
        <v>0</v>
      </c>
      <c r="R210" s="73">
        <f>IF(ISNA(IF(AND(VLOOKUP(CONCATENATE($D210,$G210),CSRFinput!$B:$E,4,0)=0,OR(H210=MappingTables!$C$31,H210=MappingTables!$C$32)),1,VLOOKUP(CONCATENATE($D210,$G210),CSRFinput!$B:$E,4,0))),0,IF(AND(VLOOKUP(CONCATENATE($D210,$G210),CSRFinput!$B:$E,4,0)=0,OR(H210=MappingTables!$C$31,H210=MappingTables!$C$32)),1,VLOOKUP(CONCATENATE($D210,$G210),CSRFinput!$B:$E,4,0)))</f>
        <v>0.054776304963434752</v>
      </c>
      <c r="S210" s="73">
        <f>IF(B210="",0,P210*R210)</f>
        <v>1.7473027315753044</v>
      </c>
      <c r="T210" s="85">
        <f>IF(B210="",0,IF(OR(H210=MappingTables!$C$34,H210=MappingTables!$C$35),S210,0))</f>
        <v>0</v>
      </c>
    </row>
    <row r="211" spans="2:20" s="0" customFormat="0" ht="15">
      <c r="B211" s="69" t="s">
        <v>3623</v>
      </c>
      <c r="C211" s="70" t="s">
        <v>3624</v>
      </c>
      <c r="D211" s="70" t="s">
        <v>1</v>
      </c>
      <c r="E211" s="70" t="s">
        <v>1</v>
      </c>
      <c r="F211" s="70"/>
      <c r="G211" s="70" t="s">
        <v>61</v>
      </c>
      <c r="H211" s="70" t="s">
        <v>178</v>
      </c>
      <c r="I211" s="70" t="s">
        <v>204</v>
      </c>
      <c r="J211" s="71">
        <f>IF(OR(I211=0,I211=""),"unrated",VLOOKUP(I211,MappingTables!$B$19:$C$31,2,FALSE))</f>
        <v>6</v>
      </c>
      <c r="K211" s="72">
        <v>4245.6015939385216</v>
      </c>
      <c r="L211" s="70">
        <v>0.06849521850862844</v>
      </c>
      <c r="M211" s="71">
        <f>IF(L211&lt;1,1,L211)</f>
        <v>1</v>
      </c>
      <c r="N211" s="70" t="s">
        <v>3288</v>
      </c>
      <c r="O211" s="71">
        <f>IF(OR(I211=$A$1,I211=0),"",IF(N211=MappingTables!$C$14,VLOOKUP(J211,ModelParameters!$M$8:$N$15,2,FALSE),IF(N211=MappingTables!$C$16,VLOOKUP(J211,ModelParameters!$P$8:$Q$15,2,FALSE),0)))</f>
        <v>1</v>
      </c>
      <c r="P211" s="73">
        <f>IF(OR(I211=0,I211=$A$1),0,MIN(O211*M211,1)*K211)</f>
        <v>4245.6015939385216</v>
      </c>
      <c r="Q211" s="73">
        <f>IF(B211="",0,IF(OR(H211=MappingTables!$C$34,H211=MappingTables!$C$35),P211,0))</f>
        <v>0</v>
      </c>
      <c r="R211" s="73">
        <f>IF(ISNA(IF(AND(VLOOKUP(CONCATENATE($D211,$G211),CSRFinput!$B:$E,4,0)=0,OR(H211=MappingTables!$C$31,H211=MappingTables!$C$32)),1,VLOOKUP(CONCATENATE($D211,$G211),CSRFinput!$B:$E,4,0))),0,IF(AND(VLOOKUP(CONCATENATE($D211,$G211),CSRFinput!$B:$E,4,0)=0,OR(H211=MappingTables!$C$31,H211=MappingTables!$C$32)),1,VLOOKUP(CONCATENATE($D211,$G211),CSRFinput!$B:$E,4,0)))</f>
        <v>0.054776304963434752</v>
      </c>
      <c r="S211" s="73">
        <f>IF(B211="",0,P211*R211)</f>
        <v>232.55836766282112</v>
      </c>
      <c r="T211" s="85">
        <f>IF(B211="",0,IF(OR(H211=MappingTables!$C$34,H211=MappingTables!$C$35),S211,0))</f>
        <v>0</v>
      </c>
    </row>
    <row r="212" spans="2:20" s="0" customFormat="0" ht="15">
      <c r="B212" s="69" t="s">
        <v>3625</v>
      </c>
      <c r="C212" s="70" t="s">
        <v>3626</v>
      </c>
      <c r="D212" s="70" t="s">
        <v>1</v>
      </c>
      <c r="E212" s="70" t="s">
        <v>1</v>
      </c>
      <c r="F212" s="70"/>
      <c r="G212" s="70" t="s">
        <v>61</v>
      </c>
      <c r="H212" s="70" t="s">
        <v>178</v>
      </c>
      <c r="I212" s="70" t="s">
        <v>216</v>
      </c>
      <c r="J212" s="71">
        <f>IF(OR(I212=0,I212=""),"unrated",VLOOKUP(I212,MappingTables!$B$19:$C$31,2,FALSE))</f>
        <v>0</v>
      </c>
      <c r="K212" s="72">
        <v>363.31984255982784</v>
      </c>
      <c r="L212" s="70">
        <v>0.046577867372237272</v>
      </c>
      <c r="M212" s="71">
        <f>IF(L212&lt;1,1,L212)</f>
        <v>1</v>
      </c>
      <c r="N212" s="70" t="s">
        <v>3288</v>
      </c>
      <c r="O212" s="71">
        <f>IF(OR(I212=$A$1,I212=0),"",IF(N212=MappingTables!$C$14,VLOOKUP(J212,ModelParameters!$M$8:$N$15,2,FALSE),IF(N212=MappingTables!$C$16,VLOOKUP(J212,ModelParameters!$P$8:$Q$15,2,FALSE),0)))</f>
        <v>0.125</v>
      </c>
      <c r="P212" s="73">
        <f>IF(OR(I212=0,I212=$A$1),0,MIN(O212*M212,1)*K212)</f>
        <v>45.41498031997848</v>
      </c>
      <c r="Q212" s="73">
        <f>IF(B212="",0,IF(OR(H212=MappingTables!$C$34,H212=MappingTables!$C$35),P212,0))</f>
        <v>0</v>
      </c>
      <c r="R212" s="73">
        <f>IF(ISNA(IF(AND(VLOOKUP(CONCATENATE($D212,$G212),CSRFinput!$B:$E,4,0)=0,OR(H212=MappingTables!$C$31,H212=MappingTables!$C$32)),1,VLOOKUP(CONCATENATE($D212,$G212),CSRFinput!$B:$E,4,0))),0,IF(AND(VLOOKUP(CONCATENATE($D212,$G212),CSRFinput!$B:$E,4,0)=0,OR(H212=MappingTables!$C$31,H212=MappingTables!$C$32)),1,VLOOKUP(CONCATENATE($D212,$G212),CSRFinput!$B:$E,4,0)))</f>
        <v>0.054776304963434752</v>
      </c>
      <c r="S212" s="73">
        <f>IF(B212="",0,P212*R212)</f>
        <v>2.4876648119155292</v>
      </c>
      <c r="T212" s="85">
        <f>IF(B212="",0,IF(OR(H212=MappingTables!$C$34,H212=MappingTables!$C$35),S212,0))</f>
        <v>0</v>
      </c>
    </row>
    <row r="213" spans="2:20" s="0" customFormat="0" ht="15">
      <c r="B213" s="69" t="s">
        <v>3627</v>
      </c>
      <c r="C213" s="70" t="s">
        <v>3628</v>
      </c>
      <c r="D213" s="70" t="s">
        <v>1</v>
      </c>
      <c r="E213" s="70" t="s">
        <v>1</v>
      </c>
      <c r="F213" s="70"/>
      <c r="G213" s="70" t="s">
        <v>61</v>
      </c>
      <c r="H213" s="70" t="s">
        <v>178</v>
      </c>
      <c r="I213" s="70" t="s">
        <v>198</v>
      </c>
      <c r="J213" s="71" t="str">
        <f>IF(OR(I213=0,I213=""),"unrated",VLOOKUP(I213,MappingTables!$B$19:$C$31,2,FALSE))</f>
        <v>unrated</v>
      </c>
      <c r="K213" s="72">
        <v>63.146378821002384</v>
      </c>
      <c r="L213" s="70">
        <v>0.068490565100190592</v>
      </c>
      <c r="M213" s="71">
        <f>IF(L213&lt;1,1,L213)</f>
        <v>1</v>
      </c>
      <c r="N213" s="70" t="s">
        <v>3288</v>
      </c>
      <c r="O213" s="71">
        <f>IF(OR(I213=$A$1,I213=0),"",IF(N213=MappingTables!$C$14,VLOOKUP(J213,ModelParameters!$M$8:$N$15,2,FALSE),IF(N213=MappingTables!$C$16,VLOOKUP(J213,ModelParameters!$P$8:$Q$15,2,FALSE),0)))</f>
        <v>1</v>
      </c>
      <c r="P213" s="73">
        <f>IF(OR(I213=0,I213=$A$1),0,MIN(O213*M213,1)*K213)</f>
        <v>63.146378821002384</v>
      </c>
      <c r="Q213" s="73">
        <f>IF(B213="",0,IF(OR(H213=MappingTables!$C$34,H213=MappingTables!$C$35),P213,0))</f>
        <v>0</v>
      </c>
      <c r="R213" s="73">
        <f>IF(ISNA(IF(AND(VLOOKUP(CONCATENATE($D213,$G213),CSRFinput!$B:$E,4,0)=0,OR(H213=MappingTables!$C$31,H213=MappingTables!$C$32)),1,VLOOKUP(CONCATENATE($D213,$G213),CSRFinput!$B:$E,4,0))),0,IF(AND(VLOOKUP(CONCATENATE($D213,$G213),CSRFinput!$B:$E,4,0)=0,OR(H213=MappingTables!$C$31,H213=MappingTables!$C$32)),1,VLOOKUP(CONCATENATE($D213,$G213),CSRFinput!$B:$E,4,0)))</f>
        <v>0.054776304963434752</v>
      </c>
      <c r="S213" s="73">
        <f>IF(B213="",0,P213*R213)</f>
        <v>3.4589253036358044</v>
      </c>
      <c r="T213" s="85">
        <f>IF(B213="",0,IF(OR(H213=MappingTables!$C$34,H213=MappingTables!$C$35),S213,0))</f>
        <v>0</v>
      </c>
    </row>
    <row r="214" spans="2:20" s="0" customFormat="0" ht="15">
      <c r="B214" s="69" t="s">
        <v>3556</v>
      </c>
      <c r="C214" s="70" t="s">
        <v>3557</v>
      </c>
      <c r="D214" s="70" t="s">
        <v>1</v>
      </c>
      <c r="E214" s="70" t="s">
        <v>1</v>
      </c>
      <c r="F214" s="70"/>
      <c r="G214" s="70" t="s">
        <v>61</v>
      </c>
      <c r="H214" s="70" t="s">
        <v>178</v>
      </c>
      <c r="I214" s="70" t="s">
        <v>3298</v>
      </c>
      <c r="J214" s="71">
        <f>IF(OR(I214=0,I214=""),"unrated",VLOOKUP(I214,MappingTables!$B$19:$C$31,2,FALSE))</f>
        <v>6</v>
      </c>
      <c r="K214" s="72">
        <v>710.94447514105728</v>
      </c>
      <c r="L214" s="70">
        <v>-0.63624747524727352</v>
      </c>
      <c r="M214" s="71">
        <f>IF(L214&lt;1,1,L214)</f>
        <v>1</v>
      </c>
      <c r="N214" s="70" t="s">
        <v>3288</v>
      </c>
      <c r="O214" s="71">
        <f>IF(OR(I214=$A$1,I214=0),"",IF(N214=MappingTables!$C$14,VLOOKUP(J214,ModelParameters!$M$8:$N$15,2,FALSE),IF(N214=MappingTables!$C$16,VLOOKUP(J214,ModelParameters!$P$8:$Q$15,2,FALSE),0)))</f>
        <v>1</v>
      </c>
      <c r="P214" s="73">
        <f>IF(OR(I214=0,I214=$A$1),0,MIN(O214*M214,1)*K214)</f>
        <v>710.94447514105728</v>
      </c>
      <c r="Q214" s="73">
        <f>IF(B214="",0,IF(OR(H214=MappingTables!$C$34,H214=MappingTables!$C$35),P214,0))</f>
        <v>0</v>
      </c>
      <c r="R214" s="73">
        <f>IF(ISNA(IF(AND(VLOOKUP(CONCATENATE($D214,$G214),CSRFinput!$B:$E,4,0)=0,OR(H214=MappingTables!$C$31,H214=MappingTables!$C$32)),1,VLOOKUP(CONCATENATE($D214,$G214),CSRFinput!$B:$E,4,0))),0,IF(AND(VLOOKUP(CONCATENATE($D214,$G214),CSRFinput!$B:$E,4,0)=0,OR(H214=MappingTables!$C$31,H214=MappingTables!$C$32)),1,VLOOKUP(CONCATENATE($D214,$G214),CSRFinput!$B:$E,4,0)))</f>
        <v>0.054776304963434752</v>
      </c>
      <c r="S214" s="73">
        <f>IF(B214="",0,P214*R214)</f>
        <v>38.942911382395616</v>
      </c>
      <c r="T214" s="85">
        <f>IF(B214="",0,IF(OR(H214=MappingTables!$C$34,H214=MappingTables!$C$35),S214,0))</f>
        <v>0</v>
      </c>
    </row>
    <row r="215" spans="2:20" s="0" customFormat="0" ht="15">
      <c r="B215" s="69" t="s">
        <v>3629</v>
      </c>
      <c r="C215" s="70" t="s">
        <v>3630</v>
      </c>
      <c r="D215" s="70" t="s">
        <v>1</v>
      </c>
      <c r="E215" s="70" t="s">
        <v>1</v>
      </c>
      <c r="F215" s="70"/>
      <c r="G215" s="70" t="s">
        <v>61</v>
      </c>
      <c r="H215" s="70" t="s">
        <v>178</v>
      </c>
      <c r="I215" s="70" t="s">
        <v>198</v>
      </c>
      <c r="J215" s="71" t="str">
        <f>IF(OR(I215=0,I215=""),"unrated",VLOOKUP(I215,MappingTables!$B$19:$C$31,2,FALSE))</f>
        <v>unrated</v>
      </c>
      <c r="K215" s="72">
        <v>277.0634868958058</v>
      </c>
      <c r="L215" s="70">
        <v>5.1831395941544968</v>
      </c>
      <c r="M215" s="71">
        <f>IF(L215&lt;1,1,L215)</f>
        <v>5.1831395941544968</v>
      </c>
      <c r="N215" s="70" t="s">
        <v>3288</v>
      </c>
      <c r="O215" s="71">
        <f>IF(OR(I215=$A$1,I215=0),"",IF(N215=MappingTables!$C$14,VLOOKUP(J215,ModelParameters!$M$8:$N$15,2,FALSE),IF(N215=MappingTables!$C$16,VLOOKUP(J215,ModelParameters!$P$8:$Q$15,2,FALSE),0)))</f>
        <v>1</v>
      </c>
      <c r="P215" s="73">
        <f>IF(OR(I215=0,I215=$A$1),0,MIN(O215*M215,1)*K215)</f>
        <v>277.0634868958058</v>
      </c>
      <c r="Q215" s="73">
        <f>IF(B215="",0,IF(OR(H215=MappingTables!$C$34,H215=MappingTables!$C$35),P215,0))</f>
        <v>0</v>
      </c>
      <c r="R215" s="73">
        <f>IF(ISNA(IF(AND(VLOOKUP(CONCATENATE($D215,$G215),CSRFinput!$B:$E,4,0)=0,OR(H215=MappingTables!$C$31,H215=MappingTables!$C$32)),1,VLOOKUP(CONCATENATE($D215,$G215),CSRFinput!$B:$E,4,0))),0,IF(AND(VLOOKUP(CONCATENATE($D215,$G215),CSRFinput!$B:$E,4,0)=0,OR(H215=MappingTables!$C$31,H215=MappingTables!$C$32)),1,VLOOKUP(CONCATENATE($D215,$G215),CSRFinput!$B:$E,4,0)))</f>
        <v>0.054776304963434752</v>
      </c>
      <c r="S215" s="73">
        <f>IF(B215="",0,P215*R215)</f>
        <v>15.176514052437266</v>
      </c>
      <c r="T215" s="85">
        <f>IF(B215="",0,IF(OR(H215=MappingTables!$C$34,H215=MappingTables!$C$35),S215,0))</f>
        <v>0</v>
      </c>
    </row>
    <row r="216" spans="2:20" s="0" customFormat="0" ht="15">
      <c r="B216" s="69" t="s">
        <v>3631</v>
      </c>
      <c r="C216" s="70" t="s">
        <v>3632</v>
      </c>
      <c r="D216" s="70" t="s">
        <v>1</v>
      </c>
      <c r="E216" s="70" t="s">
        <v>1</v>
      </c>
      <c r="F216" s="70"/>
      <c r="G216" s="70" t="s">
        <v>61</v>
      </c>
      <c r="H216" s="70" t="s">
        <v>178</v>
      </c>
      <c r="I216" s="70" t="s">
        <v>188</v>
      </c>
      <c r="J216" s="71">
        <f>IF(OR(I216=0,I216=""),"unrated",VLOOKUP(I216,MappingTables!$B$19:$C$31,2,FALSE))</f>
        <v>2</v>
      </c>
      <c r="K216" s="72">
        <v>560.73294433114416</v>
      </c>
      <c r="L216" s="70">
        <v>0.068493138649754744</v>
      </c>
      <c r="M216" s="71">
        <f>IF(L216&lt;1,1,L216)</f>
        <v>1</v>
      </c>
      <c r="N216" s="70" t="s">
        <v>3288</v>
      </c>
      <c r="O216" s="71">
        <f>IF(OR(I216=$A$1,I216=0),"",IF(N216=MappingTables!$C$14,VLOOKUP(J216,ModelParameters!$M$8:$N$15,2,FALSE),IF(N216=MappingTables!$C$16,VLOOKUP(J216,ModelParameters!$P$8:$Q$15,2,FALSE),0)))</f>
        <v>0.166</v>
      </c>
      <c r="P216" s="73">
        <f>IF(OR(I216=0,I216=$A$1),0,MIN(O216*M216,1)*K216)</f>
        <v>93.081668758969936</v>
      </c>
      <c r="Q216" s="73">
        <f>IF(B216="",0,IF(OR(H216=MappingTables!$C$34,H216=MappingTables!$C$35),P216,0))</f>
        <v>0</v>
      </c>
      <c r="R216" s="73">
        <f>IF(ISNA(IF(AND(VLOOKUP(CONCATENATE($D216,$G216),CSRFinput!$B:$E,4,0)=0,OR(H216=MappingTables!$C$31,H216=MappingTables!$C$32)),1,VLOOKUP(CONCATENATE($D216,$G216),CSRFinput!$B:$E,4,0))),0,IF(AND(VLOOKUP(CONCATENATE($D216,$G216),CSRFinput!$B:$E,4,0)=0,OR(H216=MappingTables!$C$31,H216=MappingTables!$C$32)),1,VLOOKUP(CONCATENATE($D216,$G216),CSRFinput!$B:$E,4,0)))</f>
        <v>0.054776304963434752</v>
      </c>
      <c r="S216" s="73">
        <f>IF(B216="",0,P216*R216)</f>
        <v>5.0986698744467552</v>
      </c>
      <c r="T216" s="85">
        <f>IF(B216="",0,IF(OR(H216=MappingTables!$C$34,H216=MappingTables!$C$35),S216,0))</f>
        <v>0</v>
      </c>
    </row>
    <row r="217" spans="2:20" s="0" customFormat="0" ht="15">
      <c r="B217" s="69">
        <v>7065945</v>
      </c>
      <c r="C217" s="70" t="s">
        <v>3633</v>
      </c>
      <c r="D217" s="70" t="s">
        <v>1</v>
      </c>
      <c r="E217" s="70" t="s">
        <v>1</v>
      </c>
      <c r="F217" s="70"/>
      <c r="G217" s="70" t="s">
        <v>61</v>
      </c>
      <c r="H217" s="70" t="s">
        <v>178</v>
      </c>
      <c r="I217" s="70" t="s">
        <v>216</v>
      </c>
      <c r="J217" s="71">
        <f>IF(OR(I217=0,I217=""),"unrated",VLOOKUP(I217,MappingTables!$B$19:$C$31,2,FALSE))</f>
        <v>0</v>
      </c>
      <c r="K217" s="72">
        <v>14.420472490014768</v>
      </c>
      <c r="L217" s="70">
        <v>0.076901493022122864</v>
      </c>
      <c r="M217" s="71">
        <f>IF(L217&lt;1,1,L217)</f>
        <v>1</v>
      </c>
      <c r="N217" s="70" t="s">
        <v>3288</v>
      </c>
      <c r="O217" s="71">
        <f>IF(OR(I217=$A$1,I217=0),"",IF(N217=MappingTables!$C$14,VLOOKUP(J217,ModelParameters!$M$8:$N$15,2,FALSE),IF(N217=MappingTables!$C$16,VLOOKUP(J217,ModelParameters!$P$8:$Q$15,2,FALSE),0)))</f>
        <v>0.125</v>
      </c>
      <c r="P217" s="73">
        <f>IF(OR(I217=0,I217=$A$1),0,MIN(O217*M217,1)*K217)</f>
        <v>1.802559061251846</v>
      </c>
      <c r="Q217" s="73">
        <f>IF(B217="",0,IF(OR(H217=MappingTables!$C$34,H217=MappingTables!$C$35),P217,0))</f>
        <v>0</v>
      </c>
      <c r="R217" s="73">
        <f>IF(ISNA(IF(AND(VLOOKUP(CONCATENATE($D217,$G217),CSRFinput!$B:$E,4,0)=0,OR(H217=MappingTables!$C$31,H217=MappingTables!$C$32)),1,VLOOKUP(CONCATENATE($D217,$G217),CSRFinput!$B:$E,4,0))),0,IF(AND(VLOOKUP(CONCATENATE($D217,$G217),CSRFinput!$B:$E,4,0)=0,OR(H217=MappingTables!$C$31,H217=MappingTables!$C$32)),1,VLOOKUP(CONCATENATE($D217,$G217),CSRFinput!$B:$E,4,0)))</f>
        <v>0.054776304963434752</v>
      </c>
      <c r="S217" s="73">
        <f>IF(B217="",0,P217*R217)</f>
        <v>0.098737524853733792</v>
      </c>
      <c r="T217" s="85">
        <f>IF(B217="",0,IF(OR(H217=MappingTables!$C$34,H217=MappingTables!$C$35),S217,0))</f>
        <v>0</v>
      </c>
    </row>
    <row r="218" spans="2:20" s="0" customFormat="0" ht="15">
      <c r="B218" s="69">
        <v>15176542</v>
      </c>
      <c r="C218" s="70" t="s">
        <v>3634</v>
      </c>
      <c r="D218" s="70" t="s">
        <v>1</v>
      </c>
      <c r="E218" s="70" t="s">
        <v>1</v>
      </c>
      <c r="F218" s="70"/>
      <c r="G218" s="70" t="s">
        <v>61</v>
      </c>
      <c r="H218" s="70" t="s">
        <v>178</v>
      </c>
      <c r="I218" s="70" t="s">
        <v>216</v>
      </c>
      <c r="J218" s="71">
        <f>IF(OR(I218=0,I218=""),"unrated",VLOOKUP(I218,MappingTables!$B$19:$C$31,2,FALSE))</f>
        <v>0</v>
      </c>
      <c r="K218" s="72">
        <v>218.96546356797572</v>
      </c>
      <c r="L218" s="70">
        <v>0.029198209802761584</v>
      </c>
      <c r="M218" s="71">
        <f>IF(L218&lt;1,1,L218)</f>
        <v>1</v>
      </c>
      <c r="N218" s="70" t="s">
        <v>3288</v>
      </c>
      <c r="O218" s="71">
        <f>IF(OR(I218=$A$1,I218=0),"",IF(N218=MappingTables!$C$14,VLOOKUP(J218,ModelParameters!$M$8:$N$15,2,FALSE),IF(N218=MappingTables!$C$16,VLOOKUP(J218,ModelParameters!$P$8:$Q$15,2,FALSE),0)))</f>
        <v>0.125</v>
      </c>
      <c r="P218" s="73">
        <f>IF(OR(I218=0,I218=$A$1),0,MIN(O218*M218,1)*K218)</f>
        <v>27.370682945996964</v>
      </c>
      <c r="Q218" s="73">
        <f>IF(B218="",0,IF(OR(H218=MappingTables!$C$34,H218=MappingTables!$C$35),P218,0))</f>
        <v>0</v>
      </c>
      <c r="R218" s="73">
        <f>IF(ISNA(IF(AND(VLOOKUP(CONCATENATE($D218,$G218),CSRFinput!$B:$E,4,0)=0,OR(H218=MappingTables!$C$31,H218=MappingTables!$C$32)),1,VLOOKUP(CONCATENATE($D218,$G218),CSRFinput!$B:$E,4,0))),0,IF(AND(VLOOKUP(CONCATENATE($D218,$G218),CSRFinput!$B:$E,4,0)=0,OR(H218=MappingTables!$C$31,H218=MappingTables!$C$32)),1,VLOOKUP(CONCATENATE($D218,$G218),CSRFinput!$B:$E,4,0)))</f>
        <v>0.054776304963434752</v>
      </c>
      <c r="S218" s="73">
        <f>IF(B218="",0,P218*R218)</f>
        <v>1.4992648761074126</v>
      </c>
      <c r="T218" s="85">
        <f>IF(B218="",0,IF(OR(H218=MappingTables!$C$34,H218=MappingTables!$C$35),S218,0))</f>
        <v>0</v>
      </c>
    </row>
    <row r="219" spans="2:20" s="0" customFormat="0" ht="15">
      <c r="B219" s="69" t="s">
        <v>3635</v>
      </c>
      <c r="C219" s="70" t="s">
        <v>3636</v>
      </c>
      <c r="D219" s="70" t="s">
        <v>1</v>
      </c>
      <c r="E219" s="70" t="s">
        <v>1</v>
      </c>
      <c r="F219" s="70"/>
      <c r="G219" s="70" t="s">
        <v>61</v>
      </c>
      <c r="H219" s="70" t="s">
        <v>178</v>
      </c>
      <c r="I219" s="70" t="s">
        <v>3291</v>
      </c>
      <c r="J219" s="71">
        <f>IF(OR(I219=0,I219=""),"unrated",VLOOKUP(I219,MappingTables!$B$19:$C$31,2,FALSE))</f>
        <v>6</v>
      </c>
      <c r="K219" s="72">
        <v>829.5783542396808</v>
      </c>
      <c r="L219" s="70">
        <v>0.053983898345909904</v>
      </c>
      <c r="M219" s="71">
        <f>IF(L219&lt;1,1,L219)</f>
        <v>1</v>
      </c>
      <c r="N219" s="70" t="s">
        <v>3288</v>
      </c>
      <c r="O219" s="71">
        <f>IF(OR(I219=$A$1,I219=0),"",IF(N219=MappingTables!$C$14,VLOOKUP(J219,ModelParameters!$M$8:$N$15,2,FALSE),IF(N219=MappingTables!$C$16,VLOOKUP(J219,ModelParameters!$P$8:$Q$15,2,FALSE),0)))</f>
        <v>1</v>
      </c>
      <c r="P219" s="73">
        <f>IF(OR(I219=0,I219=$A$1),0,MIN(O219*M219,1)*K219)</f>
        <v>829.5783542396808</v>
      </c>
      <c r="Q219" s="73">
        <f>IF(B219="",0,IF(OR(H219=MappingTables!$C$34,H219=MappingTables!$C$35),P219,0))</f>
        <v>0</v>
      </c>
      <c r="R219" s="73">
        <f>IF(ISNA(IF(AND(VLOOKUP(CONCATENATE($D219,$G219),CSRFinput!$B:$E,4,0)=0,OR(H219=MappingTables!$C$31,H219=MappingTables!$C$32)),1,VLOOKUP(CONCATENATE($D219,$G219),CSRFinput!$B:$E,4,0))),0,IF(AND(VLOOKUP(CONCATENATE($D219,$G219),CSRFinput!$B:$E,4,0)=0,OR(H219=MappingTables!$C$31,H219=MappingTables!$C$32)),1,VLOOKUP(CONCATENATE($D219,$G219),CSRFinput!$B:$E,4,0)))</f>
        <v>0.054776304963434752</v>
      </c>
      <c r="S219" s="73">
        <f>IF(B219="",0,P219*R219)</f>
        <v>45.441236922897056</v>
      </c>
      <c r="T219" s="85">
        <f>IF(B219="",0,IF(OR(H219=MappingTables!$C$34,H219=MappingTables!$C$35),S219,0))</f>
        <v>0</v>
      </c>
    </row>
    <row r="220" spans="2:20" s="0" customFormat="0" ht="15">
      <c r="B220" s="69">
        <v>1551572</v>
      </c>
      <c r="C220" s="70" t="s">
        <v>3637</v>
      </c>
      <c r="D220" s="70" t="s">
        <v>1</v>
      </c>
      <c r="E220" s="70" t="s">
        <v>1</v>
      </c>
      <c r="F220" s="70"/>
      <c r="G220" s="70" t="s">
        <v>61</v>
      </c>
      <c r="H220" s="70" t="s">
        <v>178</v>
      </c>
      <c r="I220" s="70" t="s">
        <v>198</v>
      </c>
      <c r="J220" s="71" t="str">
        <f>IF(OR(I220=0,I220=""),"unrated",VLOOKUP(I220,MappingTables!$B$19:$C$31,2,FALSE))</f>
        <v>unrated</v>
      </c>
      <c r="K220" s="72">
        <v>84.684301884811344</v>
      </c>
      <c r="L220" s="70">
        <v>0.068497462276298896</v>
      </c>
      <c r="M220" s="71">
        <f>IF(L220&lt;1,1,L220)</f>
        <v>1</v>
      </c>
      <c r="N220" s="70" t="s">
        <v>3288</v>
      </c>
      <c r="O220" s="71">
        <f>IF(OR(I220=$A$1,I220=0),"",IF(N220=MappingTables!$C$14,VLOOKUP(J220,ModelParameters!$M$8:$N$15,2,FALSE),IF(N220=MappingTables!$C$16,VLOOKUP(J220,ModelParameters!$P$8:$Q$15,2,FALSE),0)))</f>
        <v>1</v>
      </c>
      <c r="P220" s="73">
        <f>IF(OR(I220=0,I220=$A$1),0,MIN(O220*M220,1)*K220)</f>
        <v>84.684301884811344</v>
      </c>
      <c r="Q220" s="73">
        <f>IF(B220="",0,IF(OR(H220=MappingTables!$C$34,H220=MappingTables!$C$35),P220,0))</f>
        <v>0</v>
      </c>
      <c r="R220" s="73">
        <f>IF(ISNA(IF(AND(VLOOKUP(CONCATENATE($D220,$G220),CSRFinput!$B:$E,4,0)=0,OR(H220=MappingTables!$C$31,H220=MappingTables!$C$32)),1,VLOOKUP(CONCATENATE($D220,$G220),CSRFinput!$B:$E,4,0))),0,IF(AND(VLOOKUP(CONCATENATE($D220,$G220),CSRFinput!$B:$E,4,0)=0,OR(H220=MappingTables!$C$31,H220=MappingTables!$C$32)),1,VLOOKUP(CONCATENATE($D220,$G220),CSRFinput!$B:$E,4,0)))</f>
        <v>0.054776304963434752</v>
      </c>
      <c r="S220" s="73">
        <f>IF(B220="",0,P220*R220)</f>
        <v>4.6386931456579984</v>
      </c>
      <c r="T220" s="85">
        <f>IF(B220="",0,IF(OR(H220=MappingTables!$C$34,H220=MappingTables!$C$35),S220,0))</f>
        <v>0</v>
      </c>
    </row>
    <row r="221" spans="2:20" s="0" customFormat="0" ht="15">
      <c r="B221" s="69">
        <v>1551579</v>
      </c>
      <c r="C221" s="70" t="s">
        <v>3638</v>
      </c>
      <c r="D221" s="70" t="s">
        <v>1</v>
      </c>
      <c r="E221" s="70" t="s">
        <v>1</v>
      </c>
      <c r="F221" s="70"/>
      <c r="G221" s="70" t="s">
        <v>61</v>
      </c>
      <c r="H221" s="70" t="s">
        <v>178</v>
      </c>
      <c r="I221" s="70" t="s">
        <v>198</v>
      </c>
      <c r="J221" s="71" t="str">
        <f>IF(OR(I221=0,I221=""),"unrated",VLOOKUP(I221,MappingTables!$B$19:$C$31,2,FALSE))</f>
        <v>unrated</v>
      </c>
      <c r="K221" s="72">
        <v>5.2477433056286744</v>
      </c>
      <c r="L221" s="70">
        <v>0.068489750201023352</v>
      </c>
      <c r="M221" s="71">
        <f>IF(L221&lt;1,1,L221)</f>
        <v>1</v>
      </c>
      <c r="N221" s="70" t="s">
        <v>3288</v>
      </c>
      <c r="O221" s="71">
        <f>IF(OR(I221=$A$1,I221=0),"",IF(N221=MappingTables!$C$14,VLOOKUP(J221,ModelParameters!$M$8:$N$15,2,FALSE),IF(N221=MappingTables!$C$16,VLOOKUP(J221,ModelParameters!$P$8:$Q$15,2,FALSE),0)))</f>
        <v>1</v>
      </c>
      <c r="P221" s="73">
        <f>IF(OR(I221=0,I221=$A$1),0,MIN(O221*M221,1)*K221)</f>
        <v>5.2477433056286744</v>
      </c>
      <c r="Q221" s="73">
        <f>IF(B221="",0,IF(OR(H221=MappingTables!$C$34,H221=MappingTables!$C$35),P221,0))</f>
        <v>0</v>
      </c>
      <c r="R221" s="73">
        <f>IF(ISNA(IF(AND(VLOOKUP(CONCATENATE($D221,$G221),CSRFinput!$B:$E,4,0)=0,OR(H221=MappingTables!$C$31,H221=MappingTables!$C$32)),1,VLOOKUP(CONCATENATE($D221,$G221),CSRFinput!$B:$E,4,0))),0,IF(AND(VLOOKUP(CONCATENATE($D221,$G221),CSRFinput!$B:$E,4,0)=0,OR(H221=MappingTables!$C$31,H221=MappingTables!$C$32)),1,VLOOKUP(CONCATENATE($D221,$G221),CSRFinput!$B:$E,4,0)))</f>
        <v>0.054776304963434752</v>
      </c>
      <c r="S221" s="73">
        <f>IF(B221="",0,P221*R221)</f>
        <v>0.28745198767893944</v>
      </c>
      <c r="T221" s="85">
        <f>IF(B221="",0,IF(OR(H221=MappingTables!$C$34,H221=MappingTables!$C$35),S221,0))</f>
        <v>0</v>
      </c>
    </row>
    <row r="222" spans="2:20" s="0" customFormat="0" ht="15">
      <c r="B222" s="69" t="s">
        <v>3434</v>
      </c>
      <c r="C222" s="70" t="s">
        <v>3435</v>
      </c>
      <c r="D222" s="70" t="s">
        <v>1</v>
      </c>
      <c r="E222" s="70" t="s">
        <v>1</v>
      </c>
      <c r="F222" s="70"/>
      <c r="G222" s="70" t="s">
        <v>61</v>
      </c>
      <c r="H222" s="70" t="s">
        <v>178</v>
      </c>
      <c r="I222" s="70" t="s">
        <v>198</v>
      </c>
      <c r="J222" s="71" t="str">
        <f>IF(OR(I222=0,I222=""),"unrated",VLOOKUP(I222,MappingTables!$B$19:$C$31,2,FALSE))</f>
        <v>unrated</v>
      </c>
      <c r="K222" s="72">
        <v>6.0401375031814016</v>
      </c>
      <c r="L222" s="70">
        <v>0.06849629216931284</v>
      </c>
      <c r="M222" s="71">
        <f>IF(L222&lt;1,1,L222)</f>
        <v>1</v>
      </c>
      <c r="N222" s="70" t="s">
        <v>3288</v>
      </c>
      <c r="O222" s="71">
        <f>IF(OR(I222=$A$1,I222=0),"",IF(N222=MappingTables!$C$14,VLOOKUP(J222,ModelParameters!$M$8:$N$15,2,FALSE),IF(N222=MappingTables!$C$16,VLOOKUP(J222,ModelParameters!$P$8:$Q$15,2,FALSE),0)))</f>
        <v>1</v>
      </c>
      <c r="P222" s="73">
        <f>IF(OR(I222=0,I222=$A$1),0,MIN(O222*M222,1)*K222)</f>
        <v>6.0401375031814016</v>
      </c>
      <c r="Q222" s="73">
        <f>IF(B222="",0,IF(OR(H222=MappingTables!$C$34,H222=MappingTables!$C$35),P222,0))</f>
        <v>0</v>
      </c>
      <c r="R222" s="73">
        <f>IF(ISNA(IF(AND(VLOOKUP(CONCATENATE($D222,$G222),CSRFinput!$B:$E,4,0)=0,OR(H222=MappingTables!$C$31,H222=MappingTables!$C$32)),1,VLOOKUP(CONCATENATE($D222,$G222),CSRFinput!$B:$E,4,0))),0,IF(AND(VLOOKUP(CONCATENATE($D222,$G222),CSRFinput!$B:$E,4,0)=0,OR(H222=MappingTables!$C$31,H222=MappingTables!$C$32)),1,VLOOKUP(CONCATENATE($D222,$G222),CSRFinput!$B:$E,4,0)))</f>
        <v>0.054776304963434752</v>
      </c>
      <c r="S222" s="73">
        <f>IF(B222="",0,P222*R222)</f>
        <v>0.3308564138953438</v>
      </c>
      <c r="T222" s="85">
        <f>IF(B222="",0,IF(OR(H222=MappingTables!$C$34,H222=MappingTables!$C$35),S222,0))</f>
        <v>0</v>
      </c>
    </row>
    <row r="223" spans="2:20" s="0" customFormat="0" ht="15">
      <c r="B223" s="69">
        <v>19863502</v>
      </c>
      <c r="C223" s="70" t="s">
        <v>3639</v>
      </c>
      <c r="D223" s="70" t="s">
        <v>1</v>
      </c>
      <c r="E223" s="70" t="s">
        <v>1</v>
      </c>
      <c r="F223" s="70"/>
      <c r="G223" s="70" t="s">
        <v>61</v>
      </c>
      <c r="H223" s="70" t="s">
        <v>178</v>
      </c>
      <c r="I223" s="70" t="s">
        <v>216</v>
      </c>
      <c r="J223" s="71">
        <f>IF(OR(I223=0,I223=""),"unrated",VLOOKUP(I223,MappingTables!$B$19:$C$31,2,FALSE))</f>
        <v>0</v>
      </c>
      <c r="K223" s="72">
        <v>497.0295162723016</v>
      </c>
      <c r="L223" s="70">
        <v>0.082172976249998592</v>
      </c>
      <c r="M223" s="71">
        <f>IF(L223&lt;1,1,L223)</f>
        <v>1</v>
      </c>
      <c r="N223" s="70" t="s">
        <v>3288</v>
      </c>
      <c r="O223" s="71">
        <f>IF(OR(I223=$A$1,I223=0),"",IF(N223=MappingTables!$C$14,VLOOKUP(J223,ModelParameters!$M$8:$N$15,2,FALSE),IF(N223=MappingTables!$C$16,VLOOKUP(J223,ModelParameters!$P$8:$Q$15,2,FALSE),0)))</f>
        <v>0.125</v>
      </c>
      <c r="P223" s="73">
        <f>IF(OR(I223=0,I223=$A$1),0,MIN(O223*M223,1)*K223)</f>
        <v>62.128689534037696</v>
      </c>
      <c r="Q223" s="73">
        <f>IF(B223="",0,IF(OR(H223=MappingTables!$C$34,H223=MappingTables!$C$35),P223,0))</f>
        <v>0</v>
      </c>
      <c r="R223" s="73">
        <f>IF(ISNA(IF(AND(VLOOKUP(CONCATENATE($D223,$G223),CSRFinput!$B:$E,4,0)=0,OR(H223=MappingTables!$C$31,H223=MappingTables!$C$32)),1,VLOOKUP(CONCATENATE($D223,$G223),CSRFinput!$B:$E,4,0))),0,IF(AND(VLOOKUP(CONCATENATE($D223,$G223),CSRFinput!$B:$E,4,0)=0,OR(H223=MappingTables!$C$31,H223=MappingTables!$C$32)),1,VLOOKUP(CONCATENATE($D223,$G223),CSRFinput!$B:$E,4,0)))</f>
        <v>0.054776304963434752</v>
      </c>
      <c r="S223" s="73">
        <f>IF(B223="",0,P223*R223)</f>
        <v>3.403180044895006</v>
      </c>
      <c r="T223" s="85">
        <f>IF(B223="",0,IF(OR(H223=MappingTables!$C$34,H223=MappingTables!$C$35),S223,0))</f>
        <v>0</v>
      </c>
    </row>
    <row r="224" spans="2:20" s="0" customFormat="0" ht="15">
      <c r="B224" s="69" t="s">
        <v>3640</v>
      </c>
      <c r="C224" s="70" t="s">
        <v>3641</v>
      </c>
      <c r="D224" s="70" t="s">
        <v>1</v>
      </c>
      <c r="E224" s="70" t="s">
        <v>1</v>
      </c>
      <c r="F224" s="70"/>
      <c r="G224" s="70" t="s">
        <v>61</v>
      </c>
      <c r="H224" s="70" t="s">
        <v>178</v>
      </c>
      <c r="I224" s="70" t="s">
        <v>216</v>
      </c>
      <c r="J224" s="71">
        <f>IF(OR(I224=0,I224=""),"unrated",VLOOKUP(I224,MappingTables!$B$19:$C$31,2,FALSE))</f>
        <v>0</v>
      </c>
      <c r="K224" s="72">
        <v>265.04962729930556</v>
      </c>
      <c r="L224" s="70">
        <v>-1.9050917767796912</v>
      </c>
      <c r="M224" s="71">
        <f>IF(L224&lt;1,1,L224)</f>
        <v>1</v>
      </c>
      <c r="N224" s="70" t="s">
        <v>3288</v>
      </c>
      <c r="O224" s="71">
        <f>IF(OR(I224=$A$1,I224=0),"",IF(N224=MappingTables!$C$14,VLOOKUP(J224,ModelParameters!$M$8:$N$15,2,FALSE),IF(N224=MappingTables!$C$16,VLOOKUP(J224,ModelParameters!$P$8:$Q$15,2,FALSE),0)))</f>
        <v>0.125</v>
      </c>
      <c r="P224" s="73">
        <f>IF(OR(I224=0,I224=$A$1),0,MIN(O224*M224,1)*K224)</f>
        <v>33.131203412413192</v>
      </c>
      <c r="Q224" s="73">
        <f>IF(B224="",0,IF(OR(H224=MappingTables!$C$34,H224=MappingTables!$C$35),P224,0))</f>
        <v>0</v>
      </c>
      <c r="R224" s="73">
        <f>IF(ISNA(IF(AND(VLOOKUP(CONCATENATE($D224,$G224),CSRFinput!$B:$E,4,0)=0,OR(H224=MappingTables!$C$31,H224=MappingTables!$C$32)),1,VLOOKUP(CONCATENATE($D224,$G224),CSRFinput!$B:$E,4,0))),0,IF(AND(VLOOKUP(CONCATENATE($D224,$G224),CSRFinput!$B:$E,4,0)=0,OR(H224=MappingTables!$C$31,H224=MappingTables!$C$32)),1,VLOOKUP(CONCATENATE($D224,$G224),CSRFinput!$B:$E,4,0)))</f>
        <v>0.054776304963434752</v>
      </c>
      <c r="S224" s="73">
        <f>IF(B224="",0,P224*R224)</f>
        <v>1.8148049019239352</v>
      </c>
      <c r="T224" s="85">
        <f>IF(B224="",0,IF(OR(H224=MappingTables!$C$34,H224=MappingTables!$C$35),S224,0))</f>
        <v>0</v>
      </c>
    </row>
    <row r="225" spans="2:20" s="0" customFormat="0" ht="15">
      <c r="B225" s="69" t="s">
        <v>3642</v>
      </c>
      <c r="C225" s="70" t="s">
        <v>3643</v>
      </c>
      <c r="D225" s="70" t="s">
        <v>1</v>
      </c>
      <c r="E225" s="70" t="s">
        <v>1</v>
      </c>
      <c r="F225" s="70"/>
      <c r="G225" s="70" t="s">
        <v>61</v>
      </c>
      <c r="H225" s="70" t="s">
        <v>178</v>
      </c>
      <c r="I225" s="70" t="s">
        <v>198</v>
      </c>
      <c r="J225" s="71" t="str">
        <f>IF(OR(I225=0,I225=""),"unrated",VLOOKUP(I225,MappingTables!$B$19:$C$31,2,FALSE))</f>
        <v>unrated</v>
      </c>
      <c r="K225" s="72">
        <v>58.990082617245472</v>
      </c>
      <c r="L225" s="70">
        <v>0.06887294004823924</v>
      </c>
      <c r="M225" s="71">
        <f>IF(L225&lt;1,1,L225)</f>
        <v>1</v>
      </c>
      <c r="N225" s="70" t="s">
        <v>3288</v>
      </c>
      <c r="O225" s="71">
        <f>IF(OR(I225=$A$1,I225=0),"",IF(N225=MappingTables!$C$14,VLOOKUP(J225,ModelParameters!$M$8:$N$15,2,FALSE),IF(N225=MappingTables!$C$16,VLOOKUP(J225,ModelParameters!$P$8:$Q$15,2,FALSE),0)))</f>
        <v>1</v>
      </c>
      <c r="P225" s="73">
        <f>IF(OR(I225=0,I225=$A$1),0,MIN(O225*M225,1)*K225)</f>
        <v>58.990082617245472</v>
      </c>
      <c r="Q225" s="73">
        <f>IF(B225="",0,IF(OR(H225=MappingTables!$C$34,H225=MappingTables!$C$35),P225,0))</f>
        <v>0</v>
      </c>
      <c r="R225" s="73">
        <f>IF(ISNA(IF(AND(VLOOKUP(CONCATENATE($D225,$G225),CSRFinput!$B:$E,4,0)=0,OR(H225=MappingTables!$C$31,H225=MappingTables!$C$32)),1,VLOOKUP(CONCATENATE($D225,$G225),CSRFinput!$B:$E,4,0))),0,IF(AND(VLOOKUP(CONCATENATE($D225,$G225),CSRFinput!$B:$E,4,0)=0,OR(H225=MappingTables!$C$31,H225=MappingTables!$C$32)),1,VLOOKUP(CONCATENATE($D225,$G225),CSRFinput!$B:$E,4,0)))</f>
        <v>0.054776304963434752</v>
      </c>
      <c r="S225" s="73">
        <f>IF(B225="",0,P225*R225)</f>
        <v>3.2312587552604492</v>
      </c>
      <c r="T225" s="85">
        <f>IF(B225="",0,IF(OR(H225=MappingTables!$C$34,H225=MappingTables!$C$35),S225,0))</f>
        <v>0</v>
      </c>
    </row>
    <row r="226" spans="2:20" s="0" customFormat="0" ht="15">
      <c r="B226" s="69" t="s">
        <v>3644</v>
      </c>
      <c r="C226" s="70" t="s">
        <v>3645</v>
      </c>
      <c r="D226" s="70" t="s">
        <v>1</v>
      </c>
      <c r="E226" s="70" t="s">
        <v>1</v>
      </c>
      <c r="F226" s="70"/>
      <c r="G226" s="70" t="s">
        <v>61</v>
      </c>
      <c r="H226" s="70" t="s">
        <v>178</v>
      </c>
      <c r="I226" s="70" t="s">
        <v>184</v>
      </c>
      <c r="J226" s="71">
        <f>IF(OR(I226=0,I226=""),"unrated",VLOOKUP(I226,MappingTables!$B$19:$C$31,2,FALSE))</f>
        <v>5</v>
      </c>
      <c r="K226" s="72">
        <v>88.372077587429808</v>
      </c>
      <c r="L226" s="70">
        <v>0.068492920109696504</v>
      </c>
      <c r="M226" s="71">
        <f>IF(L226&lt;1,1,L226)</f>
        <v>1</v>
      </c>
      <c r="N226" s="70" t="s">
        <v>3288</v>
      </c>
      <c r="O226" s="71">
        <f>IF(OR(I226=$A$1,I226=0),"",IF(N226=MappingTables!$C$14,VLOOKUP(J226,ModelParameters!$M$8:$N$15,2,FALSE),IF(N226=MappingTables!$C$16,VLOOKUP(J226,ModelParameters!$P$8:$Q$15,2,FALSE),0)))</f>
        <v>1</v>
      </c>
      <c r="P226" s="73">
        <f>IF(OR(I226=0,I226=$A$1),0,MIN(O226*M226,1)*K226)</f>
        <v>88.372077587429808</v>
      </c>
      <c r="Q226" s="73">
        <f>IF(B226="",0,IF(OR(H226=MappingTables!$C$34,H226=MappingTables!$C$35),P226,0))</f>
        <v>0</v>
      </c>
      <c r="R226" s="73">
        <f>IF(ISNA(IF(AND(VLOOKUP(CONCATENATE($D226,$G226),CSRFinput!$B:$E,4,0)=0,OR(H226=MappingTables!$C$31,H226=MappingTables!$C$32)),1,VLOOKUP(CONCATENATE($D226,$G226),CSRFinput!$B:$E,4,0))),0,IF(AND(VLOOKUP(CONCATENATE($D226,$G226),CSRFinput!$B:$E,4,0)=0,OR(H226=MappingTables!$C$31,H226=MappingTables!$C$32)),1,VLOOKUP(CONCATENATE($D226,$G226),CSRFinput!$B:$E,4,0)))</f>
        <v>0.054776304963434752</v>
      </c>
      <c r="S226" s="73">
        <f>IF(B226="",0,P226*R226)</f>
        <v>4.8406958721813728</v>
      </c>
      <c r="T226" s="85">
        <f>IF(B226="",0,IF(OR(H226=MappingTables!$C$34,H226=MappingTables!$C$35),S226,0))</f>
        <v>0</v>
      </c>
    </row>
    <row r="227" spans="2:20" s="0" customFormat="0" ht="15">
      <c r="B227" s="69" t="s">
        <v>3646</v>
      </c>
      <c r="C227" s="70" t="s">
        <v>3647</v>
      </c>
      <c r="D227" s="70" t="s">
        <v>1</v>
      </c>
      <c r="E227" s="70" t="s">
        <v>1</v>
      </c>
      <c r="F227" s="70"/>
      <c r="G227" s="70" t="s">
        <v>61</v>
      </c>
      <c r="H227" s="70" t="s">
        <v>178</v>
      </c>
      <c r="I227" s="70" t="s">
        <v>204</v>
      </c>
      <c r="J227" s="71">
        <f>IF(OR(I227=0,I227=""),"unrated",VLOOKUP(I227,MappingTables!$B$19:$C$31,2,FALSE))</f>
        <v>6</v>
      </c>
      <c r="K227" s="72">
        <v>828.97782068057728</v>
      </c>
      <c r="L227" s="70">
        <v>0.06849483072289364</v>
      </c>
      <c r="M227" s="71">
        <f>IF(L227&lt;1,1,L227)</f>
        <v>1</v>
      </c>
      <c r="N227" s="70" t="s">
        <v>3288</v>
      </c>
      <c r="O227" s="71">
        <f>IF(OR(I227=$A$1,I227=0),"",IF(N227=MappingTables!$C$14,VLOOKUP(J227,ModelParameters!$M$8:$N$15,2,FALSE),IF(N227=MappingTables!$C$16,VLOOKUP(J227,ModelParameters!$P$8:$Q$15,2,FALSE),0)))</f>
        <v>1</v>
      </c>
      <c r="P227" s="73">
        <f>IF(OR(I227=0,I227=$A$1),0,MIN(O227*M227,1)*K227)</f>
        <v>828.97782068057728</v>
      </c>
      <c r="Q227" s="73">
        <f>IF(B227="",0,IF(OR(H227=MappingTables!$C$34,H227=MappingTables!$C$35),P227,0))</f>
        <v>0</v>
      </c>
      <c r="R227" s="73">
        <f>IF(ISNA(IF(AND(VLOOKUP(CONCATENATE($D227,$G227),CSRFinput!$B:$E,4,0)=0,OR(H227=MappingTables!$C$31,H227=MappingTables!$C$32)),1,VLOOKUP(CONCATENATE($D227,$G227),CSRFinput!$B:$E,4,0))),0,IF(AND(VLOOKUP(CONCATENATE($D227,$G227),CSRFinput!$B:$E,4,0)=0,OR(H227=MappingTables!$C$31,H227=MappingTables!$C$32)),1,VLOOKUP(CONCATENATE($D227,$G227),CSRFinput!$B:$E,4,0)))</f>
        <v>0.054776304963434752</v>
      </c>
      <c r="S227" s="73">
        <f>IF(B227="",0,P227*R227)</f>
        <v>45.408341913522832</v>
      </c>
      <c r="T227" s="85">
        <f>IF(B227="",0,IF(OR(H227=MappingTables!$C$34,H227=MappingTables!$C$35),S227,0))</f>
        <v>0</v>
      </c>
    </row>
    <row r="228" spans="2:20" s="0" customFormat="0" ht="15">
      <c r="B228" s="69" t="s">
        <v>3648</v>
      </c>
      <c r="C228" s="70" t="s">
        <v>3649</v>
      </c>
      <c r="D228" s="70" t="s">
        <v>1</v>
      </c>
      <c r="E228" s="70" t="s">
        <v>1</v>
      </c>
      <c r="F228" s="70"/>
      <c r="G228" s="70" t="s">
        <v>61</v>
      </c>
      <c r="H228" s="70" t="s">
        <v>178</v>
      </c>
      <c r="I228" s="70" t="s">
        <v>3298</v>
      </c>
      <c r="J228" s="71">
        <f>IF(OR(I228=0,I228=""),"unrated",VLOOKUP(I228,MappingTables!$B$19:$C$31,2,FALSE))</f>
        <v>6</v>
      </c>
      <c r="K228" s="72">
        <v>2601.1090640221292</v>
      </c>
      <c r="L228" s="70">
        <v>-0.321889652060202</v>
      </c>
      <c r="M228" s="71">
        <f>IF(L228&lt;1,1,L228)</f>
        <v>1</v>
      </c>
      <c r="N228" s="70" t="s">
        <v>3288</v>
      </c>
      <c r="O228" s="71">
        <f>IF(OR(I228=$A$1,I228=0),"",IF(N228=MappingTables!$C$14,VLOOKUP(J228,ModelParameters!$M$8:$N$15,2,FALSE),IF(N228=MappingTables!$C$16,VLOOKUP(J228,ModelParameters!$P$8:$Q$15,2,FALSE),0)))</f>
        <v>1</v>
      </c>
      <c r="P228" s="73">
        <f>IF(OR(I228=0,I228=$A$1),0,MIN(O228*M228,1)*K228)</f>
        <v>2601.1090640221292</v>
      </c>
      <c r="Q228" s="73">
        <f>IF(B228="",0,IF(OR(H228=MappingTables!$C$34,H228=MappingTables!$C$35),P228,0))</f>
        <v>0</v>
      </c>
      <c r="R228" s="73">
        <f>IF(ISNA(IF(AND(VLOOKUP(CONCATENATE($D228,$G228),CSRFinput!$B:$E,4,0)=0,OR(H228=MappingTables!$C$31,H228=MappingTables!$C$32)),1,VLOOKUP(CONCATENATE($D228,$G228),CSRFinput!$B:$E,4,0))),0,IF(AND(VLOOKUP(CONCATENATE($D228,$G228),CSRFinput!$B:$E,4,0)=0,OR(H228=MappingTables!$C$31,H228=MappingTables!$C$32)),1,VLOOKUP(CONCATENATE($D228,$G228),CSRFinput!$B:$E,4,0)))</f>
        <v>0.054776304963434752</v>
      </c>
      <c r="S228" s="73">
        <f>IF(B228="",0,P228*R228)</f>
        <v>142.47914333403048</v>
      </c>
      <c r="T228" s="85">
        <f>IF(B228="",0,IF(OR(H228=MappingTables!$C$34,H228=MappingTables!$C$35),S228,0))</f>
        <v>0</v>
      </c>
    </row>
    <row r="229" spans="2:20" s="0" customFormat="0" ht="15">
      <c r="B229" s="69" t="s">
        <v>3561</v>
      </c>
      <c r="C229" s="70" t="s">
        <v>3562</v>
      </c>
      <c r="D229" s="70" t="s">
        <v>1</v>
      </c>
      <c r="E229" s="70" t="s">
        <v>1</v>
      </c>
      <c r="F229" s="70"/>
      <c r="G229" s="70" t="s">
        <v>61</v>
      </c>
      <c r="H229" s="70" t="s">
        <v>178</v>
      </c>
      <c r="I229" s="70" t="s">
        <v>204</v>
      </c>
      <c r="J229" s="71">
        <f>IF(OR(I229=0,I229=""),"unrated",VLOOKUP(I229,MappingTables!$B$19:$C$31,2,FALSE))</f>
        <v>6</v>
      </c>
      <c r="K229" s="72">
        <v>175.8784771308358</v>
      </c>
      <c r="L229" s="70">
        <v>0.068495825632622784</v>
      </c>
      <c r="M229" s="71">
        <f>IF(L229&lt;1,1,L229)</f>
        <v>1</v>
      </c>
      <c r="N229" s="70" t="s">
        <v>3288</v>
      </c>
      <c r="O229" s="71">
        <f>IF(OR(I229=$A$1,I229=0),"",IF(N229=MappingTables!$C$14,VLOOKUP(J229,ModelParameters!$M$8:$N$15,2,FALSE),IF(N229=MappingTables!$C$16,VLOOKUP(J229,ModelParameters!$P$8:$Q$15,2,FALSE),0)))</f>
        <v>1</v>
      </c>
      <c r="P229" s="73">
        <f>IF(OR(I229=0,I229=$A$1),0,MIN(O229*M229,1)*K229)</f>
        <v>175.8784771308358</v>
      </c>
      <c r="Q229" s="73">
        <f>IF(B229="",0,IF(OR(H229=MappingTables!$C$34,H229=MappingTables!$C$35),P229,0))</f>
        <v>0</v>
      </c>
      <c r="R229" s="73">
        <f>IF(ISNA(IF(AND(VLOOKUP(CONCATENATE($D229,$G229),CSRFinput!$B:$E,4,0)=0,OR(H229=MappingTables!$C$31,H229=MappingTables!$C$32)),1,VLOOKUP(CONCATENATE($D229,$G229),CSRFinput!$B:$E,4,0))),0,IF(AND(VLOOKUP(CONCATENATE($D229,$G229),CSRFinput!$B:$E,4,0)=0,OR(H229=MappingTables!$C$31,H229=MappingTables!$C$32)),1,VLOOKUP(CONCATENATE($D229,$G229),CSRFinput!$B:$E,4,0)))</f>
        <v>0.054776304963434752</v>
      </c>
      <c r="S229" s="73">
        <f>IF(B229="",0,P229*R229)</f>
        <v>9.6339730998231456</v>
      </c>
      <c r="T229" s="85">
        <f>IF(B229="",0,IF(OR(H229=MappingTables!$C$34,H229=MappingTables!$C$35),S229,0))</f>
        <v>0</v>
      </c>
    </row>
    <row r="230" spans="2:20" s="0" customFormat="0" ht="15">
      <c r="B230" s="69" t="s">
        <v>3650</v>
      </c>
      <c r="C230" s="70" t="s">
        <v>3651</v>
      </c>
      <c r="D230" s="70" t="s">
        <v>1</v>
      </c>
      <c r="E230" s="70" t="s">
        <v>1</v>
      </c>
      <c r="F230" s="70"/>
      <c r="G230" s="70" t="s">
        <v>61</v>
      </c>
      <c r="H230" s="70" t="s">
        <v>178</v>
      </c>
      <c r="I230" s="70" t="s">
        <v>3298</v>
      </c>
      <c r="J230" s="71">
        <f>IF(OR(I230=0,I230=""),"unrated",VLOOKUP(I230,MappingTables!$B$19:$C$31,2,FALSE))</f>
        <v>6</v>
      </c>
      <c r="K230" s="72">
        <v>413.37872983014016</v>
      </c>
      <c r="L230" s="70">
        <v>-0.55276123829120448</v>
      </c>
      <c r="M230" s="71">
        <f>IF(L230&lt;1,1,L230)</f>
        <v>1</v>
      </c>
      <c r="N230" s="70" t="s">
        <v>3288</v>
      </c>
      <c r="O230" s="71">
        <f>IF(OR(I230=$A$1,I230=0),"",IF(N230=MappingTables!$C$14,VLOOKUP(J230,ModelParameters!$M$8:$N$15,2,FALSE),IF(N230=MappingTables!$C$16,VLOOKUP(J230,ModelParameters!$P$8:$Q$15,2,FALSE),0)))</f>
        <v>1</v>
      </c>
      <c r="P230" s="73">
        <f>IF(OR(I230=0,I230=$A$1),0,MIN(O230*M230,1)*K230)</f>
        <v>413.37872983014016</v>
      </c>
      <c r="Q230" s="73">
        <f>IF(B230="",0,IF(OR(H230=MappingTables!$C$34,H230=MappingTables!$C$35),P230,0))</f>
        <v>0</v>
      </c>
      <c r="R230" s="73">
        <f>IF(ISNA(IF(AND(VLOOKUP(CONCATENATE($D230,$G230),CSRFinput!$B:$E,4,0)=0,OR(H230=MappingTables!$C$31,H230=MappingTables!$C$32)),1,VLOOKUP(CONCATENATE($D230,$G230),CSRFinput!$B:$E,4,0))),0,IF(AND(VLOOKUP(CONCATENATE($D230,$G230),CSRFinput!$B:$E,4,0)=0,OR(H230=MappingTables!$C$31,H230=MappingTables!$C$32)),1,VLOOKUP(CONCATENATE($D230,$G230),CSRFinput!$B:$E,4,0)))</f>
        <v>0.054776304963434752</v>
      </c>
      <c r="S230" s="73">
        <f>IF(B230="",0,P230*R230)</f>
        <v>22.643359370573064</v>
      </c>
      <c r="T230" s="85">
        <f>IF(B230="",0,IF(OR(H230=MappingTables!$C$34,H230=MappingTables!$C$35),S230,0))</f>
        <v>0</v>
      </c>
    </row>
    <row r="231" spans="2:20" s="0" customFormat="0" ht="15">
      <c r="B231" s="69" t="s">
        <v>3652</v>
      </c>
      <c r="C231" s="70" t="s">
        <v>3653</v>
      </c>
      <c r="D231" s="70" t="s">
        <v>1</v>
      </c>
      <c r="E231" s="70" t="s">
        <v>1</v>
      </c>
      <c r="F231" s="70"/>
      <c r="G231" s="70" t="s">
        <v>61</v>
      </c>
      <c r="H231" s="70" t="s">
        <v>178</v>
      </c>
      <c r="I231" s="70" t="s">
        <v>198</v>
      </c>
      <c r="J231" s="71" t="str">
        <f>IF(OR(I231=0,I231=""),"unrated",VLOOKUP(I231,MappingTables!$B$19:$C$31,2,FALSE))</f>
        <v>unrated</v>
      </c>
      <c r="K231" s="72">
        <v>25.313465004320768</v>
      </c>
      <c r="L231" s="70">
        <v>0.068495412506121848</v>
      </c>
      <c r="M231" s="71">
        <f>IF(L231&lt;1,1,L231)</f>
        <v>1</v>
      </c>
      <c r="N231" s="70" t="s">
        <v>3288</v>
      </c>
      <c r="O231" s="71">
        <f>IF(OR(I231=$A$1,I231=0),"",IF(N231=MappingTables!$C$14,VLOOKUP(J231,ModelParameters!$M$8:$N$15,2,FALSE),IF(N231=MappingTables!$C$16,VLOOKUP(J231,ModelParameters!$P$8:$Q$15,2,FALSE),0)))</f>
        <v>1</v>
      </c>
      <c r="P231" s="73">
        <f>IF(OR(I231=0,I231=$A$1),0,MIN(O231*M231,1)*K231)</f>
        <v>25.313465004320768</v>
      </c>
      <c r="Q231" s="73">
        <f>IF(B231="",0,IF(OR(H231=MappingTables!$C$34,H231=MappingTables!$C$35),P231,0))</f>
        <v>0</v>
      </c>
      <c r="R231" s="73">
        <f>IF(ISNA(IF(AND(VLOOKUP(CONCATENATE($D231,$G231),CSRFinput!$B:$E,4,0)=0,OR(H231=MappingTables!$C$31,H231=MappingTables!$C$32)),1,VLOOKUP(CONCATENATE($D231,$G231),CSRFinput!$B:$E,4,0))),0,IF(AND(VLOOKUP(CONCATENATE($D231,$G231),CSRFinput!$B:$E,4,0)=0,OR(H231=MappingTables!$C$31,H231=MappingTables!$C$32)),1,VLOOKUP(CONCATENATE($D231,$G231),CSRFinput!$B:$E,4,0)))</f>
        <v>0.054776304963434752</v>
      </c>
      <c r="S231" s="73">
        <f>IF(B231="",0,P231*R231)</f>
        <v>1.3865780787579076</v>
      </c>
      <c r="T231" s="85">
        <f>IF(B231="",0,IF(OR(H231=MappingTables!$C$34,H231=MappingTables!$C$35),S231,0))</f>
        <v>0</v>
      </c>
    </row>
    <row r="232" spans="2:20" s="0" customFormat="0" ht="15">
      <c r="B232" s="69" t="s">
        <v>3366</v>
      </c>
      <c r="C232" s="70" t="s">
        <v>3367</v>
      </c>
      <c r="D232" s="70" t="s">
        <v>1</v>
      </c>
      <c r="E232" s="70" t="s">
        <v>1</v>
      </c>
      <c r="F232" s="70"/>
      <c r="G232" s="70" t="s">
        <v>61</v>
      </c>
      <c r="H232" s="70" t="s">
        <v>178</v>
      </c>
      <c r="I232" s="70" t="s">
        <v>188</v>
      </c>
      <c r="J232" s="71">
        <f>IF(OR(I232=0,I232=""),"unrated",VLOOKUP(I232,MappingTables!$B$19:$C$31,2,FALSE))</f>
        <v>2</v>
      </c>
      <c r="K232" s="72">
        <v>151.38782357962062</v>
      </c>
      <c r="L232" s="70">
        <v>0.06849498571433656</v>
      </c>
      <c r="M232" s="71">
        <f>IF(L232&lt;1,1,L232)</f>
        <v>1</v>
      </c>
      <c r="N232" s="70" t="s">
        <v>3288</v>
      </c>
      <c r="O232" s="71">
        <f>IF(OR(I232=$A$1,I232=0),"",IF(N232=MappingTables!$C$14,VLOOKUP(J232,ModelParameters!$M$8:$N$15,2,FALSE),IF(N232=MappingTables!$C$16,VLOOKUP(J232,ModelParameters!$P$8:$Q$15,2,FALSE),0)))</f>
        <v>0.166</v>
      </c>
      <c r="P232" s="73">
        <f>IF(OR(I232=0,I232=$A$1),0,MIN(O232*M232,1)*K232)</f>
        <v>25.130378714217028</v>
      </c>
      <c r="Q232" s="73">
        <f>IF(B232="",0,IF(OR(H232=MappingTables!$C$34,H232=MappingTables!$C$35),P232,0))</f>
        <v>0</v>
      </c>
      <c r="R232" s="73">
        <f>IF(ISNA(IF(AND(VLOOKUP(CONCATENATE($D232,$G232),CSRFinput!$B:$E,4,0)=0,OR(H232=MappingTables!$C$31,H232=MappingTables!$C$32)),1,VLOOKUP(CONCATENATE($D232,$G232),CSRFinput!$B:$E,4,0))),0,IF(AND(VLOOKUP(CONCATENATE($D232,$G232),CSRFinput!$B:$E,4,0)=0,OR(H232=MappingTables!$C$31,H232=MappingTables!$C$32)),1,VLOOKUP(CONCATENATE($D232,$G232),CSRFinput!$B:$E,4,0)))</f>
        <v>0.054776304963434752</v>
      </c>
      <c r="S232" s="73">
        <f>IF(B232="",0,P232*R232)</f>
        <v>1.3765492882965614</v>
      </c>
      <c r="T232" s="85">
        <f>IF(B232="",0,IF(OR(H232=MappingTables!$C$34,H232=MappingTables!$C$35),S232,0))</f>
        <v>0</v>
      </c>
    </row>
    <row r="233" spans="2:20" s="0" customFormat="0" ht="15">
      <c r="B233" s="69">
        <v>741516</v>
      </c>
      <c r="C233" s="70" t="s">
        <v>3654</v>
      </c>
      <c r="D233" s="70" t="s">
        <v>1</v>
      </c>
      <c r="E233" s="70" t="s">
        <v>1</v>
      </c>
      <c r="F233" s="70"/>
      <c r="G233" s="70" t="s">
        <v>61</v>
      </c>
      <c r="H233" s="70" t="s">
        <v>178</v>
      </c>
      <c r="I233" s="70" t="s">
        <v>204</v>
      </c>
      <c r="J233" s="71">
        <f>IF(OR(I233=0,I233=""),"unrated",VLOOKUP(I233,MappingTables!$B$19:$C$31,2,FALSE))</f>
        <v>6</v>
      </c>
      <c r="K233" s="72">
        <v>400.38979621523344</v>
      </c>
      <c r="L233" s="70">
        <v>0.068495395996621408</v>
      </c>
      <c r="M233" s="71">
        <f>IF(L233&lt;1,1,L233)</f>
        <v>1</v>
      </c>
      <c r="N233" s="70" t="s">
        <v>3288</v>
      </c>
      <c r="O233" s="71">
        <f>IF(OR(I233=$A$1,I233=0),"",IF(N233=MappingTables!$C$14,VLOOKUP(J233,ModelParameters!$M$8:$N$15,2,FALSE),IF(N233=MappingTables!$C$16,VLOOKUP(J233,ModelParameters!$P$8:$Q$15,2,FALSE),0)))</f>
        <v>1</v>
      </c>
      <c r="P233" s="73">
        <f>IF(OR(I233=0,I233=$A$1),0,MIN(O233*M233,1)*K233)</f>
        <v>400.38979621523344</v>
      </c>
      <c r="Q233" s="73">
        <f>IF(B233="",0,IF(OR(H233=MappingTables!$C$34,H233=MappingTables!$C$35),P233,0))</f>
        <v>0</v>
      </c>
      <c r="R233" s="73">
        <f>IF(ISNA(IF(AND(VLOOKUP(CONCATENATE($D233,$G233),CSRFinput!$B:$E,4,0)=0,OR(H233=MappingTables!$C$31,H233=MappingTables!$C$32)),1,VLOOKUP(CONCATENATE($D233,$G233),CSRFinput!$B:$E,4,0))),0,IF(AND(VLOOKUP(CONCATENATE($D233,$G233),CSRFinput!$B:$E,4,0)=0,OR(H233=MappingTables!$C$31,H233=MappingTables!$C$32)),1,VLOOKUP(CONCATENATE($D233,$G233),CSRFinput!$B:$E,4,0)))</f>
        <v>0.054776304963434752</v>
      </c>
      <c r="S233" s="73">
        <f>IF(B233="",0,P233*R233)</f>
        <v>21.93187358173312</v>
      </c>
      <c r="T233" s="85">
        <f>IF(B233="",0,IF(OR(H233=MappingTables!$C$34,H233=MappingTables!$C$35),S233,0))</f>
        <v>0</v>
      </c>
    </row>
    <row r="234" spans="2:20" s="0" customFormat="0" ht="15">
      <c r="B234" s="69">
        <v>17849852</v>
      </c>
      <c r="C234" s="70" t="s">
        <v>3655</v>
      </c>
      <c r="D234" s="70" t="s">
        <v>1</v>
      </c>
      <c r="E234" s="70" t="s">
        <v>1</v>
      </c>
      <c r="F234" s="70"/>
      <c r="G234" s="70" t="s">
        <v>61</v>
      </c>
      <c r="H234" s="70" t="s">
        <v>178</v>
      </c>
      <c r="I234" s="70" t="s">
        <v>216</v>
      </c>
      <c r="J234" s="71">
        <f>IF(OR(I234=0,I234=""),"unrated",VLOOKUP(I234,MappingTables!$B$19:$C$31,2,FALSE))</f>
        <v>0</v>
      </c>
      <c r="K234" s="72">
        <v>216.74258820432816</v>
      </c>
      <c r="L234" s="70">
        <v>0.054268951811287152</v>
      </c>
      <c r="M234" s="71">
        <f>IF(L234&lt;1,1,L234)</f>
        <v>1</v>
      </c>
      <c r="N234" s="70" t="s">
        <v>3288</v>
      </c>
      <c r="O234" s="71">
        <f>IF(OR(I234=$A$1,I234=0),"",IF(N234=MappingTables!$C$14,VLOOKUP(J234,ModelParameters!$M$8:$N$15,2,FALSE),IF(N234=MappingTables!$C$16,VLOOKUP(J234,ModelParameters!$P$8:$Q$15,2,FALSE),0)))</f>
        <v>0.125</v>
      </c>
      <c r="P234" s="73">
        <f>IF(OR(I234=0,I234=$A$1),0,MIN(O234*M234,1)*K234)</f>
        <v>27.092823525541016</v>
      </c>
      <c r="Q234" s="73">
        <f>IF(B234="",0,IF(OR(H234=MappingTables!$C$34,H234=MappingTables!$C$35),P234,0))</f>
        <v>0</v>
      </c>
      <c r="R234" s="73">
        <f>IF(ISNA(IF(AND(VLOOKUP(CONCATENATE($D234,$G234),CSRFinput!$B:$E,4,0)=0,OR(H234=MappingTables!$C$31,H234=MappingTables!$C$32)),1,VLOOKUP(CONCATENATE($D234,$G234),CSRFinput!$B:$E,4,0))),0,IF(AND(VLOOKUP(CONCATENATE($D234,$G234),CSRFinput!$B:$E,4,0)=0,OR(H234=MappingTables!$C$31,H234=MappingTables!$C$32)),1,VLOOKUP(CONCATENATE($D234,$G234),CSRFinput!$B:$E,4,0)))</f>
        <v>0.054776304963434752</v>
      </c>
      <c r="S234" s="73">
        <f>IF(B234="",0,P234*R234)</f>
        <v>1.4840447637555542</v>
      </c>
      <c r="T234" s="85">
        <f>IF(B234="",0,IF(OR(H234=MappingTables!$C$34,H234=MappingTables!$C$35),S234,0))</f>
        <v>0</v>
      </c>
    </row>
    <row r="235" spans="2:20" s="0" customFormat="0" ht="15">
      <c r="B235" s="69" t="s">
        <v>3656</v>
      </c>
      <c r="C235" s="70" t="s">
        <v>3657</v>
      </c>
      <c r="D235" s="70" t="s">
        <v>1</v>
      </c>
      <c r="E235" s="70" t="s">
        <v>1</v>
      </c>
      <c r="F235" s="70"/>
      <c r="G235" s="70" t="s">
        <v>61</v>
      </c>
      <c r="H235" s="70" t="s">
        <v>178</v>
      </c>
      <c r="I235" s="70" t="s">
        <v>3298</v>
      </c>
      <c r="J235" s="71">
        <f>IF(OR(I235=0,I235=""),"unrated",VLOOKUP(I235,MappingTables!$B$19:$C$31,2,FALSE))</f>
        <v>6</v>
      </c>
      <c r="K235" s="72">
        <v>226.09772661856128</v>
      </c>
      <c r="L235" s="70">
        <v>-0.35414208382777788</v>
      </c>
      <c r="M235" s="71">
        <f>IF(L235&lt;1,1,L235)</f>
        <v>1</v>
      </c>
      <c r="N235" s="70" t="s">
        <v>3288</v>
      </c>
      <c r="O235" s="71">
        <f>IF(OR(I235=$A$1,I235=0),"",IF(N235=MappingTables!$C$14,VLOOKUP(J235,ModelParameters!$M$8:$N$15,2,FALSE),IF(N235=MappingTables!$C$16,VLOOKUP(J235,ModelParameters!$P$8:$Q$15,2,FALSE),0)))</f>
        <v>1</v>
      </c>
      <c r="P235" s="73">
        <f>IF(OR(I235=0,I235=$A$1),0,MIN(O235*M235,1)*K235)</f>
        <v>226.09772661856128</v>
      </c>
      <c r="Q235" s="73">
        <f>IF(B235="",0,IF(OR(H235=MappingTables!$C$34,H235=MappingTables!$C$35),P235,0))</f>
        <v>0</v>
      </c>
      <c r="R235" s="73">
        <f>IF(ISNA(IF(AND(VLOOKUP(CONCATENATE($D235,$G235),CSRFinput!$B:$E,4,0)=0,OR(H235=MappingTables!$C$31,H235=MappingTables!$C$32)),1,VLOOKUP(CONCATENATE($D235,$G235),CSRFinput!$B:$E,4,0))),0,IF(AND(VLOOKUP(CONCATENATE($D235,$G235),CSRFinput!$B:$E,4,0)=0,OR(H235=MappingTables!$C$31,H235=MappingTables!$C$32)),1,VLOOKUP(CONCATENATE($D235,$G235),CSRFinput!$B:$E,4,0)))</f>
        <v>0.054776304963434752</v>
      </c>
      <c r="S235" s="73">
        <f>IF(B235="",0,P235*R235)</f>
        <v>12.384798024797612</v>
      </c>
      <c r="T235" s="85">
        <f>IF(B235="",0,IF(OR(H235=MappingTables!$C$34,H235=MappingTables!$C$35),S235,0))</f>
        <v>0</v>
      </c>
    </row>
    <row r="236" spans="2:20" s="0" customFormat="0" ht="15">
      <c r="B236" s="69" t="s">
        <v>3658</v>
      </c>
      <c r="C236" s="70" t="s">
        <v>3659</v>
      </c>
      <c r="D236" s="70" t="s">
        <v>1</v>
      </c>
      <c r="E236" s="70" t="s">
        <v>1</v>
      </c>
      <c r="F236" s="70"/>
      <c r="G236" s="70" t="s">
        <v>61</v>
      </c>
      <c r="H236" s="70" t="s">
        <v>178</v>
      </c>
      <c r="I236" s="70" t="s">
        <v>184</v>
      </c>
      <c r="J236" s="71">
        <f>IF(OR(I236=0,I236=""),"unrated",VLOOKUP(I236,MappingTables!$B$19:$C$31,2,FALSE))</f>
        <v>5</v>
      </c>
      <c r="K236" s="72">
        <v>213.27697307898372</v>
      </c>
      <c r="L236" s="70">
        <v>0.0684932426715564</v>
      </c>
      <c r="M236" s="71">
        <f>IF(L236&lt;1,1,L236)</f>
        <v>1</v>
      </c>
      <c r="N236" s="70" t="s">
        <v>3288</v>
      </c>
      <c r="O236" s="71">
        <f>IF(OR(I236=$A$1,I236=0),"",IF(N236=MappingTables!$C$14,VLOOKUP(J236,ModelParameters!$M$8:$N$15,2,FALSE),IF(N236=MappingTables!$C$16,VLOOKUP(J236,ModelParameters!$P$8:$Q$15,2,FALSE),0)))</f>
        <v>1</v>
      </c>
      <c r="P236" s="73">
        <f>IF(OR(I236=0,I236=$A$1),0,MIN(O236*M236,1)*K236)</f>
        <v>213.27697307898372</v>
      </c>
      <c r="Q236" s="73">
        <f>IF(B236="",0,IF(OR(H236=MappingTables!$C$34,H236=MappingTables!$C$35),P236,0))</f>
        <v>0</v>
      </c>
      <c r="R236" s="73">
        <f>IF(ISNA(IF(AND(VLOOKUP(CONCATENATE($D236,$G236),CSRFinput!$B:$E,4,0)=0,OR(H236=MappingTables!$C$31,H236=MappingTables!$C$32)),1,VLOOKUP(CONCATENATE($D236,$G236),CSRFinput!$B:$E,4,0))),0,IF(AND(VLOOKUP(CONCATENATE($D236,$G236),CSRFinput!$B:$E,4,0)=0,OR(H236=MappingTables!$C$31,H236=MappingTables!$C$32)),1,VLOOKUP(CONCATENATE($D236,$G236),CSRFinput!$B:$E,4,0)))</f>
        <v>0.054776304963434752</v>
      </c>
      <c r="S236" s="73">
        <f>IF(B236="",0,P236*R236)</f>
        <v>11.682524519052676</v>
      </c>
      <c r="T236" s="85">
        <f>IF(B236="",0,IF(OR(H236=MappingTables!$C$34,H236=MappingTables!$C$35),S236,0))</f>
        <v>0</v>
      </c>
    </row>
    <row r="237" spans="2:20" s="0" customFormat="0" ht="15">
      <c r="B237" s="69" t="s">
        <v>3660</v>
      </c>
      <c r="C237" s="70" t="s">
        <v>3661</v>
      </c>
      <c r="D237" s="70" t="s">
        <v>1</v>
      </c>
      <c r="E237" s="70" t="s">
        <v>1</v>
      </c>
      <c r="F237" s="70"/>
      <c r="G237" s="70" t="s">
        <v>61</v>
      </c>
      <c r="H237" s="70" t="s">
        <v>178</v>
      </c>
      <c r="I237" s="70" t="s">
        <v>198</v>
      </c>
      <c r="J237" s="71" t="str">
        <f>IF(OR(I237=0,I237=""),"unrated",VLOOKUP(I237,MappingTables!$B$19:$C$31,2,FALSE))</f>
        <v>unrated</v>
      </c>
      <c r="K237" s="72">
        <v>416.27209489490376</v>
      </c>
      <c r="L237" s="70">
        <v>30.319369310214816</v>
      </c>
      <c r="M237" s="71">
        <f>IF(L237&lt;1,1,L237)</f>
        <v>30.319369310214816</v>
      </c>
      <c r="N237" s="70" t="s">
        <v>3288</v>
      </c>
      <c r="O237" s="71">
        <f>IF(OR(I237=$A$1,I237=0),"",IF(N237=MappingTables!$C$14,VLOOKUP(J237,ModelParameters!$M$8:$N$15,2,FALSE),IF(N237=MappingTables!$C$16,VLOOKUP(J237,ModelParameters!$P$8:$Q$15,2,FALSE),0)))</f>
        <v>1</v>
      </c>
      <c r="P237" s="73">
        <f>IF(OR(I237=0,I237=$A$1),0,MIN(O237*M237,1)*K237)</f>
        <v>416.27209489490376</v>
      </c>
      <c r="Q237" s="73">
        <f>IF(B237="",0,IF(OR(H237=MappingTables!$C$34,H237=MappingTables!$C$35),P237,0))</f>
        <v>0</v>
      </c>
      <c r="R237" s="73">
        <f>IF(ISNA(IF(AND(VLOOKUP(CONCATENATE($D237,$G237),CSRFinput!$B:$E,4,0)=0,OR(H237=MappingTables!$C$31,H237=MappingTables!$C$32)),1,VLOOKUP(CONCATENATE($D237,$G237),CSRFinput!$B:$E,4,0))),0,IF(AND(VLOOKUP(CONCATENATE($D237,$G237),CSRFinput!$B:$E,4,0)=0,OR(H237=MappingTables!$C$31,H237=MappingTables!$C$32)),1,VLOOKUP(CONCATENATE($D237,$G237),CSRFinput!$B:$E,4,0)))</f>
        <v>0.054776304963434752</v>
      </c>
      <c r="S237" s="73">
        <f>IF(B237="",0,P237*R237)</f>
        <v>22.8018472177311</v>
      </c>
      <c r="T237" s="85">
        <f>IF(B237="",0,IF(OR(H237=MappingTables!$C$34,H237=MappingTables!$C$35),S237,0))</f>
        <v>0</v>
      </c>
    </row>
    <row r="238" spans="2:20" s="0" customFormat="0" ht="15">
      <c r="B238" s="69" t="s">
        <v>3662</v>
      </c>
      <c r="C238" s="70" t="s">
        <v>3663</v>
      </c>
      <c r="D238" s="70" t="s">
        <v>1</v>
      </c>
      <c r="E238" s="70" t="s">
        <v>1</v>
      </c>
      <c r="F238" s="70"/>
      <c r="G238" s="70" t="s">
        <v>61</v>
      </c>
      <c r="H238" s="70" t="s">
        <v>178</v>
      </c>
      <c r="I238" s="70" t="s">
        <v>204</v>
      </c>
      <c r="J238" s="71">
        <f>IF(OR(I238=0,I238=""),"unrated",VLOOKUP(I238,MappingTables!$B$19:$C$31,2,FALSE))</f>
        <v>6</v>
      </c>
      <c r="K238" s="72">
        <v>582.45760366298488</v>
      </c>
      <c r="L238" s="70">
        <v>0.016135229925082384</v>
      </c>
      <c r="M238" s="71">
        <f>IF(L238&lt;1,1,L238)</f>
        <v>1</v>
      </c>
      <c r="N238" s="70" t="s">
        <v>3288</v>
      </c>
      <c r="O238" s="71">
        <f>IF(OR(I238=$A$1,I238=0),"",IF(N238=MappingTables!$C$14,VLOOKUP(J238,ModelParameters!$M$8:$N$15,2,FALSE),IF(N238=MappingTables!$C$16,VLOOKUP(J238,ModelParameters!$P$8:$Q$15,2,FALSE),0)))</f>
        <v>1</v>
      </c>
      <c r="P238" s="73">
        <f>IF(OR(I238=0,I238=$A$1),0,MIN(O238*M238,1)*K238)</f>
        <v>582.45760366298488</v>
      </c>
      <c r="Q238" s="73">
        <f>IF(B238="",0,IF(OR(H238=MappingTables!$C$34,H238=MappingTables!$C$35),P238,0))</f>
        <v>0</v>
      </c>
      <c r="R238" s="73">
        <f>IF(ISNA(IF(AND(VLOOKUP(CONCATENATE($D238,$G238),CSRFinput!$B:$E,4,0)=0,OR(H238=MappingTables!$C$31,H238=MappingTables!$C$32)),1,VLOOKUP(CONCATENATE($D238,$G238),CSRFinput!$B:$E,4,0))),0,IF(AND(VLOOKUP(CONCATENATE($D238,$G238),CSRFinput!$B:$E,4,0)=0,OR(H238=MappingTables!$C$31,H238=MappingTables!$C$32)),1,VLOOKUP(CONCATENATE($D238,$G238),CSRFinput!$B:$E,4,0)))</f>
        <v>0.054776304963434752</v>
      </c>
      <c r="S238" s="73">
        <f>IF(B238="",0,P238*R238)</f>
        <v>31.904875326515072</v>
      </c>
      <c r="T238" s="85">
        <f>IF(B238="",0,IF(OR(H238=MappingTables!$C$34,H238=MappingTables!$C$35),S238,0))</f>
        <v>0</v>
      </c>
    </row>
    <row r="239" spans="2:20" s="0" customFormat="0" ht="15">
      <c r="B239" s="69" t="s">
        <v>3664</v>
      </c>
      <c r="C239" s="70" t="s">
        <v>3665</v>
      </c>
      <c r="D239" s="70" t="s">
        <v>1</v>
      </c>
      <c r="E239" s="70" t="s">
        <v>1</v>
      </c>
      <c r="F239" s="70"/>
      <c r="G239" s="70" t="s">
        <v>61</v>
      </c>
      <c r="H239" s="70" t="s">
        <v>178</v>
      </c>
      <c r="I239" s="70" t="s">
        <v>204</v>
      </c>
      <c r="J239" s="71">
        <f>IF(OR(I239=0,I239=""),"unrated",VLOOKUP(I239,MappingTables!$B$19:$C$31,2,FALSE))</f>
        <v>6</v>
      </c>
      <c r="K239" s="72">
        <v>29.398880324874052</v>
      </c>
      <c r="L239" s="70">
        <v>0.06849361709353052</v>
      </c>
      <c r="M239" s="71">
        <f>IF(L239&lt;1,1,L239)</f>
        <v>1</v>
      </c>
      <c r="N239" s="70" t="s">
        <v>3288</v>
      </c>
      <c r="O239" s="71">
        <f>IF(OR(I239=$A$1,I239=0),"",IF(N239=MappingTables!$C$14,VLOOKUP(J239,ModelParameters!$M$8:$N$15,2,FALSE),IF(N239=MappingTables!$C$16,VLOOKUP(J239,ModelParameters!$P$8:$Q$15,2,FALSE),0)))</f>
        <v>1</v>
      </c>
      <c r="P239" s="73">
        <f>IF(OR(I239=0,I239=$A$1),0,MIN(O239*M239,1)*K239)</f>
        <v>29.398880324874052</v>
      </c>
      <c r="Q239" s="73">
        <f>IF(B239="",0,IF(OR(H239=MappingTables!$C$34,H239=MappingTables!$C$35),P239,0))</f>
        <v>0</v>
      </c>
      <c r="R239" s="73">
        <f>IF(ISNA(IF(AND(VLOOKUP(CONCATENATE($D239,$G239),CSRFinput!$B:$E,4,0)=0,OR(H239=MappingTables!$C$31,H239=MappingTables!$C$32)),1,VLOOKUP(CONCATENATE($D239,$G239),CSRFinput!$B:$E,4,0))),0,IF(AND(VLOOKUP(CONCATENATE($D239,$G239),CSRFinput!$B:$E,4,0)=0,OR(H239=MappingTables!$C$31,H239=MappingTables!$C$32)),1,VLOOKUP(CONCATENATE($D239,$G239),CSRFinput!$B:$E,4,0)))</f>
        <v>0.054776304963434752</v>
      </c>
      <c r="S239" s="73">
        <f>IF(B239="",0,P239*R239)</f>
        <v>1.610362034258823</v>
      </c>
      <c r="T239" s="85">
        <f>IF(B239="",0,IF(OR(H239=MappingTables!$C$34,H239=MappingTables!$C$35),S239,0))</f>
        <v>0</v>
      </c>
    </row>
    <row r="240" spans="2:20" s="0" customFormat="0" ht="15">
      <c r="B240" s="69">
        <v>22554582</v>
      </c>
      <c r="C240" s="70" t="s">
        <v>3666</v>
      </c>
      <c r="D240" s="70" t="s">
        <v>1</v>
      </c>
      <c r="E240" s="70" t="s">
        <v>1</v>
      </c>
      <c r="F240" s="70"/>
      <c r="G240" s="70" t="s">
        <v>61</v>
      </c>
      <c r="H240" s="70" t="s">
        <v>178</v>
      </c>
      <c r="I240" s="70" t="s">
        <v>216</v>
      </c>
      <c r="J240" s="71">
        <f>IF(OR(I240=0,I240=""),"unrated",VLOOKUP(I240,MappingTables!$B$19:$C$31,2,FALSE))</f>
        <v>0</v>
      </c>
      <c r="K240" s="72">
        <v>1953.6945136955172</v>
      </c>
      <c r="L240" s="70">
        <v>0.08150827795843856</v>
      </c>
      <c r="M240" s="71">
        <f>IF(L240&lt;1,1,L240)</f>
        <v>1</v>
      </c>
      <c r="N240" s="70" t="s">
        <v>3288</v>
      </c>
      <c r="O240" s="71">
        <f>IF(OR(I240=$A$1,I240=0),"",IF(N240=MappingTables!$C$14,VLOOKUP(J240,ModelParameters!$M$8:$N$15,2,FALSE),IF(N240=MappingTables!$C$16,VLOOKUP(J240,ModelParameters!$P$8:$Q$15,2,FALSE),0)))</f>
        <v>0.125</v>
      </c>
      <c r="P240" s="73">
        <f>IF(OR(I240=0,I240=$A$1),0,MIN(O240*M240,1)*K240)</f>
        <v>244.21181421193964</v>
      </c>
      <c r="Q240" s="73">
        <f>IF(B240="",0,IF(OR(H240=MappingTables!$C$34,H240=MappingTables!$C$35),P240,0))</f>
        <v>0</v>
      </c>
      <c r="R240" s="73">
        <f>IF(ISNA(IF(AND(VLOOKUP(CONCATENATE($D240,$G240),CSRFinput!$B:$E,4,0)=0,OR(H240=MappingTables!$C$31,H240=MappingTables!$C$32)),1,VLOOKUP(CONCATENATE($D240,$G240),CSRFinput!$B:$E,4,0))),0,IF(AND(VLOOKUP(CONCATENATE($D240,$G240),CSRFinput!$B:$E,4,0)=0,OR(H240=MappingTables!$C$31,H240=MappingTables!$C$32)),1,VLOOKUP(CONCATENATE($D240,$G240),CSRFinput!$B:$E,4,0)))</f>
        <v>0.054776304963434752</v>
      </c>
      <c r="S240" s="73">
        <f>IF(B240="",0,P240*R240)</f>
        <v>13.377020810946876</v>
      </c>
      <c r="T240" s="85">
        <f>IF(B240="",0,IF(OR(H240=MappingTables!$C$34,H240=MappingTables!$C$35),S240,0))</f>
        <v>0</v>
      </c>
    </row>
    <row r="241" spans="2:20" s="0" customFormat="0" ht="15">
      <c r="B241" s="69">
        <v>4313837</v>
      </c>
      <c r="C241" s="70" t="s">
        <v>3667</v>
      </c>
      <c r="D241" s="70" t="s">
        <v>1</v>
      </c>
      <c r="E241" s="70" t="s">
        <v>1</v>
      </c>
      <c r="F241" s="70"/>
      <c r="G241" s="70" t="s">
        <v>61</v>
      </c>
      <c r="H241" s="70" t="s">
        <v>178</v>
      </c>
      <c r="I241" s="70" t="s">
        <v>216</v>
      </c>
      <c r="J241" s="71">
        <f>IF(OR(I241=0,I241=""),"unrated",VLOOKUP(I241,MappingTables!$B$19:$C$31,2,FALSE))</f>
        <v>0</v>
      </c>
      <c r="K241" s="72">
        <v>422.93964578780416</v>
      </c>
      <c r="L241" s="70">
        <v>0.090421590721710032</v>
      </c>
      <c r="M241" s="71">
        <f>IF(L241&lt;1,1,L241)</f>
        <v>1</v>
      </c>
      <c r="N241" s="70" t="s">
        <v>3288</v>
      </c>
      <c r="O241" s="71">
        <f>IF(OR(I241=$A$1,I241=0),"",IF(N241=MappingTables!$C$14,VLOOKUP(J241,ModelParameters!$M$8:$N$15,2,FALSE),IF(N241=MappingTables!$C$16,VLOOKUP(J241,ModelParameters!$P$8:$Q$15,2,FALSE),0)))</f>
        <v>0.125</v>
      </c>
      <c r="P241" s="73">
        <f>IF(OR(I241=0,I241=$A$1),0,MIN(O241*M241,1)*K241)</f>
        <v>52.867455723475512</v>
      </c>
      <c r="Q241" s="73">
        <f>IF(B241="",0,IF(OR(H241=MappingTables!$C$34,H241=MappingTables!$C$35),P241,0))</f>
        <v>0</v>
      </c>
      <c r="R241" s="73">
        <f>IF(ISNA(IF(AND(VLOOKUP(CONCATENATE($D241,$G241),CSRFinput!$B:$E,4,0)=0,OR(H241=MappingTables!$C$31,H241=MappingTables!$C$32)),1,VLOOKUP(CONCATENATE($D241,$G241),CSRFinput!$B:$E,4,0))),0,IF(AND(VLOOKUP(CONCATENATE($D241,$G241),CSRFinput!$B:$E,4,0)=0,OR(H241=MappingTables!$C$31,H241=MappingTables!$C$32)),1,VLOOKUP(CONCATENATE($D241,$G241),CSRFinput!$B:$E,4,0)))</f>
        <v>0.054776304963434752</v>
      </c>
      <c r="S241" s="73">
        <f>IF(B241="",0,P241*R241)</f>
        <v>2.8958838773499788</v>
      </c>
      <c r="T241" s="85">
        <f>IF(B241="",0,IF(OR(H241=MappingTables!$C$34,H241=MappingTables!$C$35),S241,0))</f>
        <v>0</v>
      </c>
    </row>
    <row r="242" spans="2:20" s="0" customFormat="0" ht="15">
      <c r="B242" s="69" t="s">
        <v>3668</v>
      </c>
      <c r="C242" s="70" t="s">
        <v>3669</v>
      </c>
      <c r="D242" s="70" t="s">
        <v>1</v>
      </c>
      <c r="E242" s="70" t="s">
        <v>1</v>
      </c>
      <c r="F242" s="70"/>
      <c r="G242" s="70" t="s">
        <v>61</v>
      </c>
      <c r="H242" s="70" t="s">
        <v>178</v>
      </c>
      <c r="I242" s="70" t="s">
        <v>198</v>
      </c>
      <c r="J242" s="71" t="str">
        <f>IF(OR(I242=0,I242=""),"unrated",VLOOKUP(I242,MappingTables!$B$19:$C$31,2,FALSE))</f>
        <v>unrated</v>
      </c>
      <c r="K242" s="72">
        <v>0.63106578614465328</v>
      </c>
      <c r="L242" s="70">
        <v>8.0068902740252416</v>
      </c>
      <c r="M242" s="71">
        <f>IF(L242&lt;1,1,L242)</f>
        <v>8.0068902740252416</v>
      </c>
      <c r="N242" s="70" t="s">
        <v>3288</v>
      </c>
      <c r="O242" s="71">
        <f>IF(OR(I242=$A$1,I242=0),"",IF(N242=MappingTables!$C$14,VLOOKUP(J242,ModelParameters!$M$8:$N$15,2,FALSE),IF(N242=MappingTables!$C$16,VLOOKUP(J242,ModelParameters!$P$8:$Q$15,2,FALSE),0)))</f>
        <v>1</v>
      </c>
      <c r="P242" s="73">
        <f>IF(OR(I242=0,I242=$A$1),0,MIN(O242*M242,1)*K242)</f>
        <v>0.63106578614465328</v>
      </c>
      <c r="Q242" s="73">
        <f>IF(B242="",0,IF(OR(H242=MappingTables!$C$34,H242=MappingTables!$C$35),P242,0))</f>
        <v>0</v>
      </c>
      <c r="R242" s="73">
        <f>IF(ISNA(IF(AND(VLOOKUP(CONCATENATE($D242,$G242),CSRFinput!$B:$E,4,0)=0,OR(H242=MappingTables!$C$31,H242=MappingTables!$C$32)),1,VLOOKUP(CONCATENATE($D242,$G242),CSRFinput!$B:$E,4,0))),0,IF(AND(VLOOKUP(CONCATENATE($D242,$G242),CSRFinput!$B:$E,4,0)=0,OR(H242=MappingTables!$C$31,H242=MappingTables!$C$32)),1,VLOOKUP(CONCATENATE($D242,$G242),CSRFinput!$B:$E,4,0)))</f>
        <v>0.054776304963434752</v>
      </c>
      <c r="S242" s="73">
        <f>IF(B242="",0,P242*R242)</f>
        <v>0.034567451953849228</v>
      </c>
      <c r="T242" s="85">
        <f>IF(B242="",0,IF(OR(H242=MappingTables!$C$34,H242=MappingTables!$C$35),S242,0))</f>
        <v>0</v>
      </c>
    </row>
    <row r="243" spans="2:20" s="0" customFormat="0" ht="15">
      <c r="B243" s="69" t="s">
        <v>3670</v>
      </c>
      <c r="C243" s="70" t="s">
        <v>3671</v>
      </c>
      <c r="D243" s="70" t="s">
        <v>1</v>
      </c>
      <c r="E243" s="70" t="s">
        <v>1</v>
      </c>
      <c r="F243" s="70"/>
      <c r="G243" s="70" t="s">
        <v>61</v>
      </c>
      <c r="H243" s="70" t="s">
        <v>178</v>
      </c>
      <c r="I243" s="70" t="s">
        <v>204</v>
      </c>
      <c r="J243" s="71">
        <f>IF(OR(I243=0,I243=""),"unrated",VLOOKUP(I243,MappingTables!$B$19:$C$31,2,FALSE))</f>
        <v>6</v>
      </c>
      <c r="K243" s="72">
        <v>34.97018462903668</v>
      </c>
      <c r="L243" s="70">
        <v>0.068124084235257176</v>
      </c>
      <c r="M243" s="71">
        <f>IF(L243&lt;1,1,L243)</f>
        <v>1</v>
      </c>
      <c r="N243" s="70" t="s">
        <v>3288</v>
      </c>
      <c r="O243" s="71">
        <f>IF(OR(I243=$A$1,I243=0),"",IF(N243=MappingTables!$C$14,VLOOKUP(J243,ModelParameters!$M$8:$N$15,2,FALSE),IF(N243=MappingTables!$C$16,VLOOKUP(J243,ModelParameters!$P$8:$Q$15,2,FALSE),0)))</f>
        <v>1</v>
      </c>
      <c r="P243" s="73">
        <f>IF(OR(I243=0,I243=$A$1),0,MIN(O243*M243,1)*K243)</f>
        <v>34.97018462903668</v>
      </c>
      <c r="Q243" s="73">
        <f>IF(B243="",0,IF(OR(H243=MappingTables!$C$34,H243=MappingTables!$C$35),P243,0))</f>
        <v>0</v>
      </c>
      <c r="R243" s="73">
        <f>IF(ISNA(IF(AND(VLOOKUP(CONCATENATE($D243,$G243),CSRFinput!$B:$E,4,0)=0,OR(H243=MappingTables!$C$31,H243=MappingTables!$C$32)),1,VLOOKUP(CONCATENATE($D243,$G243),CSRFinput!$B:$E,4,0))),0,IF(AND(VLOOKUP(CONCATENATE($D243,$G243),CSRFinput!$B:$E,4,0)=0,OR(H243=MappingTables!$C$31,H243=MappingTables!$C$32)),1,VLOOKUP(CONCATENATE($D243,$G243),CSRFinput!$B:$E,4,0)))</f>
        <v>0.054776304963434752</v>
      </c>
      <c r="S243" s="73">
        <f>IF(B243="",0,P243*R243)</f>
        <v>1.9155374978677316</v>
      </c>
      <c r="T243" s="85">
        <f>IF(B243="",0,IF(OR(H243=MappingTables!$C$34,H243=MappingTables!$C$35),S243,0))</f>
        <v>0</v>
      </c>
    </row>
    <row r="244" spans="2:20" s="0" customFormat="0" ht="15">
      <c r="B244" s="69" t="s">
        <v>3672</v>
      </c>
      <c r="C244" s="70" t="s">
        <v>3673</v>
      </c>
      <c r="D244" s="70" t="s">
        <v>1</v>
      </c>
      <c r="E244" s="70" t="s">
        <v>1</v>
      </c>
      <c r="F244" s="70"/>
      <c r="G244" s="70" t="s">
        <v>61</v>
      </c>
      <c r="H244" s="70" t="s">
        <v>178</v>
      </c>
      <c r="I244" s="70" t="s">
        <v>198</v>
      </c>
      <c r="J244" s="71" t="str">
        <f>IF(OR(I244=0,I244=""),"unrated",VLOOKUP(I244,MappingTables!$B$19:$C$31,2,FALSE))</f>
        <v>unrated</v>
      </c>
      <c r="K244" s="72">
        <v>73.042103173474352</v>
      </c>
      <c r="L244" s="70">
        <v>0.068492511773281984</v>
      </c>
      <c r="M244" s="71">
        <f>IF(L244&lt;1,1,L244)</f>
        <v>1</v>
      </c>
      <c r="N244" s="70" t="s">
        <v>3288</v>
      </c>
      <c r="O244" s="71">
        <f>IF(OR(I244=$A$1,I244=0),"",IF(N244=MappingTables!$C$14,VLOOKUP(J244,ModelParameters!$M$8:$N$15,2,FALSE),IF(N244=MappingTables!$C$16,VLOOKUP(J244,ModelParameters!$P$8:$Q$15,2,FALSE),0)))</f>
        <v>1</v>
      </c>
      <c r="P244" s="73">
        <f>IF(OR(I244=0,I244=$A$1),0,MIN(O244*M244,1)*K244)</f>
        <v>73.042103173474352</v>
      </c>
      <c r="Q244" s="73">
        <f>IF(B244="",0,IF(OR(H244=MappingTables!$C$34,H244=MappingTables!$C$35),P244,0))</f>
        <v>0</v>
      </c>
      <c r="R244" s="73">
        <f>IF(ISNA(IF(AND(VLOOKUP(CONCATENATE($D244,$G244),CSRFinput!$B:$E,4,0)=0,OR(H244=MappingTables!$C$31,H244=MappingTables!$C$32)),1,VLOOKUP(CONCATENATE($D244,$G244),CSRFinput!$B:$E,4,0))),0,IF(AND(VLOOKUP(CONCATENATE($D244,$G244),CSRFinput!$B:$E,4,0)=0,OR(H244=MappingTables!$C$31,H244=MappingTables!$C$32)),1,VLOOKUP(CONCATENATE($D244,$G244),CSRFinput!$B:$E,4,0)))</f>
        <v>0.054776304963434752</v>
      </c>
      <c r="S244" s="73">
        <f>IF(B244="",0,P244*R244)</f>
        <v>4.0009765186008968</v>
      </c>
      <c r="T244" s="85">
        <f>IF(B244="",0,IF(OR(H244=MappingTables!$C$34,H244=MappingTables!$C$35),S244,0))</f>
        <v>0</v>
      </c>
    </row>
    <row r="245" spans="2:20" s="0" customFormat="0" ht="15">
      <c r="B245" s="69" t="s">
        <v>3674</v>
      </c>
      <c r="C245" s="70" t="s">
        <v>3675</v>
      </c>
      <c r="D245" s="70" t="s">
        <v>1</v>
      </c>
      <c r="E245" s="70" t="s">
        <v>1</v>
      </c>
      <c r="F245" s="70"/>
      <c r="G245" s="70" t="s">
        <v>61</v>
      </c>
      <c r="H245" s="70" t="s">
        <v>178</v>
      </c>
      <c r="I245" s="70" t="s">
        <v>198</v>
      </c>
      <c r="J245" s="71" t="str">
        <f>IF(OR(I245=0,I245=""),"unrated",VLOOKUP(I245,MappingTables!$B$19:$C$31,2,FALSE))</f>
        <v>unrated</v>
      </c>
      <c r="K245" s="72">
        <v>7131.0180494016128</v>
      </c>
      <c r="L245" s="70">
        <v>9.4444500594681664</v>
      </c>
      <c r="M245" s="71">
        <f>IF(L245&lt;1,1,L245)</f>
        <v>9.4444500594681664</v>
      </c>
      <c r="N245" s="70" t="s">
        <v>3288</v>
      </c>
      <c r="O245" s="71">
        <f>IF(OR(I245=$A$1,I245=0),"",IF(N245=MappingTables!$C$14,VLOOKUP(J245,ModelParameters!$M$8:$N$15,2,FALSE),IF(N245=MappingTables!$C$16,VLOOKUP(J245,ModelParameters!$P$8:$Q$15,2,FALSE),0)))</f>
        <v>1</v>
      </c>
      <c r="P245" s="73">
        <f>IF(OR(I245=0,I245=$A$1),0,MIN(O245*M245,1)*K245)</f>
        <v>7131.0180494016128</v>
      </c>
      <c r="Q245" s="73">
        <f>IF(B245="",0,IF(OR(H245=MappingTables!$C$34,H245=MappingTables!$C$35),P245,0))</f>
        <v>0</v>
      </c>
      <c r="R245" s="73">
        <f>IF(ISNA(IF(AND(VLOOKUP(CONCATENATE($D245,$G245),CSRFinput!$B:$E,4,0)=0,OR(H245=MappingTables!$C$31,H245=MappingTables!$C$32)),1,VLOOKUP(CONCATENATE($D245,$G245),CSRFinput!$B:$E,4,0))),0,IF(AND(VLOOKUP(CONCATENATE($D245,$G245),CSRFinput!$B:$E,4,0)=0,OR(H245=MappingTables!$C$31,H245=MappingTables!$C$32)),1,VLOOKUP(CONCATENATE($D245,$G245),CSRFinput!$B:$E,4,0)))</f>
        <v>0.054776304963434752</v>
      </c>
      <c r="S245" s="73">
        <f>IF(B245="",0,P245*R245)</f>
        <v>390.6108193737804</v>
      </c>
      <c r="T245" s="85">
        <f>IF(B245="",0,IF(OR(H245=MappingTables!$C$34,H245=MappingTables!$C$35),S245,0))</f>
        <v>0</v>
      </c>
    </row>
    <row r="246" spans="2:20" s="0" customFormat="0" ht="15">
      <c r="B246" s="69" t="s">
        <v>3584</v>
      </c>
      <c r="C246" s="70" t="s">
        <v>3585</v>
      </c>
      <c r="D246" s="70" t="s">
        <v>1</v>
      </c>
      <c r="E246" s="70" t="s">
        <v>1</v>
      </c>
      <c r="F246" s="70"/>
      <c r="G246" s="70" t="s">
        <v>61</v>
      </c>
      <c r="H246" s="70" t="s">
        <v>178</v>
      </c>
      <c r="I246" s="70" t="s">
        <v>198</v>
      </c>
      <c r="J246" s="71" t="str">
        <f>IF(OR(I246=0,I246=""),"unrated",VLOOKUP(I246,MappingTables!$B$19:$C$31,2,FALSE))</f>
        <v>unrated</v>
      </c>
      <c r="K246" s="72">
        <v>3543.444717012694</v>
      </c>
      <c r="L246" s="70">
        <v>0.0094505440591740448</v>
      </c>
      <c r="M246" s="71">
        <f>IF(L246&lt;1,1,L246)</f>
        <v>1</v>
      </c>
      <c r="N246" s="70" t="s">
        <v>3288</v>
      </c>
      <c r="O246" s="71">
        <f>IF(OR(I246=$A$1,I246=0),"",IF(N246=MappingTables!$C$14,VLOOKUP(J246,ModelParameters!$M$8:$N$15,2,FALSE),IF(N246=MappingTables!$C$16,VLOOKUP(J246,ModelParameters!$P$8:$Q$15,2,FALSE),0)))</f>
        <v>1</v>
      </c>
      <c r="P246" s="73">
        <f>IF(OR(I246=0,I246=$A$1),0,MIN(O246*M246,1)*K246)</f>
        <v>3543.444717012694</v>
      </c>
      <c r="Q246" s="73">
        <f>IF(B246="",0,IF(OR(H246=MappingTables!$C$34,H246=MappingTables!$C$35),P246,0))</f>
        <v>0</v>
      </c>
      <c r="R246" s="73">
        <f>IF(ISNA(IF(AND(VLOOKUP(CONCATENATE($D246,$G246),CSRFinput!$B:$E,4,0)=0,OR(H246=MappingTables!$C$31,H246=MappingTables!$C$32)),1,VLOOKUP(CONCATENATE($D246,$G246),CSRFinput!$B:$E,4,0))),0,IF(AND(VLOOKUP(CONCATENATE($D246,$G246),CSRFinput!$B:$E,4,0)=0,OR(H246=MappingTables!$C$31,H246=MappingTables!$C$32)),1,VLOOKUP(CONCATENATE($D246,$G246),CSRFinput!$B:$E,4,0)))</f>
        <v>0.054776304963434752</v>
      </c>
      <c r="S246" s="73">
        <f>IF(B246="",0,P246*R246)</f>
        <v>194.09680844015908</v>
      </c>
      <c r="T246" s="85">
        <f>IF(B246="",0,IF(OR(H246=MappingTables!$C$34,H246=MappingTables!$C$35),S246,0))</f>
        <v>0</v>
      </c>
    </row>
    <row r="247" spans="2:20" s="0" customFormat="0" ht="15">
      <c r="B247" s="69">
        <v>16974053</v>
      </c>
      <c r="C247" s="70" t="s">
        <v>3676</v>
      </c>
      <c r="D247" s="70" t="s">
        <v>1</v>
      </c>
      <c r="E247" s="70" t="s">
        <v>1</v>
      </c>
      <c r="F247" s="70"/>
      <c r="G247" s="70" t="s">
        <v>61</v>
      </c>
      <c r="H247" s="70" t="s">
        <v>178</v>
      </c>
      <c r="I247" s="70" t="s">
        <v>216</v>
      </c>
      <c r="J247" s="71">
        <f>IF(OR(I247=0,I247=""),"unrated",VLOOKUP(I247,MappingTables!$B$19:$C$31,2,FALSE))</f>
        <v>0</v>
      </c>
      <c r="K247" s="72">
        <v>0.83436756954597472</v>
      </c>
      <c r="L247" s="70">
        <v>0.2200366337281348</v>
      </c>
      <c r="M247" s="71">
        <f>IF(L247&lt;1,1,L247)</f>
        <v>1</v>
      </c>
      <c r="N247" s="70" t="s">
        <v>3288</v>
      </c>
      <c r="O247" s="71">
        <f>IF(OR(I247=$A$1,I247=0),"",IF(N247=MappingTables!$C$14,VLOOKUP(J247,ModelParameters!$M$8:$N$15,2,FALSE),IF(N247=MappingTables!$C$16,VLOOKUP(J247,ModelParameters!$P$8:$Q$15,2,FALSE),0)))</f>
        <v>0.125</v>
      </c>
      <c r="P247" s="73">
        <f>IF(OR(I247=0,I247=$A$1),0,MIN(O247*M247,1)*K247)</f>
        <v>0.10429594619324684</v>
      </c>
      <c r="Q247" s="73">
        <f>IF(B247="",0,IF(OR(H247=MappingTables!$C$34,H247=MappingTables!$C$35),P247,0))</f>
        <v>0</v>
      </c>
      <c r="R247" s="73">
        <f>IF(ISNA(IF(AND(VLOOKUP(CONCATENATE($D247,$G247),CSRFinput!$B:$E,4,0)=0,OR(H247=MappingTables!$C$31,H247=MappingTables!$C$32)),1,VLOOKUP(CONCATENATE($D247,$G247),CSRFinput!$B:$E,4,0))),0,IF(AND(VLOOKUP(CONCATENATE($D247,$G247),CSRFinput!$B:$E,4,0)=0,OR(H247=MappingTables!$C$31,H247=MappingTables!$C$32)),1,VLOOKUP(CONCATENATE($D247,$G247),CSRFinput!$B:$E,4,0)))</f>
        <v>0.054776304963434752</v>
      </c>
      <c r="S247" s="73">
        <f>IF(B247="",0,P247*R247)</f>
        <v>0.005712946555131272</v>
      </c>
      <c r="T247" s="85">
        <f>IF(B247="",0,IF(OR(H247=MappingTables!$C$34,H247=MappingTables!$C$35),S247,0))</f>
        <v>0</v>
      </c>
    </row>
    <row r="248" spans="2:20" s="0" customFormat="0" ht="15">
      <c r="B248" s="69" t="s">
        <v>3677</v>
      </c>
      <c r="C248" s="70" t="s">
        <v>3678</v>
      </c>
      <c r="D248" s="70" t="s">
        <v>1</v>
      </c>
      <c r="E248" s="70" t="s">
        <v>1</v>
      </c>
      <c r="F248" s="70"/>
      <c r="G248" s="70" t="s">
        <v>61</v>
      </c>
      <c r="H248" s="70" t="s">
        <v>178</v>
      </c>
      <c r="I248" s="70" t="s">
        <v>204</v>
      </c>
      <c r="J248" s="71">
        <f>IF(OR(I248=0,I248=""),"unrated",VLOOKUP(I248,MappingTables!$B$19:$C$31,2,FALSE))</f>
        <v>6</v>
      </c>
      <c r="K248" s="72">
        <v>2046.2534194186452</v>
      </c>
      <c r="L248" s="70">
        <v>0.06848964256384232</v>
      </c>
      <c r="M248" s="71">
        <f>IF(L248&lt;1,1,L248)</f>
        <v>1</v>
      </c>
      <c r="N248" s="70" t="s">
        <v>3288</v>
      </c>
      <c r="O248" s="71">
        <f>IF(OR(I248=$A$1,I248=0),"",IF(N248=MappingTables!$C$14,VLOOKUP(J248,ModelParameters!$M$8:$N$15,2,FALSE),IF(N248=MappingTables!$C$16,VLOOKUP(J248,ModelParameters!$P$8:$Q$15,2,FALSE),0)))</f>
        <v>1</v>
      </c>
      <c r="P248" s="73">
        <f>IF(OR(I248=0,I248=$A$1),0,MIN(O248*M248,1)*K248)</f>
        <v>2046.2534194186452</v>
      </c>
      <c r="Q248" s="73">
        <f>IF(B248="",0,IF(OR(H248=MappingTables!$C$34,H248=MappingTables!$C$35),P248,0))</f>
        <v>0</v>
      </c>
      <c r="R248" s="73">
        <f>IF(ISNA(IF(AND(VLOOKUP(CONCATENATE($D248,$G248),CSRFinput!$B:$E,4,0)=0,OR(H248=MappingTables!$C$31,H248=MappingTables!$C$32)),1,VLOOKUP(CONCATENATE($D248,$G248),CSRFinput!$B:$E,4,0))),0,IF(AND(VLOOKUP(CONCATENATE($D248,$G248),CSRFinput!$B:$E,4,0)=0,OR(H248=MappingTables!$C$31,H248=MappingTables!$C$32)),1,VLOOKUP(CONCATENATE($D248,$G248),CSRFinput!$B:$E,4,0)))</f>
        <v>0.054776304963434752</v>
      </c>
      <c r="S248" s="73">
        <f>IF(B248="",0,P248*R248)</f>
        <v>112.08620133454688</v>
      </c>
      <c r="T248" s="85">
        <f>IF(B248="",0,IF(OR(H248=MappingTables!$C$34,H248=MappingTables!$C$35),S248,0))</f>
        <v>0</v>
      </c>
    </row>
    <row r="249" spans="2:20" s="0" customFormat="0" ht="15">
      <c r="B249" s="69">
        <v>24139330</v>
      </c>
      <c r="C249" s="70" t="s">
        <v>3679</v>
      </c>
      <c r="D249" s="70" t="s">
        <v>1</v>
      </c>
      <c r="E249" s="70" t="s">
        <v>1</v>
      </c>
      <c r="F249" s="70"/>
      <c r="G249" s="70" t="s">
        <v>61</v>
      </c>
      <c r="H249" s="70" t="s">
        <v>178</v>
      </c>
      <c r="I249" s="70" t="s">
        <v>216</v>
      </c>
      <c r="J249" s="71">
        <f>IF(OR(I249=0,I249=""),"unrated",VLOOKUP(I249,MappingTables!$B$19:$C$31,2,FALSE))</f>
        <v>0</v>
      </c>
      <c r="K249" s="72">
        <v>3221.5927787481004</v>
      </c>
      <c r="L249" s="70">
        <v>4.475411603264268</v>
      </c>
      <c r="M249" s="71">
        <f>IF(L249&lt;1,1,L249)</f>
        <v>4.475411603264268</v>
      </c>
      <c r="N249" s="70" t="s">
        <v>3288</v>
      </c>
      <c r="O249" s="71">
        <f>IF(OR(I249=$A$1,I249=0),"",IF(N249=MappingTables!$C$14,VLOOKUP(J249,ModelParameters!$M$8:$N$15,2,FALSE),IF(N249=MappingTables!$C$16,VLOOKUP(J249,ModelParameters!$P$8:$Q$15,2,FALSE),0)))</f>
        <v>0.125</v>
      </c>
      <c r="P249" s="73">
        <f>IF(OR(I249=0,I249=$A$1),0,MIN(O249*M249,1)*K249)</f>
        <v>1802.2442128752032</v>
      </c>
      <c r="Q249" s="73">
        <f>IF(B249="",0,IF(OR(H249=MappingTables!$C$34,H249=MappingTables!$C$35),P249,0))</f>
        <v>0</v>
      </c>
      <c r="R249" s="73">
        <f>IF(ISNA(IF(AND(VLOOKUP(CONCATENATE($D249,$G249),CSRFinput!$B:$E,4,0)=0,OR(H249=MappingTables!$C$31,H249=MappingTables!$C$32)),1,VLOOKUP(CONCATENATE($D249,$G249),CSRFinput!$B:$E,4,0))),0,IF(AND(VLOOKUP(CONCATENATE($D249,$G249),CSRFinput!$B:$E,4,0)=0,OR(H249=MappingTables!$C$31,H249=MappingTables!$C$32)),1,VLOOKUP(CONCATENATE($D249,$G249),CSRFinput!$B:$E,4,0)))</f>
        <v>0.054776304963434752</v>
      </c>
      <c r="S249" s="73">
        <f>IF(B249="",0,P249*R249)</f>
        <v>98.720278623037552</v>
      </c>
      <c r="T249" s="85">
        <f>IF(B249="",0,IF(OR(H249=MappingTables!$C$34,H249=MappingTables!$C$35),S249,0))</f>
        <v>0</v>
      </c>
    </row>
    <row r="250" spans="2:20" s="0" customFormat="0" ht="15">
      <c r="B250" s="69" t="s">
        <v>3680</v>
      </c>
      <c r="C250" s="70" t="s">
        <v>3681</v>
      </c>
      <c r="D250" s="70" t="s">
        <v>1</v>
      </c>
      <c r="E250" s="70" t="s">
        <v>1</v>
      </c>
      <c r="F250" s="70"/>
      <c r="G250" s="70" t="s">
        <v>61</v>
      </c>
      <c r="H250" s="70" t="s">
        <v>178</v>
      </c>
      <c r="I250" s="70" t="s">
        <v>179</v>
      </c>
      <c r="J250" s="71">
        <f>IF(OR(I250=0,I250=""),"unrated",VLOOKUP(I250,MappingTables!$B$19:$C$31,2,FALSE))</f>
        <v>4</v>
      </c>
      <c r="K250" s="72">
        <v>1215.600800247912</v>
      </c>
      <c r="L250" s="70">
        <v>0.067599330978975704</v>
      </c>
      <c r="M250" s="71">
        <f>IF(L250&lt;1,1,L250)</f>
        <v>1</v>
      </c>
      <c r="N250" s="70" t="s">
        <v>3288</v>
      </c>
      <c r="O250" s="71">
        <f>IF(OR(I250=$A$1,I250=0),"",IF(N250=MappingTables!$C$14,VLOOKUP(J250,ModelParameters!$M$8:$N$15,2,FALSE),IF(N250=MappingTables!$C$16,VLOOKUP(J250,ModelParameters!$P$8:$Q$15,2,FALSE),0)))</f>
        <v>0.82</v>
      </c>
      <c r="P250" s="73">
        <f>IF(OR(I250=0,I250=$A$1),0,MIN(O250*M250,1)*K250)</f>
        <v>996.79265620328784</v>
      </c>
      <c r="Q250" s="73">
        <f>IF(B250="",0,IF(OR(H250=MappingTables!$C$34,H250=MappingTables!$C$35),P250,0))</f>
        <v>0</v>
      </c>
      <c r="R250" s="73">
        <f>IF(ISNA(IF(AND(VLOOKUP(CONCATENATE($D250,$G250),CSRFinput!$B:$E,4,0)=0,OR(H250=MappingTables!$C$31,H250=MappingTables!$C$32)),1,VLOOKUP(CONCATENATE($D250,$G250),CSRFinput!$B:$E,4,0))),0,IF(AND(VLOOKUP(CONCATENATE($D250,$G250),CSRFinput!$B:$E,4,0)=0,OR(H250=MappingTables!$C$31,H250=MappingTables!$C$32)),1,VLOOKUP(CONCATENATE($D250,$G250),CSRFinput!$B:$E,4,0)))</f>
        <v>0.054776304963434752</v>
      </c>
      <c r="S250" s="73">
        <f>IF(B250="",0,P250*R250)</f>
        <v>54.600618521503472</v>
      </c>
      <c r="T250" s="85">
        <f>IF(B250="",0,IF(OR(H250=MappingTables!$C$34,H250=MappingTables!$C$35),S250,0))</f>
        <v>0</v>
      </c>
    </row>
    <row r="251" spans="2:20" s="0" customFormat="0" ht="15">
      <c r="B251" s="69" t="s">
        <v>3682</v>
      </c>
      <c r="C251" s="70" t="s">
        <v>3683</v>
      </c>
      <c r="D251" s="70" t="s">
        <v>1</v>
      </c>
      <c r="E251" s="70" t="s">
        <v>1</v>
      </c>
      <c r="F251" s="70"/>
      <c r="G251" s="70" t="s">
        <v>61</v>
      </c>
      <c r="H251" s="70" t="s">
        <v>178</v>
      </c>
      <c r="I251" s="70" t="s">
        <v>220</v>
      </c>
      <c r="J251" s="71">
        <f>IF(OR(I251=0,I251=""),"unrated",VLOOKUP(I251,MappingTables!$B$19:$C$31,2,FALSE))</f>
        <v>1</v>
      </c>
      <c r="K251" s="72">
        <v>3.9370747753834992</v>
      </c>
      <c r="L251" s="70">
        <v>0.054792855106156408</v>
      </c>
      <c r="M251" s="71">
        <f>IF(L251&lt;1,1,L251)</f>
        <v>1</v>
      </c>
      <c r="N251" s="70" t="s">
        <v>3288</v>
      </c>
      <c r="O251" s="71">
        <f>IF(OR(I251=$A$1,I251=0),"",IF(N251=MappingTables!$C$14,VLOOKUP(J251,ModelParameters!$M$8:$N$15,2,FALSE),IF(N251=MappingTables!$C$16,VLOOKUP(J251,ModelParameters!$P$8:$Q$15,2,FALSE),0)))</f>
        <v>0.134</v>
      </c>
      <c r="P251" s="73">
        <f>IF(OR(I251=0,I251=$A$1),0,MIN(O251*M251,1)*K251)</f>
        <v>0.52756801990138888</v>
      </c>
      <c r="Q251" s="73">
        <f>IF(B251="",0,IF(OR(H251=MappingTables!$C$34,H251=MappingTables!$C$35),P251,0))</f>
        <v>0</v>
      </c>
      <c r="R251" s="73">
        <f>IF(ISNA(IF(AND(VLOOKUP(CONCATENATE($D251,$G251),CSRFinput!$B:$E,4,0)=0,OR(H251=MappingTables!$C$31,H251=MappingTables!$C$32)),1,VLOOKUP(CONCATENATE($D251,$G251),CSRFinput!$B:$E,4,0))),0,IF(AND(VLOOKUP(CONCATENATE($D251,$G251),CSRFinput!$B:$E,4,0)=0,OR(H251=MappingTables!$C$31,H251=MappingTables!$C$32)),1,VLOOKUP(CONCATENATE($D251,$G251),CSRFinput!$B:$E,4,0)))</f>
        <v>0.054776304963434752</v>
      </c>
      <c r="S251" s="73">
        <f>IF(B251="",0,P251*R251)</f>
        <v>0.028898226747073896</v>
      </c>
      <c r="T251" s="85">
        <f>IF(B251="",0,IF(OR(H251=MappingTables!$C$34,H251=MappingTables!$C$35),S251,0))</f>
        <v>0</v>
      </c>
    </row>
    <row r="252" spans="2:20" s="0" customFormat="0" ht="15">
      <c r="B252" s="69" t="s">
        <v>3684</v>
      </c>
      <c r="C252" s="70" t="s">
        <v>3685</v>
      </c>
      <c r="D252" s="70" t="s">
        <v>1</v>
      </c>
      <c r="E252" s="70" t="s">
        <v>1</v>
      </c>
      <c r="F252" s="70"/>
      <c r="G252" s="70" t="s">
        <v>61</v>
      </c>
      <c r="H252" s="70" t="s">
        <v>178</v>
      </c>
      <c r="I252" s="70" t="s">
        <v>198</v>
      </c>
      <c r="J252" s="71" t="str">
        <f>IF(OR(I252=0,I252=""),"unrated",VLOOKUP(I252,MappingTables!$B$19:$C$31,2,FALSE))</f>
        <v>unrated</v>
      </c>
      <c r="K252" s="72">
        <v>59.514893985500904</v>
      </c>
      <c r="L252" s="70">
        <v>3.7818080286426368</v>
      </c>
      <c r="M252" s="71">
        <f>IF(L252&lt;1,1,L252)</f>
        <v>3.7818080286426368</v>
      </c>
      <c r="N252" s="70" t="s">
        <v>3288</v>
      </c>
      <c r="O252" s="71">
        <f>IF(OR(I252=$A$1,I252=0),"",IF(N252=MappingTables!$C$14,VLOOKUP(J252,ModelParameters!$M$8:$N$15,2,FALSE),IF(N252=MappingTables!$C$16,VLOOKUP(J252,ModelParameters!$P$8:$Q$15,2,FALSE),0)))</f>
        <v>1</v>
      </c>
      <c r="P252" s="73">
        <f>IF(OR(I252=0,I252=$A$1),0,MIN(O252*M252,1)*K252)</f>
        <v>59.514893985500904</v>
      </c>
      <c r="Q252" s="73">
        <f>IF(B252="",0,IF(OR(H252=MappingTables!$C$34,H252=MappingTables!$C$35),P252,0))</f>
        <v>0</v>
      </c>
      <c r="R252" s="73">
        <f>IF(ISNA(IF(AND(VLOOKUP(CONCATENATE($D252,$G252),CSRFinput!$B:$E,4,0)=0,OR(H252=MappingTables!$C$31,H252=MappingTables!$C$32)),1,VLOOKUP(CONCATENATE($D252,$G252),CSRFinput!$B:$E,4,0))),0,IF(AND(VLOOKUP(CONCATENATE($D252,$G252),CSRFinput!$B:$E,4,0)=0,OR(H252=MappingTables!$C$31,H252=MappingTables!$C$32)),1,VLOOKUP(CONCATENATE($D252,$G252),CSRFinput!$B:$E,4,0)))</f>
        <v>0.054776304963434752</v>
      </c>
      <c r="S252" s="73">
        <f>IF(B252="",0,P252*R252)</f>
        <v>3.260005982816286</v>
      </c>
      <c r="T252" s="85">
        <f>IF(B252="",0,IF(OR(H252=MappingTables!$C$34,H252=MappingTables!$C$35),S252,0))</f>
        <v>0</v>
      </c>
    </row>
    <row r="253" spans="2:20" s="0" customFormat="0" ht="15">
      <c r="B253" s="69" t="s">
        <v>3686</v>
      </c>
      <c r="C253" s="70" t="s">
        <v>3687</v>
      </c>
      <c r="D253" s="70" t="s">
        <v>1</v>
      </c>
      <c r="E253" s="70" t="s">
        <v>1</v>
      </c>
      <c r="F253" s="70"/>
      <c r="G253" s="70" t="s">
        <v>61</v>
      </c>
      <c r="H253" s="70" t="s">
        <v>178</v>
      </c>
      <c r="I253" s="70" t="s">
        <v>198</v>
      </c>
      <c r="J253" s="71" t="str">
        <f>IF(OR(I253=0,I253=""),"unrated",VLOOKUP(I253,MappingTables!$B$19:$C$31,2,FALSE))</f>
        <v>unrated</v>
      </c>
      <c r="K253" s="72">
        <v>29410.958536742024</v>
      </c>
      <c r="L253" s="70">
        <v>9.7997932472452896</v>
      </c>
      <c r="M253" s="71">
        <f>IF(L253&lt;1,1,L253)</f>
        <v>9.7997932472452896</v>
      </c>
      <c r="N253" s="70" t="s">
        <v>3288</v>
      </c>
      <c r="O253" s="71">
        <f>IF(OR(I253=$A$1,I253=0),"",IF(N253=MappingTables!$C$14,VLOOKUP(J253,ModelParameters!$M$8:$N$15,2,FALSE),IF(N253=MappingTables!$C$16,VLOOKUP(J253,ModelParameters!$P$8:$Q$15,2,FALSE),0)))</f>
        <v>1</v>
      </c>
      <c r="P253" s="73">
        <f>IF(OR(I253=0,I253=$A$1),0,MIN(O253*M253,1)*K253)</f>
        <v>29410.958536742024</v>
      </c>
      <c r="Q253" s="73">
        <f>IF(B253="",0,IF(OR(H253=MappingTables!$C$34,H253=MappingTables!$C$35),P253,0))</f>
        <v>0</v>
      </c>
      <c r="R253" s="73">
        <f>IF(ISNA(IF(AND(VLOOKUP(CONCATENATE($D253,$G253),CSRFinput!$B:$E,4,0)=0,OR(H253=MappingTables!$C$31,H253=MappingTables!$C$32)),1,VLOOKUP(CONCATENATE($D253,$G253),CSRFinput!$B:$E,4,0))),0,IF(AND(VLOOKUP(CONCATENATE($D253,$G253),CSRFinput!$B:$E,4,0)=0,OR(H253=MappingTables!$C$31,H253=MappingTables!$C$32)),1,VLOOKUP(CONCATENATE($D253,$G253),CSRFinput!$B:$E,4,0)))</f>
        <v>0.054776304963434752</v>
      </c>
      <c r="S253" s="73">
        <f>IF(B253="",0,P253*R253)</f>
        <v>1611.0236340755158</v>
      </c>
      <c r="T253" s="85">
        <f>IF(B253="",0,IF(OR(H253=MappingTables!$C$34,H253=MappingTables!$C$35),S253,0))</f>
        <v>0</v>
      </c>
    </row>
    <row r="254" spans="2:20" s="0" customFormat="0" ht="15">
      <c r="B254" s="69" t="s">
        <v>3688</v>
      </c>
      <c r="C254" s="70" t="s">
        <v>3689</v>
      </c>
      <c r="D254" s="70" t="s">
        <v>1</v>
      </c>
      <c r="E254" s="70" t="s">
        <v>1</v>
      </c>
      <c r="F254" s="70"/>
      <c r="G254" s="70" t="s">
        <v>61</v>
      </c>
      <c r="H254" s="70" t="s">
        <v>178</v>
      </c>
      <c r="I254" s="70" t="s">
        <v>184</v>
      </c>
      <c r="J254" s="71">
        <f>IF(OR(I254=0,I254=""),"unrated",VLOOKUP(I254,MappingTables!$B$19:$C$31,2,FALSE))</f>
        <v>5</v>
      </c>
      <c r="K254" s="72">
        <v>767.49224906734288</v>
      </c>
      <c r="L254" s="70">
        <v>0.04109674702499248</v>
      </c>
      <c r="M254" s="71">
        <f>IF(L254&lt;1,1,L254)</f>
        <v>1</v>
      </c>
      <c r="N254" s="70" t="s">
        <v>3288</v>
      </c>
      <c r="O254" s="71">
        <f>IF(OR(I254=$A$1,I254=0),"",IF(N254=MappingTables!$C$14,VLOOKUP(J254,ModelParameters!$M$8:$N$15,2,FALSE),IF(N254=MappingTables!$C$16,VLOOKUP(J254,ModelParameters!$P$8:$Q$15,2,FALSE),0)))</f>
        <v>1</v>
      </c>
      <c r="P254" s="73">
        <f>IF(OR(I254=0,I254=$A$1),0,MIN(O254*M254,1)*K254)</f>
        <v>767.49224906734288</v>
      </c>
      <c r="Q254" s="73">
        <f>IF(B254="",0,IF(OR(H254=MappingTables!$C$34,H254=MappingTables!$C$35),P254,0))</f>
        <v>0</v>
      </c>
      <c r="R254" s="73">
        <f>IF(ISNA(IF(AND(VLOOKUP(CONCATENATE($D254,$G254),CSRFinput!$B:$E,4,0)=0,OR(H254=MappingTables!$C$31,H254=MappingTables!$C$32)),1,VLOOKUP(CONCATENATE($D254,$G254),CSRFinput!$B:$E,4,0))),0,IF(AND(VLOOKUP(CONCATENATE($D254,$G254),CSRFinput!$B:$E,4,0)=0,OR(H254=MappingTables!$C$31,H254=MappingTables!$C$32)),1,VLOOKUP(CONCATENATE($D254,$G254),CSRFinput!$B:$E,4,0)))</f>
        <v>0.054776304963434752</v>
      </c>
      <c r="S254" s="73">
        <f>IF(B254="",0,P254*R254)</f>
        <v>42.040389491985192</v>
      </c>
      <c r="T254" s="85">
        <f>IF(B254="",0,IF(OR(H254=MappingTables!$C$34,H254=MappingTables!$C$35),S254,0))</f>
        <v>0</v>
      </c>
    </row>
    <row r="255" spans="2:20" s="0" customFormat="0" ht="15">
      <c r="B255" s="69" t="s">
        <v>3690</v>
      </c>
      <c r="C255" s="70" t="s">
        <v>3691</v>
      </c>
      <c r="D255" s="70" t="s">
        <v>1</v>
      </c>
      <c r="E255" s="70" t="s">
        <v>1</v>
      </c>
      <c r="F255" s="70"/>
      <c r="G255" s="70" t="s">
        <v>61</v>
      </c>
      <c r="H255" s="70" t="s">
        <v>178</v>
      </c>
      <c r="I255" s="70" t="s">
        <v>513</v>
      </c>
      <c r="J255" s="71">
        <f>IF(OR(I255=0,I255=""),"unrated",VLOOKUP(I255,MappingTables!$B$19:$C$31,2,FALSE))</f>
        <v>6</v>
      </c>
      <c r="K255" s="72">
        <v>7.2690683361929424</v>
      </c>
      <c r="L255" s="70">
        <v>0.068495706594314712</v>
      </c>
      <c r="M255" s="71">
        <f>IF(L255&lt;1,1,L255)</f>
        <v>1</v>
      </c>
      <c r="N255" s="70" t="s">
        <v>3288</v>
      </c>
      <c r="O255" s="71">
        <f>IF(OR(I255=$A$1,I255=0),"",IF(N255=MappingTables!$C$14,VLOOKUP(J255,ModelParameters!$M$8:$N$15,2,FALSE),IF(N255=MappingTables!$C$16,VLOOKUP(J255,ModelParameters!$P$8:$Q$15,2,FALSE),0)))</f>
        <v>1</v>
      </c>
      <c r="P255" s="73">
        <f>IF(OR(I255=0,I255=$A$1),0,MIN(O255*M255,1)*K255)</f>
        <v>7.2690683361929424</v>
      </c>
      <c r="Q255" s="73">
        <f>IF(B255="",0,IF(OR(H255=MappingTables!$C$34,H255=MappingTables!$C$35),P255,0))</f>
        <v>0</v>
      </c>
      <c r="R255" s="73">
        <f>IF(ISNA(IF(AND(VLOOKUP(CONCATENATE($D255,$G255),CSRFinput!$B:$E,4,0)=0,OR(H255=MappingTables!$C$31,H255=MappingTables!$C$32)),1,VLOOKUP(CONCATENATE($D255,$G255),CSRFinput!$B:$E,4,0))),0,IF(AND(VLOOKUP(CONCATENATE($D255,$G255),CSRFinput!$B:$E,4,0)=0,OR(H255=MappingTables!$C$31,H255=MappingTables!$C$32)),1,VLOOKUP(CONCATENATE($D255,$G255),CSRFinput!$B:$E,4,0)))</f>
        <v>0.054776304963434752</v>
      </c>
      <c r="S255" s="73">
        <f>IF(B255="",0,P255*R255)</f>
        <v>0.39817270398335184</v>
      </c>
      <c r="T255" s="85">
        <f>IF(B255="",0,IF(OR(H255=MappingTables!$C$34,H255=MappingTables!$C$35),S255,0))</f>
        <v>0</v>
      </c>
    </row>
    <row r="256" spans="2:20" s="0" customFormat="0" ht="15">
      <c r="B256" s="69" t="s">
        <v>3692</v>
      </c>
      <c r="C256" s="70" t="s">
        <v>3693</v>
      </c>
      <c r="D256" s="70" t="s">
        <v>1</v>
      </c>
      <c r="E256" s="70" t="s">
        <v>1</v>
      </c>
      <c r="F256" s="70"/>
      <c r="G256" s="70" t="s">
        <v>61</v>
      </c>
      <c r="H256" s="70" t="s">
        <v>178</v>
      </c>
      <c r="I256" s="70" t="s">
        <v>198</v>
      </c>
      <c r="J256" s="71" t="str">
        <f>IF(OR(I256=0,I256=""),"unrated",VLOOKUP(I256,MappingTables!$B$19:$C$31,2,FALSE))</f>
        <v>unrated</v>
      </c>
      <c r="K256" s="72">
        <v>2886.3953635325228</v>
      </c>
      <c r="L256" s="70">
        <v>8.5138064630589328</v>
      </c>
      <c r="M256" s="71">
        <f>IF(L256&lt;1,1,L256)</f>
        <v>8.5138064630589328</v>
      </c>
      <c r="N256" s="70" t="s">
        <v>3288</v>
      </c>
      <c r="O256" s="71">
        <f>IF(OR(I256=$A$1,I256=0),"",IF(N256=MappingTables!$C$14,VLOOKUP(J256,ModelParameters!$M$8:$N$15,2,FALSE),IF(N256=MappingTables!$C$16,VLOOKUP(J256,ModelParameters!$P$8:$Q$15,2,FALSE),0)))</f>
        <v>1</v>
      </c>
      <c r="P256" s="73">
        <f>IF(OR(I256=0,I256=$A$1),0,MIN(O256*M256,1)*K256)</f>
        <v>2886.3953635325228</v>
      </c>
      <c r="Q256" s="73">
        <f>IF(B256="",0,IF(OR(H256=MappingTables!$C$34,H256=MappingTables!$C$35),P256,0))</f>
        <v>0</v>
      </c>
      <c r="R256" s="73">
        <f>IF(ISNA(IF(AND(VLOOKUP(CONCATENATE($D256,$G256),CSRFinput!$B:$E,4,0)=0,OR(H256=MappingTables!$C$31,H256=MappingTables!$C$32)),1,VLOOKUP(CONCATENATE($D256,$G256),CSRFinput!$B:$E,4,0))),0,IF(AND(VLOOKUP(CONCATENATE($D256,$G256),CSRFinput!$B:$E,4,0)=0,OR(H256=MappingTables!$C$31,H256=MappingTables!$C$32)),1,VLOOKUP(CONCATENATE($D256,$G256),CSRFinput!$B:$E,4,0)))</f>
        <v>0.054776304963434752</v>
      </c>
      <c r="S256" s="73">
        <f>IF(B256="",0,P256*R256)</f>
        <v>158.10607267790158</v>
      </c>
      <c r="T256" s="85">
        <f>IF(B256="",0,IF(OR(H256=MappingTables!$C$34,H256=MappingTables!$C$35),S256,0))</f>
        <v>0</v>
      </c>
    </row>
    <row r="257" spans="2:20" s="0" customFormat="0" ht="15">
      <c r="B257" s="69" t="s">
        <v>3694</v>
      </c>
      <c r="C257" s="70" t="s">
        <v>3695</v>
      </c>
      <c r="D257" s="70" t="s">
        <v>1</v>
      </c>
      <c r="E257" s="70" t="s">
        <v>1</v>
      </c>
      <c r="F257" s="70"/>
      <c r="G257" s="70" t="s">
        <v>61</v>
      </c>
      <c r="H257" s="70" t="s">
        <v>178</v>
      </c>
      <c r="I257" s="70" t="s">
        <v>198</v>
      </c>
      <c r="J257" s="71" t="str">
        <f>IF(OR(I257=0,I257=""),"unrated",VLOOKUP(I257,MappingTables!$B$19:$C$31,2,FALSE))</f>
        <v>unrated</v>
      </c>
      <c r="K257" s="72">
        <v>135.9258464175092</v>
      </c>
      <c r="L257" s="70">
        <v>0.068495535746709104</v>
      </c>
      <c r="M257" s="71">
        <f>IF(L257&lt;1,1,L257)</f>
        <v>1</v>
      </c>
      <c r="N257" s="70" t="s">
        <v>3288</v>
      </c>
      <c r="O257" s="71">
        <f>IF(OR(I257=$A$1,I257=0),"",IF(N257=MappingTables!$C$14,VLOOKUP(J257,ModelParameters!$M$8:$N$15,2,FALSE),IF(N257=MappingTables!$C$16,VLOOKUP(J257,ModelParameters!$P$8:$Q$15,2,FALSE),0)))</f>
        <v>1</v>
      </c>
      <c r="P257" s="73">
        <f>IF(OR(I257=0,I257=$A$1),0,MIN(O257*M257,1)*K257)</f>
        <v>135.9258464175092</v>
      </c>
      <c r="Q257" s="73">
        <f>IF(B257="",0,IF(OR(H257=MappingTables!$C$34,H257=MappingTables!$C$35),P257,0))</f>
        <v>0</v>
      </c>
      <c r="R257" s="73">
        <f>IF(ISNA(IF(AND(VLOOKUP(CONCATENATE($D257,$G257),CSRFinput!$B:$E,4,0)=0,OR(H257=MappingTables!$C$31,H257=MappingTables!$C$32)),1,VLOOKUP(CONCATENATE($D257,$G257),CSRFinput!$B:$E,4,0))),0,IF(AND(VLOOKUP(CONCATENATE($D257,$G257),CSRFinput!$B:$E,4,0)=0,OR(H257=MappingTables!$C$31,H257=MappingTables!$C$32)),1,VLOOKUP(CONCATENATE($D257,$G257),CSRFinput!$B:$E,4,0)))</f>
        <v>0.054776304963434752</v>
      </c>
      <c r="S257" s="73">
        <f>IF(B257="",0,P257*R257)</f>
        <v>7.44551561577848</v>
      </c>
      <c r="T257" s="85">
        <f>IF(B257="",0,IF(OR(H257=MappingTables!$C$34,H257=MappingTables!$C$35),S257,0))</f>
        <v>0</v>
      </c>
    </row>
    <row r="258" spans="2:20" s="0" customFormat="0" ht="15">
      <c r="B258" s="69" t="s">
        <v>3696</v>
      </c>
      <c r="C258" s="70" t="s">
        <v>3697</v>
      </c>
      <c r="D258" s="70" t="s">
        <v>1</v>
      </c>
      <c r="E258" s="70" t="s">
        <v>1</v>
      </c>
      <c r="F258" s="70"/>
      <c r="G258" s="70" t="s">
        <v>61</v>
      </c>
      <c r="H258" s="70" t="s">
        <v>178</v>
      </c>
      <c r="I258" s="70" t="s">
        <v>204</v>
      </c>
      <c r="J258" s="71">
        <f>IF(OR(I258=0,I258=""),"unrated",VLOOKUP(I258,MappingTables!$B$19:$C$31,2,FALSE))</f>
        <v>6</v>
      </c>
      <c r="K258" s="72">
        <v>258.09216386320304</v>
      </c>
      <c r="L258" s="70">
        <v>0.068490614765846832</v>
      </c>
      <c r="M258" s="71">
        <f>IF(L258&lt;1,1,L258)</f>
        <v>1</v>
      </c>
      <c r="N258" s="70" t="s">
        <v>3288</v>
      </c>
      <c r="O258" s="71">
        <f>IF(OR(I258=$A$1,I258=0),"",IF(N258=MappingTables!$C$14,VLOOKUP(J258,ModelParameters!$M$8:$N$15,2,FALSE),IF(N258=MappingTables!$C$16,VLOOKUP(J258,ModelParameters!$P$8:$Q$15,2,FALSE),0)))</f>
        <v>1</v>
      </c>
      <c r="P258" s="73">
        <f>IF(OR(I258=0,I258=$A$1),0,MIN(O258*M258,1)*K258)</f>
        <v>258.09216386320304</v>
      </c>
      <c r="Q258" s="73">
        <f>IF(B258="",0,IF(OR(H258=MappingTables!$C$34,H258=MappingTables!$C$35),P258,0))</f>
        <v>0</v>
      </c>
      <c r="R258" s="73">
        <f>IF(ISNA(IF(AND(VLOOKUP(CONCATENATE($D258,$G258),CSRFinput!$B:$E,4,0)=0,OR(H258=MappingTables!$C$31,H258=MappingTables!$C$32)),1,VLOOKUP(CONCATENATE($D258,$G258),CSRFinput!$B:$E,4,0))),0,IF(AND(VLOOKUP(CONCATENATE($D258,$G258),CSRFinput!$B:$E,4,0)=0,OR(H258=MappingTables!$C$31,H258=MappingTables!$C$32)),1,VLOOKUP(CONCATENATE($D258,$G258),CSRFinput!$B:$E,4,0)))</f>
        <v>0.054776304963434752</v>
      </c>
      <c r="S258" s="73">
        <f>IF(B258="",0,P258*R258)</f>
        <v>14.137335076443584</v>
      </c>
      <c r="T258" s="85">
        <f>IF(B258="",0,IF(OR(H258=MappingTables!$C$34,H258=MappingTables!$C$35),S258,0))</f>
        <v>0</v>
      </c>
    </row>
    <row r="259" spans="2:20" s="0" customFormat="0" ht="15">
      <c r="B259" s="69" t="s">
        <v>3698</v>
      </c>
      <c r="C259" s="70" t="s">
        <v>3699</v>
      </c>
      <c r="D259" s="70" t="s">
        <v>1</v>
      </c>
      <c r="E259" s="70" t="s">
        <v>1</v>
      </c>
      <c r="F259" s="70"/>
      <c r="G259" s="70" t="s">
        <v>61</v>
      </c>
      <c r="H259" s="70" t="s">
        <v>178</v>
      </c>
      <c r="I259" s="70" t="s">
        <v>3298</v>
      </c>
      <c r="J259" s="71">
        <f>IF(OR(I259=0,I259=""),"unrated",VLOOKUP(I259,MappingTables!$B$19:$C$31,2,FALSE))</f>
        <v>6</v>
      </c>
      <c r="K259" s="72">
        <v>113.3499297356197</v>
      </c>
      <c r="L259" s="70">
        <v>9.0312026839222704</v>
      </c>
      <c r="M259" s="71">
        <f>IF(L259&lt;1,1,L259)</f>
        <v>9.0312026839222704</v>
      </c>
      <c r="N259" s="70" t="s">
        <v>3288</v>
      </c>
      <c r="O259" s="71">
        <f>IF(OR(I259=$A$1,I259=0),"",IF(N259=MappingTables!$C$14,VLOOKUP(J259,ModelParameters!$M$8:$N$15,2,FALSE),IF(N259=MappingTables!$C$16,VLOOKUP(J259,ModelParameters!$P$8:$Q$15,2,FALSE),0)))</f>
        <v>1</v>
      </c>
      <c r="P259" s="73">
        <f>IF(OR(I259=0,I259=$A$1),0,MIN(O259*M259,1)*K259)</f>
        <v>113.3499297356197</v>
      </c>
      <c r="Q259" s="73">
        <f>IF(B259="",0,IF(OR(H259=MappingTables!$C$34,H259=MappingTables!$C$35),P259,0))</f>
        <v>0</v>
      </c>
      <c r="R259" s="73">
        <f>IF(ISNA(IF(AND(VLOOKUP(CONCATENATE($D259,$G259),CSRFinput!$B:$E,4,0)=0,OR(H259=MappingTables!$C$31,H259=MappingTables!$C$32)),1,VLOOKUP(CONCATENATE($D259,$G259),CSRFinput!$B:$E,4,0))),0,IF(AND(VLOOKUP(CONCATENATE($D259,$G259),CSRFinput!$B:$E,4,0)=0,OR(H259=MappingTables!$C$31,H259=MappingTables!$C$32)),1,VLOOKUP(CONCATENATE($D259,$G259),CSRFinput!$B:$E,4,0)))</f>
        <v>0.054776304963434752</v>
      </c>
      <c r="S259" s="73">
        <f>IF(B259="",0,P259*R259)</f>
        <v>6.2088903187822056</v>
      </c>
      <c r="T259" s="85">
        <f>IF(B259="",0,IF(OR(H259=MappingTables!$C$34,H259=MappingTables!$C$35),S259,0))</f>
        <v>0</v>
      </c>
    </row>
    <row r="260" spans="2:20" s="0" customFormat="0" ht="15">
      <c r="B260" s="69" t="s">
        <v>3700</v>
      </c>
      <c r="C260" s="70" t="s">
        <v>3701</v>
      </c>
      <c r="D260" s="70" t="s">
        <v>1</v>
      </c>
      <c r="E260" s="70" t="s">
        <v>1</v>
      </c>
      <c r="F260" s="70"/>
      <c r="G260" s="70" t="s">
        <v>61</v>
      </c>
      <c r="H260" s="70" t="s">
        <v>178</v>
      </c>
      <c r="I260" s="70" t="s">
        <v>198</v>
      </c>
      <c r="J260" s="71" t="str">
        <f>IF(OR(I260=0,I260=""),"unrated",VLOOKUP(I260,MappingTables!$B$19:$C$31,2,FALSE))</f>
        <v>unrated</v>
      </c>
      <c r="K260" s="72">
        <v>7.517178104701424</v>
      </c>
      <c r="L260" s="70">
        <v>20.984772760485164</v>
      </c>
      <c r="M260" s="71">
        <f>IF(L260&lt;1,1,L260)</f>
        <v>20.984772760485164</v>
      </c>
      <c r="N260" s="70" t="s">
        <v>3288</v>
      </c>
      <c r="O260" s="71">
        <f>IF(OR(I260=$A$1,I260=0),"",IF(N260=MappingTables!$C$14,VLOOKUP(J260,ModelParameters!$M$8:$N$15,2,FALSE),IF(N260=MappingTables!$C$16,VLOOKUP(J260,ModelParameters!$P$8:$Q$15,2,FALSE),0)))</f>
        <v>1</v>
      </c>
      <c r="P260" s="73">
        <f>IF(OR(I260=0,I260=$A$1),0,MIN(O260*M260,1)*K260)</f>
        <v>7.517178104701424</v>
      </c>
      <c r="Q260" s="73">
        <f>IF(B260="",0,IF(OR(H260=MappingTables!$C$34,H260=MappingTables!$C$35),P260,0))</f>
        <v>0</v>
      </c>
      <c r="R260" s="73">
        <f>IF(ISNA(IF(AND(VLOOKUP(CONCATENATE($D260,$G260),CSRFinput!$B:$E,4,0)=0,OR(H260=MappingTables!$C$31,H260=MappingTables!$C$32)),1,VLOOKUP(CONCATENATE($D260,$G260),CSRFinput!$B:$E,4,0))),0,IF(AND(VLOOKUP(CONCATENATE($D260,$G260),CSRFinput!$B:$E,4,0)=0,OR(H260=MappingTables!$C$31,H260=MappingTables!$C$32)),1,VLOOKUP(CONCATENATE($D260,$G260),CSRFinput!$B:$E,4,0)))</f>
        <v>0.054776304963434752</v>
      </c>
      <c r="S260" s="73">
        <f>IF(B260="",0,P260*R260)</f>
        <v>0.41176324032757968</v>
      </c>
      <c r="T260" s="85">
        <f>IF(B260="",0,IF(OR(H260=MappingTables!$C$34,H260=MappingTables!$C$35),S260,0))</f>
        <v>0</v>
      </c>
    </row>
    <row r="261" spans="2:20" s="0" customFormat="0" ht="15">
      <c r="B261" s="69" t="s">
        <v>3702</v>
      </c>
      <c r="C261" s="70" t="s">
        <v>3703</v>
      </c>
      <c r="D261" s="70" t="s">
        <v>1</v>
      </c>
      <c r="E261" s="70" t="s">
        <v>1</v>
      </c>
      <c r="F261" s="70"/>
      <c r="G261" s="70" t="s">
        <v>61</v>
      </c>
      <c r="H261" s="70" t="s">
        <v>178</v>
      </c>
      <c r="I261" s="70" t="s">
        <v>3298</v>
      </c>
      <c r="J261" s="71">
        <f>IF(OR(I261=0,I261=""),"unrated",VLOOKUP(I261,MappingTables!$B$19:$C$31,2,FALSE))</f>
        <v>6</v>
      </c>
      <c r="K261" s="72">
        <v>332.37239838830404</v>
      </c>
      <c r="L261" s="70">
        <v>0.068492768026547456</v>
      </c>
      <c r="M261" s="71">
        <f>IF(L261&lt;1,1,L261)</f>
        <v>1</v>
      </c>
      <c r="N261" s="70" t="s">
        <v>3288</v>
      </c>
      <c r="O261" s="71">
        <f>IF(OR(I261=$A$1,I261=0),"",IF(N261=MappingTables!$C$14,VLOOKUP(J261,ModelParameters!$M$8:$N$15,2,FALSE),IF(N261=MappingTables!$C$16,VLOOKUP(J261,ModelParameters!$P$8:$Q$15,2,FALSE),0)))</f>
        <v>1</v>
      </c>
      <c r="P261" s="73">
        <f>IF(OR(I261=0,I261=$A$1),0,MIN(O261*M261,1)*K261)</f>
        <v>332.37239838830404</v>
      </c>
      <c r="Q261" s="73">
        <f>IF(B261="",0,IF(OR(H261=MappingTables!$C$34,H261=MappingTables!$C$35),P261,0))</f>
        <v>0</v>
      </c>
      <c r="R261" s="73">
        <f>IF(ISNA(IF(AND(VLOOKUP(CONCATENATE($D261,$G261),CSRFinput!$B:$E,4,0)=0,OR(H261=MappingTables!$C$31,H261=MappingTables!$C$32)),1,VLOOKUP(CONCATENATE($D261,$G261),CSRFinput!$B:$E,4,0))),0,IF(AND(VLOOKUP(CONCATENATE($D261,$G261),CSRFinput!$B:$E,4,0)=0,OR(H261=MappingTables!$C$31,H261=MappingTables!$C$32)),1,VLOOKUP(CONCATENATE($D261,$G261),CSRFinput!$B:$E,4,0)))</f>
        <v>0.054776304963434752</v>
      </c>
      <c r="S261" s="73">
        <f>IF(B261="",0,P261*R261)</f>
        <v>18.206131855545968</v>
      </c>
      <c r="T261" s="85">
        <f>IF(B261="",0,IF(OR(H261=MappingTables!$C$34,H261=MappingTables!$C$35),S261,0))</f>
        <v>0</v>
      </c>
    </row>
    <row r="262" spans="2:20" s="0" customFormat="0" ht="15">
      <c r="B262" s="69">
        <v>2986441</v>
      </c>
      <c r="C262" s="70" t="s">
        <v>3704</v>
      </c>
      <c r="D262" s="70" t="s">
        <v>1</v>
      </c>
      <c r="E262" s="70" t="s">
        <v>1</v>
      </c>
      <c r="F262" s="70"/>
      <c r="G262" s="70" t="s">
        <v>61</v>
      </c>
      <c r="H262" s="70" t="s">
        <v>178</v>
      </c>
      <c r="I262" s="70" t="s">
        <v>184</v>
      </c>
      <c r="J262" s="71">
        <f>IF(OR(I262=0,I262=""),"unrated",VLOOKUP(I262,MappingTables!$B$19:$C$31,2,FALSE))</f>
        <v>5</v>
      </c>
      <c r="K262" s="72">
        <v>93.499805945762304</v>
      </c>
      <c r="L262" s="70">
        <v>0.071803695739935736</v>
      </c>
      <c r="M262" s="71">
        <f>IF(L262&lt;1,1,L262)</f>
        <v>1</v>
      </c>
      <c r="N262" s="70" t="s">
        <v>3288</v>
      </c>
      <c r="O262" s="71">
        <f>IF(OR(I262=$A$1,I262=0),"",IF(N262=MappingTables!$C$14,VLOOKUP(J262,ModelParameters!$M$8:$N$15,2,FALSE),IF(N262=MappingTables!$C$16,VLOOKUP(J262,ModelParameters!$P$8:$Q$15,2,FALSE),0)))</f>
        <v>1</v>
      </c>
      <c r="P262" s="73">
        <f>IF(OR(I262=0,I262=$A$1),0,MIN(O262*M262,1)*K262)</f>
        <v>93.499805945762304</v>
      </c>
      <c r="Q262" s="73">
        <f>IF(B262="",0,IF(OR(H262=MappingTables!$C$34,H262=MappingTables!$C$35),P262,0))</f>
        <v>0</v>
      </c>
      <c r="R262" s="73">
        <f>IF(ISNA(IF(AND(VLOOKUP(CONCATENATE($D262,$G262),CSRFinput!$B:$E,4,0)=0,OR(H262=MappingTables!$C$31,H262=MappingTables!$C$32)),1,VLOOKUP(CONCATENATE($D262,$G262),CSRFinput!$B:$E,4,0))),0,IF(AND(VLOOKUP(CONCATENATE($D262,$G262),CSRFinput!$B:$E,4,0)=0,OR(H262=MappingTables!$C$31,H262=MappingTables!$C$32)),1,VLOOKUP(CONCATENATE($D262,$G262),CSRFinput!$B:$E,4,0)))</f>
        <v>0.054776304963434752</v>
      </c>
      <c r="S262" s="73">
        <f>IF(B262="",0,P262*R262)</f>
        <v>5.1215738845070456</v>
      </c>
      <c r="T262" s="85">
        <f>IF(B262="",0,IF(OR(H262=MappingTables!$C$34,H262=MappingTables!$C$35),S262,0))</f>
        <v>0</v>
      </c>
    </row>
    <row r="263" spans="2:20" s="0" customFormat="0" ht="15">
      <c r="B263" s="69" t="s">
        <v>3705</v>
      </c>
      <c r="C263" s="70" t="s">
        <v>3706</v>
      </c>
      <c r="D263" s="70" t="s">
        <v>1</v>
      </c>
      <c r="E263" s="70" t="s">
        <v>1</v>
      </c>
      <c r="F263" s="70"/>
      <c r="G263" s="70" t="s">
        <v>61</v>
      </c>
      <c r="H263" s="70" t="s">
        <v>178</v>
      </c>
      <c r="I263" s="70" t="s">
        <v>198</v>
      </c>
      <c r="J263" s="71" t="str">
        <f>IF(OR(I263=0,I263=""),"unrated",VLOOKUP(I263,MappingTables!$B$19:$C$31,2,FALSE))</f>
        <v>unrated</v>
      </c>
      <c r="K263" s="72">
        <v>381.1265830603168</v>
      </c>
      <c r="L263" s="70">
        <v>-1.4756085286026356</v>
      </c>
      <c r="M263" s="71">
        <f>IF(L263&lt;1,1,L263)</f>
        <v>1</v>
      </c>
      <c r="N263" s="70" t="s">
        <v>3288</v>
      </c>
      <c r="O263" s="71">
        <f>IF(OR(I263=$A$1,I263=0),"",IF(N263=MappingTables!$C$14,VLOOKUP(J263,ModelParameters!$M$8:$N$15,2,FALSE),IF(N263=MappingTables!$C$16,VLOOKUP(J263,ModelParameters!$P$8:$Q$15,2,FALSE),0)))</f>
        <v>1</v>
      </c>
      <c r="P263" s="73">
        <f>IF(OR(I263=0,I263=$A$1),0,MIN(O263*M263,1)*K263)</f>
        <v>381.1265830603168</v>
      </c>
      <c r="Q263" s="73">
        <f>IF(B263="",0,IF(OR(H263=MappingTables!$C$34,H263=MappingTables!$C$35),P263,0))</f>
        <v>0</v>
      </c>
      <c r="R263" s="73">
        <f>IF(ISNA(IF(AND(VLOOKUP(CONCATENATE($D263,$G263),CSRFinput!$B:$E,4,0)=0,OR(H263=MappingTables!$C$31,H263=MappingTables!$C$32)),1,VLOOKUP(CONCATENATE($D263,$G263),CSRFinput!$B:$E,4,0))),0,IF(AND(VLOOKUP(CONCATENATE($D263,$G263),CSRFinput!$B:$E,4,0)=0,OR(H263=MappingTables!$C$31,H263=MappingTables!$C$32)),1,VLOOKUP(CONCATENATE($D263,$G263),CSRFinput!$B:$E,4,0)))</f>
        <v>0.054776304963434752</v>
      </c>
      <c r="S263" s="73">
        <f>IF(B263="",0,P263*R263)</f>
        <v>20.87670594338376</v>
      </c>
      <c r="T263" s="85">
        <f>IF(B263="",0,IF(OR(H263=MappingTables!$C$34,H263=MappingTables!$C$35),S263,0))</f>
        <v>0</v>
      </c>
    </row>
    <row r="264" spans="2:20" s="0" customFormat="0" ht="15">
      <c r="B264" s="69" t="s">
        <v>3707</v>
      </c>
      <c r="C264" s="70" t="s">
        <v>3708</v>
      </c>
      <c r="D264" s="70" t="s">
        <v>1</v>
      </c>
      <c r="E264" s="70" t="s">
        <v>1</v>
      </c>
      <c r="F264" s="70"/>
      <c r="G264" s="70" t="s">
        <v>61</v>
      </c>
      <c r="H264" s="70" t="s">
        <v>178</v>
      </c>
      <c r="I264" s="70" t="s">
        <v>198</v>
      </c>
      <c r="J264" s="71" t="str">
        <f>IF(OR(I264=0,I264=""),"unrated",VLOOKUP(I264,MappingTables!$B$19:$C$31,2,FALSE))</f>
        <v>unrated</v>
      </c>
      <c r="K264" s="72">
        <v>36.159147697469648</v>
      </c>
      <c r="L264" s="70">
        <v>0.068489855013434536</v>
      </c>
      <c r="M264" s="71">
        <f>IF(L264&lt;1,1,L264)</f>
        <v>1</v>
      </c>
      <c r="N264" s="70" t="s">
        <v>3288</v>
      </c>
      <c r="O264" s="71">
        <f>IF(OR(I264=$A$1,I264=0),"",IF(N264=MappingTables!$C$14,VLOOKUP(J264,ModelParameters!$M$8:$N$15,2,FALSE),IF(N264=MappingTables!$C$16,VLOOKUP(J264,ModelParameters!$P$8:$Q$15,2,FALSE),0)))</f>
        <v>1</v>
      </c>
      <c r="P264" s="73">
        <f>IF(OR(I264=0,I264=$A$1),0,MIN(O264*M264,1)*K264)</f>
        <v>36.159147697469648</v>
      </c>
      <c r="Q264" s="73">
        <f>IF(B264="",0,IF(OR(H264=MappingTables!$C$34,H264=MappingTables!$C$35),P264,0))</f>
        <v>0</v>
      </c>
      <c r="R264" s="73">
        <f>IF(ISNA(IF(AND(VLOOKUP(CONCATENATE($D264,$G264),CSRFinput!$B:$E,4,0)=0,OR(H264=MappingTables!$C$31,H264=MappingTables!$C$32)),1,VLOOKUP(CONCATENATE($D264,$G264),CSRFinput!$B:$E,4,0))),0,IF(AND(VLOOKUP(CONCATENATE($D264,$G264),CSRFinput!$B:$E,4,0)=0,OR(H264=MappingTables!$C$31,H264=MappingTables!$C$32)),1,VLOOKUP(CONCATENATE($D264,$G264),CSRFinput!$B:$E,4,0)))</f>
        <v>0.054776304963434752</v>
      </c>
      <c r="S264" s="73">
        <f>IF(B264="",0,P264*R264)</f>
        <v>1.9806645014944772</v>
      </c>
      <c r="T264" s="85">
        <f>IF(B264="",0,IF(OR(H264=MappingTables!$C$34,H264=MappingTables!$C$35),S264,0))</f>
        <v>0</v>
      </c>
    </row>
    <row r="265" spans="2:20" s="0" customFormat="0" ht="15">
      <c r="B265" s="69" t="s">
        <v>3709</v>
      </c>
      <c r="C265" s="70" t="s">
        <v>3710</v>
      </c>
      <c r="D265" s="70" t="s">
        <v>1</v>
      </c>
      <c r="E265" s="70" t="s">
        <v>1</v>
      </c>
      <c r="F265" s="70"/>
      <c r="G265" s="70" t="s">
        <v>61</v>
      </c>
      <c r="H265" s="70" t="s">
        <v>178</v>
      </c>
      <c r="I265" s="70" t="s">
        <v>198</v>
      </c>
      <c r="J265" s="71" t="str">
        <f>IF(OR(I265=0,I265=""),"unrated",VLOOKUP(I265,MappingTables!$B$19:$C$31,2,FALSE))</f>
        <v>unrated</v>
      </c>
      <c r="K265" s="72">
        <v>30702.006867948428</v>
      </c>
      <c r="L265" s="70">
        <v>7.3490656154932144</v>
      </c>
      <c r="M265" s="71">
        <f>IF(L265&lt;1,1,L265)</f>
        <v>7.3490656154932144</v>
      </c>
      <c r="N265" s="70" t="s">
        <v>3288</v>
      </c>
      <c r="O265" s="71">
        <f>IF(OR(I265=$A$1,I265=0),"",IF(N265=MappingTables!$C$14,VLOOKUP(J265,ModelParameters!$M$8:$N$15,2,FALSE),IF(N265=MappingTables!$C$16,VLOOKUP(J265,ModelParameters!$P$8:$Q$15,2,FALSE),0)))</f>
        <v>1</v>
      </c>
      <c r="P265" s="73">
        <f>IF(OR(I265=0,I265=$A$1),0,MIN(O265*M265,1)*K265)</f>
        <v>30702.006867948428</v>
      </c>
      <c r="Q265" s="73">
        <f>IF(B265="",0,IF(OR(H265=MappingTables!$C$34,H265=MappingTables!$C$35),P265,0))</f>
        <v>0</v>
      </c>
      <c r="R265" s="73">
        <f>IF(ISNA(IF(AND(VLOOKUP(CONCATENATE($D265,$G265),CSRFinput!$B:$E,4,0)=0,OR(H265=MappingTables!$C$31,H265=MappingTables!$C$32)),1,VLOOKUP(CONCATENATE($D265,$G265),CSRFinput!$B:$E,4,0))),0,IF(AND(VLOOKUP(CONCATENATE($D265,$G265),CSRFinput!$B:$E,4,0)=0,OR(H265=MappingTables!$C$31,H265=MappingTables!$C$32)),1,VLOOKUP(CONCATENATE($D265,$G265),CSRFinput!$B:$E,4,0)))</f>
        <v>0.054776304963434752</v>
      </c>
      <c r="S265" s="73">
        <f>IF(B265="",0,P265*R265)</f>
        <v>1681.7424911882114</v>
      </c>
      <c r="T265" s="85">
        <f>IF(B265="",0,IF(OR(H265=MappingTables!$C$34,H265=MappingTables!$C$35),S265,0))</f>
        <v>0</v>
      </c>
    </row>
    <row r="266" spans="2:20" s="0" customFormat="0" ht="15">
      <c r="B266" s="69">
        <v>4530720</v>
      </c>
      <c r="C266" s="70" t="s">
        <v>3711</v>
      </c>
      <c r="D266" s="70" t="s">
        <v>1</v>
      </c>
      <c r="E266" s="70" t="s">
        <v>1</v>
      </c>
      <c r="F266" s="70"/>
      <c r="G266" s="70" t="s">
        <v>61</v>
      </c>
      <c r="H266" s="70" t="s">
        <v>178</v>
      </c>
      <c r="I266" s="70" t="s">
        <v>216</v>
      </c>
      <c r="J266" s="71">
        <f>IF(OR(I266=0,I266=""),"unrated",VLOOKUP(I266,MappingTables!$B$19:$C$31,2,FALSE))</f>
        <v>0</v>
      </c>
      <c r="K266" s="72">
        <v>2336.3549903115864</v>
      </c>
      <c r="L266" s="70">
        <v>1.1076003810123876</v>
      </c>
      <c r="M266" s="71">
        <f>IF(L266&lt;1,1,L266)</f>
        <v>1.1076003810123876</v>
      </c>
      <c r="N266" s="70" t="s">
        <v>3288</v>
      </c>
      <c r="O266" s="71">
        <f>IF(OR(I266=$A$1,I266=0),"",IF(N266=MappingTables!$C$14,VLOOKUP(J266,ModelParameters!$M$8:$N$15,2,FALSE),IF(N266=MappingTables!$C$16,VLOOKUP(J266,ModelParameters!$P$8:$Q$15,2,FALSE),0)))</f>
        <v>0.125</v>
      </c>
      <c r="P266" s="73">
        <f>IF(OR(I266=0,I266=$A$1),0,MIN(O266*M266,1)*K266)</f>
        <v>323.46845968116328</v>
      </c>
      <c r="Q266" s="73">
        <f>IF(B266="",0,IF(OR(H266=MappingTables!$C$34,H266=MappingTables!$C$35),P266,0))</f>
        <v>0</v>
      </c>
      <c r="R266" s="73">
        <f>IF(ISNA(IF(AND(VLOOKUP(CONCATENATE($D266,$G266),CSRFinput!$B:$E,4,0)=0,OR(H266=MappingTables!$C$31,H266=MappingTables!$C$32)),1,VLOOKUP(CONCATENATE($D266,$G266),CSRFinput!$B:$E,4,0))),0,IF(AND(VLOOKUP(CONCATENATE($D266,$G266),CSRFinput!$B:$E,4,0)=0,OR(H266=MappingTables!$C$31,H266=MappingTables!$C$32)),1,VLOOKUP(CONCATENATE($D266,$G266),CSRFinput!$B:$E,4,0)))</f>
        <v>0.054776304963434752</v>
      </c>
      <c r="S266" s="73">
        <f>IF(B266="",0,P266*R266)</f>
        <v>17.718406993547898</v>
      </c>
      <c r="T266" s="85">
        <f>IF(B266="",0,IF(OR(H266=MappingTables!$C$34,H266=MappingTables!$C$35),S266,0))</f>
        <v>0</v>
      </c>
    </row>
    <row r="267" spans="2:20" s="0" customFormat="0" ht="15">
      <c r="B267" s="69">
        <v>22623701</v>
      </c>
      <c r="C267" s="70" t="s">
        <v>3712</v>
      </c>
      <c r="D267" s="70" t="s">
        <v>1</v>
      </c>
      <c r="E267" s="70" t="s">
        <v>1</v>
      </c>
      <c r="F267" s="70"/>
      <c r="G267" s="70" t="s">
        <v>61</v>
      </c>
      <c r="H267" s="70" t="s">
        <v>178</v>
      </c>
      <c r="I267" s="70" t="s">
        <v>216</v>
      </c>
      <c r="J267" s="71">
        <f>IF(OR(I267=0,I267=""),"unrated",VLOOKUP(I267,MappingTables!$B$19:$C$31,2,FALSE))</f>
        <v>0</v>
      </c>
      <c r="K267" s="72">
        <v>239.4190643661444</v>
      </c>
      <c r="L267" s="70">
        <v>0.032727972165449904</v>
      </c>
      <c r="M267" s="71">
        <f>IF(L267&lt;1,1,L267)</f>
        <v>1</v>
      </c>
      <c r="N267" s="70" t="s">
        <v>3288</v>
      </c>
      <c r="O267" s="71">
        <f>IF(OR(I267=$A$1,I267=0),"",IF(N267=MappingTables!$C$14,VLOOKUP(J267,ModelParameters!$M$8:$N$15,2,FALSE),IF(N267=MappingTables!$C$16,VLOOKUP(J267,ModelParameters!$P$8:$Q$15,2,FALSE),0)))</f>
        <v>0.125</v>
      </c>
      <c r="P267" s="73">
        <f>IF(OR(I267=0,I267=$A$1),0,MIN(O267*M267,1)*K267)</f>
        <v>29.927383045768048</v>
      </c>
      <c r="Q267" s="73">
        <f>IF(B267="",0,IF(OR(H267=MappingTables!$C$34,H267=MappingTables!$C$35),P267,0))</f>
        <v>0</v>
      </c>
      <c r="R267" s="73">
        <f>IF(ISNA(IF(AND(VLOOKUP(CONCATENATE($D267,$G267),CSRFinput!$B:$E,4,0)=0,OR(H267=MappingTables!$C$31,H267=MappingTables!$C$32)),1,VLOOKUP(CONCATENATE($D267,$G267),CSRFinput!$B:$E,4,0))),0,IF(AND(VLOOKUP(CONCATENATE($D267,$G267),CSRFinput!$B:$E,4,0)=0,OR(H267=MappingTables!$C$31,H267=MappingTables!$C$32)),1,VLOOKUP(CONCATENATE($D267,$G267),CSRFinput!$B:$E,4,0)))</f>
        <v>0.054776304963434752</v>
      </c>
      <c r="S267" s="73">
        <f>IF(B267="",0,P267*R267)</f>
        <v>1.6393114604725174</v>
      </c>
      <c r="T267" s="85">
        <f>IF(B267="",0,IF(OR(H267=MappingTables!$C$34,H267=MappingTables!$C$35),S267,0))</f>
        <v>0</v>
      </c>
    </row>
    <row r="268" spans="2:20" s="0" customFormat="0" ht="15">
      <c r="B268" s="69" t="s">
        <v>3713</v>
      </c>
      <c r="C268" s="70" t="s">
        <v>3714</v>
      </c>
      <c r="D268" s="70" t="s">
        <v>1</v>
      </c>
      <c r="E268" s="70" t="s">
        <v>1</v>
      </c>
      <c r="F268" s="70"/>
      <c r="G268" s="70" t="s">
        <v>61</v>
      </c>
      <c r="H268" s="70" t="s">
        <v>178</v>
      </c>
      <c r="I268" s="70" t="s">
        <v>216</v>
      </c>
      <c r="J268" s="71">
        <f>IF(OR(I268=0,I268=""),"unrated",VLOOKUP(I268,MappingTables!$B$19:$C$31,2,FALSE))</f>
        <v>0</v>
      </c>
      <c r="K268" s="72">
        <v>719.14256412546192</v>
      </c>
      <c r="L268" s="70">
        <v>-6.0521849063909184</v>
      </c>
      <c r="M268" s="71">
        <f>IF(L268&lt;1,1,L268)</f>
        <v>1</v>
      </c>
      <c r="N268" s="70" t="s">
        <v>3288</v>
      </c>
      <c r="O268" s="71">
        <f>IF(OR(I268=$A$1,I268=0),"",IF(N268=MappingTables!$C$14,VLOOKUP(J268,ModelParameters!$M$8:$N$15,2,FALSE),IF(N268=MappingTables!$C$16,VLOOKUP(J268,ModelParameters!$P$8:$Q$15,2,FALSE),0)))</f>
        <v>0.125</v>
      </c>
      <c r="P268" s="73">
        <f>IF(OR(I268=0,I268=$A$1),0,MIN(O268*M268,1)*K268)</f>
        <v>89.892820515682736</v>
      </c>
      <c r="Q268" s="73">
        <f>IF(B268="",0,IF(OR(H268=MappingTables!$C$34,H268=MappingTables!$C$35),P268,0))</f>
        <v>0</v>
      </c>
      <c r="R268" s="73">
        <f>IF(ISNA(IF(AND(VLOOKUP(CONCATENATE($D268,$G268),CSRFinput!$B:$E,4,0)=0,OR(H268=MappingTables!$C$31,H268=MappingTables!$C$32)),1,VLOOKUP(CONCATENATE($D268,$G268),CSRFinput!$B:$E,4,0))),0,IF(AND(VLOOKUP(CONCATENATE($D268,$G268),CSRFinput!$B:$E,4,0)=0,OR(H268=MappingTables!$C$31,H268=MappingTables!$C$32)),1,VLOOKUP(CONCATENATE($D268,$G268),CSRFinput!$B:$E,4,0)))</f>
        <v>0.054776304963434752</v>
      </c>
      <c r="S268" s="73">
        <f>IF(B268="",0,P268*R268)</f>
        <v>4.9239965505903424</v>
      </c>
      <c r="T268" s="85">
        <f>IF(B268="",0,IF(OR(H268=MappingTables!$C$34,H268=MappingTables!$C$35),S268,0))</f>
        <v>0</v>
      </c>
    </row>
    <row r="269" spans="2:20" s="0" customFormat="0" ht="15">
      <c r="B269" s="69" t="s">
        <v>3715</v>
      </c>
      <c r="C269" s="70" t="s">
        <v>3716</v>
      </c>
      <c r="D269" s="70" t="s">
        <v>1</v>
      </c>
      <c r="E269" s="70" t="s">
        <v>1</v>
      </c>
      <c r="F269" s="70"/>
      <c r="G269" s="70" t="s">
        <v>61</v>
      </c>
      <c r="H269" s="70" t="s">
        <v>178</v>
      </c>
      <c r="I269" s="70" t="s">
        <v>216</v>
      </c>
      <c r="J269" s="71">
        <f>IF(OR(I269=0,I269=""),"unrated",VLOOKUP(I269,MappingTables!$B$19:$C$31,2,FALSE))</f>
        <v>0</v>
      </c>
      <c r="K269" s="72">
        <v>324.10370850820152</v>
      </c>
      <c r="L269" s="70">
        <v>0.11559577713324244</v>
      </c>
      <c r="M269" s="71">
        <f>IF(L269&lt;1,1,L269)</f>
        <v>1</v>
      </c>
      <c r="N269" s="70" t="s">
        <v>3288</v>
      </c>
      <c r="O269" s="71">
        <f>IF(OR(I269=$A$1,I269=0),"",IF(N269=MappingTables!$C$14,VLOOKUP(J269,ModelParameters!$M$8:$N$15,2,FALSE),IF(N269=MappingTables!$C$16,VLOOKUP(J269,ModelParameters!$P$8:$Q$15,2,FALSE),0)))</f>
        <v>0.125</v>
      </c>
      <c r="P269" s="73">
        <f>IF(OR(I269=0,I269=$A$1),0,MIN(O269*M269,1)*K269)</f>
        <v>40.512963563525192</v>
      </c>
      <c r="Q269" s="73">
        <f>IF(B269="",0,IF(OR(H269=MappingTables!$C$34,H269=MappingTables!$C$35),P269,0))</f>
        <v>0</v>
      </c>
      <c r="R269" s="73">
        <f>IF(ISNA(IF(AND(VLOOKUP(CONCATENATE($D269,$G269),CSRFinput!$B:$E,4,0)=0,OR(H269=MappingTables!$C$31,H269=MappingTables!$C$32)),1,VLOOKUP(CONCATENATE($D269,$G269),CSRFinput!$B:$E,4,0))),0,IF(AND(VLOOKUP(CONCATENATE($D269,$G269),CSRFinput!$B:$E,4,0)=0,OR(H269=MappingTables!$C$31,H269=MappingTables!$C$32)),1,VLOOKUP(CONCATENATE($D269,$G269),CSRFinput!$B:$E,4,0)))</f>
        <v>0.054776304963434752</v>
      </c>
      <c r="S269" s="73">
        <f>IF(B269="",0,P269*R269)</f>
        <v>2.2191504471281764</v>
      </c>
      <c r="T269" s="85">
        <f>IF(B269="",0,IF(OR(H269=MappingTables!$C$34,H269=MappingTables!$C$35),S269,0))</f>
        <v>0</v>
      </c>
    </row>
    <row r="270" spans="2:20" s="0" customFormat="0" ht="15">
      <c r="B270" s="69" t="s">
        <v>3717</v>
      </c>
      <c r="C270" s="70" t="s">
        <v>3718</v>
      </c>
      <c r="D270" s="70" t="s">
        <v>1</v>
      </c>
      <c r="E270" s="70" t="s">
        <v>1</v>
      </c>
      <c r="F270" s="70"/>
      <c r="G270" s="70" t="s">
        <v>61</v>
      </c>
      <c r="H270" s="70" t="s">
        <v>178</v>
      </c>
      <c r="I270" s="70" t="s">
        <v>216</v>
      </c>
      <c r="J270" s="71">
        <f>IF(OR(I270=0,I270=""),"unrated",VLOOKUP(I270,MappingTables!$B$19:$C$31,2,FALSE))</f>
        <v>0</v>
      </c>
      <c r="K270" s="72">
        <v>20.021042268765596</v>
      </c>
      <c r="L270" s="70">
        <v>0.041096763869396904</v>
      </c>
      <c r="M270" s="71">
        <f>IF(L270&lt;1,1,L270)</f>
        <v>1</v>
      </c>
      <c r="N270" s="70" t="s">
        <v>3288</v>
      </c>
      <c r="O270" s="71">
        <f>IF(OR(I270=$A$1,I270=0),"",IF(N270=MappingTables!$C$14,VLOOKUP(J270,ModelParameters!$M$8:$N$15,2,FALSE),IF(N270=MappingTables!$C$16,VLOOKUP(J270,ModelParameters!$P$8:$Q$15,2,FALSE),0)))</f>
        <v>0.125</v>
      </c>
      <c r="P270" s="73">
        <f>IF(OR(I270=0,I270=$A$1),0,MIN(O270*M270,1)*K270)</f>
        <v>2.5026302835956996</v>
      </c>
      <c r="Q270" s="73">
        <f>IF(B270="",0,IF(OR(H270=MappingTables!$C$34,H270=MappingTables!$C$35),P270,0))</f>
        <v>0</v>
      </c>
      <c r="R270" s="73">
        <f>IF(ISNA(IF(AND(VLOOKUP(CONCATENATE($D270,$G270),CSRFinput!$B:$E,4,0)=0,OR(H270=MappingTables!$C$31,H270=MappingTables!$C$32)),1,VLOOKUP(CONCATENATE($D270,$G270),CSRFinput!$B:$E,4,0))),0,IF(AND(VLOOKUP(CONCATENATE($D270,$G270),CSRFinput!$B:$E,4,0)=0,OR(H270=MappingTables!$C$31,H270=MappingTables!$C$32)),1,VLOOKUP(CONCATENATE($D270,$G270),CSRFinput!$B:$E,4,0)))</f>
        <v>0.054776304963434752</v>
      </c>
      <c r="S270" s="73">
        <f>IF(B270="",0,P270*R270)</f>
        <v>0.13708483962496526</v>
      </c>
      <c r="T270" s="85">
        <f>IF(B270="",0,IF(OR(H270=MappingTables!$C$34,H270=MappingTables!$C$35),S270,0))</f>
        <v>0</v>
      </c>
    </row>
    <row r="271" spans="2:20" s="0" customFormat="0" ht="15">
      <c r="B271" s="69">
        <v>14902956</v>
      </c>
      <c r="C271" s="70" t="s">
        <v>3719</v>
      </c>
      <c r="D271" s="70" t="s">
        <v>1</v>
      </c>
      <c r="E271" s="70" t="s">
        <v>1</v>
      </c>
      <c r="F271" s="70"/>
      <c r="G271" s="70" t="s">
        <v>61</v>
      </c>
      <c r="H271" s="70" t="s">
        <v>178</v>
      </c>
      <c r="I271" s="70" t="s">
        <v>216</v>
      </c>
      <c r="J271" s="71">
        <f>IF(OR(I271=0,I271=""),"unrated",VLOOKUP(I271,MappingTables!$B$19:$C$31,2,FALSE))</f>
        <v>0</v>
      </c>
      <c r="K271" s="72">
        <v>468.27705554867904</v>
      </c>
      <c r="L271" s="70">
        <v>1.6886394080286636</v>
      </c>
      <c r="M271" s="71">
        <f>IF(L271&lt;1,1,L271)</f>
        <v>1.6886394080286636</v>
      </c>
      <c r="N271" s="70" t="s">
        <v>3288</v>
      </c>
      <c r="O271" s="71">
        <f>IF(OR(I271=$A$1,I271=0),"",IF(N271=MappingTables!$C$14,VLOOKUP(J271,ModelParameters!$M$8:$N$15,2,FALSE),IF(N271=MappingTables!$C$16,VLOOKUP(J271,ModelParameters!$P$8:$Q$15,2,FALSE),0)))</f>
        <v>0.125</v>
      </c>
      <c r="P271" s="73">
        <f>IF(OR(I271=0,I271=$A$1),0,MIN(O271*M271,1)*K271)</f>
        <v>98.843886234390864</v>
      </c>
      <c r="Q271" s="73">
        <f>IF(B271="",0,IF(OR(H271=MappingTables!$C$34,H271=MappingTables!$C$35),P271,0))</f>
        <v>0</v>
      </c>
      <c r="R271" s="73">
        <f>IF(ISNA(IF(AND(VLOOKUP(CONCATENATE($D271,$G271),CSRFinput!$B:$E,4,0)=0,OR(H271=MappingTables!$C$31,H271=MappingTables!$C$32)),1,VLOOKUP(CONCATENATE($D271,$G271),CSRFinput!$B:$E,4,0))),0,IF(AND(VLOOKUP(CONCATENATE($D271,$G271),CSRFinput!$B:$E,4,0)=0,OR(H271=MappingTables!$C$31,H271=MappingTables!$C$32)),1,VLOOKUP(CONCATENATE($D271,$G271),CSRFinput!$B:$E,4,0)))</f>
        <v>0.054776304963434752</v>
      </c>
      <c r="S271" s="73">
        <f>IF(B271="",0,P271*R271)</f>
        <v>5.4143028561460448</v>
      </c>
      <c r="T271" s="85">
        <f>IF(B271="",0,IF(OR(H271=MappingTables!$C$34,H271=MappingTables!$C$35),S271,0))</f>
        <v>0</v>
      </c>
    </row>
    <row r="272" spans="2:20" s="0" customFormat="0" ht="15">
      <c r="B272" s="69" t="s">
        <v>3509</v>
      </c>
      <c r="C272" s="70" t="s">
        <v>3510</v>
      </c>
      <c r="D272" s="70" t="s">
        <v>1</v>
      </c>
      <c r="E272" s="70" t="s">
        <v>1</v>
      </c>
      <c r="F272" s="70"/>
      <c r="G272" s="70" t="s">
        <v>61</v>
      </c>
      <c r="H272" s="70" t="s">
        <v>178</v>
      </c>
      <c r="I272" s="70" t="s">
        <v>3298</v>
      </c>
      <c r="J272" s="71">
        <f>IF(OR(I272=0,I272=""),"unrated",VLOOKUP(I272,MappingTables!$B$19:$C$31,2,FALSE))</f>
        <v>6</v>
      </c>
      <c r="K272" s="72">
        <v>231.09404927090728</v>
      </c>
      <c r="L272" s="70">
        <v>0.068496674638232144</v>
      </c>
      <c r="M272" s="71">
        <f>IF(L272&lt;1,1,L272)</f>
        <v>1</v>
      </c>
      <c r="N272" s="70" t="s">
        <v>3288</v>
      </c>
      <c r="O272" s="71">
        <f>IF(OR(I272=$A$1,I272=0),"",IF(N272=MappingTables!$C$14,VLOOKUP(J272,ModelParameters!$M$8:$N$15,2,FALSE),IF(N272=MappingTables!$C$16,VLOOKUP(J272,ModelParameters!$P$8:$Q$15,2,FALSE),0)))</f>
        <v>1</v>
      </c>
      <c r="P272" s="73">
        <f>IF(OR(I272=0,I272=$A$1),0,MIN(O272*M272,1)*K272)</f>
        <v>231.09404927090728</v>
      </c>
      <c r="Q272" s="73">
        <f>IF(B272="",0,IF(OR(H272=MappingTables!$C$34,H272=MappingTables!$C$35),P272,0))</f>
        <v>0</v>
      </c>
      <c r="R272" s="73">
        <f>IF(ISNA(IF(AND(VLOOKUP(CONCATENATE($D272,$G272),CSRFinput!$B:$E,4,0)=0,OR(H272=MappingTables!$C$31,H272=MappingTables!$C$32)),1,VLOOKUP(CONCATENATE($D272,$G272),CSRFinput!$B:$E,4,0))),0,IF(AND(VLOOKUP(CONCATENATE($D272,$G272),CSRFinput!$B:$E,4,0)=0,OR(H272=MappingTables!$C$31,H272=MappingTables!$C$32)),1,VLOOKUP(CONCATENATE($D272,$G272),CSRFinput!$B:$E,4,0)))</f>
        <v>0.054776304963434752</v>
      </c>
      <c r="S272" s="73">
        <f>IF(B272="",0,P272*R272)</f>
        <v>12.658478118098234</v>
      </c>
      <c r="T272" s="85">
        <f>IF(B272="",0,IF(OR(H272=MappingTables!$C$34,H272=MappingTables!$C$35),S272,0))</f>
        <v>0</v>
      </c>
    </row>
    <row r="273" spans="2:20" s="0" customFormat="0" ht="15">
      <c r="B273" s="69" t="s">
        <v>3492</v>
      </c>
      <c r="C273" s="70" t="s">
        <v>3493</v>
      </c>
      <c r="D273" s="70" t="s">
        <v>1</v>
      </c>
      <c r="E273" s="70" t="s">
        <v>1</v>
      </c>
      <c r="F273" s="70"/>
      <c r="G273" s="70" t="s">
        <v>61</v>
      </c>
      <c r="H273" s="70" t="s">
        <v>178</v>
      </c>
      <c r="I273" s="70" t="s">
        <v>204</v>
      </c>
      <c r="J273" s="71">
        <f>IF(OR(I273=0,I273=""),"unrated",VLOOKUP(I273,MappingTables!$B$19:$C$31,2,FALSE))</f>
        <v>6</v>
      </c>
      <c r="K273" s="72">
        <v>50.067128668525408</v>
      </c>
      <c r="L273" s="70">
        <v>0.05421887541974752</v>
      </c>
      <c r="M273" s="71">
        <f>IF(L273&lt;1,1,L273)</f>
        <v>1</v>
      </c>
      <c r="N273" s="70" t="s">
        <v>3288</v>
      </c>
      <c r="O273" s="71">
        <f>IF(OR(I273=$A$1,I273=0),"",IF(N273=MappingTables!$C$14,VLOOKUP(J273,ModelParameters!$M$8:$N$15,2,FALSE),IF(N273=MappingTables!$C$16,VLOOKUP(J273,ModelParameters!$P$8:$Q$15,2,FALSE),0)))</f>
        <v>1</v>
      </c>
      <c r="P273" s="73">
        <f>IF(OR(I273=0,I273=$A$1),0,MIN(O273*M273,1)*K273)</f>
        <v>50.067128668525408</v>
      </c>
      <c r="Q273" s="73">
        <f>IF(B273="",0,IF(OR(H273=MappingTables!$C$34,H273=MappingTables!$C$35),P273,0))</f>
        <v>0</v>
      </c>
      <c r="R273" s="73">
        <f>IF(ISNA(IF(AND(VLOOKUP(CONCATENATE($D273,$G273),CSRFinput!$B:$E,4,0)=0,OR(H273=MappingTables!$C$31,H273=MappingTables!$C$32)),1,VLOOKUP(CONCATENATE($D273,$G273),CSRFinput!$B:$E,4,0))),0,IF(AND(VLOOKUP(CONCATENATE($D273,$G273),CSRFinput!$B:$E,4,0)=0,OR(H273=MappingTables!$C$31,H273=MappingTables!$C$32)),1,VLOOKUP(CONCATENATE($D273,$G273),CSRFinput!$B:$E,4,0)))</f>
        <v>0.054776304963434752</v>
      </c>
      <c r="S273" s="73">
        <f>IF(B273="",0,P273*R273)</f>
        <v>2.7424923085906748</v>
      </c>
      <c r="T273" s="85">
        <f>IF(B273="",0,IF(OR(H273=MappingTables!$C$34,H273=MappingTables!$C$35),S273,0))</f>
        <v>0</v>
      </c>
    </row>
    <row r="274" spans="2:20" s="0" customFormat="0" ht="15">
      <c r="B274" s="69" t="s">
        <v>3720</v>
      </c>
      <c r="C274" s="70" t="s">
        <v>3721</v>
      </c>
      <c r="D274" s="70" t="s">
        <v>1</v>
      </c>
      <c r="E274" s="70" t="s">
        <v>1</v>
      </c>
      <c r="F274" s="70"/>
      <c r="G274" s="70" t="s">
        <v>61</v>
      </c>
      <c r="H274" s="70" t="s">
        <v>178</v>
      </c>
      <c r="I274" s="70" t="s">
        <v>198</v>
      </c>
      <c r="J274" s="71" t="str">
        <f>IF(OR(I274=0,I274=""),"unrated",VLOOKUP(I274,MappingTables!$B$19:$C$31,2,FALSE))</f>
        <v>unrated</v>
      </c>
      <c r="K274" s="72">
        <v>646.20734135750584</v>
      </c>
      <c r="L274" s="70">
        <v>8.859303098843712</v>
      </c>
      <c r="M274" s="71">
        <f>IF(L274&lt;1,1,L274)</f>
        <v>8.859303098843712</v>
      </c>
      <c r="N274" s="70" t="s">
        <v>3288</v>
      </c>
      <c r="O274" s="71">
        <f>IF(OR(I274=$A$1,I274=0),"",IF(N274=MappingTables!$C$14,VLOOKUP(J274,ModelParameters!$M$8:$N$15,2,FALSE),IF(N274=MappingTables!$C$16,VLOOKUP(J274,ModelParameters!$P$8:$Q$15,2,FALSE),0)))</f>
        <v>1</v>
      </c>
      <c r="P274" s="73">
        <f>IF(OR(I274=0,I274=$A$1),0,MIN(O274*M274,1)*K274)</f>
        <v>646.20734135750584</v>
      </c>
      <c r="Q274" s="73">
        <f>IF(B274="",0,IF(OR(H274=MappingTables!$C$34,H274=MappingTables!$C$35),P274,0))</f>
        <v>0</v>
      </c>
      <c r="R274" s="73">
        <f>IF(ISNA(IF(AND(VLOOKUP(CONCATENATE($D274,$G274),CSRFinput!$B:$E,4,0)=0,OR(H274=MappingTables!$C$31,H274=MappingTables!$C$32)),1,VLOOKUP(CONCATENATE($D274,$G274),CSRFinput!$B:$E,4,0))),0,IF(AND(VLOOKUP(CONCATENATE($D274,$G274),CSRFinput!$B:$E,4,0)=0,OR(H274=MappingTables!$C$31,H274=MappingTables!$C$32)),1,VLOOKUP(CONCATENATE($D274,$G274),CSRFinput!$B:$E,4,0)))</f>
        <v>0.054776304963434752</v>
      </c>
      <c r="S274" s="73">
        <f>IF(B274="",0,P274*R274)</f>
        <v>35.396850399809124</v>
      </c>
      <c r="T274" s="85">
        <f>IF(B274="",0,IF(OR(H274=MappingTables!$C$34,H274=MappingTables!$C$35),S274,0))</f>
        <v>0</v>
      </c>
    </row>
    <row r="275" spans="2:20" s="0" customFormat="0" ht="15">
      <c r="B275" s="69">
        <v>14504618</v>
      </c>
      <c r="C275" s="70" t="s">
        <v>3722</v>
      </c>
      <c r="D275" s="70" t="s">
        <v>1</v>
      </c>
      <c r="E275" s="70" t="s">
        <v>1</v>
      </c>
      <c r="F275" s="70"/>
      <c r="G275" s="70" t="s">
        <v>61</v>
      </c>
      <c r="H275" s="70" t="s">
        <v>178</v>
      </c>
      <c r="I275" s="70" t="s">
        <v>216</v>
      </c>
      <c r="J275" s="71">
        <f>IF(OR(I275=0,I275=""),"unrated",VLOOKUP(I275,MappingTables!$B$19:$C$31,2,FALSE))</f>
        <v>0</v>
      </c>
      <c r="K275" s="72">
        <v>1056.750456268867</v>
      </c>
      <c r="L275" s="70">
        <v>0.043460186193098264</v>
      </c>
      <c r="M275" s="71">
        <f>IF(L275&lt;1,1,L275)</f>
        <v>1</v>
      </c>
      <c r="N275" s="70" t="s">
        <v>3288</v>
      </c>
      <c r="O275" s="71">
        <f>IF(OR(I275=$A$1,I275=0),"",IF(N275=MappingTables!$C$14,VLOOKUP(J275,ModelParameters!$M$8:$N$15,2,FALSE),IF(N275=MappingTables!$C$16,VLOOKUP(J275,ModelParameters!$P$8:$Q$15,2,FALSE),0)))</f>
        <v>0.125</v>
      </c>
      <c r="P275" s="73">
        <f>IF(OR(I275=0,I275=$A$1),0,MIN(O275*M275,1)*K275)</f>
        <v>132.09380703360838</v>
      </c>
      <c r="Q275" s="73">
        <f>IF(B275="",0,IF(OR(H275=MappingTables!$C$34,H275=MappingTables!$C$35),P275,0))</f>
        <v>0</v>
      </c>
      <c r="R275" s="73">
        <f>IF(ISNA(IF(AND(VLOOKUP(CONCATENATE($D275,$G275),CSRFinput!$B:$E,4,0)=0,OR(H275=MappingTables!$C$31,H275=MappingTables!$C$32)),1,VLOOKUP(CONCATENATE($D275,$G275),CSRFinput!$B:$E,4,0))),0,IF(AND(VLOOKUP(CONCATENATE($D275,$G275),CSRFinput!$B:$E,4,0)=0,OR(H275=MappingTables!$C$31,H275=MappingTables!$C$32)),1,VLOOKUP(CONCATENATE($D275,$G275),CSRFinput!$B:$E,4,0)))</f>
        <v>0.054776304963434752</v>
      </c>
      <c r="S275" s="73">
        <f>IF(B275="",0,P275*R275)</f>
        <v>7.2356106578540352</v>
      </c>
      <c r="T275" s="85">
        <f>IF(B275="",0,IF(OR(H275=MappingTables!$C$34,H275=MappingTables!$C$35),S275,0))</f>
        <v>0</v>
      </c>
    </row>
    <row r="276" spans="2:20" s="0" customFormat="0" ht="15">
      <c r="B276" s="69" t="s">
        <v>3723</v>
      </c>
      <c r="C276" s="70" t="s">
        <v>3724</v>
      </c>
      <c r="D276" s="70" t="s">
        <v>1</v>
      </c>
      <c r="E276" s="70" t="s">
        <v>1</v>
      </c>
      <c r="F276" s="70"/>
      <c r="G276" s="70" t="s">
        <v>61</v>
      </c>
      <c r="H276" s="70" t="s">
        <v>178</v>
      </c>
      <c r="I276" s="70" t="s">
        <v>204</v>
      </c>
      <c r="J276" s="71">
        <f>IF(OR(I276=0,I276=""),"unrated",VLOOKUP(I276,MappingTables!$B$19:$C$31,2,FALSE))</f>
        <v>6</v>
      </c>
      <c r="K276" s="72">
        <v>479.32811900226656</v>
      </c>
      <c r="L276" s="70">
        <v>0.06849573693754352</v>
      </c>
      <c r="M276" s="71">
        <f>IF(L276&lt;1,1,L276)</f>
        <v>1</v>
      </c>
      <c r="N276" s="70" t="s">
        <v>3288</v>
      </c>
      <c r="O276" s="71">
        <f>IF(OR(I276=$A$1,I276=0),"",IF(N276=MappingTables!$C$14,VLOOKUP(J276,ModelParameters!$M$8:$N$15,2,FALSE),IF(N276=MappingTables!$C$16,VLOOKUP(J276,ModelParameters!$P$8:$Q$15,2,FALSE),0)))</f>
        <v>1</v>
      </c>
      <c r="P276" s="73">
        <f>IF(OR(I276=0,I276=$A$1),0,MIN(O276*M276,1)*K276)</f>
        <v>479.32811900226656</v>
      </c>
      <c r="Q276" s="73">
        <f>IF(B276="",0,IF(OR(H276=MappingTables!$C$34,H276=MappingTables!$C$35),P276,0))</f>
        <v>0</v>
      </c>
      <c r="R276" s="73">
        <f>IF(ISNA(IF(AND(VLOOKUP(CONCATENATE($D276,$G276),CSRFinput!$B:$E,4,0)=0,OR(H276=MappingTables!$C$31,H276=MappingTables!$C$32)),1,VLOOKUP(CONCATENATE($D276,$G276),CSRFinput!$B:$E,4,0))),0,IF(AND(VLOOKUP(CONCATENATE($D276,$G276),CSRFinput!$B:$E,4,0)=0,OR(H276=MappingTables!$C$31,H276=MappingTables!$C$32)),1,VLOOKUP(CONCATENATE($D276,$G276),CSRFinput!$B:$E,4,0)))</f>
        <v>0.054776304963434752</v>
      </c>
      <c r="S276" s="73">
        <f>IF(B276="",0,P276*R276)</f>
        <v>26.255823224017696</v>
      </c>
      <c r="T276" s="85">
        <f>IF(B276="",0,IF(OR(H276=MappingTables!$C$34,H276=MappingTables!$C$35),S276,0))</f>
        <v>0</v>
      </c>
    </row>
    <row r="277" spans="2:20" s="0" customFormat="0" ht="15">
      <c r="B277" s="69">
        <v>16974680</v>
      </c>
      <c r="C277" s="70" t="s">
        <v>3725</v>
      </c>
      <c r="D277" s="70" t="s">
        <v>1</v>
      </c>
      <c r="E277" s="70" t="s">
        <v>1</v>
      </c>
      <c r="F277" s="70"/>
      <c r="G277" s="70" t="s">
        <v>61</v>
      </c>
      <c r="H277" s="70" t="s">
        <v>178</v>
      </c>
      <c r="I277" s="70" t="s">
        <v>198</v>
      </c>
      <c r="J277" s="71" t="str">
        <f>IF(OR(I277=0,I277=""),"unrated",VLOOKUP(I277,MappingTables!$B$19:$C$31,2,FALSE))</f>
        <v>unrated</v>
      </c>
      <c r="K277" s="72">
        <v>114.01168013668252</v>
      </c>
      <c r="L277" s="70">
        <v>0.08449852906702704</v>
      </c>
      <c r="M277" s="71">
        <f>IF(L277&lt;1,1,L277)</f>
        <v>1</v>
      </c>
      <c r="N277" s="70" t="s">
        <v>3288</v>
      </c>
      <c r="O277" s="71">
        <f>IF(OR(I277=$A$1,I277=0),"",IF(N277=MappingTables!$C$14,VLOOKUP(J277,ModelParameters!$M$8:$N$15,2,FALSE),IF(N277=MappingTables!$C$16,VLOOKUP(J277,ModelParameters!$P$8:$Q$15,2,FALSE),0)))</f>
        <v>1</v>
      </c>
      <c r="P277" s="73">
        <f>IF(OR(I277=0,I277=$A$1),0,MIN(O277*M277,1)*K277)</f>
        <v>114.01168013668252</v>
      </c>
      <c r="Q277" s="73">
        <f>IF(B277="",0,IF(OR(H277=MappingTables!$C$34,H277=MappingTables!$C$35),P277,0))</f>
        <v>0</v>
      </c>
      <c r="R277" s="73">
        <f>IF(ISNA(IF(AND(VLOOKUP(CONCATENATE($D277,$G277),CSRFinput!$B:$E,4,0)=0,OR(H277=MappingTables!$C$31,H277=MappingTables!$C$32)),1,VLOOKUP(CONCATENATE($D277,$G277),CSRFinput!$B:$E,4,0))),0,IF(AND(VLOOKUP(CONCATENATE($D277,$G277),CSRFinput!$B:$E,4,0)=0,OR(H277=MappingTables!$C$31,H277=MappingTables!$C$32)),1,VLOOKUP(CONCATENATE($D277,$G277),CSRFinput!$B:$E,4,0)))</f>
        <v>0.054776304963434752</v>
      </c>
      <c r="S277" s="73">
        <f>IF(B277="",0,P277*R277)</f>
        <v>6.2451385605604984</v>
      </c>
      <c r="T277" s="85">
        <f>IF(B277="",0,IF(OR(H277=MappingTables!$C$34,H277=MappingTables!$C$35),S277,0))</f>
        <v>0</v>
      </c>
    </row>
    <row r="278" spans="2:20" s="0" customFormat="0" ht="15">
      <c r="B278" s="69" t="s">
        <v>3726</v>
      </c>
      <c r="C278" s="70" t="s">
        <v>3727</v>
      </c>
      <c r="D278" s="70" t="s">
        <v>1</v>
      </c>
      <c r="E278" s="70" t="s">
        <v>1</v>
      </c>
      <c r="F278" s="70"/>
      <c r="G278" s="70" t="s">
        <v>61</v>
      </c>
      <c r="H278" s="70" t="s">
        <v>178</v>
      </c>
      <c r="I278" s="70" t="s">
        <v>198</v>
      </c>
      <c r="J278" s="71" t="str">
        <f>IF(OR(I278=0,I278=""),"unrated",VLOOKUP(I278,MappingTables!$B$19:$C$31,2,FALSE))</f>
        <v>unrated</v>
      </c>
      <c r="K278" s="72">
        <v>1.0483836432467014</v>
      </c>
      <c r="L278" s="70">
        <v>44.224082978941296</v>
      </c>
      <c r="M278" s="71">
        <f>IF(L278&lt;1,1,L278)</f>
        <v>44.224082978941296</v>
      </c>
      <c r="N278" s="70" t="s">
        <v>3288</v>
      </c>
      <c r="O278" s="71">
        <f>IF(OR(I278=$A$1,I278=0),"",IF(N278=MappingTables!$C$14,VLOOKUP(J278,ModelParameters!$M$8:$N$15,2,FALSE),IF(N278=MappingTables!$C$16,VLOOKUP(J278,ModelParameters!$P$8:$Q$15,2,FALSE),0)))</f>
        <v>1</v>
      </c>
      <c r="P278" s="73">
        <f>IF(OR(I278=0,I278=$A$1),0,MIN(O278*M278,1)*K278)</f>
        <v>1.0483836432467014</v>
      </c>
      <c r="Q278" s="73">
        <f>IF(B278="",0,IF(OR(H278=MappingTables!$C$34,H278=MappingTables!$C$35),P278,0))</f>
        <v>0</v>
      </c>
      <c r="R278" s="73">
        <f>IF(ISNA(IF(AND(VLOOKUP(CONCATENATE($D278,$G278),CSRFinput!$B:$E,4,0)=0,OR(H278=MappingTables!$C$31,H278=MappingTables!$C$32)),1,VLOOKUP(CONCATENATE($D278,$G278),CSRFinput!$B:$E,4,0))),0,IF(AND(VLOOKUP(CONCATENATE($D278,$G278),CSRFinput!$B:$E,4,0)=0,OR(H278=MappingTables!$C$31,H278=MappingTables!$C$32)),1,VLOOKUP(CONCATENATE($D278,$G278),CSRFinput!$B:$E,4,0)))</f>
        <v>0.054776304963434752</v>
      </c>
      <c r="S278" s="73">
        <f>IF(B278="",0,P278*R278)</f>
        <v>0.057426582161158096</v>
      </c>
      <c r="T278" s="85">
        <f>IF(B278="",0,IF(OR(H278=MappingTables!$C$34,H278=MappingTables!$C$35),S278,0))</f>
        <v>0</v>
      </c>
    </row>
    <row r="279" spans="2:20" s="0" customFormat="0" ht="15">
      <c r="B279" s="69">
        <v>23954151</v>
      </c>
      <c r="C279" s="70" t="s">
        <v>3728</v>
      </c>
      <c r="D279" s="70" t="s">
        <v>1</v>
      </c>
      <c r="E279" s="70" t="s">
        <v>1</v>
      </c>
      <c r="F279" s="70"/>
      <c r="G279" s="70" t="s">
        <v>61</v>
      </c>
      <c r="H279" s="70" t="s">
        <v>178</v>
      </c>
      <c r="I279" s="70" t="s">
        <v>216</v>
      </c>
      <c r="J279" s="71">
        <f>IF(OR(I279=0,I279=""),"unrated",VLOOKUP(I279,MappingTables!$B$19:$C$31,2,FALSE))</f>
        <v>0</v>
      </c>
      <c r="K279" s="72">
        <v>1688.7029864660248</v>
      </c>
      <c r="L279" s="70">
        <v>3.8790717558651096</v>
      </c>
      <c r="M279" s="71">
        <f>IF(L279&lt;1,1,L279)</f>
        <v>3.8790717558651096</v>
      </c>
      <c r="N279" s="70" t="s">
        <v>3288</v>
      </c>
      <c r="O279" s="71">
        <f>IF(OR(I279=$A$1,I279=0),"",IF(N279=MappingTables!$C$14,VLOOKUP(J279,ModelParameters!$M$8:$N$15,2,FALSE),IF(N279=MappingTables!$C$16,VLOOKUP(J279,ModelParameters!$P$8:$Q$15,2,FALSE),0)))</f>
        <v>0.125</v>
      </c>
      <c r="P279" s="73">
        <f>IF(OR(I279=0,I279=$A$1),0,MIN(O279*M279,1)*K279)</f>
        <v>818.82500735567728</v>
      </c>
      <c r="Q279" s="73">
        <f>IF(B279="",0,IF(OR(H279=MappingTables!$C$34,H279=MappingTables!$C$35),P279,0))</f>
        <v>0</v>
      </c>
      <c r="R279" s="73">
        <f>IF(ISNA(IF(AND(VLOOKUP(CONCATENATE($D279,$G279),CSRFinput!$B:$E,4,0)=0,OR(H279=MappingTables!$C$31,H279=MappingTables!$C$32)),1,VLOOKUP(CONCATENATE($D279,$G279),CSRFinput!$B:$E,4,0))),0,IF(AND(VLOOKUP(CONCATENATE($D279,$G279),CSRFinput!$B:$E,4,0)=0,OR(H279=MappingTables!$C$31,H279=MappingTables!$C$32)),1,VLOOKUP(CONCATENATE($D279,$G279),CSRFinput!$B:$E,4,0)))</f>
        <v>0.054776304963434752</v>
      </c>
      <c r="S279" s="73">
        <f>IF(B279="",0,P279*R279)</f>
        <v>44.852208314601288</v>
      </c>
      <c r="T279" s="85">
        <f>IF(B279="",0,IF(OR(H279=MappingTables!$C$34,H279=MappingTables!$C$35),S279,0))</f>
        <v>0</v>
      </c>
    </row>
    <row r="280" spans="2:20" s="0" customFormat="0" ht="15">
      <c r="B280" s="69" t="s">
        <v>3729</v>
      </c>
      <c r="C280" s="70" t="s">
        <v>3730</v>
      </c>
      <c r="D280" s="70" t="s">
        <v>1</v>
      </c>
      <c r="E280" s="70" t="s">
        <v>1</v>
      </c>
      <c r="F280" s="70"/>
      <c r="G280" s="70" t="s">
        <v>61</v>
      </c>
      <c r="H280" s="70" t="s">
        <v>178</v>
      </c>
      <c r="I280" s="70" t="s">
        <v>198</v>
      </c>
      <c r="J280" s="71" t="str">
        <f>IF(OR(I280=0,I280=""),"unrated",VLOOKUP(I280,MappingTables!$B$19:$C$31,2,FALSE))</f>
        <v>unrated</v>
      </c>
      <c r="K280" s="72">
        <v>9.2509470762327568</v>
      </c>
      <c r="L280" s="70">
        <v>0.097037704163579168</v>
      </c>
      <c r="M280" s="71">
        <f>IF(L280&lt;1,1,L280)</f>
        <v>1</v>
      </c>
      <c r="N280" s="70" t="s">
        <v>3288</v>
      </c>
      <c r="O280" s="71">
        <f>IF(OR(I280=$A$1,I280=0),"",IF(N280=MappingTables!$C$14,VLOOKUP(J280,ModelParameters!$M$8:$N$15,2,FALSE),IF(N280=MappingTables!$C$16,VLOOKUP(J280,ModelParameters!$P$8:$Q$15,2,FALSE),0)))</f>
        <v>1</v>
      </c>
      <c r="P280" s="73">
        <f>IF(OR(I280=0,I280=$A$1),0,MIN(O280*M280,1)*K280)</f>
        <v>9.2509470762327568</v>
      </c>
      <c r="Q280" s="73">
        <f>IF(B280="",0,IF(OR(H280=MappingTables!$C$34,H280=MappingTables!$C$35),P280,0))</f>
        <v>0</v>
      </c>
      <c r="R280" s="73">
        <f>IF(ISNA(IF(AND(VLOOKUP(CONCATENATE($D280,$G280),CSRFinput!$B:$E,4,0)=0,OR(H280=MappingTables!$C$31,H280=MappingTables!$C$32)),1,VLOOKUP(CONCATENATE($D280,$G280),CSRFinput!$B:$E,4,0))),0,IF(AND(VLOOKUP(CONCATENATE($D280,$G280),CSRFinput!$B:$E,4,0)=0,OR(H280=MappingTables!$C$31,H280=MappingTables!$C$32)),1,VLOOKUP(CONCATENATE($D280,$G280),CSRFinput!$B:$E,4,0)))</f>
        <v>0.054776304963434752</v>
      </c>
      <c r="S280" s="73">
        <f>IF(B280="",0,P280*R280)</f>
        <v>0.50673269824832056</v>
      </c>
      <c r="T280" s="85">
        <f>IF(B280="",0,IF(OR(H280=MappingTables!$C$34,H280=MappingTables!$C$35),S280,0))</f>
        <v>0</v>
      </c>
    </row>
    <row r="281" spans="2:20" s="0" customFormat="0" ht="15">
      <c r="B281" s="69" t="s">
        <v>3731</v>
      </c>
      <c r="C281" s="70" t="s">
        <v>3732</v>
      </c>
      <c r="D281" s="70" t="s">
        <v>1</v>
      </c>
      <c r="E281" s="70" t="s">
        <v>1</v>
      </c>
      <c r="F281" s="70"/>
      <c r="G281" s="70" t="s">
        <v>61</v>
      </c>
      <c r="H281" s="70" t="s">
        <v>178</v>
      </c>
      <c r="I281" s="70" t="s">
        <v>198</v>
      </c>
      <c r="J281" s="71" t="str">
        <f>IF(OR(I281=0,I281=""),"unrated",VLOOKUP(I281,MappingTables!$B$19:$C$31,2,FALSE))</f>
        <v>unrated</v>
      </c>
      <c r="K281" s="72">
        <v>178.19750814347992</v>
      </c>
      <c r="L281" s="70">
        <v>0.068493958261557808</v>
      </c>
      <c r="M281" s="71">
        <f>IF(L281&lt;1,1,L281)</f>
        <v>1</v>
      </c>
      <c r="N281" s="70" t="s">
        <v>3288</v>
      </c>
      <c r="O281" s="71">
        <f>IF(OR(I281=$A$1,I281=0),"",IF(N281=MappingTables!$C$14,VLOOKUP(J281,ModelParameters!$M$8:$N$15,2,FALSE),IF(N281=MappingTables!$C$16,VLOOKUP(J281,ModelParameters!$P$8:$Q$15,2,FALSE),0)))</f>
        <v>1</v>
      </c>
      <c r="P281" s="73">
        <f>IF(OR(I281=0,I281=$A$1),0,MIN(O281*M281,1)*K281)</f>
        <v>178.19750814347992</v>
      </c>
      <c r="Q281" s="73">
        <f>IF(B281="",0,IF(OR(H281=MappingTables!$C$34,H281=MappingTables!$C$35),P281,0))</f>
        <v>0</v>
      </c>
      <c r="R281" s="73">
        <f>IF(ISNA(IF(AND(VLOOKUP(CONCATENATE($D281,$G281),CSRFinput!$B:$E,4,0)=0,OR(H281=MappingTables!$C$31,H281=MappingTables!$C$32)),1,VLOOKUP(CONCATENATE($D281,$G281),CSRFinput!$B:$E,4,0))),0,IF(AND(VLOOKUP(CONCATENATE($D281,$G281),CSRFinput!$B:$E,4,0)=0,OR(H281=MappingTables!$C$31,H281=MappingTables!$C$32)),1,VLOOKUP(CONCATENATE($D281,$G281),CSRFinput!$B:$E,4,0)))</f>
        <v>0.054776304963434752</v>
      </c>
      <c r="S281" s="73">
        <f>IF(B281="",0,P281*R281)</f>
        <v>9.7610010497914048</v>
      </c>
      <c r="T281" s="85">
        <f>IF(B281="",0,IF(OR(H281=MappingTables!$C$34,H281=MappingTables!$C$35),S281,0))</f>
        <v>0</v>
      </c>
    </row>
    <row r="282" spans="2:20" s="0" customFormat="0" ht="15">
      <c r="B282" s="69">
        <v>7242714</v>
      </c>
      <c r="C282" s="70" t="s">
        <v>3733</v>
      </c>
      <c r="D282" s="70" t="s">
        <v>1</v>
      </c>
      <c r="E282" s="70" t="s">
        <v>1</v>
      </c>
      <c r="F282" s="70"/>
      <c r="G282" s="70" t="s">
        <v>61</v>
      </c>
      <c r="H282" s="70" t="s">
        <v>178</v>
      </c>
      <c r="I282" s="70" t="s">
        <v>184</v>
      </c>
      <c r="J282" s="71">
        <f>IF(OR(I282=0,I282=""),"unrated",VLOOKUP(I282,MappingTables!$B$19:$C$31,2,FALSE))</f>
        <v>5</v>
      </c>
      <c r="K282" s="72">
        <v>425.83388308000368</v>
      </c>
      <c r="L282" s="70">
        <v>0.068491496866056</v>
      </c>
      <c r="M282" s="71">
        <f>IF(L282&lt;1,1,L282)</f>
        <v>1</v>
      </c>
      <c r="N282" s="70" t="s">
        <v>3288</v>
      </c>
      <c r="O282" s="71">
        <f>IF(OR(I282=$A$1,I282=0),"",IF(N282=MappingTables!$C$14,VLOOKUP(J282,ModelParameters!$M$8:$N$15,2,FALSE),IF(N282=MappingTables!$C$16,VLOOKUP(J282,ModelParameters!$P$8:$Q$15,2,FALSE),0)))</f>
        <v>1</v>
      </c>
      <c r="P282" s="73">
        <f>IF(OR(I282=0,I282=$A$1),0,MIN(O282*M282,1)*K282)</f>
        <v>425.83388308000368</v>
      </c>
      <c r="Q282" s="73">
        <f>IF(B282="",0,IF(OR(H282=MappingTables!$C$34,H282=MappingTables!$C$35),P282,0))</f>
        <v>0</v>
      </c>
      <c r="R282" s="73">
        <f>IF(ISNA(IF(AND(VLOOKUP(CONCATENATE($D282,$G282),CSRFinput!$B:$E,4,0)=0,OR(H282=MappingTables!$C$31,H282=MappingTables!$C$32)),1,VLOOKUP(CONCATENATE($D282,$G282),CSRFinput!$B:$E,4,0))),0,IF(AND(VLOOKUP(CONCATENATE($D282,$G282),CSRFinput!$B:$E,4,0)=0,OR(H282=MappingTables!$C$31,H282=MappingTables!$C$32)),1,VLOOKUP(CONCATENATE($D282,$G282),CSRFinput!$B:$E,4,0)))</f>
        <v>0.054776304963434752</v>
      </c>
      <c r="S282" s="73">
        <f>IF(B282="",0,P282*R282)</f>
        <v>23.3256066433539</v>
      </c>
      <c r="T282" s="85">
        <f>IF(B282="",0,IF(OR(H282=MappingTables!$C$34,H282=MappingTables!$C$35),S282,0))</f>
        <v>0</v>
      </c>
    </row>
    <row r="283" spans="2:20" s="0" customFormat="0" ht="15">
      <c r="B283" s="69" t="s">
        <v>3734</v>
      </c>
      <c r="C283" s="70" t="s">
        <v>3735</v>
      </c>
      <c r="D283" s="70" t="s">
        <v>1</v>
      </c>
      <c r="E283" s="70" t="s">
        <v>1</v>
      </c>
      <c r="F283" s="70"/>
      <c r="G283" s="70" t="s">
        <v>61</v>
      </c>
      <c r="H283" s="70" t="s">
        <v>178</v>
      </c>
      <c r="I283" s="70" t="s">
        <v>204</v>
      </c>
      <c r="J283" s="71">
        <f>IF(OR(I283=0,I283=""),"unrated",VLOOKUP(I283,MappingTables!$B$19:$C$31,2,FALSE))</f>
        <v>6</v>
      </c>
      <c r="K283" s="72">
        <v>23.4663509610075</v>
      </c>
      <c r="L283" s="70">
        <v>0.058517517979095352</v>
      </c>
      <c r="M283" s="71">
        <f>IF(L283&lt;1,1,L283)</f>
        <v>1</v>
      </c>
      <c r="N283" s="70" t="s">
        <v>3288</v>
      </c>
      <c r="O283" s="71">
        <f>IF(OR(I283=$A$1,I283=0),"",IF(N283=MappingTables!$C$14,VLOOKUP(J283,ModelParameters!$M$8:$N$15,2,FALSE),IF(N283=MappingTables!$C$16,VLOOKUP(J283,ModelParameters!$P$8:$Q$15,2,FALSE),0)))</f>
        <v>1</v>
      </c>
      <c r="P283" s="73">
        <f>IF(OR(I283=0,I283=$A$1),0,MIN(O283*M283,1)*K283)</f>
        <v>23.4663509610075</v>
      </c>
      <c r="Q283" s="73">
        <f>IF(B283="",0,IF(OR(H283=MappingTables!$C$34,H283=MappingTables!$C$35),P283,0))</f>
        <v>0</v>
      </c>
      <c r="R283" s="73">
        <f>IF(ISNA(IF(AND(VLOOKUP(CONCATENATE($D283,$G283),CSRFinput!$B:$E,4,0)=0,OR(H283=MappingTables!$C$31,H283=MappingTables!$C$32)),1,VLOOKUP(CONCATENATE($D283,$G283),CSRFinput!$B:$E,4,0))),0,IF(AND(VLOOKUP(CONCATENATE($D283,$G283),CSRFinput!$B:$E,4,0)=0,OR(H283=MappingTables!$C$31,H283=MappingTables!$C$32)),1,VLOOKUP(CONCATENATE($D283,$G283),CSRFinput!$B:$E,4,0)))</f>
        <v>0.054776304963434752</v>
      </c>
      <c r="S283" s="73">
        <f>IF(B283="",0,P283*R283)</f>
        <v>1.285399996619137</v>
      </c>
      <c r="T283" s="85">
        <f>IF(B283="",0,IF(OR(H283=MappingTables!$C$34,H283=MappingTables!$C$35),S283,0))</f>
        <v>0</v>
      </c>
    </row>
    <row r="284" spans="2:20" s="0" customFormat="0" ht="15">
      <c r="B284" s="69" t="s">
        <v>3736</v>
      </c>
      <c r="C284" s="70" t="s">
        <v>3737</v>
      </c>
      <c r="D284" s="70" t="s">
        <v>1</v>
      </c>
      <c r="E284" s="70" t="s">
        <v>1</v>
      </c>
      <c r="F284" s="70"/>
      <c r="G284" s="70" t="s">
        <v>61</v>
      </c>
      <c r="H284" s="70" t="s">
        <v>178</v>
      </c>
      <c r="I284" s="70" t="s">
        <v>198</v>
      </c>
      <c r="J284" s="71" t="str">
        <f>IF(OR(I284=0,I284=""),"unrated",VLOOKUP(I284,MappingTables!$B$19:$C$31,2,FALSE))</f>
        <v>unrated</v>
      </c>
      <c r="K284" s="72">
        <v>0.15553333002642974</v>
      </c>
      <c r="L284" s="70">
        <v>26.26342396882716</v>
      </c>
      <c r="M284" s="71">
        <f>IF(L284&lt;1,1,L284)</f>
        <v>26.26342396882716</v>
      </c>
      <c r="N284" s="70" t="s">
        <v>3288</v>
      </c>
      <c r="O284" s="71">
        <f>IF(OR(I284=$A$1,I284=0),"",IF(N284=MappingTables!$C$14,VLOOKUP(J284,ModelParameters!$M$8:$N$15,2,FALSE),IF(N284=MappingTables!$C$16,VLOOKUP(J284,ModelParameters!$P$8:$Q$15,2,FALSE),0)))</f>
        <v>1</v>
      </c>
      <c r="P284" s="73">
        <f>IF(OR(I284=0,I284=$A$1),0,MIN(O284*M284,1)*K284)</f>
        <v>0.15553333002642974</v>
      </c>
      <c r="Q284" s="73">
        <f>IF(B284="",0,IF(OR(H284=MappingTables!$C$34,H284=MappingTables!$C$35),P284,0))</f>
        <v>0</v>
      </c>
      <c r="R284" s="73">
        <f>IF(ISNA(IF(AND(VLOOKUP(CONCATENATE($D284,$G284),CSRFinput!$B:$E,4,0)=0,OR(H284=MappingTables!$C$31,H284=MappingTables!$C$32)),1,VLOOKUP(CONCATENATE($D284,$G284),CSRFinput!$B:$E,4,0))),0,IF(AND(VLOOKUP(CONCATENATE($D284,$G284),CSRFinput!$B:$E,4,0)=0,OR(H284=MappingTables!$C$31,H284=MappingTables!$C$32)),1,VLOOKUP(CONCATENATE($D284,$G284),CSRFinput!$B:$E,4,0)))</f>
        <v>0.054776304963434752</v>
      </c>
      <c r="S284" s="73">
        <f>IF(B284="",0,P284*R284)</f>
        <v>0.0085195411175062592</v>
      </c>
      <c r="T284" s="85">
        <f>IF(B284="",0,IF(OR(H284=MappingTables!$C$34,H284=MappingTables!$C$35),S284,0))</f>
        <v>0</v>
      </c>
    </row>
    <row r="285" spans="2:20" s="0" customFormat="0" ht="15">
      <c r="B285" s="69">
        <v>20113239</v>
      </c>
      <c r="C285" s="70" t="s">
        <v>3738</v>
      </c>
      <c r="D285" s="70" t="s">
        <v>1</v>
      </c>
      <c r="E285" s="70" t="s">
        <v>1</v>
      </c>
      <c r="F285" s="70"/>
      <c r="G285" s="70" t="s">
        <v>61</v>
      </c>
      <c r="H285" s="70" t="s">
        <v>178</v>
      </c>
      <c r="I285" s="70" t="s">
        <v>198</v>
      </c>
      <c r="J285" s="71" t="str">
        <f>IF(OR(I285=0,I285=""),"unrated",VLOOKUP(I285,MappingTables!$B$19:$C$31,2,FALSE))</f>
        <v>unrated</v>
      </c>
      <c r="K285" s="72">
        <v>200.33872800381884</v>
      </c>
      <c r="L285" s="70">
        <v>0.058179909557240544</v>
      </c>
      <c r="M285" s="71">
        <f>IF(L285&lt;1,1,L285)</f>
        <v>1</v>
      </c>
      <c r="N285" s="70" t="s">
        <v>3288</v>
      </c>
      <c r="O285" s="71">
        <f>IF(OR(I285=$A$1,I285=0),"",IF(N285=MappingTables!$C$14,VLOOKUP(J285,ModelParameters!$M$8:$N$15,2,FALSE),IF(N285=MappingTables!$C$16,VLOOKUP(J285,ModelParameters!$P$8:$Q$15,2,FALSE),0)))</f>
        <v>1</v>
      </c>
      <c r="P285" s="73">
        <f>IF(OR(I285=0,I285=$A$1),0,MIN(O285*M285,1)*K285)</f>
        <v>200.33872800381884</v>
      </c>
      <c r="Q285" s="73">
        <f>IF(B285="",0,IF(OR(H285=MappingTables!$C$34,H285=MappingTables!$C$35),P285,0))</f>
        <v>0</v>
      </c>
      <c r="R285" s="73">
        <f>IF(ISNA(IF(AND(VLOOKUP(CONCATENATE($D285,$G285),CSRFinput!$B:$E,4,0)=0,OR(H285=MappingTables!$C$31,H285=MappingTables!$C$32)),1,VLOOKUP(CONCATENATE($D285,$G285),CSRFinput!$B:$E,4,0))),0,IF(AND(VLOOKUP(CONCATENATE($D285,$G285),CSRFinput!$B:$E,4,0)=0,OR(H285=MappingTables!$C$31,H285=MappingTables!$C$32)),1,VLOOKUP(CONCATENATE($D285,$G285),CSRFinput!$B:$E,4,0)))</f>
        <v>0.054776304963434752</v>
      </c>
      <c r="S285" s="73">
        <f>IF(B285="",0,P285*R285)</f>
        <v>10.973815261123788</v>
      </c>
      <c r="T285" s="85">
        <f>IF(B285="",0,IF(OR(H285=MappingTables!$C$34,H285=MappingTables!$C$35),S285,0))</f>
        <v>0</v>
      </c>
    </row>
    <row r="286" spans="2:20" s="0" customFormat="0" ht="15">
      <c r="B286" s="69" t="s">
        <v>3739</v>
      </c>
      <c r="C286" s="70" t="s">
        <v>3740</v>
      </c>
      <c r="D286" s="70" t="s">
        <v>1</v>
      </c>
      <c r="E286" s="70" t="s">
        <v>1</v>
      </c>
      <c r="F286" s="70"/>
      <c r="G286" s="70" t="s">
        <v>61</v>
      </c>
      <c r="H286" s="70" t="s">
        <v>178</v>
      </c>
      <c r="I286" s="70" t="s">
        <v>204</v>
      </c>
      <c r="J286" s="71">
        <f>IF(OR(I286=0,I286=""),"unrated",VLOOKUP(I286,MappingTables!$B$19:$C$31,2,FALSE))</f>
        <v>6</v>
      </c>
      <c r="K286" s="72">
        <v>342.76740452804016</v>
      </c>
      <c r="L286" s="70">
        <v>0.068491314615591496</v>
      </c>
      <c r="M286" s="71">
        <f>IF(L286&lt;1,1,L286)</f>
        <v>1</v>
      </c>
      <c r="N286" s="70" t="s">
        <v>3288</v>
      </c>
      <c r="O286" s="71">
        <f>IF(OR(I286=$A$1,I286=0),"",IF(N286=MappingTables!$C$14,VLOOKUP(J286,ModelParameters!$M$8:$N$15,2,FALSE),IF(N286=MappingTables!$C$16,VLOOKUP(J286,ModelParameters!$P$8:$Q$15,2,FALSE),0)))</f>
        <v>1</v>
      </c>
      <c r="P286" s="73">
        <f>IF(OR(I286=0,I286=$A$1),0,MIN(O286*M286,1)*K286)</f>
        <v>342.76740452804016</v>
      </c>
      <c r="Q286" s="73">
        <f>IF(B286="",0,IF(OR(H286=MappingTables!$C$34,H286=MappingTables!$C$35),P286,0))</f>
        <v>0</v>
      </c>
      <c r="R286" s="73">
        <f>IF(ISNA(IF(AND(VLOOKUP(CONCATENATE($D286,$G286),CSRFinput!$B:$E,4,0)=0,OR(H286=MappingTables!$C$31,H286=MappingTables!$C$32)),1,VLOOKUP(CONCATENATE($D286,$G286),CSRFinput!$B:$E,4,0))),0,IF(AND(VLOOKUP(CONCATENATE($D286,$G286),CSRFinput!$B:$E,4,0)=0,OR(H286=MappingTables!$C$31,H286=MappingTables!$C$32)),1,VLOOKUP(CONCATENATE($D286,$G286),CSRFinput!$B:$E,4,0)))</f>
        <v>0.054776304963434752</v>
      </c>
      <c r="S286" s="73">
        <f>IF(B286="",0,P286*R286)</f>
        <v>18.775531881952936</v>
      </c>
      <c r="T286" s="85">
        <f>IF(B286="",0,IF(OR(H286=MappingTables!$C$34,H286=MappingTables!$C$35),S286,0))</f>
        <v>0</v>
      </c>
    </row>
    <row r="287" spans="2:20" s="0" customFormat="0" ht="15">
      <c r="B287" s="69" t="s">
        <v>3741</v>
      </c>
      <c r="C287" s="70" t="s">
        <v>3742</v>
      </c>
      <c r="D287" s="70" t="s">
        <v>1</v>
      </c>
      <c r="E287" s="70" t="s">
        <v>1</v>
      </c>
      <c r="F287" s="70"/>
      <c r="G287" s="70" t="s">
        <v>61</v>
      </c>
      <c r="H287" s="70" t="s">
        <v>178</v>
      </c>
      <c r="I287" s="70" t="s">
        <v>198</v>
      </c>
      <c r="J287" s="71" t="str">
        <f>IF(OR(I287=0,I287=""),"unrated",VLOOKUP(I287,MappingTables!$B$19:$C$31,2,FALSE))</f>
        <v>unrated</v>
      </c>
      <c r="K287" s="72">
        <v>44.942285394563864</v>
      </c>
      <c r="L287" s="70">
        <v>0.068489611202572384</v>
      </c>
      <c r="M287" s="71">
        <f>IF(L287&lt;1,1,L287)</f>
        <v>1</v>
      </c>
      <c r="N287" s="70" t="s">
        <v>3288</v>
      </c>
      <c r="O287" s="71">
        <f>IF(OR(I287=$A$1,I287=0),"",IF(N287=MappingTables!$C$14,VLOOKUP(J287,ModelParameters!$M$8:$N$15,2,FALSE),IF(N287=MappingTables!$C$16,VLOOKUP(J287,ModelParameters!$P$8:$Q$15,2,FALSE),0)))</f>
        <v>1</v>
      </c>
      <c r="P287" s="73">
        <f>IF(OR(I287=0,I287=$A$1),0,MIN(O287*M287,1)*K287)</f>
        <v>44.942285394563864</v>
      </c>
      <c r="Q287" s="73">
        <f>IF(B287="",0,IF(OR(H287=MappingTables!$C$34,H287=MappingTables!$C$35),P287,0))</f>
        <v>0</v>
      </c>
      <c r="R287" s="73">
        <f>IF(ISNA(IF(AND(VLOOKUP(CONCATENATE($D287,$G287),CSRFinput!$B:$E,4,0)=0,OR(H287=MappingTables!$C$31,H287=MappingTables!$C$32)),1,VLOOKUP(CONCATENATE($D287,$G287),CSRFinput!$B:$E,4,0))),0,IF(AND(VLOOKUP(CONCATENATE($D287,$G287),CSRFinput!$B:$E,4,0)=0,OR(H287=MappingTables!$C$31,H287=MappingTables!$C$32)),1,VLOOKUP(CONCATENATE($D287,$G287),CSRFinput!$B:$E,4,0)))</f>
        <v>0.054776304963434752</v>
      </c>
      <c r="S287" s="73">
        <f>IF(B287="",0,P287*R287)</f>
        <v>2.46177233052635</v>
      </c>
      <c r="T287" s="85">
        <f>IF(B287="",0,IF(OR(H287=MappingTables!$C$34,H287=MappingTables!$C$35),S287,0))</f>
        <v>0</v>
      </c>
    </row>
    <row r="288" spans="2:20" s="0" customFormat="0" ht="15">
      <c r="B288" s="69" t="s">
        <v>3743</v>
      </c>
      <c r="C288" s="70" t="s">
        <v>3744</v>
      </c>
      <c r="D288" s="70" t="s">
        <v>1</v>
      </c>
      <c r="E288" s="70" t="s">
        <v>1</v>
      </c>
      <c r="F288" s="70"/>
      <c r="G288" s="70" t="s">
        <v>61</v>
      </c>
      <c r="H288" s="70" t="s">
        <v>178</v>
      </c>
      <c r="I288" s="70" t="s">
        <v>204</v>
      </c>
      <c r="J288" s="71">
        <f>IF(OR(I288=0,I288=""),"unrated",VLOOKUP(I288,MappingTables!$B$19:$C$31,2,FALSE))</f>
        <v>6</v>
      </c>
      <c r="K288" s="72">
        <v>285.89959890676096</v>
      </c>
      <c r="L288" s="70">
        <v>0.068494014860633376</v>
      </c>
      <c r="M288" s="71">
        <f>IF(L288&lt;1,1,L288)</f>
        <v>1</v>
      </c>
      <c r="N288" s="70" t="s">
        <v>3288</v>
      </c>
      <c r="O288" s="71">
        <f>IF(OR(I288=$A$1,I288=0),"",IF(N288=MappingTables!$C$14,VLOOKUP(J288,ModelParameters!$M$8:$N$15,2,FALSE),IF(N288=MappingTables!$C$16,VLOOKUP(J288,ModelParameters!$P$8:$Q$15,2,FALSE),0)))</f>
        <v>1</v>
      </c>
      <c r="P288" s="73">
        <f>IF(OR(I288=0,I288=$A$1),0,MIN(O288*M288,1)*K288)</f>
        <v>285.89959890676096</v>
      </c>
      <c r="Q288" s="73">
        <f>IF(B288="",0,IF(OR(H288=MappingTables!$C$34,H288=MappingTables!$C$35),P288,0))</f>
        <v>0</v>
      </c>
      <c r="R288" s="73">
        <f>IF(ISNA(IF(AND(VLOOKUP(CONCATENATE($D288,$G288),CSRFinput!$B:$E,4,0)=0,OR(H288=MappingTables!$C$31,H288=MappingTables!$C$32)),1,VLOOKUP(CONCATENATE($D288,$G288),CSRFinput!$B:$E,4,0))),0,IF(AND(VLOOKUP(CONCATENATE($D288,$G288),CSRFinput!$B:$E,4,0)=0,OR(H288=MappingTables!$C$31,H288=MappingTables!$C$32)),1,VLOOKUP(CONCATENATE($D288,$G288),CSRFinput!$B:$E,4,0)))</f>
        <v>0.054776304963434752</v>
      </c>
      <c r="S288" s="73">
        <f>IF(B288="",0,P288*R288)</f>
        <v>15.660523618640414</v>
      </c>
      <c r="T288" s="85">
        <f>IF(B288="",0,IF(OR(H288=MappingTables!$C$34,H288=MappingTables!$C$35),S288,0))</f>
        <v>0</v>
      </c>
    </row>
    <row r="289" spans="2:20" s="0" customFormat="0" ht="15">
      <c r="B289" s="69" t="s">
        <v>3745</v>
      </c>
      <c r="C289" s="70" t="s">
        <v>3746</v>
      </c>
      <c r="D289" s="70" t="s">
        <v>1</v>
      </c>
      <c r="E289" s="70" t="s">
        <v>1</v>
      </c>
      <c r="F289" s="70"/>
      <c r="G289" s="70" t="s">
        <v>61</v>
      </c>
      <c r="H289" s="70" t="s">
        <v>178</v>
      </c>
      <c r="I289" s="70" t="s">
        <v>198</v>
      </c>
      <c r="J289" s="71" t="str">
        <f>IF(OR(I289=0,I289=""),"unrated",VLOOKUP(I289,MappingTables!$B$19:$C$31,2,FALSE))</f>
        <v>unrated</v>
      </c>
      <c r="K289" s="72">
        <v>0.0084288701014686576</v>
      </c>
      <c r="L289" s="70">
        <v>2.7154004268226748</v>
      </c>
      <c r="M289" s="71">
        <f>IF(L289&lt;1,1,L289)</f>
        <v>2.7154004268226748</v>
      </c>
      <c r="N289" s="70" t="s">
        <v>3288</v>
      </c>
      <c r="O289" s="71">
        <f>IF(OR(I289=$A$1,I289=0),"",IF(N289=MappingTables!$C$14,VLOOKUP(J289,ModelParameters!$M$8:$N$15,2,FALSE),IF(N289=MappingTables!$C$16,VLOOKUP(J289,ModelParameters!$P$8:$Q$15,2,FALSE),0)))</f>
        <v>1</v>
      </c>
      <c r="P289" s="73">
        <f>IF(OR(I289=0,I289=$A$1),0,MIN(O289*M289,1)*K289)</f>
        <v>0.0084288701014686576</v>
      </c>
      <c r="Q289" s="73">
        <f>IF(B289="",0,IF(OR(H289=MappingTables!$C$34,H289=MappingTables!$C$35),P289,0))</f>
        <v>0</v>
      </c>
      <c r="R289" s="73">
        <f>IF(ISNA(IF(AND(VLOOKUP(CONCATENATE($D289,$G289),CSRFinput!$B:$E,4,0)=0,OR(H289=MappingTables!$C$31,H289=MappingTables!$C$32)),1,VLOOKUP(CONCATENATE($D289,$G289),CSRFinput!$B:$E,4,0))),0,IF(AND(VLOOKUP(CONCATENATE($D289,$G289),CSRFinput!$B:$E,4,0)=0,OR(H289=MappingTables!$C$31,H289=MappingTables!$C$32)),1,VLOOKUP(CONCATENATE($D289,$G289),CSRFinput!$B:$E,4,0)))</f>
        <v>0.054776304963434752</v>
      </c>
      <c r="S289" s="73">
        <f>IF(B289="",0,P289*R289)</f>
        <v>0.0004617023591752244</v>
      </c>
      <c r="T289" s="85">
        <f>IF(B289="",0,IF(OR(H289=MappingTables!$C$34,H289=MappingTables!$C$35),S289,0))</f>
        <v>0</v>
      </c>
    </row>
    <row r="290" spans="2:20" s="0" customFormat="0" ht="15">
      <c r="B290" s="69">
        <v>12130969</v>
      </c>
      <c r="C290" s="70" t="s">
        <v>3747</v>
      </c>
      <c r="D290" s="70" t="s">
        <v>1</v>
      </c>
      <c r="E290" s="70" t="s">
        <v>1</v>
      </c>
      <c r="F290" s="70"/>
      <c r="G290" s="70" t="s">
        <v>61</v>
      </c>
      <c r="H290" s="70" t="s">
        <v>178</v>
      </c>
      <c r="I290" s="70" t="s">
        <v>220</v>
      </c>
      <c r="J290" s="71">
        <f>IF(OR(I290=0,I290=""),"unrated",VLOOKUP(I290,MappingTables!$B$19:$C$31,2,FALSE))</f>
        <v>1</v>
      </c>
      <c r="K290" s="72">
        <v>620.02750067899856</v>
      </c>
      <c r="L290" s="70">
        <v>0.14641522760118608</v>
      </c>
      <c r="M290" s="71">
        <f>IF(L290&lt;1,1,L290)</f>
        <v>1</v>
      </c>
      <c r="N290" s="70" t="s">
        <v>3288</v>
      </c>
      <c r="O290" s="71">
        <f>IF(OR(I290=$A$1,I290=0),"",IF(N290=MappingTables!$C$14,VLOOKUP(J290,ModelParameters!$M$8:$N$15,2,FALSE),IF(N290=MappingTables!$C$16,VLOOKUP(J290,ModelParameters!$P$8:$Q$15,2,FALSE),0)))</f>
        <v>0.134</v>
      </c>
      <c r="P290" s="73">
        <f>IF(OR(I290=0,I290=$A$1),0,MIN(O290*M290,1)*K290)</f>
        <v>83.083685090985808</v>
      </c>
      <c r="Q290" s="73">
        <f>IF(B290="",0,IF(OR(H290=MappingTables!$C$34,H290=MappingTables!$C$35),P290,0))</f>
        <v>0</v>
      </c>
      <c r="R290" s="73">
        <f>IF(ISNA(IF(AND(VLOOKUP(CONCATENATE($D290,$G290),CSRFinput!$B:$E,4,0)=0,OR(H290=MappingTables!$C$31,H290=MappingTables!$C$32)),1,VLOOKUP(CONCATENATE($D290,$G290),CSRFinput!$B:$E,4,0))),0,IF(AND(VLOOKUP(CONCATENATE($D290,$G290),CSRFinput!$B:$E,4,0)=0,OR(H290=MappingTables!$C$31,H290=MappingTables!$C$32)),1,VLOOKUP(CONCATENATE($D290,$G290),CSRFinput!$B:$E,4,0)))</f>
        <v>0.054776304963434752</v>
      </c>
      <c r="S290" s="73">
        <f>IF(B290="",0,P290*R290)</f>
        <v>4.551017272029816</v>
      </c>
      <c r="T290" s="85">
        <f>IF(B290="",0,IF(OR(H290=MappingTables!$C$34,H290=MappingTables!$C$35),S290,0))</f>
        <v>0</v>
      </c>
    </row>
    <row r="291" spans="2:20" s="0" customFormat="0" ht="15">
      <c r="B291" s="69" t="s">
        <v>3748</v>
      </c>
      <c r="C291" s="70" t="s">
        <v>3749</v>
      </c>
      <c r="D291" s="70" t="s">
        <v>1</v>
      </c>
      <c r="E291" s="70" t="s">
        <v>1</v>
      </c>
      <c r="F291" s="70"/>
      <c r="G291" s="70" t="s">
        <v>61</v>
      </c>
      <c r="H291" s="70" t="s">
        <v>178</v>
      </c>
      <c r="I291" s="70" t="s">
        <v>198</v>
      </c>
      <c r="J291" s="71" t="str">
        <f>IF(OR(I291=0,I291=""),"unrated",VLOOKUP(I291,MappingTables!$B$19:$C$31,2,FALSE))</f>
        <v>unrated</v>
      </c>
      <c r="K291" s="72">
        <v>4216.2936354487392</v>
      </c>
      <c r="L291" s="70">
        <v>24.088549265703032</v>
      </c>
      <c r="M291" s="71">
        <f>IF(L291&lt;1,1,L291)</f>
        <v>24.088549265703032</v>
      </c>
      <c r="N291" s="70" t="s">
        <v>3288</v>
      </c>
      <c r="O291" s="71">
        <f>IF(OR(I291=$A$1,I291=0),"",IF(N291=MappingTables!$C$14,VLOOKUP(J291,ModelParameters!$M$8:$N$15,2,FALSE),IF(N291=MappingTables!$C$16,VLOOKUP(J291,ModelParameters!$P$8:$Q$15,2,FALSE),0)))</f>
        <v>1</v>
      </c>
      <c r="P291" s="73">
        <f>IF(OR(I291=0,I291=$A$1),0,MIN(O291*M291,1)*K291)</f>
        <v>4216.2936354487392</v>
      </c>
      <c r="Q291" s="73">
        <f>IF(B291="",0,IF(OR(H291=MappingTables!$C$34,H291=MappingTables!$C$35),P291,0))</f>
        <v>0</v>
      </c>
      <c r="R291" s="73">
        <f>IF(ISNA(IF(AND(VLOOKUP(CONCATENATE($D291,$G291),CSRFinput!$B:$E,4,0)=0,OR(H291=MappingTables!$C$31,H291=MappingTables!$C$32)),1,VLOOKUP(CONCATENATE($D291,$G291),CSRFinput!$B:$E,4,0))),0,IF(AND(VLOOKUP(CONCATENATE($D291,$G291),CSRFinput!$B:$E,4,0)=0,OR(H291=MappingTables!$C$31,H291=MappingTables!$C$32)),1,VLOOKUP(CONCATENATE($D291,$G291),CSRFinput!$B:$E,4,0)))</f>
        <v>0.054776304963434752</v>
      </c>
      <c r="S291" s="73">
        <f>IF(B291="",0,P291*R291)</f>
        <v>230.95298599072912</v>
      </c>
      <c r="T291" s="85">
        <f>IF(B291="",0,IF(OR(H291=MappingTables!$C$34,H291=MappingTables!$C$35),S291,0))</f>
        <v>0</v>
      </c>
    </row>
    <row r="292" spans="2:20" s="0" customFormat="0" ht="15">
      <c r="B292" s="69" t="s">
        <v>3750</v>
      </c>
      <c r="C292" s="70" t="s">
        <v>3751</v>
      </c>
      <c r="D292" s="70" t="s">
        <v>1</v>
      </c>
      <c r="E292" s="70" t="s">
        <v>1</v>
      </c>
      <c r="F292" s="70"/>
      <c r="G292" s="70" t="s">
        <v>61</v>
      </c>
      <c r="H292" s="70" t="s">
        <v>178</v>
      </c>
      <c r="I292" s="70" t="s">
        <v>198</v>
      </c>
      <c r="J292" s="71" t="str">
        <f>IF(OR(I292=0,I292=""),"unrated",VLOOKUP(I292,MappingTables!$B$19:$C$31,2,FALSE))</f>
        <v>unrated</v>
      </c>
      <c r="K292" s="72">
        <v>41.530538070674472</v>
      </c>
      <c r="L292" s="70">
        <v>0.06849106619949832</v>
      </c>
      <c r="M292" s="71">
        <f>IF(L292&lt;1,1,L292)</f>
        <v>1</v>
      </c>
      <c r="N292" s="70" t="s">
        <v>3288</v>
      </c>
      <c r="O292" s="71">
        <f>IF(OR(I292=$A$1,I292=0),"",IF(N292=MappingTables!$C$14,VLOOKUP(J292,ModelParameters!$M$8:$N$15,2,FALSE),IF(N292=MappingTables!$C$16,VLOOKUP(J292,ModelParameters!$P$8:$Q$15,2,FALSE),0)))</f>
        <v>1</v>
      </c>
      <c r="P292" s="73">
        <f>IF(OR(I292=0,I292=$A$1),0,MIN(O292*M292,1)*K292)</f>
        <v>41.530538070674472</v>
      </c>
      <c r="Q292" s="73">
        <f>IF(B292="",0,IF(OR(H292=MappingTables!$C$34,H292=MappingTables!$C$35),P292,0))</f>
        <v>0</v>
      </c>
      <c r="R292" s="73">
        <f>IF(ISNA(IF(AND(VLOOKUP(CONCATENATE($D292,$G292),CSRFinput!$B:$E,4,0)=0,OR(H292=MappingTables!$C$31,H292=MappingTables!$C$32)),1,VLOOKUP(CONCATENATE($D292,$G292),CSRFinput!$B:$E,4,0))),0,IF(AND(VLOOKUP(CONCATENATE($D292,$G292),CSRFinput!$B:$E,4,0)=0,OR(H292=MappingTables!$C$31,H292=MappingTables!$C$32)),1,VLOOKUP(CONCATENATE($D292,$G292),CSRFinput!$B:$E,4,0)))</f>
        <v>0.054776304963434752</v>
      </c>
      <c r="S292" s="73">
        <f>IF(B292="",0,P292*R292)</f>
        <v>2.2748894186548024</v>
      </c>
      <c r="T292" s="85">
        <f>IF(B292="",0,IF(OR(H292=MappingTables!$C$34,H292=MappingTables!$C$35),S292,0))</f>
        <v>0</v>
      </c>
    </row>
    <row r="293" spans="2:20" s="0" customFormat="0" ht="15">
      <c r="B293" s="69" t="s">
        <v>3752</v>
      </c>
      <c r="C293" s="70" t="s">
        <v>3753</v>
      </c>
      <c r="D293" s="70" t="s">
        <v>1</v>
      </c>
      <c r="E293" s="70" t="s">
        <v>1</v>
      </c>
      <c r="F293" s="70"/>
      <c r="G293" s="70" t="s">
        <v>61</v>
      </c>
      <c r="H293" s="70" t="s">
        <v>178</v>
      </c>
      <c r="I293" s="70" t="s">
        <v>198</v>
      </c>
      <c r="J293" s="71" t="str">
        <f>IF(OR(I293=0,I293=""),"unrated",VLOOKUP(I293,MappingTables!$B$19:$C$31,2,FALSE))</f>
        <v>unrated</v>
      </c>
      <c r="K293" s="72">
        <v>8203.943960476424</v>
      </c>
      <c r="L293" s="70">
        <v>9.0068457239296848</v>
      </c>
      <c r="M293" s="71">
        <f>IF(L293&lt;1,1,L293)</f>
        <v>9.0068457239296848</v>
      </c>
      <c r="N293" s="70" t="s">
        <v>3288</v>
      </c>
      <c r="O293" s="71">
        <f>IF(OR(I293=$A$1,I293=0),"",IF(N293=MappingTables!$C$14,VLOOKUP(J293,ModelParameters!$M$8:$N$15,2,FALSE),IF(N293=MappingTables!$C$16,VLOOKUP(J293,ModelParameters!$P$8:$Q$15,2,FALSE),0)))</f>
        <v>1</v>
      </c>
      <c r="P293" s="73">
        <f>IF(OR(I293=0,I293=$A$1),0,MIN(O293*M293,1)*K293)</f>
        <v>8203.943960476424</v>
      </c>
      <c r="Q293" s="73">
        <f>IF(B293="",0,IF(OR(H293=MappingTables!$C$34,H293=MappingTables!$C$35),P293,0))</f>
        <v>0</v>
      </c>
      <c r="R293" s="73">
        <f>IF(ISNA(IF(AND(VLOOKUP(CONCATENATE($D293,$G293),CSRFinput!$B:$E,4,0)=0,OR(H293=MappingTables!$C$31,H293=MappingTables!$C$32)),1,VLOOKUP(CONCATENATE($D293,$G293),CSRFinput!$B:$E,4,0))),0,IF(AND(VLOOKUP(CONCATENATE($D293,$G293),CSRFinput!$B:$E,4,0)=0,OR(H293=MappingTables!$C$31,H293=MappingTables!$C$32)),1,VLOOKUP(CONCATENATE($D293,$G293),CSRFinput!$B:$E,4,0)))</f>
        <v>0.054776304963434752</v>
      </c>
      <c r="S293" s="73">
        <f>IF(B293="",0,P293*R293)</f>
        <v>449.38173628198536</v>
      </c>
      <c r="T293" s="85">
        <f>IF(B293="",0,IF(OR(H293=MappingTables!$C$34,H293=MappingTables!$C$35),S293,0))</f>
        <v>0</v>
      </c>
    </row>
    <row r="294" spans="2:20" s="0" customFormat="0" ht="15">
      <c r="B294" s="69" t="s">
        <v>3754</v>
      </c>
      <c r="C294" s="70" t="s">
        <v>3755</v>
      </c>
      <c r="D294" s="70" t="s">
        <v>1</v>
      </c>
      <c r="E294" s="70" t="s">
        <v>1</v>
      </c>
      <c r="F294" s="70"/>
      <c r="G294" s="70" t="s">
        <v>61</v>
      </c>
      <c r="H294" s="70" t="s">
        <v>178</v>
      </c>
      <c r="I294" s="70" t="s">
        <v>3298</v>
      </c>
      <c r="J294" s="71">
        <f>IF(OR(I294=0,I294=""),"unrated",VLOOKUP(I294,MappingTables!$B$19:$C$31,2,FALSE))</f>
        <v>6</v>
      </c>
      <c r="K294" s="72">
        <v>754.86139121696464</v>
      </c>
      <c r="L294" s="70">
        <v>0.068491216730150768</v>
      </c>
      <c r="M294" s="71">
        <f>IF(L294&lt;1,1,L294)</f>
        <v>1</v>
      </c>
      <c r="N294" s="70" t="s">
        <v>3288</v>
      </c>
      <c r="O294" s="71">
        <f>IF(OR(I294=$A$1,I294=0),"",IF(N294=MappingTables!$C$14,VLOOKUP(J294,ModelParameters!$M$8:$N$15,2,FALSE),IF(N294=MappingTables!$C$16,VLOOKUP(J294,ModelParameters!$P$8:$Q$15,2,FALSE),0)))</f>
        <v>1</v>
      </c>
      <c r="P294" s="73">
        <f>IF(OR(I294=0,I294=$A$1),0,MIN(O294*M294,1)*K294)</f>
        <v>754.86139121696464</v>
      </c>
      <c r="Q294" s="73">
        <f>IF(B294="",0,IF(OR(H294=MappingTables!$C$34,H294=MappingTables!$C$35),P294,0))</f>
        <v>0</v>
      </c>
      <c r="R294" s="73">
        <f>IF(ISNA(IF(AND(VLOOKUP(CONCATENATE($D294,$G294),CSRFinput!$B:$E,4,0)=0,OR(H294=MappingTables!$C$31,H294=MappingTables!$C$32)),1,VLOOKUP(CONCATENATE($D294,$G294),CSRFinput!$B:$E,4,0))),0,IF(AND(VLOOKUP(CONCATENATE($D294,$G294),CSRFinput!$B:$E,4,0)=0,OR(H294=MappingTables!$C$31,H294=MappingTables!$C$32)),1,VLOOKUP(CONCATENATE($D294,$G294),CSRFinput!$B:$E,4,0)))</f>
        <v>0.054776304963434752</v>
      </c>
      <c r="S294" s="73">
        <f>IF(B294="",0,P294*R294)</f>
        <v>41.348517770423088</v>
      </c>
      <c r="T294" s="85">
        <f>IF(B294="",0,IF(OR(H294=MappingTables!$C$34,H294=MappingTables!$C$35),S294,0))</f>
        <v>0</v>
      </c>
    </row>
    <row r="295" spans="2:20" s="0" customFormat="0" ht="15">
      <c r="B295" s="69" t="s">
        <v>3518</v>
      </c>
      <c r="C295" s="70" t="s">
        <v>3519</v>
      </c>
      <c r="D295" s="70" t="s">
        <v>1</v>
      </c>
      <c r="E295" s="70" t="s">
        <v>1</v>
      </c>
      <c r="F295" s="70"/>
      <c r="G295" s="70" t="s">
        <v>61</v>
      </c>
      <c r="H295" s="70" t="s">
        <v>178</v>
      </c>
      <c r="I295" s="70" t="s">
        <v>198</v>
      </c>
      <c r="J295" s="71" t="str">
        <f>IF(OR(I295=0,I295=""),"unrated",VLOOKUP(I295,MappingTables!$B$19:$C$31,2,FALSE))</f>
        <v>unrated</v>
      </c>
      <c r="K295" s="72">
        <v>424.80694691405736</v>
      </c>
      <c r="L295" s="70">
        <v>0.068496139271091632</v>
      </c>
      <c r="M295" s="71">
        <f>IF(L295&lt;1,1,L295)</f>
        <v>1</v>
      </c>
      <c r="N295" s="70" t="s">
        <v>3288</v>
      </c>
      <c r="O295" s="71">
        <f>IF(OR(I295=$A$1,I295=0),"",IF(N295=MappingTables!$C$14,VLOOKUP(J295,ModelParameters!$M$8:$N$15,2,FALSE),IF(N295=MappingTables!$C$16,VLOOKUP(J295,ModelParameters!$P$8:$Q$15,2,FALSE),0)))</f>
        <v>1</v>
      </c>
      <c r="P295" s="73">
        <f>IF(OR(I295=0,I295=$A$1),0,MIN(O295*M295,1)*K295)</f>
        <v>424.80694691405736</v>
      </c>
      <c r="Q295" s="73">
        <f>IF(B295="",0,IF(OR(H295=MappingTables!$C$34,H295=MappingTables!$C$35),P295,0))</f>
        <v>0</v>
      </c>
      <c r="R295" s="73">
        <f>IF(ISNA(IF(AND(VLOOKUP(CONCATENATE($D295,$G295),CSRFinput!$B:$E,4,0)=0,OR(H295=MappingTables!$C$31,H295=MappingTables!$C$32)),1,VLOOKUP(CONCATENATE($D295,$G295),CSRFinput!$B:$E,4,0))),0,IF(AND(VLOOKUP(CONCATENATE($D295,$G295),CSRFinput!$B:$E,4,0)=0,OR(H295=MappingTables!$C$31,H295=MappingTables!$C$32)),1,VLOOKUP(CONCATENATE($D295,$G295),CSRFinput!$B:$E,4,0)))</f>
        <v>0.054776304963434752</v>
      </c>
      <c r="S295" s="73">
        <f>IF(B295="",0,P295*R295)</f>
        <v>23.269354874750044</v>
      </c>
      <c r="T295" s="85">
        <f>IF(B295="",0,IF(OR(H295=MappingTables!$C$34,H295=MappingTables!$C$35),S295,0))</f>
        <v>0</v>
      </c>
    </row>
    <row r="296" spans="2:20" s="0" customFormat="0" ht="15">
      <c r="B296" s="69" t="s">
        <v>3756</v>
      </c>
      <c r="C296" s="70" t="s">
        <v>3757</v>
      </c>
      <c r="D296" s="70" t="s">
        <v>1</v>
      </c>
      <c r="E296" s="70" t="s">
        <v>1</v>
      </c>
      <c r="F296" s="70"/>
      <c r="G296" s="70" t="s">
        <v>61</v>
      </c>
      <c r="H296" s="70" t="s">
        <v>178</v>
      </c>
      <c r="I296" s="70" t="s">
        <v>184</v>
      </c>
      <c r="J296" s="71">
        <f>IF(OR(I296=0,I296=""),"unrated",VLOOKUP(I296,MappingTables!$B$19:$C$31,2,FALSE))</f>
        <v>5</v>
      </c>
      <c r="K296" s="72">
        <v>1.402515364459751</v>
      </c>
      <c r="L296" s="70">
        <v>0.068489819491216936</v>
      </c>
      <c r="M296" s="71">
        <f>IF(L296&lt;1,1,L296)</f>
        <v>1</v>
      </c>
      <c r="N296" s="70" t="s">
        <v>3288</v>
      </c>
      <c r="O296" s="71">
        <f>IF(OR(I296=$A$1,I296=0),"",IF(N296=MappingTables!$C$14,VLOOKUP(J296,ModelParameters!$M$8:$N$15,2,FALSE),IF(N296=MappingTables!$C$16,VLOOKUP(J296,ModelParameters!$P$8:$Q$15,2,FALSE),0)))</f>
        <v>1</v>
      </c>
      <c r="P296" s="73">
        <f>IF(OR(I296=0,I296=$A$1),0,MIN(O296*M296,1)*K296)</f>
        <v>1.402515364459751</v>
      </c>
      <c r="Q296" s="73">
        <f>IF(B296="",0,IF(OR(H296=MappingTables!$C$34,H296=MappingTables!$C$35),P296,0))</f>
        <v>0</v>
      </c>
      <c r="R296" s="73">
        <f>IF(ISNA(IF(AND(VLOOKUP(CONCATENATE($D296,$G296),CSRFinput!$B:$E,4,0)=0,OR(H296=MappingTables!$C$31,H296=MappingTables!$C$32)),1,VLOOKUP(CONCATENATE($D296,$G296),CSRFinput!$B:$E,4,0))),0,IF(AND(VLOOKUP(CONCATENATE($D296,$G296),CSRFinput!$B:$E,4,0)=0,OR(H296=MappingTables!$C$31,H296=MappingTables!$C$32)),1,VLOOKUP(CONCATENATE($D296,$G296),CSRFinput!$B:$E,4,0)))</f>
        <v>0.054776304963434752</v>
      </c>
      <c r="S296" s="73">
        <f>IF(B296="",0,P296*R296)</f>
        <v>0.07682460931955016</v>
      </c>
      <c r="T296" s="85">
        <f>IF(B296="",0,IF(OR(H296=MappingTables!$C$34,H296=MappingTables!$C$35),S296,0))</f>
        <v>0</v>
      </c>
    </row>
    <row r="297" spans="2:20" s="0" customFormat="0" ht="15">
      <c r="B297" s="69">
        <v>22554075</v>
      </c>
      <c r="C297" s="70" t="s">
        <v>3758</v>
      </c>
      <c r="D297" s="70" t="s">
        <v>1</v>
      </c>
      <c r="E297" s="70" t="s">
        <v>1</v>
      </c>
      <c r="F297" s="70"/>
      <c r="G297" s="70" t="s">
        <v>61</v>
      </c>
      <c r="H297" s="70" t="s">
        <v>178</v>
      </c>
      <c r="I297" s="70" t="s">
        <v>204</v>
      </c>
      <c r="J297" s="71">
        <f>IF(OR(I297=0,I297=""),"unrated",VLOOKUP(I297,MappingTables!$B$19:$C$31,2,FALSE))</f>
        <v>6</v>
      </c>
      <c r="K297" s="72">
        <v>317.7637407721968</v>
      </c>
      <c r="L297" s="70">
        <v>0.0684911267465914</v>
      </c>
      <c r="M297" s="71">
        <f>IF(L297&lt;1,1,L297)</f>
        <v>1</v>
      </c>
      <c r="N297" s="70" t="s">
        <v>3288</v>
      </c>
      <c r="O297" s="71">
        <f>IF(OR(I297=$A$1,I297=0),"",IF(N297=MappingTables!$C$14,VLOOKUP(J297,ModelParameters!$M$8:$N$15,2,FALSE),IF(N297=MappingTables!$C$16,VLOOKUP(J297,ModelParameters!$P$8:$Q$15,2,FALSE),0)))</f>
        <v>1</v>
      </c>
      <c r="P297" s="73">
        <f>IF(OR(I297=0,I297=$A$1),0,MIN(O297*M297,1)*K297)</f>
        <v>317.7637407721968</v>
      </c>
      <c r="Q297" s="73">
        <f>IF(B297="",0,IF(OR(H297=MappingTables!$C$34,H297=MappingTables!$C$35),P297,0))</f>
        <v>0</v>
      </c>
      <c r="R297" s="73">
        <f>IF(ISNA(IF(AND(VLOOKUP(CONCATENATE($D297,$G297),CSRFinput!$B:$E,4,0)=0,OR(H297=MappingTables!$C$31,H297=MappingTables!$C$32)),1,VLOOKUP(CONCATENATE($D297,$G297),CSRFinput!$B:$E,4,0))),0,IF(AND(VLOOKUP(CONCATENATE($D297,$G297),CSRFinput!$B:$E,4,0)=0,OR(H297=MappingTables!$C$31,H297=MappingTables!$C$32)),1,VLOOKUP(CONCATENATE($D297,$G297),CSRFinput!$B:$E,4,0)))</f>
        <v>0.054776304963434752</v>
      </c>
      <c r="S297" s="73">
        <f>IF(B297="",0,P297*R297)</f>
        <v>17.405923570859678</v>
      </c>
      <c r="T297" s="85">
        <f>IF(B297="",0,IF(OR(H297=MappingTables!$C$34,H297=MappingTables!$C$35),S297,0))</f>
        <v>0</v>
      </c>
    </row>
    <row r="298" spans="2:20" s="0" customFormat="0" ht="15">
      <c r="B298" s="69" t="s">
        <v>3759</v>
      </c>
      <c r="C298" s="70" t="s">
        <v>3760</v>
      </c>
      <c r="D298" s="70" t="s">
        <v>1</v>
      </c>
      <c r="E298" s="70" t="s">
        <v>1</v>
      </c>
      <c r="F298" s="70"/>
      <c r="G298" s="70" t="s">
        <v>61</v>
      </c>
      <c r="H298" s="70" t="s">
        <v>178</v>
      </c>
      <c r="I298" s="70" t="s">
        <v>204</v>
      </c>
      <c r="J298" s="71">
        <f>IF(OR(I298=0,I298=""),"unrated",VLOOKUP(I298,MappingTables!$B$19:$C$31,2,FALSE))</f>
        <v>6</v>
      </c>
      <c r="K298" s="72">
        <v>7.2294131171258672</v>
      </c>
      <c r="L298" s="70">
        <v>0.064690699259185112</v>
      </c>
      <c r="M298" s="71">
        <f>IF(L298&lt;1,1,L298)</f>
        <v>1</v>
      </c>
      <c r="N298" s="70" t="s">
        <v>3288</v>
      </c>
      <c r="O298" s="71">
        <f>IF(OR(I298=$A$1,I298=0),"",IF(N298=MappingTables!$C$14,VLOOKUP(J298,ModelParameters!$M$8:$N$15,2,FALSE),IF(N298=MappingTables!$C$16,VLOOKUP(J298,ModelParameters!$P$8:$Q$15,2,FALSE),0)))</f>
        <v>1</v>
      </c>
      <c r="P298" s="73">
        <f>IF(OR(I298=0,I298=$A$1),0,MIN(O298*M298,1)*K298)</f>
        <v>7.2294131171258672</v>
      </c>
      <c r="Q298" s="73">
        <f>IF(B298="",0,IF(OR(H298=MappingTables!$C$34,H298=MappingTables!$C$35),P298,0))</f>
        <v>0</v>
      </c>
      <c r="R298" s="73">
        <f>IF(ISNA(IF(AND(VLOOKUP(CONCATENATE($D298,$G298),CSRFinput!$B:$E,4,0)=0,OR(H298=MappingTables!$C$31,H298=MappingTables!$C$32)),1,VLOOKUP(CONCATENATE($D298,$G298),CSRFinput!$B:$E,4,0))),0,IF(AND(VLOOKUP(CONCATENATE($D298,$G298),CSRFinput!$B:$E,4,0)=0,OR(H298=MappingTables!$C$31,H298=MappingTables!$C$32)),1,VLOOKUP(CONCATENATE($D298,$G298),CSRFinput!$B:$E,4,0)))</f>
        <v>0.054776304963434752</v>
      </c>
      <c r="S298" s="73">
        <f>IF(B298="",0,P298*R298)</f>
        <v>0.39600053761034192</v>
      </c>
      <c r="T298" s="85">
        <f>IF(B298="",0,IF(OR(H298=MappingTables!$C$34,H298=MappingTables!$C$35),S298,0))</f>
        <v>0</v>
      </c>
    </row>
    <row r="299" spans="2:20" s="0" customFormat="0" ht="15">
      <c r="B299" s="69" t="s">
        <v>3761</v>
      </c>
      <c r="C299" s="70" t="s">
        <v>3762</v>
      </c>
      <c r="D299" s="70" t="s">
        <v>1</v>
      </c>
      <c r="E299" s="70" t="s">
        <v>1</v>
      </c>
      <c r="F299" s="70"/>
      <c r="G299" s="70" t="s">
        <v>61</v>
      </c>
      <c r="H299" s="70" t="s">
        <v>178</v>
      </c>
      <c r="I299" s="70" t="s">
        <v>204</v>
      </c>
      <c r="J299" s="71">
        <f>IF(OR(I299=0,I299=""),"unrated",VLOOKUP(I299,MappingTables!$B$19:$C$31,2,FALSE))</f>
        <v>6</v>
      </c>
      <c r="K299" s="72">
        <v>48.152708198182312</v>
      </c>
      <c r="L299" s="70">
        <v>0.068494267067529272</v>
      </c>
      <c r="M299" s="71">
        <f>IF(L299&lt;1,1,L299)</f>
        <v>1</v>
      </c>
      <c r="N299" s="70" t="s">
        <v>3288</v>
      </c>
      <c r="O299" s="71">
        <f>IF(OR(I299=$A$1,I299=0),"",IF(N299=MappingTables!$C$14,VLOOKUP(J299,ModelParameters!$M$8:$N$15,2,FALSE),IF(N299=MappingTables!$C$16,VLOOKUP(J299,ModelParameters!$P$8:$Q$15,2,FALSE),0)))</f>
        <v>1</v>
      </c>
      <c r="P299" s="73">
        <f>IF(OR(I299=0,I299=$A$1),0,MIN(O299*M299,1)*K299)</f>
        <v>48.152708198182312</v>
      </c>
      <c r="Q299" s="73">
        <f>IF(B299="",0,IF(OR(H299=MappingTables!$C$34,H299=MappingTables!$C$35),P299,0))</f>
        <v>0</v>
      </c>
      <c r="R299" s="73">
        <f>IF(ISNA(IF(AND(VLOOKUP(CONCATENATE($D299,$G299),CSRFinput!$B:$E,4,0)=0,OR(H299=MappingTables!$C$31,H299=MappingTables!$C$32)),1,VLOOKUP(CONCATENATE($D299,$G299),CSRFinput!$B:$E,4,0))),0,IF(AND(VLOOKUP(CONCATENATE($D299,$G299),CSRFinput!$B:$E,4,0)=0,OR(H299=MappingTables!$C$31,H299=MappingTables!$C$32)),1,VLOOKUP(CONCATENATE($D299,$G299),CSRFinput!$B:$E,4,0)))</f>
        <v>0.054776304963434752</v>
      </c>
      <c r="S299" s="73">
        <f>IF(B299="",0,P299*R299)</f>
        <v>2.6376274290789192</v>
      </c>
      <c r="T299" s="85">
        <f>IF(B299="",0,IF(OR(H299=MappingTables!$C$34,H299=MappingTables!$C$35),S299,0))</f>
        <v>0</v>
      </c>
    </row>
    <row r="300" spans="2:20" s="0" customFormat="0" ht="15">
      <c r="B300" s="69">
        <v>15086004</v>
      </c>
      <c r="C300" s="70" t="s">
        <v>3763</v>
      </c>
      <c r="D300" s="70" t="s">
        <v>1</v>
      </c>
      <c r="E300" s="70" t="s">
        <v>1</v>
      </c>
      <c r="F300" s="70"/>
      <c r="G300" s="70" t="s">
        <v>61</v>
      </c>
      <c r="H300" s="70" t="s">
        <v>178</v>
      </c>
      <c r="I300" s="70" t="s">
        <v>181</v>
      </c>
      <c r="J300" s="71">
        <f>IF(OR(I300=0,I300=""),"unrated",VLOOKUP(I300,MappingTables!$B$19:$C$31,2,FALSE))</f>
        <v>3</v>
      </c>
      <c r="K300" s="72">
        <v>14160.744011551028</v>
      </c>
      <c r="L300" s="70">
        <v>2.4182372592976592</v>
      </c>
      <c r="M300" s="71">
        <f>IF(L300&lt;1,1,L300)</f>
        <v>2.4182372592976592</v>
      </c>
      <c r="N300" s="70" t="s">
        <v>3288</v>
      </c>
      <c r="O300" s="71">
        <f>IF(OR(I300=$A$1,I300=0),"",IF(N300=MappingTables!$C$14,VLOOKUP(J300,ModelParameters!$M$8:$N$15,2,FALSE),IF(N300=MappingTables!$C$16,VLOOKUP(J300,ModelParameters!$P$8:$Q$15,2,FALSE),0)))</f>
        <v>0.197</v>
      </c>
      <c r="P300" s="73">
        <f>IF(OR(I300=0,I300=$A$1),0,MIN(O300*M300,1)*K300)</f>
        <v>6746.075641257452</v>
      </c>
      <c r="Q300" s="73">
        <f>IF(B300="",0,IF(OR(H300=MappingTables!$C$34,H300=MappingTables!$C$35),P300,0))</f>
        <v>0</v>
      </c>
      <c r="R300" s="73">
        <f>IF(ISNA(IF(AND(VLOOKUP(CONCATENATE($D300,$G300),CSRFinput!$B:$E,4,0)=0,OR(H300=MappingTables!$C$31,H300=MappingTables!$C$32)),1,VLOOKUP(CONCATENATE($D300,$G300),CSRFinput!$B:$E,4,0))),0,IF(AND(VLOOKUP(CONCATENATE($D300,$G300),CSRFinput!$B:$E,4,0)=0,OR(H300=MappingTables!$C$31,H300=MappingTables!$C$32)),1,VLOOKUP(CONCATENATE($D300,$G300),CSRFinput!$B:$E,4,0)))</f>
        <v>0.054776304963434752</v>
      </c>
      <c r="S300" s="73">
        <f>IF(B300="",0,P300*R300)</f>
        <v>369.5250966319168</v>
      </c>
      <c r="T300" s="85">
        <f>IF(B300="",0,IF(OR(H300=MappingTables!$C$34,H300=MappingTables!$C$35),S300,0))</f>
        <v>0</v>
      </c>
    </row>
    <row r="301" spans="2:20" s="0" customFormat="0" ht="15">
      <c r="B301" s="69" t="s">
        <v>3764</v>
      </c>
      <c r="C301" s="70" t="s">
        <v>3765</v>
      </c>
      <c r="D301" s="70" t="s">
        <v>1</v>
      </c>
      <c r="E301" s="70" t="s">
        <v>1</v>
      </c>
      <c r="F301" s="70"/>
      <c r="G301" s="70" t="s">
        <v>61</v>
      </c>
      <c r="H301" s="70" t="s">
        <v>178</v>
      </c>
      <c r="I301" s="70" t="s">
        <v>204</v>
      </c>
      <c r="J301" s="71">
        <f>IF(OR(I301=0,I301=""),"unrated",VLOOKUP(I301,MappingTables!$B$19:$C$31,2,FALSE))</f>
        <v>6</v>
      </c>
      <c r="K301" s="72">
        <v>1021.6795461605272</v>
      </c>
      <c r="L301" s="70">
        <v>9.7336773047666192</v>
      </c>
      <c r="M301" s="71">
        <f>IF(L301&lt;1,1,L301)</f>
        <v>9.7336773047666192</v>
      </c>
      <c r="N301" s="70" t="s">
        <v>3288</v>
      </c>
      <c r="O301" s="71">
        <f>IF(OR(I301=$A$1,I301=0),"",IF(N301=MappingTables!$C$14,VLOOKUP(J301,ModelParameters!$M$8:$N$15,2,FALSE),IF(N301=MappingTables!$C$16,VLOOKUP(J301,ModelParameters!$P$8:$Q$15,2,FALSE),0)))</f>
        <v>1</v>
      </c>
      <c r="P301" s="73">
        <f>IF(OR(I301=0,I301=$A$1),0,MIN(O301*M301,1)*K301)</f>
        <v>1021.6795461605272</v>
      </c>
      <c r="Q301" s="73">
        <f>IF(B301="",0,IF(OR(H301=MappingTables!$C$34,H301=MappingTables!$C$35),P301,0))</f>
        <v>0</v>
      </c>
      <c r="R301" s="73">
        <f>IF(ISNA(IF(AND(VLOOKUP(CONCATENATE($D301,$G301),CSRFinput!$B:$E,4,0)=0,OR(H301=MappingTables!$C$31,H301=MappingTables!$C$32)),1,VLOOKUP(CONCATENATE($D301,$G301),CSRFinput!$B:$E,4,0))),0,IF(AND(VLOOKUP(CONCATENATE($D301,$G301),CSRFinput!$B:$E,4,0)=0,OR(H301=MappingTables!$C$31,H301=MappingTables!$C$32)),1,VLOOKUP(CONCATENATE($D301,$G301),CSRFinput!$B:$E,4,0)))</f>
        <v>0.054776304963434752</v>
      </c>
      <c r="S301" s="73">
        <f>IF(B301="",0,P301*R301)</f>
        <v>55.963830395392656</v>
      </c>
      <c r="T301" s="85">
        <f>IF(B301="",0,IF(OR(H301=MappingTables!$C$34,H301=MappingTables!$C$35),S301,0))</f>
        <v>0</v>
      </c>
    </row>
    <row r="302" spans="2:20" s="0" customFormat="0" ht="15">
      <c r="B302" s="69">
        <v>22623670</v>
      </c>
      <c r="C302" s="70" t="s">
        <v>3766</v>
      </c>
      <c r="D302" s="70" t="s">
        <v>1</v>
      </c>
      <c r="E302" s="70" t="s">
        <v>1</v>
      </c>
      <c r="F302" s="70"/>
      <c r="G302" s="70" t="s">
        <v>61</v>
      </c>
      <c r="H302" s="70" t="s">
        <v>178</v>
      </c>
      <c r="I302" s="70" t="s">
        <v>198</v>
      </c>
      <c r="J302" s="71" t="str">
        <f>IF(OR(I302=0,I302=""),"unrated",VLOOKUP(I302,MappingTables!$B$19:$C$31,2,FALSE))</f>
        <v>unrated</v>
      </c>
      <c r="K302" s="72">
        <v>405.76932927071336</v>
      </c>
      <c r="L302" s="70">
        <v>0.027142841999013304</v>
      </c>
      <c r="M302" s="71">
        <f>IF(L302&lt;1,1,L302)</f>
        <v>1</v>
      </c>
      <c r="N302" s="70" t="s">
        <v>3288</v>
      </c>
      <c r="O302" s="71">
        <f>IF(OR(I302=$A$1,I302=0),"",IF(N302=MappingTables!$C$14,VLOOKUP(J302,ModelParameters!$M$8:$N$15,2,FALSE),IF(N302=MappingTables!$C$16,VLOOKUP(J302,ModelParameters!$P$8:$Q$15,2,FALSE),0)))</f>
        <v>1</v>
      </c>
      <c r="P302" s="73">
        <f>IF(OR(I302=0,I302=$A$1),0,MIN(O302*M302,1)*K302)</f>
        <v>405.76932927071336</v>
      </c>
      <c r="Q302" s="73">
        <f>IF(B302="",0,IF(OR(H302=MappingTables!$C$34,H302=MappingTables!$C$35),P302,0))</f>
        <v>0</v>
      </c>
      <c r="R302" s="73">
        <f>IF(ISNA(IF(AND(VLOOKUP(CONCATENATE($D302,$G302),CSRFinput!$B:$E,4,0)=0,OR(H302=MappingTables!$C$31,H302=MappingTables!$C$32)),1,VLOOKUP(CONCATENATE($D302,$G302),CSRFinput!$B:$E,4,0))),0,IF(AND(VLOOKUP(CONCATENATE($D302,$G302),CSRFinput!$B:$E,4,0)=0,OR(H302=MappingTables!$C$31,H302=MappingTables!$C$32)),1,VLOOKUP(CONCATENATE($D302,$G302),CSRFinput!$B:$E,4,0)))</f>
        <v>0.054776304963434752</v>
      </c>
      <c r="S302" s="73">
        <f>IF(B302="",0,P302*R302)</f>
        <v>22.226544524940968</v>
      </c>
      <c r="T302" s="85">
        <f>IF(B302="",0,IF(OR(H302=MappingTables!$C$34,H302=MappingTables!$C$35),S302,0))</f>
        <v>0</v>
      </c>
    </row>
    <row r="303" spans="2:20" s="0" customFormat="0" ht="15">
      <c r="B303" s="69" t="s">
        <v>3767</v>
      </c>
      <c r="C303" s="70" t="s">
        <v>3768</v>
      </c>
      <c r="D303" s="70" t="s">
        <v>1</v>
      </c>
      <c r="E303" s="70" t="s">
        <v>1</v>
      </c>
      <c r="F303" s="70"/>
      <c r="G303" s="70" t="s">
        <v>61</v>
      </c>
      <c r="H303" s="70" t="s">
        <v>178</v>
      </c>
      <c r="I303" s="70" t="s">
        <v>198</v>
      </c>
      <c r="J303" s="71" t="str">
        <f>IF(OR(I303=0,I303=""),"unrated",VLOOKUP(I303,MappingTables!$B$19:$C$31,2,FALSE))</f>
        <v>unrated</v>
      </c>
      <c r="K303" s="72">
        <v>30363.044113696872</v>
      </c>
      <c r="L303" s="70">
        <v>4.3410904456998352</v>
      </c>
      <c r="M303" s="71">
        <f>IF(L303&lt;1,1,L303)</f>
        <v>4.3410904456998352</v>
      </c>
      <c r="N303" s="70" t="s">
        <v>3288</v>
      </c>
      <c r="O303" s="71">
        <f>IF(OR(I303=$A$1,I303=0),"",IF(N303=MappingTables!$C$14,VLOOKUP(J303,ModelParameters!$M$8:$N$15,2,FALSE),IF(N303=MappingTables!$C$16,VLOOKUP(J303,ModelParameters!$P$8:$Q$15,2,FALSE),0)))</f>
        <v>1</v>
      </c>
      <c r="P303" s="73">
        <f>IF(OR(I303=0,I303=$A$1),0,MIN(O303*M303,1)*K303)</f>
        <v>30363.044113696872</v>
      </c>
      <c r="Q303" s="73">
        <f>IF(B303="",0,IF(OR(H303=MappingTables!$C$34,H303=MappingTables!$C$35),P303,0))</f>
        <v>0</v>
      </c>
      <c r="R303" s="73">
        <f>IF(ISNA(IF(AND(VLOOKUP(CONCATENATE($D303,$G303),CSRFinput!$B:$E,4,0)=0,OR(H303=MappingTables!$C$31,H303=MappingTables!$C$32)),1,VLOOKUP(CONCATENATE($D303,$G303),CSRFinput!$B:$E,4,0))),0,IF(AND(VLOOKUP(CONCATENATE($D303,$G303),CSRFinput!$B:$E,4,0)=0,OR(H303=MappingTables!$C$31,H303=MappingTables!$C$32)),1,VLOOKUP(CONCATENATE($D303,$G303),CSRFinput!$B:$E,4,0)))</f>
        <v>0.054776304963434752</v>
      </c>
      <c r="S303" s="73">
        <f>IF(B303="",0,P303*R303)</f>
        <v>1663.1753639900824</v>
      </c>
      <c r="T303" s="85">
        <f>IF(B303="",0,IF(OR(H303=MappingTables!$C$34,H303=MappingTables!$C$35),S303,0))</f>
        <v>0</v>
      </c>
    </row>
    <row r="304" spans="2:20" s="0" customFormat="0" ht="15">
      <c r="B304" s="69" t="s">
        <v>3769</v>
      </c>
      <c r="C304" s="70" t="s">
        <v>3770</v>
      </c>
      <c r="D304" s="70" t="s">
        <v>1</v>
      </c>
      <c r="E304" s="70" t="s">
        <v>1</v>
      </c>
      <c r="F304" s="70"/>
      <c r="G304" s="70" t="s">
        <v>61</v>
      </c>
      <c r="H304" s="70" t="s">
        <v>178</v>
      </c>
      <c r="I304" s="70" t="s">
        <v>184</v>
      </c>
      <c r="J304" s="71">
        <f>IF(OR(I304=0,I304=""),"unrated",VLOOKUP(I304,MappingTables!$B$19:$C$31,2,FALSE))</f>
        <v>5</v>
      </c>
      <c r="K304" s="72">
        <v>339.06982546486416</v>
      </c>
      <c r="L304" s="70">
        <v>0.068491047159033256</v>
      </c>
      <c r="M304" s="71">
        <f>IF(L304&lt;1,1,L304)</f>
        <v>1</v>
      </c>
      <c r="N304" s="70" t="s">
        <v>3288</v>
      </c>
      <c r="O304" s="71">
        <f>IF(OR(I304=$A$1,I304=0),"",IF(N304=MappingTables!$C$14,VLOOKUP(J304,ModelParameters!$M$8:$N$15,2,FALSE),IF(N304=MappingTables!$C$16,VLOOKUP(J304,ModelParameters!$P$8:$Q$15,2,FALSE),0)))</f>
        <v>1</v>
      </c>
      <c r="P304" s="73">
        <f>IF(OR(I304=0,I304=$A$1),0,MIN(O304*M304,1)*K304)</f>
        <v>339.06982546486416</v>
      </c>
      <c r="Q304" s="73">
        <f>IF(B304="",0,IF(OR(H304=MappingTables!$C$34,H304=MappingTables!$C$35),P304,0))</f>
        <v>0</v>
      </c>
      <c r="R304" s="73">
        <f>IF(ISNA(IF(AND(VLOOKUP(CONCATENATE($D304,$G304),CSRFinput!$B:$E,4,0)=0,OR(H304=MappingTables!$C$31,H304=MappingTables!$C$32)),1,VLOOKUP(CONCATENATE($D304,$G304),CSRFinput!$B:$E,4,0))),0,IF(AND(VLOOKUP(CONCATENATE($D304,$G304),CSRFinput!$B:$E,4,0)=0,OR(H304=MappingTables!$C$31,H304=MappingTables!$C$32)),1,VLOOKUP(CONCATENATE($D304,$G304),CSRFinput!$B:$E,4,0)))</f>
        <v>0.054776304963434752</v>
      </c>
      <c r="S304" s="73">
        <f>IF(B304="",0,P304*R304)</f>
        <v>18.572992163561996</v>
      </c>
      <c r="T304" s="85">
        <f>IF(B304="",0,IF(OR(H304=MappingTables!$C$34,H304=MappingTables!$C$35),S304,0))</f>
        <v>0</v>
      </c>
    </row>
    <row r="305" spans="2:20" s="0" customFormat="0" ht="15">
      <c r="B305" s="69" t="s">
        <v>3771</v>
      </c>
      <c r="C305" s="70" t="s">
        <v>3772</v>
      </c>
      <c r="D305" s="70" t="s">
        <v>1</v>
      </c>
      <c r="E305" s="70" t="s">
        <v>1</v>
      </c>
      <c r="F305" s="70"/>
      <c r="G305" s="70" t="s">
        <v>61</v>
      </c>
      <c r="H305" s="70" t="s">
        <v>178</v>
      </c>
      <c r="I305" s="70" t="s">
        <v>198</v>
      </c>
      <c r="J305" s="71" t="str">
        <f>IF(OR(I305=0,I305=""),"unrated",VLOOKUP(I305,MappingTables!$B$19:$C$31,2,FALSE))</f>
        <v>unrated</v>
      </c>
      <c r="K305" s="72">
        <v>4.2974573838153264</v>
      </c>
      <c r="L305" s="70">
        <v>31.681423165817068</v>
      </c>
      <c r="M305" s="71">
        <f>IF(L305&lt;1,1,L305)</f>
        <v>31.681423165817068</v>
      </c>
      <c r="N305" s="70" t="s">
        <v>3288</v>
      </c>
      <c r="O305" s="71">
        <f>IF(OR(I305=$A$1,I305=0),"",IF(N305=MappingTables!$C$14,VLOOKUP(J305,ModelParameters!$M$8:$N$15,2,FALSE),IF(N305=MappingTables!$C$16,VLOOKUP(J305,ModelParameters!$P$8:$Q$15,2,FALSE),0)))</f>
        <v>1</v>
      </c>
      <c r="P305" s="73">
        <f>IF(OR(I305=0,I305=$A$1),0,MIN(O305*M305,1)*K305)</f>
        <v>4.2974573838153264</v>
      </c>
      <c r="Q305" s="73">
        <f>IF(B305="",0,IF(OR(H305=MappingTables!$C$34,H305=MappingTables!$C$35),P305,0))</f>
        <v>0</v>
      </c>
      <c r="R305" s="73">
        <f>IF(ISNA(IF(AND(VLOOKUP(CONCATENATE($D305,$G305),CSRFinput!$B:$E,4,0)=0,OR(H305=MappingTables!$C$31,H305=MappingTables!$C$32)),1,VLOOKUP(CONCATENATE($D305,$G305),CSRFinput!$B:$E,4,0))),0,IF(AND(VLOOKUP(CONCATENATE($D305,$G305),CSRFinput!$B:$E,4,0)=0,OR(H305=MappingTables!$C$31,H305=MappingTables!$C$32)),1,VLOOKUP(CONCATENATE($D305,$G305),CSRFinput!$B:$E,4,0)))</f>
        <v>0.054776304963434752</v>
      </c>
      <c r="S305" s="73">
        <f>IF(B305="",0,P305*R305)</f>
        <v>0.23539883622323284</v>
      </c>
      <c r="T305" s="85">
        <f>IF(B305="",0,IF(OR(H305=MappingTables!$C$34,H305=MappingTables!$C$35),S305,0))</f>
        <v>0</v>
      </c>
    </row>
    <row r="306" spans="2:20" s="0" customFormat="0" ht="15">
      <c r="B306" s="69" t="s">
        <v>3773</v>
      </c>
      <c r="C306" s="70" t="s">
        <v>3774</v>
      </c>
      <c r="D306" s="70" t="s">
        <v>1</v>
      </c>
      <c r="E306" s="70" t="s">
        <v>1</v>
      </c>
      <c r="F306" s="70"/>
      <c r="G306" s="70" t="s">
        <v>61</v>
      </c>
      <c r="H306" s="70" t="s">
        <v>178</v>
      </c>
      <c r="I306" s="70" t="s">
        <v>198</v>
      </c>
      <c r="J306" s="71" t="str">
        <f>IF(OR(I306=0,I306=""),"unrated",VLOOKUP(I306,MappingTables!$B$19:$C$31,2,FALSE))</f>
        <v>unrated</v>
      </c>
      <c r="K306" s="72">
        <v>33.82022496498714</v>
      </c>
      <c r="L306" s="70">
        <v>0.06849161975496504</v>
      </c>
      <c r="M306" s="71">
        <f>IF(L306&lt;1,1,L306)</f>
        <v>1</v>
      </c>
      <c r="N306" s="70" t="s">
        <v>3288</v>
      </c>
      <c r="O306" s="71">
        <f>IF(OR(I306=$A$1,I306=0),"",IF(N306=MappingTables!$C$14,VLOOKUP(J306,ModelParameters!$M$8:$N$15,2,FALSE),IF(N306=MappingTables!$C$16,VLOOKUP(J306,ModelParameters!$P$8:$Q$15,2,FALSE),0)))</f>
        <v>1</v>
      </c>
      <c r="P306" s="73">
        <f>IF(OR(I306=0,I306=$A$1),0,MIN(O306*M306,1)*K306)</f>
        <v>33.82022496498714</v>
      </c>
      <c r="Q306" s="73">
        <f>IF(B306="",0,IF(OR(H306=MappingTables!$C$34,H306=MappingTables!$C$35),P306,0))</f>
        <v>0</v>
      </c>
      <c r="R306" s="73">
        <f>IF(ISNA(IF(AND(VLOOKUP(CONCATENATE($D306,$G306),CSRFinput!$B:$E,4,0)=0,OR(H306=MappingTables!$C$31,H306=MappingTables!$C$32)),1,VLOOKUP(CONCATENATE($D306,$G306),CSRFinput!$B:$E,4,0))),0,IF(AND(VLOOKUP(CONCATENATE($D306,$G306),CSRFinput!$B:$E,4,0)=0,OR(H306=MappingTables!$C$31,H306=MappingTables!$C$32)),1,VLOOKUP(CONCATENATE($D306,$G306),CSRFinput!$B:$E,4,0)))</f>
        <v>0.054776304963434752</v>
      </c>
      <c r="S306" s="73">
        <f>IF(B306="",0,P306*R306)</f>
        <v>1.8525469566141052</v>
      </c>
      <c r="T306" s="85">
        <f>IF(B306="",0,IF(OR(H306=MappingTables!$C$34,H306=MappingTables!$C$35),S306,0))</f>
        <v>0</v>
      </c>
    </row>
    <row r="307" spans="2:20" s="0" customFormat="0" ht="15">
      <c r="B307" s="69" t="s">
        <v>3775</v>
      </c>
      <c r="C307" s="70" t="s">
        <v>3776</v>
      </c>
      <c r="D307" s="70" t="s">
        <v>1</v>
      </c>
      <c r="E307" s="70" t="s">
        <v>1</v>
      </c>
      <c r="F307" s="70"/>
      <c r="G307" s="70" t="s">
        <v>61</v>
      </c>
      <c r="H307" s="70" t="s">
        <v>178</v>
      </c>
      <c r="I307" s="70" t="s">
        <v>198</v>
      </c>
      <c r="J307" s="71" t="str">
        <f>IF(OR(I307=0,I307=""),"unrated",VLOOKUP(I307,MappingTables!$B$19:$C$31,2,FALSE))</f>
        <v>unrated</v>
      </c>
      <c r="K307" s="72">
        <v>782.09405941187056</v>
      </c>
      <c r="L307" s="70">
        <v>26.864532286965276</v>
      </c>
      <c r="M307" s="71">
        <f>IF(L307&lt;1,1,L307)</f>
        <v>26.864532286965276</v>
      </c>
      <c r="N307" s="70" t="s">
        <v>3288</v>
      </c>
      <c r="O307" s="71">
        <f>IF(OR(I307=$A$1,I307=0),"",IF(N307=MappingTables!$C$14,VLOOKUP(J307,ModelParameters!$M$8:$N$15,2,FALSE),IF(N307=MappingTables!$C$16,VLOOKUP(J307,ModelParameters!$P$8:$Q$15,2,FALSE),0)))</f>
        <v>1</v>
      </c>
      <c r="P307" s="73">
        <f>IF(OR(I307=0,I307=$A$1),0,MIN(O307*M307,1)*K307)</f>
        <v>782.09405941187056</v>
      </c>
      <c r="Q307" s="73">
        <f>IF(B307="",0,IF(OR(H307=MappingTables!$C$34,H307=MappingTables!$C$35),P307,0))</f>
        <v>0</v>
      </c>
      <c r="R307" s="73">
        <f>IF(ISNA(IF(AND(VLOOKUP(CONCATENATE($D307,$G307),CSRFinput!$B:$E,4,0)=0,OR(H307=MappingTables!$C$31,H307=MappingTables!$C$32)),1,VLOOKUP(CONCATENATE($D307,$G307),CSRFinput!$B:$E,4,0))),0,IF(AND(VLOOKUP(CONCATENATE($D307,$G307),CSRFinput!$B:$E,4,0)=0,OR(H307=MappingTables!$C$31,H307=MappingTables!$C$32)),1,VLOOKUP(CONCATENATE($D307,$G307),CSRFinput!$B:$E,4,0)))</f>
        <v>0.054776304963434752</v>
      </c>
      <c r="S307" s="73">
        <f>IF(B307="",0,P307*R307)</f>
        <v>42.840222708435288</v>
      </c>
      <c r="T307" s="85">
        <f>IF(B307="",0,IF(OR(H307=MappingTables!$C$34,H307=MappingTables!$C$35),S307,0))</f>
        <v>0</v>
      </c>
    </row>
    <row r="308" spans="2:20" s="0" customFormat="0" ht="15">
      <c r="B308" s="69">
        <v>22554573</v>
      </c>
      <c r="C308" s="70" t="s">
        <v>3777</v>
      </c>
      <c r="D308" s="70" t="s">
        <v>1</v>
      </c>
      <c r="E308" s="70" t="s">
        <v>1</v>
      </c>
      <c r="F308" s="70"/>
      <c r="G308" s="70" t="s">
        <v>61</v>
      </c>
      <c r="H308" s="70" t="s">
        <v>178</v>
      </c>
      <c r="I308" s="70" t="s">
        <v>198</v>
      </c>
      <c r="J308" s="71" t="str">
        <f>IF(OR(I308=0,I308=""),"unrated",VLOOKUP(I308,MappingTables!$B$19:$C$31,2,FALSE))</f>
        <v>unrated</v>
      </c>
      <c r="K308" s="72">
        <v>2.0681833540892832</v>
      </c>
      <c r="L308" s="70">
        <v>0.060145913847855976</v>
      </c>
      <c r="M308" s="71">
        <f>IF(L308&lt;1,1,L308)</f>
        <v>1</v>
      </c>
      <c r="N308" s="70" t="s">
        <v>3288</v>
      </c>
      <c r="O308" s="71">
        <f>IF(OR(I308=$A$1,I308=0),"",IF(N308=MappingTables!$C$14,VLOOKUP(J308,ModelParameters!$M$8:$N$15,2,FALSE),IF(N308=MappingTables!$C$16,VLOOKUP(J308,ModelParameters!$P$8:$Q$15,2,FALSE),0)))</f>
        <v>1</v>
      </c>
      <c r="P308" s="73">
        <f>IF(OR(I308=0,I308=$A$1),0,MIN(O308*M308,1)*K308)</f>
        <v>2.0681833540892832</v>
      </c>
      <c r="Q308" s="73">
        <f>IF(B308="",0,IF(OR(H308=MappingTables!$C$34,H308=MappingTables!$C$35),P308,0))</f>
        <v>0</v>
      </c>
      <c r="R308" s="73">
        <f>IF(ISNA(IF(AND(VLOOKUP(CONCATENATE($D308,$G308),CSRFinput!$B:$E,4,0)=0,OR(H308=MappingTables!$C$31,H308=MappingTables!$C$32)),1,VLOOKUP(CONCATENATE($D308,$G308),CSRFinput!$B:$E,4,0))),0,IF(AND(VLOOKUP(CONCATENATE($D308,$G308),CSRFinput!$B:$E,4,0)=0,OR(H308=MappingTables!$C$31,H308=MappingTables!$C$32)),1,VLOOKUP(CONCATENATE($D308,$G308),CSRFinput!$B:$E,4,0)))</f>
        <v>0.054776304963434752</v>
      </c>
      <c r="S308" s="73">
        <f>IF(B308="",0,P308*R308)</f>
        <v>0.11328744212389394</v>
      </c>
      <c r="T308" s="85">
        <f>IF(B308="",0,IF(OR(H308=MappingTables!$C$34,H308=MappingTables!$C$35),S308,0))</f>
        <v>0</v>
      </c>
    </row>
    <row r="309" spans="2:20" s="0" customFormat="0" ht="15">
      <c r="B309" s="69" t="s">
        <v>3778</v>
      </c>
      <c r="C309" s="70" t="s">
        <v>3779</v>
      </c>
      <c r="D309" s="70" t="s">
        <v>1</v>
      </c>
      <c r="E309" s="70" t="s">
        <v>1</v>
      </c>
      <c r="F309" s="70"/>
      <c r="G309" s="70" t="s">
        <v>61</v>
      </c>
      <c r="H309" s="70" t="s">
        <v>178</v>
      </c>
      <c r="I309" s="70" t="s">
        <v>198</v>
      </c>
      <c r="J309" s="71" t="str">
        <f>IF(OR(I309=0,I309=""),"unrated",VLOOKUP(I309,MappingTables!$B$19:$C$31,2,FALSE))</f>
        <v>unrated</v>
      </c>
      <c r="K309" s="72">
        <v>8240.7109989065888</v>
      </c>
      <c r="L309" s="70">
        <v>9.9367019124088496</v>
      </c>
      <c r="M309" s="71">
        <f>IF(L309&lt;1,1,L309)</f>
        <v>9.9367019124088496</v>
      </c>
      <c r="N309" s="70" t="s">
        <v>3288</v>
      </c>
      <c r="O309" s="71">
        <f>IF(OR(I309=$A$1,I309=0),"",IF(N309=MappingTables!$C$14,VLOOKUP(J309,ModelParameters!$M$8:$N$15,2,FALSE),IF(N309=MappingTables!$C$16,VLOOKUP(J309,ModelParameters!$P$8:$Q$15,2,FALSE),0)))</f>
        <v>1</v>
      </c>
      <c r="P309" s="73">
        <f>IF(OR(I309=0,I309=$A$1),0,MIN(O309*M309,1)*K309)</f>
        <v>8240.7109989065888</v>
      </c>
      <c r="Q309" s="73">
        <f>IF(B309="",0,IF(OR(H309=MappingTables!$C$34,H309=MappingTables!$C$35),P309,0))</f>
        <v>0</v>
      </c>
      <c r="R309" s="73">
        <f>IF(ISNA(IF(AND(VLOOKUP(CONCATENATE($D309,$G309),CSRFinput!$B:$E,4,0)=0,OR(H309=MappingTables!$C$31,H309=MappingTables!$C$32)),1,VLOOKUP(CONCATENATE($D309,$G309),CSRFinput!$B:$E,4,0))),0,IF(AND(VLOOKUP(CONCATENATE($D309,$G309),CSRFinput!$B:$E,4,0)=0,OR(H309=MappingTables!$C$31,H309=MappingTables!$C$32)),1,VLOOKUP(CONCATENATE($D309,$G309),CSRFinput!$B:$E,4,0)))</f>
        <v>0.054776304963434752</v>
      </c>
      <c r="S309" s="73">
        <f>IF(B309="",0,P309*R309)</f>
        <v>451.39569879163832</v>
      </c>
      <c r="T309" s="85">
        <f>IF(B309="",0,IF(OR(H309=MappingTables!$C$34,H309=MappingTables!$C$35),S309,0))</f>
        <v>0</v>
      </c>
    </row>
    <row r="310" spans="2:20" s="0" customFormat="0" ht="15">
      <c r="B310" s="69">
        <v>17619850</v>
      </c>
      <c r="C310" s="70" t="s">
        <v>3780</v>
      </c>
      <c r="D310" s="70" t="s">
        <v>1</v>
      </c>
      <c r="E310" s="70" t="s">
        <v>1</v>
      </c>
      <c r="F310" s="70"/>
      <c r="G310" s="70" t="s">
        <v>61</v>
      </c>
      <c r="H310" s="70" t="s">
        <v>178</v>
      </c>
      <c r="I310" s="70" t="s">
        <v>198</v>
      </c>
      <c r="J310" s="71" t="str">
        <f>IF(OR(I310=0,I310=""),"unrated",VLOOKUP(I310,MappingTables!$B$19:$C$31,2,FALSE))</f>
        <v>unrated</v>
      </c>
      <c r="K310" s="72">
        <v>228.08851062629616</v>
      </c>
      <c r="L310" s="70">
        <v>0.05037835161263692</v>
      </c>
      <c r="M310" s="71">
        <f>IF(L310&lt;1,1,L310)</f>
        <v>1</v>
      </c>
      <c r="N310" s="70" t="s">
        <v>3288</v>
      </c>
      <c r="O310" s="71">
        <f>IF(OR(I310=$A$1,I310=0),"",IF(N310=MappingTables!$C$14,VLOOKUP(J310,ModelParameters!$M$8:$N$15,2,FALSE),IF(N310=MappingTables!$C$16,VLOOKUP(J310,ModelParameters!$P$8:$Q$15,2,FALSE),0)))</f>
        <v>1</v>
      </c>
      <c r="P310" s="73">
        <f>IF(OR(I310=0,I310=$A$1),0,MIN(O310*M310,1)*K310)</f>
        <v>228.08851062629616</v>
      </c>
      <c r="Q310" s="73">
        <f>IF(B310="",0,IF(OR(H310=MappingTables!$C$34,H310=MappingTables!$C$35),P310,0))</f>
        <v>0</v>
      </c>
      <c r="R310" s="73">
        <f>IF(ISNA(IF(AND(VLOOKUP(CONCATENATE($D310,$G310),CSRFinput!$B:$E,4,0)=0,OR(H310=MappingTables!$C$31,H310=MappingTables!$C$32)),1,VLOOKUP(CONCATENATE($D310,$G310),CSRFinput!$B:$E,4,0))),0,IF(AND(VLOOKUP(CONCATENATE($D310,$G310),CSRFinput!$B:$E,4,0)=0,OR(H310=MappingTables!$C$31,H310=MappingTables!$C$32)),1,VLOOKUP(CONCATENATE($D310,$G310),CSRFinput!$B:$E,4,0)))</f>
        <v>0.054776304963434752</v>
      </c>
      <c r="S310" s="73">
        <f>IF(B310="",0,P310*R310)</f>
        <v>12.493845816721628</v>
      </c>
      <c r="T310" s="85">
        <f>IF(B310="",0,IF(OR(H310=MappingTables!$C$34,H310=MappingTables!$C$35),S310,0))</f>
        <v>0</v>
      </c>
    </row>
    <row r="311" spans="2:20" s="0" customFormat="0" ht="15">
      <c r="B311" s="69">
        <v>11248835</v>
      </c>
      <c r="C311" s="70" t="s">
        <v>3781</v>
      </c>
      <c r="D311" s="70" t="s">
        <v>1</v>
      </c>
      <c r="E311" s="70" t="s">
        <v>1</v>
      </c>
      <c r="F311" s="70"/>
      <c r="G311" s="70" t="s">
        <v>61</v>
      </c>
      <c r="H311" s="70" t="s">
        <v>178</v>
      </c>
      <c r="I311" s="70" t="s">
        <v>216</v>
      </c>
      <c r="J311" s="71">
        <f>IF(OR(I311=0,I311=""),"unrated",VLOOKUP(I311,MappingTables!$B$19:$C$31,2,FALSE))</f>
        <v>0</v>
      </c>
      <c r="K311" s="72">
        <v>3164.990930565046</v>
      </c>
      <c r="L311" s="70">
        <v>3.8344734244982544</v>
      </c>
      <c r="M311" s="71">
        <f>IF(L311&lt;1,1,L311)</f>
        <v>3.8344734244982544</v>
      </c>
      <c r="N311" s="70" t="s">
        <v>3288</v>
      </c>
      <c r="O311" s="71">
        <f>IF(OR(I311=$A$1,I311=0),"",IF(N311=MappingTables!$C$14,VLOOKUP(J311,ModelParameters!$M$8:$N$15,2,FALSE),IF(N311=MappingTables!$C$16,VLOOKUP(J311,ModelParameters!$P$8:$Q$15,2,FALSE),0)))</f>
        <v>0.125</v>
      </c>
      <c r="P311" s="73">
        <f>IF(OR(I311=0,I311=$A$1),0,MIN(O311*M311,1)*K311)</f>
        <v>1517.0092015037084</v>
      </c>
      <c r="Q311" s="73">
        <f>IF(B311="",0,IF(OR(H311=MappingTables!$C$34,H311=MappingTables!$C$35),P311,0))</f>
        <v>0</v>
      </c>
      <c r="R311" s="73">
        <f>IF(ISNA(IF(AND(VLOOKUP(CONCATENATE($D311,$G311),CSRFinput!$B:$E,4,0)=0,OR(H311=MappingTables!$C$31,H311=MappingTables!$C$32)),1,VLOOKUP(CONCATENATE($D311,$G311),CSRFinput!$B:$E,4,0))),0,IF(AND(VLOOKUP(CONCATENATE($D311,$G311),CSRFinput!$B:$E,4,0)=0,OR(H311=MappingTables!$C$31,H311=MappingTables!$C$32)),1,VLOOKUP(CONCATENATE($D311,$G311),CSRFinput!$B:$E,4,0)))</f>
        <v>0.054776304963434752</v>
      </c>
      <c r="S311" s="73">
        <f>IF(B311="",0,P311*R311)</f>
        <v>83.096158653903792</v>
      </c>
      <c r="T311" s="85">
        <f>IF(B311="",0,IF(OR(H311=MappingTables!$C$34,H311=MappingTables!$C$35),S311,0))</f>
        <v>0</v>
      </c>
    </row>
    <row r="312" spans="2:20" s="0" customFormat="0" ht="15">
      <c r="B312" s="69" t="s">
        <v>3782</v>
      </c>
      <c r="C312" s="70" t="s">
        <v>3783</v>
      </c>
      <c r="D312" s="70" t="s">
        <v>1</v>
      </c>
      <c r="E312" s="70" t="s">
        <v>1</v>
      </c>
      <c r="F312" s="70"/>
      <c r="G312" s="70" t="s">
        <v>61</v>
      </c>
      <c r="H312" s="70" t="s">
        <v>178</v>
      </c>
      <c r="I312" s="70" t="s">
        <v>3291</v>
      </c>
      <c r="J312" s="71">
        <f>IF(OR(I312=0,I312=""),"unrated",VLOOKUP(I312,MappingTables!$B$19:$C$31,2,FALSE))</f>
        <v>6</v>
      </c>
      <c r="K312" s="72">
        <v>832.32874109451616</v>
      </c>
      <c r="L312" s="70">
        <v>0.052321229056559912</v>
      </c>
      <c r="M312" s="71">
        <f>IF(L312&lt;1,1,L312)</f>
        <v>1</v>
      </c>
      <c r="N312" s="70" t="s">
        <v>3288</v>
      </c>
      <c r="O312" s="71">
        <f>IF(OR(I312=$A$1,I312=0),"",IF(N312=MappingTables!$C$14,VLOOKUP(J312,ModelParameters!$M$8:$N$15,2,FALSE),IF(N312=MappingTables!$C$16,VLOOKUP(J312,ModelParameters!$P$8:$Q$15,2,FALSE),0)))</f>
        <v>1</v>
      </c>
      <c r="P312" s="73">
        <f>IF(OR(I312=0,I312=$A$1),0,MIN(O312*M312,1)*K312)</f>
        <v>832.32874109451616</v>
      </c>
      <c r="Q312" s="73">
        <f>IF(B312="",0,IF(OR(H312=MappingTables!$C$34,H312=MappingTables!$C$35),P312,0))</f>
        <v>0</v>
      </c>
      <c r="R312" s="73">
        <f>IF(ISNA(IF(AND(VLOOKUP(CONCATENATE($D312,$G312),CSRFinput!$B:$E,4,0)=0,OR(H312=MappingTables!$C$31,H312=MappingTables!$C$32)),1,VLOOKUP(CONCATENATE($D312,$G312),CSRFinput!$B:$E,4,0))),0,IF(AND(VLOOKUP(CONCATENATE($D312,$G312),CSRFinput!$B:$E,4,0)=0,OR(H312=MappingTables!$C$31,H312=MappingTables!$C$32)),1,VLOOKUP(CONCATENATE($D312,$G312),CSRFinput!$B:$E,4,0)))</f>
        <v>0.054776304963434752</v>
      </c>
      <c r="S312" s="73">
        <f>IF(B312="",0,P312*R312)</f>
        <v>45.591892952024944</v>
      </c>
      <c r="T312" s="85">
        <f>IF(B312="",0,IF(OR(H312=MappingTables!$C$34,H312=MappingTables!$C$35),S312,0))</f>
        <v>0</v>
      </c>
    </row>
    <row r="313" spans="2:20" s="0" customFormat="0" ht="15">
      <c r="B313" s="69" t="s">
        <v>3784</v>
      </c>
      <c r="C313" s="70" t="s">
        <v>3785</v>
      </c>
      <c r="D313" s="70" t="s">
        <v>1</v>
      </c>
      <c r="E313" s="70" t="s">
        <v>1</v>
      </c>
      <c r="F313" s="70"/>
      <c r="G313" s="70" t="s">
        <v>61</v>
      </c>
      <c r="H313" s="70" t="s">
        <v>178</v>
      </c>
      <c r="I313" s="70" t="s">
        <v>3298</v>
      </c>
      <c r="J313" s="71">
        <f>IF(OR(I313=0,I313=""),"unrated",VLOOKUP(I313,MappingTables!$B$19:$C$31,2,FALSE))</f>
        <v>6</v>
      </c>
      <c r="K313" s="72">
        <v>73.353019517267888</v>
      </c>
      <c r="L313" s="70">
        <v>0.068494948290367192</v>
      </c>
      <c r="M313" s="71">
        <f>IF(L313&lt;1,1,L313)</f>
        <v>1</v>
      </c>
      <c r="N313" s="70" t="s">
        <v>3288</v>
      </c>
      <c r="O313" s="71">
        <f>IF(OR(I313=$A$1,I313=0),"",IF(N313=MappingTables!$C$14,VLOOKUP(J313,ModelParameters!$M$8:$N$15,2,FALSE),IF(N313=MappingTables!$C$16,VLOOKUP(J313,ModelParameters!$P$8:$Q$15,2,FALSE),0)))</f>
        <v>1</v>
      </c>
      <c r="P313" s="73">
        <f>IF(OR(I313=0,I313=$A$1),0,MIN(O313*M313,1)*K313)</f>
        <v>73.353019517267888</v>
      </c>
      <c r="Q313" s="73">
        <f>IF(B313="",0,IF(OR(H313=MappingTables!$C$34,H313=MappingTables!$C$35),P313,0))</f>
        <v>0</v>
      </c>
      <c r="R313" s="73">
        <f>IF(ISNA(IF(AND(VLOOKUP(CONCATENATE($D313,$G313),CSRFinput!$B:$E,4,0)=0,OR(H313=MappingTables!$C$31,H313=MappingTables!$C$32)),1,VLOOKUP(CONCATENATE($D313,$G313),CSRFinput!$B:$E,4,0))),0,IF(AND(VLOOKUP(CONCATENATE($D313,$G313),CSRFinput!$B:$E,4,0)=0,OR(H313=MappingTables!$C$31,H313=MappingTables!$C$32)),1,VLOOKUP(CONCATENATE($D313,$G313),CSRFinput!$B:$E,4,0)))</f>
        <v>0.054776304963434752</v>
      </c>
      <c r="S313" s="73">
        <f>IF(B313="",0,P313*R313)</f>
        <v>4.018007367066648</v>
      </c>
      <c r="T313" s="85">
        <f>IF(B313="",0,IF(OR(H313=MappingTables!$C$34,H313=MappingTables!$C$35),S313,0))</f>
        <v>0</v>
      </c>
    </row>
    <row r="314" spans="2:20" s="0" customFormat="0" ht="15">
      <c r="B314" s="69">
        <v>21027851</v>
      </c>
      <c r="C314" s="70" t="s">
        <v>3786</v>
      </c>
      <c r="D314" s="70" t="s">
        <v>1</v>
      </c>
      <c r="E314" s="70" t="s">
        <v>1</v>
      </c>
      <c r="F314" s="70"/>
      <c r="G314" s="70" t="s">
        <v>61</v>
      </c>
      <c r="H314" s="70" t="s">
        <v>178</v>
      </c>
      <c r="I314" s="70" t="s">
        <v>216</v>
      </c>
      <c r="J314" s="71">
        <f>IF(OR(I314=0,I314=""),"unrated",VLOOKUP(I314,MappingTables!$B$19:$C$31,2,FALSE))</f>
        <v>0</v>
      </c>
      <c r="K314" s="72">
        <v>17.929255794030308</v>
      </c>
      <c r="L314" s="70">
        <v>0.071707222615295736</v>
      </c>
      <c r="M314" s="71">
        <f>IF(L314&lt;1,1,L314)</f>
        <v>1</v>
      </c>
      <c r="N314" s="70" t="s">
        <v>3288</v>
      </c>
      <c r="O314" s="71">
        <f>IF(OR(I314=$A$1,I314=0),"",IF(N314=MappingTables!$C$14,VLOOKUP(J314,ModelParameters!$M$8:$N$15,2,FALSE),IF(N314=MappingTables!$C$16,VLOOKUP(J314,ModelParameters!$P$8:$Q$15,2,FALSE),0)))</f>
        <v>0.125</v>
      </c>
      <c r="P314" s="73">
        <f>IF(OR(I314=0,I314=$A$1),0,MIN(O314*M314,1)*K314)</f>
        <v>2.2411569742537884</v>
      </c>
      <c r="Q314" s="73">
        <f>IF(B314="",0,IF(OR(H314=MappingTables!$C$34,H314=MappingTables!$C$35),P314,0))</f>
        <v>0</v>
      </c>
      <c r="R314" s="73">
        <f>IF(ISNA(IF(AND(VLOOKUP(CONCATENATE($D314,$G314),CSRFinput!$B:$E,4,0)=0,OR(H314=MappingTables!$C$31,H314=MappingTables!$C$32)),1,VLOOKUP(CONCATENATE($D314,$G314),CSRFinput!$B:$E,4,0))),0,IF(AND(VLOOKUP(CONCATENATE($D314,$G314),CSRFinput!$B:$E,4,0)=0,OR(H314=MappingTables!$C$31,H314=MappingTables!$C$32)),1,VLOOKUP(CONCATENATE($D314,$G314),CSRFinput!$B:$E,4,0)))</f>
        <v>0.054776304963434752</v>
      </c>
      <c r="S314" s="73">
        <f>IF(B314="",0,P314*R314)</f>
        <v>0.1227622978926542</v>
      </c>
      <c r="T314" s="85">
        <f>IF(B314="",0,IF(OR(H314=MappingTables!$C$34,H314=MappingTables!$C$35),S314,0))</f>
        <v>0</v>
      </c>
    </row>
    <row r="315" spans="2:20" s="0" customFormat="0" ht="15">
      <c r="B315" s="69" t="s">
        <v>3787</v>
      </c>
      <c r="C315" s="70" t="s">
        <v>3788</v>
      </c>
      <c r="D315" s="70" t="s">
        <v>1</v>
      </c>
      <c r="E315" s="70" t="s">
        <v>1</v>
      </c>
      <c r="F315" s="70"/>
      <c r="G315" s="70" t="s">
        <v>61</v>
      </c>
      <c r="H315" s="70" t="s">
        <v>178</v>
      </c>
      <c r="I315" s="70" t="s">
        <v>198</v>
      </c>
      <c r="J315" s="71" t="str">
        <f>IF(OR(I315=0,I315=""),"unrated",VLOOKUP(I315,MappingTables!$B$19:$C$31,2,FALSE))</f>
        <v>unrated</v>
      </c>
      <c r="K315" s="72">
        <v>1034.7889431022398</v>
      </c>
      <c r="L315" s="70">
        <v>9.313483380405544</v>
      </c>
      <c r="M315" s="71">
        <f>IF(L315&lt;1,1,L315)</f>
        <v>9.313483380405544</v>
      </c>
      <c r="N315" s="70" t="s">
        <v>3288</v>
      </c>
      <c r="O315" s="71">
        <f>IF(OR(I315=$A$1,I315=0),"",IF(N315=MappingTables!$C$14,VLOOKUP(J315,ModelParameters!$M$8:$N$15,2,FALSE),IF(N315=MappingTables!$C$16,VLOOKUP(J315,ModelParameters!$P$8:$Q$15,2,FALSE),0)))</f>
        <v>1</v>
      </c>
      <c r="P315" s="73">
        <f>IF(OR(I315=0,I315=$A$1),0,MIN(O315*M315,1)*K315)</f>
        <v>1034.7889431022398</v>
      </c>
      <c r="Q315" s="73">
        <f>IF(B315="",0,IF(OR(H315=MappingTables!$C$34,H315=MappingTables!$C$35),P315,0))</f>
        <v>0</v>
      </c>
      <c r="R315" s="73">
        <f>IF(ISNA(IF(AND(VLOOKUP(CONCATENATE($D315,$G315),CSRFinput!$B:$E,4,0)=0,OR(H315=MappingTables!$C$31,H315=MappingTables!$C$32)),1,VLOOKUP(CONCATENATE($D315,$G315),CSRFinput!$B:$E,4,0))),0,IF(AND(VLOOKUP(CONCATENATE($D315,$G315),CSRFinput!$B:$E,4,0)=0,OR(H315=MappingTables!$C$31,H315=MappingTables!$C$32)),1,VLOOKUP(CONCATENATE($D315,$G315),CSRFinput!$B:$E,4,0)))</f>
        <v>0.054776304963434752</v>
      </c>
      <c r="S315" s="73">
        <f>IF(B315="",0,P315*R315)</f>
        <v>56.681914720158616</v>
      </c>
      <c r="T315" s="85">
        <f>IF(B315="",0,IF(OR(H315=MappingTables!$C$34,H315=MappingTables!$C$35),S315,0))</f>
        <v>0</v>
      </c>
    </row>
    <row r="316" spans="2:20" s="0" customFormat="0" ht="15">
      <c r="B316" s="69" t="s">
        <v>3789</v>
      </c>
      <c r="C316" s="70" t="s">
        <v>3790</v>
      </c>
      <c r="D316" s="70" t="s">
        <v>1</v>
      </c>
      <c r="E316" s="70" t="s">
        <v>1</v>
      </c>
      <c r="F316" s="70"/>
      <c r="G316" s="70" t="s">
        <v>61</v>
      </c>
      <c r="H316" s="70" t="s">
        <v>178</v>
      </c>
      <c r="I316" s="70" t="s">
        <v>198</v>
      </c>
      <c r="J316" s="71" t="str">
        <f>IF(OR(I316=0,I316=""),"unrated",VLOOKUP(I316,MappingTables!$B$19:$C$31,2,FALSE))</f>
        <v>unrated</v>
      </c>
      <c r="K316" s="72">
        <v>3.7358239293351472</v>
      </c>
      <c r="L316" s="70">
        <v>32.810387158697408</v>
      </c>
      <c r="M316" s="71">
        <f>IF(L316&lt;1,1,L316)</f>
        <v>32.810387158697408</v>
      </c>
      <c r="N316" s="70" t="s">
        <v>3288</v>
      </c>
      <c r="O316" s="71">
        <f>IF(OR(I316=$A$1,I316=0),"",IF(N316=MappingTables!$C$14,VLOOKUP(J316,ModelParameters!$M$8:$N$15,2,FALSE),IF(N316=MappingTables!$C$16,VLOOKUP(J316,ModelParameters!$P$8:$Q$15,2,FALSE),0)))</f>
        <v>1</v>
      </c>
      <c r="P316" s="73">
        <f>IF(OR(I316=0,I316=$A$1),0,MIN(O316*M316,1)*K316)</f>
        <v>3.7358239293351472</v>
      </c>
      <c r="Q316" s="73">
        <f>IF(B316="",0,IF(OR(H316=MappingTables!$C$34,H316=MappingTables!$C$35),P316,0))</f>
        <v>0</v>
      </c>
      <c r="R316" s="73">
        <f>IF(ISNA(IF(AND(VLOOKUP(CONCATENATE($D316,$G316),CSRFinput!$B:$E,4,0)=0,OR(H316=MappingTables!$C$31,H316=MappingTables!$C$32)),1,VLOOKUP(CONCATENATE($D316,$G316),CSRFinput!$B:$E,4,0))),0,IF(AND(VLOOKUP(CONCATENATE($D316,$G316),CSRFinput!$B:$E,4,0)=0,OR(H316=MappingTables!$C$31,H316=MappingTables!$C$32)),1,VLOOKUP(CONCATENATE($D316,$G316),CSRFinput!$B:$E,4,0)))</f>
        <v>0.054776304963434752</v>
      </c>
      <c r="S316" s="73">
        <f>IF(B316="",0,P316*R316)</f>
        <v>0.20463463084295912</v>
      </c>
      <c r="T316" s="85">
        <f>IF(B316="",0,IF(OR(H316=MappingTables!$C$34,H316=MappingTables!$C$35),S316,0))</f>
        <v>0</v>
      </c>
    </row>
    <row r="317" spans="2:20" s="0" customFormat="0" ht="15">
      <c r="B317" s="69">
        <v>2008450</v>
      </c>
      <c r="C317" s="70" t="s">
        <v>3791</v>
      </c>
      <c r="D317" s="70" t="s">
        <v>1</v>
      </c>
      <c r="E317" s="70" t="s">
        <v>1</v>
      </c>
      <c r="F317" s="70"/>
      <c r="G317" s="70" t="s">
        <v>61</v>
      </c>
      <c r="H317" s="70" t="s">
        <v>178</v>
      </c>
      <c r="I317" s="70" t="s">
        <v>198</v>
      </c>
      <c r="J317" s="71" t="str">
        <f>IF(OR(I317=0,I317=""),"unrated",VLOOKUP(I317,MappingTables!$B$19:$C$31,2,FALSE))</f>
        <v>unrated</v>
      </c>
      <c r="K317" s="72">
        <v>36.223146505431272</v>
      </c>
      <c r="L317" s="70">
        <v>0.068491272288942776</v>
      </c>
      <c r="M317" s="71">
        <f>IF(L317&lt;1,1,L317)</f>
        <v>1</v>
      </c>
      <c r="N317" s="70" t="s">
        <v>3288</v>
      </c>
      <c r="O317" s="71">
        <f>IF(OR(I317=$A$1,I317=0),"",IF(N317=MappingTables!$C$14,VLOOKUP(J317,ModelParameters!$M$8:$N$15,2,FALSE),IF(N317=MappingTables!$C$16,VLOOKUP(J317,ModelParameters!$P$8:$Q$15,2,FALSE),0)))</f>
        <v>1</v>
      </c>
      <c r="P317" s="73">
        <f>IF(OR(I317=0,I317=$A$1),0,MIN(O317*M317,1)*K317)</f>
        <v>36.223146505431272</v>
      </c>
      <c r="Q317" s="73">
        <f>IF(B317="",0,IF(OR(H317=MappingTables!$C$34,H317=MappingTables!$C$35),P317,0))</f>
        <v>0</v>
      </c>
      <c r="R317" s="73">
        <f>IF(ISNA(IF(AND(VLOOKUP(CONCATENATE($D317,$G317),CSRFinput!$B:$E,4,0)=0,OR(H317=MappingTables!$C$31,H317=MappingTables!$C$32)),1,VLOOKUP(CONCATENATE($D317,$G317),CSRFinput!$B:$E,4,0))),0,IF(AND(VLOOKUP(CONCATENATE($D317,$G317),CSRFinput!$B:$E,4,0)=0,OR(H317=MappingTables!$C$31,H317=MappingTables!$C$32)),1,VLOOKUP(CONCATENATE($D317,$G317),CSRFinput!$B:$E,4,0)))</f>
        <v>0.054776304963434752</v>
      </c>
      <c r="S317" s="73">
        <f>IF(B317="",0,P317*R317)</f>
        <v>1.9841701197166792</v>
      </c>
      <c r="T317" s="85">
        <f>IF(B317="",0,IF(OR(H317=MappingTables!$C$34,H317=MappingTables!$C$35),S317,0))</f>
        <v>0</v>
      </c>
    </row>
    <row r="318" spans="2:20" s="0" customFormat="0" ht="15">
      <c r="B318" s="69">
        <v>1921702</v>
      </c>
      <c r="C318" s="70" t="s">
        <v>3570</v>
      </c>
      <c r="D318" s="70" t="s">
        <v>1</v>
      </c>
      <c r="E318" s="70" t="s">
        <v>1</v>
      </c>
      <c r="F318" s="70"/>
      <c r="G318" s="70" t="s">
        <v>61</v>
      </c>
      <c r="H318" s="70" t="s">
        <v>178</v>
      </c>
      <c r="I318" s="70" t="s">
        <v>216</v>
      </c>
      <c r="J318" s="71">
        <f>IF(OR(I318=0,I318=""),"unrated",VLOOKUP(I318,MappingTables!$B$19:$C$31,2,FALSE))</f>
        <v>0</v>
      </c>
      <c r="K318" s="72">
        <v>66.32719537336784</v>
      </c>
      <c r="L318" s="70">
        <v>0.064678329537633928</v>
      </c>
      <c r="M318" s="71">
        <f>IF(L318&lt;1,1,L318)</f>
        <v>1</v>
      </c>
      <c r="N318" s="70" t="s">
        <v>3288</v>
      </c>
      <c r="O318" s="71">
        <f>IF(OR(I318=$A$1,I318=0),"",IF(N318=MappingTables!$C$14,VLOOKUP(J318,ModelParameters!$M$8:$N$15,2,FALSE),IF(N318=MappingTables!$C$16,VLOOKUP(J318,ModelParameters!$P$8:$Q$15,2,FALSE),0)))</f>
        <v>0.125</v>
      </c>
      <c r="P318" s="73">
        <f>IF(OR(I318=0,I318=$A$1),0,MIN(O318*M318,1)*K318)</f>
        <v>8.2908994216709808</v>
      </c>
      <c r="Q318" s="73">
        <f>IF(B318="",0,IF(OR(H318=MappingTables!$C$34,H318=MappingTables!$C$35),P318,0))</f>
        <v>0</v>
      </c>
      <c r="R318" s="73">
        <f>IF(ISNA(IF(AND(VLOOKUP(CONCATENATE($D318,$G318),CSRFinput!$B:$E,4,0)=0,OR(H318=MappingTables!$C$31,H318=MappingTables!$C$32)),1,VLOOKUP(CONCATENATE($D318,$G318),CSRFinput!$B:$E,4,0))),0,IF(AND(VLOOKUP(CONCATENATE($D318,$G318),CSRFinput!$B:$E,4,0)=0,OR(H318=MappingTables!$C$31,H318=MappingTables!$C$32)),1,VLOOKUP(CONCATENATE($D318,$G318),CSRFinput!$B:$E,4,0)))</f>
        <v>0.054776304963434752</v>
      </c>
      <c r="S318" s="73">
        <f>IF(B318="",0,P318*R318)</f>
        <v>0.45414483514261448</v>
      </c>
      <c r="T318" s="85">
        <f>IF(B318="",0,IF(OR(H318=MappingTables!$C$34,H318=MappingTables!$C$35),S318,0))</f>
        <v>0</v>
      </c>
    </row>
    <row r="319" spans="2:20" s="0" customFormat="0" ht="15">
      <c r="B319" s="69" t="s">
        <v>3792</v>
      </c>
      <c r="C319" s="70" t="s">
        <v>3793</v>
      </c>
      <c r="D319" s="70" t="s">
        <v>1</v>
      </c>
      <c r="E319" s="70" t="s">
        <v>1</v>
      </c>
      <c r="F319" s="70"/>
      <c r="G319" s="70" t="s">
        <v>61</v>
      </c>
      <c r="H319" s="70" t="s">
        <v>178</v>
      </c>
      <c r="I319" s="70" t="s">
        <v>216</v>
      </c>
      <c r="J319" s="71">
        <f>IF(OR(I319=0,I319=""),"unrated",VLOOKUP(I319,MappingTables!$B$19:$C$31,2,FALSE))</f>
        <v>0</v>
      </c>
      <c r="K319" s="72">
        <v>0.48506583675555112</v>
      </c>
      <c r="L319" s="70">
        <v>0.092463336250323184</v>
      </c>
      <c r="M319" s="71">
        <f>IF(L319&lt;1,1,L319)</f>
        <v>1</v>
      </c>
      <c r="N319" s="70" t="s">
        <v>3288</v>
      </c>
      <c r="O319" s="71">
        <f>IF(OR(I319=$A$1,I319=0),"",IF(N319=MappingTables!$C$14,VLOOKUP(J319,ModelParameters!$M$8:$N$15,2,FALSE),IF(N319=MappingTables!$C$16,VLOOKUP(J319,ModelParameters!$P$8:$Q$15,2,FALSE),0)))</f>
        <v>0.125</v>
      </c>
      <c r="P319" s="73">
        <f>IF(OR(I319=0,I319=$A$1),0,MIN(O319*M319,1)*K319)</f>
        <v>0.060633229594443888</v>
      </c>
      <c r="Q319" s="73">
        <f>IF(B319="",0,IF(OR(H319=MappingTables!$C$34,H319=MappingTables!$C$35),P319,0))</f>
        <v>0</v>
      </c>
      <c r="R319" s="73">
        <f>IF(ISNA(IF(AND(VLOOKUP(CONCATENATE($D319,$G319),CSRFinput!$B:$E,4,0)=0,OR(H319=MappingTables!$C$31,H319=MappingTables!$C$32)),1,VLOOKUP(CONCATENATE($D319,$G319),CSRFinput!$B:$E,4,0))),0,IF(AND(VLOOKUP(CONCATENATE($D319,$G319),CSRFinput!$B:$E,4,0)=0,OR(H319=MappingTables!$C$31,H319=MappingTables!$C$32)),1,VLOOKUP(CONCATENATE($D319,$G319),CSRFinput!$B:$E,4,0)))</f>
        <v>0.054776304963434752</v>
      </c>
      <c r="S319" s="73">
        <f>IF(B319="",0,P319*R319)</f>
        <v>0.0033212642751832156</v>
      </c>
      <c r="T319" s="85">
        <f>IF(B319="",0,IF(OR(H319=MappingTables!$C$34,H319=MappingTables!$C$35),S319,0))</f>
        <v>0</v>
      </c>
    </row>
    <row r="320" spans="2:20" s="0" customFormat="0" ht="15">
      <c r="B320" s="69" t="s">
        <v>3794</v>
      </c>
      <c r="C320" s="70" t="s">
        <v>3795</v>
      </c>
      <c r="D320" s="70" t="s">
        <v>1</v>
      </c>
      <c r="E320" s="70" t="s">
        <v>1</v>
      </c>
      <c r="F320" s="70"/>
      <c r="G320" s="70" t="s">
        <v>61</v>
      </c>
      <c r="H320" s="70" t="s">
        <v>178</v>
      </c>
      <c r="I320" s="70" t="s">
        <v>216</v>
      </c>
      <c r="J320" s="71">
        <f>IF(OR(I320=0,I320=""),"unrated",VLOOKUP(I320,MappingTables!$B$19:$C$31,2,FALSE))</f>
        <v>0</v>
      </c>
      <c r="K320" s="72">
        <v>381.2812701174952</v>
      </c>
      <c r="L320" s="70">
        <v>0.041095992008419232</v>
      </c>
      <c r="M320" s="71">
        <f>IF(L320&lt;1,1,L320)</f>
        <v>1</v>
      </c>
      <c r="N320" s="70" t="s">
        <v>3288</v>
      </c>
      <c r="O320" s="71">
        <f>IF(OR(I320=$A$1,I320=0),"",IF(N320=MappingTables!$C$14,VLOOKUP(J320,ModelParameters!$M$8:$N$15,2,FALSE),IF(N320=MappingTables!$C$16,VLOOKUP(J320,ModelParameters!$P$8:$Q$15,2,FALSE),0)))</f>
        <v>0.125</v>
      </c>
      <c r="P320" s="73">
        <f>IF(OR(I320=0,I320=$A$1),0,MIN(O320*M320,1)*K320)</f>
        <v>47.660158764686904</v>
      </c>
      <c r="Q320" s="73">
        <f>IF(B320="",0,IF(OR(H320=MappingTables!$C$34,H320=MappingTables!$C$35),P320,0))</f>
        <v>0</v>
      </c>
      <c r="R320" s="73">
        <f>IF(ISNA(IF(AND(VLOOKUP(CONCATENATE($D320,$G320),CSRFinput!$B:$E,4,0)=0,OR(H320=MappingTables!$C$31,H320=MappingTables!$C$32)),1,VLOOKUP(CONCATENATE($D320,$G320),CSRFinput!$B:$E,4,0))),0,IF(AND(VLOOKUP(CONCATENATE($D320,$G320),CSRFinput!$B:$E,4,0)=0,OR(H320=MappingTables!$C$31,H320=MappingTables!$C$32)),1,VLOOKUP(CONCATENATE($D320,$G320),CSRFinput!$B:$E,4,0)))</f>
        <v>0.054776304963434752</v>
      </c>
      <c r="S320" s="73">
        <f>IF(B320="",0,P320*R320)</f>
        <v>2.6106473911002076</v>
      </c>
      <c r="T320" s="85">
        <f>IF(B320="",0,IF(OR(H320=MappingTables!$C$34,H320=MappingTables!$C$35),S320,0))</f>
        <v>0</v>
      </c>
    </row>
    <row r="321" spans="2:20" s="0" customFormat="0" ht="15">
      <c r="B321" s="69" t="s">
        <v>3796</v>
      </c>
      <c r="C321" s="70" t="s">
        <v>3797</v>
      </c>
      <c r="D321" s="70" t="s">
        <v>1</v>
      </c>
      <c r="E321" s="70" t="s">
        <v>1</v>
      </c>
      <c r="F321" s="70"/>
      <c r="G321" s="70" t="s">
        <v>61</v>
      </c>
      <c r="H321" s="70" t="s">
        <v>178</v>
      </c>
      <c r="I321" s="70" t="s">
        <v>204</v>
      </c>
      <c r="J321" s="71">
        <f>IF(OR(I321=0,I321=""),"unrated",VLOOKUP(I321,MappingTables!$B$19:$C$31,2,FALSE))</f>
        <v>6</v>
      </c>
      <c r="K321" s="72">
        <v>1399.9459552554106</v>
      </c>
      <c r="L321" s="70">
        <v>0.0028615080933572136</v>
      </c>
      <c r="M321" s="71">
        <f>IF(L321&lt;1,1,L321)</f>
        <v>1</v>
      </c>
      <c r="N321" s="70" t="s">
        <v>3288</v>
      </c>
      <c r="O321" s="71">
        <f>IF(OR(I321=$A$1,I321=0),"",IF(N321=MappingTables!$C$14,VLOOKUP(J321,ModelParameters!$M$8:$N$15,2,FALSE),IF(N321=MappingTables!$C$16,VLOOKUP(J321,ModelParameters!$P$8:$Q$15,2,FALSE),0)))</f>
        <v>1</v>
      </c>
      <c r="P321" s="73">
        <f>IF(OR(I321=0,I321=$A$1),0,MIN(O321*M321,1)*K321)</f>
        <v>1399.9459552554106</v>
      </c>
      <c r="Q321" s="73">
        <f>IF(B321="",0,IF(OR(H321=MappingTables!$C$34,H321=MappingTables!$C$35),P321,0))</f>
        <v>0</v>
      </c>
      <c r="R321" s="73">
        <f>IF(ISNA(IF(AND(VLOOKUP(CONCATENATE($D321,$G321),CSRFinput!$B:$E,4,0)=0,OR(H321=MappingTables!$C$31,H321=MappingTables!$C$32)),1,VLOOKUP(CONCATENATE($D321,$G321),CSRFinput!$B:$E,4,0))),0,IF(AND(VLOOKUP(CONCATENATE($D321,$G321),CSRFinput!$B:$E,4,0)=0,OR(H321=MappingTables!$C$31,H321=MappingTables!$C$32)),1,VLOOKUP(CONCATENATE($D321,$G321),CSRFinput!$B:$E,4,0)))</f>
        <v>0.054776304963434752</v>
      </c>
      <c r="S321" s="73">
        <f>IF(B321="",0,P321*R321)</f>
        <v>76.68386657739736</v>
      </c>
      <c r="T321" s="85">
        <f>IF(B321="",0,IF(OR(H321=MappingTables!$C$34,H321=MappingTables!$C$35),S321,0))</f>
        <v>0</v>
      </c>
    </row>
    <row r="322" spans="2:20" s="0" customFormat="0" ht="15">
      <c r="B322" s="69" t="s">
        <v>3798</v>
      </c>
      <c r="C322" s="70" t="s">
        <v>3799</v>
      </c>
      <c r="D322" s="70" t="s">
        <v>1</v>
      </c>
      <c r="E322" s="70" t="s">
        <v>1</v>
      </c>
      <c r="F322" s="70"/>
      <c r="G322" s="70" t="s">
        <v>61</v>
      </c>
      <c r="H322" s="70" t="s">
        <v>178</v>
      </c>
      <c r="I322" s="70" t="s">
        <v>198</v>
      </c>
      <c r="J322" s="71" t="str">
        <f>IF(OR(I322=0,I322=""),"unrated",VLOOKUP(I322,MappingTables!$B$19:$C$31,2,FALSE))</f>
        <v>unrated</v>
      </c>
      <c r="K322" s="72">
        <v>143.48794095928948</v>
      </c>
      <c r="L322" s="70">
        <v>7.0215660231160968</v>
      </c>
      <c r="M322" s="71">
        <f>IF(L322&lt;1,1,L322)</f>
        <v>7.0215660231160968</v>
      </c>
      <c r="N322" s="70" t="s">
        <v>3288</v>
      </c>
      <c r="O322" s="71">
        <f>IF(OR(I322=$A$1,I322=0),"",IF(N322=MappingTables!$C$14,VLOOKUP(J322,ModelParameters!$M$8:$N$15,2,FALSE),IF(N322=MappingTables!$C$16,VLOOKUP(J322,ModelParameters!$P$8:$Q$15,2,FALSE),0)))</f>
        <v>1</v>
      </c>
      <c r="P322" s="73">
        <f>IF(OR(I322=0,I322=$A$1),0,MIN(O322*M322,1)*K322)</f>
        <v>143.48794095928948</v>
      </c>
      <c r="Q322" s="73">
        <f>IF(B322="",0,IF(OR(H322=MappingTables!$C$34,H322=MappingTables!$C$35),P322,0))</f>
        <v>0</v>
      </c>
      <c r="R322" s="73">
        <f>IF(ISNA(IF(AND(VLOOKUP(CONCATENATE($D322,$G322),CSRFinput!$B:$E,4,0)=0,OR(H322=MappingTables!$C$31,H322=MappingTables!$C$32)),1,VLOOKUP(CONCATENATE($D322,$G322),CSRFinput!$B:$E,4,0))),0,IF(AND(VLOOKUP(CONCATENATE($D322,$G322),CSRFinput!$B:$E,4,0)=0,OR(H322=MappingTables!$C$31,H322=MappingTables!$C$32)),1,VLOOKUP(CONCATENATE($D322,$G322),CSRFinput!$B:$E,4,0)))</f>
        <v>0.054776304963434752</v>
      </c>
      <c r="S322" s="73">
        <f>IF(B322="",0,P322*R322)</f>
        <v>7.8597392125613616</v>
      </c>
      <c r="T322" s="85">
        <f>IF(B322="",0,IF(OR(H322=MappingTables!$C$34,H322=MappingTables!$C$35),S322,0))</f>
        <v>0</v>
      </c>
    </row>
    <row r="323" spans="2:20" s="0" customFormat="0" ht="15">
      <c r="B323" s="69" t="s">
        <v>3800</v>
      </c>
      <c r="C323" s="70" t="s">
        <v>3801</v>
      </c>
      <c r="D323" s="70" t="s">
        <v>1</v>
      </c>
      <c r="E323" s="70" t="s">
        <v>1</v>
      </c>
      <c r="F323" s="70"/>
      <c r="G323" s="70" t="s">
        <v>61</v>
      </c>
      <c r="H323" s="70" t="s">
        <v>178</v>
      </c>
      <c r="I323" s="70" t="s">
        <v>198</v>
      </c>
      <c r="J323" s="71" t="str">
        <f>IF(OR(I323=0,I323=""),"unrated",VLOOKUP(I323,MappingTables!$B$19:$C$31,2,FALSE))</f>
        <v>unrated</v>
      </c>
      <c r="K323" s="72">
        <v>2172.4373475528396</v>
      </c>
      <c r="L323" s="70">
        <v>0.073977017853379712</v>
      </c>
      <c r="M323" s="71">
        <f>IF(L323&lt;1,1,L323)</f>
        <v>1</v>
      </c>
      <c r="N323" s="70" t="s">
        <v>3288</v>
      </c>
      <c r="O323" s="71">
        <f>IF(OR(I323=$A$1,I323=0),"",IF(N323=MappingTables!$C$14,VLOOKUP(J323,ModelParameters!$M$8:$N$15,2,FALSE),IF(N323=MappingTables!$C$16,VLOOKUP(J323,ModelParameters!$P$8:$Q$15,2,FALSE),0)))</f>
        <v>1</v>
      </c>
      <c r="P323" s="73">
        <f>IF(OR(I323=0,I323=$A$1),0,MIN(O323*M323,1)*K323)</f>
        <v>2172.4373475528396</v>
      </c>
      <c r="Q323" s="73">
        <f>IF(B323="",0,IF(OR(H323=MappingTables!$C$34,H323=MappingTables!$C$35),P323,0))</f>
        <v>0</v>
      </c>
      <c r="R323" s="73">
        <f>IF(ISNA(IF(AND(VLOOKUP(CONCATENATE($D323,$G323),CSRFinput!$B:$E,4,0)=0,OR(H323=MappingTables!$C$31,H323=MappingTables!$C$32)),1,VLOOKUP(CONCATENATE($D323,$G323),CSRFinput!$B:$E,4,0))),0,IF(AND(VLOOKUP(CONCATENATE($D323,$G323),CSRFinput!$B:$E,4,0)=0,OR(H323=MappingTables!$C$31,H323=MappingTables!$C$32)),1,VLOOKUP(CONCATENATE($D323,$G323),CSRFinput!$B:$E,4,0)))</f>
        <v>0.054776304963434752</v>
      </c>
      <c r="S323" s="73">
        <f>IF(B323="",0,P323*R323)</f>
        <v>118.99809066350964</v>
      </c>
      <c r="T323" s="85">
        <f>IF(B323="",0,IF(OR(H323=MappingTables!$C$34,H323=MappingTables!$C$35),S323,0))</f>
        <v>0</v>
      </c>
    </row>
    <row r="324" spans="2:20" s="0" customFormat="0" ht="15">
      <c r="B324" s="69">
        <v>9460743</v>
      </c>
      <c r="C324" s="70" t="s">
        <v>3802</v>
      </c>
      <c r="D324" s="70" t="s">
        <v>1</v>
      </c>
      <c r="E324" s="70" t="s">
        <v>1</v>
      </c>
      <c r="F324" s="70"/>
      <c r="G324" s="70" t="s">
        <v>61</v>
      </c>
      <c r="H324" s="70" t="s">
        <v>178</v>
      </c>
      <c r="I324" s="70" t="s">
        <v>216</v>
      </c>
      <c r="J324" s="71">
        <f>IF(OR(I324=0,I324=""),"unrated",VLOOKUP(I324,MappingTables!$B$19:$C$31,2,FALSE))</f>
        <v>0</v>
      </c>
      <c r="K324" s="72">
        <v>246.85880858942956</v>
      </c>
      <c r="L324" s="70">
        <v>3.4926232310550488</v>
      </c>
      <c r="M324" s="71">
        <f>IF(L324&lt;1,1,L324)</f>
        <v>3.4926232310550488</v>
      </c>
      <c r="N324" s="70" t="s">
        <v>3288</v>
      </c>
      <c r="O324" s="71">
        <f>IF(OR(I324=$A$1,I324=0),"",IF(N324=MappingTables!$C$14,VLOOKUP(J324,ModelParameters!$M$8:$N$15,2,FALSE),IF(N324=MappingTables!$C$16,VLOOKUP(J324,ModelParameters!$P$8:$Q$15,2,FALSE),0)))</f>
        <v>0.125</v>
      </c>
      <c r="P324" s="73">
        <f>IF(OR(I324=0,I324=$A$1),0,MIN(O324*M324,1)*K324)</f>
        <v>107.77310120875166</v>
      </c>
      <c r="Q324" s="73">
        <f>IF(B324="",0,IF(OR(H324=MappingTables!$C$34,H324=MappingTables!$C$35),P324,0))</f>
        <v>0</v>
      </c>
      <c r="R324" s="73">
        <f>IF(ISNA(IF(AND(VLOOKUP(CONCATENATE($D324,$G324),CSRFinput!$B:$E,4,0)=0,OR(H324=MappingTables!$C$31,H324=MappingTables!$C$32)),1,VLOOKUP(CONCATENATE($D324,$G324),CSRFinput!$B:$E,4,0))),0,IF(AND(VLOOKUP(CONCATENATE($D324,$G324),CSRFinput!$B:$E,4,0)=0,OR(H324=MappingTables!$C$31,H324=MappingTables!$C$32)),1,VLOOKUP(CONCATENATE($D324,$G324),CSRFinput!$B:$E,4,0)))</f>
        <v>0.054776304963434752</v>
      </c>
      <c r="S324" s="73">
        <f>IF(B324="",0,P324*R324)</f>
        <v>5.9034122586657</v>
      </c>
      <c r="T324" s="85">
        <f>IF(B324="",0,IF(OR(H324=MappingTables!$C$34,H324=MappingTables!$C$35),S324,0))</f>
        <v>0</v>
      </c>
    </row>
    <row r="325" spans="2:20" s="0" customFormat="0" ht="15">
      <c r="B325" s="69" t="s">
        <v>3803</v>
      </c>
      <c r="C325" s="70" t="s">
        <v>3804</v>
      </c>
      <c r="D325" s="70" t="s">
        <v>1</v>
      </c>
      <c r="E325" s="70" t="s">
        <v>1</v>
      </c>
      <c r="F325" s="70"/>
      <c r="G325" s="70" t="s">
        <v>61</v>
      </c>
      <c r="H325" s="70" t="s">
        <v>178</v>
      </c>
      <c r="I325" s="70" t="s">
        <v>198</v>
      </c>
      <c r="J325" s="71" t="str">
        <f>IF(OR(I325=0,I325=""),"unrated",VLOOKUP(I325,MappingTables!$B$19:$C$31,2,FALSE))</f>
        <v>unrated</v>
      </c>
      <c r="K325" s="72">
        <v>27.472399335172348</v>
      </c>
      <c r="L325" s="70">
        <v>0.054797496656192264</v>
      </c>
      <c r="M325" s="71">
        <f>IF(L325&lt;1,1,L325)</f>
        <v>1</v>
      </c>
      <c r="N325" s="70" t="s">
        <v>3288</v>
      </c>
      <c r="O325" s="71">
        <f>IF(OR(I325=$A$1,I325=0),"",IF(N325=MappingTables!$C$14,VLOOKUP(J325,ModelParameters!$M$8:$N$15,2,FALSE),IF(N325=MappingTables!$C$16,VLOOKUP(J325,ModelParameters!$P$8:$Q$15,2,FALSE),0)))</f>
        <v>1</v>
      </c>
      <c r="P325" s="73">
        <f>IF(OR(I325=0,I325=$A$1),0,MIN(O325*M325,1)*K325)</f>
        <v>27.472399335172348</v>
      </c>
      <c r="Q325" s="73">
        <f>IF(B325="",0,IF(OR(H325=MappingTables!$C$34,H325=MappingTables!$C$35),P325,0))</f>
        <v>0</v>
      </c>
      <c r="R325" s="73">
        <f>IF(ISNA(IF(AND(VLOOKUP(CONCATENATE($D325,$G325),CSRFinput!$B:$E,4,0)=0,OR(H325=MappingTables!$C$31,H325=MappingTables!$C$32)),1,VLOOKUP(CONCATENATE($D325,$G325),CSRFinput!$B:$E,4,0))),0,IF(AND(VLOOKUP(CONCATENATE($D325,$G325),CSRFinput!$B:$E,4,0)=0,OR(H325=MappingTables!$C$31,H325=MappingTables!$C$32)),1,VLOOKUP(CONCATENATE($D325,$G325),CSRFinput!$B:$E,4,0)))</f>
        <v>0.054776304963434752</v>
      </c>
      <c r="S325" s="73">
        <f>IF(B325="",0,P325*R325)</f>
        <v>1.5048365240606628</v>
      </c>
      <c r="T325" s="85">
        <f>IF(B325="",0,IF(OR(H325=MappingTables!$C$34,H325=MappingTables!$C$35),S325,0))</f>
        <v>0</v>
      </c>
    </row>
    <row r="326" spans="2:20" s="0" customFormat="0" ht="15">
      <c r="B326" s="69" t="s">
        <v>3805</v>
      </c>
      <c r="C326" s="70" t="s">
        <v>3806</v>
      </c>
      <c r="D326" s="70" t="s">
        <v>1</v>
      </c>
      <c r="E326" s="70" t="s">
        <v>1</v>
      </c>
      <c r="F326" s="70"/>
      <c r="G326" s="70" t="s">
        <v>61</v>
      </c>
      <c r="H326" s="70" t="s">
        <v>178</v>
      </c>
      <c r="I326" s="70" t="s">
        <v>204</v>
      </c>
      <c r="J326" s="71">
        <f>IF(OR(I326=0,I326=""),"unrated",VLOOKUP(I326,MappingTables!$B$19:$C$31,2,FALSE))</f>
        <v>6</v>
      </c>
      <c r="K326" s="72">
        <v>598.9970807688096</v>
      </c>
      <c r="L326" s="70">
        <v>2.9374110036675876</v>
      </c>
      <c r="M326" s="71">
        <f>IF(L326&lt;1,1,L326)</f>
        <v>2.9374110036675876</v>
      </c>
      <c r="N326" s="70" t="s">
        <v>3288</v>
      </c>
      <c r="O326" s="71">
        <f>IF(OR(I326=$A$1,I326=0),"",IF(N326=MappingTables!$C$14,VLOOKUP(J326,ModelParameters!$M$8:$N$15,2,FALSE),IF(N326=MappingTables!$C$16,VLOOKUP(J326,ModelParameters!$P$8:$Q$15,2,FALSE),0)))</f>
        <v>1</v>
      </c>
      <c r="P326" s="73">
        <f>IF(OR(I326=0,I326=$A$1),0,MIN(O326*M326,1)*K326)</f>
        <v>598.9970807688096</v>
      </c>
      <c r="Q326" s="73">
        <f>IF(B326="",0,IF(OR(H326=MappingTables!$C$34,H326=MappingTables!$C$35),P326,0))</f>
        <v>0</v>
      </c>
      <c r="R326" s="73">
        <f>IF(ISNA(IF(AND(VLOOKUP(CONCATENATE($D326,$G326),CSRFinput!$B:$E,4,0)=0,OR(H326=MappingTables!$C$31,H326=MappingTables!$C$32)),1,VLOOKUP(CONCATENATE($D326,$G326),CSRFinput!$B:$E,4,0))),0,IF(AND(VLOOKUP(CONCATENATE($D326,$G326),CSRFinput!$B:$E,4,0)=0,OR(H326=MappingTables!$C$31,H326=MappingTables!$C$32)),1,VLOOKUP(CONCATENATE($D326,$G326),CSRFinput!$B:$E,4,0)))</f>
        <v>0.054776304963434752</v>
      </c>
      <c r="S326" s="73">
        <f>IF(B326="",0,P326*R326)</f>
        <v>32.810846768399472</v>
      </c>
      <c r="T326" s="85">
        <f>IF(B326="",0,IF(OR(H326=MappingTables!$C$34,H326=MappingTables!$C$35),S326,0))</f>
        <v>0</v>
      </c>
    </row>
    <row r="327" spans="2:20" s="0" customFormat="0" ht="15">
      <c r="B327" s="69" t="s">
        <v>3807</v>
      </c>
      <c r="C327" s="70" t="s">
        <v>3808</v>
      </c>
      <c r="D327" s="70" t="s">
        <v>1</v>
      </c>
      <c r="E327" s="70" t="s">
        <v>1</v>
      </c>
      <c r="F327" s="70"/>
      <c r="G327" s="70" t="s">
        <v>61</v>
      </c>
      <c r="H327" s="70" t="s">
        <v>178</v>
      </c>
      <c r="I327" s="70" t="s">
        <v>198</v>
      </c>
      <c r="J327" s="71" t="str">
        <f>IF(OR(I327=0,I327=""),"unrated",VLOOKUP(I327,MappingTables!$B$19:$C$31,2,FALSE))</f>
        <v>unrated</v>
      </c>
      <c r="K327" s="72">
        <v>7644.4812587061616</v>
      </c>
      <c r="L327" s="70">
        <v>9.8814465496566512</v>
      </c>
      <c r="M327" s="71">
        <f>IF(L327&lt;1,1,L327)</f>
        <v>9.8814465496566512</v>
      </c>
      <c r="N327" s="70" t="s">
        <v>3288</v>
      </c>
      <c r="O327" s="71">
        <f>IF(OR(I327=$A$1,I327=0),"",IF(N327=MappingTables!$C$14,VLOOKUP(J327,ModelParameters!$M$8:$N$15,2,FALSE),IF(N327=MappingTables!$C$16,VLOOKUP(J327,ModelParameters!$P$8:$Q$15,2,FALSE),0)))</f>
        <v>1</v>
      </c>
      <c r="P327" s="73">
        <f>IF(OR(I327=0,I327=$A$1),0,MIN(O327*M327,1)*K327)</f>
        <v>7644.4812587061616</v>
      </c>
      <c r="Q327" s="73">
        <f>IF(B327="",0,IF(OR(H327=MappingTables!$C$34,H327=MappingTables!$C$35),P327,0))</f>
        <v>0</v>
      </c>
      <c r="R327" s="73">
        <f>IF(ISNA(IF(AND(VLOOKUP(CONCATENATE($D327,$G327),CSRFinput!$B:$E,4,0)=0,OR(H327=MappingTables!$C$31,H327=MappingTables!$C$32)),1,VLOOKUP(CONCATENATE($D327,$G327),CSRFinput!$B:$E,4,0))),0,IF(AND(VLOOKUP(CONCATENATE($D327,$G327),CSRFinput!$B:$E,4,0)=0,OR(H327=MappingTables!$C$31,H327=MappingTables!$C$32)),1,VLOOKUP(CONCATENATE($D327,$G327),CSRFinput!$B:$E,4,0)))</f>
        <v>0.054776304963434752</v>
      </c>
      <c r="S327" s="73">
        <f>IF(B327="",0,P327*R327)</f>
        <v>418.73643671415024</v>
      </c>
      <c r="T327" s="85">
        <f>IF(B327="",0,IF(OR(H327=MappingTables!$C$34,H327=MappingTables!$C$35),S327,0))</f>
        <v>0</v>
      </c>
    </row>
    <row r="328" spans="2:20" s="0" customFormat="0" ht="15">
      <c r="B328" s="69">
        <v>17619849</v>
      </c>
      <c r="C328" s="70" t="s">
        <v>3809</v>
      </c>
      <c r="D328" s="70" t="s">
        <v>1</v>
      </c>
      <c r="E328" s="70" t="s">
        <v>1</v>
      </c>
      <c r="F328" s="70"/>
      <c r="G328" s="70" t="s">
        <v>61</v>
      </c>
      <c r="H328" s="70" t="s">
        <v>178</v>
      </c>
      <c r="I328" s="70" t="s">
        <v>198</v>
      </c>
      <c r="J328" s="71" t="str">
        <f>IF(OR(I328=0,I328=""),"unrated",VLOOKUP(I328,MappingTables!$B$19:$C$31,2,FALSE))</f>
        <v>unrated</v>
      </c>
      <c r="K328" s="72">
        <v>724.95705392642384</v>
      </c>
      <c r="L328" s="70">
        <v>0.087051770114293344</v>
      </c>
      <c r="M328" s="71">
        <f>IF(L328&lt;1,1,L328)</f>
        <v>1</v>
      </c>
      <c r="N328" s="70" t="s">
        <v>3288</v>
      </c>
      <c r="O328" s="71">
        <f>IF(OR(I328=$A$1,I328=0),"",IF(N328=MappingTables!$C$14,VLOOKUP(J328,ModelParameters!$M$8:$N$15,2,FALSE),IF(N328=MappingTables!$C$16,VLOOKUP(J328,ModelParameters!$P$8:$Q$15,2,FALSE),0)))</f>
        <v>1</v>
      </c>
      <c r="P328" s="73">
        <f>IF(OR(I328=0,I328=$A$1),0,MIN(O328*M328,1)*K328)</f>
        <v>724.95705392642384</v>
      </c>
      <c r="Q328" s="73">
        <f>IF(B328="",0,IF(OR(H328=MappingTables!$C$34,H328=MappingTables!$C$35),P328,0))</f>
        <v>0</v>
      </c>
      <c r="R328" s="73">
        <f>IF(ISNA(IF(AND(VLOOKUP(CONCATENATE($D328,$G328),CSRFinput!$B:$E,4,0)=0,OR(H328=MappingTables!$C$31,H328=MappingTables!$C$32)),1,VLOOKUP(CONCATENATE($D328,$G328),CSRFinput!$B:$E,4,0))),0,IF(AND(VLOOKUP(CONCATENATE($D328,$G328),CSRFinput!$B:$E,4,0)=0,OR(H328=MappingTables!$C$31,H328=MappingTables!$C$32)),1,VLOOKUP(CONCATENATE($D328,$G328),CSRFinput!$B:$E,4,0)))</f>
        <v>0.054776304963434752</v>
      </c>
      <c r="S328" s="73">
        <f>IF(B328="",0,P328*R328)</f>
        <v>39.710468671267</v>
      </c>
      <c r="T328" s="85">
        <f>IF(B328="",0,IF(OR(H328=MappingTables!$C$34,H328=MappingTables!$C$35),S328,0))</f>
        <v>0</v>
      </c>
    </row>
    <row r="329" spans="2:20" s="0" customFormat="0" ht="15">
      <c r="B329" s="69" t="s">
        <v>3810</v>
      </c>
      <c r="C329" s="70" t="s">
        <v>3811</v>
      </c>
      <c r="D329" s="70" t="s">
        <v>1</v>
      </c>
      <c r="E329" s="70" t="s">
        <v>1</v>
      </c>
      <c r="F329" s="70"/>
      <c r="G329" s="70" t="s">
        <v>61</v>
      </c>
      <c r="H329" s="70" t="s">
        <v>178</v>
      </c>
      <c r="I329" s="70" t="s">
        <v>204</v>
      </c>
      <c r="J329" s="71">
        <f>IF(OR(I329=0,I329=""),"unrated",VLOOKUP(I329,MappingTables!$B$19:$C$31,2,FALSE))</f>
        <v>6</v>
      </c>
      <c r="K329" s="72">
        <v>401.68795958493208</v>
      </c>
      <c r="L329" s="70">
        <v>0.068493157260461096</v>
      </c>
      <c r="M329" s="71">
        <f>IF(L329&lt;1,1,L329)</f>
        <v>1</v>
      </c>
      <c r="N329" s="70" t="s">
        <v>3288</v>
      </c>
      <c r="O329" s="71">
        <f>IF(OR(I329=$A$1,I329=0),"",IF(N329=MappingTables!$C$14,VLOOKUP(J329,ModelParameters!$M$8:$N$15,2,FALSE),IF(N329=MappingTables!$C$16,VLOOKUP(J329,ModelParameters!$P$8:$Q$15,2,FALSE),0)))</f>
        <v>1</v>
      </c>
      <c r="P329" s="73">
        <f>IF(OR(I329=0,I329=$A$1),0,MIN(O329*M329,1)*K329)</f>
        <v>401.68795958493208</v>
      </c>
      <c r="Q329" s="73">
        <f>IF(B329="",0,IF(OR(H329=MappingTables!$C$34,H329=MappingTables!$C$35),P329,0))</f>
        <v>0</v>
      </c>
      <c r="R329" s="73">
        <f>IF(ISNA(IF(AND(VLOOKUP(CONCATENATE($D329,$G329),CSRFinput!$B:$E,4,0)=0,OR(H329=MappingTables!$C$31,H329=MappingTables!$C$32)),1,VLOOKUP(CONCATENATE($D329,$G329),CSRFinput!$B:$E,4,0))),0,IF(AND(VLOOKUP(CONCATENATE($D329,$G329),CSRFinput!$B:$E,4,0)=0,OR(H329=MappingTables!$C$31,H329=MappingTables!$C$32)),1,VLOOKUP(CONCATENATE($D329,$G329),CSRFinput!$B:$E,4,0)))</f>
        <v>0.054776304963434752</v>
      </c>
      <c r="S329" s="73">
        <f>IF(B329="",0,P329*R329)</f>
        <v>22.002982174364092</v>
      </c>
      <c r="T329" s="85">
        <f>IF(B329="",0,IF(OR(H329=MappingTables!$C$34,H329=MappingTables!$C$35),S329,0))</f>
        <v>0</v>
      </c>
    </row>
    <row r="330" spans="2:20" s="0" customFormat="0" ht="15">
      <c r="B330" s="69">
        <v>16974606</v>
      </c>
      <c r="C330" s="70" t="s">
        <v>3506</v>
      </c>
      <c r="D330" s="70" t="s">
        <v>1</v>
      </c>
      <c r="E330" s="70" t="s">
        <v>1</v>
      </c>
      <c r="F330" s="70"/>
      <c r="G330" s="70" t="s">
        <v>61</v>
      </c>
      <c r="H330" s="70" t="s">
        <v>178</v>
      </c>
      <c r="I330" s="70" t="s">
        <v>216</v>
      </c>
      <c r="J330" s="71">
        <f>IF(OR(I330=0,I330=""),"unrated",VLOOKUP(I330,MappingTables!$B$19:$C$31,2,FALSE))</f>
        <v>0</v>
      </c>
      <c r="K330" s="72">
        <v>137.96019717215818</v>
      </c>
      <c r="L330" s="70">
        <v>0.049917410904237384</v>
      </c>
      <c r="M330" s="71">
        <f>IF(L330&lt;1,1,L330)</f>
        <v>1</v>
      </c>
      <c r="N330" s="70" t="s">
        <v>3288</v>
      </c>
      <c r="O330" s="71">
        <f>IF(OR(I330=$A$1,I330=0),"",IF(N330=MappingTables!$C$14,VLOOKUP(J330,ModelParameters!$M$8:$N$15,2,FALSE),IF(N330=MappingTables!$C$16,VLOOKUP(J330,ModelParameters!$P$8:$Q$15,2,FALSE),0)))</f>
        <v>0.125</v>
      </c>
      <c r="P330" s="73">
        <f>IF(OR(I330=0,I330=$A$1),0,MIN(O330*M330,1)*K330)</f>
        <v>17.245024646519774</v>
      </c>
      <c r="Q330" s="73">
        <f>IF(B330="",0,IF(OR(H330=MappingTables!$C$34,H330=MappingTables!$C$35),P330,0))</f>
        <v>0</v>
      </c>
      <c r="R330" s="73">
        <f>IF(ISNA(IF(AND(VLOOKUP(CONCATENATE($D330,$G330),CSRFinput!$B:$E,4,0)=0,OR(H330=MappingTables!$C$31,H330=MappingTables!$C$32)),1,VLOOKUP(CONCATENATE($D330,$G330),CSRFinput!$B:$E,4,0))),0,IF(AND(VLOOKUP(CONCATENATE($D330,$G330),CSRFinput!$B:$E,4,0)=0,OR(H330=MappingTables!$C$31,H330=MappingTables!$C$32)),1,VLOOKUP(CONCATENATE($D330,$G330),CSRFinput!$B:$E,4,0)))</f>
        <v>0.054776304963434752</v>
      </c>
      <c r="S330" s="73">
        <f>IF(B330="",0,P330*R330)</f>
        <v>0.94461872913971584</v>
      </c>
      <c r="T330" s="85">
        <f>IF(B330="",0,IF(OR(H330=MappingTables!$C$34,H330=MappingTables!$C$35),S330,0))</f>
        <v>0</v>
      </c>
    </row>
    <row r="331" spans="2:20" s="0" customFormat="0" ht="15">
      <c r="B331" s="69" t="s">
        <v>3812</v>
      </c>
      <c r="C331" s="70" t="s">
        <v>3813</v>
      </c>
      <c r="D331" s="70" t="s">
        <v>1</v>
      </c>
      <c r="E331" s="70" t="s">
        <v>1</v>
      </c>
      <c r="F331" s="70"/>
      <c r="G331" s="70" t="s">
        <v>61</v>
      </c>
      <c r="H331" s="70" t="s">
        <v>178</v>
      </c>
      <c r="I331" s="70" t="s">
        <v>198</v>
      </c>
      <c r="J331" s="71" t="str">
        <f>IF(OR(I331=0,I331=""),"unrated",VLOOKUP(I331,MappingTables!$B$19:$C$31,2,FALSE))</f>
        <v>unrated</v>
      </c>
      <c r="K331" s="72">
        <v>24.743578894380448</v>
      </c>
      <c r="L331" s="70">
        <v>0.068497974496469688</v>
      </c>
      <c r="M331" s="71">
        <f>IF(L331&lt;1,1,L331)</f>
        <v>1</v>
      </c>
      <c r="N331" s="70" t="s">
        <v>3288</v>
      </c>
      <c r="O331" s="71">
        <f>IF(OR(I331=$A$1,I331=0),"",IF(N331=MappingTables!$C$14,VLOOKUP(J331,ModelParameters!$M$8:$N$15,2,FALSE),IF(N331=MappingTables!$C$16,VLOOKUP(J331,ModelParameters!$P$8:$Q$15,2,FALSE),0)))</f>
        <v>1</v>
      </c>
      <c r="P331" s="73">
        <f>IF(OR(I331=0,I331=$A$1),0,MIN(O331*M331,1)*K331)</f>
        <v>24.743578894380448</v>
      </c>
      <c r="Q331" s="73">
        <f>IF(B331="",0,IF(OR(H331=MappingTables!$C$34,H331=MappingTables!$C$35),P331,0))</f>
        <v>0</v>
      </c>
      <c r="R331" s="73">
        <f>IF(ISNA(IF(AND(VLOOKUP(CONCATENATE($D331,$G331),CSRFinput!$B:$E,4,0)=0,OR(H331=MappingTables!$C$31,H331=MappingTables!$C$32)),1,VLOOKUP(CONCATENATE($D331,$G331),CSRFinput!$B:$E,4,0))),0,IF(AND(VLOOKUP(CONCATENATE($D331,$G331),CSRFinput!$B:$E,4,0)=0,OR(H331=MappingTables!$C$31,H331=MappingTables!$C$32)),1,VLOOKUP(CONCATENATE($D331,$G331),CSRFinput!$B:$E,4,0)))</f>
        <v>0.054776304963434752</v>
      </c>
      <c r="S331" s="73">
        <f>IF(B331="",0,P331*R331)</f>
        <v>1.3553618234053912</v>
      </c>
      <c r="T331" s="85">
        <f>IF(B331="",0,IF(OR(H331=MappingTables!$C$34,H331=MappingTables!$C$35),S331,0))</f>
        <v>0</v>
      </c>
    </row>
    <row r="332" spans="2:20" s="0" customFormat="0" ht="15">
      <c r="B332" s="69">
        <v>22554498</v>
      </c>
      <c r="C332" s="70" t="s">
        <v>3814</v>
      </c>
      <c r="D332" s="70" t="s">
        <v>1</v>
      </c>
      <c r="E332" s="70" t="s">
        <v>1</v>
      </c>
      <c r="F332" s="70"/>
      <c r="G332" s="70" t="s">
        <v>61</v>
      </c>
      <c r="H332" s="70" t="s">
        <v>178</v>
      </c>
      <c r="I332" s="70" t="s">
        <v>216</v>
      </c>
      <c r="J332" s="71">
        <f>IF(OR(I332=0,I332=""),"unrated",VLOOKUP(I332,MappingTables!$B$19:$C$31,2,FALSE))</f>
        <v>0</v>
      </c>
      <c r="K332" s="72">
        <v>8.5172505216807312</v>
      </c>
      <c r="L332" s="70">
        <v>0.047195008326871176</v>
      </c>
      <c r="M332" s="71">
        <f>IF(L332&lt;1,1,L332)</f>
        <v>1</v>
      </c>
      <c r="N332" s="70" t="s">
        <v>3288</v>
      </c>
      <c r="O332" s="71">
        <f>IF(OR(I332=$A$1,I332=0),"",IF(N332=MappingTables!$C$14,VLOOKUP(J332,ModelParameters!$M$8:$N$15,2,FALSE),IF(N332=MappingTables!$C$16,VLOOKUP(J332,ModelParameters!$P$8:$Q$15,2,FALSE),0)))</f>
        <v>0.125</v>
      </c>
      <c r="P332" s="73">
        <f>IF(OR(I332=0,I332=$A$1),0,MIN(O332*M332,1)*K332)</f>
        <v>1.0646563152100914</v>
      </c>
      <c r="Q332" s="73">
        <f>IF(B332="",0,IF(OR(H332=MappingTables!$C$34,H332=MappingTables!$C$35),P332,0))</f>
        <v>0</v>
      </c>
      <c r="R332" s="73">
        <f>IF(ISNA(IF(AND(VLOOKUP(CONCATENATE($D332,$G332),CSRFinput!$B:$E,4,0)=0,OR(H332=MappingTables!$C$31,H332=MappingTables!$C$32)),1,VLOOKUP(CONCATENATE($D332,$G332),CSRFinput!$B:$E,4,0))),0,IF(AND(VLOOKUP(CONCATENATE($D332,$G332),CSRFinput!$B:$E,4,0)=0,OR(H332=MappingTables!$C$31,H332=MappingTables!$C$32)),1,VLOOKUP(CONCATENATE($D332,$G332),CSRFinput!$B:$E,4,0)))</f>
        <v>0.054776304963434752</v>
      </c>
      <c r="S332" s="73">
        <f>IF(B332="",0,P332*R332)</f>
        <v>0.058317939003194688</v>
      </c>
      <c r="T332" s="85">
        <f>IF(B332="",0,IF(OR(H332=MappingTables!$C$34,H332=MappingTables!$C$35),S332,0))</f>
        <v>0</v>
      </c>
    </row>
    <row r="333" spans="2:20" s="0" customFormat="0" ht="15">
      <c r="B333" s="69" t="s">
        <v>3815</v>
      </c>
      <c r="C333" s="70" t="s">
        <v>3816</v>
      </c>
      <c r="D333" s="70" t="s">
        <v>1</v>
      </c>
      <c r="E333" s="70" t="s">
        <v>1</v>
      </c>
      <c r="F333" s="70"/>
      <c r="G333" s="70" t="s">
        <v>61</v>
      </c>
      <c r="H333" s="70" t="s">
        <v>178</v>
      </c>
      <c r="I333" s="70" t="s">
        <v>513</v>
      </c>
      <c r="J333" s="71">
        <f>IF(OR(I333=0,I333=""),"unrated",VLOOKUP(I333,MappingTables!$B$19:$C$31,2,FALSE))</f>
        <v>6</v>
      </c>
      <c r="K333" s="72">
        <v>98.256177495250016</v>
      </c>
      <c r="L333" s="70">
        <v>0.068491966628750512</v>
      </c>
      <c r="M333" s="71">
        <f>IF(L333&lt;1,1,L333)</f>
        <v>1</v>
      </c>
      <c r="N333" s="70" t="s">
        <v>3288</v>
      </c>
      <c r="O333" s="71">
        <f>IF(OR(I333=$A$1,I333=0),"",IF(N333=MappingTables!$C$14,VLOOKUP(J333,ModelParameters!$M$8:$N$15,2,FALSE),IF(N333=MappingTables!$C$16,VLOOKUP(J333,ModelParameters!$P$8:$Q$15,2,FALSE),0)))</f>
        <v>1</v>
      </c>
      <c r="P333" s="73">
        <f>IF(OR(I333=0,I333=$A$1),0,MIN(O333*M333,1)*K333)</f>
        <v>98.256177495250016</v>
      </c>
      <c r="Q333" s="73">
        <f>IF(B333="",0,IF(OR(H333=MappingTables!$C$34,H333=MappingTables!$C$35),P333,0))</f>
        <v>0</v>
      </c>
      <c r="R333" s="73">
        <f>IF(ISNA(IF(AND(VLOOKUP(CONCATENATE($D333,$G333),CSRFinput!$B:$E,4,0)=0,OR(H333=MappingTables!$C$31,H333=MappingTables!$C$32)),1,VLOOKUP(CONCATENATE($D333,$G333),CSRFinput!$B:$E,4,0))),0,IF(AND(VLOOKUP(CONCATENATE($D333,$G333),CSRFinput!$B:$E,4,0)=0,OR(H333=MappingTables!$C$31,H333=MappingTables!$C$32)),1,VLOOKUP(CONCATENATE($D333,$G333),CSRFinput!$B:$E,4,0)))</f>
        <v>0.054776304963434752</v>
      </c>
      <c r="S333" s="73">
        <f>IF(B333="",0,P333*R333)</f>
        <v>5.3821103430211888</v>
      </c>
      <c r="T333" s="85">
        <f>IF(B333="",0,IF(OR(H333=MappingTables!$C$34,H333=MappingTables!$C$35),S333,0))</f>
        <v>0</v>
      </c>
    </row>
    <row r="334" spans="2:20" s="0" customFormat="0" ht="15">
      <c r="B334" s="69" t="s">
        <v>3817</v>
      </c>
      <c r="C334" s="70" t="s">
        <v>3818</v>
      </c>
      <c r="D334" s="70" t="s">
        <v>1</v>
      </c>
      <c r="E334" s="70" t="s">
        <v>1</v>
      </c>
      <c r="F334" s="70"/>
      <c r="G334" s="70" t="s">
        <v>61</v>
      </c>
      <c r="H334" s="70" t="s">
        <v>178</v>
      </c>
      <c r="I334" s="70" t="s">
        <v>204</v>
      </c>
      <c r="J334" s="71">
        <f>IF(OR(I334=0,I334=""),"unrated",VLOOKUP(I334,MappingTables!$B$19:$C$31,2,FALSE))</f>
        <v>6</v>
      </c>
      <c r="K334" s="72">
        <v>387.07725090915224</v>
      </c>
      <c r="L334" s="70">
        <v>0.056676180114341512</v>
      </c>
      <c r="M334" s="71">
        <f>IF(L334&lt;1,1,L334)</f>
        <v>1</v>
      </c>
      <c r="N334" s="70" t="s">
        <v>3288</v>
      </c>
      <c r="O334" s="71">
        <f>IF(OR(I334=$A$1,I334=0),"",IF(N334=MappingTables!$C$14,VLOOKUP(J334,ModelParameters!$M$8:$N$15,2,FALSE),IF(N334=MappingTables!$C$16,VLOOKUP(J334,ModelParameters!$P$8:$Q$15,2,FALSE),0)))</f>
        <v>1</v>
      </c>
      <c r="P334" s="73">
        <f>IF(OR(I334=0,I334=$A$1),0,MIN(O334*M334,1)*K334)</f>
        <v>387.07725090915224</v>
      </c>
      <c r="Q334" s="73">
        <f>IF(B334="",0,IF(OR(H334=MappingTables!$C$34,H334=MappingTables!$C$35),P334,0))</f>
        <v>0</v>
      </c>
      <c r="R334" s="73">
        <f>IF(ISNA(IF(AND(VLOOKUP(CONCATENATE($D334,$G334),CSRFinput!$B:$E,4,0)=0,OR(H334=MappingTables!$C$31,H334=MappingTables!$C$32)),1,VLOOKUP(CONCATENATE($D334,$G334),CSRFinput!$B:$E,4,0))),0,IF(AND(VLOOKUP(CONCATENATE($D334,$G334),CSRFinput!$B:$E,4,0)=0,OR(H334=MappingTables!$C$31,H334=MappingTables!$C$32)),1,VLOOKUP(CONCATENATE($D334,$G334),CSRFinput!$B:$E,4,0)))</f>
        <v>0.054776304963434752</v>
      </c>
      <c r="S334" s="73">
        <f>IF(B334="",0,P334*R334)</f>
        <v>21.202661540207676</v>
      </c>
      <c r="T334" s="85">
        <f>IF(B334="",0,IF(OR(H334=MappingTables!$C$34,H334=MappingTables!$C$35),S334,0))</f>
        <v>0</v>
      </c>
    </row>
    <row r="335" spans="2:20" s="0" customFormat="0" ht="15">
      <c r="B335" s="69" t="s">
        <v>3819</v>
      </c>
      <c r="C335" s="70" t="s">
        <v>3820</v>
      </c>
      <c r="D335" s="70" t="s">
        <v>1</v>
      </c>
      <c r="E335" s="70" t="s">
        <v>1</v>
      </c>
      <c r="F335" s="70"/>
      <c r="G335" s="70" t="s">
        <v>61</v>
      </c>
      <c r="H335" s="70" t="s">
        <v>178</v>
      </c>
      <c r="I335" s="70" t="s">
        <v>198</v>
      </c>
      <c r="J335" s="71" t="str">
        <f>IF(OR(I335=0,I335=""),"unrated",VLOOKUP(I335,MappingTables!$B$19:$C$31,2,FALSE))</f>
        <v>unrated</v>
      </c>
      <c r="K335" s="72">
        <v>41.730294703259144</v>
      </c>
      <c r="L335" s="70">
        <v>0.054791459518801</v>
      </c>
      <c r="M335" s="71">
        <f>IF(L335&lt;1,1,L335)</f>
        <v>1</v>
      </c>
      <c r="N335" s="70" t="s">
        <v>3288</v>
      </c>
      <c r="O335" s="71">
        <f>IF(OR(I335=$A$1,I335=0),"",IF(N335=MappingTables!$C$14,VLOOKUP(J335,ModelParameters!$M$8:$N$15,2,FALSE),IF(N335=MappingTables!$C$16,VLOOKUP(J335,ModelParameters!$P$8:$Q$15,2,FALSE),0)))</f>
        <v>1</v>
      </c>
      <c r="P335" s="73">
        <f>IF(OR(I335=0,I335=$A$1),0,MIN(O335*M335,1)*K335)</f>
        <v>41.730294703259144</v>
      </c>
      <c r="Q335" s="73">
        <f>IF(B335="",0,IF(OR(H335=MappingTables!$C$34,H335=MappingTables!$C$35),P335,0))</f>
        <v>0</v>
      </c>
      <c r="R335" s="73">
        <f>IF(ISNA(IF(AND(VLOOKUP(CONCATENATE($D335,$G335),CSRFinput!$B:$E,4,0)=0,OR(H335=MappingTables!$C$31,H335=MappingTables!$C$32)),1,VLOOKUP(CONCATENATE($D335,$G335),CSRFinput!$B:$E,4,0))),0,IF(AND(VLOOKUP(CONCATENATE($D335,$G335),CSRFinput!$B:$E,4,0)=0,OR(H335=MappingTables!$C$31,H335=MappingTables!$C$32)),1,VLOOKUP(CONCATENATE($D335,$G335),CSRFinput!$B:$E,4,0)))</f>
        <v>0.054776304963434752</v>
      </c>
      <c r="S335" s="73">
        <f>IF(B335="",0,P335*R335)</f>
        <v>2.2858313488797288</v>
      </c>
      <c r="T335" s="85">
        <f>IF(B335="",0,IF(OR(H335=MappingTables!$C$34,H335=MappingTables!$C$35),S335,0))</f>
        <v>0</v>
      </c>
    </row>
    <row r="336" spans="2:20" s="0" customFormat="0" ht="15">
      <c r="B336" s="69" t="s">
        <v>3821</v>
      </c>
      <c r="C336" s="70" t="s">
        <v>3822</v>
      </c>
      <c r="D336" s="70" t="s">
        <v>1</v>
      </c>
      <c r="E336" s="70" t="s">
        <v>1</v>
      </c>
      <c r="F336" s="70"/>
      <c r="G336" s="70" t="s">
        <v>61</v>
      </c>
      <c r="H336" s="70" t="s">
        <v>178</v>
      </c>
      <c r="I336" s="70" t="s">
        <v>3298</v>
      </c>
      <c r="J336" s="71">
        <f>IF(OR(I336=0,I336=""),"unrated",VLOOKUP(I336,MappingTables!$B$19:$C$31,2,FALSE))</f>
        <v>6</v>
      </c>
      <c r="K336" s="72">
        <v>17.022759039100994</v>
      </c>
      <c r="L336" s="70">
        <v>-0.94778221535012032</v>
      </c>
      <c r="M336" s="71">
        <f>IF(L336&lt;1,1,L336)</f>
        <v>1</v>
      </c>
      <c r="N336" s="70" t="s">
        <v>3288</v>
      </c>
      <c r="O336" s="71">
        <f>IF(OR(I336=$A$1,I336=0),"",IF(N336=MappingTables!$C$14,VLOOKUP(J336,ModelParameters!$M$8:$N$15,2,FALSE),IF(N336=MappingTables!$C$16,VLOOKUP(J336,ModelParameters!$P$8:$Q$15,2,FALSE),0)))</f>
        <v>1</v>
      </c>
      <c r="P336" s="73">
        <f>IF(OR(I336=0,I336=$A$1),0,MIN(O336*M336,1)*K336)</f>
        <v>17.022759039100994</v>
      </c>
      <c r="Q336" s="73">
        <f>IF(B336="",0,IF(OR(H336=MappingTables!$C$34,H336=MappingTables!$C$35),P336,0))</f>
        <v>0</v>
      </c>
      <c r="R336" s="73">
        <f>IF(ISNA(IF(AND(VLOOKUP(CONCATENATE($D336,$G336),CSRFinput!$B:$E,4,0)=0,OR(H336=MappingTables!$C$31,H336=MappingTables!$C$32)),1,VLOOKUP(CONCATENATE($D336,$G336),CSRFinput!$B:$E,4,0))),0,IF(AND(VLOOKUP(CONCATENATE($D336,$G336),CSRFinput!$B:$E,4,0)=0,OR(H336=MappingTables!$C$31,H336=MappingTables!$C$32)),1,VLOOKUP(CONCATENATE($D336,$G336),CSRFinput!$B:$E,4,0)))</f>
        <v>0.054776304963434752</v>
      </c>
      <c r="S336" s="73">
        <f>IF(B336="",0,P336*R336)</f>
        <v>0.93244384044486144</v>
      </c>
      <c r="T336" s="85">
        <f>IF(B336="",0,IF(OR(H336=MappingTables!$C$34,H336=MappingTables!$C$35),S336,0))</f>
        <v>0</v>
      </c>
    </row>
    <row r="337" spans="2:20" s="0" customFormat="0" ht="15">
      <c r="B337" s="69" t="s">
        <v>3332</v>
      </c>
      <c r="C337" s="70" t="s">
        <v>3333</v>
      </c>
      <c r="D337" s="70" t="s">
        <v>1</v>
      </c>
      <c r="E337" s="70" t="s">
        <v>1</v>
      </c>
      <c r="F337" s="70"/>
      <c r="G337" s="70" t="s">
        <v>61</v>
      </c>
      <c r="H337" s="70" t="s">
        <v>178</v>
      </c>
      <c r="I337" s="70" t="s">
        <v>198</v>
      </c>
      <c r="J337" s="71" t="str">
        <f>IF(OR(I337=0,I337=""),"unrated",VLOOKUP(I337,MappingTables!$B$19:$C$31,2,FALSE))</f>
        <v>unrated</v>
      </c>
      <c r="K337" s="72">
        <v>5276.55513980596</v>
      </c>
      <c r="L337" s="70">
        <v>9.7688267153796896</v>
      </c>
      <c r="M337" s="71">
        <f>IF(L337&lt;1,1,L337)</f>
        <v>9.7688267153796896</v>
      </c>
      <c r="N337" s="70" t="s">
        <v>3288</v>
      </c>
      <c r="O337" s="71">
        <f>IF(OR(I337=$A$1,I337=0),"",IF(N337=MappingTables!$C$14,VLOOKUP(J337,ModelParameters!$M$8:$N$15,2,FALSE),IF(N337=MappingTables!$C$16,VLOOKUP(J337,ModelParameters!$P$8:$Q$15,2,FALSE),0)))</f>
        <v>1</v>
      </c>
      <c r="P337" s="73">
        <f>IF(OR(I337=0,I337=$A$1),0,MIN(O337*M337,1)*K337)</f>
        <v>5276.55513980596</v>
      </c>
      <c r="Q337" s="73">
        <f>IF(B337="",0,IF(OR(H337=MappingTables!$C$34,H337=MappingTables!$C$35),P337,0))</f>
        <v>0</v>
      </c>
      <c r="R337" s="73">
        <f>IF(ISNA(IF(AND(VLOOKUP(CONCATENATE($D337,$G337),CSRFinput!$B:$E,4,0)=0,OR(H337=MappingTables!$C$31,H337=MappingTables!$C$32)),1,VLOOKUP(CONCATENATE($D337,$G337),CSRFinput!$B:$E,4,0))),0,IF(AND(VLOOKUP(CONCATENATE($D337,$G337),CSRFinput!$B:$E,4,0)=0,OR(H337=MappingTables!$C$31,H337=MappingTables!$C$32)),1,VLOOKUP(CONCATENATE($D337,$G337),CSRFinput!$B:$E,4,0)))</f>
        <v>0.054776304963434752</v>
      </c>
      <c r="S337" s="73">
        <f>IF(B337="",0,P337*R337)</f>
        <v>289.03019349439036</v>
      </c>
      <c r="T337" s="85">
        <f>IF(B337="",0,IF(OR(H337=MappingTables!$C$34,H337=MappingTables!$C$35),S337,0))</f>
        <v>0</v>
      </c>
    </row>
    <row r="338" spans="2:20" s="0" customFormat="0" ht="15">
      <c r="B338" s="69" t="s">
        <v>3823</v>
      </c>
      <c r="C338" s="70" t="s">
        <v>3824</v>
      </c>
      <c r="D338" s="70" t="s">
        <v>1</v>
      </c>
      <c r="E338" s="70" t="s">
        <v>1</v>
      </c>
      <c r="F338" s="70"/>
      <c r="G338" s="70" t="s">
        <v>61</v>
      </c>
      <c r="H338" s="70" t="s">
        <v>178</v>
      </c>
      <c r="I338" s="70" t="s">
        <v>184</v>
      </c>
      <c r="J338" s="71">
        <f>IF(OR(I338=0,I338=""),"unrated",VLOOKUP(I338,MappingTables!$B$19:$C$31,2,FALSE))</f>
        <v>5</v>
      </c>
      <c r="K338" s="72">
        <v>437.06270968538936</v>
      </c>
      <c r="L338" s="70">
        <v>-0.018615386519370012</v>
      </c>
      <c r="M338" s="71">
        <f>IF(L338&lt;1,1,L338)</f>
        <v>1</v>
      </c>
      <c r="N338" s="70" t="s">
        <v>3288</v>
      </c>
      <c r="O338" s="71">
        <f>IF(OR(I338=$A$1,I338=0),"",IF(N338=MappingTables!$C$14,VLOOKUP(J338,ModelParameters!$M$8:$N$15,2,FALSE),IF(N338=MappingTables!$C$16,VLOOKUP(J338,ModelParameters!$P$8:$Q$15,2,FALSE),0)))</f>
        <v>1</v>
      </c>
      <c r="P338" s="73">
        <f>IF(OR(I338=0,I338=$A$1),0,MIN(O338*M338,1)*K338)</f>
        <v>437.06270968538936</v>
      </c>
      <c r="Q338" s="73">
        <f>IF(B338="",0,IF(OR(H338=MappingTables!$C$34,H338=MappingTables!$C$35),P338,0))</f>
        <v>0</v>
      </c>
      <c r="R338" s="73">
        <f>IF(ISNA(IF(AND(VLOOKUP(CONCATENATE($D338,$G338),CSRFinput!$B:$E,4,0)=0,OR(H338=MappingTables!$C$31,H338=MappingTables!$C$32)),1,VLOOKUP(CONCATENATE($D338,$G338),CSRFinput!$B:$E,4,0))),0,IF(AND(VLOOKUP(CONCATENATE($D338,$G338),CSRFinput!$B:$E,4,0)=0,OR(H338=MappingTables!$C$31,H338=MappingTables!$C$32)),1,VLOOKUP(CONCATENATE($D338,$G338),CSRFinput!$B:$E,4,0)))</f>
        <v>0.054776304963434752</v>
      </c>
      <c r="S338" s="73">
        <f>IF(B338="",0,P338*R338)</f>
        <v>23.940680273872032</v>
      </c>
      <c r="T338" s="85">
        <f>IF(B338="",0,IF(OR(H338=MappingTables!$C$34,H338=MappingTables!$C$35),S338,0))</f>
        <v>0</v>
      </c>
    </row>
    <row r="339" spans="2:20" s="0" customFormat="0" ht="15">
      <c r="B339" s="69" t="s">
        <v>3825</v>
      </c>
      <c r="C339" s="70" t="s">
        <v>3826</v>
      </c>
      <c r="D339" s="70" t="s">
        <v>1</v>
      </c>
      <c r="E339" s="70" t="s">
        <v>1</v>
      </c>
      <c r="F339" s="70"/>
      <c r="G339" s="70" t="s">
        <v>61</v>
      </c>
      <c r="H339" s="70" t="s">
        <v>178</v>
      </c>
      <c r="I339" s="70" t="s">
        <v>198</v>
      </c>
      <c r="J339" s="71" t="str">
        <f>IF(OR(I339=0,I339=""),"unrated",VLOOKUP(I339,MappingTables!$B$19:$C$31,2,FALSE))</f>
        <v>unrated</v>
      </c>
      <c r="K339" s="72">
        <v>56.471783528054888</v>
      </c>
      <c r="L339" s="70">
        <v>0.068489617477923256</v>
      </c>
      <c r="M339" s="71">
        <f>IF(L339&lt;1,1,L339)</f>
        <v>1</v>
      </c>
      <c r="N339" s="70" t="s">
        <v>3288</v>
      </c>
      <c r="O339" s="71">
        <f>IF(OR(I339=$A$1,I339=0),"",IF(N339=MappingTables!$C$14,VLOOKUP(J339,ModelParameters!$M$8:$N$15,2,FALSE),IF(N339=MappingTables!$C$16,VLOOKUP(J339,ModelParameters!$P$8:$Q$15,2,FALSE),0)))</f>
        <v>1</v>
      </c>
      <c r="P339" s="73">
        <f>IF(OR(I339=0,I339=$A$1),0,MIN(O339*M339,1)*K339)</f>
        <v>56.471783528054888</v>
      </c>
      <c r="Q339" s="73">
        <f>IF(B339="",0,IF(OR(H339=MappingTables!$C$34,H339=MappingTables!$C$35),P339,0))</f>
        <v>0</v>
      </c>
      <c r="R339" s="73">
        <f>IF(ISNA(IF(AND(VLOOKUP(CONCATENATE($D339,$G339),CSRFinput!$B:$E,4,0)=0,OR(H339=MappingTables!$C$31,H339=MappingTables!$C$32)),1,VLOOKUP(CONCATENATE($D339,$G339),CSRFinput!$B:$E,4,0))),0,IF(AND(VLOOKUP(CONCATENATE($D339,$G339),CSRFinput!$B:$E,4,0)=0,OR(H339=MappingTables!$C$31,H339=MappingTables!$C$32)),1,VLOOKUP(CONCATENATE($D339,$G339),CSRFinput!$B:$E,4,0)))</f>
        <v>0.054776304963434752</v>
      </c>
      <c r="S339" s="73">
        <f>IF(B339="",0,P339*R339)</f>
        <v>3.093315636361806</v>
      </c>
      <c r="T339" s="85">
        <f>IF(B339="",0,IF(OR(H339=MappingTables!$C$34,H339=MappingTables!$C$35),S339,0))</f>
        <v>0</v>
      </c>
    </row>
    <row r="340" spans="2:20" s="0" customFormat="0" ht="15">
      <c r="B340" s="69">
        <v>22554335</v>
      </c>
      <c r="C340" s="70" t="s">
        <v>3827</v>
      </c>
      <c r="D340" s="70" t="s">
        <v>1</v>
      </c>
      <c r="E340" s="70" t="s">
        <v>1</v>
      </c>
      <c r="F340" s="70"/>
      <c r="G340" s="70" t="s">
        <v>61</v>
      </c>
      <c r="H340" s="70" t="s">
        <v>178</v>
      </c>
      <c r="I340" s="70" t="s">
        <v>216</v>
      </c>
      <c r="J340" s="71">
        <f>IF(OR(I340=0,I340=""),"unrated",VLOOKUP(I340,MappingTables!$B$19:$C$31,2,FALSE))</f>
        <v>0</v>
      </c>
      <c r="K340" s="72">
        <v>8.2926368909609872</v>
      </c>
      <c r="L340" s="70">
        <v>0.033537786486917096</v>
      </c>
      <c r="M340" s="71">
        <f>IF(L340&lt;1,1,L340)</f>
        <v>1</v>
      </c>
      <c r="N340" s="70" t="s">
        <v>3288</v>
      </c>
      <c r="O340" s="71">
        <f>IF(OR(I340=$A$1,I340=0),"",IF(N340=MappingTables!$C$14,VLOOKUP(J340,ModelParameters!$M$8:$N$15,2,FALSE),IF(N340=MappingTables!$C$16,VLOOKUP(J340,ModelParameters!$P$8:$Q$15,2,FALSE),0)))</f>
        <v>0.125</v>
      </c>
      <c r="P340" s="73">
        <f>IF(OR(I340=0,I340=$A$1),0,MIN(O340*M340,1)*K340)</f>
        <v>1.0365796113701234</v>
      </c>
      <c r="Q340" s="73">
        <f>IF(B340="",0,IF(OR(H340=MappingTables!$C$34,H340=MappingTables!$C$35),P340,0))</f>
        <v>0</v>
      </c>
      <c r="R340" s="73">
        <f>IF(ISNA(IF(AND(VLOOKUP(CONCATENATE($D340,$G340),CSRFinput!$B:$E,4,0)=0,OR(H340=MappingTables!$C$31,H340=MappingTables!$C$32)),1,VLOOKUP(CONCATENATE($D340,$G340),CSRFinput!$B:$E,4,0))),0,IF(AND(VLOOKUP(CONCATENATE($D340,$G340),CSRFinput!$B:$E,4,0)=0,OR(H340=MappingTables!$C$31,H340=MappingTables!$C$32)),1,VLOOKUP(CONCATENATE($D340,$G340),CSRFinput!$B:$E,4,0)))</f>
        <v>0.054776304963434752</v>
      </c>
      <c r="S340" s="73">
        <f>IF(B340="",0,P340*R340)</f>
        <v>0.056780000911288552</v>
      </c>
      <c r="T340" s="85">
        <f>IF(B340="",0,IF(OR(H340=MappingTables!$C$34,H340=MappingTables!$C$35),S340,0))</f>
        <v>0</v>
      </c>
    </row>
    <row r="341" spans="2:20" s="0" customFormat="0" ht="15">
      <c r="B341" s="69" t="s">
        <v>3828</v>
      </c>
      <c r="C341" s="70" t="s">
        <v>3829</v>
      </c>
      <c r="D341" s="70" t="s">
        <v>1</v>
      </c>
      <c r="E341" s="70" t="s">
        <v>1</v>
      </c>
      <c r="F341" s="70"/>
      <c r="G341" s="70" t="s">
        <v>61</v>
      </c>
      <c r="H341" s="70" t="s">
        <v>178</v>
      </c>
      <c r="I341" s="70" t="s">
        <v>198</v>
      </c>
      <c r="J341" s="71" t="str">
        <f>IF(OR(I341=0,I341=""),"unrated",VLOOKUP(I341,MappingTables!$B$19:$C$31,2,FALSE))</f>
        <v>unrated</v>
      </c>
      <c r="K341" s="72">
        <v>24309.592515213244</v>
      </c>
      <c r="L341" s="70">
        <v>41.406422835705624</v>
      </c>
      <c r="M341" s="71">
        <f>IF(L341&lt;1,1,L341)</f>
        <v>41.406422835705624</v>
      </c>
      <c r="N341" s="70" t="s">
        <v>3288</v>
      </c>
      <c r="O341" s="71">
        <f>IF(OR(I341=$A$1,I341=0),"",IF(N341=MappingTables!$C$14,VLOOKUP(J341,ModelParameters!$M$8:$N$15,2,FALSE),IF(N341=MappingTables!$C$16,VLOOKUP(J341,ModelParameters!$P$8:$Q$15,2,FALSE),0)))</f>
        <v>1</v>
      </c>
      <c r="P341" s="73">
        <f>IF(OR(I341=0,I341=$A$1),0,MIN(O341*M341,1)*K341)</f>
        <v>24309.592515213244</v>
      </c>
      <c r="Q341" s="73">
        <f>IF(B341="",0,IF(OR(H341=MappingTables!$C$34,H341=MappingTables!$C$35),P341,0))</f>
        <v>0</v>
      </c>
      <c r="R341" s="73">
        <f>IF(ISNA(IF(AND(VLOOKUP(CONCATENATE($D341,$G341),CSRFinput!$B:$E,4,0)=0,OR(H341=MappingTables!$C$31,H341=MappingTables!$C$32)),1,VLOOKUP(CONCATENATE($D341,$G341),CSRFinput!$B:$E,4,0))),0,IF(AND(VLOOKUP(CONCATENATE($D341,$G341),CSRFinput!$B:$E,4,0)=0,OR(H341=MappingTables!$C$31,H341=MappingTables!$C$32)),1,VLOOKUP(CONCATENATE($D341,$G341),CSRFinput!$B:$E,4,0)))</f>
        <v>0.054776304963434752</v>
      </c>
      <c r="S341" s="73">
        <f>IF(B341="",0,P341*R341)</f>
        <v>1331.5896531501516</v>
      </c>
      <c r="T341" s="85">
        <f>IF(B341="",0,IF(OR(H341=MappingTables!$C$34,H341=MappingTables!$C$35),S341,0))</f>
        <v>0</v>
      </c>
    </row>
    <row r="342" spans="2:20" s="0" customFormat="0" ht="15">
      <c r="B342" s="69" t="s">
        <v>3830</v>
      </c>
      <c r="C342" s="70" t="s">
        <v>3831</v>
      </c>
      <c r="D342" s="70" t="s">
        <v>1</v>
      </c>
      <c r="E342" s="70" t="s">
        <v>1</v>
      </c>
      <c r="F342" s="70"/>
      <c r="G342" s="70" t="s">
        <v>61</v>
      </c>
      <c r="H342" s="70" t="s">
        <v>178</v>
      </c>
      <c r="I342" s="70" t="s">
        <v>3298</v>
      </c>
      <c r="J342" s="71">
        <f>IF(OR(I342=0,I342=""),"unrated",VLOOKUP(I342,MappingTables!$B$19:$C$31,2,FALSE))</f>
        <v>6</v>
      </c>
      <c r="K342" s="72">
        <v>163.99458425810878</v>
      </c>
      <c r="L342" s="70">
        <v>0.068498057472022272</v>
      </c>
      <c r="M342" s="71">
        <f>IF(L342&lt;1,1,L342)</f>
        <v>1</v>
      </c>
      <c r="N342" s="70" t="s">
        <v>3288</v>
      </c>
      <c r="O342" s="71">
        <f>IF(OR(I342=$A$1,I342=0),"",IF(N342=MappingTables!$C$14,VLOOKUP(J342,ModelParameters!$M$8:$N$15,2,FALSE),IF(N342=MappingTables!$C$16,VLOOKUP(J342,ModelParameters!$P$8:$Q$15,2,FALSE),0)))</f>
        <v>1</v>
      </c>
      <c r="P342" s="73">
        <f>IF(OR(I342=0,I342=$A$1),0,MIN(O342*M342,1)*K342)</f>
        <v>163.99458425810878</v>
      </c>
      <c r="Q342" s="73">
        <f>IF(B342="",0,IF(OR(H342=MappingTables!$C$34,H342=MappingTables!$C$35),P342,0))</f>
        <v>0</v>
      </c>
      <c r="R342" s="73">
        <f>IF(ISNA(IF(AND(VLOOKUP(CONCATENATE($D342,$G342),CSRFinput!$B:$E,4,0)=0,OR(H342=MappingTables!$C$31,H342=MappingTables!$C$32)),1,VLOOKUP(CONCATENATE($D342,$G342),CSRFinput!$B:$E,4,0))),0,IF(AND(VLOOKUP(CONCATENATE($D342,$G342),CSRFinput!$B:$E,4,0)=0,OR(H342=MappingTables!$C$31,H342=MappingTables!$C$32)),1,VLOOKUP(CONCATENATE($D342,$G342),CSRFinput!$B:$E,4,0)))</f>
        <v>0.054776304963434752</v>
      </c>
      <c r="S342" s="73">
        <f>IF(B342="",0,P342*R342)</f>
        <v>8.9830173596738624</v>
      </c>
      <c r="T342" s="85">
        <f>IF(B342="",0,IF(OR(H342=MappingTables!$C$34,H342=MappingTables!$C$35),S342,0))</f>
        <v>0</v>
      </c>
    </row>
    <row r="343" spans="2:20" s="0" customFormat="0" ht="15">
      <c r="B343" s="69" t="s">
        <v>3832</v>
      </c>
      <c r="C343" s="70" t="s">
        <v>3833</v>
      </c>
      <c r="D343" s="70" t="s">
        <v>1</v>
      </c>
      <c r="E343" s="70" t="s">
        <v>1</v>
      </c>
      <c r="F343" s="70"/>
      <c r="G343" s="70" t="s">
        <v>61</v>
      </c>
      <c r="H343" s="70" t="s">
        <v>178</v>
      </c>
      <c r="I343" s="70" t="s">
        <v>198</v>
      </c>
      <c r="J343" s="71" t="str">
        <f>IF(OR(I343=0,I343=""),"unrated",VLOOKUP(I343,MappingTables!$B$19:$C$31,2,FALSE))</f>
        <v>unrated</v>
      </c>
      <c r="K343" s="72">
        <v>12952.966377015428</v>
      </c>
      <c r="L343" s="70">
        <v>9.7330926191157744</v>
      </c>
      <c r="M343" s="71">
        <f>IF(L343&lt;1,1,L343)</f>
        <v>9.7330926191157744</v>
      </c>
      <c r="N343" s="70" t="s">
        <v>3288</v>
      </c>
      <c r="O343" s="71">
        <f>IF(OR(I343=$A$1,I343=0),"",IF(N343=MappingTables!$C$14,VLOOKUP(J343,ModelParameters!$M$8:$N$15,2,FALSE),IF(N343=MappingTables!$C$16,VLOOKUP(J343,ModelParameters!$P$8:$Q$15,2,FALSE),0)))</f>
        <v>1</v>
      </c>
      <c r="P343" s="73">
        <f>IF(OR(I343=0,I343=$A$1),0,MIN(O343*M343,1)*K343)</f>
        <v>12952.966377015428</v>
      </c>
      <c r="Q343" s="73">
        <f>IF(B343="",0,IF(OR(H343=MappingTables!$C$34,H343=MappingTables!$C$35),P343,0))</f>
        <v>0</v>
      </c>
      <c r="R343" s="73">
        <f>IF(ISNA(IF(AND(VLOOKUP(CONCATENATE($D343,$G343),CSRFinput!$B:$E,4,0)=0,OR(H343=MappingTables!$C$31,H343=MappingTables!$C$32)),1,VLOOKUP(CONCATENATE($D343,$G343),CSRFinput!$B:$E,4,0))),0,IF(AND(VLOOKUP(CONCATENATE($D343,$G343),CSRFinput!$B:$E,4,0)=0,OR(H343=MappingTables!$C$31,H343=MappingTables!$C$32)),1,VLOOKUP(CONCATENATE($D343,$G343),CSRFinput!$B:$E,4,0)))</f>
        <v>0.054776304963434752</v>
      </c>
      <c r="S343" s="73">
        <f>IF(B343="",0,P343*R343)</f>
        <v>709.51563644851368</v>
      </c>
      <c r="T343" s="85">
        <f>IF(B343="",0,IF(OR(H343=MappingTables!$C$34,H343=MappingTables!$C$35),S343,0))</f>
        <v>0</v>
      </c>
    </row>
    <row r="344" spans="2:20" s="0" customFormat="0" ht="15">
      <c r="B344" s="69">
        <v>8842287</v>
      </c>
      <c r="C344" s="70" t="s">
        <v>3834</v>
      </c>
      <c r="D344" s="70" t="s">
        <v>1</v>
      </c>
      <c r="E344" s="70" t="s">
        <v>1</v>
      </c>
      <c r="F344" s="70"/>
      <c r="G344" s="70" t="s">
        <v>61</v>
      </c>
      <c r="H344" s="70" t="s">
        <v>178</v>
      </c>
      <c r="I344" s="70" t="s">
        <v>216</v>
      </c>
      <c r="J344" s="71">
        <f>IF(OR(I344=0,I344=""),"unrated",VLOOKUP(I344,MappingTables!$B$19:$C$31,2,FALSE))</f>
        <v>0</v>
      </c>
      <c r="K344" s="72">
        <v>1363.6337397044142</v>
      </c>
      <c r="L344" s="70">
        <v>0.056694061696421544</v>
      </c>
      <c r="M344" s="71">
        <f>IF(L344&lt;1,1,L344)</f>
        <v>1</v>
      </c>
      <c r="N344" s="70" t="s">
        <v>3288</v>
      </c>
      <c r="O344" s="71">
        <f>IF(OR(I344=$A$1,I344=0),"",IF(N344=MappingTables!$C$14,VLOOKUP(J344,ModelParameters!$M$8:$N$15,2,FALSE),IF(N344=MappingTables!$C$16,VLOOKUP(J344,ModelParameters!$P$8:$Q$15,2,FALSE),0)))</f>
        <v>0.125</v>
      </c>
      <c r="P344" s="73">
        <f>IF(OR(I344=0,I344=$A$1),0,MIN(O344*M344,1)*K344)</f>
        <v>170.45421746305178</v>
      </c>
      <c r="Q344" s="73">
        <f>IF(B344="",0,IF(OR(H344=MappingTables!$C$34,H344=MappingTables!$C$35),P344,0))</f>
        <v>0</v>
      </c>
      <c r="R344" s="73">
        <f>IF(ISNA(IF(AND(VLOOKUP(CONCATENATE($D344,$G344),CSRFinput!$B:$E,4,0)=0,OR(H344=MappingTables!$C$31,H344=MappingTables!$C$32)),1,VLOOKUP(CONCATENATE($D344,$G344),CSRFinput!$B:$E,4,0))),0,IF(AND(VLOOKUP(CONCATENATE($D344,$G344),CSRFinput!$B:$E,4,0)=0,OR(H344=MappingTables!$C$31,H344=MappingTables!$C$32)),1,VLOOKUP(CONCATENATE($D344,$G344),CSRFinput!$B:$E,4,0)))</f>
        <v>0.054776304963434752</v>
      </c>
      <c r="S344" s="73">
        <f>IF(B344="",0,P344*R344)</f>
        <v>9.3368521980597504</v>
      </c>
      <c r="T344" s="85">
        <f>IF(B344="",0,IF(OR(H344=MappingTables!$C$34,H344=MappingTables!$C$35),S344,0))</f>
        <v>0</v>
      </c>
    </row>
    <row r="345" spans="2:20" s="0" customFormat="0" ht="15">
      <c r="B345" s="69" t="s">
        <v>3835</v>
      </c>
      <c r="C345" s="70" t="s">
        <v>3836</v>
      </c>
      <c r="D345" s="70" t="s">
        <v>1</v>
      </c>
      <c r="E345" s="70" t="s">
        <v>1</v>
      </c>
      <c r="F345" s="70"/>
      <c r="G345" s="70" t="s">
        <v>61</v>
      </c>
      <c r="H345" s="70" t="s">
        <v>178</v>
      </c>
      <c r="I345" s="70" t="s">
        <v>184</v>
      </c>
      <c r="J345" s="71">
        <f>IF(OR(I345=0,I345=""),"unrated",VLOOKUP(I345,MappingTables!$B$19:$C$31,2,FALSE))</f>
        <v>5</v>
      </c>
      <c r="K345" s="72">
        <v>1.3724500770240784</v>
      </c>
      <c r="L345" s="70">
        <v>0.068491891611447864</v>
      </c>
      <c r="M345" s="71">
        <f>IF(L345&lt;1,1,L345)</f>
        <v>1</v>
      </c>
      <c r="N345" s="70" t="s">
        <v>3288</v>
      </c>
      <c r="O345" s="71">
        <f>IF(OR(I345=$A$1,I345=0),"",IF(N345=MappingTables!$C$14,VLOOKUP(J345,ModelParameters!$M$8:$N$15,2,FALSE),IF(N345=MappingTables!$C$16,VLOOKUP(J345,ModelParameters!$P$8:$Q$15,2,FALSE),0)))</f>
        <v>1</v>
      </c>
      <c r="P345" s="73">
        <f>IF(OR(I345=0,I345=$A$1),0,MIN(O345*M345,1)*K345)</f>
        <v>1.3724500770240784</v>
      </c>
      <c r="Q345" s="73">
        <f>IF(B345="",0,IF(OR(H345=MappingTables!$C$34,H345=MappingTables!$C$35),P345,0))</f>
        <v>0</v>
      </c>
      <c r="R345" s="73">
        <f>IF(ISNA(IF(AND(VLOOKUP(CONCATENATE($D345,$G345),CSRFinput!$B:$E,4,0)=0,OR(H345=MappingTables!$C$31,H345=MappingTables!$C$32)),1,VLOOKUP(CONCATENATE($D345,$G345),CSRFinput!$B:$E,4,0))),0,IF(AND(VLOOKUP(CONCATENATE($D345,$G345),CSRFinput!$B:$E,4,0)=0,OR(H345=MappingTables!$C$31,H345=MappingTables!$C$32)),1,VLOOKUP(CONCATENATE($D345,$G345),CSRFinput!$B:$E,4,0)))</f>
        <v>0.054776304963434752</v>
      </c>
      <c r="S345" s="73">
        <f>IF(B345="",0,P345*R345)</f>
        <v>0.075177743966160432</v>
      </c>
      <c r="T345" s="85">
        <f>IF(B345="",0,IF(OR(H345=MappingTables!$C$34,H345=MappingTables!$C$35),S345,0))</f>
        <v>0</v>
      </c>
    </row>
    <row r="346" spans="2:20" s="0" customFormat="0" ht="15">
      <c r="B346" s="69" t="s">
        <v>3549</v>
      </c>
      <c r="C346" s="70" t="s">
        <v>3550</v>
      </c>
      <c r="D346" s="70" t="s">
        <v>1</v>
      </c>
      <c r="E346" s="70" t="s">
        <v>1</v>
      </c>
      <c r="F346" s="70"/>
      <c r="G346" s="70" t="s">
        <v>61</v>
      </c>
      <c r="H346" s="70" t="s">
        <v>178</v>
      </c>
      <c r="I346" s="70" t="s">
        <v>198</v>
      </c>
      <c r="J346" s="71" t="str">
        <f>IF(OR(I346=0,I346=""),"unrated",VLOOKUP(I346,MappingTables!$B$19:$C$31,2,FALSE))</f>
        <v>unrated</v>
      </c>
      <c r="K346" s="72">
        <v>942.18071735443216</v>
      </c>
      <c r="L346" s="70">
        <v>22.444274472381232</v>
      </c>
      <c r="M346" s="71">
        <f>IF(L346&lt;1,1,L346)</f>
        <v>22.444274472381232</v>
      </c>
      <c r="N346" s="70" t="s">
        <v>3288</v>
      </c>
      <c r="O346" s="71">
        <f>IF(OR(I346=$A$1,I346=0),"",IF(N346=MappingTables!$C$14,VLOOKUP(J346,ModelParameters!$M$8:$N$15,2,FALSE),IF(N346=MappingTables!$C$16,VLOOKUP(J346,ModelParameters!$P$8:$Q$15,2,FALSE),0)))</f>
        <v>1</v>
      </c>
      <c r="P346" s="73">
        <f>IF(OR(I346=0,I346=$A$1),0,MIN(O346*M346,1)*K346)</f>
        <v>942.18071735443216</v>
      </c>
      <c r="Q346" s="73">
        <f>IF(B346="",0,IF(OR(H346=MappingTables!$C$34,H346=MappingTables!$C$35),P346,0))</f>
        <v>0</v>
      </c>
      <c r="R346" s="73">
        <f>IF(ISNA(IF(AND(VLOOKUP(CONCATENATE($D346,$G346),CSRFinput!$B:$E,4,0)=0,OR(H346=MappingTables!$C$31,H346=MappingTables!$C$32)),1,VLOOKUP(CONCATENATE($D346,$G346),CSRFinput!$B:$E,4,0))),0,IF(AND(VLOOKUP(CONCATENATE($D346,$G346),CSRFinput!$B:$E,4,0)=0,OR(H346=MappingTables!$C$31,H346=MappingTables!$C$32)),1,VLOOKUP(CONCATENATE($D346,$G346),CSRFinput!$B:$E,4,0)))</f>
        <v>0.054776304963434752</v>
      </c>
      <c r="S346" s="73">
        <f>IF(B346="",0,P346*R346)</f>
        <v>51.609178304474096</v>
      </c>
      <c r="T346" s="85">
        <f>IF(B346="",0,IF(OR(H346=MappingTables!$C$34,H346=MappingTables!$C$35),S346,0))</f>
        <v>0</v>
      </c>
    </row>
    <row r="347" spans="2:20" s="0" customFormat="0" ht="15">
      <c r="B347" s="69" t="s">
        <v>3837</v>
      </c>
      <c r="C347" s="70" t="s">
        <v>3838</v>
      </c>
      <c r="D347" s="70" t="s">
        <v>1</v>
      </c>
      <c r="E347" s="70" t="s">
        <v>1</v>
      </c>
      <c r="F347" s="70"/>
      <c r="G347" s="70" t="s">
        <v>61</v>
      </c>
      <c r="H347" s="70" t="s">
        <v>178</v>
      </c>
      <c r="I347" s="70" t="s">
        <v>3298</v>
      </c>
      <c r="J347" s="71">
        <f>IF(OR(I347=0,I347=""),"unrated",VLOOKUP(I347,MappingTables!$B$19:$C$31,2,FALSE))</f>
        <v>6</v>
      </c>
      <c r="K347" s="72">
        <v>595.83722423119512</v>
      </c>
      <c r="L347" s="70">
        <v>0.012864359955814336</v>
      </c>
      <c r="M347" s="71">
        <f>IF(L347&lt;1,1,L347)</f>
        <v>1</v>
      </c>
      <c r="N347" s="70" t="s">
        <v>3288</v>
      </c>
      <c r="O347" s="71">
        <f>IF(OR(I347=$A$1,I347=0),"",IF(N347=MappingTables!$C$14,VLOOKUP(J347,ModelParameters!$M$8:$N$15,2,FALSE),IF(N347=MappingTables!$C$16,VLOOKUP(J347,ModelParameters!$P$8:$Q$15,2,FALSE),0)))</f>
        <v>1</v>
      </c>
      <c r="P347" s="73">
        <f>IF(OR(I347=0,I347=$A$1),0,MIN(O347*M347,1)*K347)</f>
        <v>595.83722423119512</v>
      </c>
      <c r="Q347" s="73">
        <f>IF(B347="",0,IF(OR(H347=MappingTables!$C$34,H347=MappingTables!$C$35),P347,0))</f>
        <v>0</v>
      </c>
      <c r="R347" s="73">
        <f>IF(ISNA(IF(AND(VLOOKUP(CONCATENATE($D347,$G347),CSRFinput!$B:$E,4,0)=0,OR(H347=MappingTables!$C$31,H347=MappingTables!$C$32)),1,VLOOKUP(CONCATENATE($D347,$G347),CSRFinput!$B:$E,4,0))),0,IF(AND(VLOOKUP(CONCATENATE($D347,$G347),CSRFinput!$B:$E,4,0)=0,OR(H347=MappingTables!$C$31,H347=MappingTables!$C$32)),1,VLOOKUP(CONCATENATE($D347,$G347),CSRFinput!$B:$E,4,0)))</f>
        <v>0.054776304963434752</v>
      </c>
      <c r="S347" s="73">
        <f>IF(B347="",0,P347*R347)</f>
        <v>32.6377615030544</v>
      </c>
      <c r="T347" s="85">
        <f>IF(B347="",0,IF(OR(H347=MappingTables!$C$34,H347=MappingTables!$C$35),S347,0))</f>
        <v>0</v>
      </c>
    </row>
    <row r="348" spans="2:20" s="0" customFormat="0" ht="15">
      <c r="B348" s="69">
        <v>21301590</v>
      </c>
      <c r="C348" s="70" t="s">
        <v>3839</v>
      </c>
      <c r="D348" s="70" t="s">
        <v>1</v>
      </c>
      <c r="E348" s="70" t="s">
        <v>1</v>
      </c>
      <c r="F348" s="70"/>
      <c r="G348" s="70" t="s">
        <v>61</v>
      </c>
      <c r="H348" s="70" t="s">
        <v>178</v>
      </c>
      <c r="I348" s="70" t="s">
        <v>216</v>
      </c>
      <c r="J348" s="71">
        <f>IF(OR(I348=0,I348=""),"unrated",VLOOKUP(I348,MappingTables!$B$19:$C$31,2,FALSE))</f>
        <v>0</v>
      </c>
      <c r="K348" s="72">
        <v>1583.3455494772914</v>
      </c>
      <c r="L348" s="70">
        <v>0.063926578327911056</v>
      </c>
      <c r="M348" s="71">
        <f>IF(L348&lt;1,1,L348)</f>
        <v>1</v>
      </c>
      <c r="N348" s="70" t="s">
        <v>3288</v>
      </c>
      <c r="O348" s="71">
        <f>IF(OR(I348=$A$1,I348=0),"",IF(N348=MappingTables!$C$14,VLOOKUP(J348,ModelParameters!$M$8:$N$15,2,FALSE),IF(N348=MappingTables!$C$16,VLOOKUP(J348,ModelParameters!$P$8:$Q$15,2,FALSE),0)))</f>
        <v>0.125</v>
      </c>
      <c r="P348" s="73">
        <f>IF(OR(I348=0,I348=$A$1),0,MIN(O348*M348,1)*K348)</f>
        <v>197.9181936846614</v>
      </c>
      <c r="Q348" s="73">
        <f>IF(B348="",0,IF(OR(H348=MappingTables!$C$34,H348=MappingTables!$C$35),P348,0))</f>
        <v>0</v>
      </c>
      <c r="R348" s="73">
        <f>IF(ISNA(IF(AND(VLOOKUP(CONCATENATE($D348,$G348),CSRFinput!$B:$E,4,0)=0,OR(H348=MappingTables!$C$31,H348=MappingTables!$C$32)),1,VLOOKUP(CONCATENATE($D348,$G348),CSRFinput!$B:$E,4,0))),0,IF(AND(VLOOKUP(CONCATENATE($D348,$G348),CSRFinput!$B:$E,4,0)=0,OR(H348=MappingTables!$C$31,H348=MappingTables!$C$32)),1,VLOOKUP(CONCATENATE($D348,$G348),CSRFinput!$B:$E,4,0)))</f>
        <v>0.054776304963434752</v>
      </c>
      <c r="S348" s="73">
        <f>IF(B348="",0,P348*R348)</f>
        <v>10.84122733508316</v>
      </c>
      <c r="T348" s="85">
        <f>IF(B348="",0,IF(OR(H348=MappingTables!$C$34,H348=MappingTables!$C$35),S348,0))</f>
        <v>0</v>
      </c>
    </row>
    <row r="349" spans="2:20" s="0" customFormat="0" ht="15">
      <c r="B349" s="69" t="s">
        <v>3326</v>
      </c>
      <c r="C349" s="70" t="s">
        <v>3327</v>
      </c>
      <c r="D349" s="70" t="s">
        <v>1</v>
      </c>
      <c r="E349" s="70" t="s">
        <v>1</v>
      </c>
      <c r="F349" s="70"/>
      <c r="G349" s="70" t="s">
        <v>61</v>
      </c>
      <c r="H349" s="70" t="s">
        <v>178</v>
      </c>
      <c r="I349" s="70" t="s">
        <v>3291</v>
      </c>
      <c r="J349" s="71">
        <f>IF(OR(I349=0,I349=""),"unrated",VLOOKUP(I349,MappingTables!$B$19:$C$31,2,FALSE))</f>
        <v>6</v>
      </c>
      <c r="K349" s="72">
        <v>501.24811499216784</v>
      </c>
      <c r="L349" s="70">
        <v>1.1954658380523288</v>
      </c>
      <c r="M349" s="71">
        <f>IF(L349&lt;1,1,L349)</f>
        <v>1.1954658380523288</v>
      </c>
      <c r="N349" s="70" t="s">
        <v>3288</v>
      </c>
      <c r="O349" s="71">
        <f>IF(OR(I349=$A$1,I349=0),"",IF(N349=MappingTables!$C$14,VLOOKUP(J349,ModelParameters!$M$8:$N$15,2,FALSE),IF(N349=MappingTables!$C$16,VLOOKUP(J349,ModelParameters!$P$8:$Q$15,2,FALSE),0)))</f>
        <v>1</v>
      </c>
      <c r="P349" s="73">
        <f>IF(OR(I349=0,I349=$A$1),0,MIN(O349*M349,1)*K349)</f>
        <v>501.24811499216784</v>
      </c>
      <c r="Q349" s="73">
        <f>IF(B349="",0,IF(OR(H349=MappingTables!$C$34,H349=MappingTables!$C$35),P349,0))</f>
        <v>0</v>
      </c>
      <c r="R349" s="73">
        <f>IF(ISNA(IF(AND(VLOOKUP(CONCATENATE($D349,$G349),CSRFinput!$B:$E,4,0)=0,OR(H349=MappingTables!$C$31,H349=MappingTables!$C$32)),1,VLOOKUP(CONCATENATE($D349,$G349),CSRFinput!$B:$E,4,0))),0,IF(AND(VLOOKUP(CONCATENATE($D349,$G349),CSRFinput!$B:$E,4,0)=0,OR(H349=MappingTables!$C$31,H349=MappingTables!$C$32)),1,VLOOKUP(CONCATENATE($D349,$G349),CSRFinput!$B:$E,4,0)))</f>
        <v>0.054776304963434752</v>
      </c>
      <c r="S349" s="73">
        <f>IF(B349="",0,P349*R349)</f>
        <v>27.456519609157796</v>
      </c>
      <c r="T349" s="85">
        <f>IF(B349="",0,IF(OR(H349=MappingTables!$C$34,H349=MappingTables!$C$35),S349,0))</f>
        <v>0</v>
      </c>
    </row>
    <row r="350" spans="2:20" s="0" customFormat="0" ht="15">
      <c r="B350" s="69" t="s">
        <v>3840</v>
      </c>
      <c r="C350" s="70" t="s">
        <v>3841</v>
      </c>
      <c r="D350" s="70" t="s">
        <v>1</v>
      </c>
      <c r="E350" s="70" t="s">
        <v>1</v>
      </c>
      <c r="F350" s="70"/>
      <c r="G350" s="70" t="s">
        <v>61</v>
      </c>
      <c r="H350" s="70" t="s">
        <v>178</v>
      </c>
      <c r="I350" s="70" t="s">
        <v>216</v>
      </c>
      <c r="J350" s="71">
        <f>IF(OR(I350=0,I350=""),"unrated",VLOOKUP(I350,MappingTables!$B$19:$C$31,2,FALSE))</f>
        <v>0</v>
      </c>
      <c r="K350" s="72">
        <v>816.77275868824064</v>
      </c>
      <c r="L350" s="70">
        <v>0.041093414998730968</v>
      </c>
      <c r="M350" s="71">
        <f>IF(L350&lt;1,1,L350)</f>
        <v>1</v>
      </c>
      <c r="N350" s="70" t="s">
        <v>3288</v>
      </c>
      <c r="O350" s="71">
        <f>IF(OR(I350=$A$1,I350=0),"",IF(N350=MappingTables!$C$14,VLOOKUP(J350,ModelParameters!$M$8:$N$15,2,FALSE),IF(N350=MappingTables!$C$16,VLOOKUP(J350,ModelParameters!$P$8:$Q$15,2,FALSE),0)))</f>
        <v>0.125</v>
      </c>
      <c r="P350" s="73">
        <f>IF(OR(I350=0,I350=$A$1),0,MIN(O350*M350,1)*K350)</f>
        <v>102.09659483603008</v>
      </c>
      <c r="Q350" s="73">
        <f>IF(B350="",0,IF(OR(H350=MappingTables!$C$34,H350=MappingTables!$C$35),P350,0))</f>
        <v>0</v>
      </c>
      <c r="R350" s="73">
        <f>IF(ISNA(IF(AND(VLOOKUP(CONCATENATE($D350,$G350),CSRFinput!$B:$E,4,0)=0,OR(H350=MappingTables!$C$31,H350=MappingTables!$C$32)),1,VLOOKUP(CONCATENATE($D350,$G350),CSRFinput!$B:$E,4,0))),0,IF(AND(VLOOKUP(CONCATENATE($D350,$G350),CSRFinput!$B:$E,4,0)=0,OR(H350=MappingTables!$C$31,H350=MappingTables!$C$32)),1,VLOOKUP(CONCATENATE($D350,$G350),CSRFinput!$B:$E,4,0)))</f>
        <v>0.054776304963434752</v>
      </c>
      <c r="S350" s="73">
        <f>IF(B350="",0,P350*R350)</f>
        <v>5.5924742144666216</v>
      </c>
      <c r="T350" s="85">
        <f>IF(B350="",0,IF(OR(H350=MappingTables!$C$34,H350=MappingTables!$C$35),S350,0))</f>
        <v>0</v>
      </c>
    </row>
    <row r="351" spans="2:20" s="0" customFormat="0" ht="15">
      <c r="B351" s="69" t="s">
        <v>3842</v>
      </c>
      <c r="C351" s="70" t="s">
        <v>3843</v>
      </c>
      <c r="D351" s="70" t="s">
        <v>1</v>
      </c>
      <c r="E351" s="70" t="s">
        <v>1</v>
      </c>
      <c r="F351" s="70"/>
      <c r="G351" s="70" t="s">
        <v>61</v>
      </c>
      <c r="H351" s="70" t="s">
        <v>178</v>
      </c>
      <c r="I351" s="70" t="s">
        <v>181</v>
      </c>
      <c r="J351" s="71">
        <f>IF(OR(I351=0,I351=""),"unrated",VLOOKUP(I351,MappingTables!$B$19:$C$31,2,FALSE))</f>
        <v>3</v>
      </c>
      <c r="K351" s="72">
        <v>306.56315457840204</v>
      </c>
      <c r="L351" s="70">
        <v>0.068496134623798176</v>
      </c>
      <c r="M351" s="71">
        <f>IF(L351&lt;1,1,L351)</f>
        <v>1</v>
      </c>
      <c r="N351" s="70" t="s">
        <v>3288</v>
      </c>
      <c r="O351" s="71">
        <f>IF(OR(I351=$A$1,I351=0),"",IF(N351=MappingTables!$C$14,VLOOKUP(J351,ModelParameters!$M$8:$N$15,2,FALSE),IF(N351=MappingTables!$C$16,VLOOKUP(J351,ModelParameters!$P$8:$Q$15,2,FALSE),0)))</f>
        <v>0.197</v>
      </c>
      <c r="P351" s="73">
        <f>IF(OR(I351=0,I351=$A$1),0,MIN(O351*M351,1)*K351)</f>
        <v>60.392941451945192</v>
      </c>
      <c r="Q351" s="73">
        <f>IF(B351="",0,IF(OR(H351=MappingTables!$C$34,H351=MappingTables!$C$35),P351,0))</f>
        <v>0</v>
      </c>
      <c r="R351" s="73">
        <f>IF(ISNA(IF(AND(VLOOKUP(CONCATENATE($D351,$G351),CSRFinput!$B:$E,4,0)=0,OR(H351=MappingTables!$C$31,H351=MappingTables!$C$32)),1,VLOOKUP(CONCATENATE($D351,$G351),CSRFinput!$B:$E,4,0))),0,IF(AND(VLOOKUP(CONCATENATE($D351,$G351),CSRFinput!$B:$E,4,0)=0,OR(H351=MappingTables!$C$31,H351=MappingTables!$C$32)),1,VLOOKUP(CONCATENATE($D351,$G351),CSRFinput!$B:$E,4,0)))</f>
        <v>0.054776304963434752</v>
      </c>
      <c r="S351" s="73">
        <f>IF(B351="",0,P351*R351)</f>
        <v>3.3081021786106096</v>
      </c>
      <c r="T351" s="85">
        <f>IF(B351="",0,IF(OR(H351=MappingTables!$C$34,H351=MappingTables!$C$35),S351,0))</f>
        <v>0</v>
      </c>
    </row>
    <row r="352" spans="2:20" s="0" customFormat="0" ht="15">
      <c r="B352" s="69">
        <v>19216270</v>
      </c>
      <c r="C352" s="70" t="s">
        <v>3844</v>
      </c>
      <c r="D352" s="70" t="s">
        <v>1</v>
      </c>
      <c r="E352" s="70" t="s">
        <v>1</v>
      </c>
      <c r="F352" s="70"/>
      <c r="G352" s="70" t="s">
        <v>61</v>
      </c>
      <c r="H352" s="70" t="s">
        <v>178</v>
      </c>
      <c r="I352" s="70" t="s">
        <v>216</v>
      </c>
      <c r="J352" s="71">
        <f>IF(OR(I352=0,I352=""),"unrated",VLOOKUP(I352,MappingTables!$B$19:$C$31,2,FALSE))</f>
        <v>0</v>
      </c>
      <c r="K352" s="72">
        <v>166.83010720355164</v>
      </c>
      <c r="L352" s="70">
        <v>0.052380210345804704</v>
      </c>
      <c r="M352" s="71">
        <f>IF(L352&lt;1,1,L352)</f>
        <v>1</v>
      </c>
      <c r="N352" s="70" t="s">
        <v>3288</v>
      </c>
      <c r="O352" s="71">
        <f>IF(OR(I352=$A$1,I352=0),"",IF(N352=MappingTables!$C$14,VLOOKUP(J352,ModelParameters!$M$8:$N$15,2,FALSE),IF(N352=MappingTables!$C$16,VLOOKUP(J352,ModelParameters!$P$8:$Q$15,2,FALSE),0)))</f>
        <v>0.125</v>
      </c>
      <c r="P352" s="73">
        <f>IF(OR(I352=0,I352=$A$1),0,MIN(O352*M352,1)*K352)</f>
        <v>20.853763400443956</v>
      </c>
      <c r="Q352" s="73">
        <f>IF(B352="",0,IF(OR(H352=MappingTables!$C$34,H352=MappingTables!$C$35),P352,0))</f>
        <v>0</v>
      </c>
      <c r="R352" s="73">
        <f>IF(ISNA(IF(AND(VLOOKUP(CONCATENATE($D352,$G352),CSRFinput!$B:$E,4,0)=0,OR(H352=MappingTables!$C$31,H352=MappingTables!$C$32)),1,VLOOKUP(CONCATENATE($D352,$G352),CSRFinput!$B:$E,4,0))),0,IF(AND(VLOOKUP(CONCATENATE($D352,$G352),CSRFinput!$B:$E,4,0)=0,OR(H352=MappingTables!$C$31,H352=MappingTables!$C$32)),1,VLOOKUP(CONCATENATE($D352,$G352),CSRFinput!$B:$E,4,0)))</f>
        <v>0.054776304963434752</v>
      </c>
      <c r="S352" s="73">
        <f>IF(B352="",0,P352*R352)</f>
        <v>1.1422921036580322</v>
      </c>
      <c r="T352" s="85">
        <f>IF(B352="",0,IF(OR(H352=MappingTables!$C$34,H352=MappingTables!$C$35),S352,0))</f>
        <v>0</v>
      </c>
    </row>
    <row r="353" spans="2:20" s="0" customFormat="0" ht="15">
      <c r="B353" s="69" t="s">
        <v>3828</v>
      </c>
      <c r="C353" s="70" t="s">
        <v>3829</v>
      </c>
      <c r="D353" s="70" t="s">
        <v>1</v>
      </c>
      <c r="E353" s="70" t="s">
        <v>1</v>
      </c>
      <c r="F353" s="70"/>
      <c r="G353" s="70" t="s">
        <v>61</v>
      </c>
      <c r="H353" s="70" t="s">
        <v>178</v>
      </c>
      <c r="I353" s="70" t="s">
        <v>198</v>
      </c>
      <c r="J353" s="71" t="str">
        <f>IF(OR(I353=0,I353=""),"unrated",VLOOKUP(I353,MappingTables!$B$19:$C$31,2,FALSE))</f>
        <v>unrated</v>
      </c>
      <c r="K353" s="72">
        <v>11461.014798478742</v>
      </c>
      <c r="L353" s="70">
        <v>41.406422835705648</v>
      </c>
      <c r="M353" s="71">
        <f>IF(L353&lt;1,1,L353)</f>
        <v>41.406422835705648</v>
      </c>
      <c r="N353" s="70" t="s">
        <v>3288</v>
      </c>
      <c r="O353" s="71">
        <f>IF(OR(I353=$A$1,I353=0),"",IF(N353=MappingTables!$C$14,VLOOKUP(J353,ModelParameters!$M$8:$N$15,2,FALSE),IF(N353=MappingTables!$C$16,VLOOKUP(J353,ModelParameters!$P$8:$Q$15,2,FALSE),0)))</f>
        <v>1</v>
      </c>
      <c r="P353" s="73">
        <f>IF(OR(I353=0,I353=$A$1),0,MIN(O353*M353,1)*K353)</f>
        <v>11461.014798478742</v>
      </c>
      <c r="Q353" s="73">
        <f>IF(B353="",0,IF(OR(H353=MappingTables!$C$34,H353=MappingTables!$C$35),P353,0))</f>
        <v>0</v>
      </c>
      <c r="R353" s="73">
        <f>IF(ISNA(IF(AND(VLOOKUP(CONCATENATE($D353,$G353),CSRFinput!$B:$E,4,0)=0,OR(H353=MappingTables!$C$31,H353=MappingTables!$C$32)),1,VLOOKUP(CONCATENATE($D353,$G353),CSRFinput!$B:$E,4,0))),0,IF(AND(VLOOKUP(CONCATENATE($D353,$G353),CSRFinput!$B:$E,4,0)=0,OR(H353=MappingTables!$C$31,H353=MappingTables!$C$32)),1,VLOOKUP(CONCATENATE($D353,$G353),CSRFinput!$B:$E,4,0)))</f>
        <v>0.054776304963434752</v>
      </c>
      <c r="S353" s="73">
        <f>IF(B353="",0,P353*R353)</f>
        <v>627.79204179191024</v>
      </c>
      <c r="T353" s="85">
        <f>IF(B353="",0,IF(OR(H353=MappingTables!$C$34,H353=MappingTables!$C$35),S353,0))</f>
        <v>0</v>
      </c>
    </row>
    <row r="354" spans="2:20" s="0" customFormat="0" ht="15">
      <c r="B354" s="69" t="s">
        <v>3845</v>
      </c>
      <c r="C354" s="70" t="s">
        <v>3846</v>
      </c>
      <c r="D354" s="70" t="s">
        <v>1</v>
      </c>
      <c r="E354" s="70" t="s">
        <v>1</v>
      </c>
      <c r="F354" s="70"/>
      <c r="G354" s="70" t="s">
        <v>61</v>
      </c>
      <c r="H354" s="70" t="s">
        <v>178</v>
      </c>
      <c r="I354" s="70" t="s">
        <v>204</v>
      </c>
      <c r="J354" s="71">
        <f>IF(OR(I354=0,I354=""),"unrated",VLOOKUP(I354,MappingTables!$B$19:$C$31,2,FALSE))</f>
        <v>6</v>
      </c>
      <c r="K354" s="72">
        <v>340.46769176129512</v>
      </c>
      <c r="L354" s="70">
        <v>0.068491134046698664</v>
      </c>
      <c r="M354" s="71">
        <f>IF(L354&lt;1,1,L354)</f>
        <v>1</v>
      </c>
      <c r="N354" s="70" t="s">
        <v>3288</v>
      </c>
      <c r="O354" s="71">
        <f>IF(OR(I354=$A$1,I354=0),"",IF(N354=MappingTables!$C$14,VLOOKUP(J354,ModelParameters!$M$8:$N$15,2,FALSE),IF(N354=MappingTables!$C$16,VLOOKUP(J354,ModelParameters!$P$8:$Q$15,2,FALSE),0)))</f>
        <v>1</v>
      </c>
      <c r="P354" s="73">
        <f>IF(OR(I354=0,I354=$A$1),0,MIN(O354*M354,1)*K354)</f>
        <v>340.46769176129512</v>
      </c>
      <c r="Q354" s="73">
        <f>IF(B354="",0,IF(OR(H354=MappingTables!$C$34,H354=MappingTables!$C$35),P354,0))</f>
        <v>0</v>
      </c>
      <c r="R354" s="73">
        <f>IF(ISNA(IF(AND(VLOOKUP(CONCATENATE($D354,$G354),CSRFinput!$B:$E,4,0)=0,OR(H354=MappingTables!$C$31,H354=MappingTables!$C$32)),1,VLOOKUP(CONCATENATE($D354,$G354),CSRFinput!$B:$E,4,0))),0,IF(AND(VLOOKUP(CONCATENATE($D354,$G354),CSRFinput!$B:$E,4,0)=0,OR(H354=MappingTables!$C$31,H354=MappingTables!$C$32)),1,VLOOKUP(CONCATENATE($D354,$G354),CSRFinput!$B:$E,4,0)))</f>
        <v>0.054776304963434752</v>
      </c>
      <c r="S354" s="73">
        <f>IF(B354="",0,P354*R354)</f>
        <v>18.6495621141134</v>
      </c>
      <c r="T354" s="85">
        <f>IF(B354="",0,IF(OR(H354=MappingTables!$C$34,H354=MappingTables!$C$35),S354,0))</f>
        <v>0</v>
      </c>
    </row>
    <row r="355" spans="2:20" s="0" customFormat="0" ht="15">
      <c r="B355" s="69">
        <v>12488211</v>
      </c>
      <c r="C355" s="70" t="s">
        <v>3847</v>
      </c>
      <c r="D355" s="70" t="s">
        <v>1</v>
      </c>
      <c r="E355" s="70" t="s">
        <v>1</v>
      </c>
      <c r="F355" s="70"/>
      <c r="G355" s="70" t="s">
        <v>61</v>
      </c>
      <c r="H355" s="70" t="s">
        <v>178</v>
      </c>
      <c r="I355" s="70" t="s">
        <v>216</v>
      </c>
      <c r="J355" s="71">
        <f>IF(OR(I355=0,I355=""),"unrated",VLOOKUP(I355,MappingTables!$B$19:$C$31,2,FALSE))</f>
        <v>0</v>
      </c>
      <c r="K355" s="72">
        <v>142.025835865787</v>
      </c>
      <c r="L355" s="70">
        <v>2.5607806485244928</v>
      </c>
      <c r="M355" s="71">
        <f>IF(L355&lt;1,1,L355)</f>
        <v>2.5607806485244928</v>
      </c>
      <c r="N355" s="70" t="s">
        <v>3288</v>
      </c>
      <c r="O355" s="71">
        <f>IF(OR(I355=$A$1,I355=0),"",IF(N355=MappingTables!$C$14,VLOOKUP(J355,ModelParameters!$M$8:$N$15,2,FALSE),IF(N355=MappingTables!$C$16,VLOOKUP(J355,ModelParameters!$P$8:$Q$15,2,FALSE),0)))</f>
        <v>0.125</v>
      </c>
      <c r="P355" s="73">
        <f>IF(OR(I355=0,I355=$A$1),0,MIN(O355*M355,1)*K355)</f>
        <v>45.462126509452904</v>
      </c>
      <c r="Q355" s="73">
        <f>IF(B355="",0,IF(OR(H355=MappingTables!$C$34,H355=MappingTables!$C$35),P355,0))</f>
        <v>0</v>
      </c>
      <c r="R355" s="73">
        <f>IF(ISNA(IF(AND(VLOOKUP(CONCATENATE($D355,$G355),CSRFinput!$B:$E,4,0)=0,OR(H355=MappingTables!$C$31,H355=MappingTables!$C$32)),1,VLOOKUP(CONCATENATE($D355,$G355),CSRFinput!$B:$E,4,0))),0,IF(AND(VLOOKUP(CONCATENATE($D355,$G355),CSRFinput!$B:$E,4,0)=0,OR(H355=MappingTables!$C$31,H355=MappingTables!$C$32)),1,VLOOKUP(CONCATENATE($D355,$G355),CSRFinput!$B:$E,4,0)))</f>
        <v>0.054776304963434752</v>
      </c>
      <c r="S355" s="73">
        <f>IF(B355="",0,P355*R355)</f>
        <v>2.4902473059680436</v>
      </c>
      <c r="T355" s="85">
        <f>IF(B355="",0,IF(OR(H355=MappingTables!$C$34,H355=MappingTables!$C$35),S355,0))</f>
        <v>0</v>
      </c>
    </row>
    <row r="356" spans="2:20" s="0" customFormat="0" ht="15">
      <c r="B356" s="69" t="s">
        <v>3602</v>
      </c>
      <c r="C356" s="70" t="s">
        <v>3603</v>
      </c>
      <c r="D356" s="70" t="s">
        <v>1</v>
      </c>
      <c r="E356" s="70" t="s">
        <v>1</v>
      </c>
      <c r="F356" s="70"/>
      <c r="G356" s="70" t="s">
        <v>61</v>
      </c>
      <c r="H356" s="70" t="s">
        <v>178</v>
      </c>
      <c r="I356" s="70" t="s">
        <v>198</v>
      </c>
      <c r="J356" s="71" t="str">
        <f>IF(OR(I356=0,I356=""),"unrated",VLOOKUP(I356,MappingTables!$B$19:$C$31,2,FALSE))</f>
        <v>unrated</v>
      </c>
      <c r="K356" s="72">
        <v>1542.5458027096742</v>
      </c>
      <c r="L356" s="70">
        <v>8.106996026064616</v>
      </c>
      <c r="M356" s="71">
        <f>IF(L356&lt;1,1,L356)</f>
        <v>8.106996026064616</v>
      </c>
      <c r="N356" s="70" t="s">
        <v>3288</v>
      </c>
      <c r="O356" s="71">
        <f>IF(OR(I356=$A$1,I356=0),"",IF(N356=MappingTables!$C$14,VLOOKUP(J356,ModelParameters!$M$8:$N$15,2,FALSE),IF(N356=MappingTables!$C$16,VLOOKUP(J356,ModelParameters!$P$8:$Q$15,2,FALSE),0)))</f>
        <v>1</v>
      </c>
      <c r="P356" s="73">
        <f>IF(OR(I356=0,I356=$A$1),0,MIN(O356*M356,1)*K356)</f>
        <v>1542.5458027096742</v>
      </c>
      <c r="Q356" s="73">
        <f>IF(B356="",0,IF(OR(H356=MappingTables!$C$34,H356=MappingTables!$C$35),P356,0))</f>
        <v>0</v>
      </c>
      <c r="R356" s="73">
        <f>IF(ISNA(IF(AND(VLOOKUP(CONCATENATE($D356,$G356),CSRFinput!$B:$E,4,0)=0,OR(H356=MappingTables!$C$31,H356=MappingTables!$C$32)),1,VLOOKUP(CONCATENATE($D356,$G356),CSRFinput!$B:$E,4,0))),0,IF(AND(VLOOKUP(CONCATENATE($D356,$G356),CSRFinput!$B:$E,4,0)=0,OR(H356=MappingTables!$C$31,H356=MappingTables!$C$32)),1,VLOOKUP(CONCATENATE($D356,$G356),CSRFinput!$B:$E,4,0)))</f>
        <v>0.054776304963434752</v>
      </c>
      <c r="S356" s="73">
        <f>IF(B356="",0,P356*R356)</f>
        <v>84.494959309291376</v>
      </c>
      <c r="T356" s="85">
        <f>IF(B356="",0,IF(OR(H356=MappingTables!$C$34,H356=MappingTables!$C$35),S356,0))</f>
        <v>0</v>
      </c>
    </row>
    <row r="357" spans="2:20" s="0" customFormat="0" ht="15">
      <c r="B357" s="69" t="s">
        <v>3848</v>
      </c>
      <c r="C357" s="70" t="s">
        <v>3849</v>
      </c>
      <c r="D357" s="70" t="s">
        <v>1</v>
      </c>
      <c r="E357" s="70" t="s">
        <v>1</v>
      </c>
      <c r="F357" s="70"/>
      <c r="G357" s="70" t="s">
        <v>61</v>
      </c>
      <c r="H357" s="70" t="s">
        <v>178</v>
      </c>
      <c r="I357" s="70" t="s">
        <v>198</v>
      </c>
      <c r="J357" s="71" t="str">
        <f>IF(OR(I357=0,I357=""),"unrated",VLOOKUP(I357,MappingTables!$B$19:$C$31,2,FALSE))</f>
        <v>unrated</v>
      </c>
      <c r="K357" s="72">
        <v>258.31315251683848</v>
      </c>
      <c r="L357" s="70">
        <v>10.385566934967038</v>
      </c>
      <c r="M357" s="71">
        <f>IF(L357&lt;1,1,L357)</f>
        <v>10.385566934967038</v>
      </c>
      <c r="N357" s="70" t="s">
        <v>3288</v>
      </c>
      <c r="O357" s="71">
        <f>IF(OR(I357=$A$1,I357=0),"",IF(N357=MappingTables!$C$14,VLOOKUP(J357,ModelParameters!$M$8:$N$15,2,FALSE),IF(N357=MappingTables!$C$16,VLOOKUP(J357,ModelParameters!$P$8:$Q$15,2,FALSE),0)))</f>
        <v>1</v>
      </c>
      <c r="P357" s="73">
        <f>IF(OR(I357=0,I357=$A$1),0,MIN(O357*M357,1)*K357)</f>
        <v>258.31315251683848</v>
      </c>
      <c r="Q357" s="73">
        <f>IF(B357="",0,IF(OR(H357=MappingTables!$C$34,H357=MappingTables!$C$35),P357,0))</f>
        <v>0</v>
      </c>
      <c r="R357" s="73">
        <f>IF(ISNA(IF(AND(VLOOKUP(CONCATENATE($D357,$G357),CSRFinput!$B:$E,4,0)=0,OR(H357=MappingTables!$C$31,H357=MappingTables!$C$32)),1,VLOOKUP(CONCATENATE($D357,$G357),CSRFinput!$B:$E,4,0))),0,IF(AND(VLOOKUP(CONCATENATE($D357,$G357),CSRFinput!$B:$E,4,0)=0,OR(H357=MappingTables!$C$31,H357=MappingTables!$C$32)),1,VLOOKUP(CONCATENATE($D357,$G357),CSRFinput!$B:$E,4,0)))</f>
        <v>0.054776304963434752</v>
      </c>
      <c r="S357" s="73">
        <f>IF(B357="",0,P357*R357)</f>
        <v>14.14944001832858</v>
      </c>
      <c r="T357" s="85">
        <f>IF(B357="",0,IF(OR(H357=MappingTables!$C$34,H357=MappingTables!$C$35),S357,0))</f>
        <v>0</v>
      </c>
    </row>
    <row r="358" spans="2:20" s="0" customFormat="0" ht="15">
      <c r="B358" s="69" t="s">
        <v>3672</v>
      </c>
      <c r="C358" s="70" t="s">
        <v>3673</v>
      </c>
      <c r="D358" s="70" t="s">
        <v>1</v>
      </c>
      <c r="E358" s="70" t="s">
        <v>1</v>
      </c>
      <c r="F358" s="70"/>
      <c r="G358" s="70" t="s">
        <v>61</v>
      </c>
      <c r="H358" s="70" t="s">
        <v>178</v>
      </c>
      <c r="I358" s="70" t="s">
        <v>198</v>
      </c>
      <c r="J358" s="71" t="str">
        <f>IF(OR(I358=0,I358=""),"unrated",VLOOKUP(I358,MappingTables!$B$19:$C$31,2,FALSE))</f>
        <v>unrated</v>
      </c>
      <c r="K358" s="72">
        <v>154.9272726548443</v>
      </c>
      <c r="L358" s="70">
        <v>0.068492511773282544</v>
      </c>
      <c r="M358" s="71">
        <f>IF(L358&lt;1,1,L358)</f>
        <v>1</v>
      </c>
      <c r="N358" s="70" t="s">
        <v>3288</v>
      </c>
      <c r="O358" s="71">
        <f>IF(OR(I358=$A$1,I358=0),"",IF(N358=MappingTables!$C$14,VLOOKUP(J358,ModelParameters!$M$8:$N$15,2,FALSE),IF(N358=MappingTables!$C$16,VLOOKUP(J358,ModelParameters!$P$8:$Q$15,2,FALSE),0)))</f>
        <v>1</v>
      </c>
      <c r="P358" s="73">
        <f>IF(OR(I358=0,I358=$A$1),0,MIN(O358*M358,1)*K358)</f>
        <v>154.9272726548443</v>
      </c>
      <c r="Q358" s="73">
        <f>IF(B358="",0,IF(OR(H358=MappingTables!$C$34,H358=MappingTables!$C$35),P358,0))</f>
        <v>0</v>
      </c>
      <c r="R358" s="73">
        <f>IF(ISNA(IF(AND(VLOOKUP(CONCATENATE($D358,$G358),CSRFinput!$B:$E,4,0)=0,OR(H358=MappingTables!$C$31,H358=MappingTables!$C$32)),1,VLOOKUP(CONCATENATE($D358,$G358),CSRFinput!$B:$E,4,0))),0,IF(AND(VLOOKUP(CONCATENATE($D358,$G358),CSRFinput!$B:$E,4,0)=0,OR(H358=MappingTables!$C$31,H358=MappingTables!$C$32)),1,VLOOKUP(CONCATENATE($D358,$G358),CSRFinput!$B:$E,4,0)))</f>
        <v>0.054776304963434752</v>
      </c>
      <c r="S358" s="73">
        <f>IF(B358="",0,P358*R358)</f>
        <v>8.4863435340949568</v>
      </c>
      <c r="T358" s="85">
        <f>IF(B358="",0,IF(OR(H358=MappingTables!$C$34,H358=MappingTables!$C$35),S358,0))</f>
        <v>0</v>
      </c>
    </row>
    <row r="359" spans="2:20" s="0" customFormat="0" ht="15">
      <c r="B359" s="69" t="s">
        <v>3850</v>
      </c>
      <c r="C359" s="70" t="s">
        <v>3851</v>
      </c>
      <c r="D359" s="70" t="s">
        <v>1</v>
      </c>
      <c r="E359" s="70" t="s">
        <v>1</v>
      </c>
      <c r="F359" s="70"/>
      <c r="G359" s="70" t="s">
        <v>61</v>
      </c>
      <c r="H359" s="70" t="s">
        <v>178</v>
      </c>
      <c r="I359" s="70" t="s">
        <v>204</v>
      </c>
      <c r="J359" s="71">
        <f>IF(OR(I359=0,I359=""),"unrated",VLOOKUP(I359,MappingTables!$B$19:$C$31,2,FALSE))</f>
        <v>6</v>
      </c>
      <c r="K359" s="72">
        <v>3158.6777326433056</v>
      </c>
      <c r="L359" s="70">
        <v>0.068493303785971768</v>
      </c>
      <c r="M359" s="71">
        <f>IF(L359&lt;1,1,L359)</f>
        <v>1</v>
      </c>
      <c r="N359" s="70" t="s">
        <v>3288</v>
      </c>
      <c r="O359" s="71">
        <f>IF(OR(I359=$A$1,I359=0),"",IF(N359=MappingTables!$C$14,VLOOKUP(J359,ModelParameters!$M$8:$N$15,2,FALSE),IF(N359=MappingTables!$C$16,VLOOKUP(J359,ModelParameters!$P$8:$Q$15,2,FALSE),0)))</f>
        <v>1</v>
      </c>
      <c r="P359" s="73">
        <f>IF(OR(I359=0,I359=$A$1),0,MIN(O359*M359,1)*K359)</f>
        <v>3158.6777326433056</v>
      </c>
      <c r="Q359" s="73">
        <f>IF(B359="",0,IF(OR(H359=MappingTables!$C$34,H359=MappingTables!$C$35),P359,0))</f>
        <v>0</v>
      </c>
      <c r="R359" s="73">
        <f>IF(ISNA(IF(AND(VLOOKUP(CONCATENATE($D359,$G359),CSRFinput!$B:$E,4,0)=0,OR(H359=MappingTables!$C$31,H359=MappingTables!$C$32)),1,VLOOKUP(CONCATENATE($D359,$G359),CSRFinput!$B:$E,4,0))),0,IF(AND(VLOOKUP(CONCATENATE($D359,$G359),CSRFinput!$B:$E,4,0)=0,OR(H359=MappingTables!$C$31,H359=MappingTables!$C$32)),1,VLOOKUP(CONCATENATE($D359,$G359),CSRFinput!$B:$E,4,0)))</f>
        <v>0.054776304963434752</v>
      </c>
      <c r="S359" s="73">
        <f>IF(B359="",0,P359*R359)</f>
        <v>173.02069476448034</v>
      </c>
      <c r="T359" s="85">
        <f>IF(B359="",0,IF(OR(H359=MappingTables!$C$34,H359=MappingTables!$C$35),S359,0))</f>
        <v>0</v>
      </c>
    </row>
    <row r="360" spans="2:20" s="0" customFormat="0" ht="15">
      <c r="B360" s="69" t="s">
        <v>3852</v>
      </c>
      <c r="C360" s="70" t="s">
        <v>3853</v>
      </c>
      <c r="D360" s="70" t="s">
        <v>1</v>
      </c>
      <c r="E360" s="70" t="s">
        <v>1</v>
      </c>
      <c r="F360" s="70"/>
      <c r="G360" s="70" t="s">
        <v>61</v>
      </c>
      <c r="H360" s="70" t="s">
        <v>178</v>
      </c>
      <c r="I360" s="70" t="s">
        <v>179</v>
      </c>
      <c r="J360" s="71">
        <f>IF(OR(I360=0,I360=""),"unrated",VLOOKUP(I360,MappingTables!$B$19:$C$31,2,FALSE))</f>
        <v>4</v>
      </c>
      <c r="K360" s="72">
        <v>49.127689719519904</v>
      </c>
      <c r="L360" s="70">
        <v>0.068489609913931952</v>
      </c>
      <c r="M360" s="71">
        <f>IF(L360&lt;1,1,L360)</f>
        <v>1</v>
      </c>
      <c r="N360" s="70" t="s">
        <v>3288</v>
      </c>
      <c r="O360" s="71">
        <f>IF(OR(I360=$A$1,I360=0),"",IF(N360=MappingTables!$C$14,VLOOKUP(J360,ModelParameters!$M$8:$N$15,2,FALSE),IF(N360=MappingTables!$C$16,VLOOKUP(J360,ModelParameters!$P$8:$Q$15,2,FALSE),0)))</f>
        <v>0.82</v>
      </c>
      <c r="P360" s="73">
        <f>IF(OR(I360=0,I360=$A$1),0,MIN(O360*M360,1)*K360)</f>
        <v>40.28470557000632</v>
      </c>
      <c r="Q360" s="73">
        <f>IF(B360="",0,IF(OR(H360=MappingTables!$C$34,H360=MappingTables!$C$35),P360,0))</f>
        <v>0</v>
      </c>
      <c r="R360" s="73">
        <f>IF(ISNA(IF(AND(VLOOKUP(CONCATENATE($D360,$G360),CSRFinput!$B:$E,4,0)=0,OR(H360=MappingTables!$C$31,H360=MappingTables!$C$32)),1,VLOOKUP(CONCATENATE($D360,$G360),CSRFinput!$B:$E,4,0))),0,IF(AND(VLOOKUP(CONCATENATE($D360,$G360),CSRFinput!$B:$E,4,0)=0,OR(H360=MappingTables!$C$31,H360=MappingTables!$C$32)),1,VLOOKUP(CONCATENATE($D360,$G360),CSRFinput!$B:$E,4,0)))</f>
        <v>0.054776304963434752</v>
      </c>
      <c r="S360" s="73">
        <f>IF(B360="",0,P360*R360)</f>
        <v>2.2066473176648448</v>
      </c>
      <c r="T360" s="85">
        <f>IF(B360="",0,IF(OR(H360=MappingTables!$C$34,H360=MappingTables!$C$35),S360,0))</f>
        <v>0</v>
      </c>
    </row>
    <row r="361" spans="2:20" s="0" customFormat="0" ht="15">
      <c r="B361" s="69">
        <v>18423591</v>
      </c>
      <c r="C361" s="70" t="s">
        <v>3854</v>
      </c>
      <c r="D361" s="70" t="s">
        <v>1</v>
      </c>
      <c r="E361" s="70" t="s">
        <v>1</v>
      </c>
      <c r="F361" s="70"/>
      <c r="G361" s="70" t="s">
        <v>61</v>
      </c>
      <c r="H361" s="70" t="s">
        <v>178</v>
      </c>
      <c r="I361" s="70" t="s">
        <v>198</v>
      </c>
      <c r="J361" s="71" t="str">
        <f>IF(OR(I361=0,I361=""),"unrated",VLOOKUP(I361,MappingTables!$B$19:$C$31,2,FALSE))</f>
        <v>unrated</v>
      </c>
      <c r="K361" s="72">
        <v>597.91265235247184</v>
      </c>
      <c r="L361" s="70">
        <v>0.059733505704864504</v>
      </c>
      <c r="M361" s="71">
        <f>IF(L361&lt;1,1,L361)</f>
        <v>1</v>
      </c>
      <c r="N361" s="70" t="s">
        <v>3288</v>
      </c>
      <c r="O361" s="71">
        <f>IF(OR(I361=$A$1,I361=0),"",IF(N361=MappingTables!$C$14,VLOOKUP(J361,ModelParameters!$M$8:$N$15,2,FALSE),IF(N361=MappingTables!$C$16,VLOOKUP(J361,ModelParameters!$P$8:$Q$15,2,FALSE),0)))</f>
        <v>1</v>
      </c>
      <c r="P361" s="73">
        <f>IF(OR(I361=0,I361=$A$1),0,MIN(O361*M361,1)*K361)</f>
        <v>597.91265235247184</v>
      </c>
      <c r="Q361" s="73">
        <f>IF(B361="",0,IF(OR(H361=MappingTables!$C$34,H361=MappingTables!$C$35),P361,0))</f>
        <v>0</v>
      </c>
      <c r="R361" s="73">
        <f>IF(ISNA(IF(AND(VLOOKUP(CONCATENATE($D361,$G361),CSRFinput!$B:$E,4,0)=0,OR(H361=MappingTables!$C$31,H361=MappingTables!$C$32)),1,VLOOKUP(CONCATENATE($D361,$G361),CSRFinput!$B:$E,4,0))),0,IF(AND(VLOOKUP(CONCATENATE($D361,$G361),CSRFinput!$B:$E,4,0)=0,OR(H361=MappingTables!$C$31,H361=MappingTables!$C$32)),1,VLOOKUP(CONCATENATE($D361,$G361),CSRFinput!$B:$E,4,0)))</f>
        <v>0.054776304963434752</v>
      </c>
      <c r="S361" s="73">
        <f>IF(B361="",0,P361*R361)</f>
        <v>32.75144578675514</v>
      </c>
      <c r="T361" s="85">
        <f>IF(B361="",0,IF(OR(H361=MappingTables!$C$34,H361=MappingTables!$C$35),S361,0))</f>
        <v>0</v>
      </c>
    </row>
    <row r="362" spans="2:20" s="0" customFormat="0" ht="15">
      <c r="B362" s="69" t="s">
        <v>3855</v>
      </c>
      <c r="C362" s="70" t="s">
        <v>3856</v>
      </c>
      <c r="D362" s="70" t="s">
        <v>1</v>
      </c>
      <c r="E362" s="70" t="s">
        <v>1</v>
      </c>
      <c r="F362" s="70"/>
      <c r="G362" s="70" t="s">
        <v>61</v>
      </c>
      <c r="H362" s="70" t="s">
        <v>178</v>
      </c>
      <c r="I362" s="70" t="s">
        <v>198</v>
      </c>
      <c r="J362" s="71" t="str">
        <f>IF(OR(I362=0,I362=""),"unrated",VLOOKUP(I362,MappingTables!$B$19:$C$31,2,FALSE))</f>
        <v>unrated</v>
      </c>
      <c r="K362" s="72">
        <v>3.2176481780343384</v>
      </c>
      <c r="L362" s="70">
        <v>6.6939030559846768</v>
      </c>
      <c r="M362" s="71">
        <f>IF(L362&lt;1,1,L362)</f>
        <v>6.6939030559846768</v>
      </c>
      <c r="N362" s="70" t="s">
        <v>3288</v>
      </c>
      <c r="O362" s="71">
        <f>IF(OR(I362=$A$1,I362=0),"",IF(N362=MappingTables!$C$14,VLOOKUP(J362,ModelParameters!$M$8:$N$15,2,FALSE),IF(N362=MappingTables!$C$16,VLOOKUP(J362,ModelParameters!$P$8:$Q$15,2,FALSE),0)))</f>
        <v>1</v>
      </c>
      <c r="P362" s="73">
        <f>IF(OR(I362=0,I362=$A$1),0,MIN(O362*M362,1)*K362)</f>
        <v>3.2176481780343384</v>
      </c>
      <c r="Q362" s="73">
        <f>IF(B362="",0,IF(OR(H362=MappingTables!$C$34,H362=MappingTables!$C$35),P362,0))</f>
        <v>0</v>
      </c>
      <c r="R362" s="73">
        <f>IF(ISNA(IF(AND(VLOOKUP(CONCATENATE($D362,$G362),CSRFinput!$B:$E,4,0)=0,OR(H362=MappingTables!$C$31,H362=MappingTables!$C$32)),1,VLOOKUP(CONCATENATE($D362,$G362),CSRFinput!$B:$E,4,0))),0,IF(AND(VLOOKUP(CONCATENATE($D362,$G362),CSRFinput!$B:$E,4,0)=0,OR(H362=MappingTables!$C$31,H362=MappingTables!$C$32)),1,VLOOKUP(CONCATENATE($D362,$G362),CSRFinput!$B:$E,4,0)))</f>
        <v>0.054776304963434752</v>
      </c>
      <c r="S362" s="73">
        <f>IF(B362="",0,P362*R362)</f>
        <v>0.17625087786504912</v>
      </c>
      <c r="T362" s="85">
        <f>IF(B362="",0,IF(OR(H362=MappingTables!$C$34,H362=MappingTables!$C$35),S362,0))</f>
        <v>0</v>
      </c>
    </row>
    <row r="363" spans="2:20" s="0" customFormat="0" ht="15">
      <c r="B363" s="69" t="s">
        <v>3857</v>
      </c>
      <c r="C363" s="70" t="s">
        <v>3858</v>
      </c>
      <c r="D363" s="70" t="s">
        <v>1</v>
      </c>
      <c r="E363" s="70" t="s">
        <v>1</v>
      </c>
      <c r="F363" s="70"/>
      <c r="G363" s="70" t="s">
        <v>61</v>
      </c>
      <c r="H363" s="70" t="s">
        <v>178</v>
      </c>
      <c r="I363" s="70" t="s">
        <v>179</v>
      </c>
      <c r="J363" s="71">
        <f>IF(OR(I363=0,I363=""),"unrated",VLOOKUP(I363,MappingTables!$B$19:$C$31,2,FALSE))</f>
        <v>4</v>
      </c>
      <c r="K363" s="72">
        <v>2.1030604232135012</v>
      </c>
      <c r="L363" s="70">
        <v>0.068492548175926536</v>
      </c>
      <c r="M363" s="71">
        <f>IF(L363&lt;1,1,L363)</f>
        <v>1</v>
      </c>
      <c r="N363" s="70" t="s">
        <v>3288</v>
      </c>
      <c r="O363" s="71">
        <f>IF(OR(I363=$A$1,I363=0),"",IF(N363=MappingTables!$C$14,VLOOKUP(J363,ModelParameters!$M$8:$N$15,2,FALSE),IF(N363=MappingTables!$C$16,VLOOKUP(J363,ModelParameters!$P$8:$Q$15,2,FALSE),0)))</f>
        <v>0.82</v>
      </c>
      <c r="P363" s="73">
        <f>IF(OR(I363=0,I363=$A$1),0,MIN(O363*M363,1)*K363)</f>
        <v>1.7245095470350708</v>
      </c>
      <c r="Q363" s="73">
        <f>IF(B363="",0,IF(OR(H363=MappingTables!$C$34,H363=MappingTables!$C$35),P363,0))</f>
        <v>0</v>
      </c>
      <c r="R363" s="73">
        <f>IF(ISNA(IF(AND(VLOOKUP(CONCATENATE($D363,$G363),CSRFinput!$B:$E,4,0)=0,OR(H363=MappingTables!$C$31,H363=MappingTables!$C$32)),1,VLOOKUP(CONCATENATE($D363,$G363),CSRFinput!$B:$E,4,0))),0,IF(AND(VLOOKUP(CONCATENATE($D363,$G363),CSRFinput!$B:$E,4,0)=0,OR(H363=MappingTables!$C$31,H363=MappingTables!$C$32)),1,VLOOKUP(CONCATENATE($D363,$G363),CSRFinput!$B:$E,4,0)))</f>
        <v>0.054776304963434752</v>
      </c>
      <c r="S363" s="73">
        <f>IF(B363="",0,P363*R363)</f>
        <v>0.094462260860747776</v>
      </c>
      <c r="T363" s="85">
        <f>IF(B363="",0,IF(OR(H363=MappingTables!$C$34,H363=MappingTables!$C$35),S363,0))</f>
        <v>0</v>
      </c>
    </row>
    <row r="364" spans="2:20" s="0" customFormat="0" ht="15">
      <c r="B364" s="69" t="s">
        <v>3859</v>
      </c>
      <c r="C364" s="70" t="s">
        <v>3860</v>
      </c>
      <c r="D364" s="70" t="s">
        <v>1</v>
      </c>
      <c r="E364" s="70" t="s">
        <v>1</v>
      </c>
      <c r="F364" s="70"/>
      <c r="G364" s="70" t="s">
        <v>61</v>
      </c>
      <c r="H364" s="70" t="s">
        <v>178</v>
      </c>
      <c r="I364" s="70" t="s">
        <v>204</v>
      </c>
      <c r="J364" s="71">
        <f>IF(OR(I364=0,I364=""),"unrated",VLOOKUP(I364,MappingTables!$B$19:$C$31,2,FALSE))</f>
        <v>6</v>
      </c>
      <c r="K364" s="72">
        <v>118.96454475382992</v>
      </c>
      <c r="L364" s="70">
        <v>3.9005349636392304</v>
      </c>
      <c r="M364" s="71">
        <f>IF(L364&lt;1,1,L364)</f>
        <v>3.9005349636392304</v>
      </c>
      <c r="N364" s="70" t="s">
        <v>3288</v>
      </c>
      <c r="O364" s="71">
        <f>IF(OR(I364=$A$1,I364=0),"",IF(N364=MappingTables!$C$14,VLOOKUP(J364,ModelParameters!$M$8:$N$15,2,FALSE),IF(N364=MappingTables!$C$16,VLOOKUP(J364,ModelParameters!$P$8:$Q$15,2,FALSE),0)))</f>
        <v>1</v>
      </c>
      <c r="P364" s="73">
        <f>IF(OR(I364=0,I364=$A$1),0,MIN(O364*M364,1)*K364)</f>
        <v>118.96454475382992</v>
      </c>
      <c r="Q364" s="73">
        <f>IF(B364="",0,IF(OR(H364=MappingTables!$C$34,H364=MappingTables!$C$35),P364,0))</f>
        <v>0</v>
      </c>
      <c r="R364" s="73">
        <f>IF(ISNA(IF(AND(VLOOKUP(CONCATENATE($D364,$G364),CSRFinput!$B:$E,4,0)=0,OR(H364=MappingTables!$C$31,H364=MappingTables!$C$32)),1,VLOOKUP(CONCATENATE($D364,$G364),CSRFinput!$B:$E,4,0))),0,IF(AND(VLOOKUP(CONCATENATE($D364,$G364),CSRFinput!$B:$E,4,0)=0,OR(H364=MappingTables!$C$31,H364=MappingTables!$C$32)),1,VLOOKUP(CONCATENATE($D364,$G364),CSRFinput!$B:$E,4,0)))</f>
        <v>0.054776304963434752</v>
      </c>
      <c r="S364" s="73">
        <f>IF(B364="",0,P364*R364)</f>
        <v>6.5164381832719688</v>
      </c>
      <c r="T364" s="85">
        <f>IF(B364="",0,IF(OR(H364=MappingTables!$C$34,H364=MappingTables!$C$35),S364,0))</f>
        <v>0</v>
      </c>
    </row>
    <row r="365" spans="2:20" s="0" customFormat="0" ht="15">
      <c r="B365" s="69" t="s">
        <v>3861</v>
      </c>
      <c r="C365" s="70" t="s">
        <v>3862</v>
      </c>
      <c r="D365" s="70" t="s">
        <v>1</v>
      </c>
      <c r="E365" s="70" t="s">
        <v>1</v>
      </c>
      <c r="F365" s="70"/>
      <c r="G365" s="70" t="s">
        <v>61</v>
      </c>
      <c r="H365" s="70" t="s">
        <v>178</v>
      </c>
      <c r="I365" s="70" t="s">
        <v>3291</v>
      </c>
      <c r="J365" s="71">
        <f>IF(OR(I365=0,I365=""),"unrated",VLOOKUP(I365,MappingTables!$B$19:$C$31,2,FALSE))</f>
        <v>6</v>
      </c>
      <c r="K365" s="72">
        <v>448.22561996412424</v>
      </c>
      <c r="L365" s="70">
        <v>0.068494882197464104</v>
      </c>
      <c r="M365" s="71">
        <f>IF(L365&lt;1,1,L365)</f>
        <v>1</v>
      </c>
      <c r="N365" s="70" t="s">
        <v>3288</v>
      </c>
      <c r="O365" s="71">
        <f>IF(OR(I365=$A$1,I365=0),"",IF(N365=MappingTables!$C$14,VLOOKUP(J365,ModelParameters!$M$8:$N$15,2,FALSE),IF(N365=MappingTables!$C$16,VLOOKUP(J365,ModelParameters!$P$8:$Q$15,2,FALSE),0)))</f>
        <v>1</v>
      </c>
      <c r="P365" s="73">
        <f>IF(OR(I365=0,I365=$A$1),0,MIN(O365*M365,1)*K365)</f>
        <v>448.22561996412424</v>
      </c>
      <c r="Q365" s="73">
        <f>IF(B365="",0,IF(OR(H365=MappingTables!$C$34,H365=MappingTables!$C$35),P365,0))</f>
        <v>0</v>
      </c>
      <c r="R365" s="73">
        <f>IF(ISNA(IF(AND(VLOOKUP(CONCATENATE($D365,$G365),CSRFinput!$B:$E,4,0)=0,OR(H365=MappingTables!$C$31,H365=MappingTables!$C$32)),1,VLOOKUP(CONCATENATE($D365,$G365),CSRFinput!$B:$E,4,0))),0,IF(AND(VLOOKUP(CONCATENATE($D365,$G365),CSRFinput!$B:$E,4,0)=0,OR(H365=MappingTables!$C$31,H365=MappingTables!$C$32)),1,VLOOKUP(CONCATENATE($D365,$G365),CSRFinput!$B:$E,4,0)))</f>
        <v>0.054776304963434752</v>
      </c>
      <c r="S365" s="73">
        <f>IF(B365="",0,P365*R365)</f>
        <v>24.552143251579476</v>
      </c>
      <c r="T365" s="85">
        <f>IF(B365="",0,IF(OR(H365=MappingTables!$C$34,H365=MappingTables!$C$35),S365,0))</f>
        <v>0</v>
      </c>
    </row>
    <row r="366" spans="2:20" s="0" customFormat="0" ht="15">
      <c r="B366" s="69">
        <v>22554089</v>
      </c>
      <c r="C366" s="70" t="s">
        <v>3863</v>
      </c>
      <c r="D366" s="70" t="s">
        <v>1</v>
      </c>
      <c r="E366" s="70" t="s">
        <v>1</v>
      </c>
      <c r="F366" s="70"/>
      <c r="G366" s="70" t="s">
        <v>61</v>
      </c>
      <c r="H366" s="70" t="s">
        <v>178</v>
      </c>
      <c r="I366" s="70" t="s">
        <v>216</v>
      </c>
      <c r="J366" s="71">
        <f>IF(OR(I366=0,I366=""),"unrated",VLOOKUP(I366,MappingTables!$B$19:$C$31,2,FALSE))</f>
        <v>0</v>
      </c>
      <c r="K366" s="72">
        <v>30.002772633363684</v>
      </c>
      <c r="L366" s="70">
        <v>0.069498576336697232</v>
      </c>
      <c r="M366" s="71">
        <f>IF(L366&lt;1,1,L366)</f>
        <v>1</v>
      </c>
      <c r="N366" s="70" t="s">
        <v>3288</v>
      </c>
      <c r="O366" s="71">
        <f>IF(OR(I366=$A$1,I366=0),"",IF(N366=MappingTables!$C$14,VLOOKUP(J366,ModelParameters!$M$8:$N$15,2,FALSE),IF(N366=MappingTables!$C$16,VLOOKUP(J366,ModelParameters!$P$8:$Q$15,2,FALSE),0)))</f>
        <v>0.125</v>
      </c>
      <c r="P366" s="73">
        <f>IF(OR(I366=0,I366=$A$1),0,MIN(O366*M366,1)*K366)</f>
        <v>3.7503465791704608</v>
      </c>
      <c r="Q366" s="73">
        <f>IF(B366="",0,IF(OR(H366=MappingTables!$C$34,H366=MappingTables!$C$35),P366,0))</f>
        <v>0</v>
      </c>
      <c r="R366" s="73">
        <f>IF(ISNA(IF(AND(VLOOKUP(CONCATENATE($D366,$G366),CSRFinput!$B:$E,4,0)=0,OR(H366=MappingTables!$C$31,H366=MappingTables!$C$32)),1,VLOOKUP(CONCATENATE($D366,$G366),CSRFinput!$B:$E,4,0))),0,IF(AND(VLOOKUP(CONCATENATE($D366,$G366),CSRFinput!$B:$E,4,0)=0,OR(H366=MappingTables!$C$31,H366=MappingTables!$C$32)),1,VLOOKUP(CONCATENATE($D366,$G366),CSRFinput!$B:$E,4,0)))</f>
        <v>0.054776304963434752</v>
      </c>
      <c r="S366" s="73">
        <f>IF(B366="",0,P366*R366)</f>
        <v>0.20543012793921544</v>
      </c>
      <c r="T366" s="85">
        <f>IF(B366="",0,IF(OR(H366=MappingTables!$C$34,H366=MappingTables!$C$35),S366,0))</f>
        <v>0</v>
      </c>
    </row>
    <row r="367" spans="2:20" s="0" customFormat="0" ht="15">
      <c r="B367" s="69" t="s">
        <v>3864</v>
      </c>
      <c r="C367" s="70" t="s">
        <v>3865</v>
      </c>
      <c r="D367" s="70" t="s">
        <v>1</v>
      </c>
      <c r="E367" s="70" t="s">
        <v>1</v>
      </c>
      <c r="F367" s="70"/>
      <c r="G367" s="70" t="s">
        <v>61</v>
      </c>
      <c r="H367" s="70" t="s">
        <v>178</v>
      </c>
      <c r="I367" s="70" t="s">
        <v>198</v>
      </c>
      <c r="J367" s="71" t="str">
        <f>IF(OR(I367=0,I367=""),"unrated",VLOOKUP(I367,MappingTables!$B$19:$C$31,2,FALSE))</f>
        <v>unrated</v>
      </c>
      <c r="K367" s="72">
        <v>34.993610428318944</v>
      </c>
      <c r="L367" s="70">
        <v>0.068493018306736416</v>
      </c>
      <c r="M367" s="71">
        <f>IF(L367&lt;1,1,L367)</f>
        <v>1</v>
      </c>
      <c r="N367" s="70" t="s">
        <v>3288</v>
      </c>
      <c r="O367" s="71">
        <f>IF(OR(I367=$A$1,I367=0),"",IF(N367=MappingTables!$C$14,VLOOKUP(J367,ModelParameters!$M$8:$N$15,2,FALSE),IF(N367=MappingTables!$C$16,VLOOKUP(J367,ModelParameters!$P$8:$Q$15,2,FALSE),0)))</f>
        <v>1</v>
      </c>
      <c r="P367" s="73">
        <f>IF(OR(I367=0,I367=$A$1),0,MIN(O367*M367,1)*K367)</f>
        <v>34.993610428318944</v>
      </c>
      <c r="Q367" s="73">
        <f>IF(B367="",0,IF(OR(H367=MappingTables!$C$34,H367=MappingTables!$C$35),P367,0))</f>
        <v>0</v>
      </c>
      <c r="R367" s="73">
        <f>IF(ISNA(IF(AND(VLOOKUP(CONCATENATE($D367,$G367),CSRFinput!$B:$E,4,0)=0,OR(H367=MappingTables!$C$31,H367=MappingTables!$C$32)),1,VLOOKUP(CONCATENATE($D367,$G367),CSRFinput!$B:$E,4,0))),0,IF(AND(VLOOKUP(CONCATENATE($D367,$G367),CSRFinput!$B:$E,4,0)=0,OR(H367=MappingTables!$C$31,H367=MappingTables!$C$32)),1,VLOOKUP(CONCATENATE($D367,$G367),CSRFinput!$B:$E,4,0)))</f>
        <v>0.054776304963434752</v>
      </c>
      <c r="S367" s="73">
        <f>IF(B367="",0,P367*R367)</f>
        <v>1.9168206765932292</v>
      </c>
      <c r="T367" s="85">
        <f>IF(B367="",0,IF(OR(H367=MappingTables!$C$34,H367=MappingTables!$C$35),S367,0))</f>
        <v>0</v>
      </c>
    </row>
    <row r="368" spans="2:20" s="0" customFormat="0" ht="15">
      <c r="B368" s="69" t="s">
        <v>3315</v>
      </c>
      <c r="C368" s="70" t="s">
        <v>3316</v>
      </c>
      <c r="D368" s="70" t="s">
        <v>1</v>
      </c>
      <c r="E368" s="70" t="s">
        <v>1</v>
      </c>
      <c r="F368" s="70"/>
      <c r="G368" s="70" t="s">
        <v>61</v>
      </c>
      <c r="H368" s="70" t="s">
        <v>178</v>
      </c>
      <c r="I368" s="70" t="s">
        <v>181</v>
      </c>
      <c r="J368" s="71">
        <f>IF(OR(I368=0,I368=""),"unrated",VLOOKUP(I368,MappingTables!$B$19:$C$31,2,FALSE))</f>
        <v>3</v>
      </c>
      <c r="K368" s="72">
        <v>46.76636689064768</v>
      </c>
      <c r="L368" s="70">
        <v>0.068493428707624368</v>
      </c>
      <c r="M368" s="71">
        <f>IF(L368&lt;1,1,L368)</f>
        <v>1</v>
      </c>
      <c r="N368" s="70" t="s">
        <v>3288</v>
      </c>
      <c r="O368" s="71">
        <f>IF(OR(I368=$A$1,I368=0),"",IF(N368=MappingTables!$C$14,VLOOKUP(J368,ModelParameters!$M$8:$N$15,2,FALSE),IF(N368=MappingTables!$C$16,VLOOKUP(J368,ModelParameters!$P$8:$Q$15,2,FALSE),0)))</f>
        <v>0.197</v>
      </c>
      <c r="P368" s="73">
        <f>IF(OR(I368=0,I368=$A$1),0,MIN(O368*M368,1)*K368)</f>
        <v>9.212974277457592</v>
      </c>
      <c r="Q368" s="73">
        <f>IF(B368="",0,IF(OR(H368=MappingTables!$C$34,H368=MappingTables!$C$35),P368,0))</f>
        <v>0</v>
      </c>
      <c r="R368" s="73">
        <f>IF(ISNA(IF(AND(VLOOKUP(CONCATENATE($D368,$G368),CSRFinput!$B:$E,4,0)=0,OR(H368=MappingTables!$C$31,H368=MappingTables!$C$32)),1,VLOOKUP(CONCATENATE($D368,$G368),CSRFinput!$B:$E,4,0))),0,IF(AND(VLOOKUP(CONCATENATE($D368,$G368),CSRFinput!$B:$E,4,0)=0,OR(H368=MappingTables!$C$31,H368=MappingTables!$C$32)),1,VLOOKUP(CONCATENATE($D368,$G368),CSRFinput!$B:$E,4,0)))</f>
        <v>0.054776304963434752</v>
      </c>
      <c r="S368" s="73">
        <f>IF(B368="",0,P368*R368)</f>
        <v>0.50465268864229696</v>
      </c>
      <c r="T368" s="85">
        <f>IF(B368="",0,IF(OR(H368=MappingTables!$C$34,H368=MappingTables!$C$35),S368,0))</f>
        <v>0</v>
      </c>
    </row>
    <row r="369" spans="2:20" s="0" customFormat="0" ht="15">
      <c r="B369" s="69" t="s">
        <v>3866</v>
      </c>
      <c r="C369" s="70" t="s">
        <v>3867</v>
      </c>
      <c r="D369" s="70" t="s">
        <v>1</v>
      </c>
      <c r="E369" s="70" t="s">
        <v>1</v>
      </c>
      <c r="F369" s="70"/>
      <c r="G369" s="70" t="s">
        <v>61</v>
      </c>
      <c r="H369" s="70" t="s">
        <v>178</v>
      </c>
      <c r="I369" s="70" t="s">
        <v>198</v>
      </c>
      <c r="J369" s="71" t="str">
        <f>IF(OR(I369=0,I369=""),"unrated",VLOOKUP(I369,MappingTables!$B$19:$C$31,2,FALSE))</f>
        <v>unrated</v>
      </c>
      <c r="K369" s="72">
        <v>57.914049573449872</v>
      </c>
      <c r="L369" s="70">
        <v>9.7484624468117808</v>
      </c>
      <c r="M369" s="71">
        <f>IF(L369&lt;1,1,L369)</f>
        <v>9.7484624468117808</v>
      </c>
      <c r="N369" s="70" t="s">
        <v>3288</v>
      </c>
      <c r="O369" s="71">
        <f>IF(OR(I369=$A$1,I369=0),"",IF(N369=MappingTables!$C$14,VLOOKUP(J369,ModelParameters!$M$8:$N$15,2,FALSE),IF(N369=MappingTables!$C$16,VLOOKUP(J369,ModelParameters!$P$8:$Q$15,2,FALSE),0)))</f>
        <v>1</v>
      </c>
      <c r="P369" s="73">
        <f>IF(OR(I369=0,I369=$A$1),0,MIN(O369*M369,1)*K369)</f>
        <v>57.914049573449872</v>
      </c>
      <c r="Q369" s="73">
        <f>IF(B369="",0,IF(OR(H369=MappingTables!$C$34,H369=MappingTables!$C$35),P369,0))</f>
        <v>0</v>
      </c>
      <c r="R369" s="73">
        <f>IF(ISNA(IF(AND(VLOOKUP(CONCATENATE($D369,$G369),CSRFinput!$B:$E,4,0)=0,OR(H369=MappingTables!$C$31,H369=MappingTables!$C$32)),1,VLOOKUP(CONCATENATE($D369,$G369),CSRFinput!$B:$E,4,0))),0,IF(AND(VLOOKUP(CONCATENATE($D369,$G369),CSRFinput!$B:$E,4,0)=0,OR(H369=MappingTables!$C$31,H369=MappingTables!$C$32)),1,VLOOKUP(CONCATENATE($D369,$G369),CSRFinput!$B:$E,4,0)))</f>
        <v>0.054776304963434752</v>
      </c>
      <c r="S369" s="73">
        <f>IF(B369="",0,P369*R369)</f>
        <v>3.1723176411027688</v>
      </c>
      <c r="T369" s="85">
        <f>IF(B369="",0,IF(OR(H369=MappingTables!$C$34,H369=MappingTables!$C$35),S369,0))</f>
        <v>0</v>
      </c>
    </row>
    <row r="370" spans="2:20" s="0" customFormat="0" ht="15">
      <c r="B370" s="69">
        <v>1551422</v>
      </c>
      <c r="C370" s="70" t="s">
        <v>3868</v>
      </c>
      <c r="D370" s="70" t="s">
        <v>1</v>
      </c>
      <c r="E370" s="70" t="s">
        <v>1</v>
      </c>
      <c r="F370" s="70"/>
      <c r="G370" s="70" t="s">
        <v>61</v>
      </c>
      <c r="H370" s="70" t="s">
        <v>178</v>
      </c>
      <c r="I370" s="70" t="s">
        <v>184</v>
      </c>
      <c r="J370" s="71">
        <f>IF(OR(I370=0,I370=""),"unrated",VLOOKUP(I370,MappingTables!$B$19:$C$31,2,FALSE))</f>
        <v>5</v>
      </c>
      <c r="K370" s="72">
        <v>1.974751169839966</v>
      </c>
      <c r="L370" s="70">
        <v>-0.21400506652030456</v>
      </c>
      <c r="M370" s="71">
        <f>IF(L370&lt;1,1,L370)</f>
        <v>1</v>
      </c>
      <c r="N370" s="70" t="s">
        <v>3288</v>
      </c>
      <c r="O370" s="71">
        <f>IF(OR(I370=$A$1,I370=0),"",IF(N370=MappingTables!$C$14,VLOOKUP(J370,ModelParameters!$M$8:$N$15,2,FALSE),IF(N370=MappingTables!$C$16,VLOOKUP(J370,ModelParameters!$P$8:$Q$15,2,FALSE),0)))</f>
        <v>1</v>
      </c>
      <c r="P370" s="73">
        <f>IF(OR(I370=0,I370=$A$1),0,MIN(O370*M370,1)*K370)</f>
        <v>1.974751169839966</v>
      </c>
      <c r="Q370" s="73">
        <f>IF(B370="",0,IF(OR(H370=MappingTables!$C$34,H370=MappingTables!$C$35),P370,0))</f>
        <v>0</v>
      </c>
      <c r="R370" s="73">
        <f>IF(ISNA(IF(AND(VLOOKUP(CONCATENATE($D370,$G370),CSRFinput!$B:$E,4,0)=0,OR(H370=MappingTables!$C$31,H370=MappingTables!$C$32)),1,VLOOKUP(CONCATENATE($D370,$G370),CSRFinput!$B:$E,4,0))),0,IF(AND(VLOOKUP(CONCATENATE($D370,$G370),CSRFinput!$B:$E,4,0)=0,OR(H370=MappingTables!$C$31,H370=MappingTables!$C$32)),1,VLOOKUP(CONCATENATE($D370,$G370),CSRFinput!$B:$E,4,0)))</f>
        <v>0.054776304963434752</v>
      </c>
      <c r="S370" s="73">
        <f>IF(B370="",0,P370*R370)</f>
        <v>0.10816957230605352</v>
      </c>
      <c r="T370" s="85">
        <f>IF(B370="",0,IF(OR(H370=MappingTables!$C$34,H370=MappingTables!$C$35),S370,0))</f>
        <v>0</v>
      </c>
    </row>
    <row r="371" spans="2:20" s="0" customFormat="0" ht="15">
      <c r="B371" s="69" t="s">
        <v>3869</v>
      </c>
      <c r="C371" s="70" t="s">
        <v>3870</v>
      </c>
      <c r="D371" s="70" t="s">
        <v>1</v>
      </c>
      <c r="E371" s="70" t="s">
        <v>1</v>
      </c>
      <c r="F371" s="70"/>
      <c r="G371" s="70" t="s">
        <v>61</v>
      </c>
      <c r="H371" s="70" t="s">
        <v>178</v>
      </c>
      <c r="I371" s="70" t="s">
        <v>3298</v>
      </c>
      <c r="J371" s="71">
        <f>IF(OR(I371=0,I371=""),"unrated",VLOOKUP(I371,MappingTables!$B$19:$C$31,2,FALSE))</f>
        <v>6</v>
      </c>
      <c r="K371" s="72">
        <v>591.62325608193792</v>
      </c>
      <c r="L371" s="70">
        <v>0.068492732658812784</v>
      </c>
      <c r="M371" s="71">
        <f>IF(L371&lt;1,1,L371)</f>
        <v>1</v>
      </c>
      <c r="N371" s="70" t="s">
        <v>3288</v>
      </c>
      <c r="O371" s="71">
        <f>IF(OR(I371=$A$1,I371=0),"",IF(N371=MappingTables!$C$14,VLOOKUP(J371,ModelParameters!$M$8:$N$15,2,FALSE),IF(N371=MappingTables!$C$16,VLOOKUP(J371,ModelParameters!$P$8:$Q$15,2,FALSE),0)))</f>
        <v>1</v>
      </c>
      <c r="P371" s="73">
        <f>IF(OR(I371=0,I371=$A$1),0,MIN(O371*M371,1)*K371)</f>
        <v>591.62325608193792</v>
      </c>
      <c r="Q371" s="73">
        <f>IF(B371="",0,IF(OR(H371=MappingTables!$C$34,H371=MappingTables!$C$35),P371,0))</f>
        <v>0</v>
      </c>
      <c r="R371" s="73">
        <f>IF(ISNA(IF(AND(VLOOKUP(CONCATENATE($D371,$G371),CSRFinput!$B:$E,4,0)=0,OR(H371=MappingTables!$C$31,H371=MappingTables!$C$32)),1,VLOOKUP(CONCATENATE($D371,$G371),CSRFinput!$B:$E,4,0))),0,IF(AND(VLOOKUP(CONCATENATE($D371,$G371),CSRFinput!$B:$E,4,0)=0,OR(H371=MappingTables!$C$31,H371=MappingTables!$C$32)),1,VLOOKUP(CONCATENATE($D371,$G371),CSRFinput!$B:$E,4,0)))</f>
        <v>0.054776304963434752</v>
      </c>
      <c r="S371" s="73">
        <f>IF(B371="",0,P371*R371)</f>
        <v>32.406935898604488</v>
      </c>
      <c r="T371" s="85">
        <f>IF(B371="",0,IF(OR(H371=MappingTables!$C$34,H371=MappingTables!$C$35),S371,0))</f>
        <v>0</v>
      </c>
    </row>
    <row r="372" spans="2:20" s="0" customFormat="0" ht="15">
      <c r="B372" s="69" t="s">
        <v>3871</v>
      </c>
      <c r="C372" s="70" t="s">
        <v>3872</v>
      </c>
      <c r="D372" s="70" t="s">
        <v>1</v>
      </c>
      <c r="E372" s="70" t="s">
        <v>1</v>
      </c>
      <c r="F372" s="70"/>
      <c r="G372" s="70" t="s">
        <v>61</v>
      </c>
      <c r="H372" s="70" t="s">
        <v>178</v>
      </c>
      <c r="I372" s="70" t="s">
        <v>198</v>
      </c>
      <c r="J372" s="71" t="str">
        <f>IF(OR(I372=0,I372=""),"unrated",VLOOKUP(I372,MappingTables!$B$19:$C$31,2,FALSE))</f>
        <v>unrated</v>
      </c>
      <c r="K372" s="72">
        <v>0.00061507837998157216</v>
      </c>
      <c r="L372" s="70">
        <v>0.19095239887866124</v>
      </c>
      <c r="M372" s="71">
        <f>IF(L372&lt;1,1,L372)</f>
        <v>1</v>
      </c>
      <c r="N372" s="70" t="s">
        <v>3288</v>
      </c>
      <c r="O372" s="71">
        <f>IF(OR(I372=$A$1,I372=0),"",IF(N372=MappingTables!$C$14,VLOOKUP(J372,ModelParameters!$M$8:$N$15,2,FALSE),IF(N372=MappingTables!$C$16,VLOOKUP(J372,ModelParameters!$P$8:$Q$15,2,FALSE),0)))</f>
        <v>1</v>
      </c>
      <c r="P372" s="73">
        <f>IF(OR(I372=0,I372=$A$1),0,MIN(O372*M372,1)*K372)</f>
        <v>0.00061507837998157216</v>
      </c>
      <c r="Q372" s="73">
        <f>IF(B372="",0,IF(OR(H372=MappingTables!$C$34,H372=MappingTables!$C$35),P372,0))</f>
        <v>0</v>
      </c>
      <c r="R372" s="73">
        <f>IF(ISNA(IF(AND(VLOOKUP(CONCATENATE($D372,$G372),CSRFinput!$B:$E,4,0)=0,OR(H372=MappingTables!$C$31,H372=MappingTables!$C$32)),1,VLOOKUP(CONCATENATE($D372,$G372),CSRFinput!$B:$E,4,0))),0,IF(AND(VLOOKUP(CONCATENATE($D372,$G372),CSRFinput!$B:$E,4,0)=0,OR(H372=MappingTables!$C$31,H372=MappingTables!$C$32)),1,VLOOKUP(CONCATENATE($D372,$G372),CSRFinput!$B:$E,4,0)))</f>
        <v>0.054776304963434752</v>
      </c>
      <c r="S372" s="73">
        <f>IF(B372="",0,P372*R372)</f>
        <v>0.000033691720918286</v>
      </c>
      <c r="T372" s="85">
        <f>IF(B372="",0,IF(OR(H372=MappingTables!$C$34,H372=MappingTables!$C$35),S372,0))</f>
        <v>0</v>
      </c>
    </row>
    <row r="373" spans="2:20" s="0" customFormat="0" ht="15">
      <c r="B373" s="69" t="s">
        <v>3873</v>
      </c>
      <c r="C373" s="70" t="s">
        <v>3874</v>
      </c>
      <c r="D373" s="70" t="s">
        <v>1</v>
      </c>
      <c r="E373" s="70" t="s">
        <v>1</v>
      </c>
      <c r="F373" s="70"/>
      <c r="G373" s="70" t="s">
        <v>61</v>
      </c>
      <c r="H373" s="70" t="s">
        <v>178</v>
      </c>
      <c r="I373" s="70" t="s">
        <v>188</v>
      </c>
      <c r="J373" s="71">
        <f>IF(OR(I373=0,I373=""),"unrated",VLOOKUP(I373,MappingTables!$B$19:$C$31,2,FALSE))</f>
        <v>2</v>
      </c>
      <c r="K373" s="72">
        <v>16.892928558517674</v>
      </c>
      <c r="L373" s="70">
        <v>0.068494521076858384</v>
      </c>
      <c r="M373" s="71">
        <f>IF(L373&lt;1,1,L373)</f>
        <v>1</v>
      </c>
      <c r="N373" s="70" t="s">
        <v>3288</v>
      </c>
      <c r="O373" s="71">
        <f>IF(OR(I373=$A$1,I373=0),"",IF(N373=MappingTables!$C$14,VLOOKUP(J373,ModelParameters!$M$8:$N$15,2,FALSE),IF(N373=MappingTables!$C$16,VLOOKUP(J373,ModelParameters!$P$8:$Q$15,2,FALSE),0)))</f>
        <v>0.166</v>
      </c>
      <c r="P373" s="73">
        <f>IF(OR(I373=0,I373=$A$1),0,MIN(O373*M373,1)*K373)</f>
        <v>2.804226140713934</v>
      </c>
      <c r="Q373" s="73">
        <f>IF(B373="",0,IF(OR(H373=MappingTables!$C$34,H373=MappingTables!$C$35),P373,0))</f>
        <v>0</v>
      </c>
      <c r="R373" s="73">
        <f>IF(ISNA(IF(AND(VLOOKUP(CONCATENATE($D373,$G373),CSRFinput!$B:$E,4,0)=0,OR(H373=MappingTables!$C$31,H373=MappingTables!$C$32)),1,VLOOKUP(CONCATENATE($D373,$G373),CSRFinput!$B:$E,4,0))),0,IF(AND(VLOOKUP(CONCATENATE($D373,$G373),CSRFinput!$B:$E,4,0)=0,OR(H373=MappingTables!$C$31,H373=MappingTables!$C$32)),1,VLOOKUP(CONCATENATE($D373,$G373),CSRFinput!$B:$E,4,0)))</f>
        <v>0.054776304963434752</v>
      </c>
      <c r="S373" s="73">
        <f>IF(B373="",0,P373*R373)</f>
        <v>0.15360514627018216</v>
      </c>
      <c r="T373" s="85">
        <f>IF(B373="",0,IF(OR(H373=MappingTables!$C$34,H373=MappingTables!$C$35),S373,0))</f>
        <v>0</v>
      </c>
    </row>
    <row r="374" spans="2:20" s="0" customFormat="0" ht="15">
      <c r="B374" s="69" t="s">
        <v>3875</v>
      </c>
      <c r="C374" s="70" t="s">
        <v>3876</v>
      </c>
      <c r="D374" s="70" t="s">
        <v>1</v>
      </c>
      <c r="E374" s="70" t="s">
        <v>1</v>
      </c>
      <c r="F374" s="70"/>
      <c r="G374" s="70" t="s">
        <v>61</v>
      </c>
      <c r="H374" s="70" t="s">
        <v>178</v>
      </c>
      <c r="I374" s="70" t="s">
        <v>3298</v>
      </c>
      <c r="J374" s="71">
        <f>IF(OR(I374=0,I374=""),"unrated",VLOOKUP(I374,MappingTables!$B$19:$C$31,2,FALSE))</f>
        <v>6</v>
      </c>
      <c r="K374" s="72">
        <v>3460.7194859716492</v>
      </c>
      <c r="L374" s="70">
        <v>0.78856399132711968</v>
      </c>
      <c r="M374" s="71">
        <f>IF(L374&lt;1,1,L374)</f>
        <v>1</v>
      </c>
      <c r="N374" s="70" t="s">
        <v>3288</v>
      </c>
      <c r="O374" s="71">
        <f>IF(OR(I374=$A$1,I374=0),"",IF(N374=MappingTables!$C$14,VLOOKUP(J374,ModelParameters!$M$8:$N$15,2,FALSE),IF(N374=MappingTables!$C$16,VLOOKUP(J374,ModelParameters!$P$8:$Q$15,2,FALSE),0)))</f>
        <v>1</v>
      </c>
      <c r="P374" s="73">
        <f>IF(OR(I374=0,I374=$A$1),0,MIN(O374*M374,1)*K374)</f>
        <v>3460.7194859716492</v>
      </c>
      <c r="Q374" s="73">
        <f>IF(B374="",0,IF(OR(H374=MappingTables!$C$34,H374=MappingTables!$C$35),P374,0))</f>
        <v>0</v>
      </c>
      <c r="R374" s="73">
        <f>IF(ISNA(IF(AND(VLOOKUP(CONCATENATE($D374,$G374),CSRFinput!$B:$E,4,0)=0,OR(H374=MappingTables!$C$31,H374=MappingTables!$C$32)),1,VLOOKUP(CONCATENATE($D374,$G374),CSRFinput!$B:$E,4,0))),0,IF(AND(VLOOKUP(CONCATENATE($D374,$G374),CSRFinput!$B:$E,4,0)=0,OR(H374=MappingTables!$C$31,H374=MappingTables!$C$32)),1,VLOOKUP(CONCATENATE($D374,$G374),CSRFinput!$B:$E,4,0)))</f>
        <v>0.054776304963434752</v>
      </c>
      <c r="S374" s="73">
        <f>IF(B374="",0,P374*R374)</f>
        <v>189.5654259564842</v>
      </c>
      <c r="T374" s="85">
        <f>IF(B374="",0,IF(OR(H374=MappingTables!$C$34,H374=MappingTables!$C$35),S374,0))</f>
        <v>0</v>
      </c>
    </row>
    <row r="375" spans="2:20" s="0" customFormat="0" ht="15">
      <c r="B375" s="69" t="s">
        <v>3694</v>
      </c>
      <c r="C375" s="70" t="s">
        <v>3695</v>
      </c>
      <c r="D375" s="70" t="s">
        <v>1</v>
      </c>
      <c r="E375" s="70" t="s">
        <v>1</v>
      </c>
      <c r="F375" s="70"/>
      <c r="G375" s="70" t="s">
        <v>61</v>
      </c>
      <c r="H375" s="70" t="s">
        <v>178</v>
      </c>
      <c r="I375" s="70" t="s">
        <v>198</v>
      </c>
      <c r="J375" s="71" t="str">
        <f>IF(OR(I375=0,I375=""),"unrated",VLOOKUP(I375,MappingTables!$B$19:$C$31,2,FALSE))</f>
        <v>unrated</v>
      </c>
      <c r="K375" s="72">
        <v>64.083679572251032</v>
      </c>
      <c r="L375" s="70">
        <v>0.06849553574670696</v>
      </c>
      <c r="M375" s="71">
        <f>IF(L375&lt;1,1,L375)</f>
        <v>1</v>
      </c>
      <c r="N375" s="70" t="s">
        <v>3288</v>
      </c>
      <c r="O375" s="71">
        <f>IF(OR(I375=$A$1,I375=0),"",IF(N375=MappingTables!$C$14,VLOOKUP(J375,ModelParameters!$M$8:$N$15,2,FALSE),IF(N375=MappingTables!$C$16,VLOOKUP(J375,ModelParameters!$P$8:$Q$15,2,FALSE),0)))</f>
        <v>1</v>
      </c>
      <c r="P375" s="73">
        <f>IF(OR(I375=0,I375=$A$1),0,MIN(O375*M375,1)*K375)</f>
        <v>64.083679572251032</v>
      </c>
      <c r="Q375" s="73">
        <f>IF(B375="",0,IF(OR(H375=MappingTables!$C$34,H375=MappingTables!$C$35),P375,0))</f>
        <v>0</v>
      </c>
      <c r="R375" s="73">
        <f>IF(ISNA(IF(AND(VLOOKUP(CONCATENATE($D375,$G375),CSRFinput!$B:$E,4,0)=0,OR(H375=MappingTables!$C$31,H375=MappingTables!$C$32)),1,VLOOKUP(CONCATENATE($D375,$G375),CSRFinput!$B:$E,4,0))),0,IF(AND(VLOOKUP(CONCATENATE($D375,$G375),CSRFinput!$B:$E,4,0)=0,OR(H375=MappingTables!$C$31,H375=MappingTables!$C$32)),1,VLOOKUP(CONCATENATE($D375,$G375),CSRFinput!$B:$E,4,0)))</f>
        <v>0.054776304963434752</v>
      </c>
      <c r="S375" s="73">
        <f>IF(B375="",0,P375*R375)</f>
        <v>3.5102671754286564</v>
      </c>
      <c r="T375" s="85">
        <f>IF(B375="",0,IF(OR(H375=MappingTables!$C$34,H375=MappingTables!$C$35),S375,0))</f>
        <v>0</v>
      </c>
    </row>
    <row r="376" spans="2:20" s="0" customFormat="0" ht="15">
      <c r="B376" s="69">
        <v>22554528</v>
      </c>
      <c r="C376" s="70" t="s">
        <v>3502</v>
      </c>
      <c r="D376" s="70" t="s">
        <v>1</v>
      </c>
      <c r="E376" s="70" t="s">
        <v>1</v>
      </c>
      <c r="F376" s="70"/>
      <c r="G376" s="70" t="s">
        <v>61</v>
      </c>
      <c r="H376" s="70" t="s">
        <v>178</v>
      </c>
      <c r="I376" s="70" t="s">
        <v>513</v>
      </c>
      <c r="J376" s="71">
        <f>IF(OR(I376=0,I376=""),"unrated",VLOOKUP(I376,MappingTables!$B$19:$C$31,2,FALSE))</f>
        <v>6</v>
      </c>
      <c r="K376" s="72">
        <v>1708.1056052792878</v>
      </c>
      <c r="L376" s="70">
        <v>0.068491109533826648</v>
      </c>
      <c r="M376" s="71">
        <f>IF(L376&lt;1,1,L376)</f>
        <v>1</v>
      </c>
      <c r="N376" s="70" t="s">
        <v>3288</v>
      </c>
      <c r="O376" s="71">
        <f>IF(OR(I376=$A$1,I376=0),"",IF(N376=MappingTables!$C$14,VLOOKUP(J376,ModelParameters!$M$8:$N$15,2,FALSE),IF(N376=MappingTables!$C$16,VLOOKUP(J376,ModelParameters!$P$8:$Q$15,2,FALSE),0)))</f>
        <v>1</v>
      </c>
      <c r="P376" s="73">
        <f>IF(OR(I376=0,I376=$A$1),0,MIN(O376*M376,1)*K376)</f>
        <v>1708.1056052792878</v>
      </c>
      <c r="Q376" s="73">
        <f>IF(B376="",0,IF(OR(H376=MappingTables!$C$34,H376=MappingTables!$C$35),P376,0))</f>
        <v>0</v>
      </c>
      <c r="R376" s="73">
        <f>IF(ISNA(IF(AND(VLOOKUP(CONCATENATE($D376,$G376),CSRFinput!$B:$E,4,0)=0,OR(H376=MappingTables!$C$31,H376=MappingTables!$C$32)),1,VLOOKUP(CONCATENATE($D376,$G376),CSRFinput!$B:$E,4,0))),0,IF(AND(VLOOKUP(CONCATENATE($D376,$G376),CSRFinput!$B:$E,4,0)=0,OR(H376=MappingTables!$C$31,H376=MappingTables!$C$32)),1,VLOOKUP(CONCATENATE($D376,$G376),CSRFinput!$B:$E,4,0)))</f>
        <v>0.054776304963434752</v>
      </c>
      <c r="S376" s="73">
        <f>IF(B376="",0,P376*R376)</f>
        <v>93.563713544530576</v>
      </c>
      <c r="T376" s="85">
        <f>IF(B376="",0,IF(OR(H376=MappingTables!$C$34,H376=MappingTables!$C$35),S376,0))</f>
        <v>0</v>
      </c>
    </row>
    <row r="377" spans="2:20" s="0" customFormat="0" ht="15">
      <c r="B377" s="69">
        <v>22554357</v>
      </c>
      <c r="C377" s="70" t="s">
        <v>3877</v>
      </c>
      <c r="D377" s="70" t="s">
        <v>1</v>
      </c>
      <c r="E377" s="70" t="s">
        <v>1</v>
      </c>
      <c r="F377" s="70"/>
      <c r="G377" s="70" t="s">
        <v>61</v>
      </c>
      <c r="H377" s="70" t="s">
        <v>178</v>
      </c>
      <c r="I377" s="70" t="s">
        <v>198</v>
      </c>
      <c r="J377" s="71" t="str">
        <f>IF(OR(I377=0,I377=""),"unrated",VLOOKUP(I377,MappingTables!$B$19:$C$31,2,FALSE))</f>
        <v>unrated</v>
      </c>
      <c r="K377" s="72">
        <v>40.844365904558288</v>
      </c>
      <c r="L377" s="70">
        <v>0.029668737205686772</v>
      </c>
      <c r="M377" s="71">
        <f>IF(L377&lt;1,1,L377)</f>
        <v>1</v>
      </c>
      <c r="N377" s="70" t="s">
        <v>3288</v>
      </c>
      <c r="O377" s="71">
        <f>IF(OR(I377=$A$1,I377=0),"",IF(N377=MappingTables!$C$14,VLOOKUP(J377,ModelParameters!$M$8:$N$15,2,FALSE),IF(N377=MappingTables!$C$16,VLOOKUP(J377,ModelParameters!$P$8:$Q$15,2,FALSE),0)))</f>
        <v>1</v>
      </c>
      <c r="P377" s="73">
        <f>IF(OR(I377=0,I377=$A$1),0,MIN(O377*M377,1)*K377)</f>
        <v>40.844365904558288</v>
      </c>
      <c r="Q377" s="73">
        <f>IF(B377="",0,IF(OR(H377=MappingTables!$C$34,H377=MappingTables!$C$35),P377,0))</f>
        <v>0</v>
      </c>
      <c r="R377" s="73">
        <f>IF(ISNA(IF(AND(VLOOKUP(CONCATENATE($D377,$G377),CSRFinput!$B:$E,4,0)=0,OR(H377=MappingTables!$C$31,H377=MappingTables!$C$32)),1,VLOOKUP(CONCATENATE($D377,$G377),CSRFinput!$B:$E,4,0))),0,IF(AND(VLOOKUP(CONCATENATE($D377,$G377),CSRFinput!$B:$E,4,0)=0,OR(H377=MappingTables!$C$31,H377=MappingTables!$C$32)),1,VLOOKUP(CONCATENATE($D377,$G377),CSRFinput!$B:$E,4,0)))</f>
        <v>0.054776304963434752</v>
      </c>
      <c r="S377" s="73">
        <f>IF(B377="",0,P377*R377)</f>
        <v>2.2373034428262012</v>
      </c>
      <c r="T377" s="85">
        <f>IF(B377="",0,IF(OR(H377=MappingTables!$C$34,H377=MappingTables!$C$35),S377,0))</f>
        <v>0</v>
      </c>
    </row>
    <row r="378" spans="2:20" s="0" customFormat="0" ht="15">
      <c r="B378" s="69" t="s">
        <v>3878</v>
      </c>
      <c r="C378" s="70" t="s">
        <v>3879</v>
      </c>
      <c r="D378" s="70" t="s">
        <v>1</v>
      </c>
      <c r="E378" s="70" t="s">
        <v>1</v>
      </c>
      <c r="F378" s="70"/>
      <c r="G378" s="70" t="s">
        <v>61</v>
      </c>
      <c r="H378" s="70" t="s">
        <v>178</v>
      </c>
      <c r="I378" s="70" t="s">
        <v>184</v>
      </c>
      <c r="J378" s="71">
        <f>IF(OR(I378=0,I378=""),"unrated",VLOOKUP(I378,MappingTables!$B$19:$C$31,2,FALSE))</f>
        <v>5</v>
      </c>
      <c r="K378" s="72">
        <v>166.4411265016118</v>
      </c>
      <c r="L378" s="70">
        <v>0.068489121205546152</v>
      </c>
      <c r="M378" s="71">
        <f>IF(L378&lt;1,1,L378)</f>
        <v>1</v>
      </c>
      <c r="N378" s="70" t="s">
        <v>3288</v>
      </c>
      <c r="O378" s="71">
        <f>IF(OR(I378=$A$1,I378=0),"",IF(N378=MappingTables!$C$14,VLOOKUP(J378,ModelParameters!$M$8:$N$15,2,FALSE),IF(N378=MappingTables!$C$16,VLOOKUP(J378,ModelParameters!$P$8:$Q$15,2,FALSE),0)))</f>
        <v>1</v>
      </c>
      <c r="P378" s="73">
        <f>IF(OR(I378=0,I378=$A$1),0,MIN(O378*M378,1)*K378)</f>
        <v>166.4411265016118</v>
      </c>
      <c r="Q378" s="73">
        <f>IF(B378="",0,IF(OR(H378=MappingTables!$C$34,H378=MappingTables!$C$35),P378,0))</f>
        <v>0</v>
      </c>
      <c r="R378" s="73">
        <f>IF(ISNA(IF(AND(VLOOKUP(CONCATENATE($D378,$G378),CSRFinput!$B:$E,4,0)=0,OR(H378=MappingTables!$C$31,H378=MappingTables!$C$32)),1,VLOOKUP(CONCATENATE($D378,$G378),CSRFinput!$B:$E,4,0))),0,IF(AND(VLOOKUP(CONCATENATE($D378,$G378),CSRFinput!$B:$E,4,0)=0,OR(H378=MappingTables!$C$31,H378=MappingTables!$C$32)),1,VLOOKUP(CONCATENATE($D378,$G378),CSRFinput!$B:$E,4,0)))</f>
        <v>0.054776304963434752</v>
      </c>
      <c r="S378" s="73">
        <f>IF(B378="",0,P378*R378)</f>
        <v>9.1170299037099088</v>
      </c>
      <c r="T378" s="85">
        <f>IF(B378="",0,IF(OR(H378=MappingTables!$C$34,H378=MappingTables!$C$35),S378,0))</f>
        <v>0</v>
      </c>
    </row>
    <row r="379" spans="2:20" s="0" customFormat="0" ht="15">
      <c r="B379" s="69">
        <v>16974058</v>
      </c>
      <c r="C379" s="70" t="s">
        <v>3880</v>
      </c>
      <c r="D379" s="70" t="s">
        <v>1</v>
      </c>
      <c r="E379" s="70" t="s">
        <v>1</v>
      </c>
      <c r="F379" s="70"/>
      <c r="G379" s="70" t="s">
        <v>61</v>
      </c>
      <c r="H379" s="70" t="s">
        <v>178</v>
      </c>
      <c r="I379" s="70" t="s">
        <v>198</v>
      </c>
      <c r="J379" s="71" t="str">
        <f>IF(OR(I379=0,I379=""),"unrated",VLOOKUP(I379,MappingTables!$B$19:$C$31,2,FALSE))</f>
        <v>unrated</v>
      </c>
      <c r="K379" s="72">
        <v>370.072595622522</v>
      </c>
      <c r="L379" s="70">
        <v>0.098809893247673408</v>
      </c>
      <c r="M379" s="71">
        <f>IF(L379&lt;1,1,L379)</f>
        <v>1</v>
      </c>
      <c r="N379" s="70" t="s">
        <v>3288</v>
      </c>
      <c r="O379" s="71">
        <f>IF(OR(I379=$A$1,I379=0),"",IF(N379=MappingTables!$C$14,VLOOKUP(J379,ModelParameters!$M$8:$N$15,2,FALSE),IF(N379=MappingTables!$C$16,VLOOKUP(J379,ModelParameters!$P$8:$Q$15,2,FALSE),0)))</f>
        <v>1</v>
      </c>
      <c r="P379" s="73">
        <f>IF(OR(I379=0,I379=$A$1),0,MIN(O379*M379,1)*K379)</f>
        <v>370.072595622522</v>
      </c>
      <c r="Q379" s="73">
        <f>IF(B379="",0,IF(OR(H379=MappingTables!$C$34,H379=MappingTables!$C$35),P379,0))</f>
        <v>0</v>
      </c>
      <c r="R379" s="73">
        <f>IF(ISNA(IF(AND(VLOOKUP(CONCATENATE($D379,$G379),CSRFinput!$B:$E,4,0)=0,OR(H379=MappingTables!$C$31,H379=MappingTables!$C$32)),1,VLOOKUP(CONCATENATE($D379,$G379),CSRFinput!$B:$E,4,0))),0,IF(AND(VLOOKUP(CONCATENATE($D379,$G379),CSRFinput!$B:$E,4,0)=0,OR(H379=MappingTables!$C$31,H379=MappingTables!$C$32)),1,VLOOKUP(CONCATENATE($D379,$G379),CSRFinput!$B:$E,4,0)))</f>
        <v>0.054776304963434752</v>
      </c>
      <c r="S379" s="73">
        <f>IF(B379="",0,P379*R379)</f>
        <v>20.271209356429132</v>
      </c>
      <c r="T379" s="85">
        <f>IF(B379="",0,IF(OR(H379=MappingTables!$C$34,H379=MappingTables!$C$35),S379,0))</f>
        <v>0</v>
      </c>
    </row>
    <row r="380" spans="2:20" s="0" customFormat="0" ht="15">
      <c r="B380" s="69" t="s">
        <v>3881</v>
      </c>
      <c r="C380" s="70" t="s">
        <v>3882</v>
      </c>
      <c r="D380" s="70" t="s">
        <v>1</v>
      </c>
      <c r="E380" s="70" t="s">
        <v>1</v>
      </c>
      <c r="F380" s="70"/>
      <c r="G380" s="70" t="s">
        <v>61</v>
      </c>
      <c r="H380" s="70" t="s">
        <v>178</v>
      </c>
      <c r="I380" s="70" t="s">
        <v>179</v>
      </c>
      <c r="J380" s="71">
        <f>IF(OR(I380=0,I380=""),"unrated",VLOOKUP(I380,MappingTables!$B$19:$C$31,2,FALSE))</f>
        <v>4</v>
      </c>
      <c r="K380" s="72">
        <v>3.6500994679203952</v>
      </c>
      <c r="L380" s="70">
        <v>0.068491537459024008</v>
      </c>
      <c r="M380" s="71">
        <f>IF(L380&lt;1,1,L380)</f>
        <v>1</v>
      </c>
      <c r="N380" s="70" t="s">
        <v>3288</v>
      </c>
      <c r="O380" s="71">
        <f>IF(OR(I380=$A$1,I380=0),"",IF(N380=MappingTables!$C$14,VLOOKUP(J380,ModelParameters!$M$8:$N$15,2,FALSE),IF(N380=MappingTables!$C$16,VLOOKUP(J380,ModelParameters!$P$8:$Q$15,2,FALSE),0)))</f>
        <v>0.82</v>
      </c>
      <c r="P380" s="73">
        <f>IF(OR(I380=0,I380=$A$1),0,MIN(O380*M380,1)*K380)</f>
        <v>2.993081563694724</v>
      </c>
      <c r="Q380" s="73">
        <f>IF(B380="",0,IF(OR(H380=MappingTables!$C$34,H380=MappingTables!$C$35),P380,0))</f>
        <v>0</v>
      </c>
      <c r="R380" s="73">
        <f>IF(ISNA(IF(AND(VLOOKUP(CONCATENATE($D380,$G380),CSRFinput!$B:$E,4,0)=0,OR(H380=MappingTables!$C$31,H380=MappingTables!$C$32)),1,VLOOKUP(CONCATENATE($D380,$G380),CSRFinput!$B:$E,4,0))),0,IF(AND(VLOOKUP(CONCATENATE($D380,$G380),CSRFinput!$B:$E,4,0)=0,OR(H380=MappingTables!$C$31,H380=MappingTables!$C$32)),1,VLOOKUP(CONCATENATE($D380,$G380),CSRFinput!$B:$E,4,0)))</f>
        <v>0.054776304963434752</v>
      </c>
      <c r="S380" s="73">
        <f>IF(B380="",0,P380*R380)</f>
        <v>0.16394994851337636</v>
      </c>
      <c r="T380" s="85">
        <f>IF(B380="",0,IF(OR(H380=MappingTables!$C$34,H380=MappingTables!$C$35),S380,0))</f>
        <v>0</v>
      </c>
    </row>
    <row r="381" spans="2:20" s="0" customFormat="0" ht="15">
      <c r="B381" s="69" t="s">
        <v>3883</v>
      </c>
      <c r="C381" s="70" t="s">
        <v>3884</v>
      </c>
      <c r="D381" s="70" t="s">
        <v>1</v>
      </c>
      <c r="E381" s="70" t="s">
        <v>1</v>
      </c>
      <c r="F381" s="70"/>
      <c r="G381" s="70" t="s">
        <v>61</v>
      </c>
      <c r="H381" s="70" t="s">
        <v>178</v>
      </c>
      <c r="I381" s="70" t="s">
        <v>198</v>
      </c>
      <c r="J381" s="71" t="str">
        <f>IF(OR(I381=0,I381=""),"unrated",VLOOKUP(I381,MappingTables!$B$19:$C$31,2,FALSE))</f>
        <v>unrated</v>
      </c>
      <c r="K381" s="72">
        <v>4.3654656061941456</v>
      </c>
      <c r="L381" s="70">
        <v>21.353334949578952</v>
      </c>
      <c r="M381" s="71">
        <f>IF(L381&lt;1,1,L381)</f>
        <v>21.353334949578952</v>
      </c>
      <c r="N381" s="70" t="s">
        <v>3288</v>
      </c>
      <c r="O381" s="71">
        <f>IF(OR(I381=$A$1,I381=0),"",IF(N381=MappingTables!$C$14,VLOOKUP(J381,ModelParameters!$M$8:$N$15,2,FALSE),IF(N381=MappingTables!$C$16,VLOOKUP(J381,ModelParameters!$P$8:$Q$15,2,FALSE),0)))</f>
        <v>1</v>
      </c>
      <c r="P381" s="73">
        <f>IF(OR(I381=0,I381=$A$1),0,MIN(O381*M381,1)*K381)</f>
        <v>4.3654656061941456</v>
      </c>
      <c r="Q381" s="73">
        <f>IF(B381="",0,IF(OR(H381=MappingTables!$C$34,H381=MappingTables!$C$35),P381,0))</f>
        <v>0</v>
      </c>
      <c r="R381" s="73">
        <f>IF(ISNA(IF(AND(VLOOKUP(CONCATENATE($D381,$G381),CSRFinput!$B:$E,4,0)=0,OR(H381=MappingTables!$C$31,H381=MappingTables!$C$32)),1,VLOOKUP(CONCATENATE($D381,$G381),CSRFinput!$B:$E,4,0))),0,IF(AND(VLOOKUP(CONCATENATE($D381,$G381),CSRFinput!$B:$E,4,0)=0,OR(H381=MappingTables!$C$31,H381=MappingTables!$C$32)),1,VLOOKUP(CONCATENATE($D381,$G381),CSRFinput!$B:$E,4,0)))</f>
        <v>0.054776304963434752</v>
      </c>
      <c r="S381" s="73">
        <f>IF(B381="",0,P381*R381)</f>
        <v>0.23912407535227608</v>
      </c>
      <c r="T381" s="85">
        <f>IF(B381="",0,IF(OR(H381=MappingTables!$C$34,H381=MappingTables!$C$35),S381,0))</f>
        <v>0</v>
      </c>
    </row>
    <row r="382" spans="2:20" s="0" customFormat="0" ht="15">
      <c r="B382" s="69">
        <v>22623656</v>
      </c>
      <c r="C382" s="70" t="s">
        <v>3427</v>
      </c>
      <c r="D382" s="70" t="s">
        <v>1</v>
      </c>
      <c r="E382" s="70" t="s">
        <v>1</v>
      </c>
      <c r="F382" s="70"/>
      <c r="G382" s="70" t="s">
        <v>61</v>
      </c>
      <c r="H382" s="70" t="s">
        <v>178</v>
      </c>
      <c r="I382" s="70" t="s">
        <v>198</v>
      </c>
      <c r="J382" s="71" t="str">
        <f>IF(OR(I382=0,I382=""),"unrated",VLOOKUP(I382,MappingTables!$B$19:$C$31,2,FALSE))</f>
        <v>unrated</v>
      </c>
      <c r="K382" s="72">
        <v>233.53500542807332</v>
      </c>
      <c r="L382" s="70">
        <v>0.07551700425332128</v>
      </c>
      <c r="M382" s="71">
        <f>IF(L382&lt;1,1,L382)</f>
        <v>1</v>
      </c>
      <c r="N382" s="70" t="s">
        <v>3288</v>
      </c>
      <c r="O382" s="71">
        <f>IF(OR(I382=$A$1,I382=0),"",IF(N382=MappingTables!$C$14,VLOOKUP(J382,ModelParameters!$M$8:$N$15,2,FALSE),IF(N382=MappingTables!$C$16,VLOOKUP(J382,ModelParameters!$P$8:$Q$15,2,FALSE),0)))</f>
        <v>1</v>
      </c>
      <c r="P382" s="73">
        <f>IF(OR(I382=0,I382=$A$1),0,MIN(O382*M382,1)*K382)</f>
        <v>233.53500542807332</v>
      </c>
      <c r="Q382" s="73">
        <f>IF(B382="",0,IF(OR(H382=MappingTables!$C$34,H382=MappingTables!$C$35),P382,0))</f>
        <v>0</v>
      </c>
      <c r="R382" s="73">
        <f>IF(ISNA(IF(AND(VLOOKUP(CONCATENATE($D382,$G382),CSRFinput!$B:$E,4,0)=0,OR(H382=MappingTables!$C$31,H382=MappingTables!$C$32)),1,VLOOKUP(CONCATENATE($D382,$G382),CSRFinput!$B:$E,4,0))),0,IF(AND(VLOOKUP(CONCATENATE($D382,$G382),CSRFinput!$B:$E,4,0)=0,OR(H382=MappingTables!$C$31,H382=MappingTables!$C$32)),1,VLOOKUP(CONCATENATE($D382,$G382),CSRFinput!$B:$E,4,0)))</f>
        <v>0.054776304963434752</v>
      </c>
      <c r="S382" s="73">
        <f>IF(B382="",0,P382*R382)</f>
        <v>12.792184676965534</v>
      </c>
      <c r="T382" s="85">
        <f>IF(B382="",0,IF(OR(H382=MappingTables!$C$34,H382=MappingTables!$C$35),S382,0))</f>
        <v>0</v>
      </c>
    </row>
    <row r="383" spans="2:20" s="0" customFormat="0" ht="15">
      <c r="B383" s="69">
        <v>22554518</v>
      </c>
      <c r="C383" s="70" t="s">
        <v>3885</v>
      </c>
      <c r="D383" s="70" t="s">
        <v>1</v>
      </c>
      <c r="E383" s="70" t="s">
        <v>1</v>
      </c>
      <c r="F383" s="70"/>
      <c r="G383" s="70" t="s">
        <v>61</v>
      </c>
      <c r="H383" s="70" t="s">
        <v>178</v>
      </c>
      <c r="I383" s="70" t="s">
        <v>216</v>
      </c>
      <c r="J383" s="71">
        <f>IF(OR(I383=0,I383=""),"unrated",VLOOKUP(I383,MappingTables!$B$19:$C$31,2,FALSE))</f>
        <v>0</v>
      </c>
      <c r="K383" s="72">
        <v>1.68345852014898</v>
      </c>
      <c r="L383" s="70">
        <v>0.049376991486079504</v>
      </c>
      <c r="M383" s="71">
        <f>IF(L383&lt;1,1,L383)</f>
        <v>1</v>
      </c>
      <c r="N383" s="70" t="s">
        <v>3288</v>
      </c>
      <c r="O383" s="71">
        <f>IF(OR(I383=$A$1,I383=0),"",IF(N383=MappingTables!$C$14,VLOOKUP(J383,ModelParameters!$M$8:$N$15,2,FALSE),IF(N383=MappingTables!$C$16,VLOOKUP(J383,ModelParameters!$P$8:$Q$15,2,FALSE),0)))</f>
        <v>0.125</v>
      </c>
      <c r="P383" s="73">
        <f>IF(OR(I383=0,I383=$A$1),0,MIN(O383*M383,1)*K383)</f>
        <v>0.21043231501862252</v>
      </c>
      <c r="Q383" s="73">
        <f>IF(B383="",0,IF(OR(H383=MappingTables!$C$34,H383=MappingTables!$C$35),P383,0))</f>
        <v>0</v>
      </c>
      <c r="R383" s="73">
        <f>IF(ISNA(IF(AND(VLOOKUP(CONCATENATE($D383,$G383),CSRFinput!$B:$E,4,0)=0,OR(H383=MappingTables!$C$31,H383=MappingTables!$C$32)),1,VLOOKUP(CONCATENATE($D383,$G383),CSRFinput!$B:$E,4,0))),0,IF(AND(VLOOKUP(CONCATENATE($D383,$G383),CSRFinput!$B:$E,4,0)=0,OR(H383=MappingTables!$C$31,H383=MappingTables!$C$32)),1,VLOOKUP(CONCATENATE($D383,$G383),CSRFinput!$B:$E,4,0)))</f>
        <v>0.054776304963434752</v>
      </c>
      <c r="S383" s="73">
        <f>IF(B383="",0,P383*R383)</f>
        <v>0.011526704661621638</v>
      </c>
      <c r="T383" s="85">
        <f>IF(B383="",0,IF(OR(H383=MappingTables!$C$34,H383=MappingTables!$C$35),S383,0))</f>
        <v>0</v>
      </c>
    </row>
    <row r="384" spans="2:20" s="0" customFormat="0" ht="15">
      <c r="B384" s="69">
        <v>2986441</v>
      </c>
      <c r="C384" s="70" t="s">
        <v>3704</v>
      </c>
      <c r="D384" s="70" t="s">
        <v>1</v>
      </c>
      <c r="E384" s="70" t="s">
        <v>1</v>
      </c>
      <c r="F384" s="70"/>
      <c r="G384" s="70" t="s">
        <v>61</v>
      </c>
      <c r="H384" s="70" t="s">
        <v>178</v>
      </c>
      <c r="I384" s="70" t="s">
        <v>184</v>
      </c>
      <c r="J384" s="71">
        <f>IF(OR(I384=0,I384=""),"unrated",VLOOKUP(I384,MappingTables!$B$19:$C$31,2,FALSE))</f>
        <v>5</v>
      </c>
      <c r="K384" s="72">
        <v>198.31945275131092</v>
      </c>
      <c r="L384" s="70">
        <v>0.071803695739935832</v>
      </c>
      <c r="M384" s="71">
        <f>IF(L384&lt;1,1,L384)</f>
        <v>1</v>
      </c>
      <c r="N384" s="70" t="s">
        <v>3288</v>
      </c>
      <c r="O384" s="71">
        <f>IF(OR(I384=$A$1,I384=0),"",IF(N384=MappingTables!$C$14,VLOOKUP(J384,ModelParameters!$M$8:$N$15,2,FALSE),IF(N384=MappingTables!$C$16,VLOOKUP(J384,ModelParameters!$P$8:$Q$15,2,FALSE),0)))</f>
        <v>1</v>
      </c>
      <c r="P384" s="73">
        <f>IF(OR(I384=0,I384=$A$1),0,MIN(O384*M384,1)*K384)</f>
        <v>198.31945275131092</v>
      </c>
      <c r="Q384" s="73">
        <f>IF(B384="",0,IF(OR(H384=MappingTables!$C$34,H384=MappingTables!$C$35),P384,0))</f>
        <v>0</v>
      </c>
      <c r="R384" s="73">
        <f>IF(ISNA(IF(AND(VLOOKUP(CONCATENATE($D384,$G384),CSRFinput!$B:$E,4,0)=0,OR(H384=MappingTables!$C$31,H384=MappingTables!$C$32)),1,VLOOKUP(CONCATENATE($D384,$G384),CSRFinput!$B:$E,4,0))),0,IF(AND(VLOOKUP(CONCATENATE($D384,$G384),CSRFinput!$B:$E,4,0)=0,OR(H384=MappingTables!$C$31,H384=MappingTables!$C$32)),1,VLOOKUP(CONCATENATE($D384,$G384),CSRFinput!$B:$E,4,0)))</f>
        <v>0.054776304963434752</v>
      </c>
      <c r="S384" s="73">
        <f>IF(B384="",0,P384*R384)</f>
        <v>10.863206824087296</v>
      </c>
      <c r="T384" s="85">
        <f>IF(B384="",0,IF(OR(H384=MappingTables!$C$34,H384=MappingTables!$C$35),S384,0))</f>
        <v>0</v>
      </c>
    </row>
    <row r="385" spans="2:20" s="0" customFormat="0" ht="15">
      <c r="B385" s="69" t="s">
        <v>3886</v>
      </c>
      <c r="C385" s="70" t="s">
        <v>3887</v>
      </c>
      <c r="D385" s="70" t="s">
        <v>1</v>
      </c>
      <c r="E385" s="70" t="s">
        <v>1</v>
      </c>
      <c r="F385" s="70"/>
      <c r="G385" s="70" t="s">
        <v>61</v>
      </c>
      <c r="H385" s="70" t="s">
        <v>178</v>
      </c>
      <c r="I385" s="70" t="s">
        <v>198</v>
      </c>
      <c r="J385" s="71" t="str">
        <f>IF(OR(I385=0,I385=""),"unrated",VLOOKUP(I385,MappingTables!$B$19:$C$31,2,FALSE))</f>
        <v>unrated</v>
      </c>
      <c r="K385" s="72">
        <v>32.857224431163708</v>
      </c>
      <c r="L385" s="70">
        <v>0.068492394414725624</v>
      </c>
      <c r="M385" s="71">
        <f>IF(L385&lt;1,1,L385)</f>
        <v>1</v>
      </c>
      <c r="N385" s="70" t="s">
        <v>3288</v>
      </c>
      <c r="O385" s="71">
        <f>IF(OR(I385=$A$1,I385=0),"",IF(N385=MappingTables!$C$14,VLOOKUP(J385,ModelParameters!$M$8:$N$15,2,FALSE),IF(N385=MappingTables!$C$16,VLOOKUP(J385,ModelParameters!$P$8:$Q$15,2,FALSE),0)))</f>
        <v>1</v>
      </c>
      <c r="P385" s="73">
        <f>IF(OR(I385=0,I385=$A$1),0,MIN(O385*M385,1)*K385)</f>
        <v>32.857224431163708</v>
      </c>
      <c r="Q385" s="73">
        <f>IF(B385="",0,IF(OR(H385=MappingTables!$C$34,H385=MappingTables!$C$35),P385,0))</f>
        <v>0</v>
      </c>
      <c r="R385" s="73">
        <f>IF(ISNA(IF(AND(VLOOKUP(CONCATENATE($D385,$G385),CSRFinput!$B:$E,4,0)=0,OR(H385=MappingTables!$C$31,H385=MappingTables!$C$32)),1,VLOOKUP(CONCATENATE($D385,$G385),CSRFinput!$B:$E,4,0))),0,IF(AND(VLOOKUP(CONCATENATE($D385,$G385),CSRFinput!$B:$E,4,0)=0,OR(H385=MappingTables!$C$31,H385=MappingTables!$C$32)),1,VLOOKUP(CONCATENATE($D385,$G385),CSRFinput!$B:$E,4,0)))</f>
        <v>0.054776304963434752</v>
      </c>
      <c r="S385" s="73">
        <f>IF(B385="",0,P385*R385)</f>
        <v>1.7997973456934422</v>
      </c>
      <c r="T385" s="85">
        <f>IF(B385="",0,IF(OR(H385=MappingTables!$C$34,H385=MappingTables!$C$35),S385,0))</f>
        <v>0</v>
      </c>
    </row>
    <row r="386" spans="2:20" s="0" customFormat="0" ht="15">
      <c r="B386" s="69" t="s">
        <v>3888</v>
      </c>
      <c r="C386" s="70" t="s">
        <v>3889</v>
      </c>
      <c r="D386" s="70" t="s">
        <v>1</v>
      </c>
      <c r="E386" s="70" t="s">
        <v>1</v>
      </c>
      <c r="F386" s="70"/>
      <c r="G386" s="70" t="s">
        <v>61</v>
      </c>
      <c r="H386" s="70" t="s">
        <v>178</v>
      </c>
      <c r="I386" s="70" t="s">
        <v>198</v>
      </c>
      <c r="J386" s="71" t="str">
        <f>IF(OR(I386=0,I386=""),"unrated",VLOOKUP(I386,MappingTables!$B$19:$C$31,2,FALSE))</f>
        <v>unrated</v>
      </c>
      <c r="K386" s="72">
        <v>138.9252182549862</v>
      </c>
      <c r="L386" s="70">
        <v>0.054792190380347184</v>
      </c>
      <c r="M386" s="71">
        <f>IF(L386&lt;1,1,L386)</f>
        <v>1</v>
      </c>
      <c r="N386" s="70" t="s">
        <v>3288</v>
      </c>
      <c r="O386" s="71">
        <f>IF(OR(I386=$A$1,I386=0),"",IF(N386=MappingTables!$C$14,VLOOKUP(J386,ModelParameters!$M$8:$N$15,2,FALSE),IF(N386=MappingTables!$C$16,VLOOKUP(J386,ModelParameters!$P$8:$Q$15,2,FALSE),0)))</f>
        <v>1</v>
      </c>
      <c r="P386" s="73">
        <f>IF(OR(I386=0,I386=$A$1),0,MIN(O386*M386,1)*K386)</f>
        <v>138.9252182549862</v>
      </c>
      <c r="Q386" s="73">
        <f>IF(B386="",0,IF(OR(H386=MappingTables!$C$34,H386=MappingTables!$C$35),P386,0))</f>
        <v>0</v>
      </c>
      <c r="R386" s="73">
        <f>IF(ISNA(IF(AND(VLOOKUP(CONCATENATE($D386,$G386),CSRFinput!$B:$E,4,0)=0,OR(H386=MappingTables!$C$31,H386=MappingTables!$C$32)),1,VLOOKUP(CONCATENATE($D386,$G386),CSRFinput!$B:$E,4,0))),0,IF(AND(VLOOKUP(CONCATENATE($D386,$G386),CSRFinput!$B:$E,4,0)=0,OR(H386=MappingTables!$C$31,H386=MappingTables!$C$32)),1,VLOOKUP(CONCATENATE($D386,$G386),CSRFinput!$B:$E,4,0)))</f>
        <v>0.054776304963434752</v>
      </c>
      <c r="S386" s="73">
        <f>IF(B386="",0,P386*R386)</f>
        <v>7.609810122246856</v>
      </c>
      <c r="T386" s="85">
        <f>IF(B386="",0,IF(OR(H386=MappingTables!$C$34,H386=MappingTables!$C$35),S386,0))</f>
        <v>0</v>
      </c>
    </row>
    <row r="387" spans="2:20" s="0" customFormat="0" ht="15">
      <c r="B387" s="69" t="s">
        <v>3745</v>
      </c>
      <c r="C387" s="70" t="s">
        <v>3746</v>
      </c>
      <c r="D387" s="70" t="s">
        <v>1</v>
      </c>
      <c r="E387" s="70" t="s">
        <v>1</v>
      </c>
      <c r="F387" s="70"/>
      <c r="G387" s="70" t="s">
        <v>61</v>
      </c>
      <c r="H387" s="70" t="s">
        <v>178</v>
      </c>
      <c r="I387" s="70" t="s">
        <v>198</v>
      </c>
      <c r="J387" s="71" t="str">
        <f>IF(OR(I387=0,I387=""),"unrated",VLOOKUP(I387,MappingTables!$B$19:$C$31,2,FALSE))</f>
        <v>unrated</v>
      </c>
      <c r="K387" s="72">
        <v>0.01787820186147995</v>
      </c>
      <c r="L387" s="70">
        <v>2.715400426822678</v>
      </c>
      <c r="M387" s="71">
        <f>IF(L387&lt;1,1,L387)</f>
        <v>2.715400426822678</v>
      </c>
      <c r="N387" s="70" t="s">
        <v>3288</v>
      </c>
      <c r="O387" s="71">
        <f>IF(OR(I387=$A$1,I387=0),"",IF(N387=MappingTables!$C$14,VLOOKUP(J387,ModelParameters!$M$8:$N$15,2,FALSE),IF(N387=MappingTables!$C$16,VLOOKUP(J387,ModelParameters!$P$8:$Q$15,2,FALSE),0)))</f>
        <v>1</v>
      </c>
      <c r="P387" s="73">
        <f>IF(OR(I387=0,I387=$A$1),0,MIN(O387*M387,1)*K387)</f>
        <v>0.01787820186147995</v>
      </c>
      <c r="Q387" s="73">
        <f>IF(B387="",0,IF(OR(H387=MappingTables!$C$34,H387=MappingTables!$C$35),P387,0))</f>
        <v>0</v>
      </c>
      <c r="R387" s="73">
        <f>IF(ISNA(IF(AND(VLOOKUP(CONCATENATE($D387,$G387),CSRFinput!$B:$E,4,0)=0,OR(H387=MappingTables!$C$31,H387=MappingTables!$C$32)),1,VLOOKUP(CONCATENATE($D387,$G387),CSRFinput!$B:$E,4,0))),0,IF(AND(VLOOKUP(CONCATENATE($D387,$G387),CSRFinput!$B:$E,4,0)=0,OR(H387=MappingTables!$C$31,H387=MappingTables!$C$32)),1,VLOOKUP(CONCATENATE($D387,$G387),CSRFinput!$B:$E,4,0)))</f>
        <v>0.054776304963434752</v>
      </c>
      <c r="S387" s="73">
        <f>IF(B387="",0,P387*R387)</f>
        <v>0.00097930183736227248</v>
      </c>
      <c r="T387" s="85">
        <f>IF(B387="",0,IF(OR(H387=MappingTables!$C$34,H387=MappingTables!$C$35),S387,0))</f>
        <v>0</v>
      </c>
    </row>
    <row r="388" spans="2:20" s="0" customFormat="0" ht="15">
      <c r="B388" s="69">
        <v>1551609</v>
      </c>
      <c r="C388" s="70" t="s">
        <v>3611</v>
      </c>
      <c r="D388" s="70" t="s">
        <v>1</v>
      </c>
      <c r="E388" s="70" t="s">
        <v>1</v>
      </c>
      <c r="F388" s="70"/>
      <c r="G388" s="70" t="s">
        <v>61</v>
      </c>
      <c r="H388" s="70" t="s">
        <v>178</v>
      </c>
      <c r="I388" s="70" t="s">
        <v>198</v>
      </c>
      <c r="J388" s="71" t="str">
        <f>IF(OR(I388=0,I388=""),"unrated",VLOOKUP(I388,MappingTables!$B$19:$C$31,2,FALSE))</f>
        <v>unrated</v>
      </c>
      <c r="K388" s="72">
        <v>16.889919860067888</v>
      </c>
      <c r="L388" s="70">
        <v>0.068493212053884488</v>
      </c>
      <c r="M388" s="71">
        <f>IF(L388&lt;1,1,L388)</f>
        <v>1</v>
      </c>
      <c r="N388" s="70" t="s">
        <v>3288</v>
      </c>
      <c r="O388" s="71">
        <f>IF(OR(I388=$A$1,I388=0),"",IF(N388=MappingTables!$C$14,VLOOKUP(J388,ModelParameters!$M$8:$N$15,2,FALSE),IF(N388=MappingTables!$C$16,VLOOKUP(J388,ModelParameters!$P$8:$Q$15,2,FALSE),0)))</f>
        <v>1</v>
      </c>
      <c r="P388" s="73">
        <f>IF(OR(I388=0,I388=$A$1),0,MIN(O388*M388,1)*K388)</f>
        <v>16.889919860067888</v>
      </c>
      <c r="Q388" s="73">
        <f>IF(B388="",0,IF(OR(H388=MappingTables!$C$34,H388=MappingTables!$C$35),P388,0))</f>
        <v>0</v>
      </c>
      <c r="R388" s="73">
        <f>IF(ISNA(IF(AND(VLOOKUP(CONCATENATE($D388,$G388),CSRFinput!$B:$E,4,0)=0,OR(H388=MappingTables!$C$31,H388=MappingTables!$C$32)),1,VLOOKUP(CONCATENATE($D388,$G388),CSRFinput!$B:$E,4,0))),0,IF(AND(VLOOKUP(CONCATENATE($D388,$G388),CSRFinput!$B:$E,4,0)=0,OR(H388=MappingTables!$C$31,H388=MappingTables!$C$32)),1,VLOOKUP(CONCATENATE($D388,$G388),CSRFinput!$B:$E,4,0)))</f>
        <v>0.054776304963434752</v>
      </c>
      <c r="S388" s="73">
        <f>IF(B388="",0,P388*R388)</f>
        <v>0.92516740106305184</v>
      </c>
      <c r="T388" s="85">
        <f>IF(B388="",0,IF(OR(H388=MappingTables!$C$34,H388=MappingTables!$C$35),S388,0))</f>
        <v>0</v>
      </c>
    </row>
    <row r="389" spans="2:20" s="0" customFormat="0" ht="15">
      <c r="B389" s="69" t="s">
        <v>3890</v>
      </c>
      <c r="C389" s="70" t="s">
        <v>3891</v>
      </c>
      <c r="D389" s="70" t="s">
        <v>1</v>
      </c>
      <c r="E389" s="70" t="s">
        <v>1</v>
      </c>
      <c r="F389" s="70"/>
      <c r="G389" s="70" t="s">
        <v>61</v>
      </c>
      <c r="H389" s="70" t="s">
        <v>178</v>
      </c>
      <c r="I389" s="70" t="s">
        <v>3298</v>
      </c>
      <c r="J389" s="71">
        <f>IF(OR(I389=0,I389=""),"unrated",VLOOKUP(I389,MappingTables!$B$19:$C$31,2,FALSE))</f>
        <v>6</v>
      </c>
      <c r="K389" s="72">
        <v>37.518535251238264</v>
      </c>
      <c r="L389" s="70">
        <v>0.068493445297181672</v>
      </c>
      <c r="M389" s="71">
        <f>IF(L389&lt;1,1,L389)</f>
        <v>1</v>
      </c>
      <c r="N389" s="70" t="s">
        <v>3288</v>
      </c>
      <c r="O389" s="71">
        <f>IF(OR(I389=$A$1,I389=0),"",IF(N389=MappingTables!$C$14,VLOOKUP(J389,ModelParameters!$M$8:$N$15,2,FALSE),IF(N389=MappingTables!$C$16,VLOOKUP(J389,ModelParameters!$P$8:$Q$15,2,FALSE),0)))</f>
        <v>1</v>
      </c>
      <c r="P389" s="73">
        <f>IF(OR(I389=0,I389=$A$1),0,MIN(O389*M389,1)*K389)</f>
        <v>37.518535251238264</v>
      </c>
      <c r="Q389" s="73">
        <f>IF(B389="",0,IF(OR(H389=MappingTables!$C$34,H389=MappingTables!$C$35),P389,0))</f>
        <v>0</v>
      </c>
      <c r="R389" s="73">
        <f>IF(ISNA(IF(AND(VLOOKUP(CONCATENATE($D389,$G389),CSRFinput!$B:$E,4,0)=0,OR(H389=MappingTables!$C$31,H389=MappingTables!$C$32)),1,VLOOKUP(CONCATENATE($D389,$G389),CSRFinput!$B:$E,4,0))),0,IF(AND(VLOOKUP(CONCATENATE($D389,$G389),CSRFinput!$B:$E,4,0)=0,OR(H389=MappingTables!$C$31,H389=MappingTables!$C$32)),1,VLOOKUP(CONCATENATE($D389,$G389),CSRFinput!$B:$E,4,0)))</f>
        <v>0.054776304963434752</v>
      </c>
      <c r="S389" s="73">
        <f>IF(B389="",0,P389*R389)</f>
        <v>2.055126728703204</v>
      </c>
      <c r="T389" s="85">
        <f>IF(B389="",0,IF(OR(H389=MappingTables!$C$34,H389=MappingTables!$C$35),S389,0))</f>
        <v>0</v>
      </c>
    </row>
    <row r="390" spans="2:20" s="0" customFormat="0" ht="15">
      <c r="B390" s="69" t="s">
        <v>3892</v>
      </c>
      <c r="C390" s="70" t="s">
        <v>3893</v>
      </c>
      <c r="D390" s="70" t="s">
        <v>1</v>
      </c>
      <c r="E390" s="70" t="s">
        <v>1</v>
      </c>
      <c r="F390" s="70"/>
      <c r="G390" s="70" t="s">
        <v>61</v>
      </c>
      <c r="H390" s="70" t="s">
        <v>178</v>
      </c>
      <c r="I390" s="70" t="s">
        <v>198</v>
      </c>
      <c r="J390" s="71" t="str">
        <f>IF(OR(I390=0,I390=""),"unrated",VLOOKUP(I390,MappingTables!$B$19:$C$31,2,FALSE))</f>
        <v>unrated</v>
      </c>
      <c r="K390" s="72">
        <v>2607.6581180541612</v>
      </c>
      <c r="L390" s="70">
        <v>8.3300716810997968</v>
      </c>
      <c r="M390" s="71">
        <f>IF(L390&lt;1,1,L390)</f>
        <v>8.3300716810997968</v>
      </c>
      <c r="N390" s="70" t="s">
        <v>3288</v>
      </c>
      <c r="O390" s="71">
        <f>IF(OR(I390=$A$1,I390=0),"",IF(N390=MappingTables!$C$14,VLOOKUP(J390,ModelParameters!$M$8:$N$15,2,FALSE),IF(N390=MappingTables!$C$16,VLOOKUP(J390,ModelParameters!$P$8:$Q$15,2,FALSE),0)))</f>
        <v>1</v>
      </c>
      <c r="P390" s="73">
        <f>IF(OR(I390=0,I390=$A$1),0,MIN(O390*M390,1)*K390)</f>
        <v>2607.6581180541612</v>
      </c>
      <c r="Q390" s="73">
        <f>IF(B390="",0,IF(OR(H390=MappingTables!$C$34,H390=MappingTables!$C$35),P390,0))</f>
        <v>0</v>
      </c>
      <c r="R390" s="73">
        <f>IF(ISNA(IF(AND(VLOOKUP(CONCATENATE($D390,$G390),CSRFinput!$B:$E,4,0)=0,OR(H390=MappingTables!$C$31,H390=MappingTables!$C$32)),1,VLOOKUP(CONCATENATE($D390,$G390),CSRFinput!$B:$E,4,0))),0,IF(AND(VLOOKUP(CONCATENATE($D390,$G390),CSRFinput!$B:$E,4,0)=0,OR(H390=MappingTables!$C$31,H390=MappingTables!$C$32)),1,VLOOKUP(CONCATENATE($D390,$G390),CSRFinput!$B:$E,4,0)))</f>
        <v>0.054776304963434752</v>
      </c>
      <c r="S390" s="73">
        <f>IF(B390="",0,P390*R390)</f>
        <v>142.83787631491108</v>
      </c>
      <c r="T390" s="85">
        <f>IF(B390="",0,IF(OR(H390=MappingTables!$C$34,H390=MappingTables!$C$35),S390,0))</f>
        <v>0</v>
      </c>
    </row>
    <row r="391" spans="2:20" s="0" customFormat="0" ht="15">
      <c r="B391" s="69">
        <v>6689630</v>
      </c>
      <c r="C391" s="70" t="s">
        <v>3894</v>
      </c>
      <c r="D391" s="70" t="s">
        <v>1</v>
      </c>
      <c r="E391" s="70" t="s">
        <v>1</v>
      </c>
      <c r="F391" s="70"/>
      <c r="G391" s="70" t="s">
        <v>61</v>
      </c>
      <c r="H391" s="70" t="s">
        <v>178</v>
      </c>
      <c r="I391" s="70" t="s">
        <v>198</v>
      </c>
      <c r="J391" s="71" t="str">
        <f>IF(OR(I391=0,I391=""),"unrated",VLOOKUP(I391,MappingTables!$B$19:$C$31,2,FALSE))</f>
        <v>unrated</v>
      </c>
      <c r="K391" s="72">
        <v>67.625497310644704</v>
      </c>
      <c r="L391" s="70">
        <v>0.093194471517381696</v>
      </c>
      <c r="M391" s="71">
        <f>IF(L391&lt;1,1,L391)</f>
        <v>1</v>
      </c>
      <c r="N391" s="70" t="s">
        <v>3288</v>
      </c>
      <c r="O391" s="71">
        <f>IF(OR(I391=$A$1,I391=0),"",IF(N391=MappingTables!$C$14,VLOOKUP(J391,ModelParameters!$M$8:$N$15,2,FALSE),IF(N391=MappingTables!$C$16,VLOOKUP(J391,ModelParameters!$P$8:$Q$15,2,FALSE),0)))</f>
        <v>1</v>
      </c>
      <c r="P391" s="73">
        <f>IF(OR(I391=0,I391=$A$1),0,MIN(O391*M391,1)*K391)</f>
        <v>67.625497310644704</v>
      </c>
      <c r="Q391" s="73">
        <f>IF(B391="",0,IF(OR(H391=MappingTables!$C$34,H391=MappingTables!$C$35),P391,0))</f>
        <v>0</v>
      </c>
      <c r="R391" s="73">
        <f>IF(ISNA(IF(AND(VLOOKUP(CONCATENATE($D391,$G391),CSRFinput!$B:$E,4,0)=0,OR(H391=MappingTables!$C$31,H391=MappingTables!$C$32)),1,VLOOKUP(CONCATENATE($D391,$G391),CSRFinput!$B:$E,4,0))),0,IF(AND(VLOOKUP(CONCATENATE($D391,$G391),CSRFinput!$B:$E,4,0)=0,OR(H391=MappingTables!$C$31,H391=MappingTables!$C$32)),1,VLOOKUP(CONCATENATE($D391,$G391),CSRFinput!$B:$E,4,0)))</f>
        <v>0.054776304963434752</v>
      </c>
      <c r="S391" s="73">
        <f>IF(B391="",0,P391*R391)</f>
        <v>3.7042748639918112</v>
      </c>
      <c r="T391" s="85">
        <f>IF(B391="",0,IF(OR(H391=MappingTables!$C$34,H391=MappingTables!$C$35),S391,0))</f>
        <v>0</v>
      </c>
    </row>
    <row r="392" spans="2:20" s="0" customFormat="0" ht="15">
      <c r="B392" s="69">
        <v>7242714</v>
      </c>
      <c r="C392" s="70" t="s">
        <v>3733</v>
      </c>
      <c r="D392" s="70" t="s">
        <v>1</v>
      </c>
      <c r="E392" s="70" t="s">
        <v>1</v>
      </c>
      <c r="F392" s="70"/>
      <c r="G392" s="70" t="s">
        <v>61</v>
      </c>
      <c r="H392" s="70" t="s">
        <v>178</v>
      </c>
      <c r="I392" s="70" t="s">
        <v>184</v>
      </c>
      <c r="J392" s="71">
        <f>IF(OR(I392=0,I392=""),"unrated",VLOOKUP(I392,MappingTables!$B$19:$C$31,2,FALSE))</f>
        <v>5</v>
      </c>
      <c r="K392" s="72">
        <v>200.7638932080652</v>
      </c>
      <c r="L392" s="70">
        <v>0.06849149686605924</v>
      </c>
      <c r="M392" s="71">
        <f>IF(L392&lt;1,1,L392)</f>
        <v>1</v>
      </c>
      <c r="N392" s="70" t="s">
        <v>3288</v>
      </c>
      <c r="O392" s="71">
        <f>IF(OR(I392=$A$1,I392=0),"",IF(N392=MappingTables!$C$14,VLOOKUP(J392,ModelParameters!$M$8:$N$15,2,FALSE),IF(N392=MappingTables!$C$16,VLOOKUP(J392,ModelParameters!$P$8:$Q$15,2,FALSE),0)))</f>
        <v>1</v>
      </c>
      <c r="P392" s="73">
        <f>IF(OR(I392=0,I392=$A$1),0,MIN(O392*M392,1)*K392)</f>
        <v>200.7638932080652</v>
      </c>
      <c r="Q392" s="73">
        <f>IF(B392="",0,IF(OR(H392=MappingTables!$C$34,H392=MappingTables!$C$35),P392,0))</f>
        <v>0</v>
      </c>
      <c r="R392" s="73">
        <f>IF(ISNA(IF(AND(VLOOKUP(CONCATENATE($D392,$G392),CSRFinput!$B:$E,4,0)=0,OR(H392=MappingTables!$C$31,H392=MappingTables!$C$32)),1,VLOOKUP(CONCATENATE($D392,$G392),CSRFinput!$B:$E,4,0))),0,IF(AND(VLOOKUP(CONCATENATE($D392,$G392),CSRFinput!$B:$E,4,0)=0,OR(H392=MappingTables!$C$31,H392=MappingTables!$C$32)),1,VLOOKUP(CONCATENATE($D392,$G392),CSRFinput!$B:$E,4,0)))</f>
        <v>0.054776304963434752</v>
      </c>
      <c r="S392" s="73">
        <f>IF(B392="",0,P392*R392)</f>
        <v>10.997104240011428</v>
      </c>
      <c r="T392" s="85">
        <f>IF(B392="",0,IF(OR(H392=MappingTables!$C$34,H392=MappingTables!$C$35),S392,0))</f>
        <v>0</v>
      </c>
    </row>
    <row r="393" spans="2:20" s="0" customFormat="0" ht="15">
      <c r="B393" s="69">
        <v>22554176</v>
      </c>
      <c r="C393" s="70" t="s">
        <v>3499</v>
      </c>
      <c r="D393" s="70" t="s">
        <v>1</v>
      </c>
      <c r="E393" s="70" t="s">
        <v>1</v>
      </c>
      <c r="F393" s="70"/>
      <c r="G393" s="70" t="s">
        <v>61</v>
      </c>
      <c r="H393" s="70" t="s">
        <v>178</v>
      </c>
      <c r="I393" s="70" t="s">
        <v>204</v>
      </c>
      <c r="J393" s="71">
        <f>IF(OR(I393=0,I393=""),"unrated",VLOOKUP(I393,MappingTables!$B$19:$C$31,2,FALSE))</f>
        <v>6</v>
      </c>
      <c r="K393" s="72">
        <v>643.21074391553176</v>
      </c>
      <c r="L393" s="70">
        <v>0.068490890774287648</v>
      </c>
      <c r="M393" s="71">
        <f>IF(L393&lt;1,1,L393)</f>
        <v>1</v>
      </c>
      <c r="N393" s="70" t="s">
        <v>3288</v>
      </c>
      <c r="O393" s="71">
        <f>IF(OR(I393=$A$1,I393=0),"",IF(N393=MappingTables!$C$14,VLOOKUP(J393,ModelParameters!$M$8:$N$15,2,FALSE),IF(N393=MappingTables!$C$16,VLOOKUP(J393,ModelParameters!$P$8:$Q$15,2,FALSE),0)))</f>
        <v>1</v>
      </c>
      <c r="P393" s="73">
        <f>IF(OR(I393=0,I393=$A$1),0,MIN(O393*M393,1)*K393)</f>
        <v>643.21074391553176</v>
      </c>
      <c r="Q393" s="73">
        <f>IF(B393="",0,IF(OR(H393=MappingTables!$C$34,H393=MappingTables!$C$35),P393,0))</f>
        <v>0</v>
      </c>
      <c r="R393" s="73">
        <f>IF(ISNA(IF(AND(VLOOKUP(CONCATENATE($D393,$G393),CSRFinput!$B:$E,4,0)=0,OR(H393=MappingTables!$C$31,H393=MappingTables!$C$32)),1,VLOOKUP(CONCATENATE($D393,$G393),CSRFinput!$B:$E,4,0))),0,IF(AND(VLOOKUP(CONCATENATE($D393,$G393),CSRFinput!$B:$E,4,0)=0,OR(H393=MappingTables!$C$31,H393=MappingTables!$C$32)),1,VLOOKUP(CONCATENATE($D393,$G393),CSRFinput!$B:$E,4,0)))</f>
        <v>0.054776304963434752</v>
      </c>
      <c r="S393" s="73">
        <f>IF(B393="",0,P393*R393)</f>
        <v>35.232707864474904</v>
      </c>
      <c r="T393" s="85">
        <f>IF(B393="",0,IF(OR(H393=MappingTables!$C$34,H393=MappingTables!$C$35),S393,0))</f>
        <v>0</v>
      </c>
    </row>
    <row r="394" spans="2:20" s="0" customFormat="0" ht="15">
      <c r="B394" s="69">
        <v>22623669</v>
      </c>
      <c r="C394" s="70" t="s">
        <v>3895</v>
      </c>
      <c r="D394" s="70" t="s">
        <v>1</v>
      </c>
      <c r="E394" s="70" t="s">
        <v>1</v>
      </c>
      <c r="F394" s="70"/>
      <c r="G394" s="70" t="s">
        <v>61</v>
      </c>
      <c r="H394" s="70" t="s">
        <v>178</v>
      </c>
      <c r="I394" s="70" t="s">
        <v>204</v>
      </c>
      <c r="J394" s="71">
        <f>IF(OR(I394=0,I394=""),"unrated",VLOOKUP(I394,MappingTables!$B$19:$C$31,2,FALSE))</f>
        <v>6</v>
      </c>
      <c r="K394" s="72">
        <v>3593.292559649854</v>
      </c>
      <c r="L394" s="70">
        <v>0.068488627908249136</v>
      </c>
      <c r="M394" s="71">
        <f>IF(L394&lt;1,1,L394)</f>
        <v>1</v>
      </c>
      <c r="N394" s="70" t="s">
        <v>3288</v>
      </c>
      <c r="O394" s="71">
        <f>IF(OR(I394=$A$1,I394=0),"",IF(N394=MappingTables!$C$14,VLOOKUP(J394,ModelParameters!$M$8:$N$15,2,FALSE),IF(N394=MappingTables!$C$16,VLOOKUP(J394,ModelParameters!$P$8:$Q$15,2,FALSE),0)))</f>
        <v>1</v>
      </c>
      <c r="P394" s="73">
        <f>IF(OR(I394=0,I394=$A$1),0,MIN(O394*M394,1)*K394)</f>
        <v>3593.292559649854</v>
      </c>
      <c r="Q394" s="73">
        <f>IF(B394="",0,IF(OR(H394=MappingTables!$C$34,H394=MappingTables!$C$35),P394,0))</f>
        <v>0</v>
      </c>
      <c r="R394" s="73">
        <f>IF(ISNA(IF(AND(VLOOKUP(CONCATENATE($D394,$G394),CSRFinput!$B:$E,4,0)=0,OR(H394=MappingTables!$C$31,H394=MappingTables!$C$32)),1,VLOOKUP(CONCATENATE($D394,$G394),CSRFinput!$B:$E,4,0))),0,IF(AND(VLOOKUP(CONCATENATE($D394,$G394),CSRFinput!$B:$E,4,0)=0,OR(H394=MappingTables!$C$31,H394=MappingTables!$C$32)),1,VLOOKUP(CONCATENATE($D394,$G394),CSRFinput!$B:$E,4,0)))</f>
        <v>0.054776304963434752</v>
      </c>
      <c r="S394" s="73">
        <f>IF(B394="",0,P394*R394)</f>
        <v>196.82728907022148</v>
      </c>
      <c r="T394" s="85">
        <f>IF(B394="",0,IF(OR(H394=MappingTables!$C$34,H394=MappingTables!$C$35),S394,0))</f>
        <v>0</v>
      </c>
    </row>
    <row r="395" spans="2:20" s="0" customFormat="0" ht="15">
      <c r="B395" s="69" t="s">
        <v>3896</v>
      </c>
      <c r="C395" s="70" t="s">
        <v>3897</v>
      </c>
      <c r="D395" s="70" t="s">
        <v>1</v>
      </c>
      <c r="E395" s="70" t="s">
        <v>1</v>
      </c>
      <c r="F395" s="70"/>
      <c r="G395" s="70" t="s">
        <v>61</v>
      </c>
      <c r="H395" s="70" t="s">
        <v>178</v>
      </c>
      <c r="I395" s="70" t="s">
        <v>198</v>
      </c>
      <c r="J395" s="71" t="str">
        <f>IF(OR(I395=0,I395=""),"unrated",VLOOKUP(I395,MappingTables!$B$19:$C$31,2,FALSE))</f>
        <v>unrated</v>
      </c>
      <c r="K395" s="72">
        <v>140.72587742996746</v>
      </c>
      <c r="L395" s="70">
        <v>0.068494559534458488</v>
      </c>
      <c r="M395" s="71">
        <f>IF(L395&lt;1,1,L395)</f>
        <v>1</v>
      </c>
      <c r="N395" s="70" t="s">
        <v>3288</v>
      </c>
      <c r="O395" s="71">
        <f>IF(OR(I395=$A$1,I395=0),"",IF(N395=MappingTables!$C$14,VLOOKUP(J395,ModelParameters!$M$8:$N$15,2,FALSE),IF(N395=MappingTables!$C$16,VLOOKUP(J395,ModelParameters!$P$8:$Q$15,2,FALSE),0)))</f>
        <v>1</v>
      </c>
      <c r="P395" s="73">
        <f>IF(OR(I395=0,I395=$A$1),0,MIN(O395*M395,1)*K395)</f>
        <v>140.72587742996746</v>
      </c>
      <c r="Q395" s="73">
        <f>IF(B395="",0,IF(OR(H395=MappingTables!$C$34,H395=MappingTables!$C$35),P395,0))</f>
        <v>0</v>
      </c>
      <c r="R395" s="73">
        <f>IF(ISNA(IF(AND(VLOOKUP(CONCATENATE($D395,$G395),CSRFinput!$B:$E,4,0)=0,OR(H395=MappingTables!$C$31,H395=MappingTables!$C$32)),1,VLOOKUP(CONCATENATE($D395,$G395),CSRFinput!$B:$E,4,0))),0,IF(AND(VLOOKUP(CONCATENATE($D395,$G395),CSRFinput!$B:$E,4,0)=0,OR(H395=MappingTables!$C$31,H395=MappingTables!$C$32)),1,VLOOKUP(CONCATENATE($D395,$G395),CSRFinput!$B:$E,4,0)))</f>
        <v>0.054776304963434752</v>
      </c>
      <c r="S395" s="73">
        <f>IF(B395="",0,P395*R395)</f>
        <v>7.7084435783508368</v>
      </c>
      <c r="T395" s="85">
        <f>IF(B395="",0,IF(OR(H395=MappingTables!$C$34,H395=MappingTables!$C$35),S395,0))</f>
        <v>0</v>
      </c>
    </row>
    <row r="396" spans="2:20" s="0" customFormat="0" ht="15">
      <c r="B396" s="69">
        <v>18423592</v>
      </c>
      <c r="C396" s="70" t="s">
        <v>3898</v>
      </c>
      <c r="D396" s="70" t="s">
        <v>1</v>
      </c>
      <c r="E396" s="70" t="s">
        <v>1</v>
      </c>
      <c r="F396" s="70"/>
      <c r="G396" s="70" t="s">
        <v>61</v>
      </c>
      <c r="H396" s="70" t="s">
        <v>178</v>
      </c>
      <c r="I396" s="70" t="s">
        <v>198</v>
      </c>
      <c r="J396" s="71" t="str">
        <f>IF(OR(I396=0,I396=""),"unrated",VLOOKUP(I396,MappingTables!$B$19:$C$31,2,FALSE))</f>
        <v>unrated</v>
      </c>
      <c r="K396" s="72">
        <v>706.6810522464624</v>
      </c>
      <c r="L396" s="70">
        <v>0.040540693583847832</v>
      </c>
      <c r="M396" s="71">
        <f>IF(L396&lt;1,1,L396)</f>
        <v>1</v>
      </c>
      <c r="N396" s="70" t="s">
        <v>3288</v>
      </c>
      <c r="O396" s="71">
        <f>IF(OR(I396=$A$1,I396=0),"",IF(N396=MappingTables!$C$14,VLOOKUP(J396,ModelParameters!$M$8:$N$15,2,FALSE),IF(N396=MappingTables!$C$16,VLOOKUP(J396,ModelParameters!$P$8:$Q$15,2,FALSE),0)))</f>
        <v>1</v>
      </c>
      <c r="P396" s="73">
        <f>IF(OR(I396=0,I396=$A$1),0,MIN(O396*M396,1)*K396)</f>
        <v>706.6810522464624</v>
      </c>
      <c r="Q396" s="73">
        <f>IF(B396="",0,IF(OR(H396=MappingTables!$C$34,H396=MappingTables!$C$35),P396,0))</f>
        <v>0</v>
      </c>
      <c r="R396" s="73">
        <f>IF(ISNA(IF(AND(VLOOKUP(CONCATENATE($D396,$G396),CSRFinput!$B:$E,4,0)=0,OR(H396=MappingTables!$C$31,H396=MappingTables!$C$32)),1,VLOOKUP(CONCATENATE($D396,$G396),CSRFinput!$B:$E,4,0))),0,IF(AND(VLOOKUP(CONCATENATE($D396,$G396),CSRFinput!$B:$E,4,0)=0,OR(H396=MappingTables!$C$31,H396=MappingTables!$C$32)),1,VLOOKUP(CONCATENATE($D396,$G396),CSRFinput!$B:$E,4,0)))</f>
        <v>0.054776304963434752</v>
      </c>
      <c r="S396" s="73">
        <f>IF(B396="",0,P396*R396)</f>
        <v>38.709376829733192</v>
      </c>
      <c r="T396" s="85">
        <f>IF(B396="",0,IF(OR(H396=MappingTables!$C$34,H396=MappingTables!$C$35),S396,0))</f>
        <v>0</v>
      </c>
    </row>
    <row r="397" spans="2:20" s="0" customFormat="0" ht="15">
      <c r="B397" s="69" t="s">
        <v>3474</v>
      </c>
      <c r="C397" s="70" t="s">
        <v>3475</v>
      </c>
      <c r="D397" s="70" t="s">
        <v>1</v>
      </c>
      <c r="E397" s="70" t="s">
        <v>1</v>
      </c>
      <c r="F397" s="70"/>
      <c r="G397" s="70" t="s">
        <v>61</v>
      </c>
      <c r="H397" s="70" t="s">
        <v>178</v>
      </c>
      <c r="I397" s="70" t="s">
        <v>181</v>
      </c>
      <c r="J397" s="71">
        <f>IF(OR(I397=0,I397=""),"unrated",VLOOKUP(I397,MappingTables!$B$19:$C$31,2,FALSE))</f>
        <v>3</v>
      </c>
      <c r="K397" s="72">
        <v>20.276762120458536</v>
      </c>
      <c r="L397" s="70">
        <v>0.12823934937052384</v>
      </c>
      <c r="M397" s="71">
        <f>IF(L397&lt;1,1,L397)</f>
        <v>1</v>
      </c>
      <c r="N397" s="70" t="s">
        <v>3288</v>
      </c>
      <c r="O397" s="71">
        <f>IF(OR(I397=$A$1,I397=0),"",IF(N397=MappingTables!$C$14,VLOOKUP(J397,ModelParameters!$M$8:$N$15,2,FALSE),IF(N397=MappingTables!$C$16,VLOOKUP(J397,ModelParameters!$P$8:$Q$15,2,FALSE),0)))</f>
        <v>0.197</v>
      </c>
      <c r="P397" s="73">
        <f>IF(OR(I397=0,I397=$A$1),0,MIN(O397*M397,1)*K397)</f>
        <v>3.9945221377303312</v>
      </c>
      <c r="Q397" s="73">
        <f>IF(B397="",0,IF(OR(H397=MappingTables!$C$34,H397=MappingTables!$C$35),P397,0))</f>
        <v>0</v>
      </c>
      <c r="R397" s="73">
        <f>IF(ISNA(IF(AND(VLOOKUP(CONCATENATE($D397,$G397),CSRFinput!$B:$E,4,0)=0,OR(H397=MappingTables!$C$31,H397=MappingTables!$C$32)),1,VLOOKUP(CONCATENATE($D397,$G397),CSRFinput!$B:$E,4,0))),0,IF(AND(VLOOKUP(CONCATENATE($D397,$G397),CSRFinput!$B:$E,4,0)=0,OR(H397=MappingTables!$C$31,H397=MappingTables!$C$32)),1,VLOOKUP(CONCATENATE($D397,$G397),CSRFinput!$B:$E,4,0)))</f>
        <v>0.054776304963434752</v>
      </c>
      <c r="S397" s="73">
        <f>IF(B397="",0,P397*R397)</f>
        <v>0.21880516279950792</v>
      </c>
      <c r="T397" s="85">
        <f>IF(B397="",0,IF(OR(H397=MappingTables!$C$34,H397=MappingTables!$C$35),S397,0))</f>
        <v>0</v>
      </c>
    </row>
    <row r="398" spans="2:20" s="0" customFormat="0" ht="15">
      <c r="B398" s="69">
        <v>5422637</v>
      </c>
      <c r="C398" s="70" t="s">
        <v>3899</v>
      </c>
      <c r="D398" s="70" t="s">
        <v>1</v>
      </c>
      <c r="E398" s="70" t="s">
        <v>1</v>
      </c>
      <c r="F398" s="70"/>
      <c r="G398" s="70" t="s">
        <v>61</v>
      </c>
      <c r="H398" s="70" t="s">
        <v>178</v>
      </c>
      <c r="I398" s="70" t="s">
        <v>216</v>
      </c>
      <c r="J398" s="71">
        <f>IF(OR(I398=0,I398=""),"unrated",VLOOKUP(I398,MappingTables!$B$19:$C$31,2,FALSE))</f>
        <v>0</v>
      </c>
      <c r="K398" s="72">
        <v>176.2804968359795</v>
      </c>
      <c r="L398" s="70">
        <v>1.6490711657332224</v>
      </c>
      <c r="M398" s="71">
        <f>IF(L398&lt;1,1,L398)</f>
        <v>1.6490711657332224</v>
      </c>
      <c r="N398" s="70" t="s">
        <v>3288</v>
      </c>
      <c r="O398" s="71">
        <f>IF(OR(I398=$A$1,I398=0),"",IF(N398=MappingTables!$C$14,VLOOKUP(J398,ModelParameters!$M$8:$N$15,2,FALSE),IF(N398=MappingTables!$C$16,VLOOKUP(J398,ModelParameters!$P$8:$Q$15,2,FALSE),0)))</f>
        <v>0.125</v>
      </c>
      <c r="P398" s="73">
        <f>IF(OR(I398=0,I398=$A$1),0,MIN(O398*M398,1)*K398)</f>
        <v>36.337385551667544</v>
      </c>
      <c r="Q398" s="73">
        <f>IF(B398="",0,IF(OR(H398=MappingTables!$C$34,H398=MappingTables!$C$35),P398,0))</f>
        <v>0</v>
      </c>
      <c r="R398" s="73">
        <f>IF(ISNA(IF(AND(VLOOKUP(CONCATENATE($D398,$G398),CSRFinput!$B:$E,4,0)=0,OR(H398=MappingTables!$C$31,H398=MappingTables!$C$32)),1,VLOOKUP(CONCATENATE($D398,$G398),CSRFinput!$B:$E,4,0))),0,IF(AND(VLOOKUP(CONCATENATE($D398,$G398),CSRFinput!$B:$E,4,0)=0,OR(H398=MappingTables!$C$31,H398=MappingTables!$C$32)),1,VLOOKUP(CONCATENATE($D398,$G398),CSRFinput!$B:$E,4,0)))</f>
        <v>0.054776304963434752</v>
      </c>
      <c r="S398" s="73">
        <f>IF(B398="",0,P398*R398)</f>
        <v>1.9904277125520492</v>
      </c>
      <c r="T398" s="85">
        <f>IF(B398="",0,IF(OR(H398=MappingTables!$C$34,H398=MappingTables!$C$35),S398,0))</f>
        <v>0</v>
      </c>
    </row>
    <row r="399" spans="2:20" s="0" customFormat="0" ht="15">
      <c r="B399" s="69" t="s">
        <v>3900</v>
      </c>
      <c r="C399" s="70" t="s">
        <v>3901</v>
      </c>
      <c r="D399" s="70" t="s">
        <v>1</v>
      </c>
      <c r="E399" s="70" t="s">
        <v>1</v>
      </c>
      <c r="F399" s="70"/>
      <c r="G399" s="70" t="s">
        <v>61</v>
      </c>
      <c r="H399" s="70" t="s">
        <v>178</v>
      </c>
      <c r="I399" s="70" t="s">
        <v>216</v>
      </c>
      <c r="J399" s="71">
        <f>IF(OR(I399=0,I399=""),"unrated",VLOOKUP(I399,MappingTables!$B$19:$C$31,2,FALSE))</f>
        <v>0</v>
      </c>
      <c r="K399" s="72">
        <v>40.827636318757816</v>
      </c>
      <c r="L399" s="70">
        <v>0.054797533793215072</v>
      </c>
      <c r="M399" s="71">
        <f>IF(L399&lt;1,1,L399)</f>
        <v>1</v>
      </c>
      <c r="N399" s="70" t="s">
        <v>3288</v>
      </c>
      <c r="O399" s="71">
        <f>IF(OR(I399=$A$1,I399=0),"",IF(N399=MappingTables!$C$14,VLOOKUP(J399,ModelParameters!$M$8:$N$15,2,FALSE),IF(N399=MappingTables!$C$16,VLOOKUP(J399,ModelParameters!$P$8:$Q$15,2,FALSE),0)))</f>
        <v>0.125</v>
      </c>
      <c r="P399" s="73">
        <f>IF(OR(I399=0,I399=$A$1),0,MIN(O399*M399,1)*K399)</f>
        <v>5.1034545398447272</v>
      </c>
      <c r="Q399" s="73">
        <f>IF(B399="",0,IF(OR(H399=MappingTables!$C$34,H399=MappingTables!$C$35),P399,0))</f>
        <v>0</v>
      </c>
      <c r="R399" s="73">
        <f>IF(ISNA(IF(AND(VLOOKUP(CONCATENATE($D399,$G399),CSRFinput!$B:$E,4,0)=0,OR(H399=MappingTables!$C$31,H399=MappingTables!$C$32)),1,VLOOKUP(CONCATENATE($D399,$G399),CSRFinput!$B:$E,4,0))),0,IF(AND(VLOOKUP(CONCATENATE($D399,$G399),CSRFinput!$B:$E,4,0)=0,OR(H399=MappingTables!$C$31,H399=MappingTables!$C$32)),1,VLOOKUP(CONCATENATE($D399,$G399),CSRFinput!$B:$E,4,0)))</f>
        <v>0.054776304963434752</v>
      </c>
      <c r="S399" s="73">
        <f>IF(B399="",0,P399*R399)</f>
        <v>0.27954838224156036</v>
      </c>
      <c r="T399" s="85">
        <f>IF(B399="",0,IF(OR(H399=MappingTables!$C$34,H399=MappingTables!$C$35),S399,0))</f>
        <v>0</v>
      </c>
    </row>
    <row r="400" spans="2:20" s="0" customFormat="0" ht="15">
      <c r="B400" s="69">
        <v>21027849</v>
      </c>
      <c r="C400" s="70" t="s">
        <v>3902</v>
      </c>
      <c r="D400" s="70" t="s">
        <v>1</v>
      </c>
      <c r="E400" s="70" t="s">
        <v>1</v>
      </c>
      <c r="F400" s="70"/>
      <c r="G400" s="70" t="s">
        <v>61</v>
      </c>
      <c r="H400" s="70" t="s">
        <v>178</v>
      </c>
      <c r="I400" s="70" t="s">
        <v>216</v>
      </c>
      <c r="J400" s="71">
        <f>IF(OR(I400=0,I400=""),"unrated",VLOOKUP(I400,MappingTables!$B$19:$C$31,2,FALSE))</f>
        <v>0</v>
      </c>
      <c r="K400" s="72">
        <v>20.878565454043004</v>
      </c>
      <c r="L400" s="70">
        <v>0.070783900919425184</v>
      </c>
      <c r="M400" s="71">
        <f>IF(L400&lt;1,1,L400)</f>
        <v>1</v>
      </c>
      <c r="N400" s="70" t="s">
        <v>3288</v>
      </c>
      <c r="O400" s="71">
        <f>IF(OR(I400=$A$1,I400=0),"",IF(N400=MappingTables!$C$14,VLOOKUP(J400,ModelParameters!$M$8:$N$15,2,FALSE),IF(N400=MappingTables!$C$16,VLOOKUP(J400,ModelParameters!$P$8:$Q$15,2,FALSE),0)))</f>
        <v>0.125</v>
      </c>
      <c r="P400" s="73">
        <f>IF(OR(I400=0,I400=$A$1),0,MIN(O400*M400,1)*K400)</f>
        <v>2.6098206817553752</v>
      </c>
      <c r="Q400" s="73">
        <f>IF(B400="",0,IF(OR(H400=MappingTables!$C$34,H400=MappingTables!$C$35),P400,0))</f>
        <v>0</v>
      </c>
      <c r="R400" s="73">
        <f>IF(ISNA(IF(AND(VLOOKUP(CONCATENATE($D400,$G400),CSRFinput!$B:$E,4,0)=0,OR(H400=MappingTables!$C$31,H400=MappingTables!$C$32)),1,VLOOKUP(CONCATENATE($D400,$G400),CSRFinput!$B:$E,4,0))),0,IF(AND(VLOOKUP(CONCATENATE($D400,$G400),CSRFinput!$B:$E,4,0)=0,OR(H400=MappingTables!$C$31,H400=MappingTables!$C$32)),1,VLOOKUP(CONCATENATE($D400,$G400),CSRFinput!$B:$E,4,0)))</f>
        <v>0.054776304963434752</v>
      </c>
      <c r="S400" s="73">
        <f>IF(B400="",0,P400*R400)</f>
        <v>0.14295633356371162</v>
      </c>
      <c r="T400" s="85">
        <f>IF(B400="",0,IF(OR(H400=MappingTables!$C$34,H400=MappingTables!$C$35),S400,0))</f>
        <v>0</v>
      </c>
    </row>
    <row r="401" spans="2:20" s="0" customFormat="0" ht="15">
      <c r="B401" s="69">
        <v>22623684</v>
      </c>
      <c r="C401" s="70" t="s">
        <v>3903</v>
      </c>
      <c r="D401" s="70" t="s">
        <v>1</v>
      </c>
      <c r="E401" s="70" t="s">
        <v>1</v>
      </c>
      <c r="F401" s="70"/>
      <c r="G401" s="70" t="s">
        <v>61</v>
      </c>
      <c r="H401" s="70" t="s">
        <v>178</v>
      </c>
      <c r="I401" s="70" t="s">
        <v>198</v>
      </c>
      <c r="J401" s="71" t="str">
        <f>IF(OR(I401=0,I401=""),"unrated",VLOOKUP(I401,MappingTables!$B$19:$C$31,2,FALSE))</f>
        <v>unrated</v>
      </c>
      <c r="K401" s="72">
        <v>505.86433556913744</v>
      </c>
      <c r="L401" s="70">
        <v>0.10610441340858248</v>
      </c>
      <c r="M401" s="71">
        <f>IF(L401&lt;1,1,L401)</f>
        <v>1</v>
      </c>
      <c r="N401" s="70" t="s">
        <v>3288</v>
      </c>
      <c r="O401" s="71">
        <f>IF(OR(I401=$A$1,I401=0),"",IF(N401=MappingTables!$C$14,VLOOKUP(J401,ModelParameters!$M$8:$N$15,2,FALSE),IF(N401=MappingTables!$C$16,VLOOKUP(J401,ModelParameters!$P$8:$Q$15,2,FALSE),0)))</f>
        <v>1</v>
      </c>
      <c r="P401" s="73">
        <f>IF(OR(I401=0,I401=$A$1),0,MIN(O401*M401,1)*K401)</f>
        <v>505.86433556913744</v>
      </c>
      <c r="Q401" s="73">
        <f>IF(B401="",0,IF(OR(H401=MappingTables!$C$34,H401=MappingTables!$C$35),P401,0))</f>
        <v>0</v>
      </c>
      <c r="R401" s="73">
        <f>IF(ISNA(IF(AND(VLOOKUP(CONCATENATE($D401,$G401),CSRFinput!$B:$E,4,0)=0,OR(H401=MappingTables!$C$31,H401=MappingTables!$C$32)),1,VLOOKUP(CONCATENATE($D401,$G401),CSRFinput!$B:$E,4,0))),0,IF(AND(VLOOKUP(CONCATENATE($D401,$G401),CSRFinput!$B:$E,4,0)=0,OR(H401=MappingTables!$C$31,H401=MappingTables!$C$32)),1,VLOOKUP(CONCATENATE($D401,$G401),CSRFinput!$B:$E,4,0)))</f>
        <v>0.054776304963434752</v>
      </c>
      <c r="S401" s="73">
        <f>IF(B401="",0,P401*R401)</f>
        <v>27.709379115260364</v>
      </c>
      <c r="T401" s="85">
        <f>IF(B401="",0,IF(OR(H401=MappingTables!$C$34,H401=MappingTables!$C$35),S401,0))</f>
        <v>0</v>
      </c>
    </row>
    <row r="402" spans="2:20" s="0" customFormat="0" ht="15">
      <c r="B402" s="69">
        <v>23914483</v>
      </c>
      <c r="C402" s="70" t="s">
        <v>3904</v>
      </c>
      <c r="D402" s="70" t="s">
        <v>1</v>
      </c>
      <c r="E402" s="70" t="s">
        <v>1</v>
      </c>
      <c r="F402" s="70"/>
      <c r="G402" s="70" t="s">
        <v>61</v>
      </c>
      <c r="H402" s="70" t="s">
        <v>178</v>
      </c>
      <c r="I402" s="70" t="s">
        <v>216</v>
      </c>
      <c r="J402" s="71">
        <f>IF(OR(I402=0,I402=""),"unrated",VLOOKUP(I402,MappingTables!$B$19:$C$31,2,FALSE))</f>
        <v>0</v>
      </c>
      <c r="K402" s="72">
        <v>229.21923023333944</v>
      </c>
      <c r="L402" s="70">
        <v>0.013475747126267182</v>
      </c>
      <c r="M402" s="71">
        <f>IF(L402&lt;1,1,L402)</f>
        <v>1</v>
      </c>
      <c r="N402" s="70" t="s">
        <v>3288</v>
      </c>
      <c r="O402" s="71">
        <f>IF(OR(I402=$A$1,I402=0),"",IF(N402=MappingTables!$C$14,VLOOKUP(J402,ModelParameters!$M$8:$N$15,2,FALSE),IF(N402=MappingTables!$C$16,VLOOKUP(J402,ModelParameters!$P$8:$Q$15,2,FALSE),0)))</f>
        <v>0.125</v>
      </c>
      <c r="P402" s="73">
        <f>IF(OR(I402=0,I402=$A$1),0,MIN(O402*M402,1)*K402)</f>
        <v>28.652403779167432</v>
      </c>
      <c r="Q402" s="73">
        <f>IF(B402="",0,IF(OR(H402=MappingTables!$C$34,H402=MappingTables!$C$35),P402,0))</f>
        <v>0</v>
      </c>
      <c r="R402" s="73">
        <f>IF(ISNA(IF(AND(VLOOKUP(CONCATENATE($D402,$G402),CSRFinput!$B:$E,4,0)=0,OR(H402=MappingTables!$C$31,H402=MappingTables!$C$32)),1,VLOOKUP(CONCATENATE($D402,$G402),CSRFinput!$B:$E,4,0))),0,IF(AND(VLOOKUP(CONCATENATE($D402,$G402),CSRFinput!$B:$E,4,0)=0,OR(H402=MappingTables!$C$31,H402=MappingTables!$C$32)),1,VLOOKUP(CONCATENATE($D402,$G402),CSRFinput!$B:$E,4,0)))</f>
        <v>0.054776304963434752</v>
      </c>
      <c r="S402" s="73">
        <f>IF(B402="",0,P402*R402)</f>
        <v>1.5694728073431456</v>
      </c>
      <c r="T402" s="85">
        <f>IF(B402="",0,IF(OR(H402=MappingTables!$C$34,H402=MappingTables!$C$35),S402,0))</f>
        <v>0</v>
      </c>
    </row>
    <row r="403" spans="2:20" s="0" customFormat="0" ht="15">
      <c r="B403" s="69" t="s">
        <v>3905</v>
      </c>
      <c r="C403" s="70" t="s">
        <v>3906</v>
      </c>
      <c r="D403" s="70" t="s">
        <v>1</v>
      </c>
      <c r="E403" s="70" t="s">
        <v>1</v>
      </c>
      <c r="F403" s="70"/>
      <c r="G403" s="70" t="s">
        <v>61</v>
      </c>
      <c r="H403" s="70" t="s">
        <v>178</v>
      </c>
      <c r="I403" s="70" t="s">
        <v>3298</v>
      </c>
      <c r="J403" s="71">
        <f>IF(OR(I403=0,I403=""),"unrated",VLOOKUP(I403,MappingTables!$B$19:$C$31,2,FALSE))</f>
        <v>6</v>
      </c>
      <c r="K403" s="72">
        <v>224.0745131949202</v>
      </c>
      <c r="L403" s="70">
        <v>-1.9636994856586732</v>
      </c>
      <c r="M403" s="71">
        <f>IF(L403&lt;1,1,L403)</f>
        <v>1</v>
      </c>
      <c r="N403" s="70" t="s">
        <v>3288</v>
      </c>
      <c r="O403" s="71">
        <f>IF(OR(I403=$A$1,I403=0),"",IF(N403=MappingTables!$C$14,VLOOKUP(J403,ModelParameters!$M$8:$N$15,2,FALSE),IF(N403=MappingTables!$C$16,VLOOKUP(J403,ModelParameters!$P$8:$Q$15,2,FALSE),0)))</f>
        <v>1</v>
      </c>
      <c r="P403" s="73">
        <f>IF(OR(I403=0,I403=$A$1),0,MIN(O403*M403,1)*K403)</f>
        <v>224.0745131949202</v>
      </c>
      <c r="Q403" s="73">
        <f>IF(B403="",0,IF(OR(H403=MappingTables!$C$34,H403=MappingTables!$C$35),P403,0))</f>
        <v>0</v>
      </c>
      <c r="R403" s="73">
        <f>IF(ISNA(IF(AND(VLOOKUP(CONCATENATE($D403,$G403),CSRFinput!$B:$E,4,0)=0,OR(H403=MappingTables!$C$31,H403=MappingTables!$C$32)),1,VLOOKUP(CONCATENATE($D403,$G403),CSRFinput!$B:$E,4,0))),0,IF(AND(VLOOKUP(CONCATENATE($D403,$G403),CSRFinput!$B:$E,4,0)=0,OR(H403=MappingTables!$C$31,H403=MappingTables!$C$32)),1,VLOOKUP(CONCATENATE($D403,$G403),CSRFinput!$B:$E,4,0)))</f>
        <v>0.054776304963434752</v>
      </c>
      <c r="S403" s="73">
        <f>IF(B403="",0,P403*R403)</f>
        <v>12.273973869298134</v>
      </c>
      <c r="T403" s="85">
        <f>IF(B403="",0,IF(OR(H403=MappingTables!$C$34,H403=MappingTables!$C$35),S403,0))</f>
        <v>0</v>
      </c>
    </row>
    <row r="404" spans="2:20" s="0" customFormat="0" ht="15">
      <c r="B404" s="69" t="s">
        <v>3907</v>
      </c>
      <c r="C404" s="70" t="s">
        <v>3908</v>
      </c>
      <c r="D404" s="70" t="s">
        <v>1</v>
      </c>
      <c r="E404" s="70" t="s">
        <v>1</v>
      </c>
      <c r="F404" s="70"/>
      <c r="G404" s="70" t="s">
        <v>61</v>
      </c>
      <c r="H404" s="70" t="s">
        <v>178</v>
      </c>
      <c r="I404" s="70" t="s">
        <v>198</v>
      </c>
      <c r="J404" s="71" t="str">
        <f>IF(OR(I404=0,I404=""),"unrated",VLOOKUP(I404,MappingTables!$B$19:$C$31,2,FALSE))</f>
        <v>unrated</v>
      </c>
      <c r="K404" s="72">
        <v>1100.2565236877358</v>
      </c>
      <c r="L404" s="70">
        <v>8.7864385466674512</v>
      </c>
      <c r="M404" s="71">
        <f>IF(L404&lt;1,1,L404)</f>
        <v>8.7864385466674512</v>
      </c>
      <c r="N404" s="70" t="s">
        <v>3288</v>
      </c>
      <c r="O404" s="71">
        <f>IF(OR(I404=$A$1,I404=0),"",IF(N404=MappingTables!$C$14,VLOOKUP(J404,ModelParameters!$M$8:$N$15,2,FALSE),IF(N404=MappingTables!$C$16,VLOOKUP(J404,ModelParameters!$P$8:$Q$15,2,FALSE),0)))</f>
        <v>1</v>
      </c>
      <c r="P404" s="73">
        <f>IF(OR(I404=0,I404=$A$1),0,MIN(O404*M404,1)*K404)</f>
        <v>1100.2565236877358</v>
      </c>
      <c r="Q404" s="73">
        <f>IF(B404="",0,IF(OR(H404=MappingTables!$C$34,H404=MappingTables!$C$35),P404,0))</f>
        <v>0</v>
      </c>
      <c r="R404" s="73">
        <f>IF(ISNA(IF(AND(VLOOKUP(CONCATENATE($D404,$G404),CSRFinput!$B:$E,4,0)=0,OR(H404=MappingTables!$C$31,H404=MappingTables!$C$32)),1,VLOOKUP(CONCATENATE($D404,$G404),CSRFinput!$B:$E,4,0))),0,IF(AND(VLOOKUP(CONCATENATE($D404,$G404),CSRFinput!$B:$E,4,0)=0,OR(H404=MappingTables!$C$31,H404=MappingTables!$C$32)),1,VLOOKUP(CONCATENATE($D404,$G404),CSRFinput!$B:$E,4,0)))</f>
        <v>0.054776304963434752</v>
      </c>
      <c r="S404" s="73">
        <f>IF(B404="",0,P404*R404)</f>
        <v>60.267986879527992</v>
      </c>
      <c r="T404" s="85">
        <f>IF(B404="",0,IF(OR(H404=MappingTables!$C$34,H404=MappingTables!$C$35),S404,0))</f>
        <v>0</v>
      </c>
    </row>
    <row r="405" spans="2:20" s="0" customFormat="0" ht="15">
      <c r="B405" s="69" t="s">
        <v>3909</v>
      </c>
      <c r="C405" s="70" t="s">
        <v>3910</v>
      </c>
      <c r="D405" s="70" t="s">
        <v>1</v>
      </c>
      <c r="E405" s="70" t="s">
        <v>1</v>
      </c>
      <c r="F405" s="70"/>
      <c r="G405" s="70" t="s">
        <v>61</v>
      </c>
      <c r="H405" s="70" t="s">
        <v>178</v>
      </c>
      <c r="I405" s="70" t="s">
        <v>204</v>
      </c>
      <c r="J405" s="71">
        <f>IF(OR(I405=0,I405=""),"unrated",VLOOKUP(I405,MappingTables!$B$19:$C$31,2,FALSE))</f>
        <v>6</v>
      </c>
      <c r="K405" s="72">
        <v>54.802868832692416</v>
      </c>
      <c r="L405" s="70">
        <v>1.9792443572688528</v>
      </c>
      <c r="M405" s="71">
        <f>IF(L405&lt;1,1,L405)</f>
        <v>1.9792443572688528</v>
      </c>
      <c r="N405" s="70" t="s">
        <v>3288</v>
      </c>
      <c r="O405" s="71">
        <f>IF(OR(I405=$A$1,I405=0),"",IF(N405=MappingTables!$C$14,VLOOKUP(J405,ModelParameters!$M$8:$N$15,2,FALSE),IF(N405=MappingTables!$C$16,VLOOKUP(J405,ModelParameters!$P$8:$Q$15,2,FALSE),0)))</f>
        <v>1</v>
      </c>
      <c r="P405" s="73">
        <f>IF(OR(I405=0,I405=$A$1),0,MIN(O405*M405,1)*K405)</f>
        <v>54.802868832692416</v>
      </c>
      <c r="Q405" s="73">
        <f>IF(B405="",0,IF(OR(H405=MappingTables!$C$34,H405=MappingTables!$C$35),P405,0))</f>
        <v>0</v>
      </c>
      <c r="R405" s="73">
        <f>IF(ISNA(IF(AND(VLOOKUP(CONCATENATE($D405,$G405),CSRFinput!$B:$E,4,0)=0,OR(H405=MappingTables!$C$31,H405=MappingTables!$C$32)),1,VLOOKUP(CONCATENATE($D405,$G405),CSRFinput!$B:$E,4,0))),0,IF(AND(VLOOKUP(CONCATENATE($D405,$G405),CSRFinput!$B:$E,4,0)=0,OR(H405=MappingTables!$C$31,H405=MappingTables!$C$32)),1,VLOOKUP(CONCATENATE($D405,$G405),CSRFinput!$B:$E,4,0)))</f>
        <v>0.054776304963434752</v>
      </c>
      <c r="S405" s="73">
        <f>IF(B405="",0,P405*R405)</f>
        <v>3.0018986560506736</v>
      </c>
      <c r="T405" s="85">
        <f>IF(B405="",0,IF(OR(H405=MappingTables!$C$34,H405=MappingTables!$C$35),S405,0))</f>
        <v>0</v>
      </c>
    </row>
    <row r="406" spans="2:20" s="0" customFormat="0" ht="15">
      <c r="B406" s="69" t="s">
        <v>3911</v>
      </c>
      <c r="C406" s="70" t="s">
        <v>3912</v>
      </c>
      <c r="D406" s="70" t="s">
        <v>1</v>
      </c>
      <c r="E406" s="70" t="s">
        <v>1</v>
      </c>
      <c r="F406" s="70"/>
      <c r="G406" s="70" t="s">
        <v>61</v>
      </c>
      <c r="H406" s="70" t="s">
        <v>178</v>
      </c>
      <c r="I406" s="70" t="s">
        <v>204</v>
      </c>
      <c r="J406" s="71">
        <f>IF(OR(I406=0,I406=""),"unrated",VLOOKUP(I406,MappingTables!$B$19:$C$31,2,FALSE))</f>
        <v>6</v>
      </c>
      <c r="K406" s="72">
        <v>78.414041020935056</v>
      </c>
      <c r="L406" s="70">
        <v>0.068489973595949232</v>
      </c>
      <c r="M406" s="71">
        <f>IF(L406&lt;1,1,L406)</f>
        <v>1</v>
      </c>
      <c r="N406" s="70" t="s">
        <v>3288</v>
      </c>
      <c r="O406" s="71">
        <f>IF(OR(I406=$A$1,I406=0),"",IF(N406=MappingTables!$C$14,VLOOKUP(J406,ModelParameters!$M$8:$N$15,2,FALSE),IF(N406=MappingTables!$C$16,VLOOKUP(J406,ModelParameters!$P$8:$Q$15,2,FALSE),0)))</f>
        <v>1</v>
      </c>
      <c r="P406" s="73">
        <f>IF(OR(I406=0,I406=$A$1),0,MIN(O406*M406,1)*K406)</f>
        <v>78.414041020935056</v>
      </c>
      <c r="Q406" s="73">
        <f>IF(B406="",0,IF(OR(H406=MappingTables!$C$34,H406=MappingTables!$C$35),P406,0))</f>
        <v>0</v>
      </c>
      <c r="R406" s="73">
        <f>IF(ISNA(IF(AND(VLOOKUP(CONCATENATE($D406,$G406),CSRFinput!$B:$E,4,0)=0,OR(H406=MappingTables!$C$31,H406=MappingTables!$C$32)),1,VLOOKUP(CONCATENATE($D406,$G406),CSRFinput!$B:$E,4,0))),0,IF(AND(VLOOKUP(CONCATENATE($D406,$G406),CSRFinput!$B:$E,4,0)=0,OR(H406=MappingTables!$C$31,H406=MappingTables!$C$32)),1,VLOOKUP(CONCATENATE($D406,$G406),CSRFinput!$B:$E,4,0)))</f>
        <v>0.054776304963434752</v>
      </c>
      <c r="S406" s="73">
        <f>IF(B406="",0,P406*R406)</f>
        <v>4.2952314243780216</v>
      </c>
      <c r="T406" s="85">
        <f>IF(B406="",0,IF(OR(H406=MappingTables!$C$34,H406=MappingTables!$C$35),S406,0))</f>
        <v>0</v>
      </c>
    </row>
    <row r="407" spans="2:20" s="0" customFormat="0" ht="15">
      <c r="B407" s="69">
        <v>12488211</v>
      </c>
      <c r="C407" s="70" t="s">
        <v>3847</v>
      </c>
      <c r="D407" s="70" t="s">
        <v>1</v>
      </c>
      <c r="E407" s="70" t="s">
        <v>1</v>
      </c>
      <c r="F407" s="70"/>
      <c r="G407" s="70" t="s">
        <v>61</v>
      </c>
      <c r="H407" s="70" t="s">
        <v>178</v>
      </c>
      <c r="I407" s="70" t="s">
        <v>216</v>
      </c>
      <c r="J407" s="71">
        <f>IF(OR(I407=0,I407=""),"unrated",VLOOKUP(I407,MappingTables!$B$19:$C$31,2,FALSE))</f>
        <v>0</v>
      </c>
      <c r="K407" s="72">
        <v>66.959584186778344</v>
      </c>
      <c r="L407" s="70">
        <v>2.5607806485244912</v>
      </c>
      <c r="M407" s="71">
        <f>IF(L407&lt;1,1,L407)</f>
        <v>2.5607806485244912</v>
      </c>
      <c r="N407" s="70" t="s">
        <v>3288</v>
      </c>
      <c r="O407" s="71">
        <f>IF(OR(I407=$A$1,I407=0),"",IF(N407=MappingTables!$C$14,VLOOKUP(J407,ModelParameters!$M$8:$N$15,2,FALSE),IF(N407=MappingTables!$C$16,VLOOKUP(J407,ModelParameters!$P$8:$Q$15,2,FALSE),0)))</f>
        <v>0.125</v>
      </c>
      <c r="P407" s="73">
        <f>IF(OR(I407=0,I407=$A$1),0,MIN(O407*M407,1)*K407)</f>
        <v>21.433600927343564</v>
      </c>
      <c r="Q407" s="73">
        <f>IF(B407="",0,IF(OR(H407=MappingTables!$C$34,H407=MappingTables!$C$35),P407,0))</f>
        <v>0</v>
      </c>
      <c r="R407" s="73">
        <f>IF(ISNA(IF(AND(VLOOKUP(CONCATENATE($D407,$G407),CSRFinput!$B:$E,4,0)=0,OR(H407=MappingTables!$C$31,H407=MappingTables!$C$32)),1,VLOOKUP(CONCATENATE($D407,$G407),CSRFinput!$B:$E,4,0))),0,IF(AND(VLOOKUP(CONCATENATE($D407,$G407),CSRFinput!$B:$E,4,0)=0,OR(H407=MappingTables!$C$31,H407=MappingTables!$C$32)),1,VLOOKUP(CONCATENATE($D407,$G407),CSRFinput!$B:$E,4,0)))</f>
        <v>0.054776304963434752</v>
      </c>
      <c r="S407" s="73">
        <f>IF(B407="",0,P407*R407)</f>
        <v>1.1740534608607292</v>
      </c>
      <c r="T407" s="85">
        <f>IF(B407="",0,IF(OR(H407=MappingTables!$C$34,H407=MappingTables!$C$35),S407,0))</f>
        <v>0</v>
      </c>
    </row>
    <row r="408" spans="2:20" s="0" customFormat="0" ht="15">
      <c r="B408" s="69" t="s">
        <v>3913</v>
      </c>
      <c r="C408" s="70" t="s">
        <v>3914</v>
      </c>
      <c r="D408" s="70" t="s">
        <v>1</v>
      </c>
      <c r="E408" s="70" t="s">
        <v>1</v>
      </c>
      <c r="F408" s="70"/>
      <c r="G408" s="70" t="s">
        <v>61</v>
      </c>
      <c r="H408" s="70" t="s">
        <v>178</v>
      </c>
      <c r="I408" s="70" t="s">
        <v>3291</v>
      </c>
      <c r="J408" s="71">
        <f>IF(OR(I408=0,I408=""),"unrated",VLOOKUP(I408,MappingTables!$B$19:$C$31,2,FALSE))</f>
        <v>6</v>
      </c>
      <c r="K408" s="72">
        <v>407.26276031428072</v>
      </c>
      <c r="L408" s="70">
        <v>-0.009749901357892696</v>
      </c>
      <c r="M408" s="71">
        <f>IF(L408&lt;1,1,L408)</f>
        <v>1</v>
      </c>
      <c r="N408" s="70" t="s">
        <v>3288</v>
      </c>
      <c r="O408" s="71">
        <f>IF(OR(I408=$A$1,I408=0),"",IF(N408=MappingTables!$C$14,VLOOKUP(J408,ModelParameters!$M$8:$N$15,2,FALSE),IF(N408=MappingTables!$C$16,VLOOKUP(J408,ModelParameters!$P$8:$Q$15,2,FALSE),0)))</f>
        <v>1</v>
      </c>
      <c r="P408" s="73">
        <f>IF(OR(I408=0,I408=$A$1),0,MIN(O408*M408,1)*K408)</f>
        <v>407.26276031428072</v>
      </c>
      <c r="Q408" s="73">
        <f>IF(B408="",0,IF(OR(H408=MappingTables!$C$34,H408=MappingTables!$C$35),P408,0))</f>
        <v>0</v>
      </c>
      <c r="R408" s="73">
        <f>IF(ISNA(IF(AND(VLOOKUP(CONCATENATE($D408,$G408),CSRFinput!$B:$E,4,0)=0,OR(H408=MappingTables!$C$31,H408=MappingTables!$C$32)),1,VLOOKUP(CONCATENATE($D408,$G408),CSRFinput!$B:$E,4,0))),0,IF(AND(VLOOKUP(CONCATENATE($D408,$G408),CSRFinput!$B:$E,4,0)=0,OR(H408=MappingTables!$C$31,H408=MappingTables!$C$32)),1,VLOOKUP(CONCATENATE($D408,$G408),CSRFinput!$B:$E,4,0)))</f>
        <v>0.054776304963434752</v>
      </c>
      <c r="S408" s="73">
        <f>IF(B408="",0,P408*R408)</f>
        <v>22.308349159225272</v>
      </c>
      <c r="T408" s="85">
        <f>IF(B408="",0,IF(OR(H408=MappingTables!$C$34,H408=MappingTables!$C$35),S408,0))</f>
        <v>0</v>
      </c>
    </row>
    <row r="409" spans="2:20" s="0" customFormat="0" ht="15">
      <c r="B409" s="69">
        <v>1551610</v>
      </c>
      <c r="C409" s="70" t="s">
        <v>3915</v>
      </c>
      <c r="D409" s="70" t="s">
        <v>1</v>
      </c>
      <c r="E409" s="70" t="s">
        <v>1</v>
      </c>
      <c r="F409" s="70"/>
      <c r="G409" s="70" t="s">
        <v>61</v>
      </c>
      <c r="H409" s="70" t="s">
        <v>178</v>
      </c>
      <c r="I409" s="70" t="s">
        <v>198</v>
      </c>
      <c r="J409" s="71" t="str">
        <f>IF(OR(I409=0,I409=""),"unrated",VLOOKUP(I409,MappingTables!$B$19:$C$31,2,FALSE))</f>
        <v>unrated</v>
      </c>
      <c r="K409" s="72">
        <v>0.69297324346862784</v>
      </c>
      <c r="L409" s="70">
        <v>0.052050564916493184</v>
      </c>
      <c r="M409" s="71">
        <f>IF(L409&lt;1,1,L409)</f>
        <v>1</v>
      </c>
      <c r="N409" s="70" t="s">
        <v>3288</v>
      </c>
      <c r="O409" s="71">
        <f>IF(OR(I409=$A$1,I409=0),"",IF(N409=MappingTables!$C$14,VLOOKUP(J409,ModelParameters!$M$8:$N$15,2,FALSE),IF(N409=MappingTables!$C$16,VLOOKUP(J409,ModelParameters!$P$8:$Q$15,2,FALSE),0)))</f>
        <v>1</v>
      </c>
      <c r="P409" s="73">
        <f>IF(OR(I409=0,I409=$A$1),0,MIN(O409*M409,1)*K409)</f>
        <v>0.69297324346862784</v>
      </c>
      <c r="Q409" s="73">
        <f>IF(B409="",0,IF(OR(H409=MappingTables!$C$34,H409=MappingTables!$C$35),P409,0))</f>
        <v>0</v>
      </c>
      <c r="R409" s="73">
        <f>IF(ISNA(IF(AND(VLOOKUP(CONCATENATE($D409,$G409),CSRFinput!$B:$E,4,0)=0,OR(H409=MappingTables!$C$31,H409=MappingTables!$C$32)),1,VLOOKUP(CONCATENATE($D409,$G409),CSRFinput!$B:$E,4,0))),0,IF(AND(VLOOKUP(CONCATENATE($D409,$G409),CSRFinput!$B:$E,4,0)=0,OR(H409=MappingTables!$C$31,H409=MappingTables!$C$32)),1,VLOOKUP(CONCATENATE($D409,$G409),CSRFinput!$B:$E,4,0)))</f>
        <v>0.054776304963434752</v>
      </c>
      <c r="S409" s="73">
        <f>IF(B409="",0,P409*R409)</f>
        <v>0.03795851371573808</v>
      </c>
      <c r="T409" s="85">
        <f>IF(B409="",0,IF(OR(H409=MappingTables!$C$34,H409=MappingTables!$C$35),S409,0))</f>
        <v>0</v>
      </c>
    </row>
    <row r="410" spans="2:20" s="0" customFormat="0" ht="15">
      <c r="B410" s="69" t="s">
        <v>3680</v>
      </c>
      <c r="C410" s="70" t="s">
        <v>3681</v>
      </c>
      <c r="D410" s="70" t="s">
        <v>1</v>
      </c>
      <c r="E410" s="70" t="s">
        <v>1</v>
      </c>
      <c r="F410" s="70"/>
      <c r="G410" s="70" t="s">
        <v>61</v>
      </c>
      <c r="H410" s="70" t="s">
        <v>178</v>
      </c>
      <c r="I410" s="70" t="s">
        <v>179</v>
      </c>
      <c r="J410" s="71">
        <f>IF(OR(I410=0,I410=""),"unrated",VLOOKUP(I410,MappingTables!$B$19:$C$31,2,FALSE))</f>
        <v>4</v>
      </c>
      <c r="K410" s="72">
        <v>2578.3720407662252</v>
      </c>
      <c r="L410" s="70">
        <v>0.067599330978979704</v>
      </c>
      <c r="M410" s="71">
        <f>IF(L410&lt;1,1,L410)</f>
        <v>1</v>
      </c>
      <c r="N410" s="70" t="s">
        <v>3288</v>
      </c>
      <c r="O410" s="71">
        <f>IF(OR(I410=$A$1,I410=0),"",IF(N410=MappingTables!$C$14,VLOOKUP(J410,ModelParameters!$M$8:$N$15,2,FALSE),IF(N410=MappingTables!$C$16,VLOOKUP(J410,ModelParameters!$P$8:$Q$15,2,FALSE),0)))</f>
        <v>0.82</v>
      </c>
      <c r="P410" s="73">
        <f>IF(OR(I410=0,I410=$A$1),0,MIN(O410*M410,1)*K410)</f>
        <v>2114.2650734283048</v>
      </c>
      <c r="Q410" s="73">
        <f>IF(B410="",0,IF(OR(H410=MappingTables!$C$34,H410=MappingTables!$C$35),P410,0))</f>
        <v>0</v>
      </c>
      <c r="R410" s="73">
        <f>IF(ISNA(IF(AND(VLOOKUP(CONCATENATE($D410,$G410),CSRFinput!$B:$E,4,0)=0,OR(H410=MappingTables!$C$31,H410=MappingTables!$C$32)),1,VLOOKUP(CONCATENATE($D410,$G410),CSRFinput!$B:$E,4,0))),0,IF(AND(VLOOKUP(CONCATENATE($D410,$G410),CSRFinput!$B:$E,4,0)=0,OR(H410=MappingTables!$C$31,H410=MappingTables!$C$32)),1,VLOOKUP(CONCATENATE($D410,$G410),CSRFinput!$B:$E,4,0)))</f>
        <v>0.054776304963434752</v>
      </c>
      <c r="S410" s="73">
        <f>IF(B410="",0,P410*R410)</f>
        <v>115.8116284356476</v>
      </c>
      <c r="T410" s="85">
        <f>IF(B410="",0,IF(OR(H410=MappingTables!$C$34,H410=MappingTables!$C$35),S410,0))</f>
        <v>0</v>
      </c>
    </row>
    <row r="411" spans="2:20" s="0" customFormat="0" ht="15">
      <c r="B411" s="69" t="s">
        <v>3916</v>
      </c>
      <c r="C411" s="70" t="s">
        <v>3917</v>
      </c>
      <c r="D411" s="70" t="s">
        <v>1</v>
      </c>
      <c r="E411" s="70" t="s">
        <v>1</v>
      </c>
      <c r="F411" s="70"/>
      <c r="G411" s="70" t="s">
        <v>61</v>
      </c>
      <c r="H411" s="70" t="s">
        <v>178</v>
      </c>
      <c r="I411" s="70" t="s">
        <v>3291</v>
      </c>
      <c r="J411" s="71">
        <f>IF(OR(I411=0,I411=""),"unrated",VLOOKUP(I411,MappingTables!$B$19:$C$31,2,FALSE))</f>
        <v>6</v>
      </c>
      <c r="K411" s="72">
        <v>10.692828890471704</v>
      </c>
      <c r="L411" s="70">
        <v>0.068494041642410672</v>
      </c>
      <c r="M411" s="71">
        <f>IF(L411&lt;1,1,L411)</f>
        <v>1</v>
      </c>
      <c r="N411" s="70" t="s">
        <v>3288</v>
      </c>
      <c r="O411" s="71">
        <f>IF(OR(I411=$A$1,I411=0),"",IF(N411=MappingTables!$C$14,VLOOKUP(J411,ModelParameters!$M$8:$N$15,2,FALSE),IF(N411=MappingTables!$C$16,VLOOKUP(J411,ModelParameters!$P$8:$Q$15,2,FALSE),0)))</f>
        <v>1</v>
      </c>
      <c r="P411" s="73">
        <f>IF(OR(I411=0,I411=$A$1),0,MIN(O411*M411,1)*K411)</f>
        <v>10.692828890471704</v>
      </c>
      <c r="Q411" s="73">
        <f>IF(B411="",0,IF(OR(H411=MappingTables!$C$34,H411=MappingTables!$C$35),P411,0))</f>
        <v>0</v>
      </c>
      <c r="R411" s="73">
        <f>IF(ISNA(IF(AND(VLOOKUP(CONCATENATE($D411,$G411),CSRFinput!$B:$E,4,0)=0,OR(H411=MappingTables!$C$31,H411=MappingTables!$C$32)),1,VLOOKUP(CONCATENATE($D411,$G411),CSRFinput!$B:$E,4,0))),0,IF(AND(VLOOKUP(CONCATENATE($D411,$G411),CSRFinput!$B:$E,4,0)=0,OR(H411=MappingTables!$C$31,H411=MappingTables!$C$32)),1,VLOOKUP(CONCATENATE($D411,$G411),CSRFinput!$B:$E,4,0)))</f>
        <v>0.054776304963434752</v>
      </c>
      <c r="S411" s="73">
        <f>IF(B411="",0,P411*R411)</f>
        <v>0.58571365622630368</v>
      </c>
      <c r="T411" s="85">
        <f>IF(B411="",0,IF(OR(H411=MappingTables!$C$34,H411=MappingTables!$C$35),S411,0))</f>
        <v>0</v>
      </c>
    </row>
    <row r="412" spans="2:20" s="0" customFormat="0" ht="15">
      <c r="B412" s="69" t="s">
        <v>3918</v>
      </c>
      <c r="C412" s="70" t="s">
        <v>3919</v>
      </c>
      <c r="D412" s="70" t="s">
        <v>1</v>
      </c>
      <c r="E412" s="70" t="s">
        <v>1</v>
      </c>
      <c r="F412" s="70"/>
      <c r="G412" s="70" t="s">
        <v>61</v>
      </c>
      <c r="H412" s="70" t="s">
        <v>178</v>
      </c>
      <c r="I412" s="70" t="s">
        <v>198</v>
      </c>
      <c r="J412" s="71" t="str">
        <f>IF(OR(I412=0,I412=""),"unrated",VLOOKUP(I412,MappingTables!$B$19:$C$31,2,FALSE))</f>
        <v>unrated</v>
      </c>
      <c r="K412" s="72">
        <v>138.8942639589146</v>
      </c>
      <c r="L412" s="70">
        <v>0.2604329052141978</v>
      </c>
      <c r="M412" s="71">
        <f>IF(L412&lt;1,1,L412)</f>
        <v>1</v>
      </c>
      <c r="N412" s="70" t="s">
        <v>3288</v>
      </c>
      <c r="O412" s="71">
        <f>IF(OR(I412=$A$1,I412=0),"",IF(N412=MappingTables!$C$14,VLOOKUP(J412,ModelParameters!$M$8:$N$15,2,FALSE),IF(N412=MappingTables!$C$16,VLOOKUP(J412,ModelParameters!$P$8:$Q$15,2,FALSE),0)))</f>
        <v>1</v>
      </c>
      <c r="P412" s="73">
        <f>IF(OR(I412=0,I412=$A$1),0,MIN(O412*M412,1)*K412)</f>
        <v>138.8942639589146</v>
      </c>
      <c r="Q412" s="73">
        <f>IF(B412="",0,IF(OR(H412=MappingTables!$C$34,H412=MappingTables!$C$35),P412,0))</f>
        <v>0</v>
      </c>
      <c r="R412" s="73">
        <f>IF(ISNA(IF(AND(VLOOKUP(CONCATENATE($D412,$G412),CSRFinput!$B:$E,4,0)=0,OR(H412=MappingTables!$C$31,H412=MappingTables!$C$32)),1,VLOOKUP(CONCATENATE($D412,$G412),CSRFinput!$B:$E,4,0))),0,IF(AND(VLOOKUP(CONCATENATE($D412,$G412),CSRFinput!$B:$E,4,0)=0,OR(H412=MappingTables!$C$31,H412=MappingTables!$C$32)),1,VLOOKUP(CONCATENATE($D412,$G412),CSRFinput!$B:$E,4,0)))</f>
        <v>0.054776304963434752</v>
      </c>
      <c r="S412" s="73">
        <f>IF(B412="",0,P412*R412)</f>
        <v>7.6081145602853104</v>
      </c>
      <c r="T412" s="85">
        <f>IF(B412="",0,IF(OR(H412=MappingTables!$C$34,H412=MappingTables!$C$35),S412,0))</f>
        <v>0</v>
      </c>
    </row>
    <row r="413" spans="2:20" s="0" customFormat="0" ht="15">
      <c r="B413" s="69" t="s">
        <v>3920</v>
      </c>
      <c r="C413" s="70" t="s">
        <v>3921</v>
      </c>
      <c r="D413" s="70" t="s">
        <v>1</v>
      </c>
      <c r="E413" s="70" t="s">
        <v>1</v>
      </c>
      <c r="F413" s="70"/>
      <c r="G413" s="70" t="s">
        <v>61</v>
      </c>
      <c r="H413" s="70" t="s">
        <v>178</v>
      </c>
      <c r="I413" s="70" t="s">
        <v>204</v>
      </c>
      <c r="J413" s="71">
        <f>IF(OR(I413=0,I413=""),"unrated",VLOOKUP(I413,MappingTables!$B$19:$C$31,2,FALSE))</f>
        <v>6</v>
      </c>
      <c r="K413" s="72">
        <v>281.75990032030024</v>
      </c>
      <c r="L413" s="70">
        <v>0.06848992754414236</v>
      </c>
      <c r="M413" s="71">
        <f>IF(L413&lt;1,1,L413)</f>
        <v>1</v>
      </c>
      <c r="N413" s="70" t="s">
        <v>3288</v>
      </c>
      <c r="O413" s="71">
        <f>IF(OR(I413=$A$1,I413=0),"",IF(N413=MappingTables!$C$14,VLOOKUP(J413,ModelParameters!$M$8:$N$15,2,FALSE),IF(N413=MappingTables!$C$16,VLOOKUP(J413,ModelParameters!$P$8:$Q$15,2,FALSE),0)))</f>
        <v>1</v>
      </c>
      <c r="P413" s="73">
        <f>IF(OR(I413=0,I413=$A$1),0,MIN(O413*M413,1)*K413)</f>
        <v>281.75990032030024</v>
      </c>
      <c r="Q413" s="73">
        <f>IF(B413="",0,IF(OR(H413=MappingTables!$C$34,H413=MappingTables!$C$35),P413,0))</f>
        <v>0</v>
      </c>
      <c r="R413" s="73">
        <f>IF(ISNA(IF(AND(VLOOKUP(CONCATENATE($D413,$G413),CSRFinput!$B:$E,4,0)=0,OR(H413=MappingTables!$C$31,H413=MappingTables!$C$32)),1,VLOOKUP(CONCATENATE($D413,$G413),CSRFinput!$B:$E,4,0))),0,IF(AND(VLOOKUP(CONCATENATE($D413,$G413),CSRFinput!$B:$E,4,0)=0,OR(H413=MappingTables!$C$31,H413=MappingTables!$C$32)),1,VLOOKUP(CONCATENATE($D413,$G413),CSRFinput!$B:$E,4,0)))</f>
        <v>0.054776304963434752</v>
      </c>
      <c r="S413" s="73">
        <f>IF(B413="",0,P413*R413)</f>
        <v>15.433766226411744</v>
      </c>
      <c r="T413" s="85">
        <f>IF(B413="",0,IF(OR(H413=MappingTables!$C$34,H413=MappingTables!$C$35),S413,0))</f>
        <v>0</v>
      </c>
    </row>
    <row r="414" spans="2:20" s="0" customFormat="0" ht="15">
      <c r="B414" s="69" t="s">
        <v>3922</v>
      </c>
      <c r="C414" s="70" t="s">
        <v>3923</v>
      </c>
      <c r="D414" s="70" t="s">
        <v>1</v>
      </c>
      <c r="E414" s="70" t="s">
        <v>1</v>
      </c>
      <c r="F414" s="70"/>
      <c r="G414" s="70" t="s">
        <v>61</v>
      </c>
      <c r="H414" s="70" t="s">
        <v>178</v>
      </c>
      <c r="I414" s="70" t="s">
        <v>204</v>
      </c>
      <c r="J414" s="71">
        <f>IF(OR(I414=0,I414=""),"unrated",VLOOKUP(I414,MappingTables!$B$19:$C$31,2,FALSE))</f>
        <v>6</v>
      </c>
      <c r="K414" s="72">
        <v>195.5096599046326</v>
      </c>
      <c r="L414" s="70">
        <v>0.06849358945427168</v>
      </c>
      <c r="M414" s="71">
        <f>IF(L414&lt;1,1,L414)</f>
        <v>1</v>
      </c>
      <c r="N414" s="70" t="s">
        <v>3288</v>
      </c>
      <c r="O414" s="71">
        <f>IF(OR(I414=$A$1,I414=0),"",IF(N414=MappingTables!$C$14,VLOOKUP(J414,ModelParameters!$M$8:$N$15,2,FALSE),IF(N414=MappingTables!$C$16,VLOOKUP(J414,ModelParameters!$P$8:$Q$15,2,FALSE),0)))</f>
        <v>1</v>
      </c>
      <c r="P414" s="73">
        <f>IF(OR(I414=0,I414=$A$1),0,MIN(O414*M414,1)*K414)</f>
        <v>195.5096599046326</v>
      </c>
      <c r="Q414" s="73">
        <f>IF(B414="",0,IF(OR(H414=MappingTables!$C$34,H414=MappingTables!$C$35),P414,0))</f>
        <v>0</v>
      </c>
      <c r="R414" s="73">
        <f>IF(ISNA(IF(AND(VLOOKUP(CONCATENATE($D414,$G414),CSRFinput!$B:$E,4,0)=0,OR(H414=MappingTables!$C$31,H414=MappingTables!$C$32)),1,VLOOKUP(CONCATENATE($D414,$G414),CSRFinput!$B:$E,4,0))),0,IF(AND(VLOOKUP(CONCATENATE($D414,$G414),CSRFinput!$B:$E,4,0)=0,OR(H414=MappingTables!$C$31,H414=MappingTables!$C$32)),1,VLOOKUP(CONCATENATE($D414,$G414),CSRFinput!$B:$E,4,0)))</f>
        <v>0.054776304963434752</v>
      </c>
      <c r="S414" s="73">
        <f>IF(B414="",0,P414*R414)</f>
        <v>10.709296754233566</v>
      </c>
      <c r="T414" s="85">
        <f>IF(B414="",0,IF(OR(H414=MappingTables!$C$34,H414=MappingTables!$C$35),S414,0))</f>
        <v>0</v>
      </c>
    </row>
    <row r="415" spans="2:20" s="0" customFormat="0" ht="15">
      <c r="B415" s="69" t="s">
        <v>3924</v>
      </c>
      <c r="C415" s="70" t="s">
        <v>3925</v>
      </c>
      <c r="D415" s="70" t="s">
        <v>1</v>
      </c>
      <c r="E415" s="70" t="s">
        <v>1</v>
      </c>
      <c r="F415" s="70"/>
      <c r="G415" s="70" t="s">
        <v>61</v>
      </c>
      <c r="H415" s="70" t="s">
        <v>178</v>
      </c>
      <c r="I415" s="70" t="s">
        <v>184</v>
      </c>
      <c r="J415" s="71">
        <f>IF(OR(I415=0,I415=""),"unrated",VLOOKUP(I415,MappingTables!$B$19:$C$31,2,FALSE))</f>
        <v>5</v>
      </c>
      <c r="K415" s="72">
        <v>813.31528066889888</v>
      </c>
      <c r="L415" s="70">
        <v>0.06848872232415956</v>
      </c>
      <c r="M415" s="71">
        <f>IF(L415&lt;1,1,L415)</f>
        <v>1</v>
      </c>
      <c r="N415" s="70" t="s">
        <v>3288</v>
      </c>
      <c r="O415" s="71">
        <f>IF(OR(I415=$A$1,I415=0),"",IF(N415=MappingTables!$C$14,VLOOKUP(J415,ModelParameters!$M$8:$N$15,2,FALSE),IF(N415=MappingTables!$C$16,VLOOKUP(J415,ModelParameters!$P$8:$Q$15,2,FALSE),0)))</f>
        <v>1</v>
      </c>
      <c r="P415" s="73">
        <f>IF(OR(I415=0,I415=$A$1),0,MIN(O415*M415,1)*K415)</f>
        <v>813.31528066889888</v>
      </c>
      <c r="Q415" s="73">
        <f>IF(B415="",0,IF(OR(H415=MappingTables!$C$34,H415=MappingTables!$C$35),P415,0))</f>
        <v>0</v>
      </c>
      <c r="R415" s="73">
        <f>IF(ISNA(IF(AND(VLOOKUP(CONCATENATE($D415,$G415),CSRFinput!$B:$E,4,0)=0,OR(H415=MappingTables!$C$31,H415=MappingTables!$C$32)),1,VLOOKUP(CONCATENATE($D415,$G415),CSRFinput!$B:$E,4,0))),0,IF(AND(VLOOKUP(CONCATENATE($D415,$G415),CSRFinput!$B:$E,4,0)=0,OR(H415=MappingTables!$C$31,H415=MappingTables!$C$32)),1,VLOOKUP(CONCATENATE($D415,$G415),CSRFinput!$B:$E,4,0)))</f>
        <v>0.054776304963434752</v>
      </c>
      <c r="S415" s="73">
        <f>IF(B415="",0,P415*R415)</f>
        <v>44.550405845341128</v>
      </c>
      <c r="T415" s="85">
        <f>IF(B415="",0,IF(OR(H415=MappingTables!$C$34,H415=MappingTables!$C$35),S415,0))</f>
        <v>0</v>
      </c>
    </row>
    <row r="416" spans="2:20" s="0" customFormat="0" ht="15">
      <c r="B416" s="69" t="s">
        <v>3726</v>
      </c>
      <c r="C416" s="70" t="s">
        <v>3727</v>
      </c>
      <c r="D416" s="70" t="s">
        <v>1</v>
      </c>
      <c r="E416" s="70" t="s">
        <v>1</v>
      </c>
      <c r="F416" s="70"/>
      <c r="G416" s="70" t="s">
        <v>61</v>
      </c>
      <c r="H416" s="70" t="s">
        <v>178</v>
      </c>
      <c r="I416" s="70" t="s">
        <v>198</v>
      </c>
      <c r="J416" s="71" t="str">
        <f>IF(OR(I416=0,I416=""),"unrated",VLOOKUP(I416,MappingTables!$B$19:$C$31,2,FALSE))</f>
        <v>unrated</v>
      </c>
      <c r="K416" s="72">
        <v>0.49427156657971112</v>
      </c>
      <c r="L416" s="70">
        <v>44.224082978941312</v>
      </c>
      <c r="M416" s="71">
        <f>IF(L416&lt;1,1,L416)</f>
        <v>44.224082978941312</v>
      </c>
      <c r="N416" s="70" t="s">
        <v>3288</v>
      </c>
      <c r="O416" s="71">
        <f>IF(OR(I416=$A$1,I416=0),"",IF(N416=MappingTables!$C$14,VLOOKUP(J416,ModelParameters!$M$8:$N$15,2,FALSE),IF(N416=MappingTables!$C$16,VLOOKUP(J416,ModelParameters!$P$8:$Q$15,2,FALSE),0)))</f>
        <v>1</v>
      </c>
      <c r="P416" s="73">
        <f>IF(OR(I416=0,I416=$A$1),0,MIN(O416*M416,1)*K416)</f>
        <v>0.49427156657971112</v>
      </c>
      <c r="Q416" s="73">
        <f>IF(B416="",0,IF(OR(H416=MappingTables!$C$34,H416=MappingTables!$C$35),P416,0))</f>
        <v>0</v>
      </c>
      <c r="R416" s="73">
        <f>IF(ISNA(IF(AND(VLOOKUP(CONCATENATE($D416,$G416),CSRFinput!$B:$E,4,0)=0,OR(H416=MappingTables!$C$31,H416=MappingTables!$C$32)),1,VLOOKUP(CONCATENATE($D416,$G416),CSRFinput!$B:$E,4,0))),0,IF(AND(VLOOKUP(CONCATENATE($D416,$G416),CSRFinput!$B:$E,4,0)=0,OR(H416=MappingTables!$C$31,H416=MappingTables!$C$32)),1,VLOOKUP(CONCATENATE($D416,$G416),CSRFinput!$B:$E,4,0)))</f>
        <v>0.054776304963434752</v>
      </c>
      <c r="S416" s="73">
        <f>IF(B416="",0,P416*R416)</f>
        <v>0.0270743700657249</v>
      </c>
      <c r="T416" s="85">
        <f>IF(B416="",0,IF(OR(H416=MappingTables!$C$34,H416=MappingTables!$C$35),S416,0))</f>
        <v>0</v>
      </c>
    </row>
    <row r="417" spans="2:20" s="0" customFormat="0" ht="15">
      <c r="B417" s="69" t="s">
        <v>3926</v>
      </c>
      <c r="C417" s="70" t="s">
        <v>3927</v>
      </c>
      <c r="D417" s="70" t="s">
        <v>1</v>
      </c>
      <c r="E417" s="70" t="s">
        <v>1</v>
      </c>
      <c r="F417" s="70"/>
      <c r="G417" s="70" t="s">
        <v>61</v>
      </c>
      <c r="H417" s="70" t="s">
        <v>178</v>
      </c>
      <c r="I417" s="70" t="s">
        <v>198</v>
      </c>
      <c r="J417" s="71" t="str">
        <f>IF(OR(I417=0,I417=""),"unrated",VLOOKUP(I417,MappingTables!$B$19:$C$31,2,FALSE))</f>
        <v>unrated</v>
      </c>
      <c r="K417" s="72">
        <v>93.97512867884656</v>
      </c>
      <c r="L417" s="70">
        <v>0.15296344961526396</v>
      </c>
      <c r="M417" s="71">
        <f>IF(L417&lt;1,1,L417)</f>
        <v>1</v>
      </c>
      <c r="N417" s="70" t="s">
        <v>3288</v>
      </c>
      <c r="O417" s="71">
        <f>IF(OR(I417=$A$1,I417=0),"",IF(N417=MappingTables!$C$14,VLOOKUP(J417,ModelParameters!$M$8:$N$15,2,FALSE),IF(N417=MappingTables!$C$16,VLOOKUP(J417,ModelParameters!$P$8:$Q$15,2,FALSE),0)))</f>
        <v>1</v>
      </c>
      <c r="P417" s="73">
        <f>IF(OR(I417=0,I417=$A$1),0,MIN(O417*M417,1)*K417)</f>
        <v>93.97512867884656</v>
      </c>
      <c r="Q417" s="73">
        <f>IF(B417="",0,IF(OR(H417=MappingTables!$C$34,H417=MappingTables!$C$35),P417,0))</f>
        <v>0</v>
      </c>
      <c r="R417" s="73">
        <f>IF(ISNA(IF(AND(VLOOKUP(CONCATENATE($D417,$G417),CSRFinput!$B:$E,4,0)=0,OR(H417=MappingTables!$C$31,H417=MappingTables!$C$32)),1,VLOOKUP(CONCATENATE($D417,$G417),CSRFinput!$B:$E,4,0))),0,IF(AND(VLOOKUP(CONCATENATE($D417,$G417),CSRFinput!$B:$E,4,0)=0,OR(H417=MappingTables!$C$31,H417=MappingTables!$C$32)),1,VLOOKUP(CONCATENATE($D417,$G417),CSRFinput!$B:$E,4,0)))</f>
        <v>0.054776304963434752</v>
      </c>
      <c r="S417" s="73">
        <f>IF(B417="",0,P417*R417)</f>
        <v>5.1476103074905224</v>
      </c>
      <c r="T417" s="85">
        <f>IF(B417="",0,IF(OR(H417=MappingTables!$C$34,H417=MappingTables!$C$35),S417,0))</f>
        <v>0</v>
      </c>
    </row>
    <row r="418" spans="2:20" s="0" customFormat="0" ht="15">
      <c r="B418" s="69">
        <v>16974684</v>
      </c>
      <c r="C418" s="70" t="s">
        <v>3928</v>
      </c>
      <c r="D418" s="70" t="s">
        <v>1</v>
      </c>
      <c r="E418" s="70" t="s">
        <v>1</v>
      </c>
      <c r="F418" s="70"/>
      <c r="G418" s="70" t="s">
        <v>61</v>
      </c>
      <c r="H418" s="70" t="s">
        <v>178</v>
      </c>
      <c r="I418" s="70" t="s">
        <v>198</v>
      </c>
      <c r="J418" s="71" t="str">
        <f>IF(OR(I418=0,I418=""),"unrated",VLOOKUP(I418,MappingTables!$B$19:$C$31,2,FALSE))</f>
        <v>unrated</v>
      </c>
      <c r="K418" s="72">
        <v>247.26875518764912</v>
      </c>
      <c r="L418" s="70">
        <v>0.070700969402769168</v>
      </c>
      <c r="M418" s="71">
        <f>IF(L418&lt;1,1,L418)</f>
        <v>1</v>
      </c>
      <c r="N418" s="70" t="s">
        <v>3288</v>
      </c>
      <c r="O418" s="71">
        <f>IF(OR(I418=$A$1,I418=0),"",IF(N418=MappingTables!$C$14,VLOOKUP(J418,ModelParameters!$M$8:$N$15,2,FALSE),IF(N418=MappingTables!$C$16,VLOOKUP(J418,ModelParameters!$P$8:$Q$15,2,FALSE),0)))</f>
        <v>1</v>
      </c>
      <c r="P418" s="73">
        <f>IF(OR(I418=0,I418=$A$1),0,MIN(O418*M418,1)*K418)</f>
        <v>247.26875518764912</v>
      </c>
      <c r="Q418" s="73">
        <f>IF(B418="",0,IF(OR(H418=MappingTables!$C$34,H418=MappingTables!$C$35),P418,0))</f>
        <v>0</v>
      </c>
      <c r="R418" s="73">
        <f>IF(ISNA(IF(AND(VLOOKUP(CONCATENATE($D418,$G418),CSRFinput!$B:$E,4,0)=0,OR(H418=MappingTables!$C$31,H418=MappingTables!$C$32)),1,VLOOKUP(CONCATENATE($D418,$G418),CSRFinput!$B:$E,4,0))),0,IF(AND(VLOOKUP(CONCATENATE($D418,$G418),CSRFinput!$B:$E,4,0)=0,OR(H418=MappingTables!$C$31,H418=MappingTables!$C$32)),1,VLOOKUP(CONCATENATE($D418,$G418),CSRFinput!$B:$E,4,0)))</f>
        <v>0.054776304963434752</v>
      </c>
      <c r="S418" s="73">
        <f>IF(B418="",0,P418*R418)</f>
        <v>13.544468742087556</v>
      </c>
      <c r="T418" s="85">
        <f>IF(B418="",0,IF(OR(H418=MappingTables!$C$34,H418=MappingTables!$C$35),S418,0))</f>
        <v>0</v>
      </c>
    </row>
    <row r="419" spans="2:20" s="0" customFormat="0" ht="15">
      <c r="B419" s="69">
        <v>11865468</v>
      </c>
      <c r="C419" s="70" t="s">
        <v>3929</v>
      </c>
      <c r="D419" s="70" t="s">
        <v>1</v>
      </c>
      <c r="E419" s="70" t="s">
        <v>1</v>
      </c>
      <c r="F419" s="70"/>
      <c r="G419" s="70" t="s">
        <v>61</v>
      </c>
      <c r="H419" s="70" t="s">
        <v>178</v>
      </c>
      <c r="I419" s="70" t="s">
        <v>216</v>
      </c>
      <c r="J419" s="71">
        <f>IF(OR(I419=0,I419=""),"unrated",VLOOKUP(I419,MappingTables!$B$19:$C$31,2,FALSE))</f>
        <v>0</v>
      </c>
      <c r="K419" s="72">
        <v>69.629731226855072</v>
      </c>
      <c r="L419" s="70">
        <v>0.079546764022449216</v>
      </c>
      <c r="M419" s="71">
        <f>IF(L419&lt;1,1,L419)</f>
        <v>1</v>
      </c>
      <c r="N419" s="70" t="s">
        <v>3288</v>
      </c>
      <c r="O419" s="71">
        <f>IF(OR(I419=$A$1,I419=0),"",IF(N419=MappingTables!$C$14,VLOOKUP(J419,ModelParameters!$M$8:$N$15,2,FALSE),IF(N419=MappingTables!$C$16,VLOOKUP(J419,ModelParameters!$P$8:$Q$15,2,FALSE),0)))</f>
        <v>0.125</v>
      </c>
      <c r="P419" s="73">
        <f>IF(OR(I419=0,I419=$A$1),0,MIN(O419*M419,1)*K419)</f>
        <v>8.7037164033568832</v>
      </c>
      <c r="Q419" s="73">
        <f>IF(B419="",0,IF(OR(H419=MappingTables!$C$34,H419=MappingTables!$C$35),P419,0))</f>
        <v>0</v>
      </c>
      <c r="R419" s="73">
        <f>IF(ISNA(IF(AND(VLOOKUP(CONCATENATE($D419,$G419),CSRFinput!$B:$E,4,0)=0,OR(H419=MappingTables!$C$31,H419=MappingTables!$C$32)),1,VLOOKUP(CONCATENATE($D419,$G419),CSRFinput!$B:$E,4,0))),0,IF(AND(VLOOKUP(CONCATENATE($D419,$G419),CSRFinput!$B:$E,4,0)=0,OR(H419=MappingTables!$C$31,H419=MappingTables!$C$32)),1,VLOOKUP(CONCATENATE($D419,$G419),CSRFinput!$B:$E,4,0)))</f>
        <v>0.054776304963434752</v>
      </c>
      <c r="S419" s="73">
        <f>IF(B419="",0,P419*R419)</f>
        <v>0.47675742402552616</v>
      </c>
      <c r="T419" s="85">
        <f>IF(B419="",0,IF(OR(H419=MappingTables!$C$34,H419=MappingTables!$C$35),S419,0))</f>
        <v>0</v>
      </c>
    </row>
    <row r="420" spans="2:20" s="0" customFormat="0" ht="15">
      <c r="B420" s="69" t="s">
        <v>3930</v>
      </c>
      <c r="C420" s="70" t="s">
        <v>3931</v>
      </c>
      <c r="D420" s="70" t="s">
        <v>1</v>
      </c>
      <c r="E420" s="70" t="s">
        <v>1</v>
      </c>
      <c r="F420" s="70"/>
      <c r="G420" s="70" t="s">
        <v>61</v>
      </c>
      <c r="H420" s="70" t="s">
        <v>178</v>
      </c>
      <c r="I420" s="70" t="s">
        <v>198</v>
      </c>
      <c r="J420" s="71" t="str">
        <f>IF(OR(I420=0,I420=""),"unrated",VLOOKUP(I420,MappingTables!$B$19:$C$31,2,FALSE))</f>
        <v>unrated</v>
      </c>
      <c r="K420" s="72">
        <v>23.910919099492476</v>
      </c>
      <c r="L420" s="70">
        <v>0.068488810825766464</v>
      </c>
      <c r="M420" s="71">
        <f>IF(L420&lt;1,1,L420)</f>
        <v>1</v>
      </c>
      <c r="N420" s="70" t="s">
        <v>3288</v>
      </c>
      <c r="O420" s="71">
        <f>IF(OR(I420=$A$1,I420=0),"",IF(N420=MappingTables!$C$14,VLOOKUP(J420,ModelParameters!$M$8:$N$15,2,FALSE),IF(N420=MappingTables!$C$16,VLOOKUP(J420,ModelParameters!$P$8:$Q$15,2,FALSE),0)))</f>
        <v>1</v>
      </c>
      <c r="P420" s="73">
        <f>IF(OR(I420=0,I420=$A$1),0,MIN(O420*M420,1)*K420)</f>
        <v>23.910919099492476</v>
      </c>
      <c r="Q420" s="73">
        <f>IF(B420="",0,IF(OR(H420=MappingTables!$C$34,H420=MappingTables!$C$35),P420,0))</f>
        <v>0</v>
      </c>
      <c r="R420" s="73">
        <f>IF(ISNA(IF(AND(VLOOKUP(CONCATENATE($D420,$G420),CSRFinput!$B:$E,4,0)=0,OR(H420=MappingTables!$C$31,H420=MappingTables!$C$32)),1,VLOOKUP(CONCATENATE($D420,$G420),CSRFinput!$B:$E,4,0))),0,IF(AND(VLOOKUP(CONCATENATE($D420,$G420),CSRFinput!$B:$E,4,0)=0,OR(H420=MappingTables!$C$31,H420=MappingTables!$C$32)),1,VLOOKUP(CONCATENATE($D420,$G420),CSRFinput!$B:$E,4,0)))</f>
        <v>0.054776304963434752</v>
      </c>
      <c r="S420" s="73">
        <f>IF(B420="",0,P420*R420)</f>
        <v>1.3097517965498164</v>
      </c>
      <c r="T420" s="85">
        <f>IF(B420="",0,IF(OR(H420=MappingTables!$C$34,H420=MappingTables!$C$35),S420,0))</f>
        <v>0</v>
      </c>
    </row>
    <row r="421" spans="2:20" s="0" customFormat="0" ht="15">
      <c r="B421" s="69" t="s">
        <v>3932</v>
      </c>
      <c r="C421" s="70" t="s">
        <v>3933</v>
      </c>
      <c r="D421" s="70" t="s">
        <v>1</v>
      </c>
      <c r="E421" s="70" t="s">
        <v>1</v>
      </c>
      <c r="F421" s="70"/>
      <c r="G421" s="70" t="s">
        <v>61</v>
      </c>
      <c r="H421" s="70" t="s">
        <v>178</v>
      </c>
      <c r="I421" s="70" t="s">
        <v>198</v>
      </c>
      <c r="J421" s="71" t="str">
        <f>IF(OR(I421=0,I421=""),"unrated",VLOOKUP(I421,MappingTables!$B$19:$C$31,2,FALSE))</f>
        <v>unrated</v>
      </c>
      <c r="K421" s="72">
        <v>1075.835422920371</v>
      </c>
      <c r="L421" s="70">
        <v>21.969495377191924</v>
      </c>
      <c r="M421" s="71">
        <f>IF(L421&lt;1,1,L421)</f>
        <v>21.969495377191924</v>
      </c>
      <c r="N421" s="70" t="s">
        <v>3288</v>
      </c>
      <c r="O421" s="71">
        <f>IF(OR(I421=$A$1,I421=0),"",IF(N421=MappingTables!$C$14,VLOOKUP(J421,ModelParameters!$M$8:$N$15,2,FALSE),IF(N421=MappingTables!$C$16,VLOOKUP(J421,ModelParameters!$P$8:$Q$15,2,FALSE),0)))</f>
        <v>1</v>
      </c>
      <c r="P421" s="73">
        <f>IF(OR(I421=0,I421=$A$1),0,MIN(O421*M421,1)*K421)</f>
        <v>1075.835422920371</v>
      </c>
      <c r="Q421" s="73">
        <f>IF(B421="",0,IF(OR(H421=MappingTables!$C$34,H421=MappingTables!$C$35),P421,0))</f>
        <v>0</v>
      </c>
      <c r="R421" s="73">
        <f>IF(ISNA(IF(AND(VLOOKUP(CONCATENATE($D421,$G421),CSRFinput!$B:$E,4,0)=0,OR(H421=MappingTables!$C$31,H421=MappingTables!$C$32)),1,VLOOKUP(CONCATENATE($D421,$G421),CSRFinput!$B:$E,4,0))),0,IF(AND(VLOOKUP(CONCATENATE($D421,$G421),CSRFinput!$B:$E,4,0)=0,OR(H421=MappingTables!$C$31,H421=MappingTables!$C$32)),1,VLOOKUP(CONCATENATE($D421,$G421),CSRFinput!$B:$E,4,0)))</f>
        <v>0.054776304963434752</v>
      </c>
      <c r="S421" s="73">
        <f>IF(B421="",0,P421*R421)</f>
        <v>58.93028921635204</v>
      </c>
      <c r="T421" s="85">
        <f>IF(B421="",0,IF(OR(H421=MappingTables!$C$34,H421=MappingTables!$C$35),S421,0))</f>
        <v>0</v>
      </c>
    </row>
    <row r="422" spans="2:20" s="0" customFormat="0" ht="15">
      <c r="B422" s="69">
        <v>16974741</v>
      </c>
      <c r="C422" s="70" t="s">
        <v>3934</v>
      </c>
      <c r="D422" s="70" t="s">
        <v>1</v>
      </c>
      <c r="E422" s="70" t="s">
        <v>1</v>
      </c>
      <c r="F422" s="70"/>
      <c r="G422" s="70" t="s">
        <v>61</v>
      </c>
      <c r="H422" s="70" t="s">
        <v>178</v>
      </c>
      <c r="I422" s="70" t="s">
        <v>216</v>
      </c>
      <c r="J422" s="71">
        <f>IF(OR(I422=0,I422=""),"unrated",VLOOKUP(I422,MappingTables!$B$19:$C$31,2,FALSE))</f>
        <v>0</v>
      </c>
      <c r="K422" s="72">
        <v>833.60158747035968</v>
      </c>
      <c r="L422" s="70">
        <v>0.074663662580629296</v>
      </c>
      <c r="M422" s="71">
        <f>IF(L422&lt;1,1,L422)</f>
        <v>1</v>
      </c>
      <c r="N422" s="70" t="s">
        <v>3288</v>
      </c>
      <c r="O422" s="71">
        <f>IF(OR(I422=$A$1,I422=0),"",IF(N422=MappingTables!$C$14,VLOOKUP(J422,ModelParameters!$M$8:$N$15,2,FALSE),IF(N422=MappingTables!$C$16,VLOOKUP(J422,ModelParameters!$P$8:$Q$15,2,FALSE),0)))</f>
        <v>0.125</v>
      </c>
      <c r="P422" s="73">
        <f>IF(OR(I422=0,I422=$A$1),0,MIN(O422*M422,1)*K422)</f>
        <v>104.20019843379496</v>
      </c>
      <c r="Q422" s="73">
        <f>IF(B422="",0,IF(OR(H422=MappingTables!$C$34,H422=MappingTables!$C$35),P422,0))</f>
        <v>0</v>
      </c>
      <c r="R422" s="73">
        <f>IF(ISNA(IF(AND(VLOOKUP(CONCATENATE($D422,$G422),CSRFinput!$B:$E,4,0)=0,OR(H422=MappingTables!$C$31,H422=MappingTables!$C$32)),1,VLOOKUP(CONCATENATE($D422,$G422),CSRFinput!$B:$E,4,0))),0,IF(AND(VLOOKUP(CONCATENATE($D422,$G422),CSRFinput!$B:$E,4,0)=0,OR(H422=MappingTables!$C$31,H422=MappingTables!$C$32)),1,VLOOKUP(CONCATENATE($D422,$G422),CSRFinput!$B:$E,4,0)))</f>
        <v>0.054776304963434752</v>
      </c>
      <c r="S422" s="73">
        <f>IF(B422="",0,P422*R422)</f>
        <v>5.7077018466599696</v>
      </c>
      <c r="T422" s="85">
        <f>IF(B422="",0,IF(OR(H422=MappingTables!$C$34,H422=MappingTables!$C$35),S422,0))</f>
        <v>0</v>
      </c>
    </row>
    <row r="423" spans="2:20" s="0" customFormat="0" ht="15">
      <c r="B423" s="69" t="s">
        <v>3935</v>
      </c>
      <c r="C423" s="70" t="s">
        <v>3936</v>
      </c>
      <c r="D423" s="70" t="s">
        <v>1</v>
      </c>
      <c r="E423" s="70" t="s">
        <v>1</v>
      </c>
      <c r="F423" s="70"/>
      <c r="G423" s="70" t="s">
        <v>61</v>
      </c>
      <c r="H423" s="70" t="s">
        <v>178</v>
      </c>
      <c r="I423" s="70" t="s">
        <v>204</v>
      </c>
      <c r="J423" s="71">
        <f>IF(OR(I423=0,I423=""),"unrated",VLOOKUP(I423,MappingTables!$B$19:$C$31,2,FALSE))</f>
        <v>6</v>
      </c>
      <c r="K423" s="72">
        <v>540.77943974913376</v>
      </c>
      <c r="L423" s="70">
        <v>0.068491651954976032</v>
      </c>
      <c r="M423" s="71">
        <f>IF(L423&lt;1,1,L423)</f>
        <v>1</v>
      </c>
      <c r="N423" s="70" t="s">
        <v>3288</v>
      </c>
      <c r="O423" s="71">
        <f>IF(OR(I423=$A$1,I423=0),"",IF(N423=MappingTables!$C$14,VLOOKUP(J423,ModelParameters!$M$8:$N$15,2,FALSE),IF(N423=MappingTables!$C$16,VLOOKUP(J423,ModelParameters!$P$8:$Q$15,2,FALSE),0)))</f>
        <v>1</v>
      </c>
      <c r="P423" s="73">
        <f>IF(OR(I423=0,I423=$A$1),0,MIN(O423*M423,1)*K423)</f>
        <v>540.77943974913376</v>
      </c>
      <c r="Q423" s="73">
        <f>IF(B423="",0,IF(OR(H423=MappingTables!$C$34,H423=MappingTables!$C$35),P423,0))</f>
        <v>0</v>
      </c>
      <c r="R423" s="73">
        <f>IF(ISNA(IF(AND(VLOOKUP(CONCATENATE($D423,$G423),CSRFinput!$B:$E,4,0)=0,OR(H423=MappingTables!$C$31,H423=MappingTables!$C$32)),1,VLOOKUP(CONCATENATE($D423,$G423),CSRFinput!$B:$E,4,0))),0,IF(AND(VLOOKUP(CONCATENATE($D423,$G423),CSRFinput!$B:$E,4,0)=0,OR(H423=MappingTables!$C$31,H423=MappingTables!$C$32)),1,VLOOKUP(CONCATENATE($D423,$G423),CSRFinput!$B:$E,4,0)))</f>
        <v>0.054776304963434752</v>
      </c>
      <c r="S423" s="73">
        <f>IF(B423="",0,P423*R423)</f>
        <v>29.62189950965394</v>
      </c>
      <c r="T423" s="85">
        <f>IF(B423="",0,IF(OR(H423=MappingTables!$C$34,H423=MappingTables!$C$35),S423,0))</f>
        <v>0</v>
      </c>
    </row>
    <row r="424" spans="2:20" s="0" customFormat="0" ht="15">
      <c r="B424" s="69" t="s">
        <v>3873</v>
      </c>
      <c r="C424" s="70" t="s">
        <v>3874</v>
      </c>
      <c r="D424" s="70" t="s">
        <v>1</v>
      </c>
      <c r="E424" s="70" t="s">
        <v>1</v>
      </c>
      <c r="F424" s="70"/>
      <c r="G424" s="70" t="s">
        <v>61</v>
      </c>
      <c r="H424" s="70" t="s">
        <v>178</v>
      </c>
      <c r="I424" s="70" t="s">
        <v>188</v>
      </c>
      <c r="J424" s="71">
        <f>IF(OR(I424=0,I424=""),"unrated",VLOOKUP(I424,MappingTables!$B$19:$C$31,2,FALSE))</f>
        <v>2</v>
      </c>
      <c r="K424" s="72">
        <v>35.831051336461096</v>
      </c>
      <c r="L424" s="70">
        <v>0.068494521076862976</v>
      </c>
      <c r="M424" s="71">
        <f>IF(L424&lt;1,1,L424)</f>
        <v>1</v>
      </c>
      <c r="N424" s="70" t="s">
        <v>3288</v>
      </c>
      <c r="O424" s="71">
        <f>IF(OR(I424=$A$1,I424=0),"",IF(N424=MappingTables!$C$14,VLOOKUP(J424,ModelParameters!$M$8:$N$15,2,FALSE),IF(N424=MappingTables!$C$16,VLOOKUP(J424,ModelParameters!$P$8:$Q$15,2,FALSE),0)))</f>
        <v>0.166</v>
      </c>
      <c r="P424" s="73">
        <f>IF(OR(I424=0,I424=$A$1),0,MIN(O424*M424,1)*K424)</f>
        <v>5.9479545218525416</v>
      </c>
      <c r="Q424" s="73">
        <f>IF(B424="",0,IF(OR(H424=MappingTables!$C$34,H424=MappingTables!$C$35),P424,0))</f>
        <v>0</v>
      </c>
      <c r="R424" s="73">
        <f>IF(ISNA(IF(AND(VLOOKUP(CONCATENATE($D424,$G424),CSRFinput!$B:$E,4,0)=0,OR(H424=MappingTables!$C$31,H424=MappingTables!$C$32)),1,VLOOKUP(CONCATENATE($D424,$G424),CSRFinput!$B:$E,4,0))),0,IF(AND(VLOOKUP(CONCATENATE($D424,$G424),CSRFinput!$B:$E,4,0)=0,OR(H424=MappingTables!$C$31,H424=MappingTables!$C$32)),1,VLOOKUP(CONCATENATE($D424,$G424),CSRFinput!$B:$E,4,0)))</f>
        <v>0.054776304963434752</v>
      </c>
      <c r="S424" s="73">
        <f>IF(B424="",0,P424*R424)</f>
        <v>0.3258069707976356</v>
      </c>
      <c r="T424" s="85">
        <f>IF(B424="",0,IF(OR(H424=MappingTables!$C$34,H424=MappingTables!$C$35),S424,0))</f>
        <v>0</v>
      </c>
    </row>
    <row r="425" spans="2:20" s="0" customFormat="0" ht="15">
      <c r="B425" s="69">
        <v>18964213</v>
      </c>
      <c r="C425" s="70" t="s">
        <v>3937</v>
      </c>
      <c r="D425" s="70" t="s">
        <v>1</v>
      </c>
      <c r="E425" s="70" t="s">
        <v>1</v>
      </c>
      <c r="F425" s="70"/>
      <c r="G425" s="70" t="s">
        <v>61</v>
      </c>
      <c r="H425" s="70" t="s">
        <v>178</v>
      </c>
      <c r="I425" s="70" t="s">
        <v>216</v>
      </c>
      <c r="J425" s="71">
        <f>IF(OR(I425=0,I425=""),"unrated",VLOOKUP(I425,MappingTables!$B$19:$C$31,2,FALSE))</f>
        <v>0</v>
      </c>
      <c r="K425" s="72">
        <v>1449.6697089904076</v>
      </c>
      <c r="L425" s="70">
        <v>0.04582961048901444</v>
      </c>
      <c r="M425" s="71">
        <f>IF(L425&lt;1,1,L425)</f>
        <v>1</v>
      </c>
      <c r="N425" s="70" t="s">
        <v>3288</v>
      </c>
      <c r="O425" s="71">
        <f>IF(OR(I425=$A$1,I425=0),"",IF(N425=MappingTables!$C$14,VLOOKUP(J425,ModelParameters!$M$8:$N$15,2,FALSE),IF(N425=MappingTables!$C$16,VLOOKUP(J425,ModelParameters!$P$8:$Q$15,2,FALSE),0)))</f>
        <v>0.125</v>
      </c>
      <c r="P425" s="73">
        <f>IF(OR(I425=0,I425=$A$1),0,MIN(O425*M425,1)*K425)</f>
        <v>181.20871362380096</v>
      </c>
      <c r="Q425" s="73">
        <f>IF(B425="",0,IF(OR(H425=MappingTables!$C$34,H425=MappingTables!$C$35),P425,0))</f>
        <v>0</v>
      </c>
      <c r="R425" s="73">
        <f>IF(ISNA(IF(AND(VLOOKUP(CONCATENATE($D425,$G425),CSRFinput!$B:$E,4,0)=0,OR(H425=MappingTables!$C$31,H425=MappingTables!$C$32)),1,VLOOKUP(CONCATENATE($D425,$G425),CSRFinput!$B:$E,4,0))),0,IF(AND(VLOOKUP(CONCATENATE($D425,$G425),CSRFinput!$B:$E,4,0)=0,OR(H425=MappingTables!$C$31,H425=MappingTables!$C$32)),1,VLOOKUP(CONCATENATE($D425,$G425),CSRFinput!$B:$E,4,0)))</f>
        <v>0.054776304963434752</v>
      </c>
      <c r="S425" s="73">
        <f>IF(B425="",0,P425*R425)</f>
        <v>9.9259437594890352</v>
      </c>
      <c r="T425" s="85">
        <f>IF(B425="",0,IF(OR(H425=MappingTables!$C$34,H425=MappingTables!$C$35),S425,0))</f>
        <v>0</v>
      </c>
    </row>
    <row r="426" spans="2:20" s="0" customFormat="0" ht="15">
      <c r="B426" s="69" t="s">
        <v>3938</v>
      </c>
      <c r="C426" s="70" t="s">
        <v>3939</v>
      </c>
      <c r="D426" s="70" t="s">
        <v>1</v>
      </c>
      <c r="E426" s="70" t="s">
        <v>1</v>
      </c>
      <c r="F426" s="70"/>
      <c r="G426" s="70" t="s">
        <v>61</v>
      </c>
      <c r="H426" s="70" t="s">
        <v>178</v>
      </c>
      <c r="I426" s="70" t="s">
        <v>198</v>
      </c>
      <c r="J426" s="71" t="str">
        <f>IF(OR(I426=0,I426=""),"unrated",VLOOKUP(I426,MappingTables!$B$19:$C$31,2,FALSE))</f>
        <v>unrated</v>
      </c>
      <c r="K426" s="72">
        <v>0.20675709169460448</v>
      </c>
      <c r="L426" s="70">
        <v>4.7029238727905128</v>
      </c>
      <c r="M426" s="71">
        <f>IF(L426&lt;1,1,L426)</f>
        <v>4.7029238727905128</v>
      </c>
      <c r="N426" s="70" t="s">
        <v>3288</v>
      </c>
      <c r="O426" s="71">
        <f>IF(OR(I426=$A$1,I426=0),"",IF(N426=MappingTables!$C$14,VLOOKUP(J426,ModelParameters!$M$8:$N$15,2,FALSE),IF(N426=MappingTables!$C$16,VLOOKUP(J426,ModelParameters!$P$8:$Q$15,2,FALSE),0)))</f>
        <v>1</v>
      </c>
      <c r="P426" s="73">
        <f>IF(OR(I426=0,I426=$A$1),0,MIN(O426*M426,1)*K426)</f>
        <v>0.20675709169460448</v>
      </c>
      <c r="Q426" s="73">
        <f>IF(B426="",0,IF(OR(H426=MappingTables!$C$34,H426=MappingTables!$C$35),P426,0))</f>
        <v>0</v>
      </c>
      <c r="R426" s="73">
        <f>IF(ISNA(IF(AND(VLOOKUP(CONCATENATE($D426,$G426),CSRFinput!$B:$E,4,0)=0,OR(H426=MappingTables!$C$31,H426=MappingTables!$C$32)),1,VLOOKUP(CONCATENATE($D426,$G426),CSRFinput!$B:$E,4,0))),0,IF(AND(VLOOKUP(CONCATENATE($D426,$G426),CSRFinput!$B:$E,4,0)=0,OR(H426=MappingTables!$C$31,H426=MappingTables!$C$32)),1,VLOOKUP(CONCATENATE($D426,$G426),CSRFinput!$B:$E,4,0)))</f>
        <v>0.054776304963434752</v>
      </c>
      <c r="S426" s="73">
        <f>IF(B426="",0,P426*R426)</f>
        <v>0.011325389508016498</v>
      </c>
      <c r="T426" s="85">
        <f>IF(B426="",0,IF(OR(H426=MappingTables!$C$34,H426=MappingTables!$C$35),S426,0))</f>
        <v>0</v>
      </c>
    </row>
    <row r="427" spans="2:20" s="0" customFormat="0" ht="15">
      <c r="B427" s="69" t="s">
        <v>3875</v>
      </c>
      <c r="C427" s="70" t="s">
        <v>3876</v>
      </c>
      <c r="D427" s="70" t="s">
        <v>1</v>
      </c>
      <c r="E427" s="70" t="s">
        <v>1</v>
      </c>
      <c r="F427" s="70"/>
      <c r="G427" s="70" t="s">
        <v>61</v>
      </c>
      <c r="H427" s="70" t="s">
        <v>178</v>
      </c>
      <c r="I427" s="70" t="s">
        <v>3298</v>
      </c>
      <c r="J427" s="71">
        <f>IF(OR(I427=0,I427=""),"unrated",VLOOKUP(I427,MappingTables!$B$19:$C$31,2,FALSE))</f>
        <v>6</v>
      </c>
      <c r="K427" s="72">
        <v>7340.4215937853552</v>
      </c>
      <c r="L427" s="70">
        <v>0.78856399132711536</v>
      </c>
      <c r="M427" s="71">
        <f>IF(L427&lt;1,1,L427)</f>
        <v>1</v>
      </c>
      <c r="N427" s="70" t="s">
        <v>3288</v>
      </c>
      <c r="O427" s="71">
        <f>IF(OR(I427=$A$1,I427=0),"",IF(N427=MappingTables!$C$14,VLOOKUP(J427,ModelParameters!$M$8:$N$15,2,FALSE),IF(N427=MappingTables!$C$16,VLOOKUP(J427,ModelParameters!$P$8:$Q$15,2,FALSE),0)))</f>
        <v>1</v>
      </c>
      <c r="P427" s="73">
        <f>IF(OR(I427=0,I427=$A$1),0,MIN(O427*M427,1)*K427)</f>
        <v>7340.4215937853552</v>
      </c>
      <c r="Q427" s="73">
        <f>IF(B427="",0,IF(OR(H427=MappingTables!$C$34,H427=MappingTables!$C$35),P427,0))</f>
        <v>0</v>
      </c>
      <c r="R427" s="73">
        <f>IF(ISNA(IF(AND(VLOOKUP(CONCATENATE($D427,$G427),CSRFinput!$B:$E,4,0)=0,OR(H427=MappingTables!$C$31,H427=MappingTables!$C$32)),1,VLOOKUP(CONCATENATE($D427,$G427),CSRFinput!$B:$E,4,0))),0,IF(AND(VLOOKUP(CONCATENATE($D427,$G427),CSRFinput!$B:$E,4,0)=0,OR(H427=MappingTables!$C$31,H427=MappingTables!$C$32)),1,VLOOKUP(CONCATENATE($D427,$G427),CSRFinput!$B:$E,4,0)))</f>
        <v>0.054776304963434752</v>
      </c>
      <c r="S427" s="73">
        <f>IF(B427="",0,P427*R427)</f>
        <v>402.0811717813684</v>
      </c>
      <c r="T427" s="85">
        <f>IF(B427="",0,IF(OR(H427=MappingTables!$C$34,H427=MappingTables!$C$35),S427,0))</f>
        <v>0</v>
      </c>
    </row>
    <row r="428" spans="2:20" s="0" customFormat="0" ht="15">
      <c r="B428" s="69" t="s">
        <v>3940</v>
      </c>
      <c r="C428" s="70" t="s">
        <v>3941</v>
      </c>
      <c r="D428" s="70" t="s">
        <v>1</v>
      </c>
      <c r="E428" s="70" t="s">
        <v>1</v>
      </c>
      <c r="F428" s="70"/>
      <c r="G428" s="70" t="s">
        <v>61</v>
      </c>
      <c r="H428" s="70" t="s">
        <v>178</v>
      </c>
      <c r="I428" s="70" t="s">
        <v>184</v>
      </c>
      <c r="J428" s="71">
        <f>IF(OR(I428=0,I428=""),"unrated",VLOOKUP(I428,MappingTables!$B$19:$C$31,2,FALSE))</f>
        <v>5</v>
      </c>
      <c r="K428" s="72">
        <v>1133.670197227533</v>
      </c>
      <c r="L428" s="70">
        <v>0.068490309611544536</v>
      </c>
      <c r="M428" s="71">
        <f>IF(L428&lt;1,1,L428)</f>
        <v>1</v>
      </c>
      <c r="N428" s="70" t="s">
        <v>3288</v>
      </c>
      <c r="O428" s="71">
        <f>IF(OR(I428=$A$1,I428=0),"",IF(N428=MappingTables!$C$14,VLOOKUP(J428,ModelParameters!$M$8:$N$15,2,FALSE),IF(N428=MappingTables!$C$16,VLOOKUP(J428,ModelParameters!$P$8:$Q$15,2,FALSE),0)))</f>
        <v>1</v>
      </c>
      <c r="P428" s="73">
        <f>IF(OR(I428=0,I428=$A$1),0,MIN(O428*M428,1)*K428)</f>
        <v>1133.670197227533</v>
      </c>
      <c r="Q428" s="73">
        <f>IF(B428="",0,IF(OR(H428=MappingTables!$C$34,H428=MappingTables!$C$35),P428,0))</f>
        <v>0</v>
      </c>
      <c r="R428" s="73">
        <f>IF(ISNA(IF(AND(VLOOKUP(CONCATENATE($D428,$G428),CSRFinput!$B:$E,4,0)=0,OR(H428=MappingTables!$C$31,H428=MappingTables!$C$32)),1,VLOOKUP(CONCATENATE($D428,$G428),CSRFinput!$B:$E,4,0))),0,IF(AND(VLOOKUP(CONCATENATE($D428,$G428),CSRFinput!$B:$E,4,0)=0,OR(H428=MappingTables!$C$31,H428=MappingTables!$C$32)),1,VLOOKUP(CONCATENATE($D428,$G428),CSRFinput!$B:$E,4,0)))</f>
        <v>0.054776304963434752</v>
      </c>
      <c r="S428" s="73">
        <f>IF(B428="",0,P428*R428)</f>
        <v>62.098264451292568</v>
      </c>
      <c r="T428" s="85">
        <f>IF(B428="",0,IF(OR(H428=MappingTables!$C$34,H428=MappingTables!$C$35),S428,0))</f>
        <v>0</v>
      </c>
    </row>
    <row r="429" spans="2:20" s="0" customFormat="0" ht="15">
      <c r="B429" s="69" t="s">
        <v>3942</v>
      </c>
      <c r="C429" s="70" t="s">
        <v>3943</v>
      </c>
      <c r="D429" s="70" t="s">
        <v>1</v>
      </c>
      <c r="E429" s="70" t="s">
        <v>1</v>
      </c>
      <c r="F429" s="70"/>
      <c r="G429" s="70" t="s">
        <v>61</v>
      </c>
      <c r="H429" s="70" t="s">
        <v>178</v>
      </c>
      <c r="I429" s="70" t="s">
        <v>198</v>
      </c>
      <c r="J429" s="71" t="str">
        <f>IF(OR(I429=0,I429=""),"unrated",VLOOKUP(I429,MappingTables!$B$19:$C$31,2,FALSE))</f>
        <v>unrated</v>
      </c>
      <c r="K429" s="72">
        <v>4190.1206985977736</v>
      </c>
      <c r="L429" s="70">
        <v>9.2611573042959808</v>
      </c>
      <c r="M429" s="71">
        <f>IF(L429&lt;1,1,L429)</f>
        <v>9.2611573042959808</v>
      </c>
      <c r="N429" s="70" t="s">
        <v>3288</v>
      </c>
      <c r="O429" s="71">
        <f>IF(OR(I429=$A$1,I429=0),"",IF(N429=MappingTables!$C$14,VLOOKUP(J429,ModelParameters!$M$8:$N$15,2,FALSE),IF(N429=MappingTables!$C$16,VLOOKUP(J429,ModelParameters!$P$8:$Q$15,2,FALSE),0)))</f>
        <v>1</v>
      </c>
      <c r="P429" s="73">
        <f>IF(OR(I429=0,I429=$A$1),0,MIN(O429*M429,1)*K429)</f>
        <v>4190.1206985977736</v>
      </c>
      <c r="Q429" s="73">
        <f>IF(B429="",0,IF(OR(H429=MappingTables!$C$34,H429=MappingTables!$C$35),P429,0))</f>
        <v>0</v>
      </c>
      <c r="R429" s="73">
        <f>IF(ISNA(IF(AND(VLOOKUP(CONCATENATE($D429,$G429),CSRFinput!$B:$E,4,0)=0,OR(H429=MappingTables!$C$31,H429=MappingTables!$C$32)),1,VLOOKUP(CONCATENATE($D429,$G429),CSRFinput!$B:$E,4,0))),0,IF(AND(VLOOKUP(CONCATENATE($D429,$G429),CSRFinput!$B:$E,4,0)=0,OR(H429=MappingTables!$C$31,H429=MappingTables!$C$32)),1,VLOOKUP(CONCATENATE($D429,$G429),CSRFinput!$B:$E,4,0)))</f>
        <v>0.054776304963434752</v>
      </c>
      <c r="S429" s="73">
        <f>IF(B429="",0,P429*R429)</f>
        <v>229.51932921999192</v>
      </c>
      <c r="T429" s="85">
        <f>IF(B429="",0,IF(OR(H429=MappingTables!$C$34,H429=MappingTables!$C$35),S429,0))</f>
        <v>0</v>
      </c>
    </row>
    <row r="430" spans="2:20" s="0" customFormat="0" ht="15">
      <c r="B430" s="69" t="s">
        <v>3526</v>
      </c>
      <c r="C430" s="70" t="s">
        <v>3527</v>
      </c>
      <c r="D430" s="70" t="s">
        <v>1</v>
      </c>
      <c r="E430" s="70" t="s">
        <v>1</v>
      </c>
      <c r="F430" s="70"/>
      <c r="G430" s="70" t="s">
        <v>61</v>
      </c>
      <c r="H430" s="70" t="s">
        <v>178</v>
      </c>
      <c r="I430" s="70" t="s">
        <v>198</v>
      </c>
      <c r="J430" s="71" t="str">
        <f>IF(OR(I430=0,I430=""),"unrated",VLOOKUP(I430,MappingTables!$B$19:$C$31,2,FALSE))</f>
        <v>unrated</v>
      </c>
      <c r="K430" s="72">
        <v>31.9804632304411</v>
      </c>
      <c r="L430" s="70">
        <v>0.23440311907890296</v>
      </c>
      <c r="M430" s="71">
        <f>IF(L430&lt;1,1,L430)</f>
        <v>1</v>
      </c>
      <c r="N430" s="70" t="s">
        <v>3288</v>
      </c>
      <c r="O430" s="71">
        <f>IF(OR(I430=$A$1,I430=0),"",IF(N430=MappingTables!$C$14,VLOOKUP(J430,ModelParameters!$M$8:$N$15,2,FALSE),IF(N430=MappingTables!$C$16,VLOOKUP(J430,ModelParameters!$P$8:$Q$15,2,FALSE),0)))</f>
        <v>1</v>
      </c>
      <c r="P430" s="73">
        <f>IF(OR(I430=0,I430=$A$1),0,MIN(O430*M430,1)*K430)</f>
        <v>31.9804632304411</v>
      </c>
      <c r="Q430" s="73">
        <f>IF(B430="",0,IF(OR(H430=MappingTables!$C$34,H430=MappingTables!$C$35),P430,0))</f>
        <v>0</v>
      </c>
      <c r="R430" s="73">
        <f>IF(ISNA(IF(AND(VLOOKUP(CONCATENATE($D430,$G430),CSRFinput!$B:$E,4,0)=0,OR(H430=MappingTables!$C$31,H430=MappingTables!$C$32)),1,VLOOKUP(CONCATENATE($D430,$G430),CSRFinput!$B:$E,4,0))),0,IF(AND(VLOOKUP(CONCATENATE($D430,$G430),CSRFinput!$B:$E,4,0)=0,OR(H430=MappingTables!$C$31,H430=MappingTables!$C$32)),1,VLOOKUP(CONCATENATE($D430,$G430),CSRFinput!$B:$E,4,0)))</f>
        <v>0.054776304963434752</v>
      </c>
      <c r="S430" s="73">
        <f>IF(B430="",0,P430*R430)</f>
        <v>1.7517716067825536</v>
      </c>
      <c r="T430" s="85">
        <f>IF(B430="",0,IF(OR(H430=MappingTables!$C$34,H430=MappingTables!$C$35),S430,0))</f>
        <v>0</v>
      </c>
    </row>
    <row r="431" spans="2:20" s="0" customFormat="0" ht="15">
      <c r="B431" s="69" t="s">
        <v>3944</v>
      </c>
      <c r="C431" s="70" t="s">
        <v>3945</v>
      </c>
      <c r="D431" s="70" t="s">
        <v>1</v>
      </c>
      <c r="E431" s="70" t="s">
        <v>1</v>
      </c>
      <c r="F431" s="70"/>
      <c r="G431" s="70" t="s">
        <v>61</v>
      </c>
      <c r="H431" s="70" t="s">
        <v>178</v>
      </c>
      <c r="I431" s="70" t="s">
        <v>184</v>
      </c>
      <c r="J431" s="71">
        <f>IF(OR(I431=0,I431=""),"unrated",VLOOKUP(I431,MappingTables!$B$19:$C$31,2,FALSE))</f>
        <v>5</v>
      </c>
      <c r="K431" s="72">
        <v>866.71041844220416</v>
      </c>
      <c r="L431" s="70">
        <v>0.059973465981603752</v>
      </c>
      <c r="M431" s="71">
        <f>IF(L431&lt;1,1,L431)</f>
        <v>1</v>
      </c>
      <c r="N431" s="70" t="s">
        <v>3288</v>
      </c>
      <c r="O431" s="71">
        <f>IF(OR(I431=$A$1,I431=0),"",IF(N431=MappingTables!$C$14,VLOOKUP(J431,ModelParameters!$M$8:$N$15,2,FALSE),IF(N431=MappingTables!$C$16,VLOOKUP(J431,ModelParameters!$P$8:$Q$15,2,FALSE),0)))</f>
        <v>1</v>
      </c>
      <c r="P431" s="73">
        <f>IF(OR(I431=0,I431=$A$1),0,MIN(O431*M431,1)*K431)</f>
        <v>866.71041844220416</v>
      </c>
      <c r="Q431" s="73">
        <f>IF(B431="",0,IF(OR(H431=MappingTables!$C$34,H431=MappingTables!$C$35),P431,0))</f>
        <v>0</v>
      </c>
      <c r="R431" s="73">
        <f>IF(ISNA(IF(AND(VLOOKUP(CONCATENATE($D431,$G431),CSRFinput!$B:$E,4,0)=0,OR(H431=MappingTables!$C$31,H431=MappingTables!$C$32)),1,VLOOKUP(CONCATENATE($D431,$G431),CSRFinput!$B:$E,4,0))),0,IF(AND(VLOOKUP(CONCATENATE($D431,$G431),CSRFinput!$B:$E,4,0)=0,OR(H431=MappingTables!$C$31,H431=MappingTables!$C$32)),1,VLOOKUP(CONCATENATE($D431,$G431),CSRFinput!$B:$E,4,0)))</f>
        <v>0.054776304963434752</v>
      </c>
      <c r="S431" s="73">
        <f>IF(B431="",0,P431*R431)</f>
        <v>47.47519419557632</v>
      </c>
      <c r="T431" s="85">
        <f>IF(B431="",0,IF(OR(H431=MappingTables!$C$34,H431=MappingTables!$C$35),S431,0))</f>
        <v>0</v>
      </c>
    </row>
    <row r="432" spans="2:20" s="0" customFormat="0" ht="15">
      <c r="B432" s="69">
        <v>20113240</v>
      </c>
      <c r="C432" s="70" t="s">
        <v>3500</v>
      </c>
      <c r="D432" s="70" t="s">
        <v>1</v>
      </c>
      <c r="E432" s="70" t="s">
        <v>1</v>
      </c>
      <c r="F432" s="70"/>
      <c r="G432" s="70" t="s">
        <v>61</v>
      </c>
      <c r="H432" s="70" t="s">
        <v>178</v>
      </c>
      <c r="I432" s="70" t="s">
        <v>198</v>
      </c>
      <c r="J432" s="71" t="str">
        <f>IF(OR(I432=0,I432=""),"unrated",VLOOKUP(I432,MappingTables!$B$19:$C$31,2,FALSE))</f>
        <v>unrated</v>
      </c>
      <c r="K432" s="72">
        <v>225.51885309414352</v>
      </c>
      <c r="L432" s="70">
        <v>0.071249498521553464</v>
      </c>
      <c r="M432" s="71">
        <f>IF(L432&lt;1,1,L432)</f>
        <v>1</v>
      </c>
      <c r="N432" s="70" t="s">
        <v>3288</v>
      </c>
      <c r="O432" s="71">
        <f>IF(OR(I432=$A$1,I432=0),"",IF(N432=MappingTables!$C$14,VLOOKUP(J432,ModelParameters!$M$8:$N$15,2,FALSE),IF(N432=MappingTables!$C$16,VLOOKUP(J432,ModelParameters!$P$8:$Q$15,2,FALSE),0)))</f>
        <v>1</v>
      </c>
      <c r="P432" s="73">
        <f>IF(OR(I432=0,I432=$A$1),0,MIN(O432*M432,1)*K432)</f>
        <v>225.51885309414352</v>
      </c>
      <c r="Q432" s="73">
        <f>IF(B432="",0,IF(OR(H432=MappingTables!$C$34,H432=MappingTables!$C$35),P432,0))</f>
        <v>0</v>
      </c>
      <c r="R432" s="73">
        <f>IF(ISNA(IF(AND(VLOOKUP(CONCATENATE($D432,$G432),CSRFinput!$B:$E,4,0)=0,OR(H432=MappingTables!$C$31,H432=MappingTables!$C$32)),1,VLOOKUP(CONCATENATE($D432,$G432),CSRFinput!$B:$E,4,0))),0,IF(AND(VLOOKUP(CONCATENATE($D432,$G432),CSRFinput!$B:$E,4,0)=0,OR(H432=MappingTables!$C$31,H432=MappingTables!$C$32)),1,VLOOKUP(CONCATENATE($D432,$G432),CSRFinput!$B:$E,4,0)))</f>
        <v>0.054776304963434752</v>
      </c>
      <c r="S432" s="73">
        <f>IF(B432="",0,P432*R432)</f>
        <v>12.353089472088846</v>
      </c>
      <c r="T432" s="85">
        <f>IF(B432="",0,IF(OR(H432=MappingTables!$C$34,H432=MappingTables!$C$35),S432,0))</f>
        <v>0</v>
      </c>
    </row>
    <row r="433" spans="2:20" s="0" customFormat="0" ht="15">
      <c r="B433" s="69" t="s">
        <v>3946</v>
      </c>
      <c r="C433" s="70" t="s">
        <v>3947</v>
      </c>
      <c r="D433" s="70" t="s">
        <v>1</v>
      </c>
      <c r="E433" s="70" t="s">
        <v>1</v>
      </c>
      <c r="F433" s="70"/>
      <c r="G433" s="70" t="s">
        <v>61</v>
      </c>
      <c r="H433" s="70" t="s">
        <v>178</v>
      </c>
      <c r="I433" s="70" t="s">
        <v>216</v>
      </c>
      <c r="J433" s="71">
        <f>IF(OR(I433=0,I433=""),"unrated",VLOOKUP(I433,MappingTables!$B$19:$C$31,2,FALSE))</f>
        <v>0</v>
      </c>
      <c r="K433" s="72">
        <v>3042.49723738732</v>
      </c>
      <c r="L433" s="70">
        <v>0.043839049861923896</v>
      </c>
      <c r="M433" s="71">
        <f>IF(L433&lt;1,1,L433)</f>
        <v>1</v>
      </c>
      <c r="N433" s="70" t="s">
        <v>3288</v>
      </c>
      <c r="O433" s="71">
        <f>IF(OR(I433=$A$1,I433=0),"",IF(N433=MappingTables!$C$14,VLOOKUP(J433,ModelParameters!$M$8:$N$15,2,FALSE),IF(N433=MappingTables!$C$16,VLOOKUP(J433,ModelParameters!$P$8:$Q$15,2,FALSE),0)))</f>
        <v>0.125</v>
      </c>
      <c r="P433" s="73">
        <f>IF(OR(I433=0,I433=$A$1),0,MIN(O433*M433,1)*K433)</f>
        <v>380.31215467341504</v>
      </c>
      <c r="Q433" s="73">
        <f>IF(B433="",0,IF(OR(H433=MappingTables!$C$34,H433=MappingTables!$C$35),P433,0))</f>
        <v>0</v>
      </c>
      <c r="R433" s="73">
        <f>IF(ISNA(IF(AND(VLOOKUP(CONCATENATE($D433,$G433),CSRFinput!$B:$E,4,0)=0,OR(H433=MappingTables!$C$31,H433=MappingTables!$C$32)),1,VLOOKUP(CONCATENATE($D433,$G433),CSRFinput!$B:$E,4,0))),0,IF(AND(VLOOKUP(CONCATENATE($D433,$G433),CSRFinput!$B:$E,4,0)=0,OR(H433=MappingTables!$C$31,H433=MappingTables!$C$32)),1,VLOOKUP(CONCATENATE($D433,$G433),CSRFinput!$B:$E,4,0)))</f>
        <v>0.054776304963434752</v>
      </c>
      <c r="S433" s="73">
        <f>IF(B433="",0,P433*R433)</f>
        <v>20.832094565691948</v>
      </c>
      <c r="T433" s="85">
        <f>IF(B433="",0,IF(OR(H433=MappingTables!$C$34,H433=MappingTables!$C$35),S433,0))</f>
        <v>0</v>
      </c>
    </row>
    <row r="434" spans="2:20" s="0" customFormat="0" ht="15">
      <c r="B434" s="69" t="s">
        <v>3948</v>
      </c>
      <c r="C434" s="70" t="s">
        <v>3949</v>
      </c>
      <c r="D434" s="70" t="s">
        <v>1</v>
      </c>
      <c r="E434" s="70" t="s">
        <v>1</v>
      </c>
      <c r="F434" s="70"/>
      <c r="G434" s="70" t="s">
        <v>61</v>
      </c>
      <c r="H434" s="70" t="s">
        <v>178</v>
      </c>
      <c r="I434" s="70" t="s">
        <v>198</v>
      </c>
      <c r="J434" s="71" t="str">
        <f>IF(OR(I434=0,I434=""),"unrated",VLOOKUP(I434,MappingTables!$B$19:$C$31,2,FALSE))</f>
        <v>unrated</v>
      </c>
      <c r="K434" s="72">
        <v>54.765203401528696</v>
      </c>
      <c r="L434" s="70">
        <v>0.068490397084521888</v>
      </c>
      <c r="M434" s="71">
        <f>IF(L434&lt;1,1,L434)</f>
        <v>1</v>
      </c>
      <c r="N434" s="70" t="s">
        <v>3288</v>
      </c>
      <c r="O434" s="71">
        <f>IF(OR(I434=$A$1,I434=0),"",IF(N434=MappingTables!$C$14,VLOOKUP(J434,ModelParameters!$M$8:$N$15,2,FALSE),IF(N434=MappingTables!$C$16,VLOOKUP(J434,ModelParameters!$P$8:$Q$15,2,FALSE),0)))</f>
        <v>1</v>
      </c>
      <c r="P434" s="73">
        <f>IF(OR(I434=0,I434=$A$1),0,MIN(O434*M434,1)*K434)</f>
        <v>54.765203401528696</v>
      </c>
      <c r="Q434" s="73">
        <f>IF(B434="",0,IF(OR(H434=MappingTables!$C$34,H434=MappingTables!$C$35),P434,0))</f>
        <v>0</v>
      </c>
      <c r="R434" s="73">
        <f>IF(ISNA(IF(AND(VLOOKUP(CONCATENATE($D434,$G434),CSRFinput!$B:$E,4,0)=0,OR(H434=MappingTables!$C$31,H434=MappingTables!$C$32)),1,VLOOKUP(CONCATENATE($D434,$G434),CSRFinput!$B:$E,4,0))),0,IF(AND(VLOOKUP(CONCATENATE($D434,$G434),CSRFinput!$B:$E,4,0)=0,OR(H434=MappingTables!$C$31,H434=MappingTables!$C$32)),1,VLOOKUP(CONCATENATE($D434,$G434),CSRFinput!$B:$E,4,0)))</f>
        <v>0.054776304963434752</v>
      </c>
      <c r="S434" s="73">
        <f>IF(B434="",0,P434*R434)</f>
        <v>2.9998354829066704</v>
      </c>
      <c r="T434" s="85">
        <f>IF(B434="",0,IF(OR(H434=MappingTables!$C$34,H434=MappingTables!$C$35),S434,0))</f>
        <v>0</v>
      </c>
    </row>
    <row r="435" spans="2:20" s="0" customFormat="0" ht="15">
      <c r="B435" s="69" t="s">
        <v>3950</v>
      </c>
      <c r="C435" s="70" t="s">
        <v>3951</v>
      </c>
      <c r="D435" s="70" t="s">
        <v>1</v>
      </c>
      <c r="E435" s="70" t="s">
        <v>1</v>
      </c>
      <c r="F435" s="70"/>
      <c r="G435" s="70" t="s">
        <v>61</v>
      </c>
      <c r="H435" s="70" t="s">
        <v>178</v>
      </c>
      <c r="I435" s="70" t="s">
        <v>3298</v>
      </c>
      <c r="J435" s="71">
        <f>IF(OR(I435=0,I435=""),"unrated",VLOOKUP(I435,MappingTables!$B$19:$C$31,2,FALSE))</f>
        <v>6</v>
      </c>
      <c r="K435" s="72">
        <v>4112.0620133918912</v>
      </c>
      <c r="L435" s="70">
        <v>0.068490158745436736</v>
      </c>
      <c r="M435" s="71">
        <f>IF(L435&lt;1,1,L435)</f>
        <v>1</v>
      </c>
      <c r="N435" s="70" t="s">
        <v>3288</v>
      </c>
      <c r="O435" s="71">
        <f>IF(OR(I435=$A$1,I435=0),"",IF(N435=MappingTables!$C$14,VLOOKUP(J435,ModelParameters!$M$8:$N$15,2,FALSE),IF(N435=MappingTables!$C$16,VLOOKUP(J435,ModelParameters!$P$8:$Q$15,2,FALSE),0)))</f>
        <v>1</v>
      </c>
      <c r="P435" s="73">
        <f>IF(OR(I435=0,I435=$A$1),0,MIN(O435*M435,1)*K435)</f>
        <v>4112.0620133918912</v>
      </c>
      <c r="Q435" s="73">
        <f>IF(B435="",0,IF(OR(H435=MappingTables!$C$34,H435=MappingTables!$C$35),P435,0))</f>
        <v>0</v>
      </c>
      <c r="R435" s="73">
        <f>IF(ISNA(IF(AND(VLOOKUP(CONCATENATE($D435,$G435),CSRFinput!$B:$E,4,0)=0,OR(H435=MappingTables!$C$31,H435=MappingTables!$C$32)),1,VLOOKUP(CONCATENATE($D435,$G435),CSRFinput!$B:$E,4,0))),0,IF(AND(VLOOKUP(CONCATENATE($D435,$G435),CSRFinput!$B:$E,4,0)=0,OR(H435=MappingTables!$C$31,H435=MappingTables!$C$32)),1,VLOOKUP(CONCATENATE($D435,$G435),CSRFinput!$B:$E,4,0)))</f>
        <v>0.054776304963434752</v>
      </c>
      <c r="S435" s="73">
        <f>IF(B435="",0,P435*R435)</f>
        <v>225.24356287410976</v>
      </c>
      <c r="T435" s="85">
        <f>IF(B435="",0,IF(OR(H435=MappingTables!$C$34,H435=MappingTables!$C$35),S435,0))</f>
        <v>0</v>
      </c>
    </row>
    <row r="436" spans="2:20" s="0" customFormat="0" ht="15">
      <c r="B436" s="69" t="s">
        <v>3952</v>
      </c>
      <c r="C436" s="70" t="s">
        <v>3953</v>
      </c>
      <c r="D436" s="70" t="s">
        <v>1</v>
      </c>
      <c r="E436" s="70" t="s">
        <v>1</v>
      </c>
      <c r="F436" s="70"/>
      <c r="G436" s="70" t="s">
        <v>61</v>
      </c>
      <c r="H436" s="70" t="s">
        <v>178</v>
      </c>
      <c r="I436" s="70" t="s">
        <v>198</v>
      </c>
      <c r="J436" s="71" t="str">
        <f>IF(OR(I436=0,I436=""),"unrated",VLOOKUP(I436,MappingTables!$B$19:$C$31,2,FALSE))</f>
        <v>unrated</v>
      </c>
      <c r="K436" s="72">
        <v>11778.14593111482</v>
      </c>
      <c r="L436" s="70">
        <v>8.998227315606184</v>
      </c>
      <c r="M436" s="71">
        <f>IF(L436&lt;1,1,L436)</f>
        <v>8.998227315606184</v>
      </c>
      <c r="N436" s="70" t="s">
        <v>3288</v>
      </c>
      <c r="O436" s="71">
        <f>IF(OR(I436=$A$1,I436=0),"",IF(N436=MappingTables!$C$14,VLOOKUP(J436,ModelParameters!$M$8:$N$15,2,FALSE),IF(N436=MappingTables!$C$16,VLOOKUP(J436,ModelParameters!$P$8:$Q$15,2,FALSE),0)))</f>
        <v>1</v>
      </c>
      <c r="P436" s="73">
        <f>IF(OR(I436=0,I436=$A$1),0,MIN(O436*M436,1)*K436)</f>
        <v>11778.14593111482</v>
      </c>
      <c r="Q436" s="73">
        <f>IF(B436="",0,IF(OR(H436=MappingTables!$C$34,H436=MappingTables!$C$35),P436,0))</f>
        <v>0</v>
      </c>
      <c r="R436" s="73">
        <f>IF(ISNA(IF(AND(VLOOKUP(CONCATENATE($D436,$G436),CSRFinput!$B:$E,4,0)=0,OR(H436=MappingTables!$C$31,H436=MappingTables!$C$32)),1,VLOOKUP(CONCATENATE($D436,$G436),CSRFinput!$B:$E,4,0))),0,IF(AND(VLOOKUP(CONCATENATE($D436,$G436),CSRFinput!$B:$E,4,0)=0,OR(H436=MappingTables!$C$31,H436=MappingTables!$C$32)),1,VLOOKUP(CONCATENATE($D436,$G436),CSRFinput!$B:$E,4,0)))</f>
        <v>0.054776304963434752</v>
      </c>
      <c r="S436" s="73">
        <f>IF(B436="",0,P436*R436)</f>
        <v>645.16331342658352</v>
      </c>
      <c r="T436" s="85">
        <f>IF(B436="",0,IF(OR(H436=MappingTables!$C$34,H436=MappingTables!$C$35),S436,0))</f>
        <v>0</v>
      </c>
    </row>
    <row r="437" spans="2:20" s="0" customFormat="0" ht="15">
      <c r="B437" s="69" t="s">
        <v>3954</v>
      </c>
      <c r="C437" s="70" t="s">
        <v>3955</v>
      </c>
      <c r="D437" s="70" t="s">
        <v>1</v>
      </c>
      <c r="E437" s="70" t="s">
        <v>1</v>
      </c>
      <c r="F437" s="70"/>
      <c r="G437" s="70" t="s">
        <v>61</v>
      </c>
      <c r="H437" s="70" t="s">
        <v>178</v>
      </c>
      <c r="I437" s="70" t="s">
        <v>3298</v>
      </c>
      <c r="J437" s="71">
        <f>IF(OR(I437=0,I437=""),"unrated",VLOOKUP(I437,MappingTables!$B$19:$C$31,2,FALSE))</f>
        <v>6</v>
      </c>
      <c r="K437" s="72">
        <v>172.55068323377032</v>
      </c>
      <c r="L437" s="70">
        <v>-0.55687108535667128</v>
      </c>
      <c r="M437" s="71">
        <f>IF(L437&lt;1,1,L437)</f>
        <v>1</v>
      </c>
      <c r="N437" s="70" t="s">
        <v>3288</v>
      </c>
      <c r="O437" s="71">
        <f>IF(OR(I437=$A$1,I437=0),"",IF(N437=MappingTables!$C$14,VLOOKUP(J437,ModelParameters!$M$8:$N$15,2,FALSE),IF(N437=MappingTables!$C$16,VLOOKUP(J437,ModelParameters!$P$8:$Q$15,2,FALSE),0)))</f>
        <v>1</v>
      </c>
      <c r="P437" s="73">
        <f>IF(OR(I437=0,I437=$A$1),0,MIN(O437*M437,1)*K437)</f>
        <v>172.55068323377032</v>
      </c>
      <c r="Q437" s="73">
        <f>IF(B437="",0,IF(OR(H437=MappingTables!$C$34,H437=MappingTables!$C$35),P437,0))</f>
        <v>0</v>
      </c>
      <c r="R437" s="73">
        <f>IF(ISNA(IF(AND(VLOOKUP(CONCATENATE($D437,$G437),CSRFinput!$B:$E,4,0)=0,OR(H437=MappingTables!$C$31,H437=MappingTables!$C$32)),1,VLOOKUP(CONCATENATE($D437,$G437),CSRFinput!$B:$E,4,0))),0,IF(AND(VLOOKUP(CONCATENATE($D437,$G437),CSRFinput!$B:$E,4,0)=0,OR(H437=MappingTables!$C$31,H437=MappingTables!$C$32)),1,VLOOKUP(CONCATENATE($D437,$G437),CSRFinput!$B:$E,4,0)))</f>
        <v>0.054776304963434752</v>
      </c>
      <c r="S437" s="73">
        <f>IF(B437="",0,P437*R437)</f>
        <v>9.4516888464620304</v>
      </c>
      <c r="T437" s="85">
        <f>IF(B437="",0,IF(OR(H437=MappingTables!$C$34,H437=MappingTables!$C$35),S437,0))</f>
        <v>0</v>
      </c>
    </row>
    <row r="438" spans="2:20" s="0" customFormat="0" ht="15">
      <c r="B438" s="69" t="s">
        <v>3956</v>
      </c>
      <c r="C438" s="70" t="s">
        <v>3957</v>
      </c>
      <c r="D438" s="70" t="s">
        <v>1</v>
      </c>
      <c r="E438" s="70" t="s">
        <v>1</v>
      </c>
      <c r="F438" s="70"/>
      <c r="G438" s="70" t="s">
        <v>61</v>
      </c>
      <c r="H438" s="70" t="s">
        <v>178</v>
      </c>
      <c r="I438" s="70" t="s">
        <v>216</v>
      </c>
      <c r="J438" s="71">
        <f>IF(OR(I438=0,I438=""),"unrated",VLOOKUP(I438,MappingTables!$B$19:$C$31,2,FALSE))</f>
        <v>0</v>
      </c>
      <c r="K438" s="72">
        <v>953.02235813328576</v>
      </c>
      <c r="L438" s="70">
        <v>-0.10334836429152458</v>
      </c>
      <c r="M438" s="71">
        <f>IF(L438&lt;1,1,L438)</f>
        <v>1</v>
      </c>
      <c r="N438" s="70" t="s">
        <v>3288</v>
      </c>
      <c r="O438" s="71">
        <f>IF(OR(I438=$A$1,I438=0),"",IF(N438=MappingTables!$C$14,VLOOKUP(J438,ModelParameters!$M$8:$N$15,2,FALSE),IF(N438=MappingTables!$C$16,VLOOKUP(J438,ModelParameters!$P$8:$Q$15,2,FALSE),0)))</f>
        <v>0.125</v>
      </c>
      <c r="P438" s="73">
        <f>IF(OR(I438=0,I438=$A$1),0,MIN(O438*M438,1)*K438)</f>
        <v>119.12779476666072</v>
      </c>
      <c r="Q438" s="73">
        <f>IF(B438="",0,IF(OR(H438=MappingTables!$C$34,H438=MappingTables!$C$35),P438,0))</f>
        <v>0</v>
      </c>
      <c r="R438" s="73">
        <f>IF(ISNA(IF(AND(VLOOKUP(CONCATENATE($D438,$G438),CSRFinput!$B:$E,4,0)=0,OR(H438=MappingTables!$C$31,H438=MappingTables!$C$32)),1,VLOOKUP(CONCATENATE($D438,$G438),CSRFinput!$B:$E,4,0))),0,IF(AND(VLOOKUP(CONCATENATE($D438,$G438),CSRFinput!$B:$E,4,0)=0,OR(H438=MappingTables!$C$31,H438=MappingTables!$C$32)),1,VLOOKUP(CONCATENATE($D438,$G438),CSRFinput!$B:$E,4,0)))</f>
        <v>0.054776304963434752</v>
      </c>
      <c r="S438" s="73">
        <f>IF(B438="",0,P438*R438)</f>
        <v>6.5253804157600744</v>
      </c>
      <c r="T438" s="85">
        <f>IF(B438="",0,IF(OR(H438=MappingTables!$C$34,H438=MappingTables!$C$35),S438,0))</f>
        <v>0</v>
      </c>
    </row>
    <row r="439" spans="2:20" s="0" customFormat="0" ht="15">
      <c r="B439" s="69" t="s">
        <v>3958</v>
      </c>
      <c r="C439" s="70" t="s">
        <v>3959</v>
      </c>
      <c r="D439" s="70" t="s">
        <v>1</v>
      </c>
      <c r="E439" s="70" t="s">
        <v>1</v>
      </c>
      <c r="F439" s="70"/>
      <c r="G439" s="70" t="s">
        <v>61</v>
      </c>
      <c r="H439" s="70" t="s">
        <v>178</v>
      </c>
      <c r="I439" s="70" t="s">
        <v>220</v>
      </c>
      <c r="J439" s="71">
        <f>IF(OR(I439=0,I439=""),"unrated",VLOOKUP(I439,MappingTables!$B$19:$C$31,2,FALSE))</f>
        <v>1</v>
      </c>
      <c r="K439" s="72">
        <v>166.58537076743062</v>
      </c>
      <c r="L439" s="70">
        <v>0.052056833898257624</v>
      </c>
      <c r="M439" s="71">
        <f>IF(L439&lt;1,1,L439)</f>
        <v>1</v>
      </c>
      <c r="N439" s="70" t="s">
        <v>3288</v>
      </c>
      <c r="O439" s="71">
        <f>IF(OR(I439=$A$1,I439=0),"",IF(N439=MappingTables!$C$14,VLOOKUP(J439,ModelParameters!$M$8:$N$15,2,FALSE),IF(N439=MappingTables!$C$16,VLOOKUP(J439,ModelParameters!$P$8:$Q$15,2,FALSE),0)))</f>
        <v>0.134</v>
      </c>
      <c r="P439" s="73">
        <f>IF(OR(I439=0,I439=$A$1),0,MIN(O439*M439,1)*K439)</f>
        <v>22.322439682835704</v>
      </c>
      <c r="Q439" s="73">
        <f>IF(B439="",0,IF(OR(H439=MappingTables!$C$34,H439=MappingTables!$C$35),P439,0))</f>
        <v>0</v>
      </c>
      <c r="R439" s="73">
        <f>IF(ISNA(IF(AND(VLOOKUP(CONCATENATE($D439,$G439),CSRFinput!$B:$E,4,0)=0,OR(H439=MappingTables!$C$31,H439=MappingTables!$C$32)),1,VLOOKUP(CONCATENATE($D439,$G439),CSRFinput!$B:$E,4,0))),0,IF(AND(VLOOKUP(CONCATENATE($D439,$G439),CSRFinput!$B:$E,4,0)=0,OR(H439=MappingTables!$C$31,H439=MappingTables!$C$32)),1,VLOOKUP(CONCATENATE($D439,$G439),CSRFinput!$B:$E,4,0)))</f>
        <v>0.054776304963434752</v>
      </c>
      <c r="S439" s="73">
        <f>IF(B439="",0,P439*R439)</f>
        <v>1.2227407635948862</v>
      </c>
      <c r="T439" s="85">
        <f>IF(B439="",0,IF(OR(H439=MappingTables!$C$34,H439=MappingTables!$C$35),S439,0))</f>
        <v>0</v>
      </c>
    </row>
    <row r="440" spans="2:20" s="0" customFormat="0" ht="15">
      <c r="B440" s="69" t="s">
        <v>3960</v>
      </c>
      <c r="C440" s="70" t="s">
        <v>3961</v>
      </c>
      <c r="D440" s="70" t="s">
        <v>1</v>
      </c>
      <c r="E440" s="70" t="s">
        <v>1</v>
      </c>
      <c r="F440" s="70"/>
      <c r="G440" s="70" t="s">
        <v>61</v>
      </c>
      <c r="H440" s="70" t="s">
        <v>178</v>
      </c>
      <c r="I440" s="70" t="s">
        <v>198</v>
      </c>
      <c r="J440" s="71" t="str">
        <f>IF(OR(I440=0,I440=""),"unrated",VLOOKUP(I440,MappingTables!$B$19:$C$31,2,FALSE))</f>
        <v>unrated</v>
      </c>
      <c r="K440" s="72">
        <v>7.6927515723800288</v>
      </c>
      <c r="L440" s="70">
        <v>8.5696386157711008</v>
      </c>
      <c r="M440" s="71">
        <f>IF(L440&lt;1,1,L440)</f>
        <v>8.5696386157711008</v>
      </c>
      <c r="N440" s="70" t="s">
        <v>3288</v>
      </c>
      <c r="O440" s="71">
        <f>IF(OR(I440=$A$1,I440=0),"",IF(N440=MappingTables!$C$14,VLOOKUP(J440,ModelParameters!$M$8:$N$15,2,FALSE),IF(N440=MappingTables!$C$16,VLOOKUP(J440,ModelParameters!$P$8:$Q$15,2,FALSE),0)))</f>
        <v>1</v>
      </c>
      <c r="P440" s="73">
        <f>IF(OR(I440=0,I440=$A$1),0,MIN(O440*M440,1)*K440)</f>
        <v>7.6927515723800288</v>
      </c>
      <c r="Q440" s="73">
        <f>IF(B440="",0,IF(OR(H440=MappingTables!$C$34,H440=MappingTables!$C$35),P440,0))</f>
        <v>0</v>
      </c>
      <c r="R440" s="73">
        <f>IF(ISNA(IF(AND(VLOOKUP(CONCATENATE($D440,$G440),CSRFinput!$B:$E,4,0)=0,OR(H440=MappingTables!$C$31,H440=MappingTables!$C$32)),1,VLOOKUP(CONCATENATE($D440,$G440),CSRFinput!$B:$E,4,0))),0,IF(AND(VLOOKUP(CONCATENATE($D440,$G440),CSRFinput!$B:$E,4,0)=0,OR(H440=MappingTables!$C$31,H440=MappingTables!$C$32)),1,VLOOKUP(CONCATENATE($D440,$G440),CSRFinput!$B:$E,4,0)))</f>
        <v>0.054776304963434752</v>
      </c>
      <c r="S440" s="73">
        <f>IF(B440="",0,P440*R440)</f>
        <v>0.42138050613663072</v>
      </c>
      <c r="T440" s="85">
        <f>IF(B440="",0,IF(OR(H440=MappingTables!$C$34,H440=MappingTables!$C$35),S440,0))</f>
        <v>0</v>
      </c>
    </row>
    <row r="441" spans="2:20" s="0" customFormat="0" ht="15">
      <c r="B441" s="69">
        <v>22623684</v>
      </c>
      <c r="C441" s="70" t="s">
        <v>3903</v>
      </c>
      <c r="D441" s="70" t="s">
        <v>1</v>
      </c>
      <c r="E441" s="70" t="s">
        <v>1</v>
      </c>
      <c r="F441" s="70"/>
      <c r="G441" s="70" t="s">
        <v>61</v>
      </c>
      <c r="H441" s="70" t="s">
        <v>178</v>
      </c>
      <c r="I441" s="70" t="s">
        <v>198</v>
      </c>
      <c r="J441" s="71" t="str">
        <f>IF(OR(I441=0,I441=""),"unrated",VLOOKUP(I441,MappingTables!$B$19:$C$31,2,FALSE))</f>
        <v>unrated</v>
      </c>
      <c r="K441" s="72">
        <v>1072.972688881663</v>
      </c>
      <c r="L441" s="70">
        <v>0.10610441340858024</v>
      </c>
      <c r="M441" s="71">
        <f>IF(L441&lt;1,1,L441)</f>
        <v>1</v>
      </c>
      <c r="N441" s="70" t="s">
        <v>3288</v>
      </c>
      <c r="O441" s="71">
        <f>IF(OR(I441=$A$1,I441=0),"",IF(N441=MappingTables!$C$14,VLOOKUP(J441,ModelParameters!$M$8:$N$15,2,FALSE),IF(N441=MappingTables!$C$16,VLOOKUP(J441,ModelParameters!$P$8:$Q$15,2,FALSE),0)))</f>
        <v>1</v>
      </c>
      <c r="P441" s="73">
        <f>IF(OR(I441=0,I441=$A$1),0,MIN(O441*M441,1)*K441)</f>
        <v>1072.972688881663</v>
      </c>
      <c r="Q441" s="73">
        <f>IF(B441="",0,IF(OR(H441=MappingTables!$C$34,H441=MappingTables!$C$35),P441,0))</f>
        <v>0</v>
      </c>
      <c r="R441" s="73">
        <f>IF(ISNA(IF(AND(VLOOKUP(CONCATENATE($D441,$G441),CSRFinput!$B:$E,4,0)=0,OR(H441=MappingTables!$C$31,H441=MappingTables!$C$32)),1,VLOOKUP(CONCATENATE($D441,$G441),CSRFinput!$B:$E,4,0))),0,IF(AND(VLOOKUP(CONCATENATE($D441,$G441),CSRFinput!$B:$E,4,0)=0,OR(H441=MappingTables!$C$31,H441=MappingTables!$C$32)),1,VLOOKUP(CONCATENATE($D441,$G441),CSRFinput!$B:$E,4,0)))</f>
        <v>0.054776304963434752</v>
      </c>
      <c r="S441" s="73">
        <f>IF(B441="",0,P441*R441)</f>
        <v>58.773479223618576</v>
      </c>
      <c r="T441" s="85">
        <f>IF(B441="",0,IF(OR(H441=MappingTables!$C$34,H441=MappingTables!$C$35),S441,0))</f>
        <v>0</v>
      </c>
    </row>
    <row r="442" spans="2:20" s="0" customFormat="0" ht="15">
      <c r="B442" s="69">
        <v>16974693</v>
      </c>
      <c r="C442" s="70" t="s">
        <v>3962</v>
      </c>
      <c r="D442" s="70" t="s">
        <v>1</v>
      </c>
      <c r="E442" s="70" t="s">
        <v>1</v>
      </c>
      <c r="F442" s="70"/>
      <c r="G442" s="70" t="s">
        <v>61</v>
      </c>
      <c r="H442" s="70" t="s">
        <v>178</v>
      </c>
      <c r="I442" s="70" t="s">
        <v>198</v>
      </c>
      <c r="J442" s="71" t="str">
        <f>IF(OR(I442=0,I442=""),"unrated",VLOOKUP(I442,MappingTables!$B$19:$C$31,2,FALSE))</f>
        <v>unrated</v>
      </c>
      <c r="K442" s="72">
        <v>141.5802325882509</v>
      </c>
      <c r="L442" s="70">
        <v>-0.11126805813552088</v>
      </c>
      <c r="M442" s="71">
        <f>IF(L442&lt;1,1,L442)</f>
        <v>1</v>
      </c>
      <c r="N442" s="70" t="s">
        <v>3288</v>
      </c>
      <c r="O442" s="71">
        <f>IF(OR(I442=$A$1,I442=0),"",IF(N442=MappingTables!$C$14,VLOOKUP(J442,ModelParameters!$M$8:$N$15,2,FALSE),IF(N442=MappingTables!$C$16,VLOOKUP(J442,ModelParameters!$P$8:$Q$15,2,FALSE),0)))</f>
        <v>1</v>
      </c>
      <c r="P442" s="73">
        <f>IF(OR(I442=0,I442=$A$1),0,MIN(O442*M442,1)*K442)</f>
        <v>141.5802325882509</v>
      </c>
      <c r="Q442" s="73">
        <f>IF(B442="",0,IF(OR(H442=MappingTables!$C$34,H442=MappingTables!$C$35),P442,0))</f>
        <v>0</v>
      </c>
      <c r="R442" s="73">
        <f>IF(ISNA(IF(AND(VLOOKUP(CONCATENATE($D442,$G442),CSRFinput!$B:$E,4,0)=0,OR(H442=MappingTables!$C$31,H442=MappingTables!$C$32)),1,VLOOKUP(CONCATENATE($D442,$G442),CSRFinput!$B:$E,4,0))),0,IF(AND(VLOOKUP(CONCATENATE($D442,$G442),CSRFinput!$B:$E,4,0)=0,OR(H442=MappingTables!$C$31,H442=MappingTables!$C$32)),1,VLOOKUP(CONCATENATE($D442,$G442),CSRFinput!$B:$E,4,0)))</f>
        <v>0.054776304963434752</v>
      </c>
      <c r="S442" s="73">
        <f>IF(B442="",0,P442*R442)</f>
        <v>7.7552419970480544</v>
      </c>
      <c r="T442" s="85">
        <f>IF(B442="",0,IF(OR(H442=MappingTables!$C$34,H442=MappingTables!$C$35),S442,0))</f>
        <v>0</v>
      </c>
    </row>
    <row r="443" spans="2:20" s="0" customFormat="0" ht="15">
      <c r="B443" s="69" t="s">
        <v>3963</v>
      </c>
      <c r="C443" s="70" t="s">
        <v>3964</v>
      </c>
      <c r="D443" s="70" t="s">
        <v>1</v>
      </c>
      <c r="E443" s="70" t="s">
        <v>1</v>
      </c>
      <c r="F443" s="70"/>
      <c r="G443" s="70" t="s">
        <v>61</v>
      </c>
      <c r="H443" s="70" t="s">
        <v>178</v>
      </c>
      <c r="I443" s="70" t="s">
        <v>204</v>
      </c>
      <c r="J443" s="71">
        <f>IF(OR(I443=0,I443=""),"unrated",VLOOKUP(I443,MappingTables!$B$19:$C$31,2,FALSE))</f>
        <v>6</v>
      </c>
      <c r="K443" s="72">
        <v>215.30100947692392</v>
      </c>
      <c r="L443" s="70">
        <v>0.067430686327697704</v>
      </c>
      <c r="M443" s="71">
        <f>IF(L443&lt;1,1,L443)</f>
        <v>1</v>
      </c>
      <c r="N443" s="70" t="s">
        <v>3288</v>
      </c>
      <c r="O443" s="71">
        <f>IF(OR(I443=$A$1,I443=0),"",IF(N443=MappingTables!$C$14,VLOOKUP(J443,ModelParameters!$M$8:$N$15,2,FALSE),IF(N443=MappingTables!$C$16,VLOOKUP(J443,ModelParameters!$P$8:$Q$15,2,FALSE),0)))</f>
        <v>1</v>
      </c>
      <c r="P443" s="73">
        <f>IF(OR(I443=0,I443=$A$1),0,MIN(O443*M443,1)*K443)</f>
        <v>215.30100947692392</v>
      </c>
      <c r="Q443" s="73">
        <f>IF(B443="",0,IF(OR(H443=MappingTables!$C$34,H443=MappingTables!$C$35),P443,0))</f>
        <v>0</v>
      </c>
      <c r="R443" s="73">
        <f>IF(ISNA(IF(AND(VLOOKUP(CONCATENATE($D443,$G443),CSRFinput!$B:$E,4,0)=0,OR(H443=MappingTables!$C$31,H443=MappingTables!$C$32)),1,VLOOKUP(CONCATENATE($D443,$G443),CSRFinput!$B:$E,4,0))),0,IF(AND(VLOOKUP(CONCATENATE($D443,$G443),CSRFinput!$B:$E,4,0)=0,OR(H443=MappingTables!$C$31,H443=MappingTables!$C$32)),1,VLOOKUP(CONCATENATE($D443,$G443),CSRFinput!$B:$E,4,0)))</f>
        <v>0.054776304963434752</v>
      </c>
      <c r="S443" s="73">
        <f>IF(B443="",0,P443*R443)</f>
        <v>11.793393754043342</v>
      </c>
      <c r="T443" s="85">
        <f>IF(B443="",0,IF(OR(H443=MappingTables!$C$34,H443=MappingTables!$C$35),S443,0))</f>
        <v>0</v>
      </c>
    </row>
    <row r="444" spans="2:20" s="0" customFormat="0" ht="15">
      <c r="B444" s="69" t="s">
        <v>3965</v>
      </c>
      <c r="C444" s="70" t="s">
        <v>3966</v>
      </c>
      <c r="D444" s="70" t="s">
        <v>1</v>
      </c>
      <c r="E444" s="70" t="s">
        <v>1</v>
      </c>
      <c r="F444" s="70"/>
      <c r="G444" s="70" t="s">
        <v>61</v>
      </c>
      <c r="H444" s="70" t="s">
        <v>178</v>
      </c>
      <c r="I444" s="70" t="s">
        <v>181</v>
      </c>
      <c r="J444" s="71">
        <f>IF(OR(I444=0,I444=""),"unrated",VLOOKUP(I444,MappingTables!$B$19:$C$31,2,FALSE))</f>
        <v>3</v>
      </c>
      <c r="K444" s="72">
        <v>204.77562406691156</v>
      </c>
      <c r="L444" s="70">
        <v>0.068495227019929688</v>
      </c>
      <c r="M444" s="71">
        <f>IF(L444&lt;1,1,L444)</f>
        <v>1</v>
      </c>
      <c r="N444" s="70" t="s">
        <v>3288</v>
      </c>
      <c r="O444" s="71">
        <f>IF(OR(I444=$A$1,I444=0),"",IF(N444=MappingTables!$C$14,VLOOKUP(J444,ModelParameters!$M$8:$N$15,2,FALSE),IF(N444=MappingTables!$C$16,VLOOKUP(J444,ModelParameters!$P$8:$Q$15,2,FALSE),0)))</f>
        <v>0.197</v>
      </c>
      <c r="P444" s="73">
        <f>IF(OR(I444=0,I444=$A$1),0,MIN(O444*M444,1)*K444)</f>
        <v>40.340797941181576</v>
      </c>
      <c r="Q444" s="73">
        <f>IF(B444="",0,IF(OR(H444=MappingTables!$C$34,H444=MappingTables!$C$35),P444,0))</f>
        <v>0</v>
      </c>
      <c r="R444" s="73">
        <f>IF(ISNA(IF(AND(VLOOKUP(CONCATENATE($D444,$G444),CSRFinput!$B:$E,4,0)=0,OR(H444=MappingTables!$C$31,H444=MappingTables!$C$32)),1,VLOOKUP(CONCATENATE($D444,$G444),CSRFinput!$B:$E,4,0))),0,IF(AND(VLOOKUP(CONCATENATE($D444,$G444),CSRFinput!$B:$E,4,0)=0,OR(H444=MappingTables!$C$31,H444=MappingTables!$C$32)),1,VLOOKUP(CONCATENATE($D444,$G444),CSRFinput!$B:$E,4,0)))</f>
        <v>0.054776304963434752</v>
      </c>
      <c r="S444" s="73">
        <f>IF(B444="",0,P444*R444)</f>
        <v>2.2097198504944632</v>
      </c>
      <c r="T444" s="85">
        <f>IF(B444="",0,IF(OR(H444=MappingTables!$C$34,H444=MappingTables!$C$35),S444,0))</f>
        <v>0</v>
      </c>
    </row>
    <row r="445" spans="2:20" s="0" customFormat="0" ht="15">
      <c r="B445" s="69">
        <v>22623679</v>
      </c>
      <c r="C445" s="70" t="s">
        <v>3967</v>
      </c>
      <c r="D445" s="70" t="s">
        <v>1</v>
      </c>
      <c r="E445" s="70" t="s">
        <v>1</v>
      </c>
      <c r="F445" s="70"/>
      <c r="G445" s="70" t="s">
        <v>61</v>
      </c>
      <c r="H445" s="70" t="s">
        <v>178</v>
      </c>
      <c r="I445" s="70" t="s">
        <v>3291</v>
      </c>
      <c r="J445" s="71">
        <f>IF(OR(I445=0,I445=""),"unrated",VLOOKUP(I445,MappingTables!$B$19:$C$31,2,FALSE))</f>
        <v>6</v>
      </c>
      <c r="K445" s="72">
        <v>1028.1152292963528</v>
      </c>
      <c r="L445" s="70">
        <v>0.003094465874528546</v>
      </c>
      <c r="M445" s="71">
        <f>IF(L445&lt;1,1,L445)</f>
        <v>1</v>
      </c>
      <c r="N445" s="70" t="s">
        <v>3288</v>
      </c>
      <c r="O445" s="71">
        <f>IF(OR(I445=$A$1,I445=0),"",IF(N445=MappingTables!$C$14,VLOOKUP(J445,ModelParameters!$M$8:$N$15,2,FALSE),IF(N445=MappingTables!$C$16,VLOOKUP(J445,ModelParameters!$P$8:$Q$15,2,FALSE),0)))</f>
        <v>1</v>
      </c>
      <c r="P445" s="73">
        <f>IF(OR(I445=0,I445=$A$1),0,MIN(O445*M445,1)*K445)</f>
        <v>1028.1152292963528</v>
      </c>
      <c r="Q445" s="73">
        <f>IF(B445="",0,IF(OR(H445=MappingTables!$C$34,H445=MappingTables!$C$35),P445,0))</f>
        <v>0</v>
      </c>
      <c r="R445" s="73">
        <f>IF(ISNA(IF(AND(VLOOKUP(CONCATENATE($D445,$G445),CSRFinput!$B:$E,4,0)=0,OR(H445=MappingTables!$C$31,H445=MappingTables!$C$32)),1,VLOOKUP(CONCATENATE($D445,$G445),CSRFinput!$B:$E,4,0))),0,IF(AND(VLOOKUP(CONCATENATE($D445,$G445),CSRFinput!$B:$E,4,0)=0,OR(H445=MappingTables!$C$31,H445=MappingTables!$C$32)),1,VLOOKUP(CONCATENATE($D445,$G445),CSRFinput!$B:$E,4,0)))</f>
        <v>0.054776304963434752</v>
      </c>
      <c r="S445" s="73">
        <f>IF(B445="",0,P445*R445)</f>
        <v>56.316353337488664</v>
      </c>
      <c r="T445" s="85">
        <f>IF(B445="",0,IF(OR(H445=MappingTables!$C$34,H445=MappingTables!$C$35),S445,0))</f>
        <v>0</v>
      </c>
    </row>
    <row r="446" spans="2:20" s="0" customFormat="0" ht="15">
      <c r="B446" s="69" t="s">
        <v>3968</v>
      </c>
      <c r="C446" s="70" t="s">
        <v>3969</v>
      </c>
      <c r="D446" s="70" t="s">
        <v>1</v>
      </c>
      <c r="E446" s="70" t="s">
        <v>1</v>
      </c>
      <c r="F446" s="70"/>
      <c r="G446" s="70" t="s">
        <v>61</v>
      </c>
      <c r="H446" s="70" t="s">
        <v>178</v>
      </c>
      <c r="I446" s="70" t="s">
        <v>198</v>
      </c>
      <c r="J446" s="71" t="str">
        <f>IF(OR(I446=0,I446=""),"unrated",VLOOKUP(I446,MappingTables!$B$19:$C$31,2,FALSE))</f>
        <v>unrated</v>
      </c>
      <c r="K446" s="72">
        <v>7.8588879375745728</v>
      </c>
      <c r="L446" s="70">
        <v>9.6918781453852672</v>
      </c>
      <c r="M446" s="71">
        <f>IF(L446&lt;1,1,L446)</f>
        <v>9.6918781453852672</v>
      </c>
      <c r="N446" s="70" t="s">
        <v>3288</v>
      </c>
      <c r="O446" s="71">
        <f>IF(OR(I446=$A$1,I446=0),"",IF(N446=MappingTables!$C$14,VLOOKUP(J446,ModelParameters!$M$8:$N$15,2,FALSE),IF(N446=MappingTables!$C$16,VLOOKUP(J446,ModelParameters!$P$8:$Q$15,2,FALSE),0)))</f>
        <v>1</v>
      </c>
      <c r="P446" s="73">
        <f>IF(OR(I446=0,I446=$A$1),0,MIN(O446*M446,1)*K446)</f>
        <v>7.8588879375745728</v>
      </c>
      <c r="Q446" s="73">
        <f>IF(B446="",0,IF(OR(H446=MappingTables!$C$34,H446=MappingTables!$C$35),P446,0))</f>
        <v>0</v>
      </c>
      <c r="R446" s="73">
        <f>IF(ISNA(IF(AND(VLOOKUP(CONCATENATE($D446,$G446),CSRFinput!$B:$E,4,0)=0,OR(H446=MappingTables!$C$31,H446=MappingTables!$C$32)),1,VLOOKUP(CONCATENATE($D446,$G446),CSRFinput!$B:$E,4,0))),0,IF(AND(VLOOKUP(CONCATENATE($D446,$G446),CSRFinput!$B:$E,4,0)=0,OR(H446=MappingTables!$C$31,H446=MappingTables!$C$32)),1,VLOOKUP(CONCATENATE($D446,$G446),CSRFinput!$B:$E,4,0)))</f>
        <v>0.054776304963434752</v>
      </c>
      <c r="S446" s="73">
        <f>IF(B446="",0,P446*R446)</f>
        <v>0.4304808423420436</v>
      </c>
      <c r="T446" s="85">
        <f>IF(B446="",0,IF(OR(H446=MappingTables!$C$34,H446=MappingTables!$C$35),S446,0))</f>
        <v>0</v>
      </c>
    </row>
    <row r="447" spans="2:20" s="0" customFormat="0" ht="15">
      <c r="B447" s="69">
        <v>22554523</v>
      </c>
      <c r="C447" s="70" t="s">
        <v>3970</v>
      </c>
      <c r="D447" s="70" t="s">
        <v>1</v>
      </c>
      <c r="E447" s="70" t="s">
        <v>1</v>
      </c>
      <c r="F447" s="70"/>
      <c r="G447" s="70" t="s">
        <v>61</v>
      </c>
      <c r="H447" s="70" t="s">
        <v>178</v>
      </c>
      <c r="I447" s="70" t="s">
        <v>220</v>
      </c>
      <c r="J447" s="71">
        <f>IF(OR(I447=0,I447=""),"unrated",VLOOKUP(I447,MappingTables!$B$19:$C$31,2,FALSE))</f>
        <v>1</v>
      </c>
      <c r="K447" s="72">
        <v>246.49223959754752</v>
      </c>
      <c r="L447" s="70">
        <v>-0.0064994301496195968</v>
      </c>
      <c r="M447" s="71">
        <f>IF(L447&lt;1,1,L447)</f>
        <v>1</v>
      </c>
      <c r="N447" s="70" t="s">
        <v>3288</v>
      </c>
      <c r="O447" s="71">
        <f>IF(OR(I447=$A$1,I447=0),"",IF(N447=MappingTables!$C$14,VLOOKUP(J447,ModelParameters!$M$8:$N$15,2,FALSE),IF(N447=MappingTables!$C$16,VLOOKUP(J447,ModelParameters!$P$8:$Q$15,2,FALSE),0)))</f>
        <v>0.134</v>
      </c>
      <c r="P447" s="73">
        <f>IF(OR(I447=0,I447=$A$1),0,MIN(O447*M447,1)*K447)</f>
        <v>33.029960106071372</v>
      </c>
      <c r="Q447" s="73">
        <f>IF(B447="",0,IF(OR(H447=MappingTables!$C$34,H447=MappingTables!$C$35),P447,0))</f>
        <v>0</v>
      </c>
      <c r="R447" s="73">
        <f>IF(ISNA(IF(AND(VLOOKUP(CONCATENATE($D447,$G447),CSRFinput!$B:$E,4,0)=0,OR(H447=MappingTables!$C$31,H447=MappingTables!$C$32)),1,VLOOKUP(CONCATENATE($D447,$G447),CSRFinput!$B:$E,4,0))),0,IF(AND(VLOOKUP(CONCATENATE($D447,$G447),CSRFinput!$B:$E,4,0)=0,OR(H447=MappingTables!$C$31,H447=MappingTables!$C$32)),1,VLOOKUP(CONCATENATE($D447,$G447),CSRFinput!$B:$E,4,0)))</f>
        <v>0.054776304963434752</v>
      </c>
      <c r="S447" s="73">
        <f>IF(B447="",0,P447*R447)</f>
        <v>1.8092591677002492</v>
      </c>
      <c r="T447" s="85">
        <f>IF(B447="",0,IF(OR(H447=MappingTables!$C$34,H447=MappingTables!$C$35),S447,0))</f>
        <v>0</v>
      </c>
    </row>
    <row r="448" spans="2:20" s="0" customFormat="0" ht="15">
      <c r="B448" s="69" t="s">
        <v>3971</v>
      </c>
      <c r="C448" s="70" t="s">
        <v>3972</v>
      </c>
      <c r="D448" s="70" t="s">
        <v>1</v>
      </c>
      <c r="E448" s="70" t="s">
        <v>1</v>
      </c>
      <c r="F448" s="70"/>
      <c r="G448" s="70" t="s">
        <v>61</v>
      </c>
      <c r="H448" s="70" t="s">
        <v>178</v>
      </c>
      <c r="I448" s="70" t="s">
        <v>204</v>
      </c>
      <c r="J448" s="71">
        <f>IF(OR(I448=0,I448=""),"unrated",VLOOKUP(I448,MappingTables!$B$19:$C$31,2,FALSE))</f>
        <v>6</v>
      </c>
      <c r="K448" s="72">
        <v>3272.6905262715328</v>
      </c>
      <c r="L448" s="70">
        <v>-0.012409624817793832</v>
      </c>
      <c r="M448" s="71">
        <f>IF(L448&lt;1,1,L448)</f>
        <v>1</v>
      </c>
      <c r="N448" s="70" t="s">
        <v>3288</v>
      </c>
      <c r="O448" s="71">
        <f>IF(OR(I448=$A$1,I448=0),"",IF(N448=MappingTables!$C$14,VLOOKUP(J448,ModelParameters!$M$8:$N$15,2,FALSE),IF(N448=MappingTables!$C$16,VLOOKUP(J448,ModelParameters!$P$8:$Q$15,2,FALSE),0)))</f>
        <v>1</v>
      </c>
      <c r="P448" s="73">
        <f>IF(OR(I448=0,I448=$A$1),0,MIN(O448*M448,1)*K448)</f>
        <v>3272.6905262715328</v>
      </c>
      <c r="Q448" s="73">
        <f>IF(B448="",0,IF(OR(H448=MappingTables!$C$34,H448=MappingTables!$C$35),P448,0))</f>
        <v>0</v>
      </c>
      <c r="R448" s="73">
        <f>IF(ISNA(IF(AND(VLOOKUP(CONCATENATE($D448,$G448),CSRFinput!$B:$E,4,0)=0,OR(H448=MappingTables!$C$31,H448=MappingTables!$C$32)),1,VLOOKUP(CONCATENATE($D448,$G448),CSRFinput!$B:$E,4,0))),0,IF(AND(VLOOKUP(CONCATENATE($D448,$G448),CSRFinput!$B:$E,4,0)=0,OR(H448=MappingTables!$C$31,H448=MappingTables!$C$32)),1,VLOOKUP(CONCATENATE($D448,$G448),CSRFinput!$B:$E,4,0)))</f>
        <v>0.054776304963434752</v>
      </c>
      <c r="S448" s="73">
        <f>IF(B448="",0,P448*R448)</f>
        <v>179.26589431799326</v>
      </c>
      <c r="T448" s="85">
        <f>IF(B448="",0,IF(OR(H448=MappingTables!$C$34,H448=MappingTables!$C$35),S448,0))</f>
        <v>0</v>
      </c>
    </row>
    <row r="449" spans="2:20" s="0" customFormat="0" ht="15">
      <c r="B449" s="69" t="s">
        <v>3415</v>
      </c>
      <c r="C449" s="70" t="s">
        <v>3416</v>
      </c>
      <c r="D449" s="70" t="s">
        <v>1</v>
      </c>
      <c r="E449" s="70" t="s">
        <v>1</v>
      </c>
      <c r="F449" s="70"/>
      <c r="G449" s="70" t="s">
        <v>61</v>
      </c>
      <c r="H449" s="70" t="s">
        <v>178</v>
      </c>
      <c r="I449" s="70" t="s">
        <v>3298</v>
      </c>
      <c r="J449" s="71">
        <f>IF(OR(I449=0,I449=""),"unrated",VLOOKUP(I449,MappingTables!$B$19:$C$31,2,FALSE))</f>
        <v>6</v>
      </c>
      <c r="K449" s="72">
        <v>95.868697680454224</v>
      </c>
      <c r="L449" s="70">
        <v>-1.4691604151593966</v>
      </c>
      <c r="M449" s="71">
        <f>IF(L449&lt;1,1,L449)</f>
        <v>1</v>
      </c>
      <c r="N449" s="70" t="s">
        <v>3288</v>
      </c>
      <c r="O449" s="71">
        <f>IF(OR(I449=$A$1,I449=0),"",IF(N449=MappingTables!$C$14,VLOOKUP(J449,ModelParameters!$M$8:$N$15,2,FALSE),IF(N449=MappingTables!$C$16,VLOOKUP(J449,ModelParameters!$P$8:$Q$15,2,FALSE),0)))</f>
        <v>1</v>
      </c>
      <c r="P449" s="73">
        <f>IF(OR(I449=0,I449=$A$1),0,MIN(O449*M449,1)*K449)</f>
        <v>95.868697680454224</v>
      </c>
      <c r="Q449" s="73">
        <f>IF(B449="",0,IF(OR(H449=MappingTables!$C$34,H449=MappingTables!$C$35),P449,0))</f>
        <v>0</v>
      </c>
      <c r="R449" s="73">
        <f>IF(ISNA(IF(AND(VLOOKUP(CONCATENATE($D449,$G449),CSRFinput!$B:$E,4,0)=0,OR(H449=MappingTables!$C$31,H449=MappingTables!$C$32)),1,VLOOKUP(CONCATENATE($D449,$G449),CSRFinput!$B:$E,4,0))),0,IF(AND(VLOOKUP(CONCATENATE($D449,$G449),CSRFinput!$B:$E,4,0)=0,OR(H449=MappingTables!$C$31,H449=MappingTables!$C$32)),1,VLOOKUP(CONCATENATE($D449,$G449),CSRFinput!$B:$E,4,0)))</f>
        <v>0.054776304963434752</v>
      </c>
      <c r="S449" s="73">
        <f>IF(B449="",0,P449*R449)</f>
        <v>5.2513330205918904</v>
      </c>
      <c r="T449" s="85">
        <f>IF(B449="",0,IF(OR(H449=MappingTables!$C$34,H449=MappingTables!$C$35),S449,0))</f>
        <v>0</v>
      </c>
    </row>
    <row r="450" spans="2:20" s="0" customFormat="0" ht="15">
      <c r="B450" s="69" t="s">
        <v>3973</v>
      </c>
      <c r="C450" s="70" t="s">
        <v>3974</v>
      </c>
      <c r="D450" s="70" t="s">
        <v>1</v>
      </c>
      <c r="E450" s="70" t="s">
        <v>1</v>
      </c>
      <c r="F450" s="70"/>
      <c r="G450" s="70" t="s">
        <v>61</v>
      </c>
      <c r="H450" s="70" t="s">
        <v>178</v>
      </c>
      <c r="I450" s="70" t="s">
        <v>198</v>
      </c>
      <c r="J450" s="71" t="str">
        <f>IF(OR(I450=0,I450=""),"unrated",VLOOKUP(I450,MappingTables!$B$19:$C$31,2,FALSE))</f>
        <v>unrated</v>
      </c>
      <c r="K450" s="72">
        <v>196.4380150031114</v>
      </c>
      <c r="L450" s="70">
        <v>0.019536456452826708</v>
      </c>
      <c r="M450" s="71">
        <f>IF(L450&lt;1,1,L450)</f>
        <v>1</v>
      </c>
      <c r="N450" s="70" t="s">
        <v>3288</v>
      </c>
      <c r="O450" s="71">
        <f>IF(OR(I450=$A$1,I450=0),"",IF(N450=MappingTables!$C$14,VLOOKUP(J450,ModelParameters!$M$8:$N$15,2,FALSE),IF(N450=MappingTables!$C$16,VLOOKUP(J450,ModelParameters!$P$8:$Q$15,2,FALSE),0)))</f>
        <v>1</v>
      </c>
      <c r="P450" s="73">
        <f>IF(OR(I450=0,I450=$A$1),0,MIN(O450*M450,1)*K450)</f>
        <v>196.4380150031114</v>
      </c>
      <c r="Q450" s="73">
        <f>IF(B450="",0,IF(OR(H450=MappingTables!$C$34,H450=MappingTables!$C$35),P450,0))</f>
        <v>0</v>
      </c>
      <c r="R450" s="73">
        <f>IF(ISNA(IF(AND(VLOOKUP(CONCATENATE($D450,$G450),CSRFinput!$B:$E,4,0)=0,OR(H450=MappingTables!$C$31,H450=MappingTables!$C$32)),1,VLOOKUP(CONCATENATE($D450,$G450),CSRFinput!$B:$E,4,0))),0,IF(AND(VLOOKUP(CONCATENATE($D450,$G450),CSRFinput!$B:$E,4,0)=0,OR(H450=MappingTables!$C$31,H450=MappingTables!$C$32)),1,VLOOKUP(CONCATENATE($D450,$G450),CSRFinput!$B:$E,4,0)))</f>
        <v>0.054776304963434752</v>
      </c>
      <c r="S450" s="73">
        <f>IF(B450="",0,P450*R450)</f>
        <v>10.760148616222204</v>
      </c>
      <c r="T450" s="85">
        <f>IF(B450="",0,IF(OR(H450=MappingTables!$C$34,H450=MappingTables!$C$35),S450,0))</f>
        <v>0</v>
      </c>
    </row>
    <row r="451" spans="2:20" s="0" customFormat="0" ht="15">
      <c r="B451" s="69" t="s">
        <v>3975</v>
      </c>
      <c r="C451" s="70" t="s">
        <v>3976</v>
      </c>
      <c r="D451" s="70" t="s">
        <v>1</v>
      </c>
      <c r="E451" s="70" t="s">
        <v>1</v>
      </c>
      <c r="F451" s="70"/>
      <c r="G451" s="70" t="s">
        <v>61</v>
      </c>
      <c r="H451" s="70" t="s">
        <v>178</v>
      </c>
      <c r="I451" s="70" t="s">
        <v>179</v>
      </c>
      <c r="J451" s="71">
        <f>IF(OR(I451=0,I451=""),"unrated",VLOOKUP(I451,MappingTables!$B$19:$C$31,2,FALSE))</f>
        <v>4</v>
      </c>
      <c r="K451" s="72">
        <v>237.39638634948752</v>
      </c>
      <c r="L451" s="70">
        <v>0.068493734300995024</v>
      </c>
      <c r="M451" s="71">
        <f>IF(L451&lt;1,1,L451)</f>
        <v>1</v>
      </c>
      <c r="N451" s="70" t="s">
        <v>3288</v>
      </c>
      <c r="O451" s="71">
        <f>IF(OR(I451=$A$1,I451=0),"",IF(N451=MappingTables!$C$14,VLOOKUP(J451,ModelParameters!$M$8:$N$15,2,FALSE),IF(N451=MappingTables!$C$16,VLOOKUP(J451,ModelParameters!$P$8:$Q$15,2,FALSE),0)))</f>
        <v>0.82</v>
      </c>
      <c r="P451" s="73">
        <f>IF(OR(I451=0,I451=$A$1),0,MIN(O451*M451,1)*K451)</f>
        <v>194.66503680657976</v>
      </c>
      <c r="Q451" s="73">
        <f>IF(B451="",0,IF(OR(H451=MappingTables!$C$34,H451=MappingTables!$C$35),P451,0))</f>
        <v>0</v>
      </c>
      <c r="R451" s="73">
        <f>IF(ISNA(IF(AND(VLOOKUP(CONCATENATE($D451,$G451),CSRFinput!$B:$E,4,0)=0,OR(H451=MappingTables!$C$31,H451=MappingTables!$C$32)),1,VLOOKUP(CONCATENATE($D451,$G451),CSRFinput!$B:$E,4,0))),0,IF(AND(VLOOKUP(CONCATENATE($D451,$G451),CSRFinput!$B:$E,4,0)=0,OR(H451=MappingTables!$C$31,H451=MappingTables!$C$32)),1,VLOOKUP(CONCATENATE($D451,$G451),CSRFinput!$B:$E,4,0)))</f>
        <v>0.054776304963434752</v>
      </c>
      <c r="S451" s="73">
        <f>IF(B451="",0,P451*R451)</f>
        <v>10.663031421835464</v>
      </c>
      <c r="T451" s="85">
        <f>IF(B451="",0,IF(OR(H451=MappingTables!$C$34,H451=MappingTables!$C$35),S451,0))</f>
        <v>0</v>
      </c>
    </row>
    <row r="452" spans="2:20" s="0" customFormat="0" ht="15">
      <c r="B452" s="69" t="s">
        <v>3977</v>
      </c>
      <c r="C452" s="70" t="s">
        <v>3978</v>
      </c>
      <c r="D452" s="70" t="s">
        <v>1</v>
      </c>
      <c r="E452" s="70" t="s">
        <v>1</v>
      </c>
      <c r="F452" s="70"/>
      <c r="G452" s="70" t="s">
        <v>61</v>
      </c>
      <c r="H452" s="70" t="s">
        <v>178</v>
      </c>
      <c r="I452" s="70" t="s">
        <v>3291</v>
      </c>
      <c r="J452" s="71">
        <f>IF(OR(I452=0,I452=""),"unrated",VLOOKUP(I452,MappingTables!$B$19:$C$31,2,FALSE))</f>
        <v>6</v>
      </c>
      <c r="K452" s="72">
        <v>38.458906897835768</v>
      </c>
      <c r="L452" s="70">
        <v>0.068491569110155704</v>
      </c>
      <c r="M452" s="71">
        <f>IF(L452&lt;1,1,L452)</f>
        <v>1</v>
      </c>
      <c r="N452" s="70" t="s">
        <v>3288</v>
      </c>
      <c r="O452" s="71">
        <f>IF(OR(I452=$A$1,I452=0),"",IF(N452=MappingTables!$C$14,VLOOKUP(J452,ModelParameters!$M$8:$N$15,2,FALSE),IF(N452=MappingTables!$C$16,VLOOKUP(J452,ModelParameters!$P$8:$Q$15,2,FALSE),0)))</f>
        <v>1</v>
      </c>
      <c r="P452" s="73">
        <f>IF(OR(I452=0,I452=$A$1),0,MIN(O452*M452,1)*K452)</f>
        <v>38.458906897835768</v>
      </c>
      <c r="Q452" s="73">
        <f>IF(B452="",0,IF(OR(H452=MappingTables!$C$34,H452=MappingTables!$C$35),P452,0))</f>
        <v>0</v>
      </c>
      <c r="R452" s="73">
        <f>IF(ISNA(IF(AND(VLOOKUP(CONCATENATE($D452,$G452),CSRFinput!$B:$E,4,0)=0,OR(H452=MappingTables!$C$31,H452=MappingTables!$C$32)),1,VLOOKUP(CONCATENATE($D452,$G452),CSRFinput!$B:$E,4,0))),0,IF(AND(VLOOKUP(CONCATENATE($D452,$G452),CSRFinput!$B:$E,4,0)=0,OR(H452=MappingTables!$C$31,H452=MappingTables!$C$32)),1,VLOOKUP(CONCATENATE($D452,$G452),CSRFinput!$B:$E,4,0)))</f>
        <v>0.054776304963434752</v>
      </c>
      <c r="S452" s="73">
        <f>IF(B452="",0,P452*R452)</f>
        <v>2.1066368127961964</v>
      </c>
      <c r="T452" s="85">
        <f>IF(B452="",0,IF(OR(H452=MappingTables!$C$34,H452=MappingTables!$C$35),S452,0))</f>
        <v>0</v>
      </c>
    </row>
    <row r="453" spans="2:20" s="0" customFormat="0" ht="15">
      <c r="B453" s="69">
        <v>22554398</v>
      </c>
      <c r="C453" s="70" t="s">
        <v>3979</v>
      </c>
      <c r="D453" s="70" t="s">
        <v>1</v>
      </c>
      <c r="E453" s="70" t="s">
        <v>1</v>
      </c>
      <c r="F453" s="70"/>
      <c r="G453" s="70" t="s">
        <v>61</v>
      </c>
      <c r="H453" s="70" t="s">
        <v>178</v>
      </c>
      <c r="I453" s="70" t="s">
        <v>216</v>
      </c>
      <c r="J453" s="71">
        <f>IF(OR(I453=0,I453=""),"unrated",VLOOKUP(I453,MappingTables!$B$19:$C$31,2,FALSE))</f>
        <v>0</v>
      </c>
      <c r="K453" s="72">
        <v>3635.40901897032</v>
      </c>
      <c r="L453" s="70">
        <v>0.041416152167574072</v>
      </c>
      <c r="M453" s="71">
        <f>IF(L453&lt;1,1,L453)</f>
        <v>1</v>
      </c>
      <c r="N453" s="70" t="s">
        <v>3288</v>
      </c>
      <c r="O453" s="71">
        <f>IF(OR(I453=$A$1,I453=0),"",IF(N453=MappingTables!$C$14,VLOOKUP(J453,ModelParameters!$M$8:$N$15,2,FALSE),IF(N453=MappingTables!$C$16,VLOOKUP(J453,ModelParameters!$P$8:$Q$15,2,FALSE),0)))</f>
        <v>0.125</v>
      </c>
      <c r="P453" s="73">
        <f>IF(OR(I453=0,I453=$A$1),0,MIN(O453*M453,1)*K453)</f>
        <v>454.42612737129</v>
      </c>
      <c r="Q453" s="73">
        <f>IF(B453="",0,IF(OR(H453=MappingTables!$C$34,H453=MappingTables!$C$35),P453,0))</f>
        <v>0</v>
      </c>
      <c r="R453" s="73">
        <f>IF(ISNA(IF(AND(VLOOKUP(CONCATENATE($D453,$G453),CSRFinput!$B:$E,4,0)=0,OR(H453=MappingTables!$C$31,H453=MappingTables!$C$32)),1,VLOOKUP(CONCATENATE($D453,$G453),CSRFinput!$B:$E,4,0))),0,IF(AND(VLOOKUP(CONCATENATE($D453,$G453),CSRFinput!$B:$E,4,0)=0,OR(H453=MappingTables!$C$31,H453=MappingTables!$C$32)),1,VLOOKUP(CONCATENATE($D453,$G453),CSRFinput!$B:$E,4,0)))</f>
        <v>0.054776304963434752</v>
      </c>
      <c r="S453" s="73">
        <f>IF(B453="",0,P453*R453)</f>
        <v>24.891784136242424</v>
      </c>
      <c r="T453" s="85">
        <f>IF(B453="",0,IF(OR(H453=MappingTables!$C$34,H453=MappingTables!$C$35),S453,0))</f>
        <v>0</v>
      </c>
    </row>
    <row r="454" spans="2:20" s="0" customFormat="0" ht="15">
      <c r="B454" s="69" t="s">
        <v>3794</v>
      </c>
      <c r="C454" s="70" t="s">
        <v>3795</v>
      </c>
      <c r="D454" s="70" t="s">
        <v>1</v>
      </c>
      <c r="E454" s="70" t="s">
        <v>1</v>
      </c>
      <c r="F454" s="70"/>
      <c r="G454" s="70" t="s">
        <v>61</v>
      </c>
      <c r="H454" s="70" t="s">
        <v>178</v>
      </c>
      <c r="I454" s="70" t="s">
        <v>216</v>
      </c>
      <c r="J454" s="71">
        <f>IF(OR(I454=0,I454=""),"unrated",VLOOKUP(I454,MappingTables!$B$19:$C$31,2,FALSE))</f>
        <v>0</v>
      </c>
      <c r="K454" s="72">
        <v>808.72352694369632</v>
      </c>
      <c r="L454" s="70">
        <v>0.041095992008418088</v>
      </c>
      <c r="M454" s="71">
        <f>IF(L454&lt;1,1,L454)</f>
        <v>1</v>
      </c>
      <c r="N454" s="70" t="s">
        <v>3288</v>
      </c>
      <c r="O454" s="71">
        <f>IF(OR(I454=$A$1,I454=0),"",IF(N454=MappingTables!$C$14,VLOOKUP(J454,ModelParameters!$M$8:$N$15,2,FALSE),IF(N454=MappingTables!$C$16,VLOOKUP(J454,ModelParameters!$P$8:$Q$15,2,FALSE),0)))</f>
        <v>0.125</v>
      </c>
      <c r="P454" s="73">
        <f>IF(OR(I454=0,I454=$A$1),0,MIN(O454*M454,1)*K454)</f>
        <v>101.09044086796204</v>
      </c>
      <c r="Q454" s="73">
        <f>IF(B454="",0,IF(OR(H454=MappingTables!$C$34,H454=MappingTables!$C$35),P454,0))</f>
        <v>0</v>
      </c>
      <c r="R454" s="73">
        <f>IF(ISNA(IF(AND(VLOOKUP(CONCATENATE($D454,$G454),CSRFinput!$B:$E,4,0)=0,OR(H454=MappingTables!$C$31,H454=MappingTables!$C$32)),1,VLOOKUP(CONCATENATE($D454,$G454),CSRFinput!$B:$E,4,0))),0,IF(AND(VLOOKUP(CONCATENATE($D454,$G454),CSRFinput!$B:$E,4,0)=0,OR(H454=MappingTables!$C$31,H454=MappingTables!$C$32)),1,VLOOKUP(CONCATENATE($D454,$G454),CSRFinput!$B:$E,4,0)))</f>
        <v>0.054776304963434752</v>
      </c>
      <c r="S454" s="73">
        <f>IF(B454="",0,P454*R454)</f>
        <v>5.537360817871556</v>
      </c>
      <c r="T454" s="85">
        <f>IF(B454="",0,IF(OR(H454=MappingTables!$C$34,H454=MappingTables!$C$35),S454,0))</f>
        <v>0</v>
      </c>
    </row>
    <row r="455" spans="2:20" s="0" customFormat="0" ht="15">
      <c r="B455" s="69">
        <v>20113248</v>
      </c>
      <c r="C455" s="70" t="s">
        <v>3980</v>
      </c>
      <c r="D455" s="70" t="s">
        <v>1</v>
      </c>
      <c r="E455" s="70" t="s">
        <v>1</v>
      </c>
      <c r="F455" s="70"/>
      <c r="G455" s="70" t="s">
        <v>61</v>
      </c>
      <c r="H455" s="70" t="s">
        <v>178</v>
      </c>
      <c r="I455" s="70" t="s">
        <v>198</v>
      </c>
      <c r="J455" s="71" t="str">
        <f>IF(OR(I455=0,I455=""),"unrated",VLOOKUP(I455,MappingTables!$B$19:$C$31,2,FALSE))</f>
        <v>unrated</v>
      </c>
      <c r="K455" s="72">
        <v>290.15034762779448</v>
      </c>
      <c r="L455" s="70">
        <v>3.6293180642802088</v>
      </c>
      <c r="M455" s="71">
        <f>IF(L455&lt;1,1,L455)</f>
        <v>3.6293180642802088</v>
      </c>
      <c r="N455" s="70" t="s">
        <v>3288</v>
      </c>
      <c r="O455" s="71">
        <f>IF(OR(I455=$A$1,I455=0),"",IF(N455=MappingTables!$C$14,VLOOKUP(J455,ModelParameters!$M$8:$N$15,2,FALSE),IF(N455=MappingTables!$C$16,VLOOKUP(J455,ModelParameters!$P$8:$Q$15,2,FALSE),0)))</f>
        <v>1</v>
      </c>
      <c r="P455" s="73">
        <f>IF(OR(I455=0,I455=$A$1),0,MIN(O455*M455,1)*K455)</f>
        <v>290.15034762779448</v>
      </c>
      <c r="Q455" s="73">
        <f>IF(B455="",0,IF(OR(H455=MappingTables!$C$34,H455=MappingTables!$C$35),P455,0))</f>
        <v>0</v>
      </c>
      <c r="R455" s="73">
        <f>IF(ISNA(IF(AND(VLOOKUP(CONCATENATE($D455,$G455),CSRFinput!$B:$E,4,0)=0,OR(H455=MappingTables!$C$31,H455=MappingTables!$C$32)),1,VLOOKUP(CONCATENATE($D455,$G455),CSRFinput!$B:$E,4,0))),0,IF(AND(VLOOKUP(CONCATENATE($D455,$G455),CSRFinput!$B:$E,4,0)=0,OR(H455=MappingTables!$C$31,H455=MappingTables!$C$32)),1,VLOOKUP(CONCATENATE($D455,$G455),CSRFinput!$B:$E,4,0)))</f>
        <v>0.054776304963434752</v>
      </c>
      <c r="S455" s="73">
        <f>IF(B455="",0,P455*R455)</f>
        <v>15.893363926906678</v>
      </c>
      <c r="T455" s="85">
        <f>IF(B455="",0,IF(OR(H455=MappingTables!$C$34,H455=MappingTables!$C$35),S455,0))</f>
        <v>0</v>
      </c>
    </row>
    <row r="456" spans="2:20" s="0" customFormat="0" ht="15">
      <c r="B456" s="69">
        <v>18037285</v>
      </c>
      <c r="C456" s="70" t="s">
        <v>3981</v>
      </c>
      <c r="D456" s="70" t="s">
        <v>1</v>
      </c>
      <c r="E456" s="70" t="s">
        <v>1</v>
      </c>
      <c r="F456" s="70"/>
      <c r="G456" s="70" t="s">
        <v>61</v>
      </c>
      <c r="H456" s="70" t="s">
        <v>178</v>
      </c>
      <c r="I456" s="70" t="s">
        <v>216</v>
      </c>
      <c r="J456" s="71">
        <f>IF(OR(I456=0,I456=""),"unrated",VLOOKUP(I456,MappingTables!$B$19:$C$31,2,FALSE))</f>
        <v>0</v>
      </c>
      <c r="K456" s="72">
        <v>731.96469165827712</v>
      </c>
      <c r="L456" s="70">
        <v>0.017496587240443076</v>
      </c>
      <c r="M456" s="71">
        <f>IF(L456&lt;1,1,L456)</f>
        <v>1</v>
      </c>
      <c r="N456" s="70" t="s">
        <v>3288</v>
      </c>
      <c r="O456" s="71">
        <f>IF(OR(I456=$A$1,I456=0),"",IF(N456=MappingTables!$C$14,VLOOKUP(J456,ModelParameters!$M$8:$N$15,2,FALSE),IF(N456=MappingTables!$C$16,VLOOKUP(J456,ModelParameters!$P$8:$Q$15,2,FALSE),0)))</f>
        <v>0.125</v>
      </c>
      <c r="P456" s="73">
        <f>IF(OR(I456=0,I456=$A$1),0,MIN(O456*M456,1)*K456)</f>
        <v>91.49558645728464</v>
      </c>
      <c r="Q456" s="73">
        <f>IF(B456="",0,IF(OR(H456=MappingTables!$C$34,H456=MappingTables!$C$35),P456,0))</f>
        <v>0</v>
      </c>
      <c r="R456" s="73">
        <f>IF(ISNA(IF(AND(VLOOKUP(CONCATENATE($D456,$G456),CSRFinput!$B:$E,4,0)=0,OR(H456=MappingTables!$C$31,H456=MappingTables!$C$32)),1,VLOOKUP(CONCATENATE($D456,$G456),CSRFinput!$B:$E,4,0))),0,IF(AND(VLOOKUP(CONCATENATE($D456,$G456),CSRFinput!$B:$E,4,0)=0,OR(H456=MappingTables!$C$31,H456=MappingTables!$C$32)),1,VLOOKUP(CONCATENATE($D456,$G456),CSRFinput!$B:$E,4,0)))</f>
        <v>0.054776304963434752</v>
      </c>
      <c r="S456" s="73">
        <f>IF(B456="",0,P456*R456)</f>
        <v>5.0117901465925344</v>
      </c>
      <c r="T456" s="85">
        <f>IF(B456="",0,IF(OR(H456=MappingTables!$C$34,H456=MappingTables!$C$35),S456,0))</f>
        <v>0</v>
      </c>
    </row>
    <row r="457" spans="2:20" s="0" customFormat="0" ht="15">
      <c r="B457" s="69" t="s">
        <v>3982</v>
      </c>
      <c r="C457" s="70" t="s">
        <v>3983</v>
      </c>
      <c r="D457" s="70" t="s">
        <v>1</v>
      </c>
      <c r="E457" s="70" t="s">
        <v>1</v>
      </c>
      <c r="F457" s="70"/>
      <c r="G457" s="70" t="s">
        <v>61</v>
      </c>
      <c r="H457" s="70" t="s">
        <v>178</v>
      </c>
      <c r="I457" s="70" t="s">
        <v>179</v>
      </c>
      <c r="J457" s="71">
        <f>IF(OR(I457=0,I457=""),"unrated",VLOOKUP(I457,MappingTables!$B$19:$C$31,2,FALSE))</f>
        <v>4</v>
      </c>
      <c r="K457" s="72">
        <v>264.02112222490696</v>
      </c>
      <c r="L457" s="70">
        <v>0.068493881981821856</v>
      </c>
      <c r="M457" s="71">
        <f>IF(L457&lt;1,1,L457)</f>
        <v>1</v>
      </c>
      <c r="N457" s="70" t="s">
        <v>3288</v>
      </c>
      <c r="O457" s="71">
        <f>IF(OR(I457=$A$1,I457=0),"",IF(N457=MappingTables!$C$14,VLOOKUP(J457,ModelParameters!$M$8:$N$15,2,FALSE),IF(N457=MappingTables!$C$16,VLOOKUP(J457,ModelParameters!$P$8:$Q$15,2,FALSE),0)))</f>
        <v>0.82</v>
      </c>
      <c r="P457" s="73">
        <f>IF(OR(I457=0,I457=$A$1),0,MIN(O457*M457,1)*K457)</f>
        <v>216.49732022442368</v>
      </c>
      <c r="Q457" s="73">
        <f>IF(B457="",0,IF(OR(H457=MappingTables!$C$34,H457=MappingTables!$C$35),P457,0))</f>
        <v>0</v>
      </c>
      <c r="R457" s="73">
        <f>IF(ISNA(IF(AND(VLOOKUP(CONCATENATE($D457,$G457),CSRFinput!$B:$E,4,0)=0,OR(H457=MappingTables!$C$31,H457=MappingTables!$C$32)),1,VLOOKUP(CONCATENATE($D457,$G457),CSRFinput!$B:$E,4,0))),0,IF(AND(VLOOKUP(CONCATENATE($D457,$G457),CSRFinput!$B:$E,4,0)=0,OR(H457=MappingTables!$C$31,H457=MappingTables!$C$32)),1,VLOOKUP(CONCATENATE($D457,$G457),CSRFinput!$B:$E,4,0)))</f>
        <v>0.054776304963434752</v>
      </c>
      <c r="S457" s="73">
        <f>IF(B457="",0,P457*R457)</f>
        <v>11.858923236379422</v>
      </c>
      <c r="T457" s="85">
        <f>IF(B457="",0,IF(OR(H457=MappingTables!$C$34,H457=MappingTables!$C$35),S457,0))</f>
        <v>0</v>
      </c>
    </row>
    <row r="458" spans="2:20" s="0" customFormat="0" ht="15">
      <c r="B458" s="69" t="s">
        <v>3984</v>
      </c>
      <c r="C458" s="70" t="s">
        <v>3985</v>
      </c>
      <c r="D458" s="70" t="s">
        <v>1</v>
      </c>
      <c r="E458" s="70" t="s">
        <v>1</v>
      </c>
      <c r="F458" s="70"/>
      <c r="G458" s="70" t="s">
        <v>61</v>
      </c>
      <c r="H458" s="70" t="s">
        <v>178</v>
      </c>
      <c r="I458" s="70" t="s">
        <v>179</v>
      </c>
      <c r="J458" s="71">
        <f>IF(OR(I458=0,I458=""),"unrated",VLOOKUP(I458,MappingTables!$B$19:$C$31,2,FALSE))</f>
        <v>4</v>
      </c>
      <c r="K458" s="72">
        <v>9.2742265872741648</v>
      </c>
      <c r="L458" s="70">
        <v>0.06849847440364648</v>
      </c>
      <c r="M458" s="71">
        <f>IF(L458&lt;1,1,L458)</f>
        <v>1</v>
      </c>
      <c r="N458" s="70" t="s">
        <v>3288</v>
      </c>
      <c r="O458" s="71">
        <f>IF(OR(I458=$A$1,I458=0),"",IF(N458=MappingTables!$C$14,VLOOKUP(J458,ModelParameters!$M$8:$N$15,2,FALSE),IF(N458=MappingTables!$C$16,VLOOKUP(J458,ModelParameters!$P$8:$Q$15,2,FALSE),0)))</f>
        <v>0.82</v>
      </c>
      <c r="P458" s="73">
        <f>IF(OR(I458=0,I458=$A$1),0,MIN(O458*M458,1)*K458)</f>
        <v>7.6048658015648144</v>
      </c>
      <c r="Q458" s="73">
        <f>IF(B458="",0,IF(OR(H458=MappingTables!$C$34,H458=MappingTables!$C$35),P458,0))</f>
        <v>0</v>
      </c>
      <c r="R458" s="73">
        <f>IF(ISNA(IF(AND(VLOOKUP(CONCATENATE($D458,$G458),CSRFinput!$B:$E,4,0)=0,OR(H458=MappingTables!$C$31,H458=MappingTables!$C$32)),1,VLOOKUP(CONCATENATE($D458,$G458),CSRFinput!$B:$E,4,0))),0,IF(AND(VLOOKUP(CONCATENATE($D458,$G458),CSRFinput!$B:$E,4,0)=0,OR(H458=MappingTables!$C$31,H458=MappingTables!$C$32)),1,VLOOKUP(CONCATENATE($D458,$G458),CSRFinput!$B:$E,4,0)))</f>
        <v>0.054776304963434752</v>
      </c>
      <c r="S458" s="73">
        <f>IF(B458="",0,P458*R458)</f>
        <v>0.41656644835250992</v>
      </c>
      <c r="T458" s="85">
        <f>IF(B458="",0,IF(OR(H458=MappingTables!$C$34,H458=MappingTables!$C$35),S458,0))</f>
        <v>0</v>
      </c>
    </row>
    <row r="459" spans="2:20" s="0" customFormat="0" ht="15">
      <c r="B459" s="69" t="s">
        <v>3986</v>
      </c>
      <c r="C459" s="70" t="s">
        <v>3987</v>
      </c>
      <c r="D459" s="70" t="s">
        <v>1</v>
      </c>
      <c r="E459" s="70" t="s">
        <v>1</v>
      </c>
      <c r="F459" s="70"/>
      <c r="G459" s="70" t="s">
        <v>61</v>
      </c>
      <c r="H459" s="70" t="s">
        <v>178</v>
      </c>
      <c r="I459" s="70" t="s">
        <v>198</v>
      </c>
      <c r="J459" s="71" t="str">
        <f>IF(OR(I459=0,I459=""),"unrated",VLOOKUP(I459,MappingTables!$B$19:$C$31,2,FALSE))</f>
        <v>unrated</v>
      </c>
      <c r="K459" s="72">
        <v>550.03051099916456</v>
      </c>
      <c r="L459" s="70">
        <v>0.068491239805220368</v>
      </c>
      <c r="M459" s="71">
        <f>IF(L459&lt;1,1,L459)</f>
        <v>1</v>
      </c>
      <c r="N459" s="70" t="s">
        <v>3288</v>
      </c>
      <c r="O459" s="71">
        <f>IF(OR(I459=$A$1,I459=0),"",IF(N459=MappingTables!$C$14,VLOOKUP(J459,ModelParameters!$M$8:$N$15,2,FALSE),IF(N459=MappingTables!$C$16,VLOOKUP(J459,ModelParameters!$P$8:$Q$15,2,FALSE),0)))</f>
        <v>1</v>
      </c>
      <c r="P459" s="73">
        <f>IF(OR(I459=0,I459=$A$1),0,MIN(O459*M459,1)*K459)</f>
        <v>550.03051099916456</v>
      </c>
      <c r="Q459" s="73">
        <f>IF(B459="",0,IF(OR(H459=MappingTables!$C$34,H459=MappingTables!$C$35),P459,0))</f>
        <v>0</v>
      </c>
      <c r="R459" s="73">
        <f>IF(ISNA(IF(AND(VLOOKUP(CONCATENATE($D459,$G459),CSRFinput!$B:$E,4,0)=0,OR(H459=MappingTables!$C$31,H459=MappingTables!$C$32)),1,VLOOKUP(CONCATENATE($D459,$G459),CSRFinput!$B:$E,4,0))),0,IF(AND(VLOOKUP(CONCATENATE($D459,$G459),CSRFinput!$B:$E,4,0)=0,OR(H459=MappingTables!$C$31,H459=MappingTables!$C$32)),1,VLOOKUP(CONCATENATE($D459,$G459),CSRFinput!$B:$E,4,0)))</f>
        <v>0.054776304963434752</v>
      </c>
      <c r="S459" s="73">
        <f>IF(B459="",0,P459*R459)</f>
        <v>30.128639009684092</v>
      </c>
      <c r="T459" s="85">
        <f>IF(B459="",0,IF(OR(H459=MappingTables!$C$34,H459=MappingTables!$C$35),S459,0))</f>
        <v>0</v>
      </c>
    </row>
    <row r="460" spans="2:20" s="0" customFormat="0" ht="15">
      <c r="B460" s="69">
        <v>17849964</v>
      </c>
      <c r="C460" s="70" t="s">
        <v>3988</v>
      </c>
      <c r="D460" s="70" t="s">
        <v>1</v>
      </c>
      <c r="E460" s="70" t="s">
        <v>1</v>
      </c>
      <c r="F460" s="70"/>
      <c r="G460" s="70" t="s">
        <v>61</v>
      </c>
      <c r="H460" s="70" t="s">
        <v>178</v>
      </c>
      <c r="I460" s="70" t="s">
        <v>216</v>
      </c>
      <c r="J460" s="71">
        <f>IF(OR(I460=0,I460=""),"unrated",VLOOKUP(I460,MappingTables!$B$19:$C$31,2,FALSE))</f>
        <v>0</v>
      </c>
      <c r="K460" s="72">
        <v>955.96554531112112</v>
      </c>
      <c r="L460" s="70">
        <v>0.047325553781473792</v>
      </c>
      <c r="M460" s="71">
        <f>IF(L460&lt;1,1,L460)</f>
        <v>1</v>
      </c>
      <c r="N460" s="70" t="s">
        <v>3288</v>
      </c>
      <c r="O460" s="71">
        <f>IF(OR(I460=$A$1,I460=0),"",IF(N460=MappingTables!$C$14,VLOOKUP(J460,ModelParameters!$M$8:$N$15,2,FALSE),IF(N460=MappingTables!$C$16,VLOOKUP(J460,ModelParameters!$P$8:$Q$15,2,FALSE),0)))</f>
        <v>0.125</v>
      </c>
      <c r="P460" s="73">
        <f>IF(OR(I460=0,I460=$A$1),0,MIN(O460*M460,1)*K460)</f>
        <v>119.49569316389014</v>
      </c>
      <c r="Q460" s="73">
        <f>IF(B460="",0,IF(OR(H460=MappingTables!$C$34,H460=MappingTables!$C$35),P460,0))</f>
        <v>0</v>
      </c>
      <c r="R460" s="73">
        <f>IF(ISNA(IF(AND(VLOOKUP(CONCATENATE($D460,$G460),CSRFinput!$B:$E,4,0)=0,OR(H460=MappingTables!$C$31,H460=MappingTables!$C$32)),1,VLOOKUP(CONCATENATE($D460,$G460),CSRFinput!$B:$E,4,0))),0,IF(AND(VLOOKUP(CONCATENATE($D460,$G460),CSRFinput!$B:$E,4,0)=0,OR(H460=MappingTables!$C$31,H460=MappingTables!$C$32)),1,VLOOKUP(CONCATENATE($D460,$G460),CSRFinput!$B:$E,4,0)))</f>
        <v>0.054776304963434752</v>
      </c>
      <c r="S460" s="73">
        <f>IF(B460="",0,P460*R460)</f>
        <v>6.545532530562272</v>
      </c>
      <c r="T460" s="85">
        <f>IF(B460="",0,IF(OR(H460=MappingTables!$C$34,H460=MappingTables!$C$35),S460,0))</f>
        <v>0</v>
      </c>
    </row>
    <row r="461" spans="2:20" s="0" customFormat="0" ht="15">
      <c r="B461" s="69">
        <v>12994210</v>
      </c>
      <c r="C461" s="70" t="s">
        <v>3413</v>
      </c>
      <c r="D461" s="70" t="s">
        <v>1</v>
      </c>
      <c r="E461" s="70" t="s">
        <v>1</v>
      </c>
      <c r="F461" s="70"/>
      <c r="G461" s="70" t="s">
        <v>61</v>
      </c>
      <c r="H461" s="70" t="s">
        <v>178</v>
      </c>
      <c r="I461" s="70" t="s">
        <v>216</v>
      </c>
      <c r="J461" s="71">
        <f>IF(OR(I461=0,I461=""),"unrated",VLOOKUP(I461,MappingTables!$B$19:$C$31,2,FALSE))</f>
        <v>0</v>
      </c>
      <c r="K461" s="72">
        <v>154.50329155070576</v>
      </c>
      <c r="L461" s="70">
        <v>3.4107057299630528</v>
      </c>
      <c r="M461" s="71">
        <f>IF(L461&lt;1,1,L461)</f>
        <v>3.4107057299630528</v>
      </c>
      <c r="N461" s="70" t="s">
        <v>3288</v>
      </c>
      <c r="O461" s="71">
        <f>IF(OR(I461=$A$1,I461=0),"",IF(N461=MappingTables!$C$14,VLOOKUP(J461,ModelParameters!$M$8:$N$15,2,FALSE),IF(N461=MappingTables!$C$16,VLOOKUP(J461,ModelParameters!$P$8:$Q$15,2,FALSE),0)))</f>
        <v>0.125</v>
      </c>
      <c r="P461" s="73">
        <f>IF(OR(I461=0,I461=$A$1),0,MIN(O461*M461,1)*K461)</f>
        <v>65.870657723768032</v>
      </c>
      <c r="Q461" s="73">
        <f>IF(B461="",0,IF(OR(H461=MappingTables!$C$34,H461=MappingTables!$C$35),P461,0))</f>
        <v>0</v>
      </c>
      <c r="R461" s="73">
        <f>IF(ISNA(IF(AND(VLOOKUP(CONCATENATE($D461,$G461),CSRFinput!$B:$E,4,0)=0,OR(H461=MappingTables!$C$31,H461=MappingTables!$C$32)),1,VLOOKUP(CONCATENATE($D461,$G461),CSRFinput!$B:$E,4,0))),0,IF(AND(VLOOKUP(CONCATENATE($D461,$G461),CSRFinput!$B:$E,4,0)=0,OR(H461=MappingTables!$C$31,H461=MappingTables!$C$32)),1,VLOOKUP(CONCATENATE($D461,$G461),CSRFinput!$B:$E,4,0)))</f>
        <v>0.054776304963434752</v>
      </c>
      <c r="S461" s="73">
        <f>IF(B461="",0,P461*R461)</f>
        <v>3.6081512356191464</v>
      </c>
      <c r="T461" s="85">
        <f>IF(B461="",0,IF(OR(H461=MappingTables!$C$34,H461=MappingTables!$C$35),S461,0))</f>
        <v>0</v>
      </c>
    </row>
    <row r="462" spans="2:20" s="0" customFormat="0" ht="15">
      <c r="B462" s="69" t="s">
        <v>3989</v>
      </c>
      <c r="C462" s="70" t="s">
        <v>3990</v>
      </c>
      <c r="D462" s="70" t="s">
        <v>1</v>
      </c>
      <c r="E462" s="70" t="s">
        <v>1</v>
      </c>
      <c r="F462" s="70"/>
      <c r="G462" s="70" t="s">
        <v>61</v>
      </c>
      <c r="H462" s="70" t="s">
        <v>178</v>
      </c>
      <c r="I462" s="70" t="s">
        <v>184</v>
      </c>
      <c r="J462" s="71">
        <f>IF(OR(I462=0,I462=""),"unrated",VLOOKUP(I462,MappingTables!$B$19:$C$31,2,FALSE))</f>
        <v>5</v>
      </c>
      <c r="K462" s="72">
        <v>188.931894499353</v>
      </c>
      <c r="L462" s="70">
        <v>3.7515670545103632</v>
      </c>
      <c r="M462" s="71">
        <f>IF(L462&lt;1,1,L462)</f>
        <v>3.7515670545103632</v>
      </c>
      <c r="N462" s="70" t="s">
        <v>3288</v>
      </c>
      <c r="O462" s="71">
        <f>IF(OR(I462=$A$1,I462=0),"",IF(N462=MappingTables!$C$14,VLOOKUP(J462,ModelParameters!$M$8:$N$15,2,FALSE),IF(N462=MappingTables!$C$16,VLOOKUP(J462,ModelParameters!$P$8:$Q$15,2,FALSE),0)))</f>
        <v>1</v>
      </c>
      <c r="P462" s="73">
        <f>IF(OR(I462=0,I462=$A$1),0,MIN(O462*M462,1)*K462)</f>
        <v>188.931894499353</v>
      </c>
      <c r="Q462" s="73">
        <f>IF(B462="",0,IF(OR(H462=MappingTables!$C$34,H462=MappingTables!$C$35),P462,0))</f>
        <v>0</v>
      </c>
      <c r="R462" s="73">
        <f>IF(ISNA(IF(AND(VLOOKUP(CONCATENATE($D462,$G462),CSRFinput!$B:$E,4,0)=0,OR(H462=MappingTables!$C$31,H462=MappingTables!$C$32)),1,VLOOKUP(CONCATENATE($D462,$G462),CSRFinput!$B:$E,4,0))),0,IF(AND(VLOOKUP(CONCATENATE($D462,$G462),CSRFinput!$B:$E,4,0)=0,OR(H462=MappingTables!$C$31,H462=MappingTables!$C$32)),1,VLOOKUP(CONCATENATE($D462,$G462),CSRFinput!$B:$E,4,0)))</f>
        <v>0.054776304963434752</v>
      </c>
      <c r="S462" s="73">
        <f>IF(B462="",0,P462*R462)</f>
        <v>10.34899107041604</v>
      </c>
      <c r="T462" s="85">
        <f>IF(B462="",0,IF(OR(H462=MappingTables!$C$34,H462=MappingTables!$C$35),S462,0))</f>
        <v>0</v>
      </c>
    </row>
    <row r="463" spans="2:20" s="0" customFormat="0" ht="15">
      <c r="B463" s="69">
        <v>778660</v>
      </c>
      <c r="C463" s="70" t="s">
        <v>3991</v>
      </c>
      <c r="D463" s="70" t="s">
        <v>1</v>
      </c>
      <c r="E463" s="70" t="s">
        <v>1</v>
      </c>
      <c r="F463" s="70"/>
      <c r="G463" s="70" t="s">
        <v>61</v>
      </c>
      <c r="H463" s="70" t="s">
        <v>178</v>
      </c>
      <c r="I463" s="70" t="s">
        <v>220</v>
      </c>
      <c r="J463" s="71">
        <f>IF(OR(I463=0,I463=""),"unrated",VLOOKUP(I463,MappingTables!$B$19:$C$31,2,FALSE))</f>
        <v>1</v>
      </c>
      <c r="K463" s="72">
        <v>13.719348897022422</v>
      </c>
      <c r="L463" s="70">
        <v>0.0684902790225462</v>
      </c>
      <c r="M463" s="71">
        <f>IF(L463&lt;1,1,L463)</f>
        <v>1</v>
      </c>
      <c r="N463" s="70" t="s">
        <v>3288</v>
      </c>
      <c r="O463" s="71">
        <f>IF(OR(I463=$A$1,I463=0),"",IF(N463=MappingTables!$C$14,VLOOKUP(J463,ModelParameters!$M$8:$N$15,2,FALSE),IF(N463=MappingTables!$C$16,VLOOKUP(J463,ModelParameters!$P$8:$Q$15,2,FALSE),0)))</f>
        <v>0.134</v>
      </c>
      <c r="P463" s="73">
        <f>IF(OR(I463=0,I463=$A$1),0,MIN(O463*M463,1)*K463)</f>
        <v>1.8383927522010048</v>
      </c>
      <c r="Q463" s="73">
        <f>IF(B463="",0,IF(OR(H463=MappingTables!$C$34,H463=MappingTables!$C$35),P463,0))</f>
        <v>0</v>
      </c>
      <c r="R463" s="73">
        <f>IF(ISNA(IF(AND(VLOOKUP(CONCATENATE($D463,$G463),CSRFinput!$B:$E,4,0)=0,OR(H463=MappingTables!$C$31,H463=MappingTables!$C$32)),1,VLOOKUP(CONCATENATE($D463,$G463),CSRFinput!$B:$E,4,0))),0,IF(AND(VLOOKUP(CONCATENATE($D463,$G463),CSRFinput!$B:$E,4,0)=0,OR(H463=MappingTables!$C$31,H463=MappingTables!$C$32)),1,VLOOKUP(CONCATENATE($D463,$G463),CSRFinput!$B:$E,4,0)))</f>
        <v>0.054776304963434752</v>
      </c>
      <c r="S463" s="73">
        <f>IF(B463="",0,P463*R463)</f>
        <v>0.10070036203713038</v>
      </c>
      <c r="T463" s="85">
        <f>IF(B463="",0,IF(OR(H463=MappingTables!$C$34,H463=MappingTables!$C$35),S463,0))</f>
        <v>0</v>
      </c>
    </row>
    <row r="464" spans="2:20" s="0" customFormat="0" ht="15">
      <c r="B464" s="69" t="s">
        <v>3992</v>
      </c>
      <c r="C464" s="70" t="s">
        <v>3993</v>
      </c>
      <c r="D464" s="70" t="s">
        <v>1</v>
      </c>
      <c r="E464" s="70" t="s">
        <v>1</v>
      </c>
      <c r="F464" s="70"/>
      <c r="G464" s="70" t="s">
        <v>61</v>
      </c>
      <c r="H464" s="70" t="s">
        <v>178</v>
      </c>
      <c r="I464" s="70" t="s">
        <v>198</v>
      </c>
      <c r="J464" s="71" t="str">
        <f>IF(OR(I464=0,I464=""),"unrated",VLOOKUP(I464,MappingTables!$B$19:$C$31,2,FALSE))</f>
        <v>unrated</v>
      </c>
      <c r="K464" s="72">
        <v>99.665033100204512</v>
      </c>
      <c r="L464" s="70">
        <v>45.084985224223784</v>
      </c>
      <c r="M464" s="71">
        <f>IF(L464&lt;1,1,L464)</f>
        <v>45.084985224223784</v>
      </c>
      <c r="N464" s="70" t="s">
        <v>3288</v>
      </c>
      <c r="O464" s="71">
        <f>IF(OR(I464=$A$1,I464=0),"",IF(N464=MappingTables!$C$14,VLOOKUP(J464,ModelParameters!$M$8:$N$15,2,FALSE),IF(N464=MappingTables!$C$16,VLOOKUP(J464,ModelParameters!$P$8:$Q$15,2,FALSE),0)))</f>
        <v>1</v>
      </c>
      <c r="P464" s="73">
        <f>IF(OR(I464=0,I464=$A$1),0,MIN(O464*M464,1)*K464)</f>
        <v>99.665033100204512</v>
      </c>
      <c r="Q464" s="73">
        <f>IF(B464="",0,IF(OR(H464=MappingTables!$C$34,H464=MappingTables!$C$35),P464,0))</f>
        <v>0</v>
      </c>
      <c r="R464" s="73">
        <f>IF(ISNA(IF(AND(VLOOKUP(CONCATENATE($D464,$G464),CSRFinput!$B:$E,4,0)=0,OR(H464=MappingTables!$C$31,H464=MappingTables!$C$32)),1,VLOOKUP(CONCATENATE($D464,$G464),CSRFinput!$B:$E,4,0))),0,IF(AND(VLOOKUP(CONCATENATE($D464,$G464),CSRFinput!$B:$E,4,0)=0,OR(H464=MappingTables!$C$31,H464=MappingTables!$C$32)),1,VLOOKUP(CONCATENATE($D464,$G464),CSRFinput!$B:$E,4,0)))</f>
        <v>0.054776304963434752</v>
      </c>
      <c r="S464" s="73">
        <f>IF(B464="",0,P464*R464)</f>
        <v>5.4592822472876216</v>
      </c>
      <c r="T464" s="85">
        <f>IF(B464="",0,IF(OR(H464=MappingTables!$C$34,H464=MappingTables!$C$35),S464,0))</f>
        <v>0</v>
      </c>
    </row>
    <row r="465" spans="2:20" s="0" customFormat="0" ht="15">
      <c r="B465" s="69" t="s">
        <v>3319</v>
      </c>
      <c r="C465" s="70" t="s">
        <v>3320</v>
      </c>
      <c r="D465" s="70" t="s">
        <v>1</v>
      </c>
      <c r="E465" s="70" t="s">
        <v>1</v>
      </c>
      <c r="F465" s="70"/>
      <c r="G465" s="70" t="s">
        <v>61</v>
      </c>
      <c r="H465" s="70" t="s">
        <v>178</v>
      </c>
      <c r="I465" s="70" t="s">
        <v>216</v>
      </c>
      <c r="J465" s="71">
        <f>IF(OR(I465=0,I465=""),"unrated",VLOOKUP(I465,MappingTables!$B$19:$C$31,2,FALSE))</f>
        <v>0</v>
      </c>
      <c r="K465" s="72">
        <v>17.740627147611598</v>
      </c>
      <c r="L465" s="70">
        <v>0.054792211076449376</v>
      </c>
      <c r="M465" s="71">
        <f>IF(L465&lt;1,1,L465)</f>
        <v>1</v>
      </c>
      <c r="N465" s="70" t="s">
        <v>3288</v>
      </c>
      <c r="O465" s="71">
        <f>IF(OR(I465=$A$1,I465=0),"",IF(N465=MappingTables!$C$14,VLOOKUP(J465,ModelParameters!$M$8:$N$15,2,FALSE),IF(N465=MappingTables!$C$16,VLOOKUP(J465,ModelParameters!$P$8:$Q$15,2,FALSE),0)))</f>
        <v>0.125</v>
      </c>
      <c r="P465" s="73">
        <f>IF(OR(I465=0,I465=$A$1),0,MIN(O465*M465,1)*K465)</f>
        <v>2.2175783934514496</v>
      </c>
      <c r="Q465" s="73">
        <f>IF(B465="",0,IF(OR(H465=MappingTables!$C$34,H465=MappingTables!$C$35),P465,0))</f>
        <v>0</v>
      </c>
      <c r="R465" s="73">
        <f>IF(ISNA(IF(AND(VLOOKUP(CONCATENATE($D465,$G465),CSRFinput!$B:$E,4,0)=0,OR(H465=MappingTables!$C$31,H465=MappingTables!$C$32)),1,VLOOKUP(CONCATENATE($D465,$G465),CSRFinput!$B:$E,4,0))),0,IF(AND(VLOOKUP(CONCATENATE($D465,$G465),CSRFinput!$B:$E,4,0)=0,OR(H465=MappingTables!$C$31,H465=MappingTables!$C$32)),1,VLOOKUP(CONCATENATE($D465,$G465),CSRFinput!$B:$E,4,0)))</f>
        <v>0.054776304963434752</v>
      </c>
      <c r="S465" s="73">
        <f>IF(B465="",0,P465*R465)</f>
        <v>0.1214707503600203</v>
      </c>
      <c r="T465" s="85">
        <f>IF(B465="",0,IF(OR(H465=MappingTables!$C$34,H465=MappingTables!$C$35),S465,0))</f>
        <v>0</v>
      </c>
    </row>
    <row r="466" spans="2:20" s="0" customFormat="0" ht="15">
      <c r="B466" s="69">
        <v>22554106</v>
      </c>
      <c r="C466" s="70" t="s">
        <v>3994</v>
      </c>
      <c r="D466" s="70" t="s">
        <v>1</v>
      </c>
      <c r="E466" s="70" t="s">
        <v>1</v>
      </c>
      <c r="F466" s="70"/>
      <c r="G466" s="70" t="s">
        <v>61</v>
      </c>
      <c r="H466" s="70" t="s">
        <v>178</v>
      </c>
      <c r="I466" s="70" t="s">
        <v>216</v>
      </c>
      <c r="J466" s="71">
        <f>IF(OR(I466=0,I466=""),"unrated",VLOOKUP(I466,MappingTables!$B$19:$C$31,2,FALSE))</f>
        <v>0</v>
      </c>
      <c r="K466" s="72">
        <v>27.40157922094234</v>
      </c>
      <c r="L466" s="70">
        <v>0.049416204595356944</v>
      </c>
      <c r="M466" s="71">
        <f>IF(L466&lt;1,1,L466)</f>
        <v>1</v>
      </c>
      <c r="N466" s="70" t="s">
        <v>3288</v>
      </c>
      <c r="O466" s="71">
        <f>IF(OR(I466=$A$1,I466=0),"",IF(N466=MappingTables!$C$14,VLOOKUP(J466,ModelParameters!$M$8:$N$15,2,FALSE),IF(N466=MappingTables!$C$16,VLOOKUP(J466,ModelParameters!$P$8:$Q$15,2,FALSE),0)))</f>
        <v>0.125</v>
      </c>
      <c r="P466" s="73">
        <f>IF(OR(I466=0,I466=$A$1),0,MIN(O466*M466,1)*K466)</f>
        <v>3.4251974026177924</v>
      </c>
      <c r="Q466" s="73">
        <f>IF(B466="",0,IF(OR(H466=MappingTables!$C$34,H466=MappingTables!$C$35),P466,0))</f>
        <v>0</v>
      </c>
      <c r="R466" s="73">
        <f>IF(ISNA(IF(AND(VLOOKUP(CONCATENATE($D466,$G466),CSRFinput!$B:$E,4,0)=0,OR(H466=MappingTables!$C$31,H466=MappingTables!$C$32)),1,VLOOKUP(CONCATENATE($D466,$G466),CSRFinput!$B:$E,4,0))),0,IF(AND(VLOOKUP(CONCATENATE($D466,$G466),CSRFinput!$B:$E,4,0)=0,OR(H466=MappingTables!$C$31,H466=MappingTables!$C$32)),1,VLOOKUP(CONCATENATE($D466,$G466),CSRFinput!$B:$E,4,0)))</f>
        <v>0.054776304963434752</v>
      </c>
      <c r="S466" s="73">
        <f>IF(B466="",0,P466*R466)</f>
        <v>0.1876196574857568</v>
      </c>
      <c r="T466" s="85">
        <f>IF(B466="",0,IF(OR(H466=MappingTables!$C$34,H466=MappingTables!$C$35),S466,0))</f>
        <v>0</v>
      </c>
    </row>
    <row r="467" spans="2:20" s="0" customFormat="0" ht="15">
      <c r="B467" s="69">
        <v>14236674</v>
      </c>
      <c r="C467" s="70" t="s">
        <v>3458</v>
      </c>
      <c r="D467" s="70" t="s">
        <v>1</v>
      </c>
      <c r="E467" s="70" t="s">
        <v>1</v>
      </c>
      <c r="F467" s="70"/>
      <c r="G467" s="70" t="s">
        <v>61</v>
      </c>
      <c r="H467" s="70" t="s">
        <v>178</v>
      </c>
      <c r="I467" s="70" t="s">
        <v>216</v>
      </c>
      <c r="J467" s="71">
        <f>IF(OR(I467=0,I467=""),"unrated",VLOOKUP(I467,MappingTables!$B$19:$C$31,2,FALSE))</f>
        <v>0</v>
      </c>
      <c r="K467" s="72">
        <v>9477.3890305008816</v>
      </c>
      <c r="L467" s="70">
        <v>0.034408943532293928</v>
      </c>
      <c r="M467" s="71">
        <f>IF(L467&lt;1,1,L467)</f>
        <v>1</v>
      </c>
      <c r="N467" s="70" t="s">
        <v>3288</v>
      </c>
      <c r="O467" s="71">
        <f>IF(OR(I467=$A$1,I467=0),"",IF(N467=MappingTables!$C$14,VLOOKUP(J467,ModelParameters!$M$8:$N$15,2,FALSE),IF(N467=MappingTables!$C$16,VLOOKUP(J467,ModelParameters!$P$8:$Q$15,2,FALSE),0)))</f>
        <v>0.125</v>
      </c>
      <c r="P467" s="73">
        <f>IF(OR(I467=0,I467=$A$1),0,MIN(O467*M467,1)*K467)</f>
        <v>1184.6736288126102</v>
      </c>
      <c r="Q467" s="73">
        <f>IF(B467="",0,IF(OR(H467=MappingTables!$C$34,H467=MappingTables!$C$35),P467,0))</f>
        <v>0</v>
      </c>
      <c r="R467" s="73">
        <f>IF(ISNA(IF(AND(VLOOKUP(CONCATENATE($D467,$G467),CSRFinput!$B:$E,4,0)=0,OR(H467=MappingTables!$C$31,H467=MappingTables!$C$32)),1,VLOOKUP(CONCATENATE($D467,$G467),CSRFinput!$B:$E,4,0))),0,IF(AND(VLOOKUP(CONCATENATE($D467,$G467),CSRFinput!$B:$E,4,0)=0,OR(H467=MappingTables!$C$31,H467=MappingTables!$C$32)),1,VLOOKUP(CONCATENATE($D467,$G467),CSRFinput!$B:$E,4,0)))</f>
        <v>0.054776304963434752</v>
      </c>
      <c r="S467" s="73">
        <f>IF(B467="",0,P467*R467)</f>
        <v>64.892043973978432</v>
      </c>
      <c r="T467" s="85">
        <f>IF(B467="",0,IF(OR(H467=MappingTables!$C$34,H467=MappingTables!$C$35),S467,0))</f>
        <v>0</v>
      </c>
    </row>
    <row r="468" spans="2:20" s="0" customFormat="0" ht="15">
      <c r="B468" s="69" t="s">
        <v>3995</v>
      </c>
      <c r="C468" s="70" t="s">
        <v>3996</v>
      </c>
      <c r="D468" s="70" t="s">
        <v>1</v>
      </c>
      <c r="E468" s="70" t="s">
        <v>1</v>
      </c>
      <c r="F468" s="70"/>
      <c r="G468" s="70" t="s">
        <v>61</v>
      </c>
      <c r="H468" s="70" t="s">
        <v>178</v>
      </c>
      <c r="I468" s="70" t="s">
        <v>3298</v>
      </c>
      <c r="J468" s="71">
        <f>IF(OR(I468=0,I468=""),"unrated",VLOOKUP(I468,MappingTables!$B$19:$C$31,2,FALSE))</f>
        <v>6</v>
      </c>
      <c r="K468" s="72">
        <v>959.1504298695568</v>
      </c>
      <c r="L468" s="70">
        <v>-0.067612576189121752</v>
      </c>
      <c r="M468" s="71">
        <f>IF(L468&lt;1,1,L468)</f>
        <v>1</v>
      </c>
      <c r="N468" s="70" t="s">
        <v>3288</v>
      </c>
      <c r="O468" s="71">
        <f>IF(OR(I468=$A$1,I468=0),"",IF(N468=MappingTables!$C$14,VLOOKUP(J468,ModelParameters!$M$8:$N$15,2,FALSE),IF(N468=MappingTables!$C$16,VLOOKUP(J468,ModelParameters!$P$8:$Q$15,2,FALSE),0)))</f>
        <v>1</v>
      </c>
      <c r="P468" s="73">
        <f>IF(OR(I468=0,I468=$A$1),0,MIN(O468*M468,1)*K468)</f>
        <v>959.1504298695568</v>
      </c>
      <c r="Q468" s="73">
        <f>IF(B468="",0,IF(OR(H468=MappingTables!$C$34,H468=MappingTables!$C$35),P468,0))</f>
        <v>0</v>
      </c>
      <c r="R468" s="73">
        <f>IF(ISNA(IF(AND(VLOOKUP(CONCATENATE($D468,$G468),CSRFinput!$B:$E,4,0)=0,OR(H468=MappingTables!$C$31,H468=MappingTables!$C$32)),1,VLOOKUP(CONCATENATE($D468,$G468),CSRFinput!$B:$E,4,0))),0,IF(AND(VLOOKUP(CONCATENATE($D468,$G468),CSRFinput!$B:$E,4,0)=0,OR(H468=MappingTables!$C$31,H468=MappingTables!$C$32)),1,VLOOKUP(CONCATENATE($D468,$G468),CSRFinput!$B:$E,4,0)))</f>
        <v>0.054776304963434752</v>
      </c>
      <c r="S468" s="73">
        <f>IF(B468="",0,P468*R468)</f>
        <v>52.538716452344384</v>
      </c>
      <c r="T468" s="85">
        <f>IF(B468="",0,IF(OR(H468=MappingTables!$C$34,H468=MappingTables!$C$35),S468,0))</f>
        <v>0</v>
      </c>
    </row>
    <row r="469" spans="2:20" s="0" customFormat="0" ht="15">
      <c r="B469" s="69" t="s">
        <v>3997</v>
      </c>
      <c r="C469" s="70" t="s">
        <v>3998</v>
      </c>
      <c r="D469" s="70" t="s">
        <v>1</v>
      </c>
      <c r="E469" s="70" t="s">
        <v>1</v>
      </c>
      <c r="F469" s="70"/>
      <c r="G469" s="70" t="s">
        <v>61</v>
      </c>
      <c r="H469" s="70" t="s">
        <v>178</v>
      </c>
      <c r="I469" s="70" t="s">
        <v>198</v>
      </c>
      <c r="J469" s="71" t="str">
        <f>IF(OR(I469=0,I469=""),"unrated",VLOOKUP(I469,MappingTables!$B$19:$C$31,2,FALSE))</f>
        <v>unrated</v>
      </c>
      <c r="K469" s="72">
        <v>1.3333749782126862</v>
      </c>
      <c r="L469" s="70">
        <v>8.4771244541357152</v>
      </c>
      <c r="M469" s="71">
        <f>IF(L469&lt;1,1,L469)</f>
        <v>8.4771244541357152</v>
      </c>
      <c r="N469" s="70" t="s">
        <v>3288</v>
      </c>
      <c r="O469" s="71">
        <f>IF(OR(I469=$A$1,I469=0),"",IF(N469=MappingTables!$C$14,VLOOKUP(J469,ModelParameters!$M$8:$N$15,2,FALSE),IF(N469=MappingTables!$C$16,VLOOKUP(J469,ModelParameters!$P$8:$Q$15,2,FALSE),0)))</f>
        <v>1</v>
      </c>
      <c r="P469" s="73">
        <f>IF(OR(I469=0,I469=$A$1),0,MIN(O469*M469,1)*K469)</f>
        <v>1.3333749782126862</v>
      </c>
      <c r="Q469" s="73">
        <f>IF(B469="",0,IF(OR(H469=MappingTables!$C$34,H469=MappingTables!$C$35),P469,0))</f>
        <v>0</v>
      </c>
      <c r="R469" s="73">
        <f>IF(ISNA(IF(AND(VLOOKUP(CONCATENATE($D469,$G469),CSRFinput!$B:$E,4,0)=0,OR(H469=MappingTables!$C$31,H469=MappingTables!$C$32)),1,VLOOKUP(CONCATENATE($D469,$G469),CSRFinput!$B:$E,4,0))),0,IF(AND(VLOOKUP(CONCATENATE($D469,$G469),CSRFinput!$B:$E,4,0)=0,OR(H469=MappingTables!$C$31,H469=MappingTables!$C$32)),1,VLOOKUP(CONCATENATE($D469,$G469),CSRFinput!$B:$E,4,0)))</f>
        <v>0.054776304963434752</v>
      </c>
      <c r="S469" s="73">
        <f>IF(B469="",0,P469*R469)</f>
        <v>0.073037354437191264</v>
      </c>
      <c r="T469" s="85">
        <f>IF(B469="",0,IF(OR(H469=MappingTables!$C$34,H469=MappingTables!$C$35),S469,0))</f>
        <v>0</v>
      </c>
    </row>
    <row r="470" spans="2:20" s="0" customFormat="0" ht="15">
      <c r="B470" s="69" t="s">
        <v>3428</v>
      </c>
      <c r="C470" s="70" t="s">
        <v>3429</v>
      </c>
      <c r="D470" s="70" t="s">
        <v>1</v>
      </c>
      <c r="E470" s="70" t="s">
        <v>1</v>
      </c>
      <c r="F470" s="70"/>
      <c r="G470" s="70" t="s">
        <v>61</v>
      </c>
      <c r="H470" s="70" t="s">
        <v>178</v>
      </c>
      <c r="I470" s="70" t="s">
        <v>204</v>
      </c>
      <c r="J470" s="71">
        <f>IF(OR(I470=0,I470=""),"unrated",VLOOKUP(I470,MappingTables!$B$19:$C$31,2,FALSE))</f>
        <v>6</v>
      </c>
      <c r="K470" s="72">
        <v>515.73286552011576</v>
      </c>
      <c r="L470" s="70">
        <v>0.068494811366504384</v>
      </c>
      <c r="M470" s="71">
        <f>IF(L470&lt;1,1,L470)</f>
        <v>1</v>
      </c>
      <c r="N470" s="70" t="s">
        <v>3288</v>
      </c>
      <c r="O470" s="71">
        <f>IF(OR(I470=$A$1,I470=0),"",IF(N470=MappingTables!$C$14,VLOOKUP(J470,ModelParameters!$M$8:$N$15,2,FALSE),IF(N470=MappingTables!$C$16,VLOOKUP(J470,ModelParameters!$P$8:$Q$15,2,FALSE),0)))</f>
        <v>1</v>
      </c>
      <c r="P470" s="73">
        <f>IF(OR(I470=0,I470=$A$1),0,MIN(O470*M470,1)*K470)</f>
        <v>515.73286552011576</v>
      </c>
      <c r="Q470" s="73">
        <f>IF(B470="",0,IF(OR(H470=MappingTables!$C$34,H470=MappingTables!$C$35),P470,0))</f>
        <v>0</v>
      </c>
      <c r="R470" s="73">
        <f>IF(ISNA(IF(AND(VLOOKUP(CONCATENATE($D470,$G470),CSRFinput!$B:$E,4,0)=0,OR(H470=MappingTables!$C$31,H470=MappingTables!$C$32)),1,VLOOKUP(CONCATENATE($D470,$G470),CSRFinput!$B:$E,4,0))),0,IF(AND(VLOOKUP(CONCATENATE($D470,$G470),CSRFinput!$B:$E,4,0)=0,OR(H470=MappingTables!$C$31,H470=MappingTables!$C$32)),1,VLOOKUP(CONCATENATE($D470,$G470),CSRFinput!$B:$E,4,0)))</f>
        <v>0.054776304963434752</v>
      </c>
      <c r="S470" s="73">
        <f>IF(B470="",0,P470*R470)</f>
        <v>28.249940721395944</v>
      </c>
      <c r="T470" s="85">
        <f>IF(B470="",0,IF(OR(H470=MappingTables!$C$34,H470=MappingTables!$C$35),S470,0))</f>
        <v>0</v>
      </c>
    </row>
    <row r="471" spans="2:20" s="0" customFormat="0" ht="15">
      <c r="B471" s="69">
        <v>22554110</v>
      </c>
      <c r="C471" s="70" t="s">
        <v>3999</v>
      </c>
      <c r="D471" s="70" t="s">
        <v>1</v>
      </c>
      <c r="E471" s="70" t="s">
        <v>1</v>
      </c>
      <c r="F471" s="70"/>
      <c r="G471" s="70" t="s">
        <v>61</v>
      </c>
      <c r="H471" s="70" t="s">
        <v>178</v>
      </c>
      <c r="I471" s="70" t="s">
        <v>216</v>
      </c>
      <c r="J471" s="71">
        <f>IF(OR(I471=0,I471=""),"unrated",VLOOKUP(I471,MappingTables!$B$19:$C$31,2,FALSE))</f>
        <v>0</v>
      </c>
      <c r="K471" s="72">
        <v>23.476766133417264</v>
      </c>
      <c r="L471" s="70">
        <v>0.013772485634257004</v>
      </c>
      <c r="M471" s="71">
        <f>IF(L471&lt;1,1,L471)</f>
        <v>1</v>
      </c>
      <c r="N471" s="70" t="s">
        <v>3288</v>
      </c>
      <c r="O471" s="71">
        <f>IF(OR(I471=$A$1,I471=0),"",IF(N471=MappingTables!$C$14,VLOOKUP(J471,ModelParameters!$M$8:$N$15,2,FALSE),IF(N471=MappingTables!$C$16,VLOOKUP(J471,ModelParameters!$P$8:$Q$15,2,FALSE),0)))</f>
        <v>0.125</v>
      </c>
      <c r="P471" s="73">
        <f>IF(OR(I471=0,I471=$A$1),0,MIN(O471*M471,1)*K471)</f>
        <v>2.934595766677158</v>
      </c>
      <c r="Q471" s="73">
        <f>IF(B471="",0,IF(OR(H471=MappingTables!$C$34,H471=MappingTables!$C$35),P471,0))</f>
        <v>0</v>
      </c>
      <c r="R471" s="73">
        <f>IF(ISNA(IF(AND(VLOOKUP(CONCATENATE($D471,$G471),CSRFinput!$B:$E,4,0)=0,OR(H471=MappingTables!$C$31,H471=MappingTables!$C$32)),1,VLOOKUP(CONCATENATE($D471,$G471),CSRFinput!$B:$E,4,0))),0,IF(AND(VLOOKUP(CONCATENATE($D471,$G471),CSRFinput!$B:$E,4,0)=0,OR(H471=MappingTables!$C$31,H471=MappingTables!$C$32)),1,VLOOKUP(CONCATENATE($D471,$G471),CSRFinput!$B:$E,4,0)))</f>
        <v>0.054776304963434752</v>
      </c>
      <c r="S471" s="73">
        <f>IF(B471="",0,P471*R471)</f>
        <v>0.16074631265991262</v>
      </c>
      <c r="T471" s="85">
        <f>IF(B471="",0,IF(OR(H471=MappingTables!$C$34,H471=MappingTables!$C$35),S471,0))</f>
        <v>0</v>
      </c>
    </row>
    <row r="472" spans="2:20" s="0" customFormat="0" ht="15">
      <c r="B472" s="69" t="s">
        <v>3417</v>
      </c>
      <c r="C472" s="70" t="s">
        <v>3418</v>
      </c>
      <c r="D472" s="70" t="s">
        <v>1</v>
      </c>
      <c r="E472" s="70" t="s">
        <v>1</v>
      </c>
      <c r="F472" s="70"/>
      <c r="G472" s="70" t="s">
        <v>61</v>
      </c>
      <c r="H472" s="70" t="s">
        <v>178</v>
      </c>
      <c r="I472" s="70" t="s">
        <v>204</v>
      </c>
      <c r="J472" s="71">
        <f>IF(OR(I472=0,I472=""),"unrated",VLOOKUP(I472,MappingTables!$B$19:$C$31,2,FALSE))</f>
        <v>6</v>
      </c>
      <c r="K472" s="72">
        <v>33.789200919589268</v>
      </c>
      <c r="L472" s="70">
        <v>0.068495152674364344</v>
      </c>
      <c r="M472" s="71">
        <f>IF(L472&lt;1,1,L472)</f>
        <v>1</v>
      </c>
      <c r="N472" s="70" t="s">
        <v>3288</v>
      </c>
      <c r="O472" s="71">
        <f>IF(OR(I472=$A$1,I472=0),"",IF(N472=MappingTables!$C$14,VLOOKUP(J472,ModelParameters!$M$8:$N$15,2,FALSE),IF(N472=MappingTables!$C$16,VLOOKUP(J472,ModelParameters!$P$8:$Q$15,2,FALSE),0)))</f>
        <v>1</v>
      </c>
      <c r="P472" s="73">
        <f>IF(OR(I472=0,I472=$A$1),0,MIN(O472*M472,1)*K472)</f>
        <v>33.789200919589268</v>
      </c>
      <c r="Q472" s="73">
        <f>IF(B472="",0,IF(OR(H472=MappingTables!$C$34,H472=MappingTables!$C$35),P472,0))</f>
        <v>0</v>
      </c>
      <c r="R472" s="73">
        <f>IF(ISNA(IF(AND(VLOOKUP(CONCATENATE($D472,$G472),CSRFinput!$B:$E,4,0)=0,OR(H472=MappingTables!$C$31,H472=MappingTables!$C$32)),1,VLOOKUP(CONCATENATE($D472,$G472),CSRFinput!$B:$E,4,0))),0,IF(AND(VLOOKUP(CONCATENATE($D472,$G472),CSRFinput!$B:$E,4,0)=0,OR(H472=MappingTables!$C$31,H472=MappingTables!$C$32)),1,VLOOKUP(CONCATENATE($D472,$G472),CSRFinput!$B:$E,4,0)))</f>
        <v>0.054776304963434752</v>
      </c>
      <c r="S472" s="73">
        <f>IF(B472="",0,P472*R472)</f>
        <v>1.850847574042192</v>
      </c>
      <c r="T472" s="85">
        <f>IF(B472="",0,IF(OR(H472=MappingTables!$C$34,H472=MappingTables!$C$35),S472,0))</f>
        <v>0</v>
      </c>
    </row>
    <row r="473" spans="2:20" s="0" customFormat="0" ht="15">
      <c r="B473" s="69" t="s">
        <v>4000</v>
      </c>
      <c r="C473" s="70" t="s">
        <v>4001</v>
      </c>
      <c r="D473" s="70" t="s">
        <v>1</v>
      </c>
      <c r="E473" s="70" t="s">
        <v>1</v>
      </c>
      <c r="F473" s="70"/>
      <c r="G473" s="70" t="s">
        <v>61</v>
      </c>
      <c r="H473" s="70" t="s">
        <v>178</v>
      </c>
      <c r="I473" s="70" t="s">
        <v>3298</v>
      </c>
      <c r="J473" s="71">
        <f>IF(OR(I473=0,I473=""),"unrated",VLOOKUP(I473,MappingTables!$B$19:$C$31,2,FALSE))</f>
        <v>6</v>
      </c>
      <c r="K473" s="72">
        <v>105.00799488090616</v>
      </c>
      <c r="L473" s="70">
        <v>0.04984874888211328</v>
      </c>
      <c r="M473" s="71">
        <f>IF(L473&lt;1,1,L473)</f>
        <v>1</v>
      </c>
      <c r="N473" s="70" t="s">
        <v>3288</v>
      </c>
      <c r="O473" s="71">
        <f>IF(OR(I473=$A$1,I473=0),"",IF(N473=MappingTables!$C$14,VLOOKUP(J473,ModelParameters!$M$8:$N$15,2,FALSE),IF(N473=MappingTables!$C$16,VLOOKUP(J473,ModelParameters!$P$8:$Q$15,2,FALSE),0)))</f>
        <v>1</v>
      </c>
      <c r="P473" s="73">
        <f>IF(OR(I473=0,I473=$A$1),0,MIN(O473*M473,1)*K473)</f>
        <v>105.00799488090616</v>
      </c>
      <c r="Q473" s="73">
        <f>IF(B473="",0,IF(OR(H473=MappingTables!$C$34,H473=MappingTables!$C$35),P473,0))</f>
        <v>0</v>
      </c>
      <c r="R473" s="73">
        <f>IF(ISNA(IF(AND(VLOOKUP(CONCATENATE($D473,$G473),CSRFinput!$B:$E,4,0)=0,OR(H473=MappingTables!$C$31,H473=MappingTables!$C$32)),1,VLOOKUP(CONCATENATE($D473,$G473),CSRFinput!$B:$E,4,0))),0,IF(AND(VLOOKUP(CONCATENATE($D473,$G473),CSRFinput!$B:$E,4,0)=0,OR(H473=MappingTables!$C$31,H473=MappingTables!$C$32)),1,VLOOKUP(CONCATENATE($D473,$G473),CSRFinput!$B:$E,4,0)))</f>
        <v>0.054776304963434752</v>
      </c>
      <c r="S473" s="73">
        <f>IF(B473="",0,P473*R473)</f>
        <v>5.751949951195312</v>
      </c>
      <c r="T473" s="85">
        <f>IF(B473="",0,IF(OR(H473=MappingTables!$C$34,H473=MappingTables!$C$35),S473,0))</f>
        <v>0</v>
      </c>
    </row>
    <row r="474" spans="2:20" s="0" customFormat="0" ht="15">
      <c r="B474" s="69">
        <v>22623662</v>
      </c>
      <c r="C474" s="70" t="s">
        <v>4002</v>
      </c>
      <c r="D474" s="70" t="s">
        <v>1</v>
      </c>
      <c r="E474" s="70" t="s">
        <v>1</v>
      </c>
      <c r="F474" s="70"/>
      <c r="G474" s="70" t="s">
        <v>61</v>
      </c>
      <c r="H474" s="70" t="s">
        <v>178</v>
      </c>
      <c r="I474" s="70" t="s">
        <v>3291</v>
      </c>
      <c r="J474" s="71">
        <f>IF(OR(I474=0,I474=""),"unrated",VLOOKUP(I474,MappingTables!$B$19:$C$31,2,FALSE))</f>
        <v>6</v>
      </c>
      <c r="K474" s="72">
        <v>581.53527889051688</v>
      </c>
      <c r="L474" s="70">
        <v>0.06849127769296848</v>
      </c>
      <c r="M474" s="71">
        <f>IF(L474&lt;1,1,L474)</f>
        <v>1</v>
      </c>
      <c r="N474" s="70" t="s">
        <v>3288</v>
      </c>
      <c r="O474" s="71">
        <f>IF(OR(I474=$A$1,I474=0),"",IF(N474=MappingTables!$C$14,VLOOKUP(J474,ModelParameters!$M$8:$N$15,2,FALSE),IF(N474=MappingTables!$C$16,VLOOKUP(J474,ModelParameters!$P$8:$Q$15,2,FALSE),0)))</f>
        <v>1</v>
      </c>
      <c r="P474" s="73">
        <f>IF(OR(I474=0,I474=$A$1),0,MIN(O474*M474,1)*K474)</f>
        <v>581.53527889051688</v>
      </c>
      <c r="Q474" s="73">
        <f>IF(B474="",0,IF(OR(H474=MappingTables!$C$34,H474=MappingTables!$C$35),P474,0))</f>
        <v>0</v>
      </c>
      <c r="R474" s="73">
        <f>IF(ISNA(IF(AND(VLOOKUP(CONCATENATE($D474,$G474),CSRFinput!$B:$E,4,0)=0,OR(H474=MappingTables!$C$31,H474=MappingTables!$C$32)),1,VLOOKUP(CONCATENATE($D474,$G474),CSRFinput!$B:$E,4,0))),0,IF(AND(VLOOKUP(CONCATENATE($D474,$G474),CSRFinput!$B:$E,4,0)=0,OR(H474=MappingTables!$C$31,H474=MappingTables!$C$32)),1,VLOOKUP(CONCATENATE($D474,$G474),CSRFinput!$B:$E,4,0)))</f>
        <v>0.054776304963434752</v>
      </c>
      <c r="S474" s="73">
        <f>IF(B474="",0,P474*R474)</f>
        <v>31.854353783503036</v>
      </c>
      <c r="T474" s="85">
        <f>IF(B474="",0,IF(OR(H474=MappingTables!$C$34,H474=MappingTables!$C$35),S474,0))</f>
        <v>0</v>
      </c>
    </row>
    <row r="475" spans="2:20" s="0" customFormat="0" ht="15">
      <c r="B475" s="69" t="s">
        <v>4003</v>
      </c>
      <c r="C475" s="70" t="s">
        <v>4004</v>
      </c>
      <c r="D475" s="70" t="s">
        <v>1</v>
      </c>
      <c r="E475" s="70" t="s">
        <v>1</v>
      </c>
      <c r="F475" s="70"/>
      <c r="G475" s="70" t="s">
        <v>61</v>
      </c>
      <c r="H475" s="70" t="s">
        <v>178</v>
      </c>
      <c r="I475" s="70" t="s">
        <v>3298</v>
      </c>
      <c r="J475" s="71">
        <f>IF(OR(I475=0,I475=""),"unrated",VLOOKUP(I475,MappingTables!$B$19:$C$31,2,FALSE))</f>
        <v>6</v>
      </c>
      <c r="K475" s="72">
        <v>7209.9862768091408</v>
      </c>
      <c r="L475" s="70">
        <v>0.06849494917184956</v>
      </c>
      <c r="M475" s="71">
        <f>IF(L475&lt;1,1,L475)</f>
        <v>1</v>
      </c>
      <c r="N475" s="70" t="s">
        <v>3288</v>
      </c>
      <c r="O475" s="71">
        <f>IF(OR(I475=$A$1,I475=0),"",IF(N475=MappingTables!$C$14,VLOOKUP(J475,ModelParameters!$M$8:$N$15,2,FALSE),IF(N475=MappingTables!$C$16,VLOOKUP(J475,ModelParameters!$P$8:$Q$15,2,FALSE),0)))</f>
        <v>1</v>
      </c>
      <c r="P475" s="73">
        <f>IF(OR(I475=0,I475=$A$1),0,MIN(O475*M475,1)*K475)</f>
        <v>7209.9862768091408</v>
      </c>
      <c r="Q475" s="73">
        <f>IF(B475="",0,IF(OR(H475=MappingTables!$C$34,H475=MappingTables!$C$35),P475,0))</f>
        <v>0</v>
      </c>
      <c r="R475" s="73">
        <f>IF(ISNA(IF(AND(VLOOKUP(CONCATENATE($D475,$G475),CSRFinput!$B:$E,4,0)=0,OR(H475=MappingTables!$C$31,H475=MappingTables!$C$32)),1,VLOOKUP(CONCATENATE($D475,$G475),CSRFinput!$B:$E,4,0))),0,IF(AND(VLOOKUP(CONCATENATE($D475,$G475),CSRFinput!$B:$E,4,0)=0,OR(H475=MappingTables!$C$31,H475=MappingTables!$C$32)),1,VLOOKUP(CONCATENATE($D475,$G475),CSRFinput!$B:$E,4,0)))</f>
        <v>0.054776304963434752</v>
      </c>
      <c r="S475" s="73">
        <f>IF(B475="",0,P475*R475)</f>
        <v>394.93640708067696</v>
      </c>
      <c r="T475" s="85">
        <f>IF(B475="",0,IF(OR(H475=MappingTables!$C$34,H475=MappingTables!$C$35),S475,0))</f>
        <v>0</v>
      </c>
    </row>
    <row r="476" spans="2:20" s="0" customFormat="0" ht="15">
      <c r="B476" s="69" t="s">
        <v>4005</v>
      </c>
      <c r="C476" s="70" t="s">
        <v>4006</v>
      </c>
      <c r="D476" s="70" t="s">
        <v>1</v>
      </c>
      <c r="E476" s="70" t="s">
        <v>1</v>
      </c>
      <c r="F476" s="70"/>
      <c r="G476" s="70" t="s">
        <v>61</v>
      </c>
      <c r="H476" s="70" t="s">
        <v>178</v>
      </c>
      <c r="I476" s="70" t="s">
        <v>198</v>
      </c>
      <c r="J476" s="71" t="str">
        <f>IF(OR(I476=0,I476=""),"unrated",VLOOKUP(I476,MappingTables!$B$19:$C$31,2,FALSE))</f>
        <v>unrated</v>
      </c>
      <c r="K476" s="72">
        <v>2356.327268453988</v>
      </c>
      <c r="L476" s="70">
        <v>9.8698495461899792</v>
      </c>
      <c r="M476" s="71">
        <f>IF(L476&lt;1,1,L476)</f>
        <v>9.8698495461899792</v>
      </c>
      <c r="N476" s="70" t="s">
        <v>3288</v>
      </c>
      <c r="O476" s="71">
        <f>IF(OR(I476=$A$1,I476=0),"",IF(N476=MappingTables!$C$14,VLOOKUP(J476,ModelParameters!$M$8:$N$15,2,FALSE),IF(N476=MappingTables!$C$16,VLOOKUP(J476,ModelParameters!$P$8:$Q$15,2,FALSE),0)))</f>
        <v>1</v>
      </c>
      <c r="P476" s="73">
        <f>IF(OR(I476=0,I476=$A$1),0,MIN(O476*M476,1)*K476)</f>
        <v>2356.327268453988</v>
      </c>
      <c r="Q476" s="73">
        <f>IF(B476="",0,IF(OR(H476=MappingTables!$C$34,H476=MappingTables!$C$35),P476,0))</f>
        <v>0</v>
      </c>
      <c r="R476" s="73">
        <f>IF(ISNA(IF(AND(VLOOKUP(CONCATENATE($D476,$G476),CSRFinput!$B:$E,4,0)=0,OR(H476=MappingTables!$C$31,H476=MappingTables!$C$32)),1,VLOOKUP(CONCATENATE($D476,$G476),CSRFinput!$B:$E,4,0))),0,IF(AND(VLOOKUP(CONCATENATE($D476,$G476),CSRFinput!$B:$E,4,0)=0,OR(H476=MappingTables!$C$31,H476=MappingTables!$C$32)),1,VLOOKUP(CONCATENATE($D476,$G476),CSRFinput!$B:$E,4,0)))</f>
        <v>0.054776304963434752</v>
      </c>
      <c r="S476" s="73">
        <f>IF(B476="",0,P476*R476)</f>
        <v>129.07090105049284</v>
      </c>
      <c r="T476" s="85">
        <f>IF(B476="",0,IF(OR(H476=MappingTables!$C$34,H476=MappingTables!$C$35),S476,0))</f>
        <v>0</v>
      </c>
    </row>
    <row r="477" spans="2:20" s="0" customFormat="0" ht="15">
      <c r="B477" s="69" t="s">
        <v>4007</v>
      </c>
      <c r="C477" s="70" t="s">
        <v>4008</v>
      </c>
      <c r="D477" s="70" t="s">
        <v>1</v>
      </c>
      <c r="E477" s="70" t="s">
        <v>1</v>
      </c>
      <c r="F477" s="70"/>
      <c r="G477" s="70" t="s">
        <v>61</v>
      </c>
      <c r="H477" s="70" t="s">
        <v>178</v>
      </c>
      <c r="I477" s="70" t="s">
        <v>184</v>
      </c>
      <c r="J477" s="71">
        <f>IF(OR(I477=0,I477=""),"unrated",VLOOKUP(I477,MappingTables!$B$19:$C$31,2,FALSE))</f>
        <v>5</v>
      </c>
      <c r="K477" s="72">
        <v>776.7301289513672</v>
      </c>
      <c r="L477" s="70">
        <v>0.068494150732180584</v>
      </c>
      <c r="M477" s="71">
        <f>IF(L477&lt;1,1,L477)</f>
        <v>1</v>
      </c>
      <c r="N477" s="70" t="s">
        <v>3288</v>
      </c>
      <c r="O477" s="71">
        <f>IF(OR(I477=$A$1,I477=0),"",IF(N477=MappingTables!$C$14,VLOOKUP(J477,ModelParameters!$M$8:$N$15,2,FALSE),IF(N477=MappingTables!$C$16,VLOOKUP(J477,ModelParameters!$P$8:$Q$15,2,FALSE),0)))</f>
        <v>1</v>
      </c>
      <c r="P477" s="73">
        <f>IF(OR(I477=0,I477=$A$1),0,MIN(O477*M477,1)*K477)</f>
        <v>776.7301289513672</v>
      </c>
      <c r="Q477" s="73">
        <f>IF(B477="",0,IF(OR(H477=MappingTables!$C$34,H477=MappingTables!$C$35),P477,0))</f>
        <v>0</v>
      </c>
      <c r="R477" s="73">
        <f>IF(ISNA(IF(AND(VLOOKUP(CONCATENATE($D477,$G477),CSRFinput!$B:$E,4,0)=0,OR(H477=MappingTables!$C$31,H477=MappingTables!$C$32)),1,VLOOKUP(CONCATENATE($D477,$G477),CSRFinput!$B:$E,4,0))),0,IF(AND(VLOOKUP(CONCATENATE($D477,$G477),CSRFinput!$B:$E,4,0)=0,OR(H477=MappingTables!$C$31,H477=MappingTables!$C$32)),1,VLOOKUP(CONCATENATE($D477,$G477),CSRFinput!$B:$E,4,0)))</f>
        <v>0.054776304963434752</v>
      </c>
      <c r="S477" s="73">
        <f>IF(B477="",0,P477*R477)</f>
        <v>42.546406417728096</v>
      </c>
      <c r="T477" s="85">
        <f>IF(B477="",0,IF(OR(H477=MappingTables!$C$34,H477=MappingTables!$C$35),S477,0))</f>
        <v>0</v>
      </c>
    </row>
    <row r="478" spans="2:20" s="0" customFormat="0" ht="15">
      <c r="B478" s="69" t="s">
        <v>4009</v>
      </c>
      <c r="C478" s="70" t="s">
        <v>4010</v>
      </c>
      <c r="D478" s="70" t="s">
        <v>1</v>
      </c>
      <c r="E478" s="70" t="s">
        <v>1</v>
      </c>
      <c r="F478" s="70"/>
      <c r="G478" s="70" t="s">
        <v>61</v>
      </c>
      <c r="H478" s="70" t="s">
        <v>178</v>
      </c>
      <c r="I478" s="70" t="s">
        <v>198</v>
      </c>
      <c r="J478" s="71" t="str">
        <f>IF(OR(I478=0,I478=""),"unrated",VLOOKUP(I478,MappingTables!$B$19:$C$31,2,FALSE))</f>
        <v>unrated</v>
      </c>
      <c r="K478" s="72">
        <v>151.7067167639037</v>
      </c>
      <c r="L478" s="70">
        <v>0.06849097433522676</v>
      </c>
      <c r="M478" s="71">
        <f>IF(L478&lt;1,1,L478)</f>
        <v>1</v>
      </c>
      <c r="N478" s="70" t="s">
        <v>3288</v>
      </c>
      <c r="O478" s="71">
        <f>IF(OR(I478=$A$1,I478=0),"",IF(N478=MappingTables!$C$14,VLOOKUP(J478,ModelParameters!$M$8:$N$15,2,FALSE),IF(N478=MappingTables!$C$16,VLOOKUP(J478,ModelParameters!$P$8:$Q$15,2,FALSE),0)))</f>
        <v>1</v>
      </c>
      <c r="P478" s="73">
        <f>IF(OR(I478=0,I478=$A$1),0,MIN(O478*M478,1)*K478)</f>
        <v>151.7067167639037</v>
      </c>
      <c r="Q478" s="73">
        <f>IF(B478="",0,IF(OR(H478=MappingTables!$C$34,H478=MappingTables!$C$35),P478,0))</f>
        <v>0</v>
      </c>
      <c r="R478" s="73">
        <f>IF(ISNA(IF(AND(VLOOKUP(CONCATENATE($D478,$G478),CSRFinput!$B:$E,4,0)=0,OR(H478=MappingTables!$C$31,H478=MappingTables!$C$32)),1,VLOOKUP(CONCATENATE($D478,$G478),CSRFinput!$B:$E,4,0))),0,IF(AND(VLOOKUP(CONCATENATE($D478,$G478),CSRFinput!$B:$E,4,0)=0,OR(H478=MappingTables!$C$31,H478=MappingTables!$C$32)),1,VLOOKUP(CONCATENATE($D478,$G478),CSRFinput!$B:$E,4,0)))</f>
        <v>0.054776304963434752</v>
      </c>
      <c r="S478" s="73">
        <f>IF(B478="",0,P478*R478)</f>
        <v>8.309933382461008</v>
      </c>
      <c r="T478" s="85">
        <f>IF(B478="",0,IF(OR(H478=MappingTables!$C$34,H478=MappingTables!$C$35),S478,0))</f>
        <v>0</v>
      </c>
    </row>
    <row r="479" spans="2:20" s="0" customFormat="0" ht="15">
      <c r="B479" s="69">
        <v>22554418</v>
      </c>
      <c r="C479" s="70" t="s">
        <v>4011</v>
      </c>
      <c r="D479" s="70" t="s">
        <v>1</v>
      </c>
      <c r="E479" s="70" t="s">
        <v>1</v>
      </c>
      <c r="F479" s="70"/>
      <c r="G479" s="70" t="s">
        <v>61</v>
      </c>
      <c r="H479" s="70" t="s">
        <v>178</v>
      </c>
      <c r="I479" s="70" t="s">
        <v>216</v>
      </c>
      <c r="J479" s="71">
        <f>IF(OR(I479=0,I479=""),"unrated",VLOOKUP(I479,MappingTables!$B$19:$C$31,2,FALSE))</f>
        <v>0</v>
      </c>
      <c r="K479" s="72">
        <v>121.78111692254898</v>
      </c>
      <c r="L479" s="70">
        <v>2.5656078191492284</v>
      </c>
      <c r="M479" s="71">
        <f>IF(L479&lt;1,1,L479)</f>
        <v>2.5656078191492284</v>
      </c>
      <c r="N479" s="70" t="s">
        <v>3288</v>
      </c>
      <c r="O479" s="71">
        <f>IF(OR(I479=$A$1,I479=0),"",IF(N479=MappingTables!$C$14,VLOOKUP(J479,ModelParameters!$M$8:$N$15,2,FALSE),IF(N479=MappingTables!$C$16,VLOOKUP(J479,ModelParameters!$P$8:$Q$15,2,FALSE),0)))</f>
        <v>0.125</v>
      </c>
      <c r="P479" s="73">
        <f>IF(OR(I479=0,I479=$A$1),0,MIN(O479*M479,1)*K479)</f>
        <v>39.055323225152256</v>
      </c>
      <c r="Q479" s="73">
        <f>IF(B479="",0,IF(OR(H479=MappingTables!$C$34,H479=MappingTables!$C$35),P479,0))</f>
        <v>0</v>
      </c>
      <c r="R479" s="73">
        <f>IF(ISNA(IF(AND(VLOOKUP(CONCATENATE($D479,$G479),CSRFinput!$B:$E,4,0)=0,OR(H479=MappingTables!$C$31,H479=MappingTables!$C$32)),1,VLOOKUP(CONCATENATE($D479,$G479),CSRFinput!$B:$E,4,0))),0,IF(AND(VLOOKUP(CONCATENATE($D479,$G479),CSRFinput!$B:$E,4,0)=0,OR(H479=MappingTables!$C$31,H479=MappingTables!$C$32)),1,VLOOKUP(CONCATENATE($D479,$G479),CSRFinput!$B:$E,4,0)))</f>
        <v>0.054776304963434752</v>
      </c>
      <c r="S479" s="73">
        <f>IF(B479="",0,P479*R479)</f>
        <v>2.139306295426456</v>
      </c>
      <c r="T479" s="85">
        <f>IF(B479="",0,IF(OR(H479=MappingTables!$C$34,H479=MappingTables!$C$35),S479,0))</f>
        <v>0</v>
      </c>
    </row>
    <row r="480" spans="2:20" s="0" customFormat="0" ht="15">
      <c r="B480" s="69">
        <v>1928022</v>
      </c>
      <c r="C480" s="70" t="s">
        <v>4012</v>
      </c>
      <c r="D480" s="70" t="s">
        <v>1</v>
      </c>
      <c r="E480" s="70" t="s">
        <v>1</v>
      </c>
      <c r="F480" s="70"/>
      <c r="G480" s="70" t="s">
        <v>61</v>
      </c>
      <c r="H480" s="70" t="s">
        <v>178</v>
      </c>
      <c r="I480" s="70" t="s">
        <v>188</v>
      </c>
      <c r="J480" s="71">
        <f>IF(OR(I480=0,I480=""),"unrated",VLOOKUP(I480,MappingTables!$B$19:$C$31,2,FALSE))</f>
        <v>2</v>
      </c>
      <c r="K480" s="72">
        <v>23.510838658596108</v>
      </c>
      <c r="L480" s="70">
        <v>0.068491651480473704</v>
      </c>
      <c r="M480" s="71">
        <f>IF(L480&lt;1,1,L480)</f>
        <v>1</v>
      </c>
      <c r="N480" s="70" t="s">
        <v>3288</v>
      </c>
      <c r="O480" s="71">
        <f>IF(OR(I480=$A$1,I480=0),"",IF(N480=MappingTables!$C$14,VLOOKUP(J480,ModelParameters!$M$8:$N$15,2,FALSE),IF(N480=MappingTables!$C$16,VLOOKUP(J480,ModelParameters!$P$8:$Q$15,2,FALSE),0)))</f>
        <v>0.166</v>
      </c>
      <c r="P480" s="73">
        <f>IF(OR(I480=0,I480=$A$1),0,MIN(O480*M480,1)*K480)</f>
        <v>3.9027992173269544</v>
      </c>
      <c r="Q480" s="73">
        <f>IF(B480="",0,IF(OR(H480=MappingTables!$C$34,H480=MappingTables!$C$35),P480,0))</f>
        <v>0</v>
      </c>
      <c r="R480" s="73">
        <f>IF(ISNA(IF(AND(VLOOKUP(CONCATENATE($D480,$G480),CSRFinput!$B:$E,4,0)=0,OR(H480=MappingTables!$C$31,H480=MappingTables!$C$32)),1,VLOOKUP(CONCATENATE($D480,$G480),CSRFinput!$B:$E,4,0))),0,IF(AND(VLOOKUP(CONCATENATE($D480,$G480),CSRFinput!$B:$E,4,0)=0,OR(H480=MappingTables!$C$31,H480=MappingTables!$C$32)),1,VLOOKUP(CONCATENATE($D480,$G480),CSRFinput!$B:$E,4,0)))</f>
        <v>0.054776304963434752</v>
      </c>
      <c r="S480" s="73">
        <f>IF(B480="",0,P480*R480)</f>
        <v>0.21378092013935572</v>
      </c>
      <c r="T480" s="85">
        <f>IF(B480="",0,IF(OR(H480=MappingTables!$C$34,H480=MappingTables!$C$35),S480,0))</f>
        <v>0</v>
      </c>
    </row>
    <row r="481" spans="2:20" s="0" customFormat="0" ht="15">
      <c r="B481" s="69">
        <v>17619874</v>
      </c>
      <c r="C481" s="70" t="s">
        <v>4013</v>
      </c>
      <c r="D481" s="70" t="s">
        <v>1</v>
      </c>
      <c r="E481" s="70" t="s">
        <v>1</v>
      </c>
      <c r="F481" s="70"/>
      <c r="G481" s="70" t="s">
        <v>61</v>
      </c>
      <c r="H481" s="70" t="s">
        <v>178</v>
      </c>
      <c r="I481" s="70" t="s">
        <v>216</v>
      </c>
      <c r="J481" s="71">
        <f>IF(OR(I481=0,I481=""),"unrated",VLOOKUP(I481,MappingTables!$B$19:$C$31,2,FALSE))</f>
        <v>0</v>
      </c>
      <c r="K481" s="72">
        <v>888.56428743525696</v>
      </c>
      <c r="L481" s="70">
        <v>0.038151996281008304</v>
      </c>
      <c r="M481" s="71">
        <f>IF(L481&lt;1,1,L481)</f>
        <v>1</v>
      </c>
      <c r="N481" s="70" t="s">
        <v>3288</v>
      </c>
      <c r="O481" s="71">
        <f>IF(OR(I481=$A$1,I481=0),"",IF(N481=MappingTables!$C$14,VLOOKUP(J481,ModelParameters!$M$8:$N$15,2,FALSE),IF(N481=MappingTables!$C$16,VLOOKUP(J481,ModelParameters!$P$8:$Q$15,2,FALSE),0)))</f>
        <v>0.125</v>
      </c>
      <c r="P481" s="73">
        <f>IF(OR(I481=0,I481=$A$1),0,MIN(O481*M481,1)*K481)</f>
        <v>111.07053592940712</v>
      </c>
      <c r="Q481" s="73">
        <f>IF(B481="",0,IF(OR(H481=MappingTables!$C$34,H481=MappingTables!$C$35),P481,0))</f>
        <v>0</v>
      </c>
      <c r="R481" s="73">
        <f>IF(ISNA(IF(AND(VLOOKUP(CONCATENATE($D481,$G481),CSRFinput!$B:$E,4,0)=0,OR(H481=MappingTables!$C$31,H481=MappingTables!$C$32)),1,VLOOKUP(CONCATENATE($D481,$G481),CSRFinput!$B:$E,4,0))),0,IF(AND(VLOOKUP(CONCATENATE($D481,$G481),CSRFinput!$B:$E,4,0)=0,OR(H481=MappingTables!$C$31,H481=MappingTables!$C$32)),1,VLOOKUP(CONCATENATE($D481,$G481),CSRFinput!$B:$E,4,0)))</f>
        <v>0.054776304963434752</v>
      </c>
      <c r="S481" s="73">
        <f>IF(B481="",0,P481*R481)</f>
        <v>6.0840335485213408</v>
      </c>
      <c r="T481" s="85">
        <f>IF(B481="",0,IF(OR(H481=MappingTables!$C$34,H481=MappingTables!$C$35),S481,0))</f>
        <v>0</v>
      </c>
    </row>
    <row r="482" spans="2:20" s="0" customFormat="0" ht="15">
      <c r="B482" s="69">
        <v>16974678</v>
      </c>
      <c r="C482" s="70" t="s">
        <v>4014</v>
      </c>
      <c r="D482" s="70" t="s">
        <v>1</v>
      </c>
      <c r="E482" s="70" t="s">
        <v>1</v>
      </c>
      <c r="F482" s="70"/>
      <c r="G482" s="70" t="s">
        <v>61</v>
      </c>
      <c r="H482" s="70" t="s">
        <v>178</v>
      </c>
      <c r="I482" s="70" t="s">
        <v>216</v>
      </c>
      <c r="J482" s="71">
        <f>IF(OR(I482=0,I482=""),"unrated",VLOOKUP(I482,MappingTables!$B$19:$C$31,2,FALSE))</f>
        <v>0</v>
      </c>
      <c r="K482" s="72">
        <v>368.82013156783448</v>
      </c>
      <c r="L482" s="70">
        <v>0.0054074182892698736</v>
      </c>
      <c r="M482" s="71">
        <f>IF(L482&lt;1,1,L482)</f>
        <v>1</v>
      </c>
      <c r="N482" s="70" t="s">
        <v>3288</v>
      </c>
      <c r="O482" s="71">
        <f>IF(OR(I482=$A$1,I482=0),"",IF(N482=MappingTables!$C$14,VLOOKUP(J482,ModelParameters!$M$8:$N$15,2,FALSE),IF(N482=MappingTables!$C$16,VLOOKUP(J482,ModelParameters!$P$8:$Q$15,2,FALSE),0)))</f>
        <v>0.125</v>
      </c>
      <c r="P482" s="73">
        <f>IF(OR(I482=0,I482=$A$1),0,MIN(O482*M482,1)*K482)</f>
        <v>46.102516445979312</v>
      </c>
      <c r="Q482" s="73">
        <f>IF(B482="",0,IF(OR(H482=MappingTables!$C$34,H482=MappingTables!$C$35),P482,0))</f>
        <v>0</v>
      </c>
      <c r="R482" s="73">
        <f>IF(ISNA(IF(AND(VLOOKUP(CONCATENATE($D482,$G482),CSRFinput!$B:$E,4,0)=0,OR(H482=MappingTables!$C$31,H482=MappingTables!$C$32)),1,VLOOKUP(CONCATENATE($D482,$G482),CSRFinput!$B:$E,4,0))),0,IF(AND(VLOOKUP(CONCATENATE($D482,$G482),CSRFinput!$B:$E,4,0)=0,OR(H482=MappingTables!$C$31,H482=MappingTables!$C$32)),1,VLOOKUP(CONCATENATE($D482,$G482),CSRFinput!$B:$E,4,0)))</f>
        <v>0.054776304963434752</v>
      </c>
      <c r="S482" s="73">
        <f>IF(B482="",0,P482*R482)</f>
        <v>2.5253255004267288</v>
      </c>
      <c r="T482" s="85">
        <f>IF(B482="",0,IF(OR(H482=MappingTables!$C$34,H482=MappingTables!$C$35),S482,0))</f>
        <v>0</v>
      </c>
    </row>
    <row r="483" spans="2:20" s="0" customFormat="0" ht="15">
      <c r="B483" s="69" t="s">
        <v>4015</v>
      </c>
      <c r="C483" s="70" t="s">
        <v>4016</v>
      </c>
      <c r="D483" s="70" t="s">
        <v>1</v>
      </c>
      <c r="E483" s="70" t="s">
        <v>1</v>
      </c>
      <c r="F483" s="70"/>
      <c r="G483" s="70" t="s">
        <v>61</v>
      </c>
      <c r="H483" s="70" t="s">
        <v>178</v>
      </c>
      <c r="I483" s="70" t="s">
        <v>198</v>
      </c>
      <c r="J483" s="71" t="str">
        <f>IF(OR(I483=0,I483=""),"unrated",VLOOKUP(I483,MappingTables!$B$19:$C$31,2,FALSE))</f>
        <v>unrated</v>
      </c>
      <c r="K483" s="72">
        <v>19.331236784416484</v>
      </c>
      <c r="L483" s="70">
        <v>0.096223569048996656</v>
      </c>
      <c r="M483" s="71">
        <f>IF(L483&lt;1,1,L483)</f>
        <v>1</v>
      </c>
      <c r="N483" s="70" t="s">
        <v>3288</v>
      </c>
      <c r="O483" s="71">
        <f>IF(OR(I483=$A$1,I483=0),"",IF(N483=MappingTables!$C$14,VLOOKUP(J483,ModelParameters!$M$8:$N$15,2,FALSE),IF(N483=MappingTables!$C$16,VLOOKUP(J483,ModelParameters!$P$8:$Q$15,2,FALSE),0)))</f>
        <v>1</v>
      </c>
      <c r="P483" s="73">
        <f>IF(OR(I483=0,I483=$A$1),0,MIN(O483*M483,1)*K483)</f>
        <v>19.331236784416484</v>
      </c>
      <c r="Q483" s="73">
        <f>IF(B483="",0,IF(OR(H483=MappingTables!$C$34,H483=MappingTables!$C$35),P483,0))</f>
        <v>0</v>
      </c>
      <c r="R483" s="73">
        <f>IF(ISNA(IF(AND(VLOOKUP(CONCATENATE($D483,$G483),CSRFinput!$B:$E,4,0)=0,OR(H483=MappingTables!$C$31,H483=MappingTables!$C$32)),1,VLOOKUP(CONCATENATE($D483,$G483),CSRFinput!$B:$E,4,0))),0,IF(AND(VLOOKUP(CONCATENATE($D483,$G483),CSRFinput!$B:$E,4,0)=0,OR(H483=MappingTables!$C$31,H483=MappingTables!$C$32)),1,VLOOKUP(CONCATENATE($D483,$G483),CSRFinput!$B:$E,4,0)))</f>
        <v>0.054776304963434752</v>
      </c>
      <c r="S483" s="73">
        <f>IF(B483="",0,P483*R483)</f>
        <v>1.058893721423565</v>
      </c>
      <c r="T483" s="85">
        <f>IF(B483="",0,IF(OR(H483=MappingTables!$C$34,H483=MappingTables!$C$35),S483,0))</f>
        <v>0</v>
      </c>
    </row>
    <row r="484" spans="2:20" s="0" customFormat="0" ht="15">
      <c r="B484" s="69" t="s">
        <v>4017</v>
      </c>
      <c r="C484" s="70" t="s">
        <v>4018</v>
      </c>
      <c r="D484" s="70" t="s">
        <v>1</v>
      </c>
      <c r="E484" s="70" t="s">
        <v>1</v>
      </c>
      <c r="F484" s="70"/>
      <c r="G484" s="70" t="s">
        <v>61</v>
      </c>
      <c r="H484" s="70" t="s">
        <v>178</v>
      </c>
      <c r="I484" s="70" t="s">
        <v>198</v>
      </c>
      <c r="J484" s="71" t="str">
        <f>IF(OR(I484=0,I484=""),"unrated",VLOOKUP(I484,MappingTables!$B$19:$C$31,2,FALSE))</f>
        <v>unrated</v>
      </c>
      <c r="K484" s="72">
        <v>6.641444819702804</v>
      </c>
      <c r="L484" s="70">
        <v>3.912414840874596</v>
      </c>
      <c r="M484" s="71">
        <f>IF(L484&lt;1,1,L484)</f>
        <v>3.912414840874596</v>
      </c>
      <c r="N484" s="70" t="s">
        <v>3288</v>
      </c>
      <c r="O484" s="71">
        <f>IF(OR(I484=$A$1,I484=0),"",IF(N484=MappingTables!$C$14,VLOOKUP(J484,ModelParameters!$M$8:$N$15,2,FALSE),IF(N484=MappingTables!$C$16,VLOOKUP(J484,ModelParameters!$P$8:$Q$15,2,FALSE),0)))</f>
        <v>1</v>
      </c>
      <c r="P484" s="73">
        <f>IF(OR(I484=0,I484=$A$1),0,MIN(O484*M484,1)*K484)</f>
        <v>6.641444819702804</v>
      </c>
      <c r="Q484" s="73">
        <f>IF(B484="",0,IF(OR(H484=MappingTables!$C$34,H484=MappingTables!$C$35),P484,0))</f>
        <v>0</v>
      </c>
      <c r="R484" s="73">
        <f>IF(ISNA(IF(AND(VLOOKUP(CONCATENATE($D484,$G484),CSRFinput!$B:$E,4,0)=0,OR(H484=MappingTables!$C$31,H484=MappingTables!$C$32)),1,VLOOKUP(CONCATENATE($D484,$G484),CSRFinput!$B:$E,4,0))),0,IF(AND(VLOOKUP(CONCATENATE($D484,$G484),CSRFinput!$B:$E,4,0)=0,OR(H484=MappingTables!$C$31,H484=MappingTables!$C$32)),1,VLOOKUP(CONCATENATE($D484,$G484),CSRFinput!$B:$E,4,0)))</f>
        <v>0.054776304963434752</v>
      </c>
      <c r="S484" s="73">
        <f>IF(B484="",0,P484*R484)</f>
        <v>0.36379380684186472</v>
      </c>
      <c r="T484" s="85">
        <f>IF(B484="",0,IF(OR(H484=MappingTables!$C$34,H484=MappingTables!$C$35),S484,0))</f>
        <v>0</v>
      </c>
    </row>
    <row r="485" spans="2:20" s="0" customFormat="0" ht="15">
      <c r="B485" s="69" t="s">
        <v>4019</v>
      </c>
      <c r="C485" s="70" t="s">
        <v>4020</v>
      </c>
      <c r="D485" s="70" t="s">
        <v>1</v>
      </c>
      <c r="E485" s="70" t="s">
        <v>1</v>
      </c>
      <c r="F485" s="70"/>
      <c r="G485" s="70" t="s">
        <v>61</v>
      </c>
      <c r="H485" s="70" t="s">
        <v>178</v>
      </c>
      <c r="I485" s="70" t="s">
        <v>198</v>
      </c>
      <c r="J485" s="71" t="str">
        <f>IF(OR(I485=0,I485=""),"unrated",VLOOKUP(I485,MappingTables!$B$19:$C$31,2,FALSE))</f>
        <v>unrated</v>
      </c>
      <c r="K485" s="72">
        <v>2.6089850181594316</v>
      </c>
      <c r="L485" s="70">
        <v>40.823585486767984</v>
      </c>
      <c r="M485" s="71">
        <f>IF(L485&lt;1,1,L485)</f>
        <v>40.823585486767984</v>
      </c>
      <c r="N485" s="70" t="s">
        <v>3288</v>
      </c>
      <c r="O485" s="71">
        <f>IF(OR(I485=$A$1,I485=0),"",IF(N485=MappingTables!$C$14,VLOOKUP(J485,ModelParameters!$M$8:$N$15,2,FALSE),IF(N485=MappingTables!$C$16,VLOOKUP(J485,ModelParameters!$P$8:$Q$15,2,FALSE),0)))</f>
        <v>1</v>
      </c>
      <c r="P485" s="73">
        <f>IF(OR(I485=0,I485=$A$1),0,MIN(O485*M485,1)*K485)</f>
        <v>2.6089850181594316</v>
      </c>
      <c r="Q485" s="73">
        <f>IF(B485="",0,IF(OR(H485=MappingTables!$C$34,H485=MappingTables!$C$35),P485,0))</f>
        <v>0</v>
      </c>
      <c r="R485" s="73">
        <f>IF(ISNA(IF(AND(VLOOKUP(CONCATENATE($D485,$G485),CSRFinput!$B:$E,4,0)=0,OR(H485=MappingTables!$C$31,H485=MappingTables!$C$32)),1,VLOOKUP(CONCATENATE($D485,$G485),CSRFinput!$B:$E,4,0))),0,IF(AND(VLOOKUP(CONCATENATE($D485,$G485),CSRFinput!$B:$E,4,0)=0,OR(H485=MappingTables!$C$31,H485=MappingTables!$C$32)),1,VLOOKUP(CONCATENATE($D485,$G485),CSRFinput!$B:$E,4,0)))</f>
        <v>0.054776304963434752</v>
      </c>
      <c r="S485" s="73">
        <f>IF(B485="",0,P485*R485)</f>
        <v>0.14291055899973338</v>
      </c>
      <c r="T485" s="85">
        <f>IF(B485="",0,IF(OR(H485=MappingTables!$C$34,H485=MappingTables!$C$35),S485,0))</f>
        <v>0</v>
      </c>
    </row>
    <row r="486" spans="2:20" s="0" customFormat="0" ht="15">
      <c r="B486" s="69">
        <v>7031047</v>
      </c>
      <c r="C486" s="70" t="s">
        <v>4021</v>
      </c>
      <c r="D486" s="70" t="s">
        <v>1</v>
      </c>
      <c r="E486" s="70" t="s">
        <v>1</v>
      </c>
      <c r="F486" s="70"/>
      <c r="G486" s="70" t="s">
        <v>61</v>
      </c>
      <c r="H486" s="70" t="s">
        <v>178</v>
      </c>
      <c r="I486" s="70" t="s">
        <v>184</v>
      </c>
      <c r="J486" s="71">
        <f>IF(OR(I486=0,I486=""),"unrated",VLOOKUP(I486,MappingTables!$B$19:$C$31,2,FALSE))</f>
        <v>5</v>
      </c>
      <c r="K486" s="72">
        <v>21.497973502089196</v>
      </c>
      <c r="L486" s="70">
        <v>0.068489990897431408</v>
      </c>
      <c r="M486" s="71">
        <f>IF(L486&lt;1,1,L486)</f>
        <v>1</v>
      </c>
      <c r="N486" s="70" t="s">
        <v>3288</v>
      </c>
      <c r="O486" s="71">
        <f>IF(OR(I486=$A$1,I486=0),"",IF(N486=MappingTables!$C$14,VLOOKUP(J486,ModelParameters!$M$8:$N$15,2,FALSE),IF(N486=MappingTables!$C$16,VLOOKUP(J486,ModelParameters!$P$8:$Q$15,2,FALSE),0)))</f>
        <v>1</v>
      </c>
      <c r="P486" s="73">
        <f>IF(OR(I486=0,I486=$A$1),0,MIN(O486*M486,1)*K486)</f>
        <v>21.497973502089196</v>
      </c>
      <c r="Q486" s="73">
        <f>IF(B486="",0,IF(OR(H486=MappingTables!$C$34,H486=MappingTables!$C$35),P486,0))</f>
        <v>0</v>
      </c>
      <c r="R486" s="73">
        <f>IF(ISNA(IF(AND(VLOOKUP(CONCATENATE($D486,$G486),CSRFinput!$B:$E,4,0)=0,OR(H486=MappingTables!$C$31,H486=MappingTables!$C$32)),1,VLOOKUP(CONCATENATE($D486,$G486),CSRFinput!$B:$E,4,0))),0,IF(AND(VLOOKUP(CONCATENATE($D486,$G486),CSRFinput!$B:$E,4,0)=0,OR(H486=MappingTables!$C$31,H486=MappingTables!$C$32)),1,VLOOKUP(CONCATENATE($D486,$G486),CSRFinput!$B:$E,4,0)))</f>
        <v>0.054776304963434752</v>
      </c>
      <c r="S486" s="73">
        <f>IF(B486="",0,P486*R486)</f>
        <v>1.1775795526462772</v>
      </c>
      <c r="T486" s="85">
        <f>IF(B486="",0,IF(OR(H486=MappingTables!$C$34,H486=MappingTables!$C$35),S486,0))</f>
        <v>0</v>
      </c>
    </row>
    <row r="487" spans="2:20" s="0" customFormat="0" ht="15">
      <c r="B487" s="69" t="s">
        <v>4022</v>
      </c>
      <c r="C487" s="70" t="s">
        <v>4023</v>
      </c>
      <c r="D487" s="70" t="s">
        <v>1</v>
      </c>
      <c r="E487" s="70" t="s">
        <v>1</v>
      </c>
      <c r="F487" s="70"/>
      <c r="G487" s="70" t="s">
        <v>61</v>
      </c>
      <c r="H487" s="70" t="s">
        <v>178</v>
      </c>
      <c r="I487" s="70" t="s">
        <v>198</v>
      </c>
      <c r="J487" s="71" t="str">
        <f>IF(OR(I487=0,I487=""),"unrated",VLOOKUP(I487,MappingTables!$B$19:$C$31,2,FALSE))</f>
        <v>unrated</v>
      </c>
      <c r="K487" s="72">
        <v>53.120781343006128</v>
      </c>
      <c r="L487" s="70">
        <v>0.068493841251176568</v>
      </c>
      <c r="M487" s="71">
        <f>IF(L487&lt;1,1,L487)</f>
        <v>1</v>
      </c>
      <c r="N487" s="70" t="s">
        <v>3288</v>
      </c>
      <c r="O487" s="71">
        <f>IF(OR(I487=$A$1,I487=0),"",IF(N487=MappingTables!$C$14,VLOOKUP(J487,ModelParameters!$M$8:$N$15,2,FALSE),IF(N487=MappingTables!$C$16,VLOOKUP(J487,ModelParameters!$P$8:$Q$15,2,FALSE),0)))</f>
        <v>1</v>
      </c>
      <c r="P487" s="73">
        <f>IF(OR(I487=0,I487=$A$1),0,MIN(O487*M487,1)*K487)</f>
        <v>53.120781343006128</v>
      </c>
      <c r="Q487" s="73">
        <f>IF(B487="",0,IF(OR(H487=MappingTables!$C$34,H487=MappingTables!$C$35),P487,0))</f>
        <v>0</v>
      </c>
      <c r="R487" s="73">
        <f>IF(ISNA(IF(AND(VLOOKUP(CONCATENATE($D487,$G487),CSRFinput!$B:$E,4,0)=0,OR(H487=MappingTables!$C$31,H487=MappingTables!$C$32)),1,VLOOKUP(CONCATENATE($D487,$G487),CSRFinput!$B:$E,4,0))),0,IF(AND(VLOOKUP(CONCATENATE($D487,$G487),CSRFinput!$B:$E,4,0)=0,OR(H487=MappingTables!$C$31,H487=MappingTables!$C$32)),1,VLOOKUP(CONCATENATE($D487,$G487),CSRFinput!$B:$E,4,0)))</f>
        <v>0.054776304963434752</v>
      </c>
      <c r="S487" s="73">
        <f>IF(B487="",0,P487*R487)</f>
        <v>2.9097601187404388</v>
      </c>
      <c r="T487" s="85">
        <f>IF(B487="",0,IF(OR(H487=MappingTables!$C$34,H487=MappingTables!$C$35),S487,0))</f>
        <v>0</v>
      </c>
    </row>
    <row r="488" spans="2:20" s="0" customFormat="0" ht="15">
      <c r="B488" s="69">
        <v>278397</v>
      </c>
      <c r="C488" s="70" t="s">
        <v>4024</v>
      </c>
      <c r="D488" s="70" t="s">
        <v>1</v>
      </c>
      <c r="E488" s="70" t="s">
        <v>1</v>
      </c>
      <c r="F488" s="70"/>
      <c r="G488" s="70" t="s">
        <v>61</v>
      </c>
      <c r="H488" s="70" t="s">
        <v>178</v>
      </c>
      <c r="I488" s="70" t="s">
        <v>184</v>
      </c>
      <c r="J488" s="71">
        <f>IF(OR(I488=0,I488=""),"unrated",VLOOKUP(I488,MappingTables!$B$19:$C$31,2,FALSE))</f>
        <v>5</v>
      </c>
      <c r="K488" s="72">
        <v>35.524668526487908</v>
      </c>
      <c r="L488" s="70">
        <v>0.068495211219110936</v>
      </c>
      <c r="M488" s="71">
        <f>IF(L488&lt;1,1,L488)</f>
        <v>1</v>
      </c>
      <c r="N488" s="70" t="s">
        <v>3288</v>
      </c>
      <c r="O488" s="71">
        <f>IF(OR(I488=$A$1,I488=0),"",IF(N488=MappingTables!$C$14,VLOOKUP(J488,ModelParameters!$M$8:$N$15,2,FALSE),IF(N488=MappingTables!$C$16,VLOOKUP(J488,ModelParameters!$P$8:$Q$15,2,FALSE),0)))</f>
        <v>1</v>
      </c>
      <c r="P488" s="73">
        <f>IF(OR(I488=0,I488=$A$1),0,MIN(O488*M488,1)*K488)</f>
        <v>35.524668526487908</v>
      </c>
      <c r="Q488" s="73">
        <f>IF(B488="",0,IF(OR(H488=MappingTables!$C$34,H488=MappingTables!$C$35),P488,0))</f>
        <v>0</v>
      </c>
      <c r="R488" s="73">
        <f>IF(ISNA(IF(AND(VLOOKUP(CONCATENATE($D488,$G488),CSRFinput!$B:$E,4,0)=0,OR(H488=MappingTables!$C$31,H488=MappingTables!$C$32)),1,VLOOKUP(CONCATENATE($D488,$G488),CSRFinput!$B:$E,4,0))),0,IF(AND(VLOOKUP(CONCATENATE($D488,$G488),CSRFinput!$B:$E,4,0)=0,OR(H488=MappingTables!$C$31,H488=MappingTables!$C$32)),1,VLOOKUP(CONCATENATE($D488,$G488),CSRFinput!$B:$E,4,0)))</f>
        <v>0.054776304963434752</v>
      </c>
      <c r="S488" s="73">
        <f>IF(B488="",0,P488*R488)</f>
        <v>1.945910076931834</v>
      </c>
      <c r="T488" s="85">
        <f>IF(B488="",0,IF(OR(H488=MappingTables!$C$34,H488=MappingTables!$C$35),S488,0))</f>
        <v>0</v>
      </c>
    </row>
    <row r="489" spans="2:20" s="0" customFormat="0" ht="15">
      <c r="B489" s="69">
        <v>20113247</v>
      </c>
      <c r="C489" s="70" t="s">
        <v>4025</v>
      </c>
      <c r="D489" s="70" t="s">
        <v>1</v>
      </c>
      <c r="E489" s="70" t="s">
        <v>1</v>
      </c>
      <c r="F489" s="70"/>
      <c r="G489" s="70" t="s">
        <v>61</v>
      </c>
      <c r="H489" s="70" t="s">
        <v>178</v>
      </c>
      <c r="I489" s="70" t="s">
        <v>198</v>
      </c>
      <c r="J489" s="71" t="str">
        <f>IF(OR(I489=0,I489=""),"unrated",VLOOKUP(I489,MappingTables!$B$19:$C$31,2,FALSE))</f>
        <v>unrated</v>
      </c>
      <c r="K489" s="72">
        <v>166.83146176908482</v>
      </c>
      <c r="L489" s="70">
        <v>3.188628008058316</v>
      </c>
      <c r="M489" s="71">
        <f>IF(L489&lt;1,1,L489)</f>
        <v>3.188628008058316</v>
      </c>
      <c r="N489" s="70" t="s">
        <v>3288</v>
      </c>
      <c r="O489" s="71">
        <f>IF(OR(I489=$A$1,I489=0),"",IF(N489=MappingTables!$C$14,VLOOKUP(J489,ModelParameters!$M$8:$N$15,2,FALSE),IF(N489=MappingTables!$C$16,VLOOKUP(J489,ModelParameters!$P$8:$Q$15,2,FALSE),0)))</f>
        <v>1</v>
      </c>
      <c r="P489" s="73">
        <f>IF(OR(I489=0,I489=$A$1),0,MIN(O489*M489,1)*K489)</f>
        <v>166.83146176908482</v>
      </c>
      <c r="Q489" s="73">
        <f>IF(B489="",0,IF(OR(H489=MappingTables!$C$34,H489=MappingTables!$C$35),P489,0))</f>
        <v>0</v>
      </c>
      <c r="R489" s="73">
        <f>IF(ISNA(IF(AND(VLOOKUP(CONCATENATE($D489,$G489),CSRFinput!$B:$E,4,0)=0,OR(H489=MappingTables!$C$31,H489=MappingTables!$C$32)),1,VLOOKUP(CONCATENATE($D489,$G489),CSRFinput!$B:$E,4,0))),0,IF(AND(VLOOKUP(CONCATENATE($D489,$G489),CSRFinput!$B:$E,4,0)=0,OR(H489=MappingTables!$C$31,H489=MappingTables!$C$32)),1,VLOOKUP(CONCATENATE($D489,$G489),CSRFinput!$B:$E,4,0)))</f>
        <v>0.054776304963434752</v>
      </c>
      <c r="S489" s="73">
        <f>IF(B489="",0,P489*R489)</f>
        <v>9.1384110273589968</v>
      </c>
      <c r="T489" s="85">
        <f>IF(B489="",0,IF(OR(H489=MappingTables!$C$34,H489=MappingTables!$C$35),S489,0))</f>
        <v>0</v>
      </c>
    </row>
    <row r="490" spans="2:20" s="0" customFormat="0" ht="15">
      <c r="B490" s="69" t="s">
        <v>4026</v>
      </c>
      <c r="C490" s="70" t="s">
        <v>4027</v>
      </c>
      <c r="D490" s="70" t="s">
        <v>1</v>
      </c>
      <c r="E490" s="70" t="s">
        <v>1</v>
      </c>
      <c r="F490" s="70"/>
      <c r="G490" s="70" t="s">
        <v>61</v>
      </c>
      <c r="H490" s="70" t="s">
        <v>178</v>
      </c>
      <c r="I490" s="70" t="s">
        <v>181</v>
      </c>
      <c r="J490" s="71">
        <f>IF(OR(I490=0,I490=""),"unrated",VLOOKUP(I490,MappingTables!$B$19:$C$31,2,FALSE))</f>
        <v>3</v>
      </c>
      <c r="K490" s="72">
        <v>111.02760217596728</v>
      </c>
      <c r="L490" s="70">
        <v>0.06849125427559592</v>
      </c>
      <c r="M490" s="71">
        <f>IF(L490&lt;1,1,L490)</f>
        <v>1</v>
      </c>
      <c r="N490" s="70" t="s">
        <v>3288</v>
      </c>
      <c r="O490" s="71">
        <f>IF(OR(I490=$A$1,I490=0),"",IF(N490=MappingTables!$C$14,VLOOKUP(J490,ModelParameters!$M$8:$N$15,2,FALSE),IF(N490=MappingTables!$C$16,VLOOKUP(J490,ModelParameters!$P$8:$Q$15,2,FALSE),0)))</f>
        <v>0.197</v>
      </c>
      <c r="P490" s="73">
        <f>IF(OR(I490=0,I490=$A$1),0,MIN(O490*M490,1)*K490)</f>
        <v>21.872437628665556</v>
      </c>
      <c r="Q490" s="73">
        <f>IF(B490="",0,IF(OR(H490=MappingTables!$C$34,H490=MappingTables!$C$35),P490,0))</f>
        <v>0</v>
      </c>
      <c r="R490" s="73">
        <f>IF(ISNA(IF(AND(VLOOKUP(CONCATENATE($D490,$G490),CSRFinput!$B:$E,4,0)=0,OR(H490=MappingTables!$C$31,H490=MappingTables!$C$32)),1,VLOOKUP(CONCATENATE($D490,$G490),CSRFinput!$B:$E,4,0))),0,IF(AND(VLOOKUP(CONCATENATE($D490,$G490),CSRFinput!$B:$E,4,0)=0,OR(H490=MappingTables!$C$31,H490=MappingTables!$C$32)),1,VLOOKUP(CONCATENATE($D490,$G490),CSRFinput!$B:$E,4,0)))</f>
        <v>0.054776304963434752</v>
      </c>
      <c r="S490" s="73">
        <f>IF(B490="",0,P490*R490)</f>
        <v>1.1980913138414902</v>
      </c>
      <c r="T490" s="85">
        <f>IF(B490="",0,IF(OR(H490=MappingTables!$C$34,H490=MappingTables!$C$35),S490,0))</f>
        <v>0</v>
      </c>
    </row>
    <row r="491" spans="2:20" s="0" customFormat="0" ht="15">
      <c r="B491" s="69">
        <v>22554147</v>
      </c>
      <c r="C491" s="70" t="s">
        <v>3513</v>
      </c>
      <c r="D491" s="70" t="s">
        <v>1</v>
      </c>
      <c r="E491" s="70" t="s">
        <v>1</v>
      </c>
      <c r="F491" s="70"/>
      <c r="G491" s="70" t="s">
        <v>61</v>
      </c>
      <c r="H491" s="70" t="s">
        <v>178</v>
      </c>
      <c r="I491" s="70" t="s">
        <v>188</v>
      </c>
      <c r="J491" s="71">
        <f>IF(OR(I491=0,I491=""),"unrated",VLOOKUP(I491,MappingTables!$B$19:$C$31,2,FALSE))</f>
        <v>2</v>
      </c>
      <c r="K491" s="72">
        <v>102.7741037610097</v>
      </c>
      <c r="L491" s="70">
        <v>0.068492975902138584</v>
      </c>
      <c r="M491" s="71">
        <f>IF(L491&lt;1,1,L491)</f>
        <v>1</v>
      </c>
      <c r="N491" s="70" t="s">
        <v>3288</v>
      </c>
      <c r="O491" s="71">
        <f>IF(OR(I491=$A$1,I491=0),"",IF(N491=MappingTables!$C$14,VLOOKUP(J491,ModelParameters!$M$8:$N$15,2,FALSE),IF(N491=MappingTables!$C$16,VLOOKUP(J491,ModelParameters!$P$8:$Q$15,2,FALSE),0)))</f>
        <v>0.166</v>
      </c>
      <c r="P491" s="73">
        <f>IF(OR(I491=0,I491=$A$1),0,MIN(O491*M491,1)*K491)</f>
        <v>17.06050122432761</v>
      </c>
      <c r="Q491" s="73">
        <f>IF(B491="",0,IF(OR(H491=MappingTables!$C$34,H491=MappingTables!$C$35),P491,0))</f>
        <v>0</v>
      </c>
      <c r="R491" s="73">
        <f>IF(ISNA(IF(AND(VLOOKUP(CONCATENATE($D491,$G491),CSRFinput!$B:$E,4,0)=0,OR(H491=MappingTables!$C$31,H491=MappingTables!$C$32)),1,VLOOKUP(CONCATENATE($D491,$G491),CSRFinput!$B:$E,4,0))),0,IF(AND(VLOOKUP(CONCATENATE($D491,$G491),CSRFinput!$B:$E,4,0)=0,OR(H491=MappingTables!$C$31,H491=MappingTables!$C$32)),1,VLOOKUP(CONCATENATE($D491,$G491),CSRFinput!$B:$E,4,0)))</f>
        <v>0.054776304963434752</v>
      </c>
      <c r="S491" s="73">
        <f>IF(B491="",0,P491*R491)</f>
        <v>0.93451121789282112</v>
      </c>
      <c r="T491" s="85">
        <f>IF(B491="",0,IF(OR(H491=MappingTables!$C$34,H491=MappingTables!$C$35),S491,0))</f>
        <v>0</v>
      </c>
    </row>
    <row r="492" spans="2:20" s="0" customFormat="0" ht="15">
      <c r="B492" s="69">
        <v>1551571</v>
      </c>
      <c r="C492" s="70" t="s">
        <v>4028</v>
      </c>
      <c r="D492" s="70" t="s">
        <v>1</v>
      </c>
      <c r="E492" s="70" t="s">
        <v>1</v>
      </c>
      <c r="F492" s="70"/>
      <c r="G492" s="70" t="s">
        <v>61</v>
      </c>
      <c r="H492" s="70" t="s">
        <v>178</v>
      </c>
      <c r="I492" s="70" t="s">
        <v>198</v>
      </c>
      <c r="J492" s="71" t="str">
        <f>IF(OR(I492=0,I492=""),"unrated",VLOOKUP(I492,MappingTables!$B$19:$C$31,2,FALSE))</f>
        <v>unrated</v>
      </c>
      <c r="K492" s="72">
        <v>6.1583168361322544</v>
      </c>
      <c r="L492" s="70">
        <v>0.068493518102085456</v>
      </c>
      <c r="M492" s="71">
        <f>IF(L492&lt;1,1,L492)</f>
        <v>1</v>
      </c>
      <c r="N492" s="70" t="s">
        <v>3288</v>
      </c>
      <c r="O492" s="71">
        <f>IF(OR(I492=$A$1,I492=0),"",IF(N492=MappingTables!$C$14,VLOOKUP(J492,ModelParameters!$M$8:$N$15,2,FALSE),IF(N492=MappingTables!$C$16,VLOOKUP(J492,ModelParameters!$P$8:$Q$15,2,FALSE),0)))</f>
        <v>1</v>
      </c>
      <c r="P492" s="73">
        <f>IF(OR(I492=0,I492=$A$1),0,MIN(O492*M492,1)*K492)</f>
        <v>6.1583168361322544</v>
      </c>
      <c r="Q492" s="73">
        <f>IF(B492="",0,IF(OR(H492=MappingTables!$C$34,H492=MappingTables!$C$35),P492,0))</f>
        <v>0</v>
      </c>
      <c r="R492" s="73">
        <f>IF(ISNA(IF(AND(VLOOKUP(CONCATENATE($D492,$G492),CSRFinput!$B:$E,4,0)=0,OR(H492=MappingTables!$C$31,H492=MappingTables!$C$32)),1,VLOOKUP(CONCATENATE($D492,$G492),CSRFinput!$B:$E,4,0))),0,IF(AND(VLOOKUP(CONCATENATE($D492,$G492),CSRFinput!$B:$E,4,0)=0,OR(H492=MappingTables!$C$31,H492=MappingTables!$C$32)),1,VLOOKUP(CONCATENATE($D492,$G492),CSRFinput!$B:$E,4,0)))</f>
        <v>0.054776304963434752</v>
      </c>
      <c r="S492" s="73">
        <f>IF(B492="",0,P492*R492)</f>
        <v>0.33732984107743504</v>
      </c>
      <c r="T492" s="85">
        <f>IF(B492="",0,IF(OR(H492=MappingTables!$C$34,H492=MappingTables!$C$35),S492,0))</f>
        <v>0</v>
      </c>
    </row>
    <row r="493" spans="2:20" s="0" customFormat="0" ht="15">
      <c r="B493" s="69">
        <v>22623648</v>
      </c>
      <c r="C493" s="70" t="s">
        <v>4029</v>
      </c>
      <c r="D493" s="70" t="s">
        <v>1</v>
      </c>
      <c r="E493" s="70" t="s">
        <v>1</v>
      </c>
      <c r="F493" s="70"/>
      <c r="G493" s="70" t="s">
        <v>61</v>
      </c>
      <c r="H493" s="70" t="s">
        <v>178</v>
      </c>
      <c r="I493" s="70" t="s">
        <v>216</v>
      </c>
      <c r="J493" s="71">
        <f>IF(OR(I493=0,I493=""),"unrated",VLOOKUP(I493,MappingTables!$B$19:$C$31,2,FALSE))</f>
        <v>0</v>
      </c>
      <c r="K493" s="72">
        <v>363.6338849037256</v>
      </c>
      <c r="L493" s="70">
        <v>0.10660547725647212</v>
      </c>
      <c r="M493" s="71">
        <f>IF(L493&lt;1,1,L493)</f>
        <v>1</v>
      </c>
      <c r="N493" s="70" t="s">
        <v>3288</v>
      </c>
      <c r="O493" s="71">
        <f>IF(OR(I493=$A$1,I493=0),"",IF(N493=MappingTables!$C$14,VLOOKUP(J493,ModelParameters!$M$8:$N$15,2,FALSE),IF(N493=MappingTables!$C$16,VLOOKUP(J493,ModelParameters!$P$8:$Q$15,2,FALSE),0)))</f>
        <v>0.125</v>
      </c>
      <c r="P493" s="73">
        <f>IF(OR(I493=0,I493=$A$1),0,MIN(O493*M493,1)*K493)</f>
        <v>45.454235612965704</v>
      </c>
      <c r="Q493" s="73">
        <f>IF(B493="",0,IF(OR(H493=MappingTables!$C$34,H493=MappingTables!$C$35),P493,0))</f>
        <v>0</v>
      </c>
      <c r="R493" s="73">
        <f>IF(ISNA(IF(AND(VLOOKUP(CONCATENATE($D493,$G493),CSRFinput!$B:$E,4,0)=0,OR(H493=MappingTables!$C$31,H493=MappingTables!$C$32)),1,VLOOKUP(CONCATENATE($D493,$G493),CSRFinput!$B:$E,4,0))),0,IF(AND(VLOOKUP(CONCATENATE($D493,$G493),CSRFinput!$B:$E,4,0)=0,OR(H493=MappingTables!$C$31,H493=MappingTables!$C$32)),1,VLOOKUP(CONCATENATE($D493,$G493),CSRFinput!$B:$E,4,0)))</f>
        <v>0.054776304963434752</v>
      </c>
      <c r="S493" s="73">
        <f>IF(B493="",0,P493*R493)</f>
        <v>2.489815071815626</v>
      </c>
      <c r="T493" s="85">
        <f>IF(B493="",0,IF(OR(H493=MappingTables!$C$34,H493=MappingTables!$C$35),S493,0))</f>
        <v>0</v>
      </c>
    </row>
    <row r="494" spans="2:20" s="0" customFormat="0" ht="15">
      <c r="B494" s="69" t="s">
        <v>4030</v>
      </c>
      <c r="C494" s="70" t="s">
        <v>4031</v>
      </c>
      <c r="D494" s="70" t="s">
        <v>1</v>
      </c>
      <c r="E494" s="70" t="s">
        <v>1</v>
      </c>
      <c r="F494" s="70"/>
      <c r="G494" s="70" t="s">
        <v>61</v>
      </c>
      <c r="H494" s="70" t="s">
        <v>178</v>
      </c>
      <c r="I494" s="70" t="s">
        <v>3298</v>
      </c>
      <c r="J494" s="71">
        <f>IF(OR(I494=0,I494=""),"unrated",VLOOKUP(I494,MappingTables!$B$19:$C$31,2,FALSE))</f>
        <v>6</v>
      </c>
      <c r="K494" s="72">
        <v>117.28229604576408</v>
      </c>
      <c r="L494" s="70">
        <v>-0.39319368068020256</v>
      </c>
      <c r="M494" s="71">
        <f>IF(L494&lt;1,1,L494)</f>
        <v>1</v>
      </c>
      <c r="N494" s="70" t="s">
        <v>3288</v>
      </c>
      <c r="O494" s="71">
        <f>IF(OR(I494=$A$1,I494=0),"",IF(N494=MappingTables!$C$14,VLOOKUP(J494,ModelParameters!$M$8:$N$15,2,FALSE),IF(N494=MappingTables!$C$16,VLOOKUP(J494,ModelParameters!$P$8:$Q$15,2,FALSE),0)))</f>
        <v>1</v>
      </c>
      <c r="P494" s="73">
        <f>IF(OR(I494=0,I494=$A$1),0,MIN(O494*M494,1)*K494)</f>
        <v>117.28229604576408</v>
      </c>
      <c r="Q494" s="73">
        <f>IF(B494="",0,IF(OR(H494=MappingTables!$C$34,H494=MappingTables!$C$35),P494,0))</f>
        <v>0</v>
      </c>
      <c r="R494" s="73">
        <f>IF(ISNA(IF(AND(VLOOKUP(CONCATENATE($D494,$G494),CSRFinput!$B:$E,4,0)=0,OR(H494=MappingTables!$C$31,H494=MappingTables!$C$32)),1,VLOOKUP(CONCATENATE($D494,$G494),CSRFinput!$B:$E,4,0))),0,IF(AND(VLOOKUP(CONCATENATE($D494,$G494),CSRFinput!$B:$E,4,0)=0,OR(H494=MappingTables!$C$31,H494=MappingTables!$C$32)),1,VLOOKUP(CONCATENATE($D494,$G494),CSRFinput!$B:$E,4,0)))</f>
        <v>0.054776304963434752</v>
      </c>
      <c r="S494" s="73">
        <f>IF(B494="",0,P494*R494)</f>
        <v>6.4242908150146104</v>
      </c>
      <c r="T494" s="85">
        <f>IF(B494="",0,IF(OR(H494=MappingTables!$C$34,H494=MappingTables!$C$35),S494,0))</f>
        <v>0</v>
      </c>
    </row>
    <row r="495" spans="2:20" s="0" customFormat="0" ht="15">
      <c r="B495" s="69" t="s">
        <v>4032</v>
      </c>
      <c r="C495" s="70" t="s">
        <v>4033</v>
      </c>
      <c r="D495" s="70" t="s">
        <v>1</v>
      </c>
      <c r="E495" s="70" t="s">
        <v>1</v>
      </c>
      <c r="F495" s="70"/>
      <c r="G495" s="70" t="s">
        <v>61</v>
      </c>
      <c r="H495" s="70" t="s">
        <v>178</v>
      </c>
      <c r="I495" s="70" t="s">
        <v>184</v>
      </c>
      <c r="J495" s="71">
        <f>IF(OR(I495=0,I495=""),"unrated",VLOOKUP(I495,MappingTables!$B$19:$C$31,2,FALSE))</f>
        <v>5</v>
      </c>
      <c r="K495" s="72">
        <v>74.04184510525456</v>
      </c>
      <c r="L495" s="70">
        <v>0.068490740632140736</v>
      </c>
      <c r="M495" s="71">
        <f>IF(L495&lt;1,1,L495)</f>
        <v>1</v>
      </c>
      <c r="N495" s="70" t="s">
        <v>3288</v>
      </c>
      <c r="O495" s="71">
        <f>IF(OR(I495=$A$1,I495=0),"",IF(N495=MappingTables!$C$14,VLOOKUP(J495,ModelParameters!$M$8:$N$15,2,FALSE),IF(N495=MappingTables!$C$16,VLOOKUP(J495,ModelParameters!$P$8:$Q$15,2,FALSE),0)))</f>
        <v>1</v>
      </c>
      <c r="P495" s="73">
        <f>IF(OR(I495=0,I495=$A$1),0,MIN(O495*M495,1)*K495)</f>
        <v>74.04184510525456</v>
      </c>
      <c r="Q495" s="73">
        <f>IF(B495="",0,IF(OR(H495=MappingTables!$C$34,H495=MappingTables!$C$35),P495,0))</f>
        <v>0</v>
      </c>
      <c r="R495" s="73">
        <f>IF(ISNA(IF(AND(VLOOKUP(CONCATENATE($D495,$G495),CSRFinput!$B:$E,4,0)=0,OR(H495=MappingTables!$C$31,H495=MappingTables!$C$32)),1,VLOOKUP(CONCATENATE($D495,$G495),CSRFinput!$B:$E,4,0))),0,IF(AND(VLOOKUP(CONCATENATE($D495,$G495),CSRFinput!$B:$E,4,0)=0,OR(H495=MappingTables!$C$31,H495=MappingTables!$C$32)),1,VLOOKUP(CONCATENATE($D495,$G495),CSRFinput!$B:$E,4,0)))</f>
        <v>0.054776304963434752</v>
      </c>
      <c r="S495" s="73">
        <f>IF(B495="",0,P495*R495)</f>
        <v>4.0557386875408232</v>
      </c>
      <c r="T495" s="85">
        <f>IF(B495="",0,IF(OR(H495=MappingTables!$C$34,H495=MappingTables!$C$35),S495,0))</f>
        <v>0</v>
      </c>
    </row>
    <row r="496" spans="2:20" s="0" customFormat="0" ht="15">
      <c r="B496" s="69">
        <v>948883</v>
      </c>
      <c r="C496" s="70" t="s">
        <v>3532</v>
      </c>
      <c r="D496" s="70" t="s">
        <v>1</v>
      </c>
      <c r="E496" s="70" t="s">
        <v>1</v>
      </c>
      <c r="F496" s="70"/>
      <c r="G496" s="70" t="s">
        <v>61</v>
      </c>
      <c r="H496" s="70" t="s">
        <v>178</v>
      </c>
      <c r="I496" s="70" t="s">
        <v>204</v>
      </c>
      <c r="J496" s="71">
        <f>IF(OR(I496=0,I496=""),"unrated",VLOOKUP(I496,MappingTables!$B$19:$C$31,2,FALSE))</f>
        <v>6</v>
      </c>
      <c r="K496" s="72">
        <v>334.57864353430828</v>
      </c>
      <c r="L496" s="70">
        <v>0.068494218684815008</v>
      </c>
      <c r="M496" s="71">
        <f>IF(L496&lt;1,1,L496)</f>
        <v>1</v>
      </c>
      <c r="N496" s="70" t="s">
        <v>3288</v>
      </c>
      <c r="O496" s="71">
        <f>IF(OR(I496=$A$1,I496=0),"",IF(N496=MappingTables!$C$14,VLOOKUP(J496,ModelParameters!$M$8:$N$15,2,FALSE),IF(N496=MappingTables!$C$16,VLOOKUP(J496,ModelParameters!$P$8:$Q$15,2,FALSE),0)))</f>
        <v>1</v>
      </c>
      <c r="P496" s="73">
        <f>IF(OR(I496=0,I496=$A$1),0,MIN(O496*M496,1)*K496)</f>
        <v>334.57864353430828</v>
      </c>
      <c r="Q496" s="73">
        <f>IF(B496="",0,IF(OR(H496=MappingTables!$C$34,H496=MappingTables!$C$35),P496,0))</f>
        <v>0</v>
      </c>
      <c r="R496" s="73">
        <f>IF(ISNA(IF(AND(VLOOKUP(CONCATENATE($D496,$G496),CSRFinput!$B:$E,4,0)=0,OR(H496=MappingTables!$C$31,H496=MappingTables!$C$32)),1,VLOOKUP(CONCATENATE($D496,$G496),CSRFinput!$B:$E,4,0))),0,IF(AND(VLOOKUP(CONCATENATE($D496,$G496),CSRFinput!$B:$E,4,0)=0,OR(H496=MappingTables!$C$31,H496=MappingTables!$C$32)),1,VLOOKUP(CONCATENATE($D496,$G496),CSRFinput!$B:$E,4,0)))</f>
        <v>0.054776304963434752</v>
      </c>
      <c r="S496" s="73">
        <f>IF(B496="",0,P496*R496)</f>
        <v>18.3269818124876</v>
      </c>
      <c r="T496" s="85">
        <f>IF(B496="",0,IF(OR(H496=MappingTables!$C$34,H496=MappingTables!$C$35),S496,0))</f>
        <v>0</v>
      </c>
    </row>
    <row r="497" spans="2:20" s="0" customFormat="0" ht="15">
      <c r="B497" s="69">
        <v>22281235</v>
      </c>
      <c r="C497" s="70" t="s">
        <v>4034</v>
      </c>
      <c r="D497" s="70" t="s">
        <v>1</v>
      </c>
      <c r="E497" s="70" t="s">
        <v>1</v>
      </c>
      <c r="F497" s="70"/>
      <c r="G497" s="70" t="s">
        <v>61</v>
      </c>
      <c r="H497" s="70" t="s">
        <v>178</v>
      </c>
      <c r="I497" s="70" t="s">
        <v>198</v>
      </c>
      <c r="J497" s="71" t="str">
        <f>IF(OR(I497=0,I497=""),"unrated",VLOOKUP(I497,MappingTables!$B$19:$C$31,2,FALSE))</f>
        <v>unrated</v>
      </c>
      <c r="K497" s="72">
        <v>818.769018801628</v>
      </c>
      <c r="L497" s="70">
        <v>4.6273051435252336</v>
      </c>
      <c r="M497" s="71">
        <f>IF(L497&lt;1,1,L497)</f>
        <v>4.6273051435252336</v>
      </c>
      <c r="N497" s="70" t="s">
        <v>3288</v>
      </c>
      <c r="O497" s="71">
        <f>IF(OR(I497=$A$1,I497=0),"",IF(N497=MappingTables!$C$14,VLOOKUP(J497,ModelParameters!$M$8:$N$15,2,FALSE),IF(N497=MappingTables!$C$16,VLOOKUP(J497,ModelParameters!$P$8:$Q$15,2,FALSE),0)))</f>
        <v>1</v>
      </c>
      <c r="P497" s="73">
        <f>IF(OR(I497=0,I497=$A$1),0,MIN(O497*M497,1)*K497)</f>
        <v>818.769018801628</v>
      </c>
      <c r="Q497" s="73">
        <f>IF(B497="",0,IF(OR(H497=MappingTables!$C$34,H497=MappingTables!$C$35),P497,0))</f>
        <v>0</v>
      </c>
      <c r="R497" s="73">
        <f>IF(ISNA(IF(AND(VLOOKUP(CONCATENATE($D497,$G497),CSRFinput!$B:$E,4,0)=0,OR(H497=MappingTables!$C$31,H497=MappingTables!$C$32)),1,VLOOKUP(CONCATENATE($D497,$G497),CSRFinput!$B:$E,4,0))),0,IF(AND(VLOOKUP(CONCATENATE($D497,$G497),CSRFinput!$B:$E,4,0)=0,OR(H497=MappingTables!$C$31,H497=MappingTables!$C$32)),1,VLOOKUP(CONCATENATE($D497,$G497),CSRFinput!$B:$E,4,0)))</f>
        <v>0.054776304963434752</v>
      </c>
      <c r="S497" s="73">
        <f>IF(B497="",0,P497*R497)</f>
        <v>44.849141468490216</v>
      </c>
      <c r="T497" s="85">
        <f>IF(B497="",0,IF(OR(H497=MappingTables!$C$34,H497=MappingTables!$C$35),S497,0))</f>
        <v>0</v>
      </c>
    </row>
    <row r="498" spans="2:20" s="0" customFormat="0" ht="15">
      <c r="B498" s="69" t="s">
        <v>4035</v>
      </c>
      <c r="C498" s="70" t="s">
        <v>4036</v>
      </c>
      <c r="D498" s="70" t="s">
        <v>1</v>
      </c>
      <c r="E498" s="70" t="s">
        <v>1</v>
      </c>
      <c r="F498" s="70"/>
      <c r="G498" s="70" t="s">
        <v>61</v>
      </c>
      <c r="H498" s="70" t="s">
        <v>178</v>
      </c>
      <c r="I498" s="70" t="s">
        <v>184</v>
      </c>
      <c r="J498" s="71">
        <f>IF(OR(I498=0,I498=""),"unrated",VLOOKUP(I498,MappingTables!$B$19:$C$31,2,FALSE))</f>
        <v>5</v>
      </c>
      <c r="K498" s="72">
        <v>1012.803590969668</v>
      </c>
      <c r="L498" s="70">
        <v>0.061840300221075928</v>
      </c>
      <c r="M498" s="71">
        <f>IF(L498&lt;1,1,L498)</f>
        <v>1</v>
      </c>
      <c r="N498" s="70" t="s">
        <v>3288</v>
      </c>
      <c r="O498" s="71">
        <f>IF(OR(I498=$A$1,I498=0),"",IF(N498=MappingTables!$C$14,VLOOKUP(J498,ModelParameters!$M$8:$N$15,2,FALSE),IF(N498=MappingTables!$C$16,VLOOKUP(J498,ModelParameters!$P$8:$Q$15,2,FALSE),0)))</f>
        <v>1</v>
      </c>
      <c r="P498" s="73">
        <f>IF(OR(I498=0,I498=$A$1),0,MIN(O498*M498,1)*K498)</f>
        <v>1012.803590969668</v>
      </c>
      <c r="Q498" s="73">
        <f>IF(B498="",0,IF(OR(H498=MappingTables!$C$34,H498=MappingTables!$C$35),P498,0))</f>
        <v>0</v>
      </c>
      <c r="R498" s="73">
        <f>IF(ISNA(IF(AND(VLOOKUP(CONCATENATE($D498,$G498),CSRFinput!$B:$E,4,0)=0,OR(H498=MappingTables!$C$31,H498=MappingTables!$C$32)),1,VLOOKUP(CONCATENATE($D498,$G498),CSRFinput!$B:$E,4,0))),0,IF(AND(VLOOKUP(CONCATENATE($D498,$G498),CSRFinput!$B:$E,4,0)=0,OR(H498=MappingTables!$C$31,H498=MappingTables!$C$32)),1,VLOOKUP(CONCATENATE($D498,$G498),CSRFinput!$B:$E,4,0)))</f>
        <v>0.054776304963434752</v>
      </c>
      <c r="S498" s="73">
        <f>IF(B498="",0,P498*R498)</f>
        <v>55.477638367016368</v>
      </c>
      <c r="T498" s="85">
        <f>IF(B498="",0,IF(OR(H498=MappingTables!$C$34,H498=MappingTables!$C$35),S498,0))</f>
        <v>0</v>
      </c>
    </row>
    <row r="499" spans="2:20" s="0" customFormat="0" ht="15">
      <c r="B499" s="69" t="s">
        <v>4037</v>
      </c>
      <c r="C499" s="70" t="s">
        <v>4038</v>
      </c>
      <c r="D499" s="70" t="s">
        <v>1</v>
      </c>
      <c r="E499" s="70" t="s">
        <v>1</v>
      </c>
      <c r="F499" s="70"/>
      <c r="G499" s="70" t="s">
        <v>61</v>
      </c>
      <c r="H499" s="70" t="s">
        <v>178</v>
      </c>
      <c r="I499" s="70" t="s">
        <v>198</v>
      </c>
      <c r="J499" s="71" t="str">
        <f>IF(OR(I499=0,I499=""),"unrated",VLOOKUP(I499,MappingTables!$B$19:$C$31,2,FALSE))</f>
        <v>unrated</v>
      </c>
      <c r="K499" s="72">
        <v>6838.679128693068</v>
      </c>
      <c r="L499" s="70">
        <v>12.113383503268316</v>
      </c>
      <c r="M499" s="71">
        <f>IF(L499&lt;1,1,L499)</f>
        <v>12.113383503268316</v>
      </c>
      <c r="N499" s="70" t="s">
        <v>3288</v>
      </c>
      <c r="O499" s="71">
        <f>IF(OR(I499=$A$1,I499=0),"",IF(N499=MappingTables!$C$14,VLOOKUP(J499,ModelParameters!$M$8:$N$15,2,FALSE),IF(N499=MappingTables!$C$16,VLOOKUP(J499,ModelParameters!$P$8:$Q$15,2,FALSE),0)))</f>
        <v>1</v>
      </c>
      <c r="P499" s="73">
        <f>IF(OR(I499=0,I499=$A$1),0,MIN(O499*M499,1)*K499)</f>
        <v>6838.679128693068</v>
      </c>
      <c r="Q499" s="73">
        <f>IF(B499="",0,IF(OR(H499=MappingTables!$C$34,H499=MappingTables!$C$35),P499,0))</f>
        <v>0</v>
      </c>
      <c r="R499" s="73">
        <f>IF(ISNA(IF(AND(VLOOKUP(CONCATENATE($D499,$G499),CSRFinput!$B:$E,4,0)=0,OR(H499=MappingTables!$C$31,H499=MappingTables!$C$32)),1,VLOOKUP(CONCATENATE($D499,$G499),CSRFinput!$B:$E,4,0))),0,IF(AND(VLOOKUP(CONCATENATE($D499,$G499),CSRFinput!$B:$E,4,0)=0,OR(H499=MappingTables!$C$31,H499=MappingTables!$C$32)),1,VLOOKUP(CONCATENATE($D499,$G499),CSRFinput!$B:$E,4,0)))</f>
        <v>0.054776304963434752</v>
      </c>
      <c r="S499" s="73">
        <f>IF(B499="",0,P499*R499)</f>
        <v>374.59757350036776</v>
      </c>
      <c r="T499" s="85">
        <f>IF(B499="",0,IF(OR(H499=MappingTables!$C$34,H499=MappingTables!$C$35),S499,0))</f>
        <v>0</v>
      </c>
    </row>
    <row r="500" spans="2:20" s="0" customFormat="0" ht="15">
      <c r="B500" s="69" t="s">
        <v>4039</v>
      </c>
      <c r="C500" s="70" t="s">
        <v>4040</v>
      </c>
      <c r="D500" s="70" t="s">
        <v>1</v>
      </c>
      <c r="E500" s="70" t="s">
        <v>1</v>
      </c>
      <c r="F500" s="70"/>
      <c r="G500" s="70" t="s">
        <v>61</v>
      </c>
      <c r="H500" s="70" t="s">
        <v>178</v>
      </c>
      <c r="I500" s="70" t="s">
        <v>198</v>
      </c>
      <c r="J500" s="71" t="str">
        <f>IF(OR(I500=0,I500=""),"unrated",VLOOKUP(I500,MappingTables!$B$19:$C$31,2,FALSE))</f>
        <v>unrated</v>
      </c>
      <c r="K500" s="72">
        <v>10.723418387186484</v>
      </c>
      <c r="L500" s="70">
        <v>0.069864581761545</v>
      </c>
      <c r="M500" s="71">
        <f>IF(L500&lt;1,1,L500)</f>
        <v>1</v>
      </c>
      <c r="N500" s="70" t="s">
        <v>3288</v>
      </c>
      <c r="O500" s="71">
        <f>IF(OR(I500=$A$1,I500=0),"",IF(N500=MappingTables!$C$14,VLOOKUP(J500,ModelParameters!$M$8:$N$15,2,FALSE),IF(N500=MappingTables!$C$16,VLOOKUP(J500,ModelParameters!$P$8:$Q$15,2,FALSE),0)))</f>
        <v>1</v>
      </c>
      <c r="P500" s="73">
        <f>IF(OR(I500=0,I500=$A$1),0,MIN(O500*M500,1)*K500)</f>
        <v>10.723418387186484</v>
      </c>
      <c r="Q500" s="73">
        <f>IF(B500="",0,IF(OR(H500=MappingTables!$C$34,H500=MappingTables!$C$35),P500,0))</f>
        <v>0</v>
      </c>
      <c r="R500" s="73">
        <f>IF(ISNA(IF(AND(VLOOKUP(CONCATENATE($D500,$G500),CSRFinput!$B:$E,4,0)=0,OR(H500=MappingTables!$C$31,H500=MappingTables!$C$32)),1,VLOOKUP(CONCATENATE($D500,$G500),CSRFinput!$B:$E,4,0))),0,IF(AND(VLOOKUP(CONCATENATE($D500,$G500),CSRFinput!$B:$E,4,0)=0,OR(H500=MappingTables!$C$31,H500=MappingTables!$C$32)),1,VLOOKUP(CONCATENATE($D500,$G500),CSRFinput!$B:$E,4,0)))</f>
        <v>0.054776304963434752</v>
      </c>
      <c r="S500" s="73">
        <f>IF(B500="",0,P500*R500)</f>
        <v>0.58738923582703048</v>
      </c>
      <c r="T500" s="85">
        <f>IF(B500="",0,IF(OR(H500=MappingTables!$C$34,H500=MappingTables!$C$35),S500,0))</f>
        <v>0</v>
      </c>
    </row>
    <row r="501" spans="2:20" s="0" customFormat="0" ht="15">
      <c r="B501" s="69">
        <v>24748844</v>
      </c>
      <c r="C501" s="70" t="s">
        <v>4041</v>
      </c>
      <c r="D501" s="70" t="s">
        <v>1</v>
      </c>
      <c r="E501" s="70" t="s">
        <v>1</v>
      </c>
      <c r="F501" s="70"/>
      <c r="G501" s="70" t="s">
        <v>61</v>
      </c>
      <c r="H501" s="70" t="s">
        <v>178</v>
      </c>
      <c r="I501" s="70" t="s">
        <v>198</v>
      </c>
      <c r="J501" s="71" t="str">
        <f>IF(OR(I501=0,I501=""),"unrated",VLOOKUP(I501,MappingTables!$B$19:$C$31,2,FALSE))</f>
        <v>unrated</v>
      </c>
      <c r="K501" s="72">
        <v>1600.5702963062674</v>
      </c>
      <c r="L501" s="70">
        <v>0.098225216619319472</v>
      </c>
      <c r="M501" s="71">
        <f>IF(L501&lt;1,1,L501)</f>
        <v>1</v>
      </c>
      <c r="N501" s="70" t="s">
        <v>3288</v>
      </c>
      <c r="O501" s="71">
        <f>IF(OR(I501=$A$1,I501=0),"",IF(N501=MappingTables!$C$14,VLOOKUP(J501,ModelParameters!$M$8:$N$15,2,FALSE),IF(N501=MappingTables!$C$16,VLOOKUP(J501,ModelParameters!$P$8:$Q$15,2,FALSE),0)))</f>
        <v>1</v>
      </c>
      <c r="P501" s="73">
        <f>IF(OR(I501=0,I501=$A$1),0,MIN(O501*M501,1)*K501)</f>
        <v>1600.5702963062674</v>
      </c>
      <c r="Q501" s="73">
        <f>IF(B501="",0,IF(OR(H501=MappingTables!$C$34,H501=MappingTables!$C$35),P501,0))</f>
        <v>0</v>
      </c>
      <c r="R501" s="73">
        <f>IF(ISNA(IF(AND(VLOOKUP(CONCATENATE($D501,$G501),CSRFinput!$B:$E,4,0)=0,OR(H501=MappingTables!$C$31,H501=MappingTables!$C$32)),1,VLOOKUP(CONCATENATE($D501,$G501),CSRFinput!$B:$E,4,0))),0,IF(AND(VLOOKUP(CONCATENATE($D501,$G501),CSRFinput!$B:$E,4,0)=0,OR(H501=MappingTables!$C$31,H501=MappingTables!$C$32)),1,VLOOKUP(CONCATENATE($D501,$G501),CSRFinput!$B:$E,4,0)))</f>
        <v>0.054776304963434752</v>
      </c>
      <c r="S501" s="73">
        <f>IF(B501="",0,P501*R501)</f>
        <v>87.673326665887232</v>
      </c>
      <c r="T501" s="85">
        <f>IF(B501="",0,IF(OR(H501=MappingTables!$C$34,H501=MappingTables!$C$35),S501,0))</f>
        <v>0</v>
      </c>
    </row>
    <row r="502" spans="2:20" s="0" customFormat="0" ht="15">
      <c r="B502" s="69">
        <v>6429885</v>
      </c>
      <c r="C502" s="70" t="s">
        <v>4042</v>
      </c>
      <c r="D502" s="70" t="s">
        <v>1</v>
      </c>
      <c r="E502" s="70" t="s">
        <v>1</v>
      </c>
      <c r="F502" s="70"/>
      <c r="G502" s="70" t="s">
        <v>61</v>
      </c>
      <c r="H502" s="70" t="s">
        <v>178</v>
      </c>
      <c r="I502" s="70" t="s">
        <v>3298</v>
      </c>
      <c r="J502" s="71">
        <f>IF(OR(I502=0,I502=""),"unrated",VLOOKUP(I502,MappingTables!$B$19:$C$31,2,FALSE))</f>
        <v>6</v>
      </c>
      <c r="K502" s="72">
        <v>225.28925358899496</v>
      </c>
      <c r="L502" s="70">
        <v>-0.8263477440026736</v>
      </c>
      <c r="M502" s="71">
        <f>IF(L502&lt;1,1,L502)</f>
        <v>1</v>
      </c>
      <c r="N502" s="70" t="s">
        <v>3288</v>
      </c>
      <c r="O502" s="71">
        <f>IF(OR(I502=$A$1,I502=0),"",IF(N502=MappingTables!$C$14,VLOOKUP(J502,ModelParameters!$M$8:$N$15,2,FALSE),IF(N502=MappingTables!$C$16,VLOOKUP(J502,ModelParameters!$P$8:$Q$15,2,FALSE),0)))</f>
        <v>1</v>
      </c>
      <c r="P502" s="73">
        <f>IF(OR(I502=0,I502=$A$1),0,MIN(O502*M502,1)*K502)</f>
        <v>225.28925358899496</v>
      </c>
      <c r="Q502" s="73">
        <f>IF(B502="",0,IF(OR(H502=MappingTables!$C$34,H502=MappingTables!$C$35),P502,0))</f>
        <v>0</v>
      </c>
      <c r="R502" s="73">
        <f>IF(ISNA(IF(AND(VLOOKUP(CONCATENATE($D502,$G502),CSRFinput!$B:$E,4,0)=0,OR(H502=MappingTables!$C$31,H502=MappingTables!$C$32)),1,VLOOKUP(CONCATENATE($D502,$G502),CSRFinput!$B:$E,4,0))),0,IF(AND(VLOOKUP(CONCATENATE($D502,$G502),CSRFinput!$B:$E,4,0)=0,OR(H502=MappingTables!$C$31,H502=MappingTables!$C$32)),1,VLOOKUP(CONCATENATE($D502,$G502),CSRFinput!$B:$E,4,0)))</f>
        <v>0.054776304963434752</v>
      </c>
      <c r="S502" s="73">
        <f>IF(B502="",0,P502*R502)</f>
        <v>12.340512859575376</v>
      </c>
      <c r="T502" s="85">
        <f>IF(B502="",0,IF(OR(H502=MappingTables!$C$34,H502=MappingTables!$C$35),S502,0))</f>
        <v>0</v>
      </c>
    </row>
    <row r="503" spans="2:20" s="0" customFormat="0" ht="15">
      <c r="B503" s="69">
        <v>11578832</v>
      </c>
      <c r="C503" s="70" t="s">
        <v>4043</v>
      </c>
      <c r="D503" s="70" t="s">
        <v>1</v>
      </c>
      <c r="E503" s="70" t="s">
        <v>1</v>
      </c>
      <c r="F503" s="70"/>
      <c r="G503" s="70" t="s">
        <v>61</v>
      </c>
      <c r="H503" s="70" t="s">
        <v>178</v>
      </c>
      <c r="I503" s="70" t="s">
        <v>216</v>
      </c>
      <c r="J503" s="71">
        <f>IF(OR(I503=0,I503=""),"unrated",VLOOKUP(I503,MappingTables!$B$19:$C$31,2,FALSE))</f>
        <v>0</v>
      </c>
      <c r="K503" s="72">
        <v>1175.2854369224394</v>
      </c>
      <c r="L503" s="70">
        <v>3.9671605922385144</v>
      </c>
      <c r="M503" s="71">
        <f>IF(L503&lt;1,1,L503)</f>
        <v>3.9671605922385144</v>
      </c>
      <c r="N503" s="70" t="s">
        <v>3288</v>
      </c>
      <c r="O503" s="71">
        <f>IF(OR(I503=$A$1,I503=0),"",IF(N503=MappingTables!$C$14,VLOOKUP(J503,ModelParameters!$M$8:$N$15,2,FALSE),IF(N503=MappingTables!$C$16,VLOOKUP(J503,ModelParameters!$P$8:$Q$15,2,FALSE),0)))</f>
        <v>0.125</v>
      </c>
      <c r="P503" s="73">
        <f>IF(OR(I503=0,I503=$A$1),0,MIN(O503*M503,1)*K503)</f>
        <v>582.81825874881576</v>
      </c>
      <c r="Q503" s="73">
        <f>IF(B503="",0,IF(OR(H503=MappingTables!$C$34,H503=MappingTables!$C$35),P503,0))</f>
        <v>0</v>
      </c>
      <c r="R503" s="73">
        <f>IF(ISNA(IF(AND(VLOOKUP(CONCATENATE($D503,$G503),CSRFinput!$B:$E,4,0)=0,OR(H503=MappingTables!$C$31,H503=MappingTables!$C$32)),1,VLOOKUP(CONCATENATE($D503,$G503),CSRFinput!$B:$E,4,0))),0,IF(AND(VLOOKUP(CONCATENATE($D503,$G503),CSRFinput!$B:$E,4,0)=0,OR(H503=MappingTables!$C$31,H503=MappingTables!$C$32)),1,VLOOKUP(CONCATENATE($D503,$G503),CSRFinput!$B:$E,4,0)))</f>
        <v>0.054776304963434752</v>
      </c>
      <c r="S503" s="73">
        <f>IF(B503="",0,P503*R503)</f>
        <v>31.92463067948316</v>
      </c>
      <c r="T503" s="85">
        <f>IF(B503="",0,IF(OR(H503=MappingTables!$C$34,H503=MappingTables!$C$35),S503,0))</f>
        <v>0</v>
      </c>
    </row>
    <row r="504" spans="2:20" s="0" customFormat="0" ht="15">
      <c r="B504" s="69">
        <v>18423530</v>
      </c>
      <c r="C504" s="70" t="s">
        <v>4044</v>
      </c>
      <c r="D504" s="70" t="s">
        <v>1</v>
      </c>
      <c r="E504" s="70" t="s">
        <v>1</v>
      </c>
      <c r="F504" s="70"/>
      <c r="G504" s="70" t="s">
        <v>61</v>
      </c>
      <c r="H504" s="70" t="s">
        <v>178</v>
      </c>
      <c r="I504" s="70" t="s">
        <v>216</v>
      </c>
      <c r="J504" s="71">
        <f>IF(OR(I504=0,I504=""),"unrated",VLOOKUP(I504,MappingTables!$B$19:$C$31,2,FALSE))</f>
        <v>0</v>
      </c>
      <c r="K504" s="72">
        <v>485.4739997150804</v>
      </c>
      <c r="L504" s="70">
        <v>0.010771557721697484</v>
      </c>
      <c r="M504" s="71">
        <f>IF(L504&lt;1,1,L504)</f>
        <v>1</v>
      </c>
      <c r="N504" s="70" t="s">
        <v>3288</v>
      </c>
      <c r="O504" s="71">
        <f>IF(OR(I504=$A$1,I504=0),"",IF(N504=MappingTables!$C$14,VLOOKUP(J504,ModelParameters!$M$8:$N$15,2,FALSE),IF(N504=MappingTables!$C$16,VLOOKUP(J504,ModelParameters!$P$8:$Q$15,2,FALSE),0)))</f>
        <v>0.125</v>
      </c>
      <c r="P504" s="73">
        <f>IF(OR(I504=0,I504=$A$1),0,MIN(O504*M504,1)*K504)</f>
        <v>60.684249964385048</v>
      </c>
      <c r="Q504" s="73">
        <f>IF(B504="",0,IF(OR(H504=MappingTables!$C$34,H504=MappingTables!$C$35),P504,0))</f>
        <v>0</v>
      </c>
      <c r="R504" s="73">
        <f>IF(ISNA(IF(AND(VLOOKUP(CONCATENATE($D504,$G504),CSRFinput!$B:$E,4,0)=0,OR(H504=MappingTables!$C$31,H504=MappingTables!$C$32)),1,VLOOKUP(CONCATENATE($D504,$G504),CSRFinput!$B:$E,4,0))),0,IF(AND(VLOOKUP(CONCATENATE($D504,$G504),CSRFinput!$B:$E,4,0)=0,OR(H504=MappingTables!$C$31,H504=MappingTables!$C$32)),1,VLOOKUP(CONCATENATE($D504,$G504),CSRFinput!$B:$E,4,0)))</f>
        <v>0.054776304963434752</v>
      </c>
      <c r="S504" s="73">
        <f>IF(B504="",0,P504*R504)</f>
        <v>3.3240589825264596</v>
      </c>
      <c r="T504" s="85">
        <f>IF(B504="",0,IF(OR(H504=MappingTables!$C$34,H504=MappingTables!$C$35),S504,0))</f>
        <v>0</v>
      </c>
    </row>
    <row r="505" spans="2:20" s="0" customFormat="0" ht="15">
      <c r="B505" s="69" t="s">
        <v>4045</v>
      </c>
      <c r="C505" s="70" t="s">
        <v>4046</v>
      </c>
      <c r="D505" s="70" t="s">
        <v>1</v>
      </c>
      <c r="E505" s="70" t="s">
        <v>1</v>
      </c>
      <c r="F505" s="70"/>
      <c r="G505" s="70" t="s">
        <v>61</v>
      </c>
      <c r="H505" s="70" t="s">
        <v>178</v>
      </c>
      <c r="I505" s="70" t="s">
        <v>198</v>
      </c>
      <c r="J505" s="71" t="str">
        <f>IF(OR(I505=0,I505=""),"unrated",VLOOKUP(I505,MappingTables!$B$19:$C$31,2,FALSE))</f>
        <v>unrated</v>
      </c>
      <c r="K505" s="72">
        <v>395.52060697724304</v>
      </c>
      <c r="L505" s="70">
        <v>18.000844054175836</v>
      </c>
      <c r="M505" s="71">
        <f>IF(L505&lt;1,1,L505)</f>
        <v>18.000844054175836</v>
      </c>
      <c r="N505" s="70" t="s">
        <v>3288</v>
      </c>
      <c r="O505" s="71">
        <f>IF(OR(I505=$A$1,I505=0),"",IF(N505=MappingTables!$C$14,VLOOKUP(J505,ModelParameters!$M$8:$N$15,2,FALSE),IF(N505=MappingTables!$C$16,VLOOKUP(J505,ModelParameters!$P$8:$Q$15,2,FALSE),0)))</f>
        <v>1</v>
      </c>
      <c r="P505" s="73">
        <f>IF(OR(I505=0,I505=$A$1),0,MIN(O505*M505,1)*K505)</f>
        <v>395.52060697724304</v>
      </c>
      <c r="Q505" s="73">
        <f>IF(B505="",0,IF(OR(H505=MappingTables!$C$34,H505=MappingTables!$C$35),P505,0))</f>
        <v>0</v>
      </c>
      <c r="R505" s="73">
        <f>IF(ISNA(IF(AND(VLOOKUP(CONCATENATE($D505,$G505),CSRFinput!$B:$E,4,0)=0,OR(H505=MappingTables!$C$31,H505=MappingTables!$C$32)),1,VLOOKUP(CONCATENATE($D505,$G505),CSRFinput!$B:$E,4,0))),0,IF(AND(VLOOKUP(CONCATENATE($D505,$G505),CSRFinput!$B:$E,4,0)=0,OR(H505=MappingTables!$C$31,H505=MappingTables!$C$32)),1,VLOOKUP(CONCATENATE($D505,$G505),CSRFinput!$B:$E,4,0)))</f>
        <v>0.054776304963434752</v>
      </c>
      <c r="S505" s="73">
        <f>IF(B505="",0,P505*R505)</f>
        <v>21.665157387108284</v>
      </c>
      <c r="T505" s="85">
        <f>IF(B505="",0,IF(OR(H505=MappingTables!$C$34,H505=MappingTables!$C$35),S505,0))</f>
        <v>0</v>
      </c>
    </row>
    <row r="506" spans="2:20" s="0" customFormat="0" ht="15">
      <c r="B506" s="69" t="s">
        <v>4047</v>
      </c>
      <c r="C506" s="70" t="s">
        <v>4048</v>
      </c>
      <c r="D506" s="70" t="s">
        <v>1</v>
      </c>
      <c r="E506" s="70" t="s">
        <v>1</v>
      </c>
      <c r="F506" s="70"/>
      <c r="G506" s="70" t="s">
        <v>61</v>
      </c>
      <c r="H506" s="70" t="s">
        <v>178</v>
      </c>
      <c r="I506" s="70" t="s">
        <v>3298</v>
      </c>
      <c r="J506" s="71">
        <f>IF(OR(I506=0,I506=""),"unrated",VLOOKUP(I506,MappingTables!$B$19:$C$31,2,FALSE))</f>
        <v>6</v>
      </c>
      <c r="K506" s="72">
        <v>235.6671726941294</v>
      </c>
      <c r="L506" s="70">
        <v>-0.081561730220425328</v>
      </c>
      <c r="M506" s="71">
        <f>IF(L506&lt;1,1,L506)</f>
        <v>1</v>
      </c>
      <c r="N506" s="70" t="s">
        <v>3288</v>
      </c>
      <c r="O506" s="71">
        <f>IF(OR(I506=$A$1,I506=0),"",IF(N506=MappingTables!$C$14,VLOOKUP(J506,ModelParameters!$M$8:$N$15,2,FALSE),IF(N506=MappingTables!$C$16,VLOOKUP(J506,ModelParameters!$P$8:$Q$15,2,FALSE),0)))</f>
        <v>1</v>
      </c>
      <c r="P506" s="73">
        <f>IF(OR(I506=0,I506=$A$1),0,MIN(O506*M506,1)*K506)</f>
        <v>235.6671726941294</v>
      </c>
      <c r="Q506" s="73">
        <f>IF(B506="",0,IF(OR(H506=MappingTables!$C$34,H506=MappingTables!$C$35),P506,0))</f>
        <v>0</v>
      </c>
      <c r="R506" s="73">
        <f>IF(ISNA(IF(AND(VLOOKUP(CONCATENATE($D506,$G506),CSRFinput!$B:$E,4,0)=0,OR(H506=MappingTables!$C$31,H506=MappingTables!$C$32)),1,VLOOKUP(CONCATENATE($D506,$G506),CSRFinput!$B:$E,4,0))),0,IF(AND(VLOOKUP(CONCATENATE($D506,$G506),CSRFinput!$B:$E,4,0)=0,OR(H506=MappingTables!$C$31,H506=MappingTables!$C$32)),1,VLOOKUP(CONCATENATE($D506,$G506),CSRFinput!$B:$E,4,0)))</f>
        <v>0.054776304963434752</v>
      </c>
      <c r="S506" s="73">
        <f>IF(B506="",0,P506*R506)</f>
        <v>12.908976921364076</v>
      </c>
      <c r="T506" s="85">
        <f>IF(B506="",0,IF(OR(H506=MappingTables!$C$34,H506=MappingTables!$C$35),S506,0))</f>
        <v>0</v>
      </c>
    </row>
    <row r="507" spans="2:20" s="0" customFormat="0" ht="15">
      <c r="B507" s="69">
        <v>3625199</v>
      </c>
      <c r="C507" s="70" t="s">
        <v>4049</v>
      </c>
      <c r="D507" s="70" t="s">
        <v>1</v>
      </c>
      <c r="E507" s="70" t="s">
        <v>1</v>
      </c>
      <c r="F507" s="70"/>
      <c r="G507" s="70" t="s">
        <v>61</v>
      </c>
      <c r="H507" s="70" t="s">
        <v>178</v>
      </c>
      <c r="I507" s="70" t="s">
        <v>181</v>
      </c>
      <c r="J507" s="71">
        <f>IF(OR(I507=0,I507=""),"unrated",VLOOKUP(I507,MappingTables!$B$19:$C$31,2,FALSE))</f>
        <v>3</v>
      </c>
      <c r="K507" s="72">
        <v>206.08869035851856</v>
      </c>
      <c r="L507" s="70">
        <v>9.8650769835634352</v>
      </c>
      <c r="M507" s="71">
        <f>IF(L507&lt;1,1,L507)</f>
        <v>9.8650769835634352</v>
      </c>
      <c r="N507" s="70" t="s">
        <v>3288</v>
      </c>
      <c r="O507" s="71">
        <f>IF(OR(I507=$A$1,I507=0),"",IF(N507=MappingTables!$C$14,VLOOKUP(J507,ModelParameters!$M$8:$N$15,2,FALSE),IF(N507=MappingTables!$C$16,VLOOKUP(J507,ModelParameters!$P$8:$Q$15,2,FALSE),0)))</f>
        <v>0.197</v>
      </c>
      <c r="P507" s="73">
        <f>IF(OR(I507=0,I507=$A$1),0,MIN(O507*M507,1)*K507)</f>
        <v>206.08869035851856</v>
      </c>
      <c r="Q507" s="73">
        <f>IF(B507="",0,IF(OR(H507=MappingTables!$C$34,H507=MappingTables!$C$35),P507,0))</f>
        <v>0</v>
      </c>
      <c r="R507" s="73">
        <f>IF(ISNA(IF(AND(VLOOKUP(CONCATENATE($D507,$G507),CSRFinput!$B:$E,4,0)=0,OR(H507=MappingTables!$C$31,H507=MappingTables!$C$32)),1,VLOOKUP(CONCATENATE($D507,$G507),CSRFinput!$B:$E,4,0))),0,IF(AND(VLOOKUP(CONCATENATE($D507,$G507),CSRFinput!$B:$E,4,0)=0,OR(H507=MappingTables!$C$31,H507=MappingTables!$C$32)),1,VLOOKUP(CONCATENATE($D507,$G507),CSRFinput!$B:$E,4,0)))</f>
        <v>0.054776304963434752</v>
      </c>
      <c r="S507" s="73">
        <f>IF(B507="",0,P507*R507)</f>
        <v>11.28877695259309</v>
      </c>
      <c r="T507" s="85">
        <f>IF(B507="",0,IF(OR(H507=MappingTables!$C$34,H507=MappingTables!$C$35),S507,0))</f>
        <v>0</v>
      </c>
    </row>
    <row r="508" spans="2:20" s="0" customFormat="0" ht="15">
      <c r="B508" s="69">
        <v>2264351</v>
      </c>
      <c r="C508" s="70" t="s">
        <v>4050</v>
      </c>
      <c r="D508" s="70" t="s">
        <v>1</v>
      </c>
      <c r="E508" s="70" t="s">
        <v>1</v>
      </c>
      <c r="F508" s="70"/>
      <c r="G508" s="70" t="s">
        <v>61</v>
      </c>
      <c r="H508" s="70" t="s">
        <v>178</v>
      </c>
      <c r="I508" s="70" t="s">
        <v>204</v>
      </c>
      <c r="J508" s="71">
        <f>IF(OR(I508=0,I508=""),"unrated",VLOOKUP(I508,MappingTables!$B$19:$C$31,2,FALSE))</f>
        <v>6</v>
      </c>
      <c r="K508" s="72">
        <v>42.751486422941728</v>
      </c>
      <c r="L508" s="70">
        <v>0.068492851061512888</v>
      </c>
      <c r="M508" s="71">
        <f>IF(L508&lt;1,1,L508)</f>
        <v>1</v>
      </c>
      <c r="N508" s="70" t="s">
        <v>3288</v>
      </c>
      <c r="O508" s="71">
        <f>IF(OR(I508=$A$1,I508=0),"",IF(N508=MappingTables!$C$14,VLOOKUP(J508,ModelParameters!$M$8:$N$15,2,FALSE),IF(N508=MappingTables!$C$16,VLOOKUP(J508,ModelParameters!$P$8:$Q$15,2,FALSE),0)))</f>
        <v>1</v>
      </c>
      <c r="P508" s="73">
        <f>IF(OR(I508=0,I508=$A$1),0,MIN(O508*M508,1)*K508)</f>
        <v>42.751486422941728</v>
      </c>
      <c r="Q508" s="73">
        <f>IF(B508="",0,IF(OR(H508=MappingTables!$C$34,H508=MappingTables!$C$35),P508,0))</f>
        <v>0</v>
      </c>
      <c r="R508" s="73">
        <f>IF(ISNA(IF(AND(VLOOKUP(CONCATENATE($D508,$G508),CSRFinput!$B:$E,4,0)=0,OR(H508=MappingTables!$C$31,H508=MappingTables!$C$32)),1,VLOOKUP(CONCATENATE($D508,$G508),CSRFinput!$B:$E,4,0))),0,IF(AND(VLOOKUP(CONCATENATE($D508,$G508),CSRFinput!$B:$E,4,0)=0,OR(H508=MappingTables!$C$31,H508=MappingTables!$C$32)),1,VLOOKUP(CONCATENATE($D508,$G508),CSRFinput!$B:$E,4,0)))</f>
        <v>0.054776304963434752</v>
      </c>
      <c r="S508" s="73">
        <f>IF(B508="",0,P508*R508)</f>
        <v>2.3417684579431964</v>
      </c>
      <c r="T508" s="85">
        <f>IF(B508="",0,IF(OR(H508=MappingTables!$C$34,H508=MappingTables!$C$35),S508,0))</f>
        <v>0</v>
      </c>
    </row>
    <row r="509" spans="2:20" s="0" customFormat="0" ht="15">
      <c r="B509" s="69" t="s">
        <v>4051</v>
      </c>
      <c r="C509" s="70" t="s">
        <v>4052</v>
      </c>
      <c r="D509" s="70" t="s">
        <v>1</v>
      </c>
      <c r="E509" s="70" t="s">
        <v>1</v>
      </c>
      <c r="F509" s="70"/>
      <c r="G509" s="70" t="s">
        <v>61</v>
      </c>
      <c r="H509" s="70" t="s">
        <v>178</v>
      </c>
      <c r="I509" s="70" t="s">
        <v>204</v>
      </c>
      <c r="J509" s="71">
        <f>IF(OR(I509=0,I509=""),"unrated",VLOOKUP(I509,MappingTables!$B$19:$C$31,2,FALSE))</f>
        <v>6</v>
      </c>
      <c r="K509" s="72">
        <v>252.45599576714464</v>
      </c>
      <c r="L509" s="70">
        <v>0.068494696366195152</v>
      </c>
      <c r="M509" s="71">
        <f>IF(L509&lt;1,1,L509)</f>
        <v>1</v>
      </c>
      <c r="N509" s="70" t="s">
        <v>3288</v>
      </c>
      <c r="O509" s="71">
        <f>IF(OR(I509=$A$1,I509=0),"",IF(N509=MappingTables!$C$14,VLOOKUP(J509,ModelParameters!$M$8:$N$15,2,FALSE),IF(N509=MappingTables!$C$16,VLOOKUP(J509,ModelParameters!$P$8:$Q$15,2,FALSE),0)))</f>
        <v>1</v>
      </c>
      <c r="P509" s="73">
        <f>IF(OR(I509=0,I509=$A$1),0,MIN(O509*M509,1)*K509)</f>
        <v>252.45599576714464</v>
      </c>
      <c r="Q509" s="73">
        <f>IF(B509="",0,IF(OR(H509=MappingTables!$C$34,H509=MappingTables!$C$35),P509,0))</f>
        <v>0</v>
      </c>
      <c r="R509" s="73">
        <f>IF(ISNA(IF(AND(VLOOKUP(CONCATENATE($D509,$G509),CSRFinput!$B:$E,4,0)=0,OR(H509=MappingTables!$C$31,H509=MappingTables!$C$32)),1,VLOOKUP(CONCATENATE($D509,$G509),CSRFinput!$B:$E,4,0))),0,IF(AND(VLOOKUP(CONCATENATE($D509,$G509),CSRFinput!$B:$E,4,0)=0,OR(H509=MappingTables!$C$31,H509=MappingTables!$C$32)),1,VLOOKUP(CONCATENATE($D509,$G509),CSRFinput!$B:$E,4,0)))</f>
        <v>0.054776304963434752</v>
      </c>
      <c r="S509" s="73">
        <f>IF(B509="",0,P509*R509)</f>
        <v>13.82860661398871</v>
      </c>
      <c r="T509" s="85">
        <f>IF(B509="",0,IF(OR(H509=MappingTables!$C$34,H509=MappingTables!$C$35),S509,0))</f>
        <v>0</v>
      </c>
    </row>
    <row r="510" spans="2:20" s="0" customFormat="0" ht="15">
      <c r="B510" s="69" t="s">
        <v>4053</v>
      </c>
      <c r="C510" s="70" t="s">
        <v>4054</v>
      </c>
      <c r="D510" s="70" t="s">
        <v>1</v>
      </c>
      <c r="E510" s="70" t="s">
        <v>1</v>
      </c>
      <c r="F510" s="70"/>
      <c r="G510" s="70" t="s">
        <v>61</v>
      </c>
      <c r="H510" s="70" t="s">
        <v>178</v>
      </c>
      <c r="I510" s="70" t="s">
        <v>513</v>
      </c>
      <c r="J510" s="71">
        <f>IF(OR(I510=0,I510=""),"unrated",VLOOKUP(I510,MappingTables!$B$19:$C$31,2,FALSE))</f>
        <v>6</v>
      </c>
      <c r="K510" s="72">
        <v>111.6248864262768</v>
      </c>
      <c r="L510" s="70">
        <v>0.068491061761707384</v>
      </c>
      <c r="M510" s="71">
        <f>IF(L510&lt;1,1,L510)</f>
        <v>1</v>
      </c>
      <c r="N510" s="70" t="s">
        <v>3288</v>
      </c>
      <c r="O510" s="71">
        <f>IF(OR(I510=$A$1,I510=0),"",IF(N510=MappingTables!$C$14,VLOOKUP(J510,ModelParameters!$M$8:$N$15,2,FALSE),IF(N510=MappingTables!$C$16,VLOOKUP(J510,ModelParameters!$P$8:$Q$15,2,FALSE),0)))</f>
        <v>1</v>
      </c>
      <c r="P510" s="73">
        <f>IF(OR(I510=0,I510=$A$1),0,MIN(O510*M510,1)*K510)</f>
        <v>111.6248864262768</v>
      </c>
      <c r="Q510" s="73">
        <f>IF(B510="",0,IF(OR(H510=MappingTables!$C$34,H510=MappingTables!$C$35),P510,0))</f>
        <v>0</v>
      </c>
      <c r="R510" s="73">
        <f>IF(ISNA(IF(AND(VLOOKUP(CONCATENATE($D510,$G510),CSRFinput!$B:$E,4,0)=0,OR(H510=MappingTables!$C$31,H510=MappingTables!$C$32)),1,VLOOKUP(CONCATENATE($D510,$G510),CSRFinput!$B:$E,4,0))),0,IF(AND(VLOOKUP(CONCATENATE($D510,$G510),CSRFinput!$B:$E,4,0)=0,OR(H510=MappingTables!$C$31,H510=MappingTables!$C$32)),1,VLOOKUP(CONCATENATE($D510,$G510),CSRFinput!$B:$E,4,0)))</f>
        <v>0.054776304963434752</v>
      </c>
      <c r="S510" s="73">
        <f>IF(B510="",0,P510*R510)</f>
        <v>6.1143988203945064</v>
      </c>
      <c r="T510" s="85">
        <f>IF(B510="",0,IF(OR(H510=MappingTables!$C$34,H510=MappingTables!$C$35),S510,0))</f>
        <v>0</v>
      </c>
    </row>
    <row r="511" spans="2:20" s="0" customFormat="0" ht="15">
      <c r="B511" s="69" t="s">
        <v>4055</v>
      </c>
      <c r="C511" s="70" t="s">
        <v>4056</v>
      </c>
      <c r="D511" s="70" t="s">
        <v>1</v>
      </c>
      <c r="E511" s="70" t="s">
        <v>1</v>
      </c>
      <c r="F511" s="70"/>
      <c r="G511" s="70" t="s">
        <v>61</v>
      </c>
      <c r="H511" s="70" t="s">
        <v>178</v>
      </c>
      <c r="I511" s="70" t="s">
        <v>179</v>
      </c>
      <c r="J511" s="71">
        <f>IF(OR(I511=0,I511=""),"unrated",VLOOKUP(I511,MappingTables!$B$19:$C$31,2,FALSE))</f>
        <v>4</v>
      </c>
      <c r="K511" s="72">
        <v>101.43685397181342</v>
      </c>
      <c r="L511" s="70">
        <v>0.068488916091914096</v>
      </c>
      <c r="M511" s="71">
        <f>IF(L511&lt;1,1,L511)</f>
        <v>1</v>
      </c>
      <c r="N511" s="70" t="s">
        <v>3288</v>
      </c>
      <c r="O511" s="71">
        <f>IF(OR(I511=$A$1,I511=0),"",IF(N511=MappingTables!$C$14,VLOOKUP(J511,ModelParameters!$M$8:$N$15,2,FALSE),IF(N511=MappingTables!$C$16,VLOOKUP(J511,ModelParameters!$P$8:$Q$15,2,FALSE),0)))</f>
        <v>0.82</v>
      </c>
      <c r="P511" s="73">
        <f>IF(OR(I511=0,I511=$A$1),0,MIN(O511*M511,1)*K511)</f>
        <v>83.178220256887008</v>
      </c>
      <c r="Q511" s="73">
        <f>IF(B511="",0,IF(OR(H511=MappingTables!$C$34,H511=MappingTables!$C$35),P511,0))</f>
        <v>0</v>
      </c>
      <c r="R511" s="73">
        <f>IF(ISNA(IF(AND(VLOOKUP(CONCATENATE($D511,$G511),CSRFinput!$B:$E,4,0)=0,OR(H511=MappingTables!$C$31,H511=MappingTables!$C$32)),1,VLOOKUP(CONCATENATE($D511,$G511),CSRFinput!$B:$E,4,0))),0,IF(AND(VLOOKUP(CONCATENATE($D511,$G511),CSRFinput!$B:$E,4,0)=0,OR(H511=MappingTables!$C$31,H511=MappingTables!$C$32)),1,VLOOKUP(CONCATENATE($D511,$G511),CSRFinput!$B:$E,4,0)))</f>
        <v>0.054776304963434752</v>
      </c>
      <c r="S511" s="73">
        <f>IF(B511="",0,P511*R511)</f>
        <v>4.5561955591069888</v>
      </c>
      <c r="T511" s="85">
        <f>IF(B511="",0,IF(OR(H511=MappingTables!$C$34,H511=MappingTables!$C$35),S511,0))</f>
        <v>0</v>
      </c>
    </row>
    <row r="512" spans="2:20" s="0" customFormat="0" ht="15">
      <c r="B512" s="69">
        <v>994090</v>
      </c>
      <c r="C512" s="70" t="s">
        <v>4057</v>
      </c>
      <c r="D512" s="70" t="s">
        <v>1</v>
      </c>
      <c r="E512" s="70" t="s">
        <v>1</v>
      </c>
      <c r="F512" s="70"/>
      <c r="G512" s="70" t="s">
        <v>61</v>
      </c>
      <c r="H512" s="70" t="s">
        <v>178</v>
      </c>
      <c r="I512" s="70" t="s">
        <v>198</v>
      </c>
      <c r="J512" s="71" t="str">
        <f>IF(OR(I512=0,I512=""),"unrated",VLOOKUP(I512,MappingTables!$B$19:$C$31,2,FALSE))</f>
        <v>unrated</v>
      </c>
      <c r="K512" s="72">
        <v>51.08277376718168</v>
      </c>
      <c r="L512" s="70">
        <v>0.068492477474688536</v>
      </c>
      <c r="M512" s="71">
        <f>IF(L512&lt;1,1,L512)</f>
        <v>1</v>
      </c>
      <c r="N512" s="70" t="s">
        <v>3288</v>
      </c>
      <c r="O512" s="71">
        <f>IF(OR(I512=$A$1,I512=0),"",IF(N512=MappingTables!$C$14,VLOOKUP(J512,ModelParameters!$M$8:$N$15,2,FALSE),IF(N512=MappingTables!$C$16,VLOOKUP(J512,ModelParameters!$P$8:$Q$15,2,FALSE),0)))</f>
        <v>1</v>
      </c>
      <c r="P512" s="73">
        <f>IF(OR(I512=0,I512=$A$1),0,MIN(O512*M512,1)*K512)</f>
        <v>51.08277376718168</v>
      </c>
      <c r="Q512" s="73">
        <f>IF(B512="",0,IF(OR(H512=MappingTables!$C$34,H512=MappingTables!$C$35),P512,0))</f>
        <v>0</v>
      </c>
      <c r="R512" s="73">
        <f>IF(ISNA(IF(AND(VLOOKUP(CONCATENATE($D512,$G512),CSRFinput!$B:$E,4,0)=0,OR(H512=MappingTables!$C$31,H512=MappingTables!$C$32)),1,VLOOKUP(CONCATENATE($D512,$G512),CSRFinput!$B:$E,4,0))),0,IF(AND(VLOOKUP(CONCATENATE($D512,$G512),CSRFinput!$B:$E,4,0)=0,OR(H512=MappingTables!$C$31,H512=MappingTables!$C$32)),1,VLOOKUP(CONCATENATE($D512,$G512),CSRFinput!$B:$E,4,0)))</f>
        <v>0.054776304963434752</v>
      </c>
      <c r="S512" s="73">
        <f>IF(B512="",0,P512*R512)</f>
        <v>2.798125594249288</v>
      </c>
      <c r="T512" s="85">
        <f>IF(B512="",0,IF(OR(H512=MappingTables!$C$34,H512=MappingTables!$C$35),S512,0))</f>
        <v>0</v>
      </c>
    </row>
    <row r="513" spans="2:20" s="0" customFormat="0" ht="15">
      <c r="B513" s="69">
        <v>22927450</v>
      </c>
      <c r="C513" s="70" t="s">
        <v>4058</v>
      </c>
      <c r="D513" s="70" t="s">
        <v>1</v>
      </c>
      <c r="E513" s="70" t="s">
        <v>1</v>
      </c>
      <c r="F513" s="70"/>
      <c r="G513" s="70" t="s">
        <v>61</v>
      </c>
      <c r="H513" s="70" t="s">
        <v>178</v>
      </c>
      <c r="I513" s="70" t="s">
        <v>216</v>
      </c>
      <c r="J513" s="71">
        <f>IF(OR(I513=0,I513=""),"unrated",VLOOKUP(I513,MappingTables!$B$19:$C$31,2,FALSE))</f>
        <v>0</v>
      </c>
      <c r="K513" s="72">
        <v>719.452857883256</v>
      </c>
      <c r="L513" s="70">
        <v>0.090108552858299904</v>
      </c>
      <c r="M513" s="71">
        <f>IF(L513&lt;1,1,L513)</f>
        <v>1</v>
      </c>
      <c r="N513" s="70" t="s">
        <v>3288</v>
      </c>
      <c r="O513" s="71">
        <f>IF(OR(I513=$A$1,I513=0),"",IF(N513=MappingTables!$C$14,VLOOKUP(J513,ModelParameters!$M$8:$N$15,2,FALSE),IF(N513=MappingTables!$C$16,VLOOKUP(J513,ModelParameters!$P$8:$Q$15,2,FALSE),0)))</f>
        <v>0.125</v>
      </c>
      <c r="P513" s="73">
        <f>IF(OR(I513=0,I513=$A$1),0,MIN(O513*M513,1)*K513)</f>
        <v>89.931607235407008</v>
      </c>
      <c r="Q513" s="73">
        <f>IF(B513="",0,IF(OR(H513=MappingTables!$C$34,H513=MappingTables!$C$35),P513,0))</f>
        <v>0</v>
      </c>
      <c r="R513" s="73">
        <f>IF(ISNA(IF(AND(VLOOKUP(CONCATENATE($D513,$G513),CSRFinput!$B:$E,4,0)=0,OR(H513=MappingTables!$C$31,H513=MappingTables!$C$32)),1,VLOOKUP(CONCATENATE($D513,$G513),CSRFinput!$B:$E,4,0))),0,IF(AND(VLOOKUP(CONCATENATE($D513,$G513),CSRFinput!$B:$E,4,0)=0,OR(H513=MappingTables!$C$31,H513=MappingTables!$C$32)),1,VLOOKUP(CONCATENATE($D513,$G513),CSRFinput!$B:$E,4,0)))</f>
        <v>0.054776304963434752</v>
      </c>
      <c r="S513" s="73">
        <f>IF(B513="",0,P513*R513)</f>
        <v>4.9261211437784888</v>
      </c>
      <c r="T513" s="85">
        <f>IF(B513="",0,IF(OR(H513=MappingTables!$C$34,H513=MappingTables!$C$35),S513,0))</f>
        <v>0</v>
      </c>
    </row>
    <row r="514" spans="2:20" s="0" customFormat="0" ht="15">
      <c r="B514" s="69" t="s">
        <v>4059</v>
      </c>
      <c r="C514" s="70" t="s">
        <v>4060</v>
      </c>
      <c r="D514" s="70" t="s">
        <v>1</v>
      </c>
      <c r="E514" s="70" t="s">
        <v>1</v>
      </c>
      <c r="F514" s="70"/>
      <c r="G514" s="70" t="s">
        <v>61</v>
      </c>
      <c r="H514" s="70" t="s">
        <v>178</v>
      </c>
      <c r="I514" s="70" t="s">
        <v>198</v>
      </c>
      <c r="J514" s="71" t="str">
        <f>IF(OR(I514=0,I514=""),"unrated",VLOOKUP(I514,MappingTables!$B$19:$C$31,2,FALSE))</f>
        <v>unrated</v>
      </c>
      <c r="K514" s="72">
        <v>32.200456386643736</v>
      </c>
      <c r="L514" s="70">
        <v>0.068491017077436936</v>
      </c>
      <c r="M514" s="71">
        <f>IF(L514&lt;1,1,L514)</f>
        <v>1</v>
      </c>
      <c r="N514" s="70" t="s">
        <v>3288</v>
      </c>
      <c r="O514" s="71">
        <f>IF(OR(I514=$A$1,I514=0),"",IF(N514=MappingTables!$C$14,VLOOKUP(J514,ModelParameters!$M$8:$N$15,2,FALSE),IF(N514=MappingTables!$C$16,VLOOKUP(J514,ModelParameters!$P$8:$Q$15,2,FALSE),0)))</f>
        <v>1</v>
      </c>
      <c r="P514" s="73">
        <f>IF(OR(I514=0,I514=$A$1),0,MIN(O514*M514,1)*K514)</f>
        <v>32.200456386643736</v>
      </c>
      <c r="Q514" s="73">
        <f>IF(B514="",0,IF(OR(H514=MappingTables!$C$34,H514=MappingTables!$C$35),P514,0))</f>
        <v>0</v>
      </c>
      <c r="R514" s="73">
        <f>IF(ISNA(IF(AND(VLOOKUP(CONCATENATE($D514,$G514),CSRFinput!$B:$E,4,0)=0,OR(H514=MappingTables!$C$31,H514=MappingTables!$C$32)),1,VLOOKUP(CONCATENATE($D514,$G514),CSRFinput!$B:$E,4,0))),0,IF(AND(VLOOKUP(CONCATENATE($D514,$G514),CSRFinput!$B:$E,4,0)=0,OR(H514=MappingTables!$C$31,H514=MappingTables!$C$32)),1,VLOOKUP(CONCATENATE($D514,$G514),CSRFinput!$B:$E,4,0)))</f>
        <v>0.054776304963434752</v>
      </c>
      <c r="S514" s="73">
        <f>IF(B514="",0,P514*R514)</f>
        <v>1.7638220189965776</v>
      </c>
      <c r="T514" s="85">
        <f>IF(B514="",0,IF(OR(H514=MappingTables!$C$34,H514=MappingTables!$C$35),S514,0))</f>
        <v>0</v>
      </c>
    </row>
    <row r="515" spans="2:20" s="0" customFormat="0" ht="15">
      <c r="B515" s="69">
        <v>22623659</v>
      </c>
      <c r="C515" s="70" t="s">
        <v>4061</v>
      </c>
      <c r="D515" s="70" t="s">
        <v>1</v>
      </c>
      <c r="E515" s="70" t="s">
        <v>1</v>
      </c>
      <c r="F515" s="70"/>
      <c r="G515" s="70" t="s">
        <v>61</v>
      </c>
      <c r="H515" s="70" t="s">
        <v>178</v>
      </c>
      <c r="I515" s="70" t="s">
        <v>184</v>
      </c>
      <c r="J515" s="71">
        <f>IF(OR(I515=0,I515=""),"unrated",VLOOKUP(I515,MappingTables!$B$19:$C$31,2,FALSE))</f>
        <v>5</v>
      </c>
      <c r="K515" s="72">
        <v>226.63898102407208</v>
      </c>
      <c r="L515" s="70">
        <v>0.0684898665105074</v>
      </c>
      <c r="M515" s="71">
        <f>IF(L515&lt;1,1,L515)</f>
        <v>1</v>
      </c>
      <c r="N515" s="70" t="s">
        <v>3288</v>
      </c>
      <c r="O515" s="71">
        <f>IF(OR(I515=$A$1,I515=0),"",IF(N515=MappingTables!$C$14,VLOOKUP(J515,ModelParameters!$M$8:$N$15,2,FALSE),IF(N515=MappingTables!$C$16,VLOOKUP(J515,ModelParameters!$P$8:$Q$15,2,FALSE),0)))</f>
        <v>1</v>
      </c>
      <c r="P515" s="73">
        <f>IF(OR(I515=0,I515=$A$1),0,MIN(O515*M515,1)*K515)</f>
        <v>226.63898102407208</v>
      </c>
      <c r="Q515" s="73">
        <f>IF(B515="",0,IF(OR(H515=MappingTables!$C$34,H515=MappingTables!$C$35),P515,0))</f>
        <v>0</v>
      </c>
      <c r="R515" s="73">
        <f>IF(ISNA(IF(AND(VLOOKUP(CONCATENATE($D515,$G515),CSRFinput!$B:$E,4,0)=0,OR(H515=MappingTables!$C$31,H515=MappingTables!$C$32)),1,VLOOKUP(CONCATENATE($D515,$G515),CSRFinput!$B:$E,4,0))),0,IF(AND(VLOOKUP(CONCATENATE($D515,$G515),CSRFinput!$B:$E,4,0)=0,OR(H515=MappingTables!$C$31,H515=MappingTables!$C$32)),1,VLOOKUP(CONCATENATE($D515,$G515),CSRFinput!$B:$E,4,0)))</f>
        <v>0.054776304963434752</v>
      </c>
      <c r="S515" s="73">
        <f>IF(B515="",0,P515*R515)</f>
        <v>12.414445941176674</v>
      </c>
      <c r="T515" s="85">
        <f>IF(B515="",0,IF(OR(H515=MappingTables!$C$34,H515=MappingTables!$C$35),S515,0))</f>
        <v>0</v>
      </c>
    </row>
    <row r="516" spans="2:20" s="0" customFormat="0" ht="15">
      <c r="B516" s="69" t="s">
        <v>4062</v>
      </c>
      <c r="C516" s="70" t="s">
        <v>4063</v>
      </c>
      <c r="D516" s="70" t="s">
        <v>1</v>
      </c>
      <c r="E516" s="70" t="s">
        <v>1</v>
      </c>
      <c r="F516" s="70"/>
      <c r="G516" s="70" t="s">
        <v>61</v>
      </c>
      <c r="H516" s="70" t="s">
        <v>178</v>
      </c>
      <c r="I516" s="70" t="s">
        <v>184</v>
      </c>
      <c r="J516" s="71">
        <f>IF(OR(I516=0,I516=""),"unrated",VLOOKUP(I516,MappingTables!$B$19:$C$31,2,FALSE))</f>
        <v>5</v>
      </c>
      <c r="K516" s="72">
        <v>37.593160261433888</v>
      </c>
      <c r="L516" s="70">
        <v>0.052055006286566264</v>
      </c>
      <c r="M516" s="71">
        <f>IF(L516&lt;1,1,L516)</f>
        <v>1</v>
      </c>
      <c r="N516" s="70" t="s">
        <v>3288</v>
      </c>
      <c r="O516" s="71">
        <f>IF(OR(I516=$A$1,I516=0),"",IF(N516=MappingTables!$C$14,VLOOKUP(J516,ModelParameters!$M$8:$N$15,2,FALSE),IF(N516=MappingTables!$C$16,VLOOKUP(J516,ModelParameters!$P$8:$Q$15,2,FALSE),0)))</f>
        <v>1</v>
      </c>
      <c r="P516" s="73">
        <f>IF(OR(I516=0,I516=$A$1),0,MIN(O516*M516,1)*K516)</f>
        <v>37.593160261433888</v>
      </c>
      <c r="Q516" s="73">
        <f>IF(B516="",0,IF(OR(H516=MappingTables!$C$34,H516=MappingTables!$C$35),P516,0))</f>
        <v>0</v>
      </c>
      <c r="R516" s="73">
        <f>IF(ISNA(IF(AND(VLOOKUP(CONCATENATE($D516,$G516),CSRFinput!$B:$E,4,0)=0,OR(H516=MappingTables!$C$31,H516=MappingTables!$C$32)),1,VLOOKUP(CONCATENATE($D516,$G516),CSRFinput!$B:$E,4,0))),0,IF(AND(VLOOKUP(CONCATENATE($D516,$G516),CSRFinput!$B:$E,4,0)=0,OR(H516=MappingTables!$C$31,H516=MappingTables!$C$32)),1,VLOOKUP(CONCATENATE($D516,$G516),CSRFinput!$B:$E,4,0)))</f>
        <v>0.054776304963434752</v>
      </c>
      <c r="S516" s="73">
        <f>IF(B516="",0,P516*R516)</f>
        <v>2.0592144110195792</v>
      </c>
      <c r="T516" s="85">
        <f>IF(B516="",0,IF(OR(H516=MappingTables!$C$34,H516=MappingTables!$C$35),S516,0))</f>
        <v>0</v>
      </c>
    </row>
    <row r="517" spans="2:20" s="0" customFormat="0" ht="15">
      <c r="B517" s="69">
        <v>8364977</v>
      </c>
      <c r="C517" s="70" t="s">
        <v>4064</v>
      </c>
      <c r="D517" s="70" t="s">
        <v>1</v>
      </c>
      <c r="E517" s="70" t="s">
        <v>1</v>
      </c>
      <c r="F517" s="70"/>
      <c r="G517" s="70" t="s">
        <v>61</v>
      </c>
      <c r="H517" s="70" t="s">
        <v>178</v>
      </c>
      <c r="I517" s="70" t="s">
        <v>216</v>
      </c>
      <c r="J517" s="71">
        <f>IF(OR(I517=0,I517=""),"unrated",VLOOKUP(I517,MappingTables!$B$19:$C$31,2,FALSE))</f>
        <v>0</v>
      </c>
      <c r="K517" s="72">
        <v>193.40287029458848</v>
      </c>
      <c r="L517" s="70">
        <v>6.6408927630417208</v>
      </c>
      <c r="M517" s="71">
        <f>IF(L517&lt;1,1,L517)</f>
        <v>6.6408927630417208</v>
      </c>
      <c r="N517" s="70" t="s">
        <v>3288</v>
      </c>
      <c r="O517" s="71">
        <f>IF(OR(I517=$A$1,I517=0),"",IF(N517=MappingTables!$C$14,VLOOKUP(J517,ModelParameters!$M$8:$N$15,2,FALSE),IF(N517=MappingTables!$C$16,VLOOKUP(J517,ModelParameters!$P$8:$Q$15,2,FALSE),0)))</f>
        <v>0.125</v>
      </c>
      <c r="P517" s="73">
        <f>IF(OR(I517=0,I517=$A$1),0,MIN(O517*M517,1)*K517)</f>
        <v>160.54596521135364</v>
      </c>
      <c r="Q517" s="73">
        <f>IF(B517="",0,IF(OR(H517=MappingTables!$C$34,H517=MappingTables!$C$35),P517,0))</f>
        <v>0</v>
      </c>
      <c r="R517" s="73">
        <f>IF(ISNA(IF(AND(VLOOKUP(CONCATENATE($D517,$G517),CSRFinput!$B:$E,4,0)=0,OR(H517=MappingTables!$C$31,H517=MappingTables!$C$32)),1,VLOOKUP(CONCATENATE($D517,$G517),CSRFinput!$B:$E,4,0))),0,IF(AND(VLOOKUP(CONCATENATE($D517,$G517),CSRFinput!$B:$E,4,0)=0,OR(H517=MappingTables!$C$31,H517=MappingTables!$C$32)),1,VLOOKUP(CONCATENATE($D517,$G517),CSRFinput!$B:$E,4,0)))</f>
        <v>0.054776304963434752</v>
      </c>
      <c r="S517" s="73">
        <f>IF(B517="",0,P517*R517)</f>
        <v>8.7941147510660928</v>
      </c>
      <c r="T517" s="85">
        <f>IF(B517="",0,IF(OR(H517=MappingTables!$C$34,H517=MappingTables!$C$35),S517,0))</f>
        <v>0</v>
      </c>
    </row>
    <row r="518" spans="2:20" s="0" customFormat="0" ht="15">
      <c r="B518" s="69" t="s">
        <v>4065</v>
      </c>
      <c r="C518" s="70" t="s">
        <v>4066</v>
      </c>
      <c r="D518" s="70" t="s">
        <v>1</v>
      </c>
      <c r="E518" s="70" t="s">
        <v>1</v>
      </c>
      <c r="F518" s="70"/>
      <c r="G518" s="70" t="s">
        <v>61</v>
      </c>
      <c r="H518" s="70" t="s">
        <v>178</v>
      </c>
      <c r="I518" s="70" t="s">
        <v>198</v>
      </c>
      <c r="J518" s="71" t="str">
        <f>IF(OR(I518=0,I518=""),"unrated",VLOOKUP(I518,MappingTables!$B$19:$C$31,2,FALSE))</f>
        <v>unrated</v>
      </c>
      <c r="K518" s="72">
        <v>3.2364146140364724</v>
      </c>
      <c r="L518" s="70">
        <v>9.0984063385808656</v>
      </c>
      <c r="M518" s="71">
        <f>IF(L518&lt;1,1,L518)</f>
        <v>9.0984063385808656</v>
      </c>
      <c r="N518" s="70" t="s">
        <v>3288</v>
      </c>
      <c r="O518" s="71">
        <f>IF(OR(I518=$A$1,I518=0),"",IF(N518=MappingTables!$C$14,VLOOKUP(J518,ModelParameters!$M$8:$N$15,2,FALSE),IF(N518=MappingTables!$C$16,VLOOKUP(J518,ModelParameters!$P$8:$Q$15,2,FALSE),0)))</f>
        <v>1</v>
      </c>
      <c r="P518" s="73">
        <f>IF(OR(I518=0,I518=$A$1),0,MIN(O518*M518,1)*K518)</f>
        <v>3.2364146140364724</v>
      </c>
      <c r="Q518" s="73">
        <f>IF(B518="",0,IF(OR(H518=MappingTables!$C$34,H518=MappingTables!$C$35),P518,0))</f>
        <v>0</v>
      </c>
      <c r="R518" s="73">
        <f>IF(ISNA(IF(AND(VLOOKUP(CONCATENATE($D518,$G518),CSRFinput!$B:$E,4,0)=0,OR(H518=MappingTables!$C$31,H518=MappingTables!$C$32)),1,VLOOKUP(CONCATENATE($D518,$G518),CSRFinput!$B:$E,4,0))),0,IF(AND(VLOOKUP(CONCATENATE($D518,$G518),CSRFinput!$B:$E,4,0)=0,OR(H518=MappingTables!$C$31,H518=MappingTables!$C$32)),1,VLOOKUP(CONCATENATE($D518,$G518),CSRFinput!$B:$E,4,0)))</f>
        <v>0.054776304963434752</v>
      </c>
      <c r="S518" s="73">
        <f>IF(B518="",0,P518*R518)</f>
        <v>0.17727883388657878</v>
      </c>
      <c r="T518" s="85">
        <f>IF(B518="",0,IF(OR(H518=MappingTables!$C$34,H518=MappingTables!$C$35),S518,0))</f>
        <v>0</v>
      </c>
    </row>
    <row r="519" spans="2:20" s="0" customFormat="0" ht="15">
      <c r="B519" s="69" t="s">
        <v>3930</v>
      </c>
      <c r="C519" s="70" t="s">
        <v>3931</v>
      </c>
      <c r="D519" s="70" t="s">
        <v>1</v>
      </c>
      <c r="E519" s="70" t="s">
        <v>1</v>
      </c>
      <c r="F519" s="70"/>
      <c r="G519" s="70" t="s">
        <v>61</v>
      </c>
      <c r="H519" s="70" t="s">
        <v>178</v>
      </c>
      <c r="I519" s="70" t="s">
        <v>198</v>
      </c>
      <c r="J519" s="71" t="str">
        <f>IF(OR(I519=0,I519=""),"unrated",VLOOKUP(I519,MappingTables!$B$19:$C$31,2,FALSE))</f>
        <v>unrated</v>
      </c>
      <c r="K519" s="72">
        <v>50.716686973253016</v>
      </c>
      <c r="L519" s="70">
        <v>0.068488810825758712</v>
      </c>
      <c r="M519" s="71">
        <f>IF(L519&lt;1,1,L519)</f>
        <v>1</v>
      </c>
      <c r="N519" s="70" t="s">
        <v>3288</v>
      </c>
      <c r="O519" s="71">
        <f>IF(OR(I519=$A$1,I519=0),"",IF(N519=MappingTables!$C$14,VLOOKUP(J519,ModelParameters!$M$8:$N$15,2,FALSE),IF(N519=MappingTables!$C$16,VLOOKUP(J519,ModelParameters!$P$8:$Q$15,2,FALSE),0)))</f>
        <v>1</v>
      </c>
      <c r="P519" s="73">
        <f>IF(OR(I519=0,I519=$A$1),0,MIN(O519*M519,1)*K519)</f>
        <v>50.716686973253016</v>
      </c>
      <c r="Q519" s="73">
        <f>IF(B519="",0,IF(OR(H519=MappingTables!$C$34,H519=MappingTables!$C$35),P519,0))</f>
        <v>0</v>
      </c>
      <c r="R519" s="73">
        <f>IF(ISNA(IF(AND(VLOOKUP(CONCATENATE($D519,$G519),CSRFinput!$B:$E,4,0)=0,OR(H519=MappingTables!$C$31,H519=MappingTables!$C$32)),1,VLOOKUP(CONCATENATE($D519,$G519),CSRFinput!$B:$E,4,0))),0,IF(AND(VLOOKUP(CONCATENATE($D519,$G519),CSRFinput!$B:$E,4,0)=0,OR(H519=MappingTables!$C$31,H519=MappingTables!$C$32)),1,VLOOKUP(CONCATENATE($D519,$G519),CSRFinput!$B:$E,4,0)))</f>
        <v>0.054776304963434752</v>
      </c>
      <c r="S519" s="73">
        <f>IF(B519="",0,P519*R519)</f>
        <v>2.778072712381966</v>
      </c>
      <c r="T519" s="85">
        <f>IF(B519="",0,IF(OR(H519=MappingTables!$C$34,H519=MappingTables!$C$35),S519,0))</f>
        <v>0</v>
      </c>
    </row>
    <row r="520" spans="2:20" s="0" customFormat="0" ht="15">
      <c r="B520" s="69" t="s">
        <v>4067</v>
      </c>
      <c r="C520" s="70" t="s">
        <v>4068</v>
      </c>
      <c r="D520" s="70" t="s">
        <v>1</v>
      </c>
      <c r="E520" s="70" t="s">
        <v>1</v>
      </c>
      <c r="F520" s="70"/>
      <c r="G520" s="70" t="s">
        <v>61</v>
      </c>
      <c r="H520" s="70" t="s">
        <v>178</v>
      </c>
      <c r="I520" s="70" t="s">
        <v>216</v>
      </c>
      <c r="J520" s="71">
        <f>IF(OR(I520=0,I520=""),"unrated",VLOOKUP(I520,MappingTables!$B$19:$C$31,2,FALSE))</f>
        <v>0</v>
      </c>
      <c r="K520" s="72">
        <v>724.91530182822208</v>
      </c>
      <c r="L520" s="70">
        <v>-7.0417405727451888</v>
      </c>
      <c r="M520" s="71">
        <f>IF(L520&lt;1,1,L520)</f>
        <v>1</v>
      </c>
      <c r="N520" s="70" t="s">
        <v>3288</v>
      </c>
      <c r="O520" s="71">
        <f>IF(OR(I520=$A$1,I520=0),"",IF(N520=MappingTables!$C$14,VLOOKUP(J520,ModelParameters!$M$8:$N$15,2,FALSE),IF(N520=MappingTables!$C$16,VLOOKUP(J520,ModelParameters!$P$8:$Q$15,2,FALSE),0)))</f>
        <v>0.125</v>
      </c>
      <c r="P520" s="73">
        <f>IF(OR(I520=0,I520=$A$1),0,MIN(O520*M520,1)*K520)</f>
        <v>90.61441272852776</v>
      </c>
      <c r="Q520" s="73">
        <f>IF(B520="",0,IF(OR(H520=MappingTables!$C$34,H520=MappingTables!$C$35),P520,0))</f>
        <v>0</v>
      </c>
      <c r="R520" s="73">
        <f>IF(ISNA(IF(AND(VLOOKUP(CONCATENATE($D520,$G520),CSRFinput!$B:$E,4,0)=0,OR(H520=MappingTables!$C$31,H520=MappingTables!$C$32)),1,VLOOKUP(CONCATENATE($D520,$G520),CSRFinput!$B:$E,4,0))),0,IF(AND(VLOOKUP(CONCATENATE($D520,$G520),CSRFinput!$B:$E,4,0)=0,OR(H520=MappingTables!$C$31,H520=MappingTables!$C$32)),1,VLOOKUP(CONCATENATE($D520,$G520),CSRFinput!$B:$E,4,0)))</f>
        <v>0.054776304963434752</v>
      </c>
      <c r="S520" s="73">
        <f>IF(B520="",0,P520*R520)</f>
        <v>4.96352270570038</v>
      </c>
      <c r="T520" s="85">
        <f>IF(B520="",0,IF(OR(H520=MappingTables!$C$34,H520=MappingTables!$C$35),S520,0))</f>
        <v>0</v>
      </c>
    </row>
    <row r="521" spans="2:20" s="0" customFormat="0" ht="15">
      <c r="B521" s="69">
        <v>22554422</v>
      </c>
      <c r="C521" s="70" t="s">
        <v>4069</v>
      </c>
      <c r="D521" s="70" t="s">
        <v>1</v>
      </c>
      <c r="E521" s="70" t="s">
        <v>1</v>
      </c>
      <c r="F521" s="70"/>
      <c r="G521" s="70" t="s">
        <v>61</v>
      </c>
      <c r="H521" s="70" t="s">
        <v>178</v>
      </c>
      <c r="I521" s="70" t="s">
        <v>198</v>
      </c>
      <c r="J521" s="71" t="str">
        <f>IF(OR(I521=0,I521=""),"unrated",VLOOKUP(I521,MappingTables!$B$19:$C$31,2,FALSE))</f>
        <v>unrated</v>
      </c>
      <c r="K521" s="72">
        <v>0.11275950003005828</v>
      </c>
      <c r="L521" s="70">
        <v>0.043112942196955176</v>
      </c>
      <c r="M521" s="71">
        <f>IF(L521&lt;1,1,L521)</f>
        <v>1</v>
      </c>
      <c r="N521" s="70" t="s">
        <v>3288</v>
      </c>
      <c r="O521" s="71">
        <f>IF(OR(I521=$A$1,I521=0),"",IF(N521=MappingTables!$C$14,VLOOKUP(J521,ModelParameters!$M$8:$N$15,2,FALSE),IF(N521=MappingTables!$C$16,VLOOKUP(J521,ModelParameters!$P$8:$Q$15,2,FALSE),0)))</f>
        <v>1</v>
      </c>
      <c r="P521" s="73">
        <f>IF(OR(I521=0,I521=$A$1),0,MIN(O521*M521,1)*K521)</f>
        <v>0.11275950003005828</v>
      </c>
      <c r="Q521" s="73">
        <f>IF(B521="",0,IF(OR(H521=MappingTables!$C$34,H521=MappingTables!$C$35),P521,0))</f>
        <v>0</v>
      </c>
      <c r="R521" s="73">
        <f>IF(ISNA(IF(AND(VLOOKUP(CONCATENATE($D521,$G521),CSRFinput!$B:$E,4,0)=0,OR(H521=MappingTables!$C$31,H521=MappingTables!$C$32)),1,VLOOKUP(CONCATENATE($D521,$G521),CSRFinput!$B:$E,4,0))),0,IF(AND(VLOOKUP(CONCATENATE($D521,$G521),CSRFinput!$B:$E,4,0)=0,OR(H521=MappingTables!$C$31,H521=MappingTables!$C$32)),1,VLOOKUP(CONCATENATE($D521,$G521),CSRFinput!$B:$E,4,0)))</f>
        <v>0.054776304963434752</v>
      </c>
      <c r="S521" s="73">
        <f>IF(B521="",0,P521*R521)</f>
        <v>0.0061765487611709016</v>
      </c>
      <c r="T521" s="85">
        <f>IF(B521="",0,IF(OR(H521=MappingTables!$C$34,H521=MappingTables!$C$35),S521,0))</f>
        <v>0</v>
      </c>
    </row>
    <row r="522" spans="2:20" s="0" customFormat="0" ht="15">
      <c r="B522" s="69" t="s">
        <v>4070</v>
      </c>
      <c r="C522" s="70" t="s">
        <v>4071</v>
      </c>
      <c r="D522" s="70" t="s">
        <v>1</v>
      </c>
      <c r="E522" s="70" t="s">
        <v>1</v>
      </c>
      <c r="F522" s="70"/>
      <c r="G522" s="70" t="s">
        <v>61</v>
      </c>
      <c r="H522" s="70" t="s">
        <v>178</v>
      </c>
      <c r="I522" s="70" t="s">
        <v>198</v>
      </c>
      <c r="J522" s="71" t="str">
        <f>IF(OR(I522=0,I522=""),"unrated",VLOOKUP(I522,MappingTables!$B$19:$C$31,2,FALSE))</f>
        <v>unrated</v>
      </c>
      <c r="K522" s="72">
        <v>746.91743741894976</v>
      </c>
      <c r="L522" s="70">
        <v>9.55432060547212</v>
      </c>
      <c r="M522" s="71">
        <f>IF(L522&lt;1,1,L522)</f>
        <v>9.55432060547212</v>
      </c>
      <c r="N522" s="70" t="s">
        <v>3288</v>
      </c>
      <c r="O522" s="71">
        <f>IF(OR(I522=$A$1,I522=0),"",IF(N522=MappingTables!$C$14,VLOOKUP(J522,ModelParameters!$M$8:$N$15,2,FALSE),IF(N522=MappingTables!$C$16,VLOOKUP(J522,ModelParameters!$P$8:$Q$15,2,FALSE),0)))</f>
        <v>1</v>
      </c>
      <c r="P522" s="73">
        <f>IF(OR(I522=0,I522=$A$1),0,MIN(O522*M522,1)*K522)</f>
        <v>746.91743741894976</v>
      </c>
      <c r="Q522" s="73">
        <f>IF(B522="",0,IF(OR(H522=MappingTables!$C$34,H522=MappingTables!$C$35),P522,0))</f>
        <v>0</v>
      </c>
      <c r="R522" s="73">
        <f>IF(ISNA(IF(AND(VLOOKUP(CONCATENATE($D522,$G522),CSRFinput!$B:$E,4,0)=0,OR(H522=MappingTables!$C$31,H522=MappingTables!$C$32)),1,VLOOKUP(CONCATENATE($D522,$G522),CSRFinput!$B:$E,4,0))),0,IF(AND(VLOOKUP(CONCATENATE($D522,$G522),CSRFinput!$B:$E,4,0)=0,OR(H522=MappingTables!$C$31,H522=MappingTables!$C$32)),1,VLOOKUP(CONCATENATE($D522,$G522),CSRFinput!$B:$E,4,0)))</f>
        <v>0.054776304963434752</v>
      </c>
      <c r="S522" s="73">
        <f>IF(B522="",0,P522*R522)</f>
        <v>40.913377334567584</v>
      </c>
      <c r="T522" s="85">
        <f>IF(B522="",0,IF(OR(H522=MappingTables!$C$34,H522=MappingTables!$C$35),S522,0))</f>
        <v>0</v>
      </c>
    </row>
    <row r="523" spans="2:20" s="0" customFormat="0" ht="15">
      <c r="B523" s="69" t="s">
        <v>4047</v>
      </c>
      <c r="C523" s="70" t="s">
        <v>4048</v>
      </c>
      <c r="D523" s="70" t="s">
        <v>1</v>
      </c>
      <c r="E523" s="70" t="s">
        <v>1</v>
      </c>
      <c r="F523" s="70"/>
      <c r="G523" s="70" t="s">
        <v>61</v>
      </c>
      <c r="H523" s="70" t="s">
        <v>178</v>
      </c>
      <c r="I523" s="70" t="s">
        <v>3298</v>
      </c>
      <c r="J523" s="71">
        <f>IF(OR(I523=0,I523=""),"unrated",VLOOKUP(I523,MappingTables!$B$19:$C$31,2,FALSE))</f>
        <v>6</v>
      </c>
      <c r="K523" s="72">
        <v>111.10778397814124</v>
      </c>
      <c r="L523" s="70">
        <v>-0.081561730220423904</v>
      </c>
      <c r="M523" s="71">
        <f>IF(L523&lt;1,1,L523)</f>
        <v>1</v>
      </c>
      <c r="N523" s="70" t="s">
        <v>3288</v>
      </c>
      <c r="O523" s="71">
        <f>IF(OR(I523=$A$1,I523=0),"",IF(N523=MappingTables!$C$14,VLOOKUP(J523,ModelParameters!$M$8:$N$15,2,FALSE),IF(N523=MappingTables!$C$16,VLOOKUP(J523,ModelParameters!$P$8:$Q$15,2,FALSE),0)))</f>
        <v>1</v>
      </c>
      <c r="P523" s="73">
        <f>IF(OR(I523=0,I523=$A$1),0,MIN(O523*M523,1)*K523)</f>
        <v>111.10778397814124</v>
      </c>
      <c r="Q523" s="73">
        <f>IF(B523="",0,IF(OR(H523=MappingTables!$C$34,H523=MappingTables!$C$35),P523,0))</f>
        <v>0</v>
      </c>
      <c r="R523" s="73">
        <f>IF(ISNA(IF(AND(VLOOKUP(CONCATENATE($D523,$G523),CSRFinput!$B:$E,4,0)=0,OR(H523=MappingTables!$C$31,H523=MappingTables!$C$32)),1,VLOOKUP(CONCATENATE($D523,$G523),CSRFinput!$B:$E,4,0))),0,IF(AND(VLOOKUP(CONCATENATE($D523,$G523),CSRFinput!$B:$E,4,0)=0,OR(H523=MappingTables!$C$31,H523=MappingTables!$C$32)),1,VLOOKUP(CONCATENATE($D523,$G523),CSRFinput!$B:$E,4,0)))</f>
        <v>0.054776304963434752</v>
      </c>
      <c r="S523" s="73">
        <f>IF(B523="",0,P523*R523)</f>
        <v>6.0860738589980944</v>
      </c>
      <c r="T523" s="85">
        <f>IF(B523="",0,IF(OR(H523=MappingTables!$C$34,H523=MappingTables!$C$35),S523,0))</f>
        <v>0</v>
      </c>
    </row>
    <row r="524" spans="2:20" s="0" customFormat="0" ht="15">
      <c r="B524" s="69" t="s">
        <v>3566</v>
      </c>
      <c r="C524" s="70" t="s">
        <v>3567</v>
      </c>
      <c r="D524" s="70" t="s">
        <v>1</v>
      </c>
      <c r="E524" s="70" t="s">
        <v>1</v>
      </c>
      <c r="F524" s="70"/>
      <c r="G524" s="70" t="s">
        <v>61</v>
      </c>
      <c r="H524" s="70" t="s">
        <v>178</v>
      </c>
      <c r="I524" s="70" t="s">
        <v>179</v>
      </c>
      <c r="J524" s="71">
        <f>IF(OR(I524=0,I524=""),"unrated",VLOOKUP(I524,MappingTables!$B$19:$C$31,2,FALSE))</f>
        <v>4</v>
      </c>
      <c r="K524" s="72">
        <v>39.736994344861384</v>
      </c>
      <c r="L524" s="70">
        <v>0.39865462005445728</v>
      </c>
      <c r="M524" s="71">
        <f>IF(L524&lt;1,1,L524)</f>
        <v>1</v>
      </c>
      <c r="N524" s="70" t="s">
        <v>3288</v>
      </c>
      <c r="O524" s="71">
        <f>IF(OR(I524=$A$1,I524=0),"",IF(N524=MappingTables!$C$14,VLOOKUP(J524,ModelParameters!$M$8:$N$15,2,FALSE),IF(N524=MappingTables!$C$16,VLOOKUP(J524,ModelParameters!$P$8:$Q$15,2,FALSE),0)))</f>
        <v>0.82</v>
      </c>
      <c r="P524" s="73">
        <f>IF(OR(I524=0,I524=$A$1),0,MIN(O524*M524,1)*K524)</f>
        <v>32.584335362786332</v>
      </c>
      <c r="Q524" s="73">
        <f>IF(B524="",0,IF(OR(H524=MappingTables!$C$34,H524=MappingTables!$C$35),P524,0))</f>
        <v>0</v>
      </c>
      <c r="R524" s="73">
        <f>IF(ISNA(IF(AND(VLOOKUP(CONCATENATE($D524,$G524),CSRFinput!$B:$E,4,0)=0,OR(H524=MappingTables!$C$31,H524=MappingTables!$C$32)),1,VLOOKUP(CONCATENATE($D524,$G524),CSRFinput!$B:$E,4,0))),0,IF(AND(VLOOKUP(CONCATENATE($D524,$G524),CSRFinput!$B:$E,4,0)=0,OR(H524=MappingTables!$C$31,H524=MappingTables!$C$32)),1,VLOOKUP(CONCATENATE($D524,$G524),CSRFinput!$B:$E,4,0)))</f>
        <v>0.054776304963434752</v>
      </c>
      <c r="S524" s="73">
        <f>IF(B524="",0,P524*R524)</f>
        <v>1.7848494908628156</v>
      </c>
      <c r="T524" s="85">
        <f>IF(B524="",0,IF(OR(H524=MappingTables!$C$34,H524=MappingTables!$C$35),S524,0))</f>
        <v>0</v>
      </c>
    </row>
    <row r="525" spans="2:20" s="0" customFormat="0" ht="15">
      <c r="B525" s="69" t="s">
        <v>4072</v>
      </c>
      <c r="C525" s="70" t="s">
        <v>4073</v>
      </c>
      <c r="D525" s="70" t="s">
        <v>1</v>
      </c>
      <c r="E525" s="70" t="s">
        <v>1</v>
      </c>
      <c r="F525" s="70"/>
      <c r="G525" s="70" t="s">
        <v>61</v>
      </c>
      <c r="H525" s="70" t="s">
        <v>178</v>
      </c>
      <c r="I525" s="70" t="s">
        <v>198</v>
      </c>
      <c r="J525" s="71" t="str">
        <f>IF(OR(I525=0,I525=""),"unrated",VLOOKUP(I525,MappingTables!$B$19:$C$31,2,FALSE))</f>
        <v>unrated</v>
      </c>
      <c r="K525" s="72">
        <v>0.9111840977956992</v>
      </c>
      <c r="L525" s="70">
        <v>8.2714346846382352</v>
      </c>
      <c r="M525" s="71">
        <f>IF(L525&lt;1,1,L525)</f>
        <v>8.2714346846382352</v>
      </c>
      <c r="N525" s="70" t="s">
        <v>3288</v>
      </c>
      <c r="O525" s="71">
        <f>IF(OR(I525=$A$1,I525=0),"",IF(N525=MappingTables!$C$14,VLOOKUP(J525,ModelParameters!$M$8:$N$15,2,FALSE),IF(N525=MappingTables!$C$16,VLOOKUP(J525,ModelParameters!$P$8:$Q$15,2,FALSE),0)))</f>
        <v>1</v>
      </c>
      <c r="P525" s="73">
        <f>IF(OR(I525=0,I525=$A$1),0,MIN(O525*M525,1)*K525)</f>
        <v>0.9111840977956992</v>
      </c>
      <c r="Q525" s="73">
        <f>IF(B525="",0,IF(OR(H525=MappingTables!$C$34,H525=MappingTables!$C$35),P525,0))</f>
        <v>0</v>
      </c>
      <c r="R525" s="73">
        <f>IF(ISNA(IF(AND(VLOOKUP(CONCATENATE($D525,$G525),CSRFinput!$B:$E,4,0)=0,OR(H525=MappingTables!$C$31,H525=MappingTables!$C$32)),1,VLOOKUP(CONCATENATE($D525,$G525),CSRFinput!$B:$E,4,0))),0,IF(AND(VLOOKUP(CONCATENATE($D525,$G525),CSRFinput!$B:$E,4,0)=0,OR(H525=MappingTables!$C$31,H525=MappingTables!$C$32)),1,VLOOKUP(CONCATENATE($D525,$G525),CSRFinput!$B:$E,4,0)))</f>
        <v>0.054776304963434752</v>
      </c>
      <c r="S525" s="73">
        <f>IF(B525="",0,P525*R525)</f>
        <v>0.049911298018689376</v>
      </c>
      <c r="T525" s="85">
        <f>IF(B525="",0,IF(OR(H525=MappingTables!$C$34,H525=MappingTables!$C$35),S525,0))</f>
        <v>0</v>
      </c>
    </row>
    <row r="526" spans="2:20" s="0" customFormat="0" ht="15">
      <c r="B526" s="69" t="s">
        <v>3819</v>
      </c>
      <c r="C526" s="70" t="s">
        <v>3820</v>
      </c>
      <c r="D526" s="70" t="s">
        <v>1</v>
      </c>
      <c r="E526" s="70" t="s">
        <v>1</v>
      </c>
      <c r="F526" s="70"/>
      <c r="G526" s="70" t="s">
        <v>61</v>
      </c>
      <c r="H526" s="70" t="s">
        <v>178</v>
      </c>
      <c r="I526" s="70" t="s">
        <v>198</v>
      </c>
      <c r="J526" s="71" t="str">
        <f>IF(OR(I526=0,I526=""),"unrated",VLOOKUP(I526,MappingTables!$B$19:$C$31,2,FALSE))</f>
        <v>unrated</v>
      </c>
      <c r="K526" s="72">
        <v>19.674189312019416</v>
      </c>
      <c r="L526" s="70">
        <v>0.054791459518803208</v>
      </c>
      <c r="M526" s="71">
        <f>IF(L526&lt;1,1,L526)</f>
        <v>1</v>
      </c>
      <c r="N526" s="70" t="s">
        <v>3288</v>
      </c>
      <c r="O526" s="71">
        <f>IF(OR(I526=$A$1,I526=0),"",IF(N526=MappingTables!$C$14,VLOOKUP(J526,ModelParameters!$M$8:$N$15,2,FALSE),IF(N526=MappingTables!$C$16,VLOOKUP(J526,ModelParameters!$P$8:$Q$15,2,FALSE),0)))</f>
        <v>1</v>
      </c>
      <c r="P526" s="73">
        <f>IF(OR(I526=0,I526=$A$1),0,MIN(O526*M526,1)*K526)</f>
        <v>19.674189312019416</v>
      </c>
      <c r="Q526" s="73">
        <f>IF(B526="",0,IF(OR(H526=MappingTables!$C$34,H526=MappingTables!$C$35),P526,0))</f>
        <v>0</v>
      </c>
      <c r="R526" s="73">
        <f>IF(ISNA(IF(AND(VLOOKUP(CONCATENATE($D526,$G526),CSRFinput!$B:$E,4,0)=0,OR(H526=MappingTables!$C$31,H526=MappingTables!$C$32)),1,VLOOKUP(CONCATENATE($D526,$G526),CSRFinput!$B:$E,4,0))),0,IF(AND(VLOOKUP(CONCATENATE($D526,$G526),CSRFinput!$B:$E,4,0)=0,OR(H526=MappingTables!$C$31,H526=MappingTables!$C$32)),1,VLOOKUP(CONCATENATE($D526,$G526),CSRFinput!$B:$E,4,0)))</f>
        <v>0.054776304963434752</v>
      </c>
      <c r="S526" s="73">
        <f>IF(B526="",0,P526*R526)</f>
        <v>1.077679393663524</v>
      </c>
      <c r="T526" s="85">
        <f>IF(B526="",0,IF(OR(H526=MappingTables!$C$34,H526=MappingTables!$C$35),S526,0))</f>
        <v>0</v>
      </c>
    </row>
    <row r="527" spans="2:20" s="0" customFormat="0" ht="15">
      <c r="B527" s="69" t="s">
        <v>4074</v>
      </c>
      <c r="C527" s="70" t="s">
        <v>4075</v>
      </c>
      <c r="D527" s="70" t="s">
        <v>1</v>
      </c>
      <c r="E527" s="70" t="s">
        <v>1</v>
      </c>
      <c r="F527" s="70"/>
      <c r="G527" s="70" t="s">
        <v>61</v>
      </c>
      <c r="H527" s="70" t="s">
        <v>178</v>
      </c>
      <c r="I527" s="70" t="s">
        <v>204</v>
      </c>
      <c r="J527" s="71">
        <f>IF(OR(I527=0,I527=""),"unrated",VLOOKUP(I527,MappingTables!$B$19:$C$31,2,FALSE))</f>
        <v>6</v>
      </c>
      <c r="K527" s="72">
        <v>419.58909519840728</v>
      </c>
      <c r="L527" s="70">
        <v>0.04539558954667056</v>
      </c>
      <c r="M527" s="71">
        <f>IF(L527&lt;1,1,L527)</f>
        <v>1</v>
      </c>
      <c r="N527" s="70" t="s">
        <v>3288</v>
      </c>
      <c r="O527" s="71">
        <f>IF(OR(I527=$A$1,I527=0),"",IF(N527=MappingTables!$C$14,VLOOKUP(J527,ModelParameters!$M$8:$N$15,2,FALSE),IF(N527=MappingTables!$C$16,VLOOKUP(J527,ModelParameters!$P$8:$Q$15,2,FALSE),0)))</f>
        <v>1</v>
      </c>
      <c r="P527" s="73">
        <f>IF(OR(I527=0,I527=$A$1),0,MIN(O527*M527,1)*K527)</f>
        <v>419.58909519840728</v>
      </c>
      <c r="Q527" s="73">
        <f>IF(B527="",0,IF(OR(H527=MappingTables!$C$34,H527=MappingTables!$C$35),P527,0))</f>
        <v>0</v>
      </c>
      <c r="R527" s="73">
        <f>IF(ISNA(IF(AND(VLOOKUP(CONCATENATE($D527,$G527),CSRFinput!$B:$E,4,0)=0,OR(H527=MappingTables!$C$31,H527=MappingTables!$C$32)),1,VLOOKUP(CONCATENATE($D527,$G527),CSRFinput!$B:$E,4,0))),0,IF(AND(VLOOKUP(CONCATENATE($D527,$G527),CSRFinput!$B:$E,4,0)=0,OR(H527=MappingTables!$C$31,H527=MappingTables!$C$32)),1,VLOOKUP(CONCATENATE($D527,$G527),CSRFinput!$B:$E,4,0)))</f>
        <v>0.054776304963434752</v>
      </c>
      <c r="S527" s="73">
        <f>IF(B527="",0,P527*R527)</f>
        <v>22.983540237919612</v>
      </c>
      <c r="T527" s="85">
        <f>IF(B527="",0,IF(OR(H527=MappingTables!$C$34,H527=MappingTables!$C$35),S527,0))</f>
        <v>0</v>
      </c>
    </row>
    <row r="528" spans="2:20" s="0" customFormat="0" ht="15">
      <c r="B528" s="69" t="s">
        <v>3590</v>
      </c>
      <c r="C528" s="70" t="s">
        <v>3591</v>
      </c>
      <c r="D528" s="70" t="s">
        <v>1</v>
      </c>
      <c r="E528" s="70" t="s">
        <v>1</v>
      </c>
      <c r="F528" s="70"/>
      <c r="G528" s="70" t="s">
        <v>61</v>
      </c>
      <c r="H528" s="70" t="s">
        <v>178</v>
      </c>
      <c r="I528" s="70" t="s">
        <v>198</v>
      </c>
      <c r="J528" s="71" t="str">
        <f>IF(OR(I528=0,I528=""),"unrated",VLOOKUP(I528,MappingTables!$B$19:$C$31,2,FALSE))</f>
        <v>unrated</v>
      </c>
      <c r="K528" s="72">
        <v>48.149389718381344</v>
      </c>
      <c r="L528" s="70">
        <v>1.0277573173828316</v>
      </c>
      <c r="M528" s="71">
        <f>IF(L528&lt;1,1,L528)</f>
        <v>1.0277573173828316</v>
      </c>
      <c r="N528" s="70" t="s">
        <v>3288</v>
      </c>
      <c r="O528" s="71">
        <f>IF(OR(I528=$A$1,I528=0),"",IF(N528=MappingTables!$C$14,VLOOKUP(J528,ModelParameters!$M$8:$N$15,2,FALSE),IF(N528=MappingTables!$C$16,VLOOKUP(J528,ModelParameters!$P$8:$Q$15,2,FALSE),0)))</f>
        <v>1</v>
      </c>
      <c r="P528" s="73">
        <f>IF(OR(I528=0,I528=$A$1),0,MIN(O528*M528,1)*K528)</f>
        <v>48.149389718381344</v>
      </c>
      <c r="Q528" s="73">
        <f>IF(B528="",0,IF(OR(H528=MappingTables!$C$34,H528=MappingTables!$C$35),P528,0))</f>
        <v>0</v>
      </c>
      <c r="R528" s="73">
        <f>IF(ISNA(IF(AND(VLOOKUP(CONCATENATE($D528,$G528),CSRFinput!$B:$E,4,0)=0,OR(H528=MappingTables!$C$31,H528=MappingTables!$C$32)),1,VLOOKUP(CONCATENATE($D528,$G528),CSRFinput!$B:$E,4,0))),0,IF(AND(VLOOKUP(CONCATENATE($D528,$G528),CSRFinput!$B:$E,4,0)=0,OR(H528=MappingTables!$C$31,H528=MappingTables!$C$32)),1,VLOOKUP(CONCATENATE($D528,$G528),CSRFinput!$B:$E,4,0)))</f>
        <v>0.054776304963434752</v>
      </c>
      <c r="S528" s="73">
        <f>IF(B528="",0,P528*R528)</f>
        <v>2.637445655017326</v>
      </c>
      <c r="T528" s="85">
        <f>IF(B528="",0,IF(OR(H528=MappingTables!$C$34,H528=MappingTables!$C$35),S528,0))</f>
        <v>0</v>
      </c>
    </row>
    <row r="529" spans="2:20" s="0" customFormat="0" ht="15">
      <c r="B529" s="69" t="s">
        <v>4076</v>
      </c>
      <c r="C529" s="70" t="s">
        <v>4077</v>
      </c>
      <c r="D529" s="70" t="s">
        <v>1</v>
      </c>
      <c r="E529" s="70" t="s">
        <v>1</v>
      </c>
      <c r="F529" s="70"/>
      <c r="G529" s="70" t="s">
        <v>61</v>
      </c>
      <c r="H529" s="70" t="s">
        <v>178</v>
      </c>
      <c r="I529" s="70" t="s">
        <v>198</v>
      </c>
      <c r="J529" s="71" t="str">
        <f>IF(OR(I529=0,I529=""),"unrated",VLOOKUP(I529,MappingTables!$B$19:$C$31,2,FALSE))</f>
        <v>unrated</v>
      </c>
      <c r="K529" s="72">
        <v>1952.3477629192096</v>
      </c>
      <c r="L529" s="70">
        <v>39.094936333421368</v>
      </c>
      <c r="M529" s="71">
        <f>IF(L529&lt;1,1,L529)</f>
        <v>39.094936333421368</v>
      </c>
      <c r="N529" s="70" t="s">
        <v>3288</v>
      </c>
      <c r="O529" s="71">
        <f>IF(OR(I529=$A$1,I529=0),"",IF(N529=MappingTables!$C$14,VLOOKUP(J529,ModelParameters!$M$8:$N$15,2,FALSE),IF(N529=MappingTables!$C$16,VLOOKUP(J529,ModelParameters!$P$8:$Q$15,2,FALSE),0)))</f>
        <v>1</v>
      </c>
      <c r="P529" s="73">
        <f>IF(OR(I529=0,I529=$A$1),0,MIN(O529*M529,1)*K529)</f>
        <v>1952.3477629192096</v>
      </c>
      <c r="Q529" s="73">
        <f>IF(B529="",0,IF(OR(H529=MappingTables!$C$34,H529=MappingTables!$C$35),P529,0))</f>
        <v>0</v>
      </c>
      <c r="R529" s="73">
        <f>IF(ISNA(IF(AND(VLOOKUP(CONCATENATE($D529,$G529),CSRFinput!$B:$E,4,0)=0,OR(H529=MappingTables!$C$31,H529=MappingTables!$C$32)),1,VLOOKUP(CONCATENATE($D529,$G529),CSRFinput!$B:$E,4,0))),0,IF(AND(VLOOKUP(CONCATENATE($D529,$G529),CSRFinput!$B:$E,4,0)=0,OR(H529=MappingTables!$C$31,H529=MappingTables!$C$32)),1,VLOOKUP(CONCATENATE($D529,$G529),CSRFinput!$B:$E,4,0)))</f>
        <v>0.054776304963434752</v>
      </c>
      <c r="S529" s="73">
        <f>IF(B529="",0,P529*R529)</f>
        <v>106.94239645634224</v>
      </c>
      <c r="T529" s="85">
        <f>IF(B529="",0,IF(OR(H529=MappingTables!$C$34,H529=MappingTables!$C$35),S529,0))</f>
        <v>0</v>
      </c>
    </row>
    <row r="530" spans="2:20" s="0" customFormat="0" ht="15">
      <c r="B530" s="69">
        <v>22554337</v>
      </c>
      <c r="C530" s="70" t="s">
        <v>3368</v>
      </c>
      <c r="D530" s="70" t="s">
        <v>1</v>
      </c>
      <c r="E530" s="70" t="s">
        <v>1</v>
      </c>
      <c r="F530" s="70"/>
      <c r="G530" s="70" t="s">
        <v>61</v>
      </c>
      <c r="H530" s="70" t="s">
        <v>178</v>
      </c>
      <c r="I530" s="70" t="s">
        <v>216</v>
      </c>
      <c r="J530" s="71">
        <f>IF(OR(I530=0,I530=""),"unrated",VLOOKUP(I530,MappingTables!$B$19:$C$31,2,FALSE))</f>
        <v>0</v>
      </c>
      <c r="K530" s="72">
        <v>16.346289342383304</v>
      </c>
      <c r="L530" s="70">
        <v>0.04936303254786796</v>
      </c>
      <c r="M530" s="71">
        <f>IF(L530&lt;1,1,L530)</f>
        <v>1</v>
      </c>
      <c r="N530" s="70" t="s">
        <v>3288</v>
      </c>
      <c r="O530" s="71">
        <f>IF(OR(I530=$A$1,I530=0),"",IF(N530=MappingTables!$C$14,VLOOKUP(J530,ModelParameters!$M$8:$N$15,2,FALSE),IF(N530=MappingTables!$C$16,VLOOKUP(J530,ModelParameters!$P$8:$Q$15,2,FALSE),0)))</f>
        <v>0.125</v>
      </c>
      <c r="P530" s="73">
        <f>IF(OR(I530=0,I530=$A$1),0,MIN(O530*M530,1)*K530)</f>
        <v>2.0432861677979132</v>
      </c>
      <c r="Q530" s="73">
        <f>IF(B530="",0,IF(OR(H530=MappingTables!$C$34,H530=MappingTables!$C$35),P530,0))</f>
        <v>0</v>
      </c>
      <c r="R530" s="73">
        <f>IF(ISNA(IF(AND(VLOOKUP(CONCATENATE($D530,$G530),CSRFinput!$B:$E,4,0)=0,OR(H530=MappingTables!$C$31,H530=MappingTables!$C$32)),1,VLOOKUP(CONCATENATE($D530,$G530),CSRFinput!$B:$E,4,0))),0,IF(AND(VLOOKUP(CONCATENATE($D530,$G530),CSRFinput!$B:$E,4,0)=0,OR(H530=MappingTables!$C$31,H530=MappingTables!$C$32)),1,VLOOKUP(CONCATENATE($D530,$G530),CSRFinput!$B:$E,4,0)))</f>
        <v>0.054776304963434752</v>
      </c>
      <c r="S530" s="73">
        <f>IF(B530="",0,P530*R530)</f>
        <v>0.1119236662548664</v>
      </c>
      <c r="T530" s="85">
        <f>IF(B530="",0,IF(OR(H530=MappingTables!$C$34,H530=MappingTables!$C$35),S530,0))</f>
        <v>0</v>
      </c>
    </row>
    <row r="531" spans="2:20" s="0" customFormat="0" ht="15">
      <c r="B531" s="69" t="s">
        <v>3946</v>
      </c>
      <c r="C531" s="70" t="s">
        <v>3947</v>
      </c>
      <c r="D531" s="70" t="s">
        <v>1</v>
      </c>
      <c r="E531" s="70" t="s">
        <v>1</v>
      </c>
      <c r="F531" s="70"/>
      <c r="G531" s="70" t="s">
        <v>61</v>
      </c>
      <c r="H531" s="70" t="s">
        <v>178</v>
      </c>
      <c r="I531" s="70" t="s">
        <v>216</v>
      </c>
      <c r="J531" s="71">
        <f>IF(OR(I531=0,I531=""),"unrated",VLOOKUP(I531,MappingTables!$B$19:$C$31,2,FALSE))</f>
        <v>0</v>
      </c>
      <c r="K531" s="72">
        <v>6453.3437370083984</v>
      </c>
      <c r="L531" s="70">
        <v>0.0438390498619274</v>
      </c>
      <c r="M531" s="71">
        <f>IF(L531&lt;1,1,L531)</f>
        <v>1</v>
      </c>
      <c r="N531" s="70" t="s">
        <v>3288</v>
      </c>
      <c r="O531" s="71">
        <f>IF(OR(I531=$A$1,I531=0),"",IF(N531=MappingTables!$C$14,VLOOKUP(J531,ModelParameters!$M$8:$N$15,2,FALSE),IF(N531=MappingTables!$C$16,VLOOKUP(J531,ModelParameters!$P$8:$Q$15,2,FALSE),0)))</f>
        <v>0.125</v>
      </c>
      <c r="P531" s="73">
        <f>IF(OR(I531=0,I531=$A$1),0,MIN(O531*M531,1)*K531)</f>
        <v>806.66796712604976</v>
      </c>
      <c r="Q531" s="73">
        <f>IF(B531="",0,IF(OR(H531=MappingTables!$C$34,H531=MappingTables!$C$35),P531,0))</f>
        <v>0</v>
      </c>
      <c r="R531" s="73">
        <f>IF(ISNA(IF(AND(VLOOKUP(CONCATENATE($D531,$G531),CSRFinput!$B:$E,4,0)=0,OR(H531=MappingTables!$C$31,H531=MappingTables!$C$32)),1,VLOOKUP(CONCATENATE($D531,$G531),CSRFinput!$B:$E,4,0))),0,IF(AND(VLOOKUP(CONCATENATE($D531,$G531),CSRFinput!$B:$E,4,0)=0,OR(H531=MappingTables!$C$31,H531=MappingTables!$C$32)),1,VLOOKUP(CONCATENATE($D531,$G531),CSRFinput!$B:$E,4,0)))</f>
        <v>0.054776304963434752</v>
      </c>
      <c r="S531" s="73">
        <f>IF(B531="",0,P531*R531)</f>
        <v>44.186290571530464</v>
      </c>
      <c r="T531" s="85">
        <f>IF(B531="",0,IF(OR(H531=MappingTables!$C$34,H531=MappingTables!$C$35),S531,0))</f>
        <v>0</v>
      </c>
    </row>
    <row r="532" spans="2:20" s="0" customFormat="0" ht="15">
      <c r="B532" s="69" t="s">
        <v>4078</v>
      </c>
      <c r="C532" s="70" t="s">
        <v>4079</v>
      </c>
      <c r="D532" s="70" t="s">
        <v>1</v>
      </c>
      <c r="E532" s="70" t="s">
        <v>1</v>
      </c>
      <c r="F532" s="70"/>
      <c r="G532" s="70" t="s">
        <v>61</v>
      </c>
      <c r="H532" s="70" t="s">
        <v>178</v>
      </c>
      <c r="I532" s="70" t="s">
        <v>184</v>
      </c>
      <c r="J532" s="71">
        <f>IF(OR(I532=0,I532=""),"unrated",VLOOKUP(I532,MappingTables!$B$19:$C$31,2,FALSE))</f>
        <v>5</v>
      </c>
      <c r="K532" s="72">
        <v>109.37505476633884</v>
      </c>
      <c r="L532" s="70">
        <v>0.064445405129996984</v>
      </c>
      <c r="M532" s="71">
        <f>IF(L532&lt;1,1,L532)</f>
        <v>1</v>
      </c>
      <c r="N532" s="70" t="s">
        <v>3288</v>
      </c>
      <c r="O532" s="71">
        <f>IF(OR(I532=$A$1,I532=0),"",IF(N532=MappingTables!$C$14,VLOOKUP(J532,ModelParameters!$M$8:$N$15,2,FALSE),IF(N532=MappingTables!$C$16,VLOOKUP(J532,ModelParameters!$P$8:$Q$15,2,FALSE),0)))</f>
        <v>1</v>
      </c>
      <c r="P532" s="73">
        <f>IF(OR(I532=0,I532=$A$1),0,MIN(O532*M532,1)*K532)</f>
        <v>109.37505476633884</v>
      </c>
      <c r="Q532" s="73">
        <f>IF(B532="",0,IF(OR(H532=MappingTables!$C$34,H532=MappingTables!$C$35),P532,0))</f>
        <v>0</v>
      </c>
      <c r="R532" s="73">
        <f>IF(ISNA(IF(AND(VLOOKUP(CONCATENATE($D532,$G532),CSRFinput!$B:$E,4,0)=0,OR(H532=MappingTables!$C$31,H532=MappingTables!$C$32)),1,VLOOKUP(CONCATENATE($D532,$G532),CSRFinput!$B:$E,4,0))),0,IF(AND(VLOOKUP(CONCATENATE($D532,$G532),CSRFinput!$B:$E,4,0)=0,OR(H532=MappingTables!$C$31,H532=MappingTables!$C$32)),1,VLOOKUP(CONCATENATE($D532,$G532),CSRFinput!$B:$E,4,0)))</f>
        <v>0.054776304963434752</v>
      </c>
      <c r="S532" s="73">
        <f>IF(B532="",0,P532*R532)</f>
        <v>5.9911613552733544</v>
      </c>
      <c r="T532" s="85">
        <f>IF(B532="",0,IF(OR(H532=MappingTables!$C$34,H532=MappingTables!$C$35),S532,0))</f>
        <v>0</v>
      </c>
    </row>
    <row r="533" spans="2:20" s="0" customFormat="0" ht="15">
      <c r="B533" s="69" t="s">
        <v>4080</v>
      </c>
      <c r="C533" s="70" t="s">
        <v>4081</v>
      </c>
      <c r="D533" s="70" t="s">
        <v>1</v>
      </c>
      <c r="E533" s="70" t="s">
        <v>1</v>
      </c>
      <c r="F533" s="70"/>
      <c r="G533" s="70" t="s">
        <v>61</v>
      </c>
      <c r="H533" s="70" t="s">
        <v>178</v>
      </c>
      <c r="I533" s="70" t="s">
        <v>216</v>
      </c>
      <c r="J533" s="71">
        <f>IF(OR(I533=0,I533=""),"unrated",VLOOKUP(I533,MappingTables!$B$19:$C$31,2,FALSE))</f>
        <v>0</v>
      </c>
      <c r="K533" s="72">
        <v>2671.9172168886352</v>
      </c>
      <c r="L533" s="70">
        <v>0.04109520865078404</v>
      </c>
      <c r="M533" s="71">
        <f>IF(L533&lt;1,1,L533)</f>
        <v>1</v>
      </c>
      <c r="N533" s="70" t="s">
        <v>3288</v>
      </c>
      <c r="O533" s="71">
        <f>IF(OR(I533=$A$1,I533=0),"",IF(N533=MappingTables!$C$14,VLOOKUP(J533,ModelParameters!$M$8:$N$15,2,FALSE),IF(N533=MappingTables!$C$16,VLOOKUP(J533,ModelParameters!$P$8:$Q$15,2,FALSE),0)))</f>
        <v>0.125</v>
      </c>
      <c r="P533" s="73">
        <f>IF(OR(I533=0,I533=$A$1),0,MIN(O533*M533,1)*K533)</f>
        <v>333.9896521110794</v>
      </c>
      <c r="Q533" s="73">
        <f>IF(B533="",0,IF(OR(H533=MappingTables!$C$34,H533=MappingTables!$C$35),P533,0))</f>
        <v>0</v>
      </c>
      <c r="R533" s="73">
        <f>IF(ISNA(IF(AND(VLOOKUP(CONCATENATE($D533,$G533),CSRFinput!$B:$E,4,0)=0,OR(H533=MappingTables!$C$31,H533=MappingTables!$C$32)),1,VLOOKUP(CONCATENATE($D533,$G533),CSRFinput!$B:$E,4,0))),0,IF(AND(VLOOKUP(CONCATENATE($D533,$G533),CSRFinput!$B:$E,4,0)=0,OR(H533=MappingTables!$C$31,H533=MappingTables!$C$32)),1,VLOOKUP(CONCATENATE($D533,$G533),CSRFinput!$B:$E,4,0)))</f>
        <v>0.054776304963434752</v>
      </c>
      <c r="S533" s="73">
        <f>IF(B533="",0,P533*R533)</f>
        <v>18.294719038667968</v>
      </c>
      <c r="T533" s="85">
        <f>IF(B533="",0,IF(OR(H533=MappingTables!$C$34,H533=MappingTables!$C$35),S533,0))</f>
        <v>0</v>
      </c>
    </row>
    <row r="534" spans="2:20" s="0" customFormat="0" ht="15">
      <c r="B534" s="69">
        <v>16974966</v>
      </c>
      <c r="C534" s="70" t="s">
        <v>3295</v>
      </c>
      <c r="D534" s="70" t="s">
        <v>1</v>
      </c>
      <c r="E534" s="70" t="s">
        <v>1</v>
      </c>
      <c r="F534" s="70"/>
      <c r="G534" s="70" t="s">
        <v>61</v>
      </c>
      <c r="H534" s="70" t="s">
        <v>178</v>
      </c>
      <c r="I534" s="70" t="s">
        <v>216</v>
      </c>
      <c r="J534" s="71">
        <f>IF(OR(I534=0,I534=""),"unrated",VLOOKUP(I534,MappingTables!$B$19:$C$31,2,FALSE))</f>
        <v>0</v>
      </c>
      <c r="K534" s="72">
        <v>519.43282289831504</v>
      </c>
      <c r="L534" s="70">
        <v>0.026276356156123556</v>
      </c>
      <c r="M534" s="71">
        <f>IF(L534&lt;1,1,L534)</f>
        <v>1</v>
      </c>
      <c r="N534" s="70" t="s">
        <v>3288</v>
      </c>
      <c r="O534" s="71">
        <f>IF(OR(I534=$A$1,I534=0),"",IF(N534=MappingTables!$C$14,VLOOKUP(J534,ModelParameters!$M$8:$N$15,2,FALSE),IF(N534=MappingTables!$C$16,VLOOKUP(J534,ModelParameters!$P$8:$Q$15,2,FALSE),0)))</f>
        <v>0.125</v>
      </c>
      <c r="P534" s="73">
        <f>IF(OR(I534=0,I534=$A$1),0,MIN(O534*M534,1)*K534)</f>
        <v>64.929102862289384</v>
      </c>
      <c r="Q534" s="73">
        <f>IF(B534="",0,IF(OR(H534=MappingTables!$C$34,H534=MappingTables!$C$35),P534,0))</f>
        <v>0</v>
      </c>
      <c r="R534" s="73">
        <f>IF(ISNA(IF(AND(VLOOKUP(CONCATENATE($D534,$G534),CSRFinput!$B:$E,4,0)=0,OR(H534=MappingTables!$C$31,H534=MappingTables!$C$32)),1,VLOOKUP(CONCATENATE($D534,$G534),CSRFinput!$B:$E,4,0))),0,IF(AND(VLOOKUP(CONCATENATE($D534,$G534),CSRFinput!$B:$E,4,0)=0,OR(H534=MappingTables!$C$31,H534=MappingTables!$C$32)),1,VLOOKUP(CONCATENATE($D534,$G534),CSRFinput!$B:$E,4,0)))</f>
        <v>0.054776304963434752</v>
      </c>
      <c r="S534" s="73">
        <f>IF(B534="",0,P534*R534)</f>
        <v>3.5565763393869876</v>
      </c>
      <c r="T534" s="85">
        <f>IF(B534="",0,IF(OR(H534=MappingTables!$C$34,H534=MappingTables!$C$35),S534,0))</f>
        <v>0</v>
      </c>
    </row>
    <row r="535" spans="2:20" s="0" customFormat="0" ht="15">
      <c r="B535" s="69">
        <v>22554089</v>
      </c>
      <c r="C535" s="70" t="s">
        <v>3863</v>
      </c>
      <c r="D535" s="70" t="s">
        <v>1</v>
      </c>
      <c r="E535" s="70" t="s">
        <v>1</v>
      </c>
      <c r="F535" s="70"/>
      <c r="G535" s="70" t="s">
        <v>61</v>
      </c>
      <c r="H535" s="70" t="s">
        <v>178</v>
      </c>
      <c r="I535" s="70" t="s">
        <v>216</v>
      </c>
      <c r="J535" s="71">
        <f>IF(OR(I535=0,I535=""),"unrated",VLOOKUP(I535,MappingTables!$B$19:$C$31,2,FALSE))</f>
        <v>0</v>
      </c>
      <c r="K535" s="72">
        <v>14.145124844939502</v>
      </c>
      <c r="L535" s="70">
        <v>0.06949857633669404</v>
      </c>
      <c r="M535" s="71">
        <f>IF(L535&lt;1,1,L535)</f>
        <v>1</v>
      </c>
      <c r="N535" s="70" t="s">
        <v>3288</v>
      </c>
      <c r="O535" s="71">
        <f>IF(OR(I535=$A$1,I535=0),"",IF(N535=MappingTables!$C$14,VLOOKUP(J535,ModelParameters!$M$8:$N$15,2,FALSE),IF(N535=MappingTables!$C$16,VLOOKUP(J535,ModelParameters!$P$8:$Q$15,2,FALSE),0)))</f>
        <v>0.125</v>
      </c>
      <c r="P535" s="73">
        <f>IF(OR(I535=0,I535=$A$1),0,MIN(O535*M535,1)*K535)</f>
        <v>1.7681406056174378</v>
      </c>
      <c r="Q535" s="73">
        <f>IF(B535="",0,IF(OR(H535=MappingTables!$C$34,H535=MappingTables!$C$35),P535,0))</f>
        <v>0</v>
      </c>
      <c r="R535" s="73">
        <f>IF(ISNA(IF(AND(VLOOKUP(CONCATENATE($D535,$G535),CSRFinput!$B:$E,4,0)=0,OR(H535=MappingTables!$C$31,H535=MappingTables!$C$32)),1,VLOOKUP(CONCATENATE($D535,$G535),CSRFinput!$B:$E,4,0))),0,IF(AND(VLOOKUP(CONCATENATE($D535,$G535),CSRFinput!$B:$E,4,0)=0,OR(H535=MappingTables!$C$31,H535=MappingTables!$C$32)),1,VLOOKUP(CONCATENATE($D535,$G535),CSRFinput!$B:$E,4,0)))</f>
        <v>0.054776304963434752</v>
      </c>
      <c r="S535" s="73">
        <f>IF(B535="",0,P535*R535)</f>
        <v>0.096852209031532992</v>
      </c>
      <c r="T535" s="85">
        <f>IF(B535="",0,IF(OR(H535=MappingTables!$C$34,H535=MappingTables!$C$35),S535,0))</f>
        <v>0</v>
      </c>
    </row>
    <row r="536" spans="2:20" s="0" customFormat="0" ht="15">
      <c r="B536" s="69" t="s">
        <v>4082</v>
      </c>
      <c r="C536" s="70" t="s">
        <v>4083</v>
      </c>
      <c r="D536" s="70" t="s">
        <v>1</v>
      </c>
      <c r="E536" s="70" t="s">
        <v>1</v>
      </c>
      <c r="F536" s="70"/>
      <c r="G536" s="70" t="s">
        <v>61</v>
      </c>
      <c r="H536" s="70" t="s">
        <v>178</v>
      </c>
      <c r="I536" s="70" t="s">
        <v>188</v>
      </c>
      <c r="J536" s="71">
        <f>IF(OR(I536=0,I536=""),"unrated",VLOOKUP(I536,MappingTables!$B$19:$C$31,2,FALSE))</f>
        <v>2</v>
      </c>
      <c r="K536" s="72">
        <v>143.93941343451672</v>
      </c>
      <c r="L536" s="70">
        <v>0.068493780112654824</v>
      </c>
      <c r="M536" s="71">
        <f>IF(L536&lt;1,1,L536)</f>
        <v>1</v>
      </c>
      <c r="N536" s="70" t="s">
        <v>3288</v>
      </c>
      <c r="O536" s="71">
        <f>IF(OR(I536=$A$1,I536=0),"",IF(N536=MappingTables!$C$14,VLOOKUP(J536,ModelParameters!$M$8:$N$15,2,FALSE),IF(N536=MappingTables!$C$16,VLOOKUP(J536,ModelParameters!$P$8:$Q$15,2,FALSE),0)))</f>
        <v>0.166</v>
      </c>
      <c r="P536" s="73">
        <f>IF(OR(I536=0,I536=$A$1),0,MIN(O536*M536,1)*K536)</f>
        <v>23.89394263012978</v>
      </c>
      <c r="Q536" s="73">
        <f>IF(B536="",0,IF(OR(H536=MappingTables!$C$34,H536=MappingTables!$C$35),P536,0))</f>
        <v>0</v>
      </c>
      <c r="R536" s="73">
        <f>IF(ISNA(IF(AND(VLOOKUP(CONCATENATE($D536,$G536),CSRFinput!$B:$E,4,0)=0,OR(H536=MappingTables!$C$31,H536=MappingTables!$C$32)),1,VLOOKUP(CONCATENATE($D536,$G536),CSRFinput!$B:$E,4,0))),0,IF(AND(VLOOKUP(CONCATENATE($D536,$G536),CSRFinput!$B:$E,4,0)=0,OR(H536=MappingTables!$C$31,H536=MappingTables!$C$32)),1,VLOOKUP(CONCATENATE($D536,$G536),CSRFinput!$B:$E,4,0)))</f>
        <v>0.054776304963434752</v>
      </c>
      <c r="S536" s="73">
        <f>IF(B536="",0,P536*R536)</f>
        <v>1.308821888286803</v>
      </c>
      <c r="T536" s="85">
        <f>IF(B536="",0,IF(OR(H536=MappingTables!$C$34,H536=MappingTables!$C$35),S536,0))</f>
        <v>0</v>
      </c>
    </row>
    <row r="537" spans="2:20" s="0" customFormat="0" ht="15">
      <c r="B537" s="69">
        <v>21027852</v>
      </c>
      <c r="C537" s="70" t="s">
        <v>4084</v>
      </c>
      <c r="D537" s="70" t="s">
        <v>1</v>
      </c>
      <c r="E537" s="70" t="s">
        <v>1</v>
      </c>
      <c r="F537" s="70"/>
      <c r="G537" s="70" t="s">
        <v>61</v>
      </c>
      <c r="H537" s="70" t="s">
        <v>178</v>
      </c>
      <c r="I537" s="70" t="s">
        <v>216</v>
      </c>
      <c r="J537" s="71">
        <f>IF(OR(I537=0,I537=""),"unrated",VLOOKUP(I537,MappingTables!$B$19:$C$31,2,FALSE))</f>
        <v>0</v>
      </c>
      <c r="K537" s="72">
        <v>21.958424029679028</v>
      </c>
      <c r="L537" s="70">
        <v>0.071313182260071872</v>
      </c>
      <c r="M537" s="71">
        <f>IF(L537&lt;1,1,L537)</f>
        <v>1</v>
      </c>
      <c r="N537" s="70" t="s">
        <v>3288</v>
      </c>
      <c r="O537" s="71">
        <f>IF(OR(I537=$A$1,I537=0),"",IF(N537=MappingTables!$C$14,VLOOKUP(J537,ModelParameters!$M$8:$N$15,2,FALSE),IF(N537=MappingTables!$C$16,VLOOKUP(J537,ModelParameters!$P$8:$Q$15,2,FALSE),0)))</f>
        <v>0.125</v>
      </c>
      <c r="P537" s="73">
        <f>IF(OR(I537=0,I537=$A$1),0,MIN(O537*M537,1)*K537)</f>
        <v>2.7448030037098788</v>
      </c>
      <c r="Q537" s="73">
        <f>IF(B537="",0,IF(OR(H537=MappingTables!$C$34,H537=MappingTables!$C$35),P537,0))</f>
        <v>0</v>
      </c>
      <c r="R537" s="73">
        <f>IF(ISNA(IF(AND(VLOOKUP(CONCATENATE($D537,$G537),CSRFinput!$B:$E,4,0)=0,OR(H537=MappingTables!$C$31,H537=MappingTables!$C$32)),1,VLOOKUP(CONCATENATE($D537,$G537),CSRFinput!$B:$E,4,0))),0,IF(AND(VLOOKUP(CONCATENATE($D537,$G537),CSRFinput!$B:$E,4,0)=0,OR(H537=MappingTables!$C$31,H537=MappingTables!$C$32)),1,VLOOKUP(CONCATENATE($D537,$G537),CSRFinput!$B:$E,4,0)))</f>
        <v>0.054776304963434752</v>
      </c>
      <c r="S537" s="73">
        <f>IF(B537="",0,P537*R537)</f>
        <v>0.15035016639576404</v>
      </c>
      <c r="T537" s="85">
        <f>IF(B537="",0,IF(OR(H537=MappingTables!$C$34,H537=MappingTables!$C$35),S537,0))</f>
        <v>0</v>
      </c>
    </row>
    <row r="538" spans="2:20" s="0" customFormat="0" ht="15">
      <c r="B538" s="69" t="s">
        <v>4085</v>
      </c>
      <c r="C538" s="70" t="s">
        <v>4086</v>
      </c>
      <c r="D538" s="70" t="s">
        <v>1</v>
      </c>
      <c r="E538" s="70" t="s">
        <v>1</v>
      </c>
      <c r="F538" s="70"/>
      <c r="G538" s="70" t="s">
        <v>61</v>
      </c>
      <c r="H538" s="70" t="s">
        <v>178</v>
      </c>
      <c r="I538" s="70" t="s">
        <v>204</v>
      </c>
      <c r="J538" s="71">
        <f>IF(OR(I538=0,I538=""),"unrated",VLOOKUP(I538,MappingTables!$B$19:$C$31,2,FALSE))</f>
        <v>6</v>
      </c>
      <c r="K538" s="72">
        <v>97.318722554400992</v>
      </c>
      <c r="L538" s="70">
        <v>0.045442408614539648</v>
      </c>
      <c r="M538" s="71">
        <f>IF(L538&lt;1,1,L538)</f>
        <v>1</v>
      </c>
      <c r="N538" s="70" t="s">
        <v>3288</v>
      </c>
      <c r="O538" s="71">
        <f>IF(OR(I538=$A$1,I538=0),"",IF(N538=MappingTables!$C$14,VLOOKUP(J538,ModelParameters!$M$8:$N$15,2,FALSE),IF(N538=MappingTables!$C$16,VLOOKUP(J538,ModelParameters!$P$8:$Q$15,2,FALSE),0)))</f>
        <v>1</v>
      </c>
      <c r="P538" s="73">
        <f>IF(OR(I538=0,I538=$A$1),0,MIN(O538*M538,1)*K538)</f>
        <v>97.318722554400992</v>
      </c>
      <c r="Q538" s="73">
        <f>IF(B538="",0,IF(OR(H538=MappingTables!$C$34,H538=MappingTables!$C$35),P538,0))</f>
        <v>0</v>
      </c>
      <c r="R538" s="73">
        <f>IF(ISNA(IF(AND(VLOOKUP(CONCATENATE($D538,$G538),CSRFinput!$B:$E,4,0)=0,OR(H538=MappingTables!$C$31,H538=MappingTables!$C$32)),1,VLOOKUP(CONCATENATE($D538,$G538),CSRFinput!$B:$E,4,0))),0,IF(AND(VLOOKUP(CONCATENATE($D538,$G538),CSRFinput!$B:$E,4,0)=0,OR(H538=MappingTables!$C$31,H538=MappingTables!$C$32)),1,VLOOKUP(CONCATENATE($D538,$G538),CSRFinput!$B:$E,4,0)))</f>
        <v>0.054776304963434752</v>
      </c>
      <c r="S538" s="73">
        <f>IF(B538="",0,P538*R538)</f>
        <v>5.3307600252917648</v>
      </c>
      <c r="T538" s="85">
        <f>IF(B538="",0,IF(OR(H538=MappingTables!$C$34,H538=MappingTables!$C$35),S538,0))</f>
        <v>0</v>
      </c>
    </row>
    <row r="539" spans="2:20" s="0" customFormat="0" ht="15">
      <c r="B539" s="69" t="s">
        <v>4087</v>
      </c>
      <c r="C539" s="70" t="s">
        <v>4088</v>
      </c>
      <c r="D539" s="70" t="s">
        <v>1</v>
      </c>
      <c r="E539" s="70" t="s">
        <v>1</v>
      </c>
      <c r="F539" s="70"/>
      <c r="G539" s="70" t="s">
        <v>61</v>
      </c>
      <c r="H539" s="70" t="s">
        <v>178</v>
      </c>
      <c r="I539" s="70" t="s">
        <v>204</v>
      </c>
      <c r="J539" s="71">
        <f>IF(OR(I539=0,I539=""),"unrated",VLOOKUP(I539,MappingTables!$B$19:$C$31,2,FALSE))</f>
        <v>6</v>
      </c>
      <c r="K539" s="72">
        <v>13710.364971483276</v>
      </c>
      <c r="L539" s="70">
        <v>0.068494622144413248</v>
      </c>
      <c r="M539" s="71">
        <f>IF(L539&lt;1,1,L539)</f>
        <v>1</v>
      </c>
      <c r="N539" s="70" t="s">
        <v>3288</v>
      </c>
      <c r="O539" s="71">
        <f>IF(OR(I539=$A$1,I539=0),"",IF(N539=MappingTables!$C$14,VLOOKUP(J539,ModelParameters!$M$8:$N$15,2,FALSE),IF(N539=MappingTables!$C$16,VLOOKUP(J539,ModelParameters!$P$8:$Q$15,2,FALSE),0)))</f>
        <v>1</v>
      </c>
      <c r="P539" s="73">
        <f>IF(OR(I539=0,I539=$A$1),0,MIN(O539*M539,1)*K539)</f>
        <v>13710.364971483276</v>
      </c>
      <c r="Q539" s="73">
        <f>IF(B539="",0,IF(OR(H539=MappingTables!$C$34,H539=MappingTables!$C$35),P539,0))</f>
        <v>0</v>
      </c>
      <c r="R539" s="73">
        <f>IF(ISNA(IF(AND(VLOOKUP(CONCATENATE($D539,$G539),CSRFinput!$B:$E,4,0)=0,OR(H539=MappingTables!$C$31,H539=MappingTables!$C$32)),1,VLOOKUP(CONCATENATE($D539,$G539),CSRFinput!$B:$E,4,0))),0,IF(AND(VLOOKUP(CONCATENATE($D539,$G539),CSRFinput!$B:$E,4,0)=0,OR(H539=MappingTables!$C$31,H539=MappingTables!$C$32)),1,VLOOKUP(CONCATENATE($D539,$G539),CSRFinput!$B:$E,4,0)))</f>
        <v>0.054776304963434752</v>
      </c>
      <c r="S539" s="73">
        <f>IF(B539="",0,P539*R539)</f>
        <v>751.00313283796128</v>
      </c>
      <c r="T539" s="85">
        <f>IF(B539="",0,IF(OR(H539=MappingTables!$C$34,H539=MappingTables!$C$35),S539,0))</f>
        <v>0</v>
      </c>
    </row>
    <row r="540" spans="2:20" s="0" customFormat="0" ht="15">
      <c r="B540" s="69" t="s">
        <v>3558</v>
      </c>
      <c r="C540" s="70" t="s">
        <v>3559</v>
      </c>
      <c r="D540" s="70" t="s">
        <v>1</v>
      </c>
      <c r="E540" s="70" t="s">
        <v>1</v>
      </c>
      <c r="F540" s="70"/>
      <c r="G540" s="70" t="s">
        <v>61</v>
      </c>
      <c r="H540" s="70" t="s">
        <v>178</v>
      </c>
      <c r="I540" s="70" t="s">
        <v>184</v>
      </c>
      <c r="J540" s="71">
        <f>IF(OR(I540=0,I540=""),"unrated",VLOOKUP(I540,MappingTables!$B$19:$C$31,2,FALSE))</f>
        <v>5</v>
      </c>
      <c r="K540" s="72">
        <v>54.102905363063856</v>
      </c>
      <c r="L540" s="70">
        <v>0.06849132078954788</v>
      </c>
      <c r="M540" s="71">
        <f>IF(L540&lt;1,1,L540)</f>
        <v>1</v>
      </c>
      <c r="N540" s="70" t="s">
        <v>3288</v>
      </c>
      <c r="O540" s="71">
        <f>IF(OR(I540=$A$1,I540=0),"",IF(N540=MappingTables!$C$14,VLOOKUP(J540,ModelParameters!$M$8:$N$15,2,FALSE),IF(N540=MappingTables!$C$16,VLOOKUP(J540,ModelParameters!$P$8:$Q$15,2,FALSE),0)))</f>
        <v>1</v>
      </c>
      <c r="P540" s="73">
        <f>IF(OR(I540=0,I540=$A$1),0,MIN(O540*M540,1)*K540)</f>
        <v>54.102905363063856</v>
      </c>
      <c r="Q540" s="73">
        <f>IF(B540="",0,IF(OR(H540=MappingTables!$C$34,H540=MappingTables!$C$35),P540,0))</f>
        <v>0</v>
      </c>
      <c r="R540" s="73">
        <f>IF(ISNA(IF(AND(VLOOKUP(CONCATENATE($D540,$G540),CSRFinput!$B:$E,4,0)=0,OR(H540=MappingTables!$C$31,H540=MappingTables!$C$32)),1,VLOOKUP(CONCATENATE($D540,$G540),CSRFinput!$B:$E,4,0))),0,IF(AND(VLOOKUP(CONCATENATE($D540,$G540),CSRFinput!$B:$E,4,0)=0,OR(H540=MappingTables!$C$31,H540=MappingTables!$C$32)),1,VLOOKUP(CONCATENATE($D540,$G540),CSRFinput!$B:$E,4,0)))</f>
        <v>0.054776304963434752</v>
      </c>
      <c r="S540" s="73">
        <f>IF(B540="",0,P540*R540)</f>
        <v>2.9635572435750356</v>
      </c>
      <c r="T540" s="85">
        <f>IF(B540="",0,IF(OR(H540=MappingTables!$C$34,H540=MappingTables!$C$35),S540,0))</f>
        <v>0</v>
      </c>
    </row>
    <row r="541" spans="2:20" s="0" customFormat="0" ht="15">
      <c r="B541" s="69" t="s">
        <v>4089</v>
      </c>
      <c r="C541" s="70" t="s">
        <v>4090</v>
      </c>
      <c r="D541" s="70" t="s">
        <v>1</v>
      </c>
      <c r="E541" s="70" t="s">
        <v>1</v>
      </c>
      <c r="F541" s="70"/>
      <c r="G541" s="70" t="s">
        <v>61</v>
      </c>
      <c r="H541" s="70" t="s">
        <v>178</v>
      </c>
      <c r="I541" s="70" t="s">
        <v>216</v>
      </c>
      <c r="J541" s="71">
        <f>IF(OR(I541=0,I541=""),"unrated",VLOOKUP(I541,MappingTables!$B$19:$C$31,2,FALSE))</f>
        <v>0</v>
      </c>
      <c r="K541" s="72">
        <v>724.58703560153248</v>
      </c>
      <c r="L541" s="70">
        <v>0.05753177730382644</v>
      </c>
      <c r="M541" s="71">
        <f>IF(L541&lt;1,1,L541)</f>
        <v>1</v>
      </c>
      <c r="N541" s="70" t="s">
        <v>3288</v>
      </c>
      <c r="O541" s="71">
        <f>IF(OR(I541=$A$1,I541=0),"",IF(N541=MappingTables!$C$14,VLOOKUP(J541,ModelParameters!$M$8:$N$15,2,FALSE),IF(N541=MappingTables!$C$16,VLOOKUP(J541,ModelParameters!$P$8:$Q$15,2,FALSE),0)))</f>
        <v>0.125</v>
      </c>
      <c r="P541" s="73">
        <f>IF(OR(I541=0,I541=$A$1),0,MIN(O541*M541,1)*K541)</f>
        <v>90.573379450191552</v>
      </c>
      <c r="Q541" s="73">
        <f>IF(B541="",0,IF(OR(H541=MappingTables!$C$34,H541=MappingTables!$C$35),P541,0))</f>
        <v>0</v>
      </c>
      <c r="R541" s="73">
        <f>IF(ISNA(IF(AND(VLOOKUP(CONCATENATE($D541,$G541),CSRFinput!$B:$E,4,0)=0,OR(H541=MappingTables!$C$31,H541=MappingTables!$C$32)),1,VLOOKUP(CONCATENATE($D541,$G541),CSRFinput!$B:$E,4,0))),0,IF(AND(VLOOKUP(CONCATENATE($D541,$G541),CSRFinput!$B:$E,4,0)=0,OR(H541=MappingTables!$C$31,H541=MappingTables!$C$32)),1,VLOOKUP(CONCATENATE($D541,$G541),CSRFinput!$B:$E,4,0)))</f>
        <v>0.054776304963434752</v>
      </c>
      <c r="S541" s="73">
        <f>IF(B541="",0,P541*R541)</f>
        <v>4.9612750543325872</v>
      </c>
      <c r="T541" s="85">
        <f>IF(B541="",0,IF(OR(H541=MappingTables!$C$34,H541=MappingTables!$C$35),S541,0))</f>
        <v>0</v>
      </c>
    </row>
    <row r="542" spans="2:20" s="0" customFormat="0" ht="15">
      <c r="B542" s="69" t="s">
        <v>4091</v>
      </c>
      <c r="C542" s="70" t="s">
        <v>4092</v>
      </c>
      <c r="D542" s="70" t="s">
        <v>1</v>
      </c>
      <c r="E542" s="70" t="s">
        <v>1</v>
      </c>
      <c r="F542" s="70"/>
      <c r="G542" s="70" t="s">
        <v>61</v>
      </c>
      <c r="H542" s="70" t="s">
        <v>178</v>
      </c>
      <c r="I542" s="70" t="s">
        <v>198</v>
      </c>
      <c r="J542" s="71" t="str">
        <f>IF(OR(I542=0,I542=""),"unrated",VLOOKUP(I542,MappingTables!$B$19:$C$31,2,FALSE))</f>
        <v>unrated</v>
      </c>
      <c r="K542" s="72">
        <v>49.491188278515056</v>
      </c>
      <c r="L542" s="70">
        <v>0.068489147939106928</v>
      </c>
      <c r="M542" s="71">
        <f>IF(L542&lt;1,1,L542)</f>
        <v>1</v>
      </c>
      <c r="N542" s="70" t="s">
        <v>3288</v>
      </c>
      <c r="O542" s="71">
        <f>IF(OR(I542=$A$1,I542=0),"",IF(N542=MappingTables!$C$14,VLOOKUP(J542,ModelParameters!$M$8:$N$15,2,FALSE),IF(N542=MappingTables!$C$16,VLOOKUP(J542,ModelParameters!$P$8:$Q$15,2,FALSE),0)))</f>
        <v>1</v>
      </c>
      <c r="P542" s="73">
        <f>IF(OR(I542=0,I542=$A$1),0,MIN(O542*M542,1)*K542)</f>
        <v>49.491188278515056</v>
      </c>
      <c r="Q542" s="73">
        <f>IF(B542="",0,IF(OR(H542=MappingTables!$C$34,H542=MappingTables!$C$35),P542,0))</f>
        <v>0</v>
      </c>
      <c r="R542" s="73">
        <f>IF(ISNA(IF(AND(VLOOKUP(CONCATENATE($D542,$G542),CSRFinput!$B:$E,4,0)=0,OR(H542=MappingTables!$C$31,H542=MappingTables!$C$32)),1,VLOOKUP(CONCATENATE($D542,$G542),CSRFinput!$B:$E,4,0))),0,IF(AND(VLOOKUP(CONCATENATE($D542,$G542),CSRFinput!$B:$E,4,0)=0,OR(H542=MappingTables!$C$31,H542=MappingTables!$C$32)),1,VLOOKUP(CONCATENATE($D542,$G542),CSRFinput!$B:$E,4,0)))</f>
        <v>0.054776304963434752</v>
      </c>
      <c r="S542" s="73">
        <f>IF(B542="",0,P542*R542)</f>
        <v>2.710944422146708</v>
      </c>
      <c r="T542" s="85">
        <f>IF(B542="",0,IF(OR(H542=MappingTables!$C$34,H542=MappingTables!$C$35),S542,0))</f>
        <v>0</v>
      </c>
    </row>
    <row r="543" spans="2:20" s="0" customFormat="0" ht="15">
      <c r="B543" s="69" t="s">
        <v>3743</v>
      </c>
      <c r="C543" s="70" t="s">
        <v>3744</v>
      </c>
      <c r="D543" s="70" t="s">
        <v>1</v>
      </c>
      <c r="E543" s="70" t="s">
        <v>1</v>
      </c>
      <c r="F543" s="70"/>
      <c r="G543" s="70" t="s">
        <v>61</v>
      </c>
      <c r="H543" s="70" t="s">
        <v>178</v>
      </c>
      <c r="I543" s="70" t="s">
        <v>204</v>
      </c>
      <c r="J543" s="71">
        <f>IF(OR(I543=0,I543=""),"unrated",VLOOKUP(I543,MappingTables!$B$19:$C$31,2,FALSE))</f>
        <v>6</v>
      </c>
      <c r="K543" s="72">
        <v>134.79039321034424</v>
      </c>
      <c r="L543" s="70">
        <v>0.068494014860641536</v>
      </c>
      <c r="M543" s="71">
        <f>IF(L543&lt;1,1,L543)</f>
        <v>1</v>
      </c>
      <c r="N543" s="70" t="s">
        <v>3288</v>
      </c>
      <c r="O543" s="71">
        <f>IF(OR(I543=$A$1,I543=0),"",IF(N543=MappingTables!$C$14,VLOOKUP(J543,ModelParameters!$M$8:$N$15,2,FALSE),IF(N543=MappingTables!$C$16,VLOOKUP(J543,ModelParameters!$P$8:$Q$15,2,FALSE),0)))</f>
        <v>1</v>
      </c>
      <c r="P543" s="73">
        <f>IF(OR(I543=0,I543=$A$1),0,MIN(O543*M543,1)*K543)</f>
        <v>134.79039321034424</v>
      </c>
      <c r="Q543" s="73">
        <f>IF(B543="",0,IF(OR(H543=MappingTables!$C$34,H543=MappingTables!$C$35),P543,0))</f>
        <v>0</v>
      </c>
      <c r="R543" s="73">
        <f>IF(ISNA(IF(AND(VLOOKUP(CONCATENATE($D543,$G543),CSRFinput!$B:$E,4,0)=0,OR(H543=MappingTables!$C$31,H543=MappingTables!$C$32)),1,VLOOKUP(CONCATENATE($D543,$G543),CSRFinput!$B:$E,4,0))),0,IF(AND(VLOOKUP(CONCATENATE($D543,$G543),CSRFinput!$B:$E,4,0)=0,OR(H543=MappingTables!$C$31,H543=MappingTables!$C$32)),1,VLOOKUP(CONCATENATE($D543,$G543),CSRFinput!$B:$E,4,0)))</f>
        <v>0.054776304963434752</v>
      </c>
      <c r="S543" s="73">
        <f>IF(B543="",0,P543*R543)</f>
        <v>7.3833196846311008</v>
      </c>
      <c r="T543" s="85">
        <f>IF(B543="",0,IF(OR(H543=MappingTables!$C$34,H543=MappingTables!$C$35),S543,0))</f>
        <v>0</v>
      </c>
    </row>
    <row r="544" spans="2:20" s="0" customFormat="0" ht="15">
      <c r="B544" s="69" t="s">
        <v>4093</v>
      </c>
      <c r="C544" s="70" t="s">
        <v>4094</v>
      </c>
      <c r="D544" s="70" t="s">
        <v>1</v>
      </c>
      <c r="E544" s="70" t="s">
        <v>1</v>
      </c>
      <c r="F544" s="70"/>
      <c r="G544" s="70" t="s">
        <v>61</v>
      </c>
      <c r="H544" s="70" t="s">
        <v>178</v>
      </c>
      <c r="I544" s="70" t="s">
        <v>3298</v>
      </c>
      <c r="J544" s="71">
        <f>IF(OR(I544=0,I544=""),"unrated",VLOOKUP(I544,MappingTables!$B$19:$C$31,2,FALSE))</f>
        <v>6</v>
      </c>
      <c r="K544" s="72">
        <v>2.0875853401215112</v>
      </c>
      <c r="L544" s="70">
        <v>0.043137373756648608</v>
      </c>
      <c r="M544" s="71">
        <f>IF(L544&lt;1,1,L544)</f>
        <v>1</v>
      </c>
      <c r="N544" s="70" t="s">
        <v>3288</v>
      </c>
      <c r="O544" s="71">
        <f>IF(OR(I544=$A$1,I544=0),"",IF(N544=MappingTables!$C$14,VLOOKUP(J544,ModelParameters!$M$8:$N$15,2,FALSE),IF(N544=MappingTables!$C$16,VLOOKUP(J544,ModelParameters!$P$8:$Q$15,2,FALSE),0)))</f>
        <v>1</v>
      </c>
      <c r="P544" s="73">
        <f>IF(OR(I544=0,I544=$A$1),0,MIN(O544*M544,1)*K544)</f>
        <v>2.0875853401215112</v>
      </c>
      <c r="Q544" s="73">
        <f>IF(B544="",0,IF(OR(H544=MappingTables!$C$34,H544=MappingTables!$C$35),P544,0))</f>
        <v>0</v>
      </c>
      <c r="R544" s="73">
        <f>IF(ISNA(IF(AND(VLOOKUP(CONCATENATE($D544,$G544),CSRFinput!$B:$E,4,0)=0,OR(H544=MappingTables!$C$31,H544=MappingTables!$C$32)),1,VLOOKUP(CONCATENATE($D544,$G544),CSRFinput!$B:$E,4,0))),0,IF(AND(VLOOKUP(CONCATENATE($D544,$G544),CSRFinput!$B:$E,4,0)=0,OR(H544=MappingTables!$C$31,H544=MappingTables!$C$32)),1,VLOOKUP(CONCATENATE($D544,$G544),CSRFinput!$B:$E,4,0)))</f>
        <v>0.054776304963434752</v>
      </c>
      <c r="S544" s="73">
        <f>IF(B544="",0,P544*R544)</f>
        <v>0.11435021122769156</v>
      </c>
      <c r="T544" s="85">
        <f>IF(B544="",0,IF(OR(H544=MappingTables!$C$34,H544=MappingTables!$C$35),S544,0))</f>
        <v>0</v>
      </c>
    </row>
    <row r="545" spans="2:20" s="0" customFormat="0" ht="15">
      <c r="B545" s="69">
        <v>16974688</v>
      </c>
      <c r="C545" s="70" t="s">
        <v>4095</v>
      </c>
      <c r="D545" s="70" t="s">
        <v>1</v>
      </c>
      <c r="E545" s="70" t="s">
        <v>1</v>
      </c>
      <c r="F545" s="70"/>
      <c r="G545" s="70" t="s">
        <v>61</v>
      </c>
      <c r="H545" s="70" t="s">
        <v>178</v>
      </c>
      <c r="I545" s="70" t="s">
        <v>198</v>
      </c>
      <c r="J545" s="71" t="str">
        <f>IF(OR(I545=0,I545=""),"unrated",VLOOKUP(I545,MappingTables!$B$19:$C$31,2,FALSE))</f>
        <v>unrated</v>
      </c>
      <c r="K545" s="72">
        <v>95.877722562194464</v>
      </c>
      <c r="L545" s="70">
        <v>0.070645264402148256</v>
      </c>
      <c r="M545" s="71">
        <f>IF(L545&lt;1,1,L545)</f>
        <v>1</v>
      </c>
      <c r="N545" s="70" t="s">
        <v>3288</v>
      </c>
      <c r="O545" s="71">
        <f>IF(OR(I545=$A$1,I545=0),"",IF(N545=MappingTables!$C$14,VLOOKUP(J545,ModelParameters!$M$8:$N$15,2,FALSE),IF(N545=MappingTables!$C$16,VLOOKUP(J545,ModelParameters!$P$8:$Q$15,2,FALSE),0)))</f>
        <v>1</v>
      </c>
      <c r="P545" s="73">
        <f>IF(OR(I545=0,I545=$A$1),0,MIN(O545*M545,1)*K545)</f>
        <v>95.877722562194464</v>
      </c>
      <c r="Q545" s="73">
        <f>IF(B545="",0,IF(OR(H545=MappingTables!$C$34,H545=MappingTables!$C$35),P545,0))</f>
        <v>0</v>
      </c>
      <c r="R545" s="73">
        <f>IF(ISNA(IF(AND(VLOOKUP(CONCATENATE($D545,$G545),CSRFinput!$B:$E,4,0)=0,OR(H545=MappingTables!$C$31,H545=MappingTables!$C$32)),1,VLOOKUP(CONCATENATE($D545,$G545),CSRFinput!$B:$E,4,0))),0,IF(AND(VLOOKUP(CONCATENATE($D545,$G545),CSRFinput!$B:$E,4,0)=0,OR(H545=MappingTables!$C$31,H545=MappingTables!$C$32)),1,VLOOKUP(CONCATENATE($D545,$G545),CSRFinput!$B:$E,4,0)))</f>
        <v>0.054776304963434752</v>
      </c>
      <c r="S545" s="73">
        <f>IF(B545="",0,P545*R545)</f>
        <v>5.2518273702663528</v>
      </c>
      <c r="T545" s="85">
        <f>IF(B545="",0,IF(OR(H545=MappingTables!$C$34,H545=MappingTables!$C$35),S545,0))</f>
        <v>0</v>
      </c>
    </row>
    <row r="546" spans="2:20" s="0" customFormat="0" ht="15">
      <c r="B546" s="69" t="s">
        <v>4096</v>
      </c>
      <c r="C546" s="70" t="s">
        <v>4097</v>
      </c>
      <c r="D546" s="70" t="s">
        <v>1</v>
      </c>
      <c r="E546" s="70" t="s">
        <v>1</v>
      </c>
      <c r="F546" s="70"/>
      <c r="G546" s="70" t="s">
        <v>61</v>
      </c>
      <c r="H546" s="70" t="s">
        <v>178</v>
      </c>
      <c r="I546" s="70" t="s">
        <v>204</v>
      </c>
      <c r="J546" s="71">
        <f>IF(OR(I546=0,I546=""),"unrated",VLOOKUP(I546,MappingTables!$B$19:$C$31,2,FALSE))</f>
        <v>6</v>
      </c>
      <c r="K546" s="72">
        <v>1158.0426782057904</v>
      </c>
      <c r="L546" s="70">
        <v>-0.29171335278593784</v>
      </c>
      <c r="M546" s="71">
        <f>IF(L546&lt;1,1,L546)</f>
        <v>1</v>
      </c>
      <c r="N546" s="70" t="s">
        <v>3288</v>
      </c>
      <c r="O546" s="71">
        <f>IF(OR(I546=$A$1,I546=0),"",IF(N546=MappingTables!$C$14,VLOOKUP(J546,ModelParameters!$M$8:$N$15,2,FALSE),IF(N546=MappingTables!$C$16,VLOOKUP(J546,ModelParameters!$P$8:$Q$15,2,FALSE),0)))</f>
        <v>1</v>
      </c>
      <c r="P546" s="73">
        <f>IF(OR(I546=0,I546=$A$1),0,MIN(O546*M546,1)*K546)</f>
        <v>1158.0426782057904</v>
      </c>
      <c r="Q546" s="73">
        <f>IF(B546="",0,IF(OR(H546=MappingTables!$C$34,H546=MappingTables!$C$35),P546,0))</f>
        <v>0</v>
      </c>
      <c r="R546" s="73">
        <f>IF(ISNA(IF(AND(VLOOKUP(CONCATENATE($D546,$G546),CSRFinput!$B:$E,4,0)=0,OR(H546=MappingTables!$C$31,H546=MappingTables!$C$32)),1,VLOOKUP(CONCATENATE($D546,$G546),CSRFinput!$B:$E,4,0))),0,IF(AND(VLOOKUP(CONCATENATE($D546,$G546),CSRFinput!$B:$E,4,0)=0,OR(H546=MappingTables!$C$31,H546=MappingTables!$C$32)),1,VLOOKUP(CONCATENATE($D546,$G546),CSRFinput!$B:$E,4,0)))</f>
        <v>0.054776304963434752</v>
      </c>
      <c r="S546" s="73">
        <f>IF(B546="",0,P546*R546)</f>
        <v>63.43329890207312</v>
      </c>
      <c r="T546" s="85">
        <f>IF(B546="",0,IF(OR(H546=MappingTables!$C$34,H546=MappingTables!$C$35),S546,0))</f>
        <v>0</v>
      </c>
    </row>
    <row r="547" spans="2:20" s="0" customFormat="0" ht="15">
      <c r="B547" s="69" t="s">
        <v>4098</v>
      </c>
      <c r="C547" s="70" t="s">
        <v>4099</v>
      </c>
      <c r="D547" s="70" t="s">
        <v>1</v>
      </c>
      <c r="E547" s="70" t="s">
        <v>1</v>
      </c>
      <c r="F547" s="70"/>
      <c r="G547" s="70" t="s">
        <v>61</v>
      </c>
      <c r="H547" s="70" t="s">
        <v>178</v>
      </c>
      <c r="I547" s="70" t="s">
        <v>198</v>
      </c>
      <c r="J547" s="71" t="str">
        <f>IF(OR(I547=0,I547=""),"unrated",VLOOKUP(I547,MappingTables!$B$19:$C$31,2,FALSE))</f>
        <v>unrated</v>
      </c>
      <c r="K547" s="72">
        <v>13949.53130518991</v>
      </c>
      <c r="L547" s="70">
        <v>25.960822758087808</v>
      </c>
      <c r="M547" s="71">
        <f>IF(L547&lt;1,1,L547)</f>
        <v>25.960822758087808</v>
      </c>
      <c r="N547" s="70" t="s">
        <v>3288</v>
      </c>
      <c r="O547" s="71">
        <f>IF(OR(I547=$A$1,I547=0),"",IF(N547=MappingTables!$C$14,VLOOKUP(J547,ModelParameters!$M$8:$N$15,2,FALSE),IF(N547=MappingTables!$C$16,VLOOKUP(J547,ModelParameters!$P$8:$Q$15,2,FALSE),0)))</f>
        <v>1</v>
      </c>
      <c r="P547" s="73">
        <f>IF(OR(I547=0,I547=$A$1),0,MIN(O547*M547,1)*K547)</f>
        <v>13949.53130518991</v>
      </c>
      <c r="Q547" s="73">
        <f>IF(B547="",0,IF(OR(H547=MappingTables!$C$34,H547=MappingTables!$C$35),P547,0))</f>
        <v>0</v>
      </c>
      <c r="R547" s="73">
        <f>IF(ISNA(IF(AND(VLOOKUP(CONCATENATE($D547,$G547),CSRFinput!$B:$E,4,0)=0,OR(H547=MappingTables!$C$31,H547=MappingTables!$C$32)),1,VLOOKUP(CONCATENATE($D547,$G547),CSRFinput!$B:$E,4,0))),0,IF(AND(VLOOKUP(CONCATENATE($D547,$G547),CSRFinput!$B:$E,4,0)=0,OR(H547=MappingTables!$C$31,H547=MappingTables!$C$32)),1,VLOOKUP(CONCATENATE($D547,$G547),CSRFinput!$B:$E,4,0)))</f>
        <v>0.054776304963434752</v>
      </c>
      <c r="S547" s="73">
        <f>IF(B547="",0,P547*R547)</f>
        <v>764.10378087006256</v>
      </c>
      <c r="T547" s="85">
        <f>IF(B547="",0,IF(OR(H547=MappingTables!$C$34,H547=MappingTables!$C$35),S547,0))</f>
        <v>0</v>
      </c>
    </row>
    <row r="548" spans="2:20" s="0" customFormat="0" ht="15">
      <c r="B548" s="69" t="s">
        <v>3361</v>
      </c>
      <c r="C548" s="70" t="s">
        <v>3362</v>
      </c>
      <c r="D548" s="70" t="s">
        <v>1</v>
      </c>
      <c r="E548" s="70" t="s">
        <v>1</v>
      </c>
      <c r="F548" s="70"/>
      <c r="G548" s="70" t="s">
        <v>61</v>
      </c>
      <c r="H548" s="70" t="s">
        <v>178</v>
      </c>
      <c r="I548" s="70" t="s">
        <v>198</v>
      </c>
      <c r="J548" s="71" t="str">
        <f>IF(OR(I548=0,I548=""),"unrated",VLOOKUP(I548,MappingTables!$B$19:$C$31,2,FALSE))</f>
        <v>unrated</v>
      </c>
      <c r="K548" s="72">
        <v>958.06611419450576</v>
      </c>
      <c r="L548" s="70">
        <v>0.30782096688414272</v>
      </c>
      <c r="M548" s="71">
        <f>IF(L548&lt;1,1,L548)</f>
        <v>1</v>
      </c>
      <c r="N548" s="70" t="s">
        <v>3288</v>
      </c>
      <c r="O548" s="71">
        <f>IF(OR(I548=$A$1,I548=0),"",IF(N548=MappingTables!$C$14,VLOOKUP(J548,ModelParameters!$M$8:$N$15,2,FALSE),IF(N548=MappingTables!$C$16,VLOOKUP(J548,ModelParameters!$P$8:$Q$15,2,FALSE),0)))</f>
        <v>1</v>
      </c>
      <c r="P548" s="73">
        <f>IF(OR(I548=0,I548=$A$1),0,MIN(O548*M548,1)*K548)</f>
        <v>958.06611419450576</v>
      </c>
      <c r="Q548" s="73">
        <f>IF(B548="",0,IF(OR(H548=MappingTables!$C$34,H548=MappingTables!$C$35),P548,0))</f>
        <v>0</v>
      </c>
      <c r="R548" s="73">
        <f>IF(ISNA(IF(AND(VLOOKUP(CONCATENATE($D548,$G548),CSRFinput!$B:$E,4,0)=0,OR(H548=MappingTables!$C$31,H548=MappingTables!$C$32)),1,VLOOKUP(CONCATENATE($D548,$G548),CSRFinput!$B:$E,4,0))),0,IF(AND(VLOOKUP(CONCATENATE($D548,$G548),CSRFinput!$B:$E,4,0)=0,OR(H548=MappingTables!$C$31,H548=MappingTables!$C$32)),1,VLOOKUP(CONCATENATE($D548,$G548),CSRFinput!$B:$E,4,0)))</f>
        <v>0.054776304963434752</v>
      </c>
      <c r="S548" s="73">
        <f>IF(B548="",0,P548*R548)</f>
        <v>52.479321646251152</v>
      </c>
      <c r="T548" s="85">
        <f>IF(B548="",0,IF(OR(H548=MappingTables!$C$34,H548=MappingTables!$C$35),S548,0))</f>
        <v>0</v>
      </c>
    </row>
    <row r="549" spans="2:20" s="0" customFormat="0" ht="15">
      <c r="B549" s="69">
        <v>22554444</v>
      </c>
      <c r="C549" s="70" t="s">
        <v>4100</v>
      </c>
      <c r="D549" s="70" t="s">
        <v>1</v>
      </c>
      <c r="E549" s="70" t="s">
        <v>1</v>
      </c>
      <c r="F549" s="70"/>
      <c r="G549" s="70" t="s">
        <v>61</v>
      </c>
      <c r="H549" s="70" t="s">
        <v>178</v>
      </c>
      <c r="I549" s="70" t="s">
        <v>216</v>
      </c>
      <c r="J549" s="71">
        <f>IF(OR(I549=0,I549=""),"unrated",VLOOKUP(I549,MappingTables!$B$19:$C$31,2,FALSE))</f>
        <v>0</v>
      </c>
      <c r="K549" s="72">
        <v>3923.127362214664</v>
      </c>
      <c r="L549" s="70">
        <v>0.054770557281739712</v>
      </c>
      <c r="M549" s="71">
        <f>IF(L549&lt;1,1,L549)</f>
        <v>1</v>
      </c>
      <c r="N549" s="70" t="s">
        <v>3288</v>
      </c>
      <c r="O549" s="71">
        <f>IF(OR(I549=$A$1,I549=0),"",IF(N549=MappingTables!$C$14,VLOOKUP(J549,ModelParameters!$M$8:$N$15,2,FALSE),IF(N549=MappingTables!$C$16,VLOOKUP(J549,ModelParameters!$P$8:$Q$15,2,FALSE),0)))</f>
        <v>0.125</v>
      </c>
      <c r="P549" s="73">
        <f>IF(OR(I549=0,I549=$A$1),0,MIN(O549*M549,1)*K549)</f>
        <v>490.39092027683296</v>
      </c>
      <c r="Q549" s="73">
        <f>IF(B549="",0,IF(OR(H549=MappingTables!$C$34,H549=MappingTables!$C$35),P549,0))</f>
        <v>0</v>
      </c>
      <c r="R549" s="73">
        <f>IF(ISNA(IF(AND(VLOOKUP(CONCATENATE($D549,$G549),CSRFinput!$B:$E,4,0)=0,OR(H549=MappingTables!$C$31,H549=MappingTables!$C$32)),1,VLOOKUP(CONCATENATE($D549,$G549),CSRFinput!$B:$E,4,0))),0,IF(AND(VLOOKUP(CONCATENATE($D549,$G549),CSRFinput!$B:$E,4,0)=0,OR(H549=MappingTables!$C$31,H549=MappingTables!$C$32)),1,VLOOKUP(CONCATENATE($D549,$G549),CSRFinput!$B:$E,4,0)))</f>
        <v>0.054776304963434752</v>
      </c>
      <c r="S549" s="73">
        <f>IF(B549="",0,P549*R549)</f>
        <v>26.86180260038322</v>
      </c>
      <c r="T549" s="85">
        <f>IF(B549="",0,IF(OR(H549=MappingTables!$C$34,H549=MappingTables!$C$35),S549,0))</f>
        <v>0</v>
      </c>
    </row>
    <row r="550" spans="2:20" s="0" customFormat="0" ht="15">
      <c r="B550" s="69">
        <v>22554296</v>
      </c>
      <c r="C550" s="70" t="s">
        <v>4101</v>
      </c>
      <c r="D550" s="70" t="s">
        <v>1</v>
      </c>
      <c r="E550" s="70" t="s">
        <v>1</v>
      </c>
      <c r="F550" s="70"/>
      <c r="G550" s="70" t="s">
        <v>61</v>
      </c>
      <c r="H550" s="70" t="s">
        <v>178</v>
      </c>
      <c r="I550" s="70" t="s">
        <v>216</v>
      </c>
      <c r="J550" s="71">
        <f>IF(OR(I550=0,I550=""),"unrated",VLOOKUP(I550,MappingTables!$B$19:$C$31,2,FALSE))</f>
        <v>0</v>
      </c>
      <c r="K550" s="72">
        <v>49.791218485367848</v>
      </c>
      <c r="L550" s="70">
        <v>0.025563466935931936</v>
      </c>
      <c r="M550" s="71">
        <f>IF(L550&lt;1,1,L550)</f>
        <v>1</v>
      </c>
      <c r="N550" s="70" t="s">
        <v>3288</v>
      </c>
      <c r="O550" s="71">
        <f>IF(OR(I550=$A$1,I550=0),"",IF(N550=MappingTables!$C$14,VLOOKUP(J550,ModelParameters!$M$8:$N$15,2,FALSE),IF(N550=MappingTables!$C$16,VLOOKUP(J550,ModelParameters!$P$8:$Q$15,2,FALSE),0)))</f>
        <v>0.125</v>
      </c>
      <c r="P550" s="73">
        <f>IF(OR(I550=0,I550=$A$1),0,MIN(O550*M550,1)*K550)</f>
        <v>6.2239023106709816</v>
      </c>
      <c r="Q550" s="73">
        <f>IF(B550="",0,IF(OR(H550=MappingTables!$C$34,H550=MappingTables!$C$35),P550,0))</f>
        <v>0</v>
      </c>
      <c r="R550" s="73">
        <f>IF(ISNA(IF(AND(VLOOKUP(CONCATENATE($D550,$G550),CSRFinput!$B:$E,4,0)=0,OR(H550=MappingTables!$C$31,H550=MappingTables!$C$32)),1,VLOOKUP(CONCATENATE($D550,$G550),CSRFinput!$B:$E,4,0))),0,IF(AND(VLOOKUP(CONCATENATE($D550,$G550),CSRFinput!$B:$E,4,0)=0,OR(H550=MappingTables!$C$31,H550=MappingTables!$C$32)),1,VLOOKUP(CONCATENATE($D550,$G550),CSRFinput!$B:$E,4,0)))</f>
        <v>0.054776304963434752</v>
      </c>
      <c r="S550" s="73">
        <f>IF(B550="",0,P550*R550)</f>
        <v>0.34092237103193988</v>
      </c>
      <c r="T550" s="85">
        <f>IF(B550="",0,IF(OR(H550=MappingTables!$C$34,H550=MappingTables!$C$35),S550,0))</f>
        <v>0</v>
      </c>
    </row>
    <row r="551" spans="2:20" s="0" customFormat="0" ht="15">
      <c r="B551" s="69" t="s">
        <v>4102</v>
      </c>
      <c r="C551" s="70" t="s">
        <v>4103</v>
      </c>
      <c r="D551" s="70" t="s">
        <v>1</v>
      </c>
      <c r="E551" s="70" t="s">
        <v>1</v>
      </c>
      <c r="F551" s="70"/>
      <c r="G551" s="70" t="s">
        <v>61</v>
      </c>
      <c r="H551" s="70" t="s">
        <v>178</v>
      </c>
      <c r="I551" s="70" t="s">
        <v>184</v>
      </c>
      <c r="J551" s="71">
        <f>IF(OR(I551=0,I551=""),"unrated",VLOOKUP(I551,MappingTables!$B$19:$C$31,2,FALSE))</f>
        <v>5</v>
      </c>
      <c r="K551" s="72">
        <v>379.49442771902816</v>
      </c>
      <c r="L551" s="70">
        <v>0.068491640424974064</v>
      </c>
      <c r="M551" s="71">
        <f>IF(L551&lt;1,1,L551)</f>
        <v>1</v>
      </c>
      <c r="N551" s="70" t="s">
        <v>3288</v>
      </c>
      <c r="O551" s="71">
        <f>IF(OR(I551=$A$1,I551=0),"",IF(N551=MappingTables!$C$14,VLOOKUP(J551,ModelParameters!$M$8:$N$15,2,FALSE),IF(N551=MappingTables!$C$16,VLOOKUP(J551,ModelParameters!$P$8:$Q$15,2,FALSE),0)))</f>
        <v>1</v>
      </c>
      <c r="P551" s="73">
        <f>IF(OR(I551=0,I551=$A$1),0,MIN(O551*M551,1)*K551)</f>
        <v>379.49442771902816</v>
      </c>
      <c r="Q551" s="73">
        <f>IF(B551="",0,IF(OR(H551=MappingTables!$C$34,H551=MappingTables!$C$35),P551,0))</f>
        <v>0</v>
      </c>
      <c r="R551" s="73">
        <f>IF(ISNA(IF(AND(VLOOKUP(CONCATENATE($D551,$G551),CSRFinput!$B:$E,4,0)=0,OR(H551=MappingTables!$C$31,H551=MappingTables!$C$32)),1,VLOOKUP(CONCATENATE($D551,$G551),CSRFinput!$B:$E,4,0))),0,IF(AND(VLOOKUP(CONCATENATE($D551,$G551),CSRFinput!$B:$E,4,0)=0,OR(H551=MappingTables!$C$31,H551=MappingTables!$C$32)),1,VLOOKUP(CONCATENATE($D551,$G551),CSRFinput!$B:$E,4,0)))</f>
        <v>0.054776304963434752</v>
      </c>
      <c r="S551" s="73">
        <f>IF(B551="",0,P551*R551)</f>
        <v>20.787302504661636</v>
      </c>
      <c r="T551" s="85">
        <f>IF(B551="",0,IF(OR(H551=MappingTables!$C$34,H551=MappingTables!$C$35),S551,0))</f>
        <v>0</v>
      </c>
    </row>
    <row r="552" spans="2:20" s="0" customFormat="0" ht="15">
      <c r="B552" s="69" t="s">
        <v>4104</v>
      </c>
      <c r="C552" s="70" t="s">
        <v>4105</v>
      </c>
      <c r="D552" s="70" t="s">
        <v>1</v>
      </c>
      <c r="E552" s="70" t="s">
        <v>1</v>
      </c>
      <c r="F552" s="70"/>
      <c r="G552" s="70" t="s">
        <v>61</v>
      </c>
      <c r="H552" s="70" t="s">
        <v>178</v>
      </c>
      <c r="I552" s="70" t="s">
        <v>181</v>
      </c>
      <c r="J552" s="71">
        <f>IF(OR(I552=0,I552=""),"unrated",VLOOKUP(I552,MappingTables!$B$19:$C$31,2,FALSE))</f>
        <v>3</v>
      </c>
      <c r="K552" s="72">
        <v>128.41351748384952</v>
      </c>
      <c r="L552" s="70">
        <v>0.068487507701596744</v>
      </c>
      <c r="M552" s="71">
        <f>IF(L552&lt;1,1,L552)</f>
        <v>1</v>
      </c>
      <c r="N552" s="70" t="s">
        <v>3288</v>
      </c>
      <c r="O552" s="71">
        <f>IF(OR(I552=$A$1,I552=0),"",IF(N552=MappingTables!$C$14,VLOOKUP(J552,ModelParameters!$M$8:$N$15,2,FALSE),IF(N552=MappingTables!$C$16,VLOOKUP(J552,ModelParameters!$P$8:$Q$15,2,FALSE),0)))</f>
        <v>0.197</v>
      </c>
      <c r="P552" s="73">
        <f>IF(OR(I552=0,I552=$A$1),0,MIN(O552*M552,1)*K552)</f>
        <v>25.297462944318352</v>
      </c>
      <c r="Q552" s="73">
        <f>IF(B552="",0,IF(OR(H552=MappingTables!$C$34,H552=MappingTables!$C$35),P552,0))</f>
        <v>0</v>
      </c>
      <c r="R552" s="73">
        <f>IF(ISNA(IF(AND(VLOOKUP(CONCATENATE($D552,$G552),CSRFinput!$B:$E,4,0)=0,OR(H552=MappingTables!$C$31,H552=MappingTables!$C$32)),1,VLOOKUP(CONCATENATE($D552,$G552),CSRFinput!$B:$E,4,0))),0,IF(AND(VLOOKUP(CONCATENATE($D552,$G552),CSRFinput!$B:$E,4,0)=0,OR(H552=MappingTables!$C$31,H552=MappingTables!$C$32)),1,VLOOKUP(CONCATENATE($D552,$G552),CSRFinput!$B:$E,4,0)))</f>
        <v>0.054776304963434752</v>
      </c>
      <c r="S552" s="73">
        <f>IF(B552="",0,P552*R552)</f>
        <v>1.385701545039172</v>
      </c>
      <c r="T552" s="85">
        <f>IF(B552="",0,IF(OR(H552=MappingTables!$C$34,H552=MappingTables!$C$35),S552,0))</f>
        <v>0</v>
      </c>
    </row>
    <row r="553" spans="2:20" s="0" customFormat="0" ht="15">
      <c r="B553" s="69" t="s">
        <v>4106</v>
      </c>
      <c r="C553" s="70" t="s">
        <v>4107</v>
      </c>
      <c r="D553" s="70" t="s">
        <v>1</v>
      </c>
      <c r="E553" s="70" t="s">
        <v>1</v>
      </c>
      <c r="F553" s="70"/>
      <c r="G553" s="70" t="s">
        <v>61</v>
      </c>
      <c r="H553" s="70" t="s">
        <v>178</v>
      </c>
      <c r="I553" s="70" t="s">
        <v>184</v>
      </c>
      <c r="J553" s="71">
        <f>IF(OR(I553=0,I553=""),"unrated",VLOOKUP(I553,MappingTables!$B$19:$C$31,2,FALSE))</f>
        <v>5</v>
      </c>
      <c r="K553" s="72">
        <v>137.3005534605897</v>
      </c>
      <c r="L553" s="70">
        <v>0.06849082808945628</v>
      </c>
      <c r="M553" s="71">
        <f>IF(L553&lt;1,1,L553)</f>
        <v>1</v>
      </c>
      <c r="N553" s="70" t="s">
        <v>3288</v>
      </c>
      <c r="O553" s="71">
        <f>IF(OR(I553=$A$1,I553=0),"",IF(N553=MappingTables!$C$14,VLOOKUP(J553,ModelParameters!$M$8:$N$15,2,FALSE),IF(N553=MappingTables!$C$16,VLOOKUP(J553,ModelParameters!$P$8:$Q$15,2,FALSE),0)))</f>
        <v>1</v>
      </c>
      <c r="P553" s="73">
        <f>IF(OR(I553=0,I553=$A$1),0,MIN(O553*M553,1)*K553)</f>
        <v>137.3005534605897</v>
      </c>
      <c r="Q553" s="73">
        <f>IF(B553="",0,IF(OR(H553=MappingTables!$C$34,H553=MappingTables!$C$35),P553,0))</f>
        <v>0</v>
      </c>
      <c r="R553" s="73">
        <f>IF(ISNA(IF(AND(VLOOKUP(CONCATENATE($D553,$G553),CSRFinput!$B:$E,4,0)=0,OR(H553=MappingTables!$C$31,H553=MappingTables!$C$32)),1,VLOOKUP(CONCATENATE($D553,$G553),CSRFinput!$B:$E,4,0))),0,IF(AND(VLOOKUP(CONCATENATE($D553,$G553),CSRFinput!$B:$E,4,0)=0,OR(H553=MappingTables!$C$31,H553=MappingTables!$C$32)),1,VLOOKUP(CONCATENATE($D553,$G553),CSRFinput!$B:$E,4,0)))</f>
        <v>0.054776304963434752</v>
      </c>
      <c r="S553" s="73">
        <f>IF(B553="",0,P553*R553)</f>
        <v>7.5208169880056384</v>
      </c>
      <c r="T553" s="85">
        <f>IF(B553="",0,IF(OR(H553=MappingTables!$C$34,H553=MappingTables!$C$35),S553,0))</f>
        <v>0</v>
      </c>
    </row>
    <row r="554" spans="2:20" s="0" customFormat="0" ht="15">
      <c r="B554" s="69" t="s">
        <v>4108</v>
      </c>
      <c r="C554" s="70" t="s">
        <v>4109</v>
      </c>
      <c r="D554" s="70" t="s">
        <v>1</v>
      </c>
      <c r="E554" s="70" t="s">
        <v>1</v>
      </c>
      <c r="F554" s="70"/>
      <c r="G554" s="70" t="s">
        <v>61</v>
      </c>
      <c r="H554" s="70" t="s">
        <v>178</v>
      </c>
      <c r="I554" s="70" t="s">
        <v>198</v>
      </c>
      <c r="J554" s="71" t="str">
        <f>IF(OR(I554=0,I554=""),"unrated",VLOOKUP(I554,MappingTables!$B$19:$C$31,2,FALSE))</f>
        <v>unrated</v>
      </c>
      <c r="K554" s="72">
        <v>238.7751912971606</v>
      </c>
      <c r="L554" s="70">
        <v>0.068496284028699976</v>
      </c>
      <c r="M554" s="71">
        <f>IF(L554&lt;1,1,L554)</f>
        <v>1</v>
      </c>
      <c r="N554" s="70" t="s">
        <v>3288</v>
      </c>
      <c r="O554" s="71">
        <f>IF(OR(I554=$A$1,I554=0),"",IF(N554=MappingTables!$C$14,VLOOKUP(J554,ModelParameters!$M$8:$N$15,2,FALSE),IF(N554=MappingTables!$C$16,VLOOKUP(J554,ModelParameters!$P$8:$Q$15,2,FALSE),0)))</f>
        <v>1</v>
      </c>
      <c r="P554" s="73">
        <f>IF(OR(I554=0,I554=$A$1),0,MIN(O554*M554,1)*K554)</f>
        <v>238.7751912971606</v>
      </c>
      <c r="Q554" s="73">
        <f>IF(B554="",0,IF(OR(H554=MappingTables!$C$34,H554=MappingTables!$C$35),P554,0))</f>
        <v>0</v>
      </c>
      <c r="R554" s="73">
        <f>IF(ISNA(IF(AND(VLOOKUP(CONCATENATE($D554,$G554),CSRFinput!$B:$E,4,0)=0,OR(H554=MappingTables!$C$31,H554=MappingTables!$C$32)),1,VLOOKUP(CONCATENATE($D554,$G554),CSRFinput!$B:$E,4,0))),0,IF(AND(VLOOKUP(CONCATENATE($D554,$G554),CSRFinput!$B:$E,4,0)=0,OR(H554=MappingTables!$C$31,H554=MappingTables!$C$32)),1,VLOOKUP(CONCATENATE($D554,$G554),CSRFinput!$B:$E,4,0)))</f>
        <v>0.054776304963434752</v>
      </c>
      <c r="S554" s="73">
        <f>IF(B554="",0,P554*R554)</f>
        <v>13.07922269619574</v>
      </c>
      <c r="T554" s="85">
        <f>IF(B554="",0,IF(OR(H554=MappingTables!$C$34,H554=MappingTables!$C$35),S554,0))</f>
        <v>0</v>
      </c>
    </row>
    <row r="555" spans="2:20" s="0" customFormat="0" ht="15">
      <c r="B555" s="69">
        <v>14504625</v>
      </c>
      <c r="C555" s="70" t="s">
        <v>4110</v>
      </c>
      <c r="D555" s="70" t="s">
        <v>1</v>
      </c>
      <c r="E555" s="70" t="s">
        <v>1</v>
      </c>
      <c r="F555" s="70"/>
      <c r="G555" s="70" t="s">
        <v>61</v>
      </c>
      <c r="H555" s="70" t="s">
        <v>178</v>
      </c>
      <c r="I555" s="70" t="s">
        <v>216</v>
      </c>
      <c r="J555" s="71">
        <f>IF(OR(I555=0,I555=""),"unrated",VLOOKUP(I555,MappingTables!$B$19:$C$31,2,FALSE))</f>
        <v>0</v>
      </c>
      <c r="K555" s="72">
        <v>243.23308194657964</v>
      </c>
      <c r="L555" s="70">
        <v>0.066456589030526728</v>
      </c>
      <c r="M555" s="71">
        <f>IF(L555&lt;1,1,L555)</f>
        <v>1</v>
      </c>
      <c r="N555" s="70" t="s">
        <v>3288</v>
      </c>
      <c r="O555" s="71">
        <f>IF(OR(I555=$A$1,I555=0),"",IF(N555=MappingTables!$C$14,VLOOKUP(J555,ModelParameters!$M$8:$N$15,2,FALSE),IF(N555=MappingTables!$C$16,VLOOKUP(J555,ModelParameters!$P$8:$Q$15,2,FALSE),0)))</f>
        <v>0.125</v>
      </c>
      <c r="P555" s="73">
        <f>IF(OR(I555=0,I555=$A$1),0,MIN(O555*M555,1)*K555)</f>
        <v>30.404135243322452</v>
      </c>
      <c r="Q555" s="73">
        <f>IF(B555="",0,IF(OR(H555=MappingTables!$C$34,H555=MappingTables!$C$35),P555,0))</f>
        <v>0</v>
      </c>
      <c r="R555" s="73">
        <f>IF(ISNA(IF(AND(VLOOKUP(CONCATENATE($D555,$G555),CSRFinput!$B:$E,4,0)=0,OR(H555=MappingTables!$C$31,H555=MappingTables!$C$32)),1,VLOOKUP(CONCATENATE($D555,$G555),CSRFinput!$B:$E,4,0))),0,IF(AND(VLOOKUP(CONCATENATE($D555,$G555),CSRFinput!$B:$E,4,0)=0,OR(H555=MappingTables!$C$31,H555=MappingTables!$C$32)),1,VLOOKUP(CONCATENATE($D555,$G555),CSRFinput!$B:$E,4,0)))</f>
        <v>0.054776304963434752</v>
      </c>
      <c r="S555" s="73">
        <f>IF(B555="",0,P555*R555)</f>
        <v>1.6654261842377454</v>
      </c>
      <c r="T555" s="85">
        <f>IF(B555="",0,IF(OR(H555=MappingTables!$C$34,H555=MappingTables!$C$35),S555,0))</f>
        <v>0</v>
      </c>
    </row>
    <row r="556" spans="2:20" s="0" customFormat="0" ht="15">
      <c r="B556" s="69" t="s">
        <v>4111</v>
      </c>
      <c r="C556" s="70" t="s">
        <v>4112</v>
      </c>
      <c r="D556" s="70" t="s">
        <v>1</v>
      </c>
      <c r="E556" s="70" t="s">
        <v>1</v>
      </c>
      <c r="F556" s="70"/>
      <c r="G556" s="70" t="s">
        <v>61</v>
      </c>
      <c r="H556" s="70" t="s">
        <v>178</v>
      </c>
      <c r="I556" s="70" t="s">
        <v>198</v>
      </c>
      <c r="J556" s="71" t="str">
        <f>IF(OR(I556=0,I556=""),"unrated",VLOOKUP(I556,MappingTables!$B$19:$C$31,2,FALSE))</f>
        <v>unrated</v>
      </c>
      <c r="K556" s="72">
        <v>3.8739577712831904</v>
      </c>
      <c r="L556" s="70">
        <v>40.29732617225552</v>
      </c>
      <c r="M556" s="71">
        <f>IF(L556&lt;1,1,L556)</f>
        <v>40.29732617225552</v>
      </c>
      <c r="N556" s="70" t="s">
        <v>3288</v>
      </c>
      <c r="O556" s="71">
        <f>IF(OR(I556=$A$1,I556=0),"",IF(N556=MappingTables!$C$14,VLOOKUP(J556,ModelParameters!$M$8:$N$15,2,FALSE),IF(N556=MappingTables!$C$16,VLOOKUP(J556,ModelParameters!$P$8:$Q$15,2,FALSE),0)))</f>
        <v>1</v>
      </c>
      <c r="P556" s="73">
        <f>IF(OR(I556=0,I556=$A$1),0,MIN(O556*M556,1)*K556)</f>
        <v>3.8739577712831904</v>
      </c>
      <c r="Q556" s="73">
        <f>IF(B556="",0,IF(OR(H556=MappingTables!$C$34,H556=MappingTables!$C$35),P556,0))</f>
        <v>0</v>
      </c>
      <c r="R556" s="73">
        <f>IF(ISNA(IF(AND(VLOOKUP(CONCATENATE($D556,$G556),CSRFinput!$B:$E,4,0)=0,OR(H556=MappingTables!$C$31,H556=MappingTables!$C$32)),1,VLOOKUP(CONCATENATE($D556,$G556),CSRFinput!$B:$E,4,0))),0,IF(AND(VLOOKUP(CONCATENATE($D556,$G556),CSRFinput!$B:$E,4,0)=0,OR(H556=MappingTables!$C$31,H556=MappingTables!$C$32)),1,VLOOKUP(CONCATENATE($D556,$G556),CSRFinput!$B:$E,4,0)))</f>
        <v>0.054776304963434752</v>
      </c>
      <c r="S556" s="73">
        <f>IF(B556="",0,P556*R556)</f>
        <v>0.21220109229527608</v>
      </c>
      <c r="T556" s="85">
        <f>IF(B556="",0,IF(OR(H556=MappingTables!$C$34,H556=MappingTables!$C$35),S556,0))</f>
        <v>0</v>
      </c>
    </row>
    <row r="557" spans="2:20" s="0" customFormat="0" ht="15">
      <c r="B557" s="69" t="s">
        <v>4113</v>
      </c>
      <c r="C557" s="70" t="s">
        <v>4114</v>
      </c>
      <c r="D557" s="70" t="s">
        <v>1</v>
      </c>
      <c r="E557" s="70" t="s">
        <v>1</v>
      </c>
      <c r="F557" s="70"/>
      <c r="G557" s="70" t="s">
        <v>61</v>
      </c>
      <c r="H557" s="70" t="s">
        <v>178</v>
      </c>
      <c r="I557" s="70" t="s">
        <v>198</v>
      </c>
      <c r="J557" s="71" t="str">
        <f>IF(OR(I557=0,I557=""),"unrated",VLOOKUP(I557,MappingTables!$B$19:$C$31,2,FALSE))</f>
        <v>unrated</v>
      </c>
      <c r="K557" s="72">
        <v>178.47804609863622</v>
      </c>
      <c r="L557" s="70">
        <v>7.5802344384622832</v>
      </c>
      <c r="M557" s="71">
        <f>IF(L557&lt;1,1,L557)</f>
        <v>7.5802344384622832</v>
      </c>
      <c r="N557" s="70" t="s">
        <v>3288</v>
      </c>
      <c r="O557" s="71">
        <f>IF(OR(I557=$A$1,I557=0),"",IF(N557=MappingTables!$C$14,VLOOKUP(J557,ModelParameters!$M$8:$N$15,2,FALSE),IF(N557=MappingTables!$C$16,VLOOKUP(J557,ModelParameters!$P$8:$Q$15,2,FALSE),0)))</f>
        <v>1</v>
      </c>
      <c r="P557" s="73">
        <f>IF(OR(I557=0,I557=$A$1),0,MIN(O557*M557,1)*K557)</f>
        <v>178.47804609863622</v>
      </c>
      <c r="Q557" s="73">
        <f>IF(B557="",0,IF(OR(H557=MappingTables!$C$34,H557=MappingTables!$C$35),P557,0))</f>
        <v>0</v>
      </c>
      <c r="R557" s="73">
        <f>IF(ISNA(IF(AND(VLOOKUP(CONCATENATE($D557,$G557),CSRFinput!$B:$E,4,0)=0,OR(H557=MappingTables!$C$31,H557=MappingTables!$C$32)),1,VLOOKUP(CONCATENATE($D557,$G557),CSRFinput!$B:$E,4,0))),0,IF(AND(VLOOKUP(CONCATENATE($D557,$G557),CSRFinput!$B:$E,4,0)=0,OR(H557=MappingTables!$C$31,H557=MappingTables!$C$32)),1,VLOOKUP(CONCATENATE($D557,$G557),CSRFinput!$B:$E,4,0)))</f>
        <v>0.054776304963434752</v>
      </c>
      <c r="S557" s="73">
        <f>IF(B557="",0,P557*R557)</f>
        <v>9.776367882376864</v>
      </c>
      <c r="T557" s="85">
        <f>IF(B557="",0,IF(OR(H557=MappingTables!$C$34,H557=MappingTables!$C$35),S557,0))</f>
        <v>0</v>
      </c>
    </row>
    <row r="558" spans="2:20" s="0" customFormat="0" ht="15">
      <c r="B558" s="69" t="s">
        <v>3784</v>
      </c>
      <c r="C558" s="70" t="s">
        <v>3785</v>
      </c>
      <c r="D558" s="70" t="s">
        <v>1</v>
      </c>
      <c r="E558" s="70" t="s">
        <v>1</v>
      </c>
      <c r="F558" s="70"/>
      <c r="G558" s="70" t="s">
        <v>61</v>
      </c>
      <c r="H558" s="70" t="s">
        <v>178</v>
      </c>
      <c r="I558" s="70" t="s">
        <v>3298</v>
      </c>
      <c r="J558" s="71">
        <f>IF(OR(I558=0,I558=""),"unrated",VLOOKUP(I558,MappingTables!$B$19:$C$31,2,FALSE))</f>
        <v>6</v>
      </c>
      <c r="K558" s="72">
        <v>155.58674738754124</v>
      </c>
      <c r="L558" s="70">
        <v>0.06849494829036304</v>
      </c>
      <c r="M558" s="71">
        <f>IF(L558&lt;1,1,L558)</f>
        <v>1</v>
      </c>
      <c r="N558" s="70" t="s">
        <v>3288</v>
      </c>
      <c r="O558" s="71">
        <f>IF(OR(I558=$A$1,I558=0),"",IF(N558=MappingTables!$C$14,VLOOKUP(J558,ModelParameters!$M$8:$N$15,2,FALSE),IF(N558=MappingTables!$C$16,VLOOKUP(J558,ModelParameters!$P$8:$Q$15,2,FALSE),0)))</f>
        <v>1</v>
      </c>
      <c r="P558" s="73">
        <f>IF(OR(I558=0,I558=$A$1),0,MIN(O558*M558,1)*K558)</f>
        <v>155.58674738754124</v>
      </c>
      <c r="Q558" s="73">
        <f>IF(B558="",0,IF(OR(H558=MappingTables!$C$34,H558=MappingTables!$C$35),P558,0))</f>
        <v>0</v>
      </c>
      <c r="R558" s="73">
        <f>IF(ISNA(IF(AND(VLOOKUP(CONCATENATE($D558,$G558),CSRFinput!$B:$E,4,0)=0,OR(H558=MappingTables!$C$31,H558=MappingTables!$C$32)),1,VLOOKUP(CONCATENATE($D558,$G558),CSRFinput!$B:$E,4,0))),0,IF(AND(VLOOKUP(CONCATENATE($D558,$G558),CSRFinput!$B:$E,4,0)=0,OR(H558=MappingTables!$C$31,H558=MappingTables!$C$32)),1,VLOOKUP(CONCATENATE($D558,$G558),CSRFinput!$B:$E,4,0)))</f>
        <v>0.054776304963434752</v>
      </c>
      <c r="S558" s="73">
        <f>IF(B558="",0,P558*R558)</f>
        <v>8.5224671231688448</v>
      </c>
      <c r="T558" s="85">
        <f>IF(B558="",0,IF(OR(H558=MappingTables!$C$34,H558=MappingTables!$C$35),S558,0))</f>
        <v>0</v>
      </c>
    </row>
    <row r="559" spans="2:20" s="0" customFormat="0" ht="15">
      <c r="B559" s="69" t="s">
        <v>4115</v>
      </c>
      <c r="C559" s="70" t="s">
        <v>4116</v>
      </c>
      <c r="D559" s="70" t="s">
        <v>1</v>
      </c>
      <c r="E559" s="70" t="s">
        <v>1</v>
      </c>
      <c r="F559" s="70"/>
      <c r="G559" s="70" t="s">
        <v>61</v>
      </c>
      <c r="H559" s="70" t="s">
        <v>178</v>
      </c>
      <c r="I559" s="70" t="s">
        <v>179</v>
      </c>
      <c r="J559" s="71">
        <f>IF(OR(I559=0,I559=""),"unrated",VLOOKUP(I559,MappingTables!$B$19:$C$31,2,FALSE))</f>
        <v>4</v>
      </c>
      <c r="K559" s="72">
        <v>889.49606608251696</v>
      </c>
      <c r="L559" s="70">
        <v>6.1326039006268864</v>
      </c>
      <c r="M559" s="71">
        <f>IF(L559&lt;1,1,L559)</f>
        <v>6.1326039006268864</v>
      </c>
      <c r="N559" s="70" t="s">
        <v>3288</v>
      </c>
      <c r="O559" s="71">
        <f>IF(OR(I559=$A$1,I559=0),"",IF(N559=MappingTables!$C$14,VLOOKUP(J559,ModelParameters!$M$8:$N$15,2,FALSE),IF(N559=MappingTables!$C$16,VLOOKUP(J559,ModelParameters!$P$8:$Q$15,2,FALSE),0)))</f>
        <v>0.82</v>
      </c>
      <c r="P559" s="73">
        <f>IF(OR(I559=0,I559=$A$1),0,MIN(O559*M559,1)*K559)</f>
        <v>889.49606608251696</v>
      </c>
      <c r="Q559" s="73">
        <f>IF(B559="",0,IF(OR(H559=MappingTables!$C$34,H559=MappingTables!$C$35),P559,0))</f>
        <v>0</v>
      </c>
      <c r="R559" s="73">
        <f>IF(ISNA(IF(AND(VLOOKUP(CONCATENATE($D559,$G559),CSRFinput!$B:$E,4,0)=0,OR(H559=MappingTables!$C$31,H559=MappingTables!$C$32)),1,VLOOKUP(CONCATENATE($D559,$G559),CSRFinput!$B:$E,4,0))),0,IF(AND(VLOOKUP(CONCATENATE($D559,$G559),CSRFinput!$B:$E,4,0)=0,OR(H559=MappingTables!$C$31,H559=MappingTables!$C$32)),1,VLOOKUP(CONCATENATE($D559,$G559),CSRFinput!$B:$E,4,0)))</f>
        <v>0.054776304963434752</v>
      </c>
      <c r="S559" s="73">
        <f>IF(B559="",0,P559*R559)</f>
        <v>48.723307779511464</v>
      </c>
      <c r="T559" s="85">
        <f>IF(B559="",0,IF(OR(H559=MappingTables!$C$34,H559=MappingTables!$C$35),S559,0))</f>
        <v>0</v>
      </c>
    </row>
    <row r="560" spans="2:20" s="0" customFormat="0" ht="15">
      <c r="B560" s="69" t="s">
        <v>4117</v>
      </c>
      <c r="C560" s="70" t="s">
        <v>4118</v>
      </c>
      <c r="D560" s="70" t="s">
        <v>1</v>
      </c>
      <c r="E560" s="70" t="s">
        <v>1</v>
      </c>
      <c r="F560" s="70"/>
      <c r="G560" s="70" t="s">
        <v>61</v>
      </c>
      <c r="H560" s="70" t="s">
        <v>178</v>
      </c>
      <c r="I560" s="70" t="s">
        <v>198</v>
      </c>
      <c r="J560" s="71" t="str">
        <f>IF(OR(I560=0,I560=""),"unrated",VLOOKUP(I560,MappingTables!$B$19:$C$31,2,FALSE))</f>
        <v>unrated</v>
      </c>
      <c r="K560" s="72">
        <v>135.27792132515304</v>
      </c>
      <c r="L560" s="70">
        <v>0.068496120539194672</v>
      </c>
      <c r="M560" s="71">
        <f>IF(L560&lt;1,1,L560)</f>
        <v>1</v>
      </c>
      <c r="N560" s="70" t="s">
        <v>3288</v>
      </c>
      <c r="O560" s="71">
        <f>IF(OR(I560=$A$1,I560=0),"",IF(N560=MappingTables!$C$14,VLOOKUP(J560,ModelParameters!$M$8:$N$15,2,FALSE),IF(N560=MappingTables!$C$16,VLOOKUP(J560,ModelParameters!$P$8:$Q$15,2,FALSE),0)))</f>
        <v>1</v>
      </c>
      <c r="P560" s="73">
        <f>IF(OR(I560=0,I560=$A$1),0,MIN(O560*M560,1)*K560)</f>
        <v>135.27792132515304</v>
      </c>
      <c r="Q560" s="73">
        <f>IF(B560="",0,IF(OR(H560=MappingTables!$C$34,H560=MappingTables!$C$35),P560,0))</f>
        <v>0</v>
      </c>
      <c r="R560" s="73">
        <f>IF(ISNA(IF(AND(VLOOKUP(CONCATENATE($D560,$G560),CSRFinput!$B:$E,4,0)=0,OR(H560=MappingTables!$C$31,H560=MappingTables!$C$32)),1,VLOOKUP(CONCATENATE($D560,$G560),CSRFinput!$B:$E,4,0))),0,IF(AND(VLOOKUP(CONCATENATE($D560,$G560),CSRFinput!$B:$E,4,0)=0,OR(H560=MappingTables!$C$31,H560=MappingTables!$C$32)),1,VLOOKUP(CONCATENATE($D560,$G560),CSRFinput!$B:$E,4,0)))</f>
        <v>0.054776304963434752</v>
      </c>
      <c r="S560" s="73">
        <f>IF(B560="",0,P560*R560)</f>
        <v>7.4100246733261168</v>
      </c>
      <c r="T560" s="85">
        <f>IF(B560="",0,IF(OR(H560=MappingTables!$C$34,H560=MappingTables!$C$35),S560,0))</f>
        <v>0</v>
      </c>
    </row>
    <row r="561" spans="2:20" s="0" customFormat="0" ht="15">
      <c r="B561" s="69">
        <v>22554242</v>
      </c>
      <c r="C561" s="70" t="s">
        <v>4119</v>
      </c>
      <c r="D561" s="70" t="s">
        <v>1</v>
      </c>
      <c r="E561" s="70" t="s">
        <v>1</v>
      </c>
      <c r="F561" s="70"/>
      <c r="G561" s="70" t="s">
        <v>61</v>
      </c>
      <c r="H561" s="70" t="s">
        <v>178</v>
      </c>
      <c r="I561" s="70" t="s">
        <v>216</v>
      </c>
      <c r="J561" s="71">
        <f>IF(OR(I561=0,I561=""),"unrated",VLOOKUP(I561,MappingTables!$B$19:$C$31,2,FALSE))</f>
        <v>0</v>
      </c>
      <c r="K561" s="72">
        <v>695.56020092350832</v>
      </c>
      <c r="L561" s="70">
        <v>0.087066261929061488</v>
      </c>
      <c r="M561" s="71">
        <f>IF(L561&lt;1,1,L561)</f>
        <v>1</v>
      </c>
      <c r="N561" s="70" t="s">
        <v>3288</v>
      </c>
      <c r="O561" s="71">
        <f>IF(OR(I561=$A$1,I561=0),"",IF(N561=MappingTables!$C$14,VLOOKUP(J561,ModelParameters!$M$8:$N$15,2,FALSE),IF(N561=MappingTables!$C$16,VLOOKUP(J561,ModelParameters!$P$8:$Q$15,2,FALSE),0)))</f>
        <v>0.125</v>
      </c>
      <c r="P561" s="73">
        <f>IF(OR(I561=0,I561=$A$1),0,MIN(O561*M561,1)*K561)</f>
        <v>86.945025115438544</v>
      </c>
      <c r="Q561" s="73">
        <f>IF(B561="",0,IF(OR(H561=MappingTables!$C$34,H561=MappingTables!$C$35),P561,0))</f>
        <v>0</v>
      </c>
      <c r="R561" s="73">
        <f>IF(ISNA(IF(AND(VLOOKUP(CONCATENATE($D561,$G561),CSRFinput!$B:$E,4,0)=0,OR(H561=MappingTables!$C$31,H561=MappingTables!$C$32)),1,VLOOKUP(CONCATENATE($D561,$G561),CSRFinput!$B:$E,4,0))),0,IF(AND(VLOOKUP(CONCATENATE($D561,$G561),CSRFinput!$B:$E,4,0)=0,OR(H561=MappingTables!$C$31,H561=MappingTables!$C$32)),1,VLOOKUP(CONCATENATE($D561,$G561),CSRFinput!$B:$E,4,0)))</f>
        <v>0.054776304963434752</v>
      </c>
      <c r="S561" s="73">
        <f>IF(B561="",0,P561*R561)</f>
        <v>4.7625272107767552</v>
      </c>
      <c r="T561" s="85">
        <f>IF(B561="",0,IF(OR(H561=MappingTables!$C$34,H561=MappingTables!$C$35),S561,0))</f>
        <v>0</v>
      </c>
    </row>
    <row r="562" spans="2:20" s="0" customFormat="0" ht="15">
      <c r="B562" s="69" t="s">
        <v>4120</v>
      </c>
      <c r="C562" s="70" t="s">
        <v>4121</v>
      </c>
      <c r="D562" s="70" t="s">
        <v>1</v>
      </c>
      <c r="E562" s="70" t="s">
        <v>1</v>
      </c>
      <c r="F562" s="70"/>
      <c r="G562" s="70" t="s">
        <v>61</v>
      </c>
      <c r="H562" s="70" t="s">
        <v>178</v>
      </c>
      <c r="I562" s="70" t="s">
        <v>3291</v>
      </c>
      <c r="J562" s="71">
        <f>IF(OR(I562=0,I562=""),"unrated",VLOOKUP(I562,MappingTables!$B$19:$C$31,2,FALSE))</f>
        <v>6</v>
      </c>
      <c r="K562" s="72">
        <v>27.654300061118176</v>
      </c>
      <c r="L562" s="70">
        <v>0.054791740215699904</v>
      </c>
      <c r="M562" s="71">
        <f>IF(L562&lt;1,1,L562)</f>
        <v>1</v>
      </c>
      <c r="N562" s="70" t="s">
        <v>3288</v>
      </c>
      <c r="O562" s="71">
        <f>IF(OR(I562=$A$1,I562=0),"",IF(N562=MappingTables!$C$14,VLOOKUP(J562,ModelParameters!$M$8:$N$15,2,FALSE),IF(N562=MappingTables!$C$16,VLOOKUP(J562,ModelParameters!$P$8:$Q$15,2,FALSE),0)))</f>
        <v>1</v>
      </c>
      <c r="P562" s="73">
        <f>IF(OR(I562=0,I562=$A$1),0,MIN(O562*M562,1)*K562)</f>
        <v>27.654300061118176</v>
      </c>
      <c r="Q562" s="73">
        <f>IF(B562="",0,IF(OR(H562=MappingTables!$C$34,H562=MappingTables!$C$35),P562,0))</f>
        <v>0</v>
      </c>
      <c r="R562" s="73">
        <f>IF(ISNA(IF(AND(VLOOKUP(CONCATENATE($D562,$G562),CSRFinput!$B:$E,4,0)=0,OR(H562=MappingTables!$C$31,H562=MappingTables!$C$32)),1,VLOOKUP(CONCATENATE($D562,$G562),CSRFinput!$B:$E,4,0))),0,IF(AND(VLOOKUP(CONCATENATE($D562,$G562),CSRFinput!$B:$E,4,0)=0,OR(H562=MappingTables!$C$31,H562=MappingTables!$C$32)),1,VLOOKUP(CONCATENATE($D562,$G562),CSRFinput!$B:$E,4,0)))</f>
        <v>0.054776304963434752</v>
      </c>
      <c r="S562" s="73">
        <f>IF(B562="",0,P562*R562)</f>
        <v>1.5148003736981414</v>
      </c>
      <c r="T562" s="85">
        <f>IF(B562="",0,IF(OR(H562=MappingTables!$C$34,H562=MappingTables!$C$35),S562,0))</f>
        <v>0</v>
      </c>
    </row>
    <row r="563" spans="2:20" s="0" customFormat="0" ht="15">
      <c r="B563" s="69" t="s">
        <v>4122</v>
      </c>
      <c r="C563" s="70" t="s">
        <v>4123</v>
      </c>
      <c r="D563" s="70" t="s">
        <v>1</v>
      </c>
      <c r="E563" s="70" t="s">
        <v>1</v>
      </c>
      <c r="F563" s="70"/>
      <c r="G563" s="70" t="s">
        <v>61</v>
      </c>
      <c r="H563" s="70" t="s">
        <v>178</v>
      </c>
      <c r="I563" s="70" t="s">
        <v>198</v>
      </c>
      <c r="J563" s="71" t="str">
        <f>IF(OR(I563=0,I563=""),"unrated",VLOOKUP(I563,MappingTables!$B$19:$C$31,2,FALSE))</f>
        <v>unrated</v>
      </c>
      <c r="K563" s="72">
        <v>19.003979188724864</v>
      </c>
      <c r="L563" s="70">
        <v>0.06849292854002348</v>
      </c>
      <c r="M563" s="71">
        <f>IF(L563&lt;1,1,L563)</f>
        <v>1</v>
      </c>
      <c r="N563" s="70" t="s">
        <v>3288</v>
      </c>
      <c r="O563" s="71">
        <f>IF(OR(I563=$A$1,I563=0),"",IF(N563=MappingTables!$C$14,VLOOKUP(J563,ModelParameters!$M$8:$N$15,2,FALSE),IF(N563=MappingTables!$C$16,VLOOKUP(J563,ModelParameters!$P$8:$Q$15,2,FALSE),0)))</f>
        <v>1</v>
      </c>
      <c r="P563" s="73">
        <f>IF(OR(I563=0,I563=$A$1),0,MIN(O563*M563,1)*K563)</f>
        <v>19.003979188724864</v>
      </c>
      <c r="Q563" s="73">
        <f>IF(B563="",0,IF(OR(H563=MappingTables!$C$34,H563=MappingTables!$C$35),P563,0))</f>
        <v>0</v>
      </c>
      <c r="R563" s="73">
        <f>IF(ISNA(IF(AND(VLOOKUP(CONCATENATE($D563,$G563),CSRFinput!$B:$E,4,0)=0,OR(H563=MappingTables!$C$31,H563=MappingTables!$C$32)),1,VLOOKUP(CONCATENATE($D563,$G563),CSRFinput!$B:$E,4,0))),0,IF(AND(VLOOKUP(CONCATENATE($D563,$G563),CSRFinput!$B:$E,4,0)=0,OR(H563=MappingTables!$C$31,H563=MappingTables!$C$32)),1,VLOOKUP(CONCATENATE($D563,$G563),CSRFinput!$B:$E,4,0)))</f>
        <v>0.054776304963434752</v>
      </c>
      <c r="S563" s="73">
        <f>IF(B563="",0,P563*R563)</f>
        <v>1.0409677595603604</v>
      </c>
      <c r="T563" s="85">
        <f>IF(B563="",0,IF(OR(H563=MappingTables!$C$34,H563=MappingTables!$C$35),S563,0))</f>
        <v>0</v>
      </c>
    </row>
    <row r="564" spans="2:20" s="0" customFormat="0" ht="15">
      <c r="B564" s="69" t="s">
        <v>4087</v>
      </c>
      <c r="C564" s="70" t="s">
        <v>4088</v>
      </c>
      <c r="D564" s="70" t="s">
        <v>1</v>
      </c>
      <c r="E564" s="70" t="s">
        <v>1</v>
      </c>
      <c r="F564" s="70"/>
      <c r="G564" s="70" t="s">
        <v>61</v>
      </c>
      <c r="H564" s="70" t="s">
        <v>178</v>
      </c>
      <c r="I564" s="70" t="s">
        <v>204</v>
      </c>
      <c r="J564" s="71">
        <f>IF(OR(I564=0,I564=""),"unrated",VLOOKUP(I564,MappingTables!$B$19:$C$31,2,FALSE))</f>
        <v>6</v>
      </c>
      <c r="K564" s="72">
        <v>6463.896740854776</v>
      </c>
      <c r="L564" s="70">
        <v>0.06849462214440856</v>
      </c>
      <c r="M564" s="71">
        <f>IF(L564&lt;1,1,L564)</f>
        <v>1</v>
      </c>
      <c r="N564" s="70" t="s">
        <v>3288</v>
      </c>
      <c r="O564" s="71">
        <f>IF(OR(I564=$A$1,I564=0),"",IF(N564=MappingTables!$C$14,VLOOKUP(J564,ModelParameters!$M$8:$N$15,2,FALSE),IF(N564=MappingTables!$C$16,VLOOKUP(J564,ModelParameters!$P$8:$Q$15,2,FALSE),0)))</f>
        <v>1</v>
      </c>
      <c r="P564" s="73">
        <f>IF(OR(I564=0,I564=$A$1),0,MIN(O564*M564,1)*K564)</f>
        <v>6463.896740854776</v>
      </c>
      <c r="Q564" s="73">
        <f>IF(B564="",0,IF(OR(H564=MappingTables!$C$34,H564=MappingTables!$C$35),P564,0))</f>
        <v>0</v>
      </c>
      <c r="R564" s="73">
        <f>IF(ISNA(IF(AND(VLOOKUP(CONCATENATE($D564,$G564),CSRFinput!$B:$E,4,0)=0,OR(H564=MappingTables!$C$31,H564=MappingTables!$C$32)),1,VLOOKUP(CONCATENATE($D564,$G564),CSRFinput!$B:$E,4,0))),0,IF(AND(VLOOKUP(CONCATENATE($D564,$G564),CSRFinput!$B:$E,4,0)=0,OR(H564=MappingTables!$C$31,H564=MappingTables!$C$32)),1,VLOOKUP(CONCATENATE($D564,$G564),CSRFinput!$B:$E,4,0)))</f>
        <v>0.054776304963434752</v>
      </c>
      <c r="S564" s="73">
        <f>IF(B564="",0,P564*R564)</f>
        <v>354.0683791292132</v>
      </c>
      <c r="T564" s="85">
        <f>IF(B564="",0,IF(OR(H564=MappingTables!$C$34,H564=MappingTables!$C$35),S564,0))</f>
        <v>0</v>
      </c>
    </row>
    <row r="565" spans="2:20" s="0" customFormat="0" ht="15">
      <c r="B565" s="69">
        <v>22623678</v>
      </c>
      <c r="C565" s="70" t="s">
        <v>4124</v>
      </c>
      <c r="D565" s="70" t="s">
        <v>1</v>
      </c>
      <c r="E565" s="70" t="s">
        <v>1</v>
      </c>
      <c r="F565" s="70"/>
      <c r="G565" s="70" t="s">
        <v>61</v>
      </c>
      <c r="H565" s="70" t="s">
        <v>178</v>
      </c>
      <c r="I565" s="70" t="s">
        <v>198</v>
      </c>
      <c r="J565" s="71" t="str">
        <f>IF(OR(I565=0,I565=""),"unrated",VLOOKUP(I565,MappingTables!$B$19:$C$31,2,FALSE))</f>
        <v>unrated</v>
      </c>
      <c r="K565" s="72">
        <v>1333.6726972544288</v>
      </c>
      <c r="L565" s="70">
        <v>2.0377315350019768</v>
      </c>
      <c r="M565" s="71">
        <f>IF(L565&lt;1,1,L565)</f>
        <v>2.0377315350019768</v>
      </c>
      <c r="N565" s="70" t="s">
        <v>3288</v>
      </c>
      <c r="O565" s="71">
        <f>IF(OR(I565=$A$1,I565=0),"",IF(N565=MappingTables!$C$14,VLOOKUP(J565,ModelParameters!$M$8:$N$15,2,FALSE),IF(N565=MappingTables!$C$16,VLOOKUP(J565,ModelParameters!$P$8:$Q$15,2,FALSE),0)))</f>
        <v>1</v>
      </c>
      <c r="P565" s="73">
        <f>IF(OR(I565=0,I565=$A$1),0,MIN(O565*M565,1)*K565)</f>
        <v>1333.6726972544288</v>
      </c>
      <c r="Q565" s="73">
        <f>IF(B565="",0,IF(OR(H565=MappingTables!$C$34,H565=MappingTables!$C$35),P565,0))</f>
        <v>0</v>
      </c>
      <c r="R565" s="73">
        <f>IF(ISNA(IF(AND(VLOOKUP(CONCATENATE($D565,$G565),CSRFinput!$B:$E,4,0)=0,OR(H565=MappingTables!$C$31,H565=MappingTables!$C$32)),1,VLOOKUP(CONCATENATE($D565,$G565),CSRFinput!$B:$E,4,0))),0,IF(AND(VLOOKUP(CONCATENATE($D565,$G565),CSRFinput!$B:$E,4,0)=0,OR(H565=MappingTables!$C$31,H565=MappingTables!$C$32)),1,VLOOKUP(CONCATENATE($D565,$G565),CSRFinput!$B:$E,4,0)))</f>
        <v>0.054776304963434752</v>
      </c>
      <c r="S565" s="73">
        <f>IF(B565="",0,P565*R565)</f>
        <v>73.053662386215184</v>
      </c>
      <c r="T565" s="85">
        <f>IF(B565="",0,IF(OR(H565=MappingTables!$C$34,H565=MappingTables!$C$35),S565,0))</f>
        <v>0</v>
      </c>
    </row>
    <row r="566" spans="2:20" s="0" customFormat="0" ht="15">
      <c r="B566" s="69">
        <v>15454220</v>
      </c>
      <c r="C566" s="70" t="s">
        <v>3388</v>
      </c>
      <c r="D566" s="70" t="s">
        <v>1</v>
      </c>
      <c r="E566" s="70" t="s">
        <v>1</v>
      </c>
      <c r="F566" s="70"/>
      <c r="G566" s="70" t="s">
        <v>61</v>
      </c>
      <c r="H566" s="70" t="s">
        <v>178</v>
      </c>
      <c r="I566" s="70" t="s">
        <v>216</v>
      </c>
      <c r="J566" s="71">
        <f>IF(OR(I566=0,I566=""),"unrated",VLOOKUP(I566,MappingTables!$B$19:$C$31,2,FALSE))</f>
        <v>0</v>
      </c>
      <c r="K566" s="72">
        <v>246.91124398391136</v>
      </c>
      <c r="L566" s="70">
        <v>0.15627972796146398</v>
      </c>
      <c r="M566" s="71">
        <f>IF(L566&lt;1,1,L566)</f>
        <v>1</v>
      </c>
      <c r="N566" s="70" t="s">
        <v>3288</v>
      </c>
      <c r="O566" s="71">
        <f>IF(OR(I566=$A$1,I566=0),"",IF(N566=MappingTables!$C$14,VLOOKUP(J566,ModelParameters!$M$8:$N$15,2,FALSE),IF(N566=MappingTables!$C$16,VLOOKUP(J566,ModelParameters!$P$8:$Q$15,2,FALSE),0)))</f>
        <v>0.125</v>
      </c>
      <c r="P566" s="73">
        <f>IF(OR(I566=0,I566=$A$1),0,MIN(O566*M566,1)*K566)</f>
        <v>30.86390549798892</v>
      </c>
      <c r="Q566" s="73">
        <f>IF(B566="",0,IF(OR(H566=MappingTables!$C$34,H566=MappingTables!$C$35),P566,0))</f>
        <v>0</v>
      </c>
      <c r="R566" s="73">
        <f>IF(ISNA(IF(AND(VLOOKUP(CONCATENATE($D566,$G566),CSRFinput!$B:$E,4,0)=0,OR(H566=MappingTables!$C$31,H566=MappingTables!$C$32)),1,VLOOKUP(CONCATENATE($D566,$G566),CSRFinput!$B:$E,4,0))),0,IF(AND(VLOOKUP(CONCATENATE($D566,$G566),CSRFinput!$B:$E,4,0)=0,OR(H566=MappingTables!$C$31,H566=MappingTables!$C$32)),1,VLOOKUP(CONCATENATE($D566,$G566),CSRFinput!$B:$E,4,0)))</f>
        <v>0.054776304963434752</v>
      </c>
      <c r="S566" s="73">
        <f>IF(B566="",0,P566*R566)</f>
        <v>1.6906106999204718</v>
      </c>
      <c r="T566" s="85">
        <f>IF(B566="",0,IF(OR(H566=MappingTables!$C$34,H566=MappingTables!$C$35),S566,0))</f>
        <v>0</v>
      </c>
    </row>
    <row r="567" spans="2:20" s="0" customFormat="0" ht="15">
      <c r="B567" s="69" t="s">
        <v>3324</v>
      </c>
      <c r="C567" s="70" t="s">
        <v>3325</v>
      </c>
      <c r="D567" s="70" t="s">
        <v>1</v>
      </c>
      <c r="E567" s="70" t="s">
        <v>1</v>
      </c>
      <c r="F567" s="70"/>
      <c r="G567" s="70" t="s">
        <v>61</v>
      </c>
      <c r="H567" s="70" t="s">
        <v>178</v>
      </c>
      <c r="I567" s="70" t="s">
        <v>216</v>
      </c>
      <c r="J567" s="71">
        <f>IF(OR(I567=0,I567=""),"unrated",VLOOKUP(I567,MappingTables!$B$19:$C$31,2,FALSE))</f>
        <v>0</v>
      </c>
      <c r="K567" s="72">
        <v>399.83175177324192</v>
      </c>
      <c r="L567" s="70">
        <v>0.16765659664425026</v>
      </c>
      <c r="M567" s="71">
        <f>IF(L567&lt;1,1,L567)</f>
        <v>1</v>
      </c>
      <c r="N567" s="70" t="s">
        <v>3288</v>
      </c>
      <c r="O567" s="71">
        <f>IF(OR(I567=$A$1,I567=0),"",IF(N567=MappingTables!$C$14,VLOOKUP(J567,ModelParameters!$M$8:$N$15,2,FALSE),IF(N567=MappingTables!$C$16,VLOOKUP(J567,ModelParameters!$P$8:$Q$15,2,FALSE),0)))</f>
        <v>0.125</v>
      </c>
      <c r="P567" s="73">
        <f>IF(OR(I567=0,I567=$A$1),0,MIN(O567*M567,1)*K567)</f>
        <v>49.97896897165524</v>
      </c>
      <c r="Q567" s="73">
        <f>IF(B567="",0,IF(OR(H567=MappingTables!$C$34,H567=MappingTables!$C$35),P567,0))</f>
        <v>0</v>
      </c>
      <c r="R567" s="73">
        <f>IF(ISNA(IF(AND(VLOOKUP(CONCATENATE($D567,$G567),CSRFinput!$B:$E,4,0)=0,OR(H567=MappingTables!$C$31,H567=MappingTables!$C$32)),1,VLOOKUP(CONCATENATE($D567,$G567),CSRFinput!$B:$E,4,0))),0,IF(AND(VLOOKUP(CONCATENATE($D567,$G567),CSRFinput!$B:$E,4,0)=0,OR(H567=MappingTables!$C$31,H567=MappingTables!$C$32)),1,VLOOKUP(CONCATENATE($D567,$G567),CSRFinput!$B:$E,4,0)))</f>
        <v>0.054776304963434752</v>
      </c>
      <c r="S567" s="73">
        <f>IF(B567="",0,P567*R567)</f>
        <v>2.7376632461494304</v>
      </c>
      <c r="T567" s="85">
        <f>IF(B567="",0,IF(OR(H567=MappingTables!$C$34,H567=MappingTables!$C$35),S567,0))</f>
        <v>0</v>
      </c>
    </row>
    <row r="568" spans="2:20" s="0" customFormat="0" ht="15">
      <c r="B568" s="69">
        <v>22554211</v>
      </c>
      <c r="C568" s="70" t="s">
        <v>4125</v>
      </c>
      <c r="D568" s="70" t="s">
        <v>1</v>
      </c>
      <c r="E568" s="70" t="s">
        <v>1</v>
      </c>
      <c r="F568" s="70"/>
      <c r="G568" s="70" t="s">
        <v>61</v>
      </c>
      <c r="H568" s="70" t="s">
        <v>178</v>
      </c>
      <c r="I568" s="70" t="s">
        <v>216</v>
      </c>
      <c r="J568" s="71">
        <f>IF(OR(I568=0,I568=""),"unrated",VLOOKUP(I568,MappingTables!$B$19:$C$31,2,FALSE))</f>
        <v>0</v>
      </c>
      <c r="K568" s="72">
        <v>6.2605927293516536</v>
      </c>
      <c r="L568" s="70">
        <v>0.038026725125666672</v>
      </c>
      <c r="M568" s="71">
        <f>IF(L568&lt;1,1,L568)</f>
        <v>1</v>
      </c>
      <c r="N568" s="70" t="s">
        <v>3288</v>
      </c>
      <c r="O568" s="71">
        <f>IF(OR(I568=$A$1,I568=0),"",IF(N568=MappingTables!$C$14,VLOOKUP(J568,ModelParameters!$M$8:$N$15,2,FALSE),IF(N568=MappingTables!$C$16,VLOOKUP(J568,ModelParameters!$P$8:$Q$15,2,FALSE),0)))</f>
        <v>0.125</v>
      </c>
      <c r="P568" s="73">
        <f>IF(OR(I568=0,I568=$A$1),0,MIN(O568*M568,1)*K568)</f>
        <v>0.78257409116895664</v>
      </c>
      <c r="Q568" s="73">
        <f>IF(B568="",0,IF(OR(H568=MappingTables!$C$34,H568=MappingTables!$C$35),P568,0))</f>
        <v>0</v>
      </c>
      <c r="R568" s="73">
        <f>IF(ISNA(IF(AND(VLOOKUP(CONCATENATE($D568,$G568),CSRFinput!$B:$E,4,0)=0,OR(H568=MappingTables!$C$31,H568=MappingTables!$C$32)),1,VLOOKUP(CONCATENATE($D568,$G568),CSRFinput!$B:$E,4,0))),0,IF(AND(VLOOKUP(CONCATENATE($D568,$G568),CSRFinput!$B:$E,4,0)=0,OR(H568=MappingTables!$C$31,H568=MappingTables!$C$32)),1,VLOOKUP(CONCATENATE($D568,$G568),CSRFinput!$B:$E,4,0)))</f>
        <v>0.054776304963434752</v>
      </c>
      <c r="S568" s="73">
        <f>IF(B568="",0,P568*R568)</f>
        <v>0.042866517074353568</v>
      </c>
      <c r="T568" s="85">
        <f>IF(B568="",0,IF(OR(H568=MappingTables!$C$34,H568=MappingTables!$C$35),S568,0))</f>
        <v>0</v>
      </c>
    </row>
    <row r="569" spans="2:20" s="0" customFormat="0" ht="15">
      <c r="B569" s="69">
        <v>9257049</v>
      </c>
      <c r="C569" s="70" t="s">
        <v>4126</v>
      </c>
      <c r="D569" s="70" t="s">
        <v>1</v>
      </c>
      <c r="E569" s="70" t="s">
        <v>1</v>
      </c>
      <c r="F569" s="70"/>
      <c r="G569" s="70" t="s">
        <v>61</v>
      </c>
      <c r="H569" s="70" t="s">
        <v>178</v>
      </c>
      <c r="I569" s="70" t="s">
        <v>216</v>
      </c>
      <c r="J569" s="71">
        <f>IF(OR(I569=0,I569=""),"unrated",VLOOKUP(I569,MappingTables!$B$19:$C$31,2,FALSE))</f>
        <v>0</v>
      </c>
      <c r="K569" s="72">
        <v>5933.208363014012</v>
      </c>
      <c r="L569" s="70">
        <v>3.5495598055342032</v>
      </c>
      <c r="M569" s="71">
        <f>IF(L569&lt;1,1,L569)</f>
        <v>3.5495598055342032</v>
      </c>
      <c r="N569" s="70" t="s">
        <v>3288</v>
      </c>
      <c r="O569" s="71">
        <f>IF(OR(I569=$A$1,I569=0),"",IF(N569=MappingTables!$C$14,VLOOKUP(J569,ModelParameters!$M$8:$N$15,2,FALSE),IF(N569=MappingTables!$C$16,VLOOKUP(J569,ModelParameters!$P$8:$Q$15,2,FALSE),0)))</f>
        <v>0.125</v>
      </c>
      <c r="P569" s="73">
        <f>IF(OR(I569=0,I569=$A$1),0,MIN(O569*M569,1)*K569)</f>
        <v>2632.5347404017408</v>
      </c>
      <c r="Q569" s="73">
        <f>IF(B569="",0,IF(OR(H569=MappingTables!$C$34,H569=MappingTables!$C$35),P569,0))</f>
        <v>0</v>
      </c>
      <c r="R569" s="73">
        <f>IF(ISNA(IF(AND(VLOOKUP(CONCATENATE($D569,$G569),CSRFinput!$B:$E,4,0)=0,OR(H569=MappingTables!$C$31,H569=MappingTables!$C$32)),1,VLOOKUP(CONCATENATE($D569,$G569),CSRFinput!$B:$E,4,0))),0,IF(AND(VLOOKUP(CONCATENATE($D569,$G569),CSRFinput!$B:$E,4,0)=0,OR(H569=MappingTables!$C$31,H569=MappingTables!$C$32)),1,VLOOKUP(CONCATENATE($D569,$G569),CSRFinput!$B:$E,4,0)))</f>
        <v>0.054776304963434752</v>
      </c>
      <c r="S569" s="73">
        <f>IF(B569="",0,P569*R569)</f>
        <v>144.2005257670823</v>
      </c>
      <c r="T569" s="85">
        <f>IF(B569="",0,IF(OR(H569=MappingTables!$C$34,H569=MappingTables!$C$35),S569,0))</f>
        <v>0</v>
      </c>
    </row>
    <row r="570" spans="2:20" s="0" customFormat="0" ht="15">
      <c r="B570" s="69">
        <v>22554523</v>
      </c>
      <c r="C570" s="70" t="s">
        <v>3970</v>
      </c>
      <c r="D570" s="70" t="s">
        <v>1</v>
      </c>
      <c r="E570" s="70" t="s">
        <v>1</v>
      </c>
      <c r="F570" s="70"/>
      <c r="G570" s="70" t="s">
        <v>61</v>
      </c>
      <c r="H570" s="70" t="s">
        <v>178</v>
      </c>
      <c r="I570" s="70" t="s">
        <v>220</v>
      </c>
      <c r="J570" s="71">
        <f>IF(OR(I570=0,I570=""),"unrated",VLOOKUP(I570,MappingTables!$B$19:$C$31,2,FALSE))</f>
        <v>1</v>
      </c>
      <c r="K570" s="72">
        <v>522.8268184060912</v>
      </c>
      <c r="L570" s="70">
        <v>-0.0064994301496172872</v>
      </c>
      <c r="M570" s="71">
        <f>IF(L570&lt;1,1,L570)</f>
        <v>1</v>
      </c>
      <c r="N570" s="70" t="s">
        <v>3288</v>
      </c>
      <c r="O570" s="71">
        <f>IF(OR(I570=$A$1,I570=0),"",IF(N570=MappingTables!$C$14,VLOOKUP(J570,ModelParameters!$M$8:$N$15,2,FALSE),IF(N570=MappingTables!$C$16,VLOOKUP(J570,ModelParameters!$P$8:$Q$15,2,FALSE),0)))</f>
        <v>0.134</v>
      </c>
      <c r="P570" s="73">
        <f>IF(OR(I570=0,I570=$A$1),0,MIN(O570*M570,1)*K570)</f>
        <v>70.058793666416224</v>
      </c>
      <c r="Q570" s="73">
        <f>IF(B570="",0,IF(OR(H570=MappingTables!$C$34,H570=MappingTables!$C$35),P570,0))</f>
        <v>0</v>
      </c>
      <c r="R570" s="73">
        <f>IF(ISNA(IF(AND(VLOOKUP(CONCATENATE($D570,$G570),CSRFinput!$B:$E,4,0)=0,OR(H570=MappingTables!$C$31,H570=MappingTables!$C$32)),1,VLOOKUP(CONCATENATE($D570,$G570),CSRFinput!$B:$E,4,0))),0,IF(AND(VLOOKUP(CONCATENATE($D570,$G570),CSRFinput!$B:$E,4,0)=0,OR(H570=MappingTables!$C$31,H570=MappingTables!$C$32)),1,VLOOKUP(CONCATENATE($D570,$G570),CSRFinput!$B:$E,4,0)))</f>
        <v>0.054776304963434752</v>
      </c>
      <c r="S570" s="73">
        <f>IF(B570="",0,P570*R570)</f>
        <v>3.8375618472419656</v>
      </c>
      <c r="T570" s="85">
        <f>IF(B570="",0,IF(OR(H570=MappingTables!$C$34,H570=MappingTables!$C$35),S570,0))</f>
        <v>0</v>
      </c>
    </row>
    <row r="571" spans="2:20" s="0" customFormat="0" ht="15">
      <c r="B571" s="69">
        <v>942518</v>
      </c>
      <c r="C571" s="70" t="s">
        <v>4127</v>
      </c>
      <c r="D571" s="70" t="s">
        <v>1</v>
      </c>
      <c r="E571" s="70" t="s">
        <v>1</v>
      </c>
      <c r="F571" s="70"/>
      <c r="G571" s="70" t="s">
        <v>61</v>
      </c>
      <c r="H571" s="70" t="s">
        <v>178</v>
      </c>
      <c r="I571" s="70" t="s">
        <v>204</v>
      </c>
      <c r="J571" s="71">
        <f>IF(OR(I571=0,I571=""),"unrated",VLOOKUP(I571,MappingTables!$B$19:$C$31,2,FALSE))</f>
        <v>6</v>
      </c>
      <c r="K571" s="72">
        <v>52.027316104675128</v>
      </c>
      <c r="L571" s="70">
        <v>0.0684939448192534</v>
      </c>
      <c r="M571" s="71">
        <f>IF(L571&lt;1,1,L571)</f>
        <v>1</v>
      </c>
      <c r="N571" s="70" t="s">
        <v>3288</v>
      </c>
      <c r="O571" s="71">
        <f>IF(OR(I571=$A$1,I571=0),"",IF(N571=MappingTables!$C$14,VLOOKUP(J571,ModelParameters!$M$8:$N$15,2,FALSE),IF(N571=MappingTables!$C$16,VLOOKUP(J571,ModelParameters!$P$8:$Q$15,2,FALSE),0)))</f>
        <v>1</v>
      </c>
      <c r="P571" s="73">
        <f>IF(OR(I571=0,I571=$A$1),0,MIN(O571*M571,1)*K571)</f>
        <v>52.027316104675128</v>
      </c>
      <c r="Q571" s="73">
        <f>IF(B571="",0,IF(OR(H571=MappingTables!$C$34,H571=MappingTables!$C$35),P571,0))</f>
        <v>0</v>
      </c>
      <c r="R571" s="73">
        <f>IF(ISNA(IF(AND(VLOOKUP(CONCATENATE($D571,$G571),CSRFinput!$B:$E,4,0)=0,OR(H571=MappingTables!$C$31,H571=MappingTables!$C$32)),1,VLOOKUP(CONCATENATE($D571,$G571),CSRFinput!$B:$E,4,0))),0,IF(AND(VLOOKUP(CONCATENATE($D571,$G571),CSRFinput!$B:$E,4,0)=0,OR(H571=MappingTables!$C$31,H571=MappingTables!$C$32)),1,VLOOKUP(CONCATENATE($D571,$G571),CSRFinput!$B:$E,4,0)))</f>
        <v>0.054776304963434752</v>
      </c>
      <c r="S571" s="73">
        <f>IF(B571="",0,P571*R571)</f>
        <v>2.8498641333787052</v>
      </c>
      <c r="T571" s="85">
        <f>IF(B571="",0,IF(OR(H571=MappingTables!$C$34,H571=MappingTables!$C$35),S571,0))</f>
        <v>0</v>
      </c>
    </row>
    <row r="572" spans="2:20" s="0" customFormat="0" ht="15">
      <c r="B572" s="69">
        <v>22554179</v>
      </c>
      <c r="C572" s="70" t="s">
        <v>3586</v>
      </c>
      <c r="D572" s="70" t="s">
        <v>1</v>
      </c>
      <c r="E572" s="70" t="s">
        <v>1</v>
      </c>
      <c r="F572" s="70"/>
      <c r="G572" s="70" t="s">
        <v>61</v>
      </c>
      <c r="H572" s="70" t="s">
        <v>178</v>
      </c>
      <c r="I572" s="70" t="s">
        <v>216</v>
      </c>
      <c r="J572" s="71">
        <f>IF(OR(I572=0,I572=""),"unrated",VLOOKUP(I572,MappingTables!$B$19:$C$31,2,FALSE))</f>
        <v>0</v>
      </c>
      <c r="K572" s="72">
        <v>1066.169127154342</v>
      </c>
      <c r="L572" s="70">
        <v>0.072212889654329104</v>
      </c>
      <c r="M572" s="71">
        <f>IF(L572&lt;1,1,L572)</f>
        <v>1</v>
      </c>
      <c r="N572" s="70" t="s">
        <v>3288</v>
      </c>
      <c r="O572" s="71">
        <f>IF(OR(I572=$A$1,I572=0),"",IF(N572=MappingTables!$C$14,VLOOKUP(J572,ModelParameters!$M$8:$N$15,2,FALSE),IF(N572=MappingTables!$C$16,VLOOKUP(J572,ModelParameters!$P$8:$Q$15,2,FALSE),0)))</f>
        <v>0.125</v>
      </c>
      <c r="P572" s="73">
        <f>IF(OR(I572=0,I572=$A$1),0,MIN(O572*M572,1)*K572)</f>
        <v>133.27114089429276</v>
      </c>
      <c r="Q572" s="73">
        <f>IF(B572="",0,IF(OR(H572=MappingTables!$C$34,H572=MappingTables!$C$35),P572,0))</f>
        <v>0</v>
      </c>
      <c r="R572" s="73">
        <f>IF(ISNA(IF(AND(VLOOKUP(CONCATENATE($D572,$G572),CSRFinput!$B:$E,4,0)=0,OR(H572=MappingTables!$C$31,H572=MappingTables!$C$32)),1,VLOOKUP(CONCATENATE($D572,$G572),CSRFinput!$B:$E,4,0))),0,IF(AND(VLOOKUP(CONCATENATE($D572,$G572),CSRFinput!$B:$E,4,0)=0,OR(H572=MappingTables!$C$31,H572=MappingTables!$C$32)),1,VLOOKUP(CONCATENATE($D572,$G572),CSRFinput!$B:$E,4,0)))</f>
        <v>0.054776304963434752</v>
      </c>
      <c r="S572" s="73">
        <f>IF(B572="",0,P572*R572)</f>
        <v>7.3001006564506608</v>
      </c>
      <c r="T572" s="85">
        <f>IF(B572="",0,IF(OR(H572=MappingTables!$C$34,H572=MappingTables!$C$35),S572,0))</f>
        <v>0</v>
      </c>
    </row>
    <row r="573" spans="2:20" s="0" customFormat="0" ht="15">
      <c r="B573" s="69">
        <v>21301590</v>
      </c>
      <c r="C573" s="70" t="s">
        <v>3839</v>
      </c>
      <c r="D573" s="70" t="s">
        <v>1</v>
      </c>
      <c r="E573" s="70" t="s">
        <v>1</v>
      </c>
      <c r="F573" s="70"/>
      <c r="G573" s="70" t="s">
        <v>61</v>
      </c>
      <c r="H573" s="70" t="s">
        <v>178</v>
      </c>
      <c r="I573" s="70" t="s">
        <v>216</v>
      </c>
      <c r="J573" s="71">
        <f>IF(OR(I573=0,I573=""),"unrated",VLOOKUP(I573,MappingTables!$B$19:$C$31,2,FALSE))</f>
        <v>0</v>
      </c>
      <c r="K573" s="72">
        <v>3358.3836855016292</v>
      </c>
      <c r="L573" s="70">
        <v>0.06392657832791224</v>
      </c>
      <c r="M573" s="71">
        <f>IF(L573&lt;1,1,L573)</f>
        <v>1</v>
      </c>
      <c r="N573" s="70" t="s">
        <v>3288</v>
      </c>
      <c r="O573" s="71">
        <f>IF(OR(I573=$A$1,I573=0),"",IF(N573=MappingTables!$C$14,VLOOKUP(J573,ModelParameters!$M$8:$N$15,2,FALSE),IF(N573=MappingTables!$C$16,VLOOKUP(J573,ModelParameters!$P$8:$Q$15,2,FALSE),0)))</f>
        <v>0.125</v>
      </c>
      <c r="P573" s="73">
        <f>IF(OR(I573=0,I573=$A$1),0,MIN(O573*M573,1)*K573)</f>
        <v>419.79796068770368</v>
      </c>
      <c r="Q573" s="73">
        <f>IF(B573="",0,IF(OR(H573=MappingTables!$C$34,H573=MappingTables!$C$35),P573,0))</f>
        <v>0</v>
      </c>
      <c r="R573" s="73">
        <f>IF(ISNA(IF(AND(VLOOKUP(CONCATENATE($D573,$G573),CSRFinput!$B:$E,4,0)=0,OR(H573=MappingTables!$C$31,H573=MappingTables!$C$32)),1,VLOOKUP(CONCATENATE($D573,$G573),CSRFinput!$B:$E,4,0))),0,IF(AND(VLOOKUP(CONCATENATE($D573,$G573),CSRFinput!$B:$E,4,0)=0,OR(H573=MappingTables!$C$31,H573=MappingTables!$C$32)),1,VLOOKUP(CONCATENATE($D573,$G573),CSRFinput!$B:$E,4,0)))</f>
        <v>0.054776304963434752</v>
      </c>
      <c r="S573" s="73">
        <f>IF(B573="",0,P573*R573)</f>
        <v>22.994981117657648</v>
      </c>
      <c r="T573" s="85">
        <f>IF(B573="",0,IF(OR(H573=MappingTables!$C$34,H573=MappingTables!$C$35),S573,0))</f>
        <v>0</v>
      </c>
    </row>
    <row r="574" spans="2:20" s="0" customFormat="0" ht="15">
      <c r="B574" s="69" t="s">
        <v>4128</v>
      </c>
      <c r="C574" s="70" t="s">
        <v>4129</v>
      </c>
      <c r="D574" s="70" t="s">
        <v>1</v>
      </c>
      <c r="E574" s="70" t="s">
        <v>1</v>
      </c>
      <c r="F574" s="70"/>
      <c r="G574" s="70" t="s">
        <v>61</v>
      </c>
      <c r="H574" s="70" t="s">
        <v>178</v>
      </c>
      <c r="I574" s="70" t="s">
        <v>198</v>
      </c>
      <c r="J574" s="71" t="str">
        <f>IF(OR(I574=0,I574=""),"unrated",VLOOKUP(I574,MappingTables!$B$19:$C$31,2,FALSE))</f>
        <v>unrated</v>
      </c>
      <c r="K574" s="72">
        <v>16.917662228780128</v>
      </c>
      <c r="L574" s="70">
        <v>39.813300292208112</v>
      </c>
      <c r="M574" s="71">
        <f>IF(L574&lt;1,1,L574)</f>
        <v>39.813300292208112</v>
      </c>
      <c r="N574" s="70" t="s">
        <v>3288</v>
      </c>
      <c r="O574" s="71">
        <f>IF(OR(I574=$A$1,I574=0),"",IF(N574=MappingTables!$C$14,VLOOKUP(J574,ModelParameters!$M$8:$N$15,2,FALSE),IF(N574=MappingTables!$C$16,VLOOKUP(J574,ModelParameters!$P$8:$Q$15,2,FALSE),0)))</f>
        <v>1</v>
      </c>
      <c r="P574" s="73">
        <f>IF(OR(I574=0,I574=$A$1),0,MIN(O574*M574,1)*K574)</f>
        <v>16.917662228780128</v>
      </c>
      <c r="Q574" s="73">
        <f>IF(B574="",0,IF(OR(H574=MappingTables!$C$34,H574=MappingTables!$C$35),P574,0))</f>
        <v>0</v>
      </c>
      <c r="R574" s="73">
        <f>IF(ISNA(IF(AND(VLOOKUP(CONCATENATE($D574,$G574),CSRFinput!$B:$E,4,0)=0,OR(H574=MappingTables!$C$31,H574=MappingTables!$C$32)),1,VLOOKUP(CONCATENATE($D574,$G574),CSRFinput!$B:$E,4,0))),0,IF(AND(VLOOKUP(CONCATENATE($D574,$G574),CSRFinput!$B:$E,4,0)=0,OR(H574=MappingTables!$C$31,H574=MappingTables!$C$32)),1,VLOOKUP(CONCATENATE($D574,$G574),CSRFinput!$B:$E,4,0)))</f>
        <v>0.054776304963434752</v>
      </c>
      <c r="S574" s="73">
        <f>IF(B574="",0,P574*R574)</f>
        <v>0.92668702551204144</v>
      </c>
      <c r="T574" s="85">
        <f>IF(B574="",0,IF(OR(H574=MappingTables!$C$34,H574=MappingTables!$C$35),S574,0))</f>
        <v>0</v>
      </c>
    </row>
    <row r="575" spans="2:20" s="0" customFormat="0" ht="15">
      <c r="B575" s="69" t="s">
        <v>4130</v>
      </c>
      <c r="C575" s="70" t="s">
        <v>4131</v>
      </c>
      <c r="D575" s="70" t="s">
        <v>1</v>
      </c>
      <c r="E575" s="70" t="s">
        <v>1</v>
      </c>
      <c r="F575" s="70"/>
      <c r="G575" s="70" t="s">
        <v>61</v>
      </c>
      <c r="H575" s="70" t="s">
        <v>178</v>
      </c>
      <c r="I575" s="70" t="s">
        <v>181</v>
      </c>
      <c r="J575" s="71">
        <f>IF(OR(I575=0,I575=""),"unrated",VLOOKUP(I575,MappingTables!$B$19:$C$31,2,FALSE))</f>
        <v>3</v>
      </c>
      <c r="K575" s="72">
        <v>7.8701657725396432</v>
      </c>
      <c r="L575" s="70">
        <v>1.3537248358601748</v>
      </c>
      <c r="M575" s="71">
        <f>IF(L575&lt;1,1,L575)</f>
        <v>1.3537248358601748</v>
      </c>
      <c r="N575" s="70" t="s">
        <v>3288</v>
      </c>
      <c r="O575" s="71">
        <f>IF(OR(I575=$A$1,I575=0),"",IF(N575=MappingTables!$C$14,VLOOKUP(J575,ModelParameters!$M$8:$N$15,2,FALSE),IF(N575=MappingTables!$C$16,VLOOKUP(J575,ModelParameters!$P$8:$Q$15,2,FALSE),0)))</f>
        <v>0.197</v>
      </c>
      <c r="P575" s="73">
        <f>IF(OR(I575=0,I575=$A$1),0,MIN(O575*M575,1)*K575)</f>
        <v>2.0988456571188476</v>
      </c>
      <c r="Q575" s="73">
        <f>IF(B575="",0,IF(OR(H575=MappingTables!$C$34,H575=MappingTables!$C$35),P575,0))</f>
        <v>0</v>
      </c>
      <c r="R575" s="73">
        <f>IF(ISNA(IF(AND(VLOOKUP(CONCATENATE($D575,$G575),CSRFinput!$B:$E,4,0)=0,OR(H575=MappingTables!$C$31,H575=MappingTables!$C$32)),1,VLOOKUP(CONCATENATE($D575,$G575),CSRFinput!$B:$E,4,0))),0,IF(AND(VLOOKUP(CONCATENATE($D575,$G575),CSRFinput!$B:$E,4,0)=0,OR(H575=MappingTables!$C$31,H575=MappingTables!$C$32)),1,VLOOKUP(CONCATENATE($D575,$G575),CSRFinput!$B:$E,4,0)))</f>
        <v>0.054776304963434752</v>
      </c>
      <c r="S575" s="73">
        <f>IF(B575="",0,P575*R575)</f>
        <v>0.11496700978552262</v>
      </c>
      <c r="T575" s="85">
        <f>IF(B575="",0,IF(OR(H575=MappingTables!$C$34,H575=MappingTables!$C$35),S575,0))</f>
        <v>0</v>
      </c>
    </row>
    <row r="576" spans="2:20" s="0" customFormat="0" ht="15">
      <c r="B576" s="69">
        <v>22554475</v>
      </c>
      <c r="C576" s="70" t="s">
        <v>4132</v>
      </c>
      <c r="D576" s="70" t="s">
        <v>1</v>
      </c>
      <c r="E576" s="70" t="s">
        <v>1</v>
      </c>
      <c r="F576" s="70"/>
      <c r="G576" s="70" t="s">
        <v>61</v>
      </c>
      <c r="H576" s="70" t="s">
        <v>178</v>
      </c>
      <c r="I576" s="70" t="s">
        <v>220</v>
      </c>
      <c r="J576" s="71">
        <f>IF(OR(I576=0,I576=""),"unrated",VLOOKUP(I576,MappingTables!$B$19:$C$31,2,FALSE))</f>
        <v>1</v>
      </c>
      <c r="K576" s="72">
        <v>1514.1078431829864</v>
      </c>
      <c r="L576" s="70">
        <v>0.3189326289570864</v>
      </c>
      <c r="M576" s="71">
        <f>IF(L576&lt;1,1,L576)</f>
        <v>1</v>
      </c>
      <c r="N576" s="70" t="s">
        <v>3288</v>
      </c>
      <c r="O576" s="71">
        <f>IF(OR(I576=$A$1,I576=0),"",IF(N576=MappingTables!$C$14,VLOOKUP(J576,ModelParameters!$M$8:$N$15,2,FALSE),IF(N576=MappingTables!$C$16,VLOOKUP(J576,ModelParameters!$P$8:$Q$15,2,FALSE),0)))</f>
        <v>0.134</v>
      </c>
      <c r="P576" s="73">
        <f>IF(OR(I576=0,I576=$A$1),0,MIN(O576*M576,1)*K576)</f>
        <v>202.8904509865202</v>
      </c>
      <c r="Q576" s="73">
        <f>IF(B576="",0,IF(OR(H576=MappingTables!$C$34,H576=MappingTables!$C$35),P576,0))</f>
        <v>0</v>
      </c>
      <c r="R576" s="73">
        <f>IF(ISNA(IF(AND(VLOOKUP(CONCATENATE($D576,$G576),CSRFinput!$B:$E,4,0)=0,OR(H576=MappingTables!$C$31,H576=MappingTables!$C$32)),1,VLOOKUP(CONCATENATE($D576,$G576),CSRFinput!$B:$E,4,0))),0,IF(AND(VLOOKUP(CONCATENATE($D576,$G576),CSRFinput!$B:$E,4,0)=0,OR(H576=MappingTables!$C$31,H576=MappingTables!$C$32)),1,VLOOKUP(CONCATENATE($D576,$G576),CSRFinput!$B:$E,4,0)))</f>
        <v>0.054776304963434752</v>
      </c>
      <c r="S576" s="73">
        <f>IF(B576="",0,P576*R576)</f>
        <v>11.113589217406442</v>
      </c>
      <c r="T576" s="85">
        <f>IF(B576="",0,IF(OR(H576=MappingTables!$C$34,H576=MappingTables!$C$35),S576,0))</f>
        <v>0</v>
      </c>
    </row>
    <row r="577" spans="2:20" s="0" customFormat="0" ht="15">
      <c r="B577" s="69" t="s">
        <v>4133</v>
      </c>
      <c r="C577" s="70" t="s">
        <v>4134</v>
      </c>
      <c r="D577" s="70" t="s">
        <v>1</v>
      </c>
      <c r="E577" s="70" t="s">
        <v>1</v>
      </c>
      <c r="F577" s="70"/>
      <c r="G577" s="70" t="s">
        <v>61</v>
      </c>
      <c r="H577" s="70" t="s">
        <v>178</v>
      </c>
      <c r="I577" s="70" t="s">
        <v>198</v>
      </c>
      <c r="J577" s="71" t="str">
        <f>IF(OR(I577=0,I577=""),"unrated",VLOOKUP(I577,MappingTables!$B$19:$C$31,2,FALSE))</f>
        <v>unrated</v>
      </c>
      <c r="K577" s="72">
        <v>2720.9450573416644</v>
      </c>
      <c r="L577" s="70">
        <v>2.308121486732296</v>
      </c>
      <c r="M577" s="71">
        <f>IF(L577&lt;1,1,L577)</f>
        <v>2.308121486732296</v>
      </c>
      <c r="N577" s="70" t="s">
        <v>3288</v>
      </c>
      <c r="O577" s="71">
        <f>IF(OR(I577=$A$1,I577=0),"",IF(N577=MappingTables!$C$14,VLOOKUP(J577,ModelParameters!$M$8:$N$15,2,FALSE),IF(N577=MappingTables!$C$16,VLOOKUP(J577,ModelParameters!$P$8:$Q$15,2,FALSE),0)))</f>
        <v>1</v>
      </c>
      <c r="P577" s="73">
        <f>IF(OR(I577=0,I577=$A$1),0,MIN(O577*M577,1)*K577)</f>
        <v>2720.9450573416644</v>
      </c>
      <c r="Q577" s="73">
        <f>IF(B577="",0,IF(OR(H577=MappingTables!$C$34,H577=MappingTables!$C$35),P577,0))</f>
        <v>0</v>
      </c>
      <c r="R577" s="73">
        <f>IF(ISNA(IF(AND(VLOOKUP(CONCATENATE($D577,$G577),CSRFinput!$B:$E,4,0)=0,OR(H577=MappingTables!$C$31,H577=MappingTables!$C$32)),1,VLOOKUP(CONCATENATE($D577,$G577),CSRFinput!$B:$E,4,0))),0,IF(AND(VLOOKUP(CONCATENATE($D577,$G577),CSRFinput!$B:$E,4,0)=0,OR(H577=MappingTables!$C$31,H577=MappingTables!$C$32)),1,VLOOKUP(CONCATENATE($D577,$G577),CSRFinput!$B:$E,4,0)))</f>
        <v>0.054776304963434752</v>
      </c>
      <c r="S577" s="73">
        <f>IF(B577="",0,P577*R577)</f>
        <v>149.04331624969746</v>
      </c>
      <c r="T577" s="85">
        <f>IF(B577="",0,IF(OR(H577=MappingTables!$C$34,H577=MappingTables!$C$35),S577,0))</f>
        <v>0</v>
      </c>
    </row>
    <row r="578" spans="2:20" s="0" customFormat="0" ht="15">
      <c r="B578" s="69" t="s">
        <v>4135</v>
      </c>
      <c r="C578" s="70" t="s">
        <v>4136</v>
      </c>
      <c r="D578" s="70" t="s">
        <v>1</v>
      </c>
      <c r="E578" s="70" t="s">
        <v>1</v>
      </c>
      <c r="F578" s="70"/>
      <c r="G578" s="70" t="s">
        <v>61</v>
      </c>
      <c r="H578" s="70" t="s">
        <v>178</v>
      </c>
      <c r="I578" s="70" t="s">
        <v>198</v>
      </c>
      <c r="J578" s="71" t="str">
        <f>IF(OR(I578=0,I578=""),"unrated",VLOOKUP(I578,MappingTables!$B$19:$C$31,2,FALSE))</f>
        <v>unrated</v>
      </c>
      <c r="K578" s="72">
        <v>170.43592579801858</v>
      </c>
      <c r="L578" s="70">
        <v>27.180138972659036</v>
      </c>
      <c r="M578" s="71">
        <f>IF(L578&lt;1,1,L578)</f>
        <v>27.180138972659036</v>
      </c>
      <c r="N578" s="70" t="s">
        <v>3288</v>
      </c>
      <c r="O578" s="71">
        <f>IF(OR(I578=$A$1,I578=0),"",IF(N578=MappingTables!$C$14,VLOOKUP(J578,ModelParameters!$M$8:$N$15,2,FALSE),IF(N578=MappingTables!$C$16,VLOOKUP(J578,ModelParameters!$P$8:$Q$15,2,FALSE),0)))</f>
        <v>1</v>
      </c>
      <c r="P578" s="73">
        <f>IF(OR(I578=0,I578=$A$1),0,MIN(O578*M578,1)*K578)</f>
        <v>170.43592579801858</v>
      </c>
      <c r="Q578" s="73">
        <f>IF(B578="",0,IF(OR(H578=MappingTables!$C$34,H578=MappingTables!$C$35),P578,0))</f>
        <v>0</v>
      </c>
      <c r="R578" s="73">
        <f>IF(ISNA(IF(AND(VLOOKUP(CONCATENATE($D578,$G578),CSRFinput!$B:$E,4,0)=0,OR(H578=MappingTables!$C$31,H578=MappingTables!$C$32)),1,VLOOKUP(CONCATENATE($D578,$G578),CSRFinput!$B:$E,4,0))),0,IF(AND(VLOOKUP(CONCATENATE($D578,$G578),CSRFinput!$B:$E,4,0)=0,OR(H578=MappingTables!$C$31,H578=MappingTables!$C$32)),1,VLOOKUP(CONCATENATE($D578,$G578),CSRFinput!$B:$E,4,0)))</f>
        <v>0.054776304963434752</v>
      </c>
      <c r="S578" s="73">
        <f>IF(B578="",0,P578*R578)</f>
        <v>9.3358502482376032</v>
      </c>
      <c r="T578" s="85">
        <f>IF(B578="",0,IF(OR(H578=MappingTables!$C$34,H578=MappingTables!$C$35),S578,0))</f>
        <v>0</v>
      </c>
    </row>
    <row r="579" spans="2:20" s="0" customFormat="0" ht="15">
      <c r="B579" s="69" t="s">
        <v>4005</v>
      </c>
      <c r="C579" s="70" t="s">
        <v>4006</v>
      </c>
      <c r="D579" s="70" t="s">
        <v>1</v>
      </c>
      <c r="E579" s="70" t="s">
        <v>1</v>
      </c>
      <c r="F579" s="70"/>
      <c r="G579" s="70" t="s">
        <v>61</v>
      </c>
      <c r="H579" s="70" t="s">
        <v>178</v>
      </c>
      <c r="I579" s="70" t="s">
        <v>198</v>
      </c>
      <c r="J579" s="71" t="str">
        <f>IF(OR(I579=0,I579=""),"unrated",VLOOKUP(I579,MappingTables!$B$19:$C$31,2,FALSE))</f>
        <v>unrated</v>
      </c>
      <c r="K579" s="72">
        <v>1110.915441177004</v>
      </c>
      <c r="L579" s="70">
        <v>9.8698495461899808</v>
      </c>
      <c r="M579" s="71">
        <f>IF(L579&lt;1,1,L579)</f>
        <v>9.8698495461899808</v>
      </c>
      <c r="N579" s="70" t="s">
        <v>3288</v>
      </c>
      <c r="O579" s="71">
        <f>IF(OR(I579=$A$1,I579=0),"",IF(N579=MappingTables!$C$14,VLOOKUP(J579,ModelParameters!$M$8:$N$15,2,FALSE),IF(N579=MappingTables!$C$16,VLOOKUP(J579,ModelParameters!$P$8:$Q$15,2,FALSE),0)))</f>
        <v>1</v>
      </c>
      <c r="P579" s="73">
        <f>IF(OR(I579=0,I579=$A$1),0,MIN(O579*M579,1)*K579)</f>
        <v>1110.915441177004</v>
      </c>
      <c r="Q579" s="73">
        <f>IF(B579="",0,IF(OR(H579=MappingTables!$C$34,H579=MappingTables!$C$35),P579,0))</f>
        <v>0</v>
      </c>
      <c r="R579" s="73">
        <f>IF(ISNA(IF(AND(VLOOKUP(CONCATENATE($D579,$G579),CSRFinput!$B:$E,4,0)=0,OR(H579=MappingTables!$C$31,H579=MappingTables!$C$32)),1,VLOOKUP(CONCATENATE($D579,$G579),CSRFinput!$B:$E,4,0))),0,IF(AND(VLOOKUP(CONCATENATE($D579,$G579),CSRFinput!$B:$E,4,0)=0,OR(H579=MappingTables!$C$31,H579=MappingTables!$C$32)),1,VLOOKUP(CONCATENATE($D579,$G579),CSRFinput!$B:$E,4,0)))</f>
        <v>0.054776304963434752</v>
      </c>
      <c r="S579" s="73">
        <f>IF(B579="",0,P579*R579)</f>
        <v>60.851842994500232</v>
      </c>
      <c r="T579" s="85">
        <f>IF(B579="",0,IF(OR(H579=MappingTables!$C$34,H579=MappingTables!$C$35),S579,0))</f>
        <v>0</v>
      </c>
    </row>
    <row r="580" spans="2:20" s="0" customFormat="0" ht="15">
      <c r="B580" s="69">
        <v>14504618</v>
      </c>
      <c r="C580" s="70" t="s">
        <v>3722</v>
      </c>
      <c r="D580" s="70" t="s">
        <v>1</v>
      </c>
      <c r="E580" s="70" t="s">
        <v>1</v>
      </c>
      <c r="F580" s="70"/>
      <c r="G580" s="70" t="s">
        <v>61</v>
      </c>
      <c r="H580" s="70" t="s">
        <v>178</v>
      </c>
      <c r="I580" s="70" t="s">
        <v>216</v>
      </c>
      <c r="J580" s="71">
        <f>IF(OR(I580=0,I580=""),"unrated",VLOOKUP(I580,MappingTables!$B$19:$C$31,2,FALSE))</f>
        <v>0</v>
      </c>
      <c r="K580" s="72">
        <v>498.21619222694536</v>
      </c>
      <c r="L580" s="70">
        <v>0.043460186193094896</v>
      </c>
      <c r="M580" s="71">
        <f>IF(L580&lt;1,1,L580)</f>
        <v>1</v>
      </c>
      <c r="N580" s="70" t="s">
        <v>3288</v>
      </c>
      <c r="O580" s="71">
        <f>IF(OR(I580=$A$1,I580=0),"",IF(N580=MappingTables!$C$14,VLOOKUP(J580,ModelParameters!$M$8:$N$15,2,FALSE),IF(N580=MappingTables!$C$16,VLOOKUP(J580,ModelParameters!$P$8:$Q$15,2,FALSE),0)))</f>
        <v>0.125</v>
      </c>
      <c r="P580" s="73">
        <f>IF(OR(I580=0,I580=$A$1),0,MIN(O580*M580,1)*K580)</f>
        <v>62.277024028368168</v>
      </c>
      <c r="Q580" s="73">
        <f>IF(B580="",0,IF(OR(H580=MappingTables!$C$34,H580=MappingTables!$C$35),P580,0))</f>
        <v>0</v>
      </c>
      <c r="R580" s="73">
        <f>IF(ISNA(IF(AND(VLOOKUP(CONCATENATE($D580,$G580),CSRFinput!$B:$E,4,0)=0,OR(H580=MappingTables!$C$31,H580=MappingTables!$C$32)),1,VLOOKUP(CONCATENATE($D580,$G580),CSRFinput!$B:$E,4,0))),0,IF(AND(VLOOKUP(CONCATENATE($D580,$G580),CSRFinput!$B:$E,4,0)=0,OR(H580=MappingTables!$C$31,H580=MappingTables!$C$32)),1,VLOOKUP(CONCATENATE($D580,$G580),CSRFinput!$B:$E,4,0)))</f>
        <v>0.054776304963434752</v>
      </c>
      <c r="S580" s="73">
        <f>IF(B580="",0,P580*R580)</f>
        <v>3.4113052603930484</v>
      </c>
      <c r="T580" s="85">
        <f>IF(B580="",0,IF(OR(H580=MappingTables!$C$34,H580=MappingTables!$C$35),S580,0))</f>
        <v>0</v>
      </c>
    </row>
    <row r="581" spans="2:20" s="0" customFormat="0" ht="15">
      <c r="B581" s="69">
        <v>16974601</v>
      </c>
      <c r="C581" s="70" t="s">
        <v>4137</v>
      </c>
      <c r="D581" s="70" t="s">
        <v>1</v>
      </c>
      <c r="E581" s="70" t="s">
        <v>1</v>
      </c>
      <c r="F581" s="70"/>
      <c r="G581" s="70" t="s">
        <v>61</v>
      </c>
      <c r="H581" s="70" t="s">
        <v>178</v>
      </c>
      <c r="I581" s="70" t="s">
        <v>216</v>
      </c>
      <c r="J581" s="71">
        <f>IF(OR(I581=0,I581=""),"unrated",VLOOKUP(I581,MappingTables!$B$19:$C$31,2,FALSE))</f>
        <v>0</v>
      </c>
      <c r="K581" s="72">
        <v>341.8430635896848</v>
      </c>
      <c r="L581" s="70">
        <v>0.029861888106650308</v>
      </c>
      <c r="M581" s="71">
        <f>IF(L581&lt;1,1,L581)</f>
        <v>1</v>
      </c>
      <c r="N581" s="70" t="s">
        <v>3288</v>
      </c>
      <c r="O581" s="71">
        <f>IF(OR(I581=$A$1,I581=0),"",IF(N581=MappingTables!$C$14,VLOOKUP(J581,ModelParameters!$M$8:$N$15,2,FALSE),IF(N581=MappingTables!$C$16,VLOOKUP(J581,ModelParameters!$P$8:$Q$15,2,FALSE),0)))</f>
        <v>0.125</v>
      </c>
      <c r="P581" s="73">
        <f>IF(OR(I581=0,I581=$A$1),0,MIN(O581*M581,1)*K581)</f>
        <v>42.7303829487106</v>
      </c>
      <c r="Q581" s="73">
        <f>IF(B581="",0,IF(OR(H581=MappingTables!$C$34,H581=MappingTables!$C$35),P581,0))</f>
        <v>0</v>
      </c>
      <c r="R581" s="73">
        <f>IF(ISNA(IF(AND(VLOOKUP(CONCATENATE($D581,$G581),CSRFinput!$B:$E,4,0)=0,OR(H581=MappingTables!$C$31,H581=MappingTables!$C$32)),1,VLOOKUP(CONCATENATE($D581,$G581),CSRFinput!$B:$E,4,0))),0,IF(AND(VLOOKUP(CONCATENATE($D581,$G581),CSRFinput!$B:$E,4,0)=0,OR(H581=MappingTables!$C$31,H581=MappingTables!$C$32)),1,VLOOKUP(CONCATENATE($D581,$G581),CSRFinput!$B:$E,4,0)))</f>
        <v>0.054776304963434752</v>
      </c>
      <c r="S581" s="73">
        <f>IF(B581="",0,P581*R581)</f>
        <v>2.340612487602924</v>
      </c>
      <c r="T581" s="85">
        <f>IF(B581="",0,IF(OR(H581=MappingTables!$C$34,H581=MappingTables!$C$35),S581,0))</f>
        <v>0</v>
      </c>
    </row>
    <row r="582" spans="2:20" s="0" customFormat="0" ht="15">
      <c r="B582" s="69">
        <v>18423592</v>
      </c>
      <c r="C582" s="70" t="s">
        <v>3898</v>
      </c>
      <c r="D582" s="70" t="s">
        <v>1</v>
      </c>
      <c r="E582" s="70" t="s">
        <v>1</v>
      </c>
      <c r="F582" s="70"/>
      <c r="G582" s="70" t="s">
        <v>61</v>
      </c>
      <c r="H582" s="70" t="s">
        <v>178</v>
      </c>
      <c r="I582" s="70" t="s">
        <v>198</v>
      </c>
      <c r="J582" s="71" t="str">
        <f>IF(OR(I582=0,I582=""),"unrated",VLOOKUP(I582,MappingTables!$B$19:$C$31,2,FALSE))</f>
        <v>unrated</v>
      </c>
      <c r="K582" s="72">
        <v>1498.9186141414256</v>
      </c>
      <c r="L582" s="70">
        <v>0.040540693583850696</v>
      </c>
      <c r="M582" s="71">
        <f>IF(L582&lt;1,1,L582)</f>
        <v>1</v>
      </c>
      <c r="N582" s="70" t="s">
        <v>3288</v>
      </c>
      <c r="O582" s="71">
        <f>IF(OR(I582=$A$1,I582=0),"",IF(N582=MappingTables!$C$14,VLOOKUP(J582,ModelParameters!$M$8:$N$15,2,FALSE),IF(N582=MappingTables!$C$16,VLOOKUP(J582,ModelParameters!$P$8:$Q$15,2,FALSE),0)))</f>
        <v>1</v>
      </c>
      <c r="P582" s="73">
        <f>IF(OR(I582=0,I582=$A$1),0,MIN(O582*M582,1)*K582)</f>
        <v>1498.9186141414256</v>
      </c>
      <c r="Q582" s="73">
        <f>IF(B582="",0,IF(OR(H582=MappingTables!$C$34,H582=MappingTables!$C$35),P582,0))</f>
        <v>0</v>
      </c>
      <c r="R582" s="73">
        <f>IF(ISNA(IF(AND(VLOOKUP(CONCATENATE($D582,$G582),CSRFinput!$B:$E,4,0)=0,OR(H582=MappingTables!$C$31,H582=MappingTables!$C$32)),1,VLOOKUP(CONCATENATE($D582,$G582),CSRFinput!$B:$E,4,0))),0,IF(AND(VLOOKUP(CONCATENATE($D582,$G582),CSRFinput!$B:$E,4,0)=0,OR(H582=MappingTables!$C$31,H582=MappingTables!$C$32)),1,VLOOKUP(CONCATENATE($D582,$G582),CSRFinput!$B:$E,4,0)))</f>
        <v>0.054776304963434752</v>
      </c>
      <c r="S582" s="73">
        <f>IF(B582="",0,P582*R582)</f>
        <v>82.105223123579712</v>
      </c>
      <c r="T582" s="85">
        <f>IF(B582="",0,IF(OR(H582=MappingTables!$C$34,H582=MappingTables!$C$35),S582,0))</f>
        <v>0</v>
      </c>
    </row>
    <row r="583" spans="2:20" s="0" customFormat="0" ht="15">
      <c r="B583" s="69" t="s">
        <v>4138</v>
      </c>
      <c r="C583" s="70" t="s">
        <v>4139</v>
      </c>
      <c r="D583" s="70" t="s">
        <v>1</v>
      </c>
      <c r="E583" s="70" t="s">
        <v>1</v>
      </c>
      <c r="F583" s="70"/>
      <c r="G583" s="70" t="s">
        <v>61</v>
      </c>
      <c r="H583" s="70" t="s">
        <v>178</v>
      </c>
      <c r="I583" s="70" t="s">
        <v>3298</v>
      </c>
      <c r="J583" s="71">
        <f>IF(OR(I583=0,I583=""),"unrated",VLOOKUP(I583,MappingTables!$B$19:$C$31,2,FALSE))</f>
        <v>6</v>
      </c>
      <c r="K583" s="72">
        <v>218.55108482005392</v>
      </c>
      <c r="L583" s="70">
        <v>0.068492654879443712</v>
      </c>
      <c r="M583" s="71">
        <f>IF(L583&lt;1,1,L583)</f>
        <v>1</v>
      </c>
      <c r="N583" s="70" t="s">
        <v>3288</v>
      </c>
      <c r="O583" s="71">
        <f>IF(OR(I583=$A$1,I583=0),"",IF(N583=MappingTables!$C$14,VLOOKUP(J583,ModelParameters!$M$8:$N$15,2,FALSE),IF(N583=MappingTables!$C$16,VLOOKUP(J583,ModelParameters!$P$8:$Q$15,2,FALSE),0)))</f>
        <v>1</v>
      </c>
      <c r="P583" s="73">
        <f>IF(OR(I583=0,I583=$A$1),0,MIN(O583*M583,1)*K583)</f>
        <v>218.55108482005392</v>
      </c>
      <c r="Q583" s="73">
        <f>IF(B583="",0,IF(OR(H583=MappingTables!$C$34,H583=MappingTables!$C$35),P583,0))</f>
        <v>0</v>
      </c>
      <c r="R583" s="73">
        <f>IF(ISNA(IF(AND(VLOOKUP(CONCATENATE($D583,$G583),CSRFinput!$B:$E,4,0)=0,OR(H583=MappingTables!$C$31,H583=MappingTables!$C$32)),1,VLOOKUP(CONCATENATE($D583,$G583),CSRFinput!$B:$E,4,0))),0,IF(AND(VLOOKUP(CONCATENATE($D583,$G583),CSRFinput!$B:$E,4,0)=0,OR(H583=MappingTables!$C$31,H583=MappingTables!$C$32)),1,VLOOKUP(CONCATENATE($D583,$G583),CSRFinput!$B:$E,4,0)))</f>
        <v>0.054776304963434752</v>
      </c>
      <c r="S583" s="73">
        <f>IF(B583="",0,P583*R583)</f>
        <v>11.97142087219277</v>
      </c>
      <c r="T583" s="85">
        <f>IF(B583="",0,IF(OR(H583=MappingTables!$C$34,H583=MappingTables!$C$35),S583,0))</f>
        <v>0</v>
      </c>
    </row>
    <row r="584" spans="2:20" s="0" customFormat="0" ht="15">
      <c r="B584" s="69" t="s">
        <v>4140</v>
      </c>
      <c r="C584" s="70" t="s">
        <v>4141</v>
      </c>
      <c r="D584" s="70" t="s">
        <v>1</v>
      </c>
      <c r="E584" s="70" t="s">
        <v>1</v>
      </c>
      <c r="F584" s="70"/>
      <c r="G584" s="70" t="s">
        <v>61</v>
      </c>
      <c r="H584" s="70" t="s">
        <v>178</v>
      </c>
      <c r="I584" s="70" t="s">
        <v>198</v>
      </c>
      <c r="J584" s="71" t="str">
        <f>IF(OR(I584=0,I584=""),"unrated",VLOOKUP(I584,MappingTables!$B$19:$C$31,2,FALSE))</f>
        <v>unrated</v>
      </c>
      <c r="K584" s="72">
        <v>242.95358037686732</v>
      </c>
      <c r="L584" s="70">
        <v>0.068496726156741736</v>
      </c>
      <c r="M584" s="71">
        <f>IF(L584&lt;1,1,L584)</f>
        <v>1</v>
      </c>
      <c r="N584" s="70" t="s">
        <v>3288</v>
      </c>
      <c r="O584" s="71">
        <f>IF(OR(I584=$A$1,I584=0),"",IF(N584=MappingTables!$C$14,VLOOKUP(J584,ModelParameters!$M$8:$N$15,2,FALSE),IF(N584=MappingTables!$C$16,VLOOKUP(J584,ModelParameters!$P$8:$Q$15,2,FALSE),0)))</f>
        <v>1</v>
      </c>
      <c r="P584" s="73">
        <f>IF(OR(I584=0,I584=$A$1),0,MIN(O584*M584,1)*K584)</f>
        <v>242.95358037686732</v>
      </c>
      <c r="Q584" s="73">
        <f>IF(B584="",0,IF(OR(H584=MappingTables!$C$34,H584=MappingTables!$C$35),P584,0))</f>
        <v>0</v>
      </c>
      <c r="R584" s="73">
        <f>IF(ISNA(IF(AND(VLOOKUP(CONCATENATE($D584,$G584),CSRFinput!$B:$E,4,0)=0,OR(H584=MappingTables!$C$31,H584=MappingTables!$C$32)),1,VLOOKUP(CONCATENATE($D584,$G584),CSRFinput!$B:$E,4,0))),0,IF(AND(VLOOKUP(CONCATENATE($D584,$G584),CSRFinput!$B:$E,4,0)=0,OR(H584=MappingTables!$C$31,H584=MappingTables!$C$32)),1,VLOOKUP(CONCATENATE($D584,$G584),CSRFinput!$B:$E,4,0)))</f>
        <v>0.054776304963434752</v>
      </c>
      <c r="S584" s="73">
        <f>IF(B584="",0,P584*R584)</f>
        <v>13.30809941068164</v>
      </c>
      <c r="T584" s="85">
        <f>IF(B584="",0,IF(OR(H584=MappingTables!$C$34,H584=MappingTables!$C$35),S584,0))</f>
        <v>0</v>
      </c>
    </row>
    <row r="585" spans="2:20" s="0" customFormat="0" ht="15">
      <c r="B585" s="69" t="s">
        <v>3286</v>
      </c>
      <c r="C585" s="70" t="s">
        <v>3287</v>
      </c>
      <c r="D585" s="70" t="s">
        <v>1</v>
      </c>
      <c r="E585" s="70" t="s">
        <v>1</v>
      </c>
      <c r="F585" s="70"/>
      <c r="G585" s="70" t="s">
        <v>61</v>
      </c>
      <c r="H585" s="70" t="s">
        <v>178</v>
      </c>
      <c r="I585" s="70" t="s">
        <v>198</v>
      </c>
      <c r="J585" s="71" t="str">
        <f>IF(OR(I585=0,I585=""),"unrated",VLOOKUP(I585,MappingTables!$B$19:$C$31,2,FALSE))</f>
        <v>unrated</v>
      </c>
      <c r="K585" s="72">
        <v>313.14066866485596</v>
      </c>
      <c r="L585" s="70">
        <v>25.123094348652568</v>
      </c>
      <c r="M585" s="71">
        <f>IF(L585&lt;1,1,L585)</f>
        <v>25.123094348652568</v>
      </c>
      <c r="N585" s="70" t="s">
        <v>3288</v>
      </c>
      <c r="O585" s="71">
        <f>IF(OR(I585=$A$1,I585=0),"",IF(N585=MappingTables!$C$14,VLOOKUP(J585,ModelParameters!$M$8:$N$15,2,FALSE),IF(N585=MappingTables!$C$16,VLOOKUP(J585,ModelParameters!$P$8:$Q$15,2,FALSE),0)))</f>
        <v>1</v>
      </c>
      <c r="P585" s="73">
        <f>IF(OR(I585=0,I585=$A$1),0,MIN(O585*M585,1)*K585)</f>
        <v>313.14066866485596</v>
      </c>
      <c r="Q585" s="73">
        <f>IF(B585="",0,IF(OR(H585=MappingTables!$C$34,H585=MappingTables!$C$35),P585,0))</f>
        <v>0</v>
      </c>
      <c r="R585" s="73">
        <f>IF(ISNA(IF(AND(VLOOKUP(CONCATENATE($D585,$G585),CSRFinput!$B:$E,4,0)=0,OR(H585=MappingTables!$C$31,H585=MappingTables!$C$32)),1,VLOOKUP(CONCATENATE($D585,$G585),CSRFinput!$B:$E,4,0))),0,IF(AND(VLOOKUP(CONCATENATE($D585,$G585),CSRFinput!$B:$E,4,0)=0,OR(H585=MappingTables!$C$31,H585=MappingTables!$C$32)),1,VLOOKUP(CONCATENATE($D585,$G585),CSRFinput!$B:$E,4,0)))</f>
        <v>0.054776304963434752</v>
      </c>
      <c r="S585" s="73">
        <f>IF(B585="",0,P585*R585)</f>
        <v>17.152688763240028</v>
      </c>
      <c r="T585" s="85">
        <f>IF(B585="",0,IF(OR(H585=MappingTables!$C$34,H585=MappingTables!$C$35),S585,0))</f>
        <v>0</v>
      </c>
    </row>
    <row r="586" spans="2:20" s="0" customFormat="0" ht="15">
      <c r="B586" s="69" t="s">
        <v>3748</v>
      </c>
      <c r="C586" s="70" t="s">
        <v>3749</v>
      </c>
      <c r="D586" s="70" t="s">
        <v>1</v>
      </c>
      <c r="E586" s="70" t="s">
        <v>1</v>
      </c>
      <c r="F586" s="70"/>
      <c r="G586" s="70" t="s">
        <v>61</v>
      </c>
      <c r="H586" s="70" t="s">
        <v>178</v>
      </c>
      <c r="I586" s="70" t="s">
        <v>198</v>
      </c>
      <c r="J586" s="71" t="str">
        <f>IF(OR(I586=0,I586=""),"unrated",VLOOKUP(I586,MappingTables!$B$19:$C$31,2,FALSE))</f>
        <v>unrated</v>
      </c>
      <c r="K586" s="72">
        <v>1987.8162795377088</v>
      </c>
      <c r="L586" s="70">
        <v>24.088549265703028</v>
      </c>
      <c r="M586" s="71">
        <f>IF(L586&lt;1,1,L586)</f>
        <v>24.088549265703028</v>
      </c>
      <c r="N586" s="70" t="s">
        <v>3288</v>
      </c>
      <c r="O586" s="71">
        <f>IF(OR(I586=$A$1,I586=0),"",IF(N586=MappingTables!$C$14,VLOOKUP(J586,ModelParameters!$M$8:$N$15,2,FALSE),IF(N586=MappingTables!$C$16,VLOOKUP(J586,ModelParameters!$P$8:$Q$15,2,FALSE),0)))</f>
        <v>1</v>
      </c>
      <c r="P586" s="73">
        <f>IF(OR(I586=0,I586=$A$1),0,MIN(O586*M586,1)*K586)</f>
        <v>1987.8162795377088</v>
      </c>
      <c r="Q586" s="73">
        <f>IF(B586="",0,IF(OR(H586=MappingTables!$C$34,H586=MappingTables!$C$35),P586,0))</f>
        <v>0</v>
      </c>
      <c r="R586" s="73">
        <f>IF(ISNA(IF(AND(VLOOKUP(CONCATENATE($D586,$G586),CSRFinput!$B:$E,4,0)=0,OR(H586=MappingTables!$C$31,H586=MappingTables!$C$32)),1,VLOOKUP(CONCATENATE($D586,$G586),CSRFinput!$B:$E,4,0))),0,IF(AND(VLOOKUP(CONCATENATE($D586,$G586),CSRFinput!$B:$E,4,0)=0,OR(H586=MappingTables!$C$31,H586=MappingTables!$C$32)),1,VLOOKUP(CONCATENATE($D586,$G586),CSRFinput!$B:$E,4,0)))</f>
        <v>0.054776304963434752</v>
      </c>
      <c r="S586" s="73">
        <f>IF(B586="",0,P586*R586)</f>
        <v>108.8852307392378</v>
      </c>
      <c r="T586" s="85">
        <f>IF(B586="",0,IF(OR(H586=MappingTables!$C$34,H586=MappingTables!$C$35),S586,0))</f>
        <v>0</v>
      </c>
    </row>
    <row r="587" spans="2:20" s="0" customFormat="0" ht="15">
      <c r="B587" s="69" t="s">
        <v>4142</v>
      </c>
      <c r="C587" s="70" t="s">
        <v>4143</v>
      </c>
      <c r="D587" s="70" t="s">
        <v>1</v>
      </c>
      <c r="E587" s="70" t="s">
        <v>1</v>
      </c>
      <c r="F587" s="70"/>
      <c r="G587" s="70" t="s">
        <v>61</v>
      </c>
      <c r="H587" s="70" t="s">
        <v>178</v>
      </c>
      <c r="I587" s="70" t="s">
        <v>198</v>
      </c>
      <c r="J587" s="71" t="str">
        <f>IF(OR(I587=0,I587=""),"unrated",VLOOKUP(I587,MappingTables!$B$19:$C$31,2,FALSE))</f>
        <v>unrated</v>
      </c>
      <c r="K587" s="72">
        <v>522.42773424032904</v>
      </c>
      <c r="L587" s="70">
        <v>3.4362903569334752</v>
      </c>
      <c r="M587" s="71">
        <f>IF(L587&lt;1,1,L587)</f>
        <v>3.4362903569334752</v>
      </c>
      <c r="N587" s="70" t="s">
        <v>3288</v>
      </c>
      <c r="O587" s="71">
        <f>IF(OR(I587=$A$1,I587=0),"",IF(N587=MappingTables!$C$14,VLOOKUP(J587,ModelParameters!$M$8:$N$15,2,FALSE),IF(N587=MappingTables!$C$16,VLOOKUP(J587,ModelParameters!$P$8:$Q$15,2,FALSE),0)))</f>
        <v>1</v>
      </c>
      <c r="P587" s="73">
        <f>IF(OR(I587=0,I587=$A$1),0,MIN(O587*M587,1)*K587)</f>
        <v>522.42773424032904</v>
      </c>
      <c r="Q587" s="73">
        <f>IF(B587="",0,IF(OR(H587=MappingTables!$C$34,H587=MappingTables!$C$35),P587,0))</f>
        <v>0</v>
      </c>
      <c r="R587" s="73">
        <f>IF(ISNA(IF(AND(VLOOKUP(CONCATENATE($D587,$G587),CSRFinput!$B:$E,4,0)=0,OR(H587=MappingTables!$C$31,H587=MappingTables!$C$32)),1,VLOOKUP(CONCATENATE($D587,$G587),CSRFinput!$B:$E,4,0))),0,IF(AND(VLOOKUP(CONCATENATE($D587,$G587),CSRFinput!$B:$E,4,0)=0,OR(H587=MappingTables!$C$31,H587=MappingTables!$C$32)),1,VLOOKUP(CONCATENATE($D587,$G587),CSRFinput!$B:$E,4,0)))</f>
        <v>0.054776304963434752</v>
      </c>
      <c r="S587" s="73">
        <f>IF(B587="",0,P587*R587)</f>
        <v>28.616660892104508</v>
      </c>
      <c r="T587" s="85">
        <f>IF(B587="",0,IF(OR(H587=MappingTables!$C$34,H587=MappingTables!$C$35),S587,0))</f>
        <v>0</v>
      </c>
    </row>
    <row r="588" spans="2:20" s="0" customFormat="0" ht="15">
      <c r="B588" s="69">
        <v>22623681</v>
      </c>
      <c r="C588" s="70" t="s">
        <v>4144</v>
      </c>
      <c r="D588" s="70" t="s">
        <v>1</v>
      </c>
      <c r="E588" s="70" t="s">
        <v>1</v>
      </c>
      <c r="F588" s="70"/>
      <c r="G588" s="70" t="s">
        <v>61</v>
      </c>
      <c r="H588" s="70" t="s">
        <v>178</v>
      </c>
      <c r="I588" s="70" t="s">
        <v>179</v>
      </c>
      <c r="J588" s="71">
        <f>IF(OR(I588=0,I588=""),"unrated",VLOOKUP(I588,MappingTables!$B$19:$C$31,2,FALSE))</f>
        <v>4</v>
      </c>
      <c r="K588" s="72">
        <v>979.63969263802992</v>
      </c>
      <c r="L588" s="70">
        <v>0.068494397835863736</v>
      </c>
      <c r="M588" s="71">
        <f>IF(L588&lt;1,1,L588)</f>
        <v>1</v>
      </c>
      <c r="N588" s="70" t="s">
        <v>3288</v>
      </c>
      <c r="O588" s="71">
        <f>IF(OR(I588=$A$1,I588=0),"",IF(N588=MappingTables!$C$14,VLOOKUP(J588,ModelParameters!$M$8:$N$15,2,FALSE),IF(N588=MappingTables!$C$16,VLOOKUP(J588,ModelParameters!$P$8:$Q$15,2,FALSE),0)))</f>
        <v>0.82</v>
      </c>
      <c r="P588" s="73">
        <f>IF(OR(I588=0,I588=$A$1),0,MIN(O588*M588,1)*K588)</f>
        <v>803.30454796318448</v>
      </c>
      <c r="Q588" s="73">
        <f>IF(B588="",0,IF(OR(H588=MappingTables!$C$34,H588=MappingTables!$C$35),P588,0))</f>
        <v>0</v>
      </c>
      <c r="R588" s="73">
        <f>IF(ISNA(IF(AND(VLOOKUP(CONCATENATE($D588,$G588),CSRFinput!$B:$E,4,0)=0,OR(H588=MappingTables!$C$31,H588=MappingTables!$C$32)),1,VLOOKUP(CONCATENATE($D588,$G588),CSRFinput!$B:$E,4,0))),0,IF(AND(VLOOKUP(CONCATENATE($D588,$G588),CSRFinput!$B:$E,4,0)=0,OR(H588=MappingTables!$C$31,H588=MappingTables!$C$32)),1,VLOOKUP(CONCATENATE($D588,$G588),CSRFinput!$B:$E,4,0)))</f>
        <v>0.054776304963434752</v>
      </c>
      <c r="S588" s="73">
        <f>IF(B588="",0,P588*R588)</f>
        <v>44.002054897745496</v>
      </c>
      <c r="T588" s="85">
        <f>IF(B588="",0,IF(OR(H588=MappingTables!$C$34,H588=MappingTables!$C$35),S588,0))</f>
        <v>0</v>
      </c>
    </row>
    <row r="589" spans="2:20" s="0" customFormat="0" ht="15">
      <c r="B589" s="69" t="s">
        <v>4145</v>
      </c>
      <c r="C589" s="70" t="s">
        <v>4146</v>
      </c>
      <c r="D589" s="70" t="s">
        <v>1</v>
      </c>
      <c r="E589" s="70" t="s">
        <v>1</v>
      </c>
      <c r="F589" s="70"/>
      <c r="G589" s="70" t="s">
        <v>61</v>
      </c>
      <c r="H589" s="70" t="s">
        <v>178</v>
      </c>
      <c r="I589" s="70" t="s">
        <v>198</v>
      </c>
      <c r="J589" s="71" t="str">
        <f>IF(OR(I589=0,I589=""),"unrated",VLOOKUP(I589,MappingTables!$B$19:$C$31,2,FALSE))</f>
        <v>unrated</v>
      </c>
      <c r="K589" s="72">
        <v>0.06784740611272888</v>
      </c>
      <c r="L589" s="70">
        <v>7.2364374630440848</v>
      </c>
      <c r="M589" s="71">
        <f>IF(L589&lt;1,1,L589)</f>
        <v>7.2364374630440848</v>
      </c>
      <c r="N589" s="70" t="s">
        <v>3288</v>
      </c>
      <c r="O589" s="71">
        <f>IF(OR(I589=$A$1,I589=0),"",IF(N589=MappingTables!$C$14,VLOOKUP(J589,ModelParameters!$M$8:$N$15,2,FALSE),IF(N589=MappingTables!$C$16,VLOOKUP(J589,ModelParameters!$P$8:$Q$15,2,FALSE),0)))</f>
        <v>1</v>
      </c>
      <c r="P589" s="73">
        <f>IF(OR(I589=0,I589=$A$1),0,MIN(O589*M589,1)*K589)</f>
        <v>0.06784740611272888</v>
      </c>
      <c r="Q589" s="73">
        <f>IF(B589="",0,IF(OR(H589=MappingTables!$C$34,H589=MappingTables!$C$35),P589,0))</f>
        <v>0</v>
      </c>
      <c r="R589" s="73">
        <f>IF(ISNA(IF(AND(VLOOKUP(CONCATENATE($D589,$G589),CSRFinput!$B:$E,4,0)=0,OR(H589=MappingTables!$C$31,H589=MappingTables!$C$32)),1,VLOOKUP(CONCATENATE($D589,$G589),CSRFinput!$B:$E,4,0))),0,IF(AND(VLOOKUP(CONCATENATE($D589,$G589),CSRFinput!$B:$E,4,0)=0,OR(H589=MappingTables!$C$31,H589=MappingTables!$C$32)),1,VLOOKUP(CONCATENATE($D589,$G589),CSRFinput!$B:$E,4,0)))</f>
        <v>0.054776304963434752</v>
      </c>
      <c r="S589" s="73">
        <f>IF(B589="",0,P589*R589)</f>
        <v>0.0037164302082088448</v>
      </c>
      <c r="T589" s="85">
        <f>IF(B589="",0,IF(OR(H589=MappingTables!$C$34,H589=MappingTables!$C$35),S589,0))</f>
        <v>0</v>
      </c>
    </row>
    <row r="590" spans="2:20" s="0" customFormat="0" ht="15">
      <c r="B590" s="69">
        <v>22623645</v>
      </c>
      <c r="C590" s="70" t="s">
        <v>4147</v>
      </c>
      <c r="D590" s="70" t="s">
        <v>1</v>
      </c>
      <c r="E590" s="70" t="s">
        <v>1</v>
      </c>
      <c r="F590" s="70"/>
      <c r="G590" s="70" t="s">
        <v>61</v>
      </c>
      <c r="H590" s="70" t="s">
        <v>178</v>
      </c>
      <c r="I590" s="70" t="s">
        <v>216</v>
      </c>
      <c r="J590" s="71">
        <f>IF(OR(I590=0,I590=""),"unrated",VLOOKUP(I590,MappingTables!$B$19:$C$31,2,FALSE))</f>
        <v>0</v>
      </c>
      <c r="K590" s="72">
        <v>19.909293408796932</v>
      </c>
      <c r="L590" s="70">
        <v>0.075248550422282256</v>
      </c>
      <c r="M590" s="71">
        <f>IF(L590&lt;1,1,L590)</f>
        <v>1</v>
      </c>
      <c r="N590" s="70" t="s">
        <v>3288</v>
      </c>
      <c r="O590" s="71">
        <f>IF(OR(I590=$A$1,I590=0),"",IF(N590=MappingTables!$C$14,VLOOKUP(J590,ModelParameters!$M$8:$N$15,2,FALSE),IF(N590=MappingTables!$C$16,VLOOKUP(J590,ModelParameters!$P$8:$Q$15,2,FALSE),0)))</f>
        <v>0.125</v>
      </c>
      <c r="P590" s="73">
        <f>IF(OR(I590=0,I590=$A$1),0,MIN(O590*M590,1)*K590)</f>
        <v>2.4886616760996164</v>
      </c>
      <c r="Q590" s="73">
        <f>IF(B590="",0,IF(OR(H590=MappingTables!$C$34,H590=MappingTables!$C$35),P590,0))</f>
        <v>0</v>
      </c>
      <c r="R590" s="73">
        <f>IF(ISNA(IF(AND(VLOOKUP(CONCATENATE($D590,$G590),CSRFinput!$B:$E,4,0)=0,OR(H590=MappingTables!$C$31,H590=MappingTables!$C$32)),1,VLOOKUP(CONCATENATE($D590,$G590),CSRFinput!$B:$E,4,0))),0,IF(AND(VLOOKUP(CONCATENATE($D590,$G590),CSRFinput!$B:$E,4,0)=0,OR(H590=MappingTables!$C$31,H590=MappingTables!$C$32)),1,VLOOKUP(CONCATENATE($D590,$G590),CSRFinput!$B:$E,4,0)))</f>
        <v>0.054776304963434752</v>
      </c>
      <c r="S590" s="73">
        <f>IF(B590="",0,P590*R590)</f>
        <v>0.13631969092084526</v>
      </c>
      <c r="T590" s="85">
        <f>IF(B590="",0,IF(OR(H590=MappingTables!$C$34,H590=MappingTables!$C$35),S590,0))</f>
        <v>0</v>
      </c>
    </row>
    <row r="591" spans="2:20" s="0" customFormat="0" ht="15">
      <c r="B591" s="69" t="s">
        <v>4148</v>
      </c>
      <c r="C591" s="70" t="s">
        <v>4149</v>
      </c>
      <c r="D591" s="70" t="s">
        <v>1</v>
      </c>
      <c r="E591" s="70" t="s">
        <v>1</v>
      </c>
      <c r="F591" s="70"/>
      <c r="G591" s="70" t="s">
        <v>61</v>
      </c>
      <c r="H591" s="70" t="s">
        <v>178</v>
      </c>
      <c r="I591" s="70" t="s">
        <v>198</v>
      </c>
      <c r="J591" s="71" t="str">
        <f>IF(OR(I591=0,I591=""),"unrated",VLOOKUP(I591,MappingTables!$B$19:$C$31,2,FALSE))</f>
        <v>unrated</v>
      </c>
      <c r="K591" s="72">
        <v>194.16293075657812</v>
      </c>
      <c r="L591" s="70">
        <v>8.7864340719728864</v>
      </c>
      <c r="M591" s="71">
        <f>IF(L591&lt;1,1,L591)</f>
        <v>8.7864340719728864</v>
      </c>
      <c r="N591" s="70" t="s">
        <v>3288</v>
      </c>
      <c r="O591" s="71">
        <f>IF(OR(I591=$A$1,I591=0),"",IF(N591=MappingTables!$C$14,VLOOKUP(J591,ModelParameters!$M$8:$N$15,2,FALSE),IF(N591=MappingTables!$C$16,VLOOKUP(J591,ModelParameters!$P$8:$Q$15,2,FALSE),0)))</f>
        <v>1</v>
      </c>
      <c r="P591" s="73">
        <f>IF(OR(I591=0,I591=$A$1),0,MIN(O591*M591,1)*K591)</f>
        <v>194.16293075657812</v>
      </c>
      <c r="Q591" s="73">
        <f>IF(B591="",0,IF(OR(H591=MappingTables!$C$34,H591=MappingTables!$C$35),P591,0))</f>
        <v>0</v>
      </c>
      <c r="R591" s="73">
        <f>IF(ISNA(IF(AND(VLOOKUP(CONCATENATE($D591,$G591),CSRFinput!$B:$E,4,0)=0,OR(H591=MappingTables!$C$31,H591=MappingTables!$C$32)),1,VLOOKUP(CONCATENATE($D591,$G591),CSRFinput!$B:$E,4,0))),0,IF(AND(VLOOKUP(CONCATENATE($D591,$G591),CSRFinput!$B:$E,4,0)=0,OR(H591=MappingTables!$C$31,H591=MappingTables!$C$32)),1,VLOOKUP(CONCATENATE($D591,$G591),CSRFinput!$B:$E,4,0)))</f>
        <v>0.054776304963434752</v>
      </c>
      <c r="S591" s="73">
        <f>IF(B591="",0,P591*R591)</f>
        <v>10.63552790771659</v>
      </c>
      <c r="T591" s="85">
        <f>IF(B591="",0,IF(OR(H591=MappingTables!$C$34,H591=MappingTables!$C$35),S591,0))</f>
        <v>0</v>
      </c>
    </row>
    <row r="592" spans="2:20" s="0" customFormat="0" ht="15">
      <c r="B592" s="69" t="s">
        <v>4150</v>
      </c>
      <c r="C592" s="70" t="s">
        <v>4151</v>
      </c>
      <c r="D592" s="70" t="s">
        <v>1</v>
      </c>
      <c r="E592" s="70" t="s">
        <v>1</v>
      </c>
      <c r="F592" s="70"/>
      <c r="G592" s="70" t="s">
        <v>61</v>
      </c>
      <c r="H592" s="70" t="s">
        <v>178</v>
      </c>
      <c r="I592" s="70" t="s">
        <v>184</v>
      </c>
      <c r="J592" s="71">
        <f>IF(OR(I592=0,I592=""),"unrated",VLOOKUP(I592,MappingTables!$B$19:$C$31,2,FALSE))</f>
        <v>5</v>
      </c>
      <c r="K592" s="72">
        <v>12.270861179104614</v>
      </c>
      <c r="L592" s="70">
        <v>0.068495811496129904</v>
      </c>
      <c r="M592" s="71">
        <f>IF(L592&lt;1,1,L592)</f>
        <v>1</v>
      </c>
      <c r="N592" s="70" t="s">
        <v>3288</v>
      </c>
      <c r="O592" s="71">
        <f>IF(OR(I592=$A$1,I592=0),"",IF(N592=MappingTables!$C$14,VLOOKUP(J592,ModelParameters!$M$8:$N$15,2,FALSE),IF(N592=MappingTables!$C$16,VLOOKUP(J592,ModelParameters!$P$8:$Q$15,2,FALSE),0)))</f>
        <v>1</v>
      </c>
      <c r="P592" s="73">
        <f>IF(OR(I592=0,I592=$A$1),0,MIN(O592*M592,1)*K592)</f>
        <v>12.270861179104614</v>
      </c>
      <c r="Q592" s="73">
        <f>IF(B592="",0,IF(OR(H592=MappingTables!$C$34,H592=MappingTables!$C$35),P592,0))</f>
        <v>0</v>
      </c>
      <c r="R592" s="73">
        <f>IF(ISNA(IF(AND(VLOOKUP(CONCATENATE($D592,$G592),CSRFinput!$B:$E,4,0)=0,OR(H592=MappingTables!$C$31,H592=MappingTables!$C$32)),1,VLOOKUP(CONCATENATE($D592,$G592),CSRFinput!$B:$E,4,0))),0,IF(AND(VLOOKUP(CONCATENATE($D592,$G592),CSRFinput!$B:$E,4,0)=0,OR(H592=MappingTables!$C$31,H592=MappingTables!$C$32)),1,VLOOKUP(CONCATENATE($D592,$G592),CSRFinput!$B:$E,4,0)))</f>
        <v>0.054776304963434752</v>
      </c>
      <c r="S592" s="73">
        <f>IF(B592="",0,P592*R592)</f>
        <v>0.67215243411060688</v>
      </c>
      <c r="T592" s="85">
        <f>IF(B592="",0,IF(OR(H592=MappingTables!$C$34,H592=MappingTables!$C$35),S592,0))</f>
        <v>0</v>
      </c>
    </row>
    <row r="593" spans="2:20" s="0" customFormat="0" ht="15">
      <c r="B593" s="69">
        <v>22554242</v>
      </c>
      <c r="C593" s="70" t="s">
        <v>4119</v>
      </c>
      <c r="D593" s="70" t="s">
        <v>1</v>
      </c>
      <c r="E593" s="70" t="s">
        <v>1</v>
      </c>
      <c r="F593" s="70"/>
      <c r="G593" s="70" t="s">
        <v>61</v>
      </c>
      <c r="H593" s="70" t="s">
        <v>178</v>
      </c>
      <c r="I593" s="70" t="s">
        <v>216</v>
      </c>
      <c r="J593" s="71">
        <f>IF(OR(I593=0,I593=""),"unrated",VLOOKUP(I593,MappingTables!$B$19:$C$31,2,FALSE))</f>
        <v>0</v>
      </c>
      <c r="K593" s="72">
        <v>327.92922181503128</v>
      </c>
      <c r="L593" s="70">
        <v>0.08706626192905768</v>
      </c>
      <c r="M593" s="71">
        <f>IF(L593&lt;1,1,L593)</f>
        <v>1</v>
      </c>
      <c r="N593" s="70" t="s">
        <v>3288</v>
      </c>
      <c r="O593" s="71">
        <f>IF(OR(I593=$A$1,I593=0),"",IF(N593=MappingTables!$C$14,VLOOKUP(J593,ModelParameters!$M$8:$N$15,2,FALSE),IF(N593=MappingTables!$C$16,VLOOKUP(J593,ModelParameters!$P$8:$Q$15,2,FALSE),0)))</f>
        <v>0.125</v>
      </c>
      <c r="P593" s="73">
        <f>IF(OR(I593=0,I593=$A$1),0,MIN(O593*M593,1)*K593)</f>
        <v>40.991152726878912</v>
      </c>
      <c r="Q593" s="73">
        <f>IF(B593="",0,IF(OR(H593=MappingTables!$C$34,H593=MappingTables!$C$35),P593,0))</f>
        <v>0</v>
      </c>
      <c r="R593" s="73">
        <f>IF(ISNA(IF(AND(VLOOKUP(CONCATENATE($D593,$G593),CSRFinput!$B:$E,4,0)=0,OR(H593=MappingTables!$C$31,H593=MappingTables!$C$32)),1,VLOOKUP(CONCATENATE($D593,$G593),CSRFinput!$B:$E,4,0))),0,IF(AND(VLOOKUP(CONCATENATE($D593,$G593),CSRFinput!$B:$E,4,0)=0,OR(H593=MappingTables!$C$31,H593=MappingTables!$C$32)),1,VLOOKUP(CONCATENATE($D593,$G593),CSRFinput!$B:$E,4,0)))</f>
        <v>0.054776304963434752</v>
      </c>
      <c r="S593" s="73">
        <f>IF(B593="",0,P593*R593)</f>
        <v>2.2453438825702488</v>
      </c>
      <c r="T593" s="85">
        <f>IF(B593="",0,IF(OR(H593=MappingTables!$C$34,H593=MappingTables!$C$35),S593,0))</f>
        <v>0</v>
      </c>
    </row>
    <row r="594" spans="2:20" s="0" customFormat="0" ht="15">
      <c r="B594" s="69" t="s">
        <v>4152</v>
      </c>
      <c r="C594" s="70" t="s">
        <v>4153</v>
      </c>
      <c r="D594" s="70" t="s">
        <v>1</v>
      </c>
      <c r="E594" s="70" t="s">
        <v>1</v>
      </c>
      <c r="F594" s="70"/>
      <c r="G594" s="70" t="s">
        <v>61</v>
      </c>
      <c r="H594" s="70" t="s">
        <v>178</v>
      </c>
      <c r="I594" s="70" t="s">
        <v>198</v>
      </c>
      <c r="J594" s="71" t="str">
        <f>IF(OR(I594=0,I594=""),"unrated",VLOOKUP(I594,MappingTables!$B$19:$C$31,2,FALSE))</f>
        <v>unrated</v>
      </c>
      <c r="K594" s="72">
        <v>336.9623939745524</v>
      </c>
      <c r="L594" s="70">
        <v>3.0599161705123476</v>
      </c>
      <c r="M594" s="71">
        <f>IF(L594&lt;1,1,L594)</f>
        <v>3.0599161705123476</v>
      </c>
      <c r="N594" s="70" t="s">
        <v>3288</v>
      </c>
      <c r="O594" s="71">
        <f>IF(OR(I594=$A$1,I594=0),"",IF(N594=MappingTables!$C$14,VLOOKUP(J594,ModelParameters!$M$8:$N$15,2,FALSE),IF(N594=MappingTables!$C$16,VLOOKUP(J594,ModelParameters!$P$8:$Q$15,2,FALSE),0)))</f>
        <v>1</v>
      </c>
      <c r="P594" s="73">
        <f>IF(OR(I594=0,I594=$A$1),0,MIN(O594*M594,1)*K594)</f>
        <v>336.9623939745524</v>
      </c>
      <c r="Q594" s="73">
        <f>IF(B594="",0,IF(OR(H594=MappingTables!$C$34,H594=MappingTables!$C$35),P594,0))</f>
        <v>0</v>
      </c>
      <c r="R594" s="73">
        <f>IF(ISNA(IF(AND(VLOOKUP(CONCATENATE($D594,$G594),CSRFinput!$B:$E,4,0)=0,OR(H594=MappingTables!$C$31,H594=MappingTables!$C$32)),1,VLOOKUP(CONCATENATE($D594,$G594),CSRFinput!$B:$E,4,0))),0,IF(AND(VLOOKUP(CONCATENATE($D594,$G594),CSRFinput!$B:$E,4,0)=0,OR(H594=MappingTables!$C$31,H594=MappingTables!$C$32)),1,VLOOKUP(CONCATENATE($D594,$G594),CSRFinput!$B:$E,4,0)))</f>
        <v>0.054776304963434752</v>
      </c>
      <c r="S594" s="73">
        <f>IF(B594="",0,P594*R594)</f>
        <v>18.457554853559132</v>
      </c>
      <c r="T594" s="85">
        <f>IF(B594="",0,IF(OR(H594=MappingTables!$C$34,H594=MappingTables!$C$35),S594,0))</f>
        <v>0</v>
      </c>
    </row>
    <row r="595" spans="2:20" s="0" customFormat="0" ht="15">
      <c r="B595" s="69" t="s">
        <v>4154</v>
      </c>
      <c r="C595" s="70" t="s">
        <v>4155</v>
      </c>
      <c r="D595" s="70" t="s">
        <v>1</v>
      </c>
      <c r="E595" s="70" t="s">
        <v>1</v>
      </c>
      <c r="F595" s="70"/>
      <c r="G595" s="70" t="s">
        <v>61</v>
      </c>
      <c r="H595" s="70" t="s">
        <v>178</v>
      </c>
      <c r="I595" s="70" t="s">
        <v>198</v>
      </c>
      <c r="J595" s="71" t="str">
        <f>IF(OR(I595=0,I595=""),"unrated",VLOOKUP(I595,MappingTables!$B$19:$C$31,2,FALSE))</f>
        <v>unrated</v>
      </c>
      <c r="K595" s="72">
        <v>786.15954594456336</v>
      </c>
      <c r="L595" s="70">
        <v>0.69081077608412736</v>
      </c>
      <c r="M595" s="71">
        <f>IF(L595&lt;1,1,L595)</f>
        <v>1</v>
      </c>
      <c r="N595" s="70" t="s">
        <v>3288</v>
      </c>
      <c r="O595" s="71">
        <f>IF(OR(I595=$A$1,I595=0),"",IF(N595=MappingTables!$C$14,VLOOKUP(J595,ModelParameters!$M$8:$N$15,2,FALSE),IF(N595=MappingTables!$C$16,VLOOKUP(J595,ModelParameters!$P$8:$Q$15,2,FALSE),0)))</f>
        <v>1</v>
      </c>
      <c r="P595" s="73">
        <f>IF(OR(I595=0,I595=$A$1),0,MIN(O595*M595,1)*K595)</f>
        <v>786.15954594456336</v>
      </c>
      <c r="Q595" s="73">
        <f>IF(B595="",0,IF(OR(H595=MappingTables!$C$34,H595=MappingTables!$C$35),P595,0))</f>
        <v>0</v>
      </c>
      <c r="R595" s="73">
        <f>IF(ISNA(IF(AND(VLOOKUP(CONCATENATE($D595,$G595),CSRFinput!$B:$E,4,0)=0,OR(H595=MappingTables!$C$31,H595=MappingTables!$C$32)),1,VLOOKUP(CONCATENATE($D595,$G595),CSRFinput!$B:$E,4,0))),0,IF(AND(VLOOKUP(CONCATENATE($D595,$G595),CSRFinput!$B:$E,4,0)=0,OR(H595=MappingTables!$C$31,H595=MappingTables!$C$32)),1,VLOOKUP(CONCATENATE($D595,$G595),CSRFinput!$B:$E,4,0)))</f>
        <v>0.054776304963434752</v>
      </c>
      <c r="S595" s="73">
        <f>IF(B595="",0,P595*R595)</f>
        <v>43.0629150385748</v>
      </c>
      <c r="T595" s="85">
        <f>IF(B595="",0,IF(OR(H595=MappingTables!$C$34,H595=MappingTables!$C$35),S595,0))</f>
        <v>0</v>
      </c>
    </row>
    <row r="596" spans="2:20" s="0" customFormat="0" ht="15">
      <c r="B596" s="69" t="s">
        <v>4156</v>
      </c>
      <c r="C596" s="70" t="s">
        <v>4157</v>
      </c>
      <c r="D596" s="70" t="s">
        <v>1</v>
      </c>
      <c r="E596" s="70" t="s">
        <v>1</v>
      </c>
      <c r="F596" s="70"/>
      <c r="G596" s="70" t="s">
        <v>61</v>
      </c>
      <c r="H596" s="70" t="s">
        <v>178</v>
      </c>
      <c r="I596" s="70" t="s">
        <v>216</v>
      </c>
      <c r="J596" s="71">
        <f>IF(OR(I596=0,I596=""),"unrated",VLOOKUP(I596,MappingTables!$B$19:$C$31,2,FALSE))</f>
        <v>0</v>
      </c>
      <c r="K596" s="72">
        <v>735.45280641100912</v>
      </c>
      <c r="L596" s="70">
        <v>0.041094026470233472</v>
      </c>
      <c r="M596" s="71">
        <f>IF(L596&lt;1,1,L596)</f>
        <v>1</v>
      </c>
      <c r="N596" s="70" t="s">
        <v>3288</v>
      </c>
      <c r="O596" s="71">
        <f>IF(OR(I596=$A$1,I596=0),"",IF(N596=MappingTables!$C$14,VLOOKUP(J596,ModelParameters!$M$8:$N$15,2,FALSE),IF(N596=MappingTables!$C$16,VLOOKUP(J596,ModelParameters!$P$8:$Q$15,2,FALSE),0)))</f>
        <v>0.125</v>
      </c>
      <c r="P596" s="73">
        <f>IF(OR(I596=0,I596=$A$1),0,MIN(O596*M596,1)*K596)</f>
        <v>91.931600801376128</v>
      </c>
      <c r="Q596" s="73">
        <f>IF(B596="",0,IF(OR(H596=MappingTables!$C$34,H596=MappingTables!$C$35),P596,0))</f>
        <v>0</v>
      </c>
      <c r="R596" s="73">
        <f>IF(ISNA(IF(AND(VLOOKUP(CONCATENATE($D596,$G596),CSRFinput!$B:$E,4,0)=0,OR(H596=MappingTables!$C$31,H596=MappingTables!$C$32)),1,VLOOKUP(CONCATENATE($D596,$G596),CSRFinput!$B:$E,4,0))),0,IF(AND(VLOOKUP(CONCATENATE($D596,$G596),CSRFinput!$B:$E,4,0)=0,OR(H596=MappingTables!$C$31,H596=MappingTables!$C$32)),1,VLOOKUP(CONCATENATE($D596,$G596),CSRFinput!$B:$E,4,0)))</f>
        <v>0.054776304963434752</v>
      </c>
      <c r="S596" s="73">
        <f>IF(B596="",0,P596*R596)</f>
        <v>5.0356734012729216</v>
      </c>
      <c r="T596" s="85">
        <f>IF(B596="",0,IF(OR(H596=MappingTables!$C$34,H596=MappingTables!$C$35),S596,0))</f>
        <v>0</v>
      </c>
    </row>
    <row r="597" spans="2:20" s="0" customFormat="0" ht="15">
      <c r="B597" s="69" t="s">
        <v>4158</v>
      </c>
      <c r="C597" s="70" t="s">
        <v>4159</v>
      </c>
      <c r="D597" s="70" t="s">
        <v>1</v>
      </c>
      <c r="E597" s="70" t="s">
        <v>1</v>
      </c>
      <c r="F597" s="70"/>
      <c r="G597" s="70" t="s">
        <v>61</v>
      </c>
      <c r="H597" s="70" t="s">
        <v>178</v>
      </c>
      <c r="I597" s="70" t="s">
        <v>3298</v>
      </c>
      <c r="J597" s="71">
        <f>IF(OR(I597=0,I597=""),"unrated",VLOOKUP(I597,MappingTables!$B$19:$C$31,2,FALSE))</f>
        <v>6</v>
      </c>
      <c r="K597" s="72">
        <v>161.81998800612678</v>
      </c>
      <c r="L597" s="70">
        <v>0.95706863914652576</v>
      </c>
      <c r="M597" s="71">
        <f>IF(L597&lt;1,1,L597)</f>
        <v>1</v>
      </c>
      <c r="N597" s="70" t="s">
        <v>3288</v>
      </c>
      <c r="O597" s="71">
        <f>IF(OR(I597=$A$1,I597=0),"",IF(N597=MappingTables!$C$14,VLOOKUP(J597,ModelParameters!$M$8:$N$15,2,FALSE),IF(N597=MappingTables!$C$16,VLOOKUP(J597,ModelParameters!$P$8:$Q$15,2,FALSE),0)))</f>
        <v>1</v>
      </c>
      <c r="P597" s="73">
        <f>IF(OR(I597=0,I597=$A$1),0,MIN(O597*M597,1)*K597)</f>
        <v>161.81998800612678</v>
      </c>
      <c r="Q597" s="73">
        <f>IF(B597="",0,IF(OR(H597=MappingTables!$C$34,H597=MappingTables!$C$35),P597,0))</f>
        <v>0</v>
      </c>
      <c r="R597" s="73">
        <f>IF(ISNA(IF(AND(VLOOKUP(CONCATENATE($D597,$G597),CSRFinput!$B:$E,4,0)=0,OR(H597=MappingTables!$C$31,H597=MappingTables!$C$32)),1,VLOOKUP(CONCATENATE($D597,$G597),CSRFinput!$B:$E,4,0))),0,IF(AND(VLOOKUP(CONCATENATE($D597,$G597),CSRFinput!$B:$E,4,0)=0,OR(H597=MappingTables!$C$31,H597=MappingTables!$C$32)),1,VLOOKUP(CONCATENATE($D597,$G597),CSRFinput!$B:$E,4,0)))</f>
        <v>0.054776304963434752</v>
      </c>
      <c r="S597" s="73">
        <f>IF(B597="",0,P597*R597)</f>
        <v>8.8639010122029552</v>
      </c>
      <c r="T597" s="85">
        <f>IF(B597="",0,IF(OR(H597=MappingTables!$C$34,H597=MappingTables!$C$35),S597,0))</f>
        <v>0</v>
      </c>
    </row>
    <row r="598" spans="2:20" s="0" customFormat="0" ht="15">
      <c r="B598" s="69" t="s">
        <v>4160</v>
      </c>
      <c r="C598" s="70" t="s">
        <v>4161</v>
      </c>
      <c r="D598" s="70" t="s">
        <v>1</v>
      </c>
      <c r="E598" s="70" t="s">
        <v>1</v>
      </c>
      <c r="F598" s="70"/>
      <c r="G598" s="70" t="s">
        <v>61</v>
      </c>
      <c r="H598" s="70" t="s">
        <v>178</v>
      </c>
      <c r="I598" s="70" t="s">
        <v>3291</v>
      </c>
      <c r="J598" s="71">
        <f>IF(OR(I598=0,I598=""),"unrated",VLOOKUP(I598,MappingTables!$B$19:$C$31,2,FALSE))</f>
        <v>6</v>
      </c>
      <c r="K598" s="72">
        <v>371.86325278698184</v>
      </c>
      <c r="L598" s="70">
        <v>0.068495670991821368</v>
      </c>
      <c r="M598" s="71">
        <f>IF(L598&lt;1,1,L598)</f>
        <v>1</v>
      </c>
      <c r="N598" s="70" t="s">
        <v>3288</v>
      </c>
      <c r="O598" s="71">
        <f>IF(OR(I598=$A$1,I598=0),"",IF(N598=MappingTables!$C$14,VLOOKUP(J598,ModelParameters!$M$8:$N$15,2,FALSE),IF(N598=MappingTables!$C$16,VLOOKUP(J598,ModelParameters!$P$8:$Q$15,2,FALSE),0)))</f>
        <v>1</v>
      </c>
      <c r="P598" s="73">
        <f>IF(OR(I598=0,I598=$A$1),0,MIN(O598*M598,1)*K598)</f>
        <v>371.86325278698184</v>
      </c>
      <c r="Q598" s="73">
        <f>IF(B598="",0,IF(OR(H598=MappingTables!$C$34,H598=MappingTables!$C$35),P598,0))</f>
        <v>0</v>
      </c>
      <c r="R598" s="73">
        <f>IF(ISNA(IF(AND(VLOOKUP(CONCATENATE($D598,$G598),CSRFinput!$B:$E,4,0)=0,OR(H598=MappingTables!$C$31,H598=MappingTables!$C$32)),1,VLOOKUP(CONCATENATE($D598,$G598),CSRFinput!$B:$E,4,0))),0,IF(AND(VLOOKUP(CONCATENATE($D598,$G598),CSRFinput!$B:$E,4,0)=0,OR(H598=MappingTables!$C$31,H598=MappingTables!$C$32)),1,VLOOKUP(CONCATENATE($D598,$G598),CSRFinput!$B:$E,4,0)))</f>
        <v>0.054776304963434752</v>
      </c>
      <c r="S598" s="73">
        <f>IF(B598="",0,P598*R598)</f>
        <v>20.369294939354548</v>
      </c>
      <c r="T598" s="85">
        <f>IF(B598="",0,IF(OR(H598=MappingTables!$C$34,H598=MappingTables!$C$35),S598,0))</f>
        <v>0</v>
      </c>
    </row>
    <row r="599" spans="2:20" s="0" customFormat="0" ht="15">
      <c r="B599" s="69" t="s">
        <v>4162</v>
      </c>
      <c r="C599" s="70" t="s">
        <v>4163</v>
      </c>
      <c r="D599" s="70" t="s">
        <v>1</v>
      </c>
      <c r="E599" s="70" t="s">
        <v>1</v>
      </c>
      <c r="F599" s="70"/>
      <c r="G599" s="70" t="s">
        <v>61</v>
      </c>
      <c r="H599" s="70" t="s">
        <v>178</v>
      </c>
      <c r="I599" s="70" t="s">
        <v>3298</v>
      </c>
      <c r="J599" s="71">
        <f>IF(OR(I599=0,I599=""),"unrated",VLOOKUP(I599,MappingTables!$B$19:$C$31,2,FALSE))</f>
        <v>6</v>
      </c>
      <c r="K599" s="72">
        <v>201.80717400192996</v>
      </c>
      <c r="L599" s="70">
        <v>0.068492008349777712</v>
      </c>
      <c r="M599" s="71">
        <f>IF(L599&lt;1,1,L599)</f>
        <v>1</v>
      </c>
      <c r="N599" s="70" t="s">
        <v>3288</v>
      </c>
      <c r="O599" s="71">
        <f>IF(OR(I599=$A$1,I599=0),"",IF(N599=MappingTables!$C$14,VLOOKUP(J599,ModelParameters!$M$8:$N$15,2,FALSE),IF(N599=MappingTables!$C$16,VLOOKUP(J599,ModelParameters!$P$8:$Q$15,2,FALSE),0)))</f>
        <v>1</v>
      </c>
      <c r="P599" s="73">
        <f>IF(OR(I599=0,I599=$A$1),0,MIN(O599*M599,1)*K599)</f>
        <v>201.80717400192996</v>
      </c>
      <c r="Q599" s="73">
        <f>IF(B599="",0,IF(OR(H599=MappingTables!$C$34,H599=MappingTables!$C$35),P599,0))</f>
        <v>0</v>
      </c>
      <c r="R599" s="73">
        <f>IF(ISNA(IF(AND(VLOOKUP(CONCATENATE($D599,$G599),CSRFinput!$B:$E,4,0)=0,OR(H599=MappingTables!$C$31,H599=MappingTables!$C$32)),1,VLOOKUP(CONCATENATE($D599,$G599),CSRFinput!$B:$E,4,0))),0,IF(AND(VLOOKUP(CONCATENATE($D599,$G599),CSRFinput!$B:$E,4,0)=0,OR(H599=MappingTables!$C$31,H599=MappingTables!$C$32)),1,VLOOKUP(CONCATENATE($D599,$G599),CSRFinput!$B:$E,4,0)))</f>
        <v>0.054776304963434752</v>
      </c>
      <c r="S599" s="73">
        <f>IF(B599="",0,P599*R599)</f>
        <v>11.054251306938658</v>
      </c>
      <c r="T599" s="85">
        <f>IF(B599="",0,IF(OR(H599=MappingTables!$C$34,H599=MappingTables!$C$35),S599,0))</f>
        <v>0</v>
      </c>
    </row>
    <row r="600" spans="2:20" s="0" customFormat="0" ht="15">
      <c r="B600" s="69" t="s">
        <v>3631</v>
      </c>
      <c r="C600" s="70" t="s">
        <v>3632</v>
      </c>
      <c r="D600" s="70" t="s">
        <v>1</v>
      </c>
      <c r="E600" s="70" t="s">
        <v>1</v>
      </c>
      <c r="F600" s="70"/>
      <c r="G600" s="70" t="s">
        <v>61</v>
      </c>
      <c r="H600" s="70" t="s">
        <v>178</v>
      </c>
      <c r="I600" s="70" t="s">
        <v>188</v>
      </c>
      <c r="J600" s="71">
        <f>IF(OR(I600=0,I600=""),"unrated",VLOOKUP(I600,MappingTables!$B$19:$C$31,2,FALSE))</f>
        <v>2</v>
      </c>
      <c r="K600" s="72">
        <v>1189.3527428608406</v>
      </c>
      <c r="L600" s="70">
        <v>0.06849313864975376</v>
      </c>
      <c r="M600" s="71">
        <f>IF(L600&lt;1,1,L600)</f>
        <v>1</v>
      </c>
      <c r="N600" s="70" t="s">
        <v>3288</v>
      </c>
      <c r="O600" s="71">
        <f>IF(OR(I600=$A$1,I600=0),"",IF(N600=MappingTables!$C$14,VLOOKUP(J600,ModelParameters!$M$8:$N$15,2,FALSE),IF(N600=MappingTables!$C$16,VLOOKUP(J600,ModelParameters!$P$8:$Q$15,2,FALSE),0)))</f>
        <v>0.166</v>
      </c>
      <c r="P600" s="73">
        <f>IF(OR(I600=0,I600=$A$1),0,MIN(O600*M600,1)*K600)</f>
        <v>197.43255531489956</v>
      </c>
      <c r="Q600" s="73">
        <f>IF(B600="",0,IF(OR(H600=MappingTables!$C$34,H600=MappingTables!$C$35),P600,0))</f>
        <v>0</v>
      </c>
      <c r="R600" s="73">
        <f>IF(ISNA(IF(AND(VLOOKUP(CONCATENATE($D600,$G600),CSRFinput!$B:$E,4,0)=0,OR(H600=MappingTables!$C$31,H600=MappingTables!$C$32)),1,VLOOKUP(CONCATENATE($D600,$G600),CSRFinput!$B:$E,4,0))),0,IF(AND(VLOOKUP(CONCATENATE($D600,$G600),CSRFinput!$B:$E,4,0)=0,OR(H600=MappingTables!$C$31,H600=MappingTables!$C$32)),1,VLOOKUP(CONCATENATE($D600,$G600),CSRFinput!$B:$E,4,0)))</f>
        <v>0.054776304963434752</v>
      </c>
      <c r="S600" s="73">
        <f>IF(B600="",0,P600*R600)</f>
        <v>10.81462585963914</v>
      </c>
      <c r="T600" s="85">
        <f>IF(B600="",0,IF(OR(H600=MappingTables!$C$34,H600=MappingTables!$C$35),S600,0))</f>
        <v>0</v>
      </c>
    </row>
    <row r="601" spans="2:20" s="0" customFormat="0" ht="15">
      <c r="B601" s="69" t="s">
        <v>3705</v>
      </c>
      <c r="C601" s="70" t="s">
        <v>3706</v>
      </c>
      <c r="D601" s="70" t="s">
        <v>1</v>
      </c>
      <c r="E601" s="70" t="s">
        <v>1</v>
      </c>
      <c r="F601" s="70"/>
      <c r="G601" s="70" t="s">
        <v>61</v>
      </c>
      <c r="H601" s="70" t="s">
        <v>178</v>
      </c>
      <c r="I601" s="70" t="s">
        <v>198</v>
      </c>
      <c r="J601" s="71" t="str">
        <f>IF(OR(I601=0,I601=""),"unrated",VLOOKUP(I601,MappingTables!$B$19:$C$31,2,FALSE))</f>
        <v>unrated</v>
      </c>
      <c r="K601" s="72">
        <v>179.68616322317974</v>
      </c>
      <c r="L601" s="70">
        <v>-1.4756085286026402</v>
      </c>
      <c r="M601" s="71">
        <f>IF(L601&lt;1,1,L601)</f>
        <v>1</v>
      </c>
      <c r="N601" s="70" t="s">
        <v>3288</v>
      </c>
      <c r="O601" s="71">
        <f>IF(OR(I601=$A$1,I601=0),"",IF(N601=MappingTables!$C$14,VLOOKUP(J601,ModelParameters!$M$8:$N$15,2,FALSE),IF(N601=MappingTables!$C$16,VLOOKUP(J601,ModelParameters!$P$8:$Q$15,2,FALSE),0)))</f>
        <v>1</v>
      </c>
      <c r="P601" s="73">
        <f>IF(OR(I601=0,I601=$A$1),0,MIN(O601*M601,1)*K601)</f>
        <v>179.68616322317974</v>
      </c>
      <c r="Q601" s="73">
        <f>IF(B601="",0,IF(OR(H601=MappingTables!$C$34,H601=MappingTables!$C$35),P601,0))</f>
        <v>0</v>
      </c>
      <c r="R601" s="73">
        <f>IF(ISNA(IF(AND(VLOOKUP(CONCATENATE($D601,$G601),CSRFinput!$B:$E,4,0)=0,OR(H601=MappingTables!$C$31,H601=MappingTables!$C$32)),1,VLOOKUP(CONCATENATE($D601,$G601),CSRFinput!$B:$E,4,0))),0,IF(AND(VLOOKUP(CONCATENATE($D601,$G601),CSRFinput!$B:$E,4,0)=0,OR(H601=MappingTables!$C$31,H601=MappingTables!$C$32)),1,VLOOKUP(CONCATENATE($D601,$G601),CSRFinput!$B:$E,4,0)))</f>
        <v>0.054776304963434752</v>
      </c>
      <c r="S601" s="73">
        <f>IF(B601="",0,P601*R601)</f>
        <v>9.842544074422408</v>
      </c>
      <c r="T601" s="85">
        <f>IF(B601="",0,IF(OR(H601=MappingTables!$C$34,H601=MappingTables!$C$35),S601,0))</f>
        <v>0</v>
      </c>
    </row>
    <row r="602" spans="2:20" s="0" customFormat="0" ht="15">
      <c r="B602" s="69" t="s">
        <v>4164</v>
      </c>
      <c r="C602" s="70" t="s">
        <v>4165</v>
      </c>
      <c r="D602" s="70" t="s">
        <v>1</v>
      </c>
      <c r="E602" s="70" t="s">
        <v>1</v>
      </c>
      <c r="F602" s="70"/>
      <c r="G602" s="70" t="s">
        <v>61</v>
      </c>
      <c r="H602" s="70" t="s">
        <v>178</v>
      </c>
      <c r="I602" s="70" t="s">
        <v>198</v>
      </c>
      <c r="J602" s="71" t="str">
        <f>IF(OR(I602=0,I602=""),"unrated",VLOOKUP(I602,MappingTables!$B$19:$C$31,2,FALSE))</f>
        <v>unrated</v>
      </c>
      <c r="K602" s="72">
        <v>78.662664852287328</v>
      </c>
      <c r="L602" s="70">
        <v>0.068492023100297824</v>
      </c>
      <c r="M602" s="71">
        <f>IF(L602&lt;1,1,L602)</f>
        <v>1</v>
      </c>
      <c r="N602" s="70" t="s">
        <v>3288</v>
      </c>
      <c r="O602" s="71">
        <f>IF(OR(I602=$A$1,I602=0),"",IF(N602=MappingTables!$C$14,VLOOKUP(J602,ModelParameters!$M$8:$N$15,2,FALSE),IF(N602=MappingTables!$C$16,VLOOKUP(J602,ModelParameters!$P$8:$Q$15,2,FALSE),0)))</f>
        <v>1</v>
      </c>
      <c r="P602" s="73">
        <f>IF(OR(I602=0,I602=$A$1),0,MIN(O602*M602,1)*K602)</f>
        <v>78.662664852287328</v>
      </c>
      <c r="Q602" s="73">
        <f>IF(B602="",0,IF(OR(H602=MappingTables!$C$34,H602=MappingTables!$C$35),P602,0))</f>
        <v>0</v>
      </c>
      <c r="R602" s="73">
        <f>IF(ISNA(IF(AND(VLOOKUP(CONCATENATE($D602,$G602),CSRFinput!$B:$E,4,0)=0,OR(H602=MappingTables!$C$31,H602=MappingTables!$C$32)),1,VLOOKUP(CONCATENATE($D602,$G602),CSRFinput!$B:$E,4,0))),0,IF(AND(VLOOKUP(CONCATENATE($D602,$G602),CSRFinput!$B:$E,4,0)=0,OR(H602=MappingTables!$C$31,H602=MappingTables!$C$32)),1,VLOOKUP(CONCATENATE($D602,$G602),CSRFinput!$B:$E,4,0)))</f>
        <v>0.054776304963434752</v>
      </c>
      <c r="S602" s="73">
        <f>IF(B602="",0,P602*R602)</f>
        <v>4.3088501191853512</v>
      </c>
      <c r="T602" s="85">
        <f>IF(B602="",0,IF(OR(H602=MappingTables!$C$34,H602=MappingTables!$C$35),S602,0))</f>
        <v>0</v>
      </c>
    </row>
    <row r="603" spans="2:20" s="0" customFormat="0" ht="15">
      <c r="B603" s="69" t="s">
        <v>4166</v>
      </c>
      <c r="C603" s="70" t="s">
        <v>4167</v>
      </c>
      <c r="D603" s="70" t="s">
        <v>1</v>
      </c>
      <c r="E603" s="70" t="s">
        <v>1</v>
      </c>
      <c r="F603" s="70"/>
      <c r="G603" s="70" t="s">
        <v>61</v>
      </c>
      <c r="H603" s="70" t="s">
        <v>178</v>
      </c>
      <c r="I603" s="70" t="s">
        <v>184</v>
      </c>
      <c r="J603" s="71">
        <f>IF(OR(I603=0,I603=""),"unrated",VLOOKUP(I603,MappingTables!$B$19:$C$31,2,FALSE))</f>
        <v>5</v>
      </c>
      <c r="K603" s="72">
        <v>196.55110796660976</v>
      </c>
      <c r="L603" s="70">
        <v>0.068494535960719968</v>
      </c>
      <c r="M603" s="71">
        <f>IF(L603&lt;1,1,L603)</f>
        <v>1</v>
      </c>
      <c r="N603" s="70" t="s">
        <v>3288</v>
      </c>
      <c r="O603" s="71">
        <f>IF(OR(I603=$A$1,I603=0),"",IF(N603=MappingTables!$C$14,VLOOKUP(J603,ModelParameters!$M$8:$N$15,2,FALSE),IF(N603=MappingTables!$C$16,VLOOKUP(J603,ModelParameters!$P$8:$Q$15,2,FALSE),0)))</f>
        <v>1</v>
      </c>
      <c r="P603" s="73">
        <f>IF(OR(I603=0,I603=$A$1),0,MIN(O603*M603,1)*K603)</f>
        <v>196.55110796660976</v>
      </c>
      <c r="Q603" s="73">
        <f>IF(B603="",0,IF(OR(H603=MappingTables!$C$34,H603=MappingTables!$C$35),P603,0))</f>
        <v>0</v>
      </c>
      <c r="R603" s="73">
        <f>IF(ISNA(IF(AND(VLOOKUP(CONCATENATE($D603,$G603),CSRFinput!$B:$E,4,0)=0,OR(H603=MappingTables!$C$31,H603=MappingTables!$C$32)),1,VLOOKUP(CONCATENATE($D603,$G603),CSRFinput!$B:$E,4,0))),0,IF(AND(VLOOKUP(CONCATENATE($D603,$G603),CSRFinput!$B:$E,4,0)=0,OR(H603=MappingTables!$C$31,H603=MappingTables!$C$32)),1,VLOOKUP(CONCATENATE($D603,$G603),CSRFinput!$B:$E,4,0)))</f>
        <v>0.054776304963434752</v>
      </c>
      <c r="S603" s="73">
        <f>IF(B603="",0,P603*R603)</f>
        <v>10.766343430880006</v>
      </c>
      <c r="T603" s="85">
        <f>IF(B603="",0,IF(OR(H603=MappingTables!$C$34,H603=MappingTables!$C$35),S603,0))</f>
        <v>0</v>
      </c>
    </row>
    <row r="604" spans="2:20" s="0" customFormat="0" ht="15">
      <c r="B604" s="69">
        <v>13166841</v>
      </c>
      <c r="C604" s="70" t="s">
        <v>3540</v>
      </c>
      <c r="D604" s="70" t="s">
        <v>1</v>
      </c>
      <c r="E604" s="70" t="s">
        <v>1</v>
      </c>
      <c r="F604" s="70"/>
      <c r="G604" s="70" t="s">
        <v>61</v>
      </c>
      <c r="H604" s="70" t="s">
        <v>178</v>
      </c>
      <c r="I604" s="70" t="s">
        <v>204</v>
      </c>
      <c r="J604" s="71">
        <f>IF(OR(I604=0,I604=""),"unrated",VLOOKUP(I604,MappingTables!$B$19:$C$31,2,FALSE))</f>
        <v>6</v>
      </c>
      <c r="K604" s="72">
        <v>590.901413576076</v>
      </c>
      <c r="L604" s="70">
        <v>0.068490620603304464</v>
      </c>
      <c r="M604" s="71">
        <f>IF(L604&lt;1,1,L604)</f>
        <v>1</v>
      </c>
      <c r="N604" s="70" t="s">
        <v>3288</v>
      </c>
      <c r="O604" s="71">
        <f>IF(OR(I604=$A$1,I604=0),"",IF(N604=MappingTables!$C$14,VLOOKUP(J604,ModelParameters!$M$8:$N$15,2,FALSE),IF(N604=MappingTables!$C$16,VLOOKUP(J604,ModelParameters!$P$8:$Q$15,2,FALSE),0)))</f>
        <v>1</v>
      </c>
      <c r="P604" s="73">
        <f>IF(OR(I604=0,I604=$A$1),0,MIN(O604*M604,1)*K604)</f>
        <v>590.901413576076</v>
      </c>
      <c r="Q604" s="73">
        <f>IF(B604="",0,IF(OR(H604=MappingTables!$C$34,H604=MappingTables!$C$35),P604,0))</f>
        <v>0</v>
      </c>
      <c r="R604" s="73">
        <f>IF(ISNA(IF(AND(VLOOKUP(CONCATENATE($D604,$G604),CSRFinput!$B:$E,4,0)=0,OR(H604=MappingTables!$C$31,H604=MappingTables!$C$32)),1,VLOOKUP(CONCATENATE($D604,$G604),CSRFinput!$B:$E,4,0))),0,IF(AND(VLOOKUP(CONCATENATE($D604,$G604),CSRFinput!$B:$E,4,0)=0,OR(H604=MappingTables!$C$31,H604=MappingTables!$C$32)),1,VLOOKUP(CONCATENATE($D604,$G604),CSRFinput!$B:$E,4,0)))</f>
        <v>0.054776304963434752</v>
      </c>
      <c r="S604" s="73">
        <f>IF(B604="",0,P604*R604)</f>
        <v>32.367396033367824</v>
      </c>
      <c r="T604" s="85">
        <f>IF(B604="",0,IF(OR(H604=MappingTables!$C$34,H604=MappingTables!$C$35),S604,0))</f>
        <v>0</v>
      </c>
    </row>
    <row r="605" spans="2:20" s="0" customFormat="0" ht="15">
      <c r="B605" s="69">
        <v>22554319</v>
      </c>
      <c r="C605" s="70" t="s">
        <v>4168</v>
      </c>
      <c r="D605" s="70" t="s">
        <v>1</v>
      </c>
      <c r="E605" s="70" t="s">
        <v>1</v>
      </c>
      <c r="F605" s="70"/>
      <c r="G605" s="70" t="s">
        <v>61</v>
      </c>
      <c r="H605" s="70" t="s">
        <v>178</v>
      </c>
      <c r="I605" s="70" t="s">
        <v>216</v>
      </c>
      <c r="J605" s="71">
        <f>IF(OR(I605=0,I605=""),"unrated",VLOOKUP(I605,MappingTables!$B$19:$C$31,2,FALSE))</f>
        <v>0</v>
      </c>
      <c r="K605" s="72">
        <v>5.7137144620596312</v>
      </c>
      <c r="L605" s="70">
        <v>0.072466398682515712</v>
      </c>
      <c r="M605" s="71">
        <f>IF(L605&lt;1,1,L605)</f>
        <v>1</v>
      </c>
      <c r="N605" s="70" t="s">
        <v>3288</v>
      </c>
      <c r="O605" s="71">
        <f>IF(OR(I605=$A$1,I605=0),"",IF(N605=MappingTables!$C$14,VLOOKUP(J605,ModelParameters!$M$8:$N$15,2,FALSE),IF(N605=MappingTables!$C$16,VLOOKUP(J605,ModelParameters!$P$8:$Q$15,2,FALSE),0)))</f>
        <v>0.125</v>
      </c>
      <c r="P605" s="73">
        <f>IF(OR(I605=0,I605=$A$1),0,MIN(O605*M605,1)*K605)</f>
        <v>0.71421430775745384</v>
      </c>
      <c r="Q605" s="73">
        <f>IF(B605="",0,IF(OR(H605=MappingTables!$C$34,H605=MappingTables!$C$35),P605,0))</f>
        <v>0</v>
      </c>
      <c r="R605" s="73">
        <f>IF(ISNA(IF(AND(VLOOKUP(CONCATENATE($D605,$G605),CSRFinput!$B:$E,4,0)=0,OR(H605=MappingTables!$C$31,H605=MappingTables!$C$32)),1,VLOOKUP(CONCATENATE($D605,$G605),CSRFinput!$B:$E,4,0))),0,IF(AND(VLOOKUP(CONCATENATE($D605,$G605),CSRFinput!$B:$E,4,0)=0,OR(H605=MappingTables!$C$31,H605=MappingTables!$C$32)),1,VLOOKUP(CONCATENATE($D605,$G605),CSRFinput!$B:$E,4,0)))</f>
        <v>0.054776304963434752</v>
      </c>
      <c r="S605" s="73">
        <f>IF(B605="",0,P605*R605)</f>
        <v>0.039122020730970736</v>
      </c>
      <c r="T605" s="85">
        <f>IF(B605="",0,IF(OR(H605=MappingTables!$C$34,H605=MappingTables!$C$35),S605,0))</f>
        <v>0</v>
      </c>
    </row>
    <row r="606" spans="2:20" s="0" customFormat="0" ht="15">
      <c r="B606" s="69" t="s">
        <v>4169</v>
      </c>
      <c r="C606" s="70" t="s">
        <v>4170</v>
      </c>
      <c r="D606" s="70" t="s">
        <v>1</v>
      </c>
      <c r="E606" s="70" t="s">
        <v>1</v>
      </c>
      <c r="F606" s="70"/>
      <c r="G606" s="70" t="s">
        <v>61</v>
      </c>
      <c r="H606" s="70" t="s">
        <v>178</v>
      </c>
      <c r="I606" s="70" t="s">
        <v>184</v>
      </c>
      <c r="J606" s="71">
        <f>IF(OR(I606=0,I606=""),"unrated",VLOOKUP(I606,MappingTables!$B$19:$C$31,2,FALSE))</f>
        <v>5</v>
      </c>
      <c r="K606" s="72">
        <v>467.5626632810976</v>
      </c>
      <c r="L606" s="70">
        <v>0.068493322124578176</v>
      </c>
      <c r="M606" s="71">
        <f>IF(L606&lt;1,1,L606)</f>
        <v>1</v>
      </c>
      <c r="N606" s="70" t="s">
        <v>3288</v>
      </c>
      <c r="O606" s="71">
        <f>IF(OR(I606=$A$1,I606=0),"",IF(N606=MappingTables!$C$14,VLOOKUP(J606,ModelParameters!$M$8:$N$15,2,FALSE),IF(N606=MappingTables!$C$16,VLOOKUP(J606,ModelParameters!$P$8:$Q$15,2,FALSE),0)))</f>
        <v>1</v>
      </c>
      <c r="P606" s="73">
        <f>IF(OR(I606=0,I606=$A$1),0,MIN(O606*M606,1)*K606)</f>
        <v>467.5626632810976</v>
      </c>
      <c r="Q606" s="73">
        <f>IF(B606="",0,IF(OR(H606=MappingTables!$C$34,H606=MappingTables!$C$35),P606,0))</f>
        <v>0</v>
      </c>
      <c r="R606" s="73">
        <f>IF(ISNA(IF(AND(VLOOKUP(CONCATENATE($D606,$G606),CSRFinput!$B:$E,4,0)=0,OR(H606=MappingTables!$C$31,H606=MappingTables!$C$32)),1,VLOOKUP(CONCATENATE($D606,$G606),CSRFinput!$B:$E,4,0))),0,IF(AND(VLOOKUP(CONCATENATE($D606,$G606),CSRFinput!$B:$E,4,0)=0,OR(H606=MappingTables!$C$31,H606=MappingTables!$C$32)),1,VLOOKUP(CONCATENATE($D606,$G606),CSRFinput!$B:$E,4,0)))</f>
        <v>0.054776304963434752</v>
      </c>
      <c r="S606" s="73">
        <f>IF(B606="",0,P606*R606)</f>
        <v>25.61135503340116</v>
      </c>
      <c r="T606" s="85">
        <f>IF(B606="",0,IF(OR(H606=MappingTables!$C$34,H606=MappingTables!$C$35),S606,0))</f>
        <v>0</v>
      </c>
    </row>
    <row r="607" spans="2:20" s="0" customFormat="0" ht="15">
      <c r="B607" s="69" t="s">
        <v>4171</v>
      </c>
      <c r="C607" s="70" t="s">
        <v>4172</v>
      </c>
      <c r="D607" s="70" t="s">
        <v>1</v>
      </c>
      <c r="E607" s="70" t="s">
        <v>1</v>
      </c>
      <c r="F607" s="70"/>
      <c r="G607" s="70" t="s">
        <v>61</v>
      </c>
      <c r="H607" s="70" t="s">
        <v>178</v>
      </c>
      <c r="I607" s="70" t="s">
        <v>181</v>
      </c>
      <c r="J607" s="71">
        <f>IF(OR(I607=0,I607=""),"unrated",VLOOKUP(I607,MappingTables!$B$19:$C$31,2,FALSE))</f>
        <v>3</v>
      </c>
      <c r="K607" s="72">
        <v>354.07081934856432</v>
      </c>
      <c r="L607" s="70">
        <v>0.068496389344780976</v>
      </c>
      <c r="M607" s="71">
        <f>IF(L607&lt;1,1,L607)</f>
        <v>1</v>
      </c>
      <c r="N607" s="70" t="s">
        <v>3288</v>
      </c>
      <c r="O607" s="71">
        <f>IF(OR(I607=$A$1,I607=0),"",IF(N607=MappingTables!$C$14,VLOOKUP(J607,ModelParameters!$M$8:$N$15,2,FALSE),IF(N607=MappingTables!$C$16,VLOOKUP(J607,ModelParameters!$P$8:$Q$15,2,FALSE),0)))</f>
        <v>0.197</v>
      </c>
      <c r="P607" s="73">
        <f>IF(OR(I607=0,I607=$A$1),0,MIN(O607*M607,1)*K607)</f>
        <v>69.751951411667168</v>
      </c>
      <c r="Q607" s="73">
        <f>IF(B607="",0,IF(OR(H607=MappingTables!$C$34,H607=MappingTables!$C$35),P607,0))</f>
        <v>0</v>
      </c>
      <c r="R607" s="73">
        <f>IF(ISNA(IF(AND(VLOOKUP(CONCATENATE($D607,$G607),CSRFinput!$B:$E,4,0)=0,OR(H607=MappingTables!$C$31,H607=MappingTables!$C$32)),1,VLOOKUP(CONCATENATE($D607,$G607),CSRFinput!$B:$E,4,0))),0,IF(AND(VLOOKUP(CONCATENATE($D607,$G607),CSRFinput!$B:$E,4,0)=0,OR(H607=MappingTables!$C$31,H607=MappingTables!$C$32)),1,VLOOKUP(CONCATENATE($D607,$G607),CSRFinput!$B:$E,4,0)))</f>
        <v>0.054776304963434752</v>
      </c>
      <c r="S607" s="73">
        <f>IF(B607="",0,P607*R607)</f>
        <v>3.820754162320164</v>
      </c>
      <c r="T607" s="85">
        <f>IF(B607="",0,IF(OR(H607=MappingTables!$C$34,H607=MappingTables!$C$35),S607,0))</f>
        <v>0</v>
      </c>
    </row>
    <row r="608" spans="2:20" s="0" customFormat="0" ht="15">
      <c r="B608" s="69" t="s">
        <v>3866</v>
      </c>
      <c r="C608" s="70" t="s">
        <v>3867</v>
      </c>
      <c r="D608" s="70" t="s">
        <v>1</v>
      </c>
      <c r="E608" s="70" t="s">
        <v>1</v>
      </c>
      <c r="F608" s="70"/>
      <c r="G608" s="70" t="s">
        <v>61</v>
      </c>
      <c r="H608" s="70" t="s">
        <v>178</v>
      </c>
      <c r="I608" s="70" t="s">
        <v>198</v>
      </c>
      <c r="J608" s="71" t="str">
        <f>IF(OR(I608=0,I608=""),"unrated",VLOOKUP(I608,MappingTables!$B$19:$C$31,2,FALSE))</f>
        <v>unrated</v>
      </c>
      <c r="K608" s="72">
        <v>122.83964122310214</v>
      </c>
      <c r="L608" s="70">
        <v>9.7484624468117888</v>
      </c>
      <c r="M608" s="71">
        <f>IF(L608&lt;1,1,L608)</f>
        <v>9.7484624468117888</v>
      </c>
      <c r="N608" s="70" t="s">
        <v>3288</v>
      </c>
      <c r="O608" s="71">
        <f>IF(OR(I608=$A$1,I608=0),"",IF(N608=MappingTables!$C$14,VLOOKUP(J608,ModelParameters!$M$8:$N$15,2,FALSE),IF(N608=MappingTables!$C$16,VLOOKUP(J608,ModelParameters!$P$8:$Q$15,2,FALSE),0)))</f>
        <v>1</v>
      </c>
      <c r="P608" s="73">
        <f>IF(OR(I608=0,I608=$A$1),0,MIN(O608*M608,1)*K608)</f>
        <v>122.83964122310214</v>
      </c>
      <c r="Q608" s="73">
        <f>IF(B608="",0,IF(OR(H608=MappingTables!$C$34,H608=MappingTables!$C$35),P608,0))</f>
        <v>0</v>
      </c>
      <c r="R608" s="73">
        <f>IF(ISNA(IF(AND(VLOOKUP(CONCATENATE($D608,$G608),CSRFinput!$B:$E,4,0)=0,OR(H608=MappingTables!$C$31,H608=MappingTables!$C$32)),1,VLOOKUP(CONCATENATE($D608,$G608),CSRFinput!$B:$E,4,0))),0,IF(AND(VLOOKUP(CONCATENATE($D608,$G608),CSRFinput!$B:$E,4,0)=0,OR(H608=MappingTables!$C$31,H608=MappingTables!$C$32)),1,VLOOKUP(CONCATENATE($D608,$G608),CSRFinput!$B:$E,4,0)))</f>
        <v>0.054776304963434752</v>
      </c>
      <c r="S608" s="73">
        <f>IF(B608="",0,P608*R608)</f>
        <v>6.7287016492355536</v>
      </c>
      <c r="T608" s="85">
        <f>IF(B608="",0,IF(OR(H608=MappingTables!$C$34,H608=MappingTables!$C$35),S608,0))</f>
        <v>0</v>
      </c>
    </row>
    <row r="609" spans="2:20" s="0" customFormat="0" ht="15">
      <c r="B609" s="69" t="s">
        <v>4173</v>
      </c>
      <c r="C609" s="70" t="s">
        <v>4174</v>
      </c>
      <c r="D609" s="70" t="s">
        <v>1</v>
      </c>
      <c r="E609" s="70" t="s">
        <v>1</v>
      </c>
      <c r="F609" s="70"/>
      <c r="G609" s="70" t="s">
        <v>61</v>
      </c>
      <c r="H609" s="70" t="s">
        <v>178</v>
      </c>
      <c r="I609" s="70" t="s">
        <v>198</v>
      </c>
      <c r="J609" s="71" t="str">
        <f>IF(OR(I609=0,I609=""),"unrated",VLOOKUP(I609,MappingTables!$B$19:$C$31,2,FALSE))</f>
        <v>unrated</v>
      </c>
      <c r="K609" s="72">
        <v>2044.26262536749</v>
      </c>
      <c r="L609" s="70">
        <v>8.9818139508579904</v>
      </c>
      <c r="M609" s="71">
        <f>IF(L609&lt;1,1,L609)</f>
        <v>8.9818139508579904</v>
      </c>
      <c r="N609" s="70" t="s">
        <v>3288</v>
      </c>
      <c r="O609" s="71">
        <f>IF(OR(I609=$A$1,I609=0),"",IF(N609=MappingTables!$C$14,VLOOKUP(J609,ModelParameters!$M$8:$N$15,2,FALSE),IF(N609=MappingTables!$C$16,VLOOKUP(J609,ModelParameters!$P$8:$Q$15,2,FALSE),0)))</f>
        <v>1</v>
      </c>
      <c r="P609" s="73">
        <f>IF(OR(I609=0,I609=$A$1),0,MIN(O609*M609,1)*K609)</f>
        <v>2044.26262536749</v>
      </c>
      <c r="Q609" s="73">
        <f>IF(B609="",0,IF(OR(H609=MappingTables!$C$34,H609=MappingTables!$C$35),P609,0))</f>
        <v>0</v>
      </c>
      <c r="R609" s="73">
        <f>IF(ISNA(IF(AND(VLOOKUP(CONCATENATE($D609,$G609),CSRFinput!$B:$E,4,0)=0,OR(H609=MappingTables!$C$31,H609=MappingTables!$C$32)),1,VLOOKUP(CONCATENATE($D609,$G609),CSRFinput!$B:$E,4,0))),0,IF(AND(VLOOKUP(CONCATENATE($D609,$G609),CSRFinput!$B:$E,4,0)=0,OR(H609=MappingTables!$C$31,H609=MappingTables!$C$32)),1,VLOOKUP(CONCATENATE($D609,$G609),CSRFinput!$B:$E,4,0)))</f>
        <v>0.054776304963434752</v>
      </c>
      <c r="S609" s="73">
        <f>IF(B609="",0,P609*R609)</f>
        <v>111.9771529924814</v>
      </c>
      <c r="T609" s="85">
        <f>IF(B609="",0,IF(OR(H609=MappingTables!$C$34,H609=MappingTables!$C$35),S609,0))</f>
        <v>0</v>
      </c>
    </row>
    <row r="610" spans="2:20" s="0" customFormat="0" ht="15">
      <c r="B610" s="69" t="s">
        <v>4175</v>
      </c>
      <c r="C610" s="70" t="s">
        <v>4176</v>
      </c>
      <c r="D610" s="70" t="s">
        <v>1</v>
      </c>
      <c r="E610" s="70" t="s">
        <v>1</v>
      </c>
      <c r="F610" s="70"/>
      <c r="G610" s="70" t="s">
        <v>61</v>
      </c>
      <c r="H610" s="70" t="s">
        <v>178</v>
      </c>
      <c r="I610" s="70" t="s">
        <v>204</v>
      </c>
      <c r="J610" s="71">
        <f>IF(OR(I610=0,I610=""),"unrated",VLOOKUP(I610,MappingTables!$B$19:$C$31,2,FALSE))</f>
        <v>6</v>
      </c>
      <c r="K610" s="72">
        <v>1778.9122649952276</v>
      </c>
      <c r="L610" s="70">
        <v>0.040861425619986808</v>
      </c>
      <c r="M610" s="71">
        <f>IF(L610&lt;1,1,L610)</f>
        <v>1</v>
      </c>
      <c r="N610" s="70" t="s">
        <v>3288</v>
      </c>
      <c r="O610" s="71">
        <f>IF(OR(I610=$A$1,I610=0),"",IF(N610=MappingTables!$C$14,VLOOKUP(J610,ModelParameters!$M$8:$N$15,2,FALSE),IF(N610=MappingTables!$C$16,VLOOKUP(J610,ModelParameters!$P$8:$Q$15,2,FALSE),0)))</f>
        <v>1</v>
      </c>
      <c r="P610" s="73">
        <f>IF(OR(I610=0,I610=$A$1),0,MIN(O610*M610,1)*K610)</f>
        <v>1778.9122649952276</v>
      </c>
      <c r="Q610" s="73">
        <f>IF(B610="",0,IF(OR(H610=MappingTables!$C$34,H610=MappingTables!$C$35),P610,0))</f>
        <v>0</v>
      </c>
      <c r="R610" s="73">
        <f>IF(ISNA(IF(AND(VLOOKUP(CONCATENATE($D610,$G610),CSRFinput!$B:$E,4,0)=0,OR(H610=MappingTables!$C$31,H610=MappingTables!$C$32)),1,VLOOKUP(CONCATENATE($D610,$G610),CSRFinput!$B:$E,4,0))),0,IF(AND(VLOOKUP(CONCATENATE($D610,$G610),CSRFinput!$B:$E,4,0)=0,OR(H610=MappingTables!$C$31,H610=MappingTables!$C$32)),1,VLOOKUP(CONCATENATE($D610,$G610),CSRFinput!$B:$E,4,0)))</f>
        <v>0.054776304963434752</v>
      </c>
      <c r="S610" s="73">
        <f>IF(B610="",0,P610*R610)</f>
        <v>97.44224073057304</v>
      </c>
      <c r="T610" s="85">
        <f>IF(B610="",0,IF(OR(H610=MappingTables!$C$34,H610=MappingTables!$C$35),S610,0))</f>
        <v>0</v>
      </c>
    </row>
    <row r="611" spans="2:20" s="0" customFormat="0" ht="15">
      <c r="B611" s="69">
        <v>1929203</v>
      </c>
      <c r="C611" s="70" t="s">
        <v>4177</v>
      </c>
      <c r="D611" s="70" t="s">
        <v>1</v>
      </c>
      <c r="E611" s="70" t="s">
        <v>1</v>
      </c>
      <c r="F611" s="70"/>
      <c r="G611" s="70" t="s">
        <v>61</v>
      </c>
      <c r="H611" s="70" t="s">
        <v>178</v>
      </c>
      <c r="I611" s="70" t="s">
        <v>216</v>
      </c>
      <c r="J611" s="71">
        <f>IF(OR(I611=0,I611=""),"unrated",VLOOKUP(I611,MappingTables!$B$19:$C$31,2,FALSE))</f>
        <v>0</v>
      </c>
      <c r="K611" s="72">
        <v>59.34905467450828</v>
      </c>
      <c r="L611" s="70">
        <v>0.068485405062156776</v>
      </c>
      <c r="M611" s="71">
        <f>IF(L611&lt;1,1,L611)</f>
        <v>1</v>
      </c>
      <c r="N611" s="70" t="s">
        <v>3288</v>
      </c>
      <c r="O611" s="71">
        <f>IF(OR(I611=$A$1,I611=0),"",IF(N611=MappingTables!$C$14,VLOOKUP(J611,ModelParameters!$M$8:$N$15,2,FALSE),IF(N611=MappingTables!$C$16,VLOOKUP(J611,ModelParameters!$P$8:$Q$15,2,FALSE),0)))</f>
        <v>0.125</v>
      </c>
      <c r="P611" s="73">
        <f>IF(OR(I611=0,I611=$A$1),0,MIN(O611*M611,1)*K611)</f>
        <v>7.4186318343135344</v>
      </c>
      <c r="Q611" s="73">
        <f>IF(B611="",0,IF(OR(H611=MappingTables!$C$34,H611=MappingTables!$C$35),P611,0))</f>
        <v>0</v>
      </c>
      <c r="R611" s="73">
        <f>IF(ISNA(IF(AND(VLOOKUP(CONCATENATE($D611,$G611),CSRFinput!$B:$E,4,0)=0,OR(H611=MappingTables!$C$31,H611=MappingTables!$C$32)),1,VLOOKUP(CONCATENATE($D611,$G611),CSRFinput!$B:$E,4,0))),0,IF(AND(VLOOKUP(CONCATENATE($D611,$G611),CSRFinput!$B:$E,4,0)=0,OR(H611=MappingTables!$C$31,H611=MappingTables!$C$32)),1,VLOOKUP(CONCATENATE($D611,$G611),CSRFinput!$B:$E,4,0)))</f>
        <v>0.054776304963434752</v>
      </c>
      <c r="S611" s="73">
        <f>IF(B611="",0,P611*R611)</f>
        <v>0.4063652397678036</v>
      </c>
      <c r="T611" s="85">
        <f>IF(B611="",0,IF(OR(H611=MappingTables!$C$34,H611=MappingTables!$C$35),S611,0))</f>
        <v>0</v>
      </c>
    </row>
    <row r="612" spans="2:20" s="0" customFormat="0" ht="15">
      <c r="B612" s="69" t="s">
        <v>4178</v>
      </c>
      <c r="C612" s="70" t="s">
        <v>4179</v>
      </c>
      <c r="D612" s="70" t="s">
        <v>1</v>
      </c>
      <c r="E612" s="70" t="s">
        <v>1</v>
      </c>
      <c r="F612" s="70"/>
      <c r="G612" s="70" t="s">
        <v>61</v>
      </c>
      <c r="H612" s="70" t="s">
        <v>178</v>
      </c>
      <c r="I612" s="70" t="s">
        <v>184</v>
      </c>
      <c r="J612" s="71">
        <f>IF(OR(I612=0,I612=""),"unrated",VLOOKUP(I612,MappingTables!$B$19:$C$31,2,FALSE))</f>
        <v>5</v>
      </c>
      <c r="K612" s="72">
        <v>6217.2013371072456</v>
      </c>
      <c r="L612" s="70">
        <v>0.068490766025450472</v>
      </c>
      <c r="M612" s="71">
        <f>IF(L612&lt;1,1,L612)</f>
        <v>1</v>
      </c>
      <c r="N612" s="70" t="s">
        <v>3288</v>
      </c>
      <c r="O612" s="71">
        <f>IF(OR(I612=$A$1,I612=0),"",IF(N612=MappingTables!$C$14,VLOOKUP(J612,ModelParameters!$M$8:$N$15,2,FALSE),IF(N612=MappingTables!$C$16,VLOOKUP(J612,ModelParameters!$P$8:$Q$15,2,FALSE),0)))</f>
        <v>1</v>
      </c>
      <c r="P612" s="73">
        <f>IF(OR(I612=0,I612=$A$1),0,MIN(O612*M612,1)*K612)</f>
        <v>6217.2013371072456</v>
      </c>
      <c r="Q612" s="73">
        <f>IF(B612="",0,IF(OR(H612=MappingTables!$C$34,H612=MappingTables!$C$35),P612,0))</f>
        <v>0</v>
      </c>
      <c r="R612" s="73">
        <f>IF(ISNA(IF(AND(VLOOKUP(CONCATENATE($D612,$G612),CSRFinput!$B:$E,4,0)=0,OR(H612=MappingTables!$C$31,H612=MappingTables!$C$32)),1,VLOOKUP(CONCATENATE($D612,$G612),CSRFinput!$B:$E,4,0))),0,IF(AND(VLOOKUP(CONCATENATE($D612,$G612),CSRFinput!$B:$E,4,0)=0,OR(H612=MappingTables!$C$31,H612=MappingTables!$C$32)),1,VLOOKUP(CONCATENATE($D612,$G612),CSRFinput!$B:$E,4,0)))</f>
        <v>0.054776304963434752</v>
      </c>
      <c r="S612" s="73">
        <f>IF(B612="",0,P612*R612)</f>
        <v>340.5553164604608</v>
      </c>
      <c r="T612" s="85">
        <f>IF(B612="",0,IF(OR(H612=MappingTables!$C$34,H612=MappingTables!$C$35),S612,0))</f>
        <v>0</v>
      </c>
    </row>
    <row r="613" spans="2:20" s="0" customFormat="0" ht="15">
      <c r="B613" s="69" t="s">
        <v>4180</v>
      </c>
      <c r="C613" s="70" t="s">
        <v>4181</v>
      </c>
      <c r="D613" s="70" t="s">
        <v>1</v>
      </c>
      <c r="E613" s="70" t="s">
        <v>1</v>
      </c>
      <c r="F613" s="70"/>
      <c r="G613" s="70" t="s">
        <v>61</v>
      </c>
      <c r="H613" s="70" t="s">
        <v>178</v>
      </c>
      <c r="I613" s="70" t="s">
        <v>179</v>
      </c>
      <c r="J613" s="71">
        <f>IF(OR(I613=0,I613=""),"unrated",VLOOKUP(I613,MappingTables!$B$19:$C$31,2,FALSE))</f>
        <v>4</v>
      </c>
      <c r="K613" s="72">
        <v>1275.7626401687276</v>
      </c>
      <c r="L613" s="70">
        <v>0.06397630110194984</v>
      </c>
      <c r="M613" s="71">
        <f>IF(L613&lt;1,1,L613)</f>
        <v>1</v>
      </c>
      <c r="N613" s="70" t="s">
        <v>3288</v>
      </c>
      <c r="O613" s="71">
        <f>IF(OR(I613=$A$1,I613=0),"",IF(N613=MappingTables!$C$14,VLOOKUP(J613,ModelParameters!$M$8:$N$15,2,FALSE),IF(N613=MappingTables!$C$16,VLOOKUP(J613,ModelParameters!$P$8:$Q$15,2,FALSE),0)))</f>
        <v>0.82</v>
      </c>
      <c r="P613" s="73">
        <f>IF(OR(I613=0,I613=$A$1),0,MIN(O613*M613,1)*K613)</f>
        <v>1046.1253649383566</v>
      </c>
      <c r="Q613" s="73">
        <f>IF(B613="",0,IF(OR(H613=MappingTables!$C$34,H613=MappingTables!$C$35),P613,0))</f>
        <v>0</v>
      </c>
      <c r="R613" s="73">
        <f>IF(ISNA(IF(AND(VLOOKUP(CONCATENATE($D613,$G613),CSRFinput!$B:$E,4,0)=0,OR(H613=MappingTables!$C$31,H613=MappingTables!$C$32)),1,VLOOKUP(CONCATENATE($D613,$G613),CSRFinput!$B:$E,4,0))),0,IF(AND(VLOOKUP(CONCATENATE($D613,$G613),CSRFinput!$B:$E,4,0)=0,OR(H613=MappingTables!$C$31,H613=MappingTables!$C$32)),1,VLOOKUP(CONCATENATE($D613,$G613),CSRFinput!$B:$E,4,0)))</f>
        <v>0.054776304963434752</v>
      </c>
      <c r="S613" s="73">
        <f>IF(B613="",0,P613*R613)</f>
        <v>57.302882019847896</v>
      </c>
      <c r="T613" s="85">
        <f>IF(B613="",0,IF(OR(H613=MappingTables!$C$34,H613=MappingTables!$C$35),S613,0))</f>
        <v>0</v>
      </c>
    </row>
    <row r="614" spans="2:20" s="0" customFormat="0" ht="15">
      <c r="B614" s="69">
        <v>15176542</v>
      </c>
      <c r="C614" s="70" t="s">
        <v>3634</v>
      </c>
      <c r="D614" s="70" t="s">
        <v>1</v>
      </c>
      <c r="E614" s="70" t="s">
        <v>1</v>
      </c>
      <c r="F614" s="70"/>
      <c r="G614" s="70" t="s">
        <v>61</v>
      </c>
      <c r="H614" s="70" t="s">
        <v>178</v>
      </c>
      <c r="I614" s="70" t="s">
        <v>216</v>
      </c>
      <c r="J614" s="71">
        <f>IF(OR(I614=0,I614=""),"unrated",VLOOKUP(I614,MappingTables!$B$19:$C$31,2,FALSE))</f>
        <v>0</v>
      </c>
      <c r="K614" s="72">
        <v>464.44065274679944</v>
      </c>
      <c r="L614" s="70">
        <v>0.029198209802763024</v>
      </c>
      <c r="M614" s="71">
        <f>IF(L614&lt;1,1,L614)</f>
        <v>1</v>
      </c>
      <c r="N614" s="70" t="s">
        <v>3288</v>
      </c>
      <c r="O614" s="71">
        <f>IF(OR(I614=$A$1,I614=0),"",IF(N614=MappingTables!$C$14,VLOOKUP(J614,ModelParameters!$M$8:$N$15,2,FALSE),IF(N614=MappingTables!$C$16,VLOOKUP(J614,ModelParameters!$P$8:$Q$15,2,FALSE),0)))</f>
        <v>0.125</v>
      </c>
      <c r="P614" s="73">
        <f>IF(OR(I614=0,I614=$A$1),0,MIN(O614*M614,1)*K614)</f>
        <v>58.055081593349928</v>
      </c>
      <c r="Q614" s="73">
        <f>IF(B614="",0,IF(OR(H614=MappingTables!$C$34,H614=MappingTables!$C$35),P614,0))</f>
        <v>0</v>
      </c>
      <c r="R614" s="73">
        <f>IF(ISNA(IF(AND(VLOOKUP(CONCATENATE($D614,$G614),CSRFinput!$B:$E,4,0)=0,OR(H614=MappingTables!$C$31,H614=MappingTables!$C$32)),1,VLOOKUP(CONCATENATE($D614,$G614),CSRFinput!$B:$E,4,0))),0,IF(AND(VLOOKUP(CONCATENATE($D614,$G614),CSRFinput!$B:$E,4,0)=0,OR(H614=MappingTables!$C$31,H614=MappingTables!$C$32)),1,VLOOKUP(CONCATENATE($D614,$G614),CSRFinput!$B:$E,4,0)))</f>
        <v>0.054776304963434752</v>
      </c>
      <c r="S614" s="73">
        <f>IF(B614="",0,P614*R614)</f>
        <v>3.1800428540344228</v>
      </c>
      <c r="T614" s="85">
        <f>IF(B614="",0,IF(OR(H614=MappingTables!$C$34,H614=MappingTables!$C$35),S614,0))</f>
        <v>0</v>
      </c>
    </row>
    <row r="615" spans="2:20" s="0" customFormat="0" ht="15">
      <c r="B615" s="69" t="s">
        <v>4182</v>
      </c>
      <c r="C615" s="70" t="s">
        <v>4183</v>
      </c>
      <c r="D615" s="70" t="s">
        <v>1</v>
      </c>
      <c r="E615" s="70" t="s">
        <v>1</v>
      </c>
      <c r="F615" s="70"/>
      <c r="G615" s="70" t="s">
        <v>61</v>
      </c>
      <c r="H615" s="70" t="s">
        <v>178</v>
      </c>
      <c r="I615" s="70" t="s">
        <v>179</v>
      </c>
      <c r="J615" s="71">
        <f>IF(OR(I615=0,I615=""),"unrated",VLOOKUP(I615,MappingTables!$B$19:$C$31,2,FALSE))</f>
        <v>4</v>
      </c>
      <c r="K615" s="72">
        <v>48.270898213892952</v>
      </c>
      <c r="L615" s="70">
        <v>0.068496563598176904</v>
      </c>
      <c r="M615" s="71">
        <f>IF(L615&lt;1,1,L615)</f>
        <v>1</v>
      </c>
      <c r="N615" s="70" t="s">
        <v>3288</v>
      </c>
      <c r="O615" s="71">
        <f>IF(OR(I615=$A$1,I615=0),"",IF(N615=MappingTables!$C$14,VLOOKUP(J615,ModelParameters!$M$8:$N$15,2,FALSE),IF(N615=MappingTables!$C$16,VLOOKUP(J615,ModelParameters!$P$8:$Q$15,2,FALSE),0)))</f>
        <v>0.82</v>
      </c>
      <c r="P615" s="73">
        <f>IF(OR(I615=0,I615=$A$1),0,MIN(O615*M615,1)*K615)</f>
        <v>39.582136535392216</v>
      </c>
      <c r="Q615" s="73">
        <f>IF(B615="",0,IF(OR(H615=MappingTables!$C$34,H615=MappingTables!$C$35),P615,0))</f>
        <v>0</v>
      </c>
      <c r="R615" s="73">
        <f>IF(ISNA(IF(AND(VLOOKUP(CONCATENATE($D615,$G615),CSRFinput!$B:$E,4,0)=0,OR(H615=MappingTables!$C$31,H615=MappingTables!$C$32)),1,VLOOKUP(CONCATENATE($D615,$G615),CSRFinput!$B:$E,4,0))),0,IF(AND(VLOOKUP(CONCATENATE($D615,$G615),CSRFinput!$B:$E,4,0)=0,OR(H615=MappingTables!$C$31,H615=MappingTables!$C$32)),1,VLOOKUP(CONCATENATE($D615,$G615),CSRFinput!$B:$E,4,0)))</f>
        <v>0.054776304963434752</v>
      </c>
      <c r="S615" s="73">
        <f>IF(B615="",0,P615*R615)</f>
        <v>2.1681631819669568</v>
      </c>
      <c r="T615" s="85">
        <f>IF(B615="",0,IF(OR(H615=MappingTables!$C$34,H615=MappingTables!$C$35),S615,0))</f>
        <v>0</v>
      </c>
    </row>
    <row r="616" spans="2:20" s="0" customFormat="0" ht="15">
      <c r="B616" s="69" t="s">
        <v>4184</v>
      </c>
      <c r="C616" s="70" t="s">
        <v>4185</v>
      </c>
      <c r="D616" s="70" t="s">
        <v>1</v>
      </c>
      <c r="E616" s="70" t="s">
        <v>1</v>
      </c>
      <c r="F616" s="70"/>
      <c r="G616" s="70" t="s">
        <v>61</v>
      </c>
      <c r="H616" s="70" t="s">
        <v>178</v>
      </c>
      <c r="I616" s="70" t="s">
        <v>204</v>
      </c>
      <c r="J616" s="71">
        <f>IF(OR(I616=0,I616=""),"unrated",VLOOKUP(I616,MappingTables!$B$19:$C$31,2,FALSE))</f>
        <v>6</v>
      </c>
      <c r="K616" s="72">
        <v>50.462695592459992</v>
      </c>
      <c r="L616" s="70">
        <v>0.068496373249719248</v>
      </c>
      <c r="M616" s="71">
        <f>IF(L616&lt;1,1,L616)</f>
        <v>1</v>
      </c>
      <c r="N616" s="70" t="s">
        <v>3288</v>
      </c>
      <c r="O616" s="71">
        <f>IF(OR(I616=$A$1,I616=0),"",IF(N616=MappingTables!$C$14,VLOOKUP(J616,ModelParameters!$M$8:$N$15,2,FALSE),IF(N616=MappingTables!$C$16,VLOOKUP(J616,ModelParameters!$P$8:$Q$15,2,FALSE),0)))</f>
        <v>1</v>
      </c>
      <c r="P616" s="73">
        <f>IF(OR(I616=0,I616=$A$1),0,MIN(O616*M616,1)*K616)</f>
        <v>50.462695592459992</v>
      </c>
      <c r="Q616" s="73">
        <f>IF(B616="",0,IF(OR(H616=MappingTables!$C$34,H616=MappingTables!$C$35),P616,0))</f>
        <v>0</v>
      </c>
      <c r="R616" s="73">
        <f>IF(ISNA(IF(AND(VLOOKUP(CONCATENATE($D616,$G616),CSRFinput!$B:$E,4,0)=0,OR(H616=MappingTables!$C$31,H616=MappingTables!$C$32)),1,VLOOKUP(CONCATENATE($D616,$G616),CSRFinput!$B:$E,4,0))),0,IF(AND(VLOOKUP(CONCATENATE($D616,$G616),CSRFinput!$B:$E,4,0)=0,OR(H616=MappingTables!$C$31,H616=MappingTables!$C$32)),1,VLOOKUP(CONCATENATE($D616,$G616),CSRFinput!$B:$E,4,0)))</f>
        <v>0.054776304963434752</v>
      </c>
      <c r="S616" s="73">
        <f>IF(B616="",0,P616*R616)</f>
        <v>2.7641600030495632</v>
      </c>
      <c r="T616" s="85">
        <f>IF(B616="",0,IF(OR(H616=MappingTables!$C$34,H616=MappingTables!$C$35),S616,0))</f>
        <v>0</v>
      </c>
    </row>
    <row r="617" spans="2:20" s="0" customFormat="0" ht="15">
      <c r="B617" s="69" t="s">
        <v>4186</v>
      </c>
      <c r="C617" s="70" t="s">
        <v>4187</v>
      </c>
      <c r="D617" s="70" t="s">
        <v>1</v>
      </c>
      <c r="E617" s="70" t="s">
        <v>1</v>
      </c>
      <c r="F617" s="70"/>
      <c r="G617" s="70" t="s">
        <v>61</v>
      </c>
      <c r="H617" s="70" t="s">
        <v>178</v>
      </c>
      <c r="I617" s="70" t="s">
        <v>204</v>
      </c>
      <c r="J617" s="71">
        <f>IF(OR(I617=0,I617=""),"unrated",VLOOKUP(I617,MappingTables!$B$19:$C$31,2,FALSE))</f>
        <v>6</v>
      </c>
      <c r="K617" s="72">
        <v>78.687837420644112</v>
      </c>
      <c r="L617" s="70">
        <v>0.06849080995968428</v>
      </c>
      <c r="M617" s="71">
        <f>IF(L617&lt;1,1,L617)</f>
        <v>1</v>
      </c>
      <c r="N617" s="70" t="s">
        <v>3288</v>
      </c>
      <c r="O617" s="71">
        <f>IF(OR(I617=$A$1,I617=0),"",IF(N617=MappingTables!$C$14,VLOOKUP(J617,ModelParameters!$M$8:$N$15,2,FALSE),IF(N617=MappingTables!$C$16,VLOOKUP(J617,ModelParameters!$P$8:$Q$15,2,FALSE),0)))</f>
        <v>1</v>
      </c>
      <c r="P617" s="73">
        <f>IF(OR(I617=0,I617=$A$1),0,MIN(O617*M617,1)*K617)</f>
        <v>78.687837420644112</v>
      </c>
      <c r="Q617" s="73">
        <f>IF(B617="",0,IF(OR(H617=MappingTables!$C$34,H617=MappingTables!$C$35),P617,0))</f>
        <v>0</v>
      </c>
      <c r="R617" s="73">
        <f>IF(ISNA(IF(AND(VLOOKUP(CONCATENATE($D617,$G617),CSRFinput!$B:$E,4,0)=0,OR(H617=MappingTables!$C$31,H617=MappingTables!$C$32)),1,VLOOKUP(CONCATENATE($D617,$G617),CSRFinput!$B:$E,4,0))),0,IF(AND(VLOOKUP(CONCATENATE($D617,$G617),CSRFinput!$B:$E,4,0)=0,OR(H617=MappingTables!$C$31,H617=MappingTables!$C$32)),1,VLOOKUP(CONCATENATE($D617,$G617),CSRFinput!$B:$E,4,0)))</f>
        <v>0.054776304963434752</v>
      </c>
      <c r="S617" s="73">
        <f>IF(B617="",0,P617*R617)</f>
        <v>4.3102289794663752</v>
      </c>
      <c r="T617" s="85">
        <f>IF(B617="",0,IF(OR(H617=MappingTables!$C$34,H617=MappingTables!$C$35),S617,0))</f>
        <v>0</v>
      </c>
    </row>
    <row r="618" spans="2:20" s="0" customFormat="0" ht="15">
      <c r="B618" s="69" t="s">
        <v>3920</v>
      </c>
      <c r="C618" s="70" t="s">
        <v>3921</v>
      </c>
      <c r="D618" s="70" t="s">
        <v>1</v>
      </c>
      <c r="E618" s="70" t="s">
        <v>1</v>
      </c>
      <c r="F618" s="70"/>
      <c r="G618" s="70" t="s">
        <v>61</v>
      </c>
      <c r="H618" s="70" t="s">
        <v>178</v>
      </c>
      <c r="I618" s="70" t="s">
        <v>204</v>
      </c>
      <c r="J618" s="71">
        <f>IF(OR(I618=0,I618=""),"unrated",VLOOKUP(I618,MappingTables!$B$19:$C$31,2,FALSE))</f>
        <v>6</v>
      </c>
      <c r="K618" s="72">
        <v>597.63192739638168</v>
      </c>
      <c r="L618" s="70">
        <v>0.06848992754414812</v>
      </c>
      <c r="M618" s="71">
        <f>IF(L618&lt;1,1,L618)</f>
        <v>1</v>
      </c>
      <c r="N618" s="70" t="s">
        <v>3288</v>
      </c>
      <c r="O618" s="71">
        <f>IF(OR(I618=$A$1,I618=0),"",IF(N618=MappingTables!$C$14,VLOOKUP(J618,ModelParameters!$M$8:$N$15,2,FALSE),IF(N618=MappingTables!$C$16,VLOOKUP(J618,ModelParameters!$P$8:$Q$15,2,FALSE),0)))</f>
        <v>1</v>
      </c>
      <c r="P618" s="73">
        <f>IF(OR(I618=0,I618=$A$1),0,MIN(O618*M618,1)*K618)</f>
        <v>597.63192739638168</v>
      </c>
      <c r="Q618" s="73">
        <f>IF(B618="",0,IF(OR(H618=MappingTables!$C$34,H618=MappingTables!$C$35),P618,0))</f>
        <v>0</v>
      </c>
      <c r="R618" s="73">
        <f>IF(ISNA(IF(AND(VLOOKUP(CONCATENATE($D618,$G618),CSRFinput!$B:$E,4,0)=0,OR(H618=MappingTables!$C$31,H618=MappingTables!$C$32)),1,VLOOKUP(CONCATENATE($D618,$G618),CSRFinput!$B:$E,4,0))),0,IF(AND(VLOOKUP(CONCATENATE($D618,$G618),CSRFinput!$B:$E,4,0)=0,OR(H618=MappingTables!$C$31,H618=MappingTables!$C$32)),1,VLOOKUP(CONCATENATE($D618,$G618),CSRFinput!$B:$E,4,0)))</f>
        <v>0.054776304963434752</v>
      </c>
      <c r="S618" s="73">
        <f>IF(B618="",0,P618*R618)</f>
        <v>32.736068710949504</v>
      </c>
      <c r="T618" s="85">
        <f>IF(B618="",0,IF(OR(H618=MappingTables!$C$34,H618=MappingTables!$C$35),S618,0))</f>
        <v>0</v>
      </c>
    </row>
    <row r="619" spans="2:20" s="0" customFormat="0" ht="15">
      <c r="B619" s="69" t="s">
        <v>4188</v>
      </c>
      <c r="C619" s="70" t="s">
        <v>4189</v>
      </c>
      <c r="D619" s="70" t="s">
        <v>1</v>
      </c>
      <c r="E619" s="70" t="s">
        <v>1</v>
      </c>
      <c r="F619" s="70"/>
      <c r="G619" s="70" t="s">
        <v>61</v>
      </c>
      <c r="H619" s="70" t="s">
        <v>178</v>
      </c>
      <c r="I619" s="70" t="s">
        <v>179</v>
      </c>
      <c r="J619" s="71">
        <f>IF(OR(I619=0,I619=""),"unrated",VLOOKUP(I619,MappingTables!$B$19:$C$31,2,FALSE))</f>
        <v>4</v>
      </c>
      <c r="K619" s="72">
        <v>808.58016037971488</v>
      </c>
      <c r="L619" s="70">
        <v>0.080803174230779904</v>
      </c>
      <c r="M619" s="71">
        <f>IF(L619&lt;1,1,L619)</f>
        <v>1</v>
      </c>
      <c r="N619" s="70" t="s">
        <v>3288</v>
      </c>
      <c r="O619" s="71">
        <f>IF(OR(I619=$A$1,I619=0),"",IF(N619=MappingTables!$C$14,VLOOKUP(J619,ModelParameters!$M$8:$N$15,2,FALSE),IF(N619=MappingTables!$C$16,VLOOKUP(J619,ModelParameters!$P$8:$Q$15,2,FALSE),0)))</f>
        <v>0.82</v>
      </c>
      <c r="P619" s="73">
        <f>IF(OR(I619=0,I619=$A$1),0,MIN(O619*M619,1)*K619)</f>
        <v>663.03573151136608</v>
      </c>
      <c r="Q619" s="73">
        <f>IF(B619="",0,IF(OR(H619=MappingTables!$C$34,H619=MappingTables!$C$35),P619,0))</f>
        <v>0</v>
      </c>
      <c r="R619" s="73">
        <f>IF(ISNA(IF(AND(VLOOKUP(CONCATENATE($D619,$G619),CSRFinput!$B:$E,4,0)=0,OR(H619=MappingTables!$C$31,H619=MappingTables!$C$32)),1,VLOOKUP(CONCATENATE($D619,$G619),CSRFinput!$B:$E,4,0))),0,IF(AND(VLOOKUP(CONCATENATE($D619,$G619),CSRFinput!$B:$E,4,0)=0,OR(H619=MappingTables!$C$31,H619=MappingTables!$C$32)),1,VLOOKUP(CONCATENATE($D619,$G619),CSRFinput!$B:$E,4,0)))</f>
        <v>0.054776304963434752</v>
      </c>
      <c r="S619" s="73">
        <f>IF(B619="",0,P619*R619)</f>
        <v>36.318647430920632</v>
      </c>
      <c r="T619" s="85">
        <f>IF(B619="",0,IF(OR(H619=MappingTables!$C$34,H619=MappingTables!$C$35),S619,0))</f>
        <v>0</v>
      </c>
    </row>
    <row r="620" spans="2:20" s="0" customFormat="0" ht="15">
      <c r="B620" s="69">
        <v>2008450</v>
      </c>
      <c r="C620" s="70" t="s">
        <v>3791</v>
      </c>
      <c r="D620" s="70" t="s">
        <v>1</v>
      </c>
      <c r="E620" s="70" t="s">
        <v>1</v>
      </c>
      <c r="F620" s="70"/>
      <c r="G620" s="70" t="s">
        <v>61</v>
      </c>
      <c r="H620" s="70" t="s">
        <v>178</v>
      </c>
      <c r="I620" s="70" t="s">
        <v>198</v>
      </c>
      <c r="J620" s="71" t="str">
        <f>IF(OR(I620=0,I620=""),"unrated",VLOOKUP(I620,MappingTables!$B$19:$C$31,2,FALSE))</f>
        <v>unrated</v>
      </c>
      <c r="K620" s="72">
        <v>76.831759371497872</v>
      </c>
      <c r="L620" s="70">
        <v>0.068491272288951552</v>
      </c>
      <c r="M620" s="71">
        <f>IF(L620&lt;1,1,L620)</f>
        <v>1</v>
      </c>
      <c r="N620" s="70" t="s">
        <v>3288</v>
      </c>
      <c r="O620" s="71">
        <f>IF(OR(I620=$A$1,I620=0),"",IF(N620=MappingTables!$C$14,VLOOKUP(J620,ModelParameters!$M$8:$N$15,2,FALSE),IF(N620=MappingTables!$C$16,VLOOKUP(J620,ModelParameters!$P$8:$Q$15,2,FALSE),0)))</f>
        <v>1</v>
      </c>
      <c r="P620" s="73">
        <f>IF(OR(I620=0,I620=$A$1),0,MIN(O620*M620,1)*K620)</f>
        <v>76.831759371497872</v>
      </c>
      <c r="Q620" s="73">
        <f>IF(B620="",0,IF(OR(H620=MappingTables!$C$34,H620=MappingTables!$C$35),P620,0))</f>
        <v>0</v>
      </c>
      <c r="R620" s="73">
        <f>IF(ISNA(IF(AND(VLOOKUP(CONCATENATE($D620,$G620),CSRFinput!$B:$E,4,0)=0,OR(H620=MappingTables!$C$31,H620=MappingTables!$C$32)),1,VLOOKUP(CONCATENATE($D620,$G620),CSRFinput!$B:$E,4,0))),0,IF(AND(VLOOKUP(CONCATENATE($D620,$G620),CSRFinput!$B:$E,4,0)=0,OR(H620=MappingTables!$C$31,H620=MappingTables!$C$32)),1,VLOOKUP(CONCATENATE($D620,$G620),CSRFinput!$B:$E,4,0)))</f>
        <v>0.054776304963434752</v>
      </c>
      <c r="S620" s="73">
        <f>IF(B620="",0,P620*R620)</f>
        <v>4.2085598822104032</v>
      </c>
      <c r="T620" s="85">
        <f>IF(B620="",0,IF(OR(H620=MappingTables!$C$34,H620=MappingTables!$C$35),S620,0))</f>
        <v>0</v>
      </c>
    </row>
    <row r="621" spans="2:20" s="0" customFormat="0" ht="15">
      <c r="B621" s="69" t="s">
        <v>4190</v>
      </c>
      <c r="C621" s="70" t="s">
        <v>4191</v>
      </c>
      <c r="D621" s="70" t="s">
        <v>1</v>
      </c>
      <c r="E621" s="70" t="s">
        <v>1</v>
      </c>
      <c r="F621" s="70"/>
      <c r="G621" s="70" t="s">
        <v>61</v>
      </c>
      <c r="H621" s="70" t="s">
        <v>178</v>
      </c>
      <c r="I621" s="70" t="s">
        <v>216</v>
      </c>
      <c r="J621" s="71">
        <f>IF(OR(I621=0,I621=""),"unrated",VLOOKUP(I621,MappingTables!$B$19:$C$31,2,FALSE))</f>
        <v>0</v>
      </c>
      <c r="K621" s="72">
        <v>184.66208634125184</v>
      </c>
      <c r="L621" s="70">
        <v>0.054796555110892656</v>
      </c>
      <c r="M621" s="71">
        <f>IF(L621&lt;1,1,L621)</f>
        <v>1</v>
      </c>
      <c r="N621" s="70" t="s">
        <v>3288</v>
      </c>
      <c r="O621" s="71">
        <f>IF(OR(I621=$A$1,I621=0),"",IF(N621=MappingTables!$C$14,VLOOKUP(J621,ModelParameters!$M$8:$N$15,2,FALSE),IF(N621=MappingTables!$C$16,VLOOKUP(J621,ModelParameters!$P$8:$Q$15,2,FALSE),0)))</f>
        <v>0.125</v>
      </c>
      <c r="P621" s="73">
        <f>IF(OR(I621=0,I621=$A$1),0,MIN(O621*M621,1)*K621)</f>
        <v>23.08276079265648</v>
      </c>
      <c r="Q621" s="73">
        <f>IF(B621="",0,IF(OR(H621=MappingTables!$C$34,H621=MappingTables!$C$35),P621,0))</f>
        <v>0</v>
      </c>
      <c r="R621" s="73">
        <f>IF(ISNA(IF(AND(VLOOKUP(CONCATENATE($D621,$G621),CSRFinput!$B:$E,4,0)=0,OR(H621=MappingTables!$C$31,H621=MappingTables!$C$32)),1,VLOOKUP(CONCATENATE($D621,$G621),CSRFinput!$B:$E,4,0))),0,IF(AND(VLOOKUP(CONCATENATE($D621,$G621),CSRFinput!$B:$E,4,0)=0,OR(H621=MappingTables!$C$31,H621=MappingTables!$C$32)),1,VLOOKUP(CONCATENATE($D621,$G621),CSRFinput!$B:$E,4,0)))</f>
        <v>0.054776304963434752</v>
      </c>
      <c r="S621" s="73">
        <f>IF(B621="",0,P621*R621)</f>
        <v>1.2643883445765662</v>
      </c>
      <c r="T621" s="85">
        <f>IF(B621="",0,IF(OR(H621=MappingTables!$C$34,H621=MappingTables!$C$35),S621,0))</f>
        <v>0</v>
      </c>
    </row>
    <row r="622" spans="2:20" s="0" customFormat="0" ht="15">
      <c r="B622" s="69" t="s">
        <v>3668</v>
      </c>
      <c r="C622" s="70" t="s">
        <v>3669</v>
      </c>
      <c r="D622" s="70" t="s">
        <v>1</v>
      </c>
      <c r="E622" s="70" t="s">
        <v>1</v>
      </c>
      <c r="F622" s="70"/>
      <c r="G622" s="70" t="s">
        <v>61</v>
      </c>
      <c r="H622" s="70" t="s">
        <v>178</v>
      </c>
      <c r="I622" s="70" t="s">
        <v>198</v>
      </c>
      <c r="J622" s="71" t="str">
        <f>IF(OR(I622=0,I622=""),"unrated",VLOOKUP(I622,MappingTables!$B$19:$C$31,2,FALSE))</f>
        <v>unrated</v>
      </c>
      <c r="K622" s="72">
        <v>1.338533496663269</v>
      </c>
      <c r="L622" s="70">
        <v>8.0068902740252368</v>
      </c>
      <c r="M622" s="71">
        <f>IF(L622&lt;1,1,L622)</f>
        <v>8.0068902740252368</v>
      </c>
      <c r="N622" s="70" t="s">
        <v>3288</v>
      </c>
      <c r="O622" s="71">
        <f>IF(OR(I622=$A$1,I622=0),"",IF(N622=MappingTables!$C$14,VLOOKUP(J622,ModelParameters!$M$8:$N$15,2,FALSE),IF(N622=MappingTables!$C$16,VLOOKUP(J622,ModelParameters!$P$8:$Q$15,2,FALSE),0)))</f>
        <v>1</v>
      </c>
      <c r="P622" s="73">
        <f>IF(OR(I622=0,I622=$A$1),0,MIN(O622*M622,1)*K622)</f>
        <v>1.338533496663269</v>
      </c>
      <c r="Q622" s="73">
        <f>IF(B622="",0,IF(OR(H622=MappingTables!$C$34,H622=MappingTables!$C$35),P622,0))</f>
        <v>0</v>
      </c>
      <c r="R622" s="73">
        <f>IF(ISNA(IF(AND(VLOOKUP(CONCATENATE($D622,$G622),CSRFinput!$B:$E,4,0)=0,OR(H622=MappingTables!$C$31,H622=MappingTables!$C$32)),1,VLOOKUP(CONCATENATE($D622,$G622),CSRFinput!$B:$E,4,0))),0,IF(AND(VLOOKUP(CONCATENATE($D622,$G622),CSRFinput!$B:$E,4,0)=0,OR(H622=MappingTables!$C$31,H622=MappingTables!$C$32)),1,VLOOKUP(CONCATENATE($D622,$G622),CSRFinput!$B:$E,4,0)))</f>
        <v>0.054776304963434752</v>
      </c>
      <c r="S622" s="73">
        <f>IF(B622="",0,P622*R622)</f>
        <v>0.073319919016999904</v>
      </c>
      <c r="T622" s="85">
        <f>IF(B622="",0,IF(OR(H622=MappingTables!$C$34,H622=MappingTables!$C$35),S622,0))</f>
        <v>0</v>
      </c>
    </row>
    <row r="623" spans="2:20" s="0" customFormat="0" ht="15">
      <c r="B623" s="69" t="s">
        <v>4192</v>
      </c>
      <c r="C623" s="70" t="s">
        <v>4193</v>
      </c>
      <c r="D623" s="70" t="s">
        <v>1</v>
      </c>
      <c r="E623" s="70" t="s">
        <v>1</v>
      </c>
      <c r="F623" s="70"/>
      <c r="G623" s="70" t="s">
        <v>61</v>
      </c>
      <c r="H623" s="70" t="s">
        <v>178</v>
      </c>
      <c r="I623" s="70" t="s">
        <v>3298</v>
      </c>
      <c r="J623" s="71">
        <f>IF(OR(I623=0,I623=""),"unrated",VLOOKUP(I623,MappingTables!$B$19:$C$31,2,FALSE))</f>
        <v>6</v>
      </c>
      <c r="K623" s="72">
        <v>1039.5691402798636</v>
      </c>
      <c r="L623" s="70">
        <v>-0.15262832735141726</v>
      </c>
      <c r="M623" s="71">
        <f>IF(L623&lt;1,1,L623)</f>
        <v>1</v>
      </c>
      <c r="N623" s="70" t="s">
        <v>3288</v>
      </c>
      <c r="O623" s="71">
        <f>IF(OR(I623=$A$1,I623=0),"",IF(N623=MappingTables!$C$14,VLOOKUP(J623,ModelParameters!$M$8:$N$15,2,FALSE),IF(N623=MappingTables!$C$16,VLOOKUP(J623,ModelParameters!$P$8:$Q$15,2,FALSE),0)))</f>
        <v>1</v>
      </c>
      <c r="P623" s="73">
        <f>IF(OR(I623=0,I623=$A$1),0,MIN(O623*M623,1)*K623)</f>
        <v>1039.5691402798636</v>
      </c>
      <c r="Q623" s="73">
        <f>IF(B623="",0,IF(OR(H623=MappingTables!$C$34,H623=MappingTables!$C$35),P623,0))</f>
        <v>0</v>
      </c>
      <c r="R623" s="73">
        <f>IF(ISNA(IF(AND(VLOOKUP(CONCATENATE($D623,$G623),CSRFinput!$B:$E,4,0)=0,OR(H623=MappingTables!$C$31,H623=MappingTables!$C$32)),1,VLOOKUP(CONCATENATE($D623,$G623),CSRFinput!$B:$E,4,0))),0,IF(AND(VLOOKUP(CONCATENATE($D623,$G623),CSRFinput!$B:$E,4,0)=0,OR(H623=MappingTables!$C$31,H623=MappingTables!$C$32)),1,VLOOKUP(CONCATENATE($D623,$G623),CSRFinput!$B:$E,4,0)))</f>
        <v>0.054776304963434752</v>
      </c>
      <c r="S623" s="73">
        <f>IF(B623="",0,P623*R623)</f>
        <v>56.943756258545488</v>
      </c>
      <c r="T623" s="85">
        <f>IF(B623="",0,IF(OR(H623=MappingTables!$C$34,H623=MappingTables!$C$35),S623,0))</f>
        <v>0</v>
      </c>
    </row>
    <row r="624" spans="2:20" s="0" customFormat="0" ht="15">
      <c r="B624" s="69" t="s">
        <v>4194</v>
      </c>
      <c r="C624" s="70" t="s">
        <v>4195</v>
      </c>
      <c r="D624" s="70" t="s">
        <v>1</v>
      </c>
      <c r="E624" s="70" t="s">
        <v>1</v>
      </c>
      <c r="F624" s="70"/>
      <c r="G624" s="70" t="s">
        <v>61</v>
      </c>
      <c r="H624" s="70" t="s">
        <v>178</v>
      </c>
      <c r="I624" s="70" t="s">
        <v>198</v>
      </c>
      <c r="J624" s="71" t="str">
        <f>IF(OR(I624=0,I624=""),"unrated",VLOOKUP(I624,MappingTables!$B$19:$C$31,2,FALSE))</f>
        <v>unrated</v>
      </c>
      <c r="K624" s="72">
        <v>44.441337586485624</v>
      </c>
      <c r="L624" s="70">
        <v>0.050508150082566784</v>
      </c>
      <c r="M624" s="71">
        <f>IF(L624&lt;1,1,L624)</f>
        <v>1</v>
      </c>
      <c r="N624" s="70" t="s">
        <v>3288</v>
      </c>
      <c r="O624" s="71">
        <f>IF(OR(I624=$A$1,I624=0),"",IF(N624=MappingTables!$C$14,VLOOKUP(J624,ModelParameters!$M$8:$N$15,2,FALSE),IF(N624=MappingTables!$C$16,VLOOKUP(J624,ModelParameters!$P$8:$Q$15,2,FALSE),0)))</f>
        <v>1</v>
      </c>
      <c r="P624" s="73">
        <f>IF(OR(I624=0,I624=$A$1),0,MIN(O624*M624,1)*K624)</f>
        <v>44.441337586485624</v>
      </c>
      <c r="Q624" s="73">
        <f>IF(B624="",0,IF(OR(H624=MappingTables!$C$34,H624=MappingTables!$C$35),P624,0))</f>
        <v>0</v>
      </c>
      <c r="R624" s="73">
        <f>IF(ISNA(IF(AND(VLOOKUP(CONCATENATE($D624,$G624),CSRFinput!$B:$E,4,0)=0,OR(H624=MappingTables!$C$31,H624=MappingTables!$C$32)),1,VLOOKUP(CONCATENATE($D624,$G624),CSRFinput!$B:$E,4,0))),0,IF(AND(VLOOKUP(CONCATENATE($D624,$G624),CSRFinput!$B:$E,4,0)=0,OR(H624=MappingTables!$C$31,H624=MappingTables!$C$32)),1,VLOOKUP(CONCATENATE($D624,$G624),CSRFinput!$B:$E,4,0)))</f>
        <v>0.054776304963434752</v>
      </c>
      <c r="S624" s="73">
        <f>IF(B624="",0,P624*R624)</f>
        <v>2.434332260620292</v>
      </c>
      <c r="T624" s="85">
        <f>IF(B624="",0,IF(OR(H624=MappingTables!$C$34,H624=MappingTables!$C$35),S624,0))</f>
        <v>0</v>
      </c>
    </row>
    <row r="625" spans="2:20" s="0" customFormat="0" ht="15">
      <c r="B625" s="69">
        <v>22554254</v>
      </c>
      <c r="C625" s="70" t="s">
        <v>3478</v>
      </c>
      <c r="D625" s="70" t="s">
        <v>1</v>
      </c>
      <c r="E625" s="70" t="s">
        <v>1</v>
      </c>
      <c r="F625" s="70"/>
      <c r="G625" s="70" t="s">
        <v>61</v>
      </c>
      <c r="H625" s="70" t="s">
        <v>178</v>
      </c>
      <c r="I625" s="70" t="s">
        <v>216</v>
      </c>
      <c r="J625" s="71">
        <f>IF(OR(I625=0,I625=""),"unrated",VLOOKUP(I625,MappingTables!$B$19:$C$31,2,FALSE))</f>
        <v>0</v>
      </c>
      <c r="K625" s="72">
        <v>82.92237505244632</v>
      </c>
      <c r="L625" s="70">
        <v>0.018254049363300608</v>
      </c>
      <c r="M625" s="71">
        <f>IF(L625&lt;1,1,L625)</f>
        <v>1</v>
      </c>
      <c r="N625" s="70" t="s">
        <v>3288</v>
      </c>
      <c r="O625" s="71">
        <f>IF(OR(I625=$A$1,I625=0),"",IF(N625=MappingTables!$C$14,VLOOKUP(J625,ModelParameters!$M$8:$N$15,2,FALSE),IF(N625=MappingTables!$C$16,VLOOKUP(J625,ModelParameters!$P$8:$Q$15,2,FALSE),0)))</f>
        <v>0.125</v>
      </c>
      <c r="P625" s="73">
        <f>IF(OR(I625=0,I625=$A$1),0,MIN(O625*M625,1)*K625)</f>
        <v>10.36529688155579</v>
      </c>
      <c r="Q625" s="73">
        <f>IF(B625="",0,IF(OR(H625=MappingTables!$C$34,H625=MappingTables!$C$35),P625,0))</f>
        <v>0</v>
      </c>
      <c r="R625" s="73">
        <f>IF(ISNA(IF(AND(VLOOKUP(CONCATENATE($D625,$G625),CSRFinput!$B:$E,4,0)=0,OR(H625=MappingTables!$C$31,H625=MappingTables!$C$32)),1,VLOOKUP(CONCATENATE($D625,$G625),CSRFinput!$B:$E,4,0))),0,IF(AND(VLOOKUP(CONCATENATE($D625,$G625),CSRFinput!$B:$E,4,0)=0,OR(H625=MappingTables!$C$31,H625=MappingTables!$C$32)),1,VLOOKUP(CONCATENATE($D625,$G625),CSRFinput!$B:$E,4,0)))</f>
        <v>0.054776304963434752</v>
      </c>
      <c r="S625" s="73">
        <f>IF(B625="",0,P625*R625)</f>
        <v>0.5677726630206392</v>
      </c>
      <c r="T625" s="85">
        <f>IF(B625="",0,IF(OR(H625=MappingTables!$C$34,H625=MappingTables!$C$35),S625,0))</f>
        <v>0</v>
      </c>
    </row>
    <row r="626" spans="2:20" s="0" customFormat="0" ht="15">
      <c r="B626" s="69" t="s">
        <v>4196</v>
      </c>
      <c r="C626" s="70" t="s">
        <v>4197</v>
      </c>
      <c r="D626" s="70" t="s">
        <v>1</v>
      </c>
      <c r="E626" s="70" t="s">
        <v>1</v>
      </c>
      <c r="F626" s="70"/>
      <c r="G626" s="70" t="s">
        <v>61</v>
      </c>
      <c r="H626" s="70" t="s">
        <v>178</v>
      </c>
      <c r="I626" s="70" t="s">
        <v>198</v>
      </c>
      <c r="J626" s="71" t="str">
        <f>IF(OR(I626=0,I626=""),"unrated",VLOOKUP(I626,MappingTables!$B$19:$C$31,2,FALSE))</f>
        <v>unrated</v>
      </c>
      <c r="K626" s="72">
        <v>136.44195369574144</v>
      </c>
      <c r="L626" s="70">
        <v>-0.76337354355822288</v>
      </c>
      <c r="M626" s="71">
        <f>IF(L626&lt;1,1,L626)</f>
        <v>1</v>
      </c>
      <c r="N626" s="70" t="s">
        <v>3288</v>
      </c>
      <c r="O626" s="71">
        <f>IF(OR(I626=$A$1,I626=0),"",IF(N626=MappingTables!$C$14,VLOOKUP(J626,ModelParameters!$M$8:$N$15,2,FALSE),IF(N626=MappingTables!$C$16,VLOOKUP(J626,ModelParameters!$P$8:$Q$15,2,FALSE),0)))</f>
        <v>1</v>
      </c>
      <c r="P626" s="73">
        <f>IF(OR(I626=0,I626=$A$1),0,MIN(O626*M626,1)*K626)</f>
        <v>136.44195369574144</v>
      </c>
      <c r="Q626" s="73">
        <f>IF(B626="",0,IF(OR(H626=MappingTables!$C$34,H626=MappingTables!$C$35),P626,0))</f>
        <v>0</v>
      </c>
      <c r="R626" s="73">
        <f>IF(ISNA(IF(AND(VLOOKUP(CONCATENATE($D626,$G626),CSRFinput!$B:$E,4,0)=0,OR(H626=MappingTables!$C$31,H626=MappingTables!$C$32)),1,VLOOKUP(CONCATENATE($D626,$G626),CSRFinput!$B:$E,4,0))),0,IF(AND(VLOOKUP(CONCATENATE($D626,$G626),CSRFinput!$B:$E,4,0)=0,OR(H626=MappingTables!$C$31,H626=MappingTables!$C$32)),1,VLOOKUP(CONCATENATE($D626,$G626),CSRFinput!$B:$E,4,0)))</f>
        <v>0.054776304963434752</v>
      </c>
      <c r="S626" s="73">
        <f>IF(B626="",0,P626*R626)</f>
        <v>7.473786065444776</v>
      </c>
      <c r="T626" s="85">
        <f>IF(B626="",0,IF(OR(H626=MappingTables!$C$34,H626=MappingTables!$C$35),S626,0))</f>
        <v>0</v>
      </c>
    </row>
    <row r="627" spans="2:20" s="0" customFormat="0" ht="15">
      <c r="B627" s="69" t="s">
        <v>4198</v>
      </c>
      <c r="C627" s="70" t="s">
        <v>4199</v>
      </c>
      <c r="D627" s="70" t="s">
        <v>1</v>
      </c>
      <c r="E627" s="70" t="s">
        <v>1</v>
      </c>
      <c r="F627" s="70"/>
      <c r="G627" s="70" t="s">
        <v>61</v>
      </c>
      <c r="H627" s="70" t="s">
        <v>178</v>
      </c>
      <c r="I627" s="70" t="s">
        <v>181</v>
      </c>
      <c r="J627" s="71">
        <f>IF(OR(I627=0,I627=""),"unrated",VLOOKUP(I627,MappingTables!$B$19:$C$31,2,FALSE))</f>
        <v>3</v>
      </c>
      <c r="K627" s="72">
        <v>49.377138661658744</v>
      </c>
      <c r="L627" s="70">
        <v>0.06849255861436296</v>
      </c>
      <c r="M627" s="71">
        <f>IF(L627&lt;1,1,L627)</f>
        <v>1</v>
      </c>
      <c r="N627" s="70" t="s">
        <v>3288</v>
      </c>
      <c r="O627" s="71">
        <f>IF(OR(I627=$A$1,I627=0),"",IF(N627=MappingTables!$C$14,VLOOKUP(J627,ModelParameters!$M$8:$N$15,2,FALSE),IF(N627=MappingTables!$C$16,VLOOKUP(J627,ModelParameters!$P$8:$Q$15,2,FALSE),0)))</f>
        <v>0.197</v>
      </c>
      <c r="P627" s="73">
        <f>IF(OR(I627=0,I627=$A$1),0,MIN(O627*M627,1)*K627)</f>
        <v>9.7272963163467712</v>
      </c>
      <c r="Q627" s="73">
        <f>IF(B627="",0,IF(OR(H627=MappingTables!$C$34,H627=MappingTables!$C$35),P627,0))</f>
        <v>0</v>
      </c>
      <c r="R627" s="73">
        <f>IF(ISNA(IF(AND(VLOOKUP(CONCATENATE($D627,$G627),CSRFinput!$B:$E,4,0)=0,OR(H627=MappingTables!$C$31,H627=MappingTables!$C$32)),1,VLOOKUP(CONCATENATE($D627,$G627),CSRFinput!$B:$E,4,0))),0,IF(AND(VLOOKUP(CONCATENATE($D627,$G627),CSRFinput!$B:$E,4,0)=0,OR(H627=MappingTables!$C$31,H627=MappingTables!$C$32)),1,VLOOKUP(CONCATENATE($D627,$G627),CSRFinput!$B:$E,4,0)))</f>
        <v>0.054776304963434752</v>
      </c>
      <c r="S627" s="73">
        <f>IF(B627="",0,P627*R627)</f>
        <v>0.53282534949390624</v>
      </c>
      <c r="T627" s="85">
        <f>IF(B627="",0,IF(OR(H627=MappingTables!$C$34,H627=MappingTables!$C$35),S627,0))</f>
        <v>0</v>
      </c>
    </row>
    <row r="628" spans="2:20" s="0" customFormat="0" ht="15">
      <c r="B628" s="69" t="s">
        <v>4200</v>
      </c>
      <c r="C628" s="70" t="s">
        <v>4201</v>
      </c>
      <c r="D628" s="70" t="s">
        <v>1</v>
      </c>
      <c r="E628" s="70" t="s">
        <v>1</v>
      </c>
      <c r="F628" s="70"/>
      <c r="G628" s="70" t="s">
        <v>61</v>
      </c>
      <c r="H628" s="70" t="s">
        <v>178</v>
      </c>
      <c r="I628" s="70" t="s">
        <v>204</v>
      </c>
      <c r="J628" s="71">
        <f>IF(OR(I628=0,I628=""),"unrated",VLOOKUP(I628,MappingTables!$B$19:$C$31,2,FALSE))</f>
        <v>6</v>
      </c>
      <c r="K628" s="72">
        <v>579.02292734904264</v>
      </c>
      <c r="L628" s="70">
        <v>0.06849316512974092</v>
      </c>
      <c r="M628" s="71">
        <f>IF(L628&lt;1,1,L628)</f>
        <v>1</v>
      </c>
      <c r="N628" s="70" t="s">
        <v>3288</v>
      </c>
      <c r="O628" s="71">
        <f>IF(OR(I628=$A$1,I628=0),"",IF(N628=MappingTables!$C$14,VLOOKUP(J628,ModelParameters!$M$8:$N$15,2,FALSE),IF(N628=MappingTables!$C$16,VLOOKUP(J628,ModelParameters!$P$8:$Q$15,2,FALSE),0)))</f>
        <v>1</v>
      </c>
      <c r="P628" s="73">
        <f>IF(OR(I628=0,I628=$A$1),0,MIN(O628*M628,1)*K628)</f>
        <v>579.02292734904264</v>
      </c>
      <c r="Q628" s="73">
        <f>IF(B628="",0,IF(OR(H628=MappingTables!$C$34,H628=MappingTables!$C$35),P628,0))</f>
        <v>0</v>
      </c>
      <c r="R628" s="73">
        <f>IF(ISNA(IF(AND(VLOOKUP(CONCATENATE($D628,$G628),CSRFinput!$B:$E,4,0)=0,OR(H628=MappingTables!$C$31,H628=MappingTables!$C$32)),1,VLOOKUP(CONCATENATE($D628,$G628),CSRFinput!$B:$E,4,0))),0,IF(AND(VLOOKUP(CONCATENATE($D628,$G628),CSRFinput!$B:$E,4,0)=0,OR(H628=MappingTables!$C$31,H628=MappingTables!$C$32)),1,VLOOKUP(CONCATENATE($D628,$G628),CSRFinput!$B:$E,4,0)))</f>
        <v>0.054776304963434752</v>
      </c>
      <c r="S628" s="73">
        <f>IF(B628="",0,P628*R628)</f>
        <v>31.716736449291888</v>
      </c>
      <c r="T628" s="85">
        <f>IF(B628="",0,IF(OR(H628=MappingTables!$C$34,H628=MappingTables!$C$35),S628,0))</f>
        <v>0</v>
      </c>
    </row>
    <row r="629" spans="2:20" s="0" customFormat="0" ht="15">
      <c r="B629" s="69">
        <v>19216270</v>
      </c>
      <c r="C629" s="70" t="s">
        <v>3844</v>
      </c>
      <c r="D629" s="70" t="s">
        <v>1</v>
      </c>
      <c r="E629" s="70" t="s">
        <v>1</v>
      </c>
      <c r="F629" s="70"/>
      <c r="G629" s="70" t="s">
        <v>61</v>
      </c>
      <c r="H629" s="70" t="s">
        <v>178</v>
      </c>
      <c r="I629" s="70" t="s">
        <v>216</v>
      </c>
      <c r="J629" s="71">
        <f>IF(OR(I629=0,I629=""),"unrated",VLOOKUP(I629,MappingTables!$B$19:$C$31,2,FALSE))</f>
        <v>0</v>
      </c>
      <c r="K629" s="72">
        <v>353.85801315625428</v>
      </c>
      <c r="L629" s="70">
        <v>0.052380210345805784</v>
      </c>
      <c r="M629" s="71">
        <f>IF(L629&lt;1,1,L629)</f>
        <v>1</v>
      </c>
      <c r="N629" s="70" t="s">
        <v>3288</v>
      </c>
      <c r="O629" s="71">
        <f>IF(OR(I629=$A$1,I629=0),"",IF(N629=MappingTables!$C$14,VLOOKUP(J629,ModelParameters!$M$8:$N$15,2,FALSE),IF(N629=MappingTables!$C$16,VLOOKUP(J629,ModelParameters!$P$8:$Q$15,2,FALSE),0)))</f>
        <v>0.125</v>
      </c>
      <c r="P629" s="73">
        <f>IF(OR(I629=0,I629=$A$1),0,MIN(O629*M629,1)*K629)</f>
        <v>44.232251644531784</v>
      </c>
      <c r="Q629" s="73">
        <f>IF(B629="",0,IF(OR(H629=MappingTables!$C$34,H629=MappingTables!$C$35),P629,0))</f>
        <v>0</v>
      </c>
      <c r="R629" s="73">
        <f>IF(ISNA(IF(AND(VLOOKUP(CONCATENATE($D629,$G629),CSRFinput!$B:$E,4,0)=0,OR(H629=MappingTables!$C$31,H629=MappingTables!$C$32)),1,VLOOKUP(CONCATENATE($D629,$G629),CSRFinput!$B:$E,4,0))),0,IF(AND(VLOOKUP(CONCATENATE($D629,$G629),CSRFinput!$B:$E,4,0)=0,OR(H629=MappingTables!$C$31,H629=MappingTables!$C$32)),1,VLOOKUP(CONCATENATE($D629,$G629),CSRFinput!$B:$E,4,0)))</f>
        <v>0.054776304963434752</v>
      </c>
      <c r="S629" s="73">
        <f>IF(B629="",0,P629*R629)</f>
        <v>2.4228793053002616</v>
      </c>
      <c r="T629" s="85">
        <f>IF(B629="",0,IF(OR(H629=MappingTables!$C$34,H629=MappingTables!$C$35),S629,0))</f>
        <v>0</v>
      </c>
    </row>
    <row r="630" spans="2:20" s="0" customFormat="0" ht="15">
      <c r="B630" s="69">
        <v>4138940</v>
      </c>
      <c r="C630" s="70" t="s">
        <v>4202</v>
      </c>
      <c r="D630" s="70" t="s">
        <v>1</v>
      </c>
      <c r="E630" s="70" t="s">
        <v>1</v>
      </c>
      <c r="F630" s="70"/>
      <c r="G630" s="70" t="s">
        <v>61</v>
      </c>
      <c r="H630" s="70" t="s">
        <v>178</v>
      </c>
      <c r="I630" s="70" t="s">
        <v>198</v>
      </c>
      <c r="J630" s="71" t="str">
        <f>IF(OR(I630=0,I630=""),"unrated",VLOOKUP(I630,MappingTables!$B$19:$C$31,2,FALSE))</f>
        <v>unrated</v>
      </c>
      <c r="K630" s="72">
        <v>33.068306929939724</v>
      </c>
      <c r="L630" s="70">
        <v>0.068495212708932664</v>
      </c>
      <c r="M630" s="71">
        <f>IF(L630&lt;1,1,L630)</f>
        <v>1</v>
      </c>
      <c r="N630" s="70" t="s">
        <v>3288</v>
      </c>
      <c r="O630" s="71">
        <f>IF(OR(I630=$A$1,I630=0),"",IF(N630=MappingTables!$C$14,VLOOKUP(J630,ModelParameters!$M$8:$N$15,2,FALSE),IF(N630=MappingTables!$C$16,VLOOKUP(J630,ModelParameters!$P$8:$Q$15,2,FALSE),0)))</f>
        <v>1</v>
      </c>
      <c r="P630" s="73">
        <f>IF(OR(I630=0,I630=$A$1),0,MIN(O630*M630,1)*K630)</f>
        <v>33.068306929939724</v>
      </c>
      <c r="Q630" s="73">
        <f>IF(B630="",0,IF(OR(H630=MappingTables!$C$34,H630=MappingTables!$C$35),P630,0))</f>
        <v>0</v>
      </c>
      <c r="R630" s="73">
        <f>IF(ISNA(IF(AND(VLOOKUP(CONCATENATE($D630,$G630),CSRFinput!$B:$E,4,0)=0,OR(H630=MappingTables!$C$31,H630=MappingTables!$C$32)),1,VLOOKUP(CONCATENATE($D630,$G630),CSRFinput!$B:$E,4,0))),0,IF(AND(VLOOKUP(CONCATENATE($D630,$G630),CSRFinput!$B:$E,4,0)=0,OR(H630=MappingTables!$C$31,H630=MappingTables!$C$32)),1,VLOOKUP(CONCATENATE($D630,$G630),CSRFinput!$B:$E,4,0)))</f>
        <v>0.054776304963434752</v>
      </c>
      <c r="S630" s="73">
        <f>IF(B630="",0,P630*R630)</f>
        <v>1.8113596650188412</v>
      </c>
      <c r="T630" s="85">
        <f>IF(B630="",0,IF(OR(H630=MappingTables!$C$34,H630=MappingTables!$C$35),S630,0))</f>
        <v>0</v>
      </c>
    </row>
    <row r="631" spans="2:20" s="0" customFormat="0" ht="15">
      <c r="B631" s="69" t="s">
        <v>4203</v>
      </c>
      <c r="C631" s="70" t="s">
        <v>4204</v>
      </c>
      <c r="D631" s="70" t="s">
        <v>1</v>
      </c>
      <c r="E631" s="70" t="s">
        <v>1</v>
      </c>
      <c r="F631" s="70"/>
      <c r="G631" s="70" t="s">
        <v>61</v>
      </c>
      <c r="H631" s="70" t="s">
        <v>178</v>
      </c>
      <c r="I631" s="70" t="s">
        <v>184</v>
      </c>
      <c r="J631" s="71">
        <f>IF(OR(I631=0,I631=""),"unrated",VLOOKUP(I631,MappingTables!$B$19:$C$31,2,FALSE))</f>
        <v>5</v>
      </c>
      <c r="K631" s="72">
        <v>1076.8417248598198</v>
      </c>
      <c r="L631" s="70">
        <v>0.068493409143817824</v>
      </c>
      <c r="M631" s="71">
        <f>IF(L631&lt;1,1,L631)</f>
        <v>1</v>
      </c>
      <c r="N631" s="70" t="s">
        <v>3288</v>
      </c>
      <c r="O631" s="71">
        <f>IF(OR(I631=$A$1,I631=0),"",IF(N631=MappingTables!$C$14,VLOOKUP(J631,ModelParameters!$M$8:$N$15,2,FALSE),IF(N631=MappingTables!$C$16,VLOOKUP(J631,ModelParameters!$P$8:$Q$15,2,FALSE),0)))</f>
        <v>1</v>
      </c>
      <c r="P631" s="73">
        <f>IF(OR(I631=0,I631=$A$1),0,MIN(O631*M631,1)*K631)</f>
        <v>1076.8417248598198</v>
      </c>
      <c r="Q631" s="73">
        <f>IF(B631="",0,IF(OR(H631=MappingTables!$C$34,H631=MappingTables!$C$35),P631,0))</f>
        <v>0</v>
      </c>
      <c r="R631" s="73">
        <f>IF(ISNA(IF(AND(VLOOKUP(CONCATENATE($D631,$G631),CSRFinput!$B:$E,4,0)=0,OR(H631=MappingTables!$C$31,H631=MappingTables!$C$32)),1,VLOOKUP(CONCATENATE($D631,$G631),CSRFinput!$B:$E,4,0))),0,IF(AND(VLOOKUP(CONCATENATE($D631,$G631),CSRFinput!$B:$E,4,0)=0,OR(H631=MappingTables!$C$31,H631=MappingTables!$C$32)),1,VLOOKUP(CONCATENATE($D631,$G631),CSRFinput!$B:$E,4,0)))</f>
        <v>0.054776304963434752</v>
      </c>
      <c r="S631" s="73">
        <f>IF(B631="",0,P631*R631)</f>
        <v>58.985410718272592</v>
      </c>
      <c r="T631" s="85">
        <f>IF(B631="",0,IF(OR(H631=MappingTables!$C$34,H631=MappingTables!$C$35),S631,0))</f>
        <v>0</v>
      </c>
    </row>
    <row r="632" spans="2:20" s="0" customFormat="0" ht="15">
      <c r="B632" s="69" t="s">
        <v>4205</v>
      </c>
      <c r="C632" s="70" t="s">
        <v>4206</v>
      </c>
      <c r="D632" s="70" t="s">
        <v>1</v>
      </c>
      <c r="E632" s="70" t="s">
        <v>1</v>
      </c>
      <c r="F632" s="70"/>
      <c r="G632" s="70" t="s">
        <v>61</v>
      </c>
      <c r="H632" s="70" t="s">
        <v>178</v>
      </c>
      <c r="I632" s="70" t="s">
        <v>198</v>
      </c>
      <c r="J632" s="71" t="str">
        <f>IF(OR(I632=0,I632=""),"unrated",VLOOKUP(I632,MappingTables!$B$19:$C$31,2,FALSE))</f>
        <v>unrated</v>
      </c>
      <c r="K632" s="72">
        <v>28212.022521291156</v>
      </c>
      <c r="L632" s="70">
        <v>9.5918282384731024</v>
      </c>
      <c r="M632" s="71">
        <f>IF(L632&lt;1,1,L632)</f>
        <v>9.5918282384731024</v>
      </c>
      <c r="N632" s="70" t="s">
        <v>3288</v>
      </c>
      <c r="O632" s="71">
        <f>IF(OR(I632=$A$1,I632=0),"",IF(N632=MappingTables!$C$14,VLOOKUP(J632,ModelParameters!$M$8:$N$15,2,FALSE),IF(N632=MappingTables!$C$16,VLOOKUP(J632,ModelParameters!$P$8:$Q$15,2,FALSE),0)))</f>
        <v>1</v>
      </c>
      <c r="P632" s="73">
        <f>IF(OR(I632=0,I632=$A$1),0,MIN(O632*M632,1)*K632)</f>
        <v>28212.022521291156</v>
      </c>
      <c r="Q632" s="73">
        <f>IF(B632="",0,IF(OR(H632=MappingTables!$C$34,H632=MappingTables!$C$35),P632,0))</f>
        <v>0</v>
      </c>
      <c r="R632" s="73">
        <f>IF(ISNA(IF(AND(VLOOKUP(CONCATENATE($D632,$G632),CSRFinput!$B:$E,4,0)=0,OR(H632=MappingTables!$C$31,H632=MappingTables!$C$32)),1,VLOOKUP(CONCATENATE($D632,$G632),CSRFinput!$B:$E,4,0))),0,IF(AND(VLOOKUP(CONCATENATE($D632,$G632),CSRFinput!$B:$E,4,0)=0,OR(H632=MappingTables!$C$31,H632=MappingTables!$C$32)),1,VLOOKUP(CONCATENATE($D632,$G632),CSRFinput!$B:$E,4,0)))</f>
        <v>0.054776304963434752</v>
      </c>
      <c r="S632" s="73">
        <f>IF(B632="",0,P632*R632)</f>
        <v>1545.3503492615338</v>
      </c>
      <c r="T632" s="85">
        <f>IF(B632="",0,IF(OR(H632=MappingTables!$C$34,H632=MappingTables!$C$35),S632,0))</f>
        <v>0</v>
      </c>
    </row>
    <row r="633" spans="2:20" s="0" customFormat="0" ht="15">
      <c r="B633" s="69">
        <v>14504636</v>
      </c>
      <c r="C633" s="70" t="s">
        <v>4207</v>
      </c>
      <c r="D633" s="70" t="s">
        <v>1</v>
      </c>
      <c r="E633" s="70" t="s">
        <v>1</v>
      </c>
      <c r="F633" s="70"/>
      <c r="G633" s="70" t="s">
        <v>61</v>
      </c>
      <c r="H633" s="70" t="s">
        <v>178</v>
      </c>
      <c r="I633" s="70" t="s">
        <v>216</v>
      </c>
      <c r="J633" s="71">
        <f>IF(OR(I633=0,I633=""),"unrated",VLOOKUP(I633,MappingTables!$B$19:$C$31,2,FALSE))</f>
        <v>0</v>
      </c>
      <c r="K633" s="72">
        <v>42.228133069812944</v>
      </c>
      <c r="L633" s="70">
        <v>0.068767886641182368</v>
      </c>
      <c r="M633" s="71">
        <f>IF(L633&lt;1,1,L633)</f>
        <v>1</v>
      </c>
      <c r="N633" s="70" t="s">
        <v>3288</v>
      </c>
      <c r="O633" s="71">
        <f>IF(OR(I633=$A$1,I633=0),"",IF(N633=MappingTables!$C$14,VLOOKUP(J633,ModelParameters!$M$8:$N$15,2,FALSE),IF(N633=MappingTables!$C$16,VLOOKUP(J633,ModelParameters!$P$8:$Q$15,2,FALSE),0)))</f>
        <v>0.125</v>
      </c>
      <c r="P633" s="73">
        <f>IF(OR(I633=0,I633=$A$1),0,MIN(O633*M633,1)*K633)</f>
        <v>5.2785166337266176</v>
      </c>
      <c r="Q633" s="73">
        <f>IF(B633="",0,IF(OR(H633=MappingTables!$C$34,H633=MappingTables!$C$35),P633,0))</f>
        <v>0</v>
      </c>
      <c r="R633" s="73">
        <f>IF(ISNA(IF(AND(VLOOKUP(CONCATENATE($D633,$G633),CSRFinput!$B:$E,4,0)=0,OR(H633=MappingTables!$C$31,H633=MappingTables!$C$32)),1,VLOOKUP(CONCATENATE($D633,$G633),CSRFinput!$B:$E,4,0))),0,IF(AND(VLOOKUP(CONCATENATE($D633,$G633),CSRFinput!$B:$E,4,0)=0,OR(H633=MappingTables!$C$31,H633=MappingTables!$C$32)),1,VLOOKUP(CONCATENATE($D633,$G633),CSRFinput!$B:$E,4,0)))</f>
        <v>0.054776304963434752</v>
      </c>
      <c r="S633" s="73">
        <f>IF(B633="",0,P633*R633)</f>
        <v>0.28913763688357224</v>
      </c>
      <c r="T633" s="85">
        <f>IF(B633="",0,IF(OR(H633=MappingTables!$C$34,H633=MappingTables!$C$35),S633,0))</f>
        <v>0</v>
      </c>
    </row>
    <row r="634" spans="2:20" s="0" customFormat="0" ht="15">
      <c r="B634" s="69">
        <v>994430</v>
      </c>
      <c r="C634" s="70" t="s">
        <v>4208</v>
      </c>
      <c r="D634" s="70" t="s">
        <v>1</v>
      </c>
      <c r="E634" s="70" t="s">
        <v>1</v>
      </c>
      <c r="F634" s="70"/>
      <c r="G634" s="70" t="s">
        <v>61</v>
      </c>
      <c r="H634" s="70" t="s">
        <v>178</v>
      </c>
      <c r="I634" s="70" t="s">
        <v>204</v>
      </c>
      <c r="J634" s="71">
        <f>IF(OR(I634=0,I634=""),"unrated",VLOOKUP(I634,MappingTables!$B$19:$C$31,2,FALSE))</f>
        <v>6</v>
      </c>
      <c r="K634" s="72">
        <v>217.15142005404384</v>
      </c>
      <c r="L634" s="70">
        <v>0.068494850646475024</v>
      </c>
      <c r="M634" s="71">
        <f>IF(L634&lt;1,1,L634)</f>
        <v>1</v>
      </c>
      <c r="N634" s="70" t="s">
        <v>3288</v>
      </c>
      <c r="O634" s="71">
        <f>IF(OR(I634=$A$1,I634=0),"",IF(N634=MappingTables!$C$14,VLOOKUP(J634,ModelParameters!$M$8:$N$15,2,FALSE),IF(N634=MappingTables!$C$16,VLOOKUP(J634,ModelParameters!$P$8:$Q$15,2,FALSE),0)))</f>
        <v>1</v>
      </c>
      <c r="P634" s="73">
        <f>IF(OR(I634=0,I634=$A$1),0,MIN(O634*M634,1)*K634)</f>
        <v>217.15142005404384</v>
      </c>
      <c r="Q634" s="73">
        <f>IF(B634="",0,IF(OR(H634=MappingTables!$C$34,H634=MappingTables!$C$35),P634,0))</f>
        <v>0</v>
      </c>
      <c r="R634" s="73">
        <f>IF(ISNA(IF(AND(VLOOKUP(CONCATENATE($D634,$G634),CSRFinput!$B:$E,4,0)=0,OR(H634=MappingTables!$C$31,H634=MappingTables!$C$32)),1,VLOOKUP(CONCATENATE($D634,$G634),CSRFinput!$B:$E,4,0))),0,IF(AND(VLOOKUP(CONCATENATE($D634,$G634),CSRFinput!$B:$E,4,0)=0,OR(H634=MappingTables!$C$31,H634=MappingTables!$C$32)),1,VLOOKUP(CONCATENATE($D634,$G634),CSRFinput!$B:$E,4,0)))</f>
        <v>0.054776304963434752</v>
      </c>
      <c r="S634" s="73">
        <f>IF(B634="",0,P634*R634)</f>
        <v>11.894752408123228</v>
      </c>
      <c r="T634" s="85">
        <f>IF(B634="",0,IF(OR(H634=MappingTables!$C$34,H634=MappingTables!$C$35),S634,0))</f>
        <v>0</v>
      </c>
    </row>
    <row r="635" spans="2:20" s="0" customFormat="0" ht="15">
      <c r="B635" s="69" t="s">
        <v>4209</v>
      </c>
      <c r="C635" s="70" t="s">
        <v>4210</v>
      </c>
      <c r="D635" s="70" t="s">
        <v>1</v>
      </c>
      <c r="E635" s="70" t="s">
        <v>1</v>
      </c>
      <c r="F635" s="70"/>
      <c r="G635" s="70" t="s">
        <v>61</v>
      </c>
      <c r="H635" s="70" t="s">
        <v>178</v>
      </c>
      <c r="I635" s="70" t="s">
        <v>204</v>
      </c>
      <c r="J635" s="71">
        <f>IF(OR(I635=0,I635=""),"unrated",VLOOKUP(I635,MappingTables!$B$19:$C$31,2,FALSE))</f>
        <v>6</v>
      </c>
      <c r="K635" s="72">
        <v>24.445779056838528</v>
      </c>
      <c r="L635" s="70">
        <v>0.068493931721405176</v>
      </c>
      <c r="M635" s="71">
        <f>IF(L635&lt;1,1,L635)</f>
        <v>1</v>
      </c>
      <c r="N635" s="70" t="s">
        <v>3288</v>
      </c>
      <c r="O635" s="71">
        <f>IF(OR(I635=$A$1,I635=0),"",IF(N635=MappingTables!$C$14,VLOOKUP(J635,ModelParameters!$M$8:$N$15,2,FALSE),IF(N635=MappingTables!$C$16,VLOOKUP(J635,ModelParameters!$P$8:$Q$15,2,FALSE),0)))</f>
        <v>1</v>
      </c>
      <c r="P635" s="73">
        <f>IF(OR(I635=0,I635=$A$1),0,MIN(O635*M635,1)*K635)</f>
        <v>24.445779056838528</v>
      </c>
      <c r="Q635" s="73">
        <f>IF(B635="",0,IF(OR(H635=MappingTables!$C$34,H635=MappingTables!$C$35),P635,0))</f>
        <v>0</v>
      </c>
      <c r="R635" s="73">
        <f>IF(ISNA(IF(AND(VLOOKUP(CONCATENATE($D635,$G635),CSRFinput!$B:$E,4,0)=0,OR(H635=MappingTables!$C$31,H635=MappingTables!$C$32)),1,VLOOKUP(CONCATENATE($D635,$G635),CSRFinput!$B:$E,4,0))),0,IF(AND(VLOOKUP(CONCATENATE($D635,$G635),CSRFinput!$B:$E,4,0)=0,OR(H635=MappingTables!$C$31,H635=MappingTables!$C$32)),1,VLOOKUP(CONCATENATE($D635,$G635),CSRFinput!$B:$E,4,0)))</f>
        <v>0.054776304963434752</v>
      </c>
      <c r="S635" s="73">
        <f>IF(B635="",0,P635*R635)</f>
        <v>1.3390494486861338</v>
      </c>
      <c r="T635" s="85">
        <f>IF(B635="",0,IF(OR(H635=MappingTables!$C$34,H635=MappingTables!$C$35),S635,0))</f>
        <v>0</v>
      </c>
    </row>
    <row r="636" spans="2:20" s="0" customFormat="0" ht="15">
      <c r="B636" s="69" t="s">
        <v>4211</v>
      </c>
      <c r="C636" s="70" t="s">
        <v>4212</v>
      </c>
      <c r="D636" s="70" t="s">
        <v>1</v>
      </c>
      <c r="E636" s="70" t="s">
        <v>1</v>
      </c>
      <c r="F636" s="70"/>
      <c r="G636" s="70" t="s">
        <v>61</v>
      </c>
      <c r="H636" s="70" t="s">
        <v>178</v>
      </c>
      <c r="I636" s="70" t="s">
        <v>198</v>
      </c>
      <c r="J636" s="71" t="str">
        <f>IF(OR(I636=0,I636=""),"unrated",VLOOKUP(I636,MappingTables!$B$19:$C$31,2,FALSE))</f>
        <v>unrated</v>
      </c>
      <c r="K636" s="72">
        <v>22326.070947523256</v>
      </c>
      <c r="L636" s="70">
        <v>6.5910694146012464</v>
      </c>
      <c r="M636" s="71">
        <f>IF(L636&lt;1,1,L636)</f>
        <v>6.5910694146012464</v>
      </c>
      <c r="N636" s="70" t="s">
        <v>3288</v>
      </c>
      <c r="O636" s="71">
        <f>IF(OR(I636=$A$1,I636=0),"",IF(N636=MappingTables!$C$14,VLOOKUP(J636,ModelParameters!$M$8:$N$15,2,FALSE),IF(N636=MappingTables!$C$16,VLOOKUP(J636,ModelParameters!$P$8:$Q$15,2,FALSE),0)))</f>
        <v>1</v>
      </c>
      <c r="P636" s="73">
        <f>IF(OR(I636=0,I636=$A$1),0,MIN(O636*M636,1)*K636)</f>
        <v>22326.070947523256</v>
      </c>
      <c r="Q636" s="73">
        <f>IF(B636="",0,IF(OR(H636=MappingTables!$C$34,H636=MappingTables!$C$35),P636,0))</f>
        <v>0</v>
      </c>
      <c r="R636" s="73">
        <f>IF(ISNA(IF(AND(VLOOKUP(CONCATENATE($D636,$G636),CSRFinput!$B:$E,4,0)=0,OR(H636=MappingTables!$C$31,H636=MappingTables!$C$32)),1,VLOOKUP(CONCATENATE($D636,$G636),CSRFinput!$B:$E,4,0))),0,IF(AND(VLOOKUP(CONCATENATE($D636,$G636),CSRFinput!$B:$E,4,0)=0,OR(H636=MappingTables!$C$31,H636=MappingTables!$C$32)),1,VLOOKUP(CONCATENATE($D636,$G636),CSRFinput!$B:$E,4,0)))</f>
        <v>0.054776304963434752</v>
      </c>
      <c r="S636" s="73">
        <f>IF(B636="",0,P636*R636)</f>
        <v>1222.9396708568144</v>
      </c>
      <c r="T636" s="85">
        <f>IF(B636="",0,IF(OR(H636=MappingTables!$C$34,H636=MappingTables!$C$35),S636,0))</f>
        <v>0</v>
      </c>
    </row>
    <row r="637" spans="2:20" s="0" customFormat="0" ht="15">
      <c r="B637" s="69" t="s">
        <v>4213</v>
      </c>
      <c r="C637" s="70" t="s">
        <v>4214</v>
      </c>
      <c r="D637" s="70" t="s">
        <v>1</v>
      </c>
      <c r="E637" s="70" t="s">
        <v>1</v>
      </c>
      <c r="F637" s="70"/>
      <c r="G637" s="70" t="s">
        <v>61</v>
      </c>
      <c r="H637" s="70" t="s">
        <v>178</v>
      </c>
      <c r="I637" s="70" t="s">
        <v>198</v>
      </c>
      <c r="J637" s="71" t="str">
        <f>IF(OR(I637=0,I637=""),"unrated",VLOOKUP(I637,MappingTables!$B$19:$C$31,2,FALSE))</f>
        <v>unrated</v>
      </c>
      <c r="K637" s="72">
        <v>1485.561353981383</v>
      </c>
      <c r="L637" s="70">
        <v>30.752233438710388</v>
      </c>
      <c r="M637" s="71">
        <f>IF(L637&lt;1,1,L637)</f>
        <v>30.752233438710388</v>
      </c>
      <c r="N637" s="70" t="s">
        <v>3288</v>
      </c>
      <c r="O637" s="71">
        <f>IF(OR(I637=$A$1,I637=0),"",IF(N637=MappingTables!$C$14,VLOOKUP(J637,ModelParameters!$M$8:$N$15,2,FALSE),IF(N637=MappingTables!$C$16,VLOOKUP(J637,ModelParameters!$P$8:$Q$15,2,FALSE),0)))</f>
        <v>1</v>
      </c>
      <c r="P637" s="73">
        <f>IF(OR(I637=0,I637=$A$1),0,MIN(O637*M637,1)*K637)</f>
        <v>1485.561353981383</v>
      </c>
      <c r="Q637" s="73">
        <f>IF(B637="",0,IF(OR(H637=MappingTables!$C$34,H637=MappingTables!$C$35),P637,0))</f>
        <v>0</v>
      </c>
      <c r="R637" s="73">
        <f>IF(ISNA(IF(AND(VLOOKUP(CONCATENATE($D637,$G637),CSRFinput!$B:$E,4,0)=0,OR(H637=MappingTables!$C$31,H637=MappingTables!$C$32)),1,VLOOKUP(CONCATENATE($D637,$G637),CSRFinput!$B:$E,4,0))),0,IF(AND(VLOOKUP(CONCATENATE($D637,$G637),CSRFinput!$B:$E,4,0)=0,OR(H637=MappingTables!$C$31,H637=MappingTables!$C$32)),1,VLOOKUP(CONCATENATE($D637,$G637),CSRFinput!$B:$E,4,0)))</f>
        <v>0.054776304963434752</v>
      </c>
      <c r="S637" s="73">
        <f>IF(B637="",0,P637*R637)</f>
        <v>81.37356176757728</v>
      </c>
      <c r="T637" s="85">
        <f>IF(B637="",0,IF(OR(H637=MappingTables!$C$34,H637=MappingTables!$C$35),S637,0))</f>
        <v>0</v>
      </c>
    </row>
    <row r="638" spans="2:20" s="0" customFormat="0" ht="15">
      <c r="B638" s="69" t="s">
        <v>3859</v>
      </c>
      <c r="C638" s="70" t="s">
        <v>3860</v>
      </c>
      <c r="D638" s="70" t="s">
        <v>1</v>
      </c>
      <c r="E638" s="70" t="s">
        <v>1</v>
      </c>
      <c r="F638" s="70"/>
      <c r="G638" s="70" t="s">
        <v>61</v>
      </c>
      <c r="H638" s="70" t="s">
        <v>178</v>
      </c>
      <c r="I638" s="70" t="s">
        <v>204</v>
      </c>
      <c r="J638" s="71">
        <f>IF(OR(I638=0,I638=""),"unrated",VLOOKUP(I638,MappingTables!$B$19:$C$31,2,FALSE))</f>
        <v>6</v>
      </c>
      <c r="K638" s="72">
        <v>56.08709430728504</v>
      </c>
      <c r="L638" s="70">
        <v>3.9005349636392336</v>
      </c>
      <c r="M638" s="71">
        <f>IF(L638&lt;1,1,L638)</f>
        <v>3.9005349636392336</v>
      </c>
      <c r="N638" s="70" t="s">
        <v>3288</v>
      </c>
      <c r="O638" s="71">
        <f>IF(OR(I638=$A$1,I638=0),"",IF(N638=MappingTables!$C$14,VLOOKUP(J638,ModelParameters!$M$8:$N$15,2,FALSE),IF(N638=MappingTables!$C$16,VLOOKUP(J638,ModelParameters!$P$8:$Q$15,2,FALSE),0)))</f>
        <v>1</v>
      </c>
      <c r="P638" s="73">
        <f>IF(OR(I638=0,I638=$A$1),0,MIN(O638*M638,1)*K638)</f>
        <v>56.08709430728504</v>
      </c>
      <c r="Q638" s="73">
        <f>IF(B638="",0,IF(OR(H638=MappingTables!$C$34,H638=MappingTables!$C$35),P638,0))</f>
        <v>0</v>
      </c>
      <c r="R638" s="73">
        <f>IF(ISNA(IF(AND(VLOOKUP(CONCATENATE($D638,$G638),CSRFinput!$B:$E,4,0)=0,OR(H638=MappingTables!$C$31,H638=MappingTables!$C$32)),1,VLOOKUP(CONCATENATE($D638,$G638),CSRFinput!$B:$E,4,0))),0,IF(AND(VLOOKUP(CONCATENATE($D638,$G638),CSRFinput!$B:$E,4,0)=0,OR(H638=MappingTables!$C$31,H638=MappingTables!$C$32)),1,VLOOKUP(CONCATENATE($D638,$G638),CSRFinput!$B:$E,4,0)))</f>
        <v>0.054776304963434752</v>
      </c>
      <c r="S638" s="73">
        <f>IF(B638="",0,P638*R638)</f>
        <v>3.0722437822887708</v>
      </c>
      <c r="T638" s="85">
        <f>IF(B638="",0,IF(OR(H638=MappingTables!$C$34,H638=MappingTables!$C$35),S638,0))</f>
        <v>0</v>
      </c>
    </row>
    <row r="639" spans="2:20" s="0" customFormat="0" ht="15">
      <c r="B639" s="69" t="s">
        <v>4215</v>
      </c>
      <c r="C639" s="70" t="s">
        <v>4216</v>
      </c>
      <c r="D639" s="70" t="s">
        <v>1</v>
      </c>
      <c r="E639" s="70" t="s">
        <v>1</v>
      </c>
      <c r="F639" s="70"/>
      <c r="G639" s="70" t="s">
        <v>61</v>
      </c>
      <c r="H639" s="70" t="s">
        <v>178</v>
      </c>
      <c r="I639" s="70" t="s">
        <v>188</v>
      </c>
      <c r="J639" s="71">
        <f>IF(OR(I639=0,I639=""),"unrated",VLOOKUP(I639,MappingTables!$B$19:$C$31,2,FALSE))</f>
        <v>2</v>
      </c>
      <c r="K639" s="72">
        <v>51.32815125331736</v>
      </c>
      <c r="L639" s="70">
        <v>0.068495752885159688</v>
      </c>
      <c r="M639" s="71">
        <f>IF(L639&lt;1,1,L639)</f>
        <v>1</v>
      </c>
      <c r="N639" s="70" t="s">
        <v>3288</v>
      </c>
      <c r="O639" s="71">
        <f>IF(OR(I639=$A$1,I639=0),"",IF(N639=MappingTables!$C$14,VLOOKUP(J639,ModelParameters!$M$8:$N$15,2,FALSE),IF(N639=MappingTables!$C$16,VLOOKUP(J639,ModelParameters!$P$8:$Q$15,2,FALSE),0)))</f>
        <v>0.166</v>
      </c>
      <c r="P639" s="73">
        <f>IF(OR(I639=0,I639=$A$1),0,MIN(O639*M639,1)*K639)</f>
        <v>8.5204731080506816</v>
      </c>
      <c r="Q639" s="73">
        <f>IF(B639="",0,IF(OR(H639=MappingTables!$C$34,H639=MappingTables!$C$35),P639,0))</f>
        <v>0</v>
      </c>
      <c r="R639" s="73">
        <f>IF(ISNA(IF(AND(VLOOKUP(CONCATENATE($D639,$G639),CSRFinput!$B:$E,4,0)=0,OR(H639=MappingTables!$C$31,H639=MappingTables!$C$32)),1,VLOOKUP(CONCATENATE($D639,$G639),CSRFinput!$B:$E,4,0))),0,IF(AND(VLOOKUP(CONCATENATE($D639,$G639),CSRFinput!$B:$E,4,0)=0,OR(H639=MappingTables!$C$31,H639=MappingTables!$C$32)),1,VLOOKUP(CONCATENATE($D639,$G639),CSRFinput!$B:$E,4,0)))</f>
        <v>0.054776304963434752</v>
      </c>
      <c r="S639" s="73">
        <f>IF(B639="",0,P639*R639)</f>
        <v>0.46672003339932896</v>
      </c>
      <c r="T639" s="85">
        <f>IF(B639="",0,IF(OR(H639=MappingTables!$C$34,H639=MappingTables!$C$35),S639,0))</f>
        <v>0</v>
      </c>
    </row>
    <row r="640" spans="2:20" s="0" customFormat="0" ht="15">
      <c r="B640" s="69" t="s">
        <v>4217</v>
      </c>
      <c r="C640" s="70" t="s">
        <v>4218</v>
      </c>
      <c r="D640" s="70" t="s">
        <v>1</v>
      </c>
      <c r="E640" s="70" t="s">
        <v>1</v>
      </c>
      <c r="F640" s="70"/>
      <c r="G640" s="70" t="s">
        <v>61</v>
      </c>
      <c r="H640" s="70" t="s">
        <v>178</v>
      </c>
      <c r="I640" s="70" t="s">
        <v>216</v>
      </c>
      <c r="J640" s="71">
        <f>IF(OR(I640=0,I640=""),"unrated",VLOOKUP(I640,MappingTables!$B$19:$C$31,2,FALSE))</f>
        <v>0</v>
      </c>
      <c r="K640" s="72">
        <v>956.90153026896016</v>
      </c>
      <c r="L640" s="70">
        <v>0.054796680070619576</v>
      </c>
      <c r="M640" s="71">
        <f>IF(L640&lt;1,1,L640)</f>
        <v>1</v>
      </c>
      <c r="N640" s="70" t="s">
        <v>3288</v>
      </c>
      <c r="O640" s="71">
        <f>IF(OR(I640=$A$1,I640=0),"",IF(N640=MappingTables!$C$14,VLOOKUP(J640,ModelParameters!$M$8:$N$15,2,FALSE),IF(N640=MappingTables!$C$16,VLOOKUP(J640,ModelParameters!$P$8:$Q$15,2,FALSE),0)))</f>
        <v>0.125</v>
      </c>
      <c r="P640" s="73">
        <f>IF(OR(I640=0,I640=$A$1),0,MIN(O640*M640,1)*K640)</f>
        <v>119.61269128362002</v>
      </c>
      <c r="Q640" s="73">
        <f>IF(B640="",0,IF(OR(H640=MappingTables!$C$34,H640=MappingTables!$C$35),P640,0))</f>
        <v>0</v>
      </c>
      <c r="R640" s="73">
        <f>IF(ISNA(IF(AND(VLOOKUP(CONCATENATE($D640,$G640),CSRFinput!$B:$E,4,0)=0,OR(H640=MappingTables!$C$31,H640=MappingTables!$C$32)),1,VLOOKUP(CONCATENATE($D640,$G640),CSRFinput!$B:$E,4,0))),0,IF(AND(VLOOKUP(CONCATENATE($D640,$G640),CSRFinput!$B:$E,4,0)=0,OR(H640=MappingTables!$C$31,H640=MappingTables!$C$32)),1,VLOOKUP(CONCATENATE($D640,$G640),CSRFinput!$B:$E,4,0)))</f>
        <v>0.054776304963434752</v>
      </c>
      <c r="S640" s="73">
        <f>IF(B640="",0,P640*R640)</f>
        <v>6.551941255248744</v>
      </c>
      <c r="T640" s="85">
        <f>IF(B640="",0,IF(OR(H640=MappingTables!$C$34,H640=MappingTables!$C$35),S640,0))</f>
        <v>0</v>
      </c>
    </row>
    <row r="641" spans="2:20" s="0" customFormat="0" ht="15">
      <c r="B641" s="69" t="s">
        <v>4003</v>
      </c>
      <c r="C641" s="70" t="s">
        <v>4004</v>
      </c>
      <c r="D641" s="70" t="s">
        <v>1</v>
      </c>
      <c r="E641" s="70" t="s">
        <v>1</v>
      </c>
      <c r="F641" s="70"/>
      <c r="G641" s="70" t="s">
        <v>61</v>
      </c>
      <c r="H641" s="70" t="s">
        <v>178</v>
      </c>
      <c r="I641" s="70" t="s">
        <v>3298</v>
      </c>
      <c r="J641" s="71">
        <f>IF(OR(I641=0,I641=""),"unrated",VLOOKUP(I641,MappingTables!$B$19:$C$31,2,FALSE))</f>
        <v>6</v>
      </c>
      <c r="K641" s="72">
        <v>15292.87166200501</v>
      </c>
      <c r="L641" s="70">
        <v>0.068494949171845136</v>
      </c>
      <c r="M641" s="71">
        <f>IF(L641&lt;1,1,L641)</f>
        <v>1</v>
      </c>
      <c r="N641" s="70" t="s">
        <v>3288</v>
      </c>
      <c r="O641" s="71">
        <f>IF(OR(I641=$A$1,I641=0),"",IF(N641=MappingTables!$C$14,VLOOKUP(J641,ModelParameters!$M$8:$N$15,2,FALSE),IF(N641=MappingTables!$C$16,VLOOKUP(J641,ModelParameters!$P$8:$Q$15,2,FALSE),0)))</f>
        <v>1</v>
      </c>
      <c r="P641" s="73">
        <f>IF(OR(I641=0,I641=$A$1),0,MIN(O641*M641,1)*K641)</f>
        <v>15292.87166200501</v>
      </c>
      <c r="Q641" s="73">
        <f>IF(B641="",0,IF(OR(H641=MappingTables!$C$34,H641=MappingTables!$C$35),P641,0))</f>
        <v>0</v>
      </c>
      <c r="R641" s="73">
        <f>IF(ISNA(IF(AND(VLOOKUP(CONCATENATE($D641,$G641),CSRFinput!$B:$E,4,0)=0,OR(H641=MappingTables!$C$31,H641=MappingTables!$C$32)),1,VLOOKUP(CONCATENATE($D641,$G641),CSRFinput!$B:$E,4,0))),0,IF(AND(VLOOKUP(CONCATENATE($D641,$G641),CSRFinput!$B:$E,4,0)=0,OR(H641=MappingTables!$C$31,H641=MappingTables!$C$32)),1,VLOOKUP(CONCATENATE($D641,$G641),CSRFinput!$B:$E,4,0)))</f>
        <v>0.054776304963434752</v>
      </c>
      <c r="S641" s="73">
        <f>IF(B641="",0,P641*R641)</f>
        <v>837.68700192465584</v>
      </c>
      <c r="T641" s="85">
        <f>IF(B641="",0,IF(OR(H641=MappingTables!$C$34,H641=MappingTables!$C$35),S641,0))</f>
        <v>0</v>
      </c>
    </row>
    <row r="642" spans="2:20" s="0" customFormat="0" ht="15">
      <c r="B642" s="69" t="s">
        <v>4219</v>
      </c>
      <c r="C642" s="70" t="s">
        <v>4220</v>
      </c>
      <c r="D642" s="70" t="s">
        <v>1</v>
      </c>
      <c r="E642" s="70" t="s">
        <v>1</v>
      </c>
      <c r="F642" s="70"/>
      <c r="G642" s="70" t="s">
        <v>61</v>
      </c>
      <c r="H642" s="70" t="s">
        <v>178</v>
      </c>
      <c r="I642" s="70" t="s">
        <v>220</v>
      </c>
      <c r="J642" s="71">
        <f>IF(OR(I642=0,I642=""),"unrated",VLOOKUP(I642,MappingTables!$B$19:$C$31,2,FALSE))</f>
        <v>1</v>
      </c>
      <c r="K642" s="72">
        <v>0.189224299358139</v>
      </c>
      <c r="L642" s="70">
        <v>0.068495975156644544</v>
      </c>
      <c r="M642" s="71">
        <f>IF(L642&lt;1,1,L642)</f>
        <v>1</v>
      </c>
      <c r="N642" s="70" t="s">
        <v>3288</v>
      </c>
      <c r="O642" s="71">
        <f>IF(OR(I642=$A$1,I642=0),"",IF(N642=MappingTables!$C$14,VLOOKUP(J642,ModelParameters!$M$8:$N$15,2,FALSE),IF(N642=MappingTables!$C$16,VLOOKUP(J642,ModelParameters!$P$8:$Q$15,2,FALSE),0)))</f>
        <v>0.134</v>
      </c>
      <c r="P642" s="73">
        <f>IF(OR(I642=0,I642=$A$1),0,MIN(O642*M642,1)*K642)</f>
        <v>0.025356056113990628</v>
      </c>
      <c r="Q642" s="73">
        <f>IF(B642="",0,IF(OR(H642=MappingTables!$C$34,H642=MappingTables!$C$35),P642,0))</f>
        <v>0</v>
      </c>
      <c r="R642" s="73">
        <f>IF(ISNA(IF(AND(VLOOKUP(CONCATENATE($D642,$G642),CSRFinput!$B:$E,4,0)=0,OR(H642=MappingTables!$C$31,H642=MappingTables!$C$32)),1,VLOOKUP(CONCATENATE($D642,$G642),CSRFinput!$B:$E,4,0))),0,IF(AND(VLOOKUP(CONCATENATE($D642,$G642),CSRFinput!$B:$E,4,0)=0,OR(H642=MappingTables!$C$31,H642=MappingTables!$C$32)),1,VLOOKUP(CONCATENATE($D642,$G642),CSRFinput!$B:$E,4,0)))</f>
        <v>0.054776304963434752</v>
      </c>
      <c r="S642" s="73">
        <f>IF(B642="",0,P642*R642)</f>
        <v>0.001388911062369915</v>
      </c>
      <c r="T642" s="85">
        <f>IF(B642="",0,IF(OR(H642=MappingTables!$C$34,H642=MappingTables!$C$35),S642,0))</f>
        <v>0</v>
      </c>
    </row>
    <row r="643" spans="2:20" s="0" customFormat="0" ht="15">
      <c r="B643" s="69">
        <v>16974689</v>
      </c>
      <c r="C643" s="70" t="s">
        <v>4221</v>
      </c>
      <c r="D643" s="70" t="s">
        <v>1</v>
      </c>
      <c r="E643" s="70" t="s">
        <v>1</v>
      </c>
      <c r="F643" s="70"/>
      <c r="G643" s="70" t="s">
        <v>61</v>
      </c>
      <c r="H643" s="70" t="s">
        <v>178</v>
      </c>
      <c r="I643" s="70" t="s">
        <v>198</v>
      </c>
      <c r="J643" s="71" t="str">
        <f>IF(OR(I643=0,I643=""),"unrated",VLOOKUP(I643,MappingTables!$B$19:$C$31,2,FALSE))</f>
        <v>unrated</v>
      </c>
      <c r="K643" s="72">
        <v>491.5293597953188</v>
      </c>
      <c r="L643" s="70">
        <v>0.084107222700600976</v>
      </c>
      <c r="M643" s="71">
        <f>IF(L643&lt;1,1,L643)</f>
        <v>1</v>
      </c>
      <c r="N643" s="70" t="s">
        <v>3288</v>
      </c>
      <c r="O643" s="71">
        <f>IF(OR(I643=$A$1,I643=0),"",IF(N643=MappingTables!$C$14,VLOOKUP(J643,ModelParameters!$M$8:$N$15,2,FALSE),IF(N643=MappingTables!$C$16,VLOOKUP(J643,ModelParameters!$P$8:$Q$15,2,FALSE),0)))</f>
        <v>1</v>
      </c>
      <c r="P643" s="73">
        <f>IF(OR(I643=0,I643=$A$1),0,MIN(O643*M643,1)*K643)</f>
        <v>491.5293597953188</v>
      </c>
      <c r="Q643" s="73">
        <f>IF(B643="",0,IF(OR(H643=MappingTables!$C$34,H643=MappingTables!$C$35),P643,0))</f>
        <v>0</v>
      </c>
      <c r="R643" s="73">
        <f>IF(ISNA(IF(AND(VLOOKUP(CONCATENATE($D643,$G643),CSRFinput!$B:$E,4,0)=0,OR(H643=MappingTables!$C$31,H643=MappingTables!$C$32)),1,VLOOKUP(CONCATENATE($D643,$G643),CSRFinput!$B:$E,4,0))),0,IF(AND(VLOOKUP(CONCATENATE($D643,$G643),CSRFinput!$B:$E,4,0)=0,OR(H643=MappingTables!$C$31,H643=MappingTables!$C$32)),1,VLOOKUP(CONCATENATE($D643,$G643),CSRFinput!$B:$E,4,0)))</f>
        <v>0.054776304963434752</v>
      </c>
      <c r="S643" s="73">
        <f>IF(B643="",0,P643*R643)</f>
        <v>26.924162110630228</v>
      </c>
      <c r="T643" s="85">
        <f>IF(B643="",0,IF(OR(H643=MappingTables!$C$34,H643=MappingTables!$C$35),S643,0))</f>
        <v>0</v>
      </c>
    </row>
    <row r="644" spans="2:20" s="0" customFormat="0" ht="15">
      <c r="B644" s="69" t="s">
        <v>4222</v>
      </c>
      <c r="C644" s="70" t="s">
        <v>4223</v>
      </c>
      <c r="D644" s="70" t="s">
        <v>1</v>
      </c>
      <c r="E644" s="70" t="s">
        <v>1</v>
      </c>
      <c r="F644" s="70"/>
      <c r="G644" s="70" t="s">
        <v>61</v>
      </c>
      <c r="H644" s="70" t="s">
        <v>178</v>
      </c>
      <c r="I644" s="70" t="s">
        <v>198</v>
      </c>
      <c r="J644" s="71" t="str">
        <f>IF(OR(I644=0,I644=""),"unrated",VLOOKUP(I644,MappingTables!$B$19:$C$31,2,FALSE))</f>
        <v>unrated</v>
      </c>
      <c r="K644" s="72">
        <v>541.62054360999488</v>
      </c>
      <c r="L644" s="70">
        <v>2.0165744589547044</v>
      </c>
      <c r="M644" s="71">
        <f>IF(L644&lt;1,1,L644)</f>
        <v>2.0165744589547044</v>
      </c>
      <c r="N644" s="70" t="s">
        <v>3288</v>
      </c>
      <c r="O644" s="71">
        <f>IF(OR(I644=$A$1,I644=0),"",IF(N644=MappingTables!$C$14,VLOOKUP(J644,ModelParameters!$M$8:$N$15,2,FALSE),IF(N644=MappingTables!$C$16,VLOOKUP(J644,ModelParameters!$P$8:$Q$15,2,FALSE),0)))</f>
        <v>1</v>
      </c>
      <c r="P644" s="73">
        <f>IF(OR(I644=0,I644=$A$1),0,MIN(O644*M644,1)*K644)</f>
        <v>541.62054360999488</v>
      </c>
      <c r="Q644" s="73">
        <f>IF(B644="",0,IF(OR(H644=MappingTables!$C$34,H644=MappingTables!$C$35),P644,0))</f>
        <v>0</v>
      </c>
      <c r="R644" s="73">
        <f>IF(ISNA(IF(AND(VLOOKUP(CONCATENATE($D644,$G644),CSRFinput!$B:$E,4,0)=0,OR(H644=MappingTables!$C$31,H644=MappingTables!$C$32)),1,VLOOKUP(CONCATENATE($D644,$G644),CSRFinput!$B:$E,4,0))),0,IF(AND(VLOOKUP(CONCATENATE($D644,$G644),CSRFinput!$B:$E,4,0)=0,OR(H644=MappingTables!$C$31,H644=MappingTables!$C$32)),1,VLOOKUP(CONCATENATE($D644,$G644),CSRFinput!$B:$E,4,0)))</f>
        <v>0.054776304963434752</v>
      </c>
      <c r="S644" s="73">
        <f>IF(B644="",0,P644*R644)</f>
        <v>29.667972071242392</v>
      </c>
      <c r="T644" s="85">
        <f>IF(B644="",0,IF(OR(H644=MappingTables!$C$34,H644=MappingTables!$C$35),S644,0))</f>
        <v>0</v>
      </c>
    </row>
    <row r="645" spans="2:20" s="0" customFormat="0" ht="15">
      <c r="B645" s="69" t="s">
        <v>4224</v>
      </c>
      <c r="C645" s="70" t="s">
        <v>4225</v>
      </c>
      <c r="D645" s="70" t="s">
        <v>1</v>
      </c>
      <c r="E645" s="70" t="s">
        <v>1</v>
      </c>
      <c r="F645" s="70"/>
      <c r="G645" s="70" t="s">
        <v>61</v>
      </c>
      <c r="H645" s="70" t="s">
        <v>178</v>
      </c>
      <c r="I645" s="70" t="s">
        <v>179</v>
      </c>
      <c r="J645" s="71">
        <f>IF(OR(I645=0,I645=""),"unrated",VLOOKUP(I645,MappingTables!$B$19:$C$31,2,FALSE))</f>
        <v>4</v>
      </c>
      <c r="K645" s="72">
        <v>98.751321980424496</v>
      </c>
      <c r="L645" s="70">
        <v>0.06849532007627572</v>
      </c>
      <c r="M645" s="71">
        <f>IF(L645&lt;1,1,L645)</f>
        <v>1</v>
      </c>
      <c r="N645" s="70" t="s">
        <v>3288</v>
      </c>
      <c r="O645" s="71">
        <f>IF(OR(I645=$A$1,I645=0),"",IF(N645=MappingTables!$C$14,VLOOKUP(J645,ModelParameters!$M$8:$N$15,2,FALSE),IF(N645=MappingTables!$C$16,VLOOKUP(J645,ModelParameters!$P$8:$Q$15,2,FALSE),0)))</f>
        <v>0.82</v>
      </c>
      <c r="P645" s="73">
        <f>IF(OR(I645=0,I645=$A$1),0,MIN(O645*M645,1)*K645)</f>
        <v>80.97608402394808</v>
      </c>
      <c r="Q645" s="73">
        <f>IF(B645="",0,IF(OR(H645=MappingTables!$C$34,H645=MappingTables!$C$35),P645,0))</f>
        <v>0</v>
      </c>
      <c r="R645" s="73">
        <f>IF(ISNA(IF(AND(VLOOKUP(CONCATENATE($D645,$G645),CSRFinput!$B:$E,4,0)=0,OR(H645=MappingTables!$C$31,H645=MappingTables!$C$32)),1,VLOOKUP(CONCATENATE($D645,$G645),CSRFinput!$B:$E,4,0))),0,IF(AND(VLOOKUP(CONCATENATE($D645,$G645),CSRFinput!$B:$E,4,0)=0,OR(H645=MappingTables!$C$31,H645=MappingTables!$C$32)),1,VLOOKUP(CONCATENATE($D645,$G645),CSRFinput!$B:$E,4,0)))</f>
        <v>0.054776304963434752</v>
      </c>
      <c r="S645" s="73">
        <f>IF(B645="",0,P645*R645)</f>
        <v>4.4355706732404968</v>
      </c>
      <c r="T645" s="85">
        <f>IF(B645="",0,IF(OR(H645=MappingTables!$C$34,H645=MappingTables!$C$35),S645,0))</f>
        <v>0</v>
      </c>
    </row>
    <row r="646" spans="2:20" s="0" customFormat="0" ht="15">
      <c r="B646" s="69">
        <v>5036274</v>
      </c>
      <c r="C646" s="70" t="s">
        <v>4226</v>
      </c>
      <c r="D646" s="70" t="s">
        <v>1</v>
      </c>
      <c r="E646" s="70" t="s">
        <v>1</v>
      </c>
      <c r="F646" s="70"/>
      <c r="G646" s="70" t="s">
        <v>61</v>
      </c>
      <c r="H646" s="70" t="s">
        <v>178</v>
      </c>
      <c r="I646" s="70" t="s">
        <v>3298</v>
      </c>
      <c r="J646" s="71">
        <f>IF(OR(I646=0,I646=""),"unrated",VLOOKUP(I646,MappingTables!$B$19:$C$31,2,FALSE))</f>
        <v>6</v>
      </c>
      <c r="K646" s="72">
        <v>73.088228591618416</v>
      </c>
      <c r="L646" s="70">
        <v>-0.34232969738775136</v>
      </c>
      <c r="M646" s="71">
        <f>IF(L646&lt;1,1,L646)</f>
        <v>1</v>
      </c>
      <c r="N646" s="70" t="s">
        <v>3288</v>
      </c>
      <c r="O646" s="71">
        <f>IF(OR(I646=$A$1,I646=0),"",IF(N646=MappingTables!$C$14,VLOOKUP(J646,ModelParameters!$M$8:$N$15,2,FALSE),IF(N646=MappingTables!$C$16,VLOOKUP(J646,ModelParameters!$P$8:$Q$15,2,FALSE),0)))</f>
        <v>1</v>
      </c>
      <c r="P646" s="73">
        <f>IF(OR(I646=0,I646=$A$1),0,MIN(O646*M646,1)*K646)</f>
        <v>73.088228591618416</v>
      </c>
      <c r="Q646" s="73">
        <f>IF(B646="",0,IF(OR(H646=MappingTables!$C$34,H646=MappingTables!$C$35),P646,0))</f>
        <v>0</v>
      </c>
      <c r="R646" s="73">
        <f>IF(ISNA(IF(AND(VLOOKUP(CONCATENATE($D646,$G646),CSRFinput!$B:$E,4,0)=0,OR(H646=MappingTables!$C$31,H646=MappingTables!$C$32)),1,VLOOKUP(CONCATENATE($D646,$G646),CSRFinput!$B:$E,4,0))),0,IF(AND(VLOOKUP(CONCATENATE($D646,$G646),CSRFinput!$B:$E,4,0)=0,OR(H646=MappingTables!$C$31,H646=MappingTables!$C$32)),1,VLOOKUP(CONCATENATE($D646,$G646),CSRFinput!$B:$E,4,0)))</f>
        <v>0.054776304963434752</v>
      </c>
      <c r="S646" s="73">
        <f>IF(B646="",0,P646*R646)</f>
        <v>4.0035030985717216</v>
      </c>
      <c r="T646" s="85">
        <f>IF(B646="",0,IF(OR(H646=MappingTables!$C$34,H646=MappingTables!$C$35),S646,0))</f>
        <v>0</v>
      </c>
    </row>
    <row r="647" spans="2:20" s="0" customFormat="0" ht="15">
      <c r="B647" s="69" t="s">
        <v>3692</v>
      </c>
      <c r="C647" s="70" t="s">
        <v>3693</v>
      </c>
      <c r="D647" s="70" t="s">
        <v>1</v>
      </c>
      <c r="E647" s="70" t="s">
        <v>1</v>
      </c>
      <c r="F647" s="70"/>
      <c r="G647" s="70" t="s">
        <v>61</v>
      </c>
      <c r="H647" s="70" t="s">
        <v>178</v>
      </c>
      <c r="I647" s="70" t="s">
        <v>198</v>
      </c>
      <c r="J647" s="71" t="str">
        <f>IF(OR(I647=0,I647=""),"unrated",VLOOKUP(I647,MappingTables!$B$19:$C$31,2,FALSE))</f>
        <v>unrated</v>
      </c>
      <c r="K647" s="72">
        <v>1360.8216573339836</v>
      </c>
      <c r="L647" s="70">
        <v>8.5138064630589232</v>
      </c>
      <c r="M647" s="71">
        <f>IF(L647&lt;1,1,L647)</f>
        <v>8.5138064630589232</v>
      </c>
      <c r="N647" s="70" t="s">
        <v>3288</v>
      </c>
      <c r="O647" s="71">
        <f>IF(OR(I647=$A$1,I647=0),"",IF(N647=MappingTables!$C$14,VLOOKUP(J647,ModelParameters!$M$8:$N$15,2,FALSE),IF(N647=MappingTables!$C$16,VLOOKUP(J647,ModelParameters!$P$8:$Q$15,2,FALSE),0)))</f>
        <v>1</v>
      </c>
      <c r="P647" s="73">
        <f>IF(OR(I647=0,I647=$A$1),0,MIN(O647*M647,1)*K647)</f>
        <v>1360.8216573339836</v>
      </c>
      <c r="Q647" s="73">
        <f>IF(B647="",0,IF(OR(H647=MappingTables!$C$34,H647=MappingTables!$C$35),P647,0))</f>
        <v>0</v>
      </c>
      <c r="R647" s="73">
        <f>IF(ISNA(IF(AND(VLOOKUP(CONCATENATE($D647,$G647),CSRFinput!$B:$E,4,0)=0,OR(H647=MappingTables!$C$31,H647=MappingTables!$C$32)),1,VLOOKUP(CONCATENATE($D647,$G647),CSRFinput!$B:$E,4,0))),0,IF(AND(VLOOKUP(CONCATENATE($D647,$G647),CSRFinput!$B:$E,4,0)=0,OR(H647=MappingTables!$C$31,H647=MappingTables!$C$32)),1,VLOOKUP(CONCATENATE($D647,$G647),CSRFinput!$B:$E,4,0)))</f>
        <v>0.054776304963434752</v>
      </c>
      <c r="S647" s="73">
        <f>IF(B647="",0,P647*R647)</f>
        <v>74.540782102972992</v>
      </c>
      <c r="T647" s="85">
        <f>IF(B647="",0,IF(OR(H647=MappingTables!$C$34,H647=MappingTables!$C$35),S647,0))</f>
        <v>0</v>
      </c>
    </row>
    <row r="648" spans="2:20" s="0" customFormat="0" ht="15">
      <c r="B648" s="69" t="s">
        <v>4227</v>
      </c>
      <c r="C648" s="70" t="s">
        <v>4228</v>
      </c>
      <c r="D648" s="70" t="s">
        <v>1</v>
      </c>
      <c r="E648" s="70" t="s">
        <v>1</v>
      </c>
      <c r="F648" s="70"/>
      <c r="G648" s="70" t="s">
        <v>61</v>
      </c>
      <c r="H648" s="70" t="s">
        <v>178</v>
      </c>
      <c r="I648" s="70" t="s">
        <v>3298</v>
      </c>
      <c r="J648" s="71">
        <f>IF(OR(I648=0,I648=""),"unrated",VLOOKUP(I648,MappingTables!$B$19:$C$31,2,FALSE))</f>
        <v>6</v>
      </c>
      <c r="K648" s="72">
        <v>338.99543224750828</v>
      </c>
      <c r="L648" s="70">
        <v>0.020326462380220804</v>
      </c>
      <c r="M648" s="71">
        <f>IF(L648&lt;1,1,L648)</f>
        <v>1</v>
      </c>
      <c r="N648" s="70" t="s">
        <v>3288</v>
      </c>
      <c r="O648" s="71">
        <f>IF(OR(I648=$A$1,I648=0),"",IF(N648=MappingTables!$C$14,VLOOKUP(J648,ModelParameters!$M$8:$N$15,2,FALSE),IF(N648=MappingTables!$C$16,VLOOKUP(J648,ModelParameters!$P$8:$Q$15,2,FALSE),0)))</f>
        <v>1</v>
      </c>
      <c r="P648" s="73">
        <f>IF(OR(I648=0,I648=$A$1),0,MIN(O648*M648,1)*K648)</f>
        <v>338.99543224750828</v>
      </c>
      <c r="Q648" s="73">
        <f>IF(B648="",0,IF(OR(H648=MappingTables!$C$34,H648=MappingTables!$C$35),P648,0))</f>
        <v>0</v>
      </c>
      <c r="R648" s="73">
        <f>IF(ISNA(IF(AND(VLOOKUP(CONCATENATE($D648,$G648),CSRFinput!$B:$E,4,0)=0,OR(H648=MappingTables!$C$31,H648=MappingTables!$C$32)),1,VLOOKUP(CONCATENATE($D648,$G648),CSRFinput!$B:$E,4,0))),0,IF(AND(VLOOKUP(CONCATENATE($D648,$G648),CSRFinput!$B:$E,4,0)=0,OR(H648=MappingTables!$C$31,H648=MappingTables!$C$32)),1,VLOOKUP(CONCATENATE($D648,$G648),CSRFinput!$B:$E,4,0)))</f>
        <v>0.054776304963434752</v>
      </c>
      <c r="S648" s="73">
        <f>IF(B648="",0,P648*R648)</f>
        <v>18.5689171780009</v>
      </c>
      <c r="T648" s="85">
        <f>IF(B648="",0,IF(OR(H648=MappingTables!$C$34,H648=MappingTables!$C$35),S648,0))</f>
        <v>0</v>
      </c>
    </row>
    <row r="649" spans="2:20" s="0" customFormat="0" ht="15">
      <c r="B649" s="69" t="s">
        <v>4229</v>
      </c>
      <c r="C649" s="70" t="s">
        <v>4230</v>
      </c>
      <c r="D649" s="70" t="s">
        <v>1</v>
      </c>
      <c r="E649" s="70" t="s">
        <v>1</v>
      </c>
      <c r="F649" s="70"/>
      <c r="G649" s="70" t="s">
        <v>61</v>
      </c>
      <c r="H649" s="70" t="s">
        <v>178</v>
      </c>
      <c r="I649" s="70" t="s">
        <v>188</v>
      </c>
      <c r="J649" s="71">
        <f>IF(OR(I649=0,I649=""),"unrated",VLOOKUP(I649,MappingTables!$B$19:$C$31,2,FALSE))</f>
        <v>2</v>
      </c>
      <c r="K649" s="72">
        <v>360.90793311906456</v>
      </c>
      <c r="L649" s="70">
        <v>0.068492865878735456</v>
      </c>
      <c r="M649" s="71">
        <f>IF(L649&lt;1,1,L649)</f>
        <v>1</v>
      </c>
      <c r="N649" s="70" t="s">
        <v>3288</v>
      </c>
      <c r="O649" s="71">
        <f>IF(OR(I649=$A$1,I649=0),"",IF(N649=MappingTables!$C$14,VLOOKUP(J649,ModelParameters!$M$8:$N$15,2,FALSE),IF(N649=MappingTables!$C$16,VLOOKUP(J649,ModelParameters!$P$8:$Q$15,2,FALSE),0)))</f>
        <v>0.166</v>
      </c>
      <c r="P649" s="73">
        <f>IF(OR(I649=0,I649=$A$1),0,MIN(O649*M649,1)*K649)</f>
        <v>59.91071689776472</v>
      </c>
      <c r="Q649" s="73">
        <f>IF(B649="",0,IF(OR(H649=MappingTables!$C$34,H649=MappingTables!$C$35),P649,0))</f>
        <v>0</v>
      </c>
      <c r="R649" s="73">
        <f>IF(ISNA(IF(AND(VLOOKUP(CONCATENATE($D649,$G649),CSRFinput!$B:$E,4,0)=0,OR(H649=MappingTables!$C$31,H649=MappingTables!$C$32)),1,VLOOKUP(CONCATENATE($D649,$G649),CSRFinput!$B:$E,4,0))),0,IF(AND(VLOOKUP(CONCATENATE($D649,$G649),CSRFinput!$B:$E,4,0)=0,OR(H649=MappingTables!$C$31,H649=MappingTables!$C$32)),1,VLOOKUP(CONCATENATE($D649,$G649),CSRFinput!$B:$E,4,0)))</f>
        <v>0.054776304963434752</v>
      </c>
      <c r="S649" s="73">
        <f>IF(B649="",0,P649*R649)</f>
        <v>3.281687699369964</v>
      </c>
      <c r="T649" s="85">
        <f>IF(B649="",0,IF(OR(H649=MappingTables!$C$34,H649=MappingTables!$C$35),S649,0))</f>
        <v>0</v>
      </c>
    </row>
    <row r="650" spans="2:20" s="0" customFormat="0" ht="15">
      <c r="B650" s="69" t="s">
        <v>4231</v>
      </c>
      <c r="C650" s="70" t="s">
        <v>4232</v>
      </c>
      <c r="D650" s="70" t="s">
        <v>1</v>
      </c>
      <c r="E650" s="70" t="s">
        <v>1</v>
      </c>
      <c r="F650" s="70"/>
      <c r="G650" s="70" t="s">
        <v>61</v>
      </c>
      <c r="H650" s="70" t="s">
        <v>178</v>
      </c>
      <c r="I650" s="70" t="s">
        <v>3298</v>
      </c>
      <c r="J650" s="71">
        <f>IF(OR(I650=0,I650=""),"unrated",VLOOKUP(I650,MappingTables!$B$19:$C$31,2,FALSE))</f>
        <v>6</v>
      </c>
      <c r="K650" s="72">
        <v>2114.7274179551584</v>
      </c>
      <c r="L650" s="70">
        <v>4.0312270827799176</v>
      </c>
      <c r="M650" s="71">
        <f>IF(L650&lt;1,1,L650)</f>
        <v>4.0312270827799176</v>
      </c>
      <c r="N650" s="70" t="s">
        <v>3288</v>
      </c>
      <c r="O650" s="71">
        <f>IF(OR(I650=$A$1,I650=0),"",IF(N650=MappingTables!$C$14,VLOOKUP(J650,ModelParameters!$M$8:$N$15,2,FALSE),IF(N650=MappingTables!$C$16,VLOOKUP(J650,ModelParameters!$P$8:$Q$15,2,FALSE),0)))</f>
        <v>1</v>
      </c>
      <c r="P650" s="73">
        <f>IF(OR(I650=0,I650=$A$1),0,MIN(O650*M650,1)*K650)</f>
        <v>2114.7274179551584</v>
      </c>
      <c r="Q650" s="73">
        <f>IF(B650="",0,IF(OR(H650=MappingTables!$C$34,H650=MappingTables!$C$35),P650,0))</f>
        <v>0</v>
      </c>
      <c r="R650" s="73">
        <f>IF(ISNA(IF(AND(VLOOKUP(CONCATENATE($D650,$G650),CSRFinput!$B:$E,4,0)=0,OR(H650=MappingTables!$C$31,H650=MappingTables!$C$32)),1,VLOOKUP(CONCATENATE($D650,$G650),CSRFinput!$B:$E,4,0))),0,IF(AND(VLOOKUP(CONCATENATE($D650,$G650),CSRFinput!$B:$E,4,0)=0,OR(H650=MappingTables!$C$31,H650=MappingTables!$C$32)),1,VLOOKUP(CONCATENATE($D650,$G650),CSRFinput!$B:$E,4,0)))</f>
        <v>0.054776304963434752</v>
      </c>
      <c r="S650" s="73">
        <f>IF(B650="",0,P650*R650)</f>
        <v>115.8369539604487</v>
      </c>
      <c r="T650" s="85">
        <f>IF(B650="",0,IF(OR(H650=MappingTables!$C$34,H650=MappingTables!$C$35),S650,0))</f>
        <v>0</v>
      </c>
    </row>
    <row r="651" spans="2:20" s="0" customFormat="0" ht="15">
      <c r="B651" s="69">
        <v>1921758</v>
      </c>
      <c r="C651" s="70" t="s">
        <v>4233</v>
      </c>
      <c r="D651" s="70" t="s">
        <v>1</v>
      </c>
      <c r="E651" s="70" t="s">
        <v>1</v>
      </c>
      <c r="F651" s="70"/>
      <c r="G651" s="70" t="s">
        <v>61</v>
      </c>
      <c r="H651" s="70" t="s">
        <v>178</v>
      </c>
      <c r="I651" s="70" t="s">
        <v>216</v>
      </c>
      <c r="J651" s="71">
        <f>IF(OR(I651=0,I651=""),"unrated",VLOOKUP(I651,MappingTables!$B$19:$C$31,2,FALSE))</f>
        <v>0</v>
      </c>
      <c r="K651" s="72">
        <v>68.026645194664168</v>
      </c>
      <c r="L651" s="70">
        <v>0.1985326594191892</v>
      </c>
      <c r="M651" s="71">
        <f>IF(L651&lt;1,1,L651)</f>
        <v>1</v>
      </c>
      <c r="N651" s="70" t="s">
        <v>3288</v>
      </c>
      <c r="O651" s="71">
        <f>IF(OR(I651=$A$1,I651=0),"",IF(N651=MappingTables!$C$14,VLOOKUP(J651,ModelParameters!$M$8:$N$15,2,FALSE),IF(N651=MappingTables!$C$16,VLOOKUP(J651,ModelParameters!$P$8:$Q$15,2,FALSE),0)))</f>
        <v>0.125</v>
      </c>
      <c r="P651" s="73">
        <f>IF(OR(I651=0,I651=$A$1),0,MIN(O651*M651,1)*K651)</f>
        <v>8.5033306493330208</v>
      </c>
      <c r="Q651" s="73">
        <f>IF(B651="",0,IF(OR(H651=MappingTables!$C$34,H651=MappingTables!$C$35),P651,0))</f>
        <v>0</v>
      </c>
      <c r="R651" s="73">
        <f>IF(ISNA(IF(AND(VLOOKUP(CONCATENATE($D651,$G651),CSRFinput!$B:$E,4,0)=0,OR(H651=MappingTables!$C$31,H651=MappingTables!$C$32)),1,VLOOKUP(CONCATENATE($D651,$G651),CSRFinput!$B:$E,4,0))),0,IF(AND(VLOOKUP(CONCATENATE($D651,$G651),CSRFinput!$B:$E,4,0)=0,OR(H651=MappingTables!$C$31,H651=MappingTables!$C$32)),1,VLOOKUP(CONCATENATE($D651,$G651),CSRFinput!$B:$E,4,0)))</f>
        <v>0.054776304963434752</v>
      </c>
      <c r="S651" s="73">
        <f>IF(B651="",0,P651*R651)</f>
        <v>0.4657810328527872</v>
      </c>
      <c r="T651" s="85">
        <f>IF(B651="",0,IF(OR(H651=MappingTables!$C$34,H651=MappingTables!$C$35),S651,0))</f>
        <v>0</v>
      </c>
    </row>
    <row r="652" spans="2:20" s="0" customFormat="0" ht="15">
      <c r="B652" s="69" t="s">
        <v>3787</v>
      </c>
      <c r="C652" s="70" t="s">
        <v>3788</v>
      </c>
      <c r="D652" s="70" t="s">
        <v>1</v>
      </c>
      <c r="E652" s="70" t="s">
        <v>1</v>
      </c>
      <c r="F652" s="70"/>
      <c r="G652" s="70" t="s">
        <v>61</v>
      </c>
      <c r="H652" s="70" t="s">
        <v>178</v>
      </c>
      <c r="I652" s="70" t="s">
        <v>198</v>
      </c>
      <c r="J652" s="71" t="str">
        <f>IF(OR(I652=0,I652=""),"unrated",VLOOKUP(I652,MappingTables!$B$19:$C$31,2,FALSE))</f>
        <v>unrated</v>
      </c>
      <c r="K652" s="72">
        <v>2194.8577842763772</v>
      </c>
      <c r="L652" s="70">
        <v>9.3134833804055344</v>
      </c>
      <c r="M652" s="71">
        <f>IF(L652&lt;1,1,L652)</f>
        <v>9.3134833804055344</v>
      </c>
      <c r="N652" s="70" t="s">
        <v>3288</v>
      </c>
      <c r="O652" s="71">
        <f>IF(OR(I652=$A$1,I652=0),"",IF(N652=MappingTables!$C$14,VLOOKUP(J652,ModelParameters!$M$8:$N$15,2,FALSE),IF(N652=MappingTables!$C$16,VLOOKUP(J652,ModelParameters!$P$8:$Q$15,2,FALSE),0)))</f>
        <v>1</v>
      </c>
      <c r="P652" s="73">
        <f>IF(OR(I652=0,I652=$A$1),0,MIN(O652*M652,1)*K652)</f>
        <v>2194.8577842763772</v>
      </c>
      <c r="Q652" s="73">
        <f>IF(B652="",0,IF(OR(H652=MappingTables!$C$34,H652=MappingTables!$C$35),P652,0))</f>
        <v>0</v>
      </c>
      <c r="R652" s="73">
        <f>IF(ISNA(IF(AND(VLOOKUP(CONCATENATE($D652,$G652),CSRFinput!$B:$E,4,0)=0,OR(H652=MappingTables!$C$31,H652=MappingTables!$C$32)),1,VLOOKUP(CONCATENATE($D652,$G652),CSRFinput!$B:$E,4,0))),0,IF(AND(VLOOKUP(CONCATENATE($D652,$G652),CSRFinput!$B:$E,4,0)=0,OR(H652=MappingTables!$C$31,H652=MappingTables!$C$32)),1,VLOOKUP(CONCATENATE($D652,$G652),CSRFinput!$B:$E,4,0)))</f>
        <v>0.054776304963434752</v>
      </c>
      <c r="S652" s="73">
        <f>IF(B652="",0,P652*R652)</f>
        <v>120.22619934289152</v>
      </c>
      <c r="T652" s="85">
        <f>IF(B652="",0,IF(OR(H652=MappingTables!$C$34,H652=MappingTables!$C$35),S652,0))</f>
        <v>0</v>
      </c>
    </row>
    <row r="653" spans="2:20" s="0" customFormat="0" ht="15">
      <c r="B653" s="69" t="s">
        <v>4234</v>
      </c>
      <c r="C653" s="70" t="s">
        <v>4235</v>
      </c>
      <c r="D653" s="70" t="s">
        <v>1</v>
      </c>
      <c r="E653" s="70" t="s">
        <v>1</v>
      </c>
      <c r="F653" s="70"/>
      <c r="G653" s="70" t="s">
        <v>61</v>
      </c>
      <c r="H653" s="70" t="s">
        <v>178</v>
      </c>
      <c r="I653" s="70" t="s">
        <v>198</v>
      </c>
      <c r="J653" s="71" t="str">
        <f>IF(OR(I653=0,I653=""),"unrated",VLOOKUP(I653,MappingTables!$B$19:$C$31,2,FALSE))</f>
        <v>unrated</v>
      </c>
      <c r="K653" s="72">
        <v>26.887887232582752</v>
      </c>
      <c r="L653" s="70">
        <v>0.0684923330764696</v>
      </c>
      <c r="M653" s="71">
        <f>IF(L653&lt;1,1,L653)</f>
        <v>1</v>
      </c>
      <c r="N653" s="70" t="s">
        <v>3288</v>
      </c>
      <c r="O653" s="71">
        <f>IF(OR(I653=$A$1,I653=0),"",IF(N653=MappingTables!$C$14,VLOOKUP(J653,ModelParameters!$M$8:$N$15,2,FALSE),IF(N653=MappingTables!$C$16,VLOOKUP(J653,ModelParameters!$P$8:$Q$15,2,FALSE),0)))</f>
        <v>1</v>
      </c>
      <c r="P653" s="73">
        <f>IF(OR(I653=0,I653=$A$1),0,MIN(O653*M653,1)*K653)</f>
        <v>26.887887232582752</v>
      </c>
      <c r="Q653" s="73">
        <f>IF(B653="",0,IF(OR(H653=MappingTables!$C$34,H653=MappingTables!$C$35),P653,0))</f>
        <v>0</v>
      </c>
      <c r="R653" s="73">
        <f>IF(ISNA(IF(AND(VLOOKUP(CONCATENATE($D653,$G653),CSRFinput!$B:$E,4,0)=0,OR(H653=MappingTables!$C$31,H653=MappingTables!$C$32)),1,VLOOKUP(CONCATENATE($D653,$G653),CSRFinput!$B:$E,4,0))),0,IF(AND(VLOOKUP(CONCATENATE($D653,$G653),CSRFinput!$B:$E,4,0)=0,OR(H653=MappingTables!$C$31,H653=MappingTables!$C$32)),1,VLOOKUP(CONCATENATE($D653,$G653),CSRFinput!$B:$E,4,0)))</f>
        <v>0.054776304963434752</v>
      </c>
      <c r="S653" s="73">
        <f>IF(B653="",0,P653*R653)</f>
        <v>1.4728191108743966</v>
      </c>
      <c r="T653" s="85">
        <f>IF(B653="",0,IF(OR(H653=MappingTables!$C$34,H653=MappingTables!$C$35),S653,0))</f>
        <v>0</v>
      </c>
    </row>
    <row r="654" spans="2:20" s="0" customFormat="0" ht="15">
      <c r="B654" s="69" t="s">
        <v>3916</v>
      </c>
      <c r="C654" s="70" t="s">
        <v>3917</v>
      </c>
      <c r="D654" s="70" t="s">
        <v>1</v>
      </c>
      <c r="E654" s="70" t="s">
        <v>1</v>
      </c>
      <c r="F654" s="70"/>
      <c r="G654" s="70" t="s">
        <v>61</v>
      </c>
      <c r="H654" s="70" t="s">
        <v>178</v>
      </c>
      <c r="I654" s="70" t="s">
        <v>3291</v>
      </c>
      <c r="J654" s="71">
        <f>IF(OR(I654=0,I654=""),"unrated",VLOOKUP(I654,MappingTables!$B$19:$C$31,2,FALSE))</f>
        <v>6</v>
      </c>
      <c r="K654" s="72">
        <v>5.0412474047178224</v>
      </c>
      <c r="L654" s="70">
        <v>0.068494041642405536</v>
      </c>
      <c r="M654" s="71">
        <f>IF(L654&lt;1,1,L654)</f>
        <v>1</v>
      </c>
      <c r="N654" s="70" t="s">
        <v>3288</v>
      </c>
      <c r="O654" s="71">
        <f>IF(OR(I654=$A$1,I654=0),"",IF(N654=MappingTables!$C$14,VLOOKUP(J654,ModelParameters!$M$8:$N$15,2,FALSE),IF(N654=MappingTables!$C$16,VLOOKUP(J654,ModelParameters!$P$8:$Q$15,2,FALSE),0)))</f>
        <v>1</v>
      </c>
      <c r="P654" s="73">
        <f>IF(OR(I654=0,I654=$A$1),0,MIN(O654*M654,1)*K654)</f>
        <v>5.0412474047178224</v>
      </c>
      <c r="Q654" s="73">
        <f>IF(B654="",0,IF(OR(H654=MappingTables!$C$34,H654=MappingTables!$C$35),P654,0))</f>
        <v>0</v>
      </c>
      <c r="R654" s="73">
        <f>IF(ISNA(IF(AND(VLOOKUP(CONCATENATE($D654,$G654),CSRFinput!$B:$E,4,0)=0,OR(H654=MappingTables!$C$31,H654=MappingTables!$C$32)),1,VLOOKUP(CONCATENATE($D654,$G654),CSRFinput!$B:$E,4,0))),0,IF(AND(VLOOKUP(CONCATENATE($D654,$G654),CSRFinput!$B:$E,4,0)=0,OR(H654=MappingTables!$C$31,H654=MappingTables!$C$32)),1,VLOOKUP(CONCATENATE($D654,$G654),CSRFinput!$B:$E,4,0)))</f>
        <v>0.054776304963434752</v>
      </c>
      <c r="S654" s="73">
        <f>IF(B654="",0,P654*R654)</f>
        <v>0.2761409052369474</v>
      </c>
      <c r="T654" s="85">
        <f>IF(B654="",0,IF(OR(H654=MappingTables!$C$34,H654=MappingTables!$C$35),S654,0))</f>
        <v>0</v>
      </c>
    </row>
    <row r="655" spans="2:20" s="0" customFormat="0" ht="15">
      <c r="B655" s="69" t="s">
        <v>4236</v>
      </c>
      <c r="C655" s="70" t="s">
        <v>4237</v>
      </c>
      <c r="D655" s="70" t="s">
        <v>1</v>
      </c>
      <c r="E655" s="70" t="s">
        <v>1</v>
      </c>
      <c r="F655" s="70"/>
      <c r="G655" s="70" t="s">
        <v>61</v>
      </c>
      <c r="H655" s="70" t="s">
        <v>178</v>
      </c>
      <c r="I655" s="70" t="s">
        <v>184</v>
      </c>
      <c r="J655" s="71">
        <f>IF(OR(I655=0,I655=""),"unrated",VLOOKUP(I655,MappingTables!$B$19:$C$31,2,FALSE))</f>
        <v>5</v>
      </c>
      <c r="K655" s="72">
        <v>19.966069141225268</v>
      </c>
      <c r="L655" s="70">
        <v>0.06849119098727792</v>
      </c>
      <c r="M655" s="71">
        <f>IF(L655&lt;1,1,L655)</f>
        <v>1</v>
      </c>
      <c r="N655" s="70" t="s">
        <v>3288</v>
      </c>
      <c r="O655" s="71">
        <f>IF(OR(I655=$A$1,I655=0),"",IF(N655=MappingTables!$C$14,VLOOKUP(J655,ModelParameters!$M$8:$N$15,2,FALSE),IF(N655=MappingTables!$C$16,VLOOKUP(J655,ModelParameters!$P$8:$Q$15,2,FALSE),0)))</f>
        <v>1</v>
      </c>
      <c r="P655" s="73">
        <f>IF(OR(I655=0,I655=$A$1),0,MIN(O655*M655,1)*K655)</f>
        <v>19.966069141225268</v>
      </c>
      <c r="Q655" s="73">
        <f>IF(B655="",0,IF(OR(H655=MappingTables!$C$34,H655=MappingTables!$C$35),P655,0))</f>
        <v>0</v>
      </c>
      <c r="R655" s="73">
        <f>IF(ISNA(IF(AND(VLOOKUP(CONCATENATE($D655,$G655),CSRFinput!$B:$E,4,0)=0,OR(H655=MappingTables!$C$31,H655=MappingTables!$C$32)),1,VLOOKUP(CONCATENATE($D655,$G655),CSRFinput!$B:$E,4,0))),0,IF(AND(VLOOKUP(CONCATENATE($D655,$G655),CSRFinput!$B:$E,4,0)=0,OR(H655=MappingTables!$C$31,H655=MappingTables!$C$32)),1,VLOOKUP(CONCATENATE($D655,$G655),CSRFinput!$B:$E,4,0)))</f>
        <v>0.054776304963434752</v>
      </c>
      <c r="S655" s="73">
        <f>IF(B655="",0,P655*R655)</f>
        <v>1.0936674922007792</v>
      </c>
      <c r="T655" s="85">
        <f>IF(B655="",0,IF(OR(H655=MappingTables!$C$34,H655=MappingTables!$C$35),S655,0))</f>
        <v>0</v>
      </c>
    </row>
    <row r="656" spans="2:20" s="0" customFormat="0" ht="15">
      <c r="B656" s="69" t="s">
        <v>4238</v>
      </c>
      <c r="C656" s="70" t="s">
        <v>4239</v>
      </c>
      <c r="D656" s="70" t="s">
        <v>1</v>
      </c>
      <c r="E656" s="70" t="s">
        <v>1</v>
      </c>
      <c r="F656" s="70"/>
      <c r="G656" s="70" t="s">
        <v>61</v>
      </c>
      <c r="H656" s="70" t="s">
        <v>178</v>
      </c>
      <c r="I656" s="70" t="s">
        <v>181</v>
      </c>
      <c r="J656" s="71">
        <f>IF(OR(I656=0,I656=""),"unrated",VLOOKUP(I656,MappingTables!$B$19:$C$31,2,FALSE))</f>
        <v>3</v>
      </c>
      <c r="K656" s="72">
        <v>218.76514128779212</v>
      </c>
      <c r="L656" s="70">
        <v>0.068491485314311208</v>
      </c>
      <c r="M656" s="71">
        <f>IF(L656&lt;1,1,L656)</f>
        <v>1</v>
      </c>
      <c r="N656" s="70" t="s">
        <v>3288</v>
      </c>
      <c r="O656" s="71">
        <f>IF(OR(I656=$A$1,I656=0),"",IF(N656=MappingTables!$C$14,VLOOKUP(J656,ModelParameters!$M$8:$N$15,2,FALSE),IF(N656=MappingTables!$C$16,VLOOKUP(J656,ModelParameters!$P$8:$Q$15,2,FALSE),0)))</f>
        <v>0.197</v>
      </c>
      <c r="P656" s="73">
        <f>IF(OR(I656=0,I656=$A$1),0,MIN(O656*M656,1)*K656)</f>
        <v>43.09673283369504</v>
      </c>
      <c r="Q656" s="73">
        <f>IF(B656="",0,IF(OR(H656=MappingTables!$C$34,H656=MappingTables!$C$35),P656,0))</f>
        <v>0</v>
      </c>
      <c r="R656" s="73">
        <f>IF(ISNA(IF(AND(VLOOKUP(CONCATENATE($D656,$G656),CSRFinput!$B:$E,4,0)=0,OR(H656=MappingTables!$C$31,H656=MappingTables!$C$32)),1,VLOOKUP(CONCATENATE($D656,$G656),CSRFinput!$B:$E,4,0))),0,IF(AND(VLOOKUP(CONCATENATE($D656,$G656),CSRFinput!$B:$E,4,0)=0,OR(H656=MappingTables!$C$31,H656=MappingTables!$C$32)),1,VLOOKUP(CONCATENATE($D656,$G656),CSRFinput!$B:$E,4,0)))</f>
        <v>0.054776304963434752</v>
      </c>
      <c r="S656" s="73">
        <f>IF(B656="",0,P656*R656)</f>
        <v>2.3606797806261516</v>
      </c>
      <c r="T656" s="85">
        <f>IF(B656="",0,IF(OR(H656=MappingTables!$C$34,H656=MappingTables!$C$35),S656,0))</f>
        <v>0</v>
      </c>
    </row>
    <row r="657" spans="2:20" s="0" customFormat="0" ht="15">
      <c r="B657" s="69" t="s">
        <v>4240</v>
      </c>
      <c r="C657" s="70" t="s">
        <v>4241</v>
      </c>
      <c r="D657" s="70" t="s">
        <v>1</v>
      </c>
      <c r="E657" s="70" t="s">
        <v>1</v>
      </c>
      <c r="F657" s="70"/>
      <c r="G657" s="70" t="s">
        <v>61</v>
      </c>
      <c r="H657" s="70" t="s">
        <v>178</v>
      </c>
      <c r="I657" s="70" t="s">
        <v>198</v>
      </c>
      <c r="J657" s="71" t="str">
        <f>IF(OR(I657=0,I657=""),"unrated",VLOOKUP(I657,MappingTables!$B$19:$C$31,2,FALSE))</f>
        <v>unrated</v>
      </c>
      <c r="K657" s="72">
        <v>550.01366648401928</v>
      </c>
      <c r="L657" s="70">
        <v>9.4444455421181712</v>
      </c>
      <c r="M657" s="71">
        <f>IF(L657&lt;1,1,L657)</f>
        <v>9.4444455421181712</v>
      </c>
      <c r="N657" s="70" t="s">
        <v>3288</v>
      </c>
      <c r="O657" s="71">
        <f>IF(OR(I657=$A$1,I657=0),"",IF(N657=MappingTables!$C$14,VLOOKUP(J657,ModelParameters!$M$8:$N$15,2,FALSE),IF(N657=MappingTables!$C$16,VLOOKUP(J657,ModelParameters!$P$8:$Q$15,2,FALSE),0)))</f>
        <v>1</v>
      </c>
      <c r="P657" s="73">
        <f>IF(OR(I657=0,I657=$A$1),0,MIN(O657*M657,1)*K657)</f>
        <v>550.01366648401928</v>
      </c>
      <c r="Q657" s="73">
        <f>IF(B657="",0,IF(OR(H657=MappingTables!$C$34,H657=MappingTables!$C$35),P657,0))</f>
        <v>0</v>
      </c>
      <c r="R657" s="73">
        <f>IF(ISNA(IF(AND(VLOOKUP(CONCATENATE($D657,$G657),CSRFinput!$B:$E,4,0)=0,OR(H657=MappingTables!$C$31,H657=MappingTables!$C$32)),1,VLOOKUP(CONCATENATE($D657,$G657),CSRFinput!$B:$E,4,0))),0,IF(AND(VLOOKUP(CONCATENATE($D657,$G657),CSRFinput!$B:$E,4,0)=0,OR(H657=MappingTables!$C$31,H657=MappingTables!$C$32)),1,VLOOKUP(CONCATENATE($D657,$G657),CSRFinput!$B:$E,4,0)))</f>
        <v>0.054776304963434752</v>
      </c>
      <c r="S657" s="73">
        <f>IF(B657="",0,P657*R657)</f>
        <v>30.127716329385532</v>
      </c>
      <c r="T657" s="85">
        <f>IF(B657="",0,IF(OR(H657=MappingTables!$C$34,H657=MappingTables!$C$35),S657,0))</f>
        <v>0</v>
      </c>
    </row>
    <row r="658" spans="2:20" s="0" customFormat="0" ht="15">
      <c r="B658" s="69" t="s">
        <v>4242</v>
      </c>
      <c r="C658" s="70" t="s">
        <v>4243</v>
      </c>
      <c r="D658" s="70" t="s">
        <v>1</v>
      </c>
      <c r="E658" s="70" t="s">
        <v>1</v>
      </c>
      <c r="F658" s="70"/>
      <c r="G658" s="70" t="s">
        <v>61</v>
      </c>
      <c r="H658" s="70" t="s">
        <v>178</v>
      </c>
      <c r="I658" s="70" t="s">
        <v>3298</v>
      </c>
      <c r="J658" s="71">
        <f>IF(OR(I658=0,I658=""),"unrated",VLOOKUP(I658,MappingTables!$B$19:$C$31,2,FALSE))</f>
        <v>6</v>
      </c>
      <c r="K658" s="72">
        <v>1298.3930133260912</v>
      </c>
      <c r="L658" s="70">
        <v>0.068493007737715136</v>
      </c>
      <c r="M658" s="71">
        <f>IF(L658&lt;1,1,L658)</f>
        <v>1</v>
      </c>
      <c r="N658" s="70" t="s">
        <v>3288</v>
      </c>
      <c r="O658" s="71">
        <f>IF(OR(I658=$A$1,I658=0),"",IF(N658=MappingTables!$C$14,VLOOKUP(J658,ModelParameters!$M$8:$N$15,2,FALSE),IF(N658=MappingTables!$C$16,VLOOKUP(J658,ModelParameters!$P$8:$Q$15,2,FALSE),0)))</f>
        <v>1</v>
      </c>
      <c r="P658" s="73">
        <f>IF(OR(I658=0,I658=$A$1),0,MIN(O658*M658,1)*K658)</f>
        <v>1298.3930133260912</v>
      </c>
      <c r="Q658" s="73">
        <f>IF(B658="",0,IF(OR(H658=MappingTables!$C$34,H658=MappingTables!$C$35),P658,0))</f>
        <v>0</v>
      </c>
      <c r="R658" s="73">
        <f>IF(ISNA(IF(AND(VLOOKUP(CONCATENATE($D658,$G658),CSRFinput!$B:$E,4,0)=0,OR(H658=MappingTables!$C$31,H658=MappingTables!$C$32)),1,VLOOKUP(CONCATENATE($D658,$G658),CSRFinput!$B:$E,4,0))),0,IF(AND(VLOOKUP(CONCATENATE($D658,$G658),CSRFinput!$B:$E,4,0)=0,OR(H658=MappingTables!$C$31,H658=MappingTables!$C$32)),1,VLOOKUP(CONCATENATE($D658,$G658),CSRFinput!$B:$E,4,0)))</f>
        <v>0.054776304963434752</v>
      </c>
      <c r="S658" s="73">
        <f>IF(B658="",0,P658*R658)</f>
        <v>71.121171660342984</v>
      </c>
      <c r="T658" s="85">
        <f>IF(B658="",0,IF(OR(H658=MappingTables!$C$34,H658=MappingTables!$C$35),S658,0))</f>
        <v>0</v>
      </c>
    </row>
    <row r="659" spans="2:20" s="0" customFormat="0" ht="15">
      <c r="B659" s="69" t="s">
        <v>4244</v>
      </c>
      <c r="C659" s="70" t="s">
        <v>4245</v>
      </c>
      <c r="D659" s="70" t="s">
        <v>1</v>
      </c>
      <c r="E659" s="70" t="s">
        <v>1</v>
      </c>
      <c r="F659" s="70"/>
      <c r="G659" s="70" t="s">
        <v>61</v>
      </c>
      <c r="H659" s="70" t="s">
        <v>178</v>
      </c>
      <c r="I659" s="70" t="s">
        <v>198</v>
      </c>
      <c r="J659" s="71" t="str">
        <f>IF(OR(I659=0,I659=""),"unrated",VLOOKUP(I659,MappingTables!$B$19:$C$31,2,FALSE))</f>
        <v>unrated</v>
      </c>
      <c r="K659" s="72">
        <v>838.93607749886016</v>
      </c>
      <c r="L659" s="70">
        <v>0.27381308191596244</v>
      </c>
      <c r="M659" s="71">
        <f>IF(L659&lt;1,1,L659)</f>
        <v>1</v>
      </c>
      <c r="N659" s="70" t="s">
        <v>3288</v>
      </c>
      <c r="O659" s="71">
        <f>IF(OR(I659=$A$1,I659=0),"",IF(N659=MappingTables!$C$14,VLOOKUP(J659,ModelParameters!$M$8:$N$15,2,FALSE),IF(N659=MappingTables!$C$16,VLOOKUP(J659,ModelParameters!$P$8:$Q$15,2,FALSE),0)))</f>
        <v>1</v>
      </c>
      <c r="P659" s="73">
        <f>IF(OR(I659=0,I659=$A$1),0,MIN(O659*M659,1)*K659)</f>
        <v>838.93607749886016</v>
      </c>
      <c r="Q659" s="73">
        <f>IF(B659="",0,IF(OR(H659=MappingTables!$C$34,H659=MappingTables!$C$35),P659,0))</f>
        <v>0</v>
      </c>
      <c r="R659" s="73">
        <f>IF(ISNA(IF(AND(VLOOKUP(CONCATENATE($D659,$G659),CSRFinput!$B:$E,4,0)=0,OR(H659=MappingTables!$C$31,H659=MappingTables!$C$32)),1,VLOOKUP(CONCATENATE($D659,$G659),CSRFinput!$B:$E,4,0))),0,IF(AND(VLOOKUP(CONCATENATE($D659,$G659),CSRFinput!$B:$E,4,0)=0,OR(H659=MappingTables!$C$31,H659=MappingTables!$C$32)),1,VLOOKUP(CONCATENATE($D659,$G659),CSRFinput!$B:$E,4,0)))</f>
        <v>0.054776304963434752</v>
      </c>
      <c r="S659" s="73">
        <f>IF(B659="",0,P659*R659)</f>
        <v>45.953818425905296</v>
      </c>
      <c r="T659" s="85">
        <f>IF(B659="",0,IF(OR(H659=MappingTables!$C$34,H659=MappingTables!$C$35),S659,0))</f>
        <v>0</v>
      </c>
    </row>
    <row r="660" spans="2:20" s="0" customFormat="0" ht="15">
      <c r="B660" s="69" t="s">
        <v>4246</v>
      </c>
      <c r="C660" s="70" t="s">
        <v>4247</v>
      </c>
      <c r="D660" s="70" t="s">
        <v>1</v>
      </c>
      <c r="E660" s="70" t="s">
        <v>1</v>
      </c>
      <c r="F660" s="70"/>
      <c r="G660" s="70" t="s">
        <v>61</v>
      </c>
      <c r="H660" s="70" t="s">
        <v>178</v>
      </c>
      <c r="I660" s="70" t="s">
        <v>3291</v>
      </c>
      <c r="J660" s="71">
        <f>IF(OR(I660=0,I660=""),"unrated",VLOOKUP(I660,MappingTables!$B$19:$C$31,2,FALSE))</f>
        <v>6</v>
      </c>
      <c r="K660" s="72">
        <v>3265.5584375106752</v>
      </c>
      <c r="L660" s="70">
        <v>0.068488891475631624</v>
      </c>
      <c r="M660" s="71">
        <f>IF(L660&lt;1,1,L660)</f>
        <v>1</v>
      </c>
      <c r="N660" s="70" t="s">
        <v>3288</v>
      </c>
      <c r="O660" s="71">
        <f>IF(OR(I660=$A$1,I660=0),"",IF(N660=MappingTables!$C$14,VLOOKUP(J660,ModelParameters!$M$8:$N$15,2,FALSE),IF(N660=MappingTables!$C$16,VLOOKUP(J660,ModelParameters!$P$8:$Q$15,2,FALSE),0)))</f>
        <v>1</v>
      </c>
      <c r="P660" s="73">
        <f>IF(OR(I660=0,I660=$A$1),0,MIN(O660*M660,1)*K660)</f>
        <v>3265.5584375106752</v>
      </c>
      <c r="Q660" s="73">
        <f>IF(B660="",0,IF(OR(H660=MappingTables!$C$34,H660=MappingTables!$C$35),P660,0))</f>
        <v>0</v>
      </c>
      <c r="R660" s="73">
        <f>IF(ISNA(IF(AND(VLOOKUP(CONCATENATE($D660,$G660),CSRFinput!$B:$E,4,0)=0,OR(H660=MappingTables!$C$31,H660=MappingTables!$C$32)),1,VLOOKUP(CONCATENATE($D660,$G660),CSRFinput!$B:$E,4,0))),0,IF(AND(VLOOKUP(CONCATENATE($D660,$G660),CSRFinput!$B:$E,4,0)=0,OR(H660=MappingTables!$C$31,H660=MappingTables!$C$32)),1,VLOOKUP(CONCATENATE($D660,$G660),CSRFinput!$B:$E,4,0)))</f>
        <v>0.054776304963434752</v>
      </c>
      <c r="S660" s="73">
        <f>IF(B660="",0,P660*R660)</f>
        <v>178.87522484900222</v>
      </c>
      <c r="T660" s="85">
        <f>IF(B660="",0,IF(OR(H660=MappingTables!$C$34,H660=MappingTables!$C$35),S660,0))</f>
        <v>0</v>
      </c>
    </row>
    <row r="661" spans="2:20" s="0" customFormat="0" ht="15">
      <c r="B661" s="69" t="s">
        <v>4248</v>
      </c>
      <c r="C661" s="70" t="s">
        <v>4249</v>
      </c>
      <c r="D661" s="70" t="s">
        <v>1</v>
      </c>
      <c r="E661" s="70" t="s">
        <v>1</v>
      </c>
      <c r="F661" s="70"/>
      <c r="G661" s="70" t="s">
        <v>61</v>
      </c>
      <c r="H661" s="70" t="s">
        <v>178</v>
      </c>
      <c r="I661" s="70" t="s">
        <v>198</v>
      </c>
      <c r="J661" s="71" t="str">
        <f>IF(OR(I661=0,I661=""),"unrated",VLOOKUP(I661,MappingTables!$B$19:$C$31,2,FALSE))</f>
        <v>unrated</v>
      </c>
      <c r="K661" s="72">
        <v>8.1900202798706608</v>
      </c>
      <c r="L661" s="70">
        <v>9.3244183272205008</v>
      </c>
      <c r="M661" s="71">
        <f>IF(L661&lt;1,1,L661)</f>
        <v>9.3244183272205008</v>
      </c>
      <c r="N661" s="70" t="s">
        <v>3288</v>
      </c>
      <c r="O661" s="71">
        <f>IF(OR(I661=$A$1,I661=0),"",IF(N661=MappingTables!$C$14,VLOOKUP(J661,ModelParameters!$M$8:$N$15,2,FALSE),IF(N661=MappingTables!$C$16,VLOOKUP(J661,ModelParameters!$P$8:$Q$15,2,FALSE),0)))</f>
        <v>1</v>
      </c>
      <c r="P661" s="73">
        <f>IF(OR(I661=0,I661=$A$1),0,MIN(O661*M661,1)*K661)</f>
        <v>8.1900202798706608</v>
      </c>
      <c r="Q661" s="73">
        <f>IF(B661="",0,IF(OR(H661=MappingTables!$C$34,H661=MappingTables!$C$35),P661,0))</f>
        <v>0</v>
      </c>
      <c r="R661" s="73">
        <f>IF(ISNA(IF(AND(VLOOKUP(CONCATENATE($D661,$G661),CSRFinput!$B:$E,4,0)=0,OR(H661=MappingTables!$C$31,H661=MappingTables!$C$32)),1,VLOOKUP(CONCATENATE($D661,$G661),CSRFinput!$B:$E,4,0))),0,IF(AND(VLOOKUP(CONCATENATE($D661,$G661),CSRFinput!$B:$E,4,0)=0,OR(H661=MappingTables!$C$31,H661=MappingTables!$C$32)),1,VLOOKUP(CONCATENATE($D661,$G661),CSRFinput!$B:$E,4,0)))</f>
        <v>0.054776304963434752</v>
      </c>
      <c r="S661" s="73">
        <f>IF(B661="",0,P661*R661)</f>
        <v>0.44861904850691056</v>
      </c>
      <c r="T661" s="85">
        <f>IF(B661="",0,IF(OR(H661=MappingTables!$C$34,H661=MappingTables!$C$35),S661,0))</f>
        <v>0</v>
      </c>
    </row>
    <row r="662" spans="2:20" s="0" customFormat="0" ht="15">
      <c r="B662" s="69">
        <v>1928588</v>
      </c>
      <c r="C662" s="70" t="s">
        <v>4250</v>
      </c>
      <c r="D662" s="70" t="s">
        <v>1</v>
      </c>
      <c r="E662" s="70" t="s">
        <v>1</v>
      </c>
      <c r="F662" s="70"/>
      <c r="G662" s="70" t="s">
        <v>61</v>
      </c>
      <c r="H662" s="70" t="s">
        <v>178</v>
      </c>
      <c r="I662" s="70" t="s">
        <v>179</v>
      </c>
      <c r="J662" s="71">
        <f>IF(OR(I662=0,I662=""),"unrated",VLOOKUP(I662,MappingTables!$B$19:$C$31,2,FALSE))</f>
        <v>4</v>
      </c>
      <c r="K662" s="72">
        <v>75.93995285198816</v>
      </c>
      <c r="L662" s="70">
        <v>0.068494935452561304</v>
      </c>
      <c r="M662" s="71">
        <f>IF(L662&lt;1,1,L662)</f>
        <v>1</v>
      </c>
      <c r="N662" s="70" t="s">
        <v>3288</v>
      </c>
      <c r="O662" s="71">
        <f>IF(OR(I662=$A$1,I662=0),"",IF(N662=MappingTables!$C$14,VLOOKUP(J662,ModelParameters!$M$8:$N$15,2,FALSE),IF(N662=MappingTables!$C$16,VLOOKUP(J662,ModelParameters!$P$8:$Q$15,2,FALSE),0)))</f>
        <v>0.82</v>
      </c>
      <c r="P662" s="73">
        <f>IF(OR(I662=0,I662=$A$1),0,MIN(O662*M662,1)*K662)</f>
        <v>62.270761338630296</v>
      </c>
      <c r="Q662" s="73">
        <f>IF(B662="",0,IF(OR(H662=MappingTables!$C$34,H662=MappingTables!$C$35),P662,0))</f>
        <v>0</v>
      </c>
      <c r="R662" s="73">
        <f>IF(ISNA(IF(AND(VLOOKUP(CONCATENATE($D662,$G662),CSRFinput!$B:$E,4,0)=0,OR(H662=MappingTables!$C$31,H662=MappingTables!$C$32)),1,VLOOKUP(CONCATENATE($D662,$G662),CSRFinput!$B:$E,4,0))),0,IF(AND(VLOOKUP(CONCATENATE($D662,$G662),CSRFinput!$B:$E,4,0)=0,OR(H662=MappingTables!$C$31,H662=MappingTables!$C$32)),1,VLOOKUP(CONCATENATE($D662,$G662),CSRFinput!$B:$E,4,0)))</f>
        <v>0.054776304963434752</v>
      </c>
      <c r="S662" s="73">
        <f>IF(B662="",0,P662*R662)</f>
        <v>3.4109622133900756</v>
      </c>
      <c r="T662" s="85">
        <f>IF(B662="",0,IF(OR(H662=MappingTables!$C$34,H662=MappingTables!$C$35),S662,0))</f>
        <v>0</v>
      </c>
    </row>
    <row r="663" spans="2:20" s="0" customFormat="0" ht="15">
      <c r="B663" s="69" t="s">
        <v>4104</v>
      </c>
      <c r="C663" s="70" t="s">
        <v>4105</v>
      </c>
      <c r="D663" s="70" t="s">
        <v>1</v>
      </c>
      <c r="E663" s="70" t="s">
        <v>1</v>
      </c>
      <c r="F663" s="70"/>
      <c r="G663" s="70" t="s">
        <v>61</v>
      </c>
      <c r="H663" s="70" t="s">
        <v>178</v>
      </c>
      <c r="I663" s="70" t="s">
        <v>181</v>
      </c>
      <c r="J663" s="71">
        <f>IF(OR(I663=0,I663=""),"unrated",VLOOKUP(I663,MappingTables!$B$19:$C$31,2,FALSE))</f>
        <v>3</v>
      </c>
      <c r="K663" s="72">
        <v>272.37381141764036</v>
      </c>
      <c r="L663" s="70">
        <v>0.068487507701588664</v>
      </c>
      <c r="M663" s="71">
        <f>IF(L663&lt;1,1,L663)</f>
        <v>1</v>
      </c>
      <c r="N663" s="70" t="s">
        <v>3288</v>
      </c>
      <c r="O663" s="71">
        <f>IF(OR(I663=$A$1,I663=0),"",IF(N663=MappingTables!$C$14,VLOOKUP(J663,ModelParameters!$M$8:$N$15,2,FALSE),IF(N663=MappingTables!$C$16,VLOOKUP(J663,ModelParameters!$P$8:$Q$15,2,FALSE),0)))</f>
        <v>0.197</v>
      </c>
      <c r="P663" s="73">
        <f>IF(OR(I663=0,I663=$A$1),0,MIN(O663*M663,1)*K663)</f>
        <v>53.657640849275144</v>
      </c>
      <c r="Q663" s="73">
        <f>IF(B663="",0,IF(OR(H663=MappingTables!$C$34,H663=MappingTables!$C$35),P663,0))</f>
        <v>0</v>
      </c>
      <c r="R663" s="73">
        <f>IF(ISNA(IF(AND(VLOOKUP(CONCATENATE($D663,$G663),CSRFinput!$B:$E,4,0)=0,OR(H663=MappingTables!$C$31,H663=MappingTables!$C$32)),1,VLOOKUP(CONCATENATE($D663,$G663),CSRFinput!$B:$E,4,0))),0,IF(AND(VLOOKUP(CONCATENATE($D663,$G663),CSRFinput!$B:$E,4,0)=0,OR(H663=MappingTables!$C$31,H663=MappingTables!$C$32)),1,VLOOKUP(CONCATENATE($D663,$G663),CSRFinput!$B:$E,4,0)))</f>
        <v>0.054776304963434752</v>
      </c>
      <c r="S663" s="73">
        <f>IF(B663="",0,P663*R663)</f>
        <v>2.9391672987783496</v>
      </c>
      <c r="T663" s="85">
        <f>IF(B663="",0,IF(OR(H663=MappingTables!$C$34,H663=MappingTables!$C$35),S663,0))</f>
        <v>0</v>
      </c>
    </row>
    <row r="664" spans="2:20" s="0" customFormat="0" ht="15">
      <c r="B664" s="69">
        <v>22623678</v>
      </c>
      <c r="C664" s="70" t="s">
        <v>4124</v>
      </c>
      <c r="D664" s="70" t="s">
        <v>1</v>
      </c>
      <c r="E664" s="70" t="s">
        <v>1</v>
      </c>
      <c r="F664" s="70"/>
      <c r="G664" s="70" t="s">
        <v>61</v>
      </c>
      <c r="H664" s="70" t="s">
        <v>178</v>
      </c>
      <c r="I664" s="70" t="s">
        <v>198</v>
      </c>
      <c r="J664" s="71" t="str">
        <f>IF(OR(I664=0,I664=""),"unrated",VLOOKUP(I664,MappingTables!$B$19:$C$31,2,FALSE))</f>
        <v>unrated</v>
      </c>
      <c r="K664" s="72">
        <v>628.77411499133424</v>
      </c>
      <c r="L664" s="70">
        <v>2.0377315350019828</v>
      </c>
      <c r="M664" s="71">
        <f>IF(L664&lt;1,1,L664)</f>
        <v>2.0377315350019828</v>
      </c>
      <c r="N664" s="70" t="s">
        <v>3288</v>
      </c>
      <c r="O664" s="71">
        <f>IF(OR(I664=$A$1,I664=0),"",IF(N664=MappingTables!$C$14,VLOOKUP(J664,ModelParameters!$M$8:$N$15,2,FALSE),IF(N664=MappingTables!$C$16,VLOOKUP(J664,ModelParameters!$P$8:$Q$15,2,FALSE),0)))</f>
        <v>1</v>
      </c>
      <c r="P664" s="73">
        <f>IF(OR(I664=0,I664=$A$1),0,MIN(O664*M664,1)*K664)</f>
        <v>628.77411499133424</v>
      </c>
      <c r="Q664" s="73">
        <f>IF(B664="",0,IF(OR(H664=MappingTables!$C$34,H664=MappingTables!$C$35),P664,0))</f>
        <v>0</v>
      </c>
      <c r="R664" s="73">
        <f>IF(ISNA(IF(AND(VLOOKUP(CONCATENATE($D664,$G664),CSRFinput!$B:$E,4,0)=0,OR(H664=MappingTables!$C$31,H664=MappingTables!$C$32)),1,VLOOKUP(CONCATENATE($D664,$G664),CSRFinput!$B:$E,4,0))),0,IF(AND(VLOOKUP(CONCATENATE($D664,$G664),CSRFinput!$B:$E,4,0)=0,OR(H664=MappingTables!$C$31,H664=MappingTables!$C$32)),1,VLOOKUP(CONCATENATE($D664,$G664),CSRFinput!$B:$E,4,0)))</f>
        <v>0.054776304963434752</v>
      </c>
      <c r="S664" s="73">
        <f>IF(B664="",0,P664*R664)</f>
        <v>34.44192267587912</v>
      </c>
      <c r="T664" s="85">
        <f>IF(B664="",0,IF(OR(H664=MappingTables!$C$34,H664=MappingTables!$C$35),S664,0))</f>
        <v>0</v>
      </c>
    </row>
    <row r="665" spans="2:20" s="0" customFormat="0" ht="15">
      <c r="B665" s="69" t="s">
        <v>4251</v>
      </c>
      <c r="C665" s="70" t="s">
        <v>4252</v>
      </c>
      <c r="D665" s="70" t="s">
        <v>1</v>
      </c>
      <c r="E665" s="70" t="s">
        <v>1</v>
      </c>
      <c r="F665" s="70"/>
      <c r="G665" s="70" t="s">
        <v>61</v>
      </c>
      <c r="H665" s="70" t="s">
        <v>178</v>
      </c>
      <c r="I665" s="70" t="s">
        <v>216</v>
      </c>
      <c r="J665" s="71">
        <f>IF(OR(I665=0,I665=""),"unrated",VLOOKUP(I665,MappingTables!$B$19:$C$31,2,FALSE))</f>
        <v>0</v>
      </c>
      <c r="K665" s="72">
        <v>646.11815664252992</v>
      </c>
      <c r="L665" s="70">
        <v>1.7933515004942766</v>
      </c>
      <c r="M665" s="71">
        <f>IF(L665&lt;1,1,L665)</f>
        <v>1.7933515004942766</v>
      </c>
      <c r="N665" s="70" t="s">
        <v>3288</v>
      </c>
      <c r="O665" s="71">
        <f>IF(OR(I665=$A$1,I665=0),"",IF(N665=MappingTables!$C$14,VLOOKUP(J665,ModelParameters!$M$8:$N$15,2,FALSE),IF(N665=MappingTables!$C$16,VLOOKUP(J665,ModelParameters!$P$8:$Q$15,2,FALSE),0)))</f>
        <v>0.125</v>
      </c>
      <c r="P665" s="73">
        <f>IF(OR(I665=0,I665=$A$1),0,MIN(O665*M665,1)*K665)</f>
        <v>144.83962071393464</v>
      </c>
      <c r="Q665" s="73">
        <f>IF(B665="",0,IF(OR(H665=MappingTables!$C$34,H665=MappingTables!$C$35),P665,0))</f>
        <v>0</v>
      </c>
      <c r="R665" s="73">
        <f>IF(ISNA(IF(AND(VLOOKUP(CONCATENATE($D665,$G665),CSRFinput!$B:$E,4,0)=0,OR(H665=MappingTables!$C$31,H665=MappingTables!$C$32)),1,VLOOKUP(CONCATENATE($D665,$G665),CSRFinput!$B:$E,4,0))),0,IF(AND(VLOOKUP(CONCATENATE($D665,$G665),CSRFinput!$B:$E,4,0)=0,OR(H665=MappingTables!$C$31,H665=MappingTables!$C$32)),1,VLOOKUP(CONCATENATE($D665,$G665),CSRFinput!$B:$E,4,0)))</f>
        <v>0.054776304963434752</v>
      </c>
      <c r="S665" s="73">
        <f>IF(B665="",0,P665*R665)</f>
        <v>7.9337792350147056</v>
      </c>
      <c r="T665" s="85">
        <f>IF(B665="",0,IF(OR(H665=MappingTables!$C$34,H665=MappingTables!$C$35),S665,0))</f>
        <v>0</v>
      </c>
    </row>
    <row r="666" spans="2:20" s="0" customFormat="0" ht="15">
      <c r="B666" s="69">
        <v>11094842</v>
      </c>
      <c r="C666" s="70" t="s">
        <v>4253</v>
      </c>
      <c r="D666" s="70" t="s">
        <v>1</v>
      </c>
      <c r="E666" s="70" t="s">
        <v>1</v>
      </c>
      <c r="F666" s="70"/>
      <c r="G666" s="70" t="s">
        <v>61</v>
      </c>
      <c r="H666" s="70" t="s">
        <v>178</v>
      </c>
      <c r="I666" s="70" t="s">
        <v>216</v>
      </c>
      <c r="J666" s="71">
        <f>IF(OR(I666=0,I666=""),"unrated",VLOOKUP(I666,MappingTables!$B$19:$C$31,2,FALSE))</f>
        <v>0</v>
      </c>
      <c r="K666" s="72">
        <v>16.95559484180735</v>
      </c>
      <c r="L666" s="70">
        <v>1.5397199602639328</v>
      </c>
      <c r="M666" s="71">
        <f>IF(L666&lt;1,1,L666)</f>
        <v>1.5397199602639328</v>
      </c>
      <c r="N666" s="70" t="s">
        <v>3288</v>
      </c>
      <c r="O666" s="71">
        <f>IF(OR(I666=$A$1,I666=0),"",IF(N666=MappingTables!$C$14,VLOOKUP(J666,ModelParameters!$M$8:$N$15,2,FALSE),IF(N666=MappingTables!$C$16,VLOOKUP(J666,ModelParameters!$P$8:$Q$15,2,FALSE),0)))</f>
        <v>0.125</v>
      </c>
      <c r="P666" s="73">
        <f>IF(OR(I666=0,I666=$A$1),0,MIN(O666*M666,1)*K666)</f>
        <v>3.26335847700987</v>
      </c>
      <c r="Q666" s="73">
        <f>IF(B666="",0,IF(OR(H666=MappingTables!$C$34,H666=MappingTables!$C$35),P666,0))</f>
        <v>0</v>
      </c>
      <c r="R666" s="73">
        <f>IF(ISNA(IF(AND(VLOOKUP(CONCATENATE($D666,$G666),CSRFinput!$B:$E,4,0)=0,OR(H666=MappingTables!$C$31,H666=MappingTables!$C$32)),1,VLOOKUP(CONCATENATE($D666,$G666),CSRFinput!$B:$E,4,0))),0,IF(AND(VLOOKUP(CONCATENATE($D666,$G666),CSRFinput!$B:$E,4,0)=0,OR(H666=MappingTables!$C$31,H666=MappingTables!$C$32)),1,VLOOKUP(CONCATENATE($D666,$G666),CSRFinput!$B:$E,4,0)))</f>
        <v>0.054776304963434752</v>
      </c>
      <c r="S666" s="73">
        <f>IF(B666="",0,P666*R666)</f>
        <v>0.17875471914170262</v>
      </c>
      <c r="T666" s="85">
        <f>IF(B666="",0,IF(OR(H666=MappingTables!$C$34,H666=MappingTables!$C$35),S666,0))</f>
        <v>0</v>
      </c>
    </row>
    <row r="667" spans="2:20" s="0" customFormat="0" ht="15">
      <c r="B667" s="69" t="s">
        <v>3504</v>
      </c>
      <c r="C667" s="70" t="s">
        <v>3505</v>
      </c>
      <c r="D667" s="70" t="s">
        <v>1</v>
      </c>
      <c r="E667" s="70" t="s">
        <v>1</v>
      </c>
      <c r="F667" s="70"/>
      <c r="G667" s="70" t="s">
        <v>61</v>
      </c>
      <c r="H667" s="70" t="s">
        <v>178</v>
      </c>
      <c r="I667" s="70" t="s">
        <v>198</v>
      </c>
      <c r="J667" s="71" t="str">
        <f>IF(OR(I667=0,I667=""),"unrated",VLOOKUP(I667,MappingTables!$B$19:$C$31,2,FALSE))</f>
        <v>unrated</v>
      </c>
      <c r="K667" s="72">
        <v>123.78146028316918</v>
      </c>
      <c r="L667" s="70">
        <v>0.0684941167869636</v>
      </c>
      <c r="M667" s="71">
        <f>IF(L667&lt;1,1,L667)</f>
        <v>1</v>
      </c>
      <c r="N667" s="70" t="s">
        <v>3288</v>
      </c>
      <c r="O667" s="71">
        <f>IF(OR(I667=$A$1,I667=0),"",IF(N667=MappingTables!$C$14,VLOOKUP(J667,ModelParameters!$M$8:$N$15,2,FALSE),IF(N667=MappingTables!$C$16,VLOOKUP(J667,ModelParameters!$P$8:$Q$15,2,FALSE),0)))</f>
        <v>1</v>
      </c>
      <c r="P667" s="73">
        <f>IF(OR(I667=0,I667=$A$1),0,MIN(O667*M667,1)*K667)</f>
        <v>123.78146028316918</v>
      </c>
      <c r="Q667" s="73">
        <f>IF(B667="",0,IF(OR(H667=MappingTables!$C$34,H667=MappingTables!$C$35),P667,0))</f>
        <v>0</v>
      </c>
      <c r="R667" s="73">
        <f>IF(ISNA(IF(AND(VLOOKUP(CONCATENATE($D667,$G667),CSRFinput!$B:$E,4,0)=0,OR(H667=MappingTables!$C$31,H667=MappingTables!$C$32)),1,VLOOKUP(CONCATENATE($D667,$G667),CSRFinput!$B:$E,4,0))),0,IF(AND(VLOOKUP(CONCATENATE($D667,$G667),CSRFinput!$B:$E,4,0)=0,OR(H667=MappingTables!$C$31,H667=MappingTables!$C$32)),1,VLOOKUP(CONCATENATE($D667,$G667),CSRFinput!$B:$E,4,0)))</f>
        <v>0.054776304963434752</v>
      </c>
      <c r="S667" s="73">
        <f>IF(B667="",0,P667*R667)</f>
        <v>6.7802910172901624</v>
      </c>
      <c r="T667" s="85">
        <f>IF(B667="",0,IF(OR(H667=MappingTables!$C$34,H667=MappingTables!$C$35),S667,0))</f>
        <v>0</v>
      </c>
    </row>
    <row r="668" spans="2:20" s="0" customFormat="0" ht="15">
      <c r="B668" s="69">
        <v>24748844</v>
      </c>
      <c r="C668" s="70" t="s">
        <v>4041</v>
      </c>
      <c r="D668" s="70" t="s">
        <v>1</v>
      </c>
      <c r="E668" s="70" t="s">
        <v>1</v>
      </c>
      <c r="F668" s="70"/>
      <c r="G668" s="70" t="s">
        <v>61</v>
      </c>
      <c r="H668" s="70" t="s">
        <v>178</v>
      </c>
      <c r="I668" s="70" t="s">
        <v>198</v>
      </c>
      <c r="J668" s="71" t="str">
        <f>IF(OR(I668=0,I668=""),"unrated",VLOOKUP(I668,MappingTables!$B$19:$C$31,2,FALSE))</f>
        <v>unrated</v>
      </c>
      <c r="K668" s="72">
        <v>3394.9185459833724</v>
      </c>
      <c r="L668" s="70">
        <v>0.098225216619319296</v>
      </c>
      <c r="M668" s="71">
        <f>IF(L668&lt;1,1,L668)</f>
        <v>1</v>
      </c>
      <c r="N668" s="70" t="s">
        <v>3288</v>
      </c>
      <c r="O668" s="71">
        <f>IF(OR(I668=$A$1,I668=0),"",IF(N668=MappingTables!$C$14,VLOOKUP(J668,ModelParameters!$M$8:$N$15,2,FALSE),IF(N668=MappingTables!$C$16,VLOOKUP(J668,ModelParameters!$P$8:$Q$15,2,FALSE),0)))</f>
        <v>1</v>
      </c>
      <c r="P668" s="73">
        <f>IF(OR(I668=0,I668=$A$1),0,MIN(O668*M668,1)*K668)</f>
        <v>3394.9185459833724</v>
      </c>
      <c r="Q668" s="73">
        <f>IF(B668="",0,IF(OR(H668=MappingTables!$C$34,H668=MappingTables!$C$35),P668,0))</f>
        <v>0</v>
      </c>
      <c r="R668" s="73">
        <f>IF(ISNA(IF(AND(VLOOKUP(CONCATENATE($D668,$G668),CSRFinput!$B:$E,4,0)=0,OR(H668=MappingTables!$C$31,H668=MappingTables!$C$32)),1,VLOOKUP(CONCATENATE($D668,$G668),CSRFinput!$B:$E,4,0))),0,IF(AND(VLOOKUP(CONCATENATE($D668,$G668),CSRFinput!$B:$E,4,0)=0,OR(H668=MappingTables!$C$31,H668=MappingTables!$C$32)),1,VLOOKUP(CONCATENATE($D668,$G668),CSRFinput!$B:$E,4,0)))</f>
        <v>0.054776304963434752</v>
      </c>
      <c r="S668" s="73">
        <f>IF(B668="",0,P668*R668)</f>
        <v>185.96109360080568</v>
      </c>
      <c r="T668" s="85">
        <f>IF(B668="",0,IF(OR(H668=MappingTables!$C$34,H668=MappingTables!$C$35),S668,0))</f>
        <v>0</v>
      </c>
    </row>
    <row r="669" spans="2:20" s="0" customFormat="0" ht="15">
      <c r="B669" s="69">
        <v>22554160</v>
      </c>
      <c r="C669" s="70" t="s">
        <v>4254</v>
      </c>
      <c r="D669" s="70" t="s">
        <v>1</v>
      </c>
      <c r="E669" s="70" t="s">
        <v>1</v>
      </c>
      <c r="F669" s="70"/>
      <c r="G669" s="70" t="s">
        <v>61</v>
      </c>
      <c r="H669" s="70" t="s">
        <v>178</v>
      </c>
      <c r="I669" s="70" t="s">
        <v>204</v>
      </c>
      <c r="J669" s="71">
        <f>IF(OR(I669=0,I669=""),"unrated",VLOOKUP(I669,MappingTables!$B$19:$C$31,2,FALSE))</f>
        <v>6</v>
      </c>
      <c r="K669" s="72">
        <v>2206.2246882174692</v>
      </c>
      <c r="L669" s="70">
        <v>0.068495461246013176</v>
      </c>
      <c r="M669" s="71">
        <f>IF(L669&lt;1,1,L669)</f>
        <v>1</v>
      </c>
      <c r="N669" s="70" t="s">
        <v>3288</v>
      </c>
      <c r="O669" s="71">
        <f>IF(OR(I669=$A$1,I669=0),"",IF(N669=MappingTables!$C$14,VLOOKUP(J669,ModelParameters!$M$8:$N$15,2,FALSE),IF(N669=MappingTables!$C$16,VLOOKUP(J669,ModelParameters!$P$8:$Q$15,2,FALSE),0)))</f>
        <v>1</v>
      </c>
      <c r="P669" s="73">
        <f>IF(OR(I669=0,I669=$A$1),0,MIN(O669*M669,1)*K669)</f>
        <v>2206.2246882174692</v>
      </c>
      <c r="Q669" s="73">
        <f>IF(B669="",0,IF(OR(H669=MappingTables!$C$34,H669=MappingTables!$C$35),P669,0))</f>
        <v>0</v>
      </c>
      <c r="R669" s="73">
        <f>IF(ISNA(IF(AND(VLOOKUP(CONCATENATE($D669,$G669),CSRFinput!$B:$E,4,0)=0,OR(H669=MappingTables!$C$31,H669=MappingTables!$C$32)),1,VLOOKUP(CONCATENATE($D669,$G669),CSRFinput!$B:$E,4,0))),0,IF(AND(VLOOKUP(CONCATENATE($D669,$G669),CSRFinput!$B:$E,4,0)=0,OR(H669=MappingTables!$C$31,H669=MappingTables!$C$32)),1,VLOOKUP(CONCATENATE($D669,$G669),CSRFinput!$B:$E,4,0)))</f>
        <v>0.054776304963434752</v>
      </c>
      <c r="S669" s="73">
        <f>IF(B669="",0,P669*R669)</f>
        <v>120.84883633965884</v>
      </c>
      <c r="T669" s="85">
        <f>IF(B669="",0,IF(OR(H669=MappingTables!$C$34,H669=MappingTables!$C$35),S669,0))</f>
        <v>0</v>
      </c>
    </row>
    <row r="670" spans="2:20" s="0" customFormat="0" ht="15">
      <c r="B670" s="69">
        <v>22623686</v>
      </c>
      <c r="C670" s="70" t="s">
        <v>3503</v>
      </c>
      <c r="D670" s="70" t="s">
        <v>1</v>
      </c>
      <c r="E670" s="70" t="s">
        <v>1</v>
      </c>
      <c r="F670" s="70"/>
      <c r="G670" s="70" t="s">
        <v>61</v>
      </c>
      <c r="H670" s="70" t="s">
        <v>178</v>
      </c>
      <c r="I670" s="70" t="s">
        <v>181</v>
      </c>
      <c r="J670" s="71">
        <f>IF(OR(I670=0,I670=""),"unrated",VLOOKUP(I670,MappingTables!$B$19:$C$31,2,FALSE))</f>
        <v>3</v>
      </c>
      <c r="K670" s="72">
        <v>175.22906634145186</v>
      </c>
      <c r="L670" s="70">
        <v>0.068493752337201952</v>
      </c>
      <c r="M670" s="71">
        <f>IF(L670&lt;1,1,L670)</f>
        <v>1</v>
      </c>
      <c r="N670" s="70" t="s">
        <v>3288</v>
      </c>
      <c r="O670" s="71">
        <f>IF(OR(I670=$A$1,I670=0),"",IF(N670=MappingTables!$C$14,VLOOKUP(J670,ModelParameters!$M$8:$N$15,2,FALSE),IF(N670=MappingTables!$C$16,VLOOKUP(J670,ModelParameters!$P$8:$Q$15,2,FALSE),0)))</f>
        <v>0.197</v>
      </c>
      <c r="P670" s="73">
        <f>IF(OR(I670=0,I670=$A$1),0,MIN(O670*M670,1)*K670)</f>
        <v>34.520126069266012</v>
      </c>
      <c r="Q670" s="73">
        <f>IF(B670="",0,IF(OR(H670=MappingTables!$C$34,H670=MappingTables!$C$35),P670,0))</f>
        <v>0</v>
      </c>
      <c r="R670" s="73">
        <f>IF(ISNA(IF(AND(VLOOKUP(CONCATENATE($D670,$G670),CSRFinput!$B:$E,4,0)=0,OR(H670=MappingTables!$C$31,H670=MappingTables!$C$32)),1,VLOOKUP(CONCATENATE($D670,$G670),CSRFinput!$B:$E,4,0))),0,IF(AND(VLOOKUP(CONCATENATE($D670,$G670),CSRFinput!$B:$E,4,0)=0,OR(H670=MappingTables!$C$31,H670=MappingTables!$C$32)),1,VLOOKUP(CONCATENATE($D670,$G670),CSRFinput!$B:$E,4,0)))</f>
        <v>0.054776304963434752</v>
      </c>
      <c r="S670" s="73">
        <f>IF(B670="",0,P670*R670)</f>
        <v>1.8908849529463296</v>
      </c>
      <c r="T670" s="85">
        <f>IF(B670="",0,IF(OR(H670=MappingTables!$C$34,H670=MappingTables!$C$35),S670,0))</f>
        <v>0</v>
      </c>
    </row>
    <row r="671" spans="2:20" s="0" customFormat="0" ht="15">
      <c r="B671" s="69" t="s">
        <v>4255</v>
      </c>
      <c r="C671" s="70" t="s">
        <v>4256</v>
      </c>
      <c r="D671" s="70" t="s">
        <v>1</v>
      </c>
      <c r="E671" s="70" t="s">
        <v>1</v>
      </c>
      <c r="F671" s="70"/>
      <c r="G671" s="70" t="s">
        <v>61</v>
      </c>
      <c r="H671" s="70" t="s">
        <v>178</v>
      </c>
      <c r="I671" s="70" t="s">
        <v>220</v>
      </c>
      <c r="J671" s="71">
        <f>IF(OR(I671=0,I671=""),"unrated",VLOOKUP(I671,MappingTables!$B$19:$C$31,2,FALSE))</f>
        <v>1</v>
      </c>
      <c r="K671" s="72">
        <v>134.5864524900675</v>
      </c>
      <c r="L671" s="70">
        <v>0.068490931627618944</v>
      </c>
      <c r="M671" s="71">
        <f>IF(L671&lt;1,1,L671)</f>
        <v>1</v>
      </c>
      <c r="N671" s="70" t="s">
        <v>3288</v>
      </c>
      <c r="O671" s="71">
        <f>IF(OR(I671=$A$1,I671=0),"",IF(N671=MappingTables!$C$14,VLOOKUP(J671,ModelParameters!$M$8:$N$15,2,FALSE),IF(N671=MappingTables!$C$16,VLOOKUP(J671,ModelParameters!$P$8:$Q$15,2,FALSE),0)))</f>
        <v>0.134</v>
      </c>
      <c r="P671" s="73">
        <f>IF(OR(I671=0,I671=$A$1),0,MIN(O671*M671,1)*K671)</f>
        <v>18.034584633669044</v>
      </c>
      <c r="Q671" s="73">
        <f>IF(B671="",0,IF(OR(H671=MappingTables!$C$34,H671=MappingTables!$C$35),P671,0))</f>
        <v>0</v>
      </c>
      <c r="R671" s="73">
        <f>IF(ISNA(IF(AND(VLOOKUP(CONCATENATE($D671,$G671),CSRFinput!$B:$E,4,0)=0,OR(H671=MappingTables!$C$31,H671=MappingTables!$C$32)),1,VLOOKUP(CONCATENATE($D671,$G671),CSRFinput!$B:$E,4,0))),0,IF(AND(VLOOKUP(CONCATENATE($D671,$G671),CSRFinput!$B:$E,4,0)=0,OR(H671=MappingTables!$C$31,H671=MappingTables!$C$32)),1,VLOOKUP(CONCATENATE($D671,$G671),CSRFinput!$B:$E,4,0)))</f>
        <v>0.054776304963434752</v>
      </c>
      <c r="S671" s="73">
        <f>IF(B671="",0,P671*R671)</f>
        <v>0.98786790778272976</v>
      </c>
      <c r="T671" s="85">
        <f>IF(B671="",0,IF(OR(H671=MappingTables!$C$34,H671=MappingTables!$C$35),S671,0))</f>
        <v>0</v>
      </c>
    </row>
    <row r="672" spans="2:20" s="0" customFormat="0" ht="15">
      <c r="B672" s="69" t="s">
        <v>3481</v>
      </c>
      <c r="C672" s="70" t="s">
        <v>3482</v>
      </c>
      <c r="D672" s="70" t="s">
        <v>1</v>
      </c>
      <c r="E672" s="70" t="s">
        <v>1</v>
      </c>
      <c r="F672" s="70"/>
      <c r="G672" s="70" t="s">
        <v>61</v>
      </c>
      <c r="H672" s="70" t="s">
        <v>178</v>
      </c>
      <c r="I672" s="70" t="s">
        <v>204</v>
      </c>
      <c r="J672" s="71">
        <f>IF(OR(I672=0,I672=""),"unrated",VLOOKUP(I672,MappingTables!$B$19:$C$31,2,FALSE))</f>
        <v>6</v>
      </c>
      <c r="K672" s="72">
        <v>107.11628214841768</v>
      </c>
      <c r="L672" s="70">
        <v>0.054795327728348248</v>
      </c>
      <c r="M672" s="71">
        <f>IF(L672&lt;1,1,L672)</f>
        <v>1</v>
      </c>
      <c r="N672" s="70" t="s">
        <v>3288</v>
      </c>
      <c r="O672" s="71">
        <f>IF(OR(I672=$A$1,I672=0),"",IF(N672=MappingTables!$C$14,VLOOKUP(J672,ModelParameters!$M$8:$N$15,2,FALSE),IF(N672=MappingTables!$C$16,VLOOKUP(J672,ModelParameters!$P$8:$Q$15,2,FALSE),0)))</f>
        <v>1</v>
      </c>
      <c r="P672" s="73">
        <f>IF(OR(I672=0,I672=$A$1),0,MIN(O672*M672,1)*K672)</f>
        <v>107.11628214841768</v>
      </c>
      <c r="Q672" s="73">
        <f>IF(B672="",0,IF(OR(H672=MappingTables!$C$34,H672=MappingTables!$C$35),P672,0))</f>
        <v>0</v>
      </c>
      <c r="R672" s="73">
        <f>IF(ISNA(IF(AND(VLOOKUP(CONCATENATE($D672,$G672),CSRFinput!$B:$E,4,0)=0,OR(H672=MappingTables!$C$31,H672=MappingTables!$C$32)),1,VLOOKUP(CONCATENATE($D672,$G672),CSRFinput!$B:$E,4,0))),0,IF(AND(VLOOKUP(CONCATENATE($D672,$G672),CSRFinput!$B:$E,4,0)=0,OR(H672=MappingTables!$C$31,H672=MappingTables!$C$32)),1,VLOOKUP(CONCATENATE($D672,$G672),CSRFinput!$B:$E,4,0)))</f>
        <v>0.054776304963434752</v>
      </c>
      <c r="S672" s="73">
        <f>IF(B672="",0,P672*R672)</f>
        <v>5.8674341375110488</v>
      </c>
      <c r="T672" s="85">
        <f>IF(B672="",0,IF(OR(H672=MappingTables!$C$34,H672=MappingTables!$C$35),S672,0))</f>
        <v>0</v>
      </c>
    </row>
    <row r="673" spans="2:20" s="0" customFormat="0" ht="15">
      <c r="B673" s="69" t="s">
        <v>4257</v>
      </c>
      <c r="C673" s="70" t="s">
        <v>4258</v>
      </c>
      <c r="D673" s="70" t="s">
        <v>1</v>
      </c>
      <c r="E673" s="70" t="s">
        <v>1</v>
      </c>
      <c r="F673" s="70"/>
      <c r="G673" s="70" t="s">
        <v>61</v>
      </c>
      <c r="H673" s="70" t="s">
        <v>178</v>
      </c>
      <c r="I673" s="70" t="s">
        <v>204</v>
      </c>
      <c r="J673" s="71">
        <f>IF(OR(I673=0,I673=""),"unrated",VLOOKUP(I673,MappingTables!$B$19:$C$31,2,FALSE))</f>
        <v>6</v>
      </c>
      <c r="K673" s="72">
        <v>143.09373711913818</v>
      </c>
      <c r="L673" s="70">
        <v>0.0626207872520656</v>
      </c>
      <c r="M673" s="71">
        <f>IF(L673&lt;1,1,L673)</f>
        <v>1</v>
      </c>
      <c r="N673" s="70" t="s">
        <v>3288</v>
      </c>
      <c r="O673" s="71">
        <f>IF(OR(I673=$A$1,I673=0),"",IF(N673=MappingTables!$C$14,VLOOKUP(J673,ModelParameters!$M$8:$N$15,2,FALSE),IF(N673=MappingTables!$C$16,VLOOKUP(J673,ModelParameters!$P$8:$Q$15,2,FALSE),0)))</f>
        <v>1</v>
      </c>
      <c r="P673" s="73">
        <f>IF(OR(I673=0,I673=$A$1),0,MIN(O673*M673,1)*K673)</f>
        <v>143.09373711913818</v>
      </c>
      <c r="Q673" s="73">
        <f>IF(B673="",0,IF(OR(H673=MappingTables!$C$34,H673=MappingTables!$C$35),P673,0))</f>
        <v>0</v>
      </c>
      <c r="R673" s="73">
        <f>IF(ISNA(IF(AND(VLOOKUP(CONCATENATE($D673,$G673),CSRFinput!$B:$E,4,0)=0,OR(H673=MappingTables!$C$31,H673=MappingTables!$C$32)),1,VLOOKUP(CONCATENATE($D673,$G673),CSRFinput!$B:$E,4,0))),0,IF(AND(VLOOKUP(CONCATENATE($D673,$G673),CSRFinput!$B:$E,4,0)=0,OR(H673=MappingTables!$C$31,H673=MappingTables!$C$32)),1,VLOOKUP(CONCATENATE($D673,$G673),CSRFinput!$B:$E,4,0)))</f>
        <v>0.054776304963434752</v>
      </c>
      <c r="S673" s="73">
        <f>IF(B673="",0,P673*R673)</f>
        <v>7.8381461827954768</v>
      </c>
      <c r="T673" s="85">
        <f>IF(B673="",0,IF(OR(H673=MappingTables!$C$34,H673=MappingTables!$C$35),S673,0))</f>
        <v>0</v>
      </c>
    </row>
    <row r="674" spans="2:20" s="0" customFormat="0" ht="15">
      <c r="B674" s="69">
        <v>16974056</v>
      </c>
      <c r="C674" s="70" t="s">
        <v>3466</v>
      </c>
      <c r="D674" s="70" t="s">
        <v>1</v>
      </c>
      <c r="E674" s="70" t="s">
        <v>1</v>
      </c>
      <c r="F674" s="70"/>
      <c r="G674" s="70" t="s">
        <v>61</v>
      </c>
      <c r="H674" s="70" t="s">
        <v>178</v>
      </c>
      <c r="I674" s="70" t="s">
        <v>198</v>
      </c>
      <c r="J674" s="71" t="str">
        <f>IF(OR(I674=0,I674=""),"unrated",VLOOKUP(I674,MappingTables!$B$19:$C$31,2,FALSE))</f>
        <v>unrated</v>
      </c>
      <c r="K674" s="72">
        <v>76.295055960676464</v>
      </c>
      <c r="L674" s="70">
        <v>0.07507904868466808</v>
      </c>
      <c r="M674" s="71">
        <f>IF(L674&lt;1,1,L674)</f>
        <v>1</v>
      </c>
      <c r="N674" s="70" t="s">
        <v>3288</v>
      </c>
      <c r="O674" s="71">
        <f>IF(OR(I674=$A$1,I674=0),"",IF(N674=MappingTables!$C$14,VLOOKUP(J674,ModelParameters!$M$8:$N$15,2,FALSE),IF(N674=MappingTables!$C$16,VLOOKUP(J674,ModelParameters!$P$8:$Q$15,2,FALSE),0)))</f>
        <v>1</v>
      </c>
      <c r="P674" s="73">
        <f>IF(OR(I674=0,I674=$A$1),0,MIN(O674*M674,1)*K674)</f>
        <v>76.295055960676464</v>
      </c>
      <c r="Q674" s="73">
        <f>IF(B674="",0,IF(OR(H674=MappingTables!$C$34,H674=MappingTables!$C$35),P674,0))</f>
        <v>0</v>
      </c>
      <c r="R674" s="73">
        <f>IF(ISNA(IF(AND(VLOOKUP(CONCATENATE($D674,$G674),CSRFinput!$B:$E,4,0)=0,OR(H674=MappingTables!$C$31,H674=MappingTables!$C$32)),1,VLOOKUP(CONCATENATE($D674,$G674),CSRFinput!$B:$E,4,0))),0,IF(AND(VLOOKUP(CONCATENATE($D674,$G674),CSRFinput!$B:$E,4,0)=0,OR(H674=MappingTables!$C$31,H674=MappingTables!$C$32)),1,VLOOKUP(CONCATENATE($D674,$G674),CSRFinput!$B:$E,4,0)))</f>
        <v>0.054776304963434752</v>
      </c>
      <c r="S674" s="73">
        <f>IF(B674="",0,P674*R674)</f>
        <v>4.1791612525043344</v>
      </c>
      <c r="T674" s="85">
        <f>IF(B674="",0,IF(OR(H674=MappingTables!$C$34,H674=MappingTables!$C$35),S674,0))</f>
        <v>0</v>
      </c>
    </row>
    <row r="675" spans="2:20" s="0" customFormat="0" ht="15">
      <c r="B675" s="69">
        <v>17849961</v>
      </c>
      <c r="C675" s="70" t="s">
        <v>3596</v>
      </c>
      <c r="D675" s="70" t="s">
        <v>1</v>
      </c>
      <c r="E675" s="70" t="s">
        <v>1</v>
      </c>
      <c r="F675" s="70"/>
      <c r="G675" s="70" t="s">
        <v>61</v>
      </c>
      <c r="H675" s="70" t="s">
        <v>178</v>
      </c>
      <c r="I675" s="70" t="s">
        <v>216</v>
      </c>
      <c r="J675" s="71">
        <f>IF(OR(I675=0,I675=""),"unrated",VLOOKUP(I675,MappingTables!$B$19:$C$31,2,FALSE))</f>
        <v>0</v>
      </c>
      <c r="K675" s="72">
        <v>554.77109332120504</v>
      </c>
      <c r="L675" s="70">
        <v>0.10292209029899078</v>
      </c>
      <c r="M675" s="71">
        <f>IF(L675&lt;1,1,L675)</f>
        <v>1</v>
      </c>
      <c r="N675" s="70" t="s">
        <v>3288</v>
      </c>
      <c r="O675" s="71">
        <f>IF(OR(I675=$A$1,I675=0),"",IF(N675=MappingTables!$C$14,VLOOKUP(J675,ModelParameters!$M$8:$N$15,2,FALSE),IF(N675=MappingTables!$C$16,VLOOKUP(J675,ModelParameters!$P$8:$Q$15,2,FALSE),0)))</f>
        <v>0.125</v>
      </c>
      <c r="P675" s="73">
        <f>IF(OR(I675=0,I675=$A$1),0,MIN(O675*M675,1)*K675)</f>
        <v>69.346386665150632</v>
      </c>
      <c r="Q675" s="73">
        <f>IF(B675="",0,IF(OR(H675=MappingTables!$C$34,H675=MappingTables!$C$35),P675,0))</f>
        <v>0</v>
      </c>
      <c r="R675" s="73">
        <f>IF(ISNA(IF(AND(VLOOKUP(CONCATENATE($D675,$G675),CSRFinput!$B:$E,4,0)=0,OR(H675=MappingTables!$C$31,H675=MappingTables!$C$32)),1,VLOOKUP(CONCATENATE($D675,$G675),CSRFinput!$B:$E,4,0))),0,IF(AND(VLOOKUP(CONCATENATE($D675,$G675),CSRFinput!$B:$E,4,0)=0,OR(H675=MappingTables!$C$31,H675=MappingTables!$C$32)),1,VLOOKUP(CONCATENATE($D675,$G675),CSRFinput!$B:$E,4,0)))</f>
        <v>0.054776304963434752</v>
      </c>
      <c r="S675" s="73">
        <f>IF(B675="",0,P675*R675)</f>
        <v>3.798538824082556</v>
      </c>
      <c r="T675" s="85">
        <f>IF(B675="",0,IF(OR(H675=MappingTables!$C$34,H675=MappingTables!$C$35),S675,0))</f>
        <v>0</v>
      </c>
    </row>
    <row r="676" spans="2:20" s="0" customFormat="0" ht="15">
      <c r="B676" s="69">
        <v>14504624</v>
      </c>
      <c r="C676" s="70" t="s">
        <v>4259</v>
      </c>
      <c r="D676" s="70" t="s">
        <v>1</v>
      </c>
      <c r="E676" s="70" t="s">
        <v>1</v>
      </c>
      <c r="F676" s="70"/>
      <c r="G676" s="70" t="s">
        <v>61</v>
      </c>
      <c r="H676" s="70" t="s">
        <v>178</v>
      </c>
      <c r="I676" s="70" t="s">
        <v>216</v>
      </c>
      <c r="J676" s="71">
        <f>IF(OR(I676=0,I676=""),"unrated",VLOOKUP(I676,MappingTables!$B$19:$C$31,2,FALSE))</f>
        <v>0</v>
      </c>
      <c r="K676" s="72">
        <v>333.00268717975708</v>
      </c>
      <c r="L676" s="70">
        <v>0.05805216786093112</v>
      </c>
      <c r="M676" s="71">
        <f>IF(L676&lt;1,1,L676)</f>
        <v>1</v>
      </c>
      <c r="N676" s="70" t="s">
        <v>3288</v>
      </c>
      <c r="O676" s="71">
        <f>IF(OR(I676=$A$1,I676=0),"",IF(N676=MappingTables!$C$14,VLOOKUP(J676,ModelParameters!$M$8:$N$15,2,FALSE),IF(N676=MappingTables!$C$16,VLOOKUP(J676,ModelParameters!$P$8:$Q$15,2,FALSE),0)))</f>
        <v>0.125</v>
      </c>
      <c r="P676" s="73">
        <f>IF(OR(I676=0,I676=$A$1),0,MIN(O676*M676,1)*K676)</f>
        <v>41.625335897469632</v>
      </c>
      <c r="Q676" s="73">
        <f>IF(B676="",0,IF(OR(H676=MappingTables!$C$34,H676=MappingTables!$C$35),P676,0))</f>
        <v>0</v>
      </c>
      <c r="R676" s="73">
        <f>IF(ISNA(IF(AND(VLOOKUP(CONCATENATE($D676,$G676),CSRFinput!$B:$E,4,0)=0,OR(H676=MappingTables!$C$31,H676=MappingTables!$C$32)),1,VLOOKUP(CONCATENATE($D676,$G676),CSRFinput!$B:$E,4,0))),0,IF(AND(VLOOKUP(CONCATENATE($D676,$G676),CSRFinput!$B:$E,4,0)=0,OR(H676=MappingTables!$C$31,H676=MappingTables!$C$32)),1,VLOOKUP(CONCATENATE($D676,$G676),CSRFinput!$B:$E,4,0)))</f>
        <v>0.054776304963434752</v>
      </c>
      <c r="S676" s="73">
        <f>IF(B676="",0,P676*R676)</f>
        <v>2.2800820933252048</v>
      </c>
      <c r="T676" s="85">
        <f>IF(B676="",0,IF(OR(H676=MappingTables!$C$34,H676=MappingTables!$C$35),S676,0))</f>
        <v>0</v>
      </c>
    </row>
    <row r="677" spans="2:20" s="0" customFormat="0" ht="15">
      <c r="B677" s="69" t="s">
        <v>4260</v>
      </c>
      <c r="C677" s="70" t="s">
        <v>4261</v>
      </c>
      <c r="D677" s="70" t="s">
        <v>1</v>
      </c>
      <c r="E677" s="70" t="s">
        <v>1</v>
      </c>
      <c r="F677" s="70"/>
      <c r="G677" s="70" t="s">
        <v>61</v>
      </c>
      <c r="H677" s="70" t="s">
        <v>178</v>
      </c>
      <c r="I677" s="70" t="s">
        <v>216</v>
      </c>
      <c r="J677" s="71">
        <f>IF(OR(I677=0,I677=""),"unrated",VLOOKUP(I677,MappingTables!$B$19:$C$31,2,FALSE))</f>
        <v>0</v>
      </c>
      <c r="K677" s="72">
        <v>50.312763302598064</v>
      </c>
      <c r="L677" s="70">
        <v>0.24335036985438392</v>
      </c>
      <c r="M677" s="71">
        <f>IF(L677&lt;1,1,L677)</f>
        <v>1</v>
      </c>
      <c r="N677" s="70" t="s">
        <v>3288</v>
      </c>
      <c r="O677" s="71">
        <f>IF(OR(I677=$A$1,I677=0),"",IF(N677=MappingTables!$C$14,VLOOKUP(J677,ModelParameters!$M$8:$N$15,2,FALSE),IF(N677=MappingTables!$C$16,VLOOKUP(J677,ModelParameters!$P$8:$Q$15,2,FALSE),0)))</f>
        <v>0.125</v>
      </c>
      <c r="P677" s="73">
        <f>IF(OR(I677=0,I677=$A$1),0,MIN(O677*M677,1)*K677)</f>
        <v>6.2890954128247584</v>
      </c>
      <c r="Q677" s="73">
        <f>IF(B677="",0,IF(OR(H677=MappingTables!$C$34,H677=MappingTables!$C$35),P677,0))</f>
        <v>0</v>
      </c>
      <c r="R677" s="73">
        <f>IF(ISNA(IF(AND(VLOOKUP(CONCATENATE($D677,$G677),CSRFinput!$B:$E,4,0)=0,OR(H677=MappingTables!$C$31,H677=MappingTables!$C$32)),1,VLOOKUP(CONCATENATE($D677,$G677),CSRFinput!$B:$E,4,0))),0,IF(AND(VLOOKUP(CONCATENATE($D677,$G677),CSRFinput!$B:$E,4,0)=0,OR(H677=MappingTables!$C$31,H677=MappingTables!$C$32)),1,VLOOKUP(CONCATENATE($D677,$G677),CSRFinput!$B:$E,4,0)))</f>
        <v>0.054776304963434752</v>
      </c>
      <c r="S677" s="73">
        <f>IF(B677="",0,P677*R677)</f>
        <v>0.34449340827702752</v>
      </c>
      <c r="T677" s="85">
        <f>IF(B677="",0,IF(OR(H677=MappingTables!$C$34,H677=MappingTables!$C$35),S677,0))</f>
        <v>0</v>
      </c>
    </row>
    <row r="678" spans="2:20" s="0" customFormat="0" ht="15">
      <c r="B678" s="69" t="s">
        <v>4262</v>
      </c>
      <c r="C678" s="70" t="s">
        <v>4263</v>
      </c>
      <c r="D678" s="70" t="s">
        <v>1</v>
      </c>
      <c r="E678" s="70" t="s">
        <v>1</v>
      </c>
      <c r="F678" s="70"/>
      <c r="G678" s="70" t="s">
        <v>61</v>
      </c>
      <c r="H678" s="70" t="s">
        <v>178</v>
      </c>
      <c r="I678" s="70" t="s">
        <v>198</v>
      </c>
      <c r="J678" s="71" t="str">
        <f>IF(OR(I678=0,I678=""),"unrated",VLOOKUP(I678,MappingTables!$B$19:$C$31,2,FALSE))</f>
        <v>unrated</v>
      </c>
      <c r="K678" s="72">
        <v>50.650160372889288</v>
      </c>
      <c r="L678" s="70">
        <v>0.05205348411928284</v>
      </c>
      <c r="M678" s="71">
        <f>IF(L678&lt;1,1,L678)</f>
        <v>1</v>
      </c>
      <c r="N678" s="70" t="s">
        <v>3288</v>
      </c>
      <c r="O678" s="71">
        <f>IF(OR(I678=$A$1,I678=0),"",IF(N678=MappingTables!$C$14,VLOOKUP(J678,ModelParameters!$M$8:$N$15,2,FALSE),IF(N678=MappingTables!$C$16,VLOOKUP(J678,ModelParameters!$P$8:$Q$15,2,FALSE),0)))</f>
        <v>1</v>
      </c>
      <c r="P678" s="73">
        <f>IF(OR(I678=0,I678=$A$1),0,MIN(O678*M678,1)*K678)</f>
        <v>50.650160372889288</v>
      </c>
      <c r="Q678" s="73">
        <f>IF(B678="",0,IF(OR(H678=MappingTables!$C$34,H678=MappingTables!$C$35),P678,0))</f>
        <v>0</v>
      </c>
      <c r="R678" s="73">
        <f>IF(ISNA(IF(AND(VLOOKUP(CONCATENATE($D678,$G678),CSRFinput!$B:$E,4,0)=0,OR(H678=MappingTables!$C$31,H678=MappingTables!$C$32)),1,VLOOKUP(CONCATENATE($D678,$G678),CSRFinput!$B:$E,4,0))),0,IF(AND(VLOOKUP(CONCATENATE($D678,$G678),CSRFinput!$B:$E,4,0)=0,OR(H678=MappingTables!$C$31,H678=MappingTables!$C$32)),1,VLOOKUP(CONCATENATE($D678,$G678),CSRFinput!$B:$E,4,0)))</f>
        <v>0.054776304963434752</v>
      </c>
      <c r="S678" s="73">
        <f>IF(B678="",0,P678*R678)</f>
        <v>2.774428631032262</v>
      </c>
      <c r="T678" s="85">
        <f>IF(B678="",0,IF(OR(H678=MappingTables!$C$34,H678=MappingTables!$C$35),S678,0))</f>
        <v>0</v>
      </c>
    </row>
    <row r="679" spans="2:20" s="0" customFormat="0" ht="15">
      <c r="B679" s="69">
        <v>14504632</v>
      </c>
      <c r="C679" s="70" t="s">
        <v>4264</v>
      </c>
      <c r="D679" s="70" t="s">
        <v>1</v>
      </c>
      <c r="E679" s="70" t="s">
        <v>1</v>
      </c>
      <c r="F679" s="70"/>
      <c r="G679" s="70" t="s">
        <v>61</v>
      </c>
      <c r="H679" s="70" t="s">
        <v>178</v>
      </c>
      <c r="I679" s="70" t="s">
        <v>216</v>
      </c>
      <c r="J679" s="71">
        <f>IF(OR(I679=0,I679=""),"unrated",VLOOKUP(I679,MappingTables!$B$19:$C$31,2,FALSE))</f>
        <v>0</v>
      </c>
      <c r="K679" s="72">
        <v>39.667473761877344</v>
      </c>
      <c r="L679" s="70">
        <v>0.016161941162476958</v>
      </c>
      <c r="M679" s="71">
        <f>IF(L679&lt;1,1,L679)</f>
        <v>1</v>
      </c>
      <c r="N679" s="70" t="s">
        <v>3288</v>
      </c>
      <c r="O679" s="71">
        <f>IF(OR(I679=$A$1,I679=0),"",IF(N679=MappingTables!$C$14,VLOOKUP(J679,ModelParameters!$M$8:$N$15,2,FALSE),IF(N679=MappingTables!$C$16,VLOOKUP(J679,ModelParameters!$P$8:$Q$15,2,FALSE),0)))</f>
        <v>0.125</v>
      </c>
      <c r="P679" s="73">
        <f>IF(OR(I679=0,I679=$A$1),0,MIN(O679*M679,1)*K679)</f>
        <v>4.958434220234668</v>
      </c>
      <c r="Q679" s="73">
        <f>IF(B679="",0,IF(OR(H679=MappingTables!$C$34,H679=MappingTables!$C$35),P679,0))</f>
        <v>0</v>
      </c>
      <c r="R679" s="73">
        <f>IF(ISNA(IF(AND(VLOOKUP(CONCATENATE($D679,$G679),CSRFinput!$B:$E,4,0)=0,OR(H679=MappingTables!$C$31,H679=MappingTables!$C$32)),1,VLOOKUP(CONCATENATE($D679,$G679),CSRFinput!$B:$E,4,0))),0,IF(AND(VLOOKUP(CONCATENATE($D679,$G679),CSRFinput!$B:$E,4,0)=0,OR(H679=MappingTables!$C$31,H679=MappingTables!$C$32)),1,VLOOKUP(CONCATENATE($D679,$G679),CSRFinput!$B:$E,4,0)))</f>
        <v>0.054776304963434752</v>
      </c>
      <c r="S679" s="73">
        <f>IF(B679="",0,P679*R679)</f>
        <v>0.271604704988705</v>
      </c>
      <c r="T679" s="85">
        <f>IF(B679="",0,IF(OR(H679=MappingTables!$C$34,H679=MappingTables!$C$35),S679,0))</f>
        <v>0</v>
      </c>
    </row>
    <row r="680" spans="2:20" s="0" customFormat="0" ht="15">
      <c r="B680" s="69" t="s">
        <v>4265</v>
      </c>
      <c r="C680" s="70" t="s">
        <v>4266</v>
      </c>
      <c r="D680" s="70" t="s">
        <v>1</v>
      </c>
      <c r="E680" s="70" t="s">
        <v>1</v>
      </c>
      <c r="F680" s="70"/>
      <c r="G680" s="70" t="s">
        <v>61</v>
      </c>
      <c r="H680" s="70" t="s">
        <v>178</v>
      </c>
      <c r="I680" s="70" t="s">
        <v>204</v>
      </c>
      <c r="J680" s="71">
        <f>IF(OR(I680=0,I680=""),"unrated",VLOOKUP(I680,MappingTables!$B$19:$C$31,2,FALSE))</f>
        <v>6</v>
      </c>
      <c r="K680" s="72">
        <v>173.58764367491148</v>
      </c>
      <c r="L680" s="70">
        <v>0.068494626992939648</v>
      </c>
      <c r="M680" s="71">
        <f>IF(L680&lt;1,1,L680)</f>
        <v>1</v>
      </c>
      <c r="N680" s="70" t="s">
        <v>3288</v>
      </c>
      <c r="O680" s="71">
        <f>IF(OR(I680=$A$1,I680=0),"",IF(N680=MappingTables!$C$14,VLOOKUP(J680,ModelParameters!$M$8:$N$15,2,FALSE),IF(N680=MappingTables!$C$16,VLOOKUP(J680,ModelParameters!$P$8:$Q$15,2,FALSE),0)))</f>
        <v>1</v>
      </c>
      <c r="P680" s="73">
        <f>IF(OR(I680=0,I680=$A$1),0,MIN(O680*M680,1)*K680)</f>
        <v>173.58764367491148</v>
      </c>
      <c r="Q680" s="73">
        <f>IF(B680="",0,IF(OR(H680=MappingTables!$C$34,H680=MappingTables!$C$35),P680,0))</f>
        <v>0</v>
      </c>
      <c r="R680" s="73">
        <f>IF(ISNA(IF(AND(VLOOKUP(CONCATENATE($D680,$G680),CSRFinput!$B:$E,4,0)=0,OR(H680=MappingTables!$C$31,H680=MappingTables!$C$32)),1,VLOOKUP(CONCATENATE($D680,$G680),CSRFinput!$B:$E,4,0))),0,IF(AND(VLOOKUP(CONCATENATE($D680,$G680),CSRFinput!$B:$E,4,0)=0,OR(H680=MappingTables!$C$31,H680=MappingTables!$C$32)),1,VLOOKUP(CONCATENATE($D680,$G680),CSRFinput!$B:$E,4,0)))</f>
        <v>0.054776304963434752</v>
      </c>
      <c r="S680" s="73">
        <f>IF(B680="",0,P680*R680)</f>
        <v>9.5084897078209968</v>
      </c>
      <c r="T680" s="85">
        <f>IF(B680="",0,IF(OR(H680=MappingTables!$C$34,H680=MappingTables!$C$35),S680,0))</f>
        <v>0</v>
      </c>
    </row>
    <row r="681" spans="2:20" s="0" customFormat="0" ht="15">
      <c r="B681" s="69" t="s">
        <v>4267</v>
      </c>
      <c r="C681" s="70" t="s">
        <v>4268</v>
      </c>
      <c r="D681" s="70" t="s">
        <v>1</v>
      </c>
      <c r="E681" s="70" t="s">
        <v>1</v>
      </c>
      <c r="F681" s="70"/>
      <c r="G681" s="70" t="s">
        <v>61</v>
      </c>
      <c r="H681" s="70" t="s">
        <v>178</v>
      </c>
      <c r="I681" s="70" t="s">
        <v>198</v>
      </c>
      <c r="J681" s="71" t="str">
        <f>IF(OR(I681=0,I681=""),"unrated",VLOOKUP(I681,MappingTables!$B$19:$C$31,2,FALSE))</f>
        <v>unrated</v>
      </c>
      <c r="K681" s="72">
        <v>3.3524109589198296</v>
      </c>
      <c r="L681" s="70">
        <v>3.9242927266221408</v>
      </c>
      <c r="M681" s="71">
        <f>IF(L681&lt;1,1,L681)</f>
        <v>3.9242927266221408</v>
      </c>
      <c r="N681" s="70" t="s">
        <v>3288</v>
      </c>
      <c r="O681" s="71">
        <f>IF(OR(I681=$A$1,I681=0),"",IF(N681=MappingTables!$C$14,VLOOKUP(J681,ModelParameters!$M$8:$N$15,2,FALSE),IF(N681=MappingTables!$C$16,VLOOKUP(J681,ModelParameters!$P$8:$Q$15,2,FALSE),0)))</f>
        <v>1</v>
      </c>
      <c r="P681" s="73">
        <f>IF(OR(I681=0,I681=$A$1),0,MIN(O681*M681,1)*K681)</f>
        <v>3.3524109589198296</v>
      </c>
      <c r="Q681" s="73">
        <f>IF(B681="",0,IF(OR(H681=MappingTables!$C$34,H681=MappingTables!$C$35),P681,0))</f>
        <v>0</v>
      </c>
      <c r="R681" s="73">
        <f>IF(ISNA(IF(AND(VLOOKUP(CONCATENATE($D681,$G681),CSRFinput!$B:$E,4,0)=0,OR(H681=MappingTables!$C$31,H681=MappingTables!$C$32)),1,VLOOKUP(CONCATENATE($D681,$G681),CSRFinput!$B:$E,4,0))),0,IF(AND(VLOOKUP(CONCATENATE($D681,$G681),CSRFinput!$B:$E,4,0)=0,OR(H681=MappingTables!$C$31,H681=MappingTables!$C$32)),1,VLOOKUP(CONCATENATE($D681,$G681),CSRFinput!$B:$E,4,0)))</f>
        <v>0.054776304963434752</v>
      </c>
      <c r="S681" s="73">
        <f>IF(B681="",0,P681*R681)</f>
        <v>0.18363268504855332</v>
      </c>
      <c r="T681" s="85">
        <f>IF(B681="",0,IF(OR(H681=MappingTables!$C$34,H681=MappingTables!$C$35),S681,0))</f>
        <v>0</v>
      </c>
    </row>
    <row r="682" spans="2:20" s="0" customFormat="0" ht="15">
      <c r="B682" s="69">
        <v>21027852</v>
      </c>
      <c r="C682" s="70" t="s">
        <v>4084</v>
      </c>
      <c r="D682" s="70" t="s">
        <v>1</v>
      </c>
      <c r="E682" s="70" t="s">
        <v>1</v>
      </c>
      <c r="F682" s="70"/>
      <c r="G682" s="70" t="s">
        <v>61</v>
      </c>
      <c r="H682" s="70" t="s">
        <v>178</v>
      </c>
      <c r="I682" s="70" t="s">
        <v>216</v>
      </c>
      <c r="J682" s="71">
        <f>IF(OR(I682=0,I682=""),"unrated",VLOOKUP(I682,MappingTables!$B$19:$C$31,2,FALSE))</f>
        <v>0</v>
      </c>
      <c r="K682" s="72">
        <v>10.35253152043538</v>
      </c>
      <c r="L682" s="70">
        <v>0.071313182260074936</v>
      </c>
      <c r="M682" s="71">
        <f>IF(L682&lt;1,1,L682)</f>
        <v>1</v>
      </c>
      <c r="N682" s="70" t="s">
        <v>3288</v>
      </c>
      <c r="O682" s="71">
        <f>IF(OR(I682=$A$1,I682=0),"",IF(N682=MappingTables!$C$14,VLOOKUP(J682,ModelParameters!$M$8:$N$15,2,FALSE),IF(N682=MappingTables!$C$16,VLOOKUP(J682,ModelParameters!$P$8:$Q$15,2,FALSE),0)))</f>
        <v>0.125</v>
      </c>
      <c r="P682" s="73">
        <f>IF(OR(I682=0,I682=$A$1),0,MIN(O682*M682,1)*K682)</f>
        <v>1.2940664400544224</v>
      </c>
      <c r="Q682" s="73">
        <f>IF(B682="",0,IF(OR(H682=MappingTables!$C$34,H682=MappingTables!$C$35),P682,0))</f>
        <v>0</v>
      </c>
      <c r="R682" s="73">
        <f>IF(ISNA(IF(AND(VLOOKUP(CONCATENATE($D682,$G682),CSRFinput!$B:$E,4,0)=0,OR(H682=MappingTables!$C$31,H682=MappingTables!$C$32)),1,VLOOKUP(CONCATENATE($D682,$G682),CSRFinput!$B:$E,4,0))),0,IF(AND(VLOOKUP(CONCATENATE($D682,$G682),CSRFinput!$B:$E,4,0)=0,OR(H682=MappingTables!$C$31,H682=MappingTables!$C$32)),1,VLOOKUP(CONCATENATE($D682,$G682),CSRFinput!$B:$E,4,0)))</f>
        <v>0.054776304963434752</v>
      </c>
      <c r="S682" s="73">
        <f>IF(B682="",0,P682*R682)</f>
        <v>0.070884177963367392</v>
      </c>
      <c r="T682" s="85">
        <f>IF(B682="",0,IF(OR(H682=MappingTables!$C$34,H682=MappingTables!$C$35),S682,0))</f>
        <v>0</v>
      </c>
    </row>
    <row r="683" spans="2:20" s="0" customFormat="0" ht="15">
      <c r="B683" s="69" t="s">
        <v>3688</v>
      </c>
      <c r="C683" s="70" t="s">
        <v>3689</v>
      </c>
      <c r="D683" s="70" t="s">
        <v>1</v>
      </c>
      <c r="E683" s="70" t="s">
        <v>1</v>
      </c>
      <c r="F683" s="70"/>
      <c r="G683" s="70" t="s">
        <v>61</v>
      </c>
      <c r="H683" s="70" t="s">
        <v>178</v>
      </c>
      <c r="I683" s="70" t="s">
        <v>184</v>
      </c>
      <c r="J683" s="71">
        <f>IF(OR(I683=0,I683=""),"unrated",VLOOKUP(I683,MappingTables!$B$19:$C$31,2,FALSE))</f>
        <v>5</v>
      </c>
      <c r="K683" s="72">
        <v>361.84234757660584</v>
      </c>
      <c r="L683" s="70">
        <v>0.041096747024990104</v>
      </c>
      <c r="M683" s="71">
        <f>IF(L683&lt;1,1,L683)</f>
        <v>1</v>
      </c>
      <c r="N683" s="70" t="s">
        <v>3288</v>
      </c>
      <c r="O683" s="71">
        <f>IF(OR(I683=$A$1,I683=0),"",IF(N683=MappingTables!$C$14,VLOOKUP(J683,ModelParameters!$M$8:$N$15,2,FALSE),IF(N683=MappingTables!$C$16,VLOOKUP(J683,ModelParameters!$P$8:$Q$15,2,FALSE),0)))</f>
        <v>1</v>
      </c>
      <c r="P683" s="73">
        <f>IF(OR(I683=0,I683=$A$1),0,MIN(O683*M683,1)*K683)</f>
        <v>361.84234757660584</v>
      </c>
      <c r="Q683" s="73">
        <f>IF(B683="",0,IF(OR(H683=MappingTables!$C$34,H683=MappingTables!$C$35),P683,0))</f>
        <v>0</v>
      </c>
      <c r="R683" s="73">
        <f>IF(ISNA(IF(AND(VLOOKUP(CONCATENATE($D683,$G683),CSRFinput!$B:$E,4,0)=0,OR(H683=MappingTables!$C$31,H683=MappingTables!$C$32)),1,VLOOKUP(CONCATENATE($D683,$G683),CSRFinput!$B:$E,4,0))),0,IF(AND(VLOOKUP(CONCATENATE($D683,$G683),CSRFinput!$B:$E,4,0)=0,OR(H683=MappingTables!$C$31,H683=MappingTables!$C$32)),1,VLOOKUP(CONCATENATE($D683,$G683),CSRFinput!$B:$E,4,0)))</f>
        <v>0.054776304963434752</v>
      </c>
      <c r="S683" s="73">
        <f>IF(B683="",0,P683*R683)</f>
        <v>19.82038677954132</v>
      </c>
      <c r="T683" s="85">
        <f>IF(B683="",0,IF(OR(H683=MappingTables!$C$34,H683=MappingTables!$C$35),S683,0))</f>
        <v>0</v>
      </c>
    </row>
    <row r="684" spans="2:20" s="0" customFormat="0" ht="15">
      <c r="B684" s="69" t="s">
        <v>4269</v>
      </c>
      <c r="C684" s="70" t="s">
        <v>4270</v>
      </c>
      <c r="D684" s="70" t="s">
        <v>1</v>
      </c>
      <c r="E684" s="70" t="s">
        <v>1</v>
      </c>
      <c r="F684" s="70"/>
      <c r="G684" s="70" t="s">
        <v>61</v>
      </c>
      <c r="H684" s="70" t="s">
        <v>178</v>
      </c>
      <c r="I684" s="70" t="s">
        <v>198</v>
      </c>
      <c r="J684" s="71" t="str">
        <f>IF(OR(I684=0,I684=""),"unrated",VLOOKUP(I684,MappingTables!$B$19:$C$31,2,FALSE))</f>
        <v>unrated</v>
      </c>
      <c r="K684" s="72">
        <v>29.836986667932436</v>
      </c>
      <c r="L684" s="70">
        <v>0.057705803180988288</v>
      </c>
      <c r="M684" s="71">
        <f>IF(L684&lt;1,1,L684)</f>
        <v>1</v>
      </c>
      <c r="N684" s="70" t="s">
        <v>3288</v>
      </c>
      <c r="O684" s="71">
        <f>IF(OR(I684=$A$1,I684=0),"",IF(N684=MappingTables!$C$14,VLOOKUP(J684,ModelParameters!$M$8:$N$15,2,FALSE),IF(N684=MappingTables!$C$16,VLOOKUP(J684,ModelParameters!$P$8:$Q$15,2,FALSE),0)))</f>
        <v>1</v>
      </c>
      <c r="P684" s="73">
        <f>IF(OR(I684=0,I684=$A$1),0,MIN(O684*M684,1)*K684)</f>
        <v>29.836986667932436</v>
      </c>
      <c r="Q684" s="73">
        <f>IF(B684="",0,IF(OR(H684=MappingTables!$C$34,H684=MappingTables!$C$35),P684,0))</f>
        <v>0</v>
      </c>
      <c r="R684" s="73">
        <f>IF(ISNA(IF(AND(VLOOKUP(CONCATENATE($D684,$G684),CSRFinput!$B:$E,4,0)=0,OR(H684=MappingTables!$C$31,H684=MappingTables!$C$32)),1,VLOOKUP(CONCATENATE($D684,$G684),CSRFinput!$B:$E,4,0))),0,IF(AND(VLOOKUP(CONCATENATE($D684,$G684),CSRFinput!$B:$E,4,0)=0,OR(H684=MappingTables!$C$31,H684=MappingTables!$C$32)),1,VLOOKUP(CONCATENATE($D684,$G684),CSRFinput!$B:$E,4,0)))</f>
        <v>0.054776304963434752</v>
      </c>
      <c r="S684" s="73">
        <f>IF(B684="",0,P684*R684)</f>
        <v>1.634359880912604</v>
      </c>
      <c r="T684" s="85">
        <f>IF(B684="",0,IF(OR(H684=MappingTables!$C$34,H684=MappingTables!$C$35),S684,0))</f>
        <v>0</v>
      </c>
    </row>
    <row r="685" spans="2:20" s="0" customFormat="0" ht="15">
      <c r="B685" s="69" t="s">
        <v>4271</v>
      </c>
      <c r="C685" s="70" t="s">
        <v>4272</v>
      </c>
      <c r="D685" s="70" t="s">
        <v>1</v>
      </c>
      <c r="E685" s="70" t="s">
        <v>1</v>
      </c>
      <c r="F685" s="70"/>
      <c r="G685" s="70" t="s">
        <v>61</v>
      </c>
      <c r="H685" s="70" t="s">
        <v>178</v>
      </c>
      <c r="I685" s="70" t="s">
        <v>198</v>
      </c>
      <c r="J685" s="71" t="str">
        <f>IF(OR(I685=0,I685=""),"unrated",VLOOKUP(I685,MappingTables!$B$19:$C$31,2,FALSE))</f>
        <v>unrated</v>
      </c>
      <c r="K685" s="72">
        <v>0.48017903024892424</v>
      </c>
      <c r="L685" s="70">
        <v>32.799393510224916</v>
      </c>
      <c r="M685" s="71">
        <f>IF(L685&lt;1,1,L685)</f>
        <v>32.799393510224916</v>
      </c>
      <c r="N685" s="70" t="s">
        <v>3288</v>
      </c>
      <c r="O685" s="71">
        <f>IF(OR(I685=$A$1,I685=0),"",IF(N685=MappingTables!$C$14,VLOOKUP(J685,ModelParameters!$M$8:$N$15,2,FALSE),IF(N685=MappingTables!$C$16,VLOOKUP(J685,ModelParameters!$P$8:$Q$15,2,FALSE),0)))</f>
        <v>1</v>
      </c>
      <c r="P685" s="73">
        <f>IF(OR(I685=0,I685=$A$1),0,MIN(O685*M685,1)*K685)</f>
        <v>0.48017903024892424</v>
      </c>
      <c r="Q685" s="73">
        <f>IF(B685="",0,IF(OR(H685=MappingTables!$C$34,H685=MappingTables!$C$35),P685,0))</f>
        <v>0</v>
      </c>
      <c r="R685" s="73">
        <f>IF(ISNA(IF(AND(VLOOKUP(CONCATENATE($D685,$G685),CSRFinput!$B:$E,4,0)=0,OR(H685=MappingTables!$C$31,H685=MappingTables!$C$32)),1,VLOOKUP(CONCATENATE($D685,$G685),CSRFinput!$B:$E,4,0))),0,IF(AND(VLOOKUP(CONCATENATE($D685,$G685),CSRFinput!$B:$E,4,0)=0,OR(H685=MappingTables!$C$31,H685=MappingTables!$C$32)),1,VLOOKUP(CONCATENATE($D685,$G685),CSRFinput!$B:$E,4,0)))</f>
        <v>0.054776304963434752</v>
      </c>
      <c r="S685" s="73">
        <f>IF(B685="",0,P685*R685)</f>
        <v>0.026302432997961432</v>
      </c>
      <c r="T685" s="85">
        <f>IF(B685="",0,IF(OR(H685=MappingTables!$C$34,H685=MappingTables!$C$35),S685,0))</f>
        <v>0</v>
      </c>
    </row>
    <row r="686" spans="2:20" s="0" customFormat="0" ht="15">
      <c r="B686" s="69" t="s">
        <v>4113</v>
      </c>
      <c r="C686" s="70" t="s">
        <v>4114</v>
      </c>
      <c r="D686" s="70" t="s">
        <v>1</v>
      </c>
      <c r="E686" s="70" t="s">
        <v>1</v>
      </c>
      <c r="F686" s="70"/>
      <c r="G686" s="70" t="s">
        <v>61</v>
      </c>
      <c r="H686" s="70" t="s">
        <v>178</v>
      </c>
      <c r="I686" s="70" t="s">
        <v>198</v>
      </c>
      <c r="J686" s="71" t="str">
        <f>IF(OR(I686=0,I686=""),"unrated",VLOOKUP(I686,MappingTables!$B$19:$C$31,2,FALSE))</f>
        <v>unrated</v>
      </c>
      <c r="K686" s="72">
        <v>378.56408441281272</v>
      </c>
      <c r="L686" s="70">
        <v>7.5802344384622864</v>
      </c>
      <c r="M686" s="71">
        <f>IF(L686&lt;1,1,L686)</f>
        <v>7.5802344384622864</v>
      </c>
      <c r="N686" s="70" t="s">
        <v>3288</v>
      </c>
      <c r="O686" s="71">
        <f>IF(OR(I686=$A$1,I686=0),"",IF(N686=MappingTables!$C$14,VLOOKUP(J686,ModelParameters!$M$8:$N$15,2,FALSE),IF(N686=MappingTables!$C$16,VLOOKUP(J686,ModelParameters!$P$8:$Q$15,2,FALSE),0)))</f>
        <v>1</v>
      </c>
      <c r="P686" s="73">
        <f>IF(OR(I686=0,I686=$A$1),0,MIN(O686*M686,1)*K686)</f>
        <v>378.56408441281272</v>
      </c>
      <c r="Q686" s="73">
        <f>IF(B686="",0,IF(OR(H686=MappingTables!$C$34,H686=MappingTables!$C$35),P686,0))</f>
        <v>0</v>
      </c>
      <c r="R686" s="73">
        <f>IF(ISNA(IF(AND(VLOOKUP(CONCATENATE($D686,$G686),CSRFinput!$B:$E,4,0)=0,OR(H686=MappingTables!$C$31,H686=MappingTables!$C$32)),1,VLOOKUP(CONCATENATE($D686,$G686),CSRFinput!$B:$E,4,0))),0,IF(AND(VLOOKUP(CONCATENATE($D686,$G686),CSRFinput!$B:$E,4,0)=0,OR(H686=MappingTables!$C$31,H686=MappingTables!$C$32)),1,VLOOKUP(CONCATENATE($D686,$G686),CSRFinput!$B:$E,4,0)))</f>
        <v>0.054776304963434752</v>
      </c>
      <c r="S686" s="73">
        <f>IF(B686="",0,P686*R686)</f>
        <v>20.736341735999684</v>
      </c>
      <c r="T686" s="85">
        <f>IF(B686="",0,IF(OR(H686=MappingTables!$C$34,H686=MappingTables!$C$35),S686,0))</f>
        <v>0</v>
      </c>
    </row>
    <row r="687" spans="2:20" s="0" customFormat="0" ht="15">
      <c r="B687" s="69">
        <v>14111070</v>
      </c>
      <c r="C687" s="70" t="s">
        <v>3425</v>
      </c>
      <c r="D687" s="70" t="s">
        <v>1</v>
      </c>
      <c r="E687" s="70" t="s">
        <v>1</v>
      </c>
      <c r="F687" s="70"/>
      <c r="G687" s="70" t="s">
        <v>61</v>
      </c>
      <c r="H687" s="70" t="s">
        <v>178</v>
      </c>
      <c r="I687" s="70" t="s">
        <v>216</v>
      </c>
      <c r="J687" s="71">
        <f>IF(OR(I687=0,I687=""),"unrated",VLOOKUP(I687,MappingTables!$B$19:$C$31,2,FALSE))</f>
        <v>0</v>
      </c>
      <c r="K687" s="72">
        <v>5571.0780567919448</v>
      </c>
      <c r="L687" s="70">
        <v>0.061572827388746432</v>
      </c>
      <c r="M687" s="71">
        <f>IF(L687&lt;1,1,L687)</f>
        <v>1</v>
      </c>
      <c r="N687" s="70" t="s">
        <v>3288</v>
      </c>
      <c r="O687" s="71">
        <f>IF(OR(I687=$A$1,I687=0),"",IF(N687=MappingTables!$C$14,VLOOKUP(J687,ModelParameters!$M$8:$N$15,2,FALSE),IF(N687=MappingTables!$C$16,VLOOKUP(J687,ModelParameters!$P$8:$Q$15,2,FALSE),0)))</f>
        <v>0.125</v>
      </c>
      <c r="P687" s="73">
        <f>IF(OR(I687=0,I687=$A$1),0,MIN(O687*M687,1)*K687)</f>
        <v>696.38475709899304</v>
      </c>
      <c r="Q687" s="73">
        <f>IF(B687="",0,IF(OR(H687=MappingTables!$C$34,H687=MappingTables!$C$35),P687,0))</f>
        <v>0</v>
      </c>
      <c r="R687" s="73">
        <f>IF(ISNA(IF(AND(VLOOKUP(CONCATENATE($D687,$G687),CSRFinput!$B:$E,4,0)=0,OR(H687=MappingTables!$C$31,H687=MappingTables!$C$32)),1,VLOOKUP(CONCATENATE($D687,$G687),CSRFinput!$B:$E,4,0))),0,IF(AND(VLOOKUP(CONCATENATE($D687,$G687),CSRFinput!$B:$E,4,0)=0,OR(H687=MappingTables!$C$31,H687=MappingTables!$C$32)),1,VLOOKUP(CONCATENATE($D687,$G687),CSRFinput!$B:$E,4,0)))</f>
        <v>0.054776304963434752</v>
      </c>
      <c r="S687" s="73">
        <f>IF(B687="",0,P687*R687)</f>
        <v>38.14538382674188</v>
      </c>
      <c r="T687" s="85">
        <f>IF(B687="",0,IF(OR(H687=MappingTables!$C$34,H687=MappingTables!$C$35),S687,0))</f>
        <v>0</v>
      </c>
    </row>
    <row r="688" spans="2:20" s="0" customFormat="0" ht="15">
      <c r="B688" s="69" t="s">
        <v>4273</v>
      </c>
      <c r="C688" s="70" t="s">
        <v>4274</v>
      </c>
      <c r="D688" s="70" t="s">
        <v>1</v>
      </c>
      <c r="E688" s="70" t="s">
        <v>1</v>
      </c>
      <c r="F688" s="70"/>
      <c r="G688" s="70" t="s">
        <v>61</v>
      </c>
      <c r="H688" s="70" t="s">
        <v>178</v>
      </c>
      <c r="I688" s="70" t="s">
        <v>216</v>
      </c>
      <c r="J688" s="71">
        <f>IF(OR(I688=0,I688=""),"unrated",VLOOKUP(I688,MappingTables!$B$19:$C$31,2,FALSE))</f>
        <v>0</v>
      </c>
      <c r="K688" s="72">
        <v>1132.429246469042</v>
      </c>
      <c r="L688" s="70">
        <v>0.054794486633044088</v>
      </c>
      <c r="M688" s="71">
        <f>IF(L688&lt;1,1,L688)</f>
        <v>1</v>
      </c>
      <c r="N688" s="70" t="s">
        <v>3288</v>
      </c>
      <c r="O688" s="71">
        <f>IF(OR(I688=$A$1,I688=0),"",IF(N688=MappingTables!$C$14,VLOOKUP(J688,ModelParameters!$M$8:$N$15,2,FALSE),IF(N688=MappingTables!$C$16,VLOOKUP(J688,ModelParameters!$P$8:$Q$15,2,FALSE),0)))</f>
        <v>0.125</v>
      </c>
      <c r="P688" s="73">
        <f>IF(OR(I688=0,I688=$A$1),0,MIN(O688*M688,1)*K688)</f>
        <v>141.55365580863026</v>
      </c>
      <c r="Q688" s="73">
        <f>IF(B688="",0,IF(OR(H688=MappingTables!$C$34,H688=MappingTables!$C$35),P688,0))</f>
        <v>0</v>
      </c>
      <c r="R688" s="73">
        <f>IF(ISNA(IF(AND(VLOOKUP(CONCATENATE($D688,$G688),CSRFinput!$B:$E,4,0)=0,OR(H688=MappingTables!$C$31,H688=MappingTables!$C$32)),1,VLOOKUP(CONCATENATE($D688,$G688),CSRFinput!$B:$E,4,0))),0,IF(AND(VLOOKUP(CONCATENATE($D688,$G688),CSRFinput!$B:$E,4,0)=0,OR(H688=MappingTables!$C$31,H688=MappingTables!$C$32)),1,VLOOKUP(CONCATENATE($D688,$G688),CSRFinput!$B:$E,4,0)))</f>
        <v>0.054776304963434752</v>
      </c>
      <c r="S688" s="73">
        <f>IF(B688="",0,P688*R688)</f>
        <v>7.753786219262608</v>
      </c>
      <c r="T688" s="85">
        <f>IF(B688="",0,IF(OR(H688=MappingTables!$C$34,H688=MappingTables!$C$35),S688,0))</f>
        <v>0</v>
      </c>
    </row>
    <row r="689" spans="2:20" s="0" customFormat="0" ht="15">
      <c r="B689" s="69">
        <v>16974686</v>
      </c>
      <c r="C689" s="70" t="s">
        <v>3292</v>
      </c>
      <c r="D689" s="70" t="s">
        <v>1</v>
      </c>
      <c r="E689" s="70" t="s">
        <v>1</v>
      </c>
      <c r="F689" s="70"/>
      <c r="G689" s="70" t="s">
        <v>61</v>
      </c>
      <c r="H689" s="70" t="s">
        <v>178</v>
      </c>
      <c r="I689" s="70" t="s">
        <v>198</v>
      </c>
      <c r="J689" s="71" t="str">
        <f>IF(OR(I689=0,I689=""),"unrated",VLOOKUP(I689,MappingTables!$B$19:$C$31,2,FALSE))</f>
        <v>unrated</v>
      </c>
      <c r="K689" s="72">
        <v>499.38369210665504</v>
      </c>
      <c r="L689" s="70">
        <v>0.11212878005977666</v>
      </c>
      <c r="M689" s="71">
        <f>IF(L689&lt;1,1,L689)</f>
        <v>1</v>
      </c>
      <c r="N689" s="70" t="s">
        <v>3288</v>
      </c>
      <c r="O689" s="71">
        <f>IF(OR(I689=$A$1,I689=0),"",IF(N689=MappingTables!$C$14,VLOOKUP(J689,ModelParameters!$M$8:$N$15,2,FALSE),IF(N689=MappingTables!$C$16,VLOOKUP(J689,ModelParameters!$P$8:$Q$15,2,FALSE),0)))</f>
        <v>1</v>
      </c>
      <c r="P689" s="73">
        <f>IF(OR(I689=0,I689=$A$1),0,MIN(O689*M689,1)*K689)</f>
        <v>499.38369210665504</v>
      </c>
      <c r="Q689" s="73">
        <f>IF(B689="",0,IF(OR(H689=MappingTables!$C$34,H689=MappingTables!$C$35),P689,0))</f>
        <v>0</v>
      </c>
      <c r="R689" s="73">
        <f>IF(ISNA(IF(AND(VLOOKUP(CONCATENATE($D689,$G689),CSRFinput!$B:$E,4,0)=0,OR(H689=MappingTables!$C$31,H689=MappingTables!$C$32)),1,VLOOKUP(CONCATENATE($D689,$G689),CSRFinput!$B:$E,4,0))),0,IF(AND(VLOOKUP(CONCATENATE($D689,$G689),CSRFinput!$B:$E,4,0)=0,OR(H689=MappingTables!$C$31,H689=MappingTables!$C$32)),1,VLOOKUP(CONCATENATE($D689,$G689),CSRFinput!$B:$E,4,0)))</f>
        <v>0.054776304963434752</v>
      </c>
      <c r="S689" s="73">
        <f>IF(B689="",0,P689*R689)</f>
        <v>27.35439341260014</v>
      </c>
      <c r="T689" s="85">
        <f>IF(B689="",0,IF(OR(H689=MappingTables!$C$34,H689=MappingTables!$C$35),S689,0))</f>
        <v>0</v>
      </c>
    </row>
    <row r="690" spans="2:20" s="0" customFormat="0" ht="15">
      <c r="B690" s="69" t="s">
        <v>4275</v>
      </c>
      <c r="C690" s="70" t="s">
        <v>4276</v>
      </c>
      <c r="D690" s="70" t="s">
        <v>1</v>
      </c>
      <c r="E690" s="70" t="s">
        <v>1</v>
      </c>
      <c r="F690" s="70"/>
      <c r="G690" s="70" t="s">
        <v>61</v>
      </c>
      <c r="H690" s="70" t="s">
        <v>178</v>
      </c>
      <c r="I690" s="70" t="s">
        <v>198</v>
      </c>
      <c r="J690" s="71" t="str">
        <f>IF(OR(I690=0,I690=""),"unrated",VLOOKUP(I690,MappingTables!$B$19:$C$31,2,FALSE))</f>
        <v>unrated</v>
      </c>
      <c r="K690" s="72">
        <v>3.8033866627674608</v>
      </c>
      <c r="L690" s="70">
        <v>40.36724741833216</v>
      </c>
      <c r="M690" s="71">
        <f>IF(L690&lt;1,1,L690)</f>
        <v>40.36724741833216</v>
      </c>
      <c r="N690" s="70" t="s">
        <v>3288</v>
      </c>
      <c r="O690" s="71">
        <f>IF(OR(I690=$A$1,I690=0),"",IF(N690=MappingTables!$C$14,VLOOKUP(J690,ModelParameters!$M$8:$N$15,2,FALSE),IF(N690=MappingTables!$C$16,VLOOKUP(J690,ModelParameters!$P$8:$Q$15,2,FALSE),0)))</f>
        <v>1</v>
      </c>
      <c r="P690" s="73">
        <f>IF(OR(I690=0,I690=$A$1),0,MIN(O690*M690,1)*K690)</f>
        <v>3.8033866627674608</v>
      </c>
      <c r="Q690" s="73">
        <f>IF(B690="",0,IF(OR(H690=MappingTables!$C$34,H690=MappingTables!$C$35),P690,0))</f>
        <v>0</v>
      </c>
      <c r="R690" s="73">
        <f>IF(ISNA(IF(AND(VLOOKUP(CONCATENATE($D690,$G690),CSRFinput!$B:$E,4,0)=0,OR(H690=MappingTables!$C$31,H690=MappingTables!$C$32)),1,VLOOKUP(CONCATENATE($D690,$G690),CSRFinput!$B:$E,4,0))),0,IF(AND(VLOOKUP(CONCATENATE($D690,$G690),CSRFinput!$B:$E,4,0)=0,OR(H690=MappingTables!$C$31,H690=MappingTables!$C$32)),1,VLOOKUP(CONCATENATE($D690,$G690),CSRFinput!$B:$E,4,0)))</f>
        <v>0.054776304963434752</v>
      </c>
      <c r="S690" s="73">
        <f>IF(B690="",0,P690*R690)</f>
        <v>0.2083354677336108</v>
      </c>
      <c r="T690" s="85">
        <f>IF(B690="",0,IF(OR(H690=MappingTables!$C$34,H690=MappingTables!$C$35),S690,0))</f>
        <v>0</v>
      </c>
    </row>
    <row r="691" spans="2:20" s="0" customFormat="0" ht="15">
      <c r="B691" s="69" t="s">
        <v>3741</v>
      </c>
      <c r="C691" s="70" t="s">
        <v>3742</v>
      </c>
      <c r="D691" s="70" t="s">
        <v>1</v>
      </c>
      <c r="E691" s="70" t="s">
        <v>1</v>
      </c>
      <c r="F691" s="70"/>
      <c r="G691" s="70" t="s">
        <v>61</v>
      </c>
      <c r="H691" s="70" t="s">
        <v>178</v>
      </c>
      <c r="I691" s="70" t="s">
        <v>198</v>
      </c>
      <c r="J691" s="71" t="str">
        <f>IF(OR(I691=0,I691=""),"unrated",VLOOKUP(I691,MappingTables!$B$19:$C$31,2,FALSE))</f>
        <v>unrated</v>
      </c>
      <c r="K691" s="72">
        <v>21.1885163287235</v>
      </c>
      <c r="L691" s="70">
        <v>0.068489611202569872</v>
      </c>
      <c r="M691" s="71">
        <f>IF(L691&lt;1,1,L691)</f>
        <v>1</v>
      </c>
      <c r="N691" s="70" t="s">
        <v>3288</v>
      </c>
      <c r="O691" s="71">
        <f>IF(OR(I691=$A$1,I691=0),"",IF(N691=MappingTables!$C$14,VLOOKUP(J691,ModelParameters!$M$8:$N$15,2,FALSE),IF(N691=MappingTables!$C$16,VLOOKUP(J691,ModelParameters!$P$8:$Q$15,2,FALSE),0)))</f>
        <v>1</v>
      </c>
      <c r="P691" s="73">
        <f>IF(OR(I691=0,I691=$A$1),0,MIN(O691*M691,1)*K691)</f>
        <v>21.1885163287235</v>
      </c>
      <c r="Q691" s="73">
        <f>IF(B691="",0,IF(OR(H691=MappingTables!$C$34,H691=MappingTables!$C$35),P691,0))</f>
        <v>0</v>
      </c>
      <c r="R691" s="73">
        <f>IF(ISNA(IF(AND(VLOOKUP(CONCATENATE($D691,$G691),CSRFinput!$B:$E,4,0)=0,OR(H691=MappingTables!$C$31,H691=MappingTables!$C$32)),1,VLOOKUP(CONCATENATE($D691,$G691),CSRFinput!$B:$E,4,0))),0,IF(AND(VLOOKUP(CONCATENATE($D691,$G691),CSRFinput!$B:$E,4,0)=0,OR(H691=MappingTables!$C$31,H691=MappingTables!$C$32)),1,VLOOKUP(CONCATENATE($D691,$G691),CSRFinput!$B:$E,4,0)))</f>
        <v>0.054776304963434752</v>
      </c>
      <c r="S691" s="73">
        <f>IF(B691="",0,P691*R691)</f>
        <v>1.1606286321448754</v>
      </c>
      <c r="T691" s="85">
        <f>IF(B691="",0,IF(OR(H691=MappingTables!$C$34,H691=MappingTables!$C$35),S691,0))</f>
        <v>0</v>
      </c>
    </row>
    <row r="692" spans="2:20" s="0" customFormat="0" ht="15">
      <c r="B692" s="69" t="s">
        <v>4277</v>
      </c>
      <c r="C692" s="70" t="s">
        <v>4278</v>
      </c>
      <c r="D692" s="70" t="s">
        <v>1</v>
      </c>
      <c r="E692" s="70" t="s">
        <v>1</v>
      </c>
      <c r="F692" s="70"/>
      <c r="G692" s="70" t="s">
        <v>61</v>
      </c>
      <c r="H692" s="70" t="s">
        <v>178</v>
      </c>
      <c r="I692" s="70" t="s">
        <v>198</v>
      </c>
      <c r="J692" s="71" t="str">
        <f>IF(OR(I692=0,I692=""),"unrated",VLOOKUP(I692,MappingTables!$B$19:$C$31,2,FALSE))</f>
        <v>unrated</v>
      </c>
      <c r="K692" s="72">
        <v>307.639659017962</v>
      </c>
      <c r="L692" s="70">
        <v>0.068489288295819368</v>
      </c>
      <c r="M692" s="71">
        <f>IF(L692&lt;1,1,L692)</f>
        <v>1</v>
      </c>
      <c r="N692" s="70" t="s">
        <v>3288</v>
      </c>
      <c r="O692" s="71">
        <f>IF(OR(I692=$A$1,I692=0),"",IF(N692=MappingTables!$C$14,VLOOKUP(J692,ModelParameters!$M$8:$N$15,2,FALSE),IF(N692=MappingTables!$C$16,VLOOKUP(J692,ModelParameters!$P$8:$Q$15,2,FALSE),0)))</f>
        <v>1</v>
      </c>
      <c r="P692" s="73">
        <f>IF(OR(I692=0,I692=$A$1),0,MIN(O692*M692,1)*K692)</f>
        <v>307.639659017962</v>
      </c>
      <c r="Q692" s="73">
        <f>IF(B692="",0,IF(OR(H692=MappingTables!$C$34,H692=MappingTables!$C$35),P692,0))</f>
        <v>0</v>
      </c>
      <c r="R692" s="73">
        <f>IF(ISNA(IF(AND(VLOOKUP(CONCATENATE($D692,$G692),CSRFinput!$B:$E,4,0)=0,OR(H692=MappingTables!$C$31,H692=MappingTables!$C$32)),1,VLOOKUP(CONCATENATE($D692,$G692),CSRFinput!$B:$E,4,0))),0,IF(AND(VLOOKUP(CONCATENATE($D692,$G692),CSRFinput!$B:$E,4,0)=0,OR(H692=MappingTables!$C$31,H692=MappingTables!$C$32)),1,VLOOKUP(CONCATENATE($D692,$G692),CSRFinput!$B:$E,4,0)))</f>
        <v>0.054776304963434752</v>
      </c>
      <c r="S692" s="73">
        <f>IF(B692="",0,P692*R692)</f>
        <v>16.851363781214968</v>
      </c>
      <c r="T692" s="85">
        <f>IF(B692="",0,IF(OR(H692=MappingTables!$C$34,H692=MappingTables!$C$35),S692,0))</f>
        <v>0</v>
      </c>
    </row>
    <row r="693" spans="2:20" s="0" customFormat="0" ht="15">
      <c r="B693" s="69">
        <v>22623673</v>
      </c>
      <c r="C693" s="70" t="s">
        <v>4279</v>
      </c>
      <c r="D693" s="70" t="s">
        <v>1</v>
      </c>
      <c r="E693" s="70" t="s">
        <v>1</v>
      </c>
      <c r="F693" s="70"/>
      <c r="G693" s="70" t="s">
        <v>61</v>
      </c>
      <c r="H693" s="70" t="s">
        <v>178</v>
      </c>
      <c r="I693" s="70" t="s">
        <v>204</v>
      </c>
      <c r="J693" s="71">
        <f>IF(OR(I693=0,I693=""),"unrated",VLOOKUP(I693,MappingTables!$B$19:$C$31,2,FALSE))</f>
        <v>6</v>
      </c>
      <c r="K693" s="72">
        <v>1460.7785971415524</v>
      </c>
      <c r="L693" s="70">
        <v>0.068493200779057432</v>
      </c>
      <c r="M693" s="71">
        <f>IF(L693&lt;1,1,L693)</f>
        <v>1</v>
      </c>
      <c r="N693" s="70" t="s">
        <v>3288</v>
      </c>
      <c r="O693" s="71">
        <f>IF(OR(I693=$A$1,I693=0),"",IF(N693=MappingTables!$C$14,VLOOKUP(J693,ModelParameters!$M$8:$N$15,2,FALSE),IF(N693=MappingTables!$C$16,VLOOKUP(J693,ModelParameters!$P$8:$Q$15,2,FALSE),0)))</f>
        <v>1</v>
      </c>
      <c r="P693" s="73">
        <f>IF(OR(I693=0,I693=$A$1),0,MIN(O693*M693,1)*K693)</f>
        <v>1460.7785971415524</v>
      </c>
      <c r="Q693" s="73">
        <f>IF(B693="",0,IF(OR(H693=MappingTables!$C$34,H693=MappingTables!$C$35),P693,0))</f>
        <v>0</v>
      </c>
      <c r="R693" s="73">
        <f>IF(ISNA(IF(AND(VLOOKUP(CONCATENATE($D693,$G693),CSRFinput!$B:$E,4,0)=0,OR(H693=MappingTables!$C$31,H693=MappingTables!$C$32)),1,VLOOKUP(CONCATENATE($D693,$G693),CSRFinput!$B:$E,4,0))),0,IF(AND(VLOOKUP(CONCATENATE($D693,$G693),CSRFinput!$B:$E,4,0)=0,OR(H693=MappingTables!$C$31,H693=MappingTables!$C$32)),1,VLOOKUP(CONCATENATE($D693,$G693),CSRFinput!$B:$E,4,0)))</f>
        <v>0.054776304963434752</v>
      </c>
      <c r="S693" s="73">
        <f>IF(B693="",0,P693*R693)</f>
        <v>80.016053921084064</v>
      </c>
      <c r="T693" s="85">
        <f>IF(B693="",0,IF(OR(H693=MappingTables!$C$34,H693=MappingTables!$C$35),S693,0))</f>
        <v>0</v>
      </c>
    </row>
    <row r="694" spans="2:20" s="0" customFormat="0" ht="15">
      <c r="B694" s="69" t="s">
        <v>4280</v>
      </c>
      <c r="C694" s="70" t="s">
        <v>4281</v>
      </c>
      <c r="D694" s="70" t="s">
        <v>1</v>
      </c>
      <c r="E694" s="70" t="s">
        <v>1</v>
      </c>
      <c r="F694" s="70"/>
      <c r="G694" s="70" t="s">
        <v>61</v>
      </c>
      <c r="H694" s="70" t="s">
        <v>178</v>
      </c>
      <c r="I694" s="70" t="s">
        <v>3298</v>
      </c>
      <c r="J694" s="71">
        <f>IF(OR(I694=0,I694=""),"unrated",VLOOKUP(I694,MappingTables!$B$19:$C$31,2,FALSE))</f>
        <v>6</v>
      </c>
      <c r="K694" s="72">
        <v>768.66384346554256</v>
      </c>
      <c r="L694" s="70">
        <v>0.068494165809892496</v>
      </c>
      <c r="M694" s="71">
        <f>IF(L694&lt;1,1,L694)</f>
        <v>1</v>
      </c>
      <c r="N694" s="70" t="s">
        <v>3288</v>
      </c>
      <c r="O694" s="71">
        <f>IF(OR(I694=$A$1,I694=0),"",IF(N694=MappingTables!$C$14,VLOOKUP(J694,ModelParameters!$M$8:$N$15,2,FALSE),IF(N694=MappingTables!$C$16,VLOOKUP(J694,ModelParameters!$P$8:$Q$15,2,FALSE),0)))</f>
        <v>1</v>
      </c>
      <c r="P694" s="73">
        <f>IF(OR(I694=0,I694=$A$1),0,MIN(O694*M694,1)*K694)</f>
        <v>768.66384346554256</v>
      </c>
      <c r="Q694" s="73">
        <f>IF(B694="",0,IF(OR(H694=MappingTables!$C$34,H694=MappingTables!$C$35),P694,0))</f>
        <v>0</v>
      </c>
      <c r="R694" s="73">
        <f>IF(ISNA(IF(AND(VLOOKUP(CONCATENATE($D694,$G694),CSRFinput!$B:$E,4,0)=0,OR(H694=MappingTables!$C$31,H694=MappingTables!$C$32)),1,VLOOKUP(CONCATENATE($D694,$G694),CSRFinput!$B:$E,4,0))),0,IF(AND(VLOOKUP(CONCATENATE($D694,$G694),CSRFinput!$B:$E,4,0)=0,OR(H694=MappingTables!$C$31,H694=MappingTables!$C$32)),1,VLOOKUP(CONCATENATE($D694,$G694),CSRFinput!$B:$E,4,0)))</f>
        <v>0.054776304963434752</v>
      </c>
      <c r="S694" s="73">
        <f>IF(B694="",0,P694*R694)</f>
        <v>42.104565104034432</v>
      </c>
      <c r="T694" s="85">
        <f>IF(B694="",0,IF(OR(H694=MappingTables!$C$34,H694=MappingTables!$C$35),S694,0))</f>
        <v>0</v>
      </c>
    </row>
    <row r="695" spans="2:20" s="0" customFormat="0" ht="15">
      <c r="B695" s="69" t="s">
        <v>4282</v>
      </c>
      <c r="C695" s="70" t="s">
        <v>4283</v>
      </c>
      <c r="D695" s="70" t="s">
        <v>1</v>
      </c>
      <c r="E695" s="70" t="s">
        <v>1</v>
      </c>
      <c r="F695" s="70"/>
      <c r="G695" s="70" t="s">
        <v>61</v>
      </c>
      <c r="H695" s="70" t="s">
        <v>178</v>
      </c>
      <c r="I695" s="70" t="s">
        <v>513</v>
      </c>
      <c r="J695" s="71">
        <f>IF(OR(I695=0,I695=""),"unrated",VLOOKUP(I695,MappingTables!$B$19:$C$31,2,FALSE))</f>
        <v>6</v>
      </c>
      <c r="K695" s="72">
        <v>1507.441930625866</v>
      </c>
      <c r="L695" s="70">
        <v>0.068490105749829512</v>
      </c>
      <c r="M695" s="71">
        <f>IF(L695&lt;1,1,L695)</f>
        <v>1</v>
      </c>
      <c r="N695" s="70" t="s">
        <v>3288</v>
      </c>
      <c r="O695" s="71">
        <f>IF(OR(I695=$A$1,I695=0),"",IF(N695=MappingTables!$C$14,VLOOKUP(J695,ModelParameters!$M$8:$N$15,2,FALSE),IF(N695=MappingTables!$C$16,VLOOKUP(J695,ModelParameters!$P$8:$Q$15,2,FALSE),0)))</f>
        <v>1</v>
      </c>
      <c r="P695" s="73">
        <f>IF(OR(I695=0,I695=$A$1),0,MIN(O695*M695,1)*K695)</f>
        <v>1507.441930625866</v>
      </c>
      <c r="Q695" s="73">
        <f>IF(B695="",0,IF(OR(H695=MappingTables!$C$34,H695=MappingTables!$C$35),P695,0))</f>
        <v>0</v>
      </c>
      <c r="R695" s="73">
        <f>IF(ISNA(IF(AND(VLOOKUP(CONCATENATE($D695,$G695),CSRFinput!$B:$E,4,0)=0,OR(H695=MappingTables!$C$31,H695=MappingTables!$C$32)),1,VLOOKUP(CONCATENATE($D695,$G695),CSRFinput!$B:$E,4,0))),0,IF(AND(VLOOKUP(CONCATENATE($D695,$G695),CSRFinput!$B:$E,4,0)=0,OR(H695=MappingTables!$C$31,H695=MappingTables!$C$32)),1,VLOOKUP(CONCATENATE($D695,$G695),CSRFinput!$B:$E,4,0)))</f>
        <v>0.054776304963434752</v>
      </c>
      <c r="S695" s="73">
        <f>IF(B695="",0,P695*R695)</f>
        <v>82.572098906631296</v>
      </c>
      <c r="T695" s="85">
        <f>IF(B695="",0,IF(OR(H695=MappingTables!$C$34,H695=MappingTables!$C$35),S695,0))</f>
        <v>0</v>
      </c>
    </row>
    <row r="696" spans="2:20" s="0" customFormat="0" ht="15">
      <c r="B696" s="69">
        <v>7065905</v>
      </c>
      <c r="C696" s="70" t="s">
        <v>3426</v>
      </c>
      <c r="D696" s="70" t="s">
        <v>1</v>
      </c>
      <c r="E696" s="70" t="s">
        <v>1</v>
      </c>
      <c r="F696" s="70"/>
      <c r="G696" s="70" t="s">
        <v>61</v>
      </c>
      <c r="H696" s="70" t="s">
        <v>178</v>
      </c>
      <c r="I696" s="70" t="s">
        <v>216</v>
      </c>
      <c r="J696" s="71">
        <f>IF(OR(I696=0,I696=""),"unrated",VLOOKUP(I696,MappingTables!$B$19:$C$31,2,FALSE))</f>
        <v>0</v>
      </c>
      <c r="K696" s="72">
        <v>12.507459605651164</v>
      </c>
      <c r="L696" s="70">
        <v>0.070852116497006344</v>
      </c>
      <c r="M696" s="71">
        <f>IF(L696&lt;1,1,L696)</f>
        <v>1</v>
      </c>
      <c r="N696" s="70" t="s">
        <v>3288</v>
      </c>
      <c r="O696" s="71">
        <f>IF(OR(I696=$A$1,I696=0),"",IF(N696=MappingTables!$C$14,VLOOKUP(J696,ModelParameters!$M$8:$N$15,2,FALSE),IF(N696=MappingTables!$C$16,VLOOKUP(J696,ModelParameters!$P$8:$Q$15,2,FALSE),0)))</f>
        <v>0.125</v>
      </c>
      <c r="P696" s="73">
        <f>IF(OR(I696=0,I696=$A$1),0,MIN(O696*M696,1)*K696)</f>
        <v>1.5634324507063954</v>
      </c>
      <c r="Q696" s="73">
        <f>IF(B696="",0,IF(OR(H696=MappingTables!$C$34,H696=MappingTables!$C$35),P696,0))</f>
        <v>0</v>
      </c>
      <c r="R696" s="73">
        <f>IF(ISNA(IF(AND(VLOOKUP(CONCATENATE($D696,$G696),CSRFinput!$B:$E,4,0)=0,OR(H696=MappingTables!$C$31,H696=MappingTables!$C$32)),1,VLOOKUP(CONCATENATE($D696,$G696),CSRFinput!$B:$E,4,0))),0,IF(AND(VLOOKUP(CONCATENATE($D696,$G696),CSRFinput!$B:$E,4,0)=0,OR(H696=MappingTables!$C$31,H696=MappingTables!$C$32)),1,VLOOKUP(CONCATENATE($D696,$G696),CSRFinput!$B:$E,4,0)))</f>
        <v>0.054776304963434752</v>
      </c>
      <c r="S696" s="73">
        <f>IF(B696="",0,P696*R696)</f>
        <v>0.08563905270962368</v>
      </c>
      <c r="T696" s="85">
        <f>IF(B696="",0,IF(OR(H696=MappingTables!$C$34,H696=MappingTables!$C$35),S696,0))</f>
        <v>0</v>
      </c>
    </row>
    <row r="697" spans="2:20" s="0" customFormat="0" ht="15">
      <c r="B697" s="69" t="s">
        <v>3837</v>
      </c>
      <c r="C697" s="70" t="s">
        <v>3838</v>
      </c>
      <c r="D697" s="70" t="s">
        <v>1</v>
      </c>
      <c r="E697" s="70" t="s">
        <v>1</v>
      </c>
      <c r="F697" s="70"/>
      <c r="G697" s="70" t="s">
        <v>61</v>
      </c>
      <c r="H697" s="70" t="s">
        <v>178</v>
      </c>
      <c r="I697" s="70" t="s">
        <v>3298</v>
      </c>
      <c r="J697" s="71">
        <f>IF(OR(I697=0,I697=""),"unrated",VLOOKUP(I697,MappingTables!$B$19:$C$31,2,FALSE))</f>
        <v>6</v>
      </c>
      <c r="K697" s="72">
        <v>1263.811310008334</v>
      </c>
      <c r="L697" s="70">
        <v>0.012864359955807482</v>
      </c>
      <c r="M697" s="71">
        <f>IF(L697&lt;1,1,L697)</f>
        <v>1</v>
      </c>
      <c r="N697" s="70" t="s">
        <v>3288</v>
      </c>
      <c r="O697" s="71">
        <f>IF(OR(I697=$A$1,I697=0),"",IF(N697=MappingTables!$C$14,VLOOKUP(J697,ModelParameters!$M$8:$N$15,2,FALSE),IF(N697=MappingTables!$C$16,VLOOKUP(J697,ModelParameters!$P$8:$Q$15,2,FALSE),0)))</f>
        <v>1</v>
      </c>
      <c r="P697" s="73">
        <f>IF(OR(I697=0,I697=$A$1),0,MIN(O697*M697,1)*K697)</f>
        <v>1263.811310008334</v>
      </c>
      <c r="Q697" s="73">
        <f>IF(B697="",0,IF(OR(H697=MappingTables!$C$34,H697=MappingTables!$C$35),P697,0))</f>
        <v>0</v>
      </c>
      <c r="R697" s="73">
        <f>IF(ISNA(IF(AND(VLOOKUP(CONCATENATE($D697,$G697),CSRFinput!$B:$E,4,0)=0,OR(H697=MappingTables!$C$31,H697=MappingTables!$C$32)),1,VLOOKUP(CONCATENATE($D697,$G697),CSRFinput!$B:$E,4,0))),0,IF(AND(VLOOKUP(CONCATENATE($D697,$G697),CSRFinput!$B:$E,4,0)=0,OR(H697=MappingTables!$C$31,H697=MappingTables!$C$32)),1,VLOOKUP(CONCATENATE($D697,$G697),CSRFinput!$B:$E,4,0)))</f>
        <v>0.054776304963434752</v>
      </c>
      <c r="S697" s="73">
        <f>IF(B697="",0,P697*R697)</f>
        <v>69.22691373325448</v>
      </c>
      <c r="T697" s="85">
        <f>IF(B697="",0,IF(OR(H697=MappingTables!$C$34,H697=MappingTables!$C$35),S697,0))</f>
        <v>0</v>
      </c>
    </row>
    <row r="698" spans="2:20" s="0" customFormat="0" ht="15">
      <c r="B698" s="69" t="s">
        <v>4284</v>
      </c>
      <c r="C698" s="70" t="s">
        <v>4285</v>
      </c>
      <c r="D698" s="70" t="s">
        <v>1</v>
      </c>
      <c r="E698" s="70" t="s">
        <v>1</v>
      </c>
      <c r="F698" s="70"/>
      <c r="G698" s="70" t="s">
        <v>61</v>
      </c>
      <c r="H698" s="70" t="s">
        <v>178</v>
      </c>
      <c r="I698" s="70" t="s">
        <v>198</v>
      </c>
      <c r="J698" s="71" t="str">
        <f>IF(OR(I698=0,I698=""),"unrated",VLOOKUP(I698,MappingTables!$B$19:$C$31,2,FALSE))</f>
        <v>unrated</v>
      </c>
      <c r="K698" s="72">
        <v>328.05254810317636</v>
      </c>
      <c r="L698" s="70">
        <v>7.2525259665989984</v>
      </c>
      <c r="M698" s="71">
        <f>IF(L698&lt;1,1,L698)</f>
        <v>7.2525259665989984</v>
      </c>
      <c r="N698" s="70" t="s">
        <v>3288</v>
      </c>
      <c r="O698" s="71">
        <f>IF(OR(I698=$A$1,I698=0),"",IF(N698=MappingTables!$C$14,VLOOKUP(J698,ModelParameters!$M$8:$N$15,2,FALSE),IF(N698=MappingTables!$C$16,VLOOKUP(J698,ModelParameters!$P$8:$Q$15,2,FALSE),0)))</f>
        <v>1</v>
      </c>
      <c r="P698" s="73">
        <f>IF(OR(I698=0,I698=$A$1),0,MIN(O698*M698,1)*K698)</f>
        <v>328.05254810317636</v>
      </c>
      <c r="Q698" s="73">
        <f>IF(B698="",0,IF(OR(H698=MappingTables!$C$34,H698=MappingTables!$C$35),P698,0))</f>
        <v>0</v>
      </c>
      <c r="R698" s="73">
        <f>IF(ISNA(IF(AND(VLOOKUP(CONCATENATE($D698,$G698),CSRFinput!$B:$E,4,0)=0,OR(H698=MappingTables!$C$31,H698=MappingTables!$C$32)),1,VLOOKUP(CONCATENATE($D698,$G698),CSRFinput!$B:$E,4,0))),0,IF(AND(VLOOKUP(CONCATENATE($D698,$G698),CSRFinput!$B:$E,4,0)=0,OR(H698=MappingTables!$C$31,H698=MappingTables!$C$32)),1,VLOOKUP(CONCATENATE($D698,$G698),CSRFinput!$B:$E,4,0)))</f>
        <v>0.054776304963434752</v>
      </c>
      <c r="S698" s="73">
        <f>IF(B698="",0,P698*R698)</f>
        <v>17.969506418931438</v>
      </c>
      <c r="T698" s="85">
        <f>IF(B698="",0,IF(OR(H698=MappingTables!$C$34,H698=MappingTables!$C$35),S698,0))</f>
        <v>0</v>
      </c>
    </row>
    <row r="699" spans="2:20" s="0" customFormat="0" ht="15">
      <c r="B699" s="69" t="s">
        <v>4234</v>
      </c>
      <c r="C699" s="70" t="s">
        <v>4235</v>
      </c>
      <c r="D699" s="70" t="s">
        <v>1</v>
      </c>
      <c r="E699" s="70" t="s">
        <v>1</v>
      </c>
      <c r="F699" s="70"/>
      <c r="G699" s="70" t="s">
        <v>61</v>
      </c>
      <c r="H699" s="70" t="s">
        <v>178</v>
      </c>
      <c r="I699" s="70" t="s">
        <v>198</v>
      </c>
      <c r="J699" s="71" t="str">
        <f>IF(OR(I699=0,I699=""),"unrated",VLOOKUP(I699,MappingTables!$B$19:$C$31,2,FALSE))</f>
        <v>unrated</v>
      </c>
      <c r="K699" s="72">
        <v>12.676579144937314</v>
      </c>
      <c r="L699" s="70">
        <v>0.068492333076459608</v>
      </c>
      <c r="M699" s="71">
        <f>IF(L699&lt;1,1,L699)</f>
        <v>1</v>
      </c>
      <c r="N699" s="70" t="s">
        <v>3288</v>
      </c>
      <c r="O699" s="71">
        <f>IF(OR(I699=$A$1,I699=0),"",IF(N699=MappingTables!$C$14,VLOOKUP(J699,ModelParameters!$M$8:$N$15,2,FALSE),IF(N699=MappingTables!$C$16,VLOOKUP(J699,ModelParameters!$P$8:$Q$15,2,FALSE),0)))</f>
        <v>1</v>
      </c>
      <c r="P699" s="73">
        <f>IF(OR(I699=0,I699=$A$1),0,MIN(O699*M699,1)*K699)</f>
        <v>12.676579144937314</v>
      </c>
      <c r="Q699" s="73">
        <f>IF(B699="",0,IF(OR(H699=MappingTables!$C$34,H699=MappingTables!$C$35),P699,0))</f>
        <v>0</v>
      </c>
      <c r="R699" s="73">
        <f>IF(ISNA(IF(AND(VLOOKUP(CONCATENATE($D699,$G699),CSRFinput!$B:$E,4,0)=0,OR(H699=MappingTables!$C$31,H699=MappingTables!$C$32)),1,VLOOKUP(CONCATENATE($D699,$G699),CSRFinput!$B:$E,4,0))),0,IF(AND(VLOOKUP(CONCATENATE($D699,$G699),CSRFinput!$B:$E,4,0)=0,OR(H699=MappingTables!$C$31,H699=MappingTables!$C$32)),1,VLOOKUP(CONCATENATE($D699,$G699),CSRFinput!$B:$E,4,0)))</f>
        <v>0.054776304963434752</v>
      </c>
      <c r="S699" s="73">
        <f>IF(B699="",0,P699*R699)</f>
        <v>0.69437616513620328</v>
      </c>
      <c r="T699" s="85">
        <f>IF(B699="",0,IF(OR(H699=MappingTables!$C$34,H699=MappingTables!$C$35),S699,0))</f>
        <v>0</v>
      </c>
    </row>
    <row r="700" spans="2:20" s="0" customFormat="0" ht="15">
      <c r="B700" s="69">
        <v>7065947</v>
      </c>
      <c r="C700" s="70" t="s">
        <v>4286</v>
      </c>
      <c r="D700" s="70" t="s">
        <v>1</v>
      </c>
      <c r="E700" s="70" t="s">
        <v>1</v>
      </c>
      <c r="F700" s="70"/>
      <c r="G700" s="70" t="s">
        <v>61</v>
      </c>
      <c r="H700" s="70" t="s">
        <v>178</v>
      </c>
      <c r="I700" s="70" t="s">
        <v>216</v>
      </c>
      <c r="J700" s="71">
        <f>IF(OR(I700=0,I700=""),"unrated",VLOOKUP(I700,MappingTables!$B$19:$C$31,2,FALSE))</f>
        <v>0</v>
      </c>
      <c r="K700" s="72">
        <v>12.299764121332246</v>
      </c>
      <c r="L700" s="70">
        <v>0.068350406994405128</v>
      </c>
      <c r="M700" s="71">
        <f>IF(L700&lt;1,1,L700)</f>
        <v>1</v>
      </c>
      <c r="N700" s="70" t="s">
        <v>3288</v>
      </c>
      <c r="O700" s="71">
        <f>IF(OR(I700=$A$1,I700=0),"",IF(N700=MappingTables!$C$14,VLOOKUP(J700,ModelParameters!$M$8:$N$15,2,FALSE),IF(N700=MappingTables!$C$16,VLOOKUP(J700,ModelParameters!$P$8:$Q$15,2,FALSE),0)))</f>
        <v>0.125</v>
      </c>
      <c r="P700" s="73">
        <f>IF(OR(I700=0,I700=$A$1),0,MIN(O700*M700,1)*K700)</f>
        <v>1.5374705151665306</v>
      </c>
      <c r="Q700" s="73">
        <f>IF(B700="",0,IF(OR(H700=MappingTables!$C$34,H700=MappingTables!$C$35),P700,0))</f>
        <v>0</v>
      </c>
      <c r="R700" s="73">
        <f>IF(ISNA(IF(AND(VLOOKUP(CONCATENATE($D700,$G700),CSRFinput!$B:$E,4,0)=0,OR(H700=MappingTables!$C$31,H700=MappingTables!$C$32)),1,VLOOKUP(CONCATENATE($D700,$G700),CSRFinput!$B:$E,4,0))),0,IF(AND(VLOOKUP(CONCATENATE($D700,$G700),CSRFinput!$B:$E,4,0)=0,OR(H700=MappingTables!$C$31,H700=MappingTables!$C$32)),1,VLOOKUP(CONCATENATE($D700,$G700),CSRFinput!$B:$E,4,0)))</f>
        <v>0.054776304963434752</v>
      </c>
      <c r="S700" s="73">
        <f>IF(B700="",0,P700*R700)</f>
        <v>0.084216953811051008</v>
      </c>
      <c r="T700" s="85">
        <f>IF(B700="",0,IF(OR(H700=MappingTables!$C$34,H700=MappingTables!$C$35),S700,0))</f>
        <v>0</v>
      </c>
    </row>
    <row r="701" spans="2:20" s="0" customFormat="0" ht="15">
      <c r="B701" s="69" t="s">
        <v>4287</v>
      </c>
      <c r="C701" s="70" t="s">
        <v>4288</v>
      </c>
      <c r="D701" s="70" t="s">
        <v>1</v>
      </c>
      <c r="E701" s="70" t="s">
        <v>1</v>
      </c>
      <c r="F701" s="70"/>
      <c r="G701" s="70" t="s">
        <v>61</v>
      </c>
      <c r="H701" s="70" t="s">
        <v>178</v>
      </c>
      <c r="I701" s="70" t="s">
        <v>198</v>
      </c>
      <c r="J701" s="71" t="str">
        <f>IF(OR(I701=0,I701=""),"unrated",VLOOKUP(I701,MappingTables!$B$19:$C$31,2,FALSE))</f>
        <v>unrated</v>
      </c>
      <c r="K701" s="72">
        <v>8.2937320459972528</v>
      </c>
      <c r="L701" s="70">
        <v>40.297326172255512</v>
      </c>
      <c r="M701" s="71">
        <f>IF(L701&lt;1,1,L701)</f>
        <v>40.297326172255512</v>
      </c>
      <c r="N701" s="70" t="s">
        <v>3288</v>
      </c>
      <c r="O701" s="71">
        <f>IF(OR(I701=$A$1,I701=0),"",IF(N701=MappingTables!$C$14,VLOOKUP(J701,ModelParameters!$M$8:$N$15,2,FALSE),IF(N701=MappingTables!$C$16,VLOOKUP(J701,ModelParameters!$P$8:$Q$15,2,FALSE),0)))</f>
        <v>1</v>
      </c>
      <c r="P701" s="73">
        <f>IF(OR(I701=0,I701=$A$1),0,MIN(O701*M701,1)*K701)</f>
        <v>8.2937320459972528</v>
      </c>
      <c r="Q701" s="73">
        <f>IF(B701="",0,IF(OR(H701=MappingTables!$C$34,H701=MappingTables!$C$35),P701,0))</f>
        <v>0</v>
      </c>
      <c r="R701" s="73">
        <f>IF(ISNA(IF(AND(VLOOKUP(CONCATENATE($D701,$G701),CSRFinput!$B:$E,4,0)=0,OR(H701=MappingTables!$C$31,H701=MappingTables!$C$32)),1,VLOOKUP(CONCATENATE($D701,$G701),CSRFinput!$B:$E,4,0))),0,IF(AND(VLOOKUP(CONCATENATE($D701,$G701),CSRFinput!$B:$E,4,0)=0,OR(H701=MappingTables!$C$31,H701=MappingTables!$C$32)),1,VLOOKUP(CONCATENATE($D701,$G701),CSRFinput!$B:$E,4,0)))</f>
        <v>0.054776304963434752</v>
      </c>
      <c r="S701" s="73">
        <f>IF(B701="",0,P701*R701)</f>
        <v>0.4542999958365572</v>
      </c>
      <c r="T701" s="85">
        <f>IF(B701="",0,IF(OR(H701=MappingTables!$C$34,H701=MappingTables!$C$35),S701,0))</f>
        <v>0</v>
      </c>
    </row>
    <row r="702" spans="2:20" s="0" customFormat="0" ht="15">
      <c r="B702" s="69" t="s">
        <v>4289</v>
      </c>
      <c r="C702" s="70" t="s">
        <v>4290</v>
      </c>
      <c r="D702" s="70" t="s">
        <v>1</v>
      </c>
      <c r="E702" s="70" t="s">
        <v>1</v>
      </c>
      <c r="F702" s="70"/>
      <c r="G702" s="70" t="s">
        <v>61</v>
      </c>
      <c r="H702" s="70" t="s">
        <v>178</v>
      </c>
      <c r="I702" s="70" t="s">
        <v>3298</v>
      </c>
      <c r="J702" s="71">
        <f>IF(OR(I702=0,I702=""),"unrated",VLOOKUP(I702,MappingTables!$B$19:$C$31,2,FALSE))</f>
        <v>6</v>
      </c>
      <c r="K702" s="72">
        <v>119.9410268558335</v>
      </c>
      <c r="L702" s="70">
        <v>0.068509436897169848</v>
      </c>
      <c r="M702" s="71">
        <f>IF(L702&lt;1,1,L702)</f>
        <v>1</v>
      </c>
      <c r="N702" s="70" t="s">
        <v>3288</v>
      </c>
      <c r="O702" s="71">
        <f>IF(OR(I702=$A$1,I702=0),"",IF(N702=MappingTables!$C$14,VLOOKUP(J702,ModelParameters!$M$8:$N$15,2,FALSE),IF(N702=MappingTables!$C$16,VLOOKUP(J702,ModelParameters!$P$8:$Q$15,2,FALSE),0)))</f>
        <v>1</v>
      </c>
      <c r="P702" s="73">
        <f>IF(OR(I702=0,I702=$A$1),0,MIN(O702*M702,1)*K702)</f>
        <v>119.9410268558335</v>
      </c>
      <c r="Q702" s="73">
        <f>IF(B702="",0,IF(OR(H702=MappingTables!$C$34,H702=MappingTables!$C$35),P702,0))</f>
        <v>0</v>
      </c>
      <c r="R702" s="73">
        <f>IF(ISNA(IF(AND(VLOOKUP(CONCATENATE($D702,$G702),CSRFinput!$B:$E,4,0)=0,OR(H702=MappingTables!$C$31,H702=MappingTables!$C$32)),1,VLOOKUP(CONCATENATE($D702,$G702),CSRFinput!$B:$E,4,0))),0,IF(AND(VLOOKUP(CONCATENATE($D702,$G702),CSRFinput!$B:$E,4,0)=0,OR(H702=MappingTables!$C$31,H702=MappingTables!$C$32)),1,VLOOKUP(CONCATENATE($D702,$G702),CSRFinput!$B:$E,4,0)))</f>
        <v>0.054776304963434752</v>
      </c>
      <c r="S702" s="73">
        <f>IF(B702="",0,P702*R702)</f>
        <v>6.5699262646826536</v>
      </c>
      <c r="T702" s="85">
        <f>IF(B702="",0,IF(OR(H702=MappingTables!$C$34,H702=MappingTables!$C$35),S702,0))</f>
        <v>0</v>
      </c>
    </row>
    <row r="703" spans="2:20" s="0" customFormat="0" ht="15">
      <c r="B703" s="69" t="s">
        <v>4291</v>
      </c>
      <c r="C703" s="70" t="s">
        <v>4292</v>
      </c>
      <c r="D703" s="70" t="s">
        <v>1</v>
      </c>
      <c r="E703" s="70" t="s">
        <v>1</v>
      </c>
      <c r="F703" s="70"/>
      <c r="G703" s="70" t="s">
        <v>61</v>
      </c>
      <c r="H703" s="70" t="s">
        <v>178</v>
      </c>
      <c r="I703" s="70" t="s">
        <v>198</v>
      </c>
      <c r="J703" s="71" t="str">
        <f>IF(OR(I703=0,I703=""),"unrated",VLOOKUP(I703,MappingTables!$B$19:$C$31,2,FALSE))</f>
        <v>unrated</v>
      </c>
      <c r="K703" s="72">
        <v>100.75560333159946</v>
      </c>
      <c r="L703" s="70">
        <v>0.068492438709051504</v>
      </c>
      <c r="M703" s="71">
        <f>IF(L703&lt;1,1,L703)</f>
        <v>1</v>
      </c>
      <c r="N703" s="70" t="s">
        <v>3288</v>
      </c>
      <c r="O703" s="71">
        <f>IF(OR(I703=$A$1,I703=0),"",IF(N703=MappingTables!$C$14,VLOOKUP(J703,ModelParameters!$M$8:$N$15,2,FALSE),IF(N703=MappingTables!$C$16,VLOOKUP(J703,ModelParameters!$P$8:$Q$15,2,FALSE),0)))</f>
        <v>1</v>
      </c>
      <c r="P703" s="73">
        <f>IF(OR(I703=0,I703=$A$1),0,MIN(O703*M703,1)*K703)</f>
        <v>100.75560333159946</v>
      </c>
      <c r="Q703" s="73">
        <f>IF(B703="",0,IF(OR(H703=MappingTables!$C$34,H703=MappingTables!$C$35),P703,0))</f>
        <v>0</v>
      </c>
      <c r="R703" s="73">
        <f>IF(ISNA(IF(AND(VLOOKUP(CONCATENATE($D703,$G703),CSRFinput!$B:$E,4,0)=0,OR(H703=MappingTables!$C$31,H703=MappingTables!$C$32)),1,VLOOKUP(CONCATENATE($D703,$G703),CSRFinput!$B:$E,4,0))),0,IF(AND(VLOOKUP(CONCATENATE($D703,$G703),CSRFinput!$B:$E,4,0)=0,OR(H703=MappingTables!$C$31,H703=MappingTables!$C$32)),1,VLOOKUP(CONCATENATE($D703,$G703),CSRFinput!$B:$E,4,0)))</f>
        <v>0.054776304963434752</v>
      </c>
      <c r="S703" s="73">
        <f>IF(B703="",0,P703*R703)</f>
        <v>5.5190196548665552</v>
      </c>
      <c r="T703" s="85">
        <f>IF(B703="",0,IF(OR(H703=MappingTables!$C$34,H703=MappingTables!$C$35),S703,0))</f>
        <v>0</v>
      </c>
    </row>
    <row r="704" spans="2:20" s="0" customFormat="0" ht="15">
      <c r="B704" s="69">
        <v>16974675</v>
      </c>
      <c r="C704" s="70" t="s">
        <v>4293</v>
      </c>
      <c r="D704" s="70" t="s">
        <v>1</v>
      </c>
      <c r="E704" s="70" t="s">
        <v>1</v>
      </c>
      <c r="F704" s="70"/>
      <c r="G704" s="70" t="s">
        <v>61</v>
      </c>
      <c r="H704" s="70" t="s">
        <v>178</v>
      </c>
      <c r="I704" s="70" t="s">
        <v>216</v>
      </c>
      <c r="J704" s="71">
        <f>IF(OR(I704=0,I704=""),"unrated",VLOOKUP(I704,MappingTables!$B$19:$C$31,2,FALSE))</f>
        <v>0</v>
      </c>
      <c r="K704" s="72">
        <v>262.07370669637464</v>
      </c>
      <c r="L704" s="70">
        <v>0.057002482543784816</v>
      </c>
      <c r="M704" s="71">
        <f>IF(L704&lt;1,1,L704)</f>
        <v>1</v>
      </c>
      <c r="N704" s="70" t="s">
        <v>3288</v>
      </c>
      <c r="O704" s="71">
        <f>IF(OR(I704=$A$1,I704=0),"",IF(N704=MappingTables!$C$14,VLOOKUP(J704,ModelParameters!$M$8:$N$15,2,FALSE),IF(N704=MappingTables!$C$16,VLOOKUP(J704,ModelParameters!$P$8:$Q$15,2,FALSE),0)))</f>
        <v>0.125</v>
      </c>
      <c r="P704" s="73">
        <f>IF(OR(I704=0,I704=$A$1),0,MIN(O704*M704,1)*K704)</f>
        <v>32.759213337046832</v>
      </c>
      <c r="Q704" s="73">
        <f>IF(B704="",0,IF(OR(H704=MappingTables!$C$34,H704=MappingTables!$C$35),P704,0))</f>
        <v>0</v>
      </c>
      <c r="R704" s="73">
        <f>IF(ISNA(IF(AND(VLOOKUP(CONCATENATE($D704,$G704),CSRFinput!$B:$E,4,0)=0,OR(H704=MappingTables!$C$31,H704=MappingTables!$C$32)),1,VLOOKUP(CONCATENATE($D704,$G704),CSRFinput!$B:$E,4,0))),0,IF(AND(VLOOKUP(CONCATENATE($D704,$G704),CSRFinput!$B:$E,4,0)=0,OR(H704=MappingTables!$C$31,H704=MappingTables!$C$32)),1,VLOOKUP(CONCATENATE($D704,$G704),CSRFinput!$B:$E,4,0)))</f>
        <v>0.054776304963434752</v>
      </c>
      <c r="S704" s="73">
        <f>IF(B704="",0,P704*R704)</f>
        <v>1.7944286601122962</v>
      </c>
      <c r="T704" s="85">
        <f>IF(B704="",0,IF(OR(H704=MappingTables!$C$34,H704=MappingTables!$C$35),S704,0))</f>
        <v>0</v>
      </c>
    </row>
    <row r="705" spans="2:20" s="0" customFormat="0" ht="15">
      <c r="B705" s="69" t="s">
        <v>4294</v>
      </c>
      <c r="C705" s="70" t="s">
        <v>4295</v>
      </c>
      <c r="D705" s="70" t="s">
        <v>1</v>
      </c>
      <c r="E705" s="70" t="s">
        <v>1</v>
      </c>
      <c r="F705" s="70"/>
      <c r="G705" s="70" t="s">
        <v>61</v>
      </c>
      <c r="H705" s="70" t="s">
        <v>178</v>
      </c>
      <c r="I705" s="70" t="s">
        <v>198</v>
      </c>
      <c r="J705" s="71" t="str">
        <f>IF(OR(I705=0,I705=""),"unrated",VLOOKUP(I705,MappingTables!$B$19:$C$31,2,FALSE))</f>
        <v>unrated</v>
      </c>
      <c r="K705" s="72">
        <v>23.358047387341068</v>
      </c>
      <c r="L705" s="70">
        <v>19.177131895799272</v>
      </c>
      <c r="M705" s="71">
        <f>IF(L705&lt;1,1,L705)</f>
        <v>19.177131895799272</v>
      </c>
      <c r="N705" s="70" t="s">
        <v>3288</v>
      </c>
      <c r="O705" s="71">
        <f>IF(OR(I705=$A$1,I705=0),"",IF(N705=MappingTables!$C$14,VLOOKUP(J705,ModelParameters!$M$8:$N$15,2,FALSE),IF(N705=MappingTables!$C$16,VLOOKUP(J705,ModelParameters!$P$8:$Q$15,2,FALSE),0)))</f>
        <v>1</v>
      </c>
      <c r="P705" s="73">
        <f>IF(OR(I705=0,I705=$A$1),0,MIN(O705*M705,1)*K705)</f>
        <v>23.358047387341068</v>
      </c>
      <c r="Q705" s="73">
        <f>IF(B705="",0,IF(OR(H705=MappingTables!$C$34,H705=MappingTables!$C$35),P705,0))</f>
        <v>0</v>
      </c>
      <c r="R705" s="73">
        <f>IF(ISNA(IF(AND(VLOOKUP(CONCATENATE($D705,$G705),CSRFinput!$B:$E,4,0)=0,OR(H705=MappingTables!$C$31,H705=MappingTables!$C$32)),1,VLOOKUP(CONCATENATE($D705,$G705),CSRFinput!$B:$E,4,0))),0,IF(AND(VLOOKUP(CONCATENATE($D705,$G705),CSRFinput!$B:$E,4,0)=0,OR(H705=MappingTables!$C$31,H705=MappingTables!$C$32)),1,VLOOKUP(CONCATENATE($D705,$G705),CSRFinput!$B:$E,4,0)))</f>
        <v>0.054776304963434752</v>
      </c>
      <c r="S705" s="73">
        <f>IF(B705="",0,P705*R705)</f>
        <v>1.2794675270393548</v>
      </c>
      <c r="T705" s="85">
        <f>IF(B705="",0,IF(OR(H705=MappingTables!$C$34,H705=MappingTables!$C$35),S705,0))</f>
        <v>0</v>
      </c>
    </row>
    <row r="706" spans="2:20" s="0" customFormat="0" ht="15">
      <c r="B706" s="69" t="s">
        <v>3543</v>
      </c>
      <c r="C706" s="70" t="s">
        <v>3544</v>
      </c>
      <c r="D706" s="70" t="s">
        <v>1</v>
      </c>
      <c r="E706" s="70" t="s">
        <v>1</v>
      </c>
      <c r="F706" s="70"/>
      <c r="G706" s="70" t="s">
        <v>61</v>
      </c>
      <c r="H706" s="70" t="s">
        <v>178</v>
      </c>
      <c r="I706" s="70" t="s">
        <v>204</v>
      </c>
      <c r="J706" s="71">
        <f>IF(OR(I706=0,I706=""),"unrated",VLOOKUP(I706,MappingTables!$B$19:$C$31,2,FALSE))</f>
        <v>6</v>
      </c>
      <c r="K706" s="72">
        <v>75.438564273820464</v>
      </c>
      <c r="L706" s="70">
        <v>0.06849185638601876</v>
      </c>
      <c r="M706" s="71">
        <f>IF(L706&lt;1,1,L706)</f>
        <v>1</v>
      </c>
      <c r="N706" s="70" t="s">
        <v>3288</v>
      </c>
      <c r="O706" s="71">
        <f>IF(OR(I706=$A$1,I706=0),"",IF(N706=MappingTables!$C$14,VLOOKUP(J706,ModelParameters!$M$8:$N$15,2,FALSE),IF(N706=MappingTables!$C$16,VLOOKUP(J706,ModelParameters!$P$8:$Q$15,2,FALSE),0)))</f>
        <v>1</v>
      </c>
      <c r="P706" s="73">
        <f>IF(OR(I706=0,I706=$A$1),0,MIN(O706*M706,1)*K706)</f>
        <v>75.438564273820464</v>
      </c>
      <c r="Q706" s="73">
        <f>IF(B706="",0,IF(OR(H706=MappingTables!$C$34,H706=MappingTables!$C$35),P706,0))</f>
        <v>0</v>
      </c>
      <c r="R706" s="73">
        <f>IF(ISNA(IF(AND(VLOOKUP(CONCATENATE($D706,$G706),CSRFinput!$B:$E,4,0)=0,OR(H706=MappingTables!$C$31,H706=MappingTables!$C$32)),1,VLOOKUP(CONCATENATE($D706,$G706),CSRFinput!$B:$E,4,0))),0,IF(AND(VLOOKUP(CONCATENATE($D706,$G706),CSRFinput!$B:$E,4,0)=0,OR(H706=MappingTables!$C$31,H706=MappingTables!$C$32)),1,VLOOKUP(CONCATENATE($D706,$G706),CSRFinput!$B:$E,4,0)))</f>
        <v>0.054776304963434752</v>
      </c>
      <c r="S706" s="73">
        <f>IF(B706="",0,P706*R706)</f>
        <v>4.1322458026664632</v>
      </c>
      <c r="T706" s="85">
        <f>IF(B706="",0,IF(OR(H706=MappingTables!$C$34,H706=MappingTables!$C$35),S706,0))</f>
        <v>0</v>
      </c>
    </row>
    <row r="707" spans="2:20" s="0" customFormat="0" ht="15">
      <c r="B707" s="69">
        <v>1551572</v>
      </c>
      <c r="C707" s="70" t="s">
        <v>3637</v>
      </c>
      <c r="D707" s="70" t="s">
        <v>1</v>
      </c>
      <c r="E707" s="70" t="s">
        <v>1</v>
      </c>
      <c r="F707" s="70"/>
      <c r="G707" s="70" t="s">
        <v>61</v>
      </c>
      <c r="H707" s="70" t="s">
        <v>178</v>
      </c>
      <c r="I707" s="70" t="s">
        <v>198</v>
      </c>
      <c r="J707" s="71" t="str">
        <f>IF(OR(I707=0,I707=""),"unrated",VLOOKUP(I707,MappingTables!$B$19:$C$31,2,FALSE))</f>
        <v>unrated</v>
      </c>
      <c r="K707" s="72">
        <v>179.62116859104746</v>
      </c>
      <c r="L707" s="70">
        <v>0.068497462276297784</v>
      </c>
      <c r="M707" s="71">
        <f>IF(L707&lt;1,1,L707)</f>
        <v>1</v>
      </c>
      <c r="N707" s="70" t="s">
        <v>3288</v>
      </c>
      <c r="O707" s="71">
        <f>IF(OR(I707=$A$1,I707=0),"",IF(N707=MappingTables!$C$14,VLOOKUP(J707,ModelParameters!$M$8:$N$15,2,FALSE),IF(N707=MappingTables!$C$16,VLOOKUP(J707,ModelParameters!$P$8:$Q$15,2,FALSE),0)))</f>
        <v>1</v>
      </c>
      <c r="P707" s="73">
        <f>IF(OR(I707=0,I707=$A$1),0,MIN(O707*M707,1)*K707)</f>
        <v>179.62116859104746</v>
      </c>
      <c r="Q707" s="73">
        <f>IF(B707="",0,IF(OR(H707=MappingTables!$C$34,H707=MappingTables!$C$35),P707,0))</f>
        <v>0</v>
      </c>
      <c r="R707" s="73">
        <f>IF(ISNA(IF(AND(VLOOKUP(CONCATENATE($D707,$G707),CSRFinput!$B:$E,4,0)=0,OR(H707=MappingTables!$C$31,H707=MappingTables!$C$32)),1,VLOOKUP(CONCATENATE($D707,$G707),CSRFinput!$B:$E,4,0))),0,IF(AND(VLOOKUP(CONCATENATE($D707,$G707),CSRFinput!$B:$E,4,0)=0,OR(H707=MappingTables!$C$31,H707=MappingTables!$C$32)),1,VLOOKUP(CONCATENATE($D707,$G707),CSRFinput!$B:$E,4,0)))</f>
        <v>0.054776304963434752</v>
      </c>
      <c r="S707" s="73">
        <f>IF(B707="",0,P707*R707)</f>
        <v>9.8389839086317424</v>
      </c>
      <c r="T707" s="85">
        <f>IF(B707="",0,IF(OR(H707=MappingTables!$C$34,H707=MappingTables!$C$35),S707,0))</f>
        <v>0</v>
      </c>
    </row>
    <row r="708" spans="2:20" s="0" customFormat="0" ht="15">
      <c r="B708" s="69">
        <v>22554576</v>
      </c>
      <c r="C708" s="70" t="s">
        <v>4296</v>
      </c>
      <c r="D708" s="70" t="s">
        <v>1</v>
      </c>
      <c r="E708" s="70" t="s">
        <v>1</v>
      </c>
      <c r="F708" s="70"/>
      <c r="G708" s="70" t="s">
        <v>61</v>
      </c>
      <c r="H708" s="70" t="s">
        <v>178</v>
      </c>
      <c r="I708" s="70" t="s">
        <v>216</v>
      </c>
      <c r="J708" s="71">
        <f>IF(OR(I708=0,I708=""),"unrated",VLOOKUP(I708,MappingTables!$B$19:$C$31,2,FALSE))</f>
        <v>0</v>
      </c>
      <c r="K708" s="72">
        <v>17.030606520877526</v>
      </c>
      <c r="L708" s="70">
        <v>0.07089241882969188</v>
      </c>
      <c r="M708" s="71">
        <f>IF(L708&lt;1,1,L708)</f>
        <v>1</v>
      </c>
      <c r="N708" s="70" t="s">
        <v>3288</v>
      </c>
      <c r="O708" s="71">
        <f>IF(OR(I708=$A$1,I708=0),"",IF(N708=MappingTables!$C$14,VLOOKUP(J708,ModelParameters!$M$8:$N$15,2,FALSE),IF(N708=MappingTables!$C$16,VLOOKUP(J708,ModelParameters!$P$8:$Q$15,2,FALSE),0)))</f>
        <v>0.125</v>
      </c>
      <c r="P708" s="73">
        <f>IF(OR(I708=0,I708=$A$1),0,MIN(O708*M708,1)*K708)</f>
        <v>2.1288258151096908</v>
      </c>
      <c r="Q708" s="73">
        <f>IF(B708="",0,IF(OR(H708=MappingTables!$C$34,H708=MappingTables!$C$35),P708,0))</f>
        <v>0</v>
      </c>
      <c r="R708" s="73">
        <f>IF(ISNA(IF(AND(VLOOKUP(CONCATENATE($D708,$G708),CSRFinput!$B:$E,4,0)=0,OR(H708=MappingTables!$C$31,H708=MappingTables!$C$32)),1,VLOOKUP(CONCATENATE($D708,$G708),CSRFinput!$B:$E,4,0))),0,IF(AND(VLOOKUP(CONCATENATE($D708,$G708),CSRFinput!$B:$E,4,0)=0,OR(H708=MappingTables!$C$31,H708=MappingTables!$C$32)),1,VLOOKUP(CONCATENATE($D708,$G708),CSRFinput!$B:$E,4,0)))</f>
        <v>0.054776304963434752</v>
      </c>
      <c r="S708" s="73">
        <f>IF(B708="",0,P708*R708)</f>
        <v>0.116609212062481</v>
      </c>
      <c r="T708" s="85">
        <f>IF(B708="",0,IF(OR(H708=MappingTables!$C$34,H708=MappingTables!$C$35),S708,0))</f>
        <v>0</v>
      </c>
    </row>
    <row r="709" spans="2:20" s="0" customFormat="0" ht="15">
      <c r="B709" s="69">
        <v>18423531</v>
      </c>
      <c r="C709" s="70" t="s">
        <v>3363</v>
      </c>
      <c r="D709" s="70" t="s">
        <v>1</v>
      </c>
      <c r="E709" s="70" t="s">
        <v>1</v>
      </c>
      <c r="F709" s="70"/>
      <c r="G709" s="70" t="s">
        <v>61</v>
      </c>
      <c r="H709" s="70" t="s">
        <v>178</v>
      </c>
      <c r="I709" s="70" t="s">
        <v>216</v>
      </c>
      <c r="J709" s="71">
        <f>IF(OR(I709=0,I709=""),"unrated",VLOOKUP(I709,MappingTables!$B$19:$C$31,2,FALSE))</f>
        <v>0</v>
      </c>
      <c r="K709" s="72">
        <v>2036.907017437676</v>
      </c>
      <c r="L709" s="70">
        <v>0.07615952345948768</v>
      </c>
      <c r="M709" s="71">
        <f>IF(L709&lt;1,1,L709)</f>
        <v>1</v>
      </c>
      <c r="N709" s="70" t="s">
        <v>3288</v>
      </c>
      <c r="O709" s="71">
        <f>IF(OR(I709=$A$1,I709=0),"",IF(N709=MappingTables!$C$14,VLOOKUP(J709,ModelParameters!$M$8:$N$15,2,FALSE),IF(N709=MappingTables!$C$16,VLOOKUP(J709,ModelParameters!$P$8:$Q$15,2,FALSE),0)))</f>
        <v>0.125</v>
      </c>
      <c r="P709" s="73">
        <f>IF(OR(I709=0,I709=$A$1),0,MIN(O709*M709,1)*K709)</f>
        <v>254.61337717970948</v>
      </c>
      <c r="Q709" s="73">
        <f>IF(B709="",0,IF(OR(H709=MappingTables!$C$34,H709=MappingTables!$C$35),P709,0))</f>
        <v>0</v>
      </c>
      <c r="R709" s="73">
        <f>IF(ISNA(IF(AND(VLOOKUP(CONCATENATE($D709,$G709),CSRFinput!$B:$E,4,0)=0,OR(H709=MappingTables!$C$31,H709=MappingTables!$C$32)),1,VLOOKUP(CONCATENATE($D709,$G709),CSRFinput!$B:$E,4,0))),0,IF(AND(VLOOKUP(CONCATENATE($D709,$G709),CSRFinput!$B:$E,4,0)=0,OR(H709=MappingTables!$C$31,H709=MappingTables!$C$32)),1,VLOOKUP(CONCATENATE($D709,$G709),CSRFinput!$B:$E,4,0)))</f>
        <v>0.054776304963434752</v>
      </c>
      <c r="S709" s="73">
        <f>IF(B709="",0,P709*R709)</f>
        <v>13.946779996165806</v>
      </c>
      <c r="T709" s="85">
        <f>IF(B709="",0,IF(OR(H709=MappingTables!$C$34,H709=MappingTables!$C$35),S709,0))</f>
        <v>0</v>
      </c>
    </row>
    <row r="710" spans="2:20" s="0" customFormat="0" ht="15">
      <c r="B710" s="69" t="s">
        <v>3764</v>
      </c>
      <c r="C710" s="70" t="s">
        <v>3765</v>
      </c>
      <c r="D710" s="70" t="s">
        <v>1</v>
      </c>
      <c r="E710" s="70" t="s">
        <v>1</v>
      </c>
      <c r="F710" s="70"/>
      <c r="G710" s="70" t="s">
        <v>61</v>
      </c>
      <c r="H710" s="70" t="s">
        <v>178</v>
      </c>
      <c r="I710" s="70" t="s">
        <v>204</v>
      </c>
      <c r="J710" s="71">
        <f>IF(OR(I710=0,I710=""),"unrated",VLOOKUP(I710,MappingTables!$B$19:$C$31,2,FALSE))</f>
        <v>6</v>
      </c>
      <c r="K710" s="72">
        <v>2167.0518610279236</v>
      </c>
      <c r="L710" s="70">
        <v>9.7336773047666224</v>
      </c>
      <c r="M710" s="71">
        <f>IF(L710&lt;1,1,L710)</f>
        <v>9.7336773047666224</v>
      </c>
      <c r="N710" s="70" t="s">
        <v>3288</v>
      </c>
      <c r="O710" s="71">
        <f>IF(OR(I710=$A$1,I710=0),"",IF(N710=MappingTables!$C$14,VLOOKUP(J710,ModelParameters!$M$8:$N$15,2,FALSE),IF(N710=MappingTables!$C$16,VLOOKUP(J710,ModelParameters!$P$8:$Q$15,2,FALSE),0)))</f>
        <v>1</v>
      </c>
      <c r="P710" s="73">
        <f>IF(OR(I710=0,I710=$A$1),0,MIN(O710*M710,1)*K710)</f>
        <v>2167.0518610279236</v>
      </c>
      <c r="Q710" s="73">
        <f>IF(B710="",0,IF(OR(H710=MappingTables!$C$34,H710=MappingTables!$C$35),P710,0))</f>
        <v>0</v>
      </c>
      <c r="R710" s="73">
        <f>IF(ISNA(IF(AND(VLOOKUP(CONCATENATE($D710,$G710),CSRFinput!$B:$E,4,0)=0,OR(H710=MappingTables!$C$31,H710=MappingTables!$C$32)),1,VLOOKUP(CONCATENATE($D710,$G710),CSRFinput!$B:$E,4,0))),0,IF(AND(VLOOKUP(CONCATENATE($D710,$G710),CSRFinput!$B:$E,4,0)=0,OR(H710=MappingTables!$C$31,H710=MappingTables!$C$32)),1,VLOOKUP(CONCATENATE($D710,$G710),CSRFinput!$B:$E,4,0)))</f>
        <v>0.054776304963434752</v>
      </c>
      <c r="S710" s="73">
        <f>IF(B710="",0,P710*R710)</f>
        <v>118.70309361124436</v>
      </c>
      <c r="T710" s="85">
        <f>IF(B710="",0,IF(OR(H710=MappingTables!$C$34,H710=MappingTables!$C$35),S710,0))</f>
        <v>0</v>
      </c>
    </row>
    <row r="711" spans="2:20" s="0" customFormat="0" ht="15">
      <c r="B711" s="69">
        <v>22554068</v>
      </c>
      <c r="C711" s="70" t="s">
        <v>4297</v>
      </c>
      <c r="D711" s="70" t="s">
        <v>1</v>
      </c>
      <c r="E711" s="70" t="s">
        <v>1</v>
      </c>
      <c r="F711" s="70"/>
      <c r="G711" s="70" t="s">
        <v>61</v>
      </c>
      <c r="H711" s="70" t="s">
        <v>178</v>
      </c>
      <c r="I711" s="70" t="s">
        <v>216</v>
      </c>
      <c r="J711" s="71">
        <f>IF(OR(I711=0,I711=""),"unrated",VLOOKUP(I711,MappingTables!$B$19:$C$31,2,FALSE))</f>
        <v>0</v>
      </c>
      <c r="K711" s="72">
        <v>295.7069385704582</v>
      </c>
      <c r="L711" s="70">
        <v>0.03658660894779536</v>
      </c>
      <c r="M711" s="71">
        <f>IF(L711&lt;1,1,L711)</f>
        <v>1</v>
      </c>
      <c r="N711" s="70" t="s">
        <v>3288</v>
      </c>
      <c r="O711" s="71">
        <f>IF(OR(I711=$A$1,I711=0),"",IF(N711=MappingTables!$C$14,VLOOKUP(J711,ModelParameters!$M$8:$N$15,2,FALSE),IF(N711=MappingTables!$C$16,VLOOKUP(J711,ModelParameters!$P$8:$Q$15,2,FALSE),0)))</f>
        <v>0.125</v>
      </c>
      <c r="P711" s="73">
        <f>IF(OR(I711=0,I711=$A$1),0,MIN(O711*M711,1)*K711)</f>
        <v>36.963367321307272</v>
      </c>
      <c r="Q711" s="73">
        <f>IF(B711="",0,IF(OR(H711=MappingTables!$C$34,H711=MappingTables!$C$35),P711,0))</f>
        <v>0</v>
      </c>
      <c r="R711" s="73">
        <f>IF(ISNA(IF(AND(VLOOKUP(CONCATENATE($D711,$G711),CSRFinput!$B:$E,4,0)=0,OR(H711=MappingTables!$C$31,H711=MappingTables!$C$32)),1,VLOOKUP(CONCATENATE($D711,$G711),CSRFinput!$B:$E,4,0))),0,IF(AND(VLOOKUP(CONCATENATE($D711,$G711),CSRFinput!$B:$E,4,0)=0,OR(H711=MappingTables!$C$31,H711=MappingTables!$C$32)),1,VLOOKUP(CONCATENATE($D711,$G711),CSRFinput!$B:$E,4,0)))</f>
        <v>0.054776304963434752</v>
      </c>
      <c r="S711" s="73">
        <f>IF(B711="",0,P711*R711)</f>
        <v>2.0247166808673856</v>
      </c>
      <c r="T711" s="85">
        <f>IF(B711="",0,IF(OR(H711=MappingTables!$C$34,H711=MappingTables!$C$35),S711,0))</f>
        <v>0</v>
      </c>
    </row>
    <row r="712" spans="2:20" s="0" customFormat="0" ht="15">
      <c r="B712" s="69">
        <v>942518</v>
      </c>
      <c r="C712" s="70" t="s">
        <v>4127</v>
      </c>
      <c r="D712" s="70" t="s">
        <v>1</v>
      </c>
      <c r="E712" s="70" t="s">
        <v>1</v>
      </c>
      <c r="F712" s="70"/>
      <c r="G712" s="70" t="s">
        <v>61</v>
      </c>
      <c r="H712" s="70" t="s">
        <v>178</v>
      </c>
      <c r="I712" s="70" t="s">
        <v>204</v>
      </c>
      <c r="J712" s="71">
        <f>IF(OR(I712=0,I712=""),"unrated",VLOOKUP(I712,MappingTables!$B$19:$C$31,2,FALSE))</f>
        <v>6</v>
      </c>
      <c r="K712" s="72">
        <v>24.528829081963224</v>
      </c>
      <c r="L712" s="70">
        <v>0.068493944819258456</v>
      </c>
      <c r="M712" s="71">
        <f>IF(L712&lt;1,1,L712)</f>
        <v>1</v>
      </c>
      <c r="N712" s="70" t="s">
        <v>3288</v>
      </c>
      <c r="O712" s="71">
        <f>IF(OR(I712=$A$1,I712=0),"",IF(N712=MappingTables!$C$14,VLOOKUP(J712,ModelParameters!$M$8:$N$15,2,FALSE),IF(N712=MappingTables!$C$16,VLOOKUP(J712,ModelParameters!$P$8:$Q$15,2,FALSE),0)))</f>
        <v>1</v>
      </c>
      <c r="P712" s="73">
        <f>IF(OR(I712=0,I712=$A$1),0,MIN(O712*M712,1)*K712)</f>
        <v>24.528829081963224</v>
      </c>
      <c r="Q712" s="73">
        <f>IF(B712="",0,IF(OR(H712=MappingTables!$C$34,H712=MappingTables!$C$35),P712,0))</f>
        <v>0</v>
      </c>
      <c r="R712" s="73">
        <f>IF(ISNA(IF(AND(VLOOKUP(CONCATENATE($D712,$G712),CSRFinput!$B:$E,4,0)=0,OR(H712=MappingTables!$C$31,H712=MappingTables!$C$32)),1,VLOOKUP(CONCATENATE($D712,$G712),CSRFinput!$B:$E,4,0))),0,IF(AND(VLOOKUP(CONCATENATE($D712,$G712),CSRFinput!$B:$E,4,0)=0,OR(H712=MappingTables!$C$31,H712=MappingTables!$C$32)),1,VLOOKUP(CONCATENATE($D712,$G712),CSRFinput!$B:$E,4,0)))</f>
        <v>0.054776304963434752</v>
      </c>
      <c r="S712" s="73">
        <f>IF(B712="",0,P712*R712)</f>
        <v>1.3435986221895848</v>
      </c>
      <c r="T712" s="85">
        <f>IF(B712="",0,IF(OR(H712=MappingTables!$C$34,H712=MappingTables!$C$35),S712,0))</f>
        <v>0</v>
      </c>
    </row>
    <row r="713" spans="2:20" s="0" customFormat="0" ht="15">
      <c r="B713" s="69" t="s">
        <v>4298</v>
      </c>
      <c r="C713" s="70" t="s">
        <v>4299</v>
      </c>
      <c r="D713" s="70" t="s">
        <v>1</v>
      </c>
      <c r="E713" s="70" t="s">
        <v>1</v>
      </c>
      <c r="F713" s="70"/>
      <c r="G713" s="70" t="s">
        <v>61</v>
      </c>
      <c r="H713" s="70" t="s">
        <v>178</v>
      </c>
      <c r="I713" s="70" t="s">
        <v>198</v>
      </c>
      <c r="J713" s="71" t="str">
        <f>IF(OR(I713=0,I713=""),"unrated",VLOOKUP(I713,MappingTables!$B$19:$C$31,2,FALSE))</f>
        <v>unrated</v>
      </c>
      <c r="K713" s="72">
        <v>9960.6995311794192</v>
      </c>
      <c r="L713" s="70">
        <v>21.471809923159884</v>
      </c>
      <c r="M713" s="71">
        <f>IF(L713&lt;1,1,L713)</f>
        <v>21.471809923159884</v>
      </c>
      <c r="N713" s="70" t="s">
        <v>3288</v>
      </c>
      <c r="O713" s="71">
        <f>IF(OR(I713=$A$1,I713=0),"",IF(N713=MappingTables!$C$14,VLOOKUP(J713,ModelParameters!$M$8:$N$15,2,FALSE),IF(N713=MappingTables!$C$16,VLOOKUP(J713,ModelParameters!$P$8:$Q$15,2,FALSE),0)))</f>
        <v>1</v>
      </c>
      <c r="P713" s="73">
        <f>IF(OR(I713=0,I713=$A$1),0,MIN(O713*M713,1)*K713)</f>
        <v>9960.6995311794192</v>
      </c>
      <c r="Q713" s="73">
        <f>IF(B713="",0,IF(OR(H713=MappingTables!$C$34,H713=MappingTables!$C$35),P713,0))</f>
        <v>0</v>
      </c>
      <c r="R713" s="73">
        <f>IF(ISNA(IF(AND(VLOOKUP(CONCATENATE($D713,$G713),CSRFinput!$B:$E,4,0)=0,OR(H713=MappingTables!$C$31,H713=MappingTables!$C$32)),1,VLOOKUP(CONCATENATE($D713,$G713),CSRFinput!$B:$E,4,0))),0,IF(AND(VLOOKUP(CONCATENATE($D713,$G713),CSRFinput!$B:$E,4,0)=0,OR(H713=MappingTables!$C$31,H713=MappingTables!$C$32)),1,VLOOKUP(CONCATENATE($D713,$G713),CSRFinput!$B:$E,4,0)))</f>
        <v>0.054776304963434752</v>
      </c>
      <c r="S713" s="73">
        <f>IF(B713="",0,P713*R713)</f>
        <v>545.61031516902552</v>
      </c>
      <c r="T713" s="85">
        <f>IF(B713="",0,IF(OR(H713=MappingTables!$C$34,H713=MappingTables!$C$35),S713,0))</f>
        <v>0</v>
      </c>
    </row>
    <row r="714" spans="2:20" s="0" customFormat="0" ht="15">
      <c r="B714" s="69" t="s">
        <v>4300</v>
      </c>
      <c r="C714" s="70" t="s">
        <v>4301</v>
      </c>
      <c r="D714" s="70" t="s">
        <v>1</v>
      </c>
      <c r="E714" s="70" t="s">
        <v>1</v>
      </c>
      <c r="F714" s="70"/>
      <c r="G714" s="70" t="s">
        <v>61</v>
      </c>
      <c r="H714" s="70" t="s">
        <v>178</v>
      </c>
      <c r="I714" s="70" t="s">
        <v>184</v>
      </c>
      <c r="J714" s="71">
        <f>IF(OR(I714=0,I714=""),"unrated",VLOOKUP(I714,MappingTables!$B$19:$C$31,2,FALSE))</f>
        <v>5</v>
      </c>
      <c r="K714" s="72">
        <v>455.37397016575896</v>
      </c>
      <c r="L714" s="70">
        <v>0.068496127696184264</v>
      </c>
      <c r="M714" s="71">
        <f>IF(L714&lt;1,1,L714)</f>
        <v>1</v>
      </c>
      <c r="N714" s="70" t="s">
        <v>3288</v>
      </c>
      <c r="O714" s="71">
        <f>IF(OR(I714=$A$1,I714=0),"",IF(N714=MappingTables!$C$14,VLOOKUP(J714,ModelParameters!$M$8:$N$15,2,FALSE),IF(N714=MappingTables!$C$16,VLOOKUP(J714,ModelParameters!$P$8:$Q$15,2,FALSE),0)))</f>
        <v>1</v>
      </c>
      <c r="P714" s="73">
        <f>IF(OR(I714=0,I714=$A$1),0,MIN(O714*M714,1)*K714)</f>
        <v>455.37397016575896</v>
      </c>
      <c r="Q714" s="73">
        <f>IF(B714="",0,IF(OR(H714=MappingTables!$C$34,H714=MappingTables!$C$35),P714,0))</f>
        <v>0</v>
      </c>
      <c r="R714" s="73">
        <f>IF(ISNA(IF(AND(VLOOKUP(CONCATENATE($D714,$G714),CSRFinput!$B:$E,4,0)=0,OR(H714=MappingTables!$C$31,H714=MappingTables!$C$32)),1,VLOOKUP(CONCATENATE($D714,$G714),CSRFinput!$B:$E,4,0))),0,IF(AND(VLOOKUP(CONCATENATE($D714,$G714),CSRFinput!$B:$E,4,0)=0,OR(H714=MappingTables!$C$31,H714=MappingTables!$C$32)),1,VLOOKUP(CONCATENATE($D714,$G714),CSRFinput!$B:$E,4,0)))</f>
        <v>0.054776304963434752</v>
      </c>
      <c r="S714" s="73">
        <f>IF(B714="",0,P714*R714)</f>
        <v>24.943703462209652</v>
      </c>
      <c r="T714" s="85">
        <f>IF(B714="",0,IF(OR(H714=MappingTables!$C$34,H714=MappingTables!$C$35),S714,0))</f>
        <v>0</v>
      </c>
    </row>
    <row r="715" spans="2:20" s="0" customFormat="0" ht="15">
      <c r="B715" s="69" t="s">
        <v>4211</v>
      </c>
      <c r="C715" s="70" t="s">
        <v>4212</v>
      </c>
      <c r="D715" s="70" t="s">
        <v>1</v>
      </c>
      <c r="E715" s="70" t="s">
        <v>1</v>
      </c>
      <c r="F715" s="70"/>
      <c r="G715" s="70" t="s">
        <v>61</v>
      </c>
      <c r="H715" s="70" t="s">
        <v>178</v>
      </c>
      <c r="I715" s="70" t="s">
        <v>198</v>
      </c>
      <c r="J715" s="71" t="str">
        <f>IF(OR(I715=0,I715=""),"unrated",VLOOKUP(I715,MappingTables!$B$19:$C$31,2,FALSE))</f>
        <v>unrated</v>
      </c>
      <c r="K715" s="72">
        <v>10525.862552457538</v>
      </c>
      <c r="L715" s="70">
        <v>6.5910694146012464</v>
      </c>
      <c r="M715" s="71">
        <f>IF(L715&lt;1,1,L715)</f>
        <v>6.5910694146012464</v>
      </c>
      <c r="N715" s="70" t="s">
        <v>3288</v>
      </c>
      <c r="O715" s="71">
        <f>IF(OR(I715=$A$1,I715=0),"",IF(N715=MappingTables!$C$14,VLOOKUP(J715,ModelParameters!$M$8:$N$15,2,FALSE),IF(N715=MappingTables!$C$16,VLOOKUP(J715,ModelParameters!$P$8:$Q$15,2,FALSE),0)))</f>
        <v>1</v>
      </c>
      <c r="P715" s="73">
        <f>IF(OR(I715=0,I715=$A$1),0,MIN(O715*M715,1)*K715)</f>
        <v>10525.862552457538</v>
      </c>
      <c r="Q715" s="73">
        <f>IF(B715="",0,IF(OR(H715=MappingTables!$C$34,H715=MappingTables!$C$35),P715,0))</f>
        <v>0</v>
      </c>
      <c r="R715" s="73">
        <f>IF(ISNA(IF(AND(VLOOKUP(CONCATENATE($D715,$G715),CSRFinput!$B:$E,4,0)=0,OR(H715=MappingTables!$C$31,H715=MappingTables!$C$32)),1,VLOOKUP(CONCATENATE($D715,$G715),CSRFinput!$B:$E,4,0))),0,IF(AND(VLOOKUP(CONCATENATE($D715,$G715),CSRFinput!$B:$E,4,0)=0,OR(H715=MappingTables!$C$31,H715=MappingTables!$C$32)),1,VLOOKUP(CONCATENATE($D715,$G715),CSRFinput!$B:$E,4,0)))</f>
        <v>0.054776304963434752</v>
      </c>
      <c r="S715" s="73">
        <f>IF(B715="",0,P715*R715)</f>
        <v>576.56785717661184</v>
      </c>
      <c r="T715" s="85">
        <f>IF(B715="",0,IF(OR(H715=MappingTables!$C$34,H715=MappingTables!$C$35),S715,0))</f>
        <v>0</v>
      </c>
    </row>
    <row r="716" spans="2:20" s="0" customFormat="0" ht="15">
      <c r="B716" s="69" t="s">
        <v>4302</v>
      </c>
      <c r="C716" s="70" t="s">
        <v>4303</v>
      </c>
      <c r="D716" s="70" t="s">
        <v>1</v>
      </c>
      <c r="E716" s="70" t="s">
        <v>1</v>
      </c>
      <c r="F716" s="70"/>
      <c r="G716" s="70" t="s">
        <v>61</v>
      </c>
      <c r="H716" s="70" t="s">
        <v>178</v>
      </c>
      <c r="I716" s="70" t="s">
        <v>216</v>
      </c>
      <c r="J716" s="71">
        <f>IF(OR(I716=0,I716=""),"unrated",VLOOKUP(I716,MappingTables!$B$19:$C$31,2,FALSE))</f>
        <v>0</v>
      </c>
      <c r="K716" s="72">
        <v>550.0877070990988</v>
      </c>
      <c r="L716" s="70">
        <v>0.076712253788278096</v>
      </c>
      <c r="M716" s="71">
        <f>IF(L716&lt;1,1,L716)</f>
        <v>1</v>
      </c>
      <c r="N716" s="70" t="s">
        <v>3288</v>
      </c>
      <c r="O716" s="71">
        <f>IF(OR(I716=$A$1,I716=0),"",IF(N716=MappingTables!$C$14,VLOOKUP(J716,ModelParameters!$M$8:$N$15,2,FALSE),IF(N716=MappingTables!$C$16,VLOOKUP(J716,ModelParameters!$P$8:$Q$15,2,FALSE),0)))</f>
        <v>0.125</v>
      </c>
      <c r="P716" s="73">
        <f>IF(OR(I716=0,I716=$A$1),0,MIN(O716*M716,1)*K716)</f>
        <v>68.760963387387352</v>
      </c>
      <c r="Q716" s="73">
        <f>IF(B716="",0,IF(OR(H716=MappingTables!$C$34,H716=MappingTables!$C$35),P716,0))</f>
        <v>0</v>
      </c>
      <c r="R716" s="73">
        <f>IF(ISNA(IF(AND(VLOOKUP(CONCATENATE($D716,$G716),CSRFinput!$B:$E,4,0)=0,OR(H716=MappingTables!$C$31,H716=MappingTables!$C$32)),1,VLOOKUP(CONCATENATE($D716,$G716),CSRFinput!$B:$E,4,0))),0,IF(AND(VLOOKUP(CONCATENATE($D716,$G716),CSRFinput!$B:$E,4,0)=0,OR(H716=MappingTables!$C$31,H716=MappingTables!$C$32)),1,VLOOKUP(CONCATENATE($D716,$G716),CSRFinput!$B:$E,4,0)))</f>
        <v>0.054776304963434752</v>
      </c>
      <c r="S716" s="73">
        <f>IF(B716="",0,P716*R716)</f>
        <v>3.7664715000871008</v>
      </c>
      <c r="T716" s="85">
        <f>IF(B716="",0,IF(OR(H716=MappingTables!$C$34,H716=MappingTables!$C$35),S716,0))</f>
        <v>0</v>
      </c>
    </row>
    <row r="717" spans="2:20" s="0" customFormat="0" ht="15">
      <c r="B717" s="69" t="s">
        <v>4304</v>
      </c>
      <c r="C717" s="70" t="s">
        <v>4305</v>
      </c>
      <c r="D717" s="70" t="s">
        <v>1</v>
      </c>
      <c r="E717" s="70" t="s">
        <v>1</v>
      </c>
      <c r="F717" s="70"/>
      <c r="G717" s="70" t="s">
        <v>61</v>
      </c>
      <c r="H717" s="70" t="s">
        <v>178</v>
      </c>
      <c r="I717" s="70" t="s">
        <v>184</v>
      </c>
      <c r="J717" s="71">
        <f>IF(OR(I717=0,I717=""),"unrated",VLOOKUP(I717,MappingTables!$B$19:$C$31,2,FALSE))</f>
        <v>5</v>
      </c>
      <c r="K717" s="72">
        <v>138.57238286714516</v>
      </c>
      <c r="L717" s="70">
        <v>0.068495874393630392</v>
      </c>
      <c r="M717" s="71">
        <f>IF(L717&lt;1,1,L717)</f>
        <v>1</v>
      </c>
      <c r="N717" s="70" t="s">
        <v>3288</v>
      </c>
      <c r="O717" s="71">
        <f>IF(OR(I717=$A$1,I717=0),"",IF(N717=MappingTables!$C$14,VLOOKUP(J717,ModelParameters!$M$8:$N$15,2,FALSE),IF(N717=MappingTables!$C$16,VLOOKUP(J717,ModelParameters!$P$8:$Q$15,2,FALSE),0)))</f>
        <v>1</v>
      </c>
      <c r="P717" s="73">
        <f>IF(OR(I717=0,I717=$A$1),0,MIN(O717*M717,1)*K717)</f>
        <v>138.57238286714516</v>
      </c>
      <c r="Q717" s="73">
        <f>IF(B717="",0,IF(OR(H717=MappingTables!$C$34,H717=MappingTables!$C$35),P717,0))</f>
        <v>0</v>
      </c>
      <c r="R717" s="73">
        <f>IF(ISNA(IF(AND(VLOOKUP(CONCATENATE($D717,$G717),CSRFinput!$B:$E,4,0)=0,OR(H717=MappingTables!$C$31,H717=MappingTables!$C$32)),1,VLOOKUP(CONCATENATE($D717,$G717),CSRFinput!$B:$E,4,0))),0,IF(AND(VLOOKUP(CONCATENATE($D717,$G717),CSRFinput!$B:$E,4,0)=0,OR(H717=MappingTables!$C$31,H717=MappingTables!$C$32)),1,VLOOKUP(CONCATENATE($D717,$G717),CSRFinput!$B:$E,4,0)))</f>
        <v>0.054776304963434752</v>
      </c>
      <c r="S717" s="73">
        <f>IF(B717="",0,P717*R717)</f>
        <v>7.5904831034405856</v>
      </c>
      <c r="T717" s="85">
        <f>IF(B717="",0,IF(OR(H717=MappingTables!$C$34,H717=MappingTables!$C$35),S717,0))</f>
        <v>0</v>
      </c>
    </row>
    <row r="718" spans="2:20" s="0" customFormat="0" ht="15">
      <c r="B718" s="69" t="s">
        <v>3850</v>
      </c>
      <c r="C718" s="70" t="s">
        <v>3851</v>
      </c>
      <c r="D718" s="70" t="s">
        <v>1</v>
      </c>
      <c r="E718" s="70" t="s">
        <v>1</v>
      </c>
      <c r="F718" s="70"/>
      <c r="G718" s="70" t="s">
        <v>61</v>
      </c>
      <c r="H718" s="70" t="s">
        <v>178</v>
      </c>
      <c r="I718" s="70" t="s">
        <v>204</v>
      </c>
      <c r="J718" s="71">
        <f>IF(OR(I718=0,I718=""),"unrated",VLOOKUP(I718,MappingTables!$B$19:$C$31,2,FALSE))</f>
        <v>6</v>
      </c>
      <c r="K718" s="72">
        <v>1489.1920633723724</v>
      </c>
      <c r="L718" s="70">
        <v>0.068493303785976168</v>
      </c>
      <c r="M718" s="71">
        <f>IF(L718&lt;1,1,L718)</f>
        <v>1</v>
      </c>
      <c r="N718" s="70" t="s">
        <v>3288</v>
      </c>
      <c r="O718" s="71">
        <f>IF(OR(I718=$A$1,I718=0),"",IF(N718=MappingTables!$C$14,VLOOKUP(J718,ModelParameters!$M$8:$N$15,2,FALSE),IF(N718=MappingTables!$C$16,VLOOKUP(J718,ModelParameters!$P$8:$Q$15,2,FALSE),0)))</f>
        <v>1</v>
      </c>
      <c r="P718" s="73">
        <f>IF(OR(I718=0,I718=$A$1),0,MIN(O718*M718,1)*K718)</f>
        <v>1489.1920633723724</v>
      </c>
      <c r="Q718" s="73">
        <f>IF(B718="",0,IF(OR(H718=MappingTables!$C$34,H718=MappingTables!$C$35),P718,0))</f>
        <v>0</v>
      </c>
      <c r="R718" s="73">
        <f>IF(ISNA(IF(AND(VLOOKUP(CONCATENATE($D718,$G718),CSRFinput!$B:$E,4,0)=0,OR(H718=MappingTables!$C$31,H718=MappingTables!$C$32)),1,VLOOKUP(CONCATENATE($D718,$G718),CSRFinput!$B:$E,4,0))),0,IF(AND(VLOOKUP(CONCATENATE($D718,$G718),CSRFinput!$B:$E,4,0)=0,OR(H718=MappingTables!$C$31,H718=MappingTables!$C$32)),1,VLOOKUP(CONCATENATE($D718,$G718),CSRFinput!$B:$E,4,0)))</f>
        <v>0.054776304963434752</v>
      </c>
      <c r="S718" s="73">
        <f>IF(B718="",0,P718*R718)</f>
        <v>81.572438612411712</v>
      </c>
      <c r="T718" s="85">
        <f>IF(B718="",0,IF(OR(H718=MappingTables!$C$34,H718=MappingTables!$C$35),S718,0))</f>
        <v>0</v>
      </c>
    </row>
    <row r="719" spans="2:20" s="0" customFormat="0" ht="15">
      <c r="B719" s="69">
        <v>22554506</v>
      </c>
      <c r="C719" s="70" t="s">
        <v>4306</v>
      </c>
      <c r="D719" s="70" t="s">
        <v>1</v>
      </c>
      <c r="E719" s="70" t="s">
        <v>1</v>
      </c>
      <c r="F719" s="70"/>
      <c r="G719" s="70" t="s">
        <v>61</v>
      </c>
      <c r="H719" s="70" t="s">
        <v>178</v>
      </c>
      <c r="I719" s="70" t="s">
        <v>216</v>
      </c>
      <c r="J719" s="71">
        <f>IF(OR(I719=0,I719=""),"unrated",VLOOKUP(I719,MappingTables!$B$19:$C$31,2,FALSE))</f>
        <v>0</v>
      </c>
      <c r="K719" s="72">
        <v>8.3089825433805312</v>
      </c>
      <c r="L719" s="70">
        <v>0.0843388001024312</v>
      </c>
      <c r="M719" s="71">
        <f>IF(L719&lt;1,1,L719)</f>
        <v>1</v>
      </c>
      <c r="N719" s="70" t="s">
        <v>3288</v>
      </c>
      <c r="O719" s="71">
        <f>IF(OR(I719=$A$1,I719=0),"",IF(N719=MappingTables!$C$14,VLOOKUP(J719,ModelParameters!$M$8:$N$15,2,FALSE),IF(N719=MappingTables!$C$16,VLOOKUP(J719,ModelParameters!$P$8:$Q$15,2,FALSE),0)))</f>
        <v>0.125</v>
      </c>
      <c r="P719" s="73">
        <f>IF(OR(I719=0,I719=$A$1),0,MIN(O719*M719,1)*K719)</f>
        <v>1.0386228179225664</v>
      </c>
      <c r="Q719" s="73">
        <f>IF(B719="",0,IF(OR(H719=MappingTables!$C$34,H719=MappingTables!$C$35),P719,0))</f>
        <v>0</v>
      </c>
      <c r="R719" s="73">
        <f>IF(ISNA(IF(AND(VLOOKUP(CONCATENATE($D719,$G719),CSRFinput!$B:$E,4,0)=0,OR(H719=MappingTables!$C$31,H719=MappingTables!$C$32)),1,VLOOKUP(CONCATENATE($D719,$G719),CSRFinput!$B:$E,4,0))),0,IF(AND(VLOOKUP(CONCATENATE($D719,$G719),CSRFinput!$B:$E,4,0)=0,OR(H719=MappingTables!$C$31,H719=MappingTables!$C$32)),1,VLOOKUP(CONCATENATE($D719,$G719),CSRFinput!$B:$E,4,0)))</f>
        <v>0.054776304963434752</v>
      </c>
      <c r="S719" s="73">
        <f>IF(B719="",0,P719*R719)</f>
        <v>0.056891920216508472</v>
      </c>
      <c r="T719" s="85">
        <f>IF(B719="",0,IF(OR(H719=MappingTables!$C$34,H719=MappingTables!$C$35),S719,0))</f>
        <v>0</v>
      </c>
    </row>
    <row r="720" spans="2:20" s="0" customFormat="0" ht="15">
      <c r="B720" s="69" t="s">
        <v>4120</v>
      </c>
      <c r="C720" s="70" t="s">
        <v>4121</v>
      </c>
      <c r="D720" s="70" t="s">
        <v>1</v>
      </c>
      <c r="E720" s="70" t="s">
        <v>1</v>
      </c>
      <c r="F720" s="70"/>
      <c r="G720" s="70" t="s">
        <v>61</v>
      </c>
      <c r="H720" s="70" t="s">
        <v>178</v>
      </c>
      <c r="I720" s="70" t="s">
        <v>3291</v>
      </c>
      <c r="J720" s="71">
        <f>IF(OR(I720=0,I720=""),"unrated",VLOOKUP(I720,MappingTables!$B$19:$C$31,2,FALSE))</f>
        <v>6</v>
      </c>
      <c r="K720" s="72">
        <v>58.656652804662736</v>
      </c>
      <c r="L720" s="70">
        <v>0.0547917402157076</v>
      </c>
      <c r="M720" s="71">
        <f>IF(L720&lt;1,1,L720)</f>
        <v>1</v>
      </c>
      <c r="N720" s="70" t="s">
        <v>3288</v>
      </c>
      <c r="O720" s="71">
        <f>IF(OR(I720=$A$1,I720=0),"",IF(N720=MappingTables!$C$14,VLOOKUP(J720,ModelParameters!$M$8:$N$15,2,FALSE),IF(N720=MappingTables!$C$16,VLOOKUP(J720,ModelParameters!$P$8:$Q$15,2,FALSE),0)))</f>
        <v>1</v>
      </c>
      <c r="P720" s="73">
        <f>IF(OR(I720=0,I720=$A$1),0,MIN(O720*M720,1)*K720)</f>
        <v>58.656652804662736</v>
      </c>
      <c r="Q720" s="73">
        <f>IF(B720="",0,IF(OR(H720=MappingTables!$C$34,H720=MappingTables!$C$35),P720,0))</f>
        <v>0</v>
      </c>
      <c r="R720" s="73">
        <f>IF(ISNA(IF(AND(VLOOKUP(CONCATENATE($D720,$G720),CSRFinput!$B:$E,4,0)=0,OR(H720=MappingTables!$C$31,H720=MappingTables!$C$32)),1,VLOOKUP(CONCATENATE($D720,$G720),CSRFinput!$B:$E,4,0))),0,IF(AND(VLOOKUP(CONCATENATE($D720,$G720),CSRFinput!$B:$E,4,0)=0,OR(H720=MappingTables!$C$31,H720=MappingTables!$C$32)),1,VLOOKUP(CONCATENATE($D720,$G720),CSRFinput!$B:$E,4,0)))</f>
        <v>0.054776304963434752</v>
      </c>
      <c r="S720" s="73">
        <f>IF(B720="",0,P720*R720)</f>
        <v>3.2129947021625164</v>
      </c>
      <c r="T720" s="85">
        <f>IF(B720="",0,IF(OR(H720=MappingTables!$C$34,H720=MappingTables!$C$35),S720,0))</f>
        <v>0</v>
      </c>
    </row>
    <row r="721" spans="2:20" s="0" customFormat="0" ht="15">
      <c r="B721" s="69" t="s">
        <v>4093</v>
      </c>
      <c r="C721" s="70" t="s">
        <v>4094</v>
      </c>
      <c r="D721" s="70" t="s">
        <v>1</v>
      </c>
      <c r="E721" s="70" t="s">
        <v>1</v>
      </c>
      <c r="F721" s="70"/>
      <c r="G721" s="70" t="s">
        <v>61</v>
      </c>
      <c r="H721" s="70" t="s">
        <v>178</v>
      </c>
      <c r="I721" s="70" t="s">
        <v>3298</v>
      </c>
      <c r="J721" s="71">
        <f>IF(OR(I721=0,I721=""),"unrated",VLOOKUP(I721,MappingTables!$B$19:$C$31,2,FALSE))</f>
        <v>6</v>
      </c>
      <c r="K721" s="72">
        <v>0.98421421343406144</v>
      </c>
      <c r="L721" s="70">
        <v>0.043137373756646416</v>
      </c>
      <c r="M721" s="71">
        <f>IF(L721&lt;1,1,L721)</f>
        <v>1</v>
      </c>
      <c r="N721" s="70" t="s">
        <v>3288</v>
      </c>
      <c r="O721" s="71">
        <f>IF(OR(I721=$A$1,I721=0),"",IF(N721=MappingTables!$C$14,VLOOKUP(J721,ModelParameters!$M$8:$N$15,2,FALSE),IF(N721=MappingTables!$C$16,VLOOKUP(J721,ModelParameters!$P$8:$Q$15,2,FALSE),0)))</f>
        <v>1</v>
      </c>
      <c r="P721" s="73">
        <f>IF(OR(I721=0,I721=$A$1),0,MIN(O721*M721,1)*K721)</f>
        <v>0.98421421343406144</v>
      </c>
      <c r="Q721" s="73">
        <f>IF(B721="",0,IF(OR(H721=MappingTables!$C$34,H721=MappingTables!$C$35),P721,0))</f>
        <v>0</v>
      </c>
      <c r="R721" s="73">
        <f>IF(ISNA(IF(AND(VLOOKUP(CONCATENATE($D721,$G721),CSRFinput!$B:$E,4,0)=0,OR(H721=MappingTables!$C$31,H721=MappingTables!$C$32)),1,VLOOKUP(CONCATENATE($D721,$G721),CSRFinput!$B:$E,4,0))),0,IF(AND(VLOOKUP(CONCATENATE($D721,$G721),CSRFinput!$B:$E,4,0)=0,OR(H721=MappingTables!$C$31,H721=MappingTables!$C$32)),1,VLOOKUP(CONCATENATE($D721,$G721),CSRFinput!$B:$E,4,0)))</f>
        <v>0.054776304963434752</v>
      </c>
      <c r="S721" s="73">
        <f>IF(B721="",0,P721*R721)</f>
        <v>0.053911617904411216</v>
      </c>
      <c r="T721" s="85">
        <f>IF(B721="",0,IF(OR(H721=MappingTables!$C$34,H721=MappingTables!$C$35),S721,0))</f>
        <v>0</v>
      </c>
    </row>
    <row r="722" spans="2:20" s="0" customFormat="0" ht="15">
      <c r="B722" s="69" t="s">
        <v>3449</v>
      </c>
      <c r="C722" s="70" t="s">
        <v>3450</v>
      </c>
      <c r="D722" s="70" t="s">
        <v>1</v>
      </c>
      <c r="E722" s="70" t="s">
        <v>1</v>
      </c>
      <c r="F722" s="70"/>
      <c r="G722" s="70" t="s">
        <v>61</v>
      </c>
      <c r="H722" s="70" t="s">
        <v>178</v>
      </c>
      <c r="I722" s="70" t="s">
        <v>198</v>
      </c>
      <c r="J722" s="71" t="str">
        <f>IF(OR(I722=0,I722=""),"unrated",VLOOKUP(I722,MappingTables!$B$19:$C$31,2,FALSE))</f>
        <v>unrated</v>
      </c>
      <c r="K722" s="72">
        <v>38.576746689231096</v>
      </c>
      <c r="L722" s="70">
        <v>0.0684962900676548</v>
      </c>
      <c r="M722" s="71">
        <f>IF(L722&lt;1,1,L722)</f>
        <v>1</v>
      </c>
      <c r="N722" s="70" t="s">
        <v>3288</v>
      </c>
      <c r="O722" s="71">
        <f>IF(OR(I722=$A$1,I722=0),"",IF(N722=MappingTables!$C$14,VLOOKUP(J722,ModelParameters!$M$8:$N$15,2,FALSE),IF(N722=MappingTables!$C$16,VLOOKUP(J722,ModelParameters!$P$8:$Q$15,2,FALSE),0)))</f>
        <v>1</v>
      </c>
      <c r="P722" s="73">
        <f>IF(OR(I722=0,I722=$A$1),0,MIN(O722*M722,1)*K722)</f>
        <v>38.576746689231096</v>
      </c>
      <c r="Q722" s="73">
        <f>IF(B722="",0,IF(OR(H722=MappingTables!$C$34,H722=MappingTables!$C$35),P722,0))</f>
        <v>0</v>
      </c>
      <c r="R722" s="73">
        <f>IF(ISNA(IF(AND(VLOOKUP(CONCATENATE($D722,$G722),CSRFinput!$B:$E,4,0)=0,OR(H722=MappingTables!$C$31,H722=MappingTables!$C$32)),1,VLOOKUP(CONCATENATE($D722,$G722),CSRFinput!$B:$E,4,0))),0,IF(AND(VLOOKUP(CONCATENATE($D722,$G722),CSRFinput!$B:$E,4,0)=0,OR(H722=MappingTables!$C$31,H722=MappingTables!$C$32)),1,VLOOKUP(CONCATENATE($D722,$G722),CSRFinput!$B:$E,4,0)))</f>
        <v>0.054776304963434752</v>
      </c>
      <c r="S722" s="73">
        <f>IF(B722="",0,P722*R722)</f>
        <v>2.1130916411464944</v>
      </c>
      <c r="T722" s="85">
        <f>IF(B722="",0,IF(OR(H722=MappingTables!$C$34,H722=MappingTables!$C$35),S722,0))</f>
        <v>0</v>
      </c>
    </row>
    <row r="723" spans="2:20" s="0" customFormat="0" ht="15">
      <c r="B723" s="69">
        <v>7065943</v>
      </c>
      <c r="C723" s="70" t="s">
        <v>4307</v>
      </c>
      <c r="D723" s="70" t="s">
        <v>1</v>
      </c>
      <c r="E723" s="70" t="s">
        <v>1</v>
      </c>
      <c r="F723" s="70"/>
      <c r="G723" s="70" t="s">
        <v>61</v>
      </c>
      <c r="H723" s="70" t="s">
        <v>178</v>
      </c>
      <c r="I723" s="70" t="s">
        <v>216</v>
      </c>
      <c r="J723" s="71">
        <f>IF(OR(I723=0,I723=""),"unrated",VLOOKUP(I723,MappingTables!$B$19:$C$31,2,FALSE))</f>
        <v>0</v>
      </c>
      <c r="K723" s="72">
        <v>5.1350752975522768</v>
      </c>
      <c r="L723" s="70">
        <v>0.077626940408227312</v>
      </c>
      <c r="M723" s="71">
        <f>IF(L723&lt;1,1,L723)</f>
        <v>1</v>
      </c>
      <c r="N723" s="70" t="s">
        <v>3288</v>
      </c>
      <c r="O723" s="71">
        <f>IF(OR(I723=$A$1,I723=0),"",IF(N723=MappingTables!$C$14,VLOOKUP(J723,ModelParameters!$M$8:$N$15,2,FALSE),IF(N723=MappingTables!$C$16,VLOOKUP(J723,ModelParameters!$P$8:$Q$15,2,FALSE),0)))</f>
        <v>0.125</v>
      </c>
      <c r="P723" s="73">
        <f>IF(OR(I723=0,I723=$A$1),0,MIN(O723*M723,1)*K723)</f>
        <v>0.64188441219403456</v>
      </c>
      <c r="Q723" s="73">
        <f>IF(B723="",0,IF(OR(H723=MappingTables!$C$34,H723=MappingTables!$C$35),P723,0))</f>
        <v>0</v>
      </c>
      <c r="R723" s="73">
        <f>IF(ISNA(IF(AND(VLOOKUP(CONCATENATE($D723,$G723),CSRFinput!$B:$E,4,0)=0,OR(H723=MappingTables!$C$31,H723=MappingTables!$C$32)),1,VLOOKUP(CONCATENATE($D723,$G723),CSRFinput!$B:$E,4,0))),0,IF(AND(VLOOKUP(CONCATENATE($D723,$G723),CSRFinput!$B:$E,4,0)=0,OR(H723=MappingTables!$C$31,H723=MappingTables!$C$32)),1,VLOOKUP(CONCATENATE($D723,$G723),CSRFinput!$B:$E,4,0)))</f>
        <v>0.054776304963434752</v>
      </c>
      <c r="S723" s="73">
        <f>IF(B723="",0,P723*R723)</f>
        <v>0.035160056313615496</v>
      </c>
      <c r="T723" s="85">
        <f>IF(B723="",0,IF(OR(H723=MappingTables!$C$34,H723=MappingTables!$C$35),S723,0))</f>
        <v>0</v>
      </c>
    </row>
    <row r="724" spans="2:20" s="0" customFormat="0" ht="15">
      <c r="B724" s="69" t="s">
        <v>4308</v>
      </c>
      <c r="C724" s="70" t="s">
        <v>4309</v>
      </c>
      <c r="D724" s="70" t="s">
        <v>1</v>
      </c>
      <c r="E724" s="70" t="s">
        <v>1</v>
      </c>
      <c r="F724" s="70"/>
      <c r="G724" s="70" t="s">
        <v>61</v>
      </c>
      <c r="H724" s="70" t="s">
        <v>178</v>
      </c>
      <c r="I724" s="70" t="s">
        <v>204</v>
      </c>
      <c r="J724" s="71">
        <f>IF(OR(I724=0,I724=""),"unrated",VLOOKUP(I724,MappingTables!$B$19:$C$31,2,FALSE))</f>
        <v>6</v>
      </c>
      <c r="K724" s="72">
        <v>187.25395566364524</v>
      </c>
      <c r="L724" s="70">
        <v>0.068495390125202048</v>
      </c>
      <c r="M724" s="71">
        <f>IF(L724&lt;1,1,L724)</f>
        <v>1</v>
      </c>
      <c r="N724" s="70" t="s">
        <v>3288</v>
      </c>
      <c r="O724" s="71">
        <f>IF(OR(I724=$A$1,I724=0),"",IF(N724=MappingTables!$C$14,VLOOKUP(J724,ModelParameters!$M$8:$N$15,2,FALSE),IF(N724=MappingTables!$C$16,VLOOKUP(J724,ModelParameters!$P$8:$Q$15,2,FALSE),0)))</f>
        <v>1</v>
      </c>
      <c r="P724" s="73">
        <f>IF(OR(I724=0,I724=$A$1),0,MIN(O724*M724,1)*K724)</f>
        <v>187.25395566364524</v>
      </c>
      <c r="Q724" s="73">
        <f>IF(B724="",0,IF(OR(H724=MappingTables!$C$34,H724=MappingTables!$C$35),P724,0))</f>
        <v>0</v>
      </c>
      <c r="R724" s="73">
        <f>IF(ISNA(IF(AND(VLOOKUP(CONCATENATE($D724,$G724),CSRFinput!$B:$E,4,0)=0,OR(H724=MappingTables!$C$31,H724=MappingTables!$C$32)),1,VLOOKUP(CONCATENATE($D724,$G724),CSRFinput!$B:$E,4,0))),0,IF(AND(VLOOKUP(CONCATENATE($D724,$G724),CSRFinput!$B:$E,4,0)=0,OR(H724=MappingTables!$C$31,H724=MappingTables!$C$32)),1,VLOOKUP(CONCATENATE($D724,$G724),CSRFinput!$B:$E,4,0)))</f>
        <v>0.054776304963434752</v>
      </c>
      <c r="S724" s="73">
        <f>IF(B724="",0,P724*R724)</f>
        <v>10.257079781041324</v>
      </c>
      <c r="T724" s="85">
        <f>IF(B724="",0,IF(OR(H724=MappingTables!$C$34,H724=MappingTables!$C$35),S724,0))</f>
        <v>0</v>
      </c>
    </row>
    <row r="725" spans="2:20" s="0" customFormat="0" ht="15">
      <c r="B725" s="69">
        <v>9460743</v>
      </c>
      <c r="C725" s="70" t="s">
        <v>3802</v>
      </c>
      <c r="D725" s="70" t="s">
        <v>1</v>
      </c>
      <c r="E725" s="70" t="s">
        <v>1</v>
      </c>
      <c r="F725" s="70"/>
      <c r="G725" s="70" t="s">
        <v>61</v>
      </c>
      <c r="H725" s="70" t="s">
        <v>178</v>
      </c>
      <c r="I725" s="70" t="s">
        <v>216</v>
      </c>
      <c r="J725" s="71">
        <f>IF(OR(I725=0,I725=""),"unrated",VLOOKUP(I725,MappingTables!$B$19:$C$31,2,FALSE))</f>
        <v>0</v>
      </c>
      <c r="K725" s="72">
        <v>523.60433620125288</v>
      </c>
      <c r="L725" s="70">
        <v>3.492623231055044</v>
      </c>
      <c r="M725" s="71">
        <f>IF(L725&lt;1,1,L725)</f>
        <v>3.492623231055044</v>
      </c>
      <c r="N725" s="70" t="s">
        <v>3288</v>
      </c>
      <c r="O725" s="71">
        <f>IF(OR(I725=$A$1,I725=0),"",IF(N725=MappingTables!$C$14,VLOOKUP(J725,ModelParameters!$M$8:$N$15,2,FALSE),IF(N725=MappingTables!$C$16,VLOOKUP(J725,ModelParameters!$P$8:$Q$15,2,FALSE),0)))</f>
        <v>0.125</v>
      </c>
      <c r="P725" s="73">
        <f>IF(OR(I725=0,I725=$A$1),0,MIN(O725*M725,1)*K725)</f>
        <v>228.5940835622064</v>
      </c>
      <c r="Q725" s="73">
        <f>IF(B725="",0,IF(OR(H725=MappingTables!$C$34,H725=MappingTables!$C$35),P725,0))</f>
        <v>0</v>
      </c>
      <c r="R725" s="73">
        <f>IF(ISNA(IF(AND(VLOOKUP(CONCATENATE($D725,$G725),CSRFinput!$B:$E,4,0)=0,OR(H725=MappingTables!$C$31,H725=MappingTables!$C$32)),1,VLOOKUP(CONCATENATE($D725,$G725),CSRFinput!$B:$E,4,0))),0,IF(AND(VLOOKUP(CONCATENATE($D725,$G725),CSRFinput!$B:$E,4,0)=0,OR(H725=MappingTables!$C$31,H725=MappingTables!$C$32)),1,VLOOKUP(CONCATENATE($D725,$G725),CSRFinput!$B:$E,4,0)))</f>
        <v>0.054776304963434752</v>
      </c>
      <c r="S725" s="73">
        <f>IF(B725="",0,P725*R725)</f>
        <v>12.521539234040306</v>
      </c>
      <c r="T725" s="85">
        <f>IF(B725="",0,IF(OR(H725=MappingTables!$C$34,H725=MappingTables!$C$35),S725,0))</f>
        <v>0</v>
      </c>
    </row>
    <row r="726" spans="2:20" s="0" customFormat="0" ht="15">
      <c r="B726" s="69">
        <v>6388757</v>
      </c>
      <c r="C726" s="70" t="s">
        <v>4310</v>
      </c>
      <c r="D726" s="70" t="s">
        <v>1</v>
      </c>
      <c r="E726" s="70" t="s">
        <v>1</v>
      </c>
      <c r="F726" s="70"/>
      <c r="G726" s="70" t="s">
        <v>61</v>
      </c>
      <c r="H726" s="70" t="s">
        <v>178</v>
      </c>
      <c r="I726" s="70" t="s">
        <v>3298</v>
      </c>
      <c r="J726" s="71">
        <f>IF(OR(I726=0,I726=""),"unrated",VLOOKUP(I726,MappingTables!$B$19:$C$31,2,FALSE))</f>
        <v>6</v>
      </c>
      <c r="K726" s="72">
        <v>97.532825606468896</v>
      </c>
      <c r="L726" s="70">
        <v>0.06849311985655224</v>
      </c>
      <c r="M726" s="71">
        <f>IF(L726&lt;1,1,L726)</f>
        <v>1</v>
      </c>
      <c r="N726" s="70" t="s">
        <v>3288</v>
      </c>
      <c r="O726" s="71">
        <f>IF(OR(I726=$A$1,I726=0),"",IF(N726=MappingTables!$C$14,VLOOKUP(J726,ModelParameters!$M$8:$N$15,2,FALSE),IF(N726=MappingTables!$C$16,VLOOKUP(J726,ModelParameters!$P$8:$Q$15,2,FALSE),0)))</f>
        <v>1</v>
      </c>
      <c r="P726" s="73">
        <f>IF(OR(I726=0,I726=$A$1),0,MIN(O726*M726,1)*K726)</f>
        <v>97.532825606468896</v>
      </c>
      <c r="Q726" s="73">
        <f>IF(B726="",0,IF(OR(H726=MappingTables!$C$34,H726=MappingTables!$C$35),P726,0))</f>
        <v>0</v>
      </c>
      <c r="R726" s="73">
        <f>IF(ISNA(IF(AND(VLOOKUP(CONCATENATE($D726,$G726),CSRFinput!$B:$E,4,0)=0,OR(H726=MappingTables!$C$31,H726=MappingTables!$C$32)),1,VLOOKUP(CONCATENATE($D726,$G726),CSRFinput!$B:$E,4,0))),0,IF(AND(VLOOKUP(CONCATENATE($D726,$G726),CSRFinput!$B:$E,4,0)=0,OR(H726=MappingTables!$C$31,H726=MappingTables!$C$32)),1,VLOOKUP(CONCATENATE($D726,$G726),CSRFinput!$B:$E,4,0)))</f>
        <v>0.054776304963434752</v>
      </c>
      <c r="S726" s="73">
        <f>IF(B726="",0,P726*R726)</f>
        <v>5.3424877993654384</v>
      </c>
      <c r="T726" s="85">
        <f>IF(B726="",0,IF(OR(H726=MappingTables!$C$34,H726=MappingTables!$C$35),S726,0))</f>
        <v>0</v>
      </c>
    </row>
    <row r="727" spans="2:20" s="0" customFormat="0" ht="15">
      <c r="B727" s="69">
        <v>16974607</v>
      </c>
      <c r="C727" s="70" t="s">
        <v>4311</v>
      </c>
      <c r="D727" s="70" t="s">
        <v>1</v>
      </c>
      <c r="E727" s="70" t="s">
        <v>1</v>
      </c>
      <c r="F727" s="70"/>
      <c r="G727" s="70" t="s">
        <v>61</v>
      </c>
      <c r="H727" s="70" t="s">
        <v>178</v>
      </c>
      <c r="I727" s="70" t="s">
        <v>216</v>
      </c>
      <c r="J727" s="71">
        <f>IF(OR(I727=0,I727=""),"unrated",VLOOKUP(I727,MappingTables!$B$19:$C$31,2,FALSE))</f>
        <v>0</v>
      </c>
      <c r="K727" s="72">
        <v>231.544294822642</v>
      </c>
      <c r="L727" s="70">
        <v>0.058970380607041336</v>
      </c>
      <c r="M727" s="71">
        <f>IF(L727&lt;1,1,L727)</f>
        <v>1</v>
      </c>
      <c r="N727" s="70" t="s">
        <v>3288</v>
      </c>
      <c r="O727" s="71">
        <f>IF(OR(I727=$A$1,I727=0),"",IF(N727=MappingTables!$C$14,VLOOKUP(J727,ModelParameters!$M$8:$N$15,2,FALSE),IF(N727=MappingTables!$C$16,VLOOKUP(J727,ModelParameters!$P$8:$Q$15,2,FALSE),0)))</f>
        <v>0.125</v>
      </c>
      <c r="P727" s="73">
        <f>IF(OR(I727=0,I727=$A$1),0,MIN(O727*M727,1)*K727)</f>
        <v>28.943036852830252</v>
      </c>
      <c r="Q727" s="73">
        <f>IF(B727="",0,IF(OR(H727=MappingTables!$C$34,H727=MappingTables!$C$35),P727,0))</f>
        <v>0</v>
      </c>
      <c r="R727" s="73">
        <f>IF(ISNA(IF(AND(VLOOKUP(CONCATENATE($D727,$G727),CSRFinput!$B:$E,4,0)=0,OR(H727=MappingTables!$C$31,H727=MappingTables!$C$32)),1,VLOOKUP(CONCATENATE($D727,$G727),CSRFinput!$B:$E,4,0))),0,IF(AND(VLOOKUP(CONCATENATE($D727,$G727),CSRFinput!$B:$E,4,0)=0,OR(H727=MappingTables!$C$31,H727=MappingTables!$C$32)),1,VLOOKUP(CONCATENATE($D727,$G727),CSRFinput!$B:$E,4,0)))</f>
        <v>0.054776304963434752</v>
      </c>
      <c r="S727" s="73">
        <f>IF(B727="",0,P727*R727)</f>
        <v>1.5853926132185606</v>
      </c>
      <c r="T727" s="85">
        <f>IF(B727="",0,IF(OR(H727=MappingTables!$C$34,H727=MappingTables!$C$35),S727,0))</f>
        <v>0</v>
      </c>
    </row>
    <row r="728" spans="2:20" s="0" customFormat="0" ht="15">
      <c r="B728" s="69" t="s">
        <v>4312</v>
      </c>
      <c r="C728" s="70" t="s">
        <v>4313</v>
      </c>
      <c r="D728" s="70" t="s">
        <v>1</v>
      </c>
      <c r="E728" s="70" t="s">
        <v>1</v>
      </c>
      <c r="F728" s="70"/>
      <c r="G728" s="70" t="s">
        <v>61</v>
      </c>
      <c r="H728" s="70" t="s">
        <v>178</v>
      </c>
      <c r="I728" s="70" t="s">
        <v>198</v>
      </c>
      <c r="J728" s="71" t="str">
        <f>IF(OR(I728=0,I728=""),"unrated",VLOOKUP(I728,MappingTables!$B$19:$C$31,2,FALSE))</f>
        <v>unrated</v>
      </c>
      <c r="K728" s="72">
        <v>25.432471375864608</v>
      </c>
      <c r="L728" s="70">
        <v>-0.3292950031948672</v>
      </c>
      <c r="M728" s="71">
        <f>IF(L728&lt;1,1,L728)</f>
        <v>1</v>
      </c>
      <c r="N728" s="70" t="s">
        <v>3288</v>
      </c>
      <c r="O728" s="71">
        <f>IF(OR(I728=$A$1,I728=0),"",IF(N728=MappingTables!$C$14,VLOOKUP(J728,ModelParameters!$M$8:$N$15,2,FALSE),IF(N728=MappingTables!$C$16,VLOOKUP(J728,ModelParameters!$P$8:$Q$15,2,FALSE),0)))</f>
        <v>1</v>
      </c>
      <c r="P728" s="73">
        <f>IF(OR(I728=0,I728=$A$1),0,MIN(O728*M728,1)*K728)</f>
        <v>25.432471375864608</v>
      </c>
      <c r="Q728" s="73">
        <f>IF(B728="",0,IF(OR(H728=MappingTables!$C$34,H728=MappingTables!$C$35),P728,0))</f>
        <v>0</v>
      </c>
      <c r="R728" s="73">
        <f>IF(ISNA(IF(AND(VLOOKUP(CONCATENATE($D728,$G728),CSRFinput!$B:$E,4,0)=0,OR(H728=MappingTables!$C$31,H728=MappingTables!$C$32)),1,VLOOKUP(CONCATENATE($D728,$G728),CSRFinput!$B:$E,4,0))),0,IF(AND(VLOOKUP(CONCATENATE($D728,$G728),CSRFinput!$B:$E,4,0)=0,OR(H728=MappingTables!$C$31,H728=MappingTables!$C$32)),1,VLOOKUP(CONCATENATE($D728,$G728),CSRFinput!$B:$E,4,0)))</f>
        <v>0.054776304963434752</v>
      </c>
      <c r="S728" s="73">
        <f>IF(B728="",0,P728*R728)</f>
        <v>1.393096808058185</v>
      </c>
      <c r="T728" s="85">
        <f>IF(B728="",0,IF(OR(H728=MappingTables!$C$34,H728=MappingTables!$C$35),S728,0))</f>
        <v>0</v>
      </c>
    </row>
    <row r="729" spans="2:20" s="0" customFormat="0" ht="15">
      <c r="B729" s="69" t="s">
        <v>4314</v>
      </c>
      <c r="C729" s="70" t="s">
        <v>4315</v>
      </c>
      <c r="D729" s="70" t="s">
        <v>1</v>
      </c>
      <c r="E729" s="70" t="s">
        <v>1</v>
      </c>
      <c r="F729" s="70"/>
      <c r="G729" s="70" t="s">
        <v>61</v>
      </c>
      <c r="H729" s="70" t="s">
        <v>178</v>
      </c>
      <c r="I729" s="70" t="s">
        <v>204</v>
      </c>
      <c r="J729" s="71">
        <f>IF(OR(I729=0,I729=""),"unrated",VLOOKUP(I729,MappingTables!$B$19:$C$31,2,FALSE))</f>
        <v>6</v>
      </c>
      <c r="K729" s="72">
        <v>766.17016839443984</v>
      </c>
      <c r="L729" s="70">
        <v>0.63817545310739824</v>
      </c>
      <c r="M729" s="71">
        <f>IF(L729&lt;1,1,L729)</f>
        <v>1</v>
      </c>
      <c r="N729" s="70" t="s">
        <v>3288</v>
      </c>
      <c r="O729" s="71">
        <f>IF(OR(I729=$A$1,I729=0),"",IF(N729=MappingTables!$C$14,VLOOKUP(J729,ModelParameters!$M$8:$N$15,2,FALSE),IF(N729=MappingTables!$C$16,VLOOKUP(J729,ModelParameters!$P$8:$Q$15,2,FALSE),0)))</f>
        <v>1</v>
      </c>
      <c r="P729" s="73">
        <f>IF(OR(I729=0,I729=$A$1),0,MIN(O729*M729,1)*K729)</f>
        <v>766.17016839443984</v>
      </c>
      <c r="Q729" s="73">
        <f>IF(B729="",0,IF(OR(H729=MappingTables!$C$34,H729=MappingTables!$C$35),P729,0))</f>
        <v>0</v>
      </c>
      <c r="R729" s="73">
        <f>IF(ISNA(IF(AND(VLOOKUP(CONCATENATE($D729,$G729),CSRFinput!$B:$E,4,0)=0,OR(H729=MappingTables!$C$31,H729=MappingTables!$C$32)),1,VLOOKUP(CONCATENATE($D729,$G729),CSRFinput!$B:$E,4,0))),0,IF(AND(VLOOKUP(CONCATENATE($D729,$G729),CSRFinput!$B:$E,4,0)=0,OR(H729=MappingTables!$C$31,H729=MappingTables!$C$32)),1,VLOOKUP(CONCATENATE($D729,$G729),CSRFinput!$B:$E,4,0)))</f>
        <v>0.054776304963434752</v>
      </c>
      <c r="S729" s="73">
        <f>IF(B729="",0,P729*R729)</f>
        <v>41.967970797859992</v>
      </c>
      <c r="T729" s="85">
        <f>IF(B729="",0,IF(OR(H729=MappingTables!$C$34,H729=MappingTables!$C$35),S729,0))</f>
        <v>0</v>
      </c>
    </row>
    <row r="730" spans="2:20" s="0" customFormat="0" ht="15">
      <c r="B730" s="69" t="s">
        <v>4316</v>
      </c>
      <c r="C730" s="70" t="s">
        <v>4317</v>
      </c>
      <c r="D730" s="70" t="s">
        <v>1</v>
      </c>
      <c r="E730" s="70" t="s">
        <v>1</v>
      </c>
      <c r="F730" s="70"/>
      <c r="G730" s="70" t="s">
        <v>61</v>
      </c>
      <c r="H730" s="70" t="s">
        <v>178</v>
      </c>
      <c r="I730" s="70" t="s">
        <v>3298</v>
      </c>
      <c r="J730" s="71">
        <f>IF(OR(I730=0,I730=""),"unrated",VLOOKUP(I730,MappingTables!$B$19:$C$31,2,FALSE))</f>
        <v>6</v>
      </c>
      <c r="K730" s="72">
        <v>149.93690911224122</v>
      </c>
      <c r="L730" s="70">
        <v>-0.47712535439763768</v>
      </c>
      <c r="M730" s="71">
        <f>IF(L730&lt;1,1,L730)</f>
        <v>1</v>
      </c>
      <c r="N730" s="70" t="s">
        <v>3288</v>
      </c>
      <c r="O730" s="71">
        <f>IF(OR(I730=$A$1,I730=0),"",IF(N730=MappingTables!$C$14,VLOOKUP(J730,ModelParameters!$M$8:$N$15,2,FALSE),IF(N730=MappingTables!$C$16,VLOOKUP(J730,ModelParameters!$P$8:$Q$15,2,FALSE),0)))</f>
        <v>1</v>
      </c>
      <c r="P730" s="73">
        <f>IF(OR(I730=0,I730=$A$1),0,MIN(O730*M730,1)*K730)</f>
        <v>149.93690911224122</v>
      </c>
      <c r="Q730" s="73">
        <f>IF(B730="",0,IF(OR(H730=MappingTables!$C$34,H730=MappingTables!$C$35),P730,0))</f>
        <v>0</v>
      </c>
      <c r="R730" s="73">
        <f>IF(ISNA(IF(AND(VLOOKUP(CONCATENATE($D730,$G730),CSRFinput!$B:$E,4,0)=0,OR(H730=MappingTables!$C$31,H730=MappingTables!$C$32)),1,VLOOKUP(CONCATENATE($D730,$G730),CSRFinput!$B:$E,4,0))),0,IF(AND(VLOOKUP(CONCATENATE($D730,$G730),CSRFinput!$B:$E,4,0)=0,OR(H730=MappingTables!$C$31,H730=MappingTables!$C$32)),1,VLOOKUP(CONCATENATE($D730,$G730),CSRFinput!$B:$E,4,0)))</f>
        <v>0.054776304963434752</v>
      </c>
      <c r="S730" s="73">
        <f>IF(B730="",0,P730*R730)</f>
        <v>8.2129898588069248</v>
      </c>
      <c r="T730" s="85">
        <f>IF(B730="",0,IF(OR(H730=MappingTables!$C$34,H730=MappingTables!$C$35),S730,0))</f>
        <v>0</v>
      </c>
    </row>
    <row r="731" spans="2:20" s="0" customFormat="0" ht="15">
      <c r="B731" s="69" t="s">
        <v>4318</v>
      </c>
      <c r="C731" s="70" t="s">
        <v>4319</v>
      </c>
      <c r="D731" s="70" t="s">
        <v>1</v>
      </c>
      <c r="E731" s="70" t="s">
        <v>1</v>
      </c>
      <c r="F731" s="70"/>
      <c r="G731" s="70" t="s">
        <v>61</v>
      </c>
      <c r="H731" s="70" t="s">
        <v>178</v>
      </c>
      <c r="I731" s="70" t="s">
        <v>198</v>
      </c>
      <c r="J731" s="71" t="str">
        <f>IF(OR(I731=0,I731=""),"unrated",VLOOKUP(I731,MappingTables!$B$19:$C$31,2,FALSE))</f>
        <v>unrated</v>
      </c>
      <c r="K731" s="72">
        <v>19.52572998875588</v>
      </c>
      <c r="L731" s="70">
        <v>0.068494427296142232</v>
      </c>
      <c r="M731" s="71">
        <f>IF(L731&lt;1,1,L731)</f>
        <v>1</v>
      </c>
      <c r="N731" s="70" t="s">
        <v>3288</v>
      </c>
      <c r="O731" s="71">
        <f>IF(OR(I731=$A$1,I731=0),"",IF(N731=MappingTables!$C$14,VLOOKUP(J731,ModelParameters!$M$8:$N$15,2,FALSE),IF(N731=MappingTables!$C$16,VLOOKUP(J731,ModelParameters!$P$8:$Q$15,2,FALSE),0)))</f>
        <v>1</v>
      </c>
      <c r="P731" s="73">
        <f>IF(OR(I731=0,I731=$A$1),0,MIN(O731*M731,1)*K731)</f>
        <v>19.52572998875588</v>
      </c>
      <c r="Q731" s="73">
        <f>IF(B731="",0,IF(OR(H731=MappingTables!$C$34,H731=MappingTables!$C$35),P731,0))</f>
        <v>0</v>
      </c>
      <c r="R731" s="73">
        <f>IF(ISNA(IF(AND(VLOOKUP(CONCATENATE($D731,$G731),CSRFinput!$B:$E,4,0)=0,OR(H731=MappingTables!$C$31,H731=MappingTables!$C$32)),1,VLOOKUP(CONCATENATE($D731,$G731),CSRFinput!$B:$E,4,0))),0,IF(AND(VLOOKUP(CONCATENATE($D731,$G731),CSRFinput!$B:$E,4,0)=0,OR(H731=MappingTables!$C$31,H731=MappingTables!$C$32)),1,VLOOKUP(CONCATENATE($D731,$G731),CSRFinput!$B:$E,4,0)))</f>
        <v>0.054776304963434752</v>
      </c>
      <c r="S731" s="73">
        <f>IF(B731="",0,P731*R731)</f>
        <v>1.0695473404977756</v>
      </c>
      <c r="T731" s="85">
        <f>IF(B731="",0,IF(OR(H731=MappingTables!$C$34,H731=MappingTables!$C$35),S731,0))</f>
        <v>0</v>
      </c>
    </row>
    <row r="732" spans="2:20" s="0" customFormat="0" ht="15">
      <c r="B732" s="69">
        <v>24139078</v>
      </c>
      <c r="C732" s="70" t="s">
        <v>4320</v>
      </c>
      <c r="D732" s="70" t="s">
        <v>1</v>
      </c>
      <c r="E732" s="70" t="s">
        <v>1</v>
      </c>
      <c r="F732" s="70"/>
      <c r="G732" s="70" t="s">
        <v>61</v>
      </c>
      <c r="H732" s="70" t="s">
        <v>178</v>
      </c>
      <c r="I732" s="70" t="s">
        <v>216</v>
      </c>
      <c r="J732" s="71">
        <f>IF(OR(I732=0,I732=""),"unrated",VLOOKUP(I732,MappingTables!$B$19:$C$31,2,FALSE))</f>
        <v>0</v>
      </c>
      <c r="K732" s="72">
        <v>643.00455496684176</v>
      </c>
      <c r="L732" s="70">
        <v>4.0805713026963896</v>
      </c>
      <c r="M732" s="71">
        <f>IF(L732&lt;1,1,L732)</f>
        <v>4.0805713026963896</v>
      </c>
      <c r="N732" s="70" t="s">
        <v>3288</v>
      </c>
      <c r="O732" s="71">
        <f>IF(OR(I732=$A$1,I732=0),"",IF(N732=MappingTables!$C$14,VLOOKUP(J732,ModelParameters!$M$8:$N$15,2,FALSE),IF(N732=MappingTables!$C$16,VLOOKUP(J732,ModelParameters!$P$8:$Q$15,2,FALSE),0)))</f>
        <v>0.125</v>
      </c>
      <c r="P732" s="73">
        <f>IF(OR(I732=0,I732=$A$1),0,MIN(O732*M732,1)*K732)</f>
        <v>327.97824181259472</v>
      </c>
      <c r="Q732" s="73">
        <f>IF(B732="",0,IF(OR(H732=MappingTables!$C$34,H732=MappingTables!$C$35),P732,0))</f>
        <v>0</v>
      </c>
      <c r="R732" s="73">
        <f>IF(ISNA(IF(AND(VLOOKUP(CONCATENATE($D732,$G732),CSRFinput!$B:$E,4,0)=0,OR(H732=MappingTables!$C$31,H732=MappingTables!$C$32)),1,VLOOKUP(CONCATENATE($D732,$G732),CSRFinput!$B:$E,4,0))),0,IF(AND(VLOOKUP(CONCATENATE($D732,$G732),CSRFinput!$B:$E,4,0)=0,OR(H732=MappingTables!$C$31,H732=MappingTables!$C$32)),1,VLOOKUP(CONCATENATE($D732,$G732),CSRFinput!$B:$E,4,0)))</f>
        <v>0.054776304963434752</v>
      </c>
      <c r="S732" s="73">
        <f>IF(B732="",0,P732*R732)</f>
        <v>17.965436194897836</v>
      </c>
      <c r="T732" s="85">
        <f>IF(B732="",0,IF(OR(H732=MappingTables!$C$34,H732=MappingTables!$C$35),S732,0))</f>
        <v>0</v>
      </c>
    </row>
    <row r="733" spans="2:20" s="0" customFormat="0" ht="15">
      <c r="B733" s="69" t="s">
        <v>4321</v>
      </c>
      <c r="C733" s="70" t="s">
        <v>4322</v>
      </c>
      <c r="D733" s="70" t="s">
        <v>1</v>
      </c>
      <c r="E733" s="70" t="s">
        <v>1</v>
      </c>
      <c r="F733" s="70"/>
      <c r="G733" s="70" t="s">
        <v>61</v>
      </c>
      <c r="H733" s="70" t="s">
        <v>178</v>
      </c>
      <c r="I733" s="70" t="s">
        <v>204</v>
      </c>
      <c r="J733" s="71">
        <f>IF(OR(I733=0,I733=""),"unrated",VLOOKUP(I733,MappingTables!$B$19:$C$31,2,FALSE))</f>
        <v>6</v>
      </c>
      <c r="K733" s="72">
        <v>28.725745192777144</v>
      </c>
      <c r="L733" s="70">
        <v>0.068494311003108096</v>
      </c>
      <c r="M733" s="71">
        <f>IF(L733&lt;1,1,L733)</f>
        <v>1</v>
      </c>
      <c r="N733" s="70" t="s">
        <v>3288</v>
      </c>
      <c r="O733" s="71">
        <f>IF(OR(I733=$A$1,I733=0),"",IF(N733=MappingTables!$C$14,VLOOKUP(J733,ModelParameters!$M$8:$N$15,2,FALSE),IF(N733=MappingTables!$C$16,VLOOKUP(J733,ModelParameters!$P$8:$Q$15,2,FALSE),0)))</f>
        <v>1</v>
      </c>
      <c r="P733" s="73">
        <f>IF(OR(I733=0,I733=$A$1),0,MIN(O733*M733,1)*K733)</f>
        <v>28.725745192777144</v>
      </c>
      <c r="Q733" s="73">
        <f>IF(B733="",0,IF(OR(H733=MappingTables!$C$34,H733=MappingTables!$C$35),P733,0))</f>
        <v>0</v>
      </c>
      <c r="R733" s="73">
        <f>IF(ISNA(IF(AND(VLOOKUP(CONCATENATE($D733,$G733),CSRFinput!$B:$E,4,0)=0,OR(H733=MappingTables!$C$31,H733=MappingTables!$C$32)),1,VLOOKUP(CONCATENATE($D733,$G733),CSRFinput!$B:$E,4,0))),0,IF(AND(VLOOKUP(CONCATENATE($D733,$G733),CSRFinput!$B:$E,4,0)=0,OR(H733=MappingTables!$C$31,H733=MappingTables!$C$32)),1,VLOOKUP(CONCATENATE($D733,$G733),CSRFinput!$B:$E,4,0)))</f>
        <v>0.054776304963434752</v>
      </c>
      <c r="S733" s="73">
        <f>IF(B733="",0,P733*R733)</f>
        <v>1.5734901789814806</v>
      </c>
      <c r="T733" s="85">
        <f>IF(B733="",0,IF(OR(H733=MappingTables!$C$34,H733=MappingTables!$C$35),S733,0))</f>
        <v>0</v>
      </c>
    </row>
    <row r="734" spans="2:20" s="0" customFormat="0" ht="15">
      <c r="B734" s="69">
        <v>22554542</v>
      </c>
      <c r="C734" s="70" t="s">
        <v>4323</v>
      </c>
      <c r="D734" s="70" t="s">
        <v>1</v>
      </c>
      <c r="E734" s="70" t="s">
        <v>1</v>
      </c>
      <c r="F734" s="70"/>
      <c r="G734" s="70" t="s">
        <v>61</v>
      </c>
      <c r="H734" s="70" t="s">
        <v>178</v>
      </c>
      <c r="I734" s="70" t="s">
        <v>198</v>
      </c>
      <c r="J734" s="71" t="str">
        <f>IF(OR(I734=0,I734=""),"unrated",VLOOKUP(I734,MappingTables!$B$19:$C$31,2,FALSE))</f>
        <v>unrated</v>
      </c>
      <c r="K734" s="72">
        <v>1264.6902662950806</v>
      </c>
      <c r="L734" s="70">
        <v>0.068492418516504256</v>
      </c>
      <c r="M734" s="71">
        <f>IF(L734&lt;1,1,L734)</f>
        <v>1</v>
      </c>
      <c r="N734" s="70" t="s">
        <v>3288</v>
      </c>
      <c r="O734" s="71">
        <f>IF(OR(I734=$A$1,I734=0),"",IF(N734=MappingTables!$C$14,VLOOKUP(J734,ModelParameters!$M$8:$N$15,2,FALSE),IF(N734=MappingTables!$C$16,VLOOKUP(J734,ModelParameters!$P$8:$Q$15,2,FALSE),0)))</f>
        <v>1</v>
      </c>
      <c r="P734" s="73">
        <f>IF(OR(I734=0,I734=$A$1),0,MIN(O734*M734,1)*K734)</f>
        <v>1264.6902662950806</v>
      </c>
      <c r="Q734" s="73">
        <f>IF(B734="",0,IF(OR(H734=MappingTables!$C$34,H734=MappingTables!$C$35),P734,0))</f>
        <v>0</v>
      </c>
      <c r="R734" s="73">
        <f>IF(ISNA(IF(AND(VLOOKUP(CONCATENATE($D734,$G734),CSRFinput!$B:$E,4,0)=0,OR(H734=MappingTables!$C$31,H734=MappingTables!$C$32)),1,VLOOKUP(CONCATENATE($D734,$G734),CSRFinput!$B:$E,4,0))),0,IF(AND(VLOOKUP(CONCATENATE($D734,$G734),CSRFinput!$B:$E,4,0)=0,OR(H734=MappingTables!$C$31,H734=MappingTables!$C$32)),1,VLOOKUP(CONCATENATE($D734,$G734),CSRFinput!$B:$E,4,0)))</f>
        <v>0.054776304963434752</v>
      </c>
      <c r="S734" s="73">
        <f>IF(B734="",0,P734*R734)</f>
        <v>69.27505971086684</v>
      </c>
      <c r="T734" s="85">
        <f>IF(B734="",0,IF(OR(H734=MappingTables!$C$34,H734=MappingTables!$C$35),S734,0))</f>
        <v>0</v>
      </c>
    </row>
    <row r="735" spans="2:20" s="0" customFormat="0" ht="15">
      <c r="B735" s="69" t="s">
        <v>4324</v>
      </c>
      <c r="C735" s="70" t="s">
        <v>4325</v>
      </c>
      <c r="D735" s="70" t="s">
        <v>1</v>
      </c>
      <c r="E735" s="70" t="s">
        <v>1</v>
      </c>
      <c r="F735" s="70"/>
      <c r="G735" s="70" t="s">
        <v>61</v>
      </c>
      <c r="H735" s="70" t="s">
        <v>178</v>
      </c>
      <c r="I735" s="70" t="s">
        <v>198</v>
      </c>
      <c r="J735" s="71" t="str">
        <f>IF(OR(I735=0,I735=""),"unrated",VLOOKUP(I735,MappingTables!$B$19:$C$31,2,FALSE))</f>
        <v>unrated</v>
      </c>
      <c r="K735" s="72">
        <v>6388.1560164082384</v>
      </c>
      <c r="L735" s="70">
        <v>6.5306615289709072</v>
      </c>
      <c r="M735" s="71">
        <f>IF(L735&lt;1,1,L735)</f>
        <v>6.5306615289709072</v>
      </c>
      <c r="N735" s="70" t="s">
        <v>3288</v>
      </c>
      <c r="O735" s="71">
        <f>IF(OR(I735=$A$1,I735=0),"",IF(N735=MappingTables!$C$14,VLOOKUP(J735,ModelParameters!$M$8:$N$15,2,FALSE),IF(N735=MappingTables!$C$16,VLOOKUP(J735,ModelParameters!$P$8:$Q$15,2,FALSE),0)))</f>
        <v>1</v>
      </c>
      <c r="P735" s="73">
        <f>IF(OR(I735=0,I735=$A$1),0,MIN(O735*M735,1)*K735)</f>
        <v>6388.1560164082384</v>
      </c>
      <c r="Q735" s="73">
        <f>IF(B735="",0,IF(OR(H735=MappingTables!$C$34,H735=MappingTables!$C$35),P735,0))</f>
        <v>0</v>
      </c>
      <c r="R735" s="73">
        <f>IF(ISNA(IF(AND(VLOOKUP(CONCATENATE($D735,$G735),CSRFinput!$B:$E,4,0)=0,OR(H735=MappingTables!$C$31,H735=MappingTables!$C$32)),1,VLOOKUP(CONCATENATE($D735,$G735),CSRFinput!$B:$E,4,0))),0,IF(AND(VLOOKUP(CONCATENATE($D735,$G735),CSRFinput!$B:$E,4,0)=0,OR(H735=MappingTables!$C$31,H735=MappingTables!$C$32)),1,VLOOKUP(CONCATENATE($D735,$G735),CSRFinput!$B:$E,4,0)))</f>
        <v>0.054776304963434752</v>
      </c>
      <c r="S735" s="73">
        <f>IF(B735="",0,P735*R735)</f>
        <v>349.91958210877816</v>
      </c>
      <c r="T735" s="85">
        <f>IF(B735="",0,IF(OR(H735=MappingTables!$C$34,H735=MappingTables!$C$35),S735,0))</f>
        <v>0</v>
      </c>
    </row>
    <row r="736" spans="2:20" s="0" customFormat="0" ht="15">
      <c r="B736" s="69" t="s">
        <v>4326</v>
      </c>
      <c r="C736" s="70" t="s">
        <v>4327</v>
      </c>
      <c r="D736" s="70" t="s">
        <v>1</v>
      </c>
      <c r="E736" s="70" t="s">
        <v>1</v>
      </c>
      <c r="F736" s="70"/>
      <c r="G736" s="70" t="s">
        <v>61</v>
      </c>
      <c r="H736" s="70" t="s">
        <v>178</v>
      </c>
      <c r="I736" s="70" t="s">
        <v>184</v>
      </c>
      <c r="J736" s="71">
        <f>IF(OR(I736=0,I736=""),"unrated",VLOOKUP(I736,MappingTables!$B$19:$C$31,2,FALSE))</f>
        <v>5</v>
      </c>
      <c r="K736" s="72">
        <v>9.9276901114109104</v>
      </c>
      <c r="L736" s="70">
        <v>0.0684947471962372</v>
      </c>
      <c r="M736" s="71">
        <f>IF(L736&lt;1,1,L736)</f>
        <v>1</v>
      </c>
      <c r="N736" s="70" t="s">
        <v>3288</v>
      </c>
      <c r="O736" s="71">
        <f>IF(OR(I736=$A$1,I736=0),"",IF(N736=MappingTables!$C$14,VLOOKUP(J736,ModelParameters!$M$8:$N$15,2,FALSE),IF(N736=MappingTables!$C$16,VLOOKUP(J736,ModelParameters!$P$8:$Q$15,2,FALSE),0)))</f>
        <v>1</v>
      </c>
      <c r="P736" s="73">
        <f>IF(OR(I736=0,I736=$A$1),0,MIN(O736*M736,1)*K736)</f>
        <v>9.9276901114109104</v>
      </c>
      <c r="Q736" s="73">
        <f>IF(B736="",0,IF(OR(H736=MappingTables!$C$34,H736=MappingTables!$C$35),P736,0))</f>
        <v>0</v>
      </c>
      <c r="R736" s="73">
        <f>IF(ISNA(IF(AND(VLOOKUP(CONCATENATE($D736,$G736),CSRFinput!$B:$E,4,0)=0,OR(H736=MappingTables!$C$31,H736=MappingTables!$C$32)),1,VLOOKUP(CONCATENATE($D736,$G736),CSRFinput!$B:$E,4,0))),0,IF(AND(VLOOKUP(CONCATENATE($D736,$G736),CSRFinput!$B:$E,4,0)=0,OR(H736=MappingTables!$C$31,H736=MappingTables!$C$32)),1,VLOOKUP(CONCATENATE($D736,$G736),CSRFinput!$B:$E,4,0)))</f>
        <v>0.054776304963434752</v>
      </c>
      <c r="S736" s="73">
        <f>IF(B736="",0,P736*R736)</f>
        <v>0.5438021811251196</v>
      </c>
      <c r="T736" s="85">
        <f>IF(B736="",0,IF(OR(H736=MappingTables!$C$34,H736=MappingTables!$C$35),S736,0))</f>
        <v>0</v>
      </c>
    </row>
    <row r="737" spans="2:20" s="0" customFormat="0" ht="15">
      <c r="B737" s="69" t="s">
        <v>4328</v>
      </c>
      <c r="C737" s="70" t="s">
        <v>4329</v>
      </c>
      <c r="D737" s="70" t="s">
        <v>1</v>
      </c>
      <c r="E737" s="70" t="s">
        <v>1</v>
      </c>
      <c r="F737" s="70"/>
      <c r="G737" s="70" t="s">
        <v>61</v>
      </c>
      <c r="H737" s="70" t="s">
        <v>178</v>
      </c>
      <c r="I737" s="70" t="s">
        <v>198</v>
      </c>
      <c r="J737" s="71" t="str">
        <f>IF(OR(I737=0,I737=""),"unrated",VLOOKUP(I737,MappingTables!$B$19:$C$31,2,FALSE))</f>
        <v>unrated</v>
      </c>
      <c r="K737" s="72">
        <v>88.22930493971904</v>
      </c>
      <c r="L737" s="70">
        <v>-2.4127544507066152</v>
      </c>
      <c r="M737" s="71">
        <f>IF(L737&lt;1,1,L737)</f>
        <v>1</v>
      </c>
      <c r="N737" s="70" t="s">
        <v>3288</v>
      </c>
      <c r="O737" s="71">
        <f>IF(OR(I737=$A$1,I737=0),"",IF(N737=MappingTables!$C$14,VLOOKUP(J737,ModelParameters!$M$8:$N$15,2,FALSE),IF(N737=MappingTables!$C$16,VLOOKUP(J737,ModelParameters!$P$8:$Q$15,2,FALSE),0)))</f>
        <v>1</v>
      </c>
      <c r="P737" s="73">
        <f>IF(OR(I737=0,I737=$A$1),0,MIN(O737*M737,1)*K737)</f>
        <v>88.22930493971904</v>
      </c>
      <c r="Q737" s="73">
        <f>IF(B737="",0,IF(OR(H737=MappingTables!$C$34,H737=MappingTables!$C$35),P737,0))</f>
        <v>0</v>
      </c>
      <c r="R737" s="73">
        <f>IF(ISNA(IF(AND(VLOOKUP(CONCATENATE($D737,$G737),CSRFinput!$B:$E,4,0)=0,OR(H737=MappingTables!$C$31,H737=MappingTables!$C$32)),1,VLOOKUP(CONCATENATE($D737,$G737),CSRFinput!$B:$E,4,0))),0,IF(AND(VLOOKUP(CONCATENATE($D737,$G737),CSRFinput!$B:$E,4,0)=0,OR(H737=MappingTables!$C$31,H737=MappingTables!$C$32)),1,VLOOKUP(CONCATENATE($D737,$G737),CSRFinput!$B:$E,4,0)))</f>
        <v>0.054776304963434752</v>
      </c>
      <c r="S737" s="73">
        <f>IF(B737="",0,P737*R737)</f>
        <v>4.8328753140899304</v>
      </c>
      <c r="T737" s="85">
        <f>IF(B737="",0,IF(OR(H737=MappingTables!$C$34,H737=MappingTables!$C$35),S737,0))</f>
        <v>0</v>
      </c>
    </row>
    <row r="738" spans="2:20" s="0" customFormat="0" ht="15">
      <c r="B738" s="69" t="s">
        <v>4330</v>
      </c>
      <c r="C738" s="70" t="s">
        <v>4331</v>
      </c>
      <c r="D738" s="70" t="s">
        <v>1</v>
      </c>
      <c r="E738" s="70" t="s">
        <v>1</v>
      </c>
      <c r="F738" s="70"/>
      <c r="G738" s="70" t="s">
        <v>61</v>
      </c>
      <c r="H738" s="70" t="s">
        <v>178</v>
      </c>
      <c r="I738" s="70" t="s">
        <v>3291</v>
      </c>
      <c r="J738" s="71">
        <f>IF(OR(I738=0,I738=""),"unrated",VLOOKUP(I738,MappingTables!$B$19:$C$31,2,FALSE))</f>
        <v>6</v>
      </c>
      <c r="K738" s="72">
        <v>49.277852307279624</v>
      </c>
      <c r="L738" s="70">
        <v>0.068499116017180856</v>
      </c>
      <c r="M738" s="71">
        <f>IF(L738&lt;1,1,L738)</f>
        <v>1</v>
      </c>
      <c r="N738" s="70" t="s">
        <v>3288</v>
      </c>
      <c r="O738" s="71">
        <f>IF(OR(I738=$A$1,I738=0),"",IF(N738=MappingTables!$C$14,VLOOKUP(J738,ModelParameters!$M$8:$N$15,2,FALSE),IF(N738=MappingTables!$C$16,VLOOKUP(J738,ModelParameters!$P$8:$Q$15,2,FALSE),0)))</f>
        <v>1</v>
      </c>
      <c r="P738" s="73">
        <f>IF(OR(I738=0,I738=$A$1),0,MIN(O738*M738,1)*K738)</f>
        <v>49.277852307279624</v>
      </c>
      <c r="Q738" s="73">
        <f>IF(B738="",0,IF(OR(H738=MappingTables!$C$34,H738=MappingTables!$C$35),P738,0))</f>
        <v>0</v>
      </c>
      <c r="R738" s="73">
        <f>IF(ISNA(IF(AND(VLOOKUP(CONCATENATE($D738,$G738),CSRFinput!$B:$E,4,0)=0,OR(H738=MappingTables!$C$31,H738=MappingTables!$C$32)),1,VLOOKUP(CONCATENATE($D738,$G738),CSRFinput!$B:$E,4,0))),0,IF(AND(VLOOKUP(CONCATENATE($D738,$G738),CSRFinput!$B:$E,4,0)=0,OR(H738=MappingTables!$C$31,H738=MappingTables!$C$32)),1,VLOOKUP(CONCATENATE($D738,$G738),CSRFinput!$B:$E,4,0)))</f>
        <v>0.054776304963434752</v>
      </c>
      <c r="S738" s="73">
        <f>IF(B738="",0,P738*R738)</f>
        <v>2.6992586659266456</v>
      </c>
      <c r="T738" s="85">
        <f>IF(B738="",0,IF(OR(H738=MappingTables!$C$34,H738=MappingTables!$C$35),S738,0))</f>
        <v>0</v>
      </c>
    </row>
    <row r="739" spans="2:20" s="0" customFormat="0" ht="15">
      <c r="B739" s="69">
        <v>22554459</v>
      </c>
      <c r="C739" s="70" t="s">
        <v>4332</v>
      </c>
      <c r="D739" s="70" t="s">
        <v>1</v>
      </c>
      <c r="E739" s="70" t="s">
        <v>1</v>
      </c>
      <c r="F739" s="70"/>
      <c r="G739" s="70" t="s">
        <v>61</v>
      </c>
      <c r="H739" s="70" t="s">
        <v>178</v>
      </c>
      <c r="I739" s="70" t="s">
        <v>188</v>
      </c>
      <c r="J739" s="71">
        <f>IF(OR(I739=0,I739=""),"unrated",VLOOKUP(I739,MappingTables!$B$19:$C$31,2,FALSE))</f>
        <v>2</v>
      </c>
      <c r="K739" s="72">
        <v>350.77576263902968</v>
      </c>
      <c r="L739" s="70">
        <v>0.068490919471677872</v>
      </c>
      <c r="M739" s="71">
        <f>IF(L739&lt;1,1,L739)</f>
        <v>1</v>
      </c>
      <c r="N739" s="70" t="s">
        <v>3288</v>
      </c>
      <c r="O739" s="71">
        <f>IF(OR(I739=$A$1,I739=0),"",IF(N739=MappingTables!$C$14,VLOOKUP(J739,ModelParameters!$M$8:$N$15,2,FALSE),IF(N739=MappingTables!$C$16,VLOOKUP(J739,ModelParameters!$P$8:$Q$15,2,FALSE),0)))</f>
        <v>0.166</v>
      </c>
      <c r="P739" s="73">
        <f>IF(OR(I739=0,I739=$A$1),0,MIN(O739*M739,1)*K739)</f>
        <v>58.228776598078928</v>
      </c>
      <c r="Q739" s="73">
        <f>IF(B739="",0,IF(OR(H739=MappingTables!$C$34,H739=MappingTables!$C$35),P739,0))</f>
        <v>0</v>
      </c>
      <c r="R739" s="73">
        <f>IF(ISNA(IF(AND(VLOOKUP(CONCATENATE($D739,$G739),CSRFinput!$B:$E,4,0)=0,OR(H739=MappingTables!$C$31,H739=MappingTables!$C$32)),1,VLOOKUP(CONCATENATE($D739,$G739),CSRFinput!$B:$E,4,0))),0,IF(AND(VLOOKUP(CONCATENATE($D739,$G739),CSRFinput!$B:$E,4,0)=0,OR(H739=MappingTables!$C$31,H739=MappingTables!$C$32)),1,VLOOKUP(CONCATENATE($D739,$G739),CSRFinput!$B:$E,4,0)))</f>
        <v>0.054776304963434752</v>
      </c>
      <c r="S739" s="73">
        <f>IF(B739="",0,P739*R739)</f>
        <v>3.1895572245840844</v>
      </c>
      <c r="T739" s="85">
        <f>IF(B739="",0,IF(OR(H739=MappingTables!$C$34,H739=MappingTables!$C$35),S739,0))</f>
        <v>0</v>
      </c>
    </row>
    <row r="740" spans="2:20" s="0" customFormat="0" ht="15">
      <c r="B740" s="69" t="s">
        <v>4333</v>
      </c>
      <c r="C740" s="70" t="s">
        <v>4334</v>
      </c>
      <c r="D740" s="70" t="s">
        <v>1</v>
      </c>
      <c r="E740" s="70" t="s">
        <v>1</v>
      </c>
      <c r="F740" s="70"/>
      <c r="G740" s="70" t="s">
        <v>61</v>
      </c>
      <c r="H740" s="70" t="s">
        <v>178</v>
      </c>
      <c r="I740" s="70" t="s">
        <v>198</v>
      </c>
      <c r="J740" s="71" t="str">
        <f>IF(OR(I740=0,I740=""),"unrated",VLOOKUP(I740,MappingTables!$B$19:$C$31,2,FALSE))</f>
        <v>unrated</v>
      </c>
      <c r="K740" s="72">
        <v>49911.208550083992</v>
      </c>
      <c r="L740" s="70">
        <v>2.5043719563779076</v>
      </c>
      <c r="M740" s="71">
        <f>IF(L740&lt;1,1,L740)</f>
        <v>2.5043719563779076</v>
      </c>
      <c r="N740" s="70" t="s">
        <v>3288</v>
      </c>
      <c r="O740" s="71">
        <f>IF(OR(I740=$A$1,I740=0),"",IF(N740=MappingTables!$C$14,VLOOKUP(J740,ModelParameters!$M$8:$N$15,2,FALSE),IF(N740=MappingTables!$C$16,VLOOKUP(J740,ModelParameters!$P$8:$Q$15,2,FALSE),0)))</f>
        <v>1</v>
      </c>
      <c r="P740" s="73">
        <f>IF(OR(I740=0,I740=$A$1),0,MIN(O740*M740,1)*K740)</f>
        <v>49911.208550083992</v>
      </c>
      <c r="Q740" s="73">
        <f>IF(B740="",0,IF(OR(H740=MappingTables!$C$34,H740=MappingTables!$C$35),P740,0))</f>
        <v>0</v>
      </c>
      <c r="R740" s="73">
        <f>IF(ISNA(IF(AND(VLOOKUP(CONCATENATE($D740,$G740),CSRFinput!$B:$E,4,0)=0,OR(H740=MappingTables!$C$31,H740=MappingTables!$C$32)),1,VLOOKUP(CONCATENATE($D740,$G740),CSRFinput!$B:$E,4,0))),0,IF(AND(VLOOKUP(CONCATENATE($D740,$G740),CSRFinput!$B:$E,4,0)=0,OR(H740=MappingTables!$C$31,H740=MappingTables!$C$32)),1,VLOOKUP(CONCATENATE($D740,$G740),CSRFinput!$B:$E,4,0)))</f>
        <v>0.054776304963434752</v>
      </c>
      <c r="S740" s="73">
        <f>IF(B740="",0,P740*R740)</f>
        <v>2733.9515806329928</v>
      </c>
      <c r="T740" s="85">
        <f>IF(B740="",0,IF(OR(H740=MappingTables!$C$34,H740=MappingTables!$C$35),S740,0))</f>
        <v>0</v>
      </c>
    </row>
    <row r="741" spans="2:20" s="0" customFormat="0" ht="15">
      <c r="B741" s="69" t="s">
        <v>3386</v>
      </c>
      <c r="C741" s="70" t="s">
        <v>3387</v>
      </c>
      <c r="D741" s="70" t="s">
        <v>1</v>
      </c>
      <c r="E741" s="70" t="s">
        <v>1</v>
      </c>
      <c r="F741" s="70"/>
      <c r="G741" s="70" t="s">
        <v>61</v>
      </c>
      <c r="H741" s="70" t="s">
        <v>178</v>
      </c>
      <c r="I741" s="70" t="s">
        <v>188</v>
      </c>
      <c r="J741" s="71">
        <f>IF(OR(I741=0,I741=""),"unrated",VLOOKUP(I741,MappingTables!$B$19:$C$31,2,FALSE))</f>
        <v>2</v>
      </c>
      <c r="K741" s="72">
        <v>112.29238132570688</v>
      </c>
      <c r="L741" s="70">
        <v>0.068496341875057336</v>
      </c>
      <c r="M741" s="71">
        <f>IF(L741&lt;1,1,L741)</f>
        <v>1</v>
      </c>
      <c r="N741" s="70" t="s">
        <v>3288</v>
      </c>
      <c r="O741" s="71">
        <f>IF(OR(I741=$A$1,I741=0),"",IF(N741=MappingTables!$C$14,VLOOKUP(J741,ModelParameters!$M$8:$N$15,2,FALSE),IF(N741=MappingTables!$C$16,VLOOKUP(J741,ModelParameters!$P$8:$Q$15,2,FALSE),0)))</f>
        <v>0.166</v>
      </c>
      <c r="P741" s="73">
        <f>IF(OR(I741=0,I741=$A$1),0,MIN(O741*M741,1)*K741)</f>
        <v>18.640535300067344</v>
      </c>
      <c r="Q741" s="73">
        <f>IF(B741="",0,IF(OR(H741=MappingTables!$C$34,H741=MappingTables!$C$35),P741,0))</f>
        <v>0</v>
      </c>
      <c r="R741" s="73">
        <f>IF(ISNA(IF(AND(VLOOKUP(CONCATENATE($D741,$G741),CSRFinput!$B:$E,4,0)=0,OR(H741=MappingTables!$C$31,H741=MappingTables!$C$32)),1,VLOOKUP(CONCATENATE($D741,$G741),CSRFinput!$B:$E,4,0))),0,IF(AND(VLOOKUP(CONCATENATE($D741,$G741),CSRFinput!$B:$E,4,0)=0,OR(H741=MappingTables!$C$31,H741=MappingTables!$C$32)),1,VLOOKUP(CONCATENATE($D741,$G741),CSRFinput!$B:$E,4,0)))</f>
        <v>0.054776304963434752</v>
      </c>
      <c r="S741" s="73">
        <f>IF(B741="",0,P741*R741)</f>
        <v>1.0210596462781596</v>
      </c>
      <c r="T741" s="85">
        <f>IF(B741="",0,IF(OR(H741=MappingTables!$C$34,H741=MappingTables!$C$35),S741,0))</f>
        <v>0</v>
      </c>
    </row>
    <row r="742" spans="2:20" s="0" customFormat="0" ht="15">
      <c r="B742" s="69">
        <v>7909091</v>
      </c>
      <c r="C742" s="70" t="s">
        <v>4335</v>
      </c>
      <c r="D742" s="70" t="s">
        <v>1</v>
      </c>
      <c r="E742" s="70" t="s">
        <v>1</v>
      </c>
      <c r="F742" s="70"/>
      <c r="G742" s="70" t="s">
        <v>61</v>
      </c>
      <c r="H742" s="70" t="s">
        <v>178</v>
      </c>
      <c r="I742" s="70" t="s">
        <v>216</v>
      </c>
      <c r="J742" s="71">
        <f>IF(OR(I742=0,I742=""),"unrated",VLOOKUP(I742,MappingTables!$B$19:$C$31,2,FALSE))</f>
        <v>0</v>
      </c>
      <c r="K742" s="72">
        <v>35.901873266464392</v>
      </c>
      <c r="L742" s="70">
        <v>2.6564241599065016</v>
      </c>
      <c r="M742" s="71">
        <f>IF(L742&lt;1,1,L742)</f>
        <v>2.6564241599065016</v>
      </c>
      <c r="N742" s="70" t="s">
        <v>3288</v>
      </c>
      <c r="O742" s="71">
        <f>IF(OR(I742=$A$1,I742=0),"",IF(N742=MappingTables!$C$14,VLOOKUP(J742,ModelParameters!$M$8:$N$15,2,FALSE),IF(N742=MappingTables!$C$16,VLOOKUP(J742,ModelParameters!$P$8:$Q$15,2,FALSE),0)))</f>
        <v>0.125</v>
      </c>
      <c r="P742" s="73">
        <f>IF(OR(I742=0,I742=$A$1),0,MIN(O742*M742,1)*K742)</f>
        <v>11.92132544136717</v>
      </c>
      <c r="Q742" s="73">
        <f>IF(B742="",0,IF(OR(H742=MappingTables!$C$34,H742=MappingTables!$C$35),P742,0))</f>
        <v>0</v>
      </c>
      <c r="R742" s="73">
        <f>IF(ISNA(IF(AND(VLOOKUP(CONCATENATE($D742,$G742),CSRFinput!$B:$E,4,0)=0,OR(H742=MappingTables!$C$31,H742=MappingTables!$C$32)),1,VLOOKUP(CONCATENATE($D742,$G742),CSRFinput!$B:$E,4,0))),0,IF(AND(VLOOKUP(CONCATENATE($D742,$G742),CSRFinput!$B:$E,4,0)=0,OR(H742=MappingTables!$C$31,H742=MappingTables!$C$32)),1,VLOOKUP(CONCATENATE($D742,$G742),CSRFinput!$B:$E,4,0)))</f>
        <v>0.054776304963434752</v>
      </c>
      <c r="S742" s="73">
        <f>IF(B742="",0,P742*R742)</f>
        <v>0.65300615794468152</v>
      </c>
      <c r="T742" s="85">
        <f>IF(B742="",0,IF(OR(H742=MappingTables!$C$34,H742=MappingTables!$C$35),S742,0))</f>
        <v>0</v>
      </c>
    </row>
    <row r="743" spans="2:20" s="0" customFormat="0" ht="15">
      <c r="B743" s="69" t="s">
        <v>4336</v>
      </c>
      <c r="C743" s="70" t="s">
        <v>4337</v>
      </c>
      <c r="D743" s="70" t="s">
        <v>1</v>
      </c>
      <c r="E743" s="70" t="s">
        <v>1</v>
      </c>
      <c r="F743" s="70"/>
      <c r="G743" s="70" t="s">
        <v>61</v>
      </c>
      <c r="H743" s="70" t="s">
        <v>178</v>
      </c>
      <c r="I743" s="70" t="s">
        <v>204</v>
      </c>
      <c r="J743" s="71">
        <f>IF(OR(I743=0,I743=""),"unrated",VLOOKUP(I743,MappingTables!$B$19:$C$31,2,FALSE))</f>
        <v>6</v>
      </c>
      <c r="K743" s="72">
        <v>229.34351836832964</v>
      </c>
      <c r="L743" s="70">
        <v>0.068492149339480528</v>
      </c>
      <c r="M743" s="71">
        <f>IF(L743&lt;1,1,L743)</f>
        <v>1</v>
      </c>
      <c r="N743" s="70" t="s">
        <v>3288</v>
      </c>
      <c r="O743" s="71">
        <f>IF(OR(I743=$A$1,I743=0),"",IF(N743=MappingTables!$C$14,VLOOKUP(J743,ModelParameters!$M$8:$N$15,2,FALSE),IF(N743=MappingTables!$C$16,VLOOKUP(J743,ModelParameters!$P$8:$Q$15,2,FALSE),0)))</f>
        <v>1</v>
      </c>
      <c r="P743" s="73">
        <f>IF(OR(I743=0,I743=$A$1),0,MIN(O743*M743,1)*K743)</f>
        <v>229.34351836832964</v>
      </c>
      <c r="Q743" s="73">
        <f>IF(B743="",0,IF(OR(H743=MappingTables!$C$34,H743=MappingTables!$C$35),P743,0))</f>
        <v>0</v>
      </c>
      <c r="R743" s="73">
        <f>IF(ISNA(IF(AND(VLOOKUP(CONCATENATE($D743,$G743),CSRFinput!$B:$E,4,0)=0,OR(H743=MappingTables!$C$31,H743=MappingTables!$C$32)),1,VLOOKUP(CONCATENATE($D743,$G743),CSRFinput!$B:$E,4,0))),0,IF(AND(VLOOKUP(CONCATENATE($D743,$G743),CSRFinput!$B:$E,4,0)=0,OR(H743=MappingTables!$C$31,H743=MappingTables!$C$32)),1,VLOOKUP(CONCATENATE($D743,$G743),CSRFinput!$B:$E,4,0)))</f>
        <v>0.054776304963434752</v>
      </c>
      <c r="S743" s="73">
        <f>IF(B743="",0,P743*R743)</f>
        <v>12.562590503530724</v>
      </c>
      <c r="T743" s="85">
        <f>IF(B743="",0,IF(OR(H743=MappingTables!$C$34,H743=MappingTables!$C$35),S743,0))</f>
        <v>0</v>
      </c>
    </row>
    <row r="744" spans="2:20" s="0" customFormat="0" ht="15">
      <c r="B744" s="69" t="s">
        <v>4338</v>
      </c>
      <c r="C744" s="70" t="s">
        <v>4339</v>
      </c>
      <c r="D744" s="70" t="s">
        <v>1</v>
      </c>
      <c r="E744" s="70" t="s">
        <v>1</v>
      </c>
      <c r="F744" s="70"/>
      <c r="G744" s="70" t="s">
        <v>61</v>
      </c>
      <c r="H744" s="70" t="s">
        <v>178</v>
      </c>
      <c r="I744" s="70" t="s">
        <v>198</v>
      </c>
      <c r="J744" s="71" t="str">
        <f>IF(OR(I744=0,I744=""),"unrated",VLOOKUP(I744,MappingTables!$B$19:$C$31,2,FALSE))</f>
        <v>unrated</v>
      </c>
      <c r="K744" s="72">
        <v>49.345102939641376</v>
      </c>
      <c r="L744" s="70">
        <v>0.04049667679032244</v>
      </c>
      <c r="M744" s="71">
        <f>IF(L744&lt;1,1,L744)</f>
        <v>1</v>
      </c>
      <c r="N744" s="70" t="s">
        <v>3288</v>
      </c>
      <c r="O744" s="71">
        <f>IF(OR(I744=$A$1,I744=0),"",IF(N744=MappingTables!$C$14,VLOOKUP(J744,ModelParameters!$M$8:$N$15,2,FALSE),IF(N744=MappingTables!$C$16,VLOOKUP(J744,ModelParameters!$P$8:$Q$15,2,FALSE),0)))</f>
        <v>1</v>
      </c>
      <c r="P744" s="73">
        <f>IF(OR(I744=0,I744=$A$1),0,MIN(O744*M744,1)*K744)</f>
        <v>49.345102939641376</v>
      </c>
      <c r="Q744" s="73">
        <f>IF(B744="",0,IF(OR(H744=MappingTables!$C$34,H744=MappingTables!$C$35),P744,0))</f>
        <v>0</v>
      </c>
      <c r="R744" s="73">
        <f>IF(ISNA(IF(AND(VLOOKUP(CONCATENATE($D744,$G744),CSRFinput!$B:$E,4,0)=0,OR(H744=MappingTables!$C$31,H744=MappingTables!$C$32)),1,VLOOKUP(CONCATENATE($D744,$G744),CSRFinput!$B:$E,4,0))),0,IF(AND(VLOOKUP(CONCATENATE($D744,$G744),CSRFinput!$B:$E,4,0)=0,OR(H744=MappingTables!$C$31,H744=MappingTables!$C$32)),1,VLOOKUP(CONCATENATE($D744,$G744),CSRFinput!$B:$E,4,0)))</f>
        <v>0.054776304963434752</v>
      </c>
      <c r="S744" s="73">
        <f>IF(B744="",0,P744*R744)</f>
        <v>2.7029424070738772</v>
      </c>
      <c r="T744" s="85">
        <f>IF(B744="",0,IF(OR(H744=MappingTables!$C$34,H744=MappingTables!$C$35),S744,0))</f>
        <v>0</v>
      </c>
    </row>
    <row r="745" spans="2:20" s="0" customFormat="0" ht="15">
      <c r="B745" s="69" t="s">
        <v>4340</v>
      </c>
      <c r="C745" s="70" t="s">
        <v>4341</v>
      </c>
      <c r="D745" s="70" t="s">
        <v>1</v>
      </c>
      <c r="E745" s="70" t="s">
        <v>1</v>
      </c>
      <c r="F745" s="70"/>
      <c r="G745" s="70" t="s">
        <v>61</v>
      </c>
      <c r="H745" s="70" t="s">
        <v>178</v>
      </c>
      <c r="I745" s="70" t="s">
        <v>3298</v>
      </c>
      <c r="J745" s="71">
        <f>IF(OR(I745=0,I745=""),"unrated",VLOOKUP(I745,MappingTables!$B$19:$C$31,2,FALSE))</f>
        <v>6</v>
      </c>
      <c r="K745" s="72">
        <v>150.2166163592596</v>
      </c>
      <c r="L745" s="70">
        <v>0.31762750112746772</v>
      </c>
      <c r="M745" s="71">
        <f>IF(L745&lt;1,1,L745)</f>
        <v>1</v>
      </c>
      <c r="N745" s="70" t="s">
        <v>3288</v>
      </c>
      <c r="O745" s="71">
        <f>IF(OR(I745=$A$1,I745=0),"",IF(N745=MappingTables!$C$14,VLOOKUP(J745,ModelParameters!$M$8:$N$15,2,FALSE),IF(N745=MappingTables!$C$16,VLOOKUP(J745,ModelParameters!$P$8:$Q$15,2,FALSE),0)))</f>
        <v>1</v>
      </c>
      <c r="P745" s="73">
        <f>IF(OR(I745=0,I745=$A$1),0,MIN(O745*M745,1)*K745)</f>
        <v>150.2166163592596</v>
      </c>
      <c r="Q745" s="73">
        <f>IF(B745="",0,IF(OR(H745=MappingTables!$C$34,H745=MappingTables!$C$35),P745,0))</f>
        <v>0</v>
      </c>
      <c r="R745" s="73">
        <f>IF(ISNA(IF(AND(VLOOKUP(CONCATENATE($D745,$G745),CSRFinput!$B:$E,4,0)=0,OR(H745=MappingTables!$C$31,H745=MappingTables!$C$32)),1,VLOOKUP(CONCATENATE($D745,$G745),CSRFinput!$B:$E,4,0))),0,IF(AND(VLOOKUP(CONCATENATE($D745,$G745),CSRFinput!$B:$E,4,0)=0,OR(H745=MappingTables!$C$31,H745=MappingTables!$C$32)),1,VLOOKUP(CONCATENATE($D745,$G745),CSRFinput!$B:$E,4,0)))</f>
        <v>0.054776304963434752</v>
      </c>
      <c r="S745" s="73">
        <f>IF(B745="",0,P745*R745)</f>
        <v>8.2283111882700848</v>
      </c>
      <c r="T745" s="85">
        <f>IF(B745="",0,IF(OR(H745=MappingTables!$C$34,H745=MappingTables!$C$35),S745,0))</f>
        <v>0</v>
      </c>
    </row>
    <row r="746" spans="2:20" s="0" customFormat="0" ht="15">
      <c r="B746" s="69" t="s">
        <v>4342</v>
      </c>
      <c r="C746" s="70" t="s">
        <v>4343</v>
      </c>
      <c r="D746" s="70" t="s">
        <v>1</v>
      </c>
      <c r="E746" s="70" t="s">
        <v>1</v>
      </c>
      <c r="F746" s="70"/>
      <c r="G746" s="70" t="s">
        <v>61</v>
      </c>
      <c r="H746" s="70" t="s">
        <v>178</v>
      </c>
      <c r="I746" s="70" t="s">
        <v>198</v>
      </c>
      <c r="J746" s="71" t="str">
        <f>IF(OR(I746=0,I746=""),"unrated",VLOOKUP(I746,MappingTables!$B$19:$C$31,2,FALSE))</f>
        <v>unrated</v>
      </c>
      <c r="K746" s="72">
        <v>6152.3276781964936</v>
      </c>
      <c r="L746" s="70">
        <v>9.6687288072738432</v>
      </c>
      <c r="M746" s="71">
        <f>IF(L746&lt;1,1,L746)</f>
        <v>9.6687288072738432</v>
      </c>
      <c r="N746" s="70" t="s">
        <v>3288</v>
      </c>
      <c r="O746" s="71">
        <f>IF(OR(I746=$A$1,I746=0),"",IF(N746=MappingTables!$C$14,VLOOKUP(J746,ModelParameters!$M$8:$N$15,2,FALSE),IF(N746=MappingTables!$C$16,VLOOKUP(J746,ModelParameters!$P$8:$Q$15,2,FALSE),0)))</f>
        <v>1</v>
      </c>
      <c r="P746" s="73">
        <f>IF(OR(I746=0,I746=$A$1),0,MIN(O746*M746,1)*K746)</f>
        <v>6152.3276781964936</v>
      </c>
      <c r="Q746" s="73">
        <f>IF(B746="",0,IF(OR(H746=MappingTables!$C$34,H746=MappingTables!$C$35),P746,0))</f>
        <v>0</v>
      </c>
      <c r="R746" s="73">
        <f>IF(ISNA(IF(AND(VLOOKUP(CONCATENATE($D746,$G746),CSRFinput!$B:$E,4,0)=0,OR(H746=MappingTables!$C$31,H746=MappingTables!$C$32)),1,VLOOKUP(CONCATENATE($D746,$G746),CSRFinput!$B:$E,4,0))),0,IF(AND(VLOOKUP(CONCATENATE($D746,$G746),CSRFinput!$B:$E,4,0)=0,OR(H746=MappingTables!$C$31,H746=MappingTables!$C$32)),1,VLOOKUP(CONCATENATE($D746,$G746),CSRFinput!$B:$E,4,0)))</f>
        <v>0.054776304963434752</v>
      </c>
      <c r="S746" s="73">
        <f>IF(B746="",0,P746*R746)</f>
        <v>337.00177713587156</v>
      </c>
      <c r="T746" s="85">
        <f>IF(B746="",0,IF(OR(H746=MappingTables!$C$34,H746=MappingTables!$C$35),S746,0))</f>
        <v>0</v>
      </c>
    </row>
    <row r="747" spans="2:20" s="0" customFormat="0" ht="15">
      <c r="B747" s="69" t="s">
        <v>3407</v>
      </c>
      <c r="C747" s="70" t="s">
        <v>3408</v>
      </c>
      <c r="D747" s="70" t="s">
        <v>1</v>
      </c>
      <c r="E747" s="70" t="s">
        <v>1</v>
      </c>
      <c r="F747" s="70"/>
      <c r="G747" s="70" t="s">
        <v>61</v>
      </c>
      <c r="H747" s="70" t="s">
        <v>178</v>
      </c>
      <c r="I747" s="70" t="s">
        <v>198</v>
      </c>
      <c r="J747" s="71" t="str">
        <f>IF(OR(I747=0,I747=""),"unrated",VLOOKUP(I747,MappingTables!$B$19:$C$31,2,FALSE))</f>
        <v>unrated</v>
      </c>
      <c r="K747" s="72">
        <v>3016.5152076282272</v>
      </c>
      <c r="L747" s="70">
        <v>9.9414559134930528</v>
      </c>
      <c r="M747" s="71">
        <f>IF(L747&lt;1,1,L747)</f>
        <v>9.9414559134930528</v>
      </c>
      <c r="N747" s="70" t="s">
        <v>3288</v>
      </c>
      <c r="O747" s="71">
        <f>IF(OR(I747=$A$1,I747=0),"",IF(N747=MappingTables!$C$14,VLOOKUP(J747,ModelParameters!$M$8:$N$15,2,FALSE),IF(N747=MappingTables!$C$16,VLOOKUP(J747,ModelParameters!$P$8:$Q$15,2,FALSE),0)))</f>
        <v>1</v>
      </c>
      <c r="P747" s="73">
        <f>IF(OR(I747=0,I747=$A$1),0,MIN(O747*M747,1)*K747)</f>
        <v>3016.5152076282272</v>
      </c>
      <c r="Q747" s="73">
        <f>IF(B747="",0,IF(OR(H747=MappingTables!$C$34,H747=MappingTables!$C$35),P747,0))</f>
        <v>0</v>
      </c>
      <c r="R747" s="73">
        <f>IF(ISNA(IF(AND(VLOOKUP(CONCATENATE($D747,$G747),CSRFinput!$B:$E,4,0)=0,OR(H747=MappingTables!$C$31,H747=MappingTables!$C$32)),1,VLOOKUP(CONCATENATE($D747,$G747),CSRFinput!$B:$E,4,0))),0,IF(AND(VLOOKUP(CONCATENATE($D747,$G747),CSRFinput!$B:$E,4,0)=0,OR(H747=MappingTables!$C$31,H747=MappingTables!$C$32)),1,VLOOKUP(CONCATENATE($D747,$G747),CSRFinput!$B:$E,4,0)))</f>
        <v>0.054776304963434752</v>
      </c>
      <c r="S747" s="73">
        <f>IF(B747="",0,P747*R747)</f>
        <v>165.23355693988248</v>
      </c>
      <c r="T747" s="85">
        <f>IF(B747="",0,IF(OR(H747=MappingTables!$C$34,H747=MappingTables!$C$35),S747,0))</f>
        <v>0</v>
      </c>
    </row>
    <row r="748" spans="2:20" s="0" customFormat="0" ht="15">
      <c r="B748" s="69">
        <v>22554422</v>
      </c>
      <c r="C748" s="70" t="s">
        <v>4069</v>
      </c>
      <c r="D748" s="70" t="s">
        <v>1</v>
      </c>
      <c r="E748" s="70" t="s">
        <v>1</v>
      </c>
      <c r="F748" s="70"/>
      <c r="G748" s="70" t="s">
        <v>61</v>
      </c>
      <c r="H748" s="70" t="s">
        <v>178</v>
      </c>
      <c r="I748" s="70" t="s">
        <v>198</v>
      </c>
      <c r="J748" s="71" t="str">
        <f>IF(OR(I748=0,I748=""),"unrated",VLOOKUP(I748,MappingTables!$B$19:$C$31,2,FALSE))</f>
        <v>unrated</v>
      </c>
      <c r="K748" s="72">
        <v>0.23917057393536072</v>
      </c>
      <c r="L748" s="70">
        <v>0.043112942196956688</v>
      </c>
      <c r="M748" s="71">
        <f>IF(L748&lt;1,1,L748)</f>
        <v>1</v>
      </c>
      <c r="N748" s="70" t="s">
        <v>3288</v>
      </c>
      <c r="O748" s="71">
        <f>IF(OR(I748=$A$1,I748=0),"",IF(N748=MappingTables!$C$14,VLOOKUP(J748,ModelParameters!$M$8:$N$15,2,FALSE),IF(N748=MappingTables!$C$16,VLOOKUP(J748,ModelParameters!$P$8:$Q$15,2,FALSE),0)))</f>
        <v>1</v>
      </c>
      <c r="P748" s="73">
        <f>IF(OR(I748=0,I748=$A$1),0,MIN(O748*M748,1)*K748)</f>
        <v>0.23917057393536072</v>
      </c>
      <c r="Q748" s="73">
        <f>IF(B748="",0,IF(OR(H748=MappingTables!$C$34,H748=MappingTables!$C$35),P748,0))</f>
        <v>0</v>
      </c>
      <c r="R748" s="73">
        <f>IF(ISNA(IF(AND(VLOOKUP(CONCATENATE($D748,$G748),CSRFinput!$B:$E,4,0)=0,OR(H748=MappingTables!$C$31,H748=MappingTables!$C$32)),1,VLOOKUP(CONCATENATE($D748,$G748),CSRFinput!$B:$E,4,0))),0,IF(AND(VLOOKUP(CONCATENATE($D748,$G748),CSRFinput!$B:$E,4,0)=0,OR(H748=MappingTables!$C$31,H748=MappingTables!$C$32)),1,VLOOKUP(CONCATENATE($D748,$G748),CSRFinput!$B:$E,4,0)))</f>
        <v>0.054776304963434752</v>
      </c>
      <c r="S748" s="73">
        <f>IF(B748="",0,P748*R748)</f>
        <v>0.013100880296163038</v>
      </c>
      <c r="T748" s="85">
        <f>IF(B748="",0,IF(OR(H748=MappingTables!$C$34,H748=MappingTables!$C$35),S748,0))</f>
        <v>0</v>
      </c>
    </row>
    <row r="749" spans="2:20" s="0" customFormat="0" ht="15">
      <c r="B749" s="69" t="s">
        <v>3942</v>
      </c>
      <c r="C749" s="70" t="s">
        <v>3943</v>
      </c>
      <c r="D749" s="70" t="s">
        <v>1</v>
      </c>
      <c r="E749" s="70" t="s">
        <v>1</v>
      </c>
      <c r="F749" s="70"/>
      <c r="G749" s="70" t="s">
        <v>61</v>
      </c>
      <c r="H749" s="70" t="s">
        <v>178</v>
      </c>
      <c r="I749" s="70" t="s">
        <v>198</v>
      </c>
      <c r="J749" s="71" t="str">
        <f>IF(OR(I749=0,I749=""),"unrated",VLOOKUP(I749,MappingTables!$B$19:$C$31,2,FALSE))</f>
        <v>unrated</v>
      </c>
      <c r="K749" s="72">
        <v>1975.4767713150092</v>
      </c>
      <c r="L749" s="70">
        <v>9.261157304295984</v>
      </c>
      <c r="M749" s="71">
        <f>IF(L749&lt;1,1,L749)</f>
        <v>9.261157304295984</v>
      </c>
      <c r="N749" s="70" t="s">
        <v>3288</v>
      </c>
      <c r="O749" s="71">
        <f>IF(OR(I749=$A$1,I749=0),"",IF(N749=MappingTables!$C$14,VLOOKUP(J749,ModelParameters!$M$8:$N$15,2,FALSE),IF(N749=MappingTables!$C$16,VLOOKUP(J749,ModelParameters!$P$8:$Q$15,2,FALSE),0)))</f>
        <v>1</v>
      </c>
      <c r="P749" s="73">
        <f>IF(OR(I749=0,I749=$A$1),0,MIN(O749*M749,1)*K749)</f>
        <v>1975.4767713150092</v>
      </c>
      <c r="Q749" s="73">
        <f>IF(B749="",0,IF(OR(H749=MappingTables!$C$34,H749=MappingTables!$C$35),P749,0))</f>
        <v>0</v>
      </c>
      <c r="R749" s="73">
        <f>IF(ISNA(IF(AND(VLOOKUP(CONCATENATE($D749,$G749),CSRFinput!$B:$E,4,0)=0,OR(H749=MappingTables!$C$31,H749=MappingTables!$C$32)),1,VLOOKUP(CONCATENATE($D749,$G749),CSRFinput!$B:$E,4,0))),0,IF(AND(VLOOKUP(CONCATENATE($D749,$G749),CSRFinput!$B:$E,4,0)=0,OR(H749=MappingTables!$C$31,H749=MappingTables!$C$32)),1,VLOOKUP(CONCATENATE($D749,$G749),CSRFinput!$B:$E,4,0)))</f>
        <v>0.054776304963434752</v>
      </c>
      <c r="S749" s="73">
        <f>IF(B749="",0,P749*R749)</f>
        <v>108.2093180737324</v>
      </c>
      <c r="T749" s="85">
        <f>IF(B749="",0,IF(OR(H749=MappingTables!$C$34,H749=MappingTables!$C$35),S749,0))</f>
        <v>0</v>
      </c>
    </row>
    <row r="750" spans="2:20" s="0" customFormat="0" ht="15">
      <c r="B750" s="69" t="s">
        <v>4344</v>
      </c>
      <c r="C750" s="70" t="s">
        <v>4345</v>
      </c>
      <c r="D750" s="70" t="s">
        <v>1</v>
      </c>
      <c r="E750" s="70" t="s">
        <v>1</v>
      </c>
      <c r="F750" s="70"/>
      <c r="G750" s="70" t="s">
        <v>61</v>
      </c>
      <c r="H750" s="70" t="s">
        <v>178</v>
      </c>
      <c r="I750" s="70" t="s">
        <v>188</v>
      </c>
      <c r="J750" s="71">
        <f>IF(OR(I750=0,I750=""),"unrated",VLOOKUP(I750,MappingTables!$B$19:$C$31,2,FALSE))</f>
        <v>2</v>
      </c>
      <c r="K750" s="72">
        <v>84.00234520063672</v>
      </c>
      <c r="L750" s="70">
        <v>0.068493332672036624</v>
      </c>
      <c r="M750" s="71">
        <f>IF(L750&lt;1,1,L750)</f>
        <v>1</v>
      </c>
      <c r="N750" s="70" t="s">
        <v>3288</v>
      </c>
      <c r="O750" s="71">
        <f>IF(OR(I750=$A$1,I750=0),"",IF(N750=MappingTables!$C$14,VLOOKUP(J750,ModelParameters!$M$8:$N$15,2,FALSE),IF(N750=MappingTables!$C$16,VLOOKUP(J750,ModelParameters!$P$8:$Q$15,2,FALSE),0)))</f>
        <v>0.166</v>
      </c>
      <c r="P750" s="73">
        <f>IF(OR(I750=0,I750=$A$1),0,MIN(O750*M750,1)*K750)</f>
        <v>13.944389303305696</v>
      </c>
      <c r="Q750" s="73">
        <f>IF(B750="",0,IF(OR(H750=MappingTables!$C$34,H750=MappingTables!$C$35),P750,0))</f>
        <v>0</v>
      </c>
      <c r="R750" s="73">
        <f>IF(ISNA(IF(AND(VLOOKUP(CONCATENATE($D750,$G750),CSRFinput!$B:$E,4,0)=0,OR(H750=MappingTables!$C$31,H750=MappingTables!$C$32)),1,VLOOKUP(CONCATENATE($D750,$G750),CSRFinput!$B:$E,4,0))),0,IF(AND(VLOOKUP(CONCATENATE($D750,$G750),CSRFinput!$B:$E,4,0)=0,OR(H750=MappingTables!$C$31,H750=MappingTables!$C$32)),1,VLOOKUP(CONCATENATE($D750,$G750),CSRFinput!$B:$E,4,0)))</f>
        <v>0.054776304963434752</v>
      </c>
      <c r="S750" s="73">
        <f>IF(B750="",0,P750*R750)</f>
        <v>0.76382212100673024</v>
      </c>
      <c r="T750" s="85">
        <f>IF(B750="",0,IF(OR(H750=MappingTables!$C$34,H750=MappingTables!$C$35),S750,0))</f>
        <v>0</v>
      </c>
    </row>
    <row r="751" spans="2:20" s="0" customFormat="0" ht="15">
      <c r="B751" s="69" t="s">
        <v>4346</v>
      </c>
      <c r="C751" s="70" t="s">
        <v>4347</v>
      </c>
      <c r="D751" s="70" t="s">
        <v>1</v>
      </c>
      <c r="E751" s="70" t="s">
        <v>1</v>
      </c>
      <c r="F751" s="70"/>
      <c r="G751" s="70" t="s">
        <v>61</v>
      </c>
      <c r="H751" s="70" t="s">
        <v>178</v>
      </c>
      <c r="I751" s="70" t="s">
        <v>3298</v>
      </c>
      <c r="J751" s="71">
        <f>IF(OR(I751=0,I751=""),"unrated",VLOOKUP(I751,MappingTables!$B$19:$C$31,2,FALSE))</f>
        <v>6</v>
      </c>
      <c r="K751" s="72">
        <v>175.53632391372378</v>
      </c>
      <c r="L751" s="70">
        <v>0.068493380815245712</v>
      </c>
      <c r="M751" s="71">
        <f>IF(L751&lt;1,1,L751)</f>
        <v>1</v>
      </c>
      <c r="N751" s="70" t="s">
        <v>3288</v>
      </c>
      <c r="O751" s="71">
        <f>IF(OR(I751=$A$1,I751=0),"",IF(N751=MappingTables!$C$14,VLOOKUP(J751,ModelParameters!$M$8:$N$15,2,FALSE),IF(N751=MappingTables!$C$16,VLOOKUP(J751,ModelParameters!$P$8:$Q$15,2,FALSE),0)))</f>
        <v>1</v>
      </c>
      <c r="P751" s="73">
        <f>IF(OR(I751=0,I751=$A$1),0,MIN(O751*M751,1)*K751)</f>
        <v>175.53632391372378</v>
      </c>
      <c r="Q751" s="73">
        <f>IF(B751="",0,IF(OR(H751=MappingTables!$C$34,H751=MappingTables!$C$35),P751,0))</f>
        <v>0</v>
      </c>
      <c r="R751" s="73">
        <f>IF(ISNA(IF(AND(VLOOKUP(CONCATENATE($D751,$G751),CSRFinput!$B:$E,4,0)=0,OR(H751=MappingTables!$C$31,H751=MappingTables!$C$32)),1,VLOOKUP(CONCATENATE($D751,$G751),CSRFinput!$B:$E,4,0))),0,IF(AND(VLOOKUP(CONCATENATE($D751,$G751),CSRFinput!$B:$E,4,0)=0,OR(H751=MappingTables!$C$31,H751=MappingTables!$C$32)),1,VLOOKUP(CONCATENATE($D751,$G751),CSRFinput!$B:$E,4,0)))</f>
        <v>0.054776304963434752</v>
      </c>
      <c r="S751" s="73">
        <f>IF(B751="",0,P751*R751)</f>
        <v>9.6152312108583984</v>
      </c>
      <c r="T751" s="85">
        <f>IF(B751="",0,IF(OR(H751=MappingTables!$C$34,H751=MappingTables!$C$35),S751,0))</f>
        <v>0</v>
      </c>
    </row>
    <row r="752" spans="2:20" s="0" customFormat="0" ht="15">
      <c r="B752" s="69" t="s">
        <v>4348</v>
      </c>
      <c r="C752" s="70" t="s">
        <v>4349</v>
      </c>
      <c r="D752" s="70" t="s">
        <v>1</v>
      </c>
      <c r="E752" s="70" t="s">
        <v>1</v>
      </c>
      <c r="F752" s="70"/>
      <c r="G752" s="70" t="s">
        <v>61</v>
      </c>
      <c r="H752" s="70" t="s">
        <v>178</v>
      </c>
      <c r="I752" s="70" t="s">
        <v>198</v>
      </c>
      <c r="J752" s="71" t="str">
        <f>IF(OR(I752=0,I752=""),"unrated",VLOOKUP(I752,MappingTables!$B$19:$C$31,2,FALSE))</f>
        <v>unrated</v>
      </c>
      <c r="K752" s="72">
        <v>4.1068287524079624</v>
      </c>
      <c r="L752" s="70">
        <v>8.778382447725288</v>
      </c>
      <c r="M752" s="71">
        <f>IF(L752&lt;1,1,L752)</f>
        <v>8.778382447725288</v>
      </c>
      <c r="N752" s="70" t="s">
        <v>3288</v>
      </c>
      <c r="O752" s="71">
        <f>IF(OR(I752=$A$1,I752=0),"",IF(N752=MappingTables!$C$14,VLOOKUP(J752,ModelParameters!$M$8:$N$15,2,FALSE),IF(N752=MappingTables!$C$16,VLOOKUP(J752,ModelParameters!$P$8:$Q$15,2,FALSE),0)))</f>
        <v>1</v>
      </c>
      <c r="P752" s="73">
        <f>IF(OR(I752=0,I752=$A$1),0,MIN(O752*M752,1)*K752)</f>
        <v>4.1068287524079624</v>
      </c>
      <c r="Q752" s="73">
        <f>IF(B752="",0,IF(OR(H752=MappingTables!$C$34,H752=MappingTables!$C$35),P752,0))</f>
        <v>0</v>
      </c>
      <c r="R752" s="73">
        <f>IF(ISNA(IF(AND(VLOOKUP(CONCATENATE($D752,$G752),CSRFinput!$B:$E,4,0)=0,OR(H752=MappingTables!$C$31,H752=MappingTables!$C$32)),1,VLOOKUP(CONCATENATE($D752,$G752),CSRFinput!$B:$E,4,0))),0,IF(AND(VLOOKUP(CONCATENATE($D752,$G752),CSRFinput!$B:$E,4,0)=0,OR(H752=MappingTables!$C$31,H752=MappingTables!$C$32)),1,VLOOKUP(CONCATENATE($D752,$G752),CSRFinput!$B:$E,4,0)))</f>
        <v>0.054776304963434752</v>
      </c>
      <c r="S752" s="73">
        <f>IF(B752="",0,P752*R752)</f>
        <v>0.22495690417450084</v>
      </c>
      <c r="T752" s="85">
        <f>IF(B752="",0,IF(OR(H752=MappingTables!$C$34,H752=MappingTables!$C$35),S752,0))</f>
        <v>0</v>
      </c>
    </row>
    <row r="753" spans="2:20" s="0" customFormat="0" ht="15">
      <c r="B753" s="69" t="s">
        <v>3924</v>
      </c>
      <c r="C753" s="70" t="s">
        <v>3925</v>
      </c>
      <c r="D753" s="70" t="s">
        <v>1</v>
      </c>
      <c r="E753" s="70" t="s">
        <v>1</v>
      </c>
      <c r="F753" s="70"/>
      <c r="G753" s="70" t="s">
        <v>61</v>
      </c>
      <c r="H753" s="70" t="s">
        <v>178</v>
      </c>
      <c r="I753" s="70" t="s">
        <v>184</v>
      </c>
      <c r="J753" s="71">
        <f>IF(OR(I753=0,I753=""),"unrated",VLOOKUP(I753,MappingTables!$B$19:$C$31,2,FALSE))</f>
        <v>5</v>
      </c>
      <c r="K753" s="72">
        <v>383.4461010288884</v>
      </c>
      <c r="L753" s="70">
        <v>0.068488722324161384</v>
      </c>
      <c r="M753" s="71">
        <f>IF(L753&lt;1,1,L753)</f>
        <v>1</v>
      </c>
      <c r="N753" s="70" t="s">
        <v>3288</v>
      </c>
      <c r="O753" s="71">
        <f>IF(OR(I753=$A$1,I753=0),"",IF(N753=MappingTables!$C$14,VLOOKUP(J753,ModelParameters!$M$8:$N$15,2,FALSE),IF(N753=MappingTables!$C$16,VLOOKUP(J753,ModelParameters!$P$8:$Q$15,2,FALSE),0)))</f>
        <v>1</v>
      </c>
      <c r="P753" s="73">
        <f>IF(OR(I753=0,I753=$A$1),0,MIN(O753*M753,1)*K753)</f>
        <v>383.4461010288884</v>
      </c>
      <c r="Q753" s="73">
        <f>IF(B753="",0,IF(OR(H753=MappingTables!$C$34,H753=MappingTables!$C$35),P753,0))</f>
        <v>0</v>
      </c>
      <c r="R753" s="73">
        <f>IF(ISNA(IF(AND(VLOOKUP(CONCATENATE($D753,$G753),CSRFinput!$B:$E,4,0)=0,OR(H753=MappingTables!$C$31,H753=MappingTables!$C$32)),1,VLOOKUP(CONCATENATE($D753,$G753),CSRFinput!$B:$E,4,0))),0,IF(AND(VLOOKUP(CONCATENATE($D753,$G753),CSRFinput!$B:$E,4,0)=0,OR(H753=MappingTables!$C$31,H753=MappingTables!$C$32)),1,VLOOKUP(CONCATENATE($D753,$G753),CSRFinput!$B:$E,4,0)))</f>
        <v>0.054776304963434752</v>
      </c>
      <c r="S753" s="73">
        <f>IF(B753="",0,P753*R753)</f>
        <v>21.0037605669984</v>
      </c>
      <c r="T753" s="85">
        <f>IF(B753="",0,IF(OR(H753=MappingTables!$C$34,H753=MappingTables!$C$35),S753,0))</f>
        <v>0</v>
      </c>
    </row>
    <row r="754" spans="2:20" s="0" customFormat="0" ht="15">
      <c r="B754" s="69" t="s">
        <v>4350</v>
      </c>
      <c r="C754" s="70" t="s">
        <v>4351</v>
      </c>
      <c r="D754" s="70" t="s">
        <v>1</v>
      </c>
      <c r="E754" s="70" t="s">
        <v>1</v>
      </c>
      <c r="F754" s="70"/>
      <c r="G754" s="70" t="s">
        <v>61</v>
      </c>
      <c r="H754" s="70" t="s">
        <v>178</v>
      </c>
      <c r="I754" s="70" t="s">
        <v>3298</v>
      </c>
      <c r="J754" s="71">
        <f>IF(OR(I754=0,I754=""),"unrated",VLOOKUP(I754,MappingTables!$B$19:$C$31,2,FALSE))</f>
        <v>6</v>
      </c>
      <c r="K754" s="72">
        <v>131.39789629853786</v>
      </c>
      <c r="L754" s="70">
        <v>-0.21277116080553064</v>
      </c>
      <c r="M754" s="71">
        <f>IF(L754&lt;1,1,L754)</f>
        <v>1</v>
      </c>
      <c r="N754" s="70" t="s">
        <v>3288</v>
      </c>
      <c r="O754" s="71">
        <f>IF(OR(I754=$A$1,I754=0),"",IF(N754=MappingTables!$C$14,VLOOKUP(J754,ModelParameters!$M$8:$N$15,2,FALSE),IF(N754=MappingTables!$C$16,VLOOKUP(J754,ModelParameters!$P$8:$Q$15,2,FALSE),0)))</f>
        <v>1</v>
      </c>
      <c r="P754" s="73">
        <f>IF(OR(I754=0,I754=$A$1),0,MIN(O754*M754,1)*K754)</f>
        <v>131.39789629853786</v>
      </c>
      <c r="Q754" s="73">
        <f>IF(B754="",0,IF(OR(H754=MappingTables!$C$34,H754=MappingTables!$C$35),P754,0))</f>
        <v>0</v>
      </c>
      <c r="R754" s="73">
        <f>IF(ISNA(IF(AND(VLOOKUP(CONCATENATE($D754,$G754),CSRFinput!$B:$E,4,0)=0,OR(H754=MappingTables!$C$31,H754=MappingTables!$C$32)),1,VLOOKUP(CONCATENATE($D754,$G754),CSRFinput!$B:$E,4,0))),0,IF(AND(VLOOKUP(CONCATENATE($D754,$G754),CSRFinput!$B:$E,4,0)=0,OR(H754=MappingTables!$C$31,H754=MappingTables!$C$32)),1,VLOOKUP(CONCATENATE($D754,$G754),CSRFinput!$B:$E,4,0)))</f>
        <v>0.054776304963434752</v>
      </c>
      <c r="S754" s="73">
        <f>IF(B754="",0,P754*R754)</f>
        <v>7.197491239202484</v>
      </c>
      <c r="T754" s="85">
        <f>IF(B754="",0,IF(OR(H754=MappingTables!$C$34,H754=MappingTables!$C$35),S754,0))</f>
        <v>0</v>
      </c>
    </row>
    <row r="755" spans="2:20" s="0" customFormat="0" ht="15">
      <c r="B755" s="69" t="s">
        <v>4352</v>
      </c>
      <c r="C755" s="70" t="s">
        <v>4353</v>
      </c>
      <c r="D755" s="70" t="s">
        <v>1</v>
      </c>
      <c r="E755" s="70" t="s">
        <v>1</v>
      </c>
      <c r="F755" s="70"/>
      <c r="G755" s="70" t="s">
        <v>61</v>
      </c>
      <c r="H755" s="70" t="s">
        <v>178</v>
      </c>
      <c r="I755" s="70" t="s">
        <v>3291</v>
      </c>
      <c r="J755" s="71">
        <f>IF(OR(I755=0,I755=""),"unrated",VLOOKUP(I755,MappingTables!$B$19:$C$31,2,FALSE))</f>
        <v>6</v>
      </c>
      <c r="K755" s="72">
        <v>1503.7685003274048</v>
      </c>
      <c r="L755" s="70">
        <v>0.06361766996884716</v>
      </c>
      <c r="M755" s="71">
        <f>IF(L755&lt;1,1,L755)</f>
        <v>1</v>
      </c>
      <c r="N755" s="70" t="s">
        <v>3288</v>
      </c>
      <c r="O755" s="71">
        <f>IF(OR(I755=$A$1,I755=0),"",IF(N755=MappingTables!$C$14,VLOOKUP(J755,ModelParameters!$M$8:$N$15,2,FALSE),IF(N755=MappingTables!$C$16,VLOOKUP(J755,ModelParameters!$P$8:$Q$15,2,FALSE),0)))</f>
        <v>1</v>
      </c>
      <c r="P755" s="73">
        <f>IF(OR(I755=0,I755=$A$1),0,MIN(O755*M755,1)*K755)</f>
        <v>1503.7685003274048</v>
      </c>
      <c r="Q755" s="73">
        <f>IF(B755="",0,IF(OR(H755=MappingTables!$C$34,H755=MappingTables!$C$35),P755,0))</f>
        <v>0</v>
      </c>
      <c r="R755" s="73">
        <f>IF(ISNA(IF(AND(VLOOKUP(CONCATENATE($D755,$G755),CSRFinput!$B:$E,4,0)=0,OR(H755=MappingTables!$C$31,H755=MappingTables!$C$32)),1,VLOOKUP(CONCATENATE($D755,$G755),CSRFinput!$B:$E,4,0))),0,IF(AND(VLOOKUP(CONCATENATE($D755,$G755),CSRFinput!$B:$E,4,0)=0,OR(H755=MappingTables!$C$31,H755=MappingTables!$C$32)),1,VLOOKUP(CONCATENATE($D755,$G755),CSRFinput!$B:$E,4,0)))</f>
        <v>0.054776304963434752</v>
      </c>
      <c r="S755" s="73">
        <f>IF(B755="",0,P755*R755)</f>
        <v>82.370881968340848</v>
      </c>
      <c r="T755" s="85">
        <f>IF(B755="",0,IF(OR(H755=MappingTables!$C$34,H755=MappingTables!$C$35),S755,0))</f>
        <v>0</v>
      </c>
    </row>
    <row r="756" spans="2:20" s="0" customFormat="0" ht="15">
      <c r="B756" s="69" t="s">
        <v>4354</v>
      </c>
      <c r="C756" s="70" t="s">
        <v>4355</v>
      </c>
      <c r="D756" s="70" t="s">
        <v>1</v>
      </c>
      <c r="E756" s="70" t="s">
        <v>1</v>
      </c>
      <c r="F756" s="70"/>
      <c r="G756" s="70" t="s">
        <v>61</v>
      </c>
      <c r="H756" s="70" t="s">
        <v>178</v>
      </c>
      <c r="I756" s="70" t="s">
        <v>3298</v>
      </c>
      <c r="J756" s="71">
        <f>IF(OR(I756=0,I756=""),"unrated",VLOOKUP(I756,MappingTables!$B$19:$C$31,2,FALSE))</f>
        <v>6</v>
      </c>
      <c r="K756" s="72">
        <v>207.58175363565552</v>
      </c>
      <c r="L756" s="70">
        <v>-1.6230049777578882</v>
      </c>
      <c r="M756" s="71">
        <f>IF(L756&lt;1,1,L756)</f>
        <v>1</v>
      </c>
      <c r="N756" s="70" t="s">
        <v>3288</v>
      </c>
      <c r="O756" s="71">
        <f>IF(OR(I756=$A$1,I756=0),"",IF(N756=MappingTables!$C$14,VLOOKUP(J756,ModelParameters!$M$8:$N$15,2,FALSE),IF(N756=MappingTables!$C$16,VLOOKUP(J756,ModelParameters!$P$8:$Q$15,2,FALSE),0)))</f>
        <v>1</v>
      </c>
      <c r="P756" s="73">
        <f>IF(OR(I756=0,I756=$A$1),0,MIN(O756*M756,1)*K756)</f>
        <v>207.58175363565552</v>
      </c>
      <c r="Q756" s="73">
        <f>IF(B756="",0,IF(OR(H756=MappingTables!$C$34,H756=MappingTables!$C$35),P756,0))</f>
        <v>0</v>
      </c>
      <c r="R756" s="73">
        <f>IF(ISNA(IF(AND(VLOOKUP(CONCATENATE($D756,$G756),CSRFinput!$B:$E,4,0)=0,OR(H756=MappingTables!$C$31,H756=MappingTables!$C$32)),1,VLOOKUP(CONCATENATE($D756,$G756),CSRFinput!$B:$E,4,0))),0,IF(AND(VLOOKUP(CONCATENATE($D756,$G756),CSRFinput!$B:$E,4,0)=0,OR(H756=MappingTables!$C$31,H756=MappingTables!$C$32)),1,VLOOKUP(CONCATENATE($D756,$G756),CSRFinput!$B:$E,4,0)))</f>
        <v>0.054776304963434752</v>
      </c>
      <c r="S756" s="73">
        <f>IF(B756="",0,P756*R756)</f>
        <v>11.370561441991248</v>
      </c>
      <c r="T756" s="85">
        <f>IF(B756="",0,IF(OR(H756=MappingTables!$C$34,H756=MappingTables!$C$35),S756,0))</f>
        <v>0</v>
      </c>
    </row>
    <row r="757" spans="2:20" s="0" customFormat="0" ht="15">
      <c r="B757" s="69">
        <v>7065951</v>
      </c>
      <c r="C757" s="70" t="s">
        <v>4356</v>
      </c>
      <c r="D757" s="70" t="s">
        <v>1</v>
      </c>
      <c r="E757" s="70" t="s">
        <v>1</v>
      </c>
      <c r="F757" s="70"/>
      <c r="G757" s="70" t="s">
        <v>61</v>
      </c>
      <c r="H757" s="70" t="s">
        <v>178</v>
      </c>
      <c r="I757" s="70" t="s">
        <v>216</v>
      </c>
      <c r="J757" s="71">
        <f>IF(OR(I757=0,I757=""),"unrated",VLOOKUP(I757,MappingTables!$B$19:$C$31,2,FALSE))</f>
        <v>0</v>
      </c>
      <c r="K757" s="72">
        <v>0.1666569768939972</v>
      </c>
      <c r="L757" s="70">
        <v>0.082499700251531472</v>
      </c>
      <c r="M757" s="71">
        <f>IF(L757&lt;1,1,L757)</f>
        <v>1</v>
      </c>
      <c r="N757" s="70" t="s">
        <v>3288</v>
      </c>
      <c r="O757" s="71">
        <f>IF(OR(I757=$A$1,I757=0),"",IF(N757=MappingTables!$C$14,VLOOKUP(J757,ModelParameters!$M$8:$N$15,2,FALSE),IF(N757=MappingTables!$C$16,VLOOKUP(J757,ModelParameters!$P$8:$Q$15,2,FALSE),0)))</f>
        <v>0.125</v>
      </c>
      <c r="P757" s="73">
        <f>IF(OR(I757=0,I757=$A$1),0,MIN(O757*M757,1)*K757)</f>
        <v>0.020832122111749648</v>
      </c>
      <c r="Q757" s="73">
        <f>IF(B757="",0,IF(OR(H757=MappingTables!$C$34,H757=MappingTables!$C$35),P757,0))</f>
        <v>0</v>
      </c>
      <c r="R757" s="73">
        <f>IF(ISNA(IF(AND(VLOOKUP(CONCATENATE($D757,$G757),CSRFinput!$B:$E,4,0)=0,OR(H757=MappingTables!$C$31,H757=MappingTables!$C$32)),1,VLOOKUP(CONCATENATE($D757,$G757),CSRFinput!$B:$E,4,0))),0,IF(AND(VLOOKUP(CONCATENATE($D757,$G757),CSRFinput!$B:$E,4,0)=0,OR(H757=MappingTables!$C$31,H757=MappingTables!$C$32)),1,VLOOKUP(CONCATENATE($D757,$G757),CSRFinput!$B:$E,4,0)))</f>
        <v>0.054776304963434752</v>
      </c>
      <c r="S757" s="73">
        <f>IF(B757="",0,P757*R757)</f>
        <v>0.0011411066738287112</v>
      </c>
      <c r="T757" s="85">
        <f>IF(B757="",0,IF(OR(H757=MappingTables!$C$34,H757=MappingTables!$C$35),S757,0))</f>
        <v>0</v>
      </c>
    </row>
    <row r="758" spans="2:20" s="0" customFormat="0" ht="15">
      <c r="B758" s="69" t="s">
        <v>4357</v>
      </c>
      <c r="C758" s="70" t="s">
        <v>4358</v>
      </c>
      <c r="D758" s="70" t="s">
        <v>1</v>
      </c>
      <c r="E758" s="70" t="s">
        <v>1</v>
      </c>
      <c r="F758" s="70"/>
      <c r="G758" s="70" t="s">
        <v>61</v>
      </c>
      <c r="H758" s="70" t="s">
        <v>178</v>
      </c>
      <c r="I758" s="70" t="s">
        <v>181</v>
      </c>
      <c r="J758" s="71">
        <f>IF(OR(I758=0,I758=""),"unrated",VLOOKUP(I758,MappingTables!$B$19:$C$31,2,FALSE))</f>
        <v>3</v>
      </c>
      <c r="K758" s="72">
        <v>145.49833412638346</v>
      </c>
      <c r="L758" s="70">
        <v>0.054795747421114384</v>
      </c>
      <c r="M758" s="71">
        <f>IF(L758&lt;1,1,L758)</f>
        <v>1</v>
      </c>
      <c r="N758" s="70" t="s">
        <v>3288</v>
      </c>
      <c r="O758" s="71">
        <f>IF(OR(I758=$A$1,I758=0),"",IF(N758=MappingTables!$C$14,VLOOKUP(J758,ModelParameters!$M$8:$N$15,2,FALSE),IF(N758=MappingTables!$C$16,VLOOKUP(J758,ModelParameters!$P$8:$Q$15,2,FALSE),0)))</f>
        <v>0.197</v>
      </c>
      <c r="P758" s="73">
        <f>IF(OR(I758=0,I758=$A$1),0,MIN(O758*M758,1)*K758)</f>
        <v>28.663171822897544</v>
      </c>
      <c r="Q758" s="73">
        <f>IF(B758="",0,IF(OR(H758=MappingTables!$C$34,H758=MappingTables!$C$35),P758,0))</f>
        <v>0</v>
      </c>
      <c r="R758" s="73">
        <f>IF(ISNA(IF(AND(VLOOKUP(CONCATENATE($D758,$G758),CSRFinput!$B:$E,4,0)=0,OR(H758=MappingTables!$C$31,H758=MappingTables!$C$32)),1,VLOOKUP(CONCATENATE($D758,$G758),CSRFinput!$B:$E,4,0))),0,IF(AND(VLOOKUP(CONCATENATE($D758,$G758),CSRFinput!$B:$E,4,0)=0,OR(H758=MappingTables!$C$31,H758=MappingTables!$C$32)),1,VLOOKUP(CONCATENATE($D758,$G758),CSRFinput!$B:$E,4,0)))</f>
        <v>0.054776304963434752</v>
      </c>
      <c r="S758" s="73">
        <f>IF(B758="",0,P758*R758)</f>
        <v>1.5700626409903658</v>
      </c>
      <c r="T758" s="85">
        <f>IF(B758="",0,IF(OR(H758=MappingTables!$C$34,H758=MappingTables!$C$35),S758,0))</f>
        <v>0</v>
      </c>
    </row>
    <row r="759" spans="2:20" s="0" customFormat="0" ht="15">
      <c r="B759" s="69" t="s">
        <v>3438</v>
      </c>
      <c r="C759" s="70" t="s">
        <v>3439</v>
      </c>
      <c r="D759" s="70" t="s">
        <v>1</v>
      </c>
      <c r="E759" s="70" t="s">
        <v>1</v>
      </c>
      <c r="F759" s="70"/>
      <c r="G759" s="70" t="s">
        <v>61</v>
      </c>
      <c r="H759" s="70" t="s">
        <v>178</v>
      </c>
      <c r="I759" s="70" t="s">
        <v>204</v>
      </c>
      <c r="J759" s="71">
        <f>IF(OR(I759=0,I759=""),"unrated",VLOOKUP(I759,MappingTables!$B$19:$C$31,2,FALSE))</f>
        <v>6</v>
      </c>
      <c r="K759" s="72">
        <v>118.28010365646702</v>
      </c>
      <c r="L759" s="70">
        <v>0.068492801525954464</v>
      </c>
      <c r="M759" s="71">
        <f>IF(L759&lt;1,1,L759)</f>
        <v>1</v>
      </c>
      <c r="N759" s="70" t="s">
        <v>3288</v>
      </c>
      <c r="O759" s="71">
        <f>IF(OR(I759=$A$1,I759=0),"",IF(N759=MappingTables!$C$14,VLOOKUP(J759,ModelParameters!$M$8:$N$15,2,FALSE),IF(N759=MappingTables!$C$16,VLOOKUP(J759,ModelParameters!$P$8:$Q$15,2,FALSE),0)))</f>
        <v>1</v>
      </c>
      <c r="P759" s="73">
        <f>IF(OR(I759=0,I759=$A$1),0,MIN(O759*M759,1)*K759)</f>
        <v>118.28010365646702</v>
      </c>
      <c r="Q759" s="73">
        <f>IF(B759="",0,IF(OR(H759=MappingTables!$C$34,H759=MappingTables!$C$35),P759,0))</f>
        <v>0</v>
      </c>
      <c r="R759" s="73">
        <f>IF(ISNA(IF(AND(VLOOKUP(CONCATENATE($D759,$G759),CSRFinput!$B:$E,4,0)=0,OR(H759=MappingTables!$C$31,H759=MappingTables!$C$32)),1,VLOOKUP(CONCATENATE($D759,$G759),CSRFinput!$B:$E,4,0))),0,IF(AND(VLOOKUP(CONCATENATE($D759,$G759),CSRFinput!$B:$E,4,0)=0,OR(H759=MappingTables!$C$31,H759=MappingTables!$C$32)),1,VLOOKUP(CONCATENATE($D759,$G759),CSRFinput!$B:$E,4,0)))</f>
        <v>0.054776304963434752</v>
      </c>
      <c r="S759" s="73">
        <f>IF(B759="",0,P759*R759)</f>
        <v>6.4789470289933112</v>
      </c>
      <c r="T759" s="85">
        <f>IF(B759="",0,IF(OR(H759=MappingTables!$C$34,H759=MappingTables!$C$35),S759,0))</f>
        <v>0</v>
      </c>
    </row>
    <row r="760" spans="2:20" s="0" customFormat="0" ht="15">
      <c r="B760" s="69" t="s">
        <v>3658</v>
      </c>
      <c r="C760" s="70" t="s">
        <v>3659</v>
      </c>
      <c r="D760" s="70" t="s">
        <v>1</v>
      </c>
      <c r="E760" s="70" t="s">
        <v>1</v>
      </c>
      <c r="F760" s="70"/>
      <c r="G760" s="70" t="s">
        <v>61</v>
      </c>
      <c r="H760" s="70" t="s">
        <v>178</v>
      </c>
      <c r="I760" s="70" t="s">
        <v>184</v>
      </c>
      <c r="J760" s="71">
        <f>IF(OR(I760=0,I760=""),"unrated",VLOOKUP(I760,MappingTables!$B$19:$C$31,2,FALSE))</f>
        <v>5</v>
      </c>
      <c r="K760" s="72">
        <v>452.37497722739296</v>
      </c>
      <c r="L760" s="70">
        <v>0.068493242671559472</v>
      </c>
      <c r="M760" s="71">
        <f>IF(L760&lt;1,1,L760)</f>
        <v>1</v>
      </c>
      <c r="N760" s="70" t="s">
        <v>3288</v>
      </c>
      <c r="O760" s="71">
        <f>IF(OR(I760=$A$1,I760=0),"",IF(N760=MappingTables!$C$14,VLOOKUP(J760,ModelParameters!$M$8:$N$15,2,FALSE),IF(N760=MappingTables!$C$16,VLOOKUP(J760,ModelParameters!$P$8:$Q$15,2,FALSE),0)))</f>
        <v>1</v>
      </c>
      <c r="P760" s="73">
        <f>IF(OR(I760=0,I760=$A$1),0,MIN(O760*M760,1)*K760)</f>
        <v>452.37497722739296</v>
      </c>
      <c r="Q760" s="73">
        <f>IF(B760="",0,IF(OR(H760=MappingTables!$C$34,H760=MappingTables!$C$35),P760,0))</f>
        <v>0</v>
      </c>
      <c r="R760" s="73">
        <f>IF(ISNA(IF(AND(VLOOKUP(CONCATENATE($D760,$G760),CSRFinput!$B:$E,4,0)=0,OR(H760=MappingTables!$C$31,H760=MappingTables!$C$32)),1,VLOOKUP(CONCATENATE($D760,$G760),CSRFinput!$B:$E,4,0))),0,IF(AND(VLOOKUP(CONCATENATE($D760,$G760),CSRFinput!$B:$E,4,0)=0,OR(H760=MappingTables!$C$31,H760=MappingTables!$C$32)),1,VLOOKUP(CONCATENATE($D760,$G760),CSRFinput!$B:$E,4,0)))</f>
        <v>0.054776304963434752</v>
      </c>
      <c r="S760" s="73">
        <f>IF(B760="",0,P760*R760)</f>
        <v>24.779429710434528</v>
      </c>
      <c r="T760" s="85">
        <f>IF(B760="",0,IF(OR(H760=MappingTables!$C$34,H760=MappingTables!$C$35),S760,0))</f>
        <v>0</v>
      </c>
    </row>
    <row r="761" spans="2:20" s="0" customFormat="0" ht="15">
      <c r="B761" s="69" t="s">
        <v>4359</v>
      </c>
      <c r="C761" s="70" t="s">
        <v>4360</v>
      </c>
      <c r="D761" s="70" t="s">
        <v>1</v>
      </c>
      <c r="E761" s="70" t="s">
        <v>1</v>
      </c>
      <c r="F761" s="70"/>
      <c r="G761" s="70" t="s">
        <v>61</v>
      </c>
      <c r="H761" s="70" t="s">
        <v>178</v>
      </c>
      <c r="I761" s="70" t="s">
        <v>198</v>
      </c>
      <c r="J761" s="71" t="str">
        <f>IF(OR(I761=0,I761=""),"unrated",VLOOKUP(I761,MappingTables!$B$19:$C$31,2,FALSE))</f>
        <v>unrated</v>
      </c>
      <c r="K761" s="72">
        <v>944.41535396452928</v>
      </c>
      <c r="L761" s="70">
        <v>22.844031783901504</v>
      </c>
      <c r="M761" s="71">
        <f>IF(L761&lt;1,1,L761)</f>
        <v>22.844031783901504</v>
      </c>
      <c r="N761" s="70" t="s">
        <v>3288</v>
      </c>
      <c r="O761" s="71">
        <f>IF(OR(I761=$A$1,I761=0),"",IF(N761=MappingTables!$C$14,VLOOKUP(J761,ModelParameters!$M$8:$N$15,2,FALSE),IF(N761=MappingTables!$C$16,VLOOKUP(J761,ModelParameters!$P$8:$Q$15,2,FALSE),0)))</f>
        <v>1</v>
      </c>
      <c r="P761" s="73">
        <f>IF(OR(I761=0,I761=$A$1),0,MIN(O761*M761,1)*K761)</f>
        <v>944.41535396452928</v>
      </c>
      <c r="Q761" s="73">
        <f>IF(B761="",0,IF(OR(H761=MappingTables!$C$34,H761=MappingTables!$C$35),P761,0))</f>
        <v>0</v>
      </c>
      <c r="R761" s="73">
        <f>IF(ISNA(IF(AND(VLOOKUP(CONCATENATE($D761,$G761),CSRFinput!$B:$E,4,0)=0,OR(H761=MappingTables!$C$31,H761=MappingTables!$C$32)),1,VLOOKUP(CONCATENATE($D761,$G761),CSRFinput!$B:$E,4,0))),0,IF(AND(VLOOKUP(CONCATENATE($D761,$G761),CSRFinput!$B:$E,4,0)=0,OR(H761=MappingTables!$C$31,H761=MappingTables!$C$32)),1,VLOOKUP(CONCATENATE($D761,$G761),CSRFinput!$B:$E,4,0)))</f>
        <v>0.054776304963434752</v>
      </c>
      <c r="S761" s="73">
        <f>IF(B761="",0,P761*R761)</f>
        <v>51.73158344091124</v>
      </c>
      <c r="T761" s="85">
        <f>IF(B761="",0,IF(OR(H761=MappingTables!$C$34,H761=MappingTables!$C$35),S761,0))</f>
        <v>0</v>
      </c>
    </row>
    <row r="762" spans="2:20" s="0" customFormat="0" ht="15">
      <c r="B762" s="69">
        <v>6156877</v>
      </c>
      <c r="C762" s="70" t="s">
        <v>4361</v>
      </c>
      <c r="D762" s="70" t="s">
        <v>1</v>
      </c>
      <c r="E762" s="70" t="s">
        <v>1</v>
      </c>
      <c r="F762" s="70"/>
      <c r="G762" s="70" t="s">
        <v>61</v>
      </c>
      <c r="H762" s="70" t="s">
        <v>178</v>
      </c>
      <c r="I762" s="70" t="s">
        <v>188</v>
      </c>
      <c r="J762" s="71">
        <f>IF(OR(I762=0,I762=""),"unrated",VLOOKUP(I762,MappingTables!$B$19:$C$31,2,FALSE))</f>
        <v>2</v>
      </c>
      <c r="K762" s="72">
        <v>806.86008517191184</v>
      </c>
      <c r="L762" s="70">
        <v>0.068490870451629864</v>
      </c>
      <c r="M762" s="71">
        <f>IF(L762&lt;1,1,L762)</f>
        <v>1</v>
      </c>
      <c r="N762" s="70" t="s">
        <v>3288</v>
      </c>
      <c r="O762" s="71">
        <f>IF(OR(I762=$A$1,I762=0),"",IF(N762=MappingTables!$C$14,VLOOKUP(J762,ModelParameters!$M$8:$N$15,2,FALSE),IF(N762=MappingTables!$C$16,VLOOKUP(J762,ModelParameters!$P$8:$Q$15,2,FALSE),0)))</f>
        <v>0.166</v>
      </c>
      <c r="P762" s="73">
        <f>IF(OR(I762=0,I762=$A$1),0,MIN(O762*M762,1)*K762)</f>
        <v>133.93877413853738</v>
      </c>
      <c r="Q762" s="73">
        <f>IF(B762="",0,IF(OR(H762=MappingTables!$C$34,H762=MappingTables!$C$35),P762,0))</f>
        <v>0</v>
      </c>
      <c r="R762" s="73">
        <f>IF(ISNA(IF(AND(VLOOKUP(CONCATENATE($D762,$G762),CSRFinput!$B:$E,4,0)=0,OR(H762=MappingTables!$C$31,H762=MappingTables!$C$32)),1,VLOOKUP(CONCATENATE($D762,$G762),CSRFinput!$B:$E,4,0))),0,IF(AND(VLOOKUP(CONCATENATE($D762,$G762),CSRFinput!$B:$E,4,0)=0,OR(H762=MappingTables!$C$31,H762=MappingTables!$C$32)),1,VLOOKUP(CONCATENATE($D762,$G762),CSRFinput!$B:$E,4,0)))</f>
        <v>0.054776304963434752</v>
      </c>
      <c r="S762" s="73">
        <f>IF(B762="",0,P762*R762)</f>
        <v>7.3366711386411312</v>
      </c>
      <c r="T762" s="85">
        <f>IF(B762="",0,IF(OR(H762=MappingTables!$C$34,H762=MappingTables!$C$35),S762,0))</f>
        <v>0</v>
      </c>
    </row>
    <row r="763" spans="2:20" s="0" customFormat="0" ht="15">
      <c r="B763" s="69" t="s">
        <v>3582</v>
      </c>
      <c r="C763" s="70" t="s">
        <v>3583</v>
      </c>
      <c r="D763" s="70" t="s">
        <v>1</v>
      </c>
      <c r="E763" s="70" t="s">
        <v>1</v>
      </c>
      <c r="F763" s="70"/>
      <c r="G763" s="70" t="s">
        <v>61</v>
      </c>
      <c r="H763" s="70" t="s">
        <v>178</v>
      </c>
      <c r="I763" s="70" t="s">
        <v>204</v>
      </c>
      <c r="J763" s="71">
        <f>IF(OR(I763=0,I763=""),"unrated",VLOOKUP(I763,MappingTables!$B$19:$C$31,2,FALSE))</f>
        <v>6</v>
      </c>
      <c r="K763" s="72">
        <v>659.71944677243528</v>
      </c>
      <c r="L763" s="70">
        <v>0.068494995946628112</v>
      </c>
      <c r="M763" s="71">
        <f>IF(L763&lt;1,1,L763)</f>
        <v>1</v>
      </c>
      <c r="N763" s="70" t="s">
        <v>3288</v>
      </c>
      <c r="O763" s="71">
        <f>IF(OR(I763=$A$1,I763=0),"",IF(N763=MappingTables!$C$14,VLOOKUP(J763,ModelParameters!$M$8:$N$15,2,FALSE),IF(N763=MappingTables!$C$16,VLOOKUP(J763,ModelParameters!$P$8:$Q$15,2,FALSE),0)))</f>
        <v>1</v>
      </c>
      <c r="P763" s="73">
        <f>IF(OR(I763=0,I763=$A$1),0,MIN(O763*M763,1)*K763)</f>
        <v>659.71944677243528</v>
      </c>
      <c r="Q763" s="73">
        <f>IF(B763="",0,IF(OR(H763=MappingTables!$C$34,H763=MappingTables!$C$35),P763,0))</f>
        <v>0</v>
      </c>
      <c r="R763" s="73">
        <f>IF(ISNA(IF(AND(VLOOKUP(CONCATENATE($D763,$G763),CSRFinput!$B:$E,4,0)=0,OR(H763=MappingTables!$C$31,H763=MappingTables!$C$32)),1,VLOOKUP(CONCATENATE($D763,$G763),CSRFinput!$B:$E,4,0))),0,IF(AND(VLOOKUP(CONCATENATE($D763,$G763),CSRFinput!$B:$E,4,0)=0,OR(H763=MappingTables!$C$31,H763=MappingTables!$C$32)),1,VLOOKUP(CONCATENATE($D763,$G763),CSRFinput!$B:$E,4,0)))</f>
        <v>0.054776304963434752</v>
      </c>
      <c r="S763" s="73">
        <f>IF(B763="",0,P763*R763)</f>
        <v>36.136993606715376</v>
      </c>
      <c r="T763" s="85">
        <f>IF(B763="",0,IF(OR(H763=MappingTables!$C$34,H763=MappingTables!$C$35),S763,0))</f>
        <v>0</v>
      </c>
    </row>
    <row r="764" spans="2:20" s="0" customFormat="0" ht="15">
      <c r="B764" s="69" t="s">
        <v>4070</v>
      </c>
      <c r="C764" s="70" t="s">
        <v>4071</v>
      </c>
      <c r="D764" s="70" t="s">
        <v>1</v>
      </c>
      <c r="E764" s="70" t="s">
        <v>1</v>
      </c>
      <c r="F764" s="70"/>
      <c r="G764" s="70" t="s">
        <v>61</v>
      </c>
      <c r="H764" s="70" t="s">
        <v>178</v>
      </c>
      <c r="I764" s="70" t="s">
        <v>198</v>
      </c>
      <c r="J764" s="71" t="str">
        <f>IF(OR(I764=0,I764=""),"unrated",VLOOKUP(I764,MappingTables!$B$19:$C$31,2,FALSE))</f>
        <v>unrated</v>
      </c>
      <c r="K764" s="72">
        <v>352.14213476067408</v>
      </c>
      <c r="L764" s="70">
        <v>9.5543206054721168</v>
      </c>
      <c r="M764" s="71">
        <f>IF(L764&lt;1,1,L764)</f>
        <v>9.5543206054721168</v>
      </c>
      <c r="N764" s="70" t="s">
        <v>3288</v>
      </c>
      <c r="O764" s="71">
        <f>IF(OR(I764=$A$1,I764=0),"",IF(N764=MappingTables!$C$14,VLOOKUP(J764,ModelParameters!$M$8:$N$15,2,FALSE),IF(N764=MappingTables!$C$16,VLOOKUP(J764,ModelParameters!$P$8:$Q$15,2,FALSE),0)))</f>
        <v>1</v>
      </c>
      <c r="P764" s="73">
        <f>IF(OR(I764=0,I764=$A$1),0,MIN(O764*M764,1)*K764)</f>
        <v>352.14213476067408</v>
      </c>
      <c r="Q764" s="73">
        <f>IF(B764="",0,IF(OR(H764=MappingTables!$C$34,H764=MappingTables!$C$35),P764,0))</f>
        <v>0</v>
      </c>
      <c r="R764" s="73">
        <f>IF(ISNA(IF(AND(VLOOKUP(CONCATENATE($D764,$G764),CSRFinput!$B:$E,4,0)=0,OR(H764=MappingTables!$C$31,H764=MappingTables!$C$32)),1,VLOOKUP(CONCATENATE($D764,$G764),CSRFinput!$B:$E,4,0))),0,IF(AND(VLOOKUP(CONCATENATE($D764,$G764),CSRFinput!$B:$E,4,0)=0,OR(H764=MappingTables!$C$31,H764=MappingTables!$C$32)),1,VLOOKUP(CONCATENATE($D764,$G764),CSRFinput!$B:$E,4,0)))</f>
        <v>0.054776304963434752</v>
      </c>
      <c r="S764" s="73">
        <f>IF(B764="",0,P764*R764)</f>
        <v>19.289044964125624</v>
      </c>
      <c r="T764" s="85">
        <f>IF(B764="",0,IF(OR(H764=MappingTables!$C$34,H764=MappingTables!$C$35),S764,0))</f>
        <v>0</v>
      </c>
    </row>
    <row r="765" spans="2:20" s="0" customFormat="0" ht="15">
      <c r="B765" s="69" t="s">
        <v>4362</v>
      </c>
      <c r="C765" s="70" t="s">
        <v>4363</v>
      </c>
      <c r="D765" s="70" t="s">
        <v>1</v>
      </c>
      <c r="E765" s="70" t="s">
        <v>1</v>
      </c>
      <c r="F765" s="70"/>
      <c r="G765" s="70" t="s">
        <v>61</v>
      </c>
      <c r="H765" s="70" t="s">
        <v>178</v>
      </c>
      <c r="I765" s="70" t="s">
        <v>216</v>
      </c>
      <c r="J765" s="71">
        <f>IF(OR(I765=0,I765=""),"unrated",VLOOKUP(I765,MappingTables!$B$19:$C$31,2,FALSE))</f>
        <v>0</v>
      </c>
      <c r="K765" s="72">
        <v>183.60227354249416</v>
      </c>
      <c r="L765" s="70">
        <v>0.054790467155671344</v>
      </c>
      <c r="M765" s="71">
        <f>IF(L765&lt;1,1,L765)</f>
        <v>1</v>
      </c>
      <c r="N765" s="70" t="s">
        <v>3288</v>
      </c>
      <c r="O765" s="71">
        <f>IF(OR(I765=$A$1,I765=0),"",IF(N765=MappingTables!$C$14,VLOOKUP(J765,ModelParameters!$M$8:$N$15,2,FALSE),IF(N765=MappingTables!$C$16,VLOOKUP(J765,ModelParameters!$P$8:$Q$15,2,FALSE),0)))</f>
        <v>0.125</v>
      </c>
      <c r="P765" s="73">
        <f>IF(OR(I765=0,I765=$A$1),0,MIN(O765*M765,1)*K765)</f>
        <v>22.950284192811768</v>
      </c>
      <c r="Q765" s="73">
        <f>IF(B765="",0,IF(OR(H765=MappingTables!$C$34,H765=MappingTables!$C$35),P765,0))</f>
        <v>0</v>
      </c>
      <c r="R765" s="73">
        <f>IF(ISNA(IF(AND(VLOOKUP(CONCATENATE($D765,$G765),CSRFinput!$B:$E,4,0)=0,OR(H765=MappingTables!$C$31,H765=MappingTables!$C$32)),1,VLOOKUP(CONCATENATE($D765,$G765),CSRFinput!$B:$E,4,0))),0,IF(AND(VLOOKUP(CONCATENATE($D765,$G765),CSRFinput!$B:$E,4,0)=0,OR(H765=MappingTables!$C$31,H765=MappingTables!$C$32)),1,VLOOKUP(CONCATENATE($D765,$G765),CSRFinput!$B:$E,4,0)))</f>
        <v>0.054776304963434752</v>
      </c>
      <c r="S765" s="73">
        <f>IF(B765="",0,P765*R765)</f>
        <v>1.2571317659429536</v>
      </c>
      <c r="T765" s="85">
        <f>IF(B765="",0,IF(OR(H765=MappingTables!$C$34,H765=MappingTables!$C$35),S765,0))</f>
        <v>0</v>
      </c>
    </row>
    <row r="766" spans="2:20" s="0" customFormat="0" ht="15">
      <c r="B766" s="69" t="s">
        <v>4364</v>
      </c>
      <c r="C766" s="70" t="s">
        <v>4365</v>
      </c>
      <c r="D766" s="70" t="s">
        <v>1</v>
      </c>
      <c r="E766" s="70" t="s">
        <v>1</v>
      </c>
      <c r="F766" s="70"/>
      <c r="G766" s="70" t="s">
        <v>61</v>
      </c>
      <c r="H766" s="70" t="s">
        <v>178</v>
      </c>
      <c r="I766" s="70" t="s">
        <v>3291</v>
      </c>
      <c r="J766" s="71">
        <f>IF(OR(I766=0,I766=""),"unrated",VLOOKUP(I766,MappingTables!$B$19:$C$31,2,FALSE))</f>
        <v>6</v>
      </c>
      <c r="K766" s="72">
        <v>181.5918715987152</v>
      </c>
      <c r="L766" s="70">
        <v>0.068493077201465576</v>
      </c>
      <c r="M766" s="71">
        <f>IF(L766&lt;1,1,L766)</f>
        <v>1</v>
      </c>
      <c r="N766" s="70" t="s">
        <v>3288</v>
      </c>
      <c r="O766" s="71">
        <f>IF(OR(I766=$A$1,I766=0),"",IF(N766=MappingTables!$C$14,VLOOKUP(J766,ModelParameters!$M$8:$N$15,2,FALSE),IF(N766=MappingTables!$C$16,VLOOKUP(J766,ModelParameters!$P$8:$Q$15,2,FALSE),0)))</f>
        <v>1</v>
      </c>
      <c r="P766" s="73">
        <f>IF(OR(I766=0,I766=$A$1),0,MIN(O766*M766,1)*K766)</f>
        <v>181.5918715987152</v>
      </c>
      <c r="Q766" s="73">
        <f>IF(B766="",0,IF(OR(H766=MappingTables!$C$34,H766=MappingTables!$C$35),P766,0))</f>
        <v>0</v>
      </c>
      <c r="R766" s="73">
        <f>IF(ISNA(IF(AND(VLOOKUP(CONCATENATE($D766,$G766),CSRFinput!$B:$E,4,0)=0,OR(H766=MappingTables!$C$31,H766=MappingTables!$C$32)),1,VLOOKUP(CONCATENATE($D766,$G766),CSRFinput!$B:$E,4,0))),0,IF(AND(VLOOKUP(CONCATENATE($D766,$G766),CSRFinput!$B:$E,4,0)=0,OR(H766=MappingTables!$C$31,H766=MappingTables!$C$32)),1,VLOOKUP(CONCATENATE($D766,$G766),CSRFinput!$B:$E,4,0)))</f>
        <v>0.054776304963434752</v>
      </c>
      <c r="S766" s="73">
        <f>IF(B766="",0,P766*R766)</f>
        <v>9.9469317375721088</v>
      </c>
      <c r="T766" s="85">
        <f>IF(B766="",0,IF(OR(H766=MappingTables!$C$34,H766=MappingTables!$C$35),S766,0))</f>
        <v>0</v>
      </c>
    </row>
    <row r="767" spans="2:20" s="0" customFormat="0" ht="15">
      <c r="B767" s="69" t="s">
        <v>4366</v>
      </c>
      <c r="C767" s="70" t="s">
        <v>4367</v>
      </c>
      <c r="D767" s="70" t="s">
        <v>1</v>
      </c>
      <c r="E767" s="70" t="s">
        <v>1</v>
      </c>
      <c r="F767" s="70"/>
      <c r="G767" s="70" t="s">
        <v>61</v>
      </c>
      <c r="H767" s="70" t="s">
        <v>178</v>
      </c>
      <c r="I767" s="70" t="s">
        <v>198</v>
      </c>
      <c r="J767" s="71" t="str">
        <f>IF(OR(I767=0,I767=""),"unrated",VLOOKUP(I767,MappingTables!$B$19:$C$31,2,FALSE))</f>
        <v>unrated</v>
      </c>
      <c r="K767" s="72">
        <v>193.9374468264856</v>
      </c>
      <c r="L767" s="70">
        <v>0.068494369464205592</v>
      </c>
      <c r="M767" s="71">
        <f>IF(L767&lt;1,1,L767)</f>
        <v>1</v>
      </c>
      <c r="N767" s="70" t="s">
        <v>3288</v>
      </c>
      <c r="O767" s="71">
        <f>IF(OR(I767=$A$1,I767=0),"",IF(N767=MappingTables!$C$14,VLOOKUP(J767,ModelParameters!$M$8:$N$15,2,FALSE),IF(N767=MappingTables!$C$16,VLOOKUP(J767,ModelParameters!$P$8:$Q$15,2,FALSE),0)))</f>
        <v>1</v>
      </c>
      <c r="P767" s="73">
        <f>IF(OR(I767=0,I767=$A$1),0,MIN(O767*M767,1)*K767)</f>
        <v>193.9374468264856</v>
      </c>
      <c r="Q767" s="73">
        <f>IF(B767="",0,IF(OR(H767=MappingTables!$C$34,H767=MappingTables!$C$35),P767,0))</f>
        <v>0</v>
      </c>
      <c r="R767" s="73">
        <f>IF(ISNA(IF(AND(VLOOKUP(CONCATENATE($D767,$G767),CSRFinput!$B:$E,4,0)=0,OR(H767=MappingTables!$C$31,H767=MappingTables!$C$32)),1,VLOOKUP(CONCATENATE($D767,$G767),CSRFinput!$B:$E,4,0))),0,IF(AND(VLOOKUP(CONCATENATE($D767,$G767),CSRFinput!$B:$E,4,0)=0,OR(H767=MappingTables!$C$31,H767=MappingTables!$C$32)),1,VLOOKUP(CONCATENATE($D767,$G767),CSRFinput!$B:$E,4,0)))</f>
        <v>0.054776304963434752</v>
      </c>
      <c r="S767" s="73">
        <f>IF(B767="",0,P767*R767)</f>
        <v>10.623176731197488</v>
      </c>
      <c r="T767" s="85">
        <f>IF(B767="",0,IF(OR(H767=MappingTables!$C$34,H767=MappingTables!$C$35),S767,0))</f>
        <v>0</v>
      </c>
    </row>
    <row r="768" spans="2:20" s="0" customFormat="0" ht="15">
      <c r="B768" s="69" t="s">
        <v>4368</v>
      </c>
      <c r="C768" s="70" t="s">
        <v>4369</v>
      </c>
      <c r="D768" s="70" t="s">
        <v>1</v>
      </c>
      <c r="E768" s="70" t="s">
        <v>1</v>
      </c>
      <c r="F768" s="70"/>
      <c r="G768" s="70" t="s">
        <v>61</v>
      </c>
      <c r="H768" s="70" t="s">
        <v>178</v>
      </c>
      <c r="I768" s="70" t="s">
        <v>198</v>
      </c>
      <c r="J768" s="71" t="str">
        <f>IF(OR(I768=0,I768=""),"unrated",VLOOKUP(I768,MappingTables!$B$19:$C$31,2,FALSE))</f>
        <v>unrated</v>
      </c>
      <c r="K768" s="72">
        <v>77.428498347531808</v>
      </c>
      <c r="L768" s="70">
        <v>0.06849702258544196</v>
      </c>
      <c r="M768" s="71">
        <f>IF(L768&lt;1,1,L768)</f>
        <v>1</v>
      </c>
      <c r="N768" s="70" t="s">
        <v>3288</v>
      </c>
      <c r="O768" s="71">
        <f>IF(OR(I768=$A$1,I768=0),"",IF(N768=MappingTables!$C$14,VLOOKUP(J768,ModelParameters!$M$8:$N$15,2,FALSE),IF(N768=MappingTables!$C$16,VLOOKUP(J768,ModelParameters!$P$8:$Q$15,2,FALSE),0)))</f>
        <v>1</v>
      </c>
      <c r="P768" s="73">
        <f>IF(OR(I768=0,I768=$A$1),0,MIN(O768*M768,1)*K768)</f>
        <v>77.428498347531808</v>
      </c>
      <c r="Q768" s="73">
        <f>IF(B768="",0,IF(OR(H768=MappingTables!$C$34,H768=MappingTables!$C$35),P768,0))</f>
        <v>0</v>
      </c>
      <c r="R768" s="73">
        <f>IF(ISNA(IF(AND(VLOOKUP(CONCATENATE($D768,$G768),CSRFinput!$B:$E,4,0)=0,OR(H768=MappingTables!$C$31,H768=MappingTables!$C$32)),1,VLOOKUP(CONCATENATE($D768,$G768),CSRFinput!$B:$E,4,0))),0,IF(AND(VLOOKUP(CONCATENATE($D768,$G768),CSRFinput!$B:$E,4,0)=0,OR(H768=MappingTables!$C$31,H768=MappingTables!$C$32)),1,VLOOKUP(CONCATENATE($D768,$G768),CSRFinput!$B:$E,4,0)))</f>
        <v>0.054776304963434752</v>
      </c>
      <c r="S768" s="73">
        <f>IF(B768="",0,P768*R768)</f>
        <v>4.2412470383452064</v>
      </c>
      <c r="T768" s="85">
        <f>IF(B768="",0,IF(OR(H768=MappingTables!$C$34,H768=MappingTables!$C$35),S768,0))</f>
        <v>0</v>
      </c>
    </row>
    <row r="769" spans="2:20" s="0" customFormat="0" ht="15">
      <c r="B769" s="69">
        <v>22623669</v>
      </c>
      <c r="C769" s="70" t="s">
        <v>3895</v>
      </c>
      <c r="D769" s="70" t="s">
        <v>1</v>
      </c>
      <c r="E769" s="70" t="s">
        <v>1</v>
      </c>
      <c r="F769" s="70"/>
      <c r="G769" s="70" t="s">
        <v>61</v>
      </c>
      <c r="H769" s="70" t="s">
        <v>178</v>
      </c>
      <c r="I769" s="70" t="s">
        <v>204</v>
      </c>
      <c r="J769" s="71">
        <f>IF(OR(I769=0,I769=""),"unrated",VLOOKUP(I769,MappingTables!$B$19:$C$31,2,FALSE))</f>
        <v>6</v>
      </c>
      <c r="K769" s="72">
        <v>1694.0958255765464</v>
      </c>
      <c r="L769" s="70">
        <v>0.068488627908253424</v>
      </c>
      <c r="M769" s="71">
        <f>IF(L769&lt;1,1,L769)</f>
        <v>1</v>
      </c>
      <c r="N769" s="70" t="s">
        <v>3288</v>
      </c>
      <c r="O769" s="71">
        <f>IF(OR(I769=$A$1,I769=0),"",IF(N769=MappingTables!$C$14,VLOOKUP(J769,ModelParameters!$M$8:$N$15,2,FALSE),IF(N769=MappingTables!$C$16,VLOOKUP(J769,ModelParameters!$P$8:$Q$15,2,FALSE),0)))</f>
        <v>1</v>
      </c>
      <c r="P769" s="73">
        <f>IF(OR(I769=0,I769=$A$1),0,MIN(O769*M769,1)*K769)</f>
        <v>1694.0958255765464</v>
      </c>
      <c r="Q769" s="73">
        <f>IF(B769="",0,IF(OR(H769=MappingTables!$C$34,H769=MappingTables!$C$35),P769,0))</f>
        <v>0</v>
      </c>
      <c r="R769" s="73">
        <f>IF(ISNA(IF(AND(VLOOKUP(CONCATENATE($D769,$G769),CSRFinput!$B:$E,4,0)=0,OR(H769=MappingTables!$C$31,H769=MappingTables!$C$32)),1,VLOOKUP(CONCATENATE($D769,$G769),CSRFinput!$B:$E,4,0))),0,IF(AND(VLOOKUP(CONCATENATE($D769,$G769),CSRFinput!$B:$E,4,0)=0,OR(H769=MappingTables!$C$31,H769=MappingTables!$C$32)),1,VLOOKUP(CONCATENATE($D769,$G769),CSRFinput!$B:$E,4,0)))</f>
        <v>0.054776304963434752</v>
      </c>
      <c r="S769" s="73">
        <f>IF(B769="",0,P769*R769)</f>
        <v>92.796309579062672</v>
      </c>
      <c r="T769" s="85">
        <f>IF(B769="",0,IF(OR(H769=MappingTables!$C$34,H769=MappingTables!$C$35),S769,0))</f>
        <v>0</v>
      </c>
    </row>
    <row r="770" spans="2:20" s="0" customFormat="0" ht="15">
      <c r="B770" s="69">
        <v>22927565</v>
      </c>
      <c r="C770" s="70" t="s">
        <v>4370</v>
      </c>
      <c r="D770" s="70" t="s">
        <v>1</v>
      </c>
      <c r="E770" s="70" t="s">
        <v>1</v>
      </c>
      <c r="F770" s="70"/>
      <c r="G770" s="70" t="s">
        <v>61</v>
      </c>
      <c r="H770" s="70" t="s">
        <v>178</v>
      </c>
      <c r="I770" s="70" t="s">
        <v>216</v>
      </c>
      <c r="J770" s="71">
        <f>IF(OR(I770=0,I770=""),"unrated",VLOOKUP(I770,MappingTables!$B$19:$C$31,2,FALSE))</f>
        <v>0</v>
      </c>
      <c r="K770" s="72">
        <v>212.23314971839428</v>
      </c>
      <c r="L770" s="70">
        <v>0.050901449097189712</v>
      </c>
      <c r="M770" s="71">
        <f>IF(L770&lt;1,1,L770)</f>
        <v>1</v>
      </c>
      <c r="N770" s="70" t="s">
        <v>3288</v>
      </c>
      <c r="O770" s="71">
        <f>IF(OR(I770=$A$1,I770=0),"",IF(N770=MappingTables!$C$14,VLOOKUP(J770,ModelParameters!$M$8:$N$15,2,FALSE),IF(N770=MappingTables!$C$16,VLOOKUP(J770,ModelParameters!$P$8:$Q$15,2,FALSE),0)))</f>
        <v>0.125</v>
      </c>
      <c r="P770" s="73">
        <f>IF(OR(I770=0,I770=$A$1),0,MIN(O770*M770,1)*K770)</f>
        <v>26.529143714799284</v>
      </c>
      <c r="Q770" s="73">
        <f>IF(B770="",0,IF(OR(H770=MappingTables!$C$34,H770=MappingTables!$C$35),P770,0))</f>
        <v>0</v>
      </c>
      <c r="R770" s="73">
        <f>IF(ISNA(IF(AND(VLOOKUP(CONCATENATE($D770,$G770),CSRFinput!$B:$E,4,0)=0,OR(H770=MappingTables!$C$31,H770=MappingTables!$C$32)),1,VLOOKUP(CONCATENATE($D770,$G770),CSRFinput!$B:$E,4,0))),0,IF(AND(VLOOKUP(CONCATENATE($D770,$G770),CSRFinput!$B:$E,4,0)=0,OR(H770=MappingTables!$C$31,H770=MappingTables!$C$32)),1,VLOOKUP(CONCATENATE($D770,$G770),CSRFinput!$B:$E,4,0)))</f>
        <v>0.054776304963434752</v>
      </c>
      <c r="S770" s="73">
        <f>IF(B770="",0,P770*R770)</f>
        <v>1.453168466540634</v>
      </c>
      <c r="T770" s="85">
        <f>IF(B770="",0,IF(OR(H770=MappingTables!$C$34,H770=MappingTables!$C$35),S770,0))</f>
        <v>0</v>
      </c>
    </row>
    <row r="771" spans="2:20" s="0" customFormat="0" ht="15">
      <c r="B771" s="69" t="s">
        <v>4371</v>
      </c>
      <c r="C771" s="70" t="s">
        <v>4372</v>
      </c>
      <c r="D771" s="70" t="s">
        <v>1</v>
      </c>
      <c r="E771" s="70" t="s">
        <v>1</v>
      </c>
      <c r="F771" s="70"/>
      <c r="G771" s="70" t="s">
        <v>61</v>
      </c>
      <c r="H771" s="70" t="s">
        <v>178</v>
      </c>
      <c r="I771" s="70" t="s">
        <v>198</v>
      </c>
      <c r="J771" s="71" t="str">
        <f>IF(OR(I771=0,I771=""),"unrated",VLOOKUP(I771,MappingTables!$B$19:$C$31,2,FALSE))</f>
        <v>unrated</v>
      </c>
      <c r="K771" s="72">
        <v>248.17786298527624</v>
      </c>
      <c r="L771" s="70">
        <v>7.6675278589202624</v>
      </c>
      <c r="M771" s="71">
        <f>IF(L771&lt;1,1,L771)</f>
        <v>7.6675278589202624</v>
      </c>
      <c r="N771" s="70" t="s">
        <v>3288</v>
      </c>
      <c r="O771" s="71">
        <f>IF(OR(I771=$A$1,I771=0),"",IF(N771=MappingTables!$C$14,VLOOKUP(J771,ModelParameters!$M$8:$N$15,2,FALSE),IF(N771=MappingTables!$C$16,VLOOKUP(J771,ModelParameters!$P$8:$Q$15,2,FALSE),0)))</f>
        <v>1</v>
      </c>
      <c r="P771" s="73">
        <f>IF(OR(I771=0,I771=$A$1),0,MIN(O771*M771,1)*K771)</f>
        <v>248.17786298527624</v>
      </c>
      <c r="Q771" s="73">
        <f>IF(B771="",0,IF(OR(H771=MappingTables!$C$34,H771=MappingTables!$C$35),P771,0))</f>
        <v>0</v>
      </c>
      <c r="R771" s="73">
        <f>IF(ISNA(IF(AND(VLOOKUP(CONCATENATE($D771,$G771),CSRFinput!$B:$E,4,0)=0,OR(H771=MappingTables!$C$31,H771=MappingTables!$C$32)),1,VLOOKUP(CONCATENATE($D771,$G771),CSRFinput!$B:$E,4,0))),0,IF(AND(VLOOKUP(CONCATENATE($D771,$G771),CSRFinput!$B:$E,4,0)=0,OR(H771=MappingTables!$C$31,H771=MappingTables!$C$32)),1,VLOOKUP(CONCATENATE($D771,$G771),CSRFinput!$B:$E,4,0)))</f>
        <v>0.054776304963434752</v>
      </c>
      <c r="S771" s="73">
        <f>IF(B771="",0,P771*R771)</f>
        <v>13.594266308055018</v>
      </c>
      <c r="T771" s="85">
        <f>IF(B771="",0,IF(OR(H771=MappingTables!$C$34,H771=MappingTables!$C$35),S771,0))</f>
        <v>0</v>
      </c>
    </row>
    <row r="772" spans="2:20" s="0" customFormat="0" ht="15">
      <c r="B772" s="69" t="s">
        <v>4373</v>
      </c>
      <c r="C772" s="70" t="s">
        <v>4374</v>
      </c>
      <c r="D772" s="70" t="s">
        <v>1</v>
      </c>
      <c r="E772" s="70" t="s">
        <v>1</v>
      </c>
      <c r="F772" s="70"/>
      <c r="G772" s="70" t="s">
        <v>61</v>
      </c>
      <c r="H772" s="70" t="s">
        <v>178</v>
      </c>
      <c r="I772" s="70" t="s">
        <v>204</v>
      </c>
      <c r="J772" s="71">
        <f>IF(OR(I772=0,I772=""),"unrated",VLOOKUP(I772,MappingTables!$B$19:$C$31,2,FALSE))</f>
        <v>6</v>
      </c>
      <c r="K772" s="72">
        <v>228.44266940851944</v>
      </c>
      <c r="L772" s="70">
        <v>0.068491850563203328</v>
      </c>
      <c r="M772" s="71">
        <f>IF(L772&lt;1,1,L772)</f>
        <v>1</v>
      </c>
      <c r="N772" s="70" t="s">
        <v>3288</v>
      </c>
      <c r="O772" s="71">
        <f>IF(OR(I772=$A$1,I772=0),"",IF(N772=MappingTables!$C$14,VLOOKUP(J772,ModelParameters!$M$8:$N$15,2,FALSE),IF(N772=MappingTables!$C$16,VLOOKUP(J772,ModelParameters!$P$8:$Q$15,2,FALSE),0)))</f>
        <v>1</v>
      </c>
      <c r="P772" s="73">
        <f>IF(OR(I772=0,I772=$A$1),0,MIN(O772*M772,1)*K772)</f>
        <v>228.44266940851944</v>
      </c>
      <c r="Q772" s="73">
        <f>IF(B772="",0,IF(OR(H772=MappingTables!$C$34,H772=MappingTables!$C$35),P772,0))</f>
        <v>0</v>
      </c>
      <c r="R772" s="73">
        <f>IF(ISNA(IF(AND(VLOOKUP(CONCATENATE($D772,$G772),CSRFinput!$B:$E,4,0)=0,OR(H772=MappingTables!$C$31,H772=MappingTables!$C$32)),1,VLOOKUP(CONCATENATE($D772,$G772),CSRFinput!$B:$E,4,0))),0,IF(AND(VLOOKUP(CONCATENATE($D772,$G772),CSRFinput!$B:$E,4,0)=0,OR(H772=MappingTables!$C$31,H772=MappingTables!$C$32)),1,VLOOKUP(CONCATENATE($D772,$G772),CSRFinput!$B:$E,4,0)))</f>
        <v>0.054776304963434752</v>
      </c>
      <c r="S772" s="73">
        <f>IF(B772="",0,P772*R772)</f>
        <v>12.513245326182168</v>
      </c>
      <c r="T772" s="85">
        <f>IF(B772="",0,IF(OR(H772=MappingTables!$C$34,H772=MappingTables!$C$35),S772,0))</f>
        <v>0</v>
      </c>
    </row>
    <row r="773" spans="2:20" s="0" customFormat="0" ht="15">
      <c r="B773" s="69" t="s">
        <v>4352</v>
      </c>
      <c r="C773" s="70" t="s">
        <v>4353</v>
      </c>
      <c r="D773" s="70" t="s">
        <v>1</v>
      </c>
      <c r="E773" s="70" t="s">
        <v>1</v>
      </c>
      <c r="F773" s="70"/>
      <c r="G773" s="70" t="s">
        <v>61</v>
      </c>
      <c r="H773" s="70" t="s">
        <v>178</v>
      </c>
      <c r="I773" s="70" t="s">
        <v>3291</v>
      </c>
      <c r="J773" s="71">
        <f>IF(OR(I773=0,I773=""),"unrated",VLOOKUP(I773,MappingTables!$B$19:$C$31,2,FALSE))</f>
        <v>6</v>
      </c>
      <c r="K773" s="72">
        <v>708.96758244212512</v>
      </c>
      <c r="L773" s="70">
        <v>0.063617669968849256</v>
      </c>
      <c r="M773" s="71">
        <f>IF(L773&lt;1,1,L773)</f>
        <v>1</v>
      </c>
      <c r="N773" s="70" t="s">
        <v>3288</v>
      </c>
      <c r="O773" s="71">
        <f>IF(OR(I773=$A$1,I773=0),"",IF(N773=MappingTables!$C$14,VLOOKUP(J773,ModelParameters!$M$8:$N$15,2,FALSE),IF(N773=MappingTables!$C$16,VLOOKUP(J773,ModelParameters!$P$8:$Q$15,2,FALSE),0)))</f>
        <v>1</v>
      </c>
      <c r="P773" s="73">
        <f>IF(OR(I773=0,I773=$A$1),0,MIN(O773*M773,1)*K773)</f>
        <v>708.96758244212512</v>
      </c>
      <c r="Q773" s="73">
        <f>IF(B773="",0,IF(OR(H773=MappingTables!$C$34,H773=MappingTables!$C$35),P773,0))</f>
        <v>0</v>
      </c>
      <c r="R773" s="73">
        <f>IF(ISNA(IF(AND(VLOOKUP(CONCATENATE($D773,$G773),CSRFinput!$B:$E,4,0)=0,OR(H773=MappingTables!$C$31,H773=MappingTables!$C$32)),1,VLOOKUP(CONCATENATE($D773,$G773),CSRFinput!$B:$E,4,0))),0,IF(AND(VLOOKUP(CONCATENATE($D773,$G773),CSRFinput!$B:$E,4,0)=0,OR(H773=MappingTables!$C$31,H773=MappingTables!$C$32)),1,VLOOKUP(CONCATENATE($D773,$G773),CSRFinput!$B:$E,4,0)))</f>
        <v>0.054776304963434752</v>
      </c>
      <c r="S773" s="73">
        <f>IF(B773="",0,P773*R773)</f>
        <v>38.83462450503892</v>
      </c>
      <c r="T773" s="85">
        <f>IF(B773="",0,IF(OR(H773=MappingTables!$C$34,H773=MappingTables!$C$35),S773,0))</f>
        <v>0</v>
      </c>
    </row>
    <row r="774" spans="2:20" s="0" customFormat="0" ht="15">
      <c r="B774" s="69" t="s">
        <v>4375</v>
      </c>
      <c r="C774" s="70" t="s">
        <v>4376</v>
      </c>
      <c r="D774" s="70" t="s">
        <v>1</v>
      </c>
      <c r="E774" s="70" t="s">
        <v>1</v>
      </c>
      <c r="F774" s="70"/>
      <c r="G774" s="70" t="s">
        <v>61</v>
      </c>
      <c r="H774" s="70" t="s">
        <v>178</v>
      </c>
      <c r="I774" s="70" t="s">
        <v>188</v>
      </c>
      <c r="J774" s="71">
        <f>IF(OR(I774=0,I774=""),"unrated",VLOOKUP(I774,MappingTables!$B$19:$C$31,2,FALSE))</f>
        <v>2</v>
      </c>
      <c r="K774" s="72">
        <v>8.8763041638836432</v>
      </c>
      <c r="L774" s="70">
        <v>0.068490517150601312</v>
      </c>
      <c r="M774" s="71">
        <f>IF(L774&lt;1,1,L774)</f>
        <v>1</v>
      </c>
      <c r="N774" s="70" t="s">
        <v>3288</v>
      </c>
      <c r="O774" s="71">
        <f>IF(OR(I774=$A$1,I774=0),"",IF(N774=MappingTables!$C$14,VLOOKUP(J774,ModelParameters!$M$8:$N$15,2,FALSE),IF(N774=MappingTables!$C$16,VLOOKUP(J774,ModelParameters!$P$8:$Q$15,2,FALSE),0)))</f>
        <v>0.166</v>
      </c>
      <c r="P774" s="73">
        <f>IF(OR(I774=0,I774=$A$1),0,MIN(O774*M774,1)*K774)</f>
        <v>1.4734664912046848</v>
      </c>
      <c r="Q774" s="73">
        <f>IF(B774="",0,IF(OR(H774=MappingTables!$C$34,H774=MappingTables!$C$35),P774,0))</f>
        <v>0</v>
      </c>
      <c r="R774" s="73">
        <f>IF(ISNA(IF(AND(VLOOKUP(CONCATENATE($D774,$G774),CSRFinput!$B:$E,4,0)=0,OR(H774=MappingTables!$C$31,H774=MappingTables!$C$32)),1,VLOOKUP(CONCATENATE($D774,$G774),CSRFinput!$B:$E,4,0))),0,IF(AND(VLOOKUP(CONCATENATE($D774,$G774),CSRFinput!$B:$E,4,0)=0,OR(H774=MappingTables!$C$31,H774=MappingTables!$C$32)),1,VLOOKUP(CONCATENATE($D774,$G774),CSRFinput!$B:$E,4,0)))</f>
        <v>0.054776304963434752</v>
      </c>
      <c r="S774" s="73">
        <f>IF(B774="",0,P774*R774)</f>
        <v>0.080711049875629968</v>
      </c>
      <c r="T774" s="85">
        <f>IF(B774="",0,IF(OR(H774=MappingTables!$C$34,H774=MappingTables!$C$35),S774,0))</f>
        <v>0</v>
      </c>
    </row>
    <row r="775" spans="2:20" s="0" customFormat="0" ht="15">
      <c r="B775" s="69" t="s">
        <v>4377</v>
      </c>
      <c r="C775" s="70" t="s">
        <v>4378</v>
      </c>
      <c r="D775" s="70" t="s">
        <v>1</v>
      </c>
      <c r="E775" s="70" t="s">
        <v>1</v>
      </c>
      <c r="F775" s="70"/>
      <c r="G775" s="70" t="s">
        <v>61</v>
      </c>
      <c r="H775" s="70" t="s">
        <v>178</v>
      </c>
      <c r="I775" s="70" t="s">
        <v>216</v>
      </c>
      <c r="J775" s="71">
        <f>IF(OR(I775=0,I775=""),"unrated",VLOOKUP(I775,MappingTables!$B$19:$C$31,2,FALSE))</f>
        <v>0</v>
      </c>
      <c r="K775" s="72">
        <v>279.61780800337612</v>
      </c>
      <c r="L775" s="70">
        <v>-7.3647687669332864</v>
      </c>
      <c r="M775" s="71">
        <f>IF(L775&lt;1,1,L775)</f>
        <v>1</v>
      </c>
      <c r="N775" s="70" t="s">
        <v>3288</v>
      </c>
      <c r="O775" s="71">
        <f>IF(OR(I775=$A$1,I775=0),"",IF(N775=MappingTables!$C$14,VLOOKUP(J775,ModelParameters!$M$8:$N$15,2,FALSE),IF(N775=MappingTables!$C$16,VLOOKUP(J775,ModelParameters!$P$8:$Q$15,2,FALSE),0)))</f>
        <v>0.125</v>
      </c>
      <c r="P775" s="73">
        <f>IF(OR(I775=0,I775=$A$1),0,MIN(O775*M775,1)*K775)</f>
        <v>34.952226000422016</v>
      </c>
      <c r="Q775" s="73">
        <f>IF(B775="",0,IF(OR(H775=MappingTables!$C$34,H775=MappingTables!$C$35),P775,0))</f>
        <v>0</v>
      </c>
      <c r="R775" s="73">
        <f>IF(ISNA(IF(AND(VLOOKUP(CONCATENATE($D775,$G775),CSRFinput!$B:$E,4,0)=0,OR(H775=MappingTables!$C$31,H775=MappingTables!$C$32)),1,VLOOKUP(CONCATENATE($D775,$G775),CSRFinput!$B:$E,4,0))),0,IF(AND(VLOOKUP(CONCATENATE($D775,$G775),CSRFinput!$B:$E,4,0)=0,OR(H775=MappingTables!$C$31,H775=MappingTables!$C$32)),1,VLOOKUP(CONCATENATE($D775,$G775),CSRFinput!$B:$E,4,0)))</f>
        <v>0.054776304963434752</v>
      </c>
      <c r="S775" s="73">
        <f>IF(B775="",0,P775*R775)</f>
        <v>1.9145537905500096</v>
      </c>
      <c r="T775" s="85">
        <f>IF(B775="",0,IF(OR(H775=MappingTables!$C$34,H775=MappingTables!$C$35),S775,0))</f>
        <v>0</v>
      </c>
    </row>
    <row r="776" spans="2:20" s="0" customFormat="0" ht="15">
      <c r="B776" s="69">
        <v>16974607</v>
      </c>
      <c r="C776" s="70" t="s">
        <v>4311</v>
      </c>
      <c r="D776" s="70" t="s">
        <v>1</v>
      </c>
      <c r="E776" s="70" t="s">
        <v>1</v>
      </c>
      <c r="F776" s="70"/>
      <c r="G776" s="70" t="s">
        <v>61</v>
      </c>
      <c r="H776" s="70" t="s">
        <v>178</v>
      </c>
      <c r="I776" s="70" t="s">
        <v>216</v>
      </c>
      <c r="J776" s="71">
        <f>IF(OR(I776=0,I776=""),"unrated",VLOOKUP(I776,MappingTables!$B$19:$C$31,2,FALSE))</f>
        <v>0</v>
      </c>
      <c r="K776" s="72">
        <v>109.16400955337378</v>
      </c>
      <c r="L776" s="70">
        <v>0.05897038060704188</v>
      </c>
      <c r="M776" s="71">
        <f>IF(L776&lt;1,1,L776)</f>
        <v>1</v>
      </c>
      <c r="N776" s="70" t="s">
        <v>3288</v>
      </c>
      <c r="O776" s="71">
        <f>IF(OR(I776=$A$1,I776=0),"",IF(N776=MappingTables!$C$14,VLOOKUP(J776,ModelParameters!$M$8:$N$15,2,FALSE),IF(N776=MappingTables!$C$16,VLOOKUP(J776,ModelParameters!$P$8:$Q$15,2,FALSE),0)))</f>
        <v>0.125</v>
      </c>
      <c r="P776" s="73">
        <f>IF(OR(I776=0,I776=$A$1),0,MIN(O776*M776,1)*K776)</f>
        <v>13.645501194171722</v>
      </c>
      <c r="Q776" s="73">
        <f>IF(B776="",0,IF(OR(H776=MappingTables!$C$34,H776=MappingTables!$C$35),P776,0))</f>
        <v>0</v>
      </c>
      <c r="R776" s="73">
        <f>IF(ISNA(IF(AND(VLOOKUP(CONCATENATE($D776,$G776),CSRFinput!$B:$E,4,0)=0,OR(H776=MappingTables!$C$31,H776=MappingTables!$C$32)),1,VLOOKUP(CONCATENATE($D776,$G776),CSRFinput!$B:$E,4,0))),0,IF(AND(VLOOKUP(CONCATENATE($D776,$G776),CSRFinput!$B:$E,4,0)=0,OR(H776=MappingTables!$C$31,H776=MappingTables!$C$32)),1,VLOOKUP(CONCATENATE($D776,$G776),CSRFinput!$B:$E,4,0)))</f>
        <v>0.054776304963434752</v>
      </c>
      <c r="S776" s="73">
        <f>IF(B776="",0,P776*R776)</f>
        <v>0.74745013479086336</v>
      </c>
      <c r="T776" s="85">
        <f>IF(B776="",0,IF(OR(H776=MappingTables!$C$34,H776=MappingTables!$C$35),S776,0))</f>
        <v>0</v>
      </c>
    </row>
    <row r="777" spans="2:20" s="0" customFormat="0" ht="15">
      <c r="B777" s="69" t="s">
        <v>4379</v>
      </c>
      <c r="C777" s="70" t="s">
        <v>4380</v>
      </c>
      <c r="D777" s="70" t="s">
        <v>1</v>
      </c>
      <c r="E777" s="70" t="s">
        <v>1</v>
      </c>
      <c r="F777" s="70"/>
      <c r="G777" s="70" t="s">
        <v>61</v>
      </c>
      <c r="H777" s="70" t="s">
        <v>178</v>
      </c>
      <c r="I777" s="70" t="s">
        <v>184</v>
      </c>
      <c r="J777" s="71">
        <f>IF(OR(I777=0,I777=""),"unrated",VLOOKUP(I777,MappingTables!$B$19:$C$31,2,FALSE))</f>
        <v>5</v>
      </c>
      <c r="K777" s="72">
        <v>860.15710595250464</v>
      </c>
      <c r="L777" s="70">
        <v>4.341089599159908</v>
      </c>
      <c r="M777" s="71">
        <f>IF(L777&lt;1,1,L777)</f>
        <v>4.341089599159908</v>
      </c>
      <c r="N777" s="70" t="s">
        <v>3288</v>
      </c>
      <c r="O777" s="71">
        <f>IF(OR(I777=$A$1,I777=0),"",IF(N777=MappingTables!$C$14,VLOOKUP(J777,ModelParameters!$M$8:$N$15,2,FALSE),IF(N777=MappingTables!$C$16,VLOOKUP(J777,ModelParameters!$P$8:$Q$15,2,FALSE),0)))</f>
        <v>1</v>
      </c>
      <c r="P777" s="73">
        <f>IF(OR(I777=0,I777=$A$1),0,MIN(O777*M777,1)*K777)</f>
        <v>860.15710595250464</v>
      </c>
      <c r="Q777" s="73">
        <f>IF(B777="",0,IF(OR(H777=MappingTables!$C$34,H777=MappingTables!$C$35),P777,0))</f>
        <v>0</v>
      </c>
      <c r="R777" s="73">
        <f>IF(ISNA(IF(AND(VLOOKUP(CONCATENATE($D777,$G777),CSRFinput!$B:$E,4,0)=0,OR(H777=MappingTables!$C$31,H777=MappingTables!$C$32)),1,VLOOKUP(CONCATENATE($D777,$G777),CSRFinput!$B:$E,4,0))),0,IF(AND(VLOOKUP(CONCATENATE($D777,$G777),CSRFinput!$B:$E,4,0)=0,OR(H777=MappingTables!$C$31,H777=MappingTables!$C$32)),1,VLOOKUP(CONCATENATE($D777,$G777),CSRFinput!$B:$E,4,0)))</f>
        <v>0.054776304963434752</v>
      </c>
      <c r="S777" s="73">
        <f>IF(B777="",0,P777*R777)</f>
        <v>47.116227952119856</v>
      </c>
      <c r="T777" s="85">
        <f>IF(B777="",0,IF(OR(H777=MappingTables!$C$34,H777=MappingTables!$C$35),S777,0))</f>
        <v>0</v>
      </c>
    </row>
    <row r="778" spans="2:20" s="0" customFormat="0" ht="15">
      <c r="B778" s="69" t="s">
        <v>4381</v>
      </c>
      <c r="C778" s="70" t="s">
        <v>4382</v>
      </c>
      <c r="D778" s="70" t="s">
        <v>1</v>
      </c>
      <c r="E778" s="70" t="s">
        <v>1</v>
      </c>
      <c r="F778" s="70"/>
      <c r="G778" s="70" t="s">
        <v>61</v>
      </c>
      <c r="H778" s="70" t="s">
        <v>178</v>
      </c>
      <c r="I778" s="70" t="s">
        <v>198</v>
      </c>
      <c r="J778" s="71" t="str">
        <f>IF(OR(I778=0,I778=""),"unrated",VLOOKUP(I778,MappingTables!$B$19:$C$31,2,FALSE))</f>
        <v>unrated</v>
      </c>
      <c r="K778" s="72">
        <v>49.783892192304976</v>
      </c>
      <c r="L778" s="70">
        <v>8.683999480437192</v>
      </c>
      <c r="M778" s="71">
        <f>IF(L778&lt;1,1,L778)</f>
        <v>8.683999480437192</v>
      </c>
      <c r="N778" s="70" t="s">
        <v>3288</v>
      </c>
      <c r="O778" s="71">
        <f>IF(OR(I778=$A$1,I778=0),"",IF(N778=MappingTables!$C$14,VLOOKUP(J778,ModelParameters!$M$8:$N$15,2,FALSE),IF(N778=MappingTables!$C$16,VLOOKUP(J778,ModelParameters!$P$8:$Q$15,2,FALSE),0)))</f>
        <v>1</v>
      </c>
      <c r="P778" s="73">
        <f>IF(OR(I778=0,I778=$A$1),0,MIN(O778*M778,1)*K778)</f>
        <v>49.783892192304976</v>
      </c>
      <c r="Q778" s="73">
        <f>IF(B778="",0,IF(OR(H778=MappingTables!$C$34,H778=MappingTables!$C$35),P778,0))</f>
        <v>0</v>
      </c>
      <c r="R778" s="73">
        <f>IF(ISNA(IF(AND(VLOOKUP(CONCATENATE($D778,$G778),CSRFinput!$B:$E,4,0)=0,OR(H778=MappingTables!$C$31,H778=MappingTables!$C$32)),1,VLOOKUP(CONCATENATE($D778,$G778),CSRFinput!$B:$E,4,0))),0,IF(AND(VLOOKUP(CONCATENATE($D778,$G778),CSRFinput!$B:$E,4,0)=0,OR(H778=MappingTables!$C$31,H778=MappingTables!$C$32)),1,VLOOKUP(CONCATENATE($D778,$G778),CSRFinput!$B:$E,4,0)))</f>
        <v>0.054776304963434752</v>
      </c>
      <c r="S778" s="73">
        <f>IF(B778="",0,P778*R778)</f>
        <v>2.7269776609924556</v>
      </c>
      <c r="T778" s="85">
        <f>IF(B778="",0,IF(OR(H778=MappingTables!$C$34,H778=MappingTables!$C$35),S778,0))</f>
        <v>0</v>
      </c>
    </row>
    <row r="779" spans="2:20" s="0" customFormat="0" ht="15">
      <c r="B779" s="69" t="s">
        <v>4383</v>
      </c>
      <c r="C779" s="70" t="s">
        <v>4384</v>
      </c>
      <c r="D779" s="70" t="s">
        <v>1</v>
      </c>
      <c r="E779" s="70" t="s">
        <v>1</v>
      </c>
      <c r="F779" s="70"/>
      <c r="G779" s="70" t="s">
        <v>61</v>
      </c>
      <c r="H779" s="70" t="s">
        <v>178</v>
      </c>
      <c r="I779" s="70" t="s">
        <v>204</v>
      </c>
      <c r="J779" s="71">
        <f>IF(OR(I779=0,I779=""),"unrated",VLOOKUP(I779,MappingTables!$B$19:$C$31,2,FALSE))</f>
        <v>6</v>
      </c>
      <c r="K779" s="72">
        <v>692.94661459873872</v>
      </c>
      <c r="L779" s="70">
        <v>-0.032823992696393404</v>
      </c>
      <c r="M779" s="71">
        <f>IF(L779&lt;1,1,L779)</f>
        <v>1</v>
      </c>
      <c r="N779" s="70" t="s">
        <v>3288</v>
      </c>
      <c r="O779" s="71">
        <f>IF(OR(I779=$A$1,I779=0),"",IF(N779=MappingTables!$C$14,VLOOKUP(J779,ModelParameters!$M$8:$N$15,2,FALSE),IF(N779=MappingTables!$C$16,VLOOKUP(J779,ModelParameters!$P$8:$Q$15,2,FALSE),0)))</f>
        <v>1</v>
      </c>
      <c r="P779" s="73">
        <f>IF(OR(I779=0,I779=$A$1),0,MIN(O779*M779,1)*K779)</f>
        <v>692.94661459873872</v>
      </c>
      <c r="Q779" s="73">
        <f>IF(B779="",0,IF(OR(H779=MappingTables!$C$34,H779=MappingTables!$C$35),P779,0))</f>
        <v>0</v>
      </c>
      <c r="R779" s="73">
        <f>IF(ISNA(IF(AND(VLOOKUP(CONCATENATE($D779,$G779),CSRFinput!$B:$E,4,0)=0,OR(H779=MappingTables!$C$31,H779=MappingTables!$C$32)),1,VLOOKUP(CONCATENATE($D779,$G779),CSRFinput!$B:$E,4,0))),0,IF(AND(VLOOKUP(CONCATENATE($D779,$G779),CSRFinput!$B:$E,4,0)=0,OR(H779=MappingTables!$C$31,H779=MappingTables!$C$32)),1,VLOOKUP(CONCATENATE($D779,$G779),CSRFinput!$B:$E,4,0)))</f>
        <v>0.054776304963434752</v>
      </c>
      <c r="S779" s="73">
        <f>IF(B779="",0,P779*R779)</f>
        <v>37.9570550846402</v>
      </c>
      <c r="T779" s="85">
        <f>IF(B779="",0,IF(OR(H779=MappingTables!$C$34,H779=MappingTables!$C$35),S779,0))</f>
        <v>0</v>
      </c>
    </row>
    <row r="780" spans="2:20" s="0" customFormat="0" ht="15">
      <c r="B780" s="69" t="s">
        <v>3682</v>
      </c>
      <c r="C780" s="70" t="s">
        <v>3683</v>
      </c>
      <c r="D780" s="70" t="s">
        <v>1</v>
      </c>
      <c r="E780" s="70" t="s">
        <v>1</v>
      </c>
      <c r="F780" s="70"/>
      <c r="G780" s="70" t="s">
        <v>61</v>
      </c>
      <c r="H780" s="70" t="s">
        <v>178</v>
      </c>
      <c r="I780" s="70" t="s">
        <v>220</v>
      </c>
      <c r="J780" s="71">
        <f>IF(OR(I780=0,I780=""),"unrated",VLOOKUP(I780,MappingTables!$B$19:$C$31,2,FALSE))</f>
        <v>1</v>
      </c>
      <c r="K780" s="72">
        <v>1.8561755912928772</v>
      </c>
      <c r="L780" s="70">
        <v>0.054792855106157088</v>
      </c>
      <c r="M780" s="71">
        <f>IF(L780&lt;1,1,L780)</f>
        <v>1</v>
      </c>
      <c r="N780" s="70" t="s">
        <v>3288</v>
      </c>
      <c r="O780" s="71">
        <f>IF(OR(I780=$A$1,I780=0),"",IF(N780=MappingTables!$C$14,VLOOKUP(J780,ModelParameters!$M$8:$N$15,2,FALSE),IF(N780=MappingTables!$C$16,VLOOKUP(J780,ModelParameters!$P$8:$Q$15,2,FALSE),0)))</f>
        <v>0.134</v>
      </c>
      <c r="P780" s="73">
        <f>IF(OR(I780=0,I780=$A$1),0,MIN(O780*M780,1)*K780)</f>
        <v>0.24872752923324556</v>
      </c>
      <c r="Q780" s="73">
        <f>IF(B780="",0,IF(OR(H780=MappingTables!$C$34,H780=MappingTables!$C$35),P780,0))</f>
        <v>0</v>
      </c>
      <c r="R780" s="73">
        <f>IF(ISNA(IF(AND(VLOOKUP(CONCATENATE($D780,$G780),CSRFinput!$B:$E,4,0)=0,OR(H780=MappingTables!$C$31,H780=MappingTables!$C$32)),1,VLOOKUP(CONCATENATE($D780,$G780),CSRFinput!$B:$E,4,0))),0,IF(AND(VLOOKUP(CONCATENATE($D780,$G780),CSRFinput!$B:$E,4,0)=0,OR(H780=MappingTables!$C$31,H780=MappingTables!$C$32)),1,VLOOKUP(CONCATENATE($D780,$G780),CSRFinput!$B:$E,4,0)))</f>
        <v>0.054776304963434752</v>
      </c>
      <c r="S780" s="73">
        <f>IF(B780="",0,P780*R780)</f>
        <v>0.013624374994081892</v>
      </c>
      <c r="T780" s="85">
        <f>IF(B780="",0,IF(OR(H780=MappingTables!$C$34,H780=MappingTables!$C$35),S780,0))</f>
        <v>0</v>
      </c>
    </row>
    <row r="781" spans="2:20" s="0" customFormat="0" ht="15">
      <c r="B781" s="69">
        <v>17619850</v>
      </c>
      <c r="C781" s="70" t="s">
        <v>3780</v>
      </c>
      <c r="D781" s="70" t="s">
        <v>1</v>
      </c>
      <c r="E781" s="70" t="s">
        <v>1</v>
      </c>
      <c r="F781" s="70"/>
      <c r="G781" s="70" t="s">
        <v>61</v>
      </c>
      <c r="H781" s="70" t="s">
        <v>178</v>
      </c>
      <c r="I781" s="70" t="s">
        <v>198</v>
      </c>
      <c r="J781" s="71" t="str">
        <f>IF(OR(I781=0,I781=""),"unrated",VLOOKUP(I781,MappingTables!$B$19:$C$31,2,FALSE))</f>
        <v>unrated</v>
      </c>
      <c r="K781" s="72">
        <v>483.79125654135112</v>
      </c>
      <c r="L781" s="70">
        <v>0.050378351612633264</v>
      </c>
      <c r="M781" s="71">
        <f>IF(L781&lt;1,1,L781)</f>
        <v>1</v>
      </c>
      <c r="N781" s="70" t="s">
        <v>3288</v>
      </c>
      <c r="O781" s="71">
        <f>IF(OR(I781=$A$1,I781=0),"",IF(N781=MappingTables!$C$14,VLOOKUP(J781,ModelParameters!$M$8:$N$15,2,FALSE),IF(N781=MappingTables!$C$16,VLOOKUP(J781,ModelParameters!$P$8:$Q$15,2,FALSE),0)))</f>
        <v>1</v>
      </c>
      <c r="P781" s="73">
        <f>IF(OR(I781=0,I781=$A$1),0,MIN(O781*M781,1)*K781)</f>
        <v>483.79125654135112</v>
      </c>
      <c r="Q781" s="73">
        <f>IF(B781="",0,IF(OR(H781=MappingTables!$C$34,H781=MappingTables!$C$35),P781,0))</f>
        <v>0</v>
      </c>
      <c r="R781" s="73">
        <f>IF(ISNA(IF(AND(VLOOKUP(CONCATENATE($D781,$G781),CSRFinput!$B:$E,4,0)=0,OR(H781=MappingTables!$C$31,H781=MappingTables!$C$32)),1,VLOOKUP(CONCATENATE($D781,$G781),CSRFinput!$B:$E,4,0))),0,IF(AND(VLOOKUP(CONCATENATE($D781,$G781),CSRFinput!$B:$E,4,0)=0,OR(H781=MappingTables!$C$31,H781=MappingTables!$C$32)),1,VLOOKUP(CONCATENATE($D781,$G781),CSRFinput!$B:$E,4,0)))</f>
        <v>0.054776304963434752</v>
      </c>
      <c r="S781" s="73">
        <f>IF(B781="",0,P781*R781)</f>
        <v>26.500297406952348</v>
      </c>
      <c r="T781" s="85">
        <f>IF(B781="",0,IF(OR(H781=MappingTables!$C$34,H781=MappingTables!$C$35),S781,0))</f>
        <v>0</v>
      </c>
    </row>
    <row r="782" spans="2:20" s="0" customFormat="0" ht="15">
      <c r="B782" s="69" t="s">
        <v>4385</v>
      </c>
      <c r="C782" s="70" t="s">
        <v>4386</v>
      </c>
      <c r="D782" s="70" t="s">
        <v>1</v>
      </c>
      <c r="E782" s="70" t="s">
        <v>1</v>
      </c>
      <c r="F782" s="70"/>
      <c r="G782" s="70" t="s">
        <v>61</v>
      </c>
      <c r="H782" s="70" t="s">
        <v>178</v>
      </c>
      <c r="I782" s="70" t="s">
        <v>184</v>
      </c>
      <c r="J782" s="71">
        <f>IF(OR(I782=0,I782=""),"unrated",VLOOKUP(I782,MappingTables!$B$19:$C$31,2,FALSE))</f>
        <v>5</v>
      </c>
      <c r="K782" s="72">
        <v>208.50934226684396</v>
      </c>
      <c r="L782" s="70">
        <v>0.06849473883941816</v>
      </c>
      <c r="M782" s="71">
        <f>IF(L782&lt;1,1,L782)</f>
        <v>1</v>
      </c>
      <c r="N782" s="70" t="s">
        <v>3288</v>
      </c>
      <c r="O782" s="71">
        <f>IF(OR(I782=$A$1,I782=0),"",IF(N782=MappingTables!$C$14,VLOOKUP(J782,ModelParameters!$M$8:$N$15,2,FALSE),IF(N782=MappingTables!$C$16,VLOOKUP(J782,ModelParameters!$P$8:$Q$15,2,FALSE),0)))</f>
        <v>1</v>
      </c>
      <c r="P782" s="73">
        <f>IF(OR(I782=0,I782=$A$1),0,MIN(O782*M782,1)*K782)</f>
        <v>208.50934226684396</v>
      </c>
      <c r="Q782" s="73">
        <f>IF(B782="",0,IF(OR(H782=MappingTables!$C$34,H782=MappingTables!$C$35),P782,0))</f>
        <v>0</v>
      </c>
      <c r="R782" s="73">
        <f>IF(ISNA(IF(AND(VLOOKUP(CONCATENATE($D782,$G782),CSRFinput!$B:$E,4,0)=0,OR(H782=MappingTables!$C$31,H782=MappingTables!$C$32)),1,VLOOKUP(CONCATENATE($D782,$G782),CSRFinput!$B:$E,4,0))),0,IF(AND(VLOOKUP(CONCATENATE($D782,$G782),CSRFinput!$B:$E,4,0)=0,OR(H782=MappingTables!$C$31,H782=MappingTables!$C$32)),1,VLOOKUP(CONCATENATE($D782,$G782),CSRFinput!$B:$E,4,0)))</f>
        <v>0.054776304963434752</v>
      </c>
      <c r="S782" s="73">
        <f>IF(B782="",0,P782*R782)</f>
        <v>11.42137131973384</v>
      </c>
      <c r="T782" s="85">
        <f>IF(B782="",0,IF(OR(H782=MappingTables!$C$34,H782=MappingTables!$C$35),S782,0))</f>
        <v>0</v>
      </c>
    </row>
    <row r="783" spans="2:20" s="0" customFormat="0" ht="15">
      <c r="B783" s="69">
        <v>19863502</v>
      </c>
      <c r="C783" s="70" t="s">
        <v>3639</v>
      </c>
      <c r="D783" s="70" t="s">
        <v>1</v>
      </c>
      <c r="E783" s="70" t="s">
        <v>1</v>
      </c>
      <c r="F783" s="70"/>
      <c r="G783" s="70" t="s">
        <v>61</v>
      </c>
      <c r="H783" s="70" t="s">
        <v>178</v>
      </c>
      <c r="I783" s="70" t="s">
        <v>216</v>
      </c>
      <c r="J783" s="71">
        <f>IF(OR(I783=0,I783=""),"unrated",VLOOKUP(I783,MappingTables!$B$19:$C$31,2,FALSE))</f>
        <v>0</v>
      </c>
      <c r="K783" s="72">
        <v>234.32982834992232</v>
      </c>
      <c r="L783" s="70">
        <v>0.082172976249995136</v>
      </c>
      <c r="M783" s="71">
        <f>IF(L783&lt;1,1,L783)</f>
        <v>1</v>
      </c>
      <c r="N783" s="70" t="s">
        <v>3288</v>
      </c>
      <c r="O783" s="71">
        <f>IF(OR(I783=$A$1,I783=0),"",IF(N783=MappingTables!$C$14,VLOOKUP(J783,ModelParameters!$M$8:$N$15,2,FALSE),IF(N783=MappingTables!$C$16,VLOOKUP(J783,ModelParameters!$P$8:$Q$15,2,FALSE),0)))</f>
        <v>0.125</v>
      </c>
      <c r="P783" s="73">
        <f>IF(OR(I783=0,I783=$A$1),0,MIN(O783*M783,1)*K783)</f>
        <v>29.291228543740292</v>
      </c>
      <c r="Q783" s="73">
        <f>IF(B783="",0,IF(OR(H783=MappingTables!$C$34,H783=MappingTables!$C$35),P783,0))</f>
        <v>0</v>
      </c>
      <c r="R783" s="73">
        <f>IF(ISNA(IF(AND(VLOOKUP(CONCATENATE($D783,$G783),CSRFinput!$B:$E,4,0)=0,OR(H783=MappingTables!$C$31,H783=MappingTables!$C$32)),1,VLOOKUP(CONCATENATE($D783,$G783),CSRFinput!$B:$E,4,0))),0,IF(AND(VLOOKUP(CONCATENATE($D783,$G783),CSRFinput!$B:$E,4,0)=0,OR(H783=MappingTables!$C$31,H783=MappingTables!$C$32)),1,VLOOKUP(CONCATENATE($D783,$G783),CSRFinput!$B:$E,4,0)))</f>
        <v>0.054776304963434752</v>
      </c>
      <c r="S783" s="73">
        <f>IF(B783="",0,P783*R783)</f>
        <v>1.604465267465583</v>
      </c>
      <c r="T783" s="85">
        <f>IF(B783="",0,IF(OR(H783=MappingTables!$C$34,H783=MappingTables!$C$35),S783,0))</f>
        <v>0</v>
      </c>
    </row>
    <row r="784" spans="2:20" s="0" customFormat="0" ht="15">
      <c r="B784" s="69" t="s">
        <v>4387</v>
      </c>
      <c r="C784" s="70" t="s">
        <v>4388</v>
      </c>
      <c r="D784" s="70" t="s">
        <v>1</v>
      </c>
      <c r="E784" s="70" t="s">
        <v>1</v>
      </c>
      <c r="F784" s="70"/>
      <c r="G784" s="70" t="s">
        <v>61</v>
      </c>
      <c r="H784" s="70" t="s">
        <v>178</v>
      </c>
      <c r="I784" s="70" t="s">
        <v>204</v>
      </c>
      <c r="J784" s="71">
        <f>IF(OR(I784=0,I784=""),"unrated",VLOOKUP(I784,MappingTables!$B$19:$C$31,2,FALSE))</f>
        <v>6</v>
      </c>
      <c r="K784" s="72">
        <v>27.73373836435866</v>
      </c>
      <c r="L784" s="70">
        <v>0.081311114320726288</v>
      </c>
      <c r="M784" s="71">
        <f>IF(L784&lt;1,1,L784)</f>
        <v>1</v>
      </c>
      <c r="N784" s="70" t="s">
        <v>3288</v>
      </c>
      <c r="O784" s="71">
        <f>IF(OR(I784=$A$1,I784=0),"",IF(N784=MappingTables!$C$14,VLOOKUP(J784,ModelParameters!$M$8:$N$15,2,FALSE),IF(N784=MappingTables!$C$16,VLOOKUP(J784,ModelParameters!$P$8:$Q$15,2,FALSE),0)))</f>
        <v>1</v>
      </c>
      <c r="P784" s="73">
        <f>IF(OR(I784=0,I784=$A$1),0,MIN(O784*M784,1)*K784)</f>
        <v>27.73373836435866</v>
      </c>
      <c r="Q784" s="73">
        <f>IF(B784="",0,IF(OR(H784=MappingTables!$C$34,H784=MappingTables!$C$35),P784,0))</f>
        <v>0</v>
      </c>
      <c r="R784" s="73">
        <f>IF(ISNA(IF(AND(VLOOKUP(CONCATENATE($D784,$G784),CSRFinput!$B:$E,4,0)=0,OR(H784=MappingTables!$C$31,H784=MappingTables!$C$32)),1,VLOOKUP(CONCATENATE($D784,$G784),CSRFinput!$B:$E,4,0))),0,IF(AND(VLOOKUP(CONCATENATE($D784,$G784),CSRFinput!$B:$E,4,0)=0,OR(H784=MappingTables!$C$31,H784=MappingTables!$C$32)),1,VLOOKUP(CONCATENATE($D784,$G784),CSRFinput!$B:$E,4,0)))</f>
        <v>0.054776304963434752</v>
      </c>
      <c r="S784" s="73">
        <f>IF(B784="",0,P784*R784)</f>
        <v>1.51915171042222</v>
      </c>
      <c r="T784" s="85">
        <f>IF(B784="",0,IF(OR(H784=MappingTables!$C$34,H784=MappingTables!$C$35),S784,0))</f>
        <v>0</v>
      </c>
    </row>
    <row r="785" spans="2:20" s="0" customFormat="0" ht="15">
      <c r="B785" s="69" t="s">
        <v>3771</v>
      </c>
      <c r="C785" s="70" t="s">
        <v>3772</v>
      </c>
      <c r="D785" s="70" t="s">
        <v>1</v>
      </c>
      <c r="E785" s="70" t="s">
        <v>1</v>
      </c>
      <c r="F785" s="70"/>
      <c r="G785" s="70" t="s">
        <v>61</v>
      </c>
      <c r="H785" s="70" t="s">
        <v>178</v>
      </c>
      <c r="I785" s="70" t="s">
        <v>198</v>
      </c>
      <c r="J785" s="71" t="str">
        <f>IF(OR(I785=0,I785=""),"unrated",VLOOKUP(I785,MappingTables!$B$19:$C$31,2,FALSE))</f>
        <v>unrated</v>
      </c>
      <c r="K785" s="72">
        <v>9.1151996435598192</v>
      </c>
      <c r="L785" s="70">
        <v>31.68142316581706</v>
      </c>
      <c r="M785" s="71">
        <f>IF(L785&lt;1,1,L785)</f>
        <v>31.68142316581706</v>
      </c>
      <c r="N785" s="70" t="s">
        <v>3288</v>
      </c>
      <c r="O785" s="71">
        <f>IF(OR(I785=$A$1,I785=0),"",IF(N785=MappingTables!$C$14,VLOOKUP(J785,ModelParameters!$M$8:$N$15,2,FALSE),IF(N785=MappingTables!$C$16,VLOOKUP(J785,ModelParameters!$P$8:$Q$15,2,FALSE),0)))</f>
        <v>1</v>
      </c>
      <c r="P785" s="73">
        <f>IF(OR(I785=0,I785=$A$1),0,MIN(O785*M785,1)*K785)</f>
        <v>9.1151996435598192</v>
      </c>
      <c r="Q785" s="73">
        <f>IF(B785="",0,IF(OR(H785=MappingTables!$C$34,H785=MappingTables!$C$35),P785,0))</f>
        <v>0</v>
      </c>
      <c r="R785" s="73">
        <f>IF(ISNA(IF(AND(VLOOKUP(CONCATENATE($D785,$G785),CSRFinput!$B:$E,4,0)=0,OR(H785=MappingTables!$C$31,H785=MappingTables!$C$32)),1,VLOOKUP(CONCATENATE($D785,$G785),CSRFinput!$B:$E,4,0))),0,IF(AND(VLOOKUP(CONCATENATE($D785,$G785),CSRFinput!$B:$E,4,0)=0,OR(H785=MappingTables!$C$31,H785=MappingTables!$C$32)),1,VLOOKUP(CONCATENATE($D785,$G785),CSRFinput!$B:$E,4,0)))</f>
        <v>0.054776304963434752</v>
      </c>
      <c r="S785" s="73">
        <f>IF(B785="",0,P785*R785)</f>
        <v>0.49929695547822448</v>
      </c>
      <c r="T785" s="85">
        <f>IF(B785="",0,IF(OR(H785=MappingTables!$C$34,H785=MappingTables!$C$35),S785,0))</f>
        <v>0</v>
      </c>
    </row>
    <row r="786" spans="2:20" s="0" customFormat="0" ht="15">
      <c r="B786" s="69">
        <v>11865468</v>
      </c>
      <c r="C786" s="70" t="s">
        <v>3929</v>
      </c>
      <c r="D786" s="70" t="s">
        <v>1</v>
      </c>
      <c r="E786" s="70" t="s">
        <v>1</v>
      </c>
      <c r="F786" s="70"/>
      <c r="G786" s="70" t="s">
        <v>61</v>
      </c>
      <c r="H786" s="70" t="s">
        <v>178</v>
      </c>
      <c r="I786" s="70" t="s">
        <v>216</v>
      </c>
      <c r="J786" s="71">
        <f>IF(OR(I786=0,I786=""),"unrated",VLOOKUP(I786,MappingTables!$B$19:$C$31,2,FALSE))</f>
        <v>0</v>
      </c>
      <c r="K786" s="72">
        <v>32.827674078076648</v>
      </c>
      <c r="L786" s="70">
        <v>0.079546764022452144</v>
      </c>
      <c r="M786" s="71">
        <f>IF(L786&lt;1,1,L786)</f>
        <v>1</v>
      </c>
      <c r="N786" s="70" t="s">
        <v>3288</v>
      </c>
      <c r="O786" s="71">
        <f>IF(OR(I786=$A$1,I786=0),"",IF(N786=MappingTables!$C$14,VLOOKUP(J786,ModelParameters!$M$8:$N$15,2,FALSE),IF(N786=MappingTables!$C$16,VLOOKUP(J786,ModelParameters!$P$8:$Q$15,2,FALSE),0)))</f>
        <v>0.125</v>
      </c>
      <c r="P786" s="73">
        <f>IF(OR(I786=0,I786=$A$1),0,MIN(O786*M786,1)*K786)</f>
        <v>4.1034592597595808</v>
      </c>
      <c r="Q786" s="73">
        <f>IF(B786="",0,IF(OR(H786=MappingTables!$C$34,H786=MappingTables!$C$35),P786,0))</f>
        <v>0</v>
      </c>
      <c r="R786" s="73">
        <f>IF(ISNA(IF(AND(VLOOKUP(CONCATENATE($D786,$G786),CSRFinput!$B:$E,4,0)=0,OR(H786=MappingTables!$C$31,H786=MappingTables!$C$32)),1,VLOOKUP(CONCATENATE($D786,$G786),CSRFinput!$B:$E,4,0))),0,IF(AND(VLOOKUP(CONCATENATE($D786,$G786),CSRFinput!$B:$E,4,0)=0,OR(H786=MappingTables!$C$31,H786=MappingTables!$C$32)),1,VLOOKUP(CONCATENATE($D786,$G786),CSRFinput!$B:$E,4,0)))</f>
        <v>0.054776304963434752</v>
      </c>
      <c r="S786" s="73">
        <f>IF(B786="",0,P786*R786)</f>
        <v>0.22477233581762104</v>
      </c>
      <c r="T786" s="85">
        <f>IF(B786="",0,IF(OR(H786=MappingTables!$C$34,H786=MappingTables!$C$35),S786,0))</f>
        <v>0</v>
      </c>
    </row>
    <row r="787" spans="2:20" s="0" customFormat="0" ht="15">
      <c r="B787" s="69" t="s">
        <v>4389</v>
      </c>
      <c r="C787" s="70" t="s">
        <v>4390</v>
      </c>
      <c r="D787" s="70" t="s">
        <v>1</v>
      </c>
      <c r="E787" s="70" t="s">
        <v>1</v>
      </c>
      <c r="F787" s="70"/>
      <c r="G787" s="70" t="s">
        <v>61</v>
      </c>
      <c r="H787" s="70" t="s">
        <v>178</v>
      </c>
      <c r="I787" s="70" t="s">
        <v>216</v>
      </c>
      <c r="J787" s="71">
        <f>IF(OR(I787=0,I787=""),"unrated",VLOOKUP(I787,MappingTables!$B$19:$C$31,2,FALSE))</f>
        <v>0</v>
      </c>
      <c r="K787" s="72">
        <v>1685.4070018088182</v>
      </c>
      <c r="L787" s="70">
        <v>5.1424778865438272</v>
      </c>
      <c r="M787" s="71">
        <f>IF(L787&lt;1,1,L787)</f>
        <v>5.1424778865438272</v>
      </c>
      <c r="N787" s="70" t="s">
        <v>3288</v>
      </c>
      <c r="O787" s="71">
        <f>IF(OR(I787=$A$1,I787=0),"",IF(N787=MappingTables!$C$14,VLOOKUP(J787,ModelParameters!$M$8:$N$15,2,FALSE),IF(N787=MappingTables!$C$16,VLOOKUP(J787,ModelParameters!$P$8:$Q$15,2,FALSE),0)))</f>
        <v>0.125</v>
      </c>
      <c r="P787" s="73">
        <f>IF(OR(I787=0,I787=$A$1),0,MIN(O787*M787,1)*K787)</f>
        <v>1083.3960295784976</v>
      </c>
      <c r="Q787" s="73">
        <f>IF(B787="",0,IF(OR(H787=MappingTables!$C$34,H787=MappingTables!$C$35),P787,0))</f>
        <v>0</v>
      </c>
      <c r="R787" s="73">
        <f>IF(ISNA(IF(AND(VLOOKUP(CONCATENATE($D787,$G787),CSRFinput!$B:$E,4,0)=0,OR(H787=MappingTables!$C$31,H787=MappingTables!$C$32)),1,VLOOKUP(CONCATENATE($D787,$G787),CSRFinput!$B:$E,4,0))),0,IF(AND(VLOOKUP(CONCATENATE($D787,$G787),CSRFinput!$B:$E,4,0)=0,OR(H787=MappingTables!$C$31,H787=MappingTables!$C$32)),1,VLOOKUP(CONCATENATE($D787,$G787),CSRFinput!$B:$E,4,0)))</f>
        <v>0.054776304963434752</v>
      </c>
      <c r="S787" s="73">
        <f>IF(B787="",0,P787*R787)</f>
        <v>59.34443131236616</v>
      </c>
      <c r="T787" s="85">
        <f>IF(B787="",0,IF(OR(H787=MappingTables!$C$34,H787=MappingTables!$C$35),S787,0))</f>
        <v>0</v>
      </c>
    </row>
    <row r="788" spans="2:20" s="0" customFormat="0" ht="15">
      <c r="B788" s="69" t="s">
        <v>4391</v>
      </c>
      <c r="C788" s="70" t="s">
        <v>4392</v>
      </c>
      <c r="D788" s="70" t="s">
        <v>1</v>
      </c>
      <c r="E788" s="70" t="s">
        <v>1</v>
      </c>
      <c r="F788" s="70"/>
      <c r="G788" s="70" t="s">
        <v>61</v>
      </c>
      <c r="H788" s="70" t="s">
        <v>178</v>
      </c>
      <c r="I788" s="70" t="s">
        <v>179</v>
      </c>
      <c r="J788" s="71">
        <f>IF(OR(I788=0,I788=""),"unrated",VLOOKUP(I788,MappingTables!$B$19:$C$31,2,FALSE))</f>
        <v>4</v>
      </c>
      <c r="K788" s="72">
        <v>28482.8362032671</v>
      </c>
      <c r="L788" s="70">
        <v>5.3450118911137384</v>
      </c>
      <c r="M788" s="71">
        <f>IF(L788&lt;1,1,L788)</f>
        <v>5.3450118911137384</v>
      </c>
      <c r="N788" s="70" t="s">
        <v>3288</v>
      </c>
      <c r="O788" s="71">
        <f>IF(OR(I788=$A$1,I788=0),"",IF(N788=MappingTables!$C$14,VLOOKUP(J788,ModelParameters!$M$8:$N$15,2,FALSE),IF(N788=MappingTables!$C$16,VLOOKUP(J788,ModelParameters!$P$8:$Q$15,2,FALSE),0)))</f>
        <v>0.82</v>
      </c>
      <c r="P788" s="73">
        <f>IF(OR(I788=0,I788=$A$1),0,MIN(O788*M788,1)*K788)</f>
        <v>28482.8362032671</v>
      </c>
      <c r="Q788" s="73">
        <f>IF(B788="",0,IF(OR(H788=MappingTables!$C$34,H788=MappingTables!$C$35),P788,0))</f>
        <v>0</v>
      </c>
      <c r="R788" s="73">
        <f>IF(ISNA(IF(AND(VLOOKUP(CONCATENATE($D788,$G788),CSRFinput!$B:$E,4,0)=0,OR(H788=MappingTables!$C$31,H788=MappingTables!$C$32)),1,VLOOKUP(CONCATENATE($D788,$G788),CSRFinput!$B:$E,4,0))),0,IF(AND(VLOOKUP(CONCATENATE($D788,$G788),CSRFinput!$B:$E,4,0)=0,OR(H788=MappingTables!$C$31,H788=MappingTables!$C$32)),1,VLOOKUP(CONCATENATE($D788,$G788),CSRFinput!$B:$E,4,0)))</f>
        <v>0.054776304963434752</v>
      </c>
      <c r="S788" s="73">
        <f>IF(B788="",0,P788*R788)</f>
        <v>1560.1845220937186</v>
      </c>
      <c r="T788" s="85">
        <f>IF(B788="",0,IF(OR(H788=MappingTables!$C$34,H788=MappingTables!$C$35),S788,0))</f>
        <v>0</v>
      </c>
    </row>
    <row r="789" spans="2:20" s="0" customFormat="0" ht="15">
      <c r="B789" s="69">
        <v>16974681</v>
      </c>
      <c r="C789" s="70" t="s">
        <v>3542</v>
      </c>
      <c r="D789" s="70" t="s">
        <v>1</v>
      </c>
      <c r="E789" s="70" t="s">
        <v>1</v>
      </c>
      <c r="F789" s="70"/>
      <c r="G789" s="70" t="s">
        <v>61</v>
      </c>
      <c r="H789" s="70" t="s">
        <v>178</v>
      </c>
      <c r="I789" s="70" t="s">
        <v>198</v>
      </c>
      <c r="J789" s="71" t="str">
        <f>IF(OR(I789=0,I789=""),"unrated",VLOOKUP(I789,MappingTables!$B$19:$C$31,2,FALSE))</f>
        <v>unrated</v>
      </c>
      <c r="K789" s="72">
        <v>94.193711387756288</v>
      </c>
      <c r="L789" s="70">
        <v>0.08374682880027024</v>
      </c>
      <c r="M789" s="71">
        <f>IF(L789&lt;1,1,L789)</f>
        <v>1</v>
      </c>
      <c r="N789" s="70" t="s">
        <v>3288</v>
      </c>
      <c r="O789" s="71">
        <f>IF(OR(I789=$A$1,I789=0),"",IF(N789=MappingTables!$C$14,VLOOKUP(J789,ModelParameters!$M$8:$N$15,2,FALSE),IF(N789=MappingTables!$C$16,VLOOKUP(J789,ModelParameters!$P$8:$Q$15,2,FALSE),0)))</f>
        <v>1</v>
      </c>
      <c r="P789" s="73">
        <f>IF(OR(I789=0,I789=$A$1),0,MIN(O789*M789,1)*K789)</f>
        <v>94.193711387756288</v>
      </c>
      <c r="Q789" s="73">
        <f>IF(B789="",0,IF(OR(H789=MappingTables!$C$34,H789=MappingTables!$C$35),P789,0))</f>
        <v>0</v>
      </c>
      <c r="R789" s="73">
        <f>IF(ISNA(IF(AND(VLOOKUP(CONCATENATE($D789,$G789),CSRFinput!$B:$E,4,0)=0,OR(H789=MappingTables!$C$31,H789=MappingTables!$C$32)),1,VLOOKUP(CONCATENATE($D789,$G789),CSRFinput!$B:$E,4,0))),0,IF(AND(VLOOKUP(CONCATENATE($D789,$G789),CSRFinput!$B:$E,4,0)=0,OR(H789=MappingTables!$C$31,H789=MappingTables!$C$32)),1,VLOOKUP(CONCATENATE($D789,$G789),CSRFinput!$B:$E,4,0)))</f>
        <v>0.054776304963434752</v>
      </c>
      <c r="S789" s="73">
        <f>IF(B789="",0,P789*R789)</f>
        <v>5.1595834606134952</v>
      </c>
      <c r="T789" s="85">
        <f>IF(B789="",0,IF(OR(H789=MappingTables!$C$34,H789=MappingTables!$C$35),S789,0))</f>
        <v>0</v>
      </c>
    </row>
    <row r="790" spans="2:20" s="0" customFormat="0" ht="15">
      <c r="B790" s="69" t="s">
        <v>4393</v>
      </c>
      <c r="C790" s="70" t="s">
        <v>4394</v>
      </c>
      <c r="D790" s="70" t="s">
        <v>1</v>
      </c>
      <c r="E790" s="70" t="s">
        <v>1</v>
      </c>
      <c r="F790" s="70"/>
      <c r="G790" s="70" t="s">
        <v>61</v>
      </c>
      <c r="H790" s="70" t="s">
        <v>178</v>
      </c>
      <c r="I790" s="70" t="s">
        <v>198</v>
      </c>
      <c r="J790" s="71" t="str">
        <f>IF(OR(I790=0,I790=""),"unrated",VLOOKUP(I790,MappingTables!$B$19:$C$31,2,FALSE))</f>
        <v>unrated</v>
      </c>
      <c r="K790" s="72">
        <v>0.59674041580410072</v>
      </c>
      <c r="L790" s="70">
        <v>4.9051331376852624</v>
      </c>
      <c r="M790" s="71">
        <f>IF(L790&lt;1,1,L790)</f>
        <v>4.9051331376852624</v>
      </c>
      <c r="N790" s="70" t="s">
        <v>3288</v>
      </c>
      <c r="O790" s="71">
        <f>IF(OR(I790=$A$1,I790=0),"",IF(N790=MappingTables!$C$14,VLOOKUP(J790,ModelParameters!$M$8:$N$15,2,FALSE),IF(N790=MappingTables!$C$16,VLOOKUP(J790,ModelParameters!$P$8:$Q$15,2,FALSE),0)))</f>
        <v>1</v>
      </c>
      <c r="P790" s="73">
        <f>IF(OR(I790=0,I790=$A$1),0,MIN(O790*M790,1)*K790)</f>
        <v>0.59674041580410072</v>
      </c>
      <c r="Q790" s="73">
        <f>IF(B790="",0,IF(OR(H790=MappingTables!$C$34,H790=MappingTables!$C$35),P790,0))</f>
        <v>0</v>
      </c>
      <c r="R790" s="73">
        <f>IF(ISNA(IF(AND(VLOOKUP(CONCATENATE($D790,$G790),CSRFinput!$B:$E,4,0)=0,OR(H790=MappingTables!$C$31,H790=MappingTables!$C$32)),1,VLOOKUP(CONCATENATE($D790,$G790),CSRFinput!$B:$E,4,0))),0,IF(AND(VLOOKUP(CONCATENATE($D790,$G790),CSRFinput!$B:$E,4,0)=0,OR(H790=MappingTables!$C$31,H790=MappingTables!$C$32)),1,VLOOKUP(CONCATENATE($D790,$G790),CSRFinput!$B:$E,4,0)))</f>
        <v>0.054776304963434752</v>
      </c>
      <c r="S790" s="73">
        <f>IF(B790="",0,P790*R790)</f>
        <v>0.032687235000092284</v>
      </c>
      <c r="T790" s="85">
        <f>IF(B790="",0,IF(OR(H790=MappingTables!$C$34,H790=MappingTables!$C$35),S790,0))</f>
        <v>0</v>
      </c>
    </row>
    <row r="791" spans="2:20" s="0" customFormat="0" ht="15">
      <c r="B791" s="69" t="s">
        <v>4395</v>
      </c>
      <c r="C791" s="70" t="s">
        <v>4396</v>
      </c>
      <c r="D791" s="70" t="s">
        <v>1</v>
      </c>
      <c r="E791" s="70" t="s">
        <v>1</v>
      </c>
      <c r="F791" s="70"/>
      <c r="G791" s="70" t="s">
        <v>61</v>
      </c>
      <c r="H791" s="70" t="s">
        <v>178</v>
      </c>
      <c r="I791" s="70" t="s">
        <v>204</v>
      </c>
      <c r="J791" s="71">
        <f>IF(OR(I791=0,I791=""),"unrated",VLOOKUP(I791,MappingTables!$B$19:$C$31,2,FALSE))</f>
        <v>6</v>
      </c>
      <c r="K791" s="72">
        <v>161.57848430402314</v>
      </c>
      <c r="L791" s="70">
        <v>0.0684888428224166</v>
      </c>
      <c r="M791" s="71">
        <f>IF(L791&lt;1,1,L791)</f>
        <v>1</v>
      </c>
      <c r="N791" s="70" t="s">
        <v>3288</v>
      </c>
      <c r="O791" s="71">
        <f>IF(OR(I791=$A$1,I791=0),"",IF(N791=MappingTables!$C$14,VLOOKUP(J791,ModelParameters!$M$8:$N$15,2,FALSE),IF(N791=MappingTables!$C$16,VLOOKUP(J791,ModelParameters!$P$8:$Q$15,2,FALSE),0)))</f>
        <v>1</v>
      </c>
      <c r="P791" s="73">
        <f>IF(OR(I791=0,I791=$A$1),0,MIN(O791*M791,1)*K791)</f>
        <v>161.57848430402314</v>
      </c>
      <c r="Q791" s="73">
        <f>IF(B791="",0,IF(OR(H791=MappingTables!$C$34,H791=MappingTables!$C$35),P791,0))</f>
        <v>0</v>
      </c>
      <c r="R791" s="73">
        <f>IF(ISNA(IF(AND(VLOOKUP(CONCATENATE($D791,$G791),CSRFinput!$B:$E,4,0)=0,OR(H791=MappingTables!$C$31,H791=MappingTables!$C$32)),1,VLOOKUP(CONCATENATE($D791,$G791),CSRFinput!$B:$E,4,0))),0,IF(AND(VLOOKUP(CONCATENATE($D791,$G791),CSRFinput!$B:$E,4,0)=0,OR(H791=MappingTables!$C$31,H791=MappingTables!$C$32)),1,VLOOKUP(CONCATENATE($D791,$G791),CSRFinput!$B:$E,4,0)))</f>
        <v>0.054776304963434752</v>
      </c>
      <c r="S791" s="73">
        <f>IF(B791="",0,P791*R791)</f>
        <v>8.850672331766728</v>
      </c>
      <c r="T791" s="85">
        <f>IF(B791="",0,IF(OR(H791=MappingTables!$C$34,H791=MappingTables!$C$35),S791,0))</f>
        <v>0</v>
      </c>
    </row>
    <row r="792" spans="2:20" s="0" customFormat="0" ht="15">
      <c r="B792" s="69">
        <v>16974059</v>
      </c>
      <c r="C792" s="70" t="s">
        <v>4397</v>
      </c>
      <c r="D792" s="70" t="s">
        <v>1</v>
      </c>
      <c r="E792" s="70" t="s">
        <v>1</v>
      </c>
      <c r="F792" s="70"/>
      <c r="G792" s="70" t="s">
        <v>61</v>
      </c>
      <c r="H792" s="70" t="s">
        <v>178</v>
      </c>
      <c r="I792" s="70" t="s">
        <v>198</v>
      </c>
      <c r="J792" s="71" t="str">
        <f>IF(OR(I792=0,I792=""),"unrated",VLOOKUP(I792,MappingTables!$B$19:$C$31,2,FALSE))</f>
        <v>unrated</v>
      </c>
      <c r="K792" s="72">
        <v>116.77913866893406</v>
      </c>
      <c r="L792" s="70">
        <v>0.079070722099292416</v>
      </c>
      <c r="M792" s="71">
        <f>IF(L792&lt;1,1,L792)</f>
        <v>1</v>
      </c>
      <c r="N792" s="70" t="s">
        <v>3288</v>
      </c>
      <c r="O792" s="71">
        <f>IF(OR(I792=$A$1,I792=0),"",IF(N792=MappingTables!$C$14,VLOOKUP(J792,ModelParameters!$M$8:$N$15,2,FALSE),IF(N792=MappingTables!$C$16,VLOOKUP(J792,ModelParameters!$P$8:$Q$15,2,FALSE),0)))</f>
        <v>1</v>
      </c>
      <c r="P792" s="73">
        <f>IF(OR(I792=0,I792=$A$1),0,MIN(O792*M792,1)*K792)</f>
        <v>116.77913866893406</v>
      </c>
      <c r="Q792" s="73">
        <f>IF(B792="",0,IF(OR(H792=MappingTables!$C$34,H792=MappingTables!$C$35),P792,0))</f>
        <v>0</v>
      </c>
      <c r="R792" s="73">
        <f>IF(ISNA(IF(AND(VLOOKUP(CONCATENATE($D792,$G792),CSRFinput!$B:$E,4,0)=0,OR(H792=MappingTables!$C$31,H792=MappingTables!$C$32)),1,VLOOKUP(CONCATENATE($D792,$G792),CSRFinput!$B:$E,4,0))),0,IF(AND(VLOOKUP(CONCATENATE($D792,$G792),CSRFinput!$B:$E,4,0)=0,OR(H792=MappingTables!$C$31,H792=MappingTables!$C$32)),1,VLOOKUP(CONCATENATE($D792,$G792),CSRFinput!$B:$E,4,0)))</f>
        <v>0.054776304963434752</v>
      </c>
      <c r="S792" s="73">
        <f>IF(B792="",0,P792*R792)</f>
        <v>6.396729713096768</v>
      </c>
      <c r="T792" s="85">
        <f>IF(B792="",0,IF(OR(H792=MappingTables!$C$34,H792=MappingTables!$C$35),S792,0))</f>
        <v>0</v>
      </c>
    </row>
    <row r="793" spans="2:20" s="0" customFormat="0" ht="15">
      <c r="B793" s="69" t="s">
        <v>4085</v>
      </c>
      <c r="C793" s="70" t="s">
        <v>4086</v>
      </c>
      <c r="D793" s="70" t="s">
        <v>1</v>
      </c>
      <c r="E793" s="70" t="s">
        <v>1</v>
      </c>
      <c r="F793" s="70"/>
      <c r="G793" s="70" t="s">
        <v>61</v>
      </c>
      <c r="H793" s="70" t="s">
        <v>178</v>
      </c>
      <c r="I793" s="70" t="s">
        <v>204</v>
      </c>
      <c r="J793" s="71">
        <f>IF(OR(I793=0,I793=""),"unrated",VLOOKUP(I793,MappingTables!$B$19:$C$31,2,FALSE))</f>
        <v>6</v>
      </c>
      <c r="K793" s="72">
        <v>45.881942227143304</v>
      </c>
      <c r="L793" s="70">
        <v>0.04544240861453796</v>
      </c>
      <c r="M793" s="71">
        <f>IF(L793&lt;1,1,L793)</f>
        <v>1</v>
      </c>
      <c r="N793" s="70" t="s">
        <v>3288</v>
      </c>
      <c r="O793" s="71">
        <f>IF(OR(I793=$A$1,I793=0),"",IF(N793=MappingTables!$C$14,VLOOKUP(J793,ModelParameters!$M$8:$N$15,2,FALSE),IF(N793=MappingTables!$C$16,VLOOKUP(J793,ModelParameters!$P$8:$Q$15,2,FALSE),0)))</f>
        <v>1</v>
      </c>
      <c r="P793" s="73">
        <f>IF(OR(I793=0,I793=$A$1),0,MIN(O793*M793,1)*K793)</f>
        <v>45.881942227143304</v>
      </c>
      <c r="Q793" s="73">
        <f>IF(B793="",0,IF(OR(H793=MappingTables!$C$34,H793=MappingTables!$C$35),P793,0))</f>
        <v>0</v>
      </c>
      <c r="R793" s="73">
        <f>IF(ISNA(IF(AND(VLOOKUP(CONCATENATE($D793,$G793),CSRFinput!$B:$E,4,0)=0,OR(H793=MappingTables!$C$31,H793=MappingTables!$C$32)),1,VLOOKUP(CONCATENATE($D793,$G793),CSRFinput!$B:$E,4,0))),0,IF(AND(VLOOKUP(CONCATENATE($D793,$G793),CSRFinput!$B:$E,4,0)=0,OR(H793=MappingTables!$C$31,H793=MappingTables!$C$32)),1,VLOOKUP(CONCATENATE($D793,$G793),CSRFinput!$B:$E,4,0)))</f>
        <v>0.054776304963434752</v>
      </c>
      <c r="S793" s="73">
        <f>IF(B793="",0,P793*R793)</f>
        <v>2.5132432597486964</v>
      </c>
      <c r="T793" s="85">
        <f>IF(B793="",0,IF(OR(H793=MappingTables!$C$34,H793=MappingTables!$C$35),S793,0))</f>
        <v>0</v>
      </c>
    </row>
    <row r="794" spans="2:20" s="0" customFormat="0" ht="15">
      <c r="B794" s="69" t="s">
        <v>3404</v>
      </c>
      <c r="C794" s="70" t="s">
        <v>3405</v>
      </c>
      <c r="D794" s="70" t="s">
        <v>1</v>
      </c>
      <c r="E794" s="70" t="s">
        <v>1</v>
      </c>
      <c r="F794" s="70"/>
      <c r="G794" s="70" t="s">
        <v>61</v>
      </c>
      <c r="H794" s="70" t="s">
        <v>178</v>
      </c>
      <c r="I794" s="70" t="s">
        <v>198</v>
      </c>
      <c r="J794" s="71" t="str">
        <f>IF(OR(I794=0,I794=""),"unrated",VLOOKUP(I794,MappingTables!$B$19:$C$31,2,FALSE))</f>
        <v>unrated</v>
      </c>
      <c r="K794" s="72">
        <v>12.075842980995764</v>
      </c>
      <c r="L794" s="70">
        <v>0.068497238831916856</v>
      </c>
      <c r="M794" s="71">
        <f>IF(L794&lt;1,1,L794)</f>
        <v>1</v>
      </c>
      <c r="N794" s="70" t="s">
        <v>3288</v>
      </c>
      <c r="O794" s="71">
        <f>IF(OR(I794=$A$1,I794=0),"",IF(N794=MappingTables!$C$14,VLOOKUP(J794,ModelParameters!$M$8:$N$15,2,FALSE),IF(N794=MappingTables!$C$16,VLOOKUP(J794,ModelParameters!$P$8:$Q$15,2,FALSE),0)))</f>
        <v>1</v>
      </c>
      <c r="P794" s="73">
        <f>IF(OR(I794=0,I794=$A$1),0,MIN(O794*M794,1)*K794)</f>
        <v>12.075842980995764</v>
      </c>
      <c r="Q794" s="73">
        <f>IF(B794="",0,IF(OR(H794=MappingTables!$C$34,H794=MappingTables!$C$35),P794,0))</f>
        <v>0</v>
      </c>
      <c r="R794" s="73">
        <f>IF(ISNA(IF(AND(VLOOKUP(CONCATENATE($D794,$G794),CSRFinput!$B:$E,4,0)=0,OR(H794=MappingTables!$C$31,H794=MappingTables!$C$32)),1,VLOOKUP(CONCATENATE($D794,$G794),CSRFinput!$B:$E,4,0))),0,IF(AND(VLOOKUP(CONCATENATE($D794,$G794),CSRFinput!$B:$E,4,0)=0,OR(H794=MappingTables!$C$31,H794=MappingTables!$C$32)),1,VLOOKUP(CONCATENATE($D794,$G794),CSRFinput!$B:$E,4,0)))</f>
        <v>0.054776304963434752</v>
      </c>
      <c r="S794" s="73">
        <f>IF(B794="",0,P794*R794)</f>
        <v>0.66147005781757704</v>
      </c>
      <c r="T794" s="85">
        <f>IF(B794="",0,IF(OR(H794=MappingTables!$C$34,H794=MappingTables!$C$35),S794,0))</f>
        <v>0</v>
      </c>
    </row>
    <row r="795" spans="2:20" s="0" customFormat="0" ht="15">
      <c r="B795" s="69" t="s">
        <v>4398</v>
      </c>
      <c r="C795" s="70" t="s">
        <v>4399</v>
      </c>
      <c r="D795" s="70" t="s">
        <v>1</v>
      </c>
      <c r="E795" s="70" t="s">
        <v>1</v>
      </c>
      <c r="F795" s="70"/>
      <c r="G795" s="70" t="s">
        <v>61</v>
      </c>
      <c r="H795" s="70" t="s">
        <v>178</v>
      </c>
      <c r="I795" s="70" t="s">
        <v>216</v>
      </c>
      <c r="J795" s="71">
        <f>IF(OR(I795=0,I795=""),"unrated",VLOOKUP(I795,MappingTables!$B$19:$C$31,2,FALSE))</f>
        <v>0</v>
      </c>
      <c r="K795" s="72">
        <v>148.2917516268626</v>
      </c>
      <c r="L795" s="70">
        <v>0.12603123285987714</v>
      </c>
      <c r="M795" s="71">
        <f>IF(L795&lt;1,1,L795)</f>
        <v>1</v>
      </c>
      <c r="N795" s="70" t="s">
        <v>3288</v>
      </c>
      <c r="O795" s="71">
        <f>IF(OR(I795=$A$1,I795=0),"",IF(N795=MappingTables!$C$14,VLOOKUP(J795,ModelParameters!$M$8:$N$15,2,FALSE),IF(N795=MappingTables!$C$16,VLOOKUP(J795,ModelParameters!$P$8:$Q$15,2,FALSE),0)))</f>
        <v>0.125</v>
      </c>
      <c r="P795" s="73">
        <f>IF(OR(I795=0,I795=$A$1),0,MIN(O795*M795,1)*K795)</f>
        <v>18.536468953357824</v>
      </c>
      <c r="Q795" s="73">
        <f>IF(B795="",0,IF(OR(H795=MappingTables!$C$34,H795=MappingTables!$C$35),P795,0))</f>
        <v>0</v>
      </c>
      <c r="R795" s="73">
        <f>IF(ISNA(IF(AND(VLOOKUP(CONCATENATE($D795,$G795),CSRFinput!$B:$E,4,0)=0,OR(H795=MappingTables!$C$31,H795=MappingTables!$C$32)),1,VLOOKUP(CONCATENATE($D795,$G795),CSRFinput!$B:$E,4,0))),0,IF(AND(VLOOKUP(CONCATENATE($D795,$G795),CSRFinput!$B:$E,4,0)=0,OR(H795=MappingTables!$C$31,H795=MappingTables!$C$32)),1,VLOOKUP(CONCATENATE($D795,$G795),CSRFinput!$B:$E,4,0)))</f>
        <v>0.054776304963434752</v>
      </c>
      <c r="S795" s="73">
        <f>IF(B795="",0,P795*R795)</f>
        <v>1.0153592763343684</v>
      </c>
      <c r="T795" s="85">
        <f>IF(B795="",0,IF(OR(H795=MappingTables!$C$34,H795=MappingTables!$C$35),S795,0))</f>
        <v>0</v>
      </c>
    </row>
    <row r="796" spans="2:20" s="0" customFormat="0" ht="15">
      <c r="B796" s="69" t="s">
        <v>4400</v>
      </c>
      <c r="C796" s="70" t="s">
        <v>4401</v>
      </c>
      <c r="D796" s="70" t="s">
        <v>1</v>
      </c>
      <c r="E796" s="70" t="s">
        <v>1</v>
      </c>
      <c r="F796" s="70"/>
      <c r="G796" s="70" t="s">
        <v>61</v>
      </c>
      <c r="H796" s="70" t="s">
        <v>178</v>
      </c>
      <c r="I796" s="70" t="s">
        <v>198</v>
      </c>
      <c r="J796" s="71" t="str">
        <f>IF(OR(I796=0,I796=""),"unrated",VLOOKUP(I796,MappingTables!$B$19:$C$31,2,FALSE))</f>
        <v>unrated</v>
      </c>
      <c r="K796" s="72">
        <v>4928.1861869600664</v>
      </c>
      <c r="L796" s="70">
        <v>9.2147065483164592</v>
      </c>
      <c r="M796" s="71">
        <f>IF(L796&lt;1,1,L796)</f>
        <v>9.2147065483164592</v>
      </c>
      <c r="N796" s="70" t="s">
        <v>3288</v>
      </c>
      <c r="O796" s="71">
        <f>IF(OR(I796=$A$1,I796=0),"",IF(N796=MappingTables!$C$14,VLOOKUP(J796,ModelParameters!$M$8:$N$15,2,FALSE),IF(N796=MappingTables!$C$16,VLOOKUP(J796,ModelParameters!$P$8:$Q$15,2,FALSE),0)))</f>
        <v>1</v>
      </c>
      <c r="P796" s="73">
        <f>IF(OR(I796=0,I796=$A$1),0,MIN(O796*M796,1)*K796)</f>
        <v>4928.1861869600664</v>
      </c>
      <c r="Q796" s="73">
        <f>IF(B796="",0,IF(OR(H796=MappingTables!$C$34,H796=MappingTables!$C$35),P796,0))</f>
        <v>0</v>
      </c>
      <c r="R796" s="73">
        <f>IF(ISNA(IF(AND(VLOOKUP(CONCATENATE($D796,$G796),CSRFinput!$B:$E,4,0)=0,OR(H796=MappingTables!$C$31,H796=MappingTables!$C$32)),1,VLOOKUP(CONCATENATE($D796,$G796),CSRFinput!$B:$E,4,0))),0,IF(AND(VLOOKUP(CONCATENATE($D796,$G796),CSRFinput!$B:$E,4,0)=0,OR(H796=MappingTables!$C$31,H796=MappingTables!$C$32)),1,VLOOKUP(CONCATENATE($D796,$G796),CSRFinput!$B:$E,4,0)))</f>
        <v>0.054776304963434752</v>
      </c>
      <c r="S796" s="73">
        <f>IF(B796="",0,P796*R796)</f>
        <v>269.94782949351128</v>
      </c>
      <c r="T796" s="85">
        <f>IF(B796="",0,IF(OR(H796=MappingTables!$C$34,H796=MappingTables!$C$35),S796,0))</f>
        <v>0</v>
      </c>
    </row>
    <row r="797" spans="2:20" s="0" customFormat="0" ht="15">
      <c r="B797" s="69" t="s">
        <v>4402</v>
      </c>
      <c r="C797" s="70" t="s">
        <v>4403</v>
      </c>
      <c r="D797" s="70" t="s">
        <v>1</v>
      </c>
      <c r="E797" s="70" t="s">
        <v>1</v>
      </c>
      <c r="F797" s="70"/>
      <c r="G797" s="70" t="s">
        <v>61</v>
      </c>
      <c r="H797" s="70" t="s">
        <v>178</v>
      </c>
      <c r="I797" s="70" t="s">
        <v>3298</v>
      </c>
      <c r="J797" s="71">
        <f>IF(OR(I797=0,I797=""),"unrated",VLOOKUP(I797,MappingTables!$B$19:$C$31,2,FALSE))</f>
        <v>6</v>
      </c>
      <c r="K797" s="72">
        <v>352.71636864870436</v>
      </c>
      <c r="L797" s="70">
        <v>0.068492768026552008</v>
      </c>
      <c r="M797" s="71">
        <f>IF(L797&lt;1,1,L797)</f>
        <v>1</v>
      </c>
      <c r="N797" s="70" t="s">
        <v>3288</v>
      </c>
      <c r="O797" s="71">
        <f>IF(OR(I797=$A$1,I797=0),"",IF(N797=MappingTables!$C$14,VLOOKUP(J797,ModelParameters!$M$8:$N$15,2,FALSE),IF(N797=MappingTables!$C$16,VLOOKUP(J797,ModelParameters!$P$8:$Q$15,2,FALSE),0)))</f>
        <v>1</v>
      </c>
      <c r="P797" s="73">
        <f>IF(OR(I797=0,I797=$A$1),0,MIN(O797*M797,1)*K797)</f>
        <v>352.71636864870436</v>
      </c>
      <c r="Q797" s="73">
        <f>IF(B797="",0,IF(OR(H797=MappingTables!$C$34,H797=MappingTables!$C$35),P797,0))</f>
        <v>0</v>
      </c>
      <c r="R797" s="73">
        <f>IF(ISNA(IF(AND(VLOOKUP(CONCATENATE($D797,$G797),CSRFinput!$B:$E,4,0)=0,OR(H797=MappingTables!$C$31,H797=MappingTables!$C$32)),1,VLOOKUP(CONCATENATE($D797,$G797),CSRFinput!$B:$E,4,0))),0,IF(AND(VLOOKUP(CONCATENATE($D797,$G797),CSRFinput!$B:$E,4,0)=0,OR(H797=MappingTables!$C$31,H797=MappingTables!$C$32)),1,VLOOKUP(CONCATENATE($D797,$G797),CSRFinput!$B:$E,4,0)))</f>
        <v>0.054776304963434752</v>
      </c>
      <c r="S797" s="73">
        <f>IF(B797="",0,P797*R797)</f>
        <v>19.320499374696704</v>
      </c>
      <c r="T797" s="85">
        <f>IF(B797="",0,IF(OR(H797=MappingTables!$C$34,H797=MappingTables!$C$35),S797,0))</f>
        <v>0</v>
      </c>
    </row>
    <row r="798" spans="2:20" s="0" customFormat="0" ht="15">
      <c r="B798" s="69" t="s">
        <v>4404</v>
      </c>
      <c r="C798" s="70" t="s">
        <v>4405</v>
      </c>
      <c r="D798" s="70" t="s">
        <v>1</v>
      </c>
      <c r="E798" s="70" t="s">
        <v>1</v>
      </c>
      <c r="F798" s="70"/>
      <c r="G798" s="70" t="s">
        <v>61</v>
      </c>
      <c r="H798" s="70" t="s">
        <v>178</v>
      </c>
      <c r="I798" s="70" t="s">
        <v>198</v>
      </c>
      <c r="J798" s="71" t="str">
        <f>IF(OR(I798=0,I798=""),"unrated",VLOOKUP(I798,MappingTables!$B$19:$C$31,2,FALSE))</f>
        <v>unrated</v>
      </c>
      <c r="K798" s="72">
        <v>353.63683277799804</v>
      </c>
      <c r="L798" s="70">
        <v>0.068493143442465304</v>
      </c>
      <c r="M798" s="71">
        <f>IF(L798&lt;1,1,L798)</f>
        <v>1</v>
      </c>
      <c r="N798" s="70" t="s">
        <v>3288</v>
      </c>
      <c r="O798" s="71">
        <f>IF(OR(I798=$A$1,I798=0),"",IF(N798=MappingTables!$C$14,VLOOKUP(J798,ModelParameters!$M$8:$N$15,2,FALSE),IF(N798=MappingTables!$C$16,VLOOKUP(J798,ModelParameters!$P$8:$Q$15,2,FALSE),0)))</f>
        <v>1</v>
      </c>
      <c r="P798" s="73">
        <f>IF(OR(I798=0,I798=$A$1),0,MIN(O798*M798,1)*K798)</f>
        <v>353.63683277799804</v>
      </c>
      <c r="Q798" s="73">
        <f>IF(B798="",0,IF(OR(H798=MappingTables!$C$34,H798=MappingTables!$C$35),P798,0))</f>
        <v>0</v>
      </c>
      <c r="R798" s="73">
        <f>IF(ISNA(IF(AND(VLOOKUP(CONCATENATE($D798,$G798),CSRFinput!$B:$E,4,0)=0,OR(H798=MappingTables!$C$31,H798=MappingTables!$C$32)),1,VLOOKUP(CONCATENATE($D798,$G798),CSRFinput!$B:$E,4,0))),0,IF(AND(VLOOKUP(CONCATENATE($D798,$G798),CSRFinput!$B:$E,4,0)=0,OR(H798=MappingTables!$C$31,H798=MappingTables!$C$32)),1,VLOOKUP(CONCATENATE($D798,$G798),CSRFinput!$B:$E,4,0)))</f>
        <v>0.054776304963434752</v>
      </c>
      <c r="S798" s="73">
        <f>IF(B798="",0,P798*R798)</f>
        <v>19.3709189985508</v>
      </c>
      <c r="T798" s="85">
        <f>IF(B798="",0,IF(OR(H798=MappingTables!$C$34,H798=MappingTables!$C$35),S798,0))</f>
        <v>0</v>
      </c>
    </row>
    <row r="799" spans="2:20" s="0" customFormat="0" ht="15">
      <c r="B799" s="69">
        <v>16974979</v>
      </c>
      <c r="C799" s="70" t="s">
        <v>4406</v>
      </c>
      <c r="D799" s="70" t="s">
        <v>1</v>
      </c>
      <c r="E799" s="70" t="s">
        <v>1</v>
      </c>
      <c r="F799" s="70"/>
      <c r="G799" s="70" t="s">
        <v>61</v>
      </c>
      <c r="H799" s="70" t="s">
        <v>178</v>
      </c>
      <c r="I799" s="70" t="s">
        <v>216</v>
      </c>
      <c r="J799" s="71">
        <f>IF(OR(I799=0,I799=""),"unrated",VLOOKUP(I799,MappingTables!$B$19:$C$31,2,FALSE))</f>
        <v>0</v>
      </c>
      <c r="K799" s="72">
        <v>341.18907417338108</v>
      </c>
      <c r="L799" s="70">
        <v>0.04245759477018236</v>
      </c>
      <c r="M799" s="71">
        <f>IF(L799&lt;1,1,L799)</f>
        <v>1</v>
      </c>
      <c r="N799" s="70" t="s">
        <v>3288</v>
      </c>
      <c r="O799" s="71">
        <f>IF(OR(I799=$A$1,I799=0),"",IF(N799=MappingTables!$C$14,VLOOKUP(J799,ModelParameters!$M$8:$N$15,2,FALSE),IF(N799=MappingTables!$C$16,VLOOKUP(J799,ModelParameters!$P$8:$Q$15,2,FALSE),0)))</f>
        <v>0.125</v>
      </c>
      <c r="P799" s="73">
        <f>IF(OR(I799=0,I799=$A$1),0,MIN(O799*M799,1)*K799)</f>
        <v>42.648634271672632</v>
      </c>
      <c r="Q799" s="73">
        <f>IF(B799="",0,IF(OR(H799=MappingTables!$C$34,H799=MappingTables!$C$35),P799,0))</f>
        <v>0</v>
      </c>
      <c r="R799" s="73">
        <f>IF(ISNA(IF(AND(VLOOKUP(CONCATENATE($D799,$G799),CSRFinput!$B:$E,4,0)=0,OR(H799=MappingTables!$C$31,H799=MappingTables!$C$32)),1,VLOOKUP(CONCATENATE($D799,$G799),CSRFinput!$B:$E,4,0))),0,IF(AND(VLOOKUP(CONCATENATE($D799,$G799),CSRFinput!$B:$E,4,0)=0,OR(H799=MappingTables!$C$31,H799=MappingTables!$C$32)),1,VLOOKUP(CONCATENATE($D799,$G799),CSRFinput!$B:$E,4,0)))</f>
        <v>0.054776304963434752</v>
      </c>
      <c r="S799" s="73">
        <f>IF(B799="",0,P799*R799)</f>
        <v>2.3361345971391356</v>
      </c>
      <c r="T799" s="85">
        <f>IF(B799="",0,IF(OR(H799=MappingTables!$C$34,H799=MappingTables!$C$35),S799,0))</f>
        <v>0</v>
      </c>
    </row>
    <row r="800" spans="2:20" s="0" customFormat="0" ht="15">
      <c r="B800" s="69" t="s">
        <v>4169</v>
      </c>
      <c r="C800" s="70" t="s">
        <v>4170</v>
      </c>
      <c r="D800" s="70" t="s">
        <v>1</v>
      </c>
      <c r="E800" s="70" t="s">
        <v>1</v>
      </c>
      <c r="F800" s="70"/>
      <c r="G800" s="70" t="s">
        <v>61</v>
      </c>
      <c r="H800" s="70" t="s">
        <v>178</v>
      </c>
      <c r="I800" s="70" t="s">
        <v>184</v>
      </c>
      <c r="J800" s="71">
        <f>IF(OR(I800=0,I800=""),"unrated",VLOOKUP(I800,MappingTables!$B$19:$C$31,2,FALSE))</f>
        <v>5</v>
      </c>
      <c r="K800" s="72">
        <v>220.43736848767632</v>
      </c>
      <c r="L800" s="70">
        <v>0.068493322124579552</v>
      </c>
      <c r="M800" s="71">
        <f>IF(L800&lt;1,1,L800)</f>
        <v>1</v>
      </c>
      <c r="N800" s="70" t="s">
        <v>3288</v>
      </c>
      <c r="O800" s="71">
        <f>IF(OR(I800=$A$1,I800=0),"",IF(N800=MappingTables!$C$14,VLOOKUP(J800,ModelParameters!$M$8:$N$15,2,FALSE),IF(N800=MappingTables!$C$16,VLOOKUP(J800,ModelParameters!$P$8:$Q$15,2,FALSE),0)))</f>
        <v>1</v>
      </c>
      <c r="P800" s="73">
        <f>IF(OR(I800=0,I800=$A$1),0,MIN(O800*M800,1)*K800)</f>
        <v>220.43736848767632</v>
      </c>
      <c r="Q800" s="73">
        <f>IF(B800="",0,IF(OR(H800=MappingTables!$C$34,H800=MappingTables!$C$35),P800,0))</f>
        <v>0</v>
      </c>
      <c r="R800" s="73">
        <f>IF(ISNA(IF(AND(VLOOKUP(CONCATENATE($D800,$G800),CSRFinput!$B:$E,4,0)=0,OR(H800=MappingTables!$C$31,H800=MappingTables!$C$32)),1,VLOOKUP(CONCATENATE($D800,$G800),CSRFinput!$B:$E,4,0))),0,IF(AND(VLOOKUP(CONCATENATE($D800,$G800),CSRFinput!$B:$E,4,0)=0,OR(H800=MappingTables!$C$31,H800=MappingTables!$C$32)),1,VLOOKUP(CONCATENATE($D800,$G800),CSRFinput!$B:$E,4,0)))</f>
        <v>0.054776304963434752</v>
      </c>
      <c r="S800" s="73">
        <f>IF(B800="",0,P800*R800)</f>
        <v>12.074744521618</v>
      </c>
      <c r="T800" s="85">
        <f>IF(B800="",0,IF(OR(H800=MappingTables!$C$34,H800=MappingTables!$C$35),S800,0))</f>
        <v>0</v>
      </c>
    </row>
    <row r="801" spans="2:20" s="0" customFormat="0" ht="15">
      <c r="B801" s="69" t="s">
        <v>3456</v>
      </c>
      <c r="C801" s="70" t="s">
        <v>3457</v>
      </c>
      <c r="D801" s="70" t="s">
        <v>1</v>
      </c>
      <c r="E801" s="70" t="s">
        <v>1</v>
      </c>
      <c r="F801" s="70"/>
      <c r="G801" s="70" t="s">
        <v>61</v>
      </c>
      <c r="H801" s="70" t="s">
        <v>178</v>
      </c>
      <c r="I801" s="70" t="s">
        <v>198</v>
      </c>
      <c r="J801" s="71" t="str">
        <f>IF(OR(I801=0,I801=""),"unrated",VLOOKUP(I801,MappingTables!$B$19:$C$31,2,FALSE))</f>
        <v>unrated</v>
      </c>
      <c r="K801" s="72">
        <v>17.014986843673562</v>
      </c>
      <c r="L801" s="70">
        <v>0.099155755053086416</v>
      </c>
      <c r="M801" s="71">
        <f>IF(L801&lt;1,1,L801)</f>
        <v>1</v>
      </c>
      <c r="N801" s="70" t="s">
        <v>3288</v>
      </c>
      <c r="O801" s="71">
        <f>IF(OR(I801=$A$1,I801=0),"",IF(N801=MappingTables!$C$14,VLOOKUP(J801,ModelParameters!$M$8:$N$15,2,FALSE),IF(N801=MappingTables!$C$16,VLOOKUP(J801,ModelParameters!$P$8:$Q$15,2,FALSE),0)))</f>
        <v>1</v>
      </c>
      <c r="P801" s="73">
        <f>IF(OR(I801=0,I801=$A$1),0,MIN(O801*M801,1)*K801)</f>
        <v>17.014986843673562</v>
      </c>
      <c r="Q801" s="73">
        <f>IF(B801="",0,IF(OR(H801=MappingTables!$C$34,H801=MappingTables!$C$35),P801,0))</f>
        <v>0</v>
      </c>
      <c r="R801" s="73">
        <f>IF(ISNA(IF(AND(VLOOKUP(CONCATENATE($D801,$G801),CSRFinput!$B:$E,4,0)=0,OR(H801=MappingTables!$C$31,H801=MappingTables!$C$32)),1,VLOOKUP(CONCATENATE($D801,$G801),CSRFinput!$B:$E,4,0))),0,IF(AND(VLOOKUP(CONCATENATE($D801,$G801),CSRFinput!$B:$E,4,0)=0,OR(H801=MappingTables!$C$31,H801=MappingTables!$C$32)),1,VLOOKUP(CONCATENATE($D801,$G801),CSRFinput!$B:$E,4,0)))</f>
        <v>0.054776304963434752</v>
      </c>
      <c r="S801" s="73">
        <f>IF(B801="",0,P801*R801)</f>
        <v>0.93201810829789312</v>
      </c>
      <c r="T801" s="85">
        <f>IF(B801="",0,IF(OR(H801=MappingTables!$C$34,H801=MappingTables!$C$35),S801,0))</f>
        <v>0</v>
      </c>
    </row>
    <row r="802" spans="2:20" s="0" customFormat="0" ht="15">
      <c r="B802" s="69" t="s">
        <v>4407</v>
      </c>
      <c r="C802" s="70" t="s">
        <v>4408</v>
      </c>
      <c r="D802" s="70" t="s">
        <v>1</v>
      </c>
      <c r="E802" s="70" t="s">
        <v>1</v>
      </c>
      <c r="F802" s="70"/>
      <c r="G802" s="70" t="s">
        <v>61</v>
      </c>
      <c r="H802" s="70" t="s">
        <v>178</v>
      </c>
      <c r="I802" s="70" t="s">
        <v>216</v>
      </c>
      <c r="J802" s="71">
        <f>IF(OR(I802=0,I802=""),"unrated",VLOOKUP(I802,MappingTables!$B$19:$C$31,2,FALSE))</f>
        <v>0</v>
      </c>
      <c r="K802" s="72">
        <v>594.53151591802112</v>
      </c>
      <c r="L802" s="70">
        <v>0.068492714905947008</v>
      </c>
      <c r="M802" s="71">
        <f>IF(L802&lt;1,1,L802)</f>
        <v>1</v>
      </c>
      <c r="N802" s="70" t="s">
        <v>3288</v>
      </c>
      <c r="O802" s="71">
        <f>IF(OR(I802=$A$1,I802=0),"",IF(N802=MappingTables!$C$14,VLOOKUP(J802,ModelParameters!$M$8:$N$15,2,FALSE),IF(N802=MappingTables!$C$16,VLOOKUP(J802,ModelParameters!$P$8:$Q$15,2,FALSE),0)))</f>
        <v>0.125</v>
      </c>
      <c r="P802" s="73">
        <f>IF(OR(I802=0,I802=$A$1),0,MIN(O802*M802,1)*K802)</f>
        <v>74.31643948975264</v>
      </c>
      <c r="Q802" s="73">
        <f>IF(B802="",0,IF(OR(H802=MappingTables!$C$34,H802=MappingTables!$C$35),P802,0))</f>
        <v>0</v>
      </c>
      <c r="R802" s="73">
        <f>IF(ISNA(IF(AND(VLOOKUP(CONCATENATE($D802,$G802),CSRFinput!$B:$E,4,0)=0,OR(H802=MappingTables!$C$31,H802=MappingTables!$C$32)),1,VLOOKUP(CONCATENATE($D802,$G802),CSRFinput!$B:$E,4,0))),0,IF(AND(VLOOKUP(CONCATENATE($D802,$G802),CSRFinput!$B:$E,4,0)=0,OR(H802=MappingTables!$C$31,H802=MappingTables!$C$32)),1,VLOOKUP(CONCATENATE($D802,$G802),CSRFinput!$B:$E,4,0)))</f>
        <v>0.054776304963434752</v>
      </c>
      <c r="S802" s="73">
        <f>IF(B802="",0,P802*R802)</f>
        <v>4.070779953287336</v>
      </c>
      <c r="T802" s="85">
        <f>IF(B802="",0,IF(OR(H802=MappingTables!$C$34,H802=MappingTables!$C$35),S802,0))</f>
        <v>0</v>
      </c>
    </row>
    <row r="803" spans="2:20" s="0" customFormat="0" ht="15">
      <c r="B803" s="69" t="s">
        <v>4409</v>
      </c>
      <c r="C803" s="70" t="s">
        <v>4410</v>
      </c>
      <c r="D803" s="70" t="s">
        <v>1</v>
      </c>
      <c r="E803" s="70" t="s">
        <v>1</v>
      </c>
      <c r="F803" s="70"/>
      <c r="G803" s="70" t="s">
        <v>61</v>
      </c>
      <c r="H803" s="70" t="s">
        <v>178</v>
      </c>
      <c r="I803" s="70" t="s">
        <v>3291</v>
      </c>
      <c r="J803" s="71">
        <f>IF(OR(I803=0,I803=""),"unrated",VLOOKUP(I803,MappingTables!$B$19:$C$31,2,FALSE))</f>
        <v>6</v>
      </c>
      <c r="K803" s="72">
        <v>6632.8307871063376</v>
      </c>
      <c r="L803" s="70">
        <v>0.068492575217353272</v>
      </c>
      <c r="M803" s="71">
        <f>IF(L803&lt;1,1,L803)</f>
        <v>1</v>
      </c>
      <c r="N803" s="70" t="s">
        <v>3288</v>
      </c>
      <c r="O803" s="71">
        <f>IF(OR(I803=$A$1,I803=0),"",IF(N803=MappingTables!$C$14,VLOOKUP(J803,ModelParameters!$M$8:$N$15,2,FALSE),IF(N803=MappingTables!$C$16,VLOOKUP(J803,ModelParameters!$P$8:$Q$15,2,FALSE),0)))</f>
        <v>1</v>
      </c>
      <c r="P803" s="73">
        <f>IF(OR(I803=0,I803=$A$1),0,MIN(O803*M803,1)*K803)</f>
        <v>6632.8307871063376</v>
      </c>
      <c r="Q803" s="73">
        <f>IF(B803="",0,IF(OR(H803=MappingTables!$C$34,H803=MappingTables!$C$35),P803,0))</f>
        <v>0</v>
      </c>
      <c r="R803" s="73">
        <f>IF(ISNA(IF(AND(VLOOKUP(CONCATENATE($D803,$G803),CSRFinput!$B:$E,4,0)=0,OR(H803=MappingTables!$C$31,H803=MappingTables!$C$32)),1,VLOOKUP(CONCATENATE($D803,$G803),CSRFinput!$B:$E,4,0))),0,IF(AND(VLOOKUP(CONCATENATE($D803,$G803),CSRFinput!$B:$E,4,0)=0,OR(H803=MappingTables!$C$31,H803=MappingTables!$C$32)),1,VLOOKUP(CONCATENATE($D803,$G803),CSRFinput!$B:$E,4,0)))</f>
        <v>0.054776304963434752</v>
      </c>
      <c r="S803" s="73">
        <f>IF(B803="",0,P803*R803)</f>
        <v>363.32196196539576</v>
      </c>
      <c r="T803" s="85">
        <f>IF(B803="",0,IF(OR(H803=MappingTables!$C$34,H803=MappingTables!$C$35),S803,0))</f>
        <v>0</v>
      </c>
    </row>
    <row r="804" spans="2:20" s="0" customFormat="0" ht="15">
      <c r="B804" s="69">
        <v>14504648</v>
      </c>
      <c r="C804" s="70" t="s">
        <v>3565</v>
      </c>
      <c r="D804" s="70" t="s">
        <v>1</v>
      </c>
      <c r="E804" s="70" t="s">
        <v>1</v>
      </c>
      <c r="F804" s="70"/>
      <c r="G804" s="70" t="s">
        <v>61</v>
      </c>
      <c r="H804" s="70" t="s">
        <v>178</v>
      </c>
      <c r="I804" s="70" t="s">
        <v>216</v>
      </c>
      <c r="J804" s="71">
        <f>IF(OR(I804=0,I804=""),"unrated",VLOOKUP(I804,MappingTables!$B$19:$C$31,2,FALSE))</f>
        <v>0</v>
      </c>
      <c r="K804" s="72">
        <v>103.1278360594568</v>
      </c>
      <c r="L804" s="70">
        <v>0.10638279352755222</v>
      </c>
      <c r="M804" s="71">
        <f>IF(L804&lt;1,1,L804)</f>
        <v>1</v>
      </c>
      <c r="N804" s="70" t="s">
        <v>3288</v>
      </c>
      <c r="O804" s="71">
        <f>IF(OR(I804=$A$1,I804=0),"",IF(N804=MappingTables!$C$14,VLOOKUP(J804,ModelParameters!$M$8:$N$15,2,FALSE),IF(N804=MappingTables!$C$16,VLOOKUP(J804,ModelParameters!$P$8:$Q$15,2,FALSE),0)))</f>
        <v>0.125</v>
      </c>
      <c r="P804" s="73">
        <f>IF(OR(I804=0,I804=$A$1),0,MIN(O804*M804,1)*K804)</f>
        <v>12.8909795074321</v>
      </c>
      <c r="Q804" s="73">
        <f>IF(B804="",0,IF(OR(H804=MappingTables!$C$34,H804=MappingTables!$C$35),P804,0))</f>
        <v>0</v>
      </c>
      <c r="R804" s="73">
        <f>IF(ISNA(IF(AND(VLOOKUP(CONCATENATE($D804,$G804),CSRFinput!$B:$E,4,0)=0,OR(H804=MappingTables!$C$31,H804=MappingTables!$C$32)),1,VLOOKUP(CONCATENATE($D804,$G804),CSRFinput!$B:$E,4,0))),0,IF(AND(VLOOKUP(CONCATENATE($D804,$G804),CSRFinput!$B:$E,4,0)=0,OR(H804=MappingTables!$C$31,H804=MappingTables!$C$32)),1,VLOOKUP(CONCATENATE($D804,$G804),CSRFinput!$B:$E,4,0)))</f>
        <v>0.054776304963434752</v>
      </c>
      <c r="S804" s="73">
        <f>IF(B804="",0,P804*R804)</f>
        <v>0.70612022477648864</v>
      </c>
      <c r="T804" s="85">
        <f>IF(B804="",0,IF(OR(H804=MappingTables!$C$34,H804=MappingTables!$C$35),S804,0))</f>
        <v>0</v>
      </c>
    </row>
    <row r="805" spans="2:20" s="0" customFormat="0" ht="15">
      <c r="B805" s="69" t="s">
        <v>4059</v>
      </c>
      <c r="C805" s="70" t="s">
        <v>4060</v>
      </c>
      <c r="D805" s="70" t="s">
        <v>1</v>
      </c>
      <c r="E805" s="70" t="s">
        <v>1</v>
      </c>
      <c r="F805" s="70"/>
      <c r="G805" s="70" t="s">
        <v>61</v>
      </c>
      <c r="H805" s="70" t="s">
        <v>178</v>
      </c>
      <c r="I805" s="70" t="s">
        <v>198</v>
      </c>
      <c r="J805" s="71" t="str">
        <f>IF(OR(I805=0,I805=""),"unrated",VLOOKUP(I805,MappingTables!$B$19:$C$31,2,FALSE))</f>
        <v>unrated</v>
      </c>
      <c r="K805" s="72">
        <v>68.2993598122746</v>
      </c>
      <c r="L805" s="70">
        <v>0.068491017077440528</v>
      </c>
      <c r="M805" s="71">
        <f>IF(L805&lt;1,1,L805)</f>
        <v>1</v>
      </c>
      <c r="N805" s="70" t="s">
        <v>3288</v>
      </c>
      <c r="O805" s="71">
        <f>IF(OR(I805=$A$1,I805=0),"",IF(N805=MappingTables!$C$14,VLOOKUP(J805,ModelParameters!$M$8:$N$15,2,FALSE),IF(N805=MappingTables!$C$16,VLOOKUP(J805,ModelParameters!$P$8:$Q$15,2,FALSE),0)))</f>
        <v>1</v>
      </c>
      <c r="P805" s="73">
        <f>IF(OR(I805=0,I805=$A$1),0,MIN(O805*M805,1)*K805)</f>
        <v>68.2993598122746</v>
      </c>
      <c r="Q805" s="73">
        <f>IF(B805="",0,IF(OR(H805=MappingTables!$C$34,H805=MappingTables!$C$35),P805,0))</f>
        <v>0</v>
      </c>
      <c r="R805" s="73">
        <f>IF(ISNA(IF(AND(VLOOKUP(CONCATENATE($D805,$G805),CSRFinput!$B:$E,4,0)=0,OR(H805=MappingTables!$C$31,H805=MappingTables!$C$32)),1,VLOOKUP(CONCATENATE($D805,$G805),CSRFinput!$B:$E,4,0))),0,IF(AND(VLOOKUP(CONCATENATE($D805,$G805),CSRFinput!$B:$E,4,0)=0,OR(H805=MappingTables!$C$31,H805=MappingTables!$C$32)),1,VLOOKUP(CONCATENATE($D805,$G805),CSRFinput!$B:$E,4,0)))</f>
        <v>0.054776304963434752</v>
      </c>
      <c r="S805" s="73">
        <f>IF(B805="",0,P805*R805)</f>
        <v>3.7411865618845136</v>
      </c>
      <c r="T805" s="85">
        <f>IF(B805="",0,IF(OR(H805=MappingTables!$C$34,H805=MappingTables!$C$35),S805,0))</f>
        <v>0</v>
      </c>
    </row>
    <row r="806" spans="2:20" s="0" customFormat="0" ht="15">
      <c r="B806" s="69" t="s">
        <v>3977</v>
      </c>
      <c r="C806" s="70" t="s">
        <v>3978</v>
      </c>
      <c r="D806" s="70" t="s">
        <v>1</v>
      </c>
      <c r="E806" s="70" t="s">
        <v>1</v>
      </c>
      <c r="F806" s="70"/>
      <c r="G806" s="70" t="s">
        <v>61</v>
      </c>
      <c r="H806" s="70" t="s">
        <v>178</v>
      </c>
      <c r="I806" s="70" t="s">
        <v>3291</v>
      </c>
      <c r="J806" s="71">
        <f>IF(OR(I806=0,I806=""),"unrated",VLOOKUP(I806,MappingTables!$B$19:$C$31,2,FALSE))</f>
        <v>6</v>
      </c>
      <c r="K806" s="72">
        <v>81.573959348321184</v>
      </c>
      <c r="L806" s="70">
        <v>0.068491569110159728</v>
      </c>
      <c r="M806" s="71">
        <f>IF(L806&lt;1,1,L806)</f>
        <v>1</v>
      </c>
      <c r="N806" s="70" t="s">
        <v>3288</v>
      </c>
      <c r="O806" s="71">
        <f>IF(OR(I806=$A$1,I806=0),"",IF(N806=MappingTables!$C$14,VLOOKUP(J806,ModelParameters!$M$8:$N$15,2,FALSE),IF(N806=MappingTables!$C$16,VLOOKUP(J806,ModelParameters!$P$8:$Q$15,2,FALSE),0)))</f>
        <v>1</v>
      </c>
      <c r="P806" s="73">
        <f>IF(OR(I806=0,I806=$A$1),0,MIN(O806*M806,1)*K806)</f>
        <v>81.573959348321184</v>
      </c>
      <c r="Q806" s="73">
        <f>IF(B806="",0,IF(OR(H806=MappingTables!$C$34,H806=MappingTables!$C$35),P806,0))</f>
        <v>0</v>
      </c>
      <c r="R806" s="73">
        <f>IF(ISNA(IF(AND(VLOOKUP(CONCATENATE($D806,$G806),CSRFinput!$B:$E,4,0)=0,OR(H806=MappingTables!$C$31,H806=MappingTables!$C$32)),1,VLOOKUP(CONCATENATE($D806,$G806),CSRFinput!$B:$E,4,0))),0,IF(AND(VLOOKUP(CONCATENATE($D806,$G806),CSRFinput!$B:$E,4,0)=0,OR(H806=MappingTables!$C$31,H806=MappingTables!$C$32)),1,VLOOKUP(CONCATENATE($D806,$G806),CSRFinput!$B:$E,4,0)))</f>
        <v>0.054776304963434752</v>
      </c>
      <c r="S806" s="73">
        <f>IF(B806="",0,P806*R806)</f>
        <v>4.4683200743384704</v>
      </c>
      <c r="T806" s="85">
        <f>IF(B806="",0,IF(OR(H806=MappingTables!$C$34,H806=MappingTables!$C$35),S806,0))</f>
        <v>0</v>
      </c>
    </row>
    <row r="807" spans="2:20" s="0" customFormat="0" ht="15">
      <c r="B807" s="69" t="s">
        <v>4391</v>
      </c>
      <c r="C807" s="70" t="s">
        <v>4392</v>
      </c>
      <c r="D807" s="70" t="s">
        <v>1</v>
      </c>
      <c r="E807" s="70" t="s">
        <v>1</v>
      </c>
      <c r="F807" s="70"/>
      <c r="G807" s="70" t="s">
        <v>61</v>
      </c>
      <c r="H807" s="70" t="s">
        <v>178</v>
      </c>
      <c r="I807" s="70" t="s">
        <v>179</v>
      </c>
      <c r="J807" s="71">
        <f>IF(OR(I807=0,I807=""),"unrated",VLOOKUP(I807,MappingTables!$B$19:$C$31,2,FALSE))</f>
        <v>4</v>
      </c>
      <c r="K807" s="72">
        <v>60414.034355073816</v>
      </c>
      <c r="L807" s="70">
        <v>5.345011891113744</v>
      </c>
      <c r="M807" s="71">
        <f>IF(L807&lt;1,1,L807)</f>
        <v>5.345011891113744</v>
      </c>
      <c r="N807" s="70" t="s">
        <v>3288</v>
      </c>
      <c r="O807" s="71">
        <f>IF(OR(I807=$A$1,I807=0),"",IF(N807=MappingTables!$C$14,VLOOKUP(J807,ModelParameters!$M$8:$N$15,2,FALSE),IF(N807=MappingTables!$C$16,VLOOKUP(J807,ModelParameters!$P$8:$Q$15,2,FALSE),0)))</f>
        <v>0.82</v>
      </c>
      <c r="P807" s="73">
        <f>IF(OR(I807=0,I807=$A$1),0,MIN(O807*M807,1)*K807)</f>
        <v>60414.034355073816</v>
      </c>
      <c r="Q807" s="73">
        <f>IF(B807="",0,IF(OR(H807=MappingTables!$C$34,H807=MappingTables!$C$35),P807,0))</f>
        <v>0</v>
      </c>
      <c r="R807" s="73">
        <f>IF(ISNA(IF(AND(VLOOKUP(CONCATENATE($D807,$G807),CSRFinput!$B:$E,4,0)=0,OR(H807=MappingTables!$C$31,H807=MappingTables!$C$32)),1,VLOOKUP(CONCATENATE($D807,$G807),CSRFinput!$B:$E,4,0))),0,IF(AND(VLOOKUP(CONCATENATE($D807,$G807),CSRFinput!$B:$E,4,0)=0,OR(H807=MappingTables!$C$31,H807=MappingTables!$C$32)),1,VLOOKUP(CONCATENATE($D807,$G807),CSRFinput!$B:$E,4,0)))</f>
        <v>0.054776304963434752</v>
      </c>
      <c r="S807" s="73">
        <f>IF(B807="",0,P807*R807)</f>
        <v>3309.2575699049476</v>
      </c>
      <c r="T807" s="85">
        <f>IF(B807="",0,IF(OR(H807=MappingTables!$C$34,H807=MappingTables!$C$35),S807,0))</f>
        <v>0</v>
      </c>
    </row>
    <row r="808" spans="2:20" s="0" customFormat="0" ht="15">
      <c r="B808" s="69" t="s">
        <v>4411</v>
      </c>
      <c r="C808" s="70" t="s">
        <v>4412</v>
      </c>
      <c r="D808" s="70" t="s">
        <v>1</v>
      </c>
      <c r="E808" s="70" t="s">
        <v>1</v>
      </c>
      <c r="F808" s="70"/>
      <c r="G808" s="70" t="s">
        <v>61</v>
      </c>
      <c r="H808" s="70" t="s">
        <v>178</v>
      </c>
      <c r="I808" s="70" t="s">
        <v>198</v>
      </c>
      <c r="J808" s="71" t="str">
        <f>IF(OR(I808=0,I808=""),"unrated",VLOOKUP(I808,MappingTables!$B$19:$C$31,2,FALSE))</f>
        <v>unrated</v>
      </c>
      <c r="K808" s="72">
        <v>3.7897749923716792</v>
      </c>
      <c r="L808" s="70">
        <v>40.297326172255512</v>
      </c>
      <c r="M808" s="71">
        <f>IF(L808&lt;1,1,L808)</f>
        <v>40.297326172255512</v>
      </c>
      <c r="N808" s="70" t="s">
        <v>3288</v>
      </c>
      <c r="O808" s="71">
        <f>IF(OR(I808=$A$1,I808=0),"",IF(N808=MappingTables!$C$14,VLOOKUP(J808,ModelParameters!$M$8:$N$15,2,FALSE),IF(N808=MappingTables!$C$16,VLOOKUP(J808,ModelParameters!$P$8:$Q$15,2,FALSE),0)))</f>
        <v>1</v>
      </c>
      <c r="P808" s="73">
        <f>IF(OR(I808=0,I808=$A$1),0,MIN(O808*M808,1)*K808)</f>
        <v>3.7897749923716792</v>
      </c>
      <c r="Q808" s="73">
        <f>IF(B808="",0,IF(OR(H808=MappingTables!$C$34,H808=MappingTables!$C$35),P808,0))</f>
        <v>0</v>
      </c>
      <c r="R808" s="73">
        <f>IF(ISNA(IF(AND(VLOOKUP(CONCATENATE($D808,$G808),CSRFinput!$B:$E,4,0)=0,OR(H808=MappingTables!$C$31,H808=MappingTables!$C$32)),1,VLOOKUP(CONCATENATE($D808,$G808),CSRFinput!$B:$E,4,0))),0,IF(AND(VLOOKUP(CONCATENATE($D808,$G808),CSRFinput!$B:$E,4,0)=0,OR(H808=MappingTables!$C$31,H808=MappingTables!$C$32)),1,VLOOKUP(CONCATENATE($D808,$G808),CSRFinput!$B:$E,4,0)))</f>
        <v>0.054776304963434752</v>
      </c>
      <c r="S808" s="73">
        <f>IF(B808="",0,P808*R808)</f>
        <v>0.20758987072494968</v>
      </c>
      <c r="T808" s="85">
        <f>IF(B808="",0,IF(OR(H808=MappingTables!$C$34,H808=MappingTables!$C$35),S808,0))</f>
        <v>0</v>
      </c>
    </row>
    <row r="809" spans="2:20" s="0" customFormat="0" ht="15">
      <c r="B809" s="69">
        <v>22554357</v>
      </c>
      <c r="C809" s="70" t="s">
        <v>3877</v>
      </c>
      <c r="D809" s="70" t="s">
        <v>1</v>
      </c>
      <c r="E809" s="70" t="s">
        <v>1</v>
      </c>
      <c r="F809" s="70"/>
      <c r="G809" s="70" t="s">
        <v>61</v>
      </c>
      <c r="H809" s="70" t="s">
        <v>178</v>
      </c>
      <c r="I809" s="70" t="s">
        <v>198</v>
      </c>
      <c r="J809" s="71" t="str">
        <f>IF(OR(I809=0,I809=""),"unrated",VLOOKUP(I809,MappingTables!$B$19:$C$31,2,FALSE))</f>
        <v>unrated</v>
      </c>
      <c r="K809" s="72">
        <v>19.256508800168212</v>
      </c>
      <c r="L809" s="70">
        <v>0.029668737205685004</v>
      </c>
      <c r="M809" s="71">
        <f>IF(L809&lt;1,1,L809)</f>
        <v>1</v>
      </c>
      <c r="N809" s="70" t="s">
        <v>3288</v>
      </c>
      <c r="O809" s="71">
        <f>IF(OR(I809=$A$1,I809=0),"",IF(N809=MappingTables!$C$14,VLOOKUP(J809,ModelParameters!$M$8:$N$15,2,FALSE),IF(N809=MappingTables!$C$16,VLOOKUP(J809,ModelParameters!$P$8:$Q$15,2,FALSE),0)))</f>
        <v>1</v>
      </c>
      <c r="P809" s="73">
        <f>IF(OR(I809=0,I809=$A$1),0,MIN(O809*M809,1)*K809)</f>
        <v>19.256508800168212</v>
      </c>
      <c r="Q809" s="73">
        <f>IF(B809="",0,IF(OR(H809=MappingTables!$C$34,H809=MappingTables!$C$35),P809,0))</f>
        <v>0</v>
      </c>
      <c r="R809" s="73">
        <f>IF(ISNA(IF(AND(VLOOKUP(CONCATENATE($D809,$G809),CSRFinput!$B:$E,4,0)=0,OR(H809=MappingTables!$C$31,H809=MappingTables!$C$32)),1,VLOOKUP(CONCATENATE($D809,$G809),CSRFinput!$B:$E,4,0))),0,IF(AND(VLOOKUP(CONCATENATE($D809,$G809),CSRFinput!$B:$E,4,0)=0,OR(H809=MappingTables!$C$31,H809=MappingTables!$C$32)),1,VLOOKUP(CONCATENATE($D809,$G809),CSRFinput!$B:$E,4,0)))</f>
        <v>0.054776304963434752</v>
      </c>
      <c r="S809" s="73">
        <f>IF(B809="",0,P809*R809)</f>
        <v>1.054800398569079</v>
      </c>
      <c r="T809" s="85">
        <f>IF(B809="",0,IF(OR(H809=MappingTables!$C$34,H809=MappingTables!$C$35),S809,0))</f>
        <v>0</v>
      </c>
    </row>
    <row r="810" spans="2:20" s="0" customFormat="0" ht="15">
      <c r="B810" s="69" t="s">
        <v>4413</v>
      </c>
      <c r="C810" s="70" t="s">
        <v>4414</v>
      </c>
      <c r="D810" s="70" t="s">
        <v>1</v>
      </c>
      <c r="E810" s="70" t="s">
        <v>1</v>
      </c>
      <c r="F810" s="70"/>
      <c r="G810" s="70" t="s">
        <v>61</v>
      </c>
      <c r="H810" s="70" t="s">
        <v>178</v>
      </c>
      <c r="I810" s="70" t="s">
        <v>204</v>
      </c>
      <c r="J810" s="71">
        <f>IF(OR(I810=0,I810=""),"unrated",VLOOKUP(I810,MappingTables!$B$19:$C$31,2,FALSE))</f>
        <v>6</v>
      </c>
      <c r="K810" s="72">
        <v>167.1838779404088</v>
      </c>
      <c r="L810" s="70">
        <v>0.068488105382900056</v>
      </c>
      <c r="M810" s="71">
        <f>IF(L810&lt;1,1,L810)</f>
        <v>1</v>
      </c>
      <c r="N810" s="70" t="s">
        <v>3288</v>
      </c>
      <c r="O810" s="71">
        <f>IF(OR(I810=$A$1,I810=0),"",IF(N810=MappingTables!$C$14,VLOOKUP(J810,ModelParameters!$M$8:$N$15,2,FALSE),IF(N810=MappingTables!$C$16,VLOOKUP(J810,ModelParameters!$P$8:$Q$15,2,FALSE),0)))</f>
        <v>1</v>
      </c>
      <c r="P810" s="73">
        <f>IF(OR(I810=0,I810=$A$1),0,MIN(O810*M810,1)*K810)</f>
        <v>167.1838779404088</v>
      </c>
      <c r="Q810" s="73">
        <f>IF(B810="",0,IF(OR(H810=MappingTables!$C$34,H810=MappingTables!$C$35),P810,0))</f>
        <v>0</v>
      </c>
      <c r="R810" s="73">
        <f>IF(ISNA(IF(AND(VLOOKUP(CONCATENATE($D810,$G810),CSRFinput!$B:$E,4,0)=0,OR(H810=MappingTables!$C$31,H810=MappingTables!$C$32)),1,VLOOKUP(CONCATENATE($D810,$G810),CSRFinput!$B:$E,4,0))),0,IF(AND(VLOOKUP(CONCATENATE($D810,$G810),CSRFinput!$B:$E,4,0)=0,OR(H810=MappingTables!$C$31,H810=MappingTables!$C$32)),1,VLOOKUP(CONCATENATE($D810,$G810),CSRFinput!$B:$E,4,0)))</f>
        <v>0.054776304963434752</v>
      </c>
      <c r="S810" s="73">
        <f>IF(B810="",0,P810*R810)</f>
        <v>9.1577150830334832</v>
      </c>
      <c r="T810" s="85">
        <f>IF(B810="",0,IF(OR(H810=MappingTables!$C$34,H810=MappingTables!$C$35),S810,0))</f>
        <v>0</v>
      </c>
    </row>
    <row r="811" spans="2:20" s="0" customFormat="0" ht="15">
      <c r="B811" s="69" t="s">
        <v>4415</v>
      </c>
      <c r="C811" s="70" t="s">
        <v>4416</v>
      </c>
      <c r="D811" s="70" t="s">
        <v>1</v>
      </c>
      <c r="E811" s="70" t="s">
        <v>1</v>
      </c>
      <c r="F811" s="70"/>
      <c r="G811" s="70" t="s">
        <v>61</v>
      </c>
      <c r="H811" s="70" t="s">
        <v>178</v>
      </c>
      <c r="I811" s="70" t="s">
        <v>198</v>
      </c>
      <c r="J811" s="71" t="str">
        <f>IF(OR(I811=0,I811=""),"unrated",VLOOKUP(I811,MappingTables!$B$19:$C$31,2,FALSE))</f>
        <v>unrated</v>
      </c>
      <c r="K811" s="72">
        <v>874.48311242578944</v>
      </c>
      <c r="L811" s="70">
        <v>1.5887736489352728</v>
      </c>
      <c r="M811" s="71">
        <f>IF(L811&lt;1,1,L811)</f>
        <v>1.5887736489352728</v>
      </c>
      <c r="N811" s="70" t="s">
        <v>3288</v>
      </c>
      <c r="O811" s="71">
        <f>IF(OR(I811=$A$1,I811=0),"",IF(N811=MappingTables!$C$14,VLOOKUP(J811,ModelParameters!$M$8:$N$15,2,FALSE),IF(N811=MappingTables!$C$16,VLOOKUP(J811,ModelParameters!$P$8:$Q$15,2,FALSE),0)))</f>
        <v>1</v>
      </c>
      <c r="P811" s="73">
        <f>IF(OR(I811=0,I811=$A$1),0,MIN(O811*M811,1)*K811)</f>
        <v>874.48311242578944</v>
      </c>
      <c r="Q811" s="73">
        <f>IF(B811="",0,IF(OR(H811=MappingTables!$C$34,H811=MappingTables!$C$35),P811,0))</f>
        <v>0</v>
      </c>
      <c r="R811" s="73">
        <f>IF(ISNA(IF(AND(VLOOKUP(CONCATENATE($D811,$G811),CSRFinput!$B:$E,4,0)=0,OR(H811=MappingTables!$C$31,H811=MappingTables!$C$32)),1,VLOOKUP(CONCATENATE($D811,$G811),CSRFinput!$B:$E,4,0))),0,IF(AND(VLOOKUP(CONCATENATE($D811,$G811),CSRFinput!$B:$E,4,0)=0,OR(H811=MappingTables!$C$31,H811=MappingTables!$C$32)),1,VLOOKUP(CONCATENATE($D811,$G811),CSRFinput!$B:$E,4,0)))</f>
        <v>0.054776304963434752</v>
      </c>
      <c r="S811" s="73">
        <f>IF(B811="",0,P811*R811)</f>
        <v>47.90095365160864</v>
      </c>
      <c r="T811" s="85">
        <f>IF(B811="",0,IF(OR(H811=MappingTables!$C$34,H811=MappingTables!$C$35),S811,0))</f>
        <v>0</v>
      </c>
    </row>
    <row r="812" spans="2:20" s="0" customFormat="0" ht="15">
      <c r="B812" s="69" t="s">
        <v>4417</v>
      </c>
      <c r="C812" s="70" t="s">
        <v>4418</v>
      </c>
      <c r="D812" s="70" t="s">
        <v>1</v>
      </c>
      <c r="E812" s="70" t="s">
        <v>1</v>
      </c>
      <c r="F812" s="70"/>
      <c r="G812" s="70" t="s">
        <v>61</v>
      </c>
      <c r="H812" s="70" t="s">
        <v>178</v>
      </c>
      <c r="I812" s="70" t="s">
        <v>198</v>
      </c>
      <c r="J812" s="71" t="str">
        <f>IF(OR(I812=0,I812=""),"unrated",VLOOKUP(I812,MappingTables!$B$19:$C$31,2,FALSE))</f>
        <v>unrated</v>
      </c>
      <c r="K812" s="72">
        <v>1637.1257485513574</v>
      </c>
      <c r="L812" s="70">
        <v>9.8402994021346032</v>
      </c>
      <c r="M812" s="71">
        <f>IF(L812&lt;1,1,L812)</f>
        <v>9.8402994021346032</v>
      </c>
      <c r="N812" s="70" t="s">
        <v>3288</v>
      </c>
      <c r="O812" s="71">
        <f>IF(OR(I812=$A$1,I812=0),"",IF(N812=MappingTables!$C$14,VLOOKUP(J812,ModelParameters!$M$8:$N$15,2,FALSE),IF(N812=MappingTables!$C$16,VLOOKUP(J812,ModelParameters!$P$8:$Q$15,2,FALSE),0)))</f>
        <v>1</v>
      </c>
      <c r="P812" s="73">
        <f>IF(OR(I812=0,I812=$A$1),0,MIN(O812*M812,1)*K812)</f>
        <v>1637.1257485513574</v>
      </c>
      <c r="Q812" s="73">
        <f>IF(B812="",0,IF(OR(H812=MappingTables!$C$34,H812=MappingTables!$C$35),P812,0))</f>
        <v>0</v>
      </c>
      <c r="R812" s="73">
        <f>IF(ISNA(IF(AND(VLOOKUP(CONCATENATE($D812,$G812),CSRFinput!$B:$E,4,0)=0,OR(H812=MappingTables!$C$31,H812=MappingTables!$C$32)),1,VLOOKUP(CONCATENATE($D812,$G812),CSRFinput!$B:$E,4,0))),0,IF(AND(VLOOKUP(CONCATENATE($D812,$G812),CSRFinput!$B:$E,4,0)=0,OR(H812=MappingTables!$C$31,H812=MappingTables!$C$32)),1,VLOOKUP(CONCATENATE($D812,$G812),CSRFinput!$B:$E,4,0)))</f>
        <v>0.054776304963434752</v>
      </c>
      <c r="S812" s="73">
        <f>IF(B812="",0,P812*R812)</f>
        <v>89.67569926614056</v>
      </c>
      <c r="T812" s="85">
        <f>IF(B812="",0,IF(OR(H812=MappingTables!$C$34,H812=MappingTables!$C$35),S812,0))</f>
        <v>0</v>
      </c>
    </row>
    <row r="813" spans="2:20" s="0" customFormat="0" ht="15">
      <c r="B813" s="69" t="s">
        <v>4419</v>
      </c>
      <c r="C813" s="70" t="s">
        <v>4420</v>
      </c>
      <c r="D813" s="70" t="s">
        <v>1</v>
      </c>
      <c r="E813" s="70" t="s">
        <v>1</v>
      </c>
      <c r="F813" s="70"/>
      <c r="G813" s="70" t="s">
        <v>61</v>
      </c>
      <c r="H813" s="70" t="s">
        <v>178</v>
      </c>
      <c r="I813" s="70" t="s">
        <v>216</v>
      </c>
      <c r="J813" s="71">
        <f>IF(OR(I813=0,I813=""),"unrated",VLOOKUP(I813,MappingTables!$B$19:$C$31,2,FALSE))</f>
        <v>0</v>
      </c>
      <c r="K813" s="72">
        <v>323.43170279958196</v>
      </c>
      <c r="L813" s="70">
        <v>0.9935098191566352</v>
      </c>
      <c r="M813" s="71">
        <f>IF(L813&lt;1,1,L813)</f>
        <v>1</v>
      </c>
      <c r="N813" s="70" t="s">
        <v>3288</v>
      </c>
      <c r="O813" s="71">
        <f>IF(OR(I813=$A$1,I813=0),"",IF(N813=MappingTables!$C$14,VLOOKUP(J813,ModelParameters!$M$8:$N$15,2,FALSE),IF(N813=MappingTables!$C$16,VLOOKUP(J813,ModelParameters!$P$8:$Q$15,2,FALSE),0)))</f>
        <v>0.125</v>
      </c>
      <c r="P813" s="73">
        <f>IF(OR(I813=0,I813=$A$1),0,MIN(O813*M813,1)*K813)</f>
        <v>40.428962849947744</v>
      </c>
      <c r="Q813" s="73">
        <f>IF(B813="",0,IF(OR(H813=MappingTables!$C$34,H813=MappingTables!$C$35),P813,0))</f>
        <v>0</v>
      </c>
      <c r="R813" s="73">
        <f>IF(ISNA(IF(AND(VLOOKUP(CONCATENATE($D813,$G813),CSRFinput!$B:$E,4,0)=0,OR(H813=MappingTables!$C$31,H813=MappingTables!$C$32)),1,VLOOKUP(CONCATENATE($D813,$G813),CSRFinput!$B:$E,4,0))),0,IF(AND(VLOOKUP(CONCATENATE($D813,$G813),CSRFinput!$B:$E,4,0)=0,OR(H813=MappingTables!$C$31,H813=MappingTables!$C$32)),1,VLOOKUP(CONCATENATE($D813,$G813),CSRFinput!$B:$E,4,0)))</f>
        <v>0.054776304963434752</v>
      </c>
      <c r="S813" s="73">
        <f>IF(B813="",0,P813*R813)</f>
        <v>2.2145491984241116</v>
      </c>
      <c r="T813" s="85">
        <f>IF(B813="",0,IF(OR(H813=MappingTables!$C$34,H813=MappingTables!$C$35),S813,0))</f>
        <v>0</v>
      </c>
    </row>
    <row r="814" spans="2:20" s="0" customFormat="0" ht="15">
      <c r="B814" s="69" t="s">
        <v>3674</v>
      </c>
      <c r="C814" s="70" t="s">
        <v>3675</v>
      </c>
      <c r="D814" s="70" t="s">
        <v>1</v>
      </c>
      <c r="E814" s="70" t="s">
        <v>1</v>
      </c>
      <c r="F814" s="70"/>
      <c r="G814" s="70" t="s">
        <v>61</v>
      </c>
      <c r="H814" s="70" t="s">
        <v>178</v>
      </c>
      <c r="I814" s="70" t="s">
        <v>198</v>
      </c>
      <c r="J814" s="71" t="str">
        <f>IF(OR(I814=0,I814=""),"unrated",VLOOKUP(I814,MappingTables!$B$19:$C$31,2,FALSE))</f>
        <v>unrated</v>
      </c>
      <c r="K814" s="72">
        <v>15125.37467647639</v>
      </c>
      <c r="L814" s="70">
        <v>9.4444500594681728</v>
      </c>
      <c r="M814" s="71">
        <f>IF(L814&lt;1,1,L814)</f>
        <v>9.4444500594681728</v>
      </c>
      <c r="N814" s="70" t="s">
        <v>3288</v>
      </c>
      <c r="O814" s="71">
        <f>IF(OR(I814=$A$1,I814=0),"",IF(N814=MappingTables!$C$14,VLOOKUP(J814,ModelParameters!$M$8:$N$15,2,FALSE),IF(N814=MappingTables!$C$16,VLOOKUP(J814,ModelParameters!$P$8:$Q$15,2,FALSE),0)))</f>
        <v>1</v>
      </c>
      <c r="P814" s="73">
        <f>IF(OR(I814=0,I814=$A$1),0,MIN(O814*M814,1)*K814)</f>
        <v>15125.37467647639</v>
      </c>
      <c r="Q814" s="73">
        <f>IF(B814="",0,IF(OR(H814=MappingTables!$C$34,H814=MappingTables!$C$35),P814,0))</f>
        <v>0</v>
      </c>
      <c r="R814" s="73">
        <f>IF(ISNA(IF(AND(VLOOKUP(CONCATENATE($D814,$G814),CSRFinput!$B:$E,4,0)=0,OR(H814=MappingTables!$C$31,H814=MappingTables!$C$32)),1,VLOOKUP(CONCATENATE($D814,$G814),CSRFinput!$B:$E,4,0))),0,IF(AND(VLOOKUP(CONCATENATE($D814,$G814),CSRFinput!$B:$E,4,0)=0,OR(H814=MappingTables!$C$31,H814=MappingTables!$C$32)),1,VLOOKUP(CONCATENATE($D814,$G814),CSRFinput!$B:$E,4,0)))</f>
        <v>0.054776304963434752</v>
      </c>
      <c r="S814" s="73">
        <f>IF(B814="",0,P814*R814)</f>
        <v>828.512135964884</v>
      </c>
      <c r="T814" s="85">
        <f>IF(B814="",0,IF(OR(H814=MappingTables!$C$34,H814=MappingTables!$C$35),S814,0))</f>
        <v>0</v>
      </c>
    </row>
    <row r="815" spans="2:20" s="0" customFormat="0" ht="15">
      <c r="B815" s="69" t="s">
        <v>4421</v>
      </c>
      <c r="C815" s="70" t="s">
        <v>4422</v>
      </c>
      <c r="D815" s="70" t="s">
        <v>1</v>
      </c>
      <c r="E815" s="70" t="s">
        <v>1</v>
      </c>
      <c r="F815" s="70"/>
      <c r="G815" s="70" t="s">
        <v>61</v>
      </c>
      <c r="H815" s="70" t="s">
        <v>178</v>
      </c>
      <c r="I815" s="70" t="s">
        <v>198</v>
      </c>
      <c r="J815" s="71" t="str">
        <f>IF(OR(I815=0,I815=""),"unrated",VLOOKUP(I815,MappingTables!$B$19:$C$31,2,FALSE))</f>
        <v>unrated</v>
      </c>
      <c r="K815" s="72">
        <v>14.311757237370084</v>
      </c>
      <c r="L815" s="70">
        <v>0.079173826592749104</v>
      </c>
      <c r="M815" s="71">
        <f>IF(L815&lt;1,1,L815)</f>
        <v>1</v>
      </c>
      <c r="N815" s="70" t="s">
        <v>3288</v>
      </c>
      <c r="O815" s="71">
        <f>IF(OR(I815=$A$1,I815=0),"",IF(N815=MappingTables!$C$14,VLOOKUP(J815,ModelParameters!$M$8:$N$15,2,FALSE),IF(N815=MappingTables!$C$16,VLOOKUP(J815,ModelParameters!$P$8:$Q$15,2,FALSE),0)))</f>
        <v>1</v>
      </c>
      <c r="P815" s="73">
        <f>IF(OR(I815=0,I815=$A$1),0,MIN(O815*M815,1)*K815)</f>
        <v>14.311757237370084</v>
      </c>
      <c r="Q815" s="73">
        <f>IF(B815="",0,IF(OR(H815=MappingTables!$C$34,H815=MappingTables!$C$35),P815,0))</f>
        <v>0</v>
      </c>
      <c r="R815" s="73">
        <f>IF(ISNA(IF(AND(VLOOKUP(CONCATENATE($D815,$G815),CSRFinput!$B:$E,4,0)=0,OR(H815=MappingTables!$C$31,H815=MappingTables!$C$32)),1,VLOOKUP(CONCATENATE($D815,$G815),CSRFinput!$B:$E,4,0))),0,IF(AND(VLOOKUP(CONCATENATE($D815,$G815),CSRFinput!$B:$E,4,0)=0,OR(H815=MappingTables!$C$31,H815=MappingTables!$C$32)),1,VLOOKUP(CONCATENATE($D815,$G815),CSRFinput!$B:$E,4,0)))</f>
        <v>0.054776304963434752</v>
      </c>
      <c r="S815" s="73">
        <f>IF(B815="",0,P815*R815)</f>
        <v>0.78394517899682832</v>
      </c>
      <c r="T815" s="85">
        <f>IF(B815="",0,IF(OR(H815=MappingTables!$C$34,H815=MappingTables!$C$35),S815,0))</f>
        <v>0</v>
      </c>
    </row>
    <row r="816" spans="2:20" s="0" customFormat="0" ht="15">
      <c r="B816" s="69" t="s">
        <v>4423</v>
      </c>
      <c r="C816" s="70" t="s">
        <v>4424</v>
      </c>
      <c r="D816" s="70" t="s">
        <v>1</v>
      </c>
      <c r="E816" s="70" t="s">
        <v>1</v>
      </c>
      <c r="F816" s="70"/>
      <c r="G816" s="70" t="s">
        <v>61</v>
      </c>
      <c r="H816" s="70" t="s">
        <v>178</v>
      </c>
      <c r="I816" s="70" t="s">
        <v>216</v>
      </c>
      <c r="J816" s="71">
        <f>IF(OR(I816=0,I816=""),"unrated",VLOOKUP(I816,MappingTables!$B$19:$C$31,2,FALSE))</f>
        <v>0</v>
      </c>
      <c r="K816" s="72">
        <v>211.1473740033632</v>
      </c>
      <c r="L816" s="70">
        <v>0.071394405996775168</v>
      </c>
      <c r="M816" s="71">
        <f>IF(L816&lt;1,1,L816)</f>
        <v>1</v>
      </c>
      <c r="N816" s="70" t="s">
        <v>3288</v>
      </c>
      <c r="O816" s="71">
        <f>IF(OR(I816=$A$1,I816=0),"",IF(N816=MappingTables!$C$14,VLOOKUP(J816,ModelParameters!$M$8:$N$15,2,FALSE),IF(N816=MappingTables!$C$16,VLOOKUP(J816,ModelParameters!$P$8:$Q$15,2,FALSE),0)))</f>
        <v>0.125</v>
      </c>
      <c r="P816" s="73">
        <f>IF(OR(I816=0,I816=$A$1),0,MIN(O816*M816,1)*K816)</f>
        <v>26.393421750420396</v>
      </c>
      <c r="Q816" s="73">
        <f>IF(B816="",0,IF(OR(H816=MappingTables!$C$34,H816=MappingTables!$C$35),P816,0))</f>
        <v>0</v>
      </c>
      <c r="R816" s="73">
        <f>IF(ISNA(IF(AND(VLOOKUP(CONCATENATE($D816,$G816),CSRFinput!$B:$E,4,0)=0,OR(H816=MappingTables!$C$31,H816=MappingTables!$C$32)),1,VLOOKUP(CONCATENATE($D816,$G816),CSRFinput!$B:$E,4,0))),0,IF(AND(VLOOKUP(CONCATENATE($D816,$G816),CSRFinput!$B:$E,4,0)=0,OR(H816=MappingTables!$C$31,H816=MappingTables!$C$32)),1,VLOOKUP(CONCATENATE($D816,$G816),CSRFinput!$B:$E,4,0)))</f>
        <v>0.054776304963434752</v>
      </c>
      <c r="S816" s="73">
        <f>IF(B816="",0,P816*R816)</f>
        <v>1.4457341188295796</v>
      </c>
      <c r="T816" s="85">
        <f>IF(B816="",0,IF(OR(H816=MappingTables!$C$34,H816=MappingTables!$C$35),S816,0))</f>
        <v>0</v>
      </c>
    </row>
    <row r="817" spans="2:20" s="0" customFormat="0" ht="15">
      <c r="B817" s="69" t="s">
        <v>3965</v>
      </c>
      <c r="C817" s="70" t="s">
        <v>3966</v>
      </c>
      <c r="D817" s="70" t="s">
        <v>1</v>
      </c>
      <c r="E817" s="70" t="s">
        <v>1</v>
      </c>
      <c r="F817" s="70"/>
      <c r="G817" s="70" t="s">
        <v>61</v>
      </c>
      <c r="H817" s="70" t="s">
        <v>178</v>
      </c>
      <c r="I817" s="70" t="s">
        <v>181</v>
      </c>
      <c r="J817" s="71">
        <f>IF(OR(I817=0,I817=""),"unrated",VLOOKUP(I817,MappingTables!$B$19:$C$31,2,FALSE))</f>
        <v>3</v>
      </c>
      <c r="K817" s="72">
        <v>434.3430373035788</v>
      </c>
      <c r="L817" s="70">
        <v>0.068495227019924024</v>
      </c>
      <c r="M817" s="71">
        <f>IF(L817&lt;1,1,L817)</f>
        <v>1</v>
      </c>
      <c r="N817" s="70" t="s">
        <v>3288</v>
      </c>
      <c r="O817" s="71">
        <f>IF(OR(I817=$A$1,I817=0),"",IF(N817=MappingTables!$C$14,VLOOKUP(J817,ModelParameters!$M$8:$N$15,2,FALSE),IF(N817=MappingTables!$C$16,VLOOKUP(J817,ModelParameters!$P$8:$Q$15,2,FALSE),0)))</f>
        <v>0.197</v>
      </c>
      <c r="P817" s="73">
        <f>IF(OR(I817=0,I817=$A$1),0,MIN(O817*M817,1)*K817)</f>
        <v>85.565578348805024</v>
      </c>
      <c r="Q817" s="73">
        <f>IF(B817="",0,IF(OR(H817=MappingTables!$C$34,H817=MappingTables!$C$35),P817,0))</f>
        <v>0</v>
      </c>
      <c r="R817" s="73">
        <f>IF(ISNA(IF(AND(VLOOKUP(CONCATENATE($D817,$G817),CSRFinput!$B:$E,4,0)=0,OR(H817=MappingTables!$C$31,H817=MappingTables!$C$32)),1,VLOOKUP(CONCATENATE($D817,$G817),CSRFinput!$B:$E,4,0))),0,IF(AND(VLOOKUP(CONCATENATE($D817,$G817),CSRFinput!$B:$E,4,0)=0,OR(H817=MappingTables!$C$31,H817=MappingTables!$C$32)),1,VLOOKUP(CONCATENATE($D817,$G817),CSRFinput!$B:$E,4,0)))</f>
        <v>0.054776304963434752</v>
      </c>
      <c r="S817" s="73">
        <f>IF(B817="",0,P817*R817)</f>
        <v>4.6869662140068144</v>
      </c>
      <c r="T817" s="85">
        <f>IF(B817="",0,IF(OR(H817=MappingTables!$C$34,H817=MappingTables!$C$35),S817,0))</f>
        <v>0</v>
      </c>
    </row>
    <row r="818" spans="2:20" s="0" customFormat="0" ht="15">
      <c r="B818" s="69" t="s">
        <v>4425</v>
      </c>
      <c r="C818" s="70" t="s">
        <v>4426</v>
      </c>
      <c r="D818" s="70" t="s">
        <v>1</v>
      </c>
      <c r="E818" s="70" t="s">
        <v>1</v>
      </c>
      <c r="F818" s="70"/>
      <c r="G818" s="70" t="s">
        <v>61</v>
      </c>
      <c r="H818" s="70" t="s">
        <v>178</v>
      </c>
      <c r="I818" s="70" t="s">
        <v>198</v>
      </c>
      <c r="J818" s="71" t="str">
        <f>IF(OR(I818=0,I818=""),"unrated",VLOOKUP(I818,MappingTables!$B$19:$C$31,2,FALSE))</f>
        <v>unrated</v>
      </c>
      <c r="K818" s="72">
        <v>16736.839774263332</v>
      </c>
      <c r="L818" s="70">
        <v>9.4627104929963248</v>
      </c>
      <c r="M818" s="71">
        <f>IF(L818&lt;1,1,L818)</f>
        <v>9.4627104929963248</v>
      </c>
      <c r="N818" s="70" t="s">
        <v>3288</v>
      </c>
      <c r="O818" s="71">
        <f>IF(OR(I818=$A$1,I818=0),"",IF(N818=MappingTables!$C$14,VLOOKUP(J818,ModelParameters!$M$8:$N$15,2,FALSE),IF(N818=MappingTables!$C$16,VLOOKUP(J818,ModelParameters!$P$8:$Q$15,2,FALSE),0)))</f>
        <v>1</v>
      </c>
      <c r="P818" s="73">
        <f>IF(OR(I818=0,I818=$A$1),0,MIN(O818*M818,1)*K818)</f>
        <v>16736.839774263332</v>
      </c>
      <c r="Q818" s="73">
        <f>IF(B818="",0,IF(OR(H818=MappingTables!$C$34,H818=MappingTables!$C$35),P818,0))</f>
        <v>0</v>
      </c>
      <c r="R818" s="73">
        <f>IF(ISNA(IF(AND(VLOOKUP(CONCATENATE($D818,$G818),CSRFinput!$B:$E,4,0)=0,OR(H818=MappingTables!$C$31,H818=MappingTables!$C$32)),1,VLOOKUP(CONCATENATE($D818,$G818),CSRFinput!$B:$E,4,0))),0,IF(AND(VLOOKUP(CONCATENATE($D818,$G818),CSRFinput!$B:$E,4,0)=0,OR(H818=MappingTables!$C$31,H818=MappingTables!$C$32)),1,VLOOKUP(CONCATENATE($D818,$G818),CSRFinput!$B:$E,4,0)))</f>
        <v>0.054776304963434752</v>
      </c>
      <c r="S818" s="73">
        <f>IF(B818="",0,P818*R818)</f>
        <v>916.7822395991928</v>
      </c>
      <c r="T818" s="85">
        <f>IF(B818="",0,IF(OR(H818=MappingTables!$C$34,H818=MappingTables!$C$35),S818,0))</f>
        <v>0</v>
      </c>
    </row>
    <row r="819" spans="2:20" s="0" customFormat="0" ht="15">
      <c r="B819" s="69" t="s">
        <v>3958</v>
      </c>
      <c r="C819" s="70" t="s">
        <v>3959</v>
      </c>
      <c r="D819" s="70" t="s">
        <v>1</v>
      </c>
      <c r="E819" s="70" t="s">
        <v>1</v>
      </c>
      <c r="F819" s="70"/>
      <c r="G819" s="70" t="s">
        <v>61</v>
      </c>
      <c r="H819" s="70" t="s">
        <v>178</v>
      </c>
      <c r="I819" s="70" t="s">
        <v>220</v>
      </c>
      <c r="J819" s="71">
        <f>IF(OR(I819=0,I819=""),"unrated",VLOOKUP(I819,MappingTables!$B$19:$C$31,2,FALSE))</f>
        <v>1</v>
      </c>
      <c r="K819" s="72">
        <v>78.538436968514288</v>
      </c>
      <c r="L819" s="70">
        <v>0.052056833898253688</v>
      </c>
      <c r="M819" s="71">
        <f>IF(L819&lt;1,1,L819)</f>
        <v>1</v>
      </c>
      <c r="N819" s="70" t="s">
        <v>3288</v>
      </c>
      <c r="O819" s="71">
        <f>IF(OR(I819=$A$1,I819=0),"",IF(N819=MappingTables!$C$14,VLOOKUP(J819,ModelParameters!$M$8:$N$15,2,FALSE),IF(N819=MappingTables!$C$16,VLOOKUP(J819,ModelParameters!$P$8:$Q$15,2,FALSE),0)))</f>
        <v>0.134</v>
      </c>
      <c r="P819" s="73">
        <f>IF(OR(I819=0,I819=$A$1),0,MIN(O819*M819,1)*K819)</f>
        <v>10.524150553780916</v>
      </c>
      <c r="Q819" s="73">
        <f>IF(B819="",0,IF(OR(H819=MappingTables!$C$34,H819=MappingTables!$C$35),P819,0))</f>
        <v>0</v>
      </c>
      <c r="R819" s="73">
        <f>IF(ISNA(IF(AND(VLOOKUP(CONCATENATE($D819,$G819),CSRFinput!$B:$E,4,0)=0,OR(H819=MappingTables!$C$31,H819=MappingTables!$C$32)),1,VLOOKUP(CONCATENATE($D819,$G819),CSRFinput!$B:$E,4,0))),0,IF(AND(VLOOKUP(CONCATENATE($D819,$G819),CSRFinput!$B:$E,4,0)=0,OR(H819=MappingTables!$C$31,H819=MappingTables!$C$32)),1,VLOOKUP(CONCATENATE($D819,$G819),CSRFinput!$B:$E,4,0)))</f>
        <v>0.054776304963434752</v>
      </c>
      <c r="S819" s="73">
        <f>IF(B819="",0,P819*R819)</f>
        <v>0.57647408021500416</v>
      </c>
      <c r="T819" s="85">
        <f>IF(B819="",0,IF(OR(H819=MappingTables!$C$34,H819=MappingTables!$C$35),S819,0))</f>
        <v>0</v>
      </c>
    </row>
    <row r="820" spans="2:20" s="0" customFormat="0" ht="15">
      <c r="B820" s="69" t="s">
        <v>4427</v>
      </c>
      <c r="C820" s="70" t="s">
        <v>4428</v>
      </c>
      <c r="D820" s="70" t="s">
        <v>1</v>
      </c>
      <c r="E820" s="70" t="s">
        <v>1</v>
      </c>
      <c r="F820" s="70"/>
      <c r="G820" s="70" t="s">
        <v>61</v>
      </c>
      <c r="H820" s="70" t="s">
        <v>178</v>
      </c>
      <c r="I820" s="70" t="s">
        <v>198</v>
      </c>
      <c r="J820" s="71" t="str">
        <f>IF(OR(I820=0,I820=""),"unrated",VLOOKUP(I820,MappingTables!$B$19:$C$31,2,FALSE))</f>
        <v>unrated</v>
      </c>
      <c r="K820" s="72">
        <v>5.6252467214561952</v>
      </c>
      <c r="L820" s="70">
        <v>0.052054626737710776</v>
      </c>
      <c r="M820" s="71">
        <f>IF(L820&lt;1,1,L820)</f>
        <v>1</v>
      </c>
      <c r="N820" s="70" t="s">
        <v>3288</v>
      </c>
      <c r="O820" s="71">
        <f>IF(OR(I820=$A$1,I820=0),"",IF(N820=MappingTables!$C$14,VLOOKUP(J820,ModelParameters!$M$8:$N$15,2,FALSE),IF(N820=MappingTables!$C$16,VLOOKUP(J820,ModelParameters!$P$8:$Q$15,2,FALSE),0)))</f>
        <v>1</v>
      </c>
      <c r="P820" s="73">
        <f>IF(OR(I820=0,I820=$A$1),0,MIN(O820*M820,1)*K820)</f>
        <v>5.6252467214561952</v>
      </c>
      <c r="Q820" s="73">
        <f>IF(B820="",0,IF(OR(H820=MappingTables!$C$34,H820=MappingTables!$C$35),P820,0))</f>
        <v>0</v>
      </c>
      <c r="R820" s="73">
        <f>IF(ISNA(IF(AND(VLOOKUP(CONCATENATE($D820,$G820),CSRFinput!$B:$E,4,0)=0,OR(H820=MappingTables!$C$31,H820=MappingTables!$C$32)),1,VLOOKUP(CONCATENATE($D820,$G820),CSRFinput!$B:$E,4,0))),0,IF(AND(VLOOKUP(CONCATENATE($D820,$G820),CSRFinput!$B:$E,4,0)=0,OR(H820=MappingTables!$C$31,H820=MappingTables!$C$32)),1,VLOOKUP(CONCATENATE($D820,$G820),CSRFinput!$B:$E,4,0)))</f>
        <v>0.054776304963434752</v>
      </c>
      <c r="S820" s="73">
        <f>IF(B820="",0,P820*R820)</f>
        <v>0.30813022990904604</v>
      </c>
      <c r="T820" s="85">
        <f>IF(B820="",0,IF(OR(H820=MappingTables!$C$34,H820=MappingTables!$C$35),S820,0))</f>
        <v>0</v>
      </c>
    </row>
    <row r="821" spans="2:20" s="0" customFormat="0" ht="15">
      <c r="B821" s="69" t="s">
        <v>4429</v>
      </c>
      <c r="C821" s="70" t="s">
        <v>4430</v>
      </c>
      <c r="D821" s="70" t="s">
        <v>1</v>
      </c>
      <c r="E821" s="70" t="s">
        <v>1</v>
      </c>
      <c r="F821" s="70"/>
      <c r="G821" s="70" t="s">
        <v>61</v>
      </c>
      <c r="H821" s="70" t="s">
        <v>178</v>
      </c>
      <c r="I821" s="70" t="s">
        <v>198</v>
      </c>
      <c r="J821" s="71" t="str">
        <f>IF(OR(I821=0,I821=""),"unrated",VLOOKUP(I821,MappingTables!$B$19:$C$31,2,FALSE))</f>
        <v>unrated</v>
      </c>
      <c r="K821" s="72">
        <v>10620.990490111788</v>
      </c>
      <c r="L821" s="70">
        <v>9.6687321037167088</v>
      </c>
      <c r="M821" s="71">
        <f>IF(L821&lt;1,1,L821)</f>
        <v>9.6687321037167088</v>
      </c>
      <c r="N821" s="70" t="s">
        <v>3288</v>
      </c>
      <c r="O821" s="71">
        <f>IF(OR(I821=$A$1,I821=0),"",IF(N821=MappingTables!$C$14,VLOOKUP(J821,ModelParameters!$M$8:$N$15,2,FALSE),IF(N821=MappingTables!$C$16,VLOOKUP(J821,ModelParameters!$P$8:$Q$15,2,FALSE),0)))</f>
        <v>1</v>
      </c>
      <c r="P821" s="73">
        <f>IF(OR(I821=0,I821=$A$1),0,MIN(O821*M821,1)*K821)</f>
        <v>10620.990490111788</v>
      </c>
      <c r="Q821" s="73">
        <f>IF(B821="",0,IF(OR(H821=MappingTables!$C$34,H821=MappingTables!$C$35),P821,0))</f>
        <v>0</v>
      </c>
      <c r="R821" s="73">
        <f>IF(ISNA(IF(AND(VLOOKUP(CONCATENATE($D821,$G821),CSRFinput!$B:$E,4,0)=0,OR(H821=MappingTables!$C$31,H821=MappingTables!$C$32)),1,VLOOKUP(CONCATENATE($D821,$G821),CSRFinput!$B:$E,4,0))),0,IF(AND(VLOOKUP(CONCATENATE($D821,$G821),CSRFinput!$B:$E,4,0)=0,OR(H821=MappingTables!$C$31,H821=MappingTables!$C$32)),1,VLOOKUP(CONCATENATE($D821,$G821),CSRFinput!$B:$E,4,0)))</f>
        <v>0.054776304963434752</v>
      </c>
      <c r="S821" s="73">
        <f>IF(B821="",0,P821*R821)</f>
        <v>581.7786141001036</v>
      </c>
      <c r="T821" s="85">
        <f>IF(B821="",0,IF(OR(H821=MappingTables!$C$34,H821=MappingTables!$C$35),S821,0))</f>
        <v>0</v>
      </c>
    </row>
    <row r="822" spans="2:20" s="0" customFormat="0" ht="15">
      <c r="B822" s="69" t="s">
        <v>4431</v>
      </c>
      <c r="C822" s="70" t="s">
        <v>4432</v>
      </c>
      <c r="D822" s="70" t="s">
        <v>1</v>
      </c>
      <c r="E822" s="70" t="s">
        <v>1</v>
      </c>
      <c r="F822" s="70"/>
      <c r="G822" s="70" t="s">
        <v>61</v>
      </c>
      <c r="H822" s="70" t="s">
        <v>178</v>
      </c>
      <c r="I822" s="70" t="s">
        <v>3298</v>
      </c>
      <c r="J822" s="71">
        <f>IF(OR(I822=0,I822=""),"unrated",VLOOKUP(I822,MappingTables!$B$19:$C$31,2,FALSE))</f>
        <v>6</v>
      </c>
      <c r="K822" s="72">
        <v>456.46180030218648</v>
      </c>
      <c r="L822" s="70">
        <v>-0.051643314555072064</v>
      </c>
      <c r="M822" s="71">
        <f>IF(L822&lt;1,1,L822)</f>
        <v>1</v>
      </c>
      <c r="N822" s="70" t="s">
        <v>3288</v>
      </c>
      <c r="O822" s="71">
        <f>IF(OR(I822=$A$1,I822=0),"",IF(N822=MappingTables!$C$14,VLOOKUP(J822,ModelParameters!$M$8:$N$15,2,FALSE),IF(N822=MappingTables!$C$16,VLOOKUP(J822,ModelParameters!$P$8:$Q$15,2,FALSE),0)))</f>
        <v>1</v>
      </c>
      <c r="P822" s="73">
        <f>IF(OR(I822=0,I822=$A$1),0,MIN(O822*M822,1)*K822)</f>
        <v>456.46180030218648</v>
      </c>
      <c r="Q822" s="73">
        <f>IF(B822="",0,IF(OR(H822=MappingTables!$C$34,H822=MappingTables!$C$35),P822,0))</f>
        <v>0</v>
      </c>
      <c r="R822" s="73">
        <f>IF(ISNA(IF(AND(VLOOKUP(CONCATENATE($D822,$G822),CSRFinput!$B:$E,4,0)=0,OR(H822=MappingTables!$C$31,H822=MappingTables!$C$32)),1,VLOOKUP(CONCATENATE($D822,$G822),CSRFinput!$B:$E,4,0))),0,IF(AND(VLOOKUP(CONCATENATE($D822,$G822),CSRFinput!$B:$E,4,0)=0,OR(H822=MappingTables!$C$31,H822=MappingTables!$C$32)),1,VLOOKUP(CONCATENATE($D822,$G822),CSRFinput!$B:$E,4,0)))</f>
        <v>0.054776304963434752</v>
      </c>
      <c r="S822" s="73">
        <f>IF(B822="",0,P822*R822)</f>
        <v>25.00329077751102</v>
      </c>
      <c r="T822" s="85">
        <f>IF(B822="",0,IF(OR(H822=MappingTables!$C$34,H822=MappingTables!$C$35),S822,0))</f>
        <v>0</v>
      </c>
    </row>
    <row r="823" spans="2:20" s="0" customFormat="0" ht="15">
      <c r="B823" s="69" t="s">
        <v>3810</v>
      </c>
      <c r="C823" s="70" t="s">
        <v>3811</v>
      </c>
      <c r="D823" s="70" t="s">
        <v>1</v>
      </c>
      <c r="E823" s="70" t="s">
        <v>1</v>
      </c>
      <c r="F823" s="70"/>
      <c r="G823" s="70" t="s">
        <v>61</v>
      </c>
      <c r="H823" s="70" t="s">
        <v>178</v>
      </c>
      <c r="I823" s="70" t="s">
        <v>204</v>
      </c>
      <c r="J823" s="71">
        <f>IF(OR(I823=0,I823=""),"unrated",VLOOKUP(I823,MappingTables!$B$19:$C$31,2,FALSE))</f>
        <v>6</v>
      </c>
      <c r="K823" s="72">
        <v>189.38004190176488</v>
      </c>
      <c r="L823" s="70">
        <v>0.068493157260460376</v>
      </c>
      <c r="M823" s="71">
        <f>IF(L823&lt;1,1,L823)</f>
        <v>1</v>
      </c>
      <c r="N823" s="70" t="s">
        <v>3288</v>
      </c>
      <c r="O823" s="71">
        <f>IF(OR(I823=$A$1,I823=0),"",IF(N823=MappingTables!$C$14,VLOOKUP(J823,ModelParameters!$M$8:$N$15,2,FALSE),IF(N823=MappingTables!$C$16,VLOOKUP(J823,ModelParameters!$P$8:$Q$15,2,FALSE),0)))</f>
        <v>1</v>
      </c>
      <c r="P823" s="73">
        <f>IF(OR(I823=0,I823=$A$1),0,MIN(O823*M823,1)*K823)</f>
        <v>189.38004190176488</v>
      </c>
      <c r="Q823" s="73">
        <f>IF(B823="",0,IF(OR(H823=MappingTables!$C$34,H823=MappingTables!$C$35),P823,0))</f>
        <v>0</v>
      </c>
      <c r="R823" s="73">
        <f>IF(ISNA(IF(AND(VLOOKUP(CONCATENATE($D823,$G823),CSRFinput!$B:$E,4,0)=0,OR(H823=MappingTables!$C$31,H823=MappingTables!$C$32)),1,VLOOKUP(CONCATENATE($D823,$G823),CSRFinput!$B:$E,4,0))),0,IF(AND(VLOOKUP(CONCATENATE($D823,$G823),CSRFinput!$B:$E,4,0)=0,OR(H823=MappingTables!$C$31,H823=MappingTables!$C$32)),1,VLOOKUP(CONCATENATE($D823,$G823),CSRFinput!$B:$E,4,0)))</f>
        <v>0.054776304963434752</v>
      </c>
      <c r="S823" s="73">
        <f>IF(B823="",0,P823*R823)</f>
        <v>10.373538929199124</v>
      </c>
      <c r="T823" s="85">
        <f>IF(B823="",0,IF(OR(H823=MappingTables!$C$34,H823=MappingTables!$C$35),S823,0))</f>
        <v>0</v>
      </c>
    </row>
    <row r="824" spans="2:20" s="0" customFormat="0" ht="15">
      <c r="B824" s="69" t="s">
        <v>3789</v>
      </c>
      <c r="C824" s="70" t="s">
        <v>3790</v>
      </c>
      <c r="D824" s="70" t="s">
        <v>1</v>
      </c>
      <c r="E824" s="70" t="s">
        <v>1</v>
      </c>
      <c r="F824" s="70"/>
      <c r="G824" s="70" t="s">
        <v>61</v>
      </c>
      <c r="H824" s="70" t="s">
        <v>178</v>
      </c>
      <c r="I824" s="70" t="s">
        <v>198</v>
      </c>
      <c r="J824" s="71" t="str">
        <f>IF(OR(I824=0,I824=""),"unrated",VLOOKUP(I824,MappingTables!$B$19:$C$31,2,FALSE))</f>
        <v>unrated</v>
      </c>
      <c r="K824" s="72">
        <v>7.9239368464333312</v>
      </c>
      <c r="L824" s="70">
        <v>32.810387158697416</v>
      </c>
      <c r="M824" s="71">
        <f>IF(L824&lt;1,1,L824)</f>
        <v>32.810387158697416</v>
      </c>
      <c r="N824" s="70" t="s">
        <v>3288</v>
      </c>
      <c r="O824" s="71">
        <f>IF(OR(I824=$A$1,I824=0),"",IF(N824=MappingTables!$C$14,VLOOKUP(J824,ModelParameters!$M$8:$N$15,2,FALSE),IF(N824=MappingTables!$C$16,VLOOKUP(J824,ModelParameters!$P$8:$Q$15,2,FALSE),0)))</f>
        <v>1</v>
      </c>
      <c r="P824" s="73">
        <f>IF(OR(I824=0,I824=$A$1),0,MIN(O824*M824,1)*K824)</f>
        <v>7.9239368464333312</v>
      </c>
      <c r="Q824" s="73">
        <f>IF(B824="",0,IF(OR(H824=MappingTables!$C$34,H824=MappingTables!$C$35),P824,0))</f>
        <v>0</v>
      </c>
      <c r="R824" s="73">
        <f>IF(ISNA(IF(AND(VLOOKUP(CONCATENATE($D824,$G824),CSRFinput!$B:$E,4,0)=0,OR(H824=MappingTables!$C$31,H824=MappingTables!$C$32)),1,VLOOKUP(CONCATENATE($D824,$G824),CSRFinput!$B:$E,4,0))),0,IF(AND(VLOOKUP(CONCATENATE($D824,$G824),CSRFinput!$B:$E,4,0)=0,OR(H824=MappingTables!$C$31,H824=MappingTables!$C$32)),1,VLOOKUP(CONCATENATE($D824,$G824),CSRFinput!$B:$E,4,0)))</f>
        <v>0.054776304963434752</v>
      </c>
      <c r="S824" s="73">
        <f>IF(B824="",0,P824*R824)</f>
        <v>0.4340439812112296</v>
      </c>
      <c r="T824" s="85">
        <f>IF(B824="",0,IF(OR(H824=MappingTables!$C$34,H824=MappingTables!$C$35),S824,0))</f>
        <v>0</v>
      </c>
    </row>
    <row r="825" spans="2:20" s="0" customFormat="0" ht="15">
      <c r="B825" s="69" t="s">
        <v>4433</v>
      </c>
      <c r="C825" s="70" t="s">
        <v>4434</v>
      </c>
      <c r="D825" s="70" t="s">
        <v>1</v>
      </c>
      <c r="E825" s="70" t="s">
        <v>1</v>
      </c>
      <c r="F825" s="70"/>
      <c r="G825" s="70" t="s">
        <v>61</v>
      </c>
      <c r="H825" s="70" t="s">
        <v>178</v>
      </c>
      <c r="I825" s="70" t="s">
        <v>198</v>
      </c>
      <c r="J825" s="71" t="str">
        <f>IF(OR(I825=0,I825=""),"unrated",VLOOKUP(I825,MappingTables!$B$19:$C$31,2,FALSE))</f>
        <v>unrated</v>
      </c>
      <c r="K825" s="72">
        <v>1080.195550207203</v>
      </c>
      <c r="L825" s="70">
        <v>9.2604733051471744</v>
      </c>
      <c r="M825" s="71">
        <f>IF(L825&lt;1,1,L825)</f>
        <v>9.2604733051471744</v>
      </c>
      <c r="N825" s="70" t="s">
        <v>3288</v>
      </c>
      <c r="O825" s="71">
        <f>IF(OR(I825=$A$1,I825=0),"",IF(N825=MappingTables!$C$14,VLOOKUP(J825,ModelParameters!$M$8:$N$15,2,FALSE),IF(N825=MappingTables!$C$16,VLOOKUP(J825,ModelParameters!$P$8:$Q$15,2,FALSE),0)))</f>
        <v>1</v>
      </c>
      <c r="P825" s="73">
        <f>IF(OR(I825=0,I825=$A$1),0,MIN(O825*M825,1)*K825)</f>
        <v>1080.195550207203</v>
      </c>
      <c r="Q825" s="73">
        <f>IF(B825="",0,IF(OR(H825=MappingTables!$C$34,H825=MappingTables!$C$35),P825,0))</f>
        <v>0</v>
      </c>
      <c r="R825" s="73">
        <f>IF(ISNA(IF(AND(VLOOKUP(CONCATENATE($D825,$G825),CSRFinput!$B:$E,4,0)=0,OR(H825=MappingTables!$C$31,H825=MappingTables!$C$32)),1,VLOOKUP(CONCATENATE($D825,$G825),CSRFinput!$B:$E,4,0))),0,IF(AND(VLOOKUP(CONCATENATE($D825,$G825),CSRFinput!$B:$E,4,0)=0,OR(H825=MappingTables!$C$31,H825=MappingTables!$C$32)),1,VLOOKUP(CONCATENATE($D825,$G825),CSRFinput!$B:$E,4,0)))</f>
        <v>0.054776304963434752</v>
      </c>
      <c r="S825" s="73">
        <f>IF(B825="",0,P825*R825)</f>
        <v>59.169120878294944</v>
      </c>
      <c r="T825" s="85">
        <f>IF(B825="",0,IF(OR(H825=MappingTables!$C$34,H825=MappingTables!$C$35),S825,0))</f>
        <v>0</v>
      </c>
    </row>
    <row r="826" spans="2:20" s="0" customFormat="0" ht="15">
      <c r="B826" s="69" t="s">
        <v>4435</v>
      </c>
      <c r="C826" s="70" t="s">
        <v>4436</v>
      </c>
      <c r="D826" s="70" t="s">
        <v>1</v>
      </c>
      <c r="E826" s="70" t="s">
        <v>1</v>
      </c>
      <c r="F826" s="70"/>
      <c r="G826" s="70" t="s">
        <v>61</v>
      </c>
      <c r="H826" s="70" t="s">
        <v>178</v>
      </c>
      <c r="I826" s="70" t="s">
        <v>204</v>
      </c>
      <c r="J826" s="71">
        <f>IF(OR(I826=0,I826=""),"unrated",VLOOKUP(I826,MappingTables!$B$19:$C$31,2,FALSE))</f>
        <v>6</v>
      </c>
      <c r="K826" s="72">
        <v>0.095567822526779168</v>
      </c>
      <c r="L826" s="70">
        <v>0.068494743769081352</v>
      </c>
      <c r="M826" s="71">
        <f>IF(L826&lt;1,1,L826)</f>
        <v>1</v>
      </c>
      <c r="N826" s="70" t="s">
        <v>3288</v>
      </c>
      <c r="O826" s="71">
        <f>IF(OR(I826=$A$1,I826=0),"",IF(N826=MappingTables!$C$14,VLOOKUP(J826,ModelParameters!$M$8:$N$15,2,FALSE),IF(N826=MappingTables!$C$16,VLOOKUP(J826,ModelParameters!$P$8:$Q$15,2,FALSE),0)))</f>
        <v>1</v>
      </c>
      <c r="P826" s="73">
        <f>IF(OR(I826=0,I826=$A$1),0,MIN(O826*M826,1)*K826)</f>
        <v>0.095567822526779168</v>
      </c>
      <c r="Q826" s="73">
        <f>IF(B826="",0,IF(OR(H826=MappingTables!$C$34,H826=MappingTables!$C$35),P826,0))</f>
        <v>0</v>
      </c>
      <c r="R826" s="73">
        <f>IF(ISNA(IF(AND(VLOOKUP(CONCATENATE($D826,$G826),CSRFinput!$B:$E,4,0)=0,OR(H826=MappingTables!$C$31,H826=MappingTables!$C$32)),1,VLOOKUP(CONCATENATE($D826,$G826),CSRFinput!$B:$E,4,0))),0,IF(AND(VLOOKUP(CONCATENATE($D826,$G826),CSRFinput!$B:$E,4,0)=0,OR(H826=MappingTables!$C$31,H826=MappingTables!$C$32)),1,VLOOKUP(CONCATENATE($D826,$G826),CSRFinput!$B:$E,4,0)))</f>
        <v>0.054776304963434752</v>
      </c>
      <c r="S826" s="73">
        <f>IF(B826="",0,P826*R826)</f>
        <v>0.0052348521914182656</v>
      </c>
      <c r="T826" s="85">
        <f>IF(B826="",0,IF(OR(H826=MappingTables!$C$34,H826=MappingTables!$C$35),S826,0))</f>
        <v>0</v>
      </c>
    </row>
    <row r="827" spans="2:20" s="0" customFormat="0" ht="15">
      <c r="B827" s="69" t="s">
        <v>4437</v>
      </c>
      <c r="C827" s="70" t="s">
        <v>4438</v>
      </c>
      <c r="D827" s="70" t="s">
        <v>1</v>
      </c>
      <c r="E827" s="70" t="s">
        <v>1</v>
      </c>
      <c r="F827" s="70"/>
      <c r="G827" s="70" t="s">
        <v>61</v>
      </c>
      <c r="H827" s="70" t="s">
        <v>178</v>
      </c>
      <c r="I827" s="70" t="s">
        <v>198</v>
      </c>
      <c r="J827" s="71" t="str">
        <f>IF(OR(I827=0,I827=""),"unrated",VLOOKUP(I827,MappingTables!$B$19:$C$31,2,FALSE))</f>
        <v>unrated</v>
      </c>
      <c r="K827" s="72">
        <v>28622.350894872816</v>
      </c>
      <c r="L827" s="70">
        <v>25.960821070744188</v>
      </c>
      <c r="M827" s="71">
        <f>IF(L827&lt;1,1,L827)</f>
        <v>25.960821070744188</v>
      </c>
      <c r="N827" s="70" t="s">
        <v>3288</v>
      </c>
      <c r="O827" s="71">
        <f>IF(OR(I827=$A$1,I827=0),"",IF(N827=MappingTables!$C$14,VLOOKUP(J827,ModelParameters!$M$8:$N$15,2,FALSE),IF(N827=MappingTables!$C$16,VLOOKUP(J827,ModelParameters!$P$8:$Q$15,2,FALSE),0)))</f>
        <v>1</v>
      </c>
      <c r="P827" s="73">
        <f>IF(OR(I827=0,I827=$A$1),0,MIN(O827*M827,1)*K827)</f>
        <v>28622.350894872816</v>
      </c>
      <c r="Q827" s="73">
        <f>IF(B827="",0,IF(OR(H827=MappingTables!$C$34,H827=MappingTables!$C$35),P827,0))</f>
        <v>0</v>
      </c>
      <c r="R827" s="73">
        <f>IF(ISNA(IF(AND(VLOOKUP(CONCATENATE($D827,$G827),CSRFinput!$B:$E,4,0)=0,OR(H827=MappingTables!$C$31,H827=MappingTables!$C$32)),1,VLOOKUP(CONCATENATE($D827,$G827),CSRFinput!$B:$E,4,0))),0,IF(AND(VLOOKUP(CONCATENATE($D827,$G827),CSRFinput!$B:$E,4,0)=0,OR(H827=MappingTables!$C$31,H827=MappingTables!$C$32)),1,VLOOKUP(CONCATENATE($D827,$G827),CSRFinput!$B:$E,4,0)))</f>
        <v>0.054776304963434752</v>
      </c>
      <c r="S827" s="73">
        <f>IF(B827="",0,P827*R827)</f>
        <v>1567.8266213879928</v>
      </c>
      <c r="T827" s="85">
        <f>IF(B827="",0,IF(OR(H827=MappingTables!$C$34,H827=MappingTables!$C$35),S827,0))</f>
        <v>0</v>
      </c>
    </row>
    <row r="828" spans="2:20" s="0" customFormat="0" ht="15">
      <c r="B828" s="69" t="s">
        <v>4439</v>
      </c>
      <c r="C828" s="70" t="s">
        <v>4440</v>
      </c>
      <c r="D828" s="70" t="s">
        <v>1</v>
      </c>
      <c r="E828" s="70" t="s">
        <v>1</v>
      </c>
      <c r="F828" s="70"/>
      <c r="G828" s="70" t="s">
        <v>61</v>
      </c>
      <c r="H828" s="70" t="s">
        <v>178</v>
      </c>
      <c r="I828" s="70" t="s">
        <v>3298</v>
      </c>
      <c r="J828" s="71">
        <f>IF(OR(I828=0,I828=""),"unrated",VLOOKUP(I828,MappingTables!$B$19:$C$31,2,FALSE))</f>
        <v>6</v>
      </c>
      <c r="K828" s="72">
        <v>147.60406413161652</v>
      </c>
      <c r="L828" s="70">
        <v>1.4079693744297646</v>
      </c>
      <c r="M828" s="71">
        <f>IF(L828&lt;1,1,L828)</f>
        <v>1.4079693744297646</v>
      </c>
      <c r="N828" s="70" t="s">
        <v>3288</v>
      </c>
      <c r="O828" s="71">
        <f>IF(OR(I828=$A$1,I828=0),"",IF(N828=MappingTables!$C$14,VLOOKUP(J828,ModelParameters!$M$8:$N$15,2,FALSE),IF(N828=MappingTables!$C$16,VLOOKUP(J828,ModelParameters!$P$8:$Q$15,2,FALSE),0)))</f>
        <v>1</v>
      </c>
      <c r="P828" s="73">
        <f>IF(OR(I828=0,I828=$A$1),0,MIN(O828*M828,1)*K828)</f>
        <v>147.60406413161652</v>
      </c>
      <c r="Q828" s="73">
        <f>IF(B828="",0,IF(OR(H828=MappingTables!$C$34,H828=MappingTables!$C$35),P828,0))</f>
        <v>0</v>
      </c>
      <c r="R828" s="73">
        <f>IF(ISNA(IF(AND(VLOOKUP(CONCATENATE($D828,$G828),CSRFinput!$B:$E,4,0)=0,OR(H828=MappingTables!$C$31,H828=MappingTables!$C$32)),1,VLOOKUP(CONCATENATE($D828,$G828),CSRFinput!$B:$E,4,0))),0,IF(AND(VLOOKUP(CONCATENATE($D828,$G828),CSRFinput!$B:$E,4,0)=0,OR(H828=MappingTables!$C$31,H828=MappingTables!$C$32)),1,VLOOKUP(CONCATENATE($D828,$G828),CSRFinput!$B:$E,4,0)))</f>
        <v>0.054776304963434752</v>
      </c>
      <c r="S828" s="73">
        <f>IF(B828="",0,P828*R828)</f>
        <v>8.085205230715808</v>
      </c>
      <c r="T828" s="85">
        <f>IF(B828="",0,IF(OR(H828=MappingTables!$C$34,H828=MappingTables!$C$35),S828,0))</f>
        <v>0</v>
      </c>
    </row>
    <row r="829" spans="2:20" s="0" customFormat="0" ht="15">
      <c r="B829" s="69" t="s">
        <v>4441</v>
      </c>
      <c r="C829" s="70" t="s">
        <v>4442</v>
      </c>
      <c r="D829" s="70" t="s">
        <v>1</v>
      </c>
      <c r="E829" s="70" t="s">
        <v>1</v>
      </c>
      <c r="F829" s="70"/>
      <c r="G829" s="70" t="s">
        <v>61</v>
      </c>
      <c r="H829" s="70" t="s">
        <v>178</v>
      </c>
      <c r="I829" s="70" t="s">
        <v>204</v>
      </c>
      <c r="J829" s="71">
        <f>IF(OR(I829=0,I829=""),"unrated",VLOOKUP(I829,MappingTables!$B$19:$C$31,2,FALSE))</f>
        <v>6</v>
      </c>
      <c r="K829" s="72">
        <v>230.7373037017576</v>
      </c>
      <c r="L829" s="70">
        <v>0.068487998186059368</v>
      </c>
      <c r="M829" s="71">
        <f>IF(L829&lt;1,1,L829)</f>
        <v>1</v>
      </c>
      <c r="N829" s="70" t="s">
        <v>3288</v>
      </c>
      <c r="O829" s="71">
        <f>IF(OR(I829=$A$1,I829=0),"",IF(N829=MappingTables!$C$14,VLOOKUP(J829,ModelParameters!$M$8:$N$15,2,FALSE),IF(N829=MappingTables!$C$16,VLOOKUP(J829,ModelParameters!$P$8:$Q$15,2,FALSE),0)))</f>
        <v>1</v>
      </c>
      <c r="P829" s="73">
        <f>IF(OR(I829=0,I829=$A$1),0,MIN(O829*M829,1)*K829)</f>
        <v>230.7373037017576</v>
      </c>
      <c r="Q829" s="73">
        <f>IF(B829="",0,IF(OR(H829=MappingTables!$C$34,H829=MappingTables!$C$35),P829,0))</f>
        <v>0</v>
      </c>
      <c r="R829" s="73">
        <f>IF(ISNA(IF(AND(VLOOKUP(CONCATENATE($D829,$G829),CSRFinput!$B:$E,4,0)=0,OR(H829=MappingTables!$C$31,H829=MappingTables!$C$32)),1,VLOOKUP(CONCATENATE($D829,$G829),CSRFinput!$B:$E,4,0))),0,IF(AND(VLOOKUP(CONCATENATE($D829,$G829),CSRFinput!$B:$E,4,0)=0,OR(H829=MappingTables!$C$31,H829=MappingTables!$C$32)),1,VLOOKUP(CONCATENATE($D829,$G829),CSRFinput!$B:$E,4,0)))</f>
        <v>0.054776304963434752</v>
      </c>
      <c r="S829" s="73">
        <f>IF(B829="",0,P829*R829)</f>
        <v>12.638936914008136</v>
      </c>
      <c r="T829" s="85">
        <f>IF(B829="",0,IF(OR(H829=MappingTables!$C$34,H829=MappingTables!$C$35),S829,0))</f>
        <v>0</v>
      </c>
    </row>
    <row r="830" spans="2:20" s="0" customFormat="0" ht="15">
      <c r="B830" s="69" t="s">
        <v>4443</v>
      </c>
      <c r="C830" s="70" t="s">
        <v>4444</v>
      </c>
      <c r="D830" s="70" t="s">
        <v>1</v>
      </c>
      <c r="E830" s="70" t="s">
        <v>1</v>
      </c>
      <c r="F830" s="70"/>
      <c r="G830" s="70" t="s">
        <v>61</v>
      </c>
      <c r="H830" s="70" t="s">
        <v>178</v>
      </c>
      <c r="I830" s="70" t="s">
        <v>3298</v>
      </c>
      <c r="J830" s="71">
        <f>IF(OR(I830=0,I830=""),"unrated",VLOOKUP(I830,MappingTables!$B$19:$C$31,2,FALSE))</f>
        <v>6</v>
      </c>
      <c r="K830" s="72">
        <v>340.9036548981594</v>
      </c>
      <c r="L830" s="70">
        <v>-1.7993900997994344</v>
      </c>
      <c r="M830" s="71">
        <f>IF(L830&lt;1,1,L830)</f>
        <v>1</v>
      </c>
      <c r="N830" s="70" t="s">
        <v>3288</v>
      </c>
      <c r="O830" s="71">
        <f>IF(OR(I830=$A$1,I830=0),"",IF(N830=MappingTables!$C$14,VLOOKUP(J830,ModelParameters!$M$8:$N$15,2,FALSE),IF(N830=MappingTables!$C$16,VLOOKUP(J830,ModelParameters!$P$8:$Q$15,2,FALSE),0)))</f>
        <v>1</v>
      </c>
      <c r="P830" s="73">
        <f>IF(OR(I830=0,I830=$A$1),0,MIN(O830*M830,1)*K830)</f>
        <v>340.9036548981594</v>
      </c>
      <c r="Q830" s="73">
        <f>IF(B830="",0,IF(OR(H830=MappingTables!$C$34,H830=MappingTables!$C$35),P830,0))</f>
        <v>0</v>
      </c>
      <c r="R830" s="73">
        <f>IF(ISNA(IF(AND(VLOOKUP(CONCATENATE($D830,$G830),CSRFinput!$B:$E,4,0)=0,OR(H830=MappingTables!$C$31,H830=MappingTables!$C$32)),1,VLOOKUP(CONCATENATE($D830,$G830),CSRFinput!$B:$E,4,0))),0,IF(AND(VLOOKUP(CONCATENATE($D830,$G830),CSRFinput!$B:$E,4,0)=0,OR(H830=MappingTables!$C$31,H830=MappingTables!$C$32)),1,VLOOKUP(CONCATENATE($D830,$G830),CSRFinput!$B:$E,4,0)))</f>
        <v>0.054776304963434752</v>
      </c>
      <c r="S830" s="73">
        <f>IF(B830="",0,P830*R830)</f>
        <v>18.673442563851096</v>
      </c>
      <c r="T830" s="85">
        <f>IF(B830="",0,IF(OR(H830=MappingTables!$C$34,H830=MappingTables!$C$35),S830,0))</f>
        <v>0</v>
      </c>
    </row>
    <row r="831" spans="2:20" s="0" customFormat="0" ht="15">
      <c r="B831" s="69" t="s">
        <v>4445</v>
      </c>
      <c r="C831" s="70" t="s">
        <v>4446</v>
      </c>
      <c r="D831" s="70" t="s">
        <v>1</v>
      </c>
      <c r="E831" s="70" t="s">
        <v>1</v>
      </c>
      <c r="F831" s="70"/>
      <c r="G831" s="70" t="s">
        <v>61</v>
      </c>
      <c r="H831" s="70" t="s">
        <v>178</v>
      </c>
      <c r="I831" s="70" t="s">
        <v>198</v>
      </c>
      <c r="J831" s="71" t="str">
        <f>IF(OR(I831=0,I831=""),"unrated",VLOOKUP(I831,MappingTables!$B$19:$C$31,2,FALSE))</f>
        <v>unrated</v>
      </c>
      <c r="K831" s="72">
        <v>8.4489377403960976</v>
      </c>
      <c r="L831" s="70">
        <v>16.482177841117</v>
      </c>
      <c r="M831" s="71">
        <f>IF(L831&lt;1,1,L831)</f>
        <v>16.482177841117</v>
      </c>
      <c r="N831" s="70" t="s">
        <v>3288</v>
      </c>
      <c r="O831" s="71">
        <f>IF(OR(I831=$A$1,I831=0),"",IF(N831=MappingTables!$C$14,VLOOKUP(J831,ModelParameters!$M$8:$N$15,2,FALSE),IF(N831=MappingTables!$C$16,VLOOKUP(J831,ModelParameters!$P$8:$Q$15,2,FALSE),0)))</f>
        <v>1</v>
      </c>
      <c r="P831" s="73">
        <f>IF(OR(I831=0,I831=$A$1),0,MIN(O831*M831,1)*K831)</f>
        <v>8.4489377403960976</v>
      </c>
      <c r="Q831" s="73">
        <f>IF(B831="",0,IF(OR(H831=MappingTables!$C$34,H831=MappingTables!$C$35),P831,0))</f>
        <v>0</v>
      </c>
      <c r="R831" s="73">
        <f>IF(ISNA(IF(AND(VLOOKUP(CONCATENATE($D831,$G831),CSRFinput!$B:$E,4,0)=0,OR(H831=MappingTables!$C$31,H831=MappingTables!$C$32)),1,VLOOKUP(CONCATENATE($D831,$G831),CSRFinput!$B:$E,4,0))),0,IF(AND(VLOOKUP(CONCATENATE($D831,$G831),CSRFinput!$B:$E,4,0)=0,OR(H831=MappingTables!$C$31,H831=MappingTables!$C$32)),1,VLOOKUP(CONCATENATE($D831,$G831),CSRFinput!$B:$E,4,0)))</f>
        <v>0.054776304963434752</v>
      </c>
      <c r="S831" s="73">
        <f>IF(B831="",0,P831*R831)</f>
        <v>0.46280159028500992</v>
      </c>
      <c r="T831" s="85">
        <f>IF(B831="",0,IF(OR(H831=MappingTables!$C$34,H831=MappingTables!$C$35),S831,0))</f>
        <v>0</v>
      </c>
    </row>
    <row r="832" spans="2:20" s="0" customFormat="0" ht="15">
      <c r="B832" s="69" t="s">
        <v>3662</v>
      </c>
      <c r="C832" s="70" t="s">
        <v>3663</v>
      </c>
      <c r="D832" s="70" t="s">
        <v>1</v>
      </c>
      <c r="E832" s="70" t="s">
        <v>1</v>
      </c>
      <c r="F832" s="70"/>
      <c r="G832" s="70" t="s">
        <v>61</v>
      </c>
      <c r="H832" s="70" t="s">
        <v>178</v>
      </c>
      <c r="I832" s="70" t="s">
        <v>204</v>
      </c>
      <c r="J832" s="71">
        <f>IF(OR(I832=0,I832=""),"unrated",VLOOKUP(I832,MappingTables!$B$19:$C$31,2,FALSE))</f>
        <v>6</v>
      </c>
      <c r="K832" s="72">
        <v>274.60580472319304</v>
      </c>
      <c r="L832" s="70">
        <v>0.016135229925087394</v>
      </c>
      <c r="M832" s="71">
        <f>IF(L832&lt;1,1,L832)</f>
        <v>1</v>
      </c>
      <c r="N832" s="70" t="s">
        <v>3288</v>
      </c>
      <c r="O832" s="71">
        <f>IF(OR(I832=$A$1,I832=0),"",IF(N832=MappingTables!$C$14,VLOOKUP(J832,ModelParameters!$M$8:$N$15,2,FALSE),IF(N832=MappingTables!$C$16,VLOOKUP(J832,ModelParameters!$P$8:$Q$15,2,FALSE),0)))</f>
        <v>1</v>
      </c>
      <c r="P832" s="73">
        <f>IF(OR(I832=0,I832=$A$1),0,MIN(O832*M832,1)*K832)</f>
        <v>274.60580472319304</v>
      </c>
      <c r="Q832" s="73">
        <f>IF(B832="",0,IF(OR(H832=MappingTables!$C$34,H832=MappingTables!$C$35),P832,0))</f>
        <v>0</v>
      </c>
      <c r="R832" s="73">
        <f>IF(ISNA(IF(AND(VLOOKUP(CONCATENATE($D832,$G832),CSRFinput!$B:$E,4,0)=0,OR(H832=MappingTables!$C$31,H832=MappingTables!$C$32)),1,VLOOKUP(CONCATENATE($D832,$G832),CSRFinput!$B:$E,4,0))),0,IF(AND(VLOOKUP(CONCATENATE($D832,$G832),CSRFinput!$B:$E,4,0)=0,OR(H832=MappingTables!$C$31,H832=MappingTables!$C$32)),1,VLOOKUP(CONCATENATE($D832,$G832),CSRFinput!$B:$E,4,0)))</f>
        <v>0.054776304963434752</v>
      </c>
      <c r="S832" s="73">
        <f>IF(B832="",0,P832*R832)</f>
        <v>15.041891304247034</v>
      </c>
      <c r="T832" s="85">
        <f>IF(B832="",0,IF(OR(H832=MappingTables!$C$34,H832=MappingTables!$C$35),S832,0))</f>
        <v>0</v>
      </c>
    </row>
    <row r="833" spans="2:20" s="0" customFormat="0" ht="15">
      <c r="B833" s="69">
        <v>22554309</v>
      </c>
      <c r="C833" s="70" t="s">
        <v>4447</v>
      </c>
      <c r="D833" s="70" t="s">
        <v>1</v>
      </c>
      <c r="E833" s="70" t="s">
        <v>1</v>
      </c>
      <c r="F833" s="70"/>
      <c r="G833" s="70" t="s">
        <v>61</v>
      </c>
      <c r="H833" s="70" t="s">
        <v>178</v>
      </c>
      <c r="I833" s="70" t="s">
        <v>216</v>
      </c>
      <c r="J833" s="71">
        <f>IF(OR(I833=0,I833=""),"unrated",VLOOKUP(I833,MappingTables!$B$19:$C$31,2,FALSE))</f>
        <v>0</v>
      </c>
      <c r="K833" s="72">
        <v>698.75069389381064</v>
      </c>
      <c r="L833" s="70">
        <v>2.1463464544162796</v>
      </c>
      <c r="M833" s="71">
        <f>IF(L833&lt;1,1,L833)</f>
        <v>2.1463464544162796</v>
      </c>
      <c r="N833" s="70" t="s">
        <v>3288</v>
      </c>
      <c r="O833" s="71">
        <f>IF(OR(I833=$A$1,I833=0),"",IF(N833=MappingTables!$C$14,VLOOKUP(J833,ModelParameters!$M$8:$N$15,2,FALSE),IF(N833=MappingTables!$C$16,VLOOKUP(J833,ModelParameters!$P$8:$Q$15,2,FALSE),0)))</f>
        <v>0.125</v>
      </c>
      <c r="P833" s="73">
        <f>IF(OR(I833=0,I833=$A$1),0,MIN(O833*M833,1)*K833)</f>
        <v>187.47013429498692</v>
      </c>
      <c r="Q833" s="73">
        <f>IF(B833="",0,IF(OR(H833=MappingTables!$C$34,H833=MappingTables!$C$35),P833,0))</f>
        <v>0</v>
      </c>
      <c r="R833" s="73">
        <f>IF(ISNA(IF(AND(VLOOKUP(CONCATENATE($D833,$G833),CSRFinput!$B:$E,4,0)=0,OR(H833=MappingTables!$C$31,H833=MappingTables!$C$32)),1,VLOOKUP(CONCATENATE($D833,$G833),CSRFinput!$B:$E,4,0))),0,IF(AND(VLOOKUP(CONCATENATE($D833,$G833),CSRFinput!$B:$E,4,0)=0,OR(H833=MappingTables!$C$31,H833=MappingTables!$C$32)),1,VLOOKUP(CONCATENATE($D833,$G833),CSRFinput!$B:$E,4,0)))</f>
        <v>0.054776304963434752</v>
      </c>
      <c r="S833" s="73">
        <f>IF(B833="",0,P833*R833)</f>
        <v>10.268921247678274</v>
      </c>
      <c r="T833" s="85">
        <f>IF(B833="",0,IF(OR(H833=MappingTables!$C$34,H833=MappingTables!$C$35),S833,0))</f>
        <v>0</v>
      </c>
    </row>
    <row r="834" spans="2:20" s="0" customFormat="0" ht="15">
      <c r="B834" s="69">
        <v>22554511</v>
      </c>
      <c r="C834" s="70" t="s">
        <v>4448</v>
      </c>
      <c r="D834" s="70" t="s">
        <v>1</v>
      </c>
      <c r="E834" s="70" t="s">
        <v>1</v>
      </c>
      <c r="F834" s="70"/>
      <c r="G834" s="70" t="s">
        <v>61</v>
      </c>
      <c r="H834" s="70" t="s">
        <v>178</v>
      </c>
      <c r="I834" s="70" t="s">
        <v>216</v>
      </c>
      <c r="J834" s="71">
        <f>IF(OR(I834=0,I834=""),"unrated",VLOOKUP(I834,MappingTables!$B$19:$C$31,2,FALSE))</f>
        <v>0</v>
      </c>
      <c r="K834" s="72">
        <v>29.602432147230972</v>
      </c>
      <c r="L834" s="70">
        <v>0.027433806926695808</v>
      </c>
      <c r="M834" s="71">
        <f>IF(L834&lt;1,1,L834)</f>
        <v>1</v>
      </c>
      <c r="N834" s="70" t="s">
        <v>3288</v>
      </c>
      <c r="O834" s="71">
        <f>IF(OR(I834=$A$1,I834=0),"",IF(N834=MappingTables!$C$14,VLOOKUP(J834,ModelParameters!$M$8:$N$15,2,FALSE),IF(N834=MappingTables!$C$16,VLOOKUP(J834,ModelParameters!$P$8:$Q$15,2,FALSE),0)))</f>
        <v>0.125</v>
      </c>
      <c r="P834" s="73">
        <f>IF(OR(I834=0,I834=$A$1),0,MIN(O834*M834,1)*K834)</f>
        <v>3.7003040184038712</v>
      </c>
      <c r="Q834" s="73">
        <f>IF(B834="",0,IF(OR(H834=MappingTables!$C$34,H834=MappingTables!$C$35),P834,0))</f>
        <v>0</v>
      </c>
      <c r="R834" s="73">
        <f>IF(ISNA(IF(AND(VLOOKUP(CONCATENATE($D834,$G834),CSRFinput!$B:$E,4,0)=0,OR(H834=MappingTables!$C$31,H834=MappingTables!$C$32)),1,VLOOKUP(CONCATENATE($D834,$G834),CSRFinput!$B:$E,4,0))),0,IF(AND(VLOOKUP(CONCATENATE($D834,$G834),CSRFinput!$B:$E,4,0)=0,OR(H834=MappingTables!$C$31,H834=MappingTables!$C$32)),1,VLOOKUP(CONCATENATE($D834,$G834),CSRFinput!$B:$E,4,0)))</f>
        <v>0.054776304963434752</v>
      </c>
      <c r="S834" s="73">
        <f>IF(B834="",0,P834*R834)</f>
        <v>0.20268898136951356</v>
      </c>
      <c r="T834" s="85">
        <f>IF(B834="",0,IF(OR(H834=MappingTables!$C$34,H834=MappingTables!$C$35),S834,0))</f>
        <v>0</v>
      </c>
    </row>
    <row r="835" spans="2:20" s="0" customFormat="0" ht="15">
      <c r="B835" s="69" t="s">
        <v>4449</v>
      </c>
      <c r="C835" s="70" t="s">
        <v>4450</v>
      </c>
      <c r="D835" s="70" t="s">
        <v>1</v>
      </c>
      <c r="E835" s="70" t="s">
        <v>1</v>
      </c>
      <c r="F835" s="70"/>
      <c r="G835" s="70" t="s">
        <v>61</v>
      </c>
      <c r="H835" s="70" t="s">
        <v>178</v>
      </c>
      <c r="I835" s="70" t="s">
        <v>198</v>
      </c>
      <c r="J835" s="71" t="str">
        <f>IF(OR(I835=0,I835=""),"unrated",VLOOKUP(I835,MappingTables!$B$19:$C$31,2,FALSE))</f>
        <v>unrated</v>
      </c>
      <c r="K835" s="72">
        <v>33.506521930509244</v>
      </c>
      <c r="L835" s="70">
        <v>0.068494039156674304</v>
      </c>
      <c r="M835" s="71">
        <f>IF(L835&lt;1,1,L835)</f>
        <v>1</v>
      </c>
      <c r="N835" s="70" t="s">
        <v>3288</v>
      </c>
      <c r="O835" s="71">
        <f>IF(OR(I835=$A$1,I835=0),"",IF(N835=MappingTables!$C$14,VLOOKUP(J835,ModelParameters!$M$8:$N$15,2,FALSE),IF(N835=MappingTables!$C$16,VLOOKUP(J835,ModelParameters!$P$8:$Q$15,2,FALSE),0)))</f>
        <v>1</v>
      </c>
      <c r="P835" s="73">
        <f>IF(OR(I835=0,I835=$A$1),0,MIN(O835*M835,1)*K835)</f>
        <v>33.506521930509244</v>
      </c>
      <c r="Q835" s="73">
        <f>IF(B835="",0,IF(OR(H835=MappingTables!$C$34,H835=MappingTables!$C$35),P835,0))</f>
        <v>0</v>
      </c>
      <c r="R835" s="73">
        <f>IF(ISNA(IF(AND(VLOOKUP(CONCATENATE($D835,$G835),CSRFinput!$B:$E,4,0)=0,OR(H835=MappingTables!$C$31,H835=MappingTables!$C$32)),1,VLOOKUP(CONCATENATE($D835,$G835),CSRFinput!$B:$E,4,0))),0,IF(AND(VLOOKUP(CONCATENATE($D835,$G835),CSRFinput!$B:$E,4,0)=0,OR(H835=MappingTables!$C$31,H835=MappingTables!$C$32)),1,VLOOKUP(CONCATENATE($D835,$G835),CSRFinput!$B:$E,4,0)))</f>
        <v>0.054776304963434752</v>
      </c>
      <c r="S835" s="73">
        <f>IF(B835="",0,P835*R835)</f>
        <v>1.8353634635295892</v>
      </c>
      <c r="T835" s="85">
        <f>IF(B835="",0,IF(OR(H835=MappingTables!$C$34,H835=MappingTables!$C$35),S835,0))</f>
        <v>0</v>
      </c>
    </row>
    <row r="836" spans="2:20" s="0" customFormat="0" ht="15">
      <c r="B836" s="69" t="s">
        <v>4148</v>
      </c>
      <c r="C836" s="70" t="s">
        <v>4149</v>
      </c>
      <c r="D836" s="70" t="s">
        <v>1</v>
      </c>
      <c r="E836" s="70" t="s">
        <v>1</v>
      </c>
      <c r="F836" s="70"/>
      <c r="G836" s="70" t="s">
        <v>61</v>
      </c>
      <c r="H836" s="70" t="s">
        <v>178</v>
      </c>
      <c r="I836" s="70" t="s">
        <v>198</v>
      </c>
      <c r="J836" s="71" t="str">
        <f>IF(OR(I836=0,I836=""),"unrated",VLOOKUP(I836,MappingTables!$B$19:$C$31,2,FALSE))</f>
        <v>unrated</v>
      </c>
      <c r="K836" s="72">
        <v>411.83279239832448</v>
      </c>
      <c r="L836" s="70">
        <v>8.7864340719728848</v>
      </c>
      <c r="M836" s="71">
        <f>IF(L836&lt;1,1,L836)</f>
        <v>8.7864340719728848</v>
      </c>
      <c r="N836" s="70" t="s">
        <v>3288</v>
      </c>
      <c r="O836" s="71">
        <f>IF(OR(I836=$A$1,I836=0),"",IF(N836=MappingTables!$C$14,VLOOKUP(J836,ModelParameters!$M$8:$N$15,2,FALSE),IF(N836=MappingTables!$C$16,VLOOKUP(J836,ModelParameters!$P$8:$Q$15,2,FALSE),0)))</f>
        <v>1</v>
      </c>
      <c r="P836" s="73">
        <f>IF(OR(I836=0,I836=$A$1),0,MIN(O836*M836,1)*K836)</f>
        <v>411.83279239832448</v>
      </c>
      <c r="Q836" s="73">
        <f>IF(B836="",0,IF(OR(H836=MappingTables!$C$34,H836=MappingTables!$C$35),P836,0))</f>
        <v>0</v>
      </c>
      <c r="R836" s="73">
        <f>IF(ISNA(IF(AND(VLOOKUP(CONCATENATE($D836,$G836),CSRFinput!$B:$E,4,0)=0,OR(H836=MappingTables!$C$31,H836=MappingTables!$C$32)),1,VLOOKUP(CONCATENATE($D836,$G836),CSRFinput!$B:$E,4,0))),0,IF(AND(VLOOKUP(CONCATENATE($D836,$G836),CSRFinput!$B:$E,4,0)=0,OR(H836=MappingTables!$C$31,H836=MappingTables!$C$32)),1,VLOOKUP(CONCATENATE($D836,$G836),CSRFinput!$B:$E,4,0)))</f>
        <v>0.054776304963434752</v>
      </c>
      <c r="S836" s="73">
        <f>IF(B836="",0,P836*R836)</f>
        <v>22.558678630353532</v>
      </c>
      <c r="T836" s="85">
        <f>IF(B836="",0,IF(OR(H836=MappingTables!$C$34,H836=MappingTables!$C$35),S836,0))</f>
        <v>0</v>
      </c>
    </row>
    <row r="837" spans="2:20" s="0" customFormat="0" ht="15">
      <c r="B837" s="69" t="s">
        <v>4340</v>
      </c>
      <c r="C837" s="70" t="s">
        <v>4341</v>
      </c>
      <c r="D837" s="70" t="s">
        <v>1</v>
      </c>
      <c r="E837" s="70" t="s">
        <v>1</v>
      </c>
      <c r="F837" s="70"/>
      <c r="G837" s="70" t="s">
        <v>61</v>
      </c>
      <c r="H837" s="70" t="s">
        <v>178</v>
      </c>
      <c r="I837" s="70" t="s">
        <v>3298</v>
      </c>
      <c r="J837" s="71">
        <f>IF(OR(I837=0,I837=""),"unrated",VLOOKUP(I837,MappingTables!$B$19:$C$31,2,FALSE))</f>
        <v>6</v>
      </c>
      <c r="K837" s="72">
        <v>318.61966822891516</v>
      </c>
      <c r="L837" s="70">
        <v>0.317627501127468</v>
      </c>
      <c r="M837" s="71">
        <f>IF(L837&lt;1,1,L837)</f>
        <v>1</v>
      </c>
      <c r="N837" s="70" t="s">
        <v>3288</v>
      </c>
      <c r="O837" s="71">
        <f>IF(OR(I837=$A$1,I837=0),"",IF(N837=MappingTables!$C$14,VLOOKUP(J837,ModelParameters!$M$8:$N$15,2,FALSE),IF(N837=MappingTables!$C$16,VLOOKUP(J837,ModelParameters!$P$8:$Q$15,2,FALSE),0)))</f>
        <v>1</v>
      </c>
      <c r="P837" s="73">
        <f>IF(OR(I837=0,I837=$A$1),0,MIN(O837*M837,1)*K837)</f>
        <v>318.61966822891516</v>
      </c>
      <c r="Q837" s="73">
        <f>IF(B837="",0,IF(OR(H837=MappingTables!$C$34,H837=MappingTables!$C$35),P837,0))</f>
        <v>0</v>
      </c>
      <c r="R837" s="73">
        <f>IF(ISNA(IF(AND(VLOOKUP(CONCATENATE($D837,$G837),CSRFinput!$B:$E,4,0)=0,OR(H837=MappingTables!$C$31,H837=MappingTables!$C$32)),1,VLOOKUP(CONCATENATE($D837,$G837),CSRFinput!$B:$E,4,0))),0,IF(AND(VLOOKUP(CONCATENATE($D837,$G837),CSRFinput!$B:$E,4,0)=0,OR(H837=MappingTables!$C$31,H837=MappingTables!$C$32)),1,VLOOKUP(CONCATENATE($D837,$G837),CSRFinput!$B:$E,4,0)))</f>
        <v>0.054776304963434752</v>
      </c>
      <c r="S837" s="73">
        <f>IF(B837="",0,P837*R837)</f>
        <v>17.452808114255458</v>
      </c>
      <c r="T837" s="85">
        <f>IF(B837="",0,IF(OR(H837=MappingTables!$C$34,H837=MappingTables!$C$35),S837,0))</f>
        <v>0</v>
      </c>
    </row>
    <row r="838" spans="2:20" s="0" customFormat="0" ht="15">
      <c r="B838" s="69" t="s">
        <v>3984</v>
      </c>
      <c r="C838" s="70" t="s">
        <v>3985</v>
      </c>
      <c r="D838" s="70" t="s">
        <v>1</v>
      </c>
      <c r="E838" s="70" t="s">
        <v>1</v>
      </c>
      <c r="F838" s="70"/>
      <c r="G838" s="70" t="s">
        <v>61</v>
      </c>
      <c r="H838" s="70" t="s">
        <v>178</v>
      </c>
      <c r="I838" s="70" t="s">
        <v>179</v>
      </c>
      <c r="J838" s="71">
        <f>IF(OR(I838=0,I838=""),"unrated",VLOOKUP(I838,MappingTables!$B$19:$C$31,2,FALSE))</f>
        <v>4</v>
      </c>
      <c r="K838" s="72">
        <v>19.671265877169092</v>
      </c>
      <c r="L838" s="70">
        <v>0.068498474403650656</v>
      </c>
      <c r="M838" s="71">
        <f>IF(L838&lt;1,1,L838)</f>
        <v>1</v>
      </c>
      <c r="N838" s="70" t="s">
        <v>3288</v>
      </c>
      <c r="O838" s="71">
        <f>IF(OR(I838=$A$1,I838=0),"",IF(N838=MappingTables!$C$14,VLOOKUP(J838,ModelParameters!$M$8:$N$15,2,FALSE),IF(N838=MappingTables!$C$16,VLOOKUP(J838,ModelParameters!$P$8:$Q$15,2,FALSE),0)))</f>
        <v>0.82</v>
      </c>
      <c r="P838" s="73">
        <f>IF(OR(I838=0,I838=$A$1),0,MIN(O838*M838,1)*K838)</f>
        <v>16.130438019278654</v>
      </c>
      <c r="Q838" s="73">
        <f>IF(B838="",0,IF(OR(H838=MappingTables!$C$34,H838=MappingTables!$C$35),P838,0))</f>
        <v>0</v>
      </c>
      <c r="R838" s="73">
        <f>IF(ISNA(IF(AND(VLOOKUP(CONCATENATE($D838,$G838),CSRFinput!$B:$E,4,0)=0,OR(H838=MappingTables!$C$31,H838=MappingTables!$C$32)),1,VLOOKUP(CONCATENATE($D838,$G838),CSRFinput!$B:$E,4,0))),0,IF(AND(VLOOKUP(CONCATENATE($D838,$G838),CSRFinput!$B:$E,4,0)=0,OR(H838=MappingTables!$C$31,H838=MappingTables!$C$32)),1,VLOOKUP(CONCATENATE($D838,$G838),CSRFinput!$B:$E,4,0)))</f>
        <v>0.054776304963434752</v>
      </c>
      <c r="S838" s="73">
        <f>IF(B838="",0,P838*R838)</f>
        <v>0.88356579213778992</v>
      </c>
      <c r="T838" s="85">
        <f>IF(B838="",0,IF(OR(H838=MappingTables!$C$34,H838=MappingTables!$C$35),S838,0))</f>
        <v>0</v>
      </c>
    </row>
    <row r="839" spans="2:20" s="0" customFormat="0" ht="15">
      <c r="B839" s="69" t="s">
        <v>4451</v>
      </c>
      <c r="C839" s="70" t="s">
        <v>4452</v>
      </c>
      <c r="D839" s="70" t="s">
        <v>1</v>
      </c>
      <c r="E839" s="70" t="s">
        <v>1</v>
      </c>
      <c r="F839" s="70"/>
      <c r="G839" s="70" t="s">
        <v>61</v>
      </c>
      <c r="H839" s="70" t="s">
        <v>178</v>
      </c>
      <c r="I839" s="70" t="s">
        <v>216</v>
      </c>
      <c r="J839" s="71">
        <f>IF(OR(I839=0,I839=""),"unrated",VLOOKUP(I839,MappingTables!$B$19:$C$31,2,FALSE))</f>
        <v>0</v>
      </c>
      <c r="K839" s="72">
        <v>1.1001136924193116</v>
      </c>
      <c r="L839" s="70">
        <v>0.068490714565166408</v>
      </c>
      <c r="M839" s="71">
        <f>IF(L839&lt;1,1,L839)</f>
        <v>1</v>
      </c>
      <c r="N839" s="70" t="s">
        <v>3288</v>
      </c>
      <c r="O839" s="71">
        <f>IF(OR(I839=$A$1,I839=0),"",IF(N839=MappingTables!$C$14,VLOOKUP(J839,ModelParameters!$M$8:$N$15,2,FALSE),IF(N839=MappingTables!$C$16,VLOOKUP(J839,ModelParameters!$P$8:$Q$15,2,FALSE),0)))</f>
        <v>0.125</v>
      </c>
      <c r="P839" s="73">
        <f>IF(OR(I839=0,I839=$A$1),0,MIN(O839*M839,1)*K839)</f>
        <v>0.13751421155241394</v>
      </c>
      <c r="Q839" s="73">
        <f>IF(B839="",0,IF(OR(H839=MappingTables!$C$34,H839=MappingTables!$C$35),P839,0))</f>
        <v>0</v>
      </c>
      <c r="R839" s="73">
        <f>IF(ISNA(IF(AND(VLOOKUP(CONCATENATE($D839,$G839),CSRFinput!$B:$E,4,0)=0,OR(H839=MappingTables!$C$31,H839=MappingTables!$C$32)),1,VLOOKUP(CONCATENATE($D839,$G839),CSRFinput!$B:$E,4,0))),0,IF(AND(VLOOKUP(CONCATENATE($D839,$G839),CSRFinput!$B:$E,4,0)=0,OR(H839=MappingTables!$C$31,H839=MappingTables!$C$32)),1,VLOOKUP(CONCATENATE($D839,$G839),CSRFinput!$B:$E,4,0)))</f>
        <v>0.054776304963434752</v>
      </c>
      <c r="S839" s="73">
        <f>IF(B839="",0,P839*R839)</f>
        <v>0.0075325203888013088</v>
      </c>
      <c r="T839" s="85">
        <f>IF(B839="",0,IF(OR(H839=MappingTables!$C$34,H839=MappingTables!$C$35),S839,0))</f>
        <v>0</v>
      </c>
    </row>
    <row r="840" spans="2:20" s="0" customFormat="0" ht="15">
      <c r="B840" s="69" t="s">
        <v>4453</v>
      </c>
      <c r="C840" s="70" t="s">
        <v>4454</v>
      </c>
      <c r="D840" s="70" t="s">
        <v>1</v>
      </c>
      <c r="E840" s="70" t="s">
        <v>1</v>
      </c>
      <c r="F840" s="70"/>
      <c r="G840" s="70" t="s">
        <v>61</v>
      </c>
      <c r="H840" s="70" t="s">
        <v>178</v>
      </c>
      <c r="I840" s="70" t="s">
        <v>3298</v>
      </c>
      <c r="J840" s="71">
        <f>IF(OR(I840=0,I840=""),"unrated",VLOOKUP(I840,MappingTables!$B$19:$C$31,2,FALSE))</f>
        <v>6</v>
      </c>
      <c r="K840" s="72">
        <v>10.938840991794298</v>
      </c>
      <c r="L840" s="70">
        <v>0.068493696581925344</v>
      </c>
      <c r="M840" s="71">
        <f>IF(L840&lt;1,1,L840)</f>
        <v>1</v>
      </c>
      <c r="N840" s="70" t="s">
        <v>3288</v>
      </c>
      <c r="O840" s="71">
        <f>IF(OR(I840=$A$1,I840=0),"",IF(N840=MappingTables!$C$14,VLOOKUP(J840,ModelParameters!$M$8:$N$15,2,FALSE),IF(N840=MappingTables!$C$16,VLOOKUP(J840,ModelParameters!$P$8:$Q$15,2,FALSE),0)))</f>
        <v>1</v>
      </c>
      <c r="P840" s="73">
        <f>IF(OR(I840=0,I840=$A$1),0,MIN(O840*M840,1)*K840)</f>
        <v>10.938840991794298</v>
      </c>
      <c r="Q840" s="73">
        <f>IF(B840="",0,IF(OR(H840=MappingTables!$C$34,H840=MappingTables!$C$35),P840,0))</f>
        <v>0</v>
      </c>
      <c r="R840" s="73">
        <f>IF(ISNA(IF(AND(VLOOKUP(CONCATENATE($D840,$G840),CSRFinput!$B:$E,4,0)=0,OR(H840=MappingTables!$C$31,H840=MappingTables!$C$32)),1,VLOOKUP(CONCATENATE($D840,$G840),CSRFinput!$B:$E,4,0))),0,IF(AND(VLOOKUP(CONCATENATE($D840,$G840),CSRFinput!$B:$E,4,0)=0,OR(H840=MappingTables!$C$31,H840=MappingTables!$C$32)),1,VLOOKUP(CONCATENATE($D840,$G840),CSRFinput!$B:$E,4,0)))</f>
        <v>0.054776304963434752</v>
      </c>
      <c r="S840" s="73">
        <f>IF(B840="",0,P840*R840)</f>
        <v>0.59918929011304552</v>
      </c>
      <c r="T840" s="85">
        <f>IF(B840="",0,IF(OR(H840=MappingTables!$C$34,H840=MappingTables!$C$35),S840,0))</f>
        <v>0</v>
      </c>
    </row>
    <row r="841" spans="2:20" s="0" customFormat="0" ht="15">
      <c r="B841" s="69" t="s">
        <v>4455</v>
      </c>
      <c r="C841" s="70" t="s">
        <v>4456</v>
      </c>
      <c r="D841" s="70" t="s">
        <v>1</v>
      </c>
      <c r="E841" s="70" t="s">
        <v>1</v>
      </c>
      <c r="F841" s="70"/>
      <c r="G841" s="70" t="s">
        <v>61</v>
      </c>
      <c r="H841" s="70" t="s">
        <v>178</v>
      </c>
      <c r="I841" s="70" t="s">
        <v>198</v>
      </c>
      <c r="J841" s="71" t="str">
        <f>IF(OR(I841=0,I841=""),"unrated",VLOOKUP(I841,MappingTables!$B$19:$C$31,2,FALSE))</f>
        <v>unrated</v>
      </c>
      <c r="K841" s="72">
        <v>99.03085129814712</v>
      </c>
      <c r="L841" s="70">
        <v>0.073397386094857568</v>
      </c>
      <c r="M841" s="71">
        <f>IF(L841&lt;1,1,L841)</f>
        <v>1</v>
      </c>
      <c r="N841" s="70" t="s">
        <v>3288</v>
      </c>
      <c r="O841" s="71">
        <f>IF(OR(I841=$A$1,I841=0),"",IF(N841=MappingTables!$C$14,VLOOKUP(J841,ModelParameters!$M$8:$N$15,2,FALSE),IF(N841=MappingTables!$C$16,VLOOKUP(J841,ModelParameters!$P$8:$Q$15,2,FALSE),0)))</f>
        <v>1</v>
      </c>
      <c r="P841" s="73">
        <f>IF(OR(I841=0,I841=$A$1),0,MIN(O841*M841,1)*K841)</f>
        <v>99.03085129814712</v>
      </c>
      <c r="Q841" s="73">
        <f>IF(B841="",0,IF(OR(H841=MappingTables!$C$34,H841=MappingTables!$C$35),P841,0))</f>
        <v>0</v>
      </c>
      <c r="R841" s="73">
        <f>IF(ISNA(IF(AND(VLOOKUP(CONCATENATE($D841,$G841),CSRFinput!$B:$E,4,0)=0,OR(H841=MappingTables!$C$31,H841=MappingTables!$C$32)),1,VLOOKUP(CONCATENATE($D841,$G841),CSRFinput!$B:$E,4,0))),0,IF(AND(VLOOKUP(CONCATENATE($D841,$G841),CSRFinput!$B:$E,4,0)=0,OR(H841=MappingTables!$C$31,H841=MappingTables!$C$32)),1,VLOOKUP(CONCATENATE($D841,$G841),CSRFinput!$B:$E,4,0)))</f>
        <v>0.054776304963434752</v>
      </c>
      <c r="S841" s="73">
        <f>IF(B841="",0,P841*R841)</f>
        <v>5.4245441114958648</v>
      </c>
      <c r="T841" s="85">
        <f>IF(B841="",0,IF(OR(H841=MappingTables!$C$34,H841=MappingTables!$C$35),S841,0))</f>
        <v>0</v>
      </c>
    </row>
    <row r="842" spans="2:20" s="0" customFormat="0" ht="15">
      <c r="B842" s="69">
        <v>22554491</v>
      </c>
      <c r="C842" s="70" t="s">
        <v>4457</v>
      </c>
      <c r="D842" s="70" t="s">
        <v>1</v>
      </c>
      <c r="E842" s="70" t="s">
        <v>1</v>
      </c>
      <c r="F842" s="70"/>
      <c r="G842" s="70" t="s">
        <v>61</v>
      </c>
      <c r="H842" s="70" t="s">
        <v>178</v>
      </c>
      <c r="I842" s="70" t="s">
        <v>216</v>
      </c>
      <c r="J842" s="71">
        <f>IF(OR(I842=0,I842=""),"unrated",VLOOKUP(I842,MappingTables!$B$19:$C$31,2,FALSE))</f>
        <v>0</v>
      </c>
      <c r="K842" s="72">
        <v>330.38764615200484</v>
      </c>
      <c r="L842" s="70">
        <v>0.053585506135780368</v>
      </c>
      <c r="M842" s="71">
        <f>IF(L842&lt;1,1,L842)</f>
        <v>1</v>
      </c>
      <c r="N842" s="70" t="s">
        <v>3288</v>
      </c>
      <c r="O842" s="71">
        <f>IF(OR(I842=$A$1,I842=0),"",IF(N842=MappingTables!$C$14,VLOOKUP(J842,ModelParameters!$M$8:$N$15,2,FALSE),IF(N842=MappingTables!$C$16,VLOOKUP(J842,ModelParameters!$P$8:$Q$15,2,FALSE),0)))</f>
        <v>0.125</v>
      </c>
      <c r="P842" s="73">
        <f>IF(OR(I842=0,I842=$A$1),0,MIN(O842*M842,1)*K842)</f>
        <v>41.298455769000608</v>
      </c>
      <c r="Q842" s="73">
        <f>IF(B842="",0,IF(OR(H842=MappingTables!$C$34,H842=MappingTables!$C$35),P842,0))</f>
        <v>0</v>
      </c>
      <c r="R842" s="73">
        <f>IF(ISNA(IF(AND(VLOOKUP(CONCATENATE($D842,$G842),CSRFinput!$B:$E,4,0)=0,OR(H842=MappingTables!$C$31,H842=MappingTables!$C$32)),1,VLOOKUP(CONCATENATE($D842,$G842),CSRFinput!$B:$E,4,0))),0,IF(AND(VLOOKUP(CONCATENATE($D842,$G842),CSRFinput!$B:$E,4,0)=0,OR(H842=MappingTables!$C$31,H842=MappingTables!$C$32)),1,VLOOKUP(CONCATENATE($D842,$G842),CSRFinput!$B:$E,4,0)))</f>
        <v>0.054776304963434752</v>
      </c>
      <c r="S842" s="73">
        <f>IF(B842="",0,P842*R842)</f>
        <v>2.2621768077216988</v>
      </c>
      <c r="T842" s="85">
        <f>IF(B842="",0,IF(OR(H842=MappingTables!$C$34,H842=MappingTables!$C$35),S842,0))</f>
        <v>0</v>
      </c>
    </row>
    <row r="843" spans="2:20" s="0" customFormat="0" ht="15">
      <c r="B843" s="69" t="s">
        <v>4458</v>
      </c>
      <c r="C843" s="70" t="s">
        <v>4459</v>
      </c>
      <c r="D843" s="70" t="s">
        <v>1</v>
      </c>
      <c r="E843" s="70" t="s">
        <v>1</v>
      </c>
      <c r="F843" s="70"/>
      <c r="G843" s="70" t="s">
        <v>61</v>
      </c>
      <c r="H843" s="70" t="s">
        <v>178</v>
      </c>
      <c r="I843" s="70" t="s">
        <v>198</v>
      </c>
      <c r="J843" s="71" t="str">
        <f>IF(OR(I843=0,I843=""),"unrated",VLOOKUP(I843,MappingTables!$B$19:$C$31,2,FALSE))</f>
        <v>unrated</v>
      </c>
      <c r="K843" s="72">
        <v>14.836085014388304</v>
      </c>
      <c r="L843" s="70">
        <v>0.068492853861688576</v>
      </c>
      <c r="M843" s="71">
        <f>IF(L843&lt;1,1,L843)</f>
        <v>1</v>
      </c>
      <c r="N843" s="70" t="s">
        <v>3288</v>
      </c>
      <c r="O843" s="71">
        <f>IF(OR(I843=$A$1,I843=0),"",IF(N843=MappingTables!$C$14,VLOOKUP(J843,ModelParameters!$M$8:$N$15,2,FALSE),IF(N843=MappingTables!$C$16,VLOOKUP(J843,ModelParameters!$P$8:$Q$15,2,FALSE),0)))</f>
        <v>1</v>
      </c>
      <c r="P843" s="73">
        <f>IF(OR(I843=0,I843=$A$1),0,MIN(O843*M843,1)*K843)</f>
        <v>14.836085014388304</v>
      </c>
      <c r="Q843" s="73">
        <f>IF(B843="",0,IF(OR(H843=MappingTables!$C$34,H843=MappingTables!$C$35),P843,0))</f>
        <v>0</v>
      </c>
      <c r="R843" s="73">
        <f>IF(ISNA(IF(AND(VLOOKUP(CONCATENATE($D843,$G843),CSRFinput!$B:$E,4,0)=0,OR(H843=MappingTables!$C$31,H843=MappingTables!$C$32)),1,VLOOKUP(CONCATENATE($D843,$G843),CSRFinput!$B:$E,4,0))),0,IF(AND(VLOOKUP(CONCATENATE($D843,$G843),CSRFinput!$B:$E,4,0)=0,OR(H843=MappingTables!$C$31,H843=MappingTables!$C$32)),1,VLOOKUP(CONCATENATE($D843,$G843),CSRFinput!$B:$E,4,0)))</f>
        <v>0.054776304963434752</v>
      </c>
      <c r="S843" s="73">
        <f>IF(B843="",0,P843*R843)</f>
        <v>0.81266591721157808</v>
      </c>
      <c r="T843" s="85">
        <f>IF(B843="",0,IF(OR(H843=MappingTables!$C$34,H843=MappingTables!$C$35),S843,0))</f>
        <v>0</v>
      </c>
    </row>
    <row r="844" spans="2:20" s="0" customFormat="0" ht="15">
      <c r="B844" s="69">
        <v>22554314</v>
      </c>
      <c r="C844" s="70" t="s">
        <v>4460</v>
      </c>
      <c r="D844" s="70" t="s">
        <v>1</v>
      </c>
      <c r="E844" s="70" t="s">
        <v>1</v>
      </c>
      <c r="F844" s="70"/>
      <c r="G844" s="70" t="s">
        <v>61</v>
      </c>
      <c r="H844" s="70" t="s">
        <v>178</v>
      </c>
      <c r="I844" s="70" t="s">
        <v>216</v>
      </c>
      <c r="J844" s="71">
        <f>IF(OR(I844=0,I844=""),"unrated",VLOOKUP(I844,MappingTables!$B$19:$C$31,2,FALSE))</f>
        <v>0</v>
      </c>
      <c r="K844" s="72">
        <v>8.8601350827519056</v>
      </c>
      <c r="L844" s="70">
        <v>-0.01156324265560569</v>
      </c>
      <c r="M844" s="71">
        <f>IF(L844&lt;1,1,L844)</f>
        <v>1</v>
      </c>
      <c r="N844" s="70" t="s">
        <v>3288</v>
      </c>
      <c r="O844" s="71">
        <f>IF(OR(I844=$A$1,I844=0),"",IF(N844=MappingTables!$C$14,VLOOKUP(J844,ModelParameters!$M$8:$N$15,2,FALSE),IF(N844=MappingTables!$C$16,VLOOKUP(J844,ModelParameters!$P$8:$Q$15,2,FALSE),0)))</f>
        <v>0.125</v>
      </c>
      <c r="P844" s="73">
        <f>IF(OR(I844=0,I844=$A$1),0,MIN(O844*M844,1)*K844)</f>
        <v>1.1075168853439882</v>
      </c>
      <c r="Q844" s="73">
        <f>IF(B844="",0,IF(OR(H844=MappingTables!$C$34,H844=MappingTables!$C$35),P844,0))</f>
        <v>0</v>
      </c>
      <c r="R844" s="73">
        <f>IF(ISNA(IF(AND(VLOOKUP(CONCATENATE($D844,$G844),CSRFinput!$B:$E,4,0)=0,OR(H844=MappingTables!$C$31,H844=MappingTables!$C$32)),1,VLOOKUP(CONCATENATE($D844,$G844),CSRFinput!$B:$E,4,0))),0,IF(AND(VLOOKUP(CONCATENATE($D844,$G844),CSRFinput!$B:$E,4,0)=0,OR(H844=MappingTables!$C$31,H844=MappingTables!$C$32)),1,VLOOKUP(CONCATENATE($D844,$G844),CSRFinput!$B:$E,4,0)))</f>
        <v>0.054776304963434752</v>
      </c>
      <c r="S844" s="73">
        <f>IF(B844="",0,P844*R844)</f>
        <v>0.060665682663755704</v>
      </c>
      <c r="T844" s="85">
        <f>IF(B844="",0,IF(OR(H844=MappingTables!$C$34,H844=MappingTables!$C$35),S844,0))</f>
        <v>0</v>
      </c>
    </row>
    <row r="845" spans="2:20" s="0" customFormat="0" ht="15">
      <c r="B845" s="69">
        <v>3625199</v>
      </c>
      <c r="C845" s="70" t="s">
        <v>4049</v>
      </c>
      <c r="D845" s="70" t="s">
        <v>1</v>
      </c>
      <c r="E845" s="70" t="s">
        <v>1</v>
      </c>
      <c r="F845" s="70"/>
      <c r="G845" s="70" t="s">
        <v>61</v>
      </c>
      <c r="H845" s="70" t="s">
        <v>178</v>
      </c>
      <c r="I845" s="70" t="s">
        <v>181</v>
      </c>
      <c r="J845" s="71">
        <f>IF(OR(I845=0,I845=""),"unrated",VLOOKUP(I845,MappingTables!$B$19:$C$31,2,FALSE))</f>
        <v>3</v>
      </c>
      <c r="K845" s="72">
        <v>97.162695273873136</v>
      </c>
      <c r="L845" s="70">
        <v>9.8650769835634384</v>
      </c>
      <c r="M845" s="71">
        <f>IF(L845&lt;1,1,L845)</f>
        <v>9.8650769835634384</v>
      </c>
      <c r="N845" s="70" t="s">
        <v>3288</v>
      </c>
      <c r="O845" s="71">
        <f>IF(OR(I845=$A$1,I845=0),"",IF(N845=MappingTables!$C$14,VLOOKUP(J845,ModelParameters!$M$8:$N$15,2,FALSE),IF(N845=MappingTables!$C$16,VLOOKUP(J845,ModelParameters!$P$8:$Q$15,2,FALSE),0)))</f>
        <v>0.197</v>
      </c>
      <c r="P845" s="73">
        <f>IF(OR(I845=0,I845=$A$1),0,MIN(O845*M845,1)*K845)</f>
        <v>97.162695273873136</v>
      </c>
      <c r="Q845" s="73">
        <f>IF(B845="",0,IF(OR(H845=MappingTables!$C$34,H845=MappingTables!$C$35),P845,0))</f>
        <v>0</v>
      </c>
      <c r="R845" s="73">
        <f>IF(ISNA(IF(AND(VLOOKUP(CONCATENATE($D845,$G845),CSRFinput!$B:$E,4,0)=0,OR(H845=MappingTables!$C$31,H845=MappingTables!$C$32)),1,VLOOKUP(CONCATENATE($D845,$G845),CSRFinput!$B:$E,4,0))),0,IF(AND(VLOOKUP(CONCATENATE($D845,$G845),CSRFinput!$B:$E,4,0)=0,OR(H845=MappingTables!$C$31,H845=MappingTables!$C$32)),1,VLOOKUP(CONCATENATE($D845,$G845),CSRFinput!$B:$E,4,0)))</f>
        <v>0.054776304963434752</v>
      </c>
      <c r="S845" s="73">
        <f>IF(B845="",0,P845*R845)</f>
        <v>5.322213427390956</v>
      </c>
      <c r="T845" s="85">
        <f>IF(B845="",0,IF(OR(H845=MappingTables!$C$34,H845=MappingTables!$C$35),S845,0))</f>
        <v>0</v>
      </c>
    </row>
    <row r="846" spans="2:20" s="0" customFormat="0" ht="15">
      <c r="B846" s="69" t="s">
        <v>4461</v>
      </c>
      <c r="C846" s="70" t="s">
        <v>4462</v>
      </c>
      <c r="D846" s="70" t="s">
        <v>1</v>
      </c>
      <c r="E846" s="70" t="s">
        <v>1</v>
      </c>
      <c r="F846" s="70"/>
      <c r="G846" s="70" t="s">
        <v>61</v>
      </c>
      <c r="H846" s="70" t="s">
        <v>178</v>
      </c>
      <c r="I846" s="70" t="s">
        <v>198</v>
      </c>
      <c r="J846" s="71" t="str">
        <f>IF(OR(I846=0,I846=""),"unrated",VLOOKUP(I846,MappingTables!$B$19:$C$31,2,FALSE))</f>
        <v>unrated</v>
      </c>
      <c r="K846" s="72">
        <v>7.025231168327636</v>
      </c>
      <c r="L846" s="70">
        <v>30.413473516719008</v>
      </c>
      <c r="M846" s="71">
        <f>IF(L846&lt;1,1,L846)</f>
        <v>30.413473516719008</v>
      </c>
      <c r="N846" s="70" t="s">
        <v>3288</v>
      </c>
      <c r="O846" s="71">
        <f>IF(OR(I846=$A$1,I846=0),"",IF(N846=MappingTables!$C$14,VLOOKUP(J846,ModelParameters!$M$8:$N$15,2,FALSE),IF(N846=MappingTables!$C$16,VLOOKUP(J846,ModelParameters!$P$8:$Q$15,2,FALSE),0)))</f>
        <v>1</v>
      </c>
      <c r="P846" s="73">
        <f>IF(OR(I846=0,I846=$A$1),0,MIN(O846*M846,1)*K846)</f>
        <v>7.025231168327636</v>
      </c>
      <c r="Q846" s="73">
        <f>IF(B846="",0,IF(OR(H846=MappingTables!$C$34,H846=MappingTables!$C$35),P846,0))</f>
        <v>0</v>
      </c>
      <c r="R846" s="73">
        <f>IF(ISNA(IF(AND(VLOOKUP(CONCATENATE($D846,$G846),CSRFinput!$B:$E,4,0)=0,OR(H846=MappingTables!$C$31,H846=MappingTables!$C$32)),1,VLOOKUP(CONCATENATE($D846,$G846),CSRFinput!$B:$E,4,0))),0,IF(AND(VLOOKUP(CONCATENATE($D846,$G846),CSRFinput!$B:$E,4,0)=0,OR(H846=MappingTables!$C$31,H846=MappingTables!$C$32)),1,VLOOKUP(CONCATENATE($D846,$G846),CSRFinput!$B:$E,4,0)))</f>
        <v>0.054776304963434752</v>
      </c>
      <c r="S846" s="73">
        <f>IF(B846="",0,P846*R846)</f>
        <v>0.3848162049149416</v>
      </c>
      <c r="T846" s="85">
        <f>IF(B846="",0,IF(OR(H846=MappingTables!$C$34,H846=MappingTables!$C$35),S846,0))</f>
        <v>0</v>
      </c>
    </row>
    <row r="847" spans="2:20" s="0" customFormat="0" ht="15">
      <c r="B847" s="69">
        <v>22554592</v>
      </c>
      <c r="C847" s="70" t="s">
        <v>4463</v>
      </c>
      <c r="D847" s="70" t="s">
        <v>1</v>
      </c>
      <c r="E847" s="70" t="s">
        <v>1</v>
      </c>
      <c r="F847" s="70"/>
      <c r="G847" s="70" t="s">
        <v>61</v>
      </c>
      <c r="H847" s="70" t="s">
        <v>178</v>
      </c>
      <c r="I847" s="70" t="s">
        <v>204</v>
      </c>
      <c r="J847" s="71">
        <f>IF(OR(I847=0,I847=""),"unrated",VLOOKUP(I847,MappingTables!$B$19:$C$31,2,FALSE))</f>
        <v>6</v>
      </c>
      <c r="K847" s="72">
        <v>2391.9823501056348</v>
      </c>
      <c r="L847" s="70">
        <v>0.0250910175767806</v>
      </c>
      <c r="M847" s="71">
        <f>IF(L847&lt;1,1,L847)</f>
        <v>1</v>
      </c>
      <c r="N847" s="70" t="s">
        <v>3288</v>
      </c>
      <c r="O847" s="71">
        <f>IF(OR(I847=$A$1,I847=0),"",IF(N847=MappingTables!$C$14,VLOOKUP(J847,ModelParameters!$M$8:$N$15,2,FALSE),IF(N847=MappingTables!$C$16,VLOOKUP(J847,ModelParameters!$P$8:$Q$15,2,FALSE),0)))</f>
        <v>1</v>
      </c>
      <c r="P847" s="73">
        <f>IF(OR(I847=0,I847=$A$1),0,MIN(O847*M847,1)*K847)</f>
        <v>2391.9823501056348</v>
      </c>
      <c r="Q847" s="73">
        <f>IF(B847="",0,IF(OR(H847=MappingTables!$C$34,H847=MappingTables!$C$35),P847,0))</f>
        <v>0</v>
      </c>
      <c r="R847" s="73">
        <f>IF(ISNA(IF(AND(VLOOKUP(CONCATENATE($D847,$G847),CSRFinput!$B:$E,4,0)=0,OR(H847=MappingTables!$C$31,H847=MappingTables!$C$32)),1,VLOOKUP(CONCATENATE($D847,$G847),CSRFinput!$B:$E,4,0))),0,IF(AND(VLOOKUP(CONCATENATE($D847,$G847),CSRFinput!$B:$E,4,0)=0,OR(H847=MappingTables!$C$31,H847=MappingTables!$C$32)),1,VLOOKUP(CONCATENATE($D847,$G847),CSRFinput!$B:$E,4,0)))</f>
        <v>0.054776304963434752</v>
      </c>
      <c r="S847" s="73">
        <f>IF(B847="",0,P847*R847)</f>
        <v>131.0239546765396</v>
      </c>
      <c r="T847" s="85">
        <f>IF(B847="",0,IF(OR(H847=MappingTables!$C$34,H847=MappingTables!$C$35),S847,0))</f>
        <v>0</v>
      </c>
    </row>
    <row r="848" spans="2:20" s="0" customFormat="0" ht="15">
      <c r="B848" s="69" t="s">
        <v>4464</v>
      </c>
      <c r="C848" s="70" t="s">
        <v>4465</v>
      </c>
      <c r="D848" s="70" t="s">
        <v>1</v>
      </c>
      <c r="E848" s="70" t="s">
        <v>1</v>
      </c>
      <c r="F848" s="70"/>
      <c r="G848" s="70" t="s">
        <v>61</v>
      </c>
      <c r="H848" s="70" t="s">
        <v>178</v>
      </c>
      <c r="I848" s="70" t="s">
        <v>181</v>
      </c>
      <c r="J848" s="71">
        <f>IF(OR(I848=0,I848=""),"unrated",VLOOKUP(I848,MappingTables!$B$19:$C$31,2,FALSE))</f>
        <v>3</v>
      </c>
      <c r="K848" s="72">
        <v>223.32010330431228</v>
      </c>
      <c r="L848" s="70">
        <v>0.06849171274192928</v>
      </c>
      <c r="M848" s="71">
        <f>IF(L848&lt;1,1,L848)</f>
        <v>1</v>
      </c>
      <c r="N848" s="70" t="s">
        <v>3288</v>
      </c>
      <c r="O848" s="71">
        <f>IF(OR(I848=$A$1,I848=0),"",IF(N848=MappingTables!$C$14,VLOOKUP(J848,ModelParameters!$M$8:$N$15,2,FALSE),IF(N848=MappingTables!$C$16,VLOOKUP(J848,ModelParameters!$P$8:$Q$15,2,FALSE),0)))</f>
        <v>0.197</v>
      </c>
      <c r="P848" s="73">
        <f>IF(OR(I848=0,I848=$A$1),0,MIN(O848*M848,1)*K848)</f>
        <v>43.99406035094952</v>
      </c>
      <c r="Q848" s="73">
        <f>IF(B848="",0,IF(OR(H848=MappingTables!$C$34,H848=MappingTables!$C$35),P848,0))</f>
        <v>0</v>
      </c>
      <c r="R848" s="73">
        <f>IF(ISNA(IF(AND(VLOOKUP(CONCATENATE($D848,$G848),CSRFinput!$B:$E,4,0)=0,OR(H848=MappingTables!$C$31,H848=MappingTables!$C$32)),1,VLOOKUP(CONCATENATE($D848,$G848),CSRFinput!$B:$E,4,0))),0,IF(AND(VLOOKUP(CONCATENATE($D848,$G848),CSRFinput!$B:$E,4,0)=0,OR(H848=MappingTables!$C$31,H848=MappingTables!$C$32)),1,VLOOKUP(CONCATENATE($D848,$G848),CSRFinput!$B:$E,4,0)))</f>
        <v>0.054776304963434752</v>
      </c>
      <c r="S848" s="73">
        <f>IF(B848="",0,P848*R848)</f>
        <v>2.4098320663633644</v>
      </c>
      <c r="T848" s="85">
        <f>IF(B848="",0,IF(OR(H848=MappingTables!$C$34,H848=MappingTables!$C$35),S848,0))</f>
        <v>0</v>
      </c>
    </row>
    <row r="849" spans="2:20" s="0" customFormat="0" ht="15">
      <c r="B849" s="69" t="s">
        <v>4466</v>
      </c>
      <c r="C849" s="70" t="s">
        <v>4467</v>
      </c>
      <c r="D849" s="70" t="s">
        <v>1</v>
      </c>
      <c r="E849" s="70" t="s">
        <v>1</v>
      </c>
      <c r="F849" s="70"/>
      <c r="G849" s="70" t="s">
        <v>61</v>
      </c>
      <c r="H849" s="70" t="s">
        <v>178</v>
      </c>
      <c r="I849" s="70" t="s">
        <v>184</v>
      </c>
      <c r="J849" s="71">
        <f>IF(OR(I849=0,I849=""),"unrated",VLOOKUP(I849,MappingTables!$B$19:$C$31,2,FALSE))</f>
        <v>5</v>
      </c>
      <c r="K849" s="72">
        <v>504.41218105466904</v>
      </c>
      <c r="L849" s="70">
        <v>0.045352354137962672</v>
      </c>
      <c r="M849" s="71">
        <f>IF(L849&lt;1,1,L849)</f>
        <v>1</v>
      </c>
      <c r="N849" s="70" t="s">
        <v>3288</v>
      </c>
      <c r="O849" s="71">
        <f>IF(OR(I849=$A$1,I849=0),"",IF(N849=MappingTables!$C$14,VLOOKUP(J849,ModelParameters!$M$8:$N$15,2,FALSE),IF(N849=MappingTables!$C$16,VLOOKUP(J849,ModelParameters!$P$8:$Q$15,2,FALSE),0)))</f>
        <v>1</v>
      </c>
      <c r="P849" s="73">
        <f>IF(OR(I849=0,I849=$A$1),0,MIN(O849*M849,1)*K849)</f>
        <v>504.41218105466904</v>
      </c>
      <c r="Q849" s="73">
        <f>IF(B849="",0,IF(OR(H849=MappingTables!$C$34,H849=MappingTables!$C$35),P849,0))</f>
        <v>0</v>
      </c>
      <c r="R849" s="73">
        <f>IF(ISNA(IF(AND(VLOOKUP(CONCATENATE($D849,$G849),CSRFinput!$B:$E,4,0)=0,OR(H849=MappingTables!$C$31,H849=MappingTables!$C$32)),1,VLOOKUP(CONCATENATE($D849,$G849),CSRFinput!$B:$E,4,0))),0,IF(AND(VLOOKUP(CONCATENATE($D849,$G849),CSRFinput!$B:$E,4,0)=0,OR(H849=MappingTables!$C$31,H849=MappingTables!$C$32)),1,VLOOKUP(CONCATENATE($D849,$G849),CSRFinput!$B:$E,4,0)))</f>
        <v>0.054776304963434752</v>
      </c>
      <c r="S849" s="73">
        <f>IF(B849="",0,P849*R849)</f>
        <v>27.629835456721816</v>
      </c>
      <c r="T849" s="85">
        <f>IF(B849="",0,IF(OR(H849=MappingTables!$C$34,H849=MappingTables!$C$35),S849,0))</f>
        <v>0</v>
      </c>
    </row>
    <row r="850" spans="2:20" s="0" customFormat="0" ht="15">
      <c r="B850" s="69">
        <v>22554359</v>
      </c>
      <c r="C850" s="70" t="s">
        <v>4468</v>
      </c>
      <c r="D850" s="70" t="s">
        <v>1</v>
      </c>
      <c r="E850" s="70" t="s">
        <v>1</v>
      </c>
      <c r="F850" s="70"/>
      <c r="G850" s="70" t="s">
        <v>61</v>
      </c>
      <c r="H850" s="70" t="s">
        <v>178</v>
      </c>
      <c r="I850" s="70" t="s">
        <v>216</v>
      </c>
      <c r="J850" s="71">
        <f>IF(OR(I850=0,I850=""),"unrated",VLOOKUP(I850,MappingTables!$B$19:$C$31,2,FALSE))</f>
        <v>0</v>
      </c>
      <c r="K850" s="72">
        <v>0.82552487587534704</v>
      </c>
      <c r="L850" s="70">
        <v>0.04845005336751744</v>
      </c>
      <c r="M850" s="71">
        <f>IF(L850&lt;1,1,L850)</f>
        <v>1</v>
      </c>
      <c r="N850" s="70" t="s">
        <v>3288</v>
      </c>
      <c r="O850" s="71">
        <f>IF(OR(I850=$A$1,I850=0),"",IF(N850=MappingTables!$C$14,VLOOKUP(J850,ModelParameters!$M$8:$N$15,2,FALSE),IF(N850=MappingTables!$C$16,VLOOKUP(J850,ModelParameters!$P$8:$Q$15,2,FALSE),0)))</f>
        <v>0.125</v>
      </c>
      <c r="P850" s="73">
        <f>IF(OR(I850=0,I850=$A$1),0,MIN(O850*M850,1)*K850)</f>
        <v>0.10319060948441838</v>
      </c>
      <c r="Q850" s="73">
        <f>IF(B850="",0,IF(OR(H850=MappingTables!$C$34,H850=MappingTables!$C$35),P850,0))</f>
        <v>0</v>
      </c>
      <c r="R850" s="73">
        <f>IF(ISNA(IF(AND(VLOOKUP(CONCATENATE($D850,$G850),CSRFinput!$B:$E,4,0)=0,OR(H850=MappingTables!$C$31,H850=MappingTables!$C$32)),1,VLOOKUP(CONCATENATE($D850,$G850),CSRFinput!$B:$E,4,0))),0,IF(AND(VLOOKUP(CONCATENATE($D850,$G850),CSRFinput!$B:$E,4,0)=0,OR(H850=MappingTables!$C$31,H850=MappingTables!$C$32)),1,VLOOKUP(CONCATENATE($D850,$G850),CSRFinput!$B:$E,4,0)))</f>
        <v>0.054776304963434752</v>
      </c>
      <c r="S850" s="73">
        <f>IF(B850="",0,P850*R850)</f>
        <v>0.005652400294481204</v>
      </c>
      <c r="T850" s="85">
        <f>IF(B850="",0,IF(OR(H850=MappingTables!$C$34,H850=MappingTables!$C$35),S850,0))</f>
        <v>0</v>
      </c>
    </row>
    <row r="851" spans="2:20" s="0" customFormat="0" ht="15">
      <c r="B851" s="69" t="s">
        <v>4469</v>
      </c>
      <c r="C851" s="70" t="s">
        <v>4470</v>
      </c>
      <c r="D851" s="70" t="s">
        <v>1</v>
      </c>
      <c r="E851" s="70" t="s">
        <v>1</v>
      </c>
      <c r="F851" s="70"/>
      <c r="G851" s="70" t="s">
        <v>61</v>
      </c>
      <c r="H851" s="70" t="s">
        <v>178</v>
      </c>
      <c r="I851" s="70" t="s">
        <v>181</v>
      </c>
      <c r="J851" s="71">
        <f>IF(OR(I851=0,I851=""),"unrated",VLOOKUP(I851,MappingTables!$B$19:$C$31,2,FALSE))</f>
        <v>3</v>
      </c>
      <c r="K851" s="72">
        <v>26.04463597574394</v>
      </c>
      <c r="L851" s="70">
        <v>0.068493450807792688</v>
      </c>
      <c r="M851" s="71">
        <f>IF(L851&lt;1,1,L851)</f>
        <v>1</v>
      </c>
      <c r="N851" s="70" t="s">
        <v>3288</v>
      </c>
      <c r="O851" s="71">
        <f>IF(OR(I851=$A$1,I851=0),"",IF(N851=MappingTables!$C$14,VLOOKUP(J851,ModelParameters!$M$8:$N$15,2,FALSE),IF(N851=MappingTables!$C$16,VLOOKUP(J851,ModelParameters!$P$8:$Q$15,2,FALSE),0)))</f>
        <v>0.197</v>
      </c>
      <c r="P851" s="73">
        <f>IF(OR(I851=0,I851=$A$1),0,MIN(O851*M851,1)*K851)</f>
        <v>5.1307932872215552</v>
      </c>
      <c r="Q851" s="73">
        <f>IF(B851="",0,IF(OR(H851=MappingTables!$C$34,H851=MappingTables!$C$35),P851,0))</f>
        <v>0</v>
      </c>
      <c r="R851" s="73">
        <f>IF(ISNA(IF(AND(VLOOKUP(CONCATENATE($D851,$G851),CSRFinput!$B:$E,4,0)=0,OR(H851=MappingTables!$C$31,H851=MappingTables!$C$32)),1,VLOOKUP(CONCATENATE($D851,$G851),CSRFinput!$B:$E,4,0))),0,IF(AND(VLOOKUP(CONCATENATE($D851,$G851),CSRFinput!$B:$E,4,0)=0,OR(H851=MappingTables!$C$31,H851=MappingTables!$C$32)),1,VLOOKUP(CONCATENATE($D851,$G851),CSRFinput!$B:$E,4,0)))</f>
        <v>0.054776304963434752</v>
      </c>
      <c r="S851" s="73">
        <f>IF(B851="",0,P851*R851)</f>
        <v>0.2810458978051918</v>
      </c>
      <c r="T851" s="85">
        <f>IF(B851="",0,IF(OR(H851=MappingTables!$C$34,H851=MappingTables!$C$35),S851,0))</f>
        <v>0</v>
      </c>
    </row>
    <row r="852" spans="2:20" s="0" customFormat="0" ht="15">
      <c r="B852" s="69" t="s">
        <v>4471</v>
      </c>
      <c r="C852" s="70" t="s">
        <v>4472</v>
      </c>
      <c r="D852" s="70" t="s">
        <v>1</v>
      </c>
      <c r="E852" s="70" t="s">
        <v>1</v>
      </c>
      <c r="F852" s="70"/>
      <c r="G852" s="70" t="s">
        <v>61</v>
      </c>
      <c r="H852" s="70" t="s">
        <v>178</v>
      </c>
      <c r="I852" s="70" t="s">
        <v>3298</v>
      </c>
      <c r="J852" s="71">
        <f>IF(OR(I852=0,I852=""),"unrated",VLOOKUP(I852,MappingTables!$B$19:$C$31,2,FALSE))</f>
        <v>6</v>
      </c>
      <c r="K852" s="72">
        <v>4238.6286936495296</v>
      </c>
      <c r="L852" s="70">
        <v>0.068492333076464784</v>
      </c>
      <c r="M852" s="71">
        <f>IF(L852&lt;1,1,L852)</f>
        <v>1</v>
      </c>
      <c r="N852" s="70" t="s">
        <v>3288</v>
      </c>
      <c r="O852" s="71">
        <f>IF(OR(I852=$A$1,I852=0),"",IF(N852=MappingTables!$C$14,VLOOKUP(J852,ModelParameters!$M$8:$N$15,2,FALSE),IF(N852=MappingTables!$C$16,VLOOKUP(J852,ModelParameters!$P$8:$Q$15,2,FALSE),0)))</f>
        <v>1</v>
      </c>
      <c r="P852" s="73">
        <f>IF(OR(I852=0,I852=$A$1),0,MIN(O852*M852,1)*K852)</f>
        <v>4238.6286936495296</v>
      </c>
      <c r="Q852" s="73">
        <f>IF(B852="",0,IF(OR(H852=MappingTables!$C$34,H852=MappingTables!$C$35),P852,0))</f>
        <v>0</v>
      </c>
      <c r="R852" s="73">
        <f>IF(ISNA(IF(AND(VLOOKUP(CONCATENATE($D852,$G852),CSRFinput!$B:$E,4,0)=0,OR(H852=MappingTables!$C$31,H852=MappingTables!$C$32)),1,VLOOKUP(CONCATENATE($D852,$G852),CSRFinput!$B:$E,4,0))),0,IF(AND(VLOOKUP(CONCATENATE($D852,$G852),CSRFinput!$B:$E,4,0)=0,OR(H852=MappingTables!$C$31,H852=MappingTables!$C$32)),1,VLOOKUP(CONCATENATE($D852,$G852),CSRFinput!$B:$E,4,0)))</f>
        <v>0.054776304963434752</v>
      </c>
      <c r="S852" s="73">
        <f>IF(B852="",0,P852*R852)</f>
        <v>232.17641795011168</v>
      </c>
      <c r="T852" s="85">
        <f>IF(B852="",0,IF(OR(H852=MappingTables!$C$34,H852=MappingTables!$C$35),S852,0))</f>
        <v>0</v>
      </c>
    </row>
    <row r="853" spans="2:20" s="0" customFormat="0" ht="15">
      <c r="B853" s="69" t="s">
        <v>4473</v>
      </c>
      <c r="C853" s="70" t="s">
        <v>4474</v>
      </c>
      <c r="D853" s="70" t="s">
        <v>1</v>
      </c>
      <c r="E853" s="70" t="s">
        <v>1</v>
      </c>
      <c r="F853" s="70"/>
      <c r="G853" s="70" t="s">
        <v>61</v>
      </c>
      <c r="H853" s="70" t="s">
        <v>178</v>
      </c>
      <c r="I853" s="70" t="s">
        <v>198</v>
      </c>
      <c r="J853" s="71" t="str">
        <f>IF(OR(I853=0,I853=""),"unrated",VLOOKUP(I853,MappingTables!$B$19:$C$31,2,FALSE))</f>
        <v>unrated</v>
      </c>
      <c r="K853" s="72">
        <v>222.59267801003252</v>
      </c>
      <c r="L853" s="70">
        <v>0.06849397334879212</v>
      </c>
      <c r="M853" s="71">
        <f>IF(L853&lt;1,1,L853)</f>
        <v>1</v>
      </c>
      <c r="N853" s="70" t="s">
        <v>3288</v>
      </c>
      <c r="O853" s="71">
        <f>IF(OR(I853=$A$1,I853=0),"",IF(N853=MappingTables!$C$14,VLOOKUP(J853,ModelParameters!$M$8:$N$15,2,FALSE),IF(N853=MappingTables!$C$16,VLOOKUP(J853,ModelParameters!$P$8:$Q$15,2,FALSE),0)))</f>
        <v>1</v>
      </c>
      <c r="P853" s="73">
        <f>IF(OR(I853=0,I853=$A$1),0,MIN(O853*M853,1)*K853)</f>
        <v>222.59267801003252</v>
      </c>
      <c r="Q853" s="73">
        <f>IF(B853="",0,IF(OR(H853=MappingTables!$C$34,H853=MappingTables!$C$35),P853,0))</f>
        <v>0</v>
      </c>
      <c r="R853" s="73">
        <f>IF(ISNA(IF(AND(VLOOKUP(CONCATENATE($D853,$G853),CSRFinput!$B:$E,4,0)=0,OR(H853=MappingTables!$C$31,H853=MappingTables!$C$32)),1,VLOOKUP(CONCATENATE($D853,$G853),CSRFinput!$B:$E,4,0))),0,IF(AND(VLOOKUP(CONCATENATE($D853,$G853),CSRFinput!$B:$E,4,0)=0,OR(H853=MappingTables!$C$31,H853=MappingTables!$C$32)),1,VLOOKUP(CONCATENATE($D853,$G853),CSRFinput!$B:$E,4,0)))</f>
        <v>0.054776304963434752</v>
      </c>
      <c r="S853" s="73">
        <f>IF(B853="",0,P853*R853)</f>
        <v>12.192804413305178</v>
      </c>
      <c r="T853" s="85">
        <f>IF(B853="",0,IF(OR(H853=MappingTables!$C$34,H853=MappingTables!$C$35),S853,0))</f>
        <v>0</v>
      </c>
    </row>
    <row r="854" spans="2:20" s="0" customFormat="0" ht="15">
      <c r="B854" s="69" t="s">
        <v>4453</v>
      </c>
      <c r="C854" s="70" t="s">
        <v>4454</v>
      </c>
      <c r="D854" s="70" t="s">
        <v>1</v>
      </c>
      <c r="E854" s="70" t="s">
        <v>1</v>
      </c>
      <c r="F854" s="70"/>
      <c r="G854" s="70" t="s">
        <v>61</v>
      </c>
      <c r="H854" s="70" t="s">
        <v>178</v>
      </c>
      <c r="I854" s="70" t="s">
        <v>3298</v>
      </c>
      <c r="J854" s="71">
        <f>IF(OR(I854=0,I854=""),"unrated",VLOOKUP(I854,MappingTables!$B$19:$C$31,2,FALSE))</f>
        <v>6</v>
      </c>
      <c r="K854" s="72">
        <v>5.1572324148671168</v>
      </c>
      <c r="L854" s="70">
        <v>0.0684936965819318</v>
      </c>
      <c r="M854" s="71">
        <f>IF(L854&lt;1,1,L854)</f>
        <v>1</v>
      </c>
      <c r="N854" s="70" t="s">
        <v>3288</v>
      </c>
      <c r="O854" s="71">
        <f>IF(OR(I854=$A$1,I854=0),"",IF(N854=MappingTables!$C$14,VLOOKUP(J854,ModelParameters!$M$8:$N$15,2,FALSE),IF(N854=MappingTables!$C$16,VLOOKUP(J854,ModelParameters!$P$8:$Q$15,2,FALSE),0)))</f>
        <v>1</v>
      </c>
      <c r="P854" s="73">
        <f>IF(OR(I854=0,I854=$A$1),0,MIN(O854*M854,1)*K854)</f>
        <v>5.1572324148671168</v>
      </c>
      <c r="Q854" s="73">
        <f>IF(B854="",0,IF(OR(H854=MappingTables!$C$34,H854=MappingTables!$C$35),P854,0))</f>
        <v>0</v>
      </c>
      <c r="R854" s="73">
        <f>IF(ISNA(IF(AND(VLOOKUP(CONCATENATE($D854,$G854),CSRFinput!$B:$E,4,0)=0,OR(H854=MappingTables!$C$31,H854=MappingTables!$C$32)),1,VLOOKUP(CONCATENATE($D854,$G854),CSRFinput!$B:$E,4,0))),0,IF(AND(VLOOKUP(CONCATENATE($D854,$G854),CSRFinput!$B:$E,4,0)=0,OR(H854=MappingTables!$C$31,H854=MappingTables!$C$32)),1,VLOOKUP(CONCATENATE($D854,$G854),CSRFinput!$B:$E,4,0)))</f>
        <v>0.054776304963434752</v>
      </c>
      <c r="S854" s="73">
        <f>IF(B854="",0,P854*R854)</f>
        <v>0.28249413552407228</v>
      </c>
      <c r="T854" s="85">
        <f>IF(B854="",0,IF(OR(H854=MappingTables!$C$34,H854=MappingTables!$C$35),S854,0))</f>
        <v>0</v>
      </c>
    </row>
    <row r="855" spans="2:20" s="0" customFormat="0" ht="15">
      <c r="B855" s="69" t="s">
        <v>4039</v>
      </c>
      <c r="C855" s="70" t="s">
        <v>4040</v>
      </c>
      <c r="D855" s="70" t="s">
        <v>1</v>
      </c>
      <c r="E855" s="70" t="s">
        <v>1</v>
      </c>
      <c r="F855" s="70"/>
      <c r="G855" s="70" t="s">
        <v>61</v>
      </c>
      <c r="H855" s="70" t="s">
        <v>178</v>
      </c>
      <c r="I855" s="70" t="s">
        <v>198</v>
      </c>
      <c r="J855" s="71" t="str">
        <f>IF(OR(I855=0,I855=""),"unrated",VLOOKUP(I855,MappingTables!$B$19:$C$31,2,FALSE))</f>
        <v>unrated</v>
      </c>
      <c r="K855" s="72">
        <v>5.0556691486036544</v>
      </c>
      <c r="L855" s="70">
        <v>0.069864581761546184</v>
      </c>
      <c r="M855" s="71">
        <f>IF(L855&lt;1,1,L855)</f>
        <v>1</v>
      </c>
      <c r="N855" s="70" t="s">
        <v>3288</v>
      </c>
      <c r="O855" s="71">
        <f>IF(OR(I855=$A$1,I855=0),"",IF(N855=MappingTables!$C$14,VLOOKUP(J855,ModelParameters!$M$8:$N$15,2,FALSE),IF(N855=MappingTables!$C$16,VLOOKUP(J855,ModelParameters!$P$8:$Q$15,2,FALSE),0)))</f>
        <v>1</v>
      </c>
      <c r="P855" s="73">
        <f>IF(OR(I855=0,I855=$A$1),0,MIN(O855*M855,1)*K855)</f>
        <v>5.0556691486036544</v>
      </c>
      <c r="Q855" s="73">
        <f>IF(B855="",0,IF(OR(H855=MappingTables!$C$34,H855=MappingTables!$C$35),P855,0))</f>
        <v>0</v>
      </c>
      <c r="R855" s="73">
        <f>IF(ISNA(IF(AND(VLOOKUP(CONCATENATE($D855,$G855),CSRFinput!$B:$E,4,0)=0,OR(H855=MappingTables!$C$31,H855=MappingTables!$C$32)),1,VLOOKUP(CONCATENATE($D855,$G855),CSRFinput!$B:$E,4,0))),0,IF(AND(VLOOKUP(CONCATENATE($D855,$G855),CSRFinput!$B:$E,4,0)=0,OR(H855=MappingTables!$C$31,H855=MappingTables!$C$32)),1,VLOOKUP(CONCATENATE($D855,$G855),CSRFinput!$B:$E,4,0)))</f>
        <v>0.054776304963434752</v>
      </c>
      <c r="S855" s="73">
        <f>IF(B855="",0,P855*R855)</f>
        <v>0.27693087507814236</v>
      </c>
      <c r="T855" s="85">
        <f>IF(B855="",0,IF(OR(H855=MappingTables!$C$34,H855=MappingTables!$C$35),S855,0))</f>
        <v>0</v>
      </c>
    </row>
    <row r="856" spans="2:20" s="0" customFormat="0" ht="15">
      <c r="B856" s="69" t="s">
        <v>4475</v>
      </c>
      <c r="C856" s="70" t="s">
        <v>4476</v>
      </c>
      <c r="D856" s="70" t="s">
        <v>1</v>
      </c>
      <c r="E856" s="70" t="s">
        <v>1</v>
      </c>
      <c r="F856" s="70"/>
      <c r="G856" s="70" t="s">
        <v>61</v>
      </c>
      <c r="H856" s="70" t="s">
        <v>178</v>
      </c>
      <c r="I856" s="70" t="s">
        <v>216</v>
      </c>
      <c r="J856" s="71">
        <f>IF(OR(I856=0,I856=""),"unrated",VLOOKUP(I856,MappingTables!$B$19:$C$31,2,FALSE))</f>
        <v>0</v>
      </c>
      <c r="K856" s="72">
        <v>232.27541344725316</v>
      </c>
      <c r="L856" s="70">
        <v>0.054794880891424048</v>
      </c>
      <c r="M856" s="71">
        <f>IF(L856&lt;1,1,L856)</f>
        <v>1</v>
      </c>
      <c r="N856" s="70" t="s">
        <v>3288</v>
      </c>
      <c r="O856" s="71">
        <f>IF(OR(I856=$A$1,I856=0),"",IF(N856=MappingTables!$C$14,VLOOKUP(J856,ModelParameters!$M$8:$N$15,2,FALSE),IF(N856=MappingTables!$C$16,VLOOKUP(J856,ModelParameters!$P$8:$Q$15,2,FALSE),0)))</f>
        <v>0.125</v>
      </c>
      <c r="P856" s="73">
        <f>IF(OR(I856=0,I856=$A$1),0,MIN(O856*M856,1)*K856)</f>
        <v>29.034426680906644</v>
      </c>
      <c r="Q856" s="73">
        <f>IF(B856="",0,IF(OR(H856=MappingTables!$C$34,H856=MappingTables!$C$35),P856,0))</f>
        <v>0</v>
      </c>
      <c r="R856" s="73">
        <f>IF(ISNA(IF(AND(VLOOKUP(CONCATENATE($D856,$G856),CSRFinput!$B:$E,4,0)=0,OR(H856=MappingTables!$C$31,H856=MappingTables!$C$32)),1,VLOOKUP(CONCATENATE($D856,$G856),CSRFinput!$B:$E,4,0))),0,IF(AND(VLOOKUP(CONCATENATE($D856,$G856),CSRFinput!$B:$E,4,0)=0,OR(H856=MappingTables!$C$31,H856=MappingTables!$C$32)),1,VLOOKUP(CONCATENATE($D856,$G856),CSRFinput!$B:$E,4,0)))</f>
        <v>0.054776304963434752</v>
      </c>
      <c r="S856" s="73">
        <f>IF(B856="",0,P856*R856)</f>
        <v>1.590398610311829</v>
      </c>
      <c r="T856" s="85">
        <f>IF(B856="",0,IF(OR(H856=MappingTables!$C$34,H856=MappingTables!$C$35),S856,0))</f>
        <v>0</v>
      </c>
    </row>
    <row r="857" spans="2:20" s="0" customFormat="0" ht="15">
      <c r="B857" s="69" t="s">
        <v>4477</v>
      </c>
      <c r="C857" s="70" t="s">
        <v>4478</v>
      </c>
      <c r="D857" s="70" t="s">
        <v>1</v>
      </c>
      <c r="E857" s="70" t="s">
        <v>1</v>
      </c>
      <c r="F857" s="70"/>
      <c r="G857" s="70" t="s">
        <v>61</v>
      </c>
      <c r="H857" s="70" t="s">
        <v>178</v>
      </c>
      <c r="I857" s="70" t="s">
        <v>198</v>
      </c>
      <c r="J857" s="71" t="str">
        <f>IF(OR(I857=0,I857=""),"unrated",VLOOKUP(I857,MappingTables!$B$19:$C$31,2,FALSE))</f>
        <v>unrated</v>
      </c>
      <c r="K857" s="72">
        <v>78.890685174431856</v>
      </c>
      <c r="L857" s="70">
        <v>0.068489343739030456</v>
      </c>
      <c r="M857" s="71">
        <f>IF(L857&lt;1,1,L857)</f>
        <v>1</v>
      </c>
      <c r="N857" s="70" t="s">
        <v>3288</v>
      </c>
      <c r="O857" s="71">
        <f>IF(OR(I857=$A$1,I857=0),"",IF(N857=MappingTables!$C$14,VLOOKUP(J857,ModelParameters!$M$8:$N$15,2,FALSE),IF(N857=MappingTables!$C$16,VLOOKUP(J857,ModelParameters!$P$8:$Q$15,2,FALSE),0)))</f>
        <v>1</v>
      </c>
      <c r="P857" s="73">
        <f>IF(OR(I857=0,I857=$A$1),0,MIN(O857*M857,1)*K857)</f>
        <v>78.890685174431856</v>
      </c>
      <c r="Q857" s="73">
        <f>IF(B857="",0,IF(OR(H857=MappingTables!$C$34,H857=MappingTables!$C$35),P857,0))</f>
        <v>0</v>
      </c>
      <c r="R857" s="73">
        <f>IF(ISNA(IF(AND(VLOOKUP(CONCATENATE($D857,$G857),CSRFinput!$B:$E,4,0)=0,OR(H857=MappingTables!$C$31,H857=MappingTables!$C$32)),1,VLOOKUP(CONCATENATE($D857,$G857),CSRFinput!$B:$E,4,0))),0,IF(AND(VLOOKUP(CONCATENATE($D857,$G857),CSRFinput!$B:$E,4,0)=0,OR(H857=MappingTables!$C$31,H857=MappingTables!$C$32)),1,VLOOKUP(CONCATENATE($D857,$G857),CSRFinput!$B:$E,4,0)))</f>
        <v>0.054776304963434752</v>
      </c>
      <c r="S857" s="73">
        <f>IF(B857="",0,P857*R857)</f>
        <v>4.3213402298889992</v>
      </c>
      <c r="T857" s="85">
        <f>IF(B857="",0,IF(OR(H857=MappingTables!$C$34,H857=MappingTables!$C$35),S857,0))</f>
        <v>0</v>
      </c>
    </row>
    <row r="858" spans="2:20" s="0" customFormat="0" ht="15">
      <c r="B858" s="69" t="s">
        <v>3729</v>
      </c>
      <c r="C858" s="70" t="s">
        <v>3730</v>
      </c>
      <c r="D858" s="70" t="s">
        <v>1</v>
      </c>
      <c r="E858" s="70" t="s">
        <v>1</v>
      </c>
      <c r="F858" s="70"/>
      <c r="G858" s="70" t="s">
        <v>61</v>
      </c>
      <c r="H858" s="70" t="s">
        <v>178</v>
      </c>
      <c r="I858" s="70" t="s">
        <v>198</v>
      </c>
      <c r="J858" s="71" t="str">
        <f>IF(OR(I858=0,I858=""),"unrated",VLOOKUP(I858,MappingTables!$B$19:$C$31,2,FALSE))</f>
        <v>unrated</v>
      </c>
      <c r="K858" s="72">
        <v>4.3614569506820992</v>
      </c>
      <c r="L858" s="70">
        <v>0.097037704163578112</v>
      </c>
      <c r="M858" s="71">
        <f>IF(L858&lt;1,1,L858)</f>
        <v>1</v>
      </c>
      <c r="N858" s="70" t="s">
        <v>3288</v>
      </c>
      <c r="O858" s="71">
        <f>IF(OR(I858=$A$1,I858=0),"",IF(N858=MappingTables!$C$14,VLOOKUP(J858,ModelParameters!$M$8:$N$15,2,FALSE),IF(N858=MappingTables!$C$16,VLOOKUP(J858,ModelParameters!$P$8:$Q$15,2,FALSE),0)))</f>
        <v>1</v>
      </c>
      <c r="P858" s="73">
        <f>IF(OR(I858=0,I858=$A$1),0,MIN(O858*M858,1)*K858)</f>
        <v>4.3614569506820992</v>
      </c>
      <c r="Q858" s="73">
        <f>IF(B858="",0,IF(OR(H858=MappingTables!$C$34,H858=MappingTables!$C$35),P858,0))</f>
        <v>0</v>
      </c>
      <c r="R858" s="73">
        <f>IF(ISNA(IF(AND(VLOOKUP(CONCATENATE($D858,$G858),CSRFinput!$B:$E,4,0)=0,OR(H858=MappingTables!$C$31,H858=MappingTables!$C$32)),1,VLOOKUP(CONCATENATE($D858,$G858),CSRFinput!$B:$E,4,0))),0,IF(AND(VLOOKUP(CONCATENATE($D858,$G858),CSRFinput!$B:$E,4,0)=0,OR(H858=MappingTables!$C$31,H858=MappingTables!$C$32)),1,VLOOKUP(CONCATENATE($D858,$G858),CSRFinput!$B:$E,4,0)))</f>
        <v>0.054776304963434752</v>
      </c>
      <c r="S858" s="73">
        <f>IF(B858="",0,P858*R858)</f>
        <v>0.23890449601545484</v>
      </c>
      <c r="T858" s="85">
        <f>IF(B858="",0,IF(OR(H858=MappingTables!$C$34,H858=MappingTables!$C$35),S858,0))</f>
        <v>0</v>
      </c>
    </row>
    <row r="859" spans="2:20" s="0" customFormat="0" ht="15">
      <c r="B859" s="69" t="s">
        <v>4479</v>
      </c>
      <c r="C859" s="70" t="s">
        <v>4480</v>
      </c>
      <c r="D859" s="70" t="s">
        <v>1</v>
      </c>
      <c r="E859" s="70" t="s">
        <v>1</v>
      </c>
      <c r="F859" s="70"/>
      <c r="G859" s="70" t="s">
        <v>61</v>
      </c>
      <c r="H859" s="70" t="s">
        <v>178</v>
      </c>
      <c r="I859" s="70" t="s">
        <v>181</v>
      </c>
      <c r="J859" s="71">
        <f>IF(OR(I859=0,I859=""),"unrated",VLOOKUP(I859,MappingTables!$B$19:$C$31,2,FALSE))</f>
        <v>3</v>
      </c>
      <c r="K859" s="72">
        <v>46.564688011289456</v>
      </c>
      <c r="L859" s="70">
        <v>0.06849472454160084</v>
      </c>
      <c r="M859" s="71">
        <f>IF(L859&lt;1,1,L859)</f>
        <v>1</v>
      </c>
      <c r="N859" s="70" t="s">
        <v>3288</v>
      </c>
      <c r="O859" s="71">
        <f>IF(OR(I859=$A$1,I859=0),"",IF(N859=MappingTables!$C$14,VLOOKUP(J859,ModelParameters!$M$8:$N$15,2,FALSE),IF(N859=MappingTables!$C$16,VLOOKUP(J859,ModelParameters!$P$8:$Q$15,2,FALSE),0)))</f>
        <v>0.197</v>
      </c>
      <c r="P859" s="73">
        <f>IF(OR(I859=0,I859=$A$1),0,MIN(O859*M859,1)*K859)</f>
        <v>9.1732435382240208</v>
      </c>
      <c r="Q859" s="73">
        <f>IF(B859="",0,IF(OR(H859=MappingTables!$C$34,H859=MappingTables!$C$35),P859,0))</f>
        <v>0</v>
      </c>
      <c r="R859" s="73">
        <f>IF(ISNA(IF(AND(VLOOKUP(CONCATENATE($D859,$G859),CSRFinput!$B:$E,4,0)=0,OR(H859=MappingTables!$C$31,H859=MappingTables!$C$32)),1,VLOOKUP(CONCATENATE($D859,$G859),CSRFinput!$B:$E,4,0))),0,IF(AND(VLOOKUP(CONCATENATE($D859,$G859),CSRFinput!$B:$E,4,0)=0,OR(H859=MappingTables!$C$31,H859=MappingTables!$C$32)),1,VLOOKUP(CONCATENATE($D859,$G859),CSRFinput!$B:$E,4,0)))</f>
        <v>0.054776304963434752</v>
      </c>
      <c r="S859" s="73">
        <f>IF(B859="",0,P859*R859)</f>
        <v>0.50247638555361616</v>
      </c>
      <c r="T859" s="85">
        <f>IF(B859="",0,IF(OR(H859=MappingTables!$C$34,H859=MappingTables!$C$35),S859,0))</f>
        <v>0</v>
      </c>
    </row>
    <row r="860" spans="2:20" s="0" customFormat="0" ht="15">
      <c r="B860" s="69" t="s">
        <v>4481</v>
      </c>
      <c r="C860" s="70" t="s">
        <v>4482</v>
      </c>
      <c r="D860" s="70" t="s">
        <v>1</v>
      </c>
      <c r="E860" s="70" t="s">
        <v>1</v>
      </c>
      <c r="F860" s="70"/>
      <c r="G860" s="70" t="s">
        <v>61</v>
      </c>
      <c r="H860" s="70" t="s">
        <v>178</v>
      </c>
      <c r="I860" s="70" t="s">
        <v>198</v>
      </c>
      <c r="J860" s="71" t="str">
        <f>IF(OR(I860=0,I860=""),"unrated",VLOOKUP(I860,MappingTables!$B$19:$C$31,2,FALSE))</f>
        <v>unrated</v>
      </c>
      <c r="K860" s="72">
        <v>45.343509558299376</v>
      </c>
      <c r="L860" s="70">
        <v>0.068493071757813064</v>
      </c>
      <c r="M860" s="71">
        <f>IF(L860&lt;1,1,L860)</f>
        <v>1</v>
      </c>
      <c r="N860" s="70" t="s">
        <v>3288</v>
      </c>
      <c r="O860" s="71">
        <f>IF(OR(I860=$A$1,I860=0),"",IF(N860=MappingTables!$C$14,VLOOKUP(J860,ModelParameters!$M$8:$N$15,2,FALSE),IF(N860=MappingTables!$C$16,VLOOKUP(J860,ModelParameters!$P$8:$Q$15,2,FALSE),0)))</f>
        <v>1</v>
      </c>
      <c r="P860" s="73">
        <f>IF(OR(I860=0,I860=$A$1),0,MIN(O860*M860,1)*K860)</f>
        <v>45.343509558299376</v>
      </c>
      <c r="Q860" s="73">
        <f>IF(B860="",0,IF(OR(H860=MappingTables!$C$34,H860=MappingTables!$C$35),P860,0))</f>
        <v>0</v>
      </c>
      <c r="R860" s="73">
        <f>IF(ISNA(IF(AND(VLOOKUP(CONCATENATE($D860,$G860),CSRFinput!$B:$E,4,0)=0,OR(H860=MappingTables!$C$31,H860=MappingTables!$C$32)),1,VLOOKUP(CONCATENATE($D860,$G860),CSRFinput!$B:$E,4,0))),0,IF(AND(VLOOKUP(CONCATENATE($D860,$G860),CSRFinput!$B:$E,4,0)=0,OR(H860=MappingTables!$C$31,H860=MappingTables!$C$32)),1,VLOOKUP(CONCATENATE($D860,$G860),CSRFinput!$B:$E,4,0)))</f>
        <v>0.054776304963434752</v>
      </c>
      <c r="S860" s="73">
        <f>IF(B860="",0,P860*R860)</f>
        <v>2.4837499076778252</v>
      </c>
      <c r="T860" s="85">
        <f>IF(B860="",0,IF(OR(H860=MappingTables!$C$34,H860=MappingTables!$C$35),S860,0))</f>
        <v>0</v>
      </c>
    </row>
    <row r="861" spans="2:20" s="0" customFormat="0" ht="15">
      <c r="B861" s="69">
        <v>6429885</v>
      </c>
      <c r="C861" s="70" t="s">
        <v>4042</v>
      </c>
      <c r="D861" s="70" t="s">
        <v>1</v>
      </c>
      <c r="E861" s="70" t="s">
        <v>1</v>
      </c>
      <c r="F861" s="70"/>
      <c r="G861" s="70" t="s">
        <v>61</v>
      </c>
      <c r="H861" s="70" t="s">
        <v>178</v>
      </c>
      <c r="I861" s="70" t="s">
        <v>3298</v>
      </c>
      <c r="J861" s="71">
        <f>IF(OR(I861=0,I861=""),"unrated",VLOOKUP(I861,MappingTables!$B$19:$C$31,2,FALSE))</f>
        <v>6</v>
      </c>
      <c r="K861" s="72">
        <v>106.2150041248693</v>
      </c>
      <c r="L861" s="70">
        <v>-0.82634774400267168</v>
      </c>
      <c r="M861" s="71">
        <f>IF(L861&lt;1,1,L861)</f>
        <v>1</v>
      </c>
      <c r="N861" s="70" t="s">
        <v>3288</v>
      </c>
      <c r="O861" s="71">
        <f>IF(OR(I861=$A$1,I861=0),"",IF(N861=MappingTables!$C$14,VLOOKUP(J861,ModelParameters!$M$8:$N$15,2,FALSE),IF(N861=MappingTables!$C$16,VLOOKUP(J861,ModelParameters!$P$8:$Q$15,2,FALSE),0)))</f>
        <v>1</v>
      </c>
      <c r="P861" s="73">
        <f>IF(OR(I861=0,I861=$A$1),0,MIN(O861*M861,1)*K861)</f>
        <v>106.2150041248693</v>
      </c>
      <c r="Q861" s="73">
        <f>IF(B861="",0,IF(OR(H861=MappingTables!$C$34,H861=MappingTables!$C$35),P861,0))</f>
        <v>0</v>
      </c>
      <c r="R861" s="73">
        <f>IF(ISNA(IF(AND(VLOOKUP(CONCATENATE($D861,$G861),CSRFinput!$B:$E,4,0)=0,OR(H861=MappingTables!$C$31,H861=MappingTables!$C$32)),1,VLOOKUP(CONCATENATE($D861,$G861),CSRFinput!$B:$E,4,0))),0,IF(AND(VLOOKUP(CONCATENATE($D861,$G861),CSRFinput!$B:$E,4,0)=0,OR(H861=MappingTables!$C$31,H861=MappingTables!$C$32)),1,VLOOKUP(CONCATENATE($D861,$G861),CSRFinput!$B:$E,4,0)))</f>
        <v>0.054776304963434752</v>
      </c>
      <c r="S861" s="73">
        <f>IF(B861="",0,P861*R861)</f>
        <v>5.8180654576363216</v>
      </c>
      <c r="T861" s="85">
        <f>IF(B861="",0,IF(OR(H861=MappingTables!$C$34,H861=MappingTables!$C$35),S861,0))</f>
        <v>0</v>
      </c>
    </row>
    <row r="862" spans="2:20" s="0" customFormat="0" ht="15">
      <c r="B862" s="69" t="s">
        <v>4483</v>
      </c>
      <c r="C862" s="70" t="s">
        <v>4484</v>
      </c>
      <c r="D862" s="70" t="s">
        <v>1</v>
      </c>
      <c r="E862" s="70" t="s">
        <v>1</v>
      </c>
      <c r="F862" s="70"/>
      <c r="G862" s="70" t="s">
        <v>61</v>
      </c>
      <c r="H862" s="70" t="s">
        <v>178</v>
      </c>
      <c r="I862" s="70" t="s">
        <v>198</v>
      </c>
      <c r="J862" s="71" t="str">
        <f>IF(OR(I862=0,I862=""),"unrated",VLOOKUP(I862,MappingTables!$B$19:$C$31,2,FALSE))</f>
        <v>unrated</v>
      </c>
      <c r="K862" s="72">
        <v>15.300635239490056</v>
      </c>
      <c r="L862" s="70">
        <v>38.746579533231816</v>
      </c>
      <c r="M862" s="71">
        <f>IF(L862&lt;1,1,L862)</f>
        <v>38.746579533231816</v>
      </c>
      <c r="N862" s="70" t="s">
        <v>3288</v>
      </c>
      <c r="O862" s="71">
        <f>IF(OR(I862=$A$1,I862=0),"",IF(N862=MappingTables!$C$14,VLOOKUP(J862,ModelParameters!$M$8:$N$15,2,FALSE),IF(N862=MappingTables!$C$16,VLOOKUP(J862,ModelParameters!$P$8:$Q$15,2,FALSE),0)))</f>
        <v>1</v>
      </c>
      <c r="P862" s="73">
        <f>IF(OR(I862=0,I862=$A$1),0,MIN(O862*M862,1)*K862)</f>
        <v>15.300635239490056</v>
      </c>
      <c r="Q862" s="73">
        <f>IF(B862="",0,IF(OR(H862=MappingTables!$C$34,H862=MappingTables!$C$35),P862,0))</f>
        <v>0</v>
      </c>
      <c r="R862" s="73">
        <f>IF(ISNA(IF(AND(VLOOKUP(CONCATENATE($D862,$G862),CSRFinput!$B:$E,4,0)=0,OR(H862=MappingTables!$C$31,H862=MappingTables!$C$32)),1,VLOOKUP(CONCATENATE($D862,$G862),CSRFinput!$B:$E,4,0))),0,IF(AND(VLOOKUP(CONCATENATE($D862,$G862),CSRFinput!$B:$E,4,0)=0,OR(H862=MappingTables!$C$31,H862=MappingTables!$C$32)),1,VLOOKUP(CONCATENATE($D862,$G862),CSRFinput!$B:$E,4,0)))</f>
        <v>0.054776304963434752</v>
      </c>
      <c r="S862" s="73">
        <f>IF(B862="",0,P862*R862)</f>
        <v>0.83811226201258384</v>
      </c>
      <c r="T862" s="85">
        <f>IF(B862="",0,IF(OR(H862=MappingTables!$C$34,H862=MappingTables!$C$35),S862,0))</f>
        <v>0</v>
      </c>
    </row>
    <row r="863" spans="2:20" s="0" customFormat="0" ht="15">
      <c r="B863" s="69">
        <v>22554335</v>
      </c>
      <c r="C863" s="70" t="s">
        <v>3827</v>
      </c>
      <c r="D863" s="70" t="s">
        <v>1</v>
      </c>
      <c r="E863" s="70" t="s">
        <v>1</v>
      </c>
      <c r="F863" s="70"/>
      <c r="G863" s="70" t="s">
        <v>61</v>
      </c>
      <c r="H863" s="70" t="s">
        <v>178</v>
      </c>
      <c r="I863" s="70" t="s">
        <v>216</v>
      </c>
      <c r="J863" s="71">
        <f>IF(OR(I863=0,I863=""),"unrated",VLOOKUP(I863,MappingTables!$B$19:$C$31,2,FALSE))</f>
        <v>0</v>
      </c>
      <c r="K863" s="72">
        <v>17.58924730900993</v>
      </c>
      <c r="L863" s="70">
        <v>0.033537786486924856</v>
      </c>
      <c r="M863" s="71">
        <f>IF(L863&lt;1,1,L863)</f>
        <v>1</v>
      </c>
      <c r="N863" s="70" t="s">
        <v>3288</v>
      </c>
      <c r="O863" s="71">
        <f>IF(OR(I863=$A$1,I863=0),"",IF(N863=MappingTables!$C$14,VLOOKUP(J863,ModelParameters!$M$8:$N$15,2,FALSE),IF(N863=MappingTables!$C$16,VLOOKUP(J863,ModelParameters!$P$8:$Q$15,2,FALSE),0)))</f>
        <v>0.125</v>
      </c>
      <c r="P863" s="73">
        <f>IF(OR(I863=0,I863=$A$1),0,MIN(O863*M863,1)*K863)</f>
        <v>2.1986559136262412</v>
      </c>
      <c r="Q863" s="73">
        <f>IF(B863="",0,IF(OR(H863=MappingTables!$C$34,H863=MappingTables!$C$35),P863,0))</f>
        <v>0</v>
      </c>
      <c r="R863" s="73">
        <f>IF(ISNA(IF(AND(VLOOKUP(CONCATENATE($D863,$G863),CSRFinput!$B:$E,4,0)=0,OR(H863=MappingTables!$C$31,H863=MappingTables!$C$32)),1,VLOOKUP(CONCATENATE($D863,$G863),CSRFinput!$B:$E,4,0))),0,IF(AND(VLOOKUP(CONCATENATE($D863,$G863),CSRFinput!$B:$E,4,0)=0,OR(H863=MappingTables!$C$31,H863=MappingTables!$C$32)),1,VLOOKUP(CONCATENATE($D863,$G863),CSRFinput!$B:$E,4,0)))</f>
        <v>0.054776304963434752</v>
      </c>
      <c r="S863" s="73">
        <f>IF(B863="",0,P863*R863)</f>
        <v>0.12043424683445026</v>
      </c>
      <c r="T863" s="85">
        <f>IF(B863="",0,IF(OR(H863=MappingTables!$C$34,H863=MappingTables!$C$35),S863,0))</f>
        <v>0</v>
      </c>
    </row>
    <row r="864" spans="2:20" s="0" customFormat="0" ht="15">
      <c r="B864" s="69" t="s">
        <v>4429</v>
      </c>
      <c r="C864" s="70" t="s">
        <v>4430</v>
      </c>
      <c r="D864" s="70" t="s">
        <v>1</v>
      </c>
      <c r="E864" s="70" t="s">
        <v>1</v>
      </c>
      <c r="F864" s="70"/>
      <c r="G864" s="70" t="s">
        <v>61</v>
      </c>
      <c r="H864" s="70" t="s">
        <v>178</v>
      </c>
      <c r="I864" s="70" t="s">
        <v>198</v>
      </c>
      <c r="J864" s="71" t="str">
        <f>IF(OR(I864=0,I864=""),"unrated",VLOOKUP(I864,MappingTables!$B$19:$C$31,2,FALSE))</f>
        <v>unrated</v>
      </c>
      <c r="K864" s="72">
        <v>22527.843778447668</v>
      </c>
      <c r="L864" s="70">
        <v>9.668732103716712</v>
      </c>
      <c r="M864" s="71">
        <f>IF(L864&lt;1,1,L864)</f>
        <v>9.668732103716712</v>
      </c>
      <c r="N864" s="70" t="s">
        <v>3288</v>
      </c>
      <c r="O864" s="71">
        <f>IF(OR(I864=$A$1,I864=0),"",IF(N864=MappingTables!$C$14,VLOOKUP(J864,ModelParameters!$M$8:$N$15,2,FALSE),IF(N864=MappingTables!$C$16,VLOOKUP(J864,ModelParameters!$P$8:$Q$15,2,FALSE),0)))</f>
        <v>1</v>
      </c>
      <c r="P864" s="73">
        <f>IF(OR(I864=0,I864=$A$1),0,MIN(O864*M864,1)*K864)</f>
        <v>22527.843778447668</v>
      </c>
      <c r="Q864" s="73">
        <f>IF(B864="",0,IF(OR(H864=MappingTables!$C$34,H864=MappingTables!$C$35),P864,0))</f>
        <v>0</v>
      </c>
      <c r="R864" s="73">
        <f>IF(ISNA(IF(AND(VLOOKUP(CONCATENATE($D864,$G864),CSRFinput!$B:$E,4,0)=0,OR(H864=MappingTables!$C$31,H864=MappingTables!$C$32)),1,VLOOKUP(CONCATENATE($D864,$G864),CSRFinput!$B:$E,4,0))),0,IF(AND(VLOOKUP(CONCATENATE($D864,$G864),CSRFinput!$B:$E,4,0)=0,OR(H864=MappingTables!$C$31,H864=MappingTables!$C$32)),1,VLOOKUP(CONCATENATE($D864,$G864),CSRFinput!$B:$E,4,0)))</f>
        <v>0.054776304963434752</v>
      </c>
      <c r="S864" s="73">
        <f>IF(B864="",0,P864*R864)</f>
        <v>1233.9920409768656</v>
      </c>
      <c r="T864" s="85">
        <f>IF(B864="",0,IF(OR(H864=MappingTables!$C$34,H864=MappingTables!$C$35),S864,0))</f>
        <v>0</v>
      </c>
    </row>
    <row r="865" spans="2:20" s="0" customFormat="0" ht="15">
      <c r="B865" s="69" t="s">
        <v>4485</v>
      </c>
      <c r="C865" s="70" t="s">
        <v>4486</v>
      </c>
      <c r="D865" s="70" t="s">
        <v>1</v>
      </c>
      <c r="E865" s="70" t="s">
        <v>1</v>
      </c>
      <c r="F865" s="70"/>
      <c r="G865" s="70" t="s">
        <v>61</v>
      </c>
      <c r="H865" s="70" t="s">
        <v>178</v>
      </c>
      <c r="I865" s="70" t="s">
        <v>198</v>
      </c>
      <c r="J865" s="71" t="str">
        <f>IF(OR(I865=0,I865=""),"unrated",VLOOKUP(I865,MappingTables!$B$19:$C$31,2,FALSE))</f>
        <v>unrated</v>
      </c>
      <c r="K865" s="72">
        <v>177.81654534203836</v>
      </c>
      <c r="L865" s="70">
        <v>0.068493630166089072</v>
      </c>
      <c r="M865" s="71">
        <f>IF(L865&lt;1,1,L865)</f>
        <v>1</v>
      </c>
      <c r="N865" s="70" t="s">
        <v>3288</v>
      </c>
      <c r="O865" s="71">
        <f>IF(OR(I865=$A$1,I865=0),"",IF(N865=MappingTables!$C$14,VLOOKUP(J865,ModelParameters!$M$8:$N$15,2,FALSE),IF(N865=MappingTables!$C$16,VLOOKUP(J865,ModelParameters!$P$8:$Q$15,2,FALSE),0)))</f>
        <v>1</v>
      </c>
      <c r="P865" s="73">
        <f>IF(OR(I865=0,I865=$A$1),0,MIN(O865*M865,1)*K865)</f>
        <v>177.81654534203836</v>
      </c>
      <c r="Q865" s="73">
        <f>IF(B865="",0,IF(OR(H865=MappingTables!$C$34,H865=MappingTables!$C$35),P865,0))</f>
        <v>0</v>
      </c>
      <c r="R865" s="73">
        <f>IF(ISNA(IF(AND(VLOOKUP(CONCATENATE($D865,$G865),CSRFinput!$B:$E,4,0)=0,OR(H865=MappingTables!$C$31,H865=MappingTables!$C$32)),1,VLOOKUP(CONCATENATE($D865,$G865),CSRFinput!$B:$E,4,0))),0,IF(AND(VLOOKUP(CONCATENATE($D865,$G865),CSRFinput!$B:$E,4,0)=0,OR(H865=MappingTables!$C$31,H865=MappingTables!$C$32)),1,VLOOKUP(CONCATENATE($D865,$G865),CSRFinput!$B:$E,4,0)))</f>
        <v>0.054776304963434752</v>
      </c>
      <c r="S865" s="73">
        <f>IF(B865="",0,P865*R865)</f>
        <v>9.7401333151999168</v>
      </c>
      <c r="T865" s="85">
        <f>IF(B865="",0,IF(OR(H865=MappingTables!$C$34,H865=MappingTables!$C$35),S865,0))</f>
        <v>0</v>
      </c>
    </row>
    <row r="866" spans="2:20" s="0" customFormat="0" ht="15">
      <c r="B866" s="69" t="s">
        <v>4487</v>
      </c>
      <c r="C866" s="70" t="s">
        <v>4488</v>
      </c>
      <c r="D866" s="70" t="s">
        <v>1</v>
      </c>
      <c r="E866" s="70" t="s">
        <v>1</v>
      </c>
      <c r="F866" s="70"/>
      <c r="G866" s="70" t="s">
        <v>61</v>
      </c>
      <c r="H866" s="70" t="s">
        <v>178</v>
      </c>
      <c r="I866" s="70" t="s">
        <v>184</v>
      </c>
      <c r="J866" s="71">
        <f>IF(OR(I866=0,I866=""),"unrated",VLOOKUP(I866,MappingTables!$B$19:$C$31,2,FALSE))</f>
        <v>5</v>
      </c>
      <c r="K866" s="72">
        <v>22075.333758099548</v>
      </c>
      <c r="L866" s="70">
        <v>4.3465727817965408</v>
      </c>
      <c r="M866" s="71">
        <f>IF(L866&lt;1,1,L866)</f>
        <v>4.3465727817965408</v>
      </c>
      <c r="N866" s="70" t="s">
        <v>3288</v>
      </c>
      <c r="O866" s="71">
        <f>IF(OR(I866=$A$1,I866=0),"",IF(N866=MappingTables!$C$14,VLOOKUP(J866,ModelParameters!$M$8:$N$15,2,FALSE),IF(N866=MappingTables!$C$16,VLOOKUP(J866,ModelParameters!$P$8:$Q$15,2,FALSE),0)))</f>
        <v>1</v>
      </c>
      <c r="P866" s="73">
        <f>IF(OR(I866=0,I866=$A$1),0,MIN(O866*M866,1)*K866)</f>
        <v>22075.333758099548</v>
      </c>
      <c r="Q866" s="73">
        <f>IF(B866="",0,IF(OR(H866=MappingTables!$C$34,H866=MappingTables!$C$35),P866,0))</f>
        <v>0</v>
      </c>
      <c r="R866" s="73">
        <f>IF(ISNA(IF(AND(VLOOKUP(CONCATENATE($D866,$G866),CSRFinput!$B:$E,4,0)=0,OR(H866=MappingTables!$C$31,H866=MappingTables!$C$32)),1,VLOOKUP(CONCATENATE($D866,$G866),CSRFinput!$B:$E,4,0))),0,IF(AND(VLOOKUP(CONCATENATE($D866,$G866),CSRFinput!$B:$E,4,0)=0,OR(H866=MappingTables!$C$31,H866=MappingTables!$C$32)),1,VLOOKUP(CONCATENATE($D866,$G866),CSRFinput!$B:$E,4,0)))</f>
        <v>0.054776304963434752</v>
      </c>
      <c r="S866" s="73">
        <f>IF(B866="",0,P866*R866)</f>
        <v>1209.205214103267</v>
      </c>
      <c r="T866" s="85">
        <f>IF(B866="",0,IF(OR(H866=MappingTables!$C$34,H866=MappingTables!$C$35),S866,0))</f>
        <v>0</v>
      </c>
    </row>
    <row r="867" spans="2:20" s="0" customFormat="0" ht="15">
      <c r="B867" s="69" t="s">
        <v>4489</v>
      </c>
      <c r="C867" s="70" t="s">
        <v>4490</v>
      </c>
      <c r="D867" s="70" t="s">
        <v>1</v>
      </c>
      <c r="E867" s="70" t="s">
        <v>1</v>
      </c>
      <c r="F867" s="70"/>
      <c r="G867" s="70" t="s">
        <v>61</v>
      </c>
      <c r="H867" s="70" t="s">
        <v>178</v>
      </c>
      <c r="I867" s="70" t="s">
        <v>198</v>
      </c>
      <c r="J867" s="71" t="str">
        <f>IF(OR(I867=0,I867=""),"unrated",VLOOKUP(I867,MappingTables!$B$19:$C$31,2,FALSE))</f>
        <v>unrated</v>
      </c>
      <c r="K867" s="72">
        <v>9.9976942289544304</v>
      </c>
      <c r="L867" s="70">
        <v>0.052054091100261912</v>
      </c>
      <c r="M867" s="71">
        <f>IF(L867&lt;1,1,L867)</f>
        <v>1</v>
      </c>
      <c r="N867" s="70" t="s">
        <v>3288</v>
      </c>
      <c r="O867" s="71">
        <f>IF(OR(I867=$A$1,I867=0),"",IF(N867=MappingTables!$C$14,VLOOKUP(J867,ModelParameters!$M$8:$N$15,2,FALSE),IF(N867=MappingTables!$C$16,VLOOKUP(J867,ModelParameters!$P$8:$Q$15,2,FALSE),0)))</f>
        <v>1</v>
      </c>
      <c r="P867" s="73">
        <f>IF(OR(I867=0,I867=$A$1),0,MIN(O867*M867,1)*K867)</f>
        <v>9.9976942289544304</v>
      </c>
      <c r="Q867" s="73">
        <f>IF(B867="",0,IF(OR(H867=MappingTables!$C$34,H867=MappingTables!$C$35),P867,0))</f>
        <v>0</v>
      </c>
      <c r="R867" s="73">
        <f>IF(ISNA(IF(AND(VLOOKUP(CONCATENATE($D867,$G867),CSRFinput!$B:$E,4,0)=0,OR(H867=MappingTables!$C$31,H867=MappingTables!$C$32)),1,VLOOKUP(CONCATENATE($D867,$G867),CSRFinput!$B:$E,4,0))),0,IF(AND(VLOOKUP(CONCATENATE($D867,$G867),CSRFinput!$B:$E,4,0)=0,OR(H867=MappingTables!$C$31,H867=MappingTables!$C$32)),1,VLOOKUP(CONCATENATE($D867,$G867),CSRFinput!$B:$E,4,0)))</f>
        <v>0.054776304963434752</v>
      </c>
      <c r="S867" s="73">
        <f>IF(B867="",0,P867*R867)</f>
        <v>0.54763674801637952</v>
      </c>
      <c r="T867" s="85">
        <f>IF(B867="",0,IF(OR(H867=MappingTables!$C$34,H867=MappingTables!$C$35),S867,0))</f>
        <v>0</v>
      </c>
    </row>
    <row r="868" spans="2:20" s="0" customFormat="0" ht="15">
      <c r="B868" s="69" t="s">
        <v>4326</v>
      </c>
      <c r="C868" s="70" t="s">
        <v>4327</v>
      </c>
      <c r="D868" s="70" t="s">
        <v>1</v>
      </c>
      <c r="E868" s="70" t="s">
        <v>1</v>
      </c>
      <c r="F868" s="70"/>
      <c r="G868" s="70" t="s">
        <v>61</v>
      </c>
      <c r="H868" s="70" t="s">
        <v>178</v>
      </c>
      <c r="I868" s="70" t="s">
        <v>184</v>
      </c>
      <c r="J868" s="71">
        <f>IF(OR(I868=0,I868=""),"unrated",VLOOKUP(I868,MappingTables!$B$19:$C$31,2,FALSE))</f>
        <v>5</v>
      </c>
      <c r="K868" s="72">
        <v>4.6805146258982848</v>
      </c>
      <c r="L868" s="70">
        <v>0.068494747196236816</v>
      </c>
      <c r="M868" s="71">
        <f>IF(L868&lt;1,1,L868)</f>
        <v>1</v>
      </c>
      <c r="N868" s="70" t="s">
        <v>3288</v>
      </c>
      <c r="O868" s="71">
        <f>IF(OR(I868=$A$1,I868=0),"",IF(N868=MappingTables!$C$14,VLOOKUP(J868,ModelParameters!$M$8:$N$15,2,FALSE),IF(N868=MappingTables!$C$16,VLOOKUP(J868,ModelParameters!$P$8:$Q$15,2,FALSE),0)))</f>
        <v>1</v>
      </c>
      <c r="P868" s="73">
        <f>IF(OR(I868=0,I868=$A$1),0,MIN(O868*M868,1)*K868)</f>
        <v>4.6805146258982848</v>
      </c>
      <c r="Q868" s="73">
        <f>IF(B868="",0,IF(OR(H868=MappingTables!$C$34,H868=MappingTables!$C$35),P868,0))</f>
        <v>0</v>
      </c>
      <c r="R868" s="73">
        <f>IF(ISNA(IF(AND(VLOOKUP(CONCATENATE($D868,$G868),CSRFinput!$B:$E,4,0)=0,OR(H868=MappingTables!$C$31,H868=MappingTables!$C$32)),1,VLOOKUP(CONCATENATE($D868,$G868),CSRFinput!$B:$E,4,0))),0,IF(AND(VLOOKUP(CONCATENATE($D868,$G868),CSRFinput!$B:$E,4,0)=0,OR(H868=MappingTables!$C$31,H868=MappingTables!$C$32)),1,VLOOKUP(CONCATENATE($D868,$G868),CSRFinput!$B:$E,4,0)))</f>
        <v>0.054776304963434752</v>
      </c>
      <c r="S868" s="73">
        <f>IF(B868="",0,P868*R868)</f>
        <v>0.2563812965340212</v>
      </c>
      <c r="T868" s="85">
        <f>IF(B868="",0,IF(OR(H868=MappingTables!$C$34,H868=MappingTables!$C$35),S868,0))</f>
        <v>0</v>
      </c>
    </row>
    <row r="869" spans="2:20" s="0" customFormat="0" ht="15">
      <c r="B869" s="69" t="s">
        <v>4491</v>
      </c>
      <c r="C869" s="70" t="s">
        <v>4492</v>
      </c>
      <c r="D869" s="70" t="s">
        <v>1</v>
      </c>
      <c r="E869" s="70" t="s">
        <v>1</v>
      </c>
      <c r="F869" s="70"/>
      <c r="G869" s="70" t="s">
        <v>61</v>
      </c>
      <c r="H869" s="70" t="s">
        <v>178</v>
      </c>
      <c r="I869" s="70" t="s">
        <v>198</v>
      </c>
      <c r="J869" s="71" t="str">
        <f>IF(OR(I869=0,I869=""),"unrated",VLOOKUP(I869,MappingTables!$B$19:$C$31,2,FALSE))</f>
        <v>unrated</v>
      </c>
      <c r="K869" s="72">
        <v>106.23307225891162</v>
      </c>
      <c r="L869" s="70">
        <v>0.068492231267399976</v>
      </c>
      <c r="M869" s="71">
        <f>IF(L869&lt;1,1,L869)</f>
        <v>1</v>
      </c>
      <c r="N869" s="70" t="s">
        <v>3288</v>
      </c>
      <c r="O869" s="71">
        <f>IF(OR(I869=$A$1,I869=0),"",IF(N869=MappingTables!$C$14,VLOOKUP(J869,ModelParameters!$M$8:$N$15,2,FALSE),IF(N869=MappingTables!$C$16,VLOOKUP(J869,ModelParameters!$P$8:$Q$15,2,FALSE),0)))</f>
        <v>1</v>
      </c>
      <c r="P869" s="73">
        <f>IF(OR(I869=0,I869=$A$1),0,MIN(O869*M869,1)*K869)</f>
        <v>106.23307225891162</v>
      </c>
      <c r="Q869" s="73">
        <f>IF(B869="",0,IF(OR(H869=MappingTables!$C$34,H869=MappingTables!$C$35),P869,0))</f>
        <v>0</v>
      </c>
      <c r="R869" s="73">
        <f>IF(ISNA(IF(AND(VLOOKUP(CONCATENATE($D869,$G869),CSRFinput!$B:$E,4,0)=0,OR(H869=MappingTables!$C$31,H869=MappingTables!$C$32)),1,VLOOKUP(CONCATENATE($D869,$G869),CSRFinput!$B:$E,4,0))),0,IF(AND(VLOOKUP(CONCATENATE($D869,$G869),CSRFinput!$B:$E,4,0)=0,OR(H869=MappingTables!$C$31,H869=MappingTables!$C$32)),1,VLOOKUP(CONCATENATE($D869,$G869),CSRFinput!$B:$E,4,0)))</f>
        <v>0.054776304963434752</v>
      </c>
      <c r="S869" s="73">
        <f>IF(B869="",0,P869*R869)</f>
        <v>5.819055163256744</v>
      </c>
      <c r="T869" s="85">
        <f>IF(B869="",0,IF(OR(H869=MappingTables!$C$34,H869=MappingTables!$C$35),S869,0))</f>
        <v>0</v>
      </c>
    </row>
    <row r="870" spans="2:20" s="0" customFormat="0" ht="15">
      <c r="B870" s="69" t="s">
        <v>4493</v>
      </c>
      <c r="C870" s="70" t="s">
        <v>4494</v>
      </c>
      <c r="D870" s="70" t="s">
        <v>1</v>
      </c>
      <c r="E870" s="70" t="s">
        <v>1</v>
      </c>
      <c r="F870" s="70"/>
      <c r="G870" s="70" t="s">
        <v>61</v>
      </c>
      <c r="H870" s="70" t="s">
        <v>178</v>
      </c>
      <c r="I870" s="70" t="s">
        <v>198</v>
      </c>
      <c r="J870" s="71" t="str">
        <f>IF(OR(I870=0,I870=""),"unrated",VLOOKUP(I870,MappingTables!$B$19:$C$31,2,FALSE))</f>
        <v>unrated</v>
      </c>
      <c r="K870" s="72">
        <v>261.75345619141052</v>
      </c>
      <c r="L870" s="70">
        <v>-0.088102240817711984</v>
      </c>
      <c r="M870" s="71">
        <f>IF(L870&lt;1,1,L870)</f>
        <v>1</v>
      </c>
      <c r="N870" s="70" t="s">
        <v>3288</v>
      </c>
      <c r="O870" s="71">
        <f>IF(OR(I870=$A$1,I870=0),"",IF(N870=MappingTables!$C$14,VLOOKUP(J870,ModelParameters!$M$8:$N$15,2,FALSE),IF(N870=MappingTables!$C$16,VLOOKUP(J870,ModelParameters!$P$8:$Q$15,2,FALSE),0)))</f>
        <v>1</v>
      </c>
      <c r="P870" s="73">
        <f>IF(OR(I870=0,I870=$A$1),0,MIN(O870*M870,1)*K870)</f>
        <v>261.75345619141052</v>
      </c>
      <c r="Q870" s="73">
        <f>IF(B870="",0,IF(OR(H870=MappingTables!$C$34,H870=MappingTables!$C$35),P870,0))</f>
        <v>0</v>
      </c>
      <c r="R870" s="73">
        <f>IF(ISNA(IF(AND(VLOOKUP(CONCATENATE($D870,$G870),CSRFinput!$B:$E,4,0)=0,OR(H870=MappingTables!$C$31,H870=MappingTables!$C$32)),1,VLOOKUP(CONCATENATE($D870,$G870),CSRFinput!$B:$E,4,0))),0,IF(AND(VLOOKUP(CONCATENATE($D870,$G870),CSRFinput!$B:$E,4,0)=0,OR(H870=MappingTables!$C$31,H870=MappingTables!$C$32)),1,VLOOKUP(CONCATENATE($D870,$G870),CSRFinput!$B:$E,4,0)))</f>
        <v>0.054776304963434752</v>
      </c>
      <c r="S870" s="73">
        <f>IF(B870="",0,P870*R870)</f>
        <v>14.33788714157376</v>
      </c>
      <c r="T870" s="85">
        <f>IF(B870="",0,IF(OR(H870=MappingTables!$C$34,H870=MappingTables!$C$35),S870,0))</f>
        <v>0</v>
      </c>
    </row>
    <row r="871" spans="2:20" s="0" customFormat="0" ht="15">
      <c r="B871" s="69">
        <v>22623663</v>
      </c>
      <c r="C871" s="70" t="s">
        <v>4495</v>
      </c>
      <c r="D871" s="70" t="s">
        <v>1</v>
      </c>
      <c r="E871" s="70" t="s">
        <v>1</v>
      </c>
      <c r="F871" s="70"/>
      <c r="G871" s="70" t="s">
        <v>61</v>
      </c>
      <c r="H871" s="70" t="s">
        <v>178</v>
      </c>
      <c r="I871" s="70" t="s">
        <v>204</v>
      </c>
      <c r="J871" s="71">
        <f>IF(OR(I871=0,I871=""),"unrated",VLOOKUP(I871,MappingTables!$B$19:$C$31,2,FALSE))</f>
        <v>6</v>
      </c>
      <c r="K871" s="72">
        <v>128.00698761524982</v>
      </c>
      <c r="L871" s="70">
        <v>0.06779025250102176</v>
      </c>
      <c r="M871" s="71">
        <f>IF(L871&lt;1,1,L871)</f>
        <v>1</v>
      </c>
      <c r="N871" s="70" t="s">
        <v>3288</v>
      </c>
      <c r="O871" s="71">
        <f>IF(OR(I871=$A$1,I871=0),"",IF(N871=MappingTables!$C$14,VLOOKUP(J871,ModelParameters!$M$8:$N$15,2,FALSE),IF(N871=MappingTables!$C$16,VLOOKUP(J871,ModelParameters!$P$8:$Q$15,2,FALSE),0)))</f>
        <v>1</v>
      </c>
      <c r="P871" s="73">
        <f>IF(OR(I871=0,I871=$A$1),0,MIN(O871*M871,1)*K871)</f>
        <v>128.00698761524982</v>
      </c>
      <c r="Q871" s="73">
        <f>IF(B871="",0,IF(OR(H871=MappingTables!$C$34,H871=MappingTables!$C$35),P871,0))</f>
        <v>0</v>
      </c>
      <c r="R871" s="73">
        <f>IF(ISNA(IF(AND(VLOOKUP(CONCATENATE($D871,$G871),CSRFinput!$B:$E,4,0)=0,OR(H871=MappingTables!$C$31,H871=MappingTables!$C$32)),1,VLOOKUP(CONCATENATE($D871,$G871),CSRFinput!$B:$E,4,0))),0,IF(AND(VLOOKUP(CONCATENATE($D871,$G871),CSRFinput!$B:$E,4,0)=0,OR(H871=MappingTables!$C$31,H871=MappingTables!$C$32)),1,VLOOKUP(CONCATENATE($D871,$G871),CSRFinput!$B:$E,4,0)))</f>
        <v>0.054776304963434752</v>
      </c>
      <c r="S871" s="73">
        <f>IF(B871="",0,P871*R871)</f>
        <v>7.0117497910635392</v>
      </c>
      <c r="T871" s="85">
        <f>IF(B871="",0,IF(OR(H871=MappingTables!$C$34,H871=MappingTables!$C$35),S871,0))</f>
        <v>0</v>
      </c>
    </row>
    <row r="872" spans="2:20" s="0" customFormat="0" ht="15">
      <c r="B872" s="69" t="s">
        <v>4080</v>
      </c>
      <c r="C872" s="70" t="s">
        <v>4081</v>
      </c>
      <c r="D872" s="70" t="s">
        <v>1</v>
      </c>
      <c r="E872" s="70" t="s">
        <v>1</v>
      </c>
      <c r="F872" s="70"/>
      <c r="G872" s="70" t="s">
        <v>61</v>
      </c>
      <c r="H872" s="70" t="s">
        <v>178</v>
      </c>
      <c r="I872" s="70" t="s">
        <v>216</v>
      </c>
      <c r="J872" s="71">
        <f>IF(OR(I872=0,I872=""),"unrated",VLOOKUP(I872,MappingTables!$B$19:$C$31,2,FALSE))</f>
        <v>0</v>
      </c>
      <c r="K872" s="72">
        <v>1259.7036640565396</v>
      </c>
      <c r="L872" s="70">
        <v>0.041095208650789512</v>
      </c>
      <c r="M872" s="71">
        <f>IF(L872&lt;1,1,L872)</f>
        <v>1</v>
      </c>
      <c r="N872" s="70" t="s">
        <v>3288</v>
      </c>
      <c r="O872" s="71">
        <f>IF(OR(I872=$A$1,I872=0),"",IF(N872=MappingTables!$C$14,VLOOKUP(J872,ModelParameters!$M$8:$N$15,2,FALSE),IF(N872=MappingTables!$C$16,VLOOKUP(J872,ModelParameters!$P$8:$Q$15,2,FALSE),0)))</f>
        <v>0.125</v>
      </c>
      <c r="P872" s="73">
        <f>IF(OR(I872=0,I872=$A$1),0,MIN(O872*M872,1)*K872)</f>
        <v>157.46295800706744</v>
      </c>
      <c r="Q872" s="73">
        <f>IF(B872="",0,IF(OR(H872=MappingTables!$C$34,H872=MappingTables!$C$35),P872,0))</f>
        <v>0</v>
      </c>
      <c r="R872" s="73">
        <f>IF(ISNA(IF(AND(VLOOKUP(CONCATENATE($D872,$G872),CSRFinput!$B:$E,4,0)=0,OR(H872=MappingTables!$C$31,H872=MappingTables!$C$32)),1,VLOOKUP(CONCATENATE($D872,$G872),CSRFinput!$B:$E,4,0))),0,IF(AND(VLOOKUP(CONCATENATE($D872,$G872),CSRFinput!$B:$E,4,0)=0,OR(H872=MappingTables!$C$31,H872=MappingTables!$C$32)),1,VLOOKUP(CONCATENATE($D872,$G872),CSRFinput!$B:$E,4,0)))</f>
        <v>0.054776304963434752</v>
      </c>
      <c r="S872" s="73">
        <f>IF(B872="",0,P872*R872)</f>
        <v>8.6252390082396464</v>
      </c>
      <c r="T872" s="85">
        <f>IF(B872="",0,IF(OR(H872=MappingTables!$C$34,H872=MappingTables!$C$35),S872,0))</f>
        <v>0</v>
      </c>
    </row>
    <row r="873" spans="2:20" s="0" customFormat="0" ht="15">
      <c r="B873" s="69">
        <v>4721451</v>
      </c>
      <c r="C873" s="70" t="s">
        <v>4496</v>
      </c>
      <c r="D873" s="70" t="s">
        <v>1</v>
      </c>
      <c r="E873" s="70" t="s">
        <v>1</v>
      </c>
      <c r="F873" s="70"/>
      <c r="G873" s="70" t="s">
        <v>61</v>
      </c>
      <c r="H873" s="70" t="s">
        <v>178</v>
      </c>
      <c r="I873" s="70" t="s">
        <v>216</v>
      </c>
      <c r="J873" s="71">
        <f>IF(OR(I873=0,I873=""),"unrated",VLOOKUP(I873,MappingTables!$B$19:$C$31,2,FALSE))</f>
        <v>0</v>
      </c>
      <c r="K873" s="72">
        <v>4008.6161543892952</v>
      </c>
      <c r="L873" s="70">
        <v>1.2695071276479486</v>
      </c>
      <c r="M873" s="71">
        <f>IF(L873&lt;1,1,L873)</f>
        <v>1.2695071276479486</v>
      </c>
      <c r="N873" s="70" t="s">
        <v>3288</v>
      </c>
      <c r="O873" s="71">
        <f>IF(OR(I873=$A$1,I873=0),"",IF(N873=MappingTables!$C$14,VLOOKUP(J873,ModelParameters!$M$8:$N$15,2,FALSE),IF(N873=MappingTables!$C$16,VLOOKUP(J873,ModelParameters!$P$8:$Q$15,2,FALSE),0)))</f>
        <v>0.125</v>
      </c>
      <c r="P873" s="73">
        <f>IF(OR(I873=0,I873=$A$1),0,MIN(O873*M873,1)*K873)</f>
        <v>636.12084750024</v>
      </c>
      <c r="Q873" s="73">
        <f>IF(B873="",0,IF(OR(H873=MappingTables!$C$34,H873=MappingTables!$C$35),P873,0))</f>
        <v>0</v>
      </c>
      <c r="R873" s="73">
        <f>IF(ISNA(IF(AND(VLOOKUP(CONCATENATE($D873,$G873),CSRFinput!$B:$E,4,0)=0,OR(H873=MappingTables!$C$31,H873=MappingTables!$C$32)),1,VLOOKUP(CONCATENATE($D873,$G873),CSRFinput!$B:$E,4,0))),0,IF(AND(VLOOKUP(CONCATENATE($D873,$G873),CSRFinput!$B:$E,4,0)=0,OR(H873=MappingTables!$C$31,H873=MappingTables!$C$32)),1,VLOOKUP(CONCATENATE($D873,$G873),CSRFinput!$B:$E,4,0)))</f>
        <v>0.054776304963434752</v>
      </c>
      <c r="S873" s="73">
        <f>IF(B873="",0,P873*R873)</f>
        <v>34.844349536271716</v>
      </c>
      <c r="T873" s="85">
        <f>IF(B873="",0,IF(OR(H873=MappingTables!$C$34,H873=MappingTables!$C$35),S873,0))</f>
        <v>0</v>
      </c>
    </row>
    <row r="874" spans="2:20" s="0" customFormat="0" ht="15">
      <c r="B874" s="69">
        <v>22554226</v>
      </c>
      <c r="C874" s="70" t="s">
        <v>4497</v>
      </c>
      <c r="D874" s="70" t="s">
        <v>1</v>
      </c>
      <c r="E874" s="70" t="s">
        <v>1</v>
      </c>
      <c r="F874" s="70"/>
      <c r="G874" s="70" t="s">
        <v>61</v>
      </c>
      <c r="H874" s="70" t="s">
        <v>178</v>
      </c>
      <c r="I874" s="70" t="s">
        <v>179</v>
      </c>
      <c r="J874" s="71">
        <f>IF(OR(I874=0,I874=""),"unrated",VLOOKUP(I874,MappingTables!$B$19:$C$31,2,FALSE))</f>
        <v>4</v>
      </c>
      <c r="K874" s="72">
        <v>112.76632663244988</v>
      </c>
      <c r="L874" s="70">
        <v>0.068493051810032168</v>
      </c>
      <c r="M874" s="71">
        <f>IF(L874&lt;1,1,L874)</f>
        <v>1</v>
      </c>
      <c r="N874" s="70" t="s">
        <v>3288</v>
      </c>
      <c r="O874" s="71">
        <f>IF(OR(I874=$A$1,I874=0),"",IF(N874=MappingTables!$C$14,VLOOKUP(J874,ModelParameters!$M$8:$N$15,2,FALSE),IF(N874=MappingTables!$C$16,VLOOKUP(J874,ModelParameters!$P$8:$Q$15,2,FALSE),0)))</f>
        <v>0.82</v>
      </c>
      <c r="P874" s="73">
        <f>IF(OR(I874=0,I874=$A$1),0,MIN(O874*M874,1)*K874)</f>
        <v>92.468387838608912</v>
      </c>
      <c r="Q874" s="73">
        <f>IF(B874="",0,IF(OR(H874=MappingTables!$C$34,H874=MappingTables!$C$35),P874,0))</f>
        <v>0</v>
      </c>
      <c r="R874" s="73">
        <f>IF(ISNA(IF(AND(VLOOKUP(CONCATENATE($D874,$G874),CSRFinput!$B:$E,4,0)=0,OR(H874=MappingTables!$C$31,H874=MappingTables!$C$32)),1,VLOOKUP(CONCATENATE($D874,$G874),CSRFinput!$B:$E,4,0))),0,IF(AND(VLOOKUP(CONCATENATE($D874,$G874),CSRFinput!$B:$E,4,0)=0,OR(H874=MappingTables!$C$31,H874=MappingTables!$C$32)),1,VLOOKUP(CONCATENATE($D874,$G874),CSRFinput!$B:$E,4,0)))</f>
        <v>0.054776304963434752</v>
      </c>
      <c r="S874" s="73">
        <f>IF(B874="",0,P874*R874)</f>
        <v>5.0650766117248024</v>
      </c>
      <c r="T874" s="85">
        <f>IF(B874="",0,IF(OR(H874=MappingTables!$C$34,H874=MappingTables!$C$35),S874,0))</f>
        <v>0</v>
      </c>
    </row>
    <row r="875" spans="2:20" s="0" customFormat="0" ht="15">
      <c r="B875" s="69" t="s">
        <v>4498</v>
      </c>
      <c r="C875" s="70" t="s">
        <v>4499</v>
      </c>
      <c r="D875" s="70" t="s">
        <v>1</v>
      </c>
      <c r="E875" s="70" t="s">
        <v>1</v>
      </c>
      <c r="F875" s="70"/>
      <c r="G875" s="70" t="s">
        <v>61</v>
      </c>
      <c r="H875" s="70" t="s">
        <v>178</v>
      </c>
      <c r="I875" s="70" t="s">
        <v>204</v>
      </c>
      <c r="J875" s="71">
        <f>IF(OR(I875=0,I875=""),"unrated",VLOOKUP(I875,MappingTables!$B$19:$C$31,2,FALSE))</f>
        <v>6</v>
      </c>
      <c r="K875" s="72">
        <v>62.001758307423112</v>
      </c>
      <c r="L875" s="70">
        <v>0.08437037046660152</v>
      </c>
      <c r="M875" s="71">
        <f>IF(L875&lt;1,1,L875)</f>
        <v>1</v>
      </c>
      <c r="N875" s="70" t="s">
        <v>3288</v>
      </c>
      <c r="O875" s="71">
        <f>IF(OR(I875=$A$1,I875=0),"",IF(N875=MappingTables!$C$14,VLOOKUP(J875,ModelParameters!$M$8:$N$15,2,FALSE),IF(N875=MappingTables!$C$16,VLOOKUP(J875,ModelParameters!$P$8:$Q$15,2,FALSE),0)))</f>
        <v>1</v>
      </c>
      <c r="P875" s="73">
        <f>IF(OR(I875=0,I875=$A$1),0,MIN(O875*M875,1)*K875)</f>
        <v>62.001758307423112</v>
      </c>
      <c r="Q875" s="73">
        <f>IF(B875="",0,IF(OR(H875=MappingTables!$C$34,H875=MappingTables!$C$35),P875,0))</f>
        <v>0</v>
      </c>
      <c r="R875" s="73">
        <f>IF(ISNA(IF(AND(VLOOKUP(CONCATENATE($D875,$G875),CSRFinput!$B:$E,4,0)=0,OR(H875=MappingTables!$C$31,H875=MappingTables!$C$32)),1,VLOOKUP(CONCATENATE($D875,$G875),CSRFinput!$B:$E,4,0))),0,IF(AND(VLOOKUP(CONCATENATE($D875,$G875),CSRFinput!$B:$E,4,0)=0,OR(H875=MappingTables!$C$31,H875=MappingTables!$C$32)),1,VLOOKUP(CONCATENATE($D875,$G875),CSRFinput!$B:$E,4,0)))</f>
        <v>0.054776304963434752</v>
      </c>
      <c r="S875" s="73">
        <f>IF(B875="",0,P875*R875)</f>
        <v>3.3962272213165824</v>
      </c>
      <c r="T875" s="85">
        <f>IF(B875="",0,IF(OR(H875=MappingTables!$C$34,H875=MappingTables!$C$35),S875,0))</f>
        <v>0</v>
      </c>
    </row>
    <row r="876" spans="2:20" s="0" customFormat="0" ht="15">
      <c r="B876" s="69" t="s">
        <v>4500</v>
      </c>
      <c r="C876" s="70" t="s">
        <v>4501</v>
      </c>
      <c r="D876" s="70" t="s">
        <v>1</v>
      </c>
      <c r="E876" s="70" t="s">
        <v>1</v>
      </c>
      <c r="F876" s="70"/>
      <c r="G876" s="70" t="s">
        <v>61</v>
      </c>
      <c r="H876" s="70" t="s">
        <v>178</v>
      </c>
      <c r="I876" s="70" t="s">
        <v>184</v>
      </c>
      <c r="J876" s="71">
        <f>IF(OR(I876=0,I876=""),"unrated",VLOOKUP(I876,MappingTables!$B$19:$C$31,2,FALSE))</f>
        <v>5</v>
      </c>
      <c r="K876" s="72">
        <v>218.35530564434864</v>
      </c>
      <c r="L876" s="70">
        <v>0.068491003075885264</v>
      </c>
      <c r="M876" s="71">
        <f>IF(L876&lt;1,1,L876)</f>
        <v>1</v>
      </c>
      <c r="N876" s="70" t="s">
        <v>3288</v>
      </c>
      <c r="O876" s="71">
        <f>IF(OR(I876=$A$1,I876=0),"",IF(N876=MappingTables!$C$14,VLOOKUP(J876,ModelParameters!$M$8:$N$15,2,FALSE),IF(N876=MappingTables!$C$16,VLOOKUP(J876,ModelParameters!$P$8:$Q$15,2,FALSE),0)))</f>
        <v>1</v>
      </c>
      <c r="P876" s="73">
        <f>IF(OR(I876=0,I876=$A$1),0,MIN(O876*M876,1)*K876)</f>
        <v>218.35530564434864</v>
      </c>
      <c r="Q876" s="73">
        <f>IF(B876="",0,IF(OR(H876=MappingTables!$C$34,H876=MappingTables!$C$35),P876,0))</f>
        <v>0</v>
      </c>
      <c r="R876" s="73">
        <f>IF(ISNA(IF(AND(VLOOKUP(CONCATENATE($D876,$G876),CSRFinput!$B:$E,4,0)=0,OR(H876=MappingTables!$C$31,H876=MappingTables!$C$32)),1,VLOOKUP(CONCATENATE($D876,$G876),CSRFinput!$B:$E,4,0))),0,IF(AND(VLOOKUP(CONCATENATE($D876,$G876),CSRFinput!$B:$E,4,0)=0,OR(H876=MappingTables!$C$31,H876=MappingTables!$C$32)),1,VLOOKUP(CONCATENATE($D876,$G876),CSRFinput!$B:$E,4,0)))</f>
        <v>0.054776304963434752</v>
      </c>
      <c r="S876" s="73">
        <f>IF(B876="",0,P876*R876)</f>
        <v>11.960696812358848</v>
      </c>
      <c r="T876" s="85">
        <f>IF(B876="",0,IF(OR(H876=MappingTables!$C$34,H876=MappingTables!$C$35),S876,0))</f>
        <v>0</v>
      </c>
    </row>
    <row r="877" spans="2:20" s="0" customFormat="0" ht="15">
      <c r="B877" s="69" t="s">
        <v>3807</v>
      </c>
      <c r="C877" s="70" t="s">
        <v>3808</v>
      </c>
      <c r="D877" s="70" t="s">
        <v>1</v>
      </c>
      <c r="E877" s="70" t="s">
        <v>1</v>
      </c>
      <c r="F877" s="70"/>
      <c r="G877" s="70" t="s">
        <v>61</v>
      </c>
      <c r="H877" s="70" t="s">
        <v>178</v>
      </c>
      <c r="I877" s="70" t="s">
        <v>198</v>
      </c>
      <c r="J877" s="71" t="str">
        <f>IF(OR(I877=0,I877=""),"unrated",VLOOKUP(I877,MappingTables!$B$19:$C$31,2,FALSE))</f>
        <v>unrated</v>
      </c>
      <c r="K877" s="72">
        <v>16214.46509379701</v>
      </c>
      <c r="L877" s="70">
        <v>9.881446549656664</v>
      </c>
      <c r="M877" s="71">
        <f>IF(L877&lt;1,1,L877)</f>
        <v>9.881446549656664</v>
      </c>
      <c r="N877" s="70" t="s">
        <v>3288</v>
      </c>
      <c r="O877" s="71">
        <f>IF(OR(I877=$A$1,I877=0),"",IF(N877=MappingTables!$C$14,VLOOKUP(J877,ModelParameters!$M$8:$N$15,2,FALSE),IF(N877=MappingTables!$C$16,VLOOKUP(J877,ModelParameters!$P$8:$Q$15,2,FALSE),0)))</f>
        <v>1</v>
      </c>
      <c r="P877" s="73">
        <f>IF(OR(I877=0,I877=$A$1),0,MIN(O877*M877,1)*K877)</f>
        <v>16214.46509379701</v>
      </c>
      <c r="Q877" s="73">
        <f>IF(B877="",0,IF(OR(H877=MappingTables!$C$34,H877=MappingTables!$C$35),P877,0))</f>
        <v>0</v>
      </c>
      <c r="R877" s="73">
        <f>IF(ISNA(IF(AND(VLOOKUP(CONCATENATE($D877,$G877),CSRFinput!$B:$E,4,0)=0,OR(H877=MappingTables!$C$31,H877=MappingTables!$C$32)),1,VLOOKUP(CONCATENATE($D877,$G877),CSRFinput!$B:$E,4,0))),0,IF(AND(VLOOKUP(CONCATENATE($D877,$G877),CSRFinput!$B:$E,4,0)=0,OR(H877=MappingTables!$C$31,H877=MappingTables!$C$32)),1,VLOOKUP(CONCATENATE($D877,$G877),CSRFinput!$B:$E,4,0)))</f>
        <v>0.054776304963434752</v>
      </c>
      <c r="S877" s="73">
        <f>IF(B877="",0,P877*R877)</f>
        <v>888.16848479679264</v>
      </c>
      <c r="T877" s="85">
        <f>IF(B877="",0,IF(OR(H877=MappingTables!$C$34,H877=MappingTables!$C$35),S877,0))</f>
        <v>0</v>
      </c>
    </row>
    <row r="878" spans="2:20" s="0" customFormat="0" ht="15">
      <c r="B878" s="69" t="s">
        <v>3896</v>
      </c>
      <c r="C878" s="70" t="s">
        <v>3897</v>
      </c>
      <c r="D878" s="70" t="s">
        <v>1</v>
      </c>
      <c r="E878" s="70" t="s">
        <v>1</v>
      </c>
      <c r="F878" s="70"/>
      <c r="G878" s="70" t="s">
        <v>61</v>
      </c>
      <c r="H878" s="70" t="s">
        <v>178</v>
      </c>
      <c r="I878" s="70" t="s">
        <v>198</v>
      </c>
      <c r="J878" s="71" t="str">
        <f>IF(OR(I878=0,I878=""),"unrated",VLOOKUP(I878,MappingTables!$B$19:$C$31,2,FALSE))</f>
        <v>unrated</v>
      </c>
      <c r="K878" s="72">
        <v>66.346705019123232</v>
      </c>
      <c r="L878" s="70">
        <v>0.068494559534462528</v>
      </c>
      <c r="M878" s="71">
        <f>IF(L878&lt;1,1,L878)</f>
        <v>1</v>
      </c>
      <c r="N878" s="70" t="s">
        <v>3288</v>
      </c>
      <c r="O878" s="71">
        <f>IF(OR(I878=$A$1,I878=0),"",IF(N878=MappingTables!$C$14,VLOOKUP(J878,ModelParameters!$M$8:$N$15,2,FALSE),IF(N878=MappingTables!$C$16,VLOOKUP(J878,ModelParameters!$P$8:$Q$15,2,FALSE),0)))</f>
        <v>1</v>
      </c>
      <c r="P878" s="73">
        <f>IF(OR(I878=0,I878=$A$1),0,MIN(O878*M878,1)*K878)</f>
        <v>66.346705019123232</v>
      </c>
      <c r="Q878" s="73">
        <f>IF(B878="",0,IF(OR(H878=MappingTables!$C$34,H878=MappingTables!$C$35),P878,0))</f>
        <v>0</v>
      </c>
      <c r="R878" s="73">
        <f>IF(ISNA(IF(AND(VLOOKUP(CONCATENATE($D878,$G878),CSRFinput!$B:$E,4,0)=0,OR(H878=MappingTables!$C$31,H878=MappingTables!$C$32)),1,VLOOKUP(CONCATENATE($D878,$G878),CSRFinput!$B:$E,4,0))),0,IF(AND(VLOOKUP(CONCATENATE($D878,$G878),CSRFinput!$B:$E,4,0)=0,OR(H878=MappingTables!$C$31,H878=MappingTables!$C$32)),1,VLOOKUP(CONCATENATE($D878,$G878),CSRFinput!$B:$E,4,0)))</f>
        <v>0.054776304963434752</v>
      </c>
      <c r="S878" s="73">
        <f>IF(B878="",0,P878*R878)</f>
        <v>3.6342273474465416</v>
      </c>
      <c r="T878" s="85">
        <f>IF(B878="",0,IF(OR(H878=MappingTables!$C$34,H878=MappingTables!$C$35),S878,0))</f>
        <v>0</v>
      </c>
    </row>
    <row r="879" spans="2:20" s="0" customFormat="0" ht="15">
      <c r="B879" s="69" t="s">
        <v>4362</v>
      </c>
      <c r="C879" s="70" t="s">
        <v>4363</v>
      </c>
      <c r="D879" s="70" t="s">
        <v>1</v>
      </c>
      <c r="E879" s="70" t="s">
        <v>1</v>
      </c>
      <c r="F879" s="70"/>
      <c r="G879" s="70" t="s">
        <v>61</v>
      </c>
      <c r="H879" s="70" t="s">
        <v>178</v>
      </c>
      <c r="I879" s="70" t="s">
        <v>216</v>
      </c>
      <c r="J879" s="71">
        <f>IF(OR(I879=0,I879=""),"unrated",VLOOKUP(I879,MappingTables!$B$19:$C$31,2,FALSE))</f>
        <v>0</v>
      </c>
      <c r="K879" s="72">
        <v>86.561235974275072</v>
      </c>
      <c r="L879" s="70">
        <v>0.054790467155667256</v>
      </c>
      <c r="M879" s="71">
        <f>IF(L879&lt;1,1,L879)</f>
        <v>1</v>
      </c>
      <c r="N879" s="70" t="s">
        <v>3288</v>
      </c>
      <c r="O879" s="71">
        <f>IF(OR(I879=$A$1,I879=0),"",IF(N879=MappingTables!$C$14,VLOOKUP(J879,ModelParameters!$M$8:$N$15,2,FALSE),IF(N879=MappingTables!$C$16,VLOOKUP(J879,ModelParameters!$P$8:$Q$15,2,FALSE),0)))</f>
        <v>0.125</v>
      </c>
      <c r="P879" s="73">
        <f>IF(OR(I879=0,I879=$A$1),0,MIN(O879*M879,1)*K879)</f>
        <v>10.820154496784384</v>
      </c>
      <c r="Q879" s="73">
        <f>IF(B879="",0,IF(OR(H879=MappingTables!$C$34,H879=MappingTables!$C$35),P879,0))</f>
        <v>0</v>
      </c>
      <c r="R879" s="73">
        <f>IF(ISNA(IF(AND(VLOOKUP(CONCATENATE($D879,$G879),CSRFinput!$B:$E,4,0)=0,OR(H879=MappingTables!$C$31,H879=MappingTables!$C$32)),1,VLOOKUP(CONCATENATE($D879,$G879),CSRFinput!$B:$E,4,0))),0,IF(AND(VLOOKUP(CONCATENATE($D879,$G879),CSRFinput!$B:$E,4,0)=0,OR(H879=MappingTables!$C$31,H879=MappingTables!$C$32)),1,VLOOKUP(CONCATENATE($D879,$G879),CSRFinput!$B:$E,4,0)))</f>
        <v>0.054776304963434752</v>
      </c>
      <c r="S879" s="73">
        <f>IF(B879="",0,P879*R879)</f>
        <v>0.59268808246734128</v>
      </c>
      <c r="T879" s="85">
        <f>IF(B879="",0,IF(OR(H879=MappingTables!$C$34,H879=MappingTables!$C$35),S879,0))</f>
        <v>0</v>
      </c>
    </row>
    <row r="880" spans="2:20" s="0" customFormat="0" ht="15">
      <c r="B880" s="69" t="s">
        <v>4502</v>
      </c>
      <c r="C880" s="70" t="s">
        <v>4503</v>
      </c>
      <c r="D880" s="70" t="s">
        <v>1</v>
      </c>
      <c r="E880" s="70" t="s">
        <v>1</v>
      </c>
      <c r="F880" s="70"/>
      <c r="G880" s="70" t="s">
        <v>61</v>
      </c>
      <c r="H880" s="70" t="s">
        <v>178</v>
      </c>
      <c r="I880" s="70" t="s">
        <v>204</v>
      </c>
      <c r="J880" s="71">
        <f>IF(OR(I880=0,I880=""),"unrated",VLOOKUP(I880,MappingTables!$B$19:$C$31,2,FALSE))</f>
        <v>6</v>
      </c>
      <c r="K880" s="72">
        <v>151.64713857967498</v>
      </c>
      <c r="L880" s="70">
        <v>0.068498012077854624</v>
      </c>
      <c r="M880" s="71">
        <f>IF(L880&lt;1,1,L880)</f>
        <v>1</v>
      </c>
      <c r="N880" s="70" t="s">
        <v>3288</v>
      </c>
      <c r="O880" s="71">
        <f>IF(OR(I880=$A$1,I880=0),"",IF(N880=MappingTables!$C$14,VLOOKUP(J880,ModelParameters!$M$8:$N$15,2,FALSE),IF(N880=MappingTables!$C$16,VLOOKUP(J880,ModelParameters!$P$8:$Q$15,2,FALSE),0)))</f>
        <v>1</v>
      </c>
      <c r="P880" s="73">
        <f>IF(OR(I880=0,I880=$A$1),0,MIN(O880*M880,1)*K880)</f>
        <v>151.64713857967498</v>
      </c>
      <c r="Q880" s="73">
        <f>IF(B880="",0,IF(OR(H880=MappingTables!$C$34,H880=MappingTables!$C$35),P880,0))</f>
        <v>0</v>
      </c>
      <c r="R880" s="73">
        <f>IF(ISNA(IF(AND(VLOOKUP(CONCATENATE($D880,$G880),CSRFinput!$B:$E,4,0)=0,OR(H880=MappingTables!$C$31,H880=MappingTables!$C$32)),1,VLOOKUP(CONCATENATE($D880,$G880),CSRFinput!$B:$E,4,0))),0,IF(AND(VLOOKUP(CONCATENATE($D880,$G880),CSRFinput!$B:$E,4,0)=0,OR(H880=MappingTables!$C$31,H880=MappingTables!$C$32)),1,VLOOKUP(CONCATENATE($D880,$G880),CSRFinput!$B:$E,4,0)))</f>
        <v>0.054776304963434752</v>
      </c>
      <c r="S880" s="73">
        <f>IF(B880="",0,P880*R880)</f>
        <v>8.306669909672528</v>
      </c>
      <c r="T880" s="85">
        <f>IF(B880="",0,IF(OR(H880=MappingTables!$C$34,H880=MappingTables!$C$35),S880,0))</f>
        <v>0</v>
      </c>
    </row>
    <row r="881" spans="2:20" s="0" customFormat="0" ht="15">
      <c r="B881" s="69" t="s">
        <v>4504</v>
      </c>
      <c r="C881" s="70" t="s">
        <v>4505</v>
      </c>
      <c r="D881" s="70" t="s">
        <v>1</v>
      </c>
      <c r="E881" s="70" t="s">
        <v>1</v>
      </c>
      <c r="F881" s="70"/>
      <c r="G881" s="70" t="s">
        <v>61</v>
      </c>
      <c r="H881" s="70" t="s">
        <v>178</v>
      </c>
      <c r="I881" s="70" t="s">
        <v>216</v>
      </c>
      <c r="J881" s="71">
        <f>IF(OR(I881=0,I881=""),"unrated",VLOOKUP(I881,MappingTables!$B$19:$C$31,2,FALSE))</f>
        <v>0</v>
      </c>
      <c r="K881" s="72">
        <v>5438.102506535224</v>
      </c>
      <c r="L881" s="70">
        <v>0.12706037486216542</v>
      </c>
      <c r="M881" s="71">
        <f>IF(L881&lt;1,1,L881)</f>
        <v>1</v>
      </c>
      <c r="N881" s="70" t="s">
        <v>3288</v>
      </c>
      <c r="O881" s="71">
        <f>IF(OR(I881=$A$1,I881=0),"",IF(N881=MappingTables!$C$14,VLOOKUP(J881,ModelParameters!$M$8:$N$15,2,FALSE),IF(N881=MappingTables!$C$16,VLOOKUP(J881,ModelParameters!$P$8:$Q$15,2,FALSE),0)))</f>
        <v>0.125</v>
      </c>
      <c r="P881" s="73">
        <f>IF(OR(I881=0,I881=$A$1),0,MIN(O881*M881,1)*K881)</f>
        <v>679.76281331690304</v>
      </c>
      <c r="Q881" s="73">
        <f>IF(B881="",0,IF(OR(H881=MappingTables!$C$34,H881=MappingTables!$C$35),P881,0))</f>
        <v>0</v>
      </c>
      <c r="R881" s="73">
        <f>IF(ISNA(IF(AND(VLOOKUP(CONCATENATE($D881,$G881),CSRFinput!$B:$E,4,0)=0,OR(H881=MappingTables!$C$31,H881=MappingTables!$C$32)),1,VLOOKUP(CONCATENATE($D881,$G881),CSRFinput!$B:$E,4,0))),0,IF(AND(VLOOKUP(CONCATENATE($D881,$G881),CSRFinput!$B:$E,4,0)=0,OR(H881=MappingTables!$C$31,H881=MappingTables!$C$32)),1,VLOOKUP(CONCATENATE($D881,$G881),CSRFinput!$B:$E,4,0)))</f>
        <v>0.054776304963434752</v>
      </c>
      <c r="S881" s="73">
        <f>IF(B881="",0,P881*R881)</f>
        <v>37.234895165049048</v>
      </c>
      <c r="T881" s="85">
        <f>IF(B881="",0,IF(OR(H881=MappingTables!$C$34,H881=MappingTables!$C$35),S881,0))</f>
        <v>0</v>
      </c>
    </row>
    <row r="882" spans="2:20" s="0" customFormat="0" ht="15">
      <c r="B882" s="69">
        <v>2290885</v>
      </c>
      <c r="C882" s="70" t="s">
        <v>3593</v>
      </c>
      <c r="D882" s="70" t="s">
        <v>1</v>
      </c>
      <c r="E882" s="70" t="s">
        <v>1</v>
      </c>
      <c r="F882" s="70"/>
      <c r="G882" s="70" t="s">
        <v>61</v>
      </c>
      <c r="H882" s="70" t="s">
        <v>178</v>
      </c>
      <c r="I882" s="70" t="s">
        <v>188</v>
      </c>
      <c r="J882" s="71">
        <f>IF(OR(I882=0,I882=""),"unrated",VLOOKUP(I882,MappingTables!$B$19:$C$31,2,FALSE))</f>
        <v>2</v>
      </c>
      <c r="K882" s="72">
        <v>37.640457591679944</v>
      </c>
      <c r="L882" s="70">
        <v>0.068495327072772392</v>
      </c>
      <c r="M882" s="71">
        <f>IF(L882&lt;1,1,L882)</f>
        <v>1</v>
      </c>
      <c r="N882" s="70" t="s">
        <v>3288</v>
      </c>
      <c r="O882" s="71">
        <f>IF(OR(I882=$A$1,I882=0),"",IF(N882=MappingTables!$C$14,VLOOKUP(J882,ModelParameters!$M$8:$N$15,2,FALSE),IF(N882=MappingTables!$C$16,VLOOKUP(J882,ModelParameters!$P$8:$Q$15,2,FALSE),0)))</f>
        <v>0.166</v>
      </c>
      <c r="P882" s="73">
        <f>IF(OR(I882=0,I882=$A$1),0,MIN(O882*M882,1)*K882)</f>
        <v>6.2483159602188704</v>
      </c>
      <c r="Q882" s="73">
        <f>IF(B882="",0,IF(OR(H882=MappingTables!$C$34,H882=MappingTables!$C$35),P882,0))</f>
        <v>0</v>
      </c>
      <c r="R882" s="73">
        <f>IF(ISNA(IF(AND(VLOOKUP(CONCATENATE($D882,$G882),CSRFinput!$B:$E,4,0)=0,OR(H882=MappingTables!$C$31,H882=MappingTables!$C$32)),1,VLOOKUP(CONCATENATE($D882,$G882),CSRFinput!$B:$E,4,0))),0,IF(AND(VLOOKUP(CONCATENATE($D882,$G882),CSRFinput!$B:$E,4,0)=0,OR(H882=MappingTables!$C$31,H882=MappingTables!$C$32)),1,VLOOKUP(CONCATENATE($D882,$G882),CSRFinput!$B:$E,4,0)))</f>
        <v>0.054776304963434752</v>
      </c>
      <c r="S882" s="73">
        <f>IF(B882="",0,P882*R882)</f>
        <v>0.34225966054484552</v>
      </c>
      <c r="T882" s="85">
        <f>IF(B882="",0,IF(OR(H882=MappingTables!$C$34,H882=MappingTables!$C$35),S882,0))</f>
        <v>0</v>
      </c>
    </row>
    <row r="883" spans="2:20" s="0" customFormat="0" ht="15">
      <c r="B883" s="69" t="s">
        <v>4115</v>
      </c>
      <c r="C883" s="70" t="s">
        <v>4116</v>
      </c>
      <c r="D883" s="70" t="s">
        <v>1</v>
      </c>
      <c r="E883" s="70" t="s">
        <v>1</v>
      </c>
      <c r="F883" s="70"/>
      <c r="G883" s="70" t="s">
        <v>61</v>
      </c>
      <c r="H883" s="70" t="s">
        <v>178</v>
      </c>
      <c r="I883" s="70" t="s">
        <v>179</v>
      </c>
      <c r="J883" s="71">
        <f>IF(OR(I883=0,I883=""),"unrated",VLOOKUP(I883,MappingTables!$B$19:$C$31,2,FALSE))</f>
        <v>4</v>
      </c>
      <c r="K883" s="72">
        <v>1886.6817023306864</v>
      </c>
      <c r="L883" s="70">
        <v>6.1326039006268888</v>
      </c>
      <c r="M883" s="71">
        <f>IF(L883&lt;1,1,L883)</f>
        <v>6.1326039006268888</v>
      </c>
      <c r="N883" s="70" t="s">
        <v>3288</v>
      </c>
      <c r="O883" s="71">
        <f>IF(OR(I883=$A$1,I883=0),"",IF(N883=MappingTables!$C$14,VLOOKUP(J883,ModelParameters!$M$8:$N$15,2,FALSE),IF(N883=MappingTables!$C$16,VLOOKUP(J883,ModelParameters!$P$8:$Q$15,2,FALSE),0)))</f>
        <v>0.82</v>
      </c>
      <c r="P883" s="73">
        <f>IF(OR(I883=0,I883=$A$1),0,MIN(O883*M883,1)*K883)</f>
        <v>1886.6817023306864</v>
      </c>
      <c r="Q883" s="73">
        <f>IF(B883="",0,IF(OR(H883=MappingTables!$C$34,H883=MappingTables!$C$35),P883,0))</f>
        <v>0</v>
      </c>
      <c r="R883" s="73">
        <f>IF(ISNA(IF(AND(VLOOKUP(CONCATENATE($D883,$G883),CSRFinput!$B:$E,4,0)=0,OR(H883=MappingTables!$C$31,H883=MappingTables!$C$32)),1,VLOOKUP(CONCATENATE($D883,$G883),CSRFinput!$B:$E,4,0))),0,IF(AND(VLOOKUP(CONCATENATE($D883,$G883),CSRFinput!$B:$E,4,0)=0,OR(H883=MappingTables!$C$31,H883=MappingTables!$C$32)),1,VLOOKUP(CONCATENATE($D883,$G883),CSRFinput!$B:$E,4,0)))</f>
        <v>0.054776304963434752</v>
      </c>
      <c r="S883" s="73">
        <f>IF(B883="",0,P883*R883)</f>
        <v>103.3454522957979</v>
      </c>
      <c r="T883" s="85">
        <f>IF(B883="",0,IF(OR(H883=MappingTables!$C$34,H883=MappingTables!$C$35),S883,0))</f>
        <v>0</v>
      </c>
    </row>
    <row r="884" spans="2:20" s="0" customFormat="0" ht="15">
      <c r="B884" s="69" t="s">
        <v>4506</v>
      </c>
      <c r="C884" s="70" t="s">
        <v>4507</v>
      </c>
      <c r="D884" s="70" t="s">
        <v>1</v>
      </c>
      <c r="E884" s="70" t="s">
        <v>1</v>
      </c>
      <c r="F884" s="70"/>
      <c r="G884" s="70" t="s">
        <v>61</v>
      </c>
      <c r="H884" s="70" t="s">
        <v>178</v>
      </c>
      <c r="I884" s="70" t="s">
        <v>198</v>
      </c>
      <c r="J884" s="71" t="str">
        <f>IF(OR(I884=0,I884=""),"unrated",VLOOKUP(I884,MappingTables!$B$19:$C$31,2,FALSE))</f>
        <v>unrated</v>
      </c>
      <c r="K884" s="72">
        <v>0.025404010135929108</v>
      </c>
      <c r="L884" s="70">
        <v>6.2119981412518832</v>
      </c>
      <c r="M884" s="71">
        <f>IF(L884&lt;1,1,L884)</f>
        <v>6.2119981412518832</v>
      </c>
      <c r="N884" s="70" t="s">
        <v>3288</v>
      </c>
      <c r="O884" s="71">
        <f>IF(OR(I884=$A$1,I884=0),"",IF(N884=MappingTables!$C$14,VLOOKUP(J884,ModelParameters!$M$8:$N$15,2,FALSE),IF(N884=MappingTables!$C$16,VLOOKUP(J884,ModelParameters!$P$8:$Q$15,2,FALSE),0)))</f>
        <v>1</v>
      </c>
      <c r="P884" s="73">
        <f>IF(OR(I884=0,I884=$A$1),0,MIN(O884*M884,1)*K884)</f>
        <v>0.025404010135929108</v>
      </c>
      <c r="Q884" s="73">
        <f>IF(B884="",0,IF(OR(H884=MappingTables!$C$34,H884=MappingTables!$C$35),P884,0))</f>
        <v>0</v>
      </c>
      <c r="R884" s="73">
        <f>IF(ISNA(IF(AND(VLOOKUP(CONCATENATE($D884,$G884),CSRFinput!$B:$E,4,0)=0,OR(H884=MappingTables!$C$31,H884=MappingTables!$C$32)),1,VLOOKUP(CONCATENATE($D884,$G884),CSRFinput!$B:$E,4,0))),0,IF(AND(VLOOKUP(CONCATENATE($D884,$G884),CSRFinput!$B:$E,4,0)=0,OR(H884=MappingTables!$C$31,H884=MappingTables!$C$32)),1,VLOOKUP(CONCATENATE($D884,$G884),CSRFinput!$B:$E,4,0)))</f>
        <v>0.054776304963434752</v>
      </c>
      <c r="S884" s="73">
        <f>IF(B884="",0,P884*R884)</f>
        <v>0.0013915378064998404</v>
      </c>
      <c r="T884" s="85">
        <f>IF(B884="",0,IF(OR(H884=MappingTables!$C$34,H884=MappingTables!$C$35),S884,0))</f>
        <v>0</v>
      </c>
    </row>
    <row r="885" spans="2:20" s="0" customFormat="0" ht="15">
      <c r="B885" s="69" t="s">
        <v>3798</v>
      </c>
      <c r="C885" s="70" t="s">
        <v>3799</v>
      </c>
      <c r="D885" s="70" t="s">
        <v>1</v>
      </c>
      <c r="E885" s="70" t="s">
        <v>1</v>
      </c>
      <c r="F885" s="70"/>
      <c r="G885" s="70" t="s">
        <v>61</v>
      </c>
      <c r="H885" s="70" t="s">
        <v>178</v>
      </c>
      <c r="I885" s="70" t="s">
        <v>198</v>
      </c>
      <c r="J885" s="71" t="str">
        <f>IF(OR(I885=0,I885=""),"unrated",VLOOKUP(I885,MappingTables!$B$19:$C$31,2,FALSE))</f>
        <v>unrated</v>
      </c>
      <c r="K885" s="72">
        <v>67.648909121651616</v>
      </c>
      <c r="L885" s="70">
        <v>7.021566023116096</v>
      </c>
      <c r="M885" s="71">
        <f>IF(L885&lt;1,1,L885)</f>
        <v>7.021566023116096</v>
      </c>
      <c r="N885" s="70" t="s">
        <v>3288</v>
      </c>
      <c r="O885" s="71">
        <f>IF(OR(I885=$A$1,I885=0),"",IF(N885=MappingTables!$C$14,VLOOKUP(J885,ModelParameters!$M$8:$N$15,2,FALSE),IF(N885=MappingTables!$C$16,VLOOKUP(J885,ModelParameters!$P$8:$Q$15,2,FALSE),0)))</f>
        <v>1</v>
      </c>
      <c r="P885" s="73">
        <f>IF(OR(I885=0,I885=$A$1),0,MIN(O885*M885,1)*K885)</f>
        <v>67.648909121651616</v>
      </c>
      <c r="Q885" s="73">
        <f>IF(B885="",0,IF(OR(H885=MappingTables!$C$34,H885=MappingTables!$C$35),P885,0))</f>
        <v>0</v>
      </c>
      <c r="R885" s="73">
        <f>IF(ISNA(IF(AND(VLOOKUP(CONCATENATE($D885,$G885),CSRFinput!$B:$E,4,0)=0,OR(H885=MappingTables!$C$31,H885=MappingTables!$C$32)),1,VLOOKUP(CONCATENATE($D885,$G885),CSRFinput!$B:$E,4,0))),0,IF(AND(VLOOKUP(CONCATENATE($D885,$G885),CSRFinput!$B:$E,4,0)=0,OR(H885=MappingTables!$C$31,H885=MappingTables!$C$32)),1,VLOOKUP(CONCATENATE($D885,$G885),CSRFinput!$B:$E,4,0)))</f>
        <v>0.054776304963434752</v>
      </c>
      <c r="S885" s="73">
        <f>IF(B885="",0,P885*R885)</f>
        <v>3.705557276491272</v>
      </c>
      <c r="T885" s="85">
        <f>IF(B885="",0,IF(OR(H885=MappingTables!$C$34,H885=MappingTables!$C$35),S885,0))</f>
        <v>0</v>
      </c>
    </row>
    <row r="886" spans="2:20" s="0" customFormat="0" ht="15">
      <c r="B886" s="69" t="s">
        <v>4508</v>
      </c>
      <c r="C886" s="70" t="s">
        <v>4509</v>
      </c>
      <c r="D886" s="70" t="s">
        <v>1</v>
      </c>
      <c r="E886" s="70" t="s">
        <v>1</v>
      </c>
      <c r="F886" s="70"/>
      <c r="G886" s="70" t="s">
        <v>61</v>
      </c>
      <c r="H886" s="70" t="s">
        <v>178</v>
      </c>
      <c r="I886" s="70" t="s">
        <v>198</v>
      </c>
      <c r="J886" s="71" t="str">
        <f>IF(OR(I886=0,I886=""),"unrated",VLOOKUP(I886,MappingTables!$B$19:$C$31,2,FALSE))</f>
        <v>unrated</v>
      </c>
      <c r="K886" s="72">
        <v>160.03320008329374</v>
      </c>
      <c r="L886" s="70">
        <v>9.7019203832266112</v>
      </c>
      <c r="M886" s="71">
        <f>IF(L886&lt;1,1,L886)</f>
        <v>9.7019203832266112</v>
      </c>
      <c r="N886" s="70" t="s">
        <v>3288</v>
      </c>
      <c r="O886" s="71">
        <f>IF(OR(I886=$A$1,I886=0),"",IF(N886=MappingTables!$C$14,VLOOKUP(J886,ModelParameters!$M$8:$N$15,2,FALSE),IF(N886=MappingTables!$C$16,VLOOKUP(J886,ModelParameters!$P$8:$Q$15,2,FALSE),0)))</f>
        <v>1</v>
      </c>
      <c r="P886" s="73">
        <f>IF(OR(I886=0,I886=$A$1),0,MIN(O886*M886,1)*K886)</f>
        <v>160.03320008329374</v>
      </c>
      <c r="Q886" s="73">
        <f>IF(B886="",0,IF(OR(H886=MappingTables!$C$34,H886=MappingTables!$C$35),P886,0))</f>
        <v>0</v>
      </c>
      <c r="R886" s="73">
        <f>IF(ISNA(IF(AND(VLOOKUP(CONCATENATE($D886,$G886),CSRFinput!$B:$E,4,0)=0,OR(H886=MappingTables!$C$31,H886=MappingTables!$C$32)),1,VLOOKUP(CONCATENATE($D886,$G886),CSRFinput!$B:$E,4,0))),0,IF(AND(VLOOKUP(CONCATENATE($D886,$G886),CSRFinput!$B:$E,4,0)=0,OR(H886=MappingTables!$C$31,H886=MappingTables!$C$32)),1,VLOOKUP(CONCATENATE($D886,$G886),CSRFinput!$B:$E,4,0)))</f>
        <v>0.054776304963434752</v>
      </c>
      <c r="S886" s="73">
        <f>IF(B886="",0,P886*R886)</f>
        <v>8.7660273720368704</v>
      </c>
      <c r="T886" s="85">
        <f>IF(B886="",0,IF(OR(H886=MappingTables!$C$34,H886=MappingTables!$C$35),S886,0))</f>
        <v>0</v>
      </c>
    </row>
    <row r="887" spans="2:20" s="0" customFormat="0" ht="15">
      <c r="B887" s="69">
        <v>6689630</v>
      </c>
      <c r="C887" s="70" t="s">
        <v>3894</v>
      </c>
      <c r="D887" s="70" t="s">
        <v>1</v>
      </c>
      <c r="E887" s="70" t="s">
        <v>1</v>
      </c>
      <c r="F887" s="70"/>
      <c r="G887" s="70" t="s">
        <v>61</v>
      </c>
      <c r="H887" s="70" t="s">
        <v>178</v>
      </c>
      <c r="I887" s="70" t="s">
        <v>198</v>
      </c>
      <c r="J887" s="71" t="str">
        <f>IF(OR(I887=0,I887=""),"unrated",VLOOKUP(I887,MappingTables!$B$19:$C$31,2,FALSE))</f>
        <v>unrated</v>
      </c>
      <c r="K887" s="72">
        <v>31.882756771265436</v>
      </c>
      <c r="L887" s="70">
        <v>0.09319447151738584</v>
      </c>
      <c r="M887" s="71">
        <f>IF(L887&lt;1,1,L887)</f>
        <v>1</v>
      </c>
      <c r="N887" s="70" t="s">
        <v>3288</v>
      </c>
      <c r="O887" s="71">
        <f>IF(OR(I887=$A$1,I887=0),"",IF(N887=MappingTables!$C$14,VLOOKUP(J887,ModelParameters!$M$8:$N$15,2,FALSE),IF(N887=MappingTables!$C$16,VLOOKUP(J887,ModelParameters!$P$8:$Q$15,2,FALSE),0)))</f>
        <v>1</v>
      </c>
      <c r="P887" s="73">
        <f>IF(OR(I887=0,I887=$A$1),0,MIN(O887*M887,1)*K887)</f>
        <v>31.882756771265436</v>
      </c>
      <c r="Q887" s="73">
        <f>IF(B887="",0,IF(OR(H887=MappingTables!$C$34,H887=MappingTables!$C$35),P887,0))</f>
        <v>0</v>
      </c>
      <c r="R887" s="73">
        <f>IF(ISNA(IF(AND(VLOOKUP(CONCATENATE($D887,$G887),CSRFinput!$B:$E,4,0)=0,OR(H887=MappingTables!$C$31,H887=MappingTables!$C$32)),1,VLOOKUP(CONCATENATE($D887,$G887),CSRFinput!$B:$E,4,0))),0,IF(AND(VLOOKUP(CONCATENATE($D887,$G887),CSRFinput!$B:$E,4,0)=0,OR(H887=MappingTables!$C$31,H887=MappingTables!$C$32)),1,VLOOKUP(CONCATENATE($D887,$G887),CSRFinput!$B:$E,4,0)))</f>
        <v>0.054776304963434752</v>
      </c>
      <c r="S887" s="73">
        <f>IF(B887="",0,P887*R887)</f>
        <v>1.74641960797785</v>
      </c>
      <c r="T887" s="85">
        <f>IF(B887="",0,IF(OR(H887=MappingTables!$C$34,H887=MappingTables!$C$35),S887,0))</f>
        <v>0</v>
      </c>
    </row>
    <row r="888" spans="2:20" s="0" customFormat="0" ht="15">
      <c r="B888" s="69" t="s">
        <v>4130</v>
      </c>
      <c r="C888" s="70" t="s">
        <v>4131</v>
      </c>
      <c r="D888" s="70" t="s">
        <v>1</v>
      </c>
      <c r="E888" s="70" t="s">
        <v>1</v>
      </c>
      <c r="F888" s="70"/>
      <c r="G888" s="70" t="s">
        <v>61</v>
      </c>
      <c r="H888" s="70" t="s">
        <v>178</v>
      </c>
      <c r="I888" s="70" t="s">
        <v>181</v>
      </c>
      <c r="J888" s="71">
        <f>IF(OR(I888=0,I888=""),"unrated",VLOOKUP(I888,MappingTables!$B$19:$C$31,2,FALSE))</f>
        <v>3</v>
      </c>
      <c r="K888" s="72">
        <v>3.7104729835341496</v>
      </c>
      <c r="L888" s="70">
        <v>1.3537248358601758</v>
      </c>
      <c r="M888" s="71">
        <f>IF(L888&lt;1,1,L888)</f>
        <v>1.3537248358601758</v>
      </c>
      <c r="N888" s="70" t="s">
        <v>3288</v>
      </c>
      <c r="O888" s="71">
        <f>IF(OR(I888=$A$1,I888=0),"",IF(N888=MappingTables!$C$14,VLOOKUP(J888,ModelParameters!$M$8:$N$15,2,FALSE),IF(N888=MappingTables!$C$16,VLOOKUP(J888,ModelParameters!$P$8:$Q$15,2,FALSE),0)))</f>
        <v>0.197</v>
      </c>
      <c r="P888" s="73">
        <f>IF(OR(I888=0,I888=$A$1),0,MIN(O888*M888,1)*K888)</f>
        <v>0.98952300782788144</v>
      </c>
      <c r="Q888" s="73">
        <f>IF(B888="",0,IF(OR(H888=MappingTables!$C$34,H888=MappingTables!$C$35),P888,0))</f>
        <v>0</v>
      </c>
      <c r="R888" s="73">
        <f>IF(ISNA(IF(AND(VLOOKUP(CONCATENATE($D888,$G888),CSRFinput!$B:$E,4,0)=0,OR(H888=MappingTables!$C$31,H888=MappingTables!$C$32)),1,VLOOKUP(CONCATENATE($D888,$G888),CSRFinput!$B:$E,4,0))),0,IF(AND(VLOOKUP(CONCATENATE($D888,$G888),CSRFinput!$B:$E,4,0)=0,OR(H888=MappingTables!$C$31,H888=MappingTables!$C$32)),1,VLOOKUP(CONCATENATE($D888,$G888),CSRFinput!$B:$E,4,0)))</f>
        <v>0.054776304963434752</v>
      </c>
      <c r="S888" s="73">
        <f>IF(B888="",0,P888*R888)</f>
        <v>0.054202414045115272</v>
      </c>
      <c r="T888" s="85">
        <f>IF(B888="",0,IF(OR(H888=MappingTables!$C$34,H888=MappingTables!$C$35),S888,0))</f>
        <v>0</v>
      </c>
    </row>
    <row r="889" spans="2:20" s="0" customFormat="0" ht="15">
      <c r="B889" s="69">
        <v>22623687</v>
      </c>
      <c r="C889" s="70" t="s">
        <v>4510</v>
      </c>
      <c r="D889" s="70" t="s">
        <v>1</v>
      </c>
      <c r="E889" s="70" t="s">
        <v>1</v>
      </c>
      <c r="F889" s="70"/>
      <c r="G889" s="70" t="s">
        <v>61</v>
      </c>
      <c r="H889" s="70" t="s">
        <v>178</v>
      </c>
      <c r="I889" s="70" t="s">
        <v>204</v>
      </c>
      <c r="J889" s="71">
        <f>IF(OR(I889=0,I889=""),"unrated",VLOOKUP(I889,MappingTables!$B$19:$C$31,2,FALSE))</f>
        <v>6</v>
      </c>
      <c r="K889" s="72">
        <v>1610.5435212866774</v>
      </c>
      <c r="L889" s="70">
        <v>0.084868655798434496</v>
      </c>
      <c r="M889" s="71">
        <f>IF(L889&lt;1,1,L889)</f>
        <v>1</v>
      </c>
      <c r="N889" s="70" t="s">
        <v>3288</v>
      </c>
      <c r="O889" s="71">
        <f>IF(OR(I889=$A$1,I889=0),"",IF(N889=MappingTables!$C$14,VLOOKUP(J889,ModelParameters!$M$8:$N$15,2,FALSE),IF(N889=MappingTables!$C$16,VLOOKUP(J889,ModelParameters!$P$8:$Q$15,2,FALSE),0)))</f>
        <v>1</v>
      </c>
      <c r="P889" s="73">
        <f>IF(OR(I889=0,I889=$A$1),0,MIN(O889*M889,1)*K889)</f>
        <v>1610.5435212866774</v>
      </c>
      <c r="Q889" s="73">
        <f>IF(B889="",0,IF(OR(H889=MappingTables!$C$34,H889=MappingTables!$C$35),P889,0))</f>
        <v>0</v>
      </c>
      <c r="R889" s="73">
        <f>IF(ISNA(IF(AND(VLOOKUP(CONCATENATE($D889,$G889),CSRFinput!$B:$E,4,0)=0,OR(H889=MappingTables!$C$31,H889=MappingTables!$C$32)),1,VLOOKUP(CONCATENATE($D889,$G889),CSRFinput!$B:$E,4,0))),0,IF(AND(VLOOKUP(CONCATENATE($D889,$G889),CSRFinput!$B:$E,4,0)=0,OR(H889=MappingTables!$C$31,H889=MappingTables!$C$32)),1,VLOOKUP(CONCATENATE($D889,$G889),CSRFinput!$B:$E,4,0)))</f>
        <v>0.054776304963434752</v>
      </c>
      <c r="S889" s="73">
        <f>IF(B889="",0,P889*R889)</f>
        <v>88.219623078883104</v>
      </c>
      <c r="T889" s="85">
        <f>IF(B889="",0,IF(OR(H889=MappingTables!$C$34,H889=MappingTables!$C$35),S889,0))</f>
        <v>0</v>
      </c>
    </row>
    <row r="890" spans="2:20" s="0" customFormat="0" ht="15">
      <c r="B890" s="69">
        <v>22554457</v>
      </c>
      <c r="C890" s="70" t="s">
        <v>4511</v>
      </c>
      <c r="D890" s="70" t="s">
        <v>1</v>
      </c>
      <c r="E890" s="70" t="s">
        <v>1</v>
      </c>
      <c r="F890" s="70"/>
      <c r="G890" s="70" t="s">
        <v>61</v>
      </c>
      <c r="H890" s="70" t="s">
        <v>178</v>
      </c>
      <c r="I890" s="70" t="s">
        <v>216</v>
      </c>
      <c r="J890" s="71">
        <f>IF(OR(I890=0,I890=""),"unrated",VLOOKUP(I890,MappingTables!$B$19:$C$31,2,FALSE))</f>
        <v>0</v>
      </c>
      <c r="K890" s="72">
        <v>35.96637658840134</v>
      </c>
      <c r="L890" s="70">
        <v>0.048184251703119208</v>
      </c>
      <c r="M890" s="71">
        <f>IF(L890&lt;1,1,L890)</f>
        <v>1</v>
      </c>
      <c r="N890" s="70" t="s">
        <v>3288</v>
      </c>
      <c r="O890" s="71">
        <f>IF(OR(I890=$A$1,I890=0),"",IF(N890=MappingTables!$C$14,VLOOKUP(J890,ModelParameters!$M$8:$N$15,2,FALSE),IF(N890=MappingTables!$C$16,VLOOKUP(J890,ModelParameters!$P$8:$Q$15,2,FALSE),0)))</f>
        <v>0.125</v>
      </c>
      <c r="P890" s="73">
        <f>IF(OR(I890=0,I890=$A$1),0,MIN(O890*M890,1)*K890)</f>
        <v>4.4957970735501672</v>
      </c>
      <c r="Q890" s="73">
        <f>IF(B890="",0,IF(OR(H890=MappingTables!$C$34,H890=MappingTables!$C$35),P890,0))</f>
        <v>0</v>
      </c>
      <c r="R890" s="73">
        <f>IF(ISNA(IF(AND(VLOOKUP(CONCATENATE($D890,$G890),CSRFinput!$B:$E,4,0)=0,OR(H890=MappingTables!$C$31,H890=MappingTables!$C$32)),1,VLOOKUP(CONCATENATE($D890,$G890),CSRFinput!$B:$E,4,0))),0,IF(AND(VLOOKUP(CONCATENATE($D890,$G890),CSRFinput!$B:$E,4,0)=0,OR(H890=MappingTables!$C$31,H890=MappingTables!$C$32)),1,VLOOKUP(CONCATENATE($D890,$G890),CSRFinput!$B:$E,4,0)))</f>
        <v>0.054776304963434752</v>
      </c>
      <c r="S890" s="73">
        <f>IF(B890="",0,P890*R890)</f>
        <v>0.24626315155450144</v>
      </c>
      <c r="T890" s="85">
        <f>IF(B890="",0,IF(OR(H890=MappingTables!$C$34,H890=MappingTables!$C$35),S890,0))</f>
        <v>0</v>
      </c>
    </row>
    <row r="891" spans="2:20" s="0" customFormat="0" ht="15">
      <c r="B891" s="69" t="s">
        <v>4512</v>
      </c>
      <c r="C891" s="70" t="s">
        <v>4513</v>
      </c>
      <c r="D891" s="70" t="s">
        <v>1</v>
      </c>
      <c r="E891" s="70" t="s">
        <v>1</v>
      </c>
      <c r="F891" s="70"/>
      <c r="G891" s="70" t="s">
        <v>61</v>
      </c>
      <c r="H891" s="70" t="s">
        <v>178</v>
      </c>
      <c r="I891" s="70" t="s">
        <v>198</v>
      </c>
      <c r="J891" s="71" t="str">
        <f>IF(OR(I891=0,I891=""),"unrated",VLOOKUP(I891,MappingTables!$B$19:$C$31,2,FALSE))</f>
        <v>unrated</v>
      </c>
      <c r="K891" s="72">
        <v>4727.8607100898304</v>
      </c>
      <c r="L891" s="70">
        <v>12.17920917589056</v>
      </c>
      <c r="M891" s="71">
        <f>IF(L891&lt;1,1,L891)</f>
        <v>12.17920917589056</v>
      </c>
      <c r="N891" s="70" t="s">
        <v>3288</v>
      </c>
      <c r="O891" s="71">
        <f>IF(OR(I891=$A$1,I891=0),"",IF(N891=MappingTables!$C$14,VLOOKUP(J891,ModelParameters!$M$8:$N$15,2,FALSE),IF(N891=MappingTables!$C$16,VLOOKUP(J891,ModelParameters!$P$8:$Q$15,2,FALSE),0)))</f>
        <v>1</v>
      </c>
      <c r="P891" s="73">
        <f>IF(OR(I891=0,I891=$A$1),0,MIN(O891*M891,1)*K891)</f>
        <v>4727.8607100898304</v>
      </c>
      <c r="Q891" s="73">
        <f>IF(B891="",0,IF(OR(H891=MappingTables!$C$34,H891=MappingTables!$C$35),P891,0))</f>
        <v>0</v>
      </c>
      <c r="R891" s="73">
        <f>IF(ISNA(IF(AND(VLOOKUP(CONCATENATE($D891,$G891),CSRFinput!$B:$E,4,0)=0,OR(H891=MappingTables!$C$31,H891=MappingTables!$C$32)),1,VLOOKUP(CONCATENATE($D891,$G891),CSRFinput!$B:$E,4,0))),0,IF(AND(VLOOKUP(CONCATENATE($D891,$G891),CSRFinput!$B:$E,4,0)=0,OR(H891=MappingTables!$C$31,H891=MappingTables!$C$32)),1,VLOOKUP(CONCATENATE($D891,$G891),CSRFinput!$B:$E,4,0)))</f>
        <v>0.054776304963434752</v>
      </c>
      <c r="S891" s="73">
        <f>IF(B891="",0,P891*R891)</f>
        <v>258.97474008052176</v>
      </c>
      <c r="T891" s="85">
        <f>IF(B891="",0,IF(OR(H891=MappingTables!$C$34,H891=MappingTables!$C$35),S891,0))</f>
        <v>0</v>
      </c>
    </row>
    <row r="892" spans="2:20" s="0" customFormat="0" ht="15">
      <c r="B892" s="69">
        <v>23207343</v>
      </c>
      <c r="C892" s="70" t="s">
        <v>4514</v>
      </c>
      <c r="D892" s="70" t="s">
        <v>1</v>
      </c>
      <c r="E892" s="70" t="s">
        <v>1</v>
      </c>
      <c r="F892" s="70"/>
      <c r="G892" s="70" t="s">
        <v>61</v>
      </c>
      <c r="H892" s="70" t="s">
        <v>178</v>
      </c>
      <c r="I892" s="70" t="s">
        <v>3298</v>
      </c>
      <c r="J892" s="71">
        <f>IF(OR(I892=0,I892=""),"unrated",VLOOKUP(I892,MappingTables!$B$19:$C$31,2,FALSE))</f>
        <v>6</v>
      </c>
      <c r="K892" s="72">
        <v>1090.7375622431944</v>
      </c>
      <c r="L892" s="70">
        <v>0.068486524284884912</v>
      </c>
      <c r="M892" s="71">
        <f>IF(L892&lt;1,1,L892)</f>
        <v>1</v>
      </c>
      <c r="N892" s="70" t="s">
        <v>3288</v>
      </c>
      <c r="O892" s="71">
        <f>IF(OR(I892=$A$1,I892=0),"",IF(N892=MappingTables!$C$14,VLOOKUP(J892,ModelParameters!$M$8:$N$15,2,FALSE),IF(N892=MappingTables!$C$16,VLOOKUP(J892,ModelParameters!$P$8:$Q$15,2,FALSE),0)))</f>
        <v>1</v>
      </c>
      <c r="P892" s="73">
        <f>IF(OR(I892=0,I892=$A$1),0,MIN(O892*M892,1)*K892)</f>
        <v>1090.7375622431944</v>
      </c>
      <c r="Q892" s="73">
        <f>IF(B892="",0,IF(OR(H892=MappingTables!$C$34,H892=MappingTables!$C$35),P892,0))</f>
        <v>0</v>
      </c>
      <c r="R892" s="73">
        <f>IF(ISNA(IF(AND(VLOOKUP(CONCATENATE($D892,$G892),CSRFinput!$B:$E,4,0)=0,OR(H892=MappingTables!$C$31,H892=MappingTables!$C$32)),1,VLOOKUP(CONCATENATE($D892,$G892),CSRFinput!$B:$E,4,0))),0,IF(AND(VLOOKUP(CONCATENATE($D892,$G892),CSRFinput!$B:$E,4,0)=0,OR(H892=MappingTables!$C$31,H892=MappingTables!$C$32)),1,VLOOKUP(CONCATENATE($D892,$G892),CSRFinput!$B:$E,4,0)))</f>
        <v>0.054776304963434752</v>
      </c>
      <c r="S892" s="73">
        <f>IF(B892="",0,P892*R892)</f>
        <v>59.746573344506608</v>
      </c>
      <c r="T892" s="85">
        <f>IF(B892="",0,IF(OR(H892=MappingTables!$C$34,H892=MappingTables!$C$35),S892,0))</f>
        <v>0</v>
      </c>
    </row>
    <row r="893" spans="2:20" s="0" customFormat="0" ht="15">
      <c r="B893" s="69">
        <v>15148670</v>
      </c>
      <c r="C893" s="70" t="s">
        <v>4515</v>
      </c>
      <c r="D893" s="70" t="s">
        <v>1</v>
      </c>
      <c r="E893" s="70" t="s">
        <v>1</v>
      </c>
      <c r="F893" s="70"/>
      <c r="G893" s="70" t="s">
        <v>61</v>
      </c>
      <c r="H893" s="70" t="s">
        <v>178</v>
      </c>
      <c r="I893" s="70" t="s">
        <v>181</v>
      </c>
      <c r="J893" s="71">
        <f>IF(OR(I893=0,I893=""),"unrated",VLOOKUP(I893,MappingTables!$B$19:$C$31,2,FALSE))</f>
        <v>3</v>
      </c>
      <c r="K893" s="72">
        <v>159.75619927027818</v>
      </c>
      <c r="L893" s="70">
        <v>0.049153121369377544</v>
      </c>
      <c r="M893" s="71">
        <f>IF(L893&lt;1,1,L893)</f>
        <v>1</v>
      </c>
      <c r="N893" s="70" t="s">
        <v>3288</v>
      </c>
      <c r="O893" s="71">
        <f>IF(OR(I893=$A$1,I893=0),"",IF(N893=MappingTables!$C$14,VLOOKUP(J893,ModelParameters!$M$8:$N$15,2,FALSE),IF(N893=MappingTables!$C$16,VLOOKUP(J893,ModelParameters!$P$8:$Q$15,2,FALSE),0)))</f>
        <v>0.197</v>
      </c>
      <c r="P893" s="73">
        <f>IF(OR(I893=0,I893=$A$1),0,MIN(O893*M893,1)*K893)</f>
        <v>31.4719712562448</v>
      </c>
      <c r="Q893" s="73">
        <f>IF(B893="",0,IF(OR(H893=MappingTables!$C$34,H893=MappingTables!$C$35),P893,0))</f>
        <v>0</v>
      </c>
      <c r="R893" s="73">
        <f>IF(ISNA(IF(AND(VLOOKUP(CONCATENATE($D893,$G893),CSRFinput!$B:$E,4,0)=0,OR(H893=MappingTables!$C$31,H893=MappingTables!$C$32)),1,VLOOKUP(CONCATENATE($D893,$G893),CSRFinput!$B:$E,4,0))),0,IF(AND(VLOOKUP(CONCATENATE($D893,$G893),CSRFinput!$B:$E,4,0)=0,OR(H893=MappingTables!$C$31,H893=MappingTables!$C$32)),1,VLOOKUP(CONCATENATE($D893,$G893),CSRFinput!$B:$E,4,0)))</f>
        <v>0.054776304963434752</v>
      </c>
      <c r="S893" s="73">
        <f>IF(B893="",0,P893*R893)</f>
        <v>1.7239182953325178</v>
      </c>
      <c r="T893" s="85">
        <f>IF(B893="",0,IF(OR(H893=MappingTables!$C$34,H893=MappingTables!$C$35),S893,0))</f>
        <v>0</v>
      </c>
    </row>
    <row r="894" spans="2:20" s="0" customFormat="0" ht="15">
      <c r="B894" s="69" t="s">
        <v>4516</v>
      </c>
      <c r="C894" s="70" t="s">
        <v>4517</v>
      </c>
      <c r="D894" s="70" t="s">
        <v>1</v>
      </c>
      <c r="E894" s="70" t="s">
        <v>1</v>
      </c>
      <c r="F894" s="70"/>
      <c r="G894" s="70" t="s">
        <v>61</v>
      </c>
      <c r="H894" s="70" t="s">
        <v>178</v>
      </c>
      <c r="I894" s="70" t="s">
        <v>204</v>
      </c>
      <c r="J894" s="71">
        <f>IF(OR(I894=0,I894=""),"unrated",VLOOKUP(I894,MappingTables!$B$19:$C$31,2,FALSE))</f>
        <v>6</v>
      </c>
      <c r="K894" s="72">
        <v>18.101438410722008</v>
      </c>
      <c r="L894" s="70">
        <v>0.068710009801560112</v>
      </c>
      <c r="M894" s="71">
        <f>IF(L894&lt;1,1,L894)</f>
        <v>1</v>
      </c>
      <c r="N894" s="70" t="s">
        <v>3288</v>
      </c>
      <c r="O894" s="71">
        <f>IF(OR(I894=$A$1,I894=0),"",IF(N894=MappingTables!$C$14,VLOOKUP(J894,ModelParameters!$M$8:$N$15,2,FALSE),IF(N894=MappingTables!$C$16,VLOOKUP(J894,ModelParameters!$P$8:$Q$15,2,FALSE),0)))</f>
        <v>1</v>
      </c>
      <c r="P894" s="73">
        <f>IF(OR(I894=0,I894=$A$1),0,MIN(O894*M894,1)*K894)</f>
        <v>18.101438410722008</v>
      </c>
      <c r="Q894" s="73">
        <f>IF(B894="",0,IF(OR(H894=MappingTables!$C$34,H894=MappingTables!$C$35),P894,0))</f>
        <v>0</v>
      </c>
      <c r="R894" s="73">
        <f>IF(ISNA(IF(AND(VLOOKUP(CONCATENATE($D894,$G894),CSRFinput!$B:$E,4,0)=0,OR(H894=MappingTables!$C$31,H894=MappingTables!$C$32)),1,VLOOKUP(CONCATENATE($D894,$G894),CSRFinput!$B:$E,4,0))),0,IF(AND(VLOOKUP(CONCATENATE($D894,$G894),CSRFinput!$B:$E,4,0)=0,OR(H894=MappingTables!$C$31,H894=MappingTables!$C$32)),1,VLOOKUP(CONCATENATE($D894,$G894),CSRFinput!$B:$E,4,0)))</f>
        <v>0.054776304963434752</v>
      </c>
      <c r="S894" s="73">
        <f>IF(B894="",0,P894*R894)</f>
        <v>0.99152991066254032</v>
      </c>
      <c r="T894" s="85">
        <f>IF(B894="",0,IF(OR(H894=MappingTables!$C$34,H894=MappingTables!$C$35),S894,0))</f>
        <v>0</v>
      </c>
    </row>
    <row r="895" spans="2:20" s="0" customFormat="0" ht="15">
      <c r="B895" s="69" t="s">
        <v>3652</v>
      </c>
      <c r="C895" s="70" t="s">
        <v>3653</v>
      </c>
      <c r="D895" s="70" t="s">
        <v>1</v>
      </c>
      <c r="E895" s="70" t="s">
        <v>1</v>
      </c>
      <c r="F895" s="70"/>
      <c r="G895" s="70" t="s">
        <v>61</v>
      </c>
      <c r="H895" s="70" t="s">
        <v>178</v>
      </c>
      <c r="I895" s="70" t="s">
        <v>198</v>
      </c>
      <c r="J895" s="71" t="str">
        <f>IF(OR(I895=0,I895=""),"unrated",VLOOKUP(I895,MappingTables!$B$19:$C$31,2,FALSE))</f>
        <v>unrated</v>
      </c>
      <c r="K895" s="72">
        <v>53.691582313889512</v>
      </c>
      <c r="L895" s="70">
        <v>0.068495412506121376</v>
      </c>
      <c r="M895" s="71">
        <f>IF(L895&lt;1,1,L895)</f>
        <v>1</v>
      </c>
      <c r="N895" s="70" t="s">
        <v>3288</v>
      </c>
      <c r="O895" s="71">
        <f>IF(OR(I895=$A$1,I895=0),"",IF(N895=MappingTables!$C$14,VLOOKUP(J895,ModelParameters!$M$8:$N$15,2,FALSE),IF(N895=MappingTables!$C$16,VLOOKUP(J895,ModelParameters!$P$8:$Q$15,2,FALSE),0)))</f>
        <v>1</v>
      </c>
      <c r="P895" s="73">
        <f>IF(OR(I895=0,I895=$A$1),0,MIN(O895*M895,1)*K895)</f>
        <v>53.691582313889512</v>
      </c>
      <c r="Q895" s="73">
        <f>IF(B895="",0,IF(OR(H895=MappingTables!$C$34,H895=MappingTables!$C$35),P895,0))</f>
        <v>0</v>
      </c>
      <c r="R895" s="73">
        <f>IF(ISNA(IF(AND(VLOOKUP(CONCATENATE($D895,$G895),CSRFinput!$B:$E,4,0)=0,OR(H895=MappingTables!$C$31,H895=MappingTables!$C$32)),1,VLOOKUP(CONCATENATE($D895,$G895),CSRFinput!$B:$E,4,0))),0,IF(AND(VLOOKUP(CONCATENATE($D895,$G895),CSRFinput!$B:$E,4,0)=0,OR(H895=MappingTables!$C$31,H895=MappingTables!$C$32)),1,VLOOKUP(CONCATENATE($D895,$G895),CSRFinput!$B:$E,4,0)))</f>
        <v>0.054776304963434752</v>
      </c>
      <c r="S895" s="73">
        <f>IF(B895="",0,P895*R895)</f>
        <v>2.941026486794972</v>
      </c>
      <c r="T895" s="85">
        <f>IF(B895="",0,IF(OR(H895=MappingTables!$C$34,H895=MappingTables!$C$35),S895,0))</f>
        <v>0</v>
      </c>
    </row>
    <row r="896" spans="2:20" s="0" customFormat="0" ht="15">
      <c r="B896" s="69">
        <v>16974603</v>
      </c>
      <c r="C896" s="70" t="s">
        <v>4518</v>
      </c>
      <c r="D896" s="70" t="s">
        <v>1</v>
      </c>
      <c r="E896" s="70" t="s">
        <v>1</v>
      </c>
      <c r="F896" s="70"/>
      <c r="G896" s="70" t="s">
        <v>61</v>
      </c>
      <c r="H896" s="70" t="s">
        <v>178</v>
      </c>
      <c r="I896" s="70" t="s">
        <v>216</v>
      </c>
      <c r="J896" s="71">
        <f>IF(OR(I896=0,I896=""),"unrated",VLOOKUP(I896,MappingTables!$B$19:$C$31,2,FALSE))</f>
        <v>0</v>
      </c>
      <c r="K896" s="72">
        <v>586.84393134811272</v>
      </c>
      <c r="L896" s="70">
        <v>0.076249693983379696</v>
      </c>
      <c r="M896" s="71">
        <f>IF(L896&lt;1,1,L896)</f>
        <v>1</v>
      </c>
      <c r="N896" s="70" t="s">
        <v>3288</v>
      </c>
      <c r="O896" s="71">
        <f>IF(OR(I896=$A$1,I896=0),"",IF(N896=MappingTables!$C$14,VLOOKUP(J896,ModelParameters!$M$8:$N$15,2,FALSE),IF(N896=MappingTables!$C$16,VLOOKUP(J896,ModelParameters!$P$8:$Q$15,2,FALSE),0)))</f>
        <v>0.125</v>
      </c>
      <c r="P896" s="73">
        <f>IF(OR(I896=0,I896=$A$1),0,MIN(O896*M896,1)*K896)</f>
        <v>73.355491418514096</v>
      </c>
      <c r="Q896" s="73">
        <f>IF(B896="",0,IF(OR(H896=MappingTables!$C$34,H896=MappingTables!$C$35),P896,0))</f>
        <v>0</v>
      </c>
      <c r="R896" s="73">
        <f>IF(ISNA(IF(AND(VLOOKUP(CONCATENATE($D896,$G896),CSRFinput!$B:$E,4,0)=0,OR(H896=MappingTables!$C$31,H896=MappingTables!$C$32)),1,VLOOKUP(CONCATENATE($D896,$G896),CSRFinput!$B:$E,4,0))),0,IF(AND(VLOOKUP(CONCATENATE($D896,$G896),CSRFinput!$B:$E,4,0)=0,OR(H896=MappingTables!$C$31,H896=MappingTables!$C$32)),1,VLOOKUP(CONCATENATE($D896,$G896),CSRFinput!$B:$E,4,0)))</f>
        <v>0.054776304963434752</v>
      </c>
      <c r="S896" s="73">
        <f>IF(B896="",0,P896*R896)</f>
        <v>4.0181427686831496</v>
      </c>
      <c r="T896" s="85">
        <f>IF(B896="",0,IF(OR(H896=MappingTables!$C$34,H896=MappingTables!$C$35),S896,0))</f>
        <v>0</v>
      </c>
    </row>
    <row r="897" spans="2:20" s="0" customFormat="0" ht="15">
      <c r="B897" s="69" t="s">
        <v>4519</v>
      </c>
      <c r="C897" s="70" t="s">
        <v>4520</v>
      </c>
      <c r="D897" s="70" t="s">
        <v>1</v>
      </c>
      <c r="E897" s="70" t="s">
        <v>1</v>
      </c>
      <c r="F897" s="70"/>
      <c r="G897" s="70" t="s">
        <v>61</v>
      </c>
      <c r="H897" s="70" t="s">
        <v>178</v>
      </c>
      <c r="I897" s="70" t="s">
        <v>216</v>
      </c>
      <c r="J897" s="71">
        <f>IF(OR(I897=0,I897=""),"unrated",VLOOKUP(I897,MappingTables!$B$19:$C$31,2,FALSE))</f>
        <v>0</v>
      </c>
      <c r="K897" s="72">
        <v>2250.444800659602</v>
      </c>
      <c r="L897" s="70">
        <v>0.054795736440842816</v>
      </c>
      <c r="M897" s="71">
        <f>IF(L897&lt;1,1,L897)</f>
        <v>1</v>
      </c>
      <c r="N897" s="70" t="s">
        <v>3288</v>
      </c>
      <c r="O897" s="71">
        <f>IF(OR(I897=$A$1,I897=0),"",IF(N897=MappingTables!$C$14,VLOOKUP(J897,ModelParameters!$M$8:$N$15,2,FALSE),IF(N897=MappingTables!$C$16,VLOOKUP(J897,ModelParameters!$P$8:$Q$15,2,FALSE),0)))</f>
        <v>0.125</v>
      </c>
      <c r="P897" s="73">
        <f>IF(OR(I897=0,I897=$A$1),0,MIN(O897*M897,1)*K897)</f>
        <v>281.30560008245028</v>
      </c>
      <c r="Q897" s="73">
        <f>IF(B897="",0,IF(OR(H897=MappingTables!$C$34,H897=MappingTables!$C$35),P897,0))</f>
        <v>0</v>
      </c>
      <c r="R897" s="73">
        <f>IF(ISNA(IF(AND(VLOOKUP(CONCATENATE($D897,$G897),CSRFinput!$B:$E,4,0)=0,OR(H897=MappingTables!$C$31,H897=MappingTables!$C$32)),1,VLOOKUP(CONCATENATE($D897,$G897),CSRFinput!$B:$E,4,0))),0,IF(AND(VLOOKUP(CONCATENATE($D897,$G897),CSRFinput!$B:$E,4,0)=0,OR(H897=MappingTables!$C$31,H897=MappingTables!$C$32)),1,VLOOKUP(CONCATENATE($D897,$G897),CSRFinput!$B:$E,4,0)))</f>
        <v>0.054776304963434752</v>
      </c>
      <c r="S897" s="73">
        <f>IF(B897="",0,P897*R897)</f>
        <v>15.408881338038312</v>
      </c>
      <c r="T897" s="85">
        <f>IF(B897="",0,IF(OR(H897=MappingTables!$C$34,H897=MappingTables!$C$35),S897,0))</f>
        <v>0</v>
      </c>
    </row>
    <row r="898" spans="2:20" s="0" customFormat="0" ht="15">
      <c r="B898" s="69" t="s">
        <v>4521</v>
      </c>
      <c r="C898" s="70" t="s">
        <v>4522</v>
      </c>
      <c r="D898" s="70" t="s">
        <v>1</v>
      </c>
      <c r="E898" s="70" t="s">
        <v>1</v>
      </c>
      <c r="F898" s="70"/>
      <c r="G898" s="70" t="s">
        <v>61</v>
      </c>
      <c r="H898" s="70" t="s">
        <v>178</v>
      </c>
      <c r="I898" s="70" t="s">
        <v>184</v>
      </c>
      <c r="J898" s="71">
        <f>IF(OR(I898=0,I898=""),"unrated",VLOOKUP(I898,MappingTables!$B$19:$C$31,2,FALSE))</f>
        <v>5</v>
      </c>
      <c r="K898" s="72">
        <v>10472.099402218156</v>
      </c>
      <c r="L898" s="70">
        <v>3.8365560296617408</v>
      </c>
      <c r="M898" s="71">
        <f>IF(L898&lt;1,1,L898)</f>
        <v>3.8365560296617408</v>
      </c>
      <c r="N898" s="70" t="s">
        <v>3288</v>
      </c>
      <c r="O898" s="71">
        <f>IF(OR(I898=$A$1,I898=0),"",IF(N898=MappingTables!$C$14,VLOOKUP(J898,ModelParameters!$M$8:$N$15,2,FALSE),IF(N898=MappingTables!$C$16,VLOOKUP(J898,ModelParameters!$P$8:$Q$15,2,FALSE),0)))</f>
        <v>1</v>
      </c>
      <c r="P898" s="73">
        <f>IF(OR(I898=0,I898=$A$1),0,MIN(O898*M898,1)*K898)</f>
        <v>10472.099402218156</v>
      </c>
      <c r="Q898" s="73">
        <f>IF(B898="",0,IF(OR(H898=MappingTables!$C$34,H898=MappingTables!$C$35),P898,0))</f>
        <v>0</v>
      </c>
      <c r="R898" s="73">
        <f>IF(ISNA(IF(AND(VLOOKUP(CONCATENATE($D898,$G898),CSRFinput!$B:$E,4,0)=0,OR(H898=MappingTables!$C$31,H898=MappingTables!$C$32)),1,VLOOKUP(CONCATENATE($D898,$G898),CSRFinput!$B:$E,4,0))),0,IF(AND(VLOOKUP(CONCATENATE($D898,$G898),CSRFinput!$B:$E,4,0)=0,OR(H898=MappingTables!$C$31,H898=MappingTables!$C$32)),1,VLOOKUP(CONCATENATE($D898,$G898),CSRFinput!$B:$E,4,0)))</f>
        <v>0.054776304963434752</v>
      </c>
      <c r="S898" s="73">
        <f>IF(B898="",0,P898*R898)</f>
        <v>573.62291046330448</v>
      </c>
      <c r="T898" s="85">
        <f>IF(B898="",0,IF(OR(H898=MappingTables!$C$34,H898=MappingTables!$C$35),S898,0))</f>
        <v>0</v>
      </c>
    </row>
    <row r="899" spans="2:20" s="0" customFormat="0" ht="15">
      <c r="B899" s="69" t="s">
        <v>4523</v>
      </c>
      <c r="C899" s="70" t="s">
        <v>4524</v>
      </c>
      <c r="D899" s="70" t="s">
        <v>1</v>
      </c>
      <c r="E899" s="70" t="s">
        <v>1</v>
      </c>
      <c r="F899" s="70"/>
      <c r="G899" s="70" t="s">
        <v>61</v>
      </c>
      <c r="H899" s="70" t="s">
        <v>178</v>
      </c>
      <c r="I899" s="70" t="s">
        <v>204</v>
      </c>
      <c r="J899" s="71">
        <f>IF(OR(I899=0,I899=""),"unrated",VLOOKUP(I899,MappingTables!$B$19:$C$31,2,FALSE))</f>
        <v>6</v>
      </c>
      <c r="K899" s="72">
        <v>574.64268398448552</v>
      </c>
      <c r="L899" s="70">
        <v>0.068495530288156584</v>
      </c>
      <c r="M899" s="71">
        <f>IF(L899&lt;1,1,L899)</f>
        <v>1</v>
      </c>
      <c r="N899" s="70" t="s">
        <v>3288</v>
      </c>
      <c r="O899" s="71">
        <f>IF(OR(I899=$A$1,I899=0),"",IF(N899=MappingTables!$C$14,VLOOKUP(J899,ModelParameters!$M$8:$N$15,2,FALSE),IF(N899=MappingTables!$C$16,VLOOKUP(J899,ModelParameters!$P$8:$Q$15,2,FALSE),0)))</f>
        <v>1</v>
      </c>
      <c r="P899" s="73">
        <f>IF(OR(I899=0,I899=$A$1),0,MIN(O899*M899,1)*K899)</f>
        <v>574.64268398448552</v>
      </c>
      <c r="Q899" s="73">
        <f>IF(B899="",0,IF(OR(H899=MappingTables!$C$34,H899=MappingTables!$C$35),P899,0))</f>
        <v>0</v>
      </c>
      <c r="R899" s="73">
        <f>IF(ISNA(IF(AND(VLOOKUP(CONCATENATE($D899,$G899),CSRFinput!$B:$E,4,0)=0,OR(H899=MappingTables!$C$31,H899=MappingTables!$C$32)),1,VLOOKUP(CONCATENATE($D899,$G899),CSRFinput!$B:$E,4,0))),0,IF(AND(VLOOKUP(CONCATENATE($D899,$G899),CSRFinput!$B:$E,4,0)=0,OR(H899=MappingTables!$C$31,H899=MappingTables!$C$32)),1,VLOOKUP(CONCATENATE($D899,$G899),CSRFinput!$B:$E,4,0)))</f>
        <v>0.054776304963434752</v>
      </c>
      <c r="S899" s="73">
        <f>IF(B899="",0,P899*R899)</f>
        <v>31.476802902940844</v>
      </c>
      <c r="T899" s="85">
        <f>IF(B899="",0,IF(OR(H899=MappingTables!$C$34,H899=MappingTables!$C$35),S899,0))</f>
        <v>0</v>
      </c>
    </row>
    <row r="900" spans="2:20" s="0" customFormat="0" ht="15">
      <c r="B900" s="69" t="s">
        <v>4525</v>
      </c>
      <c r="C900" s="70" t="s">
        <v>4526</v>
      </c>
      <c r="D900" s="70" t="s">
        <v>1</v>
      </c>
      <c r="E900" s="70" t="s">
        <v>1</v>
      </c>
      <c r="F900" s="70"/>
      <c r="G900" s="70" t="s">
        <v>61</v>
      </c>
      <c r="H900" s="70" t="s">
        <v>178</v>
      </c>
      <c r="I900" s="70" t="s">
        <v>198</v>
      </c>
      <c r="J900" s="71" t="str">
        <f>IF(OR(I900=0,I900=""),"unrated",VLOOKUP(I900,MappingTables!$B$19:$C$31,2,FALSE))</f>
        <v>unrated</v>
      </c>
      <c r="K900" s="72">
        <v>118.92552801441078</v>
      </c>
      <c r="L900" s="70">
        <v>14.329492455418378</v>
      </c>
      <c r="M900" s="71">
        <f>IF(L900&lt;1,1,L900)</f>
        <v>14.329492455418378</v>
      </c>
      <c r="N900" s="70" t="s">
        <v>3288</v>
      </c>
      <c r="O900" s="71">
        <f>IF(OR(I900=$A$1,I900=0),"",IF(N900=MappingTables!$C$14,VLOOKUP(J900,ModelParameters!$M$8:$N$15,2,FALSE),IF(N900=MappingTables!$C$16,VLOOKUP(J900,ModelParameters!$P$8:$Q$15,2,FALSE),0)))</f>
        <v>1</v>
      </c>
      <c r="P900" s="73">
        <f>IF(OR(I900=0,I900=$A$1),0,MIN(O900*M900,1)*K900)</f>
        <v>118.92552801441078</v>
      </c>
      <c r="Q900" s="73">
        <f>IF(B900="",0,IF(OR(H900=MappingTables!$C$34,H900=MappingTables!$C$35),P900,0))</f>
        <v>0</v>
      </c>
      <c r="R900" s="73">
        <f>IF(ISNA(IF(AND(VLOOKUP(CONCATENATE($D900,$G900),CSRFinput!$B:$E,4,0)=0,OR(H900=MappingTables!$C$31,H900=MappingTables!$C$32)),1,VLOOKUP(CONCATENATE($D900,$G900),CSRFinput!$B:$E,4,0))),0,IF(AND(VLOOKUP(CONCATENATE($D900,$G900),CSRFinput!$B:$E,4,0)=0,OR(H900=MappingTables!$C$31,H900=MappingTables!$C$32)),1,VLOOKUP(CONCATENATE($D900,$G900),CSRFinput!$B:$E,4,0)))</f>
        <v>0.054776304963434752</v>
      </c>
      <c r="S900" s="73">
        <f>IF(B900="",0,P900*R900)</f>
        <v>6.514300990454868</v>
      </c>
      <c r="T900" s="85">
        <f>IF(B900="",0,IF(OR(H900=MappingTables!$C$34,H900=MappingTables!$C$35),S900,0))</f>
        <v>0</v>
      </c>
    </row>
    <row r="901" spans="2:20" s="0" customFormat="0" ht="15">
      <c r="B901" s="69">
        <v>22623646</v>
      </c>
      <c r="C901" s="70" t="s">
        <v>3485</v>
      </c>
      <c r="D901" s="70" t="s">
        <v>1</v>
      </c>
      <c r="E901" s="70" t="s">
        <v>1</v>
      </c>
      <c r="F901" s="70"/>
      <c r="G901" s="70" t="s">
        <v>61</v>
      </c>
      <c r="H901" s="70" t="s">
        <v>178</v>
      </c>
      <c r="I901" s="70" t="s">
        <v>216</v>
      </c>
      <c r="J901" s="71">
        <f>IF(OR(I901=0,I901=""),"unrated",VLOOKUP(I901,MappingTables!$B$19:$C$31,2,FALSE))</f>
        <v>0</v>
      </c>
      <c r="K901" s="72">
        <v>36.090479608837352</v>
      </c>
      <c r="L901" s="70">
        <v>0.08231450268751208</v>
      </c>
      <c r="M901" s="71">
        <f>IF(L901&lt;1,1,L901)</f>
        <v>1</v>
      </c>
      <c r="N901" s="70" t="s">
        <v>3288</v>
      </c>
      <c r="O901" s="71">
        <f>IF(OR(I901=$A$1,I901=0),"",IF(N901=MappingTables!$C$14,VLOOKUP(J901,ModelParameters!$M$8:$N$15,2,FALSE),IF(N901=MappingTables!$C$16,VLOOKUP(J901,ModelParameters!$P$8:$Q$15,2,FALSE),0)))</f>
        <v>0.125</v>
      </c>
      <c r="P901" s="73">
        <f>IF(OR(I901=0,I901=$A$1),0,MIN(O901*M901,1)*K901)</f>
        <v>4.5113099511046688</v>
      </c>
      <c r="Q901" s="73">
        <f>IF(B901="",0,IF(OR(H901=MappingTables!$C$34,H901=MappingTables!$C$35),P901,0))</f>
        <v>0</v>
      </c>
      <c r="R901" s="73">
        <f>IF(ISNA(IF(AND(VLOOKUP(CONCATENATE($D901,$G901),CSRFinput!$B:$E,4,0)=0,OR(H901=MappingTables!$C$31,H901=MappingTables!$C$32)),1,VLOOKUP(CONCATENATE($D901,$G901),CSRFinput!$B:$E,4,0))),0,IF(AND(VLOOKUP(CONCATENATE($D901,$G901),CSRFinput!$B:$E,4,0)=0,OR(H901=MappingTables!$C$31,H901=MappingTables!$C$32)),1,VLOOKUP(CONCATENATE($D901,$G901),CSRFinput!$B:$E,4,0)))</f>
        <v>0.054776304963434752</v>
      </c>
      <c r="S901" s="73">
        <f>IF(B901="",0,P901*R901)</f>
        <v>0.24711288966628724</v>
      </c>
      <c r="T901" s="85">
        <f>IF(B901="",0,IF(OR(H901=MappingTables!$C$34,H901=MappingTables!$C$35),S901,0))</f>
        <v>0</v>
      </c>
    </row>
    <row r="902" spans="2:20" s="0" customFormat="0" ht="15">
      <c r="B902" s="69" t="s">
        <v>4527</v>
      </c>
      <c r="C902" s="70" t="s">
        <v>4528</v>
      </c>
      <c r="D902" s="70" t="s">
        <v>1</v>
      </c>
      <c r="E902" s="70" t="s">
        <v>1</v>
      </c>
      <c r="F902" s="70"/>
      <c r="G902" s="70" t="s">
        <v>61</v>
      </c>
      <c r="H902" s="70" t="s">
        <v>178</v>
      </c>
      <c r="I902" s="70" t="s">
        <v>204</v>
      </c>
      <c r="J902" s="71">
        <f>IF(OR(I902=0,I902=""),"unrated",VLOOKUP(I902,MappingTables!$B$19:$C$31,2,FALSE))</f>
        <v>6</v>
      </c>
      <c r="K902" s="72">
        <v>149.77149997993522</v>
      </c>
      <c r="L902" s="70">
        <v>0.068492805430890648</v>
      </c>
      <c r="M902" s="71">
        <f>IF(L902&lt;1,1,L902)</f>
        <v>1</v>
      </c>
      <c r="N902" s="70" t="s">
        <v>3288</v>
      </c>
      <c r="O902" s="71">
        <f>IF(OR(I902=$A$1,I902=0),"",IF(N902=MappingTables!$C$14,VLOOKUP(J902,ModelParameters!$M$8:$N$15,2,FALSE),IF(N902=MappingTables!$C$16,VLOOKUP(J902,ModelParameters!$P$8:$Q$15,2,FALSE),0)))</f>
        <v>1</v>
      </c>
      <c r="P902" s="73">
        <f>IF(OR(I902=0,I902=$A$1),0,MIN(O902*M902,1)*K902)</f>
        <v>149.77149997993522</v>
      </c>
      <c r="Q902" s="73">
        <f>IF(B902="",0,IF(OR(H902=MappingTables!$C$34,H902=MappingTables!$C$35),P902,0))</f>
        <v>0</v>
      </c>
      <c r="R902" s="73">
        <f>IF(ISNA(IF(AND(VLOOKUP(CONCATENATE($D902,$G902),CSRFinput!$B:$E,4,0)=0,OR(H902=MappingTables!$C$31,H902=MappingTables!$C$32)),1,VLOOKUP(CONCATENATE($D902,$G902),CSRFinput!$B:$E,4,0))),0,IF(AND(VLOOKUP(CONCATENATE($D902,$G902),CSRFinput!$B:$E,4,0)=0,OR(H902=MappingTables!$C$31,H902=MappingTables!$C$32)),1,VLOOKUP(CONCATENATE($D902,$G902),CSRFinput!$B:$E,4,0)))</f>
        <v>0.054776304963434752</v>
      </c>
      <c r="S902" s="73">
        <f>IF(B902="",0,P902*R902)</f>
        <v>8.2039293577319936</v>
      </c>
      <c r="T902" s="85">
        <f>IF(B902="",0,IF(OR(H902=MappingTables!$C$34,H902=MappingTables!$C$35),S902,0))</f>
        <v>0</v>
      </c>
    </row>
    <row r="903" spans="2:20" s="0" customFormat="0" ht="15">
      <c r="B903" s="69">
        <v>8842299</v>
      </c>
      <c r="C903" s="70" t="s">
        <v>4529</v>
      </c>
      <c r="D903" s="70" t="s">
        <v>1</v>
      </c>
      <c r="E903" s="70" t="s">
        <v>1</v>
      </c>
      <c r="F903" s="70"/>
      <c r="G903" s="70" t="s">
        <v>61</v>
      </c>
      <c r="H903" s="70" t="s">
        <v>178</v>
      </c>
      <c r="I903" s="70" t="s">
        <v>216</v>
      </c>
      <c r="J903" s="71">
        <f>IF(OR(I903=0,I903=""),"unrated",VLOOKUP(I903,MappingTables!$B$19:$C$31,2,FALSE))</f>
        <v>0</v>
      </c>
      <c r="K903" s="72">
        <v>16.758694678114296</v>
      </c>
      <c r="L903" s="70">
        <v>5.8997442362490944</v>
      </c>
      <c r="M903" s="71">
        <f>IF(L903&lt;1,1,L903)</f>
        <v>5.8997442362490944</v>
      </c>
      <c r="N903" s="70" t="s">
        <v>3288</v>
      </c>
      <c r="O903" s="71">
        <f>IF(OR(I903=$A$1,I903=0),"",IF(N903=MappingTables!$C$14,VLOOKUP(J903,ModelParameters!$M$8:$N$15,2,FALSE),IF(N903=MappingTables!$C$16,VLOOKUP(J903,ModelParameters!$P$8:$Q$15,2,FALSE),0)))</f>
        <v>0.125</v>
      </c>
      <c r="P903" s="73">
        <f>IF(OR(I903=0,I903=$A$1),0,MIN(O903*M903,1)*K903)</f>
        <v>12.359001541782898</v>
      </c>
      <c r="Q903" s="73">
        <f>IF(B903="",0,IF(OR(H903=MappingTables!$C$34,H903=MappingTables!$C$35),P903,0))</f>
        <v>0</v>
      </c>
      <c r="R903" s="73">
        <f>IF(ISNA(IF(AND(VLOOKUP(CONCATENATE($D903,$G903),CSRFinput!$B:$E,4,0)=0,OR(H903=MappingTables!$C$31,H903=MappingTables!$C$32)),1,VLOOKUP(CONCATENATE($D903,$G903),CSRFinput!$B:$E,4,0))),0,IF(AND(VLOOKUP(CONCATENATE($D903,$G903),CSRFinput!$B:$E,4,0)=0,OR(H903=MappingTables!$C$31,H903=MappingTables!$C$32)),1,VLOOKUP(CONCATENATE($D903,$G903),CSRFinput!$B:$E,4,0)))</f>
        <v>0.054776304963434752</v>
      </c>
      <c r="S903" s="73">
        <f>IF(B903="",0,P903*R903)</f>
        <v>0.67698043749626032</v>
      </c>
      <c r="T903" s="85">
        <f>IF(B903="",0,IF(OR(H903=MappingTables!$C$34,H903=MappingTables!$C$35),S903,0))</f>
        <v>0</v>
      </c>
    </row>
    <row r="904" spans="2:20" s="0" customFormat="0" ht="15">
      <c r="B904" s="69" t="s">
        <v>4375</v>
      </c>
      <c r="C904" s="70" t="s">
        <v>4376</v>
      </c>
      <c r="D904" s="70" t="s">
        <v>1</v>
      </c>
      <c r="E904" s="70" t="s">
        <v>1</v>
      </c>
      <c r="F904" s="70"/>
      <c r="G904" s="70" t="s">
        <v>61</v>
      </c>
      <c r="H904" s="70" t="s">
        <v>178</v>
      </c>
      <c r="I904" s="70" t="s">
        <v>188</v>
      </c>
      <c r="J904" s="71">
        <f>IF(OR(I904=0,I904=""),"unrated",VLOOKUP(I904,MappingTables!$B$19:$C$31,2,FALSE))</f>
        <v>2</v>
      </c>
      <c r="K904" s="72">
        <v>4.1848275878645016</v>
      </c>
      <c r="L904" s="70">
        <v>0.068490517150609528</v>
      </c>
      <c r="M904" s="71">
        <f>IF(L904&lt;1,1,L904)</f>
        <v>1</v>
      </c>
      <c r="N904" s="70" t="s">
        <v>3288</v>
      </c>
      <c r="O904" s="71">
        <f>IF(OR(I904=$A$1,I904=0),"",IF(N904=MappingTables!$C$14,VLOOKUP(J904,ModelParameters!$M$8:$N$15,2,FALSE),IF(N904=MappingTables!$C$16,VLOOKUP(J904,ModelParameters!$P$8:$Q$15,2,FALSE),0)))</f>
        <v>0.166</v>
      </c>
      <c r="P904" s="73">
        <f>IF(OR(I904=0,I904=$A$1),0,MIN(O904*M904,1)*K904)</f>
        <v>0.69468137958550728</v>
      </c>
      <c r="Q904" s="73">
        <f>IF(B904="",0,IF(OR(H904=MappingTables!$C$34,H904=MappingTables!$C$35),P904,0))</f>
        <v>0</v>
      </c>
      <c r="R904" s="73">
        <f>IF(ISNA(IF(AND(VLOOKUP(CONCATENATE($D904,$G904),CSRFinput!$B:$E,4,0)=0,OR(H904=MappingTables!$C$31,H904=MappingTables!$C$32)),1,VLOOKUP(CONCATENATE($D904,$G904),CSRFinput!$B:$E,4,0))),0,IF(AND(VLOOKUP(CONCATENATE($D904,$G904),CSRFinput!$B:$E,4,0)=0,OR(H904=MappingTables!$C$31,H904=MappingTables!$C$32)),1,VLOOKUP(CONCATENATE($D904,$G904),CSRFinput!$B:$E,4,0)))</f>
        <v>0.054776304963434752</v>
      </c>
      <c r="S904" s="73">
        <f>IF(B904="",0,P904*R904)</f>
        <v>0.03805207910059532</v>
      </c>
      <c r="T904" s="85">
        <f>IF(B904="",0,IF(OR(H904=MappingTables!$C$34,H904=MappingTables!$C$35),S904,0))</f>
        <v>0</v>
      </c>
    </row>
    <row r="905" spans="2:20" s="0" customFormat="0" ht="15">
      <c r="B905" s="69" t="s">
        <v>4530</v>
      </c>
      <c r="C905" s="70" t="s">
        <v>4531</v>
      </c>
      <c r="D905" s="70" t="s">
        <v>1</v>
      </c>
      <c r="E905" s="70" t="s">
        <v>1</v>
      </c>
      <c r="F905" s="70"/>
      <c r="G905" s="70" t="s">
        <v>61</v>
      </c>
      <c r="H905" s="70" t="s">
        <v>178</v>
      </c>
      <c r="I905" s="70" t="s">
        <v>198</v>
      </c>
      <c r="J905" s="71" t="str">
        <f>IF(OR(I905=0,I905=""),"unrated",VLOOKUP(I905,MappingTables!$B$19:$C$31,2,FALSE))</f>
        <v>unrated</v>
      </c>
      <c r="K905" s="72">
        <v>2692.945153866344</v>
      </c>
      <c r="L905" s="70">
        <v>15.704221924087438</v>
      </c>
      <c r="M905" s="71">
        <f>IF(L905&lt;1,1,L905)</f>
        <v>15.704221924087438</v>
      </c>
      <c r="N905" s="70" t="s">
        <v>3288</v>
      </c>
      <c r="O905" s="71">
        <f>IF(OR(I905=$A$1,I905=0),"",IF(N905=MappingTables!$C$14,VLOOKUP(J905,ModelParameters!$M$8:$N$15,2,FALSE),IF(N905=MappingTables!$C$16,VLOOKUP(J905,ModelParameters!$P$8:$Q$15,2,FALSE),0)))</f>
        <v>1</v>
      </c>
      <c r="P905" s="73">
        <f>IF(OR(I905=0,I905=$A$1),0,MIN(O905*M905,1)*K905)</f>
        <v>2692.945153866344</v>
      </c>
      <c r="Q905" s="73">
        <f>IF(B905="",0,IF(OR(H905=MappingTables!$C$34,H905=MappingTables!$C$35),P905,0))</f>
        <v>0</v>
      </c>
      <c r="R905" s="73">
        <f>IF(ISNA(IF(AND(VLOOKUP(CONCATENATE($D905,$G905),CSRFinput!$B:$E,4,0)=0,OR(H905=MappingTables!$C$31,H905=MappingTables!$C$32)),1,VLOOKUP(CONCATENATE($D905,$G905),CSRFinput!$B:$E,4,0))),0,IF(AND(VLOOKUP(CONCATENATE($D905,$G905),CSRFinput!$B:$E,4,0)=0,OR(H905=MappingTables!$C$31,H905=MappingTables!$C$32)),1,VLOOKUP(CONCATENATE($D905,$G905),CSRFinput!$B:$E,4,0)))</f>
        <v>0.054776304963434752</v>
      </c>
      <c r="S905" s="73">
        <f>IF(B905="",0,P905*R905)</f>
        <v>147.50958499798656</v>
      </c>
      <c r="T905" s="85">
        <f>IF(B905="",0,IF(OR(H905=MappingTables!$C$34,H905=MappingTables!$C$35),S905,0))</f>
        <v>0</v>
      </c>
    </row>
    <row r="906" spans="2:20" s="0" customFormat="0" ht="15">
      <c r="B906" s="69">
        <v>3130048</v>
      </c>
      <c r="C906" s="70" t="s">
        <v>4532</v>
      </c>
      <c r="D906" s="70" t="s">
        <v>1</v>
      </c>
      <c r="E906" s="70" t="s">
        <v>1</v>
      </c>
      <c r="F906" s="70"/>
      <c r="G906" s="70" t="s">
        <v>61</v>
      </c>
      <c r="H906" s="70" t="s">
        <v>178</v>
      </c>
      <c r="I906" s="70" t="s">
        <v>216</v>
      </c>
      <c r="J906" s="71">
        <f>IF(OR(I906=0,I906=""),"unrated",VLOOKUP(I906,MappingTables!$B$19:$C$31,2,FALSE))</f>
        <v>0</v>
      </c>
      <c r="K906" s="72">
        <v>1.6096960347610292</v>
      </c>
      <c r="L906" s="70">
        <v>0.045605539831148272</v>
      </c>
      <c r="M906" s="71">
        <f>IF(L906&lt;1,1,L906)</f>
        <v>1</v>
      </c>
      <c r="N906" s="70" t="s">
        <v>3288</v>
      </c>
      <c r="O906" s="71">
        <f>IF(OR(I906=$A$1,I906=0),"",IF(N906=MappingTables!$C$14,VLOOKUP(J906,ModelParameters!$M$8:$N$15,2,FALSE),IF(N906=MappingTables!$C$16,VLOOKUP(J906,ModelParameters!$P$8:$Q$15,2,FALSE),0)))</f>
        <v>0.125</v>
      </c>
      <c r="P906" s="73">
        <f>IF(OR(I906=0,I906=$A$1),0,MIN(O906*M906,1)*K906)</f>
        <v>0.20121200434512864</v>
      </c>
      <c r="Q906" s="73">
        <f>IF(B906="",0,IF(OR(H906=MappingTables!$C$34,H906=MappingTables!$C$35),P906,0))</f>
        <v>0</v>
      </c>
      <c r="R906" s="73">
        <f>IF(ISNA(IF(AND(VLOOKUP(CONCATENATE($D906,$G906),CSRFinput!$B:$E,4,0)=0,OR(H906=MappingTables!$C$31,H906=MappingTables!$C$32)),1,VLOOKUP(CONCATENATE($D906,$G906),CSRFinput!$B:$E,4,0))),0,IF(AND(VLOOKUP(CONCATENATE($D906,$G906),CSRFinput!$B:$E,4,0)=0,OR(H906=MappingTables!$C$31,H906=MappingTables!$C$32)),1,VLOOKUP(CONCATENATE($D906,$G906),CSRFinput!$B:$E,4,0)))</f>
        <v>0.054776304963434752</v>
      </c>
      <c r="S906" s="73">
        <f>IF(B906="",0,P906*R906)</f>
        <v>0.011021650112312726</v>
      </c>
      <c r="T906" s="85">
        <f>IF(B906="",0,IF(OR(H906=MappingTables!$C$34,H906=MappingTables!$C$35),S906,0))</f>
        <v>0</v>
      </c>
    </row>
    <row r="907" spans="2:20" s="0" customFormat="0" ht="15">
      <c r="B907" s="69" t="s">
        <v>4533</v>
      </c>
      <c r="C907" s="70" t="s">
        <v>4534</v>
      </c>
      <c r="D907" s="70" t="s">
        <v>1</v>
      </c>
      <c r="E907" s="70" t="s">
        <v>1</v>
      </c>
      <c r="F907" s="70"/>
      <c r="G907" s="70" t="s">
        <v>61</v>
      </c>
      <c r="H907" s="70" t="s">
        <v>178</v>
      </c>
      <c r="I907" s="70" t="s">
        <v>513</v>
      </c>
      <c r="J907" s="71">
        <f>IF(OR(I907=0,I907=""),"unrated",VLOOKUP(I907,MappingTables!$B$19:$C$31,2,FALSE))</f>
        <v>6</v>
      </c>
      <c r="K907" s="72">
        <v>754.66134917588528</v>
      </c>
      <c r="L907" s="70">
        <v>4.9951134905950992</v>
      </c>
      <c r="M907" s="71">
        <f>IF(L907&lt;1,1,L907)</f>
        <v>4.9951134905950992</v>
      </c>
      <c r="N907" s="70" t="s">
        <v>3288</v>
      </c>
      <c r="O907" s="71">
        <f>IF(OR(I907=$A$1,I907=0),"",IF(N907=MappingTables!$C$14,VLOOKUP(J907,ModelParameters!$M$8:$N$15,2,FALSE),IF(N907=MappingTables!$C$16,VLOOKUP(J907,ModelParameters!$P$8:$Q$15,2,FALSE),0)))</f>
        <v>1</v>
      </c>
      <c r="P907" s="73">
        <f>IF(OR(I907=0,I907=$A$1),0,MIN(O907*M907,1)*K907)</f>
        <v>754.66134917588528</v>
      </c>
      <c r="Q907" s="73">
        <f>IF(B907="",0,IF(OR(H907=MappingTables!$C$34,H907=MappingTables!$C$35),P907,0))</f>
        <v>0</v>
      </c>
      <c r="R907" s="73">
        <f>IF(ISNA(IF(AND(VLOOKUP(CONCATENATE($D907,$G907),CSRFinput!$B:$E,4,0)=0,OR(H907=MappingTables!$C$31,H907=MappingTables!$C$32)),1,VLOOKUP(CONCATENATE($D907,$G907),CSRFinput!$B:$E,4,0))),0,IF(AND(VLOOKUP(CONCATENATE($D907,$G907),CSRFinput!$B:$E,4,0)=0,OR(H907=MappingTables!$C$31,H907=MappingTables!$C$32)),1,VLOOKUP(CONCATENATE($D907,$G907),CSRFinput!$B:$E,4,0)))</f>
        <v>0.054776304963434752</v>
      </c>
      <c r="S907" s="73">
        <f>IF(B907="",0,P907*R907)</f>
        <v>41.337560206575408</v>
      </c>
      <c r="T907" s="85">
        <f>IF(B907="",0,IF(OR(H907=MappingTables!$C$34,H907=MappingTables!$C$35),S907,0))</f>
        <v>0</v>
      </c>
    </row>
    <row r="908" spans="2:20" s="0" customFormat="0" ht="15">
      <c r="B908" s="69" t="s">
        <v>4535</v>
      </c>
      <c r="C908" s="70" t="s">
        <v>4536</v>
      </c>
      <c r="D908" s="70" t="s">
        <v>1</v>
      </c>
      <c r="E908" s="70" t="s">
        <v>1</v>
      </c>
      <c r="F908" s="70"/>
      <c r="G908" s="70" t="s">
        <v>61</v>
      </c>
      <c r="H908" s="70" t="s">
        <v>178</v>
      </c>
      <c r="I908" s="70" t="s">
        <v>3291</v>
      </c>
      <c r="J908" s="71">
        <f>IF(OR(I908=0,I908=""),"unrated",VLOOKUP(I908,MappingTables!$B$19:$C$31,2,FALSE))</f>
        <v>6</v>
      </c>
      <c r="K908" s="72">
        <v>160.79335067566936</v>
      </c>
      <c r="L908" s="70">
        <v>0.47616529680198064</v>
      </c>
      <c r="M908" s="71">
        <f>IF(L908&lt;1,1,L908)</f>
        <v>1</v>
      </c>
      <c r="N908" s="70" t="s">
        <v>3288</v>
      </c>
      <c r="O908" s="71">
        <f>IF(OR(I908=$A$1,I908=0),"",IF(N908=MappingTables!$C$14,VLOOKUP(J908,ModelParameters!$M$8:$N$15,2,FALSE),IF(N908=MappingTables!$C$16,VLOOKUP(J908,ModelParameters!$P$8:$Q$15,2,FALSE),0)))</f>
        <v>1</v>
      </c>
      <c r="P908" s="73">
        <f>IF(OR(I908=0,I908=$A$1),0,MIN(O908*M908,1)*K908)</f>
        <v>160.79335067566936</v>
      </c>
      <c r="Q908" s="73">
        <f>IF(B908="",0,IF(OR(H908=MappingTables!$C$34,H908=MappingTables!$C$35),P908,0))</f>
        <v>0</v>
      </c>
      <c r="R908" s="73">
        <f>IF(ISNA(IF(AND(VLOOKUP(CONCATENATE($D908,$G908),CSRFinput!$B:$E,4,0)=0,OR(H908=MappingTables!$C$31,H908=MappingTables!$C$32)),1,VLOOKUP(CONCATENATE($D908,$G908),CSRFinput!$B:$E,4,0))),0,IF(AND(VLOOKUP(CONCATENATE($D908,$G908),CSRFinput!$B:$E,4,0)=0,OR(H908=MappingTables!$C$31,H908=MappingTables!$C$32)),1,VLOOKUP(CONCATENATE($D908,$G908),CSRFinput!$B:$E,4,0)))</f>
        <v>0.054776304963434752</v>
      </c>
      <c r="S908" s="73">
        <f>IF(B908="",0,P908*R908)</f>
        <v>8.8076656127029728</v>
      </c>
      <c r="T908" s="85">
        <f>IF(B908="",0,IF(OR(H908=MappingTables!$C$34,H908=MappingTables!$C$35),S908,0))</f>
        <v>0</v>
      </c>
    </row>
    <row r="909" spans="2:20" s="0" customFormat="0" ht="15">
      <c r="B909" s="69" t="s">
        <v>4537</v>
      </c>
      <c r="C909" s="70" t="s">
        <v>4538</v>
      </c>
      <c r="D909" s="70" t="s">
        <v>1</v>
      </c>
      <c r="E909" s="70" t="s">
        <v>1</v>
      </c>
      <c r="F909" s="70"/>
      <c r="G909" s="70" t="s">
        <v>61</v>
      </c>
      <c r="H909" s="70" t="s">
        <v>178</v>
      </c>
      <c r="I909" s="70" t="s">
        <v>188</v>
      </c>
      <c r="J909" s="71">
        <f>IF(OR(I909=0,I909=""),"unrated",VLOOKUP(I909,MappingTables!$B$19:$C$31,2,FALSE))</f>
        <v>2</v>
      </c>
      <c r="K909" s="72">
        <v>223.40293462213084</v>
      </c>
      <c r="L909" s="70">
        <v>0.068508937551846696</v>
      </c>
      <c r="M909" s="71">
        <f>IF(L909&lt;1,1,L909)</f>
        <v>1</v>
      </c>
      <c r="N909" s="70" t="s">
        <v>3288</v>
      </c>
      <c r="O909" s="71">
        <f>IF(OR(I909=$A$1,I909=0),"",IF(N909=MappingTables!$C$14,VLOOKUP(J909,ModelParameters!$M$8:$N$15,2,FALSE),IF(N909=MappingTables!$C$16,VLOOKUP(J909,ModelParameters!$P$8:$Q$15,2,FALSE),0)))</f>
        <v>0.166</v>
      </c>
      <c r="P909" s="73">
        <f>IF(OR(I909=0,I909=$A$1),0,MIN(O909*M909,1)*K909)</f>
        <v>37.08488714727372</v>
      </c>
      <c r="Q909" s="73">
        <f>IF(B909="",0,IF(OR(H909=MappingTables!$C$34,H909=MappingTables!$C$35),P909,0))</f>
        <v>0</v>
      </c>
      <c r="R909" s="73">
        <f>IF(ISNA(IF(AND(VLOOKUP(CONCATENATE($D909,$G909),CSRFinput!$B:$E,4,0)=0,OR(H909=MappingTables!$C$31,H909=MappingTables!$C$32)),1,VLOOKUP(CONCATENATE($D909,$G909),CSRFinput!$B:$E,4,0))),0,IF(AND(VLOOKUP(CONCATENATE($D909,$G909),CSRFinput!$B:$E,4,0)=0,OR(H909=MappingTables!$C$31,H909=MappingTables!$C$32)),1,VLOOKUP(CONCATENATE($D909,$G909),CSRFinput!$B:$E,4,0)))</f>
        <v>0.054776304963434752</v>
      </c>
      <c r="S909" s="73">
        <f>IF(B909="",0,P909*R909)</f>
        <v>2.0313730879136268</v>
      </c>
      <c r="T909" s="85">
        <f>IF(B909="",0,IF(OR(H909=MappingTables!$C$34,H909=MappingTables!$C$35),S909,0))</f>
        <v>0</v>
      </c>
    </row>
    <row r="910" spans="2:20" s="0" customFormat="0" ht="15">
      <c r="B910" s="69" t="s">
        <v>4539</v>
      </c>
      <c r="C910" s="70" t="s">
        <v>4540</v>
      </c>
      <c r="D910" s="70" t="s">
        <v>1</v>
      </c>
      <c r="E910" s="70" t="s">
        <v>1</v>
      </c>
      <c r="F910" s="70"/>
      <c r="G910" s="70" t="s">
        <v>61</v>
      </c>
      <c r="H910" s="70" t="s">
        <v>178</v>
      </c>
      <c r="I910" s="70" t="s">
        <v>198</v>
      </c>
      <c r="J910" s="71" t="str">
        <f>IF(OR(I910=0,I910=""),"unrated",VLOOKUP(I910,MappingTables!$B$19:$C$31,2,FALSE))</f>
        <v>unrated</v>
      </c>
      <c r="K910" s="72">
        <v>42.937514452504016</v>
      </c>
      <c r="L910" s="70">
        <v>7.8318375313099136</v>
      </c>
      <c r="M910" s="71">
        <f>IF(L910&lt;1,1,L910)</f>
        <v>7.8318375313099136</v>
      </c>
      <c r="N910" s="70" t="s">
        <v>3288</v>
      </c>
      <c r="O910" s="71">
        <f>IF(OR(I910=$A$1,I910=0),"",IF(N910=MappingTables!$C$14,VLOOKUP(J910,ModelParameters!$M$8:$N$15,2,FALSE),IF(N910=MappingTables!$C$16,VLOOKUP(J910,ModelParameters!$P$8:$Q$15,2,FALSE),0)))</f>
        <v>1</v>
      </c>
      <c r="P910" s="73">
        <f>IF(OR(I910=0,I910=$A$1),0,MIN(O910*M910,1)*K910)</f>
        <v>42.937514452504016</v>
      </c>
      <c r="Q910" s="73">
        <f>IF(B910="",0,IF(OR(H910=MappingTables!$C$34,H910=MappingTables!$C$35),P910,0))</f>
        <v>0</v>
      </c>
      <c r="R910" s="73">
        <f>IF(ISNA(IF(AND(VLOOKUP(CONCATENATE($D910,$G910),CSRFinput!$B:$E,4,0)=0,OR(H910=MappingTables!$C$31,H910=MappingTables!$C$32)),1,VLOOKUP(CONCATENATE($D910,$G910),CSRFinput!$B:$E,4,0))),0,IF(AND(VLOOKUP(CONCATENATE($D910,$G910),CSRFinput!$B:$E,4,0)=0,OR(H910=MappingTables!$C$31,H910=MappingTables!$C$32)),1,VLOOKUP(CONCATENATE($D910,$G910),CSRFinput!$B:$E,4,0)))</f>
        <v>0.054776304963434752</v>
      </c>
      <c r="S910" s="73">
        <f>IF(B910="",0,P910*R910)</f>
        <v>2.3519583860222472</v>
      </c>
      <c r="T910" s="85">
        <f>IF(B910="",0,IF(OR(H910=MappingTables!$C$34,H910=MappingTables!$C$35),S910,0))</f>
        <v>0</v>
      </c>
    </row>
    <row r="911" spans="2:20" s="0" customFormat="0" ht="15">
      <c r="B911" s="69" t="s">
        <v>3521</v>
      </c>
      <c r="C911" s="70" t="s">
        <v>3522</v>
      </c>
      <c r="D911" s="70" t="s">
        <v>1</v>
      </c>
      <c r="E911" s="70" t="s">
        <v>1</v>
      </c>
      <c r="F911" s="70"/>
      <c r="G911" s="70" t="s">
        <v>61</v>
      </c>
      <c r="H911" s="70" t="s">
        <v>178</v>
      </c>
      <c r="I911" s="70" t="s">
        <v>198</v>
      </c>
      <c r="J911" s="71" t="str">
        <f>IF(OR(I911=0,I911=""),"unrated",VLOOKUP(I911,MappingTables!$B$19:$C$31,2,FALSE))</f>
        <v>unrated</v>
      </c>
      <c r="K911" s="72">
        <v>11444.135620851082</v>
      </c>
      <c r="L911" s="70">
        <v>5.009317259898568</v>
      </c>
      <c r="M911" s="71">
        <f>IF(L911&lt;1,1,L911)</f>
        <v>5.009317259898568</v>
      </c>
      <c r="N911" s="70" t="s">
        <v>3288</v>
      </c>
      <c r="O911" s="71">
        <f>IF(OR(I911=$A$1,I911=0),"",IF(N911=MappingTables!$C$14,VLOOKUP(J911,ModelParameters!$M$8:$N$15,2,FALSE),IF(N911=MappingTables!$C$16,VLOOKUP(J911,ModelParameters!$P$8:$Q$15,2,FALSE),0)))</f>
        <v>1</v>
      </c>
      <c r="P911" s="73">
        <f>IF(OR(I911=0,I911=$A$1),0,MIN(O911*M911,1)*K911)</f>
        <v>11444.135620851082</v>
      </c>
      <c r="Q911" s="73">
        <f>IF(B911="",0,IF(OR(H911=MappingTables!$C$34,H911=MappingTables!$C$35),P911,0))</f>
        <v>0</v>
      </c>
      <c r="R911" s="73">
        <f>IF(ISNA(IF(AND(VLOOKUP(CONCATENATE($D911,$G911),CSRFinput!$B:$E,4,0)=0,OR(H911=MappingTables!$C$31,H911=MappingTables!$C$32)),1,VLOOKUP(CONCATENATE($D911,$G911),CSRFinput!$B:$E,4,0))),0,IF(AND(VLOOKUP(CONCATENATE($D911,$G911),CSRFinput!$B:$E,4,0)=0,OR(H911=MappingTables!$C$31,H911=MappingTables!$C$32)),1,VLOOKUP(CONCATENATE($D911,$G911),CSRFinput!$B:$E,4,0)))</f>
        <v>0.054776304963434752</v>
      </c>
      <c r="S911" s="73">
        <f>IF(B911="",0,P911*R911)</f>
        <v>626.8674628106456</v>
      </c>
      <c r="T911" s="85">
        <f>IF(B911="",0,IF(OR(H911=MappingTables!$C$34,H911=MappingTables!$C$35),S911,0))</f>
        <v>0</v>
      </c>
    </row>
    <row r="912" spans="2:20" s="0" customFormat="0" ht="15">
      <c r="B912" s="69">
        <v>17849963</v>
      </c>
      <c r="C912" s="70" t="s">
        <v>4541</v>
      </c>
      <c r="D912" s="70" t="s">
        <v>1</v>
      </c>
      <c r="E912" s="70" t="s">
        <v>1</v>
      </c>
      <c r="F912" s="70"/>
      <c r="G912" s="70" t="s">
        <v>61</v>
      </c>
      <c r="H912" s="70" t="s">
        <v>178</v>
      </c>
      <c r="I912" s="70" t="s">
        <v>216</v>
      </c>
      <c r="J912" s="71">
        <f>IF(OR(I912=0,I912=""),"unrated",VLOOKUP(I912,MappingTables!$B$19:$C$31,2,FALSE))</f>
        <v>0</v>
      </c>
      <c r="K912" s="72">
        <v>992.26624474109472</v>
      </c>
      <c r="L912" s="70">
        <v>0.036419290749108768</v>
      </c>
      <c r="M912" s="71">
        <f>IF(L912&lt;1,1,L912)</f>
        <v>1</v>
      </c>
      <c r="N912" s="70" t="s">
        <v>3288</v>
      </c>
      <c r="O912" s="71">
        <f>IF(OR(I912=$A$1,I912=0),"",IF(N912=MappingTables!$C$14,VLOOKUP(J912,ModelParameters!$M$8:$N$15,2,FALSE),IF(N912=MappingTables!$C$16,VLOOKUP(J912,ModelParameters!$P$8:$Q$15,2,FALSE),0)))</f>
        <v>0.125</v>
      </c>
      <c r="P912" s="73">
        <f>IF(OR(I912=0,I912=$A$1),0,MIN(O912*M912,1)*K912)</f>
        <v>124.03328059263684</v>
      </c>
      <c r="Q912" s="73">
        <f>IF(B912="",0,IF(OR(H912=MappingTables!$C$34,H912=MappingTables!$C$35),P912,0))</f>
        <v>0</v>
      </c>
      <c r="R912" s="73">
        <f>IF(ISNA(IF(AND(VLOOKUP(CONCATENATE($D912,$G912),CSRFinput!$B:$E,4,0)=0,OR(H912=MappingTables!$C$31,H912=MappingTables!$C$32)),1,VLOOKUP(CONCATENATE($D912,$G912),CSRFinput!$B:$E,4,0))),0,IF(AND(VLOOKUP(CONCATENATE($D912,$G912),CSRFinput!$B:$E,4,0)=0,OR(H912=MappingTables!$C$31,H912=MappingTables!$C$32)),1,VLOOKUP(CONCATENATE($D912,$G912),CSRFinput!$B:$E,4,0)))</f>
        <v>0.054776304963434752</v>
      </c>
      <c r="S912" s="73">
        <f>IF(B912="",0,P912*R912)</f>
        <v>6.7940848033575488</v>
      </c>
      <c r="T912" s="85">
        <f>IF(B912="",0,IF(OR(H912=MappingTables!$C$34,H912=MappingTables!$C$35),S912,0))</f>
        <v>0</v>
      </c>
    </row>
    <row r="913" spans="2:20" s="0" customFormat="0" ht="15">
      <c r="B913" s="69" t="s">
        <v>4542</v>
      </c>
      <c r="C913" s="70" t="s">
        <v>4543</v>
      </c>
      <c r="D913" s="70" t="s">
        <v>1</v>
      </c>
      <c r="E913" s="70" t="s">
        <v>1</v>
      </c>
      <c r="F913" s="70"/>
      <c r="G913" s="70" t="s">
        <v>61</v>
      </c>
      <c r="H913" s="70" t="s">
        <v>178</v>
      </c>
      <c r="I913" s="70" t="s">
        <v>198</v>
      </c>
      <c r="J913" s="71" t="str">
        <f>IF(OR(I913=0,I913=""),"unrated",VLOOKUP(I913,MappingTables!$B$19:$C$31,2,FALSE))</f>
        <v>unrated</v>
      </c>
      <c r="K913" s="72">
        <v>187.55549176904904</v>
      </c>
      <c r="L913" s="70">
        <v>6.0572411030881936</v>
      </c>
      <c r="M913" s="71">
        <f>IF(L913&lt;1,1,L913)</f>
        <v>6.0572411030881936</v>
      </c>
      <c r="N913" s="70" t="s">
        <v>3288</v>
      </c>
      <c r="O913" s="71">
        <f>IF(OR(I913=$A$1,I913=0),"",IF(N913=MappingTables!$C$14,VLOOKUP(J913,ModelParameters!$M$8:$N$15,2,FALSE),IF(N913=MappingTables!$C$16,VLOOKUP(J913,ModelParameters!$P$8:$Q$15,2,FALSE),0)))</f>
        <v>1</v>
      </c>
      <c r="P913" s="73">
        <f>IF(OR(I913=0,I913=$A$1),0,MIN(O913*M913,1)*K913)</f>
        <v>187.55549176904904</v>
      </c>
      <c r="Q913" s="73">
        <f>IF(B913="",0,IF(OR(H913=MappingTables!$C$34,H913=MappingTables!$C$35),P913,0))</f>
        <v>0</v>
      </c>
      <c r="R913" s="73">
        <f>IF(ISNA(IF(AND(VLOOKUP(CONCATENATE($D913,$G913),CSRFinput!$B:$E,4,0)=0,OR(H913=MappingTables!$C$31,H913=MappingTables!$C$32)),1,VLOOKUP(CONCATENATE($D913,$G913),CSRFinput!$B:$E,4,0))),0,IF(AND(VLOOKUP(CONCATENATE($D913,$G913),CSRFinput!$B:$E,4,0)=0,OR(H913=MappingTables!$C$31,H913=MappingTables!$C$32)),1,VLOOKUP(CONCATENATE($D913,$G913),CSRFinput!$B:$E,4,0)))</f>
        <v>0.054776304963434752</v>
      </c>
      <c r="S913" s="73">
        <f>IF(B913="",0,P913*R913)</f>
        <v>10.273596814708406</v>
      </c>
      <c r="T913" s="85">
        <f>IF(B913="",0,IF(OR(H913=MappingTables!$C$34,H913=MappingTables!$C$35),S913,0))</f>
        <v>0</v>
      </c>
    </row>
    <row r="914" spans="2:20" s="0" customFormat="0" ht="15">
      <c r="B914" s="69">
        <v>21382664</v>
      </c>
      <c r="C914" s="70" t="s">
        <v>4544</v>
      </c>
      <c r="D914" s="70" t="s">
        <v>1</v>
      </c>
      <c r="E914" s="70" t="s">
        <v>1</v>
      </c>
      <c r="F914" s="70"/>
      <c r="G914" s="70" t="s">
        <v>61</v>
      </c>
      <c r="H914" s="70" t="s">
        <v>178</v>
      </c>
      <c r="I914" s="70" t="s">
        <v>216</v>
      </c>
      <c r="J914" s="71">
        <f>IF(OR(I914=0,I914=""),"unrated",VLOOKUP(I914,MappingTables!$B$19:$C$31,2,FALSE))</f>
        <v>0</v>
      </c>
      <c r="K914" s="72">
        <v>753.99795179081744</v>
      </c>
      <c r="L914" s="70">
        <v>0.023443048858398292</v>
      </c>
      <c r="M914" s="71">
        <f>IF(L914&lt;1,1,L914)</f>
        <v>1</v>
      </c>
      <c r="N914" s="70" t="s">
        <v>3288</v>
      </c>
      <c r="O914" s="71">
        <f>IF(OR(I914=$A$1,I914=0),"",IF(N914=MappingTables!$C$14,VLOOKUP(J914,ModelParameters!$M$8:$N$15,2,FALSE),IF(N914=MappingTables!$C$16,VLOOKUP(J914,ModelParameters!$P$8:$Q$15,2,FALSE),0)))</f>
        <v>0.125</v>
      </c>
      <c r="P914" s="73">
        <f>IF(OR(I914=0,I914=$A$1),0,MIN(O914*M914,1)*K914)</f>
        <v>94.249743973852176</v>
      </c>
      <c r="Q914" s="73">
        <f>IF(B914="",0,IF(OR(H914=MappingTables!$C$34,H914=MappingTables!$C$35),P914,0))</f>
        <v>0</v>
      </c>
      <c r="R914" s="73">
        <f>IF(ISNA(IF(AND(VLOOKUP(CONCATENATE($D914,$G914),CSRFinput!$B:$E,4,0)=0,OR(H914=MappingTables!$C$31,H914=MappingTables!$C$32)),1,VLOOKUP(CONCATENATE($D914,$G914),CSRFinput!$B:$E,4,0))),0,IF(AND(VLOOKUP(CONCATENATE($D914,$G914),CSRFinput!$B:$E,4,0)=0,OR(H914=MappingTables!$C$31,H914=MappingTables!$C$32)),1,VLOOKUP(CONCATENATE($D914,$G914),CSRFinput!$B:$E,4,0)))</f>
        <v>0.054776304963434752</v>
      </c>
      <c r="S914" s="73">
        <f>IF(B914="",0,P914*R914)</f>
        <v>5.1626527186373744</v>
      </c>
      <c r="T914" s="85">
        <f>IF(B914="",0,IF(OR(H914=MappingTables!$C$34,H914=MappingTables!$C$35),S914,0))</f>
        <v>0</v>
      </c>
    </row>
    <row r="915" spans="2:20" s="0" customFormat="0" ht="15">
      <c r="B915" s="69">
        <v>24395135</v>
      </c>
      <c r="C915" s="70" t="s">
        <v>4545</v>
      </c>
      <c r="D915" s="70" t="s">
        <v>1</v>
      </c>
      <c r="E915" s="70" t="s">
        <v>1</v>
      </c>
      <c r="F915" s="70"/>
      <c r="G915" s="70" t="s">
        <v>61</v>
      </c>
      <c r="H915" s="70" t="s">
        <v>178</v>
      </c>
      <c r="I915" s="70" t="s">
        <v>216</v>
      </c>
      <c r="J915" s="71">
        <f>IF(OR(I915=0,I915=""),"unrated",VLOOKUP(I915,MappingTables!$B$19:$C$31,2,FALSE))</f>
        <v>0</v>
      </c>
      <c r="K915" s="72">
        <v>2903.4158063552732</v>
      </c>
      <c r="L915" s="70">
        <v>3.285420599935208</v>
      </c>
      <c r="M915" s="71">
        <f>IF(L915&lt;1,1,L915)</f>
        <v>3.285420599935208</v>
      </c>
      <c r="N915" s="70" t="s">
        <v>3288</v>
      </c>
      <c r="O915" s="71">
        <f>IF(OR(I915=$A$1,I915=0),"",IF(N915=MappingTables!$C$14,VLOOKUP(J915,ModelParameters!$M$8:$N$15,2,FALSE),IF(N915=MappingTables!$C$16,VLOOKUP(J915,ModelParameters!$P$8:$Q$15,2,FALSE),0)))</f>
        <v>0.125</v>
      </c>
      <c r="P915" s="73">
        <f>IF(OR(I915=0,I915=$A$1),0,MIN(O915*M915,1)*K915)</f>
        <v>1192.3677625471384</v>
      </c>
      <c r="Q915" s="73">
        <f>IF(B915="",0,IF(OR(H915=MappingTables!$C$34,H915=MappingTables!$C$35),P915,0))</f>
        <v>0</v>
      </c>
      <c r="R915" s="73">
        <f>IF(ISNA(IF(AND(VLOOKUP(CONCATENATE($D915,$G915),CSRFinput!$B:$E,4,0)=0,OR(H915=MappingTables!$C$31,H915=MappingTables!$C$32)),1,VLOOKUP(CONCATENATE($D915,$G915),CSRFinput!$B:$E,4,0))),0,IF(AND(VLOOKUP(CONCATENATE($D915,$G915),CSRFinput!$B:$E,4,0)=0,OR(H915=MappingTables!$C$31,H915=MappingTables!$C$32)),1,VLOOKUP(CONCATENATE($D915,$G915),CSRFinput!$B:$E,4,0)))</f>
        <v>0.054776304963434752</v>
      </c>
      <c r="S915" s="73">
        <f>IF(B915="",0,P915*R915)</f>
        <v>65.313500189850416</v>
      </c>
      <c r="T915" s="85">
        <f>IF(B915="",0,IF(OR(H915=MappingTables!$C$34,H915=MappingTables!$C$35),S915,0))</f>
        <v>0</v>
      </c>
    </row>
    <row r="916" spans="2:20" s="0" customFormat="0" ht="15">
      <c r="B916" s="69" t="s">
        <v>4546</v>
      </c>
      <c r="C916" s="70" t="s">
        <v>4547</v>
      </c>
      <c r="D916" s="70" t="s">
        <v>1</v>
      </c>
      <c r="E916" s="70" t="s">
        <v>1</v>
      </c>
      <c r="F916" s="70"/>
      <c r="G916" s="70" t="s">
        <v>61</v>
      </c>
      <c r="H916" s="70" t="s">
        <v>178</v>
      </c>
      <c r="I916" s="70" t="s">
        <v>198</v>
      </c>
      <c r="J916" s="71" t="str">
        <f>IF(OR(I916=0,I916=""),"unrated",VLOOKUP(I916,MappingTables!$B$19:$C$31,2,FALSE))</f>
        <v>unrated</v>
      </c>
      <c r="K916" s="72">
        <v>146.2866222374629</v>
      </c>
      <c r="L916" s="70">
        <v>22.316143416225388</v>
      </c>
      <c r="M916" s="71">
        <f>IF(L916&lt;1,1,L916)</f>
        <v>22.316143416225388</v>
      </c>
      <c r="N916" s="70" t="s">
        <v>3288</v>
      </c>
      <c r="O916" s="71">
        <f>IF(OR(I916=$A$1,I916=0),"",IF(N916=MappingTables!$C$14,VLOOKUP(J916,ModelParameters!$M$8:$N$15,2,FALSE),IF(N916=MappingTables!$C$16,VLOOKUP(J916,ModelParameters!$P$8:$Q$15,2,FALSE),0)))</f>
        <v>1</v>
      </c>
      <c r="P916" s="73">
        <f>IF(OR(I916=0,I916=$A$1),0,MIN(O916*M916,1)*K916)</f>
        <v>146.2866222374629</v>
      </c>
      <c r="Q916" s="73">
        <f>IF(B916="",0,IF(OR(H916=MappingTables!$C$34,H916=MappingTables!$C$35),P916,0))</f>
        <v>0</v>
      </c>
      <c r="R916" s="73">
        <f>IF(ISNA(IF(AND(VLOOKUP(CONCATENATE($D916,$G916),CSRFinput!$B:$E,4,0)=0,OR(H916=MappingTables!$C$31,H916=MappingTables!$C$32)),1,VLOOKUP(CONCATENATE($D916,$G916),CSRFinput!$B:$E,4,0))),0,IF(AND(VLOOKUP(CONCATENATE($D916,$G916),CSRFinput!$B:$E,4,0)=0,OR(H916=MappingTables!$C$31,H916=MappingTables!$C$32)),1,VLOOKUP(CONCATENATE($D916,$G916),CSRFinput!$B:$E,4,0)))</f>
        <v>0.054776304963434752</v>
      </c>
      <c r="S916" s="73">
        <f>IF(B916="",0,P916*R916)</f>
        <v>8.0130406317500432</v>
      </c>
      <c r="T916" s="85">
        <f>IF(B916="",0,IF(OR(H916=MappingTables!$C$34,H916=MappingTables!$C$35),S916,0))</f>
        <v>0</v>
      </c>
    </row>
    <row r="917" spans="2:20" s="0" customFormat="0" ht="15">
      <c r="B917" s="69">
        <v>18423529</v>
      </c>
      <c r="C917" s="70" t="s">
        <v>3525</v>
      </c>
      <c r="D917" s="70" t="s">
        <v>1</v>
      </c>
      <c r="E917" s="70" t="s">
        <v>1</v>
      </c>
      <c r="F917" s="70"/>
      <c r="G917" s="70" t="s">
        <v>61</v>
      </c>
      <c r="H917" s="70" t="s">
        <v>178</v>
      </c>
      <c r="I917" s="70" t="s">
        <v>216</v>
      </c>
      <c r="J917" s="71">
        <f>IF(OR(I917=0,I917=""),"unrated",VLOOKUP(I917,MappingTables!$B$19:$C$31,2,FALSE))</f>
        <v>0</v>
      </c>
      <c r="K917" s="72">
        <v>1079.7847545315144</v>
      </c>
      <c r="L917" s="70">
        <v>0.088041397151212304</v>
      </c>
      <c r="M917" s="71">
        <f>IF(L917&lt;1,1,L917)</f>
        <v>1</v>
      </c>
      <c r="N917" s="70" t="s">
        <v>3288</v>
      </c>
      <c r="O917" s="71">
        <f>IF(OR(I917=$A$1,I917=0),"",IF(N917=MappingTables!$C$14,VLOOKUP(J917,ModelParameters!$M$8:$N$15,2,FALSE),IF(N917=MappingTables!$C$16,VLOOKUP(J917,ModelParameters!$P$8:$Q$15,2,FALSE),0)))</f>
        <v>0.125</v>
      </c>
      <c r="P917" s="73">
        <f>IF(OR(I917=0,I917=$A$1),0,MIN(O917*M917,1)*K917)</f>
        <v>134.9730943164393</v>
      </c>
      <c r="Q917" s="73">
        <f>IF(B917="",0,IF(OR(H917=MappingTables!$C$34,H917=MappingTables!$C$35),P917,0))</f>
        <v>0</v>
      </c>
      <c r="R917" s="73">
        <f>IF(ISNA(IF(AND(VLOOKUP(CONCATENATE($D917,$G917),CSRFinput!$B:$E,4,0)=0,OR(H917=MappingTables!$C$31,H917=MappingTables!$C$32)),1,VLOOKUP(CONCATENATE($D917,$G917),CSRFinput!$B:$E,4,0))),0,IF(AND(VLOOKUP(CONCATENATE($D917,$G917),CSRFinput!$B:$E,4,0)=0,OR(H917=MappingTables!$C$31,H917=MappingTables!$C$32)),1,VLOOKUP(CONCATENATE($D917,$G917),CSRFinput!$B:$E,4,0)))</f>
        <v>0.054776304963434752</v>
      </c>
      <c r="S917" s="73">
        <f>IF(B917="",0,P917*R917)</f>
        <v>7.3933273761357216</v>
      </c>
      <c r="T917" s="85">
        <f>IF(B917="",0,IF(OR(H917=MappingTables!$C$34,H917=MappingTables!$C$35),S917,0))</f>
        <v>0</v>
      </c>
    </row>
    <row r="918" spans="2:20" s="0" customFormat="0" ht="15">
      <c r="B918" s="69" t="s">
        <v>4548</v>
      </c>
      <c r="C918" s="70" t="s">
        <v>4549</v>
      </c>
      <c r="D918" s="70" t="s">
        <v>1</v>
      </c>
      <c r="E918" s="70" t="s">
        <v>1</v>
      </c>
      <c r="F918" s="70"/>
      <c r="G918" s="70" t="s">
        <v>61</v>
      </c>
      <c r="H918" s="70" t="s">
        <v>178</v>
      </c>
      <c r="I918" s="70" t="s">
        <v>179</v>
      </c>
      <c r="J918" s="71">
        <f>IF(OR(I918=0,I918=""),"unrated",VLOOKUP(I918,MappingTables!$B$19:$C$31,2,FALSE))</f>
        <v>4</v>
      </c>
      <c r="K918" s="72">
        <v>203.38985166647196</v>
      </c>
      <c r="L918" s="70">
        <v>0.068493714748548528</v>
      </c>
      <c r="M918" s="71">
        <f>IF(L918&lt;1,1,L918)</f>
        <v>1</v>
      </c>
      <c r="N918" s="70" t="s">
        <v>3288</v>
      </c>
      <c r="O918" s="71">
        <f>IF(OR(I918=$A$1,I918=0),"",IF(N918=MappingTables!$C$14,VLOOKUP(J918,ModelParameters!$M$8:$N$15,2,FALSE),IF(N918=MappingTables!$C$16,VLOOKUP(J918,ModelParameters!$P$8:$Q$15,2,FALSE),0)))</f>
        <v>0.82</v>
      </c>
      <c r="P918" s="73">
        <f>IF(OR(I918=0,I918=$A$1),0,MIN(O918*M918,1)*K918)</f>
        <v>166.77967836650698</v>
      </c>
      <c r="Q918" s="73">
        <f>IF(B918="",0,IF(OR(H918=MappingTables!$C$34,H918=MappingTables!$C$35),P918,0))</f>
        <v>0</v>
      </c>
      <c r="R918" s="73">
        <f>IF(ISNA(IF(AND(VLOOKUP(CONCATENATE($D918,$G918),CSRFinput!$B:$E,4,0)=0,OR(H918=MappingTables!$C$31,H918=MappingTables!$C$32)),1,VLOOKUP(CONCATENATE($D918,$G918),CSRFinput!$B:$E,4,0))),0,IF(AND(VLOOKUP(CONCATENATE($D918,$G918),CSRFinput!$B:$E,4,0)=0,OR(H918=MappingTables!$C$31,H918=MappingTables!$C$32)),1,VLOOKUP(CONCATENATE($D918,$G918),CSRFinput!$B:$E,4,0)))</f>
        <v>0.054776304963434752</v>
      </c>
      <c r="S918" s="73">
        <f>IF(B918="",0,P918*R918)</f>
        <v>9.1355745239073472</v>
      </c>
      <c r="T918" s="85">
        <f>IF(B918="",0,IF(OR(H918=MappingTables!$C$34,H918=MappingTables!$C$35),S918,0))</f>
        <v>0</v>
      </c>
    </row>
    <row r="919" spans="2:20" s="0" customFormat="0" ht="15">
      <c r="B919" s="69" t="s">
        <v>4415</v>
      </c>
      <c r="C919" s="70" t="s">
        <v>4416</v>
      </c>
      <c r="D919" s="70" t="s">
        <v>1</v>
      </c>
      <c r="E919" s="70" t="s">
        <v>1</v>
      </c>
      <c r="F919" s="70"/>
      <c r="G919" s="70" t="s">
        <v>61</v>
      </c>
      <c r="H919" s="70" t="s">
        <v>178</v>
      </c>
      <c r="I919" s="70" t="s">
        <v>198</v>
      </c>
      <c r="J919" s="71" t="str">
        <f>IF(OR(I919=0,I919=""),"unrated",VLOOKUP(I919,MappingTables!$B$19:$C$31,2,FALSE))</f>
        <v>unrated</v>
      </c>
      <c r="K919" s="72">
        <v>1854.8382057150244</v>
      </c>
      <c r="L919" s="70">
        <v>1.588773648935263</v>
      </c>
      <c r="M919" s="71">
        <f>IF(L919&lt;1,1,L919)</f>
        <v>1.588773648935263</v>
      </c>
      <c r="N919" s="70" t="s">
        <v>3288</v>
      </c>
      <c r="O919" s="71">
        <f>IF(OR(I919=$A$1,I919=0),"",IF(N919=MappingTables!$C$14,VLOOKUP(J919,ModelParameters!$M$8:$N$15,2,FALSE),IF(N919=MappingTables!$C$16,VLOOKUP(J919,ModelParameters!$P$8:$Q$15,2,FALSE),0)))</f>
        <v>1</v>
      </c>
      <c r="P919" s="73">
        <f>IF(OR(I919=0,I919=$A$1),0,MIN(O919*M919,1)*K919)</f>
        <v>1854.8382057150244</v>
      </c>
      <c r="Q919" s="73">
        <f>IF(B919="",0,IF(OR(H919=MappingTables!$C$34,H919=MappingTables!$C$35),P919,0))</f>
        <v>0</v>
      </c>
      <c r="R919" s="73">
        <f>IF(ISNA(IF(AND(VLOOKUP(CONCATENATE($D919,$G919),CSRFinput!$B:$E,4,0)=0,OR(H919=MappingTables!$C$31,H919=MappingTables!$C$32)),1,VLOOKUP(CONCATENATE($D919,$G919),CSRFinput!$B:$E,4,0))),0,IF(AND(VLOOKUP(CONCATENATE($D919,$G919),CSRFinput!$B:$E,4,0)=0,OR(H919=MappingTables!$C$31,H919=MappingTables!$C$32)),1,VLOOKUP(CONCATENATE($D919,$G919),CSRFinput!$B:$E,4,0)))</f>
        <v>0.054776304963434752</v>
      </c>
      <c r="S919" s="73">
        <f>IF(B919="",0,P919*R919)</f>
        <v>101.6011832140763</v>
      </c>
      <c r="T919" s="85">
        <f>IF(B919="",0,IF(OR(H919=MappingTables!$C$34,H919=MappingTables!$C$35),S919,0))</f>
        <v>0</v>
      </c>
    </row>
    <row r="920" spans="2:20" s="0" customFormat="0" ht="15">
      <c r="B920" s="69" t="s">
        <v>4550</v>
      </c>
      <c r="C920" s="70" t="s">
        <v>4551</v>
      </c>
      <c r="D920" s="70" t="s">
        <v>1</v>
      </c>
      <c r="E920" s="70" t="s">
        <v>1</v>
      </c>
      <c r="F920" s="70"/>
      <c r="G920" s="70" t="s">
        <v>61</v>
      </c>
      <c r="H920" s="70" t="s">
        <v>178</v>
      </c>
      <c r="I920" s="70" t="s">
        <v>204</v>
      </c>
      <c r="J920" s="71">
        <f>IF(OR(I920=0,I920=""),"unrated",VLOOKUP(I920,MappingTables!$B$19:$C$31,2,FALSE))</f>
        <v>6</v>
      </c>
      <c r="K920" s="72">
        <v>141.23844477413326</v>
      </c>
      <c r="L920" s="70">
        <v>0.068493380444497432</v>
      </c>
      <c r="M920" s="71">
        <f>IF(L920&lt;1,1,L920)</f>
        <v>1</v>
      </c>
      <c r="N920" s="70" t="s">
        <v>3288</v>
      </c>
      <c r="O920" s="71">
        <f>IF(OR(I920=$A$1,I920=0),"",IF(N920=MappingTables!$C$14,VLOOKUP(J920,ModelParameters!$M$8:$N$15,2,FALSE),IF(N920=MappingTables!$C$16,VLOOKUP(J920,ModelParameters!$P$8:$Q$15,2,FALSE),0)))</f>
        <v>1</v>
      </c>
      <c r="P920" s="73">
        <f>IF(OR(I920=0,I920=$A$1),0,MIN(O920*M920,1)*K920)</f>
        <v>141.23844477413326</v>
      </c>
      <c r="Q920" s="73">
        <f>IF(B920="",0,IF(OR(H920=MappingTables!$C$34,H920=MappingTables!$C$35),P920,0))</f>
        <v>0</v>
      </c>
      <c r="R920" s="73">
        <f>IF(ISNA(IF(AND(VLOOKUP(CONCATENATE($D920,$G920),CSRFinput!$B:$E,4,0)=0,OR(H920=MappingTables!$C$31,H920=MappingTables!$C$32)),1,VLOOKUP(CONCATENATE($D920,$G920),CSRFinput!$B:$E,4,0))),0,IF(AND(VLOOKUP(CONCATENATE($D920,$G920),CSRFinput!$B:$E,4,0)=0,OR(H920=MappingTables!$C$31,H920=MappingTables!$C$32)),1,VLOOKUP(CONCATENATE($D920,$G920),CSRFinput!$B:$E,4,0)))</f>
        <v>0.054776304963434752</v>
      </c>
      <c r="S920" s="73">
        <f>IF(B920="",0,P920*R920)</f>
        <v>7.73652012350916</v>
      </c>
      <c r="T920" s="85">
        <f>IF(B920="",0,IF(OR(H920=MappingTables!$C$34,H920=MappingTables!$C$35),S920,0))</f>
        <v>0</v>
      </c>
    </row>
    <row r="921" spans="2:20" s="0" customFormat="0" ht="15">
      <c r="B921" s="69" t="s">
        <v>4466</v>
      </c>
      <c r="C921" s="70" t="s">
        <v>4467</v>
      </c>
      <c r="D921" s="70" t="s">
        <v>1</v>
      </c>
      <c r="E921" s="70" t="s">
        <v>1</v>
      </c>
      <c r="F921" s="70"/>
      <c r="G921" s="70" t="s">
        <v>61</v>
      </c>
      <c r="H921" s="70" t="s">
        <v>178</v>
      </c>
      <c r="I921" s="70" t="s">
        <v>184</v>
      </c>
      <c r="J921" s="71">
        <f>IF(OR(I921=0,I921=""),"unrated",VLOOKUP(I921,MappingTables!$B$19:$C$31,2,FALSE))</f>
        <v>5</v>
      </c>
      <c r="K921" s="72">
        <v>1069.8925703203268</v>
      </c>
      <c r="L921" s="70">
        <v>0.045352354137961992</v>
      </c>
      <c r="M921" s="71">
        <f>IF(L921&lt;1,1,L921)</f>
        <v>1</v>
      </c>
      <c r="N921" s="70" t="s">
        <v>3288</v>
      </c>
      <c r="O921" s="71">
        <f>IF(OR(I921=$A$1,I921=0),"",IF(N921=MappingTables!$C$14,VLOOKUP(J921,ModelParameters!$M$8:$N$15,2,FALSE),IF(N921=MappingTables!$C$16,VLOOKUP(J921,ModelParameters!$P$8:$Q$15,2,FALSE),0)))</f>
        <v>1</v>
      </c>
      <c r="P921" s="73">
        <f>IF(OR(I921=0,I921=$A$1),0,MIN(O921*M921,1)*K921)</f>
        <v>1069.8925703203268</v>
      </c>
      <c r="Q921" s="73">
        <f>IF(B921="",0,IF(OR(H921=MappingTables!$C$34,H921=MappingTables!$C$35),P921,0))</f>
        <v>0</v>
      </c>
      <c r="R921" s="73">
        <f>IF(ISNA(IF(AND(VLOOKUP(CONCATENATE($D921,$G921),CSRFinput!$B:$E,4,0)=0,OR(H921=MappingTables!$C$31,H921=MappingTables!$C$32)),1,VLOOKUP(CONCATENATE($D921,$G921),CSRFinput!$B:$E,4,0))),0,IF(AND(VLOOKUP(CONCATENATE($D921,$G921),CSRFinput!$B:$E,4,0)=0,OR(H921=MappingTables!$C$31,H921=MappingTables!$C$32)),1,VLOOKUP(CONCATENATE($D921,$G921),CSRFinput!$B:$E,4,0)))</f>
        <v>0.054776304963434752</v>
      </c>
      <c r="S921" s="73">
        <f>IF(B921="",0,P921*R921)</f>
        <v>58.60476170997928</v>
      </c>
      <c r="T921" s="85">
        <f>IF(B921="",0,IF(OR(H921=MappingTables!$C$34,H921=MappingTables!$C$35),S921,0))</f>
        <v>0</v>
      </c>
    </row>
    <row r="922" spans="2:20" s="0" customFormat="0" ht="15">
      <c r="B922" s="69" t="s">
        <v>4552</v>
      </c>
      <c r="C922" s="70" t="s">
        <v>4553</v>
      </c>
      <c r="D922" s="70" t="s">
        <v>1</v>
      </c>
      <c r="E922" s="70" t="s">
        <v>1</v>
      </c>
      <c r="F922" s="70"/>
      <c r="G922" s="70" t="s">
        <v>61</v>
      </c>
      <c r="H922" s="70" t="s">
        <v>178</v>
      </c>
      <c r="I922" s="70" t="s">
        <v>198</v>
      </c>
      <c r="J922" s="71" t="str">
        <f>IF(OR(I922=0,I922=""),"unrated",VLOOKUP(I922,MappingTables!$B$19:$C$31,2,FALSE))</f>
        <v>unrated</v>
      </c>
      <c r="K922" s="72">
        <v>436.51724713391536</v>
      </c>
      <c r="L922" s="70">
        <v>0.068495205205222216</v>
      </c>
      <c r="M922" s="71">
        <f>IF(L922&lt;1,1,L922)</f>
        <v>1</v>
      </c>
      <c r="N922" s="70" t="s">
        <v>3288</v>
      </c>
      <c r="O922" s="71">
        <f>IF(OR(I922=$A$1,I922=0),"",IF(N922=MappingTables!$C$14,VLOOKUP(J922,ModelParameters!$M$8:$N$15,2,FALSE),IF(N922=MappingTables!$C$16,VLOOKUP(J922,ModelParameters!$P$8:$Q$15,2,FALSE),0)))</f>
        <v>1</v>
      </c>
      <c r="P922" s="73">
        <f>IF(OR(I922=0,I922=$A$1),0,MIN(O922*M922,1)*K922)</f>
        <v>436.51724713391536</v>
      </c>
      <c r="Q922" s="73">
        <f>IF(B922="",0,IF(OR(H922=MappingTables!$C$34,H922=MappingTables!$C$35),P922,0))</f>
        <v>0</v>
      </c>
      <c r="R922" s="73">
        <f>IF(ISNA(IF(AND(VLOOKUP(CONCATENATE($D922,$G922),CSRFinput!$B:$E,4,0)=0,OR(H922=MappingTables!$C$31,H922=MappingTables!$C$32)),1,VLOOKUP(CONCATENATE($D922,$G922),CSRFinput!$B:$E,4,0))),0,IF(AND(VLOOKUP(CONCATENATE($D922,$G922),CSRFinput!$B:$E,4,0)=0,OR(H922=MappingTables!$C$31,H922=MappingTables!$C$32)),1,VLOOKUP(CONCATENATE($D922,$G922),CSRFinput!$B:$E,4,0)))</f>
        <v>0.054776304963434752</v>
      </c>
      <c r="S922" s="73">
        <f>IF(B922="",0,P922*R922)</f>
        <v>23.91080185080636</v>
      </c>
      <c r="T922" s="85">
        <f>IF(B922="",0,IF(OR(H922=MappingTables!$C$34,H922=MappingTables!$C$35),S922,0))</f>
        <v>0</v>
      </c>
    </row>
    <row r="923" spans="2:20" s="0" customFormat="0" ht="15">
      <c r="B923" s="69">
        <v>19216294</v>
      </c>
      <c r="C923" s="70" t="s">
        <v>4554</v>
      </c>
      <c r="D923" s="70" t="s">
        <v>1</v>
      </c>
      <c r="E923" s="70" t="s">
        <v>1</v>
      </c>
      <c r="F923" s="70"/>
      <c r="G923" s="70" t="s">
        <v>61</v>
      </c>
      <c r="H923" s="70" t="s">
        <v>178</v>
      </c>
      <c r="I923" s="70" t="s">
        <v>216</v>
      </c>
      <c r="J923" s="71">
        <f>IF(OR(I923=0,I923=""),"unrated",VLOOKUP(I923,MappingTables!$B$19:$C$31,2,FALSE))</f>
        <v>0</v>
      </c>
      <c r="K923" s="72">
        <v>2343.4640551836672</v>
      </c>
      <c r="L923" s="70">
        <v>0.041097439826841136</v>
      </c>
      <c r="M923" s="71">
        <f>IF(L923&lt;1,1,L923)</f>
        <v>1</v>
      </c>
      <c r="N923" s="70" t="s">
        <v>3288</v>
      </c>
      <c r="O923" s="71">
        <f>IF(OR(I923=$A$1,I923=0),"",IF(N923=MappingTables!$C$14,VLOOKUP(J923,ModelParameters!$M$8:$N$15,2,FALSE),IF(N923=MappingTables!$C$16,VLOOKUP(J923,ModelParameters!$P$8:$Q$15,2,FALSE),0)))</f>
        <v>0.125</v>
      </c>
      <c r="P923" s="73">
        <f>IF(OR(I923=0,I923=$A$1),0,MIN(O923*M923,1)*K923)</f>
        <v>292.93300689795844</v>
      </c>
      <c r="Q923" s="73">
        <f>IF(B923="",0,IF(OR(H923=MappingTables!$C$34,H923=MappingTables!$C$35),P923,0))</f>
        <v>0</v>
      </c>
      <c r="R923" s="73">
        <f>IF(ISNA(IF(AND(VLOOKUP(CONCATENATE($D923,$G923),CSRFinput!$B:$E,4,0)=0,OR(H923=MappingTables!$C$31,H923=MappingTables!$C$32)),1,VLOOKUP(CONCATENATE($D923,$G923),CSRFinput!$B:$E,4,0))),0,IF(AND(VLOOKUP(CONCATENATE($D923,$G923),CSRFinput!$B:$E,4,0)=0,OR(H923=MappingTables!$C$31,H923=MappingTables!$C$32)),1,VLOOKUP(CONCATENATE($D923,$G923),CSRFinput!$B:$E,4,0)))</f>
        <v>0.054776304963434752</v>
      </c>
      <c r="S923" s="73">
        <f>IF(B923="",0,P923*R923)</f>
        <v>16.045787719698506</v>
      </c>
      <c r="T923" s="85">
        <f>IF(B923="",0,IF(OR(H923=MappingTables!$C$34,H923=MappingTables!$C$35),S923,0))</f>
        <v>0</v>
      </c>
    </row>
    <row r="924" spans="2:20" s="0" customFormat="0" ht="15">
      <c r="B924" s="69" t="s">
        <v>4555</v>
      </c>
      <c r="C924" s="70" t="s">
        <v>4556</v>
      </c>
      <c r="D924" s="70" t="s">
        <v>1</v>
      </c>
      <c r="E924" s="70" t="s">
        <v>1</v>
      </c>
      <c r="F924" s="70"/>
      <c r="G924" s="70" t="s">
        <v>61</v>
      </c>
      <c r="H924" s="70" t="s">
        <v>178</v>
      </c>
      <c r="I924" s="70" t="s">
        <v>198</v>
      </c>
      <c r="J924" s="71" t="str">
        <f>IF(OR(I924=0,I924=""),"unrated",VLOOKUP(I924,MappingTables!$B$19:$C$31,2,FALSE))</f>
        <v>unrated</v>
      </c>
      <c r="K924" s="72">
        <v>1467.8999005098514</v>
      </c>
      <c r="L924" s="70">
        <v>8.1425067842550944</v>
      </c>
      <c r="M924" s="71">
        <f>IF(L924&lt;1,1,L924)</f>
        <v>8.1425067842550944</v>
      </c>
      <c r="N924" s="70" t="s">
        <v>3288</v>
      </c>
      <c r="O924" s="71">
        <f>IF(OR(I924=$A$1,I924=0),"",IF(N924=MappingTables!$C$14,VLOOKUP(J924,ModelParameters!$M$8:$N$15,2,FALSE),IF(N924=MappingTables!$C$16,VLOOKUP(J924,ModelParameters!$P$8:$Q$15,2,FALSE),0)))</f>
        <v>1</v>
      </c>
      <c r="P924" s="73">
        <f>IF(OR(I924=0,I924=$A$1),0,MIN(O924*M924,1)*K924)</f>
        <v>1467.8999005098514</v>
      </c>
      <c r="Q924" s="73">
        <f>IF(B924="",0,IF(OR(H924=MappingTables!$C$34,H924=MappingTables!$C$35),P924,0))</f>
        <v>0</v>
      </c>
      <c r="R924" s="73">
        <f>IF(ISNA(IF(AND(VLOOKUP(CONCATENATE($D924,$G924),CSRFinput!$B:$E,4,0)=0,OR(H924=MappingTables!$C$31,H924=MappingTables!$C$32)),1,VLOOKUP(CONCATENATE($D924,$G924),CSRFinput!$B:$E,4,0))),0,IF(AND(VLOOKUP(CONCATENATE($D924,$G924),CSRFinput!$B:$E,4,0)=0,OR(H924=MappingTables!$C$31,H924=MappingTables!$C$32)),1,VLOOKUP(CONCATENATE($D924,$G924),CSRFinput!$B:$E,4,0)))</f>
        <v>0.054776304963434752</v>
      </c>
      <c r="S924" s="73">
        <f>IF(B924="",0,P924*R924)</f>
        <v>80.406132606123168</v>
      </c>
      <c r="T924" s="85">
        <f>IF(B924="",0,IF(OR(H924=MappingTables!$C$34,H924=MappingTables!$C$35),S924,0))</f>
        <v>0</v>
      </c>
    </row>
    <row r="925" spans="2:20" s="0" customFormat="0" ht="15">
      <c r="B925" s="69" t="s">
        <v>4557</v>
      </c>
      <c r="C925" s="70" t="s">
        <v>4558</v>
      </c>
      <c r="D925" s="70" t="s">
        <v>1</v>
      </c>
      <c r="E925" s="70" t="s">
        <v>1</v>
      </c>
      <c r="F925" s="70"/>
      <c r="G925" s="70" t="s">
        <v>61</v>
      </c>
      <c r="H925" s="70" t="s">
        <v>178</v>
      </c>
      <c r="I925" s="70" t="s">
        <v>198</v>
      </c>
      <c r="J925" s="71" t="str">
        <f>IF(OR(I925=0,I925=""),"unrated",VLOOKUP(I925,MappingTables!$B$19:$C$31,2,FALSE))</f>
        <v>unrated</v>
      </c>
      <c r="K925" s="72">
        <v>0.37565967331019592</v>
      </c>
      <c r="L925" s="70">
        <v>37.732682764835456</v>
      </c>
      <c r="M925" s="71">
        <f>IF(L925&lt;1,1,L925)</f>
        <v>37.732682764835456</v>
      </c>
      <c r="N925" s="70" t="s">
        <v>3288</v>
      </c>
      <c r="O925" s="71">
        <f>IF(OR(I925=$A$1,I925=0),"",IF(N925=MappingTables!$C$14,VLOOKUP(J925,ModelParameters!$M$8:$N$15,2,FALSE),IF(N925=MappingTables!$C$16,VLOOKUP(J925,ModelParameters!$P$8:$Q$15,2,FALSE),0)))</f>
        <v>1</v>
      </c>
      <c r="P925" s="73">
        <f>IF(OR(I925=0,I925=$A$1),0,MIN(O925*M925,1)*K925)</f>
        <v>0.37565967331019592</v>
      </c>
      <c r="Q925" s="73">
        <f>IF(B925="",0,IF(OR(H925=MappingTables!$C$34,H925=MappingTables!$C$35),P925,0))</f>
        <v>0</v>
      </c>
      <c r="R925" s="73">
        <f>IF(ISNA(IF(AND(VLOOKUP(CONCATENATE($D925,$G925),CSRFinput!$B:$E,4,0)=0,OR(H925=MappingTables!$C$31,H925=MappingTables!$C$32)),1,VLOOKUP(CONCATENATE($D925,$G925),CSRFinput!$B:$E,4,0))),0,IF(AND(VLOOKUP(CONCATENATE($D925,$G925),CSRFinput!$B:$E,4,0)=0,OR(H925=MappingTables!$C$31,H925=MappingTables!$C$32)),1,VLOOKUP(CONCATENATE($D925,$G925),CSRFinput!$B:$E,4,0)))</f>
        <v>0.054776304963434752</v>
      </c>
      <c r="S925" s="73">
        <f>IF(B925="",0,P925*R925)</f>
        <v>0.02057724882770356</v>
      </c>
      <c r="T925" s="85">
        <f>IF(B925="",0,IF(OR(H925=MappingTables!$C$34,H925=MappingTables!$C$35),S925,0))</f>
        <v>0</v>
      </c>
    </row>
    <row r="926" spans="2:20" s="0" customFormat="0" ht="15">
      <c r="B926" s="69" t="s">
        <v>4473</v>
      </c>
      <c r="C926" s="70" t="s">
        <v>4474</v>
      </c>
      <c r="D926" s="70" t="s">
        <v>1</v>
      </c>
      <c r="E926" s="70" t="s">
        <v>1</v>
      </c>
      <c r="F926" s="70"/>
      <c r="G926" s="70" t="s">
        <v>61</v>
      </c>
      <c r="H926" s="70" t="s">
        <v>178</v>
      </c>
      <c r="I926" s="70" t="s">
        <v>198</v>
      </c>
      <c r="J926" s="71" t="str">
        <f>IF(OR(I926=0,I926=""),"unrated",VLOOKUP(I926,MappingTables!$B$19:$C$31,2,FALSE))</f>
        <v>unrated</v>
      </c>
      <c r="K926" s="72">
        <v>104.94367501279448</v>
      </c>
      <c r="L926" s="70">
        <v>0.06849397334878704</v>
      </c>
      <c r="M926" s="71">
        <f>IF(L926&lt;1,1,L926)</f>
        <v>1</v>
      </c>
      <c r="N926" s="70" t="s">
        <v>3288</v>
      </c>
      <c r="O926" s="71">
        <f>IF(OR(I926=$A$1,I926=0),"",IF(N926=MappingTables!$C$14,VLOOKUP(J926,ModelParameters!$M$8:$N$15,2,FALSE),IF(N926=MappingTables!$C$16,VLOOKUP(J926,ModelParameters!$P$8:$Q$15,2,FALSE),0)))</f>
        <v>1</v>
      </c>
      <c r="P926" s="73">
        <f>IF(OR(I926=0,I926=$A$1),0,MIN(O926*M926,1)*K926)</f>
        <v>104.94367501279448</v>
      </c>
      <c r="Q926" s="73">
        <f>IF(B926="",0,IF(OR(H926=MappingTables!$C$34,H926=MappingTables!$C$35),P926,0))</f>
        <v>0</v>
      </c>
      <c r="R926" s="73">
        <f>IF(ISNA(IF(AND(VLOOKUP(CONCATENATE($D926,$G926),CSRFinput!$B:$E,4,0)=0,OR(H926=MappingTables!$C$31,H926=MappingTables!$C$32)),1,VLOOKUP(CONCATENATE($D926,$G926),CSRFinput!$B:$E,4,0))),0,IF(AND(VLOOKUP(CONCATENATE($D926,$G926),CSRFinput!$B:$E,4,0)=0,OR(H926=MappingTables!$C$31,H926=MappingTables!$C$32)),1,VLOOKUP(CONCATENATE($D926,$G926),CSRFinput!$B:$E,4,0)))</f>
        <v>0.054776304963434752</v>
      </c>
      <c r="S926" s="73">
        <f>IF(B926="",0,P926*R926)</f>
        <v>5.7484267464844184</v>
      </c>
      <c r="T926" s="85">
        <f>IF(B926="",0,IF(OR(H926=MappingTables!$C$34,H926=MappingTables!$C$35),S926,0))</f>
        <v>0</v>
      </c>
    </row>
    <row r="927" spans="2:20" s="0" customFormat="0" ht="15">
      <c r="B927" s="69" t="s">
        <v>4559</v>
      </c>
      <c r="C927" s="70" t="s">
        <v>4560</v>
      </c>
      <c r="D927" s="70" t="s">
        <v>1</v>
      </c>
      <c r="E927" s="70" t="s">
        <v>1</v>
      </c>
      <c r="F927" s="70"/>
      <c r="G927" s="70" t="s">
        <v>61</v>
      </c>
      <c r="H927" s="70" t="s">
        <v>178</v>
      </c>
      <c r="I927" s="70" t="s">
        <v>3298</v>
      </c>
      <c r="J927" s="71">
        <f>IF(OR(I927=0,I927=""),"unrated",VLOOKUP(I927,MappingTables!$B$19:$C$31,2,FALSE))</f>
        <v>6</v>
      </c>
      <c r="K927" s="72">
        <v>70.617283535144696</v>
      </c>
      <c r="L927" s="70">
        <v>-1.049405157400456</v>
      </c>
      <c r="M927" s="71">
        <f>IF(L927&lt;1,1,L927)</f>
        <v>1</v>
      </c>
      <c r="N927" s="70" t="s">
        <v>3288</v>
      </c>
      <c r="O927" s="71">
        <f>IF(OR(I927=$A$1,I927=0),"",IF(N927=MappingTables!$C$14,VLOOKUP(J927,ModelParameters!$M$8:$N$15,2,FALSE),IF(N927=MappingTables!$C$16,VLOOKUP(J927,ModelParameters!$P$8:$Q$15,2,FALSE),0)))</f>
        <v>1</v>
      </c>
      <c r="P927" s="73">
        <f>IF(OR(I927=0,I927=$A$1),0,MIN(O927*M927,1)*K927)</f>
        <v>70.617283535144696</v>
      </c>
      <c r="Q927" s="73">
        <f>IF(B927="",0,IF(OR(H927=MappingTables!$C$34,H927=MappingTables!$C$35),P927,0))</f>
        <v>0</v>
      </c>
      <c r="R927" s="73">
        <f>IF(ISNA(IF(AND(VLOOKUP(CONCATENATE($D927,$G927),CSRFinput!$B:$E,4,0)=0,OR(H927=MappingTables!$C$31,H927=MappingTables!$C$32)),1,VLOOKUP(CONCATENATE($D927,$G927),CSRFinput!$B:$E,4,0))),0,IF(AND(VLOOKUP(CONCATENATE($D927,$G927),CSRFinput!$B:$E,4,0)=0,OR(H927=MappingTables!$C$31,H927=MappingTables!$C$32)),1,VLOOKUP(CONCATENATE($D927,$G927),CSRFinput!$B:$E,4,0)))</f>
        <v>0.054776304963434752</v>
      </c>
      <c r="S927" s="73">
        <f>IF(B927="",0,P927*R927)</f>
        <v>3.8681538586104256</v>
      </c>
      <c r="T927" s="85">
        <f>IF(B927="",0,IF(OR(H927=MappingTables!$C$34,H927=MappingTables!$C$35),S927,0))</f>
        <v>0</v>
      </c>
    </row>
    <row r="928" spans="2:20" s="0" customFormat="0" ht="15">
      <c r="B928" s="69" t="s">
        <v>4561</v>
      </c>
      <c r="C928" s="70" t="s">
        <v>4562</v>
      </c>
      <c r="D928" s="70" t="s">
        <v>1</v>
      </c>
      <c r="E928" s="70" t="s">
        <v>1</v>
      </c>
      <c r="F928" s="70"/>
      <c r="G928" s="70" t="s">
        <v>61</v>
      </c>
      <c r="H928" s="70" t="s">
        <v>178</v>
      </c>
      <c r="I928" s="70" t="s">
        <v>3298</v>
      </c>
      <c r="J928" s="71">
        <f>IF(OR(I928=0,I928=""),"unrated",VLOOKUP(I928,MappingTables!$B$19:$C$31,2,FALSE))</f>
        <v>6</v>
      </c>
      <c r="K928" s="72">
        <v>17.991172649066404</v>
      </c>
      <c r="L928" s="70">
        <v>-0.3835058732478692</v>
      </c>
      <c r="M928" s="71">
        <f>IF(L928&lt;1,1,L928)</f>
        <v>1</v>
      </c>
      <c r="N928" s="70" t="s">
        <v>3288</v>
      </c>
      <c r="O928" s="71">
        <f>IF(OR(I928=$A$1,I928=0),"",IF(N928=MappingTables!$C$14,VLOOKUP(J928,ModelParameters!$M$8:$N$15,2,FALSE),IF(N928=MappingTables!$C$16,VLOOKUP(J928,ModelParameters!$P$8:$Q$15,2,FALSE),0)))</f>
        <v>1</v>
      </c>
      <c r="P928" s="73">
        <f>IF(OR(I928=0,I928=$A$1),0,MIN(O928*M928,1)*K928)</f>
        <v>17.991172649066404</v>
      </c>
      <c r="Q928" s="73">
        <f>IF(B928="",0,IF(OR(H928=MappingTables!$C$34,H928=MappingTables!$C$35),P928,0))</f>
        <v>0</v>
      </c>
      <c r="R928" s="73">
        <f>IF(ISNA(IF(AND(VLOOKUP(CONCATENATE($D928,$G928),CSRFinput!$B:$E,4,0)=0,OR(H928=MappingTables!$C$31,H928=MappingTables!$C$32)),1,VLOOKUP(CONCATENATE($D928,$G928),CSRFinput!$B:$E,4,0))),0,IF(AND(VLOOKUP(CONCATENATE($D928,$G928),CSRFinput!$B:$E,4,0)=0,OR(H928=MappingTables!$C$31,H928=MappingTables!$C$32)),1,VLOOKUP(CONCATENATE($D928,$G928),CSRFinput!$B:$E,4,0)))</f>
        <v>0.054776304963434752</v>
      </c>
      <c r="S928" s="73">
        <f>IF(B928="",0,P928*R928)</f>
        <v>0.98548995967506752</v>
      </c>
      <c r="T928" s="85">
        <f>IF(B928="",0,IF(OR(H928=MappingTables!$C$34,H928=MappingTables!$C$35),S928,0))</f>
        <v>0</v>
      </c>
    </row>
    <row r="929" spans="2:20" s="0" customFormat="0" ht="15">
      <c r="B929" s="69" t="s">
        <v>4563</v>
      </c>
      <c r="C929" s="70" t="s">
        <v>4564</v>
      </c>
      <c r="D929" s="70" t="s">
        <v>1</v>
      </c>
      <c r="E929" s="70" t="s">
        <v>1</v>
      </c>
      <c r="F929" s="70"/>
      <c r="G929" s="70" t="s">
        <v>61</v>
      </c>
      <c r="H929" s="70" t="s">
        <v>178</v>
      </c>
      <c r="I929" s="70" t="s">
        <v>179</v>
      </c>
      <c r="J929" s="71">
        <f>IF(OR(I929=0,I929=""),"unrated",VLOOKUP(I929,MappingTables!$B$19:$C$31,2,FALSE))</f>
        <v>4</v>
      </c>
      <c r="K929" s="72">
        <v>394.85629523458984</v>
      </c>
      <c r="L929" s="70">
        <v>0.068490329140883032</v>
      </c>
      <c r="M929" s="71">
        <f>IF(L929&lt;1,1,L929)</f>
        <v>1</v>
      </c>
      <c r="N929" s="70" t="s">
        <v>3288</v>
      </c>
      <c r="O929" s="71">
        <f>IF(OR(I929=$A$1,I929=0),"",IF(N929=MappingTables!$C$14,VLOOKUP(J929,ModelParameters!$M$8:$N$15,2,FALSE),IF(N929=MappingTables!$C$16,VLOOKUP(J929,ModelParameters!$P$8:$Q$15,2,FALSE),0)))</f>
        <v>0.82</v>
      </c>
      <c r="P929" s="73">
        <f>IF(OR(I929=0,I929=$A$1),0,MIN(O929*M929,1)*K929)</f>
        <v>323.78216209236364</v>
      </c>
      <c r="Q929" s="73">
        <f>IF(B929="",0,IF(OR(H929=MappingTables!$C$34,H929=MappingTables!$C$35),P929,0))</f>
        <v>0</v>
      </c>
      <c r="R929" s="73">
        <f>IF(ISNA(IF(AND(VLOOKUP(CONCATENATE($D929,$G929),CSRFinput!$B:$E,4,0)=0,OR(H929=MappingTables!$C$31,H929=MappingTables!$C$32)),1,VLOOKUP(CONCATENATE($D929,$G929),CSRFinput!$B:$E,4,0))),0,IF(AND(VLOOKUP(CONCATENATE($D929,$G929),CSRFinput!$B:$E,4,0)=0,OR(H929=MappingTables!$C$31,H929=MappingTables!$C$32)),1,VLOOKUP(CONCATENATE($D929,$G929),CSRFinput!$B:$E,4,0)))</f>
        <v>0.054776304963434752</v>
      </c>
      <c r="S929" s="73">
        <f>IF(B929="",0,P929*R929)</f>
        <v>17.735590452491576</v>
      </c>
      <c r="T929" s="85">
        <f>IF(B929="",0,IF(OR(H929=MappingTables!$C$34,H929=MappingTables!$C$35),S929,0))</f>
        <v>0</v>
      </c>
    </row>
    <row r="930" spans="2:20" s="0" customFormat="0" ht="15">
      <c r="B930" s="69">
        <v>23954151</v>
      </c>
      <c r="C930" s="70" t="s">
        <v>3728</v>
      </c>
      <c r="D930" s="70" t="s">
        <v>1</v>
      </c>
      <c r="E930" s="70" t="s">
        <v>1</v>
      </c>
      <c r="F930" s="70"/>
      <c r="G930" s="70" t="s">
        <v>61</v>
      </c>
      <c r="H930" s="70" t="s">
        <v>178</v>
      </c>
      <c r="I930" s="70" t="s">
        <v>216</v>
      </c>
      <c r="J930" s="71">
        <f>IF(OR(I930=0,I930=""),"unrated",VLOOKUP(I930,MappingTables!$B$19:$C$31,2,FALSE))</f>
        <v>0</v>
      </c>
      <c r="K930" s="72">
        <v>796.15690415369296</v>
      </c>
      <c r="L930" s="70">
        <v>3.8790717558651096</v>
      </c>
      <c r="M930" s="71">
        <f>IF(L930&lt;1,1,L930)</f>
        <v>3.8790717558651096</v>
      </c>
      <c r="N930" s="70" t="s">
        <v>3288</v>
      </c>
      <c r="O930" s="71">
        <f>IF(OR(I930=$A$1,I930=0),"",IF(N930=MappingTables!$C$14,VLOOKUP(J930,ModelParameters!$M$8:$N$15,2,FALSE),IF(N930=MappingTables!$C$16,VLOOKUP(J930,ModelParameters!$P$8:$Q$15,2,FALSE),0)))</f>
        <v>0.125</v>
      </c>
      <c r="P930" s="73">
        <f>IF(OR(I930=0,I930=$A$1),0,MIN(O930*M930,1)*K930)</f>
        <v>386.04372001744944</v>
      </c>
      <c r="Q930" s="73">
        <f>IF(B930="",0,IF(OR(H930=MappingTables!$C$34,H930=MappingTables!$C$35),P930,0))</f>
        <v>0</v>
      </c>
      <c r="R930" s="73">
        <f>IF(ISNA(IF(AND(VLOOKUP(CONCATENATE($D930,$G930),CSRFinput!$B:$E,4,0)=0,OR(H930=MappingTables!$C$31,H930=MappingTables!$C$32)),1,VLOOKUP(CONCATENATE($D930,$G930),CSRFinput!$B:$E,4,0))),0,IF(AND(VLOOKUP(CONCATENATE($D930,$G930),CSRFinput!$B:$E,4,0)=0,OR(H930=MappingTables!$C$31,H930=MappingTables!$C$32)),1,VLOOKUP(CONCATENATE($D930,$G930),CSRFinput!$B:$E,4,0)))</f>
        <v>0.054776304963434752</v>
      </c>
      <c r="S930" s="73">
        <f>IF(B930="",0,P930*R930)</f>
        <v>21.146048536894632</v>
      </c>
      <c r="T930" s="85">
        <f>IF(B930="",0,IF(OR(H930=MappingTables!$C$34,H930=MappingTables!$C$35),S930,0))</f>
        <v>0</v>
      </c>
    </row>
    <row r="931" spans="2:20" s="0" customFormat="0" ht="15">
      <c r="B931" s="69" t="s">
        <v>4015</v>
      </c>
      <c r="C931" s="70" t="s">
        <v>4016</v>
      </c>
      <c r="D931" s="70" t="s">
        <v>1</v>
      </c>
      <c r="E931" s="70" t="s">
        <v>1</v>
      </c>
      <c r="F931" s="70"/>
      <c r="G931" s="70" t="s">
        <v>61</v>
      </c>
      <c r="H931" s="70" t="s">
        <v>178</v>
      </c>
      <c r="I931" s="70" t="s">
        <v>198</v>
      </c>
      <c r="J931" s="71" t="str">
        <f>IF(OR(I931=0,I931=""),"unrated",VLOOKUP(I931,MappingTables!$B$19:$C$31,2,FALSE))</f>
        <v>unrated</v>
      </c>
      <c r="K931" s="72">
        <v>9.1139162736242448</v>
      </c>
      <c r="L931" s="70">
        <v>0.096223569048995712</v>
      </c>
      <c r="M931" s="71">
        <f>IF(L931&lt;1,1,L931)</f>
        <v>1</v>
      </c>
      <c r="N931" s="70" t="s">
        <v>3288</v>
      </c>
      <c r="O931" s="71">
        <f>IF(OR(I931=$A$1,I931=0),"",IF(N931=MappingTables!$C$14,VLOOKUP(J931,ModelParameters!$M$8:$N$15,2,FALSE),IF(N931=MappingTables!$C$16,VLOOKUP(J931,ModelParameters!$P$8:$Q$15,2,FALSE),0)))</f>
        <v>1</v>
      </c>
      <c r="P931" s="73">
        <f>IF(OR(I931=0,I931=$A$1),0,MIN(O931*M931,1)*K931)</f>
        <v>9.1139162736242448</v>
      </c>
      <c r="Q931" s="73">
        <f>IF(B931="",0,IF(OR(H931=MappingTables!$C$34,H931=MappingTables!$C$35),P931,0))</f>
        <v>0</v>
      </c>
      <c r="R931" s="73">
        <f>IF(ISNA(IF(AND(VLOOKUP(CONCATENATE($D931,$G931),CSRFinput!$B:$E,4,0)=0,OR(H931=MappingTables!$C$31,H931=MappingTables!$C$32)),1,VLOOKUP(CONCATENATE($D931,$G931),CSRFinput!$B:$E,4,0))),0,IF(AND(VLOOKUP(CONCATENATE($D931,$G931),CSRFinput!$B:$E,4,0)=0,OR(H931=MappingTables!$C$31,H931=MappingTables!$C$32)),1,VLOOKUP(CONCATENATE($D931,$G931),CSRFinput!$B:$E,4,0)))</f>
        <v>0.054776304963434752</v>
      </c>
      <c r="S931" s="73">
        <f>IF(B931="",0,P931*R931)</f>
        <v>0.49922665721525248</v>
      </c>
      <c r="T931" s="85">
        <f>IF(B931="",0,IF(OR(H931=MappingTables!$C$34,H931=MappingTables!$C$35),S931,0))</f>
        <v>0</v>
      </c>
    </row>
    <row r="932" spans="2:20" s="0" customFormat="0" ht="15">
      <c r="B932" s="69" t="s">
        <v>4565</v>
      </c>
      <c r="C932" s="70" t="s">
        <v>4566</v>
      </c>
      <c r="D932" s="70" t="s">
        <v>1</v>
      </c>
      <c r="E932" s="70" t="s">
        <v>1</v>
      </c>
      <c r="F932" s="70"/>
      <c r="G932" s="70" t="s">
        <v>61</v>
      </c>
      <c r="H932" s="70" t="s">
        <v>178</v>
      </c>
      <c r="I932" s="70" t="s">
        <v>179</v>
      </c>
      <c r="J932" s="71">
        <f>IF(OR(I932=0,I932=""),"unrated",VLOOKUP(I932,MappingTables!$B$19:$C$31,2,FALSE))</f>
        <v>4</v>
      </c>
      <c r="K932" s="72">
        <v>223.57638388349876</v>
      </c>
      <c r="L932" s="70">
        <v>0.068496790923363912</v>
      </c>
      <c r="M932" s="71">
        <f>IF(L932&lt;1,1,L932)</f>
        <v>1</v>
      </c>
      <c r="N932" s="70" t="s">
        <v>3288</v>
      </c>
      <c r="O932" s="71">
        <f>IF(OR(I932=$A$1,I932=0),"",IF(N932=MappingTables!$C$14,VLOOKUP(J932,ModelParameters!$M$8:$N$15,2,FALSE),IF(N932=MappingTables!$C$16,VLOOKUP(J932,ModelParameters!$P$8:$Q$15,2,FALSE),0)))</f>
        <v>0.82</v>
      </c>
      <c r="P932" s="73">
        <f>IF(OR(I932=0,I932=$A$1),0,MIN(O932*M932,1)*K932)</f>
        <v>183.33263478446896</v>
      </c>
      <c r="Q932" s="73">
        <f>IF(B932="",0,IF(OR(H932=MappingTables!$C$34,H932=MappingTables!$C$35),P932,0))</f>
        <v>0</v>
      </c>
      <c r="R932" s="73">
        <f>IF(ISNA(IF(AND(VLOOKUP(CONCATENATE($D932,$G932),CSRFinput!$B:$E,4,0)=0,OR(H932=MappingTables!$C$31,H932=MappingTables!$C$32)),1,VLOOKUP(CONCATENATE($D932,$G932),CSRFinput!$B:$E,4,0))),0,IF(AND(VLOOKUP(CONCATENATE($D932,$G932),CSRFinput!$B:$E,4,0)=0,OR(H932=MappingTables!$C$31,H932=MappingTables!$C$32)),1,VLOOKUP(CONCATENATE($D932,$G932),CSRFinput!$B:$E,4,0)))</f>
        <v>0.054776304963434752</v>
      </c>
      <c r="S932" s="73">
        <f>IF(B932="",0,P932*R932)</f>
        <v>10.042284312704078</v>
      </c>
      <c r="T932" s="85">
        <f>IF(B932="",0,IF(OR(H932=MappingTables!$C$34,H932=MappingTables!$C$35),S932,0))</f>
        <v>0</v>
      </c>
    </row>
    <row r="933" spans="2:20" s="0" customFormat="0" ht="15">
      <c r="B933" s="69" t="s">
        <v>4567</v>
      </c>
      <c r="C933" s="70" t="s">
        <v>4568</v>
      </c>
      <c r="D933" s="70" t="s">
        <v>1</v>
      </c>
      <c r="E933" s="70" t="s">
        <v>1</v>
      </c>
      <c r="F933" s="70"/>
      <c r="G933" s="70" t="s">
        <v>61</v>
      </c>
      <c r="H933" s="70" t="s">
        <v>178</v>
      </c>
      <c r="I933" s="70" t="s">
        <v>198</v>
      </c>
      <c r="J933" s="71" t="str">
        <f>IF(OR(I933=0,I933=""),"unrated",VLOOKUP(I933,MappingTables!$B$19:$C$31,2,FALSE))</f>
        <v>unrated</v>
      </c>
      <c r="K933" s="72">
        <v>128.89084461808838</v>
      </c>
      <c r="L933" s="70">
        <v>0.02063171026766222</v>
      </c>
      <c r="M933" s="71">
        <f>IF(L933&lt;1,1,L933)</f>
        <v>1</v>
      </c>
      <c r="N933" s="70" t="s">
        <v>3288</v>
      </c>
      <c r="O933" s="71">
        <f>IF(OR(I933=$A$1,I933=0),"",IF(N933=MappingTables!$C$14,VLOOKUP(J933,ModelParameters!$M$8:$N$15,2,FALSE),IF(N933=MappingTables!$C$16,VLOOKUP(J933,ModelParameters!$P$8:$Q$15,2,FALSE),0)))</f>
        <v>1</v>
      </c>
      <c r="P933" s="73">
        <f>IF(OR(I933=0,I933=$A$1),0,MIN(O933*M933,1)*K933)</f>
        <v>128.89084461808838</v>
      </c>
      <c r="Q933" s="73">
        <f>IF(B933="",0,IF(OR(H933=MappingTables!$C$34,H933=MappingTables!$C$35),P933,0))</f>
        <v>0</v>
      </c>
      <c r="R933" s="73">
        <f>IF(ISNA(IF(AND(VLOOKUP(CONCATENATE($D933,$G933),CSRFinput!$B:$E,4,0)=0,OR(H933=MappingTables!$C$31,H933=MappingTables!$C$32)),1,VLOOKUP(CONCATENATE($D933,$G933),CSRFinput!$B:$E,4,0))),0,IF(AND(VLOOKUP(CONCATENATE($D933,$G933),CSRFinput!$B:$E,4,0)=0,OR(H933=MappingTables!$C$31,H933=MappingTables!$C$32)),1,VLOOKUP(CONCATENATE($D933,$G933),CSRFinput!$B:$E,4,0)))</f>
        <v>0.054776304963434752</v>
      </c>
      <c r="S933" s="73">
        <f>IF(B933="",0,P933*R933)</f>
        <v>7.060164211795092</v>
      </c>
      <c r="T933" s="85">
        <f>IF(B933="",0,IF(OR(H933=MappingTables!$C$34,H933=MappingTables!$C$35),S933,0))</f>
        <v>0</v>
      </c>
    </row>
    <row r="934" spans="2:20" s="0" customFormat="0" ht="15">
      <c r="B934" s="69">
        <v>14504617</v>
      </c>
      <c r="C934" s="70" t="s">
        <v>4569</v>
      </c>
      <c r="D934" s="70" t="s">
        <v>1</v>
      </c>
      <c r="E934" s="70" t="s">
        <v>1</v>
      </c>
      <c r="F934" s="70"/>
      <c r="G934" s="70" t="s">
        <v>61</v>
      </c>
      <c r="H934" s="70" t="s">
        <v>178</v>
      </c>
      <c r="I934" s="70" t="s">
        <v>216</v>
      </c>
      <c r="J934" s="71">
        <f>IF(OR(I934=0,I934=""),"unrated",VLOOKUP(I934,MappingTables!$B$19:$C$31,2,FALSE))</f>
        <v>0</v>
      </c>
      <c r="K934" s="72">
        <v>1004.904711399958</v>
      </c>
      <c r="L934" s="70">
        <v>0.1994331614815564</v>
      </c>
      <c r="M934" s="71">
        <f>IF(L934&lt;1,1,L934)</f>
        <v>1</v>
      </c>
      <c r="N934" s="70" t="s">
        <v>3288</v>
      </c>
      <c r="O934" s="71">
        <f>IF(OR(I934=$A$1,I934=0),"",IF(N934=MappingTables!$C$14,VLOOKUP(J934,ModelParameters!$M$8:$N$15,2,FALSE),IF(N934=MappingTables!$C$16,VLOOKUP(J934,ModelParameters!$P$8:$Q$15,2,FALSE),0)))</f>
        <v>0.125</v>
      </c>
      <c r="P934" s="73">
        <f>IF(OR(I934=0,I934=$A$1),0,MIN(O934*M934,1)*K934)</f>
        <v>125.61308892499476</v>
      </c>
      <c r="Q934" s="73">
        <f>IF(B934="",0,IF(OR(H934=MappingTables!$C$34,H934=MappingTables!$C$35),P934,0))</f>
        <v>0</v>
      </c>
      <c r="R934" s="73">
        <f>IF(ISNA(IF(AND(VLOOKUP(CONCATENATE($D934,$G934),CSRFinput!$B:$E,4,0)=0,OR(H934=MappingTables!$C$31,H934=MappingTables!$C$32)),1,VLOOKUP(CONCATENATE($D934,$G934),CSRFinput!$B:$E,4,0))),0,IF(AND(VLOOKUP(CONCATENATE($D934,$G934),CSRFinput!$B:$E,4,0)=0,OR(H934=MappingTables!$C$31,H934=MappingTables!$C$32)),1,VLOOKUP(CONCATENATE($D934,$G934),CSRFinput!$B:$E,4,0)))</f>
        <v>0.054776304963434752</v>
      </c>
      <c r="S934" s="73">
        <f>IF(B934="",0,P934*R934)</f>
        <v>6.8806208663545608</v>
      </c>
      <c r="T934" s="85">
        <f>IF(B934="",0,IF(OR(H934=MappingTables!$C$34,H934=MappingTables!$C$35),S934,0))</f>
        <v>0</v>
      </c>
    </row>
    <row r="935" spans="2:20" s="0" customFormat="0" ht="15">
      <c r="B935" s="69" t="s">
        <v>4570</v>
      </c>
      <c r="C935" s="70" t="s">
        <v>4571</v>
      </c>
      <c r="D935" s="70" t="s">
        <v>1</v>
      </c>
      <c r="E935" s="70" t="s">
        <v>1</v>
      </c>
      <c r="F935" s="70"/>
      <c r="G935" s="70" t="s">
        <v>61</v>
      </c>
      <c r="H935" s="70" t="s">
        <v>178</v>
      </c>
      <c r="I935" s="70" t="s">
        <v>3298</v>
      </c>
      <c r="J935" s="71">
        <f>IF(OR(I935=0,I935=""),"unrated",VLOOKUP(I935,MappingTables!$B$19:$C$31,2,FALSE))</f>
        <v>6</v>
      </c>
      <c r="K935" s="72">
        <v>120.50954216694428</v>
      </c>
      <c r="L935" s="70">
        <v>0.06849386805978616</v>
      </c>
      <c r="M935" s="71">
        <f>IF(L935&lt;1,1,L935)</f>
        <v>1</v>
      </c>
      <c r="N935" s="70" t="s">
        <v>3288</v>
      </c>
      <c r="O935" s="71">
        <f>IF(OR(I935=$A$1,I935=0),"",IF(N935=MappingTables!$C$14,VLOOKUP(J935,ModelParameters!$M$8:$N$15,2,FALSE),IF(N935=MappingTables!$C$16,VLOOKUP(J935,ModelParameters!$P$8:$Q$15,2,FALSE),0)))</f>
        <v>1</v>
      </c>
      <c r="P935" s="73">
        <f>IF(OR(I935=0,I935=$A$1),0,MIN(O935*M935,1)*K935)</f>
        <v>120.50954216694428</v>
      </c>
      <c r="Q935" s="73">
        <f>IF(B935="",0,IF(OR(H935=MappingTables!$C$34,H935=MappingTables!$C$35),P935,0))</f>
        <v>0</v>
      </c>
      <c r="R935" s="73">
        <f>IF(ISNA(IF(AND(VLOOKUP(CONCATENATE($D935,$G935),CSRFinput!$B:$E,4,0)=0,OR(H935=MappingTables!$C$31,H935=MappingTables!$C$32)),1,VLOOKUP(CONCATENATE($D935,$G935),CSRFinput!$B:$E,4,0))),0,IF(AND(VLOOKUP(CONCATENATE($D935,$G935),CSRFinput!$B:$E,4,0)=0,OR(H935=MappingTables!$C$31,H935=MappingTables!$C$32)),1,VLOOKUP(CONCATENATE($D935,$G935),CSRFinput!$B:$E,4,0)))</f>
        <v>0.054776304963434752</v>
      </c>
      <c r="S935" s="73">
        <f>IF(B935="",0,P935*R935)</f>
        <v>6.6010674327404392</v>
      </c>
      <c r="T935" s="85">
        <f>IF(B935="",0,IF(OR(H935=MappingTables!$C$34,H935=MappingTables!$C$35),S935,0))</f>
        <v>0</v>
      </c>
    </row>
    <row r="936" spans="2:20" s="0" customFormat="0" ht="15">
      <c r="B936" s="69">
        <v>20113242</v>
      </c>
      <c r="C936" s="70" t="s">
        <v>4572</v>
      </c>
      <c r="D936" s="70" t="s">
        <v>1</v>
      </c>
      <c r="E936" s="70" t="s">
        <v>1</v>
      </c>
      <c r="F936" s="70"/>
      <c r="G936" s="70" t="s">
        <v>61</v>
      </c>
      <c r="H936" s="70" t="s">
        <v>178</v>
      </c>
      <c r="I936" s="70" t="s">
        <v>198</v>
      </c>
      <c r="J936" s="71" t="str">
        <f>IF(OR(I936=0,I936=""),"unrated",VLOOKUP(I936,MappingTables!$B$19:$C$31,2,FALSE))</f>
        <v>unrated</v>
      </c>
      <c r="K936" s="72">
        <v>157.58216583522676</v>
      </c>
      <c r="L936" s="70">
        <v>0.079072449283908592</v>
      </c>
      <c r="M936" s="71">
        <f>IF(L936&lt;1,1,L936)</f>
        <v>1</v>
      </c>
      <c r="N936" s="70" t="s">
        <v>3288</v>
      </c>
      <c r="O936" s="71">
        <f>IF(OR(I936=$A$1,I936=0),"",IF(N936=MappingTables!$C$14,VLOOKUP(J936,ModelParameters!$M$8:$N$15,2,FALSE),IF(N936=MappingTables!$C$16,VLOOKUP(J936,ModelParameters!$P$8:$Q$15,2,FALSE),0)))</f>
        <v>1</v>
      </c>
      <c r="P936" s="73">
        <f>IF(OR(I936=0,I936=$A$1),0,MIN(O936*M936,1)*K936)</f>
        <v>157.58216583522676</v>
      </c>
      <c r="Q936" s="73">
        <f>IF(B936="",0,IF(OR(H936=MappingTables!$C$34,H936=MappingTables!$C$35),P936,0))</f>
        <v>0</v>
      </c>
      <c r="R936" s="73">
        <f>IF(ISNA(IF(AND(VLOOKUP(CONCATENATE($D936,$G936),CSRFinput!$B:$E,4,0)=0,OR(H936=MappingTables!$C$31,H936=MappingTables!$C$32)),1,VLOOKUP(CONCATENATE($D936,$G936),CSRFinput!$B:$E,4,0))),0,IF(AND(VLOOKUP(CONCATENATE($D936,$G936),CSRFinput!$B:$E,4,0)=0,OR(H936=MappingTables!$C$31,H936=MappingTables!$C$32)),1,VLOOKUP(CONCATENATE($D936,$G936),CSRFinput!$B:$E,4,0)))</f>
        <v>0.054776304963434752</v>
      </c>
      <c r="S936" s="73">
        <f>IF(B936="",0,P936*R936)</f>
        <v>8.6317687725889312</v>
      </c>
      <c r="T936" s="85">
        <f>IF(B936="",0,IF(OR(H936=MappingTables!$C$34,H936=MappingTables!$C$35),S936,0))</f>
        <v>0</v>
      </c>
    </row>
    <row r="937" spans="2:20" s="0" customFormat="0" ht="15">
      <c r="B937" s="69">
        <v>16974602</v>
      </c>
      <c r="C937" s="70" t="s">
        <v>4573</v>
      </c>
      <c r="D937" s="70" t="s">
        <v>1</v>
      </c>
      <c r="E937" s="70" t="s">
        <v>1</v>
      </c>
      <c r="F937" s="70"/>
      <c r="G937" s="70" t="s">
        <v>61</v>
      </c>
      <c r="H937" s="70" t="s">
        <v>178</v>
      </c>
      <c r="I937" s="70" t="s">
        <v>216</v>
      </c>
      <c r="J937" s="71">
        <f>IF(OR(I937=0,I937=""),"unrated",VLOOKUP(I937,MappingTables!$B$19:$C$31,2,FALSE))</f>
        <v>0</v>
      </c>
      <c r="K937" s="72">
        <v>29.073792694901952</v>
      </c>
      <c r="L937" s="70">
        <v>0.037857910841908712</v>
      </c>
      <c r="M937" s="71">
        <f>IF(L937&lt;1,1,L937)</f>
        <v>1</v>
      </c>
      <c r="N937" s="70" t="s">
        <v>3288</v>
      </c>
      <c r="O937" s="71">
        <f>IF(OR(I937=$A$1,I937=0),"",IF(N937=MappingTables!$C$14,VLOOKUP(J937,ModelParameters!$M$8:$N$15,2,FALSE),IF(N937=MappingTables!$C$16,VLOOKUP(J937,ModelParameters!$P$8:$Q$15,2,FALSE),0)))</f>
        <v>0.125</v>
      </c>
      <c r="P937" s="73">
        <f>IF(OR(I937=0,I937=$A$1),0,MIN(O937*M937,1)*K937)</f>
        <v>3.634224086862744</v>
      </c>
      <c r="Q937" s="73">
        <f>IF(B937="",0,IF(OR(H937=MappingTables!$C$34,H937=MappingTables!$C$35),P937,0))</f>
        <v>0</v>
      </c>
      <c r="R937" s="73">
        <f>IF(ISNA(IF(AND(VLOOKUP(CONCATENATE($D937,$G937),CSRFinput!$B:$E,4,0)=0,OR(H937=MappingTables!$C$31,H937=MappingTables!$C$32)),1,VLOOKUP(CONCATENATE($D937,$G937),CSRFinput!$B:$E,4,0))),0,IF(AND(VLOOKUP(CONCATENATE($D937,$G937),CSRFinput!$B:$E,4,0)=0,OR(H937=MappingTables!$C$31,H937=MappingTables!$C$32)),1,VLOOKUP(CONCATENATE($D937,$G937),CSRFinput!$B:$E,4,0)))</f>
        <v>0.054776304963434752</v>
      </c>
      <c r="S937" s="73">
        <f>IF(B937="",0,P937*R937)</f>
        <v>0.19906936688745384</v>
      </c>
      <c r="T937" s="85">
        <f>IF(B937="",0,IF(OR(H937=MappingTables!$C$34,H937=MappingTables!$C$35),S937,0))</f>
        <v>0</v>
      </c>
    </row>
    <row r="938" spans="2:20" s="0" customFormat="0" ht="15">
      <c r="B938" s="69" t="s">
        <v>4389</v>
      </c>
      <c r="C938" s="70" t="s">
        <v>4390</v>
      </c>
      <c r="D938" s="70" t="s">
        <v>1</v>
      </c>
      <c r="E938" s="70" t="s">
        <v>1</v>
      </c>
      <c r="F938" s="70"/>
      <c r="G938" s="70" t="s">
        <v>61</v>
      </c>
      <c r="H938" s="70" t="s">
        <v>178</v>
      </c>
      <c r="I938" s="70" t="s">
        <v>216</v>
      </c>
      <c r="J938" s="71">
        <f>IF(OR(I938=0,I938=""),"unrated",VLOOKUP(I938,MappingTables!$B$19:$C$31,2,FALSE))</f>
        <v>0</v>
      </c>
      <c r="K938" s="72">
        <v>3574.8629730106824</v>
      </c>
      <c r="L938" s="70">
        <v>5.1424778865438336</v>
      </c>
      <c r="M938" s="71">
        <f>IF(L938&lt;1,1,L938)</f>
        <v>5.1424778865438336</v>
      </c>
      <c r="N938" s="70" t="s">
        <v>3288</v>
      </c>
      <c r="O938" s="71">
        <f>IF(OR(I938=$A$1,I938=0),"",IF(N938=MappingTables!$C$14,VLOOKUP(J938,ModelParameters!$M$8:$N$15,2,FALSE),IF(N938=MappingTables!$C$16,VLOOKUP(J938,ModelParameters!$P$8:$Q$15,2,FALSE),0)))</f>
        <v>0.125</v>
      </c>
      <c r="P938" s="73">
        <f>IF(OR(I938=0,I938=$A$1),0,MIN(O938*M938,1)*K938)</f>
        <v>2297.956723266472</v>
      </c>
      <c r="Q938" s="73">
        <f>IF(B938="",0,IF(OR(H938=MappingTables!$C$34,H938=MappingTables!$C$35),P938,0))</f>
        <v>0</v>
      </c>
      <c r="R938" s="73">
        <f>IF(ISNA(IF(AND(VLOOKUP(CONCATENATE($D938,$G938),CSRFinput!$B:$E,4,0)=0,OR(H938=MappingTables!$C$31,H938=MappingTables!$C$32)),1,VLOOKUP(CONCATENATE($D938,$G938),CSRFinput!$B:$E,4,0))),0,IF(AND(VLOOKUP(CONCATENATE($D938,$G938),CSRFinput!$B:$E,4,0)=0,OR(H938=MappingTables!$C$31,H938=MappingTables!$C$32)),1,VLOOKUP(CONCATENATE($D938,$G938),CSRFinput!$B:$E,4,0)))</f>
        <v>0.054776304963434752</v>
      </c>
      <c r="S938" s="73">
        <f>IF(B938="",0,P938*R938)</f>
        <v>125.87357826641952</v>
      </c>
      <c r="T938" s="85">
        <f>IF(B938="",0,IF(OR(H938=MappingTables!$C$34,H938=MappingTables!$C$35),S938,0))</f>
        <v>0</v>
      </c>
    </row>
    <row r="939" spans="2:20" s="0" customFormat="0" ht="15">
      <c r="B939" s="69" t="s">
        <v>4574</v>
      </c>
      <c r="C939" s="70" t="s">
        <v>4575</v>
      </c>
      <c r="D939" s="70" t="s">
        <v>1</v>
      </c>
      <c r="E939" s="70" t="s">
        <v>1</v>
      </c>
      <c r="F939" s="70"/>
      <c r="G939" s="70" t="s">
        <v>61</v>
      </c>
      <c r="H939" s="70" t="s">
        <v>178</v>
      </c>
      <c r="I939" s="70" t="s">
        <v>204</v>
      </c>
      <c r="J939" s="71">
        <f>IF(OR(I939=0,I939=""),"unrated",VLOOKUP(I939,MappingTables!$B$19:$C$31,2,FALSE))</f>
        <v>6</v>
      </c>
      <c r="K939" s="72">
        <v>430.56708040860016</v>
      </c>
      <c r="L939" s="70">
        <v>0.052051927009736928</v>
      </c>
      <c r="M939" s="71">
        <f>IF(L939&lt;1,1,L939)</f>
        <v>1</v>
      </c>
      <c r="N939" s="70" t="s">
        <v>3288</v>
      </c>
      <c r="O939" s="71">
        <f>IF(OR(I939=$A$1,I939=0),"",IF(N939=MappingTables!$C$14,VLOOKUP(J939,ModelParameters!$M$8:$N$15,2,FALSE),IF(N939=MappingTables!$C$16,VLOOKUP(J939,ModelParameters!$P$8:$Q$15,2,FALSE),0)))</f>
        <v>1</v>
      </c>
      <c r="P939" s="73">
        <f>IF(OR(I939=0,I939=$A$1),0,MIN(O939*M939,1)*K939)</f>
        <v>430.56708040860016</v>
      </c>
      <c r="Q939" s="73">
        <f>IF(B939="",0,IF(OR(H939=MappingTables!$C$34,H939=MappingTables!$C$35),P939,0))</f>
        <v>0</v>
      </c>
      <c r="R939" s="73">
        <f>IF(ISNA(IF(AND(VLOOKUP(CONCATENATE($D939,$G939),CSRFinput!$B:$E,4,0)=0,OR(H939=MappingTables!$C$31,H939=MappingTables!$C$32)),1,VLOOKUP(CONCATENATE($D939,$G939),CSRFinput!$B:$E,4,0))),0,IF(AND(VLOOKUP(CONCATENATE($D939,$G939),CSRFinput!$B:$E,4,0)=0,OR(H939=MappingTables!$C$31,H939=MappingTables!$C$32)),1,VLOOKUP(CONCATENATE($D939,$G939),CSRFinput!$B:$E,4,0)))</f>
        <v>0.054776304963434752</v>
      </c>
      <c r="S939" s="73">
        <f>IF(B939="",0,P939*R939)</f>
        <v>23.584873703677216</v>
      </c>
      <c r="T939" s="85">
        <f>IF(B939="",0,IF(OR(H939=MappingTables!$C$34,H939=MappingTables!$C$35),S939,0))</f>
        <v>0</v>
      </c>
    </row>
    <row r="940" spans="2:20" s="0" customFormat="0" ht="15">
      <c r="B940" s="69" t="s">
        <v>3900</v>
      </c>
      <c r="C940" s="70" t="s">
        <v>3901</v>
      </c>
      <c r="D940" s="70" t="s">
        <v>1</v>
      </c>
      <c r="E940" s="70" t="s">
        <v>1</v>
      </c>
      <c r="F940" s="70"/>
      <c r="G940" s="70" t="s">
        <v>61</v>
      </c>
      <c r="H940" s="70" t="s">
        <v>178</v>
      </c>
      <c r="I940" s="70" t="s">
        <v>216</v>
      </c>
      <c r="J940" s="71">
        <f>IF(OR(I940=0,I940=""),"unrated",VLOOKUP(I940,MappingTables!$B$19:$C$31,2,FALSE))</f>
        <v>0</v>
      </c>
      <c r="K940" s="72">
        <v>86.59819567720632</v>
      </c>
      <c r="L940" s="70">
        <v>0.05479753379320616</v>
      </c>
      <c r="M940" s="71">
        <f>IF(L940&lt;1,1,L940)</f>
        <v>1</v>
      </c>
      <c r="N940" s="70" t="s">
        <v>3288</v>
      </c>
      <c r="O940" s="71">
        <f>IF(OR(I940=$A$1,I940=0),"",IF(N940=MappingTables!$C$14,VLOOKUP(J940,ModelParameters!$M$8:$N$15,2,FALSE),IF(N940=MappingTables!$C$16,VLOOKUP(J940,ModelParameters!$P$8:$Q$15,2,FALSE),0)))</f>
        <v>0.125</v>
      </c>
      <c r="P940" s="73">
        <f>IF(OR(I940=0,I940=$A$1),0,MIN(O940*M940,1)*K940)</f>
        <v>10.82477445965079</v>
      </c>
      <c r="Q940" s="73">
        <f>IF(B940="",0,IF(OR(H940=MappingTables!$C$34,H940=MappingTables!$C$35),P940,0))</f>
        <v>0</v>
      </c>
      <c r="R940" s="73">
        <f>IF(ISNA(IF(AND(VLOOKUP(CONCATENATE($D940,$G940),CSRFinput!$B:$E,4,0)=0,OR(H940=MappingTables!$C$31,H940=MappingTables!$C$32)),1,VLOOKUP(CONCATENATE($D940,$G940),CSRFinput!$B:$E,4,0))),0,IF(AND(VLOOKUP(CONCATENATE($D940,$G940),CSRFinput!$B:$E,4,0)=0,OR(H940=MappingTables!$C$31,H940=MappingTables!$C$32)),1,VLOOKUP(CONCATENATE($D940,$G940),CSRFinput!$B:$E,4,0)))</f>
        <v>0.054776304963434752</v>
      </c>
      <c r="S940" s="73">
        <f>IF(B940="",0,P940*R940)</f>
        <v>0.59294114696223136</v>
      </c>
      <c r="T940" s="85">
        <f>IF(B940="",0,IF(OR(H940=MappingTables!$C$34,H940=MappingTables!$C$35),S940,0))</f>
        <v>0</v>
      </c>
    </row>
    <row r="941" spans="2:20" s="0" customFormat="0" ht="15">
      <c r="B941" s="69" t="s">
        <v>4576</v>
      </c>
      <c r="C941" s="70" t="s">
        <v>4577</v>
      </c>
      <c r="D941" s="70" t="s">
        <v>1</v>
      </c>
      <c r="E941" s="70" t="s">
        <v>1</v>
      </c>
      <c r="F941" s="70"/>
      <c r="G941" s="70" t="s">
        <v>61</v>
      </c>
      <c r="H941" s="70" t="s">
        <v>178</v>
      </c>
      <c r="I941" s="70" t="s">
        <v>198</v>
      </c>
      <c r="J941" s="71" t="str">
        <f>IF(OR(I941=0,I941=""),"unrated",VLOOKUP(I941,MappingTables!$B$19:$C$31,2,FALSE))</f>
        <v>unrated</v>
      </c>
      <c r="K941" s="72">
        <v>0.021212569873086168</v>
      </c>
      <c r="L941" s="70">
        <v>40.297326172255504</v>
      </c>
      <c r="M941" s="71">
        <f>IF(L941&lt;1,1,L941)</f>
        <v>40.297326172255504</v>
      </c>
      <c r="N941" s="70" t="s">
        <v>3288</v>
      </c>
      <c r="O941" s="71">
        <f>IF(OR(I941=$A$1,I941=0),"",IF(N941=MappingTables!$C$14,VLOOKUP(J941,ModelParameters!$M$8:$N$15,2,FALSE),IF(N941=MappingTables!$C$16,VLOOKUP(J941,ModelParameters!$P$8:$Q$15,2,FALSE),0)))</f>
        <v>1</v>
      </c>
      <c r="P941" s="73">
        <f>IF(OR(I941=0,I941=$A$1),0,MIN(O941*M941,1)*K941)</f>
        <v>0.021212569873086168</v>
      </c>
      <c r="Q941" s="73">
        <f>IF(B941="",0,IF(OR(H941=MappingTables!$C$34,H941=MappingTables!$C$35),P941,0))</f>
        <v>0</v>
      </c>
      <c r="R941" s="73">
        <f>IF(ISNA(IF(AND(VLOOKUP(CONCATENATE($D941,$G941),CSRFinput!$B:$E,4,0)=0,OR(H941=MappingTables!$C$31,H941=MappingTables!$C$32)),1,VLOOKUP(CONCATENATE($D941,$G941),CSRFinput!$B:$E,4,0))),0,IF(AND(VLOOKUP(CONCATENATE($D941,$G941),CSRFinput!$B:$E,4,0)=0,OR(H941=MappingTables!$C$31,H941=MappingTables!$C$32)),1,VLOOKUP(CONCATENATE($D941,$G941),CSRFinput!$B:$E,4,0)))</f>
        <v>0.054776304963434752</v>
      </c>
      <c r="S941" s="73">
        <f>IF(B941="",0,P941*R941)</f>
        <v>0.0011619461964263362</v>
      </c>
      <c r="T941" s="85">
        <f>IF(B941="",0,IF(OR(H941=MappingTables!$C$34,H941=MappingTables!$C$35),S941,0))</f>
        <v>0</v>
      </c>
    </row>
    <row r="942" spans="2:20" s="0" customFormat="0" ht="15">
      <c r="B942" s="69" t="s">
        <v>3948</v>
      </c>
      <c r="C942" s="70" t="s">
        <v>3949</v>
      </c>
      <c r="D942" s="70" t="s">
        <v>1</v>
      </c>
      <c r="E942" s="70" t="s">
        <v>1</v>
      </c>
      <c r="F942" s="70"/>
      <c r="G942" s="70" t="s">
        <v>61</v>
      </c>
      <c r="H942" s="70" t="s">
        <v>178</v>
      </c>
      <c r="I942" s="70" t="s">
        <v>198</v>
      </c>
      <c r="J942" s="71" t="str">
        <f>IF(OR(I942=0,I942=""),"unrated",VLOOKUP(I942,MappingTables!$B$19:$C$31,2,FALSE))</f>
        <v>unrated</v>
      </c>
      <c r="K942" s="72">
        <v>116.1607241625416</v>
      </c>
      <c r="L942" s="70">
        <v>0.068490397084524968</v>
      </c>
      <c r="M942" s="71">
        <f>IF(L942&lt;1,1,L942)</f>
        <v>1</v>
      </c>
      <c r="N942" s="70" t="s">
        <v>3288</v>
      </c>
      <c r="O942" s="71">
        <f>IF(OR(I942=$A$1,I942=0),"",IF(N942=MappingTables!$C$14,VLOOKUP(J942,ModelParameters!$M$8:$N$15,2,FALSE),IF(N942=MappingTables!$C$16,VLOOKUP(J942,ModelParameters!$P$8:$Q$15,2,FALSE),0)))</f>
        <v>1</v>
      </c>
      <c r="P942" s="73">
        <f>IF(OR(I942=0,I942=$A$1),0,MIN(O942*M942,1)*K942)</f>
        <v>116.1607241625416</v>
      </c>
      <c r="Q942" s="73">
        <f>IF(B942="",0,IF(OR(H942=MappingTables!$C$34,H942=MappingTables!$C$35),P942,0))</f>
        <v>0</v>
      </c>
      <c r="R942" s="73">
        <f>IF(ISNA(IF(AND(VLOOKUP(CONCATENATE($D942,$G942),CSRFinput!$B:$E,4,0)=0,OR(H942=MappingTables!$C$31,H942=MappingTables!$C$32)),1,VLOOKUP(CONCATENATE($D942,$G942),CSRFinput!$B:$E,4,0))),0,IF(AND(VLOOKUP(CONCATENATE($D942,$G942),CSRFinput!$B:$E,4,0)=0,OR(H942=MappingTables!$C$31,H942=MappingTables!$C$32)),1,VLOOKUP(CONCATENATE($D942,$G942),CSRFinput!$B:$E,4,0)))</f>
        <v>0.054776304963434752</v>
      </c>
      <c r="S942" s="73">
        <f>IF(B942="",0,P942*R942)</f>
        <v>6.3628552515008032</v>
      </c>
      <c r="T942" s="85">
        <f>IF(B942="",0,IF(OR(H942=MappingTables!$C$34,H942=MappingTables!$C$35),S942,0))</f>
        <v>0</v>
      </c>
    </row>
    <row r="943" spans="2:20" s="0" customFormat="0" ht="15">
      <c r="B943" s="69">
        <v>11757687</v>
      </c>
      <c r="C943" s="70" t="s">
        <v>4578</v>
      </c>
      <c r="D943" s="70" t="s">
        <v>1</v>
      </c>
      <c r="E943" s="70" t="s">
        <v>1</v>
      </c>
      <c r="F943" s="70"/>
      <c r="G943" s="70" t="s">
        <v>61</v>
      </c>
      <c r="H943" s="70" t="s">
        <v>178</v>
      </c>
      <c r="I943" s="70" t="s">
        <v>216</v>
      </c>
      <c r="J943" s="71">
        <f>IF(OR(I943=0,I943=""),"unrated",VLOOKUP(I943,MappingTables!$B$19:$C$31,2,FALSE))</f>
        <v>0</v>
      </c>
      <c r="K943" s="72">
        <v>312.69036863145912</v>
      </c>
      <c r="L943" s="70">
        <v>5.12696199073124</v>
      </c>
      <c r="M943" s="71">
        <f>IF(L943&lt;1,1,L943)</f>
        <v>5.12696199073124</v>
      </c>
      <c r="N943" s="70" t="s">
        <v>3288</v>
      </c>
      <c r="O943" s="71">
        <f>IF(OR(I943=$A$1,I943=0),"",IF(N943=MappingTables!$C$14,VLOOKUP(J943,ModelParameters!$M$8:$N$15,2,FALSE),IF(N943=MappingTables!$C$16,VLOOKUP(J943,ModelParameters!$P$8:$Q$15,2,FALSE),0)))</f>
        <v>0.125</v>
      </c>
      <c r="P943" s="73">
        <f>IF(OR(I943=0,I943=$A$1),0,MIN(O943*M943,1)*K943)</f>
        <v>200.39395435515388</v>
      </c>
      <c r="Q943" s="73">
        <f>IF(B943="",0,IF(OR(H943=MappingTables!$C$34,H943=MappingTables!$C$35),P943,0))</f>
        <v>0</v>
      </c>
      <c r="R943" s="73">
        <f>IF(ISNA(IF(AND(VLOOKUP(CONCATENATE($D943,$G943),CSRFinput!$B:$E,4,0)=0,OR(H943=MappingTables!$C$31,H943=MappingTables!$C$32)),1,VLOOKUP(CONCATENATE($D943,$G943),CSRFinput!$B:$E,4,0))),0,IF(AND(VLOOKUP(CONCATENATE($D943,$G943),CSRFinput!$B:$E,4,0)=0,OR(H943=MappingTables!$C$31,H943=MappingTables!$C$32)),1,VLOOKUP(CONCATENATE($D943,$G943),CSRFinput!$B:$E,4,0)))</f>
        <v>0.054776304963434752</v>
      </c>
      <c r="S943" s="73">
        <f>IF(B943="",0,P943*R943)</f>
        <v>10.976840356586534</v>
      </c>
      <c r="T943" s="85">
        <f>IF(B943="",0,IF(OR(H943=MappingTables!$C$34,H943=MappingTables!$C$35),S943,0))</f>
        <v>0</v>
      </c>
    </row>
    <row r="944" spans="2:20" s="0" customFormat="0" ht="15">
      <c r="B944" s="69" t="s">
        <v>4579</v>
      </c>
      <c r="C944" s="70" t="s">
        <v>4580</v>
      </c>
      <c r="D944" s="70" t="s">
        <v>1</v>
      </c>
      <c r="E944" s="70" t="s">
        <v>1</v>
      </c>
      <c r="F944" s="70"/>
      <c r="G944" s="70" t="s">
        <v>61</v>
      </c>
      <c r="H944" s="70" t="s">
        <v>178</v>
      </c>
      <c r="I944" s="70" t="s">
        <v>204</v>
      </c>
      <c r="J944" s="71">
        <f>IF(OR(I944=0,I944=""),"unrated",VLOOKUP(I944,MappingTables!$B$19:$C$31,2,FALSE))</f>
        <v>6</v>
      </c>
      <c r="K944" s="72">
        <v>469.88060375945136</v>
      </c>
      <c r="L944" s="70">
        <v>0.056809544323676216</v>
      </c>
      <c r="M944" s="71">
        <f>IF(L944&lt;1,1,L944)</f>
        <v>1</v>
      </c>
      <c r="N944" s="70" t="s">
        <v>3288</v>
      </c>
      <c r="O944" s="71">
        <f>IF(OR(I944=$A$1,I944=0),"",IF(N944=MappingTables!$C$14,VLOOKUP(J944,ModelParameters!$M$8:$N$15,2,FALSE),IF(N944=MappingTables!$C$16,VLOOKUP(J944,ModelParameters!$P$8:$Q$15,2,FALSE),0)))</f>
        <v>1</v>
      </c>
      <c r="P944" s="73">
        <f>IF(OR(I944=0,I944=$A$1),0,MIN(O944*M944,1)*K944)</f>
        <v>469.88060375945136</v>
      </c>
      <c r="Q944" s="73">
        <f>IF(B944="",0,IF(OR(H944=MappingTables!$C$34,H944=MappingTables!$C$35),P944,0))</f>
        <v>0</v>
      </c>
      <c r="R944" s="73">
        <f>IF(ISNA(IF(AND(VLOOKUP(CONCATENATE($D944,$G944),CSRFinput!$B:$E,4,0)=0,OR(H944=MappingTables!$C$31,H944=MappingTables!$C$32)),1,VLOOKUP(CONCATENATE($D944,$G944),CSRFinput!$B:$E,4,0))),0,IF(AND(VLOOKUP(CONCATENATE($D944,$G944),CSRFinput!$B:$E,4,0)=0,OR(H944=MappingTables!$C$31,H944=MappingTables!$C$32)),1,VLOOKUP(CONCATENATE($D944,$G944),CSRFinput!$B:$E,4,0)))</f>
        <v>0.054776304963434752</v>
      </c>
      <c r="S944" s="73">
        <f>IF(B944="",0,P944*R944)</f>
        <v>25.738323247930552</v>
      </c>
      <c r="T944" s="85">
        <f>IF(B944="",0,IF(OR(H944=MappingTables!$C$34,H944=MappingTables!$C$35),S944,0))</f>
        <v>0</v>
      </c>
    </row>
    <row r="945" spans="2:20" s="0" customFormat="0" ht="15">
      <c r="B945" s="69">
        <v>7909091</v>
      </c>
      <c r="C945" s="70" t="s">
        <v>4335</v>
      </c>
      <c r="D945" s="70" t="s">
        <v>1</v>
      </c>
      <c r="E945" s="70" t="s">
        <v>1</v>
      </c>
      <c r="F945" s="70"/>
      <c r="G945" s="70" t="s">
        <v>61</v>
      </c>
      <c r="H945" s="70" t="s">
        <v>178</v>
      </c>
      <c r="I945" s="70" t="s">
        <v>216</v>
      </c>
      <c r="J945" s="71">
        <f>IF(OR(I945=0,I945=""),"unrated",VLOOKUP(I945,MappingTables!$B$19:$C$31,2,FALSE))</f>
        <v>0</v>
      </c>
      <c r="K945" s="72">
        <v>76.15031696407664</v>
      </c>
      <c r="L945" s="70">
        <v>2.6564241599064912</v>
      </c>
      <c r="M945" s="71">
        <f>IF(L945&lt;1,1,L945)</f>
        <v>2.6564241599064912</v>
      </c>
      <c r="N945" s="70" t="s">
        <v>3288</v>
      </c>
      <c r="O945" s="71">
        <f>IF(OR(I945=$A$1,I945=0),"",IF(N945=MappingTables!$C$14,VLOOKUP(J945,ModelParameters!$M$8:$N$15,2,FALSE),IF(N945=MappingTables!$C$16,VLOOKUP(J945,ModelParameters!$P$8:$Q$15,2,FALSE),0)))</f>
        <v>0.125</v>
      </c>
      <c r="P945" s="73">
        <f>IF(OR(I945=0,I945=$A$1),0,MIN(O945*M945,1)*K945)</f>
        <v>25.285942720988784</v>
      </c>
      <c r="Q945" s="73">
        <f>IF(B945="",0,IF(OR(H945=MappingTables!$C$34,H945=MappingTables!$C$35),P945,0))</f>
        <v>0</v>
      </c>
      <c r="R945" s="73">
        <f>IF(ISNA(IF(AND(VLOOKUP(CONCATENATE($D945,$G945),CSRFinput!$B:$E,4,0)=0,OR(H945=MappingTables!$C$31,H945=MappingTables!$C$32)),1,VLOOKUP(CONCATENATE($D945,$G945),CSRFinput!$B:$E,4,0))),0,IF(AND(VLOOKUP(CONCATENATE($D945,$G945),CSRFinput!$B:$E,4,0)=0,OR(H945=MappingTables!$C$31,H945=MappingTables!$C$32)),1,VLOOKUP(CONCATENATE($D945,$G945),CSRFinput!$B:$E,4,0)))</f>
        <v>0.054776304963434752</v>
      </c>
      <c r="S945" s="73">
        <f>IF(B945="",0,P945*R945)</f>
        <v>1.3850705097728248</v>
      </c>
      <c r="T945" s="85">
        <f>IF(B945="",0,IF(OR(H945=MappingTables!$C$34,H945=MappingTables!$C$35),S945,0))</f>
        <v>0</v>
      </c>
    </row>
    <row r="946" spans="2:20" s="0" customFormat="0" ht="15">
      <c r="B946" s="69">
        <v>22554252</v>
      </c>
      <c r="C946" s="70" t="s">
        <v>4581</v>
      </c>
      <c r="D946" s="70" t="s">
        <v>1</v>
      </c>
      <c r="E946" s="70" t="s">
        <v>1</v>
      </c>
      <c r="F946" s="70"/>
      <c r="G946" s="70" t="s">
        <v>61</v>
      </c>
      <c r="H946" s="70" t="s">
        <v>178</v>
      </c>
      <c r="I946" s="70" t="s">
        <v>216</v>
      </c>
      <c r="J946" s="71">
        <f>IF(OR(I946=0,I946=""),"unrated",VLOOKUP(I946,MappingTables!$B$19:$C$31,2,FALSE))</f>
        <v>0</v>
      </c>
      <c r="K946" s="72">
        <v>2.5435658882337888</v>
      </c>
      <c r="L946" s="70">
        <v>0.044370448162240648</v>
      </c>
      <c r="M946" s="71">
        <f>IF(L946&lt;1,1,L946)</f>
        <v>1</v>
      </c>
      <c r="N946" s="70" t="s">
        <v>3288</v>
      </c>
      <c r="O946" s="71">
        <f>IF(OR(I946=$A$1,I946=0),"",IF(N946=MappingTables!$C$14,VLOOKUP(J946,ModelParameters!$M$8:$N$15,2,FALSE),IF(N946=MappingTables!$C$16,VLOOKUP(J946,ModelParameters!$P$8:$Q$15,2,FALSE),0)))</f>
        <v>0.125</v>
      </c>
      <c r="P946" s="73">
        <f>IF(OR(I946=0,I946=$A$1),0,MIN(O946*M946,1)*K946)</f>
        <v>0.3179457360292236</v>
      </c>
      <c r="Q946" s="73">
        <f>IF(B946="",0,IF(OR(H946=MappingTables!$C$34,H946=MappingTables!$C$35),P946,0))</f>
        <v>0</v>
      </c>
      <c r="R946" s="73">
        <f>IF(ISNA(IF(AND(VLOOKUP(CONCATENATE($D946,$G946),CSRFinput!$B:$E,4,0)=0,OR(H946=MappingTables!$C$31,H946=MappingTables!$C$32)),1,VLOOKUP(CONCATENATE($D946,$G946),CSRFinput!$B:$E,4,0))),0,IF(AND(VLOOKUP(CONCATENATE($D946,$G946),CSRFinput!$B:$E,4,0)=0,OR(H946=MappingTables!$C$31,H946=MappingTables!$C$32)),1,VLOOKUP(CONCATENATE($D946,$G946),CSRFinput!$B:$E,4,0)))</f>
        <v>0.054776304963434752</v>
      </c>
      <c r="S946" s="73">
        <f>IF(B946="",0,P946*R946)</f>
        <v>0.017415892598560478</v>
      </c>
      <c r="T946" s="85">
        <f>IF(B946="",0,IF(OR(H946=MappingTables!$C$34,H946=MappingTables!$C$35),S946,0))</f>
        <v>0</v>
      </c>
    </row>
    <row r="947" spans="2:20" s="0" customFormat="0" ht="15">
      <c r="B947" s="69" t="s">
        <v>3430</v>
      </c>
      <c r="C947" s="70" t="s">
        <v>3431</v>
      </c>
      <c r="D947" s="70" t="s">
        <v>1</v>
      </c>
      <c r="E947" s="70" t="s">
        <v>1</v>
      </c>
      <c r="F947" s="70"/>
      <c r="G947" s="70" t="s">
        <v>61</v>
      </c>
      <c r="H947" s="70" t="s">
        <v>178</v>
      </c>
      <c r="I947" s="70" t="s">
        <v>179</v>
      </c>
      <c r="J947" s="71">
        <f>IF(OR(I947=0,I947=""),"unrated",VLOOKUP(I947,MappingTables!$B$19:$C$31,2,FALSE))</f>
        <v>4</v>
      </c>
      <c r="K947" s="72">
        <v>87.514799793223456</v>
      </c>
      <c r="L947" s="70">
        <v>0.068491970615251864</v>
      </c>
      <c r="M947" s="71">
        <f>IF(L947&lt;1,1,L947)</f>
        <v>1</v>
      </c>
      <c r="N947" s="70" t="s">
        <v>3288</v>
      </c>
      <c r="O947" s="71">
        <f>IF(OR(I947=$A$1,I947=0),"",IF(N947=MappingTables!$C$14,VLOOKUP(J947,ModelParameters!$M$8:$N$15,2,FALSE),IF(N947=MappingTables!$C$16,VLOOKUP(J947,ModelParameters!$P$8:$Q$15,2,FALSE),0)))</f>
        <v>0.82</v>
      </c>
      <c r="P947" s="73">
        <f>IF(OR(I947=0,I947=$A$1),0,MIN(O947*M947,1)*K947)</f>
        <v>71.762135830443224</v>
      </c>
      <c r="Q947" s="73">
        <f>IF(B947="",0,IF(OR(H947=MappingTables!$C$34,H947=MappingTables!$C$35),P947,0))</f>
        <v>0</v>
      </c>
      <c r="R947" s="73">
        <f>IF(ISNA(IF(AND(VLOOKUP(CONCATENATE($D947,$G947),CSRFinput!$B:$E,4,0)=0,OR(H947=MappingTables!$C$31,H947=MappingTables!$C$32)),1,VLOOKUP(CONCATENATE($D947,$G947),CSRFinput!$B:$E,4,0))),0,IF(AND(VLOOKUP(CONCATENATE($D947,$G947),CSRFinput!$B:$E,4,0)=0,OR(H947=MappingTables!$C$31,H947=MappingTables!$C$32)),1,VLOOKUP(CONCATENATE($D947,$G947),CSRFinput!$B:$E,4,0)))</f>
        <v>0.054776304963434752</v>
      </c>
      <c r="S947" s="73">
        <f>IF(B947="",0,P947*R947)</f>
        <v>3.9308646370757864</v>
      </c>
      <c r="T947" s="85">
        <f>IF(B947="",0,IF(OR(H947=MappingTables!$C$34,H947=MappingTables!$C$35),S947,0))</f>
        <v>0</v>
      </c>
    </row>
    <row r="948" spans="2:20" s="0" customFormat="0" ht="15">
      <c r="B948" s="69" t="s">
        <v>4582</v>
      </c>
      <c r="C948" s="70" t="s">
        <v>4583</v>
      </c>
      <c r="D948" s="70" t="s">
        <v>1</v>
      </c>
      <c r="E948" s="70" t="s">
        <v>1</v>
      </c>
      <c r="F948" s="70"/>
      <c r="G948" s="70" t="s">
        <v>61</v>
      </c>
      <c r="H948" s="70" t="s">
        <v>178</v>
      </c>
      <c r="I948" s="70" t="s">
        <v>181</v>
      </c>
      <c r="J948" s="71">
        <f>IF(OR(I948=0,I948=""),"unrated",VLOOKUP(I948,MappingTables!$B$19:$C$31,2,FALSE))</f>
        <v>3</v>
      </c>
      <c r="K948" s="72">
        <v>13.08048931294593</v>
      </c>
      <c r="L948" s="70">
        <v>0.077807723717772208</v>
      </c>
      <c r="M948" s="71">
        <f>IF(L948&lt;1,1,L948)</f>
        <v>1</v>
      </c>
      <c r="N948" s="70" t="s">
        <v>3288</v>
      </c>
      <c r="O948" s="71">
        <f>IF(OR(I948=$A$1,I948=0),"",IF(N948=MappingTables!$C$14,VLOOKUP(J948,ModelParameters!$M$8:$N$15,2,FALSE),IF(N948=MappingTables!$C$16,VLOOKUP(J948,ModelParameters!$P$8:$Q$15,2,FALSE),0)))</f>
        <v>0.197</v>
      </c>
      <c r="P948" s="73">
        <f>IF(OR(I948=0,I948=$A$1),0,MIN(O948*M948,1)*K948)</f>
        <v>2.5768563946503484</v>
      </c>
      <c r="Q948" s="73">
        <f>IF(B948="",0,IF(OR(H948=MappingTables!$C$34,H948=MappingTables!$C$35),P948,0))</f>
        <v>0</v>
      </c>
      <c r="R948" s="73">
        <f>IF(ISNA(IF(AND(VLOOKUP(CONCATENATE($D948,$G948),CSRFinput!$B:$E,4,0)=0,OR(H948=MappingTables!$C$31,H948=MappingTables!$C$32)),1,VLOOKUP(CONCATENATE($D948,$G948),CSRFinput!$B:$E,4,0))),0,IF(AND(VLOOKUP(CONCATENATE($D948,$G948),CSRFinput!$B:$E,4,0)=0,OR(H948=MappingTables!$C$31,H948=MappingTables!$C$32)),1,VLOOKUP(CONCATENATE($D948,$G948),CSRFinput!$B:$E,4,0)))</f>
        <v>0.054776304963434752</v>
      </c>
      <c r="S948" s="73">
        <f>IF(B948="",0,P948*R948)</f>
        <v>0.14115067172034446</v>
      </c>
      <c r="T948" s="85">
        <f>IF(B948="",0,IF(OR(H948=MappingTables!$C$34,H948=MappingTables!$C$35),S948,0))</f>
        <v>0</v>
      </c>
    </row>
    <row r="949" spans="2:20" s="0" customFormat="0" ht="15">
      <c r="B949" s="69" t="s">
        <v>4584</v>
      </c>
      <c r="C949" s="70" t="s">
        <v>4585</v>
      </c>
      <c r="D949" s="70" t="s">
        <v>1</v>
      </c>
      <c r="E949" s="70" t="s">
        <v>1</v>
      </c>
      <c r="F949" s="70"/>
      <c r="G949" s="70" t="s">
        <v>61</v>
      </c>
      <c r="H949" s="70" t="s">
        <v>178</v>
      </c>
      <c r="I949" s="70" t="s">
        <v>204</v>
      </c>
      <c r="J949" s="71">
        <f>IF(OR(I949=0,I949=""),"unrated",VLOOKUP(I949,MappingTables!$B$19:$C$31,2,FALSE))</f>
        <v>6</v>
      </c>
      <c r="K949" s="72">
        <v>317.3594525332084</v>
      </c>
      <c r="L949" s="70">
        <v>0.068496319696937872</v>
      </c>
      <c r="M949" s="71">
        <f>IF(L949&lt;1,1,L949)</f>
        <v>1</v>
      </c>
      <c r="N949" s="70" t="s">
        <v>3288</v>
      </c>
      <c r="O949" s="71">
        <f>IF(OR(I949=$A$1,I949=0),"",IF(N949=MappingTables!$C$14,VLOOKUP(J949,ModelParameters!$M$8:$N$15,2,FALSE),IF(N949=MappingTables!$C$16,VLOOKUP(J949,ModelParameters!$P$8:$Q$15,2,FALSE),0)))</f>
        <v>1</v>
      </c>
      <c r="P949" s="73">
        <f>IF(OR(I949=0,I949=$A$1),0,MIN(O949*M949,1)*K949)</f>
        <v>317.3594525332084</v>
      </c>
      <c r="Q949" s="73">
        <f>IF(B949="",0,IF(OR(H949=MappingTables!$C$34,H949=MappingTables!$C$35),P949,0))</f>
        <v>0</v>
      </c>
      <c r="R949" s="73">
        <f>IF(ISNA(IF(AND(VLOOKUP(CONCATENATE($D949,$G949),CSRFinput!$B:$E,4,0)=0,OR(H949=MappingTables!$C$31,H949=MappingTables!$C$32)),1,VLOOKUP(CONCATENATE($D949,$G949),CSRFinput!$B:$E,4,0))),0,IF(AND(VLOOKUP(CONCATENATE($D949,$G949),CSRFinput!$B:$E,4,0)=0,OR(H949=MappingTables!$C$31,H949=MappingTables!$C$32)),1,VLOOKUP(CONCATENATE($D949,$G949),CSRFinput!$B:$E,4,0)))</f>
        <v>0.054776304963434752</v>
      </c>
      <c r="S949" s="73">
        <f>IF(B949="",0,P949*R949)</f>
        <v>17.38377815498772</v>
      </c>
      <c r="T949" s="85">
        <f>IF(B949="",0,IF(OR(H949=MappingTables!$C$34,H949=MappingTables!$C$35),S949,0))</f>
        <v>0</v>
      </c>
    </row>
    <row r="950" spans="2:20" s="0" customFormat="0" ht="15">
      <c r="B950" s="69">
        <v>22554454</v>
      </c>
      <c r="C950" s="70" t="s">
        <v>4586</v>
      </c>
      <c r="D950" s="70" t="s">
        <v>1</v>
      </c>
      <c r="E950" s="70" t="s">
        <v>1</v>
      </c>
      <c r="F950" s="70"/>
      <c r="G950" s="70" t="s">
        <v>61</v>
      </c>
      <c r="H950" s="70" t="s">
        <v>178</v>
      </c>
      <c r="I950" s="70" t="s">
        <v>204</v>
      </c>
      <c r="J950" s="71">
        <f>IF(OR(I950=0,I950=""),"unrated",VLOOKUP(I950,MappingTables!$B$19:$C$31,2,FALSE))</f>
        <v>6</v>
      </c>
      <c r="K950" s="72">
        <v>10.361363039883614</v>
      </c>
      <c r="L950" s="70">
        <v>0.068493798315438576</v>
      </c>
      <c r="M950" s="71">
        <f>IF(L950&lt;1,1,L950)</f>
        <v>1</v>
      </c>
      <c r="N950" s="70" t="s">
        <v>3288</v>
      </c>
      <c r="O950" s="71">
        <f>IF(OR(I950=$A$1,I950=0),"",IF(N950=MappingTables!$C$14,VLOOKUP(J950,ModelParameters!$M$8:$N$15,2,FALSE),IF(N950=MappingTables!$C$16,VLOOKUP(J950,ModelParameters!$P$8:$Q$15,2,FALSE),0)))</f>
        <v>1</v>
      </c>
      <c r="P950" s="73">
        <f>IF(OR(I950=0,I950=$A$1),0,MIN(O950*M950,1)*K950)</f>
        <v>10.361363039883614</v>
      </c>
      <c r="Q950" s="73">
        <f>IF(B950="",0,IF(OR(H950=MappingTables!$C$34,H950=MappingTables!$C$35),P950,0))</f>
        <v>0</v>
      </c>
      <c r="R950" s="73">
        <f>IF(ISNA(IF(AND(VLOOKUP(CONCATENATE($D950,$G950),CSRFinput!$B:$E,4,0)=0,OR(H950=MappingTables!$C$31,H950=MappingTables!$C$32)),1,VLOOKUP(CONCATENATE($D950,$G950),CSRFinput!$B:$E,4,0))),0,IF(AND(VLOOKUP(CONCATENATE($D950,$G950),CSRFinput!$B:$E,4,0)=0,OR(H950=MappingTables!$C$31,H950=MappingTables!$C$32)),1,VLOOKUP(CONCATENATE($D950,$G950),CSRFinput!$B:$E,4,0)))</f>
        <v>0.054776304963434752</v>
      </c>
      <c r="S950" s="73">
        <f>IF(B950="",0,P950*R950)</f>
        <v>0.56755718170952616</v>
      </c>
      <c r="T950" s="85">
        <f>IF(B950="",0,IF(OR(H950=MappingTables!$C$34,H950=MappingTables!$C$35),S950,0))</f>
        <v>0</v>
      </c>
    </row>
    <row r="951" spans="2:20" s="0" customFormat="0" ht="15">
      <c r="B951" s="69">
        <v>22554344</v>
      </c>
      <c r="C951" s="70" t="s">
        <v>4587</v>
      </c>
      <c r="D951" s="70" t="s">
        <v>1</v>
      </c>
      <c r="E951" s="70" t="s">
        <v>1</v>
      </c>
      <c r="F951" s="70"/>
      <c r="G951" s="70" t="s">
        <v>61</v>
      </c>
      <c r="H951" s="70" t="s">
        <v>178</v>
      </c>
      <c r="I951" s="70" t="s">
        <v>198</v>
      </c>
      <c r="J951" s="71" t="str">
        <f>IF(OR(I951=0,I951=""),"unrated",VLOOKUP(I951,MappingTables!$B$19:$C$31,2,FALSE))</f>
        <v>unrated</v>
      </c>
      <c r="K951" s="72">
        <v>1430.5590575642184</v>
      </c>
      <c r="L951" s="70">
        <v>0.068492513614132656</v>
      </c>
      <c r="M951" s="71">
        <f>IF(L951&lt;1,1,L951)</f>
        <v>1</v>
      </c>
      <c r="N951" s="70" t="s">
        <v>3288</v>
      </c>
      <c r="O951" s="71">
        <f>IF(OR(I951=$A$1,I951=0),"",IF(N951=MappingTables!$C$14,VLOOKUP(J951,ModelParameters!$M$8:$N$15,2,FALSE),IF(N951=MappingTables!$C$16,VLOOKUP(J951,ModelParameters!$P$8:$Q$15,2,FALSE),0)))</f>
        <v>1</v>
      </c>
      <c r="P951" s="73">
        <f>IF(OR(I951=0,I951=$A$1),0,MIN(O951*M951,1)*K951)</f>
        <v>1430.5590575642184</v>
      </c>
      <c r="Q951" s="73">
        <f>IF(B951="",0,IF(OR(H951=MappingTables!$C$34,H951=MappingTables!$C$35),P951,0))</f>
        <v>0</v>
      </c>
      <c r="R951" s="73">
        <f>IF(ISNA(IF(AND(VLOOKUP(CONCATENATE($D951,$G951),CSRFinput!$B:$E,4,0)=0,OR(H951=MappingTables!$C$31,H951=MappingTables!$C$32)),1,VLOOKUP(CONCATENATE($D951,$G951),CSRFinput!$B:$E,4,0))),0,IF(AND(VLOOKUP(CONCATENATE($D951,$G951),CSRFinput!$B:$E,4,0)=0,OR(H951=MappingTables!$C$31,H951=MappingTables!$C$32)),1,VLOOKUP(CONCATENATE($D951,$G951),CSRFinput!$B:$E,4,0)))</f>
        <v>0.054776304963434752</v>
      </c>
      <c r="S951" s="73">
        <f>IF(B951="",0,P951*R951)</f>
        <v>78.36073920534144</v>
      </c>
      <c r="T951" s="85">
        <f>IF(B951="",0,IF(OR(H951=MappingTables!$C$34,H951=MappingTables!$C$35),S951,0))</f>
        <v>0</v>
      </c>
    </row>
    <row r="952" spans="2:20" s="0" customFormat="0" ht="15">
      <c r="B952" s="69" t="s">
        <v>4588</v>
      </c>
      <c r="C952" s="70" t="s">
        <v>4589</v>
      </c>
      <c r="D952" s="70" t="s">
        <v>1</v>
      </c>
      <c r="E952" s="70" t="s">
        <v>1</v>
      </c>
      <c r="F952" s="70"/>
      <c r="G952" s="70" t="s">
        <v>61</v>
      </c>
      <c r="H952" s="70" t="s">
        <v>178</v>
      </c>
      <c r="I952" s="70" t="s">
        <v>216</v>
      </c>
      <c r="J952" s="71">
        <f>IF(OR(I952=0,I952=""),"unrated",VLOOKUP(I952,MappingTables!$B$19:$C$31,2,FALSE))</f>
        <v>0</v>
      </c>
      <c r="K952" s="72">
        <v>0.066954954016809096</v>
      </c>
      <c r="L952" s="70">
        <v>0.068496087943593072</v>
      </c>
      <c r="M952" s="71">
        <f>IF(L952&lt;1,1,L952)</f>
        <v>1</v>
      </c>
      <c r="N952" s="70" t="s">
        <v>3288</v>
      </c>
      <c r="O952" s="71">
        <f>IF(OR(I952=$A$1,I952=0),"",IF(N952=MappingTables!$C$14,VLOOKUP(J952,ModelParameters!$M$8:$N$15,2,FALSE),IF(N952=MappingTables!$C$16,VLOOKUP(J952,ModelParameters!$P$8:$Q$15,2,FALSE),0)))</f>
        <v>0.125</v>
      </c>
      <c r="P952" s="73">
        <f>IF(OR(I952=0,I952=$A$1),0,MIN(O952*M952,1)*K952)</f>
        <v>0.008369369252101136</v>
      </c>
      <c r="Q952" s="73">
        <f>IF(B952="",0,IF(OR(H952=MappingTables!$C$34,H952=MappingTables!$C$35),P952,0))</f>
        <v>0</v>
      </c>
      <c r="R952" s="73">
        <f>IF(ISNA(IF(AND(VLOOKUP(CONCATENATE($D952,$G952),CSRFinput!$B:$E,4,0)=0,OR(H952=MappingTables!$C$31,H952=MappingTables!$C$32)),1,VLOOKUP(CONCATENATE($D952,$G952),CSRFinput!$B:$E,4,0))),0,IF(AND(VLOOKUP(CONCATENATE($D952,$G952),CSRFinput!$B:$E,4,0)=0,OR(H952=MappingTables!$C$31,H952=MappingTables!$C$32)),1,VLOOKUP(CONCATENATE($D952,$G952),CSRFinput!$B:$E,4,0)))</f>
        <v>0.054776304963434752</v>
      </c>
      <c r="S952" s="73">
        <f>IF(B952="",0,P952*R952)</f>
        <v>0.00045844312250468568</v>
      </c>
      <c r="T952" s="85">
        <f>IF(B952="",0,IF(OR(H952=MappingTables!$C$34,H952=MappingTables!$C$35),S952,0))</f>
        <v>0</v>
      </c>
    </row>
    <row r="953" spans="2:20" s="0" customFormat="0" ht="15">
      <c r="B953" s="69" t="s">
        <v>4590</v>
      </c>
      <c r="C953" s="70" t="s">
        <v>4591</v>
      </c>
      <c r="D953" s="70" t="s">
        <v>1</v>
      </c>
      <c r="E953" s="70" t="s">
        <v>1</v>
      </c>
      <c r="F953" s="70"/>
      <c r="G953" s="70" t="s">
        <v>61</v>
      </c>
      <c r="H953" s="70" t="s">
        <v>178</v>
      </c>
      <c r="I953" s="70" t="s">
        <v>204</v>
      </c>
      <c r="J953" s="71">
        <f>IF(OR(I953=0,I953=""),"unrated",VLOOKUP(I953,MappingTables!$B$19:$C$31,2,FALSE))</f>
        <v>6</v>
      </c>
      <c r="K953" s="72">
        <v>584.73063779762944</v>
      </c>
      <c r="L953" s="70">
        <v>-0.92594012241660384</v>
      </c>
      <c r="M953" s="71">
        <f>IF(L953&lt;1,1,L953)</f>
        <v>1</v>
      </c>
      <c r="N953" s="70" t="s">
        <v>3288</v>
      </c>
      <c r="O953" s="71">
        <f>IF(OR(I953=$A$1,I953=0),"",IF(N953=MappingTables!$C$14,VLOOKUP(J953,ModelParameters!$M$8:$N$15,2,FALSE),IF(N953=MappingTables!$C$16,VLOOKUP(J953,ModelParameters!$P$8:$Q$15,2,FALSE),0)))</f>
        <v>1</v>
      </c>
      <c r="P953" s="73">
        <f>IF(OR(I953=0,I953=$A$1),0,MIN(O953*M953,1)*K953)</f>
        <v>584.73063779762944</v>
      </c>
      <c r="Q953" s="73">
        <f>IF(B953="",0,IF(OR(H953=MappingTables!$C$34,H953=MappingTables!$C$35),P953,0))</f>
        <v>0</v>
      </c>
      <c r="R953" s="73">
        <f>IF(ISNA(IF(AND(VLOOKUP(CONCATENATE($D953,$G953),CSRFinput!$B:$E,4,0)=0,OR(H953=MappingTables!$C$31,H953=MappingTables!$C$32)),1,VLOOKUP(CONCATENATE($D953,$G953),CSRFinput!$B:$E,4,0))),0,IF(AND(VLOOKUP(CONCATENATE($D953,$G953),CSRFinput!$B:$E,4,0)=0,OR(H953=MappingTables!$C$31,H953=MappingTables!$C$32)),1,VLOOKUP(CONCATENATE($D953,$G953),CSRFinput!$B:$E,4,0)))</f>
        <v>0.054776304963434752</v>
      </c>
      <c r="S953" s="73">
        <f>IF(B953="",0,P953*R953)</f>
        <v>32.02938373746666</v>
      </c>
      <c r="T953" s="85">
        <f>IF(B953="",0,IF(OR(H953=MappingTables!$C$34,H953=MappingTables!$C$35),S953,0))</f>
        <v>0</v>
      </c>
    </row>
    <row r="954" spans="2:20" s="0" customFormat="0" ht="15">
      <c r="B954" s="69">
        <v>22554268</v>
      </c>
      <c r="C954" s="70" t="s">
        <v>4592</v>
      </c>
      <c r="D954" s="70" t="s">
        <v>1</v>
      </c>
      <c r="E954" s="70" t="s">
        <v>1</v>
      </c>
      <c r="F954" s="70"/>
      <c r="G954" s="70" t="s">
        <v>61</v>
      </c>
      <c r="H954" s="70" t="s">
        <v>178</v>
      </c>
      <c r="I954" s="70" t="s">
        <v>216</v>
      </c>
      <c r="J954" s="71">
        <f>IF(OR(I954=0,I954=""),"unrated",VLOOKUP(I954,MappingTables!$B$19:$C$31,2,FALSE))</f>
        <v>0</v>
      </c>
      <c r="K954" s="72">
        <v>46.872604191987904</v>
      </c>
      <c r="L954" s="70">
        <v>0.13214214744594862</v>
      </c>
      <c r="M954" s="71">
        <f>IF(L954&lt;1,1,L954)</f>
        <v>1</v>
      </c>
      <c r="N954" s="70" t="s">
        <v>3288</v>
      </c>
      <c r="O954" s="71">
        <f>IF(OR(I954=$A$1,I954=0),"",IF(N954=MappingTables!$C$14,VLOOKUP(J954,ModelParameters!$M$8:$N$15,2,FALSE),IF(N954=MappingTables!$C$16,VLOOKUP(J954,ModelParameters!$P$8:$Q$15,2,FALSE),0)))</f>
        <v>0.125</v>
      </c>
      <c r="P954" s="73">
        <f>IF(OR(I954=0,I954=$A$1),0,MIN(O954*M954,1)*K954)</f>
        <v>5.859075523998488</v>
      </c>
      <c r="Q954" s="73">
        <f>IF(B954="",0,IF(OR(H954=MappingTables!$C$34,H954=MappingTables!$C$35),P954,0))</f>
        <v>0</v>
      </c>
      <c r="R954" s="73">
        <f>IF(ISNA(IF(AND(VLOOKUP(CONCATENATE($D954,$G954),CSRFinput!$B:$E,4,0)=0,OR(H954=MappingTables!$C$31,H954=MappingTables!$C$32)),1,VLOOKUP(CONCATENATE($D954,$G954),CSRFinput!$B:$E,4,0))),0,IF(AND(VLOOKUP(CONCATENATE($D954,$G954),CSRFinput!$B:$E,4,0)=0,OR(H954=MappingTables!$C$31,H954=MappingTables!$C$32)),1,VLOOKUP(CONCATENATE($D954,$G954),CSRFinput!$B:$E,4,0)))</f>
        <v>0.054776304963434752</v>
      </c>
      <c r="S954" s="73">
        <f>IF(B954="",0,P954*R954)</f>
        <v>0.32093850770633748</v>
      </c>
      <c r="T954" s="85">
        <f>IF(B954="",0,IF(OR(H954=MappingTables!$C$34,H954=MappingTables!$C$35),S954,0))</f>
        <v>0</v>
      </c>
    </row>
    <row r="955" spans="2:20" s="0" customFormat="0" ht="15">
      <c r="B955" s="69">
        <v>22554189</v>
      </c>
      <c r="C955" s="70" t="s">
        <v>4593</v>
      </c>
      <c r="D955" s="70" t="s">
        <v>1</v>
      </c>
      <c r="E955" s="70" t="s">
        <v>1</v>
      </c>
      <c r="F955" s="70"/>
      <c r="G955" s="70" t="s">
        <v>61</v>
      </c>
      <c r="H955" s="70" t="s">
        <v>178</v>
      </c>
      <c r="I955" s="70" t="s">
        <v>3298</v>
      </c>
      <c r="J955" s="71">
        <f>IF(OR(I955=0,I955=""),"unrated",VLOOKUP(I955,MappingTables!$B$19:$C$31,2,FALSE))</f>
        <v>6</v>
      </c>
      <c r="K955" s="72">
        <v>350.30972428309248</v>
      </c>
      <c r="L955" s="70">
        <v>0.31760352233522004</v>
      </c>
      <c r="M955" s="71">
        <f>IF(L955&lt;1,1,L955)</f>
        <v>1</v>
      </c>
      <c r="N955" s="70" t="s">
        <v>3288</v>
      </c>
      <c r="O955" s="71">
        <f>IF(OR(I955=$A$1,I955=0),"",IF(N955=MappingTables!$C$14,VLOOKUP(J955,ModelParameters!$M$8:$N$15,2,FALSE),IF(N955=MappingTables!$C$16,VLOOKUP(J955,ModelParameters!$P$8:$Q$15,2,FALSE),0)))</f>
        <v>1</v>
      </c>
      <c r="P955" s="73">
        <f>IF(OR(I955=0,I955=$A$1),0,MIN(O955*M955,1)*K955)</f>
        <v>350.30972428309248</v>
      </c>
      <c r="Q955" s="73">
        <f>IF(B955="",0,IF(OR(H955=MappingTables!$C$34,H955=MappingTables!$C$35),P955,0))</f>
        <v>0</v>
      </c>
      <c r="R955" s="73">
        <f>IF(ISNA(IF(AND(VLOOKUP(CONCATENATE($D955,$G955),CSRFinput!$B:$E,4,0)=0,OR(H955=MappingTables!$C$31,H955=MappingTables!$C$32)),1,VLOOKUP(CONCATENATE($D955,$G955),CSRFinput!$B:$E,4,0))),0,IF(AND(VLOOKUP(CONCATENATE($D955,$G955),CSRFinput!$B:$E,4,0)=0,OR(H955=MappingTables!$C$31,H955=MappingTables!$C$32)),1,VLOOKUP(CONCATENATE($D955,$G955),CSRFinput!$B:$E,4,0)))</f>
        <v>0.054776304963434752</v>
      </c>
      <c r="S955" s="73">
        <f>IF(B955="",0,P955*R955)</f>
        <v>19.18867228898742</v>
      </c>
      <c r="T955" s="85">
        <f>IF(B955="",0,IF(OR(H955=MappingTables!$C$34,H955=MappingTables!$C$35),S955,0))</f>
        <v>0</v>
      </c>
    </row>
    <row r="956" spans="2:20" s="0" customFormat="0" ht="15">
      <c r="B956" s="69" t="s">
        <v>4594</v>
      </c>
      <c r="C956" s="70" t="s">
        <v>4595</v>
      </c>
      <c r="D956" s="70" t="s">
        <v>1</v>
      </c>
      <c r="E956" s="70" t="s">
        <v>1</v>
      </c>
      <c r="F956" s="70"/>
      <c r="G956" s="70" t="s">
        <v>61</v>
      </c>
      <c r="H956" s="70" t="s">
        <v>178</v>
      </c>
      <c r="I956" s="70" t="s">
        <v>198</v>
      </c>
      <c r="J956" s="71" t="str">
        <f>IF(OR(I956=0,I956=""),"unrated",VLOOKUP(I956,MappingTables!$B$19:$C$31,2,FALSE))</f>
        <v>unrated</v>
      </c>
      <c r="K956" s="72">
        <v>107.17202551251198</v>
      </c>
      <c r="L956" s="70">
        <v>0.068494429111465024</v>
      </c>
      <c r="M956" s="71">
        <f>IF(L956&lt;1,1,L956)</f>
        <v>1</v>
      </c>
      <c r="N956" s="70" t="s">
        <v>3288</v>
      </c>
      <c r="O956" s="71">
        <f>IF(OR(I956=$A$1,I956=0),"",IF(N956=MappingTables!$C$14,VLOOKUP(J956,ModelParameters!$M$8:$N$15,2,FALSE),IF(N956=MappingTables!$C$16,VLOOKUP(J956,ModelParameters!$P$8:$Q$15,2,FALSE),0)))</f>
        <v>1</v>
      </c>
      <c r="P956" s="73">
        <f>IF(OR(I956=0,I956=$A$1),0,MIN(O956*M956,1)*K956)</f>
        <v>107.17202551251198</v>
      </c>
      <c r="Q956" s="73">
        <f>IF(B956="",0,IF(OR(H956=MappingTables!$C$34,H956=MappingTables!$C$35),P956,0))</f>
        <v>0</v>
      </c>
      <c r="R956" s="73">
        <f>IF(ISNA(IF(AND(VLOOKUP(CONCATENATE($D956,$G956),CSRFinput!$B:$E,4,0)=0,OR(H956=MappingTables!$C$31,H956=MappingTables!$C$32)),1,VLOOKUP(CONCATENATE($D956,$G956),CSRFinput!$B:$E,4,0))),0,IF(AND(VLOOKUP(CONCATENATE($D956,$G956),CSRFinput!$B:$E,4,0)=0,OR(H956=MappingTables!$C$31,H956=MappingTables!$C$32)),1,VLOOKUP(CONCATENATE($D956,$G956),CSRFinput!$B:$E,4,0)))</f>
        <v>0.054776304963434752</v>
      </c>
      <c r="S956" s="73">
        <f>IF(B956="",0,P956*R956)</f>
        <v>5.8704875530223664</v>
      </c>
      <c r="T956" s="85">
        <f>IF(B956="",0,IF(OR(H956=MappingTables!$C$34,H956=MappingTables!$C$35),S956,0))</f>
        <v>0</v>
      </c>
    </row>
    <row r="957" spans="2:20" s="0" customFormat="0" ht="15">
      <c r="B957" s="69" t="s">
        <v>3296</v>
      </c>
      <c r="C957" s="70" t="s">
        <v>3297</v>
      </c>
      <c r="D957" s="70" t="s">
        <v>1</v>
      </c>
      <c r="E957" s="70" t="s">
        <v>1</v>
      </c>
      <c r="F957" s="70"/>
      <c r="G957" s="70" t="s">
        <v>61</v>
      </c>
      <c r="H957" s="70" t="s">
        <v>178</v>
      </c>
      <c r="I957" s="70" t="s">
        <v>3298</v>
      </c>
      <c r="J957" s="71">
        <f>IF(OR(I957=0,I957=""),"unrated",VLOOKUP(I957,MappingTables!$B$19:$C$31,2,FALSE))</f>
        <v>6</v>
      </c>
      <c r="K957" s="72">
        <v>231.29524474530676</v>
      </c>
      <c r="L957" s="70">
        <v>0.068492366963961552</v>
      </c>
      <c r="M957" s="71">
        <f>IF(L957&lt;1,1,L957)</f>
        <v>1</v>
      </c>
      <c r="N957" s="70" t="s">
        <v>3288</v>
      </c>
      <c r="O957" s="71">
        <f>IF(OR(I957=$A$1,I957=0),"",IF(N957=MappingTables!$C$14,VLOOKUP(J957,ModelParameters!$M$8:$N$15,2,FALSE),IF(N957=MappingTables!$C$16,VLOOKUP(J957,ModelParameters!$P$8:$Q$15,2,FALSE),0)))</f>
        <v>1</v>
      </c>
      <c r="P957" s="73">
        <f>IF(OR(I957=0,I957=$A$1),0,MIN(O957*M957,1)*K957)</f>
        <v>231.29524474530676</v>
      </c>
      <c r="Q957" s="73">
        <f>IF(B957="",0,IF(OR(H957=MappingTables!$C$34,H957=MappingTables!$C$35),P957,0))</f>
        <v>0</v>
      </c>
      <c r="R957" s="73">
        <f>IF(ISNA(IF(AND(VLOOKUP(CONCATENATE($D957,$G957),CSRFinput!$B:$E,4,0)=0,OR(H957=MappingTables!$C$31,H957=MappingTables!$C$32)),1,VLOOKUP(CONCATENATE($D957,$G957),CSRFinput!$B:$E,4,0))),0,IF(AND(VLOOKUP(CONCATENATE($D957,$G957),CSRFinput!$B:$E,4,0)=0,OR(H957=MappingTables!$C$31,H957=MappingTables!$C$32)),1,VLOOKUP(CONCATENATE($D957,$G957),CSRFinput!$B:$E,4,0)))</f>
        <v>0.054776304963434752</v>
      </c>
      <c r="S957" s="73">
        <f>IF(B957="",0,P957*R957)</f>
        <v>12.669498862761204</v>
      </c>
      <c r="T957" s="85">
        <f>IF(B957="",0,IF(OR(H957=MappingTables!$C$34,H957=MappingTables!$C$35),S957,0))</f>
        <v>0</v>
      </c>
    </row>
    <row r="958" spans="2:20" s="0" customFormat="0" ht="15">
      <c r="B958" s="69">
        <v>1551570</v>
      </c>
      <c r="C958" s="70" t="s">
        <v>3604</v>
      </c>
      <c r="D958" s="70" t="s">
        <v>1</v>
      </c>
      <c r="E958" s="70" t="s">
        <v>1</v>
      </c>
      <c r="F958" s="70"/>
      <c r="G958" s="70" t="s">
        <v>61</v>
      </c>
      <c r="H958" s="70" t="s">
        <v>178</v>
      </c>
      <c r="I958" s="70" t="s">
        <v>204</v>
      </c>
      <c r="J958" s="71">
        <f>IF(OR(I958=0,I958=""),"unrated",VLOOKUP(I958,MappingTables!$B$19:$C$31,2,FALSE))</f>
        <v>6</v>
      </c>
      <c r="K958" s="72">
        <v>13.769691819665734</v>
      </c>
      <c r="L958" s="70">
        <v>0.06748063798449368</v>
      </c>
      <c r="M958" s="71">
        <f>IF(L958&lt;1,1,L958)</f>
        <v>1</v>
      </c>
      <c r="N958" s="70" t="s">
        <v>3288</v>
      </c>
      <c r="O958" s="71">
        <f>IF(OR(I958=$A$1,I958=0),"",IF(N958=MappingTables!$C$14,VLOOKUP(J958,ModelParameters!$M$8:$N$15,2,FALSE),IF(N958=MappingTables!$C$16,VLOOKUP(J958,ModelParameters!$P$8:$Q$15,2,FALSE),0)))</f>
        <v>1</v>
      </c>
      <c r="P958" s="73">
        <f>IF(OR(I958=0,I958=$A$1),0,MIN(O958*M958,1)*K958)</f>
        <v>13.769691819665734</v>
      </c>
      <c r="Q958" s="73">
        <f>IF(B958="",0,IF(OR(H958=MappingTables!$C$34,H958=MappingTables!$C$35),P958,0))</f>
        <v>0</v>
      </c>
      <c r="R958" s="73">
        <f>IF(ISNA(IF(AND(VLOOKUP(CONCATENATE($D958,$G958),CSRFinput!$B:$E,4,0)=0,OR(H958=MappingTables!$C$31,H958=MappingTables!$C$32)),1,VLOOKUP(CONCATENATE($D958,$G958),CSRFinput!$B:$E,4,0))),0,IF(AND(VLOOKUP(CONCATENATE($D958,$G958),CSRFinput!$B:$E,4,0)=0,OR(H958=MappingTables!$C$31,H958=MappingTables!$C$32)),1,VLOOKUP(CONCATENATE($D958,$G958),CSRFinput!$B:$E,4,0)))</f>
        <v>0.054776304963434752</v>
      </c>
      <c r="S958" s="73">
        <f>IF(B958="",0,P958*R958)</f>
        <v>0.7542528383665232</v>
      </c>
      <c r="T958" s="85">
        <f>IF(B958="",0,IF(OR(H958=MappingTables!$C$34,H958=MappingTables!$C$35),S958,0))</f>
        <v>0</v>
      </c>
    </row>
    <row r="959" spans="2:20" s="0" customFormat="0" ht="15">
      <c r="B959" s="69">
        <v>7135731</v>
      </c>
      <c r="C959" s="70" t="s">
        <v>3589</v>
      </c>
      <c r="D959" s="70" t="s">
        <v>1</v>
      </c>
      <c r="E959" s="70" t="s">
        <v>1</v>
      </c>
      <c r="F959" s="70"/>
      <c r="G959" s="70" t="s">
        <v>61</v>
      </c>
      <c r="H959" s="70" t="s">
        <v>178</v>
      </c>
      <c r="I959" s="70" t="s">
        <v>184</v>
      </c>
      <c r="J959" s="71">
        <f>IF(OR(I959=0,I959=""),"unrated",VLOOKUP(I959,MappingTables!$B$19:$C$31,2,FALSE))</f>
        <v>5</v>
      </c>
      <c r="K959" s="72">
        <v>1552.6180429724396</v>
      </c>
      <c r="L959" s="70">
        <v>0.06848930486509584</v>
      </c>
      <c r="M959" s="71">
        <f>IF(L959&lt;1,1,L959)</f>
        <v>1</v>
      </c>
      <c r="N959" s="70" t="s">
        <v>3288</v>
      </c>
      <c r="O959" s="71">
        <f>IF(OR(I959=$A$1,I959=0),"",IF(N959=MappingTables!$C$14,VLOOKUP(J959,ModelParameters!$M$8:$N$15,2,FALSE),IF(N959=MappingTables!$C$16,VLOOKUP(J959,ModelParameters!$P$8:$Q$15,2,FALSE),0)))</f>
        <v>1</v>
      </c>
      <c r="P959" s="73">
        <f>IF(OR(I959=0,I959=$A$1),0,MIN(O959*M959,1)*K959)</f>
        <v>1552.6180429724396</v>
      </c>
      <c r="Q959" s="73">
        <f>IF(B959="",0,IF(OR(H959=MappingTables!$C$34,H959=MappingTables!$C$35),P959,0))</f>
        <v>0</v>
      </c>
      <c r="R959" s="73">
        <f>IF(ISNA(IF(AND(VLOOKUP(CONCATENATE($D959,$G959),CSRFinput!$B:$E,4,0)=0,OR(H959=MappingTables!$C$31,H959=MappingTables!$C$32)),1,VLOOKUP(CONCATENATE($D959,$G959),CSRFinput!$B:$E,4,0))),0,IF(AND(VLOOKUP(CONCATENATE($D959,$G959),CSRFinput!$B:$E,4,0)=0,OR(H959=MappingTables!$C$31,H959=MappingTables!$C$32)),1,VLOOKUP(CONCATENATE($D959,$G959),CSRFinput!$B:$E,4,0)))</f>
        <v>0.054776304963434752</v>
      </c>
      <c r="S959" s="73">
        <f>IF(B959="",0,P959*R959)</f>
        <v>85.046679413589584</v>
      </c>
      <c r="T959" s="85">
        <f>IF(B959="",0,IF(OR(H959=MappingTables!$C$34,H959=MappingTables!$C$35),S959,0))</f>
        <v>0</v>
      </c>
    </row>
    <row r="960" spans="2:20" s="0" customFormat="0" ht="15">
      <c r="B960" s="69" t="s">
        <v>4550</v>
      </c>
      <c r="C960" s="70" t="s">
        <v>4551</v>
      </c>
      <c r="D960" s="70" t="s">
        <v>1</v>
      </c>
      <c r="E960" s="70" t="s">
        <v>1</v>
      </c>
      <c r="F960" s="70"/>
      <c r="G960" s="70" t="s">
        <v>61</v>
      </c>
      <c r="H960" s="70" t="s">
        <v>178</v>
      </c>
      <c r="I960" s="70" t="s">
        <v>204</v>
      </c>
      <c r="J960" s="71">
        <f>IF(OR(I960=0,I960=""),"unrated",VLOOKUP(I960,MappingTables!$B$19:$C$31,2,FALSE))</f>
        <v>6</v>
      </c>
      <c r="K960" s="72">
        <v>66.588360321851792</v>
      </c>
      <c r="L960" s="70">
        <v>0.068493380444491296</v>
      </c>
      <c r="M960" s="71">
        <f>IF(L960&lt;1,1,L960)</f>
        <v>1</v>
      </c>
      <c r="N960" s="70" t="s">
        <v>3288</v>
      </c>
      <c r="O960" s="71">
        <f>IF(OR(I960=$A$1,I960=0),"",IF(N960=MappingTables!$C$14,VLOOKUP(J960,ModelParameters!$M$8:$N$15,2,FALSE),IF(N960=MappingTables!$C$16,VLOOKUP(J960,ModelParameters!$P$8:$Q$15,2,FALSE),0)))</f>
        <v>1</v>
      </c>
      <c r="P960" s="73">
        <f>IF(OR(I960=0,I960=$A$1),0,MIN(O960*M960,1)*K960)</f>
        <v>66.588360321851792</v>
      </c>
      <c r="Q960" s="73">
        <f>IF(B960="",0,IF(OR(H960=MappingTables!$C$34,H960=MappingTables!$C$35),P960,0))</f>
        <v>0</v>
      </c>
      <c r="R960" s="73">
        <f>IF(ISNA(IF(AND(VLOOKUP(CONCATENATE($D960,$G960),CSRFinput!$B:$E,4,0)=0,OR(H960=MappingTables!$C$31,H960=MappingTables!$C$32)),1,VLOOKUP(CONCATENATE($D960,$G960),CSRFinput!$B:$E,4,0))),0,IF(AND(VLOOKUP(CONCATENATE($D960,$G960),CSRFinput!$B:$E,4,0)=0,OR(H960=MappingTables!$C$31,H960=MappingTables!$C$32)),1,VLOOKUP(CONCATENATE($D960,$G960),CSRFinput!$B:$E,4,0)))</f>
        <v>0.054776304963434752</v>
      </c>
      <c r="S960" s="73">
        <f>IF(B960="",0,P960*R960)</f>
        <v>3.647464332004832</v>
      </c>
      <c r="T960" s="85">
        <f>IF(B960="",0,IF(OR(H960=MappingTables!$C$34,H960=MappingTables!$C$35),S960,0))</f>
        <v>0</v>
      </c>
    </row>
    <row r="961" spans="2:20" s="0" customFormat="0" ht="15">
      <c r="B961" s="69" t="s">
        <v>4596</v>
      </c>
      <c r="C961" s="70" t="s">
        <v>4597</v>
      </c>
      <c r="D961" s="70" t="s">
        <v>1</v>
      </c>
      <c r="E961" s="70" t="s">
        <v>1</v>
      </c>
      <c r="F961" s="70"/>
      <c r="G961" s="70" t="s">
        <v>61</v>
      </c>
      <c r="H961" s="70" t="s">
        <v>178</v>
      </c>
      <c r="I961" s="70" t="s">
        <v>198</v>
      </c>
      <c r="J961" s="71" t="str">
        <f>IF(OR(I961=0,I961=""),"unrated",VLOOKUP(I961,MappingTables!$B$19:$C$31,2,FALSE))</f>
        <v>unrated</v>
      </c>
      <c r="K961" s="72">
        <v>66.395299852048536</v>
      </c>
      <c r="L961" s="70">
        <v>0.068491771184456848</v>
      </c>
      <c r="M961" s="71">
        <f>IF(L961&lt;1,1,L961)</f>
        <v>1</v>
      </c>
      <c r="N961" s="70" t="s">
        <v>3288</v>
      </c>
      <c r="O961" s="71">
        <f>IF(OR(I961=$A$1,I961=0),"",IF(N961=MappingTables!$C$14,VLOOKUP(J961,ModelParameters!$M$8:$N$15,2,FALSE),IF(N961=MappingTables!$C$16,VLOOKUP(J961,ModelParameters!$P$8:$Q$15,2,FALSE),0)))</f>
        <v>1</v>
      </c>
      <c r="P961" s="73">
        <f>IF(OR(I961=0,I961=$A$1),0,MIN(O961*M961,1)*K961)</f>
        <v>66.395299852048536</v>
      </c>
      <c r="Q961" s="73">
        <f>IF(B961="",0,IF(OR(H961=MappingTables!$C$34,H961=MappingTables!$C$35),P961,0))</f>
        <v>0</v>
      </c>
      <c r="R961" s="73">
        <f>IF(ISNA(IF(AND(VLOOKUP(CONCATENATE($D961,$G961),CSRFinput!$B:$E,4,0)=0,OR(H961=MappingTables!$C$31,H961=MappingTables!$C$32)),1,VLOOKUP(CONCATENATE($D961,$G961),CSRFinput!$B:$E,4,0))),0,IF(AND(VLOOKUP(CONCATENATE($D961,$G961),CSRFinput!$B:$E,4,0)=0,OR(H961=MappingTables!$C$31,H961=MappingTables!$C$32)),1,VLOOKUP(CONCATENATE($D961,$G961),CSRFinput!$B:$E,4,0)))</f>
        <v>0.054776304963434752</v>
      </c>
      <c r="S961" s="73">
        <f>IF(B961="",0,P961*R961)</f>
        <v>3.6368891928345056</v>
      </c>
      <c r="T961" s="85">
        <f>IF(B961="",0,IF(OR(H961=MappingTables!$C$34,H961=MappingTables!$C$35),S961,0))</f>
        <v>0</v>
      </c>
    </row>
    <row r="962" spans="2:20" s="0" customFormat="0" ht="15">
      <c r="B962" s="69">
        <v>22554265</v>
      </c>
      <c r="C962" s="70" t="s">
        <v>3396</v>
      </c>
      <c r="D962" s="70" t="s">
        <v>1</v>
      </c>
      <c r="E962" s="70" t="s">
        <v>1</v>
      </c>
      <c r="F962" s="70"/>
      <c r="G962" s="70" t="s">
        <v>61</v>
      </c>
      <c r="H962" s="70" t="s">
        <v>178</v>
      </c>
      <c r="I962" s="70" t="s">
        <v>198</v>
      </c>
      <c r="J962" s="71" t="str">
        <f>IF(OR(I962=0,I962=""),"unrated",VLOOKUP(I962,MappingTables!$B$19:$C$31,2,FALSE))</f>
        <v>unrated</v>
      </c>
      <c r="K962" s="72">
        <v>3.9295466618914624</v>
      </c>
      <c r="L962" s="70">
        <v>0.058606114603150016</v>
      </c>
      <c r="M962" s="71">
        <f>IF(L962&lt;1,1,L962)</f>
        <v>1</v>
      </c>
      <c r="N962" s="70" t="s">
        <v>3288</v>
      </c>
      <c r="O962" s="71">
        <f>IF(OR(I962=$A$1,I962=0),"",IF(N962=MappingTables!$C$14,VLOOKUP(J962,ModelParameters!$M$8:$N$15,2,FALSE),IF(N962=MappingTables!$C$16,VLOOKUP(J962,ModelParameters!$P$8:$Q$15,2,FALSE),0)))</f>
        <v>1</v>
      </c>
      <c r="P962" s="73">
        <f>IF(OR(I962=0,I962=$A$1),0,MIN(O962*M962,1)*K962)</f>
        <v>3.9295466618914624</v>
      </c>
      <c r="Q962" s="73">
        <f>IF(B962="",0,IF(OR(H962=MappingTables!$C$34,H962=MappingTables!$C$35),P962,0))</f>
        <v>0</v>
      </c>
      <c r="R962" s="73">
        <f>IF(ISNA(IF(AND(VLOOKUP(CONCATENATE($D962,$G962),CSRFinput!$B:$E,4,0)=0,OR(H962=MappingTables!$C$31,H962=MappingTables!$C$32)),1,VLOOKUP(CONCATENATE($D962,$G962),CSRFinput!$B:$E,4,0))),0,IF(AND(VLOOKUP(CONCATENATE($D962,$G962),CSRFinput!$B:$E,4,0)=0,OR(H962=MappingTables!$C$31,H962=MappingTables!$C$32)),1,VLOOKUP(CONCATENATE($D962,$G962),CSRFinput!$B:$E,4,0)))</f>
        <v>0.054776304963434752</v>
      </c>
      <c r="S962" s="73">
        <f>IF(B962="",0,P962*R962)</f>
        <v>0.2152460463198138</v>
      </c>
      <c r="T962" s="85">
        <f>IF(B962="",0,IF(OR(H962=MappingTables!$C$34,H962=MappingTables!$C$35),S962,0))</f>
        <v>0</v>
      </c>
    </row>
    <row r="963" spans="2:20" s="0" customFormat="0" ht="15">
      <c r="B963" s="69" t="s">
        <v>3551</v>
      </c>
      <c r="C963" s="70" t="s">
        <v>3552</v>
      </c>
      <c r="D963" s="70" t="s">
        <v>1</v>
      </c>
      <c r="E963" s="70" t="s">
        <v>1</v>
      </c>
      <c r="F963" s="70"/>
      <c r="G963" s="70" t="s">
        <v>61</v>
      </c>
      <c r="H963" s="70" t="s">
        <v>178</v>
      </c>
      <c r="I963" s="70" t="s">
        <v>3298</v>
      </c>
      <c r="J963" s="71">
        <f>IF(OR(I963=0,I963=""),"unrated",VLOOKUP(I963,MappingTables!$B$19:$C$31,2,FALSE))</f>
        <v>6</v>
      </c>
      <c r="K963" s="72">
        <v>68.031213990867624</v>
      </c>
      <c r="L963" s="70">
        <v>-0.26847512303940956</v>
      </c>
      <c r="M963" s="71">
        <f>IF(L963&lt;1,1,L963)</f>
        <v>1</v>
      </c>
      <c r="N963" s="70" t="s">
        <v>3288</v>
      </c>
      <c r="O963" s="71">
        <f>IF(OR(I963=$A$1,I963=0),"",IF(N963=MappingTables!$C$14,VLOOKUP(J963,ModelParameters!$M$8:$N$15,2,FALSE),IF(N963=MappingTables!$C$16,VLOOKUP(J963,ModelParameters!$P$8:$Q$15,2,FALSE),0)))</f>
        <v>1</v>
      </c>
      <c r="P963" s="73">
        <f>IF(OR(I963=0,I963=$A$1),0,MIN(O963*M963,1)*K963)</f>
        <v>68.031213990867624</v>
      </c>
      <c r="Q963" s="73">
        <f>IF(B963="",0,IF(OR(H963=MappingTables!$C$34,H963=MappingTables!$C$35),P963,0))</f>
        <v>0</v>
      </c>
      <c r="R963" s="73">
        <f>IF(ISNA(IF(AND(VLOOKUP(CONCATENATE($D963,$G963),CSRFinput!$B:$E,4,0)=0,OR(H963=MappingTables!$C$31,H963=MappingTables!$C$32)),1,VLOOKUP(CONCATENATE($D963,$G963),CSRFinput!$B:$E,4,0))),0,IF(AND(VLOOKUP(CONCATENATE($D963,$G963),CSRFinput!$B:$E,4,0)=0,OR(H963=MappingTables!$C$31,H963=MappingTables!$C$32)),1,VLOOKUP(CONCATENATE($D963,$G963),CSRFinput!$B:$E,4,0)))</f>
        <v>0.054776304963434752</v>
      </c>
      <c r="S963" s="73">
        <f>IF(B963="",0,P963*R963)</f>
        <v>3.7264985245964544</v>
      </c>
      <c r="T963" s="85">
        <f>IF(B963="",0,IF(OR(H963=MappingTables!$C$34,H963=MappingTables!$C$35),S963,0))</f>
        <v>0</v>
      </c>
    </row>
    <row r="964" spans="2:20" s="0" customFormat="0" ht="15">
      <c r="B964" s="69" t="s">
        <v>4598</v>
      </c>
      <c r="C964" s="70" t="s">
        <v>4599</v>
      </c>
      <c r="D964" s="70" t="s">
        <v>1</v>
      </c>
      <c r="E964" s="70" t="s">
        <v>1</v>
      </c>
      <c r="F964" s="70"/>
      <c r="G964" s="70" t="s">
        <v>61</v>
      </c>
      <c r="H964" s="70" t="s">
        <v>178</v>
      </c>
      <c r="I964" s="70" t="s">
        <v>3298</v>
      </c>
      <c r="J964" s="71">
        <f>IF(OR(I964=0,I964=""),"unrated",VLOOKUP(I964,MappingTables!$B$19:$C$31,2,FALSE))</f>
        <v>6</v>
      </c>
      <c r="K964" s="72">
        <v>150.61653357175098</v>
      </c>
      <c r="L964" s="70">
        <v>0.068489126049226952</v>
      </c>
      <c r="M964" s="71">
        <f>IF(L964&lt;1,1,L964)</f>
        <v>1</v>
      </c>
      <c r="N964" s="70" t="s">
        <v>3288</v>
      </c>
      <c r="O964" s="71">
        <f>IF(OR(I964=$A$1,I964=0),"",IF(N964=MappingTables!$C$14,VLOOKUP(J964,ModelParameters!$M$8:$N$15,2,FALSE),IF(N964=MappingTables!$C$16,VLOOKUP(J964,ModelParameters!$P$8:$Q$15,2,FALSE),0)))</f>
        <v>1</v>
      </c>
      <c r="P964" s="73">
        <f>IF(OR(I964=0,I964=$A$1),0,MIN(O964*M964,1)*K964)</f>
        <v>150.61653357175098</v>
      </c>
      <c r="Q964" s="73">
        <f>IF(B964="",0,IF(OR(H964=MappingTables!$C$34,H964=MappingTables!$C$35),P964,0))</f>
        <v>0</v>
      </c>
      <c r="R964" s="73">
        <f>IF(ISNA(IF(AND(VLOOKUP(CONCATENATE($D964,$G964),CSRFinput!$B:$E,4,0)=0,OR(H964=MappingTables!$C$31,H964=MappingTables!$C$32)),1,VLOOKUP(CONCATENATE($D964,$G964),CSRFinput!$B:$E,4,0))),0,IF(AND(VLOOKUP(CONCATENATE($D964,$G964),CSRFinput!$B:$E,4,0)=0,OR(H964=MappingTables!$C$31,H964=MappingTables!$C$32)),1,VLOOKUP(CONCATENATE($D964,$G964),CSRFinput!$B:$E,4,0)))</f>
        <v>0.054776304963434752</v>
      </c>
      <c r="S964" s="73">
        <f>IF(B964="",0,P964*R964)</f>
        <v>8.2502171754616416</v>
      </c>
      <c r="T964" s="85">
        <f>IF(B964="",0,IF(OR(H964=MappingTables!$C$34,H964=MappingTables!$C$35),S964,0))</f>
        <v>0</v>
      </c>
    </row>
    <row r="965" spans="2:20" s="0" customFormat="0" ht="15">
      <c r="B965" s="69">
        <v>6599957</v>
      </c>
      <c r="C965" s="70" t="s">
        <v>4600</v>
      </c>
      <c r="D965" s="70" t="s">
        <v>1</v>
      </c>
      <c r="E965" s="70" t="s">
        <v>1</v>
      </c>
      <c r="F965" s="70"/>
      <c r="G965" s="70" t="s">
        <v>61</v>
      </c>
      <c r="H965" s="70" t="s">
        <v>178</v>
      </c>
      <c r="I965" s="70" t="s">
        <v>204</v>
      </c>
      <c r="J965" s="71">
        <f>IF(OR(I965=0,I965=""),"unrated",VLOOKUP(I965,MappingTables!$B$19:$C$31,2,FALSE))</f>
        <v>6</v>
      </c>
      <c r="K965" s="72">
        <v>125.72979042573118</v>
      </c>
      <c r="L965" s="70">
        <v>0.06848976091879812</v>
      </c>
      <c r="M965" s="71">
        <f>IF(L965&lt;1,1,L965)</f>
        <v>1</v>
      </c>
      <c r="N965" s="70" t="s">
        <v>3288</v>
      </c>
      <c r="O965" s="71">
        <f>IF(OR(I965=$A$1,I965=0),"",IF(N965=MappingTables!$C$14,VLOOKUP(J965,ModelParameters!$M$8:$N$15,2,FALSE),IF(N965=MappingTables!$C$16,VLOOKUP(J965,ModelParameters!$P$8:$Q$15,2,FALSE),0)))</f>
        <v>1</v>
      </c>
      <c r="P965" s="73">
        <f>IF(OR(I965=0,I965=$A$1),0,MIN(O965*M965,1)*K965)</f>
        <v>125.72979042573118</v>
      </c>
      <c r="Q965" s="73">
        <f>IF(B965="",0,IF(OR(H965=MappingTables!$C$34,H965=MappingTables!$C$35),P965,0))</f>
        <v>0</v>
      </c>
      <c r="R965" s="73">
        <f>IF(ISNA(IF(AND(VLOOKUP(CONCATENATE($D965,$G965),CSRFinput!$B:$E,4,0)=0,OR(H965=MappingTables!$C$31,H965=MappingTables!$C$32)),1,VLOOKUP(CONCATENATE($D965,$G965),CSRFinput!$B:$E,4,0))),0,IF(AND(VLOOKUP(CONCATENATE($D965,$G965),CSRFinput!$B:$E,4,0)=0,OR(H965=MappingTables!$C$31,H965=MappingTables!$C$32)),1,VLOOKUP(CONCATENATE($D965,$G965),CSRFinput!$B:$E,4,0)))</f>
        <v>0.054776304963434752</v>
      </c>
      <c r="S965" s="73">
        <f>IF(B965="",0,P965*R965)</f>
        <v>6.8870133433485904</v>
      </c>
      <c r="T965" s="85">
        <f>IF(B965="",0,IF(OR(H965=MappingTables!$C$34,H965=MappingTables!$C$35),S965,0))</f>
        <v>0</v>
      </c>
    </row>
    <row r="966" spans="2:20" s="0" customFormat="0" ht="15">
      <c r="B966" s="69" t="s">
        <v>3547</v>
      </c>
      <c r="C966" s="70" t="s">
        <v>3548</v>
      </c>
      <c r="D966" s="70" t="s">
        <v>1</v>
      </c>
      <c r="E966" s="70" t="s">
        <v>1</v>
      </c>
      <c r="F966" s="70"/>
      <c r="G966" s="70" t="s">
        <v>61</v>
      </c>
      <c r="H966" s="70" t="s">
        <v>178</v>
      </c>
      <c r="I966" s="70" t="s">
        <v>204</v>
      </c>
      <c r="J966" s="71">
        <f>IF(OR(I966=0,I966=""),"unrated",VLOOKUP(I966,MappingTables!$B$19:$C$31,2,FALSE))</f>
        <v>6</v>
      </c>
      <c r="K966" s="72">
        <v>409.81335439582992</v>
      </c>
      <c r="L966" s="70">
        <v>0.068491031013976344</v>
      </c>
      <c r="M966" s="71">
        <f>IF(L966&lt;1,1,L966)</f>
        <v>1</v>
      </c>
      <c r="N966" s="70" t="s">
        <v>3288</v>
      </c>
      <c r="O966" s="71">
        <f>IF(OR(I966=$A$1,I966=0),"",IF(N966=MappingTables!$C$14,VLOOKUP(J966,ModelParameters!$M$8:$N$15,2,FALSE),IF(N966=MappingTables!$C$16,VLOOKUP(J966,ModelParameters!$P$8:$Q$15,2,FALSE),0)))</f>
        <v>1</v>
      </c>
      <c r="P966" s="73">
        <f>IF(OR(I966=0,I966=$A$1),0,MIN(O966*M966,1)*K966)</f>
        <v>409.81335439582992</v>
      </c>
      <c r="Q966" s="73">
        <f>IF(B966="",0,IF(OR(H966=MappingTables!$C$34,H966=MappingTables!$C$35),P966,0))</f>
        <v>0</v>
      </c>
      <c r="R966" s="73">
        <f>IF(ISNA(IF(AND(VLOOKUP(CONCATENATE($D966,$G966),CSRFinput!$B:$E,4,0)=0,OR(H966=MappingTables!$C$31,H966=MappingTables!$C$32)),1,VLOOKUP(CONCATENATE($D966,$G966),CSRFinput!$B:$E,4,0))),0,IF(AND(VLOOKUP(CONCATENATE($D966,$G966),CSRFinput!$B:$E,4,0)=0,OR(H966=MappingTables!$C$31,H966=MappingTables!$C$32)),1,VLOOKUP(CONCATENATE($D966,$G966),CSRFinput!$B:$E,4,0)))</f>
        <v>0.054776304963434752</v>
      </c>
      <c r="S966" s="73">
        <f>IF(B966="",0,P966*R966)</f>
        <v>22.448061278474148</v>
      </c>
      <c r="T966" s="85">
        <f>IF(B966="",0,IF(OR(H966=MappingTables!$C$34,H966=MappingTables!$C$35),S966,0))</f>
        <v>0</v>
      </c>
    </row>
    <row r="967" spans="2:20" s="0" customFormat="0" ht="15">
      <c r="B967" s="69" t="s">
        <v>3409</v>
      </c>
      <c r="C967" s="70" t="s">
        <v>3410</v>
      </c>
      <c r="D967" s="70" t="s">
        <v>1</v>
      </c>
      <c r="E967" s="70" t="s">
        <v>1</v>
      </c>
      <c r="F967" s="70"/>
      <c r="G967" s="70" t="s">
        <v>61</v>
      </c>
      <c r="H967" s="70" t="s">
        <v>178</v>
      </c>
      <c r="I967" s="70" t="s">
        <v>204</v>
      </c>
      <c r="J967" s="71">
        <f>IF(OR(I967=0,I967=""),"unrated",VLOOKUP(I967,MappingTables!$B$19:$C$31,2,FALSE))</f>
        <v>6</v>
      </c>
      <c r="K967" s="72">
        <v>314.80329823761172</v>
      </c>
      <c r="L967" s="70">
        <v>0.068493563830571136</v>
      </c>
      <c r="M967" s="71">
        <f>IF(L967&lt;1,1,L967)</f>
        <v>1</v>
      </c>
      <c r="N967" s="70" t="s">
        <v>3288</v>
      </c>
      <c r="O967" s="71">
        <f>IF(OR(I967=$A$1,I967=0),"",IF(N967=MappingTables!$C$14,VLOOKUP(J967,ModelParameters!$M$8:$N$15,2,FALSE),IF(N967=MappingTables!$C$16,VLOOKUP(J967,ModelParameters!$P$8:$Q$15,2,FALSE),0)))</f>
        <v>1</v>
      </c>
      <c r="P967" s="73">
        <f>IF(OR(I967=0,I967=$A$1),0,MIN(O967*M967,1)*K967)</f>
        <v>314.80329823761172</v>
      </c>
      <c r="Q967" s="73">
        <f>IF(B967="",0,IF(OR(H967=MappingTables!$C$34,H967=MappingTables!$C$35),P967,0))</f>
        <v>0</v>
      </c>
      <c r="R967" s="73">
        <f>IF(ISNA(IF(AND(VLOOKUP(CONCATENATE($D967,$G967),CSRFinput!$B:$E,4,0)=0,OR(H967=MappingTables!$C$31,H967=MappingTables!$C$32)),1,VLOOKUP(CONCATENATE($D967,$G967),CSRFinput!$B:$E,4,0))),0,IF(AND(VLOOKUP(CONCATENATE($D967,$G967),CSRFinput!$B:$E,4,0)=0,OR(H967=MappingTables!$C$31,H967=MappingTables!$C$32)),1,VLOOKUP(CONCATENATE($D967,$G967),CSRFinput!$B:$E,4,0)))</f>
        <v>0.054776304963434752</v>
      </c>
      <c r="S967" s="73">
        <f>IF(B967="",0,P967*R967)</f>
        <v>17.24376146775852</v>
      </c>
      <c r="T967" s="85">
        <f>IF(B967="",0,IF(OR(H967=MappingTables!$C$34,H967=MappingTables!$C$35),S967,0))</f>
        <v>0</v>
      </c>
    </row>
    <row r="968" spans="2:20" s="0" customFormat="0" ht="15">
      <c r="B968" s="69" t="s">
        <v>4338</v>
      </c>
      <c r="C968" s="70" t="s">
        <v>4339</v>
      </c>
      <c r="D968" s="70" t="s">
        <v>1</v>
      </c>
      <c r="E968" s="70" t="s">
        <v>1</v>
      </c>
      <c r="F968" s="70"/>
      <c r="G968" s="70" t="s">
        <v>61</v>
      </c>
      <c r="H968" s="70" t="s">
        <v>178</v>
      </c>
      <c r="I968" s="70" t="s">
        <v>198</v>
      </c>
      <c r="J968" s="71" t="str">
        <f>IF(OR(I968=0,I968=""),"unrated",VLOOKUP(I968,MappingTables!$B$19:$C$31,2,FALSE))</f>
        <v>unrated</v>
      </c>
      <c r="K968" s="72">
        <v>104.66432215110792</v>
      </c>
      <c r="L968" s="70">
        <v>0.040496676790321144</v>
      </c>
      <c r="M968" s="71">
        <f>IF(L968&lt;1,1,L968)</f>
        <v>1</v>
      </c>
      <c r="N968" s="70" t="s">
        <v>3288</v>
      </c>
      <c r="O968" s="71">
        <f>IF(OR(I968=$A$1,I968=0),"",IF(N968=MappingTables!$C$14,VLOOKUP(J968,ModelParameters!$M$8:$N$15,2,FALSE),IF(N968=MappingTables!$C$16,VLOOKUP(J968,ModelParameters!$P$8:$Q$15,2,FALSE),0)))</f>
        <v>1</v>
      </c>
      <c r="P968" s="73">
        <f>IF(OR(I968=0,I968=$A$1),0,MIN(O968*M968,1)*K968)</f>
        <v>104.66432215110792</v>
      </c>
      <c r="Q968" s="73">
        <f>IF(B968="",0,IF(OR(H968=MappingTables!$C$34,H968=MappingTables!$C$35),P968,0))</f>
        <v>0</v>
      </c>
      <c r="R968" s="73">
        <f>IF(ISNA(IF(AND(VLOOKUP(CONCATENATE($D968,$G968),CSRFinput!$B:$E,4,0)=0,OR(H968=MappingTables!$C$31,H968=MappingTables!$C$32)),1,VLOOKUP(CONCATENATE($D968,$G968),CSRFinput!$B:$E,4,0))),0,IF(AND(VLOOKUP(CONCATENATE($D968,$G968),CSRFinput!$B:$E,4,0)=0,OR(H968=MappingTables!$C$31,H968=MappingTables!$C$32)),1,VLOOKUP(CONCATENATE($D968,$G968),CSRFinput!$B:$E,4,0)))</f>
        <v>0.054776304963434752</v>
      </c>
      <c r="S968" s="73">
        <f>IF(B968="",0,P968*R968)</f>
        <v>5.7331248289402664</v>
      </c>
      <c r="T968" s="85">
        <f>IF(B968="",0,IF(OR(H968=MappingTables!$C$34,H968=MappingTables!$C$35),S968,0))</f>
        <v>0</v>
      </c>
    </row>
    <row r="969" spans="2:20" s="0" customFormat="0" ht="15">
      <c r="B969" s="69" t="s">
        <v>4601</v>
      </c>
      <c r="C969" s="70" t="s">
        <v>4602</v>
      </c>
      <c r="D969" s="70" t="s">
        <v>1</v>
      </c>
      <c r="E969" s="70" t="s">
        <v>1</v>
      </c>
      <c r="F969" s="70"/>
      <c r="G969" s="70" t="s">
        <v>61</v>
      </c>
      <c r="H969" s="70" t="s">
        <v>178</v>
      </c>
      <c r="I969" s="70" t="s">
        <v>204</v>
      </c>
      <c r="J969" s="71">
        <f>IF(OR(I969=0,I969=""),"unrated",VLOOKUP(I969,MappingTables!$B$19:$C$31,2,FALSE))</f>
        <v>6</v>
      </c>
      <c r="K969" s="72">
        <v>92.192502520445328</v>
      </c>
      <c r="L969" s="70">
        <v>0.04531771151895104</v>
      </c>
      <c r="M969" s="71">
        <f>IF(L969&lt;1,1,L969)</f>
        <v>1</v>
      </c>
      <c r="N969" s="70" t="s">
        <v>3288</v>
      </c>
      <c r="O969" s="71">
        <f>IF(OR(I969=$A$1,I969=0),"",IF(N969=MappingTables!$C$14,VLOOKUP(J969,ModelParameters!$M$8:$N$15,2,FALSE),IF(N969=MappingTables!$C$16,VLOOKUP(J969,ModelParameters!$P$8:$Q$15,2,FALSE),0)))</f>
        <v>1</v>
      </c>
      <c r="P969" s="73">
        <f>IF(OR(I969=0,I969=$A$1),0,MIN(O969*M969,1)*K969)</f>
        <v>92.192502520445328</v>
      </c>
      <c r="Q969" s="73">
        <f>IF(B969="",0,IF(OR(H969=MappingTables!$C$34,H969=MappingTables!$C$35),P969,0))</f>
        <v>0</v>
      </c>
      <c r="R969" s="73">
        <f>IF(ISNA(IF(AND(VLOOKUP(CONCATENATE($D969,$G969),CSRFinput!$B:$E,4,0)=0,OR(H969=MappingTables!$C$31,H969=MappingTables!$C$32)),1,VLOOKUP(CONCATENATE($D969,$G969),CSRFinput!$B:$E,4,0))),0,IF(AND(VLOOKUP(CONCATENATE($D969,$G969),CSRFinput!$B:$E,4,0)=0,OR(H969=MappingTables!$C$31,H969=MappingTables!$C$32)),1,VLOOKUP(CONCATENATE($D969,$G969),CSRFinput!$B:$E,4,0)))</f>
        <v>0.054776304963434752</v>
      </c>
      <c r="S969" s="73">
        <f>IF(B969="",0,P969*R969)</f>
        <v>5.0499646334021408</v>
      </c>
      <c r="T969" s="85">
        <f>IF(B969="",0,IF(OR(H969=MappingTables!$C$34,H969=MappingTables!$C$35),S969,0))</f>
        <v>0</v>
      </c>
    </row>
    <row r="970" spans="2:20" s="0" customFormat="0" ht="15">
      <c r="B970" s="69">
        <v>18746166</v>
      </c>
      <c r="C970" s="70" t="s">
        <v>4603</v>
      </c>
      <c r="D970" s="70" t="s">
        <v>1</v>
      </c>
      <c r="E970" s="70" t="s">
        <v>1</v>
      </c>
      <c r="F970" s="70"/>
      <c r="G970" s="70" t="s">
        <v>61</v>
      </c>
      <c r="H970" s="70" t="s">
        <v>178</v>
      </c>
      <c r="I970" s="70" t="s">
        <v>216</v>
      </c>
      <c r="J970" s="71">
        <f>IF(OR(I970=0,I970=""),"unrated",VLOOKUP(I970,MappingTables!$B$19:$C$31,2,FALSE))</f>
        <v>0</v>
      </c>
      <c r="K970" s="72">
        <v>2116.1673748166604</v>
      </c>
      <c r="L970" s="70">
        <v>0.051791607957137976</v>
      </c>
      <c r="M970" s="71">
        <f>IF(L970&lt;1,1,L970)</f>
        <v>1</v>
      </c>
      <c r="N970" s="70" t="s">
        <v>3288</v>
      </c>
      <c r="O970" s="71">
        <f>IF(OR(I970=$A$1,I970=0),"",IF(N970=MappingTables!$C$14,VLOOKUP(J970,ModelParameters!$M$8:$N$15,2,FALSE),IF(N970=MappingTables!$C$16,VLOOKUP(J970,ModelParameters!$P$8:$Q$15,2,FALSE),0)))</f>
        <v>0.125</v>
      </c>
      <c r="P970" s="73">
        <f>IF(OR(I970=0,I970=$A$1),0,MIN(O970*M970,1)*K970)</f>
        <v>264.52092185208256</v>
      </c>
      <c r="Q970" s="73">
        <f>IF(B970="",0,IF(OR(H970=MappingTables!$C$34,H970=MappingTables!$C$35),P970,0))</f>
        <v>0</v>
      </c>
      <c r="R970" s="73">
        <f>IF(ISNA(IF(AND(VLOOKUP(CONCATENATE($D970,$G970),CSRFinput!$B:$E,4,0)=0,OR(H970=MappingTables!$C$31,H970=MappingTables!$C$32)),1,VLOOKUP(CONCATENATE($D970,$G970),CSRFinput!$B:$E,4,0))),0,IF(AND(VLOOKUP(CONCATENATE($D970,$G970),CSRFinput!$B:$E,4,0)=0,OR(H970=MappingTables!$C$31,H970=MappingTables!$C$32)),1,VLOOKUP(CONCATENATE($D970,$G970),CSRFinput!$B:$E,4,0)))</f>
        <v>0.054776304963434752</v>
      </c>
      <c r="S970" s="73">
        <f>IF(B970="",0,P970*R970)</f>
        <v>14.489478684578566</v>
      </c>
      <c r="T970" s="85">
        <f>IF(B970="",0,IF(OR(H970=MappingTables!$C$34,H970=MappingTables!$C$35),S970,0))</f>
        <v>0</v>
      </c>
    </row>
    <row r="971" spans="2:20" s="0" customFormat="0" ht="15">
      <c r="B971" s="69" t="s">
        <v>4604</v>
      </c>
      <c r="C971" s="70" t="s">
        <v>4605</v>
      </c>
      <c r="D971" s="70" t="s">
        <v>1</v>
      </c>
      <c r="E971" s="70" t="s">
        <v>1</v>
      </c>
      <c r="F971" s="70"/>
      <c r="G971" s="70" t="s">
        <v>61</v>
      </c>
      <c r="H971" s="70" t="s">
        <v>178</v>
      </c>
      <c r="I971" s="70" t="s">
        <v>198</v>
      </c>
      <c r="J971" s="71" t="str">
        <f>IF(OR(I971=0,I971=""),"unrated",VLOOKUP(I971,MappingTables!$B$19:$C$31,2,FALSE))</f>
        <v>unrated</v>
      </c>
      <c r="K971" s="72">
        <v>60.592237802388136</v>
      </c>
      <c r="L971" s="70">
        <v>1.2373050451043992</v>
      </c>
      <c r="M971" s="71">
        <f>IF(L971&lt;1,1,L971)</f>
        <v>1.2373050451043992</v>
      </c>
      <c r="N971" s="70" t="s">
        <v>3288</v>
      </c>
      <c r="O971" s="71">
        <f>IF(OR(I971=$A$1,I971=0),"",IF(N971=MappingTables!$C$14,VLOOKUP(J971,ModelParameters!$M$8:$N$15,2,FALSE),IF(N971=MappingTables!$C$16,VLOOKUP(J971,ModelParameters!$P$8:$Q$15,2,FALSE),0)))</f>
        <v>1</v>
      </c>
      <c r="P971" s="73">
        <f>IF(OR(I971=0,I971=$A$1),0,MIN(O971*M971,1)*K971)</f>
        <v>60.592237802388136</v>
      </c>
      <c r="Q971" s="73">
        <f>IF(B971="",0,IF(OR(H971=MappingTables!$C$34,H971=MappingTables!$C$35),P971,0))</f>
        <v>0</v>
      </c>
      <c r="R971" s="73">
        <f>IF(ISNA(IF(AND(VLOOKUP(CONCATENATE($D971,$G971),CSRFinput!$B:$E,4,0)=0,OR(H971=MappingTables!$C$31,H971=MappingTables!$C$32)),1,VLOOKUP(CONCATENATE($D971,$G971),CSRFinput!$B:$E,4,0))),0,IF(AND(VLOOKUP(CONCATENATE($D971,$G971),CSRFinput!$B:$E,4,0)=0,OR(H971=MappingTables!$C$31,H971=MappingTables!$C$32)),1,VLOOKUP(CONCATENATE($D971,$G971),CSRFinput!$B:$E,4,0)))</f>
        <v>0.054776304963434752</v>
      </c>
      <c r="S971" s="73">
        <f>IF(B971="",0,P971*R971)</f>
        <v>3.3190188962805724</v>
      </c>
      <c r="T971" s="85">
        <f>IF(B971="",0,IF(OR(H971=MappingTables!$C$34,H971=MappingTables!$C$35),S971,0))</f>
        <v>0</v>
      </c>
    </row>
    <row r="972" spans="2:20" s="0" customFormat="0" ht="15">
      <c r="B972" s="69" t="s">
        <v>4606</v>
      </c>
      <c r="C972" s="70" t="s">
        <v>4607</v>
      </c>
      <c r="D972" s="70" t="s">
        <v>1</v>
      </c>
      <c r="E972" s="70" t="s">
        <v>1</v>
      </c>
      <c r="F972" s="70"/>
      <c r="G972" s="70" t="s">
        <v>61</v>
      </c>
      <c r="H972" s="70" t="s">
        <v>178</v>
      </c>
      <c r="I972" s="70" t="s">
        <v>204</v>
      </c>
      <c r="J972" s="71">
        <f>IF(OR(I972=0,I972=""),"unrated",VLOOKUP(I972,MappingTables!$B$19:$C$31,2,FALSE))</f>
        <v>6</v>
      </c>
      <c r="K972" s="72">
        <v>245.410846460717</v>
      </c>
      <c r="L972" s="70">
        <v>-0.037271984753606176</v>
      </c>
      <c r="M972" s="71">
        <f>IF(L972&lt;1,1,L972)</f>
        <v>1</v>
      </c>
      <c r="N972" s="70" t="s">
        <v>3288</v>
      </c>
      <c r="O972" s="71">
        <f>IF(OR(I972=$A$1,I972=0),"",IF(N972=MappingTables!$C$14,VLOOKUP(J972,ModelParameters!$M$8:$N$15,2,FALSE),IF(N972=MappingTables!$C$16,VLOOKUP(J972,ModelParameters!$P$8:$Q$15,2,FALSE),0)))</f>
        <v>1</v>
      </c>
      <c r="P972" s="73">
        <f>IF(OR(I972=0,I972=$A$1),0,MIN(O972*M972,1)*K972)</f>
        <v>245.410846460717</v>
      </c>
      <c r="Q972" s="73">
        <f>IF(B972="",0,IF(OR(H972=MappingTables!$C$34,H972=MappingTables!$C$35),P972,0))</f>
        <v>0</v>
      </c>
      <c r="R972" s="73">
        <f>IF(ISNA(IF(AND(VLOOKUP(CONCATENATE($D972,$G972),CSRFinput!$B:$E,4,0)=0,OR(H972=MappingTables!$C$31,H972=MappingTables!$C$32)),1,VLOOKUP(CONCATENATE($D972,$G972),CSRFinput!$B:$E,4,0))),0,IF(AND(VLOOKUP(CONCATENATE($D972,$G972),CSRFinput!$B:$E,4,0)=0,OR(H972=MappingTables!$C$31,H972=MappingTables!$C$32)),1,VLOOKUP(CONCATENATE($D972,$G972),CSRFinput!$B:$E,4,0)))</f>
        <v>0.054776304963434752</v>
      </c>
      <c r="S972" s="73">
        <f>IF(B972="",0,P972*R972)</f>
        <v>13.442699367066898</v>
      </c>
      <c r="T972" s="85">
        <f>IF(B972="",0,IF(OR(H972=MappingTables!$C$34,H972=MappingTables!$C$35),S972,0))</f>
        <v>0</v>
      </c>
    </row>
    <row r="973" spans="2:20" s="0" customFormat="0" ht="15">
      <c r="B973" s="69" t="s">
        <v>3483</v>
      </c>
      <c r="C973" s="70" t="s">
        <v>3484</v>
      </c>
      <c r="D973" s="70" t="s">
        <v>1</v>
      </c>
      <c r="E973" s="70" t="s">
        <v>1</v>
      </c>
      <c r="F973" s="70"/>
      <c r="G973" s="70" t="s">
        <v>61</v>
      </c>
      <c r="H973" s="70" t="s">
        <v>178</v>
      </c>
      <c r="I973" s="70" t="s">
        <v>204</v>
      </c>
      <c r="J973" s="71">
        <f>IF(OR(I973=0,I973=""),"unrated",VLOOKUP(I973,MappingTables!$B$19:$C$31,2,FALSE))</f>
        <v>6</v>
      </c>
      <c r="K973" s="72">
        <v>140.54434500419422</v>
      </c>
      <c r="L973" s="70">
        <v>0.065086037047734944</v>
      </c>
      <c r="M973" s="71">
        <f>IF(L973&lt;1,1,L973)</f>
        <v>1</v>
      </c>
      <c r="N973" s="70" t="s">
        <v>3288</v>
      </c>
      <c r="O973" s="71">
        <f>IF(OR(I973=$A$1,I973=0),"",IF(N973=MappingTables!$C$14,VLOOKUP(J973,ModelParameters!$M$8:$N$15,2,FALSE),IF(N973=MappingTables!$C$16,VLOOKUP(J973,ModelParameters!$P$8:$Q$15,2,FALSE),0)))</f>
        <v>1</v>
      </c>
      <c r="P973" s="73">
        <f>IF(OR(I973=0,I973=$A$1),0,MIN(O973*M973,1)*K973)</f>
        <v>140.54434500419422</v>
      </c>
      <c r="Q973" s="73">
        <f>IF(B973="",0,IF(OR(H973=MappingTables!$C$34,H973=MappingTables!$C$35),P973,0))</f>
        <v>0</v>
      </c>
      <c r="R973" s="73">
        <f>IF(ISNA(IF(AND(VLOOKUP(CONCATENATE($D973,$G973),CSRFinput!$B:$E,4,0)=0,OR(H973=MappingTables!$C$31,H973=MappingTables!$C$32)),1,VLOOKUP(CONCATENATE($D973,$G973),CSRFinput!$B:$E,4,0))),0,IF(AND(VLOOKUP(CONCATENATE($D973,$G973),CSRFinput!$B:$E,4,0)=0,OR(H973=MappingTables!$C$31,H973=MappingTables!$C$32)),1,VLOOKUP(CONCATENATE($D973,$G973),CSRFinput!$B:$E,4,0)))</f>
        <v>0.054776304963434752</v>
      </c>
      <c r="S973" s="73">
        <f>IF(B973="",0,P973*R973)</f>
        <v>7.6984999028359296</v>
      </c>
      <c r="T973" s="85">
        <f>IF(B973="",0,IF(OR(H973=MappingTables!$C$34,H973=MappingTables!$C$35),S973,0))</f>
        <v>0</v>
      </c>
    </row>
    <row r="974" spans="2:20" s="0" customFormat="0" ht="15">
      <c r="B974" s="69" t="s">
        <v>4608</v>
      </c>
      <c r="C974" s="70" t="s">
        <v>4609</v>
      </c>
      <c r="D974" s="70" t="s">
        <v>1</v>
      </c>
      <c r="E974" s="70" t="s">
        <v>1</v>
      </c>
      <c r="F974" s="70"/>
      <c r="G974" s="70" t="s">
        <v>61</v>
      </c>
      <c r="H974" s="70" t="s">
        <v>178</v>
      </c>
      <c r="I974" s="70" t="s">
        <v>198</v>
      </c>
      <c r="J974" s="71" t="str">
        <f>IF(OR(I974=0,I974=""),"unrated",VLOOKUP(I974,MappingTables!$B$19:$C$31,2,FALSE))</f>
        <v>unrated</v>
      </c>
      <c r="K974" s="72">
        <v>1470.2071798482892</v>
      </c>
      <c r="L974" s="70">
        <v>27.180143724978408</v>
      </c>
      <c r="M974" s="71">
        <f>IF(L974&lt;1,1,L974)</f>
        <v>27.180143724978408</v>
      </c>
      <c r="N974" s="70" t="s">
        <v>3288</v>
      </c>
      <c r="O974" s="71">
        <f>IF(OR(I974=$A$1,I974=0),"",IF(N974=MappingTables!$C$14,VLOOKUP(J974,ModelParameters!$M$8:$N$15,2,FALSE),IF(N974=MappingTables!$C$16,VLOOKUP(J974,ModelParameters!$P$8:$Q$15,2,FALSE),0)))</f>
        <v>1</v>
      </c>
      <c r="P974" s="73">
        <f>IF(OR(I974=0,I974=$A$1),0,MIN(O974*M974,1)*K974)</f>
        <v>1470.2071798482892</v>
      </c>
      <c r="Q974" s="73">
        <f>IF(B974="",0,IF(OR(H974=MappingTables!$C$34,H974=MappingTables!$C$35),P974,0))</f>
        <v>0</v>
      </c>
      <c r="R974" s="73">
        <f>IF(ISNA(IF(AND(VLOOKUP(CONCATENATE($D974,$G974),CSRFinput!$B:$E,4,0)=0,OR(H974=MappingTables!$C$31,H974=MappingTables!$C$32)),1,VLOOKUP(CONCATENATE($D974,$G974),CSRFinput!$B:$E,4,0))),0,IF(AND(VLOOKUP(CONCATENATE($D974,$G974),CSRFinput!$B:$E,4,0)=0,OR(H974=MappingTables!$C$31,H974=MappingTables!$C$32)),1,VLOOKUP(CONCATENATE($D974,$G974),CSRFinput!$B:$E,4,0)))</f>
        <v>0.054776304963434752</v>
      </c>
      <c r="S974" s="73">
        <f>IF(B974="",0,P974*R974)</f>
        <v>80.532516842801248</v>
      </c>
      <c r="T974" s="85">
        <f>IF(B974="",0,IF(OR(H974=MappingTables!$C$34,H974=MappingTables!$C$35),S974,0))</f>
        <v>0</v>
      </c>
    </row>
    <row r="975" spans="2:20" s="0" customFormat="0" ht="15">
      <c r="B975" s="69" t="s">
        <v>4610</v>
      </c>
      <c r="C975" s="70" t="s">
        <v>4611</v>
      </c>
      <c r="D975" s="70" t="s">
        <v>1</v>
      </c>
      <c r="E975" s="70" t="s">
        <v>1</v>
      </c>
      <c r="F975" s="70"/>
      <c r="G975" s="70" t="s">
        <v>61</v>
      </c>
      <c r="H975" s="70" t="s">
        <v>178</v>
      </c>
      <c r="I975" s="70" t="s">
        <v>216</v>
      </c>
      <c r="J975" s="71">
        <f>IF(OR(I975=0,I975=""),"unrated",VLOOKUP(I975,MappingTables!$B$19:$C$31,2,FALSE))</f>
        <v>0</v>
      </c>
      <c r="K975" s="72">
        <v>534.17227910138912</v>
      </c>
      <c r="L975" s="70">
        <v>0.0493154414628056</v>
      </c>
      <c r="M975" s="71">
        <f>IF(L975&lt;1,1,L975)</f>
        <v>1</v>
      </c>
      <c r="N975" s="70" t="s">
        <v>3288</v>
      </c>
      <c r="O975" s="71">
        <f>IF(OR(I975=$A$1,I975=0),"",IF(N975=MappingTables!$C$14,VLOOKUP(J975,ModelParameters!$M$8:$N$15,2,FALSE),IF(N975=MappingTables!$C$16,VLOOKUP(J975,ModelParameters!$P$8:$Q$15,2,FALSE),0)))</f>
        <v>0.125</v>
      </c>
      <c r="P975" s="73">
        <f>IF(OR(I975=0,I975=$A$1),0,MIN(O975*M975,1)*K975)</f>
        <v>66.77153488767364</v>
      </c>
      <c r="Q975" s="73">
        <f>IF(B975="",0,IF(OR(H975=MappingTables!$C$34,H975=MappingTables!$C$35),P975,0))</f>
        <v>0</v>
      </c>
      <c r="R975" s="73">
        <f>IF(ISNA(IF(AND(VLOOKUP(CONCATENATE($D975,$G975),CSRFinput!$B:$E,4,0)=0,OR(H975=MappingTables!$C$31,H975=MappingTables!$C$32)),1,VLOOKUP(CONCATENATE($D975,$G975),CSRFinput!$B:$E,4,0))),0,IF(AND(VLOOKUP(CONCATENATE($D975,$G975),CSRFinput!$B:$E,4,0)=0,OR(H975=MappingTables!$C$31,H975=MappingTables!$C$32)),1,VLOOKUP(CONCATENATE($D975,$G975),CSRFinput!$B:$E,4,0)))</f>
        <v>0.054776304963434752</v>
      </c>
      <c r="S975" s="73">
        <f>IF(B975="",0,P975*R975)</f>
        <v>3.6574979578838344</v>
      </c>
      <c r="T975" s="85">
        <f>IF(B975="",0,IF(OR(H975=MappingTables!$C$34,H975=MappingTables!$C$35),S975,0))</f>
        <v>0</v>
      </c>
    </row>
    <row r="976" spans="2:20" s="0" customFormat="0" ht="15">
      <c r="B976" s="69" t="s">
        <v>4612</v>
      </c>
      <c r="C976" s="70" t="s">
        <v>4613</v>
      </c>
      <c r="D976" s="70" t="s">
        <v>1</v>
      </c>
      <c r="E976" s="70" t="s">
        <v>1</v>
      </c>
      <c r="F976" s="70"/>
      <c r="G976" s="70" t="s">
        <v>61</v>
      </c>
      <c r="H976" s="70" t="s">
        <v>178</v>
      </c>
      <c r="I976" s="70" t="s">
        <v>188</v>
      </c>
      <c r="J976" s="71">
        <f>IF(OR(I976=0,I976=""),"unrated",VLOOKUP(I976,MappingTables!$B$19:$C$31,2,FALSE))</f>
        <v>2</v>
      </c>
      <c r="K976" s="72">
        <v>45.635084802321352</v>
      </c>
      <c r="L976" s="70">
        <v>0.068498832633628616</v>
      </c>
      <c r="M976" s="71">
        <f>IF(L976&lt;1,1,L976)</f>
        <v>1</v>
      </c>
      <c r="N976" s="70" t="s">
        <v>3288</v>
      </c>
      <c r="O976" s="71">
        <f>IF(OR(I976=$A$1,I976=0),"",IF(N976=MappingTables!$C$14,VLOOKUP(J976,ModelParameters!$M$8:$N$15,2,FALSE),IF(N976=MappingTables!$C$16,VLOOKUP(J976,ModelParameters!$P$8:$Q$15,2,FALSE),0)))</f>
        <v>0.166</v>
      </c>
      <c r="P976" s="73">
        <f>IF(OR(I976=0,I976=$A$1),0,MIN(O976*M976,1)*K976)</f>
        <v>7.5754240771853456</v>
      </c>
      <c r="Q976" s="73">
        <f>IF(B976="",0,IF(OR(H976=MappingTables!$C$34,H976=MappingTables!$C$35),P976,0))</f>
        <v>0</v>
      </c>
      <c r="R976" s="73">
        <f>IF(ISNA(IF(AND(VLOOKUP(CONCATENATE($D976,$G976),CSRFinput!$B:$E,4,0)=0,OR(H976=MappingTables!$C$31,H976=MappingTables!$C$32)),1,VLOOKUP(CONCATENATE($D976,$G976),CSRFinput!$B:$E,4,0))),0,IF(AND(VLOOKUP(CONCATENATE($D976,$G976),CSRFinput!$B:$E,4,0)=0,OR(H976=MappingTables!$C$31,H976=MappingTables!$C$32)),1,VLOOKUP(CONCATENATE($D976,$G976),CSRFinput!$B:$E,4,0)))</f>
        <v>0.054776304963434752</v>
      </c>
      <c r="S976" s="73">
        <f>IF(B976="",0,P976*R976)</f>
        <v>0.41495373947925072</v>
      </c>
      <c r="T976" s="85">
        <f>IF(B976="",0,IF(OR(H976=MappingTables!$C$34,H976=MappingTables!$C$35),S976,0))</f>
        <v>0</v>
      </c>
    </row>
    <row r="977" spans="2:20" s="0" customFormat="0" ht="15">
      <c r="B977" s="69" t="s">
        <v>4379</v>
      </c>
      <c r="C977" s="70" t="s">
        <v>4380</v>
      </c>
      <c r="D977" s="70" t="s">
        <v>1</v>
      </c>
      <c r="E977" s="70" t="s">
        <v>1</v>
      </c>
      <c r="F977" s="70"/>
      <c r="G977" s="70" t="s">
        <v>61</v>
      </c>
      <c r="H977" s="70" t="s">
        <v>178</v>
      </c>
      <c r="I977" s="70" t="s">
        <v>184</v>
      </c>
      <c r="J977" s="71">
        <f>IF(OR(I977=0,I977=""),"unrated",VLOOKUP(I977,MappingTables!$B$19:$C$31,2,FALSE))</f>
        <v>5</v>
      </c>
      <c r="K977" s="72">
        <v>1824.4517708438872</v>
      </c>
      <c r="L977" s="70">
        <v>4.3410895991599024</v>
      </c>
      <c r="M977" s="71">
        <f>IF(L977&lt;1,1,L977)</f>
        <v>4.3410895991599024</v>
      </c>
      <c r="N977" s="70" t="s">
        <v>3288</v>
      </c>
      <c r="O977" s="71">
        <f>IF(OR(I977=$A$1,I977=0),"",IF(N977=MappingTables!$C$14,VLOOKUP(J977,ModelParameters!$M$8:$N$15,2,FALSE),IF(N977=MappingTables!$C$16,VLOOKUP(J977,ModelParameters!$P$8:$Q$15,2,FALSE),0)))</f>
        <v>1</v>
      </c>
      <c r="P977" s="73">
        <f>IF(OR(I977=0,I977=$A$1),0,MIN(O977*M977,1)*K977)</f>
        <v>1824.4517708438872</v>
      </c>
      <c r="Q977" s="73">
        <f>IF(B977="",0,IF(OR(H977=MappingTables!$C$34,H977=MappingTables!$C$35),P977,0))</f>
        <v>0</v>
      </c>
      <c r="R977" s="73">
        <f>IF(ISNA(IF(AND(VLOOKUP(CONCATENATE($D977,$G977),CSRFinput!$B:$E,4,0)=0,OR(H977=MappingTables!$C$31,H977=MappingTables!$C$32)),1,VLOOKUP(CONCATENATE($D977,$G977),CSRFinput!$B:$E,4,0))),0,IF(AND(VLOOKUP(CONCATENATE($D977,$G977),CSRFinput!$B:$E,4,0)=0,OR(H977=MappingTables!$C$31,H977=MappingTables!$C$32)),1,VLOOKUP(CONCATENATE($D977,$G977),CSRFinput!$B:$E,4,0)))</f>
        <v>0.054776304963434752</v>
      </c>
      <c r="S977" s="73">
        <f>IF(B977="",0,P977*R977)</f>
        <v>99.93672659082336</v>
      </c>
      <c r="T977" s="85">
        <f>IF(B977="",0,IF(OR(H977=MappingTables!$C$34,H977=MappingTables!$C$35),S977,0))</f>
        <v>0</v>
      </c>
    </row>
    <row r="978" spans="2:20" s="0" customFormat="0" ht="15">
      <c r="B978" s="69">
        <v>22554515</v>
      </c>
      <c r="C978" s="70" t="s">
        <v>4614</v>
      </c>
      <c r="D978" s="70" t="s">
        <v>1</v>
      </c>
      <c r="E978" s="70" t="s">
        <v>1</v>
      </c>
      <c r="F978" s="70"/>
      <c r="G978" s="70" t="s">
        <v>61</v>
      </c>
      <c r="H978" s="70" t="s">
        <v>178</v>
      </c>
      <c r="I978" s="70" t="s">
        <v>198</v>
      </c>
      <c r="J978" s="71" t="str">
        <f>IF(OR(I978=0,I978=""),"unrated",VLOOKUP(I978,MappingTables!$B$19:$C$31,2,FALSE))</f>
        <v>unrated</v>
      </c>
      <c r="K978" s="72">
        <v>0.23967233035715636</v>
      </c>
      <c r="L978" s="70">
        <v>0.097287118838206976</v>
      </c>
      <c r="M978" s="71">
        <f>IF(L978&lt;1,1,L978)</f>
        <v>1</v>
      </c>
      <c r="N978" s="70" t="s">
        <v>3288</v>
      </c>
      <c r="O978" s="71">
        <f>IF(OR(I978=$A$1,I978=0),"",IF(N978=MappingTables!$C$14,VLOOKUP(J978,ModelParameters!$M$8:$N$15,2,FALSE),IF(N978=MappingTables!$C$16,VLOOKUP(J978,ModelParameters!$P$8:$Q$15,2,FALSE),0)))</f>
        <v>1</v>
      </c>
      <c r="P978" s="73">
        <f>IF(OR(I978=0,I978=$A$1),0,MIN(O978*M978,1)*K978)</f>
        <v>0.23967233035715636</v>
      </c>
      <c r="Q978" s="73">
        <f>IF(B978="",0,IF(OR(H978=MappingTables!$C$34,H978=MappingTables!$C$35),P978,0))</f>
        <v>0</v>
      </c>
      <c r="R978" s="73">
        <f>IF(ISNA(IF(AND(VLOOKUP(CONCATENATE($D978,$G978),CSRFinput!$B:$E,4,0)=0,OR(H978=MappingTables!$C$31,H978=MappingTables!$C$32)),1,VLOOKUP(CONCATENATE($D978,$G978),CSRFinput!$B:$E,4,0))),0,IF(AND(VLOOKUP(CONCATENATE($D978,$G978),CSRFinput!$B:$E,4,0)=0,OR(H978=MappingTables!$C$31,H978=MappingTables!$C$32)),1,VLOOKUP(CONCATENATE($D978,$G978),CSRFinput!$B:$E,4,0)))</f>
        <v>0.054776304963434752</v>
      </c>
      <c r="S978" s="73">
        <f>IF(B978="",0,P978*R978)</f>
        <v>0.013128364658940678</v>
      </c>
      <c r="T978" s="85">
        <f>IF(B978="",0,IF(OR(H978=MappingTables!$C$34,H978=MappingTables!$C$35),S978,0))</f>
        <v>0</v>
      </c>
    </row>
    <row r="979" spans="2:20" s="0" customFormat="0" ht="15">
      <c r="B979" s="69" t="s">
        <v>4615</v>
      </c>
      <c r="C979" s="70" t="s">
        <v>4616</v>
      </c>
      <c r="D979" s="70" t="s">
        <v>1</v>
      </c>
      <c r="E979" s="70" t="s">
        <v>1</v>
      </c>
      <c r="F979" s="70"/>
      <c r="G979" s="70" t="s">
        <v>61</v>
      </c>
      <c r="H979" s="70" t="s">
        <v>178</v>
      </c>
      <c r="I979" s="70" t="s">
        <v>204</v>
      </c>
      <c r="J979" s="71">
        <f>IF(OR(I979=0,I979=""),"unrated",VLOOKUP(I979,MappingTables!$B$19:$C$31,2,FALSE))</f>
        <v>6</v>
      </c>
      <c r="K979" s="72">
        <v>830.05661466018096</v>
      </c>
      <c r="L979" s="70">
        <v>0.068491959058038952</v>
      </c>
      <c r="M979" s="71">
        <f>IF(L979&lt;1,1,L979)</f>
        <v>1</v>
      </c>
      <c r="N979" s="70" t="s">
        <v>3288</v>
      </c>
      <c r="O979" s="71">
        <f>IF(OR(I979=$A$1,I979=0),"",IF(N979=MappingTables!$C$14,VLOOKUP(J979,ModelParameters!$M$8:$N$15,2,FALSE),IF(N979=MappingTables!$C$16,VLOOKUP(J979,ModelParameters!$P$8:$Q$15,2,FALSE),0)))</f>
        <v>1</v>
      </c>
      <c r="P979" s="73">
        <f>IF(OR(I979=0,I979=$A$1),0,MIN(O979*M979,1)*K979)</f>
        <v>830.05661466018096</v>
      </c>
      <c r="Q979" s="73">
        <f>IF(B979="",0,IF(OR(H979=MappingTables!$C$34,H979=MappingTables!$C$35),P979,0))</f>
        <v>0</v>
      </c>
      <c r="R979" s="73">
        <f>IF(ISNA(IF(AND(VLOOKUP(CONCATENATE($D979,$G979),CSRFinput!$B:$E,4,0)=0,OR(H979=MappingTables!$C$31,H979=MappingTables!$C$32)),1,VLOOKUP(CONCATENATE($D979,$G979),CSRFinput!$B:$E,4,0))),0,IF(AND(VLOOKUP(CONCATENATE($D979,$G979),CSRFinput!$B:$E,4,0)=0,OR(H979=MappingTables!$C$31,H979=MappingTables!$C$32)),1,VLOOKUP(CONCATENATE($D979,$G979),CSRFinput!$B:$E,4,0)))</f>
        <v>0.054776304963434752</v>
      </c>
      <c r="S979" s="73">
        <f>IF(B979="",0,P979*R979)</f>
        <v>45.467434261542312</v>
      </c>
      <c r="T979" s="85">
        <f>IF(B979="",0,IF(OR(H979=MappingTables!$C$34,H979=MappingTables!$C$35),S979,0))</f>
        <v>0</v>
      </c>
    </row>
    <row r="980" spans="2:20" s="0" customFormat="0" ht="15">
      <c r="B980" s="69" t="s">
        <v>4521</v>
      </c>
      <c r="C980" s="70" t="s">
        <v>4522</v>
      </c>
      <c r="D980" s="70" t="s">
        <v>1</v>
      </c>
      <c r="E980" s="70" t="s">
        <v>1</v>
      </c>
      <c r="F980" s="70"/>
      <c r="G980" s="70" t="s">
        <v>61</v>
      </c>
      <c r="H980" s="70" t="s">
        <v>178</v>
      </c>
      <c r="I980" s="70" t="s">
        <v>184</v>
      </c>
      <c r="J980" s="71">
        <f>IF(OR(I980=0,I980=""),"unrated",VLOOKUP(I980,MappingTables!$B$19:$C$31,2,FALSE))</f>
        <v>5</v>
      </c>
      <c r="K980" s="72">
        <v>4937.1821491797616</v>
      </c>
      <c r="L980" s="70">
        <v>3.83655602966174</v>
      </c>
      <c r="M980" s="71">
        <f>IF(L980&lt;1,1,L980)</f>
        <v>3.83655602966174</v>
      </c>
      <c r="N980" s="70" t="s">
        <v>3288</v>
      </c>
      <c r="O980" s="71">
        <f>IF(OR(I980=$A$1,I980=0),"",IF(N980=MappingTables!$C$14,VLOOKUP(J980,ModelParameters!$M$8:$N$15,2,FALSE),IF(N980=MappingTables!$C$16,VLOOKUP(J980,ModelParameters!$P$8:$Q$15,2,FALSE),0)))</f>
        <v>1</v>
      </c>
      <c r="P980" s="73">
        <f>IF(OR(I980=0,I980=$A$1),0,MIN(O980*M980,1)*K980)</f>
        <v>4937.1821491797616</v>
      </c>
      <c r="Q980" s="73">
        <f>IF(B980="",0,IF(OR(H980=MappingTables!$C$34,H980=MappingTables!$C$35),P980,0))</f>
        <v>0</v>
      </c>
      <c r="R980" s="73">
        <f>IF(ISNA(IF(AND(VLOOKUP(CONCATENATE($D980,$G980),CSRFinput!$B:$E,4,0)=0,OR(H980=MappingTables!$C$31,H980=MappingTables!$C$32)),1,VLOOKUP(CONCATENATE($D980,$G980),CSRFinput!$B:$E,4,0))),0,IF(AND(VLOOKUP(CONCATENATE($D980,$G980),CSRFinput!$B:$E,4,0)=0,OR(H980=MappingTables!$C$31,H980=MappingTables!$C$32)),1,VLOOKUP(CONCATENATE($D980,$G980),CSRFinput!$B:$E,4,0)))</f>
        <v>0.054776304963434752</v>
      </c>
      <c r="S980" s="73">
        <f>IF(B980="",0,P980*R980)</f>
        <v>270.44059506349684</v>
      </c>
      <c r="T980" s="85">
        <f>IF(B980="",0,IF(OR(H980=MappingTables!$C$34,H980=MappingTables!$C$35),S980,0))</f>
        <v>0</v>
      </c>
    </row>
    <row r="981" spans="2:20" s="0" customFormat="0" ht="15">
      <c r="B981" s="69">
        <v>2931264</v>
      </c>
      <c r="C981" s="70" t="s">
        <v>4617</v>
      </c>
      <c r="D981" s="70" t="s">
        <v>1</v>
      </c>
      <c r="E981" s="70" t="s">
        <v>1</v>
      </c>
      <c r="F981" s="70"/>
      <c r="G981" s="70" t="s">
        <v>61</v>
      </c>
      <c r="H981" s="70" t="s">
        <v>178</v>
      </c>
      <c r="I981" s="70" t="s">
        <v>3291</v>
      </c>
      <c r="J981" s="71">
        <f>IF(OR(I981=0,I981=""),"unrated",VLOOKUP(I981,MappingTables!$B$19:$C$31,2,FALSE))</f>
        <v>6</v>
      </c>
      <c r="K981" s="72">
        <v>67.951458703487504</v>
      </c>
      <c r="L981" s="70">
        <v>-1.0880771596073698</v>
      </c>
      <c r="M981" s="71">
        <f>IF(L981&lt;1,1,L981)</f>
        <v>1</v>
      </c>
      <c r="N981" s="70" t="s">
        <v>3288</v>
      </c>
      <c r="O981" s="71">
        <f>IF(OR(I981=$A$1,I981=0),"",IF(N981=MappingTables!$C$14,VLOOKUP(J981,ModelParameters!$M$8:$N$15,2,FALSE),IF(N981=MappingTables!$C$16,VLOOKUP(J981,ModelParameters!$P$8:$Q$15,2,FALSE),0)))</f>
        <v>1</v>
      </c>
      <c r="P981" s="73">
        <f>IF(OR(I981=0,I981=$A$1),0,MIN(O981*M981,1)*K981)</f>
        <v>67.951458703487504</v>
      </c>
      <c r="Q981" s="73">
        <f>IF(B981="",0,IF(OR(H981=MappingTables!$C$34,H981=MappingTables!$C$35),P981,0))</f>
        <v>0</v>
      </c>
      <c r="R981" s="73">
        <f>IF(ISNA(IF(AND(VLOOKUP(CONCATENATE($D981,$G981),CSRFinput!$B:$E,4,0)=0,OR(H981=MappingTables!$C$31,H981=MappingTables!$C$32)),1,VLOOKUP(CONCATENATE($D981,$G981),CSRFinput!$B:$E,4,0))),0,IF(AND(VLOOKUP(CONCATENATE($D981,$G981),CSRFinput!$B:$E,4,0)=0,OR(H981=MappingTables!$C$31,H981=MappingTables!$C$32)),1,VLOOKUP(CONCATENATE($D981,$G981),CSRFinput!$B:$E,4,0)))</f>
        <v>0.054776304963434752</v>
      </c>
      <c r="S981" s="73">
        <f>IF(B981="",0,P981*R981)</f>
        <v>3.7221298246524744</v>
      </c>
      <c r="T981" s="85">
        <f>IF(B981="",0,IF(OR(H981=MappingTables!$C$34,H981=MappingTables!$C$35),S981,0))</f>
        <v>0</v>
      </c>
    </row>
    <row r="982" spans="2:20" s="0" customFormat="0" ht="15">
      <c r="B982" s="69" t="s">
        <v>4618</v>
      </c>
      <c r="C982" s="70" t="s">
        <v>4619</v>
      </c>
      <c r="D982" s="70" t="s">
        <v>1</v>
      </c>
      <c r="E982" s="70" t="s">
        <v>1</v>
      </c>
      <c r="F982" s="70"/>
      <c r="G982" s="70" t="s">
        <v>61</v>
      </c>
      <c r="H982" s="70" t="s">
        <v>178</v>
      </c>
      <c r="I982" s="70" t="s">
        <v>198</v>
      </c>
      <c r="J982" s="71" t="str">
        <f>IF(OR(I982=0,I982=""),"unrated",VLOOKUP(I982,MappingTables!$B$19:$C$31,2,FALSE))</f>
        <v>unrated</v>
      </c>
      <c r="K982" s="72">
        <v>2841.4448939675912</v>
      </c>
      <c r="L982" s="70">
        <v>10.38556614269385</v>
      </c>
      <c r="M982" s="71">
        <f>IF(L982&lt;1,1,L982)</f>
        <v>10.38556614269385</v>
      </c>
      <c r="N982" s="70" t="s">
        <v>3288</v>
      </c>
      <c r="O982" s="71">
        <f>IF(OR(I982=$A$1,I982=0),"",IF(N982=MappingTables!$C$14,VLOOKUP(J982,ModelParameters!$M$8:$N$15,2,FALSE),IF(N982=MappingTables!$C$16,VLOOKUP(J982,ModelParameters!$P$8:$Q$15,2,FALSE),0)))</f>
        <v>1</v>
      </c>
      <c r="P982" s="73">
        <f>IF(OR(I982=0,I982=$A$1),0,MIN(O982*M982,1)*K982)</f>
        <v>2841.4448939675912</v>
      </c>
      <c r="Q982" s="73">
        <f>IF(B982="",0,IF(OR(H982=MappingTables!$C$34,H982=MappingTables!$C$35),P982,0))</f>
        <v>0</v>
      </c>
      <c r="R982" s="73">
        <f>IF(ISNA(IF(AND(VLOOKUP(CONCATENATE($D982,$G982),CSRFinput!$B:$E,4,0)=0,OR(H982=MappingTables!$C$31,H982=MappingTables!$C$32)),1,VLOOKUP(CONCATENATE($D982,$G982),CSRFinput!$B:$E,4,0))),0,IF(AND(VLOOKUP(CONCATENATE($D982,$G982),CSRFinput!$B:$E,4,0)=0,OR(H982=MappingTables!$C$31,H982=MappingTables!$C$32)),1,VLOOKUP(CONCATENATE($D982,$G982),CSRFinput!$B:$E,4,0)))</f>
        <v>0.054776304963434752</v>
      </c>
      <c r="S982" s="73">
        <f>IF(B982="",0,P982*R982)</f>
        <v>155.6438520487633</v>
      </c>
      <c r="T982" s="85">
        <f>IF(B982="",0,IF(OR(H982=MappingTables!$C$34,H982=MappingTables!$C$35),S982,0))</f>
        <v>0</v>
      </c>
    </row>
    <row r="983" spans="2:20" s="0" customFormat="0" ht="15">
      <c r="B983" s="69" t="s">
        <v>4620</v>
      </c>
      <c r="C983" s="70" t="s">
        <v>4621</v>
      </c>
      <c r="D983" s="70" t="s">
        <v>1</v>
      </c>
      <c r="E983" s="70" t="s">
        <v>1</v>
      </c>
      <c r="F983" s="70"/>
      <c r="G983" s="70" t="s">
        <v>61</v>
      </c>
      <c r="H983" s="70" t="s">
        <v>178</v>
      </c>
      <c r="I983" s="70" t="s">
        <v>198</v>
      </c>
      <c r="J983" s="71" t="str">
        <f>IF(OR(I983=0,I983=""),"unrated",VLOOKUP(I983,MappingTables!$B$19:$C$31,2,FALSE))</f>
        <v>unrated</v>
      </c>
      <c r="K983" s="72">
        <v>0.12065277428353576</v>
      </c>
      <c r="L983" s="70">
        <v>34.481686103688524</v>
      </c>
      <c r="M983" s="71">
        <f>IF(L983&lt;1,1,L983)</f>
        <v>34.481686103688524</v>
      </c>
      <c r="N983" s="70" t="s">
        <v>3288</v>
      </c>
      <c r="O983" s="71">
        <f>IF(OR(I983=$A$1,I983=0),"",IF(N983=MappingTables!$C$14,VLOOKUP(J983,ModelParameters!$M$8:$N$15,2,FALSE),IF(N983=MappingTables!$C$16,VLOOKUP(J983,ModelParameters!$P$8:$Q$15,2,FALSE),0)))</f>
        <v>1</v>
      </c>
      <c r="P983" s="73">
        <f>IF(OR(I983=0,I983=$A$1),0,MIN(O983*M983,1)*K983)</f>
        <v>0.12065277428353576</v>
      </c>
      <c r="Q983" s="73">
        <f>IF(B983="",0,IF(OR(H983=MappingTables!$C$34,H983=MappingTables!$C$35),P983,0))</f>
        <v>0</v>
      </c>
      <c r="R983" s="73">
        <f>IF(ISNA(IF(AND(VLOOKUP(CONCATENATE($D983,$G983),CSRFinput!$B:$E,4,0)=0,OR(H983=MappingTables!$C$31,H983=MappingTables!$C$32)),1,VLOOKUP(CONCATENATE($D983,$G983),CSRFinput!$B:$E,4,0))),0,IF(AND(VLOOKUP(CONCATENATE($D983,$G983),CSRFinput!$B:$E,4,0)=0,OR(H983=MappingTables!$C$31,H983=MappingTables!$C$32)),1,VLOOKUP(CONCATENATE($D983,$G983),CSRFinput!$B:$E,4,0)))</f>
        <v>0.054776304963434752</v>
      </c>
      <c r="S983" s="73">
        <f>IF(B983="",0,P983*R983)</f>
        <v>0.0066089131588394128</v>
      </c>
      <c r="T983" s="85">
        <f>IF(B983="",0,IF(OR(H983=MappingTables!$C$34,H983=MappingTables!$C$35),S983,0))</f>
        <v>0</v>
      </c>
    </row>
    <row r="984" spans="2:20" s="0" customFormat="0" ht="15">
      <c r="B984" s="69">
        <v>22623661</v>
      </c>
      <c r="C984" s="70" t="s">
        <v>4622</v>
      </c>
      <c r="D984" s="70" t="s">
        <v>1</v>
      </c>
      <c r="E984" s="70" t="s">
        <v>1</v>
      </c>
      <c r="F984" s="70"/>
      <c r="G984" s="70" t="s">
        <v>61</v>
      </c>
      <c r="H984" s="70" t="s">
        <v>178</v>
      </c>
      <c r="I984" s="70" t="s">
        <v>198</v>
      </c>
      <c r="J984" s="71" t="str">
        <f>IF(OR(I984=0,I984=""),"unrated",VLOOKUP(I984,MappingTables!$B$19:$C$31,2,FALSE))</f>
        <v>unrated</v>
      </c>
      <c r="K984" s="72">
        <v>424.64529687484696</v>
      </c>
      <c r="L984" s="70">
        <v>7.971683547725368</v>
      </c>
      <c r="M984" s="71">
        <f>IF(L984&lt;1,1,L984)</f>
        <v>7.971683547725368</v>
      </c>
      <c r="N984" s="70" t="s">
        <v>3288</v>
      </c>
      <c r="O984" s="71">
        <f>IF(OR(I984=$A$1,I984=0),"",IF(N984=MappingTables!$C$14,VLOOKUP(J984,ModelParameters!$M$8:$N$15,2,FALSE),IF(N984=MappingTables!$C$16,VLOOKUP(J984,ModelParameters!$P$8:$Q$15,2,FALSE),0)))</f>
        <v>1</v>
      </c>
      <c r="P984" s="73">
        <f>IF(OR(I984=0,I984=$A$1),0,MIN(O984*M984,1)*K984)</f>
        <v>424.64529687484696</v>
      </c>
      <c r="Q984" s="73">
        <f>IF(B984="",0,IF(OR(H984=MappingTables!$C$34,H984=MappingTables!$C$35),P984,0))</f>
        <v>0</v>
      </c>
      <c r="R984" s="73">
        <f>IF(ISNA(IF(AND(VLOOKUP(CONCATENATE($D984,$G984),CSRFinput!$B:$E,4,0)=0,OR(H984=MappingTables!$C$31,H984=MappingTables!$C$32)),1,VLOOKUP(CONCATENATE($D984,$G984),CSRFinput!$B:$E,4,0))),0,IF(AND(VLOOKUP(CONCATENATE($D984,$G984),CSRFinput!$B:$E,4,0)=0,OR(H984=MappingTables!$C$31,H984=MappingTables!$C$32)),1,VLOOKUP(CONCATENATE($D984,$G984),CSRFinput!$B:$E,4,0)))</f>
        <v>0.054776304963434752</v>
      </c>
      <c r="S984" s="73">
        <f>IF(B984="",0,P984*R984)</f>
        <v>23.260500282904904</v>
      </c>
      <c r="T984" s="85">
        <f>IF(B984="",0,IF(OR(H984=MappingTables!$C$34,H984=MappingTables!$C$35),S984,0))</f>
        <v>0</v>
      </c>
    </row>
    <row r="985" spans="2:20" s="0" customFormat="0" ht="15">
      <c r="B985" s="69" t="s">
        <v>4623</v>
      </c>
      <c r="C985" s="70" t="s">
        <v>4624</v>
      </c>
      <c r="D985" s="70" t="s">
        <v>1</v>
      </c>
      <c r="E985" s="70" t="s">
        <v>1</v>
      </c>
      <c r="F985" s="70"/>
      <c r="G985" s="70" t="s">
        <v>61</v>
      </c>
      <c r="H985" s="70" t="s">
        <v>178</v>
      </c>
      <c r="I985" s="70" t="s">
        <v>179</v>
      </c>
      <c r="J985" s="71">
        <f>IF(OR(I985=0,I985=""),"unrated",VLOOKUP(I985,MappingTables!$B$19:$C$31,2,FALSE))</f>
        <v>4</v>
      </c>
      <c r="K985" s="72">
        <v>131.40270407741818</v>
      </c>
      <c r="L985" s="70">
        <v>0.068492987708716824</v>
      </c>
      <c r="M985" s="71">
        <f>IF(L985&lt;1,1,L985)</f>
        <v>1</v>
      </c>
      <c r="N985" s="70" t="s">
        <v>3288</v>
      </c>
      <c r="O985" s="71">
        <f>IF(OR(I985=$A$1,I985=0),"",IF(N985=MappingTables!$C$14,VLOOKUP(J985,ModelParameters!$M$8:$N$15,2,FALSE),IF(N985=MappingTables!$C$16,VLOOKUP(J985,ModelParameters!$P$8:$Q$15,2,FALSE),0)))</f>
        <v>0.82</v>
      </c>
      <c r="P985" s="73">
        <f>IF(OR(I985=0,I985=$A$1),0,MIN(O985*M985,1)*K985)</f>
        <v>107.7502173434829</v>
      </c>
      <c r="Q985" s="73">
        <f>IF(B985="",0,IF(OR(H985=MappingTables!$C$34,H985=MappingTables!$C$35),P985,0))</f>
        <v>0</v>
      </c>
      <c r="R985" s="73">
        <f>IF(ISNA(IF(AND(VLOOKUP(CONCATENATE($D985,$G985),CSRFinput!$B:$E,4,0)=0,OR(H985=MappingTables!$C$31,H985=MappingTables!$C$32)),1,VLOOKUP(CONCATENATE($D985,$G985),CSRFinput!$B:$E,4,0))),0,IF(AND(VLOOKUP(CONCATENATE($D985,$G985),CSRFinput!$B:$E,4,0)=0,OR(H985=MappingTables!$C$31,H985=MappingTables!$C$32)),1,VLOOKUP(CONCATENATE($D985,$G985),CSRFinput!$B:$E,4,0)))</f>
        <v>0.054776304963434752</v>
      </c>
      <c r="S985" s="73">
        <f>IF(B985="",0,P985*R985)</f>
        <v>5.902158765082996</v>
      </c>
      <c r="T985" s="85">
        <f>IF(B985="",0,IF(OR(H985=MappingTables!$C$34,H985=MappingTables!$C$35),S985,0))</f>
        <v>0</v>
      </c>
    </row>
    <row r="986" spans="2:20" s="0" customFormat="0" ht="15">
      <c r="B986" s="69" t="s">
        <v>4150</v>
      </c>
      <c r="C986" s="70" t="s">
        <v>4151</v>
      </c>
      <c r="D986" s="70" t="s">
        <v>1</v>
      </c>
      <c r="E986" s="70" t="s">
        <v>1</v>
      </c>
      <c r="F986" s="70"/>
      <c r="G986" s="70" t="s">
        <v>61</v>
      </c>
      <c r="H986" s="70" t="s">
        <v>178</v>
      </c>
      <c r="I986" s="70" t="s">
        <v>184</v>
      </c>
      <c r="J986" s="71">
        <f>IF(OR(I986=0,I986=""),"unrated",VLOOKUP(I986,MappingTables!$B$19:$C$31,2,FALSE))</f>
        <v>5</v>
      </c>
      <c r="K986" s="72">
        <v>5.7852274388873288</v>
      </c>
      <c r="L986" s="70">
        <v>0.068495811496137216</v>
      </c>
      <c r="M986" s="71">
        <f>IF(L986&lt;1,1,L986)</f>
        <v>1</v>
      </c>
      <c r="N986" s="70" t="s">
        <v>3288</v>
      </c>
      <c r="O986" s="71">
        <f>IF(OR(I986=$A$1,I986=0),"",IF(N986=MappingTables!$C$14,VLOOKUP(J986,ModelParameters!$M$8:$N$15,2,FALSE),IF(N986=MappingTables!$C$16,VLOOKUP(J986,ModelParameters!$P$8:$Q$15,2,FALSE),0)))</f>
        <v>1</v>
      </c>
      <c r="P986" s="73">
        <f>IF(OR(I986=0,I986=$A$1),0,MIN(O986*M986,1)*K986)</f>
        <v>5.7852274388873288</v>
      </c>
      <c r="Q986" s="73">
        <f>IF(B986="",0,IF(OR(H986=MappingTables!$C$34,H986=MappingTables!$C$35),P986,0))</f>
        <v>0</v>
      </c>
      <c r="R986" s="73">
        <f>IF(ISNA(IF(AND(VLOOKUP(CONCATENATE($D986,$G986),CSRFinput!$B:$E,4,0)=0,OR(H986=MappingTables!$C$31,H986=MappingTables!$C$32)),1,VLOOKUP(CONCATENATE($D986,$G986),CSRFinput!$B:$E,4,0))),0,IF(AND(VLOOKUP(CONCATENATE($D986,$G986),CSRFinput!$B:$E,4,0)=0,OR(H986=MappingTables!$C$31,H986=MappingTables!$C$32)),1,VLOOKUP(CONCATENATE($D986,$G986),CSRFinput!$B:$E,4,0)))</f>
        <v>0.054776304963434752</v>
      </c>
      <c r="S986" s="73">
        <f>IF(B986="",0,P986*R986)</f>
        <v>0.31689338247532296</v>
      </c>
      <c r="T986" s="85">
        <f>IF(B986="",0,IF(OR(H986=MappingTables!$C$34,H986=MappingTables!$C$35),S986,0))</f>
        <v>0</v>
      </c>
    </row>
    <row r="987" spans="2:20" s="0" customFormat="0" ht="15">
      <c r="B987" s="69" t="s">
        <v>4371</v>
      </c>
      <c r="C987" s="70" t="s">
        <v>4372</v>
      </c>
      <c r="D987" s="70" t="s">
        <v>1</v>
      </c>
      <c r="E987" s="70" t="s">
        <v>1</v>
      </c>
      <c r="F987" s="70"/>
      <c r="G987" s="70" t="s">
        <v>61</v>
      </c>
      <c r="H987" s="70" t="s">
        <v>178</v>
      </c>
      <c r="I987" s="70" t="s">
        <v>198</v>
      </c>
      <c r="J987" s="71" t="str">
        <f>IF(OR(I987=0,I987=""),"unrated",VLOOKUP(I987,MappingTables!$B$19:$C$31,2,FALSE))</f>
        <v>unrated</v>
      </c>
      <c r="K987" s="72">
        <v>117.0060813910389</v>
      </c>
      <c r="L987" s="70">
        <v>7.6675278589202624</v>
      </c>
      <c r="M987" s="71">
        <f>IF(L987&lt;1,1,L987)</f>
        <v>7.6675278589202624</v>
      </c>
      <c r="N987" s="70" t="s">
        <v>3288</v>
      </c>
      <c r="O987" s="71">
        <f>IF(OR(I987=$A$1,I987=0),"",IF(N987=MappingTables!$C$14,VLOOKUP(J987,ModelParameters!$M$8:$N$15,2,FALSE),IF(N987=MappingTables!$C$16,VLOOKUP(J987,ModelParameters!$P$8:$Q$15,2,FALSE),0)))</f>
        <v>1</v>
      </c>
      <c r="P987" s="73">
        <f>IF(OR(I987=0,I987=$A$1),0,MIN(O987*M987,1)*K987)</f>
        <v>117.0060813910389</v>
      </c>
      <c r="Q987" s="73">
        <f>IF(B987="",0,IF(OR(H987=MappingTables!$C$34,H987=MappingTables!$C$35),P987,0))</f>
        <v>0</v>
      </c>
      <c r="R987" s="73">
        <f>IF(ISNA(IF(AND(VLOOKUP(CONCATENATE($D987,$G987),CSRFinput!$B:$E,4,0)=0,OR(H987=MappingTables!$C$31,H987=MappingTables!$C$32)),1,VLOOKUP(CONCATENATE($D987,$G987),CSRFinput!$B:$E,4,0))),0,IF(AND(VLOOKUP(CONCATENATE($D987,$G987),CSRFinput!$B:$E,4,0)=0,OR(H987=MappingTables!$C$31,H987=MappingTables!$C$32)),1,VLOOKUP(CONCATENATE($D987,$G987),CSRFinput!$B:$E,4,0)))</f>
        <v>0.054776304963434752</v>
      </c>
      <c r="S987" s="73">
        <f>IF(B987="",0,P987*R987)</f>
        <v>6.4091607968520144</v>
      </c>
      <c r="T987" s="85">
        <f>IF(B987="",0,IF(OR(H987=MappingTables!$C$34,H987=MappingTables!$C$35),S987,0))</f>
        <v>0</v>
      </c>
    </row>
    <row r="988" spans="2:20" s="0" customFormat="0" ht="15">
      <c r="B988" s="69" t="s">
        <v>4625</v>
      </c>
      <c r="C988" s="70" t="s">
        <v>4626</v>
      </c>
      <c r="D988" s="70" t="s">
        <v>1</v>
      </c>
      <c r="E988" s="70" t="s">
        <v>1</v>
      </c>
      <c r="F988" s="70"/>
      <c r="G988" s="70" t="s">
        <v>61</v>
      </c>
      <c r="H988" s="70" t="s">
        <v>178</v>
      </c>
      <c r="I988" s="70" t="s">
        <v>198</v>
      </c>
      <c r="J988" s="71" t="str">
        <f>IF(OR(I988=0,I988=""),"unrated",VLOOKUP(I988,MappingTables!$B$19:$C$31,2,FALSE))</f>
        <v>unrated</v>
      </c>
      <c r="K988" s="72">
        <v>819.43628952773696</v>
      </c>
      <c r="L988" s="70">
        <v>44.330814439868912</v>
      </c>
      <c r="M988" s="71">
        <f>IF(L988&lt;1,1,L988)</f>
        <v>44.330814439868912</v>
      </c>
      <c r="N988" s="70" t="s">
        <v>3288</v>
      </c>
      <c r="O988" s="71">
        <f>IF(OR(I988=$A$1,I988=0),"",IF(N988=MappingTables!$C$14,VLOOKUP(J988,ModelParameters!$M$8:$N$15,2,FALSE),IF(N988=MappingTables!$C$16,VLOOKUP(J988,ModelParameters!$P$8:$Q$15,2,FALSE),0)))</f>
        <v>1</v>
      </c>
      <c r="P988" s="73">
        <f>IF(OR(I988=0,I988=$A$1),0,MIN(O988*M988,1)*K988)</f>
        <v>819.43628952773696</v>
      </c>
      <c r="Q988" s="73">
        <f>IF(B988="",0,IF(OR(H988=MappingTables!$C$34,H988=MappingTables!$C$35),P988,0))</f>
        <v>0</v>
      </c>
      <c r="R988" s="73">
        <f>IF(ISNA(IF(AND(VLOOKUP(CONCATENATE($D988,$G988),CSRFinput!$B:$E,4,0)=0,OR(H988=MappingTables!$C$31,H988=MappingTables!$C$32)),1,VLOOKUP(CONCATENATE($D988,$G988),CSRFinput!$B:$E,4,0))),0,IF(AND(VLOOKUP(CONCATENATE($D988,$G988),CSRFinput!$B:$E,4,0)=0,OR(H988=MappingTables!$C$31,H988=MappingTables!$C$32)),1,VLOOKUP(CONCATENATE($D988,$G988),CSRFinput!$B:$E,4,0)))</f>
        <v>0.054776304963434752</v>
      </c>
      <c r="S988" s="73">
        <f>IF(B988="",0,P988*R988)</f>
        <v>44.885692093276736</v>
      </c>
      <c r="T988" s="85">
        <f>IF(B988="",0,IF(OR(H988=MappingTables!$C$34,H988=MappingTables!$C$35),S988,0))</f>
        <v>0</v>
      </c>
    </row>
    <row r="989" spans="2:20" s="0" customFormat="0" ht="15">
      <c r="B989" s="69" t="s">
        <v>4627</v>
      </c>
      <c r="C989" s="70" t="s">
        <v>4628</v>
      </c>
      <c r="D989" s="70" t="s">
        <v>1</v>
      </c>
      <c r="E989" s="70" t="s">
        <v>1</v>
      </c>
      <c r="F989" s="70"/>
      <c r="G989" s="70" t="s">
        <v>61</v>
      </c>
      <c r="H989" s="70" t="s">
        <v>178</v>
      </c>
      <c r="I989" s="70" t="s">
        <v>3298</v>
      </c>
      <c r="J989" s="71">
        <f>IF(OR(I989=0,I989=""),"unrated",VLOOKUP(I989,MappingTables!$B$19:$C$31,2,FALSE))</f>
        <v>6</v>
      </c>
      <c r="K989" s="72">
        <v>177.006312644108</v>
      </c>
      <c r="L989" s="70">
        <v>-0.35391562121863852</v>
      </c>
      <c r="M989" s="71">
        <f>IF(L989&lt;1,1,L989)</f>
        <v>1</v>
      </c>
      <c r="N989" s="70" t="s">
        <v>3288</v>
      </c>
      <c r="O989" s="71">
        <f>IF(OR(I989=$A$1,I989=0),"",IF(N989=MappingTables!$C$14,VLOOKUP(J989,ModelParameters!$M$8:$N$15,2,FALSE),IF(N989=MappingTables!$C$16,VLOOKUP(J989,ModelParameters!$P$8:$Q$15,2,FALSE),0)))</f>
        <v>1</v>
      </c>
      <c r="P989" s="73">
        <f>IF(OR(I989=0,I989=$A$1),0,MIN(O989*M989,1)*K989)</f>
        <v>177.006312644108</v>
      </c>
      <c r="Q989" s="73">
        <f>IF(B989="",0,IF(OR(H989=MappingTables!$C$34,H989=MappingTables!$C$35),P989,0))</f>
        <v>0</v>
      </c>
      <c r="R989" s="73">
        <f>IF(ISNA(IF(AND(VLOOKUP(CONCATENATE($D989,$G989),CSRFinput!$B:$E,4,0)=0,OR(H989=MappingTables!$C$31,H989=MappingTables!$C$32)),1,VLOOKUP(CONCATENATE($D989,$G989),CSRFinput!$B:$E,4,0))),0,IF(AND(VLOOKUP(CONCATENATE($D989,$G989),CSRFinput!$B:$E,4,0)=0,OR(H989=MappingTables!$C$31,H989=MappingTables!$C$32)),1,VLOOKUP(CONCATENATE($D989,$G989),CSRFinput!$B:$E,4,0)))</f>
        <v>0.054776304963434752</v>
      </c>
      <c r="S989" s="73">
        <f>IF(B989="",0,P989*R989)</f>
        <v>9.695751761846736</v>
      </c>
      <c r="T989" s="85">
        <f>IF(B989="",0,IF(OR(H989=MappingTables!$C$34,H989=MappingTables!$C$35),S989,0))</f>
        <v>0</v>
      </c>
    </row>
    <row r="990" spans="2:20" s="0" customFormat="0" ht="15">
      <c r="B990" s="69" t="s">
        <v>4078</v>
      </c>
      <c r="C990" s="70" t="s">
        <v>4079</v>
      </c>
      <c r="D990" s="70" t="s">
        <v>1</v>
      </c>
      <c r="E990" s="70" t="s">
        <v>1</v>
      </c>
      <c r="F990" s="70"/>
      <c r="G990" s="70" t="s">
        <v>61</v>
      </c>
      <c r="H990" s="70" t="s">
        <v>178</v>
      </c>
      <c r="I990" s="70" t="s">
        <v>184</v>
      </c>
      <c r="J990" s="71">
        <f>IF(OR(I990=0,I990=""),"unrated",VLOOKUP(I990,MappingTables!$B$19:$C$31,2,FALSE))</f>
        <v>5</v>
      </c>
      <c r="K990" s="72">
        <v>231.99193609888232</v>
      </c>
      <c r="L990" s="70">
        <v>0.064445405129994592</v>
      </c>
      <c r="M990" s="71">
        <f>IF(L990&lt;1,1,L990)</f>
        <v>1</v>
      </c>
      <c r="N990" s="70" t="s">
        <v>3288</v>
      </c>
      <c r="O990" s="71">
        <f>IF(OR(I990=$A$1,I990=0),"",IF(N990=MappingTables!$C$14,VLOOKUP(J990,ModelParameters!$M$8:$N$15,2,FALSE),IF(N990=MappingTables!$C$16,VLOOKUP(J990,ModelParameters!$P$8:$Q$15,2,FALSE),0)))</f>
        <v>1</v>
      </c>
      <c r="P990" s="73">
        <f>IF(OR(I990=0,I990=$A$1),0,MIN(O990*M990,1)*K990)</f>
        <v>231.99193609888232</v>
      </c>
      <c r="Q990" s="73">
        <f>IF(B990="",0,IF(OR(H990=MappingTables!$C$34,H990=MappingTables!$C$35),P990,0))</f>
        <v>0</v>
      </c>
      <c r="R990" s="73">
        <f>IF(ISNA(IF(AND(VLOOKUP(CONCATENATE($D990,$G990),CSRFinput!$B:$E,4,0)=0,OR(H990=MappingTables!$C$31,H990=MappingTables!$C$32)),1,VLOOKUP(CONCATENATE($D990,$G990),CSRFinput!$B:$E,4,0))),0,IF(AND(VLOOKUP(CONCATENATE($D990,$G990),CSRFinput!$B:$E,4,0)=0,OR(H990=MappingTables!$C$31,H990=MappingTables!$C$32)),1,VLOOKUP(CONCATENATE($D990,$G990),CSRFinput!$B:$E,4,0)))</f>
        <v>0.054776304963434752</v>
      </c>
      <c r="S990" s="73">
        <f>IF(B990="",0,P990*R990)</f>
        <v>12.707661040810044</v>
      </c>
      <c r="T990" s="85">
        <f>IF(B990="",0,IF(OR(H990=MappingTables!$C$34,H990=MappingTables!$C$35),S990,0))</f>
        <v>0</v>
      </c>
    </row>
    <row r="991" spans="2:20" s="0" customFormat="0" ht="15">
      <c r="B991" s="69" t="s">
        <v>4629</v>
      </c>
      <c r="C991" s="70" t="s">
        <v>4630</v>
      </c>
      <c r="D991" s="70" t="s">
        <v>1</v>
      </c>
      <c r="E991" s="70" t="s">
        <v>1</v>
      </c>
      <c r="F991" s="70"/>
      <c r="G991" s="70" t="s">
        <v>61</v>
      </c>
      <c r="H991" s="70" t="s">
        <v>178</v>
      </c>
      <c r="I991" s="70" t="s">
        <v>198</v>
      </c>
      <c r="J991" s="71" t="str">
        <f>IF(OR(I991=0,I991=""),"unrated",VLOOKUP(I991,MappingTables!$B$19:$C$31,2,FALSE))</f>
        <v>unrated</v>
      </c>
      <c r="K991" s="72">
        <v>97.152681451825552</v>
      </c>
      <c r="L991" s="70">
        <v>9.1001317606204016</v>
      </c>
      <c r="M991" s="71">
        <f>IF(L991&lt;1,1,L991)</f>
        <v>9.1001317606204016</v>
      </c>
      <c r="N991" s="70" t="s">
        <v>3288</v>
      </c>
      <c r="O991" s="71">
        <f>IF(OR(I991=$A$1,I991=0),"",IF(N991=MappingTables!$C$14,VLOOKUP(J991,ModelParameters!$M$8:$N$15,2,FALSE),IF(N991=MappingTables!$C$16,VLOOKUP(J991,ModelParameters!$P$8:$Q$15,2,FALSE),0)))</f>
        <v>1</v>
      </c>
      <c r="P991" s="73">
        <f>IF(OR(I991=0,I991=$A$1),0,MIN(O991*M991,1)*K991)</f>
        <v>97.152681451825552</v>
      </c>
      <c r="Q991" s="73">
        <f>IF(B991="",0,IF(OR(H991=MappingTables!$C$34,H991=MappingTables!$C$35),P991,0))</f>
        <v>0</v>
      </c>
      <c r="R991" s="73">
        <f>IF(ISNA(IF(AND(VLOOKUP(CONCATENATE($D991,$G991),CSRFinput!$B:$E,4,0)=0,OR(H991=MappingTables!$C$31,H991=MappingTables!$C$32)),1,VLOOKUP(CONCATENATE($D991,$G991),CSRFinput!$B:$E,4,0))),0,IF(AND(VLOOKUP(CONCATENATE($D991,$G991),CSRFinput!$B:$E,4,0)=0,OR(H991=MappingTables!$C$31,H991=MappingTables!$C$32)),1,VLOOKUP(CONCATENATE($D991,$G991),CSRFinput!$B:$E,4,0)))</f>
        <v>0.054776304963434752</v>
      </c>
      <c r="S991" s="73">
        <f>IF(B991="",0,P991*R991)</f>
        <v>5.321664907220628</v>
      </c>
      <c r="T991" s="85">
        <f>IF(B991="",0,IF(OR(H991=MappingTables!$C$34,H991=MappingTables!$C$35),S991,0))</f>
        <v>0</v>
      </c>
    </row>
    <row r="992" spans="2:20" s="0" customFormat="0" ht="15">
      <c r="B992" s="69" t="s">
        <v>4318</v>
      </c>
      <c r="C992" s="70" t="s">
        <v>4319</v>
      </c>
      <c r="D992" s="70" t="s">
        <v>1</v>
      </c>
      <c r="E992" s="70" t="s">
        <v>1</v>
      </c>
      <c r="F992" s="70"/>
      <c r="G992" s="70" t="s">
        <v>61</v>
      </c>
      <c r="H992" s="70" t="s">
        <v>178</v>
      </c>
      <c r="I992" s="70" t="s">
        <v>198</v>
      </c>
      <c r="J992" s="71" t="str">
        <f>IF(OR(I992=0,I992=""),"unrated",VLOOKUP(I992,MappingTables!$B$19:$C$31,2,FALSE))</f>
        <v>unrated</v>
      </c>
      <c r="K992" s="72">
        <v>9.2056121537988512</v>
      </c>
      <c r="L992" s="70">
        <v>0.068494427296142208</v>
      </c>
      <c r="M992" s="71">
        <f>IF(L992&lt;1,1,L992)</f>
        <v>1</v>
      </c>
      <c r="N992" s="70" t="s">
        <v>3288</v>
      </c>
      <c r="O992" s="71">
        <f>IF(OR(I992=$A$1,I992=0),"",IF(N992=MappingTables!$C$14,VLOOKUP(J992,ModelParameters!$M$8:$N$15,2,FALSE),IF(N992=MappingTables!$C$16,VLOOKUP(J992,ModelParameters!$P$8:$Q$15,2,FALSE),0)))</f>
        <v>1</v>
      </c>
      <c r="P992" s="73">
        <f>IF(OR(I992=0,I992=$A$1),0,MIN(O992*M992,1)*K992)</f>
        <v>9.2056121537988512</v>
      </c>
      <c r="Q992" s="73">
        <f>IF(B992="",0,IF(OR(H992=MappingTables!$C$34,H992=MappingTables!$C$35),P992,0))</f>
        <v>0</v>
      </c>
      <c r="R992" s="73">
        <f>IF(ISNA(IF(AND(VLOOKUP(CONCATENATE($D992,$G992),CSRFinput!$B:$E,4,0)=0,OR(H992=MappingTables!$C$31,H992=MappingTables!$C$32)),1,VLOOKUP(CONCATENATE($D992,$G992),CSRFinput!$B:$E,4,0))),0,IF(AND(VLOOKUP(CONCATENATE($D992,$G992),CSRFinput!$B:$E,4,0)=0,OR(H992=MappingTables!$C$31,H992=MappingTables!$C$32)),1,VLOOKUP(CONCATENATE($D992,$G992),CSRFinput!$B:$E,4,0)))</f>
        <v>0.054776304963434752</v>
      </c>
      <c r="S992" s="73">
        <f>IF(B992="",0,P992*R992)</f>
        <v>0.50424941871158736</v>
      </c>
      <c r="T992" s="85">
        <f>IF(B992="",0,IF(OR(H992=MappingTables!$C$34,H992=MappingTables!$C$35),S992,0))</f>
        <v>0</v>
      </c>
    </row>
    <row r="993" spans="2:20" s="0" customFormat="0" ht="15">
      <c r="B993" s="69">
        <v>506411</v>
      </c>
      <c r="C993" s="70" t="s">
        <v>4631</v>
      </c>
      <c r="D993" s="70" t="s">
        <v>1</v>
      </c>
      <c r="E993" s="70" t="s">
        <v>1</v>
      </c>
      <c r="F993" s="70"/>
      <c r="G993" s="70" t="s">
        <v>61</v>
      </c>
      <c r="H993" s="70" t="s">
        <v>178</v>
      </c>
      <c r="I993" s="70" t="s">
        <v>204</v>
      </c>
      <c r="J993" s="71">
        <f>IF(OR(I993=0,I993=""),"unrated",VLOOKUP(I993,MappingTables!$B$19:$C$31,2,FALSE))</f>
        <v>6</v>
      </c>
      <c r="K993" s="72">
        <v>49.24471152212916</v>
      </c>
      <c r="L993" s="70">
        <v>0.068494363443273504</v>
      </c>
      <c r="M993" s="71">
        <f>IF(L993&lt;1,1,L993)</f>
        <v>1</v>
      </c>
      <c r="N993" s="70" t="s">
        <v>3288</v>
      </c>
      <c r="O993" s="71">
        <f>IF(OR(I993=$A$1,I993=0),"",IF(N993=MappingTables!$C$14,VLOOKUP(J993,ModelParameters!$M$8:$N$15,2,FALSE),IF(N993=MappingTables!$C$16,VLOOKUP(J993,ModelParameters!$P$8:$Q$15,2,FALSE),0)))</f>
        <v>1</v>
      </c>
      <c r="P993" s="73">
        <f>IF(OR(I993=0,I993=$A$1),0,MIN(O993*M993,1)*K993)</f>
        <v>49.24471152212916</v>
      </c>
      <c r="Q993" s="73">
        <f>IF(B993="",0,IF(OR(H993=MappingTables!$C$34,H993=MappingTables!$C$35),P993,0))</f>
        <v>0</v>
      </c>
      <c r="R993" s="73">
        <f>IF(ISNA(IF(AND(VLOOKUP(CONCATENATE($D993,$G993),CSRFinput!$B:$E,4,0)=0,OR(H993=MappingTables!$C$31,H993=MappingTables!$C$32)),1,VLOOKUP(CONCATENATE($D993,$G993),CSRFinput!$B:$E,4,0))),0,IF(AND(VLOOKUP(CONCATENATE($D993,$G993),CSRFinput!$B:$E,4,0)=0,OR(H993=MappingTables!$C$31,H993=MappingTables!$C$32)),1,VLOOKUP(CONCATENATE($D993,$G993),CSRFinput!$B:$E,4,0)))</f>
        <v>0.054776304963434752</v>
      </c>
      <c r="S993" s="73">
        <f>IF(B993="",0,P993*R993)</f>
        <v>2.697443336172516</v>
      </c>
      <c r="T993" s="85">
        <f>IF(B993="",0,IF(OR(H993=MappingTables!$C$34,H993=MappingTables!$C$35),S993,0))</f>
        <v>0</v>
      </c>
    </row>
    <row r="994" spans="2:20" s="0" customFormat="0" ht="15">
      <c r="B994" s="69">
        <v>4158073</v>
      </c>
      <c r="C994" s="70" t="s">
        <v>4632</v>
      </c>
      <c r="D994" s="70" t="s">
        <v>1</v>
      </c>
      <c r="E994" s="70" t="s">
        <v>1</v>
      </c>
      <c r="F994" s="70"/>
      <c r="G994" s="70" t="s">
        <v>61</v>
      </c>
      <c r="H994" s="70" t="s">
        <v>178</v>
      </c>
      <c r="I994" s="70" t="s">
        <v>204</v>
      </c>
      <c r="J994" s="71">
        <f>IF(OR(I994=0,I994=""),"unrated",VLOOKUP(I994,MappingTables!$B$19:$C$31,2,FALSE))</f>
        <v>6</v>
      </c>
      <c r="K994" s="72">
        <v>6699.0733304188768</v>
      </c>
      <c r="L994" s="70">
        <v>0.068503538606049432</v>
      </c>
      <c r="M994" s="71">
        <f>IF(L994&lt;1,1,L994)</f>
        <v>1</v>
      </c>
      <c r="N994" s="70" t="s">
        <v>3288</v>
      </c>
      <c r="O994" s="71">
        <f>IF(OR(I994=$A$1,I994=0),"",IF(N994=MappingTables!$C$14,VLOOKUP(J994,ModelParameters!$M$8:$N$15,2,FALSE),IF(N994=MappingTables!$C$16,VLOOKUP(J994,ModelParameters!$P$8:$Q$15,2,FALSE),0)))</f>
        <v>1</v>
      </c>
      <c r="P994" s="73">
        <f>IF(OR(I994=0,I994=$A$1),0,MIN(O994*M994,1)*K994)</f>
        <v>6699.0733304188768</v>
      </c>
      <c r="Q994" s="73">
        <f>IF(B994="",0,IF(OR(H994=MappingTables!$C$34,H994=MappingTables!$C$35),P994,0))</f>
        <v>0</v>
      </c>
      <c r="R994" s="73">
        <f>IF(ISNA(IF(AND(VLOOKUP(CONCATENATE($D994,$G994),CSRFinput!$B:$E,4,0)=0,OR(H994=MappingTables!$C$31,H994=MappingTables!$C$32)),1,VLOOKUP(CONCATENATE($D994,$G994),CSRFinput!$B:$E,4,0))),0,IF(AND(VLOOKUP(CONCATENATE($D994,$G994),CSRFinput!$B:$E,4,0)=0,OR(H994=MappingTables!$C$31,H994=MappingTables!$C$32)),1,VLOOKUP(CONCATENATE($D994,$G994),CSRFinput!$B:$E,4,0)))</f>
        <v>0.054776304963434752</v>
      </c>
      <c r="S994" s="73">
        <f>IF(B994="",0,P994*R994)</f>
        <v>366.95048371943696</v>
      </c>
      <c r="T994" s="85">
        <f>IF(B994="",0,IF(OR(H994=MappingTables!$C$34,H994=MappingTables!$C$35),S994,0))</f>
        <v>0</v>
      </c>
    </row>
    <row r="995" spans="2:20" s="0" customFormat="0" ht="15">
      <c r="B995" s="69" t="s">
        <v>4455</v>
      </c>
      <c r="C995" s="70" t="s">
        <v>4456</v>
      </c>
      <c r="D995" s="70" t="s">
        <v>1</v>
      </c>
      <c r="E995" s="70" t="s">
        <v>1</v>
      </c>
      <c r="F995" s="70"/>
      <c r="G995" s="70" t="s">
        <v>61</v>
      </c>
      <c r="H995" s="70" t="s">
        <v>178</v>
      </c>
      <c r="I995" s="70" t="s">
        <v>198</v>
      </c>
      <c r="J995" s="71" t="str">
        <f>IF(OR(I995=0,I995=""),"unrated",VLOOKUP(I995,MappingTables!$B$19:$C$31,2,FALSE))</f>
        <v>unrated</v>
      </c>
      <c r="K995" s="72">
        <v>46.689143449432528</v>
      </c>
      <c r="L995" s="70">
        <v>0.073397386094859424</v>
      </c>
      <c r="M995" s="71">
        <f>IF(L995&lt;1,1,L995)</f>
        <v>1</v>
      </c>
      <c r="N995" s="70" t="s">
        <v>3288</v>
      </c>
      <c r="O995" s="71">
        <f>IF(OR(I995=$A$1,I995=0),"",IF(N995=MappingTables!$C$14,VLOOKUP(J995,ModelParameters!$M$8:$N$15,2,FALSE),IF(N995=MappingTables!$C$16,VLOOKUP(J995,ModelParameters!$P$8:$Q$15,2,FALSE),0)))</f>
        <v>1</v>
      </c>
      <c r="P995" s="73">
        <f>IF(OR(I995=0,I995=$A$1),0,MIN(O995*M995,1)*K995)</f>
        <v>46.689143449432528</v>
      </c>
      <c r="Q995" s="73">
        <f>IF(B995="",0,IF(OR(H995=MappingTables!$C$34,H995=MappingTables!$C$35),P995,0))</f>
        <v>0</v>
      </c>
      <c r="R995" s="73">
        <f>IF(ISNA(IF(AND(VLOOKUP(CONCATENATE($D995,$G995),CSRFinput!$B:$E,4,0)=0,OR(H995=MappingTables!$C$31,H995=MappingTables!$C$32)),1,VLOOKUP(CONCATENATE($D995,$G995),CSRFinput!$B:$E,4,0))),0,IF(AND(VLOOKUP(CONCATENATE($D995,$G995),CSRFinput!$B:$E,4,0)=0,OR(H995=MappingTables!$C$31,H995=MappingTables!$C$32)),1,VLOOKUP(CONCATENATE($D995,$G995),CSRFinput!$B:$E,4,0)))</f>
        <v>0.054776304963434752</v>
      </c>
      <c r="S995" s="73">
        <f>IF(B995="",0,P995*R995)</f>
        <v>2.5574587600676684</v>
      </c>
      <c r="T995" s="85">
        <f>IF(B995="",0,IF(OR(H995=MappingTables!$C$34,H995=MappingTables!$C$35),S995,0))</f>
        <v>0</v>
      </c>
    </row>
    <row r="996" spans="2:20" s="0" customFormat="0" ht="15">
      <c r="B996" s="69">
        <v>6683584</v>
      </c>
      <c r="C996" s="70" t="s">
        <v>4633</v>
      </c>
      <c r="D996" s="70" t="s">
        <v>1</v>
      </c>
      <c r="E996" s="70" t="s">
        <v>1</v>
      </c>
      <c r="F996" s="70"/>
      <c r="G996" s="70" t="s">
        <v>61</v>
      </c>
      <c r="H996" s="70" t="s">
        <v>178</v>
      </c>
      <c r="I996" s="70" t="s">
        <v>216</v>
      </c>
      <c r="J996" s="71">
        <f>IF(OR(I996=0,I996=""),"unrated",VLOOKUP(I996,MappingTables!$B$19:$C$31,2,FALSE))</f>
        <v>0</v>
      </c>
      <c r="K996" s="72">
        <v>492.7127942664936</v>
      </c>
      <c r="L996" s="70">
        <v>2.0339391047476028</v>
      </c>
      <c r="M996" s="71">
        <f>IF(L996&lt;1,1,L996)</f>
        <v>2.0339391047476028</v>
      </c>
      <c r="N996" s="70" t="s">
        <v>3288</v>
      </c>
      <c r="O996" s="71">
        <f>IF(OR(I996=$A$1,I996=0),"",IF(N996=MappingTables!$C$14,VLOOKUP(J996,ModelParameters!$M$8:$N$15,2,FALSE),IF(N996=MappingTables!$C$16,VLOOKUP(J996,ModelParameters!$P$8:$Q$15,2,FALSE),0)))</f>
        <v>0.125</v>
      </c>
      <c r="P996" s="73">
        <f>IF(OR(I996=0,I996=$A$1),0,MIN(O996*M996,1)*K996)</f>
        <v>125.26847745851024</v>
      </c>
      <c r="Q996" s="73">
        <f>IF(B996="",0,IF(OR(H996=MappingTables!$C$34,H996=MappingTables!$C$35),P996,0))</f>
        <v>0</v>
      </c>
      <c r="R996" s="73">
        <f>IF(ISNA(IF(AND(VLOOKUP(CONCATENATE($D996,$G996),CSRFinput!$B:$E,4,0)=0,OR(H996=MappingTables!$C$31,H996=MappingTables!$C$32)),1,VLOOKUP(CONCATENATE($D996,$G996),CSRFinput!$B:$E,4,0))),0,IF(AND(VLOOKUP(CONCATENATE($D996,$G996),CSRFinput!$B:$E,4,0)=0,OR(H996=MappingTables!$C$31,H996=MappingTables!$C$32)),1,VLOOKUP(CONCATENATE($D996,$G996),CSRFinput!$B:$E,4,0)))</f>
        <v>0.054776304963434752</v>
      </c>
      <c r="S996" s="73">
        <f>IF(B996="",0,P996*R996)</f>
        <v>6.861744323572508</v>
      </c>
      <c r="T996" s="85">
        <f>IF(B996="",0,IF(OR(H996=MappingTables!$C$34,H996=MappingTables!$C$35),S996,0))</f>
        <v>0</v>
      </c>
    </row>
    <row r="997" spans="2:20" s="0" customFormat="0" ht="15">
      <c r="B997" s="69">
        <v>22554398</v>
      </c>
      <c r="C997" s="70" t="s">
        <v>3979</v>
      </c>
      <c r="D997" s="70" t="s">
        <v>1</v>
      </c>
      <c r="E997" s="70" t="s">
        <v>1</v>
      </c>
      <c r="F997" s="70"/>
      <c r="G997" s="70" t="s">
        <v>61</v>
      </c>
      <c r="H997" s="70" t="s">
        <v>178</v>
      </c>
      <c r="I997" s="70" t="s">
        <v>216</v>
      </c>
      <c r="J997" s="71">
        <f>IF(OR(I997=0,I997=""),"unrated",VLOOKUP(I997,MappingTables!$B$19:$C$31,2,FALSE))</f>
        <v>0</v>
      </c>
      <c r="K997" s="72">
        <v>1713.9520762825712</v>
      </c>
      <c r="L997" s="70">
        <v>0.041416152167572</v>
      </c>
      <c r="M997" s="71">
        <f>IF(L997&lt;1,1,L997)</f>
        <v>1</v>
      </c>
      <c r="N997" s="70" t="s">
        <v>3288</v>
      </c>
      <c r="O997" s="71">
        <f>IF(OR(I997=$A$1,I997=0),"",IF(N997=MappingTables!$C$14,VLOOKUP(J997,ModelParameters!$M$8:$N$15,2,FALSE),IF(N997=MappingTables!$C$16,VLOOKUP(J997,ModelParameters!$P$8:$Q$15,2,FALSE),0)))</f>
        <v>0.125</v>
      </c>
      <c r="P997" s="73">
        <f>IF(OR(I997=0,I997=$A$1),0,MIN(O997*M997,1)*K997)</f>
        <v>214.2440095353214</v>
      </c>
      <c r="Q997" s="73">
        <f>IF(B997="",0,IF(OR(H997=MappingTables!$C$34,H997=MappingTables!$C$35),P997,0))</f>
        <v>0</v>
      </c>
      <c r="R997" s="73">
        <f>IF(ISNA(IF(AND(VLOOKUP(CONCATENATE($D997,$G997),CSRFinput!$B:$E,4,0)=0,OR(H997=MappingTables!$C$31,H997=MappingTables!$C$32)),1,VLOOKUP(CONCATENATE($D997,$G997),CSRFinput!$B:$E,4,0))),0,IF(AND(VLOOKUP(CONCATENATE($D997,$G997),CSRFinput!$B:$E,4,0)=0,OR(H997=MappingTables!$C$31,H997=MappingTables!$C$32)),1,VLOOKUP(CONCATENATE($D997,$G997),CSRFinput!$B:$E,4,0)))</f>
        <v>0.054776304963434752</v>
      </c>
      <c r="S997" s="73">
        <f>IF(B997="",0,P997*R997)</f>
        <v>11.735495202895788</v>
      </c>
      <c r="T997" s="85">
        <f>IF(B997="",0,IF(OR(H997=MappingTables!$C$34,H997=MappingTables!$C$35),S997,0))</f>
        <v>0</v>
      </c>
    </row>
    <row r="998" spans="2:20" s="0" customFormat="0" ht="15">
      <c r="B998" s="69">
        <v>16974979</v>
      </c>
      <c r="C998" s="70" t="s">
        <v>4406</v>
      </c>
      <c r="D998" s="70" t="s">
        <v>1</v>
      </c>
      <c r="E998" s="70" t="s">
        <v>1</v>
      </c>
      <c r="F998" s="70"/>
      <c r="G998" s="70" t="s">
        <v>61</v>
      </c>
      <c r="H998" s="70" t="s">
        <v>178</v>
      </c>
      <c r="I998" s="70" t="s">
        <v>216</v>
      </c>
      <c r="J998" s="71">
        <f>IF(OR(I998=0,I998=""),"unrated",VLOOKUP(I998,MappingTables!$B$19:$C$31,2,FALSE))</f>
        <v>0</v>
      </c>
      <c r="K998" s="72">
        <v>160.8572017731183</v>
      </c>
      <c r="L998" s="70">
        <v>0.04245759477018336</v>
      </c>
      <c r="M998" s="71">
        <f>IF(L998&lt;1,1,L998)</f>
        <v>1</v>
      </c>
      <c r="N998" s="70" t="s">
        <v>3288</v>
      </c>
      <c r="O998" s="71">
        <f>IF(OR(I998=$A$1,I998=0),"",IF(N998=MappingTables!$C$14,VLOOKUP(J998,ModelParameters!$M$8:$N$15,2,FALSE),IF(N998=MappingTables!$C$16,VLOOKUP(J998,ModelParameters!$P$8:$Q$15,2,FALSE),0)))</f>
        <v>0.125</v>
      </c>
      <c r="P998" s="73">
        <f>IF(OR(I998=0,I998=$A$1),0,MIN(O998*M998,1)*K998)</f>
        <v>20.107150221639788</v>
      </c>
      <c r="Q998" s="73">
        <f>IF(B998="",0,IF(OR(H998=MappingTables!$C$34,H998=MappingTables!$C$35),P998,0))</f>
        <v>0</v>
      </c>
      <c r="R998" s="73">
        <f>IF(ISNA(IF(AND(VLOOKUP(CONCATENATE($D998,$G998),CSRFinput!$B:$E,4,0)=0,OR(H998=MappingTables!$C$31,H998=MappingTables!$C$32)),1,VLOOKUP(CONCATENATE($D998,$G998),CSRFinput!$B:$E,4,0))),0,IF(AND(VLOOKUP(CONCATENATE($D998,$G998),CSRFinput!$B:$E,4,0)=0,OR(H998=MappingTables!$C$31,H998=MappingTables!$C$32)),1,VLOOKUP(CONCATENATE($D998,$G998),CSRFinput!$B:$E,4,0)))</f>
        <v>0.054776304963434752</v>
      </c>
      <c r="S998" s="73">
        <f>IF(B998="",0,P998*R998)</f>
        <v>1.1013953924861358</v>
      </c>
      <c r="T998" s="85">
        <f>IF(B998="",0,IF(OR(H998=MappingTables!$C$34,H998=MappingTables!$C$35),S998,0))</f>
        <v>0</v>
      </c>
    </row>
    <row r="999" spans="2:20" s="0" customFormat="0" ht="15">
      <c r="B999" s="69" t="s">
        <v>4634</v>
      </c>
      <c r="C999" s="70" t="s">
        <v>4635</v>
      </c>
      <c r="D999" s="70" t="s">
        <v>1</v>
      </c>
      <c r="E999" s="70" t="s">
        <v>1</v>
      </c>
      <c r="F999" s="70"/>
      <c r="G999" s="70" t="s">
        <v>61</v>
      </c>
      <c r="H999" s="70" t="s">
        <v>178</v>
      </c>
      <c r="I999" s="70" t="s">
        <v>3298</v>
      </c>
      <c r="J999" s="71">
        <f>IF(OR(I999=0,I999=""),"unrated",VLOOKUP(I999,MappingTables!$B$19:$C$31,2,FALSE))</f>
        <v>6</v>
      </c>
      <c r="K999" s="72">
        <v>2954.7745257394132</v>
      </c>
      <c r="L999" s="70">
        <v>0.06849378072225512</v>
      </c>
      <c r="M999" s="71">
        <f>IF(L999&lt;1,1,L999)</f>
        <v>1</v>
      </c>
      <c r="N999" s="70" t="s">
        <v>3288</v>
      </c>
      <c r="O999" s="71">
        <f>IF(OR(I999=$A$1,I999=0),"",IF(N999=MappingTables!$C$14,VLOOKUP(J999,ModelParameters!$M$8:$N$15,2,FALSE),IF(N999=MappingTables!$C$16,VLOOKUP(J999,ModelParameters!$P$8:$Q$15,2,FALSE),0)))</f>
        <v>1</v>
      </c>
      <c r="P999" s="73">
        <f>IF(OR(I999=0,I999=$A$1),0,MIN(O999*M999,1)*K999)</f>
        <v>2954.7745257394132</v>
      </c>
      <c r="Q999" s="73">
        <f>IF(B999="",0,IF(OR(H999=MappingTables!$C$34,H999=MappingTables!$C$35),P999,0))</f>
        <v>0</v>
      </c>
      <c r="R999" s="73">
        <f>IF(ISNA(IF(AND(VLOOKUP(CONCATENATE($D999,$G999),CSRFinput!$B:$E,4,0)=0,OR(H999=MappingTables!$C$31,H999=MappingTables!$C$32)),1,VLOOKUP(CONCATENATE($D999,$G999),CSRFinput!$B:$E,4,0))),0,IF(AND(VLOOKUP(CONCATENATE($D999,$G999),CSRFinput!$B:$E,4,0)=0,OR(H999=MappingTables!$C$31,H999=MappingTables!$C$32)),1,VLOOKUP(CONCATENATE($D999,$G999),CSRFinput!$B:$E,4,0)))</f>
        <v>0.054776304963434752</v>
      </c>
      <c r="S999" s="73">
        <f>IF(B999="",0,P999*R999)</f>
        <v>161.8516305200904</v>
      </c>
      <c r="T999" s="85">
        <f>IF(B999="",0,IF(OR(H999=MappingTables!$C$34,H999=MappingTables!$C$35),S999,0))</f>
        <v>0</v>
      </c>
    </row>
    <row r="1000" spans="2:20" s="0" customFormat="0" ht="15">
      <c r="B1000" s="69" t="s">
        <v>4493</v>
      </c>
      <c r="C1000" s="70" t="s">
        <v>4494</v>
      </c>
      <c r="D1000" s="70" t="s">
        <v>1</v>
      </c>
      <c r="E1000" s="70" t="s">
        <v>1</v>
      </c>
      <c r="F1000" s="70"/>
      <c r="G1000" s="70" t="s">
        <v>61</v>
      </c>
      <c r="H1000" s="70" t="s">
        <v>178</v>
      </c>
      <c r="I1000" s="70" t="s">
        <v>198</v>
      </c>
      <c r="J1000" s="71" t="str">
        <f>IF(OR(I1000=0,I1000=""),"unrated",VLOOKUP(I1000,MappingTables!$B$19:$C$31,2,FALSE))</f>
        <v>unrated</v>
      </c>
      <c r="K1000" s="72">
        <v>123.40643855027656</v>
      </c>
      <c r="L1000" s="70">
        <v>-0.0881022408177096</v>
      </c>
      <c r="M1000" s="71">
        <f>IF(L1000&lt;1,1,L1000)</f>
        <v>1</v>
      </c>
      <c r="N1000" s="70" t="s">
        <v>3288</v>
      </c>
      <c r="O1000" s="71">
        <f>IF(OR(I1000=$A$1,I1000=0),"",IF(N1000=MappingTables!$C$14,VLOOKUP(J1000,ModelParameters!$M$8:$N$15,2,FALSE),IF(N1000=MappingTables!$C$16,VLOOKUP(J1000,ModelParameters!$P$8:$Q$15,2,FALSE),0)))</f>
        <v>1</v>
      </c>
      <c r="P1000" s="73">
        <f>IF(OR(I1000=0,I1000=$A$1),0,MIN(O1000*M1000,1)*K1000)</f>
        <v>123.40643855027656</v>
      </c>
      <c r="Q1000" s="73">
        <f>IF(B1000="",0,IF(OR(H1000=MappingTables!$C$34,H1000=MappingTables!$C$35),P1000,0))</f>
        <v>0</v>
      </c>
      <c r="R1000" s="73">
        <f>IF(ISNA(IF(AND(VLOOKUP(CONCATENATE($D1000,$G1000),CSRFinput!$B:$E,4,0)=0,OR(H1000=MappingTables!$C$31,H1000=MappingTables!$C$32)),1,VLOOKUP(CONCATENATE($D1000,$G1000),CSRFinput!$B:$E,4,0))),0,IF(AND(VLOOKUP(CONCATENATE($D1000,$G1000),CSRFinput!$B:$E,4,0)=0,OR(H1000=MappingTables!$C$31,H1000=MappingTables!$C$32)),1,VLOOKUP(CONCATENATE($D1000,$G1000),CSRFinput!$B:$E,4,0)))</f>
        <v>0.054776304963434752</v>
      </c>
      <c r="S1000" s="73">
        <f>IF(B1000="",0,P1000*R1000)</f>
        <v>6.75974871248132</v>
      </c>
      <c r="T1000" s="85">
        <f>IF(B1000="",0,IF(OR(H1000=MappingTables!$C$34,H1000=MappingTables!$C$35),S1000,0))</f>
        <v>0</v>
      </c>
    </row>
    <row r="1001" spans="2:20" s="0" customFormat="0" ht="15">
      <c r="B1001" s="69">
        <v>22554573</v>
      </c>
      <c r="C1001" s="70" t="s">
        <v>3777</v>
      </c>
      <c r="D1001" s="70" t="s">
        <v>1</v>
      </c>
      <c r="E1001" s="70" t="s">
        <v>1</v>
      </c>
      <c r="F1001" s="70"/>
      <c r="G1001" s="70" t="s">
        <v>61</v>
      </c>
      <c r="H1001" s="70" t="s">
        <v>178</v>
      </c>
      <c r="I1001" s="70" t="s">
        <v>198</v>
      </c>
      <c r="J1001" s="71" t="str">
        <f>IF(OR(I1001=0,I1001=""),"unrated",VLOOKUP(I1001,MappingTables!$B$19:$C$31,2,FALSE))</f>
        <v>unrated</v>
      </c>
      <c r="K1001" s="72">
        <v>4.3867576772064128</v>
      </c>
      <c r="L1001" s="70">
        <v>0.060145913847856872</v>
      </c>
      <c r="M1001" s="71">
        <f>IF(L1001&lt;1,1,L1001)</f>
        <v>1</v>
      </c>
      <c r="N1001" s="70" t="s">
        <v>3288</v>
      </c>
      <c r="O1001" s="71">
        <f>IF(OR(I1001=$A$1,I1001=0),"",IF(N1001=MappingTables!$C$14,VLOOKUP(J1001,ModelParameters!$M$8:$N$15,2,FALSE),IF(N1001=MappingTables!$C$16,VLOOKUP(J1001,ModelParameters!$P$8:$Q$15,2,FALSE),0)))</f>
        <v>1</v>
      </c>
      <c r="P1001" s="73">
        <f>IF(OR(I1001=0,I1001=$A$1),0,MIN(O1001*M1001,1)*K1001)</f>
        <v>4.3867576772064128</v>
      </c>
      <c r="Q1001" s="73">
        <f>IF(B1001="",0,IF(OR(H1001=MappingTables!$C$34,H1001=MappingTables!$C$35),P1001,0))</f>
        <v>0</v>
      </c>
      <c r="R1001" s="73">
        <f>IF(ISNA(IF(AND(VLOOKUP(CONCATENATE($D1001,$G1001),CSRFinput!$B:$E,4,0)=0,OR(H1001=MappingTables!$C$31,H1001=MappingTables!$C$32)),1,VLOOKUP(CONCATENATE($D1001,$G1001),CSRFinput!$B:$E,4,0))),0,IF(AND(VLOOKUP(CONCATENATE($D1001,$G1001),CSRFinput!$B:$E,4,0)=0,OR(H1001=MappingTables!$C$31,H1001=MappingTables!$C$32)),1,VLOOKUP(CONCATENATE($D1001,$G1001),CSRFinput!$B:$E,4,0)))</f>
        <v>0.054776304963434752</v>
      </c>
      <c r="S1001" s="73">
        <f>IF(B1001="",0,P1001*R1001)</f>
        <v>0.24029037632734716</v>
      </c>
      <c r="T1001" s="85">
        <f>IF(B1001="",0,IF(OR(H1001=MappingTables!$C$34,H1001=MappingTables!$C$35),S1001,0))</f>
        <v>0</v>
      </c>
    </row>
    <row r="1002" spans="2:20" s="0" customFormat="0" ht="15">
      <c r="B1002" s="69">
        <v>22554085</v>
      </c>
      <c r="C1002" s="70" t="s">
        <v>4636</v>
      </c>
      <c r="D1002" s="70" t="s">
        <v>1</v>
      </c>
      <c r="E1002" s="70" t="s">
        <v>1</v>
      </c>
      <c r="F1002" s="70"/>
      <c r="G1002" s="70" t="s">
        <v>61</v>
      </c>
      <c r="H1002" s="70" t="s">
        <v>178</v>
      </c>
      <c r="I1002" s="70" t="s">
        <v>216</v>
      </c>
      <c r="J1002" s="71">
        <f>IF(OR(I1002=0,I1002=""),"unrated",VLOOKUP(I1002,MappingTables!$B$19:$C$31,2,FALSE))</f>
        <v>0</v>
      </c>
      <c r="K1002" s="72">
        <v>15.289867731696626</v>
      </c>
      <c r="L1002" s="70">
        <v>0.081992739102553584</v>
      </c>
      <c r="M1002" s="71">
        <f>IF(L1002&lt;1,1,L1002)</f>
        <v>1</v>
      </c>
      <c r="N1002" s="70" t="s">
        <v>3288</v>
      </c>
      <c r="O1002" s="71">
        <f>IF(OR(I1002=$A$1,I1002=0),"",IF(N1002=MappingTables!$C$14,VLOOKUP(J1002,ModelParameters!$M$8:$N$15,2,FALSE),IF(N1002=MappingTables!$C$16,VLOOKUP(J1002,ModelParameters!$P$8:$Q$15,2,FALSE),0)))</f>
        <v>0.125</v>
      </c>
      <c r="P1002" s="73">
        <f>IF(OR(I1002=0,I1002=$A$1),0,MIN(O1002*M1002,1)*K1002)</f>
        <v>1.9112334664620784</v>
      </c>
      <c r="Q1002" s="73">
        <f>IF(B1002="",0,IF(OR(H1002=MappingTables!$C$34,H1002=MappingTables!$C$35),P1002,0))</f>
        <v>0</v>
      </c>
      <c r="R1002" s="73">
        <f>IF(ISNA(IF(AND(VLOOKUP(CONCATENATE($D1002,$G1002),CSRFinput!$B:$E,4,0)=0,OR(H1002=MappingTables!$C$31,H1002=MappingTables!$C$32)),1,VLOOKUP(CONCATENATE($D1002,$G1002),CSRFinput!$B:$E,4,0))),0,IF(AND(VLOOKUP(CONCATENATE($D1002,$G1002),CSRFinput!$B:$E,4,0)=0,OR(H1002=MappingTables!$C$31,H1002=MappingTables!$C$32)),1,VLOOKUP(CONCATENATE($D1002,$G1002),CSRFinput!$B:$E,4,0)))</f>
        <v>0.054776304963434752</v>
      </c>
      <c r="S1002" s="73">
        <f>IF(B1002="",0,P1002*R1002)</f>
        <v>0.10469030721524934</v>
      </c>
      <c r="T1002" s="85">
        <f>IF(B1002="",0,IF(OR(H1002=MappingTables!$C$34,H1002=MappingTables!$C$35),S1002,0))</f>
        <v>0</v>
      </c>
    </row>
    <row r="1003" spans="2:20" s="0" customFormat="0" ht="15">
      <c r="B1003" s="69" t="s">
        <v>4096</v>
      </c>
      <c r="C1003" s="70" t="s">
        <v>4097</v>
      </c>
      <c r="D1003" s="70" t="s">
        <v>1</v>
      </c>
      <c r="E1003" s="70" t="s">
        <v>1</v>
      </c>
      <c r="F1003" s="70"/>
      <c r="G1003" s="70" t="s">
        <v>61</v>
      </c>
      <c r="H1003" s="70" t="s">
        <v>178</v>
      </c>
      <c r="I1003" s="70" t="s">
        <v>204</v>
      </c>
      <c r="J1003" s="71">
        <f>IF(OR(I1003=0,I1003=""),"unrated",VLOOKUP(I1003,MappingTables!$B$19:$C$31,2,FALSE))</f>
        <v>6</v>
      </c>
      <c r="K1003" s="72">
        <v>545.97148281766264</v>
      </c>
      <c r="L1003" s="70">
        <v>-0.2917133527859438</v>
      </c>
      <c r="M1003" s="71">
        <f>IF(L1003&lt;1,1,L1003)</f>
        <v>1</v>
      </c>
      <c r="N1003" s="70" t="s">
        <v>3288</v>
      </c>
      <c r="O1003" s="71">
        <f>IF(OR(I1003=$A$1,I1003=0),"",IF(N1003=MappingTables!$C$14,VLOOKUP(J1003,ModelParameters!$M$8:$N$15,2,FALSE),IF(N1003=MappingTables!$C$16,VLOOKUP(J1003,ModelParameters!$P$8:$Q$15,2,FALSE),0)))</f>
        <v>1</v>
      </c>
      <c r="P1003" s="73">
        <f>IF(OR(I1003=0,I1003=$A$1),0,MIN(O1003*M1003,1)*K1003)</f>
        <v>545.97148281766264</v>
      </c>
      <c r="Q1003" s="73">
        <f>IF(B1003="",0,IF(OR(H1003=MappingTables!$C$34,H1003=MappingTables!$C$35),P1003,0))</f>
        <v>0</v>
      </c>
      <c r="R1003" s="73">
        <f>IF(ISNA(IF(AND(VLOOKUP(CONCATENATE($D1003,$G1003),CSRFinput!$B:$E,4,0)=0,OR(H1003=MappingTables!$C$31,H1003=MappingTables!$C$32)),1,VLOOKUP(CONCATENATE($D1003,$G1003),CSRFinput!$B:$E,4,0))),0,IF(AND(VLOOKUP(CONCATENATE($D1003,$G1003),CSRFinput!$B:$E,4,0)=0,OR(H1003=MappingTables!$C$31,H1003=MappingTables!$C$32)),1,VLOOKUP(CONCATENATE($D1003,$G1003),CSRFinput!$B:$E,4,0)))</f>
        <v>0.054776304963434752</v>
      </c>
      <c r="S1003" s="73">
        <f>IF(B1003="",0,P1003*R1003)</f>
        <v>29.906300444158964</v>
      </c>
      <c r="T1003" s="85">
        <f>IF(B1003="",0,IF(OR(H1003=MappingTables!$C$34,H1003=MappingTables!$C$35),S1003,0))</f>
        <v>0</v>
      </c>
    </row>
    <row r="1004" spans="2:20" s="0" customFormat="0" ht="15">
      <c r="B1004" s="69" t="s">
        <v>4637</v>
      </c>
      <c r="C1004" s="70" t="s">
        <v>4638</v>
      </c>
      <c r="D1004" s="70" t="s">
        <v>1</v>
      </c>
      <c r="E1004" s="70" t="s">
        <v>1</v>
      </c>
      <c r="F1004" s="70"/>
      <c r="G1004" s="70" t="s">
        <v>61</v>
      </c>
      <c r="H1004" s="70" t="s">
        <v>178</v>
      </c>
      <c r="I1004" s="70" t="s">
        <v>198</v>
      </c>
      <c r="J1004" s="71" t="str">
        <f>IF(OR(I1004=0,I1004=""),"unrated",VLOOKUP(I1004,MappingTables!$B$19:$C$31,2,FALSE))</f>
        <v>unrated</v>
      </c>
      <c r="K1004" s="72">
        <v>35.080074326177788</v>
      </c>
      <c r="L1004" s="70">
        <v>0.15290092006761974</v>
      </c>
      <c r="M1004" s="71">
        <f>IF(L1004&lt;1,1,L1004)</f>
        <v>1</v>
      </c>
      <c r="N1004" s="70" t="s">
        <v>3288</v>
      </c>
      <c r="O1004" s="71">
        <f>IF(OR(I1004=$A$1,I1004=0),"",IF(N1004=MappingTables!$C$14,VLOOKUP(J1004,ModelParameters!$M$8:$N$15,2,FALSE),IF(N1004=MappingTables!$C$16,VLOOKUP(J1004,ModelParameters!$P$8:$Q$15,2,FALSE),0)))</f>
        <v>1</v>
      </c>
      <c r="P1004" s="73">
        <f>IF(OR(I1004=0,I1004=$A$1),0,MIN(O1004*M1004,1)*K1004)</f>
        <v>35.080074326177788</v>
      </c>
      <c r="Q1004" s="73">
        <f>IF(B1004="",0,IF(OR(H1004=MappingTables!$C$34,H1004=MappingTables!$C$35),P1004,0))</f>
        <v>0</v>
      </c>
      <c r="R1004" s="73">
        <f>IF(ISNA(IF(AND(VLOOKUP(CONCATENATE($D1004,$G1004),CSRFinput!$B:$E,4,0)=0,OR(H1004=MappingTables!$C$31,H1004=MappingTables!$C$32)),1,VLOOKUP(CONCATENATE($D1004,$G1004),CSRFinput!$B:$E,4,0))),0,IF(AND(VLOOKUP(CONCATENATE($D1004,$G1004),CSRFinput!$B:$E,4,0)=0,OR(H1004=MappingTables!$C$31,H1004=MappingTables!$C$32)),1,VLOOKUP(CONCATENATE($D1004,$G1004),CSRFinput!$B:$E,4,0)))</f>
        <v>0.054776304963434752</v>
      </c>
      <c r="S1004" s="73">
        <f>IF(B1004="",0,P1004*R1004)</f>
        <v>1.9215568494306724</v>
      </c>
      <c r="T1004" s="85">
        <f>IF(B1004="",0,IF(OR(H1004=MappingTables!$C$34,H1004=MappingTables!$C$35),S1004,0))</f>
        <v>0</v>
      </c>
    </row>
    <row r="1005" spans="2:20" s="0" customFormat="0" ht="15">
      <c r="B1005" s="69" t="s">
        <v>4423</v>
      </c>
      <c r="C1005" s="70" t="s">
        <v>4424</v>
      </c>
      <c r="D1005" s="70" t="s">
        <v>1</v>
      </c>
      <c r="E1005" s="70" t="s">
        <v>1</v>
      </c>
      <c r="F1005" s="70"/>
      <c r="G1005" s="70" t="s">
        <v>61</v>
      </c>
      <c r="H1005" s="70" t="s">
        <v>178</v>
      </c>
      <c r="I1005" s="70" t="s">
        <v>216</v>
      </c>
      <c r="J1005" s="71">
        <f>IF(OR(I1005=0,I1005=""),"unrated",VLOOKUP(I1005,MappingTables!$B$19:$C$31,2,FALSE))</f>
        <v>0</v>
      </c>
      <c r="K1005" s="72">
        <v>447.8579526179264</v>
      </c>
      <c r="L1005" s="70">
        <v>0.0713944059967722</v>
      </c>
      <c r="M1005" s="71">
        <f>IF(L1005&lt;1,1,L1005)</f>
        <v>1</v>
      </c>
      <c r="N1005" s="70" t="s">
        <v>3288</v>
      </c>
      <c r="O1005" s="71">
        <f>IF(OR(I1005=$A$1,I1005=0),"",IF(N1005=MappingTables!$C$14,VLOOKUP(J1005,ModelParameters!$M$8:$N$15,2,FALSE),IF(N1005=MappingTables!$C$16,VLOOKUP(J1005,ModelParameters!$P$8:$Q$15,2,FALSE),0)))</f>
        <v>0.125</v>
      </c>
      <c r="P1005" s="73">
        <f>IF(OR(I1005=0,I1005=$A$1),0,MIN(O1005*M1005,1)*K1005)</f>
        <v>55.9822440772408</v>
      </c>
      <c r="Q1005" s="73">
        <f>IF(B1005="",0,IF(OR(H1005=MappingTables!$C$34,H1005=MappingTables!$C$35),P1005,0))</f>
        <v>0</v>
      </c>
      <c r="R1005" s="73">
        <f>IF(ISNA(IF(AND(VLOOKUP(CONCATENATE($D1005,$G1005),CSRFinput!$B:$E,4,0)=0,OR(H1005=MappingTables!$C$31,H1005=MappingTables!$C$32)),1,VLOOKUP(CONCATENATE($D1005,$G1005),CSRFinput!$B:$E,4,0))),0,IF(AND(VLOOKUP(CONCATENATE($D1005,$G1005),CSRFinput!$B:$E,4,0)=0,OR(H1005=MappingTables!$C$31,H1005=MappingTables!$C$32)),1,VLOOKUP(CONCATENATE($D1005,$G1005),CSRFinput!$B:$E,4,0)))</f>
        <v>0.054776304963434752</v>
      </c>
      <c r="S1005" s="73">
        <f>IF(B1005="",0,P1005*R1005)</f>
        <v>3.0665004741123808</v>
      </c>
      <c r="T1005" s="85">
        <f>IF(B1005="",0,IF(OR(H1005=MappingTables!$C$34,H1005=MappingTables!$C$35),S1005,0))</f>
        <v>0</v>
      </c>
    </row>
    <row r="1006" spans="2:20" s="0" customFormat="0" ht="15">
      <c r="B1006" s="69">
        <v>15099701</v>
      </c>
      <c r="C1006" s="70" t="s">
        <v>4639</v>
      </c>
      <c r="D1006" s="70" t="s">
        <v>1</v>
      </c>
      <c r="E1006" s="70" t="s">
        <v>1</v>
      </c>
      <c r="F1006" s="70"/>
      <c r="G1006" s="70" t="s">
        <v>61</v>
      </c>
      <c r="H1006" s="70" t="s">
        <v>178</v>
      </c>
      <c r="I1006" s="70" t="s">
        <v>216</v>
      </c>
      <c r="J1006" s="71">
        <f>IF(OR(I1006=0,I1006=""),"unrated",VLOOKUP(I1006,MappingTables!$B$19:$C$31,2,FALSE))</f>
        <v>0</v>
      </c>
      <c r="K1006" s="72">
        <v>528.71118724353744</v>
      </c>
      <c r="L1006" s="70">
        <v>0.034990647793382816</v>
      </c>
      <c r="M1006" s="71">
        <f>IF(L1006&lt;1,1,L1006)</f>
        <v>1</v>
      </c>
      <c r="N1006" s="70" t="s">
        <v>3288</v>
      </c>
      <c r="O1006" s="71">
        <f>IF(OR(I1006=$A$1,I1006=0),"",IF(N1006=MappingTables!$C$14,VLOOKUP(J1006,ModelParameters!$M$8:$N$15,2,FALSE),IF(N1006=MappingTables!$C$16,VLOOKUP(J1006,ModelParameters!$P$8:$Q$15,2,FALSE),0)))</f>
        <v>0.125</v>
      </c>
      <c r="P1006" s="73">
        <f>IF(OR(I1006=0,I1006=$A$1),0,MIN(O1006*M1006,1)*K1006)</f>
        <v>66.088898405442176</v>
      </c>
      <c r="Q1006" s="73">
        <f>IF(B1006="",0,IF(OR(H1006=MappingTables!$C$34,H1006=MappingTables!$C$35),P1006,0))</f>
        <v>0</v>
      </c>
      <c r="R1006" s="73">
        <f>IF(ISNA(IF(AND(VLOOKUP(CONCATENATE($D1006,$G1006),CSRFinput!$B:$E,4,0)=0,OR(H1006=MappingTables!$C$31,H1006=MappingTables!$C$32)),1,VLOOKUP(CONCATENATE($D1006,$G1006),CSRFinput!$B:$E,4,0))),0,IF(AND(VLOOKUP(CONCATENATE($D1006,$G1006),CSRFinput!$B:$E,4,0)=0,OR(H1006=MappingTables!$C$31,H1006=MappingTables!$C$32)),1,VLOOKUP(CONCATENATE($D1006,$G1006),CSRFinput!$B:$E,4,0)))</f>
        <v>0.054776304963434752</v>
      </c>
      <c r="S1006" s="73">
        <f>IF(B1006="",0,P1006*R1006)</f>
        <v>3.6201056537539576</v>
      </c>
      <c r="T1006" s="85">
        <f>IF(B1006="",0,IF(OR(H1006=MappingTables!$C$34,H1006=MappingTables!$C$35),S1006,0))</f>
        <v>0</v>
      </c>
    </row>
    <row r="1007" spans="2:20" s="0" customFormat="0" ht="15">
      <c r="B1007" s="69">
        <v>22554461</v>
      </c>
      <c r="C1007" s="70" t="s">
        <v>4640</v>
      </c>
      <c r="D1007" s="70" t="s">
        <v>1</v>
      </c>
      <c r="E1007" s="70" t="s">
        <v>1</v>
      </c>
      <c r="F1007" s="70"/>
      <c r="G1007" s="70" t="s">
        <v>61</v>
      </c>
      <c r="H1007" s="70" t="s">
        <v>178</v>
      </c>
      <c r="I1007" s="70" t="s">
        <v>216</v>
      </c>
      <c r="J1007" s="71">
        <f>IF(OR(I1007=0,I1007=""),"unrated",VLOOKUP(I1007,MappingTables!$B$19:$C$31,2,FALSE))</f>
        <v>0</v>
      </c>
      <c r="K1007" s="72">
        <v>1.0903882368968538</v>
      </c>
      <c r="L1007" s="70">
        <v>0.055653442524755376</v>
      </c>
      <c r="M1007" s="71">
        <f>IF(L1007&lt;1,1,L1007)</f>
        <v>1</v>
      </c>
      <c r="N1007" s="70" t="s">
        <v>3288</v>
      </c>
      <c r="O1007" s="71">
        <f>IF(OR(I1007=$A$1,I1007=0),"",IF(N1007=MappingTables!$C$14,VLOOKUP(J1007,ModelParameters!$M$8:$N$15,2,FALSE),IF(N1007=MappingTables!$C$16,VLOOKUP(J1007,ModelParameters!$P$8:$Q$15,2,FALSE),0)))</f>
        <v>0.125</v>
      </c>
      <c r="P1007" s="73">
        <f>IF(OR(I1007=0,I1007=$A$1),0,MIN(O1007*M1007,1)*K1007)</f>
        <v>0.13629852961210672</v>
      </c>
      <c r="Q1007" s="73">
        <f>IF(B1007="",0,IF(OR(H1007=MappingTables!$C$34,H1007=MappingTables!$C$35),P1007,0))</f>
        <v>0</v>
      </c>
      <c r="R1007" s="73">
        <f>IF(ISNA(IF(AND(VLOOKUP(CONCATENATE($D1007,$G1007),CSRFinput!$B:$E,4,0)=0,OR(H1007=MappingTables!$C$31,H1007=MappingTables!$C$32)),1,VLOOKUP(CONCATENATE($D1007,$G1007),CSRFinput!$B:$E,4,0))),0,IF(AND(VLOOKUP(CONCATENATE($D1007,$G1007),CSRFinput!$B:$E,4,0)=0,OR(H1007=MappingTables!$C$31,H1007=MappingTables!$C$32)),1,VLOOKUP(CONCATENATE($D1007,$G1007),CSRFinput!$B:$E,4,0)))</f>
        <v>0.054776304963434752</v>
      </c>
      <c r="S1007" s="73">
        <f>IF(B1007="",0,P1007*R1007)</f>
        <v>0.0074659298241005008</v>
      </c>
      <c r="T1007" s="85">
        <f>IF(B1007="",0,IF(OR(H1007=MappingTables!$C$34,H1007=MappingTables!$C$35),S1007,0))</f>
        <v>0</v>
      </c>
    </row>
    <row r="1008" spans="2:20" s="0" customFormat="0" ht="15">
      <c r="B1008" s="69" t="s">
        <v>4641</v>
      </c>
      <c r="C1008" s="70" t="s">
        <v>4642</v>
      </c>
      <c r="D1008" s="70" t="s">
        <v>1</v>
      </c>
      <c r="E1008" s="70" t="s">
        <v>1</v>
      </c>
      <c r="F1008" s="70"/>
      <c r="G1008" s="70" t="s">
        <v>61</v>
      </c>
      <c r="H1008" s="70" t="s">
        <v>178</v>
      </c>
      <c r="I1008" s="70" t="s">
        <v>3298</v>
      </c>
      <c r="J1008" s="71">
        <f>IF(OR(I1008=0,I1008=""),"unrated",VLOOKUP(I1008,MappingTables!$B$19:$C$31,2,FALSE))</f>
        <v>6</v>
      </c>
      <c r="K1008" s="72">
        <v>106.76266840067726</v>
      </c>
      <c r="L1008" s="70">
        <v>0.068488452940076704</v>
      </c>
      <c r="M1008" s="71">
        <f>IF(L1008&lt;1,1,L1008)</f>
        <v>1</v>
      </c>
      <c r="N1008" s="70" t="s">
        <v>3288</v>
      </c>
      <c r="O1008" s="71">
        <f>IF(OR(I1008=$A$1,I1008=0),"",IF(N1008=MappingTables!$C$14,VLOOKUP(J1008,ModelParameters!$M$8:$N$15,2,FALSE),IF(N1008=MappingTables!$C$16,VLOOKUP(J1008,ModelParameters!$P$8:$Q$15,2,FALSE),0)))</f>
        <v>1</v>
      </c>
      <c r="P1008" s="73">
        <f>IF(OR(I1008=0,I1008=$A$1),0,MIN(O1008*M1008,1)*K1008)</f>
        <v>106.76266840067726</v>
      </c>
      <c r="Q1008" s="73">
        <f>IF(B1008="",0,IF(OR(H1008=MappingTables!$C$34,H1008=MappingTables!$C$35),P1008,0))</f>
        <v>0</v>
      </c>
      <c r="R1008" s="73">
        <f>IF(ISNA(IF(AND(VLOOKUP(CONCATENATE($D1008,$G1008),CSRFinput!$B:$E,4,0)=0,OR(H1008=MappingTables!$C$31,H1008=MappingTables!$C$32)),1,VLOOKUP(CONCATENATE($D1008,$G1008),CSRFinput!$B:$E,4,0))),0,IF(AND(VLOOKUP(CONCATENATE($D1008,$G1008),CSRFinput!$B:$E,4,0)=0,OR(H1008=MappingTables!$C$31,H1008=MappingTables!$C$32)),1,VLOOKUP(CONCATENATE($D1008,$G1008),CSRFinput!$B:$E,4,0)))</f>
        <v>0.054776304963434752</v>
      </c>
      <c r="S1008" s="73">
        <f>IF(B1008="",0,P1008*R1008)</f>
        <v>5.848064483025556</v>
      </c>
      <c r="T1008" s="85">
        <f>IF(B1008="",0,IF(OR(H1008=MappingTables!$C$34,H1008=MappingTables!$C$35),S1008,0))</f>
        <v>0</v>
      </c>
    </row>
    <row r="1009" spans="2:20" s="0" customFormat="0" ht="15">
      <c r="B1009" s="69" t="s">
        <v>3376</v>
      </c>
      <c r="C1009" s="70" t="s">
        <v>3377</v>
      </c>
      <c r="D1009" s="70" t="s">
        <v>1</v>
      </c>
      <c r="E1009" s="70" t="s">
        <v>1</v>
      </c>
      <c r="F1009" s="70"/>
      <c r="G1009" s="70" t="s">
        <v>61</v>
      </c>
      <c r="H1009" s="70" t="s">
        <v>178</v>
      </c>
      <c r="I1009" s="70" t="s">
        <v>198</v>
      </c>
      <c r="J1009" s="71" t="str">
        <f>IF(OR(I1009=0,I1009=""),"unrated",VLOOKUP(I1009,MappingTables!$B$19:$C$31,2,FALSE))</f>
        <v>unrated</v>
      </c>
      <c r="K1009" s="72">
        <v>449.67941676493536</v>
      </c>
      <c r="L1009" s="70">
        <v>2.249372373587798</v>
      </c>
      <c r="M1009" s="71">
        <f>IF(L1009&lt;1,1,L1009)</f>
        <v>2.249372373587798</v>
      </c>
      <c r="N1009" s="70" t="s">
        <v>3288</v>
      </c>
      <c r="O1009" s="71">
        <f>IF(OR(I1009=$A$1,I1009=0),"",IF(N1009=MappingTables!$C$14,VLOOKUP(J1009,ModelParameters!$M$8:$N$15,2,FALSE),IF(N1009=MappingTables!$C$16,VLOOKUP(J1009,ModelParameters!$P$8:$Q$15,2,FALSE),0)))</f>
        <v>1</v>
      </c>
      <c r="P1009" s="73">
        <f>IF(OR(I1009=0,I1009=$A$1),0,MIN(O1009*M1009,1)*K1009)</f>
        <v>449.67941676493536</v>
      </c>
      <c r="Q1009" s="73">
        <f>IF(B1009="",0,IF(OR(H1009=MappingTables!$C$34,H1009=MappingTables!$C$35),P1009,0))</f>
        <v>0</v>
      </c>
      <c r="R1009" s="73">
        <f>IF(ISNA(IF(AND(VLOOKUP(CONCATENATE($D1009,$G1009),CSRFinput!$B:$E,4,0)=0,OR(H1009=MappingTables!$C$31,H1009=MappingTables!$C$32)),1,VLOOKUP(CONCATENATE($D1009,$G1009),CSRFinput!$B:$E,4,0))),0,IF(AND(VLOOKUP(CONCATENATE($D1009,$G1009),CSRFinput!$B:$E,4,0)=0,OR(H1009=MappingTables!$C$31,H1009=MappingTables!$C$32)),1,VLOOKUP(CONCATENATE($D1009,$G1009),CSRFinput!$B:$E,4,0)))</f>
        <v>0.054776304963434752</v>
      </c>
      <c r="S1009" s="73">
        <f>IF(B1009="",0,P1009*R1009)</f>
        <v>24.631776868495576</v>
      </c>
      <c r="T1009" s="85">
        <f>IF(B1009="",0,IF(OR(H1009=MappingTables!$C$34,H1009=MappingTables!$C$35),S1009,0))</f>
        <v>0</v>
      </c>
    </row>
    <row r="1010" spans="2:20" s="0" customFormat="0" ht="15">
      <c r="B1010" s="69" t="s">
        <v>4321</v>
      </c>
      <c r="C1010" s="70" t="s">
        <v>4322</v>
      </c>
      <c r="D1010" s="70" t="s">
        <v>1</v>
      </c>
      <c r="E1010" s="70" t="s">
        <v>1</v>
      </c>
      <c r="F1010" s="70"/>
      <c r="G1010" s="70" t="s">
        <v>61</v>
      </c>
      <c r="H1010" s="70" t="s">
        <v>178</v>
      </c>
      <c r="I1010" s="70" t="s">
        <v>204</v>
      </c>
      <c r="J1010" s="71">
        <f>IF(OR(I1010=0,I1010=""),"unrated",VLOOKUP(I1010,MappingTables!$B$19:$C$31,2,FALSE))</f>
        <v>6</v>
      </c>
      <c r="K1010" s="72">
        <v>13.54305673687193</v>
      </c>
      <c r="L1010" s="70">
        <v>0.068494311003104952</v>
      </c>
      <c r="M1010" s="71">
        <f>IF(L1010&lt;1,1,L1010)</f>
        <v>1</v>
      </c>
      <c r="N1010" s="70" t="s">
        <v>3288</v>
      </c>
      <c r="O1010" s="71">
        <f>IF(OR(I1010=$A$1,I1010=0),"",IF(N1010=MappingTables!$C$14,VLOOKUP(J1010,ModelParameters!$M$8:$N$15,2,FALSE),IF(N1010=MappingTables!$C$16,VLOOKUP(J1010,ModelParameters!$P$8:$Q$15,2,FALSE),0)))</f>
        <v>1</v>
      </c>
      <c r="P1010" s="73">
        <f>IF(OR(I1010=0,I1010=$A$1),0,MIN(O1010*M1010,1)*K1010)</f>
        <v>13.54305673687193</v>
      </c>
      <c r="Q1010" s="73">
        <f>IF(B1010="",0,IF(OR(H1010=MappingTables!$C$34,H1010=MappingTables!$C$35),P1010,0))</f>
        <v>0</v>
      </c>
      <c r="R1010" s="73">
        <f>IF(ISNA(IF(AND(VLOOKUP(CONCATENATE($D1010,$G1010),CSRFinput!$B:$E,4,0)=0,OR(H1010=MappingTables!$C$31,H1010=MappingTables!$C$32)),1,VLOOKUP(CONCATENATE($D1010,$G1010),CSRFinput!$B:$E,4,0))),0,IF(AND(VLOOKUP(CONCATENATE($D1010,$G1010),CSRFinput!$B:$E,4,0)=0,OR(H1010=MappingTables!$C$31,H1010=MappingTables!$C$32)),1,VLOOKUP(CONCATENATE($D1010,$G1010),CSRFinput!$B:$E,4,0)))</f>
        <v>0.054776304963434752</v>
      </c>
      <c r="S1010" s="73">
        <f>IF(B1010="",0,P1010*R1010)</f>
        <v>0.74183860595599632</v>
      </c>
      <c r="T1010" s="85">
        <f>IF(B1010="",0,IF(OR(H1010=MappingTables!$C$34,H1010=MappingTables!$C$35),S1010,0))</f>
        <v>0</v>
      </c>
    </row>
    <row r="1011" spans="2:20" s="0" customFormat="0" ht="15">
      <c r="B1011" s="69" t="s">
        <v>3832</v>
      </c>
      <c r="C1011" s="70" t="s">
        <v>3833</v>
      </c>
      <c r="D1011" s="70" t="s">
        <v>1</v>
      </c>
      <c r="E1011" s="70" t="s">
        <v>1</v>
      </c>
      <c r="F1011" s="70"/>
      <c r="G1011" s="70" t="s">
        <v>61</v>
      </c>
      <c r="H1011" s="70" t="s">
        <v>178</v>
      </c>
      <c r="I1011" s="70" t="s">
        <v>198</v>
      </c>
      <c r="J1011" s="71" t="str">
        <f>IF(OR(I1011=0,I1011=""),"unrated",VLOOKUP(I1011,MappingTables!$B$19:$C$31,2,FALSE))</f>
        <v>unrated</v>
      </c>
      <c r="K1011" s="72">
        <v>27474.123367376676</v>
      </c>
      <c r="L1011" s="70">
        <v>9.7330926191157696</v>
      </c>
      <c r="M1011" s="71">
        <f>IF(L1011&lt;1,1,L1011)</f>
        <v>9.7330926191157696</v>
      </c>
      <c r="N1011" s="70" t="s">
        <v>3288</v>
      </c>
      <c r="O1011" s="71">
        <f>IF(OR(I1011=$A$1,I1011=0),"",IF(N1011=MappingTables!$C$14,VLOOKUP(J1011,ModelParameters!$M$8:$N$15,2,FALSE),IF(N1011=MappingTables!$C$16,VLOOKUP(J1011,ModelParameters!$P$8:$Q$15,2,FALSE),0)))</f>
        <v>1</v>
      </c>
      <c r="P1011" s="73">
        <f>IF(OR(I1011=0,I1011=$A$1),0,MIN(O1011*M1011,1)*K1011)</f>
        <v>27474.123367376676</v>
      </c>
      <c r="Q1011" s="73">
        <f>IF(B1011="",0,IF(OR(H1011=MappingTables!$C$34,H1011=MappingTables!$C$35),P1011,0))</f>
        <v>0</v>
      </c>
      <c r="R1011" s="73">
        <f>IF(ISNA(IF(AND(VLOOKUP(CONCATENATE($D1011,$G1011),CSRFinput!$B:$E,4,0)=0,OR(H1011=MappingTables!$C$31,H1011=MappingTables!$C$32)),1,VLOOKUP(CONCATENATE($D1011,$G1011),CSRFinput!$B:$E,4,0))),0,IF(AND(VLOOKUP(CONCATENATE($D1011,$G1011),CSRFinput!$B:$E,4,0)=0,OR(H1011=MappingTables!$C$31,H1011=MappingTables!$C$32)),1,VLOOKUP(CONCATENATE($D1011,$G1011),CSRFinput!$B:$E,4,0)))</f>
        <v>0.054776304963434752</v>
      </c>
      <c r="S1011" s="73">
        <f>IF(B1011="",0,P1011*R1011)</f>
        <v>1504.9309601744538</v>
      </c>
      <c r="T1011" s="85">
        <f>IF(B1011="",0,IF(OR(H1011=MappingTables!$C$34,H1011=MappingTables!$C$35),S1011,0))</f>
        <v>0</v>
      </c>
    </row>
    <row r="1012" spans="2:20" s="0" customFormat="0" ht="15">
      <c r="B1012" s="69" t="s">
        <v>3620</v>
      </c>
      <c r="C1012" s="70" t="s">
        <v>3621</v>
      </c>
      <c r="D1012" s="70" t="s">
        <v>1</v>
      </c>
      <c r="E1012" s="70" t="s">
        <v>1</v>
      </c>
      <c r="F1012" s="70"/>
      <c r="G1012" s="70" t="s">
        <v>61</v>
      </c>
      <c r="H1012" s="70" t="s">
        <v>178</v>
      </c>
      <c r="I1012" s="70" t="s">
        <v>204</v>
      </c>
      <c r="J1012" s="71">
        <f>IF(OR(I1012=0,I1012=""),"unrated",VLOOKUP(I1012,MappingTables!$B$19:$C$31,2,FALSE))</f>
        <v>6</v>
      </c>
      <c r="K1012" s="72">
        <v>593.61974148965672</v>
      </c>
      <c r="L1012" s="70">
        <v>0.076369013807328464</v>
      </c>
      <c r="M1012" s="71">
        <f>IF(L1012&lt;1,1,L1012)</f>
        <v>1</v>
      </c>
      <c r="N1012" s="70" t="s">
        <v>3288</v>
      </c>
      <c r="O1012" s="71">
        <f>IF(OR(I1012=$A$1,I1012=0),"",IF(N1012=MappingTables!$C$14,VLOOKUP(J1012,ModelParameters!$M$8:$N$15,2,FALSE),IF(N1012=MappingTables!$C$16,VLOOKUP(J1012,ModelParameters!$P$8:$Q$15,2,FALSE),0)))</f>
        <v>1</v>
      </c>
      <c r="P1012" s="73">
        <f>IF(OR(I1012=0,I1012=$A$1),0,MIN(O1012*M1012,1)*K1012)</f>
        <v>593.61974148965672</v>
      </c>
      <c r="Q1012" s="73">
        <f>IF(B1012="",0,IF(OR(H1012=MappingTables!$C$34,H1012=MappingTables!$C$35),P1012,0))</f>
        <v>0</v>
      </c>
      <c r="R1012" s="73">
        <f>IF(ISNA(IF(AND(VLOOKUP(CONCATENATE($D1012,$G1012),CSRFinput!$B:$E,4,0)=0,OR(H1012=MappingTables!$C$31,H1012=MappingTables!$C$32)),1,VLOOKUP(CONCATENATE($D1012,$G1012),CSRFinput!$B:$E,4,0))),0,IF(AND(VLOOKUP(CONCATENATE($D1012,$G1012),CSRFinput!$B:$E,4,0)=0,OR(H1012=MappingTables!$C$31,H1012=MappingTables!$C$32)),1,VLOOKUP(CONCATENATE($D1012,$G1012),CSRFinput!$B:$E,4,0)))</f>
        <v>0.054776304963434752</v>
      </c>
      <c r="S1012" s="73">
        <f>IF(B1012="",0,P1012*R1012)</f>
        <v>32.516295992152736</v>
      </c>
      <c r="T1012" s="85">
        <f>IF(B1012="",0,IF(OR(H1012=MappingTables!$C$34,H1012=MappingTables!$C$35),S1012,0))</f>
        <v>0</v>
      </c>
    </row>
    <row r="1013" spans="2:20" s="0" customFormat="0" ht="15">
      <c r="B1013" s="69" t="s">
        <v>3911</v>
      </c>
      <c r="C1013" s="70" t="s">
        <v>3912</v>
      </c>
      <c r="D1013" s="70" t="s">
        <v>1</v>
      </c>
      <c r="E1013" s="70" t="s">
        <v>1</v>
      </c>
      <c r="F1013" s="70"/>
      <c r="G1013" s="70" t="s">
        <v>61</v>
      </c>
      <c r="H1013" s="70" t="s">
        <v>178</v>
      </c>
      <c r="I1013" s="70" t="s">
        <v>204</v>
      </c>
      <c r="J1013" s="71">
        <f>IF(OR(I1013=0,I1013=""),"unrated",VLOOKUP(I1013,MappingTables!$B$19:$C$31,2,FALSE))</f>
        <v>6</v>
      </c>
      <c r="K1013" s="72">
        <v>36.969129939034424</v>
      </c>
      <c r="L1013" s="70">
        <v>0.068489973595949312</v>
      </c>
      <c r="M1013" s="71">
        <f>IF(L1013&lt;1,1,L1013)</f>
        <v>1</v>
      </c>
      <c r="N1013" s="70" t="s">
        <v>3288</v>
      </c>
      <c r="O1013" s="71">
        <f>IF(OR(I1013=$A$1,I1013=0),"",IF(N1013=MappingTables!$C$14,VLOOKUP(J1013,ModelParameters!$M$8:$N$15,2,FALSE),IF(N1013=MappingTables!$C$16,VLOOKUP(J1013,ModelParameters!$P$8:$Q$15,2,FALSE),0)))</f>
        <v>1</v>
      </c>
      <c r="P1013" s="73">
        <f>IF(OR(I1013=0,I1013=$A$1),0,MIN(O1013*M1013,1)*K1013)</f>
        <v>36.969129939034424</v>
      </c>
      <c r="Q1013" s="73">
        <f>IF(B1013="",0,IF(OR(H1013=MappingTables!$C$34,H1013=MappingTables!$C$35),P1013,0))</f>
        <v>0</v>
      </c>
      <c r="R1013" s="73">
        <f>IF(ISNA(IF(AND(VLOOKUP(CONCATENATE($D1013,$G1013),CSRFinput!$B:$E,4,0)=0,OR(H1013=MappingTables!$C$31,H1013=MappingTables!$C$32)),1,VLOOKUP(CONCATENATE($D1013,$G1013),CSRFinput!$B:$E,4,0))),0,IF(AND(VLOOKUP(CONCATENATE($D1013,$G1013),CSRFinput!$B:$E,4,0)=0,OR(H1013=MappingTables!$C$31,H1013=MappingTables!$C$32)),1,VLOOKUP(CONCATENATE($D1013,$G1013),CSRFinput!$B:$E,4,0)))</f>
        <v>0.054776304963434752</v>
      </c>
      <c r="S1013" s="73">
        <f>IF(B1013="",0,P1013*R1013)</f>
        <v>2.0250323357733956</v>
      </c>
      <c r="T1013" s="85">
        <f>IF(B1013="",0,IF(OR(H1013=MappingTables!$C$34,H1013=MappingTables!$C$35),S1013,0))</f>
        <v>0</v>
      </c>
    </row>
    <row r="1014" spans="2:20" s="0" customFormat="0" ht="15">
      <c r="B1014" s="69">
        <v>16974677</v>
      </c>
      <c r="C1014" s="70" t="s">
        <v>4643</v>
      </c>
      <c r="D1014" s="70" t="s">
        <v>1</v>
      </c>
      <c r="E1014" s="70" t="s">
        <v>1</v>
      </c>
      <c r="F1014" s="70"/>
      <c r="G1014" s="70" t="s">
        <v>61</v>
      </c>
      <c r="H1014" s="70" t="s">
        <v>178</v>
      </c>
      <c r="I1014" s="70" t="s">
        <v>216</v>
      </c>
      <c r="J1014" s="71">
        <f>IF(OR(I1014=0,I1014=""),"unrated",VLOOKUP(I1014,MappingTables!$B$19:$C$31,2,FALSE))</f>
        <v>0</v>
      </c>
      <c r="K1014" s="72">
        <v>214.44925245556796</v>
      </c>
      <c r="L1014" s="70">
        <v>0.012028086649914854</v>
      </c>
      <c r="M1014" s="71">
        <f>IF(L1014&lt;1,1,L1014)</f>
        <v>1</v>
      </c>
      <c r="N1014" s="70" t="s">
        <v>3288</v>
      </c>
      <c r="O1014" s="71">
        <f>IF(OR(I1014=$A$1,I1014=0),"",IF(N1014=MappingTables!$C$14,VLOOKUP(J1014,ModelParameters!$M$8:$N$15,2,FALSE),IF(N1014=MappingTables!$C$16,VLOOKUP(J1014,ModelParameters!$P$8:$Q$15,2,FALSE),0)))</f>
        <v>0.125</v>
      </c>
      <c r="P1014" s="73">
        <f>IF(OR(I1014=0,I1014=$A$1),0,MIN(O1014*M1014,1)*K1014)</f>
        <v>26.806156556945996</v>
      </c>
      <c r="Q1014" s="73">
        <f>IF(B1014="",0,IF(OR(H1014=MappingTables!$C$34,H1014=MappingTables!$C$35),P1014,0))</f>
        <v>0</v>
      </c>
      <c r="R1014" s="73">
        <f>IF(ISNA(IF(AND(VLOOKUP(CONCATENATE($D1014,$G1014),CSRFinput!$B:$E,4,0)=0,OR(H1014=MappingTables!$C$31,H1014=MappingTables!$C$32)),1,VLOOKUP(CONCATENATE($D1014,$G1014),CSRFinput!$B:$E,4,0))),0,IF(AND(VLOOKUP(CONCATENATE($D1014,$G1014),CSRFinput!$B:$E,4,0)=0,OR(H1014=MappingTables!$C$31,H1014=MappingTables!$C$32)),1,VLOOKUP(CONCATENATE($D1014,$G1014),CSRFinput!$B:$E,4,0)))</f>
        <v>0.054776304963434752</v>
      </c>
      <c r="S1014" s="73">
        <f>IF(B1014="",0,P1014*R1014)</f>
        <v>1.46834220646085</v>
      </c>
      <c r="T1014" s="85">
        <f>IF(B1014="",0,IF(OR(H1014=MappingTables!$C$34,H1014=MappingTables!$C$35),S1014,0))</f>
        <v>0</v>
      </c>
    </row>
    <row r="1015" spans="2:20" s="0" customFormat="0" ht="15">
      <c r="B1015" s="69" t="s">
        <v>4644</v>
      </c>
      <c r="C1015" s="70" t="s">
        <v>4645</v>
      </c>
      <c r="D1015" s="70" t="s">
        <v>1</v>
      </c>
      <c r="E1015" s="70" t="s">
        <v>1</v>
      </c>
      <c r="F1015" s="70"/>
      <c r="G1015" s="70" t="s">
        <v>61</v>
      </c>
      <c r="H1015" s="70" t="s">
        <v>178</v>
      </c>
      <c r="I1015" s="70" t="s">
        <v>198</v>
      </c>
      <c r="J1015" s="71" t="str">
        <f>IF(OR(I1015=0,I1015=""),"unrated",VLOOKUP(I1015,MappingTables!$B$19:$C$31,2,FALSE))</f>
        <v>unrated</v>
      </c>
      <c r="K1015" s="72">
        <v>7957.2640380371248</v>
      </c>
      <c r="L1015" s="70">
        <v>12.301593790445584</v>
      </c>
      <c r="M1015" s="71">
        <f>IF(L1015&lt;1,1,L1015)</f>
        <v>12.301593790445584</v>
      </c>
      <c r="N1015" s="70" t="s">
        <v>3288</v>
      </c>
      <c r="O1015" s="71">
        <f>IF(OR(I1015=$A$1,I1015=0),"",IF(N1015=MappingTables!$C$14,VLOOKUP(J1015,ModelParameters!$M$8:$N$15,2,FALSE),IF(N1015=MappingTables!$C$16,VLOOKUP(J1015,ModelParameters!$P$8:$Q$15,2,FALSE),0)))</f>
        <v>1</v>
      </c>
      <c r="P1015" s="73">
        <f>IF(OR(I1015=0,I1015=$A$1),0,MIN(O1015*M1015,1)*K1015)</f>
        <v>7957.2640380371248</v>
      </c>
      <c r="Q1015" s="73">
        <f>IF(B1015="",0,IF(OR(H1015=MappingTables!$C$34,H1015=MappingTables!$C$35),P1015,0))</f>
        <v>0</v>
      </c>
      <c r="R1015" s="73">
        <f>IF(ISNA(IF(AND(VLOOKUP(CONCATENATE($D1015,$G1015),CSRFinput!$B:$E,4,0)=0,OR(H1015=MappingTables!$C$31,H1015=MappingTables!$C$32)),1,VLOOKUP(CONCATENATE($D1015,$G1015),CSRFinput!$B:$E,4,0))),0,IF(AND(VLOOKUP(CONCATENATE($D1015,$G1015),CSRFinput!$B:$E,4,0)=0,OR(H1015=MappingTables!$C$31,H1015=MappingTables!$C$32)),1,VLOOKUP(CONCATENATE($D1015,$G1015),CSRFinput!$B:$E,4,0)))</f>
        <v>0.054776304963434752</v>
      </c>
      <c r="S1015" s="73">
        <f>IF(B1015="",0,P1015*R1015)</f>
        <v>435.86952162209384</v>
      </c>
      <c r="T1015" s="85">
        <f>IF(B1015="",0,IF(OR(H1015=MappingTables!$C$34,H1015=MappingTables!$C$35),S1015,0))</f>
        <v>0</v>
      </c>
    </row>
    <row r="1016" spans="2:20" s="0" customFormat="0" ht="15">
      <c r="B1016" s="69" t="s">
        <v>4552</v>
      </c>
      <c r="C1016" s="70" t="s">
        <v>4553</v>
      </c>
      <c r="D1016" s="70" t="s">
        <v>1</v>
      </c>
      <c r="E1016" s="70" t="s">
        <v>1</v>
      </c>
      <c r="F1016" s="70"/>
      <c r="G1016" s="70" t="s">
        <v>61</v>
      </c>
      <c r="H1016" s="70" t="s">
        <v>178</v>
      </c>
      <c r="I1016" s="70" t="s">
        <v>198</v>
      </c>
      <c r="J1016" s="71" t="str">
        <f>IF(OR(I1016=0,I1016=""),"unrated",VLOOKUP(I1016,MappingTables!$B$19:$C$31,2,FALSE))</f>
        <v>unrated</v>
      </c>
      <c r="K1016" s="72">
        <v>205.80067831522296</v>
      </c>
      <c r="L1016" s="70">
        <v>0.068495205205218544</v>
      </c>
      <c r="M1016" s="71">
        <f>IF(L1016&lt;1,1,L1016)</f>
        <v>1</v>
      </c>
      <c r="N1016" s="70" t="s">
        <v>3288</v>
      </c>
      <c r="O1016" s="71">
        <f>IF(OR(I1016=$A$1,I1016=0),"",IF(N1016=MappingTables!$C$14,VLOOKUP(J1016,ModelParameters!$M$8:$N$15,2,FALSE),IF(N1016=MappingTables!$C$16,VLOOKUP(J1016,ModelParameters!$P$8:$Q$15,2,FALSE),0)))</f>
        <v>1</v>
      </c>
      <c r="P1016" s="73">
        <f>IF(OR(I1016=0,I1016=$A$1),0,MIN(O1016*M1016,1)*K1016)</f>
        <v>205.80067831522296</v>
      </c>
      <c r="Q1016" s="73">
        <f>IF(B1016="",0,IF(OR(H1016=MappingTables!$C$34,H1016=MappingTables!$C$35),P1016,0))</f>
        <v>0</v>
      </c>
      <c r="R1016" s="73">
        <f>IF(ISNA(IF(AND(VLOOKUP(CONCATENATE($D1016,$G1016),CSRFinput!$B:$E,4,0)=0,OR(H1016=MappingTables!$C$31,H1016=MappingTables!$C$32)),1,VLOOKUP(CONCATENATE($D1016,$G1016),CSRFinput!$B:$E,4,0))),0,IF(AND(VLOOKUP(CONCATENATE($D1016,$G1016),CSRFinput!$B:$E,4,0)=0,OR(H1016=MappingTables!$C$31,H1016=MappingTables!$C$32)),1,VLOOKUP(CONCATENATE($D1016,$G1016),CSRFinput!$B:$E,4,0)))</f>
        <v>0.054776304963434752</v>
      </c>
      <c r="S1016" s="73">
        <f>IF(B1016="",0,P1016*R1016)</f>
        <v>11.273000717076388</v>
      </c>
      <c r="T1016" s="85">
        <f>IF(B1016="",0,IF(OR(H1016=MappingTables!$C$34,H1016=MappingTables!$C$35),S1016,0))</f>
        <v>0</v>
      </c>
    </row>
    <row r="1017" spans="2:20" s="0" customFormat="0" ht="15">
      <c r="B1017" s="69" t="s">
        <v>3573</v>
      </c>
      <c r="C1017" s="70" t="s">
        <v>3574</v>
      </c>
      <c r="D1017" s="70" t="s">
        <v>1</v>
      </c>
      <c r="E1017" s="70" t="s">
        <v>1</v>
      </c>
      <c r="F1017" s="70"/>
      <c r="G1017" s="70" t="s">
        <v>61</v>
      </c>
      <c r="H1017" s="70" t="s">
        <v>178</v>
      </c>
      <c r="I1017" s="70" t="s">
        <v>3298</v>
      </c>
      <c r="J1017" s="71">
        <f>IF(OR(I1017=0,I1017=""),"unrated",VLOOKUP(I1017,MappingTables!$B$19:$C$31,2,FALSE))</f>
        <v>6</v>
      </c>
      <c r="K1017" s="72">
        <v>296.83457229422948</v>
      </c>
      <c r="L1017" s="70">
        <v>-0.06016350809538712</v>
      </c>
      <c r="M1017" s="71">
        <f>IF(L1017&lt;1,1,L1017)</f>
        <v>1</v>
      </c>
      <c r="N1017" s="70" t="s">
        <v>3288</v>
      </c>
      <c r="O1017" s="71">
        <f>IF(OR(I1017=$A$1,I1017=0),"",IF(N1017=MappingTables!$C$14,VLOOKUP(J1017,ModelParameters!$M$8:$N$15,2,FALSE),IF(N1017=MappingTables!$C$16,VLOOKUP(J1017,ModelParameters!$P$8:$Q$15,2,FALSE),0)))</f>
        <v>1</v>
      </c>
      <c r="P1017" s="73">
        <f>IF(OR(I1017=0,I1017=$A$1),0,MIN(O1017*M1017,1)*K1017)</f>
        <v>296.83457229422948</v>
      </c>
      <c r="Q1017" s="73">
        <f>IF(B1017="",0,IF(OR(H1017=MappingTables!$C$34,H1017=MappingTables!$C$35),P1017,0))</f>
        <v>0</v>
      </c>
      <c r="R1017" s="73">
        <f>IF(ISNA(IF(AND(VLOOKUP(CONCATENATE($D1017,$G1017),CSRFinput!$B:$E,4,0)=0,OR(H1017=MappingTables!$C$31,H1017=MappingTables!$C$32)),1,VLOOKUP(CONCATENATE($D1017,$G1017),CSRFinput!$B:$E,4,0))),0,IF(AND(VLOOKUP(CONCATENATE($D1017,$G1017),CSRFinput!$B:$E,4,0)=0,OR(H1017=MappingTables!$C$31,H1017=MappingTables!$C$32)),1,VLOOKUP(CONCATENATE($D1017,$G1017),CSRFinput!$B:$E,4,0)))</f>
        <v>0.054776304963434752</v>
      </c>
      <c r="S1017" s="73">
        <f>IF(B1017="",0,P1017*R1017)</f>
        <v>16.259501055679432</v>
      </c>
      <c r="T1017" s="85">
        <f>IF(B1017="",0,IF(OR(H1017=MappingTables!$C$34,H1017=MappingTables!$C$35),S1017,0))</f>
        <v>0</v>
      </c>
    </row>
    <row r="1018" spans="2:20" s="0" customFormat="0" ht="15">
      <c r="B1018" s="69">
        <v>16974062</v>
      </c>
      <c r="C1018" s="70" t="s">
        <v>3577</v>
      </c>
      <c r="D1018" s="70" t="s">
        <v>1</v>
      </c>
      <c r="E1018" s="70" t="s">
        <v>1</v>
      </c>
      <c r="F1018" s="70"/>
      <c r="G1018" s="70" t="s">
        <v>61</v>
      </c>
      <c r="H1018" s="70" t="s">
        <v>178</v>
      </c>
      <c r="I1018" s="70" t="s">
        <v>198</v>
      </c>
      <c r="J1018" s="71" t="str">
        <f>IF(OR(I1018=0,I1018=""),"unrated",VLOOKUP(I1018,MappingTables!$B$19:$C$31,2,FALSE))</f>
        <v>unrated</v>
      </c>
      <c r="K1018" s="72">
        <v>238.22209031777352</v>
      </c>
      <c r="L1018" s="70">
        <v>0.10718613186406562</v>
      </c>
      <c r="M1018" s="71">
        <f>IF(L1018&lt;1,1,L1018)</f>
        <v>1</v>
      </c>
      <c r="N1018" s="70" t="s">
        <v>3288</v>
      </c>
      <c r="O1018" s="71">
        <f>IF(OR(I1018=$A$1,I1018=0),"",IF(N1018=MappingTables!$C$14,VLOOKUP(J1018,ModelParameters!$M$8:$N$15,2,FALSE),IF(N1018=MappingTables!$C$16,VLOOKUP(J1018,ModelParameters!$P$8:$Q$15,2,FALSE),0)))</f>
        <v>1</v>
      </c>
      <c r="P1018" s="73">
        <f>IF(OR(I1018=0,I1018=$A$1),0,MIN(O1018*M1018,1)*K1018)</f>
        <v>238.22209031777352</v>
      </c>
      <c r="Q1018" s="73">
        <f>IF(B1018="",0,IF(OR(H1018=MappingTables!$C$34,H1018=MappingTables!$C$35),P1018,0))</f>
        <v>0</v>
      </c>
      <c r="R1018" s="73">
        <f>IF(ISNA(IF(AND(VLOOKUP(CONCATENATE($D1018,$G1018),CSRFinput!$B:$E,4,0)=0,OR(H1018=MappingTables!$C$31,H1018=MappingTables!$C$32)),1,VLOOKUP(CONCATENATE($D1018,$G1018),CSRFinput!$B:$E,4,0))),0,IF(AND(VLOOKUP(CONCATENATE($D1018,$G1018),CSRFinput!$B:$E,4,0)=0,OR(H1018=MappingTables!$C$31,H1018=MappingTables!$C$32)),1,VLOOKUP(CONCATENATE($D1018,$G1018),CSRFinput!$B:$E,4,0)))</f>
        <v>0.054776304963434752</v>
      </c>
      <c r="S1018" s="73">
        <f>IF(B1018="",0,P1018*R1018)</f>
        <v>13.04892586827326</v>
      </c>
      <c r="T1018" s="85">
        <f>IF(B1018="",0,IF(OR(H1018=MappingTables!$C$34,H1018=MappingTables!$C$35),S1018,0))</f>
        <v>0</v>
      </c>
    </row>
    <row r="1019" spans="2:20" s="0" customFormat="0" ht="15">
      <c r="B1019" s="69">
        <v>22623645</v>
      </c>
      <c r="C1019" s="70" t="s">
        <v>4147</v>
      </c>
      <c r="D1019" s="70" t="s">
        <v>1</v>
      </c>
      <c r="E1019" s="70" t="s">
        <v>1</v>
      </c>
      <c r="F1019" s="70"/>
      <c r="G1019" s="70" t="s">
        <v>61</v>
      </c>
      <c r="H1019" s="70" t="s">
        <v>178</v>
      </c>
      <c r="I1019" s="70" t="s">
        <v>216</v>
      </c>
      <c r="J1019" s="71">
        <f>IF(OR(I1019=0,I1019=""),"unrated",VLOOKUP(I1019,MappingTables!$B$19:$C$31,2,FALSE))</f>
        <v>0</v>
      </c>
      <c r="K1019" s="72">
        <v>42.22896651263132</v>
      </c>
      <c r="L1019" s="70">
        <v>0.075248550422282512</v>
      </c>
      <c r="M1019" s="71">
        <f>IF(L1019&lt;1,1,L1019)</f>
        <v>1</v>
      </c>
      <c r="N1019" s="70" t="s">
        <v>3288</v>
      </c>
      <c r="O1019" s="71">
        <f>IF(OR(I1019=$A$1,I1019=0),"",IF(N1019=MappingTables!$C$14,VLOOKUP(J1019,ModelParameters!$M$8:$N$15,2,FALSE),IF(N1019=MappingTables!$C$16,VLOOKUP(J1019,ModelParameters!$P$8:$Q$15,2,FALSE),0)))</f>
        <v>0.125</v>
      </c>
      <c r="P1019" s="73">
        <f>IF(OR(I1019=0,I1019=$A$1),0,MIN(O1019*M1019,1)*K1019)</f>
        <v>5.2786208140789144</v>
      </c>
      <c r="Q1019" s="73">
        <f>IF(B1019="",0,IF(OR(H1019=MappingTables!$C$34,H1019=MappingTables!$C$35),P1019,0))</f>
        <v>0</v>
      </c>
      <c r="R1019" s="73">
        <f>IF(ISNA(IF(AND(VLOOKUP(CONCATENATE($D1019,$G1019),CSRFinput!$B:$E,4,0)=0,OR(H1019=MappingTables!$C$31,H1019=MappingTables!$C$32)),1,VLOOKUP(CONCATENATE($D1019,$G1019),CSRFinput!$B:$E,4,0))),0,IF(AND(VLOOKUP(CONCATENATE($D1019,$G1019),CSRFinput!$B:$E,4,0)=0,OR(H1019=MappingTables!$C$31,H1019=MappingTables!$C$32)),1,VLOOKUP(CONCATENATE($D1019,$G1019),CSRFinput!$B:$E,4,0)))</f>
        <v>0.054776304963434752</v>
      </c>
      <c r="S1019" s="73">
        <f>IF(B1019="",0,P1019*R1019)</f>
        <v>0.28914334349832084</v>
      </c>
      <c r="T1019" s="85">
        <f>IF(B1019="",0,IF(OR(H1019=MappingTables!$C$34,H1019=MappingTables!$C$35),S1019,0))</f>
        <v>0</v>
      </c>
    </row>
    <row r="1020" spans="2:20" s="0" customFormat="0" ht="15">
      <c r="B1020" s="69" t="s">
        <v>4646</v>
      </c>
      <c r="C1020" s="70" t="s">
        <v>4647</v>
      </c>
      <c r="D1020" s="70" t="s">
        <v>1</v>
      </c>
      <c r="E1020" s="70" t="s">
        <v>1</v>
      </c>
      <c r="F1020" s="70"/>
      <c r="G1020" s="70" t="s">
        <v>61</v>
      </c>
      <c r="H1020" s="70" t="s">
        <v>178</v>
      </c>
      <c r="I1020" s="70" t="s">
        <v>198</v>
      </c>
      <c r="J1020" s="71" t="str">
        <f>IF(OR(I1020=0,I1020=""),"unrated",VLOOKUP(I1020,MappingTables!$B$19:$C$31,2,FALSE))</f>
        <v>unrated</v>
      </c>
      <c r="K1020" s="72">
        <v>647.66464347318208</v>
      </c>
      <c r="L1020" s="70">
        <v>0.068488973786402144</v>
      </c>
      <c r="M1020" s="71">
        <f>IF(L1020&lt;1,1,L1020)</f>
        <v>1</v>
      </c>
      <c r="N1020" s="70" t="s">
        <v>3288</v>
      </c>
      <c r="O1020" s="71">
        <f>IF(OR(I1020=$A$1,I1020=0),"",IF(N1020=MappingTables!$C$14,VLOOKUP(J1020,ModelParameters!$M$8:$N$15,2,FALSE),IF(N1020=MappingTables!$C$16,VLOOKUP(J1020,ModelParameters!$P$8:$Q$15,2,FALSE),0)))</f>
        <v>1</v>
      </c>
      <c r="P1020" s="73">
        <f>IF(OR(I1020=0,I1020=$A$1),0,MIN(O1020*M1020,1)*K1020)</f>
        <v>647.66464347318208</v>
      </c>
      <c r="Q1020" s="73">
        <f>IF(B1020="",0,IF(OR(H1020=MappingTables!$C$34,H1020=MappingTables!$C$35),P1020,0))</f>
        <v>0</v>
      </c>
      <c r="R1020" s="73">
        <f>IF(ISNA(IF(AND(VLOOKUP(CONCATENATE($D1020,$G1020),CSRFinput!$B:$E,4,0)=0,OR(H1020=MappingTables!$C$31,H1020=MappingTables!$C$32)),1,VLOOKUP(CONCATENATE($D1020,$G1020),CSRFinput!$B:$E,4,0))),0,IF(AND(VLOOKUP(CONCATENATE($D1020,$G1020),CSRFinput!$B:$E,4,0)=0,OR(H1020=MappingTables!$C$31,H1020=MappingTables!$C$32)),1,VLOOKUP(CONCATENATE($D1020,$G1020),CSRFinput!$B:$E,4,0)))</f>
        <v>0.054776304963434752</v>
      </c>
      <c r="S1020" s="73">
        <f>IF(B1020="",0,P1020*R1020)</f>
        <v>35.47667602492126</v>
      </c>
      <c r="T1020" s="85">
        <f>IF(B1020="",0,IF(OR(H1020=MappingTables!$C$34,H1020=MappingTables!$C$35),S1020,0))</f>
        <v>0</v>
      </c>
    </row>
    <row r="1021" spans="2:20" s="0" customFormat="0" ht="15">
      <c r="B1021" s="69" t="s">
        <v>4596</v>
      </c>
      <c r="C1021" s="70" t="s">
        <v>4597</v>
      </c>
      <c r="D1021" s="70" t="s">
        <v>1</v>
      </c>
      <c r="E1021" s="70" t="s">
        <v>1</v>
      </c>
      <c r="F1021" s="70"/>
      <c r="G1021" s="70" t="s">
        <v>61</v>
      </c>
      <c r="H1021" s="70" t="s">
        <v>178</v>
      </c>
      <c r="I1021" s="70" t="s">
        <v>198</v>
      </c>
      <c r="J1021" s="71" t="str">
        <f>IF(OR(I1021=0,I1021=""),"unrated",VLOOKUP(I1021,MappingTables!$B$19:$C$31,2,FALSE))</f>
        <v>unrated</v>
      </c>
      <c r="K1021" s="72">
        <v>140.82895037585698</v>
      </c>
      <c r="L1021" s="70">
        <v>0.068491771184455304</v>
      </c>
      <c r="M1021" s="71">
        <f>IF(L1021&lt;1,1,L1021)</f>
        <v>1</v>
      </c>
      <c r="N1021" s="70" t="s">
        <v>3288</v>
      </c>
      <c r="O1021" s="71">
        <f>IF(OR(I1021=$A$1,I1021=0),"",IF(N1021=MappingTables!$C$14,VLOOKUP(J1021,ModelParameters!$M$8:$N$15,2,FALSE),IF(N1021=MappingTables!$C$16,VLOOKUP(J1021,ModelParameters!$P$8:$Q$15,2,FALSE),0)))</f>
        <v>1</v>
      </c>
      <c r="P1021" s="73">
        <f>IF(OR(I1021=0,I1021=$A$1),0,MIN(O1021*M1021,1)*K1021)</f>
        <v>140.82895037585698</v>
      </c>
      <c r="Q1021" s="73">
        <f>IF(B1021="",0,IF(OR(H1021=MappingTables!$C$34,H1021=MappingTables!$C$35),P1021,0))</f>
        <v>0</v>
      </c>
      <c r="R1021" s="73">
        <f>IF(ISNA(IF(AND(VLOOKUP(CONCATENATE($D1021,$G1021),CSRFinput!$B:$E,4,0)=0,OR(H1021=MappingTables!$C$31,H1021=MappingTables!$C$32)),1,VLOOKUP(CONCATENATE($D1021,$G1021),CSRFinput!$B:$E,4,0))),0,IF(AND(VLOOKUP(CONCATENATE($D1021,$G1021),CSRFinput!$B:$E,4,0)=0,OR(H1021=MappingTables!$C$31,H1021=MappingTables!$C$32)),1,VLOOKUP(CONCATENATE($D1021,$G1021),CSRFinput!$B:$E,4,0)))</f>
        <v>0.054776304963434752</v>
      </c>
      <c r="S1021" s="73">
        <f>IF(B1021="",0,P1021*R1021)</f>
        <v>7.7140895334683616</v>
      </c>
      <c r="T1021" s="85">
        <f>IF(B1021="",0,IF(OR(H1021=MappingTables!$C$34,H1021=MappingTables!$C$35),S1021,0))</f>
        <v>0</v>
      </c>
    </row>
    <row r="1022" spans="2:20" s="0" customFormat="0" ht="15">
      <c r="B1022" s="69" t="s">
        <v>4393</v>
      </c>
      <c r="C1022" s="70" t="s">
        <v>4394</v>
      </c>
      <c r="D1022" s="70" t="s">
        <v>1</v>
      </c>
      <c r="E1022" s="70" t="s">
        <v>1</v>
      </c>
      <c r="F1022" s="70"/>
      <c r="G1022" s="70" t="s">
        <v>61</v>
      </c>
      <c r="H1022" s="70" t="s">
        <v>178</v>
      </c>
      <c r="I1022" s="70" t="s">
        <v>198</v>
      </c>
      <c r="J1022" s="71" t="str">
        <f>IF(OR(I1022=0,I1022=""),"unrated",VLOOKUP(I1022,MappingTables!$B$19:$C$31,2,FALSE))</f>
        <v>unrated</v>
      </c>
      <c r="K1022" s="72">
        <v>1.2657270261328582</v>
      </c>
      <c r="L1022" s="70">
        <v>4.9051331376852592</v>
      </c>
      <c r="M1022" s="71">
        <f>IF(L1022&lt;1,1,L1022)</f>
        <v>4.9051331376852592</v>
      </c>
      <c r="N1022" s="70" t="s">
        <v>3288</v>
      </c>
      <c r="O1022" s="71">
        <f>IF(OR(I1022=$A$1,I1022=0),"",IF(N1022=MappingTables!$C$14,VLOOKUP(J1022,ModelParameters!$M$8:$N$15,2,FALSE),IF(N1022=MappingTables!$C$16,VLOOKUP(J1022,ModelParameters!$P$8:$Q$15,2,FALSE),0)))</f>
        <v>1</v>
      </c>
      <c r="P1022" s="73">
        <f>IF(OR(I1022=0,I1022=$A$1),0,MIN(O1022*M1022,1)*K1022)</f>
        <v>1.2657270261328582</v>
      </c>
      <c r="Q1022" s="73">
        <f>IF(B1022="",0,IF(OR(H1022=MappingTables!$C$34,H1022=MappingTables!$C$35),P1022,0))</f>
        <v>0</v>
      </c>
      <c r="R1022" s="73">
        <f>IF(ISNA(IF(AND(VLOOKUP(CONCATENATE($D1022,$G1022),CSRFinput!$B:$E,4,0)=0,OR(H1022=MappingTables!$C$31,H1022=MappingTables!$C$32)),1,VLOOKUP(CONCATENATE($D1022,$G1022),CSRFinput!$B:$E,4,0))),0,IF(AND(VLOOKUP(CONCATENATE($D1022,$G1022),CSRFinput!$B:$E,4,0)=0,OR(H1022=MappingTables!$C$31,H1022=MappingTables!$C$32)),1,VLOOKUP(CONCATENATE($D1022,$G1022),CSRFinput!$B:$E,4,0)))</f>
        <v>0.054776304963434752</v>
      </c>
      <c r="S1022" s="73">
        <f>IF(B1022="",0,P1022*R1022)</f>
        <v>0.069331849583914792</v>
      </c>
      <c r="T1022" s="85">
        <f>IF(B1022="",0,IF(OR(H1022=MappingTables!$C$34,H1022=MappingTables!$C$35),S1022,0))</f>
        <v>0</v>
      </c>
    </row>
    <row r="1023" spans="2:20" s="0" customFormat="0" ht="15">
      <c r="B1023" s="69">
        <v>2215067</v>
      </c>
      <c r="C1023" s="70" t="s">
        <v>4648</v>
      </c>
      <c r="D1023" s="70" t="s">
        <v>1</v>
      </c>
      <c r="E1023" s="70" t="s">
        <v>1</v>
      </c>
      <c r="F1023" s="70"/>
      <c r="G1023" s="70" t="s">
        <v>61</v>
      </c>
      <c r="H1023" s="70" t="s">
        <v>178</v>
      </c>
      <c r="I1023" s="70" t="s">
        <v>3298</v>
      </c>
      <c r="J1023" s="71">
        <f>IF(OR(I1023=0,I1023=""),"unrated",VLOOKUP(I1023,MappingTables!$B$19:$C$31,2,FALSE))</f>
        <v>6</v>
      </c>
      <c r="K1023" s="72">
        <v>72.704442345431552</v>
      </c>
      <c r="L1023" s="70">
        <v>0.068499383174287928</v>
      </c>
      <c r="M1023" s="71">
        <f>IF(L1023&lt;1,1,L1023)</f>
        <v>1</v>
      </c>
      <c r="N1023" s="70" t="s">
        <v>3288</v>
      </c>
      <c r="O1023" s="71">
        <f>IF(OR(I1023=$A$1,I1023=0),"",IF(N1023=MappingTables!$C$14,VLOOKUP(J1023,ModelParameters!$M$8:$N$15,2,FALSE),IF(N1023=MappingTables!$C$16,VLOOKUP(J1023,ModelParameters!$P$8:$Q$15,2,FALSE),0)))</f>
        <v>1</v>
      </c>
      <c r="P1023" s="73">
        <f>IF(OR(I1023=0,I1023=$A$1),0,MIN(O1023*M1023,1)*K1023)</f>
        <v>72.704442345431552</v>
      </c>
      <c r="Q1023" s="73">
        <f>IF(B1023="",0,IF(OR(H1023=MappingTables!$C$34,H1023=MappingTables!$C$35),P1023,0))</f>
        <v>0</v>
      </c>
      <c r="R1023" s="73">
        <f>IF(ISNA(IF(AND(VLOOKUP(CONCATENATE($D1023,$G1023),CSRFinput!$B:$E,4,0)=0,OR(H1023=MappingTables!$C$31,H1023=MappingTables!$C$32)),1,VLOOKUP(CONCATENATE($D1023,$G1023),CSRFinput!$B:$E,4,0))),0,IF(AND(VLOOKUP(CONCATENATE($D1023,$G1023),CSRFinput!$B:$E,4,0)=0,OR(H1023=MappingTables!$C$31,H1023=MappingTables!$C$32)),1,VLOOKUP(CONCATENATE($D1023,$G1023),CSRFinput!$B:$E,4,0)))</f>
        <v>0.054776304963434752</v>
      </c>
      <c r="S1023" s="73">
        <f>IF(B1023="",0,P1023*R1023)</f>
        <v>3.9824807061098184</v>
      </c>
      <c r="T1023" s="85">
        <f>IF(B1023="",0,IF(OR(H1023=MappingTables!$C$34,H1023=MappingTables!$C$35),S1023,0))</f>
        <v>0</v>
      </c>
    </row>
    <row r="1024" spans="2:20" s="0" customFormat="0" ht="15">
      <c r="B1024" s="69" t="s">
        <v>4646</v>
      </c>
      <c r="C1024" s="70" t="s">
        <v>4647</v>
      </c>
      <c r="D1024" s="70" t="s">
        <v>1</v>
      </c>
      <c r="E1024" s="70" t="s">
        <v>1</v>
      </c>
      <c r="F1024" s="70"/>
      <c r="G1024" s="70" t="s">
        <v>61</v>
      </c>
      <c r="H1024" s="70" t="s">
        <v>178</v>
      </c>
      <c r="I1024" s="70" t="s">
        <v>198</v>
      </c>
      <c r="J1024" s="71" t="str">
        <f>IF(OR(I1024=0,I1024=""),"unrated",VLOOKUP(I1024,MappingTables!$B$19:$C$31,2,FALSE))</f>
        <v>unrated</v>
      </c>
      <c r="K1024" s="72">
        <v>305.34835410243944</v>
      </c>
      <c r="L1024" s="70">
        <v>0.06848897378640252</v>
      </c>
      <c r="M1024" s="71">
        <f>IF(L1024&lt;1,1,L1024)</f>
        <v>1</v>
      </c>
      <c r="N1024" s="70" t="s">
        <v>3288</v>
      </c>
      <c r="O1024" s="71">
        <f>IF(OR(I1024=$A$1,I1024=0),"",IF(N1024=MappingTables!$C$14,VLOOKUP(J1024,ModelParameters!$M$8:$N$15,2,FALSE),IF(N1024=MappingTables!$C$16,VLOOKUP(J1024,ModelParameters!$P$8:$Q$15,2,FALSE),0)))</f>
        <v>1</v>
      </c>
      <c r="P1024" s="73">
        <f>IF(OR(I1024=0,I1024=$A$1),0,MIN(O1024*M1024,1)*K1024)</f>
        <v>305.34835410243944</v>
      </c>
      <c r="Q1024" s="73">
        <f>IF(B1024="",0,IF(OR(H1024=MappingTables!$C$34,H1024=MappingTables!$C$35),P1024,0))</f>
        <v>0</v>
      </c>
      <c r="R1024" s="73">
        <f>IF(ISNA(IF(AND(VLOOKUP(CONCATENATE($D1024,$G1024),CSRFinput!$B:$E,4,0)=0,OR(H1024=MappingTables!$C$31,H1024=MappingTables!$C$32)),1,VLOOKUP(CONCATENATE($D1024,$G1024),CSRFinput!$B:$E,4,0))),0,IF(AND(VLOOKUP(CONCATENATE($D1024,$G1024),CSRFinput!$B:$E,4,0)=0,OR(H1024=MappingTables!$C$31,H1024=MappingTables!$C$32)),1,VLOOKUP(CONCATENATE($D1024,$G1024),CSRFinput!$B:$E,4,0)))</f>
        <v>0.054776304963434752</v>
      </c>
      <c r="S1024" s="73">
        <f>IF(B1024="",0,P1024*R1024)</f>
        <v>16.725854564398088</v>
      </c>
      <c r="T1024" s="85">
        <f>IF(B1024="",0,IF(OR(H1024=MappingTables!$C$34,H1024=MappingTables!$C$35),S1024,0))</f>
        <v>0</v>
      </c>
    </row>
    <row r="1025" spans="2:20" s="0" customFormat="0" ht="15">
      <c r="B1025" s="69" t="s">
        <v>3821</v>
      </c>
      <c r="C1025" s="70" t="s">
        <v>3822</v>
      </c>
      <c r="D1025" s="70" t="s">
        <v>1</v>
      </c>
      <c r="E1025" s="70" t="s">
        <v>1</v>
      </c>
      <c r="F1025" s="70"/>
      <c r="G1025" s="70" t="s">
        <v>61</v>
      </c>
      <c r="H1025" s="70" t="s">
        <v>178</v>
      </c>
      <c r="I1025" s="70" t="s">
        <v>3298</v>
      </c>
      <c r="J1025" s="71">
        <f>IF(OR(I1025=0,I1025=""),"unrated",VLOOKUP(I1025,MappingTables!$B$19:$C$31,2,FALSE))</f>
        <v>6</v>
      </c>
      <c r="K1025" s="72">
        <v>36.106430628986024</v>
      </c>
      <c r="L1025" s="70">
        <v>-0.947782215350124</v>
      </c>
      <c r="M1025" s="71">
        <f>IF(L1025&lt;1,1,L1025)</f>
        <v>1</v>
      </c>
      <c r="N1025" s="70" t="s">
        <v>3288</v>
      </c>
      <c r="O1025" s="71">
        <f>IF(OR(I1025=$A$1,I1025=0),"",IF(N1025=MappingTables!$C$14,VLOOKUP(J1025,ModelParameters!$M$8:$N$15,2,FALSE),IF(N1025=MappingTables!$C$16,VLOOKUP(J1025,ModelParameters!$P$8:$Q$15,2,FALSE),0)))</f>
        <v>1</v>
      </c>
      <c r="P1025" s="73">
        <f>IF(OR(I1025=0,I1025=$A$1),0,MIN(O1025*M1025,1)*K1025)</f>
        <v>36.106430628986024</v>
      </c>
      <c r="Q1025" s="73">
        <f>IF(B1025="",0,IF(OR(H1025=MappingTables!$C$34,H1025=MappingTables!$C$35),P1025,0))</f>
        <v>0</v>
      </c>
      <c r="R1025" s="73">
        <f>IF(ISNA(IF(AND(VLOOKUP(CONCATENATE($D1025,$G1025),CSRFinput!$B:$E,4,0)=0,OR(H1025=MappingTables!$C$31,H1025=MappingTables!$C$32)),1,VLOOKUP(CONCATENATE($D1025,$G1025),CSRFinput!$B:$E,4,0))),0,IF(AND(VLOOKUP(CONCATENATE($D1025,$G1025),CSRFinput!$B:$E,4,0)=0,OR(H1025=MappingTables!$C$31,H1025=MappingTables!$C$32)),1,VLOOKUP(CONCATENATE($D1025,$G1025),CSRFinput!$B:$E,4,0)))</f>
        <v>0.054776304963434752</v>
      </c>
      <c r="S1025" s="73">
        <f>IF(B1025="",0,P1025*R1025)</f>
        <v>1.97777685527444</v>
      </c>
      <c r="T1025" s="85">
        <f>IF(B1025="",0,IF(OR(H1025=MappingTables!$C$34,H1025=MappingTables!$C$35),S1025,0))</f>
        <v>0</v>
      </c>
    </row>
    <row r="1026" spans="2:20" s="0" customFormat="0" ht="15">
      <c r="B1026" s="69" t="s">
        <v>4649</v>
      </c>
      <c r="C1026" s="70" t="s">
        <v>4650</v>
      </c>
      <c r="D1026" s="70" t="s">
        <v>1</v>
      </c>
      <c r="E1026" s="70" t="s">
        <v>1</v>
      </c>
      <c r="F1026" s="70"/>
      <c r="G1026" s="70" t="s">
        <v>61</v>
      </c>
      <c r="H1026" s="70" t="s">
        <v>178</v>
      </c>
      <c r="I1026" s="70" t="s">
        <v>220</v>
      </c>
      <c r="J1026" s="71">
        <f>IF(OR(I1026=0,I1026=""),"unrated",VLOOKUP(I1026,MappingTables!$B$19:$C$31,2,FALSE))</f>
        <v>1</v>
      </c>
      <c r="K1026" s="72">
        <v>21.223178061844896</v>
      </c>
      <c r="L1026" s="70">
        <v>0.06849266573561252</v>
      </c>
      <c r="M1026" s="71">
        <f>IF(L1026&lt;1,1,L1026)</f>
        <v>1</v>
      </c>
      <c r="N1026" s="70" t="s">
        <v>3288</v>
      </c>
      <c r="O1026" s="71">
        <f>IF(OR(I1026=$A$1,I1026=0),"",IF(N1026=MappingTables!$C$14,VLOOKUP(J1026,ModelParameters!$M$8:$N$15,2,FALSE),IF(N1026=MappingTables!$C$16,VLOOKUP(J1026,ModelParameters!$P$8:$Q$15,2,FALSE),0)))</f>
        <v>0.134</v>
      </c>
      <c r="P1026" s="73">
        <f>IF(OR(I1026=0,I1026=$A$1),0,MIN(O1026*M1026,1)*K1026)</f>
        <v>2.843905860287216</v>
      </c>
      <c r="Q1026" s="73">
        <f>IF(B1026="",0,IF(OR(H1026=MappingTables!$C$34,H1026=MappingTables!$C$35),P1026,0))</f>
        <v>0</v>
      </c>
      <c r="R1026" s="73">
        <f>IF(ISNA(IF(AND(VLOOKUP(CONCATENATE($D1026,$G1026),CSRFinput!$B:$E,4,0)=0,OR(H1026=MappingTables!$C$31,H1026=MappingTables!$C$32)),1,VLOOKUP(CONCATENATE($D1026,$G1026),CSRFinput!$B:$E,4,0))),0,IF(AND(VLOOKUP(CONCATENATE($D1026,$G1026),CSRFinput!$B:$E,4,0)=0,OR(H1026=MappingTables!$C$31,H1026=MappingTables!$C$32)),1,VLOOKUP(CONCATENATE($D1026,$G1026),CSRFinput!$B:$E,4,0)))</f>
        <v>0.054776304963434752</v>
      </c>
      <c r="S1026" s="73">
        <f>IF(B1026="",0,P1026*R1026)</f>
        <v>0.15577865469039182</v>
      </c>
      <c r="T1026" s="85">
        <f>IF(B1026="",0,IF(OR(H1026=MappingTables!$C$34,H1026=MappingTables!$C$35),S1026,0))</f>
        <v>0</v>
      </c>
    </row>
    <row r="1027" spans="2:20" s="0" customFormat="0" ht="15">
      <c r="B1027" s="69" t="s">
        <v>4411</v>
      </c>
      <c r="C1027" s="70" t="s">
        <v>4412</v>
      </c>
      <c r="D1027" s="70" t="s">
        <v>1</v>
      </c>
      <c r="E1027" s="70" t="s">
        <v>1</v>
      </c>
      <c r="F1027" s="70"/>
      <c r="G1027" s="70" t="s">
        <v>61</v>
      </c>
      <c r="H1027" s="70" t="s">
        <v>178</v>
      </c>
      <c r="I1027" s="70" t="s">
        <v>198</v>
      </c>
      <c r="J1027" s="71" t="str">
        <f>IF(OR(I1027=0,I1027=""),"unrated",VLOOKUP(I1027,MappingTables!$B$19:$C$31,2,FALSE))</f>
        <v>unrated</v>
      </c>
      <c r="K1027" s="72">
        <v>8.0383707218056736</v>
      </c>
      <c r="L1027" s="70">
        <v>40.297326172255512</v>
      </c>
      <c r="M1027" s="71">
        <f>IF(L1027&lt;1,1,L1027)</f>
        <v>40.297326172255512</v>
      </c>
      <c r="N1027" s="70" t="s">
        <v>3288</v>
      </c>
      <c r="O1027" s="71">
        <f>IF(OR(I1027=$A$1,I1027=0),"",IF(N1027=MappingTables!$C$14,VLOOKUP(J1027,ModelParameters!$M$8:$N$15,2,FALSE),IF(N1027=MappingTables!$C$16,VLOOKUP(J1027,ModelParameters!$P$8:$Q$15,2,FALSE),0)))</f>
        <v>1</v>
      </c>
      <c r="P1027" s="73">
        <f>IF(OR(I1027=0,I1027=$A$1),0,MIN(O1027*M1027,1)*K1027)</f>
        <v>8.0383707218056736</v>
      </c>
      <c r="Q1027" s="73">
        <f>IF(B1027="",0,IF(OR(H1027=MappingTables!$C$34,H1027=MappingTables!$C$35),P1027,0))</f>
        <v>0</v>
      </c>
      <c r="R1027" s="73">
        <f>IF(ISNA(IF(AND(VLOOKUP(CONCATENATE($D1027,$G1027),CSRFinput!$B:$E,4,0)=0,OR(H1027=MappingTables!$C$31,H1027=MappingTables!$C$32)),1,VLOOKUP(CONCATENATE($D1027,$G1027),CSRFinput!$B:$E,4,0))),0,IF(AND(VLOOKUP(CONCATENATE($D1027,$G1027),CSRFinput!$B:$E,4,0)=0,OR(H1027=MappingTables!$C$31,H1027=MappingTables!$C$32)),1,VLOOKUP(CONCATENATE($D1027,$G1027),CSRFinput!$B:$E,4,0)))</f>
        <v>0.054776304963434752</v>
      </c>
      <c r="S1027" s="73">
        <f>IF(B1027="",0,P1027*R1027)</f>
        <v>0.44031224606677272</v>
      </c>
      <c r="T1027" s="85">
        <f>IF(B1027="",0,IF(OR(H1027=MappingTables!$C$34,H1027=MappingTables!$C$35),S1027,0))</f>
        <v>0</v>
      </c>
    </row>
    <row r="1028" spans="2:20" s="0" customFormat="0" ht="15">
      <c r="B1028" s="69" t="s">
        <v>4615</v>
      </c>
      <c r="C1028" s="70" t="s">
        <v>4616</v>
      </c>
      <c r="D1028" s="70" t="s">
        <v>1</v>
      </c>
      <c r="E1028" s="70" t="s">
        <v>1</v>
      </c>
      <c r="F1028" s="70"/>
      <c r="G1028" s="70" t="s">
        <v>61</v>
      </c>
      <c r="H1028" s="70" t="s">
        <v>178</v>
      </c>
      <c r="I1028" s="70" t="s">
        <v>204</v>
      </c>
      <c r="J1028" s="71">
        <f>IF(OR(I1028=0,I1028=""),"unrated",VLOOKUP(I1028,MappingTables!$B$19:$C$31,2,FALSE))</f>
        <v>6</v>
      </c>
      <c r="K1028" s="72">
        <v>1760.6065799289558</v>
      </c>
      <c r="L1028" s="70">
        <v>0.068491959058040328</v>
      </c>
      <c r="M1028" s="71">
        <f>IF(L1028&lt;1,1,L1028)</f>
        <v>1</v>
      </c>
      <c r="N1028" s="70" t="s">
        <v>3288</v>
      </c>
      <c r="O1028" s="71">
        <f>IF(OR(I1028=$A$1,I1028=0),"",IF(N1028=MappingTables!$C$14,VLOOKUP(J1028,ModelParameters!$M$8:$N$15,2,FALSE),IF(N1028=MappingTables!$C$16,VLOOKUP(J1028,ModelParameters!$P$8:$Q$15,2,FALSE),0)))</f>
        <v>1</v>
      </c>
      <c r="P1028" s="73">
        <f>IF(OR(I1028=0,I1028=$A$1),0,MIN(O1028*M1028,1)*K1028)</f>
        <v>1760.6065799289558</v>
      </c>
      <c r="Q1028" s="73">
        <f>IF(B1028="",0,IF(OR(H1028=MappingTables!$C$34,H1028=MappingTables!$C$35),P1028,0))</f>
        <v>0</v>
      </c>
      <c r="R1028" s="73">
        <f>IF(ISNA(IF(AND(VLOOKUP(CONCATENATE($D1028,$G1028),CSRFinput!$B:$E,4,0)=0,OR(H1028=MappingTables!$C$31,H1028=MappingTables!$C$32)),1,VLOOKUP(CONCATENATE($D1028,$G1028),CSRFinput!$B:$E,4,0))),0,IF(AND(VLOOKUP(CONCATENATE($D1028,$G1028),CSRFinput!$B:$E,4,0)=0,OR(H1028=MappingTables!$C$31,H1028=MappingTables!$C$32)),1,VLOOKUP(CONCATENATE($D1028,$G1028),CSRFinput!$B:$E,4,0)))</f>
        <v>0.054776304963434752</v>
      </c>
      <c r="S1028" s="73">
        <f>IF(B1028="",0,P1028*R1028)</f>
        <v>96.439522942818352</v>
      </c>
      <c r="T1028" s="85">
        <f>IF(B1028="",0,IF(OR(H1028=MappingTables!$C$34,H1028=MappingTables!$C$35),S1028,0))</f>
        <v>0</v>
      </c>
    </row>
    <row r="1029" spans="2:20" s="0" customFormat="0" ht="15">
      <c r="B1029" s="69" t="s">
        <v>4304</v>
      </c>
      <c r="C1029" s="70" t="s">
        <v>4305</v>
      </c>
      <c r="D1029" s="70" t="s">
        <v>1</v>
      </c>
      <c r="E1029" s="70" t="s">
        <v>1</v>
      </c>
      <c r="F1029" s="70"/>
      <c r="G1029" s="70" t="s">
        <v>61</v>
      </c>
      <c r="H1029" s="70" t="s">
        <v>178</v>
      </c>
      <c r="I1029" s="70" t="s">
        <v>184</v>
      </c>
      <c r="J1029" s="71">
        <f>IF(OR(I1029=0,I1029=""),"unrated",VLOOKUP(I1029,MappingTables!$B$19:$C$31,2,FALSE))</f>
        <v>5</v>
      </c>
      <c r="K1029" s="72">
        <v>293.92145640705756</v>
      </c>
      <c r="L1029" s="70">
        <v>0.068495874393628792</v>
      </c>
      <c r="M1029" s="71">
        <f>IF(L1029&lt;1,1,L1029)</f>
        <v>1</v>
      </c>
      <c r="N1029" s="70" t="s">
        <v>3288</v>
      </c>
      <c r="O1029" s="71">
        <f>IF(OR(I1029=$A$1,I1029=0),"",IF(N1029=MappingTables!$C$14,VLOOKUP(J1029,ModelParameters!$M$8:$N$15,2,FALSE),IF(N1029=MappingTables!$C$16,VLOOKUP(J1029,ModelParameters!$P$8:$Q$15,2,FALSE),0)))</f>
        <v>1</v>
      </c>
      <c r="P1029" s="73">
        <f>IF(OR(I1029=0,I1029=$A$1),0,MIN(O1029*M1029,1)*K1029)</f>
        <v>293.92145640705756</v>
      </c>
      <c r="Q1029" s="73">
        <f>IF(B1029="",0,IF(OR(H1029=MappingTables!$C$34,H1029=MappingTables!$C$35),P1029,0))</f>
        <v>0</v>
      </c>
      <c r="R1029" s="73">
        <f>IF(ISNA(IF(AND(VLOOKUP(CONCATENATE($D1029,$G1029),CSRFinput!$B:$E,4,0)=0,OR(H1029=MappingTables!$C$31,H1029=MappingTables!$C$32)),1,VLOOKUP(CONCATENATE($D1029,$G1029),CSRFinput!$B:$E,4,0))),0,IF(AND(VLOOKUP(CONCATENATE($D1029,$G1029),CSRFinput!$B:$E,4,0)=0,OR(H1029=MappingTables!$C$31,H1029=MappingTables!$C$32)),1,VLOOKUP(CONCATENATE($D1029,$G1029),CSRFinput!$B:$E,4,0)))</f>
        <v>0.054776304963434752</v>
      </c>
      <c r="S1029" s="73">
        <f>IF(B1029="",0,P1029*R1029)</f>
        <v>16.09993133144988</v>
      </c>
      <c r="T1029" s="85">
        <f>IF(B1029="",0,IF(OR(H1029=MappingTables!$C$34,H1029=MappingTables!$C$35),S1029,0))</f>
        <v>0</v>
      </c>
    </row>
    <row r="1030" spans="2:20" s="0" customFormat="0" ht="15">
      <c r="B1030" s="69" t="s">
        <v>4651</v>
      </c>
      <c r="C1030" s="70" t="s">
        <v>4652</v>
      </c>
      <c r="D1030" s="70" t="s">
        <v>1</v>
      </c>
      <c r="E1030" s="70" t="s">
        <v>1</v>
      </c>
      <c r="F1030" s="70"/>
      <c r="G1030" s="70" t="s">
        <v>61</v>
      </c>
      <c r="H1030" s="70" t="s">
        <v>178</v>
      </c>
      <c r="I1030" s="70" t="s">
        <v>198</v>
      </c>
      <c r="J1030" s="71" t="str">
        <f>IF(OR(I1030=0,I1030=""),"unrated",VLOOKUP(I1030,MappingTables!$B$19:$C$31,2,FALSE))</f>
        <v>unrated</v>
      </c>
      <c r="K1030" s="72">
        <v>59.62379391695184</v>
      </c>
      <c r="L1030" s="70">
        <v>0.068496109134804848</v>
      </c>
      <c r="M1030" s="71">
        <f>IF(L1030&lt;1,1,L1030)</f>
        <v>1</v>
      </c>
      <c r="N1030" s="70" t="s">
        <v>3288</v>
      </c>
      <c r="O1030" s="71">
        <f>IF(OR(I1030=$A$1,I1030=0),"",IF(N1030=MappingTables!$C$14,VLOOKUP(J1030,ModelParameters!$M$8:$N$15,2,FALSE),IF(N1030=MappingTables!$C$16,VLOOKUP(J1030,ModelParameters!$P$8:$Q$15,2,FALSE),0)))</f>
        <v>1</v>
      </c>
      <c r="P1030" s="73">
        <f>IF(OR(I1030=0,I1030=$A$1),0,MIN(O1030*M1030,1)*K1030)</f>
        <v>59.62379391695184</v>
      </c>
      <c r="Q1030" s="73">
        <f>IF(B1030="",0,IF(OR(H1030=MappingTables!$C$34,H1030=MappingTables!$C$35),P1030,0))</f>
        <v>0</v>
      </c>
      <c r="R1030" s="73">
        <f>IF(ISNA(IF(AND(VLOOKUP(CONCATENATE($D1030,$G1030),CSRFinput!$B:$E,4,0)=0,OR(H1030=MappingTables!$C$31,H1030=MappingTables!$C$32)),1,VLOOKUP(CONCATENATE($D1030,$G1030),CSRFinput!$B:$E,4,0))),0,IF(AND(VLOOKUP(CONCATENATE($D1030,$G1030),CSRFinput!$B:$E,4,0)=0,OR(H1030=MappingTables!$C$31,H1030=MappingTables!$C$32)),1,VLOOKUP(CONCATENATE($D1030,$G1030),CSRFinput!$B:$E,4,0)))</f>
        <v>0.054776304963434752</v>
      </c>
      <c r="S1030" s="73">
        <f>IF(B1030="",0,P1030*R1030)</f>
        <v>3.2659711186719396</v>
      </c>
      <c r="T1030" s="85">
        <f>IF(B1030="",0,IF(OR(H1030=MappingTables!$C$34,H1030=MappingTables!$C$35),S1030,0))</f>
        <v>0</v>
      </c>
    </row>
    <row r="1031" spans="2:20" s="0" customFormat="0" ht="15">
      <c r="B1031" s="69" t="s">
        <v>4653</v>
      </c>
      <c r="C1031" s="70" t="s">
        <v>4654</v>
      </c>
      <c r="D1031" s="70" t="s">
        <v>1</v>
      </c>
      <c r="E1031" s="70" t="s">
        <v>1</v>
      </c>
      <c r="F1031" s="70"/>
      <c r="G1031" s="70" t="s">
        <v>61</v>
      </c>
      <c r="H1031" s="70" t="s">
        <v>178</v>
      </c>
      <c r="I1031" s="70" t="s">
        <v>198</v>
      </c>
      <c r="J1031" s="71" t="str">
        <f>IF(OR(I1031=0,I1031=""),"unrated",VLOOKUP(I1031,MappingTables!$B$19:$C$31,2,FALSE))</f>
        <v>unrated</v>
      </c>
      <c r="K1031" s="72">
        <v>125.0938191887616</v>
      </c>
      <c r="L1031" s="70">
        <v>0.068489475933179928</v>
      </c>
      <c r="M1031" s="71">
        <f>IF(L1031&lt;1,1,L1031)</f>
        <v>1</v>
      </c>
      <c r="N1031" s="70" t="s">
        <v>3288</v>
      </c>
      <c r="O1031" s="71">
        <f>IF(OR(I1031=$A$1,I1031=0),"",IF(N1031=MappingTables!$C$14,VLOOKUP(J1031,ModelParameters!$M$8:$N$15,2,FALSE),IF(N1031=MappingTables!$C$16,VLOOKUP(J1031,ModelParameters!$P$8:$Q$15,2,FALSE),0)))</f>
        <v>1</v>
      </c>
      <c r="P1031" s="73">
        <f>IF(OR(I1031=0,I1031=$A$1),0,MIN(O1031*M1031,1)*K1031)</f>
        <v>125.0938191887616</v>
      </c>
      <c r="Q1031" s="73">
        <f>IF(B1031="",0,IF(OR(H1031=MappingTables!$C$34,H1031=MappingTables!$C$35),P1031,0))</f>
        <v>0</v>
      </c>
      <c r="R1031" s="73">
        <f>IF(ISNA(IF(AND(VLOOKUP(CONCATENATE($D1031,$G1031),CSRFinput!$B:$E,4,0)=0,OR(H1031=MappingTables!$C$31,H1031=MappingTables!$C$32)),1,VLOOKUP(CONCATENATE($D1031,$G1031),CSRFinput!$B:$E,4,0))),0,IF(AND(VLOOKUP(CONCATENATE($D1031,$G1031),CSRFinput!$B:$E,4,0)=0,OR(H1031=MappingTables!$C$31,H1031=MappingTables!$C$32)),1,VLOOKUP(CONCATENATE($D1031,$G1031),CSRFinput!$B:$E,4,0)))</f>
        <v>0.054776304963434752</v>
      </c>
      <c r="S1031" s="73">
        <f>IF(B1031="",0,P1031*R1031)</f>
        <v>6.8521771889243712</v>
      </c>
      <c r="T1031" s="85">
        <f>IF(B1031="",0,IF(OR(H1031=MappingTables!$C$34,H1031=MappingTables!$C$35),S1031,0))</f>
        <v>0</v>
      </c>
    </row>
    <row r="1032" spans="2:20" s="0" customFormat="0" ht="15">
      <c r="B1032" s="69">
        <v>16974676</v>
      </c>
      <c r="C1032" s="70" t="s">
        <v>4655</v>
      </c>
      <c r="D1032" s="70" t="s">
        <v>1</v>
      </c>
      <c r="E1032" s="70" t="s">
        <v>1</v>
      </c>
      <c r="F1032" s="70"/>
      <c r="G1032" s="70" t="s">
        <v>61</v>
      </c>
      <c r="H1032" s="70" t="s">
        <v>178</v>
      </c>
      <c r="I1032" s="70" t="s">
        <v>216</v>
      </c>
      <c r="J1032" s="71">
        <f>IF(OR(I1032=0,I1032=""),"unrated",VLOOKUP(I1032,MappingTables!$B$19:$C$31,2,FALSE))</f>
        <v>0</v>
      </c>
      <c r="K1032" s="72">
        <v>84.92385878959968</v>
      </c>
      <c r="L1032" s="70">
        <v>0.040833956252896072</v>
      </c>
      <c r="M1032" s="71">
        <f>IF(L1032&lt;1,1,L1032)</f>
        <v>1</v>
      </c>
      <c r="N1032" s="70" t="s">
        <v>3288</v>
      </c>
      <c r="O1032" s="71">
        <f>IF(OR(I1032=$A$1,I1032=0),"",IF(N1032=MappingTables!$C$14,VLOOKUP(J1032,ModelParameters!$M$8:$N$15,2,FALSE),IF(N1032=MappingTables!$C$16,VLOOKUP(J1032,ModelParameters!$P$8:$Q$15,2,FALSE),0)))</f>
        <v>0.125</v>
      </c>
      <c r="P1032" s="73">
        <f>IF(OR(I1032=0,I1032=$A$1),0,MIN(O1032*M1032,1)*K1032)</f>
        <v>10.61548234869996</v>
      </c>
      <c r="Q1032" s="73">
        <f>IF(B1032="",0,IF(OR(H1032=MappingTables!$C$34,H1032=MappingTables!$C$35),P1032,0))</f>
        <v>0</v>
      </c>
      <c r="R1032" s="73">
        <f>IF(ISNA(IF(AND(VLOOKUP(CONCATENATE($D1032,$G1032),CSRFinput!$B:$E,4,0)=0,OR(H1032=MappingTables!$C$31,H1032=MappingTables!$C$32)),1,VLOOKUP(CONCATENATE($D1032,$G1032),CSRFinput!$B:$E,4,0))),0,IF(AND(VLOOKUP(CONCATENATE($D1032,$G1032),CSRFinput!$B:$E,4,0)=0,OR(H1032=MappingTables!$C$31,H1032=MappingTables!$C$32)),1,VLOOKUP(CONCATENATE($D1032,$G1032),CSRFinput!$B:$E,4,0)))</f>
        <v>0.054776304963434752</v>
      </c>
      <c r="S1032" s="73">
        <f>IF(B1032="",0,P1032*R1032)</f>
        <v>0.58147689846634768</v>
      </c>
      <c r="T1032" s="85">
        <f>IF(B1032="",0,IF(OR(H1032=MappingTables!$C$34,H1032=MappingTables!$C$35),S1032,0))</f>
        <v>0</v>
      </c>
    </row>
    <row r="1033" spans="2:20" s="0" customFormat="0" ht="15">
      <c r="B1033" s="69" t="s">
        <v>4656</v>
      </c>
      <c r="C1033" s="70" t="s">
        <v>4657</v>
      </c>
      <c r="D1033" s="70" t="s">
        <v>1</v>
      </c>
      <c r="E1033" s="70" t="s">
        <v>1</v>
      </c>
      <c r="F1033" s="70"/>
      <c r="G1033" s="70" t="s">
        <v>61</v>
      </c>
      <c r="H1033" s="70" t="s">
        <v>178</v>
      </c>
      <c r="I1033" s="70" t="s">
        <v>3291</v>
      </c>
      <c r="J1033" s="71">
        <f>IF(OR(I1033=0,I1033=""),"unrated",VLOOKUP(I1033,MappingTables!$B$19:$C$31,2,FALSE))</f>
        <v>6</v>
      </c>
      <c r="K1033" s="72">
        <v>103.25903114734902</v>
      </c>
      <c r="L1033" s="70">
        <v>0.06849156778176452</v>
      </c>
      <c r="M1033" s="71">
        <f>IF(L1033&lt;1,1,L1033)</f>
        <v>1</v>
      </c>
      <c r="N1033" s="70" t="s">
        <v>3288</v>
      </c>
      <c r="O1033" s="71">
        <f>IF(OR(I1033=$A$1,I1033=0),"",IF(N1033=MappingTables!$C$14,VLOOKUP(J1033,ModelParameters!$M$8:$N$15,2,FALSE),IF(N1033=MappingTables!$C$16,VLOOKUP(J1033,ModelParameters!$P$8:$Q$15,2,FALSE),0)))</f>
        <v>1</v>
      </c>
      <c r="P1033" s="73">
        <f>IF(OR(I1033=0,I1033=$A$1),0,MIN(O1033*M1033,1)*K1033)</f>
        <v>103.25903114734902</v>
      </c>
      <c r="Q1033" s="73">
        <f>IF(B1033="",0,IF(OR(H1033=MappingTables!$C$34,H1033=MappingTables!$C$35),P1033,0))</f>
        <v>0</v>
      </c>
      <c r="R1033" s="73">
        <f>IF(ISNA(IF(AND(VLOOKUP(CONCATENATE($D1033,$G1033),CSRFinput!$B:$E,4,0)=0,OR(H1033=MappingTables!$C$31,H1033=MappingTables!$C$32)),1,VLOOKUP(CONCATENATE($D1033,$G1033),CSRFinput!$B:$E,4,0))),0,IF(AND(VLOOKUP(CONCATENATE($D1033,$G1033),CSRFinput!$B:$E,4,0)=0,OR(H1033=MappingTables!$C$31,H1033=MappingTables!$C$32)),1,VLOOKUP(CONCATENATE($D1033,$G1033),CSRFinput!$B:$E,4,0)))</f>
        <v>0.054776304963434752</v>
      </c>
      <c r="S1033" s="73">
        <f>IF(B1033="",0,P1033*R1033)</f>
        <v>5.6561481803559976</v>
      </c>
      <c r="T1033" s="85">
        <f>IF(B1033="",0,IF(OR(H1033=MappingTables!$C$34,H1033=MappingTables!$C$35),S1033,0))</f>
        <v>0</v>
      </c>
    </row>
    <row r="1034" spans="2:20" s="0" customFormat="0" ht="15">
      <c r="B1034" s="69" t="s">
        <v>3614</v>
      </c>
      <c r="C1034" s="70" t="s">
        <v>3615</v>
      </c>
      <c r="D1034" s="70" t="s">
        <v>1</v>
      </c>
      <c r="E1034" s="70" t="s">
        <v>1</v>
      </c>
      <c r="F1034" s="70"/>
      <c r="G1034" s="70" t="s">
        <v>61</v>
      </c>
      <c r="H1034" s="70" t="s">
        <v>178</v>
      </c>
      <c r="I1034" s="70" t="s">
        <v>3298</v>
      </c>
      <c r="J1034" s="71">
        <f>IF(OR(I1034=0,I1034=""),"unrated",VLOOKUP(I1034,MappingTables!$B$19:$C$31,2,FALSE))</f>
        <v>6</v>
      </c>
      <c r="K1034" s="72">
        <v>75.867712686597344</v>
      </c>
      <c r="L1034" s="70">
        <v>-1.5137573127058442</v>
      </c>
      <c r="M1034" s="71">
        <f>IF(L1034&lt;1,1,L1034)</f>
        <v>1</v>
      </c>
      <c r="N1034" s="70" t="s">
        <v>3288</v>
      </c>
      <c r="O1034" s="71">
        <f>IF(OR(I1034=$A$1,I1034=0),"",IF(N1034=MappingTables!$C$14,VLOOKUP(J1034,ModelParameters!$M$8:$N$15,2,FALSE),IF(N1034=MappingTables!$C$16,VLOOKUP(J1034,ModelParameters!$P$8:$Q$15,2,FALSE),0)))</f>
        <v>1</v>
      </c>
      <c r="P1034" s="73">
        <f>IF(OR(I1034=0,I1034=$A$1),0,MIN(O1034*M1034,1)*K1034)</f>
        <v>75.867712686597344</v>
      </c>
      <c r="Q1034" s="73">
        <f>IF(B1034="",0,IF(OR(H1034=MappingTables!$C$34,H1034=MappingTables!$C$35),P1034,0))</f>
        <v>0</v>
      </c>
      <c r="R1034" s="73">
        <f>IF(ISNA(IF(AND(VLOOKUP(CONCATENATE($D1034,$G1034),CSRFinput!$B:$E,4,0)=0,OR(H1034=MappingTables!$C$31,H1034=MappingTables!$C$32)),1,VLOOKUP(CONCATENATE($D1034,$G1034),CSRFinput!$B:$E,4,0))),0,IF(AND(VLOOKUP(CONCATENATE($D1034,$G1034),CSRFinput!$B:$E,4,0)=0,OR(H1034=MappingTables!$C$31,H1034=MappingTables!$C$32)),1,VLOOKUP(CONCATENATE($D1034,$G1034),CSRFinput!$B:$E,4,0)))</f>
        <v>0.054776304963434752</v>
      </c>
      <c r="S1034" s="73">
        <f>IF(B1034="",0,P1034*R1034)</f>
        <v>4.155752966999304</v>
      </c>
      <c r="T1034" s="85">
        <f>IF(B1034="",0,IF(OR(H1034=MappingTables!$C$34,H1034=MappingTables!$C$35),S1034,0))</f>
        <v>0</v>
      </c>
    </row>
    <row r="1035" spans="2:20" s="0" customFormat="0" ht="15">
      <c r="B1035" s="69" t="s">
        <v>4658</v>
      </c>
      <c r="C1035" s="70" t="s">
        <v>4659</v>
      </c>
      <c r="D1035" s="70" t="s">
        <v>1</v>
      </c>
      <c r="E1035" s="70" t="s">
        <v>1</v>
      </c>
      <c r="F1035" s="70"/>
      <c r="G1035" s="70" t="s">
        <v>61</v>
      </c>
      <c r="H1035" s="70" t="s">
        <v>178</v>
      </c>
      <c r="I1035" s="70" t="s">
        <v>184</v>
      </c>
      <c r="J1035" s="71">
        <f>IF(OR(I1035=0,I1035=""),"unrated",VLOOKUP(I1035,MappingTables!$B$19:$C$31,2,FALSE))</f>
        <v>5</v>
      </c>
      <c r="K1035" s="72">
        <v>281.92395121041748</v>
      </c>
      <c r="L1035" s="70">
        <v>0.068492121048890272</v>
      </c>
      <c r="M1035" s="71">
        <f>IF(L1035&lt;1,1,L1035)</f>
        <v>1</v>
      </c>
      <c r="N1035" s="70" t="s">
        <v>3288</v>
      </c>
      <c r="O1035" s="71">
        <f>IF(OR(I1035=$A$1,I1035=0),"",IF(N1035=MappingTables!$C$14,VLOOKUP(J1035,ModelParameters!$M$8:$N$15,2,FALSE),IF(N1035=MappingTables!$C$16,VLOOKUP(J1035,ModelParameters!$P$8:$Q$15,2,FALSE),0)))</f>
        <v>1</v>
      </c>
      <c r="P1035" s="73">
        <f>IF(OR(I1035=0,I1035=$A$1),0,MIN(O1035*M1035,1)*K1035)</f>
        <v>281.92395121041748</v>
      </c>
      <c r="Q1035" s="73">
        <f>IF(B1035="",0,IF(OR(H1035=MappingTables!$C$34,H1035=MappingTables!$C$35),P1035,0))</f>
        <v>0</v>
      </c>
      <c r="R1035" s="73">
        <f>IF(ISNA(IF(AND(VLOOKUP(CONCATENATE($D1035,$G1035),CSRFinput!$B:$E,4,0)=0,OR(H1035=MappingTables!$C$31,H1035=MappingTables!$C$32)),1,VLOOKUP(CONCATENATE($D1035,$G1035),CSRFinput!$B:$E,4,0))),0,IF(AND(VLOOKUP(CONCATENATE($D1035,$G1035),CSRFinput!$B:$E,4,0)=0,OR(H1035=MappingTables!$C$31,H1035=MappingTables!$C$32)),1,VLOOKUP(CONCATENATE($D1035,$G1035),CSRFinput!$B:$E,4,0)))</f>
        <v>0.054776304963434752</v>
      </c>
      <c r="S1035" s="73">
        <f>IF(B1035="",0,P1035*R1035)</f>
        <v>15.44275232799833</v>
      </c>
      <c r="T1035" s="85">
        <f>IF(B1035="",0,IF(OR(H1035=MappingTables!$C$34,H1035=MappingTables!$C$35),S1035,0))</f>
        <v>0</v>
      </c>
    </row>
    <row r="1036" spans="2:20" s="0" customFormat="0" ht="15">
      <c r="B1036" s="69" t="s">
        <v>3656</v>
      </c>
      <c r="C1036" s="70" t="s">
        <v>3657</v>
      </c>
      <c r="D1036" s="70" t="s">
        <v>1</v>
      </c>
      <c r="E1036" s="70" t="s">
        <v>1</v>
      </c>
      <c r="F1036" s="70"/>
      <c r="G1036" s="70" t="s">
        <v>61</v>
      </c>
      <c r="H1036" s="70" t="s">
        <v>178</v>
      </c>
      <c r="I1036" s="70" t="s">
        <v>3298</v>
      </c>
      <c r="J1036" s="71">
        <f>IF(OR(I1036=0,I1036=""),"unrated",VLOOKUP(I1036,MappingTables!$B$19:$C$31,2,FALSE))</f>
        <v>6</v>
      </c>
      <c r="K1036" s="72">
        <v>479.56866816621704</v>
      </c>
      <c r="L1036" s="70">
        <v>-0.35414208382777744</v>
      </c>
      <c r="M1036" s="71">
        <f>IF(L1036&lt;1,1,L1036)</f>
        <v>1</v>
      </c>
      <c r="N1036" s="70" t="s">
        <v>3288</v>
      </c>
      <c r="O1036" s="71">
        <f>IF(OR(I1036=$A$1,I1036=0),"",IF(N1036=MappingTables!$C$14,VLOOKUP(J1036,ModelParameters!$M$8:$N$15,2,FALSE),IF(N1036=MappingTables!$C$16,VLOOKUP(J1036,ModelParameters!$P$8:$Q$15,2,FALSE),0)))</f>
        <v>1</v>
      </c>
      <c r="P1036" s="73">
        <f>IF(OR(I1036=0,I1036=$A$1),0,MIN(O1036*M1036,1)*K1036)</f>
        <v>479.56866816621704</v>
      </c>
      <c r="Q1036" s="73">
        <f>IF(B1036="",0,IF(OR(H1036=MappingTables!$C$34,H1036=MappingTables!$C$35),P1036,0))</f>
        <v>0</v>
      </c>
      <c r="R1036" s="73">
        <f>IF(ISNA(IF(AND(VLOOKUP(CONCATENATE($D1036,$G1036),CSRFinput!$B:$E,4,0)=0,OR(H1036=MappingTables!$C$31,H1036=MappingTables!$C$32)),1,VLOOKUP(CONCATENATE($D1036,$G1036),CSRFinput!$B:$E,4,0))),0,IF(AND(VLOOKUP(CONCATENATE($D1036,$G1036),CSRFinput!$B:$E,4,0)=0,OR(H1036=MappingTables!$C$31,H1036=MappingTables!$C$32)),1,VLOOKUP(CONCATENATE($D1036,$G1036),CSRFinput!$B:$E,4,0)))</f>
        <v>0.054776304963434752</v>
      </c>
      <c r="S1036" s="73">
        <f>IF(B1036="",0,P1036*R1036)</f>
        <v>26.268999618380948</v>
      </c>
      <c r="T1036" s="85">
        <f>IF(B1036="",0,IF(OR(H1036=MappingTables!$C$34,H1036=MappingTables!$C$35),S1036,0))</f>
        <v>0</v>
      </c>
    </row>
    <row r="1037" spans="2:20" s="0" customFormat="0" ht="15">
      <c r="B1037" s="69" t="s">
        <v>4222</v>
      </c>
      <c r="C1037" s="70" t="s">
        <v>4223</v>
      </c>
      <c r="D1037" s="70" t="s">
        <v>1</v>
      </c>
      <c r="E1037" s="70" t="s">
        <v>1</v>
      </c>
      <c r="F1037" s="70"/>
      <c r="G1037" s="70" t="s">
        <v>61</v>
      </c>
      <c r="H1037" s="70" t="s">
        <v>178</v>
      </c>
      <c r="I1037" s="70" t="s">
        <v>198</v>
      </c>
      <c r="J1037" s="71" t="str">
        <f>IF(OR(I1037=0,I1037=""),"unrated",VLOOKUP(I1037,MappingTables!$B$19:$C$31,2,FALSE))</f>
        <v>unrated</v>
      </c>
      <c r="K1037" s="72">
        <v>255.35274034305816</v>
      </c>
      <c r="L1037" s="70">
        <v>2.01657445895471</v>
      </c>
      <c r="M1037" s="71">
        <f>IF(L1037&lt;1,1,L1037)</f>
        <v>2.01657445895471</v>
      </c>
      <c r="N1037" s="70" t="s">
        <v>3288</v>
      </c>
      <c r="O1037" s="71">
        <f>IF(OR(I1037=$A$1,I1037=0),"",IF(N1037=MappingTables!$C$14,VLOOKUP(J1037,ModelParameters!$M$8:$N$15,2,FALSE),IF(N1037=MappingTables!$C$16,VLOOKUP(J1037,ModelParameters!$P$8:$Q$15,2,FALSE),0)))</f>
        <v>1</v>
      </c>
      <c r="P1037" s="73">
        <f>IF(OR(I1037=0,I1037=$A$1),0,MIN(O1037*M1037,1)*K1037)</f>
        <v>255.35274034305816</v>
      </c>
      <c r="Q1037" s="73">
        <f>IF(B1037="",0,IF(OR(H1037=MappingTables!$C$34,H1037=MappingTables!$C$35),P1037,0))</f>
        <v>0</v>
      </c>
      <c r="R1037" s="73">
        <f>IF(ISNA(IF(AND(VLOOKUP(CONCATENATE($D1037,$G1037),CSRFinput!$B:$E,4,0)=0,OR(H1037=MappingTables!$C$31,H1037=MappingTables!$C$32)),1,VLOOKUP(CONCATENATE($D1037,$G1037),CSRFinput!$B:$E,4,0))),0,IF(AND(VLOOKUP(CONCATENATE($D1037,$G1037),CSRFinput!$B:$E,4,0)=0,OR(H1037=MappingTables!$C$31,H1037=MappingTables!$C$32)),1,VLOOKUP(CONCATENATE($D1037,$G1037),CSRFinput!$B:$E,4,0)))</f>
        <v>0.054776304963434752</v>
      </c>
      <c r="S1037" s="73">
        <f>IF(B1037="",0,P1037*R1037)</f>
        <v>13.987279578280124</v>
      </c>
      <c r="T1037" s="85">
        <f>IF(B1037="",0,IF(OR(H1037=MappingTables!$C$34,H1037=MappingTables!$C$35),S1037,0))</f>
        <v>0</v>
      </c>
    </row>
    <row r="1038" spans="2:20" s="0" customFormat="0" ht="15">
      <c r="B1038" s="69" t="s">
        <v>3848</v>
      </c>
      <c r="C1038" s="70" t="s">
        <v>3849</v>
      </c>
      <c r="D1038" s="70" t="s">
        <v>1</v>
      </c>
      <c r="E1038" s="70" t="s">
        <v>1</v>
      </c>
      <c r="F1038" s="70"/>
      <c r="G1038" s="70" t="s">
        <v>61</v>
      </c>
      <c r="H1038" s="70" t="s">
        <v>178</v>
      </c>
      <c r="I1038" s="70" t="s">
        <v>198</v>
      </c>
      <c r="J1038" s="71" t="str">
        <f>IF(OR(I1038=0,I1038=""),"unrated",VLOOKUP(I1038,MappingTables!$B$19:$C$31,2,FALSE))</f>
        <v>unrated</v>
      </c>
      <c r="K1038" s="72">
        <v>547.89977933374544</v>
      </c>
      <c r="L1038" s="70">
        <v>10.385566934967028</v>
      </c>
      <c r="M1038" s="71">
        <f>IF(L1038&lt;1,1,L1038)</f>
        <v>10.385566934967028</v>
      </c>
      <c r="N1038" s="70" t="s">
        <v>3288</v>
      </c>
      <c r="O1038" s="71">
        <f>IF(OR(I1038=$A$1,I1038=0),"",IF(N1038=MappingTables!$C$14,VLOOKUP(J1038,ModelParameters!$M$8:$N$15,2,FALSE),IF(N1038=MappingTables!$C$16,VLOOKUP(J1038,ModelParameters!$P$8:$Q$15,2,FALSE),0)))</f>
        <v>1</v>
      </c>
      <c r="P1038" s="73">
        <f>IF(OR(I1038=0,I1038=$A$1),0,MIN(O1038*M1038,1)*K1038)</f>
        <v>547.89977933374544</v>
      </c>
      <c r="Q1038" s="73">
        <f>IF(B1038="",0,IF(OR(H1038=MappingTables!$C$34,H1038=MappingTables!$C$35),P1038,0))</f>
        <v>0</v>
      </c>
      <c r="R1038" s="73">
        <f>IF(ISNA(IF(AND(VLOOKUP(CONCATENATE($D1038,$G1038),CSRFinput!$B:$E,4,0)=0,OR(H1038=MappingTables!$C$31,H1038=MappingTables!$C$32)),1,VLOOKUP(CONCATENATE($D1038,$G1038),CSRFinput!$B:$E,4,0))),0,IF(AND(VLOOKUP(CONCATENATE($D1038,$G1038),CSRFinput!$B:$E,4,0)=0,OR(H1038=MappingTables!$C$31,H1038=MappingTables!$C$32)),1,VLOOKUP(CONCATENATE($D1038,$G1038),CSRFinput!$B:$E,4,0)))</f>
        <v>0.054776304963434752</v>
      </c>
      <c r="S1038" s="73">
        <f>IF(B1038="",0,P1038*R1038)</f>
        <v>30.011925402183844</v>
      </c>
      <c r="T1038" s="85">
        <f>IF(B1038="",0,IF(OR(H1038=MappingTables!$C$34,H1038=MappingTables!$C$35),S1038,0))</f>
        <v>0</v>
      </c>
    </row>
    <row r="1039" spans="2:20" s="0" customFormat="0" ht="15">
      <c r="B1039" s="69" t="s">
        <v>4280</v>
      </c>
      <c r="C1039" s="70" t="s">
        <v>4281</v>
      </c>
      <c r="D1039" s="70" t="s">
        <v>1</v>
      </c>
      <c r="E1039" s="70" t="s">
        <v>1</v>
      </c>
      <c r="F1039" s="70"/>
      <c r="G1039" s="70" t="s">
        <v>61</v>
      </c>
      <c r="H1039" s="70" t="s">
        <v>178</v>
      </c>
      <c r="I1039" s="70" t="s">
        <v>3298</v>
      </c>
      <c r="J1039" s="71">
        <f>IF(OR(I1039=0,I1039=""),"unrated",VLOOKUP(I1039,MappingTables!$B$19:$C$31,2,FALSE))</f>
        <v>6</v>
      </c>
      <c r="K1039" s="72">
        <v>1630.3883333469858</v>
      </c>
      <c r="L1039" s="70">
        <v>0.068494165809898864</v>
      </c>
      <c r="M1039" s="71">
        <f>IF(L1039&lt;1,1,L1039)</f>
        <v>1</v>
      </c>
      <c r="N1039" s="70" t="s">
        <v>3288</v>
      </c>
      <c r="O1039" s="71">
        <f>IF(OR(I1039=$A$1,I1039=0),"",IF(N1039=MappingTables!$C$14,VLOOKUP(J1039,ModelParameters!$M$8:$N$15,2,FALSE),IF(N1039=MappingTables!$C$16,VLOOKUP(J1039,ModelParameters!$P$8:$Q$15,2,FALSE),0)))</f>
        <v>1</v>
      </c>
      <c r="P1039" s="73">
        <f>IF(OR(I1039=0,I1039=$A$1),0,MIN(O1039*M1039,1)*K1039)</f>
        <v>1630.3883333469858</v>
      </c>
      <c r="Q1039" s="73">
        <f>IF(B1039="",0,IF(OR(H1039=MappingTables!$C$34,H1039=MappingTables!$C$35),P1039,0))</f>
        <v>0</v>
      </c>
      <c r="R1039" s="73">
        <f>IF(ISNA(IF(AND(VLOOKUP(CONCATENATE($D1039,$G1039),CSRFinput!$B:$E,4,0)=0,OR(H1039=MappingTables!$C$31,H1039=MappingTables!$C$32)),1,VLOOKUP(CONCATENATE($D1039,$G1039),CSRFinput!$B:$E,4,0))),0,IF(AND(VLOOKUP(CONCATENATE($D1039,$G1039),CSRFinput!$B:$E,4,0)=0,OR(H1039=MappingTables!$C$31,H1039=MappingTables!$C$32)),1,VLOOKUP(CONCATENATE($D1039,$G1039),CSRFinput!$B:$E,4,0)))</f>
        <v>0.054776304963434752</v>
      </c>
      <c r="S1039" s="73">
        <f>IF(B1039="",0,P1039*R1039)</f>
        <v>89.306648556240624</v>
      </c>
      <c r="T1039" s="85">
        <f>IF(B1039="",0,IF(OR(H1039=MappingTables!$C$34,H1039=MappingTables!$C$35),S1039,0))</f>
        <v>0</v>
      </c>
    </row>
    <row r="1040" spans="2:20" s="0" customFormat="0" ht="15">
      <c r="B1040" s="69">
        <v>14504614</v>
      </c>
      <c r="C1040" s="70" t="s">
        <v>4660</v>
      </c>
      <c r="D1040" s="70" t="s">
        <v>1</v>
      </c>
      <c r="E1040" s="70" t="s">
        <v>1</v>
      </c>
      <c r="F1040" s="70"/>
      <c r="G1040" s="70" t="s">
        <v>61</v>
      </c>
      <c r="H1040" s="70" t="s">
        <v>178</v>
      </c>
      <c r="I1040" s="70" t="s">
        <v>216</v>
      </c>
      <c r="J1040" s="71">
        <f>IF(OR(I1040=0,I1040=""),"unrated",VLOOKUP(I1040,MappingTables!$B$19:$C$31,2,FALSE))</f>
        <v>0</v>
      </c>
      <c r="K1040" s="72">
        <v>253.66084028670628</v>
      </c>
      <c r="L1040" s="70">
        <v>0.006298561142680548</v>
      </c>
      <c r="M1040" s="71">
        <f>IF(L1040&lt;1,1,L1040)</f>
        <v>1</v>
      </c>
      <c r="N1040" s="70" t="s">
        <v>3288</v>
      </c>
      <c r="O1040" s="71">
        <f>IF(OR(I1040=$A$1,I1040=0),"",IF(N1040=MappingTables!$C$14,VLOOKUP(J1040,ModelParameters!$M$8:$N$15,2,FALSE),IF(N1040=MappingTables!$C$16,VLOOKUP(J1040,ModelParameters!$P$8:$Q$15,2,FALSE),0)))</f>
        <v>0.125</v>
      </c>
      <c r="P1040" s="73">
        <f>IF(OR(I1040=0,I1040=$A$1),0,MIN(O1040*M1040,1)*K1040)</f>
        <v>31.707605035838284</v>
      </c>
      <c r="Q1040" s="73">
        <f>IF(B1040="",0,IF(OR(H1040=MappingTables!$C$34,H1040=MappingTables!$C$35),P1040,0))</f>
        <v>0</v>
      </c>
      <c r="R1040" s="73">
        <f>IF(ISNA(IF(AND(VLOOKUP(CONCATENATE($D1040,$G1040),CSRFinput!$B:$E,4,0)=0,OR(H1040=MappingTables!$C$31,H1040=MappingTables!$C$32)),1,VLOOKUP(CONCATENATE($D1040,$G1040),CSRFinput!$B:$E,4,0))),0,IF(AND(VLOOKUP(CONCATENATE($D1040,$G1040),CSRFinput!$B:$E,4,0)=0,OR(H1040=MappingTables!$C$31,H1040=MappingTables!$C$32)),1,VLOOKUP(CONCATENATE($D1040,$G1040),CSRFinput!$B:$E,4,0)))</f>
        <v>0.054776304963434752</v>
      </c>
      <c r="S1040" s="73">
        <f>IF(B1040="",0,P1040*R1040)</f>
        <v>1.7368254431032172</v>
      </c>
      <c r="T1040" s="85">
        <f>IF(B1040="",0,IF(OR(H1040=MappingTables!$C$34,H1040=MappingTables!$C$35),S1040,0))</f>
        <v>0</v>
      </c>
    </row>
    <row r="1041" spans="2:20" s="0" customFormat="0" ht="15">
      <c r="B1041" s="69">
        <v>23914483</v>
      </c>
      <c r="C1041" s="70" t="s">
        <v>3904</v>
      </c>
      <c r="D1041" s="70" t="s">
        <v>1</v>
      </c>
      <c r="E1041" s="70" t="s">
        <v>1</v>
      </c>
      <c r="F1041" s="70"/>
      <c r="G1041" s="70" t="s">
        <v>61</v>
      </c>
      <c r="H1041" s="70" t="s">
        <v>178</v>
      </c>
      <c r="I1041" s="70" t="s">
        <v>216</v>
      </c>
      <c r="J1041" s="71">
        <f>IF(OR(I1041=0,I1041=""),"unrated",VLOOKUP(I1041,MappingTables!$B$19:$C$31,2,FALSE))</f>
        <v>0</v>
      </c>
      <c r="K1041" s="72">
        <v>108.06783323244246</v>
      </c>
      <c r="L1041" s="70">
        <v>0.01347574712626621</v>
      </c>
      <c r="M1041" s="71">
        <f>IF(L1041&lt;1,1,L1041)</f>
        <v>1</v>
      </c>
      <c r="N1041" s="70" t="s">
        <v>3288</v>
      </c>
      <c r="O1041" s="71">
        <f>IF(OR(I1041=$A$1,I1041=0),"",IF(N1041=MappingTables!$C$14,VLOOKUP(J1041,ModelParameters!$M$8:$N$15,2,FALSE),IF(N1041=MappingTables!$C$16,VLOOKUP(J1041,ModelParameters!$P$8:$Q$15,2,FALSE),0)))</f>
        <v>0.125</v>
      </c>
      <c r="P1041" s="73">
        <f>IF(OR(I1041=0,I1041=$A$1),0,MIN(O1041*M1041,1)*K1041)</f>
        <v>13.508479154055306</v>
      </c>
      <c r="Q1041" s="73">
        <f>IF(B1041="",0,IF(OR(H1041=MappingTables!$C$34,H1041=MappingTables!$C$35),P1041,0))</f>
        <v>0</v>
      </c>
      <c r="R1041" s="73">
        <f>IF(ISNA(IF(AND(VLOOKUP(CONCATENATE($D1041,$G1041),CSRFinput!$B:$E,4,0)=0,OR(H1041=MappingTables!$C$31,H1041=MappingTables!$C$32)),1,VLOOKUP(CONCATENATE($D1041,$G1041),CSRFinput!$B:$E,4,0))),0,IF(AND(VLOOKUP(CONCATENATE($D1041,$G1041),CSRFinput!$B:$E,4,0)=0,OR(H1041=MappingTables!$C$31,H1041=MappingTables!$C$32)),1,VLOOKUP(CONCATENATE($D1041,$G1041),CSRFinput!$B:$E,4,0)))</f>
        <v>0.054776304963434752</v>
      </c>
      <c r="S1041" s="73">
        <f>IF(B1041="",0,P1041*R1041)</f>
        <v>0.73994457373473456</v>
      </c>
      <c r="T1041" s="85">
        <f>IF(B1041="",0,IF(OR(H1041=MappingTables!$C$34,H1041=MappingTables!$C$35),S1041,0))</f>
        <v>0</v>
      </c>
    </row>
    <row r="1042" spans="2:20" s="0" customFormat="0" ht="15">
      <c r="B1042" s="69" t="s">
        <v>4661</v>
      </c>
      <c r="C1042" s="70" t="s">
        <v>4662</v>
      </c>
      <c r="D1042" s="70" t="s">
        <v>1</v>
      </c>
      <c r="E1042" s="70" t="s">
        <v>1</v>
      </c>
      <c r="F1042" s="70"/>
      <c r="G1042" s="70" t="s">
        <v>61</v>
      </c>
      <c r="H1042" s="70" t="s">
        <v>178</v>
      </c>
      <c r="I1042" s="70" t="s">
        <v>179</v>
      </c>
      <c r="J1042" s="71">
        <f>IF(OR(I1042=0,I1042=""),"unrated",VLOOKUP(I1042,MappingTables!$B$19:$C$31,2,FALSE))</f>
        <v>4</v>
      </c>
      <c r="K1042" s="72">
        <v>44.199236856386392</v>
      </c>
      <c r="L1042" s="70">
        <v>0.06849357370933752</v>
      </c>
      <c r="M1042" s="71">
        <f>IF(L1042&lt;1,1,L1042)</f>
        <v>1</v>
      </c>
      <c r="N1042" s="70" t="s">
        <v>3288</v>
      </c>
      <c r="O1042" s="71">
        <f>IF(OR(I1042=$A$1,I1042=0),"",IF(N1042=MappingTables!$C$14,VLOOKUP(J1042,ModelParameters!$M$8:$N$15,2,FALSE),IF(N1042=MappingTables!$C$16,VLOOKUP(J1042,ModelParameters!$P$8:$Q$15,2,FALSE),0)))</f>
        <v>0.82</v>
      </c>
      <c r="P1042" s="73">
        <f>IF(OR(I1042=0,I1042=$A$1),0,MIN(O1042*M1042,1)*K1042)</f>
        <v>36.24337422223684</v>
      </c>
      <c r="Q1042" s="73">
        <f>IF(B1042="",0,IF(OR(H1042=MappingTables!$C$34,H1042=MappingTables!$C$35),P1042,0))</f>
        <v>0</v>
      </c>
      <c r="R1042" s="73">
        <f>IF(ISNA(IF(AND(VLOOKUP(CONCATENATE($D1042,$G1042),CSRFinput!$B:$E,4,0)=0,OR(H1042=MappingTables!$C$31,H1042=MappingTables!$C$32)),1,VLOOKUP(CONCATENATE($D1042,$G1042),CSRFinput!$B:$E,4,0))),0,IF(AND(VLOOKUP(CONCATENATE($D1042,$G1042),CSRFinput!$B:$E,4,0)=0,OR(H1042=MappingTables!$C$31,H1042=MappingTables!$C$32)),1,VLOOKUP(CONCATENATE($D1042,$G1042),CSRFinput!$B:$E,4,0)))</f>
        <v>0.054776304963434752</v>
      </c>
      <c r="S1042" s="73">
        <f>IF(B1042="",0,P1042*R1042)</f>
        <v>1.9852781193011348</v>
      </c>
      <c r="T1042" s="85">
        <f>IF(B1042="",0,IF(OR(H1042=MappingTables!$C$34,H1042=MappingTables!$C$35),S1042,0))</f>
        <v>0</v>
      </c>
    </row>
    <row r="1043" spans="2:20" s="0" customFormat="0" ht="15">
      <c r="B1043" s="69" t="s">
        <v>4663</v>
      </c>
      <c r="C1043" s="70" t="s">
        <v>4664</v>
      </c>
      <c r="D1043" s="70" t="s">
        <v>1</v>
      </c>
      <c r="E1043" s="70" t="s">
        <v>1</v>
      </c>
      <c r="F1043" s="70"/>
      <c r="G1043" s="70" t="s">
        <v>61</v>
      </c>
      <c r="H1043" s="70" t="s">
        <v>178</v>
      </c>
      <c r="I1043" s="70" t="s">
        <v>198</v>
      </c>
      <c r="J1043" s="71" t="str">
        <f>IF(OR(I1043=0,I1043=""),"unrated",VLOOKUP(I1043,MappingTables!$B$19:$C$31,2,FALSE))</f>
        <v>unrated</v>
      </c>
      <c r="K1043" s="72">
        <v>140.56841435319374</v>
      </c>
      <c r="L1043" s="70">
        <v>0.06849342180784172</v>
      </c>
      <c r="M1043" s="71">
        <f>IF(L1043&lt;1,1,L1043)</f>
        <v>1</v>
      </c>
      <c r="N1043" s="70" t="s">
        <v>3288</v>
      </c>
      <c r="O1043" s="71">
        <f>IF(OR(I1043=$A$1,I1043=0),"",IF(N1043=MappingTables!$C$14,VLOOKUP(J1043,ModelParameters!$M$8:$N$15,2,FALSE),IF(N1043=MappingTables!$C$16,VLOOKUP(J1043,ModelParameters!$P$8:$Q$15,2,FALSE),0)))</f>
        <v>1</v>
      </c>
      <c r="P1043" s="73">
        <f>IF(OR(I1043=0,I1043=$A$1),0,MIN(O1043*M1043,1)*K1043)</f>
        <v>140.56841435319374</v>
      </c>
      <c r="Q1043" s="73">
        <f>IF(B1043="",0,IF(OR(H1043=MappingTables!$C$34,H1043=MappingTables!$C$35),P1043,0))</f>
        <v>0</v>
      </c>
      <c r="R1043" s="73">
        <f>IF(ISNA(IF(AND(VLOOKUP(CONCATENATE($D1043,$G1043),CSRFinput!$B:$E,4,0)=0,OR(H1043=MappingTables!$C$31,H1043=MappingTables!$C$32)),1,VLOOKUP(CONCATENATE($D1043,$G1043),CSRFinput!$B:$E,4,0))),0,IF(AND(VLOOKUP(CONCATENATE($D1043,$G1043),CSRFinput!$B:$E,4,0)=0,OR(H1043=MappingTables!$C$31,H1043=MappingTables!$C$32)),1,VLOOKUP(CONCATENATE($D1043,$G1043),CSRFinput!$B:$E,4,0)))</f>
        <v>0.054776304963434752</v>
      </c>
      <c r="S1043" s="73">
        <f>IF(B1043="",0,P1043*R1043)</f>
        <v>7.6998183328369984</v>
      </c>
      <c r="T1043" s="85">
        <f>IF(B1043="",0,IF(OR(H1043=MappingTables!$C$34,H1043=MappingTables!$C$35),S1043,0))</f>
        <v>0</v>
      </c>
    </row>
    <row r="1044" spans="2:20" s="0" customFormat="0" ht="15">
      <c r="B1044" s="69" t="s">
        <v>4665</v>
      </c>
      <c r="C1044" s="70" t="s">
        <v>4666</v>
      </c>
      <c r="D1044" s="70" t="s">
        <v>1</v>
      </c>
      <c r="E1044" s="70" t="s">
        <v>1</v>
      </c>
      <c r="F1044" s="70"/>
      <c r="G1044" s="70" t="s">
        <v>61</v>
      </c>
      <c r="H1044" s="70" t="s">
        <v>178</v>
      </c>
      <c r="I1044" s="70" t="s">
        <v>204</v>
      </c>
      <c r="J1044" s="71">
        <f>IF(OR(I1044=0,I1044=""),"unrated",VLOOKUP(I1044,MappingTables!$B$19:$C$31,2,FALSE))</f>
        <v>6</v>
      </c>
      <c r="K1044" s="72">
        <v>619.20139451544584</v>
      </c>
      <c r="L1044" s="70">
        <v>0.068497362853756672</v>
      </c>
      <c r="M1044" s="71">
        <f>IF(L1044&lt;1,1,L1044)</f>
        <v>1</v>
      </c>
      <c r="N1044" s="70" t="s">
        <v>3288</v>
      </c>
      <c r="O1044" s="71">
        <f>IF(OR(I1044=$A$1,I1044=0),"",IF(N1044=MappingTables!$C$14,VLOOKUP(J1044,ModelParameters!$M$8:$N$15,2,FALSE),IF(N1044=MappingTables!$C$16,VLOOKUP(J1044,ModelParameters!$P$8:$Q$15,2,FALSE),0)))</f>
        <v>1</v>
      </c>
      <c r="P1044" s="73">
        <f>IF(OR(I1044=0,I1044=$A$1),0,MIN(O1044*M1044,1)*K1044)</f>
        <v>619.20139451544584</v>
      </c>
      <c r="Q1044" s="73">
        <f>IF(B1044="",0,IF(OR(H1044=MappingTables!$C$34,H1044=MappingTables!$C$35),P1044,0))</f>
        <v>0</v>
      </c>
      <c r="R1044" s="73">
        <f>IF(ISNA(IF(AND(VLOOKUP(CONCATENATE($D1044,$G1044),CSRFinput!$B:$E,4,0)=0,OR(H1044=MappingTables!$C$31,H1044=MappingTables!$C$32)),1,VLOOKUP(CONCATENATE($D1044,$G1044),CSRFinput!$B:$E,4,0))),0,IF(AND(VLOOKUP(CONCATENATE($D1044,$G1044),CSRFinput!$B:$E,4,0)=0,OR(H1044=MappingTables!$C$31,H1044=MappingTables!$C$32)),1,VLOOKUP(CONCATENATE($D1044,$G1044),CSRFinput!$B:$E,4,0)))</f>
        <v>0.054776304963434752</v>
      </c>
      <c r="S1044" s="73">
        <f>IF(B1044="",0,P1044*R1044)</f>
        <v>33.917564419762136</v>
      </c>
      <c r="T1044" s="85">
        <f>IF(B1044="",0,IF(OR(H1044=MappingTables!$C$34,H1044=MappingTables!$C$35),S1044,0))</f>
        <v>0</v>
      </c>
    </row>
    <row r="1045" spans="2:20" s="0" customFormat="0" ht="15">
      <c r="B1045" s="69">
        <v>1929252</v>
      </c>
      <c r="C1045" s="70" t="s">
        <v>4667</v>
      </c>
      <c r="D1045" s="70" t="s">
        <v>1</v>
      </c>
      <c r="E1045" s="70" t="s">
        <v>1</v>
      </c>
      <c r="F1045" s="70"/>
      <c r="G1045" s="70" t="s">
        <v>61</v>
      </c>
      <c r="H1045" s="70" t="s">
        <v>178</v>
      </c>
      <c r="I1045" s="70" t="s">
        <v>179</v>
      </c>
      <c r="J1045" s="71">
        <f>IF(OR(I1045=0,I1045=""),"unrated",VLOOKUP(I1045,MappingTables!$B$19:$C$31,2,FALSE))</f>
        <v>4</v>
      </c>
      <c r="K1045" s="72">
        <v>3775.2778673393352</v>
      </c>
      <c r="L1045" s="70">
        <v>0.068495802775874536</v>
      </c>
      <c r="M1045" s="71">
        <f>IF(L1045&lt;1,1,L1045)</f>
        <v>1</v>
      </c>
      <c r="N1045" s="70" t="s">
        <v>3288</v>
      </c>
      <c r="O1045" s="71">
        <f>IF(OR(I1045=$A$1,I1045=0),"",IF(N1045=MappingTables!$C$14,VLOOKUP(J1045,ModelParameters!$M$8:$N$15,2,FALSE),IF(N1045=MappingTables!$C$16,VLOOKUP(J1045,ModelParameters!$P$8:$Q$15,2,FALSE),0)))</f>
        <v>0.82</v>
      </c>
      <c r="P1045" s="73">
        <f>IF(OR(I1045=0,I1045=$A$1),0,MIN(O1045*M1045,1)*K1045)</f>
        <v>3095.7278512182548</v>
      </c>
      <c r="Q1045" s="73">
        <f>IF(B1045="",0,IF(OR(H1045=MappingTables!$C$34,H1045=MappingTables!$C$35),P1045,0))</f>
        <v>0</v>
      </c>
      <c r="R1045" s="73">
        <f>IF(ISNA(IF(AND(VLOOKUP(CONCATENATE($D1045,$G1045),CSRFinput!$B:$E,4,0)=0,OR(H1045=MappingTables!$C$31,H1045=MappingTables!$C$32)),1,VLOOKUP(CONCATENATE($D1045,$G1045),CSRFinput!$B:$E,4,0))),0,IF(AND(VLOOKUP(CONCATENATE($D1045,$G1045),CSRFinput!$B:$E,4,0)=0,OR(H1045=MappingTables!$C$31,H1045=MappingTables!$C$32)),1,VLOOKUP(CONCATENATE($D1045,$G1045),CSRFinput!$B:$E,4,0)))</f>
        <v>0.054776304963434752</v>
      </c>
      <c r="S1045" s="73">
        <f>IF(B1045="",0,P1045*R1045)</f>
        <v>169.5725328621297</v>
      </c>
      <c r="T1045" s="85">
        <f>IF(B1045="",0,IF(OR(H1045=MappingTables!$C$34,H1045=MappingTables!$C$35),S1045,0))</f>
        <v>0</v>
      </c>
    </row>
    <row r="1046" spans="2:20" s="0" customFormat="0" ht="15">
      <c r="B1046" s="69">
        <v>16974677</v>
      </c>
      <c r="C1046" s="70" t="s">
        <v>4643</v>
      </c>
      <c r="D1046" s="70" t="s">
        <v>1</v>
      </c>
      <c r="E1046" s="70" t="s">
        <v>1</v>
      </c>
      <c r="F1046" s="70"/>
      <c r="G1046" s="70" t="s">
        <v>61</v>
      </c>
      <c r="H1046" s="70" t="s">
        <v>178</v>
      </c>
      <c r="I1046" s="70" t="s">
        <v>216</v>
      </c>
      <c r="J1046" s="71">
        <f>IF(OR(I1046=0,I1046=""),"unrated",VLOOKUP(I1046,MappingTables!$B$19:$C$31,2,FALSE))</f>
        <v>0</v>
      </c>
      <c r="K1046" s="72">
        <v>101.10437081220242</v>
      </c>
      <c r="L1046" s="70">
        <v>0.01202808664991081</v>
      </c>
      <c r="M1046" s="71">
        <f>IF(L1046&lt;1,1,L1046)</f>
        <v>1</v>
      </c>
      <c r="N1046" s="70" t="s">
        <v>3288</v>
      </c>
      <c r="O1046" s="71">
        <f>IF(OR(I1046=$A$1,I1046=0),"",IF(N1046=MappingTables!$C$14,VLOOKUP(J1046,ModelParameters!$M$8:$N$15,2,FALSE),IF(N1046=MappingTables!$C$16,VLOOKUP(J1046,ModelParameters!$P$8:$Q$15,2,FALSE),0)))</f>
        <v>0.125</v>
      </c>
      <c r="P1046" s="73">
        <f>IF(OR(I1046=0,I1046=$A$1),0,MIN(O1046*M1046,1)*K1046)</f>
        <v>12.638046351525302</v>
      </c>
      <c r="Q1046" s="73">
        <f>IF(B1046="",0,IF(OR(H1046=MappingTables!$C$34,H1046=MappingTables!$C$35),P1046,0))</f>
        <v>0</v>
      </c>
      <c r="R1046" s="73">
        <f>IF(ISNA(IF(AND(VLOOKUP(CONCATENATE($D1046,$G1046),CSRFinput!$B:$E,4,0)=0,OR(H1046=MappingTables!$C$31,H1046=MappingTables!$C$32)),1,VLOOKUP(CONCATENATE($D1046,$G1046),CSRFinput!$B:$E,4,0))),0,IF(AND(VLOOKUP(CONCATENATE($D1046,$G1046),CSRFinput!$B:$E,4,0)=0,OR(H1046=MappingTables!$C$31,H1046=MappingTables!$C$32)),1,VLOOKUP(CONCATENATE($D1046,$G1046),CSRFinput!$B:$E,4,0)))</f>
        <v>0.054776304963434752</v>
      </c>
      <c r="S1046" s="73">
        <f>IF(B1046="",0,P1046*R1046)</f>
        <v>0.69226548109317384</v>
      </c>
      <c r="T1046" s="85">
        <f>IF(B1046="",0,IF(OR(H1046=MappingTables!$C$34,H1046=MappingTables!$C$35),S1046,0))</f>
        <v>0</v>
      </c>
    </row>
    <row r="1047" spans="2:20" s="0" customFormat="0" ht="15">
      <c r="B1047" s="69">
        <v>18746159</v>
      </c>
      <c r="C1047" s="70" t="s">
        <v>3494</v>
      </c>
      <c r="D1047" s="70" t="s">
        <v>1</v>
      </c>
      <c r="E1047" s="70" t="s">
        <v>1</v>
      </c>
      <c r="F1047" s="70"/>
      <c r="G1047" s="70" t="s">
        <v>61</v>
      </c>
      <c r="H1047" s="70" t="s">
        <v>178</v>
      </c>
      <c r="I1047" s="70" t="s">
        <v>216</v>
      </c>
      <c r="J1047" s="71">
        <f>IF(OR(I1047=0,I1047=""),"unrated",VLOOKUP(I1047,MappingTables!$B$19:$C$31,2,FALSE))</f>
        <v>0</v>
      </c>
      <c r="K1047" s="72">
        <v>655.12128242986728</v>
      </c>
      <c r="L1047" s="70">
        <v>0.054362021463786824</v>
      </c>
      <c r="M1047" s="71">
        <f>IF(L1047&lt;1,1,L1047)</f>
        <v>1</v>
      </c>
      <c r="N1047" s="70" t="s">
        <v>3288</v>
      </c>
      <c r="O1047" s="71">
        <f>IF(OR(I1047=$A$1,I1047=0),"",IF(N1047=MappingTables!$C$14,VLOOKUP(J1047,ModelParameters!$M$8:$N$15,2,FALSE),IF(N1047=MappingTables!$C$16,VLOOKUP(J1047,ModelParameters!$P$8:$Q$15,2,FALSE),0)))</f>
        <v>0.125</v>
      </c>
      <c r="P1047" s="73">
        <f>IF(OR(I1047=0,I1047=$A$1),0,MIN(O1047*M1047,1)*K1047)</f>
        <v>81.890160303733408</v>
      </c>
      <c r="Q1047" s="73">
        <f>IF(B1047="",0,IF(OR(H1047=MappingTables!$C$34,H1047=MappingTables!$C$35),P1047,0))</f>
        <v>0</v>
      </c>
      <c r="R1047" s="73">
        <f>IF(ISNA(IF(AND(VLOOKUP(CONCATENATE($D1047,$G1047),CSRFinput!$B:$E,4,0)=0,OR(H1047=MappingTables!$C$31,H1047=MappingTables!$C$32)),1,VLOOKUP(CONCATENATE($D1047,$G1047),CSRFinput!$B:$E,4,0))),0,IF(AND(VLOOKUP(CONCATENATE($D1047,$G1047),CSRFinput!$B:$E,4,0)=0,OR(H1047=MappingTables!$C$31,H1047=MappingTables!$C$32)),1,VLOOKUP(CONCATENATE($D1047,$G1047),CSRFinput!$B:$E,4,0)))</f>
        <v>0.054776304963434752</v>
      </c>
      <c r="S1047" s="73">
        <f>IF(B1047="",0,P1047*R1047)</f>
        <v>4.48564039430186</v>
      </c>
      <c r="T1047" s="85">
        <f>IF(B1047="",0,IF(OR(H1047=MappingTables!$C$34,H1047=MappingTables!$C$35),S1047,0))</f>
        <v>0</v>
      </c>
    </row>
    <row r="1048" spans="2:20" s="0" customFormat="0" ht="15">
      <c r="B1048" s="69" t="s">
        <v>3940</v>
      </c>
      <c r="C1048" s="70" t="s">
        <v>3941</v>
      </c>
      <c r="D1048" s="70" t="s">
        <v>1</v>
      </c>
      <c r="E1048" s="70" t="s">
        <v>1</v>
      </c>
      <c r="F1048" s="70"/>
      <c r="G1048" s="70" t="s">
        <v>61</v>
      </c>
      <c r="H1048" s="70" t="s">
        <v>178</v>
      </c>
      <c r="I1048" s="70" t="s">
        <v>184</v>
      </c>
      <c r="J1048" s="71">
        <f>IF(OR(I1048=0,I1048=""),"unrated",VLOOKUP(I1048,MappingTables!$B$19:$C$31,2,FALSE))</f>
        <v>5</v>
      </c>
      <c r="K1048" s="72">
        <v>534.48081858290456</v>
      </c>
      <c r="L1048" s="70">
        <v>0.068490309611545664</v>
      </c>
      <c r="M1048" s="71">
        <f>IF(L1048&lt;1,1,L1048)</f>
        <v>1</v>
      </c>
      <c r="N1048" s="70" t="s">
        <v>3288</v>
      </c>
      <c r="O1048" s="71">
        <f>IF(OR(I1048=$A$1,I1048=0),"",IF(N1048=MappingTables!$C$14,VLOOKUP(J1048,ModelParameters!$M$8:$N$15,2,FALSE),IF(N1048=MappingTables!$C$16,VLOOKUP(J1048,ModelParameters!$P$8:$Q$15,2,FALSE),0)))</f>
        <v>1</v>
      </c>
      <c r="P1048" s="73">
        <f>IF(OR(I1048=0,I1048=$A$1),0,MIN(O1048*M1048,1)*K1048)</f>
        <v>534.48081858290456</v>
      </c>
      <c r="Q1048" s="73">
        <f>IF(B1048="",0,IF(OR(H1048=MappingTables!$C$34,H1048=MappingTables!$C$35),P1048,0))</f>
        <v>0</v>
      </c>
      <c r="R1048" s="73">
        <f>IF(ISNA(IF(AND(VLOOKUP(CONCATENATE($D1048,$G1048),CSRFinput!$B:$E,4,0)=0,OR(H1048=MappingTables!$C$31,H1048=MappingTables!$C$32)),1,VLOOKUP(CONCATENATE($D1048,$G1048),CSRFinput!$B:$E,4,0))),0,IF(AND(VLOOKUP(CONCATENATE($D1048,$G1048),CSRFinput!$B:$E,4,0)=0,OR(H1048=MappingTables!$C$31,H1048=MappingTables!$C$32)),1,VLOOKUP(CONCATENATE($D1048,$G1048),CSRFinput!$B:$E,4,0)))</f>
        <v>0.054776304963434752</v>
      </c>
      <c r="S1048" s="73">
        <f>IF(B1048="",0,P1048*R1048)</f>
        <v>29.276884315803424</v>
      </c>
      <c r="T1048" s="85">
        <f>IF(B1048="",0,IF(OR(H1048=MappingTables!$C$34,H1048=MappingTables!$C$35),S1048,0))</f>
        <v>0</v>
      </c>
    </row>
    <row r="1049" spans="2:20" s="0" customFormat="0" ht="15">
      <c r="B1049" s="69">
        <v>1551412</v>
      </c>
      <c r="C1049" s="70" t="s">
        <v>4668</v>
      </c>
      <c r="D1049" s="70" t="s">
        <v>1</v>
      </c>
      <c r="E1049" s="70" t="s">
        <v>1</v>
      </c>
      <c r="F1049" s="70"/>
      <c r="G1049" s="70" t="s">
        <v>61</v>
      </c>
      <c r="H1049" s="70" t="s">
        <v>178</v>
      </c>
      <c r="I1049" s="70" t="s">
        <v>184</v>
      </c>
      <c r="J1049" s="71">
        <f>IF(OR(I1049=0,I1049=""),"unrated",VLOOKUP(I1049,MappingTables!$B$19:$C$31,2,FALSE))</f>
        <v>5</v>
      </c>
      <c r="K1049" s="72">
        <v>1.9220968792942992</v>
      </c>
      <c r="L1049" s="70">
        <v>0.068491241780328896</v>
      </c>
      <c r="M1049" s="71">
        <f>IF(L1049&lt;1,1,L1049)</f>
        <v>1</v>
      </c>
      <c r="N1049" s="70" t="s">
        <v>3288</v>
      </c>
      <c r="O1049" s="71">
        <f>IF(OR(I1049=$A$1,I1049=0),"",IF(N1049=MappingTables!$C$14,VLOOKUP(J1049,ModelParameters!$M$8:$N$15,2,FALSE),IF(N1049=MappingTables!$C$16,VLOOKUP(J1049,ModelParameters!$P$8:$Q$15,2,FALSE),0)))</f>
        <v>1</v>
      </c>
      <c r="P1049" s="73">
        <f>IF(OR(I1049=0,I1049=$A$1),0,MIN(O1049*M1049,1)*K1049)</f>
        <v>1.9220968792942992</v>
      </c>
      <c r="Q1049" s="73">
        <f>IF(B1049="",0,IF(OR(H1049=MappingTables!$C$34,H1049=MappingTables!$C$35),P1049,0))</f>
        <v>0</v>
      </c>
      <c r="R1049" s="73">
        <f>IF(ISNA(IF(AND(VLOOKUP(CONCATENATE($D1049,$G1049),CSRFinput!$B:$E,4,0)=0,OR(H1049=MappingTables!$C$31,H1049=MappingTables!$C$32)),1,VLOOKUP(CONCATENATE($D1049,$G1049),CSRFinput!$B:$E,4,0))),0,IF(AND(VLOOKUP(CONCATENATE($D1049,$G1049),CSRFinput!$B:$E,4,0)=0,OR(H1049=MappingTables!$C$31,H1049=MappingTables!$C$32)),1,VLOOKUP(CONCATENATE($D1049,$G1049),CSRFinput!$B:$E,4,0)))</f>
        <v>0.054776304963434752</v>
      </c>
      <c r="S1049" s="73">
        <f>IF(B1049="",0,P1049*R1049)</f>
        <v>0.10528536482949078</v>
      </c>
      <c r="T1049" s="85">
        <f>IF(B1049="",0,IF(OR(H1049=MappingTables!$C$34,H1049=MappingTables!$C$35),S1049,0))</f>
        <v>0</v>
      </c>
    </row>
    <row r="1050" spans="2:20" s="0" customFormat="0" ht="15">
      <c r="B1050" s="69" t="s">
        <v>4669</v>
      </c>
      <c r="C1050" s="70" t="s">
        <v>4670</v>
      </c>
      <c r="D1050" s="70" t="s">
        <v>1</v>
      </c>
      <c r="E1050" s="70" t="s">
        <v>1</v>
      </c>
      <c r="F1050" s="70"/>
      <c r="G1050" s="70" t="s">
        <v>61</v>
      </c>
      <c r="H1050" s="70" t="s">
        <v>178</v>
      </c>
      <c r="I1050" s="70" t="s">
        <v>198</v>
      </c>
      <c r="J1050" s="71" t="str">
        <f>IF(OR(I1050=0,I1050=""),"unrated",VLOOKUP(I1050,MappingTables!$B$19:$C$31,2,FALSE))</f>
        <v>unrated</v>
      </c>
      <c r="K1050" s="72">
        <v>0.98775946123543696</v>
      </c>
      <c r="L1050" s="70">
        <v>0.068494993942123352</v>
      </c>
      <c r="M1050" s="71">
        <f>IF(L1050&lt;1,1,L1050)</f>
        <v>1</v>
      </c>
      <c r="N1050" s="70" t="s">
        <v>3288</v>
      </c>
      <c r="O1050" s="71">
        <f>IF(OR(I1050=$A$1,I1050=0),"",IF(N1050=MappingTables!$C$14,VLOOKUP(J1050,ModelParameters!$M$8:$N$15,2,FALSE),IF(N1050=MappingTables!$C$16,VLOOKUP(J1050,ModelParameters!$P$8:$Q$15,2,FALSE),0)))</f>
        <v>1</v>
      </c>
      <c r="P1050" s="73">
        <f>IF(OR(I1050=0,I1050=$A$1),0,MIN(O1050*M1050,1)*K1050)</f>
        <v>0.98775946123543696</v>
      </c>
      <c r="Q1050" s="73">
        <f>IF(B1050="",0,IF(OR(H1050=MappingTables!$C$34,H1050=MappingTables!$C$35),P1050,0))</f>
        <v>0</v>
      </c>
      <c r="R1050" s="73">
        <f>IF(ISNA(IF(AND(VLOOKUP(CONCATENATE($D1050,$G1050),CSRFinput!$B:$E,4,0)=0,OR(H1050=MappingTables!$C$31,H1050=MappingTables!$C$32)),1,VLOOKUP(CONCATENATE($D1050,$G1050),CSRFinput!$B:$E,4,0))),0,IF(AND(VLOOKUP(CONCATENATE($D1050,$G1050),CSRFinput!$B:$E,4,0)=0,OR(H1050=MappingTables!$C$31,H1050=MappingTables!$C$32)),1,VLOOKUP(CONCATENATE($D1050,$G1050),CSRFinput!$B:$E,4,0)))</f>
        <v>0.054776304963434752</v>
      </c>
      <c r="S1050" s="73">
        <f>IF(B1050="",0,P1050*R1050)</f>
        <v>0.054105813479150304</v>
      </c>
      <c r="T1050" s="85">
        <f>IF(B1050="",0,IF(OR(H1050=MappingTables!$C$34,H1050=MappingTables!$C$35),S1050,0))</f>
        <v>0</v>
      </c>
    </row>
    <row r="1051" spans="2:20" s="0" customFormat="0" ht="15">
      <c r="B1051" s="69">
        <v>21565617</v>
      </c>
      <c r="C1051" s="70" t="s">
        <v>4671</v>
      </c>
      <c r="D1051" s="70" t="s">
        <v>1</v>
      </c>
      <c r="E1051" s="70" t="s">
        <v>1</v>
      </c>
      <c r="F1051" s="70"/>
      <c r="G1051" s="70" t="s">
        <v>61</v>
      </c>
      <c r="H1051" s="70" t="s">
        <v>178</v>
      </c>
      <c r="I1051" s="70" t="s">
        <v>188</v>
      </c>
      <c r="J1051" s="71">
        <f>IF(OR(I1051=0,I1051=""),"unrated",VLOOKUP(I1051,MappingTables!$B$19:$C$31,2,FALSE))</f>
        <v>2</v>
      </c>
      <c r="K1051" s="72">
        <v>8126.0421795651744</v>
      </c>
      <c r="L1051" s="70">
        <v>4.9679692188836</v>
      </c>
      <c r="M1051" s="71">
        <f>IF(L1051&lt;1,1,L1051)</f>
        <v>4.9679692188836</v>
      </c>
      <c r="N1051" s="70" t="s">
        <v>3288</v>
      </c>
      <c r="O1051" s="71">
        <f>IF(OR(I1051=$A$1,I1051=0),"",IF(N1051=MappingTables!$C$14,VLOOKUP(J1051,ModelParameters!$M$8:$N$15,2,FALSE),IF(N1051=MappingTables!$C$16,VLOOKUP(J1051,ModelParameters!$P$8:$Q$15,2,FALSE),0)))</f>
        <v>0.166</v>
      </c>
      <c r="P1051" s="73">
        <f>IF(OR(I1051=0,I1051=$A$1),0,MIN(O1051*M1051,1)*K1051)</f>
        <v>6701.4079516253112</v>
      </c>
      <c r="Q1051" s="73">
        <f>IF(B1051="",0,IF(OR(H1051=MappingTables!$C$34,H1051=MappingTables!$C$35),P1051,0))</f>
        <v>0</v>
      </c>
      <c r="R1051" s="73">
        <f>IF(ISNA(IF(AND(VLOOKUP(CONCATENATE($D1051,$G1051),CSRFinput!$B:$E,4,0)=0,OR(H1051=MappingTables!$C$31,H1051=MappingTables!$C$32)),1,VLOOKUP(CONCATENATE($D1051,$G1051),CSRFinput!$B:$E,4,0))),0,IF(AND(VLOOKUP(CONCATENATE($D1051,$G1051),CSRFinput!$B:$E,4,0)=0,OR(H1051=MappingTables!$C$31,H1051=MappingTables!$C$32)),1,VLOOKUP(CONCATENATE($D1051,$G1051),CSRFinput!$B:$E,4,0)))</f>
        <v>0.054776304963434752</v>
      </c>
      <c r="S1051" s="73">
        <f>IF(B1051="",0,P1051*R1051)</f>
        <v>367.07836564261464</v>
      </c>
      <c r="T1051" s="85">
        <f>IF(B1051="",0,IF(OR(H1051=MappingTables!$C$34,H1051=MappingTables!$C$35),S1051,0))</f>
        <v>0</v>
      </c>
    </row>
    <row r="1052" spans="2:20" s="0" customFormat="0" ht="15">
      <c r="B1052" s="69" t="s">
        <v>3507</v>
      </c>
      <c r="C1052" s="70" t="s">
        <v>3508</v>
      </c>
      <c r="D1052" s="70" t="s">
        <v>1</v>
      </c>
      <c r="E1052" s="70" t="s">
        <v>1</v>
      </c>
      <c r="F1052" s="70"/>
      <c r="G1052" s="70" t="s">
        <v>61</v>
      </c>
      <c r="H1052" s="70" t="s">
        <v>178</v>
      </c>
      <c r="I1052" s="70" t="s">
        <v>198</v>
      </c>
      <c r="J1052" s="71" t="str">
        <f>IF(OR(I1052=0,I1052=""),"unrated",VLOOKUP(I1052,MappingTables!$B$19:$C$31,2,FALSE))</f>
        <v>unrated</v>
      </c>
      <c r="K1052" s="72">
        <v>3840.9932510045208</v>
      </c>
      <c r="L1052" s="70">
        <v>9.2607954931852192</v>
      </c>
      <c r="M1052" s="71">
        <f>IF(L1052&lt;1,1,L1052)</f>
        <v>9.2607954931852192</v>
      </c>
      <c r="N1052" s="70" t="s">
        <v>3288</v>
      </c>
      <c r="O1052" s="71">
        <f>IF(OR(I1052=$A$1,I1052=0),"",IF(N1052=MappingTables!$C$14,VLOOKUP(J1052,ModelParameters!$M$8:$N$15,2,FALSE),IF(N1052=MappingTables!$C$16,VLOOKUP(J1052,ModelParameters!$P$8:$Q$15,2,FALSE),0)))</f>
        <v>1</v>
      </c>
      <c r="P1052" s="73">
        <f>IF(OR(I1052=0,I1052=$A$1),0,MIN(O1052*M1052,1)*K1052)</f>
        <v>3840.9932510045208</v>
      </c>
      <c r="Q1052" s="73">
        <f>IF(B1052="",0,IF(OR(H1052=MappingTables!$C$34,H1052=MappingTables!$C$35),P1052,0))</f>
        <v>0</v>
      </c>
      <c r="R1052" s="73">
        <f>IF(ISNA(IF(AND(VLOOKUP(CONCATENATE($D1052,$G1052),CSRFinput!$B:$E,4,0)=0,OR(H1052=MappingTables!$C$31,H1052=MappingTables!$C$32)),1,VLOOKUP(CONCATENATE($D1052,$G1052),CSRFinput!$B:$E,4,0))),0,IF(AND(VLOOKUP(CONCATENATE($D1052,$G1052),CSRFinput!$B:$E,4,0)=0,OR(H1052=MappingTables!$C$31,H1052=MappingTables!$C$32)),1,VLOOKUP(CONCATENATE($D1052,$G1052),CSRFinput!$B:$E,4,0)))</f>
        <v>0.054776304963434752</v>
      </c>
      <c r="S1052" s="73">
        <f>IF(B1052="",0,P1052*R1052)</f>
        <v>210.39541767951832</v>
      </c>
      <c r="T1052" s="85">
        <f>IF(B1052="",0,IF(OR(H1052=MappingTables!$C$34,H1052=MappingTables!$C$35),S1052,0))</f>
        <v>0</v>
      </c>
    </row>
    <row r="1053" spans="2:20" s="0" customFormat="0" ht="15">
      <c r="B1053" s="69" t="s">
        <v>4672</v>
      </c>
      <c r="C1053" s="70" t="s">
        <v>4673</v>
      </c>
      <c r="D1053" s="70" t="s">
        <v>1</v>
      </c>
      <c r="E1053" s="70" t="s">
        <v>1</v>
      </c>
      <c r="F1053" s="70"/>
      <c r="G1053" s="70" t="s">
        <v>61</v>
      </c>
      <c r="H1053" s="70" t="s">
        <v>178</v>
      </c>
      <c r="I1053" s="70" t="s">
        <v>198</v>
      </c>
      <c r="J1053" s="71" t="str">
        <f>IF(OR(I1053=0,I1053=""),"unrated",VLOOKUP(I1053,MappingTables!$B$19:$C$31,2,FALSE))</f>
        <v>unrated</v>
      </c>
      <c r="K1053" s="72">
        <v>4.6029150778242792</v>
      </c>
      <c r="L1053" s="70">
        <v>7.066045144115452</v>
      </c>
      <c r="M1053" s="71">
        <f>IF(L1053&lt;1,1,L1053)</f>
        <v>7.066045144115452</v>
      </c>
      <c r="N1053" s="70" t="s">
        <v>3288</v>
      </c>
      <c r="O1053" s="71">
        <f>IF(OR(I1053=$A$1,I1053=0),"",IF(N1053=MappingTables!$C$14,VLOOKUP(J1053,ModelParameters!$M$8:$N$15,2,FALSE),IF(N1053=MappingTables!$C$16,VLOOKUP(J1053,ModelParameters!$P$8:$Q$15,2,FALSE),0)))</f>
        <v>1</v>
      </c>
      <c r="P1053" s="73">
        <f>IF(OR(I1053=0,I1053=$A$1),0,MIN(O1053*M1053,1)*K1053)</f>
        <v>4.6029150778242792</v>
      </c>
      <c r="Q1053" s="73">
        <f>IF(B1053="",0,IF(OR(H1053=MappingTables!$C$34,H1053=MappingTables!$C$35),P1053,0))</f>
        <v>0</v>
      </c>
      <c r="R1053" s="73">
        <f>IF(ISNA(IF(AND(VLOOKUP(CONCATENATE($D1053,$G1053),CSRFinput!$B:$E,4,0)=0,OR(H1053=MappingTables!$C$31,H1053=MappingTables!$C$32)),1,VLOOKUP(CONCATENATE($D1053,$G1053),CSRFinput!$B:$E,4,0))),0,IF(AND(VLOOKUP(CONCATENATE($D1053,$G1053),CSRFinput!$B:$E,4,0)=0,OR(H1053=MappingTables!$C$31,H1053=MappingTables!$C$32)),1,VLOOKUP(CONCATENATE($D1053,$G1053),CSRFinput!$B:$E,4,0)))</f>
        <v>0.054776304963434752</v>
      </c>
      <c r="S1053" s="73">
        <f>IF(B1053="",0,P1053*R1053)</f>
        <v>0.25213068002369472</v>
      </c>
      <c r="T1053" s="85">
        <f>IF(B1053="",0,IF(OR(H1053=MappingTables!$C$34,H1053=MappingTables!$C$35),S1053,0))</f>
        <v>0</v>
      </c>
    </row>
    <row r="1054" spans="2:20" s="0" customFormat="0" ht="15">
      <c r="B1054" s="69">
        <v>7065909</v>
      </c>
      <c r="C1054" s="70" t="s">
        <v>4674</v>
      </c>
      <c r="D1054" s="70" t="s">
        <v>1</v>
      </c>
      <c r="E1054" s="70" t="s">
        <v>1</v>
      </c>
      <c r="F1054" s="70"/>
      <c r="G1054" s="70" t="s">
        <v>61</v>
      </c>
      <c r="H1054" s="70" t="s">
        <v>178</v>
      </c>
      <c r="I1054" s="70" t="s">
        <v>216</v>
      </c>
      <c r="J1054" s="71">
        <f>IF(OR(I1054=0,I1054=""),"unrated",VLOOKUP(I1054,MappingTables!$B$19:$C$31,2,FALSE))</f>
        <v>0</v>
      </c>
      <c r="K1054" s="72">
        <v>16.308470985274276</v>
      </c>
      <c r="L1054" s="70">
        <v>0.073737405954099328</v>
      </c>
      <c r="M1054" s="71">
        <f>IF(L1054&lt;1,1,L1054)</f>
        <v>1</v>
      </c>
      <c r="N1054" s="70" t="s">
        <v>3288</v>
      </c>
      <c r="O1054" s="71">
        <f>IF(OR(I1054=$A$1,I1054=0),"",IF(N1054=MappingTables!$C$14,VLOOKUP(J1054,ModelParameters!$M$8:$N$15,2,FALSE),IF(N1054=MappingTables!$C$16,VLOOKUP(J1054,ModelParameters!$P$8:$Q$15,2,FALSE),0)))</f>
        <v>0.125</v>
      </c>
      <c r="P1054" s="73">
        <f>IF(OR(I1054=0,I1054=$A$1),0,MIN(O1054*M1054,1)*K1054)</f>
        <v>2.0385588731592844</v>
      </c>
      <c r="Q1054" s="73">
        <f>IF(B1054="",0,IF(OR(H1054=MappingTables!$C$34,H1054=MappingTables!$C$35),P1054,0))</f>
        <v>0</v>
      </c>
      <c r="R1054" s="73">
        <f>IF(ISNA(IF(AND(VLOOKUP(CONCATENATE($D1054,$G1054),CSRFinput!$B:$E,4,0)=0,OR(H1054=MappingTables!$C$31,H1054=MappingTables!$C$32)),1,VLOOKUP(CONCATENATE($D1054,$G1054),CSRFinput!$B:$E,4,0))),0,IF(AND(VLOOKUP(CONCATENATE($D1054,$G1054),CSRFinput!$B:$E,4,0)=0,OR(H1054=MappingTables!$C$31,H1054=MappingTables!$C$32)),1,VLOOKUP(CONCATENATE($D1054,$G1054),CSRFinput!$B:$E,4,0)))</f>
        <v>0.054776304963434752</v>
      </c>
      <c r="S1054" s="73">
        <f>IF(B1054="",0,P1054*R1054)</f>
        <v>0.11166472252208888</v>
      </c>
      <c r="T1054" s="85">
        <f>IF(B1054="",0,IF(OR(H1054=MappingTables!$C$34,H1054=MappingTables!$C$35),S1054,0))</f>
        <v>0</v>
      </c>
    </row>
    <row r="1055" spans="2:20" s="0" customFormat="0" ht="15">
      <c r="B1055" s="69">
        <v>22554055</v>
      </c>
      <c r="C1055" s="70" t="s">
        <v>4675</v>
      </c>
      <c r="D1055" s="70" t="s">
        <v>1</v>
      </c>
      <c r="E1055" s="70" t="s">
        <v>1</v>
      </c>
      <c r="F1055" s="70"/>
      <c r="G1055" s="70" t="s">
        <v>61</v>
      </c>
      <c r="H1055" s="70" t="s">
        <v>178</v>
      </c>
      <c r="I1055" s="70" t="s">
        <v>3298</v>
      </c>
      <c r="J1055" s="71">
        <f>IF(OR(I1055=0,I1055=""),"unrated",VLOOKUP(I1055,MappingTables!$B$19:$C$31,2,FALSE))</f>
        <v>6</v>
      </c>
      <c r="K1055" s="72">
        <v>4286.0210502184848</v>
      </c>
      <c r="L1055" s="70">
        <v>-0.96590887520499952</v>
      </c>
      <c r="M1055" s="71">
        <f>IF(L1055&lt;1,1,L1055)</f>
        <v>1</v>
      </c>
      <c r="N1055" s="70" t="s">
        <v>3288</v>
      </c>
      <c r="O1055" s="71">
        <f>IF(OR(I1055=$A$1,I1055=0),"",IF(N1055=MappingTables!$C$14,VLOOKUP(J1055,ModelParameters!$M$8:$N$15,2,FALSE),IF(N1055=MappingTables!$C$16,VLOOKUP(J1055,ModelParameters!$P$8:$Q$15,2,FALSE),0)))</f>
        <v>1</v>
      </c>
      <c r="P1055" s="73">
        <f>IF(OR(I1055=0,I1055=$A$1),0,MIN(O1055*M1055,1)*K1055)</f>
        <v>4286.0210502184848</v>
      </c>
      <c r="Q1055" s="73">
        <f>IF(B1055="",0,IF(OR(H1055=MappingTables!$C$34,H1055=MappingTables!$C$35),P1055,0))</f>
        <v>0</v>
      </c>
      <c r="R1055" s="73">
        <f>IF(ISNA(IF(AND(VLOOKUP(CONCATENATE($D1055,$G1055),CSRFinput!$B:$E,4,0)=0,OR(H1055=MappingTables!$C$31,H1055=MappingTables!$C$32)),1,VLOOKUP(CONCATENATE($D1055,$G1055),CSRFinput!$B:$E,4,0))),0,IF(AND(VLOOKUP(CONCATENATE($D1055,$G1055),CSRFinput!$B:$E,4,0)=0,OR(H1055=MappingTables!$C$31,H1055=MappingTables!$C$32)),1,VLOOKUP(CONCATENATE($D1055,$G1055),CSRFinput!$B:$E,4,0)))</f>
        <v>0.054776304963434752</v>
      </c>
      <c r="S1055" s="73">
        <f>IF(B1055="",0,P1055*R1055)</f>
        <v>234.7723961264686</v>
      </c>
      <c r="T1055" s="85">
        <f>IF(B1055="",0,IF(OR(H1055=MappingTables!$C$34,H1055=MappingTables!$C$35),S1055,0))</f>
        <v>0</v>
      </c>
    </row>
    <row r="1056" spans="2:20" s="0" customFormat="0" ht="15">
      <c r="B1056" s="69" t="s">
        <v>3321</v>
      </c>
      <c r="C1056" s="70" t="s">
        <v>3322</v>
      </c>
      <c r="D1056" s="70" t="s">
        <v>1</v>
      </c>
      <c r="E1056" s="70" t="s">
        <v>1</v>
      </c>
      <c r="F1056" s="70"/>
      <c r="G1056" s="70" t="s">
        <v>61</v>
      </c>
      <c r="H1056" s="70" t="s">
        <v>178</v>
      </c>
      <c r="I1056" s="70" t="s">
        <v>3298</v>
      </c>
      <c r="J1056" s="71">
        <f>IF(OR(I1056=0,I1056=""),"unrated",VLOOKUP(I1056,MappingTables!$B$19:$C$31,2,FALSE))</f>
        <v>6</v>
      </c>
      <c r="K1056" s="72">
        <v>1204.0729248199514</v>
      </c>
      <c r="L1056" s="70">
        <v>0.06849414000051392</v>
      </c>
      <c r="M1056" s="71">
        <f>IF(L1056&lt;1,1,L1056)</f>
        <v>1</v>
      </c>
      <c r="N1056" s="70" t="s">
        <v>3288</v>
      </c>
      <c r="O1056" s="71">
        <f>IF(OR(I1056=$A$1,I1056=0),"",IF(N1056=MappingTables!$C$14,VLOOKUP(J1056,ModelParameters!$M$8:$N$15,2,FALSE),IF(N1056=MappingTables!$C$16,VLOOKUP(J1056,ModelParameters!$P$8:$Q$15,2,FALSE),0)))</f>
        <v>1</v>
      </c>
      <c r="P1056" s="73">
        <f>IF(OR(I1056=0,I1056=$A$1),0,MIN(O1056*M1056,1)*K1056)</f>
        <v>1204.0729248199514</v>
      </c>
      <c r="Q1056" s="73">
        <f>IF(B1056="",0,IF(OR(H1056=MappingTables!$C$34,H1056=MappingTables!$C$35),P1056,0))</f>
        <v>0</v>
      </c>
      <c r="R1056" s="73">
        <f>IF(ISNA(IF(AND(VLOOKUP(CONCATENATE($D1056,$G1056),CSRFinput!$B:$E,4,0)=0,OR(H1056=MappingTables!$C$31,H1056=MappingTables!$C$32)),1,VLOOKUP(CONCATENATE($D1056,$G1056),CSRFinput!$B:$E,4,0))),0,IF(AND(VLOOKUP(CONCATENATE($D1056,$G1056),CSRFinput!$B:$E,4,0)=0,OR(H1056=MappingTables!$C$31,H1056=MappingTables!$C$32)),1,VLOOKUP(CONCATENATE($D1056,$G1056),CSRFinput!$B:$E,4,0)))</f>
        <v>0.054776304963434752</v>
      </c>
      <c r="S1056" s="73">
        <f>IF(B1056="",0,P1056*R1056)</f>
        <v>65.954665728152504</v>
      </c>
      <c r="T1056" s="85">
        <f>IF(B1056="",0,IF(OR(H1056=MappingTables!$C$34,H1056=MappingTables!$C$35),S1056,0))</f>
        <v>0</v>
      </c>
    </row>
    <row r="1057" spans="2:20" s="0" customFormat="0" ht="15">
      <c r="B1057" s="69" t="s">
        <v>4676</v>
      </c>
      <c r="C1057" s="70" t="s">
        <v>4677</v>
      </c>
      <c r="D1057" s="70" t="s">
        <v>1</v>
      </c>
      <c r="E1057" s="70" t="s">
        <v>1</v>
      </c>
      <c r="F1057" s="70"/>
      <c r="G1057" s="70" t="s">
        <v>61</v>
      </c>
      <c r="H1057" s="70" t="s">
        <v>178</v>
      </c>
      <c r="I1057" s="70" t="s">
        <v>3291</v>
      </c>
      <c r="J1057" s="71">
        <f>IF(OR(I1057=0,I1057=""),"unrated",VLOOKUP(I1057,MappingTables!$B$19:$C$31,2,FALSE))</f>
        <v>6</v>
      </c>
      <c r="K1057" s="72">
        <v>118.19901836288354</v>
      </c>
      <c r="L1057" s="70">
        <v>0.068493081796426576</v>
      </c>
      <c r="M1057" s="71">
        <f>IF(L1057&lt;1,1,L1057)</f>
        <v>1</v>
      </c>
      <c r="N1057" s="70" t="s">
        <v>3288</v>
      </c>
      <c r="O1057" s="71">
        <f>IF(OR(I1057=$A$1,I1057=0),"",IF(N1057=MappingTables!$C$14,VLOOKUP(J1057,ModelParameters!$M$8:$N$15,2,FALSE),IF(N1057=MappingTables!$C$16,VLOOKUP(J1057,ModelParameters!$P$8:$Q$15,2,FALSE),0)))</f>
        <v>1</v>
      </c>
      <c r="P1057" s="73">
        <f>IF(OR(I1057=0,I1057=$A$1),0,MIN(O1057*M1057,1)*K1057)</f>
        <v>118.19901836288354</v>
      </c>
      <c r="Q1057" s="73">
        <f>IF(B1057="",0,IF(OR(H1057=MappingTables!$C$34,H1057=MappingTables!$C$35),P1057,0))</f>
        <v>0</v>
      </c>
      <c r="R1057" s="73">
        <f>IF(ISNA(IF(AND(VLOOKUP(CONCATENATE($D1057,$G1057),CSRFinput!$B:$E,4,0)=0,OR(H1057=MappingTables!$C$31,H1057=MappingTables!$C$32)),1,VLOOKUP(CONCATENATE($D1057,$G1057),CSRFinput!$B:$E,4,0))),0,IF(AND(VLOOKUP(CONCATENATE($D1057,$G1057),CSRFinput!$B:$E,4,0)=0,OR(H1057=MappingTables!$C$31,H1057=MappingTables!$C$32)),1,VLOOKUP(CONCATENATE($D1057,$G1057),CSRFinput!$B:$E,4,0)))</f>
        <v>0.054776304963434752</v>
      </c>
      <c r="S1057" s="73">
        <f>IF(B1057="",0,P1057*R1057)</f>
        <v>6.4745054762239328</v>
      </c>
      <c r="T1057" s="85">
        <f>IF(B1057="",0,IF(OR(H1057=MappingTables!$C$34,H1057=MappingTables!$C$35),S1057,0))</f>
        <v>0</v>
      </c>
    </row>
    <row r="1058" spans="2:20" s="0" customFormat="0" ht="15">
      <c r="B1058" s="69" t="s">
        <v>4678</v>
      </c>
      <c r="C1058" s="70" t="s">
        <v>4679</v>
      </c>
      <c r="D1058" s="70" t="s">
        <v>1</v>
      </c>
      <c r="E1058" s="70" t="s">
        <v>1</v>
      </c>
      <c r="F1058" s="70"/>
      <c r="G1058" s="70" t="s">
        <v>61</v>
      </c>
      <c r="H1058" s="70" t="s">
        <v>178</v>
      </c>
      <c r="I1058" s="70" t="s">
        <v>204</v>
      </c>
      <c r="J1058" s="71">
        <f>IF(OR(I1058=0,I1058=""),"unrated",VLOOKUP(I1058,MappingTables!$B$19:$C$31,2,FALSE))</f>
        <v>6</v>
      </c>
      <c r="K1058" s="72">
        <v>24712.798140592192</v>
      </c>
      <c r="L1058" s="70">
        <v>3.9215538230154272</v>
      </c>
      <c r="M1058" s="71">
        <f>IF(L1058&lt;1,1,L1058)</f>
        <v>3.9215538230154272</v>
      </c>
      <c r="N1058" s="70" t="s">
        <v>3288</v>
      </c>
      <c r="O1058" s="71">
        <f>IF(OR(I1058=$A$1,I1058=0),"",IF(N1058=MappingTables!$C$14,VLOOKUP(J1058,ModelParameters!$M$8:$N$15,2,FALSE),IF(N1058=MappingTables!$C$16,VLOOKUP(J1058,ModelParameters!$P$8:$Q$15,2,FALSE),0)))</f>
        <v>1</v>
      </c>
      <c r="P1058" s="73">
        <f>IF(OR(I1058=0,I1058=$A$1),0,MIN(O1058*M1058,1)*K1058)</f>
        <v>24712.798140592192</v>
      </c>
      <c r="Q1058" s="73">
        <f>IF(B1058="",0,IF(OR(H1058=MappingTables!$C$34,H1058=MappingTables!$C$35),P1058,0))</f>
        <v>0</v>
      </c>
      <c r="R1058" s="73">
        <f>IF(ISNA(IF(AND(VLOOKUP(CONCATENATE($D1058,$G1058),CSRFinput!$B:$E,4,0)=0,OR(H1058=MappingTables!$C$31,H1058=MappingTables!$C$32)),1,VLOOKUP(CONCATENATE($D1058,$G1058),CSRFinput!$B:$E,4,0))),0,IF(AND(VLOOKUP(CONCATENATE($D1058,$G1058),CSRFinput!$B:$E,4,0)=0,OR(H1058=MappingTables!$C$31,H1058=MappingTables!$C$32)),1,VLOOKUP(CONCATENATE($D1058,$G1058),CSRFinput!$B:$E,4,0)))</f>
        <v>0.054776304963434752</v>
      </c>
      <c r="S1058" s="73">
        <f>IF(B1058="",0,P1058*R1058)</f>
        <v>1353.6757674488812</v>
      </c>
      <c r="T1058" s="85">
        <f>IF(B1058="",0,IF(OR(H1058=MappingTables!$C$34,H1058=MappingTables!$C$35),S1058,0))</f>
        <v>0</v>
      </c>
    </row>
    <row r="1059" spans="2:20" s="0" customFormat="0" ht="15">
      <c r="B1059" s="69" t="s">
        <v>4584</v>
      </c>
      <c r="C1059" s="70" t="s">
        <v>4585</v>
      </c>
      <c r="D1059" s="70" t="s">
        <v>1</v>
      </c>
      <c r="E1059" s="70" t="s">
        <v>1</v>
      </c>
      <c r="F1059" s="70"/>
      <c r="G1059" s="70" t="s">
        <v>61</v>
      </c>
      <c r="H1059" s="70" t="s">
        <v>178</v>
      </c>
      <c r="I1059" s="70" t="s">
        <v>204</v>
      </c>
      <c r="J1059" s="71">
        <f>IF(OR(I1059=0,I1059=""),"unrated",VLOOKUP(I1059,MappingTables!$B$19:$C$31,2,FALSE))</f>
        <v>6</v>
      </c>
      <c r="K1059" s="72">
        <v>673.14100082570552</v>
      </c>
      <c r="L1059" s="70">
        <v>0.068496319696943104</v>
      </c>
      <c r="M1059" s="71">
        <f>IF(L1059&lt;1,1,L1059)</f>
        <v>1</v>
      </c>
      <c r="N1059" s="70" t="s">
        <v>3288</v>
      </c>
      <c r="O1059" s="71">
        <f>IF(OR(I1059=$A$1,I1059=0),"",IF(N1059=MappingTables!$C$14,VLOOKUP(J1059,ModelParameters!$M$8:$N$15,2,FALSE),IF(N1059=MappingTables!$C$16,VLOOKUP(J1059,ModelParameters!$P$8:$Q$15,2,FALSE),0)))</f>
        <v>1</v>
      </c>
      <c r="P1059" s="73">
        <f>IF(OR(I1059=0,I1059=$A$1),0,MIN(O1059*M1059,1)*K1059)</f>
        <v>673.14100082570552</v>
      </c>
      <c r="Q1059" s="73">
        <f>IF(B1059="",0,IF(OR(H1059=MappingTables!$C$34,H1059=MappingTables!$C$35),P1059,0))</f>
        <v>0</v>
      </c>
      <c r="R1059" s="73">
        <f>IF(ISNA(IF(AND(VLOOKUP(CONCATENATE($D1059,$G1059),CSRFinput!$B:$E,4,0)=0,OR(H1059=MappingTables!$C$31,H1059=MappingTables!$C$32)),1,VLOOKUP(CONCATENATE($D1059,$G1059),CSRFinput!$B:$E,4,0))),0,IF(AND(VLOOKUP(CONCATENATE($D1059,$G1059),CSRFinput!$B:$E,4,0)=0,OR(H1059=MappingTables!$C$31,H1059=MappingTables!$C$32)),1,VLOOKUP(CONCATENATE($D1059,$G1059),CSRFinput!$B:$E,4,0)))</f>
        <v>0.054776304963434752</v>
      </c>
      <c r="S1059" s="73">
        <f>IF(B1059="",0,P1059*R1059)</f>
        <v>36.872176744620528</v>
      </c>
      <c r="T1059" s="85">
        <f>IF(B1059="",0,IF(OR(H1059=MappingTables!$C$34,H1059=MappingTables!$C$35),S1059,0))</f>
        <v>0</v>
      </c>
    </row>
    <row r="1060" spans="2:20" s="0" customFormat="0" ht="15">
      <c r="B1060" s="69" t="s">
        <v>4680</v>
      </c>
      <c r="C1060" s="70" t="s">
        <v>4681</v>
      </c>
      <c r="D1060" s="70" t="s">
        <v>1</v>
      </c>
      <c r="E1060" s="70" t="s">
        <v>1</v>
      </c>
      <c r="F1060" s="70"/>
      <c r="G1060" s="70" t="s">
        <v>61</v>
      </c>
      <c r="H1060" s="70" t="s">
        <v>178</v>
      </c>
      <c r="I1060" s="70" t="s">
        <v>198</v>
      </c>
      <c r="J1060" s="71" t="str">
        <f>IF(OR(I1060=0,I1060=""),"unrated",VLOOKUP(I1060,MappingTables!$B$19:$C$31,2,FALSE))</f>
        <v>unrated</v>
      </c>
      <c r="K1060" s="72">
        <v>1.4879189631964964</v>
      </c>
      <c r="L1060" s="70">
        <v>0.2523204388013458</v>
      </c>
      <c r="M1060" s="71">
        <f>IF(L1060&lt;1,1,L1060)</f>
        <v>1</v>
      </c>
      <c r="N1060" s="70" t="s">
        <v>3288</v>
      </c>
      <c r="O1060" s="71">
        <f>IF(OR(I1060=$A$1,I1060=0),"",IF(N1060=MappingTables!$C$14,VLOOKUP(J1060,ModelParameters!$M$8:$N$15,2,FALSE),IF(N1060=MappingTables!$C$16,VLOOKUP(J1060,ModelParameters!$P$8:$Q$15,2,FALSE),0)))</f>
        <v>1</v>
      </c>
      <c r="P1060" s="73">
        <f>IF(OR(I1060=0,I1060=$A$1),0,MIN(O1060*M1060,1)*K1060)</f>
        <v>1.4879189631964964</v>
      </c>
      <c r="Q1060" s="73">
        <f>IF(B1060="",0,IF(OR(H1060=MappingTables!$C$34,H1060=MappingTables!$C$35),P1060,0))</f>
        <v>0</v>
      </c>
      <c r="R1060" s="73">
        <f>IF(ISNA(IF(AND(VLOOKUP(CONCATENATE($D1060,$G1060),CSRFinput!$B:$E,4,0)=0,OR(H1060=MappingTables!$C$31,H1060=MappingTables!$C$32)),1,VLOOKUP(CONCATENATE($D1060,$G1060),CSRFinput!$B:$E,4,0))),0,IF(AND(VLOOKUP(CONCATENATE($D1060,$G1060),CSRFinput!$B:$E,4,0)=0,OR(H1060=MappingTables!$C$31,H1060=MappingTables!$C$32)),1,VLOOKUP(CONCATENATE($D1060,$G1060),CSRFinput!$B:$E,4,0)))</f>
        <v>0.054776304963434752</v>
      </c>
      <c r="S1060" s="73">
        <f>IF(B1060="",0,P1060*R1060)</f>
        <v>0.081502702888928944</v>
      </c>
      <c r="T1060" s="85">
        <f>IF(B1060="",0,IF(OR(H1060=MappingTables!$C$34,H1060=MappingTables!$C$35),S1060,0))</f>
        <v>0</v>
      </c>
    </row>
    <row r="1061" spans="2:20" s="0" customFormat="0" ht="15">
      <c r="B1061" s="69" t="s">
        <v>4413</v>
      </c>
      <c r="C1061" s="70" t="s">
        <v>4414</v>
      </c>
      <c r="D1061" s="70" t="s">
        <v>1</v>
      </c>
      <c r="E1061" s="70" t="s">
        <v>1</v>
      </c>
      <c r="F1061" s="70"/>
      <c r="G1061" s="70" t="s">
        <v>61</v>
      </c>
      <c r="H1061" s="70" t="s">
        <v>178</v>
      </c>
      <c r="I1061" s="70" t="s">
        <v>204</v>
      </c>
      <c r="J1061" s="71">
        <f>IF(OR(I1061=0,I1061=""),"unrated",VLOOKUP(I1061,MappingTables!$B$19:$C$31,2,FALSE))</f>
        <v>6</v>
      </c>
      <c r="K1061" s="72">
        <v>354.60838496631288</v>
      </c>
      <c r="L1061" s="70">
        <v>0.068488105382893824</v>
      </c>
      <c r="M1061" s="71">
        <f>IF(L1061&lt;1,1,L1061)</f>
        <v>1</v>
      </c>
      <c r="N1061" s="70" t="s">
        <v>3288</v>
      </c>
      <c r="O1061" s="71">
        <f>IF(OR(I1061=$A$1,I1061=0),"",IF(N1061=MappingTables!$C$14,VLOOKUP(J1061,ModelParameters!$M$8:$N$15,2,FALSE),IF(N1061=MappingTables!$C$16,VLOOKUP(J1061,ModelParameters!$P$8:$Q$15,2,FALSE),0)))</f>
        <v>1</v>
      </c>
      <c r="P1061" s="73">
        <f>IF(OR(I1061=0,I1061=$A$1),0,MIN(O1061*M1061,1)*K1061)</f>
        <v>354.60838496631288</v>
      </c>
      <c r="Q1061" s="73">
        <f>IF(B1061="",0,IF(OR(H1061=MappingTables!$C$34,H1061=MappingTables!$C$35),P1061,0))</f>
        <v>0</v>
      </c>
      <c r="R1061" s="73">
        <f>IF(ISNA(IF(AND(VLOOKUP(CONCATENATE($D1061,$G1061),CSRFinput!$B:$E,4,0)=0,OR(H1061=MappingTables!$C$31,H1061=MappingTables!$C$32)),1,VLOOKUP(CONCATENATE($D1061,$G1061),CSRFinput!$B:$E,4,0))),0,IF(AND(VLOOKUP(CONCATENATE($D1061,$G1061),CSRFinput!$B:$E,4,0)=0,OR(H1061=MappingTables!$C$31,H1061=MappingTables!$C$32)),1,VLOOKUP(CONCATENATE($D1061,$G1061),CSRFinput!$B:$E,4,0)))</f>
        <v>0.054776304963434752</v>
      </c>
      <c r="S1061" s="73">
        <f>IF(B1061="",0,P1061*R1061)</f>
        <v>19.424137037505824</v>
      </c>
      <c r="T1061" s="85">
        <f>IF(B1061="",0,IF(OR(H1061=MappingTables!$C$34,H1061=MappingTables!$C$35),S1061,0))</f>
        <v>0</v>
      </c>
    </row>
    <row r="1062" spans="2:20" s="0" customFormat="0" ht="15">
      <c r="B1062" s="69" t="s">
        <v>4682</v>
      </c>
      <c r="C1062" s="70" t="s">
        <v>4683</v>
      </c>
      <c r="D1062" s="70" t="s">
        <v>1</v>
      </c>
      <c r="E1062" s="70" t="s">
        <v>1</v>
      </c>
      <c r="F1062" s="70"/>
      <c r="G1062" s="70" t="s">
        <v>61</v>
      </c>
      <c r="H1062" s="70" t="s">
        <v>178</v>
      </c>
      <c r="I1062" s="70" t="s">
        <v>216</v>
      </c>
      <c r="J1062" s="71">
        <f>IF(OR(I1062=0,I1062=""),"unrated",VLOOKUP(I1062,MappingTables!$B$19:$C$31,2,FALSE))</f>
        <v>0</v>
      </c>
      <c r="K1062" s="72">
        <v>1194.5391511473174</v>
      </c>
      <c r="L1062" s="70">
        <v>0.0547954803590018</v>
      </c>
      <c r="M1062" s="71">
        <f>IF(L1062&lt;1,1,L1062)</f>
        <v>1</v>
      </c>
      <c r="N1062" s="70" t="s">
        <v>3288</v>
      </c>
      <c r="O1062" s="71">
        <f>IF(OR(I1062=$A$1,I1062=0),"",IF(N1062=MappingTables!$C$14,VLOOKUP(J1062,ModelParameters!$M$8:$N$15,2,FALSE),IF(N1062=MappingTables!$C$16,VLOOKUP(J1062,ModelParameters!$P$8:$Q$15,2,FALSE),0)))</f>
        <v>0.125</v>
      </c>
      <c r="P1062" s="73">
        <f>IF(OR(I1062=0,I1062=$A$1),0,MIN(O1062*M1062,1)*K1062)</f>
        <v>149.31739389341468</v>
      </c>
      <c r="Q1062" s="73">
        <f>IF(B1062="",0,IF(OR(H1062=MappingTables!$C$34,H1062=MappingTables!$C$35),P1062,0))</f>
        <v>0</v>
      </c>
      <c r="R1062" s="73">
        <f>IF(ISNA(IF(AND(VLOOKUP(CONCATENATE($D1062,$G1062),CSRFinput!$B:$E,4,0)=0,OR(H1062=MappingTables!$C$31,H1062=MappingTables!$C$32)),1,VLOOKUP(CONCATENATE($D1062,$G1062),CSRFinput!$B:$E,4,0))),0,IF(AND(VLOOKUP(CONCATENATE($D1062,$G1062),CSRFinput!$B:$E,4,0)=0,OR(H1062=MappingTables!$C$31,H1062=MappingTables!$C$32)),1,VLOOKUP(CONCATENATE($D1062,$G1062),CSRFinput!$B:$E,4,0)))</f>
        <v>0.054776304963434752</v>
      </c>
      <c r="S1062" s="73">
        <f>IF(B1062="",0,P1062*R1062)</f>
        <v>8.179055104250992</v>
      </c>
      <c r="T1062" s="85">
        <f>IF(B1062="",0,IF(OR(H1062=MappingTables!$C$34,H1062=MappingTables!$C$35),S1062,0))</f>
        <v>0</v>
      </c>
    </row>
    <row r="1063" spans="2:20" s="0" customFormat="0" ht="15">
      <c r="B1063" s="69">
        <v>22554541</v>
      </c>
      <c r="C1063" s="70" t="s">
        <v>4684</v>
      </c>
      <c r="D1063" s="70" t="s">
        <v>1</v>
      </c>
      <c r="E1063" s="70" t="s">
        <v>1</v>
      </c>
      <c r="F1063" s="70"/>
      <c r="G1063" s="70" t="s">
        <v>61</v>
      </c>
      <c r="H1063" s="70" t="s">
        <v>178</v>
      </c>
      <c r="I1063" s="70" t="s">
        <v>198</v>
      </c>
      <c r="J1063" s="71" t="str">
        <f>IF(OR(I1063=0,I1063=""),"unrated",VLOOKUP(I1063,MappingTables!$B$19:$C$31,2,FALSE))</f>
        <v>unrated</v>
      </c>
      <c r="K1063" s="72">
        <v>31.83918427100894</v>
      </c>
      <c r="L1063" s="70">
        <v>0.068491056871322232</v>
      </c>
      <c r="M1063" s="71">
        <f>IF(L1063&lt;1,1,L1063)</f>
        <v>1</v>
      </c>
      <c r="N1063" s="70" t="s">
        <v>3288</v>
      </c>
      <c r="O1063" s="71">
        <f>IF(OR(I1063=$A$1,I1063=0),"",IF(N1063=MappingTables!$C$14,VLOOKUP(J1063,ModelParameters!$M$8:$N$15,2,FALSE),IF(N1063=MappingTables!$C$16,VLOOKUP(J1063,ModelParameters!$P$8:$Q$15,2,FALSE),0)))</f>
        <v>1</v>
      </c>
      <c r="P1063" s="73">
        <f>IF(OR(I1063=0,I1063=$A$1),0,MIN(O1063*M1063,1)*K1063)</f>
        <v>31.83918427100894</v>
      </c>
      <c r="Q1063" s="73">
        <f>IF(B1063="",0,IF(OR(H1063=MappingTables!$C$34,H1063=MappingTables!$C$35),P1063,0))</f>
        <v>0</v>
      </c>
      <c r="R1063" s="73">
        <f>IF(ISNA(IF(AND(VLOOKUP(CONCATENATE($D1063,$G1063),CSRFinput!$B:$E,4,0)=0,OR(H1063=MappingTables!$C$31,H1063=MappingTables!$C$32)),1,VLOOKUP(CONCATENATE($D1063,$G1063),CSRFinput!$B:$E,4,0))),0,IF(AND(VLOOKUP(CONCATENATE($D1063,$G1063),CSRFinput!$B:$E,4,0)=0,OR(H1063=MappingTables!$C$31,H1063=MappingTables!$C$32)),1,VLOOKUP(CONCATENATE($D1063,$G1063),CSRFinput!$B:$E,4,0)))</f>
        <v>0.054776304963434752</v>
      </c>
      <c r="S1063" s="73">
        <f>IF(B1063="",0,P1063*R1063)</f>
        <v>1.7440328674157808</v>
      </c>
      <c r="T1063" s="85">
        <f>IF(B1063="",0,IF(OR(H1063=MappingTables!$C$34,H1063=MappingTables!$C$35),S1063,0))</f>
        <v>0</v>
      </c>
    </row>
    <row r="1064" spans="2:20" s="0" customFormat="0" ht="15">
      <c r="B1064" s="69" t="s">
        <v>4685</v>
      </c>
      <c r="C1064" s="70" t="s">
        <v>4686</v>
      </c>
      <c r="D1064" s="70" t="s">
        <v>1</v>
      </c>
      <c r="E1064" s="70" t="s">
        <v>1</v>
      </c>
      <c r="F1064" s="70"/>
      <c r="G1064" s="70" t="s">
        <v>61</v>
      </c>
      <c r="H1064" s="70" t="s">
        <v>178</v>
      </c>
      <c r="I1064" s="70" t="s">
        <v>204</v>
      </c>
      <c r="J1064" s="71">
        <f>IF(OR(I1064=0,I1064=""),"unrated",VLOOKUP(I1064,MappingTables!$B$19:$C$31,2,FALSE))</f>
        <v>6</v>
      </c>
      <c r="K1064" s="72">
        <v>76.069459783519392</v>
      </c>
      <c r="L1064" s="70">
        <v>0.06849158673010648</v>
      </c>
      <c r="M1064" s="71">
        <f>IF(L1064&lt;1,1,L1064)</f>
        <v>1</v>
      </c>
      <c r="N1064" s="70" t="s">
        <v>3288</v>
      </c>
      <c r="O1064" s="71">
        <f>IF(OR(I1064=$A$1,I1064=0),"",IF(N1064=MappingTables!$C$14,VLOOKUP(J1064,ModelParameters!$M$8:$N$15,2,FALSE),IF(N1064=MappingTables!$C$16,VLOOKUP(J1064,ModelParameters!$P$8:$Q$15,2,FALSE),0)))</f>
        <v>1</v>
      </c>
      <c r="P1064" s="73">
        <f>IF(OR(I1064=0,I1064=$A$1),0,MIN(O1064*M1064,1)*K1064)</f>
        <v>76.069459783519392</v>
      </c>
      <c r="Q1064" s="73">
        <f>IF(B1064="",0,IF(OR(H1064=MappingTables!$C$34,H1064=MappingTables!$C$35),P1064,0))</f>
        <v>0</v>
      </c>
      <c r="R1064" s="73">
        <f>IF(ISNA(IF(AND(VLOOKUP(CONCATENATE($D1064,$G1064),CSRFinput!$B:$E,4,0)=0,OR(H1064=MappingTables!$C$31,H1064=MappingTables!$C$32)),1,VLOOKUP(CONCATENATE($D1064,$G1064),CSRFinput!$B:$E,4,0))),0,IF(AND(VLOOKUP(CONCATENATE($D1064,$G1064),CSRFinput!$B:$E,4,0)=0,OR(H1064=MappingTables!$C$31,H1064=MappingTables!$C$32)),1,VLOOKUP(CONCATENATE($D1064,$G1064),CSRFinput!$B:$E,4,0)))</f>
        <v>0.054776304963434752</v>
      </c>
      <c r="S1064" s="73">
        <f>IF(B1064="",0,P1064*R1064)</f>
        <v>4.1668039275057936</v>
      </c>
      <c r="T1064" s="85">
        <f>IF(B1064="",0,IF(OR(H1064=MappingTables!$C$34,H1064=MappingTables!$C$35),S1064,0))</f>
        <v>0</v>
      </c>
    </row>
    <row r="1065" spans="2:20" s="0" customFormat="0" ht="15">
      <c r="B1065" s="69" t="s">
        <v>3587</v>
      </c>
      <c r="C1065" s="70" t="s">
        <v>3588</v>
      </c>
      <c r="D1065" s="70" t="s">
        <v>1</v>
      </c>
      <c r="E1065" s="70" t="s">
        <v>1</v>
      </c>
      <c r="F1065" s="70"/>
      <c r="G1065" s="70" t="s">
        <v>61</v>
      </c>
      <c r="H1065" s="70" t="s">
        <v>178</v>
      </c>
      <c r="I1065" s="70" t="s">
        <v>204</v>
      </c>
      <c r="J1065" s="71">
        <f>IF(OR(I1065=0,I1065=""),"unrated",VLOOKUP(I1065,MappingTables!$B$19:$C$31,2,FALSE))</f>
        <v>6</v>
      </c>
      <c r="K1065" s="72">
        <v>3389.0171200772744</v>
      </c>
      <c r="L1065" s="70">
        <v>0.023931007311532196</v>
      </c>
      <c r="M1065" s="71">
        <f>IF(L1065&lt;1,1,L1065)</f>
        <v>1</v>
      </c>
      <c r="N1065" s="70" t="s">
        <v>3288</v>
      </c>
      <c r="O1065" s="71">
        <f>IF(OR(I1065=$A$1,I1065=0),"",IF(N1065=MappingTables!$C$14,VLOOKUP(J1065,ModelParameters!$M$8:$N$15,2,FALSE),IF(N1065=MappingTables!$C$16,VLOOKUP(J1065,ModelParameters!$P$8:$Q$15,2,FALSE),0)))</f>
        <v>1</v>
      </c>
      <c r="P1065" s="73">
        <f>IF(OR(I1065=0,I1065=$A$1),0,MIN(O1065*M1065,1)*K1065)</f>
        <v>3389.0171200772744</v>
      </c>
      <c r="Q1065" s="73">
        <f>IF(B1065="",0,IF(OR(H1065=MappingTables!$C$34,H1065=MappingTables!$C$35),P1065,0))</f>
        <v>0</v>
      </c>
      <c r="R1065" s="73">
        <f>IF(ISNA(IF(AND(VLOOKUP(CONCATENATE($D1065,$G1065),CSRFinput!$B:$E,4,0)=0,OR(H1065=MappingTables!$C$31,H1065=MappingTables!$C$32)),1,VLOOKUP(CONCATENATE($D1065,$G1065),CSRFinput!$B:$E,4,0))),0,IF(AND(VLOOKUP(CONCATENATE($D1065,$G1065),CSRFinput!$B:$E,4,0)=0,OR(H1065=MappingTables!$C$31,H1065=MappingTables!$C$32)),1,VLOOKUP(CONCATENATE($D1065,$G1065),CSRFinput!$B:$E,4,0)))</f>
        <v>0.054776304963434752</v>
      </c>
      <c r="S1065" s="73">
        <f>IF(B1065="",0,P1065*R1065)</f>
        <v>185.63783529565416</v>
      </c>
      <c r="T1065" s="85">
        <f>IF(B1065="",0,IF(OR(H1065=MappingTables!$C$34,H1065=MappingTables!$C$35),S1065,0))</f>
        <v>0</v>
      </c>
    </row>
    <row r="1066" spans="2:20" s="0" customFormat="0" ht="15">
      <c r="B1066" s="69" t="s">
        <v>4687</v>
      </c>
      <c r="C1066" s="70" t="s">
        <v>4688</v>
      </c>
      <c r="D1066" s="70" t="s">
        <v>1</v>
      </c>
      <c r="E1066" s="70" t="s">
        <v>1</v>
      </c>
      <c r="F1066" s="70"/>
      <c r="G1066" s="70" t="s">
        <v>61</v>
      </c>
      <c r="H1066" s="70" t="s">
        <v>178</v>
      </c>
      <c r="I1066" s="70" t="s">
        <v>3298</v>
      </c>
      <c r="J1066" s="71">
        <f>IF(OR(I1066=0,I1066=""),"unrated",VLOOKUP(I1066,MappingTables!$B$19:$C$31,2,FALSE))</f>
        <v>6</v>
      </c>
      <c r="K1066" s="72">
        <v>199.96556039627408</v>
      </c>
      <c r="L1066" s="70">
        <v>1.0287171774168168</v>
      </c>
      <c r="M1066" s="71">
        <f>IF(L1066&lt;1,1,L1066)</f>
        <v>1.0287171774168168</v>
      </c>
      <c r="N1066" s="70" t="s">
        <v>3288</v>
      </c>
      <c r="O1066" s="71">
        <f>IF(OR(I1066=$A$1,I1066=0),"",IF(N1066=MappingTables!$C$14,VLOOKUP(J1066,ModelParameters!$M$8:$N$15,2,FALSE),IF(N1066=MappingTables!$C$16,VLOOKUP(J1066,ModelParameters!$P$8:$Q$15,2,FALSE),0)))</f>
        <v>1</v>
      </c>
      <c r="P1066" s="73">
        <f>IF(OR(I1066=0,I1066=$A$1),0,MIN(O1066*M1066,1)*K1066)</f>
        <v>199.96556039627408</v>
      </c>
      <c r="Q1066" s="73">
        <f>IF(B1066="",0,IF(OR(H1066=MappingTables!$C$34,H1066=MappingTables!$C$35),P1066,0))</f>
        <v>0</v>
      </c>
      <c r="R1066" s="73">
        <f>IF(ISNA(IF(AND(VLOOKUP(CONCATENATE($D1066,$G1066),CSRFinput!$B:$E,4,0)=0,OR(H1066=MappingTables!$C$31,H1066=MappingTables!$C$32)),1,VLOOKUP(CONCATENATE($D1066,$G1066),CSRFinput!$B:$E,4,0))),0,IF(AND(VLOOKUP(CONCATENATE($D1066,$G1066),CSRFinput!$B:$E,4,0)=0,OR(H1066=MappingTables!$C$31,H1066=MappingTables!$C$32)),1,VLOOKUP(CONCATENATE($D1066,$G1066),CSRFinput!$B:$E,4,0)))</f>
        <v>0.054776304963434752</v>
      </c>
      <c r="S1066" s="73">
        <f>IF(B1066="",0,P1066*R1066)</f>
        <v>10.95337451845044</v>
      </c>
      <c r="T1066" s="85">
        <f>IF(B1066="",0,IF(OR(H1066=MappingTables!$C$34,H1066=MappingTables!$C$35),S1066,0))</f>
        <v>0</v>
      </c>
    </row>
    <row r="1067" spans="2:20" s="0" customFormat="0" ht="15">
      <c r="B1067" s="69" t="s">
        <v>3715</v>
      </c>
      <c r="C1067" s="70" t="s">
        <v>3716</v>
      </c>
      <c r="D1067" s="70" t="s">
        <v>1</v>
      </c>
      <c r="E1067" s="70" t="s">
        <v>1</v>
      </c>
      <c r="F1067" s="70"/>
      <c r="G1067" s="70" t="s">
        <v>61</v>
      </c>
      <c r="H1067" s="70" t="s">
        <v>178</v>
      </c>
      <c r="I1067" s="70" t="s">
        <v>216</v>
      </c>
      <c r="J1067" s="71">
        <f>IF(OR(I1067=0,I1067=""),"unrated",VLOOKUP(I1067,MappingTables!$B$19:$C$31,2,FALSE))</f>
        <v>0</v>
      </c>
      <c r="K1067" s="72">
        <v>152.80212521246808</v>
      </c>
      <c r="L1067" s="70">
        <v>0.11559577713323846</v>
      </c>
      <c r="M1067" s="71">
        <f>IF(L1067&lt;1,1,L1067)</f>
        <v>1</v>
      </c>
      <c r="N1067" s="70" t="s">
        <v>3288</v>
      </c>
      <c r="O1067" s="71">
        <f>IF(OR(I1067=$A$1,I1067=0),"",IF(N1067=MappingTables!$C$14,VLOOKUP(J1067,ModelParameters!$M$8:$N$15,2,FALSE),IF(N1067=MappingTables!$C$16,VLOOKUP(J1067,ModelParameters!$P$8:$Q$15,2,FALSE),0)))</f>
        <v>0.125</v>
      </c>
      <c r="P1067" s="73">
        <f>IF(OR(I1067=0,I1067=$A$1),0,MIN(O1067*M1067,1)*K1067)</f>
        <v>19.100265651558508</v>
      </c>
      <c r="Q1067" s="73">
        <f>IF(B1067="",0,IF(OR(H1067=MappingTables!$C$34,H1067=MappingTables!$C$35),P1067,0))</f>
        <v>0</v>
      </c>
      <c r="R1067" s="73">
        <f>IF(ISNA(IF(AND(VLOOKUP(CONCATENATE($D1067,$G1067),CSRFinput!$B:$E,4,0)=0,OR(H1067=MappingTables!$C$31,H1067=MappingTables!$C$32)),1,VLOOKUP(CONCATENATE($D1067,$G1067),CSRFinput!$B:$E,4,0))),0,IF(AND(VLOOKUP(CONCATENATE($D1067,$G1067),CSRFinput!$B:$E,4,0)=0,OR(H1067=MappingTables!$C$31,H1067=MappingTables!$C$32)),1,VLOOKUP(CONCATENATE($D1067,$G1067),CSRFinput!$B:$E,4,0)))</f>
        <v>0.054776304963434752</v>
      </c>
      <c r="S1067" s="73">
        <f>IF(B1067="",0,P1067*R1067)</f>
        <v>1.0462419762123866</v>
      </c>
      <c r="T1067" s="85">
        <f>IF(B1067="",0,IF(OR(H1067=MappingTables!$C$34,H1067=MappingTables!$C$35),S1067,0))</f>
        <v>0</v>
      </c>
    </row>
    <row r="1068" spans="2:20" s="0" customFormat="0" ht="15">
      <c r="B1068" s="69" t="s">
        <v>4689</v>
      </c>
      <c r="C1068" s="70" t="s">
        <v>4690</v>
      </c>
      <c r="D1068" s="70" t="s">
        <v>1</v>
      </c>
      <c r="E1068" s="70" t="s">
        <v>1</v>
      </c>
      <c r="F1068" s="70"/>
      <c r="G1068" s="70" t="s">
        <v>61</v>
      </c>
      <c r="H1068" s="70" t="s">
        <v>178</v>
      </c>
      <c r="I1068" s="70" t="s">
        <v>3298</v>
      </c>
      <c r="J1068" s="71">
        <f>IF(OR(I1068=0,I1068=""),"unrated",VLOOKUP(I1068,MappingTables!$B$19:$C$31,2,FALSE))</f>
        <v>6</v>
      </c>
      <c r="K1068" s="72">
        <v>282.5431959584618</v>
      </c>
      <c r="L1068" s="70">
        <v>0.068491534928804</v>
      </c>
      <c r="M1068" s="71">
        <f>IF(L1068&lt;1,1,L1068)</f>
        <v>1</v>
      </c>
      <c r="N1068" s="70" t="s">
        <v>3288</v>
      </c>
      <c r="O1068" s="71">
        <f>IF(OR(I1068=$A$1,I1068=0),"",IF(N1068=MappingTables!$C$14,VLOOKUP(J1068,ModelParameters!$M$8:$N$15,2,FALSE),IF(N1068=MappingTables!$C$16,VLOOKUP(J1068,ModelParameters!$P$8:$Q$15,2,FALSE),0)))</f>
        <v>1</v>
      </c>
      <c r="P1068" s="73">
        <f>IF(OR(I1068=0,I1068=$A$1),0,MIN(O1068*M1068,1)*K1068)</f>
        <v>282.5431959584618</v>
      </c>
      <c r="Q1068" s="73">
        <f>IF(B1068="",0,IF(OR(H1068=MappingTables!$C$34,H1068=MappingTables!$C$35),P1068,0))</f>
        <v>0</v>
      </c>
      <c r="R1068" s="73">
        <f>IF(ISNA(IF(AND(VLOOKUP(CONCATENATE($D1068,$G1068),CSRFinput!$B:$E,4,0)=0,OR(H1068=MappingTables!$C$31,H1068=MappingTables!$C$32)),1,VLOOKUP(CONCATENATE($D1068,$G1068),CSRFinput!$B:$E,4,0))),0,IF(AND(VLOOKUP(CONCATENATE($D1068,$G1068),CSRFinput!$B:$E,4,0)=0,OR(H1068=MappingTables!$C$31,H1068=MappingTables!$C$32)),1,VLOOKUP(CONCATENATE($D1068,$G1068),CSRFinput!$B:$E,4,0)))</f>
        <v>0.054776304963434752</v>
      </c>
      <c r="S1068" s="73">
        <f>IF(B1068="",0,P1068*R1068)</f>
        <v>15.47667226716421</v>
      </c>
      <c r="T1068" s="85">
        <f>IF(B1068="",0,IF(OR(H1068=MappingTables!$C$34,H1068=MappingTables!$C$35),S1068,0))</f>
        <v>0</v>
      </c>
    </row>
    <row r="1069" spans="2:20" s="0" customFormat="0" ht="15">
      <c r="B1069" s="69">
        <v>19863499</v>
      </c>
      <c r="C1069" s="70" t="s">
        <v>4691</v>
      </c>
      <c r="D1069" s="70" t="s">
        <v>1</v>
      </c>
      <c r="E1069" s="70" t="s">
        <v>1</v>
      </c>
      <c r="F1069" s="70"/>
      <c r="G1069" s="70" t="s">
        <v>61</v>
      </c>
      <c r="H1069" s="70" t="s">
        <v>178</v>
      </c>
      <c r="I1069" s="70" t="s">
        <v>216</v>
      </c>
      <c r="J1069" s="71">
        <f>IF(OR(I1069=0,I1069=""),"unrated",VLOOKUP(I1069,MappingTables!$B$19:$C$31,2,FALSE))</f>
        <v>0</v>
      </c>
      <c r="K1069" s="72">
        <v>320.53786091700396</v>
      </c>
      <c r="L1069" s="70">
        <v>0.062474922333786176</v>
      </c>
      <c r="M1069" s="71">
        <f>IF(L1069&lt;1,1,L1069)</f>
        <v>1</v>
      </c>
      <c r="N1069" s="70" t="s">
        <v>3288</v>
      </c>
      <c r="O1069" s="71">
        <f>IF(OR(I1069=$A$1,I1069=0),"",IF(N1069=MappingTables!$C$14,VLOOKUP(J1069,ModelParameters!$M$8:$N$15,2,FALSE),IF(N1069=MappingTables!$C$16,VLOOKUP(J1069,ModelParameters!$P$8:$Q$15,2,FALSE),0)))</f>
        <v>0.125</v>
      </c>
      <c r="P1069" s="73">
        <f>IF(OR(I1069=0,I1069=$A$1),0,MIN(O1069*M1069,1)*K1069)</f>
        <v>40.067232614625496</v>
      </c>
      <c r="Q1069" s="73">
        <f>IF(B1069="",0,IF(OR(H1069=MappingTables!$C$34,H1069=MappingTables!$C$35),P1069,0))</f>
        <v>0</v>
      </c>
      <c r="R1069" s="73">
        <f>IF(ISNA(IF(AND(VLOOKUP(CONCATENATE($D1069,$G1069),CSRFinput!$B:$E,4,0)=0,OR(H1069=MappingTables!$C$31,H1069=MappingTables!$C$32)),1,VLOOKUP(CONCATENATE($D1069,$G1069),CSRFinput!$B:$E,4,0))),0,IF(AND(VLOOKUP(CONCATENATE($D1069,$G1069),CSRFinput!$B:$E,4,0)=0,OR(H1069=MappingTables!$C$31,H1069=MappingTables!$C$32)),1,VLOOKUP(CONCATENATE($D1069,$G1069),CSRFinput!$B:$E,4,0)))</f>
        <v>0.054776304963434752</v>
      </c>
      <c r="S1069" s="73">
        <f>IF(B1069="",0,P1069*R1069)</f>
        <v>2.1947349527396052</v>
      </c>
      <c r="T1069" s="85">
        <f>IF(B1069="",0,IF(OR(H1069=MappingTables!$C$34,H1069=MappingTables!$C$35),S1069,0))</f>
        <v>0</v>
      </c>
    </row>
    <row r="1070" spans="2:20" s="0" customFormat="0" ht="15">
      <c r="B1070" s="69">
        <v>22554068</v>
      </c>
      <c r="C1070" s="70" t="s">
        <v>4297</v>
      </c>
      <c r="D1070" s="70" t="s">
        <v>1</v>
      </c>
      <c r="E1070" s="70" t="s">
        <v>1</v>
      </c>
      <c r="F1070" s="70"/>
      <c r="G1070" s="70" t="s">
        <v>61</v>
      </c>
      <c r="H1070" s="70" t="s">
        <v>178</v>
      </c>
      <c r="I1070" s="70" t="s">
        <v>216</v>
      </c>
      <c r="J1070" s="71">
        <f>IF(OR(I1070=0,I1070=""),"unrated",VLOOKUP(I1070,MappingTables!$B$19:$C$31,2,FALSE))</f>
        <v>0</v>
      </c>
      <c r="K1070" s="72">
        <v>627.21454486379488</v>
      </c>
      <c r="L1070" s="70">
        <v>0.036586608947802784</v>
      </c>
      <c r="M1070" s="71">
        <f>IF(L1070&lt;1,1,L1070)</f>
        <v>1</v>
      </c>
      <c r="N1070" s="70" t="s">
        <v>3288</v>
      </c>
      <c r="O1070" s="71">
        <f>IF(OR(I1070=$A$1,I1070=0),"",IF(N1070=MappingTables!$C$14,VLOOKUP(J1070,ModelParameters!$M$8:$N$15,2,FALSE),IF(N1070=MappingTables!$C$16,VLOOKUP(J1070,ModelParameters!$P$8:$Q$15,2,FALSE),0)))</f>
        <v>0.125</v>
      </c>
      <c r="P1070" s="73">
        <f>IF(OR(I1070=0,I1070=$A$1),0,MIN(O1070*M1070,1)*K1070)</f>
        <v>78.401818107974368</v>
      </c>
      <c r="Q1070" s="73">
        <f>IF(B1070="",0,IF(OR(H1070=MappingTables!$C$34,H1070=MappingTables!$C$35),P1070,0))</f>
        <v>0</v>
      </c>
      <c r="R1070" s="73">
        <f>IF(ISNA(IF(AND(VLOOKUP(CONCATENATE($D1070,$G1070),CSRFinput!$B:$E,4,0)=0,OR(H1070=MappingTables!$C$31,H1070=MappingTables!$C$32)),1,VLOOKUP(CONCATENATE($D1070,$G1070),CSRFinput!$B:$E,4,0))),0,IF(AND(VLOOKUP(CONCATENATE($D1070,$G1070),CSRFinput!$B:$E,4,0)=0,OR(H1070=MappingTables!$C$31,H1070=MappingTables!$C$32)),1,VLOOKUP(CONCATENATE($D1070,$G1070),CSRFinput!$B:$E,4,0)))</f>
        <v>0.054776304963434752</v>
      </c>
      <c r="S1070" s="73">
        <f>IF(B1070="",0,P1070*R1070)</f>
        <v>4.2945618983701456</v>
      </c>
      <c r="T1070" s="85">
        <f>IF(B1070="",0,IF(OR(H1070=MappingTables!$C$34,H1070=MappingTables!$C$35),S1070,0))</f>
        <v>0</v>
      </c>
    </row>
    <row r="1071" spans="2:20" s="0" customFormat="0" ht="15">
      <c r="B1071" s="69" t="s">
        <v>3440</v>
      </c>
      <c r="C1071" s="70" t="s">
        <v>3441</v>
      </c>
      <c r="D1071" s="70" t="s">
        <v>1</v>
      </c>
      <c r="E1071" s="70" t="s">
        <v>1</v>
      </c>
      <c r="F1071" s="70"/>
      <c r="G1071" s="70" t="s">
        <v>61</v>
      </c>
      <c r="H1071" s="70" t="s">
        <v>178</v>
      </c>
      <c r="I1071" s="70" t="s">
        <v>204</v>
      </c>
      <c r="J1071" s="71">
        <f>IF(OR(I1071=0,I1071=""),"unrated",VLOOKUP(I1071,MappingTables!$B$19:$C$31,2,FALSE))</f>
        <v>6</v>
      </c>
      <c r="K1071" s="72">
        <v>63.881996946464376</v>
      </c>
      <c r="L1071" s="70">
        <v>0.068496864919580432</v>
      </c>
      <c r="M1071" s="71">
        <f>IF(L1071&lt;1,1,L1071)</f>
        <v>1</v>
      </c>
      <c r="N1071" s="70" t="s">
        <v>3288</v>
      </c>
      <c r="O1071" s="71">
        <f>IF(OR(I1071=$A$1,I1071=0),"",IF(N1071=MappingTables!$C$14,VLOOKUP(J1071,ModelParameters!$M$8:$N$15,2,FALSE),IF(N1071=MappingTables!$C$16,VLOOKUP(J1071,ModelParameters!$P$8:$Q$15,2,FALSE),0)))</f>
        <v>1</v>
      </c>
      <c r="P1071" s="73">
        <f>IF(OR(I1071=0,I1071=$A$1),0,MIN(O1071*M1071,1)*K1071)</f>
        <v>63.881996946464376</v>
      </c>
      <c r="Q1071" s="73">
        <f>IF(B1071="",0,IF(OR(H1071=MappingTables!$C$34,H1071=MappingTables!$C$35),P1071,0))</f>
        <v>0</v>
      </c>
      <c r="R1071" s="73">
        <f>IF(ISNA(IF(AND(VLOOKUP(CONCATENATE($D1071,$G1071),CSRFinput!$B:$E,4,0)=0,OR(H1071=MappingTables!$C$31,H1071=MappingTables!$C$32)),1,VLOOKUP(CONCATENATE($D1071,$G1071),CSRFinput!$B:$E,4,0))),0,IF(AND(VLOOKUP(CONCATENATE($D1071,$G1071),CSRFinput!$B:$E,4,0)=0,OR(H1071=MappingTables!$C$31,H1071=MappingTables!$C$32)),1,VLOOKUP(CONCATENATE($D1071,$G1071),CSRFinput!$B:$E,4,0)))</f>
        <v>0.054776304963434752</v>
      </c>
      <c r="S1071" s="73">
        <f>IF(B1071="",0,P1071*R1071)</f>
        <v>3.4992197464127404</v>
      </c>
      <c r="T1071" s="85">
        <f>IF(B1071="",0,IF(OR(H1071=MappingTables!$C$34,H1071=MappingTables!$C$35),S1071,0))</f>
        <v>0</v>
      </c>
    </row>
    <row r="1072" spans="2:20" s="0" customFormat="0" ht="15">
      <c r="B1072" s="69" t="s">
        <v>3677</v>
      </c>
      <c r="C1072" s="70" t="s">
        <v>3678</v>
      </c>
      <c r="D1072" s="70" t="s">
        <v>1</v>
      </c>
      <c r="E1072" s="70" t="s">
        <v>1</v>
      </c>
      <c r="F1072" s="70"/>
      <c r="G1072" s="70" t="s">
        <v>61</v>
      </c>
      <c r="H1072" s="70" t="s">
        <v>178</v>
      </c>
      <c r="I1072" s="70" t="s">
        <v>204</v>
      </c>
      <c r="J1072" s="71">
        <f>IF(OR(I1072=0,I1072=""),"unrated",VLOOKUP(I1072,MappingTables!$B$19:$C$31,2,FALSE))</f>
        <v>6</v>
      </c>
      <c r="K1072" s="72">
        <v>964.72784176745456</v>
      </c>
      <c r="L1072" s="70">
        <v>0.068489642563847704</v>
      </c>
      <c r="M1072" s="71">
        <f>IF(L1072&lt;1,1,L1072)</f>
        <v>1</v>
      </c>
      <c r="N1072" s="70" t="s">
        <v>3288</v>
      </c>
      <c r="O1072" s="71">
        <f>IF(OR(I1072=$A$1,I1072=0),"",IF(N1072=MappingTables!$C$14,VLOOKUP(J1072,ModelParameters!$M$8:$N$15,2,FALSE),IF(N1072=MappingTables!$C$16,VLOOKUP(J1072,ModelParameters!$P$8:$Q$15,2,FALSE),0)))</f>
        <v>1</v>
      </c>
      <c r="P1072" s="73">
        <f>IF(OR(I1072=0,I1072=$A$1),0,MIN(O1072*M1072,1)*K1072)</f>
        <v>964.72784176745456</v>
      </c>
      <c r="Q1072" s="73">
        <f>IF(B1072="",0,IF(OR(H1072=MappingTables!$C$34,H1072=MappingTables!$C$35),P1072,0))</f>
        <v>0</v>
      </c>
      <c r="R1072" s="73">
        <f>IF(ISNA(IF(AND(VLOOKUP(CONCATENATE($D1072,$G1072),CSRFinput!$B:$E,4,0)=0,OR(H1072=MappingTables!$C$31,H1072=MappingTables!$C$32)),1,VLOOKUP(CONCATENATE($D1072,$G1072),CSRFinput!$B:$E,4,0))),0,IF(AND(VLOOKUP(CONCATENATE($D1072,$G1072),CSRFinput!$B:$E,4,0)=0,OR(H1072=MappingTables!$C$31,H1072=MappingTables!$C$32)),1,VLOOKUP(CONCATENATE($D1072,$G1072),CSRFinput!$B:$E,4,0)))</f>
        <v>0.054776304963434752</v>
      </c>
      <c r="S1072" s="73">
        <f>IF(B1072="",0,P1072*R1072)</f>
        <v>52.84422646737032</v>
      </c>
      <c r="T1072" s="85">
        <f>IF(B1072="",0,IF(OR(H1072=MappingTables!$C$34,H1072=MappingTables!$C$35),S1072,0))</f>
        <v>0</v>
      </c>
    </row>
    <row r="1073" spans="2:20" s="0" customFormat="0" ht="15">
      <c r="B1073" s="69" t="s">
        <v>4692</v>
      </c>
      <c r="C1073" s="70" t="s">
        <v>4693</v>
      </c>
      <c r="D1073" s="70" t="s">
        <v>1</v>
      </c>
      <c r="E1073" s="70" t="s">
        <v>1</v>
      </c>
      <c r="F1073" s="70"/>
      <c r="G1073" s="70" t="s">
        <v>61</v>
      </c>
      <c r="H1073" s="70" t="s">
        <v>178</v>
      </c>
      <c r="I1073" s="70" t="s">
        <v>198</v>
      </c>
      <c r="J1073" s="71" t="str">
        <f>IF(OR(I1073=0,I1073=""),"unrated",VLOOKUP(I1073,MappingTables!$B$19:$C$31,2,FALSE))</f>
        <v>unrated</v>
      </c>
      <c r="K1073" s="72">
        <v>165.45214873578076</v>
      </c>
      <c r="L1073" s="70">
        <v>1.952868899290538</v>
      </c>
      <c r="M1073" s="71">
        <f>IF(L1073&lt;1,1,L1073)</f>
        <v>1.952868899290538</v>
      </c>
      <c r="N1073" s="70" t="s">
        <v>3288</v>
      </c>
      <c r="O1073" s="71">
        <f>IF(OR(I1073=$A$1,I1073=0),"",IF(N1073=MappingTables!$C$14,VLOOKUP(J1073,ModelParameters!$M$8:$N$15,2,FALSE),IF(N1073=MappingTables!$C$16,VLOOKUP(J1073,ModelParameters!$P$8:$Q$15,2,FALSE),0)))</f>
        <v>1</v>
      </c>
      <c r="P1073" s="73">
        <f>IF(OR(I1073=0,I1073=$A$1),0,MIN(O1073*M1073,1)*K1073)</f>
        <v>165.45214873578076</v>
      </c>
      <c r="Q1073" s="73">
        <f>IF(B1073="",0,IF(OR(H1073=MappingTables!$C$34,H1073=MappingTables!$C$35),P1073,0))</f>
        <v>0</v>
      </c>
      <c r="R1073" s="73">
        <f>IF(ISNA(IF(AND(VLOOKUP(CONCATENATE($D1073,$G1073),CSRFinput!$B:$E,4,0)=0,OR(H1073=MappingTables!$C$31,H1073=MappingTables!$C$32)),1,VLOOKUP(CONCATENATE($D1073,$G1073),CSRFinput!$B:$E,4,0))),0,IF(AND(VLOOKUP(CONCATENATE($D1073,$G1073),CSRFinput!$B:$E,4,0)=0,OR(H1073=MappingTables!$C$31,H1073=MappingTables!$C$32)),1,VLOOKUP(CONCATENATE($D1073,$G1073),CSRFinput!$B:$E,4,0)))</f>
        <v>0.054776304963434752</v>
      </c>
      <c r="S1073" s="73">
        <f>IF(B1073="",0,P1073*R1073)</f>
        <v>9.0628573560066912</v>
      </c>
      <c r="T1073" s="85">
        <f>IF(B1073="",0,IF(OR(H1073=MappingTables!$C$34,H1073=MappingTables!$C$35),S1073,0))</f>
        <v>0</v>
      </c>
    </row>
    <row r="1074" spans="2:20" s="0" customFormat="0" ht="15">
      <c r="B1074" s="69" t="s">
        <v>3944</v>
      </c>
      <c r="C1074" s="70" t="s">
        <v>3945</v>
      </c>
      <c r="D1074" s="70" t="s">
        <v>1</v>
      </c>
      <c r="E1074" s="70" t="s">
        <v>1</v>
      </c>
      <c r="F1074" s="70"/>
      <c r="G1074" s="70" t="s">
        <v>61</v>
      </c>
      <c r="H1074" s="70" t="s">
        <v>178</v>
      </c>
      <c r="I1074" s="70" t="s">
        <v>184</v>
      </c>
      <c r="J1074" s="71">
        <f>IF(OR(I1074=0,I1074=""),"unrated",VLOOKUP(I1074,MappingTables!$B$19:$C$31,2,FALSE))</f>
        <v>5</v>
      </c>
      <c r="K1074" s="72">
        <v>1838.3517927127244</v>
      </c>
      <c r="L1074" s="70">
        <v>0.059973465981595128</v>
      </c>
      <c r="M1074" s="71">
        <f>IF(L1074&lt;1,1,L1074)</f>
        <v>1</v>
      </c>
      <c r="N1074" s="70" t="s">
        <v>3288</v>
      </c>
      <c r="O1074" s="71">
        <f>IF(OR(I1074=$A$1,I1074=0),"",IF(N1074=MappingTables!$C$14,VLOOKUP(J1074,ModelParameters!$M$8:$N$15,2,FALSE),IF(N1074=MappingTables!$C$16,VLOOKUP(J1074,ModelParameters!$P$8:$Q$15,2,FALSE),0)))</f>
        <v>1</v>
      </c>
      <c r="P1074" s="73">
        <f>IF(OR(I1074=0,I1074=$A$1),0,MIN(O1074*M1074,1)*K1074)</f>
        <v>1838.3517927127244</v>
      </c>
      <c r="Q1074" s="73">
        <f>IF(B1074="",0,IF(OR(H1074=MappingTables!$C$34,H1074=MappingTables!$C$35),P1074,0))</f>
        <v>0</v>
      </c>
      <c r="R1074" s="73">
        <f>IF(ISNA(IF(AND(VLOOKUP(CONCATENATE($D1074,$G1074),CSRFinput!$B:$E,4,0)=0,OR(H1074=MappingTables!$C$31,H1074=MappingTables!$C$32)),1,VLOOKUP(CONCATENATE($D1074,$G1074),CSRFinput!$B:$E,4,0))),0,IF(AND(VLOOKUP(CONCATENATE($D1074,$G1074),CSRFinput!$B:$E,4,0)=0,OR(H1074=MappingTables!$C$31,H1074=MappingTables!$C$32)),1,VLOOKUP(CONCATENATE($D1074,$G1074),CSRFinput!$B:$E,4,0)))</f>
        <v>0.054776304963434752</v>
      </c>
      <c r="S1074" s="73">
        <f>IF(B1074="",0,P1074*R1074)</f>
        <v>100.69811842770918</v>
      </c>
      <c r="T1074" s="85">
        <f>IF(B1074="",0,IF(OR(H1074=MappingTables!$C$34,H1074=MappingTables!$C$35),S1074,0))</f>
        <v>0</v>
      </c>
    </row>
    <row r="1075" spans="2:20" s="0" customFormat="0" ht="15">
      <c r="B1075" s="69">
        <v>16974605</v>
      </c>
      <c r="C1075" s="70" t="s">
        <v>4694</v>
      </c>
      <c r="D1075" s="70" t="s">
        <v>1</v>
      </c>
      <c r="E1075" s="70" t="s">
        <v>1</v>
      </c>
      <c r="F1075" s="70"/>
      <c r="G1075" s="70" t="s">
        <v>61</v>
      </c>
      <c r="H1075" s="70" t="s">
        <v>178</v>
      </c>
      <c r="I1075" s="70" t="s">
        <v>216</v>
      </c>
      <c r="J1075" s="71">
        <f>IF(OR(I1075=0,I1075=""),"unrated",VLOOKUP(I1075,MappingTables!$B$19:$C$31,2,FALSE))</f>
        <v>0</v>
      </c>
      <c r="K1075" s="72">
        <v>321.4077863555588</v>
      </c>
      <c r="L1075" s="70">
        <v>0.08392563318664368</v>
      </c>
      <c r="M1075" s="71">
        <f>IF(L1075&lt;1,1,L1075)</f>
        <v>1</v>
      </c>
      <c r="N1075" s="70" t="s">
        <v>3288</v>
      </c>
      <c r="O1075" s="71">
        <f>IF(OR(I1075=$A$1,I1075=0),"",IF(N1075=MappingTables!$C$14,VLOOKUP(J1075,ModelParameters!$M$8:$N$15,2,FALSE),IF(N1075=MappingTables!$C$16,VLOOKUP(J1075,ModelParameters!$P$8:$Q$15,2,FALSE),0)))</f>
        <v>0.125</v>
      </c>
      <c r="P1075" s="73">
        <f>IF(OR(I1075=0,I1075=$A$1),0,MIN(O1075*M1075,1)*K1075)</f>
        <v>40.175973294444848</v>
      </c>
      <c r="Q1075" s="73">
        <f>IF(B1075="",0,IF(OR(H1075=MappingTables!$C$34,H1075=MappingTables!$C$35),P1075,0))</f>
        <v>0</v>
      </c>
      <c r="R1075" s="73">
        <f>IF(ISNA(IF(AND(VLOOKUP(CONCATENATE($D1075,$G1075),CSRFinput!$B:$E,4,0)=0,OR(H1075=MappingTables!$C$31,H1075=MappingTables!$C$32)),1,VLOOKUP(CONCATENATE($D1075,$G1075),CSRFinput!$B:$E,4,0))),0,IF(AND(VLOOKUP(CONCATENATE($D1075,$G1075),CSRFinput!$B:$E,4,0)=0,OR(H1075=MappingTables!$C$31,H1075=MappingTables!$C$32)),1,VLOOKUP(CONCATENATE($D1075,$G1075),CSRFinput!$B:$E,4,0)))</f>
        <v>0.054776304963434752</v>
      </c>
      <c r="S1075" s="73">
        <f>IF(B1075="",0,P1075*R1075)</f>
        <v>2.2006913653793216</v>
      </c>
      <c r="T1075" s="85">
        <f>IF(B1075="",0,IF(OR(H1075=MappingTables!$C$34,H1075=MappingTables!$C$35),S1075,0))</f>
        <v>0</v>
      </c>
    </row>
    <row r="1076" spans="2:20" s="0" customFormat="0" ht="15">
      <c r="B1076" s="69" t="s">
        <v>4695</v>
      </c>
      <c r="C1076" s="70" t="s">
        <v>4696</v>
      </c>
      <c r="D1076" s="70" t="s">
        <v>1</v>
      </c>
      <c r="E1076" s="70" t="s">
        <v>1</v>
      </c>
      <c r="F1076" s="70"/>
      <c r="G1076" s="70" t="s">
        <v>61</v>
      </c>
      <c r="H1076" s="70" t="s">
        <v>178</v>
      </c>
      <c r="I1076" s="70" t="s">
        <v>184</v>
      </c>
      <c r="J1076" s="71">
        <f>IF(OR(I1076=0,I1076=""),"unrated",VLOOKUP(I1076,MappingTables!$B$19:$C$31,2,FALSE))</f>
        <v>5</v>
      </c>
      <c r="K1076" s="72">
        <v>1668.5797848309566</v>
      </c>
      <c r="L1076" s="70">
        <v>3.6748002406009496</v>
      </c>
      <c r="M1076" s="71">
        <f>IF(L1076&lt;1,1,L1076)</f>
        <v>3.6748002406009496</v>
      </c>
      <c r="N1076" s="70" t="s">
        <v>3288</v>
      </c>
      <c r="O1076" s="71">
        <f>IF(OR(I1076=$A$1,I1076=0),"",IF(N1076=MappingTables!$C$14,VLOOKUP(J1076,ModelParameters!$M$8:$N$15,2,FALSE),IF(N1076=MappingTables!$C$16,VLOOKUP(J1076,ModelParameters!$P$8:$Q$15,2,FALSE),0)))</f>
        <v>1</v>
      </c>
      <c r="P1076" s="73">
        <f>IF(OR(I1076=0,I1076=$A$1),0,MIN(O1076*M1076,1)*K1076)</f>
        <v>1668.5797848309566</v>
      </c>
      <c r="Q1076" s="73">
        <f>IF(B1076="",0,IF(OR(H1076=MappingTables!$C$34,H1076=MappingTables!$C$35),P1076,0))</f>
        <v>0</v>
      </c>
      <c r="R1076" s="73">
        <f>IF(ISNA(IF(AND(VLOOKUP(CONCATENATE($D1076,$G1076),CSRFinput!$B:$E,4,0)=0,OR(H1076=MappingTables!$C$31,H1076=MappingTables!$C$32)),1,VLOOKUP(CONCATENATE($D1076,$G1076),CSRFinput!$B:$E,4,0))),0,IF(AND(VLOOKUP(CONCATENATE($D1076,$G1076),CSRFinput!$B:$E,4,0)=0,OR(H1076=MappingTables!$C$31,H1076=MappingTables!$C$32)),1,VLOOKUP(CONCATENATE($D1076,$G1076),CSRFinput!$B:$E,4,0)))</f>
        <v>0.054776304963434752</v>
      </c>
      <c r="S1076" s="73">
        <f>IF(B1076="",0,P1076*R1076)</f>
        <v>91.398635149722816</v>
      </c>
      <c r="T1076" s="85">
        <f>IF(B1076="",0,IF(OR(H1076=MappingTables!$C$34,H1076=MappingTables!$C$35),S1076,0))</f>
        <v>0</v>
      </c>
    </row>
    <row r="1077" spans="2:20" s="0" customFormat="0" ht="15">
      <c r="B1077" s="69" t="s">
        <v>3447</v>
      </c>
      <c r="C1077" s="70" t="s">
        <v>3448</v>
      </c>
      <c r="D1077" s="70" t="s">
        <v>1</v>
      </c>
      <c r="E1077" s="70" t="s">
        <v>1</v>
      </c>
      <c r="F1077" s="70"/>
      <c r="G1077" s="70" t="s">
        <v>61</v>
      </c>
      <c r="H1077" s="70" t="s">
        <v>178</v>
      </c>
      <c r="I1077" s="70" t="s">
        <v>198</v>
      </c>
      <c r="J1077" s="71" t="str">
        <f>IF(OR(I1077=0,I1077=""),"unrated",VLOOKUP(I1077,MappingTables!$B$19:$C$31,2,FALSE))</f>
        <v>unrated</v>
      </c>
      <c r="K1077" s="72">
        <v>0.68440422826011656</v>
      </c>
      <c r="L1077" s="70">
        <v>43.4237178659088</v>
      </c>
      <c r="M1077" s="71">
        <f>IF(L1077&lt;1,1,L1077)</f>
        <v>43.4237178659088</v>
      </c>
      <c r="N1077" s="70" t="s">
        <v>3288</v>
      </c>
      <c r="O1077" s="71">
        <f>IF(OR(I1077=$A$1,I1077=0),"",IF(N1077=MappingTables!$C$14,VLOOKUP(J1077,ModelParameters!$M$8:$N$15,2,FALSE),IF(N1077=MappingTables!$C$16,VLOOKUP(J1077,ModelParameters!$P$8:$Q$15,2,FALSE),0)))</f>
        <v>1</v>
      </c>
      <c r="P1077" s="73">
        <f>IF(OR(I1077=0,I1077=$A$1),0,MIN(O1077*M1077,1)*K1077)</f>
        <v>0.68440422826011656</v>
      </c>
      <c r="Q1077" s="73">
        <f>IF(B1077="",0,IF(OR(H1077=MappingTables!$C$34,H1077=MappingTables!$C$35),P1077,0))</f>
        <v>0</v>
      </c>
      <c r="R1077" s="73">
        <f>IF(ISNA(IF(AND(VLOOKUP(CONCATENATE($D1077,$G1077),CSRFinput!$B:$E,4,0)=0,OR(H1077=MappingTables!$C$31,H1077=MappingTables!$C$32)),1,VLOOKUP(CONCATENATE($D1077,$G1077),CSRFinput!$B:$E,4,0))),0,IF(AND(VLOOKUP(CONCATENATE($D1077,$G1077),CSRFinput!$B:$E,4,0)=0,OR(H1077=MappingTables!$C$31,H1077=MappingTables!$C$32)),1,VLOOKUP(CONCATENATE($D1077,$G1077),CSRFinput!$B:$E,4,0)))</f>
        <v>0.054776304963434752</v>
      </c>
      <c r="S1077" s="73">
        <f>IF(B1077="",0,P1077*R1077)</f>
        <v>0.037489134725440352</v>
      </c>
      <c r="T1077" s="85">
        <f>IF(B1077="",0,IF(OR(H1077=MappingTables!$C$34,H1077=MappingTables!$C$35),S1077,0))</f>
        <v>0</v>
      </c>
    </row>
    <row r="1078" spans="2:20" s="0" customFormat="0" ht="15">
      <c r="B1078" s="69" t="s">
        <v>3878</v>
      </c>
      <c r="C1078" s="70" t="s">
        <v>3879</v>
      </c>
      <c r="D1078" s="70" t="s">
        <v>1</v>
      </c>
      <c r="E1078" s="70" t="s">
        <v>1</v>
      </c>
      <c r="F1078" s="70"/>
      <c r="G1078" s="70" t="s">
        <v>61</v>
      </c>
      <c r="H1078" s="70" t="s">
        <v>178</v>
      </c>
      <c r="I1078" s="70" t="s">
        <v>184</v>
      </c>
      <c r="J1078" s="71">
        <f>IF(OR(I1078=0,I1078=""),"unrated",VLOOKUP(I1078,MappingTables!$B$19:$C$31,2,FALSE))</f>
        <v>5</v>
      </c>
      <c r="K1078" s="72">
        <v>78.470431490240912</v>
      </c>
      <c r="L1078" s="70">
        <v>0.068489121205545008</v>
      </c>
      <c r="M1078" s="71">
        <f>IF(L1078&lt;1,1,L1078)</f>
        <v>1</v>
      </c>
      <c r="N1078" s="70" t="s">
        <v>3288</v>
      </c>
      <c r="O1078" s="71">
        <f>IF(OR(I1078=$A$1,I1078=0),"",IF(N1078=MappingTables!$C$14,VLOOKUP(J1078,ModelParameters!$M$8:$N$15,2,FALSE),IF(N1078=MappingTables!$C$16,VLOOKUP(J1078,ModelParameters!$P$8:$Q$15,2,FALSE),0)))</f>
        <v>1</v>
      </c>
      <c r="P1078" s="73">
        <f>IF(OR(I1078=0,I1078=$A$1),0,MIN(O1078*M1078,1)*K1078)</f>
        <v>78.470431490240912</v>
      </c>
      <c r="Q1078" s="73">
        <f>IF(B1078="",0,IF(OR(H1078=MappingTables!$C$34,H1078=MappingTables!$C$35),P1078,0))</f>
        <v>0</v>
      </c>
      <c r="R1078" s="73">
        <f>IF(ISNA(IF(AND(VLOOKUP(CONCATENATE($D1078,$G1078),CSRFinput!$B:$E,4,0)=0,OR(H1078=MappingTables!$C$31,H1078=MappingTables!$C$32)),1,VLOOKUP(CONCATENATE($D1078,$G1078),CSRFinput!$B:$E,4,0))),0,IF(AND(VLOOKUP(CONCATENATE($D1078,$G1078),CSRFinput!$B:$E,4,0)=0,OR(H1078=MappingTables!$C$31,H1078=MappingTables!$C$32)),1,VLOOKUP(CONCATENATE($D1078,$G1078),CSRFinput!$B:$E,4,0)))</f>
        <v>0.054776304963434752</v>
      </c>
      <c r="S1078" s="73">
        <f>IF(B1078="",0,P1078*R1078)</f>
        <v>4.2983202859217496</v>
      </c>
      <c r="T1078" s="85">
        <f>IF(B1078="",0,IF(OR(H1078=MappingTables!$C$34,H1078=MappingTables!$C$35),S1078,0))</f>
        <v>0</v>
      </c>
    </row>
    <row r="1079" spans="2:20" s="0" customFormat="0" ht="15">
      <c r="B1079" s="69">
        <v>6955862</v>
      </c>
      <c r="C1079" s="70" t="s">
        <v>4697</v>
      </c>
      <c r="D1079" s="70" t="s">
        <v>1</v>
      </c>
      <c r="E1079" s="70" t="s">
        <v>1</v>
      </c>
      <c r="F1079" s="70"/>
      <c r="G1079" s="70" t="s">
        <v>61</v>
      </c>
      <c r="H1079" s="70" t="s">
        <v>178</v>
      </c>
      <c r="I1079" s="70" t="s">
        <v>184</v>
      </c>
      <c r="J1079" s="71">
        <f>IF(OR(I1079=0,I1079=""),"unrated",VLOOKUP(I1079,MappingTables!$B$19:$C$31,2,FALSE))</f>
        <v>5</v>
      </c>
      <c r="K1079" s="72">
        <v>322.74842105458072</v>
      </c>
      <c r="L1079" s="70">
        <v>0.06003911451943376</v>
      </c>
      <c r="M1079" s="71">
        <f>IF(L1079&lt;1,1,L1079)</f>
        <v>1</v>
      </c>
      <c r="N1079" s="70" t="s">
        <v>3288</v>
      </c>
      <c r="O1079" s="71">
        <f>IF(OR(I1079=$A$1,I1079=0),"",IF(N1079=MappingTables!$C$14,VLOOKUP(J1079,ModelParameters!$M$8:$N$15,2,FALSE),IF(N1079=MappingTables!$C$16,VLOOKUP(J1079,ModelParameters!$P$8:$Q$15,2,FALSE),0)))</f>
        <v>1</v>
      </c>
      <c r="P1079" s="73">
        <f>IF(OR(I1079=0,I1079=$A$1),0,MIN(O1079*M1079,1)*K1079)</f>
        <v>322.74842105458072</v>
      </c>
      <c r="Q1079" s="73">
        <f>IF(B1079="",0,IF(OR(H1079=MappingTables!$C$34,H1079=MappingTables!$C$35),P1079,0))</f>
        <v>0</v>
      </c>
      <c r="R1079" s="73">
        <f>IF(ISNA(IF(AND(VLOOKUP(CONCATENATE($D1079,$G1079),CSRFinput!$B:$E,4,0)=0,OR(H1079=MappingTables!$C$31,H1079=MappingTables!$C$32)),1,VLOOKUP(CONCATENATE($D1079,$G1079),CSRFinput!$B:$E,4,0))),0,IF(AND(VLOOKUP(CONCATENATE($D1079,$G1079),CSRFinput!$B:$E,4,0)=0,OR(H1079=MappingTables!$C$31,H1079=MappingTables!$C$32)),1,VLOOKUP(CONCATENATE($D1079,$G1079),CSRFinput!$B:$E,4,0)))</f>
        <v>0.054776304963434752</v>
      </c>
      <c r="S1079" s="73">
        <f>IF(B1079="",0,P1079*R1079)</f>
        <v>17.67896593815276</v>
      </c>
      <c r="T1079" s="85">
        <f>IF(B1079="",0,IF(OR(H1079=MappingTables!$C$34,H1079=MappingTables!$C$35),S1079,0))</f>
        <v>0</v>
      </c>
    </row>
    <row r="1080" spans="2:20" s="0" customFormat="0" ht="15">
      <c r="B1080" s="69" t="s">
        <v>4698</v>
      </c>
      <c r="C1080" s="70" t="s">
        <v>4699</v>
      </c>
      <c r="D1080" s="70" t="s">
        <v>1</v>
      </c>
      <c r="E1080" s="70" t="s">
        <v>1</v>
      </c>
      <c r="F1080" s="70"/>
      <c r="G1080" s="70" t="s">
        <v>61</v>
      </c>
      <c r="H1080" s="70" t="s">
        <v>178</v>
      </c>
      <c r="I1080" s="70" t="s">
        <v>198</v>
      </c>
      <c r="J1080" s="71" t="str">
        <f>IF(OR(I1080=0,I1080=""),"unrated",VLOOKUP(I1080,MappingTables!$B$19:$C$31,2,FALSE))</f>
        <v>unrated</v>
      </c>
      <c r="K1080" s="72">
        <v>0.63520758009460456</v>
      </c>
      <c r="L1080" s="70">
        <v>32.23974858218122</v>
      </c>
      <c r="M1080" s="71">
        <f>IF(L1080&lt;1,1,L1080)</f>
        <v>32.23974858218122</v>
      </c>
      <c r="N1080" s="70" t="s">
        <v>3288</v>
      </c>
      <c r="O1080" s="71">
        <f>IF(OR(I1080=$A$1,I1080=0),"",IF(N1080=MappingTables!$C$14,VLOOKUP(J1080,ModelParameters!$M$8:$N$15,2,FALSE),IF(N1080=MappingTables!$C$16,VLOOKUP(J1080,ModelParameters!$P$8:$Q$15,2,FALSE),0)))</f>
        <v>1</v>
      </c>
      <c r="P1080" s="73">
        <f>IF(OR(I1080=0,I1080=$A$1),0,MIN(O1080*M1080,1)*K1080)</f>
        <v>0.63520758009460456</v>
      </c>
      <c r="Q1080" s="73">
        <f>IF(B1080="",0,IF(OR(H1080=MappingTables!$C$34,H1080=MappingTables!$C$35),P1080,0))</f>
        <v>0</v>
      </c>
      <c r="R1080" s="73">
        <f>IF(ISNA(IF(AND(VLOOKUP(CONCATENATE($D1080,$G1080),CSRFinput!$B:$E,4,0)=0,OR(H1080=MappingTables!$C$31,H1080=MappingTables!$C$32)),1,VLOOKUP(CONCATENATE($D1080,$G1080),CSRFinput!$B:$E,4,0))),0,IF(AND(VLOOKUP(CONCATENATE($D1080,$G1080),CSRFinput!$B:$E,4,0)=0,OR(H1080=MappingTables!$C$31,H1080=MappingTables!$C$32)),1,VLOOKUP(CONCATENATE($D1080,$G1080),CSRFinput!$B:$E,4,0)))</f>
        <v>0.054776304963434752</v>
      </c>
      <c r="S1080" s="73">
        <f>IF(B1080="",0,P1080*R1080)</f>
        <v>0.034794324122347468</v>
      </c>
      <c r="T1080" s="85">
        <f>IF(B1080="",0,IF(OR(H1080=MappingTables!$C$34,H1080=MappingTables!$C$35),S1080,0))</f>
        <v>0</v>
      </c>
    </row>
    <row r="1081" spans="2:20" s="0" customFormat="0" ht="15">
      <c r="B1081" s="69" t="s">
        <v>4700</v>
      </c>
      <c r="C1081" s="70" t="s">
        <v>4701</v>
      </c>
      <c r="D1081" s="70" t="s">
        <v>1</v>
      </c>
      <c r="E1081" s="70" t="s">
        <v>1</v>
      </c>
      <c r="F1081" s="70"/>
      <c r="G1081" s="70" t="s">
        <v>61</v>
      </c>
      <c r="H1081" s="70" t="s">
        <v>178</v>
      </c>
      <c r="I1081" s="70" t="s">
        <v>184</v>
      </c>
      <c r="J1081" s="71">
        <f>IF(OR(I1081=0,I1081=""),"unrated",VLOOKUP(I1081,MappingTables!$B$19:$C$31,2,FALSE))</f>
        <v>5</v>
      </c>
      <c r="K1081" s="72">
        <v>44.571017876414792</v>
      </c>
      <c r="L1081" s="70">
        <v>0.06849192537561548</v>
      </c>
      <c r="M1081" s="71">
        <f>IF(L1081&lt;1,1,L1081)</f>
        <v>1</v>
      </c>
      <c r="N1081" s="70" t="s">
        <v>3288</v>
      </c>
      <c r="O1081" s="71">
        <f>IF(OR(I1081=$A$1,I1081=0),"",IF(N1081=MappingTables!$C$14,VLOOKUP(J1081,ModelParameters!$M$8:$N$15,2,FALSE),IF(N1081=MappingTables!$C$16,VLOOKUP(J1081,ModelParameters!$P$8:$Q$15,2,FALSE),0)))</f>
        <v>1</v>
      </c>
      <c r="P1081" s="73">
        <f>IF(OR(I1081=0,I1081=$A$1),0,MIN(O1081*M1081,1)*K1081)</f>
        <v>44.571017876414792</v>
      </c>
      <c r="Q1081" s="73">
        <f>IF(B1081="",0,IF(OR(H1081=MappingTables!$C$34,H1081=MappingTables!$C$35),P1081,0))</f>
        <v>0</v>
      </c>
      <c r="R1081" s="73">
        <f>IF(ISNA(IF(AND(VLOOKUP(CONCATENATE($D1081,$G1081),CSRFinput!$B:$E,4,0)=0,OR(H1081=MappingTables!$C$31,H1081=MappingTables!$C$32)),1,VLOOKUP(CONCATENATE($D1081,$G1081),CSRFinput!$B:$E,4,0))),0,IF(AND(VLOOKUP(CONCATENATE($D1081,$G1081),CSRFinput!$B:$E,4,0)=0,OR(H1081=MappingTables!$C$31,H1081=MappingTables!$C$32)),1,VLOOKUP(CONCATENATE($D1081,$G1081),CSRFinput!$B:$E,4,0)))</f>
        <v>0.054776304963434752</v>
      </c>
      <c r="S1081" s="73">
        <f>IF(B1081="",0,P1081*R1081)</f>
        <v>2.4414356677291988</v>
      </c>
      <c r="T1081" s="85">
        <f>IF(B1081="",0,IF(OR(H1081=MappingTables!$C$34,H1081=MappingTables!$C$35),S1081,0))</f>
        <v>0</v>
      </c>
    </row>
    <row r="1082" spans="2:20" s="0" customFormat="0" ht="15">
      <c r="B1082" s="69">
        <v>22554529</v>
      </c>
      <c r="C1082" s="70" t="s">
        <v>3406</v>
      </c>
      <c r="D1082" s="70" t="s">
        <v>1</v>
      </c>
      <c r="E1082" s="70" t="s">
        <v>1</v>
      </c>
      <c r="F1082" s="70"/>
      <c r="G1082" s="70" t="s">
        <v>61</v>
      </c>
      <c r="H1082" s="70" t="s">
        <v>178</v>
      </c>
      <c r="I1082" s="70" t="s">
        <v>179</v>
      </c>
      <c r="J1082" s="71">
        <f>IF(OR(I1082=0,I1082=""),"unrated",VLOOKUP(I1082,MappingTables!$B$19:$C$31,2,FALSE))</f>
        <v>4</v>
      </c>
      <c r="K1082" s="72">
        <v>225.37754941599396</v>
      </c>
      <c r="L1082" s="70">
        <v>0.068491681442743712</v>
      </c>
      <c r="M1082" s="71">
        <f>IF(L1082&lt;1,1,L1082)</f>
        <v>1</v>
      </c>
      <c r="N1082" s="70" t="s">
        <v>3288</v>
      </c>
      <c r="O1082" s="71">
        <f>IF(OR(I1082=$A$1,I1082=0),"",IF(N1082=MappingTables!$C$14,VLOOKUP(J1082,ModelParameters!$M$8:$N$15,2,FALSE),IF(N1082=MappingTables!$C$16,VLOOKUP(J1082,ModelParameters!$P$8:$Q$15,2,FALSE),0)))</f>
        <v>0.82</v>
      </c>
      <c r="P1082" s="73">
        <f>IF(OR(I1082=0,I1082=$A$1),0,MIN(O1082*M1082,1)*K1082)</f>
        <v>184.80959052111504</v>
      </c>
      <c r="Q1082" s="73">
        <f>IF(B1082="",0,IF(OR(H1082=MappingTables!$C$34,H1082=MappingTables!$C$35),P1082,0))</f>
        <v>0</v>
      </c>
      <c r="R1082" s="73">
        <f>IF(ISNA(IF(AND(VLOOKUP(CONCATENATE($D1082,$G1082),CSRFinput!$B:$E,4,0)=0,OR(H1082=MappingTables!$C$31,H1082=MappingTables!$C$32)),1,VLOOKUP(CONCATENATE($D1082,$G1082),CSRFinput!$B:$E,4,0))),0,IF(AND(VLOOKUP(CONCATENATE($D1082,$G1082),CSRFinput!$B:$E,4,0)=0,OR(H1082=MappingTables!$C$31,H1082=MappingTables!$C$32)),1,VLOOKUP(CONCATENATE($D1082,$G1082),CSRFinput!$B:$E,4,0)))</f>
        <v>0.054776304963434752</v>
      </c>
      <c r="S1082" s="73">
        <f>IF(B1082="",0,P1082*R1082)</f>
        <v>10.123186490552098</v>
      </c>
      <c r="T1082" s="85">
        <f>IF(B1082="",0,IF(OR(H1082=MappingTables!$C$34,H1082=MappingTables!$C$35),S1082,0))</f>
        <v>0</v>
      </c>
    </row>
    <row r="1083" spans="2:20" s="0" customFormat="0" ht="15">
      <c r="B1083" s="69">
        <v>826104</v>
      </c>
      <c r="C1083" s="70" t="s">
        <v>4702</v>
      </c>
      <c r="D1083" s="70" t="s">
        <v>1</v>
      </c>
      <c r="E1083" s="70" t="s">
        <v>1</v>
      </c>
      <c r="F1083" s="70"/>
      <c r="G1083" s="70" t="s">
        <v>61</v>
      </c>
      <c r="H1083" s="70" t="s">
        <v>178</v>
      </c>
      <c r="I1083" s="70" t="s">
        <v>181</v>
      </c>
      <c r="J1083" s="71">
        <f>IF(OR(I1083=0,I1083=""),"unrated",VLOOKUP(I1083,MappingTables!$B$19:$C$31,2,FALSE))</f>
        <v>3</v>
      </c>
      <c r="K1083" s="72">
        <v>35.194619943533204</v>
      </c>
      <c r="L1083" s="70">
        <v>0.062677219772355784</v>
      </c>
      <c r="M1083" s="71">
        <f>IF(L1083&lt;1,1,L1083)</f>
        <v>1</v>
      </c>
      <c r="N1083" s="70" t="s">
        <v>3288</v>
      </c>
      <c r="O1083" s="71">
        <f>IF(OR(I1083=$A$1,I1083=0),"",IF(N1083=MappingTables!$C$14,VLOOKUP(J1083,ModelParameters!$M$8:$N$15,2,FALSE),IF(N1083=MappingTables!$C$16,VLOOKUP(J1083,ModelParameters!$P$8:$Q$15,2,FALSE),0)))</f>
        <v>0.197</v>
      </c>
      <c r="P1083" s="73">
        <f>IF(OR(I1083=0,I1083=$A$1),0,MIN(O1083*M1083,1)*K1083)</f>
        <v>6.9333401288760408</v>
      </c>
      <c r="Q1083" s="73">
        <f>IF(B1083="",0,IF(OR(H1083=MappingTables!$C$34,H1083=MappingTables!$C$35),P1083,0))</f>
        <v>0</v>
      </c>
      <c r="R1083" s="73">
        <f>IF(ISNA(IF(AND(VLOOKUP(CONCATENATE($D1083,$G1083),CSRFinput!$B:$E,4,0)=0,OR(H1083=MappingTables!$C$31,H1083=MappingTables!$C$32)),1,VLOOKUP(CONCATENATE($D1083,$G1083),CSRFinput!$B:$E,4,0))),0,IF(AND(VLOOKUP(CONCATENATE($D1083,$G1083),CSRFinput!$B:$E,4,0)=0,OR(H1083=MappingTables!$C$31,H1083=MappingTables!$C$32)),1,VLOOKUP(CONCATENATE($D1083,$G1083),CSRFinput!$B:$E,4,0)))</f>
        <v>0.054776304963434752</v>
      </c>
      <c r="S1083" s="73">
        <f>IF(B1083="",0,P1083*R1083)</f>
        <v>0.379782753314534</v>
      </c>
      <c r="T1083" s="85">
        <f>IF(B1083="",0,IF(OR(H1083=MappingTables!$C$34,H1083=MappingTables!$C$35),S1083,0))</f>
        <v>0</v>
      </c>
    </row>
    <row r="1084" spans="2:20" s="0" customFormat="0" ht="15">
      <c r="B1084" s="69" t="s">
        <v>4516</v>
      </c>
      <c r="C1084" s="70" t="s">
        <v>4517</v>
      </c>
      <c r="D1084" s="70" t="s">
        <v>1</v>
      </c>
      <c r="E1084" s="70" t="s">
        <v>1</v>
      </c>
      <c r="F1084" s="70"/>
      <c r="G1084" s="70" t="s">
        <v>61</v>
      </c>
      <c r="H1084" s="70" t="s">
        <v>178</v>
      </c>
      <c r="I1084" s="70" t="s">
        <v>204</v>
      </c>
      <c r="J1084" s="71">
        <f>IF(OR(I1084=0,I1084=""),"unrated",VLOOKUP(I1084,MappingTables!$B$19:$C$31,2,FALSE))</f>
        <v>6</v>
      </c>
      <c r="K1084" s="72">
        <v>8.5341148068034592</v>
      </c>
      <c r="L1084" s="70">
        <v>0.068710009801562776</v>
      </c>
      <c r="M1084" s="71">
        <f>IF(L1084&lt;1,1,L1084)</f>
        <v>1</v>
      </c>
      <c r="N1084" s="70" t="s">
        <v>3288</v>
      </c>
      <c r="O1084" s="71">
        <f>IF(OR(I1084=$A$1,I1084=0),"",IF(N1084=MappingTables!$C$14,VLOOKUP(J1084,ModelParameters!$M$8:$N$15,2,FALSE),IF(N1084=MappingTables!$C$16,VLOOKUP(J1084,ModelParameters!$P$8:$Q$15,2,FALSE),0)))</f>
        <v>1</v>
      </c>
      <c r="P1084" s="73">
        <f>IF(OR(I1084=0,I1084=$A$1),0,MIN(O1084*M1084,1)*K1084)</f>
        <v>8.5341148068034592</v>
      </c>
      <c r="Q1084" s="73">
        <f>IF(B1084="",0,IF(OR(H1084=MappingTables!$C$34,H1084=MappingTables!$C$35),P1084,0))</f>
        <v>0</v>
      </c>
      <c r="R1084" s="73">
        <f>IF(ISNA(IF(AND(VLOOKUP(CONCATENATE($D1084,$G1084),CSRFinput!$B:$E,4,0)=0,OR(H1084=MappingTables!$C$31,H1084=MappingTables!$C$32)),1,VLOOKUP(CONCATENATE($D1084,$G1084),CSRFinput!$B:$E,4,0))),0,IF(AND(VLOOKUP(CONCATENATE($D1084,$G1084),CSRFinput!$B:$E,4,0)=0,OR(H1084=MappingTables!$C$31,H1084=MappingTables!$C$32)),1,VLOOKUP(CONCATENATE($D1084,$G1084),CSRFinput!$B:$E,4,0)))</f>
        <v>0.054776304963434752</v>
      </c>
      <c r="S1084" s="73">
        <f>IF(B1084="",0,P1084*R1084)</f>
        <v>0.46746727525043032</v>
      </c>
      <c r="T1084" s="85">
        <f>IF(B1084="",0,IF(OR(H1084=MappingTables!$C$34,H1084=MappingTables!$C$35),S1084,0))</f>
        <v>0</v>
      </c>
    </row>
    <row r="1085" spans="2:20" s="0" customFormat="0" ht="15">
      <c r="B1085" s="69" t="s">
        <v>4703</v>
      </c>
      <c r="C1085" s="70" t="s">
        <v>4704</v>
      </c>
      <c r="D1085" s="70" t="s">
        <v>1</v>
      </c>
      <c r="E1085" s="70" t="s">
        <v>1</v>
      </c>
      <c r="F1085" s="70"/>
      <c r="G1085" s="70" t="s">
        <v>61</v>
      </c>
      <c r="H1085" s="70" t="s">
        <v>178</v>
      </c>
      <c r="I1085" s="70" t="s">
        <v>3298</v>
      </c>
      <c r="J1085" s="71">
        <f>IF(OR(I1085=0,I1085=""),"unrated",VLOOKUP(I1085,MappingTables!$B$19:$C$31,2,FALSE))</f>
        <v>6</v>
      </c>
      <c r="K1085" s="72">
        <v>975.48780559696416</v>
      </c>
      <c r="L1085" s="70">
        <v>0.068491534928802112</v>
      </c>
      <c r="M1085" s="71">
        <f>IF(L1085&lt;1,1,L1085)</f>
        <v>1</v>
      </c>
      <c r="N1085" s="70" t="s">
        <v>3288</v>
      </c>
      <c r="O1085" s="71">
        <f>IF(OR(I1085=$A$1,I1085=0),"",IF(N1085=MappingTables!$C$14,VLOOKUP(J1085,ModelParameters!$M$8:$N$15,2,FALSE),IF(N1085=MappingTables!$C$16,VLOOKUP(J1085,ModelParameters!$P$8:$Q$15,2,FALSE),0)))</f>
        <v>1</v>
      </c>
      <c r="P1085" s="73">
        <f>IF(OR(I1085=0,I1085=$A$1),0,MIN(O1085*M1085,1)*K1085)</f>
        <v>975.48780559696416</v>
      </c>
      <c r="Q1085" s="73">
        <f>IF(B1085="",0,IF(OR(H1085=MappingTables!$C$34,H1085=MappingTables!$C$35),P1085,0))</f>
        <v>0</v>
      </c>
      <c r="R1085" s="73">
        <f>IF(ISNA(IF(AND(VLOOKUP(CONCATENATE($D1085,$G1085),CSRFinput!$B:$E,4,0)=0,OR(H1085=MappingTables!$C$31,H1085=MappingTables!$C$32)),1,VLOOKUP(CONCATENATE($D1085,$G1085),CSRFinput!$B:$E,4,0))),0,IF(AND(VLOOKUP(CONCATENATE($D1085,$G1085),CSRFinput!$B:$E,4,0)=0,OR(H1085=MappingTables!$C$31,H1085=MappingTables!$C$32)),1,VLOOKUP(CONCATENATE($D1085,$G1085),CSRFinput!$B:$E,4,0)))</f>
        <v>0.054776304963434752</v>
      </c>
      <c r="S1085" s="73">
        <f>IF(B1085="",0,P1085*R1085)</f>
        <v>53.433617527491056</v>
      </c>
      <c r="T1085" s="85">
        <f>IF(B1085="",0,IF(OR(H1085=MappingTables!$C$34,H1085=MappingTables!$C$35),S1085,0))</f>
        <v>0</v>
      </c>
    </row>
    <row r="1086" spans="2:20" s="0" customFormat="0" ht="15">
      <c r="B1086" s="69" t="s">
        <v>4705</v>
      </c>
      <c r="C1086" s="70" t="s">
        <v>4706</v>
      </c>
      <c r="D1086" s="70" t="s">
        <v>1</v>
      </c>
      <c r="E1086" s="70" t="s">
        <v>1</v>
      </c>
      <c r="F1086" s="70"/>
      <c r="G1086" s="70" t="s">
        <v>61</v>
      </c>
      <c r="H1086" s="70" t="s">
        <v>178</v>
      </c>
      <c r="I1086" s="70" t="s">
        <v>198</v>
      </c>
      <c r="J1086" s="71" t="str">
        <f>IF(OR(I1086=0,I1086=""),"unrated",VLOOKUP(I1086,MappingTables!$B$19:$C$31,2,FALSE))</f>
        <v>unrated</v>
      </c>
      <c r="K1086" s="72">
        <v>6.2517850604147584</v>
      </c>
      <c r="L1086" s="70">
        <v>40.29732617225552</v>
      </c>
      <c r="M1086" s="71">
        <f>IF(L1086&lt;1,1,L1086)</f>
        <v>40.29732617225552</v>
      </c>
      <c r="N1086" s="70" t="s">
        <v>3288</v>
      </c>
      <c r="O1086" s="71">
        <f>IF(OR(I1086=$A$1,I1086=0),"",IF(N1086=MappingTables!$C$14,VLOOKUP(J1086,ModelParameters!$M$8:$N$15,2,FALSE),IF(N1086=MappingTables!$C$16,VLOOKUP(J1086,ModelParameters!$P$8:$Q$15,2,FALSE),0)))</f>
        <v>1</v>
      </c>
      <c r="P1086" s="73">
        <f>IF(OR(I1086=0,I1086=$A$1),0,MIN(O1086*M1086,1)*K1086)</f>
        <v>6.2517850604147584</v>
      </c>
      <c r="Q1086" s="73">
        <f>IF(B1086="",0,IF(OR(H1086=MappingTables!$C$34,H1086=MappingTables!$C$35),P1086,0))</f>
        <v>0</v>
      </c>
      <c r="R1086" s="73">
        <f>IF(ISNA(IF(AND(VLOOKUP(CONCATENATE($D1086,$G1086),CSRFinput!$B:$E,4,0)=0,OR(H1086=MappingTables!$C$31,H1086=MappingTables!$C$32)),1,VLOOKUP(CONCATENATE($D1086,$G1086),CSRFinput!$B:$E,4,0))),0,IF(AND(VLOOKUP(CONCATENATE($D1086,$G1086),CSRFinput!$B:$E,4,0)=0,OR(H1086=MappingTables!$C$31,H1086=MappingTables!$C$32)),1,VLOOKUP(CONCATENATE($D1086,$G1086),CSRFinput!$B:$E,4,0)))</f>
        <v>0.054776304963434752</v>
      </c>
      <c r="S1086" s="73">
        <f>IF(B1086="",0,P1086*R1086)</f>
        <v>0.3424496850351242</v>
      </c>
      <c r="T1086" s="85">
        <f>IF(B1086="",0,IF(OR(H1086=MappingTables!$C$34,H1086=MappingTables!$C$35),S1086,0))</f>
        <v>0</v>
      </c>
    </row>
    <row r="1087" spans="2:20" s="0" customFormat="0" ht="15">
      <c r="B1087" s="69" t="s">
        <v>3594</v>
      </c>
      <c r="C1087" s="70" t="s">
        <v>3595</v>
      </c>
      <c r="D1087" s="70" t="s">
        <v>1</v>
      </c>
      <c r="E1087" s="70" t="s">
        <v>1</v>
      </c>
      <c r="F1087" s="70"/>
      <c r="G1087" s="70" t="s">
        <v>61</v>
      </c>
      <c r="H1087" s="70" t="s">
        <v>178</v>
      </c>
      <c r="I1087" s="70" t="s">
        <v>204</v>
      </c>
      <c r="J1087" s="71">
        <f>IF(OR(I1087=0,I1087=""),"unrated",VLOOKUP(I1087,MappingTables!$B$19:$C$31,2,FALSE))</f>
        <v>6</v>
      </c>
      <c r="K1087" s="72">
        <v>0.2514141655031364</v>
      </c>
      <c r="L1087" s="70">
        <v>0.068494743769074688</v>
      </c>
      <c r="M1087" s="71">
        <f>IF(L1087&lt;1,1,L1087)</f>
        <v>1</v>
      </c>
      <c r="N1087" s="70" t="s">
        <v>3288</v>
      </c>
      <c r="O1087" s="71">
        <f>IF(OR(I1087=$A$1,I1087=0),"",IF(N1087=MappingTables!$C$14,VLOOKUP(J1087,ModelParameters!$M$8:$N$15,2,FALSE),IF(N1087=MappingTables!$C$16,VLOOKUP(J1087,ModelParameters!$P$8:$Q$15,2,FALSE),0)))</f>
        <v>1</v>
      </c>
      <c r="P1087" s="73">
        <f>IF(OR(I1087=0,I1087=$A$1),0,MIN(O1087*M1087,1)*K1087)</f>
        <v>0.2514141655031364</v>
      </c>
      <c r="Q1087" s="73">
        <f>IF(B1087="",0,IF(OR(H1087=MappingTables!$C$34,H1087=MappingTables!$C$35),P1087,0))</f>
        <v>0</v>
      </c>
      <c r="R1087" s="73">
        <f>IF(ISNA(IF(AND(VLOOKUP(CONCATENATE($D1087,$G1087),CSRFinput!$B:$E,4,0)=0,OR(H1087=MappingTables!$C$31,H1087=MappingTables!$C$32)),1,VLOOKUP(CONCATENATE($D1087,$G1087),CSRFinput!$B:$E,4,0))),0,IF(AND(VLOOKUP(CONCATENATE($D1087,$G1087),CSRFinput!$B:$E,4,0)=0,OR(H1087=MappingTables!$C$31,H1087=MappingTables!$C$32)),1,VLOOKUP(CONCATENATE($D1087,$G1087),CSRFinput!$B:$E,4,0)))</f>
        <v>0.054776304963434752</v>
      </c>
      <c r="S1087" s="73">
        <f>IF(B1087="",0,P1087*R1087)</f>
        <v>0.013771539001727256</v>
      </c>
      <c r="T1087" s="85">
        <f>IF(B1087="",0,IF(OR(H1087=MappingTables!$C$34,H1087=MappingTables!$C$35),S1087,0))</f>
        <v>0</v>
      </c>
    </row>
    <row r="1088" spans="2:20" s="0" customFormat="0" ht="15">
      <c r="B1088" s="69">
        <v>826104</v>
      </c>
      <c r="C1088" s="70" t="s">
        <v>4702</v>
      </c>
      <c r="D1088" s="70" t="s">
        <v>1</v>
      </c>
      <c r="E1088" s="70" t="s">
        <v>1</v>
      </c>
      <c r="F1088" s="70"/>
      <c r="G1088" s="70" t="s">
        <v>61</v>
      </c>
      <c r="H1088" s="70" t="s">
        <v>178</v>
      </c>
      <c r="I1088" s="70" t="s">
        <v>181</v>
      </c>
      <c r="J1088" s="71">
        <f>IF(OR(I1088=0,I1088=""),"unrated",VLOOKUP(I1088,MappingTables!$B$19:$C$31,2,FALSE))</f>
        <v>3</v>
      </c>
      <c r="K1088" s="72">
        <v>74.650184526502288</v>
      </c>
      <c r="L1088" s="70">
        <v>0.062677219772345304</v>
      </c>
      <c r="M1088" s="71">
        <f>IF(L1088&lt;1,1,L1088)</f>
        <v>1</v>
      </c>
      <c r="N1088" s="70" t="s">
        <v>3288</v>
      </c>
      <c r="O1088" s="71">
        <f>IF(OR(I1088=$A$1,I1088=0),"",IF(N1088=MappingTables!$C$14,VLOOKUP(J1088,ModelParameters!$M$8:$N$15,2,FALSE),IF(N1088=MappingTables!$C$16,VLOOKUP(J1088,ModelParameters!$P$8:$Q$15,2,FALSE),0)))</f>
        <v>0.197</v>
      </c>
      <c r="P1088" s="73">
        <f>IF(OR(I1088=0,I1088=$A$1),0,MIN(O1088*M1088,1)*K1088)</f>
        <v>14.706086351720948</v>
      </c>
      <c r="Q1088" s="73">
        <f>IF(B1088="",0,IF(OR(H1088=MappingTables!$C$34,H1088=MappingTables!$C$35),P1088,0))</f>
        <v>0</v>
      </c>
      <c r="R1088" s="73">
        <f>IF(ISNA(IF(AND(VLOOKUP(CONCATENATE($D1088,$G1088),CSRFinput!$B:$E,4,0)=0,OR(H1088=MappingTables!$C$31,H1088=MappingTables!$C$32)),1,VLOOKUP(CONCATENATE($D1088,$G1088),CSRFinput!$B:$E,4,0))),0,IF(AND(VLOOKUP(CONCATENATE($D1088,$G1088),CSRFinput!$B:$E,4,0)=0,OR(H1088=MappingTables!$C$31,H1088=MappingTables!$C$32)),1,VLOOKUP(CONCATENATE($D1088,$G1088),CSRFinput!$B:$E,4,0)))</f>
        <v>0.054776304963434752</v>
      </c>
      <c r="S1088" s="73">
        <f>IF(B1088="",0,P1088*R1088)</f>
        <v>0.80554507082047216</v>
      </c>
      <c r="T1088" s="85">
        <f>IF(B1088="",0,IF(OR(H1088=MappingTables!$C$34,H1088=MappingTables!$C$35),S1088,0))</f>
        <v>0</v>
      </c>
    </row>
    <row r="1089" spans="2:20" s="0" customFormat="0" ht="15">
      <c r="B1089" s="69" t="s">
        <v>4644</v>
      </c>
      <c r="C1089" s="70" t="s">
        <v>4645</v>
      </c>
      <c r="D1089" s="70" t="s">
        <v>1</v>
      </c>
      <c r="E1089" s="70" t="s">
        <v>1</v>
      </c>
      <c r="F1089" s="70"/>
      <c r="G1089" s="70" t="s">
        <v>61</v>
      </c>
      <c r="H1089" s="70" t="s">
        <v>178</v>
      </c>
      <c r="I1089" s="70" t="s">
        <v>198</v>
      </c>
      <c r="J1089" s="71" t="str">
        <f>IF(OR(I1089=0,I1089=""),"unrated",VLOOKUP(I1089,MappingTables!$B$19:$C$31,2,FALSE))</f>
        <v>unrated</v>
      </c>
      <c r="K1089" s="72">
        <v>16877.898659233976</v>
      </c>
      <c r="L1089" s="70">
        <v>12.301593790445578</v>
      </c>
      <c r="M1089" s="71">
        <f>IF(L1089&lt;1,1,L1089)</f>
        <v>12.301593790445578</v>
      </c>
      <c r="N1089" s="70" t="s">
        <v>3288</v>
      </c>
      <c r="O1089" s="71">
        <f>IF(OR(I1089=$A$1,I1089=0),"",IF(N1089=MappingTables!$C$14,VLOOKUP(J1089,ModelParameters!$M$8:$N$15,2,FALSE),IF(N1089=MappingTables!$C$16,VLOOKUP(J1089,ModelParameters!$P$8:$Q$15,2,FALSE),0)))</f>
        <v>1</v>
      </c>
      <c r="P1089" s="73">
        <f>IF(OR(I1089=0,I1089=$A$1),0,MIN(O1089*M1089,1)*K1089)</f>
        <v>16877.898659233976</v>
      </c>
      <c r="Q1089" s="73">
        <f>IF(B1089="",0,IF(OR(H1089=MappingTables!$C$34,H1089=MappingTables!$C$35),P1089,0))</f>
        <v>0</v>
      </c>
      <c r="R1089" s="73">
        <f>IF(ISNA(IF(AND(VLOOKUP(CONCATENATE($D1089,$G1089),CSRFinput!$B:$E,4,0)=0,OR(H1089=MappingTables!$C$31,H1089=MappingTables!$C$32)),1,VLOOKUP(CONCATENATE($D1089,$G1089),CSRFinput!$B:$E,4,0))),0,IF(AND(VLOOKUP(CONCATENATE($D1089,$G1089),CSRFinput!$B:$E,4,0)=0,OR(H1089=MappingTables!$C$31,H1089=MappingTables!$C$32)),1,VLOOKUP(CONCATENATE($D1089,$G1089),CSRFinput!$B:$E,4,0)))</f>
        <v>0.054776304963434752</v>
      </c>
      <c r="S1089" s="73">
        <f>IF(B1089="",0,P1089*R1089)</f>
        <v>924.50892410014672</v>
      </c>
      <c r="T1089" s="85">
        <f>IF(B1089="",0,IF(OR(H1089=MappingTables!$C$34,H1089=MappingTables!$C$35),S1089,0))</f>
        <v>0</v>
      </c>
    </row>
    <row r="1090" spans="2:20" s="0" customFormat="0" ht="15">
      <c r="B1090" s="69" t="s">
        <v>4707</v>
      </c>
      <c r="C1090" s="70" t="s">
        <v>4708</v>
      </c>
      <c r="D1090" s="70" t="s">
        <v>1</v>
      </c>
      <c r="E1090" s="70" t="s">
        <v>1</v>
      </c>
      <c r="F1090" s="70"/>
      <c r="G1090" s="70" t="s">
        <v>61</v>
      </c>
      <c r="H1090" s="70" t="s">
        <v>178</v>
      </c>
      <c r="I1090" s="70" t="s">
        <v>198</v>
      </c>
      <c r="J1090" s="71" t="str">
        <f>IF(OR(I1090=0,I1090=""),"unrated",VLOOKUP(I1090,MappingTables!$B$19:$C$31,2,FALSE))</f>
        <v>unrated</v>
      </c>
      <c r="K1090" s="72">
        <v>291.47338044073808</v>
      </c>
      <c r="L1090" s="70">
        <v>35.511865340588484</v>
      </c>
      <c r="M1090" s="71">
        <f>IF(L1090&lt;1,1,L1090)</f>
        <v>35.511865340588484</v>
      </c>
      <c r="N1090" s="70" t="s">
        <v>3288</v>
      </c>
      <c r="O1090" s="71">
        <f>IF(OR(I1090=$A$1,I1090=0),"",IF(N1090=MappingTables!$C$14,VLOOKUP(J1090,ModelParameters!$M$8:$N$15,2,FALSE),IF(N1090=MappingTables!$C$16,VLOOKUP(J1090,ModelParameters!$P$8:$Q$15,2,FALSE),0)))</f>
        <v>1</v>
      </c>
      <c r="P1090" s="73">
        <f>IF(OR(I1090=0,I1090=$A$1),0,MIN(O1090*M1090,1)*K1090)</f>
        <v>291.47338044073808</v>
      </c>
      <c r="Q1090" s="73">
        <f>IF(B1090="",0,IF(OR(H1090=MappingTables!$C$34,H1090=MappingTables!$C$35),P1090,0))</f>
        <v>0</v>
      </c>
      <c r="R1090" s="73">
        <f>IF(ISNA(IF(AND(VLOOKUP(CONCATENATE($D1090,$G1090),CSRFinput!$B:$E,4,0)=0,OR(H1090=MappingTables!$C$31,H1090=MappingTables!$C$32)),1,VLOOKUP(CONCATENATE($D1090,$G1090),CSRFinput!$B:$E,4,0))),0,IF(AND(VLOOKUP(CONCATENATE($D1090,$G1090),CSRFinput!$B:$E,4,0)=0,OR(H1090=MappingTables!$C$31,H1090=MappingTables!$C$32)),1,VLOOKUP(CONCATENATE($D1090,$G1090),CSRFinput!$B:$E,4,0)))</f>
        <v>0.054776304963434752</v>
      </c>
      <c r="S1090" s="73">
        <f>IF(B1090="",0,P1090*R1090)</f>
        <v>15.965834775745108</v>
      </c>
      <c r="T1090" s="85">
        <f>IF(B1090="",0,IF(OR(H1090=MappingTables!$C$34,H1090=MappingTables!$C$35),S1090,0))</f>
        <v>0</v>
      </c>
    </row>
    <row r="1091" spans="2:20" s="0" customFormat="0" ht="15">
      <c r="B1091" s="69" t="s">
        <v>4709</v>
      </c>
      <c r="C1091" s="70" t="s">
        <v>4710</v>
      </c>
      <c r="D1091" s="70" t="s">
        <v>1</v>
      </c>
      <c r="E1091" s="70" t="s">
        <v>1</v>
      </c>
      <c r="F1091" s="70"/>
      <c r="G1091" s="70" t="s">
        <v>61</v>
      </c>
      <c r="H1091" s="70" t="s">
        <v>178</v>
      </c>
      <c r="I1091" s="70" t="s">
        <v>204</v>
      </c>
      <c r="J1091" s="71">
        <f>IF(OR(I1091=0,I1091=""),"unrated",VLOOKUP(I1091,MappingTables!$B$19:$C$31,2,FALSE))</f>
        <v>6</v>
      </c>
      <c r="K1091" s="72">
        <v>536.67070712635168</v>
      </c>
      <c r="L1091" s="70">
        <v>0.068493048765211576</v>
      </c>
      <c r="M1091" s="71">
        <f>IF(L1091&lt;1,1,L1091)</f>
        <v>1</v>
      </c>
      <c r="N1091" s="70" t="s">
        <v>3288</v>
      </c>
      <c r="O1091" s="71">
        <f>IF(OR(I1091=$A$1,I1091=0),"",IF(N1091=MappingTables!$C$14,VLOOKUP(J1091,ModelParameters!$M$8:$N$15,2,FALSE),IF(N1091=MappingTables!$C$16,VLOOKUP(J1091,ModelParameters!$P$8:$Q$15,2,FALSE),0)))</f>
        <v>1</v>
      </c>
      <c r="P1091" s="73">
        <f>IF(OR(I1091=0,I1091=$A$1),0,MIN(O1091*M1091,1)*K1091)</f>
        <v>536.67070712635168</v>
      </c>
      <c r="Q1091" s="73">
        <f>IF(B1091="",0,IF(OR(H1091=MappingTables!$C$34,H1091=MappingTables!$C$35),P1091,0))</f>
        <v>0</v>
      </c>
      <c r="R1091" s="73">
        <f>IF(ISNA(IF(AND(VLOOKUP(CONCATENATE($D1091,$G1091),CSRFinput!$B:$E,4,0)=0,OR(H1091=MappingTables!$C$31,H1091=MappingTables!$C$32)),1,VLOOKUP(CONCATENATE($D1091,$G1091),CSRFinput!$B:$E,4,0))),0,IF(AND(VLOOKUP(CONCATENATE($D1091,$G1091),CSRFinput!$B:$E,4,0)=0,OR(H1091=MappingTables!$C$31,H1091=MappingTables!$C$32)),1,VLOOKUP(CONCATENATE($D1091,$G1091),CSRFinput!$B:$E,4,0)))</f>
        <v>0.054776304963434752</v>
      </c>
      <c r="S1091" s="73">
        <f>IF(B1091="",0,P1091*R1091)</f>
        <v>29.396838318495216</v>
      </c>
      <c r="T1091" s="85">
        <f>IF(B1091="",0,IF(OR(H1091=MappingTables!$C$34,H1091=MappingTables!$C$35),S1091,0))</f>
        <v>0</v>
      </c>
    </row>
    <row r="1092" spans="2:20" s="0" customFormat="0" ht="15">
      <c r="B1092" s="69">
        <v>1105467</v>
      </c>
      <c r="C1092" s="70" t="s">
        <v>4711</v>
      </c>
      <c r="D1092" s="70" t="s">
        <v>1</v>
      </c>
      <c r="E1092" s="70" t="s">
        <v>1</v>
      </c>
      <c r="F1092" s="70"/>
      <c r="G1092" s="70" t="s">
        <v>61</v>
      </c>
      <c r="H1092" s="70" t="s">
        <v>178</v>
      </c>
      <c r="I1092" s="70" t="s">
        <v>184</v>
      </c>
      <c r="J1092" s="71">
        <f>IF(OR(I1092=0,I1092=""),"unrated",VLOOKUP(I1092,MappingTables!$B$19:$C$31,2,FALSE))</f>
        <v>5</v>
      </c>
      <c r="K1092" s="72">
        <v>145.33802266225782</v>
      </c>
      <c r="L1092" s="70">
        <v>0.07807818285699624</v>
      </c>
      <c r="M1092" s="71">
        <f>IF(L1092&lt;1,1,L1092)</f>
        <v>1</v>
      </c>
      <c r="N1092" s="70" t="s">
        <v>3288</v>
      </c>
      <c r="O1092" s="71">
        <f>IF(OR(I1092=$A$1,I1092=0),"",IF(N1092=MappingTables!$C$14,VLOOKUP(J1092,ModelParameters!$M$8:$N$15,2,FALSE),IF(N1092=MappingTables!$C$16,VLOOKUP(J1092,ModelParameters!$P$8:$Q$15,2,FALSE),0)))</f>
        <v>1</v>
      </c>
      <c r="P1092" s="73">
        <f>IF(OR(I1092=0,I1092=$A$1),0,MIN(O1092*M1092,1)*K1092)</f>
        <v>145.33802266225782</v>
      </c>
      <c r="Q1092" s="73">
        <f>IF(B1092="",0,IF(OR(H1092=MappingTables!$C$34,H1092=MappingTables!$C$35),P1092,0))</f>
        <v>0</v>
      </c>
      <c r="R1092" s="73">
        <f>IF(ISNA(IF(AND(VLOOKUP(CONCATENATE($D1092,$G1092),CSRFinput!$B:$E,4,0)=0,OR(H1092=MappingTables!$C$31,H1092=MappingTables!$C$32)),1,VLOOKUP(CONCATENATE($D1092,$G1092),CSRFinput!$B:$E,4,0))),0,IF(AND(VLOOKUP(CONCATENATE($D1092,$G1092),CSRFinput!$B:$E,4,0)=0,OR(H1092=MappingTables!$C$31,H1092=MappingTables!$C$32)),1,VLOOKUP(CONCATENATE($D1092,$G1092),CSRFinput!$B:$E,4,0)))</f>
        <v>0.054776304963434752</v>
      </c>
      <c r="S1092" s="73">
        <f>IF(B1092="",0,P1092*R1092)</f>
        <v>7.9610798521304272</v>
      </c>
      <c r="T1092" s="85">
        <f>IF(B1092="",0,IF(OR(H1092=MappingTables!$C$34,H1092=MappingTables!$C$35),S1092,0))</f>
        <v>0</v>
      </c>
    </row>
    <row r="1093" spans="2:20" s="0" customFormat="0" ht="15">
      <c r="B1093" s="69" t="s">
        <v>3835</v>
      </c>
      <c r="C1093" s="70" t="s">
        <v>3836</v>
      </c>
      <c r="D1093" s="70" t="s">
        <v>1</v>
      </c>
      <c r="E1093" s="70" t="s">
        <v>1</v>
      </c>
      <c r="F1093" s="70"/>
      <c r="G1093" s="70" t="s">
        <v>61</v>
      </c>
      <c r="H1093" s="70" t="s">
        <v>178</v>
      </c>
      <c r="I1093" s="70" t="s">
        <v>184</v>
      </c>
      <c r="J1093" s="71">
        <f>IF(OR(I1093=0,I1093=""),"unrated",VLOOKUP(I1093,MappingTables!$B$19:$C$31,2,FALSE))</f>
        <v>5</v>
      </c>
      <c r="K1093" s="72">
        <v>2.9110600385699244</v>
      </c>
      <c r="L1093" s="70">
        <v>0.068491891611440672</v>
      </c>
      <c r="M1093" s="71">
        <f>IF(L1093&lt;1,1,L1093)</f>
        <v>1</v>
      </c>
      <c r="N1093" s="70" t="s">
        <v>3288</v>
      </c>
      <c r="O1093" s="71">
        <f>IF(OR(I1093=$A$1,I1093=0),"",IF(N1093=MappingTables!$C$14,VLOOKUP(J1093,ModelParameters!$M$8:$N$15,2,FALSE),IF(N1093=MappingTables!$C$16,VLOOKUP(J1093,ModelParameters!$P$8:$Q$15,2,FALSE),0)))</f>
        <v>1</v>
      </c>
      <c r="P1093" s="73">
        <f>IF(OR(I1093=0,I1093=$A$1),0,MIN(O1093*M1093,1)*K1093)</f>
        <v>2.9110600385699244</v>
      </c>
      <c r="Q1093" s="73">
        <f>IF(B1093="",0,IF(OR(H1093=MappingTables!$C$34,H1093=MappingTables!$C$35),P1093,0))</f>
        <v>0</v>
      </c>
      <c r="R1093" s="73">
        <f>IF(ISNA(IF(AND(VLOOKUP(CONCATENATE($D1093,$G1093),CSRFinput!$B:$E,4,0)=0,OR(H1093=MappingTables!$C$31,H1093=MappingTables!$C$32)),1,VLOOKUP(CONCATENATE($D1093,$G1093),CSRFinput!$B:$E,4,0))),0,IF(AND(VLOOKUP(CONCATENATE($D1093,$G1093),CSRFinput!$B:$E,4,0)=0,OR(H1093=MappingTables!$C$31,H1093=MappingTables!$C$32)),1,VLOOKUP(CONCATENATE($D1093,$G1093),CSRFinput!$B:$E,4,0)))</f>
        <v>0.054776304963434752</v>
      </c>
      <c r="S1093" s="73">
        <f>IF(B1093="",0,P1093*R1093)</f>
        <v>0.15945711243957434</v>
      </c>
      <c r="T1093" s="85">
        <f>IF(B1093="",0,IF(OR(H1093=MappingTables!$C$34,H1093=MappingTables!$C$35),S1093,0))</f>
        <v>0</v>
      </c>
    </row>
    <row r="1094" spans="2:20" s="0" customFormat="0" ht="15">
      <c r="B1094" s="69" t="s">
        <v>4712</v>
      </c>
      <c r="C1094" s="70" t="s">
        <v>4713</v>
      </c>
      <c r="D1094" s="70" t="s">
        <v>1</v>
      </c>
      <c r="E1094" s="70" t="s">
        <v>1</v>
      </c>
      <c r="F1094" s="70"/>
      <c r="G1094" s="70" t="s">
        <v>61</v>
      </c>
      <c r="H1094" s="70" t="s">
        <v>178</v>
      </c>
      <c r="I1094" s="70" t="s">
        <v>220</v>
      </c>
      <c r="J1094" s="71">
        <f>IF(OR(I1094=0,I1094=""),"unrated",VLOOKUP(I1094,MappingTables!$B$19:$C$31,2,FALSE))</f>
        <v>1</v>
      </c>
      <c r="K1094" s="72">
        <v>4.959670743267216</v>
      </c>
      <c r="L1094" s="70">
        <v>0.068490277651853696</v>
      </c>
      <c r="M1094" s="71">
        <f>IF(L1094&lt;1,1,L1094)</f>
        <v>1</v>
      </c>
      <c r="N1094" s="70" t="s">
        <v>3288</v>
      </c>
      <c r="O1094" s="71">
        <f>IF(OR(I1094=$A$1,I1094=0),"",IF(N1094=MappingTables!$C$14,VLOOKUP(J1094,ModelParameters!$M$8:$N$15,2,FALSE),IF(N1094=MappingTables!$C$16,VLOOKUP(J1094,ModelParameters!$P$8:$Q$15,2,FALSE),0)))</f>
        <v>0.134</v>
      </c>
      <c r="P1094" s="73">
        <f>IF(OR(I1094=0,I1094=$A$1),0,MIN(O1094*M1094,1)*K1094)</f>
        <v>0.66459587959780696</v>
      </c>
      <c r="Q1094" s="73">
        <f>IF(B1094="",0,IF(OR(H1094=MappingTables!$C$34,H1094=MappingTables!$C$35),P1094,0))</f>
        <v>0</v>
      </c>
      <c r="R1094" s="73">
        <f>IF(ISNA(IF(AND(VLOOKUP(CONCATENATE($D1094,$G1094),CSRFinput!$B:$E,4,0)=0,OR(H1094=MappingTables!$C$31,H1094=MappingTables!$C$32)),1,VLOOKUP(CONCATENATE($D1094,$G1094),CSRFinput!$B:$E,4,0))),0,IF(AND(VLOOKUP(CONCATENATE($D1094,$G1094),CSRFinput!$B:$E,4,0)=0,OR(H1094=MappingTables!$C$31,H1094=MappingTables!$C$32)),1,VLOOKUP(CONCATENATE($D1094,$G1094),CSRFinput!$B:$E,4,0)))</f>
        <v>0.054776304963434752</v>
      </c>
      <c r="S1094" s="73">
        <f>IF(B1094="",0,P1094*R1094)</f>
        <v>0.03640410657829164</v>
      </c>
      <c r="T1094" s="85">
        <f>IF(B1094="",0,IF(OR(H1094=MappingTables!$C$34,H1094=MappingTables!$C$35),S1094,0))</f>
        <v>0</v>
      </c>
    </row>
    <row r="1095" spans="2:20" s="0" customFormat="0" ht="15">
      <c r="B1095" s="69" t="s">
        <v>4714</v>
      </c>
      <c r="C1095" s="70" t="s">
        <v>4715</v>
      </c>
      <c r="D1095" s="70" t="s">
        <v>1</v>
      </c>
      <c r="E1095" s="70" t="s">
        <v>1</v>
      </c>
      <c r="F1095" s="70"/>
      <c r="G1095" s="70" t="s">
        <v>61</v>
      </c>
      <c r="H1095" s="70" t="s">
        <v>178</v>
      </c>
      <c r="I1095" s="70" t="s">
        <v>198</v>
      </c>
      <c r="J1095" s="71" t="str">
        <f>IF(OR(I1095=0,I1095=""),"unrated",VLOOKUP(I1095,MappingTables!$B$19:$C$31,2,FALSE))</f>
        <v>unrated</v>
      </c>
      <c r="K1095" s="72">
        <v>5.2547438616428664</v>
      </c>
      <c r="L1095" s="70">
        <v>37.654876653701424</v>
      </c>
      <c r="M1095" s="71">
        <f>IF(L1095&lt;1,1,L1095)</f>
        <v>37.654876653701424</v>
      </c>
      <c r="N1095" s="70" t="s">
        <v>3288</v>
      </c>
      <c r="O1095" s="71">
        <f>IF(OR(I1095=$A$1,I1095=0),"",IF(N1095=MappingTables!$C$14,VLOOKUP(J1095,ModelParameters!$M$8:$N$15,2,FALSE),IF(N1095=MappingTables!$C$16,VLOOKUP(J1095,ModelParameters!$P$8:$Q$15,2,FALSE),0)))</f>
        <v>1</v>
      </c>
      <c r="P1095" s="73">
        <f>IF(OR(I1095=0,I1095=$A$1),0,MIN(O1095*M1095,1)*K1095)</f>
        <v>5.2547438616428664</v>
      </c>
      <c r="Q1095" s="73">
        <f>IF(B1095="",0,IF(OR(H1095=MappingTables!$C$34,H1095=MappingTables!$C$35),P1095,0))</f>
        <v>0</v>
      </c>
      <c r="R1095" s="73">
        <f>IF(ISNA(IF(AND(VLOOKUP(CONCATENATE($D1095,$G1095),CSRFinput!$B:$E,4,0)=0,OR(H1095=MappingTables!$C$31,H1095=MappingTables!$C$32)),1,VLOOKUP(CONCATENATE($D1095,$G1095),CSRFinput!$B:$E,4,0))),0,IF(AND(VLOOKUP(CONCATENATE($D1095,$G1095),CSRFinput!$B:$E,4,0)=0,OR(H1095=MappingTables!$C$31,H1095=MappingTables!$C$32)),1,VLOOKUP(CONCATENATE($D1095,$G1095),CSRFinput!$B:$E,4,0)))</f>
        <v>0.054776304963434752</v>
      </c>
      <c r="S1095" s="73">
        <f>IF(B1095="",0,P1095*R1095)</f>
        <v>0.28783545227008644</v>
      </c>
      <c r="T1095" s="85">
        <f>IF(B1095="",0,IF(OR(H1095=MappingTables!$C$34,H1095=MappingTables!$C$35),S1095,0))</f>
        <v>0</v>
      </c>
    </row>
    <row r="1096" spans="2:20" s="0" customFormat="0" ht="15">
      <c r="B1096" s="69" t="s">
        <v>4689</v>
      </c>
      <c r="C1096" s="70" t="s">
        <v>4690</v>
      </c>
      <c r="D1096" s="70" t="s">
        <v>1</v>
      </c>
      <c r="E1096" s="70" t="s">
        <v>1</v>
      </c>
      <c r="F1096" s="70"/>
      <c r="G1096" s="70" t="s">
        <v>61</v>
      </c>
      <c r="H1096" s="70" t="s">
        <v>178</v>
      </c>
      <c r="I1096" s="70" t="s">
        <v>3298</v>
      </c>
      <c r="J1096" s="71">
        <f>IF(OR(I1096=0,I1096=""),"unrated",VLOOKUP(I1096,MappingTables!$B$19:$C$31,2,FALSE))</f>
        <v>6</v>
      </c>
      <c r="K1096" s="72">
        <v>133.20798149936814</v>
      </c>
      <c r="L1096" s="70">
        <v>0.06849153492881228</v>
      </c>
      <c r="M1096" s="71">
        <f>IF(L1096&lt;1,1,L1096)</f>
        <v>1</v>
      </c>
      <c r="N1096" s="70" t="s">
        <v>3288</v>
      </c>
      <c r="O1096" s="71">
        <f>IF(OR(I1096=$A$1,I1096=0),"",IF(N1096=MappingTables!$C$14,VLOOKUP(J1096,ModelParameters!$M$8:$N$15,2,FALSE),IF(N1096=MappingTables!$C$16,VLOOKUP(J1096,ModelParameters!$P$8:$Q$15,2,FALSE),0)))</f>
        <v>1</v>
      </c>
      <c r="P1096" s="73">
        <f>IF(OR(I1096=0,I1096=$A$1),0,MIN(O1096*M1096,1)*K1096)</f>
        <v>133.20798149936814</v>
      </c>
      <c r="Q1096" s="73">
        <f>IF(B1096="",0,IF(OR(H1096=MappingTables!$C$34,H1096=MappingTables!$C$35),P1096,0))</f>
        <v>0</v>
      </c>
      <c r="R1096" s="73">
        <f>IF(ISNA(IF(AND(VLOOKUP(CONCATENATE($D1096,$G1096),CSRFinput!$B:$E,4,0)=0,OR(H1096=MappingTables!$C$31,H1096=MappingTables!$C$32)),1,VLOOKUP(CONCATENATE($D1096,$G1096),CSRFinput!$B:$E,4,0))),0,IF(AND(VLOOKUP(CONCATENATE($D1096,$G1096),CSRFinput!$B:$E,4,0)=0,OR(H1096=MappingTables!$C$31,H1096=MappingTables!$C$32)),1,VLOOKUP(CONCATENATE($D1096,$G1096),CSRFinput!$B:$E,4,0)))</f>
        <v>0.054776304963434752</v>
      </c>
      <c r="S1096" s="73">
        <f>IF(B1096="",0,P1096*R1096)</f>
        <v>7.2966410181729632</v>
      </c>
      <c r="T1096" s="85">
        <f>IF(B1096="",0,IF(OR(H1096=MappingTables!$C$34,H1096=MappingTables!$C$35),S1096,0))</f>
        <v>0</v>
      </c>
    </row>
    <row r="1097" spans="2:20" s="0" customFormat="0" ht="15">
      <c r="B1097" s="69" t="s">
        <v>4716</v>
      </c>
      <c r="C1097" s="70" t="s">
        <v>4717</v>
      </c>
      <c r="D1097" s="70" t="s">
        <v>1</v>
      </c>
      <c r="E1097" s="70" t="s">
        <v>1</v>
      </c>
      <c r="F1097" s="70"/>
      <c r="G1097" s="70" t="s">
        <v>61</v>
      </c>
      <c r="H1097" s="70" t="s">
        <v>178</v>
      </c>
      <c r="I1097" s="70" t="s">
        <v>3298</v>
      </c>
      <c r="J1097" s="71">
        <f>IF(OR(I1097=0,I1097=""),"unrated",VLOOKUP(I1097,MappingTables!$B$19:$C$31,2,FALSE))</f>
        <v>6</v>
      </c>
      <c r="K1097" s="72">
        <v>69.798494405570168</v>
      </c>
      <c r="L1097" s="70">
        <v>0.068926395149535104</v>
      </c>
      <c r="M1097" s="71">
        <f>IF(L1097&lt;1,1,L1097)</f>
        <v>1</v>
      </c>
      <c r="N1097" s="70" t="s">
        <v>3288</v>
      </c>
      <c r="O1097" s="71">
        <f>IF(OR(I1097=$A$1,I1097=0),"",IF(N1097=MappingTables!$C$14,VLOOKUP(J1097,ModelParameters!$M$8:$N$15,2,FALSE),IF(N1097=MappingTables!$C$16,VLOOKUP(J1097,ModelParameters!$P$8:$Q$15,2,FALSE),0)))</f>
        <v>1</v>
      </c>
      <c r="P1097" s="73">
        <f>IF(OR(I1097=0,I1097=$A$1),0,MIN(O1097*M1097,1)*K1097)</f>
        <v>69.798494405570168</v>
      </c>
      <c r="Q1097" s="73">
        <f>IF(B1097="",0,IF(OR(H1097=MappingTables!$C$34,H1097=MappingTables!$C$35),P1097,0))</f>
        <v>0</v>
      </c>
      <c r="R1097" s="73">
        <f>IF(ISNA(IF(AND(VLOOKUP(CONCATENATE($D1097,$G1097),CSRFinput!$B:$E,4,0)=0,OR(H1097=MappingTables!$C$31,H1097=MappingTables!$C$32)),1,VLOOKUP(CONCATENATE($D1097,$G1097),CSRFinput!$B:$E,4,0))),0,IF(AND(VLOOKUP(CONCATENATE($D1097,$G1097),CSRFinput!$B:$E,4,0)=0,OR(H1097=MappingTables!$C$31,H1097=MappingTables!$C$32)),1,VLOOKUP(CONCATENATE($D1097,$G1097),CSRFinput!$B:$E,4,0)))</f>
        <v>0.054776304963434752</v>
      </c>
      <c r="S1097" s="73">
        <f>IF(B1097="",0,P1097*R1097)</f>
        <v>3.8233036155481056</v>
      </c>
      <c r="T1097" s="85">
        <f>IF(B1097="",0,IF(OR(H1097=MappingTables!$C$34,H1097=MappingTables!$C$35),S1097,0))</f>
        <v>0</v>
      </c>
    </row>
    <row r="1098" spans="2:20" s="0" customFormat="0" ht="15">
      <c r="B1098" s="69" t="s">
        <v>3530</v>
      </c>
      <c r="C1098" s="70" t="s">
        <v>3531</v>
      </c>
      <c r="D1098" s="70" t="s">
        <v>1</v>
      </c>
      <c r="E1098" s="70" t="s">
        <v>1</v>
      </c>
      <c r="F1098" s="70"/>
      <c r="G1098" s="70" t="s">
        <v>61</v>
      </c>
      <c r="H1098" s="70" t="s">
        <v>178</v>
      </c>
      <c r="I1098" s="70" t="s">
        <v>3298</v>
      </c>
      <c r="J1098" s="71">
        <f>IF(OR(I1098=0,I1098=""),"unrated",VLOOKUP(I1098,MappingTables!$B$19:$C$31,2,FALSE))</f>
        <v>6</v>
      </c>
      <c r="K1098" s="72">
        <v>9438.5370831405648</v>
      </c>
      <c r="L1098" s="70">
        <v>0.068490485098557152</v>
      </c>
      <c r="M1098" s="71">
        <f>IF(L1098&lt;1,1,L1098)</f>
        <v>1</v>
      </c>
      <c r="N1098" s="70" t="s">
        <v>3288</v>
      </c>
      <c r="O1098" s="71">
        <f>IF(OR(I1098=$A$1,I1098=0),"",IF(N1098=MappingTables!$C$14,VLOOKUP(J1098,ModelParameters!$M$8:$N$15,2,FALSE),IF(N1098=MappingTables!$C$16,VLOOKUP(J1098,ModelParameters!$P$8:$Q$15,2,FALSE),0)))</f>
        <v>1</v>
      </c>
      <c r="P1098" s="73">
        <f>IF(OR(I1098=0,I1098=$A$1),0,MIN(O1098*M1098,1)*K1098)</f>
        <v>9438.5370831405648</v>
      </c>
      <c r="Q1098" s="73">
        <f>IF(B1098="",0,IF(OR(H1098=MappingTables!$C$34,H1098=MappingTables!$C$35),P1098,0))</f>
        <v>0</v>
      </c>
      <c r="R1098" s="73">
        <f>IF(ISNA(IF(AND(VLOOKUP(CONCATENATE($D1098,$G1098),CSRFinput!$B:$E,4,0)=0,OR(H1098=MappingTables!$C$31,H1098=MappingTables!$C$32)),1,VLOOKUP(CONCATENATE($D1098,$G1098),CSRFinput!$B:$E,4,0))),0,IF(AND(VLOOKUP(CONCATENATE($D1098,$G1098),CSRFinput!$B:$E,4,0)=0,OR(H1098=MappingTables!$C$31,H1098=MappingTables!$C$32)),1,VLOOKUP(CONCATENATE($D1098,$G1098),CSRFinput!$B:$E,4,0)))</f>
        <v>0.054776304963434752</v>
      </c>
      <c r="S1098" s="73">
        <f>IF(B1098="",0,P1098*R1098)</f>
        <v>517.00818567479552</v>
      </c>
      <c r="T1098" s="85">
        <f>IF(B1098="",0,IF(OR(H1098=MappingTables!$C$34,H1098=MappingTables!$C$35),S1098,0))</f>
        <v>0</v>
      </c>
    </row>
    <row r="1099" spans="2:20" s="0" customFormat="0" ht="15">
      <c r="B1099" s="69" t="s">
        <v>4718</v>
      </c>
      <c r="C1099" s="70" t="s">
        <v>4719</v>
      </c>
      <c r="D1099" s="70" t="s">
        <v>1</v>
      </c>
      <c r="E1099" s="70" t="s">
        <v>1</v>
      </c>
      <c r="F1099" s="70"/>
      <c r="G1099" s="70" t="s">
        <v>61</v>
      </c>
      <c r="H1099" s="70" t="s">
        <v>178</v>
      </c>
      <c r="I1099" s="70" t="s">
        <v>204</v>
      </c>
      <c r="J1099" s="71">
        <f>IF(OR(I1099=0,I1099=""),"unrated",VLOOKUP(I1099,MappingTables!$B$19:$C$31,2,FALSE))</f>
        <v>6</v>
      </c>
      <c r="K1099" s="72">
        <v>209.62151951968984</v>
      </c>
      <c r="L1099" s="70">
        <v>0.068492805826252832</v>
      </c>
      <c r="M1099" s="71">
        <f>IF(L1099&lt;1,1,L1099)</f>
        <v>1</v>
      </c>
      <c r="N1099" s="70" t="s">
        <v>3288</v>
      </c>
      <c r="O1099" s="71">
        <f>IF(OR(I1099=$A$1,I1099=0),"",IF(N1099=MappingTables!$C$14,VLOOKUP(J1099,ModelParameters!$M$8:$N$15,2,FALSE),IF(N1099=MappingTables!$C$16,VLOOKUP(J1099,ModelParameters!$P$8:$Q$15,2,FALSE),0)))</f>
        <v>1</v>
      </c>
      <c r="P1099" s="73">
        <f>IF(OR(I1099=0,I1099=$A$1),0,MIN(O1099*M1099,1)*K1099)</f>
        <v>209.62151951968984</v>
      </c>
      <c r="Q1099" s="73">
        <f>IF(B1099="",0,IF(OR(H1099=MappingTables!$C$34,H1099=MappingTables!$C$35),P1099,0))</f>
        <v>0</v>
      </c>
      <c r="R1099" s="73">
        <f>IF(ISNA(IF(AND(VLOOKUP(CONCATENATE($D1099,$G1099),CSRFinput!$B:$E,4,0)=0,OR(H1099=MappingTables!$C$31,H1099=MappingTables!$C$32)),1,VLOOKUP(CONCATENATE($D1099,$G1099),CSRFinput!$B:$E,4,0))),0,IF(AND(VLOOKUP(CONCATENATE($D1099,$G1099),CSRFinput!$B:$E,4,0)=0,OR(H1099=MappingTables!$C$31,H1099=MappingTables!$C$32)),1,VLOOKUP(CONCATENATE($D1099,$G1099),CSRFinput!$B:$E,4,0)))</f>
        <v>0.054776304963434752</v>
      </c>
      <c r="S1099" s="73">
        <f>IF(B1099="",0,P1099*R1099)</f>
        <v>11.482292280109122</v>
      </c>
      <c r="T1099" s="85">
        <f>IF(B1099="",0,IF(OR(H1099=MappingTables!$C$34,H1099=MappingTables!$C$35),S1099,0))</f>
        <v>0</v>
      </c>
    </row>
    <row r="1100" spans="2:20" s="0" customFormat="0" ht="15">
      <c r="B1100" s="69">
        <v>22554274</v>
      </c>
      <c r="C1100" s="70" t="s">
        <v>4720</v>
      </c>
      <c r="D1100" s="70" t="s">
        <v>1</v>
      </c>
      <c r="E1100" s="70" t="s">
        <v>1</v>
      </c>
      <c r="F1100" s="70"/>
      <c r="G1100" s="70" t="s">
        <v>61</v>
      </c>
      <c r="H1100" s="70" t="s">
        <v>178</v>
      </c>
      <c r="I1100" s="70" t="s">
        <v>216</v>
      </c>
      <c r="J1100" s="71">
        <f>IF(OR(I1100=0,I1100=""),"unrated",VLOOKUP(I1100,MappingTables!$B$19:$C$31,2,FALSE))</f>
        <v>0</v>
      </c>
      <c r="K1100" s="72">
        <v>4.339651680565816</v>
      </c>
      <c r="L1100" s="70">
        <v>0.063289202591122376</v>
      </c>
      <c r="M1100" s="71">
        <f>IF(L1100&lt;1,1,L1100)</f>
        <v>1</v>
      </c>
      <c r="N1100" s="70" t="s">
        <v>3288</v>
      </c>
      <c r="O1100" s="71">
        <f>IF(OR(I1100=$A$1,I1100=0),"",IF(N1100=MappingTables!$C$14,VLOOKUP(J1100,ModelParameters!$M$8:$N$15,2,FALSE),IF(N1100=MappingTables!$C$16,VLOOKUP(J1100,ModelParameters!$P$8:$Q$15,2,FALSE),0)))</f>
        <v>0.125</v>
      </c>
      <c r="P1100" s="73">
        <f>IF(OR(I1100=0,I1100=$A$1),0,MIN(O1100*M1100,1)*K1100)</f>
        <v>0.54245646007072704</v>
      </c>
      <c r="Q1100" s="73">
        <f>IF(B1100="",0,IF(OR(H1100=MappingTables!$C$34,H1100=MappingTables!$C$35),P1100,0))</f>
        <v>0</v>
      </c>
      <c r="R1100" s="73">
        <f>IF(ISNA(IF(AND(VLOOKUP(CONCATENATE($D1100,$G1100),CSRFinput!$B:$E,4,0)=0,OR(H1100=MappingTables!$C$31,H1100=MappingTables!$C$32)),1,VLOOKUP(CONCATENATE($D1100,$G1100),CSRFinput!$B:$E,4,0))),0,IF(AND(VLOOKUP(CONCATENATE($D1100,$G1100),CSRFinput!$B:$E,4,0)=0,OR(H1100=MappingTables!$C$31,H1100=MappingTables!$C$32)),1,VLOOKUP(CONCATENATE($D1100,$G1100),CSRFinput!$B:$E,4,0)))</f>
        <v>0.054776304963434752</v>
      </c>
      <c r="S1100" s="73">
        <f>IF(B1100="",0,P1100*R1100)</f>
        <v>0.029713760486219412</v>
      </c>
      <c r="T1100" s="85">
        <f>IF(B1100="",0,IF(OR(H1100=MappingTables!$C$34,H1100=MappingTables!$C$35),S1100,0))</f>
        <v>0</v>
      </c>
    </row>
    <row r="1101" spans="2:20" s="0" customFormat="0" ht="15">
      <c r="B1101" s="69" t="s">
        <v>3469</v>
      </c>
      <c r="C1101" s="70" t="s">
        <v>3470</v>
      </c>
      <c r="D1101" s="70" t="s">
        <v>1</v>
      </c>
      <c r="E1101" s="70" t="s">
        <v>1</v>
      </c>
      <c r="F1101" s="70"/>
      <c r="G1101" s="70" t="s">
        <v>61</v>
      </c>
      <c r="H1101" s="70" t="s">
        <v>178</v>
      </c>
      <c r="I1101" s="70" t="s">
        <v>216</v>
      </c>
      <c r="J1101" s="71">
        <f>IF(OR(I1101=0,I1101=""),"unrated",VLOOKUP(I1101,MappingTables!$B$19:$C$31,2,FALSE))</f>
        <v>0</v>
      </c>
      <c r="K1101" s="72">
        <v>308.99661369174116</v>
      </c>
      <c r="L1101" s="70">
        <v>0.068492510156315312</v>
      </c>
      <c r="M1101" s="71">
        <f>IF(L1101&lt;1,1,L1101)</f>
        <v>1</v>
      </c>
      <c r="N1101" s="70" t="s">
        <v>3288</v>
      </c>
      <c r="O1101" s="71">
        <f>IF(OR(I1101=$A$1,I1101=0),"",IF(N1101=MappingTables!$C$14,VLOOKUP(J1101,ModelParameters!$M$8:$N$15,2,FALSE),IF(N1101=MappingTables!$C$16,VLOOKUP(J1101,ModelParameters!$P$8:$Q$15,2,FALSE),0)))</f>
        <v>0.125</v>
      </c>
      <c r="P1101" s="73">
        <f>IF(OR(I1101=0,I1101=$A$1),0,MIN(O1101*M1101,1)*K1101)</f>
        <v>38.624576711467648</v>
      </c>
      <c r="Q1101" s="73">
        <f>IF(B1101="",0,IF(OR(H1101=MappingTables!$C$34,H1101=MappingTables!$C$35),P1101,0))</f>
        <v>0</v>
      </c>
      <c r="R1101" s="73">
        <f>IF(ISNA(IF(AND(VLOOKUP(CONCATENATE($D1101,$G1101),CSRFinput!$B:$E,4,0)=0,OR(H1101=MappingTables!$C$31,H1101=MappingTables!$C$32)),1,VLOOKUP(CONCATENATE($D1101,$G1101),CSRFinput!$B:$E,4,0))),0,IF(AND(VLOOKUP(CONCATENATE($D1101,$G1101),CSRFinput!$B:$E,4,0)=0,OR(H1101=MappingTables!$C$31,H1101=MappingTables!$C$32)),1,VLOOKUP(CONCATENATE($D1101,$G1101),CSRFinput!$B:$E,4,0)))</f>
        <v>0.054776304963434752</v>
      </c>
      <c r="S1101" s="73">
        <f>IF(B1101="",0,P1101*R1101)</f>
        <v>2.1157115930309316</v>
      </c>
      <c r="T1101" s="85">
        <f>IF(B1101="",0,IF(OR(H1101=MappingTables!$C$34,H1101=MappingTables!$C$35),S1101,0))</f>
        <v>0</v>
      </c>
    </row>
    <row r="1102" spans="2:20" s="0" customFormat="0" ht="15">
      <c r="B1102" s="69" t="s">
        <v>4271</v>
      </c>
      <c r="C1102" s="70" t="s">
        <v>4272</v>
      </c>
      <c r="D1102" s="70" t="s">
        <v>1</v>
      </c>
      <c r="E1102" s="70" t="s">
        <v>1</v>
      </c>
      <c r="F1102" s="70"/>
      <c r="G1102" s="70" t="s">
        <v>61</v>
      </c>
      <c r="H1102" s="70" t="s">
        <v>178</v>
      </c>
      <c r="I1102" s="70" t="s">
        <v>198</v>
      </c>
      <c r="J1102" s="71" t="str">
        <f>IF(OR(I1102=0,I1102=""),"unrated",VLOOKUP(I1102,MappingTables!$B$19:$C$31,2,FALSE))</f>
        <v>unrated</v>
      </c>
      <c r="K1102" s="72">
        <v>1.0184924093840102</v>
      </c>
      <c r="L1102" s="70">
        <v>32.799393510224916</v>
      </c>
      <c r="M1102" s="71">
        <f>IF(L1102&lt;1,1,L1102)</f>
        <v>32.799393510224916</v>
      </c>
      <c r="N1102" s="70" t="s">
        <v>3288</v>
      </c>
      <c r="O1102" s="71">
        <f>IF(OR(I1102=$A$1,I1102=0),"",IF(N1102=MappingTables!$C$14,VLOOKUP(J1102,ModelParameters!$M$8:$N$15,2,FALSE),IF(N1102=MappingTables!$C$16,VLOOKUP(J1102,ModelParameters!$P$8:$Q$15,2,FALSE),0)))</f>
        <v>1</v>
      </c>
      <c r="P1102" s="73">
        <f>IF(OR(I1102=0,I1102=$A$1),0,MIN(O1102*M1102,1)*K1102)</f>
        <v>1.0184924093840102</v>
      </c>
      <c r="Q1102" s="73">
        <f>IF(B1102="",0,IF(OR(H1102=MappingTables!$C$34,H1102=MappingTables!$C$35),P1102,0))</f>
        <v>0</v>
      </c>
      <c r="R1102" s="73">
        <f>IF(ISNA(IF(AND(VLOOKUP(CONCATENATE($D1102,$G1102),CSRFinput!$B:$E,4,0)=0,OR(H1102=MappingTables!$C$31,H1102=MappingTables!$C$32)),1,VLOOKUP(CONCATENATE($D1102,$G1102),CSRFinput!$B:$E,4,0))),0,IF(AND(VLOOKUP(CONCATENATE($D1102,$G1102),CSRFinput!$B:$E,4,0)=0,OR(H1102=MappingTables!$C$31,H1102=MappingTables!$C$32)),1,VLOOKUP(CONCATENATE($D1102,$G1102),CSRFinput!$B:$E,4,0)))</f>
        <v>0.054776304963434752</v>
      </c>
      <c r="S1102" s="73">
        <f>IF(B1102="",0,P1102*R1102)</f>
        <v>0.055789250819361976</v>
      </c>
      <c r="T1102" s="85">
        <f>IF(B1102="",0,IF(OR(H1102=MappingTables!$C$34,H1102=MappingTables!$C$35),S1102,0))</f>
        <v>0</v>
      </c>
    </row>
    <row r="1103" spans="2:20" s="0" customFormat="0" ht="15">
      <c r="B1103" s="69" t="s">
        <v>4445</v>
      </c>
      <c r="C1103" s="70" t="s">
        <v>4446</v>
      </c>
      <c r="D1103" s="70" t="s">
        <v>1</v>
      </c>
      <c r="E1103" s="70" t="s">
        <v>1</v>
      </c>
      <c r="F1103" s="70"/>
      <c r="G1103" s="70" t="s">
        <v>61</v>
      </c>
      <c r="H1103" s="70" t="s">
        <v>178</v>
      </c>
      <c r="I1103" s="70" t="s">
        <v>198</v>
      </c>
      <c r="J1103" s="71" t="str">
        <f>IF(OR(I1103=0,I1103=""),"unrated",VLOOKUP(I1103,MappingTables!$B$19:$C$31,2,FALSE))</f>
        <v>unrated</v>
      </c>
      <c r="K1103" s="72">
        <v>17.92077205646176</v>
      </c>
      <c r="L1103" s="70">
        <v>16.482177841117</v>
      </c>
      <c r="M1103" s="71">
        <f>IF(L1103&lt;1,1,L1103)</f>
        <v>16.482177841117</v>
      </c>
      <c r="N1103" s="70" t="s">
        <v>3288</v>
      </c>
      <c r="O1103" s="71">
        <f>IF(OR(I1103=$A$1,I1103=0),"",IF(N1103=MappingTables!$C$14,VLOOKUP(J1103,ModelParameters!$M$8:$N$15,2,FALSE),IF(N1103=MappingTables!$C$16,VLOOKUP(J1103,ModelParameters!$P$8:$Q$15,2,FALSE),0)))</f>
        <v>1</v>
      </c>
      <c r="P1103" s="73">
        <f>IF(OR(I1103=0,I1103=$A$1),0,MIN(O1103*M1103,1)*K1103)</f>
        <v>17.92077205646176</v>
      </c>
      <c r="Q1103" s="73">
        <f>IF(B1103="",0,IF(OR(H1103=MappingTables!$C$34,H1103=MappingTables!$C$35),P1103,0))</f>
        <v>0</v>
      </c>
      <c r="R1103" s="73">
        <f>IF(ISNA(IF(AND(VLOOKUP(CONCATENATE($D1103,$G1103),CSRFinput!$B:$E,4,0)=0,OR(H1103=MappingTables!$C$31,H1103=MappingTables!$C$32)),1,VLOOKUP(CONCATENATE($D1103,$G1103),CSRFinput!$B:$E,4,0))),0,IF(AND(VLOOKUP(CONCATENATE($D1103,$G1103),CSRFinput!$B:$E,4,0)=0,OR(H1103=MappingTables!$C$31,H1103=MappingTables!$C$32)),1,VLOOKUP(CONCATENATE($D1103,$G1103),CSRFinput!$B:$E,4,0)))</f>
        <v>0.054776304963434752</v>
      </c>
      <c r="S1103" s="73">
        <f>IF(B1103="",0,P1103*R1103)</f>
        <v>0.98163367534494912</v>
      </c>
      <c r="T1103" s="85">
        <f>IF(B1103="",0,IF(OR(H1103=MappingTables!$C$34,H1103=MappingTables!$C$35),S1103,0))</f>
        <v>0</v>
      </c>
    </row>
    <row r="1104" spans="2:20" s="0" customFormat="0" ht="15">
      <c r="B1104" s="69">
        <v>19567725</v>
      </c>
      <c r="C1104" s="70" t="s">
        <v>4721</v>
      </c>
      <c r="D1104" s="70" t="s">
        <v>1</v>
      </c>
      <c r="E1104" s="70" t="s">
        <v>1</v>
      </c>
      <c r="F1104" s="70"/>
      <c r="G1104" s="70" t="s">
        <v>61</v>
      </c>
      <c r="H1104" s="70" t="s">
        <v>178</v>
      </c>
      <c r="I1104" s="70" t="s">
        <v>216</v>
      </c>
      <c r="J1104" s="71">
        <f>IF(OR(I1104=0,I1104=""),"unrated",VLOOKUP(I1104,MappingTables!$B$19:$C$31,2,FALSE))</f>
        <v>0</v>
      </c>
      <c r="K1104" s="72">
        <v>1144.7108776787398</v>
      </c>
      <c r="L1104" s="70">
        <v>0.022563734548774824</v>
      </c>
      <c r="M1104" s="71">
        <f>IF(L1104&lt;1,1,L1104)</f>
        <v>1</v>
      </c>
      <c r="N1104" s="70" t="s">
        <v>3288</v>
      </c>
      <c r="O1104" s="71">
        <f>IF(OR(I1104=$A$1,I1104=0),"",IF(N1104=MappingTables!$C$14,VLOOKUP(J1104,ModelParameters!$M$8:$N$15,2,FALSE),IF(N1104=MappingTables!$C$16,VLOOKUP(J1104,ModelParameters!$P$8:$Q$15,2,FALSE),0)))</f>
        <v>0.125</v>
      </c>
      <c r="P1104" s="73">
        <f>IF(OR(I1104=0,I1104=$A$1),0,MIN(O1104*M1104,1)*K1104)</f>
        <v>143.08885970984246</v>
      </c>
      <c r="Q1104" s="73">
        <f>IF(B1104="",0,IF(OR(H1104=MappingTables!$C$34,H1104=MappingTables!$C$35),P1104,0))</f>
        <v>0</v>
      </c>
      <c r="R1104" s="73">
        <f>IF(ISNA(IF(AND(VLOOKUP(CONCATENATE($D1104,$G1104),CSRFinput!$B:$E,4,0)=0,OR(H1104=MappingTables!$C$31,H1104=MappingTables!$C$32)),1,VLOOKUP(CONCATENATE($D1104,$G1104),CSRFinput!$B:$E,4,0))),0,IF(AND(VLOOKUP(CONCATENATE($D1104,$G1104),CSRFinput!$B:$E,4,0)=0,OR(H1104=MappingTables!$C$31,H1104=MappingTables!$C$32)),1,VLOOKUP(CONCATENATE($D1104,$G1104),CSRFinput!$B:$E,4,0)))</f>
        <v>0.054776304963434752</v>
      </c>
      <c r="S1104" s="73">
        <f>IF(B1104="",0,P1104*R1104)</f>
        <v>7.8378790163364624</v>
      </c>
      <c r="T1104" s="85">
        <f>IF(B1104="",0,IF(OR(H1104=MappingTables!$C$34,H1104=MappingTables!$C$35),S1104,0))</f>
        <v>0</v>
      </c>
    </row>
    <row r="1105" spans="2:20" s="0" customFormat="0" ht="15">
      <c r="B1105" s="69" t="s">
        <v>4198</v>
      </c>
      <c r="C1105" s="70" t="s">
        <v>4199</v>
      </c>
      <c r="D1105" s="70" t="s">
        <v>1</v>
      </c>
      <c r="E1105" s="70" t="s">
        <v>1</v>
      </c>
      <c r="F1105" s="70"/>
      <c r="G1105" s="70" t="s">
        <v>61</v>
      </c>
      <c r="H1105" s="70" t="s">
        <v>178</v>
      </c>
      <c r="I1105" s="70" t="s">
        <v>181</v>
      </c>
      <c r="J1105" s="71">
        <f>IF(OR(I1105=0,I1105=""),"unrated",VLOOKUP(I1105,MappingTables!$B$19:$C$31,2,FALSE))</f>
        <v>3</v>
      </c>
      <c r="K1105" s="72">
        <v>23.279374863688524</v>
      </c>
      <c r="L1105" s="70">
        <v>0.06849255861436784</v>
      </c>
      <c r="M1105" s="71">
        <f>IF(L1105&lt;1,1,L1105)</f>
        <v>1</v>
      </c>
      <c r="N1105" s="70" t="s">
        <v>3288</v>
      </c>
      <c r="O1105" s="71">
        <f>IF(OR(I1105=$A$1,I1105=0),"",IF(N1105=MappingTables!$C$14,VLOOKUP(J1105,ModelParameters!$M$8:$N$15,2,FALSE),IF(N1105=MappingTables!$C$16,VLOOKUP(J1105,ModelParameters!$P$8:$Q$15,2,FALSE),0)))</f>
        <v>0.197</v>
      </c>
      <c r="P1105" s="73">
        <f>IF(OR(I1105=0,I1105=$A$1),0,MIN(O1105*M1105,1)*K1105)</f>
        <v>4.5860368481466392</v>
      </c>
      <c r="Q1105" s="73">
        <f>IF(B1105="",0,IF(OR(H1105=MappingTables!$C$34,H1105=MappingTables!$C$35),P1105,0))</f>
        <v>0</v>
      </c>
      <c r="R1105" s="73">
        <f>IF(ISNA(IF(AND(VLOOKUP(CONCATENATE($D1105,$G1105),CSRFinput!$B:$E,4,0)=0,OR(H1105=MappingTables!$C$31,H1105=MappingTables!$C$32)),1,VLOOKUP(CONCATENATE($D1105,$G1105),CSRFinput!$B:$E,4,0))),0,IF(AND(VLOOKUP(CONCATENATE($D1105,$G1105),CSRFinput!$B:$E,4,0)=0,OR(H1105=MappingTables!$C$31,H1105=MappingTables!$C$32)),1,VLOOKUP(CONCATENATE($D1105,$G1105),CSRFinput!$B:$E,4,0)))</f>
        <v>0.054776304963434752</v>
      </c>
      <c r="S1105" s="73">
        <f>IF(B1105="",0,P1105*R1105)</f>
        <v>0.25120615296762944</v>
      </c>
      <c r="T1105" s="85">
        <f>IF(B1105="",0,IF(OR(H1105=MappingTables!$C$34,H1105=MappingTables!$C$35),S1105,0))</f>
        <v>0</v>
      </c>
    </row>
    <row r="1106" spans="2:20" s="0" customFormat="0" ht="15">
      <c r="B1106" s="69" t="s">
        <v>4477</v>
      </c>
      <c r="C1106" s="70" t="s">
        <v>4478</v>
      </c>
      <c r="D1106" s="70" t="s">
        <v>1</v>
      </c>
      <c r="E1106" s="70" t="s">
        <v>1</v>
      </c>
      <c r="F1106" s="70"/>
      <c r="G1106" s="70" t="s">
        <v>61</v>
      </c>
      <c r="H1106" s="70" t="s">
        <v>178</v>
      </c>
      <c r="I1106" s="70" t="s">
        <v>198</v>
      </c>
      <c r="J1106" s="71" t="str">
        <f>IF(OR(I1106=0,I1106=""),"unrated",VLOOKUP(I1106,MappingTables!$B$19:$C$31,2,FALSE))</f>
        <v>unrated</v>
      </c>
      <c r="K1106" s="72">
        <v>167.33251317335644</v>
      </c>
      <c r="L1106" s="70">
        <v>0.068489343739037176</v>
      </c>
      <c r="M1106" s="71">
        <f>IF(L1106&lt;1,1,L1106)</f>
        <v>1</v>
      </c>
      <c r="N1106" s="70" t="s">
        <v>3288</v>
      </c>
      <c r="O1106" s="71">
        <f>IF(OR(I1106=$A$1,I1106=0),"",IF(N1106=MappingTables!$C$14,VLOOKUP(J1106,ModelParameters!$M$8:$N$15,2,FALSE),IF(N1106=MappingTables!$C$16,VLOOKUP(J1106,ModelParameters!$P$8:$Q$15,2,FALSE),0)))</f>
        <v>1</v>
      </c>
      <c r="P1106" s="73">
        <f>IF(OR(I1106=0,I1106=$A$1),0,MIN(O1106*M1106,1)*K1106)</f>
        <v>167.33251317335644</v>
      </c>
      <c r="Q1106" s="73">
        <f>IF(B1106="",0,IF(OR(H1106=MappingTables!$C$34,H1106=MappingTables!$C$35),P1106,0))</f>
        <v>0</v>
      </c>
      <c r="R1106" s="73">
        <f>IF(ISNA(IF(AND(VLOOKUP(CONCATENATE($D1106,$G1106),CSRFinput!$B:$E,4,0)=0,OR(H1106=MappingTables!$C$31,H1106=MappingTables!$C$32)),1,VLOOKUP(CONCATENATE($D1106,$G1106),CSRFinput!$B:$E,4,0))),0,IF(AND(VLOOKUP(CONCATENATE($D1106,$G1106),CSRFinput!$B:$E,4,0)=0,OR(H1106=MappingTables!$C$31,H1106=MappingTables!$C$32)),1,VLOOKUP(CONCATENATE($D1106,$G1106),CSRFinput!$B:$E,4,0)))</f>
        <v>0.054776304963434752</v>
      </c>
      <c r="S1106" s="73">
        <f>IF(B1106="",0,P1106*R1106)</f>
        <v>9.1658567718817344</v>
      </c>
      <c r="T1106" s="85">
        <f>IF(B1106="",0,IF(OR(H1106=MappingTables!$C$34,H1106=MappingTables!$C$35),S1106,0))</f>
        <v>0</v>
      </c>
    </row>
    <row r="1107" spans="2:20" s="0" customFormat="0" ht="15">
      <c r="B1107" s="69" t="s">
        <v>4196</v>
      </c>
      <c r="C1107" s="70" t="s">
        <v>4197</v>
      </c>
      <c r="D1107" s="70" t="s">
        <v>1</v>
      </c>
      <c r="E1107" s="70" t="s">
        <v>1</v>
      </c>
      <c r="F1107" s="70"/>
      <c r="G1107" s="70" t="s">
        <v>61</v>
      </c>
      <c r="H1107" s="70" t="s">
        <v>178</v>
      </c>
      <c r="I1107" s="70" t="s">
        <v>198</v>
      </c>
      <c r="J1107" s="71" t="str">
        <f>IF(OR(I1107=0,I1107=""),"unrated",VLOOKUP(I1107,MappingTables!$B$19:$C$31,2,FALSE))</f>
        <v>unrated</v>
      </c>
      <c r="K1107" s="72">
        <v>289.40267111449128</v>
      </c>
      <c r="L1107" s="70">
        <v>-0.76337354355822224</v>
      </c>
      <c r="M1107" s="71">
        <f>IF(L1107&lt;1,1,L1107)</f>
        <v>1</v>
      </c>
      <c r="N1107" s="70" t="s">
        <v>3288</v>
      </c>
      <c r="O1107" s="71">
        <f>IF(OR(I1107=$A$1,I1107=0),"",IF(N1107=MappingTables!$C$14,VLOOKUP(J1107,ModelParameters!$M$8:$N$15,2,FALSE),IF(N1107=MappingTables!$C$16,VLOOKUP(J1107,ModelParameters!$P$8:$Q$15,2,FALSE),0)))</f>
        <v>1</v>
      </c>
      <c r="P1107" s="73">
        <f>IF(OR(I1107=0,I1107=$A$1),0,MIN(O1107*M1107,1)*K1107)</f>
        <v>289.40267111449128</v>
      </c>
      <c r="Q1107" s="73">
        <f>IF(B1107="",0,IF(OR(H1107=MappingTables!$C$34,H1107=MappingTables!$C$35),P1107,0))</f>
        <v>0</v>
      </c>
      <c r="R1107" s="73">
        <f>IF(ISNA(IF(AND(VLOOKUP(CONCATENATE($D1107,$G1107),CSRFinput!$B:$E,4,0)=0,OR(H1107=MappingTables!$C$31,H1107=MappingTables!$C$32)),1,VLOOKUP(CONCATENATE($D1107,$G1107),CSRFinput!$B:$E,4,0))),0,IF(AND(VLOOKUP(CONCATENATE($D1107,$G1107),CSRFinput!$B:$E,4,0)=0,OR(H1107=MappingTables!$C$31,H1107=MappingTables!$C$32)),1,VLOOKUP(CONCATENATE($D1107,$G1107),CSRFinput!$B:$E,4,0)))</f>
        <v>0.054776304963434752</v>
      </c>
      <c r="S1107" s="73">
        <f>IF(B1107="",0,P1107*R1107)</f>
        <v>15.852408970199984</v>
      </c>
      <c r="T1107" s="85">
        <f>IF(B1107="",0,IF(OR(H1107=MappingTables!$C$34,H1107=MappingTables!$C$35),S1107,0))</f>
        <v>0</v>
      </c>
    </row>
    <row r="1108" spans="2:20" s="0" customFormat="0" ht="15">
      <c r="B1108" s="69" t="s">
        <v>4722</v>
      </c>
      <c r="C1108" s="70" t="s">
        <v>4723</v>
      </c>
      <c r="D1108" s="70" t="s">
        <v>1</v>
      </c>
      <c r="E1108" s="70" t="s">
        <v>1</v>
      </c>
      <c r="F1108" s="70"/>
      <c r="G1108" s="70" t="s">
        <v>61</v>
      </c>
      <c r="H1108" s="70" t="s">
        <v>178</v>
      </c>
      <c r="I1108" s="70" t="s">
        <v>184</v>
      </c>
      <c r="J1108" s="71">
        <f>IF(OR(I1108=0,I1108=""),"unrated",VLOOKUP(I1108,MappingTables!$B$19:$C$31,2,FALSE))</f>
        <v>5</v>
      </c>
      <c r="K1108" s="72">
        <v>46.110028165251256</v>
      </c>
      <c r="L1108" s="70">
        <v>0.068494521461186632</v>
      </c>
      <c r="M1108" s="71">
        <f>IF(L1108&lt;1,1,L1108)</f>
        <v>1</v>
      </c>
      <c r="N1108" s="70" t="s">
        <v>3288</v>
      </c>
      <c r="O1108" s="71">
        <f>IF(OR(I1108=$A$1,I1108=0),"",IF(N1108=MappingTables!$C$14,VLOOKUP(J1108,ModelParameters!$M$8:$N$15,2,FALSE),IF(N1108=MappingTables!$C$16,VLOOKUP(J1108,ModelParameters!$P$8:$Q$15,2,FALSE),0)))</f>
        <v>1</v>
      </c>
      <c r="P1108" s="73">
        <f>IF(OR(I1108=0,I1108=$A$1),0,MIN(O1108*M1108,1)*K1108)</f>
        <v>46.110028165251256</v>
      </c>
      <c r="Q1108" s="73">
        <f>IF(B1108="",0,IF(OR(H1108=MappingTables!$C$34,H1108=MappingTables!$C$35),P1108,0))</f>
        <v>0</v>
      </c>
      <c r="R1108" s="73">
        <f>IF(ISNA(IF(AND(VLOOKUP(CONCATENATE($D1108,$G1108),CSRFinput!$B:$E,4,0)=0,OR(H1108=MappingTables!$C$31,H1108=MappingTables!$C$32)),1,VLOOKUP(CONCATENATE($D1108,$G1108),CSRFinput!$B:$E,4,0))),0,IF(AND(VLOOKUP(CONCATENATE($D1108,$G1108),CSRFinput!$B:$E,4,0)=0,OR(H1108=MappingTables!$C$31,H1108=MappingTables!$C$32)),1,VLOOKUP(CONCATENATE($D1108,$G1108),CSRFinput!$B:$E,4,0)))</f>
        <v>0.054776304963434752</v>
      </c>
      <c r="S1108" s="73">
        <f>IF(B1108="",0,P1108*R1108)</f>
        <v>2.5257369646523688</v>
      </c>
      <c r="T1108" s="85">
        <f>IF(B1108="",0,IF(OR(H1108=MappingTables!$C$34,H1108=MappingTables!$C$35),S1108,0))</f>
        <v>0</v>
      </c>
    </row>
    <row r="1109" spans="2:20" s="0" customFormat="0" ht="15">
      <c r="B1109" s="69" t="s">
        <v>4117</v>
      </c>
      <c r="C1109" s="70" t="s">
        <v>4118</v>
      </c>
      <c r="D1109" s="70" t="s">
        <v>1</v>
      </c>
      <c r="E1109" s="70" t="s">
        <v>1</v>
      </c>
      <c r="F1109" s="70"/>
      <c r="G1109" s="70" t="s">
        <v>61</v>
      </c>
      <c r="H1109" s="70" t="s">
        <v>178</v>
      </c>
      <c r="I1109" s="70" t="s">
        <v>198</v>
      </c>
      <c r="J1109" s="71" t="str">
        <f>IF(OR(I1109=0,I1109=""),"unrated",VLOOKUP(I1109,MappingTables!$B$19:$C$31,2,FALSE))</f>
        <v>unrated</v>
      </c>
      <c r="K1109" s="72">
        <v>63.778208425309104</v>
      </c>
      <c r="L1109" s="70">
        <v>0.068496120539200536</v>
      </c>
      <c r="M1109" s="71">
        <f>IF(L1109&lt;1,1,L1109)</f>
        <v>1</v>
      </c>
      <c r="N1109" s="70" t="s">
        <v>3288</v>
      </c>
      <c r="O1109" s="71">
        <f>IF(OR(I1109=$A$1,I1109=0),"",IF(N1109=MappingTables!$C$14,VLOOKUP(J1109,ModelParameters!$M$8:$N$15,2,FALSE),IF(N1109=MappingTables!$C$16,VLOOKUP(J1109,ModelParameters!$P$8:$Q$15,2,FALSE),0)))</f>
        <v>1</v>
      </c>
      <c r="P1109" s="73">
        <f>IF(OR(I1109=0,I1109=$A$1),0,MIN(O1109*M1109,1)*K1109)</f>
        <v>63.778208425309104</v>
      </c>
      <c r="Q1109" s="73">
        <f>IF(B1109="",0,IF(OR(H1109=MappingTables!$C$34,H1109=MappingTables!$C$35),P1109,0))</f>
        <v>0</v>
      </c>
      <c r="R1109" s="73">
        <f>IF(ISNA(IF(AND(VLOOKUP(CONCATENATE($D1109,$G1109),CSRFinput!$B:$E,4,0)=0,OR(H1109=MappingTables!$C$31,H1109=MappingTables!$C$32)),1,VLOOKUP(CONCATENATE($D1109,$G1109),CSRFinput!$B:$E,4,0))),0,IF(AND(VLOOKUP(CONCATENATE($D1109,$G1109),CSRFinput!$B:$E,4,0)=0,OR(H1109=MappingTables!$C$31,H1109=MappingTables!$C$32)),1,VLOOKUP(CONCATENATE($D1109,$G1109),CSRFinput!$B:$E,4,0)))</f>
        <v>0.054776304963434752</v>
      </c>
      <c r="S1109" s="73">
        <f>IF(B1109="",0,P1109*R1109)</f>
        <v>3.4935345947262352</v>
      </c>
      <c r="T1109" s="85">
        <f>IF(B1109="",0,IF(OR(H1109=MappingTables!$C$34,H1109=MappingTables!$C$35),S1109,0))</f>
        <v>0</v>
      </c>
    </row>
    <row r="1110" spans="2:20" s="0" customFormat="0" ht="15">
      <c r="B1110" s="69" t="s">
        <v>3935</v>
      </c>
      <c r="C1110" s="70" t="s">
        <v>3936</v>
      </c>
      <c r="D1110" s="70" t="s">
        <v>1</v>
      </c>
      <c r="E1110" s="70" t="s">
        <v>1</v>
      </c>
      <c r="F1110" s="70"/>
      <c r="G1110" s="70" t="s">
        <v>61</v>
      </c>
      <c r="H1110" s="70" t="s">
        <v>178</v>
      </c>
      <c r="I1110" s="70" t="s">
        <v>204</v>
      </c>
      <c r="J1110" s="71">
        <f>IF(OR(I1110=0,I1110=""),"unrated",VLOOKUP(I1110,MappingTables!$B$19:$C$31,2,FALSE))</f>
        <v>6</v>
      </c>
      <c r="K1110" s="72">
        <v>254.95619302653192</v>
      </c>
      <c r="L1110" s="70">
        <v>0.068491651954970048</v>
      </c>
      <c r="M1110" s="71">
        <f>IF(L1110&lt;1,1,L1110)</f>
        <v>1</v>
      </c>
      <c r="N1110" s="70" t="s">
        <v>3288</v>
      </c>
      <c r="O1110" s="71">
        <f>IF(OR(I1110=$A$1,I1110=0),"",IF(N1110=MappingTables!$C$14,VLOOKUP(J1110,ModelParameters!$M$8:$N$15,2,FALSE),IF(N1110=MappingTables!$C$16,VLOOKUP(J1110,ModelParameters!$P$8:$Q$15,2,FALSE),0)))</f>
        <v>1</v>
      </c>
      <c r="P1110" s="73">
        <f>IF(OR(I1110=0,I1110=$A$1),0,MIN(O1110*M1110,1)*K1110)</f>
        <v>254.95619302653192</v>
      </c>
      <c r="Q1110" s="73">
        <f>IF(B1110="",0,IF(OR(H1110=MappingTables!$C$34,H1110=MappingTables!$C$35),P1110,0))</f>
        <v>0</v>
      </c>
      <c r="R1110" s="73">
        <f>IF(ISNA(IF(AND(VLOOKUP(CONCATENATE($D1110,$G1110),CSRFinput!$B:$E,4,0)=0,OR(H1110=MappingTables!$C$31,H1110=MappingTables!$C$32)),1,VLOOKUP(CONCATENATE($D1110,$G1110),CSRFinput!$B:$E,4,0))),0,IF(AND(VLOOKUP(CONCATENATE($D1110,$G1110),CSRFinput!$B:$E,4,0)=0,OR(H1110=MappingTables!$C$31,H1110=MappingTables!$C$32)),1,VLOOKUP(CONCATENATE($D1110,$G1110),CSRFinput!$B:$E,4,0)))</f>
        <v>0.054776304963434752</v>
      </c>
      <c r="S1110" s="73">
        <f>IF(B1110="",0,P1110*R1110)</f>
        <v>13.96555818153765</v>
      </c>
      <c r="T1110" s="85">
        <f>IF(B1110="",0,IF(OR(H1110=MappingTables!$C$34,H1110=MappingTables!$C$35),S1110,0))</f>
        <v>0</v>
      </c>
    </row>
    <row r="1111" spans="2:20" s="0" customFormat="0" ht="15">
      <c r="B1111" s="69">
        <v>22554055</v>
      </c>
      <c r="C1111" s="70" t="s">
        <v>4675</v>
      </c>
      <c r="D1111" s="70" t="s">
        <v>1</v>
      </c>
      <c r="E1111" s="70" t="s">
        <v>1</v>
      </c>
      <c r="F1111" s="70"/>
      <c r="G1111" s="70" t="s">
        <v>61</v>
      </c>
      <c r="H1111" s="70" t="s">
        <v>178</v>
      </c>
      <c r="I1111" s="70" t="s">
        <v>3298</v>
      </c>
      <c r="J1111" s="71">
        <f>IF(OR(I1111=0,I1111=""),"unrated",VLOOKUP(I1111,MappingTables!$B$19:$C$31,2,FALSE))</f>
        <v>6</v>
      </c>
      <c r="K1111" s="72">
        <v>2020.6900075527528</v>
      </c>
      <c r="L1111" s="70">
        <v>-0.96590887520500832</v>
      </c>
      <c r="M1111" s="71">
        <f>IF(L1111&lt;1,1,L1111)</f>
        <v>1</v>
      </c>
      <c r="N1111" s="70" t="s">
        <v>3288</v>
      </c>
      <c r="O1111" s="71">
        <f>IF(OR(I1111=$A$1,I1111=0),"",IF(N1111=MappingTables!$C$14,VLOOKUP(J1111,ModelParameters!$M$8:$N$15,2,FALSE),IF(N1111=MappingTables!$C$16,VLOOKUP(J1111,ModelParameters!$P$8:$Q$15,2,FALSE),0)))</f>
        <v>1</v>
      </c>
      <c r="P1111" s="73">
        <f>IF(OR(I1111=0,I1111=$A$1),0,MIN(O1111*M1111,1)*K1111)</f>
        <v>2020.6900075527528</v>
      </c>
      <c r="Q1111" s="73">
        <f>IF(B1111="",0,IF(OR(H1111=MappingTables!$C$34,H1111=MappingTables!$C$35),P1111,0))</f>
        <v>0</v>
      </c>
      <c r="R1111" s="73">
        <f>IF(ISNA(IF(AND(VLOOKUP(CONCATENATE($D1111,$G1111),CSRFinput!$B:$E,4,0)=0,OR(H1111=MappingTables!$C$31,H1111=MappingTables!$C$32)),1,VLOOKUP(CONCATENATE($D1111,$G1111),CSRFinput!$B:$E,4,0))),0,IF(AND(VLOOKUP(CONCATENATE($D1111,$G1111),CSRFinput!$B:$E,4,0)=0,OR(H1111=MappingTables!$C$31,H1111=MappingTables!$C$32)),1,VLOOKUP(CONCATENATE($D1111,$G1111),CSRFinput!$B:$E,4,0)))</f>
        <v>0.054776304963434752</v>
      </c>
      <c r="S1111" s="73">
        <f>IF(B1111="",0,P1111*R1111)</f>
        <v>110.68593209027486</v>
      </c>
      <c r="T1111" s="85">
        <f>IF(B1111="",0,IF(OR(H1111=MappingTables!$C$34,H1111=MappingTables!$C$35),S1111,0))</f>
        <v>0</v>
      </c>
    </row>
    <row r="1112" spans="2:20" s="0" customFormat="0" ht="15">
      <c r="B1112" s="69" t="s">
        <v>4724</v>
      </c>
      <c r="C1112" s="70" t="s">
        <v>4725</v>
      </c>
      <c r="D1112" s="70" t="s">
        <v>1</v>
      </c>
      <c r="E1112" s="70" t="s">
        <v>1</v>
      </c>
      <c r="F1112" s="70"/>
      <c r="G1112" s="70" t="s">
        <v>61</v>
      </c>
      <c r="H1112" s="70" t="s">
        <v>178</v>
      </c>
      <c r="I1112" s="70" t="s">
        <v>216</v>
      </c>
      <c r="J1112" s="71">
        <f>IF(OR(I1112=0,I1112=""),"unrated",VLOOKUP(I1112,MappingTables!$B$19:$C$31,2,FALSE))</f>
        <v>0</v>
      </c>
      <c r="K1112" s="72">
        <v>4.7839952503859336</v>
      </c>
      <c r="L1112" s="70">
        <v>0.14518566824219686</v>
      </c>
      <c r="M1112" s="71">
        <f>IF(L1112&lt;1,1,L1112)</f>
        <v>1</v>
      </c>
      <c r="N1112" s="70" t="s">
        <v>3288</v>
      </c>
      <c r="O1112" s="71">
        <f>IF(OR(I1112=$A$1,I1112=0),"",IF(N1112=MappingTables!$C$14,VLOOKUP(J1112,ModelParameters!$M$8:$N$15,2,FALSE),IF(N1112=MappingTables!$C$16,VLOOKUP(J1112,ModelParameters!$P$8:$Q$15,2,FALSE),0)))</f>
        <v>0.125</v>
      </c>
      <c r="P1112" s="73">
        <f>IF(OR(I1112=0,I1112=$A$1),0,MIN(O1112*M1112,1)*K1112)</f>
        <v>0.59799940629824168</v>
      </c>
      <c r="Q1112" s="73">
        <f>IF(B1112="",0,IF(OR(H1112=MappingTables!$C$34,H1112=MappingTables!$C$35),P1112,0))</f>
        <v>0</v>
      </c>
      <c r="R1112" s="73">
        <f>IF(ISNA(IF(AND(VLOOKUP(CONCATENATE($D1112,$G1112),CSRFinput!$B:$E,4,0)=0,OR(H1112=MappingTables!$C$31,H1112=MappingTables!$C$32)),1,VLOOKUP(CONCATENATE($D1112,$G1112),CSRFinput!$B:$E,4,0))),0,IF(AND(VLOOKUP(CONCATENATE($D1112,$G1112),CSRFinput!$B:$E,4,0)=0,OR(H1112=MappingTables!$C$31,H1112=MappingTables!$C$32)),1,VLOOKUP(CONCATENATE($D1112,$G1112),CSRFinput!$B:$E,4,0)))</f>
        <v>0.054776304963434752</v>
      </c>
      <c r="S1112" s="73">
        <f>IF(B1112="",0,P1112*R1112)</f>
        <v>0.032756197847345408</v>
      </c>
      <c r="T1112" s="85">
        <f>IF(B1112="",0,IF(OR(H1112=MappingTables!$C$34,H1112=MappingTables!$C$35),S1112,0))</f>
        <v>0</v>
      </c>
    </row>
    <row r="1113" spans="2:20" s="0" customFormat="0" ht="15">
      <c r="B1113" s="69">
        <v>21027849</v>
      </c>
      <c r="C1113" s="70" t="s">
        <v>3902</v>
      </c>
      <c r="D1113" s="70" t="s">
        <v>1</v>
      </c>
      <c r="E1113" s="70" t="s">
        <v>1</v>
      </c>
      <c r="F1113" s="70"/>
      <c r="G1113" s="70" t="s">
        <v>61</v>
      </c>
      <c r="H1113" s="70" t="s">
        <v>178</v>
      </c>
      <c r="I1113" s="70" t="s">
        <v>216</v>
      </c>
      <c r="J1113" s="71">
        <f>IF(OR(I1113=0,I1113=""),"unrated",VLOOKUP(I1113,MappingTables!$B$19:$C$31,2,FALSE))</f>
        <v>0</v>
      </c>
      <c r="K1113" s="72">
        <v>44.2848584795868</v>
      </c>
      <c r="L1113" s="70">
        <v>0.07078390091942528</v>
      </c>
      <c r="M1113" s="71">
        <f>IF(L1113&lt;1,1,L1113)</f>
        <v>1</v>
      </c>
      <c r="N1113" s="70" t="s">
        <v>3288</v>
      </c>
      <c r="O1113" s="71">
        <f>IF(OR(I1113=$A$1,I1113=0),"",IF(N1113=MappingTables!$C$14,VLOOKUP(J1113,ModelParameters!$M$8:$N$15,2,FALSE),IF(N1113=MappingTables!$C$16,VLOOKUP(J1113,ModelParameters!$P$8:$Q$15,2,FALSE),0)))</f>
        <v>0.125</v>
      </c>
      <c r="P1113" s="73">
        <f>IF(OR(I1113=0,I1113=$A$1),0,MIN(O1113*M1113,1)*K1113)</f>
        <v>5.5356073099483504</v>
      </c>
      <c r="Q1113" s="73">
        <f>IF(B1113="",0,IF(OR(H1113=MappingTables!$C$34,H1113=MappingTables!$C$35),P1113,0))</f>
        <v>0</v>
      </c>
      <c r="R1113" s="73">
        <f>IF(ISNA(IF(AND(VLOOKUP(CONCATENATE($D1113,$G1113),CSRFinput!$B:$E,4,0)=0,OR(H1113=MappingTables!$C$31,H1113=MappingTables!$C$32)),1,VLOOKUP(CONCATENATE($D1113,$G1113),CSRFinput!$B:$E,4,0))),0,IF(AND(VLOOKUP(CONCATENATE($D1113,$G1113),CSRFinput!$B:$E,4,0)=0,OR(H1113=MappingTables!$C$31,H1113=MappingTables!$C$32)),1,VLOOKUP(CONCATENATE($D1113,$G1113),CSRFinput!$B:$E,4,0)))</f>
        <v>0.054776304963434752</v>
      </c>
      <c r="S1113" s="73">
        <f>IF(B1113="",0,P1113*R1113)</f>
        <v>0.30322011416754952</v>
      </c>
      <c r="T1113" s="85">
        <f>IF(B1113="",0,IF(OR(H1113=MappingTables!$C$34,H1113=MappingTables!$C$35),S1113,0))</f>
        <v>0</v>
      </c>
    </row>
    <row r="1114" spans="2:20" s="0" customFormat="0" ht="15">
      <c r="B1114" s="69" t="s">
        <v>4726</v>
      </c>
      <c r="C1114" s="70" t="s">
        <v>4727</v>
      </c>
      <c r="D1114" s="70" t="s">
        <v>1</v>
      </c>
      <c r="E1114" s="70" t="s">
        <v>1</v>
      </c>
      <c r="F1114" s="70"/>
      <c r="G1114" s="70" t="s">
        <v>61</v>
      </c>
      <c r="H1114" s="70" t="s">
        <v>178</v>
      </c>
      <c r="I1114" s="70" t="s">
        <v>198</v>
      </c>
      <c r="J1114" s="71" t="str">
        <f>IF(OR(I1114=0,I1114=""),"unrated",VLOOKUP(I1114,MappingTables!$B$19:$C$31,2,FALSE))</f>
        <v>unrated</v>
      </c>
      <c r="K1114" s="72">
        <v>2.9177381467401512</v>
      </c>
      <c r="L1114" s="70">
        <v>8.1374198317019696</v>
      </c>
      <c r="M1114" s="71">
        <f>IF(L1114&lt;1,1,L1114)</f>
        <v>8.1374198317019696</v>
      </c>
      <c r="N1114" s="70" t="s">
        <v>3288</v>
      </c>
      <c r="O1114" s="71">
        <f>IF(OR(I1114=$A$1,I1114=0),"",IF(N1114=MappingTables!$C$14,VLOOKUP(J1114,ModelParameters!$M$8:$N$15,2,FALSE),IF(N1114=MappingTables!$C$16,VLOOKUP(J1114,ModelParameters!$P$8:$Q$15,2,FALSE),0)))</f>
        <v>1</v>
      </c>
      <c r="P1114" s="73">
        <f>IF(OR(I1114=0,I1114=$A$1),0,MIN(O1114*M1114,1)*K1114)</f>
        <v>2.9177381467401512</v>
      </c>
      <c r="Q1114" s="73">
        <f>IF(B1114="",0,IF(OR(H1114=MappingTables!$C$34,H1114=MappingTables!$C$35),P1114,0))</f>
        <v>0</v>
      </c>
      <c r="R1114" s="73">
        <f>IF(ISNA(IF(AND(VLOOKUP(CONCATENATE($D1114,$G1114),CSRFinput!$B:$E,4,0)=0,OR(H1114=MappingTables!$C$31,H1114=MappingTables!$C$32)),1,VLOOKUP(CONCATENATE($D1114,$G1114),CSRFinput!$B:$E,4,0))),0,IF(AND(VLOOKUP(CONCATENATE($D1114,$G1114),CSRFinput!$B:$E,4,0)=0,OR(H1114=MappingTables!$C$31,H1114=MappingTables!$C$32)),1,VLOOKUP(CONCATENATE($D1114,$G1114),CSRFinput!$B:$E,4,0)))</f>
        <v>0.054776304963434752</v>
      </c>
      <c r="S1114" s="73">
        <f>IF(B1114="",0,P1114*R1114)</f>
        <v>0.15982291452928546</v>
      </c>
      <c r="T1114" s="85">
        <f>IF(B1114="",0,IF(OR(H1114=MappingTables!$C$34,H1114=MappingTables!$C$35),S1114,0))</f>
        <v>0</v>
      </c>
    </row>
    <row r="1115" spans="2:20" s="0" customFormat="0" ht="15">
      <c r="B1115" s="69" t="s">
        <v>3563</v>
      </c>
      <c r="C1115" s="70" t="s">
        <v>3564</v>
      </c>
      <c r="D1115" s="70" t="s">
        <v>1</v>
      </c>
      <c r="E1115" s="70" t="s">
        <v>1</v>
      </c>
      <c r="F1115" s="70"/>
      <c r="G1115" s="70" t="s">
        <v>61</v>
      </c>
      <c r="H1115" s="70" t="s">
        <v>178</v>
      </c>
      <c r="I1115" s="70" t="s">
        <v>198</v>
      </c>
      <c r="J1115" s="71" t="str">
        <f>IF(OR(I1115=0,I1115=""),"unrated",VLOOKUP(I1115,MappingTables!$B$19:$C$31,2,FALSE))</f>
        <v>unrated</v>
      </c>
      <c r="K1115" s="72">
        <v>13014.915827276384</v>
      </c>
      <c r="L1115" s="70">
        <v>12.179209175890558</v>
      </c>
      <c r="M1115" s="71">
        <f>IF(L1115&lt;1,1,L1115)</f>
        <v>12.179209175890558</v>
      </c>
      <c r="N1115" s="70" t="s">
        <v>3288</v>
      </c>
      <c r="O1115" s="71">
        <f>IF(OR(I1115=$A$1,I1115=0),"",IF(N1115=MappingTables!$C$14,VLOOKUP(J1115,ModelParameters!$M$8:$N$15,2,FALSE),IF(N1115=MappingTables!$C$16,VLOOKUP(J1115,ModelParameters!$P$8:$Q$15,2,FALSE),0)))</f>
        <v>1</v>
      </c>
      <c r="P1115" s="73">
        <f>IF(OR(I1115=0,I1115=$A$1),0,MIN(O1115*M1115,1)*K1115)</f>
        <v>13014.915827276384</v>
      </c>
      <c r="Q1115" s="73">
        <f>IF(B1115="",0,IF(OR(H1115=MappingTables!$C$34,H1115=MappingTables!$C$35),P1115,0))</f>
        <v>0</v>
      </c>
      <c r="R1115" s="73">
        <f>IF(ISNA(IF(AND(VLOOKUP(CONCATENATE($D1115,$G1115),CSRFinput!$B:$E,4,0)=0,OR(H1115=MappingTables!$C$31,H1115=MappingTables!$C$32)),1,VLOOKUP(CONCATENATE($D1115,$G1115),CSRFinput!$B:$E,4,0))),0,IF(AND(VLOOKUP(CONCATENATE($D1115,$G1115),CSRFinput!$B:$E,4,0)=0,OR(H1115=MappingTables!$C$31,H1115=MappingTables!$C$32)),1,VLOOKUP(CONCATENATE($D1115,$G1115),CSRFinput!$B:$E,4,0)))</f>
        <v>0.054776304963434752</v>
      </c>
      <c r="S1115" s="73">
        <f>IF(B1115="",0,P1115*R1115)</f>
        <v>712.90899842832496</v>
      </c>
      <c r="T1115" s="85">
        <f>IF(B1115="",0,IF(OR(H1115=MappingTables!$C$34,H1115=MappingTables!$C$35),S1115,0))</f>
        <v>0</v>
      </c>
    </row>
    <row r="1116" spans="2:20" s="0" customFormat="0" ht="15">
      <c r="B1116" s="69" t="s">
        <v>4133</v>
      </c>
      <c r="C1116" s="70" t="s">
        <v>4134</v>
      </c>
      <c r="D1116" s="70" t="s">
        <v>1</v>
      </c>
      <c r="E1116" s="70" t="s">
        <v>1</v>
      </c>
      <c r="F1116" s="70"/>
      <c r="G1116" s="70" t="s">
        <v>61</v>
      </c>
      <c r="H1116" s="70" t="s">
        <v>178</v>
      </c>
      <c r="I1116" s="70" t="s">
        <v>198</v>
      </c>
      <c r="J1116" s="71" t="str">
        <f>IF(OR(I1116=0,I1116=""),"unrated",VLOOKUP(I1116,MappingTables!$B$19:$C$31,2,FALSE))</f>
        <v>unrated</v>
      </c>
      <c r="K1116" s="72">
        <v>1282.8183585749338</v>
      </c>
      <c r="L1116" s="70">
        <v>2.3081214867322956</v>
      </c>
      <c r="M1116" s="71">
        <f>IF(L1116&lt;1,1,L1116)</f>
        <v>2.3081214867322956</v>
      </c>
      <c r="N1116" s="70" t="s">
        <v>3288</v>
      </c>
      <c r="O1116" s="71">
        <f>IF(OR(I1116=$A$1,I1116=0),"",IF(N1116=MappingTables!$C$14,VLOOKUP(J1116,ModelParameters!$M$8:$N$15,2,FALSE),IF(N1116=MappingTables!$C$16,VLOOKUP(J1116,ModelParameters!$P$8:$Q$15,2,FALSE),0)))</f>
        <v>1</v>
      </c>
      <c r="P1116" s="73">
        <f>IF(OR(I1116=0,I1116=$A$1),0,MIN(O1116*M1116,1)*K1116)</f>
        <v>1282.8183585749338</v>
      </c>
      <c r="Q1116" s="73">
        <f>IF(B1116="",0,IF(OR(H1116=MappingTables!$C$34,H1116=MappingTables!$C$35),P1116,0))</f>
        <v>0</v>
      </c>
      <c r="R1116" s="73">
        <f>IF(ISNA(IF(AND(VLOOKUP(CONCATENATE($D1116,$G1116),CSRFinput!$B:$E,4,0)=0,OR(H1116=MappingTables!$C$31,H1116=MappingTables!$C$32)),1,VLOOKUP(CONCATENATE($D1116,$G1116),CSRFinput!$B:$E,4,0))),0,IF(AND(VLOOKUP(CONCATENATE($D1116,$G1116),CSRFinput!$B:$E,4,0)=0,OR(H1116=MappingTables!$C$31,H1116=MappingTables!$C$32)),1,VLOOKUP(CONCATENATE($D1116,$G1116),CSRFinput!$B:$E,4,0)))</f>
        <v>0.054776304963434752</v>
      </c>
      <c r="S1116" s="73">
        <f>IF(B1116="",0,P1116*R1116)</f>
        <v>70.268049621993368</v>
      </c>
      <c r="T1116" s="85">
        <f>IF(B1116="",0,IF(OR(H1116=MappingTables!$C$34,H1116=MappingTables!$C$35),S1116,0))</f>
        <v>0</v>
      </c>
    </row>
    <row r="1117" spans="2:20" s="0" customFormat="0" ht="15">
      <c r="B1117" s="69">
        <v>14578157</v>
      </c>
      <c r="C1117" s="70" t="s">
        <v>4728</v>
      </c>
      <c r="D1117" s="70" t="s">
        <v>1</v>
      </c>
      <c r="E1117" s="70" t="s">
        <v>1</v>
      </c>
      <c r="F1117" s="70"/>
      <c r="G1117" s="70" t="s">
        <v>61</v>
      </c>
      <c r="H1117" s="70" t="s">
        <v>178</v>
      </c>
      <c r="I1117" s="70" t="s">
        <v>216</v>
      </c>
      <c r="J1117" s="71">
        <f>IF(OR(I1117=0,I1117=""),"unrated",VLOOKUP(I1117,MappingTables!$B$19:$C$31,2,FALSE))</f>
        <v>0</v>
      </c>
      <c r="K1117" s="72">
        <v>90.049131870522224</v>
      </c>
      <c r="L1117" s="70">
        <v>0.08959310050186136</v>
      </c>
      <c r="M1117" s="71">
        <f>IF(L1117&lt;1,1,L1117)</f>
        <v>1</v>
      </c>
      <c r="N1117" s="70" t="s">
        <v>3288</v>
      </c>
      <c r="O1117" s="71">
        <f>IF(OR(I1117=$A$1,I1117=0),"",IF(N1117=MappingTables!$C$14,VLOOKUP(J1117,ModelParameters!$M$8:$N$15,2,FALSE),IF(N1117=MappingTables!$C$16,VLOOKUP(J1117,ModelParameters!$P$8:$Q$15,2,FALSE),0)))</f>
        <v>0.125</v>
      </c>
      <c r="P1117" s="73">
        <f>IF(OR(I1117=0,I1117=$A$1),0,MIN(O1117*M1117,1)*K1117)</f>
        <v>11.256141483815278</v>
      </c>
      <c r="Q1117" s="73">
        <f>IF(B1117="",0,IF(OR(H1117=MappingTables!$C$34,H1117=MappingTables!$C$35),P1117,0))</f>
        <v>0</v>
      </c>
      <c r="R1117" s="73">
        <f>IF(ISNA(IF(AND(VLOOKUP(CONCATENATE($D1117,$G1117),CSRFinput!$B:$E,4,0)=0,OR(H1117=MappingTables!$C$31,H1117=MappingTables!$C$32)),1,VLOOKUP(CONCATENATE($D1117,$G1117),CSRFinput!$B:$E,4,0))),0,IF(AND(VLOOKUP(CONCATENATE($D1117,$G1117),CSRFinput!$B:$E,4,0)=0,OR(H1117=MappingTables!$C$31,H1117=MappingTables!$C$32)),1,VLOOKUP(CONCATENATE($D1117,$G1117),CSRFinput!$B:$E,4,0)))</f>
        <v>0.054776304963434752</v>
      </c>
      <c r="S1117" s="73">
        <f>IF(B1117="",0,P1117*R1117)</f>
        <v>0.61656983862903472</v>
      </c>
      <c r="T1117" s="85">
        <f>IF(B1117="",0,IF(OR(H1117=MappingTables!$C$34,H1117=MappingTables!$C$35),S1117,0))</f>
        <v>0</v>
      </c>
    </row>
    <row r="1118" spans="2:20" s="0" customFormat="0" ht="15">
      <c r="B1118" s="69">
        <v>2931264</v>
      </c>
      <c r="C1118" s="70" t="s">
        <v>4617</v>
      </c>
      <c r="D1118" s="70" t="s">
        <v>1</v>
      </c>
      <c r="E1118" s="70" t="s">
        <v>1</v>
      </c>
      <c r="F1118" s="70"/>
      <c r="G1118" s="70" t="s">
        <v>61</v>
      </c>
      <c r="H1118" s="70" t="s">
        <v>178</v>
      </c>
      <c r="I1118" s="70" t="s">
        <v>3291</v>
      </c>
      <c r="J1118" s="71">
        <f>IF(OR(I1118=0,I1118=""),"unrated",VLOOKUP(I1118,MappingTables!$B$19:$C$31,2,FALSE))</f>
        <v>6</v>
      </c>
      <c r="K1118" s="72">
        <v>144.12966922284818</v>
      </c>
      <c r="L1118" s="70">
        <v>-1.0880771596073758</v>
      </c>
      <c r="M1118" s="71">
        <f>IF(L1118&lt;1,1,L1118)</f>
        <v>1</v>
      </c>
      <c r="N1118" s="70" t="s">
        <v>3288</v>
      </c>
      <c r="O1118" s="71">
        <f>IF(OR(I1118=$A$1,I1118=0),"",IF(N1118=MappingTables!$C$14,VLOOKUP(J1118,ModelParameters!$M$8:$N$15,2,FALSE),IF(N1118=MappingTables!$C$16,VLOOKUP(J1118,ModelParameters!$P$8:$Q$15,2,FALSE),0)))</f>
        <v>1</v>
      </c>
      <c r="P1118" s="73">
        <f>IF(OR(I1118=0,I1118=$A$1),0,MIN(O1118*M1118,1)*K1118)</f>
        <v>144.12966922284818</v>
      </c>
      <c r="Q1118" s="73">
        <f>IF(B1118="",0,IF(OR(H1118=MappingTables!$C$34,H1118=MappingTables!$C$35),P1118,0))</f>
        <v>0</v>
      </c>
      <c r="R1118" s="73">
        <f>IF(ISNA(IF(AND(VLOOKUP(CONCATENATE($D1118,$G1118),CSRFinput!$B:$E,4,0)=0,OR(H1118=MappingTables!$C$31,H1118=MappingTables!$C$32)),1,VLOOKUP(CONCATENATE($D1118,$G1118),CSRFinput!$B:$E,4,0))),0,IF(AND(VLOOKUP(CONCATENATE($D1118,$G1118),CSRFinput!$B:$E,4,0)=0,OR(H1118=MappingTables!$C$31,H1118=MappingTables!$C$32)),1,VLOOKUP(CONCATENATE($D1118,$G1118),CSRFinput!$B:$E,4,0)))</f>
        <v>0.054776304963434752</v>
      </c>
      <c r="S1118" s="73">
        <f>IF(B1118="",0,P1118*R1118)</f>
        <v>7.8948907156297072</v>
      </c>
      <c r="T1118" s="85">
        <f>IF(B1118="",0,IF(OR(H1118=MappingTables!$C$34,H1118=MappingTables!$C$35),S1118,0))</f>
        <v>0</v>
      </c>
    </row>
    <row r="1119" spans="2:20" s="0" customFormat="0" ht="15">
      <c r="B1119" s="69" t="s">
        <v>4539</v>
      </c>
      <c r="C1119" s="70" t="s">
        <v>4540</v>
      </c>
      <c r="D1119" s="70" t="s">
        <v>1</v>
      </c>
      <c r="E1119" s="70" t="s">
        <v>1</v>
      </c>
      <c r="F1119" s="70"/>
      <c r="G1119" s="70" t="s">
        <v>61</v>
      </c>
      <c r="H1119" s="70" t="s">
        <v>178</v>
      </c>
      <c r="I1119" s="70" t="s">
        <v>198</v>
      </c>
      <c r="J1119" s="71" t="str">
        <f>IF(OR(I1119=0,I1119=""),"unrated",VLOOKUP(I1119,MappingTables!$B$19:$C$31,2,FALSE))</f>
        <v>unrated</v>
      </c>
      <c r="K1119" s="72">
        <v>91.0733908158476</v>
      </c>
      <c r="L1119" s="70">
        <v>7.8318375313099184</v>
      </c>
      <c r="M1119" s="71">
        <f>IF(L1119&lt;1,1,L1119)</f>
        <v>7.8318375313099184</v>
      </c>
      <c r="N1119" s="70" t="s">
        <v>3288</v>
      </c>
      <c r="O1119" s="71">
        <f>IF(OR(I1119=$A$1,I1119=0),"",IF(N1119=MappingTables!$C$14,VLOOKUP(J1119,ModelParameters!$M$8:$N$15,2,FALSE),IF(N1119=MappingTables!$C$16,VLOOKUP(J1119,ModelParameters!$P$8:$Q$15,2,FALSE),0)))</f>
        <v>1</v>
      </c>
      <c r="P1119" s="73">
        <f>IF(OR(I1119=0,I1119=$A$1),0,MIN(O1119*M1119,1)*K1119)</f>
        <v>91.0733908158476</v>
      </c>
      <c r="Q1119" s="73">
        <f>IF(B1119="",0,IF(OR(H1119=MappingTables!$C$34,H1119=MappingTables!$C$35),P1119,0))</f>
        <v>0</v>
      </c>
      <c r="R1119" s="73">
        <f>IF(ISNA(IF(AND(VLOOKUP(CONCATENATE($D1119,$G1119),CSRFinput!$B:$E,4,0)=0,OR(H1119=MappingTables!$C$31,H1119=MappingTables!$C$32)),1,VLOOKUP(CONCATENATE($D1119,$G1119),CSRFinput!$B:$E,4,0))),0,IF(AND(VLOOKUP(CONCATENATE($D1119,$G1119),CSRFinput!$B:$E,4,0)=0,OR(H1119=MappingTables!$C$31,H1119=MappingTables!$C$32)),1,VLOOKUP(CONCATENATE($D1119,$G1119),CSRFinput!$B:$E,4,0)))</f>
        <v>0.054776304963434752</v>
      </c>
      <c r="S1119" s="73">
        <f>IF(B1119="",0,P1119*R1119)</f>
        <v>4.9886638293829464</v>
      </c>
      <c r="T1119" s="85">
        <f>IF(B1119="",0,IF(OR(H1119=MappingTables!$C$34,H1119=MappingTables!$C$35),S1119,0))</f>
        <v>0</v>
      </c>
    </row>
    <row r="1120" spans="2:20" s="0" customFormat="0" ht="15">
      <c r="B1120" s="69" t="s">
        <v>4431</v>
      </c>
      <c r="C1120" s="70" t="s">
        <v>4432</v>
      </c>
      <c r="D1120" s="70" t="s">
        <v>1</v>
      </c>
      <c r="E1120" s="70" t="s">
        <v>1</v>
      </c>
      <c r="F1120" s="70"/>
      <c r="G1120" s="70" t="s">
        <v>61</v>
      </c>
      <c r="H1120" s="70" t="s">
        <v>178</v>
      </c>
      <c r="I1120" s="70" t="s">
        <v>3298</v>
      </c>
      <c r="J1120" s="71">
        <f>IF(OR(I1120=0,I1120=""),"unrated",VLOOKUP(I1120,MappingTables!$B$19:$C$31,2,FALSE))</f>
        <v>6</v>
      </c>
      <c r="K1120" s="72">
        <v>968.186548860144</v>
      </c>
      <c r="L1120" s="70">
        <v>-0.051643314555069912</v>
      </c>
      <c r="M1120" s="71">
        <f>IF(L1120&lt;1,1,L1120)</f>
        <v>1</v>
      </c>
      <c r="N1120" s="70" t="s">
        <v>3288</v>
      </c>
      <c r="O1120" s="71">
        <f>IF(OR(I1120=$A$1,I1120=0),"",IF(N1120=MappingTables!$C$14,VLOOKUP(J1120,ModelParameters!$M$8:$N$15,2,FALSE),IF(N1120=MappingTables!$C$16,VLOOKUP(J1120,ModelParameters!$P$8:$Q$15,2,FALSE),0)))</f>
        <v>1</v>
      </c>
      <c r="P1120" s="73">
        <f>IF(OR(I1120=0,I1120=$A$1),0,MIN(O1120*M1120,1)*K1120)</f>
        <v>968.186548860144</v>
      </c>
      <c r="Q1120" s="73">
        <f>IF(B1120="",0,IF(OR(H1120=MappingTables!$C$34,H1120=MappingTables!$C$35),P1120,0))</f>
        <v>0</v>
      </c>
      <c r="R1120" s="73">
        <f>IF(ISNA(IF(AND(VLOOKUP(CONCATENATE($D1120,$G1120),CSRFinput!$B:$E,4,0)=0,OR(H1120=MappingTables!$C$31,H1120=MappingTables!$C$32)),1,VLOOKUP(CONCATENATE($D1120,$G1120),CSRFinput!$B:$E,4,0))),0,IF(AND(VLOOKUP(CONCATENATE($D1120,$G1120),CSRFinput!$B:$E,4,0)=0,OR(H1120=MappingTables!$C$31,H1120=MappingTables!$C$32)),1,VLOOKUP(CONCATENATE($D1120,$G1120),CSRFinput!$B:$E,4,0)))</f>
        <v>0.054776304963434752</v>
      </c>
      <c r="S1120" s="73">
        <f>IF(B1120="",0,P1120*R1120)</f>
        <v>53.033681661858664</v>
      </c>
      <c r="T1120" s="85">
        <f>IF(B1120="",0,IF(OR(H1120=MappingTables!$C$34,H1120=MappingTables!$C$35),S1120,0))</f>
        <v>0</v>
      </c>
    </row>
    <row r="1121" spans="2:20" s="0" customFormat="0" ht="15">
      <c r="B1121" s="69" t="s">
        <v>4729</v>
      </c>
      <c r="C1121" s="70" t="s">
        <v>4730</v>
      </c>
      <c r="D1121" s="70" t="s">
        <v>1</v>
      </c>
      <c r="E1121" s="70" t="s">
        <v>1</v>
      </c>
      <c r="F1121" s="70"/>
      <c r="G1121" s="70" t="s">
        <v>61</v>
      </c>
      <c r="H1121" s="70" t="s">
        <v>178</v>
      </c>
      <c r="I1121" s="70" t="s">
        <v>179</v>
      </c>
      <c r="J1121" s="71">
        <f>IF(OR(I1121=0,I1121=""),"unrated",VLOOKUP(I1121,MappingTables!$B$19:$C$31,2,FALSE))</f>
        <v>4</v>
      </c>
      <c r="K1121" s="72">
        <v>149.52993564783654</v>
      </c>
      <c r="L1121" s="70">
        <v>0.068491609600662872</v>
      </c>
      <c r="M1121" s="71">
        <f>IF(L1121&lt;1,1,L1121)</f>
        <v>1</v>
      </c>
      <c r="N1121" s="70" t="s">
        <v>3288</v>
      </c>
      <c r="O1121" s="71">
        <f>IF(OR(I1121=$A$1,I1121=0),"",IF(N1121=MappingTables!$C$14,VLOOKUP(J1121,ModelParameters!$M$8:$N$15,2,FALSE),IF(N1121=MappingTables!$C$16,VLOOKUP(J1121,ModelParameters!$P$8:$Q$15,2,FALSE),0)))</f>
        <v>0.82</v>
      </c>
      <c r="P1121" s="73">
        <f>IF(OR(I1121=0,I1121=$A$1),0,MIN(O1121*M1121,1)*K1121)</f>
        <v>122.61454723122596</v>
      </c>
      <c r="Q1121" s="73">
        <f>IF(B1121="",0,IF(OR(H1121=MappingTables!$C$34,H1121=MappingTables!$C$35),P1121,0))</f>
        <v>0</v>
      </c>
      <c r="R1121" s="73">
        <f>IF(ISNA(IF(AND(VLOOKUP(CONCATENATE($D1121,$G1121),CSRFinput!$B:$E,4,0)=0,OR(H1121=MappingTables!$C$31,H1121=MappingTables!$C$32)),1,VLOOKUP(CONCATENATE($D1121,$G1121),CSRFinput!$B:$E,4,0))),0,IF(AND(VLOOKUP(CONCATENATE($D1121,$G1121),CSRFinput!$B:$E,4,0)=0,OR(H1121=MappingTables!$C$31,H1121=MappingTables!$C$32)),1,VLOOKUP(CONCATENATE($D1121,$G1121),CSRFinput!$B:$E,4,0)))</f>
        <v>0.054776304963434752</v>
      </c>
      <c r="S1121" s="73">
        <f>IF(B1121="",0,P1121*R1121)</f>
        <v>6.716371832091108</v>
      </c>
      <c r="T1121" s="85">
        <f>IF(B1121="",0,IF(OR(H1121=MappingTables!$C$34,H1121=MappingTables!$C$35),S1121,0))</f>
        <v>0</v>
      </c>
    </row>
    <row r="1122" spans="2:20" s="0" customFormat="0" ht="15">
      <c r="B1122" s="69" t="s">
        <v>4731</v>
      </c>
      <c r="C1122" s="70" t="s">
        <v>4732</v>
      </c>
      <c r="D1122" s="70" t="s">
        <v>1</v>
      </c>
      <c r="E1122" s="70" t="s">
        <v>1</v>
      </c>
      <c r="F1122" s="70"/>
      <c r="G1122" s="70" t="s">
        <v>61</v>
      </c>
      <c r="H1122" s="70" t="s">
        <v>178</v>
      </c>
      <c r="I1122" s="70" t="s">
        <v>204</v>
      </c>
      <c r="J1122" s="71">
        <f>IF(OR(I1122=0,I1122=""),"unrated",VLOOKUP(I1122,MappingTables!$B$19:$C$31,2,FALSE))</f>
        <v>6</v>
      </c>
      <c r="K1122" s="72">
        <v>315.42844375680068</v>
      </c>
      <c r="L1122" s="70">
        <v>0.052050687738665984</v>
      </c>
      <c r="M1122" s="71">
        <f>IF(L1122&lt;1,1,L1122)</f>
        <v>1</v>
      </c>
      <c r="N1122" s="70" t="s">
        <v>3288</v>
      </c>
      <c r="O1122" s="71">
        <f>IF(OR(I1122=$A$1,I1122=0),"",IF(N1122=MappingTables!$C$14,VLOOKUP(J1122,ModelParameters!$M$8:$N$15,2,FALSE),IF(N1122=MappingTables!$C$16,VLOOKUP(J1122,ModelParameters!$P$8:$Q$15,2,FALSE),0)))</f>
        <v>1</v>
      </c>
      <c r="P1122" s="73">
        <f>IF(OR(I1122=0,I1122=$A$1),0,MIN(O1122*M1122,1)*K1122)</f>
        <v>315.42844375680068</v>
      </c>
      <c r="Q1122" s="73">
        <f>IF(B1122="",0,IF(OR(H1122=MappingTables!$C$34,H1122=MappingTables!$C$35),P1122,0))</f>
        <v>0</v>
      </c>
      <c r="R1122" s="73">
        <f>IF(ISNA(IF(AND(VLOOKUP(CONCATENATE($D1122,$G1122),CSRFinput!$B:$E,4,0)=0,OR(H1122=MappingTables!$C$31,H1122=MappingTables!$C$32)),1,VLOOKUP(CONCATENATE($D1122,$G1122),CSRFinput!$B:$E,4,0))),0,IF(AND(VLOOKUP(CONCATENATE($D1122,$G1122),CSRFinput!$B:$E,4,0)=0,OR(H1122=MappingTables!$C$31,H1122=MappingTables!$C$32)),1,VLOOKUP(CONCATENATE($D1122,$G1122),CSRFinput!$B:$E,4,0)))</f>
        <v>0.054776304963434752</v>
      </c>
      <c r="S1122" s="73">
        <f>IF(B1122="",0,P1122*R1122)</f>
        <v>17.27800462936414</v>
      </c>
      <c r="T1122" s="85">
        <f>IF(B1122="",0,IF(OR(H1122=MappingTables!$C$34,H1122=MappingTables!$C$35),S1122,0))</f>
        <v>0</v>
      </c>
    </row>
    <row r="1123" spans="2:20" s="0" customFormat="0" ht="15">
      <c r="B1123" s="69">
        <v>2290894</v>
      </c>
      <c r="C1123" s="70" t="s">
        <v>4733</v>
      </c>
      <c r="D1123" s="70" t="s">
        <v>1</v>
      </c>
      <c r="E1123" s="70" t="s">
        <v>1</v>
      </c>
      <c r="F1123" s="70"/>
      <c r="G1123" s="70" t="s">
        <v>61</v>
      </c>
      <c r="H1123" s="70" t="s">
        <v>178</v>
      </c>
      <c r="I1123" s="70" t="s">
        <v>179</v>
      </c>
      <c r="J1123" s="71">
        <f>IF(OR(I1123=0,I1123=""),"unrated",VLOOKUP(I1123,MappingTables!$B$19:$C$31,2,FALSE))</f>
        <v>4</v>
      </c>
      <c r="K1123" s="72">
        <v>42.929218066032664</v>
      </c>
      <c r="L1123" s="70">
        <v>0.05753406151187512</v>
      </c>
      <c r="M1123" s="71">
        <f>IF(L1123&lt;1,1,L1123)</f>
        <v>1</v>
      </c>
      <c r="N1123" s="70" t="s">
        <v>3288</v>
      </c>
      <c r="O1123" s="71">
        <f>IF(OR(I1123=$A$1,I1123=0),"",IF(N1123=MappingTables!$C$14,VLOOKUP(J1123,ModelParameters!$M$8:$N$15,2,FALSE),IF(N1123=MappingTables!$C$16,VLOOKUP(J1123,ModelParameters!$P$8:$Q$15,2,FALSE),0)))</f>
        <v>0.82</v>
      </c>
      <c r="P1123" s="73">
        <f>IF(OR(I1123=0,I1123=$A$1),0,MIN(O1123*M1123,1)*K1123)</f>
        <v>35.201958814146784</v>
      </c>
      <c r="Q1123" s="73">
        <f>IF(B1123="",0,IF(OR(H1123=MappingTables!$C$34,H1123=MappingTables!$C$35),P1123,0))</f>
        <v>0</v>
      </c>
      <c r="R1123" s="73">
        <f>IF(ISNA(IF(AND(VLOOKUP(CONCATENATE($D1123,$G1123),CSRFinput!$B:$E,4,0)=0,OR(H1123=MappingTables!$C$31,H1123=MappingTables!$C$32)),1,VLOOKUP(CONCATENATE($D1123,$G1123),CSRFinput!$B:$E,4,0))),0,IF(AND(VLOOKUP(CONCATENATE($D1123,$G1123),CSRFinput!$B:$E,4,0)=0,OR(H1123=MappingTables!$C$31,H1123=MappingTables!$C$32)),1,VLOOKUP(CONCATENATE($D1123,$G1123),CSRFinput!$B:$E,4,0)))</f>
        <v>0.054776304963434752</v>
      </c>
      <c r="S1123" s="73">
        <f>IF(B1123="",0,P1123*R1123)</f>
        <v>1.9282332313139744</v>
      </c>
      <c r="T1123" s="85">
        <f>IF(B1123="",0,IF(OR(H1123=MappingTables!$C$34,H1123=MappingTables!$C$35),S1123,0))</f>
        <v>0</v>
      </c>
    </row>
    <row r="1124" spans="2:20" s="0" customFormat="0" ht="15">
      <c r="B1124" s="69" t="s">
        <v>3355</v>
      </c>
      <c r="C1124" s="70" t="s">
        <v>3356</v>
      </c>
      <c r="D1124" s="70" t="s">
        <v>1</v>
      </c>
      <c r="E1124" s="70" t="s">
        <v>1</v>
      </c>
      <c r="F1124" s="70"/>
      <c r="G1124" s="70" t="s">
        <v>61</v>
      </c>
      <c r="H1124" s="70" t="s">
        <v>178</v>
      </c>
      <c r="I1124" s="70" t="s">
        <v>198</v>
      </c>
      <c r="J1124" s="71" t="str">
        <f>IF(OR(I1124=0,I1124=""),"unrated",VLOOKUP(I1124,MappingTables!$B$19:$C$31,2,FALSE))</f>
        <v>unrated</v>
      </c>
      <c r="K1124" s="72">
        <v>5.8044459235762272</v>
      </c>
      <c r="L1124" s="70">
        <v>9.7923305792009584</v>
      </c>
      <c r="M1124" s="71">
        <f>IF(L1124&lt;1,1,L1124)</f>
        <v>9.7923305792009584</v>
      </c>
      <c r="N1124" s="70" t="s">
        <v>3288</v>
      </c>
      <c r="O1124" s="71">
        <f>IF(OR(I1124=$A$1,I1124=0),"",IF(N1124=MappingTables!$C$14,VLOOKUP(J1124,ModelParameters!$M$8:$N$15,2,FALSE),IF(N1124=MappingTables!$C$16,VLOOKUP(J1124,ModelParameters!$P$8:$Q$15,2,FALSE),0)))</f>
        <v>1</v>
      </c>
      <c r="P1124" s="73">
        <f>IF(OR(I1124=0,I1124=$A$1),0,MIN(O1124*M1124,1)*K1124)</f>
        <v>5.8044459235762272</v>
      </c>
      <c r="Q1124" s="73">
        <f>IF(B1124="",0,IF(OR(H1124=MappingTables!$C$34,H1124=MappingTables!$C$35),P1124,0))</f>
        <v>0</v>
      </c>
      <c r="R1124" s="73">
        <f>IF(ISNA(IF(AND(VLOOKUP(CONCATENATE($D1124,$G1124),CSRFinput!$B:$E,4,0)=0,OR(H1124=MappingTables!$C$31,H1124=MappingTables!$C$32)),1,VLOOKUP(CONCATENATE($D1124,$G1124),CSRFinput!$B:$E,4,0))),0,IF(AND(VLOOKUP(CONCATENATE($D1124,$G1124),CSRFinput!$B:$E,4,0)=0,OR(H1124=MappingTables!$C$31,H1124=MappingTables!$C$32)),1,VLOOKUP(CONCATENATE($D1124,$G1124),CSRFinput!$B:$E,4,0)))</f>
        <v>0.054776304963434752</v>
      </c>
      <c r="S1124" s="73">
        <f>IF(B1124="",0,P1124*R1124)</f>
        <v>0.31794610005357708</v>
      </c>
      <c r="T1124" s="85">
        <f>IF(B1124="",0,IF(OR(H1124=MappingTables!$C$34,H1124=MappingTables!$C$35),S1124,0))</f>
        <v>0</v>
      </c>
    </row>
    <row r="1125" spans="2:20" s="0" customFormat="0" ht="15">
      <c r="B1125" s="69" t="s">
        <v>4017</v>
      </c>
      <c r="C1125" s="70" t="s">
        <v>4018</v>
      </c>
      <c r="D1125" s="70" t="s">
        <v>1</v>
      </c>
      <c r="E1125" s="70" t="s">
        <v>1</v>
      </c>
      <c r="F1125" s="70"/>
      <c r="G1125" s="70" t="s">
        <v>61</v>
      </c>
      <c r="H1125" s="70" t="s">
        <v>178</v>
      </c>
      <c r="I1125" s="70" t="s">
        <v>198</v>
      </c>
      <c r="J1125" s="71" t="str">
        <f>IF(OR(I1125=0,I1125=""),"unrated",VLOOKUP(I1125,MappingTables!$B$19:$C$31,2,FALSE))</f>
        <v>unrated</v>
      </c>
      <c r="K1125" s="72">
        <v>14.086956538516018</v>
      </c>
      <c r="L1125" s="70">
        <v>3.9124148408746056</v>
      </c>
      <c r="M1125" s="71">
        <f>IF(L1125&lt;1,1,L1125)</f>
        <v>3.9124148408746056</v>
      </c>
      <c r="N1125" s="70" t="s">
        <v>3288</v>
      </c>
      <c r="O1125" s="71">
        <f>IF(OR(I1125=$A$1,I1125=0),"",IF(N1125=MappingTables!$C$14,VLOOKUP(J1125,ModelParameters!$M$8:$N$15,2,FALSE),IF(N1125=MappingTables!$C$16,VLOOKUP(J1125,ModelParameters!$P$8:$Q$15,2,FALSE),0)))</f>
        <v>1</v>
      </c>
      <c r="P1125" s="73">
        <f>IF(OR(I1125=0,I1125=$A$1),0,MIN(O1125*M1125,1)*K1125)</f>
        <v>14.086956538516018</v>
      </c>
      <c r="Q1125" s="73">
        <f>IF(B1125="",0,IF(OR(H1125=MappingTables!$C$34,H1125=MappingTables!$C$35),P1125,0))</f>
        <v>0</v>
      </c>
      <c r="R1125" s="73">
        <f>IF(ISNA(IF(AND(VLOOKUP(CONCATENATE($D1125,$G1125),CSRFinput!$B:$E,4,0)=0,OR(H1125=MappingTables!$C$31,H1125=MappingTables!$C$32)),1,VLOOKUP(CONCATENATE($D1125,$G1125),CSRFinput!$B:$E,4,0))),0,IF(AND(VLOOKUP(CONCATENATE($D1125,$G1125),CSRFinput!$B:$E,4,0)=0,OR(H1125=MappingTables!$C$31,H1125=MappingTables!$C$32)),1,VLOOKUP(CONCATENATE($D1125,$G1125),CSRFinput!$B:$E,4,0)))</f>
        <v>0.054776304963434752</v>
      </c>
      <c r="S1125" s="73">
        <f>IF(B1125="",0,P1125*R1125)</f>
        <v>0.77163142736040464</v>
      </c>
      <c r="T1125" s="85">
        <f>IF(B1125="",0,IF(OR(H1125=MappingTables!$C$34,H1125=MappingTables!$C$35),S1125,0))</f>
        <v>0</v>
      </c>
    </row>
    <row r="1126" spans="2:20" s="0" customFormat="0" ht="15">
      <c r="B1126" s="69" t="s">
        <v>4734</v>
      </c>
      <c r="C1126" s="70" t="s">
        <v>4735</v>
      </c>
      <c r="D1126" s="70" t="s">
        <v>1</v>
      </c>
      <c r="E1126" s="70" t="s">
        <v>1</v>
      </c>
      <c r="F1126" s="70"/>
      <c r="G1126" s="70" t="s">
        <v>61</v>
      </c>
      <c r="H1126" s="70" t="s">
        <v>178</v>
      </c>
      <c r="I1126" s="70" t="s">
        <v>198</v>
      </c>
      <c r="J1126" s="71" t="str">
        <f>IF(OR(I1126=0,I1126=""),"unrated",VLOOKUP(I1126,MappingTables!$B$19:$C$31,2,FALSE))</f>
        <v>unrated</v>
      </c>
      <c r="K1126" s="72">
        <v>340.1603139702962</v>
      </c>
      <c r="L1126" s="70">
        <v>0.069026582124957256</v>
      </c>
      <c r="M1126" s="71">
        <f>IF(L1126&lt;1,1,L1126)</f>
        <v>1</v>
      </c>
      <c r="N1126" s="70" t="s">
        <v>3288</v>
      </c>
      <c r="O1126" s="71">
        <f>IF(OR(I1126=$A$1,I1126=0),"",IF(N1126=MappingTables!$C$14,VLOOKUP(J1126,ModelParameters!$M$8:$N$15,2,FALSE),IF(N1126=MappingTables!$C$16,VLOOKUP(J1126,ModelParameters!$P$8:$Q$15,2,FALSE),0)))</f>
        <v>1</v>
      </c>
      <c r="P1126" s="73">
        <f>IF(OR(I1126=0,I1126=$A$1),0,MIN(O1126*M1126,1)*K1126)</f>
        <v>340.1603139702962</v>
      </c>
      <c r="Q1126" s="73">
        <f>IF(B1126="",0,IF(OR(H1126=MappingTables!$C$34,H1126=MappingTables!$C$35),P1126,0))</f>
        <v>0</v>
      </c>
      <c r="R1126" s="73">
        <f>IF(ISNA(IF(AND(VLOOKUP(CONCATENATE($D1126,$G1126),CSRFinput!$B:$E,4,0)=0,OR(H1126=MappingTables!$C$31,H1126=MappingTables!$C$32)),1,VLOOKUP(CONCATENATE($D1126,$G1126),CSRFinput!$B:$E,4,0))),0,IF(AND(VLOOKUP(CONCATENATE($D1126,$G1126),CSRFinput!$B:$E,4,0)=0,OR(H1126=MappingTables!$C$31,H1126=MappingTables!$C$32)),1,VLOOKUP(CONCATENATE($D1126,$G1126),CSRFinput!$B:$E,4,0)))</f>
        <v>0.054776304963434752</v>
      </c>
      <c r="S1126" s="73">
        <f>IF(B1126="",0,P1126*R1126)</f>
        <v>18.63272509449466</v>
      </c>
      <c r="T1126" s="85">
        <f>IF(B1126="",0,IF(OR(H1126=MappingTables!$C$34,H1126=MappingTables!$C$35),S1126,0))</f>
        <v>0</v>
      </c>
    </row>
    <row r="1127" spans="2:20" s="0" customFormat="0" ht="15">
      <c r="B1127" s="69" t="s">
        <v>4601</v>
      </c>
      <c r="C1127" s="70" t="s">
        <v>4602</v>
      </c>
      <c r="D1127" s="70" t="s">
        <v>1</v>
      </c>
      <c r="E1127" s="70" t="s">
        <v>1</v>
      </c>
      <c r="F1127" s="70"/>
      <c r="G1127" s="70" t="s">
        <v>61</v>
      </c>
      <c r="H1127" s="70" t="s">
        <v>178</v>
      </c>
      <c r="I1127" s="70" t="s">
        <v>204</v>
      </c>
      <c r="J1127" s="71">
        <f>IF(OR(I1127=0,I1127=""),"unrated",VLOOKUP(I1127,MappingTables!$B$19:$C$31,2,FALSE))</f>
        <v>6</v>
      </c>
      <c r="K1127" s="72">
        <v>195.5465731896984</v>
      </c>
      <c r="L1127" s="70">
        <v>0.045317711518954264</v>
      </c>
      <c r="M1127" s="71">
        <f>IF(L1127&lt;1,1,L1127)</f>
        <v>1</v>
      </c>
      <c r="N1127" s="70" t="s">
        <v>3288</v>
      </c>
      <c r="O1127" s="71">
        <f>IF(OR(I1127=$A$1,I1127=0),"",IF(N1127=MappingTables!$C$14,VLOOKUP(J1127,ModelParameters!$M$8:$N$15,2,FALSE),IF(N1127=MappingTables!$C$16,VLOOKUP(J1127,ModelParameters!$P$8:$Q$15,2,FALSE),0)))</f>
        <v>1</v>
      </c>
      <c r="P1127" s="73">
        <f>IF(OR(I1127=0,I1127=$A$1),0,MIN(O1127*M1127,1)*K1127)</f>
        <v>195.5465731896984</v>
      </c>
      <c r="Q1127" s="73">
        <f>IF(B1127="",0,IF(OR(H1127=MappingTables!$C$34,H1127=MappingTables!$C$35),P1127,0))</f>
        <v>0</v>
      </c>
      <c r="R1127" s="73">
        <f>IF(ISNA(IF(AND(VLOOKUP(CONCATENATE($D1127,$G1127),CSRFinput!$B:$E,4,0)=0,OR(H1127=MappingTables!$C$31,H1127=MappingTables!$C$32)),1,VLOOKUP(CONCATENATE($D1127,$G1127),CSRFinput!$B:$E,4,0))),0,IF(AND(VLOOKUP(CONCATENATE($D1127,$G1127),CSRFinput!$B:$E,4,0)=0,OR(H1127=MappingTables!$C$31,H1127=MappingTables!$C$32)),1,VLOOKUP(CONCATENATE($D1127,$G1127),CSRFinput!$B:$E,4,0)))</f>
        <v>0.054776304963434752</v>
      </c>
      <c r="S1127" s="73">
        <f>IF(B1127="",0,P1127*R1127)</f>
        <v>10.711318727593534</v>
      </c>
      <c r="T1127" s="85">
        <f>IF(B1127="",0,IF(OR(H1127=MappingTables!$C$34,H1127=MappingTables!$C$35),S1127,0))</f>
        <v>0</v>
      </c>
    </row>
    <row r="1128" spans="2:20" s="0" customFormat="0" ht="15">
      <c r="B1128" s="69" t="s">
        <v>3918</v>
      </c>
      <c r="C1128" s="70" t="s">
        <v>3919</v>
      </c>
      <c r="D1128" s="70" t="s">
        <v>1</v>
      </c>
      <c r="E1128" s="70" t="s">
        <v>1</v>
      </c>
      <c r="F1128" s="70"/>
      <c r="G1128" s="70" t="s">
        <v>61</v>
      </c>
      <c r="H1128" s="70" t="s">
        <v>178</v>
      </c>
      <c r="I1128" s="70" t="s">
        <v>198</v>
      </c>
      <c r="J1128" s="71" t="str">
        <f>IF(OR(I1128=0,I1128=""),"unrated",VLOOKUP(I1128,MappingTables!$B$19:$C$31,2,FALSE))</f>
        <v>unrated</v>
      </c>
      <c r="K1128" s="72">
        <v>294.60418810735864</v>
      </c>
      <c r="L1128" s="70">
        <v>0.26043290521419364</v>
      </c>
      <c r="M1128" s="71">
        <f>IF(L1128&lt;1,1,L1128)</f>
        <v>1</v>
      </c>
      <c r="N1128" s="70" t="s">
        <v>3288</v>
      </c>
      <c r="O1128" s="71">
        <f>IF(OR(I1128=$A$1,I1128=0),"",IF(N1128=MappingTables!$C$14,VLOOKUP(J1128,ModelParameters!$M$8:$N$15,2,FALSE),IF(N1128=MappingTables!$C$16,VLOOKUP(J1128,ModelParameters!$P$8:$Q$15,2,FALSE),0)))</f>
        <v>1</v>
      </c>
      <c r="P1128" s="73">
        <f>IF(OR(I1128=0,I1128=$A$1),0,MIN(O1128*M1128,1)*K1128)</f>
        <v>294.60418810735864</v>
      </c>
      <c r="Q1128" s="73">
        <f>IF(B1128="",0,IF(OR(H1128=MappingTables!$C$34,H1128=MappingTables!$C$35),P1128,0))</f>
        <v>0</v>
      </c>
      <c r="R1128" s="73">
        <f>IF(ISNA(IF(AND(VLOOKUP(CONCATENATE($D1128,$G1128),CSRFinput!$B:$E,4,0)=0,OR(H1128=MappingTables!$C$31,H1128=MappingTables!$C$32)),1,VLOOKUP(CONCATENATE($D1128,$G1128),CSRFinput!$B:$E,4,0))),0,IF(AND(VLOOKUP(CONCATENATE($D1128,$G1128),CSRFinput!$B:$E,4,0)=0,OR(H1128=MappingTables!$C$31,H1128=MappingTables!$C$32)),1,VLOOKUP(CONCATENATE($D1128,$G1128),CSRFinput!$B:$E,4,0)))</f>
        <v>0.054776304963434752</v>
      </c>
      <c r="S1128" s="73">
        <f>IF(B1128="",0,P1128*R1128)</f>
        <v>16.137328851273776</v>
      </c>
      <c r="T1128" s="85">
        <f>IF(B1128="",0,IF(OR(H1128=MappingTables!$C$34,H1128=MappingTables!$C$35),S1128,0))</f>
        <v>0</v>
      </c>
    </row>
    <row r="1129" spans="2:20" s="0" customFormat="0" ht="15">
      <c r="B1129" s="69">
        <v>16974060</v>
      </c>
      <c r="C1129" s="70" t="s">
        <v>4736</v>
      </c>
      <c r="D1129" s="70" t="s">
        <v>1</v>
      </c>
      <c r="E1129" s="70" t="s">
        <v>1</v>
      </c>
      <c r="F1129" s="70"/>
      <c r="G1129" s="70" t="s">
        <v>61</v>
      </c>
      <c r="H1129" s="70" t="s">
        <v>178</v>
      </c>
      <c r="I1129" s="70" t="s">
        <v>198</v>
      </c>
      <c r="J1129" s="71" t="str">
        <f>IF(OR(I1129=0,I1129=""),"unrated",VLOOKUP(I1129,MappingTables!$B$19:$C$31,2,FALSE))</f>
        <v>unrated</v>
      </c>
      <c r="K1129" s="72">
        <v>573.09099705614248</v>
      </c>
      <c r="L1129" s="70">
        <v>0.12925235042930902</v>
      </c>
      <c r="M1129" s="71">
        <f>IF(L1129&lt;1,1,L1129)</f>
        <v>1</v>
      </c>
      <c r="N1129" s="70" t="s">
        <v>3288</v>
      </c>
      <c r="O1129" s="71">
        <f>IF(OR(I1129=$A$1,I1129=0),"",IF(N1129=MappingTables!$C$14,VLOOKUP(J1129,ModelParameters!$M$8:$N$15,2,FALSE),IF(N1129=MappingTables!$C$16,VLOOKUP(J1129,ModelParameters!$P$8:$Q$15,2,FALSE),0)))</f>
        <v>1</v>
      </c>
      <c r="P1129" s="73">
        <f>IF(OR(I1129=0,I1129=$A$1),0,MIN(O1129*M1129,1)*K1129)</f>
        <v>573.09099705614248</v>
      </c>
      <c r="Q1129" s="73">
        <f>IF(B1129="",0,IF(OR(H1129=MappingTables!$C$34,H1129=MappingTables!$C$35),P1129,0))</f>
        <v>0</v>
      </c>
      <c r="R1129" s="73">
        <f>IF(ISNA(IF(AND(VLOOKUP(CONCATENATE($D1129,$G1129),CSRFinput!$B:$E,4,0)=0,OR(H1129=MappingTables!$C$31,H1129=MappingTables!$C$32)),1,VLOOKUP(CONCATENATE($D1129,$G1129),CSRFinput!$B:$E,4,0))),0,IF(AND(VLOOKUP(CONCATENATE($D1129,$G1129),CSRFinput!$B:$E,4,0)=0,OR(H1129=MappingTables!$C$31,H1129=MappingTables!$C$32)),1,VLOOKUP(CONCATENATE($D1129,$G1129),CSRFinput!$B:$E,4,0)))</f>
        <v>0.054776304963434752</v>
      </c>
      <c r="S1129" s="73">
        <f>IF(B1129="",0,P1129*R1129)</f>
        <v>31.391807226546144</v>
      </c>
      <c r="T1129" s="85">
        <f>IF(B1129="",0,IF(OR(H1129=MappingTables!$C$34,H1129=MappingTables!$C$35),S1129,0))</f>
        <v>0</v>
      </c>
    </row>
    <row r="1130" spans="2:20" s="0" customFormat="0" ht="15">
      <c r="B1130" s="69">
        <v>20113242</v>
      </c>
      <c r="C1130" s="70" t="s">
        <v>4572</v>
      </c>
      <c r="D1130" s="70" t="s">
        <v>1</v>
      </c>
      <c r="E1130" s="70" t="s">
        <v>1</v>
      </c>
      <c r="F1130" s="70"/>
      <c r="G1130" s="70" t="s">
        <v>61</v>
      </c>
      <c r="H1130" s="70" t="s">
        <v>178</v>
      </c>
      <c r="I1130" s="70" t="s">
        <v>198</v>
      </c>
      <c r="J1130" s="71" t="str">
        <f>IF(OR(I1130=0,I1130=""),"unrated",VLOOKUP(I1130,MappingTables!$B$19:$C$31,2,FALSE))</f>
        <v>unrated</v>
      </c>
      <c r="K1130" s="72">
        <v>74.293780673359344</v>
      </c>
      <c r="L1130" s="70">
        <v>0.07907244928391576</v>
      </c>
      <c r="M1130" s="71">
        <f>IF(L1130&lt;1,1,L1130)</f>
        <v>1</v>
      </c>
      <c r="N1130" s="70" t="s">
        <v>3288</v>
      </c>
      <c r="O1130" s="71">
        <f>IF(OR(I1130=$A$1,I1130=0),"",IF(N1130=MappingTables!$C$14,VLOOKUP(J1130,ModelParameters!$M$8:$N$15,2,FALSE),IF(N1130=MappingTables!$C$16,VLOOKUP(J1130,ModelParameters!$P$8:$Q$15,2,FALSE),0)))</f>
        <v>1</v>
      </c>
      <c r="P1130" s="73">
        <f>IF(OR(I1130=0,I1130=$A$1),0,MIN(O1130*M1130,1)*K1130)</f>
        <v>74.293780673359344</v>
      </c>
      <c r="Q1130" s="73">
        <f>IF(B1130="",0,IF(OR(H1130=MappingTables!$C$34,H1130=MappingTables!$C$35),P1130,0))</f>
        <v>0</v>
      </c>
      <c r="R1130" s="73">
        <f>IF(ISNA(IF(AND(VLOOKUP(CONCATENATE($D1130,$G1130),CSRFinput!$B:$E,4,0)=0,OR(H1130=MappingTables!$C$31,H1130=MappingTables!$C$32)),1,VLOOKUP(CONCATENATE($D1130,$G1130),CSRFinput!$B:$E,4,0))),0,IF(AND(VLOOKUP(CONCATENATE($D1130,$G1130),CSRFinput!$B:$E,4,0)=0,OR(H1130=MappingTables!$C$31,H1130=MappingTables!$C$32)),1,VLOOKUP(CONCATENATE($D1130,$G1130),CSRFinput!$B:$E,4,0)))</f>
        <v>0.054776304963434752</v>
      </c>
      <c r="S1130" s="73">
        <f>IF(B1130="",0,P1130*R1130)</f>
        <v>4.0695387870504664</v>
      </c>
      <c r="T1130" s="85">
        <f>IF(B1130="",0,IF(OR(H1130=MappingTables!$C$34,H1130=MappingTables!$C$35),S1130,0))</f>
        <v>0</v>
      </c>
    </row>
    <row r="1131" spans="2:20" s="0" customFormat="0" ht="15">
      <c r="B1131" s="69">
        <v>11578832</v>
      </c>
      <c r="C1131" s="70" t="s">
        <v>4043</v>
      </c>
      <c r="D1131" s="70" t="s">
        <v>1</v>
      </c>
      <c r="E1131" s="70" t="s">
        <v>1</v>
      </c>
      <c r="F1131" s="70"/>
      <c r="G1131" s="70" t="s">
        <v>61</v>
      </c>
      <c r="H1131" s="70" t="s">
        <v>178</v>
      </c>
      <c r="I1131" s="70" t="s">
        <v>216</v>
      </c>
      <c r="J1131" s="71">
        <f>IF(OR(I1131=0,I1131=""),"unrated",VLOOKUP(I1131,MappingTables!$B$19:$C$31,2,FALSE))</f>
        <v>0</v>
      </c>
      <c r="K1131" s="72">
        <v>2492.8604109692348</v>
      </c>
      <c r="L1131" s="70">
        <v>3.9671605922385112</v>
      </c>
      <c r="M1131" s="71">
        <f>IF(L1131&lt;1,1,L1131)</f>
        <v>3.9671605922385112</v>
      </c>
      <c r="N1131" s="70" t="s">
        <v>3288</v>
      </c>
      <c r="O1131" s="71">
        <f>IF(OR(I1131=$A$1,I1131=0),"",IF(N1131=MappingTables!$C$14,VLOOKUP(J1131,ModelParameters!$M$8:$N$15,2,FALSE),IF(N1131=MappingTables!$C$16,VLOOKUP(J1131,ModelParameters!$P$8:$Q$15,2,FALSE),0)))</f>
        <v>0.125</v>
      </c>
      <c r="P1131" s="73">
        <f>IF(OR(I1131=0,I1131=$A$1),0,MIN(O1131*M1131,1)*K1131)</f>
        <v>1236.197198043581</v>
      </c>
      <c r="Q1131" s="73">
        <f>IF(B1131="",0,IF(OR(H1131=MappingTables!$C$34,H1131=MappingTables!$C$35),P1131,0))</f>
        <v>0</v>
      </c>
      <c r="R1131" s="73">
        <f>IF(ISNA(IF(AND(VLOOKUP(CONCATENATE($D1131,$G1131),CSRFinput!$B:$E,4,0)=0,OR(H1131=MappingTables!$C$31,H1131=MappingTables!$C$32)),1,VLOOKUP(CONCATENATE($D1131,$G1131),CSRFinput!$B:$E,4,0))),0,IF(AND(VLOOKUP(CONCATENATE($D1131,$G1131),CSRFinput!$B:$E,4,0)=0,OR(H1131=MappingTables!$C$31,H1131=MappingTables!$C$32)),1,VLOOKUP(CONCATENATE($D1131,$G1131),CSRFinput!$B:$E,4,0)))</f>
        <v>0.054776304963434752</v>
      </c>
      <c r="S1131" s="73">
        <f>IF(B1131="",0,P1131*R1131)</f>
        <v>67.714314714978744</v>
      </c>
      <c r="T1131" s="85">
        <f>IF(B1131="",0,IF(OR(H1131=MappingTables!$C$34,H1131=MappingTables!$C$35),S1131,0))</f>
        <v>0</v>
      </c>
    </row>
    <row r="1132" spans="2:20" s="0" customFormat="0" ht="15">
      <c r="B1132" s="69" t="s">
        <v>4487</v>
      </c>
      <c r="C1132" s="70" t="s">
        <v>4488</v>
      </c>
      <c r="D1132" s="70" t="s">
        <v>1</v>
      </c>
      <c r="E1132" s="70" t="s">
        <v>1</v>
      </c>
      <c r="F1132" s="70"/>
      <c r="G1132" s="70" t="s">
        <v>61</v>
      </c>
      <c r="H1132" s="70" t="s">
        <v>178</v>
      </c>
      <c r="I1132" s="70" t="s">
        <v>184</v>
      </c>
      <c r="J1132" s="71">
        <f>IF(OR(I1132=0,I1132=""),"unrated",VLOOKUP(I1132,MappingTables!$B$19:$C$31,2,FALSE))</f>
        <v>5</v>
      </c>
      <c r="K1132" s="72">
        <v>10407.649849520572</v>
      </c>
      <c r="L1132" s="70">
        <v>4.346572781796536</v>
      </c>
      <c r="M1132" s="71">
        <f>IF(L1132&lt;1,1,L1132)</f>
        <v>4.346572781796536</v>
      </c>
      <c r="N1132" s="70" t="s">
        <v>3288</v>
      </c>
      <c r="O1132" s="71">
        <f>IF(OR(I1132=$A$1,I1132=0),"",IF(N1132=MappingTables!$C$14,VLOOKUP(J1132,ModelParameters!$M$8:$N$15,2,FALSE),IF(N1132=MappingTables!$C$16,VLOOKUP(J1132,ModelParameters!$P$8:$Q$15,2,FALSE),0)))</f>
        <v>1</v>
      </c>
      <c r="P1132" s="73">
        <f>IF(OR(I1132=0,I1132=$A$1),0,MIN(O1132*M1132,1)*K1132)</f>
        <v>10407.649849520572</v>
      </c>
      <c r="Q1132" s="73">
        <f>IF(B1132="",0,IF(OR(H1132=MappingTables!$C$34,H1132=MappingTables!$C$35),P1132,0))</f>
        <v>0</v>
      </c>
      <c r="R1132" s="73">
        <f>IF(ISNA(IF(AND(VLOOKUP(CONCATENATE($D1132,$G1132),CSRFinput!$B:$E,4,0)=0,OR(H1132=MappingTables!$C$31,H1132=MappingTables!$C$32)),1,VLOOKUP(CONCATENATE($D1132,$G1132),CSRFinput!$B:$E,4,0))),0,IF(AND(VLOOKUP(CONCATENATE($D1132,$G1132),CSRFinput!$B:$E,4,0)=0,OR(H1132=MappingTables!$C$31,H1132=MappingTables!$C$32)),1,VLOOKUP(CONCATENATE($D1132,$G1132),CSRFinput!$B:$E,4,0)))</f>
        <v>0.054776304963434752</v>
      </c>
      <c r="S1132" s="73">
        <f>IF(B1132="",0,P1132*R1132)</f>
        <v>570.09260210998472</v>
      </c>
      <c r="T1132" s="85">
        <f>IF(B1132="",0,IF(OR(H1132=MappingTables!$C$34,H1132=MappingTables!$C$35),S1132,0))</f>
        <v>0</v>
      </c>
    </row>
    <row r="1133" spans="2:20" s="0" customFormat="0" ht="15">
      <c r="B1133" s="69" t="s">
        <v>4166</v>
      </c>
      <c r="C1133" s="70" t="s">
        <v>4167</v>
      </c>
      <c r="D1133" s="70" t="s">
        <v>1</v>
      </c>
      <c r="E1133" s="70" t="s">
        <v>1</v>
      </c>
      <c r="F1133" s="70"/>
      <c r="G1133" s="70" t="s">
        <v>61</v>
      </c>
      <c r="H1133" s="70" t="s">
        <v>178</v>
      </c>
      <c r="I1133" s="70" t="s">
        <v>184</v>
      </c>
      <c r="J1133" s="71">
        <f>IF(OR(I1133=0,I1133=""),"unrated",VLOOKUP(I1133,MappingTables!$B$19:$C$31,2,FALSE))</f>
        <v>5</v>
      </c>
      <c r="K1133" s="72">
        <v>92.666101072043136</v>
      </c>
      <c r="L1133" s="70">
        <v>0.068494535960716904</v>
      </c>
      <c r="M1133" s="71">
        <f>IF(L1133&lt;1,1,L1133)</f>
        <v>1</v>
      </c>
      <c r="N1133" s="70" t="s">
        <v>3288</v>
      </c>
      <c r="O1133" s="71">
        <f>IF(OR(I1133=$A$1,I1133=0),"",IF(N1133=MappingTables!$C$14,VLOOKUP(J1133,ModelParameters!$M$8:$N$15,2,FALSE),IF(N1133=MappingTables!$C$16,VLOOKUP(J1133,ModelParameters!$P$8:$Q$15,2,FALSE),0)))</f>
        <v>1</v>
      </c>
      <c r="P1133" s="73">
        <f>IF(OR(I1133=0,I1133=$A$1),0,MIN(O1133*M1133,1)*K1133)</f>
        <v>92.666101072043136</v>
      </c>
      <c r="Q1133" s="73">
        <f>IF(B1133="",0,IF(OR(H1133=MappingTables!$C$34,H1133=MappingTables!$C$35),P1133,0))</f>
        <v>0</v>
      </c>
      <c r="R1133" s="73">
        <f>IF(ISNA(IF(AND(VLOOKUP(CONCATENATE($D1133,$G1133),CSRFinput!$B:$E,4,0)=0,OR(H1133=MappingTables!$C$31,H1133=MappingTables!$C$32)),1,VLOOKUP(CONCATENATE($D1133,$G1133),CSRFinput!$B:$E,4,0))),0,IF(AND(VLOOKUP(CONCATENATE($D1133,$G1133),CSRFinput!$B:$E,4,0)=0,OR(H1133=MappingTables!$C$31,H1133=MappingTables!$C$32)),1,VLOOKUP(CONCATENATE($D1133,$G1133),CSRFinput!$B:$E,4,0)))</f>
        <v>0.054776304963434752</v>
      </c>
      <c r="S1133" s="73">
        <f>IF(B1133="",0,P1133*R1133)</f>
        <v>5.0759066120947024</v>
      </c>
      <c r="T1133" s="85">
        <f>IF(B1133="",0,IF(OR(H1133=MappingTables!$C$34,H1133=MappingTables!$C$35),S1133,0))</f>
        <v>0</v>
      </c>
    </row>
    <row r="1134" spans="2:20" s="0" customFormat="0" ht="15">
      <c r="B1134" s="69" t="s">
        <v>4138</v>
      </c>
      <c r="C1134" s="70" t="s">
        <v>4139</v>
      </c>
      <c r="D1134" s="70" t="s">
        <v>1</v>
      </c>
      <c r="E1134" s="70" t="s">
        <v>1</v>
      </c>
      <c r="F1134" s="70"/>
      <c r="G1134" s="70" t="s">
        <v>61</v>
      </c>
      <c r="H1134" s="70" t="s">
        <v>178</v>
      </c>
      <c r="I1134" s="70" t="s">
        <v>3298</v>
      </c>
      <c r="J1134" s="71">
        <f>IF(OR(I1134=0,I1134=""),"unrated",VLOOKUP(I1134,MappingTables!$B$19:$C$31,2,FALSE))</f>
        <v>6</v>
      </c>
      <c r="K1134" s="72">
        <v>463.56172722650768</v>
      </c>
      <c r="L1134" s="70">
        <v>0.068492654879438288</v>
      </c>
      <c r="M1134" s="71">
        <f>IF(L1134&lt;1,1,L1134)</f>
        <v>1</v>
      </c>
      <c r="N1134" s="70" t="s">
        <v>3288</v>
      </c>
      <c r="O1134" s="71">
        <f>IF(OR(I1134=$A$1,I1134=0),"",IF(N1134=MappingTables!$C$14,VLOOKUP(J1134,ModelParameters!$M$8:$N$15,2,FALSE),IF(N1134=MappingTables!$C$16,VLOOKUP(J1134,ModelParameters!$P$8:$Q$15,2,FALSE),0)))</f>
        <v>1</v>
      </c>
      <c r="P1134" s="73">
        <f>IF(OR(I1134=0,I1134=$A$1),0,MIN(O1134*M1134,1)*K1134)</f>
        <v>463.56172722650768</v>
      </c>
      <c r="Q1134" s="73">
        <f>IF(B1134="",0,IF(OR(H1134=MappingTables!$C$34,H1134=MappingTables!$C$35),P1134,0))</f>
        <v>0</v>
      </c>
      <c r="R1134" s="73">
        <f>IF(ISNA(IF(AND(VLOOKUP(CONCATENATE($D1134,$G1134),CSRFinput!$B:$E,4,0)=0,OR(H1134=MappingTables!$C$31,H1134=MappingTables!$C$32)),1,VLOOKUP(CONCATENATE($D1134,$G1134),CSRFinput!$B:$E,4,0))),0,IF(AND(VLOOKUP(CONCATENATE($D1134,$G1134),CSRFinput!$B:$E,4,0)=0,OR(H1134=MappingTables!$C$31,H1134=MappingTables!$C$32)),1,VLOOKUP(CONCATENATE($D1134,$G1134),CSRFinput!$B:$E,4,0)))</f>
        <v>0.054776304963434752</v>
      </c>
      <c r="S1134" s="73">
        <f>IF(B1134="",0,P1134*R1134)</f>
        <v>25.39219853993574</v>
      </c>
      <c r="T1134" s="85">
        <f>IF(B1134="",0,IF(OR(H1134=MappingTables!$C$34,H1134=MappingTables!$C$35),S1134,0))</f>
        <v>0</v>
      </c>
    </row>
    <row r="1135" spans="2:20" s="0" customFormat="0" ht="15">
      <c r="B1135" s="69" t="s">
        <v>4734</v>
      </c>
      <c r="C1135" s="70" t="s">
        <v>4735</v>
      </c>
      <c r="D1135" s="70" t="s">
        <v>1</v>
      </c>
      <c r="E1135" s="70" t="s">
        <v>1</v>
      </c>
      <c r="F1135" s="70"/>
      <c r="G1135" s="70" t="s">
        <v>61</v>
      </c>
      <c r="H1135" s="70" t="s">
        <v>178</v>
      </c>
      <c r="I1135" s="70" t="s">
        <v>198</v>
      </c>
      <c r="J1135" s="71" t="str">
        <f>IF(OR(I1135=0,I1135=""),"unrated",VLOOKUP(I1135,MappingTables!$B$19:$C$31,2,FALSE))</f>
        <v>unrated</v>
      </c>
      <c r="K1135" s="72">
        <v>721.5031799479928</v>
      </c>
      <c r="L1135" s="70">
        <v>0.069026582124968424</v>
      </c>
      <c r="M1135" s="71">
        <f>IF(L1135&lt;1,1,L1135)</f>
        <v>1</v>
      </c>
      <c r="N1135" s="70" t="s">
        <v>3288</v>
      </c>
      <c r="O1135" s="71">
        <f>IF(OR(I1135=$A$1,I1135=0),"",IF(N1135=MappingTables!$C$14,VLOOKUP(J1135,ModelParameters!$M$8:$N$15,2,FALSE),IF(N1135=MappingTables!$C$16,VLOOKUP(J1135,ModelParameters!$P$8:$Q$15,2,FALSE),0)))</f>
        <v>1</v>
      </c>
      <c r="P1135" s="73">
        <f>IF(OR(I1135=0,I1135=$A$1),0,MIN(O1135*M1135,1)*K1135)</f>
        <v>721.5031799479928</v>
      </c>
      <c r="Q1135" s="73">
        <f>IF(B1135="",0,IF(OR(H1135=MappingTables!$C$34,H1135=MappingTables!$C$35),P1135,0))</f>
        <v>0</v>
      </c>
      <c r="R1135" s="73">
        <f>IF(ISNA(IF(AND(VLOOKUP(CONCATENATE($D1135,$G1135),CSRFinput!$B:$E,4,0)=0,OR(H1135=MappingTables!$C$31,H1135=MappingTables!$C$32)),1,VLOOKUP(CONCATENATE($D1135,$G1135),CSRFinput!$B:$E,4,0))),0,IF(AND(VLOOKUP(CONCATENATE($D1135,$G1135),CSRFinput!$B:$E,4,0)=0,OR(H1135=MappingTables!$C$31,H1135=MappingTables!$C$32)),1,VLOOKUP(CONCATENATE($D1135,$G1135),CSRFinput!$B:$E,4,0)))</f>
        <v>0.054776304963434752</v>
      </c>
      <c r="S1135" s="73">
        <f>IF(B1135="",0,P1135*R1135)</f>
        <v>39.521278216919192</v>
      </c>
      <c r="T1135" s="85">
        <f>IF(B1135="",0,IF(OR(H1135=MappingTables!$C$34,H1135=MappingTables!$C$35),S1135,0))</f>
        <v>0</v>
      </c>
    </row>
    <row r="1136" spans="2:20" s="0" customFormat="0" ht="15">
      <c r="B1136" s="69" t="s">
        <v>4737</v>
      </c>
      <c r="C1136" s="70" t="s">
        <v>4738</v>
      </c>
      <c r="D1136" s="70" t="s">
        <v>1</v>
      </c>
      <c r="E1136" s="70" t="s">
        <v>1</v>
      </c>
      <c r="F1136" s="70"/>
      <c r="G1136" s="70" t="s">
        <v>61</v>
      </c>
      <c r="H1136" s="70" t="s">
        <v>178</v>
      </c>
      <c r="I1136" s="70" t="s">
        <v>184</v>
      </c>
      <c r="J1136" s="71">
        <f>IF(OR(I1136=0,I1136=""),"unrated",VLOOKUP(I1136,MappingTables!$B$19:$C$31,2,FALSE))</f>
        <v>5</v>
      </c>
      <c r="K1136" s="72">
        <v>1.3611331463993592</v>
      </c>
      <c r="L1136" s="70">
        <v>0.068493294885387344</v>
      </c>
      <c r="M1136" s="71">
        <f>IF(L1136&lt;1,1,L1136)</f>
        <v>1</v>
      </c>
      <c r="N1136" s="70" t="s">
        <v>3288</v>
      </c>
      <c r="O1136" s="71">
        <f>IF(OR(I1136=$A$1,I1136=0),"",IF(N1136=MappingTables!$C$14,VLOOKUP(J1136,ModelParameters!$M$8:$N$15,2,FALSE),IF(N1136=MappingTables!$C$16,VLOOKUP(J1136,ModelParameters!$P$8:$Q$15,2,FALSE),0)))</f>
        <v>1</v>
      </c>
      <c r="P1136" s="73">
        <f>IF(OR(I1136=0,I1136=$A$1),0,MIN(O1136*M1136,1)*K1136)</f>
        <v>1.3611331463993592</v>
      </c>
      <c r="Q1136" s="73">
        <f>IF(B1136="",0,IF(OR(H1136=MappingTables!$C$34,H1136=MappingTables!$C$35),P1136,0))</f>
        <v>0</v>
      </c>
      <c r="R1136" s="73">
        <f>IF(ISNA(IF(AND(VLOOKUP(CONCATENATE($D1136,$G1136),CSRFinput!$B:$E,4,0)=0,OR(H1136=MappingTables!$C$31,H1136=MappingTables!$C$32)),1,VLOOKUP(CONCATENATE($D1136,$G1136),CSRFinput!$B:$E,4,0))),0,IF(AND(VLOOKUP(CONCATENATE($D1136,$G1136),CSRFinput!$B:$E,4,0)=0,OR(H1136=MappingTables!$C$31,H1136=MappingTables!$C$32)),1,VLOOKUP(CONCATENATE($D1136,$G1136),CSRFinput!$B:$E,4,0)))</f>
        <v>0.054776304963434752</v>
      </c>
      <c r="S1136" s="73">
        <f>IF(B1136="",0,P1136*R1136)</f>
        <v>0.074557844323010784</v>
      </c>
      <c r="T1136" s="85">
        <f>IF(B1136="",0,IF(OR(H1136=MappingTables!$C$34,H1136=MappingTables!$C$35),S1136,0))</f>
        <v>0</v>
      </c>
    </row>
    <row r="1137" spans="2:20" s="0" customFormat="0" ht="15">
      <c r="B1137" s="69" t="s">
        <v>4739</v>
      </c>
      <c r="C1137" s="70" t="s">
        <v>4740</v>
      </c>
      <c r="D1137" s="70" t="s">
        <v>1</v>
      </c>
      <c r="E1137" s="70" t="s">
        <v>1</v>
      </c>
      <c r="F1137" s="70"/>
      <c r="G1137" s="70" t="s">
        <v>61</v>
      </c>
      <c r="H1137" s="70" t="s">
        <v>178</v>
      </c>
      <c r="I1137" s="70" t="s">
        <v>198</v>
      </c>
      <c r="J1137" s="71" t="str">
        <f>IF(OR(I1137=0,I1137=""),"unrated",VLOOKUP(I1137,MappingTables!$B$19:$C$31,2,FALSE))</f>
        <v>unrated</v>
      </c>
      <c r="K1137" s="72">
        <v>97.114801018563952</v>
      </c>
      <c r="L1137" s="70">
        <v>10.863918261794376</v>
      </c>
      <c r="M1137" s="71">
        <f>IF(L1137&lt;1,1,L1137)</f>
        <v>10.863918261794376</v>
      </c>
      <c r="N1137" s="70" t="s">
        <v>3288</v>
      </c>
      <c r="O1137" s="71">
        <f>IF(OR(I1137=$A$1,I1137=0),"",IF(N1137=MappingTables!$C$14,VLOOKUP(J1137,ModelParameters!$M$8:$N$15,2,FALSE),IF(N1137=MappingTables!$C$16,VLOOKUP(J1137,ModelParameters!$P$8:$Q$15,2,FALSE),0)))</f>
        <v>1</v>
      </c>
      <c r="P1137" s="73">
        <f>IF(OR(I1137=0,I1137=$A$1),0,MIN(O1137*M1137,1)*K1137)</f>
        <v>97.114801018563952</v>
      </c>
      <c r="Q1137" s="73">
        <f>IF(B1137="",0,IF(OR(H1137=MappingTables!$C$34,H1137=MappingTables!$C$35),P1137,0))</f>
        <v>0</v>
      </c>
      <c r="R1137" s="73">
        <f>IF(ISNA(IF(AND(VLOOKUP(CONCATENATE($D1137,$G1137),CSRFinput!$B:$E,4,0)=0,OR(H1137=MappingTables!$C$31,H1137=MappingTables!$C$32)),1,VLOOKUP(CONCATENATE($D1137,$G1137),CSRFinput!$B:$E,4,0))),0,IF(AND(VLOOKUP(CONCATENATE($D1137,$G1137),CSRFinput!$B:$E,4,0)=0,OR(H1137=MappingTables!$C$31,H1137=MappingTables!$C$32)),1,VLOOKUP(CONCATENATE($D1137,$G1137),CSRFinput!$B:$E,4,0)))</f>
        <v>0.054776304963434752</v>
      </c>
      <c r="S1137" s="73">
        <f>IF(B1137="",0,P1137*R1137)</f>
        <v>5.3195899570561432</v>
      </c>
      <c r="T1137" s="85">
        <f>IF(B1137="",0,IF(OR(H1137=MappingTables!$C$34,H1137=MappingTables!$C$35),S1137,0))</f>
        <v>0</v>
      </c>
    </row>
    <row r="1138" spans="2:20" s="0" customFormat="0" ht="15">
      <c r="B1138" s="69" t="s">
        <v>4741</v>
      </c>
      <c r="C1138" s="70" t="s">
        <v>4742</v>
      </c>
      <c r="D1138" s="70" t="s">
        <v>1</v>
      </c>
      <c r="E1138" s="70" t="s">
        <v>1</v>
      </c>
      <c r="F1138" s="70"/>
      <c r="G1138" s="70" t="s">
        <v>61</v>
      </c>
      <c r="H1138" s="70" t="s">
        <v>178</v>
      </c>
      <c r="I1138" s="70" t="s">
        <v>204</v>
      </c>
      <c r="J1138" s="71">
        <f>IF(OR(I1138=0,I1138=""),"unrated",VLOOKUP(I1138,MappingTables!$B$19:$C$31,2,FALSE))</f>
        <v>6</v>
      </c>
      <c r="K1138" s="72">
        <v>46.7905389739126</v>
      </c>
      <c r="L1138" s="70">
        <v>0.068489459920861248</v>
      </c>
      <c r="M1138" s="71">
        <f>IF(L1138&lt;1,1,L1138)</f>
        <v>1</v>
      </c>
      <c r="N1138" s="70" t="s">
        <v>3288</v>
      </c>
      <c r="O1138" s="71">
        <f>IF(OR(I1138=$A$1,I1138=0),"",IF(N1138=MappingTables!$C$14,VLOOKUP(J1138,ModelParameters!$M$8:$N$15,2,FALSE),IF(N1138=MappingTables!$C$16,VLOOKUP(J1138,ModelParameters!$P$8:$Q$15,2,FALSE),0)))</f>
        <v>1</v>
      </c>
      <c r="P1138" s="73">
        <f>IF(OR(I1138=0,I1138=$A$1),0,MIN(O1138*M1138,1)*K1138)</f>
        <v>46.7905389739126</v>
      </c>
      <c r="Q1138" s="73">
        <f>IF(B1138="",0,IF(OR(H1138=MappingTables!$C$34,H1138=MappingTables!$C$35),P1138,0))</f>
        <v>0</v>
      </c>
      <c r="R1138" s="73">
        <f>IF(ISNA(IF(AND(VLOOKUP(CONCATENATE($D1138,$G1138),CSRFinput!$B:$E,4,0)=0,OR(H1138=MappingTables!$C$31,H1138=MappingTables!$C$32)),1,VLOOKUP(CONCATENATE($D1138,$G1138),CSRFinput!$B:$E,4,0))),0,IF(AND(VLOOKUP(CONCATENATE($D1138,$G1138),CSRFinput!$B:$E,4,0)=0,OR(H1138=MappingTables!$C$31,H1138=MappingTables!$C$32)),1,VLOOKUP(CONCATENATE($D1138,$G1138),CSRFinput!$B:$E,4,0)))</f>
        <v>0.054776304963434752</v>
      </c>
      <c r="S1138" s="73">
        <f>IF(B1138="",0,P1138*R1138)</f>
        <v>2.563012832238516</v>
      </c>
      <c r="T1138" s="85">
        <f>IF(B1138="",0,IF(OR(H1138=MappingTables!$C$34,H1138=MappingTables!$C$35),S1138,0))</f>
        <v>0</v>
      </c>
    </row>
    <row r="1139" spans="2:20" s="0" customFormat="0" ht="15">
      <c r="B1139" s="69" t="s">
        <v>4743</v>
      </c>
      <c r="C1139" s="70" t="s">
        <v>4744</v>
      </c>
      <c r="D1139" s="70" t="s">
        <v>1</v>
      </c>
      <c r="E1139" s="70" t="s">
        <v>1</v>
      </c>
      <c r="F1139" s="70"/>
      <c r="G1139" s="70" t="s">
        <v>61</v>
      </c>
      <c r="H1139" s="70" t="s">
        <v>178</v>
      </c>
      <c r="I1139" s="70" t="s">
        <v>198</v>
      </c>
      <c r="J1139" s="71" t="str">
        <f>IF(OR(I1139=0,I1139=""),"unrated",VLOOKUP(I1139,MappingTables!$B$19:$C$31,2,FALSE))</f>
        <v>unrated</v>
      </c>
      <c r="K1139" s="72">
        <v>3.519261925434234</v>
      </c>
      <c r="L1139" s="70">
        <v>46.549456459666448</v>
      </c>
      <c r="M1139" s="71">
        <f>IF(L1139&lt;1,1,L1139)</f>
        <v>46.549456459666448</v>
      </c>
      <c r="N1139" s="70" t="s">
        <v>3288</v>
      </c>
      <c r="O1139" s="71">
        <f>IF(OR(I1139=$A$1,I1139=0),"",IF(N1139=MappingTables!$C$14,VLOOKUP(J1139,ModelParameters!$M$8:$N$15,2,FALSE),IF(N1139=MappingTables!$C$16,VLOOKUP(J1139,ModelParameters!$P$8:$Q$15,2,FALSE),0)))</f>
        <v>1</v>
      </c>
      <c r="P1139" s="73">
        <f>IF(OR(I1139=0,I1139=$A$1),0,MIN(O1139*M1139,1)*K1139)</f>
        <v>3.519261925434234</v>
      </c>
      <c r="Q1139" s="73">
        <f>IF(B1139="",0,IF(OR(H1139=MappingTables!$C$34,H1139=MappingTables!$C$35),P1139,0))</f>
        <v>0</v>
      </c>
      <c r="R1139" s="73">
        <f>IF(ISNA(IF(AND(VLOOKUP(CONCATENATE($D1139,$G1139),CSRFinput!$B:$E,4,0)=0,OR(H1139=MappingTables!$C$31,H1139=MappingTables!$C$32)),1,VLOOKUP(CONCATENATE($D1139,$G1139),CSRFinput!$B:$E,4,0))),0,IF(AND(VLOOKUP(CONCATENATE($D1139,$G1139),CSRFinput!$B:$E,4,0)=0,OR(H1139=MappingTables!$C$31,H1139=MappingTables!$C$32)),1,VLOOKUP(CONCATENATE($D1139,$G1139),CSRFinput!$B:$E,4,0)))</f>
        <v>0.054776304963434752</v>
      </c>
      <c r="S1139" s="73">
        <f>IF(B1139="",0,P1139*R1139)</f>
        <v>0.19277216447379016</v>
      </c>
      <c r="T1139" s="85">
        <f>IF(B1139="",0,IF(OR(H1139=MappingTables!$C$34,H1139=MappingTables!$C$35),S1139,0))</f>
        <v>0</v>
      </c>
    </row>
    <row r="1140" spans="2:20" s="0" customFormat="0" ht="15">
      <c r="B1140" s="69" t="s">
        <v>4745</v>
      </c>
      <c r="C1140" s="70" t="s">
        <v>4746</v>
      </c>
      <c r="D1140" s="70" t="s">
        <v>1</v>
      </c>
      <c r="E1140" s="70" t="s">
        <v>1</v>
      </c>
      <c r="F1140" s="70"/>
      <c r="G1140" s="70" t="s">
        <v>61</v>
      </c>
      <c r="H1140" s="70" t="s">
        <v>178</v>
      </c>
      <c r="I1140" s="70" t="s">
        <v>204</v>
      </c>
      <c r="J1140" s="71">
        <f>IF(OR(I1140=0,I1140=""),"unrated",VLOOKUP(I1140,MappingTables!$B$19:$C$31,2,FALSE))</f>
        <v>6</v>
      </c>
      <c r="K1140" s="72">
        <v>26.375405638345828</v>
      </c>
      <c r="L1140" s="70">
        <v>0.068493380815243272</v>
      </c>
      <c r="M1140" s="71">
        <f>IF(L1140&lt;1,1,L1140)</f>
        <v>1</v>
      </c>
      <c r="N1140" s="70" t="s">
        <v>3288</v>
      </c>
      <c r="O1140" s="71">
        <f>IF(OR(I1140=$A$1,I1140=0),"",IF(N1140=MappingTables!$C$14,VLOOKUP(J1140,ModelParameters!$M$8:$N$15,2,FALSE),IF(N1140=MappingTables!$C$16,VLOOKUP(J1140,ModelParameters!$P$8:$Q$15,2,FALSE),0)))</f>
        <v>1</v>
      </c>
      <c r="P1140" s="73">
        <f>IF(OR(I1140=0,I1140=$A$1),0,MIN(O1140*M1140,1)*K1140)</f>
        <v>26.375405638345828</v>
      </c>
      <c r="Q1140" s="73">
        <f>IF(B1140="",0,IF(OR(H1140=MappingTables!$C$34,H1140=MappingTables!$C$35),P1140,0))</f>
        <v>0</v>
      </c>
      <c r="R1140" s="73">
        <f>IF(ISNA(IF(AND(VLOOKUP(CONCATENATE($D1140,$G1140),CSRFinput!$B:$E,4,0)=0,OR(H1140=MappingTables!$C$31,H1140=MappingTables!$C$32)),1,VLOOKUP(CONCATENATE($D1140,$G1140),CSRFinput!$B:$E,4,0))),0,IF(AND(VLOOKUP(CONCATENATE($D1140,$G1140),CSRFinput!$B:$E,4,0)=0,OR(H1140=MappingTables!$C$31,H1140=MappingTables!$C$32)),1,VLOOKUP(CONCATENATE($D1140,$G1140),CSRFinput!$B:$E,4,0)))</f>
        <v>0.054776304963434752</v>
      </c>
      <c r="S1140" s="73">
        <f>IF(B1140="",0,P1140*R1140)</f>
        <v>1.4447472627803276</v>
      </c>
      <c r="T1140" s="85">
        <f>IF(B1140="",0,IF(OR(H1140=MappingTables!$C$34,H1140=MappingTables!$C$35),S1140,0))</f>
        <v>0</v>
      </c>
    </row>
    <row r="1141" spans="2:20" s="0" customFormat="0" ht="15">
      <c r="B1141" s="69" t="s">
        <v>4747</v>
      </c>
      <c r="C1141" s="70" t="s">
        <v>4748</v>
      </c>
      <c r="D1141" s="70" t="s">
        <v>1</v>
      </c>
      <c r="E1141" s="70" t="s">
        <v>1</v>
      </c>
      <c r="F1141" s="70"/>
      <c r="G1141" s="70" t="s">
        <v>61</v>
      </c>
      <c r="H1141" s="70" t="s">
        <v>178</v>
      </c>
      <c r="I1141" s="70" t="s">
        <v>3298</v>
      </c>
      <c r="J1141" s="71">
        <f>IF(OR(I1141=0,I1141=""),"unrated",VLOOKUP(I1141,MappingTables!$B$19:$C$31,2,FALSE))</f>
        <v>6</v>
      </c>
      <c r="K1141" s="72">
        <v>253.72457369848628</v>
      </c>
      <c r="L1141" s="70">
        <v>-0.052308722506045872</v>
      </c>
      <c r="M1141" s="71">
        <f>IF(L1141&lt;1,1,L1141)</f>
        <v>1</v>
      </c>
      <c r="N1141" s="70" t="s">
        <v>3288</v>
      </c>
      <c r="O1141" s="71">
        <f>IF(OR(I1141=$A$1,I1141=0),"",IF(N1141=MappingTables!$C$14,VLOOKUP(J1141,ModelParameters!$M$8:$N$15,2,FALSE),IF(N1141=MappingTables!$C$16,VLOOKUP(J1141,ModelParameters!$P$8:$Q$15,2,FALSE),0)))</f>
        <v>1</v>
      </c>
      <c r="P1141" s="73">
        <f>IF(OR(I1141=0,I1141=$A$1),0,MIN(O1141*M1141,1)*K1141)</f>
        <v>253.72457369848628</v>
      </c>
      <c r="Q1141" s="73">
        <f>IF(B1141="",0,IF(OR(H1141=MappingTables!$C$34,H1141=MappingTables!$C$35),P1141,0))</f>
        <v>0</v>
      </c>
      <c r="R1141" s="73">
        <f>IF(ISNA(IF(AND(VLOOKUP(CONCATENATE($D1141,$G1141),CSRFinput!$B:$E,4,0)=0,OR(H1141=MappingTables!$C$31,H1141=MappingTables!$C$32)),1,VLOOKUP(CONCATENATE($D1141,$G1141),CSRFinput!$B:$E,4,0))),0,IF(AND(VLOOKUP(CONCATENATE($D1141,$G1141),CSRFinput!$B:$E,4,0)=0,OR(H1141=MappingTables!$C$31,H1141=MappingTables!$C$32)),1,VLOOKUP(CONCATENATE($D1141,$G1141),CSRFinput!$B:$E,4,0)))</f>
        <v>0.054776304963434752</v>
      </c>
      <c r="S1141" s="73">
        <f>IF(B1141="",0,P1141*R1141)</f>
        <v>13.89809462562576</v>
      </c>
      <c r="T1141" s="85">
        <f>IF(B1141="",0,IF(OR(H1141=MappingTables!$C$34,H1141=MappingTables!$C$35),S1141,0))</f>
        <v>0</v>
      </c>
    </row>
    <row r="1142" spans="2:20" s="0" customFormat="0" ht="15">
      <c r="B1142" s="69" t="s">
        <v>3922</v>
      </c>
      <c r="C1142" s="70" t="s">
        <v>3923</v>
      </c>
      <c r="D1142" s="70" t="s">
        <v>1</v>
      </c>
      <c r="E1142" s="70" t="s">
        <v>1</v>
      </c>
      <c r="F1142" s="70"/>
      <c r="G1142" s="70" t="s">
        <v>61</v>
      </c>
      <c r="H1142" s="70" t="s">
        <v>178</v>
      </c>
      <c r="I1142" s="70" t="s">
        <v>204</v>
      </c>
      <c r="J1142" s="71">
        <f>IF(OR(I1142=0,I1142=""),"unrated",VLOOKUP(I1142,MappingTables!$B$19:$C$31,2,FALSE))</f>
        <v>6</v>
      </c>
      <c r="K1142" s="72">
        <v>92.17509935776256</v>
      </c>
      <c r="L1142" s="70">
        <v>0.068493589454269352</v>
      </c>
      <c r="M1142" s="71">
        <f>IF(L1142&lt;1,1,L1142)</f>
        <v>1</v>
      </c>
      <c r="N1142" s="70" t="s">
        <v>3288</v>
      </c>
      <c r="O1142" s="71">
        <f>IF(OR(I1142=$A$1,I1142=0),"",IF(N1142=MappingTables!$C$14,VLOOKUP(J1142,ModelParameters!$M$8:$N$15,2,FALSE),IF(N1142=MappingTables!$C$16,VLOOKUP(J1142,ModelParameters!$P$8:$Q$15,2,FALSE),0)))</f>
        <v>1</v>
      </c>
      <c r="P1142" s="73">
        <f>IF(OR(I1142=0,I1142=$A$1),0,MIN(O1142*M1142,1)*K1142)</f>
        <v>92.17509935776256</v>
      </c>
      <c r="Q1142" s="73">
        <f>IF(B1142="",0,IF(OR(H1142=MappingTables!$C$34,H1142=MappingTables!$C$35),P1142,0))</f>
        <v>0</v>
      </c>
      <c r="R1142" s="73">
        <f>IF(ISNA(IF(AND(VLOOKUP(CONCATENATE($D1142,$G1142),CSRFinput!$B:$E,4,0)=0,OR(H1142=MappingTables!$C$31,H1142=MappingTables!$C$32)),1,VLOOKUP(CONCATENATE($D1142,$G1142),CSRFinput!$B:$E,4,0))),0,IF(AND(VLOOKUP(CONCATENATE($D1142,$G1142),CSRFinput!$B:$E,4,0)=0,OR(H1142=MappingTables!$C$31,H1142=MappingTables!$C$32)),1,VLOOKUP(CONCATENATE($D1142,$G1142),CSRFinput!$B:$E,4,0)))</f>
        <v>0.054776304963434752</v>
      </c>
      <c r="S1142" s="73">
        <f>IF(B1142="",0,P1142*R1142)</f>
        <v>5.0490113524557016</v>
      </c>
      <c r="T1142" s="85">
        <f>IF(B1142="",0,IF(OR(H1142=MappingTables!$C$34,H1142=MappingTables!$C$35),S1142,0))</f>
        <v>0</v>
      </c>
    </row>
    <row r="1143" spans="2:20" s="0" customFormat="0" ht="15">
      <c r="B1143" s="69" t="s">
        <v>4158</v>
      </c>
      <c r="C1143" s="70" t="s">
        <v>4159</v>
      </c>
      <c r="D1143" s="70" t="s">
        <v>1</v>
      </c>
      <c r="E1143" s="70" t="s">
        <v>1</v>
      </c>
      <c r="F1143" s="70"/>
      <c r="G1143" s="70" t="s">
        <v>61</v>
      </c>
      <c r="H1143" s="70" t="s">
        <v>178</v>
      </c>
      <c r="I1143" s="70" t="s">
        <v>3298</v>
      </c>
      <c r="J1143" s="71">
        <f>IF(OR(I1143=0,I1143=""),"unrated",VLOOKUP(I1143,MappingTables!$B$19:$C$31,2,FALSE))</f>
        <v>6</v>
      </c>
      <c r="K1143" s="72">
        <v>343.23120930193456</v>
      </c>
      <c r="L1143" s="70">
        <v>0.95706863914652768</v>
      </c>
      <c r="M1143" s="71">
        <f>IF(L1143&lt;1,1,L1143)</f>
        <v>1</v>
      </c>
      <c r="N1143" s="70" t="s">
        <v>3288</v>
      </c>
      <c r="O1143" s="71">
        <f>IF(OR(I1143=$A$1,I1143=0),"",IF(N1143=MappingTables!$C$14,VLOOKUP(J1143,ModelParameters!$M$8:$N$15,2,FALSE),IF(N1143=MappingTables!$C$16,VLOOKUP(J1143,ModelParameters!$P$8:$Q$15,2,FALSE),0)))</f>
        <v>1</v>
      </c>
      <c r="P1143" s="73">
        <f>IF(OR(I1143=0,I1143=$A$1),0,MIN(O1143*M1143,1)*K1143)</f>
        <v>343.23120930193456</v>
      </c>
      <c r="Q1143" s="73">
        <f>IF(B1143="",0,IF(OR(H1143=MappingTables!$C$34,H1143=MappingTables!$C$35),P1143,0))</f>
        <v>0</v>
      </c>
      <c r="R1143" s="73">
        <f>IF(ISNA(IF(AND(VLOOKUP(CONCATENATE($D1143,$G1143),CSRFinput!$B:$E,4,0)=0,OR(H1143=MappingTables!$C$31,H1143=MappingTables!$C$32)),1,VLOOKUP(CONCATENATE($D1143,$G1143),CSRFinput!$B:$E,4,0))),0,IF(AND(VLOOKUP(CONCATENATE($D1143,$G1143),CSRFinput!$B:$E,4,0)=0,OR(H1143=MappingTables!$C$31,H1143=MappingTables!$C$32)),1,VLOOKUP(CONCATENATE($D1143,$G1143),CSRFinput!$B:$E,4,0)))</f>
        <v>0.054776304963434752</v>
      </c>
      <c r="S1143" s="73">
        <f>IF(B1143="",0,P1143*R1143)</f>
        <v>18.800937393691272</v>
      </c>
      <c r="T1143" s="85">
        <f>IF(B1143="",0,IF(OR(H1143=MappingTables!$C$34,H1143=MappingTables!$C$35),S1143,0))</f>
        <v>0</v>
      </c>
    </row>
    <row r="1144" spans="2:20" s="0" customFormat="0" ht="15">
      <c r="B1144" s="69">
        <v>3776280</v>
      </c>
      <c r="C1144" s="70" t="s">
        <v>4749</v>
      </c>
      <c r="D1144" s="70" t="s">
        <v>1</v>
      </c>
      <c r="E1144" s="70" t="s">
        <v>1</v>
      </c>
      <c r="F1144" s="70"/>
      <c r="G1144" s="70" t="s">
        <v>61</v>
      </c>
      <c r="H1144" s="70" t="s">
        <v>178</v>
      </c>
      <c r="I1144" s="70" t="s">
        <v>181</v>
      </c>
      <c r="J1144" s="71">
        <f>IF(OR(I1144=0,I1144=""),"unrated",VLOOKUP(I1144,MappingTables!$B$19:$C$31,2,FALSE))</f>
        <v>3</v>
      </c>
      <c r="K1144" s="72">
        <v>2935.1827745926268</v>
      </c>
      <c r="L1144" s="70">
        <v>2.120104904293146</v>
      </c>
      <c r="M1144" s="71">
        <f>IF(L1144&lt;1,1,L1144)</f>
        <v>2.120104904293146</v>
      </c>
      <c r="N1144" s="70" t="s">
        <v>3288</v>
      </c>
      <c r="O1144" s="71">
        <f>IF(OR(I1144=$A$1,I1144=0),"",IF(N1144=MappingTables!$C$14,VLOOKUP(J1144,ModelParameters!$M$8:$N$15,2,FALSE),IF(N1144=MappingTables!$C$16,VLOOKUP(J1144,ModelParameters!$P$8:$Q$15,2,FALSE),0)))</f>
        <v>0.197</v>
      </c>
      <c r="P1144" s="73">
        <f>IF(OR(I1144=0,I1144=$A$1),0,MIN(O1144*M1144,1)*K1144)</f>
        <v>1225.9103928958864</v>
      </c>
      <c r="Q1144" s="73">
        <f>IF(B1144="",0,IF(OR(H1144=MappingTables!$C$34,H1144=MappingTables!$C$35),P1144,0))</f>
        <v>0</v>
      </c>
      <c r="R1144" s="73">
        <f>IF(ISNA(IF(AND(VLOOKUP(CONCATENATE($D1144,$G1144),CSRFinput!$B:$E,4,0)=0,OR(H1144=MappingTables!$C$31,H1144=MappingTables!$C$32)),1,VLOOKUP(CONCATENATE($D1144,$G1144),CSRFinput!$B:$E,4,0))),0,IF(AND(VLOOKUP(CONCATENATE($D1144,$G1144),CSRFinput!$B:$E,4,0)=0,OR(H1144=MappingTables!$C$31,H1144=MappingTables!$C$32)),1,VLOOKUP(CONCATENATE($D1144,$G1144),CSRFinput!$B:$E,4,0)))</f>
        <v>0.054776304963434752</v>
      </c>
      <c r="S1144" s="73">
        <f>IF(B1144="",0,P1144*R1144)</f>
        <v>67.150841539109192</v>
      </c>
      <c r="T1144" s="85">
        <f>IF(B1144="",0,IF(OR(H1144=MappingTables!$C$34,H1144=MappingTables!$C$35),S1144,0))</f>
        <v>0</v>
      </c>
    </row>
    <row r="1145" spans="2:20" s="0" customFormat="0" ht="15">
      <c r="B1145" s="69" t="s">
        <v>4750</v>
      </c>
      <c r="C1145" s="70" t="s">
        <v>4751</v>
      </c>
      <c r="D1145" s="70" t="s">
        <v>1</v>
      </c>
      <c r="E1145" s="70" t="s">
        <v>1</v>
      </c>
      <c r="F1145" s="70"/>
      <c r="G1145" s="70" t="s">
        <v>61</v>
      </c>
      <c r="H1145" s="70" t="s">
        <v>178</v>
      </c>
      <c r="I1145" s="70" t="s">
        <v>204</v>
      </c>
      <c r="J1145" s="71">
        <f>IF(OR(I1145=0,I1145=""),"unrated",VLOOKUP(I1145,MappingTables!$B$19:$C$31,2,FALSE))</f>
        <v>6</v>
      </c>
      <c r="K1145" s="72">
        <v>48.07904967795256</v>
      </c>
      <c r="L1145" s="70">
        <v>0.0684913689565048</v>
      </c>
      <c r="M1145" s="71">
        <f>IF(L1145&lt;1,1,L1145)</f>
        <v>1</v>
      </c>
      <c r="N1145" s="70" t="s">
        <v>3288</v>
      </c>
      <c r="O1145" s="71">
        <f>IF(OR(I1145=$A$1,I1145=0),"",IF(N1145=MappingTables!$C$14,VLOOKUP(J1145,ModelParameters!$M$8:$N$15,2,FALSE),IF(N1145=MappingTables!$C$16,VLOOKUP(J1145,ModelParameters!$P$8:$Q$15,2,FALSE),0)))</f>
        <v>1</v>
      </c>
      <c r="P1145" s="73">
        <f>IF(OR(I1145=0,I1145=$A$1),0,MIN(O1145*M1145,1)*K1145)</f>
        <v>48.07904967795256</v>
      </c>
      <c r="Q1145" s="73">
        <f>IF(B1145="",0,IF(OR(H1145=MappingTables!$C$34,H1145=MappingTables!$C$35),P1145,0))</f>
        <v>0</v>
      </c>
      <c r="R1145" s="73">
        <f>IF(ISNA(IF(AND(VLOOKUP(CONCATENATE($D1145,$G1145),CSRFinput!$B:$E,4,0)=0,OR(H1145=MappingTables!$C$31,H1145=MappingTables!$C$32)),1,VLOOKUP(CONCATENATE($D1145,$G1145),CSRFinput!$B:$E,4,0))),0,IF(AND(VLOOKUP(CONCATENATE($D1145,$G1145),CSRFinput!$B:$E,4,0)=0,OR(H1145=MappingTables!$C$31,H1145=MappingTables!$C$32)),1,VLOOKUP(CONCATENATE($D1145,$G1145),CSRFinput!$B:$E,4,0)))</f>
        <v>0.054776304963434752</v>
      </c>
      <c r="S1145" s="73">
        <f>IF(B1145="",0,P1145*R1145)</f>
        <v>2.6335926875116588</v>
      </c>
      <c r="T1145" s="85">
        <f>IF(B1145="",0,IF(OR(H1145=MappingTables!$C$34,H1145=MappingTables!$C$35),S1145,0))</f>
        <v>0</v>
      </c>
    </row>
    <row r="1146" spans="2:20" s="0" customFormat="0" ht="15">
      <c r="B1146" s="69" t="s">
        <v>4752</v>
      </c>
      <c r="C1146" s="70" t="s">
        <v>4753</v>
      </c>
      <c r="D1146" s="70" t="s">
        <v>1</v>
      </c>
      <c r="E1146" s="70" t="s">
        <v>1</v>
      </c>
      <c r="F1146" s="70"/>
      <c r="G1146" s="70" t="s">
        <v>61</v>
      </c>
      <c r="H1146" s="70" t="s">
        <v>178</v>
      </c>
      <c r="I1146" s="70" t="s">
        <v>198</v>
      </c>
      <c r="J1146" s="71" t="str">
        <f>IF(OR(I1146=0,I1146=""),"unrated",VLOOKUP(I1146,MappingTables!$B$19:$C$31,2,FALSE))</f>
        <v>unrated</v>
      </c>
      <c r="K1146" s="72">
        <v>0.40172965971620256</v>
      </c>
      <c r="L1146" s="70">
        <v>7.9929509837054896</v>
      </c>
      <c r="M1146" s="71">
        <f>IF(L1146&lt;1,1,L1146)</f>
        <v>7.9929509837054896</v>
      </c>
      <c r="N1146" s="70" t="s">
        <v>3288</v>
      </c>
      <c r="O1146" s="71">
        <f>IF(OR(I1146=$A$1,I1146=0),"",IF(N1146=MappingTables!$C$14,VLOOKUP(J1146,ModelParameters!$M$8:$N$15,2,FALSE),IF(N1146=MappingTables!$C$16,VLOOKUP(J1146,ModelParameters!$P$8:$Q$15,2,FALSE),0)))</f>
        <v>1</v>
      </c>
      <c r="P1146" s="73">
        <f>IF(OR(I1146=0,I1146=$A$1),0,MIN(O1146*M1146,1)*K1146)</f>
        <v>0.40172965971620256</v>
      </c>
      <c r="Q1146" s="73">
        <f>IF(B1146="",0,IF(OR(H1146=MappingTables!$C$34,H1146=MappingTables!$C$35),P1146,0))</f>
        <v>0</v>
      </c>
      <c r="R1146" s="73">
        <f>IF(ISNA(IF(AND(VLOOKUP(CONCATENATE($D1146,$G1146),CSRFinput!$B:$E,4,0)=0,OR(H1146=MappingTables!$C$31,H1146=MappingTables!$C$32)),1,VLOOKUP(CONCATENATE($D1146,$G1146),CSRFinput!$B:$E,4,0))),0,IF(AND(VLOOKUP(CONCATENATE($D1146,$G1146),CSRFinput!$B:$E,4,0)=0,OR(H1146=MappingTables!$C$31,H1146=MappingTables!$C$32)),1,VLOOKUP(CONCATENATE($D1146,$G1146),CSRFinput!$B:$E,4,0)))</f>
        <v>0.054776304963434752</v>
      </c>
      <c r="S1146" s="73">
        <f>IF(B1146="",0,P1146*R1146)</f>
        <v>0.02200526635347158</v>
      </c>
      <c r="T1146" s="85">
        <f>IF(B1146="",0,IF(OR(H1146=MappingTables!$C$34,H1146=MappingTables!$C$35),S1146,0))</f>
        <v>0</v>
      </c>
    </row>
    <row r="1147" spans="2:20" s="0" customFormat="0" ht="15">
      <c r="B1147" s="69" t="s">
        <v>3623</v>
      </c>
      <c r="C1147" s="70" t="s">
        <v>3624</v>
      </c>
      <c r="D1147" s="70" t="s">
        <v>1</v>
      </c>
      <c r="E1147" s="70" t="s">
        <v>1</v>
      </c>
      <c r="F1147" s="70"/>
      <c r="G1147" s="70" t="s">
        <v>61</v>
      </c>
      <c r="H1147" s="70" t="s">
        <v>178</v>
      </c>
      <c r="I1147" s="70" t="s">
        <v>204</v>
      </c>
      <c r="J1147" s="71">
        <f>IF(OR(I1147=0,I1147=""),"unrated",VLOOKUP(I1147,MappingTables!$B$19:$C$31,2,FALSE))</f>
        <v>6</v>
      </c>
      <c r="K1147" s="72">
        <v>9005.209970099912</v>
      </c>
      <c r="L1147" s="70">
        <v>0.06849521850862264</v>
      </c>
      <c r="M1147" s="71">
        <f>IF(L1147&lt;1,1,L1147)</f>
        <v>1</v>
      </c>
      <c r="N1147" s="70" t="s">
        <v>3288</v>
      </c>
      <c r="O1147" s="71">
        <f>IF(OR(I1147=$A$1,I1147=0),"",IF(N1147=MappingTables!$C$14,VLOOKUP(J1147,ModelParameters!$M$8:$N$15,2,FALSE),IF(N1147=MappingTables!$C$16,VLOOKUP(J1147,ModelParameters!$P$8:$Q$15,2,FALSE),0)))</f>
        <v>1</v>
      </c>
      <c r="P1147" s="73">
        <f>IF(OR(I1147=0,I1147=$A$1),0,MIN(O1147*M1147,1)*K1147)</f>
        <v>9005.209970099912</v>
      </c>
      <c r="Q1147" s="73">
        <f>IF(B1147="",0,IF(OR(H1147=MappingTables!$C$34,H1147=MappingTables!$C$35),P1147,0))</f>
        <v>0</v>
      </c>
      <c r="R1147" s="73">
        <f>IF(ISNA(IF(AND(VLOOKUP(CONCATENATE($D1147,$G1147),CSRFinput!$B:$E,4,0)=0,OR(H1147=MappingTables!$C$31,H1147=MappingTables!$C$32)),1,VLOOKUP(CONCATENATE($D1147,$G1147),CSRFinput!$B:$E,4,0))),0,IF(AND(VLOOKUP(CONCATENATE($D1147,$G1147),CSRFinput!$B:$E,4,0)=0,OR(H1147=MappingTables!$C$31,H1147=MappingTables!$C$32)),1,VLOOKUP(CONCATENATE($D1147,$G1147),CSRFinput!$B:$E,4,0)))</f>
        <v>0.054776304963434752</v>
      </c>
      <c r="S1147" s="73">
        <f>IF(B1147="",0,P1147*R1147)</f>
        <v>493.27212758195592</v>
      </c>
      <c r="T1147" s="85">
        <f>IF(B1147="",0,IF(OR(H1147=MappingTables!$C$34,H1147=MappingTables!$C$35),S1147,0))</f>
        <v>0</v>
      </c>
    </row>
    <row r="1148" spans="2:20" s="0" customFormat="0" ht="15">
      <c r="B1148" s="69">
        <v>1928739</v>
      </c>
      <c r="C1148" s="70" t="s">
        <v>4754</v>
      </c>
      <c r="D1148" s="70" t="s">
        <v>1</v>
      </c>
      <c r="E1148" s="70" t="s">
        <v>1</v>
      </c>
      <c r="F1148" s="70"/>
      <c r="G1148" s="70" t="s">
        <v>61</v>
      </c>
      <c r="H1148" s="70" t="s">
        <v>178</v>
      </c>
      <c r="I1148" s="70" t="s">
        <v>220</v>
      </c>
      <c r="J1148" s="71">
        <f>IF(OR(I1148=0,I1148=""),"unrated",VLOOKUP(I1148,MappingTables!$B$19:$C$31,2,FALSE))</f>
        <v>1</v>
      </c>
      <c r="K1148" s="72">
        <v>18.283860301666004</v>
      </c>
      <c r="L1148" s="70">
        <v>0.081183002045545744</v>
      </c>
      <c r="M1148" s="71">
        <f>IF(L1148&lt;1,1,L1148)</f>
        <v>1</v>
      </c>
      <c r="N1148" s="70" t="s">
        <v>3288</v>
      </c>
      <c r="O1148" s="71">
        <f>IF(OR(I1148=$A$1,I1148=0),"",IF(N1148=MappingTables!$C$14,VLOOKUP(J1148,ModelParameters!$M$8:$N$15,2,FALSE),IF(N1148=MappingTables!$C$16,VLOOKUP(J1148,ModelParameters!$P$8:$Q$15,2,FALSE),0)))</f>
        <v>0.134</v>
      </c>
      <c r="P1148" s="73">
        <f>IF(OR(I1148=0,I1148=$A$1),0,MIN(O1148*M1148,1)*K1148)</f>
        <v>2.4500372804232448</v>
      </c>
      <c r="Q1148" s="73">
        <f>IF(B1148="",0,IF(OR(H1148=MappingTables!$C$34,H1148=MappingTables!$C$35),P1148,0))</f>
        <v>0</v>
      </c>
      <c r="R1148" s="73">
        <f>IF(ISNA(IF(AND(VLOOKUP(CONCATENATE($D1148,$G1148),CSRFinput!$B:$E,4,0)=0,OR(H1148=MappingTables!$C$31,H1148=MappingTables!$C$32)),1,VLOOKUP(CONCATENATE($D1148,$G1148),CSRFinput!$B:$E,4,0))),0,IF(AND(VLOOKUP(CONCATENATE($D1148,$G1148),CSRFinput!$B:$E,4,0)=0,OR(H1148=MappingTables!$C$31,H1148=MappingTables!$C$32)),1,VLOOKUP(CONCATENATE($D1148,$G1148),CSRFinput!$B:$E,4,0)))</f>
        <v>0.054776304963434752</v>
      </c>
      <c r="S1148" s="73">
        <f>IF(B1148="",0,P1148*R1148)</f>
        <v>0.13420398924424796</v>
      </c>
      <c r="T1148" s="85">
        <f>IF(B1148="",0,IF(OR(H1148=MappingTables!$C$34,H1148=MappingTables!$C$35),S1148,0))</f>
        <v>0</v>
      </c>
    </row>
    <row r="1149" spans="2:20" s="0" customFormat="0" ht="15">
      <c r="B1149" s="69">
        <v>21301526</v>
      </c>
      <c r="C1149" s="70" t="s">
        <v>4755</v>
      </c>
      <c r="D1149" s="70" t="s">
        <v>1</v>
      </c>
      <c r="E1149" s="70" t="s">
        <v>1</v>
      </c>
      <c r="F1149" s="70"/>
      <c r="G1149" s="70" t="s">
        <v>61</v>
      </c>
      <c r="H1149" s="70" t="s">
        <v>178</v>
      </c>
      <c r="I1149" s="70" t="s">
        <v>216</v>
      </c>
      <c r="J1149" s="71">
        <f>IF(OR(I1149=0,I1149=""),"unrated",VLOOKUP(I1149,MappingTables!$B$19:$C$31,2,FALSE))</f>
        <v>0</v>
      </c>
      <c r="K1149" s="72">
        <v>43.18956430706584</v>
      </c>
      <c r="L1149" s="70">
        <v>2.4409479134235048</v>
      </c>
      <c r="M1149" s="71">
        <f>IF(L1149&lt;1,1,L1149)</f>
        <v>2.4409479134235048</v>
      </c>
      <c r="N1149" s="70" t="s">
        <v>3288</v>
      </c>
      <c r="O1149" s="71">
        <f>IF(OR(I1149=$A$1,I1149=0),"",IF(N1149=MappingTables!$C$14,VLOOKUP(J1149,ModelParameters!$M$8:$N$15,2,FALSE),IF(N1149=MappingTables!$C$16,VLOOKUP(J1149,ModelParameters!$P$8:$Q$15,2,FALSE),0)))</f>
        <v>0.125</v>
      </c>
      <c r="P1149" s="73">
        <f>IF(OR(I1149=0,I1149=$A$1),0,MIN(O1149*M1149,1)*K1149)</f>
        <v>13.177934609625328</v>
      </c>
      <c r="Q1149" s="73">
        <f>IF(B1149="",0,IF(OR(H1149=MappingTables!$C$34,H1149=MappingTables!$C$35),P1149,0))</f>
        <v>0</v>
      </c>
      <c r="R1149" s="73">
        <f>IF(ISNA(IF(AND(VLOOKUP(CONCATENATE($D1149,$G1149),CSRFinput!$B:$E,4,0)=0,OR(H1149=MappingTables!$C$31,H1149=MappingTables!$C$32)),1,VLOOKUP(CONCATENATE($D1149,$G1149),CSRFinput!$B:$E,4,0))),0,IF(AND(VLOOKUP(CONCATENATE($D1149,$G1149),CSRFinput!$B:$E,4,0)=0,OR(H1149=MappingTables!$C$31,H1149=MappingTables!$C$32)),1,VLOOKUP(CONCATENATE($D1149,$G1149),CSRFinput!$B:$E,4,0)))</f>
        <v>0.054776304963434752</v>
      </c>
      <c r="S1149" s="73">
        <f>IF(B1149="",0,P1149*R1149)</f>
        <v>0.72183856496503856</v>
      </c>
      <c r="T1149" s="85">
        <f>IF(B1149="",0,IF(OR(H1149=MappingTables!$C$34,H1149=MappingTables!$C$35),S1149,0))</f>
        <v>0</v>
      </c>
    </row>
    <row r="1150" spans="2:20" s="0" customFormat="0" ht="15">
      <c r="B1150" s="69" t="s">
        <v>4756</v>
      </c>
      <c r="C1150" s="70" t="s">
        <v>4757</v>
      </c>
      <c r="D1150" s="70" t="s">
        <v>1</v>
      </c>
      <c r="E1150" s="70" t="s">
        <v>1</v>
      </c>
      <c r="F1150" s="70"/>
      <c r="G1150" s="70" t="s">
        <v>61</v>
      </c>
      <c r="H1150" s="70" t="s">
        <v>178</v>
      </c>
      <c r="I1150" s="70" t="s">
        <v>204</v>
      </c>
      <c r="J1150" s="71">
        <f>IF(OR(I1150=0,I1150=""),"unrated",VLOOKUP(I1150,MappingTables!$B$19:$C$31,2,FALSE))</f>
        <v>6</v>
      </c>
      <c r="K1150" s="72">
        <v>229.93412007141252</v>
      </c>
      <c r="L1150" s="70">
        <v>0.068847356157173272</v>
      </c>
      <c r="M1150" s="71">
        <f>IF(L1150&lt;1,1,L1150)</f>
        <v>1</v>
      </c>
      <c r="N1150" s="70" t="s">
        <v>3288</v>
      </c>
      <c r="O1150" s="71">
        <f>IF(OR(I1150=$A$1,I1150=0),"",IF(N1150=MappingTables!$C$14,VLOOKUP(J1150,ModelParameters!$M$8:$N$15,2,FALSE),IF(N1150=MappingTables!$C$16,VLOOKUP(J1150,ModelParameters!$P$8:$Q$15,2,FALSE),0)))</f>
        <v>1</v>
      </c>
      <c r="P1150" s="73">
        <f>IF(OR(I1150=0,I1150=$A$1),0,MIN(O1150*M1150,1)*K1150)</f>
        <v>229.93412007141252</v>
      </c>
      <c r="Q1150" s="73">
        <f>IF(B1150="",0,IF(OR(H1150=MappingTables!$C$34,H1150=MappingTables!$C$35),P1150,0))</f>
        <v>0</v>
      </c>
      <c r="R1150" s="73">
        <f>IF(ISNA(IF(AND(VLOOKUP(CONCATENATE($D1150,$G1150),CSRFinput!$B:$E,4,0)=0,OR(H1150=MappingTables!$C$31,H1150=MappingTables!$C$32)),1,VLOOKUP(CONCATENATE($D1150,$G1150),CSRFinput!$B:$E,4,0))),0,IF(AND(VLOOKUP(CONCATENATE($D1150,$G1150),CSRFinput!$B:$E,4,0)=0,OR(H1150=MappingTables!$C$31,H1150=MappingTables!$C$32)),1,VLOOKUP(CONCATENATE($D1150,$G1150),CSRFinput!$B:$E,4,0)))</f>
        <v>0.054776304963434752</v>
      </c>
      <c r="S1150" s="73">
        <f>IF(B1150="",0,P1150*R1150)</f>
        <v>12.594941482530716</v>
      </c>
      <c r="T1150" s="85">
        <f>IF(B1150="",0,IF(OR(H1150=MappingTables!$C$34,H1150=MappingTables!$C$35),S1150,0))</f>
        <v>0</v>
      </c>
    </row>
    <row r="1151" spans="2:20" s="0" customFormat="0" ht="15">
      <c r="B1151" s="69" t="s">
        <v>4523</v>
      </c>
      <c r="C1151" s="70" t="s">
        <v>4524</v>
      </c>
      <c r="D1151" s="70" t="s">
        <v>1</v>
      </c>
      <c r="E1151" s="70" t="s">
        <v>1</v>
      </c>
      <c r="F1151" s="70"/>
      <c r="G1151" s="70" t="s">
        <v>61</v>
      </c>
      <c r="H1151" s="70" t="s">
        <v>178</v>
      </c>
      <c r="I1151" s="70" t="s">
        <v>204</v>
      </c>
      <c r="J1151" s="71">
        <f>IF(OR(I1151=0,I1151=""),"unrated",VLOOKUP(I1151,MappingTables!$B$19:$C$31,2,FALSE))</f>
        <v>6</v>
      </c>
      <c r="K1151" s="72">
        <v>270.92137808698164</v>
      </c>
      <c r="L1151" s="70">
        <v>0.068495530288156568</v>
      </c>
      <c r="M1151" s="71">
        <f>IF(L1151&lt;1,1,L1151)</f>
        <v>1</v>
      </c>
      <c r="N1151" s="70" t="s">
        <v>3288</v>
      </c>
      <c r="O1151" s="71">
        <f>IF(OR(I1151=$A$1,I1151=0),"",IF(N1151=MappingTables!$C$14,VLOOKUP(J1151,ModelParameters!$M$8:$N$15,2,FALSE),IF(N1151=MappingTables!$C$16,VLOOKUP(J1151,ModelParameters!$P$8:$Q$15,2,FALSE),0)))</f>
        <v>1</v>
      </c>
      <c r="P1151" s="73">
        <f>IF(OR(I1151=0,I1151=$A$1),0,MIN(O1151*M1151,1)*K1151)</f>
        <v>270.92137808698164</v>
      </c>
      <c r="Q1151" s="73">
        <f>IF(B1151="",0,IF(OR(H1151=MappingTables!$C$34,H1151=MappingTables!$C$35),P1151,0))</f>
        <v>0</v>
      </c>
      <c r="R1151" s="73">
        <f>IF(ISNA(IF(AND(VLOOKUP(CONCATENATE($D1151,$G1151),CSRFinput!$B:$E,4,0)=0,OR(H1151=MappingTables!$C$31,H1151=MappingTables!$C$32)),1,VLOOKUP(CONCATENATE($D1151,$G1151),CSRFinput!$B:$E,4,0))),0,IF(AND(VLOOKUP(CONCATENATE($D1151,$G1151),CSRFinput!$B:$E,4,0)=0,OR(H1151=MappingTables!$C$31,H1151=MappingTables!$C$32)),1,VLOOKUP(CONCATENATE($D1151,$G1151),CSRFinput!$B:$E,4,0)))</f>
        <v>0.054776304963434752</v>
      </c>
      <c r="S1151" s="73">
        <f>IF(B1151="",0,P1151*R1151)</f>
        <v>14.840072027206516</v>
      </c>
      <c r="T1151" s="85">
        <f>IF(B1151="",0,IF(OR(H1151=MappingTables!$C$34,H1151=MappingTables!$C$35),S1151,0))</f>
        <v>0</v>
      </c>
    </row>
    <row r="1152" spans="2:20" s="0" customFormat="0" ht="15">
      <c r="B1152" s="69" t="s">
        <v>3950</v>
      </c>
      <c r="C1152" s="70" t="s">
        <v>3951</v>
      </c>
      <c r="D1152" s="70" t="s">
        <v>1</v>
      </c>
      <c r="E1152" s="70" t="s">
        <v>1</v>
      </c>
      <c r="F1152" s="70"/>
      <c r="G1152" s="70" t="s">
        <v>61</v>
      </c>
      <c r="H1152" s="70" t="s">
        <v>178</v>
      </c>
      <c r="I1152" s="70" t="s">
        <v>3298</v>
      </c>
      <c r="J1152" s="71">
        <f>IF(OR(I1152=0,I1152=""),"unrated",VLOOKUP(I1152,MappingTables!$B$19:$C$31,2,FALSE))</f>
        <v>6</v>
      </c>
      <c r="K1152" s="72">
        <v>1938.6751776356104</v>
      </c>
      <c r="L1152" s="70">
        <v>0.068490158745433672</v>
      </c>
      <c r="M1152" s="71">
        <f>IF(L1152&lt;1,1,L1152)</f>
        <v>1</v>
      </c>
      <c r="N1152" s="70" t="s">
        <v>3288</v>
      </c>
      <c r="O1152" s="71">
        <f>IF(OR(I1152=$A$1,I1152=0),"",IF(N1152=MappingTables!$C$14,VLOOKUP(J1152,ModelParameters!$M$8:$N$15,2,FALSE),IF(N1152=MappingTables!$C$16,VLOOKUP(J1152,ModelParameters!$P$8:$Q$15,2,FALSE),0)))</f>
        <v>1</v>
      </c>
      <c r="P1152" s="73">
        <f>IF(OR(I1152=0,I1152=$A$1),0,MIN(O1152*M1152,1)*K1152)</f>
        <v>1938.6751776356104</v>
      </c>
      <c r="Q1152" s="73">
        <f>IF(B1152="",0,IF(OR(H1152=MappingTables!$C$34,H1152=MappingTables!$C$35),P1152,0))</f>
        <v>0</v>
      </c>
      <c r="R1152" s="73">
        <f>IF(ISNA(IF(AND(VLOOKUP(CONCATENATE($D1152,$G1152),CSRFinput!$B:$E,4,0)=0,OR(H1152=MappingTables!$C$31,H1152=MappingTables!$C$32)),1,VLOOKUP(CONCATENATE($D1152,$G1152),CSRFinput!$B:$E,4,0))),0,IF(AND(VLOOKUP(CONCATENATE($D1152,$G1152),CSRFinput!$B:$E,4,0)=0,OR(H1152=MappingTables!$C$31,H1152=MappingTables!$C$32)),1,VLOOKUP(CONCATENATE($D1152,$G1152),CSRFinput!$B:$E,4,0)))</f>
        <v>0.054776304963434752</v>
      </c>
      <c r="S1152" s="73">
        <f>IF(B1152="",0,P1152*R1152)</f>
        <v>106.19346275520922</v>
      </c>
      <c r="T1152" s="85">
        <f>IF(B1152="",0,IF(OR(H1152=MappingTables!$C$34,H1152=MappingTables!$C$35),S1152,0))</f>
        <v>0</v>
      </c>
    </row>
    <row r="1153" spans="2:20" s="0" customFormat="0" ht="15">
      <c r="B1153" s="69">
        <v>870797</v>
      </c>
      <c r="C1153" s="70" t="s">
        <v>4758</v>
      </c>
      <c r="D1153" s="70" t="s">
        <v>1</v>
      </c>
      <c r="E1153" s="70" t="s">
        <v>1</v>
      </c>
      <c r="F1153" s="70"/>
      <c r="G1153" s="70" t="s">
        <v>61</v>
      </c>
      <c r="H1153" s="70" t="s">
        <v>178</v>
      </c>
      <c r="I1153" s="70" t="s">
        <v>179</v>
      </c>
      <c r="J1153" s="71">
        <f>IF(OR(I1153=0,I1153=""),"unrated",VLOOKUP(I1153,MappingTables!$B$19:$C$31,2,FALSE))</f>
        <v>4</v>
      </c>
      <c r="K1153" s="72">
        <v>5.877977887911016</v>
      </c>
      <c r="L1153" s="70">
        <v>0.068496621781843792</v>
      </c>
      <c r="M1153" s="71">
        <f>IF(L1153&lt;1,1,L1153)</f>
        <v>1</v>
      </c>
      <c r="N1153" s="70" t="s">
        <v>3288</v>
      </c>
      <c r="O1153" s="71">
        <f>IF(OR(I1153=$A$1,I1153=0),"",IF(N1153=MappingTables!$C$14,VLOOKUP(J1153,ModelParameters!$M$8:$N$15,2,FALSE),IF(N1153=MappingTables!$C$16,VLOOKUP(J1153,ModelParameters!$P$8:$Q$15,2,FALSE),0)))</f>
        <v>0.82</v>
      </c>
      <c r="P1153" s="73">
        <f>IF(OR(I1153=0,I1153=$A$1),0,MIN(O1153*M1153,1)*K1153)</f>
        <v>4.8199418680870336</v>
      </c>
      <c r="Q1153" s="73">
        <f>IF(B1153="",0,IF(OR(H1153=MappingTables!$C$34,H1153=MappingTables!$C$35),P1153,0))</f>
        <v>0</v>
      </c>
      <c r="R1153" s="73">
        <f>IF(ISNA(IF(AND(VLOOKUP(CONCATENATE($D1153,$G1153),CSRFinput!$B:$E,4,0)=0,OR(H1153=MappingTables!$C$31,H1153=MappingTables!$C$32)),1,VLOOKUP(CONCATENATE($D1153,$G1153),CSRFinput!$B:$E,4,0))),0,IF(AND(VLOOKUP(CONCATENATE($D1153,$G1153),CSRFinput!$B:$E,4,0)=0,OR(H1153=MappingTables!$C$31,H1153=MappingTables!$C$32)),1,VLOOKUP(CONCATENATE($D1153,$G1153),CSRFinput!$B:$E,4,0)))</f>
        <v>0.054776304963434752</v>
      </c>
      <c r="S1153" s="73">
        <f>IF(B1153="",0,P1153*R1153)</f>
        <v>0.26401860567236272</v>
      </c>
      <c r="T1153" s="85">
        <f>IF(B1153="",0,IF(OR(H1153=MappingTables!$C$34,H1153=MappingTables!$C$35),S1153,0))</f>
        <v>0</v>
      </c>
    </row>
    <row r="1154" spans="2:20" s="0" customFormat="0" ht="15">
      <c r="B1154" s="69">
        <v>9257049</v>
      </c>
      <c r="C1154" s="70" t="s">
        <v>4126</v>
      </c>
      <c r="D1154" s="70" t="s">
        <v>1</v>
      </c>
      <c r="E1154" s="70" t="s">
        <v>1</v>
      </c>
      <c r="F1154" s="70"/>
      <c r="G1154" s="70" t="s">
        <v>61</v>
      </c>
      <c r="H1154" s="70" t="s">
        <v>178</v>
      </c>
      <c r="I1154" s="70" t="s">
        <v>216</v>
      </c>
      <c r="J1154" s="71">
        <f>IF(OR(I1154=0,I1154=""),"unrated",VLOOKUP(I1154,MappingTables!$B$19:$C$31,2,FALSE))</f>
        <v>0</v>
      </c>
      <c r="K1154" s="72">
        <v>2797.2739077578836</v>
      </c>
      <c r="L1154" s="70">
        <v>3.5495598055342016</v>
      </c>
      <c r="M1154" s="71">
        <f>IF(L1154&lt;1,1,L1154)</f>
        <v>3.5495598055342016</v>
      </c>
      <c r="N1154" s="70" t="s">
        <v>3288</v>
      </c>
      <c r="O1154" s="71">
        <f>IF(OR(I1154=$A$1,I1154=0),"",IF(N1154=MappingTables!$C$14,VLOOKUP(J1154,ModelParameters!$M$8:$N$15,2,FALSE),IF(N1154=MappingTables!$C$16,VLOOKUP(J1154,ModelParameters!$P$8:$Q$15,2,FALSE),0)))</f>
        <v>0.125</v>
      </c>
      <c r="P1154" s="73">
        <f>IF(OR(I1154=0,I1154=$A$1),0,MIN(O1154*M1154,1)*K1154)</f>
        <v>1241.1363785058712</v>
      </c>
      <c r="Q1154" s="73">
        <f>IF(B1154="",0,IF(OR(H1154=MappingTables!$C$34,H1154=MappingTables!$C$35),P1154,0))</f>
        <v>0</v>
      </c>
      <c r="R1154" s="73">
        <f>IF(ISNA(IF(AND(VLOOKUP(CONCATENATE($D1154,$G1154),CSRFinput!$B:$E,4,0)=0,OR(H1154=MappingTables!$C$31,H1154=MappingTables!$C$32)),1,VLOOKUP(CONCATENATE($D1154,$G1154),CSRFinput!$B:$E,4,0))),0,IF(AND(VLOOKUP(CONCATENATE($D1154,$G1154),CSRFinput!$B:$E,4,0)=0,OR(H1154=MappingTables!$C$31,H1154=MappingTables!$C$32)),1,VLOOKUP(CONCATENATE($D1154,$G1154),CSRFinput!$B:$E,4,0)))</f>
        <v>0.054776304963434752</v>
      </c>
      <c r="S1154" s="73">
        <f>IF(B1154="",0,P1154*R1154)</f>
        <v>67.984864770250584</v>
      </c>
      <c r="T1154" s="85">
        <f>IF(B1154="",0,IF(OR(H1154=MappingTables!$C$34,H1154=MappingTables!$C$35),S1154,0))</f>
        <v>0</v>
      </c>
    </row>
    <row r="1155" spans="2:20" s="0" customFormat="0" ht="15">
      <c r="B1155" s="69" t="s">
        <v>4759</v>
      </c>
      <c r="C1155" s="70" t="s">
        <v>4760</v>
      </c>
      <c r="D1155" s="70" t="s">
        <v>1</v>
      </c>
      <c r="E1155" s="70" t="s">
        <v>1</v>
      </c>
      <c r="F1155" s="70"/>
      <c r="G1155" s="70" t="s">
        <v>61</v>
      </c>
      <c r="H1155" s="70" t="s">
        <v>178</v>
      </c>
      <c r="I1155" s="70" t="s">
        <v>198</v>
      </c>
      <c r="J1155" s="71" t="str">
        <f>IF(OR(I1155=0,I1155=""),"unrated",VLOOKUP(I1155,MappingTables!$B$19:$C$31,2,FALSE))</f>
        <v>unrated</v>
      </c>
      <c r="K1155" s="72">
        <v>43.398546145727488</v>
      </c>
      <c r="L1155" s="70">
        <v>0.06849689975356052</v>
      </c>
      <c r="M1155" s="71">
        <f>IF(L1155&lt;1,1,L1155)</f>
        <v>1</v>
      </c>
      <c r="N1155" s="70" t="s">
        <v>3288</v>
      </c>
      <c r="O1155" s="71">
        <f>IF(OR(I1155=$A$1,I1155=0),"",IF(N1155=MappingTables!$C$14,VLOOKUP(J1155,ModelParameters!$M$8:$N$15,2,FALSE),IF(N1155=MappingTables!$C$16,VLOOKUP(J1155,ModelParameters!$P$8:$Q$15,2,FALSE),0)))</f>
        <v>1</v>
      </c>
      <c r="P1155" s="73">
        <f>IF(OR(I1155=0,I1155=$A$1),0,MIN(O1155*M1155,1)*K1155)</f>
        <v>43.398546145727488</v>
      </c>
      <c r="Q1155" s="73">
        <f>IF(B1155="",0,IF(OR(H1155=MappingTables!$C$34,H1155=MappingTables!$C$35),P1155,0))</f>
        <v>0</v>
      </c>
      <c r="R1155" s="73">
        <f>IF(ISNA(IF(AND(VLOOKUP(CONCATENATE($D1155,$G1155),CSRFinput!$B:$E,4,0)=0,OR(H1155=MappingTables!$C$31,H1155=MappingTables!$C$32)),1,VLOOKUP(CONCATENATE($D1155,$G1155),CSRFinput!$B:$E,4,0))),0,IF(AND(VLOOKUP(CONCATENATE($D1155,$G1155),CSRFinput!$B:$E,4,0)=0,OR(H1155=MappingTables!$C$31,H1155=MappingTables!$C$32)),1,VLOOKUP(CONCATENATE($D1155,$G1155),CSRFinput!$B:$E,4,0)))</f>
        <v>0.054776304963434752</v>
      </c>
      <c r="S1155" s="73">
        <f>IF(B1155="",0,P1155*R1155)</f>
        <v>2.3772119986480648</v>
      </c>
      <c r="T1155" s="85">
        <f>IF(B1155="",0,IF(OR(H1155=MappingTables!$C$34,H1155=MappingTables!$C$35),S1155,0))</f>
        <v>0</v>
      </c>
    </row>
    <row r="1156" spans="2:20" s="0" customFormat="0" ht="15">
      <c r="B1156" s="69">
        <v>22554454</v>
      </c>
      <c r="C1156" s="70" t="s">
        <v>4586</v>
      </c>
      <c r="D1156" s="70" t="s">
        <v>1</v>
      </c>
      <c r="E1156" s="70" t="s">
        <v>1</v>
      </c>
      <c r="F1156" s="70"/>
      <c r="G1156" s="70" t="s">
        <v>61</v>
      </c>
      <c r="H1156" s="70" t="s">
        <v>178</v>
      </c>
      <c r="I1156" s="70" t="s">
        <v>204</v>
      </c>
      <c r="J1156" s="71">
        <f>IF(OR(I1156=0,I1156=""),"unrated",VLOOKUP(I1156,MappingTables!$B$19:$C$31,2,FALSE))</f>
        <v>6</v>
      </c>
      <c r="K1156" s="72">
        <v>21.97715629109956</v>
      </c>
      <c r="L1156" s="70">
        <v>0.06849379831543356</v>
      </c>
      <c r="M1156" s="71">
        <f>IF(L1156&lt;1,1,L1156)</f>
        <v>1</v>
      </c>
      <c r="N1156" s="70" t="s">
        <v>3288</v>
      </c>
      <c r="O1156" s="71">
        <f>IF(OR(I1156=$A$1,I1156=0),"",IF(N1156=MappingTables!$C$14,VLOOKUP(J1156,ModelParameters!$M$8:$N$15,2,FALSE),IF(N1156=MappingTables!$C$16,VLOOKUP(J1156,ModelParameters!$P$8:$Q$15,2,FALSE),0)))</f>
        <v>1</v>
      </c>
      <c r="P1156" s="73">
        <f>IF(OR(I1156=0,I1156=$A$1),0,MIN(O1156*M1156,1)*K1156)</f>
        <v>21.97715629109956</v>
      </c>
      <c r="Q1156" s="73">
        <f>IF(B1156="",0,IF(OR(H1156=MappingTables!$C$34,H1156=MappingTables!$C$35),P1156,0))</f>
        <v>0</v>
      </c>
      <c r="R1156" s="73">
        <f>IF(ISNA(IF(AND(VLOOKUP(CONCATENATE($D1156,$G1156),CSRFinput!$B:$E,4,0)=0,OR(H1156=MappingTables!$C$31,H1156=MappingTables!$C$32)),1,VLOOKUP(CONCATENATE($D1156,$G1156),CSRFinput!$B:$E,4,0))),0,IF(AND(VLOOKUP(CONCATENATE($D1156,$G1156),CSRFinput!$B:$E,4,0)=0,OR(H1156=MappingTables!$C$31,H1156=MappingTables!$C$32)),1,VLOOKUP(CONCATENATE($D1156,$G1156),CSRFinput!$B:$E,4,0)))</f>
        <v>0.054776304963434752</v>
      </c>
      <c r="S1156" s="73">
        <f>IF(B1156="",0,P1156*R1156)</f>
        <v>1.2038274152303384</v>
      </c>
      <c r="T1156" s="85">
        <f>IF(B1156="",0,IF(OR(H1156=MappingTables!$C$34,H1156=MappingTables!$C$35),S1156,0))</f>
        <v>0</v>
      </c>
    </row>
    <row r="1157" spans="2:20" s="0" customFormat="0" ht="15">
      <c r="B1157" s="69">
        <v>22554343</v>
      </c>
      <c r="C1157" s="70" t="s">
        <v>4761</v>
      </c>
      <c r="D1157" s="70" t="s">
        <v>1</v>
      </c>
      <c r="E1157" s="70" t="s">
        <v>1</v>
      </c>
      <c r="F1157" s="70"/>
      <c r="G1157" s="70" t="s">
        <v>61</v>
      </c>
      <c r="H1157" s="70" t="s">
        <v>178</v>
      </c>
      <c r="I1157" s="70" t="s">
        <v>184</v>
      </c>
      <c r="J1157" s="71">
        <f>IF(OR(I1157=0,I1157=""),"unrated",VLOOKUP(I1157,MappingTables!$B$19:$C$31,2,FALSE))</f>
        <v>5</v>
      </c>
      <c r="K1157" s="72">
        <v>149.28079347151328</v>
      </c>
      <c r="L1157" s="70">
        <v>0.068492377790127192</v>
      </c>
      <c r="M1157" s="71">
        <f>IF(L1157&lt;1,1,L1157)</f>
        <v>1</v>
      </c>
      <c r="N1157" s="70" t="s">
        <v>3288</v>
      </c>
      <c r="O1157" s="71">
        <f>IF(OR(I1157=$A$1,I1157=0),"",IF(N1157=MappingTables!$C$14,VLOOKUP(J1157,ModelParameters!$M$8:$N$15,2,FALSE),IF(N1157=MappingTables!$C$16,VLOOKUP(J1157,ModelParameters!$P$8:$Q$15,2,FALSE),0)))</f>
        <v>1</v>
      </c>
      <c r="P1157" s="73">
        <f>IF(OR(I1157=0,I1157=$A$1),0,MIN(O1157*M1157,1)*K1157)</f>
        <v>149.28079347151328</v>
      </c>
      <c r="Q1157" s="73">
        <f>IF(B1157="",0,IF(OR(H1157=MappingTables!$C$34,H1157=MappingTables!$C$35),P1157,0))</f>
        <v>0</v>
      </c>
      <c r="R1157" s="73">
        <f>IF(ISNA(IF(AND(VLOOKUP(CONCATENATE($D1157,$G1157),CSRFinput!$B:$E,4,0)=0,OR(H1157=MappingTables!$C$31,H1157=MappingTables!$C$32)),1,VLOOKUP(CONCATENATE($D1157,$G1157),CSRFinput!$B:$E,4,0))),0,IF(AND(VLOOKUP(CONCATENATE($D1157,$G1157),CSRFinput!$B:$E,4,0)=0,OR(H1157=MappingTables!$C$31,H1157=MappingTables!$C$32)),1,VLOOKUP(CONCATENATE($D1157,$G1157),CSRFinput!$B:$E,4,0)))</f>
        <v>0.054776304963434752</v>
      </c>
      <c r="S1157" s="73">
        <f>IF(B1157="",0,P1157*R1157)</f>
        <v>8.1770502683791312</v>
      </c>
      <c r="T1157" s="85">
        <f>IF(B1157="",0,IF(OR(H1157=MappingTables!$C$34,H1157=MappingTables!$C$35),S1157,0))</f>
        <v>0</v>
      </c>
    </row>
    <row r="1158" spans="2:20" s="0" customFormat="0" ht="15">
      <c r="B1158" s="69" t="s">
        <v>4762</v>
      </c>
      <c r="C1158" s="70" t="s">
        <v>4763</v>
      </c>
      <c r="D1158" s="70" t="s">
        <v>1</v>
      </c>
      <c r="E1158" s="70" t="s">
        <v>1</v>
      </c>
      <c r="F1158" s="70"/>
      <c r="G1158" s="70" t="s">
        <v>61</v>
      </c>
      <c r="H1158" s="70" t="s">
        <v>178</v>
      </c>
      <c r="I1158" s="70" t="s">
        <v>181</v>
      </c>
      <c r="J1158" s="71">
        <f>IF(OR(I1158=0,I1158=""),"unrated",VLOOKUP(I1158,MappingTables!$B$19:$C$31,2,FALSE))</f>
        <v>3</v>
      </c>
      <c r="K1158" s="72">
        <v>28.722263722627964</v>
      </c>
      <c r="L1158" s="70">
        <v>0.068494333856578592</v>
      </c>
      <c r="M1158" s="71">
        <f>IF(L1158&lt;1,1,L1158)</f>
        <v>1</v>
      </c>
      <c r="N1158" s="70" t="s">
        <v>3288</v>
      </c>
      <c r="O1158" s="71">
        <f>IF(OR(I1158=$A$1,I1158=0),"",IF(N1158=MappingTables!$C$14,VLOOKUP(J1158,ModelParameters!$M$8:$N$15,2,FALSE),IF(N1158=MappingTables!$C$16,VLOOKUP(J1158,ModelParameters!$P$8:$Q$15,2,FALSE),0)))</f>
        <v>0.197</v>
      </c>
      <c r="P1158" s="73">
        <f>IF(OR(I1158=0,I1158=$A$1),0,MIN(O1158*M1158,1)*K1158)</f>
        <v>5.6582859533577088</v>
      </c>
      <c r="Q1158" s="73">
        <f>IF(B1158="",0,IF(OR(H1158=MappingTables!$C$34,H1158=MappingTables!$C$35),P1158,0))</f>
        <v>0</v>
      </c>
      <c r="R1158" s="73">
        <f>IF(ISNA(IF(AND(VLOOKUP(CONCATENATE($D1158,$G1158),CSRFinput!$B:$E,4,0)=0,OR(H1158=MappingTables!$C$31,H1158=MappingTables!$C$32)),1,VLOOKUP(CONCATENATE($D1158,$G1158),CSRFinput!$B:$E,4,0))),0,IF(AND(VLOOKUP(CONCATENATE($D1158,$G1158),CSRFinput!$B:$E,4,0)=0,OR(H1158=MappingTables!$C$31,H1158=MappingTables!$C$32)),1,VLOOKUP(CONCATENATE($D1158,$G1158),CSRFinput!$B:$E,4,0)))</f>
        <v>0.054776304963434752</v>
      </c>
      <c r="S1158" s="73">
        <f>IF(B1158="",0,P1158*R1158)</f>
        <v>0.30993999695144096</v>
      </c>
      <c r="T1158" s="85">
        <f>IF(B1158="",0,IF(OR(H1158=MappingTables!$C$34,H1158=MappingTables!$C$35),S1158,0))</f>
        <v>0</v>
      </c>
    </row>
    <row r="1159" spans="2:20" s="0" customFormat="0" ht="15">
      <c r="B1159" s="69">
        <v>18423530</v>
      </c>
      <c r="C1159" s="70" t="s">
        <v>4044</v>
      </c>
      <c r="D1159" s="70" t="s">
        <v>1</v>
      </c>
      <c r="E1159" s="70" t="s">
        <v>1</v>
      </c>
      <c r="F1159" s="70"/>
      <c r="G1159" s="70" t="s">
        <v>61</v>
      </c>
      <c r="H1159" s="70" t="s">
        <v>178</v>
      </c>
      <c r="I1159" s="70" t="s">
        <v>216</v>
      </c>
      <c r="J1159" s="71">
        <f>IF(OR(I1159=0,I1159=""),"unrated",VLOOKUP(I1159,MappingTables!$B$19:$C$31,2,FALSE))</f>
        <v>0</v>
      </c>
      <c r="K1159" s="72">
        <v>1029.7233985998542</v>
      </c>
      <c r="L1159" s="70">
        <v>0.010771557721688858</v>
      </c>
      <c r="M1159" s="71">
        <f>IF(L1159&lt;1,1,L1159)</f>
        <v>1</v>
      </c>
      <c r="N1159" s="70" t="s">
        <v>3288</v>
      </c>
      <c r="O1159" s="71">
        <f>IF(OR(I1159=$A$1,I1159=0),"",IF(N1159=MappingTables!$C$14,VLOOKUP(J1159,ModelParameters!$M$8:$N$15,2,FALSE),IF(N1159=MappingTables!$C$16,VLOOKUP(J1159,ModelParameters!$P$8:$Q$15,2,FALSE),0)))</f>
        <v>0.125</v>
      </c>
      <c r="P1159" s="73">
        <f>IF(OR(I1159=0,I1159=$A$1),0,MIN(O1159*M1159,1)*K1159)</f>
        <v>128.71542482498176</v>
      </c>
      <c r="Q1159" s="73">
        <f>IF(B1159="",0,IF(OR(H1159=MappingTables!$C$34,H1159=MappingTables!$C$35),P1159,0))</f>
        <v>0</v>
      </c>
      <c r="R1159" s="73">
        <f>IF(ISNA(IF(AND(VLOOKUP(CONCATENATE($D1159,$G1159),CSRFinput!$B:$E,4,0)=0,OR(H1159=MappingTables!$C$31,H1159=MappingTables!$C$32)),1,VLOOKUP(CONCATENATE($D1159,$G1159),CSRFinput!$B:$E,4,0))),0,IF(AND(VLOOKUP(CONCATENATE($D1159,$G1159),CSRFinput!$B:$E,4,0)=0,OR(H1159=MappingTables!$C$31,H1159=MappingTables!$C$32)),1,VLOOKUP(CONCATENATE($D1159,$G1159),CSRFinput!$B:$E,4,0)))</f>
        <v>0.054776304963434752</v>
      </c>
      <c r="S1159" s="73">
        <f>IF(B1159="",0,P1159*R1159)</f>
        <v>7.0505553637112616</v>
      </c>
      <c r="T1159" s="85">
        <f>IF(B1159="",0,IF(OR(H1159=MappingTables!$C$34,H1159=MappingTables!$C$35),S1159,0))</f>
        <v>0</v>
      </c>
    </row>
    <row r="1160" spans="2:20" s="0" customFormat="0" ht="15">
      <c r="B1160" s="69" t="s">
        <v>4606</v>
      </c>
      <c r="C1160" s="70" t="s">
        <v>4607</v>
      </c>
      <c r="D1160" s="70" t="s">
        <v>1</v>
      </c>
      <c r="E1160" s="70" t="s">
        <v>1</v>
      </c>
      <c r="F1160" s="70"/>
      <c r="G1160" s="70" t="s">
        <v>61</v>
      </c>
      <c r="H1160" s="70" t="s">
        <v>178</v>
      </c>
      <c r="I1160" s="70" t="s">
        <v>204</v>
      </c>
      <c r="J1160" s="71">
        <f>IF(OR(I1160=0,I1160=""),"unrated",VLOOKUP(I1160,MappingTables!$B$19:$C$31,2,FALSE))</f>
        <v>6</v>
      </c>
      <c r="K1160" s="72">
        <v>115.70154215347596</v>
      </c>
      <c r="L1160" s="70">
        <v>-0.037271984753609912</v>
      </c>
      <c r="M1160" s="71">
        <f>IF(L1160&lt;1,1,L1160)</f>
        <v>1</v>
      </c>
      <c r="N1160" s="70" t="s">
        <v>3288</v>
      </c>
      <c r="O1160" s="71">
        <f>IF(OR(I1160=$A$1,I1160=0),"",IF(N1160=MappingTables!$C$14,VLOOKUP(J1160,ModelParameters!$M$8:$N$15,2,FALSE),IF(N1160=MappingTables!$C$16,VLOOKUP(J1160,ModelParameters!$P$8:$Q$15,2,FALSE),0)))</f>
        <v>1</v>
      </c>
      <c r="P1160" s="73">
        <f>IF(OR(I1160=0,I1160=$A$1),0,MIN(O1160*M1160,1)*K1160)</f>
        <v>115.70154215347596</v>
      </c>
      <c r="Q1160" s="73">
        <f>IF(B1160="",0,IF(OR(H1160=MappingTables!$C$34,H1160=MappingTables!$C$35),P1160,0))</f>
        <v>0</v>
      </c>
      <c r="R1160" s="73">
        <f>IF(ISNA(IF(AND(VLOOKUP(CONCATENATE($D1160,$G1160),CSRFinput!$B:$E,4,0)=0,OR(H1160=MappingTables!$C$31,H1160=MappingTables!$C$32)),1,VLOOKUP(CONCATENATE($D1160,$G1160),CSRFinput!$B:$E,4,0))),0,IF(AND(VLOOKUP(CONCATENATE($D1160,$G1160),CSRFinput!$B:$E,4,0)=0,OR(H1160=MappingTables!$C$31,H1160=MappingTables!$C$32)),1,VLOOKUP(CONCATENATE($D1160,$G1160),CSRFinput!$B:$E,4,0)))</f>
        <v>0.054776304963434752</v>
      </c>
      <c r="S1160" s="73">
        <f>IF(B1160="",0,P1160*R1160)</f>
        <v>6.3377029577385</v>
      </c>
      <c r="T1160" s="85">
        <f>IF(B1160="",0,IF(OR(H1160=MappingTables!$C$34,H1160=MappingTables!$C$35),S1160,0))</f>
        <v>0</v>
      </c>
    </row>
    <row r="1161" spans="2:20" s="0" customFormat="0" ht="15">
      <c r="B1161" s="69">
        <v>16974688</v>
      </c>
      <c r="C1161" s="70" t="s">
        <v>4095</v>
      </c>
      <c r="D1161" s="70" t="s">
        <v>1</v>
      </c>
      <c r="E1161" s="70" t="s">
        <v>1</v>
      </c>
      <c r="F1161" s="70"/>
      <c r="G1161" s="70" t="s">
        <v>61</v>
      </c>
      <c r="H1161" s="70" t="s">
        <v>178</v>
      </c>
      <c r="I1161" s="70" t="s">
        <v>198</v>
      </c>
      <c r="J1161" s="71" t="str">
        <f>IF(OR(I1161=0,I1161=""),"unrated",VLOOKUP(I1161,MappingTables!$B$19:$C$31,2,FALSE))</f>
        <v>unrated</v>
      </c>
      <c r="K1161" s="72">
        <v>203.3631757479244</v>
      </c>
      <c r="L1161" s="70">
        <v>0.070645264402145624</v>
      </c>
      <c r="M1161" s="71">
        <f>IF(L1161&lt;1,1,L1161)</f>
        <v>1</v>
      </c>
      <c r="N1161" s="70" t="s">
        <v>3288</v>
      </c>
      <c r="O1161" s="71">
        <f>IF(OR(I1161=$A$1,I1161=0),"",IF(N1161=MappingTables!$C$14,VLOOKUP(J1161,ModelParameters!$M$8:$N$15,2,FALSE),IF(N1161=MappingTables!$C$16,VLOOKUP(J1161,ModelParameters!$P$8:$Q$15,2,FALSE),0)))</f>
        <v>1</v>
      </c>
      <c r="P1161" s="73">
        <f>IF(OR(I1161=0,I1161=$A$1),0,MIN(O1161*M1161,1)*K1161)</f>
        <v>203.3631757479244</v>
      </c>
      <c r="Q1161" s="73">
        <f>IF(B1161="",0,IF(OR(H1161=MappingTables!$C$34,H1161=MappingTables!$C$35),P1161,0))</f>
        <v>0</v>
      </c>
      <c r="R1161" s="73">
        <f>IF(ISNA(IF(AND(VLOOKUP(CONCATENATE($D1161,$G1161),CSRFinput!$B:$E,4,0)=0,OR(H1161=MappingTables!$C$31,H1161=MappingTables!$C$32)),1,VLOOKUP(CONCATENATE($D1161,$G1161),CSRFinput!$B:$E,4,0))),0,IF(AND(VLOOKUP(CONCATENATE($D1161,$G1161),CSRFinput!$B:$E,4,0)=0,OR(H1161=MappingTables!$C$31,H1161=MappingTables!$C$32)),1,VLOOKUP(CONCATENATE($D1161,$G1161),CSRFinput!$B:$E,4,0)))</f>
        <v>0.054776304963434752</v>
      </c>
      <c r="S1161" s="73">
        <f>IF(B1161="",0,P1161*R1161)</f>
        <v>11.139483333100886</v>
      </c>
      <c r="T1161" s="85">
        <f>IF(B1161="",0,IF(OR(H1161=MappingTables!$C$34,H1161=MappingTables!$C$35),S1161,0))</f>
        <v>0</v>
      </c>
    </row>
    <row r="1162" spans="2:20" s="0" customFormat="0" ht="15">
      <c r="B1162" s="69">
        <v>16974604</v>
      </c>
      <c r="C1162" s="70" t="s">
        <v>4764</v>
      </c>
      <c r="D1162" s="70" t="s">
        <v>1</v>
      </c>
      <c r="E1162" s="70" t="s">
        <v>1</v>
      </c>
      <c r="F1162" s="70"/>
      <c r="G1162" s="70" t="s">
        <v>61</v>
      </c>
      <c r="H1162" s="70" t="s">
        <v>178</v>
      </c>
      <c r="I1162" s="70" t="s">
        <v>216</v>
      </c>
      <c r="J1162" s="71">
        <f>IF(OR(I1162=0,I1162=""),"unrated",VLOOKUP(I1162,MappingTables!$B$19:$C$31,2,FALSE))</f>
        <v>0</v>
      </c>
      <c r="K1162" s="72">
        <v>130.2540473876898</v>
      </c>
      <c r="L1162" s="70">
        <v>0.076663155837060208</v>
      </c>
      <c r="M1162" s="71">
        <f>IF(L1162&lt;1,1,L1162)</f>
        <v>1</v>
      </c>
      <c r="N1162" s="70" t="s">
        <v>3288</v>
      </c>
      <c r="O1162" s="71">
        <f>IF(OR(I1162=$A$1,I1162=0),"",IF(N1162=MappingTables!$C$14,VLOOKUP(J1162,ModelParameters!$M$8:$N$15,2,FALSE),IF(N1162=MappingTables!$C$16,VLOOKUP(J1162,ModelParameters!$P$8:$Q$15,2,FALSE),0)))</f>
        <v>0.125</v>
      </c>
      <c r="P1162" s="73">
        <f>IF(OR(I1162=0,I1162=$A$1),0,MIN(O1162*M1162,1)*K1162)</f>
        <v>16.281755923461226</v>
      </c>
      <c r="Q1162" s="73">
        <f>IF(B1162="",0,IF(OR(H1162=MappingTables!$C$34,H1162=MappingTables!$C$35),P1162,0))</f>
        <v>0</v>
      </c>
      <c r="R1162" s="73">
        <f>IF(ISNA(IF(AND(VLOOKUP(CONCATENATE($D1162,$G1162),CSRFinput!$B:$E,4,0)=0,OR(H1162=MappingTables!$C$31,H1162=MappingTables!$C$32)),1,VLOOKUP(CONCATENATE($D1162,$G1162),CSRFinput!$B:$E,4,0))),0,IF(AND(VLOOKUP(CONCATENATE($D1162,$G1162),CSRFinput!$B:$E,4,0)=0,OR(H1162=MappingTables!$C$31,H1162=MappingTables!$C$32)),1,VLOOKUP(CONCATENATE($D1162,$G1162),CSRFinput!$B:$E,4,0)))</f>
        <v>0.054776304963434752</v>
      </c>
      <c r="S1162" s="73">
        <f>IF(B1162="",0,P1162*R1162)</f>
        <v>0.8918544278037224</v>
      </c>
      <c r="T1162" s="85">
        <f>IF(B1162="",0,IF(OR(H1162=MappingTables!$C$34,H1162=MappingTables!$C$35),S1162,0))</f>
        <v>0</v>
      </c>
    </row>
    <row r="1163" spans="2:20" s="0" customFormat="0" ht="15">
      <c r="B1163" s="69" t="s">
        <v>4162</v>
      </c>
      <c r="C1163" s="70" t="s">
        <v>4163</v>
      </c>
      <c r="D1163" s="70" t="s">
        <v>1</v>
      </c>
      <c r="E1163" s="70" t="s">
        <v>1</v>
      </c>
      <c r="F1163" s="70"/>
      <c r="G1163" s="70" t="s">
        <v>61</v>
      </c>
      <c r="H1163" s="70" t="s">
        <v>178</v>
      </c>
      <c r="I1163" s="70" t="s">
        <v>3298</v>
      </c>
      <c r="J1163" s="71">
        <f>IF(OR(I1163=0,I1163=""),"unrated",VLOOKUP(I1163,MappingTables!$B$19:$C$31,2,FALSE))</f>
        <v>6</v>
      </c>
      <c r="K1163" s="72">
        <v>428.04675265849336</v>
      </c>
      <c r="L1163" s="70">
        <v>0.068492008349783112</v>
      </c>
      <c r="M1163" s="71">
        <f>IF(L1163&lt;1,1,L1163)</f>
        <v>1</v>
      </c>
      <c r="N1163" s="70" t="s">
        <v>3288</v>
      </c>
      <c r="O1163" s="71">
        <f>IF(OR(I1163=$A$1,I1163=0),"",IF(N1163=MappingTables!$C$14,VLOOKUP(J1163,ModelParameters!$M$8:$N$15,2,FALSE),IF(N1163=MappingTables!$C$16,VLOOKUP(J1163,ModelParameters!$P$8:$Q$15,2,FALSE),0)))</f>
        <v>1</v>
      </c>
      <c r="P1163" s="73">
        <f>IF(OR(I1163=0,I1163=$A$1),0,MIN(O1163*M1163,1)*K1163)</f>
        <v>428.04675265849336</v>
      </c>
      <c r="Q1163" s="73">
        <f>IF(B1163="",0,IF(OR(H1163=MappingTables!$C$34,H1163=MappingTables!$C$35),P1163,0))</f>
        <v>0</v>
      </c>
      <c r="R1163" s="73">
        <f>IF(ISNA(IF(AND(VLOOKUP(CONCATENATE($D1163,$G1163),CSRFinput!$B:$E,4,0)=0,OR(H1163=MappingTables!$C$31,H1163=MappingTables!$C$32)),1,VLOOKUP(CONCATENATE($D1163,$G1163),CSRFinput!$B:$E,4,0))),0,IF(AND(VLOOKUP(CONCATENATE($D1163,$G1163),CSRFinput!$B:$E,4,0)=0,OR(H1163=MappingTables!$C$31,H1163=MappingTables!$C$32)),1,VLOOKUP(CONCATENATE($D1163,$G1163),CSRFinput!$B:$E,4,0)))</f>
        <v>0.054776304963434752</v>
      </c>
      <c r="S1163" s="73">
        <f>IF(B1163="",0,P1163*R1163)</f>
        <v>23.446819462229556</v>
      </c>
      <c r="T1163" s="85">
        <f>IF(B1163="",0,IF(OR(H1163=MappingTables!$C$34,H1163=MappingTables!$C$35),S1163,0))</f>
        <v>0</v>
      </c>
    </row>
    <row r="1164" spans="2:20" s="0" customFormat="0" ht="15">
      <c r="B1164" s="69">
        <v>16974689</v>
      </c>
      <c r="C1164" s="70" t="s">
        <v>4221</v>
      </c>
      <c r="D1164" s="70" t="s">
        <v>1</v>
      </c>
      <c r="E1164" s="70" t="s">
        <v>1</v>
      </c>
      <c r="F1164" s="70"/>
      <c r="G1164" s="70" t="s">
        <v>61</v>
      </c>
      <c r="H1164" s="70" t="s">
        <v>178</v>
      </c>
      <c r="I1164" s="70" t="s">
        <v>198</v>
      </c>
      <c r="J1164" s="71" t="str">
        <f>IF(OR(I1164=0,I1164=""),"unrated",VLOOKUP(I1164,MappingTables!$B$19:$C$31,2,FALSE))</f>
        <v>unrated</v>
      </c>
      <c r="K1164" s="72">
        <v>231.736721334688</v>
      </c>
      <c r="L1164" s="70">
        <v>0.084107222700604784</v>
      </c>
      <c r="M1164" s="71">
        <f>IF(L1164&lt;1,1,L1164)</f>
        <v>1</v>
      </c>
      <c r="N1164" s="70" t="s">
        <v>3288</v>
      </c>
      <c r="O1164" s="71">
        <f>IF(OR(I1164=$A$1,I1164=0),"",IF(N1164=MappingTables!$C$14,VLOOKUP(J1164,ModelParameters!$M$8:$N$15,2,FALSE),IF(N1164=MappingTables!$C$16,VLOOKUP(J1164,ModelParameters!$P$8:$Q$15,2,FALSE),0)))</f>
        <v>1</v>
      </c>
      <c r="P1164" s="73">
        <f>IF(OR(I1164=0,I1164=$A$1),0,MIN(O1164*M1164,1)*K1164)</f>
        <v>231.736721334688</v>
      </c>
      <c r="Q1164" s="73">
        <f>IF(B1164="",0,IF(OR(H1164=MappingTables!$C$34,H1164=MappingTables!$C$35),P1164,0))</f>
        <v>0</v>
      </c>
      <c r="R1164" s="73">
        <f>IF(ISNA(IF(AND(VLOOKUP(CONCATENATE($D1164,$G1164),CSRFinput!$B:$E,4,0)=0,OR(H1164=MappingTables!$C$31,H1164=MappingTables!$C$32)),1,VLOOKUP(CONCATENATE($D1164,$G1164),CSRFinput!$B:$E,4,0))),0,IF(AND(VLOOKUP(CONCATENATE($D1164,$G1164),CSRFinput!$B:$E,4,0)=0,OR(H1164=MappingTables!$C$31,H1164=MappingTables!$C$32)),1,VLOOKUP(CONCATENATE($D1164,$G1164),CSRFinput!$B:$E,4,0)))</f>
        <v>0.054776304963434752</v>
      </c>
      <c r="S1164" s="73">
        <f>IF(B1164="",0,P1164*R1164)</f>
        <v>12.693681319055366</v>
      </c>
      <c r="T1164" s="85">
        <f>IF(B1164="",0,IF(OR(H1164=MappingTables!$C$34,H1164=MappingTables!$C$35),S1164,0))</f>
        <v>0</v>
      </c>
    </row>
    <row r="1165" spans="2:20" s="0" customFormat="0" ht="15">
      <c r="B1165" s="69">
        <v>781753</v>
      </c>
      <c r="C1165" s="70" t="s">
        <v>4765</v>
      </c>
      <c r="D1165" s="70" t="s">
        <v>1</v>
      </c>
      <c r="E1165" s="70" t="s">
        <v>1</v>
      </c>
      <c r="F1165" s="70"/>
      <c r="G1165" s="70" t="s">
        <v>61</v>
      </c>
      <c r="H1165" s="70" t="s">
        <v>178</v>
      </c>
      <c r="I1165" s="70" t="s">
        <v>198</v>
      </c>
      <c r="J1165" s="71" t="str">
        <f>IF(OR(I1165=0,I1165=""),"unrated",VLOOKUP(I1165,MappingTables!$B$19:$C$31,2,FALSE))</f>
        <v>unrated</v>
      </c>
      <c r="K1165" s="72">
        <v>30.527684856424832</v>
      </c>
      <c r="L1165" s="70">
        <v>0.06849593899106776</v>
      </c>
      <c r="M1165" s="71">
        <f>IF(L1165&lt;1,1,L1165)</f>
        <v>1</v>
      </c>
      <c r="N1165" s="70" t="s">
        <v>3288</v>
      </c>
      <c r="O1165" s="71">
        <f>IF(OR(I1165=$A$1,I1165=0),"",IF(N1165=MappingTables!$C$14,VLOOKUP(J1165,ModelParameters!$M$8:$N$15,2,FALSE),IF(N1165=MappingTables!$C$16,VLOOKUP(J1165,ModelParameters!$P$8:$Q$15,2,FALSE),0)))</f>
        <v>1</v>
      </c>
      <c r="P1165" s="73">
        <f>IF(OR(I1165=0,I1165=$A$1),0,MIN(O1165*M1165,1)*K1165)</f>
        <v>30.527684856424832</v>
      </c>
      <c r="Q1165" s="73">
        <f>IF(B1165="",0,IF(OR(H1165=MappingTables!$C$34,H1165=MappingTables!$C$35),P1165,0))</f>
        <v>0</v>
      </c>
      <c r="R1165" s="73">
        <f>IF(ISNA(IF(AND(VLOOKUP(CONCATENATE($D1165,$G1165),CSRFinput!$B:$E,4,0)=0,OR(H1165=MappingTables!$C$31,H1165=MappingTables!$C$32)),1,VLOOKUP(CONCATENATE($D1165,$G1165),CSRFinput!$B:$E,4,0))),0,IF(AND(VLOOKUP(CONCATENATE($D1165,$G1165),CSRFinput!$B:$E,4,0)=0,OR(H1165=MappingTables!$C$31,H1165=MappingTables!$C$32)),1,VLOOKUP(CONCATENATE($D1165,$G1165),CSRFinput!$B:$E,4,0)))</f>
        <v>0.054776304963434752</v>
      </c>
      <c r="S1165" s="73">
        <f>IF(B1165="",0,P1165*R1165)</f>
        <v>1.6721937755231552</v>
      </c>
      <c r="T1165" s="85">
        <f>IF(B1165="",0,IF(OR(H1165=MappingTables!$C$34,H1165=MappingTables!$C$35),S1165,0))</f>
        <v>0</v>
      </c>
    </row>
    <row r="1166" spans="2:20" s="0" customFormat="0" ht="15">
      <c r="B1166" s="69">
        <v>16974685</v>
      </c>
      <c r="C1166" s="70" t="s">
        <v>4766</v>
      </c>
      <c r="D1166" s="70" t="s">
        <v>1</v>
      </c>
      <c r="E1166" s="70" t="s">
        <v>1</v>
      </c>
      <c r="F1166" s="70"/>
      <c r="G1166" s="70" t="s">
        <v>61</v>
      </c>
      <c r="H1166" s="70" t="s">
        <v>178</v>
      </c>
      <c r="I1166" s="70" t="s">
        <v>198</v>
      </c>
      <c r="J1166" s="71" t="str">
        <f>IF(OR(I1166=0,I1166=""),"unrated",VLOOKUP(I1166,MappingTables!$B$19:$C$31,2,FALSE))</f>
        <v>unrated</v>
      </c>
      <c r="K1166" s="72">
        <v>262.71715120117888</v>
      </c>
      <c r="L1166" s="70">
        <v>0.10901280334349588</v>
      </c>
      <c r="M1166" s="71">
        <f>IF(L1166&lt;1,1,L1166)</f>
        <v>1</v>
      </c>
      <c r="N1166" s="70" t="s">
        <v>3288</v>
      </c>
      <c r="O1166" s="71">
        <f>IF(OR(I1166=$A$1,I1166=0),"",IF(N1166=MappingTables!$C$14,VLOOKUP(J1166,ModelParameters!$M$8:$N$15,2,FALSE),IF(N1166=MappingTables!$C$16,VLOOKUP(J1166,ModelParameters!$P$8:$Q$15,2,FALSE),0)))</f>
        <v>1</v>
      </c>
      <c r="P1166" s="73">
        <f>IF(OR(I1166=0,I1166=$A$1),0,MIN(O1166*M1166,1)*K1166)</f>
        <v>262.71715120117888</v>
      </c>
      <c r="Q1166" s="73">
        <f>IF(B1166="",0,IF(OR(H1166=MappingTables!$C$34,H1166=MappingTables!$C$35),P1166,0))</f>
        <v>0</v>
      </c>
      <c r="R1166" s="73">
        <f>IF(ISNA(IF(AND(VLOOKUP(CONCATENATE($D1166,$G1166),CSRFinput!$B:$E,4,0)=0,OR(H1166=MappingTables!$C$31,H1166=MappingTables!$C$32)),1,VLOOKUP(CONCATENATE($D1166,$G1166),CSRFinput!$B:$E,4,0))),0,IF(AND(VLOOKUP(CONCATENATE($D1166,$G1166),CSRFinput!$B:$E,4,0)=0,OR(H1166=MappingTables!$C$31,H1166=MappingTables!$C$32)),1,VLOOKUP(CONCATENATE($D1166,$G1166),CSRFinput!$B:$E,4,0)))</f>
        <v>0.054776304963434752</v>
      </c>
      <c r="S1166" s="73">
        <f>IF(B1166="",0,P1166*R1166)</f>
        <v>14.390674793320572</v>
      </c>
      <c r="T1166" s="85">
        <f>IF(B1166="",0,IF(OR(H1166=MappingTables!$C$34,H1166=MappingTables!$C$35),S1166,0))</f>
        <v>0</v>
      </c>
    </row>
    <row r="1167" spans="2:20" s="0" customFormat="0" ht="15">
      <c r="B1167" s="69" t="s">
        <v>4767</v>
      </c>
      <c r="C1167" s="70" t="s">
        <v>4768</v>
      </c>
      <c r="D1167" s="70" t="s">
        <v>1</v>
      </c>
      <c r="E1167" s="70" t="s">
        <v>1</v>
      </c>
      <c r="F1167" s="70"/>
      <c r="G1167" s="70" t="s">
        <v>61</v>
      </c>
      <c r="H1167" s="70" t="s">
        <v>178</v>
      </c>
      <c r="I1167" s="70" t="s">
        <v>198</v>
      </c>
      <c r="J1167" s="71" t="str">
        <f>IF(OR(I1167=0,I1167=""),"unrated",VLOOKUP(I1167,MappingTables!$B$19:$C$31,2,FALSE))</f>
        <v>unrated</v>
      </c>
      <c r="K1167" s="72">
        <v>624.46138552945536</v>
      </c>
      <c r="L1167" s="70">
        <v>25.985324445528848</v>
      </c>
      <c r="M1167" s="71">
        <f>IF(L1167&lt;1,1,L1167)</f>
        <v>25.985324445528848</v>
      </c>
      <c r="N1167" s="70" t="s">
        <v>3288</v>
      </c>
      <c r="O1167" s="71">
        <f>IF(OR(I1167=$A$1,I1167=0),"",IF(N1167=MappingTables!$C$14,VLOOKUP(J1167,ModelParameters!$M$8:$N$15,2,FALSE),IF(N1167=MappingTables!$C$16,VLOOKUP(J1167,ModelParameters!$P$8:$Q$15,2,FALSE),0)))</f>
        <v>1</v>
      </c>
      <c r="P1167" s="73">
        <f>IF(OR(I1167=0,I1167=$A$1),0,MIN(O1167*M1167,1)*K1167)</f>
        <v>624.46138552945536</v>
      </c>
      <c r="Q1167" s="73">
        <f>IF(B1167="",0,IF(OR(H1167=MappingTables!$C$34,H1167=MappingTables!$C$35),P1167,0))</f>
        <v>0</v>
      </c>
      <c r="R1167" s="73">
        <f>IF(ISNA(IF(AND(VLOOKUP(CONCATENATE($D1167,$G1167),CSRFinput!$B:$E,4,0)=0,OR(H1167=MappingTables!$C$31,H1167=MappingTables!$C$32)),1,VLOOKUP(CONCATENATE($D1167,$G1167),CSRFinput!$B:$E,4,0))),0,IF(AND(VLOOKUP(CONCATENATE($D1167,$G1167),CSRFinput!$B:$E,4,0)=0,OR(H1167=MappingTables!$C$31,H1167=MappingTables!$C$32)),1,VLOOKUP(CONCATENATE($D1167,$G1167),CSRFinput!$B:$E,4,0)))</f>
        <v>0.054776304963434752</v>
      </c>
      <c r="S1167" s="73">
        <f>IF(B1167="",0,P1167*R1167)</f>
        <v>34.205687291650448</v>
      </c>
      <c r="T1167" s="85">
        <f>IF(B1167="",0,IF(OR(H1167=MappingTables!$C$34,H1167=MappingTables!$C$35),S1167,0))</f>
        <v>0</v>
      </c>
    </row>
    <row r="1168" spans="2:20" s="0" customFormat="0" ht="15">
      <c r="B1168" s="69" t="s">
        <v>4759</v>
      </c>
      <c r="C1168" s="70" t="s">
        <v>4760</v>
      </c>
      <c r="D1168" s="70" t="s">
        <v>1</v>
      </c>
      <c r="E1168" s="70" t="s">
        <v>1</v>
      </c>
      <c r="F1168" s="70"/>
      <c r="G1168" s="70" t="s">
        <v>61</v>
      </c>
      <c r="H1168" s="70" t="s">
        <v>178</v>
      </c>
      <c r="I1168" s="70" t="s">
        <v>198</v>
      </c>
      <c r="J1168" s="71" t="str">
        <f>IF(OR(I1168=0,I1168=""),"unrated",VLOOKUP(I1168,MappingTables!$B$19:$C$31,2,FALSE))</f>
        <v>unrated</v>
      </c>
      <c r="K1168" s="72">
        <v>20.460704118909616</v>
      </c>
      <c r="L1168" s="70">
        <v>0.06849689975355652</v>
      </c>
      <c r="M1168" s="71">
        <f>IF(L1168&lt;1,1,L1168)</f>
        <v>1</v>
      </c>
      <c r="N1168" s="70" t="s">
        <v>3288</v>
      </c>
      <c r="O1168" s="71">
        <f>IF(OR(I1168=$A$1,I1168=0),"",IF(N1168=MappingTables!$C$14,VLOOKUP(J1168,ModelParameters!$M$8:$N$15,2,FALSE),IF(N1168=MappingTables!$C$16,VLOOKUP(J1168,ModelParameters!$P$8:$Q$15,2,FALSE),0)))</f>
        <v>1</v>
      </c>
      <c r="P1168" s="73">
        <f>IF(OR(I1168=0,I1168=$A$1),0,MIN(O1168*M1168,1)*K1168)</f>
        <v>20.460704118909616</v>
      </c>
      <c r="Q1168" s="73">
        <f>IF(B1168="",0,IF(OR(H1168=MappingTables!$C$34,H1168=MappingTables!$C$35),P1168,0))</f>
        <v>0</v>
      </c>
      <c r="R1168" s="73">
        <f>IF(ISNA(IF(AND(VLOOKUP(CONCATENATE($D1168,$G1168),CSRFinput!$B:$E,4,0)=0,OR(H1168=MappingTables!$C$31,H1168=MappingTables!$C$32)),1,VLOOKUP(CONCATENATE($D1168,$G1168),CSRFinput!$B:$E,4,0))),0,IF(AND(VLOOKUP(CONCATENATE($D1168,$G1168),CSRFinput!$B:$E,4,0)=0,OR(H1168=MappingTables!$C$31,H1168=MappingTables!$C$32)),1,VLOOKUP(CONCATENATE($D1168,$G1168),CSRFinput!$B:$E,4,0)))</f>
        <v>0.054776304963434752</v>
      </c>
      <c r="S1168" s="73">
        <f>IF(B1168="",0,P1168*R1168)</f>
        <v>1.1207617685839988</v>
      </c>
      <c r="T1168" s="85">
        <f>IF(B1168="",0,IF(OR(H1168=MappingTables!$C$34,H1168=MappingTables!$C$35),S1168,0))</f>
        <v>0</v>
      </c>
    </row>
    <row r="1169" spans="2:20" s="0" customFormat="0" ht="15">
      <c r="B1169" s="69" t="s">
        <v>3761</v>
      </c>
      <c r="C1169" s="70" t="s">
        <v>3762</v>
      </c>
      <c r="D1169" s="70" t="s">
        <v>1</v>
      </c>
      <c r="E1169" s="70" t="s">
        <v>1</v>
      </c>
      <c r="F1169" s="70"/>
      <c r="G1169" s="70" t="s">
        <v>61</v>
      </c>
      <c r="H1169" s="70" t="s">
        <v>178</v>
      </c>
      <c r="I1169" s="70" t="s">
        <v>204</v>
      </c>
      <c r="J1169" s="71">
        <f>IF(OR(I1169=0,I1169=""),"unrated",VLOOKUP(I1169,MappingTables!$B$19:$C$31,2,FALSE))</f>
        <v>6</v>
      </c>
      <c r="K1169" s="72">
        <v>102.13517173834712</v>
      </c>
      <c r="L1169" s="70">
        <v>0.068494267067530768</v>
      </c>
      <c r="M1169" s="71">
        <f>IF(L1169&lt;1,1,L1169)</f>
        <v>1</v>
      </c>
      <c r="N1169" s="70" t="s">
        <v>3288</v>
      </c>
      <c r="O1169" s="71">
        <f>IF(OR(I1169=$A$1,I1169=0),"",IF(N1169=MappingTables!$C$14,VLOOKUP(J1169,ModelParameters!$M$8:$N$15,2,FALSE),IF(N1169=MappingTables!$C$16,VLOOKUP(J1169,ModelParameters!$P$8:$Q$15,2,FALSE),0)))</f>
        <v>1</v>
      </c>
      <c r="P1169" s="73">
        <f>IF(OR(I1169=0,I1169=$A$1),0,MIN(O1169*M1169,1)*K1169)</f>
        <v>102.13517173834712</v>
      </c>
      <c r="Q1169" s="73">
        <f>IF(B1169="",0,IF(OR(H1169=MappingTables!$C$34,H1169=MappingTables!$C$35),P1169,0))</f>
        <v>0</v>
      </c>
      <c r="R1169" s="73">
        <f>IF(ISNA(IF(AND(VLOOKUP(CONCATENATE($D1169,$G1169),CSRFinput!$B:$E,4,0)=0,OR(H1169=MappingTables!$C$31,H1169=MappingTables!$C$32)),1,VLOOKUP(CONCATENATE($D1169,$G1169),CSRFinput!$B:$E,4,0))),0,IF(AND(VLOOKUP(CONCATENATE($D1169,$G1169),CSRFinput!$B:$E,4,0)=0,OR(H1169=MappingTables!$C$31,H1169=MappingTables!$C$32)),1,VLOOKUP(CONCATENATE($D1169,$G1169),CSRFinput!$B:$E,4,0)))</f>
        <v>0.054776304963434752</v>
      </c>
      <c r="S1169" s="73">
        <f>IF(B1169="",0,P1169*R1169)</f>
        <v>5.594587314632484</v>
      </c>
      <c r="T1169" s="85">
        <f>IF(B1169="",0,IF(OR(H1169=MappingTables!$C$34,H1169=MappingTables!$C$35),S1169,0))</f>
        <v>0</v>
      </c>
    </row>
    <row r="1170" spans="2:20" s="0" customFormat="0" ht="15">
      <c r="B1170" s="69" t="s">
        <v>4769</v>
      </c>
      <c r="C1170" s="70" t="s">
        <v>4770</v>
      </c>
      <c r="D1170" s="70" t="s">
        <v>1</v>
      </c>
      <c r="E1170" s="70" t="s">
        <v>1</v>
      </c>
      <c r="F1170" s="70"/>
      <c r="G1170" s="70" t="s">
        <v>61</v>
      </c>
      <c r="H1170" s="70" t="s">
        <v>178</v>
      </c>
      <c r="I1170" s="70" t="s">
        <v>198</v>
      </c>
      <c r="J1170" s="71" t="str">
        <f>IF(OR(I1170=0,I1170=""),"unrated",VLOOKUP(I1170,MappingTables!$B$19:$C$31,2,FALSE))</f>
        <v>unrated</v>
      </c>
      <c r="K1170" s="72">
        <v>38.296635409451456</v>
      </c>
      <c r="L1170" s="70">
        <v>6.8970921327766256</v>
      </c>
      <c r="M1170" s="71">
        <f>IF(L1170&lt;1,1,L1170)</f>
        <v>6.8970921327766256</v>
      </c>
      <c r="N1170" s="70" t="s">
        <v>3288</v>
      </c>
      <c r="O1170" s="71">
        <f>IF(OR(I1170=$A$1,I1170=0),"",IF(N1170=MappingTables!$C$14,VLOOKUP(J1170,ModelParameters!$M$8:$N$15,2,FALSE),IF(N1170=MappingTables!$C$16,VLOOKUP(J1170,ModelParameters!$P$8:$Q$15,2,FALSE),0)))</f>
        <v>1</v>
      </c>
      <c r="P1170" s="73">
        <f>IF(OR(I1170=0,I1170=$A$1),0,MIN(O1170*M1170,1)*K1170)</f>
        <v>38.296635409451456</v>
      </c>
      <c r="Q1170" s="73">
        <f>IF(B1170="",0,IF(OR(H1170=MappingTables!$C$34,H1170=MappingTables!$C$35),P1170,0))</f>
        <v>0</v>
      </c>
      <c r="R1170" s="73">
        <f>IF(ISNA(IF(AND(VLOOKUP(CONCATENATE($D1170,$G1170),CSRFinput!$B:$E,4,0)=0,OR(H1170=MappingTables!$C$31,H1170=MappingTables!$C$32)),1,VLOOKUP(CONCATENATE($D1170,$G1170),CSRFinput!$B:$E,4,0))),0,IF(AND(VLOOKUP(CONCATENATE($D1170,$G1170),CSRFinput!$B:$E,4,0)=0,OR(H1170=MappingTables!$C$31,H1170=MappingTables!$C$32)),1,VLOOKUP(CONCATENATE($D1170,$G1170),CSRFinput!$B:$E,4,0)))</f>
        <v>0.054776304963434752</v>
      </c>
      <c r="S1170" s="73">
        <f>IF(B1170="",0,P1170*R1170)</f>
        <v>2.0977481802615868</v>
      </c>
      <c r="T1170" s="85">
        <f>IF(B1170="",0,IF(OR(H1170=MappingTables!$C$34,H1170=MappingTables!$C$35),S1170,0))</f>
        <v>0</v>
      </c>
    </row>
    <row r="1171" spans="2:20" s="0" customFormat="0" ht="15">
      <c r="B1171" s="69" t="s">
        <v>4771</v>
      </c>
      <c r="C1171" s="70" t="s">
        <v>4772</v>
      </c>
      <c r="D1171" s="70" t="s">
        <v>1</v>
      </c>
      <c r="E1171" s="70" t="s">
        <v>1</v>
      </c>
      <c r="F1171" s="70"/>
      <c r="G1171" s="70" t="s">
        <v>61</v>
      </c>
      <c r="H1171" s="70" t="s">
        <v>178</v>
      </c>
      <c r="I1171" s="70" t="s">
        <v>204</v>
      </c>
      <c r="J1171" s="71">
        <f>IF(OR(I1171=0,I1171=""),"unrated",VLOOKUP(I1171,MappingTables!$B$19:$C$31,2,FALSE))</f>
        <v>6</v>
      </c>
      <c r="K1171" s="72">
        <v>4.2292296710873248</v>
      </c>
      <c r="L1171" s="70">
        <v>0.068489884619695032</v>
      </c>
      <c r="M1171" s="71">
        <f>IF(L1171&lt;1,1,L1171)</f>
        <v>1</v>
      </c>
      <c r="N1171" s="70" t="s">
        <v>3288</v>
      </c>
      <c r="O1171" s="71">
        <f>IF(OR(I1171=$A$1,I1171=0),"",IF(N1171=MappingTables!$C$14,VLOOKUP(J1171,ModelParameters!$M$8:$N$15,2,FALSE),IF(N1171=MappingTables!$C$16,VLOOKUP(J1171,ModelParameters!$P$8:$Q$15,2,FALSE),0)))</f>
        <v>1</v>
      </c>
      <c r="P1171" s="73">
        <f>IF(OR(I1171=0,I1171=$A$1),0,MIN(O1171*M1171,1)*K1171)</f>
        <v>4.2292296710873248</v>
      </c>
      <c r="Q1171" s="73">
        <f>IF(B1171="",0,IF(OR(H1171=MappingTables!$C$34,H1171=MappingTables!$C$35),P1171,0))</f>
        <v>0</v>
      </c>
      <c r="R1171" s="73">
        <f>IF(ISNA(IF(AND(VLOOKUP(CONCATENATE($D1171,$G1171),CSRFinput!$B:$E,4,0)=0,OR(H1171=MappingTables!$C$31,H1171=MappingTables!$C$32)),1,VLOOKUP(CONCATENATE($D1171,$G1171),CSRFinput!$B:$E,4,0))),0,IF(AND(VLOOKUP(CONCATENATE($D1171,$G1171),CSRFinput!$B:$E,4,0)=0,OR(H1171=MappingTables!$C$31,H1171=MappingTables!$C$32)),1,VLOOKUP(CONCATENATE($D1171,$G1171),CSRFinput!$B:$E,4,0)))</f>
        <v>0.054776304963434752</v>
      </c>
      <c r="S1171" s="73">
        <f>IF(B1171="",0,P1171*R1171)</f>
        <v>0.23166157422388616</v>
      </c>
      <c r="T1171" s="85">
        <f>IF(B1171="",0,IF(OR(H1171=MappingTables!$C$34,H1171=MappingTables!$C$35),S1171,0))</f>
        <v>0</v>
      </c>
    </row>
    <row r="1172" spans="2:20" s="0" customFormat="0" ht="15">
      <c r="B1172" s="69" t="s">
        <v>4641</v>
      </c>
      <c r="C1172" s="70" t="s">
        <v>4642</v>
      </c>
      <c r="D1172" s="70" t="s">
        <v>1</v>
      </c>
      <c r="E1172" s="70" t="s">
        <v>1</v>
      </c>
      <c r="F1172" s="70"/>
      <c r="G1172" s="70" t="s">
        <v>61</v>
      </c>
      <c r="H1172" s="70" t="s">
        <v>178</v>
      </c>
      <c r="I1172" s="70" t="s">
        <v>3298</v>
      </c>
      <c r="J1172" s="71">
        <f>IF(OR(I1172=0,I1172=""),"unrated",VLOOKUP(I1172,MappingTables!$B$19:$C$31,2,FALSE))</f>
        <v>6</v>
      </c>
      <c r="K1172" s="72">
        <v>226.45088679268808</v>
      </c>
      <c r="L1172" s="70">
        <v>0.068488452940076952</v>
      </c>
      <c r="M1172" s="71">
        <f>IF(L1172&lt;1,1,L1172)</f>
        <v>1</v>
      </c>
      <c r="N1172" s="70" t="s">
        <v>3288</v>
      </c>
      <c r="O1172" s="71">
        <f>IF(OR(I1172=$A$1,I1172=0),"",IF(N1172=MappingTables!$C$14,VLOOKUP(J1172,ModelParameters!$M$8:$N$15,2,FALSE),IF(N1172=MappingTables!$C$16,VLOOKUP(J1172,ModelParameters!$P$8:$Q$15,2,FALSE),0)))</f>
        <v>1</v>
      </c>
      <c r="P1172" s="73">
        <f>IF(OR(I1172=0,I1172=$A$1),0,MIN(O1172*M1172,1)*K1172)</f>
        <v>226.45088679268808</v>
      </c>
      <c r="Q1172" s="73">
        <f>IF(B1172="",0,IF(OR(H1172=MappingTables!$C$34,H1172=MappingTables!$C$35),P1172,0))</f>
        <v>0</v>
      </c>
      <c r="R1172" s="73">
        <f>IF(ISNA(IF(AND(VLOOKUP(CONCATENATE($D1172,$G1172),CSRFinput!$B:$E,4,0)=0,OR(H1172=MappingTables!$C$31,H1172=MappingTables!$C$32)),1,VLOOKUP(CONCATENATE($D1172,$G1172),CSRFinput!$B:$E,4,0))),0,IF(AND(VLOOKUP(CONCATENATE($D1172,$G1172),CSRFinput!$B:$E,4,0)=0,OR(H1172=MappingTables!$C$31,H1172=MappingTables!$C$32)),1,VLOOKUP(CONCATENATE($D1172,$G1172),CSRFinput!$B:$E,4,0)))</f>
        <v>0.054776304963434752</v>
      </c>
      <c r="S1172" s="73">
        <f>IF(B1172="",0,P1172*R1172)</f>
        <v>12.404142834196522</v>
      </c>
      <c r="T1172" s="85">
        <f>IF(B1172="",0,IF(OR(H1172=MappingTables!$C$34,H1172=MappingTables!$C$35),S1172,0))</f>
        <v>0</v>
      </c>
    </row>
    <row r="1173" spans="2:20" s="0" customFormat="0" ht="15">
      <c r="B1173" s="69" t="s">
        <v>3792</v>
      </c>
      <c r="C1173" s="70" t="s">
        <v>3793</v>
      </c>
      <c r="D1173" s="70" t="s">
        <v>1</v>
      </c>
      <c r="E1173" s="70" t="s">
        <v>1</v>
      </c>
      <c r="F1173" s="70"/>
      <c r="G1173" s="70" t="s">
        <v>61</v>
      </c>
      <c r="H1173" s="70" t="s">
        <v>178</v>
      </c>
      <c r="I1173" s="70" t="s">
        <v>216</v>
      </c>
      <c r="J1173" s="71">
        <f>IF(OR(I1173=0,I1173=""),"unrated",VLOOKUP(I1173,MappingTables!$B$19:$C$31,2,FALSE))</f>
        <v>0</v>
      </c>
      <c r="K1173" s="72">
        <v>1.0288576456207472</v>
      </c>
      <c r="L1173" s="70">
        <v>0.092463336250322448</v>
      </c>
      <c r="M1173" s="71">
        <f>IF(L1173&lt;1,1,L1173)</f>
        <v>1</v>
      </c>
      <c r="N1173" s="70" t="s">
        <v>3288</v>
      </c>
      <c r="O1173" s="71">
        <f>IF(OR(I1173=$A$1,I1173=0),"",IF(N1173=MappingTables!$C$14,VLOOKUP(J1173,ModelParameters!$M$8:$N$15,2,FALSE),IF(N1173=MappingTables!$C$16,VLOOKUP(J1173,ModelParameters!$P$8:$Q$15,2,FALSE),0)))</f>
        <v>0.125</v>
      </c>
      <c r="P1173" s="73">
        <f>IF(OR(I1173=0,I1173=$A$1),0,MIN(O1173*M1173,1)*K1173)</f>
        <v>0.1286072057025934</v>
      </c>
      <c r="Q1173" s="73">
        <f>IF(B1173="",0,IF(OR(H1173=MappingTables!$C$34,H1173=MappingTables!$C$35),P1173,0))</f>
        <v>0</v>
      </c>
      <c r="R1173" s="73">
        <f>IF(ISNA(IF(AND(VLOOKUP(CONCATENATE($D1173,$G1173),CSRFinput!$B:$E,4,0)=0,OR(H1173=MappingTables!$C$31,H1173=MappingTables!$C$32)),1,VLOOKUP(CONCATENATE($D1173,$G1173),CSRFinput!$B:$E,4,0))),0,IF(AND(VLOOKUP(CONCATENATE($D1173,$G1173),CSRFinput!$B:$E,4,0)=0,OR(H1173=MappingTables!$C$31,H1173=MappingTables!$C$32)),1,VLOOKUP(CONCATENATE($D1173,$G1173),CSRFinput!$B:$E,4,0)))</f>
        <v>0.054776304963434752</v>
      </c>
      <c r="S1173" s="73">
        <f>IF(B1173="",0,P1173*R1173)</f>
        <v>0.0070446275200604416</v>
      </c>
      <c r="T1173" s="85">
        <f>IF(B1173="",0,IF(OR(H1173=MappingTables!$C$34,H1173=MappingTables!$C$35),S1173,0))</f>
        <v>0</v>
      </c>
    </row>
    <row r="1174" spans="2:20" s="0" customFormat="0" ht="15">
      <c r="B1174" s="69">
        <v>16974685</v>
      </c>
      <c r="C1174" s="70" t="s">
        <v>4766</v>
      </c>
      <c r="D1174" s="70" t="s">
        <v>1</v>
      </c>
      <c r="E1174" s="70" t="s">
        <v>1</v>
      </c>
      <c r="F1174" s="70"/>
      <c r="G1174" s="70" t="s">
        <v>61</v>
      </c>
      <c r="H1174" s="70" t="s">
        <v>178</v>
      </c>
      <c r="I1174" s="70" t="s">
        <v>198</v>
      </c>
      <c r="J1174" s="71" t="str">
        <f>IF(OR(I1174=0,I1174=""),"unrated",VLOOKUP(I1174,MappingTables!$B$19:$C$31,2,FALSE))</f>
        <v>unrated</v>
      </c>
      <c r="K1174" s="72">
        <v>557.24096031368664</v>
      </c>
      <c r="L1174" s="70">
        <v>0.10901280334349094</v>
      </c>
      <c r="M1174" s="71">
        <f>IF(L1174&lt;1,1,L1174)</f>
        <v>1</v>
      </c>
      <c r="N1174" s="70" t="s">
        <v>3288</v>
      </c>
      <c r="O1174" s="71">
        <f>IF(OR(I1174=$A$1,I1174=0),"",IF(N1174=MappingTables!$C$14,VLOOKUP(J1174,ModelParameters!$M$8:$N$15,2,FALSE),IF(N1174=MappingTables!$C$16,VLOOKUP(J1174,ModelParameters!$P$8:$Q$15,2,FALSE),0)))</f>
        <v>1</v>
      </c>
      <c r="P1174" s="73">
        <f>IF(OR(I1174=0,I1174=$A$1),0,MIN(O1174*M1174,1)*K1174)</f>
        <v>557.24096031368664</v>
      </c>
      <c r="Q1174" s="73">
        <f>IF(B1174="",0,IF(OR(H1174=MappingTables!$C$34,H1174=MappingTables!$C$35),P1174,0))</f>
        <v>0</v>
      </c>
      <c r="R1174" s="73">
        <f>IF(ISNA(IF(AND(VLOOKUP(CONCATENATE($D1174,$G1174),CSRFinput!$B:$E,4,0)=0,OR(H1174=MappingTables!$C$31,H1174=MappingTables!$C$32)),1,VLOOKUP(CONCATENATE($D1174,$G1174),CSRFinput!$B:$E,4,0))),0,IF(AND(VLOOKUP(CONCATENATE($D1174,$G1174),CSRFinput!$B:$E,4,0)=0,OR(H1174=MappingTables!$C$31,H1174=MappingTables!$C$32)),1,VLOOKUP(CONCATENATE($D1174,$G1174),CSRFinput!$B:$E,4,0)))</f>
        <v>0.054776304963434752</v>
      </c>
      <c r="S1174" s="73">
        <f>IF(B1174="",0,P1174*R1174)</f>
        <v>30.52360078025974</v>
      </c>
      <c r="T1174" s="85">
        <f>IF(B1174="",0,IF(OR(H1174=MappingTables!$C$34,H1174=MappingTables!$C$35),S1174,0))</f>
        <v>0</v>
      </c>
    </row>
    <row r="1175" spans="2:20" s="0" customFormat="0" ht="15">
      <c r="B1175" s="69">
        <v>24748733</v>
      </c>
      <c r="C1175" s="70" t="s">
        <v>4773</v>
      </c>
      <c r="D1175" s="70" t="s">
        <v>1</v>
      </c>
      <c r="E1175" s="70" t="s">
        <v>1</v>
      </c>
      <c r="F1175" s="70"/>
      <c r="G1175" s="70" t="s">
        <v>61</v>
      </c>
      <c r="H1175" s="70" t="s">
        <v>178</v>
      </c>
      <c r="I1175" s="70" t="s">
        <v>198</v>
      </c>
      <c r="J1175" s="71" t="str">
        <f>IF(OR(I1175=0,I1175=""),"unrated",VLOOKUP(I1175,MappingTables!$B$19:$C$31,2,FALSE))</f>
        <v>unrated</v>
      </c>
      <c r="K1175" s="72">
        <v>17478.788237361994</v>
      </c>
      <c r="L1175" s="70">
        <v>0.049731471260768024</v>
      </c>
      <c r="M1175" s="71">
        <f>IF(L1175&lt;1,1,L1175)</f>
        <v>1</v>
      </c>
      <c r="N1175" s="70" t="s">
        <v>3288</v>
      </c>
      <c r="O1175" s="71">
        <f>IF(OR(I1175=$A$1,I1175=0),"",IF(N1175=MappingTables!$C$14,VLOOKUP(J1175,ModelParameters!$M$8:$N$15,2,FALSE),IF(N1175=MappingTables!$C$16,VLOOKUP(J1175,ModelParameters!$P$8:$Q$15,2,FALSE),0)))</f>
        <v>1</v>
      </c>
      <c r="P1175" s="73">
        <f>IF(OR(I1175=0,I1175=$A$1),0,MIN(O1175*M1175,1)*K1175)</f>
        <v>17478.788237361994</v>
      </c>
      <c r="Q1175" s="73">
        <f>IF(B1175="",0,IF(OR(H1175=MappingTables!$C$34,H1175=MappingTables!$C$35),P1175,0))</f>
        <v>0</v>
      </c>
      <c r="R1175" s="73">
        <f>IF(ISNA(IF(AND(VLOOKUP(CONCATENATE($D1175,$G1175),CSRFinput!$B:$E,4,0)=0,OR(H1175=MappingTables!$C$31,H1175=MappingTables!$C$32)),1,VLOOKUP(CONCATENATE($D1175,$G1175),CSRFinput!$B:$E,4,0))),0,IF(AND(VLOOKUP(CONCATENATE($D1175,$G1175),CSRFinput!$B:$E,4,0)=0,OR(H1175=MappingTables!$C$31,H1175=MappingTables!$C$32)),1,VLOOKUP(CONCATENATE($D1175,$G1175),CSRFinput!$B:$E,4,0)))</f>
        <v>0.054776304963434752</v>
      </c>
      <c r="S1175" s="73">
        <f>IF(B1175="",0,P1175*R1175)</f>
        <v>957.4234348810368</v>
      </c>
      <c r="T1175" s="85">
        <f>IF(B1175="",0,IF(OR(H1175=MappingTables!$C$34,H1175=MappingTables!$C$35),S1175,0))</f>
        <v>0</v>
      </c>
    </row>
    <row r="1176" spans="2:20" s="0" customFormat="0" ht="15">
      <c r="B1176" s="69" t="s">
        <v>4774</v>
      </c>
      <c r="C1176" s="70" t="s">
        <v>4775</v>
      </c>
      <c r="D1176" s="70" t="s">
        <v>1</v>
      </c>
      <c r="E1176" s="70" t="s">
        <v>1</v>
      </c>
      <c r="F1176" s="70"/>
      <c r="G1176" s="70" t="s">
        <v>61</v>
      </c>
      <c r="H1176" s="70" t="s">
        <v>178</v>
      </c>
      <c r="I1176" s="70" t="s">
        <v>198</v>
      </c>
      <c r="J1176" s="71" t="str">
        <f>IF(OR(I1176=0,I1176=""),"unrated",VLOOKUP(I1176,MappingTables!$B$19:$C$31,2,FALSE))</f>
        <v>unrated</v>
      </c>
      <c r="K1176" s="72">
        <v>0.1551322206853035</v>
      </c>
      <c r="L1176" s="70">
        <v>25.085011993174848</v>
      </c>
      <c r="M1176" s="71">
        <f>IF(L1176&lt;1,1,L1176)</f>
        <v>25.085011993174848</v>
      </c>
      <c r="N1176" s="70" t="s">
        <v>3288</v>
      </c>
      <c r="O1176" s="71">
        <f>IF(OR(I1176=$A$1,I1176=0),"",IF(N1176=MappingTables!$C$14,VLOOKUP(J1176,ModelParameters!$M$8:$N$15,2,FALSE),IF(N1176=MappingTables!$C$16,VLOOKUP(J1176,ModelParameters!$P$8:$Q$15,2,FALSE),0)))</f>
        <v>1</v>
      </c>
      <c r="P1176" s="73">
        <f>IF(OR(I1176=0,I1176=$A$1),0,MIN(O1176*M1176,1)*K1176)</f>
        <v>0.1551322206853035</v>
      </c>
      <c r="Q1176" s="73">
        <f>IF(B1176="",0,IF(OR(H1176=MappingTables!$C$34,H1176=MappingTables!$C$35),P1176,0))</f>
        <v>0</v>
      </c>
      <c r="R1176" s="73">
        <f>IF(ISNA(IF(AND(VLOOKUP(CONCATENATE($D1176,$G1176),CSRFinput!$B:$E,4,0)=0,OR(H1176=MappingTables!$C$31,H1176=MappingTables!$C$32)),1,VLOOKUP(CONCATENATE($D1176,$G1176),CSRFinput!$B:$E,4,0))),0,IF(AND(VLOOKUP(CONCATENATE($D1176,$G1176),CSRFinput!$B:$E,4,0)=0,OR(H1176=MappingTables!$C$31,H1176=MappingTables!$C$32)),1,VLOOKUP(CONCATENATE($D1176,$G1176),CSRFinput!$B:$E,4,0)))</f>
        <v>0.054776304963434752</v>
      </c>
      <c r="S1176" s="73">
        <f>IF(B1176="",0,P1176*R1176)</f>
        <v>0.0084975698299130464</v>
      </c>
      <c r="T1176" s="85">
        <f>IF(B1176="",0,IF(OR(H1176=MappingTables!$C$34,H1176=MappingTables!$C$35),S1176,0))</f>
        <v>0</v>
      </c>
    </row>
    <row r="1177" spans="2:20" s="0" customFormat="0" ht="15">
      <c r="B1177" s="69" t="s">
        <v>4357</v>
      </c>
      <c r="C1177" s="70" t="s">
        <v>4358</v>
      </c>
      <c r="D1177" s="70" t="s">
        <v>1</v>
      </c>
      <c r="E1177" s="70" t="s">
        <v>1</v>
      </c>
      <c r="F1177" s="70"/>
      <c r="G1177" s="70" t="s">
        <v>61</v>
      </c>
      <c r="H1177" s="70" t="s">
        <v>178</v>
      </c>
      <c r="I1177" s="70" t="s">
        <v>181</v>
      </c>
      <c r="J1177" s="71">
        <f>IF(OR(I1177=0,I1177=""),"unrated",VLOOKUP(I1177,MappingTables!$B$19:$C$31,2,FALSE))</f>
        <v>3</v>
      </c>
      <c r="K1177" s="72">
        <v>68.596730262143352</v>
      </c>
      <c r="L1177" s="70">
        <v>0.054795747421111912</v>
      </c>
      <c r="M1177" s="71">
        <f>IF(L1177&lt;1,1,L1177)</f>
        <v>1</v>
      </c>
      <c r="N1177" s="70" t="s">
        <v>3288</v>
      </c>
      <c r="O1177" s="71">
        <f>IF(OR(I1177=$A$1,I1177=0),"",IF(N1177=MappingTables!$C$14,VLOOKUP(J1177,ModelParameters!$M$8:$N$15,2,FALSE),IF(N1177=MappingTables!$C$16,VLOOKUP(J1177,ModelParameters!$P$8:$Q$15,2,FALSE),0)))</f>
        <v>0.197</v>
      </c>
      <c r="P1177" s="73">
        <f>IF(OR(I1177=0,I1177=$A$1),0,MIN(O1177*M1177,1)*K1177)</f>
        <v>13.513555861642238</v>
      </c>
      <c r="Q1177" s="73">
        <f>IF(B1177="",0,IF(OR(H1177=MappingTables!$C$34,H1177=MappingTables!$C$35),P1177,0))</f>
        <v>0</v>
      </c>
      <c r="R1177" s="73">
        <f>IF(ISNA(IF(AND(VLOOKUP(CONCATENATE($D1177,$G1177),CSRFinput!$B:$E,4,0)=0,OR(H1177=MappingTables!$C$31,H1177=MappingTables!$C$32)),1,VLOOKUP(CONCATENATE($D1177,$G1177),CSRFinput!$B:$E,4,0))),0,IF(AND(VLOOKUP(CONCATENATE($D1177,$G1177),CSRFinput!$B:$E,4,0)=0,OR(H1177=MappingTables!$C$31,H1177=MappingTables!$C$32)),1,VLOOKUP(CONCATENATE($D1177,$G1177),CSRFinput!$B:$E,4,0)))</f>
        <v>0.054776304963434752</v>
      </c>
      <c r="S1177" s="73">
        <f>IF(B1177="",0,P1177*R1177)</f>
        <v>0.74022265701772656</v>
      </c>
      <c r="T1177" s="85">
        <f>IF(B1177="",0,IF(OR(H1177=MappingTables!$C$34,H1177=MappingTables!$C$35),S1177,0))</f>
        <v>0</v>
      </c>
    </row>
    <row r="1178" spans="2:20" s="0" customFormat="0" ht="15">
      <c r="B1178" s="69">
        <v>19762437</v>
      </c>
      <c r="C1178" s="70" t="s">
        <v>4776</v>
      </c>
      <c r="D1178" s="70" t="s">
        <v>1</v>
      </c>
      <c r="E1178" s="70" t="s">
        <v>1</v>
      </c>
      <c r="F1178" s="70"/>
      <c r="G1178" s="70" t="s">
        <v>61</v>
      </c>
      <c r="H1178" s="70" t="s">
        <v>178</v>
      </c>
      <c r="I1178" s="70" t="s">
        <v>181</v>
      </c>
      <c r="J1178" s="71">
        <f>IF(OR(I1178=0,I1178=""),"unrated",VLOOKUP(I1178,MappingTables!$B$19:$C$31,2,FALSE))</f>
        <v>3</v>
      </c>
      <c r="K1178" s="72">
        <v>62559.833848275704</v>
      </c>
      <c r="L1178" s="70">
        <v>4.8406751566755672</v>
      </c>
      <c r="M1178" s="71">
        <f>IF(L1178&lt;1,1,L1178)</f>
        <v>4.8406751566755672</v>
      </c>
      <c r="N1178" s="70" t="s">
        <v>3288</v>
      </c>
      <c r="O1178" s="71">
        <f>IF(OR(I1178=$A$1,I1178=0),"",IF(N1178=MappingTables!$C$14,VLOOKUP(J1178,ModelParameters!$M$8:$N$15,2,FALSE),IF(N1178=MappingTables!$C$16,VLOOKUP(J1178,ModelParameters!$P$8:$Q$15,2,FALSE),0)))</f>
        <v>0.197</v>
      </c>
      <c r="P1178" s="73">
        <f>IF(OR(I1178=0,I1178=$A$1),0,MIN(O1178*M1178,1)*K1178)</f>
        <v>59657.871202474576</v>
      </c>
      <c r="Q1178" s="73">
        <f>IF(B1178="",0,IF(OR(H1178=MappingTables!$C$34,H1178=MappingTables!$C$35),P1178,0))</f>
        <v>0</v>
      </c>
      <c r="R1178" s="73">
        <f>IF(ISNA(IF(AND(VLOOKUP(CONCATENATE($D1178,$G1178),CSRFinput!$B:$E,4,0)=0,OR(H1178=MappingTables!$C$31,H1178=MappingTables!$C$32)),1,VLOOKUP(CONCATENATE($D1178,$G1178),CSRFinput!$B:$E,4,0))),0,IF(AND(VLOOKUP(CONCATENATE($D1178,$G1178),CSRFinput!$B:$E,4,0)=0,OR(H1178=MappingTables!$C$31,H1178=MappingTables!$C$32)),1,VLOOKUP(CONCATENATE($D1178,$G1178),CSRFinput!$B:$E,4,0)))</f>
        <v>0.054776304963434752</v>
      </c>
      <c r="S1178" s="73">
        <f>IF(B1178="",0,P1178*R1178)</f>
        <v>3267.8377464560596</v>
      </c>
      <c r="T1178" s="85">
        <f>IF(B1178="",0,IF(OR(H1178=MappingTables!$C$34,H1178=MappingTables!$C$35),S1178,0))</f>
        <v>0</v>
      </c>
    </row>
    <row r="1179" spans="2:20" s="0" customFormat="0" ht="15">
      <c r="B1179" s="69" t="s">
        <v>4275</v>
      </c>
      <c r="C1179" s="70" t="s">
        <v>4276</v>
      </c>
      <c r="D1179" s="70" t="s">
        <v>1</v>
      </c>
      <c r="E1179" s="70" t="s">
        <v>1</v>
      </c>
      <c r="F1179" s="70"/>
      <c r="G1179" s="70" t="s">
        <v>61</v>
      </c>
      <c r="H1179" s="70" t="s">
        <v>178</v>
      </c>
      <c r="I1179" s="70" t="s">
        <v>198</v>
      </c>
      <c r="J1179" s="71" t="str">
        <f>IF(OR(I1179=0,I1179=""),"unrated",VLOOKUP(I1179,MappingTables!$B$19:$C$31,2,FALSE))</f>
        <v>unrated</v>
      </c>
      <c r="K1179" s="72">
        <v>1.7931469231014832</v>
      </c>
      <c r="L1179" s="70">
        <v>40.36724741833216</v>
      </c>
      <c r="M1179" s="71">
        <f>IF(L1179&lt;1,1,L1179)</f>
        <v>40.36724741833216</v>
      </c>
      <c r="N1179" s="70" t="s">
        <v>3288</v>
      </c>
      <c r="O1179" s="71">
        <f>IF(OR(I1179=$A$1,I1179=0),"",IF(N1179=MappingTables!$C$14,VLOOKUP(J1179,ModelParameters!$M$8:$N$15,2,FALSE),IF(N1179=MappingTables!$C$16,VLOOKUP(J1179,ModelParameters!$P$8:$Q$15,2,FALSE),0)))</f>
        <v>1</v>
      </c>
      <c r="P1179" s="73">
        <f>IF(OR(I1179=0,I1179=$A$1),0,MIN(O1179*M1179,1)*K1179)</f>
        <v>1.7931469231014832</v>
      </c>
      <c r="Q1179" s="73">
        <f>IF(B1179="",0,IF(OR(H1179=MappingTables!$C$34,H1179=MappingTables!$C$35),P1179,0))</f>
        <v>0</v>
      </c>
      <c r="R1179" s="73">
        <f>IF(ISNA(IF(AND(VLOOKUP(CONCATENATE($D1179,$G1179),CSRFinput!$B:$E,4,0)=0,OR(H1179=MappingTables!$C$31,H1179=MappingTables!$C$32)),1,VLOOKUP(CONCATENATE($D1179,$G1179),CSRFinput!$B:$E,4,0))),0,IF(AND(VLOOKUP(CONCATENATE($D1179,$G1179),CSRFinput!$B:$E,4,0)=0,OR(H1179=MappingTables!$C$31,H1179=MappingTables!$C$32)),1,VLOOKUP(CONCATENATE($D1179,$G1179),CSRFinput!$B:$E,4,0)))</f>
        <v>0.054776304963434752</v>
      </c>
      <c r="S1179" s="73">
        <f>IF(B1179="",0,P1179*R1179)</f>
        <v>0.09822196270405152</v>
      </c>
      <c r="T1179" s="85">
        <f>IF(B1179="",0,IF(OR(H1179=MappingTables!$C$34,H1179=MappingTables!$C$35),S1179,0))</f>
        <v>0</v>
      </c>
    </row>
    <row r="1180" spans="2:20" s="0" customFormat="0" ht="15">
      <c r="B1180" s="69">
        <v>16974603</v>
      </c>
      <c r="C1180" s="70" t="s">
        <v>4518</v>
      </c>
      <c r="D1180" s="70" t="s">
        <v>1</v>
      </c>
      <c r="E1180" s="70" t="s">
        <v>1</v>
      </c>
      <c r="F1180" s="70"/>
      <c r="G1180" s="70" t="s">
        <v>61</v>
      </c>
      <c r="H1180" s="70" t="s">
        <v>178</v>
      </c>
      <c r="I1180" s="70" t="s">
        <v>216</v>
      </c>
      <c r="J1180" s="71">
        <f>IF(OR(I1180=0,I1180=""),"unrated",VLOOKUP(I1180,MappingTables!$B$19:$C$31,2,FALSE))</f>
        <v>0</v>
      </c>
      <c r="K1180" s="72">
        <v>1244.7359236396952</v>
      </c>
      <c r="L1180" s="70">
        <v>0.076249693983380816</v>
      </c>
      <c r="M1180" s="71">
        <f>IF(L1180&lt;1,1,L1180)</f>
        <v>1</v>
      </c>
      <c r="N1180" s="70" t="s">
        <v>3288</v>
      </c>
      <c r="O1180" s="71">
        <f>IF(OR(I1180=$A$1,I1180=0),"",IF(N1180=MappingTables!$C$14,VLOOKUP(J1180,ModelParameters!$M$8:$N$15,2,FALSE),IF(N1180=MappingTables!$C$16,VLOOKUP(J1180,ModelParameters!$P$8:$Q$15,2,FALSE),0)))</f>
        <v>0.125</v>
      </c>
      <c r="P1180" s="73">
        <f>IF(OR(I1180=0,I1180=$A$1),0,MIN(O1180*M1180,1)*K1180)</f>
        <v>155.59199045496188</v>
      </c>
      <c r="Q1180" s="73">
        <f>IF(B1180="",0,IF(OR(H1180=MappingTables!$C$34,H1180=MappingTables!$C$35),P1180,0))</f>
        <v>0</v>
      </c>
      <c r="R1180" s="73">
        <f>IF(ISNA(IF(AND(VLOOKUP(CONCATENATE($D1180,$G1180),CSRFinput!$B:$E,4,0)=0,OR(H1180=MappingTables!$C$31,H1180=MappingTables!$C$32)),1,VLOOKUP(CONCATENATE($D1180,$G1180),CSRFinput!$B:$E,4,0))),0,IF(AND(VLOOKUP(CONCATENATE($D1180,$G1180),CSRFinput!$B:$E,4,0)=0,OR(H1180=MappingTables!$C$31,H1180=MappingTables!$C$32)),1,VLOOKUP(CONCATENATE($D1180,$G1180),CSRFinput!$B:$E,4,0)))</f>
        <v>0.054776304963434752</v>
      </c>
      <c r="S1180" s="73">
        <f>IF(B1180="",0,P1180*R1180)</f>
        <v>8.5227543190288224</v>
      </c>
      <c r="T1180" s="85">
        <f>IF(B1180="",0,IF(OR(H1180=MappingTables!$C$34,H1180=MappingTables!$C$35),S1180,0))</f>
        <v>0</v>
      </c>
    </row>
    <row r="1181" spans="2:20" s="0" customFormat="0" ht="15">
      <c r="B1181" s="69" t="s">
        <v>4171</v>
      </c>
      <c r="C1181" s="70" t="s">
        <v>4172</v>
      </c>
      <c r="D1181" s="70" t="s">
        <v>1</v>
      </c>
      <c r="E1181" s="70" t="s">
        <v>1</v>
      </c>
      <c r="F1181" s="70"/>
      <c r="G1181" s="70" t="s">
        <v>61</v>
      </c>
      <c r="H1181" s="70" t="s">
        <v>178</v>
      </c>
      <c r="I1181" s="70" t="s">
        <v>181</v>
      </c>
      <c r="J1181" s="71">
        <f>IF(OR(I1181=0,I1181=""),"unrated",VLOOKUP(I1181,MappingTables!$B$19:$C$31,2,FALSE))</f>
        <v>3</v>
      </c>
      <c r="K1181" s="72">
        <v>751.00830870621984</v>
      </c>
      <c r="L1181" s="70">
        <v>0.068496389344788512</v>
      </c>
      <c r="M1181" s="71">
        <f>IF(L1181&lt;1,1,L1181)</f>
        <v>1</v>
      </c>
      <c r="N1181" s="70" t="s">
        <v>3288</v>
      </c>
      <c r="O1181" s="71">
        <f>IF(OR(I1181=$A$1,I1181=0),"",IF(N1181=MappingTables!$C$14,VLOOKUP(J1181,ModelParameters!$M$8:$N$15,2,FALSE),IF(N1181=MappingTables!$C$16,VLOOKUP(J1181,ModelParameters!$P$8:$Q$15,2,FALSE),0)))</f>
        <v>0.197</v>
      </c>
      <c r="P1181" s="73">
        <f>IF(OR(I1181=0,I1181=$A$1),0,MIN(O1181*M1181,1)*K1181)</f>
        <v>147.9486368151253</v>
      </c>
      <c r="Q1181" s="73">
        <f>IF(B1181="",0,IF(OR(H1181=MappingTables!$C$34,H1181=MappingTables!$C$35),P1181,0))</f>
        <v>0</v>
      </c>
      <c r="R1181" s="73">
        <f>IF(ISNA(IF(AND(VLOOKUP(CONCATENATE($D1181,$G1181),CSRFinput!$B:$E,4,0)=0,OR(H1181=MappingTables!$C$31,H1181=MappingTables!$C$32)),1,VLOOKUP(CONCATENATE($D1181,$G1181),CSRFinput!$B:$E,4,0))),0,IF(AND(VLOOKUP(CONCATENATE($D1181,$G1181),CSRFinput!$B:$E,4,0)=0,OR(H1181=MappingTables!$C$31,H1181=MappingTables!$C$32)),1,VLOOKUP(CONCATENATE($D1181,$G1181),CSRFinput!$B:$E,4,0)))</f>
        <v>0.054776304963434752</v>
      </c>
      <c r="S1181" s="73">
        <f>IF(B1181="",0,P1181*R1181)</f>
        <v>8.1040796491097536</v>
      </c>
      <c r="T1181" s="85">
        <f>IF(B1181="",0,IF(OR(H1181=MappingTables!$C$34,H1181=MappingTables!$C$35),S1181,0))</f>
        <v>0</v>
      </c>
    </row>
    <row r="1182" spans="2:20" s="0" customFormat="0" ht="15">
      <c r="B1182" s="69" t="s">
        <v>4777</v>
      </c>
      <c r="C1182" s="70" t="s">
        <v>4778</v>
      </c>
      <c r="D1182" s="70" t="s">
        <v>1</v>
      </c>
      <c r="E1182" s="70" t="s">
        <v>1</v>
      </c>
      <c r="F1182" s="70"/>
      <c r="G1182" s="70" t="s">
        <v>61</v>
      </c>
      <c r="H1182" s="70" t="s">
        <v>178</v>
      </c>
      <c r="I1182" s="70" t="s">
        <v>198</v>
      </c>
      <c r="J1182" s="71" t="str">
        <f>IF(OR(I1182=0,I1182=""),"unrated",VLOOKUP(I1182,MappingTables!$B$19:$C$31,2,FALSE))</f>
        <v>unrated</v>
      </c>
      <c r="K1182" s="72">
        <v>4827.7141474482824</v>
      </c>
      <c r="L1182" s="70">
        <v>-0.022740618748252512</v>
      </c>
      <c r="M1182" s="71">
        <f>IF(L1182&lt;1,1,L1182)</f>
        <v>1</v>
      </c>
      <c r="N1182" s="70" t="s">
        <v>3288</v>
      </c>
      <c r="O1182" s="71">
        <f>IF(OR(I1182=$A$1,I1182=0),"",IF(N1182=MappingTables!$C$14,VLOOKUP(J1182,ModelParameters!$M$8:$N$15,2,FALSE),IF(N1182=MappingTables!$C$16,VLOOKUP(J1182,ModelParameters!$P$8:$Q$15,2,FALSE),0)))</f>
        <v>1</v>
      </c>
      <c r="P1182" s="73">
        <f>IF(OR(I1182=0,I1182=$A$1),0,MIN(O1182*M1182,1)*K1182)</f>
        <v>4827.7141474482824</v>
      </c>
      <c r="Q1182" s="73">
        <f>IF(B1182="",0,IF(OR(H1182=MappingTables!$C$34,H1182=MappingTables!$C$35),P1182,0))</f>
        <v>0</v>
      </c>
      <c r="R1182" s="73">
        <f>IF(ISNA(IF(AND(VLOOKUP(CONCATENATE($D1182,$G1182),CSRFinput!$B:$E,4,0)=0,OR(H1182=MappingTables!$C$31,H1182=MappingTables!$C$32)),1,VLOOKUP(CONCATENATE($D1182,$G1182),CSRFinput!$B:$E,4,0))),0,IF(AND(VLOOKUP(CONCATENATE($D1182,$G1182),CSRFinput!$B:$E,4,0)=0,OR(H1182=MappingTables!$C$31,H1182=MappingTables!$C$32)),1,VLOOKUP(CONCATENATE($D1182,$G1182),CSRFinput!$B:$E,4,0)))</f>
        <v>0.054776304963434752</v>
      </c>
      <c r="S1182" s="73">
        <f>IF(B1182="",0,P1182*R1182)</f>
        <v>264.44434241691552</v>
      </c>
      <c r="T1182" s="85">
        <f>IF(B1182="",0,IF(OR(H1182=MappingTables!$C$34,H1182=MappingTables!$C$35),S1182,0))</f>
        <v>0</v>
      </c>
    </row>
    <row r="1183" spans="2:20" s="0" customFormat="0" ht="15">
      <c r="B1183" s="69" t="s">
        <v>4779</v>
      </c>
      <c r="C1183" s="70" t="s">
        <v>4780</v>
      </c>
      <c r="D1183" s="70" t="s">
        <v>1</v>
      </c>
      <c r="E1183" s="70" t="s">
        <v>1</v>
      </c>
      <c r="F1183" s="70"/>
      <c r="G1183" s="70" t="s">
        <v>61</v>
      </c>
      <c r="H1183" s="70" t="s">
        <v>178</v>
      </c>
      <c r="I1183" s="70" t="s">
        <v>198</v>
      </c>
      <c r="J1183" s="71" t="str">
        <f>IF(OR(I1183=0,I1183=""),"unrated",VLOOKUP(I1183,MappingTables!$B$19:$C$31,2,FALSE))</f>
        <v>unrated</v>
      </c>
      <c r="K1183" s="72">
        <v>4.2332481873239008</v>
      </c>
      <c r="L1183" s="70">
        <v>8.5523080135107088</v>
      </c>
      <c r="M1183" s="71">
        <f>IF(L1183&lt;1,1,L1183)</f>
        <v>8.5523080135107088</v>
      </c>
      <c r="N1183" s="70" t="s">
        <v>3288</v>
      </c>
      <c r="O1183" s="71">
        <f>IF(OR(I1183=$A$1,I1183=0),"",IF(N1183=MappingTables!$C$14,VLOOKUP(J1183,ModelParameters!$M$8:$N$15,2,FALSE),IF(N1183=MappingTables!$C$16,VLOOKUP(J1183,ModelParameters!$P$8:$Q$15,2,FALSE),0)))</f>
        <v>1</v>
      </c>
      <c r="P1183" s="73">
        <f>IF(OR(I1183=0,I1183=$A$1),0,MIN(O1183*M1183,1)*K1183)</f>
        <v>4.2332481873239008</v>
      </c>
      <c r="Q1183" s="73">
        <f>IF(B1183="",0,IF(OR(H1183=MappingTables!$C$34,H1183=MappingTables!$C$35),P1183,0))</f>
        <v>0</v>
      </c>
      <c r="R1183" s="73">
        <f>IF(ISNA(IF(AND(VLOOKUP(CONCATENATE($D1183,$G1183),CSRFinput!$B:$E,4,0)=0,OR(H1183=MappingTables!$C$31,H1183=MappingTables!$C$32)),1,VLOOKUP(CONCATENATE($D1183,$G1183),CSRFinput!$B:$E,4,0))),0,IF(AND(VLOOKUP(CONCATENATE($D1183,$G1183),CSRFinput!$B:$E,4,0)=0,OR(H1183=MappingTables!$C$31,H1183=MappingTables!$C$32)),1,VLOOKUP(CONCATENATE($D1183,$G1183),CSRFinput!$B:$E,4,0)))</f>
        <v>0.054776304963434752</v>
      </c>
      <c r="S1183" s="73">
        <f>IF(B1183="",0,P1183*R1183)</f>
        <v>0.23188169369476136</v>
      </c>
      <c r="T1183" s="85">
        <f>IF(B1183="",0,IF(OR(H1183=MappingTables!$C$34,H1183=MappingTables!$C$35),S1183,0))</f>
        <v>0</v>
      </c>
    </row>
    <row r="1184" spans="2:20" s="0" customFormat="0" ht="15">
      <c r="B1184" s="69">
        <v>12817903</v>
      </c>
      <c r="C1184" s="70" t="s">
        <v>4781</v>
      </c>
      <c r="D1184" s="70" t="s">
        <v>1</v>
      </c>
      <c r="E1184" s="70" t="s">
        <v>1</v>
      </c>
      <c r="F1184" s="70"/>
      <c r="G1184" s="70" t="s">
        <v>61</v>
      </c>
      <c r="H1184" s="70" t="s">
        <v>178</v>
      </c>
      <c r="I1184" s="70" t="s">
        <v>204</v>
      </c>
      <c r="J1184" s="71">
        <f>IF(OR(I1184=0,I1184=""),"unrated",VLOOKUP(I1184,MappingTables!$B$19:$C$31,2,FALSE))</f>
        <v>6</v>
      </c>
      <c r="K1184" s="72">
        <v>22.522630085177928</v>
      </c>
      <c r="L1184" s="70">
        <v>0.068493429559511128</v>
      </c>
      <c r="M1184" s="71">
        <f>IF(L1184&lt;1,1,L1184)</f>
        <v>1</v>
      </c>
      <c r="N1184" s="70" t="s">
        <v>3288</v>
      </c>
      <c r="O1184" s="71">
        <f>IF(OR(I1184=$A$1,I1184=0),"",IF(N1184=MappingTables!$C$14,VLOOKUP(J1184,ModelParameters!$M$8:$N$15,2,FALSE),IF(N1184=MappingTables!$C$16,VLOOKUP(J1184,ModelParameters!$P$8:$Q$15,2,FALSE),0)))</f>
        <v>1</v>
      </c>
      <c r="P1184" s="73">
        <f>IF(OR(I1184=0,I1184=$A$1),0,MIN(O1184*M1184,1)*K1184)</f>
        <v>22.522630085177928</v>
      </c>
      <c r="Q1184" s="73">
        <f>IF(B1184="",0,IF(OR(H1184=MappingTables!$C$34,H1184=MappingTables!$C$35),P1184,0))</f>
        <v>0</v>
      </c>
      <c r="R1184" s="73">
        <f>IF(ISNA(IF(AND(VLOOKUP(CONCATENATE($D1184,$G1184),CSRFinput!$B:$E,4,0)=0,OR(H1184=MappingTables!$C$31,H1184=MappingTables!$C$32)),1,VLOOKUP(CONCATENATE($D1184,$G1184),CSRFinput!$B:$E,4,0))),0,IF(AND(VLOOKUP(CONCATENATE($D1184,$G1184),CSRFinput!$B:$E,4,0)=0,OR(H1184=MappingTables!$C$31,H1184=MappingTables!$C$32)),1,VLOOKUP(CONCATENATE($D1184,$G1184),CSRFinput!$B:$E,4,0)))</f>
        <v>0.054776304963434752</v>
      </c>
      <c r="S1184" s="73">
        <f>IF(B1184="",0,P1184*R1184)</f>
        <v>1.2337064541243368</v>
      </c>
      <c r="T1184" s="85">
        <f>IF(B1184="",0,IF(OR(H1184=MappingTables!$C$34,H1184=MappingTables!$C$35),S1184,0))</f>
        <v>0</v>
      </c>
    </row>
    <row r="1185" spans="2:20" s="0" customFormat="0" ht="15">
      <c r="B1185" s="69" t="s">
        <v>4782</v>
      </c>
      <c r="C1185" s="70" t="s">
        <v>4783</v>
      </c>
      <c r="D1185" s="70" t="s">
        <v>1</v>
      </c>
      <c r="E1185" s="70" t="s">
        <v>1</v>
      </c>
      <c r="F1185" s="70"/>
      <c r="G1185" s="70" t="s">
        <v>61</v>
      </c>
      <c r="H1185" s="70" t="s">
        <v>178</v>
      </c>
      <c r="I1185" s="70" t="s">
        <v>198</v>
      </c>
      <c r="J1185" s="71" t="str">
        <f>IF(OR(I1185=0,I1185=""),"unrated",VLOOKUP(I1185,MappingTables!$B$19:$C$31,2,FALSE))</f>
        <v>unrated</v>
      </c>
      <c r="K1185" s="72">
        <v>7743.7453515128608</v>
      </c>
      <c r="L1185" s="70">
        <v>9.7112636976944256</v>
      </c>
      <c r="M1185" s="71">
        <f>IF(L1185&lt;1,1,L1185)</f>
        <v>9.7112636976944256</v>
      </c>
      <c r="N1185" s="70" t="s">
        <v>3288</v>
      </c>
      <c r="O1185" s="71">
        <f>IF(OR(I1185=$A$1,I1185=0),"",IF(N1185=MappingTables!$C$14,VLOOKUP(J1185,ModelParameters!$M$8:$N$15,2,FALSE),IF(N1185=MappingTables!$C$16,VLOOKUP(J1185,ModelParameters!$P$8:$Q$15,2,FALSE),0)))</f>
        <v>1</v>
      </c>
      <c r="P1185" s="73">
        <f>IF(OR(I1185=0,I1185=$A$1),0,MIN(O1185*M1185,1)*K1185)</f>
        <v>7743.7453515128608</v>
      </c>
      <c r="Q1185" s="73">
        <f>IF(B1185="",0,IF(OR(H1185=MappingTables!$C$34,H1185=MappingTables!$C$35),P1185,0))</f>
        <v>0</v>
      </c>
      <c r="R1185" s="73">
        <f>IF(ISNA(IF(AND(VLOOKUP(CONCATENATE($D1185,$G1185),CSRFinput!$B:$E,4,0)=0,OR(H1185=MappingTables!$C$31,H1185=MappingTables!$C$32)),1,VLOOKUP(CONCATENATE($D1185,$G1185),CSRFinput!$B:$E,4,0))),0,IF(AND(VLOOKUP(CONCATENATE($D1185,$G1185),CSRFinput!$B:$E,4,0)=0,OR(H1185=MappingTables!$C$31,H1185=MappingTables!$C$32)),1,VLOOKUP(CONCATENATE($D1185,$G1185),CSRFinput!$B:$E,4,0)))</f>
        <v>0.054776304963434752</v>
      </c>
      <c r="S1185" s="73">
        <f>IF(B1185="",0,P1185*R1185)</f>
        <v>424.17375693364872</v>
      </c>
      <c r="T1185" s="85">
        <f>IF(B1185="",0,IF(OR(H1185=MappingTables!$C$34,H1185=MappingTables!$C$35),S1185,0))</f>
        <v>0</v>
      </c>
    </row>
    <row r="1186" spans="2:20" s="0" customFormat="0" ht="15">
      <c r="B1186" s="69">
        <v>7065909</v>
      </c>
      <c r="C1186" s="70" t="s">
        <v>4674</v>
      </c>
      <c r="D1186" s="70" t="s">
        <v>1</v>
      </c>
      <c r="E1186" s="70" t="s">
        <v>1</v>
      </c>
      <c r="F1186" s="70"/>
      <c r="G1186" s="70" t="s">
        <v>61</v>
      </c>
      <c r="H1186" s="70" t="s">
        <v>178</v>
      </c>
      <c r="I1186" s="70" t="s">
        <v>216</v>
      </c>
      <c r="J1186" s="71">
        <f>IF(OR(I1186=0,I1186=""),"unrated",VLOOKUP(I1186,MappingTables!$B$19:$C$31,2,FALSE))</f>
        <v>0</v>
      </c>
      <c r="K1186" s="72">
        <v>34.59137704081064</v>
      </c>
      <c r="L1186" s="70">
        <v>0.073737405954107392</v>
      </c>
      <c r="M1186" s="71">
        <f>IF(L1186&lt;1,1,L1186)</f>
        <v>1</v>
      </c>
      <c r="N1186" s="70" t="s">
        <v>3288</v>
      </c>
      <c r="O1186" s="71">
        <f>IF(OR(I1186=$A$1,I1186=0),"",IF(N1186=MappingTables!$C$14,VLOOKUP(J1186,ModelParameters!$M$8:$N$15,2,FALSE),IF(N1186=MappingTables!$C$16,VLOOKUP(J1186,ModelParameters!$P$8:$Q$15,2,FALSE),0)))</f>
        <v>0.125</v>
      </c>
      <c r="P1186" s="73">
        <f>IF(OR(I1186=0,I1186=$A$1),0,MIN(O1186*M1186,1)*K1186)</f>
        <v>4.3239221301013304</v>
      </c>
      <c r="Q1186" s="73">
        <f>IF(B1186="",0,IF(OR(H1186=MappingTables!$C$34,H1186=MappingTables!$C$35),P1186,0))</f>
        <v>0</v>
      </c>
      <c r="R1186" s="73">
        <f>IF(ISNA(IF(AND(VLOOKUP(CONCATENATE($D1186,$G1186),CSRFinput!$B:$E,4,0)=0,OR(H1186=MappingTables!$C$31,H1186=MappingTables!$C$32)),1,VLOOKUP(CONCATENATE($D1186,$G1186),CSRFinput!$B:$E,4,0))),0,IF(AND(VLOOKUP(CONCATENATE($D1186,$G1186),CSRFinput!$B:$E,4,0)=0,OR(H1186=MappingTables!$C$31,H1186=MappingTables!$C$32)),1,VLOOKUP(CONCATENATE($D1186,$G1186),CSRFinput!$B:$E,4,0)))</f>
        <v>0.054776304963434752</v>
      </c>
      <c r="S1186" s="73">
        <f>IF(B1186="",0,P1186*R1186)</f>
        <v>0.23684847723657488</v>
      </c>
      <c r="T1186" s="85">
        <f>IF(B1186="",0,IF(OR(H1186=MappingTables!$C$34,H1186=MappingTables!$C$35),S1186,0))</f>
        <v>0</v>
      </c>
    </row>
    <row r="1187" spans="2:20" s="0" customFormat="0" ht="15">
      <c r="B1187" s="69">
        <v>21565617</v>
      </c>
      <c r="C1187" s="70" t="s">
        <v>4671</v>
      </c>
      <c r="D1187" s="70" t="s">
        <v>1</v>
      </c>
      <c r="E1187" s="70" t="s">
        <v>1</v>
      </c>
      <c r="F1187" s="70"/>
      <c r="G1187" s="70" t="s">
        <v>61</v>
      </c>
      <c r="H1187" s="70" t="s">
        <v>178</v>
      </c>
      <c r="I1187" s="70" t="s">
        <v>188</v>
      </c>
      <c r="J1187" s="71">
        <f>IF(OR(I1187=0,I1187=""),"unrated",VLOOKUP(I1187,MappingTables!$B$19:$C$31,2,FALSE))</f>
        <v>2</v>
      </c>
      <c r="K1187" s="72">
        <v>17235.888585806214</v>
      </c>
      <c r="L1187" s="70">
        <v>4.967969218883608</v>
      </c>
      <c r="M1187" s="71">
        <f>IF(L1187&lt;1,1,L1187)</f>
        <v>4.967969218883608</v>
      </c>
      <c r="N1187" s="70" t="s">
        <v>3288</v>
      </c>
      <c r="O1187" s="71">
        <f>IF(OR(I1187=$A$1,I1187=0),"",IF(N1187=MappingTables!$C$14,VLOOKUP(J1187,ModelParameters!$M$8:$N$15,2,FALSE),IF(N1187=MappingTables!$C$16,VLOOKUP(J1187,ModelParameters!$P$8:$Q$15,2,FALSE),0)))</f>
        <v>0.166</v>
      </c>
      <c r="P1187" s="73">
        <f>IF(OR(I1187=0,I1187=$A$1),0,MIN(O1187*M1187,1)*K1187)</f>
        <v>14214.142416429172</v>
      </c>
      <c r="Q1187" s="73">
        <f>IF(B1187="",0,IF(OR(H1187=MappingTables!$C$34,H1187=MappingTables!$C$35),P1187,0))</f>
        <v>0</v>
      </c>
      <c r="R1187" s="73">
        <f>IF(ISNA(IF(AND(VLOOKUP(CONCATENATE($D1187,$G1187),CSRFinput!$B:$E,4,0)=0,OR(H1187=MappingTables!$C$31,H1187=MappingTables!$C$32)),1,VLOOKUP(CONCATENATE($D1187,$G1187),CSRFinput!$B:$E,4,0))),0,IF(AND(VLOOKUP(CONCATENATE($D1187,$G1187),CSRFinput!$B:$E,4,0)=0,OR(H1187=MappingTables!$C$31,H1187=MappingTables!$C$32)),1,VLOOKUP(CONCATENATE($D1187,$G1187),CSRFinput!$B:$E,4,0)))</f>
        <v>0.054776304963434752</v>
      </c>
      <c r="S1187" s="73">
        <f>IF(B1187="",0,P1187*R1187)</f>
        <v>778.5981997960176</v>
      </c>
      <c r="T1187" s="85">
        <f>IF(B1187="",0,IF(OR(H1187=MappingTables!$C$34,H1187=MappingTables!$C$35),S1187,0))</f>
        <v>0</v>
      </c>
    </row>
    <row r="1188" spans="2:20" s="0" customFormat="0" ht="15">
      <c r="B1188" s="69">
        <v>16974881</v>
      </c>
      <c r="C1188" s="70" t="s">
        <v>4784</v>
      </c>
      <c r="D1188" s="70" t="s">
        <v>1</v>
      </c>
      <c r="E1188" s="70" t="s">
        <v>1</v>
      </c>
      <c r="F1188" s="70"/>
      <c r="G1188" s="70" t="s">
        <v>61</v>
      </c>
      <c r="H1188" s="70" t="s">
        <v>178</v>
      </c>
      <c r="I1188" s="70" t="s">
        <v>216</v>
      </c>
      <c r="J1188" s="71">
        <f>IF(OR(I1188=0,I1188=""),"unrated",VLOOKUP(I1188,MappingTables!$B$19:$C$31,2,FALSE))</f>
        <v>0</v>
      </c>
      <c r="K1188" s="72">
        <v>16.708792587557806</v>
      </c>
      <c r="L1188" s="70">
        <v>0.06897378226802868</v>
      </c>
      <c r="M1188" s="71">
        <f>IF(L1188&lt;1,1,L1188)</f>
        <v>1</v>
      </c>
      <c r="N1188" s="70" t="s">
        <v>3288</v>
      </c>
      <c r="O1188" s="71">
        <f>IF(OR(I1188=$A$1,I1188=0),"",IF(N1188=MappingTables!$C$14,VLOOKUP(J1188,ModelParameters!$M$8:$N$15,2,FALSE),IF(N1188=MappingTables!$C$16,VLOOKUP(J1188,ModelParameters!$P$8:$Q$15,2,FALSE),0)))</f>
        <v>0.125</v>
      </c>
      <c r="P1188" s="73">
        <f>IF(OR(I1188=0,I1188=$A$1),0,MIN(O1188*M1188,1)*K1188)</f>
        <v>2.0885990734447256</v>
      </c>
      <c r="Q1188" s="73">
        <f>IF(B1188="",0,IF(OR(H1188=MappingTables!$C$34,H1188=MappingTables!$C$35),P1188,0))</f>
        <v>0</v>
      </c>
      <c r="R1188" s="73">
        <f>IF(ISNA(IF(AND(VLOOKUP(CONCATENATE($D1188,$G1188),CSRFinput!$B:$E,4,0)=0,OR(H1188=MappingTables!$C$31,H1188=MappingTables!$C$32)),1,VLOOKUP(CONCATENATE($D1188,$G1188),CSRFinput!$B:$E,4,0))),0,IF(AND(VLOOKUP(CONCATENATE($D1188,$G1188),CSRFinput!$B:$E,4,0)=0,OR(H1188=MappingTables!$C$31,H1188=MappingTables!$C$32)),1,VLOOKUP(CONCATENATE($D1188,$G1188),CSRFinput!$B:$E,4,0)))</f>
        <v>0.054776304963434752</v>
      </c>
      <c r="S1188" s="73">
        <f>IF(B1188="",0,P1188*R1188)</f>
        <v>0.11440573979335556</v>
      </c>
      <c r="T1188" s="85">
        <f>IF(B1188="",0,IF(OR(H1188=MappingTables!$C$34,H1188=MappingTables!$C$35),S1188,0))</f>
        <v>0</v>
      </c>
    </row>
    <row r="1189" spans="2:20" s="0" customFormat="0" ht="15">
      <c r="B1189" s="69" t="s">
        <v>3459</v>
      </c>
      <c r="C1189" s="70" t="s">
        <v>3460</v>
      </c>
      <c r="D1189" s="70" t="s">
        <v>1</v>
      </c>
      <c r="E1189" s="70" t="s">
        <v>1</v>
      </c>
      <c r="F1189" s="70"/>
      <c r="G1189" s="70" t="s">
        <v>61</v>
      </c>
      <c r="H1189" s="70" t="s">
        <v>178</v>
      </c>
      <c r="I1189" s="70" t="s">
        <v>198</v>
      </c>
      <c r="J1189" s="71" t="str">
        <f>IF(OR(I1189=0,I1189=""),"unrated",VLOOKUP(I1189,MappingTables!$B$19:$C$31,2,FALSE))</f>
        <v>unrated</v>
      </c>
      <c r="K1189" s="72">
        <v>14358.662291673534</v>
      </c>
      <c r="L1189" s="70">
        <v>9.7019211221986608</v>
      </c>
      <c r="M1189" s="71">
        <f>IF(L1189&lt;1,1,L1189)</f>
        <v>9.7019211221986608</v>
      </c>
      <c r="N1189" s="70" t="s">
        <v>3288</v>
      </c>
      <c r="O1189" s="71">
        <f>IF(OR(I1189=$A$1,I1189=0),"",IF(N1189=MappingTables!$C$14,VLOOKUP(J1189,ModelParameters!$M$8:$N$15,2,FALSE),IF(N1189=MappingTables!$C$16,VLOOKUP(J1189,ModelParameters!$P$8:$Q$15,2,FALSE),0)))</f>
        <v>1</v>
      </c>
      <c r="P1189" s="73">
        <f>IF(OR(I1189=0,I1189=$A$1),0,MIN(O1189*M1189,1)*K1189)</f>
        <v>14358.662291673534</v>
      </c>
      <c r="Q1189" s="73">
        <f>IF(B1189="",0,IF(OR(H1189=MappingTables!$C$34,H1189=MappingTables!$C$35),P1189,0))</f>
        <v>0</v>
      </c>
      <c r="R1189" s="73">
        <f>IF(ISNA(IF(AND(VLOOKUP(CONCATENATE($D1189,$G1189),CSRFinput!$B:$E,4,0)=0,OR(H1189=MappingTables!$C$31,H1189=MappingTables!$C$32)),1,VLOOKUP(CONCATENATE($D1189,$G1189),CSRFinput!$B:$E,4,0))),0,IF(AND(VLOOKUP(CONCATENATE($D1189,$G1189),CSRFinput!$B:$E,4,0)=0,OR(H1189=MappingTables!$C$31,H1189=MappingTables!$C$32)),1,VLOOKUP(CONCATENATE($D1189,$G1189),CSRFinput!$B:$E,4,0)))</f>
        <v>0.054776304963434752</v>
      </c>
      <c r="S1189" s="73">
        <f>IF(B1189="",0,P1189*R1189)</f>
        <v>786.51446455568048</v>
      </c>
      <c r="T1189" s="85">
        <f>IF(B1189="",0,IF(OR(H1189=MappingTables!$C$34,H1189=MappingTables!$C$35),S1189,0))</f>
        <v>0</v>
      </c>
    </row>
    <row r="1190" spans="2:20" s="0" customFormat="0" ht="15">
      <c r="B1190" s="69" t="s">
        <v>4769</v>
      </c>
      <c r="C1190" s="70" t="s">
        <v>4770</v>
      </c>
      <c r="D1190" s="70" t="s">
        <v>1</v>
      </c>
      <c r="E1190" s="70" t="s">
        <v>1</v>
      </c>
      <c r="F1190" s="70"/>
      <c r="G1190" s="70" t="s">
        <v>61</v>
      </c>
      <c r="H1190" s="70" t="s">
        <v>178</v>
      </c>
      <c r="I1190" s="70" t="s">
        <v>198</v>
      </c>
      <c r="J1190" s="71" t="str">
        <f>IF(OR(I1190=0,I1190=""),"unrated",VLOOKUP(I1190,MappingTables!$B$19:$C$31,2,FALSE))</f>
        <v>unrated</v>
      </c>
      <c r="K1190" s="72">
        <v>81.229770467851024</v>
      </c>
      <c r="L1190" s="70">
        <v>6.897092132776636</v>
      </c>
      <c r="M1190" s="71">
        <f>IF(L1190&lt;1,1,L1190)</f>
        <v>6.897092132776636</v>
      </c>
      <c r="N1190" s="70" t="s">
        <v>3288</v>
      </c>
      <c r="O1190" s="71">
        <f>IF(OR(I1190=$A$1,I1190=0),"",IF(N1190=MappingTables!$C$14,VLOOKUP(J1190,ModelParameters!$M$8:$N$15,2,FALSE),IF(N1190=MappingTables!$C$16,VLOOKUP(J1190,ModelParameters!$P$8:$Q$15,2,FALSE),0)))</f>
        <v>1</v>
      </c>
      <c r="P1190" s="73">
        <f>IF(OR(I1190=0,I1190=$A$1),0,MIN(O1190*M1190,1)*K1190)</f>
        <v>81.229770467851024</v>
      </c>
      <c r="Q1190" s="73">
        <f>IF(B1190="",0,IF(OR(H1190=MappingTables!$C$34,H1190=MappingTables!$C$35),P1190,0))</f>
        <v>0</v>
      </c>
      <c r="R1190" s="73">
        <f>IF(ISNA(IF(AND(VLOOKUP(CONCATENATE($D1190,$G1190),CSRFinput!$B:$E,4,0)=0,OR(H1190=MappingTables!$C$31,H1190=MappingTables!$C$32)),1,VLOOKUP(CONCATENATE($D1190,$G1190),CSRFinput!$B:$E,4,0))),0,IF(AND(VLOOKUP(CONCATENATE($D1190,$G1190),CSRFinput!$B:$E,4,0)=0,OR(H1190=MappingTables!$C$31,H1190=MappingTables!$C$32)),1,VLOOKUP(CONCATENATE($D1190,$G1190),CSRFinput!$B:$E,4,0)))</f>
        <v>0.054776304963434752</v>
      </c>
      <c r="S1190" s="73">
        <f>IF(B1190="",0,P1190*R1190)</f>
        <v>4.4494666792568136</v>
      </c>
      <c r="T1190" s="85">
        <f>IF(B1190="",0,IF(OR(H1190=MappingTables!$C$34,H1190=MappingTables!$C$35),S1190,0))</f>
        <v>0</v>
      </c>
    </row>
    <row r="1191" spans="2:20" s="0" customFormat="0" ht="15">
      <c r="B1191" s="69" t="s">
        <v>4785</v>
      </c>
      <c r="C1191" s="70" t="s">
        <v>4786</v>
      </c>
      <c r="D1191" s="70" t="s">
        <v>1</v>
      </c>
      <c r="E1191" s="70" t="s">
        <v>1</v>
      </c>
      <c r="F1191" s="70"/>
      <c r="G1191" s="70" t="s">
        <v>61</v>
      </c>
      <c r="H1191" s="70" t="s">
        <v>178</v>
      </c>
      <c r="I1191" s="70" t="s">
        <v>184</v>
      </c>
      <c r="J1191" s="71">
        <f>IF(OR(I1191=0,I1191=""),"unrated",VLOOKUP(I1191,MappingTables!$B$19:$C$31,2,FALSE))</f>
        <v>5</v>
      </c>
      <c r="K1191" s="72">
        <v>278.96069406322032</v>
      </c>
      <c r="L1191" s="70">
        <v>0.068489515889982992</v>
      </c>
      <c r="M1191" s="71">
        <f>IF(L1191&lt;1,1,L1191)</f>
        <v>1</v>
      </c>
      <c r="N1191" s="70" t="s">
        <v>3288</v>
      </c>
      <c r="O1191" s="71">
        <f>IF(OR(I1191=$A$1,I1191=0),"",IF(N1191=MappingTables!$C$14,VLOOKUP(J1191,ModelParameters!$M$8:$N$15,2,FALSE),IF(N1191=MappingTables!$C$16,VLOOKUP(J1191,ModelParameters!$P$8:$Q$15,2,FALSE),0)))</f>
        <v>1</v>
      </c>
      <c r="P1191" s="73">
        <f>IF(OR(I1191=0,I1191=$A$1),0,MIN(O1191*M1191,1)*K1191)</f>
        <v>278.96069406322032</v>
      </c>
      <c r="Q1191" s="73">
        <f>IF(B1191="",0,IF(OR(H1191=MappingTables!$C$34,H1191=MappingTables!$C$35),P1191,0))</f>
        <v>0</v>
      </c>
      <c r="R1191" s="73">
        <f>IF(ISNA(IF(AND(VLOOKUP(CONCATENATE($D1191,$G1191),CSRFinput!$B:$E,4,0)=0,OR(H1191=MappingTables!$C$31,H1191=MappingTables!$C$32)),1,VLOOKUP(CONCATENATE($D1191,$G1191),CSRFinput!$B:$E,4,0))),0,IF(AND(VLOOKUP(CONCATENATE($D1191,$G1191),CSRFinput!$B:$E,4,0)=0,OR(H1191=MappingTables!$C$31,H1191=MappingTables!$C$32)),1,VLOOKUP(CONCATENATE($D1191,$G1191),CSRFinput!$B:$E,4,0)))</f>
        <v>0.054776304963434752</v>
      </c>
      <c r="S1191" s="73">
        <f>IF(B1191="",0,P1191*R1191)</f>
        <v>15.280436050818378</v>
      </c>
      <c r="T1191" s="85">
        <f>IF(B1191="",0,IF(OR(H1191=MappingTables!$C$34,H1191=MappingTables!$C$35),S1191,0))</f>
        <v>0</v>
      </c>
    </row>
    <row r="1192" spans="2:20" s="0" customFormat="0" ht="15">
      <c r="B1192" s="69" t="s">
        <v>3720</v>
      </c>
      <c r="C1192" s="70" t="s">
        <v>3721</v>
      </c>
      <c r="D1192" s="70" t="s">
        <v>1</v>
      </c>
      <c r="E1192" s="70" t="s">
        <v>1</v>
      </c>
      <c r="F1192" s="70"/>
      <c r="G1192" s="70" t="s">
        <v>61</v>
      </c>
      <c r="H1192" s="70" t="s">
        <v>178</v>
      </c>
      <c r="I1192" s="70" t="s">
        <v>198</v>
      </c>
      <c r="J1192" s="71" t="str">
        <f>IF(OR(I1192=0,I1192=""),"unrated",VLOOKUP(I1192,MappingTables!$B$19:$C$31,2,FALSE))</f>
        <v>unrated</v>
      </c>
      <c r="K1192" s="72">
        <v>1370.6497570195882</v>
      </c>
      <c r="L1192" s="70">
        <v>8.8593030988437056</v>
      </c>
      <c r="M1192" s="71">
        <f>IF(L1192&lt;1,1,L1192)</f>
        <v>8.8593030988437056</v>
      </c>
      <c r="N1192" s="70" t="s">
        <v>3288</v>
      </c>
      <c r="O1192" s="71">
        <f>IF(OR(I1192=$A$1,I1192=0),"",IF(N1192=MappingTables!$C$14,VLOOKUP(J1192,ModelParameters!$M$8:$N$15,2,FALSE),IF(N1192=MappingTables!$C$16,VLOOKUP(J1192,ModelParameters!$P$8:$Q$15,2,FALSE),0)))</f>
        <v>1</v>
      </c>
      <c r="P1192" s="73">
        <f>IF(OR(I1192=0,I1192=$A$1),0,MIN(O1192*M1192,1)*K1192)</f>
        <v>1370.6497570195882</v>
      </c>
      <c r="Q1192" s="73">
        <f>IF(B1192="",0,IF(OR(H1192=MappingTables!$C$34,H1192=MappingTables!$C$35),P1192,0))</f>
        <v>0</v>
      </c>
      <c r="R1192" s="73">
        <f>IF(ISNA(IF(AND(VLOOKUP(CONCATENATE($D1192,$G1192),CSRFinput!$B:$E,4,0)=0,OR(H1192=MappingTables!$C$31,H1192=MappingTables!$C$32)),1,VLOOKUP(CONCATENATE($D1192,$G1192),CSRFinput!$B:$E,4,0))),0,IF(AND(VLOOKUP(CONCATENATE($D1192,$G1192),CSRFinput!$B:$E,4,0)=0,OR(H1192=MappingTables!$C$31,H1192=MappingTables!$C$32)),1,VLOOKUP(CONCATENATE($D1192,$G1192),CSRFinput!$B:$E,4,0)))</f>
        <v>0.054776304963434752</v>
      </c>
      <c r="S1192" s="73">
        <f>IF(B1192="",0,P1192*R1192)</f>
        <v>75.079129088562704</v>
      </c>
      <c r="T1192" s="85">
        <f>IF(B1192="",0,IF(OR(H1192=MappingTables!$C$34,H1192=MappingTables!$C$35),S1192,0))</f>
        <v>0</v>
      </c>
    </row>
    <row r="1193" spans="2:20" s="0" customFormat="0" ht="15">
      <c r="B1193" s="69" t="s">
        <v>4787</v>
      </c>
      <c r="C1193" s="70" t="s">
        <v>4788</v>
      </c>
      <c r="D1193" s="70" t="s">
        <v>1</v>
      </c>
      <c r="E1193" s="70" t="s">
        <v>1</v>
      </c>
      <c r="F1193" s="70"/>
      <c r="G1193" s="70" t="s">
        <v>61</v>
      </c>
      <c r="H1193" s="70" t="s">
        <v>178</v>
      </c>
      <c r="I1193" s="70" t="s">
        <v>3298</v>
      </c>
      <c r="J1193" s="71">
        <f>IF(OR(I1193=0,I1193=""),"unrated",VLOOKUP(I1193,MappingTables!$B$19:$C$31,2,FALSE))</f>
        <v>6</v>
      </c>
      <c r="K1193" s="72">
        <v>628.005603413756</v>
      </c>
      <c r="L1193" s="70">
        <v>0.068494958447524704</v>
      </c>
      <c r="M1193" s="71">
        <f>IF(L1193&lt;1,1,L1193)</f>
        <v>1</v>
      </c>
      <c r="N1193" s="70" t="s">
        <v>3288</v>
      </c>
      <c r="O1193" s="71">
        <f>IF(OR(I1193=$A$1,I1193=0),"",IF(N1193=MappingTables!$C$14,VLOOKUP(J1193,ModelParameters!$M$8:$N$15,2,FALSE),IF(N1193=MappingTables!$C$16,VLOOKUP(J1193,ModelParameters!$P$8:$Q$15,2,FALSE),0)))</f>
        <v>1</v>
      </c>
      <c r="P1193" s="73">
        <f>IF(OR(I1193=0,I1193=$A$1),0,MIN(O1193*M1193,1)*K1193)</f>
        <v>628.005603413756</v>
      </c>
      <c r="Q1193" s="73">
        <f>IF(B1193="",0,IF(OR(H1193=MappingTables!$C$34,H1193=MappingTables!$C$35),P1193,0))</f>
        <v>0</v>
      </c>
      <c r="R1193" s="73">
        <f>IF(ISNA(IF(AND(VLOOKUP(CONCATENATE($D1193,$G1193),CSRFinput!$B:$E,4,0)=0,OR(H1193=MappingTables!$C$31,H1193=MappingTables!$C$32)),1,VLOOKUP(CONCATENATE($D1193,$G1193),CSRFinput!$B:$E,4,0))),0,IF(AND(VLOOKUP(CONCATENATE($D1193,$G1193),CSRFinput!$B:$E,4,0)=0,OR(H1193=MappingTables!$C$31,H1193=MappingTables!$C$32)),1,VLOOKUP(CONCATENATE($D1193,$G1193),CSRFinput!$B:$E,4,0)))</f>
        <v>0.054776304963434752</v>
      </c>
      <c r="S1193" s="73">
        <f>IF(B1193="",0,P1193*R1193)</f>
        <v>34.39982645133776</v>
      </c>
      <c r="T1193" s="85">
        <f>IF(B1193="",0,IF(OR(H1193=MappingTables!$C$34,H1193=MappingTables!$C$35),S1193,0))</f>
        <v>0</v>
      </c>
    </row>
    <row r="1194" spans="2:20" s="0" customFormat="0" ht="15">
      <c r="B1194" s="69" t="s">
        <v>4789</v>
      </c>
      <c r="C1194" s="70" t="s">
        <v>4790</v>
      </c>
      <c r="D1194" s="70" t="s">
        <v>1</v>
      </c>
      <c r="E1194" s="70" t="s">
        <v>1</v>
      </c>
      <c r="F1194" s="70"/>
      <c r="G1194" s="70" t="s">
        <v>61</v>
      </c>
      <c r="H1194" s="70" t="s">
        <v>178</v>
      </c>
      <c r="I1194" s="70" t="s">
        <v>181</v>
      </c>
      <c r="J1194" s="71">
        <f>IF(OR(I1194=0,I1194=""),"unrated",VLOOKUP(I1194,MappingTables!$B$19:$C$31,2,FALSE))</f>
        <v>3</v>
      </c>
      <c r="K1194" s="72">
        <v>96.196451734168768</v>
      </c>
      <c r="L1194" s="70">
        <v>0.068490403100207584</v>
      </c>
      <c r="M1194" s="71">
        <f>IF(L1194&lt;1,1,L1194)</f>
        <v>1</v>
      </c>
      <c r="N1194" s="70" t="s">
        <v>3288</v>
      </c>
      <c r="O1194" s="71">
        <f>IF(OR(I1194=$A$1,I1194=0),"",IF(N1194=MappingTables!$C$14,VLOOKUP(J1194,ModelParameters!$M$8:$N$15,2,FALSE),IF(N1194=MappingTables!$C$16,VLOOKUP(J1194,ModelParameters!$P$8:$Q$15,2,FALSE),0)))</f>
        <v>0.197</v>
      </c>
      <c r="P1194" s="73">
        <f>IF(OR(I1194=0,I1194=$A$1),0,MIN(O1194*M1194,1)*K1194)</f>
        <v>18.950700991631248</v>
      </c>
      <c r="Q1194" s="73">
        <f>IF(B1194="",0,IF(OR(H1194=MappingTables!$C$34,H1194=MappingTables!$C$35),P1194,0))</f>
        <v>0</v>
      </c>
      <c r="R1194" s="73">
        <f>IF(ISNA(IF(AND(VLOOKUP(CONCATENATE($D1194,$G1194),CSRFinput!$B:$E,4,0)=0,OR(H1194=MappingTables!$C$31,H1194=MappingTables!$C$32)),1,VLOOKUP(CONCATENATE($D1194,$G1194),CSRFinput!$B:$E,4,0))),0,IF(AND(VLOOKUP(CONCATENATE($D1194,$G1194),CSRFinput!$B:$E,4,0)=0,OR(H1194=MappingTables!$C$31,H1194=MappingTables!$C$32)),1,VLOOKUP(CONCATENATE($D1194,$G1194),CSRFinput!$B:$E,4,0)))</f>
        <v>0.054776304963434752</v>
      </c>
      <c r="S1194" s="73">
        <f>IF(B1194="",0,P1194*R1194)</f>
        <v>1.0380493767884586</v>
      </c>
      <c r="T1194" s="85">
        <f>IF(B1194="",0,IF(OR(H1194=MappingTables!$C$34,H1194=MappingTables!$C$35),S1194,0))</f>
        <v>0</v>
      </c>
    </row>
    <row r="1195" spans="2:20" s="0" customFormat="0" ht="15">
      <c r="B1195" s="69">
        <v>7031047</v>
      </c>
      <c r="C1195" s="70" t="s">
        <v>4021</v>
      </c>
      <c r="D1195" s="70" t="s">
        <v>1</v>
      </c>
      <c r="E1195" s="70" t="s">
        <v>1</v>
      </c>
      <c r="F1195" s="70"/>
      <c r="G1195" s="70" t="s">
        <v>61</v>
      </c>
      <c r="H1195" s="70" t="s">
        <v>178</v>
      </c>
      <c r="I1195" s="70" t="s">
        <v>184</v>
      </c>
      <c r="J1195" s="71">
        <f>IF(OR(I1195=0,I1195=""),"unrated",VLOOKUP(I1195,MappingTables!$B$19:$C$31,2,FALSE))</f>
        <v>5</v>
      </c>
      <c r="K1195" s="72">
        <v>10.135447245738526</v>
      </c>
      <c r="L1195" s="70">
        <v>0.068489990897436296</v>
      </c>
      <c r="M1195" s="71">
        <f>IF(L1195&lt;1,1,L1195)</f>
        <v>1</v>
      </c>
      <c r="N1195" s="70" t="s">
        <v>3288</v>
      </c>
      <c r="O1195" s="71">
        <f>IF(OR(I1195=$A$1,I1195=0),"",IF(N1195=MappingTables!$C$14,VLOOKUP(J1195,ModelParameters!$M$8:$N$15,2,FALSE),IF(N1195=MappingTables!$C$16,VLOOKUP(J1195,ModelParameters!$P$8:$Q$15,2,FALSE),0)))</f>
        <v>1</v>
      </c>
      <c r="P1195" s="73">
        <f>IF(OR(I1195=0,I1195=$A$1),0,MIN(O1195*M1195,1)*K1195)</f>
        <v>10.135447245738526</v>
      </c>
      <c r="Q1195" s="73">
        <f>IF(B1195="",0,IF(OR(H1195=MappingTables!$C$34,H1195=MappingTables!$C$35),P1195,0))</f>
        <v>0</v>
      </c>
      <c r="R1195" s="73">
        <f>IF(ISNA(IF(AND(VLOOKUP(CONCATENATE($D1195,$G1195),CSRFinput!$B:$E,4,0)=0,OR(H1195=MappingTables!$C$31,H1195=MappingTables!$C$32)),1,VLOOKUP(CONCATENATE($D1195,$G1195),CSRFinput!$B:$E,4,0))),0,IF(AND(VLOOKUP(CONCATENATE($D1195,$G1195),CSRFinput!$B:$E,4,0)=0,OR(H1195=MappingTables!$C$31,H1195=MappingTables!$C$32)),1,VLOOKUP(CONCATENATE($D1195,$G1195),CSRFinput!$B:$E,4,0)))</f>
        <v>0.054776304963434752</v>
      </c>
      <c r="S1195" s="73">
        <f>IF(B1195="",0,P1195*R1195)</f>
        <v>0.55518234927337832</v>
      </c>
      <c r="T1195" s="85">
        <f>IF(B1195="",0,IF(OR(H1195=MappingTables!$C$34,H1195=MappingTables!$C$35),S1195,0))</f>
        <v>0</v>
      </c>
    </row>
    <row r="1196" spans="2:20" s="0" customFormat="0" ht="15">
      <c r="B1196" s="69" t="s">
        <v>4791</v>
      </c>
      <c r="C1196" s="70" t="s">
        <v>4792</v>
      </c>
      <c r="D1196" s="70" t="s">
        <v>1</v>
      </c>
      <c r="E1196" s="70" t="s">
        <v>1</v>
      </c>
      <c r="F1196" s="70"/>
      <c r="G1196" s="70" t="s">
        <v>61</v>
      </c>
      <c r="H1196" s="70" t="s">
        <v>178</v>
      </c>
      <c r="I1196" s="70" t="s">
        <v>198</v>
      </c>
      <c r="J1196" s="71" t="str">
        <f>IF(OR(I1196=0,I1196=""),"unrated",VLOOKUP(I1196,MappingTables!$B$19:$C$31,2,FALSE))</f>
        <v>unrated</v>
      </c>
      <c r="K1196" s="72">
        <v>0.88914042493696304</v>
      </c>
      <c r="L1196" s="70">
        <v>6.4180999666903776</v>
      </c>
      <c r="M1196" s="71">
        <f>IF(L1196&lt;1,1,L1196)</f>
        <v>6.4180999666903776</v>
      </c>
      <c r="N1196" s="70" t="s">
        <v>3288</v>
      </c>
      <c r="O1196" s="71">
        <f>IF(OR(I1196=$A$1,I1196=0),"",IF(N1196=MappingTables!$C$14,VLOOKUP(J1196,ModelParameters!$M$8:$N$15,2,FALSE),IF(N1196=MappingTables!$C$16,VLOOKUP(J1196,ModelParameters!$P$8:$Q$15,2,FALSE),0)))</f>
        <v>1</v>
      </c>
      <c r="P1196" s="73">
        <f>IF(OR(I1196=0,I1196=$A$1),0,MIN(O1196*M1196,1)*K1196)</f>
        <v>0.88914042493696304</v>
      </c>
      <c r="Q1196" s="73">
        <f>IF(B1196="",0,IF(OR(H1196=MappingTables!$C$34,H1196=MappingTables!$C$35),P1196,0))</f>
        <v>0</v>
      </c>
      <c r="R1196" s="73">
        <f>IF(ISNA(IF(AND(VLOOKUP(CONCATENATE($D1196,$G1196),CSRFinput!$B:$E,4,0)=0,OR(H1196=MappingTables!$C$31,H1196=MappingTables!$C$32)),1,VLOOKUP(CONCATENATE($D1196,$G1196),CSRFinput!$B:$E,4,0))),0,IF(AND(VLOOKUP(CONCATENATE($D1196,$G1196),CSRFinput!$B:$E,4,0)=0,OR(H1196=MappingTables!$C$31,H1196=MappingTables!$C$32)),1,VLOOKUP(CONCATENATE($D1196,$G1196),CSRFinput!$B:$E,4,0)))</f>
        <v>0.054776304963434752</v>
      </c>
      <c r="S1196" s="73">
        <f>IF(B1196="",0,P1196*R1196)</f>
        <v>0.048703827071665056</v>
      </c>
      <c r="T1196" s="85">
        <f>IF(B1196="",0,IF(OR(H1196=MappingTables!$C$34,H1196=MappingTables!$C$35),S1196,0))</f>
        <v>0</v>
      </c>
    </row>
    <row r="1197" spans="2:20" s="0" customFormat="0" ht="15">
      <c r="B1197" s="69" t="s">
        <v>4777</v>
      </c>
      <c r="C1197" s="70" t="s">
        <v>4778</v>
      </c>
      <c r="D1197" s="70" t="s">
        <v>1</v>
      </c>
      <c r="E1197" s="70" t="s">
        <v>1</v>
      </c>
      <c r="F1197" s="70"/>
      <c r="G1197" s="70" t="s">
        <v>61</v>
      </c>
      <c r="H1197" s="70" t="s">
        <v>178</v>
      </c>
      <c r="I1197" s="70" t="s">
        <v>198</v>
      </c>
      <c r="J1197" s="71" t="str">
        <f>IF(OR(I1197=0,I1197=""),"unrated",VLOOKUP(I1197,MappingTables!$B$19:$C$31,2,FALSE))</f>
        <v>unrated</v>
      </c>
      <c r="K1197" s="72">
        <v>2276.0769540745964</v>
      </c>
      <c r="L1197" s="70">
        <v>-0.022740618748258384</v>
      </c>
      <c r="M1197" s="71">
        <f>IF(L1197&lt;1,1,L1197)</f>
        <v>1</v>
      </c>
      <c r="N1197" s="70" t="s">
        <v>3288</v>
      </c>
      <c r="O1197" s="71">
        <f>IF(OR(I1197=$A$1,I1197=0),"",IF(N1197=MappingTables!$C$14,VLOOKUP(J1197,ModelParameters!$M$8:$N$15,2,FALSE),IF(N1197=MappingTables!$C$16,VLOOKUP(J1197,ModelParameters!$P$8:$Q$15,2,FALSE),0)))</f>
        <v>1</v>
      </c>
      <c r="P1197" s="73">
        <f>IF(OR(I1197=0,I1197=$A$1),0,MIN(O1197*M1197,1)*K1197)</f>
        <v>2276.0769540745964</v>
      </c>
      <c r="Q1197" s="73">
        <f>IF(B1197="",0,IF(OR(H1197=MappingTables!$C$34,H1197=MappingTables!$C$35),P1197,0))</f>
        <v>0</v>
      </c>
      <c r="R1197" s="73">
        <f>IF(ISNA(IF(AND(VLOOKUP(CONCATENATE($D1197,$G1197),CSRFinput!$B:$E,4,0)=0,OR(H1197=MappingTables!$C$31,H1197=MappingTables!$C$32)),1,VLOOKUP(CONCATENATE($D1197,$G1197),CSRFinput!$B:$E,4,0))),0,IF(AND(VLOOKUP(CONCATENATE($D1197,$G1197),CSRFinput!$B:$E,4,0)=0,OR(H1197=MappingTables!$C$31,H1197=MappingTables!$C$32)),1,VLOOKUP(CONCATENATE($D1197,$G1197),CSRFinput!$B:$E,4,0)))</f>
        <v>0.054776304963434752</v>
      </c>
      <c r="S1197" s="73">
        <f>IF(B1197="",0,P1197*R1197)</f>
        <v>124.67508535663578</v>
      </c>
      <c r="T1197" s="85">
        <f>IF(B1197="",0,IF(OR(H1197=MappingTables!$C$34,H1197=MappingTables!$C$35),S1197,0))</f>
        <v>0</v>
      </c>
    </row>
    <row r="1198" spans="2:20" s="0" customFormat="0" ht="15">
      <c r="B1198" s="69" t="s">
        <v>4793</v>
      </c>
      <c r="C1198" s="70" t="s">
        <v>4794</v>
      </c>
      <c r="D1198" s="70" t="s">
        <v>1</v>
      </c>
      <c r="E1198" s="70" t="s">
        <v>1</v>
      </c>
      <c r="F1198" s="70"/>
      <c r="G1198" s="70" t="s">
        <v>61</v>
      </c>
      <c r="H1198" s="70" t="s">
        <v>178</v>
      </c>
      <c r="I1198" s="70" t="s">
        <v>181</v>
      </c>
      <c r="J1198" s="71">
        <f>IF(OR(I1198=0,I1198=""),"unrated",VLOOKUP(I1198,MappingTables!$B$19:$C$31,2,FALSE))</f>
        <v>3</v>
      </c>
      <c r="K1198" s="72">
        <v>160.1297471805278</v>
      </c>
      <c r="L1198" s="70">
        <v>0.068493896379020896</v>
      </c>
      <c r="M1198" s="71">
        <f>IF(L1198&lt;1,1,L1198)</f>
        <v>1</v>
      </c>
      <c r="N1198" s="70" t="s">
        <v>3288</v>
      </c>
      <c r="O1198" s="71">
        <f>IF(OR(I1198=$A$1,I1198=0),"",IF(N1198=MappingTables!$C$14,VLOOKUP(J1198,ModelParameters!$M$8:$N$15,2,FALSE),IF(N1198=MappingTables!$C$16,VLOOKUP(J1198,ModelParameters!$P$8:$Q$15,2,FALSE),0)))</f>
        <v>0.197</v>
      </c>
      <c r="P1198" s="73">
        <f>IF(OR(I1198=0,I1198=$A$1),0,MIN(O1198*M1198,1)*K1198)</f>
        <v>31.545560194563972</v>
      </c>
      <c r="Q1198" s="73">
        <f>IF(B1198="",0,IF(OR(H1198=MappingTables!$C$34,H1198=MappingTables!$C$35),P1198,0))</f>
        <v>0</v>
      </c>
      <c r="R1198" s="73">
        <f>IF(ISNA(IF(AND(VLOOKUP(CONCATENATE($D1198,$G1198),CSRFinput!$B:$E,4,0)=0,OR(H1198=MappingTables!$C$31,H1198=MappingTables!$C$32)),1,VLOOKUP(CONCATENATE($D1198,$G1198),CSRFinput!$B:$E,4,0))),0,IF(AND(VLOOKUP(CONCATENATE($D1198,$G1198),CSRFinput!$B:$E,4,0)=0,OR(H1198=MappingTables!$C$31,H1198=MappingTables!$C$32)),1,VLOOKUP(CONCATENATE($D1198,$G1198),CSRFinput!$B:$E,4,0)))</f>
        <v>0.054776304963434752</v>
      </c>
      <c r="S1198" s="73">
        <f>IF(B1198="",0,P1198*R1198)</f>
        <v>1.7279492254598244</v>
      </c>
      <c r="T1198" s="85">
        <f>IF(B1198="",0,IF(OR(H1198=MappingTables!$C$34,H1198=MappingTables!$C$35),S1198,0))</f>
        <v>0</v>
      </c>
    </row>
    <row r="1199" spans="2:20" s="0" customFormat="0" ht="15">
      <c r="B1199" s="69" t="s">
        <v>4687</v>
      </c>
      <c r="C1199" s="70" t="s">
        <v>4688</v>
      </c>
      <c r="D1199" s="70" t="s">
        <v>1</v>
      </c>
      <c r="E1199" s="70" t="s">
        <v>1</v>
      </c>
      <c r="F1199" s="70"/>
      <c r="G1199" s="70" t="s">
        <v>61</v>
      </c>
      <c r="H1199" s="70" t="s">
        <v>178</v>
      </c>
      <c r="I1199" s="70" t="s">
        <v>3298</v>
      </c>
      <c r="J1199" s="71">
        <f>IF(OR(I1199=0,I1199=""),"unrated",VLOOKUP(I1199,MappingTables!$B$19:$C$31,2,FALSE))</f>
        <v>6</v>
      </c>
      <c r="K1199" s="72">
        <v>94.27588082364448</v>
      </c>
      <c r="L1199" s="70">
        <v>1.0287171774168124</v>
      </c>
      <c r="M1199" s="71">
        <f>IF(L1199&lt;1,1,L1199)</f>
        <v>1.0287171774168124</v>
      </c>
      <c r="N1199" s="70" t="s">
        <v>3288</v>
      </c>
      <c r="O1199" s="71">
        <f>IF(OR(I1199=$A$1,I1199=0),"",IF(N1199=MappingTables!$C$14,VLOOKUP(J1199,ModelParameters!$M$8:$N$15,2,FALSE),IF(N1199=MappingTables!$C$16,VLOOKUP(J1199,ModelParameters!$P$8:$Q$15,2,FALSE),0)))</f>
        <v>1</v>
      </c>
      <c r="P1199" s="73">
        <f>IF(OR(I1199=0,I1199=$A$1),0,MIN(O1199*M1199,1)*K1199)</f>
        <v>94.27588082364448</v>
      </c>
      <c r="Q1199" s="73">
        <f>IF(B1199="",0,IF(OR(H1199=MappingTables!$C$34,H1199=MappingTables!$C$35),P1199,0))</f>
        <v>0</v>
      </c>
      <c r="R1199" s="73">
        <f>IF(ISNA(IF(AND(VLOOKUP(CONCATENATE($D1199,$G1199),CSRFinput!$B:$E,4,0)=0,OR(H1199=MappingTables!$C$31,H1199=MappingTables!$C$32)),1,VLOOKUP(CONCATENATE($D1199,$G1199),CSRFinput!$B:$E,4,0))),0,IF(AND(VLOOKUP(CONCATENATE($D1199,$G1199),CSRFinput!$B:$E,4,0)=0,OR(H1199=MappingTables!$C$31,H1199=MappingTables!$C$32)),1,VLOOKUP(CONCATENATE($D1199,$G1199),CSRFinput!$B:$E,4,0)))</f>
        <v>0.054776304963434752</v>
      </c>
      <c r="S1199" s="73">
        <f>IF(B1199="",0,P1199*R1199)</f>
        <v>5.16408439869238</v>
      </c>
      <c r="T1199" s="85">
        <f>IF(B1199="",0,IF(OR(H1199=MappingTables!$C$34,H1199=MappingTables!$C$35),S1199,0))</f>
        <v>0</v>
      </c>
    </row>
    <row r="1200" spans="2:20" s="0" customFormat="0" ht="15">
      <c r="B1200" s="69" t="s">
        <v>4729</v>
      </c>
      <c r="C1200" s="70" t="s">
        <v>4730</v>
      </c>
      <c r="D1200" s="70" t="s">
        <v>1</v>
      </c>
      <c r="E1200" s="70" t="s">
        <v>1</v>
      </c>
      <c r="F1200" s="70"/>
      <c r="G1200" s="70" t="s">
        <v>61</v>
      </c>
      <c r="H1200" s="70" t="s">
        <v>178</v>
      </c>
      <c r="I1200" s="70" t="s">
        <v>179</v>
      </c>
      <c r="J1200" s="71">
        <f>IF(OR(I1200=0,I1200=""),"unrated",VLOOKUP(I1200,MappingTables!$B$19:$C$31,2,FALSE))</f>
        <v>4</v>
      </c>
      <c r="K1200" s="72">
        <v>317.16317169997216</v>
      </c>
      <c r="L1200" s="70">
        <v>0.068491609600656328</v>
      </c>
      <c r="M1200" s="71">
        <f>IF(L1200&lt;1,1,L1200)</f>
        <v>1</v>
      </c>
      <c r="N1200" s="70" t="s">
        <v>3288</v>
      </c>
      <c r="O1200" s="71">
        <f>IF(OR(I1200=$A$1,I1200=0),"",IF(N1200=MappingTables!$C$14,VLOOKUP(J1200,ModelParameters!$M$8:$N$15,2,FALSE),IF(N1200=MappingTables!$C$16,VLOOKUP(J1200,ModelParameters!$P$8:$Q$15,2,FALSE),0)))</f>
        <v>0.82</v>
      </c>
      <c r="P1200" s="73">
        <f>IF(OR(I1200=0,I1200=$A$1),0,MIN(O1200*M1200,1)*K1200)</f>
        <v>260.07380079397716</v>
      </c>
      <c r="Q1200" s="73">
        <f>IF(B1200="",0,IF(OR(H1200=MappingTables!$C$34,H1200=MappingTables!$C$35),P1200,0))</f>
        <v>0</v>
      </c>
      <c r="R1200" s="73">
        <f>IF(ISNA(IF(AND(VLOOKUP(CONCATENATE($D1200,$G1200),CSRFinput!$B:$E,4,0)=0,OR(H1200=MappingTables!$C$31,H1200=MappingTables!$C$32)),1,VLOOKUP(CONCATENATE($D1200,$G1200),CSRFinput!$B:$E,4,0))),0,IF(AND(VLOOKUP(CONCATENATE($D1200,$G1200),CSRFinput!$B:$E,4,0)=0,OR(H1200=MappingTables!$C$31,H1200=MappingTables!$C$32)),1,VLOOKUP(CONCATENATE($D1200,$G1200),CSRFinput!$B:$E,4,0)))</f>
        <v>0.054776304963434752</v>
      </c>
      <c r="S1200" s="73">
        <f>IF(B1200="",0,P1200*R1200)</f>
        <v>14.245881825290474</v>
      </c>
      <c r="T1200" s="85">
        <f>IF(B1200="",0,IF(OR(H1200=MappingTables!$C$34,H1200=MappingTables!$C$35),S1200,0))</f>
        <v>0</v>
      </c>
    </row>
    <row r="1201" spans="2:20" s="0" customFormat="0" ht="15">
      <c r="B1201" s="69">
        <v>4085814</v>
      </c>
      <c r="C1201" s="70" t="s">
        <v>4795</v>
      </c>
      <c r="D1201" s="70" t="s">
        <v>1</v>
      </c>
      <c r="E1201" s="70" t="s">
        <v>1</v>
      </c>
      <c r="F1201" s="70"/>
      <c r="G1201" s="70" t="s">
        <v>61</v>
      </c>
      <c r="H1201" s="70" t="s">
        <v>178</v>
      </c>
      <c r="I1201" s="70" t="s">
        <v>204</v>
      </c>
      <c r="J1201" s="71">
        <f>IF(OR(I1201=0,I1201=""),"unrated",VLOOKUP(I1201,MappingTables!$B$19:$C$31,2,FALSE))</f>
        <v>6</v>
      </c>
      <c r="K1201" s="72">
        <v>225.31502491880688</v>
      </c>
      <c r="L1201" s="70">
        <v>0.068489067210406024</v>
      </c>
      <c r="M1201" s="71">
        <f>IF(L1201&lt;1,1,L1201)</f>
        <v>1</v>
      </c>
      <c r="N1201" s="70" t="s">
        <v>3288</v>
      </c>
      <c r="O1201" s="71">
        <f>IF(OR(I1201=$A$1,I1201=0),"",IF(N1201=MappingTables!$C$14,VLOOKUP(J1201,ModelParameters!$M$8:$N$15,2,FALSE),IF(N1201=MappingTables!$C$16,VLOOKUP(J1201,ModelParameters!$P$8:$Q$15,2,FALSE),0)))</f>
        <v>1</v>
      </c>
      <c r="P1201" s="73">
        <f>IF(OR(I1201=0,I1201=$A$1),0,MIN(O1201*M1201,1)*K1201)</f>
        <v>225.31502491880688</v>
      </c>
      <c r="Q1201" s="73">
        <f>IF(B1201="",0,IF(OR(H1201=MappingTables!$C$34,H1201=MappingTables!$C$35),P1201,0))</f>
        <v>0</v>
      </c>
      <c r="R1201" s="73">
        <f>IF(ISNA(IF(AND(VLOOKUP(CONCATENATE($D1201,$G1201),CSRFinput!$B:$E,4,0)=0,OR(H1201=MappingTables!$C$31,H1201=MappingTables!$C$32)),1,VLOOKUP(CONCATENATE($D1201,$G1201),CSRFinput!$B:$E,4,0))),0,IF(AND(VLOOKUP(CONCATENATE($D1201,$G1201),CSRFinput!$B:$E,4,0)=0,OR(H1201=MappingTables!$C$31,H1201=MappingTables!$C$32)),1,VLOOKUP(CONCATENATE($D1201,$G1201),CSRFinput!$B:$E,4,0)))</f>
        <v>0.054776304963434752</v>
      </c>
      <c r="S1201" s="73">
        <f>IF(B1201="",0,P1201*R1201)</f>
        <v>12.341924517796466</v>
      </c>
      <c r="T1201" s="85">
        <f>IF(B1201="",0,IF(OR(H1201=MappingTables!$C$34,H1201=MappingTables!$C$35),S1201,0))</f>
        <v>0</v>
      </c>
    </row>
    <row r="1202" spans="2:20" s="0" customFormat="0" ht="15">
      <c r="B1202" s="69" t="s">
        <v>4796</v>
      </c>
      <c r="C1202" s="70" t="s">
        <v>4797</v>
      </c>
      <c r="D1202" s="70" t="s">
        <v>1</v>
      </c>
      <c r="E1202" s="70" t="s">
        <v>1</v>
      </c>
      <c r="F1202" s="70"/>
      <c r="G1202" s="70" t="s">
        <v>61</v>
      </c>
      <c r="H1202" s="70" t="s">
        <v>178</v>
      </c>
      <c r="I1202" s="70" t="s">
        <v>198</v>
      </c>
      <c r="J1202" s="71" t="str">
        <f>IF(OR(I1202=0,I1202=""),"unrated",VLOOKUP(I1202,MappingTables!$B$19:$C$31,2,FALSE))</f>
        <v>unrated</v>
      </c>
      <c r="K1202" s="72">
        <v>326.68654433170604</v>
      </c>
      <c r="L1202" s="70">
        <v>30.752241241726924</v>
      </c>
      <c r="M1202" s="71">
        <f>IF(L1202&lt;1,1,L1202)</f>
        <v>30.752241241726924</v>
      </c>
      <c r="N1202" s="70" t="s">
        <v>3288</v>
      </c>
      <c r="O1202" s="71">
        <f>IF(OR(I1202=$A$1,I1202=0),"",IF(N1202=MappingTables!$C$14,VLOOKUP(J1202,ModelParameters!$M$8:$N$15,2,FALSE),IF(N1202=MappingTables!$C$16,VLOOKUP(J1202,ModelParameters!$P$8:$Q$15,2,FALSE),0)))</f>
        <v>1</v>
      </c>
      <c r="P1202" s="73">
        <f>IF(OR(I1202=0,I1202=$A$1),0,MIN(O1202*M1202,1)*K1202)</f>
        <v>326.68654433170604</v>
      </c>
      <c r="Q1202" s="73">
        <f>IF(B1202="",0,IF(OR(H1202=MappingTables!$C$34,H1202=MappingTables!$C$35),P1202,0))</f>
        <v>0</v>
      </c>
      <c r="R1202" s="73">
        <f>IF(ISNA(IF(AND(VLOOKUP(CONCATENATE($D1202,$G1202),CSRFinput!$B:$E,4,0)=0,OR(H1202=MappingTables!$C$31,H1202=MappingTables!$C$32)),1,VLOOKUP(CONCATENATE($D1202,$G1202),CSRFinput!$B:$E,4,0))),0,IF(AND(VLOOKUP(CONCATENATE($D1202,$G1202),CSRFinput!$B:$E,4,0)=0,OR(H1202=MappingTables!$C$31,H1202=MappingTables!$C$32)),1,VLOOKUP(CONCATENATE($D1202,$G1202),CSRFinput!$B:$E,4,0)))</f>
        <v>0.054776304963434752</v>
      </c>
      <c r="S1202" s="73">
        <f>IF(B1202="",0,P1202*R1202)</f>
        <v>17.894681779764178</v>
      </c>
      <c r="T1202" s="85">
        <f>IF(B1202="",0,IF(OR(H1202=MappingTables!$C$34,H1202=MappingTables!$C$35),S1202,0))</f>
        <v>0</v>
      </c>
    </row>
    <row r="1203" spans="2:20" s="0" customFormat="0" ht="15">
      <c r="B1203" s="69" t="s">
        <v>3857</v>
      </c>
      <c r="C1203" s="70" t="s">
        <v>3858</v>
      </c>
      <c r="D1203" s="70" t="s">
        <v>1</v>
      </c>
      <c r="E1203" s="70" t="s">
        <v>1</v>
      </c>
      <c r="F1203" s="70"/>
      <c r="G1203" s="70" t="s">
        <v>61</v>
      </c>
      <c r="H1203" s="70" t="s">
        <v>178</v>
      </c>
      <c r="I1203" s="70" t="s">
        <v>179</v>
      </c>
      <c r="J1203" s="71">
        <f>IF(OR(I1203=0,I1203=""),"unrated",VLOOKUP(I1203,MappingTables!$B$19:$C$31,2,FALSE))</f>
        <v>4</v>
      </c>
      <c r="K1203" s="72">
        <v>4.4607343015142184</v>
      </c>
      <c r="L1203" s="70">
        <v>0.068492548175922128</v>
      </c>
      <c r="M1203" s="71">
        <f>IF(L1203&lt;1,1,L1203)</f>
        <v>1</v>
      </c>
      <c r="N1203" s="70" t="s">
        <v>3288</v>
      </c>
      <c r="O1203" s="71">
        <f>IF(OR(I1203=$A$1,I1203=0),"",IF(N1203=MappingTables!$C$14,VLOOKUP(J1203,ModelParameters!$M$8:$N$15,2,FALSE),IF(N1203=MappingTables!$C$16,VLOOKUP(J1203,ModelParameters!$P$8:$Q$15,2,FALSE),0)))</f>
        <v>0.82</v>
      </c>
      <c r="P1203" s="73">
        <f>IF(OR(I1203=0,I1203=$A$1),0,MIN(O1203*M1203,1)*K1203)</f>
        <v>3.6578021272416584</v>
      </c>
      <c r="Q1203" s="73">
        <f>IF(B1203="",0,IF(OR(H1203=MappingTables!$C$34,H1203=MappingTables!$C$35),P1203,0))</f>
        <v>0</v>
      </c>
      <c r="R1203" s="73">
        <f>IF(ISNA(IF(AND(VLOOKUP(CONCATENATE($D1203,$G1203),CSRFinput!$B:$E,4,0)=0,OR(H1203=MappingTables!$C$31,H1203=MappingTables!$C$32)),1,VLOOKUP(CONCATENATE($D1203,$G1203),CSRFinput!$B:$E,4,0))),0,IF(AND(VLOOKUP(CONCATENATE($D1203,$G1203),CSRFinput!$B:$E,4,0)=0,OR(H1203=MappingTables!$C$31,H1203=MappingTables!$C$32)),1,VLOOKUP(CONCATENATE($D1203,$G1203),CSRFinput!$B:$E,4,0)))</f>
        <v>0.054776304963434752</v>
      </c>
      <c r="S1203" s="73">
        <f>IF(B1203="",0,P1203*R1203)</f>
        <v>0.20036088481768948</v>
      </c>
      <c r="T1203" s="85">
        <f>IF(B1203="",0,IF(OR(H1203=MappingTables!$C$34,H1203=MappingTables!$C$35),S1203,0))</f>
        <v>0</v>
      </c>
    </row>
    <row r="1204" spans="2:20" s="0" customFormat="0" ht="15">
      <c r="B1204" s="69">
        <v>22554309</v>
      </c>
      <c r="C1204" s="70" t="s">
        <v>4447</v>
      </c>
      <c r="D1204" s="70" t="s">
        <v>1</v>
      </c>
      <c r="E1204" s="70" t="s">
        <v>1</v>
      </c>
      <c r="F1204" s="70"/>
      <c r="G1204" s="70" t="s">
        <v>61</v>
      </c>
      <c r="H1204" s="70" t="s">
        <v>178</v>
      </c>
      <c r="I1204" s="70" t="s">
        <v>216</v>
      </c>
      <c r="J1204" s="71">
        <f>IF(OR(I1204=0,I1204=""),"unrated",VLOOKUP(I1204,MappingTables!$B$19:$C$31,2,FALSE))</f>
        <v>0</v>
      </c>
      <c r="K1204" s="72">
        <v>1482.0977842665936</v>
      </c>
      <c r="L1204" s="70">
        <v>2.146346454416274</v>
      </c>
      <c r="M1204" s="71">
        <f>IF(L1204&lt;1,1,L1204)</f>
        <v>2.146346454416274</v>
      </c>
      <c r="N1204" s="70" t="s">
        <v>3288</v>
      </c>
      <c r="O1204" s="71">
        <f>IF(OR(I1204=$A$1,I1204=0),"",IF(N1204=MappingTables!$C$14,VLOOKUP(J1204,ModelParameters!$M$8:$N$15,2,FALSE),IF(N1204=MappingTables!$C$16,VLOOKUP(J1204,ModelParameters!$P$8:$Q$15,2,FALSE),0)))</f>
        <v>0.125</v>
      </c>
      <c r="P1204" s="73">
        <f>IF(OR(I1204=0,I1204=$A$1),0,MIN(O1204*M1204,1)*K1204)</f>
        <v>397.63691554485232</v>
      </c>
      <c r="Q1204" s="73">
        <f>IF(B1204="",0,IF(OR(H1204=MappingTables!$C$34,H1204=MappingTables!$C$35),P1204,0))</f>
        <v>0</v>
      </c>
      <c r="R1204" s="73">
        <f>IF(ISNA(IF(AND(VLOOKUP(CONCATENATE($D1204,$G1204),CSRFinput!$B:$E,4,0)=0,OR(H1204=MappingTables!$C$31,H1204=MappingTables!$C$32)),1,VLOOKUP(CONCATENATE($D1204,$G1204),CSRFinput!$B:$E,4,0))),0,IF(AND(VLOOKUP(CONCATENATE($D1204,$G1204),CSRFinput!$B:$E,4,0)=0,OR(H1204=MappingTables!$C$31,H1204=MappingTables!$C$32)),1,VLOOKUP(CONCATENATE($D1204,$G1204),CSRFinput!$B:$E,4,0)))</f>
        <v>0.054776304963434752</v>
      </c>
      <c r="S1204" s="73">
        <f>IF(B1204="",0,P1204*R1204)</f>
        <v>21.78108095060438</v>
      </c>
      <c r="T1204" s="85">
        <f>IF(B1204="",0,IF(OR(H1204=MappingTables!$C$34,H1204=MappingTables!$C$35),S1204,0))</f>
        <v>0</v>
      </c>
    </row>
    <row r="1205" spans="2:20" s="0" customFormat="0" ht="15">
      <c r="B1205" s="69" t="s">
        <v>4798</v>
      </c>
      <c r="C1205" s="70" t="s">
        <v>4799</v>
      </c>
      <c r="D1205" s="70" t="s">
        <v>1</v>
      </c>
      <c r="E1205" s="70" t="s">
        <v>1</v>
      </c>
      <c r="F1205" s="70"/>
      <c r="G1205" s="70" t="s">
        <v>61</v>
      </c>
      <c r="H1205" s="70" t="s">
        <v>178</v>
      </c>
      <c r="I1205" s="70" t="s">
        <v>198</v>
      </c>
      <c r="J1205" s="71" t="str">
        <f>IF(OR(I1205=0,I1205=""),"unrated",VLOOKUP(I1205,MappingTables!$B$19:$C$31,2,FALSE))</f>
        <v>unrated</v>
      </c>
      <c r="K1205" s="72">
        <v>344.94183356183168</v>
      </c>
      <c r="L1205" s="70">
        <v>0.068493403830462336</v>
      </c>
      <c r="M1205" s="71">
        <f>IF(L1205&lt;1,1,L1205)</f>
        <v>1</v>
      </c>
      <c r="N1205" s="70" t="s">
        <v>3288</v>
      </c>
      <c r="O1205" s="71">
        <f>IF(OR(I1205=$A$1,I1205=0),"",IF(N1205=MappingTables!$C$14,VLOOKUP(J1205,ModelParameters!$M$8:$N$15,2,FALSE),IF(N1205=MappingTables!$C$16,VLOOKUP(J1205,ModelParameters!$P$8:$Q$15,2,FALSE),0)))</f>
        <v>1</v>
      </c>
      <c r="P1205" s="73">
        <f>IF(OR(I1205=0,I1205=$A$1),0,MIN(O1205*M1205,1)*K1205)</f>
        <v>344.94183356183168</v>
      </c>
      <c r="Q1205" s="73">
        <f>IF(B1205="",0,IF(OR(H1205=MappingTables!$C$34,H1205=MappingTables!$C$35),P1205,0))</f>
        <v>0</v>
      </c>
      <c r="R1205" s="73">
        <f>IF(ISNA(IF(AND(VLOOKUP(CONCATENATE($D1205,$G1205),CSRFinput!$B:$E,4,0)=0,OR(H1205=MappingTables!$C$31,H1205=MappingTables!$C$32)),1,VLOOKUP(CONCATENATE($D1205,$G1205),CSRFinput!$B:$E,4,0))),0,IF(AND(VLOOKUP(CONCATENATE($D1205,$G1205),CSRFinput!$B:$E,4,0)=0,OR(H1205=MappingTables!$C$31,H1205=MappingTables!$C$32)),1,VLOOKUP(CONCATENATE($D1205,$G1205),CSRFinput!$B:$E,4,0)))</f>
        <v>0.054776304963434752</v>
      </c>
      <c r="S1205" s="73">
        <f>IF(B1205="",0,P1205*R1205)</f>
        <v>18.894639069829248</v>
      </c>
      <c r="T1205" s="85">
        <f>IF(B1205="",0,IF(OR(H1205=MappingTables!$C$34,H1205=MappingTables!$C$35),S1205,0))</f>
        <v>0</v>
      </c>
    </row>
    <row r="1206" spans="2:20" s="0" customFormat="0" ht="15">
      <c r="B1206" s="69" t="s">
        <v>4800</v>
      </c>
      <c r="C1206" s="70" t="s">
        <v>4801</v>
      </c>
      <c r="D1206" s="70" t="s">
        <v>1</v>
      </c>
      <c r="E1206" s="70" t="s">
        <v>1</v>
      </c>
      <c r="F1206" s="70"/>
      <c r="G1206" s="70" t="s">
        <v>61</v>
      </c>
      <c r="H1206" s="70" t="s">
        <v>178</v>
      </c>
      <c r="I1206" s="70" t="s">
        <v>198</v>
      </c>
      <c r="J1206" s="71" t="str">
        <f>IF(OR(I1206=0,I1206=""),"unrated",VLOOKUP(I1206,MappingTables!$B$19:$C$31,2,FALSE))</f>
        <v>unrated</v>
      </c>
      <c r="K1206" s="72">
        <v>20.861136293020472</v>
      </c>
      <c r="L1206" s="70">
        <v>6.0334285923962872</v>
      </c>
      <c r="M1206" s="71">
        <f>IF(L1206&lt;1,1,L1206)</f>
        <v>6.0334285923962872</v>
      </c>
      <c r="N1206" s="70" t="s">
        <v>3288</v>
      </c>
      <c r="O1206" s="71">
        <f>IF(OR(I1206=$A$1,I1206=0),"",IF(N1206=MappingTables!$C$14,VLOOKUP(J1206,ModelParameters!$M$8:$N$15,2,FALSE),IF(N1206=MappingTables!$C$16,VLOOKUP(J1206,ModelParameters!$P$8:$Q$15,2,FALSE),0)))</f>
        <v>1</v>
      </c>
      <c r="P1206" s="73">
        <f>IF(OR(I1206=0,I1206=$A$1),0,MIN(O1206*M1206,1)*K1206)</f>
        <v>20.861136293020472</v>
      </c>
      <c r="Q1206" s="73">
        <f>IF(B1206="",0,IF(OR(H1206=MappingTables!$C$34,H1206=MappingTables!$C$35),P1206,0))</f>
        <v>0</v>
      </c>
      <c r="R1206" s="73">
        <f>IF(ISNA(IF(AND(VLOOKUP(CONCATENATE($D1206,$G1206),CSRFinput!$B:$E,4,0)=0,OR(H1206=MappingTables!$C$31,H1206=MappingTables!$C$32)),1,VLOOKUP(CONCATENATE($D1206,$G1206),CSRFinput!$B:$E,4,0))),0,IF(AND(VLOOKUP(CONCATENATE($D1206,$G1206),CSRFinput!$B:$E,4,0)=0,OR(H1206=MappingTables!$C$31,H1206=MappingTables!$C$32)),1,VLOOKUP(CONCATENATE($D1206,$G1206),CSRFinput!$B:$E,4,0)))</f>
        <v>0.054776304963434752</v>
      </c>
      <c r="S1206" s="73">
        <f>IF(B1206="",0,P1206*R1206)</f>
        <v>1.1426959634702662</v>
      </c>
      <c r="T1206" s="85">
        <f>IF(B1206="",0,IF(OR(H1206=MappingTables!$C$34,H1206=MappingTables!$C$35),S1206,0))</f>
        <v>0</v>
      </c>
    </row>
    <row r="1207" spans="2:20" s="0" customFormat="0" ht="15">
      <c r="B1207" s="69" t="s">
        <v>4620</v>
      </c>
      <c r="C1207" s="70" t="s">
        <v>4621</v>
      </c>
      <c r="D1207" s="70" t="s">
        <v>1</v>
      </c>
      <c r="E1207" s="70" t="s">
        <v>1</v>
      </c>
      <c r="F1207" s="70"/>
      <c r="G1207" s="70" t="s">
        <v>61</v>
      </c>
      <c r="H1207" s="70" t="s">
        <v>178</v>
      </c>
      <c r="I1207" s="70" t="s">
        <v>198</v>
      </c>
      <c r="J1207" s="71" t="str">
        <f>IF(OR(I1207=0,I1207=""),"unrated",VLOOKUP(I1207,MappingTables!$B$19:$C$31,2,FALSE))</f>
        <v>unrated</v>
      </c>
      <c r="K1207" s="72">
        <v>0.25591273450495604</v>
      </c>
      <c r="L1207" s="70">
        <v>34.481686103688532</v>
      </c>
      <c r="M1207" s="71">
        <f>IF(L1207&lt;1,1,L1207)</f>
        <v>34.481686103688532</v>
      </c>
      <c r="N1207" s="70" t="s">
        <v>3288</v>
      </c>
      <c r="O1207" s="71">
        <f>IF(OR(I1207=$A$1,I1207=0),"",IF(N1207=MappingTables!$C$14,VLOOKUP(J1207,ModelParameters!$M$8:$N$15,2,FALSE),IF(N1207=MappingTables!$C$16,VLOOKUP(J1207,ModelParameters!$P$8:$Q$15,2,FALSE),0)))</f>
        <v>1</v>
      </c>
      <c r="P1207" s="73">
        <f>IF(OR(I1207=0,I1207=$A$1),0,MIN(O1207*M1207,1)*K1207)</f>
        <v>0.25591273450495604</v>
      </c>
      <c r="Q1207" s="73">
        <f>IF(B1207="",0,IF(OR(H1207=MappingTables!$C$34,H1207=MappingTables!$C$35),P1207,0))</f>
        <v>0</v>
      </c>
      <c r="R1207" s="73">
        <f>IF(ISNA(IF(AND(VLOOKUP(CONCATENATE($D1207,$G1207),CSRFinput!$B:$E,4,0)=0,OR(H1207=MappingTables!$C$31,H1207=MappingTables!$C$32)),1,VLOOKUP(CONCATENATE($D1207,$G1207),CSRFinput!$B:$E,4,0))),0,IF(AND(VLOOKUP(CONCATENATE($D1207,$G1207),CSRFinput!$B:$E,4,0)=0,OR(H1207=MappingTables!$C$31,H1207=MappingTables!$C$32)),1,VLOOKUP(CONCATENATE($D1207,$G1207),CSRFinput!$B:$E,4,0)))</f>
        <v>0.054776304963434752</v>
      </c>
      <c r="S1207" s="73">
        <f>IF(B1207="",0,P1207*R1207)</f>
        <v>0.014017953989269986</v>
      </c>
      <c r="T1207" s="85">
        <f>IF(B1207="",0,IF(OR(H1207=MappingTables!$C$34,H1207=MappingTables!$C$35),S1207,0))</f>
        <v>0</v>
      </c>
    </row>
    <row r="1208" spans="2:20" s="0" customFormat="0" ht="15">
      <c r="B1208" s="69" t="s">
        <v>4802</v>
      </c>
      <c r="C1208" s="70" t="s">
        <v>4803</v>
      </c>
      <c r="D1208" s="70" t="s">
        <v>1</v>
      </c>
      <c r="E1208" s="70" t="s">
        <v>1</v>
      </c>
      <c r="F1208" s="70"/>
      <c r="G1208" s="70" t="s">
        <v>61</v>
      </c>
      <c r="H1208" s="70" t="s">
        <v>178</v>
      </c>
      <c r="I1208" s="70" t="s">
        <v>204</v>
      </c>
      <c r="J1208" s="71">
        <f>IF(OR(I1208=0,I1208=""),"unrated",VLOOKUP(I1208,MappingTables!$B$19:$C$31,2,FALSE))</f>
        <v>6</v>
      </c>
      <c r="K1208" s="72">
        <v>71.410243660639648</v>
      </c>
      <c r="L1208" s="70">
        <v>0.068492104761185616</v>
      </c>
      <c r="M1208" s="71">
        <f>IF(L1208&lt;1,1,L1208)</f>
        <v>1</v>
      </c>
      <c r="N1208" s="70" t="s">
        <v>3288</v>
      </c>
      <c r="O1208" s="71">
        <f>IF(OR(I1208=$A$1,I1208=0),"",IF(N1208=MappingTables!$C$14,VLOOKUP(J1208,ModelParameters!$M$8:$N$15,2,FALSE),IF(N1208=MappingTables!$C$16,VLOOKUP(J1208,ModelParameters!$P$8:$Q$15,2,FALSE),0)))</f>
        <v>1</v>
      </c>
      <c r="P1208" s="73">
        <f>IF(OR(I1208=0,I1208=$A$1),0,MIN(O1208*M1208,1)*K1208)</f>
        <v>71.410243660639648</v>
      </c>
      <c r="Q1208" s="73">
        <f>IF(B1208="",0,IF(OR(H1208=MappingTables!$C$34,H1208=MappingTables!$C$35),P1208,0))</f>
        <v>0</v>
      </c>
      <c r="R1208" s="73">
        <f>IF(ISNA(IF(AND(VLOOKUP(CONCATENATE($D1208,$G1208),CSRFinput!$B:$E,4,0)=0,OR(H1208=MappingTables!$C$31,H1208=MappingTables!$C$32)),1,VLOOKUP(CONCATENATE($D1208,$G1208),CSRFinput!$B:$E,4,0))),0,IF(AND(VLOOKUP(CONCATENATE($D1208,$G1208),CSRFinput!$B:$E,4,0)=0,OR(H1208=MappingTables!$C$31,H1208=MappingTables!$C$32)),1,VLOOKUP(CONCATENATE($D1208,$G1208),CSRFinput!$B:$E,4,0)))</f>
        <v>0.054776304963434752</v>
      </c>
      <c r="S1208" s="73">
        <f>IF(B1208="",0,P1208*R1208)</f>
        <v>3.9115892842683808</v>
      </c>
      <c r="T1208" s="85">
        <f>IF(B1208="",0,IF(OR(H1208=MappingTables!$C$34,H1208=MappingTables!$C$35),S1208,0))</f>
        <v>0</v>
      </c>
    </row>
    <row r="1209" spans="2:20" s="0" customFormat="0" ht="15">
      <c r="B1209" s="69" t="s">
        <v>4745</v>
      </c>
      <c r="C1209" s="70" t="s">
        <v>4746</v>
      </c>
      <c r="D1209" s="70" t="s">
        <v>1</v>
      </c>
      <c r="E1209" s="70" t="s">
        <v>1</v>
      </c>
      <c r="F1209" s="70"/>
      <c r="G1209" s="70" t="s">
        <v>61</v>
      </c>
      <c r="H1209" s="70" t="s">
        <v>178</v>
      </c>
      <c r="I1209" s="70" t="s">
        <v>204</v>
      </c>
      <c r="J1209" s="71">
        <f>IF(OR(I1209=0,I1209=""),"unrated",VLOOKUP(I1209,MappingTables!$B$19:$C$31,2,FALSE))</f>
        <v>6</v>
      </c>
      <c r="K1209" s="72">
        <v>55.944030672647304</v>
      </c>
      <c r="L1209" s="70">
        <v>0.068493380815241976</v>
      </c>
      <c r="M1209" s="71">
        <f>IF(L1209&lt;1,1,L1209)</f>
        <v>1</v>
      </c>
      <c r="N1209" s="70" t="s">
        <v>3288</v>
      </c>
      <c r="O1209" s="71">
        <f>IF(OR(I1209=$A$1,I1209=0),"",IF(N1209=MappingTables!$C$14,VLOOKUP(J1209,ModelParameters!$M$8:$N$15,2,FALSE),IF(N1209=MappingTables!$C$16,VLOOKUP(J1209,ModelParameters!$P$8:$Q$15,2,FALSE),0)))</f>
        <v>1</v>
      </c>
      <c r="P1209" s="73">
        <f>IF(OR(I1209=0,I1209=$A$1),0,MIN(O1209*M1209,1)*K1209)</f>
        <v>55.944030672647304</v>
      </c>
      <c r="Q1209" s="73">
        <f>IF(B1209="",0,IF(OR(H1209=MappingTables!$C$34,H1209=MappingTables!$C$35),P1209,0))</f>
        <v>0</v>
      </c>
      <c r="R1209" s="73">
        <f>IF(ISNA(IF(AND(VLOOKUP(CONCATENATE($D1209,$G1209),CSRFinput!$B:$E,4,0)=0,OR(H1209=MappingTables!$C$31,H1209=MappingTables!$C$32)),1,VLOOKUP(CONCATENATE($D1209,$G1209),CSRFinput!$B:$E,4,0))),0,IF(AND(VLOOKUP(CONCATENATE($D1209,$G1209),CSRFinput!$B:$E,4,0)=0,OR(H1209=MappingTables!$C$31,H1209=MappingTables!$C$32)),1,VLOOKUP(CONCATENATE($D1209,$G1209),CSRFinput!$B:$E,4,0)))</f>
        <v>0.054776304963434752</v>
      </c>
      <c r="S1209" s="73">
        <f>IF(B1209="",0,P1209*R1209)</f>
        <v>3.0644072850086764</v>
      </c>
      <c r="T1209" s="85">
        <f>IF(B1209="",0,IF(OR(H1209=MappingTables!$C$34,H1209=MappingTables!$C$35),S1209,0))</f>
        <v>0</v>
      </c>
    </row>
    <row r="1210" spans="2:20" s="0" customFormat="0" ht="15">
      <c r="B1210" s="69">
        <v>22623685</v>
      </c>
      <c r="C1210" s="70" t="s">
        <v>4804</v>
      </c>
      <c r="D1210" s="70" t="s">
        <v>1</v>
      </c>
      <c r="E1210" s="70" t="s">
        <v>1</v>
      </c>
      <c r="F1210" s="70"/>
      <c r="G1210" s="70" t="s">
        <v>61</v>
      </c>
      <c r="H1210" s="70" t="s">
        <v>178</v>
      </c>
      <c r="I1210" s="70" t="s">
        <v>3291</v>
      </c>
      <c r="J1210" s="71">
        <f>IF(OR(I1210=0,I1210=""),"unrated",VLOOKUP(I1210,MappingTables!$B$19:$C$31,2,FALSE))</f>
        <v>6</v>
      </c>
      <c r="K1210" s="72">
        <v>4622.1008797865856</v>
      </c>
      <c r="L1210" s="70">
        <v>0.068495964104596808</v>
      </c>
      <c r="M1210" s="71">
        <f>IF(L1210&lt;1,1,L1210)</f>
        <v>1</v>
      </c>
      <c r="N1210" s="70" t="s">
        <v>3288</v>
      </c>
      <c r="O1210" s="71">
        <f>IF(OR(I1210=$A$1,I1210=0),"",IF(N1210=MappingTables!$C$14,VLOOKUP(J1210,ModelParameters!$M$8:$N$15,2,FALSE),IF(N1210=MappingTables!$C$16,VLOOKUP(J1210,ModelParameters!$P$8:$Q$15,2,FALSE),0)))</f>
        <v>1</v>
      </c>
      <c r="P1210" s="73">
        <f>IF(OR(I1210=0,I1210=$A$1),0,MIN(O1210*M1210,1)*K1210)</f>
        <v>4622.1008797865856</v>
      </c>
      <c r="Q1210" s="73">
        <f>IF(B1210="",0,IF(OR(H1210=MappingTables!$C$34,H1210=MappingTables!$C$35),P1210,0))</f>
        <v>0</v>
      </c>
      <c r="R1210" s="73">
        <f>IF(ISNA(IF(AND(VLOOKUP(CONCATENATE($D1210,$G1210),CSRFinput!$B:$E,4,0)=0,OR(H1210=MappingTables!$C$31,H1210=MappingTables!$C$32)),1,VLOOKUP(CONCATENATE($D1210,$G1210),CSRFinput!$B:$E,4,0))),0,IF(AND(VLOOKUP(CONCATENATE($D1210,$G1210),CSRFinput!$B:$E,4,0)=0,OR(H1210=MappingTables!$C$31,H1210=MappingTables!$C$32)),1,VLOOKUP(CONCATENATE($D1210,$G1210),CSRFinput!$B:$E,4,0)))</f>
        <v>0.054776304963434752</v>
      </c>
      <c r="S1210" s="73">
        <f>IF(B1210="",0,P1210*R1210)</f>
        <v>253.18160736295008</v>
      </c>
      <c r="T1210" s="85">
        <f>IF(B1210="",0,IF(OR(H1210=MappingTables!$C$34,H1210=MappingTables!$C$35),S1210,0))</f>
        <v>0</v>
      </c>
    </row>
    <row r="1211" spans="2:20" s="0" customFormat="0" ht="15">
      <c r="B1211" s="69">
        <v>22554541</v>
      </c>
      <c r="C1211" s="70" t="s">
        <v>4684</v>
      </c>
      <c r="D1211" s="70" t="s">
        <v>1</v>
      </c>
      <c r="E1211" s="70" t="s">
        <v>1</v>
      </c>
      <c r="F1211" s="70"/>
      <c r="G1211" s="70" t="s">
        <v>61</v>
      </c>
      <c r="H1211" s="70" t="s">
        <v>178</v>
      </c>
      <c r="I1211" s="70" t="s">
        <v>198</v>
      </c>
      <c r="J1211" s="71" t="str">
        <f>IF(OR(I1211=0,I1211=""),"unrated",VLOOKUP(I1211,MappingTables!$B$19:$C$31,2,FALSE))</f>
        <v>unrated</v>
      </c>
      <c r="K1211" s="72">
        <v>15.01092055791048</v>
      </c>
      <c r="L1211" s="70">
        <v>0.06849105687131836</v>
      </c>
      <c r="M1211" s="71">
        <f>IF(L1211&lt;1,1,L1211)</f>
        <v>1</v>
      </c>
      <c r="N1211" s="70" t="s">
        <v>3288</v>
      </c>
      <c r="O1211" s="71">
        <f>IF(OR(I1211=$A$1,I1211=0),"",IF(N1211=MappingTables!$C$14,VLOOKUP(J1211,ModelParameters!$M$8:$N$15,2,FALSE),IF(N1211=MappingTables!$C$16,VLOOKUP(J1211,ModelParameters!$P$8:$Q$15,2,FALSE),0)))</f>
        <v>1</v>
      </c>
      <c r="P1211" s="73">
        <f>IF(OR(I1211=0,I1211=$A$1),0,MIN(O1211*M1211,1)*K1211)</f>
        <v>15.01092055791048</v>
      </c>
      <c r="Q1211" s="73">
        <f>IF(B1211="",0,IF(OR(H1211=MappingTables!$C$34,H1211=MappingTables!$C$35),P1211,0))</f>
        <v>0</v>
      </c>
      <c r="R1211" s="73">
        <f>IF(ISNA(IF(AND(VLOOKUP(CONCATENATE($D1211,$G1211),CSRFinput!$B:$E,4,0)=0,OR(H1211=MappingTables!$C$31,H1211=MappingTables!$C$32)),1,VLOOKUP(CONCATENATE($D1211,$G1211),CSRFinput!$B:$E,4,0))),0,IF(AND(VLOOKUP(CONCATENATE($D1211,$G1211),CSRFinput!$B:$E,4,0)=0,OR(H1211=MappingTables!$C$31,H1211=MappingTables!$C$32)),1,VLOOKUP(CONCATENATE($D1211,$G1211),CSRFinput!$B:$E,4,0)))</f>
        <v>0.054776304963434752</v>
      </c>
      <c r="S1211" s="73">
        <f>IF(B1211="",0,P1211*R1211)</f>
        <v>0.82224276226199648</v>
      </c>
      <c r="T1211" s="85">
        <f>IF(B1211="",0,IF(OR(H1211=MappingTables!$C$34,H1211=MappingTables!$C$35),S1211,0))</f>
        <v>0</v>
      </c>
    </row>
    <row r="1212" spans="2:20" s="0" customFormat="0" ht="15">
      <c r="B1212" s="69" t="s">
        <v>4805</v>
      </c>
      <c r="C1212" s="70" t="s">
        <v>4806</v>
      </c>
      <c r="D1212" s="70" t="s">
        <v>1</v>
      </c>
      <c r="E1212" s="70" t="s">
        <v>1</v>
      </c>
      <c r="F1212" s="70"/>
      <c r="G1212" s="70" t="s">
        <v>61</v>
      </c>
      <c r="H1212" s="70" t="s">
        <v>178</v>
      </c>
      <c r="I1212" s="70" t="s">
        <v>204</v>
      </c>
      <c r="J1212" s="71">
        <f>IF(OR(I1212=0,I1212=""),"unrated",VLOOKUP(I1212,MappingTables!$B$19:$C$31,2,FALSE))</f>
        <v>6</v>
      </c>
      <c r="K1212" s="72">
        <v>116.86173986137718</v>
      </c>
      <c r="L1212" s="70">
        <v>0.068493321350114432</v>
      </c>
      <c r="M1212" s="71">
        <f>IF(L1212&lt;1,1,L1212)</f>
        <v>1</v>
      </c>
      <c r="N1212" s="70" t="s">
        <v>3288</v>
      </c>
      <c r="O1212" s="71">
        <f>IF(OR(I1212=$A$1,I1212=0),"",IF(N1212=MappingTables!$C$14,VLOOKUP(J1212,ModelParameters!$M$8:$N$15,2,FALSE),IF(N1212=MappingTables!$C$16,VLOOKUP(J1212,ModelParameters!$P$8:$Q$15,2,FALSE),0)))</f>
        <v>1</v>
      </c>
      <c r="P1212" s="73">
        <f>IF(OR(I1212=0,I1212=$A$1),0,MIN(O1212*M1212,1)*K1212)</f>
        <v>116.86173986137718</v>
      </c>
      <c r="Q1212" s="73">
        <f>IF(B1212="",0,IF(OR(H1212=MappingTables!$C$34,H1212=MappingTables!$C$35),P1212,0))</f>
        <v>0</v>
      </c>
      <c r="R1212" s="73">
        <f>IF(ISNA(IF(AND(VLOOKUP(CONCATENATE($D1212,$G1212),CSRFinput!$B:$E,4,0)=0,OR(H1212=MappingTables!$C$31,H1212=MappingTables!$C$32)),1,VLOOKUP(CONCATENATE($D1212,$G1212),CSRFinput!$B:$E,4,0))),0,IF(AND(VLOOKUP(CONCATENATE($D1212,$G1212),CSRFinput!$B:$E,4,0)=0,OR(H1212=MappingTables!$C$31,H1212=MappingTables!$C$32)),1,VLOOKUP(CONCATENATE($D1212,$G1212),CSRFinput!$B:$E,4,0)))</f>
        <v>0.054776304963434752</v>
      </c>
      <c r="S1212" s="73">
        <f>IF(B1212="",0,P1212*R1212)</f>
        <v>6.401254301204376</v>
      </c>
      <c r="T1212" s="85">
        <f>IF(B1212="",0,IF(OR(H1212=MappingTables!$C$34,H1212=MappingTables!$C$35),S1212,0))</f>
        <v>0</v>
      </c>
    </row>
    <row r="1213" spans="2:20" s="0" customFormat="0" ht="15">
      <c r="B1213" s="69" t="s">
        <v>4807</v>
      </c>
      <c r="C1213" s="70" t="s">
        <v>4808</v>
      </c>
      <c r="D1213" s="70" t="s">
        <v>1</v>
      </c>
      <c r="E1213" s="70" t="s">
        <v>1</v>
      </c>
      <c r="F1213" s="70"/>
      <c r="G1213" s="70" t="s">
        <v>61</v>
      </c>
      <c r="H1213" s="70" t="s">
        <v>178</v>
      </c>
      <c r="I1213" s="70" t="s">
        <v>198</v>
      </c>
      <c r="J1213" s="71" t="str">
        <f>IF(OR(I1213=0,I1213=""),"unrated",VLOOKUP(I1213,MappingTables!$B$19:$C$31,2,FALSE))</f>
        <v>unrated</v>
      </c>
      <c r="K1213" s="72">
        <v>378.64111168235664</v>
      </c>
      <c r="L1213" s="70">
        <v>0.068500119587201704</v>
      </c>
      <c r="M1213" s="71">
        <f>IF(L1213&lt;1,1,L1213)</f>
        <v>1</v>
      </c>
      <c r="N1213" s="70" t="s">
        <v>3288</v>
      </c>
      <c r="O1213" s="71">
        <f>IF(OR(I1213=$A$1,I1213=0),"",IF(N1213=MappingTables!$C$14,VLOOKUP(J1213,ModelParameters!$M$8:$N$15,2,FALSE),IF(N1213=MappingTables!$C$16,VLOOKUP(J1213,ModelParameters!$P$8:$Q$15,2,FALSE),0)))</f>
        <v>1</v>
      </c>
      <c r="P1213" s="73">
        <f>IF(OR(I1213=0,I1213=$A$1),0,MIN(O1213*M1213,1)*K1213)</f>
        <v>378.64111168235664</v>
      </c>
      <c r="Q1213" s="73">
        <f>IF(B1213="",0,IF(OR(H1213=MappingTables!$C$34,H1213=MappingTables!$C$35),P1213,0))</f>
        <v>0</v>
      </c>
      <c r="R1213" s="73">
        <f>IF(ISNA(IF(AND(VLOOKUP(CONCATENATE($D1213,$G1213),CSRFinput!$B:$E,4,0)=0,OR(H1213=MappingTables!$C$31,H1213=MappingTables!$C$32)),1,VLOOKUP(CONCATENATE($D1213,$G1213),CSRFinput!$B:$E,4,0))),0,IF(AND(VLOOKUP(CONCATENATE($D1213,$G1213),CSRFinput!$B:$E,4,0)=0,OR(H1213=MappingTables!$C$31,H1213=MappingTables!$C$32)),1,VLOOKUP(CONCATENATE($D1213,$G1213),CSRFinput!$B:$E,4,0)))</f>
        <v>0.054776304963434752</v>
      </c>
      <c r="S1213" s="73">
        <f>IF(B1213="",0,P1213*R1213)</f>
        <v>20.740561005206724</v>
      </c>
      <c r="T1213" s="85">
        <f>IF(B1213="",0,IF(OR(H1213=MappingTables!$C$34,H1213=MappingTables!$C$35),S1213,0))</f>
        <v>0</v>
      </c>
    </row>
    <row r="1214" spans="2:20" s="0" customFormat="0" ht="15">
      <c r="B1214" s="69" t="s">
        <v>4203</v>
      </c>
      <c r="C1214" s="70" t="s">
        <v>4204</v>
      </c>
      <c r="D1214" s="70" t="s">
        <v>1</v>
      </c>
      <c r="E1214" s="70" t="s">
        <v>1</v>
      </c>
      <c r="F1214" s="70"/>
      <c r="G1214" s="70" t="s">
        <v>61</v>
      </c>
      <c r="H1214" s="70" t="s">
        <v>178</v>
      </c>
      <c r="I1214" s="70" t="s">
        <v>184</v>
      </c>
      <c r="J1214" s="71">
        <f>IF(OR(I1214=0,I1214=""),"unrated",VLOOKUP(I1214,MappingTables!$B$19:$C$31,2,FALSE))</f>
        <v>5</v>
      </c>
      <c r="K1214" s="72">
        <v>2284.054596824592</v>
      </c>
      <c r="L1214" s="70">
        <v>0.068493409143830456</v>
      </c>
      <c r="M1214" s="71">
        <f>IF(L1214&lt;1,1,L1214)</f>
        <v>1</v>
      </c>
      <c r="N1214" s="70" t="s">
        <v>3288</v>
      </c>
      <c r="O1214" s="71">
        <f>IF(OR(I1214=$A$1,I1214=0),"",IF(N1214=MappingTables!$C$14,VLOOKUP(J1214,ModelParameters!$M$8:$N$15,2,FALSE),IF(N1214=MappingTables!$C$16,VLOOKUP(J1214,ModelParameters!$P$8:$Q$15,2,FALSE),0)))</f>
        <v>1</v>
      </c>
      <c r="P1214" s="73">
        <f>IF(OR(I1214=0,I1214=$A$1),0,MIN(O1214*M1214,1)*K1214)</f>
        <v>2284.054596824592</v>
      </c>
      <c r="Q1214" s="73">
        <f>IF(B1214="",0,IF(OR(H1214=MappingTables!$C$34,H1214=MappingTables!$C$35),P1214,0))</f>
        <v>0</v>
      </c>
      <c r="R1214" s="73">
        <f>IF(ISNA(IF(AND(VLOOKUP(CONCATENATE($D1214,$G1214),CSRFinput!$B:$E,4,0)=0,OR(H1214=MappingTables!$C$31,H1214=MappingTables!$C$32)),1,VLOOKUP(CONCATENATE($D1214,$G1214),CSRFinput!$B:$E,4,0))),0,IF(AND(VLOOKUP(CONCATENATE($D1214,$G1214),CSRFinput!$B:$E,4,0)=0,OR(H1214=MappingTables!$C$31,H1214=MappingTables!$C$32)),1,VLOOKUP(CONCATENATE($D1214,$G1214),CSRFinput!$B:$E,4,0)))</f>
        <v>0.054776304963434752</v>
      </c>
      <c r="S1214" s="73">
        <f>IF(B1214="",0,P1214*R1214)</f>
        <v>125.11207114879886</v>
      </c>
      <c r="T1214" s="85">
        <f>IF(B1214="",0,IF(OR(H1214=MappingTables!$C$34,H1214=MappingTables!$C$35),S1214,0))</f>
        <v>0</v>
      </c>
    </row>
    <row r="1215" spans="2:20" s="0" customFormat="0" ht="15">
      <c r="B1215" s="69" t="s">
        <v>4809</v>
      </c>
      <c r="C1215" s="70" t="s">
        <v>4810</v>
      </c>
      <c r="D1215" s="70" t="s">
        <v>1</v>
      </c>
      <c r="E1215" s="70" t="s">
        <v>1</v>
      </c>
      <c r="F1215" s="70"/>
      <c r="G1215" s="70" t="s">
        <v>61</v>
      </c>
      <c r="H1215" s="70" t="s">
        <v>178</v>
      </c>
      <c r="I1215" s="70" t="s">
        <v>204</v>
      </c>
      <c r="J1215" s="71">
        <f>IF(OR(I1215=0,I1215=""),"unrated",VLOOKUP(I1215,MappingTables!$B$19:$C$31,2,FALSE))</f>
        <v>6</v>
      </c>
      <c r="K1215" s="72">
        <v>962.38493563242112</v>
      </c>
      <c r="L1215" s="70">
        <v>-0.14901318564493674</v>
      </c>
      <c r="M1215" s="71">
        <f>IF(L1215&lt;1,1,L1215)</f>
        <v>1</v>
      </c>
      <c r="N1215" s="70" t="s">
        <v>3288</v>
      </c>
      <c r="O1215" s="71">
        <f>IF(OR(I1215=$A$1,I1215=0),"",IF(N1215=MappingTables!$C$14,VLOOKUP(J1215,ModelParameters!$M$8:$N$15,2,FALSE),IF(N1215=MappingTables!$C$16,VLOOKUP(J1215,ModelParameters!$P$8:$Q$15,2,FALSE),0)))</f>
        <v>1</v>
      </c>
      <c r="P1215" s="73">
        <f>IF(OR(I1215=0,I1215=$A$1),0,MIN(O1215*M1215,1)*K1215)</f>
        <v>962.38493563242112</v>
      </c>
      <c r="Q1215" s="73">
        <f>IF(B1215="",0,IF(OR(H1215=MappingTables!$C$34,H1215=MappingTables!$C$35),P1215,0))</f>
        <v>0</v>
      </c>
      <c r="R1215" s="73">
        <f>IF(ISNA(IF(AND(VLOOKUP(CONCATENATE($D1215,$G1215),CSRFinput!$B:$E,4,0)=0,OR(H1215=MappingTables!$C$31,H1215=MappingTables!$C$32)),1,VLOOKUP(CONCATENATE($D1215,$G1215),CSRFinput!$B:$E,4,0))),0,IF(AND(VLOOKUP(CONCATENATE($D1215,$G1215),CSRFinput!$B:$E,4,0)=0,OR(H1215=MappingTables!$C$31,H1215=MappingTables!$C$32)),1,VLOOKUP(CONCATENATE($D1215,$G1215),CSRFinput!$B:$E,4,0)))</f>
        <v>0.054776304963434752</v>
      </c>
      <c r="S1215" s="73">
        <f>IF(B1215="",0,P1215*R1215)</f>
        <v>52.715890726417032</v>
      </c>
      <c r="T1215" s="85">
        <f>IF(B1215="",0,IF(OR(H1215=MappingTables!$C$34,H1215=MappingTables!$C$35),S1215,0))</f>
        <v>0</v>
      </c>
    </row>
    <row r="1216" spans="2:20" s="0" customFormat="0" ht="15">
      <c r="B1216" s="69" t="s">
        <v>4811</v>
      </c>
      <c r="C1216" s="70" t="s">
        <v>4812</v>
      </c>
      <c r="D1216" s="70" t="s">
        <v>1</v>
      </c>
      <c r="E1216" s="70" t="s">
        <v>1</v>
      </c>
      <c r="F1216" s="70"/>
      <c r="G1216" s="70" t="s">
        <v>61</v>
      </c>
      <c r="H1216" s="70" t="s">
        <v>178</v>
      </c>
      <c r="I1216" s="70" t="s">
        <v>3291</v>
      </c>
      <c r="J1216" s="71">
        <f>IF(OR(I1216=0,I1216=""),"unrated",VLOOKUP(I1216,MappingTables!$B$19:$C$31,2,FALSE))</f>
        <v>6</v>
      </c>
      <c r="K1216" s="72">
        <v>93.695633253261824</v>
      </c>
      <c r="L1216" s="70">
        <v>0.06660395171617764</v>
      </c>
      <c r="M1216" s="71">
        <f>IF(L1216&lt;1,1,L1216)</f>
        <v>1</v>
      </c>
      <c r="N1216" s="70" t="s">
        <v>3288</v>
      </c>
      <c r="O1216" s="71">
        <f>IF(OR(I1216=$A$1,I1216=0),"",IF(N1216=MappingTables!$C$14,VLOOKUP(J1216,ModelParameters!$M$8:$N$15,2,FALSE),IF(N1216=MappingTables!$C$16,VLOOKUP(J1216,ModelParameters!$P$8:$Q$15,2,FALSE),0)))</f>
        <v>1</v>
      </c>
      <c r="P1216" s="73">
        <f>IF(OR(I1216=0,I1216=$A$1),0,MIN(O1216*M1216,1)*K1216)</f>
        <v>93.695633253261824</v>
      </c>
      <c r="Q1216" s="73">
        <f>IF(B1216="",0,IF(OR(H1216=MappingTables!$C$34,H1216=MappingTables!$C$35),P1216,0))</f>
        <v>0</v>
      </c>
      <c r="R1216" s="73">
        <f>IF(ISNA(IF(AND(VLOOKUP(CONCATENATE($D1216,$G1216),CSRFinput!$B:$E,4,0)=0,OR(H1216=MappingTables!$C$31,H1216=MappingTables!$C$32)),1,VLOOKUP(CONCATENATE($D1216,$G1216),CSRFinput!$B:$E,4,0))),0,IF(AND(VLOOKUP(CONCATENATE($D1216,$G1216),CSRFinput!$B:$E,4,0)=0,OR(H1216=MappingTables!$C$31,H1216=MappingTables!$C$32)),1,VLOOKUP(CONCATENATE($D1216,$G1216),CSRFinput!$B:$E,4,0)))</f>
        <v>0.054776304963434752</v>
      </c>
      <c r="S1216" s="73">
        <f>IF(B1216="",0,P1216*R1216)</f>
        <v>5.132300580822808</v>
      </c>
      <c r="T1216" s="85">
        <f>IF(B1216="",0,IF(OR(H1216=MappingTables!$C$34,H1216=MappingTables!$C$35),S1216,0))</f>
        <v>0</v>
      </c>
    </row>
    <row r="1217" spans="2:20" s="0" customFormat="0" ht="15">
      <c r="B1217" s="69">
        <v>980350</v>
      </c>
      <c r="C1217" s="70" t="s">
        <v>4813</v>
      </c>
      <c r="D1217" s="70" t="s">
        <v>1</v>
      </c>
      <c r="E1217" s="70" t="s">
        <v>1</v>
      </c>
      <c r="F1217" s="70"/>
      <c r="G1217" s="70" t="s">
        <v>61</v>
      </c>
      <c r="H1217" s="70" t="s">
        <v>178</v>
      </c>
      <c r="I1217" s="70" t="s">
        <v>184</v>
      </c>
      <c r="J1217" s="71">
        <f>IF(OR(I1217=0,I1217=""),"unrated",VLOOKUP(I1217,MappingTables!$B$19:$C$31,2,FALSE))</f>
        <v>5</v>
      </c>
      <c r="K1217" s="72">
        <v>49.23698520889248</v>
      </c>
      <c r="L1217" s="70">
        <v>0.078461478066291712</v>
      </c>
      <c r="M1217" s="71">
        <f>IF(L1217&lt;1,1,L1217)</f>
        <v>1</v>
      </c>
      <c r="N1217" s="70" t="s">
        <v>3288</v>
      </c>
      <c r="O1217" s="71">
        <f>IF(OR(I1217=$A$1,I1217=0),"",IF(N1217=MappingTables!$C$14,VLOOKUP(J1217,ModelParameters!$M$8:$N$15,2,FALSE),IF(N1217=MappingTables!$C$16,VLOOKUP(J1217,ModelParameters!$P$8:$Q$15,2,FALSE),0)))</f>
        <v>1</v>
      </c>
      <c r="P1217" s="73">
        <f>IF(OR(I1217=0,I1217=$A$1),0,MIN(O1217*M1217,1)*K1217)</f>
        <v>49.23698520889248</v>
      </c>
      <c r="Q1217" s="73">
        <f>IF(B1217="",0,IF(OR(H1217=MappingTables!$C$34,H1217=MappingTables!$C$35),P1217,0))</f>
        <v>0</v>
      </c>
      <c r="R1217" s="73">
        <f>IF(ISNA(IF(AND(VLOOKUP(CONCATENATE($D1217,$G1217),CSRFinput!$B:$E,4,0)=0,OR(H1217=MappingTables!$C$31,H1217=MappingTables!$C$32)),1,VLOOKUP(CONCATENATE($D1217,$G1217),CSRFinput!$B:$E,4,0))),0,IF(AND(VLOOKUP(CONCATENATE($D1217,$G1217),CSRFinput!$B:$E,4,0)=0,OR(H1217=MappingTables!$C$31,H1217=MappingTables!$C$32)),1,VLOOKUP(CONCATENATE($D1217,$G1217),CSRFinput!$B:$E,4,0)))</f>
        <v>0.054776304963434752</v>
      </c>
      <c r="S1217" s="73">
        <f>IF(B1217="",0,P1217*R1217)</f>
        <v>2.6970201172824204</v>
      </c>
      <c r="T1217" s="85">
        <f>IF(B1217="",0,IF(OR(H1217=MappingTables!$C$34,H1217=MappingTables!$C$35),S1217,0))</f>
        <v>0</v>
      </c>
    </row>
    <row r="1218" spans="2:20" s="0" customFormat="0" ht="15">
      <c r="B1218" s="69">
        <v>22554193</v>
      </c>
      <c r="C1218" s="70" t="s">
        <v>4814</v>
      </c>
      <c r="D1218" s="70" t="s">
        <v>1</v>
      </c>
      <c r="E1218" s="70" t="s">
        <v>1</v>
      </c>
      <c r="F1218" s="70"/>
      <c r="G1218" s="70" t="s">
        <v>61</v>
      </c>
      <c r="H1218" s="70" t="s">
        <v>178</v>
      </c>
      <c r="I1218" s="70" t="s">
        <v>204</v>
      </c>
      <c r="J1218" s="71">
        <f>IF(OR(I1218=0,I1218=""),"unrated",VLOOKUP(I1218,MappingTables!$B$19:$C$31,2,FALSE))</f>
        <v>6</v>
      </c>
      <c r="K1218" s="72">
        <v>1108.707712318069</v>
      </c>
      <c r="L1218" s="70">
        <v>0.068491946289973928</v>
      </c>
      <c r="M1218" s="71">
        <f>IF(L1218&lt;1,1,L1218)</f>
        <v>1</v>
      </c>
      <c r="N1218" s="70" t="s">
        <v>3288</v>
      </c>
      <c r="O1218" s="71">
        <f>IF(OR(I1218=$A$1,I1218=0),"",IF(N1218=MappingTables!$C$14,VLOOKUP(J1218,ModelParameters!$M$8:$N$15,2,FALSE),IF(N1218=MappingTables!$C$16,VLOOKUP(J1218,ModelParameters!$P$8:$Q$15,2,FALSE),0)))</f>
        <v>1</v>
      </c>
      <c r="P1218" s="73">
        <f>IF(OR(I1218=0,I1218=$A$1),0,MIN(O1218*M1218,1)*K1218)</f>
        <v>1108.707712318069</v>
      </c>
      <c r="Q1218" s="73">
        <f>IF(B1218="",0,IF(OR(H1218=MappingTables!$C$34,H1218=MappingTables!$C$35),P1218,0))</f>
        <v>0</v>
      </c>
      <c r="R1218" s="73">
        <f>IF(ISNA(IF(AND(VLOOKUP(CONCATENATE($D1218,$G1218),CSRFinput!$B:$E,4,0)=0,OR(H1218=MappingTables!$C$31,H1218=MappingTables!$C$32)),1,VLOOKUP(CONCATENATE($D1218,$G1218),CSRFinput!$B:$E,4,0))),0,IF(AND(VLOOKUP(CONCATENATE($D1218,$G1218),CSRFinput!$B:$E,4,0)=0,OR(H1218=MappingTables!$C$31,H1218=MappingTables!$C$32)),1,VLOOKUP(CONCATENATE($D1218,$G1218),CSRFinput!$B:$E,4,0)))</f>
        <v>0.054776304963434752</v>
      </c>
      <c r="S1218" s="73">
        <f>IF(B1218="",0,P1218*R1218)</f>
        <v>60.73091176524664</v>
      </c>
      <c r="T1218" s="85">
        <f>IF(B1218="",0,IF(OR(H1218=MappingTables!$C$34,H1218=MappingTables!$C$35),S1218,0))</f>
        <v>0</v>
      </c>
    </row>
    <row r="1219" spans="2:20" s="0" customFormat="0" ht="15">
      <c r="B1219" s="69" t="s">
        <v>4815</v>
      </c>
      <c r="C1219" s="70" t="s">
        <v>4816</v>
      </c>
      <c r="D1219" s="70" t="s">
        <v>1</v>
      </c>
      <c r="E1219" s="70" t="s">
        <v>1</v>
      </c>
      <c r="F1219" s="70"/>
      <c r="G1219" s="70" t="s">
        <v>61</v>
      </c>
      <c r="H1219" s="70" t="s">
        <v>178</v>
      </c>
      <c r="I1219" s="70" t="s">
        <v>179</v>
      </c>
      <c r="J1219" s="71">
        <f>IF(OR(I1219=0,I1219=""),"unrated",VLOOKUP(I1219,MappingTables!$B$19:$C$31,2,FALSE))</f>
        <v>4</v>
      </c>
      <c r="K1219" s="72">
        <v>1094.6234045813812</v>
      </c>
      <c r="L1219" s="70">
        <v>0.048588416489344752</v>
      </c>
      <c r="M1219" s="71">
        <f>IF(L1219&lt;1,1,L1219)</f>
        <v>1</v>
      </c>
      <c r="N1219" s="70" t="s">
        <v>3288</v>
      </c>
      <c r="O1219" s="71">
        <f>IF(OR(I1219=$A$1,I1219=0),"",IF(N1219=MappingTables!$C$14,VLOOKUP(J1219,ModelParameters!$M$8:$N$15,2,FALSE),IF(N1219=MappingTables!$C$16,VLOOKUP(J1219,ModelParameters!$P$8:$Q$15,2,FALSE),0)))</f>
        <v>0.82</v>
      </c>
      <c r="P1219" s="73">
        <f>IF(OR(I1219=0,I1219=$A$1),0,MIN(O1219*M1219,1)*K1219)</f>
        <v>897.59119175673248</v>
      </c>
      <c r="Q1219" s="73">
        <f>IF(B1219="",0,IF(OR(H1219=MappingTables!$C$34,H1219=MappingTables!$C$35),P1219,0))</f>
        <v>0</v>
      </c>
      <c r="R1219" s="73">
        <f>IF(ISNA(IF(AND(VLOOKUP(CONCATENATE($D1219,$G1219),CSRFinput!$B:$E,4,0)=0,OR(H1219=MappingTables!$C$31,H1219=MappingTables!$C$32)),1,VLOOKUP(CONCATENATE($D1219,$G1219),CSRFinput!$B:$E,4,0))),0,IF(AND(VLOOKUP(CONCATENATE($D1219,$G1219),CSRFinput!$B:$E,4,0)=0,OR(H1219=MappingTables!$C$31,H1219=MappingTables!$C$32)),1,VLOOKUP(CONCATENATE($D1219,$G1219),CSRFinput!$B:$E,4,0)))</f>
        <v>0.054776304963434752</v>
      </c>
      <c r="S1219" s="73">
        <f>IF(B1219="",0,P1219*R1219)</f>
        <v>49.166728852159624</v>
      </c>
      <c r="T1219" s="85">
        <f>IF(B1219="",0,IF(OR(H1219=MappingTables!$C$34,H1219=MappingTables!$C$35),S1219,0))</f>
        <v>0</v>
      </c>
    </row>
    <row r="1220" spans="2:20" s="0" customFormat="0" ht="15">
      <c r="B1220" s="69" t="s">
        <v>4817</v>
      </c>
      <c r="C1220" s="70" t="s">
        <v>4818</v>
      </c>
      <c r="D1220" s="70" t="s">
        <v>1</v>
      </c>
      <c r="E1220" s="70" t="s">
        <v>1</v>
      </c>
      <c r="F1220" s="70"/>
      <c r="G1220" s="70" t="s">
        <v>61</v>
      </c>
      <c r="H1220" s="70" t="s">
        <v>178</v>
      </c>
      <c r="I1220" s="70" t="s">
        <v>3298</v>
      </c>
      <c r="J1220" s="71">
        <f>IF(OR(I1220=0,I1220=""),"unrated",VLOOKUP(I1220,MappingTables!$B$19:$C$31,2,FALSE))</f>
        <v>6</v>
      </c>
      <c r="K1220" s="72">
        <v>251.39295046650136</v>
      </c>
      <c r="L1220" s="70">
        <v>0.068494021005057984</v>
      </c>
      <c r="M1220" s="71">
        <f>IF(L1220&lt;1,1,L1220)</f>
        <v>1</v>
      </c>
      <c r="N1220" s="70" t="s">
        <v>3288</v>
      </c>
      <c r="O1220" s="71">
        <f>IF(OR(I1220=$A$1,I1220=0),"",IF(N1220=MappingTables!$C$14,VLOOKUP(J1220,ModelParameters!$M$8:$N$15,2,FALSE),IF(N1220=MappingTables!$C$16,VLOOKUP(J1220,ModelParameters!$P$8:$Q$15,2,FALSE),0)))</f>
        <v>1</v>
      </c>
      <c r="P1220" s="73">
        <f>IF(OR(I1220=0,I1220=$A$1),0,MIN(O1220*M1220,1)*K1220)</f>
        <v>251.39295046650136</v>
      </c>
      <c r="Q1220" s="73">
        <f>IF(B1220="",0,IF(OR(H1220=MappingTables!$C$34,H1220=MappingTables!$C$35),P1220,0))</f>
        <v>0</v>
      </c>
      <c r="R1220" s="73">
        <f>IF(ISNA(IF(AND(VLOOKUP(CONCATENATE($D1220,$G1220),CSRFinput!$B:$E,4,0)=0,OR(H1220=MappingTables!$C$31,H1220=MappingTables!$C$32)),1,VLOOKUP(CONCATENATE($D1220,$G1220),CSRFinput!$B:$E,4,0))),0,IF(AND(VLOOKUP(CONCATENATE($D1220,$G1220),CSRFinput!$B:$E,4,0)=0,OR(H1220=MappingTables!$C$31,H1220=MappingTables!$C$32)),1,VLOOKUP(CONCATENATE($D1220,$G1220),CSRFinput!$B:$E,4,0)))</f>
        <v>0.054776304963434752</v>
      </c>
      <c r="S1220" s="73">
        <f>IF(B1220="",0,P1220*R1220)</f>
        <v>13.770376920410726</v>
      </c>
      <c r="T1220" s="85">
        <f>IF(B1220="",0,IF(OR(H1220=MappingTables!$C$34,H1220=MappingTables!$C$35),S1220,0))</f>
        <v>0</v>
      </c>
    </row>
    <row r="1221" spans="2:20" s="0" customFormat="0" ht="15">
      <c r="B1221" s="69" t="s">
        <v>4819</v>
      </c>
      <c r="C1221" s="70" t="s">
        <v>4820</v>
      </c>
      <c r="D1221" s="70" t="s">
        <v>1</v>
      </c>
      <c r="E1221" s="70" t="s">
        <v>1</v>
      </c>
      <c r="F1221" s="70"/>
      <c r="G1221" s="70" t="s">
        <v>61</v>
      </c>
      <c r="H1221" s="70" t="s">
        <v>178</v>
      </c>
      <c r="I1221" s="70" t="s">
        <v>220</v>
      </c>
      <c r="J1221" s="71">
        <f>IF(OR(I1221=0,I1221=""),"unrated",VLOOKUP(I1221,MappingTables!$B$19:$C$31,2,FALSE))</f>
        <v>1</v>
      </c>
      <c r="K1221" s="72">
        <v>18.183105242513924</v>
      </c>
      <c r="L1221" s="70">
        <v>0.068495316524927352</v>
      </c>
      <c r="M1221" s="71">
        <f>IF(L1221&lt;1,1,L1221)</f>
        <v>1</v>
      </c>
      <c r="N1221" s="70" t="s">
        <v>3288</v>
      </c>
      <c r="O1221" s="71">
        <f>IF(OR(I1221=$A$1,I1221=0),"",IF(N1221=MappingTables!$C$14,VLOOKUP(J1221,ModelParameters!$M$8:$N$15,2,FALSE),IF(N1221=MappingTables!$C$16,VLOOKUP(J1221,ModelParameters!$P$8:$Q$15,2,FALSE),0)))</f>
        <v>0.134</v>
      </c>
      <c r="P1221" s="73">
        <f>IF(OR(I1221=0,I1221=$A$1),0,MIN(O1221*M1221,1)*K1221)</f>
        <v>2.436536102496866</v>
      </c>
      <c r="Q1221" s="73">
        <f>IF(B1221="",0,IF(OR(H1221=MappingTables!$C$34,H1221=MappingTables!$C$35),P1221,0))</f>
        <v>0</v>
      </c>
      <c r="R1221" s="73">
        <f>IF(ISNA(IF(AND(VLOOKUP(CONCATENATE($D1221,$G1221),CSRFinput!$B:$E,4,0)=0,OR(H1221=MappingTables!$C$31,H1221=MappingTables!$C$32)),1,VLOOKUP(CONCATENATE($D1221,$G1221),CSRFinput!$B:$E,4,0))),0,IF(AND(VLOOKUP(CONCATENATE($D1221,$G1221),CSRFinput!$B:$E,4,0)=0,OR(H1221=MappingTables!$C$31,H1221=MappingTables!$C$32)),1,VLOOKUP(CONCATENATE($D1221,$G1221),CSRFinput!$B:$E,4,0)))</f>
        <v>0.054776304963434752</v>
      </c>
      <c r="S1221" s="73">
        <f>IF(B1221="",0,P1221*R1221)</f>
        <v>0.13346444460478704</v>
      </c>
      <c r="T1221" s="85">
        <f>IF(B1221="",0,IF(OR(H1221=MappingTables!$C$34,H1221=MappingTables!$C$35),S1221,0))</f>
        <v>0</v>
      </c>
    </row>
    <row r="1222" spans="2:20" s="0" customFormat="0" ht="15">
      <c r="B1222" s="69" t="s">
        <v>4821</v>
      </c>
      <c r="C1222" s="70" t="s">
        <v>4822</v>
      </c>
      <c r="D1222" s="70" t="s">
        <v>1</v>
      </c>
      <c r="E1222" s="70" t="s">
        <v>1</v>
      </c>
      <c r="F1222" s="70"/>
      <c r="G1222" s="70" t="s">
        <v>61</v>
      </c>
      <c r="H1222" s="70" t="s">
        <v>178</v>
      </c>
      <c r="I1222" s="70" t="s">
        <v>198</v>
      </c>
      <c r="J1222" s="71" t="str">
        <f>IF(OR(I1222=0,I1222=""),"unrated",VLOOKUP(I1222,MappingTables!$B$19:$C$31,2,FALSE))</f>
        <v>unrated</v>
      </c>
      <c r="K1222" s="72">
        <v>385.51758448383416</v>
      </c>
      <c r="L1222" s="70">
        <v>0.068493458094924408</v>
      </c>
      <c r="M1222" s="71">
        <f>IF(L1222&lt;1,1,L1222)</f>
        <v>1</v>
      </c>
      <c r="N1222" s="70" t="s">
        <v>3288</v>
      </c>
      <c r="O1222" s="71">
        <f>IF(OR(I1222=$A$1,I1222=0),"",IF(N1222=MappingTables!$C$14,VLOOKUP(J1222,ModelParameters!$M$8:$N$15,2,FALSE),IF(N1222=MappingTables!$C$16,VLOOKUP(J1222,ModelParameters!$P$8:$Q$15,2,FALSE),0)))</f>
        <v>1</v>
      </c>
      <c r="P1222" s="73">
        <f>IF(OR(I1222=0,I1222=$A$1),0,MIN(O1222*M1222,1)*K1222)</f>
        <v>385.51758448383416</v>
      </c>
      <c r="Q1222" s="73">
        <f>IF(B1222="",0,IF(OR(H1222=MappingTables!$C$34,H1222=MappingTables!$C$35),P1222,0))</f>
        <v>0</v>
      </c>
      <c r="R1222" s="73">
        <f>IF(ISNA(IF(AND(VLOOKUP(CONCATENATE($D1222,$G1222),CSRFinput!$B:$E,4,0)=0,OR(H1222=MappingTables!$C$31,H1222=MappingTables!$C$32)),1,VLOOKUP(CONCATENATE($D1222,$G1222),CSRFinput!$B:$E,4,0))),0,IF(AND(VLOOKUP(CONCATENATE($D1222,$G1222),CSRFinput!$B:$E,4,0)=0,OR(H1222=MappingTables!$C$31,H1222=MappingTables!$C$32)),1,VLOOKUP(CONCATENATE($D1222,$G1222),CSRFinput!$B:$E,4,0)))</f>
        <v>0.054776304963434752</v>
      </c>
      <c r="S1222" s="73">
        <f>IF(B1222="",0,P1222*R1222)</f>
        <v>21.117228776453224</v>
      </c>
      <c r="T1222" s="85">
        <f>IF(B1222="",0,IF(OR(H1222=MappingTables!$C$34,H1222=MappingTables!$C$35),S1222,0))</f>
        <v>0</v>
      </c>
    </row>
    <row r="1223" spans="2:20" s="0" customFormat="0" ht="15">
      <c r="B1223" s="69" t="s">
        <v>4098</v>
      </c>
      <c r="C1223" s="70" t="s">
        <v>4099</v>
      </c>
      <c r="D1223" s="70" t="s">
        <v>1</v>
      </c>
      <c r="E1223" s="70" t="s">
        <v>1</v>
      </c>
      <c r="F1223" s="70"/>
      <c r="G1223" s="70" t="s">
        <v>61</v>
      </c>
      <c r="H1223" s="70" t="s">
        <v>178</v>
      </c>
      <c r="I1223" s="70" t="s">
        <v>198</v>
      </c>
      <c r="J1223" s="71" t="str">
        <f>IF(OR(I1223=0,I1223=""),"unrated",VLOOKUP(I1223,MappingTables!$B$19:$C$31,2,FALSE))</f>
        <v>unrated</v>
      </c>
      <c r="K1223" s="72">
        <v>29587.905414146032</v>
      </c>
      <c r="L1223" s="70">
        <v>25.96082275808782</v>
      </c>
      <c r="M1223" s="71">
        <f>IF(L1223&lt;1,1,L1223)</f>
        <v>25.96082275808782</v>
      </c>
      <c r="N1223" s="70" t="s">
        <v>3288</v>
      </c>
      <c r="O1223" s="71">
        <f>IF(OR(I1223=$A$1,I1223=0),"",IF(N1223=MappingTables!$C$14,VLOOKUP(J1223,ModelParameters!$M$8:$N$15,2,FALSE),IF(N1223=MappingTables!$C$16,VLOOKUP(J1223,ModelParameters!$P$8:$Q$15,2,FALSE),0)))</f>
        <v>1</v>
      </c>
      <c r="P1223" s="73">
        <f>IF(OR(I1223=0,I1223=$A$1),0,MIN(O1223*M1223,1)*K1223)</f>
        <v>29587.905414146032</v>
      </c>
      <c r="Q1223" s="73">
        <f>IF(B1223="",0,IF(OR(H1223=MappingTables!$C$34,H1223=MappingTables!$C$35),P1223,0))</f>
        <v>0</v>
      </c>
      <c r="R1223" s="73">
        <f>IF(ISNA(IF(AND(VLOOKUP(CONCATENATE($D1223,$G1223),CSRFinput!$B:$E,4,0)=0,OR(H1223=MappingTables!$C$31,H1223=MappingTables!$C$32)),1,VLOOKUP(CONCATENATE($D1223,$G1223),CSRFinput!$B:$E,4,0))),0,IF(AND(VLOOKUP(CONCATENATE($D1223,$G1223),CSRFinput!$B:$E,4,0)=0,OR(H1223=MappingTables!$C$31,H1223=MappingTables!$C$32)),1,VLOOKUP(CONCATENATE($D1223,$G1223),CSRFinput!$B:$E,4,0)))</f>
        <v>0.054776304963434752</v>
      </c>
      <c r="S1223" s="73">
        <f>IF(B1223="",0,P1223*R1223)</f>
        <v>1620.7161301945252</v>
      </c>
      <c r="T1223" s="85">
        <f>IF(B1223="",0,IF(OR(H1223=MappingTables!$C$34,H1223=MappingTables!$C$35),S1223,0))</f>
        <v>0</v>
      </c>
    </row>
    <row r="1224" spans="2:20" s="0" customFormat="0" ht="15">
      <c r="B1224" s="69">
        <v>4158073</v>
      </c>
      <c r="C1224" s="70" t="s">
        <v>4632</v>
      </c>
      <c r="D1224" s="70" t="s">
        <v>1</v>
      </c>
      <c r="E1224" s="70" t="s">
        <v>1</v>
      </c>
      <c r="F1224" s="70"/>
      <c r="G1224" s="70" t="s">
        <v>61</v>
      </c>
      <c r="H1224" s="70" t="s">
        <v>178</v>
      </c>
      <c r="I1224" s="70" t="s">
        <v>204</v>
      </c>
      <c r="J1224" s="71">
        <f>IF(OR(I1224=0,I1224=""),"unrated",VLOOKUP(I1224,MappingTables!$B$19:$C$31,2,FALSE))</f>
        <v>6</v>
      </c>
      <c r="K1224" s="72">
        <v>3158.3490561578324</v>
      </c>
      <c r="L1224" s="70">
        <v>0.068503538606044456</v>
      </c>
      <c r="M1224" s="71">
        <f>IF(L1224&lt;1,1,L1224)</f>
        <v>1</v>
      </c>
      <c r="N1224" s="70" t="s">
        <v>3288</v>
      </c>
      <c r="O1224" s="71">
        <f>IF(OR(I1224=$A$1,I1224=0),"",IF(N1224=MappingTables!$C$14,VLOOKUP(J1224,ModelParameters!$M$8:$N$15,2,FALSE),IF(N1224=MappingTables!$C$16,VLOOKUP(J1224,ModelParameters!$P$8:$Q$15,2,FALSE),0)))</f>
        <v>1</v>
      </c>
      <c r="P1224" s="73">
        <f>IF(OR(I1224=0,I1224=$A$1),0,MIN(O1224*M1224,1)*K1224)</f>
        <v>3158.3490561578324</v>
      </c>
      <c r="Q1224" s="73">
        <f>IF(B1224="",0,IF(OR(H1224=MappingTables!$C$34,H1224=MappingTables!$C$35),P1224,0))</f>
        <v>0</v>
      </c>
      <c r="R1224" s="73">
        <f>IF(ISNA(IF(AND(VLOOKUP(CONCATENATE($D1224,$G1224),CSRFinput!$B:$E,4,0)=0,OR(H1224=MappingTables!$C$31,H1224=MappingTables!$C$32)),1,VLOOKUP(CONCATENATE($D1224,$G1224),CSRFinput!$B:$E,4,0))),0,IF(AND(VLOOKUP(CONCATENATE($D1224,$G1224),CSRFinput!$B:$E,4,0)=0,OR(H1224=MappingTables!$C$31,H1224=MappingTables!$C$32)),1,VLOOKUP(CONCATENATE($D1224,$G1224),CSRFinput!$B:$E,4,0)))</f>
        <v>0.054776304963434752</v>
      </c>
      <c r="S1224" s="73">
        <f>IF(B1224="",0,P1224*R1224)</f>
        <v>173.00269108107772</v>
      </c>
      <c r="T1224" s="85">
        <f>IF(B1224="",0,IF(OR(H1224=MappingTables!$C$34,H1224=MappingTables!$C$35),S1224,0))</f>
        <v>0</v>
      </c>
    </row>
    <row r="1225" spans="2:20" s="0" customFormat="0" ht="15">
      <c r="B1225" s="69">
        <v>20113248</v>
      </c>
      <c r="C1225" s="70" t="s">
        <v>3980</v>
      </c>
      <c r="D1225" s="70" t="s">
        <v>1</v>
      </c>
      <c r="E1225" s="70" t="s">
        <v>1</v>
      </c>
      <c r="F1225" s="70"/>
      <c r="G1225" s="70" t="s">
        <v>61</v>
      </c>
      <c r="H1225" s="70" t="s">
        <v>178</v>
      </c>
      <c r="I1225" s="70" t="s">
        <v>198</v>
      </c>
      <c r="J1225" s="71" t="str">
        <f>IF(OR(I1225=0,I1225=""),"unrated",VLOOKUP(I1225,MappingTables!$B$19:$C$31,2,FALSE))</f>
        <v>unrated</v>
      </c>
      <c r="K1225" s="72">
        <v>136.79445370082942</v>
      </c>
      <c r="L1225" s="70">
        <v>3.6293180642802104</v>
      </c>
      <c r="M1225" s="71">
        <f>IF(L1225&lt;1,1,L1225)</f>
        <v>3.6293180642802104</v>
      </c>
      <c r="N1225" s="70" t="s">
        <v>3288</v>
      </c>
      <c r="O1225" s="71">
        <f>IF(OR(I1225=$A$1,I1225=0),"",IF(N1225=MappingTables!$C$14,VLOOKUP(J1225,ModelParameters!$M$8:$N$15,2,FALSE),IF(N1225=MappingTables!$C$16,VLOOKUP(J1225,ModelParameters!$P$8:$Q$15,2,FALSE),0)))</f>
        <v>1</v>
      </c>
      <c r="P1225" s="73">
        <f>IF(OR(I1225=0,I1225=$A$1),0,MIN(O1225*M1225,1)*K1225)</f>
        <v>136.79445370082942</v>
      </c>
      <c r="Q1225" s="73">
        <f>IF(B1225="",0,IF(OR(H1225=MappingTables!$C$34,H1225=MappingTables!$C$35),P1225,0))</f>
        <v>0</v>
      </c>
      <c r="R1225" s="73">
        <f>IF(ISNA(IF(AND(VLOOKUP(CONCATENATE($D1225,$G1225),CSRFinput!$B:$E,4,0)=0,OR(H1225=MappingTables!$C$31,H1225=MappingTables!$C$32)),1,VLOOKUP(CONCATENATE($D1225,$G1225),CSRFinput!$B:$E,4,0))),0,IF(AND(VLOOKUP(CONCATENATE($D1225,$G1225),CSRFinput!$B:$E,4,0)=0,OR(H1225=MappingTables!$C$31,H1225=MappingTables!$C$32)),1,VLOOKUP(CONCATENATE($D1225,$G1225),CSRFinput!$B:$E,4,0)))</f>
        <v>0.054776304963434752</v>
      </c>
      <c r="S1225" s="73">
        <f>IF(B1225="",0,P1225*R1225)</f>
        <v>7.493094713223088</v>
      </c>
      <c r="T1225" s="85">
        <f>IF(B1225="",0,IF(OR(H1225=MappingTables!$C$34,H1225=MappingTables!$C$35),S1225,0))</f>
        <v>0</v>
      </c>
    </row>
    <row r="1226" spans="2:20" s="0" customFormat="0" ht="15">
      <c r="B1226" s="69">
        <v>24395135</v>
      </c>
      <c r="C1226" s="70" t="s">
        <v>4545</v>
      </c>
      <c r="D1226" s="70" t="s">
        <v>1</v>
      </c>
      <c r="E1226" s="70" t="s">
        <v>1</v>
      </c>
      <c r="F1226" s="70"/>
      <c r="G1226" s="70" t="s">
        <v>61</v>
      </c>
      <c r="H1226" s="70" t="s">
        <v>178</v>
      </c>
      <c r="I1226" s="70" t="s">
        <v>216</v>
      </c>
      <c r="J1226" s="71">
        <f>IF(OR(I1226=0,I1226=""),"unrated",VLOOKUP(I1226,MappingTables!$B$19:$C$31,2,FALSE))</f>
        <v>0</v>
      </c>
      <c r="K1226" s="72">
        <v>6158.3425548174088</v>
      </c>
      <c r="L1226" s="70">
        <v>3.2854205999352056</v>
      </c>
      <c r="M1226" s="71">
        <f>IF(L1226&lt;1,1,L1226)</f>
        <v>3.2854205999352056</v>
      </c>
      <c r="N1226" s="70" t="s">
        <v>3288</v>
      </c>
      <c r="O1226" s="71">
        <f>IF(OR(I1226=$A$1,I1226=0),"",IF(N1226=MappingTables!$C$14,VLOOKUP(J1226,ModelParameters!$M$8:$N$15,2,FALSE),IF(N1226=MappingTables!$C$16,VLOOKUP(J1226,ModelParameters!$P$8:$Q$15,2,FALSE),0)))</f>
        <v>0.125</v>
      </c>
      <c r="P1226" s="73">
        <f>IF(OR(I1226=0,I1226=$A$1),0,MIN(O1226*M1226,1)*K1226)</f>
        <v>2529.09318638184</v>
      </c>
      <c r="Q1226" s="73">
        <f>IF(B1226="",0,IF(OR(H1226=MappingTables!$C$34,H1226=MappingTables!$C$35),P1226,0))</f>
        <v>0</v>
      </c>
      <c r="R1226" s="73">
        <f>IF(ISNA(IF(AND(VLOOKUP(CONCATENATE($D1226,$G1226),CSRFinput!$B:$E,4,0)=0,OR(H1226=MappingTables!$C$31,H1226=MappingTables!$C$32)),1,VLOOKUP(CONCATENATE($D1226,$G1226),CSRFinput!$B:$E,4,0))),0,IF(AND(VLOOKUP(CONCATENATE($D1226,$G1226),CSRFinput!$B:$E,4,0)=0,OR(H1226=MappingTables!$C$31,H1226=MappingTables!$C$32)),1,VLOOKUP(CONCATENATE($D1226,$G1226),CSRFinput!$B:$E,4,0)))</f>
        <v>0.054776304963434752</v>
      </c>
      <c r="S1226" s="73">
        <f>IF(B1226="",0,P1226*R1226)</f>
        <v>138.5343796581966</v>
      </c>
      <c r="T1226" s="85">
        <f>IF(B1226="",0,IF(OR(H1226=MappingTables!$C$34,H1226=MappingTables!$C$35),S1226,0))</f>
        <v>0</v>
      </c>
    </row>
    <row r="1227" spans="2:20" s="0" customFormat="0" ht="15">
      <c r="B1227" s="69" t="s">
        <v>4823</v>
      </c>
      <c r="C1227" s="70" t="s">
        <v>4824</v>
      </c>
      <c r="D1227" s="70" t="s">
        <v>1</v>
      </c>
      <c r="E1227" s="70" t="s">
        <v>1</v>
      </c>
      <c r="F1227" s="70"/>
      <c r="G1227" s="70" t="s">
        <v>61</v>
      </c>
      <c r="H1227" s="70" t="s">
        <v>178</v>
      </c>
      <c r="I1227" s="70" t="s">
        <v>216</v>
      </c>
      <c r="J1227" s="71">
        <f>IF(OR(I1227=0,I1227=""),"unrated",VLOOKUP(I1227,MappingTables!$B$19:$C$31,2,FALSE))</f>
        <v>0</v>
      </c>
      <c r="K1227" s="72">
        <v>208.80049777025364</v>
      </c>
      <c r="L1227" s="70">
        <v>0.07397260128718968</v>
      </c>
      <c r="M1227" s="71">
        <f>IF(L1227&lt;1,1,L1227)</f>
        <v>1</v>
      </c>
      <c r="N1227" s="70" t="s">
        <v>3288</v>
      </c>
      <c r="O1227" s="71">
        <f>IF(OR(I1227=$A$1,I1227=0),"",IF(N1227=MappingTables!$C$14,VLOOKUP(J1227,ModelParameters!$M$8:$N$15,2,FALSE),IF(N1227=MappingTables!$C$16,VLOOKUP(J1227,ModelParameters!$P$8:$Q$15,2,FALSE),0)))</f>
        <v>0.125</v>
      </c>
      <c r="P1227" s="73">
        <f>IF(OR(I1227=0,I1227=$A$1),0,MIN(O1227*M1227,1)*K1227)</f>
        <v>26.100062221281708</v>
      </c>
      <c r="Q1227" s="73">
        <f>IF(B1227="",0,IF(OR(H1227=MappingTables!$C$34,H1227=MappingTables!$C$35),P1227,0))</f>
        <v>0</v>
      </c>
      <c r="R1227" s="73">
        <f>IF(ISNA(IF(AND(VLOOKUP(CONCATENATE($D1227,$G1227),CSRFinput!$B:$E,4,0)=0,OR(H1227=MappingTables!$C$31,H1227=MappingTables!$C$32)),1,VLOOKUP(CONCATENATE($D1227,$G1227),CSRFinput!$B:$E,4,0))),0,IF(AND(VLOOKUP(CONCATENATE($D1227,$G1227),CSRFinput!$B:$E,4,0)=0,OR(H1227=MappingTables!$C$31,H1227=MappingTables!$C$32)),1,VLOOKUP(CONCATENATE($D1227,$G1227),CSRFinput!$B:$E,4,0)))</f>
        <v>0.054776304963434752</v>
      </c>
      <c r="S1227" s="73">
        <f>IF(B1227="",0,P1227*R1227)</f>
        <v>1.429664967797549</v>
      </c>
      <c r="T1227" s="85">
        <f>IF(B1227="",0,IF(OR(H1227=MappingTables!$C$34,H1227=MappingTables!$C$35),S1227,0))</f>
        <v>0</v>
      </c>
    </row>
    <row r="1228" spans="2:20" s="0" customFormat="0" ht="15">
      <c r="B1228" s="69">
        <v>16974059</v>
      </c>
      <c r="C1228" s="70" t="s">
        <v>4397</v>
      </c>
      <c r="D1228" s="70" t="s">
        <v>1</v>
      </c>
      <c r="E1228" s="70" t="s">
        <v>1</v>
      </c>
      <c r="F1228" s="70"/>
      <c r="G1228" s="70" t="s">
        <v>61</v>
      </c>
      <c r="H1228" s="70" t="s">
        <v>178</v>
      </c>
      <c r="I1228" s="70" t="s">
        <v>198</v>
      </c>
      <c r="J1228" s="71" t="str">
        <f>IF(OR(I1228=0,I1228=""),"unrated",VLOOKUP(I1228,MappingTables!$B$19:$C$31,2,FALSE))</f>
        <v>unrated</v>
      </c>
      <c r="K1228" s="72">
        <v>247.6965020328592</v>
      </c>
      <c r="L1228" s="70">
        <v>0.079070722099288976</v>
      </c>
      <c r="M1228" s="71">
        <f>IF(L1228&lt;1,1,L1228)</f>
        <v>1</v>
      </c>
      <c r="N1228" s="70" t="s">
        <v>3288</v>
      </c>
      <c r="O1228" s="71">
        <f>IF(OR(I1228=$A$1,I1228=0),"",IF(N1228=MappingTables!$C$14,VLOOKUP(J1228,ModelParameters!$M$8:$N$15,2,FALSE),IF(N1228=MappingTables!$C$16,VLOOKUP(J1228,ModelParameters!$P$8:$Q$15,2,FALSE),0)))</f>
        <v>1</v>
      </c>
      <c r="P1228" s="73">
        <f>IF(OR(I1228=0,I1228=$A$1),0,MIN(O1228*M1228,1)*K1228)</f>
        <v>247.6965020328592</v>
      </c>
      <c r="Q1228" s="73">
        <f>IF(B1228="",0,IF(OR(H1228=MappingTables!$C$34,H1228=MappingTables!$C$35),P1228,0))</f>
        <v>0</v>
      </c>
      <c r="R1228" s="73">
        <f>IF(ISNA(IF(AND(VLOOKUP(CONCATENATE($D1228,$G1228),CSRFinput!$B:$E,4,0)=0,OR(H1228=MappingTables!$C$31,H1228=MappingTables!$C$32)),1,VLOOKUP(CONCATENATE($D1228,$G1228),CSRFinput!$B:$E,4,0))),0,IF(AND(VLOOKUP(CONCATENATE($D1228,$G1228),CSRFinput!$B:$E,4,0)=0,OR(H1228=MappingTables!$C$31,H1228=MappingTables!$C$32)),1,VLOOKUP(CONCATENATE($D1228,$G1228),CSRFinput!$B:$E,4,0)))</f>
        <v>0.054776304963434752</v>
      </c>
      <c r="S1228" s="73">
        <f>IF(B1228="",0,P1228*R1228)</f>
        <v>13.567899133727932</v>
      </c>
      <c r="T1228" s="85">
        <f>IF(B1228="",0,IF(OR(H1228=MappingTables!$C$34,H1228=MappingTables!$C$35),S1228,0))</f>
        <v>0</v>
      </c>
    </row>
    <row r="1229" spans="2:20" s="0" customFormat="0" ht="15">
      <c r="B1229" s="69">
        <v>9769687</v>
      </c>
      <c r="C1229" s="70" t="s">
        <v>4825</v>
      </c>
      <c r="D1229" s="70" t="s">
        <v>1</v>
      </c>
      <c r="E1229" s="70" t="s">
        <v>1</v>
      </c>
      <c r="F1229" s="70"/>
      <c r="G1229" s="70" t="s">
        <v>61</v>
      </c>
      <c r="H1229" s="70" t="s">
        <v>178</v>
      </c>
      <c r="I1229" s="70" t="s">
        <v>216</v>
      </c>
      <c r="J1229" s="71">
        <f>IF(OR(I1229=0,I1229=""),"unrated",VLOOKUP(I1229,MappingTables!$B$19:$C$31,2,FALSE))</f>
        <v>0</v>
      </c>
      <c r="K1229" s="72">
        <v>37.179308665184872</v>
      </c>
      <c r="L1229" s="70">
        <v>0.64414648778019312</v>
      </c>
      <c r="M1229" s="71">
        <f>IF(L1229&lt;1,1,L1229)</f>
        <v>1</v>
      </c>
      <c r="N1229" s="70" t="s">
        <v>3288</v>
      </c>
      <c r="O1229" s="71">
        <f>IF(OR(I1229=$A$1,I1229=0),"",IF(N1229=MappingTables!$C$14,VLOOKUP(J1229,ModelParameters!$M$8:$N$15,2,FALSE),IF(N1229=MappingTables!$C$16,VLOOKUP(J1229,ModelParameters!$P$8:$Q$15,2,FALSE),0)))</f>
        <v>0.125</v>
      </c>
      <c r="P1229" s="73">
        <f>IF(OR(I1229=0,I1229=$A$1),0,MIN(O1229*M1229,1)*K1229)</f>
        <v>4.6474135831481088</v>
      </c>
      <c r="Q1229" s="73">
        <f>IF(B1229="",0,IF(OR(H1229=MappingTables!$C$34,H1229=MappingTables!$C$35),P1229,0))</f>
        <v>0</v>
      </c>
      <c r="R1229" s="73">
        <f>IF(ISNA(IF(AND(VLOOKUP(CONCATENATE($D1229,$G1229),CSRFinput!$B:$E,4,0)=0,OR(H1229=MappingTables!$C$31,H1229=MappingTables!$C$32)),1,VLOOKUP(CONCATENATE($D1229,$G1229),CSRFinput!$B:$E,4,0))),0,IF(AND(VLOOKUP(CONCATENATE($D1229,$G1229),CSRFinput!$B:$E,4,0)=0,OR(H1229=MappingTables!$C$31,H1229=MappingTables!$C$32)),1,VLOOKUP(CONCATENATE($D1229,$G1229),CSRFinput!$B:$E,4,0)))</f>
        <v>0.054776304963434752</v>
      </c>
      <c r="S1229" s="73">
        <f>IF(B1229="",0,P1229*R1229)</f>
        <v>0.25456814372172988</v>
      </c>
      <c r="T1229" s="85">
        <f>IF(B1229="",0,IF(OR(H1229=MappingTables!$C$34,H1229=MappingTables!$C$35),S1229,0))</f>
        <v>0</v>
      </c>
    </row>
    <row r="1230" spans="2:20" s="0" customFormat="0" ht="15">
      <c r="B1230" s="69">
        <v>994090</v>
      </c>
      <c r="C1230" s="70" t="s">
        <v>4057</v>
      </c>
      <c r="D1230" s="70" t="s">
        <v>1</v>
      </c>
      <c r="E1230" s="70" t="s">
        <v>1</v>
      </c>
      <c r="F1230" s="70"/>
      <c r="G1230" s="70" t="s">
        <v>61</v>
      </c>
      <c r="H1230" s="70" t="s">
        <v>178</v>
      </c>
      <c r="I1230" s="70" t="s">
        <v>198</v>
      </c>
      <c r="J1230" s="71" t="str">
        <f>IF(OR(I1230=0,I1230=""),"unrated",VLOOKUP(I1230,MappingTables!$B$19:$C$31,2,FALSE))</f>
        <v>unrated</v>
      </c>
      <c r="K1230" s="72">
        <v>24.083514593344524</v>
      </c>
      <c r="L1230" s="70">
        <v>0.06849247747468788</v>
      </c>
      <c r="M1230" s="71">
        <f>IF(L1230&lt;1,1,L1230)</f>
        <v>1</v>
      </c>
      <c r="N1230" s="70" t="s">
        <v>3288</v>
      </c>
      <c r="O1230" s="71">
        <f>IF(OR(I1230=$A$1,I1230=0),"",IF(N1230=MappingTables!$C$14,VLOOKUP(J1230,ModelParameters!$M$8:$N$15,2,FALSE),IF(N1230=MappingTables!$C$16,VLOOKUP(J1230,ModelParameters!$P$8:$Q$15,2,FALSE),0)))</f>
        <v>1</v>
      </c>
      <c r="P1230" s="73">
        <f>IF(OR(I1230=0,I1230=$A$1),0,MIN(O1230*M1230,1)*K1230)</f>
        <v>24.083514593344524</v>
      </c>
      <c r="Q1230" s="73">
        <f>IF(B1230="",0,IF(OR(H1230=MappingTables!$C$34,H1230=MappingTables!$C$35),P1230,0))</f>
        <v>0</v>
      </c>
      <c r="R1230" s="73">
        <f>IF(ISNA(IF(AND(VLOOKUP(CONCATENATE($D1230,$G1230),CSRFinput!$B:$E,4,0)=0,OR(H1230=MappingTables!$C$31,H1230=MappingTables!$C$32)),1,VLOOKUP(CONCATENATE($D1230,$G1230),CSRFinput!$B:$E,4,0))),0,IF(AND(VLOOKUP(CONCATENATE($D1230,$G1230),CSRFinput!$B:$E,4,0)=0,OR(H1230=MappingTables!$C$31,H1230=MappingTables!$C$32)),1,VLOOKUP(CONCATENATE($D1230,$G1230),CSRFinput!$B:$E,4,0)))</f>
        <v>0.054776304963434752</v>
      </c>
      <c r="S1230" s="73">
        <f>IF(B1230="",0,P1230*R1230)</f>
        <v>1.319205939956371</v>
      </c>
      <c r="T1230" s="85">
        <f>IF(B1230="",0,IF(OR(H1230=MappingTables!$C$34,H1230=MappingTables!$C$35),S1230,0))</f>
        <v>0</v>
      </c>
    </row>
    <row r="1231" spans="2:20" s="0" customFormat="0" ht="15">
      <c r="B1231" s="69">
        <v>870799</v>
      </c>
      <c r="C1231" s="70" t="s">
        <v>3389</v>
      </c>
      <c r="D1231" s="70" t="s">
        <v>1</v>
      </c>
      <c r="E1231" s="70" t="s">
        <v>1</v>
      </c>
      <c r="F1231" s="70"/>
      <c r="G1231" s="70" t="s">
        <v>61</v>
      </c>
      <c r="H1231" s="70" t="s">
        <v>178</v>
      </c>
      <c r="I1231" s="70" t="s">
        <v>188</v>
      </c>
      <c r="J1231" s="71">
        <f>IF(OR(I1231=0,I1231=""),"unrated",VLOOKUP(I1231,MappingTables!$B$19:$C$31,2,FALSE))</f>
        <v>2</v>
      </c>
      <c r="K1231" s="72">
        <v>0.40337016469697264</v>
      </c>
      <c r="L1231" s="70">
        <v>0.06849528163041772</v>
      </c>
      <c r="M1231" s="71">
        <f>IF(L1231&lt;1,1,L1231)</f>
        <v>1</v>
      </c>
      <c r="N1231" s="70" t="s">
        <v>3288</v>
      </c>
      <c r="O1231" s="71">
        <f>IF(OR(I1231=$A$1,I1231=0),"",IF(N1231=MappingTables!$C$14,VLOOKUP(J1231,ModelParameters!$M$8:$N$15,2,FALSE),IF(N1231=MappingTables!$C$16,VLOOKUP(J1231,ModelParameters!$P$8:$Q$15,2,FALSE),0)))</f>
        <v>0.166</v>
      </c>
      <c r="P1231" s="73">
        <f>IF(OR(I1231=0,I1231=$A$1),0,MIN(O1231*M1231,1)*K1231)</f>
        <v>0.066959447339697456</v>
      </c>
      <c r="Q1231" s="73">
        <f>IF(B1231="",0,IF(OR(H1231=MappingTables!$C$34,H1231=MappingTables!$C$35),P1231,0))</f>
        <v>0</v>
      </c>
      <c r="R1231" s="73">
        <f>IF(ISNA(IF(AND(VLOOKUP(CONCATENATE($D1231,$G1231),CSRFinput!$B:$E,4,0)=0,OR(H1231=MappingTables!$C$31,H1231=MappingTables!$C$32)),1,VLOOKUP(CONCATENATE($D1231,$G1231),CSRFinput!$B:$E,4,0))),0,IF(AND(VLOOKUP(CONCATENATE($D1231,$G1231),CSRFinput!$B:$E,4,0)=0,OR(H1231=MappingTables!$C$31,H1231=MappingTables!$C$32)),1,VLOOKUP(CONCATENATE($D1231,$G1231),CSRFinput!$B:$E,4,0)))</f>
        <v>0.054776304963434752</v>
      </c>
      <c r="S1231" s="73">
        <f>IF(B1231="",0,P1231*R1231)</f>
        <v>0.0036677911076623176</v>
      </c>
      <c r="T1231" s="85">
        <f>IF(B1231="",0,IF(OR(H1231=MappingTables!$C$34,H1231=MappingTables!$C$35),S1231,0))</f>
        <v>0</v>
      </c>
    </row>
    <row r="1232" spans="2:20" s="0" customFormat="0" ht="15">
      <c r="B1232" s="69" t="s">
        <v>4366</v>
      </c>
      <c r="C1232" s="70" t="s">
        <v>4367</v>
      </c>
      <c r="D1232" s="70" t="s">
        <v>1</v>
      </c>
      <c r="E1232" s="70" t="s">
        <v>1</v>
      </c>
      <c r="F1232" s="70"/>
      <c r="G1232" s="70" t="s">
        <v>61</v>
      </c>
      <c r="H1232" s="70" t="s">
        <v>178</v>
      </c>
      <c r="I1232" s="70" t="s">
        <v>198</v>
      </c>
      <c r="J1232" s="71" t="str">
        <f>IF(OR(I1232=0,I1232=""),"unrated",VLOOKUP(I1232,MappingTables!$B$19:$C$31,2,FALSE))</f>
        <v>unrated</v>
      </c>
      <c r="K1232" s="72">
        <v>411.35452563285744</v>
      </c>
      <c r="L1232" s="70">
        <v>0.068494369464206256</v>
      </c>
      <c r="M1232" s="71">
        <f>IF(L1232&lt;1,1,L1232)</f>
        <v>1</v>
      </c>
      <c r="N1232" s="70" t="s">
        <v>3288</v>
      </c>
      <c r="O1232" s="71">
        <f>IF(OR(I1232=$A$1,I1232=0),"",IF(N1232=MappingTables!$C$14,VLOOKUP(J1232,ModelParameters!$M$8:$N$15,2,FALSE),IF(N1232=MappingTables!$C$16,VLOOKUP(J1232,ModelParameters!$P$8:$Q$15,2,FALSE),0)))</f>
        <v>1</v>
      </c>
      <c r="P1232" s="73">
        <f>IF(OR(I1232=0,I1232=$A$1),0,MIN(O1232*M1232,1)*K1232)</f>
        <v>411.35452563285744</v>
      </c>
      <c r="Q1232" s="73">
        <f>IF(B1232="",0,IF(OR(H1232=MappingTables!$C$34,H1232=MappingTables!$C$35),P1232,0))</f>
        <v>0</v>
      </c>
      <c r="R1232" s="73">
        <f>IF(ISNA(IF(AND(VLOOKUP(CONCATENATE($D1232,$G1232),CSRFinput!$B:$E,4,0)=0,OR(H1232=MappingTables!$C$31,H1232=MappingTables!$C$32)),1,VLOOKUP(CONCATENATE($D1232,$G1232),CSRFinput!$B:$E,4,0))),0,IF(AND(VLOOKUP(CONCATENATE($D1232,$G1232),CSRFinput!$B:$E,4,0)=0,OR(H1232=MappingTables!$C$31,H1232=MappingTables!$C$32)),1,VLOOKUP(CONCATENATE($D1232,$G1232),CSRFinput!$B:$E,4,0)))</f>
        <v>0.054776304963434752</v>
      </c>
      <c r="S1232" s="73">
        <f>IF(B1232="",0,P1232*R1232)</f>
        <v>22.53248094415444</v>
      </c>
      <c r="T1232" s="85">
        <f>IF(B1232="",0,IF(OR(H1232=MappingTables!$C$34,H1232=MappingTables!$C$35),S1232,0))</f>
        <v>0</v>
      </c>
    </row>
    <row r="1233" spans="2:20" s="0" customFormat="0" ht="15">
      <c r="B1233" s="69" t="s">
        <v>4826</v>
      </c>
      <c r="C1233" s="70" t="s">
        <v>4827</v>
      </c>
      <c r="D1233" s="70" t="s">
        <v>1</v>
      </c>
      <c r="E1233" s="70" t="s">
        <v>1</v>
      </c>
      <c r="F1233" s="70"/>
      <c r="G1233" s="70" t="s">
        <v>61</v>
      </c>
      <c r="H1233" s="70" t="s">
        <v>178</v>
      </c>
      <c r="I1233" s="70" t="s">
        <v>3298</v>
      </c>
      <c r="J1233" s="71">
        <f>IF(OR(I1233=0,I1233=""),"unrated",VLOOKUP(I1233,MappingTables!$B$19:$C$31,2,FALSE))</f>
        <v>6</v>
      </c>
      <c r="K1233" s="72">
        <v>24.683894430964888</v>
      </c>
      <c r="L1233" s="70">
        <v>-1.2224097689165984</v>
      </c>
      <c r="M1233" s="71">
        <f>IF(L1233&lt;1,1,L1233)</f>
        <v>1</v>
      </c>
      <c r="N1233" s="70" t="s">
        <v>3288</v>
      </c>
      <c r="O1233" s="71">
        <f>IF(OR(I1233=$A$1,I1233=0),"",IF(N1233=MappingTables!$C$14,VLOOKUP(J1233,ModelParameters!$M$8:$N$15,2,FALSE),IF(N1233=MappingTables!$C$16,VLOOKUP(J1233,ModelParameters!$P$8:$Q$15,2,FALSE),0)))</f>
        <v>1</v>
      </c>
      <c r="P1233" s="73">
        <f>IF(OR(I1233=0,I1233=$A$1),0,MIN(O1233*M1233,1)*K1233)</f>
        <v>24.683894430964888</v>
      </c>
      <c r="Q1233" s="73">
        <f>IF(B1233="",0,IF(OR(H1233=MappingTables!$C$34,H1233=MappingTables!$C$35),P1233,0))</f>
        <v>0</v>
      </c>
      <c r="R1233" s="73">
        <f>IF(ISNA(IF(AND(VLOOKUP(CONCATENATE($D1233,$G1233),CSRFinput!$B:$E,4,0)=0,OR(H1233=MappingTables!$C$31,H1233=MappingTables!$C$32)),1,VLOOKUP(CONCATENATE($D1233,$G1233),CSRFinput!$B:$E,4,0))),0,IF(AND(VLOOKUP(CONCATENATE($D1233,$G1233),CSRFinput!$B:$E,4,0)=0,OR(H1233=MappingTables!$C$31,H1233=MappingTables!$C$32)),1,VLOOKUP(CONCATENATE($D1233,$G1233),CSRFinput!$B:$E,4,0)))</f>
        <v>0.054776304963434752</v>
      </c>
      <c r="S1233" s="73">
        <f>IF(B1233="",0,P1233*R1233)</f>
        <v>1.3520925290357614</v>
      </c>
      <c r="T1233" s="85">
        <f>IF(B1233="",0,IF(OR(H1233=MappingTables!$C$34,H1233=MappingTables!$C$35),S1233,0))</f>
        <v>0</v>
      </c>
    </row>
    <row r="1234" spans="2:20" s="0" customFormat="0" ht="15">
      <c r="B1234" s="69" t="s">
        <v>4828</v>
      </c>
      <c r="C1234" s="70" t="s">
        <v>4829</v>
      </c>
      <c r="D1234" s="70" t="s">
        <v>1</v>
      </c>
      <c r="E1234" s="70" t="s">
        <v>1</v>
      </c>
      <c r="F1234" s="70"/>
      <c r="G1234" s="70" t="s">
        <v>61</v>
      </c>
      <c r="H1234" s="70" t="s">
        <v>178</v>
      </c>
      <c r="I1234" s="70" t="s">
        <v>198</v>
      </c>
      <c r="J1234" s="71" t="str">
        <f>IF(OR(I1234=0,I1234=""),"unrated",VLOOKUP(I1234,MappingTables!$B$19:$C$31,2,FALSE))</f>
        <v>unrated</v>
      </c>
      <c r="K1234" s="72">
        <v>157.42523223549586</v>
      </c>
      <c r="L1234" s="70">
        <v>0.052051322788688664</v>
      </c>
      <c r="M1234" s="71">
        <f>IF(L1234&lt;1,1,L1234)</f>
        <v>1</v>
      </c>
      <c r="N1234" s="70" t="s">
        <v>3288</v>
      </c>
      <c r="O1234" s="71">
        <f>IF(OR(I1234=$A$1,I1234=0),"",IF(N1234=MappingTables!$C$14,VLOOKUP(J1234,ModelParameters!$M$8:$N$15,2,FALSE),IF(N1234=MappingTables!$C$16,VLOOKUP(J1234,ModelParameters!$P$8:$Q$15,2,FALSE),0)))</f>
        <v>1</v>
      </c>
      <c r="P1234" s="73">
        <f>IF(OR(I1234=0,I1234=$A$1),0,MIN(O1234*M1234,1)*K1234)</f>
        <v>157.42523223549586</v>
      </c>
      <c r="Q1234" s="73">
        <f>IF(B1234="",0,IF(OR(H1234=MappingTables!$C$34,H1234=MappingTables!$C$35),P1234,0))</f>
        <v>0</v>
      </c>
      <c r="R1234" s="73">
        <f>IF(ISNA(IF(AND(VLOOKUP(CONCATENATE($D1234,$G1234),CSRFinput!$B:$E,4,0)=0,OR(H1234=MappingTables!$C$31,H1234=MappingTables!$C$32)),1,VLOOKUP(CONCATENATE($D1234,$G1234),CSRFinput!$B:$E,4,0))),0,IF(AND(VLOOKUP(CONCATENATE($D1234,$G1234),CSRFinput!$B:$E,4,0)=0,OR(H1234=MappingTables!$C$31,H1234=MappingTables!$C$32)),1,VLOOKUP(CONCATENATE($D1234,$G1234),CSRFinput!$B:$E,4,0)))</f>
        <v>0.054776304963434752</v>
      </c>
      <c r="S1234" s="73">
        <f>IF(B1234="",0,P1234*R1234)</f>
        <v>8.6231725298710608</v>
      </c>
      <c r="T1234" s="85">
        <f>IF(B1234="",0,IF(OR(H1234=MappingTables!$C$34,H1234=MappingTables!$C$35),S1234,0))</f>
        <v>0</v>
      </c>
    </row>
    <row r="1235" spans="2:20" s="0" customFormat="0" ht="15">
      <c r="B1235" s="69">
        <v>16974698</v>
      </c>
      <c r="C1235" s="70" t="s">
        <v>4830</v>
      </c>
      <c r="D1235" s="70" t="s">
        <v>1</v>
      </c>
      <c r="E1235" s="70" t="s">
        <v>1</v>
      </c>
      <c r="F1235" s="70"/>
      <c r="G1235" s="70" t="s">
        <v>61</v>
      </c>
      <c r="H1235" s="70" t="s">
        <v>178</v>
      </c>
      <c r="I1235" s="70" t="s">
        <v>198</v>
      </c>
      <c r="J1235" s="71" t="str">
        <f>IF(OR(I1235=0,I1235=""),"unrated",VLOOKUP(I1235,MappingTables!$B$19:$C$31,2,FALSE))</f>
        <v>unrated</v>
      </c>
      <c r="K1235" s="72">
        <v>973.94026427181968</v>
      </c>
      <c r="L1235" s="70">
        <v>0.055127132942408104</v>
      </c>
      <c r="M1235" s="71">
        <f>IF(L1235&lt;1,1,L1235)</f>
        <v>1</v>
      </c>
      <c r="N1235" s="70" t="s">
        <v>3288</v>
      </c>
      <c r="O1235" s="71">
        <f>IF(OR(I1235=$A$1,I1235=0),"",IF(N1235=MappingTables!$C$14,VLOOKUP(J1235,ModelParameters!$M$8:$N$15,2,FALSE),IF(N1235=MappingTables!$C$16,VLOOKUP(J1235,ModelParameters!$P$8:$Q$15,2,FALSE),0)))</f>
        <v>1</v>
      </c>
      <c r="P1235" s="73">
        <f>IF(OR(I1235=0,I1235=$A$1),0,MIN(O1235*M1235,1)*K1235)</f>
        <v>973.94026427181968</v>
      </c>
      <c r="Q1235" s="73">
        <f>IF(B1235="",0,IF(OR(H1235=MappingTables!$C$34,H1235=MappingTables!$C$35),P1235,0))</f>
        <v>0</v>
      </c>
      <c r="R1235" s="73">
        <f>IF(ISNA(IF(AND(VLOOKUP(CONCATENATE($D1235,$G1235),CSRFinput!$B:$E,4,0)=0,OR(H1235=MappingTables!$C$31,H1235=MappingTables!$C$32)),1,VLOOKUP(CONCATENATE($D1235,$G1235),CSRFinput!$B:$E,4,0))),0,IF(AND(VLOOKUP(CONCATENATE($D1235,$G1235),CSRFinput!$B:$E,4,0)=0,OR(H1235=MappingTables!$C$31,H1235=MappingTables!$C$32)),1,VLOOKUP(CONCATENATE($D1235,$G1235),CSRFinput!$B:$E,4,0)))</f>
        <v>0.054776304963434752</v>
      </c>
      <c r="S1235" s="73">
        <f>IF(B1235="",0,P1235*R1235)</f>
        <v>53.348848931921432</v>
      </c>
      <c r="T1235" s="85">
        <f>IF(B1235="",0,IF(OR(H1235=MappingTables!$C$34,H1235=MappingTables!$C$35),S1235,0))</f>
        <v>0</v>
      </c>
    </row>
    <row r="1236" spans="2:20" s="0" customFormat="0" ht="15">
      <c r="B1236" s="69" t="s">
        <v>4831</v>
      </c>
      <c r="C1236" s="70" t="s">
        <v>4832</v>
      </c>
      <c r="D1236" s="70" t="s">
        <v>1</v>
      </c>
      <c r="E1236" s="70" t="s">
        <v>1</v>
      </c>
      <c r="F1236" s="70"/>
      <c r="G1236" s="70" t="s">
        <v>61</v>
      </c>
      <c r="H1236" s="70" t="s">
        <v>178</v>
      </c>
      <c r="I1236" s="70" t="s">
        <v>3298</v>
      </c>
      <c r="J1236" s="71">
        <f>IF(OR(I1236=0,I1236=""),"unrated",VLOOKUP(I1236,MappingTables!$B$19:$C$31,2,FALSE))</f>
        <v>6</v>
      </c>
      <c r="K1236" s="72">
        <v>11.574764487093678</v>
      </c>
      <c r="L1236" s="70">
        <v>0.068492411760587808</v>
      </c>
      <c r="M1236" s="71">
        <f>IF(L1236&lt;1,1,L1236)</f>
        <v>1</v>
      </c>
      <c r="N1236" s="70" t="s">
        <v>3288</v>
      </c>
      <c r="O1236" s="71">
        <f>IF(OR(I1236=$A$1,I1236=0),"",IF(N1236=MappingTables!$C$14,VLOOKUP(J1236,ModelParameters!$M$8:$N$15,2,FALSE),IF(N1236=MappingTables!$C$16,VLOOKUP(J1236,ModelParameters!$P$8:$Q$15,2,FALSE),0)))</f>
        <v>1</v>
      </c>
      <c r="P1236" s="73">
        <f>IF(OR(I1236=0,I1236=$A$1),0,MIN(O1236*M1236,1)*K1236)</f>
        <v>11.574764487093678</v>
      </c>
      <c r="Q1236" s="73">
        <f>IF(B1236="",0,IF(OR(H1236=MappingTables!$C$34,H1236=MappingTables!$C$35),P1236,0))</f>
        <v>0</v>
      </c>
      <c r="R1236" s="73">
        <f>IF(ISNA(IF(AND(VLOOKUP(CONCATENATE($D1236,$G1236),CSRFinput!$B:$E,4,0)=0,OR(H1236=MappingTables!$C$31,H1236=MappingTables!$C$32)),1,VLOOKUP(CONCATENATE($D1236,$G1236),CSRFinput!$B:$E,4,0))),0,IF(AND(VLOOKUP(CONCATENATE($D1236,$G1236),CSRFinput!$B:$E,4,0)=0,OR(H1236=MappingTables!$C$31,H1236=MappingTables!$C$32)),1,VLOOKUP(CONCATENATE($D1236,$G1236),CSRFinput!$B:$E,4,0)))</f>
        <v>0.054776304963434752</v>
      </c>
      <c r="S1236" s="73">
        <f>IF(B1236="",0,P1236*R1236)</f>
        <v>0.63402282942497768</v>
      </c>
      <c r="T1236" s="85">
        <f>IF(B1236="",0,IF(OR(H1236=MappingTables!$C$34,H1236=MappingTables!$C$35),S1236,0))</f>
        <v>0</v>
      </c>
    </row>
    <row r="1237" spans="2:20" s="0" customFormat="0" ht="15">
      <c r="B1237" s="69" t="s">
        <v>4833</v>
      </c>
      <c r="C1237" s="70" t="s">
        <v>4834</v>
      </c>
      <c r="D1237" s="70" t="s">
        <v>1</v>
      </c>
      <c r="E1237" s="70" t="s">
        <v>1</v>
      </c>
      <c r="F1237" s="70"/>
      <c r="G1237" s="70" t="s">
        <v>61</v>
      </c>
      <c r="H1237" s="70" t="s">
        <v>178</v>
      </c>
      <c r="I1237" s="70" t="s">
        <v>204</v>
      </c>
      <c r="J1237" s="71">
        <f>IF(OR(I1237=0,I1237=""),"unrated",VLOOKUP(I1237,MappingTables!$B$19:$C$31,2,FALSE))</f>
        <v>6</v>
      </c>
      <c r="K1237" s="72">
        <v>169.48398605896468</v>
      </c>
      <c r="L1237" s="70">
        <v>0.068492255591158152</v>
      </c>
      <c r="M1237" s="71">
        <f>IF(L1237&lt;1,1,L1237)</f>
        <v>1</v>
      </c>
      <c r="N1237" s="70" t="s">
        <v>3288</v>
      </c>
      <c r="O1237" s="71">
        <f>IF(OR(I1237=$A$1,I1237=0),"",IF(N1237=MappingTables!$C$14,VLOOKUP(J1237,ModelParameters!$M$8:$N$15,2,FALSE),IF(N1237=MappingTables!$C$16,VLOOKUP(J1237,ModelParameters!$P$8:$Q$15,2,FALSE),0)))</f>
        <v>1</v>
      </c>
      <c r="P1237" s="73">
        <f>IF(OR(I1237=0,I1237=$A$1),0,MIN(O1237*M1237,1)*K1237)</f>
        <v>169.48398605896468</v>
      </c>
      <c r="Q1237" s="73">
        <f>IF(B1237="",0,IF(OR(H1237=MappingTables!$C$34,H1237=MappingTables!$C$35),P1237,0))</f>
        <v>0</v>
      </c>
      <c r="R1237" s="73">
        <f>IF(ISNA(IF(AND(VLOOKUP(CONCATENATE($D1237,$G1237),CSRFinput!$B:$E,4,0)=0,OR(H1237=MappingTables!$C$31,H1237=MappingTables!$C$32)),1,VLOOKUP(CONCATENATE($D1237,$G1237),CSRFinput!$B:$E,4,0))),0,IF(AND(VLOOKUP(CONCATENATE($D1237,$G1237),CSRFinput!$B:$E,4,0)=0,OR(H1237=MappingTables!$C$31,H1237=MappingTables!$C$32)),1,VLOOKUP(CONCATENATE($D1237,$G1237),CSRFinput!$B:$E,4,0)))</f>
        <v>0.054776304963434752</v>
      </c>
      <c r="S1237" s="73">
        <f>IF(B1237="",0,P1237*R1237)</f>
        <v>9.2837065067843744</v>
      </c>
      <c r="T1237" s="85">
        <f>IF(B1237="",0,IF(OR(H1237=MappingTables!$C$34,H1237=MappingTables!$C$35),S1237,0))</f>
        <v>0</v>
      </c>
    </row>
    <row r="1238" spans="2:20" s="0" customFormat="0" ht="15">
      <c r="B1238" s="69">
        <v>4721451</v>
      </c>
      <c r="C1238" s="70" t="s">
        <v>4496</v>
      </c>
      <c r="D1238" s="70" t="s">
        <v>1</v>
      </c>
      <c r="E1238" s="70" t="s">
        <v>1</v>
      </c>
      <c r="F1238" s="70"/>
      <c r="G1238" s="70" t="s">
        <v>61</v>
      </c>
      <c r="H1238" s="70" t="s">
        <v>178</v>
      </c>
      <c r="I1238" s="70" t="s">
        <v>216</v>
      </c>
      <c r="J1238" s="71">
        <f>IF(OR(I1238=0,I1238=""),"unrated",VLOOKUP(I1238,MappingTables!$B$19:$C$31,2,FALSE))</f>
        <v>0</v>
      </c>
      <c r="K1238" s="72">
        <v>8502.5477217056256</v>
      </c>
      <c r="L1238" s="70">
        <v>1.2695071276479548</v>
      </c>
      <c r="M1238" s="71">
        <f>IF(L1238&lt;1,1,L1238)</f>
        <v>1.2695071276479548</v>
      </c>
      <c r="N1238" s="70" t="s">
        <v>3288</v>
      </c>
      <c r="O1238" s="71">
        <f>IF(OR(I1238=$A$1,I1238=0),"",IF(N1238=MappingTables!$C$14,VLOOKUP(J1238,ModelParameters!$M$8:$N$15,2,FALSE),IF(N1238=MappingTables!$C$16,VLOOKUP(J1238,ModelParameters!$P$8:$Q$15,2,FALSE),0)))</f>
        <v>0.125</v>
      </c>
      <c r="P1238" s="73">
        <f>IF(OR(I1238=0,I1238=$A$1),0,MIN(O1238*M1238,1)*K1238)</f>
        <v>1349.2556169840214</v>
      </c>
      <c r="Q1238" s="73">
        <f>IF(B1238="",0,IF(OR(H1238=MappingTables!$C$34,H1238=MappingTables!$C$35),P1238,0))</f>
        <v>0</v>
      </c>
      <c r="R1238" s="73">
        <f>IF(ISNA(IF(AND(VLOOKUP(CONCATENATE($D1238,$G1238),CSRFinput!$B:$E,4,0)=0,OR(H1238=MappingTables!$C$31,H1238=MappingTables!$C$32)),1,VLOOKUP(CONCATENATE($D1238,$G1238),CSRFinput!$B:$E,4,0))),0,IF(AND(VLOOKUP(CONCATENATE($D1238,$G1238),CSRFinput!$B:$E,4,0)=0,OR(H1238=MappingTables!$C$31,H1238=MappingTables!$C$32)),1,VLOOKUP(CONCATENATE($D1238,$G1238),CSRFinput!$B:$E,4,0)))</f>
        <v>0.054776304963434752</v>
      </c>
      <c r="S1238" s="73">
        <f>IF(B1238="",0,P1238*R1238)</f>
        <v>73.90723714954408</v>
      </c>
      <c r="T1238" s="85">
        <f>IF(B1238="",0,IF(OR(H1238=MappingTables!$C$34,H1238=MappingTables!$C$35),S1238,0))</f>
        <v>0</v>
      </c>
    </row>
    <row r="1239" spans="2:20" s="0" customFormat="0" ht="15">
      <c r="B1239" s="69" t="s">
        <v>3734</v>
      </c>
      <c r="C1239" s="70" t="s">
        <v>3735</v>
      </c>
      <c r="D1239" s="70" t="s">
        <v>1</v>
      </c>
      <c r="E1239" s="70" t="s">
        <v>1</v>
      </c>
      <c r="F1239" s="70"/>
      <c r="G1239" s="70" t="s">
        <v>61</v>
      </c>
      <c r="H1239" s="70" t="s">
        <v>178</v>
      </c>
      <c r="I1239" s="70" t="s">
        <v>204</v>
      </c>
      <c r="J1239" s="71">
        <f>IF(OR(I1239=0,I1239=""),"unrated",VLOOKUP(I1239,MappingTables!$B$19:$C$31,2,FALSE))</f>
        <v>6</v>
      </c>
      <c r="K1239" s="72">
        <v>49.773727703696312</v>
      </c>
      <c r="L1239" s="70">
        <v>0.058517517979094008</v>
      </c>
      <c r="M1239" s="71">
        <f>IF(L1239&lt;1,1,L1239)</f>
        <v>1</v>
      </c>
      <c r="N1239" s="70" t="s">
        <v>3288</v>
      </c>
      <c r="O1239" s="71">
        <f>IF(OR(I1239=$A$1,I1239=0),"",IF(N1239=MappingTables!$C$14,VLOOKUP(J1239,ModelParameters!$M$8:$N$15,2,FALSE),IF(N1239=MappingTables!$C$16,VLOOKUP(J1239,ModelParameters!$P$8:$Q$15,2,FALSE),0)))</f>
        <v>1</v>
      </c>
      <c r="P1239" s="73">
        <f>IF(OR(I1239=0,I1239=$A$1),0,MIN(O1239*M1239,1)*K1239)</f>
        <v>49.773727703696312</v>
      </c>
      <c r="Q1239" s="73">
        <f>IF(B1239="",0,IF(OR(H1239=MappingTables!$C$34,H1239=MappingTables!$C$35),P1239,0))</f>
        <v>0</v>
      </c>
      <c r="R1239" s="73">
        <f>IF(ISNA(IF(AND(VLOOKUP(CONCATENATE($D1239,$G1239),CSRFinput!$B:$E,4,0)=0,OR(H1239=MappingTables!$C$31,H1239=MappingTables!$C$32)),1,VLOOKUP(CONCATENATE($D1239,$G1239),CSRFinput!$B:$E,4,0))),0,IF(AND(VLOOKUP(CONCATENATE($D1239,$G1239),CSRFinput!$B:$E,4,0)=0,OR(H1239=MappingTables!$C$31,H1239=MappingTables!$C$32)),1,VLOOKUP(CONCATENATE($D1239,$G1239),CSRFinput!$B:$E,4,0)))</f>
        <v>0.054776304963434752</v>
      </c>
      <c r="S1239" s="73">
        <f>IF(B1239="",0,P1239*R1239)</f>
        <v>2.72642088786463</v>
      </c>
      <c r="T1239" s="85">
        <f>IF(B1239="",0,IF(OR(H1239=MappingTables!$C$34,H1239=MappingTables!$C$35),S1239,0))</f>
        <v>0</v>
      </c>
    </row>
    <row r="1240" spans="2:20" s="0" customFormat="0" ht="15">
      <c r="B1240" s="69">
        <v>14504652</v>
      </c>
      <c r="C1240" s="70" t="s">
        <v>4835</v>
      </c>
      <c r="D1240" s="70" t="s">
        <v>1</v>
      </c>
      <c r="E1240" s="70" t="s">
        <v>1</v>
      </c>
      <c r="F1240" s="70"/>
      <c r="G1240" s="70" t="s">
        <v>61</v>
      </c>
      <c r="H1240" s="70" t="s">
        <v>178</v>
      </c>
      <c r="I1240" s="70" t="s">
        <v>216</v>
      </c>
      <c r="J1240" s="71">
        <f>IF(OR(I1240=0,I1240=""),"unrated",VLOOKUP(I1240,MappingTables!$B$19:$C$31,2,FALSE))</f>
        <v>0</v>
      </c>
      <c r="K1240" s="72">
        <v>56.321862996652104</v>
      </c>
      <c r="L1240" s="70">
        <v>0.072140594159026624</v>
      </c>
      <c r="M1240" s="71">
        <f>IF(L1240&lt;1,1,L1240)</f>
        <v>1</v>
      </c>
      <c r="N1240" s="70" t="s">
        <v>3288</v>
      </c>
      <c r="O1240" s="71">
        <f>IF(OR(I1240=$A$1,I1240=0),"",IF(N1240=MappingTables!$C$14,VLOOKUP(J1240,ModelParameters!$M$8:$N$15,2,FALSE),IF(N1240=MappingTables!$C$16,VLOOKUP(J1240,ModelParameters!$P$8:$Q$15,2,FALSE),0)))</f>
        <v>0.125</v>
      </c>
      <c r="P1240" s="73">
        <f>IF(OR(I1240=0,I1240=$A$1),0,MIN(O1240*M1240,1)*K1240)</f>
        <v>7.0402328745815128</v>
      </c>
      <c r="Q1240" s="73">
        <f>IF(B1240="",0,IF(OR(H1240=MappingTables!$C$34,H1240=MappingTables!$C$35),P1240,0))</f>
        <v>0</v>
      </c>
      <c r="R1240" s="73">
        <f>IF(ISNA(IF(AND(VLOOKUP(CONCATENATE($D1240,$G1240),CSRFinput!$B:$E,4,0)=0,OR(H1240=MappingTables!$C$31,H1240=MappingTables!$C$32)),1,VLOOKUP(CONCATENATE($D1240,$G1240),CSRFinput!$B:$E,4,0))),0,IF(AND(VLOOKUP(CONCATENATE($D1240,$G1240),CSRFinput!$B:$E,4,0)=0,OR(H1240=MappingTables!$C$31,H1240=MappingTables!$C$32)),1,VLOOKUP(CONCATENATE($D1240,$G1240),CSRFinput!$B:$E,4,0)))</f>
        <v>0.054776304963434752</v>
      </c>
      <c r="S1240" s="73">
        <f>IF(B1240="",0,P1240*R1240)</f>
        <v>0.38563794295167584</v>
      </c>
      <c r="T1240" s="85">
        <f>IF(B1240="",0,IF(OR(H1240=MappingTables!$C$34,H1240=MappingTables!$C$35),S1240,0))</f>
        <v>0</v>
      </c>
    </row>
    <row r="1241" spans="2:20" s="0" customFormat="0" ht="15">
      <c r="B1241" s="69" t="s">
        <v>3348</v>
      </c>
      <c r="C1241" s="70" t="s">
        <v>3349</v>
      </c>
      <c r="D1241" s="70" t="s">
        <v>1</v>
      </c>
      <c r="E1241" s="70" t="s">
        <v>1</v>
      </c>
      <c r="F1241" s="70"/>
      <c r="G1241" s="70" t="s">
        <v>61</v>
      </c>
      <c r="H1241" s="70" t="s">
        <v>178</v>
      </c>
      <c r="I1241" s="70" t="s">
        <v>204</v>
      </c>
      <c r="J1241" s="71">
        <f>IF(OR(I1241=0,I1241=""),"unrated",VLOOKUP(I1241,MappingTables!$B$19:$C$31,2,FALSE))</f>
        <v>6</v>
      </c>
      <c r="K1241" s="72">
        <v>26.08038453089708</v>
      </c>
      <c r="L1241" s="70">
        <v>0.06849474089452276</v>
      </c>
      <c r="M1241" s="71">
        <f>IF(L1241&lt;1,1,L1241)</f>
        <v>1</v>
      </c>
      <c r="N1241" s="70" t="s">
        <v>3288</v>
      </c>
      <c r="O1241" s="71">
        <f>IF(OR(I1241=$A$1,I1241=0),"",IF(N1241=MappingTables!$C$14,VLOOKUP(J1241,ModelParameters!$M$8:$N$15,2,FALSE),IF(N1241=MappingTables!$C$16,VLOOKUP(J1241,ModelParameters!$P$8:$Q$15,2,FALSE),0)))</f>
        <v>1</v>
      </c>
      <c r="P1241" s="73">
        <f>IF(OR(I1241=0,I1241=$A$1),0,MIN(O1241*M1241,1)*K1241)</f>
        <v>26.08038453089708</v>
      </c>
      <c r="Q1241" s="73">
        <f>IF(B1241="",0,IF(OR(H1241=MappingTables!$C$34,H1241=MappingTables!$C$35),P1241,0))</f>
        <v>0</v>
      </c>
      <c r="R1241" s="73">
        <f>IF(ISNA(IF(AND(VLOOKUP(CONCATENATE($D1241,$G1241),CSRFinput!$B:$E,4,0)=0,OR(H1241=MappingTables!$C$31,H1241=MappingTables!$C$32)),1,VLOOKUP(CONCATENATE($D1241,$G1241),CSRFinput!$B:$E,4,0))),0,IF(AND(VLOOKUP(CONCATENATE($D1241,$G1241),CSRFinput!$B:$E,4,0)=0,OR(H1241=MappingTables!$C$31,H1241=MappingTables!$C$32)),1,VLOOKUP(CONCATENATE($D1241,$G1241),CSRFinput!$B:$E,4,0)))</f>
        <v>0.054776304963434752</v>
      </c>
      <c r="S1241" s="73">
        <f>IF(B1241="",0,P1241*R1241)</f>
        <v>1.4285870966280648</v>
      </c>
      <c r="T1241" s="85">
        <f>IF(B1241="",0,IF(OR(H1241=MappingTables!$C$34,H1241=MappingTables!$C$35),S1241,0))</f>
        <v>0</v>
      </c>
    </row>
    <row r="1242" spans="2:20" s="0" customFormat="0" ht="15">
      <c r="B1242" s="69" t="s">
        <v>4836</v>
      </c>
      <c r="C1242" s="70" t="s">
        <v>4837</v>
      </c>
      <c r="D1242" s="70" t="s">
        <v>1</v>
      </c>
      <c r="E1242" s="70" t="s">
        <v>1</v>
      </c>
      <c r="F1242" s="70"/>
      <c r="G1242" s="70" t="s">
        <v>61</v>
      </c>
      <c r="H1242" s="70" t="s">
        <v>178</v>
      </c>
      <c r="I1242" s="70" t="s">
        <v>198</v>
      </c>
      <c r="J1242" s="71" t="str">
        <f>IF(OR(I1242=0,I1242=""),"unrated",VLOOKUP(I1242,MappingTables!$B$19:$C$31,2,FALSE))</f>
        <v>unrated</v>
      </c>
      <c r="K1242" s="72">
        <v>898.40077847155264</v>
      </c>
      <c r="L1242" s="70">
        <v>12.301593790445582</v>
      </c>
      <c r="M1242" s="71">
        <f>IF(L1242&lt;1,1,L1242)</f>
        <v>12.301593790445582</v>
      </c>
      <c r="N1242" s="70" t="s">
        <v>3288</v>
      </c>
      <c r="O1242" s="71">
        <f>IF(OR(I1242=$A$1,I1242=0),"",IF(N1242=MappingTables!$C$14,VLOOKUP(J1242,ModelParameters!$M$8:$N$15,2,FALSE),IF(N1242=MappingTables!$C$16,VLOOKUP(J1242,ModelParameters!$P$8:$Q$15,2,FALSE),0)))</f>
        <v>1</v>
      </c>
      <c r="P1242" s="73">
        <f>IF(OR(I1242=0,I1242=$A$1),0,MIN(O1242*M1242,1)*K1242)</f>
        <v>898.40077847155264</v>
      </c>
      <c r="Q1242" s="73">
        <f>IF(B1242="",0,IF(OR(H1242=MappingTables!$C$34,H1242=MappingTables!$C$35),P1242,0))</f>
        <v>0</v>
      </c>
      <c r="R1242" s="73">
        <f>IF(ISNA(IF(AND(VLOOKUP(CONCATENATE($D1242,$G1242),CSRFinput!$B:$E,4,0)=0,OR(H1242=MappingTables!$C$31,H1242=MappingTables!$C$32)),1,VLOOKUP(CONCATENATE($D1242,$G1242),CSRFinput!$B:$E,4,0))),0,IF(AND(VLOOKUP(CONCATENATE($D1242,$G1242),CSRFinput!$B:$E,4,0)=0,OR(H1242=MappingTables!$C$31,H1242=MappingTables!$C$32)),1,VLOOKUP(CONCATENATE($D1242,$G1242),CSRFinput!$B:$E,4,0)))</f>
        <v>0.054776304963434752</v>
      </c>
      <c r="S1242" s="73">
        <f>IF(B1242="",0,P1242*R1242)</f>
        <v>49.211075020944952</v>
      </c>
      <c r="T1242" s="85">
        <f>IF(B1242="",0,IF(OR(H1242=MappingTables!$C$34,H1242=MappingTables!$C$35),S1242,0))</f>
        <v>0</v>
      </c>
    </row>
    <row r="1243" spans="2:20" s="0" customFormat="0" ht="15">
      <c r="B1243" s="69" t="s">
        <v>4838</v>
      </c>
      <c r="C1243" s="70" t="s">
        <v>4839</v>
      </c>
      <c r="D1243" s="70" t="s">
        <v>1</v>
      </c>
      <c r="E1243" s="70" t="s">
        <v>1</v>
      </c>
      <c r="F1243" s="70"/>
      <c r="G1243" s="70" t="s">
        <v>61</v>
      </c>
      <c r="H1243" s="70" t="s">
        <v>178</v>
      </c>
      <c r="I1243" s="70" t="s">
        <v>3298</v>
      </c>
      <c r="J1243" s="71">
        <f>IF(OR(I1243=0,I1243=""),"unrated",VLOOKUP(I1243,MappingTables!$B$19:$C$31,2,FALSE))</f>
        <v>6</v>
      </c>
      <c r="K1243" s="72">
        <v>59.223355992791664</v>
      </c>
      <c r="L1243" s="70">
        <v>0.068489616256897024</v>
      </c>
      <c r="M1243" s="71">
        <f>IF(L1243&lt;1,1,L1243)</f>
        <v>1</v>
      </c>
      <c r="N1243" s="70" t="s">
        <v>3288</v>
      </c>
      <c r="O1243" s="71">
        <f>IF(OR(I1243=$A$1,I1243=0),"",IF(N1243=MappingTables!$C$14,VLOOKUP(J1243,ModelParameters!$M$8:$N$15,2,FALSE),IF(N1243=MappingTables!$C$16,VLOOKUP(J1243,ModelParameters!$P$8:$Q$15,2,FALSE),0)))</f>
        <v>1</v>
      </c>
      <c r="P1243" s="73">
        <f>IF(OR(I1243=0,I1243=$A$1),0,MIN(O1243*M1243,1)*K1243)</f>
        <v>59.223355992791664</v>
      </c>
      <c r="Q1243" s="73">
        <f>IF(B1243="",0,IF(OR(H1243=MappingTables!$C$34,H1243=MappingTables!$C$35),P1243,0))</f>
        <v>0</v>
      </c>
      <c r="R1243" s="73">
        <f>IF(ISNA(IF(AND(VLOOKUP(CONCATENATE($D1243,$G1243),CSRFinput!$B:$E,4,0)=0,OR(H1243=MappingTables!$C$31,H1243=MappingTables!$C$32)),1,VLOOKUP(CONCATENATE($D1243,$G1243),CSRFinput!$B:$E,4,0))),0,IF(AND(VLOOKUP(CONCATENATE($D1243,$G1243),CSRFinput!$B:$E,4,0)=0,OR(H1243=MappingTables!$C$31,H1243=MappingTables!$C$32)),1,VLOOKUP(CONCATENATE($D1243,$G1243),CSRFinput!$B:$E,4,0)))</f>
        <v>0.054776304963434752</v>
      </c>
      <c r="S1243" s="73">
        <f>IF(B1243="",0,P1243*R1243)</f>
        <v>3.2440366088192172</v>
      </c>
      <c r="T1243" s="85">
        <f>IF(B1243="",0,IF(OR(H1243=MappingTables!$C$34,H1243=MappingTables!$C$35),S1243,0))</f>
        <v>0</v>
      </c>
    </row>
    <row r="1244" spans="2:20" s="0" customFormat="0" ht="15">
      <c r="B1244" s="69" t="s">
        <v>4342</v>
      </c>
      <c r="C1244" s="70" t="s">
        <v>4343</v>
      </c>
      <c r="D1244" s="70" t="s">
        <v>1</v>
      </c>
      <c r="E1244" s="70" t="s">
        <v>1</v>
      </c>
      <c r="F1244" s="70"/>
      <c r="G1244" s="70" t="s">
        <v>61</v>
      </c>
      <c r="H1244" s="70" t="s">
        <v>178</v>
      </c>
      <c r="I1244" s="70" t="s">
        <v>198</v>
      </c>
      <c r="J1244" s="71" t="str">
        <f>IF(OR(I1244=0,I1244=""),"unrated",VLOOKUP(I1244,MappingTables!$B$19:$C$31,2,FALSE))</f>
        <v>unrated</v>
      </c>
      <c r="K1244" s="72">
        <v>13049.505781726538</v>
      </c>
      <c r="L1244" s="70">
        <v>9.6687288072738464</v>
      </c>
      <c r="M1244" s="71">
        <f>IF(L1244&lt;1,1,L1244)</f>
        <v>9.6687288072738464</v>
      </c>
      <c r="N1244" s="70" t="s">
        <v>3288</v>
      </c>
      <c r="O1244" s="71">
        <f>IF(OR(I1244=$A$1,I1244=0),"",IF(N1244=MappingTables!$C$14,VLOOKUP(J1244,ModelParameters!$M$8:$N$15,2,FALSE),IF(N1244=MappingTables!$C$16,VLOOKUP(J1244,ModelParameters!$P$8:$Q$15,2,FALSE),0)))</f>
        <v>1</v>
      </c>
      <c r="P1244" s="73">
        <f>IF(OR(I1244=0,I1244=$A$1),0,MIN(O1244*M1244,1)*K1244)</f>
        <v>13049.505781726538</v>
      </c>
      <c r="Q1244" s="73">
        <f>IF(B1244="",0,IF(OR(H1244=MappingTables!$C$34,H1244=MappingTables!$C$35),P1244,0))</f>
        <v>0</v>
      </c>
      <c r="R1244" s="73">
        <f>IF(ISNA(IF(AND(VLOOKUP(CONCATENATE($D1244,$G1244),CSRFinput!$B:$E,4,0)=0,OR(H1244=MappingTables!$C$31,H1244=MappingTables!$C$32)),1,VLOOKUP(CONCATENATE($D1244,$G1244),CSRFinput!$B:$E,4,0))),0,IF(AND(VLOOKUP(CONCATENATE($D1244,$G1244),CSRFinput!$B:$E,4,0)=0,OR(H1244=MappingTables!$C$31,H1244=MappingTables!$C$32)),1,VLOOKUP(CONCATENATE($D1244,$G1244),CSRFinput!$B:$E,4,0)))</f>
        <v>0.054776304963434752</v>
      </c>
      <c r="S1244" s="73">
        <f>IF(B1244="",0,P1244*R1244)</f>
        <v>714.803708321958</v>
      </c>
      <c r="T1244" s="85">
        <f>IF(B1244="",0,IF(OR(H1244=MappingTables!$C$34,H1244=MappingTables!$C$35),S1244,0))</f>
        <v>0</v>
      </c>
    </row>
    <row r="1245" spans="2:20" s="0" customFormat="0" ht="15">
      <c r="B1245" s="69" t="s">
        <v>4009</v>
      </c>
      <c r="C1245" s="70" t="s">
        <v>4010</v>
      </c>
      <c r="D1245" s="70" t="s">
        <v>1</v>
      </c>
      <c r="E1245" s="70" t="s">
        <v>1</v>
      </c>
      <c r="F1245" s="70"/>
      <c r="G1245" s="70" t="s">
        <v>61</v>
      </c>
      <c r="H1245" s="70" t="s">
        <v>178</v>
      </c>
      <c r="I1245" s="70" t="s">
        <v>198</v>
      </c>
      <c r="J1245" s="71" t="str">
        <f>IF(OR(I1245=0,I1245=""),"unrated",VLOOKUP(I1245,MappingTables!$B$19:$C$31,2,FALSE))</f>
        <v>unrated</v>
      </c>
      <c r="K1245" s="72">
        <v>71.52373799845324</v>
      </c>
      <c r="L1245" s="70">
        <v>0.0684909743352248</v>
      </c>
      <c r="M1245" s="71">
        <f>IF(L1245&lt;1,1,L1245)</f>
        <v>1</v>
      </c>
      <c r="N1245" s="70" t="s">
        <v>3288</v>
      </c>
      <c r="O1245" s="71">
        <f>IF(OR(I1245=$A$1,I1245=0),"",IF(N1245=MappingTables!$C$14,VLOOKUP(J1245,ModelParameters!$M$8:$N$15,2,FALSE),IF(N1245=MappingTables!$C$16,VLOOKUP(J1245,ModelParameters!$P$8:$Q$15,2,FALSE),0)))</f>
        <v>1</v>
      </c>
      <c r="P1245" s="73">
        <f>IF(OR(I1245=0,I1245=$A$1),0,MIN(O1245*M1245,1)*K1245)</f>
        <v>71.52373799845324</v>
      </c>
      <c r="Q1245" s="73">
        <f>IF(B1245="",0,IF(OR(H1245=MappingTables!$C$34,H1245=MappingTables!$C$35),P1245,0))</f>
        <v>0</v>
      </c>
      <c r="R1245" s="73">
        <f>IF(ISNA(IF(AND(VLOOKUP(CONCATENATE($D1245,$G1245),CSRFinput!$B:$E,4,0)=0,OR(H1245=MappingTables!$C$31,H1245=MappingTables!$C$32)),1,VLOOKUP(CONCATENATE($D1245,$G1245),CSRFinput!$B:$E,4,0))),0,IF(AND(VLOOKUP(CONCATENATE($D1245,$G1245),CSRFinput!$B:$E,4,0)=0,OR(H1245=MappingTables!$C$31,H1245=MappingTables!$C$32)),1,VLOOKUP(CONCATENATE($D1245,$G1245),CSRFinput!$B:$E,4,0)))</f>
        <v>0.054776304963434752</v>
      </c>
      <c r="S1245" s="73">
        <f>IF(B1245="",0,P1245*R1245)</f>
        <v>3.9178060847280808</v>
      </c>
      <c r="T1245" s="85">
        <f>IF(B1245="",0,IF(OR(H1245=MappingTables!$C$34,H1245=MappingTables!$C$35),S1245,0))</f>
        <v>0</v>
      </c>
    </row>
    <row r="1246" spans="2:20" s="0" customFormat="0" ht="15">
      <c r="B1246" s="69" t="s">
        <v>4026</v>
      </c>
      <c r="C1246" s="70" t="s">
        <v>4027</v>
      </c>
      <c r="D1246" s="70" t="s">
        <v>1</v>
      </c>
      <c r="E1246" s="70" t="s">
        <v>1</v>
      </c>
      <c r="F1246" s="70"/>
      <c r="G1246" s="70" t="s">
        <v>61</v>
      </c>
      <c r="H1246" s="70" t="s">
        <v>178</v>
      </c>
      <c r="I1246" s="70" t="s">
        <v>181</v>
      </c>
      <c r="J1246" s="71">
        <f>IF(OR(I1246=0,I1246=""),"unrated",VLOOKUP(I1246,MappingTables!$B$19:$C$31,2,FALSE))</f>
        <v>3</v>
      </c>
      <c r="K1246" s="72">
        <v>235.49710164027488</v>
      </c>
      <c r="L1246" s="70">
        <v>0.068491254275602432</v>
      </c>
      <c r="M1246" s="71">
        <f>IF(L1246&lt;1,1,L1246)</f>
        <v>1</v>
      </c>
      <c r="N1246" s="70" t="s">
        <v>3288</v>
      </c>
      <c r="O1246" s="71">
        <f>IF(OR(I1246=$A$1,I1246=0),"",IF(N1246=MappingTables!$C$14,VLOOKUP(J1246,ModelParameters!$M$8:$N$15,2,FALSE),IF(N1246=MappingTables!$C$16,VLOOKUP(J1246,ModelParameters!$P$8:$Q$15,2,FALSE),0)))</f>
        <v>0.197</v>
      </c>
      <c r="P1246" s="73">
        <f>IF(OR(I1246=0,I1246=$A$1),0,MIN(O1246*M1246,1)*K1246)</f>
        <v>46.392929023134144</v>
      </c>
      <c r="Q1246" s="73">
        <f>IF(B1246="",0,IF(OR(H1246=MappingTables!$C$34,H1246=MappingTables!$C$35),P1246,0))</f>
        <v>0</v>
      </c>
      <c r="R1246" s="73">
        <f>IF(ISNA(IF(AND(VLOOKUP(CONCATENATE($D1246,$G1246),CSRFinput!$B:$E,4,0)=0,OR(H1246=MappingTables!$C$31,H1246=MappingTables!$C$32)),1,VLOOKUP(CONCATENATE($D1246,$G1246),CSRFinput!$B:$E,4,0))),0,IF(AND(VLOOKUP(CONCATENATE($D1246,$G1246),CSRFinput!$B:$E,4,0)=0,OR(H1246=MappingTables!$C$31,H1246=MappingTables!$C$32)),1,VLOOKUP(CONCATENATE($D1246,$G1246),CSRFinput!$B:$E,4,0)))</f>
        <v>0.054776304963434752</v>
      </c>
      <c r="S1246" s="73">
        <f>IF(B1246="",0,P1246*R1246)</f>
        <v>2.5412332283181792</v>
      </c>
      <c r="T1246" s="85">
        <f>IF(B1246="",0,IF(OR(H1246=MappingTables!$C$34,H1246=MappingTables!$C$35),S1246,0))</f>
        <v>0</v>
      </c>
    </row>
    <row r="1247" spans="2:20" s="0" customFormat="0" ht="15">
      <c r="B1247" s="69" t="s">
        <v>4032</v>
      </c>
      <c r="C1247" s="70" t="s">
        <v>4033</v>
      </c>
      <c r="D1247" s="70" t="s">
        <v>1</v>
      </c>
      <c r="E1247" s="70" t="s">
        <v>1</v>
      </c>
      <c r="F1247" s="70"/>
      <c r="G1247" s="70" t="s">
        <v>61</v>
      </c>
      <c r="H1247" s="70" t="s">
        <v>178</v>
      </c>
      <c r="I1247" s="70" t="s">
        <v>184</v>
      </c>
      <c r="J1247" s="71">
        <f>IF(OR(I1247=0,I1247=""),"unrated",VLOOKUP(I1247,MappingTables!$B$19:$C$31,2,FALSE))</f>
        <v>5</v>
      </c>
      <c r="K1247" s="72">
        <v>157.0477933464274</v>
      </c>
      <c r="L1247" s="70">
        <v>0.068490740632144968</v>
      </c>
      <c r="M1247" s="71">
        <f>IF(L1247&lt;1,1,L1247)</f>
        <v>1</v>
      </c>
      <c r="N1247" s="70" t="s">
        <v>3288</v>
      </c>
      <c r="O1247" s="71">
        <f>IF(OR(I1247=$A$1,I1247=0),"",IF(N1247=MappingTables!$C$14,VLOOKUP(J1247,ModelParameters!$M$8:$N$15,2,FALSE),IF(N1247=MappingTables!$C$16,VLOOKUP(J1247,ModelParameters!$P$8:$Q$15,2,FALSE),0)))</f>
        <v>1</v>
      </c>
      <c r="P1247" s="73">
        <f>IF(OR(I1247=0,I1247=$A$1),0,MIN(O1247*M1247,1)*K1247)</f>
        <v>157.0477933464274</v>
      </c>
      <c r="Q1247" s="73">
        <f>IF(B1247="",0,IF(OR(H1247=MappingTables!$C$34,H1247=MappingTables!$C$35),P1247,0))</f>
        <v>0</v>
      </c>
      <c r="R1247" s="73">
        <f>IF(ISNA(IF(AND(VLOOKUP(CONCATENATE($D1247,$G1247),CSRFinput!$B:$E,4,0)=0,OR(H1247=MappingTables!$C$31,H1247=MappingTables!$C$32)),1,VLOOKUP(CONCATENATE($D1247,$G1247),CSRFinput!$B:$E,4,0))),0,IF(AND(VLOOKUP(CONCATENATE($D1247,$G1247),CSRFinput!$B:$E,4,0)=0,OR(H1247=MappingTables!$C$31,H1247=MappingTables!$C$32)),1,VLOOKUP(CONCATENATE($D1247,$G1247),CSRFinput!$B:$E,4,0)))</f>
        <v>0.054776304963434752</v>
      </c>
      <c r="S1247" s="73">
        <f>IF(B1247="",0,P1247*R1247)</f>
        <v>8.6024978221783872</v>
      </c>
      <c r="T1247" s="85">
        <f>IF(B1247="",0,IF(OR(H1247=MappingTables!$C$34,H1247=MappingTables!$C$35),S1247,0))</f>
        <v>0</v>
      </c>
    </row>
    <row r="1248" spans="2:20" s="0" customFormat="0" ht="15">
      <c r="B1248" s="69">
        <v>18423528</v>
      </c>
      <c r="C1248" s="70" t="s">
        <v>4840</v>
      </c>
      <c r="D1248" s="70" t="s">
        <v>1</v>
      </c>
      <c r="E1248" s="70" t="s">
        <v>1</v>
      </c>
      <c r="F1248" s="70"/>
      <c r="G1248" s="70" t="s">
        <v>61</v>
      </c>
      <c r="H1248" s="70" t="s">
        <v>178</v>
      </c>
      <c r="I1248" s="70" t="s">
        <v>216</v>
      </c>
      <c r="J1248" s="71">
        <f>IF(OR(I1248=0,I1248=""),"unrated",VLOOKUP(I1248,MappingTables!$B$19:$C$31,2,FALSE))</f>
        <v>0</v>
      </c>
      <c r="K1248" s="72">
        <v>540.00316437143576</v>
      </c>
      <c r="L1248" s="70">
        <v>0.08952758717835152</v>
      </c>
      <c r="M1248" s="71">
        <f>IF(L1248&lt;1,1,L1248)</f>
        <v>1</v>
      </c>
      <c r="N1248" s="70" t="s">
        <v>3288</v>
      </c>
      <c r="O1248" s="71">
        <f>IF(OR(I1248=$A$1,I1248=0),"",IF(N1248=MappingTables!$C$14,VLOOKUP(J1248,ModelParameters!$M$8:$N$15,2,FALSE),IF(N1248=MappingTables!$C$16,VLOOKUP(J1248,ModelParameters!$P$8:$Q$15,2,FALSE),0)))</f>
        <v>0.125</v>
      </c>
      <c r="P1248" s="73">
        <f>IF(OR(I1248=0,I1248=$A$1),0,MIN(O1248*M1248,1)*K1248)</f>
        <v>67.500395546429472</v>
      </c>
      <c r="Q1248" s="73">
        <f>IF(B1248="",0,IF(OR(H1248=MappingTables!$C$34,H1248=MappingTables!$C$35),P1248,0))</f>
        <v>0</v>
      </c>
      <c r="R1248" s="73">
        <f>IF(ISNA(IF(AND(VLOOKUP(CONCATENATE($D1248,$G1248),CSRFinput!$B:$E,4,0)=0,OR(H1248=MappingTables!$C$31,H1248=MappingTables!$C$32)),1,VLOOKUP(CONCATENATE($D1248,$G1248),CSRFinput!$B:$E,4,0))),0,IF(AND(VLOOKUP(CONCATENATE($D1248,$G1248),CSRFinput!$B:$E,4,0)=0,OR(H1248=MappingTables!$C$31,H1248=MappingTables!$C$32)),1,VLOOKUP(CONCATENATE($D1248,$G1248),CSRFinput!$B:$E,4,0)))</f>
        <v>0.054776304963434752</v>
      </c>
      <c r="S1248" s="73">
        <f>IF(B1248="",0,P1248*R1248)</f>
        <v>3.6974222516036936</v>
      </c>
      <c r="T1248" s="85">
        <f>IF(B1248="",0,IF(OR(H1248=MappingTables!$C$34,H1248=MappingTables!$C$35),S1248,0))</f>
        <v>0</v>
      </c>
    </row>
    <row r="1249" spans="2:20" s="0" customFormat="0" ht="15">
      <c r="B1249" s="69" t="s">
        <v>4227</v>
      </c>
      <c r="C1249" s="70" t="s">
        <v>4228</v>
      </c>
      <c r="D1249" s="70" t="s">
        <v>1</v>
      </c>
      <c r="E1249" s="70" t="s">
        <v>1</v>
      </c>
      <c r="F1249" s="70"/>
      <c r="G1249" s="70" t="s">
        <v>61</v>
      </c>
      <c r="H1249" s="70" t="s">
        <v>178</v>
      </c>
      <c r="I1249" s="70" t="s">
        <v>3298</v>
      </c>
      <c r="J1249" s="71">
        <f>IF(OR(I1249=0,I1249=""),"unrated",VLOOKUP(I1249,MappingTables!$B$19:$C$31,2,FALSE))</f>
        <v>6</v>
      </c>
      <c r="K1249" s="72">
        <v>719.03238650977832</v>
      </c>
      <c r="L1249" s="70">
        <v>0.020326462380229544</v>
      </c>
      <c r="M1249" s="71">
        <f>IF(L1249&lt;1,1,L1249)</f>
        <v>1</v>
      </c>
      <c r="N1249" s="70" t="s">
        <v>3288</v>
      </c>
      <c r="O1249" s="71">
        <f>IF(OR(I1249=$A$1,I1249=0),"",IF(N1249=MappingTables!$C$14,VLOOKUP(J1249,ModelParameters!$M$8:$N$15,2,FALSE),IF(N1249=MappingTables!$C$16,VLOOKUP(J1249,ModelParameters!$P$8:$Q$15,2,FALSE),0)))</f>
        <v>1</v>
      </c>
      <c r="P1249" s="73">
        <f>IF(OR(I1249=0,I1249=$A$1),0,MIN(O1249*M1249,1)*K1249)</f>
        <v>719.03238650977832</v>
      </c>
      <c r="Q1249" s="73">
        <f>IF(B1249="",0,IF(OR(H1249=MappingTables!$C$34,H1249=MappingTables!$C$35),P1249,0))</f>
        <v>0</v>
      </c>
      <c r="R1249" s="73">
        <f>IF(ISNA(IF(AND(VLOOKUP(CONCATENATE($D1249,$G1249),CSRFinput!$B:$E,4,0)=0,OR(H1249=MappingTables!$C$31,H1249=MappingTables!$C$32)),1,VLOOKUP(CONCATENATE($D1249,$G1249),CSRFinput!$B:$E,4,0))),0,IF(AND(VLOOKUP(CONCATENATE($D1249,$G1249),CSRFinput!$B:$E,4,0)=0,OR(H1249=MappingTables!$C$31,H1249=MappingTables!$C$32)),1,VLOOKUP(CONCATENATE($D1249,$G1249),CSRFinput!$B:$E,4,0)))</f>
        <v>0.054776304963434752</v>
      </c>
      <c r="S1249" s="73">
        <f>IF(B1249="",0,P1249*R1249)</f>
        <v>39.385937282045912</v>
      </c>
      <c r="T1249" s="85">
        <f>IF(B1249="",0,IF(OR(H1249=MappingTables!$C$34,H1249=MappingTables!$C$35),S1249,0))</f>
        <v>0</v>
      </c>
    </row>
    <row r="1250" spans="2:20" s="0" customFormat="0" ht="15">
      <c r="B1250" s="69" t="s">
        <v>4344</v>
      </c>
      <c r="C1250" s="70" t="s">
        <v>4345</v>
      </c>
      <c r="D1250" s="70" t="s">
        <v>1</v>
      </c>
      <c r="E1250" s="70" t="s">
        <v>1</v>
      </c>
      <c r="F1250" s="70"/>
      <c r="G1250" s="70" t="s">
        <v>61</v>
      </c>
      <c r="H1250" s="70" t="s">
        <v>178</v>
      </c>
      <c r="I1250" s="70" t="s">
        <v>188</v>
      </c>
      <c r="J1250" s="71">
        <f>IF(OR(I1250=0,I1250=""),"unrated",VLOOKUP(I1250,MappingTables!$B$19:$C$31,2,FALSE))</f>
        <v>2</v>
      </c>
      <c r="K1250" s="72">
        <v>178.17469203016796</v>
      </c>
      <c r="L1250" s="70">
        <v>0.068493332672031392</v>
      </c>
      <c r="M1250" s="71">
        <f>IF(L1250&lt;1,1,L1250)</f>
        <v>1</v>
      </c>
      <c r="N1250" s="70" t="s">
        <v>3288</v>
      </c>
      <c r="O1250" s="71">
        <f>IF(OR(I1250=$A$1,I1250=0),"",IF(N1250=MappingTables!$C$14,VLOOKUP(J1250,ModelParameters!$M$8:$N$15,2,FALSE),IF(N1250=MappingTables!$C$16,VLOOKUP(J1250,ModelParameters!$P$8:$Q$15,2,FALSE),0)))</f>
        <v>0.166</v>
      </c>
      <c r="P1250" s="73">
        <f>IF(OR(I1250=0,I1250=$A$1),0,MIN(O1250*M1250,1)*K1250)</f>
        <v>29.576998877007884</v>
      </c>
      <c r="Q1250" s="73">
        <f>IF(B1250="",0,IF(OR(H1250=MappingTables!$C$34,H1250=MappingTables!$C$35),P1250,0))</f>
        <v>0</v>
      </c>
      <c r="R1250" s="73">
        <f>IF(ISNA(IF(AND(VLOOKUP(CONCATENATE($D1250,$G1250),CSRFinput!$B:$E,4,0)=0,OR(H1250=MappingTables!$C$31,H1250=MappingTables!$C$32)),1,VLOOKUP(CONCATENATE($D1250,$G1250),CSRFinput!$B:$E,4,0))),0,IF(AND(VLOOKUP(CONCATENATE($D1250,$G1250),CSRFinput!$B:$E,4,0)=0,OR(H1250=MappingTables!$C$31,H1250=MappingTables!$C$32)),1,VLOOKUP(CONCATENATE($D1250,$G1250),CSRFinput!$B:$E,4,0)))</f>
        <v>0.054776304963434752</v>
      </c>
      <c r="S1250" s="73">
        <f>IF(B1250="",0,P1250*R1250)</f>
        <v>1.620118710390151</v>
      </c>
      <c r="T1250" s="85">
        <f>IF(B1250="",0,IF(OR(H1250=MappingTables!$C$34,H1250=MappingTables!$C$35),S1250,0))</f>
        <v>0</v>
      </c>
    </row>
    <row r="1251" spans="2:20" s="0" customFormat="0" ht="15">
      <c r="B1251" s="69" t="s">
        <v>4574</v>
      </c>
      <c r="C1251" s="70" t="s">
        <v>4575</v>
      </c>
      <c r="D1251" s="70" t="s">
        <v>1</v>
      </c>
      <c r="E1251" s="70" t="s">
        <v>1</v>
      </c>
      <c r="F1251" s="70"/>
      <c r="G1251" s="70" t="s">
        <v>61</v>
      </c>
      <c r="H1251" s="70" t="s">
        <v>178</v>
      </c>
      <c r="I1251" s="70" t="s">
        <v>204</v>
      </c>
      <c r="J1251" s="71">
        <f>IF(OR(I1251=0,I1251=""),"unrated",VLOOKUP(I1251,MappingTables!$B$19:$C$31,2,FALSE))</f>
        <v>6</v>
      </c>
      <c r="K1251" s="72">
        <v>202.9954092077682</v>
      </c>
      <c r="L1251" s="70">
        <v>0.052051927009735176</v>
      </c>
      <c r="M1251" s="71">
        <f>IF(L1251&lt;1,1,L1251)</f>
        <v>1</v>
      </c>
      <c r="N1251" s="70" t="s">
        <v>3288</v>
      </c>
      <c r="O1251" s="71">
        <f>IF(OR(I1251=$A$1,I1251=0),"",IF(N1251=MappingTables!$C$14,VLOOKUP(J1251,ModelParameters!$M$8:$N$15,2,FALSE),IF(N1251=MappingTables!$C$16,VLOOKUP(J1251,ModelParameters!$P$8:$Q$15,2,FALSE),0)))</f>
        <v>1</v>
      </c>
      <c r="P1251" s="73">
        <f>IF(OR(I1251=0,I1251=$A$1),0,MIN(O1251*M1251,1)*K1251)</f>
        <v>202.9954092077682</v>
      </c>
      <c r="Q1251" s="73">
        <f>IF(B1251="",0,IF(OR(H1251=MappingTables!$C$34,H1251=MappingTables!$C$35),P1251,0))</f>
        <v>0</v>
      </c>
      <c r="R1251" s="73">
        <f>IF(ISNA(IF(AND(VLOOKUP(CONCATENATE($D1251,$G1251),CSRFinput!$B:$E,4,0)=0,OR(H1251=MappingTables!$C$31,H1251=MappingTables!$C$32)),1,VLOOKUP(CONCATENATE($D1251,$G1251),CSRFinput!$B:$E,4,0))),0,IF(AND(VLOOKUP(CONCATENATE($D1251,$G1251),CSRFinput!$B:$E,4,0)=0,OR(H1251=MappingTables!$C$31,H1251=MappingTables!$C$32)),1,VLOOKUP(CONCATENATE($D1251,$G1251),CSRFinput!$B:$E,4,0)))</f>
        <v>0.054776304963434752</v>
      </c>
      <c r="S1251" s="73">
        <f>IF(B1251="",0,P1251*R1251)</f>
        <v>11.119338440941942</v>
      </c>
      <c r="T1251" s="85">
        <f>IF(B1251="",0,IF(OR(H1251=MappingTables!$C$34,H1251=MappingTables!$C$35),S1251,0))</f>
        <v>0</v>
      </c>
    </row>
    <row r="1252" spans="2:20" s="0" customFormat="0" ht="15">
      <c r="B1252" s="69" t="s">
        <v>3370</v>
      </c>
      <c r="C1252" s="70" t="s">
        <v>3371</v>
      </c>
      <c r="D1252" s="70" t="s">
        <v>1</v>
      </c>
      <c r="E1252" s="70" t="s">
        <v>1</v>
      </c>
      <c r="F1252" s="70"/>
      <c r="G1252" s="70" t="s">
        <v>61</v>
      </c>
      <c r="H1252" s="70" t="s">
        <v>178</v>
      </c>
      <c r="I1252" s="70" t="s">
        <v>198</v>
      </c>
      <c r="J1252" s="71" t="str">
        <f>IF(OR(I1252=0,I1252=""),"unrated",VLOOKUP(I1252,MappingTables!$B$19:$C$31,2,FALSE))</f>
        <v>unrated</v>
      </c>
      <c r="K1252" s="72">
        <v>0.30573807561289064</v>
      </c>
      <c r="L1252" s="70">
        <v>29.054253338183396</v>
      </c>
      <c r="M1252" s="71">
        <f>IF(L1252&lt;1,1,L1252)</f>
        <v>29.054253338183396</v>
      </c>
      <c r="N1252" s="70" t="s">
        <v>3288</v>
      </c>
      <c r="O1252" s="71">
        <f>IF(OR(I1252=$A$1,I1252=0),"",IF(N1252=MappingTables!$C$14,VLOOKUP(J1252,ModelParameters!$M$8:$N$15,2,FALSE),IF(N1252=MappingTables!$C$16,VLOOKUP(J1252,ModelParameters!$P$8:$Q$15,2,FALSE),0)))</f>
        <v>1</v>
      </c>
      <c r="P1252" s="73">
        <f>IF(OR(I1252=0,I1252=$A$1),0,MIN(O1252*M1252,1)*K1252)</f>
        <v>0.30573807561289064</v>
      </c>
      <c r="Q1252" s="73">
        <f>IF(B1252="",0,IF(OR(H1252=MappingTables!$C$34,H1252=MappingTables!$C$35),P1252,0))</f>
        <v>0</v>
      </c>
      <c r="R1252" s="73">
        <f>IF(ISNA(IF(AND(VLOOKUP(CONCATENATE($D1252,$G1252),CSRFinput!$B:$E,4,0)=0,OR(H1252=MappingTables!$C$31,H1252=MappingTables!$C$32)),1,VLOOKUP(CONCATENATE($D1252,$G1252),CSRFinput!$B:$E,4,0))),0,IF(AND(VLOOKUP(CONCATENATE($D1252,$G1252),CSRFinput!$B:$E,4,0)=0,OR(H1252=MappingTables!$C$31,H1252=MappingTables!$C$32)),1,VLOOKUP(CONCATENATE($D1252,$G1252),CSRFinput!$B:$E,4,0)))</f>
        <v>0.054776304963434752</v>
      </c>
      <c r="S1252" s="73">
        <f>IF(B1252="",0,P1252*R1252)</f>
        <v>0.01674720206870537</v>
      </c>
      <c r="T1252" s="85">
        <f>IF(B1252="",0,IF(OR(H1252=MappingTables!$C$34,H1252=MappingTables!$C$35),S1252,0))</f>
        <v>0</v>
      </c>
    </row>
    <row r="1253" spans="2:20" s="0" customFormat="0" ht="15">
      <c r="B1253" s="69" t="s">
        <v>4841</v>
      </c>
      <c r="C1253" s="70" t="s">
        <v>4842</v>
      </c>
      <c r="D1253" s="70" t="s">
        <v>1</v>
      </c>
      <c r="E1253" s="70" t="s">
        <v>1</v>
      </c>
      <c r="F1253" s="70"/>
      <c r="G1253" s="70" t="s">
        <v>61</v>
      </c>
      <c r="H1253" s="70" t="s">
        <v>178</v>
      </c>
      <c r="I1253" s="70" t="s">
        <v>3298</v>
      </c>
      <c r="J1253" s="71">
        <f>IF(OR(I1253=0,I1253=""),"unrated",VLOOKUP(I1253,MappingTables!$B$19:$C$31,2,FALSE))</f>
        <v>6</v>
      </c>
      <c r="K1253" s="72">
        <v>2439.0349019020996</v>
      </c>
      <c r="L1253" s="70">
        <v>0.068492706430436912</v>
      </c>
      <c r="M1253" s="71">
        <f>IF(L1253&lt;1,1,L1253)</f>
        <v>1</v>
      </c>
      <c r="N1253" s="70" t="s">
        <v>3288</v>
      </c>
      <c r="O1253" s="71">
        <f>IF(OR(I1253=$A$1,I1253=0),"",IF(N1253=MappingTables!$C$14,VLOOKUP(J1253,ModelParameters!$M$8:$N$15,2,FALSE),IF(N1253=MappingTables!$C$16,VLOOKUP(J1253,ModelParameters!$P$8:$Q$15,2,FALSE),0)))</f>
        <v>1</v>
      </c>
      <c r="P1253" s="73">
        <f>IF(OR(I1253=0,I1253=$A$1),0,MIN(O1253*M1253,1)*K1253)</f>
        <v>2439.0349019020996</v>
      </c>
      <c r="Q1253" s="73">
        <f>IF(B1253="",0,IF(OR(H1253=MappingTables!$C$34,H1253=MappingTables!$C$35),P1253,0))</f>
        <v>0</v>
      </c>
      <c r="R1253" s="73">
        <f>IF(ISNA(IF(AND(VLOOKUP(CONCATENATE($D1253,$G1253),CSRFinput!$B:$E,4,0)=0,OR(H1253=MappingTables!$C$31,H1253=MappingTables!$C$32)),1,VLOOKUP(CONCATENATE($D1253,$G1253),CSRFinput!$B:$E,4,0))),0,IF(AND(VLOOKUP(CONCATENATE($D1253,$G1253),CSRFinput!$B:$E,4,0)=0,OR(H1253=MappingTables!$C$31,H1253=MappingTables!$C$32)),1,VLOOKUP(CONCATENATE($D1253,$G1253),CSRFinput!$B:$E,4,0)))</f>
        <v>0.054776304963434752</v>
      </c>
      <c r="S1253" s="73">
        <f>IF(B1253="",0,P1253*R1253)</f>
        <v>133.60131960305056</v>
      </c>
      <c r="T1253" s="85">
        <f>IF(B1253="",0,IF(OR(H1253=MappingTables!$C$34,H1253=MappingTables!$C$35),S1253,0))</f>
        <v>0</v>
      </c>
    </row>
    <row r="1254" spans="2:20" s="0" customFormat="0" ht="15">
      <c r="B1254" s="69" t="s">
        <v>4242</v>
      </c>
      <c r="C1254" s="70" t="s">
        <v>4243</v>
      </c>
      <c r="D1254" s="70" t="s">
        <v>1</v>
      </c>
      <c r="E1254" s="70" t="s">
        <v>1</v>
      </c>
      <c r="F1254" s="70"/>
      <c r="G1254" s="70" t="s">
        <v>61</v>
      </c>
      <c r="H1254" s="70" t="s">
        <v>178</v>
      </c>
      <c r="I1254" s="70" t="s">
        <v>3298</v>
      </c>
      <c r="J1254" s="71">
        <f>IF(OR(I1254=0,I1254=""),"unrated",VLOOKUP(I1254,MappingTables!$B$19:$C$31,2,FALSE))</f>
        <v>6</v>
      </c>
      <c r="K1254" s="72">
        <v>612.14113443339224</v>
      </c>
      <c r="L1254" s="70">
        <v>0.068493007737716216</v>
      </c>
      <c r="M1254" s="71">
        <f>IF(L1254&lt;1,1,L1254)</f>
        <v>1</v>
      </c>
      <c r="N1254" s="70" t="s">
        <v>3288</v>
      </c>
      <c r="O1254" s="71">
        <f>IF(OR(I1254=$A$1,I1254=0),"",IF(N1254=MappingTables!$C$14,VLOOKUP(J1254,ModelParameters!$M$8:$N$15,2,FALSE),IF(N1254=MappingTables!$C$16,VLOOKUP(J1254,ModelParameters!$P$8:$Q$15,2,FALSE),0)))</f>
        <v>1</v>
      </c>
      <c r="P1254" s="73">
        <f>IF(OR(I1254=0,I1254=$A$1),0,MIN(O1254*M1254,1)*K1254)</f>
        <v>612.14113443339224</v>
      </c>
      <c r="Q1254" s="73">
        <f>IF(B1254="",0,IF(OR(H1254=MappingTables!$C$34,H1254=MappingTables!$C$35),P1254,0))</f>
        <v>0</v>
      </c>
      <c r="R1254" s="73">
        <f>IF(ISNA(IF(AND(VLOOKUP(CONCATENATE($D1254,$G1254),CSRFinput!$B:$E,4,0)=0,OR(H1254=MappingTables!$C$31,H1254=MappingTables!$C$32)),1,VLOOKUP(CONCATENATE($D1254,$G1254),CSRFinput!$B:$E,4,0))),0,IF(AND(VLOOKUP(CONCATENATE($D1254,$G1254),CSRFinput!$B:$E,4,0)=0,OR(H1254=MappingTables!$C$31,H1254=MappingTables!$C$32)),1,VLOOKUP(CONCATENATE($D1254,$G1254),CSRFinput!$B:$E,4,0)))</f>
        <v>0.054776304963434752</v>
      </c>
      <c r="S1254" s="73">
        <f>IF(B1254="",0,P1254*R1254)</f>
        <v>33.530829460386408</v>
      </c>
      <c r="T1254" s="85">
        <f>IF(B1254="",0,IF(OR(H1254=MappingTables!$C$34,H1254=MappingTables!$C$35),S1254,0))</f>
        <v>0</v>
      </c>
    </row>
    <row r="1255" spans="2:20" s="0" customFormat="0" ht="15">
      <c r="B1255" s="69" t="s">
        <v>4843</v>
      </c>
      <c r="C1255" s="70" t="s">
        <v>4844</v>
      </c>
      <c r="D1255" s="70" t="s">
        <v>1</v>
      </c>
      <c r="E1255" s="70" t="s">
        <v>1</v>
      </c>
      <c r="F1255" s="70"/>
      <c r="G1255" s="70" t="s">
        <v>61</v>
      </c>
      <c r="H1255" s="70" t="s">
        <v>178</v>
      </c>
      <c r="I1255" s="70" t="s">
        <v>198</v>
      </c>
      <c r="J1255" s="71" t="str">
        <f>IF(OR(I1255=0,I1255=""),"unrated",VLOOKUP(I1255,MappingTables!$B$19:$C$31,2,FALSE))</f>
        <v>unrated</v>
      </c>
      <c r="K1255" s="72">
        <v>1461.7959023227874</v>
      </c>
      <c r="L1255" s="70">
        <v>8.5138064630589216</v>
      </c>
      <c r="M1255" s="71">
        <f>IF(L1255&lt;1,1,L1255)</f>
        <v>8.5138064630589216</v>
      </c>
      <c r="N1255" s="70" t="s">
        <v>3288</v>
      </c>
      <c r="O1255" s="71">
        <f>IF(OR(I1255=$A$1,I1255=0),"",IF(N1255=MappingTables!$C$14,VLOOKUP(J1255,ModelParameters!$M$8:$N$15,2,FALSE),IF(N1255=MappingTables!$C$16,VLOOKUP(J1255,ModelParameters!$P$8:$Q$15,2,FALSE),0)))</f>
        <v>1</v>
      </c>
      <c r="P1255" s="73">
        <f>IF(OR(I1255=0,I1255=$A$1),0,MIN(O1255*M1255,1)*K1255)</f>
        <v>1461.7959023227874</v>
      </c>
      <c r="Q1255" s="73">
        <f>IF(B1255="",0,IF(OR(H1255=MappingTables!$C$34,H1255=MappingTables!$C$35),P1255,0))</f>
        <v>0</v>
      </c>
      <c r="R1255" s="73">
        <f>IF(ISNA(IF(AND(VLOOKUP(CONCATENATE($D1255,$G1255),CSRFinput!$B:$E,4,0)=0,OR(H1255=MappingTables!$C$31,H1255=MappingTables!$C$32)),1,VLOOKUP(CONCATENATE($D1255,$G1255),CSRFinput!$B:$E,4,0))),0,IF(AND(VLOOKUP(CONCATENATE($D1255,$G1255),CSRFinput!$B:$E,4,0)=0,OR(H1255=MappingTables!$C$31,H1255=MappingTables!$C$32)),1,VLOOKUP(CONCATENATE($D1255,$G1255),CSRFinput!$B:$E,4,0)))</f>
        <v>0.054776304963434752</v>
      </c>
      <c r="S1255" s="73">
        <f>IF(B1255="",0,P1255*R1255)</f>
        <v>80.071778139932288</v>
      </c>
      <c r="T1255" s="85">
        <f>IF(B1255="",0,IF(OR(H1255=MappingTables!$C$34,H1255=MappingTables!$C$35),S1255,0))</f>
        <v>0</v>
      </c>
    </row>
    <row r="1256" spans="2:20" s="0" customFormat="0" ht="15">
      <c r="B1256" s="69" t="s">
        <v>4845</v>
      </c>
      <c r="C1256" s="70" t="s">
        <v>4846</v>
      </c>
      <c r="D1256" s="70" t="s">
        <v>1</v>
      </c>
      <c r="E1256" s="70" t="s">
        <v>1</v>
      </c>
      <c r="F1256" s="70"/>
      <c r="G1256" s="70" t="s">
        <v>61</v>
      </c>
      <c r="H1256" s="70" t="s">
        <v>178</v>
      </c>
      <c r="I1256" s="70" t="s">
        <v>198</v>
      </c>
      <c r="J1256" s="71" t="str">
        <f>IF(OR(I1256=0,I1256=""),"unrated",VLOOKUP(I1256,MappingTables!$B$19:$C$31,2,FALSE))</f>
        <v>unrated</v>
      </c>
      <c r="K1256" s="72">
        <v>211.24011783488692</v>
      </c>
      <c r="L1256" s="70">
        <v>17.485467943572076</v>
      </c>
      <c r="M1256" s="71">
        <f>IF(L1256&lt;1,1,L1256)</f>
        <v>17.485467943572076</v>
      </c>
      <c r="N1256" s="70" t="s">
        <v>3288</v>
      </c>
      <c r="O1256" s="71">
        <f>IF(OR(I1256=$A$1,I1256=0),"",IF(N1256=MappingTables!$C$14,VLOOKUP(J1256,ModelParameters!$M$8:$N$15,2,FALSE),IF(N1256=MappingTables!$C$16,VLOOKUP(J1256,ModelParameters!$P$8:$Q$15,2,FALSE),0)))</f>
        <v>1</v>
      </c>
      <c r="P1256" s="73">
        <f>IF(OR(I1256=0,I1256=$A$1),0,MIN(O1256*M1256,1)*K1256)</f>
        <v>211.24011783488692</v>
      </c>
      <c r="Q1256" s="73">
        <f>IF(B1256="",0,IF(OR(H1256=MappingTables!$C$34,H1256=MappingTables!$C$35),P1256,0))</f>
        <v>0</v>
      </c>
      <c r="R1256" s="73">
        <f>IF(ISNA(IF(AND(VLOOKUP(CONCATENATE($D1256,$G1256),CSRFinput!$B:$E,4,0)=0,OR(H1256=MappingTables!$C$31,H1256=MappingTables!$C$32)),1,VLOOKUP(CONCATENATE($D1256,$G1256),CSRFinput!$B:$E,4,0))),0,IF(AND(VLOOKUP(CONCATENATE($D1256,$G1256),CSRFinput!$B:$E,4,0)=0,OR(H1256=MappingTables!$C$31,H1256=MappingTables!$C$32)),1,VLOOKUP(CONCATENATE($D1256,$G1256),CSRFinput!$B:$E,4,0)))</f>
        <v>0.054776304963434752</v>
      </c>
      <c r="S1256" s="73">
        <f>IF(B1256="",0,P1256*R1256)</f>
        <v>11.570953115035658</v>
      </c>
      <c r="T1256" s="85">
        <f>IF(B1256="",0,IF(OR(H1256=MappingTables!$C$34,H1256=MappingTables!$C$35),S1256,0))</f>
        <v>0</v>
      </c>
    </row>
    <row r="1257" spans="2:20" s="0" customFormat="0" ht="15">
      <c r="B1257" s="69">
        <v>22623706</v>
      </c>
      <c r="C1257" s="70" t="s">
        <v>4847</v>
      </c>
      <c r="D1257" s="70" t="s">
        <v>1</v>
      </c>
      <c r="E1257" s="70" t="s">
        <v>1</v>
      </c>
      <c r="F1257" s="70"/>
      <c r="G1257" s="70" t="s">
        <v>61</v>
      </c>
      <c r="H1257" s="70" t="s">
        <v>178</v>
      </c>
      <c r="I1257" s="70" t="s">
        <v>204</v>
      </c>
      <c r="J1257" s="71">
        <f>IF(OR(I1257=0,I1257=""),"unrated",VLOOKUP(I1257,MappingTables!$B$19:$C$31,2,FALSE))</f>
        <v>6</v>
      </c>
      <c r="K1257" s="72">
        <v>93.942836900616416</v>
      </c>
      <c r="L1257" s="70">
        <v>0.068488596087934104</v>
      </c>
      <c r="M1257" s="71">
        <f>IF(L1257&lt;1,1,L1257)</f>
        <v>1</v>
      </c>
      <c r="N1257" s="70" t="s">
        <v>3288</v>
      </c>
      <c r="O1257" s="71">
        <f>IF(OR(I1257=$A$1,I1257=0),"",IF(N1257=MappingTables!$C$14,VLOOKUP(J1257,ModelParameters!$M$8:$N$15,2,FALSE),IF(N1257=MappingTables!$C$16,VLOOKUP(J1257,ModelParameters!$P$8:$Q$15,2,FALSE),0)))</f>
        <v>1</v>
      </c>
      <c r="P1257" s="73">
        <f>IF(OR(I1257=0,I1257=$A$1),0,MIN(O1257*M1257,1)*K1257)</f>
        <v>93.942836900616416</v>
      </c>
      <c r="Q1257" s="73">
        <f>IF(B1257="",0,IF(OR(H1257=MappingTables!$C$34,H1257=MappingTables!$C$35),P1257,0))</f>
        <v>0</v>
      </c>
      <c r="R1257" s="73">
        <f>IF(ISNA(IF(AND(VLOOKUP(CONCATENATE($D1257,$G1257),CSRFinput!$B:$E,4,0)=0,OR(H1257=MappingTables!$C$31,H1257=MappingTables!$C$32)),1,VLOOKUP(CONCATENATE($D1257,$G1257),CSRFinput!$B:$E,4,0))),0,IF(AND(VLOOKUP(CONCATENATE($D1257,$G1257),CSRFinput!$B:$E,4,0)=0,OR(H1257=MappingTables!$C$31,H1257=MappingTables!$C$32)),1,VLOOKUP(CONCATENATE($D1257,$G1257),CSRFinput!$B:$E,4,0)))</f>
        <v>0.054776304963434752</v>
      </c>
      <c r="S1257" s="73">
        <f>IF(B1257="",0,P1257*R1257)</f>
        <v>5.145841483198376</v>
      </c>
      <c r="T1257" s="85">
        <f>IF(B1257="",0,IF(OR(H1257=MappingTables!$C$34,H1257=MappingTables!$C$35),S1257,0))</f>
        <v>0</v>
      </c>
    </row>
    <row r="1258" spans="2:20" s="0" customFormat="0" ht="15">
      <c r="B1258" s="69">
        <v>18746166</v>
      </c>
      <c r="C1258" s="70" t="s">
        <v>4603</v>
      </c>
      <c r="D1258" s="70" t="s">
        <v>1</v>
      </c>
      <c r="E1258" s="70" t="s">
        <v>1</v>
      </c>
      <c r="F1258" s="70"/>
      <c r="G1258" s="70" t="s">
        <v>61</v>
      </c>
      <c r="H1258" s="70" t="s">
        <v>178</v>
      </c>
      <c r="I1258" s="70" t="s">
        <v>216</v>
      </c>
      <c r="J1258" s="71">
        <f>IF(OR(I1258=0,I1258=""),"unrated",VLOOKUP(I1258,MappingTables!$B$19:$C$31,2,FALSE))</f>
        <v>0</v>
      </c>
      <c r="K1258" s="72">
        <v>997.68951633634352</v>
      </c>
      <c r="L1258" s="70">
        <v>0.0517916079571418</v>
      </c>
      <c r="M1258" s="71">
        <f>IF(L1258&lt;1,1,L1258)</f>
        <v>1</v>
      </c>
      <c r="N1258" s="70" t="s">
        <v>3288</v>
      </c>
      <c r="O1258" s="71">
        <f>IF(OR(I1258=$A$1,I1258=0),"",IF(N1258=MappingTables!$C$14,VLOOKUP(J1258,ModelParameters!$M$8:$N$15,2,FALSE),IF(N1258=MappingTables!$C$16,VLOOKUP(J1258,ModelParameters!$P$8:$Q$15,2,FALSE),0)))</f>
        <v>0.125</v>
      </c>
      <c r="P1258" s="73">
        <f>IF(OR(I1258=0,I1258=$A$1),0,MIN(O1258*M1258,1)*K1258)</f>
        <v>124.71118954204294</v>
      </c>
      <c r="Q1258" s="73">
        <f>IF(B1258="",0,IF(OR(H1258=MappingTables!$C$34,H1258=MappingTables!$C$35),P1258,0))</f>
        <v>0</v>
      </c>
      <c r="R1258" s="73">
        <f>IF(ISNA(IF(AND(VLOOKUP(CONCATENATE($D1258,$G1258),CSRFinput!$B:$E,4,0)=0,OR(H1258=MappingTables!$C$31,H1258=MappingTables!$C$32)),1,VLOOKUP(CONCATENATE($D1258,$G1258),CSRFinput!$B:$E,4,0))),0,IF(AND(VLOOKUP(CONCATENATE($D1258,$G1258),CSRFinput!$B:$E,4,0)=0,OR(H1258=MappingTables!$C$31,H1258=MappingTables!$C$32)),1,VLOOKUP(CONCATENATE($D1258,$G1258),CSRFinput!$B:$E,4,0)))</f>
        <v>0.054776304963434752</v>
      </c>
      <c r="S1258" s="73">
        <f>IF(B1258="",0,P1258*R1258)</f>
        <v>6.8312181507076584</v>
      </c>
      <c r="T1258" s="85">
        <f>IF(B1258="",0,IF(OR(H1258=MappingTables!$C$34,H1258=MappingTables!$C$35),S1258,0))</f>
        <v>0</v>
      </c>
    </row>
    <row r="1259" spans="2:20" s="0" customFormat="0" ht="15">
      <c r="B1259" s="69">
        <v>22623654</v>
      </c>
      <c r="C1259" s="70" t="s">
        <v>4848</v>
      </c>
      <c r="D1259" s="70" t="s">
        <v>1</v>
      </c>
      <c r="E1259" s="70" t="s">
        <v>1</v>
      </c>
      <c r="F1259" s="70"/>
      <c r="G1259" s="70" t="s">
        <v>61</v>
      </c>
      <c r="H1259" s="70" t="s">
        <v>178</v>
      </c>
      <c r="I1259" s="70" t="s">
        <v>184</v>
      </c>
      <c r="J1259" s="71">
        <f>IF(OR(I1259=0,I1259=""),"unrated",VLOOKUP(I1259,MappingTables!$B$19:$C$31,2,FALSE))</f>
        <v>5</v>
      </c>
      <c r="K1259" s="72">
        <v>213.58659688991036</v>
      </c>
      <c r="L1259" s="70">
        <v>0.06848986533137144</v>
      </c>
      <c r="M1259" s="71">
        <f>IF(L1259&lt;1,1,L1259)</f>
        <v>1</v>
      </c>
      <c r="N1259" s="70" t="s">
        <v>3288</v>
      </c>
      <c r="O1259" s="71">
        <f>IF(OR(I1259=$A$1,I1259=0),"",IF(N1259=MappingTables!$C$14,VLOOKUP(J1259,ModelParameters!$M$8:$N$15,2,FALSE),IF(N1259=MappingTables!$C$16,VLOOKUP(J1259,ModelParameters!$P$8:$Q$15,2,FALSE),0)))</f>
        <v>1</v>
      </c>
      <c r="P1259" s="73">
        <f>IF(OR(I1259=0,I1259=$A$1),0,MIN(O1259*M1259,1)*K1259)</f>
        <v>213.58659688991036</v>
      </c>
      <c r="Q1259" s="73">
        <f>IF(B1259="",0,IF(OR(H1259=MappingTables!$C$34,H1259=MappingTables!$C$35),P1259,0))</f>
        <v>0</v>
      </c>
      <c r="R1259" s="73">
        <f>IF(ISNA(IF(AND(VLOOKUP(CONCATENATE($D1259,$G1259),CSRFinput!$B:$E,4,0)=0,OR(H1259=MappingTables!$C$31,H1259=MappingTables!$C$32)),1,VLOOKUP(CONCATENATE($D1259,$G1259),CSRFinput!$B:$E,4,0))),0,IF(AND(VLOOKUP(CONCATENATE($D1259,$G1259),CSRFinput!$B:$E,4,0)=0,OR(H1259=MappingTables!$C$31,H1259=MappingTables!$C$32)),1,VLOOKUP(CONCATENATE($D1259,$G1259),CSRFinput!$B:$E,4,0)))</f>
        <v>0.054776304963434752</v>
      </c>
      <c r="S1259" s="73">
        <f>IF(B1259="",0,P1259*R1259)</f>
        <v>11.699484567343936</v>
      </c>
      <c r="T1259" s="85">
        <f>IF(B1259="",0,IF(OR(H1259=MappingTables!$C$34,H1259=MappingTables!$C$35),S1259,0))</f>
        <v>0</v>
      </c>
    </row>
    <row r="1260" spans="2:20" s="0" customFormat="0" ht="15">
      <c r="B1260" s="69" t="s">
        <v>4849</v>
      </c>
      <c r="C1260" s="70" t="s">
        <v>4850</v>
      </c>
      <c r="D1260" s="70" t="s">
        <v>1</v>
      </c>
      <c r="E1260" s="70" t="s">
        <v>1</v>
      </c>
      <c r="F1260" s="70"/>
      <c r="G1260" s="70" t="s">
        <v>61</v>
      </c>
      <c r="H1260" s="70" t="s">
        <v>178</v>
      </c>
      <c r="I1260" s="70" t="s">
        <v>198</v>
      </c>
      <c r="J1260" s="71" t="str">
        <f>IF(OR(I1260=0,I1260=""),"unrated",VLOOKUP(I1260,MappingTables!$B$19:$C$31,2,FALSE))</f>
        <v>unrated</v>
      </c>
      <c r="K1260" s="72">
        <v>32376.176633493292</v>
      </c>
      <c r="L1260" s="70">
        <v>9.9177451137029344</v>
      </c>
      <c r="M1260" s="71">
        <f>IF(L1260&lt;1,1,L1260)</f>
        <v>9.9177451137029344</v>
      </c>
      <c r="N1260" s="70" t="s">
        <v>3288</v>
      </c>
      <c r="O1260" s="71">
        <f>IF(OR(I1260=$A$1,I1260=0),"",IF(N1260=MappingTables!$C$14,VLOOKUP(J1260,ModelParameters!$M$8:$N$15,2,FALSE),IF(N1260=MappingTables!$C$16,VLOOKUP(J1260,ModelParameters!$P$8:$Q$15,2,FALSE),0)))</f>
        <v>1</v>
      </c>
      <c r="P1260" s="73">
        <f>IF(OR(I1260=0,I1260=$A$1),0,MIN(O1260*M1260,1)*K1260)</f>
        <v>32376.176633493292</v>
      </c>
      <c r="Q1260" s="73">
        <f>IF(B1260="",0,IF(OR(H1260=MappingTables!$C$34,H1260=MappingTables!$C$35),P1260,0))</f>
        <v>0</v>
      </c>
      <c r="R1260" s="73">
        <f>IF(ISNA(IF(AND(VLOOKUP(CONCATENATE($D1260,$G1260),CSRFinput!$B:$E,4,0)=0,OR(H1260=MappingTables!$C$31,H1260=MappingTables!$C$32)),1,VLOOKUP(CONCATENATE($D1260,$G1260),CSRFinput!$B:$E,4,0))),0,IF(AND(VLOOKUP(CONCATENATE($D1260,$G1260),CSRFinput!$B:$E,4,0)=0,OR(H1260=MappingTables!$C$31,H1260=MappingTables!$C$32)),1,VLOOKUP(CONCATENATE($D1260,$G1260),CSRFinput!$B:$E,4,0)))</f>
        <v>0.054776304963434752</v>
      </c>
      <c r="S1260" s="73">
        <f>IF(B1260="",0,P1260*R1260)</f>
        <v>1773.4473248262588</v>
      </c>
      <c r="T1260" s="85">
        <f>IF(B1260="",0,IF(OR(H1260=MappingTables!$C$34,H1260=MappingTables!$C$35),S1260,0))</f>
        <v>0</v>
      </c>
    </row>
    <row r="1261" spans="2:20" s="0" customFormat="0" ht="15">
      <c r="B1261" s="69" t="s">
        <v>4747</v>
      </c>
      <c r="C1261" s="70" t="s">
        <v>4748</v>
      </c>
      <c r="D1261" s="70" t="s">
        <v>1</v>
      </c>
      <c r="E1261" s="70" t="s">
        <v>1</v>
      </c>
      <c r="F1261" s="70"/>
      <c r="G1261" s="70" t="s">
        <v>61</v>
      </c>
      <c r="H1261" s="70" t="s">
        <v>178</v>
      </c>
      <c r="I1261" s="70" t="s">
        <v>3298</v>
      </c>
      <c r="J1261" s="71">
        <f>IF(OR(I1261=0,I1261=""),"unrated",VLOOKUP(I1261,MappingTables!$B$19:$C$31,2,FALSE))</f>
        <v>6</v>
      </c>
      <c r="K1261" s="72">
        <v>119.62113688751966</v>
      </c>
      <c r="L1261" s="70">
        <v>-0.05230872250604644</v>
      </c>
      <c r="M1261" s="71">
        <f>IF(L1261&lt;1,1,L1261)</f>
        <v>1</v>
      </c>
      <c r="N1261" s="70" t="s">
        <v>3288</v>
      </c>
      <c r="O1261" s="71">
        <f>IF(OR(I1261=$A$1,I1261=0),"",IF(N1261=MappingTables!$C$14,VLOOKUP(J1261,ModelParameters!$M$8:$N$15,2,FALSE),IF(N1261=MappingTables!$C$16,VLOOKUP(J1261,ModelParameters!$P$8:$Q$15,2,FALSE),0)))</f>
        <v>1</v>
      </c>
      <c r="P1261" s="73">
        <f>IF(OR(I1261=0,I1261=$A$1),0,MIN(O1261*M1261,1)*K1261)</f>
        <v>119.62113688751966</v>
      </c>
      <c r="Q1261" s="73">
        <f>IF(B1261="",0,IF(OR(H1261=MappingTables!$C$34,H1261=MappingTables!$C$35),P1261,0))</f>
        <v>0</v>
      </c>
      <c r="R1261" s="73">
        <f>IF(ISNA(IF(AND(VLOOKUP(CONCATENATE($D1261,$G1261),CSRFinput!$B:$E,4,0)=0,OR(H1261=MappingTables!$C$31,H1261=MappingTables!$C$32)),1,VLOOKUP(CONCATENATE($D1261,$G1261),CSRFinput!$B:$E,4,0))),0,IF(AND(VLOOKUP(CONCATENATE($D1261,$G1261),CSRFinput!$B:$E,4,0)=0,OR(H1261=MappingTables!$C$31,H1261=MappingTables!$C$32)),1,VLOOKUP(CONCATENATE($D1261,$G1261),CSRFinput!$B:$E,4,0)))</f>
        <v>0.054776304963434752</v>
      </c>
      <c r="S1261" s="73">
        <f>IF(B1261="",0,P1261*R1261)</f>
        <v>6.5524038742235512</v>
      </c>
      <c r="T1261" s="85">
        <f>IF(B1261="",0,IF(OR(H1261=MappingTables!$C$34,H1261=MappingTables!$C$35),S1261,0))</f>
        <v>0</v>
      </c>
    </row>
    <row r="1262" spans="2:20" s="0" customFormat="0" ht="15">
      <c r="B1262" s="69">
        <v>14504645</v>
      </c>
      <c r="C1262" s="70" t="s">
        <v>3354</v>
      </c>
      <c r="D1262" s="70" t="s">
        <v>1</v>
      </c>
      <c r="E1262" s="70" t="s">
        <v>1</v>
      </c>
      <c r="F1262" s="70"/>
      <c r="G1262" s="70" t="s">
        <v>61</v>
      </c>
      <c r="H1262" s="70" t="s">
        <v>178</v>
      </c>
      <c r="I1262" s="70" t="s">
        <v>220</v>
      </c>
      <c r="J1262" s="71">
        <f>IF(OR(I1262=0,I1262=""),"unrated",VLOOKUP(I1262,MappingTables!$B$19:$C$31,2,FALSE))</f>
        <v>1</v>
      </c>
      <c r="K1262" s="72">
        <v>252.45441362399984</v>
      </c>
      <c r="L1262" s="70">
        <v>0.13989836229825354</v>
      </c>
      <c r="M1262" s="71">
        <f>IF(L1262&lt;1,1,L1262)</f>
        <v>1</v>
      </c>
      <c r="N1262" s="70" t="s">
        <v>3288</v>
      </c>
      <c r="O1262" s="71">
        <f>IF(OR(I1262=$A$1,I1262=0),"",IF(N1262=MappingTables!$C$14,VLOOKUP(J1262,ModelParameters!$M$8:$N$15,2,FALSE),IF(N1262=MappingTables!$C$16,VLOOKUP(J1262,ModelParameters!$P$8:$Q$15,2,FALSE),0)))</f>
        <v>0.134</v>
      </c>
      <c r="P1262" s="73">
        <f>IF(OR(I1262=0,I1262=$A$1),0,MIN(O1262*M1262,1)*K1262)</f>
        <v>33.82889142561598</v>
      </c>
      <c r="Q1262" s="73">
        <f>IF(B1262="",0,IF(OR(H1262=MappingTables!$C$34,H1262=MappingTables!$C$35),P1262,0))</f>
        <v>0</v>
      </c>
      <c r="R1262" s="73">
        <f>IF(ISNA(IF(AND(VLOOKUP(CONCATENATE($D1262,$G1262),CSRFinput!$B:$E,4,0)=0,OR(H1262=MappingTables!$C$31,H1262=MappingTables!$C$32)),1,VLOOKUP(CONCATENATE($D1262,$G1262),CSRFinput!$B:$E,4,0))),0,IF(AND(VLOOKUP(CONCATENATE($D1262,$G1262),CSRFinput!$B:$E,4,0)=0,OR(H1262=MappingTables!$C$31,H1262=MappingTables!$C$32)),1,VLOOKUP(CONCATENATE($D1262,$G1262),CSRFinput!$B:$E,4,0)))</f>
        <v>0.054776304963434752</v>
      </c>
      <c r="S1262" s="73">
        <f>IF(B1262="",0,P1262*R1262)</f>
        <v>1.853021673304464</v>
      </c>
      <c r="T1262" s="85">
        <f>IF(B1262="",0,IF(OR(H1262=MappingTables!$C$34,H1262=MappingTables!$C$35),S1262,0))</f>
        <v>0</v>
      </c>
    </row>
    <row r="1263" spans="2:20" s="0" customFormat="0" ht="15">
      <c r="B1263" s="69" t="s">
        <v>4851</v>
      </c>
      <c r="C1263" s="70" t="s">
        <v>4852</v>
      </c>
      <c r="D1263" s="70" t="s">
        <v>1</v>
      </c>
      <c r="E1263" s="70" t="s">
        <v>1</v>
      </c>
      <c r="F1263" s="70"/>
      <c r="G1263" s="70" t="s">
        <v>61</v>
      </c>
      <c r="H1263" s="70" t="s">
        <v>178</v>
      </c>
      <c r="I1263" s="70" t="s">
        <v>3298</v>
      </c>
      <c r="J1263" s="71">
        <f>IF(OR(I1263=0,I1263=""),"unrated",VLOOKUP(I1263,MappingTables!$B$19:$C$31,2,FALSE))</f>
        <v>6</v>
      </c>
      <c r="K1263" s="72">
        <v>3582.6244360535776</v>
      </c>
      <c r="L1263" s="70">
        <v>-0.13342628546349406</v>
      </c>
      <c r="M1263" s="71">
        <f>IF(L1263&lt;1,1,L1263)</f>
        <v>1</v>
      </c>
      <c r="N1263" s="70" t="s">
        <v>3288</v>
      </c>
      <c r="O1263" s="71">
        <f>IF(OR(I1263=$A$1,I1263=0),"",IF(N1263=MappingTables!$C$14,VLOOKUP(J1263,ModelParameters!$M$8:$N$15,2,FALSE),IF(N1263=MappingTables!$C$16,VLOOKUP(J1263,ModelParameters!$P$8:$Q$15,2,FALSE),0)))</f>
        <v>1</v>
      </c>
      <c r="P1263" s="73">
        <f>IF(OR(I1263=0,I1263=$A$1),0,MIN(O1263*M1263,1)*K1263)</f>
        <v>3582.6244360535776</v>
      </c>
      <c r="Q1263" s="73">
        <f>IF(B1263="",0,IF(OR(H1263=MappingTables!$C$34,H1263=MappingTables!$C$35),P1263,0))</f>
        <v>0</v>
      </c>
      <c r="R1263" s="73">
        <f>IF(ISNA(IF(AND(VLOOKUP(CONCATENATE($D1263,$G1263),CSRFinput!$B:$E,4,0)=0,OR(H1263=MappingTables!$C$31,H1263=MappingTables!$C$32)),1,VLOOKUP(CONCATENATE($D1263,$G1263),CSRFinput!$B:$E,4,0))),0,IF(AND(VLOOKUP(CONCATENATE($D1263,$G1263),CSRFinput!$B:$E,4,0)=0,OR(H1263=MappingTables!$C$31,H1263=MappingTables!$C$32)),1,VLOOKUP(CONCATENATE($D1263,$G1263),CSRFinput!$B:$E,4,0)))</f>
        <v>0.054776304963434752</v>
      </c>
      <c r="S1263" s="73">
        <f>IF(B1263="",0,P1263*R1263)</f>
        <v>196.2429286787242</v>
      </c>
      <c r="T1263" s="85">
        <f>IF(B1263="",0,IF(OR(H1263=MappingTables!$C$34,H1263=MappingTables!$C$35),S1263,0))</f>
        <v>0</v>
      </c>
    </row>
    <row r="1264" spans="2:20" s="0" customFormat="0" ht="15">
      <c r="B1264" s="69" t="s">
        <v>4853</v>
      </c>
      <c r="C1264" s="70" t="s">
        <v>4854</v>
      </c>
      <c r="D1264" s="70" t="s">
        <v>1</v>
      </c>
      <c r="E1264" s="70" t="s">
        <v>1</v>
      </c>
      <c r="F1264" s="70"/>
      <c r="G1264" s="70" t="s">
        <v>61</v>
      </c>
      <c r="H1264" s="70" t="s">
        <v>178</v>
      </c>
      <c r="I1264" s="70" t="s">
        <v>216</v>
      </c>
      <c r="J1264" s="71">
        <f>IF(OR(I1264=0,I1264=""),"unrated",VLOOKUP(I1264,MappingTables!$B$19:$C$31,2,FALSE))</f>
        <v>0</v>
      </c>
      <c r="K1264" s="72">
        <v>50.388090002142608</v>
      </c>
      <c r="L1264" s="70">
        <v>0.04109449349679248</v>
      </c>
      <c r="M1264" s="71">
        <f>IF(L1264&lt;1,1,L1264)</f>
        <v>1</v>
      </c>
      <c r="N1264" s="70" t="s">
        <v>3288</v>
      </c>
      <c r="O1264" s="71">
        <f>IF(OR(I1264=$A$1,I1264=0),"",IF(N1264=MappingTables!$C$14,VLOOKUP(J1264,ModelParameters!$M$8:$N$15,2,FALSE),IF(N1264=MappingTables!$C$16,VLOOKUP(J1264,ModelParameters!$P$8:$Q$15,2,FALSE),0)))</f>
        <v>0.125</v>
      </c>
      <c r="P1264" s="73">
        <f>IF(OR(I1264=0,I1264=$A$1),0,MIN(O1264*M1264,1)*K1264)</f>
        <v>6.2985112502678256</v>
      </c>
      <c r="Q1264" s="73">
        <f>IF(B1264="",0,IF(OR(H1264=MappingTables!$C$34,H1264=MappingTables!$C$35),P1264,0))</f>
        <v>0</v>
      </c>
      <c r="R1264" s="73">
        <f>IF(ISNA(IF(AND(VLOOKUP(CONCATENATE($D1264,$G1264),CSRFinput!$B:$E,4,0)=0,OR(H1264=MappingTables!$C$31,H1264=MappingTables!$C$32)),1,VLOOKUP(CONCATENATE($D1264,$G1264),CSRFinput!$B:$E,4,0))),0,IF(AND(VLOOKUP(CONCATENATE($D1264,$G1264),CSRFinput!$B:$E,4,0)=0,OR(H1264=MappingTables!$C$31,H1264=MappingTables!$C$32)),1,VLOOKUP(CONCATENATE($D1264,$G1264),CSRFinput!$B:$E,4,0)))</f>
        <v>0.054776304963434752</v>
      </c>
      <c r="S1264" s="73">
        <f>IF(B1264="",0,P1264*R1264)</f>
        <v>0.34500917306029512</v>
      </c>
      <c r="T1264" s="85">
        <f>IF(B1264="",0,IF(OR(H1264=MappingTables!$C$34,H1264=MappingTables!$C$35),S1264,0))</f>
        <v>0</v>
      </c>
    </row>
    <row r="1265" spans="2:20" s="0" customFormat="0" ht="15">
      <c r="B1265" s="69" t="s">
        <v>4817</v>
      </c>
      <c r="C1265" s="70" t="s">
        <v>4818</v>
      </c>
      <c r="D1265" s="70" t="s">
        <v>1</v>
      </c>
      <c r="E1265" s="70" t="s">
        <v>1</v>
      </c>
      <c r="F1265" s="70"/>
      <c r="G1265" s="70" t="s">
        <v>61</v>
      </c>
      <c r="H1265" s="70" t="s">
        <v>178</v>
      </c>
      <c r="I1265" s="70" t="s">
        <v>3298</v>
      </c>
      <c r="J1265" s="71">
        <f>IF(OR(I1265=0,I1265=""),"unrated",VLOOKUP(I1265,MappingTables!$B$19:$C$31,2,FALSE))</f>
        <v>6</v>
      </c>
      <c r="K1265" s="72">
        <v>118.5218684265145</v>
      </c>
      <c r="L1265" s="70">
        <v>0.068494021005054112</v>
      </c>
      <c r="M1265" s="71">
        <f>IF(L1265&lt;1,1,L1265)</f>
        <v>1</v>
      </c>
      <c r="N1265" s="70" t="s">
        <v>3288</v>
      </c>
      <c r="O1265" s="71">
        <f>IF(OR(I1265=$A$1,I1265=0),"",IF(N1265=MappingTables!$C$14,VLOOKUP(J1265,ModelParameters!$M$8:$N$15,2,FALSE),IF(N1265=MappingTables!$C$16,VLOOKUP(J1265,ModelParameters!$P$8:$Q$15,2,FALSE),0)))</f>
        <v>1</v>
      </c>
      <c r="P1265" s="73">
        <f>IF(OR(I1265=0,I1265=$A$1),0,MIN(O1265*M1265,1)*K1265)</f>
        <v>118.5218684265145</v>
      </c>
      <c r="Q1265" s="73">
        <f>IF(B1265="",0,IF(OR(H1265=MappingTables!$C$34,H1265=MappingTables!$C$35),P1265,0))</f>
        <v>0</v>
      </c>
      <c r="R1265" s="73">
        <f>IF(ISNA(IF(AND(VLOOKUP(CONCATENATE($D1265,$G1265),CSRFinput!$B:$E,4,0)=0,OR(H1265=MappingTables!$C$31,H1265=MappingTables!$C$32)),1,VLOOKUP(CONCATENATE($D1265,$G1265),CSRFinput!$B:$E,4,0))),0,IF(AND(VLOOKUP(CONCATENATE($D1265,$G1265),CSRFinput!$B:$E,4,0)=0,OR(H1265=MappingTables!$C$31,H1265=MappingTables!$C$32)),1,VLOOKUP(CONCATENATE($D1265,$G1265),CSRFinput!$B:$E,4,0)))</f>
        <v>0.054776304963434752</v>
      </c>
      <c r="S1265" s="73">
        <f>IF(B1265="",0,P1265*R1265)</f>
        <v>6.4921900097668464</v>
      </c>
      <c r="T1265" s="85">
        <f>IF(B1265="",0,IF(OR(H1265=MappingTables!$C$34,H1265=MappingTables!$C$35),S1265,0))</f>
        <v>0</v>
      </c>
    </row>
    <row r="1266" spans="2:20" s="0" customFormat="0" ht="15">
      <c r="B1266" s="69" t="s">
        <v>4855</v>
      </c>
      <c r="C1266" s="70" t="s">
        <v>4856</v>
      </c>
      <c r="D1266" s="70" t="s">
        <v>1</v>
      </c>
      <c r="E1266" s="70" t="s">
        <v>1</v>
      </c>
      <c r="F1266" s="70"/>
      <c r="G1266" s="70" t="s">
        <v>61</v>
      </c>
      <c r="H1266" s="70" t="s">
        <v>178</v>
      </c>
      <c r="I1266" s="70" t="s">
        <v>198</v>
      </c>
      <c r="J1266" s="71" t="str">
        <f>IF(OR(I1266=0,I1266=""),"unrated",VLOOKUP(I1266,MappingTables!$B$19:$C$31,2,FALSE))</f>
        <v>unrated</v>
      </c>
      <c r="K1266" s="72">
        <v>9.8332793032473008</v>
      </c>
      <c r="L1266" s="70">
        <v>40.297326172255512</v>
      </c>
      <c r="M1266" s="71">
        <f>IF(L1266&lt;1,1,L1266)</f>
        <v>40.297326172255512</v>
      </c>
      <c r="N1266" s="70" t="s">
        <v>3288</v>
      </c>
      <c r="O1266" s="71">
        <f>IF(OR(I1266=$A$1,I1266=0),"",IF(N1266=MappingTables!$C$14,VLOOKUP(J1266,ModelParameters!$M$8:$N$15,2,FALSE),IF(N1266=MappingTables!$C$16,VLOOKUP(J1266,ModelParameters!$P$8:$Q$15,2,FALSE),0)))</f>
        <v>1</v>
      </c>
      <c r="P1266" s="73">
        <f>IF(OR(I1266=0,I1266=$A$1),0,MIN(O1266*M1266,1)*K1266)</f>
        <v>9.8332793032473008</v>
      </c>
      <c r="Q1266" s="73">
        <f>IF(B1266="",0,IF(OR(H1266=MappingTables!$C$34,H1266=MappingTables!$C$35),P1266,0))</f>
        <v>0</v>
      </c>
      <c r="R1266" s="73">
        <f>IF(ISNA(IF(AND(VLOOKUP(CONCATENATE($D1266,$G1266),CSRFinput!$B:$E,4,0)=0,OR(H1266=MappingTables!$C$31,H1266=MappingTables!$C$32)),1,VLOOKUP(CONCATENATE($D1266,$G1266),CSRFinput!$B:$E,4,0))),0,IF(AND(VLOOKUP(CONCATENATE($D1266,$G1266),CSRFinput!$B:$E,4,0)=0,OR(H1266=MappingTables!$C$31,H1266=MappingTables!$C$32)),1,VLOOKUP(CONCATENATE($D1266,$G1266),CSRFinput!$B:$E,4,0)))</f>
        <v>0.054776304963434752</v>
      </c>
      <c r="S1266" s="73">
        <f>IF(B1266="",0,P1266*R1266)</f>
        <v>0.53863070590530536</v>
      </c>
      <c r="T1266" s="85">
        <f>IF(B1266="",0,IF(OR(H1266=MappingTables!$C$34,H1266=MappingTables!$C$35),S1266,0))</f>
        <v>0</v>
      </c>
    </row>
    <row r="1267" spans="2:20" s="0" customFormat="0" ht="15">
      <c r="B1267" s="69" t="s">
        <v>4857</v>
      </c>
      <c r="C1267" s="70" t="s">
        <v>4858</v>
      </c>
      <c r="D1267" s="70" t="s">
        <v>1</v>
      </c>
      <c r="E1267" s="70" t="s">
        <v>1</v>
      </c>
      <c r="F1267" s="70"/>
      <c r="G1267" s="70" t="s">
        <v>61</v>
      </c>
      <c r="H1267" s="70" t="s">
        <v>178</v>
      </c>
      <c r="I1267" s="70" t="s">
        <v>216</v>
      </c>
      <c r="J1267" s="71">
        <f>IF(OR(I1267=0,I1267=""),"unrated",VLOOKUP(I1267,MappingTables!$B$19:$C$31,2,FALSE))</f>
        <v>0</v>
      </c>
      <c r="K1267" s="72">
        <v>1446.9641933838462</v>
      </c>
      <c r="L1267" s="70">
        <v>0.05479047212491776</v>
      </c>
      <c r="M1267" s="71">
        <f>IF(L1267&lt;1,1,L1267)</f>
        <v>1</v>
      </c>
      <c r="N1267" s="70" t="s">
        <v>3288</v>
      </c>
      <c r="O1267" s="71">
        <f>IF(OR(I1267=$A$1,I1267=0),"",IF(N1267=MappingTables!$C$14,VLOOKUP(J1267,ModelParameters!$M$8:$N$15,2,FALSE),IF(N1267=MappingTables!$C$16,VLOOKUP(J1267,ModelParameters!$P$8:$Q$15,2,FALSE),0)))</f>
        <v>0.125</v>
      </c>
      <c r="P1267" s="73">
        <f>IF(OR(I1267=0,I1267=$A$1),0,MIN(O1267*M1267,1)*K1267)</f>
        <v>180.87052417298076</v>
      </c>
      <c r="Q1267" s="73">
        <f>IF(B1267="",0,IF(OR(H1267=MappingTables!$C$34,H1267=MappingTables!$C$35),P1267,0))</f>
        <v>0</v>
      </c>
      <c r="R1267" s="73">
        <f>IF(ISNA(IF(AND(VLOOKUP(CONCATENATE($D1267,$G1267),CSRFinput!$B:$E,4,0)=0,OR(H1267=MappingTables!$C$31,H1267=MappingTables!$C$32)),1,VLOOKUP(CONCATENATE($D1267,$G1267),CSRFinput!$B:$E,4,0))),0,IF(AND(VLOOKUP(CONCATENATE($D1267,$G1267),CSRFinput!$B:$E,4,0)=0,OR(H1267=MappingTables!$C$31,H1267=MappingTables!$C$32)),1,VLOOKUP(CONCATENATE($D1267,$G1267),CSRFinput!$B:$E,4,0)))</f>
        <v>0.054776304963434752</v>
      </c>
      <c r="S1267" s="73">
        <f>IF(B1267="",0,P1267*R1267)</f>
        <v>9.9074189909954912</v>
      </c>
      <c r="T1267" s="85">
        <f>IF(B1267="",0,IF(OR(H1267=MappingTables!$C$34,H1267=MappingTables!$C$35),S1267,0))</f>
        <v>0</v>
      </c>
    </row>
    <row r="1268" spans="2:20" s="0" customFormat="0" ht="15">
      <c r="B1268" s="69" t="s">
        <v>4244</v>
      </c>
      <c r="C1268" s="70" t="s">
        <v>4245</v>
      </c>
      <c r="D1268" s="70" t="s">
        <v>1</v>
      </c>
      <c r="E1268" s="70" t="s">
        <v>1</v>
      </c>
      <c r="F1268" s="70"/>
      <c r="G1268" s="70" t="s">
        <v>61</v>
      </c>
      <c r="H1268" s="70" t="s">
        <v>178</v>
      </c>
      <c r="I1268" s="70" t="s">
        <v>198</v>
      </c>
      <c r="J1268" s="71" t="str">
        <f>IF(OR(I1268=0,I1268=""),"unrated",VLOOKUP(I1268,MappingTables!$B$19:$C$31,2,FALSE))</f>
        <v>unrated</v>
      </c>
      <c r="K1268" s="72">
        <v>1779.4405250269688</v>
      </c>
      <c r="L1268" s="70">
        <v>0.27381308191596504</v>
      </c>
      <c r="M1268" s="71">
        <f>IF(L1268&lt;1,1,L1268)</f>
        <v>1</v>
      </c>
      <c r="N1268" s="70" t="s">
        <v>3288</v>
      </c>
      <c r="O1268" s="71">
        <f>IF(OR(I1268=$A$1,I1268=0),"",IF(N1268=MappingTables!$C$14,VLOOKUP(J1268,ModelParameters!$M$8:$N$15,2,FALSE),IF(N1268=MappingTables!$C$16,VLOOKUP(J1268,ModelParameters!$P$8:$Q$15,2,FALSE),0)))</f>
        <v>1</v>
      </c>
      <c r="P1268" s="73">
        <f>IF(OR(I1268=0,I1268=$A$1),0,MIN(O1268*M1268,1)*K1268)</f>
        <v>1779.4405250269688</v>
      </c>
      <c r="Q1268" s="73">
        <f>IF(B1268="",0,IF(OR(H1268=MappingTables!$C$34,H1268=MappingTables!$C$35),P1268,0))</f>
        <v>0</v>
      </c>
      <c r="R1268" s="73">
        <f>IF(ISNA(IF(AND(VLOOKUP(CONCATENATE($D1268,$G1268),CSRFinput!$B:$E,4,0)=0,OR(H1268=MappingTables!$C$31,H1268=MappingTables!$C$32)),1,VLOOKUP(CONCATENATE($D1268,$G1268),CSRFinput!$B:$E,4,0))),0,IF(AND(VLOOKUP(CONCATENATE($D1268,$G1268),CSRFinput!$B:$E,4,0)=0,OR(H1268=MappingTables!$C$31,H1268=MappingTables!$C$32)),1,VLOOKUP(CONCATENATE($D1268,$G1268),CSRFinput!$B:$E,4,0)))</f>
        <v>0.054776304963434752</v>
      </c>
      <c r="S1268" s="73">
        <f>IF(B1268="",0,P1268*R1268)</f>
        <v>97.471176863171696</v>
      </c>
      <c r="T1268" s="85">
        <f>IF(B1268="",0,IF(OR(H1268=MappingTables!$C$34,H1268=MappingTables!$C$35),S1268,0))</f>
        <v>0</v>
      </c>
    </row>
    <row r="1269" spans="2:20" s="0" customFormat="0" ht="15">
      <c r="B1269" s="69" t="s">
        <v>4859</v>
      </c>
      <c r="C1269" s="70" t="s">
        <v>4860</v>
      </c>
      <c r="D1269" s="70" t="s">
        <v>1</v>
      </c>
      <c r="E1269" s="70" t="s">
        <v>1</v>
      </c>
      <c r="F1269" s="70"/>
      <c r="G1269" s="70" t="s">
        <v>61</v>
      </c>
      <c r="H1269" s="70" t="s">
        <v>178</v>
      </c>
      <c r="I1269" s="70" t="s">
        <v>204</v>
      </c>
      <c r="J1269" s="71">
        <f>IF(OR(I1269=0,I1269=""),"unrated",VLOOKUP(I1269,MappingTables!$B$19:$C$31,2,FALSE))</f>
        <v>6</v>
      </c>
      <c r="K1269" s="72">
        <v>82.849696482444208</v>
      </c>
      <c r="L1269" s="70">
        <v>0.048224314899913408</v>
      </c>
      <c r="M1269" s="71">
        <f>IF(L1269&lt;1,1,L1269)</f>
        <v>1</v>
      </c>
      <c r="N1269" s="70" t="s">
        <v>3288</v>
      </c>
      <c r="O1269" s="71">
        <f>IF(OR(I1269=$A$1,I1269=0),"",IF(N1269=MappingTables!$C$14,VLOOKUP(J1269,ModelParameters!$M$8:$N$15,2,FALSE),IF(N1269=MappingTables!$C$16,VLOOKUP(J1269,ModelParameters!$P$8:$Q$15,2,FALSE),0)))</f>
        <v>1</v>
      </c>
      <c r="P1269" s="73">
        <f>IF(OR(I1269=0,I1269=$A$1),0,MIN(O1269*M1269,1)*K1269)</f>
        <v>82.849696482444208</v>
      </c>
      <c r="Q1269" s="73">
        <f>IF(B1269="",0,IF(OR(H1269=MappingTables!$C$34,H1269=MappingTables!$C$35),P1269,0))</f>
        <v>0</v>
      </c>
      <c r="R1269" s="73">
        <f>IF(ISNA(IF(AND(VLOOKUP(CONCATENATE($D1269,$G1269),CSRFinput!$B:$E,4,0)=0,OR(H1269=MappingTables!$C$31,H1269=MappingTables!$C$32)),1,VLOOKUP(CONCATENATE($D1269,$G1269),CSRFinput!$B:$E,4,0))),0,IF(AND(VLOOKUP(CONCATENATE($D1269,$G1269),CSRFinput!$B:$E,4,0)=0,OR(H1269=MappingTables!$C$31,H1269=MappingTables!$C$32)),1,VLOOKUP(CONCATENATE($D1269,$G1269),CSRFinput!$B:$E,4,0)))</f>
        <v>0.054776304963434752</v>
      </c>
      <c r="S1269" s="73">
        <f>IF(B1269="",0,P1269*R1269)</f>
        <v>4.538200240650372</v>
      </c>
      <c r="T1269" s="85">
        <f>IF(B1269="",0,IF(OR(H1269=MappingTables!$C$34,H1269=MappingTables!$C$35),S1269,0))</f>
        <v>0</v>
      </c>
    </row>
    <row r="1270" spans="2:20" s="0" customFormat="0" ht="15">
      <c r="B1270" s="69" t="s">
        <v>3472</v>
      </c>
      <c r="C1270" s="70" t="s">
        <v>3473</v>
      </c>
      <c r="D1270" s="70" t="s">
        <v>1</v>
      </c>
      <c r="E1270" s="70" t="s">
        <v>1</v>
      </c>
      <c r="F1270" s="70"/>
      <c r="G1270" s="70" t="s">
        <v>61</v>
      </c>
      <c r="H1270" s="70" t="s">
        <v>178</v>
      </c>
      <c r="I1270" s="70" t="s">
        <v>198</v>
      </c>
      <c r="J1270" s="71" t="str">
        <f>IF(OR(I1270=0,I1270=""),"unrated",VLOOKUP(I1270,MappingTables!$B$19:$C$31,2,FALSE))</f>
        <v>unrated</v>
      </c>
      <c r="K1270" s="72">
        <v>711.48166838458488</v>
      </c>
      <c r="L1270" s="70">
        <v>11.989090917953844</v>
      </c>
      <c r="M1270" s="71">
        <f>IF(L1270&lt;1,1,L1270)</f>
        <v>11.989090917953844</v>
      </c>
      <c r="N1270" s="70" t="s">
        <v>3288</v>
      </c>
      <c r="O1270" s="71">
        <f>IF(OR(I1270=$A$1,I1270=0),"",IF(N1270=MappingTables!$C$14,VLOOKUP(J1270,ModelParameters!$M$8:$N$15,2,FALSE),IF(N1270=MappingTables!$C$16,VLOOKUP(J1270,ModelParameters!$P$8:$Q$15,2,FALSE),0)))</f>
        <v>1</v>
      </c>
      <c r="P1270" s="73">
        <f>IF(OR(I1270=0,I1270=$A$1),0,MIN(O1270*M1270,1)*K1270)</f>
        <v>711.48166838458488</v>
      </c>
      <c r="Q1270" s="73">
        <f>IF(B1270="",0,IF(OR(H1270=MappingTables!$C$34,H1270=MappingTables!$C$35),P1270,0))</f>
        <v>0</v>
      </c>
      <c r="R1270" s="73">
        <f>IF(ISNA(IF(AND(VLOOKUP(CONCATENATE($D1270,$G1270),CSRFinput!$B:$E,4,0)=0,OR(H1270=MappingTables!$C$31,H1270=MappingTables!$C$32)),1,VLOOKUP(CONCATENATE($D1270,$G1270),CSRFinput!$B:$E,4,0))),0,IF(AND(VLOOKUP(CONCATENATE($D1270,$G1270),CSRFinput!$B:$E,4,0)=0,OR(H1270=MappingTables!$C$31,H1270=MappingTables!$C$32)),1,VLOOKUP(CONCATENATE($D1270,$G1270),CSRFinput!$B:$E,4,0)))</f>
        <v>0.054776304963434752</v>
      </c>
      <c r="S1270" s="73">
        <f>IF(B1270="",0,P1270*R1270)</f>
        <v>38.972336843327376</v>
      </c>
      <c r="T1270" s="85">
        <f>IF(B1270="",0,IF(OR(H1270=MappingTables!$C$34,H1270=MappingTables!$C$35),S1270,0))</f>
        <v>0</v>
      </c>
    </row>
    <row r="1271" spans="2:20" s="0" customFormat="0" ht="15">
      <c r="B1271" s="69" t="s">
        <v>4861</v>
      </c>
      <c r="C1271" s="70" t="s">
        <v>4862</v>
      </c>
      <c r="D1271" s="70" t="s">
        <v>1</v>
      </c>
      <c r="E1271" s="70" t="s">
        <v>1</v>
      </c>
      <c r="F1271" s="70"/>
      <c r="G1271" s="70" t="s">
        <v>61</v>
      </c>
      <c r="H1271" s="70" t="s">
        <v>178</v>
      </c>
      <c r="I1271" s="70" t="s">
        <v>3298</v>
      </c>
      <c r="J1271" s="71">
        <f>IF(OR(I1271=0,I1271=""),"unrated",VLOOKUP(I1271,MappingTables!$B$19:$C$31,2,FALSE))</f>
        <v>6</v>
      </c>
      <c r="K1271" s="72">
        <v>2873.9278262099484</v>
      </c>
      <c r="L1271" s="70">
        <v>0.049987163767982744</v>
      </c>
      <c r="M1271" s="71">
        <f>IF(L1271&lt;1,1,L1271)</f>
        <v>1</v>
      </c>
      <c r="N1271" s="70" t="s">
        <v>3288</v>
      </c>
      <c r="O1271" s="71">
        <f>IF(OR(I1271=$A$1,I1271=0),"",IF(N1271=MappingTables!$C$14,VLOOKUP(J1271,ModelParameters!$M$8:$N$15,2,FALSE),IF(N1271=MappingTables!$C$16,VLOOKUP(J1271,ModelParameters!$P$8:$Q$15,2,FALSE),0)))</f>
        <v>1</v>
      </c>
      <c r="P1271" s="73">
        <f>IF(OR(I1271=0,I1271=$A$1),0,MIN(O1271*M1271,1)*K1271)</f>
        <v>2873.9278262099484</v>
      </c>
      <c r="Q1271" s="73">
        <f>IF(B1271="",0,IF(OR(H1271=MappingTables!$C$34,H1271=MappingTables!$C$35),P1271,0))</f>
        <v>0</v>
      </c>
      <c r="R1271" s="73">
        <f>IF(ISNA(IF(AND(VLOOKUP(CONCATENATE($D1271,$G1271),CSRFinput!$B:$E,4,0)=0,OR(H1271=MappingTables!$C$31,H1271=MappingTables!$C$32)),1,VLOOKUP(CONCATENATE($D1271,$G1271),CSRFinput!$B:$E,4,0))),0,IF(AND(VLOOKUP(CONCATENATE($D1271,$G1271),CSRFinput!$B:$E,4,0)=0,OR(H1271=MappingTables!$C$31,H1271=MappingTables!$C$32)),1,VLOOKUP(CONCATENATE($D1271,$G1271),CSRFinput!$B:$E,4,0)))</f>
        <v>0.054776304963434752</v>
      </c>
      <c r="S1271" s="73">
        <f>IF(B1271="",0,P1271*R1271)</f>
        <v>157.42314705137724</v>
      </c>
      <c r="T1271" s="85">
        <f>IF(B1271="",0,IF(OR(H1271=MappingTables!$C$34,H1271=MappingTables!$C$35),S1271,0))</f>
        <v>0</v>
      </c>
    </row>
    <row r="1272" spans="2:20" s="0" customFormat="0" ht="15">
      <c r="B1272" s="69" t="s">
        <v>3840</v>
      </c>
      <c r="C1272" s="70" t="s">
        <v>3841</v>
      </c>
      <c r="D1272" s="70" t="s">
        <v>1</v>
      </c>
      <c r="E1272" s="70" t="s">
        <v>1</v>
      </c>
      <c r="F1272" s="70"/>
      <c r="G1272" s="70" t="s">
        <v>61</v>
      </c>
      <c r="H1272" s="70" t="s">
        <v>178</v>
      </c>
      <c r="I1272" s="70" t="s">
        <v>216</v>
      </c>
      <c r="J1272" s="71">
        <f>IF(OR(I1272=0,I1272=""),"unrated",VLOOKUP(I1272,MappingTables!$B$19:$C$31,2,FALSE))</f>
        <v>0</v>
      </c>
      <c r="K1272" s="72">
        <v>385.07616564931904</v>
      </c>
      <c r="L1272" s="70">
        <v>0.041093414998738176</v>
      </c>
      <c r="M1272" s="71">
        <f>IF(L1272&lt;1,1,L1272)</f>
        <v>1</v>
      </c>
      <c r="N1272" s="70" t="s">
        <v>3288</v>
      </c>
      <c r="O1272" s="71">
        <f>IF(OR(I1272=$A$1,I1272=0),"",IF(N1272=MappingTables!$C$14,VLOOKUP(J1272,ModelParameters!$M$8:$N$15,2,FALSE),IF(N1272=MappingTables!$C$16,VLOOKUP(J1272,ModelParameters!$P$8:$Q$15,2,FALSE),0)))</f>
        <v>0.125</v>
      </c>
      <c r="P1272" s="73">
        <f>IF(OR(I1272=0,I1272=$A$1),0,MIN(O1272*M1272,1)*K1272)</f>
        <v>48.13452070616488</v>
      </c>
      <c r="Q1272" s="73">
        <f>IF(B1272="",0,IF(OR(H1272=MappingTables!$C$34,H1272=MappingTables!$C$35),P1272,0))</f>
        <v>0</v>
      </c>
      <c r="R1272" s="73">
        <f>IF(ISNA(IF(AND(VLOOKUP(CONCATENATE($D1272,$G1272),CSRFinput!$B:$E,4,0)=0,OR(H1272=MappingTables!$C$31,H1272=MappingTables!$C$32)),1,VLOOKUP(CONCATENATE($D1272,$G1272),CSRFinput!$B:$E,4,0))),0,IF(AND(VLOOKUP(CONCATENATE($D1272,$G1272),CSRFinput!$B:$E,4,0)=0,OR(H1272=MappingTables!$C$31,H1272=MappingTables!$C$32)),1,VLOOKUP(CONCATENATE($D1272,$G1272),CSRFinput!$B:$E,4,0)))</f>
        <v>0.054776304963434752</v>
      </c>
      <c r="S1272" s="73">
        <f>IF(B1272="",0,P1272*R1272)</f>
        <v>2.636631185469652</v>
      </c>
      <c r="T1272" s="85">
        <f>IF(B1272="",0,IF(OR(H1272=MappingTables!$C$34,H1272=MappingTables!$C$35),S1272,0))</f>
        <v>0</v>
      </c>
    </row>
    <row r="1273" spans="2:20" s="0" customFormat="0" ht="15">
      <c r="B1273" s="69">
        <v>1551415</v>
      </c>
      <c r="C1273" s="70" t="s">
        <v>4863</v>
      </c>
      <c r="D1273" s="70" t="s">
        <v>1</v>
      </c>
      <c r="E1273" s="70" t="s">
        <v>1</v>
      </c>
      <c r="F1273" s="70"/>
      <c r="G1273" s="70" t="s">
        <v>61</v>
      </c>
      <c r="H1273" s="70" t="s">
        <v>178</v>
      </c>
      <c r="I1273" s="70" t="s">
        <v>198</v>
      </c>
      <c r="J1273" s="71" t="str">
        <f>IF(OR(I1273=0,I1273=""),"unrated",VLOOKUP(I1273,MappingTables!$B$19:$C$31,2,FALSE))</f>
        <v>unrated</v>
      </c>
      <c r="K1273" s="72">
        <v>45.73049843355208</v>
      </c>
      <c r="L1273" s="70">
        <v>0.06849449374258196</v>
      </c>
      <c r="M1273" s="71">
        <f>IF(L1273&lt;1,1,L1273)</f>
        <v>1</v>
      </c>
      <c r="N1273" s="70" t="s">
        <v>3288</v>
      </c>
      <c r="O1273" s="71">
        <f>IF(OR(I1273=$A$1,I1273=0),"",IF(N1273=MappingTables!$C$14,VLOOKUP(J1273,ModelParameters!$M$8:$N$15,2,FALSE),IF(N1273=MappingTables!$C$16,VLOOKUP(J1273,ModelParameters!$P$8:$Q$15,2,FALSE),0)))</f>
        <v>1</v>
      </c>
      <c r="P1273" s="73">
        <f>IF(OR(I1273=0,I1273=$A$1),0,MIN(O1273*M1273,1)*K1273)</f>
        <v>45.73049843355208</v>
      </c>
      <c r="Q1273" s="73">
        <f>IF(B1273="",0,IF(OR(H1273=MappingTables!$C$34,H1273=MappingTables!$C$35),P1273,0))</f>
        <v>0</v>
      </c>
      <c r="R1273" s="73">
        <f>IF(ISNA(IF(AND(VLOOKUP(CONCATENATE($D1273,$G1273),CSRFinput!$B:$E,4,0)=0,OR(H1273=MappingTables!$C$31,H1273=MappingTables!$C$32)),1,VLOOKUP(CONCATENATE($D1273,$G1273),CSRFinput!$B:$E,4,0))),0,IF(AND(VLOOKUP(CONCATENATE($D1273,$G1273),CSRFinput!$B:$E,4,0)=0,OR(H1273=MappingTables!$C$31,H1273=MappingTables!$C$32)),1,VLOOKUP(CONCATENATE($D1273,$G1273),CSRFinput!$B:$E,4,0)))</f>
        <v>0.054776304963434752</v>
      </c>
      <c r="S1273" s="73">
        <f>IF(B1273="",0,P1273*R1273)</f>
        <v>2.504947728326124</v>
      </c>
      <c r="T1273" s="85">
        <f>IF(B1273="",0,IF(OR(H1273=MappingTables!$C$34,H1273=MappingTables!$C$35),S1273,0))</f>
        <v>0</v>
      </c>
    </row>
    <row r="1274" spans="2:20" s="0" customFormat="0" ht="15">
      <c r="B1274" s="69" t="s">
        <v>4864</v>
      </c>
      <c r="C1274" s="70" t="s">
        <v>4865</v>
      </c>
      <c r="D1274" s="70" t="s">
        <v>1</v>
      </c>
      <c r="E1274" s="70" t="s">
        <v>1</v>
      </c>
      <c r="F1274" s="70"/>
      <c r="G1274" s="70" t="s">
        <v>61</v>
      </c>
      <c r="H1274" s="70" t="s">
        <v>178</v>
      </c>
      <c r="I1274" s="70" t="s">
        <v>198</v>
      </c>
      <c r="J1274" s="71" t="str">
        <f>IF(OR(I1274=0,I1274=""),"unrated",VLOOKUP(I1274,MappingTables!$B$19:$C$31,2,FALSE))</f>
        <v>unrated</v>
      </c>
      <c r="K1274" s="72">
        <v>1.3701739422791314</v>
      </c>
      <c r="L1274" s="70">
        <v>33.468307708249404</v>
      </c>
      <c r="M1274" s="71">
        <f>IF(L1274&lt;1,1,L1274)</f>
        <v>33.468307708249404</v>
      </c>
      <c r="N1274" s="70" t="s">
        <v>3288</v>
      </c>
      <c r="O1274" s="71">
        <f>IF(OR(I1274=$A$1,I1274=0),"",IF(N1274=MappingTables!$C$14,VLOOKUP(J1274,ModelParameters!$M$8:$N$15,2,FALSE),IF(N1274=MappingTables!$C$16,VLOOKUP(J1274,ModelParameters!$P$8:$Q$15,2,FALSE),0)))</f>
        <v>1</v>
      </c>
      <c r="P1274" s="73">
        <f>IF(OR(I1274=0,I1274=$A$1),0,MIN(O1274*M1274,1)*K1274)</f>
        <v>1.3701739422791314</v>
      </c>
      <c r="Q1274" s="73">
        <f>IF(B1274="",0,IF(OR(H1274=MappingTables!$C$34,H1274=MappingTables!$C$35),P1274,0))</f>
        <v>0</v>
      </c>
      <c r="R1274" s="73">
        <f>IF(ISNA(IF(AND(VLOOKUP(CONCATENATE($D1274,$G1274),CSRFinput!$B:$E,4,0)=0,OR(H1274=MappingTables!$C$31,H1274=MappingTables!$C$32)),1,VLOOKUP(CONCATENATE($D1274,$G1274),CSRFinput!$B:$E,4,0))),0,IF(AND(VLOOKUP(CONCATENATE($D1274,$G1274),CSRFinput!$B:$E,4,0)=0,OR(H1274=MappingTables!$C$31,H1274=MappingTables!$C$32)),1,VLOOKUP(CONCATENATE($D1274,$G1274),CSRFinput!$B:$E,4,0)))</f>
        <v>0.054776304963434752</v>
      </c>
      <c r="S1274" s="73">
        <f>IF(B1274="",0,P1274*R1274)</f>
        <v>0.075053065715233344</v>
      </c>
      <c r="T1274" s="85">
        <f>IF(B1274="",0,IF(OR(H1274=MappingTables!$C$34,H1274=MappingTables!$C$35),S1274,0))</f>
        <v>0</v>
      </c>
    </row>
    <row r="1275" spans="2:20" s="0" customFormat="0" ht="15">
      <c r="B1275" s="69">
        <v>22554582</v>
      </c>
      <c r="C1275" s="70" t="s">
        <v>3666</v>
      </c>
      <c r="D1275" s="70" t="s">
        <v>1</v>
      </c>
      <c r="E1275" s="70" t="s">
        <v>1</v>
      </c>
      <c r="F1275" s="70"/>
      <c r="G1275" s="70" t="s">
        <v>61</v>
      </c>
      <c r="H1275" s="70" t="s">
        <v>178</v>
      </c>
      <c r="I1275" s="70" t="s">
        <v>216</v>
      </c>
      <c r="J1275" s="71">
        <f>IF(OR(I1275=0,I1275=""),"unrated",VLOOKUP(I1275,MappingTables!$B$19:$C$31,2,FALSE))</f>
        <v>0</v>
      </c>
      <c r="K1275" s="72">
        <v>921.08996558375968</v>
      </c>
      <c r="L1275" s="70">
        <v>0.081508277958438992</v>
      </c>
      <c r="M1275" s="71">
        <f>IF(L1275&lt;1,1,L1275)</f>
        <v>1</v>
      </c>
      <c r="N1275" s="70" t="s">
        <v>3288</v>
      </c>
      <c r="O1275" s="71">
        <f>IF(OR(I1275=$A$1,I1275=0),"",IF(N1275=MappingTables!$C$14,VLOOKUP(J1275,ModelParameters!$M$8:$N$15,2,FALSE),IF(N1275=MappingTables!$C$16,VLOOKUP(J1275,ModelParameters!$P$8:$Q$15,2,FALSE),0)))</f>
        <v>0.125</v>
      </c>
      <c r="P1275" s="73">
        <f>IF(OR(I1275=0,I1275=$A$1),0,MIN(O1275*M1275,1)*K1275)</f>
        <v>115.13624569796996</v>
      </c>
      <c r="Q1275" s="73">
        <f>IF(B1275="",0,IF(OR(H1275=MappingTables!$C$34,H1275=MappingTables!$C$35),P1275,0))</f>
        <v>0</v>
      </c>
      <c r="R1275" s="73">
        <f>IF(ISNA(IF(AND(VLOOKUP(CONCATENATE($D1275,$G1275),CSRFinput!$B:$E,4,0)=0,OR(H1275=MappingTables!$C$31,H1275=MappingTables!$C$32)),1,VLOOKUP(CONCATENATE($D1275,$G1275),CSRFinput!$B:$E,4,0))),0,IF(AND(VLOOKUP(CONCATENATE($D1275,$G1275),CSRFinput!$B:$E,4,0)=0,OR(H1275=MappingTables!$C$31,H1275=MappingTables!$C$32)),1,VLOOKUP(CONCATENATE($D1275,$G1275),CSRFinput!$B:$E,4,0)))</f>
        <v>0.054776304963434752</v>
      </c>
      <c r="S1275" s="73">
        <f>IF(B1275="",0,P1275*R1275)</f>
        <v>6.3067381066969544</v>
      </c>
      <c r="T1275" s="85">
        <f>IF(B1275="",0,IF(OR(H1275=MappingTables!$C$34,H1275=MappingTables!$C$35),S1275,0))</f>
        <v>0</v>
      </c>
    </row>
    <row r="1276" spans="2:20" s="0" customFormat="0" ht="15">
      <c r="B1276" s="69" t="s">
        <v>4045</v>
      </c>
      <c r="C1276" s="70" t="s">
        <v>4046</v>
      </c>
      <c r="D1276" s="70" t="s">
        <v>1</v>
      </c>
      <c r="E1276" s="70" t="s">
        <v>1</v>
      </c>
      <c r="F1276" s="70"/>
      <c r="G1276" s="70" t="s">
        <v>61</v>
      </c>
      <c r="H1276" s="70" t="s">
        <v>178</v>
      </c>
      <c r="I1276" s="70" t="s">
        <v>198</v>
      </c>
      <c r="J1276" s="71" t="str">
        <f>IF(OR(I1276=0,I1276=""),"unrated",VLOOKUP(I1276,MappingTables!$B$19:$C$31,2,FALSE))</f>
        <v>unrated</v>
      </c>
      <c r="K1276" s="72">
        <v>186.47237820951208</v>
      </c>
      <c r="L1276" s="70">
        <v>18.000844054175832</v>
      </c>
      <c r="M1276" s="71">
        <f>IF(L1276&lt;1,1,L1276)</f>
        <v>18.000844054175832</v>
      </c>
      <c r="N1276" s="70" t="s">
        <v>3288</v>
      </c>
      <c r="O1276" s="71">
        <f>IF(OR(I1276=$A$1,I1276=0),"",IF(N1276=MappingTables!$C$14,VLOOKUP(J1276,ModelParameters!$M$8:$N$15,2,FALSE),IF(N1276=MappingTables!$C$16,VLOOKUP(J1276,ModelParameters!$P$8:$Q$15,2,FALSE),0)))</f>
        <v>1</v>
      </c>
      <c r="P1276" s="73">
        <f>IF(OR(I1276=0,I1276=$A$1),0,MIN(O1276*M1276,1)*K1276)</f>
        <v>186.47237820951208</v>
      </c>
      <c r="Q1276" s="73">
        <f>IF(B1276="",0,IF(OR(H1276=MappingTables!$C$34,H1276=MappingTables!$C$35),P1276,0))</f>
        <v>0</v>
      </c>
      <c r="R1276" s="73">
        <f>IF(ISNA(IF(AND(VLOOKUP(CONCATENATE($D1276,$G1276),CSRFinput!$B:$E,4,0)=0,OR(H1276=MappingTables!$C$31,H1276=MappingTables!$C$32)),1,VLOOKUP(CONCATENATE($D1276,$G1276),CSRFinput!$B:$E,4,0))),0,IF(AND(VLOOKUP(CONCATENATE($D1276,$G1276),CSRFinput!$B:$E,4,0)=0,OR(H1276=MappingTables!$C$31,H1276=MappingTables!$C$32)),1,VLOOKUP(CONCATENATE($D1276,$G1276),CSRFinput!$B:$E,4,0)))</f>
        <v>0.054776304963434752</v>
      </c>
      <c r="S1276" s="73">
        <f>IF(B1276="",0,P1276*R1276)</f>
        <v>10.214267856061178</v>
      </c>
      <c r="T1276" s="85">
        <f>IF(B1276="",0,IF(OR(H1276=MappingTables!$C$34,H1276=MappingTables!$C$35),S1276,0))</f>
        <v>0</v>
      </c>
    </row>
    <row r="1277" spans="2:20" s="0" customFormat="0" ht="15">
      <c r="B1277" s="69" t="s">
        <v>3467</v>
      </c>
      <c r="C1277" s="70" t="s">
        <v>3468</v>
      </c>
      <c r="D1277" s="70" t="s">
        <v>1</v>
      </c>
      <c r="E1277" s="70" t="s">
        <v>1</v>
      </c>
      <c r="F1277" s="70"/>
      <c r="G1277" s="70" t="s">
        <v>61</v>
      </c>
      <c r="H1277" s="70" t="s">
        <v>178</v>
      </c>
      <c r="I1277" s="70" t="s">
        <v>179</v>
      </c>
      <c r="J1277" s="71">
        <f>IF(OR(I1277=0,I1277=""),"unrated",VLOOKUP(I1277,MappingTables!$B$19:$C$31,2,FALSE))</f>
        <v>4</v>
      </c>
      <c r="K1277" s="72">
        <v>680.70463517026792</v>
      </c>
      <c r="L1277" s="70">
        <v>1.5876435072235394</v>
      </c>
      <c r="M1277" s="71">
        <f>IF(L1277&lt;1,1,L1277)</f>
        <v>1.5876435072235394</v>
      </c>
      <c r="N1277" s="70" t="s">
        <v>3288</v>
      </c>
      <c r="O1277" s="71">
        <f>IF(OR(I1277=$A$1,I1277=0),"",IF(N1277=MappingTables!$C$14,VLOOKUP(J1277,ModelParameters!$M$8:$N$15,2,FALSE),IF(N1277=MappingTables!$C$16,VLOOKUP(J1277,ModelParameters!$P$8:$Q$15,2,FALSE),0)))</f>
        <v>0.82</v>
      </c>
      <c r="P1277" s="73">
        <f>IF(OR(I1277=0,I1277=$A$1),0,MIN(O1277*M1277,1)*K1277)</f>
        <v>680.70463517026792</v>
      </c>
      <c r="Q1277" s="73">
        <f>IF(B1277="",0,IF(OR(H1277=MappingTables!$C$34,H1277=MappingTables!$C$35),P1277,0))</f>
        <v>0</v>
      </c>
      <c r="R1277" s="73">
        <f>IF(ISNA(IF(AND(VLOOKUP(CONCATENATE($D1277,$G1277),CSRFinput!$B:$E,4,0)=0,OR(H1277=MappingTables!$C$31,H1277=MappingTables!$C$32)),1,VLOOKUP(CONCATENATE($D1277,$G1277),CSRFinput!$B:$E,4,0))),0,IF(AND(VLOOKUP(CONCATENATE($D1277,$G1277),CSRFinput!$B:$E,4,0)=0,OR(H1277=MappingTables!$C$31,H1277=MappingTables!$C$32)),1,VLOOKUP(CONCATENATE($D1277,$G1277),CSRFinput!$B:$E,4,0)))</f>
        <v>0.054776304963434752</v>
      </c>
      <c r="S1277" s="73">
        <f>IF(B1277="",0,P1277*R1277)</f>
        <v>37.286484686110192</v>
      </c>
      <c r="T1277" s="85">
        <f>IF(B1277="",0,IF(OR(H1277=MappingTables!$C$34,H1277=MappingTables!$C$35),S1277,0))</f>
        <v>0</v>
      </c>
    </row>
    <row r="1278" spans="2:20" s="0" customFormat="0" ht="15">
      <c r="B1278" s="69" t="s">
        <v>4866</v>
      </c>
      <c r="C1278" s="70" t="s">
        <v>4867</v>
      </c>
      <c r="D1278" s="70" t="s">
        <v>1</v>
      </c>
      <c r="E1278" s="70" t="s">
        <v>1</v>
      </c>
      <c r="F1278" s="70"/>
      <c r="G1278" s="70" t="s">
        <v>61</v>
      </c>
      <c r="H1278" s="70" t="s">
        <v>178</v>
      </c>
      <c r="I1278" s="70" t="s">
        <v>216</v>
      </c>
      <c r="J1278" s="71">
        <f>IF(OR(I1278=0,I1278=""),"unrated",VLOOKUP(I1278,MappingTables!$B$19:$C$31,2,FALSE))</f>
        <v>0</v>
      </c>
      <c r="K1278" s="72">
        <v>19.043207889022408</v>
      </c>
      <c r="L1278" s="70">
        <v>2.8953540551149804</v>
      </c>
      <c r="M1278" s="71">
        <f>IF(L1278&lt;1,1,L1278)</f>
        <v>2.8953540551149804</v>
      </c>
      <c r="N1278" s="70" t="s">
        <v>3288</v>
      </c>
      <c r="O1278" s="71">
        <f>IF(OR(I1278=$A$1,I1278=0),"",IF(N1278=MappingTables!$C$14,VLOOKUP(J1278,ModelParameters!$M$8:$N$15,2,FALSE),IF(N1278=MappingTables!$C$16,VLOOKUP(J1278,ModelParameters!$P$8:$Q$15,2,FALSE),0)))</f>
        <v>0.125</v>
      </c>
      <c r="P1278" s="73">
        <f>IF(OR(I1278=0,I1278=$A$1),0,MIN(O1278*M1278,1)*K1278)</f>
        <v>6.8921036479848272</v>
      </c>
      <c r="Q1278" s="73">
        <f>IF(B1278="",0,IF(OR(H1278=MappingTables!$C$34,H1278=MappingTables!$C$35),P1278,0))</f>
        <v>0</v>
      </c>
      <c r="R1278" s="73">
        <f>IF(ISNA(IF(AND(VLOOKUP(CONCATENATE($D1278,$G1278),CSRFinput!$B:$E,4,0)=0,OR(H1278=MappingTables!$C$31,H1278=MappingTables!$C$32)),1,VLOOKUP(CONCATENATE($D1278,$G1278),CSRFinput!$B:$E,4,0))),0,IF(AND(VLOOKUP(CONCATENATE($D1278,$G1278),CSRFinput!$B:$E,4,0)=0,OR(H1278=MappingTables!$C$31,H1278=MappingTables!$C$32)),1,VLOOKUP(CONCATENATE($D1278,$G1278),CSRFinput!$B:$E,4,0)))</f>
        <v>0.054776304963434752</v>
      </c>
      <c r="S1278" s="73">
        <f>IF(B1278="",0,P1278*R1278)</f>
        <v>0.37752397126161808</v>
      </c>
      <c r="T1278" s="85">
        <f>IF(B1278="",0,IF(OR(H1278=MappingTables!$C$34,H1278=MappingTables!$C$35),S1278,0))</f>
        <v>0</v>
      </c>
    </row>
    <row r="1279" spans="2:20" s="0" customFormat="0" ht="15">
      <c r="B1279" s="69">
        <v>506411</v>
      </c>
      <c r="C1279" s="70" t="s">
        <v>4631</v>
      </c>
      <c r="D1279" s="70" t="s">
        <v>1</v>
      </c>
      <c r="E1279" s="70" t="s">
        <v>1</v>
      </c>
      <c r="F1279" s="70"/>
      <c r="G1279" s="70" t="s">
        <v>61</v>
      </c>
      <c r="H1279" s="70" t="s">
        <v>178</v>
      </c>
      <c r="I1279" s="70" t="s">
        <v>204</v>
      </c>
      <c r="J1279" s="71">
        <f>IF(OR(I1279=0,I1279=""),"unrated",VLOOKUP(I1279,MappingTables!$B$19:$C$31,2,FALSE))</f>
        <v>6</v>
      </c>
      <c r="K1279" s="72">
        <v>104.45138512054774</v>
      </c>
      <c r="L1279" s="70">
        <v>0.068494363443270384</v>
      </c>
      <c r="M1279" s="71">
        <f>IF(L1279&lt;1,1,L1279)</f>
        <v>1</v>
      </c>
      <c r="N1279" s="70" t="s">
        <v>3288</v>
      </c>
      <c r="O1279" s="71">
        <f>IF(OR(I1279=$A$1,I1279=0),"",IF(N1279=MappingTables!$C$14,VLOOKUP(J1279,ModelParameters!$M$8:$N$15,2,FALSE),IF(N1279=MappingTables!$C$16,VLOOKUP(J1279,ModelParameters!$P$8:$Q$15,2,FALSE),0)))</f>
        <v>1</v>
      </c>
      <c r="P1279" s="73">
        <f>IF(OR(I1279=0,I1279=$A$1),0,MIN(O1279*M1279,1)*K1279)</f>
        <v>104.45138512054774</v>
      </c>
      <c r="Q1279" s="73">
        <f>IF(B1279="",0,IF(OR(H1279=MappingTables!$C$34,H1279=MappingTables!$C$35),P1279,0))</f>
        <v>0</v>
      </c>
      <c r="R1279" s="73">
        <f>IF(ISNA(IF(AND(VLOOKUP(CONCATENATE($D1279,$G1279),CSRFinput!$B:$E,4,0)=0,OR(H1279=MappingTables!$C$31,H1279=MappingTables!$C$32)),1,VLOOKUP(CONCATENATE($D1279,$G1279),CSRFinput!$B:$E,4,0))),0,IF(AND(VLOOKUP(CONCATENATE($D1279,$G1279),CSRFinput!$B:$E,4,0)=0,OR(H1279=MappingTables!$C$31,H1279=MappingTables!$C$32)),1,VLOOKUP(CONCATENATE($D1279,$G1279),CSRFinput!$B:$E,4,0)))</f>
        <v>0.054776304963434752</v>
      </c>
      <c r="S1279" s="73">
        <f>IF(B1279="",0,P1279*R1279)</f>
        <v>5.7214609252162944</v>
      </c>
      <c r="T1279" s="85">
        <f>IF(B1279="",0,IF(OR(H1279=MappingTables!$C$34,H1279=MappingTables!$C$35),S1279,0))</f>
        <v>0</v>
      </c>
    </row>
    <row r="1280" spans="2:20" s="0" customFormat="0" ht="15">
      <c r="B1280" s="69">
        <v>980350</v>
      </c>
      <c r="C1280" s="70" t="s">
        <v>4813</v>
      </c>
      <c r="D1280" s="70" t="s">
        <v>1</v>
      </c>
      <c r="E1280" s="70" t="s">
        <v>1</v>
      </c>
      <c r="F1280" s="70"/>
      <c r="G1280" s="70" t="s">
        <v>61</v>
      </c>
      <c r="H1280" s="70" t="s">
        <v>178</v>
      </c>
      <c r="I1280" s="70" t="s">
        <v>184</v>
      </c>
      <c r="J1280" s="71">
        <f>IF(OR(I1280=0,I1280=""),"unrated",VLOOKUP(I1280,MappingTables!$B$19:$C$31,2,FALSE))</f>
        <v>5</v>
      </c>
      <c r="K1280" s="72">
        <v>23.213298034334872</v>
      </c>
      <c r="L1280" s="70">
        <v>0.078461478066294784</v>
      </c>
      <c r="M1280" s="71">
        <f>IF(L1280&lt;1,1,L1280)</f>
        <v>1</v>
      </c>
      <c r="N1280" s="70" t="s">
        <v>3288</v>
      </c>
      <c r="O1280" s="71">
        <f>IF(OR(I1280=$A$1,I1280=0),"",IF(N1280=MappingTables!$C$14,VLOOKUP(J1280,ModelParameters!$M$8:$N$15,2,FALSE),IF(N1280=MappingTables!$C$16,VLOOKUP(J1280,ModelParameters!$P$8:$Q$15,2,FALSE),0)))</f>
        <v>1</v>
      </c>
      <c r="P1280" s="73">
        <f>IF(OR(I1280=0,I1280=$A$1),0,MIN(O1280*M1280,1)*K1280)</f>
        <v>23.213298034334872</v>
      </c>
      <c r="Q1280" s="73">
        <f>IF(B1280="",0,IF(OR(H1280=MappingTables!$C$34,H1280=MappingTables!$C$35),P1280,0))</f>
        <v>0</v>
      </c>
      <c r="R1280" s="73">
        <f>IF(ISNA(IF(AND(VLOOKUP(CONCATENATE($D1280,$G1280),CSRFinput!$B:$E,4,0)=0,OR(H1280=MappingTables!$C$31,H1280=MappingTables!$C$32)),1,VLOOKUP(CONCATENATE($D1280,$G1280),CSRFinput!$B:$E,4,0))),0,IF(AND(VLOOKUP(CONCATENATE($D1280,$G1280),CSRFinput!$B:$E,4,0)=0,OR(H1280=MappingTables!$C$31,H1280=MappingTables!$C$32)),1,VLOOKUP(CONCATENATE($D1280,$G1280),CSRFinput!$B:$E,4,0)))</f>
        <v>0.054776304963434752</v>
      </c>
      <c r="S1280" s="73">
        <f>IF(B1280="",0,P1280*R1280)</f>
        <v>1.2715386923358274</v>
      </c>
      <c r="T1280" s="85">
        <f>IF(B1280="",0,IF(OR(H1280=MappingTables!$C$34,H1280=MappingTables!$C$35),S1280,0))</f>
        <v>0</v>
      </c>
    </row>
    <row r="1281" spans="2:20" s="0" customFormat="0" ht="15">
      <c r="B1281" s="69" t="s">
        <v>4868</v>
      </c>
      <c r="C1281" s="70" t="s">
        <v>4869</v>
      </c>
      <c r="D1281" s="70" t="s">
        <v>1</v>
      </c>
      <c r="E1281" s="70" t="s">
        <v>1</v>
      </c>
      <c r="F1281" s="70"/>
      <c r="G1281" s="70" t="s">
        <v>61</v>
      </c>
      <c r="H1281" s="70" t="s">
        <v>178</v>
      </c>
      <c r="I1281" s="70" t="s">
        <v>198</v>
      </c>
      <c r="J1281" s="71" t="str">
        <f>IF(OR(I1281=0,I1281=""),"unrated",VLOOKUP(I1281,MappingTables!$B$19:$C$31,2,FALSE))</f>
        <v>unrated</v>
      </c>
      <c r="K1281" s="72">
        <v>304.41754947789644</v>
      </c>
      <c r="L1281" s="70">
        <v>7.7656663848982224</v>
      </c>
      <c r="M1281" s="71">
        <f>IF(L1281&lt;1,1,L1281)</f>
        <v>7.7656663848982224</v>
      </c>
      <c r="N1281" s="70" t="s">
        <v>3288</v>
      </c>
      <c r="O1281" s="71">
        <f>IF(OR(I1281=$A$1,I1281=0),"",IF(N1281=MappingTables!$C$14,VLOOKUP(J1281,ModelParameters!$M$8:$N$15,2,FALSE),IF(N1281=MappingTables!$C$16,VLOOKUP(J1281,ModelParameters!$P$8:$Q$15,2,FALSE),0)))</f>
        <v>1</v>
      </c>
      <c r="P1281" s="73">
        <f>IF(OR(I1281=0,I1281=$A$1),0,MIN(O1281*M1281,1)*K1281)</f>
        <v>304.41754947789644</v>
      </c>
      <c r="Q1281" s="73">
        <f>IF(B1281="",0,IF(OR(H1281=MappingTables!$C$34,H1281=MappingTables!$C$35),P1281,0))</f>
        <v>0</v>
      </c>
      <c r="R1281" s="73">
        <f>IF(ISNA(IF(AND(VLOOKUP(CONCATENATE($D1281,$G1281),CSRFinput!$B:$E,4,0)=0,OR(H1281=MappingTables!$C$31,H1281=MappingTables!$C$32)),1,VLOOKUP(CONCATENATE($D1281,$G1281),CSRFinput!$B:$E,4,0))),0,IF(AND(VLOOKUP(CONCATENATE($D1281,$G1281),CSRFinput!$B:$E,4,0)=0,OR(H1281=MappingTables!$C$31,H1281=MappingTables!$C$32)),1,VLOOKUP(CONCATENATE($D1281,$G1281),CSRFinput!$B:$E,4,0)))</f>
        <v>0.054776304963434752</v>
      </c>
      <c r="S1281" s="73">
        <f>IF(B1281="",0,P1281*R1281)</f>
        <v>16.674868526422742</v>
      </c>
      <c r="T1281" s="85">
        <f>IF(B1281="",0,IF(OR(H1281=MappingTables!$C$34,H1281=MappingTables!$C$35),S1281,0))</f>
        <v>0</v>
      </c>
    </row>
    <row r="1282" spans="2:20" s="0" customFormat="0" ht="15">
      <c r="B1282" s="69">
        <v>17849962</v>
      </c>
      <c r="C1282" s="70" t="s">
        <v>4870</v>
      </c>
      <c r="D1282" s="70" t="s">
        <v>1</v>
      </c>
      <c r="E1282" s="70" t="s">
        <v>1</v>
      </c>
      <c r="F1282" s="70"/>
      <c r="G1282" s="70" t="s">
        <v>61</v>
      </c>
      <c r="H1282" s="70" t="s">
        <v>178</v>
      </c>
      <c r="I1282" s="70" t="s">
        <v>216</v>
      </c>
      <c r="J1282" s="71">
        <f>IF(OR(I1282=0,I1282=""),"unrated",VLOOKUP(I1282,MappingTables!$B$19:$C$31,2,FALSE))</f>
        <v>0</v>
      </c>
      <c r="K1282" s="72">
        <v>481.32614178198712</v>
      </c>
      <c r="L1282" s="70">
        <v>0.05232918812159248</v>
      </c>
      <c r="M1282" s="71">
        <f>IF(L1282&lt;1,1,L1282)</f>
        <v>1</v>
      </c>
      <c r="N1282" s="70" t="s">
        <v>3288</v>
      </c>
      <c r="O1282" s="71">
        <f>IF(OR(I1282=$A$1,I1282=0),"",IF(N1282=MappingTables!$C$14,VLOOKUP(J1282,ModelParameters!$M$8:$N$15,2,FALSE),IF(N1282=MappingTables!$C$16,VLOOKUP(J1282,ModelParameters!$P$8:$Q$15,2,FALSE),0)))</f>
        <v>0.125</v>
      </c>
      <c r="P1282" s="73">
        <f>IF(OR(I1282=0,I1282=$A$1),0,MIN(O1282*M1282,1)*K1282)</f>
        <v>60.165767722748392</v>
      </c>
      <c r="Q1282" s="73">
        <f>IF(B1282="",0,IF(OR(H1282=MappingTables!$C$34,H1282=MappingTables!$C$35),P1282,0))</f>
        <v>0</v>
      </c>
      <c r="R1282" s="73">
        <f>IF(ISNA(IF(AND(VLOOKUP(CONCATENATE($D1282,$G1282),CSRFinput!$B:$E,4,0)=0,OR(H1282=MappingTables!$C$31,H1282=MappingTables!$C$32)),1,VLOOKUP(CONCATENATE($D1282,$G1282),CSRFinput!$B:$E,4,0))),0,IF(AND(VLOOKUP(CONCATENATE($D1282,$G1282),CSRFinput!$B:$E,4,0)=0,OR(H1282=MappingTables!$C$31,H1282=MappingTables!$C$32)),1,VLOOKUP(CONCATENATE($D1282,$G1282),CSRFinput!$B:$E,4,0)))</f>
        <v>0.054776304963434752</v>
      </c>
      <c r="S1282" s="73">
        <f>IF(B1282="",0,P1282*R1282)</f>
        <v>3.2956584411404452</v>
      </c>
      <c r="T1282" s="85">
        <f>IF(B1282="",0,IF(OR(H1282=MappingTables!$C$34,H1282=MappingTables!$C$35),S1282,0))</f>
        <v>0</v>
      </c>
    </row>
    <row r="1283" spans="2:20" s="0" customFormat="0" ht="15">
      <c r="B1283" s="69" t="s">
        <v>4703</v>
      </c>
      <c r="C1283" s="70" t="s">
        <v>4704</v>
      </c>
      <c r="D1283" s="70" t="s">
        <v>1</v>
      </c>
      <c r="E1283" s="70" t="s">
        <v>1</v>
      </c>
      <c r="F1283" s="70"/>
      <c r="G1283" s="70" t="s">
        <v>61</v>
      </c>
      <c r="H1283" s="70" t="s">
        <v>178</v>
      </c>
      <c r="I1283" s="70" t="s">
        <v>3298</v>
      </c>
      <c r="J1283" s="71">
        <f>IF(OR(I1283=0,I1283=""),"unrated",VLOOKUP(I1283,MappingTables!$B$19:$C$31,2,FALSE))</f>
        <v>6</v>
      </c>
      <c r="K1283" s="72">
        <v>459.90405510527152</v>
      </c>
      <c r="L1283" s="70">
        <v>0.06849153492880612</v>
      </c>
      <c r="M1283" s="71">
        <f>IF(L1283&lt;1,1,L1283)</f>
        <v>1</v>
      </c>
      <c r="N1283" s="70" t="s">
        <v>3288</v>
      </c>
      <c r="O1283" s="71">
        <f>IF(OR(I1283=$A$1,I1283=0),"",IF(N1283=MappingTables!$C$14,VLOOKUP(J1283,ModelParameters!$M$8:$N$15,2,FALSE),IF(N1283=MappingTables!$C$16,VLOOKUP(J1283,ModelParameters!$P$8:$Q$15,2,FALSE),0)))</f>
        <v>1</v>
      </c>
      <c r="P1283" s="73">
        <f>IF(OR(I1283=0,I1283=$A$1),0,MIN(O1283*M1283,1)*K1283)</f>
        <v>459.90405510527152</v>
      </c>
      <c r="Q1283" s="73">
        <f>IF(B1283="",0,IF(OR(H1283=MappingTables!$C$34,H1283=MappingTables!$C$35),P1283,0))</f>
        <v>0</v>
      </c>
      <c r="R1283" s="73">
        <f>IF(ISNA(IF(AND(VLOOKUP(CONCATENATE($D1283,$G1283),CSRFinput!$B:$E,4,0)=0,OR(H1283=MappingTables!$C$31,H1283=MappingTables!$C$32)),1,VLOOKUP(CONCATENATE($D1283,$G1283),CSRFinput!$B:$E,4,0))),0,IF(AND(VLOOKUP(CONCATENATE($D1283,$G1283),CSRFinput!$B:$E,4,0)=0,OR(H1283=MappingTables!$C$31,H1283=MappingTables!$C$32)),1,VLOOKUP(CONCATENATE($D1283,$G1283),CSRFinput!$B:$E,4,0)))</f>
        <v>0.054776304963434752</v>
      </c>
      <c r="S1283" s="73">
        <f>IF(B1283="",0,P1283*R1283)</f>
        <v>25.191844776366656</v>
      </c>
      <c r="T1283" s="85">
        <f>IF(B1283="",0,IF(OR(H1283=MappingTables!$C$34,H1283=MappingTables!$C$35),S1283,0))</f>
        <v>0</v>
      </c>
    </row>
    <row r="1284" spans="2:20" s="0" customFormat="0" ht="15">
      <c r="B1284" s="69" t="s">
        <v>4231</v>
      </c>
      <c r="C1284" s="70" t="s">
        <v>4232</v>
      </c>
      <c r="D1284" s="70" t="s">
        <v>1</v>
      </c>
      <c r="E1284" s="70" t="s">
        <v>1</v>
      </c>
      <c r="F1284" s="70"/>
      <c r="G1284" s="70" t="s">
        <v>61</v>
      </c>
      <c r="H1284" s="70" t="s">
        <v>178</v>
      </c>
      <c r="I1284" s="70" t="s">
        <v>3298</v>
      </c>
      <c r="J1284" s="71">
        <f>IF(OR(I1284=0,I1284=""),"unrated",VLOOKUP(I1284,MappingTables!$B$19:$C$31,2,FALSE))</f>
        <v>6</v>
      </c>
      <c r="K1284" s="72">
        <v>4485.4807986191344</v>
      </c>
      <c r="L1284" s="70">
        <v>4.031227082779916</v>
      </c>
      <c r="M1284" s="71">
        <f>IF(L1284&lt;1,1,L1284)</f>
        <v>4.031227082779916</v>
      </c>
      <c r="N1284" s="70" t="s">
        <v>3288</v>
      </c>
      <c r="O1284" s="71">
        <f>IF(OR(I1284=$A$1,I1284=0),"",IF(N1284=MappingTables!$C$14,VLOOKUP(J1284,ModelParameters!$M$8:$N$15,2,FALSE),IF(N1284=MappingTables!$C$16,VLOOKUP(J1284,ModelParameters!$P$8:$Q$15,2,FALSE),0)))</f>
        <v>1</v>
      </c>
      <c r="P1284" s="73">
        <f>IF(OR(I1284=0,I1284=$A$1),0,MIN(O1284*M1284,1)*K1284)</f>
        <v>4485.4807986191344</v>
      </c>
      <c r="Q1284" s="73">
        <f>IF(B1284="",0,IF(OR(H1284=MappingTables!$C$34,H1284=MappingTables!$C$35),P1284,0))</f>
        <v>0</v>
      </c>
      <c r="R1284" s="73">
        <f>IF(ISNA(IF(AND(VLOOKUP(CONCATENATE($D1284,$G1284),CSRFinput!$B:$E,4,0)=0,OR(H1284=MappingTables!$C$31,H1284=MappingTables!$C$32)),1,VLOOKUP(CONCATENATE($D1284,$G1284),CSRFinput!$B:$E,4,0))),0,IF(AND(VLOOKUP(CONCATENATE($D1284,$G1284),CSRFinput!$B:$E,4,0)=0,OR(H1284=MappingTables!$C$31,H1284=MappingTables!$C$32)),1,VLOOKUP(CONCATENATE($D1284,$G1284),CSRFinput!$B:$E,4,0)))</f>
        <v>0.054776304963434752</v>
      </c>
      <c r="S1284" s="73">
        <f>IF(B1284="",0,P1284*R1284)</f>
        <v>245.6980641327926</v>
      </c>
      <c r="T1284" s="85">
        <f>IF(B1284="",0,IF(OR(H1284=MappingTables!$C$34,H1284=MappingTables!$C$35),S1284,0))</f>
        <v>0</v>
      </c>
    </row>
    <row r="1285" spans="2:20" s="0" customFormat="0" ht="15">
      <c r="B1285" s="69" t="s">
        <v>4188</v>
      </c>
      <c r="C1285" s="70" t="s">
        <v>4189</v>
      </c>
      <c r="D1285" s="70" t="s">
        <v>1</v>
      </c>
      <c r="E1285" s="70" t="s">
        <v>1</v>
      </c>
      <c r="F1285" s="70"/>
      <c r="G1285" s="70" t="s">
        <v>61</v>
      </c>
      <c r="H1285" s="70" t="s">
        <v>178</v>
      </c>
      <c r="I1285" s="70" t="s">
        <v>179</v>
      </c>
      <c r="J1285" s="71">
        <f>IF(OR(I1285=0,I1285=""),"unrated",VLOOKUP(I1285,MappingTables!$B$19:$C$31,2,FALSE))</f>
        <v>4</v>
      </c>
      <c r="K1285" s="72">
        <v>381.21367843547976</v>
      </c>
      <c r="L1285" s="70">
        <v>0.080803174230781296</v>
      </c>
      <c r="M1285" s="71">
        <f>IF(L1285&lt;1,1,L1285)</f>
        <v>1</v>
      </c>
      <c r="N1285" s="70" t="s">
        <v>3288</v>
      </c>
      <c r="O1285" s="71">
        <f>IF(OR(I1285=$A$1,I1285=0),"",IF(N1285=MappingTables!$C$14,VLOOKUP(J1285,ModelParameters!$M$8:$N$15,2,FALSE),IF(N1285=MappingTables!$C$16,VLOOKUP(J1285,ModelParameters!$P$8:$Q$15,2,FALSE),0)))</f>
        <v>0.82</v>
      </c>
      <c r="P1285" s="73">
        <f>IF(OR(I1285=0,I1285=$A$1),0,MIN(O1285*M1285,1)*K1285)</f>
        <v>312.5952163170934</v>
      </c>
      <c r="Q1285" s="73">
        <f>IF(B1285="",0,IF(OR(H1285=MappingTables!$C$34,H1285=MappingTables!$C$35),P1285,0))</f>
        <v>0</v>
      </c>
      <c r="R1285" s="73">
        <f>IF(ISNA(IF(AND(VLOOKUP(CONCATENATE($D1285,$G1285),CSRFinput!$B:$E,4,0)=0,OR(H1285=MappingTables!$C$31,H1285=MappingTables!$C$32)),1,VLOOKUP(CONCATENATE($D1285,$G1285),CSRFinput!$B:$E,4,0))),0,IF(AND(VLOOKUP(CONCATENATE($D1285,$G1285),CSRFinput!$B:$E,4,0)=0,OR(H1285=MappingTables!$C$31,H1285=MappingTables!$C$32)),1,VLOOKUP(CONCATENATE($D1285,$G1285),CSRFinput!$B:$E,4,0)))</f>
        <v>0.054776304963434752</v>
      </c>
      <c r="S1285" s="73">
        <f>IF(B1285="",0,P1285*R1285)</f>
        <v>17.122810899095964</v>
      </c>
      <c r="T1285" s="85">
        <f>IF(B1285="",0,IF(OR(H1285=MappingTables!$C$34,H1285=MappingTables!$C$35),S1285,0))</f>
        <v>0</v>
      </c>
    </row>
    <row r="1286" spans="2:20" s="0" customFormat="0" ht="15">
      <c r="B1286" s="69" t="s">
        <v>4262</v>
      </c>
      <c r="C1286" s="70" t="s">
        <v>4263</v>
      </c>
      <c r="D1286" s="70" t="s">
        <v>1</v>
      </c>
      <c r="E1286" s="70" t="s">
        <v>1</v>
      </c>
      <c r="F1286" s="70"/>
      <c r="G1286" s="70" t="s">
        <v>61</v>
      </c>
      <c r="H1286" s="70" t="s">
        <v>178</v>
      </c>
      <c r="I1286" s="70" t="s">
        <v>198</v>
      </c>
      <c r="J1286" s="71" t="str">
        <f>IF(OR(I1286=0,I1286=""),"unrated",VLOOKUP(I1286,MappingTables!$B$19:$C$31,2,FALSE))</f>
        <v>unrated</v>
      </c>
      <c r="K1286" s="72">
        <v>107.43243781102526</v>
      </c>
      <c r="L1286" s="70">
        <v>0.052053484119276472</v>
      </c>
      <c r="M1286" s="71">
        <f>IF(L1286&lt;1,1,L1286)</f>
        <v>1</v>
      </c>
      <c r="N1286" s="70" t="s">
        <v>3288</v>
      </c>
      <c r="O1286" s="71">
        <f>IF(OR(I1286=$A$1,I1286=0),"",IF(N1286=MappingTables!$C$14,VLOOKUP(J1286,ModelParameters!$M$8:$N$15,2,FALSE),IF(N1286=MappingTables!$C$16,VLOOKUP(J1286,ModelParameters!$P$8:$Q$15,2,FALSE),0)))</f>
        <v>1</v>
      </c>
      <c r="P1286" s="73">
        <f>IF(OR(I1286=0,I1286=$A$1),0,MIN(O1286*M1286,1)*K1286)</f>
        <v>107.43243781102526</v>
      </c>
      <c r="Q1286" s="73">
        <f>IF(B1286="",0,IF(OR(H1286=MappingTables!$C$34,H1286=MappingTables!$C$35),P1286,0))</f>
        <v>0</v>
      </c>
      <c r="R1286" s="73">
        <f>IF(ISNA(IF(AND(VLOOKUP(CONCATENATE($D1286,$G1286),CSRFinput!$B:$E,4,0)=0,OR(H1286=MappingTables!$C$31,H1286=MappingTables!$C$32)),1,VLOOKUP(CONCATENATE($D1286,$G1286),CSRFinput!$B:$E,4,0))),0,IF(AND(VLOOKUP(CONCATENATE($D1286,$G1286),CSRFinput!$B:$E,4,0)=0,OR(H1286=MappingTables!$C$31,H1286=MappingTables!$C$32)),1,VLOOKUP(CONCATENATE($D1286,$G1286),CSRFinput!$B:$E,4,0)))</f>
        <v>0.054776304963434752</v>
      </c>
      <c r="S1286" s="73">
        <f>IF(B1286="",0,P1286*R1286)</f>
        <v>5.8847519765019592</v>
      </c>
      <c r="T1286" s="85">
        <f>IF(B1286="",0,IF(OR(H1286=MappingTables!$C$34,H1286=MappingTables!$C$35),S1286,0))</f>
        <v>0</v>
      </c>
    </row>
    <row r="1287" spans="2:20" s="0" customFormat="0" ht="15">
      <c r="B1287" s="69" t="s">
        <v>4542</v>
      </c>
      <c r="C1287" s="70" t="s">
        <v>4543</v>
      </c>
      <c r="D1287" s="70" t="s">
        <v>1</v>
      </c>
      <c r="E1287" s="70" t="s">
        <v>1</v>
      </c>
      <c r="F1287" s="70"/>
      <c r="G1287" s="70" t="s">
        <v>61</v>
      </c>
      <c r="H1287" s="70" t="s">
        <v>178</v>
      </c>
      <c r="I1287" s="70" t="s">
        <v>198</v>
      </c>
      <c r="J1287" s="71" t="str">
        <f>IF(OR(I1287=0,I1287=""),"unrated",VLOOKUP(I1287,MappingTables!$B$19:$C$31,2,FALSE))</f>
        <v>unrated</v>
      </c>
      <c r="K1287" s="72">
        <v>397.81796454960488</v>
      </c>
      <c r="L1287" s="70">
        <v>6.0572411030881896</v>
      </c>
      <c r="M1287" s="71">
        <f>IF(L1287&lt;1,1,L1287)</f>
        <v>6.0572411030881896</v>
      </c>
      <c r="N1287" s="70" t="s">
        <v>3288</v>
      </c>
      <c r="O1287" s="71">
        <f>IF(OR(I1287=$A$1,I1287=0),"",IF(N1287=MappingTables!$C$14,VLOOKUP(J1287,ModelParameters!$M$8:$N$15,2,FALSE),IF(N1287=MappingTables!$C$16,VLOOKUP(J1287,ModelParameters!$P$8:$Q$15,2,FALSE),0)))</f>
        <v>1</v>
      </c>
      <c r="P1287" s="73">
        <f>IF(OR(I1287=0,I1287=$A$1),0,MIN(O1287*M1287,1)*K1287)</f>
        <v>397.81796454960488</v>
      </c>
      <c r="Q1287" s="73">
        <f>IF(B1287="",0,IF(OR(H1287=MappingTables!$C$34,H1287=MappingTables!$C$35),P1287,0))</f>
        <v>0</v>
      </c>
      <c r="R1287" s="73">
        <f>IF(ISNA(IF(AND(VLOOKUP(CONCATENATE($D1287,$G1287),CSRFinput!$B:$E,4,0)=0,OR(H1287=MappingTables!$C$31,H1287=MappingTables!$C$32)),1,VLOOKUP(CONCATENATE($D1287,$G1287),CSRFinput!$B:$E,4,0))),0,IF(AND(VLOOKUP(CONCATENATE($D1287,$G1287),CSRFinput!$B:$E,4,0)=0,OR(H1287=MappingTables!$C$31,H1287=MappingTables!$C$32)),1,VLOOKUP(CONCATENATE($D1287,$G1287),CSRFinput!$B:$E,4,0)))</f>
        <v>0.054776304963434752</v>
      </c>
      <c r="S1287" s="73">
        <f>IF(B1287="",0,P1287*R1287)</f>
        <v>21.790998146102032</v>
      </c>
      <c r="T1287" s="85">
        <f>IF(B1287="",0,IF(OR(H1287=MappingTables!$C$34,H1287=MappingTables!$C$35),S1287,0))</f>
        <v>0</v>
      </c>
    </row>
    <row r="1288" spans="2:20" s="0" customFormat="0" ht="15">
      <c r="B1288" s="69">
        <v>7065911</v>
      </c>
      <c r="C1288" s="70" t="s">
        <v>4871</v>
      </c>
      <c r="D1288" s="70" t="s">
        <v>1</v>
      </c>
      <c r="E1288" s="70" t="s">
        <v>1</v>
      </c>
      <c r="F1288" s="70"/>
      <c r="G1288" s="70" t="s">
        <v>61</v>
      </c>
      <c r="H1288" s="70" t="s">
        <v>178</v>
      </c>
      <c r="I1288" s="70" t="s">
        <v>198</v>
      </c>
      <c r="J1288" s="71" t="str">
        <f>IF(OR(I1288=0,I1288=""),"unrated",VLOOKUP(I1288,MappingTables!$B$19:$C$31,2,FALSE))</f>
        <v>unrated</v>
      </c>
      <c r="K1288" s="72">
        <v>1.9407297536688384</v>
      </c>
      <c r="L1288" s="70">
        <v>0.15443695178733118</v>
      </c>
      <c r="M1288" s="71">
        <f>IF(L1288&lt;1,1,L1288)</f>
        <v>1</v>
      </c>
      <c r="N1288" s="70" t="s">
        <v>3288</v>
      </c>
      <c r="O1288" s="71">
        <f>IF(OR(I1288=$A$1,I1288=0),"",IF(N1288=MappingTables!$C$14,VLOOKUP(J1288,ModelParameters!$M$8:$N$15,2,FALSE),IF(N1288=MappingTables!$C$16,VLOOKUP(J1288,ModelParameters!$P$8:$Q$15,2,FALSE),0)))</f>
        <v>1</v>
      </c>
      <c r="P1288" s="73">
        <f>IF(OR(I1288=0,I1288=$A$1),0,MIN(O1288*M1288,1)*K1288)</f>
        <v>1.9407297536688384</v>
      </c>
      <c r="Q1288" s="73">
        <f>IF(B1288="",0,IF(OR(H1288=MappingTables!$C$34,H1288=MappingTables!$C$35),P1288,0))</f>
        <v>0</v>
      </c>
      <c r="R1288" s="73">
        <f>IF(ISNA(IF(AND(VLOOKUP(CONCATENATE($D1288,$G1288),CSRFinput!$B:$E,4,0)=0,OR(H1288=MappingTables!$C$31,H1288=MappingTables!$C$32)),1,VLOOKUP(CONCATENATE($D1288,$G1288),CSRFinput!$B:$E,4,0))),0,IF(AND(VLOOKUP(CONCATENATE($D1288,$G1288),CSRFinput!$B:$E,4,0)=0,OR(H1288=MappingTables!$C$31,H1288=MappingTables!$C$32)),1,VLOOKUP(CONCATENATE($D1288,$G1288),CSRFinput!$B:$E,4,0)))</f>
        <v>0.054776304963434752</v>
      </c>
      <c r="S1288" s="73">
        <f>IF(B1288="",0,P1288*R1288)</f>
        <v>0.1063060048385759</v>
      </c>
      <c r="T1288" s="85">
        <f>IF(B1288="",0,IF(OR(H1288=MappingTables!$C$34,H1288=MappingTables!$C$35),S1288,0))</f>
        <v>0</v>
      </c>
    </row>
    <row r="1289" spans="2:20" s="0" customFormat="0" ht="15">
      <c r="B1289" s="69" t="s">
        <v>4872</v>
      </c>
      <c r="C1289" s="70" t="s">
        <v>4873</v>
      </c>
      <c r="D1289" s="70" t="s">
        <v>1</v>
      </c>
      <c r="E1289" s="70" t="s">
        <v>1</v>
      </c>
      <c r="F1289" s="70"/>
      <c r="G1289" s="70" t="s">
        <v>61</v>
      </c>
      <c r="H1289" s="70" t="s">
        <v>178</v>
      </c>
      <c r="I1289" s="70" t="s">
        <v>3291</v>
      </c>
      <c r="J1289" s="71">
        <f>IF(OR(I1289=0,I1289=""),"unrated",VLOOKUP(I1289,MappingTables!$B$19:$C$31,2,FALSE))</f>
        <v>6</v>
      </c>
      <c r="K1289" s="72">
        <v>100.69792018882434</v>
      </c>
      <c r="L1289" s="70">
        <v>0.068459018717148464</v>
      </c>
      <c r="M1289" s="71">
        <f>IF(L1289&lt;1,1,L1289)</f>
        <v>1</v>
      </c>
      <c r="N1289" s="70" t="s">
        <v>3288</v>
      </c>
      <c r="O1289" s="71">
        <f>IF(OR(I1289=$A$1,I1289=0),"",IF(N1289=MappingTables!$C$14,VLOOKUP(J1289,ModelParameters!$M$8:$N$15,2,FALSE),IF(N1289=MappingTables!$C$16,VLOOKUP(J1289,ModelParameters!$P$8:$Q$15,2,FALSE),0)))</f>
        <v>1</v>
      </c>
      <c r="P1289" s="73">
        <f>IF(OR(I1289=0,I1289=$A$1),0,MIN(O1289*M1289,1)*K1289)</f>
        <v>100.69792018882434</v>
      </c>
      <c r="Q1289" s="73">
        <f>IF(B1289="",0,IF(OR(H1289=MappingTables!$C$34,H1289=MappingTables!$C$35),P1289,0))</f>
        <v>0</v>
      </c>
      <c r="R1289" s="73">
        <f>IF(ISNA(IF(AND(VLOOKUP(CONCATENATE($D1289,$G1289),CSRFinput!$B:$E,4,0)=0,OR(H1289=MappingTables!$C$31,H1289=MappingTables!$C$32)),1,VLOOKUP(CONCATENATE($D1289,$G1289),CSRFinput!$B:$E,4,0))),0,IF(AND(VLOOKUP(CONCATENATE($D1289,$G1289),CSRFinput!$B:$E,4,0)=0,OR(H1289=MappingTables!$C$31,H1289=MappingTables!$C$32)),1,VLOOKUP(CONCATENATE($D1289,$G1289),CSRFinput!$B:$E,4,0)))</f>
        <v>0.054776304963434752</v>
      </c>
      <c r="S1289" s="73">
        <f>IF(B1289="",0,P1289*R1289)</f>
        <v>5.515859985446656</v>
      </c>
      <c r="T1289" s="85">
        <f>IF(B1289="",0,IF(OR(H1289=MappingTables!$C$34,H1289=MappingTables!$C$35),S1289,0))</f>
        <v>0</v>
      </c>
    </row>
    <row r="1290" spans="2:20" s="0" customFormat="0" ht="15">
      <c r="B1290" s="69" t="s">
        <v>4533</v>
      </c>
      <c r="C1290" s="70" t="s">
        <v>4534</v>
      </c>
      <c r="D1290" s="70" t="s">
        <v>1</v>
      </c>
      <c r="E1290" s="70" t="s">
        <v>1</v>
      </c>
      <c r="F1290" s="70"/>
      <c r="G1290" s="70" t="s">
        <v>61</v>
      </c>
      <c r="H1290" s="70" t="s">
        <v>178</v>
      </c>
      <c r="I1290" s="70" t="s">
        <v>513</v>
      </c>
      <c r="J1290" s="71">
        <f>IF(OR(I1290=0,I1290=""),"unrated",VLOOKUP(I1290,MappingTables!$B$19:$C$31,2,FALSE))</f>
        <v>6</v>
      </c>
      <c r="K1290" s="72">
        <v>355.79308395911416</v>
      </c>
      <c r="L1290" s="70">
        <v>4.9951134905951064</v>
      </c>
      <c r="M1290" s="71">
        <f>IF(L1290&lt;1,1,L1290)</f>
        <v>4.9951134905951064</v>
      </c>
      <c r="N1290" s="70" t="s">
        <v>3288</v>
      </c>
      <c r="O1290" s="71">
        <f>IF(OR(I1290=$A$1,I1290=0),"",IF(N1290=MappingTables!$C$14,VLOOKUP(J1290,ModelParameters!$M$8:$N$15,2,FALSE),IF(N1290=MappingTables!$C$16,VLOOKUP(J1290,ModelParameters!$P$8:$Q$15,2,FALSE),0)))</f>
        <v>1</v>
      </c>
      <c r="P1290" s="73">
        <f>IF(OR(I1290=0,I1290=$A$1),0,MIN(O1290*M1290,1)*K1290)</f>
        <v>355.79308395911416</v>
      </c>
      <c r="Q1290" s="73">
        <f>IF(B1290="",0,IF(OR(H1290=MappingTables!$C$34,H1290=MappingTables!$C$35),P1290,0))</f>
        <v>0</v>
      </c>
      <c r="R1290" s="73">
        <f>IF(ISNA(IF(AND(VLOOKUP(CONCATENATE($D1290,$G1290),CSRFinput!$B:$E,4,0)=0,OR(H1290=MappingTables!$C$31,H1290=MappingTables!$C$32)),1,VLOOKUP(CONCATENATE($D1290,$G1290),CSRFinput!$B:$E,4,0))),0,IF(AND(VLOOKUP(CONCATENATE($D1290,$G1290),CSRFinput!$B:$E,4,0)=0,OR(H1290=MappingTables!$C$31,H1290=MappingTables!$C$32)),1,VLOOKUP(CONCATENATE($D1290,$G1290),CSRFinput!$B:$E,4,0)))</f>
        <v>0.054776304963434752</v>
      </c>
      <c r="S1290" s="73">
        <f>IF(B1290="",0,P1290*R1290)</f>
        <v>19.489030470825384</v>
      </c>
      <c r="T1290" s="85">
        <f>IF(B1290="",0,IF(OR(H1290=MappingTables!$C$34,H1290=MappingTables!$C$35),S1290,0))</f>
        <v>0</v>
      </c>
    </row>
    <row r="1291" spans="2:20" s="0" customFormat="0" ht="15">
      <c r="B1291" s="69" t="s">
        <v>4874</v>
      </c>
      <c r="C1291" s="70" t="s">
        <v>4875</v>
      </c>
      <c r="D1291" s="70" t="s">
        <v>1</v>
      </c>
      <c r="E1291" s="70" t="s">
        <v>1</v>
      </c>
      <c r="F1291" s="70"/>
      <c r="G1291" s="70" t="s">
        <v>61</v>
      </c>
      <c r="H1291" s="70" t="s">
        <v>178</v>
      </c>
      <c r="I1291" s="70" t="s">
        <v>204</v>
      </c>
      <c r="J1291" s="71">
        <f>IF(OR(I1291=0,I1291=""),"unrated",VLOOKUP(I1291,MappingTables!$B$19:$C$31,2,FALSE))</f>
        <v>6</v>
      </c>
      <c r="K1291" s="72">
        <v>76.785774693445504</v>
      </c>
      <c r="L1291" s="70">
        <v>0.068495210315720824</v>
      </c>
      <c r="M1291" s="71">
        <f>IF(L1291&lt;1,1,L1291)</f>
        <v>1</v>
      </c>
      <c r="N1291" s="70" t="s">
        <v>3288</v>
      </c>
      <c r="O1291" s="71">
        <f>IF(OR(I1291=$A$1,I1291=0),"",IF(N1291=MappingTables!$C$14,VLOOKUP(J1291,ModelParameters!$M$8:$N$15,2,FALSE),IF(N1291=MappingTables!$C$16,VLOOKUP(J1291,ModelParameters!$P$8:$Q$15,2,FALSE),0)))</f>
        <v>1</v>
      </c>
      <c r="P1291" s="73">
        <f>IF(OR(I1291=0,I1291=$A$1),0,MIN(O1291*M1291,1)*K1291)</f>
        <v>76.785774693445504</v>
      </c>
      <c r="Q1291" s="73">
        <f>IF(B1291="",0,IF(OR(H1291=MappingTables!$C$34,H1291=MappingTables!$C$35),P1291,0))</f>
        <v>0</v>
      </c>
      <c r="R1291" s="73">
        <f>IF(ISNA(IF(AND(VLOOKUP(CONCATENATE($D1291,$G1291),CSRFinput!$B:$E,4,0)=0,OR(H1291=MappingTables!$C$31,H1291=MappingTables!$C$32)),1,VLOOKUP(CONCATENATE($D1291,$G1291),CSRFinput!$B:$E,4,0))),0,IF(AND(VLOOKUP(CONCATENATE($D1291,$G1291),CSRFinput!$B:$E,4,0)=0,OR(H1291=MappingTables!$C$31,H1291=MappingTables!$C$32)),1,VLOOKUP(CONCATENATE($D1291,$G1291),CSRFinput!$B:$E,4,0)))</f>
        <v>0.054776304963434752</v>
      </c>
      <c r="S1291" s="73">
        <f>IF(B1291="",0,P1291*R1291)</f>
        <v>4.2060410114617616</v>
      </c>
      <c r="T1291" s="85">
        <f>IF(B1291="",0,IF(OR(H1291=MappingTables!$C$34,H1291=MappingTables!$C$35),S1291,0))</f>
        <v>0</v>
      </c>
    </row>
    <row r="1292" spans="2:20" s="0" customFormat="0" ht="15">
      <c r="B1292" s="69">
        <v>14504652</v>
      </c>
      <c r="C1292" s="70" t="s">
        <v>4835</v>
      </c>
      <c r="D1292" s="70" t="s">
        <v>1</v>
      </c>
      <c r="E1292" s="70" t="s">
        <v>1</v>
      </c>
      <c r="F1292" s="70"/>
      <c r="G1292" s="70" t="s">
        <v>61</v>
      </c>
      <c r="H1292" s="70" t="s">
        <v>178</v>
      </c>
      <c r="I1292" s="70" t="s">
        <v>216</v>
      </c>
      <c r="J1292" s="71">
        <f>IF(OR(I1292=0,I1292=""),"unrated",VLOOKUP(I1292,MappingTables!$B$19:$C$31,2,FALSE))</f>
        <v>0</v>
      </c>
      <c r="K1292" s="72">
        <v>26.553538687746004</v>
      </c>
      <c r="L1292" s="70">
        <v>0.072140594159021952</v>
      </c>
      <c r="M1292" s="71">
        <f>IF(L1292&lt;1,1,L1292)</f>
        <v>1</v>
      </c>
      <c r="N1292" s="70" t="s">
        <v>3288</v>
      </c>
      <c r="O1292" s="71">
        <f>IF(OR(I1292=$A$1,I1292=0),"",IF(N1292=MappingTables!$C$14,VLOOKUP(J1292,ModelParameters!$M$8:$N$15,2,FALSE),IF(N1292=MappingTables!$C$16,VLOOKUP(J1292,ModelParameters!$P$8:$Q$15,2,FALSE),0)))</f>
        <v>0.125</v>
      </c>
      <c r="P1292" s="73">
        <f>IF(OR(I1292=0,I1292=$A$1),0,MIN(O1292*M1292,1)*K1292)</f>
        <v>3.3191923359682504</v>
      </c>
      <c r="Q1292" s="73">
        <f>IF(B1292="",0,IF(OR(H1292=MappingTables!$C$34,H1292=MappingTables!$C$35),P1292,0))</f>
        <v>0</v>
      </c>
      <c r="R1292" s="73">
        <f>IF(ISNA(IF(AND(VLOOKUP(CONCATENATE($D1292,$G1292),CSRFinput!$B:$E,4,0)=0,OR(H1292=MappingTables!$C$31,H1292=MappingTables!$C$32)),1,VLOOKUP(CONCATENATE($D1292,$G1292),CSRFinput!$B:$E,4,0))),0,IF(AND(VLOOKUP(CONCATENATE($D1292,$G1292),CSRFinput!$B:$E,4,0)=0,OR(H1292=MappingTables!$C$31,H1292=MappingTables!$C$32)),1,VLOOKUP(CONCATENATE($D1292,$G1292),CSRFinput!$B:$E,4,0)))</f>
        <v>0.054776304963434752</v>
      </c>
      <c r="S1292" s="73">
        <f>IF(B1292="",0,P1292*R1292)</f>
        <v>0.18181309162729224</v>
      </c>
      <c r="T1292" s="85">
        <f>IF(B1292="",0,IF(OR(H1292=MappingTables!$C$34,H1292=MappingTables!$C$35),S1292,0))</f>
        <v>0</v>
      </c>
    </row>
    <row r="1293" spans="2:20" s="0" customFormat="0" ht="15">
      <c r="B1293" s="69" t="s">
        <v>4876</v>
      </c>
      <c r="C1293" s="70" t="s">
        <v>4877</v>
      </c>
      <c r="D1293" s="70" t="s">
        <v>1</v>
      </c>
      <c r="E1293" s="70" t="s">
        <v>1</v>
      </c>
      <c r="F1293" s="70"/>
      <c r="G1293" s="70" t="s">
        <v>61</v>
      </c>
      <c r="H1293" s="70" t="s">
        <v>178</v>
      </c>
      <c r="I1293" s="70" t="s">
        <v>198</v>
      </c>
      <c r="J1293" s="71" t="str">
        <f>IF(OR(I1293=0,I1293=""),"unrated",VLOOKUP(I1293,MappingTables!$B$19:$C$31,2,FALSE))</f>
        <v>unrated</v>
      </c>
      <c r="K1293" s="72">
        <v>13.246900094915248</v>
      </c>
      <c r="L1293" s="70">
        <v>0.068491206919875464</v>
      </c>
      <c r="M1293" s="71">
        <f>IF(L1293&lt;1,1,L1293)</f>
        <v>1</v>
      </c>
      <c r="N1293" s="70" t="s">
        <v>3288</v>
      </c>
      <c r="O1293" s="71">
        <f>IF(OR(I1293=$A$1,I1293=0),"",IF(N1293=MappingTables!$C$14,VLOOKUP(J1293,ModelParameters!$M$8:$N$15,2,FALSE),IF(N1293=MappingTables!$C$16,VLOOKUP(J1293,ModelParameters!$P$8:$Q$15,2,FALSE),0)))</f>
        <v>1</v>
      </c>
      <c r="P1293" s="73">
        <f>IF(OR(I1293=0,I1293=$A$1),0,MIN(O1293*M1293,1)*K1293)</f>
        <v>13.246900094915248</v>
      </c>
      <c r="Q1293" s="73">
        <f>IF(B1293="",0,IF(OR(H1293=MappingTables!$C$34,H1293=MappingTables!$C$35),P1293,0))</f>
        <v>0</v>
      </c>
      <c r="R1293" s="73">
        <f>IF(ISNA(IF(AND(VLOOKUP(CONCATENATE($D1293,$G1293),CSRFinput!$B:$E,4,0)=0,OR(H1293=MappingTables!$C$31,H1293=MappingTables!$C$32)),1,VLOOKUP(CONCATENATE($D1293,$G1293),CSRFinput!$B:$E,4,0))),0,IF(AND(VLOOKUP(CONCATENATE($D1293,$G1293),CSRFinput!$B:$E,4,0)=0,OR(H1293=MappingTables!$C$31,H1293=MappingTables!$C$32)),1,VLOOKUP(CONCATENATE($D1293,$G1293),CSRFinput!$B:$E,4,0)))</f>
        <v>0.054776304963434752</v>
      </c>
      <c r="S1293" s="73">
        <f>IF(B1293="",0,P1293*R1293)</f>
        <v>0.7256162394192304</v>
      </c>
      <c r="T1293" s="85">
        <f>IF(B1293="",0,IF(OR(H1293=MappingTables!$C$34,H1293=MappingTables!$C$35),S1293,0))</f>
        <v>0</v>
      </c>
    </row>
    <row r="1294" spans="2:20" s="0" customFormat="0" ht="15">
      <c r="B1294" s="69" t="s">
        <v>3578</v>
      </c>
      <c r="C1294" s="70" t="s">
        <v>3579</v>
      </c>
      <c r="D1294" s="70" t="s">
        <v>1</v>
      </c>
      <c r="E1294" s="70" t="s">
        <v>1</v>
      </c>
      <c r="F1294" s="70"/>
      <c r="G1294" s="70" t="s">
        <v>61</v>
      </c>
      <c r="H1294" s="70" t="s">
        <v>178</v>
      </c>
      <c r="I1294" s="70" t="s">
        <v>204</v>
      </c>
      <c r="J1294" s="71">
        <f>IF(OR(I1294=0,I1294=""),"unrated",VLOOKUP(I1294,MappingTables!$B$19:$C$31,2,FALSE))</f>
        <v>6</v>
      </c>
      <c r="K1294" s="72">
        <v>340.5561490883316</v>
      </c>
      <c r="L1294" s="70">
        <v>0.06849357948217884</v>
      </c>
      <c r="M1294" s="71">
        <f>IF(L1294&lt;1,1,L1294)</f>
        <v>1</v>
      </c>
      <c r="N1294" s="70" t="s">
        <v>3288</v>
      </c>
      <c r="O1294" s="71">
        <f>IF(OR(I1294=$A$1,I1294=0),"",IF(N1294=MappingTables!$C$14,VLOOKUP(J1294,ModelParameters!$M$8:$N$15,2,FALSE),IF(N1294=MappingTables!$C$16,VLOOKUP(J1294,ModelParameters!$P$8:$Q$15,2,FALSE),0)))</f>
        <v>1</v>
      </c>
      <c r="P1294" s="73">
        <f>IF(OR(I1294=0,I1294=$A$1),0,MIN(O1294*M1294,1)*K1294)</f>
        <v>340.5561490883316</v>
      </c>
      <c r="Q1294" s="73">
        <f>IF(B1294="",0,IF(OR(H1294=MappingTables!$C$34,H1294=MappingTables!$C$35),P1294,0))</f>
        <v>0</v>
      </c>
      <c r="R1294" s="73">
        <f>IF(ISNA(IF(AND(VLOOKUP(CONCATENATE($D1294,$G1294),CSRFinput!$B:$E,4,0)=0,OR(H1294=MappingTables!$C$31,H1294=MappingTables!$C$32)),1,VLOOKUP(CONCATENATE($D1294,$G1294),CSRFinput!$B:$E,4,0))),0,IF(AND(VLOOKUP(CONCATENATE($D1294,$G1294),CSRFinput!$B:$E,4,0)=0,OR(H1294=MappingTables!$C$31,H1294=MappingTables!$C$32)),1,VLOOKUP(CONCATENATE($D1294,$G1294),CSRFinput!$B:$E,4,0)))</f>
        <v>0.054776304963434752</v>
      </c>
      <c r="S1294" s="73">
        <f>IF(B1294="",0,P1294*R1294)</f>
        <v>18.654407479635408</v>
      </c>
      <c r="T1294" s="85">
        <f>IF(B1294="",0,IF(OR(H1294=MappingTables!$C$34,H1294=MappingTables!$C$35),S1294,0))</f>
        <v>0</v>
      </c>
    </row>
    <row r="1295" spans="2:20" s="0" customFormat="0" ht="15">
      <c r="B1295" s="69" t="s">
        <v>3625</v>
      </c>
      <c r="C1295" s="70" t="s">
        <v>3626</v>
      </c>
      <c r="D1295" s="70" t="s">
        <v>1</v>
      </c>
      <c r="E1295" s="70" t="s">
        <v>1</v>
      </c>
      <c r="F1295" s="70"/>
      <c r="G1295" s="70" t="s">
        <v>61</v>
      </c>
      <c r="H1295" s="70" t="s">
        <v>178</v>
      </c>
      <c r="I1295" s="70" t="s">
        <v>216</v>
      </c>
      <c r="J1295" s="71">
        <f>IF(OR(I1295=0,I1295=""),"unrated",VLOOKUP(I1295,MappingTables!$B$19:$C$31,2,FALSE))</f>
        <v>0</v>
      </c>
      <c r="K1295" s="72">
        <v>171.2909868648436</v>
      </c>
      <c r="L1295" s="70">
        <v>0.046577867372233488</v>
      </c>
      <c r="M1295" s="71">
        <f>IF(L1295&lt;1,1,L1295)</f>
        <v>1</v>
      </c>
      <c r="N1295" s="70" t="s">
        <v>3288</v>
      </c>
      <c r="O1295" s="71">
        <f>IF(OR(I1295=$A$1,I1295=0),"",IF(N1295=MappingTables!$C$14,VLOOKUP(J1295,ModelParameters!$M$8:$N$15,2,FALSE),IF(N1295=MappingTables!$C$16,VLOOKUP(J1295,ModelParameters!$P$8:$Q$15,2,FALSE),0)))</f>
        <v>0.125</v>
      </c>
      <c r="P1295" s="73">
        <f>IF(OR(I1295=0,I1295=$A$1),0,MIN(O1295*M1295,1)*K1295)</f>
        <v>21.411373358105452</v>
      </c>
      <c r="Q1295" s="73">
        <f>IF(B1295="",0,IF(OR(H1295=MappingTables!$C$34,H1295=MappingTables!$C$35),P1295,0))</f>
        <v>0</v>
      </c>
      <c r="R1295" s="73">
        <f>IF(ISNA(IF(AND(VLOOKUP(CONCATENATE($D1295,$G1295),CSRFinput!$B:$E,4,0)=0,OR(H1295=MappingTables!$C$31,H1295=MappingTables!$C$32)),1,VLOOKUP(CONCATENATE($D1295,$G1295),CSRFinput!$B:$E,4,0))),0,IF(AND(VLOOKUP(CONCATENATE($D1295,$G1295),CSRFinput!$B:$E,4,0)=0,OR(H1295=MappingTables!$C$31,H1295=MappingTables!$C$32)),1,VLOOKUP(CONCATENATE($D1295,$G1295),CSRFinput!$B:$E,4,0)))</f>
        <v>0.054776304963434752</v>
      </c>
      <c r="S1295" s="73">
        <f>IF(B1295="",0,P1295*R1295)</f>
        <v>1.1728359167495462</v>
      </c>
      <c r="T1295" s="85">
        <f>IF(B1295="",0,IF(OR(H1295=MappingTables!$C$34,H1295=MappingTables!$C$35),S1295,0))</f>
        <v>0</v>
      </c>
    </row>
    <row r="1296" spans="2:20" s="0" customFormat="0" ht="15">
      <c r="B1296" s="69" t="s">
        <v>4878</v>
      </c>
      <c r="C1296" s="70" t="s">
        <v>4879</v>
      </c>
      <c r="D1296" s="70" t="s">
        <v>1</v>
      </c>
      <c r="E1296" s="70" t="s">
        <v>1</v>
      </c>
      <c r="F1296" s="70"/>
      <c r="G1296" s="70" t="s">
        <v>61</v>
      </c>
      <c r="H1296" s="70" t="s">
        <v>178</v>
      </c>
      <c r="I1296" s="70" t="s">
        <v>216</v>
      </c>
      <c r="J1296" s="71">
        <f>IF(OR(I1296=0,I1296=""),"unrated",VLOOKUP(I1296,MappingTables!$B$19:$C$31,2,FALSE))</f>
        <v>0</v>
      </c>
      <c r="K1296" s="72">
        <v>143.34234865262176</v>
      </c>
      <c r="L1296" s="70">
        <v>0.2221721747614996</v>
      </c>
      <c r="M1296" s="71">
        <f>IF(L1296&lt;1,1,L1296)</f>
        <v>1</v>
      </c>
      <c r="N1296" s="70" t="s">
        <v>3288</v>
      </c>
      <c r="O1296" s="71">
        <f>IF(OR(I1296=$A$1,I1296=0),"",IF(N1296=MappingTables!$C$14,VLOOKUP(J1296,ModelParameters!$M$8:$N$15,2,FALSE),IF(N1296=MappingTables!$C$16,VLOOKUP(J1296,ModelParameters!$P$8:$Q$15,2,FALSE),0)))</f>
        <v>0.125</v>
      </c>
      <c r="P1296" s="73">
        <f>IF(OR(I1296=0,I1296=$A$1),0,MIN(O1296*M1296,1)*K1296)</f>
        <v>17.917793581577718</v>
      </c>
      <c r="Q1296" s="73">
        <f>IF(B1296="",0,IF(OR(H1296=MappingTables!$C$34,H1296=MappingTables!$C$35),P1296,0))</f>
        <v>0</v>
      </c>
      <c r="R1296" s="73">
        <f>IF(ISNA(IF(AND(VLOOKUP(CONCATENATE($D1296,$G1296),CSRFinput!$B:$E,4,0)=0,OR(H1296=MappingTables!$C$31,H1296=MappingTables!$C$32)),1,VLOOKUP(CONCATENATE($D1296,$G1296),CSRFinput!$B:$E,4,0))),0,IF(AND(VLOOKUP(CONCATENATE($D1296,$G1296),CSRFinput!$B:$E,4,0)=0,OR(H1296=MappingTables!$C$31,H1296=MappingTables!$C$32)),1,VLOOKUP(CONCATENATE($D1296,$G1296),CSRFinput!$B:$E,4,0)))</f>
        <v>0.054776304963434752</v>
      </c>
      <c r="S1296" s="73">
        <f>IF(B1296="",0,P1296*R1296)</f>
        <v>0.98147052549637488</v>
      </c>
      <c r="T1296" s="85">
        <f>IF(B1296="",0,IF(OR(H1296=MappingTables!$C$34,H1296=MappingTables!$C$35),S1296,0))</f>
        <v>0</v>
      </c>
    </row>
    <row r="1297" spans="2:20" s="0" customFormat="0" ht="15">
      <c r="B1297" s="69" t="s">
        <v>3421</v>
      </c>
      <c r="C1297" s="70" t="s">
        <v>3422</v>
      </c>
      <c r="D1297" s="70" t="s">
        <v>1</v>
      </c>
      <c r="E1297" s="70" t="s">
        <v>1</v>
      </c>
      <c r="F1297" s="70"/>
      <c r="G1297" s="70" t="s">
        <v>61</v>
      </c>
      <c r="H1297" s="70" t="s">
        <v>178</v>
      </c>
      <c r="I1297" s="70" t="s">
        <v>198</v>
      </c>
      <c r="J1297" s="71" t="str">
        <f>IF(OR(I1297=0,I1297=""),"unrated",VLOOKUP(I1297,MappingTables!$B$19:$C$31,2,FALSE))</f>
        <v>unrated</v>
      </c>
      <c r="K1297" s="72">
        <v>7748.3505676080528</v>
      </c>
      <c r="L1297" s="70">
        <v>9.7473899237502688</v>
      </c>
      <c r="M1297" s="71">
        <f>IF(L1297&lt;1,1,L1297)</f>
        <v>9.7473899237502688</v>
      </c>
      <c r="N1297" s="70" t="s">
        <v>3288</v>
      </c>
      <c r="O1297" s="71">
        <f>IF(OR(I1297=$A$1,I1297=0),"",IF(N1297=MappingTables!$C$14,VLOOKUP(J1297,ModelParameters!$M$8:$N$15,2,FALSE),IF(N1297=MappingTables!$C$16,VLOOKUP(J1297,ModelParameters!$P$8:$Q$15,2,FALSE),0)))</f>
        <v>1</v>
      </c>
      <c r="P1297" s="73">
        <f>IF(OR(I1297=0,I1297=$A$1),0,MIN(O1297*M1297,1)*K1297)</f>
        <v>7748.3505676080528</v>
      </c>
      <c r="Q1297" s="73">
        <f>IF(B1297="",0,IF(OR(H1297=MappingTables!$C$34,H1297=MappingTables!$C$35),P1297,0))</f>
        <v>0</v>
      </c>
      <c r="R1297" s="73">
        <f>IF(ISNA(IF(AND(VLOOKUP(CONCATENATE($D1297,$G1297),CSRFinput!$B:$E,4,0)=0,OR(H1297=MappingTables!$C$31,H1297=MappingTables!$C$32)),1,VLOOKUP(CONCATENATE($D1297,$G1297),CSRFinput!$B:$E,4,0))),0,IF(AND(VLOOKUP(CONCATENATE($D1297,$G1297),CSRFinput!$B:$E,4,0)=0,OR(H1297=MappingTables!$C$31,H1297=MappingTables!$C$32)),1,VLOOKUP(CONCATENATE($D1297,$G1297),CSRFinput!$B:$E,4,0)))</f>
        <v>0.054776304963434752</v>
      </c>
      <c r="S1297" s="73">
        <f>IF(B1297="",0,P1297*R1297)</f>
        <v>424.42601365490144</v>
      </c>
      <c r="T1297" s="85">
        <f>IF(B1297="",0,IF(OR(H1297=MappingTables!$C$34,H1297=MappingTables!$C$35),S1297,0))</f>
        <v>0</v>
      </c>
    </row>
    <row r="1298" spans="2:20" s="0" customFormat="0" ht="15">
      <c r="B1298" s="69">
        <v>22623675</v>
      </c>
      <c r="C1298" s="70" t="s">
        <v>4880</v>
      </c>
      <c r="D1298" s="70" t="s">
        <v>1</v>
      </c>
      <c r="E1298" s="70" t="s">
        <v>1</v>
      </c>
      <c r="F1298" s="70"/>
      <c r="G1298" s="70" t="s">
        <v>61</v>
      </c>
      <c r="H1298" s="70" t="s">
        <v>178</v>
      </c>
      <c r="I1298" s="70" t="s">
        <v>198</v>
      </c>
      <c r="J1298" s="71" t="str">
        <f>IF(OR(I1298=0,I1298=""),"unrated",VLOOKUP(I1298,MappingTables!$B$19:$C$31,2,FALSE))</f>
        <v>unrated</v>
      </c>
      <c r="K1298" s="72">
        <v>120.24080838004684</v>
      </c>
      <c r="L1298" s="70">
        <v>0.07755669237821904</v>
      </c>
      <c r="M1298" s="71">
        <f>IF(L1298&lt;1,1,L1298)</f>
        <v>1</v>
      </c>
      <c r="N1298" s="70" t="s">
        <v>3288</v>
      </c>
      <c r="O1298" s="71">
        <f>IF(OR(I1298=$A$1,I1298=0),"",IF(N1298=MappingTables!$C$14,VLOOKUP(J1298,ModelParameters!$M$8:$N$15,2,FALSE),IF(N1298=MappingTables!$C$16,VLOOKUP(J1298,ModelParameters!$P$8:$Q$15,2,FALSE),0)))</f>
        <v>1</v>
      </c>
      <c r="P1298" s="73">
        <f>IF(OR(I1298=0,I1298=$A$1),0,MIN(O1298*M1298,1)*K1298)</f>
        <v>120.24080838004684</v>
      </c>
      <c r="Q1298" s="73">
        <f>IF(B1298="",0,IF(OR(H1298=MappingTables!$C$34,H1298=MappingTables!$C$35),P1298,0))</f>
        <v>0</v>
      </c>
      <c r="R1298" s="73">
        <f>IF(ISNA(IF(AND(VLOOKUP(CONCATENATE($D1298,$G1298),CSRFinput!$B:$E,4,0)=0,OR(H1298=MappingTables!$C$31,H1298=MappingTables!$C$32)),1,VLOOKUP(CONCATENATE($D1298,$G1298),CSRFinput!$B:$E,4,0))),0,IF(AND(VLOOKUP(CONCATENATE($D1298,$G1298),CSRFinput!$B:$E,4,0)=0,OR(H1298=MappingTables!$C$31,H1298=MappingTables!$C$32)),1,VLOOKUP(CONCATENATE($D1298,$G1298),CSRFinput!$B:$E,4,0)))</f>
        <v>0.054776304963434752</v>
      </c>
      <c r="S1298" s="73">
        <f>IF(B1298="",0,P1298*R1298)</f>
        <v>6.5863471888753672</v>
      </c>
      <c r="T1298" s="85">
        <f>IF(B1298="",0,IF(OR(H1298=MappingTables!$C$34,H1298=MappingTables!$C$35),S1298,0))</f>
        <v>0</v>
      </c>
    </row>
    <row r="1299" spans="2:20" s="0" customFormat="0" ht="15">
      <c r="B1299" s="69">
        <v>14954581</v>
      </c>
      <c r="C1299" s="70" t="s">
        <v>4881</v>
      </c>
      <c r="D1299" s="70" t="s">
        <v>1</v>
      </c>
      <c r="E1299" s="70" t="s">
        <v>1</v>
      </c>
      <c r="F1299" s="70"/>
      <c r="G1299" s="70" t="s">
        <v>61</v>
      </c>
      <c r="H1299" s="70" t="s">
        <v>178</v>
      </c>
      <c r="I1299" s="70" t="s">
        <v>216</v>
      </c>
      <c r="J1299" s="71">
        <f>IF(OR(I1299=0,I1299=""),"unrated",VLOOKUP(I1299,MappingTables!$B$19:$C$31,2,FALSE))</f>
        <v>0</v>
      </c>
      <c r="K1299" s="72">
        <v>439.2461539014296</v>
      </c>
      <c r="L1299" s="70">
        <v>0.03606668372531428</v>
      </c>
      <c r="M1299" s="71">
        <f>IF(L1299&lt;1,1,L1299)</f>
        <v>1</v>
      </c>
      <c r="N1299" s="70" t="s">
        <v>3288</v>
      </c>
      <c r="O1299" s="71">
        <f>IF(OR(I1299=$A$1,I1299=0),"",IF(N1299=MappingTables!$C$14,VLOOKUP(J1299,ModelParameters!$M$8:$N$15,2,FALSE),IF(N1299=MappingTables!$C$16,VLOOKUP(J1299,ModelParameters!$P$8:$Q$15,2,FALSE),0)))</f>
        <v>0.125</v>
      </c>
      <c r="P1299" s="73">
        <f>IF(OR(I1299=0,I1299=$A$1),0,MIN(O1299*M1299,1)*K1299)</f>
        <v>54.905769237678704</v>
      </c>
      <c r="Q1299" s="73">
        <f>IF(B1299="",0,IF(OR(H1299=MappingTables!$C$34,H1299=MappingTables!$C$35),P1299,0))</f>
        <v>0</v>
      </c>
      <c r="R1299" s="73">
        <f>IF(ISNA(IF(AND(VLOOKUP(CONCATENATE($D1299,$G1299),CSRFinput!$B:$E,4,0)=0,OR(H1299=MappingTables!$C$31,H1299=MappingTables!$C$32)),1,VLOOKUP(CONCATENATE($D1299,$G1299),CSRFinput!$B:$E,4,0))),0,IF(AND(VLOOKUP(CONCATENATE($D1299,$G1299),CSRFinput!$B:$E,4,0)=0,OR(H1299=MappingTables!$C$31,H1299=MappingTables!$C$32)),1,VLOOKUP(CONCATENATE($D1299,$G1299),CSRFinput!$B:$E,4,0)))</f>
        <v>0.054776304963434752</v>
      </c>
      <c r="S1299" s="73">
        <f>IF(B1299="",0,P1299*R1299)</f>
        <v>3.0075351600150632</v>
      </c>
      <c r="T1299" s="85">
        <f>IF(B1299="",0,IF(OR(H1299=MappingTables!$C$34,H1299=MappingTables!$C$35),S1299,0))</f>
        <v>0</v>
      </c>
    </row>
    <row r="1300" spans="2:20" s="0" customFormat="0" ht="15">
      <c r="B1300" s="69">
        <v>22554319</v>
      </c>
      <c r="C1300" s="70" t="s">
        <v>4168</v>
      </c>
      <c r="D1300" s="70" t="s">
        <v>1</v>
      </c>
      <c r="E1300" s="70" t="s">
        <v>1</v>
      </c>
      <c r="F1300" s="70"/>
      <c r="G1300" s="70" t="s">
        <v>61</v>
      </c>
      <c r="H1300" s="70" t="s">
        <v>178</v>
      </c>
      <c r="I1300" s="70" t="s">
        <v>216</v>
      </c>
      <c r="J1300" s="71">
        <f>IF(OR(I1300=0,I1300=""),"unrated",VLOOKUP(I1300,MappingTables!$B$19:$C$31,2,FALSE))</f>
        <v>0</v>
      </c>
      <c r="K1300" s="72">
        <v>12.119177295861358</v>
      </c>
      <c r="L1300" s="70">
        <v>0.07246639868250848</v>
      </c>
      <c r="M1300" s="71">
        <f>IF(L1300&lt;1,1,L1300)</f>
        <v>1</v>
      </c>
      <c r="N1300" s="70" t="s">
        <v>3288</v>
      </c>
      <c r="O1300" s="71">
        <f>IF(OR(I1300=$A$1,I1300=0),"",IF(N1300=MappingTables!$C$14,VLOOKUP(J1300,ModelParameters!$M$8:$N$15,2,FALSE),IF(N1300=MappingTables!$C$16,VLOOKUP(J1300,ModelParameters!$P$8:$Q$15,2,FALSE),0)))</f>
        <v>0.125</v>
      </c>
      <c r="P1300" s="73">
        <f>IF(OR(I1300=0,I1300=$A$1),0,MIN(O1300*M1300,1)*K1300)</f>
        <v>1.5148971619826696</v>
      </c>
      <c r="Q1300" s="73">
        <f>IF(B1300="",0,IF(OR(H1300=MappingTables!$C$34,H1300=MappingTables!$C$35),P1300,0))</f>
        <v>0</v>
      </c>
      <c r="R1300" s="73">
        <f>IF(ISNA(IF(AND(VLOOKUP(CONCATENATE($D1300,$G1300),CSRFinput!$B:$E,4,0)=0,OR(H1300=MappingTables!$C$31,H1300=MappingTables!$C$32)),1,VLOOKUP(CONCATENATE($D1300,$G1300),CSRFinput!$B:$E,4,0))),0,IF(AND(VLOOKUP(CONCATENATE($D1300,$G1300),CSRFinput!$B:$E,4,0)=0,OR(H1300=MappingTables!$C$31,H1300=MappingTables!$C$32)),1,VLOOKUP(CONCATENATE($D1300,$G1300),CSRFinput!$B:$E,4,0)))</f>
        <v>0.054776304963434752</v>
      </c>
      <c r="S1300" s="73">
        <f>IF(B1300="",0,P1300*R1300)</f>
        <v>0.082980468933004544</v>
      </c>
      <c r="T1300" s="85">
        <f>IF(B1300="",0,IF(OR(H1300=MappingTables!$C$34,H1300=MappingTables!$C$35),S1300,0))</f>
        <v>0</v>
      </c>
    </row>
    <row r="1301" spans="2:20" s="0" customFormat="0" ht="15">
      <c r="B1301" s="69" t="s">
        <v>4152</v>
      </c>
      <c r="C1301" s="70" t="s">
        <v>4153</v>
      </c>
      <c r="D1301" s="70" t="s">
        <v>1</v>
      </c>
      <c r="E1301" s="70" t="s">
        <v>1</v>
      </c>
      <c r="F1301" s="70"/>
      <c r="G1301" s="70" t="s">
        <v>61</v>
      </c>
      <c r="H1301" s="70" t="s">
        <v>178</v>
      </c>
      <c r="I1301" s="70" t="s">
        <v>198</v>
      </c>
      <c r="J1301" s="71" t="str">
        <f>IF(OR(I1301=0,I1301=""),"unrated",VLOOKUP(I1301,MappingTables!$B$19:$C$31,2,FALSE))</f>
        <v>unrated</v>
      </c>
      <c r="K1301" s="72">
        <v>158.864488635083</v>
      </c>
      <c r="L1301" s="70">
        <v>3.059916170512348</v>
      </c>
      <c r="M1301" s="71">
        <f>IF(L1301&lt;1,1,L1301)</f>
        <v>3.059916170512348</v>
      </c>
      <c r="N1301" s="70" t="s">
        <v>3288</v>
      </c>
      <c r="O1301" s="71">
        <f>IF(OR(I1301=$A$1,I1301=0),"",IF(N1301=MappingTables!$C$14,VLOOKUP(J1301,ModelParameters!$M$8:$N$15,2,FALSE),IF(N1301=MappingTables!$C$16,VLOOKUP(J1301,ModelParameters!$P$8:$Q$15,2,FALSE),0)))</f>
        <v>1</v>
      </c>
      <c r="P1301" s="73">
        <f>IF(OR(I1301=0,I1301=$A$1),0,MIN(O1301*M1301,1)*K1301)</f>
        <v>158.864488635083</v>
      </c>
      <c r="Q1301" s="73">
        <f>IF(B1301="",0,IF(OR(H1301=MappingTables!$C$34,H1301=MappingTables!$C$35),P1301,0))</f>
        <v>0</v>
      </c>
      <c r="R1301" s="73">
        <f>IF(ISNA(IF(AND(VLOOKUP(CONCATENATE($D1301,$G1301),CSRFinput!$B:$E,4,0)=0,OR(H1301=MappingTables!$C$31,H1301=MappingTables!$C$32)),1,VLOOKUP(CONCATENATE($D1301,$G1301),CSRFinput!$B:$E,4,0))),0,IF(AND(VLOOKUP(CONCATENATE($D1301,$G1301),CSRFinput!$B:$E,4,0)=0,OR(H1301=MappingTables!$C$31,H1301=MappingTables!$C$32)),1,VLOOKUP(CONCATENATE($D1301,$G1301),CSRFinput!$B:$E,4,0)))</f>
        <v>0.054776304963434752</v>
      </c>
      <c r="S1301" s="73">
        <f>IF(B1301="",0,P1301*R1301)</f>
        <v>8.7020096773354224</v>
      </c>
      <c r="T1301" s="85">
        <f>IF(B1301="",0,IF(OR(H1301=MappingTables!$C$34,H1301=MappingTables!$C$35),S1301,0))</f>
        <v>0</v>
      </c>
    </row>
    <row r="1302" spans="2:20" s="0" customFormat="0" ht="15">
      <c r="B1302" s="69">
        <v>2290881</v>
      </c>
      <c r="C1302" s="70" t="s">
        <v>4882</v>
      </c>
      <c r="D1302" s="70" t="s">
        <v>1</v>
      </c>
      <c r="E1302" s="70" t="s">
        <v>1</v>
      </c>
      <c r="F1302" s="70"/>
      <c r="G1302" s="70" t="s">
        <v>61</v>
      </c>
      <c r="H1302" s="70" t="s">
        <v>178</v>
      </c>
      <c r="I1302" s="70" t="s">
        <v>204</v>
      </c>
      <c r="J1302" s="71">
        <f>IF(OR(I1302=0,I1302=""),"unrated",VLOOKUP(I1302,MappingTables!$B$19:$C$31,2,FALSE))</f>
        <v>6</v>
      </c>
      <c r="K1302" s="72">
        <v>26.213003463033352</v>
      </c>
      <c r="L1302" s="70">
        <v>0.068492309537205528</v>
      </c>
      <c r="M1302" s="71">
        <f>IF(L1302&lt;1,1,L1302)</f>
        <v>1</v>
      </c>
      <c r="N1302" s="70" t="s">
        <v>3288</v>
      </c>
      <c r="O1302" s="71">
        <f>IF(OR(I1302=$A$1,I1302=0),"",IF(N1302=MappingTables!$C$14,VLOOKUP(J1302,ModelParameters!$M$8:$N$15,2,FALSE),IF(N1302=MappingTables!$C$16,VLOOKUP(J1302,ModelParameters!$P$8:$Q$15,2,FALSE),0)))</f>
        <v>1</v>
      </c>
      <c r="P1302" s="73">
        <f>IF(OR(I1302=0,I1302=$A$1),0,MIN(O1302*M1302,1)*K1302)</f>
        <v>26.213003463033352</v>
      </c>
      <c r="Q1302" s="73">
        <f>IF(B1302="",0,IF(OR(H1302=MappingTables!$C$34,H1302=MappingTables!$C$35),P1302,0))</f>
        <v>0</v>
      </c>
      <c r="R1302" s="73">
        <f>IF(ISNA(IF(AND(VLOOKUP(CONCATENATE($D1302,$G1302),CSRFinput!$B:$E,4,0)=0,OR(H1302=MappingTables!$C$31,H1302=MappingTables!$C$32)),1,VLOOKUP(CONCATENATE($D1302,$G1302),CSRFinput!$B:$E,4,0))),0,IF(AND(VLOOKUP(CONCATENATE($D1302,$G1302),CSRFinput!$B:$E,4,0)=0,OR(H1302=MappingTables!$C$31,H1302=MappingTables!$C$32)),1,VLOOKUP(CONCATENATE($D1302,$G1302),CSRFinput!$B:$E,4,0)))</f>
        <v>0.054776304963434752</v>
      </c>
      <c r="S1302" s="73">
        <f>IF(B1302="",0,P1302*R1302)</f>
        <v>1.4358514716986864</v>
      </c>
      <c r="T1302" s="85">
        <f>IF(B1302="",0,IF(OR(H1302=MappingTables!$C$34,H1302=MappingTables!$C$35),S1302,0))</f>
        <v>0</v>
      </c>
    </row>
    <row r="1303" spans="2:20" s="0" customFormat="0" ht="15">
      <c r="B1303" s="69">
        <v>22927450</v>
      </c>
      <c r="C1303" s="70" t="s">
        <v>4058</v>
      </c>
      <c r="D1303" s="70" t="s">
        <v>1</v>
      </c>
      <c r="E1303" s="70" t="s">
        <v>1</v>
      </c>
      <c r="F1303" s="70"/>
      <c r="G1303" s="70" t="s">
        <v>61</v>
      </c>
      <c r="H1303" s="70" t="s">
        <v>178</v>
      </c>
      <c r="I1303" s="70" t="s">
        <v>216</v>
      </c>
      <c r="J1303" s="71">
        <f>IF(OR(I1303=0,I1303=""),"unrated",VLOOKUP(I1303,MappingTables!$B$19:$C$31,2,FALSE))</f>
        <v>0</v>
      </c>
      <c r="K1303" s="72">
        <v>1526.008483241502</v>
      </c>
      <c r="L1303" s="70">
        <v>0.090108552858293024</v>
      </c>
      <c r="M1303" s="71">
        <f>IF(L1303&lt;1,1,L1303)</f>
        <v>1</v>
      </c>
      <c r="N1303" s="70" t="s">
        <v>3288</v>
      </c>
      <c r="O1303" s="71">
        <f>IF(OR(I1303=$A$1,I1303=0),"",IF(N1303=MappingTables!$C$14,VLOOKUP(J1303,ModelParameters!$M$8:$N$15,2,FALSE),IF(N1303=MappingTables!$C$16,VLOOKUP(J1303,ModelParameters!$P$8:$Q$15,2,FALSE),0)))</f>
        <v>0.125</v>
      </c>
      <c r="P1303" s="73">
        <f>IF(OR(I1303=0,I1303=$A$1),0,MIN(O1303*M1303,1)*K1303)</f>
        <v>190.75106040518776</v>
      </c>
      <c r="Q1303" s="73">
        <f>IF(B1303="",0,IF(OR(H1303=MappingTables!$C$34,H1303=MappingTables!$C$35),P1303,0))</f>
        <v>0</v>
      </c>
      <c r="R1303" s="73">
        <f>IF(ISNA(IF(AND(VLOOKUP(CONCATENATE($D1303,$G1303),CSRFinput!$B:$E,4,0)=0,OR(H1303=MappingTables!$C$31,H1303=MappingTables!$C$32)),1,VLOOKUP(CONCATENATE($D1303,$G1303),CSRFinput!$B:$E,4,0))),0,IF(AND(VLOOKUP(CONCATENATE($D1303,$G1303),CSRFinput!$B:$E,4,0)=0,OR(H1303=MappingTables!$C$31,H1303=MappingTables!$C$32)),1,VLOOKUP(CONCATENATE($D1303,$G1303),CSRFinput!$B:$E,4,0)))</f>
        <v>0.054776304963434752</v>
      </c>
      <c r="S1303" s="73">
        <f>IF(B1303="",0,P1303*R1303)</f>
        <v>10.448638256853128</v>
      </c>
      <c r="T1303" s="85">
        <f>IF(B1303="",0,IF(OR(H1303=MappingTables!$C$34,H1303=MappingTables!$C$35),S1303,0))</f>
        <v>0</v>
      </c>
    </row>
    <row r="1304" spans="2:20" s="0" customFormat="0" ht="15">
      <c r="B1304" s="69">
        <v>22554172</v>
      </c>
      <c r="C1304" s="70" t="s">
        <v>3471</v>
      </c>
      <c r="D1304" s="70" t="s">
        <v>1</v>
      </c>
      <c r="E1304" s="70" t="s">
        <v>1</v>
      </c>
      <c r="F1304" s="70"/>
      <c r="G1304" s="70" t="s">
        <v>61</v>
      </c>
      <c r="H1304" s="70" t="s">
        <v>178</v>
      </c>
      <c r="I1304" s="70" t="s">
        <v>513</v>
      </c>
      <c r="J1304" s="71">
        <f>IF(OR(I1304=0,I1304=""),"unrated",VLOOKUP(I1304,MappingTables!$B$19:$C$31,2,FALSE))</f>
        <v>6</v>
      </c>
      <c r="K1304" s="72">
        <v>3112.9413368271792</v>
      </c>
      <c r="L1304" s="70">
        <v>0.06849678732268</v>
      </c>
      <c r="M1304" s="71">
        <f>IF(L1304&lt;1,1,L1304)</f>
        <v>1</v>
      </c>
      <c r="N1304" s="70" t="s">
        <v>3288</v>
      </c>
      <c r="O1304" s="71">
        <f>IF(OR(I1304=$A$1,I1304=0),"",IF(N1304=MappingTables!$C$14,VLOOKUP(J1304,ModelParameters!$M$8:$N$15,2,FALSE),IF(N1304=MappingTables!$C$16,VLOOKUP(J1304,ModelParameters!$P$8:$Q$15,2,FALSE),0)))</f>
        <v>1</v>
      </c>
      <c r="P1304" s="73">
        <f>IF(OR(I1304=0,I1304=$A$1),0,MIN(O1304*M1304,1)*K1304)</f>
        <v>3112.9413368271792</v>
      </c>
      <c r="Q1304" s="73">
        <f>IF(B1304="",0,IF(OR(H1304=MappingTables!$C$34,H1304=MappingTables!$C$35),P1304,0))</f>
        <v>0</v>
      </c>
      <c r="R1304" s="73">
        <f>IF(ISNA(IF(AND(VLOOKUP(CONCATENATE($D1304,$G1304),CSRFinput!$B:$E,4,0)=0,OR(H1304=MappingTables!$C$31,H1304=MappingTables!$C$32)),1,VLOOKUP(CONCATENATE($D1304,$G1304),CSRFinput!$B:$E,4,0))),0,IF(AND(VLOOKUP(CONCATENATE($D1304,$G1304),CSRFinput!$B:$E,4,0)=0,OR(H1304=MappingTables!$C$31,H1304=MappingTables!$C$32)),1,VLOOKUP(CONCATENATE($D1304,$G1304),CSRFinput!$B:$E,4,0)))</f>
        <v>0.054776304963434752</v>
      </c>
      <c r="S1304" s="73">
        <f>IF(B1304="",0,P1304*R1304)</f>
        <v>170.51542399932786</v>
      </c>
      <c r="T1304" s="85">
        <f>IF(B1304="",0,IF(OR(H1304=MappingTables!$C$34,H1304=MappingTables!$C$35),S1304,0))</f>
        <v>0</v>
      </c>
    </row>
    <row r="1305" spans="2:20" s="0" customFormat="0" ht="15">
      <c r="B1305" s="69" t="s">
        <v>3553</v>
      </c>
      <c r="C1305" s="70" t="s">
        <v>3554</v>
      </c>
      <c r="D1305" s="70" t="s">
        <v>1</v>
      </c>
      <c r="E1305" s="70" t="s">
        <v>1</v>
      </c>
      <c r="F1305" s="70"/>
      <c r="G1305" s="70" t="s">
        <v>61</v>
      </c>
      <c r="H1305" s="70" t="s">
        <v>178</v>
      </c>
      <c r="I1305" s="70" t="s">
        <v>3298</v>
      </c>
      <c r="J1305" s="71">
        <f>IF(OR(I1305=0,I1305=""),"unrated",VLOOKUP(I1305,MappingTables!$B$19:$C$31,2,FALSE))</f>
        <v>6</v>
      </c>
      <c r="K1305" s="72">
        <v>425.76830093769656</v>
      </c>
      <c r="L1305" s="70">
        <v>-0.18029042754641532</v>
      </c>
      <c r="M1305" s="71">
        <f>IF(L1305&lt;1,1,L1305)</f>
        <v>1</v>
      </c>
      <c r="N1305" s="70" t="s">
        <v>3288</v>
      </c>
      <c r="O1305" s="71">
        <f>IF(OR(I1305=$A$1,I1305=0),"",IF(N1305=MappingTables!$C$14,VLOOKUP(J1305,ModelParameters!$M$8:$N$15,2,FALSE),IF(N1305=MappingTables!$C$16,VLOOKUP(J1305,ModelParameters!$P$8:$Q$15,2,FALSE),0)))</f>
        <v>1</v>
      </c>
      <c r="P1305" s="73">
        <f>IF(OR(I1305=0,I1305=$A$1),0,MIN(O1305*M1305,1)*K1305)</f>
        <v>425.76830093769656</v>
      </c>
      <c r="Q1305" s="73">
        <f>IF(B1305="",0,IF(OR(H1305=MappingTables!$C$34,H1305=MappingTables!$C$35),P1305,0))</f>
        <v>0</v>
      </c>
      <c r="R1305" s="73">
        <f>IF(ISNA(IF(AND(VLOOKUP(CONCATENATE($D1305,$G1305),CSRFinput!$B:$E,4,0)=0,OR(H1305=MappingTables!$C$31,H1305=MappingTables!$C$32)),1,VLOOKUP(CONCATENATE($D1305,$G1305),CSRFinput!$B:$E,4,0))),0,IF(AND(VLOOKUP(CONCATENATE($D1305,$G1305),CSRFinput!$B:$E,4,0)=0,OR(H1305=MappingTables!$C$31,H1305=MappingTables!$C$32)),1,VLOOKUP(CONCATENATE($D1305,$G1305),CSRFinput!$B:$E,4,0)))</f>
        <v>0.054776304963434752</v>
      </c>
      <c r="S1305" s="73">
        <f>IF(B1305="",0,P1305*R1305)</f>
        <v>23.322014295926728</v>
      </c>
      <c r="T1305" s="85">
        <f>IF(B1305="",0,IF(OR(H1305=MappingTables!$C$34,H1305=MappingTables!$C$35),S1305,0))</f>
        <v>0</v>
      </c>
    </row>
    <row r="1306" spans="2:20" s="0" customFormat="0" ht="15">
      <c r="B1306" s="69">
        <v>16974605</v>
      </c>
      <c r="C1306" s="70" t="s">
        <v>4694</v>
      </c>
      <c r="D1306" s="70" t="s">
        <v>1</v>
      </c>
      <c r="E1306" s="70" t="s">
        <v>1</v>
      </c>
      <c r="F1306" s="70"/>
      <c r="G1306" s="70" t="s">
        <v>61</v>
      </c>
      <c r="H1306" s="70" t="s">
        <v>178</v>
      </c>
      <c r="I1306" s="70" t="s">
        <v>216</v>
      </c>
      <c r="J1306" s="71">
        <f>IF(OR(I1306=0,I1306=""),"unrated",VLOOKUP(I1306,MappingTables!$B$19:$C$31,2,FALSE))</f>
        <v>0</v>
      </c>
      <c r="K1306" s="72">
        <v>681.72779243045224</v>
      </c>
      <c r="L1306" s="70">
        <v>0.083925633186642352</v>
      </c>
      <c r="M1306" s="71">
        <f>IF(L1306&lt;1,1,L1306)</f>
        <v>1</v>
      </c>
      <c r="N1306" s="70" t="s">
        <v>3288</v>
      </c>
      <c r="O1306" s="71">
        <f>IF(OR(I1306=$A$1,I1306=0),"",IF(N1306=MappingTables!$C$14,VLOOKUP(J1306,ModelParameters!$M$8:$N$15,2,FALSE),IF(N1306=MappingTables!$C$16,VLOOKUP(J1306,ModelParameters!$P$8:$Q$15,2,FALSE),0)))</f>
        <v>0.125</v>
      </c>
      <c r="P1306" s="73">
        <f>IF(OR(I1306=0,I1306=$A$1),0,MIN(O1306*M1306,1)*K1306)</f>
        <v>85.215974053806528</v>
      </c>
      <c r="Q1306" s="73">
        <f>IF(B1306="",0,IF(OR(H1306=MappingTables!$C$34,H1306=MappingTables!$C$35),P1306,0))</f>
        <v>0</v>
      </c>
      <c r="R1306" s="73">
        <f>IF(ISNA(IF(AND(VLOOKUP(CONCATENATE($D1306,$G1306),CSRFinput!$B:$E,4,0)=0,OR(H1306=MappingTables!$C$31,H1306=MappingTables!$C$32)),1,VLOOKUP(CONCATENATE($D1306,$G1306),CSRFinput!$B:$E,4,0))),0,IF(AND(VLOOKUP(CONCATENATE($D1306,$G1306),CSRFinput!$B:$E,4,0)=0,OR(H1306=MappingTables!$C$31,H1306=MappingTables!$C$32)),1,VLOOKUP(CONCATENATE($D1306,$G1306),CSRFinput!$B:$E,4,0)))</f>
        <v>0.054776304963434752</v>
      </c>
      <c r="S1306" s="73">
        <f>IF(B1306="",0,P1306*R1306)</f>
        <v>4.6678161825274504</v>
      </c>
      <c r="T1306" s="85">
        <f>IF(B1306="",0,IF(OR(H1306=MappingTables!$C$34,H1306=MappingTables!$C$35),S1306,0))</f>
        <v>0</v>
      </c>
    </row>
    <row r="1307" spans="2:20" s="0" customFormat="0" ht="15">
      <c r="B1307" s="69">
        <v>22623687</v>
      </c>
      <c r="C1307" s="70" t="s">
        <v>4510</v>
      </c>
      <c r="D1307" s="70" t="s">
        <v>1</v>
      </c>
      <c r="E1307" s="70" t="s">
        <v>1</v>
      </c>
      <c r="F1307" s="70"/>
      <c r="G1307" s="70" t="s">
        <v>61</v>
      </c>
      <c r="H1307" s="70" t="s">
        <v>178</v>
      </c>
      <c r="I1307" s="70" t="s">
        <v>204</v>
      </c>
      <c r="J1307" s="71">
        <f>IF(OR(I1307=0,I1307=""),"unrated",VLOOKUP(I1307,MappingTables!$B$19:$C$31,2,FALSE))</f>
        <v>6</v>
      </c>
      <c r="K1307" s="72">
        <v>3416.0724350345936</v>
      </c>
      <c r="L1307" s="70">
        <v>0.084868655798435072</v>
      </c>
      <c r="M1307" s="71">
        <f>IF(L1307&lt;1,1,L1307)</f>
        <v>1</v>
      </c>
      <c r="N1307" s="70" t="s">
        <v>3288</v>
      </c>
      <c r="O1307" s="71">
        <f>IF(OR(I1307=$A$1,I1307=0),"",IF(N1307=MappingTables!$C$14,VLOOKUP(J1307,ModelParameters!$M$8:$N$15,2,FALSE),IF(N1307=MappingTables!$C$16,VLOOKUP(J1307,ModelParameters!$P$8:$Q$15,2,FALSE),0)))</f>
        <v>1</v>
      </c>
      <c r="P1307" s="73">
        <f>IF(OR(I1307=0,I1307=$A$1),0,MIN(O1307*M1307,1)*K1307)</f>
        <v>3416.0724350345936</v>
      </c>
      <c r="Q1307" s="73">
        <f>IF(B1307="",0,IF(OR(H1307=MappingTables!$C$34,H1307=MappingTables!$C$35),P1307,0))</f>
        <v>0</v>
      </c>
      <c r="R1307" s="73">
        <f>IF(ISNA(IF(AND(VLOOKUP(CONCATENATE($D1307,$G1307),CSRFinput!$B:$E,4,0)=0,OR(H1307=MappingTables!$C$31,H1307=MappingTables!$C$32)),1,VLOOKUP(CONCATENATE($D1307,$G1307),CSRFinput!$B:$E,4,0))),0,IF(AND(VLOOKUP(CONCATENATE($D1307,$G1307),CSRFinput!$B:$E,4,0)=0,OR(H1307=MappingTables!$C$31,H1307=MappingTables!$C$32)),1,VLOOKUP(CONCATENATE($D1307,$G1307),CSRFinput!$B:$E,4,0)))</f>
        <v>0.054776304963434752</v>
      </c>
      <c r="S1307" s="73">
        <f>IF(B1307="",0,P1307*R1307)</f>
        <v>187.11982547863808</v>
      </c>
      <c r="T1307" s="85">
        <f>IF(B1307="",0,IF(OR(H1307=MappingTables!$C$34,H1307=MappingTables!$C$35),S1307,0))</f>
        <v>0</v>
      </c>
    </row>
    <row r="1308" spans="2:20" s="0" customFormat="0" ht="15">
      <c r="B1308" s="69" t="s">
        <v>4091</v>
      </c>
      <c r="C1308" s="70" t="s">
        <v>4092</v>
      </c>
      <c r="D1308" s="70" t="s">
        <v>1</v>
      </c>
      <c r="E1308" s="70" t="s">
        <v>1</v>
      </c>
      <c r="F1308" s="70"/>
      <c r="G1308" s="70" t="s">
        <v>61</v>
      </c>
      <c r="H1308" s="70" t="s">
        <v>178</v>
      </c>
      <c r="I1308" s="70" t="s">
        <v>198</v>
      </c>
      <c r="J1308" s="71" t="str">
        <f>IF(OR(I1308=0,I1308=""),"unrated",VLOOKUP(I1308,MappingTables!$B$19:$C$31,2,FALSE))</f>
        <v>unrated</v>
      </c>
      <c r="K1308" s="72">
        <v>23.333144761729088</v>
      </c>
      <c r="L1308" s="70">
        <v>0.068489147939104256</v>
      </c>
      <c r="M1308" s="71">
        <f>IF(L1308&lt;1,1,L1308)</f>
        <v>1</v>
      </c>
      <c r="N1308" s="70" t="s">
        <v>3288</v>
      </c>
      <c r="O1308" s="71">
        <f>IF(OR(I1308=$A$1,I1308=0),"",IF(N1308=MappingTables!$C$14,VLOOKUP(J1308,ModelParameters!$M$8:$N$15,2,FALSE),IF(N1308=MappingTables!$C$16,VLOOKUP(J1308,ModelParameters!$P$8:$Q$15,2,FALSE),0)))</f>
        <v>1</v>
      </c>
      <c r="P1308" s="73">
        <f>IF(OR(I1308=0,I1308=$A$1),0,MIN(O1308*M1308,1)*K1308)</f>
        <v>23.333144761729088</v>
      </c>
      <c r="Q1308" s="73">
        <f>IF(B1308="",0,IF(OR(H1308=MappingTables!$C$34,H1308=MappingTables!$C$35),P1308,0))</f>
        <v>0</v>
      </c>
      <c r="R1308" s="73">
        <f>IF(ISNA(IF(AND(VLOOKUP(CONCATENATE($D1308,$G1308),CSRFinput!$B:$E,4,0)=0,OR(H1308=MappingTables!$C$31,H1308=MappingTables!$C$32)),1,VLOOKUP(CONCATENATE($D1308,$G1308),CSRFinput!$B:$E,4,0))),0,IF(AND(VLOOKUP(CONCATENATE($D1308,$G1308),CSRFinput!$B:$E,4,0)=0,OR(H1308=MappingTables!$C$31,H1308=MappingTables!$C$32)),1,VLOOKUP(CONCATENATE($D1308,$G1308),CSRFinput!$B:$E,4,0)))</f>
        <v>0.054776304963434752</v>
      </c>
      <c r="S1308" s="73">
        <f>IF(B1308="",0,P1308*R1308)</f>
        <v>1.2781034532244426</v>
      </c>
      <c r="T1308" s="85">
        <f>IF(B1308="",0,IF(OR(H1308=MappingTables!$C$34,H1308=MappingTables!$C$35),S1308,0))</f>
        <v>0</v>
      </c>
    </row>
    <row r="1309" spans="2:20" s="0" customFormat="0" ht="15">
      <c r="B1309" s="69" t="s">
        <v>4883</v>
      </c>
      <c r="C1309" s="70" t="s">
        <v>4884</v>
      </c>
      <c r="D1309" s="70" t="s">
        <v>1</v>
      </c>
      <c r="E1309" s="70" t="s">
        <v>1</v>
      </c>
      <c r="F1309" s="70"/>
      <c r="G1309" s="70" t="s">
        <v>61</v>
      </c>
      <c r="H1309" s="70" t="s">
        <v>178</v>
      </c>
      <c r="I1309" s="70" t="s">
        <v>204</v>
      </c>
      <c r="J1309" s="71">
        <f>IF(OR(I1309=0,I1309=""),"unrated",VLOOKUP(I1309,MappingTables!$B$19:$C$31,2,FALSE))</f>
        <v>6</v>
      </c>
      <c r="K1309" s="72">
        <v>3460.3625727200612</v>
      </c>
      <c r="L1309" s="70">
        <v>0.06849494939373116</v>
      </c>
      <c r="M1309" s="71">
        <f>IF(L1309&lt;1,1,L1309)</f>
        <v>1</v>
      </c>
      <c r="N1309" s="70" t="s">
        <v>3288</v>
      </c>
      <c r="O1309" s="71">
        <f>IF(OR(I1309=$A$1,I1309=0),"",IF(N1309=MappingTables!$C$14,VLOOKUP(J1309,ModelParameters!$M$8:$N$15,2,FALSE),IF(N1309=MappingTables!$C$16,VLOOKUP(J1309,ModelParameters!$P$8:$Q$15,2,FALSE),0)))</f>
        <v>1</v>
      </c>
      <c r="P1309" s="73">
        <f>IF(OR(I1309=0,I1309=$A$1),0,MIN(O1309*M1309,1)*K1309)</f>
        <v>3460.3625727200612</v>
      </c>
      <c r="Q1309" s="73">
        <f>IF(B1309="",0,IF(OR(H1309=MappingTables!$C$34,H1309=MappingTables!$C$35),P1309,0))</f>
        <v>0</v>
      </c>
      <c r="R1309" s="73">
        <f>IF(ISNA(IF(AND(VLOOKUP(CONCATENATE($D1309,$G1309),CSRFinput!$B:$E,4,0)=0,OR(H1309=MappingTables!$C$31,H1309=MappingTables!$C$32)),1,VLOOKUP(CONCATENATE($D1309,$G1309),CSRFinput!$B:$E,4,0))),0,IF(AND(VLOOKUP(CONCATENATE($D1309,$G1309),CSRFinput!$B:$E,4,0)=0,OR(H1309=MappingTables!$C$31,H1309=MappingTables!$C$32)),1,VLOOKUP(CONCATENATE($D1309,$G1309),CSRFinput!$B:$E,4,0)))</f>
        <v>0.054776304963434752</v>
      </c>
      <c r="S1309" s="73">
        <f>IF(B1309="",0,P1309*R1309)</f>
        <v>189.54587556736972</v>
      </c>
      <c r="T1309" s="85">
        <f>IF(B1309="",0,IF(OR(H1309=MappingTables!$C$34,H1309=MappingTables!$C$35),S1309,0))</f>
        <v>0</v>
      </c>
    </row>
    <row r="1310" spans="2:20" s="0" customFormat="0" ht="15">
      <c r="B1310" s="69" t="s">
        <v>4102</v>
      </c>
      <c r="C1310" s="70" t="s">
        <v>4103</v>
      </c>
      <c r="D1310" s="70" t="s">
        <v>1</v>
      </c>
      <c r="E1310" s="70" t="s">
        <v>1</v>
      </c>
      <c r="F1310" s="70"/>
      <c r="G1310" s="70" t="s">
        <v>61</v>
      </c>
      <c r="H1310" s="70" t="s">
        <v>178</v>
      </c>
      <c r="I1310" s="70" t="s">
        <v>184</v>
      </c>
      <c r="J1310" s="71">
        <f>IF(OR(I1310=0,I1310=""),"unrated",VLOOKUP(I1310,MappingTables!$B$19:$C$31,2,FALSE))</f>
        <v>5</v>
      </c>
      <c r="K1310" s="72">
        <v>178.91666630591234</v>
      </c>
      <c r="L1310" s="70">
        <v>0.068491640424974024</v>
      </c>
      <c r="M1310" s="71">
        <f>IF(L1310&lt;1,1,L1310)</f>
        <v>1</v>
      </c>
      <c r="N1310" s="70" t="s">
        <v>3288</v>
      </c>
      <c r="O1310" s="71">
        <f>IF(OR(I1310=$A$1,I1310=0),"",IF(N1310=MappingTables!$C$14,VLOOKUP(J1310,ModelParameters!$M$8:$N$15,2,FALSE),IF(N1310=MappingTables!$C$16,VLOOKUP(J1310,ModelParameters!$P$8:$Q$15,2,FALSE),0)))</f>
        <v>1</v>
      </c>
      <c r="P1310" s="73">
        <f>IF(OR(I1310=0,I1310=$A$1),0,MIN(O1310*M1310,1)*K1310)</f>
        <v>178.91666630591234</v>
      </c>
      <c r="Q1310" s="73">
        <f>IF(B1310="",0,IF(OR(H1310=MappingTables!$C$34,H1310=MappingTables!$C$35),P1310,0))</f>
        <v>0</v>
      </c>
      <c r="R1310" s="73">
        <f>IF(ISNA(IF(AND(VLOOKUP(CONCATENATE($D1310,$G1310),CSRFinput!$B:$E,4,0)=0,OR(H1310=MappingTables!$C$31,H1310=MappingTables!$C$32)),1,VLOOKUP(CONCATENATE($D1310,$G1310),CSRFinput!$B:$E,4,0))),0,IF(AND(VLOOKUP(CONCATENATE($D1310,$G1310),CSRFinput!$B:$E,4,0)=0,OR(H1310=MappingTables!$C$31,H1310=MappingTables!$C$32)),1,VLOOKUP(CONCATENATE($D1310,$G1310),CSRFinput!$B:$E,4,0)))</f>
        <v>0.054776304963434752</v>
      </c>
      <c r="S1310" s="73">
        <f>IF(B1310="",0,P1310*R1310)</f>
        <v>9.8003938766137472</v>
      </c>
      <c r="T1310" s="85">
        <f>IF(B1310="",0,IF(OR(H1310=MappingTables!$C$34,H1310=MappingTables!$C$35),S1310,0))</f>
        <v>0</v>
      </c>
    </row>
    <row r="1311" spans="2:20" s="0" customFormat="0" ht="15">
      <c r="B1311" s="69" t="s">
        <v>4885</v>
      </c>
      <c r="C1311" s="70" t="s">
        <v>4886</v>
      </c>
      <c r="D1311" s="70" t="s">
        <v>1</v>
      </c>
      <c r="E1311" s="70" t="s">
        <v>1</v>
      </c>
      <c r="F1311" s="70"/>
      <c r="G1311" s="70" t="s">
        <v>61</v>
      </c>
      <c r="H1311" s="70" t="s">
        <v>178</v>
      </c>
      <c r="I1311" s="70" t="s">
        <v>3298</v>
      </c>
      <c r="J1311" s="71">
        <f>IF(OR(I1311=0,I1311=""),"unrated",VLOOKUP(I1311,MappingTables!$B$19:$C$31,2,FALSE))</f>
        <v>6</v>
      </c>
      <c r="K1311" s="72">
        <v>82.035305007947072</v>
      </c>
      <c r="L1311" s="70">
        <v>0.068495325979798984</v>
      </c>
      <c r="M1311" s="71">
        <f>IF(L1311&lt;1,1,L1311)</f>
        <v>1</v>
      </c>
      <c r="N1311" s="70" t="s">
        <v>3288</v>
      </c>
      <c r="O1311" s="71">
        <f>IF(OR(I1311=$A$1,I1311=0),"",IF(N1311=MappingTables!$C$14,VLOOKUP(J1311,ModelParameters!$M$8:$N$15,2,FALSE),IF(N1311=MappingTables!$C$16,VLOOKUP(J1311,ModelParameters!$P$8:$Q$15,2,FALSE),0)))</f>
        <v>1</v>
      </c>
      <c r="P1311" s="73">
        <f>IF(OR(I1311=0,I1311=$A$1),0,MIN(O1311*M1311,1)*K1311)</f>
        <v>82.035305007947072</v>
      </c>
      <c r="Q1311" s="73">
        <f>IF(B1311="",0,IF(OR(H1311=MappingTables!$C$34,H1311=MappingTables!$C$35),P1311,0))</f>
        <v>0</v>
      </c>
      <c r="R1311" s="73">
        <f>IF(ISNA(IF(AND(VLOOKUP(CONCATENATE($D1311,$G1311),CSRFinput!$B:$E,4,0)=0,OR(H1311=MappingTables!$C$31,H1311=MappingTables!$C$32)),1,VLOOKUP(CONCATENATE($D1311,$G1311),CSRFinput!$B:$E,4,0))),0,IF(AND(VLOOKUP(CONCATENATE($D1311,$G1311),CSRFinput!$B:$E,4,0)=0,OR(H1311=MappingTables!$C$31,H1311=MappingTables!$C$32)),1,VLOOKUP(CONCATENATE($D1311,$G1311),CSRFinput!$B:$E,4,0)))</f>
        <v>0.054776304963434752</v>
      </c>
      <c r="S1311" s="73">
        <f>IF(B1311="",0,P1311*R1311)</f>
        <v>4.4935908848836952</v>
      </c>
      <c r="T1311" s="85">
        <f>IF(B1311="",0,IF(OR(H1311=MappingTables!$C$34,H1311=MappingTables!$C$35),S1311,0))</f>
        <v>0</v>
      </c>
    </row>
    <row r="1312" spans="2:20" s="0" customFormat="0" ht="15">
      <c r="B1312" s="69" t="s">
        <v>3731</v>
      </c>
      <c r="C1312" s="70" t="s">
        <v>3732</v>
      </c>
      <c r="D1312" s="70" t="s">
        <v>1</v>
      </c>
      <c r="E1312" s="70" t="s">
        <v>1</v>
      </c>
      <c r="F1312" s="70"/>
      <c r="G1312" s="70" t="s">
        <v>61</v>
      </c>
      <c r="H1312" s="70" t="s">
        <v>178</v>
      </c>
      <c r="I1312" s="70" t="s">
        <v>198</v>
      </c>
      <c r="J1312" s="71" t="str">
        <f>IF(OR(I1312=0,I1312=""),"unrated",VLOOKUP(I1312,MappingTables!$B$19:$C$31,2,FALSE))</f>
        <v>unrated</v>
      </c>
      <c r="K1312" s="72">
        <v>84.013102098033248</v>
      </c>
      <c r="L1312" s="70">
        <v>0.06849395826155856</v>
      </c>
      <c r="M1312" s="71">
        <f>IF(L1312&lt;1,1,L1312)</f>
        <v>1</v>
      </c>
      <c r="N1312" s="70" t="s">
        <v>3288</v>
      </c>
      <c r="O1312" s="71">
        <f>IF(OR(I1312=$A$1,I1312=0),"",IF(N1312=MappingTables!$C$14,VLOOKUP(J1312,ModelParameters!$M$8:$N$15,2,FALSE),IF(N1312=MappingTables!$C$16,VLOOKUP(J1312,ModelParameters!$P$8:$Q$15,2,FALSE),0)))</f>
        <v>1</v>
      </c>
      <c r="P1312" s="73">
        <f>IF(OR(I1312=0,I1312=$A$1),0,MIN(O1312*M1312,1)*K1312)</f>
        <v>84.013102098033248</v>
      </c>
      <c r="Q1312" s="73">
        <f>IF(B1312="",0,IF(OR(H1312=MappingTables!$C$34,H1312=MappingTables!$C$35),P1312,0))</f>
        <v>0</v>
      </c>
      <c r="R1312" s="73">
        <f>IF(ISNA(IF(AND(VLOOKUP(CONCATENATE($D1312,$G1312),CSRFinput!$B:$E,4,0)=0,OR(H1312=MappingTables!$C$31,H1312=MappingTables!$C$32)),1,VLOOKUP(CONCATENATE($D1312,$G1312),CSRFinput!$B:$E,4,0))),0,IF(AND(VLOOKUP(CONCATENATE($D1312,$G1312),CSRFinput!$B:$E,4,0)=0,OR(H1312=MappingTables!$C$31,H1312=MappingTables!$C$32)),1,VLOOKUP(CONCATENATE($D1312,$G1312),CSRFinput!$B:$E,4,0)))</f>
        <v>0.054776304963434752</v>
      </c>
      <c r="S1312" s="73">
        <f>IF(B1312="",0,P1312*R1312)</f>
        <v>4.6019273014460496</v>
      </c>
      <c r="T1312" s="85">
        <f>IF(B1312="",0,IF(OR(H1312=MappingTables!$C$34,H1312=MappingTables!$C$35),S1312,0))</f>
        <v>0</v>
      </c>
    </row>
    <row r="1313" spans="2:20" s="0" customFormat="0" ht="15">
      <c r="B1313" s="69" t="s">
        <v>4145</v>
      </c>
      <c r="C1313" s="70" t="s">
        <v>4146</v>
      </c>
      <c r="D1313" s="70" t="s">
        <v>1</v>
      </c>
      <c r="E1313" s="70" t="s">
        <v>1</v>
      </c>
      <c r="F1313" s="70"/>
      <c r="G1313" s="70" t="s">
        <v>61</v>
      </c>
      <c r="H1313" s="70" t="s">
        <v>178</v>
      </c>
      <c r="I1313" s="70" t="s">
        <v>198</v>
      </c>
      <c r="J1313" s="71" t="str">
        <f>IF(OR(I1313=0,I1313=""),"unrated",VLOOKUP(I1313,MappingTables!$B$19:$C$31,2,FALSE))</f>
        <v>unrated</v>
      </c>
      <c r="K1313" s="72">
        <v>0.14390896318688052</v>
      </c>
      <c r="L1313" s="70">
        <v>7.23643746304408</v>
      </c>
      <c r="M1313" s="71">
        <f>IF(L1313&lt;1,1,L1313)</f>
        <v>7.23643746304408</v>
      </c>
      <c r="N1313" s="70" t="s">
        <v>3288</v>
      </c>
      <c r="O1313" s="71">
        <f>IF(OR(I1313=$A$1,I1313=0),"",IF(N1313=MappingTables!$C$14,VLOOKUP(J1313,ModelParameters!$M$8:$N$15,2,FALSE),IF(N1313=MappingTables!$C$16,VLOOKUP(J1313,ModelParameters!$P$8:$Q$15,2,FALSE),0)))</f>
        <v>1</v>
      </c>
      <c r="P1313" s="73">
        <f>IF(OR(I1313=0,I1313=$A$1),0,MIN(O1313*M1313,1)*K1313)</f>
        <v>0.14390896318688052</v>
      </c>
      <c r="Q1313" s="73">
        <f>IF(B1313="",0,IF(OR(H1313=MappingTables!$C$34,H1313=MappingTables!$C$35),P1313,0))</f>
        <v>0</v>
      </c>
      <c r="R1313" s="73">
        <f>IF(ISNA(IF(AND(VLOOKUP(CONCATENATE($D1313,$G1313),CSRFinput!$B:$E,4,0)=0,OR(H1313=MappingTables!$C$31,H1313=MappingTables!$C$32)),1,VLOOKUP(CONCATENATE($D1313,$G1313),CSRFinput!$B:$E,4,0))),0,IF(AND(VLOOKUP(CONCATENATE($D1313,$G1313),CSRFinput!$B:$E,4,0)=0,OR(H1313=MappingTables!$C$31,H1313=MappingTables!$C$32)),1,VLOOKUP(CONCATENATE($D1313,$G1313),CSRFinput!$B:$E,4,0)))</f>
        <v>0.054776304963434752</v>
      </c>
      <c r="S1313" s="73">
        <f>IF(B1313="",0,P1313*R1313)</f>
        <v>0.0078828012544962736</v>
      </c>
      <c r="T1313" s="85">
        <f>IF(B1313="",0,IF(OR(H1313=MappingTables!$C$34,H1313=MappingTables!$C$35),S1313,0))</f>
        <v>0</v>
      </c>
    </row>
    <row r="1314" spans="2:20" s="0" customFormat="0" ht="15">
      <c r="B1314" s="69" t="s">
        <v>3871</v>
      </c>
      <c r="C1314" s="70" t="s">
        <v>3872</v>
      </c>
      <c r="D1314" s="70" t="s">
        <v>1</v>
      </c>
      <c r="E1314" s="70" t="s">
        <v>1</v>
      </c>
      <c r="F1314" s="70"/>
      <c r="G1314" s="70" t="s">
        <v>61</v>
      </c>
      <c r="H1314" s="70" t="s">
        <v>178</v>
      </c>
      <c r="I1314" s="70" t="s">
        <v>198</v>
      </c>
      <c r="J1314" s="71" t="str">
        <f>IF(OR(I1314=0,I1314=""),"unrated",VLOOKUP(I1314,MappingTables!$B$19:$C$31,2,FALSE))</f>
        <v>unrated</v>
      </c>
      <c r="K1314" s="72">
        <v>0.0013046231221350854</v>
      </c>
      <c r="L1314" s="70">
        <v>0.1909523988786594</v>
      </c>
      <c r="M1314" s="71">
        <f>IF(L1314&lt;1,1,L1314)</f>
        <v>1</v>
      </c>
      <c r="N1314" s="70" t="s">
        <v>3288</v>
      </c>
      <c r="O1314" s="71">
        <f>IF(OR(I1314=$A$1,I1314=0),"",IF(N1314=MappingTables!$C$14,VLOOKUP(J1314,ModelParameters!$M$8:$N$15,2,FALSE),IF(N1314=MappingTables!$C$16,VLOOKUP(J1314,ModelParameters!$P$8:$Q$15,2,FALSE),0)))</f>
        <v>1</v>
      </c>
      <c r="P1314" s="73">
        <f>IF(OR(I1314=0,I1314=$A$1),0,MIN(O1314*M1314,1)*K1314)</f>
        <v>0.0013046231221350854</v>
      </c>
      <c r="Q1314" s="73">
        <f>IF(B1314="",0,IF(OR(H1314=MappingTables!$C$34,H1314=MappingTables!$C$35),P1314,0))</f>
        <v>0</v>
      </c>
      <c r="R1314" s="73">
        <f>IF(ISNA(IF(AND(VLOOKUP(CONCATENATE($D1314,$G1314),CSRFinput!$B:$E,4,0)=0,OR(H1314=MappingTables!$C$31,H1314=MappingTables!$C$32)),1,VLOOKUP(CONCATENATE($D1314,$G1314),CSRFinput!$B:$E,4,0))),0,IF(AND(VLOOKUP(CONCATENATE($D1314,$G1314),CSRFinput!$B:$E,4,0)=0,OR(H1314=MappingTables!$C$31,H1314=MappingTables!$C$32)),1,VLOOKUP(CONCATENATE($D1314,$G1314),CSRFinput!$B:$E,4,0)))</f>
        <v>0.054776304963434752</v>
      </c>
      <c r="S1314" s="73">
        <f>IF(B1314="",0,P1314*R1314)</f>
        <v>0.000071462434000419832</v>
      </c>
      <c r="T1314" s="85">
        <f>IF(B1314="",0,IF(OR(H1314=MappingTables!$C$34,H1314=MappingTables!$C$35),S1314,0))</f>
        <v>0</v>
      </c>
    </row>
    <row r="1315" spans="2:20" s="0" customFormat="0" ht="15">
      <c r="B1315" s="69">
        <v>22554066</v>
      </c>
      <c r="C1315" s="70" t="s">
        <v>4887</v>
      </c>
      <c r="D1315" s="70" t="s">
        <v>1</v>
      </c>
      <c r="E1315" s="70" t="s">
        <v>1</v>
      </c>
      <c r="F1315" s="70"/>
      <c r="G1315" s="70" t="s">
        <v>61</v>
      </c>
      <c r="H1315" s="70" t="s">
        <v>178</v>
      </c>
      <c r="I1315" s="70" t="s">
        <v>198</v>
      </c>
      <c r="J1315" s="71" t="str">
        <f>IF(OR(I1315=0,I1315=""),"unrated",VLOOKUP(I1315,MappingTables!$B$19:$C$31,2,FALSE))</f>
        <v>unrated</v>
      </c>
      <c r="K1315" s="72">
        <v>308.66716190364436</v>
      </c>
      <c r="L1315" s="70">
        <v>0.054793842772200424</v>
      </c>
      <c r="M1315" s="71">
        <f>IF(L1315&lt;1,1,L1315)</f>
        <v>1</v>
      </c>
      <c r="N1315" s="70" t="s">
        <v>3288</v>
      </c>
      <c r="O1315" s="71">
        <f>IF(OR(I1315=$A$1,I1315=0),"",IF(N1315=MappingTables!$C$14,VLOOKUP(J1315,ModelParameters!$M$8:$N$15,2,FALSE),IF(N1315=MappingTables!$C$16,VLOOKUP(J1315,ModelParameters!$P$8:$Q$15,2,FALSE),0)))</f>
        <v>1</v>
      </c>
      <c r="P1315" s="73">
        <f>IF(OR(I1315=0,I1315=$A$1),0,MIN(O1315*M1315,1)*K1315)</f>
        <v>308.66716190364436</v>
      </c>
      <c r="Q1315" s="73">
        <f>IF(B1315="",0,IF(OR(H1315=MappingTables!$C$34,H1315=MappingTables!$C$35),P1315,0))</f>
        <v>0</v>
      </c>
      <c r="R1315" s="73">
        <f>IF(ISNA(IF(AND(VLOOKUP(CONCATENATE($D1315,$G1315),CSRFinput!$B:$E,4,0)=0,OR(H1315=MappingTables!$C$31,H1315=MappingTables!$C$32)),1,VLOOKUP(CONCATENATE($D1315,$G1315),CSRFinput!$B:$E,4,0))),0,IF(AND(VLOOKUP(CONCATENATE($D1315,$G1315),CSRFinput!$B:$E,4,0)=0,OR(H1315=MappingTables!$C$31,H1315=MappingTables!$C$32)),1,VLOOKUP(CONCATENATE($D1315,$G1315),CSRFinput!$B:$E,4,0)))</f>
        <v>0.054776304963434752</v>
      </c>
      <c r="S1315" s="73">
        <f>IF(B1315="",0,P1315*R1315)</f>
        <v>16.907646592631914</v>
      </c>
      <c r="T1315" s="85">
        <f>IF(B1315="",0,IF(OR(H1315=MappingTables!$C$34,H1315=MappingTables!$C$35),S1315,0))</f>
        <v>0</v>
      </c>
    </row>
    <row r="1316" spans="2:20" s="0" customFormat="0" ht="15">
      <c r="B1316" s="69">
        <v>1551590</v>
      </c>
      <c r="C1316" s="70" t="s">
        <v>4888</v>
      </c>
      <c r="D1316" s="70" t="s">
        <v>1</v>
      </c>
      <c r="E1316" s="70" t="s">
        <v>1</v>
      </c>
      <c r="F1316" s="70"/>
      <c r="G1316" s="70" t="s">
        <v>61</v>
      </c>
      <c r="H1316" s="70" t="s">
        <v>178</v>
      </c>
      <c r="I1316" s="70" t="s">
        <v>220</v>
      </c>
      <c r="J1316" s="71">
        <f>IF(OR(I1316=0,I1316=""),"unrated",VLOOKUP(I1316,MappingTables!$B$19:$C$31,2,FALSE))</f>
        <v>1</v>
      </c>
      <c r="K1316" s="72">
        <v>17.984626312908538</v>
      </c>
      <c r="L1316" s="70">
        <v>0.068494209352985168</v>
      </c>
      <c r="M1316" s="71">
        <f>IF(L1316&lt;1,1,L1316)</f>
        <v>1</v>
      </c>
      <c r="N1316" s="70" t="s">
        <v>3288</v>
      </c>
      <c r="O1316" s="71">
        <f>IF(OR(I1316=$A$1,I1316=0),"",IF(N1316=MappingTables!$C$14,VLOOKUP(J1316,ModelParameters!$M$8:$N$15,2,FALSE),IF(N1316=MappingTables!$C$16,VLOOKUP(J1316,ModelParameters!$P$8:$Q$15,2,FALSE),0)))</f>
        <v>0.134</v>
      </c>
      <c r="P1316" s="73">
        <f>IF(OR(I1316=0,I1316=$A$1),0,MIN(O1316*M1316,1)*K1316)</f>
        <v>2.4099399259297444</v>
      </c>
      <c r="Q1316" s="73">
        <f>IF(B1316="",0,IF(OR(H1316=MappingTables!$C$34,H1316=MappingTables!$C$35),P1316,0))</f>
        <v>0</v>
      </c>
      <c r="R1316" s="73">
        <f>IF(ISNA(IF(AND(VLOOKUP(CONCATENATE($D1316,$G1316),CSRFinput!$B:$E,4,0)=0,OR(H1316=MappingTables!$C$31,H1316=MappingTables!$C$32)),1,VLOOKUP(CONCATENATE($D1316,$G1316),CSRFinput!$B:$E,4,0))),0,IF(AND(VLOOKUP(CONCATENATE($D1316,$G1316),CSRFinput!$B:$E,4,0)=0,OR(H1316=MappingTables!$C$31,H1316=MappingTables!$C$32)),1,VLOOKUP(CONCATENATE($D1316,$G1316),CSRFinput!$B:$E,4,0)))</f>
        <v>0.054776304963434752</v>
      </c>
      <c r="S1316" s="73">
        <f>IF(B1316="",0,P1316*R1316)</f>
        <v>0.13200760432628506</v>
      </c>
      <c r="T1316" s="85">
        <f>IF(B1316="",0,IF(OR(H1316=MappingTables!$C$34,H1316=MappingTables!$C$35),S1316,0))</f>
        <v>0</v>
      </c>
    </row>
    <row r="1317" spans="2:20" s="0" customFormat="0" ht="15">
      <c r="B1317" s="69" t="s">
        <v>3756</v>
      </c>
      <c r="C1317" s="70" t="s">
        <v>3757</v>
      </c>
      <c r="D1317" s="70" t="s">
        <v>1</v>
      </c>
      <c r="E1317" s="70" t="s">
        <v>1</v>
      </c>
      <c r="F1317" s="70"/>
      <c r="G1317" s="70" t="s">
        <v>61</v>
      </c>
      <c r="H1317" s="70" t="s">
        <v>178</v>
      </c>
      <c r="I1317" s="70" t="s">
        <v>184</v>
      </c>
      <c r="J1317" s="71">
        <f>IF(OR(I1317=0,I1317=""),"unrated",VLOOKUP(I1317,MappingTables!$B$19:$C$31,2,FALSE))</f>
        <v>5</v>
      </c>
      <c r="K1317" s="72">
        <v>2.9748305619238892</v>
      </c>
      <c r="L1317" s="70">
        <v>0.068489819491220072</v>
      </c>
      <c r="M1317" s="71">
        <f>IF(L1317&lt;1,1,L1317)</f>
        <v>1</v>
      </c>
      <c r="N1317" s="70" t="s">
        <v>3288</v>
      </c>
      <c r="O1317" s="71">
        <f>IF(OR(I1317=$A$1,I1317=0),"",IF(N1317=MappingTables!$C$14,VLOOKUP(J1317,ModelParameters!$M$8:$N$15,2,FALSE),IF(N1317=MappingTables!$C$16,VLOOKUP(J1317,ModelParameters!$P$8:$Q$15,2,FALSE),0)))</f>
        <v>1</v>
      </c>
      <c r="P1317" s="73">
        <f>IF(OR(I1317=0,I1317=$A$1),0,MIN(O1317*M1317,1)*K1317)</f>
        <v>2.9748305619238892</v>
      </c>
      <c r="Q1317" s="73">
        <f>IF(B1317="",0,IF(OR(H1317=MappingTables!$C$34,H1317=MappingTables!$C$35),P1317,0))</f>
        <v>0</v>
      </c>
      <c r="R1317" s="73">
        <f>IF(ISNA(IF(AND(VLOOKUP(CONCATENATE($D1317,$G1317),CSRFinput!$B:$E,4,0)=0,OR(H1317=MappingTables!$C$31,H1317=MappingTables!$C$32)),1,VLOOKUP(CONCATENATE($D1317,$G1317),CSRFinput!$B:$E,4,0))),0,IF(AND(VLOOKUP(CONCATENATE($D1317,$G1317),CSRFinput!$B:$E,4,0)=0,OR(H1317=MappingTables!$C$31,H1317=MappingTables!$C$32)),1,VLOOKUP(CONCATENATE($D1317,$G1317),CSRFinput!$B:$E,4,0)))</f>
        <v>0.054776304963434752</v>
      </c>
      <c r="S1317" s="73">
        <f>IF(B1317="",0,P1317*R1317)</f>
        <v>0.16295022607448892</v>
      </c>
      <c r="T1317" s="85">
        <f>IF(B1317="",0,IF(OR(H1317=MappingTables!$C$34,H1317=MappingTables!$C$35),S1317,0))</f>
        <v>0</v>
      </c>
    </row>
    <row r="1318" spans="2:20" s="0" customFormat="0" ht="15">
      <c r="B1318" s="69" t="s">
        <v>4889</v>
      </c>
      <c r="C1318" s="70" t="s">
        <v>4890</v>
      </c>
      <c r="D1318" s="70" t="s">
        <v>1</v>
      </c>
      <c r="E1318" s="70" t="s">
        <v>1</v>
      </c>
      <c r="F1318" s="70"/>
      <c r="G1318" s="70" t="s">
        <v>61</v>
      </c>
      <c r="H1318" s="70" t="s">
        <v>178</v>
      </c>
      <c r="I1318" s="70" t="s">
        <v>216</v>
      </c>
      <c r="J1318" s="71">
        <f>IF(OR(I1318=0,I1318=""),"unrated",VLOOKUP(I1318,MappingTables!$B$19:$C$31,2,FALSE))</f>
        <v>0</v>
      </c>
      <c r="K1318" s="72">
        <v>4304.3289516690072</v>
      </c>
      <c r="L1318" s="70">
        <v>0.054797962066262568</v>
      </c>
      <c r="M1318" s="71">
        <f>IF(L1318&lt;1,1,L1318)</f>
        <v>1</v>
      </c>
      <c r="N1318" s="70" t="s">
        <v>3288</v>
      </c>
      <c r="O1318" s="71">
        <f>IF(OR(I1318=$A$1,I1318=0),"",IF(N1318=MappingTables!$C$14,VLOOKUP(J1318,ModelParameters!$M$8:$N$15,2,FALSE),IF(N1318=MappingTables!$C$16,VLOOKUP(J1318,ModelParameters!$P$8:$Q$15,2,FALSE),0)))</f>
        <v>0.125</v>
      </c>
      <c r="P1318" s="73">
        <f>IF(OR(I1318=0,I1318=$A$1),0,MIN(O1318*M1318,1)*K1318)</f>
        <v>538.04111895862592</v>
      </c>
      <c r="Q1318" s="73">
        <f>IF(B1318="",0,IF(OR(H1318=MappingTables!$C$34,H1318=MappingTables!$C$35),P1318,0))</f>
        <v>0</v>
      </c>
      <c r="R1318" s="73">
        <f>IF(ISNA(IF(AND(VLOOKUP(CONCATENATE($D1318,$G1318),CSRFinput!$B:$E,4,0)=0,OR(H1318=MappingTables!$C$31,H1318=MappingTables!$C$32)),1,VLOOKUP(CONCATENATE($D1318,$G1318),CSRFinput!$B:$E,4,0))),0,IF(AND(VLOOKUP(CONCATENATE($D1318,$G1318),CSRFinput!$B:$E,4,0)=0,OR(H1318=MappingTables!$C$31,H1318=MappingTables!$C$32)),1,VLOOKUP(CONCATENATE($D1318,$G1318),CSRFinput!$B:$E,4,0)))</f>
        <v>0.054776304963434752</v>
      </c>
      <c r="S1318" s="73">
        <f>IF(B1318="",0,P1318*R1318)</f>
        <v>29.471904414945372</v>
      </c>
      <c r="T1318" s="85">
        <f>IF(B1318="",0,IF(OR(H1318=MappingTables!$C$34,H1318=MappingTables!$C$35),S1318,0))</f>
        <v>0</v>
      </c>
    </row>
    <row r="1319" spans="2:20" s="0" customFormat="0" ht="15">
      <c r="B1319" s="69" t="s">
        <v>4294</v>
      </c>
      <c r="C1319" s="70" t="s">
        <v>4295</v>
      </c>
      <c r="D1319" s="70" t="s">
        <v>1</v>
      </c>
      <c r="E1319" s="70" t="s">
        <v>1</v>
      </c>
      <c r="F1319" s="70"/>
      <c r="G1319" s="70" t="s">
        <v>61</v>
      </c>
      <c r="H1319" s="70" t="s">
        <v>178</v>
      </c>
      <c r="I1319" s="70" t="s">
        <v>198</v>
      </c>
      <c r="J1319" s="71" t="str">
        <f>IF(OR(I1319=0,I1319=""),"unrated",VLOOKUP(I1319,MappingTables!$B$19:$C$31,2,FALSE))</f>
        <v>unrated</v>
      </c>
      <c r="K1319" s="72">
        <v>49.544008438733104</v>
      </c>
      <c r="L1319" s="70">
        <v>19.177131895799272</v>
      </c>
      <c r="M1319" s="71">
        <f>IF(L1319&lt;1,1,L1319)</f>
        <v>19.177131895799272</v>
      </c>
      <c r="N1319" s="70" t="s">
        <v>3288</v>
      </c>
      <c r="O1319" s="71">
        <f>IF(OR(I1319=$A$1,I1319=0),"",IF(N1319=MappingTables!$C$14,VLOOKUP(J1319,ModelParameters!$M$8:$N$15,2,FALSE),IF(N1319=MappingTables!$C$16,VLOOKUP(J1319,ModelParameters!$P$8:$Q$15,2,FALSE),0)))</f>
        <v>1</v>
      </c>
      <c r="P1319" s="73">
        <f>IF(OR(I1319=0,I1319=$A$1),0,MIN(O1319*M1319,1)*K1319)</f>
        <v>49.544008438733104</v>
      </c>
      <c r="Q1319" s="73">
        <f>IF(B1319="",0,IF(OR(H1319=MappingTables!$C$34,H1319=MappingTables!$C$35),P1319,0))</f>
        <v>0</v>
      </c>
      <c r="R1319" s="73">
        <f>IF(ISNA(IF(AND(VLOOKUP(CONCATENATE($D1319,$G1319),CSRFinput!$B:$E,4,0)=0,OR(H1319=MappingTables!$C$31,H1319=MappingTables!$C$32)),1,VLOOKUP(CONCATENATE($D1319,$G1319),CSRFinput!$B:$E,4,0))),0,IF(AND(VLOOKUP(CONCATENATE($D1319,$G1319),CSRFinput!$B:$E,4,0)=0,OR(H1319=MappingTables!$C$31,H1319=MappingTables!$C$32)),1,VLOOKUP(CONCATENATE($D1319,$G1319),CSRFinput!$B:$E,4,0)))</f>
        <v>0.054776304963434752</v>
      </c>
      <c r="S1319" s="73">
        <f>IF(B1319="",0,P1319*R1319)</f>
        <v>2.7138377153510292</v>
      </c>
      <c r="T1319" s="85">
        <f>IF(B1319="",0,IF(OR(H1319=MappingTables!$C$34,H1319=MappingTables!$C$35),S1319,0))</f>
        <v>0</v>
      </c>
    </row>
    <row r="1320" spans="2:20" s="0" customFormat="0" ht="15">
      <c r="B1320" s="69" t="s">
        <v>4308</v>
      </c>
      <c r="C1320" s="70" t="s">
        <v>4309</v>
      </c>
      <c r="D1320" s="70" t="s">
        <v>1</v>
      </c>
      <c r="E1320" s="70" t="s">
        <v>1</v>
      </c>
      <c r="F1320" s="70"/>
      <c r="G1320" s="70" t="s">
        <v>61</v>
      </c>
      <c r="H1320" s="70" t="s">
        <v>178</v>
      </c>
      <c r="I1320" s="70" t="s">
        <v>204</v>
      </c>
      <c r="J1320" s="71">
        <f>IF(OR(I1320=0,I1320=""),"unrated",VLOOKUP(I1320,MappingTables!$B$19:$C$31,2,FALSE))</f>
        <v>6</v>
      </c>
      <c r="K1320" s="72">
        <v>397.17838595900816</v>
      </c>
      <c r="L1320" s="70">
        <v>0.068495390125196344</v>
      </c>
      <c r="M1320" s="71">
        <f>IF(L1320&lt;1,1,L1320)</f>
        <v>1</v>
      </c>
      <c r="N1320" s="70" t="s">
        <v>3288</v>
      </c>
      <c r="O1320" s="71">
        <f>IF(OR(I1320=$A$1,I1320=0),"",IF(N1320=MappingTables!$C$14,VLOOKUP(J1320,ModelParameters!$M$8:$N$15,2,FALSE),IF(N1320=MappingTables!$C$16,VLOOKUP(J1320,ModelParameters!$P$8:$Q$15,2,FALSE),0)))</f>
        <v>1</v>
      </c>
      <c r="P1320" s="73">
        <f>IF(OR(I1320=0,I1320=$A$1),0,MIN(O1320*M1320,1)*K1320)</f>
        <v>397.17838595900816</v>
      </c>
      <c r="Q1320" s="73">
        <f>IF(B1320="",0,IF(OR(H1320=MappingTables!$C$34,H1320=MappingTables!$C$35),P1320,0))</f>
        <v>0</v>
      </c>
      <c r="R1320" s="73">
        <f>IF(ISNA(IF(AND(VLOOKUP(CONCATENATE($D1320,$G1320),CSRFinput!$B:$E,4,0)=0,OR(H1320=MappingTables!$C$31,H1320=MappingTables!$C$32)),1,VLOOKUP(CONCATENATE($D1320,$G1320),CSRFinput!$B:$E,4,0))),0,IF(AND(VLOOKUP(CONCATENATE($D1320,$G1320),CSRFinput!$B:$E,4,0)=0,OR(H1320=MappingTables!$C$31,H1320=MappingTables!$C$32)),1,VLOOKUP(CONCATENATE($D1320,$G1320),CSRFinput!$B:$E,4,0)))</f>
        <v>0.054776304963434752</v>
      </c>
      <c r="S1320" s="73">
        <f>IF(B1320="",0,P1320*R1320)</f>
        <v>21.75596439417542</v>
      </c>
      <c r="T1320" s="85">
        <f>IF(B1320="",0,IF(OR(H1320=MappingTables!$C$34,H1320=MappingTables!$C$35),S1320,0))</f>
        <v>0</v>
      </c>
    </row>
    <row r="1321" spans="2:20" s="0" customFormat="0" ht="15">
      <c r="B1321" s="69" t="s">
        <v>4350</v>
      </c>
      <c r="C1321" s="70" t="s">
        <v>4351</v>
      </c>
      <c r="D1321" s="70" t="s">
        <v>1</v>
      </c>
      <c r="E1321" s="70" t="s">
        <v>1</v>
      </c>
      <c r="F1321" s="70"/>
      <c r="G1321" s="70" t="s">
        <v>61</v>
      </c>
      <c r="H1321" s="70" t="s">
        <v>178</v>
      </c>
      <c r="I1321" s="70" t="s">
        <v>3298</v>
      </c>
      <c r="J1321" s="71">
        <f>IF(OR(I1321=0,I1321=""),"unrated",VLOOKUP(I1321,MappingTables!$B$19:$C$31,2,FALSE))</f>
        <v>6</v>
      </c>
      <c r="K1321" s="72">
        <v>278.70388203410884</v>
      </c>
      <c r="L1321" s="70">
        <v>-0.21277116080552784</v>
      </c>
      <c r="M1321" s="71">
        <f>IF(L1321&lt;1,1,L1321)</f>
        <v>1</v>
      </c>
      <c r="N1321" s="70" t="s">
        <v>3288</v>
      </c>
      <c r="O1321" s="71">
        <f>IF(OR(I1321=$A$1,I1321=0),"",IF(N1321=MappingTables!$C$14,VLOOKUP(J1321,ModelParameters!$M$8:$N$15,2,FALSE),IF(N1321=MappingTables!$C$16,VLOOKUP(J1321,ModelParameters!$P$8:$Q$15,2,FALSE),0)))</f>
        <v>1</v>
      </c>
      <c r="P1321" s="73">
        <f>IF(OR(I1321=0,I1321=$A$1),0,MIN(O1321*M1321,1)*K1321)</f>
        <v>278.70388203410884</v>
      </c>
      <c r="Q1321" s="73">
        <f>IF(B1321="",0,IF(OR(H1321=MappingTables!$C$34,H1321=MappingTables!$C$35),P1321,0))</f>
        <v>0</v>
      </c>
      <c r="R1321" s="73">
        <f>IF(ISNA(IF(AND(VLOOKUP(CONCATENATE($D1321,$G1321),CSRFinput!$B:$E,4,0)=0,OR(H1321=MappingTables!$C$31,H1321=MappingTables!$C$32)),1,VLOOKUP(CONCATENATE($D1321,$G1321),CSRFinput!$B:$E,4,0))),0,IF(AND(VLOOKUP(CONCATENATE($D1321,$G1321),CSRFinput!$B:$E,4,0)=0,OR(H1321=MappingTables!$C$31,H1321=MappingTables!$C$32)),1,VLOOKUP(CONCATENATE($D1321,$G1321),CSRFinput!$B:$E,4,0)))</f>
        <v>0.054776304963434752</v>
      </c>
      <c r="S1321" s="73">
        <f>IF(B1321="",0,P1321*R1321)</f>
        <v>15.266368836793492</v>
      </c>
      <c r="T1321" s="85">
        <f>IF(B1321="",0,IF(OR(H1321=MappingTables!$C$34,H1321=MappingTables!$C$35),S1321,0))</f>
        <v>0</v>
      </c>
    </row>
    <row r="1322" spans="2:20" s="0" customFormat="0" ht="15">
      <c r="B1322" s="69" t="s">
        <v>4891</v>
      </c>
      <c r="C1322" s="70" t="s">
        <v>4892</v>
      </c>
      <c r="D1322" s="70" t="s">
        <v>1</v>
      </c>
      <c r="E1322" s="70" t="s">
        <v>1</v>
      </c>
      <c r="F1322" s="70"/>
      <c r="G1322" s="70" t="s">
        <v>61</v>
      </c>
      <c r="H1322" s="70" t="s">
        <v>178</v>
      </c>
      <c r="I1322" s="70" t="s">
        <v>184</v>
      </c>
      <c r="J1322" s="71">
        <f>IF(OR(I1322=0,I1322=""),"unrated",VLOOKUP(I1322,MappingTables!$B$19:$C$31,2,FALSE))</f>
        <v>5</v>
      </c>
      <c r="K1322" s="72">
        <v>71.295580069766888</v>
      </c>
      <c r="L1322" s="70">
        <v>0.068488113972684744</v>
      </c>
      <c r="M1322" s="71">
        <f>IF(L1322&lt;1,1,L1322)</f>
        <v>1</v>
      </c>
      <c r="N1322" s="70" t="s">
        <v>3288</v>
      </c>
      <c r="O1322" s="71">
        <f>IF(OR(I1322=$A$1,I1322=0),"",IF(N1322=MappingTables!$C$14,VLOOKUP(J1322,ModelParameters!$M$8:$N$15,2,FALSE),IF(N1322=MappingTables!$C$16,VLOOKUP(J1322,ModelParameters!$P$8:$Q$15,2,FALSE),0)))</f>
        <v>1</v>
      </c>
      <c r="P1322" s="73">
        <f>IF(OR(I1322=0,I1322=$A$1),0,MIN(O1322*M1322,1)*K1322)</f>
        <v>71.295580069766888</v>
      </c>
      <c r="Q1322" s="73">
        <f>IF(B1322="",0,IF(OR(H1322=MappingTables!$C$34,H1322=MappingTables!$C$35),P1322,0))</f>
        <v>0</v>
      </c>
      <c r="R1322" s="73">
        <f>IF(ISNA(IF(AND(VLOOKUP(CONCATENATE($D1322,$G1322),CSRFinput!$B:$E,4,0)=0,OR(H1322=MappingTables!$C$31,H1322=MappingTables!$C$32)),1,VLOOKUP(CONCATENATE($D1322,$G1322),CSRFinput!$B:$E,4,0))),0,IF(AND(VLOOKUP(CONCATENATE($D1322,$G1322),CSRFinput!$B:$E,4,0)=0,OR(H1322=MappingTables!$C$31,H1322=MappingTables!$C$32)),1,VLOOKUP(CONCATENATE($D1322,$G1322),CSRFinput!$B:$E,4,0)))</f>
        <v>0.054776304963434752</v>
      </c>
      <c r="S1322" s="73">
        <f>IF(B1322="",0,P1322*R1322)</f>
        <v>3.9053084364465312</v>
      </c>
      <c r="T1322" s="85">
        <f>IF(B1322="",0,IF(OR(H1322=MappingTables!$C$34,H1322=MappingTables!$C$35),S1322,0))</f>
        <v>0</v>
      </c>
    </row>
    <row r="1323" spans="2:20" s="0" customFormat="0" ht="15">
      <c r="B1323" s="69" t="s">
        <v>4475</v>
      </c>
      <c r="C1323" s="70" t="s">
        <v>4476</v>
      </c>
      <c r="D1323" s="70" t="s">
        <v>1</v>
      </c>
      <c r="E1323" s="70" t="s">
        <v>1</v>
      </c>
      <c r="F1323" s="70"/>
      <c r="G1323" s="70" t="s">
        <v>61</v>
      </c>
      <c r="H1323" s="70" t="s">
        <v>178</v>
      </c>
      <c r="I1323" s="70" t="s">
        <v>216</v>
      </c>
      <c r="J1323" s="71">
        <f>IF(OR(I1323=0,I1323=""),"unrated",VLOOKUP(I1323,MappingTables!$B$19:$C$31,2,FALSE))</f>
        <v>0</v>
      </c>
      <c r="K1323" s="72">
        <v>492.67196243451464</v>
      </c>
      <c r="L1323" s="70">
        <v>0.054794880891418144</v>
      </c>
      <c r="M1323" s="71">
        <f>IF(L1323&lt;1,1,L1323)</f>
        <v>1</v>
      </c>
      <c r="N1323" s="70" t="s">
        <v>3288</v>
      </c>
      <c r="O1323" s="71">
        <f>IF(OR(I1323=$A$1,I1323=0),"",IF(N1323=MappingTables!$C$14,VLOOKUP(J1323,ModelParameters!$M$8:$N$15,2,FALSE),IF(N1323=MappingTables!$C$16,VLOOKUP(J1323,ModelParameters!$P$8:$Q$15,2,FALSE),0)))</f>
        <v>0.125</v>
      </c>
      <c r="P1323" s="73">
        <f>IF(OR(I1323=0,I1323=$A$1),0,MIN(O1323*M1323,1)*K1323)</f>
        <v>61.583995304314328</v>
      </c>
      <c r="Q1323" s="73">
        <f>IF(B1323="",0,IF(OR(H1323=MappingTables!$C$34,H1323=MappingTables!$C$35),P1323,0))</f>
        <v>0</v>
      </c>
      <c r="R1323" s="73">
        <f>IF(ISNA(IF(AND(VLOOKUP(CONCATENATE($D1323,$G1323),CSRFinput!$B:$E,4,0)=0,OR(H1323=MappingTables!$C$31,H1323=MappingTables!$C$32)),1,VLOOKUP(CONCATENATE($D1323,$G1323),CSRFinput!$B:$E,4,0))),0,IF(AND(VLOOKUP(CONCATENATE($D1323,$G1323),CSRFinput!$B:$E,4,0)=0,OR(H1323=MappingTables!$C$31,H1323=MappingTables!$C$32)),1,VLOOKUP(CONCATENATE($D1323,$G1323),CSRFinput!$B:$E,4,0)))</f>
        <v>0.054776304963434752</v>
      </c>
      <c r="S1323" s="73">
        <f>IF(B1323="",0,P1323*R1323)</f>
        <v>3.3733437076558556</v>
      </c>
      <c r="T1323" s="85">
        <f>IF(B1323="",0,IF(OR(H1323=MappingTables!$C$34,H1323=MappingTables!$C$35),S1323,0))</f>
        <v>0</v>
      </c>
    </row>
    <row r="1324" spans="2:20" s="0" customFormat="0" ht="15">
      <c r="B1324" s="69">
        <v>16974678</v>
      </c>
      <c r="C1324" s="70" t="s">
        <v>4014</v>
      </c>
      <c r="D1324" s="70" t="s">
        <v>1</v>
      </c>
      <c r="E1324" s="70" t="s">
        <v>1</v>
      </c>
      <c r="F1324" s="70"/>
      <c r="G1324" s="70" t="s">
        <v>61</v>
      </c>
      <c r="H1324" s="70" t="s">
        <v>178</v>
      </c>
      <c r="I1324" s="70" t="s">
        <v>216</v>
      </c>
      <c r="J1324" s="71">
        <f>IF(OR(I1324=0,I1324=""),"unrated",VLOOKUP(I1324,MappingTables!$B$19:$C$31,2,FALSE))</f>
        <v>0</v>
      </c>
      <c r="K1324" s="72">
        <v>173.88415635207784</v>
      </c>
      <c r="L1324" s="70">
        <v>0.0054074182892722584</v>
      </c>
      <c r="M1324" s="71">
        <f>IF(L1324&lt;1,1,L1324)</f>
        <v>1</v>
      </c>
      <c r="N1324" s="70" t="s">
        <v>3288</v>
      </c>
      <c r="O1324" s="71">
        <f>IF(OR(I1324=$A$1,I1324=0),"",IF(N1324=MappingTables!$C$14,VLOOKUP(J1324,ModelParameters!$M$8:$N$15,2,FALSE),IF(N1324=MappingTables!$C$16,VLOOKUP(J1324,ModelParameters!$P$8:$Q$15,2,FALSE),0)))</f>
        <v>0.125</v>
      </c>
      <c r="P1324" s="73">
        <f>IF(OR(I1324=0,I1324=$A$1),0,MIN(O1324*M1324,1)*K1324)</f>
        <v>21.735519544009728</v>
      </c>
      <c r="Q1324" s="73">
        <f>IF(B1324="",0,IF(OR(H1324=MappingTables!$C$34,H1324=MappingTables!$C$35),P1324,0))</f>
        <v>0</v>
      </c>
      <c r="R1324" s="73">
        <f>IF(ISNA(IF(AND(VLOOKUP(CONCATENATE($D1324,$G1324),CSRFinput!$B:$E,4,0)=0,OR(H1324=MappingTables!$C$31,H1324=MappingTables!$C$32)),1,VLOOKUP(CONCATENATE($D1324,$G1324),CSRFinput!$B:$E,4,0))),0,IF(AND(VLOOKUP(CONCATENATE($D1324,$G1324),CSRFinput!$B:$E,4,0)=0,OR(H1324=MappingTables!$C$31,H1324=MappingTables!$C$32)),1,VLOOKUP(CONCATENATE($D1324,$G1324),CSRFinput!$B:$E,4,0)))</f>
        <v>0.054776304963434752</v>
      </c>
      <c r="S1324" s="73">
        <f>IF(B1324="",0,P1324*R1324)</f>
        <v>1.1905914470813732</v>
      </c>
      <c r="T1324" s="85">
        <f>IF(B1324="",0,IF(OR(H1324=MappingTables!$C$34,H1324=MappingTables!$C$35),S1324,0))</f>
        <v>0</v>
      </c>
    </row>
    <row r="1325" spans="2:20" s="0" customFormat="0" ht="15">
      <c r="B1325" s="69" t="s">
        <v>4893</v>
      </c>
      <c r="C1325" s="70" t="s">
        <v>4894</v>
      </c>
      <c r="D1325" s="70" t="s">
        <v>1</v>
      </c>
      <c r="E1325" s="70" t="s">
        <v>1</v>
      </c>
      <c r="F1325" s="70"/>
      <c r="G1325" s="70" t="s">
        <v>61</v>
      </c>
      <c r="H1325" s="70" t="s">
        <v>178</v>
      </c>
      <c r="I1325" s="70" t="s">
        <v>184</v>
      </c>
      <c r="J1325" s="71">
        <f>IF(OR(I1325=0,I1325=""),"unrated",VLOOKUP(I1325,MappingTables!$B$19:$C$31,2,FALSE))</f>
        <v>5</v>
      </c>
      <c r="K1325" s="72">
        <v>82.64149835976712</v>
      </c>
      <c r="L1325" s="70">
        <v>6.8574162304997304</v>
      </c>
      <c r="M1325" s="71">
        <f>IF(L1325&lt;1,1,L1325)</f>
        <v>6.8574162304997304</v>
      </c>
      <c r="N1325" s="70" t="s">
        <v>3288</v>
      </c>
      <c r="O1325" s="71">
        <f>IF(OR(I1325=$A$1,I1325=0),"",IF(N1325=MappingTables!$C$14,VLOOKUP(J1325,ModelParameters!$M$8:$N$15,2,FALSE),IF(N1325=MappingTables!$C$16,VLOOKUP(J1325,ModelParameters!$P$8:$Q$15,2,FALSE),0)))</f>
        <v>1</v>
      </c>
      <c r="P1325" s="73">
        <f>IF(OR(I1325=0,I1325=$A$1),0,MIN(O1325*M1325,1)*K1325)</f>
        <v>82.64149835976712</v>
      </c>
      <c r="Q1325" s="73">
        <f>IF(B1325="",0,IF(OR(H1325=MappingTables!$C$34,H1325=MappingTables!$C$35),P1325,0))</f>
        <v>0</v>
      </c>
      <c r="R1325" s="73">
        <f>IF(ISNA(IF(AND(VLOOKUP(CONCATENATE($D1325,$G1325),CSRFinput!$B:$E,4,0)=0,OR(H1325=MappingTables!$C$31,H1325=MappingTables!$C$32)),1,VLOOKUP(CONCATENATE($D1325,$G1325),CSRFinput!$B:$E,4,0))),0,IF(AND(VLOOKUP(CONCATENATE($D1325,$G1325),CSRFinput!$B:$E,4,0)=0,OR(H1325=MappingTables!$C$31,H1325=MappingTables!$C$32)),1,VLOOKUP(CONCATENATE($D1325,$G1325),CSRFinput!$B:$E,4,0)))</f>
        <v>0.054776304963434752</v>
      </c>
      <c r="S1325" s="73">
        <f>IF(B1325="",0,P1325*R1325)</f>
        <v>4.5267959167897968</v>
      </c>
      <c r="T1325" s="85">
        <f>IF(B1325="",0,IF(OR(H1325=MappingTables!$C$34,H1325=MappingTables!$C$35),S1325,0))</f>
        <v>0</v>
      </c>
    </row>
    <row r="1326" spans="2:20" s="0" customFormat="0" ht="15">
      <c r="B1326" s="69" t="s">
        <v>4895</v>
      </c>
      <c r="C1326" s="70" t="s">
        <v>4896</v>
      </c>
      <c r="D1326" s="70" t="s">
        <v>1</v>
      </c>
      <c r="E1326" s="70" t="s">
        <v>1</v>
      </c>
      <c r="F1326" s="70"/>
      <c r="G1326" s="70" t="s">
        <v>61</v>
      </c>
      <c r="H1326" s="70" t="s">
        <v>178</v>
      </c>
      <c r="I1326" s="70" t="s">
        <v>184</v>
      </c>
      <c r="J1326" s="71">
        <f>IF(OR(I1326=0,I1326=""),"unrated",VLOOKUP(I1326,MappingTables!$B$19:$C$31,2,FALSE))</f>
        <v>5</v>
      </c>
      <c r="K1326" s="72">
        <v>731.85460102211296</v>
      </c>
      <c r="L1326" s="70">
        <v>0.026572866474655404</v>
      </c>
      <c r="M1326" s="71">
        <f>IF(L1326&lt;1,1,L1326)</f>
        <v>1</v>
      </c>
      <c r="N1326" s="70" t="s">
        <v>3288</v>
      </c>
      <c r="O1326" s="71">
        <f>IF(OR(I1326=$A$1,I1326=0),"",IF(N1326=MappingTables!$C$14,VLOOKUP(J1326,ModelParameters!$M$8:$N$15,2,FALSE),IF(N1326=MappingTables!$C$16,VLOOKUP(J1326,ModelParameters!$P$8:$Q$15,2,FALSE),0)))</f>
        <v>1</v>
      </c>
      <c r="P1326" s="73">
        <f>IF(OR(I1326=0,I1326=$A$1),0,MIN(O1326*M1326,1)*K1326)</f>
        <v>731.85460102211296</v>
      </c>
      <c r="Q1326" s="73">
        <f>IF(B1326="",0,IF(OR(H1326=MappingTables!$C$34,H1326=MappingTables!$C$35),P1326,0))</f>
        <v>0</v>
      </c>
      <c r="R1326" s="73">
        <f>IF(ISNA(IF(AND(VLOOKUP(CONCATENATE($D1326,$G1326),CSRFinput!$B:$E,4,0)=0,OR(H1326=MappingTables!$C$31,H1326=MappingTables!$C$32)),1,VLOOKUP(CONCATENATE($D1326,$G1326),CSRFinput!$B:$E,4,0))),0,IF(AND(VLOOKUP(CONCATENATE($D1326,$G1326),CSRFinput!$B:$E,4,0)=0,OR(H1326=MappingTables!$C$31,H1326=MappingTables!$C$32)),1,VLOOKUP(CONCATENATE($D1326,$G1326),CSRFinput!$B:$E,4,0)))</f>
        <v>0.054776304963434752</v>
      </c>
      <c r="S1326" s="73">
        <f>IF(B1326="",0,P1326*R1326)</f>
        <v>40.088290814480128</v>
      </c>
      <c r="T1326" s="85">
        <f>IF(B1326="",0,IF(OR(H1326=MappingTables!$C$34,H1326=MappingTables!$C$35),S1326,0))</f>
        <v>0</v>
      </c>
    </row>
    <row r="1327" spans="2:20" s="0" customFormat="0" ht="15">
      <c r="B1327" s="69" t="s">
        <v>4897</v>
      </c>
      <c r="C1327" s="70" t="s">
        <v>4898</v>
      </c>
      <c r="D1327" s="70" t="s">
        <v>1</v>
      </c>
      <c r="E1327" s="70" t="s">
        <v>1</v>
      </c>
      <c r="F1327" s="70"/>
      <c r="G1327" s="70" t="s">
        <v>61</v>
      </c>
      <c r="H1327" s="70" t="s">
        <v>178</v>
      </c>
      <c r="I1327" s="70" t="s">
        <v>204</v>
      </c>
      <c r="J1327" s="71">
        <f>IF(OR(I1327=0,I1327=""),"unrated",VLOOKUP(I1327,MappingTables!$B$19:$C$31,2,FALSE))</f>
        <v>6</v>
      </c>
      <c r="K1327" s="72">
        <v>206.82460484868212</v>
      </c>
      <c r="L1327" s="70">
        <v>0.068494905272097496</v>
      </c>
      <c r="M1327" s="71">
        <f>IF(L1327&lt;1,1,L1327)</f>
        <v>1</v>
      </c>
      <c r="N1327" s="70" t="s">
        <v>3288</v>
      </c>
      <c r="O1327" s="71">
        <f>IF(OR(I1327=$A$1,I1327=0),"",IF(N1327=MappingTables!$C$14,VLOOKUP(J1327,ModelParameters!$M$8:$N$15,2,FALSE),IF(N1327=MappingTables!$C$16,VLOOKUP(J1327,ModelParameters!$P$8:$Q$15,2,FALSE),0)))</f>
        <v>1</v>
      </c>
      <c r="P1327" s="73">
        <f>IF(OR(I1327=0,I1327=$A$1),0,MIN(O1327*M1327,1)*K1327)</f>
        <v>206.82460484868212</v>
      </c>
      <c r="Q1327" s="73">
        <f>IF(B1327="",0,IF(OR(H1327=MappingTables!$C$34,H1327=MappingTables!$C$35),P1327,0))</f>
        <v>0</v>
      </c>
      <c r="R1327" s="73">
        <f>IF(ISNA(IF(AND(VLOOKUP(CONCATENATE($D1327,$G1327),CSRFinput!$B:$E,4,0)=0,OR(H1327=MappingTables!$C$31,H1327=MappingTables!$C$32)),1,VLOOKUP(CONCATENATE($D1327,$G1327),CSRFinput!$B:$E,4,0))),0,IF(AND(VLOOKUP(CONCATENATE($D1327,$G1327),CSRFinput!$B:$E,4,0)=0,OR(H1327=MappingTables!$C$31,H1327=MappingTables!$C$32)),1,VLOOKUP(CONCATENATE($D1327,$G1327),CSRFinput!$B:$E,4,0)))</f>
        <v>0.054776304963434752</v>
      </c>
      <c r="S1327" s="73">
        <f>IF(B1327="",0,P1327*R1327)</f>
        <v>11.329087629133298</v>
      </c>
      <c r="T1327" s="85">
        <f>IF(B1327="",0,IF(OR(H1327=MappingTables!$C$34,H1327=MappingTables!$C$35),S1327,0))</f>
        <v>0</v>
      </c>
    </row>
    <row r="1328" spans="2:20" s="0" customFormat="0" ht="15">
      <c r="B1328" s="69">
        <v>16974741</v>
      </c>
      <c r="C1328" s="70" t="s">
        <v>3934</v>
      </c>
      <c r="D1328" s="70" t="s">
        <v>1</v>
      </c>
      <c r="E1328" s="70" t="s">
        <v>1</v>
      </c>
      <c r="F1328" s="70"/>
      <c r="G1328" s="70" t="s">
        <v>61</v>
      </c>
      <c r="H1328" s="70" t="s">
        <v>178</v>
      </c>
      <c r="I1328" s="70" t="s">
        <v>216</v>
      </c>
      <c r="J1328" s="71">
        <f>IF(OR(I1328=0,I1328=""),"unrated",VLOOKUP(I1328,MappingTables!$B$19:$C$31,2,FALSE))</f>
        <v>0</v>
      </c>
      <c r="K1328" s="72">
        <v>1768.1257085580738</v>
      </c>
      <c r="L1328" s="70">
        <v>0.074663662580631168</v>
      </c>
      <c r="M1328" s="71">
        <f>IF(L1328&lt;1,1,L1328)</f>
        <v>1</v>
      </c>
      <c r="N1328" s="70" t="s">
        <v>3288</v>
      </c>
      <c r="O1328" s="71">
        <f>IF(OR(I1328=$A$1,I1328=0),"",IF(N1328=MappingTables!$C$14,VLOOKUP(J1328,ModelParameters!$M$8:$N$15,2,FALSE),IF(N1328=MappingTables!$C$16,VLOOKUP(J1328,ModelParameters!$P$8:$Q$15,2,FALSE),0)))</f>
        <v>0.125</v>
      </c>
      <c r="P1328" s="73">
        <f>IF(OR(I1328=0,I1328=$A$1),0,MIN(O1328*M1328,1)*K1328)</f>
        <v>221.0157135697592</v>
      </c>
      <c r="Q1328" s="73">
        <f>IF(B1328="",0,IF(OR(H1328=MappingTables!$C$34,H1328=MappingTables!$C$35),P1328,0))</f>
        <v>0</v>
      </c>
      <c r="R1328" s="73">
        <f>IF(ISNA(IF(AND(VLOOKUP(CONCATENATE($D1328,$G1328),CSRFinput!$B:$E,4,0)=0,OR(H1328=MappingTables!$C$31,H1328=MappingTables!$C$32)),1,VLOOKUP(CONCATENATE($D1328,$G1328),CSRFinput!$B:$E,4,0))),0,IF(AND(VLOOKUP(CONCATENATE($D1328,$G1328),CSRFinput!$B:$E,4,0)=0,OR(H1328=MappingTables!$C$31,H1328=MappingTables!$C$32)),1,VLOOKUP(CONCATENATE($D1328,$G1328),CSRFinput!$B:$E,4,0)))</f>
        <v>0.054776304963434752</v>
      </c>
      <c r="S1328" s="73">
        <f>IF(B1328="",0,P1328*R1328)</f>
        <v>12.106424128208274</v>
      </c>
      <c r="T1328" s="85">
        <f>IF(B1328="",0,IF(OR(H1328=MappingTables!$C$34,H1328=MappingTables!$C$35),S1328,0))</f>
        <v>0</v>
      </c>
    </row>
    <row r="1329" spans="2:20" s="0" customFormat="0" ht="15">
      <c r="B1329" s="69" t="s">
        <v>3815</v>
      </c>
      <c r="C1329" s="70" t="s">
        <v>3816</v>
      </c>
      <c r="D1329" s="70" t="s">
        <v>1</v>
      </c>
      <c r="E1329" s="70" t="s">
        <v>1</v>
      </c>
      <c r="F1329" s="70"/>
      <c r="G1329" s="70" t="s">
        <v>61</v>
      </c>
      <c r="H1329" s="70" t="s">
        <v>178</v>
      </c>
      <c r="I1329" s="70" t="s">
        <v>513</v>
      </c>
      <c r="J1329" s="71">
        <f>IF(OR(I1329=0,I1329=""),"unrated",VLOOKUP(I1329,MappingTables!$B$19:$C$31,2,FALSE))</f>
        <v>6</v>
      </c>
      <c r="K1329" s="72">
        <v>208.40804056820368</v>
      </c>
      <c r="L1329" s="70">
        <v>0.068491966628755576</v>
      </c>
      <c r="M1329" s="71">
        <f>IF(L1329&lt;1,1,L1329)</f>
        <v>1</v>
      </c>
      <c r="N1329" s="70" t="s">
        <v>3288</v>
      </c>
      <c r="O1329" s="71">
        <f>IF(OR(I1329=$A$1,I1329=0),"",IF(N1329=MappingTables!$C$14,VLOOKUP(J1329,ModelParameters!$M$8:$N$15,2,FALSE),IF(N1329=MappingTables!$C$16,VLOOKUP(J1329,ModelParameters!$P$8:$Q$15,2,FALSE),0)))</f>
        <v>1</v>
      </c>
      <c r="P1329" s="73">
        <f>IF(OR(I1329=0,I1329=$A$1),0,MIN(O1329*M1329,1)*K1329)</f>
        <v>208.40804056820368</v>
      </c>
      <c r="Q1329" s="73">
        <f>IF(B1329="",0,IF(OR(H1329=MappingTables!$C$34,H1329=MappingTables!$C$35),P1329,0))</f>
        <v>0</v>
      </c>
      <c r="R1329" s="73">
        <f>IF(ISNA(IF(AND(VLOOKUP(CONCATENATE($D1329,$G1329),CSRFinput!$B:$E,4,0)=0,OR(H1329=MappingTables!$C$31,H1329=MappingTables!$C$32)),1,VLOOKUP(CONCATENATE($D1329,$G1329),CSRFinput!$B:$E,4,0))),0,IF(AND(VLOOKUP(CONCATENATE($D1329,$G1329),CSRFinput!$B:$E,4,0)=0,OR(H1329=MappingTables!$C$31,H1329=MappingTables!$C$32)),1,VLOOKUP(CONCATENATE($D1329,$G1329),CSRFinput!$B:$E,4,0)))</f>
        <v>0.054776304963434752</v>
      </c>
      <c r="S1329" s="73">
        <f>IF(B1329="",0,P1329*R1329)</f>
        <v>11.415822386995806</v>
      </c>
      <c r="T1329" s="85">
        <f>IF(B1329="",0,IF(OR(H1329=MappingTables!$C$34,H1329=MappingTables!$C$35),S1329,0))</f>
        <v>0</v>
      </c>
    </row>
    <row r="1330" spans="2:20" s="0" customFormat="0" ht="15">
      <c r="B1330" s="69">
        <v>1551417</v>
      </c>
      <c r="C1330" s="70" t="s">
        <v>4899</v>
      </c>
      <c r="D1330" s="70" t="s">
        <v>1</v>
      </c>
      <c r="E1330" s="70" t="s">
        <v>1</v>
      </c>
      <c r="F1330" s="70"/>
      <c r="G1330" s="70" t="s">
        <v>61</v>
      </c>
      <c r="H1330" s="70" t="s">
        <v>178</v>
      </c>
      <c r="I1330" s="70" t="s">
        <v>181</v>
      </c>
      <c r="J1330" s="71">
        <f>IF(OR(I1330=0,I1330=""),"unrated",VLOOKUP(I1330,MappingTables!$B$19:$C$31,2,FALSE))</f>
        <v>3</v>
      </c>
      <c r="K1330" s="72">
        <v>1.517892352082898</v>
      </c>
      <c r="L1330" s="70">
        <v>0.068492232372226224</v>
      </c>
      <c r="M1330" s="71">
        <f>IF(L1330&lt;1,1,L1330)</f>
        <v>1</v>
      </c>
      <c r="N1330" s="70" t="s">
        <v>3288</v>
      </c>
      <c r="O1330" s="71">
        <f>IF(OR(I1330=$A$1,I1330=0),"",IF(N1330=MappingTables!$C$14,VLOOKUP(J1330,ModelParameters!$M$8:$N$15,2,FALSE),IF(N1330=MappingTables!$C$16,VLOOKUP(J1330,ModelParameters!$P$8:$Q$15,2,FALSE),0)))</f>
        <v>0.197</v>
      </c>
      <c r="P1330" s="73">
        <f>IF(OR(I1330=0,I1330=$A$1),0,MIN(O1330*M1330,1)*K1330)</f>
        <v>0.29902479336033088</v>
      </c>
      <c r="Q1330" s="73">
        <f>IF(B1330="",0,IF(OR(H1330=MappingTables!$C$34,H1330=MappingTables!$C$35),P1330,0))</f>
        <v>0</v>
      </c>
      <c r="R1330" s="73">
        <f>IF(ISNA(IF(AND(VLOOKUP(CONCATENATE($D1330,$G1330),CSRFinput!$B:$E,4,0)=0,OR(H1330=MappingTables!$C$31,H1330=MappingTables!$C$32)),1,VLOOKUP(CONCATENATE($D1330,$G1330),CSRFinput!$B:$E,4,0))),0,IF(AND(VLOOKUP(CONCATENATE($D1330,$G1330),CSRFinput!$B:$E,4,0)=0,OR(H1330=MappingTables!$C$31,H1330=MappingTables!$C$32)),1,VLOOKUP(CONCATENATE($D1330,$G1330),CSRFinput!$B:$E,4,0)))</f>
        <v>0.054776304963434752</v>
      </c>
      <c r="S1330" s="73">
        <f>IF(B1330="",0,P1330*R1330)</f>
        <v>0.016379473272733542</v>
      </c>
      <c r="T1330" s="85">
        <f>IF(B1330="",0,IF(OR(H1330=MappingTables!$C$34,H1330=MappingTables!$C$35),S1330,0))</f>
        <v>0</v>
      </c>
    </row>
    <row r="1331" spans="2:20" s="0" customFormat="0" ht="15">
      <c r="B1331" s="69" t="s">
        <v>3580</v>
      </c>
      <c r="C1331" s="70" t="s">
        <v>3581</v>
      </c>
      <c r="D1331" s="70" t="s">
        <v>1</v>
      </c>
      <c r="E1331" s="70" t="s">
        <v>1</v>
      </c>
      <c r="F1331" s="70"/>
      <c r="G1331" s="70" t="s">
        <v>61</v>
      </c>
      <c r="H1331" s="70" t="s">
        <v>178</v>
      </c>
      <c r="I1331" s="70" t="s">
        <v>204</v>
      </c>
      <c r="J1331" s="71">
        <f>IF(OR(I1331=0,I1331=""),"unrated",VLOOKUP(I1331,MappingTables!$B$19:$C$31,2,FALSE))</f>
        <v>6</v>
      </c>
      <c r="K1331" s="72">
        <v>190.86390887340808</v>
      </c>
      <c r="L1331" s="70">
        <v>6.2798303990891392</v>
      </c>
      <c r="M1331" s="71">
        <f>IF(L1331&lt;1,1,L1331)</f>
        <v>6.2798303990891392</v>
      </c>
      <c r="N1331" s="70" t="s">
        <v>3288</v>
      </c>
      <c r="O1331" s="71">
        <f>IF(OR(I1331=$A$1,I1331=0),"",IF(N1331=MappingTables!$C$14,VLOOKUP(J1331,ModelParameters!$M$8:$N$15,2,FALSE),IF(N1331=MappingTables!$C$16,VLOOKUP(J1331,ModelParameters!$P$8:$Q$15,2,FALSE),0)))</f>
        <v>1</v>
      </c>
      <c r="P1331" s="73">
        <f>IF(OR(I1331=0,I1331=$A$1),0,MIN(O1331*M1331,1)*K1331)</f>
        <v>190.86390887340808</v>
      </c>
      <c r="Q1331" s="73">
        <f>IF(B1331="",0,IF(OR(H1331=MappingTables!$C$34,H1331=MappingTables!$C$35),P1331,0))</f>
        <v>0</v>
      </c>
      <c r="R1331" s="73">
        <f>IF(ISNA(IF(AND(VLOOKUP(CONCATENATE($D1331,$G1331),CSRFinput!$B:$E,4,0)=0,OR(H1331=MappingTables!$C$31,H1331=MappingTables!$C$32)),1,VLOOKUP(CONCATENATE($D1331,$G1331),CSRFinput!$B:$E,4,0))),0,IF(AND(VLOOKUP(CONCATENATE($D1331,$G1331),CSRFinput!$B:$E,4,0)=0,OR(H1331=MappingTables!$C$31,H1331=MappingTables!$C$32)),1,VLOOKUP(CONCATENATE($D1331,$G1331),CSRFinput!$B:$E,4,0)))</f>
        <v>0.054776304963434752</v>
      </c>
      <c r="S1331" s="73">
        <f>IF(B1331="",0,P1331*R1331)</f>
        <v>10.454819678963022</v>
      </c>
      <c r="T1331" s="85">
        <f>IF(B1331="",0,IF(OR(H1331=MappingTables!$C$34,H1331=MappingTables!$C$35),S1331,0))</f>
        <v>0</v>
      </c>
    </row>
    <row r="1332" spans="2:20" s="0" customFormat="0" ht="15">
      <c r="B1332" s="69" t="s">
        <v>4900</v>
      </c>
      <c r="C1332" s="70" t="s">
        <v>4901</v>
      </c>
      <c r="D1332" s="70" t="s">
        <v>1</v>
      </c>
      <c r="E1332" s="70" t="s">
        <v>1</v>
      </c>
      <c r="F1332" s="70"/>
      <c r="G1332" s="70" t="s">
        <v>61</v>
      </c>
      <c r="H1332" s="70" t="s">
        <v>178</v>
      </c>
      <c r="I1332" s="70" t="s">
        <v>216</v>
      </c>
      <c r="J1332" s="71">
        <f>IF(OR(I1332=0,I1332=""),"unrated",VLOOKUP(I1332,MappingTables!$B$19:$C$31,2,FALSE))</f>
        <v>0</v>
      </c>
      <c r="K1332" s="72">
        <v>287.39853020172352</v>
      </c>
      <c r="L1332" s="70">
        <v>0.0082163902423532752</v>
      </c>
      <c r="M1332" s="71">
        <f>IF(L1332&lt;1,1,L1332)</f>
        <v>1</v>
      </c>
      <c r="N1332" s="70" t="s">
        <v>3288</v>
      </c>
      <c r="O1332" s="71">
        <f>IF(OR(I1332=$A$1,I1332=0),"",IF(N1332=MappingTables!$C$14,VLOOKUP(J1332,ModelParameters!$M$8:$N$15,2,FALSE),IF(N1332=MappingTables!$C$16,VLOOKUP(J1332,ModelParameters!$P$8:$Q$15,2,FALSE),0)))</f>
        <v>0.125</v>
      </c>
      <c r="P1332" s="73">
        <f>IF(OR(I1332=0,I1332=$A$1),0,MIN(O1332*M1332,1)*K1332)</f>
        <v>35.92481627521544</v>
      </c>
      <c r="Q1332" s="73">
        <f>IF(B1332="",0,IF(OR(H1332=MappingTables!$C$34,H1332=MappingTables!$C$35),P1332,0))</f>
        <v>0</v>
      </c>
      <c r="R1332" s="73">
        <f>IF(ISNA(IF(AND(VLOOKUP(CONCATENATE($D1332,$G1332),CSRFinput!$B:$E,4,0)=0,OR(H1332=MappingTables!$C$31,H1332=MappingTables!$C$32)),1,VLOOKUP(CONCATENATE($D1332,$G1332),CSRFinput!$B:$E,4,0))),0,IF(AND(VLOOKUP(CONCATENATE($D1332,$G1332),CSRFinput!$B:$E,4,0)=0,OR(H1332=MappingTables!$C$31,H1332=MappingTables!$C$32)),1,VLOOKUP(CONCATENATE($D1332,$G1332),CSRFinput!$B:$E,4,0)))</f>
        <v>0.054776304963434752</v>
      </c>
      <c r="S1332" s="73">
        <f>IF(B1332="",0,P1332*R1332)</f>
        <v>1.9678286920465652</v>
      </c>
      <c r="T1332" s="85">
        <f>IF(B1332="",0,IF(OR(H1332=MappingTables!$C$34,H1332=MappingTables!$C$35),S1332,0))</f>
        <v>0</v>
      </c>
    </row>
    <row r="1333" spans="2:20" s="0" customFormat="0" ht="15">
      <c r="B1333" s="69">
        <v>1551417</v>
      </c>
      <c r="C1333" s="70" t="s">
        <v>4899</v>
      </c>
      <c r="D1333" s="70" t="s">
        <v>1</v>
      </c>
      <c r="E1333" s="70" t="s">
        <v>1</v>
      </c>
      <c r="F1333" s="70"/>
      <c r="G1333" s="70" t="s">
        <v>61</v>
      </c>
      <c r="H1333" s="70" t="s">
        <v>178</v>
      </c>
      <c r="I1333" s="70" t="s">
        <v>181</v>
      </c>
      <c r="J1333" s="71">
        <f>IF(OR(I1333=0,I1333=""),"unrated",VLOOKUP(I1333,MappingTables!$B$19:$C$31,2,FALSE))</f>
        <v>3</v>
      </c>
      <c r="K1333" s="72">
        <v>3.2195529959230836</v>
      </c>
      <c r="L1333" s="70">
        <v>0.068492232372228528</v>
      </c>
      <c r="M1333" s="71">
        <f>IF(L1333&lt;1,1,L1333)</f>
        <v>1</v>
      </c>
      <c r="N1333" s="70" t="s">
        <v>3288</v>
      </c>
      <c r="O1333" s="71">
        <f>IF(OR(I1333=$A$1,I1333=0),"",IF(N1333=MappingTables!$C$14,VLOOKUP(J1333,ModelParameters!$M$8:$N$15,2,FALSE),IF(N1333=MappingTables!$C$16,VLOOKUP(J1333,ModelParameters!$P$8:$Q$15,2,FALSE),0)))</f>
        <v>0.197</v>
      </c>
      <c r="P1333" s="73">
        <f>IF(OR(I1333=0,I1333=$A$1),0,MIN(O1333*M1333,1)*K1333)</f>
        <v>0.63425194019684736</v>
      </c>
      <c r="Q1333" s="73">
        <f>IF(B1333="",0,IF(OR(H1333=MappingTables!$C$34,H1333=MappingTables!$C$35),P1333,0))</f>
        <v>0</v>
      </c>
      <c r="R1333" s="73">
        <f>IF(ISNA(IF(AND(VLOOKUP(CONCATENATE($D1333,$G1333),CSRFinput!$B:$E,4,0)=0,OR(H1333=MappingTables!$C$31,H1333=MappingTables!$C$32)),1,VLOOKUP(CONCATENATE($D1333,$G1333),CSRFinput!$B:$E,4,0))),0,IF(AND(VLOOKUP(CONCATENATE($D1333,$G1333),CSRFinput!$B:$E,4,0)=0,OR(H1333=MappingTables!$C$31,H1333=MappingTables!$C$32)),1,VLOOKUP(CONCATENATE($D1333,$G1333),CSRFinput!$B:$E,4,0)))</f>
        <v>0.054776304963434752</v>
      </c>
      <c r="S1333" s="73">
        <f>IF(B1333="",0,P1333*R1333)</f>
        <v>0.034741977699872696</v>
      </c>
      <c r="T1333" s="85">
        <f>IF(B1333="",0,IF(OR(H1333=MappingTables!$C$34,H1333=MappingTables!$C$35),S1333,0))</f>
        <v>0</v>
      </c>
    </row>
    <row r="1334" spans="2:20" s="0" customFormat="0" ht="15">
      <c r="B1334" s="69" t="s">
        <v>4037</v>
      </c>
      <c r="C1334" s="70" t="s">
        <v>4038</v>
      </c>
      <c r="D1334" s="70" t="s">
        <v>1</v>
      </c>
      <c r="E1334" s="70" t="s">
        <v>1</v>
      </c>
      <c r="F1334" s="70"/>
      <c r="G1334" s="70" t="s">
        <v>61</v>
      </c>
      <c r="H1334" s="70" t="s">
        <v>178</v>
      </c>
      <c r="I1334" s="70" t="s">
        <v>198</v>
      </c>
      <c r="J1334" s="71" t="str">
        <f>IF(OR(I1334=0,I1334=""),"unrated",VLOOKUP(I1334,MappingTables!$B$19:$C$31,2,FALSE))</f>
        <v>unrated</v>
      </c>
      <c r="K1334" s="72">
        <v>14505.303926744154</v>
      </c>
      <c r="L1334" s="70">
        <v>12.113383503268314</v>
      </c>
      <c r="M1334" s="71">
        <f>IF(L1334&lt;1,1,L1334)</f>
        <v>12.113383503268314</v>
      </c>
      <c r="N1334" s="70" t="s">
        <v>3288</v>
      </c>
      <c r="O1334" s="71">
        <f>IF(OR(I1334=$A$1,I1334=0),"",IF(N1334=MappingTables!$C$14,VLOOKUP(J1334,ModelParameters!$M$8:$N$15,2,FALSE),IF(N1334=MappingTables!$C$16,VLOOKUP(J1334,ModelParameters!$P$8:$Q$15,2,FALSE),0)))</f>
        <v>1</v>
      </c>
      <c r="P1334" s="73">
        <f>IF(OR(I1334=0,I1334=$A$1),0,MIN(O1334*M1334,1)*K1334)</f>
        <v>14505.303926744154</v>
      </c>
      <c r="Q1334" s="73">
        <f>IF(B1334="",0,IF(OR(H1334=MappingTables!$C$34,H1334=MappingTables!$C$35),P1334,0))</f>
        <v>0</v>
      </c>
      <c r="R1334" s="73">
        <f>IF(ISNA(IF(AND(VLOOKUP(CONCATENATE($D1334,$G1334),CSRFinput!$B:$E,4,0)=0,OR(H1334=MappingTables!$C$31,H1334=MappingTables!$C$32)),1,VLOOKUP(CONCATENATE($D1334,$G1334),CSRFinput!$B:$E,4,0))),0,IF(AND(VLOOKUP(CONCATENATE($D1334,$G1334),CSRFinput!$B:$E,4,0)=0,OR(H1334=MappingTables!$C$31,H1334=MappingTables!$C$32)),1,VLOOKUP(CONCATENATE($D1334,$G1334),CSRFinput!$B:$E,4,0)))</f>
        <v>0.054776304963434752</v>
      </c>
      <c r="S1334" s="73">
        <f>IF(B1334="",0,P1334*R1334)</f>
        <v>794.54695147864544</v>
      </c>
      <c r="T1334" s="85">
        <f>IF(B1334="",0,IF(OR(H1334=MappingTables!$C$34,H1334=MappingTables!$C$35),S1334,0))</f>
        <v>0</v>
      </c>
    </row>
    <row r="1335" spans="2:20" s="0" customFormat="0" ht="15">
      <c r="B1335" s="69" t="s">
        <v>3800</v>
      </c>
      <c r="C1335" s="70" t="s">
        <v>3801</v>
      </c>
      <c r="D1335" s="70" t="s">
        <v>1</v>
      </c>
      <c r="E1335" s="70" t="s">
        <v>1</v>
      </c>
      <c r="F1335" s="70"/>
      <c r="G1335" s="70" t="s">
        <v>61</v>
      </c>
      <c r="H1335" s="70" t="s">
        <v>178</v>
      </c>
      <c r="I1335" s="70" t="s">
        <v>198</v>
      </c>
      <c r="J1335" s="71" t="str">
        <f>IF(OR(I1335=0,I1335=""),"unrated",VLOOKUP(I1335,MappingTables!$B$19:$C$31,2,FALSE))</f>
        <v>unrated</v>
      </c>
      <c r="K1335" s="72">
        <v>4607.8874874889408</v>
      </c>
      <c r="L1335" s="70">
        <v>0.073977017853376976</v>
      </c>
      <c r="M1335" s="71">
        <f>IF(L1335&lt;1,1,L1335)</f>
        <v>1</v>
      </c>
      <c r="N1335" s="70" t="s">
        <v>3288</v>
      </c>
      <c r="O1335" s="71">
        <f>IF(OR(I1335=$A$1,I1335=0),"",IF(N1335=MappingTables!$C$14,VLOOKUP(J1335,ModelParameters!$M$8:$N$15,2,FALSE),IF(N1335=MappingTables!$C$16,VLOOKUP(J1335,ModelParameters!$P$8:$Q$15,2,FALSE),0)))</f>
        <v>1</v>
      </c>
      <c r="P1335" s="73">
        <f>IF(OR(I1335=0,I1335=$A$1),0,MIN(O1335*M1335,1)*K1335)</f>
        <v>4607.8874874889408</v>
      </c>
      <c r="Q1335" s="73">
        <f>IF(B1335="",0,IF(OR(H1335=MappingTables!$C$34,H1335=MappingTables!$C$35),P1335,0))</f>
        <v>0</v>
      </c>
      <c r="R1335" s="73">
        <f>IF(ISNA(IF(AND(VLOOKUP(CONCATENATE($D1335,$G1335),CSRFinput!$B:$E,4,0)=0,OR(H1335=MappingTables!$C$31,H1335=MappingTables!$C$32)),1,VLOOKUP(CONCATENATE($D1335,$G1335),CSRFinput!$B:$E,4,0))),0,IF(AND(VLOOKUP(CONCATENATE($D1335,$G1335),CSRFinput!$B:$E,4,0)=0,OR(H1335=MappingTables!$C$31,H1335=MappingTables!$C$32)),1,VLOOKUP(CONCATENATE($D1335,$G1335),CSRFinput!$B:$E,4,0)))</f>
        <v>0.054776304963434752</v>
      </c>
      <c r="S1335" s="73">
        <f>IF(B1335="",0,P1335*R1335)</f>
        <v>252.40305025188936</v>
      </c>
      <c r="T1335" s="85">
        <f>IF(B1335="",0,IF(OR(H1335=MappingTables!$C$34,H1335=MappingTables!$C$35),S1335,0))</f>
        <v>0</v>
      </c>
    </row>
    <row r="1336" spans="2:20" s="0" customFormat="0" ht="15">
      <c r="B1336" s="69" t="s">
        <v>4774</v>
      </c>
      <c r="C1336" s="70" t="s">
        <v>4775</v>
      </c>
      <c r="D1336" s="70" t="s">
        <v>1</v>
      </c>
      <c r="E1336" s="70" t="s">
        <v>1</v>
      </c>
      <c r="F1336" s="70"/>
      <c r="G1336" s="70" t="s">
        <v>61</v>
      </c>
      <c r="H1336" s="70" t="s">
        <v>178</v>
      </c>
      <c r="I1336" s="70" t="s">
        <v>198</v>
      </c>
      <c r="J1336" s="71" t="str">
        <f>IF(OR(I1336=0,I1336=""),"unrated",VLOOKUP(I1336,MappingTables!$B$19:$C$31,2,FALSE))</f>
        <v>unrated</v>
      </c>
      <c r="K1336" s="72">
        <v>0.32904599225229264</v>
      </c>
      <c r="L1336" s="70">
        <v>25.085011993174848</v>
      </c>
      <c r="M1336" s="71">
        <f>IF(L1336&lt;1,1,L1336)</f>
        <v>25.085011993174848</v>
      </c>
      <c r="N1336" s="70" t="s">
        <v>3288</v>
      </c>
      <c r="O1336" s="71">
        <f>IF(OR(I1336=$A$1,I1336=0),"",IF(N1336=MappingTables!$C$14,VLOOKUP(J1336,ModelParameters!$M$8:$N$15,2,FALSE),IF(N1336=MappingTables!$C$16,VLOOKUP(J1336,ModelParameters!$P$8:$Q$15,2,FALSE),0)))</f>
        <v>1</v>
      </c>
      <c r="P1336" s="73">
        <f>IF(OR(I1336=0,I1336=$A$1),0,MIN(O1336*M1336,1)*K1336)</f>
        <v>0.32904599225229264</v>
      </c>
      <c r="Q1336" s="73">
        <f>IF(B1336="",0,IF(OR(H1336=MappingTables!$C$34,H1336=MappingTables!$C$35),P1336,0))</f>
        <v>0</v>
      </c>
      <c r="R1336" s="73">
        <f>IF(ISNA(IF(AND(VLOOKUP(CONCATENATE($D1336,$G1336),CSRFinput!$B:$E,4,0)=0,OR(H1336=MappingTables!$C$31,H1336=MappingTables!$C$32)),1,VLOOKUP(CONCATENATE($D1336,$G1336),CSRFinput!$B:$E,4,0))),0,IF(AND(VLOOKUP(CONCATENATE($D1336,$G1336),CSRFinput!$B:$E,4,0)=0,OR(H1336=MappingTables!$C$31,H1336=MappingTables!$C$32)),1,VLOOKUP(CONCATENATE($D1336,$G1336),CSRFinput!$B:$E,4,0)))</f>
        <v>0.054776304963434752</v>
      </c>
      <c r="S1336" s="73">
        <f>IF(B1336="",0,P1336*R1336)</f>
        <v>0.018023923618607572</v>
      </c>
      <c r="T1336" s="85">
        <f>IF(B1336="",0,IF(OR(H1336=MappingTables!$C$34,H1336=MappingTables!$C$35),S1336,0))</f>
        <v>0</v>
      </c>
    </row>
    <row r="1337" spans="2:20" s="0" customFormat="0" ht="15">
      <c r="B1337" s="69" t="s">
        <v>4535</v>
      </c>
      <c r="C1337" s="70" t="s">
        <v>4536</v>
      </c>
      <c r="D1337" s="70" t="s">
        <v>1</v>
      </c>
      <c r="E1337" s="70" t="s">
        <v>1</v>
      </c>
      <c r="F1337" s="70"/>
      <c r="G1337" s="70" t="s">
        <v>61</v>
      </c>
      <c r="H1337" s="70" t="s">
        <v>178</v>
      </c>
      <c r="I1337" s="70" t="s">
        <v>3291</v>
      </c>
      <c r="J1337" s="71">
        <f>IF(OR(I1337=0,I1337=""),"unrated",VLOOKUP(I1337,MappingTables!$B$19:$C$31,2,FALSE))</f>
        <v>6</v>
      </c>
      <c r="K1337" s="72">
        <v>341.05364166351496</v>
      </c>
      <c r="L1337" s="70">
        <v>0.47616529680197856</v>
      </c>
      <c r="M1337" s="71">
        <f>IF(L1337&lt;1,1,L1337)</f>
        <v>1</v>
      </c>
      <c r="N1337" s="70" t="s">
        <v>3288</v>
      </c>
      <c r="O1337" s="71">
        <f>IF(OR(I1337=$A$1,I1337=0),"",IF(N1337=MappingTables!$C$14,VLOOKUP(J1337,ModelParameters!$M$8:$N$15,2,FALSE),IF(N1337=MappingTables!$C$16,VLOOKUP(J1337,ModelParameters!$P$8:$Q$15,2,FALSE),0)))</f>
        <v>1</v>
      </c>
      <c r="P1337" s="73">
        <f>IF(OR(I1337=0,I1337=$A$1),0,MIN(O1337*M1337,1)*K1337)</f>
        <v>341.05364166351496</v>
      </c>
      <c r="Q1337" s="73">
        <f>IF(B1337="",0,IF(OR(H1337=MappingTables!$C$34,H1337=MappingTables!$C$35),P1337,0))</f>
        <v>0</v>
      </c>
      <c r="R1337" s="73">
        <f>IF(ISNA(IF(AND(VLOOKUP(CONCATENATE($D1337,$G1337),CSRFinput!$B:$E,4,0)=0,OR(H1337=MappingTables!$C$31,H1337=MappingTables!$C$32)),1,VLOOKUP(CONCATENATE($D1337,$G1337),CSRFinput!$B:$E,4,0))),0,IF(AND(VLOOKUP(CONCATENATE($D1337,$G1337),CSRFinput!$B:$E,4,0)=0,OR(H1337=MappingTables!$C$31,H1337=MappingTables!$C$32)),1,VLOOKUP(CONCATENATE($D1337,$G1337),CSRFinput!$B:$E,4,0)))</f>
        <v>0.054776304963434752</v>
      </c>
      <c r="S1337" s="73">
        <f>IF(B1337="",0,P1337*R1337)</f>
        <v>18.681658284650692</v>
      </c>
      <c r="T1337" s="85">
        <f>IF(B1337="",0,IF(OR(H1337=MappingTables!$C$34,H1337=MappingTables!$C$35),S1337,0))</f>
        <v>0</v>
      </c>
    </row>
    <row r="1338" spans="2:20" s="0" customFormat="0" ht="15">
      <c r="B1338" s="69">
        <v>25094363</v>
      </c>
      <c r="C1338" s="70" t="s">
        <v>4902</v>
      </c>
      <c r="D1338" s="70" t="s">
        <v>1</v>
      </c>
      <c r="E1338" s="70" t="s">
        <v>1</v>
      </c>
      <c r="F1338" s="70"/>
      <c r="G1338" s="70" t="s">
        <v>61</v>
      </c>
      <c r="H1338" s="70" t="s">
        <v>178</v>
      </c>
      <c r="I1338" s="70" t="s">
        <v>198</v>
      </c>
      <c r="J1338" s="71" t="str">
        <f>IF(OR(I1338=0,I1338=""),"unrated",VLOOKUP(I1338,MappingTables!$B$19:$C$31,2,FALSE))</f>
        <v>unrated</v>
      </c>
      <c r="K1338" s="72">
        <v>18175.680182109556</v>
      </c>
      <c r="L1338" s="70">
        <v>0.06115801043998436</v>
      </c>
      <c r="M1338" s="71">
        <f>IF(L1338&lt;1,1,L1338)</f>
        <v>1</v>
      </c>
      <c r="N1338" s="70" t="s">
        <v>3288</v>
      </c>
      <c r="O1338" s="71">
        <f>IF(OR(I1338=$A$1,I1338=0),"",IF(N1338=MappingTables!$C$14,VLOOKUP(J1338,ModelParameters!$M$8:$N$15,2,FALSE),IF(N1338=MappingTables!$C$16,VLOOKUP(J1338,ModelParameters!$P$8:$Q$15,2,FALSE),0)))</f>
        <v>1</v>
      </c>
      <c r="P1338" s="73">
        <f>IF(OR(I1338=0,I1338=$A$1),0,MIN(O1338*M1338,1)*K1338)</f>
        <v>18175.680182109556</v>
      </c>
      <c r="Q1338" s="73">
        <f>IF(B1338="",0,IF(OR(H1338=MappingTables!$C$34,H1338=MappingTables!$C$35),P1338,0))</f>
        <v>0</v>
      </c>
      <c r="R1338" s="73">
        <f>IF(ISNA(IF(AND(VLOOKUP(CONCATENATE($D1338,$G1338),CSRFinput!$B:$E,4,0)=0,OR(H1338=MappingTables!$C$31,H1338=MappingTables!$C$32)),1,VLOOKUP(CONCATENATE($D1338,$G1338),CSRFinput!$B:$E,4,0))),0,IF(AND(VLOOKUP(CONCATENATE($D1338,$G1338),CSRFinput!$B:$E,4,0)=0,OR(H1338=MappingTables!$C$31,H1338=MappingTables!$C$32)),1,VLOOKUP(CONCATENATE($D1338,$G1338),CSRFinput!$B:$E,4,0)))</f>
        <v>0.054776304963434752</v>
      </c>
      <c r="S1338" s="73">
        <f>IF(B1338="",0,P1338*R1338)</f>
        <v>995.5966005730904</v>
      </c>
      <c r="T1338" s="85">
        <f>IF(B1338="",0,IF(OR(H1338=MappingTables!$C$34,H1338=MappingTables!$C$35),S1338,0))</f>
        <v>0</v>
      </c>
    </row>
    <row r="1339" spans="2:20" s="0" customFormat="0" ht="15">
      <c r="B1339" s="69" t="s">
        <v>4563</v>
      </c>
      <c r="C1339" s="70" t="s">
        <v>4564</v>
      </c>
      <c r="D1339" s="70" t="s">
        <v>1</v>
      </c>
      <c r="E1339" s="70" t="s">
        <v>1</v>
      </c>
      <c r="F1339" s="70"/>
      <c r="G1339" s="70" t="s">
        <v>61</v>
      </c>
      <c r="H1339" s="70" t="s">
        <v>178</v>
      </c>
      <c r="I1339" s="70" t="s">
        <v>179</v>
      </c>
      <c r="J1339" s="71">
        <f>IF(OR(I1339=0,I1339=""),"unrated",VLOOKUP(I1339,MappingTables!$B$19:$C$31,2,FALSE))</f>
        <v>4</v>
      </c>
      <c r="K1339" s="72">
        <v>186.15918140965876</v>
      </c>
      <c r="L1339" s="70">
        <v>0.068490329140878232</v>
      </c>
      <c r="M1339" s="71">
        <f>IF(L1339&lt;1,1,L1339)</f>
        <v>1</v>
      </c>
      <c r="N1339" s="70" t="s">
        <v>3288</v>
      </c>
      <c r="O1339" s="71">
        <f>IF(OR(I1339=$A$1,I1339=0),"",IF(N1339=MappingTables!$C$14,VLOOKUP(J1339,ModelParameters!$M$8:$N$15,2,FALSE),IF(N1339=MappingTables!$C$16,VLOOKUP(J1339,ModelParameters!$P$8:$Q$15,2,FALSE),0)))</f>
        <v>0.82</v>
      </c>
      <c r="P1339" s="73">
        <f>IF(OR(I1339=0,I1339=$A$1),0,MIN(O1339*M1339,1)*K1339)</f>
        <v>152.6505287559202</v>
      </c>
      <c r="Q1339" s="73">
        <f>IF(B1339="",0,IF(OR(H1339=MappingTables!$C$34,H1339=MappingTables!$C$35),P1339,0))</f>
        <v>0</v>
      </c>
      <c r="R1339" s="73">
        <f>IF(ISNA(IF(AND(VLOOKUP(CONCATENATE($D1339,$G1339),CSRFinput!$B:$E,4,0)=0,OR(H1339=MappingTables!$C$31,H1339=MappingTables!$C$32)),1,VLOOKUP(CONCATENATE($D1339,$G1339),CSRFinput!$B:$E,4,0))),0,IF(AND(VLOOKUP(CONCATENATE($D1339,$G1339),CSRFinput!$B:$E,4,0)=0,OR(H1339=MappingTables!$C$31,H1339=MappingTables!$C$32)),1,VLOOKUP(CONCATENATE($D1339,$G1339),CSRFinput!$B:$E,4,0)))</f>
        <v>0.054776304963434752</v>
      </c>
      <c r="S1339" s="73">
        <f>IF(B1339="",0,P1339*R1339)</f>
        <v>8.3616319159638512</v>
      </c>
      <c r="T1339" s="85">
        <f>IF(B1339="",0,IF(OR(H1339=MappingTables!$C$34,H1339=MappingTables!$C$35),S1339,0))</f>
        <v>0</v>
      </c>
    </row>
    <row r="1340" spans="2:20" s="0" customFormat="0" ht="15">
      <c r="B1340" s="69" t="s">
        <v>4483</v>
      </c>
      <c r="C1340" s="70" t="s">
        <v>4484</v>
      </c>
      <c r="D1340" s="70" t="s">
        <v>1</v>
      </c>
      <c r="E1340" s="70" t="s">
        <v>1</v>
      </c>
      <c r="F1340" s="70"/>
      <c r="G1340" s="70" t="s">
        <v>61</v>
      </c>
      <c r="H1340" s="70" t="s">
        <v>178</v>
      </c>
      <c r="I1340" s="70" t="s">
        <v>198</v>
      </c>
      <c r="J1340" s="71" t="str">
        <f>IF(OR(I1340=0,I1340=""),"unrated",VLOOKUP(I1340,MappingTables!$B$19:$C$31,2,FALSE))</f>
        <v>unrated</v>
      </c>
      <c r="K1340" s="72">
        <v>7.2136464968697216</v>
      </c>
      <c r="L1340" s="70">
        <v>38.746579533231808</v>
      </c>
      <c r="M1340" s="71">
        <f>IF(L1340&lt;1,1,L1340)</f>
        <v>38.746579533231808</v>
      </c>
      <c r="N1340" s="70" t="s">
        <v>3288</v>
      </c>
      <c r="O1340" s="71">
        <f>IF(OR(I1340=$A$1,I1340=0),"",IF(N1340=MappingTables!$C$14,VLOOKUP(J1340,ModelParameters!$M$8:$N$15,2,FALSE),IF(N1340=MappingTables!$C$16,VLOOKUP(J1340,ModelParameters!$P$8:$Q$15,2,FALSE),0)))</f>
        <v>1</v>
      </c>
      <c r="P1340" s="73">
        <f>IF(OR(I1340=0,I1340=$A$1),0,MIN(O1340*M1340,1)*K1340)</f>
        <v>7.2136464968697216</v>
      </c>
      <c r="Q1340" s="73">
        <f>IF(B1340="",0,IF(OR(H1340=MappingTables!$C$34,H1340=MappingTables!$C$35),P1340,0))</f>
        <v>0</v>
      </c>
      <c r="R1340" s="73">
        <f>IF(ISNA(IF(AND(VLOOKUP(CONCATENATE($D1340,$G1340),CSRFinput!$B:$E,4,0)=0,OR(H1340=MappingTables!$C$31,H1340=MappingTables!$C$32)),1,VLOOKUP(CONCATENATE($D1340,$G1340),CSRFinput!$B:$E,4,0))),0,IF(AND(VLOOKUP(CONCATENATE($D1340,$G1340),CSRFinput!$B:$E,4,0)=0,OR(H1340=MappingTables!$C$31,H1340=MappingTables!$C$32)),1,VLOOKUP(CONCATENATE($D1340,$G1340),CSRFinput!$B:$E,4,0)))</f>
        <v>0.054776304963434752</v>
      </c>
      <c r="S1340" s="73">
        <f>IF(B1340="",0,P1340*R1340)</f>
        <v>0.39513690041094864</v>
      </c>
      <c r="T1340" s="85">
        <f>IF(B1340="",0,IF(OR(H1340=MappingTables!$C$34,H1340=MappingTables!$C$35),S1340,0))</f>
        <v>0</v>
      </c>
    </row>
    <row r="1341" spans="2:20" s="0" customFormat="0" ht="15">
      <c r="B1341" s="69" t="s">
        <v>4903</v>
      </c>
      <c r="C1341" s="70" t="s">
        <v>4904</v>
      </c>
      <c r="D1341" s="70" t="s">
        <v>1</v>
      </c>
      <c r="E1341" s="70" t="s">
        <v>1</v>
      </c>
      <c r="F1341" s="70"/>
      <c r="G1341" s="70" t="s">
        <v>61</v>
      </c>
      <c r="H1341" s="70" t="s">
        <v>178</v>
      </c>
      <c r="I1341" s="70" t="s">
        <v>204</v>
      </c>
      <c r="J1341" s="71">
        <f>IF(OR(I1341=0,I1341=""),"unrated",VLOOKUP(I1341,MappingTables!$B$19:$C$31,2,FALSE))</f>
        <v>6</v>
      </c>
      <c r="K1341" s="72">
        <v>64.972817358847224</v>
      </c>
      <c r="L1341" s="70">
        <v>0.0684949434767652</v>
      </c>
      <c r="M1341" s="71">
        <f>IF(L1341&lt;1,1,L1341)</f>
        <v>1</v>
      </c>
      <c r="N1341" s="70" t="s">
        <v>3288</v>
      </c>
      <c r="O1341" s="71">
        <f>IF(OR(I1341=$A$1,I1341=0),"",IF(N1341=MappingTables!$C$14,VLOOKUP(J1341,ModelParameters!$M$8:$N$15,2,FALSE),IF(N1341=MappingTables!$C$16,VLOOKUP(J1341,ModelParameters!$P$8:$Q$15,2,FALSE),0)))</f>
        <v>1</v>
      </c>
      <c r="P1341" s="73">
        <f>IF(OR(I1341=0,I1341=$A$1),0,MIN(O1341*M1341,1)*K1341)</f>
        <v>64.972817358847224</v>
      </c>
      <c r="Q1341" s="73">
        <f>IF(B1341="",0,IF(OR(H1341=MappingTables!$C$34,H1341=MappingTables!$C$35),P1341,0))</f>
        <v>0</v>
      </c>
      <c r="R1341" s="73">
        <f>IF(ISNA(IF(AND(VLOOKUP(CONCATENATE($D1341,$G1341),CSRFinput!$B:$E,4,0)=0,OR(H1341=MappingTables!$C$31,H1341=MappingTables!$C$32)),1,VLOOKUP(CONCATENATE($D1341,$G1341),CSRFinput!$B:$E,4,0))),0,IF(AND(VLOOKUP(CONCATENATE($D1341,$G1341),CSRFinput!$B:$E,4,0)=0,OR(H1341=MappingTables!$C$31,H1341=MappingTables!$C$32)),1,VLOOKUP(CONCATENATE($D1341,$G1341),CSRFinput!$B:$E,4,0)))</f>
        <v>0.054776304963434752</v>
      </c>
      <c r="S1341" s="73">
        <f>IF(B1341="",0,P1341*R1341)</f>
        <v>3.5589708579817628</v>
      </c>
      <c r="T1341" s="85">
        <f>IF(B1341="",0,IF(OR(H1341=MappingTables!$C$34,H1341=MappingTables!$C$35),S1341,0))</f>
        <v>0</v>
      </c>
    </row>
    <row r="1342" spans="2:20" s="0" customFormat="0" ht="15">
      <c r="B1342" s="69" t="s">
        <v>4579</v>
      </c>
      <c r="C1342" s="70" t="s">
        <v>4580</v>
      </c>
      <c r="D1342" s="70" t="s">
        <v>1</v>
      </c>
      <c r="E1342" s="70" t="s">
        <v>1</v>
      </c>
      <c r="F1342" s="70"/>
      <c r="G1342" s="70" t="s">
        <v>61</v>
      </c>
      <c r="H1342" s="70" t="s">
        <v>178</v>
      </c>
      <c r="I1342" s="70" t="s">
        <v>204</v>
      </c>
      <c r="J1342" s="71">
        <f>IF(OR(I1342=0,I1342=""),"unrated",VLOOKUP(I1342,MappingTables!$B$19:$C$31,2,FALSE))</f>
        <v>6</v>
      </c>
      <c r="K1342" s="72">
        <v>221.53018607018752</v>
      </c>
      <c r="L1342" s="70">
        <v>0.056809544323674072</v>
      </c>
      <c r="M1342" s="71">
        <f>IF(L1342&lt;1,1,L1342)</f>
        <v>1</v>
      </c>
      <c r="N1342" s="70" t="s">
        <v>3288</v>
      </c>
      <c r="O1342" s="71">
        <f>IF(OR(I1342=$A$1,I1342=0),"",IF(N1342=MappingTables!$C$14,VLOOKUP(J1342,ModelParameters!$M$8:$N$15,2,FALSE),IF(N1342=MappingTables!$C$16,VLOOKUP(J1342,ModelParameters!$P$8:$Q$15,2,FALSE),0)))</f>
        <v>1</v>
      </c>
      <c r="P1342" s="73">
        <f>IF(OR(I1342=0,I1342=$A$1),0,MIN(O1342*M1342,1)*K1342)</f>
        <v>221.53018607018752</v>
      </c>
      <c r="Q1342" s="73">
        <f>IF(B1342="",0,IF(OR(H1342=MappingTables!$C$34,H1342=MappingTables!$C$35),P1342,0))</f>
        <v>0</v>
      </c>
      <c r="R1342" s="73">
        <f>IF(ISNA(IF(AND(VLOOKUP(CONCATENATE($D1342,$G1342),CSRFinput!$B:$E,4,0)=0,OR(H1342=MappingTables!$C$31,H1342=MappingTables!$C$32)),1,VLOOKUP(CONCATENATE($D1342,$G1342),CSRFinput!$B:$E,4,0))),0,IF(AND(VLOOKUP(CONCATENATE($D1342,$G1342),CSRFinput!$B:$E,4,0)=0,OR(H1342=MappingTables!$C$31,H1342=MappingTables!$C$32)),1,VLOOKUP(CONCATENATE($D1342,$G1342),CSRFinput!$B:$E,4,0)))</f>
        <v>0.054776304963434752</v>
      </c>
      <c r="S1342" s="73">
        <f>IF(B1342="",0,P1342*R1342)</f>
        <v>12.134605030787038</v>
      </c>
      <c r="T1342" s="85">
        <f>IF(B1342="",0,IF(OR(H1342=MappingTables!$C$34,H1342=MappingTables!$C$35),S1342,0))</f>
        <v>0</v>
      </c>
    </row>
    <row r="1343" spans="2:20" s="0" customFormat="0" ht="15">
      <c r="B1343" s="69" t="s">
        <v>4905</v>
      </c>
      <c r="C1343" s="70" t="s">
        <v>4906</v>
      </c>
      <c r="D1343" s="70" t="s">
        <v>1</v>
      </c>
      <c r="E1343" s="70" t="s">
        <v>1</v>
      </c>
      <c r="F1343" s="70"/>
      <c r="G1343" s="70" t="s">
        <v>61</v>
      </c>
      <c r="H1343" s="70" t="s">
        <v>178</v>
      </c>
      <c r="I1343" s="70" t="s">
        <v>204</v>
      </c>
      <c r="J1343" s="71">
        <f>IF(OR(I1343=0,I1343=""),"unrated",VLOOKUP(I1343,MappingTables!$B$19:$C$31,2,FALSE))</f>
        <v>6</v>
      </c>
      <c r="K1343" s="72">
        <v>103.91991738275452</v>
      </c>
      <c r="L1343" s="70">
        <v>0.068492261028431216</v>
      </c>
      <c r="M1343" s="71">
        <f>IF(L1343&lt;1,1,L1343)</f>
        <v>1</v>
      </c>
      <c r="N1343" s="70" t="s">
        <v>3288</v>
      </c>
      <c r="O1343" s="71">
        <f>IF(OR(I1343=$A$1,I1343=0),"",IF(N1343=MappingTables!$C$14,VLOOKUP(J1343,ModelParameters!$M$8:$N$15,2,FALSE),IF(N1343=MappingTables!$C$16,VLOOKUP(J1343,ModelParameters!$P$8:$Q$15,2,FALSE),0)))</f>
        <v>1</v>
      </c>
      <c r="P1343" s="73">
        <f>IF(OR(I1343=0,I1343=$A$1),0,MIN(O1343*M1343,1)*K1343)</f>
        <v>103.91991738275452</v>
      </c>
      <c r="Q1343" s="73">
        <f>IF(B1343="",0,IF(OR(H1343=MappingTables!$C$34,H1343=MappingTables!$C$35),P1343,0))</f>
        <v>0</v>
      </c>
      <c r="R1343" s="73">
        <f>IF(ISNA(IF(AND(VLOOKUP(CONCATENATE($D1343,$G1343),CSRFinput!$B:$E,4,0)=0,OR(H1343=MappingTables!$C$31,H1343=MappingTables!$C$32)),1,VLOOKUP(CONCATENATE($D1343,$G1343),CSRFinput!$B:$E,4,0))),0,IF(AND(VLOOKUP(CONCATENATE($D1343,$G1343),CSRFinput!$B:$E,4,0)=0,OR(H1343=MappingTables!$C$31,H1343=MappingTables!$C$32)),1,VLOOKUP(CONCATENATE($D1343,$G1343),CSRFinput!$B:$E,4,0)))</f>
        <v>0.054776304963434752</v>
      </c>
      <c r="S1343" s="73">
        <f>IF(B1343="",0,P1343*R1343)</f>
        <v>5.6923490863327056</v>
      </c>
      <c r="T1343" s="85">
        <f>IF(B1343="",0,IF(OR(H1343=MappingTables!$C$34,H1343=MappingTables!$C$35),S1343,0))</f>
        <v>0</v>
      </c>
    </row>
    <row r="1344" spans="2:20" s="0" customFormat="0" ht="15">
      <c r="B1344" s="69">
        <v>16974687</v>
      </c>
      <c r="C1344" s="70" t="s">
        <v>4907</v>
      </c>
      <c r="D1344" s="70" t="s">
        <v>1</v>
      </c>
      <c r="E1344" s="70" t="s">
        <v>1</v>
      </c>
      <c r="F1344" s="70"/>
      <c r="G1344" s="70" t="s">
        <v>61</v>
      </c>
      <c r="H1344" s="70" t="s">
        <v>178</v>
      </c>
      <c r="I1344" s="70" t="s">
        <v>198</v>
      </c>
      <c r="J1344" s="71" t="str">
        <f>IF(OR(I1344=0,I1344=""),"unrated",VLOOKUP(I1344,MappingTables!$B$19:$C$31,2,FALSE))</f>
        <v>unrated</v>
      </c>
      <c r="K1344" s="72">
        <v>143.104665341176</v>
      </c>
      <c r="L1344" s="70">
        <v>0.075867185413340336</v>
      </c>
      <c r="M1344" s="71">
        <f>IF(L1344&lt;1,1,L1344)</f>
        <v>1</v>
      </c>
      <c r="N1344" s="70" t="s">
        <v>3288</v>
      </c>
      <c r="O1344" s="71">
        <f>IF(OR(I1344=$A$1,I1344=0),"",IF(N1344=MappingTables!$C$14,VLOOKUP(J1344,ModelParameters!$M$8:$N$15,2,FALSE),IF(N1344=MappingTables!$C$16,VLOOKUP(J1344,ModelParameters!$P$8:$Q$15,2,FALSE),0)))</f>
        <v>1</v>
      </c>
      <c r="P1344" s="73">
        <f>IF(OR(I1344=0,I1344=$A$1),0,MIN(O1344*M1344,1)*K1344)</f>
        <v>143.104665341176</v>
      </c>
      <c r="Q1344" s="73">
        <f>IF(B1344="",0,IF(OR(H1344=MappingTables!$C$34,H1344=MappingTables!$C$35),P1344,0))</f>
        <v>0</v>
      </c>
      <c r="R1344" s="73">
        <f>IF(ISNA(IF(AND(VLOOKUP(CONCATENATE($D1344,$G1344),CSRFinput!$B:$E,4,0)=0,OR(H1344=MappingTables!$C$31,H1344=MappingTables!$C$32)),1,VLOOKUP(CONCATENATE($D1344,$G1344),CSRFinput!$B:$E,4,0))),0,IF(AND(VLOOKUP(CONCATENATE($D1344,$G1344),CSRFinput!$B:$E,4,0)=0,OR(H1344=MappingTables!$C$31,H1344=MappingTables!$C$32)),1,VLOOKUP(CONCATENATE($D1344,$G1344),CSRFinput!$B:$E,4,0)))</f>
        <v>0.054776304963434752</v>
      </c>
      <c r="S1344" s="73">
        <f>IF(B1344="",0,P1344*R1344)</f>
        <v>7.838744790418528</v>
      </c>
      <c r="T1344" s="85">
        <f>IF(B1344="",0,IF(OR(H1344=MappingTables!$C$34,H1344=MappingTables!$C$35),S1344,0))</f>
        <v>0</v>
      </c>
    </row>
    <row r="1345" spans="2:20" s="0" customFormat="0" ht="15">
      <c r="B1345" s="69" t="s">
        <v>4128</v>
      </c>
      <c r="C1345" s="70" t="s">
        <v>4129</v>
      </c>
      <c r="D1345" s="70" t="s">
        <v>1</v>
      </c>
      <c r="E1345" s="70" t="s">
        <v>1</v>
      </c>
      <c r="F1345" s="70"/>
      <c r="G1345" s="70" t="s">
        <v>61</v>
      </c>
      <c r="H1345" s="70" t="s">
        <v>178</v>
      </c>
      <c r="I1345" s="70" t="s">
        <v>198</v>
      </c>
      <c r="J1345" s="71" t="str">
        <f>IF(OR(I1345=0,I1345=""),"unrated",VLOOKUP(I1345,MappingTables!$B$19:$C$31,2,FALSE))</f>
        <v>unrated</v>
      </c>
      <c r="K1345" s="72">
        <v>7.976010990349968</v>
      </c>
      <c r="L1345" s="70">
        <v>39.813300292208104</v>
      </c>
      <c r="M1345" s="71">
        <f>IF(L1345&lt;1,1,L1345)</f>
        <v>39.813300292208104</v>
      </c>
      <c r="N1345" s="70" t="s">
        <v>3288</v>
      </c>
      <c r="O1345" s="71">
        <f>IF(OR(I1345=$A$1,I1345=0),"",IF(N1345=MappingTables!$C$14,VLOOKUP(J1345,ModelParameters!$M$8:$N$15,2,FALSE),IF(N1345=MappingTables!$C$16,VLOOKUP(J1345,ModelParameters!$P$8:$Q$15,2,FALSE),0)))</f>
        <v>1</v>
      </c>
      <c r="P1345" s="73">
        <f>IF(OR(I1345=0,I1345=$A$1),0,MIN(O1345*M1345,1)*K1345)</f>
        <v>7.976010990349968</v>
      </c>
      <c r="Q1345" s="73">
        <f>IF(B1345="",0,IF(OR(H1345=MappingTables!$C$34,H1345=MappingTables!$C$35),P1345,0))</f>
        <v>0</v>
      </c>
      <c r="R1345" s="73">
        <f>IF(ISNA(IF(AND(VLOOKUP(CONCATENATE($D1345,$G1345),CSRFinput!$B:$E,4,0)=0,OR(H1345=MappingTables!$C$31,H1345=MappingTables!$C$32)),1,VLOOKUP(CONCATENATE($D1345,$G1345),CSRFinput!$B:$E,4,0))),0,IF(AND(VLOOKUP(CONCATENATE($D1345,$G1345),CSRFinput!$B:$E,4,0)=0,OR(H1345=MappingTables!$C$31,H1345=MappingTables!$C$32)),1,VLOOKUP(CONCATENATE($D1345,$G1345),CSRFinput!$B:$E,4,0)))</f>
        <v>0.054776304963434752</v>
      </c>
      <c r="S1345" s="73">
        <f>IF(B1345="",0,P1345*R1345)</f>
        <v>0.43689641039911712</v>
      </c>
      <c r="T1345" s="85">
        <f>IF(B1345="",0,IF(OR(H1345=MappingTables!$C$34,H1345=MappingTables!$C$35),S1345,0))</f>
        <v>0</v>
      </c>
    </row>
    <row r="1346" spans="2:20" s="0" customFormat="0" ht="15">
      <c r="B1346" s="69" t="s">
        <v>3454</v>
      </c>
      <c r="C1346" s="70" t="s">
        <v>3455</v>
      </c>
      <c r="D1346" s="70" t="s">
        <v>1</v>
      </c>
      <c r="E1346" s="70" t="s">
        <v>1</v>
      </c>
      <c r="F1346" s="70"/>
      <c r="G1346" s="70" t="s">
        <v>61</v>
      </c>
      <c r="H1346" s="70" t="s">
        <v>178</v>
      </c>
      <c r="I1346" s="70" t="s">
        <v>3298</v>
      </c>
      <c r="J1346" s="71">
        <f>IF(OR(I1346=0,I1346=""),"unrated",VLOOKUP(I1346,MappingTables!$B$19:$C$31,2,FALSE))</f>
        <v>6</v>
      </c>
      <c r="K1346" s="72">
        <v>330.39856381467</v>
      </c>
      <c r="L1346" s="70">
        <v>0.06849608274184492</v>
      </c>
      <c r="M1346" s="71">
        <f>IF(L1346&lt;1,1,L1346)</f>
        <v>1</v>
      </c>
      <c r="N1346" s="70" t="s">
        <v>3288</v>
      </c>
      <c r="O1346" s="71">
        <f>IF(OR(I1346=$A$1,I1346=0),"",IF(N1346=MappingTables!$C$14,VLOOKUP(J1346,ModelParameters!$M$8:$N$15,2,FALSE),IF(N1346=MappingTables!$C$16,VLOOKUP(J1346,ModelParameters!$P$8:$Q$15,2,FALSE),0)))</f>
        <v>1</v>
      </c>
      <c r="P1346" s="73">
        <f>IF(OR(I1346=0,I1346=$A$1),0,MIN(O1346*M1346,1)*K1346)</f>
        <v>330.39856381467</v>
      </c>
      <c r="Q1346" s="73">
        <f>IF(B1346="",0,IF(OR(H1346=MappingTables!$C$34,H1346=MappingTables!$C$35),P1346,0))</f>
        <v>0</v>
      </c>
      <c r="R1346" s="73">
        <f>IF(ISNA(IF(AND(VLOOKUP(CONCATENATE($D1346,$G1346),CSRFinput!$B:$E,4,0)=0,OR(H1346=MappingTables!$C$31,H1346=MappingTables!$C$32)),1,VLOOKUP(CONCATENATE($D1346,$G1346),CSRFinput!$B:$E,4,0))),0,IF(AND(VLOOKUP(CONCATENATE($D1346,$G1346),CSRFinput!$B:$E,4,0)=0,OR(H1346=MappingTables!$C$31,H1346=MappingTables!$C$32)),1,VLOOKUP(CONCATENATE($D1346,$G1346),CSRFinput!$B:$E,4,0)))</f>
        <v>0.054776304963434752</v>
      </c>
      <c r="S1346" s="73">
        <f>IF(B1346="",0,P1346*R1346)</f>
        <v>18.098012490993224</v>
      </c>
      <c r="T1346" s="85">
        <f>IF(B1346="",0,IF(OR(H1346=MappingTables!$C$34,H1346=MappingTables!$C$35),S1346,0))</f>
        <v>0</v>
      </c>
    </row>
    <row r="1347" spans="2:20" s="0" customFormat="0" ht="15">
      <c r="B1347" s="69" t="s">
        <v>4525</v>
      </c>
      <c r="C1347" s="70" t="s">
        <v>4526</v>
      </c>
      <c r="D1347" s="70" t="s">
        <v>1</v>
      </c>
      <c r="E1347" s="70" t="s">
        <v>1</v>
      </c>
      <c r="F1347" s="70"/>
      <c r="G1347" s="70" t="s">
        <v>61</v>
      </c>
      <c r="H1347" s="70" t="s">
        <v>178</v>
      </c>
      <c r="I1347" s="70" t="s">
        <v>198</v>
      </c>
      <c r="J1347" s="71" t="str">
        <f>IF(OR(I1347=0,I1347=""),"unrated",VLOOKUP(I1347,MappingTables!$B$19:$C$31,2,FALSE))</f>
        <v>unrated</v>
      </c>
      <c r="K1347" s="72">
        <v>56.068699449397664</v>
      </c>
      <c r="L1347" s="70">
        <v>14.329492455418378</v>
      </c>
      <c r="M1347" s="71">
        <f>IF(L1347&lt;1,1,L1347)</f>
        <v>14.329492455418378</v>
      </c>
      <c r="N1347" s="70" t="s">
        <v>3288</v>
      </c>
      <c r="O1347" s="71">
        <f>IF(OR(I1347=$A$1,I1347=0),"",IF(N1347=MappingTables!$C$14,VLOOKUP(J1347,ModelParameters!$M$8:$N$15,2,FALSE),IF(N1347=MappingTables!$C$16,VLOOKUP(J1347,ModelParameters!$P$8:$Q$15,2,FALSE),0)))</f>
        <v>1</v>
      </c>
      <c r="P1347" s="73">
        <f>IF(OR(I1347=0,I1347=$A$1),0,MIN(O1347*M1347,1)*K1347)</f>
        <v>56.068699449397664</v>
      </c>
      <c r="Q1347" s="73">
        <f>IF(B1347="",0,IF(OR(H1347=MappingTables!$C$34,H1347=MappingTables!$C$35),P1347,0))</f>
        <v>0</v>
      </c>
      <c r="R1347" s="73">
        <f>IF(ISNA(IF(AND(VLOOKUP(CONCATENATE($D1347,$G1347),CSRFinput!$B:$E,4,0)=0,OR(H1347=MappingTables!$C$31,H1347=MappingTables!$C$32)),1,VLOOKUP(CONCATENATE($D1347,$G1347),CSRFinput!$B:$E,4,0))),0,IF(AND(VLOOKUP(CONCATENATE($D1347,$G1347),CSRFinput!$B:$E,4,0)=0,OR(H1347=MappingTables!$C$31,H1347=MappingTables!$C$32)),1,VLOOKUP(CONCATENATE($D1347,$G1347),CSRFinput!$B:$E,4,0)))</f>
        <v>0.054776304963434752</v>
      </c>
      <c r="S1347" s="73">
        <f>IF(B1347="",0,P1347*R1347)</f>
        <v>3.0712361799433724</v>
      </c>
      <c r="T1347" s="85">
        <f>IF(B1347="",0,IF(OR(H1347=MappingTables!$C$34,H1347=MappingTables!$C$35),S1347,0))</f>
        <v>0</v>
      </c>
    </row>
    <row r="1348" spans="2:20" s="0" customFormat="0" ht="15">
      <c r="B1348" s="69" t="s">
        <v>4419</v>
      </c>
      <c r="C1348" s="70" t="s">
        <v>4420</v>
      </c>
      <c r="D1348" s="70" t="s">
        <v>1</v>
      </c>
      <c r="E1348" s="70" t="s">
        <v>1</v>
      </c>
      <c r="F1348" s="70"/>
      <c r="G1348" s="70" t="s">
        <v>61</v>
      </c>
      <c r="H1348" s="70" t="s">
        <v>178</v>
      </c>
      <c r="I1348" s="70" t="s">
        <v>216</v>
      </c>
      <c r="J1348" s="71">
        <f>IF(OR(I1348=0,I1348=""),"unrated",VLOOKUP(I1348,MappingTables!$B$19:$C$31,2,FALSE))</f>
        <v>0</v>
      </c>
      <c r="K1348" s="72">
        <v>152.48530100875138</v>
      </c>
      <c r="L1348" s="70">
        <v>0.99350981915662848</v>
      </c>
      <c r="M1348" s="71">
        <f>IF(L1348&lt;1,1,L1348)</f>
        <v>1</v>
      </c>
      <c r="N1348" s="70" t="s">
        <v>3288</v>
      </c>
      <c r="O1348" s="71">
        <f>IF(OR(I1348=$A$1,I1348=0),"",IF(N1348=MappingTables!$C$14,VLOOKUP(J1348,ModelParameters!$M$8:$N$15,2,FALSE),IF(N1348=MappingTables!$C$16,VLOOKUP(J1348,ModelParameters!$P$8:$Q$15,2,FALSE),0)))</f>
        <v>0.125</v>
      </c>
      <c r="P1348" s="73">
        <f>IF(OR(I1348=0,I1348=$A$1),0,MIN(O1348*M1348,1)*K1348)</f>
        <v>19.060662626093924</v>
      </c>
      <c r="Q1348" s="73">
        <f>IF(B1348="",0,IF(OR(H1348=MappingTables!$C$34,H1348=MappingTables!$C$35),P1348,0))</f>
        <v>0</v>
      </c>
      <c r="R1348" s="73">
        <f>IF(ISNA(IF(AND(VLOOKUP(CONCATENATE($D1348,$G1348),CSRFinput!$B:$E,4,0)=0,OR(H1348=MappingTables!$C$31,H1348=MappingTables!$C$32)),1,VLOOKUP(CONCATENATE($D1348,$G1348),CSRFinput!$B:$E,4,0))),0,IF(AND(VLOOKUP(CONCATENATE($D1348,$G1348),CSRFinput!$B:$E,4,0)=0,OR(H1348=MappingTables!$C$31,H1348=MappingTables!$C$32)),1,VLOOKUP(CONCATENATE($D1348,$G1348),CSRFinput!$B:$E,4,0)))</f>
        <v>0.054776304963434752</v>
      </c>
      <c r="S1348" s="73">
        <f>IF(B1348="",0,P1348*R1348)</f>
        <v>1.0440726688120638</v>
      </c>
      <c r="T1348" s="85">
        <f>IF(B1348="",0,IF(OR(H1348=MappingTables!$C$34,H1348=MappingTables!$C$35),S1348,0))</f>
        <v>0</v>
      </c>
    </row>
    <row r="1349" spans="2:20" s="0" customFormat="0" ht="15">
      <c r="B1349" s="69">
        <v>7065942</v>
      </c>
      <c r="C1349" s="70" t="s">
        <v>4908</v>
      </c>
      <c r="D1349" s="70" t="s">
        <v>1</v>
      </c>
      <c r="E1349" s="70" t="s">
        <v>1</v>
      </c>
      <c r="F1349" s="70"/>
      <c r="G1349" s="70" t="s">
        <v>61</v>
      </c>
      <c r="H1349" s="70" t="s">
        <v>178</v>
      </c>
      <c r="I1349" s="70" t="s">
        <v>216</v>
      </c>
      <c r="J1349" s="71">
        <f>IF(OR(I1349=0,I1349=""),"unrated",VLOOKUP(I1349,MappingTables!$B$19:$C$31,2,FALSE))</f>
        <v>0</v>
      </c>
      <c r="K1349" s="72">
        <v>0.40640406068252944</v>
      </c>
      <c r="L1349" s="70">
        <v>0.038926798224574968</v>
      </c>
      <c r="M1349" s="71">
        <f>IF(L1349&lt;1,1,L1349)</f>
        <v>1</v>
      </c>
      <c r="N1349" s="70" t="s">
        <v>3288</v>
      </c>
      <c r="O1349" s="71">
        <f>IF(OR(I1349=$A$1,I1349=0),"",IF(N1349=MappingTables!$C$14,VLOOKUP(J1349,ModelParameters!$M$8:$N$15,2,FALSE),IF(N1349=MappingTables!$C$16,VLOOKUP(J1349,ModelParameters!$P$8:$Q$15,2,FALSE),0)))</f>
        <v>0.125</v>
      </c>
      <c r="P1349" s="73">
        <f>IF(OR(I1349=0,I1349=$A$1),0,MIN(O1349*M1349,1)*K1349)</f>
        <v>0.050800507585316176</v>
      </c>
      <c r="Q1349" s="73">
        <f>IF(B1349="",0,IF(OR(H1349=MappingTables!$C$34,H1349=MappingTables!$C$35),P1349,0))</f>
        <v>0</v>
      </c>
      <c r="R1349" s="73">
        <f>IF(ISNA(IF(AND(VLOOKUP(CONCATENATE($D1349,$G1349),CSRFinput!$B:$E,4,0)=0,OR(H1349=MappingTables!$C$31,H1349=MappingTables!$C$32)),1,VLOOKUP(CONCATENATE($D1349,$G1349),CSRFinput!$B:$E,4,0))),0,IF(AND(VLOOKUP(CONCATENATE($D1349,$G1349),CSRFinput!$B:$E,4,0)=0,OR(H1349=MappingTables!$C$31,H1349=MappingTables!$C$32)),1,VLOOKUP(CONCATENATE($D1349,$G1349),CSRFinput!$B:$E,4,0)))</f>
        <v>0.054776304963434752</v>
      </c>
      <c r="S1349" s="73">
        <f>IF(B1349="",0,P1349*R1349)</f>
        <v>0.0027826640957905592</v>
      </c>
      <c r="T1349" s="85">
        <f>IF(B1349="",0,IF(OR(H1349=MappingTables!$C$34,H1349=MappingTables!$C$35),S1349,0))</f>
        <v>0</v>
      </c>
    </row>
    <row r="1350" spans="2:20" s="0" customFormat="0" ht="15">
      <c r="B1350" s="69" t="s">
        <v>3411</v>
      </c>
      <c r="C1350" s="70" t="s">
        <v>3412</v>
      </c>
      <c r="D1350" s="70" t="s">
        <v>1</v>
      </c>
      <c r="E1350" s="70" t="s">
        <v>1</v>
      </c>
      <c r="F1350" s="70"/>
      <c r="G1350" s="70" t="s">
        <v>61</v>
      </c>
      <c r="H1350" s="70" t="s">
        <v>178</v>
      </c>
      <c r="I1350" s="70" t="s">
        <v>198</v>
      </c>
      <c r="J1350" s="71" t="str">
        <f>IF(OR(I1350=0,I1350=""),"unrated",VLOOKUP(I1350,MappingTables!$B$19:$C$31,2,FALSE))</f>
        <v>unrated</v>
      </c>
      <c r="K1350" s="72">
        <v>29.46676863929782</v>
      </c>
      <c r="L1350" s="70">
        <v>8.0282061352274768</v>
      </c>
      <c r="M1350" s="71">
        <f>IF(L1350&lt;1,1,L1350)</f>
        <v>8.0282061352274768</v>
      </c>
      <c r="N1350" s="70" t="s">
        <v>3288</v>
      </c>
      <c r="O1350" s="71">
        <f>IF(OR(I1350=$A$1,I1350=0),"",IF(N1350=MappingTables!$C$14,VLOOKUP(J1350,ModelParameters!$M$8:$N$15,2,FALSE),IF(N1350=MappingTables!$C$16,VLOOKUP(J1350,ModelParameters!$P$8:$Q$15,2,FALSE),0)))</f>
        <v>1</v>
      </c>
      <c r="P1350" s="73">
        <f>IF(OR(I1350=0,I1350=$A$1),0,MIN(O1350*M1350,1)*K1350)</f>
        <v>29.46676863929782</v>
      </c>
      <c r="Q1350" s="73">
        <f>IF(B1350="",0,IF(OR(H1350=MappingTables!$C$34,H1350=MappingTables!$C$35),P1350,0))</f>
        <v>0</v>
      </c>
      <c r="R1350" s="73">
        <f>IF(ISNA(IF(AND(VLOOKUP(CONCATENATE($D1350,$G1350),CSRFinput!$B:$E,4,0)=0,OR(H1350=MappingTables!$C$31,H1350=MappingTables!$C$32)),1,VLOOKUP(CONCATENATE($D1350,$G1350),CSRFinput!$B:$E,4,0))),0,IF(AND(VLOOKUP(CONCATENATE($D1350,$G1350),CSRFinput!$B:$E,4,0)=0,OR(H1350=MappingTables!$C$31,H1350=MappingTables!$C$32)),1,VLOOKUP(CONCATENATE($D1350,$G1350),CSRFinput!$B:$E,4,0)))</f>
        <v>0.054776304963434752</v>
      </c>
      <c r="S1350" s="73">
        <f>IF(B1350="",0,P1350*R1350)</f>
        <v>1.6140807052731528</v>
      </c>
      <c r="T1350" s="85">
        <f>IF(B1350="",0,IF(OR(H1350=MappingTables!$C$34,H1350=MappingTables!$C$35),S1350,0))</f>
        <v>0</v>
      </c>
    </row>
    <row r="1351" spans="2:20" s="0" customFormat="0" ht="15">
      <c r="B1351" s="69">
        <v>16974698</v>
      </c>
      <c r="C1351" s="70" t="s">
        <v>4830</v>
      </c>
      <c r="D1351" s="70" t="s">
        <v>1</v>
      </c>
      <c r="E1351" s="70" t="s">
        <v>1</v>
      </c>
      <c r="F1351" s="70"/>
      <c r="G1351" s="70" t="s">
        <v>61</v>
      </c>
      <c r="H1351" s="70" t="s">
        <v>178</v>
      </c>
      <c r="I1351" s="70" t="s">
        <v>198</v>
      </c>
      <c r="J1351" s="71" t="str">
        <f>IF(OR(I1351=0,I1351=""),"unrated",VLOOKUP(I1351,MappingTables!$B$19:$C$31,2,FALSE))</f>
        <v>unrated</v>
      </c>
      <c r="K1351" s="72">
        <v>459.17445036208128</v>
      </c>
      <c r="L1351" s="70">
        <v>0.055127132942405576</v>
      </c>
      <c r="M1351" s="71">
        <f>IF(L1351&lt;1,1,L1351)</f>
        <v>1</v>
      </c>
      <c r="N1351" s="70" t="s">
        <v>3288</v>
      </c>
      <c r="O1351" s="71">
        <f>IF(OR(I1351=$A$1,I1351=0),"",IF(N1351=MappingTables!$C$14,VLOOKUP(J1351,ModelParameters!$M$8:$N$15,2,FALSE),IF(N1351=MappingTables!$C$16,VLOOKUP(J1351,ModelParameters!$P$8:$Q$15,2,FALSE),0)))</f>
        <v>1</v>
      </c>
      <c r="P1351" s="73">
        <f>IF(OR(I1351=0,I1351=$A$1),0,MIN(O1351*M1351,1)*K1351)</f>
        <v>459.17445036208128</v>
      </c>
      <c r="Q1351" s="73">
        <f>IF(B1351="",0,IF(OR(H1351=MappingTables!$C$34,H1351=MappingTables!$C$35),P1351,0))</f>
        <v>0</v>
      </c>
      <c r="R1351" s="73">
        <f>IF(ISNA(IF(AND(VLOOKUP(CONCATENATE($D1351,$G1351),CSRFinput!$B:$E,4,0)=0,OR(H1351=MappingTables!$C$31,H1351=MappingTables!$C$32)),1,VLOOKUP(CONCATENATE($D1351,$G1351),CSRFinput!$B:$E,4,0))),0,IF(AND(VLOOKUP(CONCATENATE($D1351,$G1351),CSRFinput!$B:$E,4,0)=0,OR(H1351=MappingTables!$C$31,H1351=MappingTables!$C$32)),1,VLOOKUP(CONCATENATE($D1351,$G1351),CSRFinput!$B:$E,4,0)))</f>
        <v>0.054776304963434752</v>
      </c>
      <c r="S1351" s="73">
        <f>IF(B1351="",0,P1351*R1351)</f>
        <v>25.151879724450896</v>
      </c>
      <c r="T1351" s="85">
        <f>IF(B1351="",0,IF(OR(H1351=MappingTables!$C$34,H1351=MappingTables!$C$35),S1351,0))</f>
        <v>0</v>
      </c>
    </row>
    <row r="1352" spans="2:20" s="0" customFormat="0" ht="15">
      <c r="B1352" s="69" t="s">
        <v>3963</v>
      </c>
      <c r="C1352" s="70" t="s">
        <v>3964</v>
      </c>
      <c r="D1352" s="70" t="s">
        <v>1</v>
      </c>
      <c r="E1352" s="70" t="s">
        <v>1</v>
      </c>
      <c r="F1352" s="70"/>
      <c r="G1352" s="70" t="s">
        <v>61</v>
      </c>
      <c r="H1352" s="70" t="s">
        <v>178</v>
      </c>
      <c r="I1352" s="70" t="s">
        <v>204</v>
      </c>
      <c r="J1352" s="71">
        <f>IF(OR(I1352=0,I1352=""),"unrated",VLOOKUP(I1352,MappingTables!$B$19:$C$31,2,FALSE))</f>
        <v>6</v>
      </c>
      <c r="K1352" s="72">
        <v>456.668096201454</v>
      </c>
      <c r="L1352" s="70">
        <v>0.06743068632769168</v>
      </c>
      <c r="M1352" s="71">
        <f>IF(L1352&lt;1,1,L1352)</f>
        <v>1</v>
      </c>
      <c r="N1352" s="70" t="s">
        <v>3288</v>
      </c>
      <c r="O1352" s="71">
        <f>IF(OR(I1352=$A$1,I1352=0),"",IF(N1352=MappingTables!$C$14,VLOOKUP(J1352,ModelParameters!$M$8:$N$15,2,FALSE),IF(N1352=MappingTables!$C$16,VLOOKUP(J1352,ModelParameters!$P$8:$Q$15,2,FALSE),0)))</f>
        <v>1</v>
      </c>
      <c r="P1352" s="73">
        <f>IF(OR(I1352=0,I1352=$A$1),0,MIN(O1352*M1352,1)*K1352)</f>
        <v>456.668096201454</v>
      </c>
      <c r="Q1352" s="73">
        <f>IF(B1352="",0,IF(OR(H1352=MappingTables!$C$34,H1352=MappingTables!$C$35),P1352,0))</f>
        <v>0</v>
      </c>
      <c r="R1352" s="73">
        <f>IF(ISNA(IF(AND(VLOOKUP(CONCATENATE($D1352,$G1352),CSRFinput!$B:$E,4,0)=0,OR(H1352=MappingTables!$C$31,H1352=MappingTables!$C$32)),1,VLOOKUP(CONCATENATE($D1352,$G1352),CSRFinput!$B:$E,4,0))),0,IF(AND(VLOOKUP(CONCATENATE($D1352,$G1352),CSRFinput!$B:$E,4,0)=0,OR(H1352=MappingTables!$C$31,H1352=MappingTables!$C$32)),1,VLOOKUP(CONCATENATE($D1352,$G1352),CSRFinput!$B:$E,4,0)))</f>
        <v>0.054776304963434752</v>
      </c>
      <c r="S1352" s="73">
        <f>IF(B1352="",0,P1352*R1352)</f>
        <v>25.014590904602004</v>
      </c>
      <c r="T1352" s="85">
        <f>IF(B1352="",0,IF(OR(H1352=MappingTables!$C$34,H1352=MappingTables!$C$35),S1352,0))</f>
        <v>0</v>
      </c>
    </row>
    <row r="1353" spans="2:20" s="0" customFormat="0" ht="15">
      <c r="B1353" s="69" t="s">
        <v>3890</v>
      </c>
      <c r="C1353" s="70" t="s">
        <v>3891</v>
      </c>
      <c r="D1353" s="70" t="s">
        <v>1</v>
      </c>
      <c r="E1353" s="70" t="s">
        <v>1</v>
      </c>
      <c r="F1353" s="70"/>
      <c r="G1353" s="70" t="s">
        <v>61</v>
      </c>
      <c r="H1353" s="70" t="s">
        <v>178</v>
      </c>
      <c r="I1353" s="70" t="s">
        <v>3298</v>
      </c>
      <c r="J1353" s="71">
        <f>IF(OR(I1353=0,I1353=""),"unrated",VLOOKUP(I1353,MappingTables!$B$19:$C$31,2,FALSE))</f>
        <v>6</v>
      </c>
      <c r="K1353" s="72">
        <v>79.579367082164672</v>
      </c>
      <c r="L1353" s="70">
        <v>0.068493445297189688</v>
      </c>
      <c r="M1353" s="71">
        <f>IF(L1353&lt;1,1,L1353)</f>
        <v>1</v>
      </c>
      <c r="N1353" s="70" t="s">
        <v>3288</v>
      </c>
      <c r="O1353" s="71">
        <f>IF(OR(I1353=$A$1,I1353=0),"",IF(N1353=MappingTables!$C$14,VLOOKUP(J1353,ModelParameters!$M$8:$N$15,2,FALSE),IF(N1353=MappingTables!$C$16,VLOOKUP(J1353,ModelParameters!$P$8:$Q$15,2,FALSE),0)))</f>
        <v>1</v>
      </c>
      <c r="P1353" s="73">
        <f>IF(OR(I1353=0,I1353=$A$1),0,MIN(O1353*M1353,1)*K1353)</f>
        <v>79.579367082164672</v>
      </c>
      <c r="Q1353" s="73">
        <f>IF(B1353="",0,IF(OR(H1353=MappingTables!$C$34,H1353=MappingTables!$C$35),P1353,0))</f>
        <v>0</v>
      </c>
      <c r="R1353" s="73">
        <f>IF(ISNA(IF(AND(VLOOKUP(CONCATENATE($D1353,$G1353),CSRFinput!$B:$E,4,0)=0,OR(H1353=MappingTables!$C$31,H1353=MappingTables!$C$32)),1,VLOOKUP(CONCATENATE($D1353,$G1353),CSRFinput!$B:$E,4,0))),0,IF(AND(VLOOKUP(CONCATENATE($D1353,$G1353),CSRFinput!$B:$E,4,0)=0,OR(H1353=MappingTables!$C$31,H1353=MappingTables!$C$32)),1,VLOOKUP(CONCATENATE($D1353,$G1353),CSRFinput!$B:$E,4,0)))</f>
        <v>0.054776304963434752</v>
      </c>
      <c r="S1353" s="73">
        <f>IF(B1353="",0,P1353*R1353)</f>
        <v>4.3590636800897728</v>
      </c>
      <c r="T1353" s="85">
        <f>IF(B1353="",0,IF(OR(H1353=MappingTables!$C$34,H1353=MappingTables!$C$35),S1353,0))</f>
        <v>0</v>
      </c>
    </row>
    <row r="1354" spans="2:20" s="0" customFormat="0" ht="15">
      <c r="B1354" s="69" t="s">
        <v>4897</v>
      </c>
      <c r="C1354" s="70" t="s">
        <v>4898</v>
      </c>
      <c r="D1354" s="70" t="s">
        <v>1</v>
      </c>
      <c r="E1354" s="70" t="s">
        <v>1</v>
      </c>
      <c r="F1354" s="70"/>
      <c r="G1354" s="70" t="s">
        <v>61</v>
      </c>
      <c r="H1354" s="70" t="s">
        <v>178</v>
      </c>
      <c r="I1354" s="70" t="s">
        <v>204</v>
      </c>
      <c r="J1354" s="71">
        <f>IF(OR(I1354=0,I1354=""),"unrated",VLOOKUP(I1354,MappingTables!$B$19:$C$31,2,FALSE))</f>
        <v>6</v>
      </c>
      <c r="K1354" s="72">
        <v>97.509649960864672</v>
      </c>
      <c r="L1354" s="70">
        <v>0.068494905272095176</v>
      </c>
      <c r="M1354" s="71">
        <f>IF(L1354&lt;1,1,L1354)</f>
        <v>1</v>
      </c>
      <c r="N1354" s="70" t="s">
        <v>3288</v>
      </c>
      <c r="O1354" s="71">
        <f>IF(OR(I1354=$A$1,I1354=0),"",IF(N1354=MappingTables!$C$14,VLOOKUP(J1354,ModelParameters!$M$8:$N$15,2,FALSE),IF(N1354=MappingTables!$C$16,VLOOKUP(J1354,ModelParameters!$P$8:$Q$15,2,FALSE),0)))</f>
        <v>1</v>
      </c>
      <c r="P1354" s="73">
        <f>IF(OR(I1354=0,I1354=$A$1),0,MIN(O1354*M1354,1)*K1354)</f>
        <v>97.509649960864672</v>
      </c>
      <c r="Q1354" s="73">
        <f>IF(B1354="",0,IF(OR(H1354=MappingTables!$C$34,H1354=MappingTables!$C$35),P1354,0))</f>
        <v>0</v>
      </c>
      <c r="R1354" s="73">
        <f>IF(ISNA(IF(AND(VLOOKUP(CONCATENATE($D1354,$G1354),CSRFinput!$B:$E,4,0)=0,OR(H1354=MappingTables!$C$31,H1354=MappingTables!$C$32)),1,VLOOKUP(CONCATENATE($D1354,$G1354),CSRFinput!$B:$E,4,0))),0,IF(AND(VLOOKUP(CONCATENATE($D1354,$G1354),CSRFinput!$B:$E,4,0)=0,OR(H1354=MappingTables!$C$31,H1354=MappingTables!$C$32)),1,VLOOKUP(CONCATENATE($D1354,$G1354),CSRFinput!$B:$E,4,0)))</f>
        <v>0.054776304963434752</v>
      </c>
      <c r="S1354" s="73">
        <f>IF(B1354="",0,P1354*R1354)</f>
        <v>5.3412183231340976</v>
      </c>
      <c r="T1354" s="85">
        <f>IF(B1354="",0,IF(OR(H1354=MappingTables!$C$34,H1354=MappingTables!$C$35),S1354,0))</f>
        <v>0</v>
      </c>
    </row>
    <row r="1355" spans="2:20" s="0" customFormat="0" ht="15">
      <c r="B1355" s="69" t="s">
        <v>4716</v>
      </c>
      <c r="C1355" s="70" t="s">
        <v>4717</v>
      </c>
      <c r="D1355" s="70" t="s">
        <v>1</v>
      </c>
      <c r="E1355" s="70" t="s">
        <v>1</v>
      </c>
      <c r="F1355" s="70"/>
      <c r="G1355" s="70" t="s">
        <v>61</v>
      </c>
      <c r="H1355" s="70" t="s">
        <v>178</v>
      </c>
      <c r="I1355" s="70" t="s">
        <v>3298</v>
      </c>
      <c r="J1355" s="71">
        <f>IF(OR(I1355=0,I1355=""),"unrated",VLOOKUP(I1355,MappingTables!$B$19:$C$31,2,FALSE))</f>
        <v>6</v>
      </c>
      <c r="K1355" s="72">
        <v>148.04735768198652</v>
      </c>
      <c r="L1355" s="70">
        <v>0.068926395149536888</v>
      </c>
      <c r="M1355" s="71">
        <f>IF(L1355&lt;1,1,L1355)</f>
        <v>1</v>
      </c>
      <c r="N1355" s="70" t="s">
        <v>3288</v>
      </c>
      <c r="O1355" s="71">
        <f>IF(OR(I1355=$A$1,I1355=0),"",IF(N1355=MappingTables!$C$14,VLOOKUP(J1355,ModelParameters!$M$8:$N$15,2,FALSE),IF(N1355=MappingTables!$C$16,VLOOKUP(J1355,ModelParameters!$P$8:$Q$15,2,FALSE),0)))</f>
        <v>1</v>
      </c>
      <c r="P1355" s="73">
        <f>IF(OR(I1355=0,I1355=$A$1),0,MIN(O1355*M1355,1)*K1355)</f>
        <v>148.04735768198652</v>
      </c>
      <c r="Q1355" s="73">
        <f>IF(B1355="",0,IF(OR(H1355=MappingTables!$C$34,H1355=MappingTables!$C$35),P1355,0))</f>
        <v>0</v>
      </c>
      <c r="R1355" s="73">
        <f>IF(ISNA(IF(AND(VLOOKUP(CONCATENATE($D1355,$G1355),CSRFinput!$B:$E,4,0)=0,OR(H1355=MappingTables!$C$31,H1355=MappingTables!$C$32)),1,VLOOKUP(CONCATENATE($D1355,$G1355),CSRFinput!$B:$E,4,0))),0,IF(AND(VLOOKUP(CONCATENATE($D1355,$G1355),CSRFinput!$B:$E,4,0)=0,OR(H1355=MappingTables!$C$31,H1355=MappingTables!$C$32)),1,VLOOKUP(CONCATENATE($D1355,$G1355),CSRFinput!$B:$E,4,0)))</f>
        <v>0.054776304963434752</v>
      </c>
      <c r="S1355" s="73">
        <f>IF(B1355="",0,P1355*R1355)</f>
        <v>8.1094872134191984</v>
      </c>
      <c r="T1355" s="85">
        <f>IF(B1355="",0,IF(OR(H1355=MappingTables!$C$34,H1355=MappingTables!$C$35),S1355,0))</f>
        <v>0</v>
      </c>
    </row>
    <row r="1356" spans="2:20" s="0" customFormat="0" ht="15">
      <c r="B1356" s="69" t="s">
        <v>4909</v>
      </c>
      <c r="C1356" s="70" t="s">
        <v>4910</v>
      </c>
      <c r="D1356" s="70" t="s">
        <v>1</v>
      </c>
      <c r="E1356" s="70" t="s">
        <v>1</v>
      </c>
      <c r="F1356" s="70"/>
      <c r="G1356" s="70" t="s">
        <v>61</v>
      </c>
      <c r="H1356" s="70" t="s">
        <v>178</v>
      </c>
      <c r="I1356" s="70" t="s">
        <v>198</v>
      </c>
      <c r="J1356" s="71" t="str">
        <f>IF(OR(I1356=0,I1356=""),"unrated",VLOOKUP(I1356,MappingTables!$B$19:$C$31,2,FALSE))</f>
        <v>unrated</v>
      </c>
      <c r="K1356" s="72">
        <v>9637.3418658025504</v>
      </c>
      <c r="L1356" s="70">
        <v>11.989088022820508</v>
      </c>
      <c r="M1356" s="71">
        <f>IF(L1356&lt;1,1,L1356)</f>
        <v>11.989088022820508</v>
      </c>
      <c r="N1356" s="70" t="s">
        <v>3288</v>
      </c>
      <c r="O1356" s="71">
        <f>IF(OR(I1356=$A$1,I1356=0),"",IF(N1356=MappingTables!$C$14,VLOOKUP(J1356,ModelParameters!$M$8:$N$15,2,FALSE),IF(N1356=MappingTables!$C$16,VLOOKUP(J1356,ModelParameters!$P$8:$Q$15,2,FALSE),0)))</f>
        <v>1</v>
      </c>
      <c r="P1356" s="73">
        <f>IF(OR(I1356=0,I1356=$A$1),0,MIN(O1356*M1356,1)*K1356)</f>
        <v>9637.3418658025504</v>
      </c>
      <c r="Q1356" s="73">
        <f>IF(B1356="",0,IF(OR(H1356=MappingTables!$C$34,H1356=MappingTables!$C$35),P1356,0))</f>
        <v>0</v>
      </c>
      <c r="R1356" s="73">
        <f>IF(ISNA(IF(AND(VLOOKUP(CONCATENATE($D1356,$G1356),CSRFinput!$B:$E,4,0)=0,OR(H1356=MappingTables!$C$31,H1356=MappingTables!$C$32)),1,VLOOKUP(CONCATENATE($D1356,$G1356),CSRFinput!$B:$E,4,0))),0,IF(AND(VLOOKUP(CONCATENATE($D1356,$G1356),CSRFinput!$B:$E,4,0)=0,OR(H1356=MappingTables!$C$31,H1356=MappingTables!$C$32)),1,VLOOKUP(CONCATENATE($D1356,$G1356),CSRFinput!$B:$E,4,0)))</f>
        <v>0.054776304963434752</v>
      </c>
      <c r="S1356" s="73">
        <f>IF(B1356="",0,P1356*R1356)</f>
        <v>527.89797707807784</v>
      </c>
      <c r="T1356" s="85">
        <f>IF(B1356="",0,IF(OR(H1356=MappingTables!$C$34,H1356=MappingTables!$C$35),S1356,0))</f>
        <v>0</v>
      </c>
    </row>
    <row r="1357" spans="2:20" s="0" customFormat="0" ht="15">
      <c r="B1357" s="69" t="s">
        <v>4911</v>
      </c>
      <c r="C1357" s="70" t="s">
        <v>4912</v>
      </c>
      <c r="D1357" s="70" t="s">
        <v>1</v>
      </c>
      <c r="E1357" s="70" t="s">
        <v>1</v>
      </c>
      <c r="F1357" s="70"/>
      <c r="G1357" s="70" t="s">
        <v>61</v>
      </c>
      <c r="H1357" s="70" t="s">
        <v>178</v>
      </c>
      <c r="I1357" s="70" t="s">
        <v>3298</v>
      </c>
      <c r="J1357" s="71">
        <f>IF(OR(I1357=0,I1357=""),"unrated",VLOOKUP(I1357,MappingTables!$B$19:$C$31,2,FALSE))</f>
        <v>6</v>
      </c>
      <c r="K1357" s="72">
        <v>76.849652378427696</v>
      </c>
      <c r="L1357" s="70">
        <v>0.06849118469350708</v>
      </c>
      <c r="M1357" s="71">
        <f>IF(L1357&lt;1,1,L1357)</f>
        <v>1</v>
      </c>
      <c r="N1357" s="70" t="s">
        <v>3288</v>
      </c>
      <c r="O1357" s="71">
        <f>IF(OR(I1357=$A$1,I1357=0),"",IF(N1357=MappingTables!$C$14,VLOOKUP(J1357,ModelParameters!$M$8:$N$15,2,FALSE),IF(N1357=MappingTables!$C$16,VLOOKUP(J1357,ModelParameters!$P$8:$Q$15,2,FALSE),0)))</f>
        <v>1</v>
      </c>
      <c r="P1357" s="73">
        <f>IF(OR(I1357=0,I1357=$A$1),0,MIN(O1357*M1357,1)*K1357)</f>
        <v>76.849652378427696</v>
      </c>
      <c r="Q1357" s="73">
        <f>IF(B1357="",0,IF(OR(H1357=MappingTables!$C$34,H1357=MappingTables!$C$35),P1357,0))</f>
        <v>0</v>
      </c>
      <c r="R1357" s="73">
        <f>IF(ISNA(IF(AND(VLOOKUP(CONCATENATE($D1357,$G1357),CSRFinput!$B:$E,4,0)=0,OR(H1357=MappingTables!$C$31,H1357=MappingTables!$C$32)),1,VLOOKUP(CONCATENATE($D1357,$G1357),CSRFinput!$B:$E,4,0))),0,IF(AND(VLOOKUP(CONCATENATE($D1357,$G1357),CSRFinput!$B:$E,4,0)=0,OR(H1357=MappingTables!$C$31,H1357=MappingTables!$C$32)),1,VLOOKUP(CONCATENATE($D1357,$G1357),CSRFinput!$B:$E,4,0)))</f>
        <v>0.054776304963434752</v>
      </c>
      <c r="S1357" s="73">
        <f>IF(B1357="",0,P1357*R1357)</f>
        <v>4.209539995014704</v>
      </c>
      <c r="T1357" s="85">
        <f>IF(B1357="",0,IF(OR(H1357=MappingTables!$C$34,H1357=MappingTables!$C$35),S1357,0))</f>
        <v>0</v>
      </c>
    </row>
    <row r="1358" spans="2:20" s="0" customFormat="0" ht="15">
      <c r="B1358" s="69" t="s">
        <v>3463</v>
      </c>
      <c r="C1358" s="70" t="s">
        <v>3464</v>
      </c>
      <c r="D1358" s="70" t="s">
        <v>1</v>
      </c>
      <c r="E1358" s="70" t="s">
        <v>1</v>
      </c>
      <c r="F1358" s="70"/>
      <c r="G1358" s="70" t="s">
        <v>61</v>
      </c>
      <c r="H1358" s="70" t="s">
        <v>178</v>
      </c>
      <c r="I1358" s="70" t="s">
        <v>204</v>
      </c>
      <c r="J1358" s="71">
        <f>IF(OR(I1358=0,I1358=""),"unrated",VLOOKUP(I1358,MappingTables!$B$19:$C$31,2,FALSE))</f>
        <v>6</v>
      </c>
      <c r="K1358" s="72">
        <v>165.73388905128048</v>
      </c>
      <c r="L1358" s="70">
        <v>0.068492412618190944</v>
      </c>
      <c r="M1358" s="71">
        <f>IF(L1358&lt;1,1,L1358)</f>
        <v>1</v>
      </c>
      <c r="N1358" s="70" t="s">
        <v>3288</v>
      </c>
      <c r="O1358" s="71">
        <f>IF(OR(I1358=$A$1,I1358=0),"",IF(N1358=MappingTables!$C$14,VLOOKUP(J1358,ModelParameters!$M$8:$N$15,2,FALSE),IF(N1358=MappingTables!$C$16,VLOOKUP(J1358,ModelParameters!$P$8:$Q$15,2,FALSE),0)))</f>
        <v>1</v>
      </c>
      <c r="P1358" s="73">
        <f>IF(OR(I1358=0,I1358=$A$1),0,MIN(O1358*M1358,1)*K1358)</f>
        <v>165.73388905128048</v>
      </c>
      <c r="Q1358" s="73">
        <f>IF(B1358="",0,IF(OR(H1358=MappingTables!$C$34,H1358=MappingTables!$C$35),P1358,0))</f>
        <v>0</v>
      </c>
      <c r="R1358" s="73">
        <f>IF(ISNA(IF(AND(VLOOKUP(CONCATENATE($D1358,$G1358),CSRFinput!$B:$E,4,0)=0,OR(H1358=MappingTables!$C$31,H1358=MappingTables!$C$32)),1,VLOOKUP(CONCATENATE($D1358,$G1358),CSRFinput!$B:$E,4,0))),0,IF(AND(VLOOKUP(CONCATENATE($D1358,$G1358),CSRFinput!$B:$E,4,0)=0,OR(H1358=MappingTables!$C$31,H1358=MappingTables!$C$32)),1,VLOOKUP(CONCATENATE($D1358,$G1358),CSRFinput!$B:$E,4,0)))</f>
        <v>0.054776304963434752</v>
      </c>
      <c r="S1358" s="73">
        <f>IF(B1358="",0,P1358*R1358)</f>
        <v>9.0782900494489984</v>
      </c>
      <c r="T1358" s="85">
        <f>IF(B1358="",0,IF(OR(H1358=MappingTables!$C$34,H1358=MappingTables!$C$35),S1358,0))</f>
        <v>0</v>
      </c>
    </row>
    <row r="1359" spans="2:20" s="0" customFormat="0" ht="15">
      <c r="B1359" s="69" t="s">
        <v>4498</v>
      </c>
      <c r="C1359" s="70" t="s">
        <v>4499</v>
      </c>
      <c r="D1359" s="70" t="s">
        <v>1</v>
      </c>
      <c r="E1359" s="70" t="s">
        <v>1</v>
      </c>
      <c r="F1359" s="70"/>
      <c r="G1359" s="70" t="s">
        <v>61</v>
      </c>
      <c r="H1359" s="70" t="s">
        <v>178</v>
      </c>
      <c r="I1359" s="70" t="s">
        <v>204</v>
      </c>
      <c r="J1359" s="71">
        <f>IF(OR(I1359=0,I1359=""),"unrated",VLOOKUP(I1359,MappingTables!$B$19:$C$31,2,FALSE))</f>
        <v>6</v>
      </c>
      <c r="K1359" s="72">
        <v>131.5099496925884</v>
      </c>
      <c r="L1359" s="70">
        <v>0.084370370466604576</v>
      </c>
      <c r="M1359" s="71">
        <f>IF(L1359&lt;1,1,L1359)</f>
        <v>1</v>
      </c>
      <c r="N1359" s="70" t="s">
        <v>3288</v>
      </c>
      <c r="O1359" s="71">
        <f>IF(OR(I1359=$A$1,I1359=0),"",IF(N1359=MappingTables!$C$14,VLOOKUP(J1359,ModelParameters!$M$8:$N$15,2,FALSE),IF(N1359=MappingTables!$C$16,VLOOKUP(J1359,ModelParameters!$P$8:$Q$15,2,FALSE),0)))</f>
        <v>1</v>
      </c>
      <c r="P1359" s="73">
        <f>IF(OR(I1359=0,I1359=$A$1),0,MIN(O1359*M1359,1)*K1359)</f>
        <v>131.5099496925884</v>
      </c>
      <c r="Q1359" s="73">
        <f>IF(B1359="",0,IF(OR(H1359=MappingTables!$C$34,H1359=MappingTables!$C$35),P1359,0))</f>
        <v>0</v>
      </c>
      <c r="R1359" s="73">
        <f>IF(ISNA(IF(AND(VLOOKUP(CONCATENATE($D1359,$G1359),CSRFinput!$B:$E,4,0)=0,OR(H1359=MappingTables!$C$31,H1359=MappingTables!$C$32)),1,VLOOKUP(CONCATENATE($D1359,$G1359),CSRFinput!$B:$E,4,0))),0,IF(AND(VLOOKUP(CONCATENATE($D1359,$G1359),CSRFinput!$B:$E,4,0)=0,OR(H1359=MappingTables!$C$31,H1359=MappingTables!$C$32)),1,VLOOKUP(CONCATENATE($D1359,$G1359),CSRFinput!$B:$E,4,0)))</f>
        <v>0.054776304963434752</v>
      </c>
      <c r="S1359" s="73">
        <f>IF(B1359="",0,P1359*R1359)</f>
        <v>7.2036291100871848</v>
      </c>
      <c r="T1359" s="85">
        <f>IF(B1359="",0,IF(OR(H1359=MappingTables!$C$34,H1359=MappingTables!$C$35),S1359,0))</f>
        <v>0</v>
      </c>
    </row>
    <row r="1360" spans="2:20" s="0" customFormat="0" ht="15">
      <c r="B1360" s="69">
        <v>22623666</v>
      </c>
      <c r="C1360" s="70" t="s">
        <v>3541</v>
      </c>
      <c r="D1360" s="70" t="s">
        <v>1</v>
      </c>
      <c r="E1360" s="70" t="s">
        <v>1</v>
      </c>
      <c r="F1360" s="70"/>
      <c r="G1360" s="70" t="s">
        <v>61</v>
      </c>
      <c r="H1360" s="70" t="s">
        <v>178</v>
      </c>
      <c r="I1360" s="70" t="s">
        <v>204</v>
      </c>
      <c r="J1360" s="71">
        <f>IF(OR(I1360=0,I1360=""),"unrated",VLOOKUP(I1360,MappingTables!$B$19:$C$31,2,FALSE))</f>
        <v>6</v>
      </c>
      <c r="K1360" s="72">
        <v>3174.73386334205</v>
      </c>
      <c r="L1360" s="70">
        <v>-0.22404229141333768</v>
      </c>
      <c r="M1360" s="71">
        <f>IF(L1360&lt;1,1,L1360)</f>
        <v>1</v>
      </c>
      <c r="N1360" s="70" t="s">
        <v>3288</v>
      </c>
      <c r="O1360" s="71">
        <f>IF(OR(I1360=$A$1,I1360=0),"",IF(N1360=MappingTables!$C$14,VLOOKUP(J1360,ModelParameters!$M$8:$N$15,2,FALSE),IF(N1360=MappingTables!$C$16,VLOOKUP(J1360,ModelParameters!$P$8:$Q$15,2,FALSE),0)))</f>
        <v>1</v>
      </c>
      <c r="P1360" s="73">
        <f>IF(OR(I1360=0,I1360=$A$1),0,MIN(O1360*M1360,1)*K1360)</f>
        <v>3174.73386334205</v>
      </c>
      <c r="Q1360" s="73">
        <f>IF(B1360="",0,IF(OR(H1360=MappingTables!$C$34,H1360=MappingTables!$C$35),P1360,0))</f>
        <v>0</v>
      </c>
      <c r="R1360" s="73">
        <f>IF(ISNA(IF(AND(VLOOKUP(CONCATENATE($D1360,$G1360),CSRFinput!$B:$E,4,0)=0,OR(H1360=MappingTables!$C$31,H1360=MappingTables!$C$32)),1,VLOOKUP(CONCATENATE($D1360,$G1360),CSRFinput!$B:$E,4,0))),0,IF(AND(VLOOKUP(CONCATENATE($D1360,$G1360),CSRFinput!$B:$E,4,0)=0,OR(H1360=MappingTables!$C$31,H1360=MappingTables!$C$32)),1,VLOOKUP(CONCATENATE($D1360,$G1360),CSRFinput!$B:$E,4,0)))</f>
        <v>0.054776304963434752</v>
      </c>
      <c r="S1360" s="73">
        <f>IF(B1360="",0,P1360*R1360)</f>
        <v>173.90019027616754</v>
      </c>
      <c r="T1360" s="85">
        <f>IF(B1360="",0,IF(OR(H1360=MappingTables!$C$34,H1360=MappingTables!$C$35),S1360,0))</f>
        <v>0</v>
      </c>
    </row>
    <row r="1361" spans="2:20" s="0" customFormat="0" ht="15">
      <c r="B1361" s="69" t="s">
        <v>3823</v>
      </c>
      <c r="C1361" s="70" t="s">
        <v>3824</v>
      </c>
      <c r="D1361" s="70" t="s">
        <v>1</v>
      </c>
      <c r="E1361" s="70" t="s">
        <v>1</v>
      </c>
      <c r="F1361" s="70"/>
      <c r="G1361" s="70" t="s">
        <v>61</v>
      </c>
      <c r="H1361" s="70" t="s">
        <v>178</v>
      </c>
      <c r="I1361" s="70" t="s">
        <v>184</v>
      </c>
      <c r="J1361" s="71">
        <f>IF(OR(I1361=0,I1361=""),"unrated",VLOOKUP(I1361,MappingTables!$B$19:$C$31,2,FALSE))</f>
        <v>5</v>
      </c>
      <c r="K1361" s="72">
        <v>206.05784240989236</v>
      </c>
      <c r="L1361" s="70">
        <v>-0.018615386519367548</v>
      </c>
      <c r="M1361" s="71">
        <f>IF(L1361&lt;1,1,L1361)</f>
        <v>1</v>
      </c>
      <c r="N1361" s="70" t="s">
        <v>3288</v>
      </c>
      <c r="O1361" s="71">
        <f>IF(OR(I1361=$A$1,I1361=0),"",IF(N1361=MappingTables!$C$14,VLOOKUP(J1361,ModelParameters!$M$8:$N$15,2,FALSE),IF(N1361=MappingTables!$C$16,VLOOKUP(J1361,ModelParameters!$P$8:$Q$15,2,FALSE),0)))</f>
        <v>1</v>
      </c>
      <c r="P1361" s="73">
        <f>IF(OR(I1361=0,I1361=$A$1),0,MIN(O1361*M1361,1)*K1361)</f>
        <v>206.05784240989236</v>
      </c>
      <c r="Q1361" s="73">
        <f>IF(B1361="",0,IF(OR(H1361=MappingTables!$C$34,H1361=MappingTables!$C$35),P1361,0))</f>
        <v>0</v>
      </c>
      <c r="R1361" s="73">
        <f>IF(ISNA(IF(AND(VLOOKUP(CONCATENATE($D1361,$G1361),CSRFinput!$B:$E,4,0)=0,OR(H1361=MappingTables!$C$31,H1361=MappingTables!$C$32)),1,VLOOKUP(CONCATENATE($D1361,$G1361),CSRFinput!$B:$E,4,0))),0,IF(AND(VLOOKUP(CONCATENATE($D1361,$G1361),CSRFinput!$B:$E,4,0)=0,OR(H1361=MappingTables!$C$31,H1361=MappingTables!$C$32)),1,VLOOKUP(CONCATENATE($D1361,$G1361),CSRFinput!$B:$E,4,0)))</f>
        <v>0.054776304963434752</v>
      </c>
      <c r="S1361" s="73">
        <f>IF(B1361="",0,P1361*R1361)</f>
        <v>11.287087215951644</v>
      </c>
      <c r="T1361" s="85">
        <f>IF(B1361="",0,IF(OR(H1361=MappingTables!$C$34,H1361=MappingTables!$C$35),S1361,0))</f>
        <v>0</v>
      </c>
    </row>
    <row r="1362" spans="2:20" s="0" customFormat="0" ht="15">
      <c r="B1362" s="69" t="s">
        <v>4913</v>
      </c>
      <c r="C1362" s="70" t="s">
        <v>4914</v>
      </c>
      <c r="D1362" s="70" t="s">
        <v>1</v>
      </c>
      <c r="E1362" s="70" t="s">
        <v>1</v>
      </c>
      <c r="F1362" s="70"/>
      <c r="G1362" s="70" t="s">
        <v>61</v>
      </c>
      <c r="H1362" s="70" t="s">
        <v>178</v>
      </c>
      <c r="I1362" s="70" t="s">
        <v>181</v>
      </c>
      <c r="J1362" s="71">
        <f>IF(OR(I1362=0,I1362=""),"unrated",VLOOKUP(I1362,MappingTables!$B$19:$C$31,2,FALSE))</f>
        <v>3</v>
      </c>
      <c r="K1362" s="72">
        <v>50.103704665200784</v>
      </c>
      <c r="L1362" s="70">
        <v>0.068494812096444744</v>
      </c>
      <c r="M1362" s="71">
        <f>IF(L1362&lt;1,1,L1362)</f>
        <v>1</v>
      </c>
      <c r="N1362" s="70" t="s">
        <v>3288</v>
      </c>
      <c r="O1362" s="71">
        <f>IF(OR(I1362=$A$1,I1362=0),"",IF(N1362=MappingTables!$C$14,VLOOKUP(J1362,ModelParameters!$M$8:$N$15,2,FALSE),IF(N1362=MappingTables!$C$16,VLOOKUP(J1362,ModelParameters!$P$8:$Q$15,2,FALSE),0)))</f>
        <v>0.197</v>
      </c>
      <c r="P1362" s="73">
        <f>IF(OR(I1362=0,I1362=$A$1),0,MIN(O1362*M1362,1)*K1362)</f>
        <v>9.8704298190445552</v>
      </c>
      <c r="Q1362" s="73">
        <f>IF(B1362="",0,IF(OR(H1362=MappingTables!$C$34,H1362=MappingTables!$C$35),P1362,0))</f>
        <v>0</v>
      </c>
      <c r="R1362" s="73">
        <f>IF(ISNA(IF(AND(VLOOKUP(CONCATENATE($D1362,$G1362),CSRFinput!$B:$E,4,0)=0,OR(H1362=MappingTables!$C$31,H1362=MappingTables!$C$32)),1,VLOOKUP(CONCATENATE($D1362,$G1362),CSRFinput!$B:$E,4,0))),0,IF(AND(VLOOKUP(CONCATENATE($D1362,$G1362),CSRFinput!$B:$E,4,0)=0,OR(H1362=MappingTables!$C$31,H1362=MappingTables!$C$32)),1,VLOOKUP(CONCATENATE($D1362,$G1362),CSRFinput!$B:$E,4,0)))</f>
        <v>0.054776304963434752</v>
      </c>
      <c r="S1362" s="73">
        <f>IF(B1362="",0,P1362*R1362)</f>
        <v>0.54066567388816464</v>
      </c>
      <c r="T1362" s="85">
        <f>IF(B1362="",0,IF(OR(H1362=MappingTables!$C$34,H1362=MappingTables!$C$35),S1362,0))</f>
        <v>0</v>
      </c>
    </row>
    <row r="1363" spans="2:20" s="0" customFormat="0" ht="15">
      <c r="B1363" s="69" t="s">
        <v>3612</v>
      </c>
      <c r="C1363" s="70" t="s">
        <v>3613</v>
      </c>
      <c r="D1363" s="70" t="s">
        <v>1</v>
      </c>
      <c r="E1363" s="70" t="s">
        <v>1</v>
      </c>
      <c r="F1363" s="70"/>
      <c r="G1363" s="70" t="s">
        <v>61</v>
      </c>
      <c r="H1363" s="70" t="s">
        <v>178</v>
      </c>
      <c r="I1363" s="70" t="s">
        <v>179</v>
      </c>
      <c r="J1363" s="71">
        <f>IF(OR(I1363=0,I1363=""),"unrated",VLOOKUP(I1363,MappingTables!$B$19:$C$31,2,FALSE))</f>
        <v>4</v>
      </c>
      <c r="K1363" s="72">
        <v>40.572923653775952</v>
      </c>
      <c r="L1363" s="70">
        <v>0.06848866717174268</v>
      </c>
      <c r="M1363" s="71">
        <f>IF(L1363&lt;1,1,L1363)</f>
        <v>1</v>
      </c>
      <c r="N1363" s="70" t="s">
        <v>3288</v>
      </c>
      <c r="O1363" s="71">
        <f>IF(OR(I1363=$A$1,I1363=0),"",IF(N1363=MappingTables!$C$14,VLOOKUP(J1363,ModelParameters!$M$8:$N$15,2,FALSE),IF(N1363=MappingTables!$C$16,VLOOKUP(J1363,ModelParameters!$P$8:$Q$15,2,FALSE),0)))</f>
        <v>0.82</v>
      </c>
      <c r="P1363" s="73">
        <f>IF(OR(I1363=0,I1363=$A$1),0,MIN(O1363*M1363,1)*K1363)</f>
        <v>33.26979739609628</v>
      </c>
      <c r="Q1363" s="73">
        <f>IF(B1363="",0,IF(OR(H1363=MappingTables!$C$34,H1363=MappingTables!$C$35),P1363,0))</f>
        <v>0</v>
      </c>
      <c r="R1363" s="73">
        <f>IF(ISNA(IF(AND(VLOOKUP(CONCATENATE($D1363,$G1363),CSRFinput!$B:$E,4,0)=0,OR(H1363=MappingTables!$C$31,H1363=MappingTables!$C$32)),1,VLOOKUP(CONCATENATE($D1363,$G1363),CSRFinput!$B:$E,4,0))),0,IF(AND(VLOOKUP(CONCATENATE($D1363,$G1363),CSRFinput!$B:$E,4,0)=0,OR(H1363=MappingTables!$C$31,H1363=MappingTables!$C$32)),1,VLOOKUP(CONCATENATE($D1363,$G1363),CSRFinput!$B:$E,4,0)))</f>
        <v>0.054776304963434752</v>
      </c>
      <c r="S1363" s="73">
        <f>IF(B1363="",0,P1363*R1363)</f>
        <v>1.8223965682402572</v>
      </c>
      <c r="T1363" s="85">
        <f>IF(B1363="",0,IF(OR(H1363=MappingTables!$C$34,H1363=MappingTables!$C$35),S1363,0))</f>
        <v>0</v>
      </c>
    </row>
    <row r="1364" spans="2:20" s="0" customFormat="0" ht="15">
      <c r="B1364" s="69" t="s">
        <v>4851</v>
      </c>
      <c r="C1364" s="70" t="s">
        <v>4852</v>
      </c>
      <c r="D1364" s="70" t="s">
        <v>1</v>
      </c>
      <c r="E1364" s="70" t="s">
        <v>1</v>
      </c>
      <c r="F1364" s="70"/>
      <c r="G1364" s="70" t="s">
        <v>61</v>
      </c>
      <c r="H1364" s="70" t="s">
        <v>178</v>
      </c>
      <c r="I1364" s="70" t="s">
        <v>3298</v>
      </c>
      <c r="J1364" s="71">
        <f>IF(OR(I1364=0,I1364=""),"unrated",VLOOKUP(I1364,MappingTables!$B$19:$C$31,2,FALSE))</f>
        <v>6</v>
      </c>
      <c r="K1364" s="72">
        <v>1689.0662257402324</v>
      </c>
      <c r="L1364" s="70">
        <v>-0.13342628546349942</v>
      </c>
      <c r="M1364" s="71">
        <f>IF(L1364&lt;1,1,L1364)</f>
        <v>1</v>
      </c>
      <c r="N1364" s="70" t="s">
        <v>3288</v>
      </c>
      <c r="O1364" s="71">
        <f>IF(OR(I1364=$A$1,I1364=0),"",IF(N1364=MappingTables!$C$14,VLOOKUP(J1364,ModelParameters!$M$8:$N$15,2,FALSE),IF(N1364=MappingTables!$C$16,VLOOKUP(J1364,ModelParameters!$P$8:$Q$15,2,FALSE),0)))</f>
        <v>1</v>
      </c>
      <c r="P1364" s="73">
        <f>IF(OR(I1364=0,I1364=$A$1),0,MIN(O1364*M1364,1)*K1364)</f>
        <v>1689.0662257402324</v>
      </c>
      <c r="Q1364" s="73">
        <f>IF(B1364="",0,IF(OR(H1364=MappingTables!$C$34,H1364=MappingTables!$C$35),P1364,0))</f>
        <v>0</v>
      </c>
      <c r="R1364" s="73">
        <f>IF(ISNA(IF(AND(VLOOKUP(CONCATENATE($D1364,$G1364),CSRFinput!$B:$E,4,0)=0,OR(H1364=MappingTables!$C$31,H1364=MappingTables!$C$32)),1,VLOOKUP(CONCATENATE($D1364,$G1364),CSRFinput!$B:$E,4,0))),0,IF(AND(VLOOKUP(CONCATENATE($D1364,$G1364),CSRFinput!$B:$E,4,0)=0,OR(H1364=MappingTables!$C$31,H1364=MappingTables!$C$32)),1,VLOOKUP(CONCATENATE($D1364,$G1364),CSRFinput!$B:$E,4,0)))</f>
        <v>0.054776304963434752</v>
      </c>
      <c r="S1364" s="73">
        <f>IF(B1364="",0,P1364*R1364)</f>
        <v>92.520806684584704</v>
      </c>
      <c r="T1364" s="85">
        <f>IF(B1364="",0,IF(OR(H1364=MappingTables!$C$34,H1364=MappingTables!$C$35),S1364,0))</f>
        <v>0</v>
      </c>
    </row>
    <row r="1365" spans="2:20" s="0" customFormat="0" ht="15">
      <c r="B1365" s="69">
        <v>22554533</v>
      </c>
      <c r="C1365" s="70" t="s">
        <v>3488</v>
      </c>
      <c r="D1365" s="70" t="s">
        <v>1</v>
      </c>
      <c r="E1365" s="70" t="s">
        <v>1</v>
      </c>
      <c r="F1365" s="70"/>
      <c r="G1365" s="70" t="s">
        <v>61</v>
      </c>
      <c r="H1365" s="70" t="s">
        <v>178</v>
      </c>
      <c r="I1365" s="70" t="s">
        <v>198</v>
      </c>
      <c r="J1365" s="71" t="str">
        <f>IF(OR(I1365=0,I1365=""),"unrated",VLOOKUP(I1365,MappingTables!$B$19:$C$31,2,FALSE))</f>
        <v>unrated</v>
      </c>
      <c r="K1365" s="72">
        <v>356.08347966965176</v>
      </c>
      <c r="L1365" s="70">
        <v>0.47913426397756752</v>
      </c>
      <c r="M1365" s="71">
        <f>IF(L1365&lt;1,1,L1365)</f>
        <v>1</v>
      </c>
      <c r="N1365" s="70" t="s">
        <v>3288</v>
      </c>
      <c r="O1365" s="71">
        <f>IF(OR(I1365=$A$1,I1365=0),"",IF(N1365=MappingTables!$C$14,VLOOKUP(J1365,ModelParameters!$M$8:$N$15,2,FALSE),IF(N1365=MappingTables!$C$16,VLOOKUP(J1365,ModelParameters!$P$8:$Q$15,2,FALSE),0)))</f>
        <v>1</v>
      </c>
      <c r="P1365" s="73">
        <f>IF(OR(I1365=0,I1365=$A$1),0,MIN(O1365*M1365,1)*K1365)</f>
        <v>356.08347966965176</v>
      </c>
      <c r="Q1365" s="73">
        <f>IF(B1365="",0,IF(OR(H1365=MappingTables!$C$34,H1365=MappingTables!$C$35),P1365,0))</f>
        <v>0</v>
      </c>
      <c r="R1365" s="73">
        <f>IF(ISNA(IF(AND(VLOOKUP(CONCATENATE($D1365,$G1365),CSRFinput!$B:$E,4,0)=0,OR(H1365=MappingTables!$C$31,H1365=MappingTables!$C$32)),1,VLOOKUP(CONCATENATE($D1365,$G1365),CSRFinput!$B:$E,4,0))),0,IF(AND(VLOOKUP(CONCATENATE($D1365,$G1365),CSRFinput!$B:$E,4,0)=0,OR(H1365=MappingTables!$C$31,H1365=MappingTables!$C$32)),1,VLOOKUP(CONCATENATE($D1365,$G1365),CSRFinput!$B:$E,4,0)))</f>
        <v>0.054776304963434752</v>
      </c>
      <c r="S1365" s="73">
        <f>IF(B1365="",0,P1365*R1365)</f>
        <v>19.504937274825864</v>
      </c>
      <c r="T1365" s="85">
        <f>IF(B1365="",0,IF(OR(H1365=MappingTables!$C$34,H1365=MappingTables!$C$35),S1365,0))</f>
        <v>0</v>
      </c>
    </row>
    <row r="1366" spans="2:20" s="0" customFormat="0" ht="15">
      <c r="B1366" s="69" t="s">
        <v>4915</v>
      </c>
      <c r="C1366" s="70" t="s">
        <v>4916</v>
      </c>
      <c r="D1366" s="70" t="s">
        <v>1</v>
      </c>
      <c r="E1366" s="70" t="s">
        <v>1</v>
      </c>
      <c r="F1366" s="70"/>
      <c r="G1366" s="70" t="s">
        <v>61</v>
      </c>
      <c r="H1366" s="70" t="s">
        <v>178</v>
      </c>
      <c r="I1366" s="70" t="s">
        <v>3298</v>
      </c>
      <c r="J1366" s="71">
        <f>IF(OR(I1366=0,I1366=""),"unrated",VLOOKUP(I1366,MappingTables!$B$19:$C$31,2,FALSE))</f>
        <v>6</v>
      </c>
      <c r="K1366" s="72">
        <v>23.834227798395368</v>
      </c>
      <c r="L1366" s="70">
        <v>0.068489824205266112</v>
      </c>
      <c r="M1366" s="71">
        <f>IF(L1366&lt;1,1,L1366)</f>
        <v>1</v>
      </c>
      <c r="N1366" s="70" t="s">
        <v>3288</v>
      </c>
      <c r="O1366" s="71">
        <f>IF(OR(I1366=$A$1,I1366=0),"",IF(N1366=MappingTables!$C$14,VLOOKUP(J1366,ModelParameters!$M$8:$N$15,2,FALSE),IF(N1366=MappingTables!$C$16,VLOOKUP(J1366,ModelParameters!$P$8:$Q$15,2,FALSE),0)))</f>
        <v>1</v>
      </c>
      <c r="P1366" s="73">
        <f>IF(OR(I1366=0,I1366=$A$1),0,MIN(O1366*M1366,1)*K1366)</f>
        <v>23.834227798395368</v>
      </c>
      <c r="Q1366" s="73">
        <f>IF(B1366="",0,IF(OR(H1366=MappingTables!$C$34,H1366=MappingTables!$C$35),P1366,0))</f>
        <v>0</v>
      </c>
      <c r="R1366" s="73">
        <f>IF(ISNA(IF(AND(VLOOKUP(CONCATENATE($D1366,$G1366),CSRFinput!$B:$E,4,0)=0,OR(H1366=MappingTables!$C$31,H1366=MappingTables!$C$32)),1,VLOOKUP(CONCATENATE($D1366,$G1366),CSRFinput!$B:$E,4,0))),0,IF(AND(VLOOKUP(CONCATENATE($D1366,$G1366),CSRFinput!$B:$E,4,0)=0,OR(H1366=MappingTables!$C$31,H1366=MappingTables!$C$32)),1,VLOOKUP(CONCATENATE($D1366,$G1366),CSRFinput!$B:$E,4,0)))</f>
        <v>0.054776304963434752</v>
      </c>
      <c r="S1366" s="73">
        <f>IF(B1366="",0,P1366*R1366)</f>
        <v>1.3055509304528788</v>
      </c>
      <c r="T1366" s="85">
        <f>IF(B1366="",0,IF(OR(H1366=MappingTables!$C$34,H1366=MappingTables!$C$35),S1366,0))</f>
        <v>0</v>
      </c>
    </row>
    <row r="1367" spans="2:20" s="0" customFormat="0" ht="15">
      <c r="B1367" s="69">
        <v>22554518</v>
      </c>
      <c r="C1367" s="70" t="s">
        <v>3885</v>
      </c>
      <c r="D1367" s="70" t="s">
        <v>1</v>
      </c>
      <c r="E1367" s="70" t="s">
        <v>1</v>
      </c>
      <c r="F1367" s="70"/>
      <c r="G1367" s="70" t="s">
        <v>61</v>
      </c>
      <c r="H1367" s="70" t="s">
        <v>178</v>
      </c>
      <c r="I1367" s="70" t="s">
        <v>216</v>
      </c>
      <c r="J1367" s="71">
        <f>IF(OR(I1367=0,I1367=""),"unrated",VLOOKUP(I1367,MappingTables!$B$19:$C$31,2,FALSE))</f>
        <v>0</v>
      </c>
      <c r="K1367" s="72">
        <v>0.79368434157103056</v>
      </c>
      <c r="L1367" s="70">
        <v>0.049376991486078656</v>
      </c>
      <c r="M1367" s="71">
        <f>IF(L1367&lt;1,1,L1367)</f>
        <v>1</v>
      </c>
      <c r="N1367" s="70" t="s">
        <v>3288</v>
      </c>
      <c r="O1367" s="71">
        <f>IF(OR(I1367=$A$1,I1367=0),"",IF(N1367=MappingTables!$C$14,VLOOKUP(J1367,ModelParameters!$M$8:$N$15,2,FALSE),IF(N1367=MappingTables!$C$16,VLOOKUP(J1367,ModelParameters!$P$8:$Q$15,2,FALSE),0)))</f>
        <v>0.125</v>
      </c>
      <c r="P1367" s="73">
        <f>IF(OR(I1367=0,I1367=$A$1),0,MIN(O1367*M1367,1)*K1367)</f>
        <v>0.099210542696378816</v>
      </c>
      <c r="Q1367" s="73">
        <f>IF(B1367="",0,IF(OR(H1367=MappingTables!$C$34,H1367=MappingTables!$C$35),P1367,0))</f>
        <v>0</v>
      </c>
      <c r="R1367" s="73">
        <f>IF(ISNA(IF(AND(VLOOKUP(CONCATENATE($D1367,$G1367),CSRFinput!$B:$E,4,0)=0,OR(H1367=MappingTables!$C$31,H1367=MappingTables!$C$32)),1,VLOOKUP(CONCATENATE($D1367,$G1367),CSRFinput!$B:$E,4,0))),0,IF(AND(VLOOKUP(CONCATENATE($D1367,$G1367),CSRFinput!$B:$E,4,0)=0,OR(H1367=MappingTables!$C$31,H1367=MappingTables!$C$32)),1,VLOOKUP(CONCATENATE($D1367,$G1367),CSRFinput!$B:$E,4,0)))</f>
        <v>0.054776304963434752</v>
      </c>
      <c r="S1367" s="73">
        <f>IF(B1367="",0,P1367*R1367)</f>
        <v>0.0054343869423247104</v>
      </c>
      <c r="T1367" s="85">
        <f>IF(B1367="",0,IF(OR(H1367=MappingTables!$C$34,H1367=MappingTables!$C$35),S1367,0))</f>
        <v>0</v>
      </c>
    </row>
    <row r="1368" spans="2:20" s="0" customFormat="0" ht="15">
      <c r="B1368" s="69" t="s">
        <v>4312</v>
      </c>
      <c r="C1368" s="70" t="s">
        <v>4313</v>
      </c>
      <c r="D1368" s="70" t="s">
        <v>1</v>
      </c>
      <c r="E1368" s="70" t="s">
        <v>1</v>
      </c>
      <c r="F1368" s="70"/>
      <c r="G1368" s="70" t="s">
        <v>61</v>
      </c>
      <c r="H1368" s="70" t="s">
        <v>178</v>
      </c>
      <c r="I1368" s="70" t="s">
        <v>198</v>
      </c>
      <c r="J1368" s="71" t="str">
        <f>IF(OR(I1368=0,I1368=""),"unrated",VLOOKUP(I1368,MappingTables!$B$19:$C$31,2,FALSE))</f>
        <v>unrated</v>
      </c>
      <c r="K1368" s="72">
        <v>53.94400292291024</v>
      </c>
      <c r="L1368" s="70">
        <v>-0.32929500319486892</v>
      </c>
      <c r="M1368" s="71">
        <f>IF(L1368&lt;1,1,L1368)</f>
        <v>1</v>
      </c>
      <c r="N1368" s="70" t="s">
        <v>3288</v>
      </c>
      <c r="O1368" s="71">
        <f>IF(OR(I1368=$A$1,I1368=0),"",IF(N1368=MappingTables!$C$14,VLOOKUP(J1368,ModelParameters!$M$8:$N$15,2,FALSE),IF(N1368=MappingTables!$C$16,VLOOKUP(J1368,ModelParameters!$P$8:$Q$15,2,FALSE),0)))</f>
        <v>1</v>
      </c>
      <c r="P1368" s="73">
        <f>IF(OR(I1368=0,I1368=$A$1),0,MIN(O1368*M1368,1)*K1368)</f>
        <v>53.94400292291024</v>
      </c>
      <c r="Q1368" s="73">
        <f>IF(B1368="",0,IF(OR(H1368=MappingTables!$C$34,H1368=MappingTables!$C$35),P1368,0))</f>
        <v>0</v>
      </c>
      <c r="R1368" s="73">
        <f>IF(ISNA(IF(AND(VLOOKUP(CONCATENATE($D1368,$G1368),CSRFinput!$B:$E,4,0)=0,OR(H1368=MappingTables!$C$31,H1368=MappingTables!$C$32)),1,VLOOKUP(CONCATENATE($D1368,$G1368),CSRFinput!$B:$E,4,0))),0,IF(AND(VLOOKUP(CONCATENATE($D1368,$G1368),CSRFinput!$B:$E,4,0)=0,OR(H1368=MappingTables!$C$31,H1368=MappingTables!$C$32)),1,VLOOKUP(CONCATENATE($D1368,$G1368),CSRFinput!$B:$E,4,0)))</f>
        <v>0.054776304963434752</v>
      </c>
      <c r="S1368" s="73">
        <f>IF(B1368="",0,P1368*R1368)</f>
        <v>2.9548531550537468</v>
      </c>
      <c r="T1368" s="85">
        <f>IF(B1368="",0,IF(OR(H1368=MappingTables!$C$34,H1368=MappingTables!$C$35),S1368,0))</f>
        <v>0</v>
      </c>
    </row>
    <row r="1369" spans="2:20" s="0" customFormat="0" ht="15">
      <c r="B1369" s="69">
        <v>4138940</v>
      </c>
      <c r="C1369" s="70" t="s">
        <v>4202</v>
      </c>
      <c r="D1369" s="70" t="s">
        <v>1</v>
      </c>
      <c r="E1369" s="70" t="s">
        <v>1</v>
      </c>
      <c r="F1369" s="70"/>
      <c r="G1369" s="70" t="s">
        <v>61</v>
      </c>
      <c r="H1369" s="70" t="s">
        <v>178</v>
      </c>
      <c r="I1369" s="70" t="s">
        <v>198</v>
      </c>
      <c r="J1369" s="71" t="str">
        <f>IF(OR(I1369=0,I1369=""),"unrated",VLOOKUP(I1369,MappingTables!$B$19:$C$31,2,FALSE))</f>
        <v>unrated</v>
      </c>
      <c r="K1369" s="72">
        <v>15.590403450448522</v>
      </c>
      <c r="L1369" s="70">
        <v>0.0684952127089362</v>
      </c>
      <c r="M1369" s="71">
        <f>IF(L1369&lt;1,1,L1369)</f>
        <v>1</v>
      </c>
      <c r="N1369" s="70" t="s">
        <v>3288</v>
      </c>
      <c r="O1369" s="71">
        <f>IF(OR(I1369=$A$1,I1369=0),"",IF(N1369=MappingTables!$C$14,VLOOKUP(J1369,ModelParameters!$M$8:$N$15,2,FALSE),IF(N1369=MappingTables!$C$16,VLOOKUP(J1369,ModelParameters!$P$8:$Q$15,2,FALSE),0)))</f>
        <v>1</v>
      </c>
      <c r="P1369" s="73">
        <f>IF(OR(I1369=0,I1369=$A$1),0,MIN(O1369*M1369,1)*K1369)</f>
        <v>15.590403450448522</v>
      </c>
      <c r="Q1369" s="73">
        <f>IF(B1369="",0,IF(OR(H1369=MappingTables!$C$34,H1369=MappingTables!$C$35),P1369,0))</f>
        <v>0</v>
      </c>
      <c r="R1369" s="73">
        <f>IF(ISNA(IF(AND(VLOOKUP(CONCATENATE($D1369,$G1369),CSRFinput!$B:$E,4,0)=0,OR(H1369=MappingTables!$C$31,H1369=MappingTables!$C$32)),1,VLOOKUP(CONCATENATE($D1369,$G1369),CSRFinput!$B:$E,4,0))),0,IF(AND(VLOOKUP(CONCATENATE($D1369,$G1369),CSRFinput!$B:$E,4,0)=0,OR(H1369=MappingTables!$C$31,H1369=MappingTables!$C$32)),1,VLOOKUP(CONCATENATE($D1369,$G1369),CSRFinput!$B:$E,4,0)))</f>
        <v>0.054776304963434752</v>
      </c>
      <c r="S1369" s="73">
        <f>IF(B1369="",0,P1369*R1369)</f>
        <v>0.8539846939047536</v>
      </c>
      <c r="T1369" s="85">
        <f>IF(B1369="",0,IF(OR(H1369=MappingTables!$C$34,H1369=MappingTables!$C$35),S1369,0))</f>
        <v>0</v>
      </c>
    </row>
    <row r="1370" spans="2:20" s="0" customFormat="0" ht="15">
      <c r="B1370" s="69" t="s">
        <v>3956</v>
      </c>
      <c r="C1370" s="70" t="s">
        <v>3957</v>
      </c>
      <c r="D1370" s="70" t="s">
        <v>1</v>
      </c>
      <c r="E1370" s="70" t="s">
        <v>1</v>
      </c>
      <c r="F1370" s="70"/>
      <c r="G1370" s="70" t="s">
        <v>61</v>
      </c>
      <c r="H1370" s="70" t="s">
        <v>178</v>
      </c>
      <c r="I1370" s="70" t="s">
        <v>216</v>
      </c>
      <c r="J1370" s="71">
        <f>IF(OR(I1370=0,I1370=""),"unrated",VLOOKUP(I1370,MappingTables!$B$19:$C$31,2,FALSE))</f>
        <v>0</v>
      </c>
      <c r="K1370" s="72">
        <v>449.312482014702</v>
      </c>
      <c r="L1370" s="70">
        <v>-0.10334836429152288</v>
      </c>
      <c r="M1370" s="71">
        <f>IF(L1370&lt;1,1,L1370)</f>
        <v>1</v>
      </c>
      <c r="N1370" s="70" t="s">
        <v>3288</v>
      </c>
      <c r="O1370" s="71">
        <f>IF(OR(I1370=$A$1,I1370=0),"",IF(N1370=MappingTables!$C$14,VLOOKUP(J1370,ModelParameters!$M$8:$N$15,2,FALSE),IF(N1370=MappingTables!$C$16,VLOOKUP(J1370,ModelParameters!$P$8:$Q$15,2,FALSE),0)))</f>
        <v>0.125</v>
      </c>
      <c r="P1370" s="73">
        <f>IF(OR(I1370=0,I1370=$A$1),0,MIN(O1370*M1370,1)*K1370)</f>
        <v>56.164060251837752</v>
      </c>
      <c r="Q1370" s="73">
        <f>IF(B1370="",0,IF(OR(H1370=MappingTables!$C$34,H1370=MappingTables!$C$35),P1370,0))</f>
        <v>0</v>
      </c>
      <c r="R1370" s="73">
        <f>IF(ISNA(IF(AND(VLOOKUP(CONCATENATE($D1370,$G1370),CSRFinput!$B:$E,4,0)=0,OR(H1370=MappingTables!$C$31,H1370=MappingTables!$C$32)),1,VLOOKUP(CONCATENATE($D1370,$G1370),CSRFinput!$B:$E,4,0))),0,IF(AND(VLOOKUP(CONCATENATE($D1370,$G1370),CSRFinput!$B:$E,4,0)=0,OR(H1370=MappingTables!$C$31,H1370=MappingTables!$C$32)),1,VLOOKUP(CONCATENATE($D1370,$G1370),CSRFinput!$B:$E,4,0)))</f>
        <v>0.054776304963434752</v>
      </c>
      <c r="S1370" s="73">
        <f>IF(B1370="",0,P1370*R1370)</f>
        <v>3.0764596923393888</v>
      </c>
      <c r="T1370" s="85">
        <f>IF(B1370="",0,IF(OR(H1370=MappingTables!$C$34,H1370=MappingTables!$C$35),S1370,0))</f>
        <v>0</v>
      </c>
    </row>
    <row r="1371" spans="2:20" s="0" customFormat="0" ht="15">
      <c r="B1371" s="69" t="s">
        <v>4180</v>
      </c>
      <c r="C1371" s="70" t="s">
        <v>4181</v>
      </c>
      <c r="D1371" s="70" t="s">
        <v>1</v>
      </c>
      <c r="E1371" s="70" t="s">
        <v>1</v>
      </c>
      <c r="F1371" s="70"/>
      <c r="G1371" s="70" t="s">
        <v>61</v>
      </c>
      <c r="H1371" s="70" t="s">
        <v>178</v>
      </c>
      <c r="I1371" s="70" t="s">
        <v>179</v>
      </c>
      <c r="J1371" s="71">
        <f>IF(OR(I1371=0,I1371=""),"unrated",VLOOKUP(I1371,MappingTables!$B$19:$C$31,2,FALSE))</f>
        <v>4</v>
      </c>
      <c r="K1371" s="72">
        <v>2705.9793983354692</v>
      </c>
      <c r="L1371" s="70">
        <v>0.063976301101945616</v>
      </c>
      <c r="M1371" s="71">
        <f>IF(L1371&lt;1,1,L1371)</f>
        <v>1</v>
      </c>
      <c r="N1371" s="70" t="s">
        <v>3288</v>
      </c>
      <c r="O1371" s="71">
        <f>IF(OR(I1371=$A$1,I1371=0),"",IF(N1371=MappingTables!$C$14,VLOOKUP(J1371,ModelParameters!$M$8:$N$15,2,FALSE),IF(N1371=MappingTables!$C$16,VLOOKUP(J1371,ModelParameters!$P$8:$Q$15,2,FALSE),0)))</f>
        <v>0.82</v>
      </c>
      <c r="P1371" s="73">
        <f>IF(OR(I1371=0,I1371=$A$1),0,MIN(O1371*M1371,1)*K1371)</f>
        <v>2218.9031066350848</v>
      </c>
      <c r="Q1371" s="73">
        <f>IF(B1371="",0,IF(OR(H1371=MappingTables!$C$34,H1371=MappingTables!$C$35),P1371,0))</f>
        <v>0</v>
      </c>
      <c r="R1371" s="73">
        <f>IF(ISNA(IF(AND(VLOOKUP(CONCATENATE($D1371,$G1371),CSRFinput!$B:$E,4,0)=0,OR(H1371=MappingTables!$C$31,H1371=MappingTables!$C$32)),1,VLOOKUP(CONCATENATE($D1371,$G1371),CSRFinput!$B:$E,4,0))),0,IF(AND(VLOOKUP(CONCATENATE($D1371,$G1371),CSRFinput!$B:$E,4,0)=0,OR(H1371=MappingTables!$C$31,H1371=MappingTables!$C$32)),1,VLOOKUP(CONCATENATE($D1371,$G1371),CSRFinput!$B:$E,4,0)))</f>
        <v>0.054776304963434752</v>
      </c>
      <c r="S1371" s="73">
        <f>IF(B1371="",0,P1371*R1371)</f>
        <v>121.54331325335618</v>
      </c>
      <c r="T1371" s="85">
        <f>IF(B1371="",0,IF(OR(H1371=MappingTables!$C$34,H1371=MappingTables!$C$35),S1371,0))</f>
        <v>0</v>
      </c>
    </row>
    <row r="1372" spans="2:20" s="0" customFormat="0" ht="15">
      <c r="B1372" s="69" t="s">
        <v>4917</v>
      </c>
      <c r="C1372" s="70" t="s">
        <v>4918</v>
      </c>
      <c r="D1372" s="70" t="s">
        <v>1</v>
      </c>
      <c r="E1372" s="70" t="s">
        <v>1</v>
      </c>
      <c r="F1372" s="70"/>
      <c r="G1372" s="70" t="s">
        <v>61</v>
      </c>
      <c r="H1372" s="70" t="s">
        <v>178</v>
      </c>
      <c r="I1372" s="70" t="s">
        <v>198</v>
      </c>
      <c r="J1372" s="71" t="str">
        <f>IF(OR(I1372=0,I1372=""),"unrated",VLOOKUP(I1372,MappingTables!$B$19:$C$31,2,FALSE))</f>
        <v>unrated</v>
      </c>
      <c r="K1372" s="72">
        <v>1.0547893917866912</v>
      </c>
      <c r="L1372" s="70">
        <v>27.114949043278856</v>
      </c>
      <c r="M1372" s="71">
        <f>IF(L1372&lt;1,1,L1372)</f>
        <v>27.114949043278856</v>
      </c>
      <c r="N1372" s="70" t="s">
        <v>3288</v>
      </c>
      <c r="O1372" s="71">
        <f>IF(OR(I1372=$A$1,I1372=0),"",IF(N1372=MappingTables!$C$14,VLOOKUP(J1372,ModelParameters!$M$8:$N$15,2,FALSE),IF(N1372=MappingTables!$C$16,VLOOKUP(J1372,ModelParameters!$P$8:$Q$15,2,FALSE),0)))</f>
        <v>1</v>
      </c>
      <c r="P1372" s="73">
        <f>IF(OR(I1372=0,I1372=$A$1),0,MIN(O1372*M1372,1)*K1372)</f>
        <v>1.0547893917866912</v>
      </c>
      <c r="Q1372" s="73">
        <f>IF(B1372="",0,IF(OR(H1372=MappingTables!$C$34,H1372=MappingTables!$C$35),P1372,0))</f>
        <v>0</v>
      </c>
      <c r="R1372" s="73">
        <f>IF(ISNA(IF(AND(VLOOKUP(CONCATENATE($D1372,$G1372),CSRFinput!$B:$E,4,0)=0,OR(H1372=MappingTables!$C$31,H1372=MappingTables!$C$32)),1,VLOOKUP(CONCATENATE($D1372,$G1372),CSRFinput!$B:$E,4,0))),0,IF(AND(VLOOKUP(CONCATENATE($D1372,$G1372),CSRFinput!$B:$E,4,0)=0,OR(H1372=MappingTables!$C$31,H1372=MappingTables!$C$32)),1,VLOOKUP(CONCATENATE($D1372,$G1372),CSRFinput!$B:$E,4,0)))</f>
        <v>0.054776304963434752</v>
      </c>
      <c r="S1372" s="73">
        <f>IF(B1372="",0,P1372*R1372)</f>
        <v>0.057777465396703664</v>
      </c>
      <c r="T1372" s="85">
        <f>IF(B1372="",0,IF(OR(H1372=MappingTables!$C$34,H1372=MappingTables!$C$35),S1372,0))</f>
        <v>0</v>
      </c>
    </row>
    <row r="1373" spans="2:20" s="0" customFormat="0" ht="15">
      <c r="B1373" s="69" t="s">
        <v>4905</v>
      </c>
      <c r="C1373" s="70" t="s">
        <v>4906</v>
      </c>
      <c r="D1373" s="70" t="s">
        <v>1</v>
      </c>
      <c r="E1373" s="70" t="s">
        <v>1</v>
      </c>
      <c r="F1373" s="70"/>
      <c r="G1373" s="70" t="s">
        <v>61</v>
      </c>
      <c r="H1373" s="70" t="s">
        <v>178</v>
      </c>
      <c r="I1373" s="70" t="s">
        <v>204</v>
      </c>
      <c r="J1373" s="71">
        <f>IF(OR(I1373=0,I1373=""),"unrated",VLOOKUP(I1373,MappingTables!$B$19:$C$31,2,FALSE))</f>
        <v>6</v>
      </c>
      <c r="K1373" s="72">
        <v>48.994145425360008</v>
      </c>
      <c r="L1373" s="70">
        <v>0.06849226102843184</v>
      </c>
      <c r="M1373" s="71">
        <f>IF(L1373&lt;1,1,L1373)</f>
        <v>1</v>
      </c>
      <c r="N1373" s="70" t="s">
        <v>3288</v>
      </c>
      <c r="O1373" s="71">
        <f>IF(OR(I1373=$A$1,I1373=0),"",IF(N1373=MappingTables!$C$14,VLOOKUP(J1373,ModelParameters!$M$8:$N$15,2,FALSE),IF(N1373=MappingTables!$C$16,VLOOKUP(J1373,ModelParameters!$P$8:$Q$15,2,FALSE),0)))</f>
        <v>1</v>
      </c>
      <c r="P1373" s="73">
        <f>IF(OR(I1373=0,I1373=$A$1),0,MIN(O1373*M1373,1)*K1373)</f>
        <v>48.994145425360008</v>
      </c>
      <c r="Q1373" s="73">
        <f>IF(B1373="",0,IF(OR(H1373=MappingTables!$C$34,H1373=MappingTables!$C$35),P1373,0))</f>
        <v>0</v>
      </c>
      <c r="R1373" s="73">
        <f>IF(ISNA(IF(AND(VLOOKUP(CONCATENATE($D1373,$G1373),CSRFinput!$B:$E,4,0)=0,OR(H1373=MappingTables!$C$31,H1373=MappingTables!$C$32)),1,VLOOKUP(CONCATENATE($D1373,$G1373),CSRFinput!$B:$E,4,0))),0,IF(AND(VLOOKUP(CONCATENATE($D1373,$G1373),CSRFinput!$B:$E,4,0)=0,OR(H1373=MappingTables!$C$31,H1373=MappingTables!$C$32)),1,VLOOKUP(CONCATENATE($D1373,$G1373),CSRFinput!$B:$E,4,0)))</f>
        <v>0.054776304963434752</v>
      </c>
      <c r="S1373" s="73">
        <f>IF(B1373="",0,P1373*R1373)</f>
        <v>2.6837182512423916</v>
      </c>
      <c r="T1373" s="85">
        <f>IF(B1373="",0,IF(OR(H1373=MappingTables!$C$34,H1373=MappingTables!$C$35),S1373,0))</f>
        <v>0</v>
      </c>
    </row>
    <row r="1374" spans="2:20" s="0" customFormat="0" ht="15">
      <c r="B1374" s="69">
        <v>20113239</v>
      </c>
      <c r="C1374" s="70" t="s">
        <v>3738</v>
      </c>
      <c r="D1374" s="70" t="s">
        <v>1</v>
      </c>
      <c r="E1374" s="70" t="s">
        <v>1</v>
      </c>
      <c r="F1374" s="70"/>
      <c r="G1374" s="70" t="s">
        <v>61</v>
      </c>
      <c r="H1374" s="70" t="s">
        <v>178</v>
      </c>
      <c r="I1374" s="70" t="s">
        <v>198</v>
      </c>
      <c r="J1374" s="71" t="str">
        <f>IF(OR(I1374=0,I1374=""),"unrated",VLOOKUP(I1374,MappingTables!$B$19:$C$31,2,FALSE))</f>
        <v>unrated</v>
      </c>
      <c r="K1374" s="72">
        <v>94.45181464454024</v>
      </c>
      <c r="L1374" s="70">
        <v>0.058179909557234648</v>
      </c>
      <c r="M1374" s="71">
        <f>IF(L1374&lt;1,1,L1374)</f>
        <v>1</v>
      </c>
      <c r="N1374" s="70" t="s">
        <v>3288</v>
      </c>
      <c r="O1374" s="71">
        <f>IF(OR(I1374=$A$1,I1374=0),"",IF(N1374=MappingTables!$C$14,VLOOKUP(J1374,ModelParameters!$M$8:$N$15,2,FALSE),IF(N1374=MappingTables!$C$16,VLOOKUP(J1374,ModelParameters!$P$8:$Q$15,2,FALSE),0)))</f>
        <v>1</v>
      </c>
      <c r="P1374" s="73">
        <f>IF(OR(I1374=0,I1374=$A$1),0,MIN(O1374*M1374,1)*K1374)</f>
        <v>94.45181464454024</v>
      </c>
      <c r="Q1374" s="73">
        <f>IF(B1374="",0,IF(OR(H1374=MappingTables!$C$34,H1374=MappingTables!$C$35),P1374,0))</f>
        <v>0</v>
      </c>
      <c r="R1374" s="73">
        <f>IF(ISNA(IF(AND(VLOOKUP(CONCATENATE($D1374,$G1374),CSRFinput!$B:$E,4,0)=0,OR(H1374=MappingTables!$C$31,H1374=MappingTables!$C$32)),1,VLOOKUP(CONCATENATE($D1374,$G1374),CSRFinput!$B:$E,4,0))),0,IF(AND(VLOOKUP(CONCATENATE($D1374,$G1374),CSRFinput!$B:$E,4,0)=0,OR(H1374=MappingTables!$C$31,H1374=MappingTables!$C$32)),1,VLOOKUP(CONCATENATE($D1374,$G1374),CSRFinput!$B:$E,4,0)))</f>
        <v>0.054776304963434752</v>
      </c>
      <c r="S1374" s="73">
        <f>IF(B1374="",0,P1374*R1374)</f>
        <v>5.173721403319148</v>
      </c>
      <c r="T1374" s="85">
        <f>IF(B1374="",0,IF(OR(H1374=MappingTables!$C$34,H1374=MappingTables!$C$35),S1374,0))</f>
        <v>0</v>
      </c>
    </row>
    <row r="1375" spans="2:20" s="0" customFormat="0" ht="15">
      <c r="B1375" s="69">
        <v>9769687</v>
      </c>
      <c r="C1375" s="70" t="s">
        <v>4825</v>
      </c>
      <c r="D1375" s="70" t="s">
        <v>1</v>
      </c>
      <c r="E1375" s="70" t="s">
        <v>1</v>
      </c>
      <c r="F1375" s="70"/>
      <c r="G1375" s="70" t="s">
        <v>61</v>
      </c>
      <c r="H1375" s="70" t="s">
        <v>178</v>
      </c>
      <c r="I1375" s="70" t="s">
        <v>216</v>
      </c>
      <c r="J1375" s="71">
        <f>IF(OR(I1375=0,I1375=""),"unrated",VLOOKUP(I1375,MappingTables!$B$19:$C$31,2,FALSE))</f>
        <v>0</v>
      </c>
      <c r="K1375" s="72">
        <v>17.528578751043298</v>
      </c>
      <c r="L1375" s="70">
        <v>0.64414648778019216</v>
      </c>
      <c r="M1375" s="71">
        <f>IF(L1375&lt;1,1,L1375)</f>
        <v>1</v>
      </c>
      <c r="N1375" s="70" t="s">
        <v>3288</v>
      </c>
      <c r="O1375" s="71">
        <f>IF(OR(I1375=$A$1,I1375=0),"",IF(N1375=MappingTables!$C$14,VLOOKUP(J1375,ModelParameters!$M$8:$N$15,2,FALSE),IF(N1375=MappingTables!$C$16,VLOOKUP(J1375,ModelParameters!$P$8:$Q$15,2,FALSE),0)))</f>
        <v>0.125</v>
      </c>
      <c r="P1375" s="73">
        <f>IF(OR(I1375=0,I1375=$A$1),0,MIN(O1375*M1375,1)*K1375)</f>
        <v>2.1910723438804124</v>
      </c>
      <c r="Q1375" s="73">
        <f>IF(B1375="",0,IF(OR(H1375=MappingTables!$C$34,H1375=MappingTables!$C$35),P1375,0))</f>
        <v>0</v>
      </c>
      <c r="R1375" s="73">
        <f>IF(ISNA(IF(AND(VLOOKUP(CONCATENATE($D1375,$G1375),CSRFinput!$B:$E,4,0)=0,OR(H1375=MappingTables!$C$31,H1375=MappingTables!$C$32)),1,VLOOKUP(CONCATENATE($D1375,$G1375),CSRFinput!$B:$E,4,0))),0,IF(AND(VLOOKUP(CONCATENATE($D1375,$G1375),CSRFinput!$B:$E,4,0)=0,OR(H1375=MappingTables!$C$31,H1375=MappingTables!$C$32)),1,VLOOKUP(CONCATENATE($D1375,$G1375),CSRFinput!$B:$E,4,0)))</f>
        <v>0.054776304963434752</v>
      </c>
      <c r="S1375" s="73">
        <f>IF(B1375="",0,P1375*R1375)</f>
        <v>0.12001884690534124</v>
      </c>
      <c r="T1375" s="85">
        <f>IF(B1375="",0,IF(OR(H1375=MappingTables!$C$34,H1375=MappingTables!$C$35),S1375,0))</f>
        <v>0</v>
      </c>
    </row>
    <row r="1376" spans="2:20" s="0" customFormat="0" ht="15">
      <c r="B1376" s="69" t="s">
        <v>4800</v>
      </c>
      <c r="C1376" s="70" t="s">
        <v>4801</v>
      </c>
      <c r="D1376" s="70" t="s">
        <v>1</v>
      </c>
      <c r="E1376" s="70" t="s">
        <v>1</v>
      </c>
      <c r="F1376" s="70"/>
      <c r="G1376" s="70" t="s">
        <v>61</v>
      </c>
      <c r="H1376" s="70" t="s">
        <v>178</v>
      </c>
      <c r="I1376" s="70" t="s">
        <v>198</v>
      </c>
      <c r="J1376" s="71" t="str">
        <f>IF(OR(I1376=0,I1376=""),"unrated",VLOOKUP(I1376,MappingTables!$B$19:$C$31,2,FALSE))</f>
        <v>unrated</v>
      </c>
      <c r="K1376" s="72">
        <v>9.8352035910042784</v>
      </c>
      <c r="L1376" s="70">
        <v>6.0334285923962888</v>
      </c>
      <c r="M1376" s="71">
        <f>IF(L1376&lt;1,1,L1376)</f>
        <v>6.0334285923962888</v>
      </c>
      <c r="N1376" s="70" t="s">
        <v>3288</v>
      </c>
      <c r="O1376" s="71">
        <f>IF(OR(I1376=$A$1,I1376=0),"",IF(N1376=MappingTables!$C$14,VLOOKUP(J1376,ModelParameters!$M$8:$N$15,2,FALSE),IF(N1376=MappingTables!$C$16,VLOOKUP(J1376,ModelParameters!$P$8:$Q$15,2,FALSE),0)))</f>
        <v>1</v>
      </c>
      <c r="P1376" s="73">
        <f>IF(OR(I1376=0,I1376=$A$1),0,MIN(O1376*M1376,1)*K1376)</f>
        <v>9.8352035910042784</v>
      </c>
      <c r="Q1376" s="73">
        <f>IF(B1376="",0,IF(OR(H1376=MappingTables!$C$34,H1376=MappingTables!$C$35),P1376,0))</f>
        <v>0</v>
      </c>
      <c r="R1376" s="73">
        <f>IF(ISNA(IF(AND(VLOOKUP(CONCATENATE($D1376,$G1376),CSRFinput!$B:$E,4,0)=0,OR(H1376=MappingTables!$C$31,H1376=MappingTables!$C$32)),1,VLOOKUP(CONCATENATE($D1376,$G1376),CSRFinput!$B:$E,4,0))),0,IF(AND(VLOOKUP(CONCATENATE($D1376,$G1376),CSRFinput!$B:$E,4,0)=0,OR(H1376=MappingTables!$C$31,H1376=MappingTables!$C$32)),1,VLOOKUP(CONCATENATE($D1376,$G1376),CSRFinput!$B:$E,4,0)))</f>
        <v>0.054776304963434752</v>
      </c>
      <c r="S1376" s="73">
        <f>IF(B1376="",0,P1376*R1376)</f>
        <v>0.53873611127831896</v>
      </c>
      <c r="T1376" s="85">
        <f>IF(B1376="",0,IF(OR(H1376=MappingTables!$C$34,H1376=MappingTables!$C$35),S1376,0))</f>
        <v>0</v>
      </c>
    </row>
    <row r="1377" spans="2:20" s="0" customFormat="0" ht="15">
      <c r="B1377" s="69">
        <v>8842287</v>
      </c>
      <c r="C1377" s="70" t="s">
        <v>3834</v>
      </c>
      <c r="D1377" s="70" t="s">
        <v>1</v>
      </c>
      <c r="E1377" s="70" t="s">
        <v>1</v>
      </c>
      <c r="F1377" s="70"/>
      <c r="G1377" s="70" t="s">
        <v>61</v>
      </c>
      <c r="H1377" s="70" t="s">
        <v>178</v>
      </c>
      <c r="I1377" s="70" t="s">
        <v>216</v>
      </c>
      <c r="J1377" s="71">
        <f>IF(OR(I1377=0,I1377=""),"unrated",VLOOKUP(I1377,MappingTables!$B$19:$C$31,2,FALSE))</f>
        <v>0</v>
      </c>
      <c r="K1377" s="72">
        <v>642.89956570014544</v>
      </c>
      <c r="L1377" s="70">
        <v>0.056694061696419776</v>
      </c>
      <c r="M1377" s="71">
        <f>IF(L1377&lt;1,1,L1377)</f>
        <v>1</v>
      </c>
      <c r="N1377" s="70" t="s">
        <v>3288</v>
      </c>
      <c r="O1377" s="71">
        <f>IF(OR(I1377=$A$1,I1377=0),"",IF(N1377=MappingTables!$C$14,VLOOKUP(J1377,ModelParameters!$M$8:$N$15,2,FALSE),IF(N1377=MappingTables!$C$16,VLOOKUP(J1377,ModelParameters!$P$8:$Q$15,2,FALSE),0)))</f>
        <v>0.125</v>
      </c>
      <c r="P1377" s="73">
        <f>IF(OR(I1377=0,I1377=$A$1),0,MIN(O1377*M1377,1)*K1377)</f>
        <v>80.362445712518176</v>
      </c>
      <c r="Q1377" s="73">
        <f>IF(B1377="",0,IF(OR(H1377=MappingTables!$C$34,H1377=MappingTables!$C$35),P1377,0))</f>
        <v>0</v>
      </c>
      <c r="R1377" s="73">
        <f>IF(ISNA(IF(AND(VLOOKUP(CONCATENATE($D1377,$G1377),CSRFinput!$B:$E,4,0)=0,OR(H1377=MappingTables!$C$31,H1377=MappingTables!$C$32)),1,VLOOKUP(CONCATENATE($D1377,$G1377),CSRFinput!$B:$E,4,0))),0,IF(AND(VLOOKUP(CONCATENATE($D1377,$G1377),CSRFinput!$B:$E,4,0)=0,OR(H1377=MappingTables!$C$31,H1377=MappingTables!$C$32)),1,VLOOKUP(CONCATENATE($D1377,$G1377),CSRFinput!$B:$E,4,0)))</f>
        <v>0.054776304963434752</v>
      </c>
      <c r="S1377" s="73">
        <f>IF(B1377="",0,P1377*R1377)</f>
        <v>4.4019578339563656</v>
      </c>
      <c r="T1377" s="85">
        <f>IF(B1377="",0,IF(OR(H1377=MappingTables!$C$34,H1377=MappingTables!$C$35),S1377,0))</f>
        <v>0</v>
      </c>
    </row>
    <row r="1378" spans="2:20" s="0" customFormat="0" ht="15">
      <c r="B1378" s="69" t="s">
        <v>4919</v>
      </c>
      <c r="C1378" s="70" t="s">
        <v>4920</v>
      </c>
      <c r="D1378" s="70" t="s">
        <v>1</v>
      </c>
      <c r="E1378" s="70" t="s">
        <v>1</v>
      </c>
      <c r="F1378" s="70"/>
      <c r="G1378" s="70" t="s">
        <v>61</v>
      </c>
      <c r="H1378" s="70" t="s">
        <v>178</v>
      </c>
      <c r="I1378" s="70" t="s">
        <v>198</v>
      </c>
      <c r="J1378" s="71" t="str">
        <f>IF(OR(I1378=0,I1378=""),"unrated",VLOOKUP(I1378,MappingTables!$B$19:$C$31,2,FALSE))</f>
        <v>unrated</v>
      </c>
      <c r="K1378" s="72">
        <v>0.3008225910474976</v>
      </c>
      <c r="L1378" s="70">
        <v>0.1591053650936618</v>
      </c>
      <c r="M1378" s="71">
        <f>IF(L1378&lt;1,1,L1378)</f>
        <v>1</v>
      </c>
      <c r="N1378" s="70" t="s">
        <v>3288</v>
      </c>
      <c r="O1378" s="71">
        <f>IF(OR(I1378=$A$1,I1378=0),"",IF(N1378=MappingTables!$C$14,VLOOKUP(J1378,ModelParameters!$M$8:$N$15,2,FALSE),IF(N1378=MappingTables!$C$16,VLOOKUP(J1378,ModelParameters!$P$8:$Q$15,2,FALSE),0)))</f>
        <v>1</v>
      </c>
      <c r="P1378" s="73">
        <f>IF(OR(I1378=0,I1378=$A$1),0,MIN(O1378*M1378,1)*K1378)</f>
        <v>0.3008225910474976</v>
      </c>
      <c r="Q1378" s="73">
        <f>IF(B1378="",0,IF(OR(H1378=MappingTables!$C$34,H1378=MappingTables!$C$35),P1378,0))</f>
        <v>0</v>
      </c>
      <c r="R1378" s="73">
        <f>IF(ISNA(IF(AND(VLOOKUP(CONCATENATE($D1378,$G1378),CSRFinput!$B:$E,4,0)=0,OR(H1378=MappingTables!$C$31,H1378=MappingTables!$C$32)),1,VLOOKUP(CONCATENATE($D1378,$G1378),CSRFinput!$B:$E,4,0))),0,IF(AND(VLOOKUP(CONCATENATE($D1378,$G1378),CSRFinput!$B:$E,4,0)=0,OR(H1378=MappingTables!$C$31,H1378=MappingTables!$C$32)),1,VLOOKUP(CONCATENATE($D1378,$G1378),CSRFinput!$B:$E,4,0)))</f>
        <v>0.054776304963434752</v>
      </c>
      <c r="S1378" s="73">
        <f>IF(B1378="",0,P1378*R1378)</f>
        <v>0.016477949987108346</v>
      </c>
      <c r="T1378" s="85">
        <f>IF(B1378="",0,IF(OR(H1378=MappingTables!$C$34,H1378=MappingTables!$C$35),S1378,0))</f>
        <v>0</v>
      </c>
    </row>
    <row r="1379" spans="2:20" s="0" customFormat="0" ht="15">
      <c r="B1379" s="69" t="s">
        <v>4921</v>
      </c>
      <c r="C1379" s="70" t="s">
        <v>4922</v>
      </c>
      <c r="D1379" s="70" t="s">
        <v>1</v>
      </c>
      <c r="E1379" s="70" t="s">
        <v>1</v>
      </c>
      <c r="F1379" s="70"/>
      <c r="G1379" s="70" t="s">
        <v>61</v>
      </c>
      <c r="H1379" s="70" t="s">
        <v>178</v>
      </c>
      <c r="I1379" s="70" t="s">
        <v>181</v>
      </c>
      <c r="J1379" s="71">
        <f>IF(OR(I1379=0,I1379=""),"unrated",VLOOKUP(I1379,MappingTables!$B$19:$C$31,2,FALSE))</f>
        <v>3</v>
      </c>
      <c r="K1379" s="72">
        <v>228.75615277237624</v>
      </c>
      <c r="L1379" s="70">
        <v>0.068489314381054792</v>
      </c>
      <c r="M1379" s="71">
        <f>IF(L1379&lt;1,1,L1379)</f>
        <v>1</v>
      </c>
      <c r="N1379" s="70" t="s">
        <v>3288</v>
      </c>
      <c r="O1379" s="71">
        <f>IF(OR(I1379=$A$1,I1379=0),"",IF(N1379=MappingTables!$C$14,VLOOKUP(J1379,ModelParameters!$M$8:$N$15,2,FALSE),IF(N1379=MappingTables!$C$16,VLOOKUP(J1379,ModelParameters!$P$8:$Q$15,2,FALSE),0)))</f>
        <v>0.197</v>
      </c>
      <c r="P1379" s="73">
        <f>IF(OR(I1379=0,I1379=$A$1),0,MIN(O1379*M1379,1)*K1379)</f>
        <v>45.06496209615812</v>
      </c>
      <c r="Q1379" s="73">
        <f>IF(B1379="",0,IF(OR(H1379=MappingTables!$C$34,H1379=MappingTables!$C$35),P1379,0))</f>
        <v>0</v>
      </c>
      <c r="R1379" s="73">
        <f>IF(ISNA(IF(AND(VLOOKUP(CONCATENATE($D1379,$G1379),CSRFinput!$B:$E,4,0)=0,OR(H1379=MappingTables!$C$31,H1379=MappingTables!$C$32)),1,VLOOKUP(CONCATENATE($D1379,$G1379),CSRFinput!$B:$E,4,0))),0,IF(AND(VLOOKUP(CONCATENATE($D1379,$G1379),CSRFinput!$B:$E,4,0)=0,OR(H1379=MappingTables!$C$31,H1379=MappingTables!$C$32)),1,VLOOKUP(CONCATENATE($D1379,$G1379),CSRFinput!$B:$E,4,0)))</f>
        <v>0.054776304963434752</v>
      </c>
      <c r="S1379" s="73">
        <f>IF(B1379="",0,P1379*R1379)</f>
        <v>2.4684921069447848</v>
      </c>
      <c r="T1379" s="85">
        <f>IF(B1379="",0,IF(OR(H1379=MappingTables!$C$34,H1379=MappingTables!$C$35),S1379,0))</f>
        <v>0</v>
      </c>
    </row>
    <row r="1380" spans="2:20" s="0" customFormat="0" ht="15">
      <c r="B1380" s="69" t="s">
        <v>3696</v>
      </c>
      <c r="C1380" s="70" t="s">
        <v>3697</v>
      </c>
      <c r="D1380" s="70" t="s">
        <v>1</v>
      </c>
      <c r="E1380" s="70" t="s">
        <v>1</v>
      </c>
      <c r="F1380" s="70"/>
      <c r="G1380" s="70" t="s">
        <v>61</v>
      </c>
      <c r="H1380" s="70" t="s">
        <v>178</v>
      </c>
      <c r="I1380" s="70" t="s">
        <v>204</v>
      </c>
      <c r="J1380" s="71">
        <f>IF(OR(I1380=0,I1380=""),"unrated",VLOOKUP(I1380,MappingTables!$B$19:$C$31,2,FALSE))</f>
        <v>6</v>
      </c>
      <c r="K1380" s="72">
        <v>547.43104735516112</v>
      </c>
      <c r="L1380" s="70">
        <v>0.068490614765850528</v>
      </c>
      <c r="M1380" s="71">
        <f>IF(L1380&lt;1,1,L1380)</f>
        <v>1</v>
      </c>
      <c r="N1380" s="70" t="s">
        <v>3288</v>
      </c>
      <c r="O1380" s="71">
        <f>IF(OR(I1380=$A$1,I1380=0),"",IF(N1380=MappingTables!$C$14,VLOOKUP(J1380,ModelParameters!$M$8:$N$15,2,FALSE),IF(N1380=MappingTables!$C$16,VLOOKUP(J1380,ModelParameters!$P$8:$Q$15,2,FALSE),0)))</f>
        <v>1</v>
      </c>
      <c r="P1380" s="73">
        <f>IF(OR(I1380=0,I1380=$A$1),0,MIN(O1380*M1380,1)*K1380)</f>
        <v>547.43104735516112</v>
      </c>
      <c r="Q1380" s="73">
        <f>IF(B1380="",0,IF(OR(H1380=MappingTables!$C$34,H1380=MappingTables!$C$35),P1380,0))</f>
        <v>0</v>
      </c>
      <c r="R1380" s="73">
        <f>IF(ISNA(IF(AND(VLOOKUP(CONCATENATE($D1380,$G1380),CSRFinput!$B:$E,4,0)=0,OR(H1380=MappingTables!$C$31,H1380=MappingTables!$C$32)),1,VLOOKUP(CONCATENATE($D1380,$G1380),CSRFinput!$B:$E,4,0))),0,IF(AND(VLOOKUP(CONCATENATE($D1380,$G1380),CSRFinput!$B:$E,4,0)=0,OR(H1380=MappingTables!$C$31,H1380=MappingTables!$C$32)),1,VLOOKUP(CONCATENATE($D1380,$G1380),CSRFinput!$B:$E,4,0)))</f>
        <v>0.054776304963434752</v>
      </c>
      <c r="S1380" s="73">
        <f>IF(B1380="",0,P1380*R1380)</f>
        <v>29.9862499963788</v>
      </c>
      <c r="T1380" s="85">
        <f>IF(B1380="",0,IF(OR(H1380=MappingTables!$C$34,H1380=MappingTables!$C$35),S1380,0))</f>
        <v>0</v>
      </c>
    </row>
    <row r="1381" spans="2:20" s="0" customFormat="0" ht="15">
      <c r="B1381" s="69" t="s">
        <v>3975</v>
      </c>
      <c r="C1381" s="70" t="s">
        <v>3976</v>
      </c>
      <c r="D1381" s="70" t="s">
        <v>1</v>
      </c>
      <c r="E1381" s="70" t="s">
        <v>1</v>
      </c>
      <c r="F1381" s="70"/>
      <c r="G1381" s="70" t="s">
        <v>61</v>
      </c>
      <c r="H1381" s="70" t="s">
        <v>178</v>
      </c>
      <c r="I1381" s="70" t="s">
        <v>179</v>
      </c>
      <c r="J1381" s="71">
        <f>IF(OR(I1381=0,I1381=""),"unrated",VLOOKUP(I1381,MappingTables!$B$19:$C$31,2,FALSE))</f>
        <v>4</v>
      </c>
      <c r="K1381" s="72">
        <v>503.53389453199016</v>
      </c>
      <c r="L1381" s="70">
        <v>0.068493734300999128</v>
      </c>
      <c r="M1381" s="71">
        <f>IF(L1381&lt;1,1,L1381)</f>
        <v>1</v>
      </c>
      <c r="N1381" s="70" t="s">
        <v>3288</v>
      </c>
      <c r="O1381" s="71">
        <f>IF(OR(I1381=$A$1,I1381=0),"",IF(N1381=MappingTables!$C$14,VLOOKUP(J1381,ModelParameters!$M$8:$N$15,2,FALSE),IF(N1381=MappingTables!$C$16,VLOOKUP(J1381,ModelParameters!$P$8:$Q$15,2,FALSE),0)))</f>
        <v>0.82</v>
      </c>
      <c r="P1381" s="73">
        <f>IF(OR(I1381=0,I1381=$A$1),0,MIN(O1381*M1381,1)*K1381)</f>
        <v>412.89779351623192</v>
      </c>
      <c r="Q1381" s="73">
        <f>IF(B1381="",0,IF(OR(H1381=MappingTables!$C$34,H1381=MappingTables!$C$35),P1381,0))</f>
        <v>0</v>
      </c>
      <c r="R1381" s="73">
        <f>IF(ISNA(IF(AND(VLOOKUP(CONCATENATE($D1381,$G1381),CSRFinput!$B:$E,4,0)=0,OR(H1381=MappingTables!$C$31,H1381=MappingTables!$C$32)),1,VLOOKUP(CONCATENATE($D1381,$G1381),CSRFinput!$B:$E,4,0))),0,IF(AND(VLOOKUP(CONCATENATE($D1381,$G1381),CSRFinput!$B:$E,4,0)=0,OR(H1381=MappingTables!$C$31,H1381=MappingTables!$C$32)),1,VLOOKUP(CONCATENATE($D1381,$G1381),CSRFinput!$B:$E,4,0)))</f>
        <v>0.054776304963434752</v>
      </c>
      <c r="S1381" s="73">
        <f>IF(B1381="",0,P1381*R1381)</f>
        <v>22.617015456374432</v>
      </c>
      <c r="T1381" s="85">
        <f>IF(B1381="",0,IF(OR(H1381=MappingTables!$C$34,H1381=MappingTables!$C$35),S1381,0))</f>
        <v>0</v>
      </c>
    </row>
    <row r="1382" spans="2:20" s="0" customFormat="0" ht="15">
      <c r="B1382" s="69" t="s">
        <v>4878</v>
      </c>
      <c r="C1382" s="70" t="s">
        <v>4879</v>
      </c>
      <c r="D1382" s="70" t="s">
        <v>1</v>
      </c>
      <c r="E1382" s="70" t="s">
        <v>1</v>
      </c>
      <c r="F1382" s="70"/>
      <c r="G1382" s="70" t="s">
        <v>61</v>
      </c>
      <c r="H1382" s="70" t="s">
        <v>178</v>
      </c>
      <c r="I1382" s="70" t="s">
        <v>216</v>
      </c>
      <c r="J1382" s="71">
        <f>IF(OR(I1382=0,I1382=""),"unrated",VLOOKUP(I1382,MappingTables!$B$19:$C$31,2,FALSE))</f>
        <v>0</v>
      </c>
      <c r="K1382" s="72">
        <v>304.0388785181306</v>
      </c>
      <c r="L1382" s="70">
        <v>0.22217217476149908</v>
      </c>
      <c r="M1382" s="71">
        <f>IF(L1382&lt;1,1,L1382)</f>
        <v>1</v>
      </c>
      <c r="N1382" s="70" t="s">
        <v>3288</v>
      </c>
      <c r="O1382" s="71">
        <f>IF(OR(I1382=$A$1,I1382=0),"",IF(N1382=MappingTables!$C$14,VLOOKUP(J1382,ModelParameters!$M$8:$N$15,2,FALSE),IF(N1382=MappingTables!$C$16,VLOOKUP(J1382,ModelParameters!$P$8:$Q$15,2,FALSE),0)))</f>
        <v>0.125</v>
      </c>
      <c r="P1382" s="73">
        <f>IF(OR(I1382=0,I1382=$A$1),0,MIN(O1382*M1382,1)*K1382)</f>
        <v>38.004859814766328</v>
      </c>
      <c r="Q1382" s="73">
        <f>IF(B1382="",0,IF(OR(H1382=MappingTables!$C$34,H1382=MappingTables!$C$35),P1382,0))</f>
        <v>0</v>
      </c>
      <c r="R1382" s="73">
        <f>IF(ISNA(IF(AND(VLOOKUP(CONCATENATE($D1382,$G1382),CSRFinput!$B:$E,4,0)=0,OR(H1382=MappingTables!$C$31,H1382=MappingTables!$C$32)),1,VLOOKUP(CONCATENATE($D1382,$G1382),CSRFinput!$B:$E,4,0))),0,IF(AND(VLOOKUP(CONCATENATE($D1382,$G1382),CSRFinput!$B:$E,4,0)=0,OR(H1382=MappingTables!$C$31,H1382=MappingTables!$C$32)),1,VLOOKUP(CONCATENATE($D1382,$G1382),CSRFinput!$B:$E,4,0)))</f>
        <v>0.054776304963434752</v>
      </c>
      <c r="S1382" s="73">
        <f>IF(B1382="",0,P1382*R1382)</f>
        <v>2.0817657913062268</v>
      </c>
      <c r="T1382" s="85">
        <f>IF(B1382="",0,IF(OR(H1382=MappingTables!$C$34,H1382=MappingTables!$C$35),S1382,0))</f>
        <v>0</v>
      </c>
    </row>
    <row r="1383" spans="2:20" s="0" customFormat="0" ht="15">
      <c r="B1383" s="69" t="s">
        <v>4923</v>
      </c>
      <c r="C1383" s="70" t="s">
        <v>4924</v>
      </c>
      <c r="D1383" s="70" t="s">
        <v>1</v>
      </c>
      <c r="E1383" s="70" t="s">
        <v>1</v>
      </c>
      <c r="F1383" s="70"/>
      <c r="G1383" s="70" t="s">
        <v>61</v>
      </c>
      <c r="H1383" s="70" t="s">
        <v>178</v>
      </c>
      <c r="I1383" s="70" t="s">
        <v>198</v>
      </c>
      <c r="J1383" s="71" t="str">
        <f>IF(OR(I1383=0,I1383=""),"unrated",VLOOKUP(I1383,MappingTables!$B$19:$C$31,2,FALSE))</f>
        <v>unrated</v>
      </c>
      <c r="K1383" s="72">
        <v>0.0572030395998642</v>
      </c>
      <c r="L1383" s="70">
        <v>8.5733870479809232</v>
      </c>
      <c r="M1383" s="71">
        <f>IF(L1383&lt;1,1,L1383)</f>
        <v>8.5733870479809232</v>
      </c>
      <c r="N1383" s="70" t="s">
        <v>3288</v>
      </c>
      <c r="O1383" s="71">
        <f>IF(OR(I1383=$A$1,I1383=0),"",IF(N1383=MappingTables!$C$14,VLOOKUP(J1383,ModelParameters!$M$8:$N$15,2,FALSE),IF(N1383=MappingTables!$C$16,VLOOKUP(J1383,ModelParameters!$P$8:$Q$15,2,FALSE),0)))</f>
        <v>1</v>
      </c>
      <c r="P1383" s="73">
        <f>IF(OR(I1383=0,I1383=$A$1),0,MIN(O1383*M1383,1)*K1383)</f>
        <v>0.0572030395998642</v>
      </c>
      <c r="Q1383" s="73">
        <f>IF(B1383="",0,IF(OR(H1383=MappingTables!$C$34,H1383=MappingTables!$C$35),P1383,0))</f>
        <v>0</v>
      </c>
      <c r="R1383" s="73">
        <f>IF(ISNA(IF(AND(VLOOKUP(CONCATENATE($D1383,$G1383),CSRFinput!$B:$E,4,0)=0,OR(H1383=MappingTables!$C$31,H1383=MappingTables!$C$32)),1,VLOOKUP(CONCATENATE($D1383,$G1383),CSRFinput!$B:$E,4,0))),0,IF(AND(VLOOKUP(CONCATENATE($D1383,$G1383),CSRFinput!$B:$E,4,0)=0,OR(H1383=MappingTables!$C$31,H1383=MappingTables!$C$32)),1,VLOOKUP(CONCATENATE($D1383,$G1383),CSRFinput!$B:$E,4,0)))</f>
        <v>0.054776304963434752</v>
      </c>
      <c r="S1383" s="73">
        <f>IF(B1383="",0,P1383*R1383)</f>
        <v>0.003133371141957596</v>
      </c>
      <c r="T1383" s="85">
        <f>IF(B1383="",0,IF(OR(H1383=MappingTables!$C$34,H1383=MappingTables!$C$35),S1383,0))</f>
        <v>0</v>
      </c>
    </row>
    <row r="1384" spans="2:20" s="0" customFormat="0" ht="15">
      <c r="B1384" s="69">
        <v>22554498</v>
      </c>
      <c r="C1384" s="70" t="s">
        <v>3814</v>
      </c>
      <c r="D1384" s="70" t="s">
        <v>1</v>
      </c>
      <c r="E1384" s="70" t="s">
        <v>1</v>
      </c>
      <c r="F1384" s="70"/>
      <c r="G1384" s="70" t="s">
        <v>61</v>
      </c>
      <c r="H1384" s="70" t="s">
        <v>178</v>
      </c>
      <c r="I1384" s="70" t="s">
        <v>216</v>
      </c>
      <c r="J1384" s="71">
        <f>IF(OR(I1384=0,I1384=""),"unrated",VLOOKUP(I1384,MappingTables!$B$19:$C$31,2,FALSE))</f>
        <v>0</v>
      </c>
      <c r="K1384" s="72">
        <v>4.015547944163248</v>
      </c>
      <c r="L1384" s="70">
        <v>0.047195008326862928</v>
      </c>
      <c r="M1384" s="71">
        <f>IF(L1384&lt;1,1,L1384)</f>
        <v>1</v>
      </c>
      <c r="N1384" s="70" t="s">
        <v>3288</v>
      </c>
      <c r="O1384" s="71">
        <f>IF(OR(I1384=$A$1,I1384=0),"",IF(N1384=MappingTables!$C$14,VLOOKUP(J1384,ModelParameters!$M$8:$N$15,2,FALSE),IF(N1384=MappingTables!$C$16,VLOOKUP(J1384,ModelParameters!$P$8:$Q$15,2,FALSE),0)))</f>
        <v>0.125</v>
      </c>
      <c r="P1384" s="73">
        <f>IF(OR(I1384=0,I1384=$A$1),0,MIN(O1384*M1384,1)*K1384)</f>
        <v>0.501943493020406</v>
      </c>
      <c r="Q1384" s="73">
        <f>IF(B1384="",0,IF(OR(H1384=MappingTables!$C$34,H1384=MappingTables!$C$35),P1384,0))</f>
        <v>0</v>
      </c>
      <c r="R1384" s="73">
        <f>IF(ISNA(IF(AND(VLOOKUP(CONCATENATE($D1384,$G1384),CSRFinput!$B:$E,4,0)=0,OR(H1384=MappingTables!$C$31,H1384=MappingTables!$C$32)),1,VLOOKUP(CONCATENATE($D1384,$G1384),CSRFinput!$B:$E,4,0))),0,IF(AND(VLOOKUP(CONCATENATE($D1384,$G1384),CSRFinput!$B:$E,4,0)=0,OR(H1384=MappingTables!$C$31,H1384=MappingTables!$C$32)),1,VLOOKUP(CONCATENATE($D1384,$G1384),CSRFinput!$B:$E,4,0)))</f>
        <v>0.054776304963434752</v>
      </c>
      <c r="S1384" s="73">
        <f>IF(B1384="",0,P1384*R1384)</f>
        <v>0.027494609848097444</v>
      </c>
      <c r="T1384" s="85">
        <f>IF(B1384="",0,IF(OR(H1384=MappingTables!$C$34,H1384=MappingTables!$C$35),S1384,0))</f>
        <v>0</v>
      </c>
    </row>
    <row r="1385" spans="2:20" s="0" customFormat="0" ht="15">
      <c r="B1385" s="69" t="s">
        <v>4570</v>
      </c>
      <c r="C1385" s="70" t="s">
        <v>4571</v>
      </c>
      <c r="D1385" s="70" t="s">
        <v>1</v>
      </c>
      <c r="E1385" s="70" t="s">
        <v>1</v>
      </c>
      <c r="F1385" s="70"/>
      <c r="G1385" s="70" t="s">
        <v>61</v>
      </c>
      <c r="H1385" s="70" t="s">
        <v>178</v>
      </c>
      <c r="I1385" s="70" t="s">
        <v>3298</v>
      </c>
      <c r="J1385" s="71">
        <f>IF(OR(I1385=0,I1385=""),"unrated",VLOOKUP(I1385,MappingTables!$B$19:$C$31,2,FALSE))</f>
        <v>6</v>
      </c>
      <c r="K1385" s="72">
        <v>56.8154996921962</v>
      </c>
      <c r="L1385" s="70">
        <v>0.06849386805978068</v>
      </c>
      <c r="M1385" s="71">
        <f>IF(L1385&lt;1,1,L1385)</f>
        <v>1</v>
      </c>
      <c r="N1385" s="70" t="s">
        <v>3288</v>
      </c>
      <c r="O1385" s="71">
        <f>IF(OR(I1385=$A$1,I1385=0),"",IF(N1385=MappingTables!$C$14,VLOOKUP(J1385,ModelParameters!$M$8:$N$15,2,FALSE),IF(N1385=MappingTables!$C$16,VLOOKUP(J1385,ModelParameters!$P$8:$Q$15,2,FALSE),0)))</f>
        <v>1</v>
      </c>
      <c r="P1385" s="73">
        <f>IF(OR(I1385=0,I1385=$A$1),0,MIN(O1385*M1385,1)*K1385)</f>
        <v>56.8154996921962</v>
      </c>
      <c r="Q1385" s="73">
        <f>IF(B1385="",0,IF(OR(H1385=MappingTables!$C$34,H1385=MappingTables!$C$35),P1385,0))</f>
        <v>0</v>
      </c>
      <c r="R1385" s="73">
        <f>IF(ISNA(IF(AND(VLOOKUP(CONCATENATE($D1385,$G1385),CSRFinput!$B:$E,4,0)=0,OR(H1385=MappingTables!$C$31,H1385=MappingTables!$C$32)),1,VLOOKUP(CONCATENATE($D1385,$G1385),CSRFinput!$B:$E,4,0))),0,IF(AND(VLOOKUP(CONCATENATE($D1385,$G1385),CSRFinput!$B:$E,4,0)=0,OR(H1385=MappingTables!$C$31,H1385=MappingTables!$C$32)),1,VLOOKUP(CONCATENATE($D1385,$G1385),CSRFinput!$B:$E,4,0)))</f>
        <v>0.054776304963434752</v>
      </c>
      <c r="S1385" s="73">
        <f>IF(B1385="",0,P1385*R1385)</f>
        <v>3.1121431377896724</v>
      </c>
      <c r="T1385" s="85">
        <f>IF(B1385="",0,IF(OR(H1385=MappingTables!$C$34,H1385=MappingTables!$C$35),S1385,0))</f>
        <v>0</v>
      </c>
    </row>
    <row r="1386" spans="2:20" s="0" customFormat="0" ht="15">
      <c r="B1386" s="69">
        <v>22554085</v>
      </c>
      <c r="C1386" s="70" t="s">
        <v>4636</v>
      </c>
      <c r="D1386" s="70" t="s">
        <v>1</v>
      </c>
      <c r="E1386" s="70" t="s">
        <v>1</v>
      </c>
      <c r="F1386" s="70"/>
      <c r="G1386" s="70" t="s">
        <v>61</v>
      </c>
      <c r="H1386" s="70" t="s">
        <v>178</v>
      </c>
      <c r="I1386" s="70" t="s">
        <v>216</v>
      </c>
      <c r="J1386" s="71">
        <f>IF(OR(I1386=0,I1386=""),"unrated",VLOOKUP(I1386,MappingTables!$B$19:$C$31,2,FALSE))</f>
        <v>0</v>
      </c>
      <c r="K1386" s="72">
        <v>7.2085700374020128</v>
      </c>
      <c r="L1386" s="70">
        <v>0.08199273910255072</v>
      </c>
      <c r="M1386" s="71">
        <f>IF(L1386&lt;1,1,L1386)</f>
        <v>1</v>
      </c>
      <c r="N1386" s="70" t="s">
        <v>3288</v>
      </c>
      <c r="O1386" s="71">
        <f>IF(OR(I1386=$A$1,I1386=0),"",IF(N1386=MappingTables!$C$14,VLOOKUP(J1386,ModelParameters!$M$8:$N$15,2,FALSE),IF(N1386=MappingTables!$C$16,VLOOKUP(J1386,ModelParameters!$P$8:$Q$15,2,FALSE),0)))</f>
        <v>0.125</v>
      </c>
      <c r="P1386" s="73">
        <f>IF(OR(I1386=0,I1386=$A$1),0,MIN(O1386*M1386,1)*K1386)</f>
        <v>0.90107125467525152</v>
      </c>
      <c r="Q1386" s="73">
        <f>IF(B1386="",0,IF(OR(H1386=MappingTables!$C$34,H1386=MappingTables!$C$35),P1386,0))</f>
        <v>0</v>
      </c>
      <c r="R1386" s="73">
        <f>IF(ISNA(IF(AND(VLOOKUP(CONCATENATE($D1386,$G1386),CSRFinput!$B:$E,4,0)=0,OR(H1386=MappingTables!$C$31,H1386=MappingTables!$C$32)),1,VLOOKUP(CONCATENATE($D1386,$G1386),CSRFinput!$B:$E,4,0))),0,IF(AND(VLOOKUP(CONCATENATE($D1386,$G1386),CSRFinput!$B:$E,4,0)=0,OR(H1386=MappingTables!$C$31,H1386=MappingTables!$C$32)),1,VLOOKUP(CONCATENATE($D1386,$G1386),CSRFinput!$B:$E,4,0)))</f>
        <v>0.054776304963434752</v>
      </c>
      <c r="S1386" s="73">
        <f>IF(B1386="",0,P1386*R1386)</f>
        <v>0.04935735383987636</v>
      </c>
      <c r="T1386" s="85">
        <f>IF(B1386="",0,IF(OR(H1386=MappingTables!$C$34,H1386=MappingTables!$C$35),S1386,0))</f>
        <v>0</v>
      </c>
    </row>
    <row r="1387" spans="2:20" s="0" customFormat="0" ht="15">
      <c r="B1387" s="69" t="s">
        <v>3932</v>
      </c>
      <c r="C1387" s="70" t="s">
        <v>3933</v>
      </c>
      <c r="D1387" s="70" t="s">
        <v>1</v>
      </c>
      <c r="E1387" s="70" t="s">
        <v>1</v>
      </c>
      <c r="F1387" s="70"/>
      <c r="G1387" s="70" t="s">
        <v>61</v>
      </c>
      <c r="H1387" s="70" t="s">
        <v>178</v>
      </c>
      <c r="I1387" s="70" t="s">
        <v>198</v>
      </c>
      <c r="J1387" s="71" t="str">
        <f>IF(OR(I1387=0,I1387=""),"unrated",VLOOKUP(I1387,MappingTables!$B$19:$C$31,2,FALSE))</f>
        <v>unrated</v>
      </c>
      <c r="K1387" s="72">
        <v>507.21400184685464</v>
      </c>
      <c r="L1387" s="70">
        <v>21.969495377191924</v>
      </c>
      <c r="M1387" s="71">
        <f>IF(L1387&lt;1,1,L1387)</f>
        <v>21.969495377191924</v>
      </c>
      <c r="N1387" s="70" t="s">
        <v>3288</v>
      </c>
      <c r="O1387" s="71">
        <f>IF(OR(I1387=$A$1,I1387=0),"",IF(N1387=MappingTables!$C$14,VLOOKUP(J1387,ModelParameters!$M$8:$N$15,2,FALSE),IF(N1387=MappingTables!$C$16,VLOOKUP(J1387,ModelParameters!$P$8:$Q$15,2,FALSE),0)))</f>
        <v>1</v>
      </c>
      <c r="P1387" s="73">
        <f>IF(OR(I1387=0,I1387=$A$1),0,MIN(O1387*M1387,1)*K1387)</f>
        <v>507.21400184685464</v>
      </c>
      <c r="Q1387" s="73">
        <f>IF(B1387="",0,IF(OR(H1387=MappingTables!$C$34,H1387=MappingTables!$C$35),P1387,0))</f>
        <v>0</v>
      </c>
      <c r="R1387" s="73">
        <f>IF(ISNA(IF(AND(VLOOKUP(CONCATENATE($D1387,$G1387),CSRFinput!$B:$E,4,0)=0,OR(H1387=MappingTables!$C$31,H1387=MappingTables!$C$32)),1,VLOOKUP(CONCATENATE($D1387,$G1387),CSRFinput!$B:$E,4,0))),0,IF(AND(VLOOKUP(CONCATENATE($D1387,$G1387),CSRFinput!$B:$E,4,0)=0,OR(H1387=MappingTables!$C$31,H1387=MappingTables!$C$32)),1,VLOOKUP(CONCATENATE($D1387,$G1387),CSRFinput!$B:$E,4,0)))</f>
        <v>0.054776304963434752</v>
      </c>
      <c r="S1387" s="73">
        <f>IF(B1387="",0,P1387*R1387)</f>
        <v>27.783308846887468</v>
      </c>
      <c r="T1387" s="85">
        <f>IF(B1387="",0,IF(OR(H1387=MappingTables!$C$34,H1387=MappingTables!$C$35),S1387,0))</f>
        <v>0</v>
      </c>
    </row>
    <row r="1388" spans="2:20" s="0" customFormat="0" ht="15">
      <c r="B1388" s="69" t="s">
        <v>4019</v>
      </c>
      <c r="C1388" s="70" t="s">
        <v>4020</v>
      </c>
      <c r="D1388" s="70" t="s">
        <v>1</v>
      </c>
      <c r="E1388" s="70" t="s">
        <v>1</v>
      </c>
      <c r="F1388" s="70"/>
      <c r="G1388" s="70" t="s">
        <v>61</v>
      </c>
      <c r="H1388" s="70" t="s">
        <v>178</v>
      </c>
      <c r="I1388" s="70" t="s">
        <v>198</v>
      </c>
      <c r="J1388" s="71" t="str">
        <f>IF(OR(I1388=0,I1388=""),"unrated",VLOOKUP(I1388,MappingTables!$B$19:$C$31,2,FALSE))</f>
        <v>unrated</v>
      </c>
      <c r="K1388" s="72">
        <v>5.5338347998188632</v>
      </c>
      <c r="L1388" s="70">
        <v>40.823585486767976</v>
      </c>
      <c r="M1388" s="71">
        <f>IF(L1388&lt;1,1,L1388)</f>
        <v>40.823585486767976</v>
      </c>
      <c r="N1388" s="70" t="s">
        <v>3288</v>
      </c>
      <c r="O1388" s="71">
        <f>IF(OR(I1388=$A$1,I1388=0),"",IF(N1388=MappingTables!$C$14,VLOOKUP(J1388,ModelParameters!$M$8:$N$15,2,FALSE),IF(N1388=MappingTables!$C$16,VLOOKUP(J1388,ModelParameters!$P$8:$Q$15,2,FALSE),0)))</f>
        <v>1</v>
      </c>
      <c r="P1388" s="73">
        <f>IF(OR(I1388=0,I1388=$A$1),0,MIN(O1388*M1388,1)*K1388)</f>
        <v>5.5338347998188632</v>
      </c>
      <c r="Q1388" s="73">
        <f>IF(B1388="",0,IF(OR(H1388=MappingTables!$C$34,H1388=MappingTables!$C$35),P1388,0))</f>
        <v>0</v>
      </c>
      <c r="R1388" s="73">
        <f>IF(ISNA(IF(AND(VLOOKUP(CONCATENATE($D1388,$G1388),CSRFinput!$B:$E,4,0)=0,OR(H1388=MappingTables!$C$31,H1388=MappingTables!$C$32)),1,VLOOKUP(CONCATENATE($D1388,$G1388),CSRFinput!$B:$E,4,0))),0,IF(AND(VLOOKUP(CONCATENATE($D1388,$G1388),CSRFinput!$B:$E,4,0)=0,OR(H1388=MappingTables!$C$31,H1388=MappingTables!$C$32)),1,VLOOKUP(CONCATENATE($D1388,$G1388),CSRFinput!$B:$E,4,0)))</f>
        <v>0.054776304963434752</v>
      </c>
      <c r="S1388" s="73">
        <f>IF(B1388="",0,P1388*R1388)</f>
        <v>0.30312302261214596</v>
      </c>
      <c r="T1388" s="85">
        <f>IF(B1388="",0,IF(OR(H1388=MappingTables!$C$34,H1388=MappingTables!$C$35),S1388,0))</f>
        <v>0</v>
      </c>
    </row>
    <row r="1389" spans="2:20" s="0" customFormat="0" ht="15">
      <c r="B1389" s="69">
        <v>22554444</v>
      </c>
      <c r="C1389" s="70" t="s">
        <v>4100</v>
      </c>
      <c r="D1389" s="70" t="s">
        <v>1</v>
      </c>
      <c r="E1389" s="70" t="s">
        <v>1</v>
      </c>
      <c r="F1389" s="70"/>
      <c r="G1389" s="70" t="s">
        <v>61</v>
      </c>
      <c r="H1389" s="70" t="s">
        <v>178</v>
      </c>
      <c r="I1389" s="70" t="s">
        <v>216</v>
      </c>
      <c r="J1389" s="71">
        <f>IF(OR(I1389=0,I1389=""),"unrated",VLOOKUP(I1389,MappingTables!$B$19:$C$31,2,FALSE))</f>
        <v>0</v>
      </c>
      <c r="K1389" s="72">
        <v>1849.599935766656</v>
      </c>
      <c r="L1389" s="70">
        <v>0.054770557281741928</v>
      </c>
      <c r="M1389" s="71">
        <f>IF(L1389&lt;1,1,L1389)</f>
        <v>1</v>
      </c>
      <c r="N1389" s="70" t="s">
        <v>3288</v>
      </c>
      <c r="O1389" s="71">
        <f>IF(OR(I1389=$A$1,I1389=0),"",IF(N1389=MappingTables!$C$14,VLOOKUP(J1389,ModelParameters!$M$8:$N$15,2,FALSE),IF(N1389=MappingTables!$C$16,VLOOKUP(J1389,ModelParameters!$P$8:$Q$15,2,FALSE),0)))</f>
        <v>0.125</v>
      </c>
      <c r="P1389" s="73">
        <f>IF(OR(I1389=0,I1389=$A$1),0,MIN(O1389*M1389,1)*K1389)</f>
        <v>231.199991970832</v>
      </c>
      <c r="Q1389" s="73">
        <f>IF(B1389="",0,IF(OR(H1389=MappingTables!$C$34,H1389=MappingTables!$C$35),P1389,0))</f>
        <v>0</v>
      </c>
      <c r="R1389" s="73">
        <f>IF(ISNA(IF(AND(VLOOKUP(CONCATENATE($D1389,$G1389),CSRFinput!$B:$E,4,0)=0,OR(H1389=MappingTables!$C$31,H1389=MappingTables!$C$32)),1,VLOOKUP(CONCATENATE($D1389,$G1389),CSRFinput!$B:$E,4,0))),0,IF(AND(VLOOKUP(CONCATENATE($D1389,$G1389),CSRFinput!$B:$E,4,0)=0,OR(H1389=MappingTables!$C$31,H1389=MappingTables!$C$32)),1,VLOOKUP(CONCATENATE($D1389,$G1389),CSRFinput!$B:$E,4,0)))</f>
        <v>0.054776304963434752</v>
      </c>
      <c r="S1389" s="73">
        <f>IF(B1389="",0,P1389*R1389)</f>
        <v>12.66428126773796</v>
      </c>
      <c r="T1389" s="85">
        <f>IF(B1389="",0,IF(OR(H1389=MappingTables!$C$34,H1389=MappingTables!$C$35),S1389,0))</f>
        <v>0</v>
      </c>
    </row>
    <row r="1390" spans="2:20" s="0" customFormat="0" ht="15">
      <c r="B1390" s="69" t="s">
        <v>3461</v>
      </c>
      <c r="C1390" s="70" t="s">
        <v>3462</v>
      </c>
      <c r="D1390" s="70" t="s">
        <v>1</v>
      </c>
      <c r="E1390" s="70" t="s">
        <v>1</v>
      </c>
      <c r="F1390" s="70"/>
      <c r="G1390" s="70" t="s">
        <v>61</v>
      </c>
      <c r="H1390" s="70" t="s">
        <v>178</v>
      </c>
      <c r="I1390" s="70" t="s">
        <v>198</v>
      </c>
      <c r="J1390" s="71" t="str">
        <f>IF(OR(I1390=0,I1390=""),"unrated",VLOOKUP(I1390,MappingTables!$B$19:$C$31,2,FALSE))</f>
        <v>unrated</v>
      </c>
      <c r="K1390" s="72">
        <v>44.563178434603304</v>
      </c>
      <c r="L1390" s="70">
        <v>0.068500522647129568</v>
      </c>
      <c r="M1390" s="71">
        <f>IF(L1390&lt;1,1,L1390)</f>
        <v>1</v>
      </c>
      <c r="N1390" s="70" t="s">
        <v>3288</v>
      </c>
      <c r="O1390" s="71">
        <f>IF(OR(I1390=$A$1,I1390=0),"",IF(N1390=MappingTables!$C$14,VLOOKUP(J1390,ModelParameters!$M$8:$N$15,2,FALSE),IF(N1390=MappingTables!$C$16,VLOOKUP(J1390,ModelParameters!$P$8:$Q$15,2,FALSE),0)))</f>
        <v>1</v>
      </c>
      <c r="P1390" s="73">
        <f>IF(OR(I1390=0,I1390=$A$1),0,MIN(O1390*M1390,1)*K1390)</f>
        <v>44.563178434603304</v>
      </c>
      <c r="Q1390" s="73">
        <f>IF(B1390="",0,IF(OR(H1390=MappingTables!$C$34,H1390=MappingTables!$C$35),P1390,0))</f>
        <v>0</v>
      </c>
      <c r="R1390" s="73">
        <f>IF(ISNA(IF(AND(VLOOKUP(CONCATENATE($D1390,$G1390),CSRFinput!$B:$E,4,0)=0,OR(H1390=MappingTables!$C$31,H1390=MappingTables!$C$32)),1,VLOOKUP(CONCATENATE($D1390,$G1390),CSRFinput!$B:$E,4,0))),0,IF(AND(VLOOKUP(CONCATENATE($D1390,$G1390),CSRFinput!$B:$E,4,0)=0,OR(H1390=MappingTables!$C$31,H1390=MappingTables!$C$32)),1,VLOOKUP(CONCATENATE($D1390,$G1390),CSRFinput!$B:$E,4,0)))</f>
        <v>0.054776304963434752</v>
      </c>
      <c r="S1390" s="73">
        <f>IF(B1390="",0,P1390*R1390)</f>
        <v>2.4410062520737892</v>
      </c>
      <c r="T1390" s="85">
        <f>IF(B1390="",0,IF(OR(H1390=MappingTables!$C$34,H1390=MappingTables!$C$35),S1390,0))</f>
        <v>0</v>
      </c>
    </row>
    <row r="1391" spans="2:20" s="0" customFormat="0" ht="15">
      <c r="B1391" s="69" t="s">
        <v>3736</v>
      </c>
      <c r="C1391" s="70" t="s">
        <v>3737</v>
      </c>
      <c r="D1391" s="70" t="s">
        <v>1</v>
      </c>
      <c r="E1391" s="70" t="s">
        <v>1</v>
      </c>
      <c r="F1391" s="70"/>
      <c r="G1391" s="70" t="s">
        <v>61</v>
      </c>
      <c r="H1391" s="70" t="s">
        <v>178</v>
      </c>
      <c r="I1391" s="70" t="s">
        <v>198</v>
      </c>
      <c r="J1391" s="71" t="str">
        <f>IF(OR(I1391=0,I1391=""),"unrated",VLOOKUP(I1391,MappingTables!$B$19:$C$31,2,FALSE))</f>
        <v>unrated</v>
      </c>
      <c r="K1391" s="72">
        <v>0.073327832565550224</v>
      </c>
      <c r="L1391" s="70">
        <v>26.26342396882716</v>
      </c>
      <c r="M1391" s="71">
        <f>IF(L1391&lt;1,1,L1391)</f>
        <v>26.26342396882716</v>
      </c>
      <c r="N1391" s="70" t="s">
        <v>3288</v>
      </c>
      <c r="O1391" s="71">
        <f>IF(OR(I1391=$A$1,I1391=0),"",IF(N1391=MappingTables!$C$14,VLOOKUP(J1391,ModelParameters!$M$8:$N$15,2,FALSE),IF(N1391=MappingTables!$C$16,VLOOKUP(J1391,ModelParameters!$P$8:$Q$15,2,FALSE),0)))</f>
        <v>1</v>
      </c>
      <c r="P1391" s="73">
        <f>IF(OR(I1391=0,I1391=$A$1),0,MIN(O1391*M1391,1)*K1391)</f>
        <v>0.073327832565550224</v>
      </c>
      <c r="Q1391" s="73">
        <f>IF(B1391="",0,IF(OR(H1391=MappingTables!$C$34,H1391=MappingTables!$C$35),P1391,0))</f>
        <v>0</v>
      </c>
      <c r="R1391" s="73">
        <f>IF(ISNA(IF(AND(VLOOKUP(CONCATENATE($D1391,$G1391),CSRFinput!$B:$E,4,0)=0,OR(H1391=MappingTables!$C$31,H1391=MappingTables!$C$32)),1,VLOOKUP(CONCATENATE($D1391,$G1391),CSRFinput!$B:$E,4,0))),0,IF(AND(VLOOKUP(CONCATENATE($D1391,$G1391),CSRFinput!$B:$E,4,0)=0,OR(H1391=MappingTables!$C$31,H1391=MappingTables!$C$32)),1,VLOOKUP(CONCATENATE($D1391,$G1391),CSRFinput!$B:$E,4,0)))</f>
        <v>0.054776304963434752</v>
      </c>
      <c r="S1391" s="73">
        <f>IF(B1391="",0,P1391*R1391)</f>
        <v>0.0040166277189182616</v>
      </c>
      <c r="T1391" s="85">
        <f>IF(B1391="",0,IF(OR(H1391=MappingTables!$C$34,H1391=MappingTables!$C$35),S1391,0))</f>
        <v>0</v>
      </c>
    </row>
    <row r="1392" spans="2:20" s="0" customFormat="0" ht="15">
      <c r="B1392" s="69" t="s">
        <v>3516</v>
      </c>
      <c r="C1392" s="70" t="s">
        <v>3517</v>
      </c>
      <c r="D1392" s="70" t="s">
        <v>1</v>
      </c>
      <c r="E1392" s="70" t="s">
        <v>1</v>
      </c>
      <c r="F1392" s="70"/>
      <c r="G1392" s="70" t="s">
        <v>61</v>
      </c>
      <c r="H1392" s="70" t="s">
        <v>178</v>
      </c>
      <c r="I1392" s="70" t="s">
        <v>184</v>
      </c>
      <c r="J1392" s="71">
        <f>IF(OR(I1392=0,I1392=""),"unrated",VLOOKUP(I1392,MappingTables!$B$19:$C$31,2,FALSE))</f>
        <v>5</v>
      </c>
      <c r="K1392" s="72">
        <v>237.10869242224568</v>
      </c>
      <c r="L1392" s="70">
        <v>0.0684928669495848</v>
      </c>
      <c r="M1392" s="71">
        <f>IF(L1392&lt;1,1,L1392)</f>
        <v>1</v>
      </c>
      <c r="N1392" s="70" t="s">
        <v>3288</v>
      </c>
      <c r="O1392" s="71">
        <f>IF(OR(I1392=$A$1,I1392=0),"",IF(N1392=MappingTables!$C$14,VLOOKUP(J1392,ModelParameters!$M$8:$N$15,2,FALSE),IF(N1392=MappingTables!$C$16,VLOOKUP(J1392,ModelParameters!$P$8:$Q$15,2,FALSE),0)))</f>
        <v>1</v>
      </c>
      <c r="P1392" s="73">
        <f>IF(OR(I1392=0,I1392=$A$1),0,MIN(O1392*M1392,1)*K1392)</f>
        <v>237.10869242224568</v>
      </c>
      <c r="Q1392" s="73">
        <f>IF(B1392="",0,IF(OR(H1392=MappingTables!$C$34,H1392=MappingTables!$C$35),P1392,0))</f>
        <v>0</v>
      </c>
      <c r="R1392" s="73">
        <f>IF(ISNA(IF(AND(VLOOKUP(CONCATENATE($D1392,$G1392),CSRFinput!$B:$E,4,0)=0,OR(H1392=MappingTables!$C$31,H1392=MappingTables!$C$32)),1,VLOOKUP(CONCATENATE($D1392,$G1392),CSRFinput!$B:$E,4,0))),0,IF(AND(VLOOKUP(CONCATENATE($D1392,$G1392),CSRFinput!$B:$E,4,0)=0,OR(H1392=MappingTables!$C$31,H1392=MappingTables!$C$32)),1,VLOOKUP(CONCATENATE($D1392,$G1392),CSRFinput!$B:$E,4,0)))</f>
        <v>0.054776304963434752</v>
      </c>
      <c r="S1392" s="73">
        <f>IF(B1392="",0,P1392*R1392)</f>
        <v>12.98793804560218</v>
      </c>
      <c r="T1392" s="85">
        <f>IF(B1392="",0,IF(OR(H1392=MappingTables!$C$34,H1392=MappingTables!$C$35),S1392,0))</f>
        <v>0</v>
      </c>
    </row>
    <row r="1393" spans="2:20" s="0" customFormat="0" ht="15">
      <c r="B1393" s="69">
        <v>6156877</v>
      </c>
      <c r="C1393" s="70" t="s">
        <v>4361</v>
      </c>
      <c r="D1393" s="70" t="s">
        <v>1</v>
      </c>
      <c r="E1393" s="70" t="s">
        <v>1</v>
      </c>
      <c r="F1393" s="70"/>
      <c r="G1393" s="70" t="s">
        <v>61</v>
      </c>
      <c r="H1393" s="70" t="s">
        <v>178</v>
      </c>
      <c r="I1393" s="70" t="s">
        <v>188</v>
      </c>
      <c r="J1393" s="71">
        <f>IF(OR(I1393=0,I1393=""),"unrated",VLOOKUP(I1393,MappingTables!$B$19:$C$31,2,FALSE))</f>
        <v>2</v>
      </c>
      <c r="K1393" s="72">
        <v>1711.4051619550564</v>
      </c>
      <c r="L1393" s="70">
        <v>0.068490870451631216</v>
      </c>
      <c r="M1393" s="71">
        <f>IF(L1393&lt;1,1,L1393)</f>
        <v>1</v>
      </c>
      <c r="N1393" s="70" t="s">
        <v>3288</v>
      </c>
      <c r="O1393" s="71">
        <f>IF(OR(I1393=$A$1,I1393=0),"",IF(N1393=MappingTables!$C$14,VLOOKUP(J1393,ModelParameters!$M$8:$N$15,2,FALSE),IF(N1393=MappingTables!$C$16,VLOOKUP(J1393,ModelParameters!$P$8:$Q$15,2,FALSE),0)))</f>
        <v>0.166</v>
      </c>
      <c r="P1393" s="73">
        <f>IF(OR(I1393=0,I1393=$A$1),0,MIN(O1393*M1393,1)*K1393)</f>
        <v>284.09325688453936</v>
      </c>
      <c r="Q1393" s="73">
        <f>IF(B1393="",0,IF(OR(H1393=MappingTables!$C$34,H1393=MappingTables!$C$35),P1393,0))</f>
        <v>0</v>
      </c>
      <c r="R1393" s="73">
        <f>IF(ISNA(IF(AND(VLOOKUP(CONCATENATE($D1393,$G1393),CSRFinput!$B:$E,4,0)=0,OR(H1393=MappingTables!$C$31,H1393=MappingTables!$C$32)),1,VLOOKUP(CONCATENATE($D1393,$G1393),CSRFinput!$B:$E,4,0))),0,IF(AND(VLOOKUP(CONCATENATE($D1393,$G1393),CSRFinput!$B:$E,4,0)=0,OR(H1393=MappingTables!$C$31,H1393=MappingTables!$C$32)),1,VLOOKUP(CONCATENATE($D1393,$G1393),CSRFinput!$B:$E,4,0)))</f>
        <v>0.054776304963434752</v>
      </c>
      <c r="S1393" s="73">
        <f>IF(B1393="",0,P1393*R1393)</f>
        <v>15.561578877162936</v>
      </c>
      <c r="T1393" s="85">
        <f>IF(B1393="",0,IF(OR(H1393=MappingTables!$C$34,H1393=MappingTables!$C$35),S1393,0))</f>
        <v>0</v>
      </c>
    </row>
    <row r="1394" spans="2:20" s="0" customFormat="0" ht="15">
      <c r="B1394" s="69" t="s">
        <v>4328</v>
      </c>
      <c r="C1394" s="70" t="s">
        <v>4329</v>
      </c>
      <c r="D1394" s="70" t="s">
        <v>1</v>
      </c>
      <c r="E1394" s="70" t="s">
        <v>1</v>
      </c>
      <c r="F1394" s="70"/>
      <c r="G1394" s="70" t="s">
        <v>61</v>
      </c>
      <c r="H1394" s="70" t="s">
        <v>178</v>
      </c>
      <c r="I1394" s="70" t="s">
        <v>198</v>
      </c>
      <c r="J1394" s="71" t="str">
        <f>IF(OR(I1394=0,I1394=""),"unrated",VLOOKUP(I1394,MappingTables!$B$19:$C$31,2,FALSE))</f>
        <v>unrated</v>
      </c>
      <c r="K1394" s="72">
        <v>41.59664004958804</v>
      </c>
      <c r="L1394" s="70">
        <v>-2.4127544507066088</v>
      </c>
      <c r="M1394" s="71">
        <f>IF(L1394&lt;1,1,L1394)</f>
        <v>1</v>
      </c>
      <c r="N1394" s="70" t="s">
        <v>3288</v>
      </c>
      <c r="O1394" s="71">
        <f>IF(OR(I1394=$A$1,I1394=0),"",IF(N1394=MappingTables!$C$14,VLOOKUP(J1394,ModelParameters!$M$8:$N$15,2,FALSE),IF(N1394=MappingTables!$C$16,VLOOKUP(J1394,ModelParameters!$P$8:$Q$15,2,FALSE),0)))</f>
        <v>1</v>
      </c>
      <c r="P1394" s="73">
        <f>IF(OR(I1394=0,I1394=$A$1),0,MIN(O1394*M1394,1)*K1394)</f>
        <v>41.59664004958804</v>
      </c>
      <c r="Q1394" s="73">
        <f>IF(B1394="",0,IF(OR(H1394=MappingTables!$C$34,H1394=MappingTables!$C$35),P1394,0))</f>
        <v>0</v>
      </c>
      <c r="R1394" s="73">
        <f>IF(ISNA(IF(AND(VLOOKUP(CONCATENATE($D1394,$G1394),CSRFinput!$B:$E,4,0)=0,OR(H1394=MappingTables!$C$31,H1394=MappingTables!$C$32)),1,VLOOKUP(CONCATENATE($D1394,$G1394),CSRFinput!$B:$E,4,0))),0,IF(AND(VLOOKUP(CONCATENATE($D1394,$G1394),CSRFinput!$B:$E,4,0)=0,OR(H1394=MappingTables!$C$31,H1394=MappingTables!$C$32)),1,VLOOKUP(CONCATENATE($D1394,$G1394),CSRFinput!$B:$E,4,0)))</f>
        <v>0.054776304963434752</v>
      </c>
      <c r="S1394" s="73">
        <f>IF(B1394="",0,P1394*R1394)</f>
        <v>2.278510240810458</v>
      </c>
      <c r="T1394" s="85">
        <f>IF(B1394="",0,IF(OR(H1394=MappingTables!$C$34,H1394=MappingTables!$C$35),S1394,0))</f>
        <v>0</v>
      </c>
    </row>
    <row r="1395" spans="2:20" s="0" customFormat="0" ht="15">
      <c r="B1395" s="69" t="s">
        <v>4557</v>
      </c>
      <c r="C1395" s="70" t="s">
        <v>4558</v>
      </c>
      <c r="D1395" s="70" t="s">
        <v>1</v>
      </c>
      <c r="E1395" s="70" t="s">
        <v>1</v>
      </c>
      <c r="F1395" s="70"/>
      <c r="G1395" s="70" t="s">
        <v>61</v>
      </c>
      <c r="H1395" s="70" t="s">
        <v>178</v>
      </c>
      <c r="I1395" s="70" t="s">
        <v>198</v>
      </c>
      <c r="J1395" s="71" t="str">
        <f>IF(OR(I1395=0,I1395=""),"unrated",VLOOKUP(I1395,MappingTables!$B$19:$C$31,2,FALSE))</f>
        <v>unrated</v>
      </c>
      <c r="K1395" s="72">
        <v>0.17710872754115906</v>
      </c>
      <c r="L1395" s="70">
        <v>37.732682764835456</v>
      </c>
      <c r="M1395" s="71">
        <f>IF(L1395&lt;1,1,L1395)</f>
        <v>37.732682764835456</v>
      </c>
      <c r="N1395" s="70" t="s">
        <v>3288</v>
      </c>
      <c r="O1395" s="71">
        <f>IF(OR(I1395=$A$1,I1395=0),"",IF(N1395=MappingTables!$C$14,VLOOKUP(J1395,ModelParameters!$M$8:$N$15,2,FALSE),IF(N1395=MappingTables!$C$16,VLOOKUP(J1395,ModelParameters!$P$8:$Q$15,2,FALSE),0)))</f>
        <v>1</v>
      </c>
      <c r="P1395" s="73">
        <f>IF(OR(I1395=0,I1395=$A$1),0,MIN(O1395*M1395,1)*K1395)</f>
        <v>0.17710872754115906</v>
      </c>
      <c r="Q1395" s="73">
        <f>IF(B1395="",0,IF(OR(H1395=MappingTables!$C$34,H1395=MappingTables!$C$35),P1395,0))</f>
        <v>0</v>
      </c>
      <c r="R1395" s="73">
        <f>IF(ISNA(IF(AND(VLOOKUP(CONCATENATE($D1395,$G1395),CSRFinput!$B:$E,4,0)=0,OR(H1395=MappingTables!$C$31,H1395=MappingTables!$C$32)),1,VLOOKUP(CONCATENATE($D1395,$G1395),CSRFinput!$B:$E,4,0))),0,IF(AND(VLOOKUP(CONCATENATE($D1395,$G1395),CSRFinput!$B:$E,4,0)=0,OR(H1395=MappingTables!$C$31,H1395=MappingTables!$C$32)),1,VLOOKUP(CONCATENATE($D1395,$G1395),CSRFinput!$B:$E,4,0)))</f>
        <v>0.054776304963434752</v>
      </c>
      <c r="S1395" s="73">
        <f>IF(B1395="",0,P1395*R1395)</f>
        <v>0.0097013616714804048</v>
      </c>
      <c r="T1395" s="85">
        <f>IF(B1395="",0,IF(OR(H1395=MappingTables!$C$34,H1395=MappingTables!$C$35),S1395,0))</f>
        <v>0</v>
      </c>
    </row>
    <row r="1396" spans="2:20" s="0" customFormat="0" ht="15">
      <c r="B1396" s="69" t="s">
        <v>3289</v>
      </c>
      <c r="C1396" s="70" t="s">
        <v>3290</v>
      </c>
      <c r="D1396" s="70" t="s">
        <v>1</v>
      </c>
      <c r="E1396" s="70" t="s">
        <v>1</v>
      </c>
      <c r="F1396" s="70"/>
      <c r="G1396" s="70" t="s">
        <v>61</v>
      </c>
      <c r="H1396" s="70" t="s">
        <v>178</v>
      </c>
      <c r="I1396" s="70" t="s">
        <v>3291</v>
      </c>
      <c r="J1396" s="71">
        <f>IF(OR(I1396=0,I1396=""),"unrated",VLOOKUP(I1396,MappingTables!$B$19:$C$31,2,FALSE))</f>
        <v>6</v>
      </c>
      <c r="K1396" s="72">
        <v>911.8279934997184</v>
      </c>
      <c r="L1396" s="70">
        <v>-0.36447158583632152</v>
      </c>
      <c r="M1396" s="71">
        <f>IF(L1396&lt;1,1,L1396)</f>
        <v>1</v>
      </c>
      <c r="N1396" s="70" t="s">
        <v>3288</v>
      </c>
      <c r="O1396" s="71">
        <f>IF(OR(I1396=$A$1,I1396=0),"",IF(N1396=MappingTables!$C$14,VLOOKUP(J1396,ModelParameters!$M$8:$N$15,2,FALSE),IF(N1396=MappingTables!$C$16,VLOOKUP(J1396,ModelParameters!$P$8:$Q$15,2,FALSE),0)))</f>
        <v>1</v>
      </c>
      <c r="P1396" s="73">
        <f>IF(OR(I1396=0,I1396=$A$1),0,MIN(O1396*M1396,1)*K1396)</f>
        <v>911.8279934997184</v>
      </c>
      <c r="Q1396" s="73">
        <f>IF(B1396="",0,IF(OR(H1396=MappingTables!$C$34,H1396=MappingTables!$C$35),P1396,0))</f>
        <v>0</v>
      </c>
      <c r="R1396" s="73">
        <f>IF(ISNA(IF(AND(VLOOKUP(CONCATENATE($D1396,$G1396),CSRFinput!$B:$E,4,0)=0,OR(H1396=MappingTables!$C$31,H1396=MappingTables!$C$32)),1,VLOOKUP(CONCATENATE($D1396,$G1396),CSRFinput!$B:$E,4,0))),0,IF(AND(VLOOKUP(CONCATENATE($D1396,$G1396),CSRFinput!$B:$E,4,0)=0,OR(H1396=MappingTables!$C$31,H1396=MappingTables!$C$32)),1,VLOOKUP(CONCATENATE($D1396,$G1396),CSRFinput!$B:$E,4,0)))</f>
        <v>0.054776304963434752</v>
      </c>
      <c r="S1396" s="73">
        <f>IF(B1396="",0,P1396*R1396)</f>
        <v>49.946568246137376</v>
      </c>
      <c r="T1396" s="85">
        <f>IF(B1396="",0,IF(OR(H1396=MappingTables!$C$34,H1396=MappingTables!$C$35),S1396,0))</f>
        <v>0</v>
      </c>
    </row>
    <row r="1397" spans="2:20" s="0" customFormat="0" ht="15">
      <c r="B1397" s="69" t="s">
        <v>4387</v>
      </c>
      <c r="C1397" s="70" t="s">
        <v>4388</v>
      </c>
      <c r="D1397" s="70" t="s">
        <v>1</v>
      </c>
      <c r="E1397" s="70" t="s">
        <v>1</v>
      </c>
      <c r="F1397" s="70"/>
      <c r="G1397" s="70" t="s">
        <v>61</v>
      </c>
      <c r="H1397" s="70" t="s">
        <v>178</v>
      </c>
      <c r="I1397" s="70" t="s">
        <v>204</v>
      </c>
      <c r="J1397" s="71">
        <f>IF(OR(I1397=0,I1397=""),"unrated",VLOOKUP(I1397,MappingTables!$B$19:$C$31,2,FALSE))</f>
        <v>6</v>
      </c>
      <c r="K1397" s="72">
        <v>58.825146845821752</v>
      </c>
      <c r="L1397" s="70">
        <v>0.081311114320728032</v>
      </c>
      <c r="M1397" s="71">
        <f>IF(L1397&lt;1,1,L1397)</f>
        <v>1</v>
      </c>
      <c r="N1397" s="70" t="s">
        <v>3288</v>
      </c>
      <c r="O1397" s="71">
        <f>IF(OR(I1397=$A$1,I1397=0),"",IF(N1397=MappingTables!$C$14,VLOOKUP(J1397,ModelParameters!$M$8:$N$15,2,FALSE),IF(N1397=MappingTables!$C$16,VLOOKUP(J1397,ModelParameters!$P$8:$Q$15,2,FALSE),0)))</f>
        <v>1</v>
      </c>
      <c r="P1397" s="73">
        <f>IF(OR(I1397=0,I1397=$A$1),0,MIN(O1397*M1397,1)*K1397)</f>
        <v>58.825146845821752</v>
      </c>
      <c r="Q1397" s="73">
        <f>IF(B1397="",0,IF(OR(H1397=MappingTables!$C$34,H1397=MappingTables!$C$35),P1397,0))</f>
        <v>0</v>
      </c>
      <c r="R1397" s="73">
        <f>IF(ISNA(IF(AND(VLOOKUP(CONCATENATE($D1397,$G1397),CSRFinput!$B:$E,4,0)=0,OR(H1397=MappingTables!$C$31,H1397=MappingTables!$C$32)),1,VLOOKUP(CONCATENATE($D1397,$G1397),CSRFinput!$B:$E,4,0))),0,IF(AND(VLOOKUP(CONCATENATE($D1397,$G1397),CSRFinput!$B:$E,4,0)=0,OR(H1397=MappingTables!$C$31,H1397=MappingTables!$C$32)),1,VLOOKUP(CONCATENATE($D1397,$G1397),CSRFinput!$B:$E,4,0)))</f>
        <v>0.054776304963434752</v>
      </c>
      <c r="S1397" s="73">
        <f>IF(B1397="",0,P1397*R1397)</f>
        <v>3.2222241831455644</v>
      </c>
      <c r="T1397" s="85">
        <f>IF(B1397="",0,IF(OR(H1397=MappingTables!$C$34,H1397=MappingTables!$C$35),S1397,0))</f>
        <v>0</v>
      </c>
    </row>
    <row r="1398" spans="2:20" s="0" customFormat="0" ht="15">
      <c r="B1398" s="69" t="s">
        <v>4561</v>
      </c>
      <c r="C1398" s="70" t="s">
        <v>4562</v>
      </c>
      <c r="D1398" s="70" t="s">
        <v>1</v>
      </c>
      <c r="E1398" s="70" t="s">
        <v>1</v>
      </c>
      <c r="F1398" s="70"/>
      <c r="G1398" s="70" t="s">
        <v>61</v>
      </c>
      <c r="H1398" s="70" t="s">
        <v>178</v>
      </c>
      <c r="I1398" s="70" t="s">
        <v>3298</v>
      </c>
      <c r="J1398" s="71">
        <f>IF(OR(I1398=0,I1398=""),"unrated",VLOOKUP(I1398,MappingTables!$B$19:$C$31,2,FALSE))</f>
        <v>6</v>
      </c>
      <c r="K1398" s="72">
        <v>8.4821288485074912</v>
      </c>
      <c r="L1398" s="70">
        <v>-0.38350587324786992</v>
      </c>
      <c r="M1398" s="71">
        <f>IF(L1398&lt;1,1,L1398)</f>
        <v>1</v>
      </c>
      <c r="N1398" s="70" t="s">
        <v>3288</v>
      </c>
      <c r="O1398" s="71">
        <f>IF(OR(I1398=$A$1,I1398=0),"",IF(N1398=MappingTables!$C$14,VLOOKUP(J1398,ModelParameters!$M$8:$N$15,2,FALSE),IF(N1398=MappingTables!$C$16,VLOOKUP(J1398,ModelParameters!$P$8:$Q$15,2,FALSE),0)))</f>
        <v>1</v>
      </c>
      <c r="P1398" s="73">
        <f>IF(OR(I1398=0,I1398=$A$1),0,MIN(O1398*M1398,1)*K1398)</f>
        <v>8.4821288485074912</v>
      </c>
      <c r="Q1398" s="73">
        <f>IF(B1398="",0,IF(OR(H1398=MappingTables!$C$34,H1398=MappingTables!$C$35),P1398,0))</f>
        <v>0</v>
      </c>
      <c r="R1398" s="73">
        <f>IF(ISNA(IF(AND(VLOOKUP(CONCATENATE($D1398,$G1398),CSRFinput!$B:$E,4,0)=0,OR(H1398=MappingTables!$C$31,H1398=MappingTables!$C$32)),1,VLOOKUP(CONCATENATE($D1398,$G1398),CSRFinput!$B:$E,4,0))),0,IF(AND(VLOOKUP(CONCATENATE($D1398,$G1398),CSRFinput!$B:$E,4,0)=0,OR(H1398=MappingTables!$C$31,H1398=MappingTables!$C$32)),1,VLOOKUP(CONCATENATE($D1398,$G1398),CSRFinput!$B:$E,4,0)))</f>
        <v>0.054776304963434752</v>
      </c>
      <c r="S1398" s="73">
        <f>IF(B1398="",0,P1398*R1398)</f>
        <v>0.464619676544994</v>
      </c>
      <c r="T1398" s="85">
        <f>IF(B1398="",0,IF(OR(H1398=MappingTables!$C$34,H1398=MappingTables!$C$35),S1398,0))</f>
        <v>0</v>
      </c>
    </row>
    <row r="1399" spans="2:20" s="0" customFormat="0" ht="15">
      <c r="B1399" s="69" t="s">
        <v>4437</v>
      </c>
      <c r="C1399" s="70" t="s">
        <v>4438</v>
      </c>
      <c r="D1399" s="70" t="s">
        <v>1</v>
      </c>
      <c r="E1399" s="70" t="s">
        <v>1</v>
      </c>
      <c r="F1399" s="70"/>
      <c r="G1399" s="70" t="s">
        <v>61</v>
      </c>
      <c r="H1399" s="70" t="s">
        <v>178</v>
      </c>
      <c r="I1399" s="70" t="s">
        <v>198</v>
      </c>
      <c r="J1399" s="71" t="str">
        <f>IF(OR(I1399=0,I1399=""),"unrated",VLOOKUP(I1399,MappingTables!$B$19:$C$31,2,FALSE))</f>
        <v>unrated</v>
      </c>
      <c r="K1399" s="72">
        <v>13494.310403102108</v>
      </c>
      <c r="L1399" s="70">
        <v>25.960821070744192</v>
      </c>
      <c r="M1399" s="71">
        <f>IF(L1399&lt;1,1,L1399)</f>
        <v>25.960821070744192</v>
      </c>
      <c r="N1399" s="70" t="s">
        <v>3288</v>
      </c>
      <c r="O1399" s="71">
        <f>IF(OR(I1399=$A$1,I1399=0),"",IF(N1399=MappingTables!$C$14,VLOOKUP(J1399,ModelParameters!$M$8:$N$15,2,FALSE),IF(N1399=MappingTables!$C$16,VLOOKUP(J1399,ModelParameters!$P$8:$Q$15,2,FALSE),0)))</f>
        <v>1</v>
      </c>
      <c r="P1399" s="73">
        <f>IF(OR(I1399=0,I1399=$A$1),0,MIN(O1399*M1399,1)*K1399)</f>
        <v>13494.310403102108</v>
      </c>
      <c r="Q1399" s="73">
        <f>IF(B1399="",0,IF(OR(H1399=MappingTables!$C$34,H1399=MappingTables!$C$35),P1399,0))</f>
        <v>0</v>
      </c>
      <c r="R1399" s="73">
        <f>IF(ISNA(IF(AND(VLOOKUP(CONCATENATE($D1399,$G1399),CSRFinput!$B:$E,4,0)=0,OR(H1399=MappingTables!$C$31,H1399=MappingTables!$C$32)),1,VLOOKUP(CONCATENATE($D1399,$G1399),CSRFinput!$B:$E,4,0))),0,IF(AND(VLOOKUP(CONCATENATE($D1399,$G1399),CSRFinput!$B:$E,4,0)=0,OR(H1399=MappingTables!$C$31,H1399=MappingTables!$C$32)),1,VLOOKUP(CONCATENATE($D1399,$G1399),CSRFinput!$B:$E,4,0)))</f>
        <v>0.054776304963434752</v>
      </c>
      <c r="S1399" s="73">
        <f>IF(B1399="",0,P1399*R1399)</f>
        <v>739.16846191157136</v>
      </c>
      <c r="T1399" s="85">
        <f>IF(B1399="",0,IF(OR(H1399=MappingTables!$C$34,H1399=MappingTables!$C$35),S1399,0))</f>
        <v>0</v>
      </c>
    </row>
    <row r="1400" spans="2:20" s="0" customFormat="0" ht="15">
      <c r="B1400" s="69" t="s">
        <v>4925</v>
      </c>
      <c r="C1400" s="70" t="s">
        <v>4926</v>
      </c>
      <c r="D1400" s="70" t="s">
        <v>1</v>
      </c>
      <c r="E1400" s="70" t="s">
        <v>1</v>
      </c>
      <c r="F1400" s="70"/>
      <c r="G1400" s="70" t="s">
        <v>61</v>
      </c>
      <c r="H1400" s="70" t="s">
        <v>178</v>
      </c>
      <c r="I1400" s="70" t="s">
        <v>216</v>
      </c>
      <c r="J1400" s="71">
        <f>IF(OR(I1400=0,I1400=""),"unrated",VLOOKUP(I1400,MappingTables!$B$19:$C$31,2,FALSE))</f>
        <v>0</v>
      </c>
      <c r="K1400" s="72">
        <v>3289.0766622721372</v>
      </c>
      <c r="L1400" s="70">
        <v>0.12941477867373478</v>
      </c>
      <c r="M1400" s="71">
        <f>IF(L1400&lt;1,1,L1400)</f>
        <v>1</v>
      </c>
      <c r="N1400" s="70" t="s">
        <v>3288</v>
      </c>
      <c r="O1400" s="71">
        <f>IF(OR(I1400=$A$1,I1400=0),"",IF(N1400=MappingTables!$C$14,VLOOKUP(J1400,ModelParameters!$M$8:$N$15,2,FALSE),IF(N1400=MappingTables!$C$16,VLOOKUP(J1400,ModelParameters!$P$8:$Q$15,2,FALSE),0)))</f>
        <v>0.125</v>
      </c>
      <c r="P1400" s="73">
        <f>IF(OR(I1400=0,I1400=$A$1),0,MIN(O1400*M1400,1)*K1400)</f>
        <v>411.13458278401712</v>
      </c>
      <c r="Q1400" s="73">
        <f>IF(B1400="",0,IF(OR(H1400=MappingTables!$C$34,H1400=MappingTables!$C$35),P1400,0))</f>
        <v>0</v>
      </c>
      <c r="R1400" s="73">
        <f>IF(ISNA(IF(AND(VLOOKUP(CONCATENATE($D1400,$G1400),CSRFinput!$B:$E,4,0)=0,OR(H1400=MappingTables!$C$31,H1400=MappingTables!$C$32)),1,VLOOKUP(CONCATENATE($D1400,$G1400),CSRFinput!$B:$E,4,0))),0,IF(AND(VLOOKUP(CONCATENATE($D1400,$G1400),CSRFinput!$B:$E,4,0)=0,OR(H1400=MappingTables!$C$31,H1400=MappingTables!$C$32)),1,VLOOKUP(CONCATENATE($D1400,$G1400),CSRFinput!$B:$E,4,0)))</f>
        <v>0.054776304963434752</v>
      </c>
      <c r="S1400" s="73">
        <f>IF(B1400="",0,P1400*R1400)</f>
        <v>22.520433287591836</v>
      </c>
      <c r="T1400" s="85">
        <f>IF(B1400="",0,IF(OR(H1400=MappingTables!$C$34,H1400=MappingTables!$C$35),S1400,0))</f>
        <v>0</v>
      </c>
    </row>
    <row r="1401" spans="2:20" s="0" customFormat="0" ht="15">
      <c r="B1401" s="69">
        <v>12817903</v>
      </c>
      <c r="C1401" s="70" t="s">
        <v>4781</v>
      </c>
      <c r="D1401" s="70" t="s">
        <v>1</v>
      </c>
      <c r="E1401" s="70" t="s">
        <v>1</v>
      </c>
      <c r="F1401" s="70"/>
      <c r="G1401" s="70" t="s">
        <v>61</v>
      </c>
      <c r="H1401" s="70" t="s">
        <v>178</v>
      </c>
      <c r="I1401" s="70" t="s">
        <v>204</v>
      </c>
      <c r="J1401" s="71">
        <f>IF(OR(I1401=0,I1401=""),"unrated",VLOOKUP(I1401,MappingTables!$B$19:$C$31,2,FALSE))</f>
        <v>6</v>
      </c>
      <c r="K1401" s="72">
        <v>10.61853243710962</v>
      </c>
      <c r="L1401" s="70">
        <v>0.0684934295595032</v>
      </c>
      <c r="M1401" s="71">
        <f>IF(L1401&lt;1,1,L1401)</f>
        <v>1</v>
      </c>
      <c r="N1401" s="70" t="s">
        <v>3288</v>
      </c>
      <c r="O1401" s="71">
        <f>IF(OR(I1401=$A$1,I1401=0),"",IF(N1401=MappingTables!$C$14,VLOOKUP(J1401,ModelParameters!$M$8:$N$15,2,FALSE),IF(N1401=MappingTables!$C$16,VLOOKUP(J1401,ModelParameters!$P$8:$Q$15,2,FALSE),0)))</f>
        <v>1</v>
      </c>
      <c r="P1401" s="73">
        <f>IF(OR(I1401=0,I1401=$A$1),0,MIN(O1401*M1401,1)*K1401)</f>
        <v>10.61853243710962</v>
      </c>
      <c r="Q1401" s="73">
        <f>IF(B1401="",0,IF(OR(H1401=MappingTables!$C$34,H1401=MappingTables!$C$35),P1401,0))</f>
        <v>0</v>
      </c>
      <c r="R1401" s="73">
        <f>IF(ISNA(IF(AND(VLOOKUP(CONCATENATE($D1401,$G1401),CSRFinput!$B:$E,4,0)=0,OR(H1401=MappingTables!$C$31,H1401=MappingTables!$C$32)),1,VLOOKUP(CONCATENATE($D1401,$G1401),CSRFinput!$B:$E,4,0))),0,IF(AND(VLOOKUP(CONCATENATE($D1401,$G1401),CSRFinput!$B:$E,4,0)=0,OR(H1401=MappingTables!$C$31,H1401=MappingTables!$C$32)),1,VLOOKUP(CONCATENATE($D1401,$G1401),CSRFinput!$B:$E,4,0)))</f>
        <v>0.054776304963434752</v>
      </c>
      <c r="S1401" s="73">
        <f>IF(B1401="",0,P1401*R1401)</f>
        <v>0.58164397103924056</v>
      </c>
      <c r="T1401" s="85">
        <f>IF(B1401="",0,IF(OR(H1401=MappingTables!$C$34,H1401=MappingTables!$C$35),S1401,0))</f>
        <v>0</v>
      </c>
    </row>
    <row r="1402" spans="2:20" s="0" customFormat="0" ht="15">
      <c r="B1402" s="69" t="s">
        <v>4927</v>
      </c>
      <c r="C1402" s="70" t="s">
        <v>4928</v>
      </c>
      <c r="D1402" s="70" t="s">
        <v>1</v>
      </c>
      <c r="E1402" s="70" t="s">
        <v>1</v>
      </c>
      <c r="F1402" s="70"/>
      <c r="G1402" s="70" t="s">
        <v>61</v>
      </c>
      <c r="H1402" s="70" t="s">
        <v>178</v>
      </c>
      <c r="I1402" s="70" t="s">
        <v>3298</v>
      </c>
      <c r="J1402" s="71">
        <f>IF(OR(I1402=0,I1402=""),"unrated",VLOOKUP(I1402,MappingTables!$B$19:$C$31,2,FALSE))</f>
        <v>6</v>
      </c>
      <c r="K1402" s="72">
        <v>97.32781783159184</v>
      </c>
      <c r="L1402" s="70">
        <v>-0.35930326538647024</v>
      </c>
      <c r="M1402" s="71">
        <f>IF(L1402&lt;1,1,L1402)</f>
        <v>1</v>
      </c>
      <c r="N1402" s="70" t="s">
        <v>3288</v>
      </c>
      <c r="O1402" s="71">
        <f>IF(OR(I1402=$A$1,I1402=0),"",IF(N1402=MappingTables!$C$14,VLOOKUP(J1402,ModelParameters!$M$8:$N$15,2,FALSE),IF(N1402=MappingTables!$C$16,VLOOKUP(J1402,ModelParameters!$P$8:$Q$15,2,FALSE),0)))</f>
        <v>1</v>
      </c>
      <c r="P1402" s="73">
        <f>IF(OR(I1402=0,I1402=$A$1),0,MIN(O1402*M1402,1)*K1402)</f>
        <v>97.32781783159184</v>
      </c>
      <c r="Q1402" s="73">
        <f>IF(B1402="",0,IF(OR(H1402=MappingTables!$C$34,H1402=MappingTables!$C$35),P1402,0))</f>
        <v>0</v>
      </c>
      <c r="R1402" s="73">
        <f>IF(ISNA(IF(AND(VLOOKUP(CONCATENATE($D1402,$G1402),CSRFinput!$B:$E,4,0)=0,OR(H1402=MappingTables!$C$31,H1402=MappingTables!$C$32)),1,VLOOKUP(CONCATENATE($D1402,$G1402),CSRFinput!$B:$E,4,0))),0,IF(AND(VLOOKUP(CONCATENATE($D1402,$G1402),CSRFinput!$B:$E,4,0)=0,OR(H1402=MappingTables!$C$31,H1402=MappingTables!$C$32)),1,VLOOKUP(CONCATENATE($D1402,$G1402),CSRFinput!$B:$E,4,0)))</f>
        <v>0.054776304963434752</v>
      </c>
      <c r="S1402" s="73">
        <f>IF(B1402="",0,P1402*R1402)</f>
        <v>5.3312582309688976</v>
      </c>
      <c r="T1402" s="85">
        <f>IF(B1402="",0,IF(OR(H1402=MappingTables!$C$34,H1402=MappingTables!$C$35),S1402,0))</f>
        <v>0</v>
      </c>
    </row>
    <row r="1403" spans="2:20" s="0" customFormat="0" ht="15">
      <c r="B1403" s="69">
        <v>19666405</v>
      </c>
      <c r="C1403" s="70" t="s">
        <v>4929</v>
      </c>
      <c r="D1403" s="70" t="s">
        <v>1</v>
      </c>
      <c r="E1403" s="70" t="s">
        <v>1</v>
      </c>
      <c r="F1403" s="70"/>
      <c r="G1403" s="70" t="s">
        <v>61</v>
      </c>
      <c r="H1403" s="70" t="s">
        <v>178</v>
      </c>
      <c r="I1403" s="70" t="s">
        <v>216</v>
      </c>
      <c r="J1403" s="71">
        <f>IF(OR(I1403=0,I1403=""),"unrated",VLOOKUP(I1403,MappingTables!$B$19:$C$31,2,FALSE))</f>
        <v>0</v>
      </c>
      <c r="K1403" s="72">
        <v>115.55745600479738</v>
      </c>
      <c r="L1403" s="70">
        <v>0.1183235979577506</v>
      </c>
      <c r="M1403" s="71">
        <f>IF(L1403&lt;1,1,L1403)</f>
        <v>1</v>
      </c>
      <c r="N1403" s="70" t="s">
        <v>3288</v>
      </c>
      <c r="O1403" s="71">
        <f>IF(OR(I1403=$A$1,I1403=0),"",IF(N1403=MappingTables!$C$14,VLOOKUP(J1403,ModelParameters!$M$8:$N$15,2,FALSE),IF(N1403=MappingTables!$C$16,VLOOKUP(J1403,ModelParameters!$P$8:$Q$15,2,FALSE),0)))</f>
        <v>0.125</v>
      </c>
      <c r="P1403" s="73">
        <f>IF(OR(I1403=0,I1403=$A$1),0,MIN(O1403*M1403,1)*K1403)</f>
        <v>14.444682000599672</v>
      </c>
      <c r="Q1403" s="73">
        <f>IF(B1403="",0,IF(OR(H1403=MappingTables!$C$34,H1403=MappingTables!$C$35),P1403,0))</f>
        <v>0</v>
      </c>
      <c r="R1403" s="73">
        <f>IF(ISNA(IF(AND(VLOOKUP(CONCATENATE($D1403,$G1403),CSRFinput!$B:$E,4,0)=0,OR(H1403=MappingTables!$C$31,H1403=MappingTables!$C$32)),1,VLOOKUP(CONCATENATE($D1403,$G1403),CSRFinput!$B:$E,4,0))),0,IF(AND(VLOOKUP(CONCATENATE($D1403,$G1403),CSRFinput!$B:$E,4,0)=0,OR(H1403=MappingTables!$C$31,H1403=MappingTables!$C$32)),1,VLOOKUP(CONCATENATE($D1403,$G1403),CSRFinput!$B:$E,4,0)))</f>
        <v>0.054776304963434752</v>
      </c>
      <c r="S1403" s="73">
        <f>IF(B1403="",0,P1403*R1403)</f>
        <v>0.79122630636468448</v>
      </c>
      <c r="T1403" s="85">
        <f>IF(B1403="",0,IF(OR(H1403=MappingTables!$C$34,H1403=MappingTables!$C$35),S1403,0))</f>
        <v>0</v>
      </c>
    </row>
    <row r="1404" spans="2:20" s="0" customFormat="0" ht="15">
      <c r="B1404" s="69" t="s">
        <v>4930</v>
      </c>
      <c r="C1404" s="70" t="s">
        <v>4931</v>
      </c>
      <c r="D1404" s="70" t="s">
        <v>1</v>
      </c>
      <c r="E1404" s="70" t="s">
        <v>1</v>
      </c>
      <c r="F1404" s="70"/>
      <c r="G1404" s="70" t="s">
        <v>61</v>
      </c>
      <c r="H1404" s="70" t="s">
        <v>178</v>
      </c>
      <c r="I1404" s="70" t="s">
        <v>198</v>
      </c>
      <c r="J1404" s="71" t="str">
        <f>IF(OR(I1404=0,I1404=""),"unrated",VLOOKUP(I1404,MappingTables!$B$19:$C$31,2,FALSE))</f>
        <v>unrated</v>
      </c>
      <c r="K1404" s="72">
        <v>1923.14366347103</v>
      </c>
      <c r="L1404" s="70">
        <v>8.678015396369016</v>
      </c>
      <c r="M1404" s="71">
        <f>IF(L1404&lt;1,1,L1404)</f>
        <v>8.678015396369016</v>
      </c>
      <c r="N1404" s="70" t="s">
        <v>3288</v>
      </c>
      <c r="O1404" s="71">
        <f>IF(OR(I1404=$A$1,I1404=0),"",IF(N1404=MappingTables!$C$14,VLOOKUP(J1404,ModelParameters!$M$8:$N$15,2,FALSE),IF(N1404=MappingTables!$C$16,VLOOKUP(J1404,ModelParameters!$P$8:$Q$15,2,FALSE),0)))</f>
        <v>1</v>
      </c>
      <c r="P1404" s="73">
        <f>IF(OR(I1404=0,I1404=$A$1),0,MIN(O1404*M1404,1)*K1404)</f>
        <v>1923.14366347103</v>
      </c>
      <c r="Q1404" s="73">
        <f>IF(B1404="",0,IF(OR(H1404=MappingTables!$C$34,H1404=MappingTables!$C$35),P1404,0))</f>
        <v>0</v>
      </c>
      <c r="R1404" s="73">
        <f>IF(ISNA(IF(AND(VLOOKUP(CONCATENATE($D1404,$G1404),CSRFinput!$B:$E,4,0)=0,OR(H1404=MappingTables!$C$31,H1404=MappingTables!$C$32)),1,VLOOKUP(CONCATENATE($D1404,$G1404),CSRFinput!$B:$E,4,0))),0,IF(AND(VLOOKUP(CONCATENATE($D1404,$G1404),CSRFinput!$B:$E,4,0)=0,OR(H1404=MappingTables!$C$31,H1404=MappingTables!$C$32)),1,VLOOKUP(CONCATENATE($D1404,$G1404),CSRFinput!$B:$E,4,0)))</f>
        <v>0.054776304963434752</v>
      </c>
      <c r="S1404" s="73">
        <f>IF(B1404="",0,P1404*R1404)</f>
        <v>105.34270379878628</v>
      </c>
      <c r="T1404" s="85">
        <f>IF(B1404="",0,IF(OR(H1404=MappingTables!$C$34,H1404=MappingTables!$C$35),S1404,0))</f>
        <v>0</v>
      </c>
    </row>
    <row r="1405" spans="2:20" s="0" customFormat="0" ht="15">
      <c r="B1405" s="69">
        <v>16974692</v>
      </c>
      <c r="C1405" s="70" t="s">
        <v>4932</v>
      </c>
      <c r="D1405" s="70" t="s">
        <v>1</v>
      </c>
      <c r="E1405" s="70" t="s">
        <v>1</v>
      </c>
      <c r="F1405" s="70"/>
      <c r="G1405" s="70" t="s">
        <v>61</v>
      </c>
      <c r="H1405" s="70" t="s">
        <v>178</v>
      </c>
      <c r="I1405" s="70" t="s">
        <v>198</v>
      </c>
      <c r="J1405" s="71" t="str">
        <f>IF(OR(I1405=0,I1405=""),"unrated",VLOOKUP(I1405,MappingTables!$B$19:$C$31,2,FALSE))</f>
        <v>unrated</v>
      </c>
      <c r="K1405" s="72">
        <v>1692.6938503463572</v>
      </c>
      <c r="L1405" s="70">
        <v>-0.036033076387251216</v>
      </c>
      <c r="M1405" s="71">
        <f>IF(L1405&lt;1,1,L1405)</f>
        <v>1</v>
      </c>
      <c r="N1405" s="70" t="s">
        <v>3288</v>
      </c>
      <c r="O1405" s="71">
        <f>IF(OR(I1405=$A$1,I1405=0),"",IF(N1405=MappingTables!$C$14,VLOOKUP(J1405,ModelParameters!$M$8:$N$15,2,FALSE),IF(N1405=MappingTables!$C$16,VLOOKUP(J1405,ModelParameters!$P$8:$Q$15,2,FALSE),0)))</f>
        <v>1</v>
      </c>
      <c r="P1405" s="73">
        <f>IF(OR(I1405=0,I1405=$A$1),0,MIN(O1405*M1405,1)*K1405)</f>
        <v>1692.6938503463572</v>
      </c>
      <c r="Q1405" s="73">
        <f>IF(B1405="",0,IF(OR(H1405=MappingTables!$C$34,H1405=MappingTables!$C$35),P1405,0))</f>
        <v>0</v>
      </c>
      <c r="R1405" s="73">
        <f>IF(ISNA(IF(AND(VLOOKUP(CONCATENATE($D1405,$G1405),CSRFinput!$B:$E,4,0)=0,OR(H1405=MappingTables!$C$31,H1405=MappingTables!$C$32)),1,VLOOKUP(CONCATENATE($D1405,$G1405),CSRFinput!$B:$E,4,0))),0,IF(AND(VLOOKUP(CONCATENATE($D1405,$G1405),CSRFinput!$B:$E,4,0)=0,OR(H1405=MappingTables!$C$31,H1405=MappingTables!$C$32)),1,VLOOKUP(CONCATENATE($D1405,$G1405),CSRFinput!$B:$E,4,0)))</f>
        <v>0.054776304963434752</v>
      </c>
      <c r="S1405" s="73">
        <f>IF(B1405="",0,P1405*R1405)</f>
        <v>92.719514556302656</v>
      </c>
      <c r="T1405" s="85">
        <f>IF(B1405="",0,IF(OR(H1405=MappingTables!$C$34,H1405=MappingTables!$C$35),S1405,0))</f>
        <v>0</v>
      </c>
    </row>
    <row r="1406" spans="2:20" s="0" customFormat="0" ht="15">
      <c r="B1406" s="69">
        <v>813657</v>
      </c>
      <c r="C1406" s="70" t="s">
        <v>4933</v>
      </c>
      <c r="D1406" s="70" t="s">
        <v>1</v>
      </c>
      <c r="E1406" s="70" t="s">
        <v>1</v>
      </c>
      <c r="F1406" s="70"/>
      <c r="G1406" s="70" t="s">
        <v>61</v>
      </c>
      <c r="H1406" s="70" t="s">
        <v>178</v>
      </c>
      <c r="I1406" s="70" t="s">
        <v>220</v>
      </c>
      <c r="J1406" s="71">
        <f>IF(OR(I1406=0,I1406=""),"unrated",VLOOKUP(I1406,MappingTables!$B$19:$C$31,2,FALSE))</f>
        <v>1</v>
      </c>
      <c r="K1406" s="72">
        <v>6.5254288255815792</v>
      </c>
      <c r="L1406" s="70">
        <v>0.06849296839742332</v>
      </c>
      <c r="M1406" s="71">
        <f>IF(L1406&lt;1,1,L1406)</f>
        <v>1</v>
      </c>
      <c r="N1406" s="70" t="s">
        <v>3288</v>
      </c>
      <c r="O1406" s="71">
        <f>IF(OR(I1406=$A$1,I1406=0),"",IF(N1406=MappingTables!$C$14,VLOOKUP(J1406,ModelParameters!$M$8:$N$15,2,FALSE),IF(N1406=MappingTables!$C$16,VLOOKUP(J1406,ModelParameters!$P$8:$Q$15,2,FALSE),0)))</f>
        <v>0.134</v>
      </c>
      <c r="P1406" s="73">
        <f>IF(OR(I1406=0,I1406=$A$1),0,MIN(O1406*M1406,1)*K1406)</f>
        <v>0.87440746262793168</v>
      </c>
      <c r="Q1406" s="73">
        <f>IF(B1406="",0,IF(OR(H1406=MappingTables!$C$34,H1406=MappingTables!$C$35),P1406,0))</f>
        <v>0</v>
      </c>
      <c r="R1406" s="73">
        <f>IF(ISNA(IF(AND(VLOOKUP(CONCATENATE($D1406,$G1406),CSRFinput!$B:$E,4,0)=0,OR(H1406=MappingTables!$C$31,H1406=MappingTables!$C$32)),1,VLOOKUP(CONCATENATE($D1406,$G1406),CSRFinput!$B:$E,4,0))),0,IF(AND(VLOOKUP(CONCATENATE($D1406,$G1406),CSRFinput!$B:$E,4,0)=0,OR(H1406=MappingTables!$C$31,H1406=MappingTables!$C$32)),1,VLOOKUP(CONCATENATE($D1406,$G1406),CSRFinput!$B:$E,4,0)))</f>
        <v>0.054776304963434752</v>
      </c>
      <c r="S1406" s="73">
        <f>IF(B1406="",0,P1406*R1406)</f>
        <v>0.04789680983521076</v>
      </c>
      <c r="T1406" s="85">
        <f>IF(B1406="",0,IF(OR(H1406=MappingTables!$C$34,H1406=MappingTables!$C$35),S1406,0))</f>
        <v>0</v>
      </c>
    </row>
    <row r="1407" spans="2:20" s="0" customFormat="0" ht="15">
      <c r="B1407" s="69" t="s">
        <v>4771</v>
      </c>
      <c r="C1407" s="70" t="s">
        <v>4772</v>
      </c>
      <c r="D1407" s="70" t="s">
        <v>1</v>
      </c>
      <c r="E1407" s="70" t="s">
        <v>1</v>
      </c>
      <c r="F1407" s="70"/>
      <c r="G1407" s="70" t="s">
        <v>61</v>
      </c>
      <c r="H1407" s="70" t="s">
        <v>178</v>
      </c>
      <c r="I1407" s="70" t="s">
        <v>204</v>
      </c>
      <c r="J1407" s="71">
        <f>IF(OR(I1407=0,I1407=""),"unrated",VLOOKUP(I1407,MappingTables!$B$19:$C$31,2,FALSE))</f>
        <v>6</v>
      </c>
      <c r="K1407" s="72">
        <v>8.9704840074372528</v>
      </c>
      <c r="L1407" s="70">
        <v>0.068489884619705992</v>
      </c>
      <c r="M1407" s="71">
        <f>IF(L1407&lt;1,1,L1407)</f>
        <v>1</v>
      </c>
      <c r="N1407" s="70" t="s">
        <v>3288</v>
      </c>
      <c r="O1407" s="71">
        <f>IF(OR(I1407=$A$1,I1407=0),"",IF(N1407=MappingTables!$C$14,VLOOKUP(J1407,ModelParameters!$M$8:$N$15,2,FALSE),IF(N1407=MappingTables!$C$16,VLOOKUP(J1407,ModelParameters!$P$8:$Q$15,2,FALSE),0)))</f>
        <v>1</v>
      </c>
      <c r="P1407" s="73">
        <f>IF(OR(I1407=0,I1407=$A$1),0,MIN(O1407*M1407,1)*K1407)</f>
        <v>8.9704840074372528</v>
      </c>
      <c r="Q1407" s="73">
        <f>IF(B1407="",0,IF(OR(H1407=MappingTables!$C$34,H1407=MappingTables!$C$35),P1407,0))</f>
        <v>0</v>
      </c>
      <c r="R1407" s="73">
        <f>IF(ISNA(IF(AND(VLOOKUP(CONCATENATE($D1407,$G1407),CSRFinput!$B:$E,4,0)=0,OR(H1407=MappingTables!$C$31,H1407=MappingTables!$C$32)),1,VLOOKUP(CONCATENATE($D1407,$G1407),CSRFinput!$B:$E,4,0))),0,IF(AND(VLOOKUP(CONCATENATE($D1407,$G1407),CSRFinput!$B:$E,4,0)=0,OR(H1407=MappingTables!$C$31,H1407=MappingTables!$C$32)),1,VLOOKUP(CONCATENATE($D1407,$G1407),CSRFinput!$B:$E,4,0)))</f>
        <v>0.054776304963434752</v>
      </c>
      <c r="S1407" s="73">
        <f>IF(B1407="",0,P1407*R1407)</f>
        <v>0.49136996766099728</v>
      </c>
      <c r="T1407" s="85">
        <f>IF(B1407="",0,IF(OR(H1407=MappingTables!$C$34,H1407=MappingTables!$C$35),S1407,0))</f>
        <v>0</v>
      </c>
    </row>
    <row r="1408" spans="2:20" s="0" customFormat="0" ht="15">
      <c r="B1408" s="69" t="s">
        <v>4407</v>
      </c>
      <c r="C1408" s="70" t="s">
        <v>4408</v>
      </c>
      <c r="D1408" s="70" t="s">
        <v>1</v>
      </c>
      <c r="E1408" s="70" t="s">
        <v>1</v>
      </c>
      <c r="F1408" s="70"/>
      <c r="G1408" s="70" t="s">
        <v>61</v>
      </c>
      <c r="H1408" s="70" t="s">
        <v>178</v>
      </c>
      <c r="I1408" s="70" t="s">
        <v>216</v>
      </c>
      <c r="J1408" s="71">
        <f>IF(OR(I1408=0,I1408=""),"unrated",VLOOKUP(I1408,MappingTables!$B$19:$C$31,2,FALSE))</f>
        <v>0</v>
      </c>
      <c r="K1408" s="72">
        <v>280.29817850463808</v>
      </c>
      <c r="L1408" s="70">
        <v>0.068492714905944176</v>
      </c>
      <c r="M1408" s="71">
        <f>IF(L1408&lt;1,1,L1408)</f>
        <v>1</v>
      </c>
      <c r="N1408" s="70" t="s">
        <v>3288</v>
      </c>
      <c r="O1408" s="71">
        <f>IF(OR(I1408=$A$1,I1408=0),"",IF(N1408=MappingTables!$C$14,VLOOKUP(J1408,ModelParameters!$M$8:$N$15,2,FALSE),IF(N1408=MappingTables!$C$16,VLOOKUP(J1408,ModelParameters!$P$8:$Q$15,2,FALSE),0)))</f>
        <v>0.125</v>
      </c>
      <c r="P1408" s="73">
        <f>IF(OR(I1408=0,I1408=$A$1),0,MIN(O1408*M1408,1)*K1408)</f>
        <v>35.03727231307976</v>
      </c>
      <c r="Q1408" s="73">
        <f>IF(B1408="",0,IF(OR(H1408=MappingTables!$C$34,H1408=MappingTables!$C$35),P1408,0))</f>
        <v>0</v>
      </c>
      <c r="R1408" s="73">
        <f>IF(ISNA(IF(AND(VLOOKUP(CONCATENATE($D1408,$G1408),CSRFinput!$B:$E,4,0)=0,OR(H1408=MappingTables!$C$31,H1408=MappingTables!$C$32)),1,VLOOKUP(CONCATENATE($D1408,$G1408),CSRFinput!$B:$E,4,0))),0,IF(AND(VLOOKUP(CONCATENATE($D1408,$G1408),CSRFinput!$B:$E,4,0)=0,OR(H1408=MappingTables!$C$31,H1408=MappingTables!$C$32)),1,VLOOKUP(CONCATENATE($D1408,$G1408),CSRFinput!$B:$E,4,0)))</f>
        <v>0.054776304963434752</v>
      </c>
      <c r="S1408" s="73">
        <f>IF(B1408="",0,P1408*R1408)</f>
        <v>1.919212313308166</v>
      </c>
      <c r="T1408" s="85">
        <f>IF(B1408="",0,IF(OR(H1408=MappingTables!$C$34,H1408=MappingTables!$C$35),S1408,0))</f>
        <v>0</v>
      </c>
    </row>
    <row r="1409" spans="2:20" s="0" customFormat="0" ht="15">
      <c r="B1409" s="69" t="s">
        <v>4709</v>
      </c>
      <c r="C1409" s="70" t="s">
        <v>4710</v>
      </c>
      <c r="D1409" s="70" t="s">
        <v>1</v>
      </c>
      <c r="E1409" s="70" t="s">
        <v>1</v>
      </c>
      <c r="F1409" s="70"/>
      <c r="G1409" s="70" t="s">
        <v>61</v>
      </c>
      <c r="H1409" s="70" t="s">
        <v>178</v>
      </c>
      <c r="I1409" s="70" t="s">
        <v>204</v>
      </c>
      <c r="J1409" s="71">
        <f>IF(OR(I1409=0,I1409=""),"unrated",VLOOKUP(I1409,MappingTables!$B$19:$C$31,2,FALSE))</f>
        <v>6</v>
      </c>
      <c r="K1409" s="72">
        <v>253.01908752921828</v>
      </c>
      <c r="L1409" s="70">
        <v>0.068493048765213216</v>
      </c>
      <c r="M1409" s="71">
        <f>IF(L1409&lt;1,1,L1409)</f>
        <v>1</v>
      </c>
      <c r="N1409" s="70" t="s">
        <v>3288</v>
      </c>
      <c r="O1409" s="71">
        <f>IF(OR(I1409=$A$1,I1409=0),"",IF(N1409=MappingTables!$C$14,VLOOKUP(J1409,ModelParameters!$M$8:$N$15,2,FALSE),IF(N1409=MappingTables!$C$16,VLOOKUP(J1409,ModelParameters!$P$8:$Q$15,2,FALSE),0)))</f>
        <v>1</v>
      </c>
      <c r="P1409" s="73">
        <f>IF(OR(I1409=0,I1409=$A$1),0,MIN(O1409*M1409,1)*K1409)</f>
        <v>253.01908752921828</v>
      </c>
      <c r="Q1409" s="73">
        <f>IF(B1409="",0,IF(OR(H1409=MappingTables!$C$34,H1409=MappingTables!$C$35),P1409,0))</f>
        <v>0</v>
      </c>
      <c r="R1409" s="73">
        <f>IF(ISNA(IF(AND(VLOOKUP(CONCATENATE($D1409,$G1409),CSRFinput!$B:$E,4,0)=0,OR(H1409=MappingTables!$C$31,H1409=MappingTables!$C$32)),1,VLOOKUP(CONCATENATE($D1409,$G1409),CSRFinput!$B:$E,4,0))),0,IF(AND(VLOOKUP(CONCATENATE($D1409,$G1409),CSRFinput!$B:$E,4,0)=0,OR(H1409=MappingTables!$C$31,H1409=MappingTables!$C$32)),1,VLOOKUP(CONCATENATE($D1409,$G1409),CSRFinput!$B:$E,4,0)))</f>
        <v>0.054776304963434752</v>
      </c>
      <c r="S1409" s="73">
        <f>IF(B1409="",0,P1409*R1409)</f>
        <v>13.85945070007045</v>
      </c>
      <c r="T1409" s="85">
        <f>IF(B1409="",0,IF(OR(H1409=MappingTables!$C$34,H1409=MappingTables!$C$35),S1409,0))</f>
        <v>0</v>
      </c>
    </row>
    <row r="1410" spans="2:20" s="0" customFormat="0" ht="15">
      <c r="B1410" s="69">
        <v>22623648</v>
      </c>
      <c r="C1410" s="70" t="s">
        <v>4029</v>
      </c>
      <c r="D1410" s="70" t="s">
        <v>1</v>
      </c>
      <c r="E1410" s="70" t="s">
        <v>1</v>
      </c>
      <c r="F1410" s="70"/>
      <c r="G1410" s="70" t="s">
        <v>61</v>
      </c>
      <c r="H1410" s="70" t="s">
        <v>178</v>
      </c>
      <c r="I1410" s="70" t="s">
        <v>216</v>
      </c>
      <c r="J1410" s="71">
        <f>IF(OR(I1410=0,I1410=""),"unrated",VLOOKUP(I1410,MappingTables!$B$19:$C$31,2,FALSE))</f>
        <v>0</v>
      </c>
      <c r="K1410" s="72">
        <v>171.43904545378276</v>
      </c>
      <c r="L1410" s="70">
        <v>0.10660547725647136</v>
      </c>
      <c r="M1410" s="71">
        <f>IF(L1410&lt;1,1,L1410)</f>
        <v>1</v>
      </c>
      <c r="N1410" s="70" t="s">
        <v>3288</v>
      </c>
      <c r="O1410" s="71">
        <f>IF(OR(I1410=$A$1,I1410=0),"",IF(N1410=MappingTables!$C$14,VLOOKUP(J1410,ModelParameters!$M$8:$N$15,2,FALSE),IF(N1410=MappingTables!$C$16,VLOOKUP(J1410,ModelParameters!$P$8:$Q$15,2,FALSE),0)))</f>
        <v>0.125</v>
      </c>
      <c r="P1410" s="73">
        <f>IF(OR(I1410=0,I1410=$A$1),0,MIN(O1410*M1410,1)*K1410)</f>
        <v>21.429880681722844</v>
      </c>
      <c r="Q1410" s="73">
        <f>IF(B1410="",0,IF(OR(H1410=MappingTables!$C$34,H1410=MappingTables!$C$35),P1410,0))</f>
        <v>0</v>
      </c>
      <c r="R1410" s="73">
        <f>IF(ISNA(IF(AND(VLOOKUP(CONCATENATE($D1410,$G1410),CSRFinput!$B:$E,4,0)=0,OR(H1410=MappingTables!$C$31,H1410=MappingTables!$C$32)),1,VLOOKUP(CONCATENATE($D1410,$G1410),CSRFinput!$B:$E,4,0))),0,IF(AND(VLOOKUP(CONCATENATE($D1410,$G1410),CSRFinput!$B:$E,4,0)=0,OR(H1410=MappingTables!$C$31,H1410=MappingTables!$C$32)),1,VLOOKUP(CONCATENATE($D1410,$G1410),CSRFinput!$B:$E,4,0)))</f>
        <v>0.054776304963434752</v>
      </c>
      <c r="S1410" s="73">
        <f>IF(B1410="",0,P1410*R1410)</f>
        <v>1.1738496795520696</v>
      </c>
      <c r="T1410" s="85">
        <f>IF(B1410="",0,IF(OR(H1410=MappingTables!$C$34,H1410=MappingTables!$C$35),S1410,0))</f>
        <v>0</v>
      </c>
    </row>
    <row r="1411" spans="2:20" s="0" customFormat="0" ht="15">
      <c r="B1411" s="69" t="s">
        <v>4934</v>
      </c>
      <c r="C1411" s="70" t="s">
        <v>4935</v>
      </c>
      <c r="D1411" s="70" t="s">
        <v>1</v>
      </c>
      <c r="E1411" s="70" t="s">
        <v>1</v>
      </c>
      <c r="F1411" s="70"/>
      <c r="G1411" s="70" t="s">
        <v>61</v>
      </c>
      <c r="H1411" s="70" t="s">
        <v>178</v>
      </c>
      <c r="I1411" s="70" t="s">
        <v>184</v>
      </c>
      <c r="J1411" s="71">
        <f>IF(OR(I1411=0,I1411=""),"unrated",VLOOKUP(I1411,MappingTables!$B$19:$C$31,2,FALSE))</f>
        <v>5</v>
      </c>
      <c r="K1411" s="72">
        <v>99.571686726299696</v>
      </c>
      <c r="L1411" s="70">
        <v>0.068492639705620432</v>
      </c>
      <c r="M1411" s="71">
        <f>IF(L1411&lt;1,1,L1411)</f>
        <v>1</v>
      </c>
      <c r="N1411" s="70" t="s">
        <v>3288</v>
      </c>
      <c r="O1411" s="71">
        <f>IF(OR(I1411=$A$1,I1411=0),"",IF(N1411=MappingTables!$C$14,VLOOKUP(J1411,ModelParameters!$M$8:$N$15,2,FALSE),IF(N1411=MappingTables!$C$16,VLOOKUP(J1411,ModelParameters!$P$8:$Q$15,2,FALSE),0)))</f>
        <v>1</v>
      </c>
      <c r="P1411" s="73">
        <f>IF(OR(I1411=0,I1411=$A$1),0,MIN(O1411*M1411,1)*K1411)</f>
        <v>99.571686726299696</v>
      </c>
      <c r="Q1411" s="73">
        <f>IF(B1411="",0,IF(OR(H1411=MappingTables!$C$34,H1411=MappingTables!$C$35),P1411,0))</f>
        <v>0</v>
      </c>
      <c r="R1411" s="73">
        <f>IF(ISNA(IF(AND(VLOOKUP(CONCATENATE($D1411,$G1411),CSRFinput!$B:$E,4,0)=0,OR(H1411=MappingTables!$C$31,H1411=MappingTables!$C$32)),1,VLOOKUP(CONCATENATE($D1411,$G1411),CSRFinput!$B:$E,4,0))),0,IF(AND(VLOOKUP(CONCATENATE($D1411,$G1411),CSRFinput!$B:$E,4,0)=0,OR(H1411=MappingTables!$C$31,H1411=MappingTables!$C$32)),1,VLOOKUP(CONCATENATE($D1411,$G1411),CSRFinput!$B:$E,4,0)))</f>
        <v>0.054776304963434752</v>
      </c>
      <c r="S1411" s="73">
        <f>IF(B1411="",0,P1411*R1411)</f>
        <v>5.4541690778433808</v>
      </c>
      <c r="T1411" s="85">
        <f>IF(B1411="",0,IF(OR(H1411=MappingTables!$C$34,H1411=MappingTables!$C$35),S1411,0))</f>
        <v>0</v>
      </c>
    </row>
    <row r="1412" spans="2:20" s="0" customFormat="0" ht="15">
      <c r="B1412" s="69">
        <v>24139078</v>
      </c>
      <c r="C1412" s="70" t="s">
        <v>4320</v>
      </c>
      <c r="D1412" s="70" t="s">
        <v>1</v>
      </c>
      <c r="E1412" s="70" t="s">
        <v>1</v>
      </c>
      <c r="F1412" s="70"/>
      <c r="G1412" s="70" t="s">
        <v>61</v>
      </c>
      <c r="H1412" s="70" t="s">
        <v>178</v>
      </c>
      <c r="I1412" s="70" t="s">
        <v>216</v>
      </c>
      <c r="J1412" s="71">
        <f>IF(OR(I1412=0,I1412=""),"unrated",VLOOKUP(I1412,MappingTables!$B$19:$C$31,2,FALSE))</f>
        <v>0</v>
      </c>
      <c r="K1412" s="72">
        <v>303.15130602315504</v>
      </c>
      <c r="L1412" s="70">
        <v>4.0805713026963872</v>
      </c>
      <c r="M1412" s="71">
        <f>IF(L1412&lt;1,1,L1412)</f>
        <v>4.0805713026963872</v>
      </c>
      <c r="N1412" s="70" t="s">
        <v>3288</v>
      </c>
      <c r="O1412" s="71">
        <f>IF(OR(I1412=$A$1,I1412=0),"",IF(N1412=MappingTables!$C$14,VLOOKUP(J1412,ModelParameters!$M$8:$N$15,2,FALSE),IF(N1412=MappingTables!$C$16,VLOOKUP(J1412,ModelParameters!$P$8:$Q$15,2,FALSE),0)))</f>
        <v>0.125</v>
      </c>
      <c r="P1412" s="73">
        <f>IF(OR(I1412=0,I1412=$A$1),0,MIN(O1412*M1412,1)*K1412)</f>
        <v>154.62881496662708</v>
      </c>
      <c r="Q1412" s="73">
        <f>IF(B1412="",0,IF(OR(H1412=MappingTables!$C$34,H1412=MappingTables!$C$35),P1412,0))</f>
        <v>0</v>
      </c>
      <c r="R1412" s="73">
        <f>IF(ISNA(IF(AND(VLOOKUP(CONCATENATE($D1412,$G1412),CSRFinput!$B:$E,4,0)=0,OR(H1412=MappingTables!$C$31,H1412=MappingTables!$C$32)),1,VLOOKUP(CONCATENATE($D1412,$G1412),CSRFinput!$B:$E,4,0))),0,IF(AND(VLOOKUP(CONCATENATE($D1412,$G1412),CSRFinput!$B:$E,4,0)=0,OR(H1412=MappingTables!$C$31,H1412=MappingTables!$C$32)),1,VLOOKUP(CONCATENATE($D1412,$G1412),CSRFinput!$B:$E,4,0)))</f>
        <v>0.054776304963434752</v>
      </c>
      <c r="S1412" s="73">
        <f>IF(B1412="",0,P1412*R1412)</f>
        <v>8.4699951247464896</v>
      </c>
      <c r="T1412" s="85">
        <f>IF(B1412="",0,IF(OR(H1412=MappingTables!$C$34,H1412=MappingTables!$C$35),S1412,0))</f>
        <v>0</v>
      </c>
    </row>
    <row r="1413" spans="2:20" s="0" customFormat="0" ht="15">
      <c r="B1413" s="69" t="s">
        <v>3796</v>
      </c>
      <c r="C1413" s="70" t="s">
        <v>3797</v>
      </c>
      <c r="D1413" s="70" t="s">
        <v>1</v>
      </c>
      <c r="E1413" s="70" t="s">
        <v>1</v>
      </c>
      <c r="F1413" s="70"/>
      <c r="G1413" s="70" t="s">
        <v>61</v>
      </c>
      <c r="H1413" s="70" t="s">
        <v>178</v>
      </c>
      <c r="I1413" s="70" t="s">
        <v>204</v>
      </c>
      <c r="J1413" s="71">
        <f>IF(OR(I1413=0,I1413=""),"unrated",VLOOKUP(I1413,MappingTables!$B$19:$C$31,2,FALSE))</f>
        <v>6</v>
      </c>
      <c r="K1413" s="72">
        <v>660.01934422785792</v>
      </c>
      <c r="L1413" s="70">
        <v>0.0028615080933496948</v>
      </c>
      <c r="M1413" s="71">
        <f>IF(L1413&lt;1,1,L1413)</f>
        <v>1</v>
      </c>
      <c r="N1413" s="70" t="s">
        <v>3288</v>
      </c>
      <c r="O1413" s="71">
        <f>IF(OR(I1413=$A$1,I1413=0),"",IF(N1413=MappingTables!$C$14,VLOOKUP(J1413,ModelParameters!$M$8:$N$15,2,FALSE),IF(N1413=MappingTables!$C$16,VLOOKUP(J1413,ModelParameters!$P$8:$Q$15,2,FALSE),0)))</f>
        <v>1</v>
      </c>
      <c r="P1413" s="73">
        <f>IF(OR(I1413=0,I1413=$A$1),0,MIN(O1413*M1413,1)*K1413)</f>
        <v>660.01934422785792</v>
      </c>
      <c r="Q1413" s="73">
        <f>IF(B1413="",0,IF(OR(H1413=MappingTables!$C$34,H1413=MappingTables!$C$35),P1413,0))</f>
        <v>0</v>
      </c>
      <c r="R1413" s="73">
        <f>IF(ISNA(IF(AND(VLOOKUP(CONCATENATE($D1413,$G1413),CSRFinput!$B:$E,4,0)=0,OR(H1413=MappingTables!$C$31,H1413=MappingTables!$C$32)),1,VLOOKUP(CONCATENATE($D1413,$G1413),CSRFinput!$B:$E,4,0))),0,IF(AND(VLOOKUP(CONCATENATE($D1413,$G1413),CSRFinput!$B:$E,4,0)=0,OR(H1413=MappingTables!$C$31,H1413=MappingTables!$C$32)),1,VLOOKUP(CONCATENATE($D1413,$G1413),CSRFinput!$B:$E,4,0)))</f>
        <v>0.054776304963434752</v>
      </c>
      <c r="S1413" s="73">
        <f>IF(B1413="",0,P1413*R1413)</f>
        <v>36.153420881191368</v>
      </c>
      <c r="T1413" s="85">
        <f>IF(B1413="",0,IF(OR(H1413=MappingTables!$C$34,H1413=MappingTables!$C$35),S1413,0))</f>
        <v>0</v>
      </c>
    </row>
    <row r="1414" spans="2:20" s="0" customFormat="0" ht="15">
      <c r="B1414" s="69">
        <v>13285034</v>
      </c>
      <c r="C1414" s="70" t="s">
        <v>4936</v>
      </c>
      <c r="D1414" s="70" t="s">
        <v>1</v>
      </c>
      <c r="E1414" s="70" t="s">
        <v>1</v>
      </c>
      <c r="F1414" s="70"/>
      <c r="G1414" s="70" t="s">
        <v>61</v>
      </c>
      <c r="H1414" s="70" t="s">
        <v>178</v>
      </c>
      <c r="I1414" s="70" t="s">
        <v>204</v>
      </c>
      <c r="J1414" s="71">
        <f>IF(OR(I1414=0,I1414=""),"unrated",VLOOKUP(I1414,MappingTables!$B$19:$C$31,2,FALSE))</f>
        <v>6</v>
      </c>
      <c r="K1414" s="72">
        <v>33.896869770374976</v>
      </c>
      <c r="L1414" s="70">
        <v>0.068495659051261424</v>
      </c>
      <c r="M1414" s="71">
        <f>IF(L1414&lt;1,1,L1414)</f>
        <v>1</v>
      </c>
      <c r="N1414" s="70" t="s">
        <v>3288</v>
      </c>
      <c r="O1414" s="71">
        <f>IF(OR(I1414=$A$1,I1414=0),"",IF(N1414=MappingTables!$C$14,VLOOKUP(J1414,ModelParameters!$M$8:$N$15,2,FALSE),IF(N1414=MappingTables!$C$16,VLOOKUP(J1414,ModelParameters!$P$8:$Q$15,2,FALSE),0)))</f>
        <v>1</v>
      </c>
      <c r="P1414" s="73">
        <f>IF(OR(I1414=0,I1414=$A$1),0,MIN(O1414*M1414,1)*K1414)</f>
        <v>33.896869770374976</v>
      </c>
      <c r="Q1414" s="73">
        <f>IF(B1414="",0,IF(OR(H1414=MappingTables!$C$34,H1414=MappingTables!$C$35),P1414,0))</f>
        <v>0</v>
      </c>
      <c r="R1414" s="73">
        <f>IF(ISNA(IF(AND(VLOOKUP(CONCATENATE($D1414,$G1414),CSRFinput!$B:$E,4,0)=0,OR(H1414=MappingTables!$C$31,H1414=MappingTables!$C$32)),1,VLOOKUP(CONCATENATE($D1414,$G1414),CSRFinput!$B:$E,4,0))),0,IF(AND(VLOOKUP(CONCATENATE($D1414,$G1414),CSRFinput!$B:$E,4,0)=0,OR(H1414=MappingTables!$C$31,H1414=MappingTables!$C$32)),1,VLOOKUP(CONCATENATE($D1414,$G1414),CSRFinput!$B:$E,4,0)))</f>
        <v>0.054776304963434752</v>
      </c>
      <c r="S1414" s="73">
        <f>IF(B1414="",0,P1414*R1414)</f>
        <v>1.8567452758478924</v>
      </c>
      <c r="T1414" s="85">
        <f>IF(B1414="",0,IF(OR(H1414=MappingTables!$C$34,H1414=MappingTables!$C$35),S1414,0))</f>
        <v>0</v>
      </c>
    </row>
    <row r="1415" spans="2:20" s="0" customFormat="0" ht="15">
      <c r="B1415" s="69" t="s">
        <v>4937</v>
      </c>
      <c r="C1415" s="70" t="s">
        <v>4938</v>
      </c>
      <c r="D1415" s="70" t="s">
        <v>1</v>
      </c>
      <c r="E1415" s="70" t="s">
        <v>1</v>
      </c>
      <c r="F1415" s="70"/>
      <c r="G1415" s="70" t="s">
        <v>61</v>
      </c>
      <c r="H1415" s="70" t="s">
        <v>178</v>
      </c>
      <c r="I1415" s="70" t="s">
        <v>188</v>
      </c>
      <c r="J1415" s="71">
        <f>IF(OR(I1415=0,I1415=""),"unrated",VLOOKUP(I1415,MappingTables!$B$19:$C$31,2,FALSE))</f>
        <v>2</v>
      </c>
      <c r="K1415" s="72">
        <v>1207.2536990360194</v>
      </c>
      <c r="L1415" s="70">
        <v>0.06247470637154356</v>
      </c>
      <c r="M1415" s="71">
        <f>IF(L1415&lt;1,1,L1415)</f>
        <v>1</v>
      </c>
      <c r="N1415" s="70" t="s">
        <v>3288</v>
      </c>
      <c r="O1415" s="71">
        <f>IF(OR(I1415=$A$1,I1415=0),"",IF(N1415=MappingTables!$C$14,VLOOKUP(J1415,ModelParameters!$M$8:$N$15,2,FALSE),IF(N1415=MappingTables!$C$16,VLOOKUP(J1415,ModelParameters!$P$8:$Q$15,2,FALSE),0)))</f>
        <v>0.166</v>
      </c>
      <c r="P1415" s="73">
        <f>IF(OR(I1415=0,I1415=$A$1),0,MIN(O1415*M1415,1)*K1415)</f>
        <v>200.40411403997924</v>
      </c>
      <c r="Q1415" s="73">
        <f>IF(B1415="",0,IF(OR(H1415=MappingTables!$C$34,H1415=MappingTables!$C$35),P1415,0))</f>
        <v>0</v>
      </c>
      <c r="R1415" s="73">
        <f>IF(ISNA(IF(AND(VLOOKUP(CONCATENATE($D1415,$G1415),CSRFinput!$B:$E,4,0)=0,OR(H1415=MappingTables!$C$31,H1415=MappingTables!$C$32)),1,VLOOKUP(CONCATENATE($D1415,$G1415),CSRFinput!$B:$E,4,0))),0,IF(AND(VLOOKUP(CONCATENATE($D1415,$G1415),CSRFinput!$B:$E,4,0)=0,OR(H1415=MappingTables!$C$31,H1415=MappingTables!$C$32)),1,VLOOKUP(CONCATENATE($D1415,$G1415),CSRFinput!$B:$E,4,0)))</f>
        <v>0.054776304963434752</v>
      </c>
      <c r="S1415" s="73">
        <f>IF(B1415="",0,P1415*R1415)</f>
        <v>10.97739686658086</v>
      </c>
      <c r="T1415" s="85">
        <f>IF(B1415="",0,IF(OR(H1415=MappingTables!$C$34,H1415=MappingTables!$C$35),S1415,0))</f>
        <v>0</v>
      </c>
    </row>
    <row r="1416" spans="2:20" s="0" customFormat="0" ht="15">
      <c r="B1416" s="69" t="s">
        <v>4651</v>
      </c>
      <c r="C1416" s="70" t="s">
        <v>4652</v>
      </c>
      <c r="D1416" s="70" t="s">
        <v>1</v>
      </c>
      <c r="E1416" s="70" t="s">
        <v>1</v>
      </c>
      <c r="F1416" s="70"/>
      <c r="G1416" s="70" t="s">
        <v>61</v>
      </c>
      <c r="H1416" s="70" t="s">
        <v>178</v>
      </c>
      <c r="I1416" s="70" t="s">
        <v>198</v>
      </c>
      <c r="J1416" s="71" t="str">
        <f>IF(OR(I1416=0,I1416=""),"unrated",VLOOKUP(I1416,MappingTables!$B$19:$C$31,2,FALSE))</f>
        <v>unrated</v>
      </c>
      <c r="K1416" s="72">
        <v>28.11026898003484</v>
      </c>
      <c r="L1416" s="70">
        <v>0.068496109134808096</v>
      </c>
      <c r="M1416" s="71">
        <f>IF(L1416&lt;1,1,L1416)</f>
        <v>1</v>
      </c>
      <c r="N1416" s="70" t="s">
        <v>3288</v>
      </c>
      <c r="O1416" s="71">
        <f>IF(OR(I1416=$A$1,I1416=0),"",IF(N1416=MappingTables!$C$14,VLOOKUP(J1416,ModelParameters!$M$8:$N$15,2,FALSE),IF(N1416=MappingTables!$C$16,VLOOKUP(J1416,ModelParameters!$P$8:$Q$15,2,FALSE),0)))</f>
        <v>1</v>
      </c>
      <c r="P1416" s="73">
        <f>IF(OR(I1416=0,I1416=$A$1),0,MIN(O1416*M1416,1)*K1416)</f>
        <v>28.11026898003484</v>
      </c>
      <c r="Q1416" s="73">
        <f>IF(B1416="",0,IF(OR(H1416=MappingTables!$C$34,H1416=MappingTables!$C$35),P1416,0))</f>
        <v>0</v>
      </c>
      <c r="R1416" s="73">
        <f>IF(ISNA(IF(AND(VLOOKUP(CONCATENATE($D1416,$G1416),CSRFinput!$B:$E,4,0)=0,OR(H1416=MappingTables!$C$31,H1416=MappingTables!$C$32)),1,VLOOKUP(CONCATENATE($D1416,$G1416),CSRFinput!$B:$E,4,0))),0,IF(AND(VLOOKUP(CONCATENATE($D1416,$G1416),CSRFinput!$B:$E,4,0)=0,OR(H1416=MappingTables!$C$31,H1416=MappingTables!$C$32)),1,VLOOKUP(CONCATENATE($D1416,$G1416),CSRFinput!$B:$E,4,0)))</f>
        <v>0.054776304963434752</v>
      </c>
      <c r="S1416" s="73">
        <f>IF(B1416="",0,P1416*R1416)</f>
        <v>1.5397766662545682</v>
      </c>
      <c r="T1416" s="85">
        <f>IF(B1416="",0,IF(OR(H1416=MappingTables!$C$34,H1416=MappingTables!$C$35),S1416,0))</f>
        <v>0</v>
      </c>
    </row>
    <row r="1417" spans="2:20" s="0" customFormat="0" ht="15">
      <c r="B1417" s="69" t="s">
        <v>4939</v>
      </c>
      <c r="C1417" s="70" t="s">
        <v>4940</v>
      </c>
      <c r="D1417" s="70" t="s">
        <v>1</v>
      </c>
      <c r="E1417" s="70" t="s">
        <v>1</v>
      </c>
      <c r="F1417" s="70"/>
      <c r="G1417" s="70" t="s">
        <v>61</v>
      </c>
      <c r="H1417" s="70" t="s">
        <v>178</v>
      </c>
      <c r="I1417" s="70" t="s">
        <v>198</v>
      </c>
      <c r="J1417" s="71" t="str">
        <f>IF(OR(I1417=0,I1417=""),"unrated",VLOOKUP(I1417,MappingTables!$B$19:$C$31,2,FALSE))</f>
        <v>unrated</v>
      </c>
      <c r="K1417" s="72">
        <v>140.02684496817482</v>
      </c>
      <c r="L1417" s="70">
        <v>0.068488699792054808</v>
      </c>
      <c r="M1417" s="71">
        <f>IF(L1417&lt;1,1,L1417)</f>
        <v>1</v>
      </c>
      <c r="N1417" s="70" t="s">
        <v>3288</v>
      </c>
      <c r="O1417" s="71">
        <f>IF(OR(I1417=$A$1,I1417=0),"",IF(N1417=MappingTables!$C$14,VLOOKUP(J1417,ModelParameters!$M$8:$N$15,2,FALSE),IF(N1417=MappingTables!$C$16,VLOOKUP(J1417,ModelParameters!$P$8:$Q$15,2,FALSE),0)))</f>
        <v>1</v>
      </c>
      <c r="P1417" s="73">
        <f>IF(OR(I1417=0,I1417=$A$1),0,MIN(O1417*M1417,1)*K1417)</f>
        <v>140.02684496817482</v>
      </c>
      <c r="Q1417" s="73">
        <f>IF(B1417="",0,IF(OR(H1417=MappingTables!$C$34,H1417=MappingTables!$C$35),P1417,0))</f>
        <v>0</v>
      </c>
      <c r="R1417" s="73">
        <f>IF(ISNA(IF(AND(VLOOKUP(CONCATENATE($D1417,$G1417),CSRFinput!$B:$E,4,0)=0,OR(H1417=MappingTables!$C$31,H1417=MappingTables!$C$32)),1,VLOOKUP(CONCATENATE($D1417,$G1417),CSRFinput!$B:$E,4,0))),0,IF(AND(VLOOKUP(CONCATENATE($D1417,$G1417),CSRFinput!$B:$E,4,0)=0,OR(H1417=MappingTables!$C$31,H1417=MappingTables!$C$32)),1,VLOOKUP(CONCATENATE($D1417,$G1417),CSRFinput!$B:$E,4,0)))</f>
        <v>0.054776304963434752</v>
      </c>
      <c r="S1417" s="73">
        <f>IF(B1417="",0,P1417*R1417)</f>
        <v>7.670153163044344</v>
      </c>
      <c r="T1417" s="85">
        <f>IF(B1417="",0,IF(OR(H1417=MappingTables!$C$34,H1417=MappingTables!$C$35),S1417,0))</f>
        <v>0</v>
      </c>
    </row>
    <row r="1418" spans="2:20" s="0" customFormat="0" ht="15">
      <c r="B1418" s="69">
        <v>16974927</v>
      </c>
      <c r="C1418" s="70" t="s">
        <v>3535</v>
      </c>
      <c r="D1418" s="70" t="s">
        <v>1</v>
      </c>
      <c r="E1418" s="70" t="s">
        <v>1</v>
      </c>
      <c r="F1418" s="70"/>
      <c r="G1418" s="70" t="s">
        <v>61</v>
      </c>
      <c r="H1418" s="70" t="s">
        <v>178</v>
      </c>
      <c r="I1418" s="70" t="s">
        <v>216</v>
      </c>
      <c r="J1418" s="71">
        <f>IF(OR(I1418=0,I1418=""),"unrated",VLOOKUP(I1418,MappingTables!$B$19:$C$31,2,FALSE))</f>
        <v>0</v>
      </c>
      <c r="K1418" s="72">
        <v>99.543920232783184</v>
      </c>
      <c r="L1418" s="70">
        <v>0.2011850403561736</v>
      </c>
      <c r="M1418" s="71">
        <f>IF(L1418&lt;1,1,L1418)</f>
        <v>1</v>
      </c>
      <c r="N1418" s="70" t="s">
        <v>3288</v>
      </c>
      <c r="O1418" s="71">
        <f>IF(OR(I1418=$A$1,I1418=0),"",IF(N1418=MappingTables!$C$14,VLOOKUP(J1418,ModelParameters!$M$8:$N$15,2,FALSE),IF(N1418=MappingTables!$C$16,VLOOKUP(J1418,ModelParameters!$P$8:$Q$15,2,FALSE),0)))</f>
        <v>0.125</v>
      </c>
      <c r="P1418" s="73">
        <f>IF(OR(I1418=0,I1418=$A$1),0,MIN(O1418*M1418,1)*K1418)</f>
        <v>12.442990029097898</v>
      </c>
      <c r="Q1418" s="73">
        <f>IF(B1418="",0,IF(OR(H1418=MappingTables!$C$34,H1418=MappingTables!$C$35),P1418,0))</f>
        <v>0</v>
      </c>
      <c r="R1418" s="73">
        <f>IF(ISNA(IF(AND(VLOOKUP(CONCATENATE($D1418,$G1418),CSRFinput!$B:$E,4,0)=0,OR(H1418=MappingTables!$C$31,H1418=MappingTables!$C$32)),1,VLOOKUP(CONCATENATE($D1418,$G1418),CSRFinput!$B:$E,4,0))),0,IF(AND(VLOOKUP(CONCATENATE($D1418,$G1418),CSRFinput!$B:$E,4,0)=0,OR(H1418=MappingTables!$C$31,H1418=MappingTables!$C$32)),1,VLOOKUP(CONCATENATE($D1418,$G1418),CSRFinput!$B:$E,4,0)))</f>
        <v>0.054776304963434752</v>
      </c>
      <c r="S1418" s="73">
        <f>IF(B1418="",0,P1418*R1418)</f>
        <v>0.68158101649084432</v>
      </c>
      <c r="T1418" s="85">
        <f>IF(B1418="",0,IF(OR(H1418=MappingTables!$C$34,H1418=MappingTables!$C$35),S1418,0))</f>
        <v>0</v>
      </c>
    </row>
    <row r="1419" spans="2:20" s="0" customFormat="0" ht="15">
      <c r="B1419" s="69">
        <v>6759856</v>
      </c>
      <c r="C1419" s="70" t="s">
        <v>4941</v>
      </c>
      <c r="D1419" s="70" t="s">
        <v>1</v>
      </c>
      <c r="E1419" s="70" t="s">
        <v>1</v>
      </c>
      <c r="F1419" s="70"/>
      <c r="G1419" s="70" t="s">
        <v>61</v>
      </c>
      <c r="H1419" s="70" t="s">
        <v>178</v>
      </c>
      <c r="I1419" s="70" t="s">
        <v>198</v>
      </c>
      <c r="J1419" s="71" t="str">
        <f>IF(OR(I1419=0,I1419=""),"unrated",VLOOKUP(I1419,MappingTables!$B$19:$C$31,2,FALSE))</f>
        <v>unrated</v>
      </c>
      <c r="K1419" s="72">
        <v>97.164906888996048</v>
      </c>
      <c r="L1419" s="70">
        <v>0.068494514330338736</v>
      </c>
      <c r="M1419" s="71">
        <f>IF(L1419&lt;1,1,L1419)</f>
        <v>1</v>
      </c>
      <c r="N1419" s="70" t="s">
        <v>3288</v>
      </c>
      <c r="O1419" s="71">
        <f>IF(OR(I1419=$A$1,I1419=0),"",IF(N1419=MappingTables!$C$14,VLOOKUP(J1419,ModelParameters!$M$8:$N$15,2,FALSE),IF(N1419=MappingTables!$C$16,VLOOKUP(J1419,ModelParameters!$P$8:$Q$15,2,FALSE),0)))</f>
        <v>1</v>
      </c>
      <c r="P1419" s="73">
        <f>IF(OR(I1419=0,I1419=$A$1),0,MIN(O1419*M1419,1)*K1419)</f>
        <v>97.164906888996048</v>
      </c>
      <c r="Q1419" s="73">
        <f>IF(B1419="",0,IF(OR(H1419=MappingTables!$C$34,H1419=MappingTables!$C$35),P1419,0))</f>
        <v>0</v>
      </c>
      <c r="R1419" s="73">
        <f>IF(ISNA(IF(AND(VLOOKUP(CONCATENATE($D1419,$G1419),CSRFinput!$B:$E,4,0)=0,OR(H1419=MappingTables!$C$31,H1419=MappingTables!$C$32)),1,VLOOKUP(CONCATENATE($D1419,$G1419),CSRFinput!$B:$E,4,0))),0,IF(AND(VLOOKUP(CONCATENATE($D1419,$G1419),CSRFinput!$B:$E,4,0)=0,OR(H1419=MappingTables!$C$31,H1419=MappingTables!$C$32)),1,VLOOKUP(CONCATENATE($D1419,$G1419),CSRFinput!$B:$E,4,0)))</f>
        <v>0.054776304963434752</v>
      </c>
      <c r="S1419" s="73">
        <f>IF(B1419="",0,P1419*R1419)</f>
        <v>5.3223345714953896</v>
      </c>
      <c r="T1419" s="85">
        <f>IF(B1419="",0,IF(OR(H1419=MappingTables!$C$34,H1419=MappingTables!$C$35),S1419,0))</f>
        <v>0</v>
      </c>
    </row>
    <row r="1420" spans="2:20" s="0" customFormat="0" ht="15">
      <c r="B1420" s="69">
        <v>20819692</v>
      </c>
      <c r="C1420" s="70" t="s">
        <v>4942</v>
      </c>
      <c r="D1420" s="70" t="s">
        <v>1</v>
      </c>
      <c r="E1420" s="70" t="s">
        <v>1</v>
      </c>
      <c r="F1420" s="70"/>
      <c r="G1420" s="70" t="s">
        <v>61</v>
      </c>
      <c r="H1420" s="70" t="s">
        <v>178</v>
      </c>
      <c r="I1420" s="70" t="s">
        <v>198</v>
      </c>
      <c r="J1420" s="71" t="str">
        <f>IF(OR(I1420=0,I1420=""),"unrated",VLOOKUP(I1420,MappingTables!$B$19:$C$31,2,FALSE))</f>
        <v>unrated</v>
      </c>
      <c r="K1420" s="72">
        <v>64.250917013999272</v>
      </c>
      <c r="L1420" s="70">
        <v>1.151377759454644</v>
      </c>
      <c r="M1420" s="71">
        <f>IF(L1420&lt;1,1,L1420)</f>
        <v>1.151377759454644</v>
      </c>
      <c r="N1420" s="70" t="s">
        <v>3288</v>
      </c>
      <c r="O1420" s="71">
        <f>IF(OR(I1420=$A$1,I1420=0),"",IF(N1420=MappingTables!$C$14,VLOOKUP(J1420,ModelParameters!$M$8:$N$15,2,FALSE),IF(N1420=MappingTables!$C$16,VLOOKUP(J1420,ModelParameters!$P$8:$Q$15,2,FALSE),0)))</f>
        <v>1</v>
      </c>
      <c r="P1420" s="73">
        <f>IF(OR(I1420=0,I1420=$A$1),0,MIN(O1420*M1420,1)*K1420)</f>
        <v>64.250917013999272</v>
      </c>
      <c r="Q1420" s="73">
        <f>IF(B1420="",0,IF(OR(H1420=MappingTables!$C$34,H1420=MappingTables!$C$35),P1420,0))</f>
        <v>0</v>
      </c>
      <c r="R1420" s="73">
        <f>IF(ISNA(IF(AND(VLOOKUP(CONCATENATE($D1420,$G1420),CSRFinput!$B:$E,4,0)=0,OR(H1420=MappingTables!$C$31,H1420=MappingTables!$C$32)),1,VLOOKUP(CONCATENATE($D1420,$G1420),CSRFinput!$B:$E,4,0))),0,IF(AND(VLOOKUP(CONCATENATE($D1420,$G1420),CSRFinput!$B:$E,4,0)=0,OR(H1420=MappingTables!$C$31,H1420=MappingTables!$C$32)),1,VLOOKUP(CONCATENATE($D1420,$G1420),CSRFinput!$B:$E,4,0)))</f>
        <v>0.054776304963434752</v>
      </c>
      <c r="S1420" s="73">
        <f>IF(B1420="",0,P1420*R1420)</f>
        <v>3.5194278245391624</v>
      </c>
      <c r="T1420" s="85">
        <f>IF(B1420="",0,IF(OR(H1420=MappingTables!$C$34,H1420=MappingTables!$C$35),S1420,0))</f>
        <v>0</v>
      </c>
    </row>
    <row r="1421" spans="2:20" s="0" customFormat="0" ht="15">
      <c r="B1421" s="69" t="s">
        <v>4943</v>
      </c>
      <c r="C1421" s="70" t="s">
        <v>4944</v>
      </c>
      <c r="D1421" s="70" t="s">
        <v>1</v>
      </c>
      <c r="E1421" s="70" t="s">
        <v>1</v>
      </c>
      <c r="F1421" s="70"/>
      <c r="G1421" s="70" t="s">
        <v>61</v>
      </c>
      <c r="H1421" s="70" t="s">
        <v>178</v>
      </c>
      <c r="I1421" s="70" t="s">
        <v>216</v>
      </c>
      <c r="J1421" s="71">
        <f>IF(OR(I1421=0,I1421=""),"unrated",VLOOKUP(I1421,MappingTables!$B$19:$C$31,2,FALSE))</f>
        <v>0</v>
      </c>
      <c r="K1421" s="72">
        <v>253.35101031309536</v>
      </c>
      <c r="L1421" s="70">
        <v>0.054790794335101232</v>
      </c>
      <c r="M1421" s="71">
        <f>IF(L1421&lt;1,1,L1421)</f>
        <v>1</v>
      </c>
      <c r="N1421" s="70" t="s">
        <v>3288</v>
      </c>
      <c r="O1421" s="71">
        <f>IF(OR(I1421=$A$1,I1421=0),"",IF(N1421=MappingTables!$C$14,VLOOKUP(J1421,ModelParameters!$M$8:$N$15,2,FALSE),IF(N1421=MappingTables!$C$16,VLOOKUP(J1421,ModelParameters!$P$8:$Q$15,2,FALSE),0)))</f>
        <v>0.125</v>
      </c>
      <c r="P1421" s="73">
        <f>IF(OR(I1421=0,I1421=$A$1),0,MIN(O1421*M1421,1)*K1421)</f>
        <v>31.66887628913692</v>
      </c>
      <c r="Q1421" s="73">
        <f>IF(B1421="",0,IF(OR(H1421=MappingTables!$C$34,H1421=MappingTables!$C$35),P1421,0))</f>
        <v>0</v>
      </c>
      <c r="R1421" s="73">
        <f>IF(ISNA(IF(AND(VLOOKUP(CONCATENATE($D1421,$G1421),CSRFinput!$B:$E,4,0)=0,OR(H1421=MappingTables!$C$31,H1421=MappingTables!$C$32)),1,VLOOKUP(CONCATENATE($D1421,$G1421),CSRFinput!$B:$E,4,0))),0,IF(AND(VLOOKUP(CONCATENATE($D1421,$G1421),CSRFinput!$B:$E,4,0)=0,OR(H1421=MappingTables!$C$31,H1421=MappingTables!$C$32)),1,VLOOKUP(CONCATENATE($D1421,$G1421),CSRFinput!$B:$E,4,0)))</f>
        <v>0.054776304963434752</v>
      </c>
      <c r="S1421" s="73">
        <f>IF(B1421="",0,P1421*R1421)</f>
        <v>1.734704025463052</v>
      </c>
      <c r="T1421" s="85">
        <f>IF(B1421="",0,IF(OR(H1421=MappingTables!$C$34,H1421=MappingTables!$C$35),S1421,0))</f>
        <v>0</v>
      </c>
    </row>
    <row r="1422" spans="2:20" s="0" customFormat="0" ht="15">
      <c r="B1422" s="69">
        <v>7065944</v>
      </c>
      <c r="C1422" s="70" t="s">
        <v>4945</v>
      </c>
      <c r="D1422" s="70" t="s">
        <v>1</v>
      </c>
      <c r="E1422" s="70" t="s">
        <v>1</v>
      </c>
      <c r="F1422" s="70"/>
      <c r="G1422" s="70" t="s">
        <v>61</v>
      </c>
      <c r="H1422" s="70" t="s">
        <v>178</v>
      </c>
      <c r="I1422" s="70" t="s">
        <v>216</v>
      </c>
      <c r="J1422" s="71">
        <f>IF(OR(I1422=0,I1422=""),"unrated",VLOOKUP(I1422,MappingTables!$B$19:$C$31,2,FALSE))</f>
        <v>0</v>
      </c>
      <c r="K1422" s="72">
        <v>1.0302817451201998</v>
      </c>
      <c r="L1422" s="70">
        <v>0.025195650775450468</v>
      </c>
      <c r="M1422" s="71">
        <f>IF(L1422&lt;1,1,L1422)</f>
        <v>1</v>
      </c>
      <c r="N1422" s="70" t="s">
        <v>3288</v>
      </c>
      <c r="O1422" s="71">
        <f>IF(OR(I1422=$A$1,I1422=0),"",IF(N1422=MappingTables!$C$14,VLOOKUP(J1422,ModelParameters!$M$8:$N$15,2,FALSE),IF(N1422=MappingTables!$C$16,VLOOKUP(J1422,ModelParameters!$P$8:$Q$15,2,FALSE),0)))</f>
        <v>0.125</v>
      </c>
      <c r="P1422" s="73">
        <f>IF(OR(I1422=0,I1422=$A$1),0,MIN(O1422*M1422,1)*K1422)</f>
        <v>0.12878521814002498</v>
      </c>
      <c r="Q1422" s="73">
        <f>IF(B1422="",0,IF(OR(H1422=MappingTables!$C$34,H1422=MappingTables!$C$35),P1422,0))</f>
        <v>0</v>
      </c>
      <c r="R1422" s="73">
        <f>IF(ISNA(IF(AND(VLOOKUP(CONCATENATE($D1422,$G1422),CSRFinput!$B:$E,4,0)=0,OR(H1422=MappingTables!$C$31,H1422=MappingTables!$C$32)),1,VLOOKUP(CONCATENATE($D1422,$G1422),CSRFinput!$B:$E,4,0))),0,IF(AND(VLOOKUP(CONCATENATE($D1422,$G1422),CSRFinput!$B:$E,4,0)=0,OR(H1422=MappingTables!$C$31,H1422=MappingTables!$C$32)),1,VLOOKUP(CONCATENATE($D1422,$G1422),CSRFinput!$B:$E,4,0)))</f>
        <v>0.054776304963434752</v>
      </c>
      <c r="S1422" s="73">
        <f>IF(B1422="",0,P1422*R1422)</f>
        <v>0.0070543783836204776</v>
      </c>
      <c r="T1422" s="85">
        <f>IF(B1422="",0,IF(OR(H1422=MappingTables!$C$34,H1422=MappingTables!$C$35),S1422,0))</f>
        <v>0</v>
      </c>
    </row>
    <row r="1423" spans="2:20" s="0" customFormat="0" ht="15">
      <c r="B1423" s="69" t="s">
        <v>4433</v>
      </c>
      <c r="C1423" s="70" t="s">
        <v>4434</v>
      </c>
      <c r="D1423" s="70" t="s">
        <v>1</v>
      </c>
      <c r="E1423" s="70" t="s">
        <v>1</v>
      </c>
      <c r="F1423" s="70"/>
      <c r="G1423" s="70" t="s">
        <v>61</v>
      </c>
      <c r="H1423" s="70" t="s">
        <v>178</v>
      </c>
      <c r="I1423" s="70" t="s">
        <v>198</v>
      </c>
      <c r="J1423" s="71" t="str">
        <f>IF(OR(I1423=0,I1423=""),"unrated",VLOOKUP(I1423,MappingTables!$B$19:$C$31,2,FALSE))</f>
        <v>unrated</v>
      </c>
      <c r="K1423" s="72">
        <v>509.26963002198784</v>
      </c>
      <c r="L1423" s="70">
        <v>9.2604733051471632</v>
      </c>
      <c r="M1423" s="71">
        <f>IF(L1423&lt;1,1,L1423)</f>
        <v>9.2604733051471632</v>
      </c>
      <c r="N1423" s="70" t="s">
        <v>3288</v>
      </c>
      <c r="O1423" s="71">
        <f>IF(OR(I1423=$A$1,I1423=0),"",IF(N1423=MappingTables!$C$14,VLOOKUP(J1423,ModelParameters!$M$8:$N$15,2,FALSE),IF(N1423=MappingTables!$C$16,VLOOKUP(J1423,ModelParameters!$P$8:$Q$15,2,FALSE),0)))</f>
        <v>1</v>
      </c>
      <c r="P1423" s="73">
        <f>IF(OR(I1423=0,I1423=$A$1),0,MIN(O1423*M1423,1)*K1423)</f>
        <v>509.26963002198784</v>
      </c>
      <c r="Q1423" s="73">
        <f>IF(B1423="",0,IF(OR(H1423=MappingTables!$C$34,H1423=MappingTables!$C$35),P1423,0))</f>
        <v>0</v>
      </c>
      <c r="R1423" s="73">
        <f>IF(ISNA(IF(AND(VLOOKUP(CONCATENATE($D1423,$G1423),CSRFinput!$B:$E,4,0)=0,OR(H1423=MappingTables!$C$31,H1423=MappingTables!$C$32)),1,VLOOKUP(CONCATENATE($D1423,$G1423),CSRFinput!$B:$E,4,0))),0,IF(AND(VLOOKUP(CONCATENATE($D1423,$G1423),CSRFinput!$B:$E,4,0)=0,OR(H1423=MappingTables!$C$31,H1423=MappingTables!$C$32)),1,VLOOKUP(CONCATENATE($D1423,$G1423),CSRFinput!$B:$E,4,0)))</f>
        <v>0.054776304963434752</v>
      </c>
      <c r="S1423" s="73">
        <f>IF(B1423="",0,P1423*R1423)</f>
        <v>27.895908562699992</v>
      </c>
      <c r="T1423" s="85">
        <f>IF(B1423="",0,IF(OR(H1423=MappingTables!$C$34,H1423=MappingTables!$C$35),S1423,0))</f>
        <v>0</v>
      </c>
    </row>
    <row r="1424" spans="2:20" s="0" customFormat="0" ht="15">
      <c r="B1424" s="69">
        <v>2290894</v>
      </c>
      <c r="C1424" s="70" t="s">
        <v>4733</v>
      </c>
      <c r="D1424" s="70" t="s">
        <v>1</v>
      </c>
      <c r="E1424" s="70" t="s">
        <v>1</v>
      </c>
      <c r="F1424" s="70"/>
      <c r="G1424" s="70" t="s">
        <v>61</v>
      </c>
      <c r="H1424" s="70" t="s">
        <v>178</v>
      </c>
      <c r="I1424" s="70" t="s">
        <v>179</v>
      </c>
      <c r="J1424" s="71">
        <f>IF(OR(I1424=0,I1424=""),"unrated",VLOOKUP(I1424,MappingTables!$B$19:$C$31,2,FALSE))</f>
        <v>4</v>
      </c>
      <c r="K1424" s="72">
        <v>91.055793613975472</v>
      </c>
      <c r="L1424" s="70">
        <v>0.057534061511877904</v>
      </c>
      <c r="M1424" s="71">
        <f>IF(L1424&lt;1,1,L1424)</f>
        <v>1</v>
      </c>
      <c r="N1424" s="70" t="s">
        <v>3288</v>
      </c>
      <c r="O1424" s="71">
        <f>IF(OR(I1424=$A$1,I1424=0),"",IF(N1424=MappingTables!$C$14,VLOOKUP(J1424,ModelParameters!$M$8:$N$15,2,FALSE),IF(N1424=MappingTables!$C$16,VLOOKUP(J1424,ModelParameters!$P$8:$Q$15,2,FALSE),0)))</f>
        <v>0.82</v>
      </c>
      <c r="P1424" s="73">
        <f>IF(OR(I1424=0,I1424=$A$1),0,MIN(O1424*M1424,1)*K1424)</f>
        <v>74.665750763459888</v>
      </c>
      <c r="Q1424" s="73">
        <f>IF(B1424="",0,IF(OR(H1424=MappingTables!$C$34,H1424=MappingTables!$C$35),P1424,0))</f>
        <v>0</v>
      </c>
      <c r="R1424" s="73">
        <f>IF(ISNA(IF(AND(VLOOKUP(CONCATENATE($D1424,$G1424),CSRFinput!$B:$E,4,0)=0,OR(H1424=MappingTables!$C$31,H1424=MappingTables!$C$32)),1,VLOOKUP(CONCATENATE($D1424,$G1424),CSRFinput!$B:$E,4,0))),0,IF(AND(VLOOKUP(CONCATENATE($D1424,$G1424),CSRFinput!$B:$E,4,0)=0,OR(H1424=MappingTables!$C$31,H1424=MappingTables!$C$32)),1,VLOOKUP(CONCATENATE($D1424,$G1424),CSRFinput!$B:$E,4,0)))</f>
        <v>0.054776304963434752</v>
      </c>
      <c r="S1424" s="73">
        <f>IF(B1424="",0,P1424*R1424)</f>
        <v>4.0899139341430904</v>
      </c>
      <c r="T1424" s="85">
        <f>IF(B1424="",0,IF(OR(H1424=MappingTables!$C$34,H1424=MappingTables!$C$35),S1424,0))</f>
        <v>0</v>
      </c>
    </row>
    <row r="1425" spans="2:20" s="0" customFormat="0" ht="15">
      <c r="B1425" s="69" t="s">
        <v>4946</v>
      </c>
      <c r="C1425" s="70" t="s">
        <v>4947</v>
      </c>
      <c r="D1425" s="70" t="s">
        <v>1</v>
      </c>
      <c r="E1425" s="70" t="s">
        <v>1</v>
      </c>
      <c r="F1425" s="70"/>
      <c r="G1425" s="70" t="s">
        <v>61</v>
      </c>
      <c r="H1425" s="70" t="s">
        <v>178</v>
      </c>
      <c r="I1425" s="70" t="s">
        <v>198</v>
      </c>
      <c r="J1425" s="71" t="str">
        <f>IF(OR(I1425=0,I1425=""),"unrated",VLOOKUP(I1425,MappingTables!$B$19:$C$31,2,FALSE))</f>
        <v>unrated</v>
      </c>
      <c r="K1425" s="72">
        <v>291.3898243606144</v>
      </c>
      <c r="L1425" s="70">
        <v>1.155518778624204</v>
      </c>
      <c r="M1425" s="71">
        <f>IF(L1425&lt;1,1,L1425)</f>
        <v>1.155518778624204</v>
      </c>
      <c r="N1425" s="70" t="s">
        <v>3288</v>
      </c>
      <c r="O1425" s="71">
        <f>IF(OR(I1425=$A$1,I1425=0),"",IF(N1425=MappingTables!$C$14,VLOOKUP(J1425,ModelParameters!$M$8:$N$15,2,FALSE),IF(N1425=MappingTables!$C$16,VLOOKUP(J1425,ModelParameters!$P$8:$Q$15,2,FALSE),0)))</f>
        <v>1</v>
      </c>
      <c r="P1425" s="73">
        <f>IF(OR(I1425=0,I1425=$A$1),0,MIN(O1425*M1425,1)*K1425)</f>
        <v>291.3898243606144</v>
      </c>
      <c r="Q1425" s="73">
        <f>IF(B1425="",0,IF(OR(H1425=MappingTables!$C$34,H1425=MappingTables!$C$35),P1425,0))</f>
        <v>0</v>
      </c>
      <c r="R1425" s="73">
        <f>IF(ISNA(IF(AND(VLOOKUP(CONCATENATE($D1425,$G1425),CSRFinput!$B:$E,4,0)=0,OR(H1425=MappingTables!$C$31,H1425=MappingTables!$C$32)),1,VLOOKUP(CONCATENATE($D1425,$G1425),CSRFinput!$B:$E,4,0))),0,IF(AND(VLOOKUP(CONCATENATE($D1425,$G1425),CSRFinput!$B:$E,4,0)=0,OR(H1425=MappingTables!$C$31,H1425=MappingTables!$C$32)),1,VLOOKUP(CONCATENATE($D1425,$G1425),CSRFinput!$B:$E,4,0)))</f>
        <v>0.054776304963434752</v>
      </c>
      <c r="S1425" s="73">
        <f>IF(B1425="",0,P1425*R1425)</f>
        <v>15.961257882418704</v>
      </c>
      <c r="T1425" s="85">
        <f>IF(B1425="",0,IF(OR(H1425=MappingTables!$C$34,H1425=MappingTables!$C$35),S1425,0))</f>
        <v>0</v>
      </c>
    </row>
    <row r="1426" spans="2:20" s="0" customFormat="0" ht="15">
      <c r="B1426" s="69" t="s">
        <v>4948</v>
      </c>
      <c r="C1426" s="70" t="s">
        <v>4949</v>
      </c>
      <c r="D1426" s="70" t="s">
        <v>1</v>
      </c>
      <c r="E1426" s="70" t="s">
        <v>1</v>
      </c>
      <c r="F1426" s="70"/>
      <c r="G1426" s="70" t="s">
        <v>61</v>
      </c>
      <c r="H1426" s="70" t="s">
        <v>178</v>
      </c>
      <c r="I1426" s="70" t="s">
        <v>184</v>
      </c>
      <c r="J1426" s="71">
        <f>IF(OR(I1426=0,I1426=""),"unrated",VLOOKUP(I1426,MappingTables!$B$19:$C$31,2,FALSE))</f>
        <v>5</v>
      </c>
      <c r="K1426" s="72">
        <v>5089.5714446355248</v>
      </c>
      <c r="L1426" s="70">
        <v>0.068495584112460664</v>
      </c>
      <c r="M1426" s="71">
        <f>IF(L1426&lt;1,1,L1426)</f>
        <v>1</v>
      </c>
      <c r="N1426" s="70" t="s">
        <v>3288</v>
      </c>
      <c r="O1426" s="71">
        <f>IF(OR(I1426=$A$1,I1426=0),"",IF(N1426=MappingTables!$C$14,VLOOKUP(J1426,ModelParameters!$M$8:$N$15,2,FALSE),IF(N1426=MappingTables!$C$16,VLOOKUP(J1426,ModelParameters!$P$8:$Q$15,2,FALSE),0)))</f>
        <v>1</v>
      </c>
      <c r="P1426" s="73">
        <f>IF(OR(I1426=0,I1426=$A$1),0,MIN(O1426*M1426,1)*K1426)</f>
        <v>5089.5714446355248</v>
      </c>
      <c r="Q1426" s="73">
        <f>IF(B1426="",0,IF(OR(H1426=MappingTables!$C$34,H1426=MappingTables!$C$35),P1426,0))</f>
        <v>0</v>
      </c>
      <c r="R1426" s="73">
        <f>IF(ISNA(IF(AND(VLOOKUP(CONCATENATE($D1426,$G1426),CSRFinput!$B:$E,4,0)=0,OR(H1426=MappingTables!$C$31,H1426=MappingTables!$C$32)),1,VLOOKUP(CONCATENATE($D1426,$G1426),CSRFinput!$B:$E,4,0))),0,IF(AND(VLOOKUP(CONCATENATE($D1426,$G1426),CSRFinput!$B:$E,4,0)=0,OR(H1426=MappingTables!$C$31,H1426=MappingTables!$C$32)),1,VLOOKUP(CONCATENATE($D1426,$G1426),CSRFinput!$B:$E,4,0)))</f>
        <v>0.054776304963434752</v>
      </c>
      <c r="S1426" s="73">
        <f>IF(B1426="",0,P1426*R1426)</f>
        <v>278.78791758454468</v>
      </c>
      <c r="T1426" s="85">
        <f>IF(B1426="",0,IF(OR(H1426=MappingTables!$C$34,H1426=MappingTables!$C$35),S1426,0))</f>
        <v>0</v>
      </c>
    </row>
    <row r="1427" spans="2:20" s="0" customFormat="0" ht="15">
      <c r="B1427" s="69">
        <v>4530720</v>
      </c>
      <c r="C1427" s="70" t="s">
        <v>3711</v>
      </c>
      <c r="D1427" s="70" t="s">
        <v>1</v>
      </c>
      <c r="E1427" s="70" t="s">
        <v>1</v>
      </c>
      <c r="F1427" s="70"/>
      <c r="G1427" s="70" t="s">
        <v>61</v>
      </c>
      <c r="H1427" s="70" t="s">
        <v>178</v>
      </c>
      <c r="I1427" s="70" t="s">
        <v>216</v>
      </c>
      <c r="J1427" s="71">
        <f>IF(OR(I1427=0,I1427=""),"unrated",VLOOKUP(I1427,MappingTables!$B$19:$C$31,2,FALSE))</f>
        <v>0</v>
      </c>
      <c r="K1427" s="72">
        <v>4955.567965312456</v>
      </c>
      <c r="L1427" s="70">
        <v>1.1076003810123872</v>
      </c>
      <c r="M1427" s="71">
        <f>IF(L1427&lt;1,1,L1427)</f>
        <v>1.1076003810123872</v>
      </c>
      <c r="N1427" s="70" t="s">
        <v>3288</v>
      </c>
      <c r="O1427" s="71">
        <f>IF(OR(I1427=$A$1,I1427=0),"",IF(N1427=MappingTables!$C$14,VLOOKUP(J1427,ModelParameters!$M$8:$N$15,2,FALSE),IF(N1427=MappingTables!$C$16,VLOOKUP(J1427,ModelParameters!$P$8:$Q$15,2,FALSE),0)))</f>
        <v>0.125</v>
      </c>
      <c r="P1427" s="73">
        <f>IF(OR(I1427=0,I1427=$A$1),0,MIN(O1427*M1427,1)*K1427)</f>
        <v>686.09862081410712</v>
      </c>
      <c r="Q1427" s="73">
        <f>IF(B1427="",0,IF(OR(H1427=MappingTables!$C$34,H1427=MappingTables!$C$35),P1427,0))</f>
        <v>0</v>
      </c>
      <c r="R1427" s="73">
        <f>IF(ISNA(IF(AND(VLOOKUP(CONCATENATE($D1427,$G1427),CSRFinput!$B:$E,4,0)=0,OR(H1427=MappingTables!$C$31,H1427=MappingTables!$C$32)),1,VLOOKUP(CONCATENATE($D1427,$G1427),CSRFinput!$B:$E,4,0))),0,IF(AND(VLOOKUP(CONCATENATE($D1427,$G1427),CSRFinput!$B:$E,4,0)=0,OR(H1427=MappingTables!$C$31,H1427=MappingTables!$C$32)),1,VLOOKUP(CONCATENATE($D1427,$G1427),CSRFinput!$B:$E,4,0)))</f>
        <v>0.054776304963434752</v>
      </c>
      <c r="S1427" s="73">
        <f>IF(B1427="",0,P1427*R1427)</f>
        <v>37.581947288705512</v>
      </c>
      <c r="T1427" s="85">
        <f>IF(B1427="",0,IF(OR(H1427=MappingTables!$C$34,H1427=MappingTables!$C$35),S1427,0))</f>
        <v>0</v>
      </c>
    </row>
    <row r="1428" spans="2:20" s="0" customFormat="0" ht="15">
      <c r="B1428" s="69" t="s">
        <v>3648</v>
      </c>
      <c r="C1428" s="70" t="s">
        <v>3649</v>
      </c>
      <c r="D1428" s="70" t="s">
        <v>1</v>
      </c>
      <c r="E1428" s="70" t="s">
        <v>1</v>
      </c>
      <c r="F1428" s="70"/>
      <c r="G1428" s="70" t="s">
        <v>61</v>
      </c>
      <c r="H1428" s="70" t="s">
        <v>178</v>
      </c>
      <c r="I1428" s="70" t="s">
        <v>3298</v>
      </c>
      <c r="J1428" s="71">
        <f>IF(OR(I1428=0,I1428=""),"unrated",VLOOKUP(I1428,MappingTables!$B$19:$C$31,2,FALSE))</f>
        <v>6</v>
      </c>
      <c r="K1428" s="72">
        <v>1226.3204106186582</v>
      </c>
      <c r="L1428" s="70">
        <v>-0.3218896520602012</v>
      </c>
      <c r="M1428" s="71">
        <f>IF(L1428&lt;1,1,L1428)</f>
        <v>1</v>
      </c>
      <c r="N1428" s="70" t="s">
        <v>3288</v>
      </c>
      <c r="O1428" s="71">
        <f>IF(OR(I1428=$A$1,I1428=0),"",IF(N1428=MappingTables!$C$14,VLOOKUP(J1428,ModelParameters!$M$8:$N$15,2,FALSE),IF(N1428=MappingTables!$C$16,VLOOKUP(J1428,ModelParameters!$P$8:$Q$15,2,FALSE),0)))</f>
        <v>1</v>
      </c>
      <c r="P1428" s="73">
        <f>IF(OR(I1428=0,I1428=$A$1),0,MIN(O1428*M1428,1)*K1428)</f>
        <v>1226.3204106186582</v>
      </c>
      <c r="Q1428" s="73">
        <f>IF(B1428="",0,IF(OR(H1428=MappingTables!$C$34,H1428=MappingTables!$C$35),P1428,0))</f>
        <v>0</v>
      </c>
      <c r="R1428" s="73">
        <f>IF(ISNA(IF(AND(VLOOKUP(CONCATENATE($D1428,$G1428),CSRFinput!$B:$E,4,0)=0,OR(H1428=MappingTables!$C$31,H1428=MappingTables!$C$32)),1,VLOOKUP(CONCATENATE($D1428,$G1428),CSRFinput!$B:$E,4,0))),0,IF(AND(VLOOKUP(CONCATENATE($D1428,$G1428),CSRFinput!$B:$E,4,0)=0,OR(H1428=MappingTables!$C$31,H1428=MappingTables!$C$32)),1,VLOOKUP(CONCATENATE($D1428,$G1428),CSRFinput!$B:$E,4,0)))</f>
        <v>0.054776304963434752</v>
      </c>
      <c r="S1428" s="73">
        <f>IF(B1428="",0,P1428*R1428)</f>
        <v>67.173300794932144</v>
      </c>
      <c r="T1428" s="85">
        <f>IF(B1428="",0,IF(OR(H1428=MappingTables!$C$34,H1428=MappingTables!$C$35),S1428,0))</f>
        <v>0</v>
      </c>
    </row>
    <row r="1429" spans="2:20" s="0" customFormat="0" ht="15">
      <c r="B1429" s="69" t="s">
        <v>4400</v>
      </c>
      <c r="C1429" s="70" t="s">
        <v>4401</v>
      </c>
      <c r="D1429" s="70" t="s">
        <v>1</v>
      </c>
      <c r="E1429" s="70" t="s">
        <v>1</v>
      </c>
      <c r="F1429" s="70"/>
      <c r="G1429" s="70" t="s">
        <v>61</v>
      </c>
      <c r="H1429" s="70" t="s">
        <v>178</v>
      </c>
      <c r="I1429" s="70" t="s">
        <v>198</v>
      </c>
      <c r="J1429" s="71" t="str">
        <f>IF(OR(I1429=0,I1429=""),"unrated",VLOOKUP(I1429,MappingTables!$B$19:$C$31,2,FALSE))</f>
        <v>unrated</v>
      </c>
      <c r="K1429" s="72">
        <v>10453.01835401488</v>
      </c>
      <c r="L1429" s="70">
        <v>9.2147065483164512</v>
      </c>
      <c r="M1429" s="71">
        <f>IF(L1429&lt;1,1,L1429)</f>
        <v>9.2147065483164512</v>
      </c>
      <c r="N1429" s="70" t="s">
        <v>3288</v>
      </c>
      <c r="O1429" s="71">
        <f>IF(OR(I1429=$A$1,I1429=0),"",IF(N1429=MappingTables!$C$14,VLOOKUP(J1429,ModelParameters!$M$8:$N$15,2,FALSE),IF(N1429=MappingTables!$C$16,VLOOKUP(J1429,ModelParameters!$P$8:$Q$15,2,FALSE),0)))</f>
        <v>1</v>
      </c>
      <c r="P1429" s="73">
        <f>IF(OR(I1429=0,I1429=$A$1),0,MIN(O1429*M1429,1)*K1429)</f>
        <v>10453.01835401488</v>
      </c>
      <c r="Q1429" s="73">
        <f>IF(B1429="",0,IF(OR(H1429=MappingTables!$C$34,H1429=MappingTables!$C$35),P1429,0))</f>
        <v>0</v>
      </c>
      <c r="R1429" s="73">
        <f>IF(ISNA(IF(AND(VLOOKUP(CONCATENATE($D1429,$G1429),CSRFinput!$B:$E,4,0)=0,OR(H1429=MappingTables!$C$31,H1429=MappingTables!$C$32)),1,VLOOKUP(CONCATENATE($D1429,$G1429),CSRFinput!$B:$E,4,0))),0,IF(AND(VLOOKUP(CONCATENATE($D1429,$G1429),CSRFinput!$B:$E,4,0)=0,OR(H1429=MappingTables!$C$31,H1429=MappingTables!$C$32)),1,VLOOKUP(CONCATENATE($D1429,$G1429),CSRFinput!$B:$E,4,0)))</f>
        <v>0.054776304963434752</v>
      </c>
      <c r="S1429" s="73">
        <f>IF(B1429="",0,P1429*R1429)</f>
        <v>572.57772114789976</v>
      </c>
      <c r="T1429" s="85">
        <f>IF(B1429="",0,IF(OR(H1429=MappingTables!$C$34,H1429=MappingTables!$C$35),S1429,0))</f>
        <v>0</v>
      </c>
    </row>
    <row r="1430" spans="2:20" s="0" customFormat="0" ht="15">
      <c r="B1430" s="69" t="s">
        <v>4950</v>
      </c>
      <c r="C1430" s="70" t="s">
        <v>4951</v>
      </c>
      <c r="D1430" s="70" t="s">
        <v>1</v>
      </c>
      <c r="E1430" s="70" t="s">
        <v>1</v>
      </c>
      <c r="F1430" s="70"/>
      <c r="G1430" s="70" t="s">
        <v>61</v>
      </c>
      <c r="H1430" s="70" t="s">
        <v>178</v>
      </c>
      <c r="I1430" s="70" t="s">
        <v>204</v>
      </c>
      <c r="J1430" s="71">
        <f>IF(OR(I1430=0,I1430=""),"unrated",VLOOKUP(I1430,MappingTables!$B$19:$C$31,2,FALSE))</f>
        <v>6</v>
      </c>
      <c r="K1430" s="72">
        <v>62.100387764656208</v>
      </c>
      <c r="L1430" s="70">
        <v>-1.0413030681822312</v>
      </c>
      <c r="M1430" s="71">
        <f>IF(L1430&lt;1,1,L1430)</f>
        <v>1</v>
      </c>
      <c r="N1430" s="70" t="s">
        <v>3288</v>
      </c>
      <c r="O1430" s="71">
        <f>IF(OR(I1430=$A$1,I1430=0),"",IF(N1430=MappingTables!$C$14,VLOOKUP(J1430,ModelParameters!$M$8:$N$15,2,FALSE),IF(N1430=MappingTables!$C$16,VLOOKUP(J1430,ModelParameters!$P$8:$Q$15,2,FALSE),0)))</f>
        <v>1</v>
      </c>
      <c r="P1430" s="73">
        <f>IF(OR(I1430=0,I1430=$A$1),0,MIN(O1430*M1430,1)*K1430)</f>
        <v>62.100387764656208</v>
      </c>
      <c r="Q1430" s="73">
        <f>IF(B1430="",0,IF(OR(H1430=MappingTables!$C$34,H1430=MappingTables!$C$35),P1430,0))</f>
        <v>0</v>
      </c>
      <c r="R1430" s="73">
        <f>IF(ISNA(IF(AND(VLOOKUP(CONCATENATE($D1430,$G1430),CSRFinput!$B:$E,4,0)=0,OR(H1430=MappingTables!$C$31,H1430=MappingTables!$C$32)),1,VLOOKUP(CONCATENATE($D1430,$G1430),CSRFinput!$B:$E,4,0))),0,IF(AND(VLOOKUP(CONCATENATE($D1430,$G1430),CSRFinput!$B:$E,4,0)=0,OR(H1430=MappingTables!$C$31,H1430=MappingTables!$C$32)),1,VLOOKUP(CONCATENATE($D1430,$G1430),CSRFinput!$B:$E,4,0)))</f>
        <v>0.054776304963434752</v>
      </c>
      <c r="S1430" s="73">
        <f>IF(B1430="",0,P1430*R1430)</f>
        <v>3.4016297785443608</v>
      </c>
      <c r="T1430" s="85">
        <f>IF(B1430="",0,IF(OR(H1430=MappingTables!$C$34,H1430=MappingTables!$C$35),S1430,0))</f>
        <v>0</v>
      </c>
    </row>
    <row r="1431" spans="2:20" s="0" customFormat="0" ht="15">
      <c r="B1431" s="69" t="s">
        <v>4921</v>
      </c>
      <c r="C1431" s="70" t="s">
        <v>4922</v>
      </c>
      <c r="D1431" s="70" t="s">
        <v>1</v>
      </c>
      <c r="E1431" s="70" t="s">
        <v>1</v>
      </c>
      <c r="F1431" s="70"/>
      <c r="G1431" s="70" t="s">
        <v>61</v>
      </c>
      <c r="H1431" s="70" t="s">
        <v>178</v>
      </c>
      <c r="I1431" s="70" t="s">
        <v>181</v>
      </c>
      <c r="J1431" s="71">
        <f>IF(OR(I1431=0,I1431=""),"unrated",VLOOKUP(I1431,MappingTables!$B$19:$C$31,2,FALSE))</f>
        <v>3</v>
      </c>
      <c r="K1431" s="72">
        <v>107.84951045652628</v>
      </c>
      <c r="L1431" s="70">
        <v>0.068489314381052104</v>
      </c>
      <c r="M1431" s="71">
        <f>IF(L1431&lt;1,1,L1431)</f>
        <v>1</v>
      </c>
      <c r="N1431" s="70" t="s">
        <v>3288</v>
      </c>
      <c r="O1431" s="71">
        <f>IF(OR(I1431=$A$1,I1431=0),"",IF(N1431=MappingTables!$C$14,VLOOKUP(J1431,ModelParameters!$M$8:$N$15,2,FALSE),IF(N1431=MappingTables!$C$16,VLOOKUP(J1431,ModelParameters!$P$8:$Q$15,2,FALSE),0)))</f>
        <v>0.197</v>
      </c>
      <c r="P1431" s="73">
        <f>IF(OR(I1431=0,I1431=$A$1),0,MIN(O1431*M1431,1)*K1431)</f>
        <v>21.246353559935672</v>
      </c>
      <c r="Q1431" s="73">
        <f>IF(B1431="",0,IF(OR(H1431=MappingTables!$C$34,H1431=MappingTables!$C$35),P1431,0))</f>
        <v>0</v>
      </c>
      <c r="R1431" s="73">
        <f>IF(ISNA(IF(AND(VLOOKUP(CONCATENATE($D1431,$G1431),CSRFinput!$B:$E,4,0)=0,OR(H1431=MappingTables!$C$31,H1431=MappingTables!$C$32)),1,VLOOKUP(CONCATENATE($D1431,$G1431),CSRFinput!$B:$E,4,0))),0,IF(AND(VLOOKUP(CONCATENATE($D1431,$G1431),CSRFinput!$B:$E,4,0)=0,OR(H1431=MappingTables!$C$31,H1431=MappingTables!$C$32)),1,VLOOKUP(CONCATENATE($D1431,$G1431),CSRFinput!$B:$E,4,0)))</f>
        <v>0.054776304963434752</v>
      </c>
      <c r="S1431" s="73">
        <f>IF(B1431="",0,P1431*R1431)</f>
        <v>1.1637967419599942</v>
      </c>
      <c r="T1431" s="85">
        <f>IF(B1431="",0,IF(OR(H1431=MappingTables!$C$34,H1431=MappingTables!$C$35),S1431,0))</f>
        <v>0</v>
      </c>
    </row>
    <row r="1432" spans="2:20" s="0" customFormat="0" ht="15">
      <c r="B1432" s="69" t="s">
        <v>3700</v>
      </c>
      <c r="C1432" s="70" t="s">
        <v>3701</v>
      </c>
      <c r="D1432" s="70" t="s">
        <v>1</v>
      </c>
      <c r="E1432" s="70" t="s">
        <v>1</v>
      </c>
      <c r="F1432" s="70"/>
      <c r="G1432" s="70" t="s">
        <v>61</v>
      </c>
      <c r="H1432" s="70" t="s">
        <v>178</v>
      </c>
      <c r="I1432" s="70" t="s">
        <v>198</v>
      </c>
      <c r="J1432" s="71" t="str">
        <f>IF(OR(I1432=0,I1432=""),"unrated",VLOOKUP(I1432,MappingTables!$B$19:$C$31,2,FALSE))</f>
        <v>unrated</v>
      </c>
      <c r="K1432" s="72">
        <v>3.5440532161880496</v>
      </c>
      <c r="L1432" s="70">
        <v>20.984772760485164</v>
      </c>
      <c r="M1432" s="71">
        <f>IF(L1432&lt;1,1,L1432)</f>
        <v>20.984772760485164</v>
      </c>
      <c r="N1432" s="70" t="s">
        <v>3288</v>
      </c>
      <c r="O1432" s="71">
        <f>IF(OR(I1432=$A$1,I1432=0),"",IF(N1432=MappingTables!$C$14,VLOOKUP(J1432,ModelParameters!$M$8:$N$15,2,FALSE),IF(N1432=MappingTables!$C$16,VLOOKUP(J1432,ModelParameters!$P$8:$Q$15,2,FALSE),0)))</f>
        <v>1</v>
      </c>
      <c r="P1432" s="73">
        <f>IF(OR(I1432=0,I1432=$A$1),0,MIN(O1432*M1432,1)*K1432)</f>
        <v>3.5440532161880496</v>
      </c>
      <c r="Q1432" s="73">
        <f>IF(B1432="",0,IF(OR(H1432=MappingTables!$C$34,H1432=MappingTables!$C$35),P1432,0))</f>
        <v>0</v>
      </c>
      <c r="R1432" s="73">
        <f>IF(ISNA(IF(AND(VLOOKUP(CONCATENATE($D1432,$G1432),CSRFinput!$B:$E,4,0)=0,OR(H1432=MappingTables!$C$31,H1432=MappingTables!$C$32)),1,VLOOKUP(CONCATENATE($D1432,$G1432),CSRFinput!$B:$E,4,0))),0,IF(AND(VLOOKUP(CONCATENATE($D1432,$G1432),CSRFinput!$B:$E,4,0)=0,OR(H1432=MappingTables!$C$31,H1432=MappingTables!$C$32)),1,VLOOKUP(CONCATENATE($D1432,$G1432),CSRFinput!$B:$E,4,0)))</f>
        <v>0.054776304963434752</v>
      </c>
      <c r="S1432" s="73">
        <f>IF(B1432="",0,P1432*R1432)</f>
        <v>0.19413013977655836</v>
      </c>
      <c r="T1432" s="85">
        <f>IF(B1432="",0,IF(OR(H1432=MappingTables!$C$34,H1432=MappingTables!$C$35),S1432,0))</f>
        <v>0</v>
      </c>
    </row>
    <row r="1433" spans="2:20" s="0" customFormat="0" ht="15">
      <c r="B1433" s="69">
        <v>18913657</v>
      </c>
      <c r="C1433" s="70" t="s">
        <v>4952</v>
      </c>
      <c r="D1433" s="70" t="s">
        <v>1</v>
      </c>
      <c r="E1433" s="70" t="s">
        <v>1</v>
      </c>
      <c r="F1433" s="70"/>
      <c r="G1433" s="70" t="s">
        <v>61</v>
      </c>
      <c r="H1433" s="70" t="s">
        <v>178</v>
      </c>
      <c r="I1433" s="70" t="s">
        <v>216</v>
      </c>
      <c r="J1433" s="71">
        <f>IF(OR(I1433=0,I1433=""),"unrated",VLOOKUP(I1433,MappingTables!$B$19:$C$31,2,FALSE))</f>
        <v>0</v>
      </c>
      <c r="K1433" s="72">
        <v>24956.49125368638</v>
      </c>
      <c r="L1433" s="70">
        <v>0.057318071538290896</v>
      </c>
      <c r="M1433" s="71">
        <f>IF(L1433&lt;1,1,L1433)</f>
        <v>1</v>
      </c>
      <c r="N1433" s="70" t="s">
        <v>3288</v>
      </c>
      <c r="O1433" s="71">
        <f>IF(OR(I1433=$A$1,I1433=0),"",IF(N1433=MappingTables!$C$14,VLOOKUP(J1433,ModelParameters!$M$8:$N$15,2,FALSE),IF(N1433=MappingTables!$C$16,VLOOKUP(J1433,ModelParameters!$P$8:$Q$15,2,FALSE),0)))</f>
        <v>0.125</v>
      </c>
      <c r="P1433" s="73">
        <f>IF(OR(I1433=0,I1433=$A$1),0,MIN(O1433*M1433,1)*K1433)</f>
        <v>3119.5614067107976</v>
      </c>
      <c r="Q1433" s="73">
        <f>IF(B1433="",0,IF(OR(H1433=MappingTables!$C$34,H1433=MappingTables!$C$35),P1433,0))</f>
        <v>0</v>
      </c>
      <c r="R1433" s="73">
        <f>IF(ISNA(IF(AND(VLOOKUP(CONCATENATE($D1433,$G1433),CSRFinput!$B:$E,4,0)=0,OR(H1433=MappingTables!$C$31,H1433=MappingTables!$C$32)),1,VLOOKUP(CONCATENATE($D1433,$G1433),CSRFinput!$B:$E,4,0))),0,IF(AND(VLOOKUP(CONCATENATE($D1433,$G1433),CSRFinput!$B:$E,4,0)=0,OR(H1433=MappingTables!$C$31,H1433=MappingTables!$C$32)),1,VLOOKUP(CONCATENATE($D1433,$G1433),CSRFinput!$B:$E,4,0)))</f>
        <v>0.054776304963434752</v>
      </c>
      <c r="S1433" s="73">
        <f>IF(B1433="",0,P1433*R1433)</f>
        <v>170.87804696615216</v>
      </c>
      <c r="T1433" s="85">
        <f>IF(B1433="",0,IF(OR(H1433=MappingTables!$C$34,H1433=MappingTables!$C$35),S1433,0))</f>
        <v>0</v>
      </c>
    </row>
    <row r="1434" spans="2:20" s="0" customFormat="0" ht="15">
      <c r="B1434" s="69" t="s">
        <v>4953</v>
      </c>
      <c r="C1434" s="70" t="s">
        <v>4954</v>
      </c>
      <c r="D1434" s="70" t="s">
        <v>1</v>
      </c>
      <c r="E1434" s="70" t="s">
        <v>1</v>
      </c>
      <c r="F1434" s="70"/>
      <c r="G1434" s="70" t="s">
        <v>61</v>
      </c>
      <c r="H1434" s="70" t="s">
        <v>178</v>
      </c>
      <c r="I1434" s="70" t="s">
        <v>184</v>
      </c>
      <c r="J1434" s="71">
        <f>IF(OR(I1434=0,I1434=""),"unrated",VLOOKUP(I1434,MappingTables!$B$19:$C$31,2,FALSE))</f>
        <v>5</v>
      </c>
      <c r="K1434" s="72">
        <v>1453.3798117951686</v>
      </c>
      <c r="L1434" s="70">
        <v>0.068497344052792464</v>
      </c>
      <c r="M1434" s="71">
        <f>IF(L1434&lt;1,1,L1434)</f>
        <v>1</v>
      </c>
      <c r="N1434" s="70" t="s">
        <v>3288</v>
      </c>
      <c r="O1434" s="71">
        <f>IF(OR(I1434=$A$1,I1434=0),"",IF(N1434=MappingTables!$C$14,VLOOKUP(J1434,ModelParameters!$M$8:$N$15,2,FALSE),IF(N1434=MappingTables!$C$16,VLOOKUP(J1434,ModelParameters!$P$8:$Q$15,2,FALSE),0)))</f>
        <v>1</v>
      </c>
      <c r="P1434" s="73">
        <f>IF(OR(I1434=0,I1434=$A$1),0,MIN(O1434*M1434,1)*K1434)</f>
        <v>1453.3798117951686</v>
      </c>
      <c r="Q1434" s="73">
        <f>IF(B1434="",0,IF(OR(H1434=MappingTables!$C$34,H1434=MappingTables!$C$35),P1434,0))</f>
        <v>0</v>
      </c>
      <c r="R1434" s="73">
        <f>IF(ISNA(IF(AND(VLOOKUP(CONCATENATE($D1434,$G1434),CSRFinput!$B:$E,4,0)=0,OR(H1434=MappingTables!$C$31,H1434=MappingTables!$C$32)),1,VLOOKUP(CONCATENATE($D1434,$G1434),CSRFinput!$B:$E,4,0))),0,IF(AND(VLOOKUP(CONCATENATE($D1434,$G1434),CSRFinput!$B:$E,4,0)=0,OR(H1434=MappingTables!$C$31,H1434=MappingTables!$C$32)),1,VLOOKUP(CONCATENATE($D1434,$G1434),CSRFinput!$B:$E,4,0)))</f>
        <v>0.054776304963434752</v>
      </c>
      <c r="S1434" s="73">
        <f>IF(B1434="",0,P1434*R1434)</f>
        <v>79.610775798591568</v>
      </c>
      <c r="T1434" s="85">
        <f>IF(B1434="",0,IF(OR(H1434=MappingTables!$C$34,H1434=MappingTables!$C$35),S1434,0))</f>
        <v>0</v>
      </c>
    </row>
    <row r="1435" spans="2:20" s="0" customFormat="0" ht="15">
      <c r="B1435" s="69" t="s">
        <v>4955</v>
      </c>
      <c r="C1435" s="70" t="s">
        <v>4956</v>
      </c>
      <c r="D1435" s="70" t="s">
        <v>1</v>
      </c>
      <c r="E1435" s="70" t="s">
        <v>1</v>
      </c>
      <c r="F1435" s="70"/>
      <c r="G1435" s="70" t="s">
        <v>61</v>
      </c>
      <c r="H1435" s="70" t="s">
        <v>178</v>
      </c>
      <c r="I1435" s="70" t="s">
        <v>198</v>
      </c>
      <c r="J1435" s="71" t="str">
        <f>IF(OR(I1435=0,I1435=""),"unrated",VLOOKUP(I1435,MappingTables!$B$19:$C$31,2,FALSE))</f>
        <v>unrated</v>
      </c>
      <c r="K1435" s="72">
        <v>0.20592427923343428</v>
      </c>
      <c r="L1435" s="70">
        <v>6.721906925856748</v>
      </c>
      <c r="M1435" s="71">
        <f>IF(L1435&lt;1,1,L1435)</f>
        <v>6.721906925856748</v>
      </c>
      <c r="N1435" s="70" t="s">
        <v>3288</v>
      </c>
      <c r="O1435" s="71">
        <f>IF(OR(I1435=$A$1,I1435=0),"",IF(N1435=MappingTables!$C$14,VLOOKUP(J1435,ModelParameters!$M$8:$N$15,2,FALSE),IF(N1435=MappingTables!$C$16,VLOOKUP(J1435,ModelParameters!$P$8:$Q$15,2,FALSE),0)))</f>
        <v>1</v>
      </c>
      <c r="P1435" s="73">
        <f>IF(OR(I1435=0,I1435=$A$1),0,MIN(O1435*M1435,1)*K1435)</f>
        <v>0.20592427923343428</v>
      </c>
      <c r="Q1435" s="73">
        <f>IF(B1435="",0,IF(OR(H1435=MappingTables!$C$34,H1435=MappingTables!$C$35),P1435,0))</f>
        <v>0</v>
      </c>
      <c r="R1435" s="73">
        <f>IF(ISNA(IF(AND(VLOOKUP(CONCATENATE($D1435,$G1435),CSRFinput!$B:$E,4,0)=0,OR(H1435=MappingTables!$C$31,H1435=MappingTables!$C$32)),1,VLOOKUP(CONCATENATE($D1435,$G1435),CSRFinput!$B:$E,4,0))),0,IF(AND(VLOOKUP(CONCATENATE($D1435,$G1435),CSRFinput!$B:$E,4,0)=0,OR(H1435=MappingTables!$C$31,H1435=MappingTables!$C$32)),1,VLOOKUP(CONCATENATE($D1435,$G1435),CSRFinput!$B:$E,4,0)))</f>
        <v>0.054776304963434752</v>
      </c>
      <c r="S1435" s="73">
        <f>IF(B1435="",0,P1435*R1435)</f>
        <v>0.01127977111866609</v>
      </c>
      <c r="T1435" s="85">
        <f>IF(B1435="",0,IF(OR(H1435=MappingTables!$C$34,H1435=MappingTables!$C$35),S1435,0))</f>
        <v>0</v>
      </c>
    </row>
    <row r="1436" spans="2:20" s="0" customFormat="0" ht="15">
      <c r="B1436" s="69" t="s">
        <v>4364</v>
      </c>
      <c r="C1436" s="70" t="s">
        <v>4365</v>
      </c>
      <c r="D1436" s="70" t="s">
        <v>1</v>
      </c>
      <c r="E1436" s="70" t="s">
        <v>1</v>
      </c>
      <c r="F1436" s="70"/>
      <c r="G1436" s="70" t="s">
        <v>61</v>
      </c>
      <c r="H1436" s="70" t="s">
        <v>178</v>
      </c>
      <c r="I1436" s="70" t="s">
        <v>3291</v>
      </c>
      <c r="J1436" s="71">
        <f>IF(OR(I1436=0,I1436=""),"unrated",VLOOKUP(I1436,MappingTables!$B$19:$C$31,2,FALSE))</f>
        <v>6</v>
      </c>
      <c r="K1436" s="72">
        <v>385.16872024194008</v>
      </c>
      <c r="L1436" s="70">
        <v>0.068493077201471408</v>
      </c>
      <c r="M1436" s="71">
        <f>IF(L1436&lt;1,1,L1436)</f>
        <v>1</v>
      </c>
      <c r="N1436" s="70" t="s">
        <v>3288</v>
      </c>
      <c r="O1436" s="71">
        <f>IF(OR(I1436=$A$1,I1436=0),"",IF(N1436=MappingTables!$C$14,VLOOKUP(J1436,ModelParameters!$M$8:$N$15,2,FALSE),IF(N1436=MappingTables!$C$16,VLOOKUP(J1436,ModelParameters!$P$8:$Q$15,2,FALSE),0)))</f>
        <v>1</v>
      </c>
      <c r="P1436" s="73">
        <f>IF(OR(I1436=0,I1436=$A$1),0,MIN(O1436*M1436,1)*K1436)</f>
        <v>385.16872024194008</v>
      </c>
      <c r="Q1436" s="73">
        <f>IF(B1436="",0,IF(OR(H1436=MappingTables!$C$34,H1436=MappingTables!$C$35),P1436,0))</f>
        <v>0</v>
      </c>
      <c r="R1436" s="73">
        <f>IF(ISNA(IF(AND(VLOOKUP(CONCATENATE($D1436,$G1436),CSRFinput!$B:$E,4,0)=0,OR(H1436=MappingTables!$C$31,H1436=MappingTables!$C$32)),1,VLOOKUP(CONCATENATE($D1436,$G1436),CSRFinput!$B:$E,4,0))),0,IF(AND(VLOOKUP(CONCATENATE($D1436,$G1436),CSRFinput!$B:$E,4,0)=0,OR(H1436=MappingTables!$C$31,H1436=MappingTables!$C$32)),1,VLOOKUP(CONCATENATE($D1436,$G1436),CSRFinput!$B:$E,4,0)))</f>
        <v>0.054776304963434752</v>
      </c>
      <c r="S1436" s="73">
        <f>IF(B1436="",0,P1436*R1436)</f>
        <v>21.098119282348396</v>
      </c>
      <c r="T1436" s="85">
        <f>IF(B1436="",0,IF(OR(H1436=MappingTables!$C$34,H1436=MappingTables!$C$35),S1436,0))</f>
        <v>0</v>
      </c>
    </row>
    <row r="1437" spans="2:20" s="0" customFormat="0" ht="15">
      <c r="B1437" s="69" t="s">
        <v>4530</v>
      </c>
      <c r="C1437" s="70" t="s">
        <v>4531</v>
      </c>
      <c r="D1437" s="70" t="s">
        <v>1</v>
      </c>
      <c r="E1437" s="70" t="s">
        <v>1</v>
      </c>
      <c r="F1437" s="70"/>
      <c r="G1437" s="70" t="s">
        <v>61</v>
      </c>
      <c r="H1437" s="70" t="s">
        <v>178</v>
      </c>
      <c r="I1437" s="70" t="s">
        <v>198</v>
      </c>
      <c r="J1437" s="71" t="str">
        <f>IF(OR(I1437=0,I1437=""),"unrated",VLOOKUP(I1437,MappingTables!$B$19:$C$31,2,FALSE))</f>
        <v>unrated</v>
      </c>
      <c r="K1437" s="72">
        <v>5711.919974568472</v>
      </c>
      <c r="L1437" s="70">
        <v>15.704221924087432</v>
      </c>
      <c r="M1437" s="71">
        <f>IF(L1437&lt;1,1,L1437)</f>
        <v>15.704221924087432</v>
      </c>
      <c r="N1437" s="70" t="s">
        <v>3288</v>
      </c>
      <c r="O1437" s="71">
        <f>IF(OR(I1437=$A$1,I1437=0),"",IF(N1437=MappingTables!$C$14,VLOOKUP(J1437,ModelParameters!$M$8:$N$15,2,FALSE),IF(N1437=MappingTables!$C$16,VLOOKUP(J1437,ModelParameters!$P$8:$Q$15,2,FALSE),0)))</f>
        <v>1</v>
      </c>
      <c r="P1437" s="73">
        <f>IF(OR(I1437=0,I1437=$A$1),0,MIN(O1437*M1437,1)*K1437)</f>
        <v>5711.919974568472</v>
      </c>
      <c r="Q1437" s="73">
        <f>IF(B1437="",0,IF(OR(H1437=MappingTables!$C$34,H1437=MappingTables!$C$35),P1437,0))</f>
        <v>0</v>
      </c>
      <c r="R1437" s="73">
        <f>IF(ISNA(IF(AND(VLOOKUP(CONCATENATE($D1437,$G1437),CSRFinput!$B:$E,4,0)=0,OR(H1437=MappingTables!$C$31,H1437=MappingTables!$C$32)),1,VLOOKUP(CONCATENATE($D1437,$G1437),CSRFinput!$B:$E,4,0))),0,IF(AND(VLOOKUP(CONCATENATE($D1437,$G1437),CSRFinput!$B:$E,4,0)=0,OR(H1437=MappingTables!$C$31,H1437=MappingTables!$C$32)),1,VLOOKUP(CONCATENATE($D1437,$G1437),CSRFinput!$B:$E,4,0)))</f>
        <v>0.054776304963434752</v>
      </c>
      <c r="S1437" s="73">
        <f>IF(B1437="",0,P1437*R1437)</f>
        <v>312.87787045369708</v>
      </c>
      <c r="T1437" s="85">
        <f>IF(B1437="",0,IF(OR(H1437=MappingTables!$C$34,H1437=MappingTables!$C$35),S1437,0))</f>
        <v>0</v>
      </c>
    </row>
    <row r="1438" spans="2:20" s="0" customFormat="0" ht="15">
      <c r="B1438" s="69">
        <v>14504643</v>
      </c>
      <c r="C1438" s="70" t="s">
        <v>4957</v>
      </c>
      <c r="D1438" s="70" t="s">
        <v>1</v>
      </c>
      <c r="E1438" s="70" t="s">
        <v>1</v>
      </c>
      <c r="F1438" s="70"/>
      <c r="G1438" s="70" t="s">
        <v>61</v>
      </c>
      <c r="H1438" s="70" t="s">
        <v>178</v>
      </c>
      <c r="I1438" s="70" t="s">
        <v>216</v>
      </c>
      <c r="J1438" s="71">
        <f>IF(OR(I1438=0,I1438=""),"unrated",VLOOKUP(I1438,MappingTables!$B$19:$C$31,2,FALSE))</f>
        <v>0</v>
      </c>
      <c r="K1438" s="72">
        <v>1167.255268535356</v>
      </c>
      <c r="L1438" s="70">
        <v>0.089615910780508736</v>
      </c>
      <c r="M1438" s="71">
        <f>IF(L1438&lt;1,1,L1438)</f>
        <v>1</v>
      </c>
      <c r="N1438" s="70" t="s">
        <v>3288</v>
      </c>
      <c r="O1438" s="71">
        <f>IF(OR(I1438=$A$1,I1438=0),"",IF(N1438=MappingTables!$C$14,VLOOKUP(J1438,ModelParameters!$M$8:$N$15,2,FALSE),IF(N1438=MappingTables!$C$16,VLOOKUP(J1438,ModelParameters!$P$8:$Q$15,2,FALSE),0)))</f>
        <v>0.125</v>
      </c>
      <c r="P1438" s="73">
        <f>IF(OR(I1438=0,I1438=$A$1),0,MIN(O1438*M1438,1)*K1438)</f>
        <v>145.9069085669195</v>
      </c>
      <c r="Q1438" s="73">
        <f>IF(B1438="",0,IF(OR(H1438=MappingTables!$C$34,H1438=MappingTables!$C$35),P1438,0))</f>
        <v>0</v>
      </c>
      <c r="R1438" s="73">
        <f>IF(ISNA(IF(AND(VLOOKUP(CONCATENATE($D1438,$G1438),CSRFinput!$B:$E,4,0)=0,OR(H1438=MappingTables!$C$31,H1438=MappingTables!$C$32)),1,VLOOKUP(CONCATENATE($D1438,$G1438),CSRFinput!$B:$E,4,0))),0,IF(AND(VLOOKUP(CONCATENATE($D1438,$G1438),CSRFinput!$B:$E,4,0)=0,OR(H1438=MappingTables!$C$31,H1438=MappingTables!$C$32)),1,VLOOKUP(CONCATENATE($D1438,$G1438),CSRFinput!$B:$E,4,0)))</f>
        <v>0.054776304963434752</v>
      </c>
      <c r="S1438" s="73">
        <f>IF(B1438="",0,P1438*R1438)</f>
        <v>7.9922413199335728</v>
      </c>
      <c r="T1438" s="85">
        <f>IF(B1438="",0,IF(OR(H1438=MappingTables!$C$34,H1438=MappingTables!$C$35),S1438,0))</f>
        <v>0</v>
      </c>
    </row>
    <row r="1439" spans="2:20" s="0" customFormat="0" ht="15">
      <c r="B1439" s="69">
        <v>4797581</v>
      </c>
      <c r="C1439" s="70" t="s">
        <v>3555</v>
      </c>
      <c r="D1439" s="70" t="s">
        <v>1</v>
      </c>
      <c r="E1439" s="70" t="s">
        <v>1</v>
      </c>
      <c r="F1439" s="70"/>
      <c r="G1439" s="70" t="s">
        <v>61</v>
      </c>
      <c r="H1439" s="70" t="s">
        <v>178</v>
      </c>
      <c r="I1439" s="70" t="s">
        <v>216</v>
      </c>
      <c r="J1439" s="71">
        <f>IF(OR(I1439=0,I1439=""),"unrated",VLOOKUP(I1439,MappingTables!$B$19:$C$31,2,FALSE))</f>
        <v>0</v>
      </c>
      <c r="K1439" s="72">
        <v>3.3153656857385256</v>
      </c>
      <c r="L1439" s="70">
        <v>0.015668044692339656</v>
      </c>
      <c r="M1439" s="71">
        <f>IF(L1439&lt;1,1,L1439)</f>
        <v>1</v>
      </c>
      <c r="N1439" s="70" t="s">
        <v>3288</v>
      </c>
      <c r="O1439" s="71">
        <f>IF(OR(I1439=$A$1,I1439=0),"",IF(N1439=MappingTables!$C$14,VLOOKUP(J1439,ModelParameters!$M$8:$N$15,2,FALSE),IF(N1439=MappingTables!$C$16,VLOOKUP(J1439,ModelParameters!$P$8:$Q$15,2,FALSE),0)))</f>
        <v>0.125</v>
      </c>
      <c r="P1439" s="73">
        <f>IF(OR(I1439=0,I1439=$A$1),0,MIN(O1439*M1439,1)*K1439)</f>
        <v>0.41442071071731568</v>
      </c>
      <c r="Q1439" s="73">
        <f>IF(B1439="",0,IF(OR(H1439=MappingTables!$C$34,H1439=MappingTables!$C$35),P1439,0))</f>
        <v>0</v>
      </c>
      <c r="R1439" s="73">
        <f>IF(ISNA(IF(AND(VLOOKUP(CONCATENATE($D1439,$G1439),CSRFinput!$B:$E,4,0)=0,OR(H1439=MappingTables!$C$31,H1439=MappingTables!$C$32)),1,VLOOKUP(CONCATENATE($D1439,$G1439),CSRFinput!$B:$E,4,0))),0,IF(AND(VLOOKUP(CONCATENATE($D1439,$G1439),CSRFinput!$B:$E,4,0)=0,OR(H1439=MappingTables!$C$31,H1439=MappingTables!$C$32)),1,VLOOKUP(CONCATENATE($D1439,$G1439),CSRFinput!$B:$E,4,0)))</f>
        <v>0.054776304963434752</v>
      </c>
      <c r="S1439" s="73">
        <f>IF(B1439="",0,P1439*R1439)</f>
        <v>0.022700435233415056</v>
      </c>
      <c r="T1439" s="85">
        <f>IF(B1439="",0,IF(OR(H1439=MappingTables!$C$34,H1439=MappingTables!$C$35),S1439,0))</f>
        <v>0</v>
      </c>
    </row>
    <row r="1440" spans="2:20" s="0" customFormat="0" ht="15">
      <c r="B1440" s="69" t="s">
        <v>3869</v>
      </c>
      <c r="C1440" s="70" t="s">
        <v>3870</v>
      </c>
      <c r="D1440" s="70" t="s">
        <v>1</v>
      </c>
      <c r="E1440" s="70" t="s">
        <v>1</v>
      </c>
      <c r="F1440" s="70"/>
      <c r="G1440" s="70" t="s">
        <v>61</v>
      </c>
      <c r="H1440" s="70" t="s">
        <v>178</v>
      </c>
      <c r="I1440" s="70" t="s">
        <v>3298</v>
      </c>
      <c r="J1440" s="71">
        <f>IF(OR(I1440=0,I1440=""),"unrated",VLOOKUP(I1440,MappingTables!$B$19:$C$31,2,FALSE))</f>
        <v>6</v>
      </c>
      <c r="K1440" s="72">
        <v>1254.8731967213382</v>
      </c>
      <c r="L1440" s="70">
        <v>0.068492732658806968</v>
      </c>
      <c r="M1440" s="71">
        <f>IF(L1440&lt;1,1,L1440)</f>
        <v>1</v>
      </c>
      <c r="N1440" s="70" t="s">
        <v>3288</v>
      </c>
      <c r="O1440" s="71">
        <f>IF(OR(I1440=$A$1,I1440=0),"",IF(N1440=MappingTables!$C$14,VLOOKUP(J1440,ModelParameters!$M$8:$N$15,2,FALSE),IF(N1440=MappingTables!$C$16,VLOOKUP(J1440,ModelParameters!$P$8:$Q$15,2,FALSE),0)))</f>
        <v>1</v>
      </c>
      <c r="P1440" s="73">
        <f>IF(OR(I1440=0,I1440=$A$1),0,MIN(O1440*M1440,1)*K1440)</f>
        <v>1254.8731967213382</v>
      </c>
      <c r="Q1440" s="73">
        <f>IF(B1440="",0,IF(OR(H1440=MappingTables!$C$34,H1440=MappingTables!$C$35),P1440,0))</f>
        <v>0</v>
      </c>
      <c r="R1440" s="73">
        <f>IF(ISNA(IF(AND(VLOOKUP(CONCATENATE($D1440,$G1440),CSRFinput!$B:$E,4,0)=0,OR(H1440=MappingTables!$C$31,H1440=MappingTables!$C$32)),1,VLOOKUP(CONCATENATE($D1440,$G1440),CSRFinput!$B:$E,4,0))),0,IF(AND(VLOOKUP(CONCATENATE($D1440,$G1440),CSRFinput!$B:$E,4,0)=0,OR(H1440=MappingTables!$C$31,H1440=MappingTables!$C$32)),1,VLOOKUP(CONCATENATE($D1440,$G1440),CSRFinput!$B:$E,4,0)))</f>
        <v>0.054776304963434752</v>
      </c>
      <c r="S1440" s="73">
        <f>IF(B1440="",0,P1440*R1440)</f>
        <v>68.73731691404828</v>
      </c>
      <c r="T1440" s="85">
        <f>IF(B1440="",0,IF(OR(H1440=MappingTables!$C$34,H1440=MappingTables!$C$35),S1440,0))</f>
        <v>0</v>
      </c>
    </row>
    <row r="1441" spans="2:20" s="0" customFormat="0" ht="15">
      <c r="B1441" s="69" t="s">
        <v>4441</v>
      </c>
      <c r="C1441" s="70" t="s">
        <v>4442</v>
      </c>
      <c r="D1441" s="70" t="s">
        <v>1</v>
      </c>
      <c r="E1441" s="70" t="s">
        <v>1</v>
      </c>
      <c r="F1441" s="70"/>
      <c r="G1441" s="70" t="s">
        <v>61</v>
      </c>
      <c r="H1441" s="70" t="s">
        <v>178</v>
      </c>
      <c r="I1441" s="70" t="s">
        <v>204</v>
      </c>
      <c r="J1441" s="71">
        <f>IF(OR(I1441=0,I1441=""),"unrated",VLOOKUP(I1441,MappingTables!$B$19:$C$31,2,FALSE))</f>
        <v>6</v>
      </c>
      <c r="K1441" s="72">
        <v>108.78354503908604</v>
      </c>
      <c r="L1441" s="70">
        <v>0.068487998186061784</v>
      </c>
      <c r="M1441" s="71">
        <f>IF(L1441&lt;1,1,L1441)</f>
        <v>1</v>
      </c>
      <c r="N1441" s="70" t="s">
        <v>3288</v>
      </c>
      <c r="O1441" s="71">
        <f>IF(OR(I1441=$A$1,I1441=0),"",IF(N1441=MappingTables!$C$14,VLOOKUP(J1441,ModelParameters!$M$8:$N$15,2,FALSE),IF(N1441=MappingTables!$C$16,VLOOKUP(J1441,ModelParameters!$P$8:$Q$15,2,FALSE),0)))</f>
        <v>1</v>
      </c>
      <c r="P1441" s="73">
        <f>IF(OR(I1441=0,I1441=$A$1),0,MIN(O1441*M1441,1)*K1441)</f>
        <v>108.78354503908604</v>
      </c>
      <c r="Q1441" s="73">
        <f>IF(B1441="",0,IF(OR(H1441=MappingTables!$C$34,H1441=MappingTables!$C$35),P1441,0))</f>
        <v>0</v>
      </c>
      <c r="R1441" s="73">
        <f>IF(ISNA(IF(AND(VLOOKUP(CONCATENATE($D1441,$G1441),CSRFinput!$B:$E,4,0)=0,OR(H1441=MappingTables!$C$31,H1441=MappingTables!$C$32)),1,VLOOKUP(CONCATENATE($D1441,$G1441),CSRFinput!$B:$E,4,0))),0,IF(AND(VLOOKUP(CONCATENATE($D1441,$G1441),CSRFinput!$B:$E,4,0)=0,OR(H1441=MappingTables!$C$31,H1441=MappingTables!$C$32)),1,VLOOKUP(CONCATENATE($D1441,$G1441),CSRFinput!$B:$E,4,0)))</f>
        <v>0.054776304963434752</v>
      </c>
      <c r="S1441" s="73">
        <f>IF(B1441="",0,P1441*R1441)</f>
        <v>5.9587606380645168</v>
      </c>
      <c r="T1441" s="85">
        <f>IF(B1441="",0,IF(OR(H1441=MappingTables!$C$34,H1441=MappingTables!$C$35),S1441,0))</f>
        <v>0</v>
      </c>
    </row>
    <row r="1442" spans="2:20" s="0" customFormat="0" ht="15">
      <c r="B1442" s="69" t="s">
        <v>3382</v>
      </c>
      <c r="C1442" s="70" t="s">
        <v>3383</v>
      </c>
      <c r="D1442" s="70" t="s">
        <v>1</v>
      </c>
      <c r="E1442" s="70" t="s">
        <v>1</v>
      </c>
      <c r="F1442" s="70"/>
      <c r="G1442" s="70" t="s">
        <v>61</v>
      </c>
      <c r="H1442" s="70" t="s">
        <v>178</v>
      </c>
      <c r="I1442" s="70" t="s">
        <v>198</v>
      </c>
      <c r="J1442" s="71" t="str">
        <f>IF(OR(I1442=0,I1442=""),"unrated",VLOOKUP(I1442,MappingTables!$B$19:$C$31,2,FALSE))</f>
        <v>unrated</v>
      </c>
      <c r="K1442" s="72">
        <v>71.244322763272936</v>
      </c>
      <c r="L1442" s="70">
        <v>0.068490732473012824</v>
      </c>
      <c r="M1442" s="71">
        <f>IF(L1442&lt;1,1,L1442)</f>
        <v>1</v>
      </c>
      <c r="N1442" s="70" t="s">
        <v>3288</v>
      </c>
      <c r="O1442" s="71">
        <f>IF(OR(I1442=$A$1,I1442=0),"",IF(N1442=MappingTables!$C$14,VLOOKUP(J1442,ModelParameters!$M$8:$N$15,2,FALSE),IF(N1442=MappingTables!$C$16,VLOOKUP(J1442,ModelParameters!$P$8:$Q$15,2,FALSE),0)))</f>
        <v>1</v>
      </c>
      <c r="P1442" s="73">
        <f>IF(OR(I1442=0,I1442=$A$1),0,MIN(O1442*M1442,1)*K1442)</f>
        <v>71.244322763272936</v>
      </c>
      <c r="Q1442" s="73">
        <f>IF(B1442="",0,IF(OR(H1442=MappingTables!$C$34,H1442=MappingTables!$C$35),P1442,0))</f>
        <v>0</v>
      </c>
      <c r="R1442" s="73">
        <f>IF(ISNA(IF(AND(VLOOKUP(CONCATENATE($D1442,$G1442),CSRFinput!$B:$E,4,0)=0,OR(H1442=MappingTables!$C$31,H1442=MappingTables!$C$32)),1,VLOOKUP(CONCATENATE($D1442,$G1442),CSRFinput!$B:$E,4,0))),0,IF(AND(VLOOKUP(CONCATENATE($D1442,$G1442),CSRFinput!$B:$E,4,0)=0,OR(H1442=MappingTables!$C$31,H1442=MappingTables!$C$32)),1,VLOOKUP(CONCATENATE($D1442,$G1442),CSRFinput!$B:$E,4,0)))</f>
        <v>0.054776304963434752</v>
      </c>
      <c r="S1442" s="73">
        <f>IF(B1442="",0,P1442*R1442)</f>
        <v>3.9025007505944152</v>
      </c>
      <c r="T1442" s="85">
        <f>IF(B1442="",0,IF(OR(H1442=MappingTables!$C$34,H1442=MappingTables!$C$35),S1442,0))</f>
        <v>0</v>
      </c>
    </row>
    <row r="1443" spans="2:20" s="0" customFormat="0" ht="15">
      <c r="B1443" s="69" t="s">
        <v>4958</v>
      </c>
      <c r="C1443" s="70" t="s">
        <v>4959</v>
      </c>
      <c r="D1443" s="70" t="s">
        <v>1</v>
      </c>
      <c r="E1443" s="70" t="s">
        <v>1</v>
      </c>
      <c r="F1443" s="70"/>
      <c r="G1443" s="70" t="s">
        <v>61</v>
      </c>
      <c r="H1443" s="70" t="s">
        <v>178</v>
      </c>
      <c r="I1443" s="70" t="s">
        <v>198</v>
      </c>
      <c r="J1443" s="71" t="str">
        <f>IF(OR(I1443=0,I1443=""),"unrated",VLOOKUP(I1443,MappingTables!$B$19:$C$31,2,FALSE))</f>
        <v>unrated</v>
      </c>
      <c r="K1443" s="72">
        <v>26.56918270187344</v>
      </c>
      <c r="L1443" s="70">
        <v>0.16835929030285224</v>
      </c>
      <c r="M1443" s="71">
        <f>IF(L1443&lt;1,1,L1443)</f>
        <v>1</v>
      </c>
      <c r="N1443" s="70" t="s">
        <v>3288</v>
      </c>
      <c r="O1443" s="71">
        <f>IF(OR(I1443=$A$1,I1443=0),"",IF(N1443=MappingTables!$C$14,VLOOKUP(J1443,ModelParameters!$M$8:$N$15,2,FALSE),IF(N1443=MappingTables!$C$16,VLOOKUP(J1443,ModelParameters!$P$8:$Q$15,2,FALSE),0)))</f>
        <v>1</v>
      </c>
      <c r="P1443" s="73">
        <f>IF(OR(I1443=0,I1443=$A$1),0,MIN(O1443*M1443,1)*K1443)</f>
        <v>26.56918270187344</v>
      </c>
      <c r="Q1443" s="73">
        <f>IF(B1443="",0,IF(OR(H1443=MappingTables!$C$34,H1443=MappingTables!$C$35),P1443,0))</f>
        <v>0</v>
      </c>
      <c r="R1443" s="73">
        <f>IF(ISNA(IF(AND(VLOOKUP(CONCATENATE($D1443,$G1443),CSRFinput!$B:$E,4,0)=0,OR(H1443=MappingTables!$C$31,H1443=MappingTables!$C$32)),1,VLOOKUP(CONCATENATE($D1443,$G1443),CSRFinput!$B:$E,4,0))),0,IF(AND(VLOOKUP(CONCATENATE($D1443,$G1443),CSRFinput!$B:$E,4,0)=0,OR(H1443=MappingTables!$C$31,H1443=MappingTables!$C$32)),1,VLOOKUP(CONCATENATE($D1443,$G1443),CSRFinput!$B:$E,4,0)))</f>
        <v>0.054776304963434752</v>
      </c>
      <c r="S1443" s="73">
        <f>IF(B1443="",0,P1443*R1443)</f>
        <v>1.455361654307035</v>
      </c>
      <c r="T1443" s="85">
        <f>IF(B1443="",0,IF(OR(H1443=MappingTables!$C$34,H1443=MappingTables!$C$35),S1443,0))</f>
        <v>0</v>
      </c>
    </row>
    <row r="1444" spans="2:20" s="0" customFormat="0" ht="15">
      <c r="B1444" s="69">
        <v>22623660</v>
      </c>
      <c r="C1444" s="70" t="s">
        <v>4960</v>
      </c>
      <c r="D1444" s="70" t="s">
        <v>1</v>
      </c>
      <c r="E1444" s="70" t="s">
        <v>1</v>
      </c>
      <c r="F1444" s="70"/>
      <c r="G1444" s="70" t="s">
        <v>61</v>
      </c>
      <c r="H1444" s="70" t="s">
        <v>178</v>
      </c>
      <c r="I1444" s="70" t="s">
        <v>204</v>
      </c>
      <c r="J1444" s="71">
        <f>IF(OR(I1444=0,I1444=""),"unrated",VLOOKUP(I1444,MappingTables!$B$19:$C$31,2,FALSE))</f>
        <v>6</v>
      </c>
      <c r="K1444" s="72">
        <v>2814.1719820870684</v>
      </c>
      <c r="L1444" s="70">
        <v>0.068489643569385472</v>
      </c>
      <c r="M1444" s="71">
        <f>IF(L1444&lt;1,1,L1444)</f>
        <v>1</v>
      </c>
      <c r="N1444" s="70" t="s">
        <v>3288</v>
      </c>
      <c r="O1444" s="71">
        <f>IF(OR(I1444=$A$1,I1444=0),"",IF(N1444=MappingTables!$C$14,VLOOKUP(J1444,ModelParameters!$M$8:$N$15,2,FALSE),IF(N1444=MappingTables!$C$16,VLOOKUP(J1444,ModelParameters!$P$8:$Q$15,2,FALSE),0)))</f>
        <v>1</v>
      </c>
      <c r="P1444" s="73">
        <f>IF(OR(I1444=0,I1444=$A$1),0,MIN(O1444*M1444,1)*K1444)</f>
        <v>2814.1719820870684</v>
      </c>
      <c r="Q1444" s="73">
        <f>IF(B1444="",0,IF(OR(H1444=MappingTables!$C$34,H1444=MappingTables!$C$35),P1444,0))</f>
        <v>0</v>
      </c>
      <c r="R1444" s="73">
        <f>IF(ISNA(IF(AND(VLOOKUP(CONCATENATE($D1444,$G1444),CSRFinput!$B:$E,4,0)=0,OR(H1444=MappingTables!$C$31,H1444=MappingTables!$C$32)),1,VLOOKUP(CONCATENATE($D1444,$G1444),CSRFinput!$B:$E,4,0))),0,IF(AND(VLOOKUP(CONCATENATE($D1444,$G1444),CSRFinput!$B:$E,4,0)=0,OR(H1444=MappingTables!$C$31,H1444=MappingTables!$C$32)),1,VLOOKUP(CONCATENATE($D1444,$G1444),CSRFinput!$B:$E,4,0)))</f>
        <v>0.054776304963434752</v>
      </c>
      <c r="S1444" s="73">
        <f>IF(B1444="",0,P1444*R1444)</f>
        <v>154.1499427103549</v>
      </c>
      <c r="T1444" s="85">
        <f>IF(B1444="",0,IF(OR(H1444=MappingTables!$C$34,H1444=MappingTables!$C$35),S1444,0))</f>
        <v>0</v>
      </c>
    </row>
    <row r="1445" spans="2:20" s="0" customFormat="0" ht="15">
      <c r="B1445" s="69" t="s">
        <v>4961</v>
      </c>
      <c r="C1445" s="70" t="s">
        <v>4962</v>
      </c>
      <c r="D1445" s="70" t="s">
        <v>1</v>
      </c>
      <c r="E1445" s="70" t="s">
        <v>1</v>
      </c>
      <c r="F1445" s="70"/>
      <c r="G1445" s="70" t="s">
        <v>61</v>
      </c>
      <c r="H1445" s="70" t="s">
        <v>178</v>
      </c>
      <c r="I1445" s="70" t="s">
        <v>198</v>
      </c>
      <c r="J1445" s="71" t="str">
        <f>IF(OR(I1445=0,I1445=""),"unrated",VLOOKUP(I1445,MappingTables!$B$19:$C$31,2,FALSE))</f>
        <v>unrated</v>
      </c>
      <c r="K1445" s="72">
        <v>27.470130282958836</v>
      </c>
      <c r="L1445" s="70">
        <v>0.06848792921342936</v>
      </c>
      <c r="M1445" s="71">
        <f>IF(L1445&lt;1,1,L1445)</f>
        <v>1</v>
      </c>
      <c r="N1445" s="70" t="s">
        <v>3288</v>
      </c>
      <c r="O1445" s="71">
        <f>IF(OR(I1445=$A$1,I1445=0),"",IF(N1445=MappingTables!$C$14,VLOOKUP(J1445,ModelParameters!$M$8:$N$15,2,FALSE),IF(N1445=MappingTables!$C$16,VLOOKUP(J1445,ModelParameters!$P$8:$Q$15,2,FALSE),0)))</f>
        <v>1</v>
      </c>
      <c r="P1445" s="73">
        <f>IF(OR(I1445=0,I1445=$A$1),0,MIN(O1445*M1445,1)*K1445)</f>
        <v>27.470130282958836</v>
      </c>
      <c r="Q1445" s="73">
        <f>IF(B1445="",0,IF(OR(H1445=MappingTables!$C$34,H1445=MappingTables!$C$35),P1445,0))</f>
        <v>0</v>
      </c>
      <c r="R1445" s="73">
        <f>IF(ISNA(IF(AND(VLOOKUP(CONCATENATE($D1445,$G1445),CSRFinput!$B:$E,4,0)=0,OR(H1445=MappingTables!$C$31,H1445=MappingTables!$C$32)),1,VLOOKUP(CONCATENATE($D1445,$G1445),CSRFinput!$B:$E,4,0))),0,IF(AND(VLOOKUP(CONCATENATE($D1445,$G1445),CSRFinput!$B:$E,4,0)=0,OR(H1445=MappingTables!$C$31,H1445=MappingTables!$C$32)),1,VLOOKUP(CONCATENATE($D1445,$G1445),CSRFinput!$B:$E,4,0)))</f>
        <v>0.054776304963434752</v>
      </c>
      <c r="S1445" s="73">
        <f>IF(B1445="",0,P1445*R1445)</f>
        <v>1.5047122337646372</v>
      </c>
      <c r="T1445" s="85">
        <f>IF(B1445="",0,IF(OR(H1445=MappingTables!$C$34,H1445=MappingTables!$C$35),S1445,0))</f>
        <v>0</v>
      </c>
    </row>
    <row r="1446" spans="2:20" s="0" customFormat="0" ht="15">
      <c r="B1446" s="69" t="s">
        <v>4811</v>
      </c>
      <c r="C1446" s="70" t="s">
        <v>4812</v>
      </c>
      <c r="D1446" s="70" t="s">
        <v>1</v>
      </c>
      <c r="E1446" s="70" t="s">
        <v>1</v>
      </c>
      <c r="F1446" s="70"/>
      <c r="G1446" s="70" t="s">
        <v>61</v>
      </c>
      <c r="H1446" s="70" t="s">
        <v>178</v>
      </c>
      <c r="I1446" s="70" t="s">
        <v>3291</v>
      </c>
      <c r="J1446" s="71">
        <f>IF(OR(I1446=0,I1446=""),"unrated",VLOOKUP(I1446,MappingTables!$B$19:$C$31,2,FALSE))</f>
        <v>6</v>
      </c>
      <c r="K1446" s="72">
        <v>198.73481580405224</v>
      </c>
      <c r="L1446" s="70">
        <v>0.066603951716167384</v>
      </c>
      <c r="M1446" s="71">
        <f>IF(L1446&lt;1,1,L1446)</f>
        <v>1</v>
      </c>
      <c r="N1446" s="70" t="s">
        <v>3288</v>
      </c>
      <c r="O1446" s="71">
        <f>IF(OR(I1446=$A$1,I1446=0),"",IF(N1446=MappingTables!$C$14,VLOOKUP(J1446,ModelParameters!$M$8:$N$15,2,FALSE),IF(N1446=MappingTables!$C$16,VLOOKUP(J1446,ModelParameters!$P$8:$Q$15,2,FALSE),0)))</f>
        <v>1</v>
      </c>
      <c r="P1446" s="73">
        <f>IF(OR(I1446=0,I1446=$A$1),0,MIN(O1446*M1446,1)*K1446)</f>
        <v>198.73481580405224</v>
      </c>
      <c r="Q1446" s="73">
        <f>IF(B1446="",0,IF(OR(H1446=MappingTables!$C$34,H1446=MappingTables!$C$35),P1446,0))</f>
        <v>0</v>
      </c>
      <c r="R1446" s="73">
        <f>IF(ISNA(IF(AND(VLOOKUP(CONCATENATE($D1446,$G1446),CSRFinput!$B:$E,4,0)=0,OR(H1446=MappingTables!$C$31,H1446=MappingTables!$C$32)),1,VLOOKUP(CONCATENATE($D1446,$G1446),CSRFinput!$B:$E,4,0))),0,IF(AND(VLOOKUP(CONCATENATE($D1446,$G1446),CSRFinput!$B:$E,4,0)=0,OR(H1446=MappingTables!$C$31,H1446=MappingTables!$C$32)),1,VLOOKUP(CONCATENATE($D1446,$G1446),CSRFinput!$B:$E,4,0)))</f>
        <v>0.054776304963434752</v>
      </c>
      <c r="S1446" s="73">
        <f>IF(B1446="",0,P1446*R1446)</f>
        <v>10.885958877334798</v>
      </c>
      <c r="T1446" s="85">
        <f>IF(B1446="",0,IF(OR(H1446=MappingTables!$C$34,H1446=MappingTables!$C$35),S1446,0))</f>
        <v>0</v>
      </c>
    </row>
    <row r="1447" spans="2:20" s="0" customFormat="0" ht="15">
      <c r="B1447" s="69" t="s">
        <v>4963</v>
      </c>
      <c r="C1447" s="70" t="s">
        <v>4964</v>
      </c>
      <c r="D1447" s="70" t="s">
        <v>1</v>
      </c>
      <c r="E1447" s="70" t="s">
        <v>1</v>
      </c>
      <c r="F1447" s="70"/>
      <c r="G1447" s="70" t="s">
        <v>61</v>
      </c>
      <c r="H1447" s="70" t="s">
        <v>178</v>
      </c>
      <c r="I1447" s="70" t="s">
        <v>198</v>
      </c>
      <c r="J1447" s="71" t="str">
        <f>IF(OR(I1447=0,I1447=""),"unrated",VLOOKUP(I1447,MappingTables!$B$19:$C$31,2,FALSE))</f>
        <v>unrated</v>
      </c>
      <c r="K1447" s="72">
        <v>0.37375562459246296</v>
      </c>
      <c r="L1447" s="70">
        <v>27.123565293366948</v>
      </c>
      <c r="M1447" s="71">
        <f>IF(L1447&lt;1,1,L1447)</f>
        <v>27.123565293366948</v>
      </c>
      <c r="N1447" s="70" t="s">
        <v>3288</v>
      </c>
      <c r="O1447" s="71">
        <f>IF(OR(I1447=$A$1,I1447=0),"",IF(N1447=MappingTables!$C$14,VLOOKUP(J1447,ModelParameters!$M$8:$N$15,2,FALSE),IF(N1447=MappingTables!$C$16,VLOOKUP(J1447,ModelParameters!$P$8:$Q$15,2,FALSE),0)))</f>
        <v>1</v>
      </c>
      <c r="P1447" s="73">
        <f>IF(OR(I1447=0,I1447=$A$1),0,MIN(O1447*M1447,1)*K1447)</f>
        <v>0.37375562459246296</v>
      </c>
      <c r="Q1447" s="73">
        <f>IF(B1447="",0,IF(OR(H1447=MappingTables!$C$34,H1447=MappingTables!$C$35),P1447,0))</f>
        <v>0</v>
      </c>
      <c r="R1447" s="73">
        <f>IF(ISNA(IF(AND(VLOOKUP(CONCATENATE($D1447,$G1447),CSRFinput!$B:$E,4,0)=0,OR(H1447=MappingTables!$C$31,H1447=MappingTables!$C$32)),1,VLOOKUP(CONCATENATE($D1447,$G1447),CSRFinput!$B:$E,4,0))),0,IF(AND(VLOOKUP(CONCATENATE($D1447,$G1447),CSRFinput!$B:$E,4,0)=0,OR(H1447=MappingTables!$C$31,H1447=MappingTables!$C$32)),1,VLOOKUP(CONCATENATE($D1447,$G1447),CSRFinput!$B:$E,4,0)))</f>
        <v>0.054776304963434752</v>
      </c>
      <c r="S1447" s="73">
        <f>IF(B1447="",0,P1447*R1447)</f>
        <v>0.020472952074475784</v>
      </c>
      <c r="T1447" s="85">
        <f>IF(B1447="",0,IF(OR(H1447=MappingTables!$C$34,H1447=MappingTables!$C$35),S1447,0))</f>
        <v>0</v>
      </c>
    </row>
    <row r="1448" spans="2:20" s="0" customFormat="0" ht="15">
      <c r="B1448" s="69" t="s">
        <v>4965</v>
      </c>
      <c r="C1448" s="70" t="s">
        <v>4966</v>
      </c>
      <c r="D1448" s="70" t="s">
        <v>1</v>
      </c>
      <c r="E1448" s="70" t="s">
        <v>1</v>
      </c>
      <c r="F1448" s="70"/>
      <c r="G1448" s="70" t="s">
        <v>61</v>
      </c>
      <c r="H1448" s="70" t="s">
        <v>178</v>
      </c>
      <c r="I1448" s="70" t="s">
        <v>3298</v>
      </c>
      <c r="J1448" s="71">
        <f>IF(OR(I1448=0,I1448=""),"unrated",VLOOKUP(I1448,MappingTables!$B$19:$C$31,2,FALSE))</f>
        <v>6</v>
      </c>
      <c r="K1448" s="72">
        <v>289.68295543477804</v>
      </c>
      <c r="L1448" s="70">
        <v>-1.8259467785468328</v>
      </c>
      <c r="M1448" s="71">
        <f>IF(L1448&lt;1,1,L1448)</f>
        <v>1</v>
      </c>
      <c r="N1448" s="70" t="s">
        <v>3288</v>
      </c>
      <c r="O1448" s="71">
        <f>IF(OR(I1448=$A$1,I1448=0),"",IF(N1448=MappingTables!$C$14,VLOOKUP(J1448,ModelParameters!$M$8:$N$15,2,FALSE),IF(N1448=MappingTables!$C$16,VLOOKUP(J1448,ModelParameters!$P$8:$Q$15,2,FALSE),0)))</f>
        <v>1</v>
      </c>
      <c r="P1448" s="73">
        <f>IF(OR(I1448=0,I1448=$A$1),0,MIN(O1448*M1448,1)*K1448)</f>
        <v>289.68295543477804</v>
      </c>
      <c r="Q1448" s="73">
        <f>IF(B1448="",0,IF(OR(H1448=MappingTables!$C$34,H1448=MappingTables!$C$35),P1448,0))</f>
        <v>0</v>
      </c>
      <c r="R1448" s="73">
        <f>IF(ISNA(IF(AND(VLOOKUP(CONCATENATE($D1448,$G1448),CSRFinput!$B:$E,4,0)=0,OR(H1448=MappingTables!$C$31,H1448=MappingTables!$C$32)),1,VLOOKUP(CONCATENATE($D1448,$G1448),CSRFinput!$B:$E,4,0))),0,IF(AND(VLOOKUP(CONCATENATE($D1448,$G1448),CSRFinput!$B:$E,4,0)=0,OR(H1448=MappingTables!$C$31,H1448=MappingTables!$C$32)),1,VLOOKUP(CONCATENATE($D1448,$G1448),CSRFinput!$B:$E,4,0)))</f>
        <v>0.054776304963434752</v>
      </c>
      <c r="S1448" s="73">
        <f>IF(B1448="",0,P1448*R1448)</f>
        <v>15.86776190960448</v>
      </c>
      <c r="T1448" s="85">
        <f>IF(B1448="",0,IF(OR(H1448=MappingTables!$C$34,H1448=MappingTables!$C$35),S1448,0))</f>
        <v>0</v>
      </c>
    </row>
    <row r="1449" spans="2:20" s="0" customFormat="0" ht="15">
      <c r="B1449" s="69" t="s">
        <v>4217</v>
      </c>
      <c r="C1449" s="70" t="s">
        <v>4218</v>
      </c>
      <c r="D1449" s="70" t="s">
        <v>1</v>
      </c>
      <c r="E1449" s="70" t="s">
        <v>1</v>
      </c>
      <c r="F1449" s="70"/>
      <c r="G1449" s="70" t="s">
        <v>61</v>
      </c>
      <c r="H1449" s="70" t="s">
        <v>178</v>
      </c>
      <c r="I1449" s="70" t="s">
        <v>216</v>
      </c>
      <c r="J1449" s="71">
        <f>IF(OR(I1449=0,I1449=""),"unrated",VLOOKUP(I1449,MappingTables!$B$19:$C$31,2,FALSE))</f>
        <v>0</v>
      </c>
      <c r="K1449" s="72">
        <v>2029.6532800255296</v>
      </c>
      <c r="L1449" s="70">
        <v>0.05479668007061932</v>
      </c>
      <c r="M1449" s="71">
        <f>IF(L1449&lt;1,1,L1449)</f>
        <v>1</v>
      </c>
      <c r="N1449" s="70" t="s">
        <v>3288</v>
      </c>
      <c r="O1449" s="71">
        <f>IF(OR(I1449=$A$1,I1449=0),"",IF(N1449=MappingTables!$C$14,VLOOKUP(J1449,ModelParameters!$M$8:$N$15,2,FALSE),IF(N1449=MappingTables!$C$16,VLOOKUP(J1449,ModelParameters!$P$8:$Q$15,2,FALSE),0)))</f>
        <v>0.125</v>
      </c>
      <c r="P1449" s="73">
        <f>IF(OR(I1449=0,I1449=$A$1),0,MIN(O1449*M1449,1)*K1449)</f>
        <v>253.7066600031912</v>
      </c>
      <c r="Q1449" s="73">
        <f>IF(B1449="",0,IF(OR(H1449=MappingTables!$C$34,H1449=MappingTables!$C$35),P1449,0))</f>
        <v>0</v>
      </c>
      <c r="R1449" s="73">
        <f>IF(ISNA(IF(AND(VLOOKUP(CONCATENATE($D1449,$G1449),CSRFinput!$B:$E,4,0)=0,OR(H1449=MappingTables!$C$31,H1449=MappingTables!$C$32)),1,VLOOKUP(CONCATENATE($D1449,$G1449),CSRFinput!$B:$E,4,0))),0,IF(AND(VLOOKUP(CONCATENATE($D1449,$G1449),CSRFinput!$B:$E,4,0)=0,OR(H1449=MappingTables!$C$31,H1449=MappingTables!$C$32)),1,VLOOKUP(CONCATENATE($D1449,$G1449),CSRFinput!$B:$E,4,0)))</f>
        <v>0.054776304963434752</v>
      </c>
      <c r="S1449" s="73">
        <f>IF(B1449="",0,P1449*R1449)</f>
        <v>13.897113379589256</v>
      </c>
      <c r="T1449" s="85">
        <f>IF(B1449="",0,IF(OR(H1449=MappingTables!$C$34,H1449=MappingTables!$C$35),S1449,0))</f>
        <v>0</v>
      </c>
    </row>
    <row r="1450" spans="2:20" s="0" customFormat="0" ht="15">
      <c r="B1450" s="69" t="s">
        <v>3805</v>
      </c>
      <c r="C1450" s="70" t="s">
        <v>3806</v>
      </c>
      <c r="D1450" s="70" t="s">
        <v>1</v>
      </c>
      <c r="E1450" s="70" t="s">
        <v>1</v>
      </c>
      <c r="F1450" s="70"/>
      <c r="G1450" s="70" t="s">
        <v>61</v>
      </c>
      <c r="H1450" s="70" t="s">
        <v>178</v>
      </c>
      <c r="I1450" s="70" t="s">
        <v>204</v>
      </c>
      <c r="J1450" s="71">
        <f>IF(OR(I1450=0,I1450=""),"unrated",VLOOKUP(I1450,MappingTables!$B$19:$C$31,2,FALSE))</f>
        <v>6</v>
      </c>
      <c r="K1450" s="72">
        <v>1270.5135808143948</v>
      </c>
      <c r="L1450" s="70">
        <v>2.9374110036675932</v>
      </c>
      <c r="M1450" s="71">
        <f>IF(L1450&lt;1,1,L1450)</f>
        <v>2.9374110036675932</v>
      </c>
      <c r="N1450" s="70" t="s">
        <v>3288</v>
      </c>
      <c r="O1450" s="71">
        <f>IF(OR(I1450=$A$1,I1450=0),"",IF(N1450=MappingTables!$C$14,VLOOKUP(J1450,ModelParameters!$M$8:$N$15,2,FALSE),IF(N1450=MappingTables!$C$16,VLOOKUP(J1450,ModelParameters!$P$8:$Q$15,2,FALSE),0)))</f>
        <v>1</v>
      </c>
      <c r="P1450" s="73">
        <f>IF(OR(I1450=0,I1450=$A$1),0,MIN(O1450*M1450,1)*K1450)</f>
        <v>1270.5135808143948</v>
      </c>
      <c r="Q1450" s="73">
        <f>IF(B1450="",0,IF(OR(H1450=MappingTables!$C$34,H1450=MappingTables!$C$35),P1450,0))</f>
        <v>0</v>
      </c>
      <c r="R1450" s="73">
        <f>IF(ISNA(IF(AND(VLOOKUP(CONCATENATE($D1450,$G1450),CSRFinput!$B:$E,4,0)=0,OR(H1450=MappingTables!$C$31,H1450=MappingTables!$C$32)),1,VLOOKUP(CONCATENATE($D1450,$G1450),CSRFinput!$B:$E,4,0))),0,IF(AND(VLOOKUP(CONCATENATE($D1450,$G1450),CSRFinput!$B:$E,4,0)=0,OR(H1450=MappingTables!$C$31,H1450=MappingTables!$C$32)),1,VLOOKUP(CONCATENATE($D1450,$G1450),CSRFinput!$B:$E,4,0)))</f>
        <v>0.054776304963434752</v>
      </c>
      <c r="S1450" s="73">
        <f>IF(B1450="",0,P1450*R1450)</f>
        <v>69.594039362874792</v>
      </c>
      <c r="T1450" s="85">
        <f>IF(B1450="",0,IF(OR(H1450=MappingTables!$C$34,H1450=MappingTables!$C$35),S1450,0))</f>
        <v>0</v>
      </c>
    </row>
    <row r="1451" spans="2:20" s="0" customFormat="0" ht="15">
      <c r="B1451" s="69" t="s">
        <v>4807</v>
      </c>
      <c r="C1451" s="70" t="s">
        <v>4808</v>
      </c>
      <c r="D1451" s="70" t="s">
        <v>1</v>
      </c>
      <c r="E1451" s="70" t="s">
        <v>1</v>
      </c>
      <c r="F1451" s="70"/>
      <c r="G1451" s="70" t="s">
        <v>61</v>
      </c>
      <c r="H1451" s="70" t="s">
        <v>178</v>
      </c>
      <c r="I1451" s="70" t="s">
        <v>198</v>
      </c>
      <c r="J1451" s="71" t="str">
        <f>IF(OR(I1451=0,I1451=""),"unrated",VLOOKUP(I1451,MappingTables!$B$19:$C$31,2,FALSE))</f>
        <v>unrated</v>
      </c>
      <c r="K1451" s="72">
        <v>178.51436142513244</v>
      </c>
      <c r="L1451" s="70">
        <v>0.068500119587200384</v>
      </c>
      <c r="M1451" s="71">
        <f>IF(L1451&lt;1,1,L1451)</f>
        <v>1</v>
      </c>
      <c r="N1451" s="70" t="s">
        <v>3288</v>
      </c>
      <c r="O1451" s="71">
        <f>IF(OR(I1451=$A$1,I1451=0),"",IF(N1451=MappingTables!$C$14,VLOOKUP(J1451,ModelParameters!$M$8:$N$15,2,FALSE),IF(N1451=MappingTables!$C$16,VLOOKUP(J1451,ModelParameters!$P$8:$Q$15,2,FALSE),0)))</f>
        <v>1</v>
      </c>
      <c r="P1451" s="73">
        <f>IF(OR(I1451=0,I1451=$A$1),0,MIN(O1451*M1451,1)*K1451)</f>
        <v>178.51436142513244</v>
      </c>
      <c r="Q1451" s="73">
        <f>IF(B1451="",0,IF(OR(H1451=MappingTables!$C$34,H1451=MappingTables!$C$35),P1451,0))</f>
        <v>0</v>
      </c>
      <c r="R1451" s="73">
        <f>IF(ISNA(IF(AND(VLOOKUP(CONCATENATE($D1451,$G1451),CSRFinput!$B:$E,4,0)=0,OR(H1451=MappingTables!$C$31,H1451=MappingTables!$C$32)),1,VLOOKUP(CONCATENATE($D1451,$G1451),CSRFinput!$B:$E,4,0))),0,IF(AND(VLOOKUP(CONCATENATE($D1451,$G1451),CSRFinput!$B:$E,4,0)=0,OR(H1451=MappingTables!$C$31,H1451=MappingTables!$C$32)),1,VLOOKUP(CONCATENATE($D1451,$G1451),CSRFinput!$B:$E,4,0)))</f>
        <v>0.054776304963434752</v>
      </c>
      <c r="S1451" s="73">
        <f>IF(B1451="",0,P1451*R1451)</f>
        <v>9.7783571017758672</v>
      </c>
      <c r="T1451" s="85">
        <f>IF(B1451="",0,IF(OR(H1451=MappingTables!$C$34,H1451=MappingTables!$C$35),S1451,0))</f>
        <v>0</v>
      </c>
    </row>
    <row r="1452" spans="2:20" s="0" customFormat="0" ht="15">
      <c r="B1452" s="69" t="s">
        <v>3773</v>
      </c>
      <c r="C1452" s="70" t="s">
        <v>3774</v>
      </c>
      <c r="D1452" s="70" t="s">
        <v>1</v>
      </c>
      <c r="E1452" s="70" t="s">
        <v>1</v>
      </c>
      <c r="F1452" s="70"/>
      <c r="G1452" s="70" t="s">
        <v>61</v>
      </c>
      <c r="H1452" s="70" t="s">
        <v>178</v>
      </c>
      <c r="I1452" s="70" t="s">
        <v>198</v>
      </c>
      <c r="J1452" s="71" t="str">
        <f>IF(OR(I1452=0,I1452=""),"unrated",VLOOKUP(I1452,MappingTables!$B$19:$C$31,2,FALSE))</f>
        <v>unrated</v>
      </c>
      <c r="K1452" s="72">
        <v>15.944903170399882</v>
      </c>
      <c r="L1452" s="70">
        <v>0.068491619754959904</v>
      </c>
      <c r="M1452" s="71">
        <f>IF(L1452&lt;1,1,L1452)</f>
        <v>1</v>
      </c>
      <c r="N1452" s="70" t="s">
        <v>3288</v>
      </c>
      <c r="O1452" s="71">
        <f>IF(OR(I1452=$A$1,I1452=0),"",IF(N1452=MappingTables!$C$14,VLOOKUP(J1452,ModelParameters!$M$8:$N$15,2,FALSE),IF(N1452=MappingTables!$C$16,VLOOKUP(J1452,ModelParameters!$P$8:$Q$15,2,FALSE),0)))</f>
        <v>1</v>
      </c>
      <c r="P1452" s="73">
        <f>IF(OR(I1452=0,I1452=$A$1),0,MIN(O1452*M1452,1)*K1452)</f>
        <v>15.944903170399882</v>
      </c>
      <c r="Q1452" s="73">
        <f>IF(B1452="",0,IF(OR(H1452=MappingTables!$C$34,H1452=MappingTables!$C$35),P1452,0))</f>
        <v>0</v>
      </c>
      <c r="R1452" s="73">
        <f>IF(ISNA(IF(AND(VLOOKUP(CONCATENATE($D1452,$G1452),CSRFinput!$B:$E,4,0)=0,OR(H1452=MappingTables!$C$31,H1452=MappingTables!$C$32)),1,VLOOKUP(CONCATENATE($D1452,$G1452),CSRFinput!$B:$E,4,0))),0,IF(AND(VLOOKUP(CONCATENATE($D1452,$G1452),CSRFinput!$B:$E,4,0)=0,OR(H1452=MappingTables!$C$31,H1452=MappingTables!$C$32)),1,VLOOKUP(CONCATENATE($D1452,$G1452),CSRFinput!$B:$E,4,0)))</f>
        <v>0.054776304963434752</v>
      </c>
      <c r="S1452" s="73">
        <f>IF(B1452="",0,P1452*R1452)</f>
        <v>0.8734028786742616</v>
      </c>
      <c r="T1452" s="85">
        <f>IF(B1452="",0,IF(OR(H1452=MappingTables!$C$34,H1452=MappingTables!$C$35),S1452,0))</f>
        <v>0</v>
      </c>
    </row>
    <row r="1453" spans="2:20" s="0" customFormat="0" ht="15">
      <c r="B1453" s="69" t="s">
        <v>4506</v>
      </c>
      <c r="C1453" s="70" t="s">
        <v>4507</v>
      </c>
      <c r="D1453" s="70" t="s">
        <v>1</v>
      </c>
      <c r="E1453" s="70" t="s">
        <v>1</v>
      </c>
      <c r="F1453" s="70"/>
      <c r="G1453" s="70" t="s">
        <v>61</v>
      </c>
      <c r="H1453" s="70" t="s">
        <v>178</v>
      </c>
      <c r="I1453" s="70" t="s">
        <v>198</v>
      </c>
      <c r="J1453" s="71" t="str">
        <f>IF(OR(I1453=0,I1453=""),"unrated",VLOOKUP(I1453,MappingTables!$B$19:$C$31,2,FALSE))</f>
        <v>unrated</v>
      </c>
      <c r="K1453" s="72">
        <v>0.011976989812319182</v>
      </c>
      <c r="L1453" s="70">
        <v>6.2119981412518888</v>
      </c>
      <c r="M1453" s="71">
        <f>IF(L1453&lt;1,1,L1453)</f>
        <v>6.2119981412518888</v>
      </c>
      <c r="N1453" s="70" t="s">
        <v>3288</v>
      </c>
      <c r="O1453" s="71">
        <f>IF(OR(I1453=$A$1,I1453=0),"",IF(N1453=MappingTables!$C$14,VLOOKUP(J1453,ModelParameters!$M$8:$N$15,2,FALSE),IF(N1453=MappingTables!$C$16,VLOOKUP(J1453,ModelParameters!$P$8:$Q$15,2,FALSE),0)))</f>
        <v>1</v>
      </c>
      <c r="P1453" s="73">
        <f>IF(OR(I1453=0,I1453=$A$1),0,MIN(O1453*M1453,1)*K1453)</f>
        <v>0.011976989812319182</v>
      </c>
      <c r="Q1453" s="73">
        <f>IF(B1453="",0,IF(OR(H1453=MappingTables!$C$34,H1453=MappingTables!$C$35),P1453,0))</f>
        <v>0</v>
      </c>
      <c r="R1453" s="73">
        <f>IF(ISNA(IF(AND(VLOOKUP(CONCATENATE($D1453,$G1453),CSRFinput!$B:$E,4,0)=0,OR(H1453=MappingTables!$C$31,H1453=MappingTables!$C$32)),1,VLOOKUP(CONCATENATE($D1453,$G1453),CSRFinput!$B:$E,4,0))),0,IF(AND(VLOOKUP(CONCATENATE($D1453,$G1453),CSRFinput!$B:$E,4,0)=0,OR(H1453=MappingTables!$C$31,H1453=MappingTables!$C$32)),1,VLOOKUP(CONCATENATE($D1453,$G1453),CSRFinput!$B:$E,4,0)))</f>
        <v>0.054776304963434752</v>
      </c>
      <c r="S1453" s="73">
        <f>IF(B1453="",0,P1453*R1453)</f>
        <v>0.00065605524650354672</v>
      </c>
      <c r="T1453" s="85">
        <f>IF(B1453="",0,IF(OR(H1453=MappingTables!$C$34,H1453=MappingTables!$C$35),S1453,0))</f>
        <v>0</v>
      </c>
    </row>
    <row r="1454" spans="2:20" s="0" customFormat="0" ht="15">
      <c r="B1454" s="69">
        <v>16974053</v>
      </c>
      <c r="C1454" s="70" t="s">
        <v>3676</v>
      </c>
      <c r="D1454" s="70" t="s">
        <v>1</v>
      </c>
      <c r="E1454" s="70" t="s">
        <v>1</v>
      </c>
      <c r="F1454" s="70"/>
      <c r="G1454" s="70" t="s">
        <v>61</v>
      </c>
      <c r="H1454" s="70" t="s">
        <v>178</v>
      </c>
      <c r="I1454" s="70" t="s">
        <v>216</v>
      </c>
      <c r="J1454" s="71">
        <f>IF(OR(I1454=0,I1454=""),"unrated",VLOOKUP(I1454,MappingTables!$B$19:$C$31,2,FALSE))</f>
        <v>0</v>
      </c>
      <c r="K1454" s="72">
        <v>1.7697503989942014</v>
      </c>
      <c r="L1454" s="70">
        <v>0.2200366337281336</v>
      </c>
      <c r="M1454" s="71">
        <f>IF(L1454&lt;1,1,L1454)</f>
        <v>1</v>
      </c>
      <c r="N1454" s="70" t="s">
        <v>3288</v>
      </c>
      <c r="O1454" s="71">
        <f>IF(OR(I1454=$A$1,I1454=0),"",IF(N1454=MappingTables!$C$14,VLOOKUP(J1454,ModelParameters!$M$8:$N$15,2,FALSE),IF(N1454=MappingTables!$C$16,VLOOKUP(J1454,ModelParameters!$P$8:$Q$15,2,FALSE),0)))</f>
        <v>0.125</v>
      </c>
      <c r="P1454" s="73">
        <f>IF(OR(I1454=0,I1454=$A$1),0,MIN(O1454*M1454,1)*K1454)</f>
        <v>0.22121879987427516</v>
      </c>
      <c r="Q1454" s="73">
        <f>IF(B1454="",0,IF(OR(H1454=MappingTables!$C$34,H1454=MappingTables!$C$35),P1454,0))</f>
        <v>0</v>
      </c>
      <c r="R1454" s="73">
        <f>IF(ISNA(IF(AND(VLOOKUP(CONCATENATE($D1454,$G1454),CSRFinput!$B:$E,4,0)=0,OR(H1454=MappingTables!$C$31,H1454=MappingTables!$C$32)),1,VLOOKUP(CONCATENATE($D1454,$G1454),CSRFinput!$B:$E,4,0))),0,IF(AND(VLOOKUP(CONCATENATE($D1454,$G1454),CSRFinput!$B:$E,4,0)=0,OR(H1454=MappingTables!$C$31,H1454=MappingTables!$C$32)),1,VLOOKUP(CONCATENATE($D1454,$G1454),CSRFinput!$B:$E,4,0)))</f>
        <v>0.054776304963434752</v>
      </c>
      <c r="S1454" s="73">
        <f>IF(B1454="",0,P1454*R1454)</f>
        <v>0.01211754844555834</v>
      </c>
      <c r="T1454" s="85">
        <f>IF(B1454="",0,IF(OR(H1454=MappingTables!$C$34,H1454=MappingTables!$C$35),S1454,0))</f>
        <v>0</v>
      </c>
    </row>
    <row r="1455" spans="2:20" s="0" customFormat="0" ht="15">
      <c r="B1455" s="69" t="s">
        <v>4939</v>
      </c>
      <c r="C1455" s="70" t="s">
        <v>4940</v>
      </c>
      <c r="D1455" s="70" t="s">
        <v>1</v>
      </c>
      <c r="E1455" s="70" t="s">
        <v>1</v>
      </c>
      <c r="F1455" s="70"/>
      <c r="G1455" s="70" t="s">
        <v>61</v>
      </c>
      <c r="H1455" s="70" t="s">
        <v>178</v>
      </c>
      <c r="I1455" s="70" t="s">
        <v>198</v>
      </c>
      <c r="J1455" s="71" t="str">
        <f>IF(OR(I1455=0,I1455=""),"unrated",VLOOKUP(I1455,MappingTables!$B$19:$C$31,2,FALSE))</f>
        <v>unrated</v>
      </c>
      <c r="K1455" s="72">
        <v>66.017138764562264</v>
      </c>
      <c r="L1455" s="70">
        <v>0.068488699792057416</v>
      </c>
      <c r="M1455" s="71">
        <f>IF(L1455&lt;1,1,L1455)</f>
        <v>1</v>
      </c>
      <c r="N1455" s="70" t="s">
        <v>3288</v>
      </c>
      <c r="O1455" s="71">
        <f>IF(OR(I1455=$A$1,I1455=0),"",IF(N1455=MappingTables!$C$14,VLOOKUP(J1455,ModelParameters!$M$8:$N$15,2,FALSE),IF(N1455=MappingTables!$C$16,VLOOKUP(J1455,ModelParameters!$P$8:$Q$15,2,FALSE),0)))</f>
        <v>1</v>
      </c>
      <c r="P1455" s="73">
        <f>IF(OR(I1455=0,I1455=$A$1),0,MIN(O1455*M1455,1)*K1455)</f>
        <v>66.017138764562264</v>
      </c>
      <c r="Q1455" s="73">
        <f>IF(B1455="",0,IF(OR(H1455=MappingTables!$C$34,H1455=MappingTables!$C$35),P1455,0))</f>
        <v>0</v>
      </c>
      <c r="R1455" s="73">
        <f>IF(ISNA(IF(AND(VLOOKUP(CONCATENATE($D1455,$G1455),CSRFinput!$B:$E,4,0)=0,OR(H1455=MappingTables!$C$31,H1455=MappingTables!$C$32)),1,VLOOKUP(CONCATENATE($D1455,$G1455),CSRFinput!$B:$E,4,0))),0,IF(AND(VLOOKUP(CONCATENATE($D1455,$G1455),CSRFinput!$B:$E,4,0)=0,OR(H1455=MappingTables!$C$31,H1455=MappingTables!$C$32)),1,VLOOKUP(CONCATENATE($D1455,$G1455),CSRFinput!$B:$E,4,0)))</f>
        <v>0.054776304963434752</v>
      </c>
      <c r="S1455" s="73">
        <f>IF(B1455="",0,P1455*R1455)</f>
        <v>3.6161749257810528</v>
      </c>
      <c r="T1455" s="85">
        <f>IF(B1455="",0,IF(OR(H1455=MappingTables!$C$34,H1455=MappingTables!$C$35),S1455,0))</f>
        <v>0</v>
      </c>
    </row>
    <row r="1456" spans="2:20" s="0" customFormat="0" ht="15">
      <c r="B1456" s="69" t="s">
        <v>4967</v>
      </c>
      <c r="C1456" s="70" t="s">
        <v>4968</v>
      </c>
      <c r="D1456" s="70" t="s">
        <v>1</v>
      </c>
      <c r="E1456" s="70" t="s">
        <v>1</v>
      </c>
      <c r="F1456" s="70"/>
      <c r="G1456" s="70" t="s">
        <v>61</v>
      </c>
      <c r="H1456" s="70" t="s">
        <v>178</v>
      </c>
      <c r="I1456" s="70" t="s">
        <v>184</v>
      </c>
      <c r="J1456" s="71">
        <f>IF(OR(I1456=0,I1456=""),"unrated",VLOOKUP(I1456,MappingTables!$B$19:$C$31,2,FALSE))</f>
        <v>5</v>
      </c>
      <c r="K1456" s="72">
        <v>6.0869323942862936</v>
      </c>
      <c r="L1456" s="70">
        <v>0.068492475118586968</v>
      </c>
      <c r="M1456" s="71">
        <f>IF(L1456&lt;1,1,L1456)</f>
        <v>1</v>
      </c>
      <c r="N1456" s="70" t="s">
        <v>3288</v>
      </c>
      <c r="O1456" s="71">
        <f>IF(OR(I1456=$A$1,I1456=0),"",IF(N1456=MappingTables!$C$14,VLOOKUP(J1456,ModelParameters!$M$8:$N$15,2,FALSE),IF(N1456=MappingTables!$C$16,VLOOKUP(J1456,ModelParameters!$P$8:$Q$15,2,FALSE),0)))</f>
        <v>1</v>
      </c>
      <c r="P1456" s="73">
        <f>IF(OR(I1456=0,I1456=$A$1),0,MIN(O1456*M1456,1)*K1456)</f>
        <v>6.0869323942862936</v>
      </c>
      <c r="Q1456" s="73">
        <f>IF(B1456="",0,IF(OR(H1456=MappingTables!$C$34,H1456=MappingTables!$C$35),P1456,0))</f>
        <v>0</v>
      </c>
      <c r="R1456" s="73">
        <f>IF(ISNA(IF(AND(VLOOKUP(CONCATENATE($D1456,$G1456),CSRFinput!$B:$E,4,0)=0,OR(H1456=MappingTables!$C$31,H1456=MappingTables!$C$32)),1,VLOOKUP(CONCATENATE($D1456,$G1456),CSRFinput!$B:$E,4,0))),0,IF(AND(VLOOKUP(CONCATENATE($D1456,$G1456),CSRFinput!$B:$E,4,0)=0,OR(H1456=MappingTables!$C$31,H1456=MappingTables!$C$32)),1,VLOOKUP(CONCATENATE($D1456,$G1456),CSRFinput!$B:$E,4,0)))</f>
        <v>0.054776304963434752</v>
      </c>
      <c r="S1456" s="73">
        <f>IF(B1456="",0,P1456*R1456)</f>
        <v>0.33341966512123612</v>
      </c>
      <c r="T1456" s="85">
        <f>IF(B1456="",0,IF(OR(H1456=MappingTables!$C$34,H1456=MappingTables!$C$35),S1456,0))</f>
        <v>0</v>
      </c>
    </row>
    <row r="1457" spans="2:20" s="0" customFormat="0" ht="15">
      <c r="B1457" s="69" t="s">
        <v>4135</v>
      </c>
      <c r="C1457" s="70" t="s">
        <v>4136</v>
      </c>
      <c r="D1457" s="70" t="s">
        <v>1</v>
      </c>
      <c r="E1457" s="70" t="s">
        <v>1</v>
      </c>
      <c r="F1457" s="70"/>
      <c r="G1457" s="70" t="s">
        <v>61</v>
      </c>
      <c r="H1457" s="70" t="s">
        <v>178</v>
      </c>
      <c r="I1457" s="70" t="s">
        <v>198</v>
      </c>
      <c r="J1457" s="71" t="str">
        <f>IF(OR(I1457=0,I1457=""),"unrated",VLOOKUP(I1457,MappingTables!$B$19:$C$31,2,FALSE))</f>
        <v>unrated</v>
      </c>
      <c r="K1457" s="72">
        <v>80.353821913030608</v>
      </c>
      <c r="L1457" s="70">
        <v>27.180138972659036</v>
      </c>
      <c r="M1457" s="71">
        <f>IF(L1457&lt;1,1,L1457)</f>
        <v>27.180138972659036</v>
      </c>
      <c r="N1457" s="70" t="s">
        <v>3288</v>
      </c>
      <c r="O1457" s="71">
        <f>IF(OR(I1457=$A$1,I1457=0),"",IF(N1457=MappingTables!$C$14,VLOOKUP(J1457,ModelParameters!$M$8:$N$15,2,FALSE),IF(N1457=MappingTables!$C$16,VLOOKUP(J1457,ModelParameters!$P$8:$Q$15,2,FALSE),0)))</f>
        <v>1</v>
      </c>
      <c r="P1457" s="73">
        <f>IF(OR(I1457=0,I1457=$A$1),0,MIN(O1457*M1457,1)*K1457)</f>
        <v>80.353821913030608</v>
      </c>
      <c r="Q1457" s="73">
        <f>IF(B1457="",0,IF(OR(H1457=MappingTables!$C$34,H1457=MappingTables!$C$35),P1457,0))</f>
        <v>0</v>
      </c>
      <c r="R1457" s="73">
        <f>IF(ISNA(IF(AND(VLOOKUP(CONCATENATE($D1457,$G1457),CSRFinput!$B:$E,4,0)=0,OR(H1457=MappingTables!$C$31,H1457=MappingTables!$C$32)),1,VLOOKUP(CONCATENATE($D1457,$G1457),CSRFinput!$B:$E,4,0))),0,IF(AND(VLOOKUP(CONCATENATE($D1457,$G1457),CSRFinput!$B:$E,4,0)=0,OR(H1457=MappingTables!$C$31,H1457=MappingTables!$C$32)),1,VLOOKUP(CONCATENATE($D1457,$G1457),CSRFinput!$B:$E,4,0)))</f>
        <v>0.054776304963434752</v>
      </c>
      <c r="S1457" s="73">
        <f>IF(B1457="",0,P1457*R1457)</f>
        <v>4.4014854540856904</v>
      </c>
      <c r="T1457" s="85">
        <f>IF(B1457="",0,IF(OR(H1457=MappingTables!$C$34,H1457=MappingTables!$C$35),S1457,0))</f>
        <v>0</v>
      </c>
    </row>
    <row r="1458" spans="2:20" s="0" customFormat="0" ht="15">
      <c r="B1458" s="69">
        <v>22927565</v>
      </c>
      <c r="C1458" s="70" t="s">
        <v>4370</v>
      </c>
      <c r="D1458" s="70" t="s">
        <v>1</v>
      </c>
      <c r="E1458" s="70" t="s">
        <v>1</v>
      </c>
      <c r="F1458" s="70"/>
      <c r="G1458" s="70" t="s">
        <v>61</v>
      </c>
      <c r="H1458" s="70" t="s">
        <v>178</v>
      </c>
      <c r="I1458" s="70" t="s">
        <v>216</v>
      </c>
      <c r="J1458" s="71">
        <f>IF(OR(I1458=0,I1458=""),"unrated",VLOOKUP(I1458,MappingTables!$B$19:$C$31,2,FALSE))</f>
        <v>0</v>
      </c>
      <c r="K1458" s="72">
        <v>450.16095681740384</v>
      </c>
      <c r="L1458" s="70">
        <v>0.050901449097184544</v>
      </c>
      <c r="M1458" s="71">
        <f>IF(L1458&lt;1,1,L1458)</f>
        <v>1</v>
      </c>
      <c r="N1458" s="70" t="s">
        <v>3288</v>
      </c>
      <c r="O1458" s="71">
        <f>IF(OR(I1458=$A$1,I1458=0),"",IF(N1458=MappingTables!$C$14,VLOOKUP(J1458,ModelParameters!$M$8:$N$15,2,FALSE),IF(N1458=MappingTables!$C$16,VLOOKUP(J1458,ModelParameters!$P$8:$Q$15,2,FALSE),0)))</f>
        <v>0.125</v>
      </c>
      <c r="P1458" s="73">
        <f>IF(OR(I1458=0,I1458=$A$1),0,MIN(O1458*M1458,1)*K1458)</f>
        <v>56.27011960217548</v>
      </c>
      <c r="Q1458" s="73">
        <f>IF(B1458="",0,IF(OR(H1458=MappingTables!$C$34,H1458=MappingTables!$C$35),P1458,0))</f>
        <v>0</v>
      </c>
      <c r="R1458" s="73">
        <f>IF(ISNA(IF(AND(VLOOKUP(CONCATENATE($D1458,$G1458),CSRFinput!$B:$E,4,0)=0,OR(H1458=MappingTables!$C$31,H1458=MappingTables!$C$32)),1,VLOOKUP(CONCATENATE($D1458,$G1458),CSRFinput!$B:$E,4,0))),0,IF(AND(VLOOKUP(CONCATENATE($D1458,$G1458),CSRFinput!$B:$E,4,0)=0,OR(H1458=MappingTables!$C$31,H1458=MappingTables!$C$32)),1,VLOOKUP(CONCATENATE($D1458,$G1458),CSRFinput!$B:$E,4,0)))</f>
        <v>0.054776304963434752</v>
      </c>
      <c r="S1458" s="73">
        <f>IF(B1458="",0,P1458*R1458)</f>
        <v>3.082269231657712</v>
      </c>
      <c r="T1458" s="85">
        <f>IF(B1458="",0,IF(OR(H1458=MappingTables!$C$34,H1458=MappingTables!$C$35),S1458,0))</f>
        <v>0</v>
      </c>
    </row>
    <row r="1459" spans="2:20" s="0" customFormat="0" ht="15">
      <c r="B1459" s="69">
        <v>4085814</v>
      </c>
      <c r="C1459" s="70" t="s">
        <v>4795</v>
      </c>
      <c r="D1459" s="70" t="s">
        <v>1</v>
      </c>
      <c r="E1459" s="70" t="s">
        <v>1</v>
      </c>
      <c r="F1459" s="70"/>
      <c r="G1459" s="70" t="s">
        <v>61</v>
      </c>
      <c r="H1459" s="70" t="s">
        <v>178</v>
      </c>
      <c r="I1459" s="70" t="s">
        <v>204</v>
      </c>
      <c r="J1459" s="71">
        <f>IF(OR(I1459=0,I1459=""),"unrated",VLOOKUP(I1459,MappingTables!$B$19:$C$31,2,FALSE))</f>
        <v>6</v>
      </c>
      <c r="K1459" s="72">
        <v>106.22715429518198</v>
      </c>
      <c r="L1459" s="70">
        <v>0.068489067210401584</v>
      </c>
      <c r="M1459" s="71">
        <f>IF(L1459&lt;1,1,L1459)</f>
        <v>1</v>
      </c>
      <c r="N1459" s="70" t="s">
        <v>3288</v>
      </c>
      <c r="O1459" s="71">
        <f>IF(OR(I1459=$A$1,I1459=0),"",IF(N1459=MappingTables!$C$14,VLOOKUP(J1459,ModelParameters!$M$8:$N$15,2,FALSE),IF(N1459=MappingTables!$C$16,VLOOKUP(J1459,ModelParameters!$P$8:$Q$15,2,FALSE),0)))</f>
        <v>1</v>
      </c>
      <c r="P1459" s="73">
        <f>IF(OR(I1459=0,I1459=$A$1),0,MIN(O1459*M1459,1)*K1459)</f>
        <v>106.22715429518198</v>
      </c>
      <c r="Q1459" s="73">
        <f>IF(B1459="",0,IF(OR(H1459=MappingTables!$C$34,H1459=MappingTables!$C$35),P1459,0))</f>
        <v>0</v>
      </c>
      <c r="R1459" s="73">
        <f>IF(ISNA(IF(AND(VLOOKUP(CONCATENATE($D1459,$G1459),CSRFinput!$B:$E,4,0)=0,OR(H1459=MappingTables!$C$31,H1459=MappingTables!$C$32)),1,VLOOKUP(CONCATENATE($D1459,$G1459),CSRFinput!$B:$E,4,0))),0,IF(AND(VLOOKUP(CONCATENATE($D1459,$G1459),CSRFinput!$B:$E,4,0)=0,OR(H1459=MappingTables!$C$31,H1459=MappingTables!$C$32)),1,VLOOKUP(CONCATENATE($D1459,$G1459),CSRFinput!$B:$E,4,0)))</f>
        <v>0.054776304963434752</v>
      </c>
      <c r="S1459" s="73">
        <f>IF(B1459="",0,P1459*R1459)</f>
        <v>5.8187309990707264</v>
      </c>
      <c r="T1459" s="85">
        <f>IF(B1459="",0,IF(OR(H1459=MappingTables!$C$34,H1459=MappingTables!$C$35),S1459,0))</f>
        <v>0</v>
      </c>
    </row>
    <row r="1460" spans="2:20" s="0" customFormat="0" ht="15">
      <c r="B1460" s="69" t="s">
        <v>4443</v>
      </c>
      <c r="C1460" s="70" t="s">
        <v>4444</v>
      </c>
      <c r="D1460" s="70" t="s">
        <v>1</v>
      </c>
      <c r="E1460" s="70" t="s">
        <v>1</v>
      </c>
      <c r="F1460" s="70"/>
      <c r="G1460" s="70" t="s">
        <v>61</v>
      </c>
      <c r="H1460" s="70" t="s">
        <v>178</v>
      </c>
      <c r="I1460" s="70" t="s">
        <v>3298</v>
      </c>
      <c r="J1460" s="71">
        <f>IF(OR(I1460=0,I1460=""),"unrated",VLOOKUP(I1460,MappingTables!$B$19:$C$31,2,FALSE))</f>
        <v>6</v>
      </c>
      <c r="K1460" s="72">
        <v>723.07985664561424</v>
      </c>
      <c r="L1460" s="70">
        <v>-1.7993900997994276</v>
      </c>
      <c r="M1460" s="71">
        <f>IF(L1460&lt;1,1,L1460)</f>
        <v>1</v>
      </c>
      <c r="N1460" s="70" t="s">
        <v>3288</v>
      </c>
      <c r="O1460" s="71">
        <f>IF(OR(I1460=$A$1,I1460=0),"",IF(N1460=MappingTables!$C$14,VLOOKUP(J1460,ModelParameters!$M$8:$N$15,2,FALSE),IF(N1460=MappingTables!$C$16,VLOOKUP(J1460,ModelParameters!$P$8:$Q$15,2,FALSE),0)))</f>
        <v>1</v>
      </c>
      <c r="P1460" s="73">
        <f>IF(OR(I1460=0,I1460=$A$1),0,MIN(O1460*M1460,1)*K1460)</f>
        <v>723.07985664561424</v>
      </c>
      <c r="Q1460" s="73">
        <f>IF(B1460="",0,IF(OR(H1460=MappingTables!$C$34,H1460=MappingTables!$C$35),P1460,0))</f>
        <v>0</v>
      </c>
      <c r="R1460" s="73">
        <f>IF(ISNA(IF(AND(VLOOKUP(CONCATENATE($D1460,$G1460),CSRFinput!$B:$E,4,0)=0,OR(H1460=MappingTables!$C$31,H1460=MappingTables!$C$32)),1,VLOOKUP(CONCATENATE($D1460,$G1460),CSRFinput!$B:$E,4,0))),0,IF(AND(VLOOKUP(CONCATENATE($D1460,$G1460),CSRFinput!$B:$E,4,0)=0,OR(H1460=MappingTables!$C$31,H1460=MappingTables!$C$32)),1,VLOOKUP(CONCATENATE($D1460,$G1460),CSRFinput!$B:$E,4,0)))</f>
        <v>0.054776304963434752</v>
      </c>
      <c r="S1460" s="73">
        <f>IF(B1460="",0,P1460*R1460)</f>
        <v>39.607642740536848</v>
      </c>
      <c r="T1460" s="85">
        <f>IF(B1460="",0,IF(OR(H1460=MappingTables!$C$34,H1460=MappingTables!$C$35),S1460,0))</f>
        <v>0</v>
      </c>
    </row>
    <row r="1461" spans="2:20" s="0" customFormat="0" ht="15">
      <c r="B1461" s="69" t="s">
        <v>4969</v>
      </c>
      <c r="C1461" s="70" t="s">
        <v>4970</v>
      </c>
      <c r="D1461" s="70" t="s">
        <v>1</v>
      </c>
      <c r="E1461" s="70" t="s">
        <v>1</v>
      </c>
      <c r="F1461" s="70"/>
      <c r="G1461" s="70" t="s">
        <v>61</v>
      </c>
      <c r="H1461" s="70" t="s">
        <v>178</v>
      </c>
      <c r="I1461" s="70" t="s">
        <v>198</v>
      </c>
      <c r="J1461" s="71" t="str">
        <f>IF(OR(I1461=0,I1461=""),"unrated",VLOOKUP(I1461,MappingTables!$B$19:$C$31,2,FALSE))</f>
        <v>unrated</v>
      </c>
      <c r="K1461" s="72">
        <v>46.258595047549376</v>
      </c>
      <c r="L1461" s="70">
        <v>0.068492814078158384</v>
      </c>
      <c r="M1461" s="71">
        <f>IF(L1461&lt;1,1,L1461)</f>
        <v>1</v>
      </c>
      <c r="N1461" s="70" t="s">
        <v>3288</v>
      </c>
      <c r="O1461" s="71">
        <f>IF(OR(I1461=$A$1,I1461=0),"",IF(N1461=MappingTables!$C$14,VLOOKUP(J1461,ModelParameters!$M$8:$N$15,2,FALSE),IF(N1461=MappingTables!$C$16,VLOOKUP(J1461,ModelParameters!$P$8:$Q$15,2,FALSE),0)))</f>
        <v>1</v>
      </c>
      <c r="P1461" s="73">
        <f>IF(OR(I1461=0,I1461=$A$1),0,MIN(O1461*M1461,1)*K1461)</f>
        <v>46.258595047549376</v>
      </c>
      <c r="Q1461" s="73">
        <f>IF(B1461="",0,IF(OR(H1461=MappingTables!$C$34,H1461=MappingTables!$C$35),P1461,0))</f>
        <v>0</v>
      </c>
      <c r="R1461" s="73">
        <f>IF(ISNA(IF(AND(VLOOKUP(CONCATENATE($D1461,$G1461),CSRFinput!$B:$E,4,0)=0,OR(H1461=MappingTables!$C$31,H1461=MappingTables!$C$32)),1,VLOOKUP(CONCATENATE($D1461,$G1461),CSRFinput!$B:$E,4,0))),0,IF(AND(VLOOKUP(CONCATENATE($D1461,$G1461),CSRFinput!$B:$E,4,0)=0,OR(H1461=MappingTables!$C$31,H1461=MappingTables!$C$32)),1,VLOOKUP(CONCATENATE($D1461,$G1461),CSRFinput!$B:$E,4,0)))</f>
        <v>0.054776304963434752</v>
      </c>
      <c r="S1461" s="73">
        <f>IF(B1461="",0,P1461*R1461)</f>
        <v>2.5338749095045972</v>
      </c>
      <c r="T1461" s="85">
        <f>IF(B1461="",0,IF(OR(H1461=MappingTables!$C$34,H1461=MappingTables!$C$35),S1461,0))</f>
        <v>0</v>
      </c>
    </row>
    <row r="1462" spans="2:20" s="0" customFormat="0" ht="15">
      <c r="B1462" s="69">
        <v>11094842</v>
      </c>
      <c r="C1462" s="70" t="s">
        <v>4253</v>
      </c>
      <c r="D1462" s="70" t="s">
        <v>1</v>
      </c>
      <c r="E1462" s="70" t="s">
        <v>1</v>
      </c>
      <c r="F1462" s="70"/>
      <c r="G1462" s="70" t="s">
        <v>61</v>
      </c>
      <c r="H1462" s="70" t="s">
        <v>178</v>
      </c>
      <c r="I1462" s="70" t="s">
        <v>216</v>
      </c>
      <c r="J1462" s="71">
        <f>IF(OR(I1462=0,I1462=""),"unrated",VLOOKUP(I1462,MappingTables!$B$19:$C$31,2,FALSE))</f>
        <v>0</v>
      </c>
      <c r="K1462" s="72">
        <v>7.993894730510944</v>
      </c>
      <c r="L1462" s="70">
        <v>1.5397199602639326</v>
      </c>
      <c r="M1462" s="71">
        <f>IF(L1462&lt;1,1,L1462)</f>
        <v>1.5397199602639326</v>
      </c>
      <c r="N1462" s="70" t="s">
        <v>3288</v>
      </c>
      <c r="O1462" s="71">
        <f>IF(OR(I1462=$A$1,I1462=0),"",IF(N1462=MappingTables!$C$14,VLOOKUP(J1462,ModelParameters!$M$8:$N$15,2,FALSE),IF(N1462=MappingTables!$C$16,VLOOKUP(J1462,ModelParameters!$P$8:$Q$15,2,FALSE),0)))</f>
        <v>0.125</v>
      </c>
      <c r="P1462" s="73">
        <f>IF(OR(I1462=0,I1462=$A$1),0,MIN(O1462*M1462,1)*K1462)</f>
        <v>1.5385449096020464</v>
      </c>
      <c r="Q1462" s="73">
        <f>IF(B1462="",0,IF(OR(H1462=MappingTables!$C$34,H1462=MappingTables!$C$35),P1462,0))</f>
        <v>0</v>
      </c>
      <c r="R1462" s="73">
        <f>IF(ISNA(IF(AND(VLOOKUP(CONCATENATE($D1462,$G1462),CSRFinput!$B:$E,4,0)=0,OR(H1462=MappingTables!$C$31,H1462=MappingTables!$C$32)),1,VLOOKUP(CONCATENATE($D1462,$G1462),CSRFinput!$B:$E,4,0))),0,IF(AND(VLOOKUP(CONCATENATE($D1462,$G1462),CSRFinput!$B:$E,4,0)=0,OR(H1462=MappingTables!$C$31,H1462=MappingTables!$C$32)),1,VLOOKUP(CONCATENATE($D1462,$G1462),CSRFinput!$B:$E,4,0)))</f>
        <v>0.054776304963434752</v>
      </c>
      <c r="S1462" s="73">
        <f>IF(B1462="",0,P1462*R1462)</f>
        <v>0.084275805168301856</v>
      </c>
      <c r="T1462" s="85">
        <f>IF(B1462="",0,IF(OR(H1462=MappingTables!$C$34,H1462=MappingTables!$C$35),S1462,0))</f>
        <v>0</v>
      </c>
    </row>
    <row r="1463" spans="2:20" s="0" customFormat="0" ht="15">
      <c r="B1463" s="69">
        <v>7065943</v>
      </c>
      <c r="C1463" s="70" t="s">
        <v>4307</v>
      </c>
      <c r="D1463" s="70" t="s">
        <v>1</v>
      </c>
      <c r="E1463" s="70" t="s">
        <v>1</v>
      </c>
      <c r="F1463" s="70"/>
      <c r="G1463" s="70" t="s">
        <v>61</v>
      </c>
      <c r="H1463" s="70" t="s">
        <v>178</v>
      </c>
      <c r="I1463" s="70" t="s">
        <v>216</v>
      </c>
      <c r="J1463" s="71">
        <f>IF(OR(I1463=0,I1463=""),"unrated",VLOOKUP(I1463,MappingTables!$B$19:$C$31,2,FALSE))</f>
        <v>0</v>
      </c>
      <c r="K1463" s="72">
        <v>2.42098562347816</v>
      </c>
      <c r="L1463" s="70">
        <v>0.077626940408220672</v>
      </c>
      <c r="M1463" s="71">
        <f>IF(L1463&lt;1,1,L1463)</f>
        <v>1</v>
      </c>
      <c r="N1463" s="70" t="s">
        <v>3288</v>
      </c>
      <c r="O1463" s="71">
        <f>IF(OR(I1463=$A$1,I1463=0),"",IF(N1463=MappingTables!$C$14,VLOOKUP(J1463,ModelParameters!$M$8:$N$15,2,FALSE),IF(N1463=MappingTables!$C$16,VLOOKUP(J1463,ModelParameters!$P$8:$Q$15,2,FALSE),0)))</f>
        <v>0.125</v>
      </c>
      <c r="P1463" s="73">
        <f>IF(OR(I1463=0,I1463=$A$1),0,MIN(O1463*M1463,1)*K1463)</f>
        <v>0.30262320293477</v>
      </c>
      <c r="Q1463" s="73">
        <f>IF(B1463="",0,IF(OR(H1463=MappingTables!$C$34,H1463=MappingTables!$C$35),P1463,0))</f>
        <v>0</v>
      </c>
      <c r="R1463" s="73">
        <f>IF(ISNA(IF(AND(VLOOKUP(CONCATENATE($D1463,$G1463),CSRFinput!$B:$E,4,0)=0,OR(H1463=MappingTables!$C$31,H1463=MappingTables!$C$32)),1,VLOOKUP(CONCATENATE($D1463,$G1463),CSRFinput!$B:$E,4,0))),0,IF(AND(VLOOKUP(CONCATENATE($D1463,$G1463),CSRFinput!$B:$E,4,0)=0,OR(H1463=MappingTables!$C$31,H1463=MappingTables!$C$32)),1,VLOOKUP(CONCATENATE($D1463,$G1463),CSRFinput!$B:$E,4,0)))</f>
        <v>0.054776304963434752</v>
      </c>
      <c r="S1463" s="73">
        <f>IF(B1463="",0,P1463*R1463)</f>
        <v>0.016576580852966364</v>
      </c>
      <c r="T1463" s="85">
        <f>IF(B1463="",0,IF(OR(H1463=MappingTables!$C$34,H1463=MappingTables!$C$35),S1463,0))</f>
        <v>0</v>
      </c>
    </row>
    <row r="1464" spans="2:20" s="0" customFormat="0" ht="15">
      <c r="B1464" s="69" t="s">
        <v>3359</v>
      </c>
      <c r="C1464" s="70" t="s">
        <v>3360</v>
      </c>
      <c r="D1464" s="70" t="s">
        <v>1</v>
      </c>
      <c r="E1464" s="70" t="s">
        <v>1</v>
      </c>
      <c r="F1464" s="70"/>
      <c r="G1464" s="70" t="s">
        <v>61</v>
      </c>
      <c r="H1464" s="70" t="s">
        <v>178</v>
      </c>
      <c r="I1464" s="70" t="s">
        <v>204</v>
      </c>
      <c r="J1464" s="71">
        <f>IF(OR(I1464=0,I1464=""),"unrated",VLOOKUP(I1464,MappingTables!$B$19:$C$31,2,FALSE))</f>
        <v>6</v>
      </c>
      <c r="K1464" s="72">
        <v>216.48677064444488</v>
      </c>
      <c r="L1464" s="70">
        <v>0.068494822624544968</v>
      </c>
      <c r="M1464" s="71">
        <f>IF(L1464&lt;1,1,L1464)</f>
        <v>1</v>
      </c>
      <c r="N1464" s="70" t="s">
        <v>3288</v>
      </c>
      <c r="O1464" s="71">
        <f>IF(OR(I1464=$A$1,I1464=0),"",IF(N1464=MappingTables!$C$14,VLOOKUP(J1464,ModelParameters!$M$8:$N$15,2,FALSE),IF(N1464=MappingTables!$C$16,VLOOKUP(J1464,ModelParameters!$P$8:$Q$15,2,FALSE),0)))</f>
        <v>1</v>
      </c>
      <c r="P1464" s="73">
        <f>IF(OR(I1464=0,I1464=$A$1),0,MIN(O1464*M1464,1)*K1464)</f>
        <v>216.48677064444488</v>
      </c>
      <c r="Q1464" s="73">
        <f>IF(B1464="",0,IF(OR(H1464=MappingTables!$C$34,H1464=MappingTables!$C$35),P1464,0))</f>
        <v>0</v>
      </c>
      <c r="R1464" s="73">
        <f>IF(ISNA(IF(AND(VLOOKUP(CONCATENATE($D1464,$G1464),CSRFinput!$B:$E,4,0)=0,OR(H1464=MappingTables!$C$31,H1464=MappingTables!$C$32)),1,VLOOKUP(CONCATENATE($D1464,$G1464),CSRFinput!$B:$E,4,0))),0,IF(AND(VLOOKUP(CONCATENATE($D1464,$G1464),CSRFinput!$B:$E,4,0)=0,OR(H1464=MappingTables!$C$31,H1464=MappingTables!$C$32)),1,VLOOKUP(CONCATENATE($D1464,$G1464),CSRFinput!$B:$E,4,0)))</f>
        <v>0.054776304963434752</v>
      </c>
      <c r="S1464" s="73">
        <f>IF(B1464="",0,P1464*R1464)</f>
        <v>11.858345369369268</v>
      </c>
      <c r="T1464" s="85">
        <f>IF(B1464="",0,IF(OR(H1464=MappingTables!$C$34,H1464=MappingTables!$C$35),S1464,0))</f>
        <v>0</v>
      </c>
    </row>
    <row r="1465" spans="2:20" s="0" customFormat="0" ht="15">
      <c r="B1465" s="69" t="s">
        <v>4971</v>
      </c>
      <c r="C1465" s="70" t="s">
        <v>4972</v>
      </c>
      <c r="D1465" s="70" t="s">
        <v>1</v>
      </c>
      <c r="E1465" s="70" t="s">
        <v>1</v>
      </c>
      <c r="F1465" s="70"/>
      <c r="G1465" s="70" t="s">
        <v>61</v>
      </c>
      <c r="H1465" s="70" t="s">
        <v>178</v>
      </c>
      <c r="I1465" s="70" t="s">
        <v>184</v>
      </c>
      <c r="J1465" s="71">
        <f>IF(OR(I1465=0,I1465=""),"unrated",VLOOKUP(I1465,MappingTables!$B$19:$C$31,2,FALSE))</f>
        <v>5</v>
      </c>
      <c r="K1465" s="72">
        <v>169.19665512104594</v>
      </c>
      <c r="L1465" s="70">
        <v>0.068494391715094776</v>
      </c>
      <c r="M1465" s="71">
        <f>IF(L1465&lt;1,1,L1465)</f>
        <v>1</v>
      </c>
      <c r="N1465" s="70" t="s">
        <v>3288</v>
      </c>
      <c r="O1465" s="71">
        <f>IF(OR(I1465=$A$1,I1465=0),"",IF(N1465=MappingTables!$C$14,VLOOKUP(J1465,ModelParameters!$M$8:$N$15,2,FALSE),IF(N1465=MappingTables!$C$16,VLOOKUP(J1465,ModelParameters!$P$8:$Q$15,2,FALSE),0)))</f>
        <v>1</v>
      </c>
      <c r="P1465" s="73">
        <f>IF(OR(I1465=0,I1465=$A$1),0,MIN(O1465*M1465,1)*K1465)</f>
        <v>169.19665512104594</v>
      </c>
      <c r="Q1465" s="73">
        <f>IF(B1465="",0,IF(OR(H1465=MappingTables!$C$34,H1465=MappingTables!$C$35),P1465,0))</f>
        <v>0</v>
      </c>
      <c r="R1465" s="73">
        <f>IF(ISNA(IF(AND(VLOOKUP(CONCATENATE($D1465,$G1465),CSRFinput!$B:$E,4,0)=0,OR(H1465=MappingTables!$C$31,H1465=MappingTables!$C$32)),1,VLOOKUP(CONCATENATE($D1465,$G1465),CSRFinput!$B:$E,4,0))),0,IF(AND(VLOOKUP(CONCATENATE($D1465,$G1465),CSRFinput!$B:$E,4,0)=0,OR(H1465=MappingTables!$C$31,H1465=MappingTables!$C$32)),1,VLOOKUP(CONCATENATE($D1465,$G1465),CSRFinput!$B:$E,4,0)))</f>
        <v>0.054776304963434752</v>
      </c>
      <c r="S1465" s="73">
        <f>IF(B1465="",0,P1465*R1465)</f>
        <v>9.2679675797035072</v>
      </c>
      <c r="T1465" s="85">
        <f>IF(B1465="",0,IF(OR(H1465=MappingTables!$C$34,H1465=MappingTables!$C$35),S1465,0))</f>
        <v>0</v>
      </c>
    </row>
    <row r="1466" spans="2:20" s="0" customFormat="0" ht="15">
      <c r="B1466" s="69">
        <v>22554592</v>
      </c>
      <c r="C1466" s="70" t="s">
        <v>4463</v>
      </c>
      <c r="D1466" s="70" t="s">
        <v>1</v>
      </c>
      <c r="E1466" s="70" t="s">
        <v>1</v>
      </c>
      <c r="F1466" s="70"/>
      <c r="G1466" s="70" t="s">
        <v>61</v>
      </c>
      <c r="H1466" s="70" t="s">
        <v>178</v>
      </c>
      <c r="I1466" s="70" t="s">
        <v>204</v>
      </c>
      <c r="J1466" s="71">
        <f>IF(OR(I1466=0,I1466=""),"unrated",VLOOKUP(I1466,MappingTables!$B$19:$C$31,2,FALSE))</f>
        <v>6</v>
      </c>
      <c r="K1466" s="72">
        <v>5073.557381871412</v>
      </c>
      <c r="L1466" s="70">
        <v>0.025091017576775396</v>
      </c>
      <c r="M1466" s="71">
        <f>IF(L1466&lt;1,1,L1466)</f>
        <v>1</v>
      </c>
      <c r="N1466" s="70" t="s">
        <v>3288</v>
      </c>
      <c r="O1466" s="71">
        <f>IF(OR(I1466=$A$1,I1466=0),"",IF(N1466=MappingTables!$C$14,VLOOKUP(J1466,ModelParameters!$M$8:$N$15,2,FALSE),IF(N1466=MappingTables!$C$16,VLOOKUP(J1466,ModelParameters!$P$8:$Q$15,2,FALSE),0)))</f>
        <v>1</v>
      </c>
      <c r="P1466" s="73">
        <f>IF(OR(I1466=0,I1466=$A$1),0,MIN(O1466*M1466,1)*K1466)</f>
        <v>5073.557381871412</v>
      </c>
      <c r="Q1466" s="73">
        <f>IF(B1466="",0,IF(OR(H1466=MappingTables!$C$34,H1466=MappingTables!$C$35),P1466,0))</f>
        <v>0</v>
      </c>
      <c r="R1466" s="73">
        <f>IF(ISNA(IF(AND(VLOOKUP(CONCATENATE($D1466,$G1466),CSRFinput!$B:$E,4,0)=0,OR(H1466=MappingTables!$C$31,H1466=MappingTables!$C$32)),1,VLOOKUP(CONCATENATE($D1466,$G1466),CSRFinput!$B:$E,4,0))),0,IF(AND(VLOOKUP(CONCATENATE($D1466,$G1466),CSRFinput!$B:$E,4,0)=0,OR(H1466=MappingTables!$C$31,H1466=MappingTables!$C$32)),1,VLOOKUP(CONCATENATE($D1466,$G1466),CSRFinput!$B:$E,4,0)))</f>
        <v>0.054776304963434752</v>
      </c>
      <c r="S1466" s="73">
        <f>IF(B1466="",0,P1466*R1466)</f>
        <v>277.91072639887404</v>
      </c>
      <c r="T1466" s="85">
        <f>IF(B1466="",0,IF(OR(H1466=MappingTables!$C$34,H1466=MappingTables!$C$35),S1466,0))</f>
        <v>0</v>
      </c>
    </row>
    <row r="1467" spans="2:20" s="0" customFormat="0" ht="15">
      <c r="B1467" s="69" t="s">
        <v>4973</v>
      </c>
      <c r="C1467" s="70" t="s">
        <v>4974</v>
      </c>
      <c r="D1467" s="70" t="s">
        <v>1</v>
      </c>
      <c r="E1467" s="70" t="s">
        <v>1</v>
      </c>
      <c r="F1467" s="70"/>
      <c r="G1467" s="70" t="s">
        <v>61</v>
      </c>
      <c r="H1467" s="70" t="s">
        <v>178</v>
      </c>
      <c r="I1467" s="70" t="s">
        <v>198</v>
      </c>
      <c r="J1467" s="71" t="str">
        <f>IF(OR(I1467=0,I1467=""),"unrated",VLOOKUP(I1467,MappingTables!$B$19:$C$31,2,FALSE))</f>
        <v>unrated</v>
      </c>
      <c r="K1467" s="72">
        <v>4.4699662762990752</v>
      </c>
      <c r="L1467" s="70">
        <v>12.576215748147612</v>
      </c>
      <c r="M1467" s="71">
        <f>IF(L1467&lt;1,1,L1467)</f>
        <v>12.576215748147612</v>
      </c>
      <c r="N1467" s="70" t="s">
        <v>3288</v>
      </c>
      <c r="O1467" s="71">
        <f>IF(OR(I1467=$A$1,I1467=0),"",IF(N1467=MappingTables!$C$14,VLOOKUP(J1467,ModelParameters!$M$8:$N$15,2,FALSE),IF(N1467=MappingTables!$C$16,VLOOKUP(J1467,ModelParameters!$P$8:$Q$15,2,FALSE),0)))</f>
        <v>1</v>
      </c>
      <c r="P1467" s="73">
        <f>IF(OR(I1467=0,I1467=$A$1),0,MIN(O1467*M1467,1)*K1467)</f>
        <v>4.4699662762990752</v>
      </c>
      <c r="Q1467" s="73">
        <f>IF(B1467="",0,IF(OR(H1467=MappingTables!$C$34,H1467=MappingTables!$C$35),P1467,0))</f>
        <v>0</v>
      </c>
      <c r="R1467" s="73">
        <f>IF(ISNA(IF(AND(VLOOKUP(CONCATENATE($D1467,$G1467),CSRFinput!$B:$E,4,0)=0,OR(H1467=MappingTables!$C$31,H1467=MappingTables!$C$32)),1,VLOOKUP(CONCATENATE($D1467,$G1467),CSRFinput!$B:$E,4,0))),0,IF(AND(VLOOKUP(CONCATENATE($D1467,$G1467),CSRFinput!$B:$E,4,0)=0,OR(H1467=MappingTables!$C$31,H1467=MappingTables!$C$32)),1,VLOOKUP(CONCATENATE($D1467,$G1467),CSRFinput!$B:$E,4,0)))</f>
        <v>0.054776304963434752</v>
      </c>
      <c r="S1467" s="73">
        <f>IF(B1467="",0,P1467*R1467)</f>
        <v>0.244848235926827</v>
      </c>
      <c r="T1467" s="85">
        <f>IF(B1467="",0,IF(OR(H1467=MappingTables!$C$34,H1467=MappingTables!$C$35),S1467,0))</f>
        <v>0</v>
      </c>
    </row>
    <row r="1468" spans="2:20" s="0" customFormat="0" ht="15">
      <c r="B1468" s="69" t="s">
        <v>4975</v>
      </c>
      <c r="C1468" s="70" t="s">
        <v>4976</v>
      </c>
      <c r="D1468" s="70" t="s">
        <v>1</v>
      </c>
      <c r="E1468" s="70" t="s">
        <v>1</v>
      </c>
      <c r="F1468" s="70"/>
      <c r="G1468" s="70" t="s">
        <v>61</v>
      </c>
      <c r="H1468" s="70" t="s">
        <v>178</v>
      </c>
      <c r="I1468" s="70" t="s">
        <v>216</v>
      </c>
      <c r="J1468" s="71">
        <f>IF(OR(I1468=0,I1468=""),"unrated",VLOOKUP(I1468,MappingTables!$B$19:$C$31,2,FALSE))</f>
        <v>0</v>
      </c>
      <c r="K1468" s="72">
        <v>5.4519472426802952</v>
      </c>
      <c r="L1468" s="70">
        <v>0.046578056346481192</v>
      </c>
      <c r="M1468" s="71">
        <f>IF(L1468&lt;1,1,L1468)</f>
        <v>1</v>
      </c>
      <c r="N1468" s="70" t="s">
        <v>3288</v>
      </c>
      <c r="O1468" s="71">
        <f>IF(OR(I1468=$A$1,I1468=0),"",IF(N1468=MappingTables!$C$14,VLOOKUP(J1468,ModelParameters!$M$8:$N$15,2,FALSE),IF(N1468=MappingTables!$C$16,VLOOKUP(J1468,ModelParameters!$P$8:$Q$15,2,FALSE),0)))</f>
        <v>0.125</v>
      </c>
      <c r="P1468" s="73">
        <f>IF(OR(I1468=0,I1468=$A$1),0,MIN(O1468*M1468,1)*K1468)</f>
        <v>0.68149340533503688</v>
      </c>
      <c r="Q1468" s="73">
        <f>IF(B1468="",0,IF(OR(H1468=MappingTables!$C$34,H1468=MappingTables!$C$35),P1468,0))</f>
        <v>0</v>
      </c>
      <c r="R1468" s="73">
        <f>IF(ISNA(IF(AND(VLOOKUP(CONCATENATE($D1468,$G1468),CSRFinput!$B:$E,4,0)=0,OR(H1468=MappingTables!$C$31,H1468=MappingTables!$C$32)),1,VLOOKUP(CONCATENATE($D1468,$G1468),CSRFinput!$B:$E,4,0))),0,IF(AND(VLOOKUP(CONCATENATE($D1468,$G1468),CSRFinput!$B:$E,4,0)=0,OR(H1468=MappingTables!$C$31,H1468=MappingTables!$C$32)),1,VLOOKUP(CONCATENATE($D1468,$G1468),CSRFinput!$B:$E,4,0)))</f>
        <v>0.054776304963434752</v>
      </c>
      <c r="S1468" s="73">
        <f>IF(B1468="",0,P1468*R1468)</f>
        <v>0.037329690601201632</v>
      </c>
      <c r="T1468" s="85">
        <f>IF(B1468="",0,IF(OR(H1468=MappingTables!$C$34,H1468=MappingTables!$C$35),S1468,0))</f>
        <v>0</v>
      </c>
    </row>
    <row r="1469" spans="2:20" s="0" customFormat="0" ht="15">
      <c r="B1469" s="69" t="s">
        <v>3299</v>
      </c>
      <c r="C1469" s="70" t="s">
        <v>3300</v>
      </c>
      <c r="D1469" s="70" t="s">
        <v>1</v>
      </c>
      <c r="E1469" s="70" t="s">
        <v>1</v>
      </c>
      <c r="F1469" s="70"/>
      <c r="G1469" s="70" t="s">
        <v>61</v>
      </c>
      <c r="H1469" s="70" t="s">
        <v>178</v>
      </c>
      <c r="I1469" s="70" t="s">
        <v>3298</v>
      </c>
      <c r="J1469" s="71">
        <f>IF(OR(I1469=0,I1469=""),"unrated",VLOOKUP(I1469,MappingTables!$B$19:$C$31,2,FALSE))</f>
        <v>6</v>
      </c>
      <c r="K1469" s="72">
        <v>109.33216597675574</v>
      </c>
      <c r="L1469" s="70">
        <v>0.23446828356944648</v>
      </c>
      <c r="M1469" s="71">
        <f>IF(L1469&lt;1,1,L1469)</f>
        <v>1</v>
      </c>
      <c r="N1469" s="70" t="s">
        <v>3288</v>
      </c>
      <c r="O1469" s="71">
        <f>IF(OR(I1469=$A$1,I1469=0),"",IF(N1469=MappingTables!$C$14,VLOOKUP(J1469,ModelParameters!$M$8:$N$15,2,FALSE),IF(N1469=MappingTables!$C$16,VLOOKUP(J1469,ModelParameters!$P$8:$Q$15,2,FALSE),0)))</f>
        <v>1</v>
      </c>
      <c r="P1469" s="73">
        <f>IF(OR(I1469=0,I1469=$A$1),0,MIN(O1469*M1469,1)*K1469)</f>
        <v>109.33216597675574</v>
      </c>
      <c r="Q1469" s="73">
        <f>IF(B1469="",0,IF(OR(H1469=MappingTables!$C$34,H1469=MappingTables!$C$35),P1469,0))</f>
        <v>0</v>
      </c>
      <c r="R1469" s="73">
        <f>IF(ISNA(IF(AND(VLOOKUP(CONCATENATE($D1469,$G1469),CSRFinput!$B:$E,4,0)=0,OR(H1469=MappingTables!$C$31,H1469=MappingTables!$C$32)),1,VLOOKUP(CONCATENATE($D1469,$G1469),CSRFinput!$B:$E,4,0))),0,IF(AND(VLOOKUP(CONCATENATE($D1469,$G1469),CSRFinput!$B:$E,4,0)=0,OR(H1469=MappingTables!$C$31,H1469=MappingTables!$C$32)),1,VLOOKUP(CONCATENATE($D1469,$G1469),CSRFinput!$B:$E,4,0)))</f>
        <v>0.054776304963434752</v>
      </c>
      <c r="S1469" s="73">
        <f>IF(B1469="",0,P1469*R1469)</f>
        <v>5.9888120658556376</v>
      </c>
      <c r="T1469" s="85">
        <f>IF(B1469="",0,IF(OR(H1469=MappingTables!$C$34,H1469=MappingTables!$C$35),S1469,0))</f>
        <v>0</v>
      </c>
    </row>
    <row r="1470" spans="2:20" s="0" customFormat="0" ht="15">
      <c r="B1470" s="69" t="s">
        <v>4977</v>
      </c>
      <c r="C1470" s="70" t="s">
        <v>4978</v>
      </c>
      <c r="D1470" s="70" t="s">
        <v>1</v>
      </c>
      <c r="E1470" s="70" t="s">
        <v>1</v>
      </c>
      <c r="F1470" s="70"/>
      <c r="G1470" s="70" t="s">
        <v>61</v>
      </c>
      <c r="H1470" s="70" t="s">
        <v>178</v>
      </c>
      <c r="I1470" s="70" t="s">
        <v>3298</v>
      </c>
      <c r="J1470" s="71">
        <f>IF(OR(I1470=0,I1470=""),"unrated",VLOOKUP(I1470,MappingTables!$B$19:$C$31,2,FALSE))</f>
        <v>6</v>
      </c>
      <c r="K1470" s="72">
        <v>1483.8740454938606</v>
      </c>
      <c r="L1470" s="70">
        <v>0.06849233307646704</v>
      </c>
      <c r="M1470" s="71">
        <f>IF(L1470&lt;1,1,L1470)</f>
        <v>1</v>
      </c>
      <c r="N1470" s="70" t="s">
        <v>3288</v>
      </c>
      <c r="O1470" s="71">
        <f>IF(OR(I1470=$A$1,I1470=0),"",IF(N1470=MappingTables!$C$14,VLOOKUP(J1470,ModelParameters!$M$8:$N$15,2,FALSE),IF(N1470=MappingTables!$C$16,VLOOKUP(J1470,ModelParameters!$P$8:$Q$15,2,FALSE),0)))</f>
        <v>1</v>
      </c>
      <c r="P1470" s="73">
        <f>IF(OR(I1470=0,I1470=$A$1),0,MIN(O1470*M1470,1)*K1470)</f>
        <v>1483.8740454938606</v>
      </c>
      <c r="Q1470" s="73">
        <f>IF(B1470="",0,IF(OR(H1470=MappingTables!$C$34,H1470=MappingTables!$C$35),P1470,0))</f>
        <v>0</v>
      </c>
      <c r="R1470" s="73">
        <f>IF(ISNA(IF(AND(VLOOKUP(CONCATENATE($D1470,$G1470),CSRFinput!$B:$E,4,0)=0,OR(H1470=MappingTables!$C$31,H1470=MappingTables!$C$32)),1,VLOOKUP(CONCATENATE($D1470,$G1470),CSRFinput!$B:$E,4,0))),0,IF(AND(VLOOKUP(CONCATENATE($D1470,$G1470),CSRFinput!$B:$E,4,0)=0,OR(H1470=MappingTables!$C$31,H1470=MappingTables!$C$32)),1,VLOOKUP(CONCATENATE($D1470,$G1470),CSRFinput!$B:$E,4,0)))</f>
        <v>0.054776304963434752</v>
      </c>
      <c r="S1470" s="73">
        <f>IF(B1470="",0,P1470*R1470)</f>
        <v>81.28113724329736</v>
      </c>
      <c r="T1470" s="85">
        <f>IF(B1470="",0,IF(OR(H1470=MappingTables!$C$34,H1470=MappingTables!$C$35),S1470,0))</f>
        <v>0</v>
      </c>
    </row>
    <row r="1471" spans="2:20" s="0" customFormat="0" ht="15">
      <c r="B1471" s="69" t="s">
        <v>4979</v>
      </c>
      <c r="C1471" s="70" t="s">
        <v>4980</v>
      </c>
      <c r="D1471" s="70" t="s">
        <v>1</v>
      </c>
      <c r="E1471" s="70" t="s">
        <v>1</v>
      </c>
      <c r="F1471" s="70"/>
      <c r="G1471" s="70" t="s">
        <v>61</v>
      </c>
      <c r="H1471" s="70" t="s">
        <v>178</v>
      </c>
      <c r="I1471" s="70" t="s">
        <v>198</v>
      </c>
      <c r="J1471" s="71" t="str">
        <f>IF(OR(I1471=0,I1471=""),"unrated",VLOOKUP(I1471,MappingTables!$B$19:$C$31,2,FALSE))</f>
        <v>unrated</v>
      </c>
      <c r="K1471" s="72">
        <v>28295.141377798812</v>
      </c>
      <c r="L1471" s="70">
        <v>3.7570506214805184</v>
      </c>
      <c r="M1471" s="71">
        <f>IF(L1471&lt;1,1,L1471)</f>
        <v>3.7570506214805184</v>
      </c>
      <c r="N1471" s="70" t="s">
        <v>3288</v>
      </c>
      <c r="O1471" s="71">
        <f>IF(OR(I1471=$A$1,I1471=0),"",IF(N1471=MappingTables!$C$14,VLOOKUP(J1471,ModelParameters!$M$8:$N$15,2,FALSE),IF(N1471=MappingTables!$C$16,VLOOKUP(J1471,ModelParameters!$P$8:$Q$15,2,FALSE),0)))</f>
        <v>1</v>
      </c>
      <c r="P1471" s="73">
        <f>IF(OR(I1471=0,I1471=$A$1),0,MIN(O1471*M1471,1)*K1471)</f>
        <v>28295.141377798812</v>
      </c>
      <c r="Q1471" s="73">
        <f>IF(B1471="",0,IF(OR(H1471=MappingTables!$C$34,H1471=MappingTables!$C$35),P1471,0))</f>
        <v>0</v>
      </c>
      <c r="R1471" s="73">
        <f>IF(ISNA(IF(AND(VLOOKUP(CONCATENATE($D1471,$G1471),CSRFinput!$B:$E,4,0)=0,OR(H1471=MappingTables!$C$31,H1471=MappingTables!$C$32)),1,VLOOKUP(CONCATENATE($D1471,$G1471),CSRFinput!$B:$E,4,0))),0,IF(AND(VLOOKUP(CONCATENATE($D1471,$G1471),CSRFinput!$B:$E,4,0)=0,OR(H1471=MappingTables!$C$31,H1471=MappingTables!$C$32)),1,VLOOKUP(CONCATENATE($D1471,$G1471),CSRFinput!$B:$E,4,0)))</f>
        <v>0.054776304963434752</v>
      </c>
      <c r="S1471" s="73">
        <f>IF(B1471="",0,P1471*R1471)</f>
        <v>1549.9032930938092</v>
      </c>
      <c r="T1471" s="85">
        <f>IF(B1471="",0,IF(OR(H1471=MappingTables!$C$34,H1471=MappingTables!$C$35),S1471,0))</f>
        <v>0</v>
      </c>
    </row>
    <row r="1472" spans="2:20" s="0" customFormat="0" ht="15">
      <c r="B1472" s="69" t="s">
        <v>4377</v>
      </c>
      <c r="C1472" s="70" t="s">
        <v>4378</v>
      </c>
      <c r="D1472" s="70" t="s">
        <v>1</v>
      </c>
      <c r="E1472" s="70" t="s">
        <v>1</v>
      </c>
      <c r="F1472" s="70"/>
      <c r="G1472" s="70" t="s">
        <v>61</v>
      </c>
      <c r="H1472" s="70" t="s">
        <v>178</v>
      </c>
      <c r="I1472" s="70" t="s">
        <v>216</v>
      </c>
      <c r="J1472" s="71">
        <f>IF(OR(I1472=0,I1472=""),"unrated",VLOOKUP(I1472,MappingTables!$B$19:$C$31,2,FALSE))</f>
        <v>0</v>
      </c>
      <c r="K1472" s="72">
        <v>593.08840378246</v>
      </c>
      <c r="L1472" s="70">
        <v>-7.364768766933288</v>
      </c>
      <c r="M1472" s="71">
        <f>IF(L1472&lt;1,1,L1472)</f>
        <v>1</v>
      </c>
      <c r="N1472" s="70" t="s">
        <v>3288</v>
      </c>
      <c r="O1472" s="71">
        <f>IF(OR(I1472=$A$1,I1472=0),"",IF(N1472=MappingTables!$C$14,VLOOKUP(J1472,ModelParameters!$M$8:$N$15,2,FALSE),IF(N1472=MappingTables!$C$16,VLOOKUP(J1472,ModelParameters!$P$8:$Q$15,2,FALSE),0)))</f>
        <v>0.125</v>
      </c>
      <c r="P1472" s="73">
        <f>IF(OR(I1472=0,I1472=$A$1),0,MIN(O1472*M1472,1)*K1472)</f>
        <v>74.136050472807504</v>
      </c>
      <c r="Q1472" s="73">
        <f>IF(B1472="",0,IF(OR(H1472=MappingTables!$C$34,H1472=MappingTables!$C$35),P1472,0))</f>
        <v>0</v>
      </c>
      <c r="R1472" s="73">
        <f>IF(ISNA(IF(AND(VLOOKUP(CONCATENATE($D1472,$G1472),CSRFinput!$B:$E,4,0)=0,OR(H1472=MappingTables!$C$31,H1472=MappingTables!$C$32)),1,VLOOKUP(CONCATENATE($D1472,$G1472),CSRFinput!$B:$E,4,0))),0,IF(AND(VLOOKUP(CONCATENATE($D1472,$G1472),CSRFinput!$B:$E,4,0)=0,OR(H1472=MappingTables!$C$31,H1472=MappingTables!$C$32)),1,VLOOKUP(CONCATENATE($D1472,$G1472),CSRFinput!$B:$E,4,0)))</f>
        <v>0.054776304963434752</v>
      </c>
      <c r="S1472" s="73">
        <f>IF(B1472="",0,P1472*R1472)</f>
        <v>4.0608989094830952</v>
      </c>
      <c r="T1472" s="85">
        <f>IF(B1472="",0,IF(OR(H1472=MappingTables!$C$34,H1472=MappingTables!$C$35),S1472,0))</f>
        <v>0</v>
      </c>
    </row>
    <row r="1473" spans="2:20" s="0" customFormat="0" ht="15">
      <c r="B1473" s="69">
        <v>1551421</v>
      </c>
      <c r="C1473" s="70" t="s">
        <v>4981</v>
      </c>
      <c r="D1473" s="70" t="s">
        <v>1</v>
      </c>
      <c r="E1473" s="70" t="s">
        <v>1</v>
      </c>
      <c r="F1473" s="70"/>
      <c r="G1473" s="70" t="s">
        <v>61</v>
      </c>
      <c r="H1473" s="70" t="s">
        <v>178</v>
      </c>
      <c r="I1473" s="70" t="s">
        <v>3298</v>
      </c>
      <c r="J1473" s="71">
        <f>IF(OR(I1473=0,I1473=""),"unrated",VLOOKUP(I1473,MappingTables!$B$19:$C$31,2,FALSE))</f>
        <v>6</v>
      </c>
      <c r="K1473" s="72">
        <v>68.448402494165352</v>
      </c>
      <c r="L1473" s="70">
        <v>-0.24992127768338648</v>
      </c>
      <c r="M1473" s="71">
        <f>IF(L1473&lt;1,1,L1473)</f>
        <v>1</v>
      </c>
      <c r="N1473" s="70" t="s">
        <v>3288</v>
      </c>
      <c r="O1473" s="71">
        <f>IF(OR(I1473=$A$1,I1473=0),"",IF(N1473=MappingTables!$C$14,VLOOKUP(J1473,ModelParameters!$M$8:$N$15,2,FALSE),IF(N1473=MappingTables!$C$16,VLOOKUP(J1473,ModelParameters!$P$8:$Q$15,2,FALSE),0)))</f>
        <v>1</v>
      </c>
      <c r="P1473" s="73">
        <f>IF(OR(I1473=0,I1473=$A$1),0,MIN(O1473*M1473,1)*K1473)</f>
        <v>68.448402494165352</v>
      </c>
      <c r="Q1473" s="73">
        <f>IF(B1473="",0,IF(OR(H1473=MappingTables!$C$34,H1473=MappingTables!$C$35),P1473,0))</f>
        <v>0</v>
      </c>
      <c r="R1473" s="73">
        <f>IF(ISNA(IF(AND(VLOOKUP(CONCATENATE($D1473,$G1473),CSRFinput!$B:$E,4,0)=0,OR(H1473=MappingTables!$C$31,H1473=MappingTables!$C$32)),1,VLOOKUP(CONCATENATE($D1473,$G1473),CSRFinput!$B:$E,4,0))),0,IF(AND(VLOOKUP(CONCATENATE($D1473,$G1473),CSRFinput!$B:$E,4,0)=0,OR(H1473=MappingTables!$C$31,H1473=MappingTables!$C$32)),1,VLOOKUP(CONCATENATE($D1473,$G1473),CSRFinput!$B:$E,4,0)))</f>
        <v>0.054776304963434752</v>
      </c>
      <c r="S1473" s="73">
        <f>IF(B1473="",0,P1473*R1473)</f>
        <v>3.7493505692803296</v>
      </c>
      <c r="T1473" s="85">
        <f>IF(B1473="",0,IF(OR(H1473=MappingTables!$C$34,H1473=MappingTables!$C$35),S1473,0))</f>
        <v>0</v>
      </c>
    </row>
    <row r="1474" spans="2:20" s="0" customFormat="0" ht="15">
      <c r="B1474" s="69" t="s">
        <v>4402</v>
      </c>
      <c r="C1474" s="70" t="s">
        <v>4403</v>
      </c>
      <c r="D1474" s="70" t="s">
        <v>1</v>
      </c>
      <c r="E1474" s="70" t="s">
        <v>1</v>
      </c>
      <c r="F1474" s="70"/>
      <c r="G1474" s="70" t="s">
        <v>61</v>
      </c>
      <c r="H1474" s="70" t="s">
        <v>178</v>
      </c>
      <c r="I1474" s="70" t="s">
        <v>3298</v>
      </c>
      <c r="J1474" s="71">
        <f>IF(OR(I1474=0,I1474=""),"unrated",VLOOKUP(I1474,MappingTables!$B$19:$C$31,2,FALSE))</f>
        <v>6</v>
      </c>
      <c r="K1474" s="72">
        <v>748.1354265829136</v>
      </c>
      <c r="L1474" s="70">
        <v>0.068492768026550448</v>
      </c>
      <c r="M1474" s="71">
        <f>IF(L1474&lt;1,1,L1474)</f>
        <v>1</v>
      </c>
      <c r="N1474" s="70" t="s">
        <v>3288</v>
      </c>
      <c r="O1474" s="71">
        <f>IF(OR(I1474=$A$1,I1474=0),"",IF(N1474=MappingTables!$C$14,VLOOKUP(J1474,ModelParameters!$M$8:$N$15,2,FALSE),IF(N1474=MappingTables!$C$16,VLOOKUP(J1474,ModelParameters!$P$8:$Q$15,2,FALSE),0)))</f>
        <v>1</v>
      </c>
      <c r="P1474" s="73">
        <f>IF(OR(I1474=0,I1474=$A$1),0,MIN(O1474*M1474,1)*K1474)</f>
        <v>748.1354265829136</v>
      </c>
      <c r="Q1474" s="73">
        <f>IF(B1474="",0,IF(OR(H1474=MappingTables!$C$34,H1474=MappingTables!$C$35),P1474,0))</f>
        <v>0</v>
      </c>
      <c r="R1474" s="73">
        <f>IF(ISNA(IF(AND(VLOOKUP(CONCATENATE($D1474,$G1474),CSRFinput!$B:$E,4,0)=0,OR(H1474=MappingTables!$C$31,H1474=MappingTables!$C$32)),1,VLOOKUP(CONCATENATE($D1474,$G1474),CSRFinput!$B:$E,4,0))),0,IF(AND(VLOOKUP(CONCATENATE($D1474,$G1474),CSRFinput!$B:$E,4,0)=0,OR(H1474=MappingTables!$C$31,H1474=MappingTables!$C$32)),1,VLOOKUP(CONCATENATE($D1474,$G1474),CSRFinput!$B:$E,4,0)))</f>
        <v>0.054776304963434752</v>
      </c>
      <c r="S1474" s="73">
        <f>IF(B1474="",0,P1474*R1474)</f>
        <v>40.980094280455024</v>
      </c>
      <c r="T1474" s="85">
        <f>IF(B1474="",0,IF(OR(H1474=MappingTables!$C$34,H1474=MappingTables!$C$35),S1474,0))</f>
        <v>0</v>
      </c>
    </row>
    <row r="1475" spans="2:20" s="0" customFormat="0" ht="15">
      <c r="B1475" s="69">
        <v>8364977</v>
      </c>
      <c r="C1475" s="70" t="s">
        <v>4064</v>
      </c>
      <c r="D1475" s="70" t="s">
        <v>1</v>
      </c>
      <c r="E1475" s="70" t="s">
        <v>1</v>
      </c>
      <c r="F1475" s="70"/>
      <c r="G1475" s="70" t="s">
        <v>61</v>
      </c>
      <c r="H1475" s="70" t="s">
        <v>178</v>
      </c>
      <c r="I1475" s="70" t="s">
        <v>216</v>
      </c>
      <c r="J1475" s="71">
        <f>IF(OR(I1475=0,I1475=""),"unrated",VLOOKUP(I1475,MappingTables!$B$19:$C$31,2,FALSE))</f>
        <v>0</v>
      </c>
      <c r="K1475" s="72">
        <v>410.22065243263032</v>
      </c>
      <c r="L1475" s="70">
        <v>6.64089276304172</v>
      </c>
      <c r="M1475" s="71">
        <f>IF(L1475&lt;1,1,L1475)</f>
        <v>6.64089276304172</v>
      </c>
      <c r="N1475" s="70" t="s">
        <v>3288</v>
      </c>
      <c r="O1475" s="71">
        <f>IF(OR(I1475=$A$1,I1475=0),"",IF(N1475=MappingTables!$C$14,VLOOKUP(J1475,ModelParameters!$M$8:$N$15,2,FALSE),IF(N1475=MappingTables!$C$16,VLOOKUP(J1475,ModelParameters!$P$8:$Q$15,2,FALSE),0)))</f>
        <v>0.125</v>
      </c>
      <c r="P1475" s="73">
        <f>IF(OR(I1475=0,I1475=$A$1),0,MIN(O1475*M1475,1)*K1475)</f>
        <v>340.52892024876336</v>
      </c>
      <c r="Q1475" s="73">
        <f>IF(B1475="",0,IF(OR(H1475=MappingTables!$C$34,H1475=MappingTables!$C$35),P1475,0))</f>
        <v>0</v>
      </c>
      <c r="R1475" s="73">
        <f>IF(ISNA(IF(AND(VLOOKUP(CONCATENATE($D1475,$G1475),CSRFinput!$B:$E,4,0)=0,OR(H1475=MappingTables!$C$31,H1475=MappingTables!$C$32)),1,VLOOKUP(CONCATENATE($D1475,$G1475),CSRFinput!$B:$E,4,0))),0,IF(AND(VLOOKUP(CONCATENATE($D1475,$G1475),CSRFinput!$B:$E,4,0)=0,OR(H1475=MappingTables!$C$31,H1475=MappingTables!$C$32)),1,VLOOKUP(CONCATENATE($D1475,$G1475),CSRFinput!$B:$E,4,0)))</f>
        <v>0.054776304963434752</v>
      </c>
      <c r="S1475" s="73">
        <f>IF(B1475="",0,P1475*R1475)</f>
        <v>18.652915984415416</v>
      </c>
      <c r="T1475" s="85">
        <f>IF(B1475="",0,IF(OR(H1475=MappingTables!$C$34,H1475=MappingTables!$C$35),S1475,0))</f>
        <v>0</v>
      </c>
    </row>
    <row r="1476" spans="2:20" s="0" customFormat="0" ht="15">
      <c r="B1476" s="69" t="s">
        <v>4982</v>
      </c>
      <c r="C1476" s="70" t="s">
        <v>4983</v>
      </c>
      <c r="D1476" s="70" t="s">
        <v>1</v>
      </c>
      <c r="E1476" s="70" t="s">
        <v>1</v>
      </c>
      <c r="F1476" s="70"/>
      <c r="G1476" s="70" t="s">
        <v>61</v>
      </c>
      <c r="H1476" s="70" t="s">
        <v>178</v>
      </c>
      <c r="I1476" s="70" t="s">
        <v>3291</v>
      </c>
      <c r="J1476" s="71">
        <f>IF(OR(I1476=0,I1476=""),"unrated",VLOOKUP(I1476,MappingTables!$B$19:$C$31,2,FALSE))</f>
        <v>6</v>
      </c>
      <c r="K1476" s="72">
        <v>1.2589551063333642</v>
      </c>
      <c r="L1476" s="70">
        <v>0.068492203628545048</v>
      </c>
      <c r="M1476" s="71">
        <f>IF(L1476&lt;1,1,L1476)</f>
        <v>1</v>
      </c>
      <c r="N1476" s="70" t="s">
        <v>3288</v>
      </c>
      <c r="O1476" s="71">
        <f>IF(OR(I1476=$A$1,I1476=0),"",IF(N1476=MappingTables!$C$14,VLOOKUP(J1476,ModelParameters!$M$8:$N$15,2,FALSE),IF(N1476=MappingTables!$C$16,VLOOKUP(J1476,ModelParameters!$P$8:$Q$15,2,FALSE),0)))</f>
        <v>1</v>
      </c>
      <c r="P1476" s="73">
        <f>IF(OR(I1476=0,I1476=$A$1),0,MIN(O1476*M1476,1)*K1476)</f>
        <v>1.2589551063333642</v>
      </c>
      <c r="Q1476" s="73">
        <f>IF(B1476="",0,IF(OR(H1476=MappingTables!$C$34,H1476=MappingTables!$C$35),P1476,0))</f>
        <v>0</v>
      </c>
      <c r="R1476" s="73">
        <f>IF(ISNA(IF(AND(VLOOKUP(CONCATENATE($D1476,$G1476),CSRFinput!$B:$E,4,0)=0,OR(H1476=MappingTables!$C$31,H1476=MappingTables!$C$32)),1,VLOOKUP(CONCATENATE($D1476,$G1476),CSRFinput!$B:$E,4,0))),0,IF(AND(VLOOKUP(CONCATENATE($D1476,$G1476),CSRFinput!$B:$E,4,0)=0,OR(H1476=MappingTables!$C$31,H1476=MappingTables!$C$32)),1,VLOOKUP(CONCATENATE($D1476,$G1476),CSRFinput!$B:$E,4,0)))</f>
        <v>0.054776304963434752</v>
      </c>
      <c r="S1476" s="73">
        <f>IF(B1476="",0,P1476*R1476)</f>
        <v>0.068960908839789784</v>
      </c>
      <c r="T1476" s="85">
        <f>IF(B1476="",0,IF(OR(H1476=MappingTables!$C$34,H1476=MappingTables!$C$35),S1476,0))</f>
        <v>0</v>
      </c>
    </row>
    <row r="1477" spans="2:20" s="0" customFormat="0" ht="15">
      <c r="B1477" s="69" t="s">
        <v>4864</v>
      </c>
      <c r="C1477" s="70" t="s">
        <v>4865</v>
      </c>
      <c r="D1477" s="70" t="s">
        <v>1</v>
      </c>
      <c r="E1477" s="70" t="s">
        <v>1</v>
      </c>
      <c r="F1477" s="70"/>
      <c r="G1477" s="70" t="s">
        <v>61</v>
      </c>
      <c r="H1477" s="70" t="s">
        <v>178</v>
      </c>
      <c r="I1477" s="70" t="s">
        <v>198</v>
      </c>
      <c r="J1477" s="71" t="str">
        <f>IF(OR(I1477=0,I1477=""),"unrated",VLOOKUP(I1477,MappingTables!$B$19:$C$31,2,FALSE))</f>
        <v>unrated</v>
      </c>
      <c r="K1477" s="72">
        <v>2.906232186283106</v>
      </c>
      <c r="L1477" s="70">
        <v>33.4683077082494</v>
      </c>
      <c r="M1477" s="71">
        <f>IF(L1477&lt;1,1,L1477)</f>
        <v>33.4683077082494</v>
      </c>
      <c r="N1477" s="70" t="s">
        <v>3288</v>
      </c>
      <c r="O1477" s="71">
        <f>IF(OR(I1477=$A$1,I1477=0),"",IF(N1477=MappingTables!$C$14,VLOOKUP(J1477,ModelParameters!$M$8:$N$15,2,FALSE),IF(N1477=MappingTables!$C$16,VLOOKUP(J1477,ModelParameters!$P$8:$Q$15,2,FALSE),0)))</f>
        <v>1</v>
      </c>
      <c r="P1477" s="73">
        <f>IF(OR(I1477=0,I1477=$A$1),0,MIN(O1477*M1477,1)*K1477)</f>
        <v>2.906232186283106</v>
      </c>
      <c r="Q1477" s="73">
        <f>IF(B1477="",0,IF(OR(H1477=MappingTables!$C$34,H1477=MappingTables!$C$35),P1477,0))</f>
        <v>0</v>
      </c>
      <c r="R1477" s="73">
        <f>IF(ISNA(IF(AND(VLOOKUP(CONCATENATE($D1477,$G1477),CSRFinput!$B:$E,4,0)=0,OR(H1477=MappingTables!$C$31,H1477=MappingTables!$C$32)),1,VLOOKUP(CONCATENATE($D1477,$G1477),CSRFinput!$B:$E,4,0))),0,IF(AND(VLOOKUP(CONCATENATE($D1477,$G1477),CSRFinput!$B:$E,4,0)=0,OR(H1477=MappingTables!$C$31,H1477=MappingTables!$C$32)),1,VLOOKUP(CONCATENATE($D1477,$G1477),CSRFinput!$B:$E,4,0)))</f>
        <v>0.054776304963434752</v>
      </c>
      <c r="S1477" s="73">
        <f>IF(B1477="",0,P1477*R1477)</f>
        <v>0.15919266053039314</v>
      </c>
      <c r="T1477" s="85">
        <f>IF(B1477="",0,IF(OR(H1477=MappingTables!$C$34,H1477=MappingTables!$C$35),S1477,0))</f>
        <v>0</v>
      </c>
    </row>
    <row r="1478" spans="2:20" s="0" customFormat="0" ht="15">
      <c r="B1478" s="69" t="s">
        <v>4984</v>
      </c>
      <c r="C1478" s="70" t="s">
        <v>4985</v>
      </c>
      <c r="D1478" s="70" t="s">
        <v>1</v>
      </c>
      <c r="E1478" s="70" t="s">
        <v>1</v>
      </c>
      <c r="F1478" s="70"/>
      <c r="G1478" s="70" t="s">
        <v>61</v>
      </c>
      <c r="H1478" s="70" t="s">
        <v>178</v>
      </c>
      <c r="I1478" s="70" t="s">
        <v>198</v>
      </c>
      <c r="J1478" s="71" t="str">
        <f>IF(OR(I1478=0,I1478=""),"unrated",VLOOKUP(I1478,MappingTables!$B$19:$C$31,2,FALSE))</f>
        <v>unrated</v>
      </c>
      <c r="K1478" s="72">
        <v>326.47933004499048</v>
      </c>
      <c r="L1478" s="70">
        <v>30.751642182871824</v>
      </c>
      <c r="M1478" s="71">
        <f>IF(L1478&lt;1,1,L1478)</f>
        <v>30.751642182871824</v>
      </c>
      <c r="N1478" s="70" t="s">
        <v>3288</v>
      </c>
      <c r="O1478" s="71">
        <f>IF(OR(I1478=$A$1,I1478=0),"",IF(N1478=MappingTables!$C$14,VLOOKUP(J1478,ModelParameters!$M$8:$N$15,2,FALSE),IF(N1478=MappingTables!$C$16,VLOOKUP(J1478,ModelParameters!$P$8:$Q$15,2,FALSE),0)))</f>
        <v>1</v>
      </c>
      <c r="P1478" s="73">
        <f>IF(OR(I1478=0,I1478=$A$1),0,MIN(O1478*M1478,1)*K1478)</f>
        <v>326.47933004499048</v>
      </c>
      <c r="Q1478" s="73">
        <f>IF(B1478="",0,IF(OR(H1478=MappingTables!$C$34,H1478=MappingTables!$C$35),P1478,0))</f>
        <v>0</v>
      </c>
      <c r="R1478" s="73">
        <f>IF(ISNA(IF(AND(VLOOKUP(CONCATENATE($D1478,$G1478),CSRFinput!$B:$E,4,0)=0,OR(H1478=MappingTables!$C$31,H1478=MappingTables!$C$32)),1,VLOOKUP(CONCATENATE($D1478,$G1478),CSRFinput!$B:$E,4,0))),0,IF(AND(VLOOKUP(CONCATENATE($D1478,$G1478),CSRFinput!$B:$E,4,0)=0,OR(H1478=MappingTables!$C$31,H1478=MappingTables!$C$32)),1,VLOOKUP(CONCATENATE($D1478,$G1478),CSRFinput!$B:$E,4,0)))</f>
        <v>0.054776304963434752</v>
      </c>
      <c r="S1478" s="73">
        <f>IF(B1478="",0,P1478*R1478)</f>
        <v>17.883331346802266</v>
      </c>
      <c r="T1478" s="85">
        <f>IF(B1478="",0,IF(OR(H1478=MappingTables!$C$34,H1478=MappingTables!$C$35),S1478,0))</f>
        <v>0</v>
      </c>
    </row>
    <row r="1479" spans="2:20" s="0" customFormat="0" ht="15">
      <c r="B1479" s="69" t="s">
        <v>3293</v>
      </c>
      <c r="C1479" s="70" t="s">
        <v>3294</v>
      </c>
      <c r="D1479" s="70" t="s">
        <v>1</v>
      </c>
      <c r="E1479" s="70" t="s">
        <v>1</v>
      </c>
      <c r="F1479" s="70"/>
      <c r="G1479" s="70" t="s">
        <v>61</v>
      </c>
      <c r="H1479" s="70" t="s">
        <v>178</v>
      </c>
      <c r="I1479" s="70" t="s">
        <v>198</v>
      </c>
      <c r="J1479" s="71" t="str">
        <f>IF(OR(I1479=0,I1479=""),"unrated",VLOOKUP(I1479,MappingTables!$B$19:$C$31,2,FALSE))</f>
        <v>unrated</v>
      </c>
      <c r="K1479" s="72">
        <v>74.849022379437776</v>
      </c>
      <c r="L1479" s="70">
        <v>-0.23920875853902464</v>
      </c>
      <c r="M1479" s="71">
        <f>IF(L1479&lt;1,1,L1479)</f>
        <v>1</v>
      </c>
      <c r="N1479" s="70" t="s">
        <v>3288</v>
      </c>
      <c r="O1479" s="71">
        <f>IF(OR(I1479=$A$1,I1479=0),"",IF(N1479=MappingTables!$C$14,VLOOKUP(J1479,ModelParameters!$M$8:$N$15,2,FALSE),IF(N1479=MappingTables!$C$16,VLOOKUP(J1479,ModelParameters!$P$8:$Q$15,2,FALSE),0)))</f>
        <v>1</v>
      </c>
      <c r="P1479" s="73">
        <f>IF(OR(I1479=0,I1479=$A$1),0,MIN(O1479*M1479,1)*K1479)</f>
        <v>74.849022379437776</v>
      </c>
      <c r="Q1479" s="73">
        <f>IF(B1479="",0,IF(OR(H1479=MappingTables!$C$34,H1479=MappingTables!$C$35),P1479,0))</f>
        <v>0</v>
      </c>
      <c r="R1479" s="73">
        <f>IF(ISNA(IF(AND(VLOOKUP(CONCATENATE($D1479,$G1479),CSRFinput!$B:$E,4,0)=0,OR(H1479=MappingTables!$C$31,H1479=MappingTables!$C$32)),1,VLOOKUP(CONCATENATE($D1479,$G1479),CSRFinput!$B:$E,4,0))),0,IF(AND(VLOOKUP(CONCATENATE($D1479,$G1479),CSRFinput!$B:$E,4,0)=0,OR(H1479=MappingTables!$C$31,H1479=MappingTables!$C$32)),1,VLOOKUP(CONCATENATE($D1479,$G1479),CSRFinput!$B:$E,4,0)))</f>
        <v>0.054776304963434752</v>
      </c>
      <c r="S1479" s="73">
        <f>IF(B1479="",0,P1479*R1479)</f>
        <v>4.099952876071036</v>
      </c>
      <c r="T1479" s="85">
        <f>IF(B1479="",0,IF(OR(H1479=MappingTables!$C$34,H1479=MappingTables!$C$35),S1479,0))</f>
        <v>0</v>
      </c>
    </row>
    <row r="1480" spans="2:20" s="0" customFormat="0" ht="15">
      <c r="B1480" s="69">
        <v>16974691</v>
      </c>
      <c r="C1480" s="70" t="s">
        <v>3501</v>
      </c>
      <c r="D1480" s="70" t="s">
        <v>1</v>
      </c>
      <c r="E1480" s="70" t="s">
        <v>1</v>
      </c>
      <c r="F1480" s="70"/>
      <c r="G1480" s="70" t="s">
        <v>61</v>
      </c>
      <c r="H1480" s="70" t="s">
        <v>178</v>
      </c>
      <c r="I1480" s="70" t="s">
        <v>198</v>
      </c>
      <c r="J1480" s="71" t="str">
        <f>IF(OR(I1480=0,I1480=""),"unrated",VLOOKUP(I1480,MappingTables!$B$19:$C$31,2,FALSE))</f>
        <v>unrated</v>
      </c>
      <c r="K1480" s="72">
        <v>287.08603830835712</v>
      </c>
      <c r="L1480" s="70">
        <v>0.053109819402703712</v>
      </c>
      <c r="M1480" s="71">
        <f>IF(L1480&lt;1,1,L1480)</f>
        <v>1</v>
      </c>
      <c r="N1480" s="70" t="s">
        <v>3288</v>
      </c>
      <c r="O1480" s="71">
        <f>IF(OR(I1480=$A$1,I1480=0),"",IF(N1480=MappingTables!$C$14,VLOOKUP(J1480,ModelParameters!$M$8:$N$15,2,FALSE),IF(N1480=MappingTables!$C$16,VLOOKUP(J1480,ModelParameters!$P$8:$Q$15,2,FALSE),0)))</f>
        <v>1</v>
      </c>
      <c r="P1480" s="73">
        <f>IF(OR(I1480=0,I1480=$A$1),0,MIN(O1480*M1480,1)*K1480)</f>
        <v>287.08603830835712</v>
      </c>
      <c r="Q1480" s="73">
        <f>IF(B1480="",0,IF(OR(H1480=MappingTables!$C$34,H1480=MappingTables!$C$35),P1480,0))</f>
        <v>0</v>
      </c>
      <c r="R1480" s="73">
        <f>IF(ISNA(IF(AND(VLOOKUP(CONCATENATE($D1480,$G1480),CSRFinput!$B:$E,4,0)=0,OR(H1480=MappingTables!$C$31,H1480=MappingTables!$C$32)),1,VLOOKUP(CONCATENATE($D1480,$G1480),CSRFinput!$B:$E,4,0))),0,IF(AND(VLOOKUP(CONCATENATE($D1480,$G1480),CSRFinput!$B:$E,4,0)=0,OR(H1480=MappingTables!$C$31,H1480=MappingTables!$C$32)),1,VLOOKUP(CONCATENATE($D1480,$G1480),CSRFinput!$B:$E,4,0)))</f>
        <v>0.054776304963434752</v>
      </c>
      <c r="S1480" s="73">
        <f>IF(B1480="",0,P1480*R1480)</f>
        <v>15.725512385122882</v>
      </c>
      <c r="T1480" s="85">
        <f>IF(B1480="",0,IF(OR(H1480=MappingTables!$C$34,H1480=MappingTables!$C$35),S1480,0))</f>
        <v>0</v>
      </c>
    </row>
    <row r="1481" spans="2:20" s="0" customFormat="0" ht="15">
      <c r="B1481" s="69" t="s">
        <v>4421</v>
      </c>
      <c r="C1481" s="70" t="s">
        <v>4422</v>
      </c>
      <c r="D1481" s="70" t="s">
        <v>1</v>
      </c>
      <c r="E1481" s="70" t="s">
        <v>1</v>
      </c>
      <c r="F1481" s="70"/>
      <c r="G1481" s="70" t="s">
        <v>61</v>
      </c>
      <c r="H1481" s="70" t="s">
        <v>178</v>
      </c>
      <c r="I1481" s="70" t="s">
        <v>198</v>
      </c>
      <c r="J1481" s="71" t="str">
        <f>IF(OR(I1481=0,I1481=""),"unrated",VLOOKUP(I1481,MappingTables!$B$19:$C$31,2,FALSE))</f>
        <v>unrated</v>
      </c>
      <c r="K1481" s="72">
        <v>30.356211262871872</v>
      </c>
      <c r="L1481" s="70">
        <v>0.079173826592745136</v>
      </c>
      <c r="M1481" s="71">
        <f>IF(L1481&lt;1,1,L1481)</f>
        <v>1</v>
      </c>
      <c r="N1481" s="70" t="s">
        <v>3288</v>
      </c>
      <c r="O1481" s="71">
        <f>IF(OR(I1481=$A$1,I1481=0),"",IF(N1481=MappingTables!$C$14,VLOOKUP(J1481,ModelParameters!$M$8:$N$15,2,FALSE),IF(N1481=MappingTables!$C$16,VLOOKUP(J1481,ModelParameters!$P$8:$Q$15,2,FALSE),0)))</f>
        <v>1</v>
      </c>
      <c r="P1481" s="73">
        <f>IF(OR(I1481=0,I1481=$A$1),0,MIN(O1481*M1481,1)*K1481)</f>
        <v>30.356211262871872</v>
      </c>
      <c r="Q1481" s="73">
        <f>IF(B1481="",0,IF(OR(H1481=MappingTables!$C$34,H1481=MappingTables!$C$35),P1481,0))</f>
        <v>0</v>
      </c>
      <c r="R1481" s="73">
        <f>IF(ISNA(IF(AND(VLOOKUP(CONCATENATE($D1481,$G1481),CSRFinput!$B:$E,4,0)=0,OR(H1481=MappingTables!$C$31,H1481=MappingTables!$C$32)),1,VLOOKUP(CONCATENATE($D1481,$G1481),CSRFinput!$B:$E,4,0))),0,IF(AND(VLOOKUP(CONCATENATE($D1481,$G1481),CSRFinput!$B:$E,4,0)=0,OR(H1481=MappingTables!$C$31,H1481=MappingTables!$C$32)),1,VLOOKUP(CONCATENATE($D1481,$G1481),CSRFinput!$B:$E,4,0)))</f>
        <v>0.054776304963434752</v>
      </c>
      <c r="S1481" s="73">
        <f>IF(B1481="",0,P1481*R1481)</f>
        <v>1.6628010856695224</v>
      </c>
      <c r="T1481" s="85">
        <f>IF(B1481="",0,IF(OR(H1481=MappingTables!$C$34,H1481=MappingTables!$C$35),S1481,0))</f>
        <v>0</v>
      </c>
    </row>
    <row r="1482" spans="2:20" s="0" customFormat="0" ht="15">
      <c r="B1482" s="69" t="s">
        <v>3452</v>
      </c>
      <c r="C1482" s="70" t="s">
        <v>3453</v>
      </c>
      <c r="D1482" s="70" t="s">
        <v>1</v>
      </c>
      <c r="E1482" s="70" t="s">
        <v>1</v>
      </c>
      <c r="F1482" s="70"/>
      <c r="G1482" s="70" t="s">
        <v>61</v>
      </c>
      <c r="H1482" s="70" t="s">
        <v>178</v>
      </c>
      <c r="I1482" s="70" t="s">
        <v>204</v>
      </c>
      <c r="J1482" s="71">
        <f>IF(OR(I1482=0,I1482=""),"unrated",VLOOKUP(I1482,MappingTables!$B$19:$C$31,2,FALSE))</f>
        <v>6</v>
      </c>
      <c r="K1482" s="72">
        <v>379.82105770695072</v>
      </c>
      <c r="L1482" s="70">
        <v>0.067075866525763432</v>
      </c>
      <c r="M1482" s="71">
        <f>IF(L1482&lt;1,1,L1482)</f>
        <v>1</v>
      </c>
      <c r="N1482" s="70" t="s">
        <v>3288</v>
      </c>
      <c r="O1482" s="71">
        <f>IF(OR(I1482=$A$1,I1482=0),"",IF(N1482=MappingTables!$C$14,VLOOKUP(J1482,ModelParameters!$M$8:$N$15,2,FALSE),IF(N1482=MappingTables!$C$16,VLOOKUP(J1482,ModelParameters!$P$8:$Q$15,2,FALSE),0)))</f>
        <v>1</v>
      </c>
      <c r="P1482" s="73">
        <f>IF(OR(I1482=0,I1482=$A$1),0,MIN(O1482*M1482,1)*K1482)</f>
        <v>379.82105770695072</v>
      </c>
      <c r="Q1482" s="73">
        <f>IF(B1482="",0,IF(OR(H1482=MappingTables!$C$34,H1482=MappingTables!$C$35),P1482,0))</f>
        <v>0</v>
      </c>
      <c r="R1482" s="73">
        <f>IF(ISNA(IF(AND(VLOOKUP(CONCATENATE($D1482,$G1482),CSRFinput!$B:$E,4,0)=0,OR(H1482=MappingTables!$C$31,H1482=MappingTables!$C$32)),1,VLOOKUP(CONCATENATE($D1482,$G1482),CSRFinput!$B:$E,4,0))),0,IF(AND(VLOOKUP(CONCATENATE($D1482,$G1482),CSRFinput!$B:$E,4,0)=0,OR(H1482=MappingTables!$C$31,H1482=MappingTables!$C$32)),1,VLOOKUP(CONCATENATE($D1482,$G1482),CSRFinput!$B:$E,4,0)))</f>
        <v>0.054776304963434752</v>
      </c>
      <c r="S1482" s="73">
        <f>IF(B1482="",0,P1482*R1482)</f>
        <v>20.80519408849028</v>
      </c>
      <c r="T1482" s="85">
        <f>IF(B1482="",0,IF(OR(H1482=MappingTables!$C$34,H1482=MappingTables!$C$35),S1482,0))</f>
        <v>0</v>
      </c>
    </row>
    <row r="1483" spans="2:20" s="0" customFormat="0" ht="15">
      <c r="B1483" s="69">
        <v>7065940</v>
      </c>
      <c r="C1483" s="70" t="s">
        <v>3489</v>
      </c>
      <c r="D1483" s="70" t="s">
        <v>1</v>
      </c>
      <c r="E1483" s="70" t="s">
        <v>1</v>
      </c>
      <c r="F1483" s="70"/>
      <c r="G1483" s="70" t="s">
        <v>61</v>
      </c>
      <c r="H1483" s="70" t="s">
        <v>178</v>
      </c>
      <c r="I1483" s="70" t="s">
        <v>216</v>
      </c>
      <c r="J1483" s="71">
        <f>IF(OR(I1483=0,I1483=""),"unrated",VLOOKUP(I1483,MappingTables!$B$19:$C$31,2,FALSE))</f>
        <v>0</v>
      </c>
      <c r="K1483" s="72">
        <v>22.858027008434492</v>
      </c>
      <c r="L1483" s="70">
        <v>0.06660498329106672</v>
      </c>
      <c r="M1483" s="71">
        <f>IF(L1483&lt;1,1,L1483)</f>
        <v>1</v>
      </c>
      <c r="N1483" s="70" t="s">
        <v>3288</v>
      </c>
      <c r="O1483" s="71">
        <f>IF(OR(I1483=$A$1,I1483=0),"",IF(N1483=MappingTables!$C$14,VLOOKUP(J1483,ModelParameters!$M$8:$N$15,2,FALSE),IF(N1483=MappingTables!$C$16,VLOOKUP(J1483,ModelParameters!$P$8:$Q$15,2,FALSE),0)))</f>
        <v>0.125</v>
      </c>
      <c r="P1483" s="73">
        <f>IF(OR(I1483=0,I1483=$A$1),0,MIN(O1483*M1483,1)*K1483)</f>
        <v>2.8572533760543112</v>
      </c>
      <c r="Q1483" s="73">
        <f>IF(B1483="",0,IF(OR(H1483=MappingTables!$C$34,H1483=MappingTables!$C$35),P1483,0))</f>
        <v>0</v>
      </c>
      <c r="R1483" s="73">
        <f>IF(ISNA(IF(AND(VLOOKUP(CONCATENATE($D1483,$G1483),CSRFinput!$B:$E,4,0)=0,OR(H1483=MappingTables!$C$31,H1483=MappingTables!$C$32)),1,VLOOKUP(CONCATENATE($D1483,$G1483),CSRFinput!$B:$E,4,0))),0,IF(AND(VLOOKUP(CONCATENATE($D1483,$G1483),CSRFinput!$B:$E,4,0)=0,OR(H1483=MappingTables!$C$31,H1483=MappingTables!$C$32)),1,VLOOKUP(CONCATENATE($D1483,$G1483),CSRFinput!$B:$E,4,0)))</f>
        <v>0.054776304963434752</v>
      </c>
      <c r="S1483" s="73">
        <f>IF(B1483="",0,P1483*R1483)</f>
        <v>0.15650978228455448</v>
      </c>
      <c r="T1483" s="85">
        <f>IF(B1483="",0,IF(OR(H1483=MappingTables!$C$34,H1483=MappingTables!$C$35),S1483,0))</f>
        <v>0</v>
      </c>
    </row>
    <row r="1484" spans="2:20" s="0" customFormat="0" ht="15">
      <c r="B1484" s="69">
        <v>22554211</v>
      </c>
      <c r="C1484" s="70" t="s">
        <v>4125</v>
      </c>
      <c r="D1484" s="70" t="s">
        <v>1</v>
      </c>
      <c r="E1484" s="70" t="s">
        <v>1</v>
      </c>
      <c r="F1484" s="70"/>
      <c r="G1484" s="70" t="s">
        <v>61</v>
      </c>
      <c r="H1484" s="70" t="s">
        <v>178</v>
      </c>
      <c r="I1484" s="70" t="s">
        <v>216</v>
      </c>
      <c r="J1484" s="71">
        <f>IF(OR(I1484=0,I1484=""),"unrated",VLOOKUP(I1484,MappingTables!$B$19:$C$31,2,FALSE))</f>
        <v>0</v>
      </c>
      <c r="K1484" s="72">
        <v>13.2791433242547</v>
      </c>
      <c r="L1484" s="70">
        <v>0.038026725125662928</v>
      </c>
      <c r="M1484" s="71">
        <f>IF(L1484&lt;1,1,L1484)</f>
        <v>1</v>
      </c>
      <c r="N1484" s="70" t="s">
        <v>3288</v>
      </c>
      <c r="O1484" s="71">
        <f>IF(OR(I1484=$A$1,I1484=0),"",IF(N1484=MappingTables!$C$14,VLOOKUP(J1484,ModelParameters!$M$8:$N$15,2,FALSE),IF(N1484=MappingTables!$C$16,VLOOKUP(J1484,ModelParameters!$P$8:$Q$15,2,FALSE),0)))</f>
        <v>0.125</v>
      </c>
      <c r="P1484" s="73">
        <f>IF(OR(I1484=0,I1484=$A$1),0,MIN(O1484*M1484,1)*K1484)</f>
        <v>1.6598929155318376</v>
      </c>
      <c r="Q1484" s="73">
        <f>IF(B1484="",0,IF(OR(H1484=MappingTables!$C$34,H1484=MappingTables!$C$35),P1484,0))</f>
        <v>0</v>
      </c>
      <c r="R1484" s="73">
        <f>IF(ISNA(IF(AND(VLOOKUP(CONCATENATE($D1484,$G1484),CSRFinput!$B:$E,4,0)=0,OR(H1484=MappingTables!$C$31,H1484=MappingTables!$C$32)),1,VLOOKUP(CONCATENATE($D1484,$G1484),CSRFinput!$B:$E,4,0))),0,IF(AND(VLOOKUP(CONCATENATE($D1484,$G1484),CSRFinput!$B:$E,4,0)=0,OR(H1484=MappingTables!$C$31,H1484=MappingTables!$C$32)),1,VLOOKUP(CONCATENATE($D1484,$G1484),CSRFinput!$B:$E,4,0)))</f>
        <v>0.054776304963434752</v>
      </c>
      <c r="S1484" s="73">
        <f>IF(B1484="",0,P1484*R1484)</f>
        <v>0.090922800547816784</v>
      </c>
      <c r="T1484" s="85">
        <f>IF(B1484="",0,IF(OR(H1484=MappingTables!$C$34,H1484=MappingTables!$C$35),S1484,0))</f>
        <v>0</v>
      </c>
    </row>
    <row r="1485" spans="2:20" s="0" customFormat="0" ht="15">
      <c r="B1485" s="69" t="s">
        <v>4855</v>
      </c>
      <c r="C1485" s="70" t="s">
        <v>4856</v>
      </c>
      <c r="D1485" s="70" t="s">
        <v>1</v>
      </c>
      <c r="E1485" s="70" t="s">
        <v>1</v>
      </c>
      <c r="F1485" s="70"/>
      <c r="G1485" s="70" t="s">
        <v>61</v>
      </c>
      <c r="H1485" s="70" t="s">
        <v>178</v>
      </c>
      <c r="I1485" s="70" t="s">
        <v>198</v>
      </c>
      <c r="J1485" s="71" t="str">
        <f>IF(OR(I1485=0,I1485=""),"unrated",VLOOKUP(I1485,MappingTables!$B$19:$C$31,2,FALSE))</f>
        <v>unrated</v>
      </c>
      <c r="K1485" s="72">
        <v>4.63600364893358</v>
      </c>
      <c r="L1485" s="70">
        <v>40.297326172255512</v>
      </c>
      <c r="M1485" s="71">
        <f>IF(L1485&lt;1,1,L1485)</f>
        <v>40.297326172255512</v>
      </c>
      <c r="N1485" s="70" t="s">
        <v>3288</v>
      </c>
      <c r="O1485" s="71">
        <f>IF(OR(I1485=$A$1,I1485=0),"",IF(N1485=MappingTables!$C$14,VLOOKUP(J1485,ModelParameters!$M$8:$N$15,2,FALSE),IF(N1485=MappingTables!$C$16,VLOOKUP(J1485,ModelParameters!$P$8:$Q$15,2,FALSE),0)))</f>
        <v>1</v>
      </c>
      <c r="P1485" s="73">
        <f>IF(OR(I1485=0,I1485=$A$1),0,MIN(O1485*M1485,1)*K1485)</f>
        <v>4.63600364893358</v>
      </c>
      <c r="Q1485" s="73">
        <f>IF(B1485="",0,IF(OR(H1485=MappingTables!$C$34,H1485=MappingTables!$C$35),P1485,0))</f>
        <v>0</v>
      </c>
      <c r="R1485" s="73">
        <f>IF(ISNA(IF(AND(VLOOKUP(CONCATENATE($D1485,$G1485),CSRFinput!$B:$E,4,0)=0,OR(H1485=MappingTables!$C$31,H1485=MappingTables!$C$32)),1,VLOOKUP(CONCATENATE($D1485,$G1485),CSRFinput!$B:$E,4,0))),0,IF(AND(VLOOKUP(CONCATENATE($D1485,$G1485),CSRFinput!$B:$E,4,0)=0,OR(H1485=MappingTables!$C$31,H1485=MappingTables!$C$32)),1,VLOOKUP(CONCATENATE($D1485,$G1485),CSRFinput!$B:$E,4,0)))</f>
        <v>0.054776304963434752</v>
      </c>
      <c r="S1485" s="73">
        <f>IF(B1485="",0,P1485*R1485)</f>
        <v>0.25394314968558212</v>
      </c>
      <c r="T1485" s="85">
        <f>IF(B1485="",0,IF(OR(H1485=MappingTables!$C$34,H1485=MappingTables!$C$35),S1485,0))</f>
        <v>0</v>
      </c>
    </row>
    <row r="1486" spans="2:20" s="0" customFormat="0" ht="15">
      <c r="B1486" s="69" t="s">
        <v>4986</v>
      </c>
      <c r="C1486" s="70" t="s">
        <v>4987</v>
      </c>
      <c r="D1486" s="70" t="s">
        <v>1</v>
      </c>
      <c r="E1486" s="70" t="s">
        <v>1</v>
      </c>
      <c r="F1486" s="70"/>
      <c r="G1486" s="70" t="s">
        <v>61</v>
      </c>
      <c r="H1486" s="70" t="s">
        <v>178</v>
      </c>
      <c r="I1486" s="70" t="s">
        <v>220</v>
      </c>
      <c r="J1486" s="71">
        <f>IF(OR(I1486=0,I1486=""),"unrated",VLOOKUP(I1486,MappingTables!$B$19:$C$31,2,FALSE))</f>
        <v>1</v>
      </c>
      <c r="K1486" s="72">
        <v>2.7529933955053756</v>
      </c>
      <c r="L1486" s="70">
        <v>0.052059075616204984</v>
      </c>
      <c r="M1486" s="71">
        <f>IF(L1486&lt;1,1,L1486)</f>
        <v>1</v>
      </c>
      <c r="N1486" s="70" t="s">
        <v>3288</v>
      </c>
      <c r="O1486" s="71">
        <f>IF(OR(I1486=$A$1,I1486=0),"",IF(N1486=MappingTables!$C$14,VLOOKUP(J1486,ModelParameters!$M$8:$N$15,2,FALSE),IF(N1486=MappingTables!$C$16,VLOOKUP(J1486,ModelParameters!$P$8:$Q$15,2,FALSE),0)))</f>
        <v>0.134</v>
      </c>
      <c r="P1486" s="73">
        <f>IF(OR(I1486=0,I1486=$A$1),0,MIN(O1486*M1486,1)*K1486)</f>
        <v>0.36890111499772032</v>
      </c>
      <c r="Q1486" s="73">
        <f>IF(B1486="",0,IF(OR(H1486=MappingTables!$C$34,H1486=MappingTables!$C$35),P1486,0))</f>
        <v>0</v>
      </c>
      <c r="R1486" s="73">
        <f>IF(ISNA(IF(AND(VLOOKUP(CONCATENATE($D1486,$G1486),CSRFinput!$B:$E,4,0)=0,OR(H1486=MappingTables!$C$31,H1486=MappingTables!$C$32)),1,VLOOKUP(CONCATENATE($D1486,$G1486),CSRFinput!$B:$E,4,0))),0,IF(AND(VLOOKUP(CONCATENATE($D1486,$G1486),CSRFinput!$B:$E,4,0)=0,OR(H1486=MappingTables!$C$31,H1486=MappingTables!$C$32)),1,VLOOKUP(CONCATENATE($D1486,$G1486),CSRFinput!$B:$E,4,0)))</f>
        <v>0.054776304963434752</v>
      </c>
      <c r="S1486" s="73">
        <f>IF(B1486="",0,P1486*R1486)</f>
        <v>0.020207039976466244</v>
      </c>
      <c r="T1486" s="85">
        <f>IF(B1486="",0,IF(OR(H1486=MappingTables!$C$34,H1486=MappingTables!$C$35),S1486,0))</f>
        <v>0</v>
      </c>
    </row>
    <row r="1487" spans="2:20" s="0" customFormat="0" ht="15">
      <c r="B1487" s="69" t="s">
        <v>4192</v>
      </c>
      <c r="C1487" s="70" t="s">
        <v>4193</v>
      </c>
      <c r="D1487" s="70" t="s">
        <v>1</v>
      </c>
      <c r="E1487" s="70" t="s">
        <v>1</v>
      </c>
      <c r="F1487" s="70"/>
      <c r="G1487" s="70" t="s">
        <v>61</v>
      </c>
      <c r="H1487" s="70" t="s">
        <v>178</v>
      </c>
      <c r="I1487" s="70" t="s">
        <v>3298</v>
      </c>
      <c r="J1487" s="71">
        <f>IF(OR(I1487=0,I1487=""),"unrated",VLOOKUP(I1487,MappingTables!$B$19:$C$31,2,FALSE))</f>
        <v>6</v>
      </c>
      <c r="K1487" s="72">
        <v>2204.9969078601372</v>
      </c>
      <c r="L1487" s="70">
        <v>-0.15262832735142178</v>
      </c>
      <c r="M1487" s="71">
        <f>IF(L1487&lt;1,1,L1487)</f>
        <v>1</v>
      </c>
      <c r="N1487" s="70" t="s">
        <v>3288</v>
      </c>
      <c r="O1487" s="71">
        <f>IF(OR(I1487=$A$1,I1487=0),"",IF(N1487=MappingTables!$C$14,VLOOKUP(J1487,ModelParameters!$M$8:$N$15,2,FALSE),IF(N1487=MappingTables!$C$16,VLOOKUP(J1487,ModelParameters!$P$8:$Q$15,2,FALSE),0)))</f>
        <v>1</v>
      </c>
      <c r="P1487" s="73">
        <f>IF(OR(I1487=0,I1487=$A$1),0,MIN(O1487*M1487,1)*K1487)</f>
        <v>2204.9969078601372</v>
      </c>
      <c r="Q1487" s="73">
        <f>IF(B1487="",0,IF(OR(H1487=MappingTables!$C$34,H1487=MappingTables!$C$35),P1487,0))</f>
        <v>0</v>
      </c>
      <c r="R1487" s="73">
        <f>IF(ISNA(IF(AND(VLOOKUP(CONCATENATE($D1487,$G1487),CSRFinput!$B:$E,4,0)=0,OR(H1487=MappingTables!$C$31,H1487=MappingTables!$C$32)),1,VLOOKUP(CONCATENATE($D1487,$G1487),CSRFinput!$B:$E,4,0))),0,IF(AND(VLOOKUP(CONCATENATE($D1487,$G1487),CSRFinput!$B:$E,4,0)=0,OR(H1487=MappingTables!$C$31,H1487=MappingTables!$C$32)),1,VLOOKUP(CONCATENATE($D1487,$G1487),CSRFinput!$B:$E,4,0)))</f>
        <v>0.054776304963434752</v>
      </c>
      <c r="S1487" s="73">
        <f>IF(B1487="",0,P1487*R1487)</f>
        <v>120.78158306837752</v>
      </c>
      <c r="T1487" s="85">
        <f>IF(B1487="",0,IF(OR(H1487=MappingTables!$C$34,H1487=MappingTables!$C$35),S1487,0))</f>
        <v>0</v>
      </c>
    </row>
    <row r="1488" spans="2:20" s="0" customFormat="0" ht="15">
      <c r="B1488" s="69" t="s">
        <v>4988</v>
      </c>
      <c r="C1488" s="70" t="s">
        <v>4989</v>
      </c>
      <c r="D1488" s="70" t="s">
        <v>1</v>
      </c>
      <c r="E1488" s="70" t="s">
        <v>1</v>
      </c>
      <c r="F1488" s="70"/>
      <c r="G1488" s="70" t="s">
        <v>61</v>
      </c>
      <c r="H1488" s="70" t="s">
        <v>178</v>
      </c>
      <c r="I1488" s="70" t="s">
        <v>198</v>
      </c>
      <c r="J1488" s="71" t="str">
        <f>IF(OR(I1488=0,I1488=""),"unrated",VLOOKUP(I1488,MappingTables!$B$19:$C$31,2,FALSE))</f>
        <v>unrated</v>
      </c>
      <c r="K1488" s="72">
        <v>7.0164889956066696</v>
      </c>
      <c r="L1488" s="70">
        <v>4.14365322502708</v>
      </c>
      <c r="M1488" s="71">
        <f>IF(L1488&lt;1,1,L1488)</f>
        <v>4.14365322502708</v>
      </c>
      <c r="N1488" s="70" t="s">
        <v>3288</v>
      </c>
      <c r="O1488" s="71">
        <f>IF(OR(I1488=$A$1,I1488=0),"",IF(N1488=MappingTables!$C$14,VLOOKUP(J1488,ModelParameters!$M$8:$N$15,2,FALSE),IF(N1488=MappingTables!$C$16,VLOOKUP(J1488,ModelParameters!$P$8:$Q$15,2,FALSE),0)))</f>
        <v>1</v>
      </c>
      <c r="P1488" s="73">
        <f>IF(OR(I1488=0,I1488=$A$1),0,MIN(O1488*M1488,1)*K1488)</f>
        <v>7.0164889956066696</v>
      </c>
      <c r="Q1488" s="73">
        <f>IF(B1488="",0,IF(OR(H1488=MappingTables!$C$34,H1488=MappingTables!$C$35),P1488,0))</f>
        <v>0</v>
      </c>
      <c r="R1488" s="73">
        <f>IF(ISNA(IF(AND(VLOOKUP(CONCATENATE($D1488,$G1488),CSRFinput!$B:$E,4,0)=0,OR(H1488=MappingTables!$C$31,H1488=MappingTables!$C$32)),1,VLOOKUP(CONCATENATE($D1488,$G1488),CSRFinput!$B:$E,4,0))),0,IF(AND(VLOOKUP(CONCATENATE($D1488,$G1488),CSRFinput!$B:$E,4,0)=0,OR(H1488=MappingTables!$C$31,H1488=MappingTables!$C$32)),1,VLOOKUP(CONCATENATE($D1488,$G1488),CSRFinput!$B:$E,4,0)))</f>
        <v>0.054776304963434752</v>
      </c>
      <c r="S1488" s="73">
        <f>IF(B1488="",0,P1488*R1488)</f>
        <v>0.38433734099593496</v>
      </c>
      <c r="T1488" s="85">
        <f>IF(B1488="",0,IF(OR(H1488=MappingTables!$C$34,H1488=MappingTables!$C$35),S1488,0))</f>
        <v>0</v>
      </c>
    </row>
    <row r="1489" spans="2:20" s="0" customFormat="0" ht="15">
      <c r="B1489" s="69" t="s">
        <v>4990</v>
      </c>
      <c r="C1489" s="70" t="s">
        <v>4991</v>
      </c>
      <c r="D1489" s="70" t="s">
        <v>1</v>
      </c>
      <c r="E1489" s="70" t="s">
        <v>1</v>
      </c>
      <c r="F1489" s="70"/>
      <c r="G1489" s="70" t="s">
        <v>61</v>
      </c>
      <c r="H1489" s="70" t="s">
        <v>178</v>
      </c>
      <c r="I1489" s="70" t="s">
        <v>198</v>
      </c>
      <c r="J1489" s="71" t="str">
        <f>IF(OR(I1489=0,I1489=""),"unrated",VLOOKUP(I1489,MappingTables!$B$19:$C$31,2,FALSE))</f>
        <v>unrated</v>
      </c>
      <c r="K1489" s="72">
        <v>827.45666933238336</v>
      </c>
      <c r="L1489" s="70">
        <v>9.2834307399777904</v>
      </c>
      <c r="M1489" s="71">
        <f>IF(L1489&lt;1,1,L1489)</f>
        <v>9.2834307399777904</v>
      </c>
      <c r="N1489" s="70" t="s">
        <v>3288</v>
      </c>
      <c r="O1489" s="71">
        <f>IF(OR(I1489=$A$1,I1489=0),"",IF(N1489=MappingTables!$C$14,VLOOKUP(J1489,ModelParameters!$M$8:$N$15,2,FALSE),IF(N1489=MappingTables!$C$16,VLOOKUP(J1489,ModelParameters!$P$8:$Q$15,2,FALSE),0)))</f>
        <v>1</v>
      </c>
      <c r="P1489" s="73">
        <f>IF(OR(I1489=0,I1489=$A$1),0,MIN(O1489*M1489,1)*K1489)</f>
        <v>827.45666933238336</v>
      </c>
      <c r="Q1489" s="73">
        <f>IF(B1489="",0,IF(OR(H1489=MappingTables!$C$34,H1489=MappingTables!$C$35),P1489,0))</f>
        <v>0</v>
      </c>
      <c r="R1489" s="73">
        <f>IF(ISNA(IF(AND(VLOOKUP(CONCATENATE($D1489,$G1489),CSRFinput!$B:$E,4,0)=0,OR(H1489=MappingTables!$C$31,H1489=MappingTables!$C$32)),1,VLOOKUP(CONCATENATE($D1489,$G1489),CSRFinput!$B:$E,4,0))),0,IF(AND(VLOOKUP(CONCATENATE($D1489,$G1489),CSRFinput!$B:$E,4,0)=0,OR(H1489=MappingTables!$C$31,H1489=MappingTables!$C$32)),1,VLOOKUP(CONCATENATE($D1489,$G1489),CSRFinput!$B:$E,4,0)))</f>
        <v>0.054776304963434752</v>
      </c>
      <c r="S1489" s="73">
        <f>IF(B1489="",0,P1489*R1489)</f>
        <v>45.325018863378616</v>
      </c>
      <c r="T1489" s="85">
        <f>IF(B1489="",0,IF(OR(H1489=MappingTables!$C$34,H1489=MappingTables!$C$35),S1489,0))</f>
        <v>0</v>
      </c>
    </row>
    <row r="1490" spans="2:20" s="0" customFormat="0" ht="15">
      <c r="B1490" s="69" t="s">
        <v>4485</v>
      </c>
      <c r="C1490" s="70" t="s">
        <v>4486</v>
      </c>
      <c r="D1490" s="70" t="s">
        <v>1</v>
      </c>
      <c r="E1490" s="70" t="s">
        <v>1</v>
      </c>
      <c r="F1490" s="70"/>
      <c r="G1490" s="70" t="s">
        <v>61</v>
      </c>
      <c r="H1490" s="70" t="s">
        <v>178</v>
      </c>
      <c r="I1490" s="70" t="s">
        <v>198</v>
      </c>
      <c r="J1490" s="71" t="str">
        <f>IF(OR(I1490=0,I1490=""),"unrated",VLOOKUP(I1490,MappingTables!$B$19:$C$31,2,FALSE))</f>
        <v>unrated</v>
      </c>
      <c r="K1490" s="72">
        <v>83.833493147989056</v>
      </c>
      <c r="L1490" s="70">
        <v>0.068493630166087368</v>
      </c>
      <c r="M1490" s="71">
        <f>IF(L1490&lt;1,1,L1490)</f>
        <v>1</v>
      </c>
      <c r="N1490" s="70" t="s">
        <v>3288</v>
      </c>
      <c r="O1490" s="71">
        <f>IF(OR(I1490=$A$1,I1490=0),"",IF(N1490=MappingTables!$C$14,VLOOKUP(J1490,ModelParameters!$M$8:$N$15,2,FALSE),IF(N1490=MappingTables!$C$16,VLOOKUP(J1490,ModelParameters!$P$8:$Q$15,2,FALSE),0)))</f>
        <v>1</v>
      </c>
      <c r="P1490" s="73">
        <f>IF(OR(I1490=0,I1490=$A$1),0,MIN(O1490*M1490,1)*K1490)</f>
        <v>83.833493147989056</v>
      </c>
      <c r="Q1490" s="73">
        <f>IF(B1490="",0,IF(OR(H1490=MappingTables!$C$34,H1490=MappingTables!$C$35),P1490,0))</f>
        <v>0</v>
      </c>
      <c r="R1490" s="73">
        <f>IF(ISNA(IF(AND(VLOOKUP(CONCATENATE($D1490,$G1490),CSRFinput!$B:$E,4,0)=0,OR(H1490=MappingTables!$C$31,H1490=MappingTables!$C$32)),1,VLOOKUP(CONCATENATE($D1490,$G1490),CSRFinput!$B:$E,4,0))),0,IF(AND(VLOOKUP(CONCATENATE($D1490,$G1490),CSRFinput!$B:$E,4,0)=0,OR(H1490=MappingTables!$C$31,H1490=MappingTables!$C$32)),1,VLOOKUP(CONCATENATE($D1490,$G1490),CSRFinput!$B:$E,4,0)))</f>
        <v>0.054776304963434752</v>
      </c>
      <c r="S1490" s="73">
        <f>IF(B1490="",0,P1490*R1490)</f>
        <v>4.5920889868242664</v>
      </c>
      <c r="T1490" s="85">
        <f>IF(B1490="",0,IF(OR(H1490=MappingTables!$C$34,H1490=MappingTables!$C$35),S1490,0))</f>
        <v>0</v>
      </c>
    </row>
    <row r="1491" spans="2:20" s="0" customFormat="0" ht="15">
      <c r="B1491" s="69">
        <v>22554193</v>
      </c>
      <c r="C1491" s="70" t="s">
        <v>4814</v>
      </c>
      <c r="D1491" s="70" t="s">
        <v>1</v>
      </c>
      <c r="E1491" s="70" t="s">
        <v>1</v>
      </c>
      <c r="F1491" s="70"/>
      <c r="G1491" s="70" t="s">
        <v>61</v>
      </c>
      <c r="H1491" s="70" t="s">
        <v>178</v>
      </c>
      <c r="I1491" s="70" t="s">
        <v>204</v>
      </c>
      <c r="J1491" s="71">
        <f>IF(OR(I1491=0,I1491=""),"unrated",VLOOKUP(I1491,MappingTables!$B$19:$C$31,2,FALSE))</f>
        <v>6</v>
      </c>
      <c r="K1491" s="72">
        <v>522.71199075325088</v>
      </c>
      <c r="L1491" s="70">
        <v>0.068491946289976112</v>
      </c>
      <c r="M1491" s="71">
        <f>IF(L1491&lt;1,1,L1491)</f>
        <v>1</v>
      </c>
      <c r="N1491" s="70" t="s">
        <v>3288</v>
      </c>
      <c r="O1491" s="71">
        <f>IF(OR(I1491=$A$1,I1491=0),"",IF(N1491=MappingTables!$C$14,VLOOKUP(J1491,ModelParameters!$M$8:$N$15,2,FALSE),IF(N1491=MappingTables!$C$16,VLOOKUP(J1491,ModelParameters!$P$8:$Q$15,2,FALSE),0)))</f>
        <v>1</v>
      </c>
      <c r="P1491" s="73">
        <f>IF(OR(I1491=0,I1491=$A$1),0,MIN(O1491*M1491,1)*K1491)</f>
        <v>522.71199075325088</v>
      </c>
      <c r="Q1491" s="73">
        <f>IF(B1491="",0,IF(OR(H1491=MappingTables!$C$34,H1491=MappingTables!$C$35),P1491,0))</f>
        <v>0</v>
      </c>
      <c r="R1491" s="73">
        <f>IF(ISNA(IF(AND(VLOOKUP(CONCATENATE($D1491,$G1491),CSRFinput!$B:$E,4,0)=0,OR(H1491=MappingTables!$C$31,H1491=MappingTables!$C$32)),1,VLOOKUP(CONCATENATE($D1491,$G1491),CSRFinput!$B:$E,4,0))),0,IF(AND(VLOOKUP(CONCATENATE($D1491,$G1491),CSRFinput!$B:$E,4,0)=0,OR(H1491=MappingTables!$C$31,H1491=MappingTables!$C$32)),1,VLOOKUP(CONCATENATE($D1491,$G1491),CSRFinput!$B:$E,4,0)))</f>
        <v>0.054776304963434752</v>
      </c>
      <c r="S1491" s="73">
        <f>IF(B1491="",0,P1491*R1491)</f>
        <v>28.63223141354416</v>
      </c>
      <c r="T1491" s="85">
        <f>IF(B1491="",0,IF(OR(H1491=MappingTables!$C$34,H1491=MappingTables!$C$35),S1491,0))</f>
        <v>0</v>
      </c>
    </row>
    <row r="1492" spans="2:20" s="0" customFormat="0" ht="15">
      <c r="B1492" s="69">
        <v>18423528</v>
      </c>
      <c r="C1492" s="70" t="s">
        <v>4840</v>
      </c>
      <c r="D1492" s="70" t="s">
        <v>1</v>
      </c>
      <c r="E1492" s="70" t="s">
        <v>1</v>
      </c>
      <c r="F1492" s="70"/>
      <c r="G1492" s="70" t="s">
        <v>61</v>
      </c>
      <c r="H1492" s="70" t="s">
        <v>178</v>
      </c>
      <c r="I1492" s="70" t="s">
        <v>216</v>
      </c>
      <c r="J1492" s="71">
        <f>IF(OR(I1492=0,I1492=""),"unrated",VLOOKUP(I1492,MappingTables!$B$19:$C$31,2,FALSE))</f>
        <v>0</v>
      </c>
      <c r="K1492" s="72">
        <v>254.59020977394404</v>
      </c>
      <c r="L1492" s="70">
        <v>0.089527587178356928</v>
      </c>
      <c r="M1492" s="71">
        <f>IF(L1492&lt;1,1,L1492)</f>
        <v>1</v>
      </c>
      <c r="N1492" s="70" t="s">
        <v>3288</v>
      </c>
      <c r="O1492" s="71">
        <f>IF(OR(I1492=$A$1,I1492=0),"",IF(N1492=MappingTables!$C$14,VLOOKUP(J1492,ModelParameters!$M$8:$N$15,2,FALSE),IF(N1492=MappingTables!$C$16,VLOOKUP(J1492,ModelParameters!$P$8:$Q$15,2,FALSE),0)))</f>
        <v>0.125</v>
      </c>
      <c r="P1492" s="73">
        <f>IF(OR(I1492=0,I1492=$A$1),0,MIN(O1492*M1492,1)*K1492)</f>
        <v>31.823776221743008</v>
      </c>
      <c r="Q1492" s="73">
        <f>IF(B1492="",0,IF(OR(H1492=MappingTables!$C$34,H1492=MappingTables!$C$35),P1492,0))</f>
        <v>0</v>
      </c>
      <c r="R1492" s="73">
        <f>IF(ISNA(IF(AND(VLOOKUP(CONCATENATE($D1492,$G1492),CSRFinput!$B:$E,4,0)=0,OR(H1492=MappingTables!$C$31,H1492=MappingTables!$C$32)),1,VLOOKUP(CONCATENATE($D1492,$G1492),CSRFinput!$B:$E,4,0))),0,IF(AND(VLOOKUP(CONCATENATE($D1492,$G1492),CSRFinput!$B:$E,4,0)=0,OR(H1492=MappingTables!$C$31,H1492=MappingTables!$C$32)),1,VLOOKUP(CONCATENATE($D1492,$G1492),CSRFinput!$B:$E,4,0)))</f>
        <v>0.054776304963434752</v>
      </c>
      <c r="S1492" s="73">
        <f>IF(B1492="",0,P1492*R1492)</f>
        <v>1.7431888714102984</v>
      </c>
      <c r="T1492" s="85">
        <f>IF(B1492="",0,IF(OR(H1492=MappingTables!$C$34,H1492=MappingTables!$C$35),S1492,0))</f>
        <v>0</v>
      </c>
    </row>
    <row r="1493" spans="2:20" s="0" customFormat="0" ht="15">
      <c r="B1493" s="69" t="s">
        <v>4750</v>
      </c>
      <c r="C1493" s="70" t="s">
        <v>4751</v>
      </c>
      <c r="D1493" s="70" t="s">
        <v>1</v>
      </c>
      <c r="E1493" s="70" t="s">
        <v>1</v>
      </c>
      <c r="F1493" s="70"/>
      <c r="G1493" s="70" t="s">
        <v>61</v>
      </c>
      <c r="H1493" s="70" t="s">
        <v>178</v>
      </c>
      <c r="I1493" s="70" t="s">
        <v>204</v>
      </c>
      <c r="J1493" s="71">
        <f>IF(OR(I1493=0,I1493=""),"unrated",VLOOKUP(I1493,MappingTables!$B$19:$C$31,2,FALSE))</f>
        <v>6</v>
      </c>
      <c r="K1493" s="72">
        <v>101.97893700815198</v>
      </c>
      <c r="L1493" s="70">
        <v>0.06849136895650584</v>
      </c>
      <c r="M1493" s="71">
        <f>IF(L1493&lt;1,1,L1493)</f>
        <v>1</v>
      </c>
      <c r="N1493" s="70" t="s">
        <v>3288</v>
      </c>
      <c r="O1493" s="71">
        <f>IF(OR(I1493=$A$1,I1493=0),"",IF(N1493=MappingTables!$C$14,VLOOKUP(J1493,ModelParameters!$M$8:$N$15,2,FALSE),IF(N1493=MappingTables!$C$16,VLOOKUP(J1493,ModelParameters!$P$8:$Q$15,2,FALSE),0)))</f>
        <v>1</v>
      </c>
      <c r="P1493" s="73">
        <f>IF(OR(I1493=0,I1493=$A$1),0,MIN(O1493*M1493,1)*K1493)</f>
        <v>101.97893700815198</v>
      </c>
      <c r="Q1493" s="73">
        <f>IF(B1493="",0,IF(OR(H1493=MappingTables!$C$34,H1493=MappingTables!$C$35),P1493,0))</f>
        <v>0</v>
      </c>
      <c r="R1493" s="73">
        <f>IF(ISNA(IF(AND(VLOOKUP(CONCATENATE($D1493,$G1493),CSRFinput!$B:$E,4,0)=0,OR(H1493=MappingTables!$C$31,H1493=MappingTables!$C$32)),1,VLOOKUP(CONCATENATE($D1493,$G1493),CSRFinput!$B:$E,4,0))),0,IF(AND(VLOOKUP(CONCATENATE($D1493,$G1493),CSRFinput!$B:$E,4,0)=0,OR(H1493=MappingTables!$C$31,H1493=MappingTables!$C$32)),1,VLOOKUP(CONCATENATE($D1493,$G1493),CSRFinput!$B:$E,4,0)))</f>
        <v>0.054776304963434752</v>
      </c>
      <c r="S1493" s="73">
        <f>IF(B1493="",0,P1493*R1493)</f>
        <v>5.5860293534054344</v>
      </c>
      <c r="T1493" s="85">
        <f>IF(B1493="",0,IF(OR(H1493=MappingTables!$C$34,H1493=MappingTables!$C$35),S1493,0))</f>
        <v>0</v>
      </c>
    </row>
    <row r="1494" spans="2:20" s="0" customFormat="0" ht="15">
      <c r="B1494" s="69">
        <v>14504617</v>
      </c>
      <c r="C1494" s="70" t="s">
        <v>4569</v>
      </c>
      <c r="D1494" s="70" t="s">
        <v>1</v>
      </c>
      <c r="E1494" s="70" t="s">
        <v>1</v>
      </c>
      <c r="F1494" s="70"/>
      <c r="G1494" s="70" t="s">
        <v>61</v>
      </c>
      <c r="H1494" s="70" t="s">
        <v>178</v>
      </c>
      <c r="I1494" s="70" t="s">
        <v>216</v>
      </c>
      <c r="J1494" s="71">
        <f>IF(OR(I1494=0,I1494=""),"unrated",VLOOKUP(I1494,MappingTables!$B$19:$C$31,2,FALSE))</f>
        <v>0</v>
      </c>
      <c r="K1494" s="72">
        <v>473.77296683030088</v>
      </c>
      <c r="L1494" s="70">
        <v>0.19943316148156184</v>
      </c>
      <c r="M1494" s="71">
        <f>IF(L1494&lt;1,1,L1494)</f>
        <v>1</v>
      </c>
      <c r="N1494" s="70" t="s">
        <v>3288</v>
      </c>
      <c r="O1494" s="71">
        <f>IF(OR(I1494=$A$1,I1494=0),"",IF(N1494=MappingTables!$C$14,VLOOKUP(J1494,ModelParameters!$M$8:$N$15,2,FALSE),IF(N1494=MappingTables!$C$16,VLOOKUP(J1494,ModelParameters!$P$8:$Q$15,2,FALSE),0)))</f>
        <v>0.125</v>
      </c>
      <c r="P1494" s="73">
        <f>IF(OR(I1494=0,I1494=$A$1),0,MIN(O1494*M1494,1)*K1494)</f>
        <v>59.221620853787616</v>
      </c>
      <c r="Q1494" s="73">
        <f>IF(B1494="",0,IF(OR(H1494=MappingTables!$C$34,H1494=MappingTables!$C$35),P1494,0))</f>
        <v>0</v>
      </c>
      <c r="R1494" s="73">
        <f>IF(ISNA(IF(AND(VLOOKUP(CONCATENATE($D1494,$G1494),CSRFinput!$B:$E,4,0)=0,OR(H1494=MappingTables!$C$31,H1494=MappingTables!$C$32)),1,VLOOKUP(CONCATENATE($D1494,$G1494),CSRFinput!$B:$E,4,0))),0,IF(AND(VLOOKUP(CONCATENATE($D1494,$G1494),CSRFinput!$B:$E,4,0)=0,OR(H1494=MappingTables!$C$31,H1494=MappingTables!$C$32)),1,VLOOKUP(CONCATENATE($D1494,$G1494),CSRFinput!$B:$E,4,0)))</f>
        <v>0.054776304963434752</v>
      </c>
      <c r="S1494" s="73">
        <f>IF(B1494="",0,P1494*R1494)</f>
        <v>3.2439415643159776</v>
      </c>
      <c r="T1494" s="85">
        <f>IF(B1494="",0,IF(OR(H1494=MappingTables!$C$34,H1494=MappingTables!$C$35),S1494,0))</f>
        <v>0</v>
      </c>
    </row>
    <row r="1495" spans="2:20" s="0" customFormat="0" ht="15">
      <c r="B1495" s="69" t="s">
        <v>4977</v>
      </c>
      <c r="C1495" s="70" t="s">
        <v>4978</v>
      </c>
      <c r="D1495" s="70" t="s">
        <v>1</v>
      </c>
      <c r="E1495" s="70" t="s">
        <v>1</v>
      </c>
      <c r="F1495" s="70"/>
      <c r="G1495" s="70" t="s">
        <v>61</v>
      </c>
      <c r="H1495" s="70" t="s">
        <v>178</v>
      </c>
      <c r="I1495" s="70" t="s">
        <v>3298</v>
      </c>
      <c r="J1495" s="71">
        <f>IF(OR(I1495=0,I1495=""),"unrated",VLOOKUP(I1495,MappingTables!$B$19:$C$31,2,FALSE))</f>
        <v>6</v>
      </c>
      <c r="K1495" s="72">
        <v>3147.3978547365044</v>
      </c>
      <c r="L1495" s="70">
        <v>0.068492333076462784</v>
      </c>
      <c r="M1495" s="71">
        <f>IF(L1495&lt;1,1,L1495)</f>
        <v>1</v>
      </c>
      <c r="N1495" s="70" t="s">
        <v>3288</v>
      </c>
      <c r="O1495" s="71">
        <f>IF(OR(I1495=$A$1,I1495=0),"",IF(N1495=MappingTables!$C$14,VLOOKUP(J1495,ModelParameters!$M$8:$N$15,2,FALSE),IF(N1495=MappingTables!$C$16,VLOOKUP(J1495,ModelParameters!$P$8:$Q$15,2,FALSE),0)))</f>
        <v>1</v>
      </c>
      <c r="P1495" s="73">
        <f>IF(OR(I1495=0,I1495=$A$1),0,MIN(O1495*M1495,1)*K1495)</f>
        <v>3147.3978547365044</v>
      </c>
      <c r="Q1495" s="73">
        <f>IF(B1495="",0,IF(OR(H1495=MappingTables!$C$34,H1495=MappingTables!$C$35),P1495,0))</f>
        <v>0</v>
      </c>
      <c r="R1495" s="73">
        <f>IF(ISNA(IF(AND(VLOOKUP(CONCATENATE($D1495,$G1495),CSRFinput!$B:$E,4,0)=0,OR(H1495=MappingTables!$C$31,H1495=MappingTables!$C$32)),1,VLOOKUP(CONCATENATE($D1495,$G1495),CSRFinput!$B:$E,4,0))),0,IF(AND(VLOOKUP(CONCATENATE($D1495,$G1495),CSRFinput!$B:$E,4,0)=0,OR(H1495=MappingTables!$C$31,H1495=MappingTables!$C$32)),1,VLOOKUP(CONCATENATE($D1495,$G1495),CSRFinput!$B:$E,4,0)))</f>
        <v>0.054776304963434752</v>
      </c>
      <c r="S1495" s="73">
        <f>IF(B1495="",0,P1495*R1495)</f>
        <v>172.4028247323071</v>
      </c>
      <c r="T1495" s="85">
        <f>IF(B1495="",0,IF(OR(H1495=MappingTables!$C$34,H1495=MappingTables!$C$35),S1495,0))</f>
        <v>0</v>
      </c>
    </row>
    <row r="1496" spans="2:20" s="0" customFormat="0" ht="15">
      <c r="B1496" s="69" t="s">
        <v>4707</v>
      </c>
      <c r="C1496" s="70" t="s">
        <v>4708</v>
      </c>
      <c r="D1496" s="70" t="s">
        <v>1</v>
      </c>
      <c r="E1496" s="70" t="s">
        <v>1</v>
      </c>
      <c r="F1496" s="70"/>
      <c r="G1496" s="70" t="s">
        <v>61</v>
      </c>
      <c r="H1496" s="70" t="s">
        <v>178</v>
      </c>
      <c r="I1496" s="70" t="s">
        <v>198</v>
      </c>
      <c r="J1496" s="71" t="str">
        <f>IF(OR(I1496=0,I1496=""),"unrated",VLOOKUP(I1496,MappingTables!$B$19:$C$31,2,FALSE))</f>
        <v>unrated</v>
      </c>
      <c r="K1496" s="72">
        <v>137.41821153794698</v>
      </c>
      <c r="L1496" s="70">
        <v>35.511865340588484</v>
      </c>
      <c r="M1496" s="71">
        <f>IF(L1496&lt;1,1,L1496)</f>
        <v>35.511865340588484</v>
      </c>
      <c r="N1496" s="70" t="s">
        <v>3288</v>
      </c>
      <c r="O1496" s="71">
        <f>IF(OR(I1496=$A$1,I1496=0),"",IF(N1496=MappingTables!$C$14,VLOOKUP(J1496,ModelParameters!$M$8:$N$15,2,FALSE),IF(N1496=MappingTables!$C$16,VLOOKUP(J1496,ModelParameters!$P$8:$Q$15,2,FALSE),0)))</f>
        <v>1</v>
      </c>
      <c r="P1496" s="73">
        <f>IF(OR(I1496=0,I1496=$A$1),0,MIN(O1496*M1496,1)*K1496)</f>
        <v>137.41821153794698</v>
      </c>
      <c r="Q1496" s="73">
        <f>IF(B1496="",0,IF(OR(H1496=MappingTables!$C$34,H1496=MappingTables!$C$35),P1496,0))</f>
        <v>0</v>
      </c>
      <c r="R1496" s="73">
        <f>IF(ISNA(IF(AND(VLOOKUP(CONCATENATE($D1496,$G1496),CSRFinput!$B:$E,4,0)=0,OR(H1496=MappingTables!$C$31,H1496=MappingTables!$C$32)),1,VLOOKUP(CONCATENATE($D1496,$G1496),CSRFinput!$B:$E,4,0))),0,IF(AND(VLOOKUP(CONCATENATE($D1496,$G1496),CSRFinput!$B:$E,4,0)=0,OR(H1496=MappingTables!$C$31,H1496=MappingTables!$C$32)),1,VLOOKUP(CONCATENATE($D1496,$G1496),CSRFinput!$B:$E,4,0)))</f>
        <v>0.054776304963434752</v>
      </c>
      <c r="S1496" s="73">
        <f>IF(B1496="",0,P1496*R1496)</f>
        <v>7.5272618627323712</v>
      </c>
      <c r="T1496" s="85">
        <f>IF(B1496="",0,IF(OR(H1496=MappingTables!$C$34,H1496=MappingTables!$C$35),S1496,0))</f>
        <v>0</v>
      </c>
    </row>
    <row r="1497" spans="2:20" s="0" customFormat="0" ht="15">
      <c r="B1497" s="69" t="s">
        <v>4255</v>
      </c>
      <c r="C1497" s="70" t="s">
        <v>4256</v>
      </c>
      <c r="D1497" s="70" t="s">
        <v>1</v>
      </c>
      <c r="E1497" s="70" t="s">
        <v>1</v>
      </c>
      <c r="F1497" s="70"/>
      <c r="G1497" s="70" t="s">
        <v>61</v>
      </c>
      <c r="H1497" s="70" t="s">
        <v>178</v>
      </c>
      <c r="I1497" s="70" t="s">
        <v>220</v>
      </c>
      <c r="J1497" s="71">
        <f>IF(OR(I1497=0,I1497=""),"unrated",VLOOKUP(I1497,MappingTables!$B$19:$C$31,2,FALSE))</f>
        <v>1</v>
      </c>
      <c r="K1497" s="72">
        <v>63.452208119111344</v>
      </c>
      <c r="L1497" s="70">
        <v>0.068490931627625416</v>
      </c>
      <c r="M1497" s="71">
        <f>IF(L1497&lt;1,1,L1497)</f>
        <v>1</v>
      </c>
      <c r="N1497" s="70" t="s">
        <v>3288</v>
      </c>
      <c r="O1497" s="71">
        <f>IF(OR(I1497=$A$1,I1497=0),"",IF(N1497=MappingTables!$C$14,VLOOKUP(J1497,ModelParameters!$M$8:$N$15,2,FALSE),IF(N1497=MappingTables!$C$16,VLOOKUP(J1497,ModelParameters!$P$8:$Q$15,2,FALSE),0)))</f>
        <v>0.134</v>
      </c>
      <c r="P1497" s="73">
        <f>IF(OR(I1497=0,I1497=$A$1),0,MIN(O1497*M1497,1)*K1497)</f>
        <v>8.50259588796092</v>
      </c>
      <c r="Q1497" s="73">
        <f>IF(B1497="",0,IF(OR(H1497=MappingTables!$C$34,H1497=MappingTables!$C$35),P1497,0))</f>
        <v>0</v>
      </c>
      <c r="R1497" s="73">
        <f>IF(ISNA(IF(AND(VLOOKUP(CONCATENATE($D1497,$G1497),CSRFinput!$B:$E,4,0)=0,OR(H1497=MappingTables!$C$31,H1497=MappingTables!$C$32)),1,VLOOKUP(CONCATENATE($D1497,$G1497),CSRFinput!$B:$E,4,0))),0,IF(AND(VLOOKUP(CONCATENATE($D1497,$G1497),CSRFinput!$B:$E,4,0)=0,OR(H1497=MappingTables!$C$31,H1497=MappingTables!$C$32)),1,VLOOKUP(CONCATENATE($D1497,$G1497),CSRFinput!$B:$E,4,0)))</f>
        <v>0.054776304963434752</v>
      </c>
      <c r="S1497" s="73">
        <f>IF(B1497="",0,P1497*R1497)</f>
        <v>0.46574078533979368</v>
      </c>
      <c r="T1497" s="85">
        <f>IF(B1497="",0,IF(OR(H1497=MappingTables!$C$34,H1497=MappingTables!$C$35),S1497,0))</f>
        <v>0</v>
      </c>
    </row>
    <row r="1498" spans="2:20" s="0" customFormat="0" ht="15">
      <c r="B1498" s="69" t="s">
        <v>4785</v>
      </c>
      <c r="C1498" s="70" t="s">
        <v>4786</v>
      </c>
      <c r="D1498" s="70" t="s">
        <v>1</v>
      </c>
      <c r="E1498" s="70" t="s">
        <v>1</v>
      </c>
      <c r="F1498" s="70"/>
      <c r="G1498" s="70" t="s">
        <v>61</v>
      </c>
      <c r="H1498" s="70" t="s">
        <v>178</v>
      </c>
      <c r="I1498" s="70" t="s">
        <v>184</v>
      </c>
      <c r="J1498" s="71">
        <f>IF(OR(I1498=0,I1498=""),"unrated",VLOOKUP(I1498,MappingTables!$B$19:$C$31,2,FALSE))</f>
        <v>5</v>
      </c>
      <c r="K1498" s="72">
        <v>591.69462038666624</v>
      </c>
      <c r="L1498" s="70">
        <v>0.068489515889976736</v>
      </c>
      <c r="M1498" s="71">
        <f>IF(L1498&lt;1,1,L1498)</f>
        <v>1</v>
      </c>
      <c r="N1498" s="70" t="s">
        <v>3288</v>
      </c>
      <c r="O1498" s="71">
        <f>IF(OR(I1498=$A$1,I1498=0),"",IF(N1498=MappingTables!$C$14,VLOOKUP(J1498,ModelParameters!$M$8:$N$15,2,FALSE),IF(N1498=MappingTables!$C$16,VLOOKUP(J1498,ModelParameters!$P$8:$Q$15,2,FALSE),0)))</f>
        <v>1</v>
      </c>
      <c r="P1498" s="73">
        <f>IF(OR(I1498=0,I1498=$A$1),0,MIN(O1498*M1498,1)*K1498)</f>
        <v>591.69462038666624</v>
      </c>
      <c r="Q1498" s="73">
        <f>IF(B1498="",0,IF(OR(H1498=MappingTables!$C$34,H1498=MappingTables!$C$35),P1498,0))</f>
        <v>0</v>
      </c>
      <c r="R1498" s="73">
        <f>IF(ISNA(IF(AND(VLOOKUP(CONCATENATE($D1498,$G1498),CSRFinput!$B:$E,4,0)=0,OR(H1498=MappingTables!$C$31,H1498=MappingTables!$C$32)),1,VLOOKUP(CONCATENATE($D1498,$G1498),CSRFinput!$B:$E,4,0))),0,IF(AND(VLOOKUP(CONCATENATE($D1498,$G1498),CSRFinput!$B:$E,4,0)=0,OR(H1498=MappingTables!$C$31,H1498=MappingTables!$C$32)),1,VLOOKUP(CONCATENATE($D1498,$G1498),CSRFinput!$B:$E,4,0)))</f>
        <v>0.054776304963434752</v>
      </c>
      <c r="S1498" s="73">
        <f>IF(B1498="",0,P1498*R1498)</f>
        <v>32.410844971523788</v>
      </c>
      <c r="T1498" s="85">
        <f>IF(B1498="",0,IF(OR(H1498=MappingTables!$C$34,H1498=MappingTables!$C$35),S1498,0))</f>
        <v>0</v>
      </c>
    </row>
    <row r="1499" spans="2:20" s="0" customFormat="0" ht="15">
      <c r="B1499" s="69" t="s">
        <v>4992</v>
      </c>
      <c r="C1499" s="70" t="s">
        <v>4993</v>
      </c>
      <c r="D1499" s="70" t="s">
        <v>1</v>
      </c>
      <c r="E1499" s="70" t="s">
        <v>1</v>
      </c>
      <c r="F1499" s="70"/>
      <c r="G1499" s="70" t="s">
        <v>61</v>
      </c>
      <c r="H1499" s="70" t="s">
        <v>178</v>
      </c>
      <c r="I1499" s="70" t="s">
        <v>198</v>
      </c>
      <c r="J1499" s="71" t="str">
        <f>IF(OR(I1499=0,I1499=""),"unrated",VLOOKUP(I1499,MappingTables!$B$19:$C$31,2,FALSE))</f>
        <v>unrated</v>
      </c>
      <c r="K1499" s="72">
        <v>774.1847618331664</v>
      </c>
      <c r="L1499" s="70">
        <v>0.068493388521581904</v>
      </c>
      <c r="M1499" s="71">
        <f>IF(L1499&lt;1,1,L1499)</f>
        <v>1</v>
      </c>
      <c r="N1499" s="70" t="s">
        <v>3288</v>
      </c>
      <c r="O1499" s="71">
        <f>IF(OR(I1499=$A$1,I1499=0),"",IF(N1499=MappingTables!$C$14,VLOOKUP(J1499,ModelParameters!$M$8:$N$15,2,FALSE),IF(N1499=MappingTables!$C$16,VLOOKUP(J1499,ModelParameters!$P$8:$Q$15,2,FALSE),0)))</f>
        <v>1</v>
      </c>
      <c r="P1499" s="73">
        <f>IF(OR(I1499=0,I1499=$A$1),0,MIN(O1499*M1499,1)*K1499)</f>
        <v>774.1847618331664</v>
      </c>
      <c r="Q1499" s="73">
        <f>IF(B1499="",0,IF(OR(H1499=MappingTables!$C$34,H1499=MappingTables!$C$35),P1499,0))</f>
        <v>0</v>
      </c>
      <c r="R1499" s="73">
        <f>IF(ISNA(IF(AND(VLOOKUP(CONCATENATE($D1499,$G1499),CSRFinput!$B:$E,4,0)=0,OR(H1499=MappingTables!$C$31,H1499=MappingTables!$C$32)),1,VLOOKUP(CONCATENATE($D1499,$G1499),CSRFinput!$B:$E,4,0))),0,IF(AND(VLOOKUP(CONCATENATE($D1499,$G1499),CSRFinput!$B:$E,4,0)=0,OR(H1499=MappingTables!$C$31,H1499=MappingTables!$C$32)),1,VLOOKUP(CONCATENATE($D1499,$G1499),CSRFinput!$B:$E,4,0)))</f>
        <v>0.054776304963434752</v>
      </c>
      <c r="S1499" s="73">
        <f>IF(B1499="",0,P1499*R1499)</f>
        <v>42.406980612217632</v>
      </c>
      <c r="T1499" s="85">
        <f>IF(B1499="",0,IF(OR(H1499=MappingTables!$C$34,H1499=MappingTables!$C$35),S1499,0))</f>
        <v>0</v>
      </c>
    </row>
    <row r="1500" spans="2:20" s="0" customFormat="0" ht="15">
      <c r="B1500" s="69" t="s">
        <v>4994</v>
      </c>
      <c r="C1500" s="70" t="s">
        <v>4995</v>
      </c>
      <c r="D1500" s="70" t="s">
        <v>1</v>
      </c>
      <c r="E1500" s="70" t="s">
        <v>1</v>
      </c>
      <c r="F1500" s="70"/>
      <c r="G1500" s="70" t="s">
        <v>61</v>
      </c>
      <c r="H1500" s="70" t="s">
        <v>178</v>
      </c>
      <c r="I1500" s="70" t="s">
        <v>198</v>
      </c>
      <c r="J1500" s="71" t="str">
        <f>IF(OR(I1500=0,I1500=""),"unrated",VLOOKUP(I1500,MappingTables!$B$19:$C$31,2,FALSE))</f>
        <v>unrated</v>
      </c>
      <c r="K1500" s="72">
        <v>3.1756683313735016</v>
      </c>
      <c r="L1500" s="70">
        <v>35.16669156054794</v>
      </c>
      <c r="M1500" s="71">
        <f>IF(L1500&lt;1,1,L1500)</f>
        <v>35.16669156054794</v>
      </c>
      <c r="N1500" s="70" t="s">
        <v>3288</v>
      </c>
      <c r="O1500" s="71">
        <f>IF(OR(I1500=$A$1,I1500=0),"",IF(N1500=MappingTables!$C$14,VLOOKUP(J1500,ModelParameters!$M$8:$N$15,2,FALSE),IF(N1500=MappingTables!$C$16,VLOOKUP(J1500,ModelParameters!$P$8:$Q$15,2,FALSE),0)))</f>
        <v>1</v>
      </c>
      <c r="P1500" s="73">
        <f>IF(OR(I1500=0,I1500=$A$1),0,MIN(O1500*M1500,1)*K1500)</f>
        <v>3.1756683313735016</v>
      </c>
      <c r="Q1500" s="73">
        <f>IF(B1500="",0,IF(OR(H1500=MappingTables!$C$34,H1500=MappingTables!$C$35),P1500,0))</f>
        <v>0</v>
      </c>
      <c r="R1500" s="73">
        <f>IF(ISNA(IF(AND(VLOOKUP(CONCATENATE($D1500,$G1500),CSRFinput!$B:$E,4,0)=0,OR(H1500=MappingTables!$C$31,H1500=MappingTables!$C$32)),1,VLOOKUP(CONCATENATE($D1500,$G1500),CSRFinput!$B:$E,4,0))),0,IF(AND(VLOOKUP(CONCATENATE($D1500,$G1500),CSRFinput!$B:$E,4,0)=0,OR(H1500=MappingTables!$C$31,H1500=MappingTables!$C$32)),1,VLOOKUP(CONCATENATE($D1500,$G1500),CSRFinput!$B:$E,4,0)))</f>
        <v>0.054776304963434752</v>
      </c>
      <c r="S1500" s="73">
        <f>IF(B1500="",0,P1500*R1500)</f>
        <v>0.17395137698203688</v>
      </c>
      <c r="T1500" s="85">
        <f>IF(B1500="",0,IF(OR(H1500=MappingTables!$C$34,H1500=MappingTables!$C$35),S1500,0))</f>
        <v>0</v>
      </c>
    </row>
    <row r="1501" spans="2:20" s="0" customFormat="0" ht="15">
      <c r="B1501" s="69" t="s">
        <v>4782</v>
      </c>
      <c r="C1501" s="70" t="s">
        <v>4783</v>
      </c>
      <c r="D1501" s="70" t="s">
        <v>1</v>
      </c>
      <c r="E1501" s="70" t="s">
        <v>1</v>
      </c>
      <c r="F1501" s="70"/>
      <c r="G1501" s="70" t="s">
        <v>61</v>
      </c>
      <c r="H1501" s="70" t="s">
        <v>178</v>
      </c>
      <c r="I1501" s="70" t="s">
        <v>198</v>
      </c>
      <c r="J1501" s="71" t="str">
        <f>IF(OR(I1501=0,I1501=""),"unrated",VLOOKUP(I1501,MappingTables!$B$19:$C$31,2,FALSE))</f>
        <v>unrated</v>
      </c>
      <c r="K1501" s="72">
        <v>16425.01099133743</v>
      </c>
      <c r="L1501" s="70">
        <v>9.7112636976944272</v>
      </c>
      <c r="M1501" s="71">
        <f>IF(L1501&lt;1,1,L1501)</f>
        <v>9.7112636976944272</v>
      </c>
      <c r="N1501" s="70" t="s">
        <v>3288</v>
      </c>
      <c r="O1501" s="71">
        <f>IF(OR(I1501=$A$1,I1501=0),"",IF(N1501=MappingTables!$C$14,VLOOKUP(J1501,ModelParameters!$M$8:$N$15,2,FALSE),IF(N1501=MappingTables!$C$16,VLOOKUP(J1501,ModelParameters!$P$8:$Q$15,2,FALSE),0)))</f>
        <v>1</v>
      </c>
      <c r="P1501" s="73">
        <f>IF(OR(I1501=0,I1501=$A$1),0,MIN(O1501*M1501,1)*K1501)</f>
        <v>16425.01099133743</v>
      </c>
      <c r="Q1501" s="73">
        <f>IF(B1501="",0,IF(OR(H1501=MappingTables!$C$34,H1501=MappingTables!$C$35),P1501,0))</f>
        <v>0</v>
      </c>
      <c r="R1501" s="73">
        <f>IF(ISNA(IF(AND(VLOOKUP(CONCATENATE($D1501,$G1501),CSRFinput!$B:$E,4,0)=0,OR(H1501=MappingTables!$C$31,H1501=MappingTables!$C$32)),1,VLOOKUP(CONCATENATE($D1501,$G1501),CSRFinput!$B:$E,4,0))),0,IF(AND(VLOOKUP(CONCATENATE($D1501,$G1501),CSRFinput!$B:$E,4,0)=0,OR(H1501=MappingTables!$C$31,H1501=MappingTables!$C$32)),1,VLOOKUP(CONCATENATE($D1501,$G1501),CSRFinput!$B:$E,4,0)))</f>
        <v>0.054776304963434752</v>
      </c>
      <c r="S1501" s="73">
        <f>IF(B1501="",0,P1501*R1501)</f>
        <v>899.70141108926672</v>
      </c>
      <c r="T1501" s="85">
        <f>IF(B1501="",0,IF(OR(H1501=MappingTables!$C$34,H1501=MappingTables!$C$35),S1501,0))</f>
        <v>0</v>
      </c>
    </row>
    <row r="1502" spans="2:20" s="0" customFormat="0" ht="15">
      <c r="B1502" s="69" t="s">
        <v>4996</v>
      </c>
      <c r="C1502" s="70" t="s">
        <v>4997</v>
      </c>
      <c r="D1502" s="70" t="s">
        <v>1</v>
      </c>
      <c r="E1502" s="70" t="s">
        <v>1</v>
      </c>
      <c r="F1502" s="70"/>
      <c r="G1502" s="70" t="s">
        <v>61</v>
      </c>
      <c r="H1502" s="70" t="s">
        <v>178</v>
      </c>
      <c r="I1502" s="70" t="s">
        <v>204</v>
      </c>
      <c r="J1502" s="71">
        <f>IF(OR(I1502=0,I1502=""),"unrated",VLOOKUP(I1502,MappingTables!$B$19:$C$31,2,FALSE))</f>
        <v>6</v>
      </c>
      <c r="K1502" s="72">
        <v>46.313908911835664</v>
      </c>
      <c r="L1502" s="70">
        <v>0.068491442483105912</v>
      </c>
      <c r="M1502" s="71">
        <f>IF(L1502&lt;1,1,L1502)</f>
        <v>1</v>
      </c>
      <c r="N1502" s="70" t="s">
        <v>3288</v>
      </c>
      <c r="O1502" s="71">
        <f>IF(OR(I1502=$A$1,I1502=0),"",IF(N1502=MappingTables!$C$14,VLOOKUP(J1502,ModelParameters!$M$8:$N$15,2,FALSE),IF(N1502=MappingTables!$C$16,VLOOKUP(J1502,ModelParameters!$P$8:$Q$15,2,FALSE),0)))</f>
        <v>1</v>
      </c>
      <c r="P1502" s="73">
        <f>IF(OR(I1502=0,I1502=$A$1),0,MIN(O1502*M1502,1)*K1502)</f>
        <v>46.313908911835664</v>
      </c>
      <c r="Q1502" s="73">
        <f>IF(B1502="",0,IF(OR(H1502=MappingTables!$C$34,H1502=MappingTables!$C$35),P1502,0))</f>
        <v>0</v>
      </c>
      <c r="R1502" s="73">
        <f>IF(ISNA(IF(AND(VLOOKUP(CONCATENATE($D1502,$G1502),CSRFinput!$B:$E,4,0)=0,OR(H1502=MappingTables!$C$31,H1502=MappingTables!$C$32)),1,VLOOKUP(CONCATENATE($D1502,$G1502),CSRFinput!$B:$E,4,0))),0,IF(AND(VLOOKUP(CONCATENATE($D1502,$G1502),CSRFinput!$B:$E,4,0)=0,OR(H1502=MappingTables!$C$31,H1502=MappingTables!$C$32)),1,VLOOKUP(CONCATENATE($D1502,$G1502),CSRFinput!$B:$E,4,0)))</f>
        <v>0.054776304963434752</v>
      </c>
      <c r="S1502" s="73">
        <f>IF(B1502="",0,P1502*R1502)</f>
        <v>2.5369047986034488</v>
      </c>
      <c r="T1502" s="85">
        <f>IF(B1502="",0,IF(OR(H1502=MappingTables!$C$34,H1502=MappingTables!$C$35),S1502,0))</f>
        <v>0</v>
      </c>
    </row>
    <row r="1503" spans="2:20" s="0" customFormat="0" ht="15">
      <c r="B1503" s="69">
        <v>22554506</v>
      </c>
      <c r="C1503" s="70" t="s">
        <v>4306</v>
      </c>
      <c r="D1503" s="70" t="s">
        <v>1</v>
      </c>
      <c r="E1503" s="70" t="s">
        <v>1</v>
      </c>
      <c r="F1503" s="70"/>
      <c r="G1503" s="70" t="s">
        <v>61</v>
      </c>
      <c r="H1503" s="70" t="s">
        <v>178</v>
      </c>
      <c r="I1503" s="70" t="s">
        <v>216</v>
      </c>
      <c r="J1503" s="71">
        <f>IF(OR(I1503=0,I1503=""),"unrated",VLOOKUP(I1503,MappingTables!$B$19:$C$31,2,FALSE))</f>
        <v>0</v>
      </c>
      <c r="K1503" s="72">
        <v>3.9173578027600912</v>
      </c>
      <c r="L1503" s="70">
        <v>0.084338800102423232</v>
      </c>
      <c r="M1503" s="71">
        <f>IF(L1503&lt;1,1,L1503)</f>
        <v>1</v>
      </c>
      <c r="N1503" s="70" t="s">
        <v>3288</v>
      </c>
      <c r="O1503" s="71">
        <f>IF(OR(I1503=$A$1,I1503=0),"",IF(N1503=MappingTables!$C$14,VLOOKUP(J1503,ModelParameters!$M$8:$N$15,2,FALSE),IF(N1503=MappingTables!$C$16,VLOOKUP(J1503,ModelParameters!$P$8:$Q$15,2,FALSE),0)))</f>
        <v>0.125</v>
      </c>
      <c r="P1503" s="73">
        <f>IF(OR(I1503=0,I1503=$A$1),0,MIN(O1503*M1503,1)*K1503)</f>
        <v>0.48966972534501136</v>
      </c>
      <c r="Q1503" s="73">
        <f>IF(B1503="",0,IF(OR(H1503=MappingTables!$C$34,H1503=MappingTables!$C$35),P1503,0))</f>
        <v>0</v>
      </c>
      <c r="R1503" s="73">
        <f>IF(ISNA(IF(AND(VLOOKUP(CONCATENATE($D1503,$G1503),CSRFinput!$B:$E,4,0)=0,OR(H1503=MappingTables!$C$31,H1503=MappingTables!$C$32)),1,VLOOKUP(CONCATENATE($D1503,$G1503),CSRFinput!$B:$E,4,0))),0,IF(AND(VLOOKUP(CONCATENATE($D1503,$G1503),CSRFinput!$B:$E,4,0)=0,OR(H1503=MappingTables!$C$31,H1503=MappingTables!$C$32)),1,VLOOKUP(CONCATENATE($D1503,$G1503),CSRFinput!$B:$E,4,0)))</f>
        <v>0.054776304963434752</v>
      </c>
      <c r="S1503" s="73">
        <f>IF(B1503="",0,P1503*R1503)</f>
        <v>0.026822298206859676</v>
      </c>
      <c r="T1503" s="85">
        <f>IF(B1503="",0,IF(OR(H1503=MappingTables!$C$34,H1503=MappingTables!$C$35),S1503,0))</f>
        <v>0</v>
      </c>
    </row>
    <row r="1504" spans="2:20" s="0" customFormat="0" ht="15">
      <c r="B1504" s="69" t="s">
        <v>4678</v>
      </c>
      <c r="C1504" s="70" t="s">
        <v>4679</v>
      </c>
      <c r="D1504" s="70" t="s">
        <v>1</v>
      </c>
      <c r="E1504" s="70" t="s">
        <v>1</v>
      </c>
      <c r="F1504" s="70"/>
      <c r="G1504" s="70" t="s">
        <v>61</v>
      </c>
      <c r="H1504" s="70" t="s">
        <v>178</v>
      </c>
      <c r="I1504" s="70" t="s">
        <v>204</v>
      </c>
      <c r="J1504" s="71">
        <f>IF(OR(I1504=0,I1504=""),"unrated",VLOOKUP(I1504,MappingTables!$B$19:$C$31,2,FALSE))</f>
        <v>6</v>
      </c>
      <c r="K1504" s="72">
        <v>52417.527005428808</v>
      </c>
      <c r="L1504" s="70">
        <v>3.9215538230154296</v>
      </c>
      <c r="M1504" s="71">
        <f>IF(L1504&lt;1,1,L1504)</f>
        <v>3.9215538230154296</v>
      </c>
      <c r="N1504" s="70" t="s">
        <v>3288</v>
      </c>
      <c r="O1504" s="71">
        <f>IF(OR(I1504=$A$1,I1504=0),"",IF(N1504=MappingTables!$C$14,VLOOKUP(J1504,ModelParameters!$M$8:$N$15,2,FALSE),IF(N1504=MappingTables!$C$16,VLOOKUP(J1504,ModelParameters!$P$8:$Q$15,2,FALSE),0)))</f>
        <v>1</v>
      </c>
      <c r="P1504" s="73">
        <f>IF(OR(I1504=0,I1504=$A$1),0,MIN(O1504*M1504,1)*K1504)</f>
        <v>52417.527005428808</v>
      </c>
      <c r="Q1504" s="73">
        <f>IF(B1504="",0,IF(OR(H1504=MappingTables!$C$34,H1504=MappingTables!$C$35),P1504,0))</f>
        <v>0</v>
      </c>
      <c r="R1504" s="73">
        <f>IF(ISNA(IF(AND(VLOOKUP(CONCATENATE($D1504,$G1504),CSRFinput!$B:$E,4,0)=0,OR(H1504=MappingTables!$C$31,H1504=MappingTables!$C$32)),1,VLOOKUP(CONCATENATE($D1504,$G1504),CSRFinput!$B:$E,4,0))),0,IF(AND(VLOOKUP(CONCATENATE($D1504,$G1504),CSRFinput!$B:$E,4,0)=0,OR(H1504=MappingTables!$C$31,H1504=MappingTables!$C$32)),1,VLOOKUP(CONCATENATE($D1504,$G1504),CSRFinput!$B:$E,4,0)))</f>
        <v>0.054776304963434752</v>
      </c>
      <c r="S1504" s="73">
        <f>IF(B1504="",0,P1504*R1504)</f>
        <v>2871.2384446784448</v>
      </c>
      <c r="T1504" s="85">
        <f>IF(B1504="",0,IF(OR(H1504=MappingTables!$C$34,H1504=MappingTables!$C$35),S1504,0))</f>
        <v>0</v>
      </c>
    </row>
    <row r="1505" spans="2:20" s="0" customFormat="0" ht="15">
      <c r="B1505" s="69">
        <v>16974684</v>
      </c>
      <c r="C1505" s="70" t="s">
        <v>3928</v>
      </c>
      <c r="D1505" s="70" t="s">
        <v>1</v>
      </c>
      <c r="E1505" s="70" t="s">
        <v>1</v>
      </c>
      <c r="F1505" s="70"/>
      <c r="G1505" s="70" t="s">
        <v>61</v>
      </c>
      <c r="H1505" s="70" t="s">
        <v>178</v>
      </c>
      <c r="I1505" s="70" t="s">
        <v>198</v>
      </c>
      <c r="J1505" s="71" t="str">
        <f>IF(OR(I1505=0,I1505=""),"unrated",VLOOKUP(I1505,MappingTables!$B$19:$C$31,2,FALSE))</f>
        <v>unrated</v>
      </c>
      <c r="K1505" s="72">
        <v>524.4738608336936</v>
      </c>
      <c r="L1505" s="70">
        <v>0.070700969402772872</v>
      </c>
      <c r="M1505" s="71">
        <f>IF(L1505&lt;1,1,L1505)</f>
        <v>1</v>
      </c>
      <c r="N1505" s="70" t="s">
        <v>3288</v>
      </c>
      <c r="O1505" s="71">
        <f>IF(OR(I1505=$A$1,I1505=0),"",IF(N1505=MappingTables!$C$14,VLOOKUP(J1505,ModelParameters!$M$8:$N$15,2,FALSE),IF(N1505=MappingTables!$C$16,VLOOKUP(J1505,ModelParameters!$P$8:$Q$15,2,FALSE),0)))</f>
        <v>1</v>
      </c>
      <c r="P1505" s="73">
        <f>IF(OR(I1505=0,I1505=$A$1),0,MIN(O1505*M1505,1)*K1505)</f>
        <v>524.4738608336936</v>
      </c>
      <c r="Q1505" s="73">
        <f>IF(B1505="",0,IF(OR(H1505=MappingTables!$C$34,H1505=MappingTables!$C$35),P1505,0))</f>
        <v>0</v>
      </c>
      <c r="R1505" s="73">
        <f>IF(ISNA(IF(AND(VLOOKUP(CONCATENATE($D1505,$G1505),CSRFinput!$B:$E,4,0)=0,OR(H1505=MappingTables!$C$31,H1505=MappingTables!$C$32)),1,VLOOKUP(CONCATENATE($D1505,$G1505),CSRFinput!$B:$E,4,0))),0,IF(AND(VLOOKUP(CONCATENATE($D1505,$G1505),CSRFinput!$B:$E,4,0)=0,OR(H1505=MappingTables!$C$31,H1505=MappingTables!$C$32)),1,VLOOKUP(CONCATENATE($D1505,$G1505),CSRFinput!$B:$E,4,0)))</f>
        <v>0.054776304963434752</v>
      </c>
      <c r="S1505" s="73">
        <f>IF(B1505="",0,P1505*R1505)</f>
        <v>28.72874014637644</v>
      </c>
      <c r="T1505" s="85">
        <f>IF(B1505="",0,IF(OR(H1505=MappingTables!$C$34,H1505=MappingTables!$C$35),S1505,0))</f>
        <v>0</v>
      </c>
    </row>
    <row r="1506" spans="2:20" s="0" customFormat="0" ht="15">
      <c r="B1506" s="69" t="s">
        <v>4998</v>
      </c>
      <c r="C1506" s="70" t="s">
        <v>4999</v>
      </c>
      <c r="D1506" s="70" t="s">
        <v>1</v>
      </c>
      <c r="E1506" s="70" t="s">
        <v>1</v>
      </c>
      <c r="F1506" s="70"/>
      <c r="G1506" s="70" t="s">
        <v>61</v>
      </c>
      <c r="H1506" s="70" t="s">
        <v>178</v>
      </c>
      <c r="I1506" s="70" t="s">
        <v>198</v>
      </c>
      <c r="J1506" s="71" t="str">
        <f>IF(OR(I1506=0,I1506=""),"unrated",VLOOKUP(I1506,MappingTables!$B$19:$C$31,2,FALSE))</f>
        <v>unrated</v>
      </c>
      <c r="K1506" s="72">
        <v>3.9769670725171504</v>
      </c>
      <c r="L1506" s="70">
        <v>25.7464698475045</v>
      </c>
      <c r="M1506" s="71">
        <f>IF(L1506&lt;1,1,L1506)</f>
        <v>25.7464698475045</v>
      </c>
      <c r="N1506" s="70" t="s">
        <v>3288</v>
      </c>
      <c r="O1506" s="71">
        <f>IF(OR(I1506=$A$1,I1506=0),"",IF(N1506=MappingTables!$C$14,VLOOKUP(J1506,ModelParameters!$M$8:$N$15,2,FALSE),IF(N1506=MappingTables!$C$16,VLOOKUP(J1506,ModelParameters!$P$8:$Q$15,2,FALSE),0)))</f>
        <v>1</v>
      </c>
      <c r="P1506" s="73">
        <f>IF(OR(I1506=0,I1506=$A$1),0,MIN(O1506*M1506,1)*K1506)</f>
        <v>3.9769670725171504</v>
      </c>
      <c r="Q1506" s="73">
        <f>IF(B1506="",0,IF(OR(H1506=MappingTables!$C$34,H1506=MappingTables!$C$35),P1506,0))</f>
        <v>0</v>
      </c>
      <c r="R1506" s="73">
        <f>IF(ISNA(IF(AND(VLOOKUP(CONCATENATE($D1506,$G1506),CSRFinput!$B:$E,4,0)=0,OR(H1506=MappingTables!$C$31,H1506=MappingTables!$C$32)),1,VLOOKUP(CONCATENATE($D1506,$G1506),CSRFinput!$B:$E,4,0))),0,IF(AND(VLOOKUP(CONCATENATE($D1506,$G1506),CSRFinput!$B:$E,4,0)=0,OR(H1506=MappingTables!$C$31,H1506=MappingTables!$C$32)),1,VLOOKUP(CONCATENATE($D1506,$G1506),CSRFinput!$B:$E,4,0)))</f>
        <v>0.054776304963434752</v>
      </c>
      <c r="S1506" s="73">
        <f>IF(B1506="",0,P1506*R1506)</f>
        <v>0.21784356119373776</v>
      </c>
      <c r="T1506" s="85">
        <f>IF(B1506="",0,IF(OR(H1506=MappingTables!$C$34,H1506=MappingTables!$C$35),S1506,0))</f>
        <v>0</v>
      </c>
    </row>
    <row r="1507" spans="2:20" s="0" customFormat="0" ht="15">
      <c r="B1507" s="69">
        <v>16974675</v>
      </c>
      <c r="C1507" s="70" t="s">
        <v>4293</v>
      </c>
      <c r="D1507" s="70" t="s">
        <v>1</v>
      </c>
      <c r="E1507" s="70" t="s">
        <v>1</v>
      </c>
      <c r="F1507" s="70"/>
      <c r="G1507" s="70" t="s">
        <v>61</v>
      </c>
      <c r="H1507" s="70" t="s">
        <v>178</v>
      </c>
      <c r="I1507" s="70" t="s">
        <v>216</v>
      </c>
      <c r="J1507" s="71">
        <f>IF(OR(I1507=0,I1507=""),"unrated",VLOOKUP(I1507,MappingTables!$B$19:$C$31,2,FALSE))</f>
        <v>0</v>
      </c>
      <c r="K1507" s="72">
        <v>555.87617072319776</v>
      </c>
      <c r="L1507" s="70">
        <v>0.05700248254378456</v>
      </c>
      <c r="M1507" s="71">
        <f>IF(L1507&lt;1,1,L1507)</f>
        <v>1</v>
      </c>
      <c r="N1507" s="70" t="s">
        <v>3288</v>
      </c>
      <c r="O1507" s="71">
        <f>IF(OR(I1507=$A$1,I1507=0),"",IF(N1507=MappingTables!$C$14,VLOOKUP(J1507,ModelParameters!$M$8:$N$15,2,FALSE),IF(N1507=MappingTables!$C$16,VLOOKUP(J1507,ModelParameters!$P$8:$Q$15,2,FALSE),0)))</f>
        <v>0.125</v>
      </c>
      <c r="P1507" s="73">
        <f>IF(OR(I1507=0,I1507=$A$1),0,MIN(O1507*M1507,1)*K1507)</f>
        <v>69.48452134039972</v>
      </c>
      <c r="Q1507" s="73">
        <f>IF(B1507="",0,IF(OR(H1507=MappingTables!$C$34,H1507=MappingTables!$C$35),P1507,0))</f>
        <v>0</v>
      </c>
      <c r="R1507" s="73">
        <f>IF(ISNA(IF(AND(VLOOKUP(CONCATENATE($D1507,$G1507),CSRFinput!$B:$E,4,0)=0,OR(H1507=MappingTables!$C$31,H1507=MappingTables!$C$32)),1,VLOOKUP(CONCATENATE($D1507,$G1507),CSRFinput!$B:$E,4,0))),0,IF(AND(VLOOKUP(CONCATENATE($D1507,$G1507),CSRFinput!$B:$E,4,0)=0,OR(H1507=MappingTables!$C$31,H1507=MappingTables!$C$32)),1,VLOOKUP(CONCATENATE($D1507,$G1507),CSRFinput!$B:$E,4,0)))</f>
        <v>0.054776304963434752</v>
      </c>
      <c r="S1507" s="73">
        <f>IF(B1507="",0,P1507*R1507)</f>
        <v>3.8061053311800256</v>
      </c>
      <c r="T1507" s="85">
        <f>IF(B1507="",0,IF(OR(H1507=MappingTables!$C$34,H1507=MappingTables!$C$35),S1507,0))</f>
        <v>0</v>
      </c>
    </row>
    <row r="1508" spans="2:20" s="0" customFormat="0" ht="15">
      <c r="B1508" s="69">
        <v>17619867</v>
      </c>
      <c r="C1508" s="70" t="s">
        <v>3403</v>
      </c>
      <c r="D1508" s="70" t="s">
        <v>1</v>
      </c>
      <c r="E1508" s="70" t="s">
        <v>1</v>
      </c>
      <c r="F1508" s="70"/>
      <c r="G1508" s="70" t="s">
        <v>61</v>
      </c>
      <c r="H1508" s="70" t="s">
        <v>178</v>
      </c>
      <c r="I1508" s="70" t="s">
        <v>216</v>
      </c>
      <c r="J1508" s="71">
        <f>IF(OR(I1508=0,I1508=""),"unrated",VLOOKUP(I1508,MappingTables!$B$19:$C$31,2,FALSE))</f>
        <v>0</v>
      </c>
      <c r="K1508" s="72">
        <v>193.04202610344792</v>
      </c>
      <c r="L1508" s="70">
        <v>0.040213995210626616</v>
      </c>
      <c r="M1508" s="71">
        <f>IF(L1508&lt;1,1,L1508)</f>
        <v>1</v>
      </c>
      <c r="N1508" s="70" t="s">
        <v>3288</v>
      </c>
      <c r="O1508" s="71">
        <f>IF(OR(I1508=$A$1,I1508=0),"",IF(N1508=MappingTables!$C$14,VLOOKUP(J1508,ModelParameters!$M$8:$N$15,2,FALSE),IF(N1508=MappingTables!$C$16,VLOOKUP(J1508,ModelParameters!$P$8:$Q$15,2,FALSE),0)))</f>
        <v>0.125</v>
      </c>
      <c r="P1508" s="73">
        <f>IF(OR(I1508=0,I1508=$A$1),0,MIN(O1508*M1508,1)*K1508)</f>
        <v>24.130253262930988</v>
      </c>
      <c r="Q1508" s="73">
        <f>IF(B1508="",0,IF(OR(H1508=MappingTables!$C$34,H1508=MappingTables!$C$35),P1508,0))</f>
        <v>0</v>
      </c>
      <c r="R1508" s="73">
        <f>IF(ISNA(IF(AND(VLOOKUP(CONCATENATE($D1508,$G1508),CSRFinput!$B:$E,4,0)=0,OR(H1508=MappingTables!$C$31,H1508=MappingTables!$C$32)),1,VLOOKUP(CONCATENATE($D1508,$G1508),CSRFinput!$B:$E,4,0))),0,IF(AND(VLOOKUP(CONCATENATE($D1508,$G1508),CSRFinput!$B:$E,4,0)=0,OR(H1508=MappingTables!$C$31,H1508=MappingTables!$C$32)),1,VLOOKUP(CONCATENATE($D1508,$G1508),CSRFinput!$B:$E,4,0)))</f>
        <v>0.054776304963434752</v>
      </c>
      <c r="S1508" s="73">
        <f>IF(B1508="",0,P1508*R1508)</f>
        <v>1.3217661115752244</v>
      </c>
      <c r="T1508" s="85">
        <f>IF(B1508="",0,IF(OR(H1508=MappingTables!$C$34,H1508=MappingTables!$C$35),S1508,0))</f>
        <v>0</v>
      </c>
    </row>
    <row r="1509" spans="2:20" s="0" customFormat="0" ht="15">
      <c r="B1509" s="69" t="s">
        <v>5000</v>
      </c>
      <c r="C1509" s="70" t="s">
        <v>5001</v>
      </c>
      <c r="D1509" s="70" t="s">
        <v>1</v>
      </c>
      <c r="E1509" s="70" t="s">
        <v>1</v>
      </c>
      <c r="F1509" s="70"/>
      <c r="G1509" s="70" t="s">
        <v>61</v>
      </c>
      <c r="H1509" s="70" t="s">
        <v>178</v>
      </c>
      <c r="I1509" s="70" t="s">
        <v>216</v>
      </c>
      <c r="J1509" s="71">
        <f>IF(OR(I1509=0,I1509=""),"unrated",VLOOKUP(I1509,MappingTables!$B$19:$C$31,2,FALSE))</f>
        <v>0</v>
      </c>
      <c r="K1509" s="72">
        <v>408.3838826944848</v>
      </c>
      <c r="L1509" s="70">
        <v>0.068493313829852368</v>
      </c>
      <c r="M1509" s="71">
        <f>IF(L1509&lt;1,1,L1509)</f>
        <v>1</v>
      </c>
      <c r="N1509" s="70" t="s">
        <v>3288</v>
      </c>
      <c r="O1509" s="71">
        <f>IF(OR(I1509=$A$1,I1509=0),"",IF(N1509=MappingTables!$C$14,VLOOKUP(J1509,ModelParameters!$M$8:$N$15,2,FALSE),IF(N1509=MappingTables!$C$16,VLOOKUP(J1509,ModelParameters!$P$8:$Q$15,2,FALSE),0)))</f>
        <v>0.125</v>
      </c>
      <c r="P1509" s="73">
        <f>IF(OR(I1509=0,I1509=$A$1),0,MIN(O1509*M1509,1)*K1509)</f>
        <v>51.047985336810608</v>
      </c>
      <c r="Q1509" s="73">
        <f>IF(B1509="",0,IF(OR(H1509=MappingTables!$C$34,H1509=MappingTables!$C$35),P1509,0))</f>
        <v>0</v>
      </c>
      <c r="R1509" s="73">
        <f>IF(ISNA(IF(AND(VLOOKUP(CONCATENATE($D1509,$G1509),CSRFinput!$B:$E,4,0)=0,OR(H1509=MappingTables!$C$31,H1509=MappingTables!$C$32)),1,VLOOKUP(CONCATENATE($D1509,$G1509),CSRFinput!$B:$E,4,0))),0,IF(AND(VLOOKUP(CONCATENATE($D1509,$G1509),CSRFinput!$B:$E,4,0)=0,OR(H1509=MappingTables!$C$31,H1509=MappingTables!$C$32)),1,VLOOKUP(CONCATENATE($D1509,$G1509),CSRFinput!$B:$E,4,0)))</f>
        <v>0.054776304963434752</v>
      </c>
      <c r="S1509" s="73">
        <f>IF(B1509="",0,P1509*R1509)</f>
        <v>2.7962200125780832</v>
      </c>
      <c r="T1509" s="85">
        <f>IF(B1509="",0,IF(OR(H1509=MappingTables!$C$34,H1509=MappingTables!$C$35),S1509,0))</f>
        <v>0</v>
      </c>
    </row>
    <row r="1510" spans="2:20" s="0" customFormat="0" ht="15">
      <c r="B1510" s="69" t="s">
        <v>4787</v>
      </c>
      <c r="C1510" s="70" t="s">
        <v>4788</v>
      </c>
      <c r="D1510" s="70" t="s">
        <v>1</v>
      </c>
      <c r="E1510" s="70" t="s">
        <v>1</v>
      </c>
      <c r="F1510" s="70"/>
      <c r="G1510" s="70" t="s">
        <v>61</v>
      </c>
      <c r="H1510" s="70" t="s">
        <v>178</v>
      </c>
      <c r="I1510" s="70" t="s">
        <v>3298</v>
      </c>
      <c r="J1510" s="71">
        <f>IF(OR(I1510=0,I1510=""),"unrated",VLOOKUP(I1510,MappingTables!$B$19:$C$31,2,FALSE))</f>
        <v>6</v>
      </c>
      <c r="K1510" s="72">
        <v>1332.0426318854368</v>
      </c>
      <c r="L1510" s="70">
        <v>0.068494958447530936</v>
      </c>
      <c r="M1510" s="71">
        <f>IF(L1510&lt;1,1,L1510)</f>
        <v>1</v>
      </c>
      <c r="N1510" s="70" t="s">
        <v>3288</v>
      </c>
      <c r="O1510" s="71">
        <f>IF(OR(I1510=$A$1,I1510=0),"",IF(N1510=MappingTables!$C$14,VLOOKUP(J1510,ModelParameters!$M$8:$N$15,2,FALSE),IF(N1510=MappingTables!$C$16,VLOOKUP(J1510,ModelParameters!$P$8:$Q$15,2,FALSE),0)))</f>
        <v>1</v>
      </c>
      <c r="P1510" s="73">
        <f>IF(OR(I1510=0,I1510=$A$1),0,MIN(O1510*M1510,1)*K1510)</f>
        <v>1332.0426318854368</v>
      </c>
      <c r="Q1510" s="73">
        <f>IF(B1510="",0,IF(OR(H1510=MappingTables!$C$34,H1510=MappingTables!$C$35),P1510,0))</f>
        <v>0</v>
      </c>
      <c r="R1510" s="73">
        <f>IF(ISNA(IF(AND(VLOOKUP(CONCATENATE($D1510,$G1510),CSRFinput!$B:$E,4,0)=0,OR(H1510=MappingTables!$C$31,H1510=MappingTables!$C$32)),1,VLOOKUP(CONCATENATE($D1510,$G1510),CSRFinput!$B:$E,4,0))),0,IF(AND(VLOOKUP(CONCATENATE($D1510,$G1510),CSRFinput!$B:$E,4,0)=0,OR(H1510=MappingTables!$C$31,H1510=MappingTables!$C$32)),1,VLOOKUP(CONCATENATE($D1510,$G1510),CSRFinput!$B:$E,4,0)))</f>
        <v>0.054776304963434752</v>
      </c>
      <c r="S1510" s="73">
        <f>IF(B1510="",0,P1510*R1510)</f>
        <v>72.964373428452944</v>
      </c>
      <c r="T1510" s="85">
        <f>IF(B1510="",0,IF(OR(H1510=MappingTables!$C$34,H1510=MappingTables!$C$35),S1510,0))</f>
        <v>0</v>
      </c>
    </row>
    <row r="1511" spans="2:20" s="0" customFormat="0" ht="15">
      <c r="B1511" s="69" t="s">
        <v>5002</v>
      </c>
      <c r="C1511" s="70" t="s">
        <v>5003</v>
      </c>
      <c r="D1511" s="70" t="s">
        <v>1</v>
      </c>
      <c r="E1511" s="70" t="s">
        <v>1</v>
      </c>
      <c r="F1511" s="70"/>
      <c r="G1511" s="70" t="s">
        <v>61</v>
      </c>
      <c r="H1511" s="70" t="s">
        <v>178</v>
      </c>
      <c r="I1511" s="70" t="s">
        <v>204</v>
      </c>
      <c r="J1511" s="71">
        <f>IF(OR(I1511=0,I1511=""),"unrated",VLOOKUP(I1511,MappingTables!$B$19:$C$31,2,FALSE))</f>
        <v>6</v>
      </c>
      <c r="K1511" s="72">
        <v>123.98257610902048</v>
      </c>
      <c r="L1511" s="70">
        <v>0.052051665908776184</v>
      </c>
      <c r="M1511" s="71">
        <f>IF(L1511&lt;1,1,L1511)</f>
        <v>1</v>
      </c>
      <c r="N1511" s="70" t="s">
        <v>3288</v>
      </c>
      <c r="O1511" s="71">
        <f>IF(OR(I1511=$A$1,I1511=0),"",IF(N1511=MappingTables!$C$14,VLOOKUP(J1511,ModelParameters!$M$8:$N$15,2,FALSE),IF(N1511=MappingTables!$C$16,VLOOKUP(J1511,ModelParameters!$P$8:$Q$15,2,FALSE),0)))</f>
        <v>1</v>
      </c>
      <c r="P1511" s="73">
        <f>IF(OR(I1511=0,I1511=$A$1),0,MIN(O1511*M1511,1)*K1511)</f>
        <v>123.98257610902048</v>
      </c>
      <c r="Q1511" s="73">
        <f>IF(B1511="",0,IF(OR(H1511=MappingTables!$C$34,H1511=MappingTables!$C$35),P1511,0))</f>
        <v>0</v>
      </c>
      <c r="R1511" s="73">
        <f>IF(ISNA(IF(AND(VLOOKUP(CONCATENATE($D1511,$G1511),CSRFinput!$B:$E,4,0)=0,OR(H1511=MappingTables!$C$31,H1511=MappingTables!$C$32)),1,VLOOKUP(CONCATENATE($D1511,$G1511),CSRFinput!$B:$E,4,0))),0,IF(AND(VLOOKUP(CONCATENATE($D1511,$G1511),CSRFinput!$B:$E,4,0)=0,OR(H1511=MappingTables!$C$31,H1511=MappingTables!$C$32)),1,VLOOKUP(CONCATENATE($D1511,$G1511),CSRFinput!$B:$E,4,0)))</f>
        <v>0.054776304963434752</v>
      </c>
      <c r="S1511" s="73">
        <f>IF(B1511="",0,P1511*R1511)</f>
        <v>6.7913073990999664</v>
      </c>
      <c r="T1511" s="85">
        <f>IF(B1511="",0,IF(OR(H1511=MappingTables!$C$34,H1511=MappingTables!$C$35),S1511,0))</f>
        <v>0</v>
      </c>
    </row>
    <row r="1512" spans="2:20" s="0" customFormat="0" ht="15">
      <c r="B1512" s="69">
        <v>22554514</v>
      </c>
      <c r="C1512" s="70" t="s">
        <v>5004</v>
      </c>
      <c r="D1512" s="70" t="s">
        <v>1</v>
      </c>
      <c r="E1512" s="70" t="s">
        <v>1</v>
      </c>
      <c r="F1512" s="70"/>
      <c r="G1512" s="70" t="s">
        <v>61</v>
      </c>
      <c r="H1512" s="70" t="s">
        <v>178</v>
      </c>
      <c r="I1512" s="70" t="s">
        <v>216</v>
      </c>
      <c r="J1512" s="71">
        <f>IF(OR(I1512=0,I1512=""),"unrated",VLOOKUP(I1512,MappingTables!$B$19:$C$31,2,FALSE))</f>
        <v>0</v>
      </c>
      <c r="K1512" s="72">
        <v>312.50747232889044</v>
      </c>
      <c r="L1512" s="70">
        <v>0.1107681227295654</v>
      </c>
      <c r="M1512" s="71">
        <f>IF(L1512&lt;1,1,L1512)</f>
        <v>1</v>
      </c>
      <c r="N1512" s="70" t="s">
        <v>3288</v>
      </c>
      <c r="O1512" s="71">
        <f>IF(OR(I1512=$A$1,I1512=0),"",IF(N1512=MappingTables!$C$14,VLOOKUP(J1512,ModelParameters!$M$8:$N$15,2,FALSE),IF(N1512=MappingTables!$C$16,VLOOKUP(J1512,ModelParameters!$P$8:$Q$15,2,FALSE),0)))</f>
        <v>0.125</v>
      </c>
      <c r="P1512" s="73">
        <f>IF(OR(I1512=0,I1512=$A$1),0,MIN(O1512*M1512,1)*K1512)</f>
        <v>39.063434041111304</v>
      </c>
      <c r="Q1512" s="73">
        <f>IF(B1512="",0,IF(OR(H1512=MappingTables!$C$34,H1512=MappingTables!$C$35),P1512,0))</f>
        <v>0</v>
      </c>
      <c r="R1512" s="73">
        <f>IF(ISNA(IF(AND(VLOOKUP(CONCATENATE($D1512,$G1512),CSRFinput!$B:$E,4,0)=0,OR(H1512=MappingTables!$C$31,H1512=MappingTables!$C$32)),1,VLOOKUP(CONCATENATE($D1512,$G1512),CSRFinput!$B:$E,4,0))),0,IF(AND(VLOOKUP(CONCATENATE($D1512,$G1512),CSRFinput!$B:$E,4,0)=0,OR(H1512=MappingTables!$C$31,H1512=MappingTables!$C$32)),1,VLOOKUP(CONCATENATE($D1512,$G1512),CSRFinput!$B:$E,4,0)))</f>
        <v>0.054776304963434752</v>
      </c>
      <c r="S1512" s="73">
        <f>IF(B1512="",0,P1512*R1512)</f>
        <v>2.1397505759549316</v>
      </c>
      <c r="T1512" s="85">
        <f>IF(B1512="",0,IF(OR(H1512=MappingTables!$C$34,H1512=MappingTables!$C$35),S1512,0))</f>
        <v>0</v>
      </c>
    </row>
    <row r="1513" spans="2:20" s="0" customFormat="0" ht="15">
      <c r="B1513" s="69" t="s">
        <v>3599</v>
      </c>
      <c r="C1513" s="70" t="s">
        <v>3600</v>
      </c>
      <c r="D1513" s="70" t="s">
        <v>1</v>
      </c>
      <c r="E1513" s="70" t="s">
        <v>1</v>
      </c>
      <c r="F1513" s="70"/>
      <c r="G1513" s="70" t="s">
        <v>61</v>
      </c>
      <c r="H1513" s="70" t="s">
        <v>178</v>
      </c>
      <c r="I1513" s="70" t="s">
        <v>204</v>
      </c>
      <c r="J1513" s="71">
        <f>IF(OR(I1513=0,I1513=""),"unrated",VLOOKUP(I1513,MappingTables!$B$19:$C$31,2,FALSE))</f>
        <v>6</v>
      </c>
      <c r="K1513" s="72">
        <v>785.3623927687368</v>
      </c>
      <c r="L1513" s="70">
        <v>0.068489662027957448</v>
      </c>
      <c r="M1513" s="71">
        <f>IF(L1513&lt;1,1,L1513)</f>
        <v>1</v>
      </c>
      <c r="N1513" s="70" t="s">
        <v>3288</v>
      </c>
      <c r="O1513" s="71">
        <f>IF(OR(I1513=$A$1,I1513=0),"",IF(N1513=MappingTables!$C$14,VLOOKUP(J1513,ModelParameters!$M$8:$N$15,2,FALSE),IF(N1513=MappingTables!$C$16,VLOOKUP(J1513,ModelParameters!$P$8:$Q$15,2,FALSE),0)))</f>
        <v>1</v>
      </c>
      <c r="P1513" s="73">
        <f>IF(OR(I1513=0,I1513=$A$1),0,MIN(O1513*M1513,1)*K1513)</f>
        <v>785.3623927687368</v>
      </c>
      <c r="Q1513" s="73">
        <f>IF(B1513="",0,IF(OR(H1513=MappingTables!$C$34,H1513=MappingTables!$C$35),P1513,0))</f>
        <v>0</v>
      </c>
      <c r="R1513" s="73">
        <f>IF(ISNA(IF(AND(VLOOKUP(CONCATENATE($D1513,$G1513),CSRFinput!$B:$E,4,0)=0,OR(H1513=MappingTables!$C$31,H1513=MappingTables!$C$32)),1,VLOOKUP(CONCATENATE($D1513,$G1513),CSRFinput!$B:$E,4,0))),0,IF(AND(VLOOKUP(CONCATENATE($D1513,$G1513),CSRFinput!$B:$E,4,0)=0,OR(H1513=MappingTables!$C$31,H1513=MappingTables!$C$32)),1,VLOOKUP(CONCATENATE($D1513,$G1513),CSRFinput!$B:$E,4,0)))</f>
        <v>0.054776304963434752</v>
      </c>
      <c r="S1513" s="73">
        <f>IF(B1513="",0,P1513*R1513)</f>
        <v>43.01924993311316</v>
      </c>
      <c r="T1513" s="85">
        <f>IF(B1513="",0,IF(OR(H1513=MappingTables!$C$34,H1513=MappingTables!$C$35),S1513,0))</f>
        <v>0</v>
      </c>
    </row>
    <row r="1514" spans="2:20" s="0" customFormat="0" ht="15">
      <c r="B1514" s="69" t="s">
        <v>4969</v>
      </c>
      <c r="C1514" s="70" t="s">
        <v>4970</v>
      </c>
      <c r="D1514" s="70" t="s">
        <v>1</v>
      </c>
      <c r="E1514" s="70" t="s">
        <v>1</v>
      </c>
      <c r="F1514" s="70"/>
      <c r="G1514" s="70" t="s">
        <v>61</v>
      </c>
      <c r="H1514" s="70" t="s">
        <v>178</v>
      </c>
      <c r="I1514" s="70" t="s">
        <v>198</v>
      </c>
      <c r="J1514" s="71" t="str">
        <f>IF(OR(I1514=0,I1514=""),"unrated",VLOOKUP(I1514,MappingTables!$B$19:$C$31,2,FALSE))</f>
        <v>unrated</v>
      </c>
      <c r="K1514" s="72">
        <v>98.117628830714512</v>
      </c>
      <c r="L1514" s="70">
        <v>0.068492814078153632</v>
      </c>
      <c r="M1514" s="71">
        <f>IF(L1514&lt;1,1,L1514)</f>
        <v>1</v>
      </c>
      <c r="N1514" s="70" t="s">
        <v>3288</v>
      </c>
      <c r="O1514" s="71">
        <f>IF(OR(I1514=$A$1,I1514=0),"",IF(N1514=MappingTables!$C$14,VLOOKUP(J1514,ModelParameters!$M$8:$N$15,2,FALSE),IF(N1514=MappingTables!$C$16,VLOOKUP(J1514,ModelParameters!$P$8:$Q$15,2,FALSE),0)))</f>
        <v>1</v>
      </c>
      <c r="P1514" s="73">
        <f>IF(OR(I1514=0,I1514=$A$1),0,MIN(O1514*M1514,1)*K1514)</f>
        <v>98.117628830714512</v>
      </c>
      <c r="Q1514" s="73">
        <f>IF(B1514="",0,IF(OR(H1514=MappingTables!$C$34,H1514=MappingTables!$C$35),P1514,0))</f>
        <v>0</v>
      </c>
      <c r="R1514" s="73">
        <f>IF(ISNA(IF(AND(VLOOKUP(CONCATENATE($D1514,$G1514),CSRFinput!$B:$E,4,0)=0,OR(H1514=MappingTables!$C$31,H1514=MappingTables!$C$32)),1,VLOOKUP(CONCATENATE($D1514,$G1514),CSRFinput!$B:$E,4,0))),0,IF(AND(VLOOKUP(CONCATENATE($D1514,$G1514),CSRFinput!$B:$E,4,0)=0,OR(H1514=MappingTables!$C$31,H1514=MappingTables!$C$32)),1,VLOOKUP(CONCATENATE($D1514,$G1514),CSRFinput!$B:$E,4,0)))</f>
        <v>0.054776304963434752</v>
      </c>
      <c r="S1514" s="73">
        <f>IF(B1514="",0,P1514*R1514)</f>
        <v>5.374521159120316</v>
      </c>
      <c r="T1514" s="85">
        <f>IF(B1514="",0,IF(OR(H1514=MappingTables!$C$34,H1514=MappingTables!$C$35),S1514,0))</f>
        <v>0</v>
      </c>
    </row>
    <row r="1515" spans="2:20" s="0" customFormat="0" ht="15">
      <c r="B1515" s="69" t="s">
        <v>4260</v>
      </c>
      <c r="C1515" s="70" t="s">
        <v>4261</v>
      </c>
      <c r="D1515" s="70" t="s">
        <v>1</v>
      </c>
      <c r="E1515" s="70" t="s">
        <v>1</v>
      </c>
      <c r="F1515" s="70"/>
      <c r="G1515" s="70" t="s">
        <v>61</v>
      </c>
      <c r="H1515" s="70" t="s">
        <v>178</v>
      </c>
      <c r="I1515" s="70" t="s">
        <v>216</v>
      </c>
      <c r="J1515" s="71">
        <f>IF(OR(I1515=0,I1515=""),"unrated",VLOOKUP(I1515,MappingTables!$B$19:$C$31,2,FALSE))</f>
        <v>0</v>
      </c>
      <c r="K1515" s="72">
        <v>23.720485000833268</v>
      </c>
      <c r="L1515" s="70">
        <v>0.24335036985438444</v>
      </c>
      <c r="M1515" s="71">
        <f>IF(L1515&lt;1,1,L1515)</f>
        <v>1</v>
      </c>
      <c r="N1515" s="70" t="s">
        <v>3288</v>
      </c>
      <c r="O1515" s="71">
        <f>IF(OR(I1515=$A$1,I1515=0),"",IF(N1515=MappingTables!$C$14,VLOOKUP(J1515,ModelParameters!$M$8:$N$15,2,FALSE),IF(N1515=MappingTables!$C$16,VLOOKUP(J1515,ModelParameters!$P$8:$Q$15,2,FALSE),0)))</f>
        <v>0.125</v>
      </c>
      <c r="P1515" s="73">
        <f>IF(OR(I1515=0,I1515=$A$1),0,MIN(O1515*M1515,1)*K1515)</f>
        <v>2.9650606251041584</v>
      </c>
      <c r="Q1515" s="73">
        <f>IF(B1515="",0,IF(OR(H1515=MappingTables!$C$34,H1515=MappingTables!$C$35),P1515,0))</f>
        <v>0</v>
      </c>
      <c r="R1515" s="73">
        <f>IF(ISNA(IF(AND(VLOOKUP(CONCATENATE($D1515,$G1515),CSRFinput!$B:$E,4,0)=0,OR(H1515=MappingTables!$C$31,H1515=MappingTables!$C$32)),1,VLOOKUP(CONCATENATE($D1515,$G1515),CSRFinput!$B:$E,4,0))),0,IF(AND(VLOOKUP(CONCATENATE($D1515,$G1515),CSRFinput!$B:$E,4,0)=0,OR(H1515=MappingTables!$C$31,H1515=MappingTables!$C$32)),1,VLOOKUP(CONCATENATE($D1515,$G1515),CSRFinput!$B:$E,4,0)))</f>
        <v>0.054776304963434752</v>
      </c>
      <c r="S1515" s="73">
        <f>IF(B1515="",0,P1515*R1515)</f>
        <v>0.16241506503577788</v>
      </c>
      <c r="T1515" s="85">
        <f>IF(B1515="",0,IF(OR(H1515=MappingTables!$C$34,H1515=MappingTables!$C$35),S1515,0))</f>
        <v>0</v>
      </c>
    </row>
    <row r="1516" spans="2:20" s="0" customFormat="0" ht="15">
      <c r="B1516" s="69" t="s">
        <v>4833</v>
      </c>
      <c r="C1516" s="70" t="s">
        <v>4834</v>
      </c>
      <c r="D1516" s="70" t="s">
        <v>1</v>
      </c>
      <c r="E1516" s="70" t="s">
        <v>1</v>
      </c>
      <c r="F1516" s="70"/>
      <c r="G1516" s="70" t="s">
        <v>61</v>
      </c>
      <c r="H1516" s="70" t="s">
        <v>178</v>
      </c>
      <c r="I1516" s="70" t="s">
        <v>204</v>
      </c>
      <c r="J1516" s="71">
        <f>IF(OR(I1516=0,I1516=""),"unrated",VLOOKUP(I1516,MappingTables!$B$19:$C$31,2,FALSE))</f>
        <v>6</v>
      </c>
      <c r="K1516" s="72">
        <v>359.48707085750204</v>
      </c>
      <c r="L1516" s="70">
        <v>0.068492255591159848</v>
      </c>
      <c r="M1516" s="71">
        <f>IF(L1516&lt;1,1,L1516)</f>
        <v>1</v>
      </c>
      <c r="N1516" s="70" t="s">
        <v>3288</v>
      </c>
      <c r="O1516" s="71">
        <f>IF(OR(I1516=$A$1,I1516=0),"",IF(N1516=MappingTables!$C$14,VLOOKUP(J1516,ModelParameters!$M$8:$N$15,2,FALSE),IF(N1516=MappingTables!$C$16,VLOOKUP(J1516,ModelParameters!$P$8:$Q$15,2,FALSE),0)))</f>
        <v>1</v>
      </c>
      <c r="P1516" s="73">
        <f>IF(OR(I1516=0,I1516=$A$1),0,MIN(O1516*M1516,1)*K1516)</f>
        <v>359.48707085750204</v>
      </c>
      <c r="Q1516" s="73">
        <f>IF(B1516="",0,IF(OR(H1516=MappingTables!$C$34,H1516=MappingTables!$C$35),P1516,0))</f>
        <v>0</v>
      </c>
      <c r="R1516" s="73">
        <f>IF(ISNA(IF(AND(VLOOKUP(CONCATENATE($D1516,$G1516),CSRFinput!$B:$E,4,0)=0,OR(H1516=MappingTables!$C$31,H1516=MappingTables!$C$32)),1,VLOOKUP(CONCATENATE($D1516,$G1516),CSRFinput!$B:$E,4,0))),0,IF(AND(VLOOKUP(CONCATENATE($D1516,$G1516),CSRFinput!$B:$E,4,0)=0,OR(H1516=MappingTables!$C$31,H1516=MappingTables!$C$32)),1,VLOOKUP(CONCATENATE($D1516,$G1516),CSRFinput!$B:$E,4,0)))</f>
        <v>0.054776304963434752</v>
      </c>
      <c r="S1516" s="73">
        <f>IF(B1516="",0,P1516*R1516)</f>
        <v>19.691373423702408</v>
      </c>
      <c r="T1516" s="85">
        <f>IF(B1516="",0,IF(OR(H1516=MappingTables!$C$34,H1516=MappingTables!$C$35),S1516,0))</f>
        <v>0</v>
      </c>
    </row>
    <row r="1517" spans="2:20" s="0" customFormat="0" ht="15">
      <c r="B1517" s="69" t="s">
        <v>3372</v>
      </c>
      <c r="C1517" s="70" t="s">
        <v>3373</v>
      </c>
      <c r="D1517" s="70" t="s">
        <v>1</v>
      </c>
      <c r="E1517" s="70" t="s">
        <v>1</v>
      </c>
      <c r="F1517" s="70"/>
      <c r="G1517" s="70" t="s">
        <v>61</v>
      </c>
      <c r="H1517" s="70" t="s">
        <v>178</v>
      </c>
      <c r="I1517" s="70" t="s">
        <v>198</v>
      </c>
      <c r="J1517" s="71" t="str">
        <f>IF(OR(I1517=0,I1517=""),"unrated",VLOOKUP(I1517,MappingTables!$B$19:$C$31,2,FALSE))</f>
        <v>unrated</v>
      </c>
      <c r="K1517" s="72">
        <v>117.84949705772666</v>
      </c>
      <c r="L1517" s="70">
        <v>0.068492514622242016</v>
      </c>
      <c r="M1517" s="71">
        <f>IF(L1517&lt;1,1,L1517)</f>
        <v>1</v>
      </c>
      <c r="N1517" s="70" t="s">
        <v>3288</v>
      </c>
      <c r="O1517" s="71">
        <f>IF(OR(I1517=$A$1,I1517=0),"",IF(N1517=MappingTables!$C$14,VLOOKUP(J1517,ModelParameters!$M$8:$N$15,2,FALSE),IF(N1517=MappingTables!$C$16,VLOOKUP(J1517,ModelParameters!$P$8:$Q$15,2,FALSE),0)))</f>
        <v>1</v>
      </c>
      <c r="P1517" s="73">
        <f>IF(OR(I1517=0,I1517=$A$1),0,MIN(O1517*M1517,1)*K1517)</f>
        <v>117.84949705772666</v>
      </c>
      <c r="Q1517" s="73">
        <f>IF(B1517="",0,IF(OR(H1517=MappingTables!$C$34,H1517=MappingTables!$C$35),P1517,0))</f>
        <v>0</v>
      </c>
      <c r="R1517" s="73">
        <f>IF(ISNA(IF(AND(VLOOKUP(CONCATENATE($D1517,$G1517),CSRFinput!$B:$E,4,0)=0,OR(H1517=MappingTables!$C$31,H1517=MappingTables!$C$32)),1,VLOOKUP(CONCATENATE($D1517,$G1517),CSRFinput!$B:$E,4,0))),0,IF(AND(VLOOKUP(CONCATENATE($D1517,$G1517),CSRFinput!$B:$E,4,0)=0,OR(H1517=MappingTables!$C$31,H1517=MappingTables!$C$32)),1,VLOOKUP(CONCATENATE($D1517,$G1517),CSRFinput!$B:$E,4,0)))</f>
        <v>0.054776304963434752</v>
      </c>
      <c r="S1517" s="73">
        <f>IF(B1517="",0,P1517*R1517)</f>
        <v>6.4553599906214416</v>
      </c>
      <c r="T1517" s="85">
        <f>IF(B1517="",0,IF(OR(H1517=MappingTables!$C$34,H1517=MappingTables!$C$35),S1517,0))</f>
        <v>0</v>
      </c>
    </row>
    <row r="1518" spans="2:20" s="0" customFormat="0" ht="15">
      <c r="B1518" s="69">
        <v>22554110</v>
      </c>
      <c r="C1518" s="70" t="s">
        <v>3999</v>
      </c>
      <c r="D1518" s="70" t="s">
        <v>1</v>
      </c>
      <c r="E1518" s="70" t="s">
        <v>1</v>
      </c>
      <c r="F1518" s="70"/>
      <c r="G1518" s="70" t="s">
        <v>61</v>
      </c>
      <c r="H1518" s="70" t="s">
        <v>178</v>
      </c>
      <c r="I1518" s="70" t="s">
        <v>216</v>
      </c>
      <c r="J1518" s="71">
        <f>IF(OR(I1518=0,I1518=""),"unrated",VLOOKUP(I1518,MappingTables!$B$19:$C$31,2,FALSE))</f>
        <v>0</v>
      </c>
      <c r="K1518" s="72">
        <v>11.068369980261726</v>
      </c>
      <c r="L1518" s="70">
        <v>0.013772485634253032</v>
      </c>
      <c r="M1518" s="71">
        <f>IF(L1518&lt;1,1,L1518)</f>
        <v>1</v>
      </c>
      <c r="N1518" s="70" t="s">
        <v>3288</v>
      </c>
      <c r="O1518" s="71">
        <f>IF(OR(I1518=$A$1,I1518=0),"",IF(N1518=MappingTables!$C$14,VLOOKUP(J1518,ModelParameters!$M$8:$N$15,2,FALSE),IF(N1518=MappingTables!$C$16,VLOOKUP(J1518,ModelParameters!$P$8:$Q$15,2,FALSE),0)))</f>
        <v>0.125</v>
      </c>
      <c r="P1518" s="73">
        <f>IF(OR(I1518=0,I1518=$A$1),0,MIN(O1518*M1518,1)*K1518)</f>
        <v>1.3835462475327158</v>
      </c>
      <c r="Q1518" s="73">
        <f>IF(B1518="",0,IF(OR(H1518=MappingTables!$C$34,H1518=MappingTables!$C$35),P1518,0))</f>
        <v>0</v>
      </c>
      <c r="R1518" s="73">
        <f>IF(ISNA(IF(AND(VLOOKUP(CONCATENATE($D1518,$G1518),CSRFinput!$B:$E,4,0)=0,OR(H1518=MappingTables!$C$31,H1518=MappingTables!$C$32)),1,VLOOKUP(CONCATENATE($D1518,$G1518),CSRFinput!$B:$E,4,0))),0,IF(AND(VLOOKUP(CONCATENATE($D1518,$G1518),CSRFinput!$B:$E,4,0)=0,OR(H1518=MappingTables!$C$31,H1518=MappingTables!$C$32)),1,VLOOKUP(CONCATENATE($D1518,$G1518),CSRFinput!$B:$E,4,0)))</f>
        <v>0.054776304963434752</v>
      </c>
      <c r="S1518" s="73">
        <f>IF(B1518="",0,P1518*R1518)</f>
        <v>0.075785551185867824</v>
      </c>
      <c r="T1518" s="85">
        <f>IF(B1518="",0,IF(OR(H1518=MappingTables!$C$34,H1518=MappingTables!$C$35),S1518,0))</f>
        <v>0</v>
      </c>
    </row>
    <row r="1519" spans="2:20" s="0" customFormat="0" ht="15">
      <c r="B1519" s="69" t="s">
        <v>3886</v>
      </c>
      <c r="C1519" s="70" t="s">
        <v>3887</v>
      </c>
      <c r="D1519" s="70" t="s">
        <v>1</v>
      </c>
      <c r="E1519" s="70" t="s">
        <v>1</v>
      </c>
      <c r="F1519" s="70"/>
      <c r="G1519" s="70" t="s">
        <v>61</v>
      </c>
      <c r="H1519" s="70" t="s">
        <v>178</v>
      </c>
      <c r="I1519" s="70" t="s">
        <v>198</v>
      </c>
      <c r="J1519" s="71" t="str">
        <f>IF(OR(I1519=0,I1519=""),"unrated",VLOOKUP(I1519,MappingTables!$B$19:$C$31,2,FALSE))</f>
        <v>unrated</v>
      </c>
      <c r="K1519" s="72">
        <v>69.69240954254356</v>
      </c>
      <c r="L1519" s="70">
        <v>0.068492394414721632</v>
      </c>
      <c r="M1519" s="71">
        <f>IF(L1519&lt;1,1,L1519)</f>
        <v>1</v>
      </c>
      <c r="N1519" s="70" t="s">
        <v>3288</v>
      </c>
      <c r="O1519" s="71">
        <f>IF(OR(I1519=$A$1,I1519=0),"",IF(N1519=MappingTables!$C$14,VLOOKUP(J1519,ModelParameters!$M$8:$N$15,2,FALSE),IF(N1519=MappingTables!$C$16,VLOOKUP(J1519,ModelParameters!$P$8:$Q$15,2,FALSE),0)))</f>
        <v>1</v>
      </c>
      <c r="P1519" s="73">
        <f>IF(OR(I1519=0,I1519=$A$1),0,MIN(O1519*M1519,1)*K1519)</f>
        <v>69.69240954254356</v>
      </c>
      <c r="Q1519" s="73">
        <f>IF(B1519="",0,IF(OR(H1519=MappingTables!$C$34,H1519=MappingTables!$C$35),P1519,0))</f>
        <v>0</v>
      </c>
      <c r="R1519" s="73">
        <f>IF(ISNA(IF(AND(VLOOKUP(CONCATENATE($D1519,$G1519),CSRFinput!$B:$E,4,0)=0,OR(H1519=MappingTables!$C$31,H1519=MappingTables!$C$32)),1,VLOOKUP(CONCATENATE($D1519,$G1519),CSRFinput!$B:$E,4,0))),0,IF(AND(VLOOKUP(CONCATENATE($D1519,$G1519),CSRFinput!$B:$E,4,0)=0,OR(H1519=MappingTables!$C$31,H1519=MappingTables!$C$32)),1,VLOOKUP(CONCATENATE($D1519,$G1519),CSRFinput!$B:$E,4,0)))</f>
        <v>0.054776304963434752</v>
      </c>
      <c r="S1519" s="73">
        <f>IF(B1519="",0,P1519*R1519)</f>
        <v>3.817492678738956</v>
      </c>
      <c r="T1519" s="85">
        <f>IF(B1519="",0,IF(OR(H1519=MappingTables!$C$34,H1519=MappingTables!$C$35),S1519,0))</f>
        <v>0</v>
      </c>
    </row>
    <row r="1520" spans="2:20" s="0" customFormat="0" ht="15">
      <c r="B1520" s="69">
        <v>16974680</v>
      </c>
      <c r="C1520" s="70" t="s">
        <v>3725</v>
      </c>
      <c r="D1520" s="70" t="s">
        <v>1</v>
      </c>
      <c r="E1520" s="70" t="s">
        <v>1</v>
      </c>
      <c r="F1520" s="70"/>
      <c r="G1520" s="70" t="s">
        <v>61</v>
      </c>
      <c r="H1520" s="70" t="s">
        <v>178</v>
      </c>
      <c r="I1520" s="70" t="s">
        <v>198</v>
      </c>
      <c r="J1520" s="71" t="str">
        <f>IF(OR(I1520=0,I1520=""),"unrated",VLOOKUP(I1520,MappingTables!$B$19:$C$31,2,FALSE))</f>
        <v>unrated</v>
      </c>
      <c r="K1520" s="72">
        <v>53.752013834742448</v>
      </c>
      <c r="L1520" s="70">
        <v>0.084498529067028</v>
      </c>
      <c r="M1520" s="71">
        <f>IF(L1520&lt;1,1,L1520)</f>
        <v>1</v>
      </c>
      <c r="N1520" s="70" t="s">
        <v>3288</v>
      </c>
      <c r="O1520" s="71">
        <f>IF(OR(I1520=$A$1,I1520=0),"",IF(N1520=MappingTables!$C$14,VLOOKUP(J1520,ModelParameters!$M$8:$N$15,2,FALSE),IF(N1520=MappingTables!$C$16,VLOOKUP(J1520,ModelParameters!$P$8:$Q$15,2,FALSE),0)))</f>
        <v>1</v>
      </c>
      <c r="P1520" s="73">
        <f>IF(OR(I1520=0,I1520=$A$1),0,MIN(O1520*M1520,1)*K1520)</f>
        <v>53.752013834742448</v>
      </c>
      <c r="Q1520" s="73">
        <f>IF(B1520="",0,IF(OR(H1520=MappingTables!$C$34,H1520=MappingTables!$C$35),P1520,0))</f>
        <v>0</v>
      </c>
      <c r="R1520" s="73">
        <f>IF(ISNA(IF(AND(VLOOKUP(CONCATENATE($D1520,$G1520),CSRFinput!$B:$E,4,0)=0,OR(H1520=MappingTables!$C$31,H1520=MappingTables!$C$32)),1,VLOOKUP(CONCATENATE($D1520,$G1520),CSRFinput!$B:$E,4,0))),0,IF(AND(VLOOKUP(CONCATENATE($D1520,$G1520),CSRFinput!$B:$E,4,0)=0,OR(H1520=MappingTables!$C$31,H1520=MappingTables!$C$32)),1,VLOOKUP(CONCATENATE($D1520,$G1520),CSRFinput!$B:$E,4,0)))</f>
        <v>0.054776304963434752</v>
      </c>
      <c r="S1520" s="73">
        <f>IF(B1520="",0,P1520*R1520)</f>
        <v>2.944336702210616</v>
      </c>
      <c r="T1520" s="85">
        <f>IF(B1520="",0,IF(OR(H1520=MappingTables!$C$34,H1520=MappingTables!$C$35),S1520,0))</f>
        <v>0</v>
      </c>
    </row>
    <row r="1521" spans="2:20" s="0" customFormat="0" ht="15">
      <c r="B1521" s="69" t="s">
        <v>5005</v>
      </c>
      <c r="C1521" s="70" t="s">
        <v>5006</v>
      </c>
      <c r="D1521" s="70" t="s">
        <v>1</v>
      </c>
      <c r="E1521" s="70" t="s">
        <v>1</v>
      </c>
      <c r="F1521" s="70"/>
      <c r="G1521" s="70" t="s">
        <v>61</v>
      </c>
      <c r="H1521" s="70" t="s">
        <v>178</v>
      </c>
      <c r="I1521" s="70" t="s">
        <v>198</v>
      </c>
      <c r="J1521" s="71" t="str">
        <f>IF(OR(I1521=0,I1521=""),"unrated",VLOOKUP(I1521,MappingTables!$B$19:$C$31,2,FALSE))</f>
        <v>unrated</v>
      </c>
      <c r="K1521" s="72">
        <v>3885.1855337559936</v>
      </c>
      <c r="L1521" s="70">
        <v>9.6983273800693072</v>
      </c>
      <c r="M1521" s="71">
        <f>IF(L1521&lt;1,1,L1521)</f>
        <v>9.6983273800693072</v>
      </c>
      <c r="N1521" s="70" t="s">
        <v>3288</v>
      </c>
      <c r="O1521" s="71">
        <f>IF(OR(I1521=$A$1,I1521=0),"",IF(N1521=MappingTables!$C$14,VLOOKUP(J1521,ModelParameters!$M$8:$N$15,2,FALSE),IF(N1521=MappingTables!$C$16,VLOOKUP(J1521,ModelParameters!$P$8:$Q$15,2,FALSE),0)))</f>
        <v>1</v>
      </c>
      <c r="P1521" s="73">
        <f>IF(OR(I1521=0,I1521=$A$1),0,MIN(O1521*M1521,1)*K1521)</f>
        <v>3885.1855337559936</v>
      </c>
      <c r="Q1521" s="73">
        <f>IF(B1521="",0,IF(OR(H1521=MappingTables!$C$34,H1521=MappingTables!$C$35),P1521,0))</f>
        <v>0</v>
      </c>
      <c r="R1521" s="73">
        <f>IF(ISNA(IF(AND(VLOOKUP(CONCATENATE($D1521,$G1521),CSRFinput!$B:$E,4,0)=0,OR(H1521=MappingTables!$C$31,H1521=MappingTables!$C$32)),1,VLOOKUP(CONCATENATE($D1521,$G1521),CSRFinput!$B:$E,4,0))),0,IF(AND(VLOOKUP(CONCATENATE($D1521,$G1521),CSRFinput!$B:$E,4,0)=0,OR(H1521=MappingTables!$C$31,H1521=MappingTables!$C$32)),1,VLOOKUP(CONCATENATE($D1521,$G1521),CSRFinput!$B:$E,4,0)))</f>
        <v>0.054776304963434752</v>
      </c>
      <c r="S1521" s="73">
        <f>IF(B1521="",0,P1521*R1521)</f>
        <v>212.81610763654332</v>
      </c>
      <c r="T1521" s="85">
        <f>IF(B1521="",0,IF(OR(H1521=MappingTables!$C$34,H1521=MappingTables!$C$35),S1521,0))</f>
        <v>0</v>
      </c>
    </row>
    <row r="1522" spans="2:20" s="0" customFormat="0" ht="15">
      <c r="B1522" s="69" t="s">
        <v>3817</v>
      </c>
      <c r="C1522" s="70" t="s">
        <v>3818</v>
      </c>
      <c r="D1522" s="70" t="s">
        <v>1</v>
      </c>
      <c r="E1522" s="70" t="s">
        <v>1</v>
      </c>
      <c r="F1522" s="70"/>
      <c r="G1522" s="70" t="s">
        <v>61</v>
      </c>
      <c r="H1522" s="70" t="s">
        <v>178</v>
      </c>
      <c r="I1522" s="70" t="s">
        <v>204</v>
      </c>
      <c r="J1522" s="71">
        <f>IF(OR(I1522=0,I1522=""),"unrated",VLOOKUP(I1522,MappingTables!$B$19:$C$31,2,FALSE))</f>
        <v>6</v>
      </c>
      <c r="K1522" s="72">
        <v>182.49166858979012</v>
      </c>
      <c r="L1522" s="70">
        <v>0.056676180114345816</v>
      </c>
      <c r="M1522" s="71">
        <f>IF(L1522&lt;1,1,L1522)</f>
        <v>1</v>
      </c>
      <c r="N1522" s="70" t="s">
        <v>3288</v>
      </c>
      <c r="O1522" s="71">
        <f>IF(OR(I1522=$A$1,I1522=0),"",IF(N1522=MappingTables!$C$14,VLOOKUP(J1522,ModelParameters!$M$8:$N$15,2,FALSE),IF(N1522=MappingTables!$C$16,VLOOKUP(J1522,ModelParameters!$P$8:$Q$15,2,FALSE),0)))</f>
        <v>1</v>
      </c>
      <c r="P1522" s="73">
        <f>IF(OR(I1522=0,I1522=$A$1),0,MIN(O1522*M1522,1)*K1522)</f>
        <v>182.49166858979012</v>
      </c>
      <c r="Q1522" s="73">
        <f>IF(B1522="",0,IF(OR(H1522=MappingTables!$C$34,H1522=MappingTables!$C$35),P1522,0))</f>
        <v>0</v>
      </c>
      <c r="R1522" s="73">
        <f>IF(ISNA(IF(AND(VLOOKUP(CONCATENATE($D1522,$G1522),CSRFinput!$B:$E,4,0)=0,OR(H1522=MappingTables!$C$31,H1522=MappingTables!$C$32)),1,VLOOKUP(CONCATENATE($D1522,$G1522),CSRFinput!$B:$E,4,0))),0,IF(AND(VLOOKUP(CONCATENATE($D1522,$G1522),CSRFinput!$B:$E,4,0)=0,OR(H1522=MappingTables!$C$31,H1522=MappingTables!$C$32)),1,VLOOKUP(CONCATENATE($D1522,$G1522),CSRFinput!$B:$E,4,0)))</f>
        <v>0.054776304963434752</v>
      </c>
      <c r="S1522" s="73">
        <f>IF(B1522="",0,P1522*R1522)</f>
        <v>9.9962192919604112</v>
      </c>
      <c r="T1522" s="85">
        <f>IF(B1522="",0,IF(OR(H1522=MappingTables!$C$34,H1522=MappingTables!$C$35),S1522,0))</f>
        <v>0</v>
      </c>
    </row>
    <row r="1523" spans="2:20" s="0" customFormat="0" ht="15">
      <c r="B1523" s="69" t="s">
        <v>3390</v>
      </c>
      <c r="C1523" s="70" t="s">
        <v>3391</v>
      </c>
      <c r="D1523" s="70" t="s">
        <v>1</v>
      </c>
      <c r="E1523" s="70" t="s">
        <v>1</v>
      </c>
      <c r="F1523" s="70"/>
      <c r="G1523" s="70" t="s">
        <v>61</v>
      </c>
      <c r="H1523" s="70" t="s">
        <v>178</v>
      </c>
      <c r="I1523" s="70" t="s">
        <v>216</v>
      </c>
      <c r="J1523" s="71">
        <f>IF(OR(I1523=0,I1523=""),"unrated",VLOOKUP(I1523,MappingTables!$B$19:$C$31,2,FALSE))</f>
        <v>0</v>
      </c>
      <c r="K1523" s="72">
        <v>45.337273831015336</v>
      </c>
      <c r="L1523" s="70">
        <v>0.041099607980433496</v>
      </c>
      <c r="M1523" s="71">
        <f>IF(L1523&lt;1,1,L1523)</f>
        <v>1</v>
      </c>
      <c r="N1523" s="70" t="s">
        <v>3288</v>
      </c>
      <c r="O1523" s="71">
        <f>IF(OR(I1523=$A$1,I1523=0),"",IF(N1523=MappingTables!$C$14,VLOOKUP(J1523,ModelParameters!$M$8:$N$15,2,FALSE),IF(N1523=MappingTables!$C$16,VLOOKUP(J1523,ModelParameters!$P$8:$Q$15,2,FALSE),0)))</f>
        <v>0.125</v>
      </c>
      <c r="P1523" s="73">
        <f>IF(OR(I1523=0,I1523=$A$1),0,MIN(O1523*M1523,1)*K1523)</f>
        <v>5.6671592288769176</v>
      </c>
      <c r="Q1523" s="73">
        <f>IF(B1523="",0,IF(OR(H1523=MappingTables!$C$34,H1523=MappingTables!$C$35),P1523,0))</f>
        <v>0</v>
      </c>
      <c r="R1523" s="73">
        <f>IF(ISNA(IF(AND(VLOOKUP(CONCATENATE($D1523,$G1523),CSRFinput!$B:$E,4,0)=0,OR(H1523=MappingTables!$C$31,H1523=MappingTables!$C$32)),1,VLOOKUP(CONCATENATE($D1523,$G1523),CSRFinput!$B:$E,4,0))),0,IF(AND(VLOOKUP(CONCATENATE($D1523,$G1523),CSRFinput!$B:$E,4,0)=0,OR(H1523=MappingTables!$C$31,H1523=MappingTables!$C$32)),1,VLOOKUP(CONCATENATE($D1523,$G1523),CSRFinput!$B:$E,4,0)))</f>
        <v>0.054776304963434752</v>
      </c>
      <c r="S1523" s="73">
        <f>IF(B1523="",0,P1523*R1523)</f>
        <v>0.31042604219730576</v>
      </c>
      <c r="T1523" s="85">
        <f>IF(B1523="",0,IF(OR(H1523=MappingTables!$C$34,H1523=MappingTables!$C$35),S1523,0))</f>
        <v>0</v>
      </c>
    </row>
    <row r="1524" spans="2:20" s="0" customFormat="0" ht="15">
      <c r="B1524" s="69" t="s">
        <v>4215</v>
      </c>
      <c r="C1524" s="70" t="s">
        <v>4216</v>
      </c>
      <c r="D1524" s="70" t="s">
        <v>1</v>
      </c>
      <c r="E1524" s="70" t="s">
        <v>1</v>
      </c>
      <c r="F1524" s="70"/>
      <c r="G1524" s="70" t="s">
        <v>61</v>
      </c>
      <c r="H1524" s="70" t="s">
        <v>178</v>
      </c>
      <c r="I1524" s="70" t="s">
        <v>188</v>
      </c>
      <c r="J1524" s="71">
        <f>IF(OR(I1524=0,I1524=""),"unrated",VLOOKUP(I1524,MappingTables!$B$19:$C$31,2,FALSE))</f>
        <v>2</v>
      </c>
      <c r="K1524" s="72">
        <v>24.199200402234392</v>
      </c>
      <c r="L1524" s="70">
        <v>0.068495752885154944</v>
      </c>
      <c r="M1524" s="71">
        <f>IF(L1524&lt;1,1,L1524)</f>
        <v>1</v>
      </c>
      <c r="N1524" s="70" t="s">
        <v>3288</v>
      </c>
      <c r="O1524" s="71">
        <f>IF(OR(I1524=$A$1,I1524=0),"",IF(N1524=MappingTables!$C$14,VLOOKUP(J1524,ModelParameters!$M$8:$N$15,2,FALSE),IF(N1524=MappingTables!$C$16,VLOOKUP(J1524,ModelParameters!$P$8:$Q$15,2,FALSE),0)))</f>
        <v>0.166</v>
      </c>
      <c r="P1524" s="73">
        <f>IF(OR(I1524=0,I1524=$A$1),0,MIN(O1524*M1524,1)*K1524)</f>
        <v>4.0170672667709096</v>
      </c>
      <c r="Q1524" s="73">
        <f>IF(B1524="",0,IF(OR(H1524=MappingTables!$C$34,H1524=MappingTables!$C$35),P1524,0))</f>
        <v>0</v>
      </c>
      <c r="R1524" s="73">
        <f>IF(ISNA(IF(AND(VLOOKUP(CONCATENATE($D1524,$G1524),CSRFinput!$B:$E,4,0)=0,OR(H1524=MappingTables!$C$31,H1524=MappingTables!$C$32)),1,VLOOKUP(CONCATENATE($D1524,$G1524),CSRFinput!$B:$E,4,0))),0,IF(AND(VLOOKUP(CONCATENATE($D1524,$G1524),CSRFinput!$B:$E,4,0)=0,OR(H1524=MappingTables!$C$31,H1524=MappingTables!$C$32)),1,VLOOKUP(CONCATENATE($D1524,$G1524),CSRFinput!$B:$E,4,0)))</f>
        <v>0.054776304963434752</v>
      </c>
      <c r="S1524" s="73">
        <f>IF(B1524="",0,P1524*R1524)</f>
        <v>0.22004010166327464</v>
      </c>
      <c r="T1524" s="85">
        <f>IF(B1524="",0,IF(OR(H1524=MappingTables!$C$34,H1524=MappingTables!$C$35),S1524,0))</f>
        <v>0</v>
      </c>
    </row>
    <row r="1525" spans="2:20" s="0" customFormat="0" ht="15">
      <c r="B1525" s="69" t="s">
        <v>5007</v>
      </c>
      <c r="C1525" s="70" t="s">
        <v>5008</v>
      </c>
      <c r="D1525" s="70" t="s">
        <v>1</v>
      </c>
      <c r="E1525" s="70" t="s">
        <v>1</v>
      </c>
      <c r="F1525" s="70"/>
      <c r="G1525" s="70" t="s">
        <v>61</v>
      </c>
      <c r="H1525" s="70" t="s">
        <v>178</v>
      </c>
      <c r="I1525" s="70" t="s">
        <v>204</v>
      </c>
      <c r="J1525" s="71">
        <f>IF(OR(I1525=0,I1525=""),"unrated",VLOOKUP(I1525,MappingTables!$B$19:$C$31,2,FALSE))</f>
        <v>6</v>
      </c>
      <c r="K1525" s="72">
        <v>65.576408482656576</v>
      </c>
      <c r="L1525" s="70">
        <v>0.068497749561166208</v>
      </c>
      <c r="M1525" s="71">
        <f>IF(L1525&lt;1,1,L1525)</f>
        <v>1</v>
      </c>
      <c r="N1525" s="70" t="s">
        <v>3288</v>
      </c>
      <c r="O1525" s="71">
        <f>IF(OR(I1525=$A$1,I1525=0),"",IF(N1525=MappingTables!$C$14,VLOOKUP(J1525,ModelParameters!$M$8:$N$15,2,FALSE),IF(N1525=MappingTables!$C$16,VLOOKUP(J1525,ModelParameters!$P$8:$Q$15,2,FALSE),0)))</f>
        <v>1</v>
      </c>
      <c r="P1525" s="73">
        <f>IF(OR(I1525=0,I1525=$A$1),0,MIN(O1525*M1525,1)*K1525)</f>
        <v>65.576408482656576</v>
      </c>
      <c r="Q1525" s="73">
        <f>IF(B1525="",0,IF(OR(H1525=MappingTables!$C$34,H1525=MappingTables!$C$35),P1525,0))</f>
        <v>0</v>
      </c>
      <c r="R1525" s="73">
        <f>IF(ISNA(IF(AND(VLOOKUP(CONCATENATE($D1525,$G1525),CSRFinput!$B:$E,4,0)=0,OR(H1525=MappingTables!$C$31,H1525=MappingTables!$C$32)),1,VLOOKUP(CONCATENATE($D1525,$G1525),CSRFinput!$B:$E,4,0))),0,IF(AND(VLOOKUP(CONCATENATE($D1525,$G1525),CSRFinput!$B:$E,4,0)=0,OR(H1525=MappingTables!$C$31,H1525=MappingTables!$C$32)),1,VLOOKUP(CONCATENATE($D1525,$G1525),CSRFinput!$B:$E,4,0)))</f>
        <v>0.054776304963434752</v>
      </c>
      <c r="S1525" s="73">
        <f>IF(B1525="",0,P1525*R1525)</f>
        <v>3.592033349452766</v>
      </c>
      <c r="T1525" s="85">
        <f>IF(B1525="",0,IF(OR(H1525=MappingTables!$C$34,H1525=MappingTables!$C$35),S1525,0))</f>
        <v>0</v>
      </c>
    </row>
    <row r="1526" spans="2:20" s="0" customFormat="0" ht="15">
      <c r="B1526" s="69" t="s">
        <v>5009</v>
      </c>
      <c r="C1526" s="70" t="s">
        <v>5010</v>
      </c>
      <c r="D1526" s="70" t="s">
        <v>1</v>
      </c>
      <c r="E1526" s="70" t="s">
        <v>1</v>
      </c>
      <c r="F1526" s="70"/>
      <c r="G1526" s="70" t="s">
        <v>61</v>
      </c>
      <c r="H1526" s="70" t="s">
        <v>178</v>
      </c>
      <c r="I1526" s="70" t="s">
        <v>3298</v>
      </c>
      <c r="J1526" s="71">
        <f>IF(OR(I1526=0,I1526=""),"unrated",VLOOKUP(I1526,MappingTables!$B$19:$C$31,2,FALSE))</f>
        <v>6</v>
      </c>
      <c r="K1526" s="72">
        <v>1397.7952423290176</v>
      </c>
      <c r="L1526" s="70">
        <v>-1.093144296121648</v>
      </c>
      <c r="M1526" s="71">
        <f>IF(L1526&lt;1,1,L1526)</f>
        <v>1</v>
      </c>
      <c r="N1526" s="70" t="s">
        <v>3288</v>
      </c>
      <c r="O1526" s="71">
        <f>IF(OR(I1526=$A$1,I1526=0),"",IF(N1526=MappingTables!$C$14,VLOOKUP(J1526,ModelParameters!$M$8:$N$15,2,FALSE),IF(N1526=MappingTables!$C$16,VLOOKUP(J1526,ModelParameters!$P$8:$Q$15,2,FALSE),0)))</f>
        <v>1</v>
      </c>
      <c r="P1526" s="73">
        <f>IF(OR(I1526=0,I1526=$A$1),0,MIN(O1526*M1526,1)*K1526)</f>
        <v>1397.7952423290176</v>
      </c>
      <c r="Q1526" s="73">
        <f>IF(B1526="",0,IF(OR(H1526=MappingTables!$C$34,H1526=MappingTables!$C$35),P1526,0))</f>
        <v>0</v>
      </c>
      <c r="R1526" s="73">
        <f>IF(ISNA(IF(AND(VLOOKUP(CONCATENATE($D1526,$G1526),CSRFinput!$B:$E,4,0)=0,OR(H1526=MappingTables!$C$31,H1526=MappingTables!$C$32)),1,VLOOKUP(CONCATENATE($D1526,$G1526),CSRFinput!$B:$E,4,0))),0,IF(AND(VLOOKUP(CONCATENATE($D1526,$G1526),CSRFinput!$B:$E,4,0)=0,OR(H1526=MappingTables!$C$31,H1526=MappingTables!$C$32)),1,VLOOKUP(CONCATENATE($D1526,$G1526),CSRFinput!$B:$E,4,0)))</f>
        <v>0.054776304963434752</v>
      </c>
      <c r="S1526" s="73">
        <f>IF(B1526="",0,P1526*R1526)</f>
        <v>76.566058470252448</v>
      </c>
      <c r="T1526" s="85">
        <f>IF(B1526="",0,IF(OR(H1526=MappingTables!$C$34,H1526=MappingTables!$C$35),S1526,0))</f>
        <v>0</v>
      </c>
    </row>
    <row r="1527" spans="2:20" s="0" customFormat="0" ht="15">
      <c r="B1527" s="69" t="s">
        <v>5011</v>
      </c>
      <c r="C1527" s="70" t="s">
        <v>5012</v>
      </c>
      <c r="D1527" s="70" t="s">
        <v>1</v>
      </c>
      <c r="E1527" s="70" t="s">
        <v>1</v>
      </c>
      <c r="F1527" s="70"/>
      <c r="G1527" s="70" t="s">
        <v>61</v>
      </c>
      <c r="H1527" s="70" t="s">
        <v>178</v>
      </c>
      <c r="I1527" s="70" t="s">
        <v>198</v>
      </c>
      <c r="J1527" s="71" t="str">
        <f>IF(OR(I1527=0,I1527=""),"unrated",VLOOKUP(I1527,MappingTables!$B$19:$C$31,2,FALSE))</f>
        <v>unrated</v>
      </c>
      <c r="K1527" s="72">
        <v>141.53653732072488</v>
      </c>
      <c r="L1527" s="70">
        <v>0.068491944332022424</v>
      </c>
      <c r="M1527" s="71">
        <f>IF(L1527&lt;1,1,L1527)</f>
        <v>1</v>
      </c>
      <c r="N1527" s="70" t="s">
        <v>3288</v>
      </c>
      <c r="O1527" s="71">
        <f>IF(OR(I1527=$A$1,I1527=0),"",IF(N1527=MappingTables!$C$14,VLOOKUP(J1527,ModelParameters!$M$8:$N$15,2,FALSE),IF(N1527=MappingTables!$C$16,VLOOKUP(J1527,ModelParameters!$P$8:$Q$15,2,FALSE),0)))</f>
        <v>1</v>
      </c>
      <c r="P1527" s="73">
        <f>IF(OR(I1527=0,I1527=$A$1),0,MIN(O1527*M1527,1)*K1527)</f>
        <v>141.53653732072488</v>
      </c>
      <c r="Q1527" s="73">
        <f>IF(B1527="",0,IF(OR(H1527=MappingTables!$C$34,H1527=MappingTables!$C$35),P1527,0))</f>
        <v>0</v>
      </c>
      <c r="R1527" s="73">
        <f>IF(ISNA(IF(AND(VLOOKUP(CONCATENATE($D1527,$G1527),CSRFinput!$B:$E,4,0)=0,OR(H1527=MappingTables!$C$31,H1527=MappingTables!$C$32)),1,VLOOKUP(CONCATENATE($D1527,$G1527),CSRFinput!$B:$E,4,0))),0,IF(AND(VLOOKUP(CONCATENATE($D1527,$G1527),CSRFinput!$B:$E,4,0)=0,OR(H1527=MappingTables!$C$31,H1527=MappingTables!$C$32)),1,VLOOKUP(CONCATENATE($D1527,$G1527),CSRFinput!$B:$E,4,0)))</f>
        <v>0.054776304963434752</v>
      </c>
      <c r="S1527" s="73">
        <f>IF(B1527="",0,P1527*R1527)</f>
        <v>7.7528485317485904</v>
      </c>
      <c r="T1527" s="85">
        <f>IF(B1527="",0,IF(OR(H1527=MappingTables!$C$34,H1527=MappingTables!$C$35),S1527,0))</f>
        <v>0</v>
      </c>
    </row>
    <row r="1528" spans="2:20" s="0" customFormat="0" ht="15">
      <c r="B1528" s="69" t="s">
        <v>4409</v>
      </c>
      <c r="C1528" s="70" t="s">
        <v>4410</v>
      </c>
      <c r="D1528" s="70" t="s">
        <v>1</v>
      </c>
      <c r="E1528" s="70" t="s">
        <v>1</v>
      </c>
      <c r="F1528" s="70"/>
      <c r="G1528" s="70" t="s">
        <v>61</v>
      </c>
      <c r="H1528" s="70" t="s">
        <v>178</v>
      </c>
      <c r="I1528" s="70" t="s">
        <v>3291</v>
      </c>
      <c r="J1528" s="71">
        <f>IF(OR(I1528=0,I1528=""),"unrated",VLOOKUP(I1528,MappingTables!$B$19:$C$31,2,FALSE))</f>
        <v>6</v>
      </c>
      <c r="K1528" s="72">
        <v>14068.685582580186</v>
      </c>
      <c r="L1528" s="70">
        <v>0.06849257521735472</v>
      </c>
      <c r="M1528" s="71">
        <f>IF(L1528&lt;1,1,L1528)</f>
        <v>1</v>
      </c>
      <c r="N1528" s="70" t="s">
        <v>3288</v>
      </c>
      <c r="O1528" s="71">
        <f>IF(OR(I1528=$A$1,I1528=0),"",IF(N1528=MappingTables!$C$14,VLOOKUP(J1528,ModelParameters!$M$8:$N$15,2,FALSE),IF(N1528=MappingTables!$C$16,VLOOKUP(J1528,ModelParameters!$P$8:$Q$15,2,FALSE),0)))</f>
        <v>1</v>
      </c>
      <c r="P1528" s="73">
        <f>IF(OR(I1528=0,I1528=$A$1),0,MIN(O1528*M1528,1)*K1528)</f>
        <v>14068.685582580186</v>
      </c>
      <c r="Q1528" s="73">
        <f>IF(B1528="",0,IF(OR(H1528=MappingTables!$C$34,H1528=MappingTables!$C$35),P1528,0))</f>
        <v>0</v>
      </c>
      <c r="R1528" s="73">
        <f>IF(ISNA(IF(AND(VLOOKUP(CONCATENATE($D1528,$G1528),CSRFinput!$B:$E,4,0)=0,OR(H1528=MappingTables!$C$31,H1528=MappingTables!$C$32)),1,VLOOKUP(CONCATENATE($D1528,$G1528),CSRFinput!$B:$E,4,0))),0,IF(AND(VLOOKUP(CONCATENATE($D1528,$G1528),CSRFinput!$B:$E,4,0)=0,OR(H1528=MappingTables!$C$31,H1528=MappingTables!$C$32)),1,VLOOKUP(CONCATENATE($D1528,$G1528),CSRFinput!$B:$E,4,0)))</f>
        <v>0.054776304963434752</v>
      </c>
      <c r="S1528" s="73">
        <f>IF(B1528="",0,P1528*R1528)</f>
        <v>770.63061190609008</v>
      </c>
      <c r="T1528" s="85">
        <f>IF(B1528="",0,IF(OR(H1528=MappingTables!$C$34,H1528=MappingTables!$C$35),S1528,0))</f>
        <v>0</v>
      </c>
    </row>
    <row r="1529" spans="2:20" s="0" customFormat="0" ht="15">
      <c r="B1529" s="69">
        <v>19863499</v>
      </c>
      <c r="C1529" s="70" t="s">
        <v>4691</v>
      </c>
      <c r="D1529" s="70" t="s">
        <v>1</v>
      </c>
      <c r="E1529" s="70" t="s">
        <v>1</v>
      </c>
      <c r="F1529" s="70"/>
      <c r="G1529" s="70" t="s">
        <v>61</v>
      </c>
      <c r="H1529" s="70" t="s">
        <v>178</v>
      </c>
      <c r="I1529" s="70" t="s">
        <v>216</v>
      </c>
      <c r="J1529" s="71">
        <f>IF(OR(I1529=0,I1529=""),"unrated",VLOOKUP(I1529,MappingTables!$B$19:$C$31,2,FALSE))</f>
        <v>0</v>
      </c>
      <c r="K1529" s="72">
        <v>679.88262135091416</v>
      </c>
      <c r="L1529" s="70">
        <v>0.062474922333787312</v>
      </c>
      <c r="M1529" s="71">
        <f>IF(L1529&lt;1,1,L1529)</f>
        <v>1</v>
      </c>
      <c r="N1529" s="70" t="s">
        <v>3288</v>
      </c>
      <c r="O1529" s="71">
        <f>IF(OR(I1529=$A$1,I1529=0),"",IF(N1529=MappingTables!$C$14,VLOOKUP(J1529,ModelParameters!$M$8:$N$15,2,FALSE),IF(N1529=MappingTables!$C$16,VLOOKUP(J1529,ModelParameters!$P$8:$Q$15,2,FALSE),0)))</f>
        <v>0.125</v>
      </c>
      <c r="P1529" s="73">
        <f>IF(OR(I1529=0,I1529=$A$1),0,MIN(O1529*M1529,1)*K1529)</f>
        <v>84.985327668864272</v>
      </c>
      <c r="Q1529" s="73">
        <f>IF(B1529="",0,IF(OR(H1529=MappingTables!$C$34,H1529=MappingTables!$C$35),P1529,0))</f>
        <v>0</v>
      </c>
      <c r="R1529" s="73">
        <f>IF(ISNA(IF(AND(VLOOKUP(CONCATENATE($D1529,$G1529),CSRFinput!$B:$E,4,0)=0,OR(H1529=MappingTables!$C$31,H1529=MappingTables!$C$32)),1,VLOOKUP(CONCATENATE($D1529,$G1529),CSRFinput!$B:$E,4,0))),0,IF(AND(VLOOKUP(CONCATENATE($D1529,$G1529),CSRFinput!$B:$E,4,0)=0,OR(H1529=MappingTables!$C$31,H1529=MappingTables!$C$32)),1,VLOOKUP(CONCATENATE($D1529,$G1529),CSRFinput!$B:$E,4,0)))</f>
        <v>0.054776304963434752</v>
      </c>
      <c r="S1529" s="73">
        <f>IF(B1529="",0,P1529*R1529)</f>
        <v>4.6551822258071392</v>
      </c>
      <c r="T1529" s="85">
        <f>IF(B1529="",0,IF(OR(H1529=MappingTables!$C$34,H1529=MappingTables!$C$35),S1529,0))</f>
        <v>0</v>
      </c>
    </row>
    <row r="1530" spans="2:20" s="0" customFormat="0" ht="15">
      <c r="B1530" s="69">
        <v>14578157</v>
      </c>
      <c r="C1530" s="70" t="s">
        <v>4728</v>
      </c>
      <c r="D1530" s="70" t="s">
        <v>1</v>
      </c>
      <c r="E1530" s="70" t="s">
        <v>1</v>
      </c>
      <c r="F1530" s="70"/>
      <c r="G1530" s="70" t="s">
        <v>61</v>
      </c>
      <c r="H1530" s="70" t="s">
        <v>178</v>
      </c>
      <c r="I1530" s="70" t="s">
        <v>216</v>
      </c>
      <c r="J1530" s="71">
        <f>IF(OR(I1530=0,I1530=""),"unrated",VLOOKUP(I1530,MappingTables!$B$19:$C$31,2,FALSE))</f>
        <v>0</v>
      </c>
      <c r="K1530" s="72">
        <v>42.454616721522616</v>
      </c>
      <c r="L1530" s="70">
        <v>0.089593100501852144</v>
      </c>
      <c r="M1530" s="71">
        <f>IF(L1530&lt;1,1,L1530)</f>
        <v>1</v>
      </c>
      <c r="N1530" s="70" t="s">
        <v>3288</v>
      </c>
      <c r="O1530" s="71">
        <f>IF(OR(I1530=$A$1,I1530=0),"",IF(N1530=MappingTables!$C$14,VLOOKUP(J1530,ModelParameters!$M$8:$N$15,2,FALSE),IF(N1530=MappingTables!$C$16,VLOOKUP(J1530,ModelParameters!$P$8:$Q$15,2,FALSE),0)))</f>
        <v>0.125</v>
      </c>
      <c r="P1530" s="73">
        <f>IF(OR(I1530=0,I1530=$A$1),0,MIN(O1530*M1530,1)*K1530)</f>
        <v>5.3068270901903272</v>
      </c>
      <c r="Q1530" s="73">
        <f>IF(B1530="",0,IF(OR(H1530=MappingTables!$C$34,H1530=MappingTables!$C$35),P1530,0))</f>
        <v>0</v>
      </c>
      <c r="R1530" s="73">
        <f>IF(ISNA(IF(AND(VLOOKUP(CONCATENATE($D1530,$G1530),CSRFinput!$B:$E,4,0)=0,OR(H1530=MappingTables!$C$31,H1530=MappingTables!$C$32)),1,VLOOKUP(CONCATENATE($D1530,$G1530),CSRFinput!$B:$E,4,0))),0,IF(AND(VLOOKUP(CONCATENATE($D1530,$G1530),CSRFinput!$B:$E,4,0)=0,OR(H1530=MappingTables!$C$31,H1530=MappingTables!$C$32)),1,VLOOKUP(CONCATENATE($D1530,$G1530),CSRFinput!$B:$E,4,0)))</f>
        <v>0.054776304963434752</v>
      </c>
      <c r="S1530" s="73">
        <f>IF(B1530="",0,P1530*R1530)</f>
        <v>0.29068837908048244</v>
      </c>
      <c r="T1530" s="85">
        <f>IF(B1530="",0,IF(OR(H1530=MappingTables!$C$34,H1530=MappingTables!$C$35),S1530,0))</f>
        <v>0</v>
      </c>
    </row>
    <row r="1531" spans="2:20" s="0" customFormat="0" ht="15">
      <c r="B1531" s="69" t="s">
        <v>3607</v>
      </c>
      <c r="C1531" s="70" t="s">
        <v>3608</v>
      </c>
      <c r="D1531" s="70" t="s">
        <v>1</v>
      </c>
      <c r="E1531" s="70" t="s">
        <v>1</v>
      </c>
      <c r="F1531" s="70"/>
      <c r="G1531" s="70" t="s">
        <v>61</v>
      </c>
      <c r="H1531" s="70" t="s">
        <v>178</v>
      </c>
      <c r="I1531" s="70" t="s">
        <v>220</v>
      </c>
      <c r="J1531" s="71">
        <f>IF(OR(I1531=0,I1531=""),"unrated",VLOOKUP(I1531,MappingTables!$B$19:$C$31,2,FALSE))</f>
        <v>1</v>
      </c>
      <c r="K1531" s="72">
        <v>6.9399418103400608</v>
      </c>
      <c r="L1531" s="70">
        <v>0.068494712322205064</v>
      </c>
      <c r="M1531" s="71">
        <f>IF(L1531&lt;1,1,L1531)</f>
        <v>1</v>
      </c>
      <c r="N1531" s="70" t="s">
        <v>3288</v>
      </c>
      <c r="O1531" s="71">
        <f>IF(OR(I1531=$A$1,I1531=0),"",IF(N1531=MappingTables!$C$14,VLOOKUP(J1531,ModelParameters!$M$8:$N$15,2,FALSE),IF(N1531=MappingTables!$C$16,VLOOKUP(J1531,ModelParameters!$P$8:$Q$15,2,FALSE),0)))</f>
        <v>0.134</v>
      </c>
      <c r="P1531" s="73">
        <f>IF(OR(I1531=0,I1531=$A$1),0,MIN(O1531*M1531,1)*K1531)</f>
        <v>0.92995220258556816</v>
      </c>
      <c r="Q1531" s="73">
        <f>IF(B1531="",0,IF(OR(H1531=MappingTables!$C$34,H1531=MappingTables!$C$35),P1531,0))</f>
        <v>0</v>
      </c>
      <c r="R1531" s="73">
        <f>IF(ISNA(IF(AND(VLOOKUP(CONCATENATE($D1531,$G1531),CSRFinput!$B:$E,4,0)=0,OR(H1531=MappingTables!$C$31,H1531=MappingTables!$C$32)),1,VLOOKUP(CONCATENATE($D1531,$G1531),CSRFinput!$B:$E,4,0))),0,IF(AND(VLOOKUP(CONCATENATE($D1531,$G1531),CSRFinput!$B:$E,4,0)=0,OR(H1531=MappingTables!$C$31,H1531=MappingTables!$C$32)),1,VLOOKUP(CONCATENATE($D1531,$G1531),CSRFinput!$B:$E,4,0)))</f>
        <v>0.054776304963434752</v>
      </c>
      <c r="S1531" s="73">
        <f>IF(B1531="",0,P1531*R1531)</f>
        <v>0.050939345450244944</v>
      </c>
      <c r="T1531" s="85">
        <f>IF(B1531="",0,IF(OR(H1531=MappingTables!$C$34,H1531=MappingTables!$C$35),S1531,0))</f>
        <v>0</v>
      </c>
    </row>
    <row r="1532" spans="2:20" s="0" customFormat="0" ht="15">
      <c r="B1532" s="69" t="s">
        <v>4866</v>
      </c>
      <c r="C1532" s="70" t="s">
        <v>4867</v>
      </c>
      <c r="D1532" s="70" t="s">
        <v>1</v>
      </c>
      <c r="E1532" s="70" t="s">
        <v>1</v>
      </c>
      <c r="F1532" s="70"/>
      <c r="G1532" s="70" t="s">
        <v>61</v>
      </c>
      <c r="H1532" s="70" t="s">
        <v>178</v>
      </c>
      <c r="I1532" s="70" t="s">
        <v>216</v>
      </c>
      <c r="J1532" s="71">
        <f>IF(OR(I1532=0,I1532=""),"unrated",VLOOKUP(I1532,MappingTables!$B$19:$C$31,2,FALSE))</f>
        <v>0</v>
      </c>
      <c r="K1532" s="72">
        <v>40.391940164894872</v>
      </c>
      <c r="L1532" s="70">
        <v>2.8953540551149816</v>
      </c>
      <c r="M1532" s="71">
        <f>IF(L1532&lt;1,1,L1532)</f>
        <v>2.8953540551149816</v>
      </c>
      <c r="N1532" s="70" t="s">
        <v>3288</v>
      </c>
      <c r="O1532" s="71">
        <f>IF(OR(I1532=$A$1,I1532=0),"",IF(N1532=MappingTables!$C$14,VLOOKUP(J1532,ModelParameters!$M$8:$N$15,2,FALSE),IF(N1532=MappingTables!$C$16,VLOOKUP(J1532,ModelParameters!$P$8:$Q$15,2,FALSE),0)))</f>
        <v>0.125</v>
      </c>
      <c r="P1532" s="73">
        <f>IF(OR(I1532=0,I1532=$A$1),0,MIN(O1532*M1532,1)*K1532)</f>
        <v>14.618620968798758</v>
      </c>
      <c r="Q1532" s="73">
        <f>IF(B1532="",0,IF(OR(H1532=MappingTables!$C$34,H1532=MappingTables!$C$35),P1532,0))</f>
        <v>0</v>
      </c>
      <c r="R1532" s="73">
        <f>IF(ISNA(IF(AND(VLOOKUP(CONCATENATE($D1532,$G1532),CSRFinput!$B:$E,4,0)=0,OR(H1532=MappingTables!$C$31,H1532=MappingTables!$C$32)),1,VLOOKUP(CONCATENATE($D1532,$G1532),CSRFinput!$B:$E,4,0))),0,IF(AND(VLOOKUP(CONCATENATE($D1532,$G1532),CSRFinput!$B:$E,4,0)=0,OR(H1532=MappingTables!$C$31,H1532=MappingTables!$C$32)),1,VLOOKUP(CONCATENATE($D1532,$G1532),CSRFinput!$B:$E,4,0)))</f>
        <v>0.054776304963434752</v>
      </c>
      <c r="S1532" s="73">
        <f>IF(B1532="",0,P1532*R1532)</f>
        <v>0.80075404033178272</v>
      </c>
      <c r="T1532" s="85">
        <f>IF(B1532="",0,IF(OR(H1532=MappingTables!$C$34,H1532=MappingTables!$C$35),S1532,0))</f>
        <v>0</v>
      </c>
    </row>
    <row r="1533" spans="2:20" s="0" customFormat="0" ht="15">
      <c r="B1533" s="69" t="s">
        <v>5013</v>
      </c>
      <c r="C1533" s="70" t="s">
        <v>5014</v>
      </c>
      <c r="D1533" s="70" t="s">
        <v>1</v>
      </c>
      <c r="E1533" s="70" t="s">
        <v>1</v>
      </c>
      <c r="F1533" s="70"/>
      <c r="G1533" s="70" t="s">
        <v>61</v>
      </c>
      <c r="H1533" s="70" t="s">
        <v>178</v>
      </c>
      <c r="I1533" s="70" t="s">
        <v>3298</v>
      </c>
      <c r="J1533" s="71">
        <f>IF(OR(I1533=0,I1533=""),"unrated",VLOOKUP(I1533,MappingTables!$B$19:$C$31,2,FALSE))</f>
        <v>6</v>
      </c>
      <c r="K1533" s="72">
        <v>7970.233918651264</v>
      </c>
      <c r="L1533" s="70">
        <v>-1.7446633946883294</v>
      </c>
      <c r="M1533" s="71">
        <f>IF(L1533&lt;1,1,L1533)</f>
        <v>1</v>
      </c>
      <c r="N1533" s="70" t="s">
        <v>3288</v>
      </c>
      <c r="O1533" s="71">
        <f>IF(OR(I1533=$A$1,I1533=0),"",IF(N1533=MappingTables!$C$14,VLOOKUP(J1533,ModelParameters!$M$8:$N$15,2,FALSE),IF(N1533=MappingTables!$C$16,VLOOKUP(J1533,ModelParameters!$P$8:$Q$15,2,FALSE),0)))</f>
        <v>1</v>
      </c>
      <c r="P1533" s="73">
        <f>IF(OR(I1533=0,I1533=$A$1),0,MIN(O1533*M1533,1)*K1533)</f>
        <v>7970.233918651264</v>
      </c>
      <c r="Q1533" s="73">
        <f>IF(B1533="",0,IF(OR(H1533=MappingTables!$C$34,H1533=MappingTables!$C$35),P1533,0))</f>
        <v>0</v>
      </c>
      <c r="R1533" s="73">
        <f>IF(ISNA(IF(AND(VLOOKUP(CONCATENATE($D1533,$G1533),CSRFinput!$B:$E,4,0)=0,OR(H1533=MappingTables!$C$31,H1533=MappingTables!$C$32)),1,VLOOKUP(CONCATENATE($D1533,$G1533),CSRFinput!$B:$E,4,0))),0,IF(AND(VLOOKUP(CONCATENATE($D1533,$G1533),CSRFinput!$B:$E,4,0)=0,OR(H1533=MappingTables!$C$31,H1533=MappingTables!$C$32)),1,VLOOKUP(CONCATENATE($D1533,$G1533),CSRFinput!$B:$E,4,0)))</f>
        <v>0.054776304963434752</v>
      </c>
      <c r="S1533" s="73">
        <f>IF(B1533="",0,P1533*R1533)</f>
        <v>436.5799637579532</v>
      </c>
      <c r="T1533" s="85">
        <f>IF(B1533="",0,IF(OR(H1533=MappingTables!$C$34,H1533=MappingTables!$C$35),S1533,0))</f>
        <v>0</v>
      </c>
    </row>
    <row r="1534" spans="2:20" s="0" customFormat="0" ht="15">
      <c r="B1534" s="69">
        <v>22554416</v>
      </c>
      <c r="C1534" s="70" t="s">
        <v>3414</v>
      </c>
      <c r="D1534" s="70" t="s">
        <v>1</v>
      </c>
      <c r="E1534" s="70" t="s">
        <v>1</v>
      </c>
      <c r="F1534" s="70"/>
      <c r="G1534" s="70" t="s">
        <v>61</v>
      </c>
      <c r="H1534" s="70" t="s">
        <v>178</v>
      </c>
      <c r="I1534" s="70" t="s">
        <v>184</v>
      </c>
      <c r="J1534" s="71">
        <f>IF(OR(I1534=0,I1534=""),"unrated",VLOOKUP(I1534,MappingTables!$B$19:$C$31,2,FALSE))</f>
        <v>5</v>
      </c>
      <c r="K1534" s="72">
        <v>671.52162876882096</v>
      </c>
      <c r="L1534" s="70">
        <v>0.0684944566621148</v>
      </c>
      <c r="M1534" s="71">
        <f>IF(L1534&lt;1,1,L1534)</f>
        <v>1</v>
      </c>
      <c r="N1534" s="70" t="s">
        <v>3288</v>
      </c>
      <c r="O1534" s="71">
        <f>IF(OR(I1534=$A$1,I1534=0),"",IF(N1534=MappingTables!$C$14,VLOOKUP(J1534,ModelParameters!$M$8:$N$15,2,FALSE),IF(N1534=MappingTables!$C$16,VLOOKUP(J1534,ModelParameters!$P$8:$Q$15,2,FALSE),0)))</f>
        <v>1</v>
      </c>
      <c r="P1534" s="73">
        <f>IF(OR(I1534=0,I1534=$A$1),0,MIN(O1534*M1534,1)*K1534)</f>
        <v>671.52162876882096</v>
      </c>
      <c r="Q1534" s="73">
        <f>IF(B1534="",0,IF(OR(H1534=MappingTables!$C$34,H1534=MappingTables!$C$35),P1534,0))</f>
        <v>0</v>
      </c>
      <c r="R1534" s="73">
        <f>IF(ISNA(IF(AND(VLOOKUP(CONCATENATE($D1534,$G1534),CSRFinput!$B:$E,4,0)=0,OR(H1534=MappingTables!$C$31,H1534=MappingTables!$C$32)),1,VLOOKUP(CONCATENATE($D1534,$G1534),CSRFinput!$B:$E,4,0))),0,IF(AND(VLOOKUP(CONCATENATE($D1534,$G1534),CSRFinput!$B:$E,4,0)=0,OR(H1534=MappingTables!$C$31,H1534=MappingTables!$C$32)),1,VLOOKUP(CONCATENATE($D1534,$G1534),CSRFinput!$B:$E,4,0)))</f>
        <v>0.054776304963434752</v>
      </c>
      <c r="S1534" s="73">
        <f>IF(B1534="",0,P1534*R1534)</f>
        <v>36.78347352698336</v>
      </c>
      <c r="T1534" s="85">
        <f>IF(B1534="",0,IF(OR(H1534=MappingTables!$C$34,H1534=MappingTables!$C$35),S1534,0))</f>
        <v>0</v>
      </c>
    </row>
    <row r="1535" spans="2:20" s="0" customFormat="0" ht="15">
      <c r="B1535" s="69" t="s">
        <v>5015</v>
      </c>
      <c r="C1535" s="70" t="s">
        <v>5016</v>
      </c>
      <c r="D1535" s="70" t="s">
        <v>1</v>
      </c>
      <c r="E1535" s="70" t="s">
        <v>1</v>
      </c>
      <c r="F1535" s="70"/>
      <c r="G1535" s="70" t="s">
        <v>61</v>
      </c>
      <c r="H1535" s="70" t="s">
        <v>178</v>
      </c>
      <c r="I1535" s="70" t="s">
        <v>184</v>
      </c>
      <c r="J1535" s="71">
        <f>IF(OR(I1535=0,I1535=""),"unrated",VLOOKUP(I1535,MappingTables!$B$19:$C$31,2,FALSE))</f>
        <v>5</v>
      </c>
      <c r="K1535" s="72">
        <v>456.12040646341128</v>
      </c>
      <c r="L1535" s="70">
        <v>0.068492104761186456</v>
      </c>
      <c r="M1535" s="71">
        <f>IF(L1535&lt;1,1,L1535)</f>
        <v>1</v>
      </c>
      <c r="N1535" s="70" t="s">
        <v>3288</v>
      </c>
      <c r="O1535" s="71">
        <f>IF(OR(I1535=$A$1,I1535=0),"",IF(N1535=MappingTables!$C$14,VLOOKUP(J1535,ModelParameters!$M$8:$N$15,2,FALSE),IF(N1535=MappingTables!$C$16,VLOOKUP(J1535,ModelParameters!$P$8:$Q$15,2,FALSE),0)))</f>
        <v>1</v>
      </c>
      <c r="P1535" s="73">
        <f>IF(OR(I1535=0,I1535=$A$1),0,MIN(O1535*M1535,1)*K1535)</f>
        <v>456.12040646341128</v>
      </c>
      <c r="Q1535" s="73">
        <f>IF(B1535="",0,IF(OR(H1535=MappingTables!$C$34,H1535=MappingTables!$C$35),P1535,0))</f>
        <v>0</v>
      </c>
      <c r="R1535" s="73">
        <f>IF(ISNA(IF(AND(VLOOKUP(CONCATENATE($D1535,$G1535),CSRFinput!$B:$E,4,0)=0,OR(H1535=MappingTables!$C$31,H1535=MappingTables!$C$32)),1,VLOOKUP(CONCATENATE($D1535,$G1535),CSRFinput!$B:$E,4,0))),0,IF(AND(VLOOKUP(CONCATENATE($D1535,$G1535),CSRFinput!$B:$E,4,0)=0,OR(H1535=MappingTables!$C$31,H1535=MappingTables!$C$32)),1,VLOOKUP(CONCATENATE($D1535,$G1535),CSRFinput!$B:$E,4,0)))</f>
        <v>0.054776304963434752</v>
      </c>
      <c r="S1535" s="73">
        <f>IF(B1535="",0,P1535*R1535)</f>
        <v>24.984590484485632</v>
      </c>
      <c r="T1535" s="85">
        <f>IF(B1535="",0,IF(OR(H1535=MappingTables!$C$34,H1535=MappingTables!$C$35),S1535,0))</f>
        <v>0</v>
      </c>
    </row>
    <row r="1536" spans="2:20" s="0" customFormat="0" ht="15">
      <c r="B1536" s="69" t="s">
        <v>4417</v>
      </c>
      <c r="C1536" s="70" t="s">
        <v>4418</v>
      </c>
      <c r="D1536" s="70" t="s">
        <v>1</v>
      </c>
      <c r="E1536" s="70" t="s">
        <v>1</v>
      </c>
      <c r="F1536" s="70"/>
      <c r="G1536" s="70" t="s">
        <v>61</v>
      </c>
      <c r="H1536" s="70" t="s">
        <v>178</v>
      </c>
      <c r="I1536" s="70" t="s">
        <v>198</v>
      </c>
      <c r="J1536" s="71" t="str">
        <f>IF(OR(I1536=0,I1536=""),"unrated",VLOOKUP(I1536,MappingTables!$B$19:$C$31,2,FALSE))</f>
        <v>unrated</v>
      </c>
      <c r="K1536" s="72">
        <v>3472.4551484601024</v>
      </c>
      <c r="L1536" s="70">
        <v>9.8402994021345968</v>
      </c>
      <c r="M1536" s="71">
        <f>IF(L1536&lt;1,1,L1536)</f>
        <v>9.8402994021345968</v>
      </c>
      <c r="N1536" s="70" t="s">
        <v>3288</v>
      </c>
      <c r="O1536" s="71">
        <f>IF(OR(I1536=$A$1,I1536=0),"",IF(N1536=MappingTables!$C$14,VLOOKUP(J1536,ModelParameters!$M$8:$N$15,2,FALSE),IF(N1536=MappingTables!$C$16,VLOOKUP(J1536,ModelParameters!$P$8:$Q$15,2,FALSE),0)))</f>
        <v>1</v>
      </c>
      <c r="P1536" s="73">
        <f>IF(OR(I1536=0,I1536=$A$1),0,MIN(O1536*M1536,1)*K1536)</f>
        <v>3472.4551484601024</v>
      </c>
      <c r="Q1536" s="73">
        <f>IF(B1536="",0,IF(OR(H1536=MappingTables!$C$34,H1536=MappingTables!$C$35),P1536,0))</f>
        <v>0</v>
      </c>
      <c r="R1536" s="73">
        <f>IF(ISNA(IF(AND(VLOOKUP(CONCATENATE($D1536,$G1536),CSRFinput!$B:$E,4,0)=0,OR(H1536=MappingTables!$C$31,H1536=MappingTables!$C$32)),1,VLOOKUP(CONCATENATE($D1536,$G1536),CSRFinput!$B:$E,4,0))),0,IF(AND(VLOOKUP(CONCATENATE($D1536,$G1536),CSRFinput!$B:$E,4,0)=0,OR(H1536=MappingTables!$C$31,H1536=MappingTables!$C$32)),1,VLOOKUP(CONCATENATE($D1536,$G1536),CSRFinput!$B:$E,4,0)))</f>
        <v>0.054776304963434752</v>
      </c>
      <c r="S1536" s="73">
        <f>IF(B1536="",0,P1536*R1536)</f>
        <v>190.20826218389968</v>
      </c>
      <c r="T1536" s="85">
        <f>IF(B1536="",0,IF(OR(H1536=MappingTables!$C$34,H1536=MappingTables!$C$35),S1536,0))</f>
        <v>0</v>
      </c>
    </row>
    <row r="1537" spans="2:20" s="0" customFormat="0" ht="15">
      <c r="B1537" s="69" t="s">
        <v>5017</v>
      </c>
      <c r="C1537" s="70" t="s">
        <v>5018</v>
      </c>
      <c r="D1537" s="70" t="s">
        <v>1</v>
      </c>
      <c r="E1537" s="70" t="s">
        <v>1</v>
      </c>
      <c r="F1537" s="70"/>
      <c r="G1537" s="70" t="s">
        <v>61</v>
      </c>
      <c r="H1537" s="70" t="s">
        <v>178</v>
      </c>
      <c r="I1537" s="70" t="s">
        <v>3298</v>
      </c>
      <c r="J1537" s="71">
        <f>IF(OR(I1537=0,I1537=""),"unrated",VLOOKUP(I1537,MappingTables!$B$19:$C$31,2,FALSE))</f>
        <v>6</v>
      </c>
      <c r="K1537" s="72">
        <v>1543.725936187333</v>
      </c>
      <c r="L1537" s="70">
        <v>-1.1900759481290588</v>
      </c>
      <c r="M1537" s="71">
        <f>IF(L1537&lt;1,1,L1537)</f>
        <v>1</v>
      </c>
      <c r="N1537" s="70" t="s">
        <v>3288</v>
      </c>
      <c r="O1537" s="71">
        <f>IF(OR(I1537=$A$1,I1537=0),"",IF(N1537=MappingTables!$C$14,VLOOKUP(J1537,ModelParameters!$M$8:$N$15,2,FALSE),IF(N1537=MappingTables!$C$16,VLOOKUP(J1537,ModelParameters!$P$8:$Q$15,2,FALSE),0)))</f>
        <v>1</v>
      </c>
      <c r="P1537" s="73">
        <f>IF(OR(I1537=0,I1537=$A$1),0,MIN(O1537*M1537,1)*K1537)</f>
        <v>1543.725936187333</v>
      </c>
      <c r="Q1537" s="73">
        <f>IF(B1537="",0,IF(OR(H1537=MappingTables!$C$34,H1537=MappingTables!$C$35),P1537,0))</f>
        <v>0</v>
      </c>
      <c r="R1537" s="73">
        <f>IF(ISNA(IF(AND(VLOOKUP(CONCATENATE($D1537,$G1537),CSRFinput!$B:$E,4,0)=0,OR(H1537=MappingTables!$C$31,H1537=MappingTables!$C$32)),1,VLOOKUP(CONCATENATE($D1537,$G1537),CSRFinput!$B:$E,4,0))),0,IF(AND(VLOOKUP(CONCATENATE($D1537,$G1537),CSRFinput!$B:$E,4,0)=0,OR(H1537=MappingTables!$C$31,H1537=MappingTables!$C$32)),1,VLOOKUP(CONCATENATE($D1537,$G1537),CSRFinput!$B:$E,4,0)))</f>
        <v>0.054776304963434752</v>
      </c>
      <c r="S1537" s="73">
        <f>IF(B1537="",0,P1537*R1537)</f>
        <v>84.559602660561168</v>
      </c>
      <c r="T1537" s="85">
        <f>IF(B1537="",0,IF(OR(H1537=MappingTables!$C$34,H1537=MappingTables!$C$35),S1537,0))</f>
        <v>0</v>
      </c>
    </row>
    <row r="1538" spans="2:20" s="0" customFormat="0" ht="15">
      <c r="B1538" s="69" t="s">
        <v>5019</v>
      </c>
      <c r="C1538" s="70" t="s">
        <v>5020</v>
      </c>
      <c r="D1538" s="70" t="s">
        <v>1</v>
      </c>
      <c r="E1538" s="70" t="s">
        <v>1</v>
      </c>
      <c r="F1538" s="70"/>
      <c r="G1538" s="70" t="s">
        <v>61</v>
      </c>
      <c r="H1538" s="70" t="s">
        <v>178</v>
      </c>
      <c r="I1538" s="70" t="s">
        <v>184</v>
      </c>
      <c r="J1538" s="71">
        <f>IF(OR(I1538=0,I1538=""),"unrated",VLOOKUP(I1538,MappingTables!$B$19:$C$31,2,FALSE))</f>
        <v>5</v>
      </c>
      <c r="K1538" s="72">
        <v>85.614197691138256</v>
      </c>
      <c r="L1538" s="70">
        <v>0.068493399384801296</v>
      </c>
      <c r="M1538" s="71">
        <f>IF(L1538&lt;1,1,L1538)</f>
        <v>1</v>
      </c>
      <c r="N1538" s="70" t="s">
        <v>3288</v>
      </c>
      <c r="O1538" s="71">
        <f>IF(OR(I1538=$A$1,I1538=0),"",IF(N1538=MappingTables!$C$14,VLOOKUP(J1538,ModelParameters!$M$8:$N$15,2,FALSE),IF(N1538=MappingTables!$C$16,VLOOKUP(J1538,ModelParameters!$P$8:$Q$15,2,FALSE),0)))</f>
        <v>1</v>
      </c>
      <c r="P1538" s="73">
        <f>IF(OR(I1538=0,I1538=$A$1),0,MIN(O1538*M1538,1)*K1538)</f>
        <v>85.614197691138256</v>
      </c>
      <c r="Q1538" s="73">
        <f>IF(B1538="",0,IF(OR(H1538=MappingTables!$C$34,H1538=MappingTables!$C$35),P1538,0))</f>
        <v>0</v>
      </c>
      <c r="R1538" s="73">
        <f>IF(ISNA(IF(AND(VLOOKUP(CONCATENATE($D1538,$G1538),CSRFinput!$B:$E,4,0)=0,OR(H1538=MappingTables!$C$31,H1538=MappingTables!$C$32)),1,VLOOKUP(CONCATENATE($D1538,$G1538),CSRFinput!$B:$E,4,0))),0,IF(AND(VLOOKUP(CONCATENATE($D1538,$G1538),CSRFinput!$B:$E,4,0)=0,OR(H1538=MappingTables!$C$31,H1538=MappingTables!$C$32)),1,VLOOKUP(CONCATENATE($D1538,$G1538),CSRFinput!$B:$E,4,0)))</f>
        <v>0.054776304963434752</v>
      </c>
      <c r="S1538" s="73">
        <f>IF(B1538="",0,P1538*R1538)</f>
        <v>4.6896294019295816</v>
      </c>
      <c r="T1538" s="85">
        <f>IF(B1538="",0,IF(OR(H1538=MappingTables!$C$34,H1538=MappingTables!$C$35),S1538,0))</f>
        <v>0</v>
      </c>
    </row>
    <row r="1539" spans="2:20" s="0" customFormat="0" ht="15">
      <c r="B1539" s="69">
        <v>16974602</v>
      </c>
      <c r="C1539" s="70" t="s">
        <v>4573</v>
      </c>
      <c r="D1539" s="70" t="s">
        <v>1</v>
      </c>
      <c r="E1539" s="70" t="s">
        <v>1</v>
      </c>
      <c r="F1539" s="70"/>
      <c r="G1539" s="70" t="s">
        <v>61</v>
      </c>
      <c r="H1539" s="70" t="s">
        <v>178</v>
      </c>
      <c r="I1539" s="70" t="s">
        <v>216</v>
      </c>
      <c r="J1539" s="71">
        <f>IF(OR(I1539=0,I1539=""),"unrated",VLOOKUP(I1539,MappingTables!$B$19:$C$31,2,FALSE))</f>
        <v>0</v>
      </c>
      <c r="K1539" s="72">
        <v>61.667493289392696</v>
      </c>
      <c r="L1539" s="70">
        <v>0.037857910841906744</v>
      </c>
      <c r="M1539" s="71">
        <f>IF(L1539&lt;1,1,L1539)</f>
        <v>1</v>
      </c>
      <c r="N1539" s="70" t="s">
        <v>3288</v>
      </c>
      <c r="O1539" s="71">
        <f>IF(OR(I1539=$A$1,I1539=0),"",IF(N1539=MappingTables!$C$14,VLOOKUP(J1539,ModelParameters!$M$8:$N$15,2,FALSE),IF(N1539=MappingTables!$C$16,VLOOKUP(J1539,ModelParameters!$P$8:$Q$15,2,FALSE),0)))</f>
        <v>0.125</v>
      </c>
      <c r="P1539" s="73">
        <f>IF(OR(I1539=0,I1539=$A$1),0,MIN(O1539*M1539,1)*K1539)</f>
        <v>7.7084366611740864</v>
      </c>
      <c r="Q1539" s="73">
        <f>IF(B1539="",0,IF(OR(H1539=MappingTables!$C$34,H1539=MappingTables!$C$35),P1539,0))</f>
        <v>0</v>
      </c>
      <c r="R1539" s="73">
        <f>IF(ISNA(IF(AND(VLOOKUP(CONCATENATE($D1539,$G1539),CSRFinput!$B:$E,4,0)=0,OR(H1539=MappingTables!$C$31,H1539=MappingTables!$C$32)),1,VLOOKUP(CONCATENATE($D1539,$G1539),CSRFinput!$B:$E,4,0))),0,IF(AND(VLOOKUP(CONCATENATE($D1539,$G1539),CSRFinput!$B:$E,4,0)=0,OR(H1539=MappingTables!$C$31,H1539=MappingTables!$C$32)),1,VLOOKUP(CONCATENATE($D1539,$G1539),CSRFinput!$B:$E,4,0)))</f>
        <v>0.054776304963434752</v>
      </c>
      <c r="S1539" s="73">
        <f>IF(B1539="",0,P1539*R1539)</f>
        <v>0.42223967734379256</v>
      </c>
      <c r="T1539" s="85">
        <f>IF(B1539="",0,IF(OR(H1539=MappingTables!$C$34,H1539=MappingTables!$C$35),S1539,0))</f>
        <v>0</v>
      </c>
    </row>
    <row r="1540" spans="2:20" s="0" customFormat="0" ht="15">
      <c r="B1540" s="69" t="s">
        <v>5015</v>
      </c>
      <c r="C1540" s="70" t="s">
        <v>5016</v>
      </c>
      <c r="D1540" s="70" t="s">
        <v>1</v>
      </c>
      <c r="E1540" s="70" t="s">
        <v>1</v>
      </c>
      <c r="F1540" s="70"/>
      <c r="G1540" s="70" t="s">
        <v>61</v>
      </c>
      <c r="H1540" s="70" t="s">
        <v>178</v>
      </c>
      <c r="I1540" s="70" t="s">
        <v>184</v>
      </c>
      <c r="J1540" s="71">
        <f>IF(OR(I1540=0,I1540=""),"unrated",VLOOKUP(I1540,MappingTables!$B$19:$C$31,2,FALSE))</f>
        <v>5</v>
      </c>
      <c r="K1540" s="72">
        <v>215.04279535281624</v>
      </c>
      <c r="L1540" s="70">
        <v>0.068492104761188016</v>
      </c>
      <c r="M1540" s="71">
        <f>IF(L1540&lt;1,1,L1540)</f>
        <v>1</v>
      </c>
      <c r="N1540" s="70" t="s">
        <v>3288</v>
      </c>
      <c r="O1540" s="71">
        <f>IF(OR(I1540=$A$1,I1540=0),"",IF(N1540=MappingTables!$C$14,VLOOKUP(J1540,ModelParameters!$M$8:$N$15,2,FALSE),IF(N1540=MappingTables!$C$16,VLOOKUP(J1540,ModelParameters!$P$8:$Q$15,2,FALSE),0)))</f>
        <v>1</v>
      </c>
      <c r="P1540" s="73">
        <f>IF(OR(I1540=0,I1540=$A$1),0,MIN(O1540*M1540,1)*K1540)</f>
        <v>215.04279535281624</v>
      </c>
      <c r="Q1540" s="73">
        <f>IF(B1540="",0,IF(OR(H1540=MappingTables!$C$34,H1540=MappingTables!$C$35),P1540,0))</f>
        <v>0</v>
      </c>
      <c r="R1540" s="73">
        <f>IF(ISNA(IF(AND(VLOOKUP(CONCATENATE($D1540,$G1540),CSRFinput!$B:$E,4,0)=0,OR(H1540=MappingTables!$C$31,H1540=MappingTables!$C$32)),1,VLOOKUP(CONCATENATE($D1540,$G1540),CSRFinput!$B:$E,4,0))),0,IF(AND(VLOOKUP(CONCATENATE($D1540,$G1540),CSRFinput!$B:$E,4,0)=0,OR(H1540=MappingTables!$C$31,H1540=MappingTables!$C$32)),1,VLOOKUP(CONCATENATE($D1540,$G1540),CSRFinput!$B:$E,4,0)))</f>
        <v>0.054776304963434752</v>
      </c>
      <c r="S1540" s="73">
        <f>IF(B1540="",0,P1540*R1540)</f>
        <v>11.779249738435352</v>
      </c>
      <c r="T1540" s="85">
        <f>IF(B1540="",0,IF(OR(H1540=MappingTables!$C$34,H1540=MappingTables!$C$35),S1540,0))</f>
        <v>0</v>
      </c>
    </row>
    <row r="1541" spans="2:20" s="0" customFormat="0" ht="15">
      <c r="B1541" s="69">
        <v>4219959</v>
      </c>
      <c r="C1541" s="70" t="s">
        <v>5021</v>
      </c>
      <c r="D1541" s="70" t="s">
        <v>1</v>
      </c>
      <c r="E1541" s="70" t="s">
        <v>1</v>
      </c>
      <c r="F1541" s="70"/>
      <c r="G1541" s="70" t="s">
        <v>61</v>
      </c>
      <c r="H1541" s="70" t="s">
        <v>178</v>
      </c>
      <c r="I1541" s="70" t="s">
        <v>204</v>
      </c>
      <c r="J1541" s="71">
        <f>IF(OR(I1541=0,I1541=""),"unrated",VLOOKUP(I1541,MappingTables!$B$19:$C$31,2,FALSE))</f>
        <v>6</v>
      </c>
      <c r="K1541" s="72">
        <v>6.1774661191605968</v>
      </c>
      <c r="L1541" s="70">
        <v>-0.3407882367355546</v>
      </c>
      <c r="M1541" s="71">
        <f>IF(L1541&lt;1,1,L1541)</f>
        <v>1</v>
      </c>
      <c r="N1541" s="70" t="s">
        <v>3288</v>
      </c>
      <c r="O1541" s="71">
        <f>IF(OR(I1541=$A$1,I1541=0),"",IF(N1541=MappingTables!$C$14,VLOOKUP(J1541,ModelParameters!$M$8:$N$15,2,FALSE),IF(N1541=MappingTables!$C$16,VLOOKUP(J1541,ModelParameters!$P$8:$Q$15,2,FALSE),0)))</f>
        <v>1</v>
      </c>
      <c r="P1541" s="73">
        <f>IF(OR(I1541=0,I1541=$A$1),0,MIN(O1541*M1541,1)*K1541)</f>
        <v>6.1774661191605968</v>
      </c>
      <c r="Q1541" s="73">
        <f>IF(B1541="",0,IF(OR(H1541=MappingTables!$C$34,H1541=MappingTables!$C$35),P1541,0))</f>
        <v>0</v>
      </c>
      <c r="R1541" s="73">
        <f>IF(ISNA(IF(AND(VLOOKUP(CONCATENATE($D1541,$G1541),CSRFinput!$B:$E,4,0)=0,OR(H1541=MappingTables!$C$31,H1541=MappingTables!$C$32)),1,VLOOKUP(CONCATENATE($D1541,$G1541),CSRFinput!$B:$E,4,0))),0,IF(AND(VLOOKUP(CONCATENATE($D1541,$G1541),CSRFinput!$B:$E,4,0)=0,OR(H1541=MappingTables!$C$31,H1541=MappingTables!$C$32)),1,VLOOKUP(CONCATENATE($D1541,$G1541),CSRFinput!$B:$E,4,0)))</f>
        <v>0.054776304963434752</v>
      </c>
      <c r="S1541" s="73">
        <f>IF(B1541="",0,P1541*R1541)</f>
        <v>0.33837876804442664</v>
      </c>
      <c r="T1541" s="85">
        <f>IF(B1541="",0,IF(OR(H1541=MappingTables!$C$34,H1541=MappingTables!$C$35),S1541,0))</f>
        <v>0</v>
      </c>
    </row>
    <row r="1542" spans="2:20" s="0" customFormat="0" ht="15">
      <c r="B1542" s="69" t="s">
        <v>4705</v>
      </c>
      <c r="C1542" s="70" t="s">
        <v>4706</v>
      </c>
      <c r="D1542" s="70" t="s">
        <v>1</v>
      </c>
      <c r="E1542" s="70" t="s">
        <v>1</v>
      </c>
      <c r="F1542" s="70"/>
      <c r="G1542" s="70" t="s">
        <v>61</v>
      </c>
      <c r="H1542" s="70" t="s">
        <v>178</v>
      </c>
      <c r="I1542" s="70" t="s">
        <v>198</v>
      </c>
      <c r="J1542" s="71" t="str">
        <f>IF(OR(I1542=0,I1542=""),"unrated",VLOOKUP(I1542,MappingTables!$B$19:$C$31,2,FALSE))</f>
        <v>unrated</v>
      </c>
      <c r="K1542" s="72">
        <v>13.260461657243668</v>
      </c>
      <c r="L1542" s="70">
        <v>40.297326172255504</v>
      </c>
      <c r="M1542" s="71">
        <f>IF(L1542&lt;1,1,L1542)</f>
        <v>40.297326172255504</v>
      </c>
      <c r="N1542" s="70" t="s">
        <v>3288</v>
      </c>
      <c r="O1542" s="71">
        <f>IF(OR(I1542=$A$1,I1542=0),"",IF(N1542=MappingTables!$C$14,VLOOKUP(J1542,ModelParameters!$M$8:$N$15,2,FALSE),IF(N1542=MappingTables!$C$16,VLOOKUP(J1542,ModelParameters!$P$8:$Q$15,2,FALSE),0)))</f>
        <v>1</v>
      </c>
      <c r="P1542" s="73">
        <f>IF(OR(I1542=0,I1542=$A$1),0,MIN(O1542*M1542,1)*K1542)</f>
        <v>13.260461657243668</v>
      </c>
      <c r="Q1542" s="73">
        <f>IF(B1542="",0,IF(OR(H1542=MappingTables!$C$34,H1542=MappingTables!$C$35),P1542,0))</f>
        <v>0</v>
      </c>
      <c r="R1542" s="73">
        <f>IF(ISNA(IF(AND(VLOOKUP(CONCATENATE($D1542,$G1542),CSRFinput!$B:$E,4,0)=0,OR(H1542=MappingTables!$C$31,H1542=MappingTables!$C$32)),1,VLOOKUP(CONCATENATE($D1542,$G1542),CSRFinput!$B:$E,4,0))),0,IF(AND(VLOOKUP(CONCATENATE($D1542,$G1542),CSRFinput!$B:$E,4,0)=0,OR(H1542=MappingTables!$C$31,H1542=MappingTables!$C$32)),1,VLOOKUP(CONCATENATE($D1542,$G1542),CSRFinput!$B:$E,4,0)))</f>
        <v>0.054776304963434752</v>
      </c>
      <c r="S1542" s="73">
        <f>IF(B1542="",0,P1542*R1542)</f>
        <v>0.72635909169311264</v>
      </c>
      <c r="T1542" s="85">
        <f>IF(B1542="",0,IF(OR(H1542=MappingTables!$C$34,H1542=MappingTables!$C$35),S1542,0))</f>
        <v>0</v>
      </c>
    </row>
    <row r="1543" spans="2:20" s="0" customFormat="0" ht="15">
      <c r="B1543" s="69" t="s">
        <v>3698</v>
      </c>
      <c r="C1543" s="70" t="s">
        <v>3699</v>
      </c>
      <c r="D1543" s="70" t="s">
        <v>1</v>
      </c>
      <c r="E1543" s="70" t="s">
        <v>1</v>
      </c>
      <c r="F1543" s="70"/>
      <c r="G1543" s="70" t="s">
        <v>61</v>
      </c>
      <c r="H1543" s="70" t="s">
        <v>178</v>
      </c>
      <c r="I1543" s="70" t="s">
        <v>3298</v>
      </c>
      <c r="J1543" s="71">
        <f>IF(OR(I1543=0,I1543=""),"unrated",VLOOKUP(I1543,MappingTables!$B$19:$C$31,2,FALSE))</f>
        <v>6</v>
      </c>
      <c r="K1543" s="72">
        <v>240.42291646078264</v>
      </c>
      <c r="L1543" s="70">
        <v>9.0312026839222688</v>
      </c>
      <c r="M1543" s="71">
        <f>IF(L1543&lt;1,1,L1543)</f>
        <v>9.0312026839222688</v>
      </c>
      <c r="N1543" s="70" t="s">
        <v>3288</v>
      </c>
      <c r="O1543" s="71">
        <f>IF(OR(I1543=$A$1,I1543=0),"",IF(N1543=MappingTables!$C$14,VLOOKUP(J1543,ModelParameters!$M$8:$N$15,2,FALSE),IF(N1543=MappingTables!$C$16,VLOOKUP(J1543,ModelParameters!$P$8:$Q$15,2,FALSE),0)))</f>
        <v>1</v>
      </c>
      <c r="P1543" s="73">
        <f>IF(OR(I1543=0,I1543=$A$1),0,MIN(O1543*M1543,1)*K1543)</f>
        <v>240.42291646078264</v>
      </c>
      <c r="Q1543" s="73">
        <f>IF(B1543="",0,IF(OR(H1543=MappingTables!$C$34,H1543=MappingTables!$C$35),P1543,0))</f>
        <v>0</v>
      </c>
      <c r="R1543" s="73">
        <f>IF(ISNA(IF(AND(VLOOKUP(CONCATENATE($D1543,$G1543),CSRFinput!$B:$E,4,0)=0,OR(H1543=MappingTables!$C$31,H1543=MappingTables!$C$32)),1,VLOOKUP(CONCATENATE($D1543,$G1543),CSRFinput!$B:$E,4,0))),0,IF(AND(VLOOKUP(CONCATENATE($D1543,$G1543),CSRFinput!$B:$E,4,0)=0,OR(H1543=MappingTables!$C$31,H1543=MappingTables!$C$32)),1,VLOOKUP(CONCATENATE($D1543,$G1543),CSRFinput!$B:$E,4,0)))</f>
        <v>0.054776304963434752</v>
      </c>
      <c r="S1543" s="73">
        <f>IF(B1543="",0,P1543*R1543)</f>
        <v>13.169478992254228</v>
      </c>
      <c r="T1543" s="85">
        <f>IF(B1543="",0,IF(OR(H1543=MappingTables!$C$34,H1543=MappingTables!$C$35),S1543,0))</f>
        <v>0</v>
      </c>
    </row>
    <row r="1544" spans="2:20" s="0" customFormat="0" ht="15">
      <c r="B1544" s="69">
        <v>19216269</v>
      </c>
      <c r="C1544" s="70" t="s">
        <v>5022</v>
      </c>
      <c r="D1544" s="70" t="s">
        <v>1</v>
      </c>
      <c r="E1544" s="70" t="s">
        <v>1</v>
      </c>
      <c r="F1544" s="70"/>
      <c r="G1544" s="70" t="s">
        <v>61</v>
      </c>
      <c r="H1544" s="70" t="s">
        <v>178</v>
      </c>
      <c r="I1544" s="70" t="s">
        <v>216</v>
      </c>
      <c r="J1544" s="71">
        <f>IF(OR(I1544=0,I1544=""),"unrated",VLOOKUP(I1544,MappingTables!$B$19:$C$31,2,FALSE))</f>
        <v>0</v>
      </c>
      <c r="K1544" s="72">
        <v>773.8781473263704</v>
      </c>
      <c r="L1544" s="70">
        <v>0.02210289616708084</v>
      </c>
      <c r="M1544" s="71">
        <f>IF(L1544&lt;1,1,L1544)</f>
        <v>1</v>
      </c>
      <c r="N1544" s="70" t="s">
        <v>3288</v>
      </c>
      <c r="O1544" s="71">
        <f>IF(OR(I1544=$A$1,I1544=0),"",IF(N1544=MappingTables!$C$14,VLOOKUP(J1544,ModelParameters!$M$8:$N$15,2,FALSE),IF(N1544=MappingTables!$C$16,VLOOKUP(J1544,ModelParameters!$P$8:$Q$15,2,FALSE),0)))</f>
        <v>0.125</v>
      </c>
      <c r="P1544" s="73">
        <f>IF(OR(I1544=0,I1544=$A$1),0,MIN(O1544*M1544,1)*K1544)</f>
        <v>96.734768415796288</v>
      </c>
      <c r="Q1544" s="73">
        <f>IF(B1544="",0,IF(OR(H1544=MappingTables!$C$34,H1544=MappingTables!$C$35),P1544,0))</f>
        <v>0</v>
      </c>
      <c r="R1544" s="73">
        <f>IF(ISNA(IF(AND(VLOOKUP(CONCATENATE($D1544,$G1544),CSRFinput!$B:$E,4,0)=0,OR(H1544=MappingTables!$C$31,H1544=MappingTables!$C$32)),1,VLOOKUP(CONCATENATE($D1544,$G1544),CSRFinput!$B:$E,4,0))),0,IF(AND(VLOOKUP(CONCATENATE($D1544,$G1544),CSRFinput!$B:$E,4,0)=0,OR(H1544=MappingTables!$C$31,H1544=MappingTables!$C$32)),1,VLOOKUP(CONCATENATE($D1544,$G1544),CSRFinput!$B:$E,4,0)))</f>
        <v>0.054776304963434752</v>
      </c>
      <c r="S1544" s="73">
        <f>IF(B1544="",0,P1544*R1544)</f>
        <v>5.2987731753108944</v>
      </c>
      <c r="T1544" s="85">
        <f>IF(B1544="",0,IF(OR(H1544=MappingTables!$C$34,H1544=MappingTables!$C$35),S1544,0))</f>
        <v>0</v>
      </c>
    </row>
    <row r="1545" spans="2:20" s="0" customFormat="0" ht="15">
      <c r="B1545" s="69">
        <v>22554461</v>
      </c>
      <c r="C1545" s="70" t="s">
        <v>4640</v>
      </c>
      <c r="D1545" s="70" t="s">
        <v>1</v>
      </c>
      <c r="E1545" s="70" t="s">
        <v>1</v>
      </c>
      <c r="F1545" s="70"/>
      <c r="G1545" s="70" t="s">
        <v>61</v>
      </c>
      <c r="H1545" s="70" t="s">
        <v>178</v>
      </c>
      <c r="I1545" s="70" t="s">
        <v>216</v>
      </c>
      <c r="J1545" s="71">
        <f>IF(OR(I1545=0,I1545=""),"unrated",VLOOKUP(I1545,MappingTables!$B$19:$C$31,2,FALSE))</f>
        <v>0</v>
      </c>
      <c r="K1545" s="72">
        <v>2.3127876760541956</v>
      </c>
      <c r="L1545" s="70">
        <v>0.055653442524760208</v>
      </c>
      <c r="M1545" s="71">
        <f>IF(L1545&lt;1,1,L1545)</f>
        <v>1</v>
      </c>
      <c r="N1545" s="70" t="s">
        <v>3288</v>
      </c>
      <c r="O1545" s="71">
        <f>IF(OR(I1545=$A$1,I1545=0),"",IF(N1545=MappingTables!$C$14,VLOOKUP(J1545,ModelParameters!$M$8:$N$15,2,FALSE),IF(N1545=MappingTables!$C$16,VLOOKUP(J1545,ModelParameters!$P$8:$Q$15,2,FALSE),0)))</f>
        <v>0.125</v>
      </c>
      <c r="P1545" s="73">
        <f>IF(OR(I1545=0,I1545=$A$1),0,MIN(O1545*M1545,1)*K1545)</f>
        <v>0.28909845950677444</v>
      </c>
      <c r="Q1545" s="73">
        <f>IF(B1545="",0,IF(OR(H1545=MappingTables!$C$34,H1545=MappingTables!$C$35),P1545,0))</f>
        <v>0</v>
      </c>
      <c r="R1545" s="73">
        <f>IF(ISNA(IF(AND(VLOOKUP(CONCATENATE($D1545,$G1545),CSRFinput!$B:$E,4,0)=0,OR(H1545=MappingTables!$C$31,H1545=MappingTables!$C$32)),1,VLOOKUP(CONCATENATE($D1545,$G1545),CSRFinput!$B:$E,4,0))),0,IF(AND(VLOOKUP(CONCATENATE($D1545,$G1545),CSRFinput!$B:$E,4,0)=0,OR(H1545=MappingTables!$C$31,H1545=MappingTables!$C$32)),1,VLOOKUP(CONCATENATE($D1545,$G1545),CSRFinput!$B:$E,4,0)))</f>
        <v>0.054776304963434752</v>
      </c>
      <c r="S1545" s="73">
        <f>IF(B1545="",0,P1545*R1545)</f>
        <v>0.015835745382402268</v>
      </c>
      <c r="T1545" s="85">
        <f>IF(B1545="",0,IF(OR(H1545=MappingTables!$C$34,H1545=MappingTables!$C$35),S1545,0))</f>
        <v>0</v>
      </c>
    </row>
    <row r="1546" spans="2:20" s="0" customFormat="0" ht="15">
      <c r="B1546" s="69" t="s">
        <v>3357</v>
      </c>
      <c r="C1546" s="70" t="s">
        <v>3358</v>
      </c>
      <c r="D1546" s="70" t="s">
        <v>1</v>
      </c>
      <c r="E1546" s="70" t="s">
        <v>1</v>
      </c>
      <c r="F1546" s="70"/>
      <c r="G1546" s="70" t="s">
        <v>61</v>
      </c>
      <c r="H1546" s="70" t="s">
        <v>178</v>
      </c>
      <c r="I1546" s="70" t="s">
        <v>198</v>
      </c>
      <c r="J1546" s="71" t="str">
        <f>IF(OR(I1546=0,I1546=""),"unrated",VLOOKUP(I1546,MappingTables!$B$19:$C$31,2,FALSE))</f>
        <v>unrated</v>
      </c>
      <c r="K1546" s="72">
        <v>6907.9057779649712</v>
      </c>
      <c r="L1546" s="70">
        <v>5.1831381165510256</v>
      </c>
      <c r="M1546" s="71">
        <f>IF(L1546&lt;1,1,L1546)</f>
        <v>5.1831381165510256</v>
      </c>
      <c r="N1546" s="70" t="s">
        <v>3288</v>
      </c>
      <c r="O1546" s="71">
        <f>IF(OR(I1546=$A$1,I1546=0),"",IF(N1546=MappingTables!$C$14,VLOOKUP(J1546,ModelParameters!$M$8:$N$15,2,FALSE),IF(N1546=MappingTables!$C$16,VLOOKUP(J1546,ModelParameters!$P$8:$Q$15,2,FALSE),0)))</f>
        <v>1</v>
      </c>
      <c r="P1546" s="73">
        <f>IF(OR(I1546=0,I1546=$A$1),0,MIN(O1546*M1546,1)*K1546)</f>
        <v>6907.9057779649712</v>
      </c>
      <c r="Q1546" s="73">
        <f>IF(B1546="",0,IF(OR(H1546=MappingTables!$C$34,H1546=MappingTables!$C$35),P1546,0))</f>
        <v>0</v>
      </c>
      <c r="R1546" s="73">
        <f>IF(ISNA(IF(AND(VLOOKUP(CONCATENATE($D1546,$G1546),CSRFinput!$B:$E,4,0)=0,OR(H1546=MappingTables!$C$31,H1546=MappingTables!$C$32)),1,VLOOKUP(CONCATENATE($D1546,$G1546),CSRFinput!$B:$E,4,0))),0,IF(AND(VLOOKUP(CONCATENATE($D1546,$G1546),CSRFinput!$B:$E,4,0)=0,OR(H1546=MappingTables!$C$31,H1546=MappingTables!$C$32)),1,VLOOKUP(CONCATENATE($D1546,$G1546),CSRFinput!$B:$E,4,0)))</f>
        <v>0.054776304963434752</v>
      </c>
      <c r="S1546" s="73">
        <f>IF(B1546="",0,P1546*R1546)</f>
        <v>378.38955355248224</v>
      </c>
      <c r="T1546" s="85">
        <f>IF(B1546="",0,IF(OR(H1546=MappingTables!$C$34,H1546=MappingTables!$C$35),S1546,0))</f>
        <v>0</v>
      </c>
    </row>
    <row r="1547" spans="2:20" s="0" customFormat="0" ht="15">
      <c r="B1547" s="69" t="s">
        <v>4973</v>
      </c>
      <c r="C1547" s="70" t="s">
        <v>4974</v>
      </c>
      <c r="D1547" s="70" t="s">
        <v>1</v>
      </c>
      <c r="E1547" s="70" t="s">
        <v>1</v>
      </c>
      <c r="F1547" s="70"/>
      <c r="G1547" s="70" t="s">
        <v>61</v>
      </c>
      <c r="H1547" s="70" t="s">
        <v>178</v>
      </c>
      <c r="I1547" s="70" t="s">
        <v>198</v>
      </c>
      <c r="J1547" s="71" t="str">
        <f>IF(OR(I1547=0,I1547=""),"unrated",VLOOKUP(I1547,MappingTables!$B$19:$C$31,2,FALSE))</f>
        <v>unrated</v>
      </c>
      <c r="K1547" s="72">
        <v>9.4811027336703872</v>
      </c>
      <c r="L1547" s="70">
        <v>12.57621574814762</v>
      </c>
      <c r="M1547" s="71">
        <f>IF(L1547&lt;1,1,L1547)</f>
        <v>12.57621574814762</v>
      </c>
      <c r="N1547" s="70" t="s">
        <v>3288</v>
      </c>
      <c r="O1547" s="71">
        <f>IF(OR(I1547=$A$1,I1547=0),"",IF(N1547=MappingTables!$C$14,VLOOKUP(J1547,ModelParameters!$M$8:$N$15,2,FALSE),IF(N1547=MappingTables!$C$16,VLOOKUP(J1547,ModelParameters!$P$8:$Q$15,2,FALSE),0)))</f>
        <v>1</v>
      </c>
      <c r="P1547" s="73">
        <f>IF(OR(I1547=0,I1547=$A$1),0,MIN(O1547*M1547,1)*K1547)</f>
        <v>9.4811027336703872</v>
      </c>
      <c r="Q1547" s="73">
        <f>IF(B1547="",0,IF(OR(H1547=MappingTables!$C$34,H1547=MappingTables!$C$35),P1547,0))</f>
        <v>0</v>
      </c>
      <c r="R1547" s="73">
        <f>IF(ISNA(IF(AND(VLOOKUP(CONCATENATE($D1547,$G1547),CSRFinput!$B:$E,4,0)=0,OR(H1547=MappingTables!$C$31,H1547=MappingTables!$C$32)),1,VLOOKUP(CONCATENATE($D1547,$G1547),CSRFinput!$B:$E,4,0))),0,IF(AND(VLOOKUP(CONCATENATE($D1547,$G1547),CSRFinput!$B:$E,4,0)=0,OR(H1547=MappingTables!$C$31,H1547=MappingTables!$C$32)),1,VLOOKUP(CONCATENATE($D1547,$G1547),CSRFinput!$B:$E,4,0)))</f>
        <v>0.054776304963434752</v>
      </c>
      <c r="S1547" s="73">
        <f>IF(B1547="",0,P1547*R1547)</f>
        <v>0.519339774729184</v>
      </c>
      <c r="T1547" s="85">
        <f>IF(B1547="",0,IF(OR(H1547=MappingTables!$C$34,H1547=MappingTables!$C$35),S1547,0))</f>
        <v>0</v>
      </c>
    </row>
    <row r="1548" spans="2:20" s="0" customFormat="0" ht="15">
      <c r="B1548" s="69" t="s">
        <v>5023</v>
      </c>
      <c r="C1548" s="70" t="s">
        <v>5024</v>
      </c>
      <c r="D1548" s="70" t="s">
        <v>1</v>
      </c>
      <c r="E1548" s="70" t="s">
        <v>1</v>
      </c>
      <c r="F1548" s="70"/>
      <c r="G1548" s="70" t="s">
        <v>61</v>
      </c>
      <c r="H1548" s="70" t="s">
        <v>178</v>
      </c>
      <c r="I1548" s="70" t="s">
        <v>198</v>
      </c>
      <c r="J1548" s="71" t="str">
        <f>IF(OR(I1548=0,I1548=""),"unrated",VLOOKUP(I1548,MappingTables!$B$19:$C$31,2,FALSE))</f>
        <v>unrated</v>
      </c>
      <c r="K1548" s="72">
        <v>9107.134178466144</v>
      </c>
      <c r="L1548" s="70">
        <v>11.130559359017068</v>
      </c>
      <c r="M1548" s="71">
        <f>IF(L1548&lt;1,1,L1548)</f>
        <v>11.130559359017068</v>
      </c>
      <c r="N1548" s="70" t="s">
        <v>3288</v>
      </c>
      <c r="O1548" s="71">
        <f>IF(OR(I1548=$A$1,I1548=0),"",IF(N1548=MappingTables!$C$14,VLOOKUP(J1548,ModelParameters!$M$8:$N$15,2,FALSE),IF(N1548=MappingTables!$C$16,VLOOKUP(J1548,ModelParameters!$P$8:$Q$15,2,FALSE),0)))</f>
        <v>1</v>
      </c>
      <c r="P1548" s="73">
        <f>IF(OR(I1548=0,I1548=$A$1),0,MIN(O1548*M1548,1)*K1548)</f>
        <v>9107.134178466144</v>
      </c>
      <c r="Q1548" s="73">
        <f>IF(B1548="",0,IF(OR(H1548=MappingTables!$C$34,H1548=MappingTables!$C$35),P1548,0))</f>
        <v>0</v>
      </c>
      <c r="R1548" s="73">
        <f>IF(ISNA(IF(AND(VLOOKUP(CONCATENATE($D1548,$G1548),CSRFinput!$B:$E,4,0)=0,OR(H1548=MappingTables!$C$31,H1548=MappingTables!$C$32)),1,VLOOKUP(CONCATENATE($D1548,$G1548),CSRFinput!$B:$E,4,0))),0,IF(AND(VLOOKUP(CONCATENATE($D1548,$G1548),CSRFinput!$B:$E,4,0)=0,OR(H1548=MappingTables!$C$31,H1548=MappingTables!$C$32)),1,VLOOKUP(CONCATENATE($D1548,$G1548),CSRFinput!$B:$E,4,0)))</f>
        <v>0.054776304963434752</v>
      </c>
      <c r="S1548" s="73">
        <f>IF(B1548="",0,P1548*R1548)</f>
        <v>498.85515910258128</v>
      </c>
      <c r="T1548" s="85">
        <f>IF(B1548="",0,IF(OR(H1548=MappingTables!$C$34,H1548=MappingTables!$C$35),S1548,0))</f>
        <v>0</v>
      </c>
    </row>
    <row r="1549" spans="2:20" s="0" customFormat="0" ht="15">
      <c r="B1549" s="69" t="s">
        <v>4314</v>
      </c>
      <c r="C1549" s="70" t="s">
        <v>4315</v>
      </c>
      <c r="D1549" s="70" t="s">
        <v>1</v>
      </c>
      <c r="E1549" s="70" t="s">
        <v>1</v>
      </c>
      <c r="F1549" s="70"/>
      <c r="G1549" s="70" t="s">
        <v>61</v>
      </c>
      <c r="H1549" s="70" t="s">
        <v>178</v>
      </c>
      <c r="I1549" s="70" t="s">
        <v>204</v>
      </c>
      <c r="J1549" s="71">
        <f>IF(OR(I1549=0,I1549=""),"unrated",VLOOKUP(I1549,MappingTables!$B$19:$C$31,2,FALSE))</f>
        <v>6</v>
      </c>
      <c r="K1549" s="72">
        <v>361.21903864073672</v>
      </c>
      <c r="L1549" s="70">
        <v>0.63817545310740144</v>
      </c>
      <c r="M1549" s="71">
        <f>IF(L1549&lt;1,1,L1549)</f>
        <v>1</v>
      </c>
      <c r="N1549" s="70" t="s">
        <v>3288</v>
      </c>
      <c r="O1549" s="71">
        <f>IF(OR(I1549=$A$1,I1549=0),"",IF(N1549=MappingTables!$C$14,VLOOKUP(J1549,ModelParameters!$M$8:$N$15,2,FALSE),IF(N1549=MappingTables!$C$16,VLOOKUP(J1549,ModelParameters!$P$8:$Q$15,2,FALSE),0)))</f>
        <v>1</v>
      </c>
      <c r="P1549" s="73">
        <f>IF(OR(I1549=0,I1549=$A$1),0,MIN(O1549*M1549,1)*K1549)</f>
        <v>361.21903864073672</v>
      </c>
      <c r="Q1549" s="73">
        <f>IF(B1549="",0,IF(OR(H1549=MappingTables!$C$34,H1549=MappingTables!$C$35),P1549,0))</f>
        <v>0</v>
      </c>
      <c r="R1549" s="73">
        <f>IF(ISNA(IF(AND(VLOOKUP(CONCATENATE($D1549,$G1549),CSRFinput!$B:$E,4,0)=0,OR(H1549=MappingTables!$C$31,H1549=MappingTables!$C$32)),1,VLOOKUP(CONCATENATE($D1549,$G1549),CSRFinput!$B:$E,4,0))),0,IF(AND(VLOOKUP(CONCATENATE($D1549,$G1549),CSRFinput!$B:$E,4,0)=0,OR(H1549=MappingTables!$C$31,H1549=MappingTables!$C$32)),1,VLOOKUP(CONCATENATE($D1549,$G1549),CSRFinput!$B:$E,4,0)))</f>
        <v>0.054776304963434752</v>
      </c>
      <c r="S1549" s="73">
        <f>IF(B1549="",0,P1549*R1549)</f>
        <v>19.786244219183716</v>
      </c>
      <c r="T1549" s="85">
        <f>IF(B1549="",0,IF(OR(H1549=MappingTables!$C$34,H1549=MappingTables!$C$35),S1549,0))</f>
        <v>0</v>
      </c>
    </row>
    <row r="1550" spans="2:20" s="0" customFormat="0" ht="15">
      <c r="B1550" s="69" t="s">
        <v>5025</v>
      </c>
      <c r="C1550" s="70" t="s">
        <v>5026</v>
      </c>
      <c r="D1550" s="70" t="s">
        <v>1</v>
      </c>
      <c r="E1550" s="70" t="s">
        <v>1</v>
      </c>
      <c r="F1550" s="70"/>
      <c r="G1550" s="70" t="s">
        <v>61</v>
      </c>
      <c r="H1550" s="70" t="s">
        <v>178</v>
      </c>
      <c r="I1550" s="70" t="s">
        <v>3298</v>
      </c>
      <c r="J1550" s="71">
        <f>IF(OR(I1550=0,I1550=""),"unrated",VLOOKUP(I1550,MappingTables!$B$19:$C$31,2,FALSE))</f>
        <v>6</v>
      </c>
      <c r="K1550" s="72">
        <v>291.97435286734316</v>
      </c>
      <c r="L1550" s="70">
        <v>-0.3421992850822964</v>
      </c>
      <c r="M1550" s="71">
        <f>IF(L1550&lt;1,1,L1550)</f>
        <v>1</v>
      </c>
      <c r="N1550" s="70" t="s">
        <v>3288</v>
      </c>
      <c r="O1550" s="71">
        <f>IF(OR(I1550=$A$1,I1550=0),"",IF(N1550=MappingTables!$C$14,VLOOKUP(J1550,ModelParameters!$M$8:$N$15,2,FALSE),IF(N1550=MappingTables!$C$16,VLOOKUP(J1550,ModelParameters!$P$8:$Q$15,2,FALSE),0)))</f>
        <v>1</v>
      </c>
      <c r="P1550" s="73">
        <f>IF(OR(I1550=0,I1550=$A$1),0,MIN(O1550*M1550,1)*K1550)</f>
        <v>291.97435286734316</v>
      </c>
      <c r="Q1550" s="73">
        <f>IF(B1550="",0,IF(OR(H1550=MappingTables!$C$34,H1550=MappingTables!$C$35),P1550,0))</f>
        <v>0</v>
      </c>
      <c r="R1550" s="73">
        <f>IF(ISNA(IF(AND(VLOOKUP(CONCATENATE($D1550,$G1550),CSRFinput!$B:$E,4,0)=0,OR(H1550=MappingTables!$C$31,H1550=MappingTables!$C$32)),1,VLOOKUP(CONCATENATE($D1550,$G1550),CSRFinput!$B:$E,4,0))),0,IF(AND(VLOOKUP(CONCATENATE($D1550,$G1550),CSRFinput!$B:$E,4,0)=0,OR(H1550=MappingTables!$C$31,H1550=MappingTables!$C$32)),1,VLOOKUP(CONCATENATE($D1550,$G1550),CSRFinput!$B:$E,4,0)))</f>
        <v>0.054776304963434752</v>
      </c>
      <c r="S1550" s="73">
        <f>IF(B1550="",0,P1550*R1550)</f>
        <v>15.9932761941631</v>
      </c>
      <c r="T1550" s="85">
        <f>IF(B1550="",0,IF(OR(H1550=MappingTables!$C$34,H1550=MappingTables!$C$35),S1550,0))</f>
        <v>0</v>
      </c>
    </row>
    <row r="1551" spans="2:20" s="0" customFormat="0" ht="15">
      <c r="B1551" s="69" t="s">
        <v>4637</v>
      </c>
      <c r="C1551" s="70" t="s">
        <v>4638</v>
      </c>
      <c r="D1551" s="70" t="s">
        <v>1</v>
      </c>
      <c r="E1551" s="70" t="s">
        <v>1</v>
      </c>
      <c r="F1551" s="70"/>
      <c r="G1551" s="70" t="s">
        <v>61</v>
      </c>
      <c r="H1551" s="70" t="s">
        <v>178</v>
      </c>
      <c r="I1551" s="70" t="s">
        <v>198</v>
      </c>
      <c r="J1551" s="71" t="str">
        <f>IF(OR(I1551=0,I1551=""),"unrated",VLOOKUP(I1551,MappingTables!$B$19:$C$31,2,FALSE))</f>
        <v>unrated</v>
      </c>
      <c r="K1551" s="72">
        <v>74.407225480450352</v>
      </c>
      <c r="L1551" s="70">
        <v>0.15290092006762108</v>
      </c>
      <c r="M1551" s="71">
        <f>IF(L1551&lt;1,1,L1551)</f>
        <v>1</v>
      </c>
      <c r="N1551" s="70" t="s">
        <v>3288</v>
      </c>
      <c r="O1551" s="71">
        <f>IF(OR(I1551=$A$1,I1551=0),"",IF(N1551=MappingTables!$C$14,VLOOKUP(J1551,ModelParameters!$M$8:$N$15,2,FALSE),IF(N1551=MappingTables!$C$16,VLOOKUP(J1551,ModelParameters!$P$8:$Q$15,2,FALSE),0)))</f>
        <v>1</v>
      </c>
      <c r="P1551" s="73">
        <f>IF(OR(I1551=0,I1551=$A$1),0,MIN(O1551*M1551,1)*K1551)</f>
        <v>74.407225480450352</v>
      </c>
      <c r="Q1551" s="73">
        <f>IF(B1551="",0,IF(OR(H1551=MappingTables!$C$34,H1551=MappingTables!$C$35),P1551,0))</f>
        <v>0</v>
      </c>
      <c r="R1551" s="73">
        <f>IF(ISNA(IF(AND(VLOOKUP(CONCATENATE($D1551,$G1551),CSRFinput!$B:$E,4,0)=0,OR(H1551=MappingTables!$C$31,H1551=MappingTables!$C$32)),1,VLOOKUP(CONCATENATE($D1551,$G1551),CSRFinput!$B:$E,4,0))),0,IF(AND(VLOOKUP(CONCATENATE($D1551,$G1551),CSRFinput!$B:$E,4,0)=0,OR(H1551=MappingTables!$C$31,H1551=MappingTables!$C$32)),1,VLOOKUP(CONCATENATE($D1551,$G1551),CSRFinput!$B:$E,4,0)))</f>
        <v>0.054776304963434752</v>
      </c>
      <c r="S1551" s="73">
        <f>IF(B1551="",0,P1551*R1551)</f>
        <v>4.0757528744002016</v>
      </c>
      <c r="T1551" s="85">
        <f>IF(B1551="",0,IF(OR(H1551=MappingTables!$C$34,H1551=MappingTables!$C$35),S1551,0))</f>
        <v>0</v>
      </c>
    </row>
    <row r="1552" spans="2:20" s="0" customFormat="0" ht="15">
      <c r="B1552" s="69" t="s">
        <v>5027</v>
      </c>
      <c r="C1552" s="70" t="s">
        <v>5028</v>
      </c>
      <c r="D1552" s="70" t="s">
        <v>1</v>
      </c>
      <c r="E1552" s="70" t="s">
        <v>1</v>
      </c>
      <c r="F1552" s="70"/>
      <c r="G1552" s="70" t="s">
        <v>61</v>
      </c>
      <c r="H1552" s="70" t="s">
        <v>178</v>
      </c>
      <c r="I1552" s="70" t="s">
        <v>3298</v>
      </c>
      <c r="J1552" s="71">
        <f>IF(OR(I1552=0,I1552=""),"unrated",VLOOKUP(I1552,MappingTables!$B$19:$C$31,2,FALSE))</f>
        <v>6</v>
      </c>
      <c r="K1552" s="72">
        <v>51.897561448531736</v>
      </c>
      <c r="L1552" s="70">
        <v>0.068495732981500024</v>
      </c>
      <c r="M1552" s="71">
        <f>IF(L1552&lt;1,1,L1552)</f>
        <v>1</v>
      </c>
      <c r="N1552" s="70" t="s">
        <v>3288</v>
      </c>
      <c r="O1552" s="71">
        <f>IF(OR(I1552=$A$1,I1552=0),"",IF(N1552=MappingTables!$C$14,VLOOKUP(J1552,ModelParameters!$M$8:$N$15,2,FALSE),IF(N1552=MappingTables!$C$16,VLOOKUP(J1552,ModelParameters!$P$8:$Q$15,2,FALSE),0)))</f>
        <v>1</v>
      </c>
      <c r="P1552" s="73">
        <f>IF(OR(I1552=0,I1552=$A$1),0,MIN(O1552*M1552,1)*K1552)</f>
        <v>51.897561448531736</v>
      </c>
      <c r="Q1552" s="73">
        <f>IF(B1552="",0,IF(OR(H1552=MappingTables!$C$34,H1552=MappingTables!$C$35),P1552,0))</f>
        <v>0</v>
      </c>
      <c r="R1552" s="73">
        <f>IF(ISNA(IF(AND(VLOOKUP(CONCATENATE($D1552,$G1552),CSRFinput!$B:$E,4,0)=0,OR(H1552=MappingTables!$C$31,H1552=MappingTables!$C$32)),1,VLOOKUP(CONCATENATE($D1552,$G1552),CSRFinput!$B:$E,4,0))),0,IF(AND(VLOOKUP(CONCATENATE($D1552,$G1552),CSRFinput!$B:$E,4,0)=0,OR(H1552=MappingTables!$C$31,H1552=MappingTables!$C$32)),1,VLOOKUP(CONCATENATE($D1552,$G1552),CSRFinput!$B:$E,4,0)))</f>
        <v>0.054776304963434752</v>
      </c>
      <c r="S1552" s="73">
        <f>IF(B1552="",0,P1552*R1552)</f>
        <v>2.8427566527633692</v>
      </c>
      <c r="T1552" s="85">
        <f>IF(B1552="",0,IF(OR(H1552=MappingTables!$C$34,H1552=MappingTables!$C$35),S1552,0))</f>
        <v>0</v>
      </c>
    </row>
    <row r="1553" spans="2:20" s="0" customFormat="0" ht="15">
      <c r="B1553" s="69" t="s">
        <v>5029</v>
      </c>
      <c r="C1553" s="70" t="s">
        <v>5030</v>
      </c>
      <c r="D1553" s="70" t="s">
        <v>1</v>
      </c>
      <c r="E1553" s="70" t="s">
        <v>1</v>
      </c>
      <c r="F1553" s="70"/>
      <c r="G1553" s="70" t="s">
        <v>61</v>
      </c>
      <c r="H1553" s="70" t="s">
        <v>178</v>
      </c>
      <c r="I1553" s="70" t="s">
        <v>204</v>
      </c>
      <c r="J1553" s="71">
        <f>IF(OR(I1553=0,I1553=""),"unrated",VLOOKUP(I1553,MappingTables!$B$19:$C$31,2,FALSE))</f>
        <v>6</v>
      </c>
      <c r="K1553" s="72">
        <v>224.08357392626944</v>
      </c>
      <c r="L1553" s="70">
        <v>0.0431944111290926</v>
      </c>
      <c r="M1553" s="71">
        <f>IF(L1553&lt;1,1,L1553)</f>
        <v>1</v>
      </c>
      <c r="N1553" s="70" t="s">
        <v>3288</v>
      </c>
      <c r="O1553" s="71">
        <f>IF(OR(I1553=$A$1,I1553=0),"",IF(N1553=MappingTables!$C$14,VLOOKUP(J1553,ModelParameters!$M$8:$N$15,2,FALSE),IF(N1553=MappingTables!$C$16,VLOOKUP(J1553,ModelParameters!$P$8:$Q$15,2,FALSE),0)))</f>
        <v>1</v>
      </c>
      <c r="P1553" s="73">
        <f>IF(OR(I1553=0,I1553=$A$1),0,MIN(O1553*M1553,1)*K1553)</f>
        <v>224.08357392626944</v>
      </c>
      <c r="Q1553" s="73">
        <f>IF(B1553="",0,IF(OR(H1553=MappingTables!$C$34,H1553=MappingTables!$C$35),P1553,0))</f>
        <v>0</v>
      </c>
      <c r="R1553" s="73">
        <f>IF(ISNA(IF(AND(VLOOKUP(CONCATENATE($D1553,$G1553),CSRFinput!$B:$E,4,0)=0,OR(H1553=MappingTables!$C$31,H1553=MappingTables!$C$32)),1,VLOOKUP(CONCATENATE($D1553,$G1553),CSRFinput!$B:$E,4,0))),0,IF(AND(VLOOKUP(CONCATENATE($D1553,$G1553),CSRFinput!$B:$E,4,0)=0,OR(H1553=MappingTables!$C$31,H1553=MappingTables!$C$32)),1,VLOOKUP(CONCATENATE($D1553,$G1553),CSRFinput!$B:$E,4,0)))</f>
        <v>0.054776304963434752</v>
      </c>
      <c r="S1553" s="73">
        <f>IF(B1553="",0,P1553*R1553)</f>
        <v>12.274470182681712</v>
      </c>
      <c r="T1553" s="85">
        <f>IF(B1553="",0,IF(OR(H1553=MappingTables!$C$34,H1553=MappingTables!$C$35),S1553,0))</f>
        <v>0</v>
      </c>
    </row>
    <row r="1554" spans="2:20" s="0" customFormat="0" ht="15">
      <c r="B1554" s="69" t="s">
        <v>5031</v>
      </c>
      <c r="C1554" s="70" t="s">
        <v>5032</v>
      </c>
      <c r="D1554" s="70" t="s">
        <v>1</v>
      </c>
      <c r="E1554" s="70" t="s">
        <v>1</v>
      </c>
      <c r="F1554" s="70"/>
      <c r="G1554" s="70" t="s">
        <v>61</v>
      </c>
      <c r="H1554" s="70" t="s">
        <v>178</v>
      </c>
      <c r="I1554" s="70" t="s">
        <v>198</v>
      </c>
      <c r="J1554" s="71" t="str">
        <f>IF(OR(I1554=0,I1554=""),"unrated",VLOOKUP(I1554,MappingTables!$B$19:$C$31,2,FALSE))</f>
        <v>unrated</v>
      </c>
      <c r="K1554" s="72">
        <v>144.78012437314708</v>
      </c>
      <c r="L1554" s="70">
        <v>0.068489131539771568</v>
      </c>
      <c r="M1554" s="71">
        <f>IF(L1554&lt;1,1,L1554)</f>
        <v>1</v>
      </c>
      <c r="N1554" s="70" t="s">
        <v>3288</v>
      </c>
      <c r="O1554" s="71">
        <f>IF(OR(I1554=$A$1,I1554=0),"",IF(N1554=MappingTables!$C$14,VLOOKUP(J1554,ModelParameters!$M$8:$N$15,2,FALSE),IF(N1554=MappingTables!$C$16,VLOOKUP(J1554,ModelParameters!$P$8:$Q$15,2,FALSE),0)))</f>
        <v>1</v>
      </c>
      <c r="P1554" s="73">
        <f>IF(OR(I1554=0,I1554=$A$1),0,MIN(O1554*M1554,1)*K1554)</f>
        <v>144.78012437314708</v>
      </c>
      <c r="Q1554" s="73">
        <f>IF(B1554="",0,IF(OR(H1554=MappingTables!$C$34,H1554=MappingTables!$C$35),P1554,0))</f>
        <v>0</v>
      </c>
      <c r="R1554" s="73">
        <f>IF(ISNA(IF(AND(VLOOKUP(CONCATENATE($D1554,$G1554),CSRFinput!$B:$E,4,0)=0,OR(H1554=MappingTables!$C$31,H1554=MappingTables!$C$32)),1,VLOOKUP(CONCATENATE($D1554,$G1554),CSRFinput!$B:$E,4,0))),0,IF(AND(VLOOKUP(CONCATENATE($D1554,$G1554),CSRFinput!$B:$E,4,0)=0,OR(H1554=MappingTables!$C$31,H1554=MappingTables!$C$32)),1,VLOOKUP(CONCATENATE($D1554,$G1554),CSRFinput!$B:$E,4,0)))</f>
        <v>0.054776304963434752</v>
      </c>
      <c r="S1554" s="73">
        <f>IF(B1554="",0,P1554*R1554)</f>
        <v>7.9305202453075184</v>
      </c>
      <c r="T1554" s="85">
        <f>IF(B1554="",0,IF(OR(H1554=MappingTables!$C$34,H1554=MappingTables!$C$35),S1554,0))</f>
        <v>0</v>
      </c>
    </row>
    <row r="1555" spans="2:20" s="0" customFormat="0" ht="15">
      <c r="B1555" s="69" t="s">
        <v>5033</v>
      </c>
      <c r="C1555" s="70" t="s">
        <v>5034</v>
      </c>
      <c r="D1555" s="70" t="s">
        <v>1</v>
      </c>
      <c r="E1555" s="70" t="s">
        <v>1</v>
      </c>
      <c r="F1555" s="70"/>
      <c r="G1555" s="70" t="s">
        <v>61</v>
      </c>
      <c r="H1555" s="70" t="s">
        <v>178</v>
      </c>
      <c r="I1555" s="70" t="s">
        <v>216</v>
      </c>
      <c r="J1555" s="71">
        <f>IF(OR(I1555=0,I1555=""),"unrated",VLOOKUP(I1555,MappingTables!$B$19:$C$31,2,FALSE))</f>
        <v>0</v>
      </c>
      <c r="K1555" s="72">
        <v>2272.5779471777044</v>
      </c>
      <c r="L1555" s="70">
        <v>0.041096785811717912</v>
      </c>
      <c r="M1555" s="71">
        <f>IF(L1555&lt;1,1,L1555)</f>
        <v>1</v>
      </c>
      <c r="N1555" s="70" t="s">
        <v>3288</v>
      </c>
      <c r="O1555" s="71">
        <f>IF(OR(I1555=$A$1,I1555=0),"",IF(N1555=MappingTables!$C$14,VLOOKUP(J1555,ModelParameters!$M$8:$N$15,2,FALSE),IF(N1555=MappingTables!$C$16,VLOOKUP(J1555,ModelParameters!$P$8:$Q$15,2,FALSE),0)))</f>
        <v>0.125</v>
      </c>
      <c r="P1555" s="73">
        <f>IF(OR(I1555=0,I1555=$A$1),0,MIN(O1555*M1555,1)*K1555)</f>
        <v>284.07224339721308</v>
      </c>
      <c r="Q1555" s="73">
        <f>IF(B1555="",0,IF(OR(H1555=MappingTables!$C$34,H1555=MappingTables!$C$35),P1555,0))</f>
        <v>0</v>
      </c>
      <c r="R1555" s="73">
        <f>IF(ISNA(IF(AND(VLOOKUP(CONCATENATE($D1555,$G1555),CSRFinput!$B:$E,4,0)=0,OR(H1555=MappingTables!$C$31,H1555=MappingTables!$C$32)),1,VLOOKUP(CONCATENATE($D1555,$G1555),CSRFinput!$B:$E,4,0))),0,IF(AND(VLOOKUP(CONCATENATE($D1555,$G1555),CSRFinput!$B:$E,4,0)=0,OR(H1555=MappingTables!$C$31,H1555=MappingTables!$C$32)),1,VLOOKUP(CONCATENATE($D1555,$G1555),CSRFinput!$B:$E,4,0)))</f>
        <v>0.054776304963434752</v>
      </c>
      <c r="S1555" s="73">
        <f>IF(B1555="",0,P1555*R1555)</f>
        <v>15.560427835972808</v>
      </c>
      <c r="T1555" s="85">
        <f>IF(B1555="",0,IF(OR(H1555=MappingTables!$C$34,H1555=MappingTables!$C$35),S1555,0))</f>
        <v>0</v>
      </c>
    </row>
    <row r="1556" spans="2:20" s="0" customFormat="0" ht="15">
      <c r="B1556" s="69">
        <v>16974123</v>
      </c>
      <c r="C1556" s="70" t="s">
        <v>3323</v>
      </c>
      <c r="D1556" s="70" t="s">
        <v>1</v>
      </c>
      <c r="E1556" s="70" t="s">
        <v>1</v>
      </c>
      <c r="F1556" s="70"/>
      <c r="G1556" s="70" t="s">
        <v>61</v>
      </c>
      <c r="H1556" s="70" t="s">
        <v>178</v>
      </c>
      <c r="I1556" s="70" t="s">
        <v>216</v>
      </c>
      <c r="J1556" s="71">
        <f>IF(OR(I1556=0,I1556=""),"unrated",VLOOKUP(I1556,MappingTables!$B$19:$C$31,2,FALSE))</f>
        <v>0</v>
      </c>
      <c r="K1556" s="72">
        <v>130.93440712037492</v>
      </c>
      <c r="L1556" s="70">
        <v>5.9469868679397832</v>
      </c>
      <c r="M1556" s="71">
        <f>IF(L1556&lt;1,1,L1556)</f>
        <v>5.9469868679397832</v>
      </c>
      <c r="N1556" s="70" t="s">
        <v>3288</v>
      </c>
      <c r="O1556" s="71">
        <f>IF(OR(I1556=$A$1,I1556=0),"",IF(N1556=MappingTables!$C$14,VLOOKUP(J1556,ModelParameters!$M$8:$N$15,2,FALSE),IF(N1556=MappingTables!$C$16,VLOOKUP(J1556,ModelParameters!$P$8:$Q$15,2,FALSE),0)))</f>
        <v>0.125</v>
      </c>
      <c r="P1556" s="73">
        <f>IF(OR(I1556=0,I1556=$A$1),0,MIN(O1556*M1556,1)*K1556)</f>
        <v>97.333149963293856</v>
      </c>
      <c r="Q1556" s="73">
        <f>IF(B1556="",0,IF(OR(H1556=MappingTables!$C$34,H1556=MappingTables!$C$35),P1556,0))</f>
        <v>0</v>
      </c>
      <c r="R1556" s="73">
        <f>IF(ISNA(IF(AND(VLOOKUP(CONCATENATE($D1556,$G1556),CSRFinput!$B:$E,4,0)=0,OR(H1556=MappingTables!$C$31,H1556=MappingTables!$C$32)),1,VLOOKUP(CONCATENATE($D1556,$G1556),CSRFinput!$B:$E,4,0))),0,IF(AND(VLOOKUP(CONCATENATE($D1556,$G1556),CSRFinput!$B:$E,4,0)=0,OR(H1556=MappingTables!$C$31,H1556=MappingTables!$C$32)),1,VLOOKUP(CONCATENATE($D1556,$G1556),CSRFinput!$B:$E,4,0)))</f>
        <v>0.054776304963434752</v>
      </c>
      <c r="S1556" s="73">
        <f>IF(B1556="",0,P1556*R1556)</f>
        <v>5.3315503054411128</v>
      </c>
      <c r="T1556" s="85">
        <f>IF(B1556="",0,IF(OR(H1556=MappingTables!$C$34,H1556=MappingTables!$C$35),S1556,0))</f>
        <v>0</v>
      </c>
    </row>
    <row r="1557" spans="2:20" s="0" customFormat="0" ht="15">
      <c r="B1557" s="69" t="s">
        <v>5035</v>
      </c>
      <c r="C1557" s="70" t="s">
        <v>5036</v>
      </c>
      <c r="D1557" s="70" t="s">
        <v>1</v>
      </c>
      <c r="E1557" s="70" t="s">
        <v>1</v>
      </c>
      <c r="F1557" s="70"/>
      <c r="G1557" s="70" t="s">
        <v>61</v>
      </c>
      <c r="H1557" s="70" t="s">
        <v>178</v>
      </c>
      <c r="I1557" s="70" t="s">
        <v>198</v>
      </c>
      <c r="J1557" s="71" t="str">
        <f>IF(OR(I1557=0,I1557=""),"unrated",VLOOKUP(I1557,MappingTables!$B$19:$C$31,2,FALSE))</f>
        <v>unrated</v>
      </c>
      <c r="K1557" s="72">
        <v>176.3230303123207</v>
      </c>
      <c r="L1557" s="70">
        <v>0.13476153768995048</v>
      </c>
      <c r="M1557" s="71">
        <f>IF(L1557&lt;1,1,L1557)</f>
        <v>1</v>
      </c>
      <c r="N1557" s="70" t="s">
        <v>3288</v>
      </c>
      <c r="O1557" s="71">
        <f>IF(OR(I1557=$A$1,I1557=0),"",IF(N1557=MappingTables!$C$14,VLOOKUP(J1557,ModelParameters!$M$8:$N$15,2,FALSE),IF(N1557=MappingTables!$C$16,VLOOKUP(J1557,ModelParameters!$P$8:$Q$15,2,FALSE),0)))</f>
        <v>1</v>
      </c>
      <c r="P1557" s="73">
        <f>IF(OR(I1557=0,I1557=$A$1),0,MIN(O1557*M1557,1)*K1557)</f>
        <v>176.3230303123207</v>
      </c>
      <c r="Q1557" s="73">
        <f>IF(B1557="",0,IF(OR(H1557=MappingTables!$C$34,H1557=MappingTables!$C$35),P1557,0))</f>
        <v>0</v>
      </c>
      <c r="R1557" s="73">
        <f>IF(ISNA(IF(AND(VLOOKUP(CONCATENATE($D1557,$G1557),CSRFinput!$B:$E,4,0)=0,OR(H1557=MappingTables!$C$31,H1557=MappingTables!$C$32)),1,VLOOKUP(CONCATENATE($D1557,$G1557),CSRFinput!$B:$E,4,0))),0,IF(AND(VLOOKUP(CONCATENATE($D1557,$G1557),CSRFinput!$B:$E,4,0)=0,OR(H1557=MappingTables!$C$31,H1557=MappingTables!$C$32)),1,VLOOKUP(CONCATENATE($D1557,$G1557),CSRFinput!$B:$E,4,0)))</f>
        <v>0.054776304963434752</v>
      </c>
      <c r="S1557" s="73">
        <f>IF(B1557="",0,P1557*R1557)</f>
        <v>9.6583240804646288</v>
      </c>
      <c r="T1557" s="85">
        <f>IF(B1557="",0,IF(OR(H1557=MappingTables!$C$34,H1557=MappingTables!$C$35),S1557,0))</f>
        <v>0</v>
      </c>
    </row>
    <row r="1558" spans="2:20" s="0" customFormat="0" ht="15">
      <c r="B1558" s="69" t="s">
        <v>3334</v>
      </c>
      <c r="C1558" s="70" t="s">
        <v>3335</v>
      </c>
      <c r="D1558" s="70" t="s">
        <v>1</v>
      </c>
      <c r="E1558" s="70" t="s">
        <v>1</v>
      </c>
      <c r="F1558" s="70"/>
      <c r="G1558" s="70" t="s">
        <v>61</v>
      </c>
      <c r="H1558" s="70" t="s">
        <v>178</v>
      </c>
      <c r="I1558" s="70" t="s">
        <v>3298</v>
      </c>
      <c r="J1558" s="71">
        <f>IF(OR(I1558=0,I1558=""),"unrated",VLOOKUP(I1558,MappingTables!$B$19:$C$31,2,FALSE))</f>
        <v>6</v>
      </c>
      <c r="K1558" s="72">
        <v>538.71324219235632</v>
      </c>
      <c r="L1558" s="70">
        <v>0.068493859523501328</v>
      </c>
      <c r="M1558" s="71">
        <f>IF(L1558&lt;1,1,L1558)</f>
        <v>1</v>
      </c>
      <c r="N1558" s="70" t="s">
        <v>3288</v>
      </c>
      <c r="O1558" s="71">
        <f>IF(OR(I1558=$A$1,I1558=0),"",IF(N1558=MappingTables!$C$14,VLOOKUP(J1558,ModelParameters!$M$8:$N$15,2,FALSE),IF(N1558=MappingTables!$C$16,VLOOKUP(J1558,ModelParameters!$P$8:$Q$15,2,FALSE),0)))</f>
        <v>1</v>
      </c>
      <c r="P1558" s="73">
        <f>IF(OR(I1558=0,I1558=$A$1),0,MIN(O1558*M1558,1)*K1558)</f>
        <v>538.71324219235632</v>
      </c>
      <c r="Q1558" s="73">
        <f>IF(B1558="",0,IF(OR(H1558=MappingTables!$C$34,H1558=MappingTables!$C$35),P1558,0))</f>
        <v>0</v>
      </c>
      <c r="R1558" s="73">
        <f>IF(ISNA(IF(AND(VLOOKUP(CONCATENATE($D1558,$G1558),CSRFinput!$B:$E,4,0)=0,OR(H1558=MappingTables!$C$31,H1558=MappingTables!$C$32)),1,VLOOKUP(CONCATENATE($D1558,$G1558),CSRFinput!$B:$E,4,0))),0,IF(AND(VLOOKUP(CONCATENATE($D1558,$G1558),CSRFinput!$B:$E,4,0)=0,OR(H1558=MappingTables!$C$31,H1558=MappingTables!$C$32)),1,VLOOKUP(CONCATENATE($D1558,$G1558),CSRFinput!$B:$E,4,0)))</f>
        <v>0.054776304963434752</v>
      </c>
      <c r="S1558" s="73">
        <f>IF(B1558="",0,P1558*R1558)</f>
        <v>29.508720842169196</v>
      </c>
      <c r="T1558" s="85">
        <f>IF(B1558="",0,IF(OR(H1558=MappingTables!$C$34,H1558=MappingTables!$C$35),S1558,0))</f>
        <v>0</v>
      </c>
    </row>
    <row r="1559" spans="2:20" s="0" customFormat="0" ht="15">
      <c r="B1559" s="69" t="s">
        <v>5037</v>
      </c>
      <c r="C1559" s="70" t="s">
        <v>5038</v>
      </c>
      <c r="D1559" s="70" t="s">
        <v>1</v>
      </c>
      <c r="E1559" s="70" t="s">
        <v>1</v>
      </c>
      <c r="F1559" s="70"/>
      <c r="G1559" s="70" t="s">
        <v>61</v>
      </c>
      <c r="H1559" s="70" t="s">
        <v>178</v>
      </c>
      <c r="I1559" s="70" t="s">
        <v>204</v>
      </c>
      <c r="J1559" s="71">
        <f>IF(OR(I1559=0,I1559=""),"unrated",VLOOKUP(I1559,MappingTables!$B$19:$C$31,2,FALSE))</f>
        <v>6</v>
      </c>
      <c r="K1559" s="72">
        <v>185.2284669016428</v>
      </c>
      <c r="L1559" s="70">
        <v>0.06878514297495868</v>
      </c>
      <c r="M1559" s="71">
        <f>IF(L1559&lt;1,1,L1559)</f>
        <v>1</v>
      </c>
      <c r="N1559" s="70" t="s">
        <v>3288</v>
      </c>
      <c r="O1559" s="71">
        <f>IF(OR(I1559=$A$1,I1559=0),"",IF(N1559=MappingTables!$C$14,VLOOKUP(J1559,ModelParameters!$M$8:$N$15,2,FALSE),IF(N1559=MappingTables!$C$16,VLOOKUP(J1559,ModelParameters!$P$8:$Q$15,2,FALSE),0)))</f>
        <v>1</v>
      </c>
      <c r="P1559" s="73">
        <f>IF(OR(I1559=0,I1559=$A$1),0,MIN(O1559*M1559,1)*K1559)</f>
        <v>185.2284669016428</v>
      </c>
      <c r="Q1559" s="73">
        <f>IF(B1559="",0,IF(OR(H1559=MappingTables!$C$34,H1559=MappingTables!$C$35),P1559,0))</f>
        <v>0</v>
      </c>
      <c r="R1559" s="73">
        <f>IF(ISNA(IF(AND(VLOOKUP(CONCATENATE($D1559,$G1559),CSRFinput!$B:$E,4,0)=0,OR(H1559=MappingTables!$C$31,H1559=MappingTables!$C$32)),1,VLOOKUP(CONCATENATE($D1559,$G1559),CSRFinput!$B:$E,4,0))),0,IF(AND(VLOOKUP(CONCATENATE($D1559,$G1559),CSRFinput!$B:$E,4,0)=0,OR(H1559=MappingTables!$C$31,H1559=MappingTables!$C$32)),1,VLOOKUP(CONCATENATE($D1559,$G1559),CSRFinput!$B:$E,4,0)))</f>
        <v>0.054776304963434752</v>
      </c>
      <c r="S1559" s="73">
        <f>IF(B1559="",0,P1559*R1559)</f>
        <v>10.146130990913866</v>
      </c>
      <c r="T1559" s="85">
        <f>IF(B1559="",0,IF(OR(H1559=MappingTables!$C$34,H1559=MappingTables!$C$35),S1559,0))</f>
        <v>0</v>
      </c>
    </row>
    <row r="1560" spans="2:20" s="0" customFormat="0" ht="15">
      <c r="B1560" s="69" t="s">
        <v>4190</v>
      </c>
      <c r="C1560" s="70" t="s">
        <v>4191</v>
      </c>
      <c r="D1560" s="70" t="s">
        <v>1</v>
      </c>
      <c r="E1560" s="70" t="s">
        <v>1</v>
      </c>
      <c r="F1560" s="70"/>
      <c r="G1560" s="70" t="s">
        <v>61</v>
      </c>
      <c r="H1560" s="70" t="s">
        <v>178</v>
      </c>
      <c r="I1560" s="70" t="s">
        <v>216</v>
      </c>
      <c r="J1560" s="71">
        <f>IF(OR(I1560=0,I1560=""),"unrated",VLOOKUP(I1560,MappingTables!$B$19:$C$31,2,FALSE))</f>
        <v>0</v>
      </c>
      <c r="K1560" s="72">
        <v>391.68085469826424</v>
      </c>
      <c r="L1560" s="70">
        <v>0.054796555110883768</v>
      </c>
      <c r="M1560" s="71">
        <f>IF(L1560&lt;1,1,L1560)</f>
        <v>1</v>
      </c>
      <c r="N1560" s="70" t="s">
        <v>3288</v>
      </c>
      <c r="O1560" s="71">
        <f>IF(OR(I1560=$A$1,I1560=0),"",IF(N1560=MappingTables!$C$14,VLOOKUP(J1560,ModelParameters!$M$8:$N$15,2,FALSE),IF(N1560=MappingTables!$C$16,VLOOKUP(J1560,ModelParameters!$P$8:$Q$15,2,FALSE),0)))</f>
        <v>0.125</v>
      </c>
      <c r="P1560" s="73">
        <f>IF(OR(I1560=0,I1560=$A$1),0,MIN(O1560*M1560,1)*K1560)</f>
        <v>48.960106837283032</v>
      </c>
      <c r="Q1560" s="73">
        <f>IF(B1560="",0,IF(OR(H1560=MappingTables!$C$34,H1560=MappingTables!$C$35),P1560,0))</f>
        <v>0</v>
      </c>
      <c r="R1560" s="73">
        <f>IF(ISNA(IF(AND(VLOOKUP(CONCATENATE($D1560,$G1560),CSRFinput!$B:$E,4,0)=0,OR(H1560=MappingTables!$C$31,H1560=MappingTables!$C$32)),1,VLOOKUP(CONCATENATE($D1560,$G1560),CSRFinput!$B:$E,4,0))),0,IF(AND(VLOOKUP(CONCATENATE($D1560,$G1560),CSRFinput!$B:$E,4,0)=0,OR(H1560=MappingTables!$C$31,H1560=MappingTables!$C$32)),1,VLOOKUP(CONCATENATE($D1560,$G1560),CSRFinput!$B:$E,4,0)))</f>
        <v>0.054776304963434752</v>
      </c>
      <c r="S1560" s="73">
        <f>IF(B1560="",0,P1560*R1560)</f>
        <v>2.681853743161362</v>
      </c>
      <c r="T1560" s="85">
        <f>IF(B1560="",0,IF(OR(H1560=MappingTables!$C$34,H1560=MappingTables!$C$35),S1560,0))</f>
        <v>0</v>
      </c>
    </row>
    <row r="1561" spans="2:20" s="0" customFormat="0" ht="15">
      <c r="B1561" s="69" t="s">
        <v>5039</v>
      </c>
      <c r="C1561" s="70" t="s">
        <v>5040</v>
      </c>
      <c r="D1561" s="70" t="s">
        <v>1</v>
      </c>
      <c r="E1561" s="70" t="s">
        <v>1</v>
      </c>
      <c r="F1561" s="70"/>
      <c r="G1561" s="70" t="s">
        <v>61</v>
      </c>
      <c r="H1561" s="70" t="s">
        <v>178</v>
      </c>
      <c r="I1561" s="70" t="s">
        <v>198</v>
      </c>
      <c r="J1561" s="71" t="str">
        <f>IF(OR(I1561=0,I1561=""),"unrated",VLOOKUP(I1561,MappingTables!$B$19:$C$31,2,FALSE))</f>
        <v>unrated</v>
      </c>
      <c r="K1561" s="72">
        <v>14.114822984969054</v>
      </c>
      <c r="L1561" s="70">
        <v>40.297326172255504</v>
      </c>
      <c r="M1561" s="71">
        <f>IF(L1561&lt;1,1,L1561)</f>
        <v>40.297326172255504</v>
      </c>
      <c r="N1561" s="70" t="s">
        <v>3288</v>
      </c>
      <c r="O1561" s="71">
        <f>IF(OR(I1561=$A$1,I1561=0),"",IF(N1561=MappingTables!$C$14,VLOOKUP(J1561,ModelParameters!$M$8:$N$15,2,FALSE),IF(N1561=MappingTables!$C$16,VLOOKUP(J1561,ModelParameters!$P$8:$Q$15,2,FALSE),0)))</f>
        <v>1</v>
      </c>
      <c r="P1561" s="73">
        <f>IF(OR(I1561=0,I1561=$A$1),0,MIN(O1561*M1561,1)*K1561)</f>
        <v>14.114822984969054</v>
      </c>
      <c r="Q1561" s="73">
        <f>IF(B1561="",0,IF(OR(H1561=MappingTables!$C$34,H1561=MappingTables!$C$35),P1561,0))</f>
        <v>0</v>
      </c>
      <c r="R1561" s="73">
        <f>IF(ISNA(IF(AND(VLOOKUP(CONCATENATE($D1561,$G1561),CSRFinput!$B:$E,4,0)=0,OR(H1561=MappingTables!$C$31,H1561=MappingTables!$C$32)),1,VLOOKUP(CONCATENATE($D1561,$G1561),CSRFinput!$B:$E,4,0))),0,IF(AND(VLOOKUP(CONCATENATE($D1561,$G1561),CSRFinput!$B:$E,4,0)=0,OR(H1561=MappingTables!$C$31,H1561=MappingTables!$C$32)),1,VLOOKUP(CONCATENATE($D1561,$G1561),CSRFinput!$B:$E,4,0)))</f>
        <v>0.054776304963434752</v>
      </c>
      <c r="S1561" s="73">
        <f>IF(B1561="",0,P1561*R1561)</f>
        <v>0.77315784832956336</v>
      </c>
      <c r="T1561" s="85">
        <f>IF(B1561="",0,IF(OR(H1561=MappingTables!$C$34,H1561=MappingTables!$C$35),S1561,0))</f>
        <v>0</v>
      </c>
    </row>
    <row r="1562" spans="2:20" s="0" customFormat="0" ht="15">
      <c r="B1562" s="69" t="s">
        <v>4479</v>
      </c>
      <c r="C1562" s="70" t="s">
        <v>4480</v>
      </c>
      <c r="D1562" s="70" t="s">
        <v>1</v>
      </c>
      <c r="E1562" s="70" t="s">
        <v>1</v>
      </c>
      <c r="F1562" s="70"/>
      <c r="G1562" s="70" t="s">
        <v>61</v>
      </c>
      <c r="H1562" s="70" t="s">
        <v>178</v>
      </c>
      <c r="I1562" s="70" t="s">
        <v>181</v>
      </c>
      <c r="J1562" s="71">
        <f>IF(OR(I1562=0,I1562=""),"unrated",VLOOKUP(I1562,MappingTables!$B$19:$C$31,2,FALSE))</f>
        <v>3</v>
      </c>
      <c r="K1562" s="72">
        <v>21.953415220798156</v>
      </c>
      <c r="L1562" s="70">
        <v>0.06849472454159632</v>
      </c>
      <c r="M1562" s="71">
        <f>IF(L1562&lt;1,1,L1562)</f>
        <v>1</v>
      </c>
      <c r="N1562" s="70" t="s">
        <v>3288</v>
      </c>
      <c r="O1562" s="71">
        <f>IF(OR(I1562=$A$1,I1562=0),"",IF(N1562=MappingTables!$C$14,VLOOKUP(J1562,ModelParameters!$M$8:$N$15,2,FALSE),IF(N1562=MappingTables!$C$16,VLOOKUP(J1562,ModelParameters!$P$8:$Q$15,2,FALSE),0)))</f>
        <v>0.197</v>
      </c>
      <c r="P1562" s="73">
        <f>IF(OR(I1562=0,I1562=$A$1),0,MIN(O1562*M1562,1)*K1562)</f>
        <v>4.3248227984972368</v>
      </c>
      <c r="Q1562" s="73">
        <f>IF(B1562="",0,IF(OR(H1562=MappingTables!$C$34,H1562=MappingTables!$C$35),P1562,0))</f>
        <v>0</v>
      </c>
      <c r="R1562" s="73">
        <f>IF(ISNA(IF(AND(VLOOKUP(CONCATENATE($D1562,$G1562),CSRFinput!$B:$E,4,0)=0,OR(H1562=MappingTables!$C$31,H1562=MappingTables!$C$32)),1,VLOOKUP(CONCATENATE($D1562,$G1562),CSRFinput!$B:$E,4,0))),0,IF(AND(VLOOKUP(CONCATENATE($D1562,$G1562),CSRFinput!$B:$E,4,0)=0,OR(H1562=MappingTables!$C$31,H1562=MappingTables!$C$32)),1,VLOOKUP(CONCATENATE($D1562,$G1562),CSRFinput!$B:$E,4,0)))</f>
        <v>0.054776304963434752</v>
      </c>
      <c r="S1562" s="73">
        <f>IF(B1562="",0,P1562*R1562)</f>
        <v>0.23689781252329996</v>
      </c>
      <c r="T1562" s="85">
        <f>IF(B1562="",0,IF(OR(H1562=MappingTables!$C$34,H1562=MappingTables!$C$35),S1562,0))</f>
        <v>0</v>
      </c>
    </row>
    <row r="1563" spans="2:20" s="0" customFormat="0" ht="15">
      <c r="B1563" s="69">
        <v>6599957</v>
      </c>
      <c r="C1563" s="70" t="s">
        <v>4600</v>
      </c>
      <c r="D1563" s="70" t="s">
        <v>1</v>
      </c>
      <c r="E1563" s="70" t="s">
        <v>1</v>
      </c>
      <c r="F1563" s="70"/>
      <c r="G1563" s="70" t="s">
        <v>61</v>
      </c>
      <c r="H1563" s="70" t="s">
        <v>178</v>
      </c>
      <c r="I1563" s="70" t="s">
        <v>204</v>
      </c>
      <c r="J1563" s="71">
        <f>IF(OR(I1563=0,I1563=""),"unrated",VLOOKUP(I1563,MappingTables!$B$19:$C$31,2,FALSE))</f>
        <v>6</v>
      </c>
      <c r="K1563" s="72">
        <v>59.276641011706504</v>
      </c>
      <c r="L1563" s="70">
        <v>0.068489760918796632</v>
      </c>
      <c r="M1563" s="71">
        <f>IF(L1563&lt;1,1,L1563)</f>
        <v>1</v>
      </c>
      <c r="N1563" s="70" t="s">
        <v>3288</v>
      </c>
      <c r="O1563" s="71">
        <f>IF(OR(I1563=$A$1,I1563=0),"",IF(N1563=MappingTables!$C$14,VLOOKUP(J1563,ModelParameters!$M$8:$N$15,2,FALSE),IF(N1563=MappingTables!$C$16,VLOOKUP(J1563,ModelParameters!$P$8:$Q$15,2,FALSE),0)))</f>
        <v>1</v>
      </c>
      <c r="P1563" s="73">
        <f>IF(OR(I1563=0,I1563=$A$1),0,MIN(O1563*M1563,1)*K1563)</f>
        <v>59.276641011706504</v>
      </c>
      <c r="Q1563" s="73">
        <f>IF(B1563="",0,IF(OR(H1563=MappingTables!$C$34,H1563=MappingTables!$C$35),P1563,0))</f>
        <v>0</v>
      </c>
      <c r="R1563" s="73">
        <f>IF(ISNA(IF(AND(VLOOKUP(CONCATENATE($D1563,$G1563),CSRFinput!$B:$E,4,0)=0,OR(H1563=MappingTables!$C$31,H1563=MappingTables!$C$32)),1,VLOOKUP(CONCATENATE($D1563,$G1563),CSRFinput!$B:$E,4,0))),0,IF(AND(VLOOKUP(CONCATENATE($D1563,$G1563),CSRFinput!$B:$E,4,0)=0,OR(H1563=MappingTables!$C$31,H1563=MappingTables!$C$32)),1,VLOOKUP(CONCATENATE($D1563,$G1563),CSRFinput!$B:$E,4,0)))</f>
        <v>0.054776304963434752</v>
      </c>
      <c r="S1563" s="73">
        <f>IF(B1563="",0,P1563*R1563)</f>
        <v>3.2469553652652788</v>
      </c>
      <c r="T1563" s="85">
        <f>IF(B1563="",0,IF(OR(H1563=MappingTables!$C$34,H1563=MappingTables!$C$35),S1563,0))</f>
        <v>0</v>
      </c>
    </row>
    <row r="1564" spans="2:20" s="0" customFormat="0" ht="15">
      <c r="B1564" s="69" t="s">
        <v>4481</v>
      </c>
      <c r="C1564" s="70" t="s">
        <v>4482</v>
      </c>
      <c r="D1564" s="70" t="s">
        <v>1</v>
      </c>
      <c r="E1564" s="70" t="s">
        <v>1</v>
      </c>
      <c r="F1564" s="70"/>
      <c r="G1564" s="70" t="s">
        <v>61</v>
      </c>
      <c r="H1564" s="70" t="s">
        <v>178</v>
      </c>
      <c r="I1564" s="70" t="s">
        <v>198</v>
      </c>
      <c r="J1564" s="71" t="str">
        <f>IF(OR(I1564=0,I1564=""),"unrated",VLOOKUP(I1564,MappingTables!$B$19:$C$31,2,FALSE))</f>
        <v>unrated</v>
      </c>
      <c r="K1564" s="72">
        <v>21.377677709535776</v>
      </c>
      <c r="L1564" s="70">
        <v>0.068493071757815296</v>
      </c>
      <c r="M1564" s="71">
        <f>IF(L1564&lt;1,1,L1564)</f>
        <v>1</v>
      </c>
      <c r="N1564" s="70" t="s">
        <v>3288</v>
      </c>
      <c r="O1564" s="71">
        <f>IF(OR(I1564=$A$1,I1564=0),"",IF(N1564=MappingTables!$C$14,VLOOKUP(J1564,ModelParameters!$M$8:$N$15,2,FALSE),IF(N1564=MappingTables!$C$16,VLOOKUP(J1564,ModelParameters!$P$8:$Q$15,2,FALSE),0)))</f>
        <v>1</v>
      </c>
      <c r="P1564" s="73">
        <f>IF(OR(I1564=0,I1564=$A$1),0,MIN(O1564*M1564,1)*K1564)</f>
        <v>21.377677709535776</v>
      </c>
      <c r="Q1564" s="73">
        <f>IF(B1564="",0,IF(OR(H1564=MappingTables!$C$34,H1564=MappingTables!$C$35),P1564,0))</f>
        <v>0</v>
      </c>
      <c r="R1564" s="73">
        <f>IF(ISNA(IF(AND(VLOOKUP(CONCATENATE($D1564,$G1564),CSRFinput!$B:$E,4,0)=0,OR(H1564=MappingTables!$C$31,H1564=MappingTables!$C$32)),1,VLOOKUP(CONCATENATE($D1564,$G1564),CSRFinput!$B:$E,4,0))),0,IF(AND(VLOOKUP(CONCATENATE($D1564,$G1564),CSRFinput!$B:$E,4,0)=0,OR(H1564=MappingTables!$C$31,H1564=MappingTables!$C$32)),1,VLOOKUP(CONCATENATE($D1564,$G1564),CSRFinput!$B:$E,4,0)))</f>
        <v>0.054776304963434752</v>
      </c>
      <c r="S1564" s="73">
        <f>IF(B1564="",0,P1564*R1564)</f>
        <v>1.170990193627553</v>
      </c>
      <c r="T1564" s="85">
        <f>IF(B1564="",0,IF(OR(H1564=MappingTables!$C$34,H1564=MappingTables!$C$35),S1564,0))</f>
        <v>0</v>
      </c>
    </row>
    <row r="1565" spans="2:20" s="0" customFormat="0" ht="15">
      <c r="B1565" s="69" t="s">
        <v>4836</v>
      </c>
      <c r="C1565" s="70" t="s">
        <v>4837</v>
      </c>
      <c r="D1565" s="70" t="s">
        <v>1</v>
      </c>
      <c r="E1565" s="70" t="s">
        <v>1</v>
      </c>
      <c r="F1565" s="70"/>
      <c r="G1565" s="70" t="s">
        <v>61</v>
      </c>
      <c r="H1565" s="70" t="s">
        <v>178</v>
      </c>
      <c r="I1565" s="70" t="s">
        <v>198</v>
      </c>
      <c r="J1565" s="71" t="str">
        <f>IF(OR(I1565=0,I1565=""),"unrated",VLOOKUP(I1565,MappingTables!$B$19:$C$31,2,FALSE))</f>
        <v>unrated</v>
      </c>
      <c r="K1565" s="72">
        <v>1905.5692034275984</v>
      </c>
      <c r="L1565" s="70">
        <v>12.301593790445576</v>
      </c>
      <c r="M1565" s="71">
        <f>IF(L1565&lt;1,1,L1565)</f>
        <v>12.301593790445576</v>
      </c>
      <c r="N1565" s="70" t="s">
        <v>3288</v>
      </c>
      <c r="O1565" s="71">
        <f>IF(OR(I1565=$A$1,I1565=0),"",IF(N1565=MappingTables!$C$14,VLOOKUP(J1565,ModelParameters!$M$8:$N$15,2,FALSE),IF(N1565=MappingTables!$C$16,VLOOKUP(J1565,ModelParameters!$P$8:$Q$15,2,FALSE),0)))</f>
        <v>1</v>
      </c>
      <c r="P1565" s="73">
        <f>IF(OR(I1565=0,I1565=$A$1),0,MIN(O1565*M1565,1)*K1565)</f>
        <v>1905.5692034275984</v>
      </c>
      <c r="Q1565" s="73">
        <f>IF(B1565="",0,IF(OR(H1565=MappingTables!$C$34,H1565=MappingTables!$C$35),P1565,0))</f>
        <v>0</v>
      </c>
      <c r="R1565" s="73">
        <f>IF(ISNA(IF(AND(VLOOKUP(CONCATENATE($D1565,$G1565),CSRFinput!$B:$E,4,0)=0,OR(H1565=MappingTables!$C$31,H1565=MappingTables!$C$32)),1,VLOOKUP(CONCATENATE($D1565,$G1565),CSRFinput!$B:$E,4,0))),0,IF(AND(VLOOKUP(CONCATENATE($D1565,$G1565),CSRFinput!$B:$E,4,0)=0,OR(H1565=MappingTables!$C$31,H1565=MappingTables!$C$32)),1,VLOOKUP(CONCATENATE($D1565,$G1565),CSRFinput!$B:$E,4,0)))</f>
        <v>0.054776304963434752</v>
      </c>
      <c r="S1565" s="73">
        <f>IF(B1565="",0,P1565*R1565)</f>
        <v>104.38003981587958</v>
      </c>
      <c r="T1565" s="85">
        <f>IF(B1565="",0,IF(OR(H1565=MappingTables!$C$34,H1565=MappingTables!$C$35),S1565,0))</f>
        <v>0</v>
      </c>
    </row>
    <row r="1566" spans="2:20" s="0" customFormat="0" ht="15">
      <c r="B1566" s="69" t="s">
        <v>4661</v>
      </c>
      <c r="C1566" s="70" t="s">
        <v>4662</v>
      </c>
      <c r="D1566" s="70" t="s">
        <v>1</v>
      </c>
      <c r="E1566" s="70" t="s">
        <v>1</v>
      </c>
      <c r="F1566" s="70"/>
      <c r="G1566" s="70" t="s">
        <v>61</v>
      </c>
      <c r="H1566" s="70" t="s">
        <v>178</v>
      </c>
      <c r="I1566" s="70" t="s">
        <v>179</v>
      </c>
      <c r="J1566" s="71">
        <f>IF(OR(I1566=0,I1566=""),"unrated",VLOOKUP(I1566,MappingTables!$B$19:$C$31,2,FALSE))</f>
        <v>4</v>
      </c>
      <c r="K1566" s="72">
        <v>93.749589922124096</v>
      </c>
      <c r="L1566" s="70">
        <v>0.068493573709333896</v>
      </c>
      <c r="M1566" s="71">
        <f>IF(L1566&lt;1,1,L1566)</f>
        <v>1</v>
      </c>
      <c r="N1566" s="70" t="s">
        <v>3288</v>
      </c>
      <c r="O1566" s="71">
        <f>IF(OR(I1566=$A$1,I1566=0),"",IF(N1566=MappingTables!$C$14,VLOOKUP(J1566,ModelParameters!$M$8:$N$15,2,FALSE),IF(N1566=MappingTables!$C$16,VLOOKUP(J1566,ModelParameters!$P$8:$Q$15,2,FALSE),0)))</f>
        <v>0.82</v>
      </c>
      <c r="P1566" s="73">
        <f>IF(OR(I1566=0,I1566=$A$1),0,MIN(O1566*M1566,1)*K1566)</f>
        <v>76.87466373614176</v>
      </c>
      <c r="Q1566" s="73">
        <f>IF(B1566="",0,IF(OR(H1566=MappingTables!$C$34,H1566=MappingTables!$C$35),P1566,0))</f>
        <v>0</v>
      </c>
      <c r="R1566" s="73">
        <f>IF(ISNA(IF(AND(VLOOKUP(CONCATENATE($D1566,$G1566),CSRFinput!$B:$E,4,0)=0,OR(H1566=MappingTables!$C$31,H1566=MappingTables!$C$32)),1,VLOOKUP(CONCATENATE($D1566,$G1566),CSRFinput!$B:$E,4,0))),0,IF(AND(VLOOKUP(CONCATENATE($D1566,$G1566),CSRFinput!$B:$E,4,0)=0,OR(H1566=MappingTables!$C$31,H1566=MappingTables!$C$32)),1,VLOOKUP(CONCATENATE($D1566,$G1566),CSRFinput!$B:$E,4,0)))</f>
        <v>0.054776304963434752</v>
      </c>
      <c r="S1566" s="73">
        <f>IF(B1566="",0,P1566*R1566)</f>
        <v>4.2109100247723992</v>
      </c>
      <c r="T1566" s="85">
        <f>IF(B1566="",0,IF(OR(H1566=MappingTables!$C$34,H1566=MappingTables!$C$35),S1566,0))</f>
        <v>0</v>
      </c>
    </row>
    <row r="1567" spans="2:20" s="0" customFormat="0" ht="15">
      <c r="B1567" s="69" t="s">
        <v>4324</v>
      </c>
      <c r="C1567" s="70" t="s">
        <v>4325</v>
      </c>
      <c r="D1567" s="70" t="s">
        <v>1</v>
      </c>
      <c r="E1567" s="70" t="s">
        <v>1</v>
      </c>
      <c r="F1567" s="70"/>
      <c r="G1567" s="70" t="s">
        <v>61</v>
      </c>
      <c r="H1567" s="70" t="s">
        <v>178</v>
      </c>
      <c r="I1567" s="70" t="s">
        <v>198</v>
      </c>
      <c r="J1567" s="71" t="str">
        <f>IF(OR(I1567=0,I1567=""),"unrated",VLOOKUP(I1567,MappingTables!$B$19:$C$31,2,FALSE))</f>
        <v>unrated</v>
      </c>
      <c r="K1567" s="72">
        <v>3011.7637962561172</v>
      </c>
      <c r="L1567" s="70">
        <v>6.5306615289709072</v>
      </c>
      <c r="M1567" s="71">
        <f>IF(L1567&lt;1,1,L1567)</f>
        <v>6.5306615289709072</v>
      </c>
      <c r="N1567" s="70" t="s">
        <v>3288</v>
      </c>
      <c r="O1567" s="71">
        <f>IF(OR(I1567=$A$1,I1567=0),"",IF(N1567=MappingTables!$C$14,VLOOKUP(J1567,ModelParameters!$M$8:$N$15,2,FALSE),IF(N1567=MappingTables!$C$16,VLOOKUP(J1567,ModelParameters!$P$8:$Q$15,2,FALSE),0)))</f>
        <v>1</v>
      </c>
      <c r="P1567" s="73">
        <f>IF(OR(I1567=0,I1567=$A$1),0,MIN(O1567*M1567,1)*K1567)</f>
        <v>3011.7637962561172</v>
      </c>
      <c r="Q1567" s="73">
        <f>IF(B1567="",0,IF(OR(H1567=MappingTables!$C$34,H1567=MappingTables!$C$35),P1567,0))</f>
        <v>0</v>
      </c>
      <c r="R1567" s="73">
        <f>IF(ISNA(IF(AND(VLOOKUP(CONCATENATE($D1567,$G1567),CSRFinput!$B:$E,4,0)=0,OR(H1567=MappingTables!$C$31,H1567=MappingTables!$C$32)),1,VLOOKUP(CONCATENATE($D1567,$G1567),CSRFinput!$B:$E,4,0))),0,IF(AND(VLOOKUP(CONCATENATE($D1567,$G1567),CSRFinput!$B:$E,4,0)=0,OR(H1567=MappingTables!$C$31,H1567=MappingTables!$C$32)),1,VLOOKUP(CONCATENATE($D1567,$G1567),CSRFinput!$B:$E,4,0)))</f>
        <v>0.054776304963434752</v>
      </c>
      <c r="S1567" s="73">
        <f>IF(B1567="",0,P1567*R1567)</f>
        <v>164.97329218155704</v>
      </c>
      <c r="T1567" s="85">
        <f>IF(B1567="",0,IF(OR(H1567=MappingTables!$C$34,H1567=MappingTables!$C$35),S1567,0))</f>
        <v>0</v>
      </c>
    </row>
    <row r="1568" spans="2:20" s="0" customFormat="0" ht="15">
      <c r="B1568" s="69" t="s">
        <v>3306</v>
      </c>
      <c r="C1568" s="70" t="s">
        <v>3307</v>
      </c>
      <c r="D1568" s="70" t="s">
        <v>1</v>
      </c>
      <c r="E1568" s="70" t="s">
        <v>1</v>
      </c>
      <c r="F1568" s="70"/>
      <c r="G1568" s="70" t="s">
        <v>61</v>
      </c>
      <c r="H1568" s="70" t="s">
        <v>178</v>
      </c>
      <c r="I1568" s="70" t="s">
        <v>198</v>
      </c>
      <c r="J1568" s="71" t="str">
        <f>IF(OR(I1568=0,I1568=""),"unrated",VLOOKUP(I1568,MappingTables!$B$19:$C$31,2,FALSE))</f>
        <v>unrated</v>
      </c>
      <c r="K1568" s="72">
        <v>557.5995291523044</v>
      </c>
      <c r="L1568" s="70">
        <v>39.366076622331216</v>
      </c>
      <c r="M1568" s="71">
        <f>IF(L1568&lt;1,1,L1568)</f>
        <v>39.366076622331216</v>
      </c>
      <c r="N1568" s="70" t="s">
        <v>3288</v>
      </c>
      <c r="O1568" s="71">
        <f>IF(OR(I1568=$A$1,I1568=0),"",IF(N1568=MappingTables!$C$14,VLOOKUP(J1568,ModelParameters!$M$8:$N$15,2,FALSE),IF(N1568=MappingTables!$C$16,VLOOKUP(J1568,ModelParameters!$P$8:$Q$15,2,FALSE),0)))</f>
        <v>1</v>
      </c>
      <c r="P1568" s="73">
        <f>IF(OR(I1568=0,I1568=$A$1),0,MIN(O1568*M1568,1)*K1568)</f>
        <v>557.5995291523044</v>
      </c>
      <c r="Q1568" s="73">
        <f>IF(B1568="",0,IF(OR(H1568=MappingTables!$C$34,H1568=MappingTables!$C$35),P1568,0))</f>
        <v>0</v>
      </c>
      <c r="R1568" s="73">
        <f>IF(ISNA(IF(AND(VLOOKUP(CONCATENATE($D1568,$G1568),CSRFinput!$B:$E,4,0)=0,OR(H1568=MappingTables!$C$31,H1568=MappingTables!$C$32)),1,VLOOKUP(CONCATENATE($D1568,$G1568),CSRFinput!$B:$E,4,0))),0,IF(AND(VLOOKUP(CONCATENATE($D1568,$G1568),CSRFinput!$B:$E,4,0)=0,OR(H1568=MappingTables!$C$31,H1568=MappingTables!$C$32)),1,VLOOKUP(CONCATENATE($D1568,$G1568),CSRFinput!$B:$E,4,0)))</f>
        <v>0.054776304963434752</v>
      </c>
      <c r="S1568" s="73">
        <f>IF(B1568="",0,P1568*R1568)</f>
        <v>30.543241856314252</v>
      </c>
      <c r="T1568" s="85">
        <f>IF(B1568="",0,IF(OR(H1568=MappingTables!$C$34,H1568=MappingTables!$C$35),S1568,0))</f>
        <v>0</v>
      </c>
    </row>
    <row r="1569" spans="2:20" s="0" customFormat="0" ht="15">
      <c r="B1569" s="69" t="s">
        <v>3303</v>
      </c>
      <c r="C1569" s="70" t="s">
        <v>3304</v>
      </c>
      <c r="D1569" s="70" t="s">
        <v>1</v>
      </c>
      <c r="E1569" s="70" t="s">
        <v>1</v>
      </c>
      <c r="F1569" s="70"/>
      <c r="G1569" s="70" t="s">
        <v>61</v>
      </c>
      <c r="H1569" s="70" t="s">
        <v>178</v>
      </c>
      <c r="I1569" s="70" t="s">
        <v>198</v>
      </c>
      <c r="J1569" s="71" t="str">
        <f>IF(OR(I1569=0,I1569=""),"unrated",VLOOKUP(I1569,MappingTables!$B$19:$C$31,2,FALSE))</f>
        <v>unrated</v>
      </c>
      <c r="K1569" s="72">
        <v>440.27961064502888</v>
      </c>
      <c r="L1569" s="70">
        <v>10.86391908815196</v>
      </c>
      <c r="M1569" s="71">
        <f>IF(L1569&lt;1,1,L1569)</f>
        <v>10.86391908815196</v>
      </c>
      <c r="N1569" s="70" t="s">
        <v>3288</v>
      </c>
      <c r="O1569" s="71">
        <f>IF(OR(I1569=$A$1,I1569=0),"",IF(N1569=MappingTables!$C$14,VLOOKUP(J1569,ModelParameters!$M$8:$N$15,2,FALSE),IF(N1569=MappingTables!$C$16,VLOOKUP(J1569,ModelParameters!$P$8:$Q$15,2,FALSE),0)))</f>
        <v>1</v>
      </c>
      <c r="P1569" s="73">
        <f>IF(OR(I1569=0,I1569=$A$1),0,MIN(O1569*M1569,1)*K1569)</f>
        <v>440.27961064502888</v>
      </c>
      <c r="Q1569" s="73">
        <f>IF(B1569="",0,IF(OR(H1569=MappingTables!$C$34,H1569=MappingTables!$C$35),P1569,0))</f>
        <v>0</v>
      </c>
      <c r="R1569" s="73">
        <f>IF(ISNA(IF(AND(VLOOKUP(CONCATENATE($D1569,$G1569),CSRFinput!$B:$E,4,0)=0,OR(H1569=MappingTables!$C$31,H1569=MappingTables!$C$32)),1,VLOOKUP(CONCATENATE($D1569,$G1569),CSRFinput!$B:$E,4,0))),0,IF(AND(VLOOKUP(CONCATENATE($D1569,$G1569),CSRFinput!$B:$E,4,0)=0,OR(H1569=MappingTables!$C$31,H1569=MappingTables!$C$32)),1,VLOOKUP(CONCATENATE($D1569,$G1569),CSRFinput!$B:$E,4,0)))</f>
        <v>0.054776304963434752</v>
      </c>
      <c r="S1569" s="73">
        <f>IF(B1569="",0,P1569*R1569)</f>
        <v>24.116890221874416</v>
      </c>
      <c r="T1569" s="85">
        <f>IF(B1569="",0,IF(OR(H1569=MappingTables!$C$34,H1569=MappingTables!$C$35),S1569,0))</f>
        <v>0</v>
      </c>
    </row>
    <row r="1570" spans="2:20" s="0" customFormat="0" ht="15">
      <c r="B1570" s="69">
        <v>17849963</v>
      </c>
      <c r="C1570" s="70" t="s">
        <v>4541</v>
      </c>
      <c r="D1570" s="70" t="s">
        <v>1</v>
      </c>
      <c r="E1570" s="70" t="s">
        <v>1</v>
      </c>
      <c r="F1570" s="70"/>
      <c r="G1570" s="70" t="s">
        <v>61</v>
      </c>
      <c r="H1570" s="70" t="s">
        <v>178</v>
      </c>
      <c r="I1570" s="70" t="s">
        <v>216</v>
      </c>
      <c r="J1570" s="71">
        <f>IF(OR(I1570=0,I1570=""),"unrated",VLOOKUP(I1570,MappingTables!$B$19:$C$31,2,FALSE))</f>
        <v>0</v>
      </c>
      <c r="K1570" s="72">
        <v>467.8144279020752</v>
      </c>
      <c r="L1570" s="70">
        <v>0.036419290749109808</v>
      </c>
      <c r="M1570" s="71">
        <f>IF(L1570&lt;1,1,L1570)</f>
        <v>1</v>
      </c>
      <c r="N1570" s="70" t="s">
        <v>3288</v>
      </c>
      <c r="O1570" s="71">
        <f>IF(OR(I1570=$A$1,I1570=0),"",IF(N1570=MappingTables!$C$14,VLOOKUP(J1570,ModelParameters!$M$8:$N$15,2,FALSE),IF(N1570=MappingTables!$C$16,VLOOKUP(J1570,ModelParameters!$P$8:$Q$15,2,FALSE),0)))</f>
        <v>0.125</v>
      </c>
      <c r="P1570" s="73">
        <f>IF(OR(I1570=0,I1570=$A$1),0,MIN(O1570*M1570,1)*K1570)</f>
        <v>58.476803487759408</v>
      </c>
      <c r="Q1570" s="73">
        <f>IF(B1570="",0,IF(OR(H1570=MappingTables!$C$34,H1570=MappingTables!$C$35),P1570,0))</f>
        <v>0</v>
      </c>
      <c r="R1570" s="73">
        <f>IF(ISNA(IF(AND(VLOOKUP(CONCATENATE($D1570,$G1570),CSRFinput!$B:$E,4,0)=0,OR(H1570=MappingTables!$C$31,H1570=MappingTables!$C$32)),1,VLOOKUP(CONCATENATE($D1570,$G1570),CSRFinput!$B:$E,4,0))),0,IF(AND(VLOOKUP(CONCATENATE($D1570,$G1570),CSRFinput!$B:$E,4,0)=0,OR(H1570=MappingTables!$C$31,H1570=MappingTables!$C$32)),1,VLOOKUP(CONCATENATE($D1570,$G1570),CSRFinput!$B:$E,4,0)))</f>
        <v>0.054776304963434752</v>
      </c>
      <c r="S1570" s="73">
        <f>IF(B1570="",0,P1570*R1570)</f>
        <v>3.203143221132354</v>
      </c>
      <c r="T1570" s="85">
        <f>IF(B1570="",0,IF(OR(H1570=MappingTables!$C$34,H1570=MappingTables!$C$35),S1570,0))</f>
        <v>0</v>
      </c>
    </row>
    <row r="1571" spans="2:20" s="0" customFormat="0" ht="15">
      <c r="B1571" s="69">
        <v>18423593</v>
      </c>
      <c r="C1571" s="70" t="s">
        <v>5041</v>
      </c>
      <c r="D1571" s="70" t="s">
        <v>1</v>
      </c>
      <c r="E1571" s="70" t="s">
        <v>1</v>
      </c>
      <c r="F1571" s="70"/>
      <c r="G1571" s="70" t="s">
        <v>61</v>
      </c>
      <c r="H1571" s="70" t="s">
        <v>178</v>
      </c>
      <c r="I1571" s="70" t="s">
        <v>198</v>
      </c>
      <c r="J1571" s="71" t="str">
        <f>IF(OR(I1571=0,I1571=""),"unrated",VLOOKUP(I1571,MappingTables!$B$19:$C$31,2,FALSE))</f>
        <v>unrated</v>
      </c>
      <c r="K1571" s="72">
        <v>576.17040146400552</v>
      </c>
      <c r="L1571" s="70">
        <v>0.084253719953174608</v>
      </c>
      <c r="M1571" s="71">
        <f>IF(L1571&lt;1,1,L1571)</f>
        <v>1</v>
      </c>
      <c r="N1571" s="70" t="s">
        <v>3288</v>
      </c>
      <c r="O1571" s="71">
        <f>IF(OR(I1571=$A$1,I1571=0),"",IF(N1571=MappingTables!$C$14,VLOOKUP(J1571,ModelParameters!$M$8:$N$15,2,FALSE),IF(N1571=MappingTables!$C$16,VLOOKUP(J1571,ModelParameters!$P$8:$Q$15,2,FALSE),0)))</f>
        <v>1</v>
      </c>
      <c r="P1571" s="73">
        <f>IF(OR(I1571=0,I1571=$A$1),0,MIN(O1571*M1571,1)*K1571)</f>
        <v>576.17040146400552</v>
      </c>
      <c r="Q1571" s="73">
        <f>IF(B1571="",0,IF(OR(H1571=MappingTables!$C$34,H1571=MappingTables!$C$35),P1571,0))</f>
        <v>0</v>
      </c>
      <c r="R1571" s="73">
        <f>IF(ISNA(IF(AND(VLOOKUP(CONCATENATE($D1571,$G1571),CSRFinput!$B:$E,4,0)=0,OR(H1571=MappingTables!$C$31,H1571=MappingTables!$C$32)),1,VLOOKUP(CONCATENATE($D1571,$G1571),CSRFinput!$B:$E,4,0))),0,IF(AND(VLOOKUP(CONCATENATE($D1571,$G1571),CSRFinput!$B:$E,4,0)=0,OR(H1571=MappingTables!$C$31,H1571=MappingTables!$C$32)),1,VLOOKUP(CONCATENATE($D1571,$G1571),CSRFinput!$B:$E,4,0)))</f>
        <v>0.054776304963434752</v>
      </c>
      <c r="S1571" s="73">
        <f>IF(B1571="",0,P1571*R1571)</f>
        <v>31.560485621497</v>
      </c>
      <c r="T1571" s="85">
        <f>IF(B1571="",0,IF(OR(H1571=MappingTables!$C$34,H1571=MappingTables!$C$35),S1571,0))</f>
        <v>0</v>
      </c>
    </row>
    <row r="1572" spans="2:20" s="0" customFormat="0" ht="15">
      <c r="B1572" s="69" t="s">
        <v>4872</v>
      </c>
      <c r="C1572" s="70" t="s">
        <v>4873</v>
      </c>
      <c r="D1572" s="70" t="s">
        <v>1</v>
      </c>
      <c r="E1572" s="70" t="s">
        <v>1</v>
      </c>
      <c r="F1572" s="70"/>
      <c r="G1572" s="70" t="s">
        <v>61</v>
      </c>
      <c r="H1572" s="70" t="s">
        <v>178</v>
      </c>
      <c r="I1572" s="70" t="s">
        <v>3291</v>
      </c>
      <c r="J1572" s="71">
        <f>IF(OR(I1572=0,I1572=""),"unrated",VLOOKUP(I1572,MappingTables!$B$19:$C$31,2,FALSE))</f>
        <v>6</v>
      </c>
      <c r="K1572" s="72">
        <v>47.475100734870944</v>
      </c>
      <c r="L1572" s="70">
        <v>0.068459018717150936</v>
      </c>
      <c r="M1572" s="71">
        <f>IF(L1572&lt;1,1,L1572)</f>
        <v>1</v>
      </c>
      <c r="N1572" s="70" t="s">
        <v>3288</v>
      </c>
      <c r="O1572" s="71">
        <f>IF(OR(I1572=$A$1,I1572=0),"",IF(N1572=MappingTables!$C$14,VLOOKUP(J1572,ModelParameters!$M$8:$N$15,2,FALSE),IF(N1572=MappingTables!$C$16,VLOOKUP(J1572,ModelParameters!$P$8:$Q$15,2,FALSE),0)))</f>
        <v>1</v>
      </c>
      <c r="P1572" s="73">
        <f>IF(OR(I1572=0,I1572=$A$1),0,MIN(O1572*M1572,1)*K1572)</f>
        <v>47.475100734870944</v>
      </c>
      <c r="Q1572" s="73">
        <f>IF(B1572="",0,IF(OR(H1572=MappingTables!$C$34,H1572=MappingTables!$C$35),P1572,0))</f>
        <v>0</v>
      </c>
      <c r="R1572" s="73">
        <f>IF(ISNA(IF(AND(VLOOKUP(CONCATENATE($D1572,$G1572),CSRFinput!$B:$E,4,0)=0,OR(H1572=MappingTables!$C$31,H1572=MappingTables!$C$32)),1,VLOOKUP(CONCATENATE($D1572,$G1572),CSRFinput!$B:$E,4,0))),0,IF(AND(VLOOKUP(CONCATENATE($D1572,$G1572),CSRFinput!$B:$E,4,0)=0,OR(H1572=MappingTables!$C$31,H1572=MappingTables!$C$32)),1,VLOOKUP(CONCATENATE($D1572,$G1572),CSRFinput!$B:$E,4,0)))</f>
        <v>0.054776304963434752</v>
      </c>
      <c r="S1572" s="73">
        <f>IF(B1572="",0,P1572*R1572)</f>
        <v>2.600510596023076</v>
      </c>
      <c r="T1572" s="85">
        <f>IF(B1572="",0,IF(OR(H1572=MappingTables!$C$34,H1572=MappingTables!$C$35),S1572,0))</f>
        <v>0</v>
      </c>
    </row>
    <row r="1573" spans="2:20" s="0" customFormat="0" ht="15">
      <c r="B1573" s="69" t="s">
        <v>5042</v>
      </c>
      <c r="C1573" s="70" t="s">
        <v>5043</v>
      </c>
      <c r="D1573" s="70" t="s">
        <v>1</v>
      </c>
      <c r="E1573" s="70" t="s">
        <v>1</v>
      </c>
      <c r="F1573" s="70"/>
      <c r="G1573" s="70" t="s">
        <v>61</v>
      </c>
      <c r="H1573" s="70" t="s">
        <v>178</v>
      </c>
      <c r="I1573" s="70" t="s">
        <v>3298</v>
      </c>
      <c r="J1573" s="71">
        <f>IF(OR(I1573=0,I1573=""),"unrated",VLOOKUP(I1573,MappingTables!$B$19:$C$31,2,FALSE))</f>
        <v>6</v>
      </c>
      <c r="K1573" s="72">
        <v>82.081524773391984</v>
      </c>
      <c r="L1573" s="70">
        <v>0.068492098142530432</v>
      </c>
      <c r="M1573" s="71">
        <f>IF(L1573&lt;1,1,L1573)</f>
        <v>1</v>
      </c>
      <c r="N1573" s="70" t="s">
        <v>3288</v>
      </c>
      <c r="O1573" s="71">
        <f>IF(OR(I1573=$A$1,I1573=0),"",IF(N1573=MappingTables!$C$14,VLOOKUP(J1573,ModelParameters!$M$8:$N$15,2,FALSE),IF(N1573=MappingTables!$C$16,VLOOKUP(J1573,ModelParameters!$P$8:$Q$15,2,FALSE),0)))</f>
        <v>1</v>
      </c>
      <c r="P1573" s="73">
        <f>IF(OR(I1573=0,I1573=$A$1),0,MIN(O1573*M1573,1)*K1573)</f>
        <v>82.081524773391984</v>
      </c>
      <c r="Q1573" s="73">
        <f>IF(B1573="",0,IF(OR(H1573=MappingTables!$C$34,H1573=MappingTables!$C$35),P1573,0))</f>
        <v>0</v>
      </c>
      <c r="R1573" s="73">
        <f>IF(ISNA(IF(AND(VLOOKUP(CONCATENATE($D1573,$G1573),CSRFinput!$B:$E,4,0)=0,OR(H1573=MappingTables!$C$31,H1573=MappingTables!$C$32)),1,VLOOKUP(CONCATENATE($D1573,$G1573),CSRFinput!$B:$E,4,0))),0,IF(AND(VLOOKUP(CONCATENATE($D1573,$G1573),CSRFinput!$B:$E,4,0)=0,OR(H1573=MappingTables!$C$31,H1573=MappingTables!$C$32)),1,VLOOKUP(CONCATENATE($D1573,$G1573),CSRFinput!$B:$E,4,0)))</f>
        <v>0.054776304963434752</v>
      </c>
      <c r="S1573" s="73">
        <f>IF(B1573="",0,P1573*R1573)</f>
        <v>4.496122632851044</v>
      </c>
      <c r="T1573" s="85">
        <f>IF(B1573="",0,IF(OR(H1573=MappingTables!$C$34,H1573=MappingTables!$C$35),S1573,0))</f>
        <v>0</v>
      </c>
    </row>
    <row r="1574" spans="2:20" s="0" customFormat="0" ht="15">
      <c r="B1574" s="69" t="s">
        <v>5044</v>
      </c>
      <c r="C1574" s="70" t="s">
        <v>5045</v>
      </c>
      <c r="D1574" s="70" t="s">
        <v>1</v>
      </c>
      <c r="E1574" s="70" t="s">
        <v>1</v>
      </c>
      <c r="F1574" s="70"/>
      <c r="G1574" s="70" t="s">
        <v>61</v>
      </c>
      <c r="H1574" s="70" t="s">
        <v>178</v>
      </c>
      <c r="I1574" s="70" t="s">
        <v>3298</v>
      </c>
      <c r="J1574" s="71">
        <f>IF(OR(I1574=0,I1574=""),"unrated",VLOOKUP(I1574,MappingTables!$B$19:$C$31,2,FALSE))</f>
        <v>6</v>
      </c>
      <c r="K1574" s="72">
        <v>18.31661787233746</v>
      </c>
      <c r="L1574" s="70">
        <v>0.068494117425657904</v>
      </c>
      <c r="M1574" s="71">
        <f>IF(L1574&lt;1,1,L1574)</f>
        <v>1</v>
      </c>
      <c r="N1574" s="70" t="s">
        <v>3288</v>
      </c>
      <c r="O1574" s="71">
        <f>IF(OR(I1574=$A$1,I1574=0),"",IF(N1574=MappingTables!$C$14,VLOOKUP(J1574,ModelParameters!$M$8:$N$15,2,FALSE),IF(N1574=MappingTables!$C$16,VLOOKUP(J1574,ModelParameters!$P$8:$Q$15,2,FALSE),0)))</f>
        <v>1</v>
      </c>
      <c r="P1574" s="73">
        <f>IF(OR(I1574=0,I1574=$A$1),0,MIN(O1574*M1574,1)*K1574)</f>
        <v>18.31661787233746</v>
      </c>
      <c r="Q1574" s="73">
        <f>IF(B1574="",0,IF(OR(H1574=MappingTables!$C$34,H1574=MappingTables!$C$35),P1574,0))</f>
        <v>0</v>
      </c>
      <c r="R1574" s="73">
        <f>IF(ISNA(IF(AND(VLOOKUP(CONCATENATE($D1574,$G1574),CSRFinput!$B:$E,4,0)=0,OR(H1574=MappingTables!$C$31,H1574=MappingTables!$C$32)),1,VLOOKUP(CONCATENATE($D1574,$G1574),CSRFinput!$B:$E,4,0))),0,IF(AND(VLOOKUP(CONCATENATE($D1574,$G1574),CSRFinput!$B:$E,4,0)=0,OR(H1574=MappingTables!$C$31,H1574=MappingTables!$C$32)),1,VLOOKUP(CONCATENATE($D1574,$G1574),CSRFinput!$B:$E,4,0)))</f>
        <v>0.054776304963434752</v>
      </c>
      <c r="S1574" s="73">
        <f>IF(B1574="",0,P1574*R1574)</f>
        <v>1.003316646473856</v>
      </c>
      <c r="T1574" s="85">
        <f>IF(B1574="",0,IF(OR(H1574=MappingTables!$C$34,H1574=MappingTables!$C$35),S1574,0))</f>
        <v>0</v>
      </c>
    </row>
    <row r="1575" spans="2:20" s="0" customFormat="0" ht="15">
      <c r="B1575" s="69" t="s">
        <v>5033</v>
      </c>
      <c r="C1575" s="70" t="s">
        <v>5034</v>
      </c>
      <c r="D1575" s="70" t="s">
        <v>1</v>
      </c>
      <c r="E1575" s="70" t="s">
        <v>1</v>
      </c>
      <c r="F1575" s="70"/>
      <c r="G1575" s="70" t="s">
        <v>61</v>
      </c>
      <c r="H1575" s="70" t="s">
        <v>178</v>
      </c>
      <c r="I1575" s="70" t="s">
        <v>216</v>
      </c>
      <c r="J1575" s="71">
        <f>IF(OR(I1575=0,I1575=""),"unrated",VLOOKUP(I1575,MappingTables!$B$19:$C$31,2,FALSE))</f>
        <v>0</v>
      </c>
      <c r="K1575" s="72">
        <v>1071.4309368560188</v>
      </c>
      <c r="L1575" s="70">
        <v>0.041096785811712648</v>
      </c>
      <c r="M1575" s="71">
        <f>IF(L1575&lt;1,1,L1575)</f>
        <v>1</v>
      </c>
      <c r="N1575" s="70" t="s">
        <v>3288</v>
      </c>
      <c r="O1575" s="71">
        <f>IF(OR(I1575=$A$1,I1575=0),"",IF(N1575=MappingTables!$C$14,VLOOKUP(J1575,ModelParameters!$M$8:$N$15,2,FALSE),IF(N1575=MappingTables!$C$16,VLOOKUP(J1575,ModelParameters!$P$8:$Q$15,2,FALSE),0)))</f>
        <v>0.125</v>
      </c>
      <c r="P1575" s="73">
        <f>IF(OR(I1575=0,I1575=$A$1),0,MIN(O1575*M1575,1)*K1575)</f>
        <v>133.92886710700236</v>
      </c>
      <c r="Q1575" s="73">
        <f>IF(B1575="",0,IF(OR(H1575=MappingTables!$C$34,H1575=MappingTables!$C$35),P1575,0))</f>
        <v>0</v>
      </c>
      <c r="R1575" s="73">
        <f>IF(ISNA(IF(AND(VLOOKUP(CONCATENATE($D1575,$G1575),CSRFinput!$B:$E,4,0)=0,OR(H1575=MappingTables!$C$31,H1575=MappingTables!$C$32)),1,VLOOKUP(CONCATENATE($D1575,$G1575),CSRFinput!$B:$E,4,0))),0,IF(AND(VLOOKUP(CONCATENATE($D1575,$G1575),CSRFinput!$B:$E,4,0)=0,OR(H1575=MappingTables!$C$31,H1575=MappingTables!$C$32)),1,VLOOKUP(CONCATENATE($D1575,$G1575),CSRFinput!$B:$E,4,0)))</f>
        <v>0.054776304963434752</v>
      </c>
      <c r="S1575" s="73">
        <f>IF(B1575="",0,P1575*R1575)</f>
        <v>7.3361284680604864</v>
      </c>
      <c r="T1575" s="85">
        <f>IF(B1575="",0,IF(OR(H1575=MappingTables!$C$34,H1575=MappingTables!$C$35),S1575,0))</f>
        <v>0</v>
      </c>
    </row>
    <row r="1576" spans="2:20" s="0" customFormat="0" ht="15">
      <c r="B1576" s="69" t="s">
        <v>4971</v>
      </c>
      <c r="C1576" s="70" t="s">
        <v>4972</v>
      </c>
      <c r="D1576" s="70" t="s">
        <v>1</v>
      </c>
      <c r="E1576" s="70" t="s">
        <v>1</v>
      </c>
      <c r="F1576" s="70"/>
      <c r="G1576" s="70" t="s">
        <v>61</v>
      </c>
      <c r="H1576" s="70" t="s">
        <v>178</v>
      </c>
      <c r="I1576" s="70" t="s">
        <v>184</v>
      </c>
      <c r="J1576" s="71">
        <f>IF(OR(I1576=0,I1576=""),"unrated",VLOOKUP(I1576,MappingTables!$B$19:$C$31,2,FALSE))</f>
        <v>5</v>
      </c>
      <c r="K1576" s="72">
        <v>79.769554632241568</v>
      </c>
      <c r="L1576" s="70">
        <v>0.068494391715089736</v>
      </c>
      <c r="M1576" s="71">
        <f>IF(L1576&lt;1,1,L1576)</f>
        <v>1</v>
      </c>
      <c r="N1576" s="70" t="s">
        <v>3288</v>
      </c>
      <c r="O1576" s="71">
        <f>IF(OR(I1576=$A$1,I1576=0),"",IF(N1576=MappingTables!$C$14,VLOOKUP(J1576,ModelParameters!$M$8:$N$15,2,FALSE),IF(N1576=MappingTables!$C$16,VLOOKUP(J1576,ModelParameters!$P$8:$Q$15,2,FALSE),0)))</f>
        <v>1</v>
      </c>
      <c r="P1576" s="73">
        <f>IF(OR(I1576=0,I1576=$A$1),0,MIN(O1576*M1576,1)*K1576)</f>
        <v>79.769554632241568</v>
      </c>
      <c r="Q1576" s="73">
        <f>IF(B1576="",0,IF(OR(H1576=MappingTables!$C$34,H1576=MappingTables!$C$35),P1576,0))</f>
        <v>0</v>
      </c>
      <c r="R1576" s="73">
        <f>IF(ISNA(IF(AND(VLOOKUP(CONCATENATE($D1576,$G1576),CSRFinput!$B:$E,4,0)=0,OR(H1576=MappingTables!$C$31,H1576=MappingTables!$C$32)),1,VLOOKUP(CONCATENATE($D1576,$G1576),CSRFinput!$B:$E,4,0))),0,IF(AND(VLOOKUP(CONCATENATE($D1576,$G1576),CSRFinput!$B:$E,4,0)=0,OR(H1576=MappingTables!$C$31,H1576=MappingTables!$C$32)),1,VLOOKUP(CONCATENATE($D1576,$G1576),CSRFinput!$B:$E,4,0)))</f>
        <v>0.054776304963434752</v>
      </c>
      <c r="S1576" s="73">
        <f>IF(B1576="",0,P1576*R1576)</f>
        <v>4.3694814513330336</v>
      </c>
      <c r="T1576" s="85">
        <f>IF(B1576="",0,IF(OR(H1576=MappingTables!$C$34,H1576=MappingTables!$C$35),S1576,0))</f>
        <v>0</v>
      </c>
    </row>
    <row r="1577" spans="2:20" s="0" customFormat="0" ht="15">
      <c r="B1577" s="69">
        <v>3130048</v>
      </c>
      <c r="C1577" s="70" t="s">
        <v>4532</v>
      </c>
      <c r="D1577" s="70" t="s">
        <v>1</v>
      </c>
      <c r="E1577" s="70" t="s">
        <v>1</v>
      </c>
      <c r="F1577" s="70"/>
      <c r="G1577" s="70" t="s">
        <v>61</v>
      </c>
      <c r="H1577" s="70" t="s">
        <v>178</v>
      </c>
      <c r="I1577" s="70" t="s">
        <v>216</v>
      </c>
      <c r="J1577" s="71">
        <f>IF(OR(I1577=0,I1577=""),"unrated",VLOOKUP(I1577,MappingTables!$B$19:$C$31,2,FALSE))</f>
        <v>0</v>
      </c>
      <c r="K1577" s="72">
        <v>3.41427485878299</v>
      </c>
      <c r="L1577" s="70">
        <v>0.04560553983114972</v>
      </c>
      <c r="M1577" s="71">
        <f>IF(L1577&lt;1,1,L1577)</f>
        <v>1</v>
      </c>
      <c r="N1577" s="70" t="s">
        <v>3288</v>
      </c>
      <c r="O1577" s="71">
        <f>IF(OR(I1577=$A$1,I1577=0),"",IF(N1577=MappingTables!$C$14,VLOOKUP(J1577,ModelParameters!$M$8:$N$15,2,FALSE),IF(N1577=MappingTables!$C$16,VLOOKUP(J1577,ModelParameters!$P$8:$Q$15,2,FALSE),0)))</f>
        <v>0.125</v>
      </c>
      <c r="P1577" s="73">
        <f>IF(OR(I1577=0,I1577=$A$1),0,MIN(O1577*M1577,1)*K1577)</f>
        <v>0.42678435734787376</v>
      </c>
      <c r="Q1577" s="73">
        <f>IF(B1577="",0,IF(OR(H1577=MappingTables!$C$34,H1577=MappingTables!$C$35),P1577,0))</f>
        <v>0</v>
      </c>
      <c r="R1577" s="73">
        <f>IF(ISNA(IF(AND(VLOOKUP(CONCATENATE($D1577,$G1577),CSRFinput!$B:$E,4,0)=0,OR(H1577=MappingTables!$C$31,H1577=MappingTables!$C$32)),1,VLOOKUP(CONCATENATE($D1577,$G1577),CSRFinput!$B:$E,4,0))),0,IF(AND(VLOOKUP(CONCATENATE($D1577,$G1577),CSRFinput!$B:$E,4,0)=0,OR(H1577=MappingTables!$C$31,H1577=MappingTables!$C$32)),1,VLOOKUP(CONCATENATE($D1577,$G1577),CSRFinput!$B:$E,4,0)))</f>
        <v>0.054776304963434752</v>
      </c>
      <c r="S1577" s="73">
        <f>IF(B1577="",0,P1577*R1577)</f>
        <v>0.023377670111710648</v>
      </c>
      <c r="T1577" s="85">
        <f>IF(B1577="",0,IF(OR(H1577=MappingTables!$C$34,H1577=MappingTables!$C$35),S1577,0))</f>
        <v>0</v>
      </c>
    </row>
    <row r="1578" spans="2:20" s="0" customFormat="0" ht="15">
      <c r="B1578" s="69" t="s">
        <v>4205</v>
      </c>
      <c r="C1578" s="70" t="s">
        <v>4206</v>
      </c>
      <c r="D1578" s="70" t="s">
        <v>1</v>
      </c>
      <c r="E1578" s="70" t="s">
        <v>1</v>
      </c>
      <c r="F1578" s="70"/>
      <c r="G1578" s="70" t="s">
        <v>61</v>
      </c>
      <c r="H1578" s="70" t="s">
        <v>178</v>
      </c>
      <c r="I1578" s="70" t="s">
        <v>198</v>
      </c>
      <c r="J1578" s="71" t="str">
        <f>IF(OR(I1578=0,I1578=""),"unrated",VLOOKUP(I1578,MappingTables!$B$19:$C$31,2,FALSE))</f>
        <v>unrated</v>
      </c>
      <c r="K1578" s="72">
        <v>13300.85674652947</v>
      </c>
      <c r="L1578" s="70">
        <v>9.5918282384730992</v>
      </c>
      <c r="M1578" s="71">
        <f>IF(L1578&lt;1,1,L1578)</f>
        <v>9.5918282384730992</v>
      </c>
      <c r="N1578" s="70" t="s">
        <v>3288</v>
      </c>
      <c r="O1578" s="71">
        <f>IF(OR(I1578=$A$1,I1578=0),"",IF(N1578=MappingTables!$C$14,VLOOKUP(J1578,ModelParameters!$M$8:$N$15,2,FALSE),IF(N1578=MappingTables!$C$16,VLOOKUP(J1578,ModelParameters!$P$8:$Q$15,2,FALSE),0)))</f>
        <v>1</v>
      </c>
      <c r="P1578" s="73">
        <f>IF(OR(I1578=0,I1578=$A$1),0,MIN(O1578*M1578,1)*K1578)</f>
        <v>13300.85674652947</v>
      </c>
      <c r="Q1578" s="73">
        <f>IF(B1578="",0,IF(OR(H1578=MappingTables!$C$34,H1578=MappingTables!$C$35),P1578,0))</f>
        <v>0</v>
      </c>
      <c r="R1578" s="73">
        <f>IF(ISNA(IF(AND(VLOOKUP(CONCATENATE($D1578,$G1578),CSRFinput!$B:$E,4,0)=0,OR(H1578=MappingTables!$C$31,H1578=MappingTables!$C$32)),1,VLOOKUP(CONCATENATE($D1578,$G1578),CSRFinput!$B:$E,4,0))),0,IF(AND(VLOOKUP(CONCATENATE($D1578,$G1578),CSRFinput!$B:$E,4,0)=0,OR(H1578=MappingTables!$C$31,H1578=MappingTables!$C$32)),1,VLOOKUP(CONCATENATE($D1578,$G1578),CSRFinput!$B:$E,4,0)))</f>
        <v>0.054776304963434752</v>
      </c>
      <c r="S1578" s="73">
        <f>IF(B1578="",0,P1578*R1578)</f>
        <v>728.57178542285696</v>
      </c>
      <c r="T1578" s="85">
        <f>IF(B1578="",0,IF(OR(H1578=MappingTables!$C$34,H1578=MappingTables!$C$35),S1578,0))</f>
        <v>0</v>
      </c>
    </row>
    <row r="1579" spans="2:20" s="0" customFormat="0" ht="15">
      <c r="B1579" s="69" t="s">
        <v>4996</v>
      </c>
      <c r="C1579" s="70" t="s">
        <v>4997</v>
      </c>
      <c r="D1579" s="70" t="s">
        <v>1</v>
      </c>
      <c r="E1579" s="70" t="s">
        <v>1</v>
      </c>
      <c r="F1579" s="70"/>
      <c r="G1579" s="70" t="s">
        <v>61</v>
      </c>
      <c r="H1579" s="70" t="s">
        <v>178</v>
      </c>
      <c r="I1579" s="70" t="s">
        <v>204</v>
      </c>
      <c r="J1579" s="71">
        <f>IF(OR(I1579=0,I1579=""),"unrated",VLOOKUP(I1579,MappingTables!$B$19:$C$31,2,FALSE))</f>
        <v>6</v>
      </c>
      <c r="K1579" s="72">
        <v>21.83518276395566</v>
      </c>
      <c r="L1579" s="70">
        <v>0.068491442483109784</v>
      </c>
      <c r="M1579" s="71">
        <f>IF(L1579&lt;1,1,L1579)</f>
        <v>1</v>
      </c>
      <c r="N1579" s="70" t="s">
        <v>3288</v>
      </c>
      <c r="O1579" s="71">
        <f>IF(OR(I1579=$A$1,I1579=0),"",IF(N1579=MappingTables!$C$14,VLOOKUP(J1579,ModelParameters!$M$8:$N$15,2,FALSE),IF(N1579=MappingTables!$C$16,VLOOKUP(J1579,ModelParameters!$P$8:$Q$15,2,FALSE),0)))</f>
        <v>1</v>
      </c>
      <c r="P1579" s="73">
        <f>IF(OR(I1579=0,I1579=$A$1),0,MIN(O1579*M1579,1)*K1579)</f>
        <v>21.83518276395566</v>
      </c>
      <c r="Q1579" s="73">
        <f>IF(B1579="",0,IF(OR(H1579=MappingTables!$C$34,H1579=MappingTables!$C$35),P1579,0))</f>
        <v>0</v>
      </c>
      <c r="R1579" s="73">
        <f>IF(ISNA(IF(AND(VLOOKUP(CONCATENATE($D1579,$G1579),CSRFinput!$B:$E,4,0)=0,OR(H1579=MappingTables!$C$31,H1579=MappingTables!$C$32)),1,VLOOKUP(CONCATENATE($D1579,$G1579),CSRFinput!$B:$E,4,0))),0,IF(AND(VLOOKUP(CONCATENATE($D1579,$G1579),CSRFinput!$B:$E,4,0)=0,OR(H1579=MappingTables!$C$31,H1579=MappingTables!$C$32)),1,VLOOKUP(CONCATENATE($D1579,$G1579),CSRFinput!$B:$E,4,0)))</f>
        <v>0.054776304963434752</v>
      </c>
      <c r="S1579" s="73">
        <f>IF(B1579="",0,P1579*R1579)</f>
        <v>1.1960506300107694</v>
      </c>
      <c r="T1579" s="85">
        <f>IF(B1579="",0,IF(OR(H1579=MappingTables!$C$34,H1579=MappingTables!$C$35),S1579,0))</f>
        <v>0</v>
      </c>
    </row>
    <row r="1580" spans="2:20" s="0" customFormat="0" ht="15">
      <c r="B1580" s="69" t="s">
        <v>5046</v>
      </c>
      <c r="C1580" s="70" t="s">
        <v>5047</v>
      </c>
      <c r="D1580" s="70" t="s">
        <v>1</v>
      </c>
      <c r="E1580" s="70" t="s">
        <v>1</v>
      </c>
      <c r="F1580" s="70"/>
      <c r="G1580" s="70" t="s">
        <v>61</v>
      </c>
      <c r="H1580" s="70" t="s">
        <v>178</v>
      </c>
      <c r="I1580" s="70" t="s">
        <v>198</v>
      </c>
      <c r="J1580" s="71" t="str">
        <f>IF(OR(I1580=0,I1580=""),"unrated",VLOOKUP(I1580,MappingTables!$B$19:$C$31,2,FALSE))</f>
        <v>unrated</v>
      </c>
      <c r="K1580" s="72">
        <v>272.74638540297668</v>
      </c>
      <c r="L1580" s="70">
        <v>0.068494269817261632</v>
      </c>
      <c r="M1580" s="71">
        <f>IF(L1580&lt;1,1,L1580)</f>
        <v>1</v>
      </c>
      <c r="N1580" s="70" t="s">
        <v>3288</v>
      </c>
      <c r="O1580" s="71">
        <f>IF(OR(I1580=$A$1,I1580=0),"",IF(N1580=MappingTables!$C$14,VLOOKUP(J1580,ModelParameters!$M$8:$N$15,2,FALSE),IF(N1580=MappingTables!$C$16,VLOOKUP(J1580,ModelParameters!$P$8:$Q$15,2,FALSE),0)))</f>
        <v>1</v>
      </c>
      <c r="P1580" s="73">
        <f>IF(OR(I1580=0,I1580=$A$1),0,MIN(O1580*M1580,1)*K1580)</f>
        <v>272.74638540297668</v>
      </c>
      <c r="Q1580" s="73">
        <f>IF(B1580="",0,IF(OR(H1580=MappingTables!$C$34,H1580=MappingTables!$C$35),P1580,0))</f>
        <v>0</v>
      </c>
      <c r="R1580" s="73">
        <f>IF(ISNA(IF(AND(VLOOKUP(CONCATENATE($D1580,$G1580),CSRFinput!$B:$E,4,0)=0,OR(H1580=MappingTables!$C$31,H1580=MappingTables!$C$32)),1,VLOOKUP(CONCATENATE($D1580,$G1580),CSRFinput!$B:$E,4,0))),0,IF(AND(VLOOKUP(CONCATENATE($D1580,$G1580),CSRFinput!$B:$E,4,0)=0,OR(H1580=MappingTables!$C$31,H1580=MappingTables!$C$32)),1,VLOOKUP(CONCATENATE($D1580,$G1580),CSRFinput!$B:$E,4,0)))</f>
        <v>0.054776304963434752</v>
      </c>
      <c r="S1580" s="73">
        <f>IF(B1580="",0,P1580*R1580)</f>
        <v>14.94003918450796</v>
      </c>
      <c r="T1580" s="85">
        <f>IF(B1580="",0,IF(OR(H1580=MappingTables!$C$34,H1580=MappingTables!$C$35),S1580,0))</f>
        <v>0</v>
      </c>
    </row>
    <row r="1581" spans="2:20" s="0" customFormat="0" ht="15">
      <c r="B1581" s="69">
        <v>22554481</v>
      </c>
      <c r="C1581" s="70" t="s">
        <v>5048</v>
      </c>
      <c r="D1581" s="70" t="s">
        <v>1</v>
      </c>
      <c r="E1581" s="70" t="s">
        <v>1</v>
      </c>
      <c r="F1581" s="70"/>
      <c r="G1581" s="70" t="s">
        <v>61</v>
      </c>
      <c r="H1581" s="70" t="s">
        <v>178</v>
      </c>
      <c r="I1581" s="70" t="s">
        <v>216</v>
      </c>
      <c r="J1581" s="71">
        <f>IF(OR(I1581=0,I1581=""),"unrated",VLOOKUP(I1581,MappingTables!$B$19:$C$31,2,FALSE))</f>
        <v>0</v>
      </c>
      <c r="K1581" s="72">
        <v>8.3086793314161904</v>
      </c>
      <c r="L1581" s="70">
        <v>0.038565806288886176</v>
      </c>
      <c r="M1581" s="71">
        <f>IF(L1581&lt;1,1,L1581)</f>
        <v>1</v>
      </c>
      <c r="N1581" s="70" t="s">
        <v>3288</v>
      </c>
      <c r="O1581" s="71">
        <f>IF(OR(I1581=$A$1,I1581=0),"",IF(N1581=MappingTables!$C$14,VLOOKUP(J1581,ModelParameters!$M$8:$N$15,2,FALSE),IF(N1581=MappingTables!$C$16,VLOOKUP(J1581,ModelParameters!$P$8:$Q$15,2,FALSE),0)))</f>
        <v>0.125</v>
      </c>
      <c r="P1581" s="73">
        <f>IF(OR(I1581=0,I1581=$A$1),0,MIN(O1581*M1581,1)*K1581)</f>
        <v>1.0385849164270238</v>
      </c>
      <c r="Q1581" s="73">
        <f>IF(B1581="",0,IF(OR(H1581=MappingTables!$C$34,H1581=MappingTables!$C$35),P1581,0))</f>
        <v>0</v>
      </c>
      <c r="R1581" s="73">
        <f>IF(ISNA(IF(AND(VLOOKUP(CONCATENATE($D1581,$G1581),CSRFinput!$B:$E,4,0)=0,OR(H1581=MappingTables!$C$31,H1581=MappingTables!$C$32)),1,VLOOKUP(CONCATENATE($D1581,$G1581),CSRFinput!$B:$E,4,0))),0,IF(AND(VLOOKUP(CONCATENATE($D1581,$G1581),CSRFinput!$B:$E,4,0)=0,OR(H1581=MappingTables!$C$31,H1581=MappingTables!$C$32)),1,VLOOKUP(CONCATENATE($D1581,$G1581),CSRFinput!$B:$E,4,0)))</f>
        <v>0.054776304963434752</v>
      </c>
      <c r="S1581" s="73">
        <f>IF(B1581="",0,P1581*R1581)</f>
        <v>0.056889844112630056</v>
      </c>
      <c r="T1581" s="85">
        <f>IF(B1581="",0,IF(OR(H1581=MappingTables!$C$34,H1581=MappingTables!$C$35),S1581,0))</f>
        <v>0</v>
      </c>
    </row>
    <row r="1582" spans="2:20" s="0" customFormat="0" ht="15">
      <c r="B1582" s="69" t="s">
        <v>5049</v>
      </c>
      <c r="C1582" s="70" t="s">
        <v>5050</v>
      </c>
      <c r="D1582" s="70" t="s">
        <v>1</v>
      </c>
      <c r="E1582" s="70" t="s">
        <v>1</v>
      </c>
      <c r="F1582" s="70"/>
      <c r="G1582" s="70" t="s">
        <v>61</v>
      </c>
      <c r="H1582" s="70" t="s">
        <v>178</v>
      </c>
      <c r="I1582" s="70" t="s">
        <v>198</v>
      </c>
      <c r="J1582" s="71" t="str">
        <f>IF(OR(I1582=0,I1582=""),"unrated",VLOOKUP(I1582,MappingTables!$B$19:$C$31,2,FALSE))</f>
        <v>unrated</v>
      </c>
      <c r="K1582" s="72">
        <v>194.25929150415948</v>
      </c>
      <c r="L1582" s="70">
        <v>9.6983266422201184</v>
      </c>
      <c r="M1582" s="71">
        <f>IF(L1582&lt;1,1,L1582)</f>
        <v>9.6983266422201184</v>
      </c>
      <c r="N1582" s="70" t="s">
        <v>3288</v>
      </c>
      <c r="O1582" s="71">
        <f>IF(OR(I1582=$A$1,I1582=0),"",IF(N1582=MappingTables!$C$14,VLOOKUP(J1582,ModelParameters!$M$8:$N$15,2,FALSE),IF(N1582=MappingTables!$C$16,VLOOKUP(J1582,ModelParameters!$P$8:$Q$15,2,FALSE),0)))</f>
        <v>1</v>
      </c>
      <c r="P1582" s="73">
        <f>IF(OR(I1582=0,I1582=$A$1),0,MIN(O1582*M1582,1)*K1582)</f>
        <v>194.25929150415948</v>
      </c>
      <c r="Q1582" s="73">
        <f>IF(B1582="",0,IF(OR(H1582=MappingTables!$C$34,H1582=MappingTables!$C$35),P1582,0))</f>
        <v>0</v>
      </c>
      <c r="R1582" s="73">
        <f>IF(ISNA(IF(AND(VLOOKUP(CONCATENATE($D1582,$G1582),CSRFinput!$B:$E,4,0)=0,OR(H1582=MappingTables!$C$31,H1582=MappingTables!$C$32)),1,VLOOKUP(CONCATENATE($D1582,$G1582),CSRFinput!$B:$E,4,0))),0,IF(AND(VLOOKUP(CONCATENATE($D1582,$G1582),CSRFinput!$B:$E,4,0)=0,OR(H1582=MappingTables!$C$31,H1582=MappingTables!$C$32)),1,VLOOKUP(CONCATENATE($D1582,$G1582),CSRFinput!$B:$E,4,0)))</f>
        <v>0.054776304963434752</v>
      </c>
      <c r="S1582" s="73">
        <f>IF(B1582="",0,P1582*R1582)</f>
        <v>10.64080619341261</v>
      </c>
      <c r="T1582" s="85">
        <f>IF(B1582="",0,IF(OR(H1582=MappingTables!$C$34,H1582=MappingTables!$C$35),S1582,0))</f>
        <v>0</v>
      </c>
    </row>
    <row r="1583" spans="2:20" s="0" customFormat="0" ht="15">
      <c r="B1583" s="69">
        <v>22554542</v>
      </c>
      <c r="C1583" s="70" t="s">
        <v>4323</v>
      </c>
      <c r="D1583" s="70" t="s">
        <v>1</v>
      </c>
      <c r="E1583" s="70" t="s">
        <v>1</v>
      </c>
      <c r="F1583" s="70"/>
      <c r="G1583" s="70" t="s">
        <v>61</v>
      </c>
      <c r="H1583" s="70" t="s">
        <v>178</v>
      </c>
      <c r="I1583" s="70" t="s">
        <v>198</v>
      </c>
      <c r="J1583" s="71" t="str">
        <f>IF(OR(I1583=0,I1583=""),"unrated",VLOOKUP(I1583,MappingTables!$B$19:$C$31,2,FALSE))</f>
        <v>unrated</v>
      </c>
      <c r="K1583" s="72">
        <v>596.2516174807732</v>
      </c>
      <c r="L1583" s="70">
        <v>0.068492418516501712</v>
      </c>
      <c r="M1583" s="71">
        <f>IF(L1583&lt;1,1,L1583)</f>
        <v>1</v>
      </c>
      <c r="N1583" s="70" t="s">
        <v>3288</v>
      </c>
      <c r="O1583" s="71">
        <f>IF(OR(I1583=$A$1,I1583=0),"",IF(N1583=MappingTables!$C$14,VLOOKUP(J1583,ModelParameters!$M$8:$N$15,2,FALSE),IF(N1583=MappingTables!$C$16,VLOOKUP(J1583,ModelParameters!$P$8:$Q$15,2,FALSE),0)))</f>
        <v>1</v>
      </c>
      <c r="P1583" s="73">
        <f>IF(OR(I1583=0,I1583=$A$1),0,MIN(O1583*M1583,1)*K1583)</f>
        <v>596.2516174807732</v>
      </c>
      <c r="Q1583" s="73">
        <f>IF(B1583="",0,IF(OR(H1583=MappingTables!$C$34,H1583=MappingTables!$C$35),P1583,0))</f>
        <v>0</v>
      </c>
      <c r="R1583" s="73">
        <f>IF(ISNA(IF(AND(VLOOKUP(CONCATENATE($D1583,$G1583),CSRFinput!$B:$E,4,0)=0,OR(H1583=MappingTables!$C$31,H1583=MappingTables!$C$32)),1,VLOOKUP(CONCATENATE($D1583,$G1583),CSRFinput!$B:$E,4,0))),0,IF(AND(VLOOKUP(CONCATENATE($D1583,$G1583),CSRFinput!$B:$E,4,0)=0,OR(H1583=MappingTables!$C$31,H1583=MappingTables!$C$32)),1,VLOOKUP(CONCATENATE($D1583,$G1583),CSRFinput!$B:$E,4,0)))</f>
        <v>0.054776304963434752</v>
      </c>
      <c r="S1583" s="73">
        <f>IF(B1583="",0,P1583*R1583)</f>
        <v>32.660460434068076</v>
      </c>
      <c r="T1583" s="85">
        <f>IF(B1583="",0,IF(OR(H1583=MappingTables!$C$34,H1583=MappingTables!$C$35),S1583,0))</f>
        <v>0</v>
      </c>
    </row>
    <row r="1584" spans="2:20" s="0" customFormat="0" ht="15">
      <c r="B1584" s="69" t="s">
        <v>5013</v>
      </c>
      <c r="C1584" s="70" t="s">
        <v>5014</v>
      </c>
      <c r="D1584" s="70" t="s">
        <v>1</v>
      </c>
      <c r="E1584" s="70" t="s">
        <v>1</v>
      </c>
      <c r="F1584" s="70"/>
      <c r="G1584" s="70" t="s">
        <v>61</v>
      </c>
      <c r="H1584" s="70" t="s">
        <v>178</v>
      </c>
      <c r="I1584" s="70" t="s">
        <v>3298</v>
      </c>
      <c r="J1584" s="71">
        <f>IF(OR(I1584=0,I1584=""),"unrated",VLOOKUP(I1584,MappingTables!$B$19:$C$31,2,FALSE))</f>
        <v>6</v>
      </c>
      <c r="K1584" s="72">
        <v>16905.408658858054</v>
      </c>
      <c r="L1584" s="70">
        <v>-1.7446633946883272</v>
      </c>
      <c r="M1584" s="71">
        <f>IF(L1584&lt;1,1,L1584)</f>
        <v>1</v>
      </c>
      <c r="N1584" s="70" t="s">
        <v>3288</v>
      </c>
      <c r="O1584" s="71">
        <f>IF(OR(I1584=$A$1,I1584=0),"",IF(N1584=MappingTables!$C$14,VLOOKUP(J1584,ModelParameters!$M$8:$N$15,2,FALSE),IF(N1584=MappingTables!$C$16,VLOOKUP(J1584,ModelParameters!$P$8:$Q$15,2,FALSE),0)))</f>
        <v>1</v>
      </c>
      <c r="P1584" s="73">
        <f>IF(OR(I1584=0,I1584=$A$1),0,MIN(O1584*M1584,1)*K1584)</f>
        <v>16905.408658858054</v>
      </c>
      <c r="Q1584" s="73">
        <f>IF(B1584="",0,IF(OR(H1584=MappingTables!$C$34,H1584=MappingTables!$C$35),P1584,0))</f>
        <v>0</v>
      </c>
      <c r="R1584" s="73">
        <f>IF(ISNA(IF(AND(VLOOKUP(CONCATENATE($D1584,$G1584),CSRFinput!$B:$E,4,0)=0,OR(H1584=MappingTables!$C$31,H1584=MappingTables!$C$32)),1,VLOOKUP(CONCATENATE($D1584,$G1584),CSRFinput!$B:$E,4,0))),0,IF(AND(VLOOKUP(CONCATENATE($D1584,$G1584),CSRFinput!$B:$E,4,0)=0,OR(H1584=MappingTables!$C$31,H1584=MappingTables!$C$32)),1,VLOOKUP(CONCATENATE($D1584,$G1584),CSRFinput!$B:$E,4,0)))</f>
        <v>0.054776304963434752</v>
      </c>
      <c r="S1584" s="73">
        <f>IF(B1584="",0,P1584*R1584)</f>
        <v>926.01582022909936</v>
      </c>
      <c r="T1584" s="85">
        <f>IF(B1584="",0,IF(OR(H1584=MappingTables!$C$34,H1584=MappingTables!$C$35),S1584,0))</f>
        <v>0</v>
      </c>
    </row>
    <row r="1585" spans="2:20" s="0" customFormat="0" ht="15">
      <c r="B1585" s="69">
        <v>4467280</v>
      </c>
      <c r="C1585" s="70" t="s">
        <v>5051</v>
      </c>
      <c r="D1585" s="70" t="s">
        <v>1</v>
      </c>
      <c r="E1585" s="70" t="s">
        <v>1</v>
      </c>
      <c r="F1585" s="70"/>
      <c r="G1585" s="70" t="s">
        <v>61</v>
      </c>
      <c r="H1585" s="70" t="s">
        <v>178</v>
      </c>
      <c r="I1585" s="70" t="s">
        <v>181</v>
      </c>
      <c r="J1585" s="71">
        <f>IF(OR(I1585=0,I1585=""),"unrated",VLOOKUP(I1585,MappingTables!$B$19:$C$31,2,FALSE))</f>
        <v>3</v>
      </c>
      <c r="K1585" s="72">
        <v>601.72886346695608</v>
      </c>
      <c r="L1585" s="70">
        <v>0.068493076234516424</v>
      </c>
      <c r="M1585" s="71">
        <f>IF(L1585&lt;1,1,L1585)</f>
        <v>1</v>
      </c>
      <c r="N1585" s="70" t="s">
        <v>3288</v>
      </c>
      <c r="O1585" s="71">
        <f>IF(OR(I1585=$A$1,I1585=0),"",IF(N1585=MappingTables!$C$14,VLOOKUP(J1585,ModelParameters!$M$8:$N$15,2,FALSE),IF(N1585=MappingTables!$C$16,VLOOKUP(J1585,ModelParameters!$P$8:$Q$15,2,FALSE),0)))</f>
        <v>0.197</v>
      </c>
      <c r="P1585" s="73">
        <f>IF(OR(I1585=0,I1585=$A$1),0,MIN(O1585*M1585,1)*K1585)</f>
        <v>118.54058610299034</v>
      </c>
      <c r="Q1585" s="73">
        <f>IF(B1585="",0,IF(OR(H1585=MappingTables!$C$34,H1585=MappingTables!$C$35),P1585,0))</f>
        <v>0</v>
      </c>
      <c r="R1585" s="73">
        <f>IF(ISNA(IF(AND(VLOOKUP(CONCATENATE($D1585,$G1585),CSRFinput!$B:$E,4,0)=0,OR(H1585=MappingTables!$C$31,H1585=MappingTables!$C$32)),1,VLOOKUP(CONCATENATE($D1585,$G1585),CSRFinput!$B:$E,4,0))),0,IF(AND(VLOOKUP(CONCATENATE($D1585,$G1585),CSRFinput!$B:$E,4,0)=0,OR(H1585=MappingTables!$C$31,H1585=MappingTables!$C$32)),1,VLOOKUP(CONCATENATE($D1585,$G1585),CSRFinput!$B:$E,4,0)))</f>
        <v>0.054776304963434752</v>
      </c>
      <c r="S1585" s="73">
        <f>IF(B1585="",0,P1585*R1585)</f>
        <v>6.4932152949216952</v>
      </c>
      <c r="T1585" s="85">
        <f>IF(B1585="",0,IF(OR(H1585=MappingTables!$C$34,H1585=MappingTables!$C$35),S1585,0))</f>
        <v>0</v>
      </c>
    </row>
    <row r="1586" spans="2:20" s="0" customFormat="0" ht="15">
      <c r="B1586" s="69">
        <v>16974881</v>
      </c>
      <c r="C1586" s="70" t="s">
        <v>4784</v>
      </c>
      <c r="D1586" s="70" t="s">
        <v>1</v>
      </c>
      <c r="E1586" s="70" t="s">
        <v>1</v>
      </c>
      <c r="F1586" s="70"/>
      <c r="G1586" s="70" t="s">
        <v>61</v>
      </c>
      <c r="H1586" s="70" t="s">
        <v>178</v>
      </c>
      <c r="I1586" s="70" t="s">
        <v>216</v>
      </c>
      <c r="J1586" s="71">
        <f>IF(OR(I1586=0,I1586=""),"unrated",VLOOKUP(I1586,MappingTables!$B$19:$C$31,2,FALSE))</f>
        <v>0</v>
      </c>
      <c r="K1586" s="72">
        <v>35.440486414696132</v>
      </c>
      <c r="L1586" s="70">
        <v>0.068973782268035648</v>
      </c>
      <c r="M1586" s="71">
        <f>IF(L1586&lt;1,1,L1586)</f>
        <v>1</v>
      </c>
      <c r="N1586" s="70" t="s">
        <v>3288</v>
      </c>
      <c r="O1586" s="71">
        <f>IF(OR(I1586=$A$1,I1586=0),"",IF(N1586=MappingTables!$C$14,VLOOKUP(J1586,ModelParameters!$M$8:$N$15,2,FALSE),IF(N1586=MappingTables!$C$16,VLOOKUP(J1586,ModelParameters!$P$8:$Q$15,2,FALSE),0)))</f>
        <v>0.125</v>
      </c>
      <c r="P1586" s="73">
        <f>IF(OR(I1586=0,I1586=$A$1),0,MIN(O1586*M1586,1)*K1586)</f>
        <v>4.4300608018370168</v>
      </c>
      <c r="Q1586" s="73">
        <f>IF(B1586="",0,IF(OR(H1586=MappingTables!$C$34,H1586=MappingTables!$C$35),P1586,0))</f>
        <v>0</v>
      </c>
      <c r="R1586" s="73">
        <f>IF(ISNA(IF(AND(VLOOKUP(CONCATENATE($D1586,$G1586),CSRFinput!$B:$E,4,0)=0,OR(H1586=MappingTables!$C$31,H1586=MappingTables!$C$32)),1,VLOOKUP(CONCATENATE($D1586,$G1586),CSRFinput!$B:$E,4,0))),0,IF(AND(VLOOKUP(CONCATENATE($D1586,$G1586),CSRFinput!$B:$E,4,0)=0,OR(H1586=MappingTables!$C$31,H1586=MappingTables!$C$32)),1,VLOOKUP(CONCATENATE($D1586,$G1586),CSRFinput!$B:$E,4,0)))</f>
        <v>0.054776304963434752</v>
      </c>
      <c r="S1586" s="73">
        <f>IF(B1586="",0,P1586*R1586)</f>
        <v>0.24266236148798272</v>
      </c>
      <c r="T1586" s="85">
        <f>IF(B1586="",0,IF(OR(H1586=MappingTables!$C$34,H1586=MappingTables!$C$35),S1586,0))</f>
        <v>0</v>
      </c>
    </row>
    <row r="1587" spans="2:20" s="0" customFormat="0" ht="15">
      <c r="B1587" s="69" t="s">
        <v>5052</v>
      </c>
      <c r="C1587" s="70" t="s">
        <v>5053</v>
      </c>
      <c r="D1587" s="70" t="s">
        <v>1</v>
      </c>
      <c r="E1587" s="70" t="s">
        <v>1</v>
      </c>
      <c r="F1587" s="70"/>
      <c r="G1587" s="70" t="s">
        <v>61</v>
      </c>
      <c r="H1587" s="70" t="s">
        <v>178</v>
      </c>
      <c r="I1587" s="70" t="s">
        <v>198</v>
      </c>
      <c r="J1587" s="71" t="str">
        <f>IF(OR(I1587=0,I1587=""),"unrated",VLOOKUP(I1587,MappingTables!$B$19:$C$31,2,FALSE))</f>
        <v>unrated</v>
      </c>
      <c r="K1587" s="72">
        <v>301.42156483806788</v>
      </c>
      <c r="L1587" s="70">
        <v>0.63419728524141424</v>
      </c>
      <c r="M1587" s="71">
        <f>IF(L1587&lt;1,1,L1587)</f>
        <v>1</v>
      </c>
      <c r="N1587" s="70" t="s">
        <v>3288</v>
      </c>
      <c r="O1587" s="71">
        <f>IF(OR(I1587=$A$1,I1587=0),"",IF(N1587=MappingTables!$C$14,VLOOKUP(J1587,ModelParameters!$M$8:$N$15,2,FALSE),IF(N1587=MappingTables!$C$16,VLOOKUP(J1587,ModelParameters!$P$8:$Q$15,2,FALSE),0)))</f>
        <v>1</v>
      </c>
      <c r="P1587" s="73">
        <f>IF(OR(I1587=0,I1587=$A$1),0,MIN(O1587*M1587,1)*K1587)</f>
        <v>301.42156483806788</v>
      </c>
      <c r="Q1587" s="73">
        <f>IF(B1587="",0,IF(OR(H1587=MappingTables!$C$34,H1587=MappingTables!$C$35),P1587,0))</f>
        <v>0</v>
      </c>
      <c r="R1587" s="73">
        <f>IF(ISNA(IF(AND(VLOOKUP(CONCATENATE($D1587,$G1587),CSRFinput!$B:$E,4,0)=0,OR(H1587=MappingTables!$C$31,H1587=MappingTables!$C$32)),1,VLOOKUP(CONCATENATE($D1587,$G1587),CSRFinput!$B:$E,4,0))),0,IF(AND(VLOOKUP(CONCATENATE($D1587,$G1587),CSRFinput!$B:$E,4,0)=0,OR(H1587=MappingTables!$C$31,H1587=MappingTables!$C$32)),1,VLOOKUP(CONCATENATE($D1587,$G1587),CSRFinput!$B:$E,4,0)))</f>
        <v>0.054776304963434752</v>
      </c>
      <c r="S1587" s="73">
        <f>IF(B1587="",0,P1587*R1587)</f>
        <v>16.510759558125728</v>
      </c>
      <c r="T1587" s="85">
        <f>IF(B1587="",0,IF(OR(H1587=MappingTables!$C$34,H1587=MappingTables!$C$35),S1587,0))</f>
        <v>0</v>
      </c>
    </row>
    <row r="1588" spans="2:20" s="0" customFormat="0" ht="15">
      <c r="B1588" s="69" t="s">
        <v>5054</v>
      </c>
      <c r="C1588" s="70" t="s">
        <v>5055</v>
      </c>
      <c r="D1588" s="70" t="s">
        <v>1</v>
      </c>
      <c r="E1588" s="70" t="s">
        <v>1</v>
      </c>
      <c r="F1588" s="70"/>
      <c r="G1588" s="70" t="s">
        <v>61</v>
      </c>
      <c r="H1588" s="70" t="s">
        <v>178</v>
      </c>
      <c r="I1588" s="70" t="s">
        <v>220</v>
      </c>
      <c r="J1588" s="71">
        <f>IF(OR(I1588=0,I1588=""),"unrated",VLOOKUP(I1588,MappingTables!$B$19:$C$31,2,FALSE))</f>
        <v>1</v>
      </c>
      <c r="K1588" s="72">
        <v>51.662803831393344</v>
      </c>
      <c r="L1588" s="70">
        <v>0.068490566021060632</v>
      </c>
      <c r="M1588" s="71">
        <f>IF(L1588&lt;1,1,L1588)</f>
        <v>1</v>
      </c>
      <c r="N1588" s="70" t="s">
        <v>3288</v>
      </c>
      <c r="O1588" s="71">
        <f>IF(OR(I1588=$A$1,I1588=0),"",IF(N1588=MappingTables!$C$14,VLOOKUP(J1588,ModelParameters!$M$8:$N$15,2,FALSE),IF(N1588=MappingTables!$C$16,VLOOKUP(J1588,ModelParameters!$P$8:$Q$15,2,FALSE),0)))</f>
        <v>0.134</v>
      </c>
      <c r="P1588" s="73">
        <f>IF(OR(I1588=0,I1588=$A$1),0,MIN(O1588*M1588,1)*K1588)</f>
        <v>6.9228157134067088</v>
      </c>
      <c r="Q1588" s="73">
        <f>IF(B1588="",0,IF(OR(H1588=MappingTables!$C$34,H1588=MappingTables!$C$35),P1588,0))</f>
        <v>0</v>
      </c>
      <c r="R1588" s="73">
        <f>IF(ISNA(IF(AND(VLOOKUP(CONCATENATE($D1588,$G1588),CSRFinput!$B:$E,4,0)=0,OR(H1588=MappingTables!$C$31,H1588=MappingTables!$C$32)),1,VLOOKUP(CONCATENATE($D1588,$G1588),CSRFinput!$B:$E,4,0))),0,IF(AND(VLOOKUP(CONCATENATE($D1588,$G1588),CSRFinput!$B:$E,4,0)=0,OR(H1588=MappingTables!$C$31,H1588=MappingTables!$C$32)),1,VLOOKUP(CONCATENATE($D1588,$G1588),CSRFinput!$B:$E,4,0)))</f>
        <v>0.054776304963434752</v>
      </c>
      <c r="S1588" s="73">
        <f>IF(B1588="",0,P1588*R1588)</f>
        <v>0.379206264723224</v>
      </c>
      <c r="T1588" s="85">
        <f>IF(B1588="",0,IF(OR(H1588=MappingTables!$C$34,H1588=MappingTables!$C$35),S1588,0))</f>
        <v>0</v>
      </c>
    </row>
    <row r="1589" spans="2:20" s="0" customFormat="0" ht="15">
      <c r="B1589" s="69">
        <v>21637003</v>
      </c>
      <c r="C1589" s="70" t="s">
        <v>5056</v>
      </c>
      <c r="D1589" s="70" t="s">
        <v>1</v>
      </c>
      <c r="E1589" s="70" t="s">
        <v>1</v>
      </c>
      <c r="F1589" s="70"/>
      <c r="G1589" s="70" t="s">
        <v>61</v>
      </c>
      <c r="H1589" s="70" t="s">
        <v>178</v>
      </c>
      <c r="I1589" s="70" t="s">
        <v>216</v>
      </c>
      <c r="J1589" s="71">
        <f>IF(OR(I1589=0,I1589=""),"unrated",VLOOKUP(I1589,MappingTables!$B$19:$C$31,2,FALSE))</f>
        <v>0</v>
      </c>
      <c r="K1589" s="72">
        <v>949.4340847154432</v>
      </c>
      <c r="L1589" s="70">
        <v>3.5662815221211164</v>
      </c>
      <c r="M1589" s="71">
        <f>IF(L1589&lt;1,1,L1589)</f>
        <v>3.5662815221211164</v>
      </c>
      <c r="N1589" s="70" t="s">
        <v>3288</v>
      </c>
      <c r="O1589" s="71">
        <f>IF(OR(I1589=$A$1,I1589=0),"",IF(N1589=MappingTables!$C$14,VLOOKUP(J1589,ModelParameters!$M$8:$N$15,2,FALSE),IF(N1589=MappingTables!$C$16,VLOOKUP(J1589,ModelParameters!$P$8:$Q$15,2,FALSE),0)))</f>
        <v>0.125</v>
      </c>
      <c r="P1589" s="73">
        <f>IF(OR(I1589=0,I1589=$A$1),0,MIN(O1589*M1589,1)*K1589)</f>
        <v>423.24365409908248</v>
      </c>
      <c r="Q1589" s="73">
        <f>IF(B1589="",0,IF(OR(H1589=MappingTables!$C$34,H1589=MappingTables!$C$35),P1589,0))</f>
        <v>0</v>
      </c>
      <c r="R1589" s="73">
        <f>IF(ISNA(IF(AND(VLOOKUP(CONCATENATE($D1589,$G1589),CSRFinput!$B:$E,4,0)=0,OR(H1589=MappingTables!$C$31,H1589=MappingTables!$C$32)),1,VLOOKUP(CONCATENATE($D1589,$G1589),CSRFinput!$B:$E,4,0))),0,IF(AND(VLOOKUP(CONCATENATE($D1589,$G1589),CSRFinput!$B:$E,4,0)=0,OR(H1589=MappingTables!$C$31,H1589=MappingTables!$C$32)),1,VLOOKUP(CONCATENATE($D1589,$G1589),CSRFinput!$B:$E,4,0)))</f>
        <v>0.054776304963434752</v>
      </c>
      <c r="S1589" s="73">
        <f>IF(B1589="",0,P1589*R1589)</f>
        <v>23.183723470769836</v>
      </c>
      <c r="T1589" s="85">
        <f>IF(B1589="",0,IF(OR(H1589=MappingTables!$C$34,H1589=MappingTables!$C$35),S1589,0))</f>
        <v>0</v>
      </c>
    </row>
    <row r="1590" spans="2:20" s="0" customFormat="0" ht="15">
      <c r="B1590" s="69" t="s">
        <v>3971</v>
      </c>
      <c r="C1590" s="70" t="s">
        <v>3972</v>
      </c>
      <c r="D1590" s="70" t="s">
        <v>1</v>
      </c>
      <c r="E1590" s="70" t="s">
        <v>1</v>
      </c>
      <c r="F1590" s="70"/>
      <c r="G1590" s="70" t="s">
        <v>61</v>
      </c>
      <c r="H1590" s="70" t="s">
        <v>178</v>
      </c>
      <c r="I1590" s="70" t="s">
        <v>204</v>
      </c>
      <c r="J1590" s="71">
        <f>IF(OR(I1590=0,I1590=""),"unrated",VLOOKUP(I1590,MappingTables!$B$19:$C$31,2,FALSE))</f>
        <v>6</v>
      </c>
      <c r="K1590" s="72">
        <v>1542.9446021771476</v>
      </c>
      <c r="L1590" s="70">
        <v>-0.012409624817791864</v>
      </c>
      <c r="M1590" s="71">
        <f>IF(L1590&lt;1,1,L1590)</f>
        <v>1</v>
      </c>
      <c r="N1590" s="70" t="s">
        <v>3288</v>
      </c>
      <c r="O1590" s="71">
        <f>IF(OR(I1590=$A$1,I1590=0),"",IF(N1590=MappingTables!$C$14,VLOOKUP(J1590,ModelParameters!$M$8:$N$15,2,FALSE),IF(N1590=MappingTables!$C$16,VLOOKUP(J1590,ModelParameters!$P$8:$Q$15,2,FALSE),0)))</f>
        <v>1</v>
      </c>
      <c r="P1590" s="73">
        <f>IF(OR(I1590=0,I1590=$A$1),0,MIN(O1590*M1590,1)*K1590)</f>
        <v>1542.9446021771476</v>
      </c>
      <c r="Q1590" s="73">
        <f>IF(B1590="",0,IF(OR(H1590=MappingTables!$C$34,H1590=MappingTables!$C$35),P1590,0))</f>
        <v>0</v>
      </c>
      <c r="R1590" s="73">
        <f>IF(ISNA(IF(AND(VLOOKUP(CONCATENATE($D1590,$G1590),CSRFinput!$B:$E,4,0)=0,OR(H1590=MappingTables!$C$31,H1590=MappingTables!$C$32)),1,VLOOKUP(CONCATENATE($D1590,$G1590),CSRFinput!$B:$E,4,0))),0,IF(AND(VLOOKUP(CONCATENATE($D1590,$G1590),CSRFinput!$B:$E,4,0)=0,OR(H1590=MappingTables!$C$31,H1590=MappingTables!$C$32)),1,VLOOKUP(CONCATENATE($D1590,$G1590),CSRFinput!$B:$E,4,0)))</f>
        <v>0.054776304963434752</v>
      </c>
      <c r="S1590" s="73">
        <f>IF(B1590="",0,P1590*R1590)</f>
        <v>84.516804070540944</v>
      </c>
      <c r="T1590" s="85">
        <f>IF(B1590="",0,IF(OR(H1590=MappingTables!$C$34,H1590=MappingTables!$C$35),S1590,0))</f>
        <v>0</v>
      </c>
    </row>
    <row r="1591" spans="2:20" s="0" customFormat="0" ht="15">
      <c r="B1591" s="69" t="s">
        <v>4739</v>
      </c>
      <c r="C1591" s="70" t="s">
        <v>4740</v>
      </c>
      <c r="D1591" s="70" t="s">
        <v>1</v>
      </c>
      <c r="E1591" s="70" t="s">
        <v>1</v>
      </c>
      <c r="F1591" s="70"/>
      <c r="G1591" s="70" t="s">
        <v>61</v>
      </c>
      <c r="H1591" s="70" t="s">
        <v>178</v>
      </c>
      <c r="I1591" s="70" t="s">
        <v>198</v>
      </c>
      <c r="J1591" s="71" t="str">
        <f>IF(OR(I1591=0,I1591=""),"unrated",VLOOKUP(I1591,MappingTables!$B$19:$C$31,2,FALSE))</f>
        <v>unrated</v>
      </c>
      <c r="K1591" s="72">
        <v>45.785801263480272</v>
      </c>
      <c r="L1591" s="70">
        <v>10.863918261794378</v>
      </c>
      <c r="M1591" s="71">
        <f>IF(L1591&lt;1,1,L1591)</f>
        <v>10.863918261794378</v>
      </c>
      <c r="N1591" s="70" t="s">
        <v>3288</v>
      </c>
      <c r="O1591" s="71">
        <f>IF(OR(I1591=$A$1,I1591=0),"",IF(N1591=MappingTables!$C$14,VLOOKUP(J1591,ModelParameters!$M$8:$N$15,2,FALSE),IF(N1591=MappingTables!$C$16,VLOOKUP(J1591,ModelParameters!$P$8:$Q$15,2,FALSE),0)))</f>
        <v>1</v>
      </c>
      <c r="P1591" s="73">
        <f>IF(OR(I1591=0,I1591=$A$1),0,MIN(O1591*M1591,1)*K1591)</f>
        <v>45.785801263480272</v>
      </c>
      <c r="Q1591" s="73">
        <f>IF(B1591="",0,IF(OR(H1591=MappingTables!$C$34,H1591=MappingTables!$C$35),P1591,0))</f>
        <v>0</v>
      </c>
      <c r="R1591" s="73">
        <f>IF(ISNA(IF(AND(VLOOKUP(CONCATENATE($D1591,$G1591),CSRFinput!$B:$E,4,0)=0,OR(H1591=MappingTables!$C$31,H1591=MappingTables!$C$32)),1,VLOOKUP(CONCATENATE($D1591,$G1591),CSRFinput!$B:$E,4,0))),0,IF(AND(VLOOKUP(CONCATENATE($D1591,$G1591),CSRFinput!$B:$E,4,0)=0,OR(H1591=MappingTables!$C$31,H1591=MappingTables!$C$32)),1,VLOOKUP(CONCATENATE($D1591,$G1591),CSRFinput!$B:$E,4,0)))</f>
        <v>0.054776304963434752</v>
      </c>
      <c r="S1591" s="73">
        <f>IF(B1591="",0,P1591*R1591)</f>
        <v>2.507977013003612</v>
      </c>
      <c r="T1591" s="85">
        <f>IF(B1591="",0,IF(OR(H1591=MappingTables!$C$34,H1591=MappingTables!$C$35),S1591,0))</f>
        <v>0</v>
      </c>
    </row>
    <row r="1592" spans="2:20" s="0" customFormat="0" ht="15">
      <c r="B1592" s="69">
        <v>20113244</v>
      </c>
      <c r="C1592" s="70" t="s">
        <v>5057</v>
      </c>
      <c r="D1592" s="70" t="s">
        <v>1</v>
      </c>
      <c r="E1592" s="70" t="s">
        <v>1</v>
      </c>
      <c r="F1592" s="70"/>
      <c r="G1592" s="70" t="s">
        <v>61</v>
      </c>
      <c r="H1592" s="70" t="s">
        <v>178</v>
      </c>
      <c r="I1592" s="70" t="s">
        <v>198</v>
      </c>
      <c r="J1592" s="71" t="str">
        <f>IF(OR(I1592=0,I1592=""),"unrated",VLOOKUP(I1592,MappingTables!$B$19:$C$31,2,FALSE))</f>
        <v>unrated</v>
      </c>
      <c r="K1592" s="72">
        <v>368.65686995575672</v>
      </c>
      <c r="L1592" s="70">
        <v>0.1303125076812251</v>
      </c>
      <c r="M1592" s="71">
        <f>IF(L1592&lt;1,1,L1592)</f>
        <v>1</v>
      </c>
      <c r="N1592" s="70" t="s">
        <v>3288</v>
      </c>
      <c r="O1592" s="71">
        <f>IF(OR(I1592=$A$1,I1592=0),"",IF(N1592=MappingTables!$C$14,VLOOKUP(J1592,ModelParameters!$M$8:$N$15,2,FALSE),IF(N1592=MappingTables!$C$16,VLOOKUP(J1592,ModelParameters!$P$8:$Q$15,2,FALSE),0)))</f>
        <v>1</v>
      </c>
      <c r="P1592" s="73">
        <f>IF(OR(I1592=0,I1592=$A$1),0,MIN(O1592*M1592,1)*K1592)</f>
        <v>368.65686995575672</v>
      </c>
      <c r="Q1592" s="73">
        <f>IF(B1592="",0,IF(OR(H1592=MappingTables!$C$34,H1592=MappingTables!$C$35),P1592,0))</f>
        <v>0</v>
      </c>
      <c r="R1592" s="73">
        <f>IF(ISNA(IF(AND(VLOOKUP(CONCATENATE($D1592,$G1592),CSRFinput!$B:$E,4,0)=0,OR(H1592=MappingTables!$C$31,H1592=MappingTables!$C$32)),1,VLOOKUP(CONCATENATE($D1592,$G1592),CSRFinput!$B:$E,4,0))),0,IF(AND(VLOOKUP(CONCATENATE($D1592,$G1592),CSRFinput!$B:$E,4,0)=0,OR(H1592=MappingTables!$C$31,H1592=MappingTables!$C$32)),1,VLOOKUP(CONCATENATE($D1592,$G1592),CSRFinput!$B:$E,4,0)))</f>
        <v>0.054776304963434752</v>
      </c>
      <c r="S1592" s="73">
        <f>IF(B1592="",0,P1592*R1592)</f>
        <v>20.193661135561836</v>
      </c>
      <c r="T1592" s="85">
        <f>IF(B1592="",0,IF(OR(H1592=MappingTables!$C$34,H1592=MappingTables!$C$35),S1592,0))</f>
        <v>0</v>
      </c>
    </row>
    <row r="1593" spans="2:20" s="0" customFormat="0" ht="15">
      <c r="B1593" s="69" t="s">
        <v>4381</v>
      </c>
      <c r="C1593" s="70" t="s">
        <v>4382</v>
      </c>
      <c r="D1593" s="70" t="s">
        <v>1</v>
      </c>
      <c r="E1593" s="70" t="s">
        <v>1</v>
      </c>
      <c r="F1593" s="70"/>
      <c r="G1593" s="70" t="s">
        <v>61</v>
      </c>
      <c r="H1593" s="70" t="s">
        <v>178</v>
      </c>
      <c r="I1593" s="70" t="s">
        <v>198</v>
      </c>
      <c r="J1593" s="71" t="str">
        <f>IF(OR(I1593=0,I1593=""),"unrated",VLOOKUP(I1593,MappingTables!$B$19:$C$31,2,FALSE))</f>
        <v>unrated</v>
      </c>
      <c r="K1593" s="72">
        <v>105.5950240224127</v>
      </c>
      <c r="L1593" s="70">
        <v>8.6839994804371888</v>
      </c>
      <c r="M1593" s="71">
        <f>IF(L1593&lt;1,1,L1593)</f>
        <v>8.6839994804371888</v>
      </c>
      <c r="N1593" s="70" t="s">
        <v>3288</v>
      </c>
      <c r="O1593" s="71">
        <f>IF(OR(I1593=$A$1,I1593=0),"",IF(N1593=MappingTables!$C$14,VLOOKUP(J1593,ModelParameters!$M$8:$N$15,2,FALSE),IF(N1593=MappingTables!$C$16,VLOOKUP(J1593,ModelParameters!$P$8:$Q$15,2,FALSE),0)))</f>
        <v>1</v>
      </c>
      <c r="P1593" s="73">
        <f>IF(OR(I1593=0,I1593=$A$1),0,MIN(O1593*M1593,1)*K1593)</f>
        <v>105.5950240224127</v>
      </c>
      <c r="Q1593" s="73">
        <f>IF(B1593="",0,IF(OR(H1593=MappingTables!$C$34,H1593=MappingTables!$C$35),P1593,0))</f>
        <v>0</v>
      </c>
      <c r="R1593" s="73">
        <f>IF(ISNA(IF(AND(VLOOKUP(CONCATENATE($D1593,$G1593),CSRFinput!$B:$E,4,0)=0,OR(H1593=MappingTables!$C$31,H1593=MappingTables!$C$32)),1,VLOOKUP(CONCATENATE($D1593,$G1593),CSRFinput!$B:$E,4,0))),0,IF(AND(VLOOKUP(CONCATENATE($D1593,$G1593),CSRFinput!$B:$E,4,0)=0,OR(H1593=MappingTables!$C$31,H1593=MappingTables!$C$32)),1,VLOOKUP(CONCATENATE($D1593,$G1593),CSRFinput!$B:$E,4,0)))</f>
        <v>0.054776304963434752</v>
      </c>
      <c r="S1593" s="73">
        <f>IF(B1593="",0,P1593*R1593)</f>
        <v>5.7841052384728968</v>
      </c>
      <c r="T1593" s="85">
        <f>IF(B1593="",0,IF(OR(H1593=MappingTables!$C$34,H1593=MappingTables!$C$35),S1593,0))</f>
        <v>0</v>
      </c>
    </row>
    <row r="1594" spans="2:20" s="0" customFormat="0" ht="15">
      <c r="B1594" s="69">
        <v>16974693</v>
      </c>
      <c r="C1594" s="70" t="s">
        <v>3962</v>
      </c>
      <c r="D1594" s="70" t="s">
        <v>1</v>
      </c>
      <c r="E1594" s="70" t="s">
        <v>1</v>
      </c>
      <c r="F1594" s="70"/>
      <c r="G1594" s="70" t="s">
        <v>61</v>
      </c>
      <c r="H1594" s="70" t="s">
        <v>178</v>
      </c>
      <c r="I1594" s="70" t="s">
        <v>198</v>
      </c>
      <c r="J1594" s="71" t="str">
        <f>IF(OR(I1594=0,I1594=""),"unrated",VLOOKUP(I1594,MappingTables!$B$19:$C$31,2,FALSE))</f>
        <v>unrated</v>
      </c>
      <c r="K1594" s="72">
        <v>300.30131040504512</v>
      </c>
      <c r="L1594" s="70">
        <v>-0.1112680581355243</v>
      </c>
      <c r="M1594" s="71">
        <f>IF(L1594&lt;1,1,L1594)</f>
        <v>1</v>
      </c>
      <c r="N1594" s="70" t="s">
        <v>3288</v>
      </c>
      <c r="O1594" s="71">
        <f>IF(OR(I1594=$A$1,I1594=0),"",IF(N1594=MappingTables!$C$14,VLOOKUP(J1594,ModelParameters!$M$8:$N$15,2,FALSE),IF(N1594=MappingTables!$C$16,VLOOKUP(J1594,ModelParameters!$P$8:$Q$15,2,FALSE),0)))</f>
        <v>1</v>
      </c>
      <c r="P1594" s="73">
        <f>IF(OR(I1594=0,I1594=$A$1),0,MIN(O1594*M1594,1)*K1594)</f>
        <v>300.30131040504512</v>
      </c>
      <c r="Q1594" s="73">
        <f>IF(B1594="",0,IF(OR(H1594=MappingTables!$C$34,H1594=MappingTables!$C$35),P1594,0))</f>
        <v>0</v>
      </c>
      <c r="R1594" s="73">
        <f>IF(ISNA(IF(AND(VLOOKUP(CONCATENATE($D1594,$G1594),CSRFinput!$B:$E,4,0)=0,OR(H1594=MappingTables!$C$31,H1594=MappingTables!$C$32)),1,VLOOKUP(CONCATENATE($D1594,$G1594),CSRFinput!$B:$E,4,0))),0,IF(AND(VLOOKUP(CONCATENATE($D1594,$G1594),CSRFinput!$B:$E,4,0)=0,OR(H1594=MappingTables!$C$31,H1594=MappingTables!$C$32)),1,VLOOKUP(CONCATENATE($D1594,$G1594),CSRFinput!$B:$E,4,0)))</f>
        <v>0.054776304963434752</v>
      </c>
      <c r="S1594" s="73">
        <f>IF(B1594="",0,P1594*R1594)</f>
        <v>16.449396159665834</v>
      </c>
      <c r="T1594" s="85">
        <f>IF(B1594="",0,IF(OR(H1594=MappingTables!$C$34,H1594=MappingTables!$C$35),S1594,0))</f>
        <v>0</v>
      </c>
    </row>
    <row r="1595" spans="2:20" s="0" customFormat="0" ht="15">
      <c r="B1595" s="69" t="s">
        <v>3352</v>
      </c>
      <c r="C1595" s="70" t="s">
        <v>3353</v>
      </c>
      <c r="D1595" s="70" t="s">
        <v>1</v>
      </c>
      <c r="E1595" s="70" t="s">
        <v>1</v>
      </c>
      <c r="F1595" s="70"/>
      <c r="G1595" s="70" t="s">
        <v>61</v>
      </c>
      <c r="H1595" s="70" t="s">
        <v>178</v>
      </c>
      <c r="I1595" s="70" t="s">
        <v>198</v>
      </c>
      <c r="J1595" s="71" t="str">
        <f>IF(OR(I1595=0,I1595=""),"unrated",VLOOKUP(I1595,MappingTables!$B$19:$C$31,2,FALSE))</f>
        <v>unrated</v>
      </c>
      <c r="K1595" s="72">
        <v>15209.513675523268</v>
      </c>
      <c r="L1595" s="70">
        <v>10.319376789618228</v>
      </c>
      <c r="M1595" s="71">
        <f>IF(L1595&lt;1,1,L1595)</f>
        <v>10.319376789618228</v>
      </c>
      <c r="N1595" s="70" t="s">
        <v>3288</v>
      </c>
      <c r="O1595" s="71">
        <f>IF(OR(I1595=$A$1,I1595=0),"",IF(N1595=MappingTables!$C$14,VLOOKUP(J1595,ModelParameters!$M$8:$N$15,2,FALSE),IF(N1595=MappingTables!$C$16,VLOOKUP(J1595,ModelParameters!$P$8:$Q$15,2,FALSE),0)))</f>
        <v>1</v>
      </c>
      <c r="P1595" s="73">
        <f>IF(OR(I1595=0,I1595=$A$1),0,MIN(O1595*M1595,1)*K1595)</f>
        <v>15209.513675523268</v>
      </c>
      <c r="Q1595" s="73">
        <f>IF(B1595="",0,IF(OR(H1595=MappingTables!$C$34,H1595=MappingTables!$C$35),P1595,0))</f>
        <v>0</v>
      </c>
      <c r="R1595" s="73">
        <f>IF(ISNA(IF(AND(VLOOKUP(CONCATENATE($D1595,$G1595),CSRFinput!$B:$E,4,0)=0,OR(H1595=MappingTables!$C$31,H1595=MappingTables!$C$32)),1,VLOOKUP(CONCATENATE($D1595,$G1595),CSRFinput!$B:$E,4,0))),0,IF(AND(VLOOKUP(CONCATENATE($D1595,$G1595),CSRFinput!$B:$E,4,0)=0,OR(H1595=MappingTables!$C$31,H1595=MappingTables!$C$32)),1,VLOOKUP(CONCATENATE($D1595,$G1595),CSRFinput!$B:$E,4,0)))</f>
        <v>0.054776304963434752</v>
      </c>
      <c r="S1595" s="73">
        <f>IF(B1595="",0,P1595*R1595)</f>
        <v>833.12095943599392</v>
      </c>
      <c r="T1595" s="85">
        <f>IF(B1595="",0,IF(OR(H1595=MappingTables!$C$34,H1595=MappingTables!$C$35),S1595,0))</f>
        <v>0</v>
      </c>
    </row>
    <row r="1596" spans="2:20" s="0" customFormat="0" ht="15">
      <c r="B1596" s="69" t="s">
        <v>5058</v>
      </c>
      <c r="C1596" s="70" t="s">
        <v>5059</v>
      </c>
      <c r="D1596" s="70" t="s">
        <v>1</v>
      </c>
      <c r="E1596" s="70" t="s">
        <v>1</v>
      </c>
      <c r="F1596" s="70"/>
      <c r="G1596" s="70" t="s">
        <v>61</v>
      </c>
      <c r="H1596" s="70" t="s">
        <v>178</v>
      </c>
      <c r="I1596" s="70" t="s">
        <v>204</v>
      </c>
      <c r="J1596" s="71">
        <f>IF(OR(I1596=0,I1596=""),"unrated",VLOOKUP(I1596,MappingTables!$B$19:$C$31,2,FALSE))</f>
        <v>6</v>
      </c>
      <c r="K1596" s="72">
        <v>38.391104996341</v>
      </c>
      <c r="L1596" s="70">
        <v>0.068495181563210688</v>
      </c>
      <c r="M1596" s="71">
        <f>IF(L1596&lt;1,1,L1596)</f>
        <v>1</v>
      </c>
      <c r="N1596" s="70" t="s">
        <v>3288</v>
      </c>
      <c r="O1596" s="71">
        <f>IF(OR(I1596=$A$1,I1596=0),"",IF(N1596=MappingTables!$C$14,VLOOKUP(J1596,ModelParameters!$M$8:$N$15,2,FALSE),IF(N1596=MappingTables!$C$16,VLOOKUP(J1596,ModelParameters!$P$8:$Q$15,2,FALSE),0)))</f>
        <v>1</v>
      </c>
      <c r="P1596" s="73">
        <f>IF(OR(I1596=0,I1596=$A$1),0,MIN(O1596*M1596,1)*K1596)</f>
        <v>38.391104996341</v>
      </c>
      <c r="Q1596" s="73">
        <f>IF(B1596="",0,IF(OR(H1596=MappingTables!$C$34,H1596=MappingTables!$C$35),P1596,0))</f>
        <v>0</v>
      </c>
      <c r="R1596" s="73">
        <f>IF(ISNA(IF(AND(VLOOKUP(CONCATENATE($D1596,$G1596),CSRFinput!$B:$E,4,0)=0,OR(H1596=MappingTables!$C$31,H1596=MappingTables!$C$32)),1,VLOOKUP(CONCATENATE($D1596,$G1596),CSRFinput!$B:$E,4,0))),0,IF(AND(VLOOKUP(CONCATENATE($D1596,$G1596),CSRFinput!$B:$E,4,0)=0,OR(H1596=MappingTables!$C$31,H1596=MappingTables!$C$32)),1,VLOOKUP(CONCATENATE($D1596,$G1596),CSRFinput!$B:$E,4,0)))</f>
        <v>0.054776304963434752</v>
      </c>
      <c r="S1596" s="73">
        <f>IF(B1596="",0,P1596*R1596)</f>
        <v>2.102922875162818</v>
      </c>
      <c r="T1596" s="85">
        <f>IF(B1596="",0,IF(OR(H1596=MappingTables!$C$34,H1596=MappingTables!$C$35),S1596,0))</f>
        <v>0</v>
      </c>
    </row>
    <row r="1597" spans="2:20" s="0" customFormat="0" ht="15">
      <c r="B1597" s="69" t="s">
        <v>5060</v>
      </c>
      <c r="C1597" s="70" t="s">
        <v>5061</v>
      </c>
      <c r="D1597" s="70" t="s">
        <v>1</v>
      </c>
      <c r="E1597" s="70" t="s">
        <v>1</v>
      </c>
      <c r="F1597" s="70"/>
      <c r="G1597" s="70" t="s">
        <v>61</v>
      </c>
      <c r="H1597" s="70" t="s">
        <v>178</v>
      </c>
      <c r="I1597" s="70" t="s">
        <v>198</v>
      </c>
      <c r="J1597" s="71" t="str">
        <f>IF(OR(I1597=0,I1597=""),"unrated",VLOOKUP(I1597,MappingTables!$B$19:$C$31,2,FALSE))</f>
        <v>unrated</v>
      </c>
      <c r="K1597" s="72">
        <v>0.029643899189947512</v>
      </c>
      <c r="L1597" s="70">
        <v>6.2120060819253728</v>
      </c>
      <c r="M1597" s="71">
        <f>IF(L1597&lt;1,1,L1597)</f>
        <v>6.2120060819253728</v>
      </c>
      <c r="N1597" s="70" t="s">
        <v>3288</v>
      </c>
      <c r="O1597" s="71">
        <f>IF(OR(I1597=$A$1,I1597=0),"",IF(N1597=MappingTables!$C$14,VLOOKUP(J1597,ModelParameters!$M$8:$N$15,2,FALSE),IF(N1597=MappingTables!$C$16,VLOOKUP(J1597,ModelParameters!$P$8:$Q$15,2,FALSE),0)))</f>
        <v>1</v>
      </c>
      <c r="P1597" s="73">
        <f>IF(OR(I1597=0,I1597=$A$1),0,MIN(O1597*M1597,1)*K1597)</f>
        <v>0.029643899189947512</v>
      </c>
      <c r="Q1597" s="73">
        <f>IF(B1597="",0,IF(OR(H1597=MappingTables!$C$34,H1597=MappingTables!$C$35),P1597,0))</f>
        <v>0</v>
      </c>
      <c r="R1597" s="73">
        <f>IF(ISNA(IF(AND(VLOOKUP(CONCATENATE($D1597,$G1597),CSRFinput!$B:$E,4,0)=0,OR(H1597=MappingTables!$C$31,H1597=MappingTables!$C$32)),1,VLOOKUP(CONCATENATE($D1597,$G1597),CSRFinput!$B:$E,4,0))),0,IF(AND(VLOOKUP(CONCATENATE($D1597,$G1597),CSRFinput!$B:$E,4,0)=0,OR(H1597=MappingTables!$C$31,H1597=MappingTables!$C$32)),1,VLOOKUP(CONCATENATE($D1597,$G1597),CSRFinput!$B:$E,4,0)))</f>
        <v>0.054776304963434752</v>
      </c>
      <c r="S1597" s="73">
        <f>IF(B1597="",0,P1597*R1597)</f>
        <v>0.0016237832623338814</v>
      </c>
      <c r="T1597" s="85">
        <f>IF(B1597="",0,IF(OR(H1597=MappingTables!$C$34,H1597=MappingTables!$C$35),S1597,0))</f>
        <v>0</v>
      </c>
    </row>
    <row r="1598" spans="2:20" s="0" customFormat="0" ht="15">
      <c r="B1598" s="69" t="s">
        <v>3992</v>
      </c>
      <c r="C1598" s="70" t="s">
        <v>3993</v>
      </c>
      <c r="D1598" s="70" t="s">
        <v>1</v>
      </c>
      <c r="E1598" s="70" t="s">
        <v>1</v>
      </c>
      <c r="F1598" s="70"/>
      <c r="G1598" s="70" t="s">
        <v>61</v>
      </c>
      <c r="H1598" s="70" t="s">
        <v>178</v>
      </c>
      <c r="I1598" s="70" t="s">
        <v>198</v>
      </c>
      <c r="J1598" s="71" t="str">
        <f>IF(OR(I1598=0,I1598=""),"unrated",VLOOKUP(I1598,MappingTables!$B$19:$C$31,2,FALSE))</f>
        <v>unrated</v>
      </c>
      <c r="K1598" s="72">
        <v>211.39631919680404</v>
      </c>
      <c r="L1598" s="70">
        <v>45.084985224223784</v>
      </c>
      <c r="M1598" s="71">
        <f>IF(L1598&lt;1,1,L1598)</f>
        <v>45.084985224223784</v>
      </c>
      <c r="N1598" s="70" t="s">
        <v>3288</v>
      </c>
      <c r="O1598" s="71">
        <f>IF(OR(I1598=$A$1,I1598=0),"",IF(N1598=MappingTables!$C$14,VLOOKUP(J1598,ModelParameters!$M$8:$N$15,2,FALSE),IF(N1598=MappingTables!$C$16,VLOOKUP(J1598,ModelParameters!$P$8:$Q$15,2,FALSE),0)))</f>
        <v>1</v>
      </c>
      <c r="P1598" s="73">
        <f>IF(OR(I1598=0,I1598=$A$1),0,MIN(O1598*M1598,1)*K1598)</f>
        <v>211.39631919680404</v>
      </c>
      <c r="Q1598" s="73">
        <f>IF(B1598="",0,IF(OR(H1598=MappingTables!$C$34,H1598=MappingTables!$C$35),P1598,0))</f>
        <v>0</v>
      </c>
      <c r="R1598" s="73">
        <f>IF(ISNA(IF(AND(VLOOKUP(CONCATENATE($D1598,$G1598),CSRFinput!$B:$E,4,0)=0,OR(H1598=MappingTables!$C$31,H1598=MappingTables!$C$32)),1,VLOOKUP(CONCATENATE($D1598,$G1598),CSRFinput!$B:$E,4,0))),0,IF(AND(VLOOKUP(CONCATENATE($D1598,$G1598),CSRFinput!$B:$E,4,0)=0,OR(H1598=MappingTables!$C$31,H1598=MappingTables!$C$32)),1,VLOOKUP(CONCATENATE($D1598,$G1598),CSRFinput!$B:$E,4,0)))</f>
        <v>0.054776304963434752</v>
      </c>
      <c r="S1598" s="73">
        <f>IF(B1598="",0,P1598*R1598)</f>
        <v>11.579509248471736</v>
      </c>
      <c r="T1598" s="85">
        <f>IF(B1598="",0,IF(OR(H1598=MappingTables!$C$34,H1598=MappingTables!$C$35),S1598,0))</f>
        <v>0</v>
      </c>
    </row>
    <row r="1599" spans="2:20" s="0" customFormat="0" ht="15">
      <c r="B1599" s="69">
        <v>22623653</v>
      </c>
      <c r="C1599" s="70" t="s">
        <v>5062</v>
      </c>
      <c r="D1599" s="70" t="s">
        <v>1</v>
      </c>
      <c r="E1599" s="70" t="s">
        <v>1</v>
      </c>
      <c r="F1599" s="70"/>
      <c r="G1599" s="70" t="s">
        <v>61</v>
      </c>
      <c r="H1599" s="70" t="s">
        <v>178</v>
      </c>
      <c r="I1599" s="70" t="s">
        <v>198</v>
      </c>
      <c r="J1599" s="71" t="str">
        <f>IF(OR(I1599=0,I1599=""),"unrated",VLOOKUP(I1599,MappingTables!$B$19:$C$31,2,FALSE))</f>
        <v>unrated</v>
      </c>
      <c r="K1599" s="72">
        <v>109.5448652675496</v>
      </c>
      <c r="L1599" s="70">
        <v>0.16714128470628006</v>
      </c>
      <c r="M1599" s="71">
        <f>IF(L1599&lt;1,1,L1599)</f>
        <v>1</v>
      </c>
      <c r="N1599" s="70" t="s">
        <v>3288</v>
      </c>
      <c r="O1599" s="71">
        <f>IF(OR(I1599=$A$1,I1599=0),"",IF(N1599=MappingTables!$C$14,VLOOKUP(J1599,ModelParameters!$M$8:$N$15,2,FALSE),IF(N1599=MappingTables!$C$16,VLOOKUP(J1599,ModelParameters!$P$8:$Q$15,2,FALSE),0)))</f>
        <v>1</v>
      </c>
      <c r="P1599" s="73">
        <f>IF(OR(I1599=0,I1599=$A$1),0,MIN(O1599*M1599,1)*K1599)</f>
        <v>109.5448652675496</v>
      </c>
      <c r="Q1599" s="73">
        <f>IF(B1599="",0,IF(OR(H1599=MappingTables!$C$34,H1599=MappingTables!$C$35),P1599,0))</f>
        <v>0</v>
      </c>
      <c r="R1599" s="73">
        <f>IF(ISNA(IF(AND(VLOOKUP(CONCATENATE($D1599,$G1599),CSRFinput!$B:$E,4,0)=0,OR(H1599=MappingTables!$C$31,H1599=MappingTables!$C$32)),1,VLOOKUP(CONCATENATE($D1599,$G1599),CSRFinput!$B:$E,4,0))),0,IF(AND(VLOOKUP(CONCATENATE($D1599,$G1599),CSRFinput!$B:$E,4,0)=0,OR(H1599=MappingTables!$C$31,H1599=MappingTables!$C$32)),1,VLOOKUP(CONCATENATE($D1599,$G1599),CSRFinput!$B:$E,4,0)))</f>
        <v>0.054776304963434752</v>
      </c>
      <c r="S1599" s="73">
        <f>IF(B1599="",0,P1599*R1599)</f>
        <v>6.000462947073668</v>
      </c>
      <c r="T1599" s="85">
        <f>IF(B1599="",0,IF(OR(H1599=MappingTables!$C$34,H1599=MappingTables!$C$35),S1599,0))</f>
        <v>0</v>
      </c>
    </row>
    <row r="1600" spans="2:20" s="0" customFormat="0" ht="15">
      <c r="B1600" s="69" t="s">
        <v>5063</v>
      </c>
      <c r="C1600" s="70" t="s">
        <v>5064</v>
      </c>
      <c r="D1600" s="70" t="s">
        <v>1</v>
      </c>
      <c r="E1600" s="70" t="s">
        <v>1</v>
      </c>
      <c r="F1600" s="70"/>
      <c r="G1600" s="70" t="s">
        <v>61</v>
      </c>
      <c r="H1600" s="70" t="s">
        <v>178</v>
      </c>
      <c r="I1600" s="70" t="s">
        <v>3298</v>
      </c>
      <c r="J1600" s="71">
        <f>IF(OR(I1600=0,I1600=""),"unrated",VLOOKUP(I1600,MappingTables!$B$19:$C$31,2,FALSE))</f>
        <v>6</v>
      </c>
      <c r="K1600" s="72">
        <v>126.56293778617794</v>
      </c>
      <c r="L1600" s="70">
        <v>0.068493538323748368</v>
      </c>
      <c r="M1600" s="71">
        <f>IF(L1600&lt;1,1,L1600)</f>
        <v>1</v>
      </c>
      <c r="N1600" s="70" t="s">
        <v>3288</v>
      </c>
      <c r="O1600" s="71">
        <f>IF(OR(I1600=$A$1,I1600=0),"",IF(N1600=MappingTables!$C$14,VLOOKUP(J1600,ModelParameters!$M$8:$N$15,2,FALSE),IF(N1600=MappingTables!$C$16,VLOOKUP(J1600,ModelParameters!$P$8:$Q$15,2,FALSE),0)))</f>
        <v>1</v>
      </c>
      <c r="P1600" s="73">
        <f>IF(OR(I1600=0,I1600=$A$1),0,MIN(O1600*M1600,1)*K1600)</f>
        <v>126.56293778617794</v>
      </c>
      <c r="Q1600" s="73">
        <f>IF(B1600="",0,IF(OR(H1600=MappingTables!$C$34,H1600=MappingTables!$C$35),P1600,0))</f>
        <v>0</v>
      </c>
      <c r="R1600" s="73">
        <f>IF(ISNA(IF(AND(VLOOKUP(CONCATENATE($D1600,$G1600),CSRFinput!$B:$E,4,0)=0,OR(H1600=MappingTables!$C$31,H1600=MappingTables!$C$32)),1,VLOOKUP(CONCATENATE($D1600,$G1600),CSRFinput!$B:$E,4,0))),0,IF(AND(VLOOKUP(CONCATENATE($D1600,$G1600),CSRFinput!$B:$E,4,0)=0,OR(H1600=MappingTables!$C$31,H1600=MappingTables!$C$32)),1,VLOOKUP(CONCATENATE($D1600,$G1600),CSRFinput!$B:$E,4,0)))</f>
        <v>0.054776304963434752</v>
      </c>
      <c r="S1600" s="73">
        <f>IF(B1600="",0,P1600*R1600)</f>
        <v>6.9326500772439024</v>
      </c>
      <c r="T1600" s="85">
        <f>IF(B1600="",0,IF(OR(H1600=MappingTables!$C$34,H1600=MappingTables!$C$35),S1600,0))</f>
        <v>0</v>
      </c>
    </row>
    <row r="1601" spans="2:20" s="0" customFormat="0" ht="15">
      <c r="B1601" s="69">
        <v>22623653</v>
      </c>
      <c r="C1601" s="70" t="s">
        <v>5062</v>
      </c>
      <c r="D1601" s="70" t="s">
        <v>1</v>
      </c>
      <c r="E1601" s="70" t="s">
        <v>1</v>
      </c>
      <c r="F1601" s="70"/>
      <c r="G1601" s="70" t="s">
        <v>61</v>
      </c>
      <c r="H1601" s="70" t="s">
        <v>178</v>
      </c>
      <c r="I1601" s="70" t="s">
        <v>198</v>
      </c>
      <c r="J1601" s="71" t="str">
        <f>IF(OR(I1601=0,I1601=""),"unrated",VLOOKUP(I1601,MappingTables!$B$19:$C$31,2,FALSE))</f>
        <v>unrated</v>
      </c>
      <c r="K1601" s="72">
        <v>232.35211572233764</v>
      </c>
      <c r="L1601" s="70">
        <v>0.16714128470627986</v>
      </c>
      <c r="M1601" s="71">
        <f>IF(L1601&lt;1,1,L1601)</f>
        <v>1</v>
      </c>
      <c r="N1601" s="70" t="s">
        <v>3288</v>
      </c>
      <c r="O1601" s="71">
        <f>IF(OR(I1601=$A$1,I1601=0),"",IF(N1601=MappingTables!$C$14,VLOOKUP(J1601,ModelParameters!$M$8:$N$15,2,FALSE),IF(N1601=MappingTables!$C$16,VLOOKUP(J1601,ModelParameters!$P$8:$Q$15,2,FALSE),0)))</f>
        <v>1</v>
      </c>
      <c r="P1601" s="73">
        <f>IF(OR(I1601=0,I1601=$A$1),0,MIN(O1601*M1601,1)*K1601)</f>
        <v>232.35211572233764</v>
      </c>
      <c r="Q1601" s="73">
        <f>IF(B1601="",0,IF(OR(H1601=MappingTables!$C$34,H1601=MappingTables!$C$35),P1601,0))</f>
        <v>0</v>
      </c>
      <c r="R1601" s="73">
        <f>IF(ISNA(IF(AND(VLOOKUP(CONCATENATE($D1601,$G1601),CSRFinput!$B:$E,4,0)=0,OR(H1601=MappingTables!$C$31,H1601=MappingTables!$C$32)),1,VLOOKUP(CONCATENATE($D1601,$G1601),CSRFinput!$B:$E,4,0))),0,IF(AND(VLOOKUP(CONCATENATE($D1601,$G1601),CSRFinput!$B:$E,4,0)=0,OR(H1601=MappingTables!$C$31,H1601=MappingTables!$C$32)),1,VLOOKUP(CONCATENATE($D1601,$G1601),CSRFinput!$B:$E,4,0)))</f>
        <v>0.054776304963434752</v>
      </c>
      <c r="S1601" s="73">
        <f>IF(B1601="",0,P1601*R1601)</f>
        <v>12.72739034970605</v>
      </c>
      <c r="T1601" s="85">
        <f>IF(B1601="",0,IF(OR(H1601=MappingTables!$C$34,H1601=MappingTables!$C$35),S1601,0))</f>
        <v>0</v>
      </c>
    </row>
    <row r="1602" spans="2:20" s="0" customFormat="0" ht="15">
      <c r="B1602" s="69" t="s">
        <v>4458</v>
      </c>
      <c r="C1602" s="70" t="s">
        <v>4459</v>
      </c>
      <c r="D1602" s="70" t="s">
        <v>1</v>
      </c>
      <c r="E1602" s="70" t="s">
        <v>1</v>
      </c>
      <c r="F1602" s="70"/>
      <c r="G1602" s="70" t="s">
        <v>61</v>
      </c>
      <c r="H1602" s="70" t="s">
        <v>178</v>
      </c>
      <c r="I1602" s="70" t="s">
        <v>198</v>
      </c>
      <c r="J1602" s="71" t="str">
        <f>IF(OR(I1602=0,I1602=""),"unrated",VLOOKUP(I1602,MappingTables!$B$19:$C$31,2,FALSE))</f>
        <v>unrated</v>
      </c>
      <c r="K1602" s="72">
        <v>31.468346181871232</v>
      </c>
      <c r="L1602" s="70">
        <v>0.068492853861688296</v>
      </c>
      <c r="M1602" s="71">
        <f>IF(L1602&lt;1,1,L1602)</f>
        <v>1</v>
      </c>
      <c r="N1602" s="70" t="s">
        <v>3288</v>
      </c>
      <c r="O1602" s="71">
        <f>IF(OR(I1602=$A$1,I1602=0),"",IF(N1602=MappingTables!$C$14,VLOOKUP(J1602,ModelParameters!$M$8:$N$15,2,FALSE),IF(N1602=MappingTables!$C$16,VLOOKUP(J1602,ModelParameters!$P$8:$Q$15,2,FALSE),0)))</f>
        <v>1</v>
      </c>
      <c r="P1602" s="73">
        <f>IF(OR(I1602=0,I1602=$A$1),0,MIN(O1602*M1602,1)*K1602)</f>
        <v>31.468346181871232</v>
      </c>
      <c r="Q1602" s="73">
        <f>IF(B1602="",0,IF(OR(H1602=MappingTables!$C$34,H1602=MappingTables!$C$35),P1602,0))</f>
        <v>0</v>
      </c>
      <c r="R1602" s="73">
        <f>IF(ISNA(IF(AND(VLOOKUP(CONCATENATE($D1602,$G1602),CSRFinput!$B:$E,4,0)=0,OR(H1602=MappingTables!$C$31,H1602=MappingTables!$C$32)),1,VLOOKUP(CONCATENATE($D1602,$G1602),CSRFinput!$B:$E,4,0))),0,IF(AND(VLOOKUP(CONCATENATE($D1602,$G1602),CSRFinput!$B:$E,4,0)=0,OR(H1602=MappingTables!$C$31,H1602=MappingTables!$C$32)),1,VLOOKUP(CONCATENATE($D1602,$G1602),CSRFinput!$B:$E,4,0)))</f>
        <v>0.054776304963434752</v>
      </c>
      <c r="S1602" s="73">
        <f>IF(B1602="",0,P1602*R1602)</f>
        <v>1.7237197271531164</v>
      </c>
      <c r="T1602" s="85">
        <f>IF(B1602="",0,IF(OR(H1602=MappingTables!$C$34,H1602=MappingTables!$C$35),S1602,0))</f>
        <v>0</v>
      </c>
    </row>
    <row r="1603" spans="2:20" s="0" customFormat="0" ht="15">
      <c r="B1603" s="69" t="s">
        <v>4368</v>
      </c>
      <c r="C1603" s="70" t="s">
        <v>4369</v>
      </c>
      <c r="D1603" s="70" t="s">
        <v>1</v>
      </c>
      <c r="E1603" s="70" t="s">
        <v>1</v>
      </c>
      <c r="F1603" s="70"/>
      <c r="G1603" s="70" t="s">
        <v>61</v>
      </c>
      <c r="H1603" s="70" t="s">
        <v>178</v>
      </c>
      <c r="I1603" s="70" t="s">
        <v>198</v>
      </c>
      <c r="J1603" s="71" t="str">
        <f>IF(OR(I1603=0,I1603=""),"unrated",VLOOKUP(I1603,MappingTables!$B$19:$C$31,2,FALSE))</f>
        <v>unrated</v>
      </c>
      <c r="K1603" s="72">
        <v>164.2311153873708</v>
      </c>
      <c r="L1603" s="70">
        <v>0.068497022585453304</v>
      </c>
      <c r="M1603" s="71">
        <f>IF(L1603&lt;1,1,L1603)</f>
        <v>1</v>
      </c>
      <c r="N1603" s="70" t="s">
        <v>3288</v>
      </c>
      <c r="O1603" s="71">
        <f>IF(OR(I1603=$A$1,I1603=0),"",IF(N1603=MappingTables!$C$14,VLOOKUP(J1603,ModelParameters!$M$8:$N$15,2,FALSE),IF(N1603=MappingTables!$C$16,VLOOKUP(J1603,ModelParameters!$P$8:$Q$15,2,FALSE),0)))</f>
        <v>1</v>
      </c>
      <c r="P1603" s="73">
        <f>IF(OR(I1603=0,I1603=$A$1),0,MIN(O1603*M1603,1)*K1603)</f>
        <v>164.2311153873708</v>
      </c>
      <c r="Q1603" s="73">
        <f>IF(B1603="",0,IF(OR(H1603=MappingTables!$C$34,H1603=MappingTables!$C$35),P1603,0))</f>
        <v>0</v>
      </c>
      <c r="R1603" s="73">
        <f>IF(ISNA(IF(AND(VLOOKUP(CONCATENATE($D1603,$G1603),CSRFinput!$B:$E,4,0)=0,OR(H1603=MappingTables!$C$31,H1603=MappingTables!$C$32)),1,VLOOKUP(CONCATENATE($D1603,$G1603),CSRFinput!$B:$E,4,0))),0,IF(AND(VLOOKUP(CONCATENATE($D1603,$G1603),CSRFinput!$B:$E,4,0)=0,OR(H1603=MappingTables!$C$31,H1603=MappingTables!$C$32)),1,VLOOKUP(CONCATENATE($D1603,$G1603),CSRFinput!$B:$E,4,0)))</f>
        <v>0.054776304963434752</v>
      </c>
      <c r="S1603" s="73">
        <f>IF(B1603="",0,P1603*R1603)</f>
        <v>8.9959736609436656</v>
      </c>
      <c r="T1603" s="85">
        <f>IF(B1603="",0,IF(OR(H1603=MappingTables!$C$34,H1603=MappingTables!$C$35),S1603,0))</f>
        <v>0</v>
      </c>
    </row>
    <row r="1604" spans="2:20" s="0" customFormat="0" ht="15">
      <c r="B1604" s="69" t="s">
        <v>5065</v>
      </c>
      <c r="C1604" s="70" t="s">
        <v>5066</v>
      </c>
      <c r="D1604" s="70" t="s">
        <v>1</v>
      </c>
      <c r="E1604" s="70" t="s">
        <v>1</v>
      </c>
      <c r="F1604" s="70"/>
      <c r="G1604" s="70" t="s">
        <v>61</v>
      </c>
      <c r="H1604" s="70" t="s">
        <v>178</v>
      </c>
      <c r="I1604" s="70" t="s">
        <v>204</v>
      </c>
      <c r="J1604" s="71">
        <f>IF(OR(I1604=0,I1604=""),"unrated",VLOOKUP(I1604,MappingTables!$B$19:$C$31,2,FALSE))</f>
        <v>6</v>
      </c>
      <c r="K1604" s="72">
        <v>781.88352377841856</v>
      </c>
      <c r="L1604" s="70">
        <v>0.068494234764770584</v>
      </c>
      <c r="M1604" s="71">
        <f>IF(L1604&lt;1,1,L1604)</f>
        <v>1</v>
      </c>
      <c r="N1604" s="70" t="s">
        <v>3288</v>
      </c>
      <c r="O1604" s="71">
        <f>IF(OR(I1604=$A$1,I1604=0),"",IF(N1604=MappingTables!$C$14,VLOOKUP(J1604,ModelParameters!$M$8:$N$15,2,FALSE),IF(N1604=MappingTables!$C$16,VLOOKUP(J1604,ModelParameters!$P$8:$Q$15,2,FALSE),0)))</f>
        <v>1</v>
      </c>
      <c r="P1604" s="73">
        <f>IF(OR(I1604=0,I1604=$A$1),0,MIN(O1604*M1604,1)*K1604)</f>
        <v>781.88352377841856</v>
      </c>
      <c r="Q1604" s="73">
        <f>IF(B1604="",0,IF(OR(H1604=MappingTables!$C$34,H1604=MappingTables!$C$35),P1604,0))</f>
        <v>0</v>
      </c>
      <c r="R1604" s="73">
        <f>IF(ISNA(IF(AND(VLOOKUP(CONCATENATE($D1604,$G1604),CSRFinput!$B:$E,4,0)=0,OR(H1604=MappingTables!$C$31,H1604=MappingTables!$C$32)),1,VLOOKUP(CONCATENATE($D1604,$G1604),CSRFinput!$B:$E,4,0))),0,IF(AND(VLOOKUP(CONCATENATE($D1604,$G1604),CSRFinput!$B:$E,4,0)=0,OR(H1604=MappingTables!$C$31,H1604=MappingTables!$C$32)),1,VLOOKUP(CONCATENATE($D1604,$G1604),CSRFinput!$B:$E,4,0)))</f>
        <v>0.054776304963434752</v>
      </c>
      <c r="S1604" s="73">
        <f>IF(B1604="",0,P1604*R1604)</f>
        <v>42.828690344371648</v>
      </c>
      <c r="T1604" s="85">
        <f>IF(B1604="",0,IF(OR(H1604=MappingTables!$C$34,H1604=MappingTables!$C$35),S1604,0))</f>
        <v>0</v>
      </c>
    </row>
    <row r="1605" spans="2:20" s="0" customFormat="0" ht="15">
      <c r="B1605" s="69">
        <v>741516</v>
      </c>
      <c r="C1605" s="70" t="s">
        <v>3654</v>
      </c>
      <c r="D1605" s="70" t="s">
        <v>1</v>
      </c>
      <c r="E1605" s="70" t="s">
        <v>1</v>
      </c>
      <c r="F1605" s="70"/>
      <c r="G1605" s="70" t="s">
        <v>61</v>
      </c>
      <c r="H1605" s="70" t="s">
        <v>178</v>
      </c>
      <c r="I1605" s="70" t="s">
        <v>204</v>
      </c>
      <c r="J1605" s="71">
        <f>IF(OR(I1605=0,I1605=""),"unrated",VLOOKUP(I1605,MappingTables!$B$19:$C$31,2,FALSE))</f>
        <v>6</v>
      </c>
      <c r="K1605" s="72">
        <v>188.76800903431628</v>
      </c>
      <c r="L1605" s="70">
        <v>0.068495395996616816</v>
      </c>
      <c r="M1605" s="71">
        <f>IF(L1605&lt;1,1,L1605)</f>
        <v>1</v>
      </c>
      <c r="N1605" s="70" t="s">
        <v>3288</v>
      </c>
      <c r="O1605" s="71">
        <f>IF(OR(I1605=$A$1,I1605=0),"",IF(N1605=MappingTables!$C$14,VLOOKUP(J1605,ModelParameters!$M$8:$N$15,2,FALSE),IF(N1605=MappingTables!$C$16,VLOOKUP(J1605,ModelParameters!$P$8:$Q$15,2,FALSE),0)))</f>
        <v>1</v>
      </c>
      <c r="P1605" s="73">
        <f>IF(OR(I1605=0,I1605=$A$1),0,MIN(O1605*M1605,1)*K1605)</f>
        <v>188.76800903431628</v>
      </c>
      <c r="Q1605" s="73">
        <f>IF(B1605="",0,IF(OR(H1605=MappingTables!$C$34,H1605=MappingTables!$C$35),P1605,0))</f>
        <v>0</v>
      </c>
      <c r="R1605" s="73">
        <f>IF(ISNA(IF(AND(VLOOKUP(CONCATENATE($D1605,$G1605),CSRFinput!$B:$E,4,0)=0,OR(H1605=MappingTables!$C$31,H1605=MappingTables!$C$32)),1,VLOOKUP(CONCATENATE($D1605,$G1605),CSRFinput!$B:$E,4,0))),0,IF(AND(VLOOKUP(CONCATENATE($D1605,$G1605),CSRFinput!$B:$E,4,0)=0,OR(H1605=MappingTables!$C$31,H1605=MappingTables!$C$32)),1,VLOOKUP(CONCATENATE($D1605,$G1605),CSRFinput!$B:$E,4,0)))</f>
        <v>0.054776304963434752</v>
      </c>
      <c r="S1605" s="73">
        <f>IF(B1605="",0,P1605*R1605)</f>
        <v>10.340014030204116</v>
      </c>
      <c r="T1605" s="85">
        <f>IF(B1605="",0,IF(OR(H1605=MappingTables!$C$34,H1605=MappingTables!$C$35),S1605,0))</f>
        <v>0</v>
      </c>
    </row>
    <row r="1606" spans="2:20" s="0" customFormat="0" ht="15">
      <c r="B1606" s="69">
        <v>16974060</v>
      </c>
      <c r="C1606" s="70" t="s">
        <v>4736</v>
      </c>
      <c r="D1606" s="70" t="s">
        <v>1</v>
      </c>
      <c r="E1606" s="70" t="s">
        <v>1</v>
      </c>
      <c r="F1606" s="70"/>
      <c r="G1606" s="70" t="s">
        <v>61</v>
      </c>
      <c r="H1606" s="70" t="s">
        <v>178</v>
      </c>
      <c r="I1606" s="70" t="s">
        <v>198</v>
      </c>
      <c r="J1606" s="71" t="str">
        <f>IF(OR(I1606=0,I1606=""),"unrated",VLOOKUP(I1606,MappingTables!$B$19:$C$31,2,FALSE))</f>
        <v>unrated</v>
      </c>
      <c r="K1606" s="72">
        <v>270.18981885902956</v>
      </c>
      <c r="L1606" s="70">
        <v>0.12925235042931332</v>
      </c>
      <c r="M1606" s="71">
        <f>IF(L1606&lt;1,1,L1606)</f>
        <v>1</v>
      </c>
      <c r="N1606" s="70" t="s">
        <v>3288</v>
      </c>
      <c r="O1606" s="71">
        <f>IF(OR(I1606=$A$1,I1606=0),"",IF(N1606=MappingTables!$C$14,VLOOKUP(J1606,ModelParameters!$M$8:$N$15,2,FALSE),IF(N1606=MappingTables!$C$16,VLOOKUP(J1606,ModelParameters!$P$8:$Q$15,2,FALSE),0)))</f>
        <v>1</v>
      </c>
      <c r="P1606" s="73">
        <f>IF(OR(I1606=0,I1606=$A$1),0,MIN(O1606*M1606,1)*K1606)</f>
        <v>270.18981885902956</v>
      </c>
      <c r="Q1606" s="73">
        <f>IF(B1606="",0,IF(OR(H1606=MappingTables!$C$34,H1606=MappingTables!$C$35),P1606,0))</f>
        <v>0</v>
      </c>
      <c r="R1606" s="73">
        <f>IF(ISNA(IF(AND(VLOOKUP(CONCATENATE($D1606,$G1606),CSRFinput!$B:$E,4,0)=0,OR(H1606=MappingTables!$C$31,H1606=MappingTables!$C$32)),1,VLOOKUP(CONCATENATE($D1606,$G1606),CSRFinput!$B:$E,4,0))),0,IF(AND(VLOOKUP(CONCATENATE($D1606,$G1606),CSRFinput!$B:$E,4,0)=0,OR(H1606=MappingTables!$C$31,H1606=MappingTables!$C$32)),1,VLOOKUP(CONCATENATE($D1606,$G1606),CSRFinput!$B:$E,4,0)))</f>
        <v>0.054776304963434752</v>
      </c>
      <c r="S1606" s="73">
        <f>IF(B1606="",0,P1606*R1606)</f>
        <v>14.799999915837398</v>
      </c>
      <c r="T1606" s="85">
        <f>IF(B1606="",0,IF(OR(H1606=MappingTables!$C$34,H1606=MappingTables!$C$35),S1606,0))</f>
        <v>0</v>
      </c>
    </row>
    <row r="1607" spans="2:20" s="0" customFormat="0" ht="15">
      <c r="B1607" s="69" t="s">
        <v>5067</v>
      </c>
      <c r="C1607" s="70" t="s">
        <v>5068</v>
      </c>
      <c r="D1607" s="70" t="s">
        <v>1</v>
      </c>
      <c r="E1607" s="70" t="s">
        <v>1</v>
      </c>
      <c r="F1607" s="70"/>
      <c r="G1607" s="70" t="s">
        <v>61</v>
      </c>
      <c r="H1607" s="70" t="s">
        <v>178</v>
      </c>
      <c r="I1607" s="70" t="s">
        <v>198</v>
      </c>
      <c r="J1607" s="71" t="str">
        <f>IF(OR(I1607=0,I1607=""),"unrated",VLOOKUP(I1607,MappingTables!$B$19:$C$31,2,FALSE))</f>
        <v>unrated</v>
      </c>
      <c r="K1607" s="72">
        <v>37.00369190805568</v>
      </c>
      <c r="L1607" s="70">
        <v>0.0684948175777088</v>
      </c>
      <c r="M1607" s="71">
        <f>IF(L1607&lt;1,1,L1607)</f>
        <v>1</v>
      </c>
      <c r="N1607" s="70" t="s">
        <v>3288</v>
      </c>
      <c r="O1607" s="71">
        <f>IF(OR(I1607=$A$1,I1607=0),"",IF(N1607=MappingTables!$C$14,VLOOKUP(J1607,ModelParameters!$M$8:$N$15,2,FALSE),IF(N1607=MappingTables!$C$16,VLOOKUP(J1607,ModelParameters!$P$8:$Q$15,2,FALSE),0)))</f>
        <v>1</v>
      </c>
      <c r="P1607" s="73">
        <f>IF(OR(I1607=0,I1607=$A$1),0,MIN(O1607*M1607,1)*K1607)</f>
        <v>37.00369190805568</v>
      </c>
      <c r="Q1607" s="73">
        <f>IF(B1607="",0,IF(OR(H1607=MappingTables!$C$34,H1607=MappingTables!$C$35),P1607,0))</f>
        <v>0</v>
      </c>
      <c r="R1607" s="73">
        <f>IF(ISNA(IF(AND(VLOOKUP(CONCATENATE($D1607,$G1607),CSRFinput!$B:$E,4,0)=0,OR(H1607=MappingTables!$C$31,H1607=MappingTables!$C$32)),1,VLOOKUP(CONCATENATE($D1607,$G1607),CSRFinput!$B:$E,4,0))),0,IF(AND(VLOOKUP(CONCATENATE($D1607,$G1607),CSRFinput!$B:$E,4,0)=0,OR(H1607=MappingTables!$C$31,H1607=MappingTables!$C$32)),1,VLOOKUP(CONCATENATE($D1607,$G1607),CSRFinput!$B:$E,4,0)))</f>
        <v>0.054776304963434752</v>
      </c>
      <c r="S1607" s="73">
        <f>IF(B1607="",0,P1607*R1607)</f>
        <v>2.0269255127286408</v>
      </c>
      <c r="T1607" s="85">
        <f>IF(B1607="",0,IF(OR(H1607=MappingTables!$C$34,H1607=MappingTables!$C$35),S1607,0))</f>
        <v>0</v>
      </c>
    </row>
    <row r="1608" spans="2:20" s="0" customFormat="0" ht="15">
      <c r="B1608" s="69" t="s">
        <v>4925</v>
      </c>
      <c r="C1608" s="70" t="s">
        <v>4926</v>
      </c>
      <c r="D1608" s="70" t="s">
        <v>1</v>
      </c>
      <c r="E1608" s="70" t="s">
        <v>1</v>
      </c>
      <c r="F1608" s="70"/>
      <c r="G1608" s="70" t="s">
        <v>61</v>
      </c>
      <c r="H1608" s="70" t="s">
        <v>178</v>
      </c>
      <c r="I1608" s="70" t="s">
        <v>216</v>
      </c>
      <c r="J1608" s="71">
        <f>IF(OR(I1608=0,I1608=""),"unrated",VLOOKUP(I1608,MappingTables!$B$19:$C$31,2,FALSE))</f>
        <v>0</v>
      </c>
      <c r="K1608" s="72">
        <v>6976.3554813430384</v>
      </c>
      <c r="L1608" s="70">
        <v>0.12941477867372952</v>
      </c>
      <c r="M1608" s="71">
        <f>IF(L1608&lt;1,1,L1608)</f>
        <v>1</v>
      </c>
      <c r="N1608" s="70" t="s">
        <v>3288</v>
      </c>
      <c r="O1608" s="71">
        <f>IF(OR(I1608=$A$1,I1608=0),"",IF(N1608=MappingTables!$C$14,VLOOKUP(J1608,ModelParameters!$M$8:$N$15,2,FALSE),IF(N1608=MappingTables!$C$16,VLOOKUP(J1608,ModelParameters!$P$8:$Q$15,2,FALSE),0)))</f>
        <v>0.125</v>
      </c>
      <c r="P1608" s="73">
        <f>IF(OR(I1608=0,I1608=$A$1),0,MIN(O1608*M1608,1)*K1608)</f>
        <v>872.04443516787984</v>
      </c>
      <c r="Q1608" s="73">
        <f>IF(B1608="",0,IF(OR(H1608=MappingTables!$C$34,H1608=MappingTables!$C$35),P1608,0))</f>
        <v>0</v>
      </c>
      <c r="R1608" s="73">
        <f>IF(ISNA(IF(AND(VLOOKUP(CONCATENATE($D1608,$G1608),CSRFinput!$B:$E,4,0)=0,OR(H1608=MappingTables!$C$31,H1608=MappingTables!$C$32)),1,VLOOKUP(CONCATENATE($D1608,$G1608),CSRFinput!$B:$E,4,0))),0,IF(AND(VLOOKUP(CONCATENATE($D1608,$G1608),CSRFinput!$B:$E,4,0)=0,OR(H1608=MappingTables!$C$31,H1608=MappingTables!$C$32)),1,VLOOKUP(CONCATENATE($D1608,$G1608),CSRFinput!$B:$E,4,0)))</f>
        <v>0.054776304963434752</v>
      </c>
      <c r="S1608" s="73">
        <f>IF(B1608="",0,P1608*R1608)</f>
        <v>47.767371922421984</v>
      </c>
      <c r="T1608" s="85">
        <f>IF(B1608="",0,IF(OR(H1608=MappingTables!$C$34,H1608=MappingTables!$C$35),S1608,0))</f>
        <v>0</v>
      </c>
    </row>
    <row r="1609" spans="2:20" s="0" customFormat="0" ht="15">
      <c r="B1609" s="69">
        <v>2644357</v>
      </c>
      <c r="C1609" s="70" t="s">
        <v>5069</v>
      </c>
      <c r="D1609" s="70" t="s">
        <v>1</v>
      </c>
      <c r="E1609" s="70" t="s">
        <v>1</v>
      </c>
      <c r="F1609" s="70"/>
      <c r="G1609" s="70" t="s">
        <v>61</v>
      </c>
      <c r="H1609" s="70" t="s">
        <v>178</v>
      </c>
      <c r="I1609" s="70" t="s">
        <v>216</v>
      </c>
      <c r="J1609" s="71">
        <f>IF(OR(I1609=0,I1609=""),"unrated",VLOOKUP(I1609,MappingTables!$B$19:$C$31,2,FALSE))</f>
        <v>0</v>
      </c>
      <c r="K1609" s="72">
        <v>5.5500976852220472</v>
      </c>
      <c r="L1609" s="70">
        <v>0.0485556250443644</v>
      </c>
      <c r="M1609" s="71">
        <f>IF(L1609&lt;1,1,L1609)</f>
        <v>1</v>
      </c>
      <c r="N1609" s="70" t="s">
        <v>3288</v>
      </c>
      <c r="O1609" s="71">
        <f>IF(OR(I1609=$A$1,I1609=0),"",IF(N1609=MappingTables!$C$14,VLOOKUP(J1609,ModelParameters!$M$8:$N$15,2,FALSE),IF(N1609=MappingTables!$C$16,VLOOKUP(J1609,ModelParameters!$P$8:$Q$15,2,FALSE),0)))</f>
        <v>0.125</v>
      </c>
      <c r="P1609" s="73">
        <f>IF(OR(I1609=0,I1609=$A$1),0,MIN(O1609*M1609,1)*K1609)</f>
        <v>0.69376221065275592</v>
      </c>
      <c r="Q1609" s="73">
        <f>IF(B1609="",0,IF(OR(H1609=MappingTables!$C$34,H1609=MappingTables!$C$35),P1609,0))</f>
        <v>0</v>
      </c>
      <c r="R1609" s="73">
        <f>IF(ISNA(IF(AND(VLOOKUP(CONCATENATE($D1609,$G1609),CSRFinput!$B:$E,4,0)=0,OR(H1609=MappingTables!$C$31,H1609=MappingTables!$C$32)),1,VLOOKUP(CONCATENATE($D1609,$G1609),CSRFinput!$B:$E,4,0))),0,IF(AND(VLOOKUP(CONCATENATE($D1609,$G1609),CSRFinput!$B:$E,4,0)=0,OR(H1609=MappingTables!$C$31,H1609=MappingTables!$C$32)),1,VLOOKUP(CONCATENATE($D1609,$G1609),CSRFinput!$B:$E,4,0)))</f>
        <v>0.054776304963434752</v>
      </c>
      <c r="S1609" s="73">
        <f>IF(B1609="",0,P1609*R1609)</f>
        <v>0.038001730422822016</v>
      </c>
      <c r="T1609" s="85">
        <f>IF(B1609="",0,IF(OR(H1609=MappingTables!$C$34,H1609=MappingTables!$C$35),S1609,0))</f>
        <v>0</v>
      </c>
    </row>
    <row r="1610" spans="2:20" s="0" customFormat="0" ht="15">
      <c r="B1610" s="69" t="s">
        <v>4815</v>
      </c>
      <c r="C1610" s="70" t="s">
        <v>4816</v>
      </c>
      <c r="D1610" s="70" t="s">
        <v>1</v>
      </c>
      <c r="E1610" s="70" t="s">
        <v>1</v>
      </c>
      <c r="F1610" s="70"/>
      <c r="G1610" s="70" t="s">
        <v>61</v>
      </c>
      <c r="H1610" s="70" t="s">
        <v>178</v>
      </c>
      <c r="I1610" s="70" t="s">
        <v>179</v>
      </c>
      <c r="J1610" s="71">
        <f>IF(OR(I1610=0,I1610=""),"unrated",VLOOKUP(I1610,MappingTables!$B$19:$C$31,2,FALSE))</f>
        <v>4</v>
      </c>
      <c r="K1610" s="72">
        <v>516.07179473416976</v>
      </c>
      <c r="L1610" s="70">
        <v>0.04858841648934408</v>
      </c>
      <c r="M1610" s="71">
        <f>IF(L1610&lt;1,1,L1610)</f>
        <v>1</v>
      </c>
      <c r="N1610" s="70" t="s">
        <v>3288</v>
      </c>
      <c r="O1610" s="71">
        <f>IF(OR(I1610=$A$1,I1610=0),"",IF(N1610=MappingTables!$C$14,VLOOKUP(J1610,ModelParameters!$M$8:$N$15,2,FALSE),IF(N1610=MappingTables!$C$16,VLOOKUP(J1610,ModelParameters!$P$8:$Q$15,2,FALSE),0)))</f>
        <v>0.82</v>
      </c>
      <c r="P1610" s="73">
        <f>IF(OR(I1610=0,I1610=$A$1),0,MIN(O1610*M1610,1)*K1610)</f>
        <v>423.1788716820192</v>
      </c>
      <c r="Q1610" s="73">
        <f>IF(B1610="",0,IF(OR(H1610=MappingTables!$C$34,H1610=MappingTables!$C$35),P1610,0))</f>
        <v>0</v>
      </c>
      <c r="R1610" s="73">
        <f>IF(ISNA(IF(AND(VLOOKUP(CONCATENATE($D1610,$G1610),CSRFinput!$B:$E,4,0)=0,OR(H1610=MappingTables!$C$31,H1610=MappingTables!$C$32)),1,VLOOKUP(CONCATENATE($D1610,$G1610),CSRFinput!$B:$E,4,0))),0,IF(AND(VLOOKUP(CONCATENATE($D1610,$G1610),CSRFinput!$B:$E,4,0)=0,OR(H1610=MappingTables!$C$31,H1610=MappingTables!$C$32)),1,VLOOKUP(CONCATENATE($D1610,$G1610),CSRFinput!$B:$E,4,0)))</f>
        <v>0.054776304963434752</v>
      </c>
      <c r="S1610" s="73">
        <f>IF(B1610="",0,P1610*R1610)</f>
        <v>23.180174929336504</v>
      </c>
      <c r="T1610" s="85">
        <f>IF(B1610="",0,IF(OR(H1610=MappingTables!$C$34,H1610=MappingTables!$C$35),S1610,0))</f>
        <v>0</v>
      </c>
    </row>
    <row r="1611" spans="2:20" s="0" customFormat="0" ht="15">
      <c r="B1611" s="69">
        <v>22554490</v>
      </c>
      <c r="C1611" s="70" t="s">
        <v>5070</v>
      </c>
      <c r="D1611" s="70" t="s">
        <v>1</v>
      </c>
      <c r="E1611" s="70" t="s">
        <v>1</v>
      </c>
      <c r="F1611" s="70"/>
      <c r="G1611" s="70" t="s">
        <v>61</v>
      </c>
      <c r="H1611" s="70" t="s">
        <v>178</v>
      </c>
      <c r="I1611" s="70" t="s">
        <v>184</v>
      </c>
      <c r="J1611" s="71">
        <f>IF(OR(I1611=0,I1611=""),"unrated",VLOOKUP(I1611,MappingTables!$B$19:$C$31,2,FALSE))</f>
        <v>5</v>
      </c>
      <c r="K1611" s="72">
        <v>86.652040557748048</v>
      </c>
      <c r="L1611" s="70">
        <v>0.068492596435849152</v>
      </c>
      <c r="M1611" s="71">
        <f>IF(L1611&lt;1,1,L1611)</f>
        <v>1</v>
      </c>
      <c r="N1611" s="70" t="s">
        <v>3288</v>
      </c>
      <c r="O1611" s="71">
        <f>IF(OR(I1611=$A$1,I1611=0),"",IF(N1611=MappingTables!$C$14,VLOOKUP(J1611,ModelParameters!$M$8:$N$15,2,FALSE),IF(N1611=MappingTables!$C$16,VLOOKUP(J1611,ModelParameters!$P$8:$Q$15,2,FALSE),0)))</f>
        <v>1</v>
      </c>
      <c r="P1611" s="73">
        <f>IF(OR(I1611=0,I1611=$A$1),0,MIN(O1611*M1611,1)*K1611)</f>
        <v>86.652040557748048</v>
      </c>
      <c r="Q1611" s="73">
        <f>IF(B1611="",0,IF(OR(H1611=MappingTables!$C$34,H1611=MappingTables!$C$35),P1611,0))</f>
        <v>0</v>
      </c>
      <c r="R1611" s="73">
        <f>IF(ISNA(IF(AND(VLOOKUP(CONCATENATE($D1611,$G1611),CSRFinput!$B:$E,4,0)=0,OR(H1611=MappingTables!$C$31,H1611=MappingTables!$C$32)),1,VLOOKUP(CONCATENATE($D1611,$G1611),CSRFinput!$B:$E,4,0))),0,IF(AND(VLOOKUP(CONCATENATE($D1611,$G1611),CSRFinput!$B:$E,4,0)=0,OR(H1611=MappingTables!$C$31,H1611=MappingTables!$C$32)),1,VLOOKUP(CONCATENATE($D1611,$G1611),CSRFinput!$B:$E,4,0)))</f>
        <v>0.054776304963434752</v>
      </c>
      <c r="S1611" s="73">
        <f>IF(B1611="",0,P1611*R1611)</f>
        <v>4.746478599295124</v>
      </c>
      <c r="T1611" s="85">
        <f>IF(B1611="",0,IF(OR(H1611=MappingTables!$C$34,H1611=MappingTables!$C$35),S1611,0))</f>
        <v>0</v>
      </c>
    </row>
    <row r="1612" spans="2:20" s="0" customFormat="0" ht="15">
      <c r="B1612" s="69" t="s">
        <v>5071</v>
      </c>
      <c r="C1612" s="70" t="s">
        <v>5072</v>
      </c>
      <c r="D1612" s="70" t="s">
        <v>1</v>
      </c>
      <c r="E1612" s="70" t="s">
        <v>1</v>
      </c>
      <c r="F1612" s="70"/>
      <c r="G1612" s="70" t="s">
        <v>61</v>
      </c>
      <c r="H1612" s="70" t="s">
        <v>178</v>
      </c>
      <c r="I1612" s="70" t="s">
        <v>198</v>
      </c>
      <c r="J1612" s="71" t="str">
        <f>IF(OR(I1612=0,I1612=""),"unrated",VLOOKUP(I1612,MappingTables!$B$19:$C$31,2,FALSE))</f>
        <v>unrated</v>
      </c>
      <c r="K1612" s="72">
        <v>45.837958857143208</v>
      </c>
      <c r="L1612" s="70">
        <v>7.942274677866472</v>
      </c>
      <c r="M1612" s="71">
        <f>IF(L1612&lt;1,1,L1612)</f>
        <v>7.942274677866472</v>
      </c>
      <c r="N1612" s="70" t="s">
        <v>3288</v>
      </c>
      <c r="O1612" s="71">
        <f>IF(OR(I1612=$A$1,I1612=0),"",IF(N1612=MappingTables!$C$14,VLOOKUP(J1612,ModelParameters!$M$8:$N$15,2,FALSE),IF(N1612=MappingTables!$C$16,VLOOKUP(J1612,ModelParameters!$P$8:$Q$15,2,FALSE),0)))</f>
        <v>1</v>
      </c>
      <c r="P1612" s="73">
        <f>IF(OR(I1612=0,I1612=$A$1),0,MIN(O1612*M1612,1)*K1612)</f>
        <v>45.837958857143208</v>
      </c>
      <c r="Q1612" s="73">
        <f>IF(B1612="",0,IF(OR(H1612=MappingTables!$C$34,H1612=MappingTables!$C$35),P1612,0))</f>
        <v>0</v>
      </c>
      <c r="R1612" s="73">
        <f>IF(ISNA(IF(AND(VLOOKUP(CONCATENATE($D1612,$G1612),CSRFinput!$B:$E,4,0)=0,OR(H1612=MappingTables!$C$31,H1612=MappingTables!$C$32)),1,VLOOKUP(CONCATENATE($D1612,$G1612),CSRFinput!$B:$E,4,0))),0,IF(AND(VLOOKUP(CONCATENATE($D1612,$G1612),CSRFinput!$B:$E,4,0)=0,OR(H1612=MappingTables!$C$31,H1612=MappingTables!$C$32)),1,VLOOKUP(CONCATENATE($D1612,$G1612),CSRFinput!$B:$E,4,0)))</f>
        <v>0.054776304963434752</v>
      </c>
      <c r="S1612" s="73">
        <f>IF(B1612="",0,P1612*R1612)</f>
        <v>2.5108340132602516</v>
      </c>
      <c r="T1612" s="85">
        <f>IF(B1612="",0,IF(OR(H1612=MappingTables!$C$34,H1612=MappingTables!$C$35),S1612,0))</f>
        <v>0</v>
      </c>
    </row>
    <row r="1613" spans="2:20" s="0" customFormat="0" ht="15">
      <c r="B1613" s="69" t="s">
        <v>5073</v>
      </c>
      <c r="C1613" s="70" t="s">
        <v>5074</v>
      </c>
      <c r="D1613" s="70" t="s">
        <v>1</v>
      </c>
      <c r="E1613" s="70" t="s">
        <v>1</v>
      </c>
      <c r="F1613" s="70"/>
      <c r="G1613" s="70" t="s">
        <v>61</v>
      </c>
      <c r="H1613" s="70" t="s">
        <v>178</v>
      </c>
      <c r="I1613" s="70" t="s">
        <v>204</v>
      </c>
      <c r="J1613" s="71">
        <f>IF(OR(I1613=0,I1613=""),"unrated",VLOOKUP(I1613,MappingTables!$B$19:$C$31,2,FALSE))</f>
        <v>6</v>
      </c>
      <c r="K1613" s="72">
        <v>68.523350046526688</v>
      </c>
      <c r="L1613" s="70">
        <v>0.068490880819189016</v>
      </c>
      <c r="M1613" s="71">
        <f>IF(L1613&lt;1,1,L1613)</f>
        <v>1</v>
      </c>
      <c r="N1613" s="70" t="s">
        <v>3288</v>
      </c>
      <c r="O1613" s="71">
        <f>IF(OR(I1613=$A$1,I1613=0),"",IF(N1613=MappingTables!$C$14,VLOOKUP(J1613,ModelParameters!$M$8:$N$15,2,FALSE),IF(N1613=MappingTables!$C$16,VLOOKUP(J1613,ModelParameters!$P$8:$Q$15,2,FALSE),0)))</f>
        <v>1</v>
      </c>
      <c r="P1613" s="73">
        <f>IF(OR(I1613=0,I1613=$A$1),0,MIN(O1613*M1613,1)*K1613)</f>
        <v>68.523350046526688</v>
      </c>
      <c r="Q1613" s="73">
        <f>IF(B1613="",0,IF(OR(H1613=MappingTables!$C$34,H1613=MappingTables!$C$35),P1613,0))</f>
        <v>0</v>
      </c>
      <c r="R1613" s="73">
        <f>IF(ISNA(IF(AND(VLOOKUP(CONCATENATE($D1613,$G1613),CSRFinput!$B:$E,4,0)=0,OR(H1613=MappingTables!$C$31,H1613=MappingTables!$C$32)),1,VLOOKUP(CONCATENATE($D1613,$G1613),CSRFinput!$B:$E,4,0))),0,IF(AND(VLOOKUP(CONCATENATE($D1613,$G1613),CSRFinput!$B:$E,4,0)=0,OR(H1613=MappingTables!$C$31,H1613=MappingTables!$C$32)),1,VLOOKUP(CONCATENATE($D1613,$G1613),CSRFinput!$B:$E,4,0)))</f>
        <v>0.054776304963434752</v>
      </c>
      <c r="S1613" s="73">
        <f>IF(B1613="",0,P1613*R1613)</f>
        <v>3.7534559192647368</v>
      </c>
      <c r="T1613" s="85">
        <f>IF(B1613="",0,IF(OR(H1613=MappingTables!$C$34,H1613=MappingTables!$C$35),S1613,0))</f>
        <v>0</v>
      </c>
    </row>
    <row r="1614" spans="2:20" s="0" customFormat="0" ht="15">
      <c r="B1614" s="69">
        <v>22554099</v>
      </c>
      <c r="C1614" s="70" t="s">
        <v>5075</v>
      </c>
      <c r="D1614" s="70" t="s">
        <v>1</v>
      </c>
      <c r="E1614" s="70" t="s">
        <v>1</v>
      </c>
      <c r="F1614" s="70"/>
      <c r="G1614" s="70" t="s">
        <v>61</v>
      </c>
      <c r="H1614" s="70" t="s">
        <v>178</v>
      </c>
      <c r="I1614" s="70" t="s">
        <v>216</v>
      </c>
      <c r="J1614" s="71">
        <f>IF(OR(I1614=0,I1614=""),"unrated",VLOOKUP(I1614,MappingTables!$B$19:$C$31,2,FALSE))</f>
        <v>0</v>
      </c>
      <c r="K1614" s="72">
        <v>15.103873770307648</v>
      </c>
      <c r="L1614" s="70">
        <v>0.037771498466622856</v>
      </c>
      <c r="M1614" s="71">
        <f>IF(L1614&lt;1,1,L1614)</f>
        <v>1</v>
      </c>
      <c r="N1614" s="70" t="s">
        <v>3288</v>
      </c>
      <c r="O1614" s="71">
        <f>IF(OR(I1614=$A$1,I1614=0),"",IF(N1614=MappingTables!$C$14,VLOOKUP(J1614,ModelParameters!$M$8:$N$15,2,FALSE),IF(N1614=MappingTables!$C$16,VLOOKUP(J1614,ModelParameters!$P$8:$Q$15,2,FALSE),0)))</f>
        <v>0.125</v>
      </c>
      <c r="P1614" s="73">
        <f>IF(OR(I1614=0,I1614=$A$1),0,MIN(O1614*M1614,1)*K1614)</f>
        <v>1.887984221288456</v>
      </c>
      <c r="Q1614" s="73">
        <f>IF(B1614="",0,IF(OR(H1614=MappingTables!$C$34,H1614=MappingTables!$C$35),P1614,0))</f>
        <v>0</v>
      </c>
      <c r="R1614" s="73">
        <f>IF(ISNA(IF(AND(VLOOKUP(CONCATENATE($D1614,$G1614),CSRFinput!$B:$E,4,0)=0,OR(H1614=MappingTables!$C$31,H1614=MappingTables!$C$32)),1,VLOOKUP(CONCATENATE($D1614,$G1614),CSRFinput!$B:$E,4,0))),0,IF(AND(VLOOKUP(CONCATENATE($D1614,$G1614),CSRFinput!$B:$E,4,0)=0,OR(H1614=MappingTables!$C$31,H1614=MappingTables!$C$32)),1,VLOOKUP(CONCATENATE($D1614,$G1614),CSRFinput!$B:$E,4,0)))</f>
        <v>0.054776304963434752</v>
      </c>
      <c r="S1614" s="73">
        <f>IF(B1614="",0,P1614*R1614)</f>
        <v>0.10341679947144936</v>
      </c>
      <c r="T1614" s="85">
        <f>IF(B1614="",0,IF(OR(H1614=MappingTables!$C$34,H1614=MappingTables!$C$35),S1614,0))</f>
        <v>0</v>
      </c>
    </row>
    <row r="1615" spans="2:20" s="0" customFormat="0" ht="15">
      <c r="B1615" s="69" t="s">
        <v>4590</v>
      </c>
      <c r="C1615" s="70" t="s">
        <v>4591</v>
      </c>
      <c r="D1615" s="70" t="s">
        <v>1</v>
      </c>
      <c r="E1615" s="70" t="s">
        <v>1</v>
      </c>
      <c r="F1615" s="70"/>
      <c r="G1615" s="70" t="s">
        <v>61</v>
      </c>
      <c r="H1615" s="70" t="s">
        <v>178</v>
      </c>
      <c r="I1615" s="70" t="s">
        <v>204</v>
      </c>
      <c r="J1615" s="71">
        <f>IF(OR(I1615=0,I1615=""),"unrated",VLOOKUP(I1615,MappingTables!$B$19:$C$31,2,FALSE))</f>
        <v>6</v>
      </c>
      <c r="K1615" s="72">
        <v>275.67745073005896</v>
      </c>
      <c r="L1615" s="70">
        <v>-0.92594012241661136</v>
      </c>
      <c r="M1615" s="71">
        <f>IF(L1615&lt;1,1,L1615)</f>
        <v>1</v>
      </c>
      <c r="N1615" s="70" t="s">
        <v>3288</v>
      </c>
      <c r="O1615" s="71">
        <f>IF(OR(I1615=$A$1,I1615=0),"",IF(N1615=MappingTables!$C$14,VLOOKUP(J1615,ModelParameters!$M$8:$N$15,2,FALSE),IF(N1615=MappingTables!$C$16,VLOOKUP(J1615,ModelParameters!$P$8:$Q$15,2,FALSE),0)))</f>
        <v>1</v>
      </c>
      <c r="P1615" s="73">
        <f>IF(OR(I1615=0,I1615=$A$1),0,MIN(O1615*M1615,1)*K1615)</f>
        <v>275.67745073005896</v>
      </c>
      <c r="Q1615" s="73">
        <f>IF(B1615="",0,IF(OR(H1615=MappingTables!$C$34,H1615=MappingTables!$C$35),P1615,0))</f>
        <v>0</v>
      </c>
      <c r="R1615" s="73">
        <f>IF(ISNA(IF(AND(VLOOKUP(CONCATENATE($D1615,$G1615),CSRFinput!$B:$E,4,0)=0,OR(H1615=MappingTables!$C$31,H1615=MappingTables!$C$32)),1,VLOOKUP(CONCATENATE($D1615,$G1615),CSRFinput!$B:$E,4,0))),0,IF(AND(VLOOKUP(CONCATENATE($D1615,$G1615),CSRFinput!$B:$E,4,0)=0,OR(H1615=MappingTables!$C$31,H1615=MappingTables!$C$32)),1,VLOOKUP(CONCATENATE($D1615,$G1615),CSRFinput!$B:$E,4,0)))</f>
        <v>0.054776304963434752</v>
      </c>
      <c r="S1615" s="73">
        <f>IF(B1615="",0,P1615*R1615)</f>
        <v>15.10059211273197</v>
      </c>
      <c r="T1615" s="85">
        <f>IF(B1615="",0,IF(OR(H1615=MappingTables!$C$34,H1615=MappingTables!$C$35),S1615,0))</f>
        <v>0</v>
      </c>
    </row>
    <row r="1616" spans="2:20" s="0" customFormat="0" ht="15">
      <c r="B1616" s="69" t="s">
        <v>4491</v>
      </c>
      <c r="C1616" s="70" t="s">
        <v>4492</v>
      </c>
      <c r="D1616" s="70" t="s">
        <v>1</v>
      </c>
      <c r="E1616" s="70" t="s">
        <v>1</v>
      </c>
      <c r="F1616" s="70"/>
      <c r="G1616" s="70" t="s">
        <v>61</v>
      </c>
      <c r="H1616" s="70" t="s">
        <v>178</v>
      </c>
      <c r="I1616" s="70" t="s">
        <v>198</v>
      </c>
      <c r="J1616" s="71" t="str">
        <f>IF(OR(I1616=0,I1616=""),"unrated",VLOOKUP(I1616,MappingTables!$B$19:$C$31,2,FALSE))</f>
        <v>unrated</v>
      </c>
      <c r="K1616" s="72">
        <v>225.32757732935184</v>
      </c>
      <c r="L1616" s="70">
        <v>0.068492231267400712</v>
      </c>
      <c r="M1616" s="71">
        <f>IF(L1616&lt;1,1,L1616)</f>
        <v>1</v>
      </c>
      <c r="N1616" s="70" t="s">
        <v>3288</v>
      </c>
      <c r="O1616" s="71">
        <f>IF(OR(I1616=$A$1,I1616=0),"",IF(N1616=MappingTables!$C$14,VLOOKUP(J1616,ModelParameters!$M$8:$N$15,2,FALSE),IF(N1616=MappingTables!$C$16,VLOOKUP(J1616,ModelParameters!$P$8:$Q$15,2,FALSE),0)))</f>
        <v>1</v>
      </c>
      <c r="P1616" s="73">
        <f>IF(OR(I1616=0,I1616=$A$1),0,MIN(O1616*M1616,1)*K1616)</f>
        <v>225.32757732935184</v>
      </c>
      <c r="Q1616" s="73">
        <f>IF(B1616="",0,IF(OR(H1616=MappingTables!$C$34,H1616=MappingTables!$C$35),P1616,0))</f>
        <v>0</v>
      </c>
      <c r="R1616" s="73">
        <f>IF(ISNA(IF(AND(VLOOKUP(CONCATENATE($D1616,$G1616),CSRFinput!$B:$E,4,0)=0,OR(H1616=MappingTables!$C$31,H1616=MappingTables!$C$32)),1,VLOOKUP(CONCATENATE($D1616,$G1616),CSRFinput!$B:$E,4,0))),0,IF(AND(VLOOKUP(CONCATENATE($D1616,$G1616),CSRFinput!$B:$E,4,0)=0,OR(H1616=MappingTables!$C$31,H1616=MappingTables!$C$32)),1,VLOOKUP(CONCATENATE($D1616,$G1616),CSRFinput!$B:$E,4,0)))</f>
        <v>0.054776304963434752</v>
      </c>
      <c r="S1616" s="73">
        <f>IF(B1616="",0,P1616*R1616)</f>
        <v>12.342612092464502</v>
      </c>
      <c r="T1616" s="85">
        <f>IF(B1616="",0,IF(OR(H1616=MappingTables!$C$34,H1616=MappingTables!$C$35),S1616,0))</f>
        <v>0</v>
      </c>
    </row>
    <row r="1617" spans="2:20" s="0" customFormat="0" ht="15">
      <c r="B1617" s="69" t="s">
        <v>4489</v>
      </c>
      <c r="C1617" s="70" t="s">
        <v>4490</v>
      </c>
      <c r="D1617" s="70" t="s">
        <v>1</v>
      </c>
      <c r="E1617" s="70" t="s">
        <v>1</v>
      </c>
      <c r="F1617" s="70"/>
      <c r="G1617" s="70" t="s">
        <v>61</v>
      </c>
      <c r="H1617" s="70" t="s">
        <v>178</v>
      </c>
      <c r="I1617" s="70" t="s">
        <v>198</v>
      </c>
      <c r="J1617" s="71" t="str">
        <f>IF(OR(I1617=0,I1617=""),"unrated",VLOOKUP(I1617,MappingTables!$B$19:$C$31,2,FALSE))</f>
        <v>unrated</v>
      </c>
      <c r="K1617" s="72">
        <v>21.205789973400832</v>
      </c>
      <c r="L1617" s="70">
        <v>0.05205409110025764</v>
      </c>
      <c r="M1617" s="71">
        <f>IF(L1617&lt;1,1,L1617)</f>
        <v>1</v>
      </c>
      <c r="N1617" s="70" t="s">
        <v>3288</v>
      </c>
      <c r="O1617" s="71">
        <f>IF(OR(I1617=$A$1,I1617=0),"",IF(N1617=MappingTables!$C$14,VLOOKUP(J1617,ModelParameters!$M$8:$N$15,2,FALSE),IF(N1617=MappingTables!$C$16,VLOOKUP(J1617,ModelParameters!$P$8:$Q$15,2,FALSE),0)))</f>
        <v>1</v>
      </c>
      <c r="P1617" s="73">
        <f>IF(OR(I1617=0,I1617=$A$1),0,MIN(O1617*M1617,1)*K1617)</f>
        <v>21.205789973400832</v>
      </c>
      <c r="Q1617" s="73">
        <f>IF(B1617="",0,IF(OR(H1617=MappingTables!$C$34,H1617=MappingTables!$C$35),P1617,0))</f>
        <v>0</v>
      </c>
      <c r="R1617" s="73">
        <f>IF(ISNA(IF(AND(VLOOKUP(CONCATENATE($D1617,$G1617),CSRFinput!$B:$E,4,0)=0,OR(H1617=MappingTables!$C$31,H1617=MappingTables!$C$32)),1,VLOOKUP(CONCATENATE($D1617,$G1617),CSRFinput!$B:$E,4,0))),0,IF(AND(VLOOKUP(CONCATENATE($D1617,$G1617),CSRFinput!$B:$E,4,0)=0,OR(H1617=MappingTables!$C$31,H1617=MappingTables!$C$32)),1,VLOOKUP(CONCATENATE($D1617,$G1617),CSRFinput!$B:$E,4,0)))</f>
        <v>0.054776304963434752</v>
      </c>
      <c r="S1617" s="73">
        <f>IF(B1617="",0,P1617*R1617)</f>
        <v>1.161574818573551</v>
      </c>
      <c r="T1617" s="85">
        <f>IF(B1617="",0,IF(OR(H1617=MappingTables!$C$34,H1617=MappingTables!$C$35),S1617,0))</f>
        <v>0</v>
      </c>
    </row>
    <row r="1618" spans="2:20" s="0" customFormat="0" ht="15">
      <c r="B1618" s="69" t="s">
        <v>3973</v>
      </c>
      <c r="C1618" s="70" t="s">
        <v>3974</v>
      </c>
      <c r="D1618" s="70" t="s">
        <v>1</v>
      </c>
      <c r="E1618" s="70" t="s">
        <v>1</v>
      </c>
      <c r="F1618" s="70"/>
      <c r="G1618" s="70" t="s">
        <v>61</v>
      </c>
      <c r="H1618" s="70" t="s">
        <v>178</v>
      </c>
      <c r="I1618" s="70" t="s">
        <v>198</v>
      </c>
      <c r="J1618" s="71" t="str">
        <f>IF(OR(I1618=0,I1618=""),"unrated",VLOOKUP(I1618,MappingTables!$B$19:$C$31,2,FALSE))</f>
        <v>unrated</v>
      </c>
      <c r="K1618" s="72">
        <v>92.612782192351424</v>
      </c>
      <c r="L1618" s="70">
        <v>0.019536456452833204</v>
      </c>
      <c r="M1618" s="71">
        <f>IF(L1618&lt;1,1,L1618)</f>
        <v>1</v>
      </c>
      <c r="N1618" s="70" t="s">
        <v>3288</v>
      </c>
      <c r="O1618" s="71">
        <f>IF(OR(I1618=$A$1,I1618=0),"",IF(N1618=MappingTables!$C$14,VLOOKUP(J1618,ModelParameters!$M$8:$N$15,2,FALSE),IF(N1618=MappingTables!$C$16,VLOOKUP(J1618,ModelParameters!$P$8:$Q$15,2,FALSE),0)))</f>
        <v>1</v>
      </c>
      <c r="P1618" s="73">
        <f>IF(OR(I1618=0,I1618=$A$1),0,MIN(O1618*M1618,1)*K1618)</f>
        <v>92.612782192351424</v>
      </c>
      <c r="Q1618" s="73">
        <f>IF(B1618="",0,IF(OR(H1618=MappingTables!$C$34,H1618=MappingTables!$C$35),P1618,0))</f>
        <v>0</v>
      </c>
      <c r="R1618" s="73">
        <f>IF(ISNA(IF(AND(VLOOKUP(CONCATENATE($D1618,$G1618),CSRFinput!$B:$E,4,0)=0,OR(H1618=MappingTables!$C$31,H1618=MappingTables!$C$32)),1,VLOOKUP(CONCATENATE($D1618,$G1618),CSRFinput!$B:$E,4,0))),0,IF(AND(VLOOKUP(CONCATENATE($D1618,$G1618),CSRFinput!$B:$E,4,0)=0,OR(H1618=MappingTables!$C$31,H1618=MappingTables!$C$32)),1,VLOOKUP(CONCATENATE($D1618,$G1618),CSRFinput!$B:$E,4,0)))</f>
        <v>0.054776304963434752</v>
      </c>
      <c r="S1618" s="73">
        <f>IF(B1618="",0,P1618*R1618)</f>
        <v>5.0729860008804016</v>
      </c>
      <c r="T1618" s="85">
        <f>IF(B1618="",0,IF(OR(H1618=MappingTables!$C$34,H1618=MappingTables!$C$35),S1618,0))</f>
        <v>0</v>
      </c>
    </row>
    <row r="1619" spans="2:20" s="0" customFormat="0" ht="15">
      <c r="B1619" s="69" t="s">
        <v>5076</v>
      </c>
      <c r="C1619" s="70" t="s">
        <v>5077</v>
      </c>
      <c r="D1619" s="70" t="s">
        <v>1</v>
      </c>
      <c r="E1619" s="70" t="s">
        <v>1</v>
      </c>
      <c r="F1619" s="70"/>
      <c r="G1619" s="70" t="s">
        <v>61</v>
      </c>
      <c r="H1619" s="70" t="s">
        <v>178</v>
      </c>
      <c r="I1619" s="70" t="s">
        <v>198</v>
      </c>
      <c r="J1619" s="71" t="str">
        <f>IF(OR(I1619=0,I1619=""),"unrated",VLOOKUP(I1619,MappingTables!$B$19:$C$31,2,FALSE))</f>
        <v>unrated</v>
      </c>
      <c r="K1619" s="72">
        <v>188.90055666076204</v>
      </c>
      <c r="L1619" s="70">
        <v>0.068492379357778744</v>
      </c>
      <c r="M1619" s="71">
        <f>IF(L1619&lt;1,1,L1619)</f>
        <v>1</v>
      </c>
      <c r="N1619" s="70" t="s">
        <v>3288</v>
      </c>
      <c r="O1619" s="71">
        <f>IF(OR(I1619=$A$1,I1619=0),"",IF(N1619=MappingTables!$C$14,VLOOKUP(J1619,ModelParameters!$M$8:$N$15,2,FALSE),IF(N1619=MappingTables!$C$16,VLOOKUP(J1619,ModelParameters!$P$8:$Q$15,2,FALSE),0)))</f>
        <v>1</v>
      </c>
      <c r="P1619" s="73">
        <f>IF(OR(I1619=0,I1619=$A$1),0,MIN(O1619*M1619,1)*K1619)</f>
        <v>188.90055666076204</v>
      </c>
      <c r="Q1619" s="73">
        <f>IF(B1619="",0,IF(OR(H1619=MappingTables!$C$34,H1619=MappingTables!$C$35),P1619,0))</f>
        <v>0</v>
      </c>
      <c r="R1619" s="73">
        <f>IF(ISNA(IF(AND(VLOOKUP(CONCATENATE($D1619,$G1619),CSRFinput!$B:$E,4,0)=0,OR(H1619=MappingTables!$C$31,H1619=MappingTables!$C$32)),1,VLOOKUP(CONCATENATE($D1619,$G1619),CSRFinput!$B:$E,4,0))),0,IF(AND(VLOOKUP(CONCATENATE($D1619,$G1619),CSRFinput!$B:$E,4,0)=0,OR(H1619=MappingTables!$C$31,H1619=MappingTables!$C$32)),1,VLOOKUP(CONCATENATE($D1619,$G1619),CSRFinput!$B:$E,4,0)))</f>
        <v>0.054776304963434752</v>
      </c>
      <c r="S1619" s="73">
        <f>IF(B1619="",0,P1619*R1619)</f>
        <v>10.347274499412488</v>
      </c>
      <c r="T1619" s="85">
        <f>IF(B1619="",0,IF(OR(H1619=MappingTables!$C$34,H1619=MappingTables!$C$35),S1619,0))</f>
        <v>0</v>
      </c>
    </row>
    <row r="1620" spans="2:20" s="0" customFormat="0" ht="15">
      <c r="B1620" s="69" t="s">
        <v>3528</v>
      </c>
      <c r="C1620" s="70" t="s">
        <v>3529</v>
      </c>
      <c r="D1620" s="70" t="s">
        <v>1</v>
      </c>
      <c r="E1620" s="70" t="s">
        <v>1</v>
      </c>
      <c r="F1620" s="70"/>
      <c r="G1620" s="70" t="s">
        <v>61</v>
      </c>
      <c r="H1620" s="70" t="s">
        <v>178</v>
      </c>
      <c r="I1620" s="70" t="s">
        <v>216</v>
      </c>
      <c r="J1620" s="71">
        <f>IF(OR(I1620=0,I1620=""),"unrated",VLOOKUP(I1620,MappingTables!$B$19:$C$31,2,FALSE))</f>
        <v>0</v>
      </c>
      <c r="K1620" s="72">
        <v>451.37735670013552</v>
      </c>
      <c r="L1620" s="70">
        <v>0.080029114328879728</v>
      </c>
      <c r="M1620" s="71">
        <f>IF(L1620&lt;1,1,L1620)</f>
        <v>1</v>
      </c>
      <c r="N1620" s="70" t="s">
        <v>3288</v>
      </c>
      <c r="O1620" s="71">
        <f>IF(OR(I1620=$A$1,I1620=0),"",IF(N1620=MappingTables!$C$14,VLOOKUP(J1620,ModelParameters!$M$8:$N$15,2,FALSE),IF(N1620=MappingTables!$C$16,VLOOKUP(J1620,ModelParameters!$P$8:$Q$15,2,FALSE),0)))</f>
        <v>0.125</v>
      </c>
      <c r="P1620" s="73">
        <f>IF(OR(I1620=0,I1620=$A$1),0,MIN(O1620*M1620,1)*K1620)</f>
        <v>56.422169587516944</v>
      </c>
      <c r="Q1620" s="73">
        <f>IF(B1620="",0,IF(OR(H1620=MappingTables!$C$34,H1620=MappingTables!$C$35),P1620,0))</f>
        <v>0</v>
      </c>
      <c r="R1620" s="73">
        <f>IF(ISNA(IF(AND(VLOOKUP(CONCATENATE($D1620,$G1620),CSRFinput!$B:$E,4,0)=0,OR(H1620=MappingTables!$C$31,H1620=MappingTables!$C$32)),1,VLOOKUP(CONCATENATE($D1620,$G1620),CSRFinput!$B:$E,4,0))),0,IF(AND(VLOOKUP(CONCATENATE($D1620,$G1620),CSRFinput!$B:$E,4,0)=0,OR(H1620=MappingTables!$C$31,H1620=MappingTables!$C$32)),1,VLOOKUP(CONCATENATE($D1620,$G1620),CSRFinput!$B:$E,4,0)))</f>
        <v>0.054776304963434752</v>
      </c>
      <c r="S1620" s="73">
        <f>IF(B1620="",0,P1620*R1620)</f>
        <v>3.0905979680244616</v>
      </c>
      <c r="T1620" s="85">
        <f>IF(B1620="",0,IF(OR(H1620=MappingTables!$C$34,H1620=MappingTables!$C$35),S1620,0))</f>
        <v>0</v>
      </c>
    </row>
    <row r="1621" spans="2:20" s="0" customFormat="0" ht="15">
      <c r="B1621" s="69" t="s">
        <v>4598</v>
      </c>
      <c r="C1621" s="70" t="s">
        <v>4599</v>
      </c>
      <c r="D1621" s="70" t="s">
        <v>1</v>
      </c>
      <c r="E1621" s="70" t="s">
        <v>1</v>
      </c>
      <c r="F1621" s="70"/>
      <c r="G1621" s="70" t="s">
        <v>61</v>
      </c>
      <c r="H1621" s="70" t="s">
        <v>178</v>
      </c>
      <c r="I1621" s="70" t="s">
        <v>3298</v>
      </c>
      <c r="J1621" s="71">
        <f>IF(OR(I1621=0,I1621=""),"unrated",VLOOKUP(I1621,MappingTables!$B$19:$C$31,2,FALSE))</f>
        <v>6</v>
      </c>
      <c r="K1621" s="72">
        <v>71.0097595876198</v>
      </c>
      <c r="L1621" s="70">
        <v>0.06848912604923216</v>
      </c>
      <c r="M1621" s="71">
        <f>IF(L1621&lt;1,1,L1621)</f>
        <v>1</v>
      </c>
      <c r="N1621" s="70" t="s">
        <v>3288</v>
      </c>
      <c r="O1621" s="71">
        <f>IF(OR(I1621=$A$1,I1621=0),"",IF(N1621=MappingTables!$C$14,VLOOKUP(J1621,ModelParameters!$M$8:$N$15,2,FALSE),IF(N1621=MappingTables!$C$16,VLOOKUP(J1621,ModelParameters!$P$8:$Q$15,2,FALSE),0)))</f>
        <v>1</v>
      </c>
      <c r="P1621" s="73">
        <f>IF(OR(I1621=0,I1621=$A$1),0,MIN(O1621*M1621,1)*K1621)</f>
        <v>71.0097595876198</v>
      </c>
      <c r="Q1621" s="73">
        <f>IF(B1621="",0,IF(OR(H1621=MappingTables!$C$34,H1621=MappingTables!$C$35),P1621,0))</f>
        <v>0</v>
      </c>
      <c r="R1621" s="73">
        <f>IF(ISNA(IF(AND(VLOOKUP(CONCATENATE($D1621,$G1621),CSRFinput!$B:$E,4,0)=0,OR(H1621=MappingTables!$C$31,H1621=MappingTables!$C$32)),1,VLOOKUP(CONCATENATE($D1621,$G1621),CSRFinput!$B:$E,4,0))),0,IF(AND(VLOOKUP(CONCATENATE($D1621,$G1621),CSRFinput!$B:$E,4,0)=0,OR(H1621=MappingTables!$C$31,H1621=MappingTables!$C$32)),1,VLOOKUP(CONCATENATE($D1621,$G1621),CSRFinput!$B:$E,4,0)))</f>
        <v>0.054776304963434752</v>
      </c>
      <c r="S1621" s="73">
        <f>IF(B1621="",0,P1621*R1621)</f>
        <v>3.8896522465516472</v>
      </c>
      <c r="T1621" s="85">
        <f>IF(B1621="",0,IF(OR(H1621=MappingTables!$C$34,H1621=MappingTables!$C$35),S1621,0))</f>
        <v>0</v>
      </c>
    </row>
    <row r="1622" spans="2:20" s="0" customFormat="0" ht="15">
      <c r="B1622" s="69">
        <v>19216294</v>
      </c>
      <c r="C1622" s="70" t="s">
        <v>4554</v>
      </c>
      <c r="D1622" s="70" t="s">
        <v>1</v>
      </c>
      <c r="E1622" s="70" t="s">
        <v>1</v>
      </c>
      <c r="F1622" s="70"/>
      <c r="G1622" s="70" t="s">
        <v>61</v>
      </c>
      <c r="H1622" s="70" t="s">
        <v>178</v>
      </c>
      <c r="I1622" s="70" t="s">
        <v>216</v>
      </c>
      <c r="J1622" s="71">
        <f>IF(OR(I1622=0,I1622=""),"unrated",VLOOKUP(I1622,MappingTables!$B$19:$C$31,2,FALSE))</f>
        <v>0</v>
      </c>
      <c r="K1622" s="72">
        <v>4970.6467758112232</v>
      </c>
      <c r="L1622" s="70">
        <v>0.04109743982683548</v>
      </c>
      <c r="M1622" s="71">
        <f>IF(L1622&lt;1,1,L1622)</f>
        <v>1</v>
      </c>
      <c r="N1622" s="70" t="s">
        <v>3288</v>
      </c>
      <c r="O1622" s="71">
        <f>IF(OR(I1622=$A$1,I1622=0),"",IF(N1622=MappingTables!$C$14,VLOOKUP(J1622,ModelParameters!$M$8:$N$15,2,FALSE),IF(N1622=MappingTables!$C$16,VLOOKUP(J1622,ModelParameters!$P$8:$Q$15,2,FALSE),0)))</f>
        <v>0.125</v>
      </c>
      <c r="P1622" s="73">
        <f>IF(OR(I1622=0,I1622=$A$1),0,MIN(O1622*M1622,1)*K1622)</f>
        <v>621.33084697640288</v>
      </c>
      <c r="Q1622" s="73">
        <f>IF(B1622="",0,IF(OR(H1622=MappingTables!$C$34,H1622=MappingTables!$C$35),P1622,0))</f>
        <v>0</v>
      </c>
      <c r="R1622" s="73">
        <f>IF(ISNA(IF(AND(VLOOKUP(CONCATENATE($D1622,$G1622),CSRFinput!$B:$E,4,0)=0,OR(H1622=MappingTables!$C$31,H1622=MappingTables!$C$32)),1,VLOOKUP(CONCATENATE($D1622,$G1622),CSRFinput!$B:$E,4,0))),0,IF(AND(VLOOKUP(CONCATENATE($D1622,$G1622),CSRFinput!$B:$E,4,0)=0,OR(H1622=MappingTables!$C$31,H1622=MappingTables!$C$32)),1,VLOOKUP(CONCATENATE($D1622,$G1622),CSRFinput!$B:$E,4,0)))</f>
        <v>0.054776304963434752</v>
      </c>
      <c r="S1622" s="73">
        <f>IF(B1622="",0,P1622*R1622)</f>
        <v>34.034207957168652</v>
      </c>
      <c r="T1622" s="85">
        <f>IF(B1622="",0,IF(OR(H1622=MappingTables!$C$34,H1622=MappingTables!$C$35),S1622,0))</f>
        <v>0</v>
      </c>
    </row>
    <row r="1623" spans="2:20" s="0" customFormat="0" ht="15">
      <c r="B1623" s="69" t="s">
        <v>4828</v>
      </c>
      <c r="C1623" s="70" t="s">
        <v>4829</v>
      </c>
      <c r="D1623" s="70" t="s">
        <v>1</v>
      </c>
      <c r="E1623" s="70" t="s">
        <v>1</v>
      </c>
      <c r="F1623" s="70"/>
      <c r="G1623" s="70" t="s">
        <v>61</v>
      </c>
      <c r="H1623" s="70" t="s">
        <v>178</v>
      </c>
      <c r="I1623" s="70" t="s">
        <v>198</v>
      </c>
      <c r="J1623" s="71" t="str">
        <f>IF(OR(I1623=0,I1623=""),"unrated",VLOOKUP(I1623,MappingTables!$B$19:$C$31,2,FALSE))</f>
        <v>unrated</v>
      </c>
      <c r="K1623" s="72">
        <v>74.219792664565088</v>
      </c>
      <c r="L1623" s="70">
        <v>0.052051322788688184</v>
      </c>
      <c r="M1623" s="71">
        <f>IF(L1623&lt;1,1,L1623)</f>
        <v>1</v>
      </c>
      <c r="N1623" s="70" t="s">
        <v>3288</v>
      </c>
      <c r="O1623" s="71">
        <f>IF(OR(I1623=$A$1,I1623=0),"",IF(N1623=MappingTables!$C$14,VLOOKUP(J1623,ModelParameters!$M$8:$N$15,2,FALSE),IF(N1623=MappingTables!$C$16,VLOOKUP(J1623,ModelParameters!$P$8:$Q$15,2,FALSE),0)))</f>
        <v>1</v>
      </c>
      <c r="P1623" s="73">
        <f>IF(OR(I1623=0,I1623=$A$1),0,MIN(O1623*M1623,1)*K1623)</f>
        <v>74.219792664565088</v>
      </c>
      <c r="Q1623" s="73">
        <f>IF(B1623="",0,IF(OR(H1623=MappingTables!$C$34,H1623=MappingTables!$C$35),P1623,0))</f>
        <v>0</v>
      </c>
      <c r="R1623" s="73">
        <f>IF(ISNA(IF(AND(VLOOKUP(CONCATENATE($D1623,$G1623),CSRFinput!$B:$E,4,0)=0,OR(H1623=MappingTables!$C$31,H1623=MappingTables!$C$32)),1,VLOOKUP(CONCATENATE($D1623,$G1623),CSRFinput!$B:$E,4,0))),0,IF(AND(VLOOKUP(CONCATENATE($D1623,$G1623),CSRFinput!$B:$E,4,0)=0,OR(H1623=MappingTables!$C$31,H1623=MappingTables!$C$32)),1,VLOOKUP(CONCATENATE($D1623,$G1623),CSRFinput!$B:$E,4,0)))</f>
        <v>0.054776304963434752</v>
      </c>
      <c r="S1623" s="73">
        <f>IF(B1623="",0,P1623*R1623)</f>
        <v>4.0654859973171152</v>
      </c>
      <c r="T1623" s="85">
        <f>IF(B1623="",0,IF(OR(H1623=MappingTables!$C$34,H1623=MappingTables!$C$35),S1623,0))</f>
        <v>0</v>
      </c>
    </row>
    <row r="1624" spans="2:20" s="0" customFormat="0" ht="15">
      <c r="B1624" s="69" t="s">
        <v>4502</v>
      </c>
      <c r="C1624" s="70" t="s">
        <v>4503</v>
      </c>
      <c r="D1624" s="70" t="s">
        <v>1</v>
      </c>
      <c r="E1624" s="70" t="s">
        <v>1</v>
      </c>
      <c r="F1624" s="70"/>
      <c r="G1624" s="70" t="s">
        <v>61</v>
      </c>
      <c r="H1624" s="70" t="s">
        <v>178</v>
      </c>
      <c r="I1624" s="70" t="s">
        <v>204</v>
      </c>
      <c r="J1624" s="71">
        <f>IF(OR(I1624=0,I1624=""),"unrated",VLOOKUP(I1624,MappingTables!$B$19:$C$31,2,FALSE))</f>
        <v>6</v>
      </c>
      <c r="K1624" s="72">
        <v>321.65390323757436</v>
      </c>
      <c r="L1624" s="70">
        <v>0.068498012077848712</v>
      </c>
      <c r="M1624" s="71">
        <f>IF(L1624&lt;1,1,L1624)</f>
        <v>1</v>
      </c>
      <c r="N1624" s="70" t="s">
        <v>3288</v>
      </c>
      <c r="O1624" s="71">
        <f>IF(OR(I1624=$A$1,I1624=0),"",IF(N1624=MappingTables!$C$14,VLOOKUP(J1624,ModelParameters!$M$8:$N$15,2,FALSE),IF(N1624=MappingTables!$C$16,VLOOKUP(J1624,ModelParameters!$P$8:$Q$15,2,FALSE),0)))</f>
        <v>1</v>
      </c>
      <c r="P1624" s="73">
        <f>IF(OR(I1624=0,I1624=$A$1),0,MIN(O1624*M1624,1)*K1624)</f>
        <v>321.65390323757436</v>
      </c>
      <c r="Q1624" s="73">
        <f>IF(B1624="",0,IF(OR(H1624=MappingTables!$C$34,H1624=MappingTables!$C$35),P1624,0))</f>
        <v>0</v>
      </c>
      <c r="R1624" s="73">
        <f>IF(ISNA(IF(AND(VLOOKUP(CONCATENATE($D1624,$G1624),CSRFinput!$B:$E,4,0)=0,OR(H1624=MappingTables!$C$31,H1624=MappingTables!$C$32)),1,VLOOKUP(CONCATENATE($D1624,$G1624),CSRFinput!$B:$E,4,0))),0,IF(AND(VLOOKUP(CONCATENATE($D1624,$G1624),CSRFinput!$B:$E,4,0)=0,OR(H1624=MappingTables!$C$31,H1624=MappingTables!$C$32)),1,VLOOKUP(CONCATENATE($D1624,$G1624),CSRFinput!$B:$E,4,0)))</f>
        <v>0.054776304963434752</v>
      </c>
      <c r="S1624" s="73">
        <f>IF(B1624="",0,P1624*R1624)</f>
        <v>17.619012296420508</v>
      </c>
      <c r="T1624" s="85">
        <f>IF(B1624="",0,IF(OR(H1624=MappingTables!$C$34,H1624=MappingTables!$C$35),S1624,0))</f>
        <v>0</v>
      </c>
    </row>
    <row r="1625" spans="2:20" s="0" customFormat="0" ht="15">
      <c r="B1625" s="69">
        <v>22554160</v>
      </c>
      <c r="C1625" s="70" t="s">
        <v>4254</v>
      </c>
      <c r="D1625" s="70" t="s">
        <v>1</v>
      </c>
      <c r="E1625" s="70" t="s">
        <v>1</v>
      </c>
      <c r="F1625" s="70"/>
      <c r="G1625" s="70" t="s">
        <v>61</v>
      </c>
      <c r="H1625" s="70" t="s">
        <v>178</v>
      </c>
      <c r="I1625" s="70" t="s">
        <v>204</v>
      </c>
      <c r="J1625" s="71">
        <f>IF(OR(I1625=0,I1625=""),"unrated",VLOOKUP(I1625,MappingTables!$B$19:$C$31,2,FALSE))</f>
        <v>6</v>
      </c>
      <c r="K1625" s="72">
        <v>4679.5527368744552</v>
      </c>
      <c r="L1625" s="70">
        <v>0.068495461246006568</v>
      </c>
      <c r="M1625" s="71">
        <f>IF(L1625&lt;1,1,L1625)</f>
        <v>1</v>
      </c>
      <c r="N1625" s="70" t="s">
        <v>3288</v>
      </c>
      <c r="O1625" s="71">
        <f>IF(OR(I1625=$A$1,I1625=0),"",IF(N1625=MappingTables!$C$14,VLOOKUP(J1625,ModelParameters!$M$8:$N$15,2,FALSE),IF(N1625=MappingTables!$C$16,VLOOKUP(J1625,ModelParameters!$P$8:$Q$15,2,FALSE),0)))</f>
        <v>1</v>
      </c>
      <c r="P1625" s="73">
        <f>IF(OR(I1625=0,I1625=$A$1),0,MIN(O1625*M1625,1)*K1625)</f>
        <v>4679.5527368744552</v>
      </c>
      <c r="Q1625" s="73">
        <f>IF(B1625="",0,IF(OR(H1625=MappingTables!$C$34,H1625=MappingTables!$C$35),P1625,0))</f>
        <v>0</v>
      </c>
      <c r="R1625" s="73">
        <f>IF(ISNA(IF(AND(VLOOKUP(CONCATENATE($D1625,$G1625),CSRFinput!$B:$E,4,0)=0,OR(H1625=MappingTables!$C$31,H1625=MappingTables!$C$32)),1,VLOOKUP(CONCATENATE($D1625,$G1625),CSRFinput!$B:$E,4,0))),0,IF(AND(VLOOKUP(CONCATENATE($D1625,$G1625),CSRFinput!$B:$E,4,0)=0,OR(H1625=MappingTables!$C$31,H1625=MappingTables!$C$32)),1,VLOOKUP(CONCATENATE($D1625,$G1625),CSRFinput!$B:$E,4,0)))</f>
        <v>0.054776304963434752</v>
      </c>
      <c r="S1625" s="73">
        <f>IF(B1625="",0,P1625*R1625)</f>
        <v>256.32860780751088</v>
      </c>
      <c r="T1625" s="85">
        <f>IF(B1625="",0,IF(OR(H1625=MappingTables!$C$34,H1625=MappingTables!$C$35),S1625,0))</f>
        <v>0</v>
      </c>
    </row>
    <row r="1626" spans="2:20" s="0" customFormat="0" ht="15">
      <c r="B1626" s="69" t="s">
        <v>5078</v>
      </c>
      <c r="C1626" s="70" t="s">
        <v>5079</v>
      </c>
      <c r="D1626" s="70" t="s">
        <v>1</v>
      </c>
      <c r="E1626" s="70" t="s">
        <v>1</v>
      </c>
      <c r="F1626" s="70"/>
      <c r="G1626" s="70" t="s">
        <v>61</v>
      </c>
      <c r="H1626" s="70" t="s">
        <v>178</v>
      </c>
      <c r="I1626" s="70" t="s">
        <v>204</v>
      </c>
      <c r="J1626" s="71">
        <f>IF(OR(I1626=0,I1626=""),"unrated",VLOOKUP(I1626,MappingTables!$B$19:$C$31,2,FALSE))</f>
        <v>6</v>
      </c>
      <c r="K1626" s="72">
        <v>270.35471818193076</v>
      </c>
      <c r="L1626" s="70">
        <v>0.068490691644271056</v>
      </c>
      <c r="M1626" s="71">
        <f>IF(L1626&lt;1,1,L1626)</f>
        <v>1</v>
      </c>
      <c r="N1626" s="70" t="s">
        <v>3288</v>
      </c>
      <c r="O1626" s="71">
        <f>IF(OR(I1626=$A$1,I1626=0),"",IF(N1626=MappingTables!$C$14,VLOOKUP(J1626,ModelParameters!$M$8:$N$15,2,FALSE),IF(N1626=MappingTables!$C$16,VLOOKUP(J1626,ModelParameters!$P$8:$Q$15,2,FALSE),0)))</f>
        <v>1</v>
      </c>
      <c r="P1626" s="73">
        <f>IF(OR(I1626=0,I1626=$A$1),0,MIN(O1626*M1626,1)*K1626)</f>
        <v>270.35471818193076</v>
      </c>
      <c r="Q1626" s="73">
        <f>IF(B1626="",0,IF(OR(H1626=MappingTables!$C$34,H1626=MappingTables!$C$35),P1626,0))</f>
        <v>0</v>
      </c>
      <c r="R1626" s="73">
        <f>IF(ISNA(IF(AND(VLOOKUP(CONCATENATE($D1626,$G1626),CSRFinput!$B:$E,4,0)=0,OR(H1626=MappingTables!$C$31,H1626=MappingTables!$C$32)),1,VLOOKUP(CONCATENATE($D1626,$G1626),CSRFinput!$B:$E,4,0))),0,IF(AND(VLOOKUP(CONCATENATE($D1626,$G1626),CSRFinput!$B:$E,4,0)=0,OR(H1626=MappingTables!$C$31,H1626=MappingTables!$C$32)),1,VLOOKUP(CONCATENATE($D1626,$G1626),CSRFinput!$B:$E,4,0)))</f>
        <v>0.054776304963434752</v>
      </c>
      <c r="S1626" s="73">
        <f>IF(B1626="",0,P1626*R1626)</f>
        <v>14.809032491436898</v>
      </c>
      <c r="T1626" s="85">
        <f>IF(B1626="",0,IF(OR(H1626=MappingTables!$C$34,H1626=MappingTables!$C$35),S1626,0))</f>
        <v>0</v>
      </c>
    </row>
    <row r="1627" spans="2:20" s="0" customFormat="0" ht="15">
      <c r="B1627" s="69" t="s">
        <v>3892</v>
      </c>
      <c r="C1627" s="70" t="s">
        <v>3893</v>
      </c>
      <c r="D1627" s="70" t="s">
        <v>1</v>
      </c>
      <c r="E1627" s="70" t="s">
        <v>1</v>
      </c>
      <c r="F1627" s="70"/>
      <c r="G1627" s="70" t="s">
        <v>61</v>
      </c>
      <c r="H1627" s="70" t="s">
        <v>178</v>
      </c>
      <c r="I1627" s="70" t="s">
        <v>198</v>
      </c>
      <c r="J1627" s="71" t="str">
        <f>IF(OR(I1627=0,I1627=""),"unrated",VLOOKUP(I1627,MappingTables!$B$19:$C$31,2,FALSE))</f>
        <v>unrated</v>
      </c>
      <c r="K1627" s="72">
        <v>1229.4080314841886</v>
      </c>
      <c r="L1627" s="70">
        <v>8.3300716810997968</v>
      </c>
      <c r="M1627" s="71">
        <f>IF(L1627&lt;1,1,L1627)</f>
        <v>8.3300716810997968</v>
      </c>
      <c r="N1627" s="70" t="s">
        <v>3288</v>
      </c>
      <c r="O1627" s="71">
        <f>IF(OR(I1627=$A$1,I1627=0),"",IF(N1627=MappingTables!$C$14,VLOOKUP(J1627,ModelParameters!$M$8:$N$15,2,FALSE),IF(N1627=MappingTables!$C$16,VLOOKUP(J1627,ModelParameters!$P$8:$Q$15,2,FALSE),0)))</f>
        <v>1</v>
      </c>
      <c r="P1627" s="73">
        <f>IF(OR(I1627=0,I1627=$A$1),0,MIN(O1627*M1627,1)*K1627)</f>
        <v>1229.4080314841886</v>
      </c>
      <c r="Q1627" s="73">
        <f>IF(B1627="",0,IF(OR(H1627=MappingTables!$C$34,H1627=MappingTables!$C$35),P1627,0))</f>
        <v>0</v>
      </c>
      <c r="R1627" s="73">
        <f>IF(ISNA(IF(AND(VLOOKUP(CONCATENATE($D1627,$G1627),CSRFinput!$B:$E,4,0)=0,OR(H1627=MappingTables!$C$31,H1627=MappingTables!$C$32)),1,VLOOKUP(CONCATENATE($D1627,$G1627),CSRFinput!$B:$E,4,0))),0,IF(AND(VLOOKUP(CONCATENATE($D1627,$G1627),CSRFinput!$B:$E,4,0)=0,OR(H1627=MappingTables!$C$31,H1627=MappingTables!$C$32)),1,VLOOKUP(CONCATENATE($D1627,$G1627),CSRFinput!$B:$E,4,0)))</f>
        <v>0.054776304963434752</v>
      </c>
      <c r="S1627" s="73">
        <f>IF(B1627="",0,P1627*R1627)</f>
        <v>67.342429257073904</v>
      </c>
      <c r="T1627" s="85">
        <f>IF(B1627="",0,IF(OR(H1627=MappingTables!$C$34,H1627=MappingTables!$C$35),S1627,0))</f>
        <v>0</v>
      </c>
    </row>
    <row r="1628" spans="2:20" s="0" customFormat="0" ht="15">
      <c r="B1628" s="69">
        <v>11757687</v>
      </c>
      <c r="C1628" s="70" t="s">
        <v>4578</v>
      </c>
      <c r="D1628" s="70" t="s">
        <v>1</v>
      </c>
      <c r="E1628" s="70" t="s">
        <v>1</v>
      </c>
      <c r="F1628" s="70"/>
      <c r="G1628" s="70" t="s">
        <v>61</v>
      </c>
      <c r="H1628" s="70" t="s">
        <v>178</v>
      </c>
      <c r="I1628" s="70" t="s">
        <v>216</v>
      </c>
      <c r="J1628" s="71">
        <f>IF(OR(I1628=0,I1628=""),"unrated",VLOOKUP(I1628,MappingTables!$B$19:$C$31,2,FALSE))</f>
        <v>0</v>
      </c>
      <c r="K1628" s="72">
        <v>147.42118527511692</v>
      </c>
      <c r="L1628" s="70">
        <v>5.1269619907312416</v>
      </c>
      <c r="M1628" s="71">
        <f>IF(L1628&lt;1,1,L1628)</f>
        <v>5.1269619907312416</v>
      </c>
      <c r="N1628" s="70" t="s">
        <v>3288</v>
      </c>
      <c r="O1628" s="71">
        <f>IF(OR(I1628=$A$1,I1628=0),"",IF(N1628=MappingTables!$C$14,VLOOKUP(J1628,ModelParameters!$M$8:$N$15,2,FALSE),IF(N1628=MappingTables!$C$16,VLOOKUP(J1628,ModelParameters!$P$8:$Q$15,2,FALSE),0)))</f>
        <v>0.125</v>
      </c>
      <c r="P1628" s="73">
        <f>IF(OR(I1628=0,I1628=$A$1),0,MIN(O1628*M1628,1)*K1628)</f>
        <v>94.477851691759088</v>
      </c>
      <c r="Q1628" s="73">
        <f>IF(B1628="",0,IF(OR(H1628=MappingTables!$C$34,H1628=MappingTables!$C$35),P1628,0))</f>
        <v>0</v>
      </c>
      <c r="R1628" s="73">
        <f>IF(ISNA(IF(AND(VLOOKUP(CONCATENATE($D1628,$G1628),CSRFinput!$B:$E,4,0)=0,OR(H1628=MappingTables!$C$31,H1628=MappingTables!$C$32)),1,VLOOKUP(CONCATENATE($D1628,$G1628),CSRFinput!$B:$E,4,0))),0,IF(AND(VLOOKUP(CONCATENATE($D1628,$G1628),CSRFinput!$B:$E,4,0)=0,OR(H1628=MappingTables!$C$31,H1628=MappingTables!$C$32)),1,VLOOKUP(CONCATENATE($D1628,$G1628),CSRFinput!$B:$E,4,0)))</f>
        <v>0.054776304963434752</v>
      </c>
      <c r="S1628" s="73">
        <f>IF(B1628="",0,P1628*R1628)</f>
        <v>5.175147616557956</v>
      </c>
      <c r="T1628" s="85">
        <f>IF(B1628="",0,IF(OR(H1628=MappingTables!$C$34,H1628=MappingTables!$C$35),S1628,0))</f>
        <v>0</v>
      </c>
    </row>
    <row r="1629" spans="2:20" s="0" customFormat="0" ht="15">
      <c r="B1629" s="69" t="s">
        <v>3852</v>
      </c>
      <c r="C1629" s="70" t="s">
        <v>3853</v>
      </c>
      <c r="D1629" s="70" t="s">
        <v>1</v>
      </c>
      <c r="E1629" s="70" t="s">
        <v>1</v>
      </c>
      <c r="F1629" s="70"/>
      <c r="G1629" s="70" t="s">
        <v>61</v>
      </c>
      <c r="H1629" s="70" t="s">
        <v>178</v>
      </c>
      <c r="I1629" s="70" t="s">
        <v>179</v>
      </c>
      <c r="J1629" s="71">
        <f>IF(OR(I1629=0,I1629=""),"unrated",VLOOKUP(I1629,MappingTables!$B$19:$C$31,2,FALSE))</f>
        <v>4</v>
      </c>
      <c r="K1629" s="72">
        <v>104.20317392282334</v>
      </c>
      <c r="L1629" s="70">
        <v>0.068489609913935848</v>
      </c>
      <c r="M1629" s="71">
        <f>IF(L1629&lt;1,1,L1629)</f>
        <v>1</v>
      </c>
      <c r="N1629" s="70" t="s">
        <v>3288</v>
      </c>
      <c r="O1629" s="71">
        <f>IF(OR(I1629=$A$1,I1629=0),"",IF(N1629=MappingTables!$C$14,VLOOKUP(J1629,ModelParameters!$M$8:$N$15,2,FALSE),IF(N1629=MappingTables!$C$16,VLOOKUP(J1629,ModelParameters!$P$8:$Q$15,2,FALSE),0)))</f>
        <v>0.82</v>
      </c>
      <c r="P1629" s="73">
        <f>IF(OR(I1629=0,I1629=$A$1),0,MIN(O1629*M1629,1)*K1629)</f>
        <v>85.446602616715136</v>
      </c>
      <c r="Q1629" s="73">
        <f>IF(B1629="",0,IF(OR(H1629=MappingTables!$C$34,H1629=MappingTables!$C$35),P1629,0))</f>
        <v>0</v>
      </c>
      <c r="R1629" s="73">
        <f>IF(ISNA(IF(AND(VLOOKUP(CONCATENATE($D1629,$G1629),CSRFinput!$B:$E,4,0)=0,OR(H1629=MappingTables!$C$31,H1629=MappingTables!$C$32)),1,VLOOKUP(CONCATENATE($D1629,$G1629),CSRFinput!$B:$E,4,0))),0,IF(AND(VLOOKUP(CONCATENATE($D1629,$G1629),CSRFinput!$B:$E,4,0)=0,OR(H1629=MappingTables!$C$31,H1629=MappingTables!$C$32)),1,VLOOKUP(CONCATENATE($D1629,$G1629),CSRFinput!$B:$E,4,0)))</f>
        <v>0.054776304963434752</v>
      </c>
      <c r="S1629" s="73">
        <f>IF(B1629="",0,P1629*R1629)</f>
        <v>4.6804491630226112</v>
      </c>
      <c r="T1629" s="85">
        <f>IF(B1629="",0,IF(OR(H1629=MappingTables!$C$34,H1629=MappingTables!$C$35),S1629,0))</f>
        <v>0</v>
      </c>
    </row>
    <row r="1630" spans="2:20" s="0" customFormat="0" ht="15">
      <c r="B1630" s="69" t="s">
        <v>4990</v>
      </c>
      <c r="C1630" s="70" t="s">
        <v>4991</v>
      </c>
      <c r="D1630" s="70" t="s">
        <v>1</v>
      </c>
      <c r="E1630" s="70" t="s">
        <v>1</v>
      </c>
      <c r="F1630" s="70"/>
      <c r="G1630" s="70" t="s">
        <v>61</v>
      </c>
      <c r="H1630" s="70" t="s">
        <v>178</v>
      </c>
      <c r="I1630" s="70" t="s">
        <v>198</v>
      </c>
      <c r="J1630" s="71" t="str">
        <f>IF(OR(I1630=0,I1630=""),"unrated",VLOOKUP(I1630,MappingTables!$B$19:$C$31,2,FALSE))</f>
        <v>unrated</v>
      </c>
      <c r="K1630" s="72">
        <v>390.11320844942952</v>
      </c>
      <c r="L1630" s="70">
        <v>9.2834307399777952</v>
      </c>
      <c r="M1630" s="71">
        <f>IF(L1630&lt;1,1,L1630)</f>
        <v>9.2834307399777952</v>
      </c>
      <c r="N1630" s="70" t="s">
        <v>3288</v>
      </c>
      <c r="O1630" s="71">
        <f>IF(OR(I1630=$A$1,I1630=0),"",IF(N1630=MappingTables!$C$14,VLOOKUP(J1630,ModelParameters!$M$8:$N$15,2,FALSE),IF(N1630=MappingTables!$C$16,VLOOKUP(J1630,ModelParameters!$P$8:$Q$15,2,FALSE),0)))</f>
        <v>1</v>
      </c>
      <c r="P1630" s="73">
        <f>IF(OR(I1630=0,I1630=$A$1),0,MIN(O1630*M1630,1)*K1630)</f>
        <v>390.11320844942952</v>
      </c>
      <c r="Q1630" s="73">
        <f>IF(B1630="",0,IF(OR(H1630=MappingTables!$C$34,H1630=MappingTables!$C$35),P1630,0))</f>
        <v>0</v>
      </c>
      <c r="R1630" s="73">
        <f>IF(ISNA(IF(AND(VLOOKUP(CONCATENATE($D1630,$G1630),CSRFinput!$B:$E,4,0)=0,OR(H1630=MappingTables!$C$31,H1630=MappingTables!$C$32)),1,VLOOKUP(CONCATENATE($D1630,$G1630),CSRFinput!$B:$E,4,0))),0,IF(AND(VLOOKUP(CONCATENATE($D1630,$G1630),CSRFinput!$B:$E,4,0)=0,OR(H1630=MappingTables!$C$31,H1630=MappingTables!$C$32)),1,VLOOKUP(CONCATENATE($D1630,$G1630),CSRFinput!$B:$E,4,0)))</f>
        <v>0.054776304963434752</v>
      </c>
      <c r="S1630" s="73">
        <f>IF(B1630="",0,P1630*R1630)</f>
        <v>21.368960076289944</v>
      </c>
      <c r="T1630" s="85">
        <f>IF(B1630="",0,IF(OR(H1630=MappingTables!$C$34,H1630=MappingTables!$C$35),S1630,0))</f>
        <v>0</v>
      </c>
    </row>
    <row r="1631" spans="2:20" s="0" customFormat="0" ht="15">
      <c r="B1631" s="69" t="s">
        <v>5080</v>
      </c>
      <c r="C1631" s="70" t="s">
        <v>5081</v>
      </c>
      <c r="D1631" s="70" t="s">
        <v>1</v>
      </c>
      <c r="E1631" s="70" t="s">
        <v>1</v>
      </c>
      <c r="F1631" s="70"/>
      <c r="G1631" s="70" t="s">
        <v>61</v>
      </c>
      <c r="H1631" s="70" t="s">
        <v>178</v>
      </c>
      <c r="I1631" s="70" t="s">
        <v>188</v>
      </c>
      <c r="J1631" s="71">
        <f>IF(OR(I1631=0,I1631=""),"unrated",VLOOKUP(I1631,MappingTables!$B$19:$C$31,2,FALSE))</f>
        <v>2</v>
      </c>
      <c r="K1631" s="72">
        <v>8.265308881172176</v>
      </c>
      <c r="L1631" s="70">
        <v>0.068492804979157328</v>
      </c>
      <c r="M1631" s="71">
        <f>IF(L1631&lt;1,1,L1631)</f>
        <v>1</v>
      </c>
      <c r="N1631" s="70" t="s">
        <v>3288</v>
      </c>
      <c r="O1631" s="71">
        <f>IF(OR(I1631=$A$1,I1631=0),"",IF(N1631=MappingTables!$C$14,VLOOKUP(J1631,ModelParameters!$M$8:$N$15,2,FALSE),IF(N1631=MappingTables!$C$16,VLOOKUP(J1631,ModelParameters!$P$8:$Q$15,2,FALSE),0)))</f>
        <v>0.166</v>
      </c>
      <c r="P1631" s="73">
        <f>IF(OR(I1631=0,I1631=$A$1),0,MIN(O1631*M1631,1)*K1631)</f>
        <v>1.3720412742745814</v>
      </c>
      <c r="Q1631" s="73">
        <f>IF(B1631="",0,IF(OR(H1631=MappingTables!$C$34,H1631=MappingTables!$C$35),P1631,0))</f>
        <v>0</v>
      </c>
      <c r="R1631" s="73">
        <f>IF(ISNA(IF(AND(VLOOKUP(CONCATENATE($D1631,$G1631),CSRFinput!$B:$E,4,0)=0,OR(H1631=MappingTables!$C$31,H1631=MappingTables!$C$32)),1,VLOOKUP(CONCATENATE($D1631,$G1631),CSRFinput!$B:$E,4,0))),0,IF(AND(VLOOKUP(CONCATENATE($D1631,$G1631),CSRFinput!$B:$E,4,0)=0,OR(H1631=MappingTables!$C$31,H1631=MappingTables!$C$32)),1,VLOOKUP(CONCATENATE($D1631,$G1631),CSRFinput!$B:$E,4,0)))</f>
        <v>0.054776304963434752</v>
      </c>
      <c r="S1631" s="73">
        <f>IF(B1631="",0,P1631*R1631)</f>
        <v>0.075155351262084096</v>
      </c>
      <c r="T1631" s="85">
        <f>IF(B1631="",0,IF(OR(H1631=MappingTables!$C$34,H1631=MappingTables!$C$35),S1631,0))</f>
        <v>0</v>
      </c>
    </row>
    <row r="1632" spans="2:20" s="0" customFormat="0" ht="15">
      <c r="B1632" s="69" t="s">
        <v>3301</v>
      </c>
      <c r="C1632" s="70" t="s">
        <v>3302</v>
      </c>
      <c r="D1632" s="70" t="s">
        <v>1</v>
      </c>
      <c r="E1632" s="70" t="s">
        <v>1</v>
      </c>
      <c r="F1632" s="70"/>
      <c r="G1632" s="70" t="s">
        <v>61</v>
      </c>
      <c r="H1632" s="70" t="s">
        <v>178</v>
      </c>
      <c r="I1632" s="70" t="s">
        <v>3298</v>
      </c>
      <c r="J1632" s="71">
        <f>IF(OR(I1632=0,I1632=""),"unrated",VLOOKUP(I1632,MappingTables!$B$19:$C$31,2,FALSE))</f>
        <v>6</v>
      </c>
      <c r="K1632" s="72">
        <v>1727.4785525549664</v>
      </c>
      <c r="L1632" s="70">
        <v>0.06849665121364856</v>
      </c>
      <c r="M1632" s="71">
        <f>IF(L1632&lt;1,1,L1632)</f>
        <v>1</v>
      </c>
      <c r="N1632" s="70" t="s">
        <v>3288</v>
      </c>
      <c r="O1632" s="71">
        <f>IF(OR(I1632=$A$1,I1632=0),"",IF(N1632=MappingTables!$C$14,VLOOKUP(J1632,ModelParameters!$M$8:$N$15,2,FALSE),IF(N1632=MappingTables!$C$16,VLOOKUP(J1632,ModelParameters!$P$8:$Q$15,2,FALSE),0)))</f>
        <v>1</v>
      </c>
      <c r="P1632" s="73">
        <f>IF(OR(I1632=0,I1632=$A$1),0,MIN(O1632*M1632,1)*K1632)</f>
        <v>1727.4785525549664</v>
      </c>
      <c r="Q1632" s="73">
        <f>IF(B1632="",0,IF(OR(H1632=MappingTables!$C$34,H1632=MappingTables!$C$35),P1632,0))</f>
        <v>0</v>
      </c>
      <c r="R1632" s="73">
        <f>IF(ISNA(IF(AND(VLOOKUP(CONCATENATE($D1632,$G1632),CSRFinput!$B:$E,4,0)=0,OR(H1632=MappingTables!$C$31,H1632=MappingTables!$C$32)),1,VLOOKUP(CONCATENATE($D1632,$G1632),CSRFinput!$B:$E,4,0))),0,IF(AND(VLOOKUP(CONCATENATE($D1632,$G1632),CSRFinput!$B:$E,4,0)=0,OR(H1632=MappingTables!$C$31,H1632=MappingTables!$C$32)),1,VLOOKUP(CONCATENATE($D1632,$G1632),CSRFinput!$B:$E,4,0)))</f>
        <v>0.054776304963434752</v>
      </c>
      <c r="S1632" s="73">
        <f>IF(B1632="",0,P1632*R1632)</f>
        <v>94.624892012543696</v>
      </c>
      <c r="T1632" s="85">
        <f>IF(B1632="",0,IF(OR(H1632=MappingTables!$C$34,H1632=MappingTables!$C$35),S1632,0))</f>
        <v>0</v>
      </c>
    </row>
    <row r="1633" spans="2:20" s="0" customFormat="0" ht="15">
      <c r="B1633" s="69">
        <v>2644548</v>
      </c>
      <c r="C1633" s="70" t="s">
        <v>5082</v>
      </c>
      <c r="D1633" s="70" t="s">
        <v>1</v>
      </c>
      <c r="E1633" s="70" t="s">
        <v>1</v>
      </c>
      <c r="F1633" s="70"/>
      <c r="G1633" s="70" t="s">
        <v>61</v>
      </c>
      <c r="H1633" s="70" t="s">
        <v>178</v>
      </c>
      <c r="I1633" s="70" t="s">
        <v>198</v>
      </c>
      <c r="J1633" s="71" t="str">
        <f>IF(OR(I1633=0,I1633=""),"unrated",VLOOKUP(I1633,MappingTables!$B$19:$C$31,2,FALSE))</f>
        <v>unrated</v>
      </c>
      <c r="K1633" s="72">
        <v>97.719694537588144</v>
      </c>
      <c r="L1633" s="70">
        <v>0.068492134280707024</v>
      </c>
      <c r="M1633" s="71">
        <f>IF(L1633&lt;1,1,L1633)</f>
        <v>1</v>
      </c>
      <c r="N1633" s="70" t="s">
        <v>3288</v>
      </c>
      <c r="O1633" s="71">
        <f>IF(OR(I1633=$A$1,I1633=0),"",IF(N1633=MappingTables!$C$14,VLOOKUP(J1633,ModelParameters!$M$8:$N$15,2,FALSE),IF(N1633=MappingTables!$C$16,VLOOKUP(J1633,ModelParameters!$P$8:$Q$15,2,FALSE),0)))</f>
        <v>1</v>
      </c>
      <c r="P1633" s="73">
        <f>IF(OR(I1633=0,I1633=$A$1),0,MIN(O1633*M1633,1)*K1633)</f>
        <v>97.719694537588144</v>
      </c>
      <c r="Q1633" s="73">
        <f>IF(B1633="",0,IF(OR(H1633=MappingTables!$C$34,H1633=MappingTables!$C$35),P1633,0))</f>
        <v>0</v>
      </c>
      <c r="R1633" s="73">
        <f>IF(ISNA(IF(AND(VLOOKUP(CONCATENATE($D1633,$G1633),CSRFinput!$B:$E,4,0)=0,OR(H1633=MappingTables!$C$31,H1633=MappingTables!$C$32)),1,VLOOKUP(CONCATENATE($D1633,$G1633),CSRFinput!$B:$E,4,0))),0,IF(AND(VLOOKUP(CONCATENATE($D1633,$G1633),CSRFinput!$B:$E,4,0)=0,OR(H1633=MappingTables!$C$31,H1633=MappingTables!$C$32)),1,VLOOKUP(CONCATENATE($D1633,$G1633),CSRFinput!$B:$E,4,0)))</f>
        <v>0.054776304963434752</v>
      </c>
      <c r="S1633" s="73">
        <f>IF(B1633="",0,P1633*R1633)</f>
        <v>5.3527237889246176</v>
      </c>
      <c r="T1633" s="85">
        <f>IF(B1633="",0,IF(OR(H1633=MappingTables!$C$34,H1633=MappingTables!$C$35),S1633,0))</f>
        <v>0</v>
      </c>
    </row>
    <row r="1634" spans="2:20" s="0" customFormat="0" ht="15">
      <c r="B1634" s="69" t="s">
        <v>4915</v>
      </c>
      <c r="C1634" s="70" t="s">
        <v>4916</v>
      </c>
      <c r="D1634" s="70" t="s">
        <v>1</v>
      </c>
      <c r="E1634" s="70" t="s">
        <v>1</v>
      </c>
      <c r="F1634" s="70"/>
      <c r="G1634" s="70" t="s">
        <v>61</v>
      </c>
      <c r="H1634" s="70" t="s">
        <v>178</v>
      </c>
      <c r="I1634" s="70" t="s">
        <v>3298</v>
      </c>
      <c r="J1634" s="71">
        <f>IF(OR(I1634=0,I1634=""),"unrated",VLOOKUP(I1634,MappingTables!$B$19:$C$31,2,FALSE))</f>
        <v>6</v>
      </c>
      <c r="K1634" s="72">
        <v>50.554019507713168</v>
      </c>
      <c r="L1634" s="70">
        <v>0.068489824205262768</v>
      </c>
      <c r="M1634" s="71">
        <f>IF(L1634&lt;1,1,L1634)</f>
        <v>1</v>
      </c>
      <c r="N1634" s="70" t="s">
        <v>3288</v>
      </c>
      <c r="O1634" s="71">
        <f>IF(OR(I1634=$A$1,I1634=0),"",IF(N1634=MappingTables!$C$14,VLOOKUP(J1634,ModelParameters!$M$8:$N$15,2,FALSE),IF(N1634=MappingTables!$C$16,VLOOKUP(J1634,ModelParameters!$P$8:$Q$15,2,FALSE),0)))</f>
        <v>1</v>
      </c>
      <c r="P1634" s="73">
        <f>IF(OR(I1634=0,I1634=$A$1),0,MIN(O1634*M1634,1)*K1634)</f>
        <v>50.554019507713168</v>
      </c>
      <c r="Q1634" s="73">
        <f>IF(B1634="",0,IF(OR(H1634=MappingTables!$C$34,H1634=MappingTables!$C$35),P1634,0))</f>
        <v>0</v>
      </c>
      <c r="R1634" s="73">
        <f>IF(ISNA(IF(AND(VLOOKUP(CONCATENATE($D1634,$G1634),CSRFinput!$B:$E,4,0)=0,OR(H1634=MappingTables!$C$31,H1634=MappingTables!$C$32)),1,VLOOKUP(CONCATENATE($D1634,$G1634),CSRFinput!$B:$E,4,0))),0,IF(AND(VLOOKUP(CONCATENATE($D1634,$G1634),CSRFinput!$B:$E,4,0)=0,OR(H1634=MappingTables!$C$31,H1634=MappingTables!$C$32)),1,VLOOKUP(CONCATENATE($D1634,$G1634),CSRFinput!$B:$E,4,0)))</f>
        <v>0.054776304963434752</v>
      </c>
      <c r="S1634" s="73">
        <f>IF(B1634="",0,P1634*R1634)</f>
        <v>2.769162389681926</v>
      </c>
      <c r="T1634" s="85">
        <f>IF(B1634="",0,IF(OR(H1634=MappingTables!$C$34,H1634=MappingTables!$C$35),S1634,0))</f>
        <v>0</v>
      </c>
    </row>
    <row r="1635" spans="2:20" s="0" customFormat="0" ht="15">
      <c r="B1635" s="69" t="s">
        <v>5083</v>
      </c>
      <c r="C1635" s="70" t="s">
        <v>5084</v>
      </c>
      <c r="D1635" s="70" t="s">
        <v>1</v>
      </c>
      <c r="E1635" s="70" t="s">
        <v>1</v>
      </c>
      <c r="F1635" s="70"/>
      <c r="G1635" s="70" t="s">
        <v>61</v>
      </c>
      <c r="H1635" s="70" t="s">
        <v>178</v>
      </c>
      <c r="I1635" s="70" t="s">
        <v>184</v>
      </c>
      <c r="J1635" s="71">
        <f>IF(OR(I1635=0,I1635=""),"unrated",VLOOKUP(I1635,MappingTables!$B$19:$C$31,2,FALSE))</f>
        <v>5</v>
      </c>
      <c r="K1635" s="72">
        <v>25.20929864249892</v>
      </c>
      <c r="L1635" s="70">
        <v>0.068491537316889448</v>
      </c>
      <c r="M1635" s="71">
        <f>IF(L1635&lt;1,1,L1635)</f>
        <v>1</v>
      </c>
      <c r="N1635" s="70" t="s">
        <v>3288</v>
      </c>
      <c r="O1635" s="71">
        <f>IF(OR(I1635=$A$1,I1635=0),"",IF(N1635=MappingTables!$C$14,VLOOKUP(J1635,ModelParameters!$M$8:$N$15,2,FALSE),IF(N1635=MappingTables!$C$16,VLOOKUP(J1635,ModelParameters!$P$8:$Q$15,2,FALSE),0)))</f>
        <v>1</v>
      </c>
      <c r="P1635" s="73">
        <f>IF(OR(I1635=0,I1635=$A$1),0,MIN(O1635*M1635,1)*K1635)</f>
        <v>25.20929864249892</v>
      </c>
      <c r="Q1635" s="73">
        <f>IF(B1635="",0,IF(OR(H1635=MappingTables!$C$34,H1635=MappingTables!$C$35),P1635,0))</f>
        <v>0</v>
      </c>
      <c r="R1635" s="73">
        <f>IF(ISNA(IF(AND(VLOOKUP(CONCATENATE($D1635,$G1635),CSRFinput!$B:$E,4,0)=0,OR(H1635=MappingTables!$C$31,H1635=MappingTables!$C$32)),1,VLOOKUP(CONCATENATE($D1635,$G1635),CSRFinput!$B:$E,4,0))),0,IF(AND(VLOOKUP(CONCATENATE($D1635,$G1635),CSRFinput!$B:$E,4,0)=0,OR(H1635=MappingTables!$C$31,H1635=MappingTables!$C$32)),1,VLOOKUP(CONCATENATE($D1635,$G1635),CSRFinput!$B:$E,4,0)))</f>
        <v>0.054776304963434752</v>
      </c>
      <c r="S1635" s="73">
        <f>IF(B1635="",0,P1635*R1635)</f>
        <v>1.3808722303558226</v>
      </c>
      <c r="T1635" s="85">
        <f>IF(B1635="",0,IF(OR(H1635=MappingTables!$C$34,H1635=MappingTables!$C$35),S1635,0))</f>
        <v>0</v>
      </c>
    </row>
    <row r="1636" spans="2:20" s="0" customFormat="0" ht="15">
      <c r="B1636" s="69" t="s">
        <v>5085</v>
      </c>
      <c r="C1636" s="70" t="s">
        <v>5086</v>
      </c>
      <c r="D1636" s="70" t="s">
        <v>1</v>
      </c>
      <c r="E1636" s="70" t="s">
        <v>1</v>
      </c>
      <c r="F1636" s="70"/>
      <c r="G1636" s="70" t="s">
        <v>61</v>
      </c>
      <c r="H1636" s="70" t="s">
        <v>178</v>
      </c>
      <c r="I1636" s="70" t="s">
        <v>184</v>
      </c>
      <c r="J1636" s="71">
        <f>IF(OR(I1636=0,I1636=""),"unrated",VLOOKUP(I1636,MappingTables!$B$19:$C$31,2,FALSE))</f>
        <v>5</v>
      </c>
      <c r="K1636" s="72">
        <v>222.309466668092</v>
      </c>
      <c r="L1636" s="70">
        <v>0.068488263301984456</v>
      </c>
      <c r="M1636" s="71">
        <f>IF(L1636&lt;1,1,L1636)</f>
        <v>1</v>
      </c>
      <c r="N1636" s="70" t="s">
        <v>3288</v>
      </c>
      <c r="O1636" s="71">
        <f>IF(OR(I1636=$A$1,I1636=0),"",IF(N1636=MappingTables!$C$14,VLOOKUP(J1636,ModelParameters!$M$8:$N$15,2,FALSE),IF(N1636=MappingTables!$C$16,VLOOKUP(J1636,ModelParameters!$P$8:$Q$15,2,FALSE),0)))</f>
        <v>1</v>
      </c>
      <c r="P1636" s="73">
        <f>IF(OR(I1636=0,I1636=$A$1),0,MIN(O1636*M1636,1)*K1636)</f>
        <v>222.309466668092</v>
      </c>
      <c r="Q1636" s="73">
        <f>IF(B1636="",0,IF(OR(H1636=MappingTables!$C$34,H1636=MappingTables!$C$35),P1636,0))</f>
        <v>0</v>
      </c>
      <c r="R1636" s="73">
        <f>IF(ISNA(IF(AND(VLOOKUP(CONCATENATE($D1636,$G1636),CSRFinput!$B:$E,4,0)=0,OR(H1636=MappingTables!$C$31,H1636=MappingTables!$C$32)),1,VLOOKUP(CONCATENATE($D1636,$G1636),CSRFinput!$B:$E,4,0))),0,IF(AND(VLOOKUP(CONCATENATE($D1636,$G1636),CSRFinput!$B:$E,4,0)=0,OR(H1636=MappingTables!$C$31,H1636=MappingTables!$C$32)),1,VLOOKUP(CONCATENATE($D1636,$G1636),CSRFinput!$B:$E,4,0)))</f>
        <v>0.054776304963434752</v>
      </c>
      <c r="S1636" s="73">
        <f>IF(B1636="",0,P1636*R1636)</f>
        <v>12.17729114246994</v>
      </c>
      <c r="T1636" s="85">
        <f>IF(B1636="",0,IF(OR(H1636=MappingTables!$C$34,H1636=MappingTables!$C$35),S1636,0))</f>
        <v>0</v>
      </c>
    </row>
    <row r="1637" spans="2:20" s="0" customFormat="0" ht="15">
      <c r="B1637" s="69" t="s">
        <v>5087</v>
      </c>
      <c r="C1637" s="70" t="s">
        <v>5088</v>
      </c>
      <c r="D1637" s="70" t="s">
        <v>1</v>
      </c>
      <c r="E1637" s="70" t="s">
        <v>1</v>
      </c>
      <c r="F1637" s="70"/>
      <c r="G1637" s="70" t="s">
        <v>61</v>
      </c>
      <c r="H1637" s="70" t="s">
        <v>178</v>
      </c>
      <c r="I1637" s="70" t="s">
        <v>198</v>
      </c>
      <c r="J1637" s="71" t="str">
        <f>IF(OR(I1637=0,I1637=""),"unrated",VLOOKUP(I1637,MappingTables!$B$19:$C$31,2,FALSE))</f>
        <v>unrated</v>
      </c>
      <c r="K1637" s="72">
        <v>37.63458689564084</v>
      </c>
      <c r="L1637" s="70">
        <v>0.0684890411663944</v>
      </c>
      <c r="M1637" s="71">
        <f>IF(L1637&lt;1,1,L1637)</f>
        <v>1</v>
      </c>
      <c r="N1637" s="70" t="s">
        <v>3288</v>
      </c>
      <c r="O1637" s="71">
        <f>IF(OR(I1637=$A$1,I1637=0),"",IF(N1637=MappingTables!$C$14,VLOOKUP(J1637,ModelParameters!$M$8:$N$15,2,FALSE),IF(N1637=MappingTables!$C$16,VLOOKUP(J1637,ModelParameters!$P$8:$Q$15,2,FALSE),0)))</f>
        <v>1</v>
      </c>
      <c r="P1637" s="73">
        <f>IF(OR(I1637=0,I1637=$A$1),0,MIN(O1637*M1637,1)*K1637)</f>
        <v>37.63458689564084</v>
      </c>
      <c r="Q1637" s="73">
        <f>IF(B1637="",0,IF(OR(H1637=MappingTables!$C$34,H1637=MappingTables!$C$35),P1637,0))</f>
        <v>0</v>
      </c>
      <c r="R1637" s="73">
        <f>IF(ISNA(IF(AND(VLOOKUP(CONCATENATE($D1637,$G1637),CSRFinput!$B:$E,4,0)=0,OR(H1637=MappingTables!$C$31,H1637=MappingTables!$C$32)),1,VLOOKUP(CONCATENATE($D1637,$G1637),CSRFinput!$B:$E,4,0))),0,IF(AND(VLOOKUP(CONCATENATE($D1637,$G1637),CSRFinput!$B:$E,4,0)=0,OR(H1637=MappingTables!$C$31,H1637=MappingTables!$C$32)),1,VLOOKUP(CONCATENATE($D1637,$G1637),CSRFinput!$B:$E,4,0)))</f>
        <v>0.054776304963434752</v>
      </c>
      <c r="S1637" s="73">
        <f>IF(B1637="",0,P1637*R1637)</f>
        <v>2.061483608968508</v>
      </c>
      <c r="T1637" s="85">
        <f>IF(B1637="",0,IF(OR(H1637=MappingTables!$C$34,H1637=MappingTables!$C$35),S1637,0))</f>
        <v>0</v>
      </c>
    </row>
    <row r="1638" spans="2:20" s="0" customFormat="0" ht="15">
      <c r="B1638" s="69" t="s">
        <v>4838</v>
      </c>
      <c r="C1638" s="70" t="s">
        <v>4839</v>
      </c>
      <c r="D1638" s="70" t="s">
        <v>1</v>
      </c>
      <c r="E1638" s="70" t="s">
        <v>1</v>
      </c>
      <c r="F1638" s="70"/>
      <c r="G1638" s="70" t="s">
        <v>61</v>
      </c>
      <c r="H1638" s="70" t="s">
        <v>178</v>
      </c>
      <c r="I1638" s="70" t="s">
        <v>3298</v>
      </c>
      <c r="J1638" s="71">
        <f>IF(OR(I1638=0,I1638=""),"unrated",VLOOKUP(I1638,MappingTables!$B$19:$C$31,2,FALSE))</f>
        <v>6</v>
      </c>
      <c r="K1638" s="72">
        <v>27.921478281294136</v>
      </c>
      <c r="L1638" s="70">
        <v>0.068489616256894776</v>
      </c>
      <c r="M1638" s="71">
        <f>IF(L1638&lt;1,1,L1638)</f>
        <v>1</v>
      </c>
      <c r="N1638" s="70" t="s">
        <v>3288</v>
      </c>
      <c r="O1638" s="71">
        <f>IF(OR(I1638=$A$1,I1638=0),"",IF(N1638=MappingTables!$C$14,VLOOKUP(J1638,ModelParameters!$M$8:$N$15,2,FALSE),IF(N1638=MappingTables!$C$16,VLOOKUP(J1638,ModelParameters!$P$8:$Q$15,2,FALSE),0)))</f>
        <v>1</v>
      </c>
      <c r="P1638" s="73">
        <f>IF(OR(I1638=0,I1638=$A$1),0,MIN(O1638*M1638,1)*K1638)</f>
        <v>27.921478281294136</v>
      </c>
      <c r="Q1638" s="73">
        <f>IF(B1638="",0,IF(OR(H1638=MappingTables!$C$34,H1638=MappingTables!$C$35),P1638,0))</f>
        <v>0</v>
      </c>
      <c r="R1638" s="73">
        <f>IF(ISNA(IF(AND(VLOOKUP(CONCATENATE($D1638,$G1638),CSRFinput!$B:$E,4,0)=0,OR(H1638=MappingTables!$C$31,H1638=MappingTables!$C$32)),1,VLOOKUP(CONCATENATE($D1638,$G1638),CSRFinput!$B:$E,4,0))),0,IF(AND(VLOOKUP(CONCATENATE($D1638,$G1638),CSRFinput!$B:$E,4,0)=0,OR(H1638=MappingTables!$C$31,H1638=MappingTables!$C$32)),1,VLOOKUP(CONCATENATE($D1638,$G1638),CSRFinput!$B:$E,4,0)))</f>
        <v>0.054776304963434752</v>
      </c>
      <c r="S1638" s="73">
        <f>IF(B1638="",0,P1638*R1638)</f>
        <v>1.5294354093660876</v>
      </c>
      <c r="T1638" s="85">
        <f>IF(B1638="",0,IF(OR(H1638=MappingTables!$C$34,H1638=MappingTables!$C$35),S1638,0))</f>
        <v>0</v>
      </c>
    </row>
    <row r="1639" spans="2:20" s="0" customFormat="0" ht="15">
      <c r="B1639" s="69">
        <v>22554459</v>
      </c>
      <c r="C1639" s="70" t="s">
        <v>4332</v>
      </c>
      <c r="D1639" s="70" t="s">
        <v>1</v>
      </c>
      <c r="E1639" s="70" t="s">
        <v>1</v>
      </c>
      <c r="F1639" s="70"/>
      <c r="G1639" s="70" t="s">
        <v>61</v>
      </c>
      <c r="H1639" s="70" t="s">
        <v>178</v>
      </c>
      <c r="I1639" s="70" t="s">
        <v>188</v>
      </c>
      <c r="J1639" s="71">
        <f>IF(OR(I1639=0,I1639=""),"unrated",VLOOKUP(I1639,MappingTables!$B$19:$C$31,2,FALSE))</f>
        <v>2</v>
      </c>
      <c r="K1639" s="72">
        <v>744.01926914491744</v>
      </c>
      <c r="L1639" s="70">
        <v>0.06849091947167996</v>
      </c>
      <c r="M1639" s="71">
        <f>IF(L1639&lt;1,1,L1639)</f>
        <v>1</v>
      </c>
      <c r="N1639" s="70" t="s">
        <v>3288</v>
      </c>
      <c r="O1639" s="71">
        <f>IF(OR(I1639=$A$1,I1639=0),"",IF(N1639=MappingTables!$C$14,VLOOKUP(J1639,ModelParameters!$M$8:$N$15,2,FALSE),IF(N1639=MappingTables!$C$16,VLOOKUP(J1639,ModelParameters!$P$8:$Q$15,2,FALSE),0)))</f>
        <v>0.166</v>
      </c>
      <c r="P1639" s="73">
        <f>IF(OR(I1639=0,I1639=$A$1),0,MIN(O1639*M1639,1)*K1639)</f>
        <v>123.5071986780563</v>
      </c>
      <c r="Q1639" s="73">
        <f>IF(B1639="",0,IF(OR(H1639=MappingTables!$C$34,H1639=MappingTables!$C$35),P1639,0))</f>
        <v>0</v>
      </c>
      <c r="R1639" s="73">
        <f>IF(ISNA(IF(AND(VLOOKUP(CONCATENATE($D1639,$G1639),CSRFinput!$B:$E,4,0)=0,OR(H1639=MappingTables!$C$31,H1639=MappingTables!$C$32)),1,VLOOKUP(CONCATENATE($D1639,$G1639),CSRFinput!$B:$E,4,0))),0,IF(AND(VLOOKUP(CONCATENATE($D1639,$G1639),CSRFinput!$B:$E,4,0)=0,OR(H1639=MappingTables!$C$31,H1639=MappingTables!$C$32)),1,VLOOKUP(CONCATENATE($D1639,$G1639),CSRFinput!$B:$E,4,0)))</f>
        <v>0.054776304963434752</v>
      </c>
      <c r="S1639" s="73">
        <f>IF(B1639="",0,P1639*R1639)</f>
        <v>6.7652679799687376</v>
      </c>
      <c r="T1639" s="85">
        <f>IF(B1639="",0,IF(OR(H1639=MappingTables!$C$34,H1639=MappingTables!$C$35),S1639,0))</f>
        <v>0</v>
      </c>
    </row>
    <row r="1640" spans="2:20" s="0" customFormat="0" ht="15">
      <c r="B1640" s="69" t="s">
        <v>4656</v>
      </c>
      <c r="C1640" s="70" t="s">
        <v>4657</v>
      </c>
      <c r="D1640" s="70" t="s">
        <v>1</v>
      </c>
      <c r="E1640" s="70" t="s">
        <v>1</v>
      </c>
      <c r="F1640" s="70"/>
      <c r="G1640" s="70" t="s">
        <v>61</v>
      </c>
      <c r="H1640" s="70" t="s">
        <v>178</v>
      </c>
      <c r="I1640" s="70" t="s">
        <v>3291</v>
      </c>
      <c r="J1640" s="71">
        <f>IF(OR(I1640=0,I1640=""),"unrated",VLOOKUP(I1640,MappingTables!$B$19:$C$31,2,FALSE))</f>
        <v>6</v>
      </c>
      <c r="K1640" s="72">
        <v>48.6825636161074</v>
      </c>
      <c r="L1640" s="70">
        <v>0.068491567781767976</v>
      </c>
      <c r="M1640" s="71">
        <f>IF(L1640&lt;1,1,L1640)</f>
        <v>1</v>
      </c>
      <c r="N1640" s="70" t="s">
        <v>3288</v>
      </c>
      <c r="O1640" s="71">
        <f>IF(OR(I1640=$A$1,I1640=0),"",IF(N1640=MappingTables!$C$14,VLOOKUP(J1640,ModelParameters!$M$8:$N$15,2,FALSE),IF(N1640=MappingTables!$C$16,VLOOKUP(J1640,ModelParameters!$P$8:$Q$15,2,FALSE),0)))</f>
        <v>1</v>
      </c>
      <c r="P1640" s="73">
        <f>IF(OR(I1640=0,I1640=$A$1),0,MIN(O1640*M1640,1)*K1640)</f>
        <v>48.6825636161074</v>
      </c>
      <c r="Q1640" s="73">
        <f>IF(B1640="",0,IF(OR(H1640=MappingTables!$C$34,H1640=MappingTables!$C$35),P1640,0))</f>
        <v>0</v>
      </c>
      <c r="R1640" s="73">
        <f>IF(ISNA(IF(AND(VLOOKUP(CONCATENATE($D1640,$G1640),CSRFinput!$B:$E,4,0)=0,OR(H1640=MappingTables!$C$31,H1640=MappingTables!$C$32)),1,VLOOKUP(CONCATENATE($D1640,$G1640),CSRFinput!$B:$E,4,0))),0,IF(AND(VLOOKUP(CONCATENATE($D1640,$G1640),CSRFinput!$B:$E,4,0)=0,OR(H1640=MappingTables!$C$31,H1640=MappingTables!$C$32)),1,VLOOKUP(CONCATENATE($D1640,$G1640),CSRFinput!$B:$E,4,0)))</f>
        <v>0.054776304963434752</v>
      </c>
      <c r="S1640" s="73">
        <f>IF(B1640="",0,P1640*R1640)</f>
        <v>2.666650951037712</v>
      </c>
      <c r="T1640" s="85">
        <f>IF(B1640="",0,IF(OR(H1640=MappingTables!$C$34,H1640=MappingTables!$C$35),S1640,0))</f>
        <v>0</v>
      </c>
    </row>
    <row r="1641" spans="2:20" s="0" customFormat="0" ht="15">
      <c r="B1641" s="69" t="s">
        <v>5089</v>
      </c>
      <c r="C1641" s="70" t="s">
        <v>5090</v>
      </c>
      <c r="D1641" s="70" t="s">
        <v>1</v>
      </c>
      <c r="E1641" s="70" t="s">
        <v>1</v>
      </c>
      <c r="F1641" s="70"/>
      <c r="G1641" s="70" t="s">
        <v>61</v>
      </c>
      <c r="H1641" s="70" t="s">
        <v>178</v>
      </c>
      <c r="I1641" s="70" t="s">
        <v>3298</v>
      </c>
      <c r="J1641" s="71">
        <f>IF(OR(I1641=0,I1641=""),"unrated",VLOOKUP(I1641,MappingTables!$B$19:$C$31,2,FALSE))</f>
        <v>6</v>
      </c>
      <c r="K1641" s="72">
        <v>954.36843857142096</v>
      </c>
      <c r="L1641" s="70">
        <v>-0.28139364630523132</v>
      </c>
      <c r="M1641" s="71">
        <f>IF(L1641&lt;1,1,L1641)</f>
        <v>1</v>
      </c>
      <c r="N1641" s="70" t="s">
        <v>3288</v>
      </c>
      <c r="O1641" s="71">
        <f>IF(OR(I1641=$A$1,I1641=0),"",IF(N1641=MappingTables!$C$14,VLOOKUP(J1641,ModelParameters!$M$8:$N$15,2,FALSE),IF(N1641=MappingTables!$C$16,VLOOKUP(J1641,ModelParameters!$P$8:$Q$15,2,FALSE),0)))</f>
        <v>1</v>
      </c>
      <c r="P1641" s="73">
        <f>IF(OR(I1641=0,I1641=$A$1),0,MIN(O1641*M1641,1)*K1641)</f>
        <v>954.36843857142096</v>
      </c>
      <c r="Q1641" s="73">
        <f>IF(B1641="",0,IF(OR(H1641=MappingTables!$C$34,H1641=MappingTables!$C$35),P1641,0))</f>
        <v>0</v>
      </c>
      <c r="R1641" s="73">
        <f>IF(ISNA(IF(AND(VLOOKUP(CONCATENATE($D1641,$G1641),CSRFinput!$B:$E,4,0)=0,OR(H1641=MappingTables!$C$31,H1641=MappingTables!$C$32)),1,VLOOKUP(CONCATENATE($D1641,$G1641),CSRFinput!$B:$E,4,0))),0,IF(AND(VLOOKUP(CONCATENATE($D1641,$G1641),CSRFinput!$B:$E,4,0)=0,OR(H1641=MappingTables!$C$31,H1641=MappingTables!$C$32)),1,VLOOKUP(CONCATENATE($D1641,$G1641),CSRFinput!$B:$E,4,0)))</f>
        <v>0.054776304963434752</v>
      </c>
      <c r="S1641" s="73">
        <f>IF(B1641="",0,P1641*R1641)</f>
        <v>52.2767766386652</v>
      </c>
      <c r="T1641" s="85">
        <f>IF(B1641="",0,IF(OR(H1641=MappingTables!$C$34,H1641=MappingTables!$C$35),S1641,0))</f>
        <v>0</v>
      </c>
    </row>
    <row r="1642" spans="2:20" s="0" customFormat="0" ht="15">
      <c r="B1642" s="69" t="s">
        <v>3597</v>
      </c>
      <c r="C1642" s="70" t="s">
        <v>3598</v>
      </c>
      <c r="D1642" s="70" t="s">
        <v>1</v>
      </c>
      <c r="E1642" s="70" t="s">
        <v>1</v>
      </c>
      <c r="F1642" s="70"/>
      <c r="G1642" s="70" t="s">
        <v>61</v>
      </c>
      <c r="H1642" s="70" t="s">
        <v>178</v>
      </c>
      <c r="I1642" s="70" t="s">
        <v>204</v>
      </c>
      <c r="J1642" s="71">
        <f>IF(OR(I1642=0,I1642=""),"unrated",VLOOKUP(I1642,MappingTables!$B$19:$C$31,2,FALSE))</f>
        <v>6</v>
      </c>
      <c r="K1642" s="72">
        <v>158.18912464496026</v>
      </c>
      <c r="L1642" s="70">
        <v>0.06849237710398372</v>
      </c>
      <c r="M1642" s="71">
        <f>IF(L1642&lt;1,1,L1642)</f>
        <v>1</v>
      </c>
      <c r="N1642" s="70" t="s">
        <v>3288</v>
      </c>
      <c r="O1642" s="71">
        <f>IF(OR(I1642=$A$1,I1642=0),"",IF(N1642=MappingTables!$C$14,VLOOKUP(J1642,ModelParameters!$M$8:$N$15,2,FALSE),IF(N1642=MappingTables!$C$16,VLOOKUP(J1642,ModelParameters!$P$8:$Q$15,2,FALSE),0)))</f>
        <v>1</v>
      </c>
      <c r="P1642" s="73">
        <f>IF(OR(I1642=0,I1642=$A$1),0,MIN(O1642*M1642,1)*K1642)</f>
        <v>158.18912464496026</v>
      </c>
      <c r="Q1642" s="73">
        <f>IF(B1642="",0,IF(OR(H1642=MappingTables!$C$34,H1642=MappingTables!$C$35),P1642,0))</f>
        <v>0</v>
      </c>
      <c r="R1642" s="73">
        <f>IF(ISNA(IF(AND(VLOOKUP(CONCATENATE($D1642,$G1642),CSRFinput!$B:$E,4,0)=0,OR(H1642=MappingTables!$C$31,H1642=MappingTables!$C$32)),1,VLOOKUP(CONCATENATE($D1642,$G1642),CSRFinput!$B:$E,4,0))),0,IF(AND(VLOOKUP(CONCATENATE($D1642,$G1642),CSRFinput!$B:$E,4,0)=0,OR(H1642=MappingTables!$C$31,H1642=MappingTables!$C$32)),1,VLOOKUP(CONCATENATE($D1642,$G1642),CSRFinput!$B:$E,4,0)))</f>
        <v>0.054776304963434752</v>
      </c>
      <c r="S1642" s="73">
        <f>IF(B1642="",0,P1642*R1642)</f>
        <v>8.6650157334511344</v>
      </c>
      <c r="T1642" s="85">
        <f>IF(B1642="",0,IF(OR(H1642=MappingTables!$C$34,H1642=MappingTables!$C$35),S1642,0))</f>
        <v>0</v>
      </c>
    </row>
    <row r="1643" spans="2:20" s="0" customFormat="0" ht="15">
      <c r="B1643" s="69" t="s">
        <v>4108</v>
      </c>
      <c r="C1643" s="70" t="s">
        <v>4109</v>
      </c>
      <c r="D1643" s="70" t="s">
        <v>1</v>
      </c>
      <c r="E1643" s="70" t="s">
        <v>1</v>
      </c>
      <c r="F1643" s="70"/>
      <c r="G1643" s="70" t="s">
        <v>61</v>
      </c>
      <c r="H1643" s="70" t="s">
        <v>178</v>
      </c>
      <c r="I1643" s="70" t="s">
        <v>198</v>
      </c>
      <c r="J1643" s="71" t="str">
        <f>IF(OR(I1643=0,I1643=""),"unrated",VLOOKUP(I1643,MappingTables!$B$19:$C$31,2,FALSE))</f>
        <v>unrated</v>
      </c>
      <c r="K1643" s="72">
        <v>112.57309225773892</v>
      </c>
      <c r="L1643" s="70">
        <v>0.068496284028704792</v>
      </c>
      <c r="M1643" s="71">
        <f>IF(L1643&lt;1,1,L1643)</f>
        <v>1</v>
      </c>
      <c r="N1643" s="70" t="s">
        <v>3288</v>
      </c>
      <c r="O1643" s="71">
        <f>IF(OR(I1643=$A$1,I1643=0),"",IF(N1643=MappingTables!$C$14,VLOOKUP(J1643,ModelParameters!$M$8:$N$15,2,FALSE),IF(N1643=MappingTables!$C$16,VLOOKUP(J1643,ModelParameters!$P$8:$Q$15,2,FALSE),0)))</f>
        <v>1</v>
      </c>
      <c r="P1643" s="73">
        <f>IF(OR(I1643=0,I1643=$A$1),0,MIN(O1643*M1643,1)*K1643)</f>
        <v>112.57309225773892</v>
      </c>
      <c r="Q1643" s="73">
        <f>IF(B1643="",0,IF(OR(H1643=MappingTables!$C$34,H1643=MappingTables!$C$35),P1643,0))</f>
        <v>0</v>
      </c>
      <c r="R1643" s="73">
        <f>IF(ISNA(IF(AND(VLOOKUP(CONCATENATE($D1643,$G1643),CSRFinput!$B:$E,4,0)=0,OR(H1643=MappingTables!$C$31,H1643=MappingTables!$C$32)),1,VLOOKUP(CONCATENATE($D1643,$G1643),CSRFinput!$B:$E,4,0))),0,IF(AND(VLOOKUP(CONCATENATE($D1643,$G1643),CSRFinput!$B:$E,4,0)=0,OR(H1643=MappingTables!$C$31,H1643=MappingTables!$C$32)),1,VLOOKUP(CONCATENATE($D1643,$G1643),CSRFinput!$B:$E,4,0)))</f>
        <v>0.054776304963434752</v>
      </c>
      <c r="S1643" s="73">
        <f>IF(B1643="",0,P1643*R1643)</f>
        <v>6.1663380321867824</v>
      </c>
      <c r="T1643" s="85">
        <f>IF(B1643="",0,IF(OR(H1643=MappingTables!$C$34,H1643=MappingTables!$C$35),S1643,0))</f>
        <v>0</v>
      </c>
    </row>
    <row r="1644" spans="2:20" s="0" customFormat="0" ht="15">
      <c r="B1644" s="69">
        <v>18037285</v>
      </c>
      <c r="C1644" s="70" t="s">
        <v>3981</v>
      </c>
      <c r="D1644" s="70" t="s">
        <v>1</v>
      </c>
      <c r="E1644" s="70" t="s">
        <v>1</v>
      </c>
      <c r="F1644" s="70"/>
      <c r="G1644" s="70" t="s">
        <v>61</v>
      </c>
      <c r="H1644" s="70" t="s">
        <v>178</v>
      </c>
      <c r="I1644" s="70" t="s">
        <v>216</v>
      </c>
      <c r="J1644" s="71">
        <f>IF(OR(I1644=0,I1644=""),"unrated",VLOOKUP(I1644,MappingTables!$B$19:$C$31,2,FALSE))</f>
        <v>0</v>
      </c>
      <c r="K1644" s="72">
        <v>345.09250444183472</v>
      </c>
      <c r="L1644" s="70">
        <v>0.0174965872404408</v>
      </c>
      <c r="M1644" s="71">
        <f>IF(L1644&lt;1,1,L1644)</f>
        <v>1</v>
      </c>
      <c r="N1644" s="70" t="s">
        <v>3288</v>
      </c>
      <c r="O1644" s="71">
        <f>IF(OR(I1644=$A$1,I1644=0),"",IF(N1644=MappingTables!$C$14,VLOOKUP(J1644,ModelParameters!$M$8:$N$15,2,FALSE),IF(N1644=MappingTables!$C$16,VLOOKUP(J1644,ModelParameters!$P$8:$Q$15,2,FALSE),0)))</f>
        <v>0.125</v>
      </c>
      <c r="P1644" s="73">
        <f>IF(OR(I1644=0,I1644=$A$1),0,MIN(O1644*M1644,1)*K1644)</f>
        <v>43.136563055229336</v>
      </c>
      <c r="Q1644" s="73">
        <f>IF(B1644="",0,IF(OR(H1644=MappingTables!$C$34,H1644=MappingTables!$C$35),P1644,0))</f>
        <v>0</v>
      </c>
      <c r="R1644" s="73">
        <f>IF(ISNA(IF(AND(VLOOKUP(CONCATENATE($D1644,$G1644),CSRFinput!$B:$E,4,0)=0,OR(H1644=MappingTables!$C$31,H1644=MappingTables!$C$32)),1,VLOOKUP(CONCATENATE($D1644,$G1644),CSRFinput!$B:$E,4,0))),0,IF(AND(VLOOKUP(CONCATENATE($D1644,$G1644),CSRFinput!$B:$E,4,0)=0,OR(H1644=MappingTables!$C$31,H1644=MappingTables!$C$32)),1,VLOOKUP(CONCATENATE($D1644,$G1644),CSRFinput!$B:$E,4,0)))</f>
        <v>0.054776304963434752</v>
      </c>
      <c r="S1644" s="73">
        <f>IF(B1644="",0,P1644*R1644)</f>
        <v>2.3628615329876748</v>
      </c>
      <c r="T1644" s="85">
        <f>IF(B1644="",0,IF(OR(H1644=MappingTables!$C$34,H1644=MappingTables!$C$35),S1644,0))</f>
        <v>0</v>
      </c>
    </row>
    <row r="1645" spans="2:20" s="0" customFormat="0" ht="15">
      <c r="B1645" s="69" t="s">
        <v>3514</v>
      </c>
      <c r="C1645" s="70" t="s">
        <v>3515</v>
      </c>
      <c r="D1645" s="70" t="s">
        <v>1</v>
      </c>
      <c r="E1645" s="70" t="s">
        <v>1</v>
      </c>
      <c r="F1645" s="70"/>
      <c r="G1645" s="70" t="s">
        <v>61</v>
      </c>
      <c r="H1645" s="70" t="s">
        <v>178</v>
      </c>
      <c r="I1645" s="70" t="s">
        <v>198</v>
      </c>
      <c r="J1645" s="71" t="str">
        <f>IF(OR(I1645=0,I1645=""),"unrated",VLOOKUP(I1645,MappingTables!$B$19:$C$31,2,FALSE))</f>
        <v>unrated</v>
      </c>
      <c r="K1645" s="72">
        <v>2.0300243805298416</v>
      </c>
      <c r="L1645" s="70">
        <v>8.0923870193885536</v>
      </c>
      <c r="M1645" s="71">
        <f>IF(L1645&lt;1,1,L1645)</f>
        <v>8.0923870193885536</v>
      </c>
      <c r="N1645" s="70" t="s">
        <v>3288</v>
      </c>
      <c r="O1645" s="71">
        <f>IF(OR(I1645=$A$1,I1645=0),"",IF(N1645=MappingTables!$C$14,VLOOKUP(J1645,ModelParameters!$M$8:$N$15,2,FALSE),IF(N1645=MappingTables!$C$16,VLOOKUP(J1645,ModelParameters!$P$8:$Q$15,2,FALSE),0)))</f>
        <v>1</v>
      </c>
      <c r="P1645" s="73">
        <f>IF(OR(I1645=0,I1645=$A$1),0,MIN(O1645*M1645,1)*K1645)</f>
        <v>2.0300243805298416</v>
      </c>
      <c r="Q1645" s="73">
        <f>IF(B1645="",0,IF(OR(H1645=MappingTables!$C$34,H1645=MappingTables!$C$35),P1645,0))</f>
        <v>0</v>
      </c>
      <c r="R1645" s="73">
        <f>IF(ISNA(IF(AND(VLOOKUP(CONCATENATE($D1645,$G1645),CSRFinput!$B:$E,4,0)=0,OR(H1645=MappingTables!$C$31,H1645=MappingTables!$C$32)),1,VLOOKUP(CONCATENATE($D1645,$G1645),CSRFinput!$B:$E,4,0))),0,IF(AND(VLOOKUP(CONCATENATE($D1645,$G1645),CSRFinput!$B:$E,4,0)=0,OR(H1645=MappingTables!$C$31,H1645=MappingTables!$C$32)),1,VLOOKUP(CONCATENATE($D1645,$G1645),CSRFinput!$B:$E,4,0)))</f>
        <v>0.054776304963434752</v>
      </c>
      <c r="S1645" s="73">
        <f>IF(B1645="",0,P1645*R1645)</f>
        <v>0.11119723455111032</v>
      </c>
      <c r="T1645" s="85">
        <f>IF(B1645="",0,IF(OR(H1645=MappingTables!$C$34,H1645=MappingTables!$C$35),S1645,0))</f>
        <v>0</v>
      </c>
    </row>
    <row r="1646" spans="2:20" s="0" customFormat="0" ht="15">
      <c r="B1646" s="69" t="s">
        <v>5091</v>
      </c>
      <c r="C1646" s="70" t="s">
        <v>5092</v>
      </c>
      <c r="D1646" s="70" t="s">
        <v>1</v>
      </c>
      <c r="E1646" s="70" t="s">
        <v>1</v>
      </c>
      <c r="F1646" s="70"/>
      <c r="G1646" s="70" t="s">
        <v>61</v>
      </c>
      <c r="H1646" s="70" t="s">
        <v>178</v>
      </c>
      <c r="I1646" s="70" t="s">
        <v>198</v>
      </c>
      <c r="J1646" s="71" t="str">
        <f>IF(OR(I1646=0,I1646=""),"unrated",VLOOKUP(I1646,MappingTables!$B$19:$C$31,2,FALSE))</f>
        <v>unrated</v>
      </c>
      <c r="K1646" s="72">
        <v>3210.8566363675904</v>
      </c>
      <c r="L1646" s="70">
        <v>39.81330579040676</v>
      </c>
      <c r="M1646" s="71">
        <f>IF(L1646&lt;1,1,L1646)</f>
        <v>39.81330579040676</v>
      </c>
      <c r="N1646" s="70" t="s">
        <v>3288</v>
      </c>
      <c r="O1646" s="71">
        <f>IF(OR(I1646=$A$1,I1646=0),"",IF(N1646=MappingTables!$C$14,VLOOKUP(J1646,ModelParameters!$M$8:$N$15,2,FALSE),IF(N1646=MappingTables!$C$16,VLOOKUP(J1646,ModelParameters!$P$8:$Q$15,2,FALSE),0)))</f>
        <v>1</v>
      </c>
      <c r="P1646" s="73">
        <f>IF(OR(I1646=0,I1646=$A$1),0,MIN(O1646*M1646,1)*K1646)</f>
        <v>3210.8566363675904</v>
      </c>
      <c r="Q1646" s="73">
        <f>IF(B1646="",0,IF(OR(H1646=MappingTables!$C$34,H1646=MappingTables!$C$35),P1646,0))</f>
        <v>0</v>
      </c>
      <c r="R1646" s="73">
        <f>IF(ISNA(IF(AND(VLOOKUP(CONCATENATE($D1646,$G1646),CSRFinput!$B:$E,4,0)=0,OR(H1646=MappingTables!$C$31,H1646=MappingTables!$C$32)),1,VLOOKUP(CONCATENATE($D1646,$G1646),CSRFinput!$B:$E,4,0))),0,IF(AND(VLOOKUP(CONCATENATE($D1646,$G1646),CSRFinput!$B:$E,4,0)=0,OR(H1646=MappingTables!$C$31,H1646=MappingTables!$C$32)),1,VLOOKUP(CONCATENATE($D1646,$G1646),CSRFinput!$B:$E,4,0)))</f>
        <v>0.054776304963434752</v>
      </c>
      <c r="S1646" s="73">
        <f>IF(B1646="",0,P1646*R1646)</f>
        <v>175.87886230753946</v>
      </c>
      <c r="T1646" s="85">
        <f>IF(B1646="",0,IF(OR(H1646=MappingTables!$C$34,H1646=MappingTables!$C$35),S1646,0))</f>
        <v>0</v>
      </c>
    </row>
    <row r="1647" spans="2:20" s="0" customFormat="0" ht="15">
      <c r="B1647" s="69">
        <v>7065952</v>
      </c>
      <c r="C1647" s="70" t="s">
        <v>3365</v>
      </c>
      <c r="D1647" s="70" t="s">
        <v>1</v>
      </c>
      <c r="E1647" s="70" t="s">
        <v>1</v>
      </c>
      <c r="F1647" s="70"/>
      <c r="G1647" s="70" t="s">
        <v>61</v>
      </c>
      <c r="H1647" s="70" t="s">
        <v>178</v>
      </c>
      <c r="I1647" s="70" t="s">
        <v>216</v>
      </c>
      <c r="J1647" s="71">
        <f>IF(OR(I1647=0,I1647=""),"unrated",VLOOKUP(I1647,MappingTables!$B$19:$C$31,2,FALSE))</f>
        <v>0</v>
      </c>
      <c r="K1647" s="72">
        <v>2.4956044009832396</v>
      </c>
      <c r="L1647" s="70">
        <v>0.075083565040908368</v>
      </c>
      <c r="M1647" s="71">
        <f>IF(L1647&lt;1,1,L1647)</f>
        <v>1</v>
      </c>
      <c r="N1647" s="70" t="s">
        <v>3288</v>
      </c>
      <c r="O1647" s="71">
        <f>IF(OR(I1647=$A$1,I1647=0),"",IF(N1647=MappingTables!$C$14,VLOOKUP(J1647,ModelParameters!$M$8:$N$15,2,FALSE),IF(N1647=MappingTables!$C$16,VLOOKUP(J1647,ModelParameters!$P$8:$Q$15,2,FALSE),0)))</f>
        <v>0.125</v>
      </c>
      <c r="P1647" s="73">
        <f>IF(OR(I1647=0,I1647=$A$1),0,MIN(O1647*M1647,1)*K1647)</f>
        <v>0.31195055012290496</v>
      </c>
      <c r="Q1647" s="73">
        <f>IF(B1647="",0,IF(OR(H1647=MappingTables!$C$34,H1647=MappingTables!$C$35),P1647,0))</f>
        <v>0</v>
      </c>
      <c r="R1647" s="73">
        <f>IF(ISNA(IF(AND(VLOOKUP(CONCATENATE($D1647,$G1647),CSRFinput!$B:$E,4,0)=0,OR(H1647=MappingTables!$C$31,H1647=MappingTables!$C$32)),1,VLOOKUP(CONCATENATE($D1647,$G1647),CSRFinput!$B:$E,4,0))),0,IF(AND(VLOOKUP(CONCATENATE($D1647,$G1647),CSRFinput!$B:$E,4,0)=0,OR(H1647=MappingTables!$C$31,H1647=MappingTables!$C$32)),1,VLOOKUP(CONCATENATE($D1647,$G1647),CSRFinput!$B:$E,4,0)))</f>
        <v>0.054776304963434752</v>
      </c>
      <c r="S1647" s="73">
        <f>IF(B1647="",0,P1647*R1647)</f>
        <v>0.01708749846704348</v>
      </c>
      <c r="T1647" s="85">
        <f>IF(B1647="",0,IF(OR(H1647=MappingTables!$C$34,H1647=MappingTables!$C$35),S1647,0))</f>
        <v>0</v>
      </c>
    </row>
    <row r="1648" spans="2:20" s="0" customFormat="0" ht="15">
      <c r="B1648" s="69">
        <v>23207343</v>
      </c>
      <c r="C1648" s="70" t="s">
        <v>4514</v>
      </c>
      <c r="D1648" s="70" t="s">
        <v>1</v>
      </c>
      <c r="E1648" s="70" t="s">
        <v>1</v>
      </c>
      <c r="F1648" s="70"/>
      <c r="G1648" s="70" t="s">
        <v>61</v>
      </c>
      <c r="H1648" s="70" t="s">
        <v>178</v>
      </c>
      <c r="I1648" s="70" t="s">
        <v>3298</v>
      </c>
      <c r="J1648" s="71">
        <f>IF(OR(I1648=0,I1648=""),"unrated",VLOOKUP(I1648,MappingTables!$B$19:$C$31,2,FALSE))</f>
        <v>6</v>
      </c>
      <c r="K1648" s="72">
        <v>2313.5286137799044</v>
      </c>
      <c r="L1648" s="70">
        <v>0.068486524284882168</v>
      </c>
      <c r="M1648" s="71">
        <f>IF(L1648&lt;1,1,L1648)</f>
        <v>1</v>
      </c>
      <c r="N1648" s="70" t="s">
        <v>3288</v>
      </c>
      <c r="O1648" s="71">
        <f>IF(OR(I1648=$A$1,I1648=0),"",IF(N1648=MappingTables!$C$14,VLOOKUP(J1648,ModelParameters!$M$8:$N$15,2,FALSE),IF(N1648=MappingTables!$C$16,VLOOKUP(J1648,ModelParameters!$P$8:$Q$15,2,FALSE),0)))</f>
        <v>1</v>
      </c>
      <c r="P1648" s="73">
        <f>IF(OR(I1648=0,I1648=$A$1),0,MIN(O1648*M1648,1)*K1648)</f>
        <v>2313.5286137799044</v>
      </c>
      <c r="Q1648" s="73">
        <f>IF(B1648="",0,IF(OR(H1648=MappingTables!$C$34,H1648=MappingTables!$C$35),P1648,0))</f>
        <v>0</v>
      </c>
      <c r="R1648" s="73">
        <f>IF(ISNA(IF(AND(VLOOKUP(CONCATENATE($D1648,$G1648),CSRFinput!$B:$E,4,0)=0,OR(H1648=MappingTables!$C$31,H1648=MappingTables!$C$32)),1,VLOOKUP(CONCATENATE($D1648,$G1648),CSRFinput!$B:$E,4,0))),0,IF(AND(VLOOKUP(CONCATENATE($D1648,$G1648),CSRFinput!$B:$E,4,0)=0,OR(H1648=MappingTables!$C$31,H1648=MappingTables!$C$32)),1,VLOOKUP(CONCATENATE($D1648,$G1648),CSRFinput!$B:$E,4,0)))</f>
        <v>0.054776304963434752</v>
      </c>
      <c r="S1648" s="73">
        <f>IF(B1648="",0,P1648*R1648)</f>
        <v>126.7265488900405</v>
      </c>
      <c r="T1648" s="85">
        <f>IF(B1648="",0,IF(OR(H1648=MappingTables!$C$34,H1648=MappingTables!$C$35),S1648,0))</f>
        <v>0</v>
      </c>
    </row>
    <row r="1649" spans="2:20" s="0" customFormat="0" ht="15">
      <c r="B1649" s="69" t="s">
        <v>4240</v>
      </c>
      <c r="C1649" s="70" t="s">
        <v>4241</v>
      </c>
      <c r="D1649" s="70" t="s">
        <v>1</v>
      </c>
      <c r="E1649" s="70" t="s">
        <v>1</v>
      </c>
      <c r="F1649" s="70"/>
      <c r="G1649" s="70" t="s">
        <v>61</v>
      </c>
      <c r="H1649" s="70" t="s">
        <v>178</v>
      </c>
      <c r="I1649" s="70" t="s">
        <v>198</v>
      </c>
      <c r="J1649" s="71" t="str">
        <f>IF(OR(I1649=0,I1649=""),"unrated",VLOOKUP(I1649,MappingTables!$B$19:$C$31,2,FALSE))</f>
        <v>unrated</v>
      </c>
      <c r="K1649" s="72">
        <v>259.30976699716568</v>
      </c>
      <c r="L1649" s="70">
        <v>9.4444455421181696</v>
      </c>
      <c r="M1649" s="71">
        <f>IF(L1649&lt;1,1,L1649)</f>
        <v>9.4444455421181696</v>
      </c>
      <c r="N1649" s="70" t="s">
        <v>3288</v>
      </c>
      <c r="O1649" s="71">
        <f>IF(OR(I1649=$A$1,I1649=0),"",IF(N1649=MappingTables!$C$14,VLOOKUP(J1649,ModelParameters!$M$8:$N$15,2,FALSE),IF(N1649=MappingTables!$C$16,VLOOKUP(J1649,ModelParameters!$P$8:$Q$15,2,FALSE),0)))</f>
        <v>1</v>
      </c>
      <c r="P1649" s="73">
        <f>IF(OR(I1649=0,I1649=$A$1),0,MIN(O1649*M1649,1)*K1649)</f>
        <v>259.30976699716568</v>
      </c>
      <c r="Q1649" s="73">
        <f>IF(B1649="",0,IF(OR(H1649=MappingTables!$C$34,H1649=MappingTables!$C$35),P1649,0))</f>
        <v>0</v>
      </c>
      <c r="R1649" s="73">
        <f>IF(ISNA(IF(AND(VLOOKUP(CONCATENATE($D1649,$G1649),CSRFinput!$B:$E,4,0)=0,OR(H1649=MappingTables!$C$31,H1649=MappingTables!$C$32)),1,VLOOKUP(CONCATENATE($D1649,$G1649),CSRFinput!$B:$E,4,0))),0,IF(AND(VLOOKUP(CONCATENATE($D1649,$G1649),CSRFinput!$B:$E,4,0)=0,OR(H1649=MappingTables!$C$31,H1649=MappingTables!$C$32)),1,VLOOKUP(CONCATENATE($D1649,$G1649),CSRFinput!$B:$E,4,0)))</f>
        <v>0.054776304963434752</v>
      </c>
      <c r="S1649" s="73">
        <f>IF(B1649="",0,P1649*R1649)</f>
        <v>14.204030877033956</v>
      </c>
      <c r="T1649" s="85">
        <f>IF(B1649="",0,IF(OR(H1649=MappingTables!$C$34,H1649=MappingTables!$C$35),S1649,0))</f>
        <v>0</v>
      </c>
    </row>
    <row r="1650" spans="2:20" s="0" customFormat="0" ht="15">
      <c r="B1650" s="69" t="s">
        <v>5093</v>
      </c>
      <c r="C1650" s="70" t="s">
        <v>5094</v>
      </c>
      <c r="D1650" s="70" t="s">
        <v>1</v>
      </c>
      <c r="E1650" s="70" t="s">
        <v>1</v>
      </c>
      <c r="F1650" s="70"/>
      <c r="G1650" s="70" t="s">
        <v>61</v>
      </c>
      <c r="H1650" s="70" t="s">
        <v>178</v>
      </c>
      <c r="I1650" s="70" t="s">
        <v>198</v>
      </c>
      <c r="J1650" s="71" t="str">
        <f>IF(OR(I1650=0,I1650=""),"unrated",VLOOKUP(I1650,MappingTables!$B$19:$C$31,2,FALSE))</f>
        <v>unrated</v>
      </c>
      <c r="K1650" s="72">
        <v>80.15641791544712</v>
      </c>
      <c r="L1650" s="70">
        <v>9.1001341785050848</v>
      </c>
      <c r="M1650" s="71">
        <f>IF(L1650&lt;1,1,L1650)</f>
        <v>9.1001341785050848</v>
      </c>
      <c r="N1650" s="70" t="s">
        <v>3288</v>
      </c>
      <c r="O1650" s="71">
        <f>IF(OR(I1650=$A$1,I1650=0),"",IF(N1650=MappingTables!$C$14,VLOOKUP(J1650,ModelParameters!$M$8:$N$15,2,FALSE),IF(N1650=MappingTables!$C$16,VLOOKUP(J1650,ModelParameters!$P$8:$Q$15,2,FALSE),0)))</f>
        <v>1</v>
      </c>
      <c r="P1650" s="73">
        <f>IF(OR(I1650=0,I1650=$A$1),0,MIN(O1650*M1650,1)*K1650)</f>
        <v>80.15641791544712</v>
      </c>
      <c r="Q1650" s="73">
        <f>IF(B1650="",0,IF(OR(H1650=MappingTables!$C$34,H1650=MappingTables!$C$35),P1650,0))</f>
        <v>0</v>
      </c>
      <c r="R1650" s="73">
        <f>IF(ISNA(IF(AND(VLOOKUP(CONCATENATE($D1650,$G1650),CSRFinput!$B:$E,4,0)=0,OR(H1650=MappingTables!$C$31,H1650=MappingTables!$C$32)),1,VLOOKUP(CONCATENATE($D1650,$G1650),CSRFinput!$B:$E,4,0))),0,IF(AND(VLOOKUP(CONCATENATE($D1650,$G1650),CSRFinput!$B:$E,4,0)=0,OR(H1650=MappingTables!$C$31,H1650=MappingTables!$C$32)),1,VLOOKUP(CONCATENATE($D1650,$G1650),CSRFinput!$B:$E,4,0)))</f>
        <v>0.054776304963434752</v>
      </c>
      <c r="S1650" s="73">
        <f>IF(B1650="",0,P1650*R1650)</f>
        <v>4.390672392513056</v>
      </c>
      <c r="T1650" s="85">
        <f>IF(B1650="",0,IF(OR(H1650=MappingTables!$C$34,H1650=MappingTables!$C$35),S1650,0))</f>
        <v>0</v>
      </c>
    </row>
    <row r="1651" spans="2:20" s="0" customFormat="0" ht="15">
      <c r="B1651" s="69" t="s">
        <v>3769</v>
      </c>
      <c r="C1651" s="70" t="s">
        <v>3770</v>
      </c>
      <c r="D1651" s="70" t="s">
        <v>1</v>
      </c>
      <c r="E1651" s="70" t="s">
        <v>1</v>
      </c>
      <c r="F1651" s="70"/>
      <c r="G1651" s="70" t="s">
        <v>61</v>
      </c>
      <c r="H1651" s="70" t="s">
        <v>178</v>
      </c>
      <c r="I1651" s="70" t="s">
        <v>184</v>
      </c>
      <c r="J1651" s="71">
        <f>IF(OR(I1651=0,I1651=""),"unrated",VLOOKUP(I1651,MappingTables!$B$19:$C$31,2,FALSE))</f>
        <v>5</v>
      </c>
      <c r="K1651" s="72">
        <v>159.8580595227734</v>
      </c>
      <c r="L1651" s="70">
        <v>0.068491047159025664</v>
      </c>
      <c r="M1651" s="71">
        <f>IF(L1651&lt;1,1,L1651)</f>
        <v>1</v>
      </c>
      <c r="N1651" s="70" t="s">
        <v>3288</v>
      </c>
      <c r="O1651" s="71">
        <f>IF(OR(I1651=$A$1,I1651=0),"",IF(N1651=MappingTables!$C$14,VLOOKUP(J1651,ModelParameters!$M$8:$N$15,2,FALSE),IF(N1651=MappingTables!$C$16,VLOOKUP(J1651,ModelParameters!$P$8:$Q$15,2,FALSE),0)))</f>
        <v>1</v>
      </c>
      <c r="P1651" s="73">
        <f>IF(OR(I1651=0,I1651=$A$1),0,MIN(O1651*M1651,1)*K1651)</f>
        <v>159.8580595227734</v>
      </c>
      <c r="Q1651" s="73">
        <f>IF(B1651="",0,IF(OR(H1651=MappingTables!$C$34,H1651=MappingTables!$C$35),P1651,0))</f>
        <v>0</v>
      </c>
      <c r="R1651" s="73">
        <f>IF(ISNA(IF(AND(VLOOKUP(CONCATENATE($D1651,$G1651),CSRFinput!$B:$E,4,0)=0,OR(H1651=MappingTables!$C$31,H1651=MappingTables!$C$32)),1,VLOOKUP(CONCATENATE($D1651,$G1651),CSRFinput!$B:$E,4,0))),0,IF(AND(VLOOKUP(CONCATENATE($D1651,$G1651),CSRFinput!$B:$E,4,0)=0,OR(H1651=MappingTables!$C$31,H1651=MappingTables!$C$32)),1,VLOOKUP(CONCATENATE($D1651,$G1651),CSRFinput!$B:$E,4,0)))</f>
        <v>0.054776304963434752</v>
      </c>
      <c r="S1651" s="73">
        <f>IF(B1651="",0,P1651*R1651)</f>
        <v>8.7564338192823408</v>
      </c>
      <c r="T1651" s="85">
        <f>IF(B1651="",0,IF(OR(H1651=MappingTables!$C$34,H1651=MappingTables!$C$35),S1651,0))</f>
        <v>0</v>
      </c>
    </row>
    <row r="1652" spans="2:20" s="0" customFormat="0" ht="15">
      <c r="B1652" s="69" t="s">
        <v>4164</v>
      </c>
      <c r="C1652" s="70" t="s">
        <v>4165</v>
      </c>
      <c r="D1652" s="70" t="s">
        <v>1</v>
      </c>
      <c r="E1652" s="70" t="s">
        <v>1</v>
      </c>
      <c r="F1652" s="70"/>
      <c r="G1652" s="70" t="s">
        <v>61</v>
      </c>
      <c r="H1652" s="70" t="s">
        <v>178</v>
      </c>
      <c r="I1652" s="70" t="s">
        <v>198</v>
      </c>
      <c r="J1652" s="71" t="str">
        <f>IF(OR(I1652=0,I1652=""),"unrated",VLOOKUP(I1652,MappingTables!$B$19:$C$31,2,FALSE))</f>
        <v>unrated</v>
      </c>
      <c r="K1652" s="72">
        <v>166.84886655900456</v>
      </c>
      <c r="L1652" s="70">
        <v>0.068492023100306096</v>
      </c>
      <c r="M1652" s="71">
        <f>IF(L1652&lt;1,1,L1652)</f>
        <v>1</v>
      </c>
      <c r="N1652" s="70" t="s">
        <v>3288</v>
      </c>
      <c r="O1652" s="71">
        <f>IF(OR(I1652=$A$1,I1652=0),"",IF(N1652=MappingTables!$C$14,VLOOKUP(J1652,ModelParameters!$M$8:$N$15,2,FALSE),IF(N1652=MappingTables!$C$16,VLOOKUP(J1652,ModelParameters!$P$8:$Q$15,2,FALSE),0)))</f>
        <v>1</v>
      </c>
      <c r="P1652" s="73">
        <f>IF(OR(I1652=0,I1652=$A$1),0,MIN(O1652*M1652,1)*K1652)</f>
        <v>166.84886655900456</v>
      </c>
      <c r="Q1652" s="73">
        <f>IF(B1652="",0,IF(OR(H1652=MappingTables!$C$34,H1652=MappingTables!$C$35),P1652,0))</f>
        <v>0</v>
      </c>
      <c r="R1652" s="73">
        <f>IF(ISNA(IF(AND(VLOOKUP(CONCATENATE($D1652,$G1652),CSRFinput!$B:$E,4,0)=0,OR(H1652=MappingTables!$C$31,H1652=MappingTables!$C$32)),1,VLOOKUP(CONCATENATE($D1652,$G1652),CSRFinput!$B:$E,4,0))),0,IF(AND(VLOOKUP(CONCATENATE($D1652,$G1652),CSRFinput!$B:$E,4,0)=0,OR(H1652=MappingTables!$C$31,H1652=MappingTables!$C$32)),1,VLOOKUP(CONCATENATE($D1652,$G1652),CSRFinput!$B:$E,4,0)))</f>
        <v>0.054776304963434752</v>
      </c>
      <c r="S1652" s="73">
        <f>IF(B1652="",0,P1652*R1652)</f>
        <v>9.1393643974394656</v>
      </c>
      <c r="T1652" s="85">
        <f>IF(B1652="",0,IF(OR(H1652=MappingTables!$C$34,H1652=MappingTables!$C$35),S1652,0))</f>
        <v>0</v>
      </c>
    </row>
    <row r="1653" spans="2:20" s="0" customFormat="0" ht="15">
      <c r="B1653" s="69" t="s">
        <v>4859</v>
      </c>
      <c r="C1653" s="70" t="s">
        <v>4860</v>
      </c>
      <c r="D1653" s="70" t="s">
        <v>1</v>
      </c>
      <c r="E1653" s="70" t="s">
        <v>1</v>
      </c>
      <c r="F1653" s="70"/>
      <c r="G1653" s="70" t="s">
        <v>61</v>
      </c>
      <c r="H1653" s="70" t="s">
        <v>178</v>
      </c>
      <c r="I1653" s="70" t="s">
        <v>204</v>
      </c>
      <c r="J1653" s="71">
        <f>IF(OR(I1653=0,I1653=""),"unrated",VLOOKUP(I1653,MappingTables!$B$19:$C$31,2,FALSE))</f>
        <v>6</v>
      </c>
      <c r="K1653" s="72">
        <v>39.060366673034184</v>
      </c>
      <c r="L1653" s="70">
        <v>0.048224314899915304</v>
      </c>
      <c r="M1653" s="71">
        <f>IF(L1653&lt;1,1,L1653)</f>
        <v>1</v>
      </c>
      <c r="N1653" s="70" t="s">
        <v>3288</v>
      </c>
      <c r="O1653" s="71">
        <f>IF(OR(I1653=$A$1,I1653=0),"",IF(N1653=MappingTables!$C$14,VLOOKUP(J1653,ModelParameters!$M$8:$N$15,2,FALSE),IF(N1653=MappingTables!$C$16,VLOOKUP(J1653,ModelParameters!$P$8:$Q$15,2,FALSE),0)))</f>
        <v>1</v>
      </c>
      <c r="P1653" s="73">
        <f>IF(OR(I1653=0,I1653=$A$1),0,MIN(O1653*M1653,1)*K1653)</f>
        <v>39.060366673034184</v>
      </c>
      <c r="Q1653" s="73">
        <f>IF(B1653="",0,IF(OR(H1653=MappingTables!$C$34,H1653=MappingTables!$C$35),P1653,0))</f>
        <v>0</v>
      </c>
      <c r="R1653" s="73">
        <f>IF(ISNA(IF(AND(VLOOKUP(CONCATENATE($D1653,$G1653),CSRFinput!$B:$E,4,0)=0,OR(H1653=MappingTables!$C$31,H1653=MappingTables!$C$32)),1,VLOOKUP(CONCATENATE($D1653,$G1653),CSRFinput!$B:$E,4,0))),0,IF(AND(VLOOKUP(CONCATENATE($D1653,$G1653),CSRFinput!$B:$E,4,0)=0,OR(H1653=MappingTables!$C$31,H1653=MappingTables!$C$32)),1,VLOOKUP(CONCATENATE($D1653,$G1653),CSRFinput!$B:$E,4,0)))</f>
        <v>0.054776304963434752</v>
      </c>
      <c r="S1653" s="73">
        <f>IF(B1653="",0,P1653*R1653)</f>
        <v>2.1395825568657036</v>
      </c>
      <c r="T1653" s="85">
        <f>IF(B1653="",0,IF(OR(H1653=MappingTables!$C$34,H1653=MappingTables!$C$35),S1653,0))</f>
        <v>0</v>
      </c>
    </row>
    <row r="1654" spans="2:20" s="0" customFormat="0" ht="15">
      <c r="B1654" s="69">
        <v>22554081</v>
      </c>
      <c r="C1654" s="70" t="s">
        <v>5095</v>
      </c>
      <c r="D1654" s="70" t="s">
        <v>1</v>
      </c>
      <c r="E1654" s="70" t="s">
        <v>1</v>
      </c>
      <c r="F1654" s="70"/>
      <c r="G1654" s="70" t="s">
        <v>61</v>
      </c>
      <c r="H1654" s="70" t="s">
        <v>178</v>
      </c>
      <c r="I1654" s="70" t="s">
        <v>216</v>
      </c>
      <c r="J1654" s="71">
        <f>IF(OR(I1654=0,I1654=""),"unrated",VLOOKUP(I1654,MappingTables!$B$19:$C$31,2,FALSE))</f>
        <v>0</v>
      </c>
      <c r="K1654" s="72">
        <v>21.459956912740104</v>
      </c>
      <c r="L1654" s="70">
        <v>0.049790636296064888</v>
      </c>
      <c r="M1654" s="71">
        <f>IF(L1654&lt;1,1,L1654)</f>
        <v>1</v>
      </c>
      <c r="N1654" s="70" t="s">
        <v>3288</v>
      </c>
      <c r="O1654" s="71">
        <f>IF(OR(I1654=$A$1,I1654=0),"",IF(N1654=MappingTables!$C$14,VLOOKUP(J1654,ModelParameters!$M$8:$N$15,2,FALSE),IF(N1654=MappingTables!$C$16,VLOOKUP(J1654,ModelParameters!$P$8:$Q$15,2,FALSE),0)))</f>
        <v>0.125</v>
      </c>
      <c r="P1654" s="73">
        <f>IF(OR(I1654=0,I1654=$A$1),0,MIN(O1654*M1654,1)*K1654)</f>
        <v>2.6824946140925128</v>
      </c>
      <c r="Q1654" s="73">
        <f>IF(B1654="",0,IF(OR(H1654=MappingTables!$C$34,H1654=MappingTables!$C$35),P1654,0))</f>
        <v>0</v>
      </c>
      <c r="R1654" s="73">
        <f>IF(ISNA(IF(AND(VLOOKUP(CONCATENATE($D1654,$G1654),CSRFinput!$B:$E,4,0)=0,OR(H1654=MappingTables!$C$31,H1654=MappingTables!$C$32)),1,VLOOKUP(CONCATENATE($D1654,$G1654),CSRFinput!$B:$E,4,0))),0,IF(AND(VLOOKUP(CONCATENATE($D1654,$G1654),CSRFinput!$B:$E,4,0)=0,OR(H1654=MappingTables!$C$31,H1654=MappingTables!$C$32)),1,VLOOKUP(CONCATENATE($D1654,$G1654),CSRFinput!$B:$E,4,0)))</f>
        <v>0.054776304963434752</v>
      </c>
      <c r="S1654" s="73">
        <f>IF(B1654="",0,P1654*R1654)</f>
        <v>0.14693714304430272</v>
      </c>
      <c r="T1654" s="85">
        <f>IF(B1654="",0,IF(OR(H1654=MappingTables!$C$34,H1654=MappingTables!$C$35),S1654,0))</f>
        <v>0</v>
      </c>
    </row>
    <row r="1655" spans="2:20" s="0" customFormat="0" ht="15">
      <c r="B1655" s="69" t="s">
        <v>4930</v>
      </c>
      <c r="C1655" s="70" t="s">
        <v>4931</v>
      </c>
      <c r="D1655" s="70" t="s">
        <v>1</v>
      </c>
      <c r="E1655" s="70" t="s">
        <v>1</v>
      </c>
      <c r="F1655" s="70"/>
      <c r="G1655" s="70" t="s">
        <v>61</v>
      </c>
      <c r="H1655" s="70" t="s">
        <v>178</v>
      </c>
      <c r="I1655" s="70" t="s">
        <v>198</v>
      </c>
      <c r="J1655" s="71" t="str">
        <f>IF(OR(I1655=0,I1655=""),"unrated",VLOOKUP(I1655,MappingTables!$B$19:$C$31,2,FALSE))</f>
        <v>unrated</v>
      </c>
      <c r="K1655" s="72">
        <v>906.68644375099168</v>
      </c>
      <c r="L1655" s="70">
        <v>8.6780153963690192</v>
      </c>
      <c r="M1655" s="71">
        <f>IF(L1655&lt;1,1,L1655)</f>
        <v>8.6780153963690192</v>
      </c>
      <c r="N1655" s="70" t="s">
        <v>3288</v>
      </c>
      <c r="O1655" s="71">
        <f>IF(OR(I1655=$A$1,I1655=0),"",IF(N1655=MappingTables!$C$14,VLOOKUP(J1655,ModelParameters!$M$8:$N$15,2,FALSE),IF(N1655=MappingTables!$C$16,VLOOKUP(J1655,ModelParameters!$P$8:$Q$15,2,FALSE),0)))</f>
        <v>1</v>
      </c>
      <c r="P1655" s="73">
        <f>IF(OR(I1655=0,I1655=$A$1),0,MIN(O1655*M1655,1)*K1655)</f>
        <v>906.68644375099168</v>
      </c>
      <c r="Q1655" s="73">
        <f>IF(B1655="",0,IF(OR(H1655=MappingTables!$C$34,H1655=MappingTables!$C$35),P1655,0))</f>
        <v>0</v>
      </c>
      <c r="R1655" s="73">
        <f>IF(ISNA(IF(AND(VLOOKUP(CONCATENATE($D1655,$G1655),CSRFinput!$B:$E,4,0)=0,OR(H1655=MappingTables!$C$31,H1655=MappingTables!$C$32)),1,VLOOKUP(CONCATENATE($D1655,$G1655),CSRFinput!$B:$E,4,0))),0,IF(AND(VLOOKUP(CONCATENATE($D1655,$G1655),CSRFinput!$B:$E,4,0)=0,OR(H1655=MappingTables!$C$31,H1655=MappingTables!$C$32)),1,VLOOKUP(CONCATENATE($D1655,$G1655),CSRFinput!$B:$E,4,0)))</f>
        <v>0.054776304963434752</v>
      </c>
      <c r="S1655" s="73">
        <f>IF(B1655="",0,P1655*R1655)</f>
        <v>49.664933149116448</v>
      </c>
      <c r="T1655" s="85">
        <f>IF(B1655="",0,IF(OR(H1655=MappingTables!$C$34,H1655=MappingTables!$C$35),S1655,0))</f>
        <v>0</v>
      </c>
    </row>
    <row r="1656" spans="2:20" s="0" customFormat="0" ht="15">
      <c r="B1656" s="69" t="s">
        <v>3888</v>
      </c>
      <c r="C1656" s="70" t="s">
        <v>3889</v>
      </c>
      <c r="D1656" s="70" t="s">
        <v>1</v>
      </c>
      <c r="E1656" s="70" t="s">
        <v>1</v>
      </c>
      <c r="F1656" s="70"/>
      <c r="G1656" s="70" t="s">
        <v>61</v>
      </c>
      <c r="H1656" s="70" t="s">
        <v>178</v>
      </c>
      <c r="I1656" s="70" t="s">
        <v>198</v>
      </c>
      <c r="J1656" s="71" t="str">
        <f>IF(OR(I1656=0,I1656=""),"unrated",VLOOKUP(I1656,MappingTables!$B$19:$C$31,2,FALSE))</f>
        <v>unrated</v>
      </c>
      <c r="K1656" s="72">
        <v>65.497765182428352</v>
      </c>
      <c r="L1656" s="70">
        <v>0.054792190380349192</v>
      </c>
      <c r="M1656" s="71">
        <f>IF(L1656&lt;1,1,L1656)</f>
        <v>1</v>
      </c>
      <c r="N1656" s="70" t="s">
        <v>3288</v>
      </c>
      <c r="O1656" s="71">
        <f>IF(OR(I1656=$A$1,I1656=0),"",IF(N1656=MappingTables!$C$14,VLOOKUP(J1656,ModelParameters!$M$8:$N$15,2,FALSE),IF(N1656=MappingTables!$C$16,VLOOKUP(J1656,ModelParameters!$P$8:$Q$15,2,FALSE),0)))</f>
        <v>1</v>
      </c>
      <c r="P1656" s="73">
        <f>IF(OR(I1656=0,I1656=$A$1),0,MIN(O1656*M1656,1)*K1656)</f>
        <v>65.497765182428352</v>
      </c>
      <c r="Q1656" s="73">
        <f>IF(B1656="",0,IF(OR(H1656=MappingTables!$C$34,H1656=MappingTables!$C$35),P1656,0))</f>
        <v>0</v>
      </c>
      <c r="R1656" s="73">
        <f>IF(ISNA(IF(AND(VLOOKUP(CONCATENATE($D1656,$G1656),CSRFinput!$B:$E,4,0)=0,OR(H1656=MappingTables!$C$31,H1656=MappingTables!$C$32)),1,VLOOKUP(CONCATENATE($D1656,$G1656),CSRFinput!$B:$E,4,0))),0,IF(AND(VLOOKUP(CONCATENATE($D1656,$G1656),CSRFinput!$B:$E,4,0)=0,OR(H1656=MappingTables!$C$31,H1656=MappingTables!$C$32)),1,VLOOKUP(CONCATENATE($D1656,$G1656),CSRFinput!$B:$E,4,0)))</f>
        <v>0.054776304963434752</v>
      </c>
      <c r="S1656" s="73">
        <f>IF(B1656="",0,P1656*R1656)</f>
        <v>3.587725560056134</v>
      </c>
      <c r="T1656" s="85">
        <f>IF(B1656="",0,IF(OR(H1656=MappingTables!$C$34,H1656=MappingTables!$C$35),S1656,0))</f>
        <v>0</v>
      </c>
    </row>
    <row r="1657" spans="2:20" s="0" customFormat="0" ht="15">
      <c r="B1657" s="69" t="s">
        <v>5096</v>
      </c>
      <c r="C1657" s="70" t="s">
        <v>5097</v>
      </c>
      <c r="D1657" s="70" t="s">
        <v>1</v>
      </c>
      <c r="E1657" s="70" t="s">
        <v>1</v>
      </c>
      <c r="F1657" s="70"/>
      <c r="G1657" s="70" t="s">
        <v>61</v>
      </c>
      <c r="H1657" s="70" t="s">
        <v>178</v>
      </c>
      <c r="I1657" s="70" t="s">
        <v>198</v>
      </c>
      <c r="J1657" s="71" t="str">
        <f>IF(OR(I1657=0,I1657=""),"unrated",VLOOKUP(I1657,MappingTables!$B$19:$C$31,2,FALSE))</f>
        <v>unrated</v>
      </c>
      <c r="K1657" s="72">
        <v>1008.0838746167114</v>
      </c>
      <c r="L1657" s="70">
        <v>9.2147065483164528</v>
      </c>
      <c r="M1657" s="71">
        <f>IF(L1657&lt;1,1,L1657)</f>
        <v>9.2147065483164528</v>
      </c>
      <c r="N1657" s="70" t="s">
        <v>3288</v>
      </c>
      <c r="O1657" s="71">
        <f>IF(OR(I1657=$A$1,I1657=0),"",IF(N1657=MappingTables!$C$14,VLOOKUP(J1657,ModelParameters!$M$8:$N$15,2,FALSE),IF(N1657=MappingTables!$C$16,VLOOKUP(J1657,ModelParameters!$P$8:$Q$15,2,FALSE),0)))</f>
        <v>1</v>
      </c>
      <c r="P1657" s="73">
        <f>IF(OR(I1657=0,I1657=$A$1),0,MIN(O1657*M1657,1)*K1657)</f>
        <v>1008.0838746167114</v>
      </c>
      <c r="Q1657" s="73">
        <f>IF(B1657="",0,IF(OR(H1657=MappingTables!$C$34,H1657=MappingTables!$C$35),P1657,0))</f>
        <v>0</v>
      </c>
      <c r="R1657" s="73">
        <f>IF(ISNA(IF(AND(VLOOKUP(CONCATENATE($D1657,$G1657),CSRFinput!$B:$E,4,0)=0,OR(H1657=MappingTables!$C$31,H1657=MappingTables!$C$32)),1,VLOOKUP(CONCATENATE($D1657,$G1657),CSRFinput!$B:$E,4,0))),0,IF(AND(VLOOKUP(CONCATENATE($D1657,$G1657),CSRFinput!$B:$E,4,0)=0,OR(H1657=MappingTables!$C$31,H1657=MappingTables!$C$32)),1,VLOOKUP(CONCATENATE($D1657,$G1657),CSRFinput!$B:$E,4,0)))</f>
        <v>0.054776304963434752</v>
      </c>
      <c r="S1657" s="73">
        <f>IF(B1657="",0,P1657*R1657)</f>
        <v>55.219109744725912</v>
      </c>
      <c r="T1657" s="85">
        <f>IF(B1657="",0,IF(OR(H1657=MappingTables!$C$34,H1657=MappingTables!$C$35),S1657,0))</f>
        <v>0</v>
      </c>
    </row>
    <row r="1658" spans="2:20" s="0" customFormat="0" ht="15">
      <c r="B1658" s="69" t="s">
        <v>4627</v>
      </c>
      <c r="C1658" s="70" t="s">
        <v>4628</v>
      </c>
      <c r="D1658" s="70" t="s">
        <v>1</v>
      </c>
      <c r="E1658" s="70" t="s">
        <v>1</v>
      </c>
      <c r="F1658" s="70"/>
      <c r="G1658" s="70" t="s">
        <v>61</v>
      </c>
      <c r="H1658" s="70" t="s">
        <v>178</v>
      </c>
      <c r="I1658" s="70" t="s">
        <v>3298</v>
      </c>
      <c r="J1658" s="71">
        <f>IF(OR(I1658=0,I1658=""),"unrated",VLOOKUP(I1658,MappingTables!$B$19:$C$31,2,FALSE))</f>
        <v>6</v>
      </c>
      <c r="K1658" s="72">
        <v>83.451500365038736</v>
      </c>
      <c r="L1658" s="70">
        <v>-0.353915621218651</v>
      </c>
      <c r="M1658" s="71">
        <f>IF(L1658&lt;1,1,L1658)</f>
        <v>1</v>
      </c>
      <c r="N1658" s="70" t="s">
        <v>3288</v>
      </c>
      <c r="O1658" s="71">
        <f>IF(OR(I1658=$A$1,I1658=0),"",IF(N1658=MappingTables!$C$14,VLOOKUP(J1658,ModelParameters!$M$8:$N$15,2,FALSE),IF(N1658=MappingTables!$C$16,VLOOKUP(J1658,ModelParameters!$P$8:$Q$15,2,FALSE),0)))</f>
        <v>1</v>
      </c>
      <c r="P1658" s="73">
        <f>IF(OR(I1658=0,I1658=$A$1),0,MIN(O1658*M1658,1)*K1658)</f>
        <v>83.451500365038736</v>
      </c>
      <c r="Q1658" s="73">
        <f>IF(B1658="",0,IF(OR(H1658=MappingTables!$C$34,H1658=MappingTables!$C$35),P1658,0))</f>
        <v>0</v>
      </c>
      <c r="R1658" s="73">
        <f>IF(ISNA(IF(AND(VLOOKUP(CONCATENATE($D1658,$G1658),CSRFinput!$B:$E,4,0)=0,OR(H1658=MappingTables!$C$31,H1658=MappingTables!$C$32)),1,VLOOKUP(CONCATENATE($D1658,$G1658),CSRFinput!$B:$E,4,0))),0,IF(AND(VLOOKUP(CONCATENATE($D1658,$G1658),CSRFinput!$B:$E,4,0)=0,OR(H1658=MappingTables!$C$31,H1658=MappingTables!$C$32)),1,VLOOKUP(CONCATENATE($D1658,$G1658),CSRFinput!$B:$E,4,0)))</f>
        <v>0.054776304963434752</v>
      </c>
      <c r="S1658" s="73">
        <f>IF(B1658="",0,P1658*R1658)</f>
        <v>4.571164833651548</v>
      </c>
      <c r="T1658" s="85">
        <f>IF(B1658="",0,IF(OR(H1658=MappingTables!$C$34,H1658=MappingTables!$C$35),S1658,0))</f>
        <v>0</v>
      </c>
    </row>
    <row r="1659" spans="2:20" s="0" customFormat="0" ht="15">
      <c r="B1659" s="69">
        <v>14902956</v>
      </c>
      <c r="C1659" s="70" t="s">
        <v>3719</v>
      </c>
      <c r="D1659" s="70" t="s">
        <v>1</v>
      </c>
      <c r="E1659" s="70" t="s">
        <v>1</v>
      </c>
      <c r="F1659" s="70"/>
      <c r="G1659" s="70" t="s">
        <v>61</v>
      </c>
      <c r="H1659" s="70" t="s">
        <v>178</v>
      </c>
      <c r="I1659" s="70" t="s">
        <v>216</v>
      </c>
      <c r="J1659" s="71">
        <f>IF(OR(I1659=0,I1659=""),"unrated",VLOOKUP(I1659,MappingTables!$B$19:$C$31,2,FALSE))</f>
        <v>0</v>
      </c>
      <c r="K1659" s="72">
        <v>993.24750946811776</v>
      </c>
      <c r="L1659" s="70">
        <v>1.6886394080286636</v>
      </c>
      <c r="M1659" s="71">
        <f>IF(L1659&lt;1,1,L1659)</f>
        <v>1.6886394080286636</v>
      </c>
      <c r="N1659" s="70" t="s">
        <v>3288</v>
      </c>
      <c r="O1659" s="71">
        <f>IF(OR(I1659=$A$1,I1659=0),"",IF(N1659=MappingTables!$C$14,VLOOKUP(J1659,ModelParameters!$M$8:$N$15,2,FALSE),IF(N1659=MappingTables!$C$16,VLOOKUP(J1659,ModelParameters!$P$8:$Q$15,2,FALSE),0)))</f>
        <v>0.125</v>
      </c>
      <c r="P1659" s="73">
        <f>IF(OR(I1659=0,I1659=$A$1),0,MIN(O1659*M1659,1)*K1659)</f>
        <v>209.65461080177336</v>
      </c>
      <c r="Q1659" s="73">
        <f>IF(B1659="",0,IF(OR(H1659=MappingTables!$C$34,H1659=MappingTables!$C$35),P1659,0))</f>
        <v>0</v>
      </c>
      <c r="R1659" s="73">
        <f>IF(ISNA(IF(AND(VLOOKUP(CONCATENATE($D1659,$G1659),CSRFinput!$B:$E,4,0)=0,OR(H1659=MappingTables!$C$31,H1659=MappingTables!$C$32)),1,VLOOKUP(CONCATENATE($D1659,$G1659),CSRFinput!$B:$E,4,0))),0,IF(AND(VLOOKUP(CONCATENATE($D1659,$G1659),CSRFinput!$B:$E,4,0)=0,OR(H1659=MappingTables!$C$31,H1659=MappingTables!$C$32)),1,VLOOKUP(CONCATENATE($D1659,$G1659),CSRFinput!$B:$E,4,0)))</f>
        <v>0.054776304963434752</v>
      </c>
      <c r="S1659" s="73">
        <f>IF(B1659="",0,P1659*R1659)</f>
        <v>11.484104898268158</v>
      </c>
      <c r="T1659" s="85">
        <f>IF(B1659="",0,IF(OR(H1659=MappingTables!$C$34,H1659=MappingTables!$C$35),S1659,0))</f>
        <v>0</v>
      </c>
    </row>
    <row r="1660" spans="2:20" s="0" customFormat="0" ht="15">
      <c r="B1660" s="69" t="s">
        <v>5025</v>
      </c>
      <c r="C1660" s="70" t="s">
        <v>5026</v>
      </c>
      <c r="D1660" s="70" t="s">
        <v>1</v>
      </c>
      <c r="E1660" s="70" t="s">
        <v>1</v>
      </c>
      <c r="F1660" s="70"/>
      <c r="G1660" s="70" t="s">
        <v>61</v>
      </c>
      <c r="H1660" s="70" t="s">
        <v>178</v>
      </c>
      <c r="I1660" s="70" t="s">
        <v>3298</v>
      </c>
      <c r="J1660" s="71">
        <f>IF(OR(I1660=0,I1660=""),"unrated",VLOOKUP(I1660,MappingTables!$B$19:$C$31,2,FALSE))</f>
        <v>6</v>
      </c>
      <c r="K1660" s="72">
        <v>619.29747652680032</v>
      </c>
      <c r="L1660" s="70">
        <v>-0.34219928508229164</v>
      </c>
      <c r="M1660" s="71">
        <f>IF(L1660&lt;1,1,L1660)</f>
        <v>1</v>
      </c>
      <c r="N1660" s="70" t="s">
        <v>3288</v>
      </c>
      <c r="O1660" s="71">
        <f>IF(OR(I1660=$A$1,I1660=0),"",IF(N1660=MappingTables!$C$14,VLOOKUP(J1660,ModelParameters!$M$8:$N$15,2,FALSE),IF(N1660=MappingTables!$C$16,VLOOKUP(J1660,ModelParameters!$P$8:$Q$15,2,FALSE),0)))</f>
        <v>1</v>
      </c>
      <c r="P1660" s="73">
        <f>IF(OR(I1660=0,I1660=$A$1),0,MIN(O1660*M1660,1)*K1660)</f>
        <v>619.29747652680032</v>
      </c>
      <c r="Q1660" s="73">
        <f>IF(B1660="",0,IF(OR(H1660=MappingTables!$C$34,H1660=MappingTables!$C$35),P1660,0))</f>
        <v>0</v>
      </c>
      <c r="R1660" s="73">
        <f>IF(ISNA(IF(AND(VLOOKUP(CONCATENATE($D1660,$G1660),CSRFinput!$B:$E,4,0)=0,OR(H1660=MappingTables!$C$31,H1660=MappingTables!$C$32)),1,VLOOKUP(CONCATENATE($D1660,$G1660),CSRFinput!$B:$E,4,0))),0,IF(AND(VLOOKUP(CONCATENATE($D1660,$G1660),CSRFinput!$B:$E,4,0)=0,OR(H1660=MappingTables!$C$31,H1660=MappingTables!$C$32)),1,VLOOKUP(CONCATENATE($D1660,$G1660),CSRFinput!$B:$E,4,0)))</f>
        <v>0.054776304963434752</v>
      </c>
      <c r="S1660" s="73">
        <f>IF(B1660="",0,P1660*R1660)</f>
        <v>33.922827437317592</v>
      </c>
      <c r="T1660" s="85">
        <f>IF(B1660="",0,IF(OR(H1660=MappingTables!$C$34,H1660=MappingTables!$C$35),S1660,0))</f>
        <v>0</v>
      </c>
    </row>
    <row r="1661" spans="2:20" s="0" customFormat="0" ht="15">
      <c r="B1661" s="69" t="s">
        <v>4849</v>
      </c>
      <c r="C1661" s="70" t="s">
        <v>4850</v>
      </c>
      <c r="D1661" s="70" t="s">
        <v>1</v>
      </c>
      <c r="E1661" s="70" t="s">
        <v>1</v>
      </c>
      <c r="F1661" s="70"/>
      <c r="G1661" s="70" t="s">
        <v>61</v>
      </c>
      <c r="H1661" s="70" t="s">
        <v>178</v>
      </c>
      <c r="I1661" s="70" t="s">
        <v>198</v>
      </c>
      <c r="J1661" s="71" t="str">
        <f>IF(OR(I1661=0,I1661=""),"unrated",VLOOKUP(I1661,MappingTables!$B$19:$C$31,2,FALSE))</f>
        <v>unrated</v>
      </c>
      <c r="K1661" s="72">
        <v>68672.07441923316</v>
      </c>
      <c r="L1661" s="70">
        <v>9.9177451137029392</v>
      </c>
      <c r="M1661" s="71">
        <f>IF(L1661&lt;1,1,L1661)</f>
        <v>9.9177451137029392</v>
      </c>
      <c r="N1661" s="70" t="s">
        <v>3288</v>
      </c>
      <c r="O1661" s="71">
        <f>IF(OR(I1661=$A$1,I1661=0),"",IF(N1661=MappingTables!$C$14,VLOOKUP(J1661,ModelParameters!$M$8:$N$15,2,FALSE),IF(N1661=MappingTables!$C$16,VLOOKUP(J1661,ModelParameters!$P$8:$Q$15,2,FALSE),0)))</f>
        <v>1</v>
      </c>
      <c r="P1661" s="73">
        <f>IF(OR(I1661=0,I1661=$A$1),0,MIN(O1661*M1661,1)*K1661)</f>
        <v>68672.07441923316</v>
      </c>
      <c r="Q1661" s="73">
        <f>IF(B1661="",0,IF(OR(H1661=MappingTables!$C$34,H1661=MappingTables!$C$35),P1661,0))</f>
        <v>0</v>
      </c>
      <c r="R1661" s="73">
        <f>IF(ISNA(IF(AND(VLOOKUP(CONCATENATE($D1661,$G1661),CSRFinput!$B:$E,4,0)=0,OR(H1661=MappingTables!$C$31,H1661=MappingTables!$C$32)),1,VLOOKUP(CONCATENATE($D1661,$G1661),CSRFinput!$B:$E,4,0))),0,IF(AND(VLOOKUP(CONCATENATE($D1661,$G1661),CSRFinput!$B:$E,4,0)=0,OR(H1661=MappingTables!$C$31,H1661=MappingTables!$C$32)),1,VLOOKUP(CONCATENATE($D1661,$G1661),CSRFinput!$B:$E,4,0)))</f>
        <v>0.054776304963434752</v>
      </c>
      <c r="S1661" s="73">
        <f>IF(B1661="",0,P1661*R1661)</f>
        <v>3761.6024908596024</v>
      </c>
      <c r="T1661" s="85">
        <f>IF(B1661="",0,IF(OR(H1661=MappingTables!$C$34,H1661=MappingTables!$C$35),S1661,0))</f>
        <v>0</v>
      </c>
    </row>
    <row r="1662" spans="2:20" s="0" customFormat="0" ht="15">
      <c r="B1662" s="69" t="s">
        <v>5098</v>
      </c>
      <c r="C1662" s="70" t="s">
        <v>5099</v>
      </c>
      <c r="D1662" s="70" t="s">
        <v>1</v>
      </c>
      <c r="E1662" s="70" t="s">
        <v>1</v>
      </c>
      <c r="F1662" s="70"/>
      <c r="G1662" s="70" t="s">
        <v>61</v>
      </c>
      <c r="H1662" s="70" t="s">
        <v>178</v>
      </c>
      <c r="I1662" s="70" t="s">
        <v>181</v>
      </c>
      <c r="J1662" s="71">
        <f>IF(OR(I1662=0,I1662=""),"unrated",VLOOKUP(I1662,MappingTables!$B$19:$C$31,2,FALSE))</f>
        <v>3</v>
      </c>
      <c r="K1662" s="72">
        <v>13.186260771022486</v>
      </c>
      <c r="L1662" s="70">
        <v>0.068496448151301752</v>
      </c>
      <c r="M1662" s="71">
        <f>IF(L1662&lt;1,1,L1662)</f>
        <v>1</v>
      </c>
      <c r="N1662" s="70" t="s">
        <v>3288</v>
      </c>
      <c r="O1662" s="71">
        <f>IF(OR(I1662=$A$1,I1662=0),"",IF(N1662=MappingTables!$C$14,VLOOKUP(J1662,ModelParameters!$M$8:$N$15,2,FALSE),IF(N1662=MappingTables!$C$16,VLOOKUP(J1662,ModelParameters!$P$8:$Q$15,2,FALSE),0)))</f>
        <v>0.197</v>
      </c>
      <c r="P1662" s="73">
        <f>IF(OR(I1662=0,I1662=$A$1),0,MIN(O1662*M1662,1)*K1662)</f>
        <v>2.5976933718914292</v>
      </c>
      <c r="Q1662" s="73">
        <f>IF(B1662="",0,IF(OR(H1662=MappingTables!$C$34,H1662=MappingTables!$C$35),P1662,0))</f>
        <v>0</v>
      </c>
      <c r="R1662" s="73">
        <f>IF(ISNA(IF(AND(VLOOKUP(CONCATENATE($D1662,$G1662),CSRFinput!$B:$E,4,0)=0,OR(H1662=MappingTables!$C$31,H1662=MappingTables!$C$32)),1,VLOOKUP(CONCATENATE($D1662,$G1662),CSRFinput!$B:$E,4,0))),0,IF(AND(VLOOKUP(CONCATENATE($D1662,$G1662),CSRFinput!$B:$E,4,0)=0,OR(H1662=MappingTables!$C$31,H1662=MappingTables!$C$32)),1,VLOOKUP(CONCATENATE($D1662,$G1662),CSRFinput!$B:$E,4,0)))</f>
        <v>0.054776304963434752</v>
      </c>
      <c r="S1662" s="73">
        <f>IF(B1662="",0,P1662*R1662)</f>
        <v>0.14229204434021806</v>
      </c>
      <c r="T1662" s="85">
        <f>IF(B1662="",0,IF(OR(H1662=MappingTables!$C$34,H1662=MappingTables!$C$35),S1662,0))</f>
        <v>0</v>
      </c>
    </row>
    <row r="1663" spans="2:20" s="0" customFormat="0" ht="15">
      <c r="B1663" s="69" t="s">
        <v>5100</v>
      </c>
      <c r="C1663" s="70" t="s">
        <v>5101</v>
      </c>
      <c r="D1663" s="70" t="s">
        <v>1</v>
      </c>
      <c r="E1663" s="70" t="s">
        <v>1</v>
      </c>
      <c r="F1663" s="70"/>
      <c r="G1663" s="70" t="s">
        <v>61</v>
      </c>
      <c r="H1663" s="70" t="s">
        <v>178</v>
      </c>
      <c r="I1663" s="70" t="s">
        <v>184</v>
      </c>
      <c r="J1663" s="71">
        <f>IF(OR(I1663=0,I1663=""),"unrated",VLOOKUP(I1663,MappingTables!$B$19:$C$31,2,FALSE))</f>
        <v>5</v>
      </c>
      <c r="K1663" s="72">
        <v>433.64062296436216</v>
      </c>
      <c r="L1663" s="70">
        <v>4.5193424472487032</v>
      </c>
      <c r="M1663" s="71">
        <f>IF(L1663&lt;1,1,L1663)</f>
        <v>4.5193424472487032</v>
      </c>
      <c r="N1663" s="70" t="s">
        <v>3288</v>
      </c>
      <c r="O1663" s="71">
        <f>IF(OR(I1663=$A$1,I1663=0),"",IF(N1663=MappingTables!$C$14,VLOOKUP(J1663,ModelParameters!$M$8:$N$15,2,FALSE),IF(N1663=MappingTables!$C$16,VLOOKUP(J1663,ModelParameters!$P$8:$Q$15,2,FALSE),0)))</f>
        <v>1</v>
      </c>
      <c r="P1663" s="73">
        <f>IF(OR(I1663=0,I1663=$A$1),0,MIN(O1663*M1663,1)*K1663)</f>
        <v>433.64062296436216</v>
      </c>
      <c r="Q1663" s="73">
        <f>IF(B1663="",0,IF(OR(H1663=MappingTables!$C$34,H1663=MappingTables!$C$35),P1663,0))</f>
        <v>0</v>
      </c>
      <c r="R1663" s="73">
        <f>IF(ISNA(IF(AND(VLOOKUP(CONCATENATE($D1663,$G1663),CSRFinput!$B:$E,4,0)=0,OR(H1663=MappingTables!$C$31,H1663=MappingTables!$C$32)),1,VLOOKUP(CONCATENATE($D1663,$G1663),CSRFinput!$B:$E,4,0))),0,IF(AND(VLOOKUP(CONCATENATE($D1663,$G1663),CSRFinput!$B:$E,4,0)=0,OR(H1663=MappingTables!$C$31,H1663=MappingTables!$C$32)),1,VLOOKUP(CONCATENATE($D1663,$G1663),CSRFinput!$B:$E,4,0)))</f>
        <v>0.054776304963434752</v>
      </c>
      <c r="S1663" s="73">
        <f>IF(B1663="",0,P1663*R1663)</f>
        <v>23.753231008029732</v>
      </c>
      <c r="T1663" s="85">
        <f>IF(B1663="",0,IF(OR(H1663=MappingTables!$C$34,H1663=MappingTables!$C$35),S1663,0))</f>
        <v>0</v>
      </c>
    </row>
    <row r="1664" spans="2:20" s="0" customFormat="0" ht="15">
      <c r="B1664" s="69">
        <v>20113237</v>
      </c>
      <c r="C1664" s="70" t="s">
        <v>3622</v>
      </c>
      <c r="D1664" s="70" t="s">
        <v>1</v>
      </c>
      <c r="E1664" s="70" t="s">
        <v>1</v>
      </c>
      <c r="F1664" s="70"/>
      <c r="G1664" s="70" t="s">
        <v>61</v>
      </c>
      <c r="H1664" s="70" t="s">
        <v>178</v>
      </c>
      <c r="I1664" s="70" t="s">
        <v>216</v>
      </c>
      <c r="J1664" s="71">
        <f>IF(OR(I1664=0,I1664=""),"unrated",VLOOKUP(I1664,MappingTables!$B$19:$C$31,2,FALSE))</f>
        <v>0</v>
      </c>
      <c r="K1664" s="72">
        <v>541.27755151498072</v>
      </c>
      <c r="L1664" s="70">
        <v>0.069596278474866008</v>
      </c>
      <c r="M1664" s="71">
        <f>IF(L1664&lt;1,1,L1664)</f>
        <v>1</v>
      </c>
      <c r="N1664" s="70" t="s">
        <v>3288</v>
      </c>
      <c r="O1664" s="71">
        <f>IF(OR(I1664=$A$1,I1664=0),"",IF(N1664=MappingTables!$C$14,VLOOKUP(J1664,ModelParameters!$M$8:$N$15,2,FALSE),IF(N1664=MappingTables!$C$16,VLOOKUP(J1664,ModelParameters!$P$8:$Q$15,2,FALSE),0)))</f>
        <v>0.125</v>
      </c>
      <c r="P1664" s="73">
        <f>IF(OR(I1664=0,I1664=$A$1),0,MIN(O1664*M1664,1)*K1664)</f>
        <v>67.659693939372584</v>
      </c>
      <c r="Q1664" s="73">
        <f>IF(B1664="",0,IF(OR(H1664=MappingTables!$C$34,H1664=MappingTables!$C$35),P1664,0))</f>
        <v>0</v>
      </c>
      <c r="R1664" s="73">
        <f>IF(ISNA(IF(AND(VLOOKUP(CONCATENATE($D1664,$G1664),CSRFinput!$B:$E,4,0)=0,OR(H1664=MappingTables!$C$31,H1664=MappingTables!$C$32)),1,VLOOKUP(CONCATENATE($D1664,$G1664),CSRFinput!$B:$E,4,0))),0,IF(AND(VLOOKUP(CONCATENATE($D1664,$G1664),CSRFinput!$B:$E,4,0)=0,OR(H1664=MappingTables!$C$31,H1664=MappingTables!$C$32)),1,VLOOKUP(CONCATENATE($D1664,$G1664),CSRFinput!$B:$E,4,0)))</f>
        <v>0.054776304963434752</v>
      </c>
      <c r="S1664" s="73">
        <f>IF(B1664="",0,P1664*R1664)</f>
        <v>3.7061480289557312</v>
      </c>
      <c r="T1664" s="85">
        <f>IF(B1664="",0,IF(OR(H1664=MappingTables!$C$34,H1664=MappingTables!$C$35),S1664,0))</f>
        <v>0</v>
      </c>
    </row>
    <row r="1665" spans="2:20" s="0" customFormat="0" ht="15">
      <c r="B1665" s="69">
        <v>5422637</v>
      </c>
      <c r="C1665" s="70" t="s">
        <v>3899</v>
      </c>
      <c r="D1665" s="70" t="s">
        <v>1</v>
      </c>
      <c r="E1665" s="70" t="s">
        <v>1</v>
      </c>
      <c r="F1665" s="70"/>
      <c r="G1665" s="70" t="s">
        <v>61</v>
      </c>
      <c r="H1665" s="70" t="s">
        <v>178</v>
      </c>
      <c r="I1665" s="70" t="s">
        <v>216</v>
      </c>
      <c r="J1665" s="71">
        <f>IF(OR(I1665=0,I1665=""),"unrated",VLOOKUP(I1665,MappingTables!$B$19:$C$31,2,FALSE))</f>
        <v>0</v>
      </c>
      <c r="K1665" s="72">
        <v>83.109306812635712</v>
      </c>
      <c r="L1665" s="70">
        <v>1.6490711657332246</v>
      </c>
      <c r="M1665" s="71">
        <f>IF(L1665&lt;1,1,L1665)</f>
        <v>1.6490711657332246</v>
      </c>
      <c r="N1665" s="70" t="s">
        <v>3288</v>
      </c>
      <c r="O1665" s="71">
        <f>IF(OR(I1665=$A$1,I1665=0),"",IF(N1665=MappingTables!$C$14,VLOOKUP(J1665,ModelParameters!$M$8:$N$15,2,FALSE),IF(N1665=MappingTables!$C$16,VLOOKUP(J1665,ModelParameters!$P$8:$Q$15,2,FALSE),0)))</f>
        <v>0.125</v>
      </c>
      <c r="P1665" s="73">
        <f>IF(OR(I1665=0,I1665=$A$1),0,MIN(O1665*M1665,1)*K1665)</f>
        <v>17.131645183599176</v>
      </c>
      <c r="Q1665" s="73">
        <f>IF(B1665="",0,IF(OR(H1665=MappingTables!$C$34,H1665=MappingTables!$C$35),P1665,0))</f>
        <v>0</v>
      </c>
      <c r="R1665" s="73">
        <f>IF(ISNA(IF(AND(VLOOKUP(CONCATENATE($D1665,$G1665),CSRFinput!$B:$E,4,0)=0,OR(H1665=MappingTables!$C$31,H1665=MappingTables!$C$32)),1,VLOOKUP(CONCATENATE($D1665,$G1665),CSRFinput!$B:$E,4,0))),0,IF(AND(VLOOKUP(CONCATENATE($D1665,$G1665),CSRFinput!$B:$E,4,0)=0,OR(H1665=MappingTables!$C$31,H1665=MappingTables!$C$32)),1,VLOOKUP(CONCATENATE($D1665,$G1665),CSRFinput!$B:$E,4,0)))</f>
        <v>0.054776304963434752</v>
      </c>
      <c r="S1665" s="73">
        <f>IF(B1665="",0,P1665*R1665)</f>
        <v>0.93840822110218656</v>
      </c>
      <c r="T1665" s="85">
        <f>IF(B1665="",0,IF(OR(H1665=MappingTables!$C$34,H1665=MappingTables!$C$35),S1665,0))</f>
        <v>0</v>
      </c>
    </row>
    <row r="1666" spans="2:20" s="0" customFormat="0" ht="15">
      <c r="B1666" s="69" t="s">
        <v>4373</v>
      </c>
      <c r="C1666" s="70" t="s">
        <v>4374</v>
      </c>
      <c r="D1666" s="70" t="s">
        <v>1</v>
      </c>
      <c r="E1666" s="70" t="s">
        <v>1</v>
      </c>
      <c r="F1666" s="70"/>
      <c r="G1666" s="70" t="s">
        <v>61</v>
      </c>
      <c r="H1666" s="70" t="s">
        <v>178</v>
      </c>
      <c r="I1666" s="70" t="s">
        <v>204</v>
      </c>
      <c r="J1666" s="71">
        <f>IF(OR(I1666=0,I1666=""),"unrated",VLOOKUP(I1666,MappingTables!$B$19:$C$31,2,FALSE))</f>
        <v>6</v>
      </c>
      <c r="K1666" s="72">
        <v>484.54245143311984</v>
      </c>
      <c r="L1666" s="70">
        <v>0.068491850563202992</v>
      </c>
      <c r="M1666" s="71">
        <f>IF(L1666&lt;1,1,L1666)</f>
        <v>1</v>
      </c>
      <c r="N1666" s="70" t="s">
        <v>3288</v>
      </c>
      <c r="O1666" s="71">
        <f>IF(OR(I1666=$A$1,I1666=0),"",IF(N1666=MappingTables!$C$14,VLOOKUP(J1666,ModelParameters!$M$8:$N$15,2,FALSE),IF(N1666=MappingTables!$C$16,VLOOKUP(J1666,ModelParameters!$P$8:$Q$15,2,FALSE),0)))</f>
        <v>1</v>
      </c>
      <c r="P1666" s="73">
        <f>IF(OR(I1666=0,I1666=$A$1),0,MIN(O1666*M1666,1)*K1666)</f>
        <v>484.54245143311984</v>
      </c>
      <c r="Q1666" s="73">
        <f>IF(B1666="",0,IF(OR(H1666=MappingTables!$C$34,H1666=MappingTables!$C$35),P1666,0))</f>
        <v>0</v>
      </c>
      <c r="R1666" s="73">
        <f>IF(ISNA(IF(AND(VLOOKUP(CONCATENATE($D1666,$G1666),CSRFinput!$B:$E,4,0)=0,OR(H1666=MappingTables!$C$31,H1666=MappingTables!$C$32)),1,VLOOKUP(CONCATENATE($D1666,$G1666),CSRFinput!$B:$E,4,0))),0,IF(AND(VLOOKUP(CONCATENATE($D1666,$G1666),CSRFinput!$B:$E,4,0)=0,OR(H1666=MappingTables!$C$31,H1666=MappingTables!$C$32)),1,VLOOKUP(CONCATENATE($D1666,$G1666),CSRFinput!$B:$E,4,0)))</f>
        <v>0.054776304963434752</v>
      </c>
      <c r="S1666" s="73">
        <f>IF(B1666="",0,P1666*R1666)</f>
        <v>26.541445087430844</v>
      </c>
      <c r="T1666" s="85">
        <f>IF(B1666="",0,IF(OR(H1666=MappingTables!$C$34,H1666=MappingTables!$C$35),S1666,0))</f>
        <v>0</v>
      </c>
    </row>
    <row r="1667" spans="2:20" s="0" customFormat="0" ht="15">
      <c r="B1667" s="69" t="s">
        <v>4265</v>
      </c>
      <c r="C1667" s="70" t="s">
        <v>4266</v>
      </c>
      <c r="D1667" s="70" t="s">
        <v>1</v>
      </c>
      <c r="E1667" s="70" t="s">
        <v>1</v>
      </c>
      <c r="F1667" s="70"/>
      <c r="G1667" s="70" t="s">
        <v>61</v>
      </c>
      <c r="H1667" s="70" t="s">
        <v>178</v>
      </c>
      <c r="I1667" s="70" t="s">
        <v>204</v>
      </c>
      <c r="J1667" s="71">
        <f>IF(OR(I1667=0,I1667=""),"unrated",VLOOKUP(I1667,MappingTables!$B$19:$C$31,2,FALSE))</f>
        <v>6</v>
      </c>
      <c r="K1667" s="72">
        <v>81.839732676405232</v>
      </c>
      <c r="L1667" s="70">
        <v>0.068494626992941992</v>
      </c>
      <c r="M1667" s="71">
        <f>IF(L1667&lt;1,1,L1667)</f>
        <v>1</v>
      </c>
      <c r="N1667" s="70" t="s">
        <v>3288</v>
      </c>
      <c r="O1667" s="71">
        <f>IF(OR(I1667=$A$1,I1667=0),"",IF(N1667=MappingTables!$C$14,VLOOKUP(J1667,ModelParameters!$M$8:$N$15,2,FALSE),IF(N1667=MappingTables!$C$16,VLOOKUP(J1667,ModelParameters!$P$8:$Q$15,2,FALSE),0)))</f>
        <v>1</v>
      </c>
      <c r="P1667" s="73">
        <f>IF(OR(I1667=0,I1667=$A$1),0,MIN(O1667*M1667,1)*K1667)</f>
        <v>81.839732676405232</v>
      </c>
      <c r="Q1667" s="73">
        <f>IF(B1667="",0,IF(OR(H1667=MappingTables!$C$34,H1667=MappingTables!$C$35),P1667,0))</f>
        <v>0</v>
      </c>
      <c r="R1667" s="73">
        <f>IF(ISNA(IF(AND(VLOOKUP(CONCATENATE($D1667,$G1667),CSRFinput!$B:$E,4,0)=0,OR(H1667=MappingTables!$C$31,H1667=MappingTables!$C$32)),1,VLOOKUP(CONCATENATE($D1667,$G1667),CSRFinput!$B:$E,4,0))),0,IF(AND(VLOOKUP(CONCATENATE($D1667,$G1667),CSRFinput!$B:$E,4,0)=0,OR(H1667=MappingTables!$C$31,H1667=MappingTables!$C$32)),1,VLOOKUP(CONCATENATE($D1667,$G1667),CSRFinput!$B:$E,4,0)))</f>
        <v>0.054776304963434752</v>
      </c>
      <c r="S1667" s="73">
        <f>IF(B1667="",0,P1667*R1667)</f>
        <v>4.4828781552087496</v>
      </c>
      <c r="T1667" s="85">
        <f>IF(B1667="",0,IF(OR(H1667=MappingTables!$C$34,H1667=MappingTables!$C$35),S1667,0))</f>
        <v>0</v>
      </c>
    </row>
    <row r="1668" spans="2:20" s="0" customFormat="0" ht="15">
      <c r="B1668" s="69" t="s">
        <v>5102</v>
      </c>
      <c r="C1668" s="70" t="s">
        <v>5103</v>
      </c>
      <c r="D1668" s="70" t="s">
        <v>1</v>
      </c>
      <c r="E1668" s="70" t="s">
        <v>1</v>
      </c>
      <c r="F1668" s="70"/>
      <c r="G1668" s="70" t="s">
        <v>61</v>
      </c>
      <c r="H1668" s="70" t="s">
        <v>178</v>
      </c>
      <c r="I1668" s="70" t="s">
        <v>198</v>
      </c>
      <c r="J1668" s="71" t="str">
        <f>IF(OR(I1668=0,I1668=""),"unrated",VLOOKUP(I1668,MappingTables!$B$19:$C$31,2,FALSE))</f>
        <v>unrated</v>
      </c>
      <c r="K1668" s="72">
        <v>353.9010697692882</v>
      </c>
      <c r="L1668" s="70">
        <v>0.8770428003086408</v>
      </c>
      <c r="M1668" s="71">
        <f>IF(L1668&lt;1,1,L1668)</f>
        <v>1</v>
      </c>
      <c r="N1668" s="70" t="s">
        <v>3288</v>
      </c>
      <c r="O1668" s="71">
        <f>IF(OR(I1668=$A$1,I1668=0),"",IF(N1668=MappingTables!$C$14,VLOOKUP(J1668,ModelParameters!$M$8:$N$15,2,FALSE),IF(N1668=MappingTables!$C$16,VLOOKUP(J1668,ModelParameters!$P$8:$Q$15,2,FALSE),0)))</f>
        <v>1</v>
      </c>
      <c r="P1668" s="73">
        <f>IF(OR(I1668=0,I1668=$A$1),0,MIN(O1668*M1668,1)*K1668)</f>
        <v>353.9010697692882</v>
      </c>
      <c r="Q1668" s="73">
        <f>IF(B1668="",0,IF(OR(H1668=MappingTables!$C$34,H1668=MappingTables!$C$35),P1668,0))</f>
        <v>0</v>
      </c>
      <c r="R1668" s="73">
        <f>IF(ISNA(IF(AND(VLOOKUP(CONCATENATE($D1668,$G1668),CSRFinput!$B:$E,4,0)=0,OR(H1668=MappingTables!$C$31,H1668=MappingTables!$C$32)),1,VLOOKUP(CONCATENATE($D1668,$G1668),CSRFinput!$B:$E,4,0))),0,IF(AND(VLOOKUP(CONCATENATE($D1668,$G1668),CSRFinput!$B:$E,4,0)=0,OR(H1668=MappingTables!$C$31,H1668=MappingTables!$C$32)),1,VLOOKUP(CONCATENATE($D1668,$G1668),CSRFinput!$B:$E,4,0)))</f>
        <v>0.054776304963434752</v>
      </c>
      <c r="S1668" s="73">
        <f>IF(B1668="",0,P1668*R1668)</f>
        <v>19.385392924568328</v>
      </c>
      <c r="T1668" s="85">
        <f>IF(B1668="",0,IF(OR(H1668=MappingTables!$C$34,H1668=MappingTables!$C$35),S1668,0))</f>
        <v>0</v>
      </c>
    </row>
    <row r="1669" spans="2:20" s="0" customFormat="0" ht="15">
      <c r="B1669" s="69" t="s">
        <v>5104</v>
      </c>
      <c r="C1669" s="70" t="s">
        <v>5105</v>
      </c>
      <c r="D1669" s="70" t="s">
        <v>1</v>
      </c>
      <c r="E1669" s="70" t="s">
        <v>1</v>
      </c>
      <c r="F1669" s="70"/>
      <c r="G1669" s="70" t="s">
        <v>61</v>
      </c>
      <c r="H1669" s="70" t="s">
        <v>178</v>
      </c>
      <c r="I1669" s="70" t="s">
        <v>204</v>
      </c>
      <c r="J1669" s="71">
        <f>IF(OR(I1669=0,I1669=""),"unrated",VLOOKUP(I1669,MappingTables!$B$19:$C$31,2,FALSE))</f>
        <v>6</v>
      </c>
      <c r="K1669" s="72">
        <v>25.341412477386088</v>
      </c>
      <c r="L1669" s="70">
        <v>0.06849320413706508</v>
      </c>
      <c r="M1669" s="71">
        <f>IF(L1669&lt;1,1,L1669)</f>
        <v>1</v>
      </c>
      <c r="N1669" s="70" t="s">
        <v>3288</v>
      </c>
      <c r="O1669" s="71">
        <f>IF(OR(I1669=$A$1,I1669=0),"",IF(N1669=MappingTables!$C$14,VLOOKUP(J1669,ModelParameters!$M$8:$N$15,2,FALSE),IF(N1669=MappingTables!$C$16,VLOOKUP(J1669,ModelParameters!$P$8:$Q$15,2,FALSE),0)))</f>
        <v>1</v>
      </c>
      <c r="P1669" s="73">
        <f>IF(OR(I1669=0,I1669=$A$1),0,MIN(O1669*M1669,1)*K1669)</f>
        <v>25.341412477386088</v>
      </c>
      <c r="Q1669" s="73">
        <f>IF(B1669="",0,IF(OR(H1669=MappingTables!$C$34,H1669=MappingTables!$C$35),P1669,0))</f>
        <v>0</v>
      </c>
      <c r="R1669" s="73">
        <f>IF(ISNA(IF(AND(VLOOKUP(CONCATENATE($D1669,$G1669),CSRFinput!$B:$E,4,0)=0,OR(H1669=MappingTables!$C$31,H1669=MappingTables!$C$32)),1,VLOOKUP(CONCATENATE($D1669,$G1669),CSRFinput!$B:$E,4,0))),0,IF(AND(VLOOKUP(CONCATENATE($D1669,$G1669),CSRFinput!$B:$E,4,0)=0,OR(H1669=MappingTables!$C$31,H1669=MappingTables!$C$32)),1,VLOOKUP(CONCATENATE($D1669,$G1669),CSRFinput!$B:$E,4,0)))</f>
        <v>0.054776304963434752</v>
      </c>
      <c r="S1669" s="73">
        <f>IF(B1669="",0,P1669*R1669)</f>
        <v>1.388108938065491</v>
      </c>
      <c r="T1669" s="85">
        <f>IF(B1669="",0,IF(OR(H1669=MappingTables!$C$34,H1669=MappingTables!$C$35),S1669,0))</f>
        <v>0</v>
      </c>
    </row>
    <row r="1670" spans="2:20" s="0" customFormat="0" ht="15">
      <c r="B1670" s="69">
        <v>7065911</v>
      </c>
      <c r="C1670" s="70" t="s">
        <v>4871</v>
      </c>
      <c r="D1670" s="70" t="s">
        <v>1</v>
      </c>
      <c r="E1670" s="70" t="s">
        <v>1</v>
      </c>
      <c r="F1670" s="70"/>
      <c r="G1670" s="70" t="s">
        <v>61</v>
      </c>
      <c r="H1670" s="70" t="s">
        <v>178</v>
      </c>
      <c r="I1670" s="70" t="s">
        <v>198</v>
      </c>
      <c r="J1670" s="71" t="str">
        <f>IF(OR(I1670=0,I1670=""),"unrated",VLOOKUP(I1670,MappingTables!$B$19:$C$31,2,FALSE))</f>
        <v>unrated</v>
      </c>
      <c r="K1670" s="72">
        <v>4.1164199181014632</v>
      </c>
      <c r="L1670" s="70">
        <v>0.1544369517873376</v>
      </c>
      <c r="M1670" s="71">
        <f>IF(L1670&lt;1,1,L1670)</f>
        <v>1</v>
      </c>
      <c r="N1670" s="70" t="s">
        <v>3288</v>
      </c>
      <c r="O1670" s="71">
        <f>IF(OR(I1670=$A$1,I1670=0),"",IF(N1670=MappingTables!$C$14,VLOOKUP(J1670,ModelParameters!$M$8:$N$15,2,FALSE),IF(N1670=MappingTables!$C$16,VLOOKUP(J1670,ModelParameters!$P$8:$Q$15,2,FALSE),0)))</f>
        <v>1</v>
      </c>
      <c r="P1670" s="73">
        <f>IF(OR(I1670=0,I1670=$A$1),0,MIN(O1670*M1670,1)*K1670)</f>
        <v>4.1164199181014632</v>
      </c>
      <c r="Q1670" s="73">
        <f>IF(B1670="",0,IF(OR(H1670=MappingTables!$C$34,H1670=MappingTables!$C$35),P1670,0))</f>
        <v>0</v>
      </c>
      <c r="R1670" s="73">
        <f>IF(ISNA(IF(AND(VLOOKUP(CONCATENATE($D1670,$G1670),CSRFinput!$B:$E,4,0)=0,OR(H1670=MappingTables!$C$31,H1670=MappingTables!$C$32)),1,VLOOKUP(CONCATENATE($D1670,$G1670),CSRFinput!$B:$E,4,0))),0,IF(AND(VLOOKUP(CONCATENATE($D1670,$G1670),CSRFinput!$B:$E,4,0)=0,OR(H1670=MappingTables!$C$31,H1670=MappingTables!$C$32)),1,VLOOKUP(CONCATENATE($D1670,$G1670),CSRFinput!$B:$E,4,0)))</f>
        <v>0.054776304963434752</v>
      </c>
      <c r="S1670" s="73">
        <f>IF(B1670="",0,P1670*R1670)</f>
        <v>0.22548227279148284</v>
      </c>
      <c r="T1670" s="85">
        <f>IF(B1670="",0,IF(OR(H1670=MappingTables!$C$34,H1670=MappingTables!$C$35),S1670,0))</f>
        <v>0</v>
      </c>
    </row>
    <row r="1671" spans="2:20" s="0" customFormat="0" ht="15">
      <c r="B1671" s="69" t="s">
        <v>4955</v>
      </c>
      <c r="C1671" s="70" t="s">
        <v>4956</v>
      </c>
      <c r="D1671" s="70" t="s">
        <v>1</v>
      </c>
      <c r="E1671" s="70" t="s">
        <v>1</v>
      </c>
      <c r="F1671" s="70"/>
      <c r="G1671" s="70" t="s">
        <v>61</v>
      </c>
      <c r="H1671" s="70" t="s">
        <v>178</v>
      </c>
      <c r="I1671" s="70" t="s">
        <v>198</v>
      </c>
      <c r="J1671" s="71" t="str">
        <f>IF(OR(I1671=0,I1671=""),"unrated",VLOOKUP(I1671,MappingTables!$B$19:$C$31,2,FALSE))</f>
        <v>unrated</v>
      </c>
      <c r="K1671" s="72">
        <v>0.43677940455275648</v>
      </c>
      <c r="L1671" s="70">
        <v>6.7219069258567424</v>
      </c>
      <c r="M1671" s="71">
        <f>IF(L1671&lt;1,1,L1671)</f>
        <v>6.7219069258567424</v>
      </c>
      <c r="N1671" s="70" t="s">
        <v>3288</v>
      </c>
      <c r="O1671" s="71">
        <f>IF(OR(I1671=$A$1,I1671=0),"",IF(N1671=MappingTables!$C$14,VLOOKUP(J1671,ModelParameters!$M$8:$N$15,2,FALSE),IF(N1671=MappingTables!$C$16,VLOOKUP(J1671,ModelParameters!$P$8:$Q$15,2,FALSE),0)))</f>
        <v>1</v>
      </c>
      <c r="P1671" s="73">
        <f>IF(OR(I1671=0,I1671=$A$1),0,MIN(O1671*M1671,1)*K1671)</f>
        <v>0.43677940455275648</v>
      </c>
      <c r="Q1671" s="73">
        <f>IF(B1671="",0,IF(OR(H1671=MappingTables!$C$34,H1671=MappingTables!$C$35),P1671,0))</f>
        <v>0</v>
      </c>
      <c r="R1671" s="73">
        <f>IF(ISNA(IF(AND(VLOOKUP(CONCATENATE($D1671,$G1671),CSRFinput!$B:$E,4,0)=0,OR(H1671=MappingTables!$C$31,H1671=MappingTables!$C$32)),1,VLOOKUP(CONCATENATE($D1671,$G1671),CSRFinput!$B:$E,4,0))),0,IF(AND(VLOOKUP(CONCATENATE($D1671,$G1671),CSRFinput!$B:$E,4,0)=0,OR(H1671=MappingTables!$C$31,H1671=MappingTables!$C$32)),1,VLOOKUP(CONCATENATE($D1671,$G1671),CSRFinput!$B:$E,4,0)))</f>
        <v>0.054776304963434752</v>
      </c>
      <c r="S1671" s="73">
        <f>IF(B1671="",0,P1671*R1671)</f>
        <v>0.023925161865529232</v>
      </c>
      <c r="T1671" s="85">
        <f>IF(B1671="",0,IF(OR(H1671=MappingTables!$C$34,H1671=MappingTables!$C$35),S1671,0))</f>
        <v>0</v>
      </c>
    </row>
    <row r="1672" spans="2:20" s="0" customFormat="0" ht="15">
      <c r="B1672" s="69" t="s">
        <v>4548</v>
      </c>
      <c r="C1672" s="70" t="s">
        <v>4549</v>
      </c>
      <c r="D1672" s="70" t="s">
        <v>1</v>
      </c>
      <c r="E1672" s="70" t="s">
        <v>1</v>
      </c>
      <c r="F1672" s="70"/>
      <c r="G1672" s="70" t="s">
        <v>61</v>
      </c>
      <c r="H1672" s="70" t="s">
        <v>178</v>
      </c>
      <c r="I1672" s="70" t="s">
        <v>179</v>
      </c>
      <c r="J1672" s="71">
        <f>IF(OR(I1672=0,I1672=""),"unrated",VLOOKUP(I1672,MappingTables!$B$19:$C$31,2,FALSE))</f>
        <v>4</v>
      </c>
      <c r="K1672" s="72">
        <v>431.40371971388096</v>
      </c>
      <c r="L1672" s="70">
        <v>0.06849371474855212</v>
      </c>
      <c r="M1672" s="71">
        <f>IF(L1672&lt;1,1,L1672)</f>
        <v>1</v>
      </c>
      <c r="N1672" s="70" t="s">
        <v>3288</v>
      </c>
      <c r="O1672" s="71">
        <f>IF(OR(I1672=$A$1,I1672=0),"",IF(N1672=MappingTables!$C$14,VLOOKUP(J1672,ModelParameters!$M$8:$N$15,2,FALSE),IF(N1672=MappingTables!$C$16,VLOOKUP(J1672,ModelParameters!$P$8:$Q$15,2,FALSE),0)))</f>
        <v>0.82</v>
      </c>
      <c r="P1672" s="73">
        <f>IF(OR(I1672=0,I1672=$A$1),0,MIN(O1672*M1672,1)*K1672)</f>
        <v>353.75105016538236</v>
      </c>
      <c r="Q1672" s="73">
        <f>IF(B1672="",0,IF(OR(H1672=MappingTables!$C$34,H1672=MappingTables!$C$35),P1672,0))</f>
        <v>0</v>
      </c>
      <c r="R1672" s="73">
        <f>IF(ISNA(IF(AND(VLOOKUP(CONCATENATE($D1672,$G1672),CSRFinput!$B:$E,4,0)=0,OR(H1672=MappingTables!$C$31,H1672=MappingTables!$C$32)),1,VLOOKUP(CONCATENATE($D1672,$G1672),CSRFinput!$B:$E,4,0))),0,IF(AND(VLOOKUP(CONCATENATE($D1672,$G1672),CSRFinput!$B:$E,4,0)=0,OR(H1672=MappingTables!$C$31,H1672=MappingTables!$C$32)),1,VLOOKUP(CONCATENATE($D1672,$G1672),CSRFinput!$B:$E,4,0)))</f>
        <v>0.054776304963434752</v>
      </c>
      <c r="S1672" s="73">
        <f>IF(B1672="",0,P1672*R1672)</f>
        <v>19.377175404994288</v>
      </c>
      <c r="T1672" s="85">
        <f>IF(B1672="",0,IF(OR(H1672=MappingTables!$C$34,H1672=MappingTables!$C$35),S1672,0))</f>
        <v>0</v>
      </c>
    </row>
    <row r="1673" spans="2:20" s="0" customFormat="0" ht="15">
      <c r="B1673" s="69" t="s">
        <v>5096</v>
      </c>
      <c r="C1673" s="70" t="s">
        <v>5097</v>
      </c>
      <c r="D1673" s="70" t="s">
        <v>1</v>
      </c>
      <c r="E1673" s="70" t="s">
        <v>1</v>
      </c>
      <c r="F1673" s="70"/>
      <c r="G1673" s="70" t="s">
        <v>61</v>
      </c>
      <c r="H1673" s="70" t="s">
        <v>178</v>
      </c>
      <c r="I1673" s="70" t="s">
        <v>198</v>
      </c>
      <c r="J1673" s="71" t="str">
        <f>IF(OR(I1673=0,I1673=""),"unrated",VLOOKUP(I1673,MappingTables!$B$19:$C$31,2,FALSE))</f>
        <v>unrated</v>
      </c>
      <c r="K1673" s="72">
        <v>2138.2145162623876</v>
      </c>
      <c r="L1673" s="70">
        <v>9.2147065483164544</v>
      </c>
      <c r="M1673" s="71">
        <f>IF(L1673&lt;1,1,L1673)</f>
        <v>9.2147065483164544</v>
      </c>
      <c r="N1673" s="70" t="s">
        <v>3288</v>
      </c>
      <c r="O1673" s="71">
        <f>IF(OR(I1673=$A$1,I1673=0),"",IF(N1673=MappingTables!$C$14,VLOOKUP(J1673,ModelParameters!$M$8:$N$15,2,FALSE),IF(N1673=MappingTables!$C$16,VLOOKUP(J1673,ModelParameters!$P$8:$Q$15,2,FALSE),0)))</f>
        <v>1</v>
      </c>
      <c r="P1673" s="73">
        <f>IF(OR(I1673=0,I1673=$A$1),0,MIN(O1673*M1673,1)*K1673)</f>
        <v>2138.2145162623876</v>
      </c>
      <c r="Q1673" s="73">
        <f>IF(B1673="",0,IF(OR(H1673=MappingTables!$C$34,H1673=MappingTables!$C$35),P1673,0))</f>
        <v>0</v>
      </c>
      <c r="R1673" s="73">
        <f>IF(ISNA(IF(AND(VLOOKUP(CONCATENATE($D1673,$G1673),CSRFinput!$B:$E,4,0)=0,OR(H1673=MappingTables!$C$31,H1673=MappingTables!$C$32)),1,VLOOKUP(CONCATENATE($D1673,$G1673),CSRFinput!$B:$E,4,0))),0,IF(AND(VLOOKUP(CONCATENATE($D1673,$G1673),CSRFinput!$B:$E,4,0)=0,OR(H1673=MappingTables!$C$31,H1673=MappingTables!$C$32)),1,VLOOKUP(CONCATENATE($D1673,$G1673),CSRFinput!$B:$E,4,0)))</f>
        <v>0.054776304963434752</v>
      </c>
      <c r="S1673" s="73">
        <f>IF(B1673="",0,P1673*R1673)</f>
        <v>117.12349042003166</v>
      </c>
      <c r="T1673" s="85">
        <f>IF(B1673="",0,IF(OR(H1673=MappingTables!$C$34,H1673=MappingTables!$C$35),S1673,0))</f>
        <v>0</v>
      </c>
    </row>
    <row r="1674" spans="2:20" s="0" customFormat="0" ht="15">
      <c r="B1674" s="69">
        <v>22554099</v>
      </c>
      <c r="C1674" s="70" t="s">
        <v>5075</v>
      </c>
      <c r="D1674" s="70" t="s">
        <v>1</v>
      </c>
      <c r="E1674" s="70" t="s">
        <v>1</v>
      </c>
      <c r="F1674" s="70"/>
      <c r="G1674" s="70" t="s">
        <v>61</v>
      </c>
      <c r="H1674" s="70" t="s">
        <v>178</v>
      </c>
      <c r="I1674" s="70" t="s">
        <v>216</v>
      </c>
      <c r="J1674" s="71">
        <f>IF(OR(I1674=0,I1674=""),"unrated",VLOOKUP(I1674,MappingTables!$B$19:$C$31,2,FALSE))</f>
        <v>0</v>
      </c>
      <c r="K1674" s="72">
        <v>7.1208812197238184</v>
      </c>
      <c r="L1674" s="70">
        <v>0.037771498466623888</v>
      </c>
      <c r="M1674" s="71">
        <f>IF(L1674&lt;1,1,L1674)</f>
        <v>1</v>
      </c>
      <c r="N1674" s="70" t="s">
        <v>3288</v>
      </c>
      <c r="O1674" s="71">
        <f>IF(OR(I1674=$A$1,I1674=0),"",IF(N1674=MappingTables!$C$14,VLOOKUP(J1674,ModelParameters!$M$8:$N$15,2,FALSE),IF(N1674=MappingTables!$C$16,VLOOKUP(J1674,ModelParameters!$P$8:$Q$15,2,FALSE),0)))</f>
        <v>0.125</v>
      </c>
      <c r="P1674" s="73">
        <f>IF(OR(I1674=0,I1674=$A$1),0,MIN(O1674*M1674,1)*K1674)</f>
        <v>0.89011015246547728</v>
      </c>
      <c r="Q1674" s="73">
        <f>IF(B1674="",0,IF(OR(H1674=MappingTables!$C$34,H1674=MappingTables!$C$35),P1674,0))</f>
        <v>0</v>
      </c>
      <c r="R1674" s="73">
        <f>IF(ISNA(IF(AND(VLOOKUP(CONCATENATE($D1674,$G1674),CSRFinput!$B:$E,4,0)=0,OR(H1674=MappingTables!$C$31,H1674=MappingTables!$C$32)),1,VLOOKUP(CONCATENATE($D1674,$G1674),CSRFinput!$B:$E,4,0))),0,IF(AND(VLOOKUP(CONCATENATE($D1674,$G1674),CSRFinput!$B:$E,4,0)=0,OR(H1674=MappingTables!$C$31,H1674=MappingTables!$C$32)),1,VLOOKUP(CONCATENATE($D1674,$G1674),CSRFinput!$B:$E,4,0)))</f>
        <v>0.054776304963434752</v>
      </c>
      <c r="S1674" s="73">
        <f>IF(B1674="",0,P1674*R1674)</f>
        <v>0.048756945162498392</v>
      </c>
      <c r="T1674" s="85">
        <f>IF(B1674="",0,IF(OR(H1674=MappingTables!$C$34,H1674=MappingTables!$C$35),S1674,0))</f>
        <v>0</v>
      </c>
    </row>
    <row r="1675" spans="2:20" s="0" customFormat="0" ht="15">
      <c r="B1675" s="69" t="s">
        <v>5071</v>
      </c>
      <c r="C1675" s="70" t="s">
        <v>5072</v>
      </c>
      <c r="D1675" s="70" t="s">
        <v>1</v>
      </c>
      <c r="E1675" s="70" t="s">
        <v>1</v>
      </c>
      <c r="F1675" s="70"/>
      <c r="G1675" s="70" t="s">
        <v>61</v>
      </c>
      <c r="H1675" s="70" t="s">
        <v>178</v>
      </c>
      <c r="I1675" s="70" t="s">
        <v>198</v>
      </c>
      <c r="J1675" s="71" t="str">
        <f>IF(OR(I1675=0,I1675=""),"unrated",VLOOKUP(I1675,MappingTables!$B$19:$C$31,2,FALSE))</f>
        <v>unrated</v>
      </c>
      <c r="K1675" s="72">
        <v>97.225430823393296</v>
      </c>
      <c r="L1675" s="70">
        <v>7.9422746778664768</v>
      </c>
      <c r="M1675" s="71">
        <f>IF(L1675&lt;1,1,L1675)</f>
        <v>7.9422746778664768</v>
      </c>
      <c r="N1675" s="70" t="s">
        <v>3288</v>
      </c>
      <c r="O1675" s="71">
        <f>IF(OR(I1675=$A$1,I1675=0),"",IF(N1675=MappingTables!$C$14,VLOOKUP(J1675,ModelParameters!$M$8:$N$15,2,FALSE),IF(N1675=MappingTables!$C$16,VLOOKUP(J1675,ModelParameters!$P$8:$Q$15,2,FALSE),0)))</f>
        <v>1</v>
      </c>
      <c r="P1675" s="73">
        <f>IF(OR(I1675=0,I1675=$A$1),0,MIN(O1675*M1675,1)*K1675)</f>
        <v>97.225430823393296</v>
      </c>
      <c r="Q1675" s="73">
        <f>IF(B1675="",0,IF(OR(H1675=MappingTables!$C$34,H1675=MappingTables!$C$35),P1675,0))</f>
        <v>0</v>
      </c>
      <c r="R1675" s="73">
        <f>IF(ISNA(IF(AND(VLOOKUP(CONCATENATE($D1675,$G1675),CSRFinput!$B:$E,4,0)=0,OR(H1675=MappingTables!$C$31,H1675=MappingTables!$C$32)),1,VLOOKUP(CONCATENATE($D1675,$G1675),CSRFinput!$B:$E,4,0))),0,IF(AND(VLOOKUP(CONCATENATE($D1675,$G1675),CSRFinput!$B:$E,4,0)=0,OR(H1675=MappingTables!$C$31,H1675=MappingTables!$C$32)),1,VLOOKUP(CONCATENATE($D1675,$G1675),CSRFinput!$B:$E,4,0)))</f>
        <v>0.054776304963434752</v>
      </c>
      <c r="S1675" s="73">
        <f>IF(B1675="",0,P1675*R1675)</f>
        <v>5.32564984898352</v>
      </c>
      <c r="T1675" s="85">
        <f>IF(B1675="",0,IF(OR(H1675=MappingTables!$C$34,H1675=MappingTables!$C$35),S1675,0))</f>
        <v>0</v>
      </c>
    </row>
    <row r="1676" spans="2:20" s="0" customFormat="0" ht="15">
      <c r="B1676" s="69" t="s">
        <v>3419</v>
      </c>
      <c r="C1676" s="70" t="s">
        <v>3420</v>
      </c>
      <c r="D1676" s="70" t="s">
        <v>1</v>
      </c>
      <c r="E1676" s="70" t="s">
        <v>1</v>
      </c>
      <c r="F1676" s="70"/>
      <c r="G1676" s="70" t="s">
        <v>61</v>
      </c>
      <c r="H1676" s="70" t="s">
        <v>178</v>
      </c>
      <c r="I1676" s="70" t="s">
        <v>3298</v>
      </c>
      <c r="J1676" s="71">
        <f>IF(OR(I1676=0,I1676=""),"unrated",VLOOKUP(I1676,MappingTables!$B$19:$C$31,2,FALSE))</f>
        <v>6</v>
      </c>
      <c r="K1676" s="72">
        <v>51.087772371664688</v>
      </c>
      <c r="L1676" s="70">
        <v>-0.25814191726987412</v>
      </c>
      <c r="M1676" s="71">
        <f>IF(L1676&lt;1,1,L1676)</f>
        <v>1</v>
      </c>
      <c r="N1676" s="70" t="s">
        <v>3288</v>
      </c>
      <c r="O1676" s="71">
        <f>IF(OR(I1676=$A$1,I1676=0),"",IF(N1676=MappingTables!$C$14,VLOOKUP(J1676,ModelParameters!$M$8:$N$15,2,FALSE),IF(N1676=MappingTables!$C$16,VLOOKUP(J1676,ModelParameters!$P$8:$Q$15,2,FALSE),0)))</f>
        <v>1</v>
      </c>
      <c r="P1676" s="73">
        <f>IF(OR(I1676=0,I1676=$A$1),0,MIN(O1676*M1676,1)*K1676)</f>
        <v>51.087772371664688</v>
      </c>
      <c r="Q1676" s="73">
        <f>IF(B1676="",0,IF(OR(H1676=MappingTables!$C$34,H1676=MappingTables!$C$35),P1676,0))</f>
        <v>0</v>
      </c>
      <c r="R1676" s="73">
        <f>IF(ISNA(IF(AND(VLOOKUP(CONCATENATE($D1676,$G1676),CSRFinput!$B:$E,4,0)=0,OR(H1676=MappingTables!$C$31,H1676=MappingTables!$C$32)),1,VLOOKUP(CONCATENATE($D1676,$G1676),CSRFinput!$B:$E,4,0))),0,IF(AND(VLOOKUP(CONCATENATE($D1676,$G1676),CSRFinput!$B:$E,4,0)=0,OR(H1676=MappingTables!$C$31,H1676=MappingTables!$C$32)),1,VLOOKUP(CONCATENATE($D1676,$G1676),CSRFinput!$B:$E,4,0)))</f>
        <v>0.054776304963434752</v>
      </c>
      <c r="S1676" s="73">
        <f>IF(B1676="",0,P1676*R1676)</f>
        <v>2.7983993993328412</v>
      </c>
      <c r="T1676" s="85">
        <f>IF(B1676="",0,IF(OR(H1676=MappingTables!$C$34,H1676=MappingTables!$C$35),S1676,0))</f>
        <v>0</v>
      </c>
    </row>
    <row r="1677" spans="2:20" s="0" customFormat="0" ht="15">
      <c r="B1677" s="69" t="s">
        <v>5031</v>
      </c>
      <c r="C1677" s="70" t="s">
        <v>5032</v>
      </c>
      <c r="D1677" s="70" t="s">
        <v>1</v>
      </c>
      <c r="E1677" s="70" t="s">
        <v>1</v>
      </c>
      <c r="F1677" s="70"/>
      <c r="G1677" s="70" t="s">
        <v>61</v>
      </c>
      <c r="H1677" s="70" t="s">
        <v>178</v>
      </c>
      <c r="I1677" s="70" t="s">
        <v>198</v>
      </c>
      <c r="J1677" s="71" t="str">
        <f>IF(OR(I1677=0,I1677=""),"unrated",VLOOKUP(I1677,MappingTables!$B$19:$C$31,2,FALSE))</f>
        <v>unrated</v>
      </c>
      <c r="K1677" s="72">
        <v>68.258122666730784</v>
      </c>
      <c r="L1677" s="70">
        <v>0.068489131539780448</v>
      </c>
      <c r="M1677" s="71">
        <f>IF(L1677&lt;1,1,L1677)</f>
        <v>1</v>
      </c>
      <c r="N1677" s="70" t="s">
        <v>3288</v>
      </c>
      <c r="O1677" s="71">
        <f>IF(OR(I1677=$A$1,I1677=0),"",IF(N1677=MappingTables!$C$14,VLOOKUP(J1677,ModelParameters!$M$8:$N$15,2,FALSE),IF(N1677=MappingTables!$C$16,VLOOKUP(J1677,ModelParameters!$P$8:$Q$15,2,FALSE),0)))</f>
        <v>1</v>
      </c>
      <c r="P1677" s="73">
        <f>IF(OR(I1677=0,I1677=$A$1),0,MIN(O1677*M1677,1)*K1677)</f>
        <v>68.258122666730784</v>
      </c>
      <c r="Q1677" s="73">
        <f>IF(B1677="",0,IF(OR(H1677=MappingTables!$C$34,H1677=MappingTables!$C$35),P1677,0))</f>
        <v>0</v>
      </c>
      <c r="R1677" s="73">
        <f>IF(ISNA(IF(AND(VLOOKUP(CONCATENATE($D1677,$G1677),CSRFinput!$B:$E,4,0)=0,OR(H1677=MappingTables!$C$31,H1677=MappingTables!$C$32)),1,VLOOKUP(CONCATENATE($D1677,$G1677),CSRFinput!$B:$E,4,0))),0,IF(AND(VLOOKUP(CONCATENATE($D1677,$G1677),CSRFinput!$B:$E,4,0)=0,OR(H1677=MappingTables!$C$31,H1677=MappingTables!$C$32)),1,VLOOKUP(CONCATENATE($D1677,$G1677),CSRFinput!$B:$E,4,0)))</f>
        <v>0.054776304963434752</v>
      </c>
      <c r="S1677" s="73">
        <f>IF(B1677="",0,P1677*R1677)</f>
        <v>3.738927743424384</v>
      </c>
      <c r="T1677" s="85">
        <f>IF(B1677="",0,IF(OR(H1677=MappingTables!$C$34,H1677=MappingTables!$C$35),S1677,0))</f>
        <v>0</v>
      </c>
    </row>
    <row r="1678" spans="2:20" s="0" customFormat="0" ht="15">
      <c r="B1678" s="69" t="s">
        <v>5054</v>
      </c>
      <c r="C1678" s="70" t="s">
        <v>5055</v>
      </c>
      <c r="D1678" s="70" t="s">
        <v>1</v>
      </c>
      <c r="E1678" s="70" t="s">
        <v>1</v>
      </c>
      <c r="F1678" s="70"/>
      <c r="G1678" s="70" t="s">
        <v>61</v>
      </c>
      <c r="H1678" s="70" t="s">
        <v>178</v>
      </c>
      <c r="I1678" s="70" t="s">
        <v>220</v>
      </c>
      <c r="J1678" s="71">
        <f>IF(OR(I1678=0,I1678=""),"unrated",VLOOKUP(I1678,MappingTables!$B$19:$C$31,2,FALSE))</f>
        <v>1</v>
      </c>
      <c r="K1678" s="72">
        <v>24.35697590885506</v>
      </c>
      <c r="L1678" s="70">
        <v>0.06849056602105724</v>
      </c>
      <c r="M1678" s="71">
        <f>IF(L1678&lt;1,1,L1678)</f>
        <v>1</v>
      </c>
      <c r="N1678" s="70" t="s">
        <v>3288</v>
      </c>
      <c r="O1678" s="71">
        <f>IF(OR(I1678=$A$1,I1678=0),"",IF(N1678=MappingTables!$C$14,VLOOKUP(J1678,ModelParameters!$M$8:$N$15,2,FALSE),IF(N1678=MappingTables!$C$16,VLOOKUP(J1678,ModelParameters!$P$8:$Q$15,2,FALSE),0)))</f>
        <v>0.134</v>
      </c>
      <c r="P1678" s="73">
        <f>IF(OR(I1678=0,I1678=$A$1),0,MIN(O1678*M1678,1)*K1678)</f>
        <v>3.2638347717865784</v>
      </c>
      <c r="Q1678" s="73">
        <f>IF(B1678="",0,IF(OR(H1678=MappingTables!$C$34,H1678=MappingTables!$C$35),P1678,0))</f>
        <v>0</v>
      </c>
      <c r="R1678" s="73">
        <f>IF(ISNA(IF(AND(VLOOKUP(CONCATENATE($D1678,$G1678),CSRFinput!$B:$E,4,0)=0,OR(H1678=MappingTables!$C$31,H1678=MappingTables!$C$32)),1,VLOOKUP(CONCATENATE($D1678,$G1678),CSRFinput!$B:$E,4,0))),0,IF(AND(VLOOKUP(CONCATENATE($D1678,$G1678),CSRFinput!$B:$E,4,0)=0,OR(H1678=MappingTables!$C$31,H1678=MappingTables!$C$32)),1,VLOOKUP(CONCATENATE($D1678,$G1678),CSRFinput!$B:$E,4,0)))</f>
        <v>0.054776304963434752</v>
      </c>
      <c r="S1678" s="73">
        <f>IF(B1678="",0,P1678*R1678)</f>
        <v>0.17878080880964408</v>
      </c>
      <c r="T1678" s="85">
        <f>IF(B1678="",0,IF(OR(H1678=MappingTables!$C$34,H1678=MappingTables!$C$35),S1678,0))</f>
        <v>0</v>
      </c>
    </row>
    <row r="1679" spans="2:20" s="0" customFormat="0" ht="15">
      <c r="B1679" s="69">
        <v>2986422</v>
      </c>
      <c r="C1679" s="70" t="s">
        <v>5106</v>
      </c>
      <c r="D1679" s="70" t="s">
        <v>1</v>
      </c>
      <c r="E1679" s="70" t="s">
        <v>1</v>
      </c>
      <c r="F1679" s="70"/>
      <c r="G1679" s="70" t="s">
        <v>61</v>
      </c>
      <c r="H1679" s="70" t="s">
        <v>178</v>
      </c>
      <c r="I1679" s="70" t="s">
        <v>184</v>
      </c>
      <c r="J1679" s="71">
        <f>IF(OR(I1679=0,I1679=""),"unrated",VLOOKUP(I1679,MappingTables!$B$19:$C$31,2,FALSE))</f>
        <v>5</v>
      </c>
      <c r="K1679" s="72">
        <v>31.108022929293212</v>
      </c>
      <c r="L1679" s="70">
        <v>0.076726298204093328</v>
      </c>
      <c r="M1679" s="71">
        <f>IF(L1679&lt;1,1,L1679)</f>
        <v>1</v>
      </c>
      <c r="N1679" s="70" t="s">
        <v>3288</v>
      </c>
      <c r="O1679" s="71">
        <f>IF(OR(I1679=$A$1,I1679=0),"",IF(N1679=MappingTables!$C$14,VLOOKUP(J1679,ModelParameters!$M$8:$N$15,2,FALSE),IF(N1679=MappingTables!$C$16,VLOOKUP(J1679,ModelParameters!$P$8:$Q$15,2,FALSE),0)))</f>
        <v>1</v>
      </c>
      <c r="P1679" s="73">
        <f>IF(OR(I1679=0,I1679=$A$1),0,MIN(O1679*M1679,1)*K1679)</f>
        <v>31.108022929293212</v>
      </c>
      <c r="Q1679" s="73">
        <f>IF(B1679="",0,IF(OR(H1679=MappingTables!$C$34,H1679=MappingTables!$C$35),P1679,0))</f>
        <v>0</v>
      </c>
      <c r="R1679" s="73">
        <f>IF(ISNA(IF(AND(VLOOKUP(CONCATENATE($D1679,$G1679),CSRFinput!$B:$E,4,0)=0,OR(H1679=MappingTables!$C$31,H1679=MappingTables!$C$32)),1,VLOOKUP(CONCATENATE($D1679,$G1679),CSRFinput!$B:$E,4,0))),0,IF(AND(VLOOKUP(CONCATENATE($D1679,$G1679),CSRFinput!$B:$E,4,0)=0,OR(H1679=MappingTables!$C$31,H1679=MappingTables!$C$32)),1,VLOOKUP(CONCATENATE($D1679,$G1679),CSRFinput!$B:$E,4,0)))</f>
        <v>0.054776304963434752</v>
      </c>
      <c r="S1679" s="73">
        <f>IF(B1679="",0,P1679*R1679)</f>
        <v>1.703982550784486</v>
      </c>
      <c r="T1679" s="85">
        <f>IF(B1679="",0,IF(OR(H1679=MappingTables!$C$34,H1679=MappingTables!$C$35),S1679,0))</f>
        <v>0</v>
      </c>
    </row>
    <row r="1680" spans="2:20" s="0" customFormat="0" ht="15">
      <c r="B1680" s="69">
        <v>16974057</v>
      </c>
      <c r="C1680" s="70" t="s">
        <v>5107</v>
      </c>
      <c r="D1680" s="70" t="s">
        <v>1</v>
      </c>
      <c r="E1680" s="70" t="s">
        <v>1</v>
      </c>
      <c r="F1680" s="70"/>
      <c r="G1680" s="70" t="s">
        <v>61</v>
      </c>
      <c r="H1680" s="70" t="s">
        <v>178</v>
      </c>
      <c r="I1680" s="70" t="s">
        <v>198</v>
      </c>
      <c r="J1680" s="71" t="str">
        <f>IF(OR(I1680=0,I1680=""),"unrated",VLOOKUP(I1680,MappingTables!$B$19:$C$31,2,FALSE))</f>
        <v>unrated</v>
      </c>
      <c r="K1680" s="72">
        <v>210.21643344505476</v>
      </c>
      <c r="L1680" s="70">
        <v>0.084441632511812544</v>
      </c>
      <c r="M1680" s="71">
        <f>IF(L1680&lt;1,1,L1680)</f>
        <v>1</v>
      </c>
      <c r="N1680" s="70" t="s">
        <v>3288</v>
      </c>
      <c r="O1680" s="71">
        <f>IF(OR(I1680=$A$1,I1680=0),"",IF(N1680=MappingTables!$C$14,VLOOKUP(J1680,ModelParameters!$M$8:$N$15,2,FALSE),IF(N1680=MappingTables!$C$16,VLOOKUP(J1680,ModelParameters!$P$8:$Q$15,2,FALSE),0)))</f>
        <v>1</v>
      </c>
      <c r="P1680" s="73">
        <f>IF(OR(I1680=0,I1680=$A$1),0,MIN(O1680*M1680,1)*K1680)</f>
        <v>210.21643344505476</v>
      </c>
      <c r="Q1680" s="73">
        <f>IF(B1680="",0,IF(OR(H1680=MappingTables!$C$34,H1680=MappingTables!$C$35),P1680,0))</f>
        <v>0</v>
      </c>
      <c r="R1680" s="73">
        <f>IF(ISNA(IF(AND(VLOOKUP(CONCATENATE($D1680,$G1680),CSRFinput!$B:$E,4,0)=0,OR(H1680=MappingTables!$C$31,H1680=MappingTables!$C$32)),1,VLOOKUP(CONCATENATE($D1680,$G1680),CSRFinput!$B:$E,4,0))),0,IF(AND(VLOOKUP(CONCATENATE($D1680,$G1680),CSRFinput!$B:$E,4,0)=0,OR(H1680=MappingTables!$C$31,H1680=MappingTables!$C$32)),1,VLOOKUP(CONCATENATE($D1680,$G1680),CSRFinput!$B:$E,4,0)))</f>
        <v>0.054776304963434752</v>
      </c>
      <c r="S1680" s="73">
        <f>IF(B1680="",0,P1680*R1680)</f>
        <v>11.514879466711904</v>
      </c>
      <c r="T1680" s="85">
        <f>IF(B1680="",0,IF(OR(H1680=MappingTables!$C$34,H1680=MappingTables!$C$35),S1680,0))</f>
        <v>0</v>
      </c>
    </row>
    <row r="1681" spans="2:20" s="0" customFormat="0" ht="15">
      <c r="B1681" s="69" t="s">
        <v>5108</v>
      </c>
      <c r="C1681" s="70" t="s">
        <v>5109</v>
      </c>
      <c r="D1681" s="70" t="s">
        <v>1</v>
      </c>
      <c r="E1681" s="70" t="s">
        <v>1</v>
      </c>
      <c r="F1681" s="70"/>
      <c r="G1681" s="70" t="s">
        <v>61</v>
      </c>
      <c r="H1681" s="70" t="s">
        <v>178</v>
      </c>
      <c r="I1681" s="70" t="s">
        <v>204</v>
      </c>
      <c r="J1681" s="71">
        <f>IF(OR(I1681=0,I1681=""),"unrated",VLOOKUP(I1681,MappingTables!$B$19:$C$31,2,FALSE))</f>
        <v>6</v>
      </c>
      <c r="K1681" s="72">
        <v>120.07210387052796</v>
      </c>
      <c r="L1681" s="70">
        <v>0.06849732220463128</v>
      </c>
      <c r="M1681" s="71">
        <f>IF(L1681&lt;1,1,L1681)</f>
        <v>1</v>
      </c>
      <c r="N1681" s="70" t="s">
        <v>3288</v>
      </c>
      <c r="O1681" s="71">
        <f>IF(OR(I1681=$A$1,I1681=0),"",IF(N1681=MappingTables!$C$14,VLOOKUP(J1681,ModelParameters!$M$8:$N$15,2,FALSE),IF(N1681=MappingTables!$C$16,VLOOKUP(J1681,ModelParameters!$P$8:$Q$15,2,FALSE),0)))</f>
        <v>1</v>
      </c>
      <c r="P1681" s="73">
        <f>IF(OR(I1681=0,I1681=$A$1),0,MIN(O1681*M1681,1)*K1681)</f>
        <v>120.07210387052796</v>
      </c>
      <c r="Q1681" s="73">
        <f>IF(B1681="",0,IF(OR(H1681=MappingTables!$C$34,H1681=MappingTables!$C$35),P1681,0))</f>
        <v>0</v>
      </c>
      <c r="R1681" s="73">
        <f>IF(ISNA(IF(AND(VLOOKUP(CONCATENATE($D1681,$G1681),CSRFinput!$B:$E,4,0)=0,OR(H1681=MappingTables!$C$31,H1681=MappingTables!$C$32)),1,VLOOKUP(CONCATENATE($D1681,$G1681),CSRFinput!$B:$E,4,0))),0,IF(AND(VLOOKUP(CONCATENATE($D1681,$G1681),CSRFinput!$B:$E,4,0)=0,OR(H1681=MappingTables!$C$31,H1681=MappingTables!$C$32)),1,VLOOKUP(CONCATENATE($D1681,$G1681),CSRFinput!$B:$E,4,0)))</f>
        <v>0.054776304963434752</v>
      </c>
      <c r="S1681" s="73">
        <f>IF(B1681="",0,P1681*R1681)</f>
        <v>6.5771061792132536</v>
      </c>
      <c r="T1681" s="85">
        <f>IF(B1681="",0,IF(OR(H1681=MappingTables!$C$34,H1681=MappingTables!$C$35),S1681,0))</f>
        <v>0</v>
      </c>
    </row>
    <row r="1682" spans="2:20" s="0" customFormat="0" ht="15">
      <c r="B1682" s="69" t="s">
        <v>5110</v>
      </c>
      <c r="C1682" s="70" t="s">
        <v>5111</v>
      </c>
      <c r="D1682" s="70" t="s">
        <v>1</v>
      </c>
      <c r="E1682" s="70" t="s">
        <v>1</v>
      </c>
      <c r="F1682" s="70"/>
      <c r="G1682" s="70" t="s">
        <v>61</v>
      </c>
      <c r="H1682" s="70" t="s">
        <v>178</v>
      </c>
      <c r="I1682" s="70" t="s">
        <v>184</v>
      </c>
      <c r="J1682" s="71">
        <f>IF(OR(I1682=0,I1682=""),"unrated",VLOOKUP(I1682,MappingTables!$B$19:$C$31,2,FALSE))</f>
        <v>5</v>
      </c>
      <c r="K1682" s="72">
        <v>1005.7077301411498</v>
      </c>
      <c r="L1682" s="70">
        <v>0.068100344744126896</v>
      </c>
      <c r="M1682" s="71">
        <f>IF(L1682&lt;1,1,L1682)</f>
        <v>1</v>
      </c>
      <c r="N1682" s="70" t="s">
        <v>3288</v>
      </c>
      <c r="O1682" s="71">
        <f>IF(OR(I1682=$A$1,I1682=0),"",IF(N1682=MappingTables!$C$14,VLOOKUP(J1682,ModelParameters!$M$8:$N$15,2,FALSE),IF(N1682=MappingTables!$C$16,VLOOKUP(J1682,ModelParameters!$P$8:$Q$15,2,FALSE),0)))</f>
        <v>1</v>
      </c>
      <c r="P1682" s="73">
        <f>IF(OR(I1682=0,I1682=$A$1),0,MIN(O1682*M1682,1)*K1682)</f>
        <v>1005.7077301411498</v>
      </c>
      <c r="Q1682" s="73">
        <f>IF(B1682="",0,IF(OR(H1682=MappingTables!$C$34,H1682=MappingTables!$C$35),P1682,0))</f>
        <v>0</v>
      </c>
      <c r="R1682" s="73">
        <f>IF(ISNA(IF(AND(VLOOKUP(CONCATENATE($D1682,$G1682),CSRFinput!$B:$E,4,0)=0,OR(H1682=MappingTables!$C$31,H1682=MappingTables!$C$32)),1,VLOOKUP(CONCATENATE($D1682,$G1682),CSRFinput!$B:$E,4,0))),0,IF(AND(VLOOKUP(CONCATENATE($D1682,$G1682),CSRFinput!$B:$E,4,0)=0,OR(H1682=MappingTables!$C$31,H1682=MappingTables!$C$32)),1,VLOOKUP(CONCATENATE($D1682,$G1682),CSRFinput!$B:$E,4,0)))</f>
        <v>0.054776304963434752</v>
      </c>
      <c r="S1682" s="73">
        <f>IF(B1682="",0,P1682*R1682)</f>
        <v>55.08895333029536</v>
      </c>
      <c r="T1682" s="85">
        <f>IF(B1682="",0,IF(OR(H1682=MappingTables!$C$34,H1682=MappingTables!$C$35),S1682,0))</f>
        <v>0</v>
      </c>
    </row>
    <row r="1683" spans="2:20" s="0" customFormat="0" ht="15">
      <c r="B1683" s="69" t="s">
        <v>4843</v>
      </c>
      <c r="C1683" s="70" t="s">
        <v>4844</v>
      </c>
      <c r="D1683" s="70" t="s">
        <v>1</v>
      </c>
      <c r="E1683" s="70" t="s">
        <v>1</v>
      </c>
      <c r="F1683" s="70"/>
      <c r="G1683" s="70" t="s">
        <v>61</v>
      </c>
      <c r="H1683" s="70" t="s">
        <v>178</v>
      </c>
      <c r="I1683" s="70" t="s">
        <v>198</v>
      </c>
      <c r="J1683" s="71" t="str">
        <f>IF(OR(I1683=0,I1683=""),"unrated",VLOOKUP(I1683,MappingTables!$B$19:$C$31,2,FALSE))</f>
        <v>unrated</v>
      </c>
      <c r="K1683" s="72">
        <v>3100.5686102511264</v>
      </c>
      <c r="L1683" s="70">
        <v>8.5138064630589232</v>
      </c>
      <c r="M1683" s="71">
        <f>IF(L1683&lt;1,1,L1683)</f>
        <v>8.5138064630589232</v>
      </c>
      <c r="N1683" s="70" t="s">
        <v>3288</v>
      </c>
      <c r="O1683" s="71">
        <f>IF(OR(I1683=$A$1,I1683=0),"",IF(N1683=MappingTables!$C$14,VLOOKUP(J1683,ModelParameters!$M$8:$N$15,2,FALSE),IF(N1683=MappingTables!$C$16,VLOOKUP(J1683,ModelParameters!$P$8:$Q$15,2,FALSE),0)))</f>
        <v>1</v>
      </c>
      <c r="P1683" s="73">
        <f>IF(OR(I1683=0,I1683=$A$1),0,MIN(O1683*M1683,1)*K1683)</f>
        <v>3100.5686102511264</v>
      </c>
      <c r="Q1683" s="73">
        <f>IF(B1683="",0,IF(OR(H1683=MappingTables!$C$34,H1683=MappingTables!$C$35),P1683,0))</f>
        <v>0</v>
      </c>
      <c r="R1683" s="73">
        <f>IF(ISNA(IF(AND(VLOOKUP(CONCATENATE($D1683,$G1683),CSRFinput!$B:$E,4,0)=0,OR(H1683=MappingTables!$C$31,H1683=MappingTables!$C$32)),1,VLOOKUP(CONCATENATE($D1683,$G1683),CSRFinput!$B:$E,4,0))),0,IF(AND(VLOOKUP(CONCATENATE($D1683,$G1683),CSRFinput!$B:$E,4,0)=0,OR(H1683=MappingTables!$C$31,H1683=MappingTables!$C$32)),1,VLOOKUP(CONCATENATE($D1683,$G1683),CSRFinput!$B:$E,4,0)))</f>
        <v>0.054776304963434752</v>
      </c>
      <c r="S1683" s="73">
        <f>IF(B1683="",0,P1683*R1683)</f>
        <v>169.83769175516878</v>
      </c>
      <c r="T1683" s="85">
        <f>IF(B1683="",0,IF(OR(H1683=MappingTables!$C$34,H1683=MappingTables!$C$35),S1683,0))</f>
        <v>0</v>
      </c>
    </row>
    <row r="1684" spans="2:20" s="0" customFormat="0" ht="15">
      <c r="B1684" s="69">
        <v>22554296</v>
      </c>
      <c r="C1684" s="70" t="s">
        <v>4101</v>
      </c>
      <c r="D1684" s="70" t="s">
        <v>1</v>
      </c>
      <c r="E1684" s="70" t="s">
        <v>1</v>
      </c>
      <c r="F1684" s="70"/>
      <c r="G1684" s="70" t="s">
        <v>61</v>
      </c>
      <c r="H1684" s="70" t="s">
        <v>178</v>
      </c>
      <c r="I1684" s="70" t="s">
        <v>216</v>
      </c>
      <c r="J1684" s="71">
        <f>IF(OR(I1684=0,I1684=""),"unrated",VLOOKUP(I1684,MappingTables!$B$19:$C$31,2,FALSE))</f>
        <v>0</v>
      </c>
      <c r="K1684" s="72">
        <v>105.61056359563622</v>
      </c>
      <c r="L1684" s="70">
        <v>0.025563466935933004</v>
      </c>
      <c r="M1684" s="71">
        <f>IF(L1684&lt;1,1,L1684)</f>
        <v>1</v>
      </c>
      <c r="N1684" s="70" t="s">
        <v>3288</v>
      </c>
      <c r="O1684" s="71">
        <f>IF(OR(I1684=$A$1,I1684=0),"",IF(N1684=MappingTables!$C$14,VLOOKUP(J1684,ModelParameters!$M$8:$N$15,2,FALSE),IF(N1684=MappingTables!$C$16,VLOOKUP(J1684,ModelParameters!$P$8:$Q$15,2,FALSE),0)))</f>
        <v>0.125</v>
      </c>
      <c r="P1684" s="73">
        <f>IF(OR(I1684=0,I1684=$A$1),0,MIN(O1684*M1684,1)*K1684)</f>
        <v>13.201320449454528</v>
      </c>
      <c r="Q1684" s="73">
        <f>IF(B1684="",0,IF(OR(H1684=MappingTables!$C$34,H1684=MappingTables!$C$35),P1684,0))</f>
        <v>0</v>
      </c>
      <c r="R1684" s="73">
        <f>IF(ISNA(IF(AND(VLOOKUP(CONCATENATE($D1684,$G1684),CSRFinput!$B:$E,4,0)=0,OR(H1684=MappingTables!$C$31,H1684=MappingTables!$C$32)),1,VLOOKUP(CONCATENATE($D1684,$G1684),CSRFinput!$B:$E,4,0))),0,IF(AND(VLOOKUP(CONCATENATE($D1684,$G1684),CSRFinput!$B:$E,4,0)=0,OR(H1684=MappingTables!$C$31,H1684=MappingTables!$C$32)),1,VLOOKUP(CONCATENATE($D1684,$G1684),CSRFinput!$B:$E,4,0)))</f>
        <v>0.054776304963434752</v>
      </c>
      <c r="S1684" s="73">
        <f>IF(B1684="",0,P1684*R1684)</f>
        <v>0.7231195548593488</v>
      </c>
      <c r="T1684" s="85">
        <f>IF(B1684="",0,IF(OR(H1684=MappingTables!$C$34,H1684=MappingTables!$C$35),S1684,0))</f>
        <v>0</v>
      </c>
    </row>
    <row r="1685" spans="2:20" s="0" customFormat="0" ht="15">
      <c r="B1685" s="69" t="s">
        <v>4861</v>
      </c>
      <c r="C1685" s="70" t="s">
        <v>4862</v>
      </c>
      <c r="D1685" s="70" t="s">
        <v>1</v>
      </c>
      <c r="E1685" s="70" t="s">
        <v>1</v>
      </c>
      <c r="F1685" s="70"/>
      <c r="G1685" s="70" t="s">
        <v>61</v>
      </c>
      <c r="H1685" s="70" t="s">
        <v>178</v>
      </c>
      <c r="I1685" s="70" t="s">
        <v>3298</v>
      </c>
      <c r="J1685" s="71">
        <f>IF(OR(I1685=0,I1685=""),"unrated",VLOOKUP(I1685,MappingTables!$B$19:$C$31,2,FALSE))</f>
        <v>6</v>
      </c>
      <c r="K1685" s="72">
        <v>1354.943704843902</v>
      </c>
      <c r="L1685" s="70">
        <v>0.049987163767984656</v>
      </c>
      <c r="M1685" s="71">
        <f>IF(L1685&lt;1,1,L1685)</f>
        <v>1</v>
      </c>
      <c r="N1685" s="70" t="s">
        <v>3288</v>
      </c>
      <c r="O1685" s="71">
        <f>IF(OR(I1685=$A$1,I1685=0),"",IF(N1685=MappingTables!$C$14,VLOOKUP(J1685,ModelParameters!$M$8:$N$15,2,FALSE),IF(N1685=MappingTables!$C$16,VLOOKUP(J1685,ModelParameters!$P$8:$Q$15,2,FALSE),0)))</f>
        <v>1</v>
      </c>
      <c r="P1685" s="73">
        <f>IF(OR(I1685=0,I1685=$A$1),0,MIN(O1685*M1685,1)*K1685)</f>
        <v>1354.943704843902</v>
      </c>
      <c r="Q1685" s="73">
        <f>IF(B1685="",0,IF(OR(H1685=MappingTables!$C$34,H1685=MappingTables!$C$35),P1685,0))</f>
        <v>0</v>
      </c>
      <c r="R1685" s="73">
        <f>IF(ISNA(IF(AND(VLOOKUP(CONCATENATE($D1685,$G1685),CSRFinput!$B:$E,4,0)=0,OR(H1685=MappingTables!$C$31,H1685=MappingTables!$C$32)),1,VLOOKUP(CONCATENATE($D1685,$G1685),CSRFinput!$B:$E,4,0))),0,IF(AND(VLOOKUP(CONCATENATE($D1685,$G1685),CSRFinput!$B:$E,4,0)=0,OR(H1685=MappingTables!$C$31,H1685=MappingTables!$C$32)),1,VLOOKUP(CONCATENATE($D1685,$G1685),CSRFinput!$B:$E,4,0)))</f>
        <v>0.054776304963434752</v>
      </c>
      <c r="S1685" s="73">
        <f>IF(B1685="",0,P1685*R1685)</f>
        <v>74.218809584815696</v>
      </c>
      <c r="T1685" s="85">
        <f>IF(B1685="",0,IF(OR(H1685=MappingTables!$C$34,H1685=MappingTables!$C$35),S1685,0))</f>
        <v>0</v>
      </c>
    </row>
    <row r="1686" spans="2:20" s="0" customFormat="0" ht="15">
      <c r="B1686" s="69" t="s">
        <v>3861</v>
      </c>
      <c r="C1686" s="70" t="s">
        <v>3862</v>
      </c>
      <c r="D1686" s="70" t="s">
        <v>1</v>
      </c>
      <c r="E1686" s="70" t="s">
        <v>1</v>
      </c>
      <c r="F1686" s="70"/>
      <c r="G1686" s="70" t="s">
        <v>61</v>
      </c>
      <c r="H1686" s="70" t="s">
        <v>178</v>
      </c>
      <c r="I1686" s="70" t="s">
        <v>3291</v>
      </c>
      <c r="J1686" s="71">
        <f>IF(OR(I1686=0,I1686=""),"unrated",VLOOKUP(I1686,MappingTables!$B$19:$C$31,2,FALSE))</f>
        <v>6</v>
      </c>
      <c r="K1686" s="72">
        <v>950.71704973483488</v>
      </c>
      <c r="L1686" s="70">
        <v>0.06849488219746204</v>
      </c>
      <c r="M1686" s="71">
        <f>IF(L1686&lt;1,1,L1686)</f>
        <v>1</v>
      </c>
      <c r="N1686" s="70" t="s">
        <v>3288</v>
      </c>
      <c r="O1686" s="71">
        <f>IF(OR(I1686=$A$1,I1686=0),"",IF(N1686=MappingTables!$C$14,VLOOKUP(J1686,ModelParameters!$M$8:$N$15,2,FALSE),IF(N1686=MappingTables!$C$16,VLOOKUP(J1686,ModelParameters!$P$8:$Q$15,2,FALSE),0)))</f>
        <v>1</v>
      </c>
      <c r="P1686" s="73">
        <f>IF(OR(I1686=0,I1686=$A$1),0,MIN(O1686*M1686,1)*K1686)</f>
        <v>950.71704973483488</v>
      </c>
      <c r="Q1686" s="73">
        <f>IF(B1686="",0,IF(OR(H1686=MappingTables!$C$34,H1686=MappingTables!$C$35),P1686,0))</f>
        <v>0</v>
      </c>
      <c r="R1686" s="73">
        <f>IF(ISNA(IF(AND(VLOOKUP(CONCATENATE($D1686,$G1686),CSRFinput!$B:$E,4,0)=0,OR(H1686=MappingTables!$C$31,H1686=MappingTables!$C$32)),1,VLOOKUP(CONCATENATE($D1686,$G1686),CSRFinput!$B:$E,4,0))),0,IF(AND(VLOOKUP(CONCATENATE($D1686,$G1686),CSRFinput!$B:$E,4,0)=0,OR(H1686=MappingTables!$C$31,H1686=MappingTables!$C$32)),1,VLOOKUP(CONCATENATE($D1686,$G1686),CSRFinput!$B:$E,4,0)))</f>
        <v>0.054776304963434752</v>
      </c>
      <c r="S1686" s="73">
        <f>IF(B1686="",0,P1686*R1686)</f>
        <v>52.07676705021228</v>
      </c>
      <c r="T1686" s="85">
        <f>IF(B1686="",0,IF(OR(H1686=MappingTables!$C$34,H1686=MappingTables!$C$35),S1686,0))</f>
        <v>0</v>
      </c>
    </row>
    <row r="1687" spans="2:20" s="0" customFormat="0" ht="15">
      <c r="B1687" s="69" t="s">
        <v>4527</v>
      </c>
      <c r="C1687" s="70" t="s">
        <v>4528</v>
      </c>
      <c r="D1687" s="70" t="s">
        <v>1</v>
      </c>
      <c r="E1687" s="70" t="s">
        <v>1</v>
      </c>
      <c r="F1687" s="70"/>
      <c r="G1687" s="70" t="s">
        <v>61</v>
      </c>
      <c r="H1687" s="70" t="s">
        <v>178</v>
      </c>
      <c r="I1687" s="70" t="s">
        <v>204</v>
      </c>
      <c r="J1687" s="71">
        <f>IF(OR(I1687=0,I1687=""),"unrated",VLOOKUP(I1687,MappingTables!$B$19:$C$31,2,FALSE))</f>
        <v>6</v>
      </c>
      <c r="K1687" s="72">
        <v>317.6755461045264</v>
      </c>
      <c r="L1687" s="70">
        <v>0.068492805430899088</v>
      </c>
      <c r="M1687" s="71">
        <f>IF(L1687&lt;1,1,L1687)</f>
        <v>1</v>
      </c>
      <c r="N1687" s="70" t="s">
        <v>3288</v>
      </c>
      <c r="O1687" s="71">
        <f>IF(OR(I1687=$A$1,I1687=0),"",IF(N1687=MappingTables!$C$14,VLOOKUP(J1687,ModelParameters!$M$8:$N$15,2,FALSE),IF(N1687=MappingTables!$C$16,VLOOKUP(J1687,ModelParameters!$P$8:$Q$15,2,FALSE),0)))</f>
        <v>1</v>
      </c>
      <c r="P1687" s="73">
        <f>IF(OR(I1687=0,I1687=$A$1),0,MIN(O1687*M1687,1)*K1687)</f>
        <v>317.6755461045264</v>
      </c>
      <c r="Q1687" s="73">
        <f>IF(B1687="",0,IF(OR(H1687=MappingTables!$C$34,H1687=MappingTables!$C$35),P1687,0))</f>
        <v>0</v>
      </c>
      <c r="R1687" s="73">
        <f>IF(ISNA(IF(AND(VLOOKUP(CONCATENATE($D1687,$G1687),CSRFinput!$B:$E,4,0)=0,OR(H1687=MappingTables!$C$31,H1687=MappingTables!$C$32)),1,VLOOKUP(CONCATENATE($D1687,$G1687),CSRFinput!$B:$E,4,0))),0,IF(AND(VLOOKUP(CONCATENATE($D1687,$G1687),CSRFinput!$B:$E,4,0)=0,OR(H1687=MappingTables!$C$31,H1687=MappingTables!$C$32)),1,VLOOKUP(CONCATENATE($D1687,$G1687),CSRFinput!$B:$E,4,0)))</f>
        <v>0.054776304963434752</v>
      </c>
      <c r="S1687" s="73">
        <f>IF(B1687="",0,P1687*R1687)</f>
        <v>17.401092592847216</v>
      </c>
      <c r="T1687" s="85">
        <f>IF(B1687="",0,IF(OR(H1687=MappingTables!$C$34,H1687=MappingTables!$C$35),S1687,0))</f>
        <v>0</v>
      </c>
    </row>
    <row r="1688" spans="2:20" s="0" customFormat="0" ht="15">
      <c r="B1688" s="69" t="s">
        <v>3767</v>
      </c>
      <c r="C1688" s="70" t="s">
        <v>3768</v>
      </c>
      <c r="D1688" s="70" t="s">
        <v>1</v>
      </c>
      <c r="E1688" s="70" t="s">
        <v>1</v>
      </c>
      <c r="F1688" s="70"/>
      <c r="G1688" s="70" t="s">
        <v>61</v>
      </c>
      <c r="H1688" s="70" t="s">
        <v>178</v>
      </c>
      <c r="I1688" s="70" t="s">
        <v>198</v>
      </c>
      <c r="J1688" s="71" t="str">
        <f>IF(OR(I1688=0,I1688=""),"unrated",VLOOKUP(I1688,MappingTables!$B$19:$C$31,2,FALSE))</f>
        <v>unrated</v>
      </c>
      <c r="K1688" s="72">
        <v>14314.978652808568</v>
      </c>
      <c r="L1688" s="70">
        <v>4.3410904456998368</v>
      </c>
      <c r="M1688" s="71">
        <f>IF(L1688&lt;1,1,L1688)</f>
        <v>4.3410904456998368</v>
      </c>
      <c r="N1688" s="70" t="s">
        <v>3288</v>
      </c>
      <c r="O1688" s="71">
        <f>IF(OR(I1688=$A$1,I1688=0),"",IF(N1688=MappingTables!$C$14,VLOOKUP(J1688,ModelParameters!$M$8:$N$15,2,FALSE),IF(N1688=MappingTables!$C$16,VLOOKUP(J1688,ModelParameters!$P$8:$Q$15,2,FALSE),0)))</f>
        <v>1</v>
      </c>
      <c r="P1688" s="73">
        <f>IF(OR(I1688=0,I1688=$A$1),0,MIN(O1688*M1688,1)*K1688)</f>
        <v>14314.978652808568</v>
      </c>
      <c r="Q1688" s="73">
        <f>IF(B1688="",0,IF(OR(H1688=MappingTables!$C$34,H1688=MappingTables!$C$35),P1688,0))</f>
        <v>0</v>
      </c>
      <c r="R1688" s="73">
        <f>IF(ISNA(IF(AND(VLOOKUP(CONCATENATE($D1688,$G1688),CSRFinput!$B:$E,4,0)=0,OR(H1688=MappingTables!$C$31,H1688=MappingTables!$C$32)),1,VLOOKUP(CONCATENATE($D1688,$G1688),CSRFinput!$B:$E,4,0))),0,IF(AND(VLOOKUP(CONCATENATE($D1688,$G1688),CSRFinput!$B:$E,4,0)=0,OR(H1688=MappingTables!$C$31,H1688=MappingTables!$C$32)),1,VLOOKUP(CONCATENATE($D1688,$G1688),CSRFinput!$B:$E,4,0)))</f>
        <v>0.054776304963434752</v>
      </c>
      <c r="S1688" s="73">
        <f>IF(B1688="",0,P1688*R1688)</f>
        <v>784.12163623130048</v>
      </c>
      <c r="T1688" s="85">
        <f>IF(B1688="",0,IF(OR(H1688=MappingTables!$C$34,H1688=MappingTables!$C$35),S1688,0))</f>
        <v>0</v>
      </c>
    </row>
    <row r="1689" spans="2:20" s="0" customFormat="0" ht="15">
      <c r="B1689" s="69">
        <v>22623663</v>
      </c>
      <c r="C1689" s="70" t="s">
        <v>4495</v>
      </c>
      <c r="D1689" s="70" t="s">
        <v>1</v>
      </c>
      <c r="E1689" s="70" t="s">
        <v>1</v>
      </c>
      <c r="F1689" s="70"/>
      <c r="G1689" s="70" t="s">
        <v>61</v>
      </c>
      <c r="H1689" s="70" t="s">
        <v>178</v>
      </c>
      <c r="I1689" s="70" t="s">
        <v>204</v>
      </c>
      <c r="J1689" s="71">
        <f>IF(OR(I1689=0,I1689=""),"unrated",VLOOKUP(I1689,MappingTables!$B$19:$C$31,2,FALSE))</f>
        <v>6</v>
      </c>
      <c r="K1689" s="72">
        <v>271.51153391335104</v>
      </c>
      <c r="L1689" s="70">
        <v>0.067790252501017096</v>
      </c>
      <c r="M1689" s="71">
        <f>IF(L1689&lt;1,1,L1689)</f>
        <v>1</v>
      </c>
      <c r="N1689" s="70" t="s">
        <v>3288</v>
      </c>
      <c r="O1689" s="71">
        <f>IF(OR(I1689=$A$1,I1689=0),"",IF(N1689=MappingTables!$C$14,VLOOKUP(J1689,ModelParameters!$M$8:$N$15,2,FALSE),IF(N1689=MappingTables!$C$16,VLOOKUP(J1689,ModelParameters!$P$8:$Q$15,2,FALSE),0)))</f>
        <v>1</v>
      </c>
      <c r="P1689" s="73">
        <f>IF(OR(I1689=0,I1689=$A$1),0,MIN(O1689*M1689,1)*K1689)</f>
        <v>271.51153391335104</v>
      </c>
      <c r="Q1689" s="73">
        <f>IF(B1689="",0,IF(OR(H1689=MappingTables!$C$34,H1689=MappingTables!$C$35),P1689,0))</f>
        <v>0</v>
      </c>
      <c r="R1689" s="73">
        <f>IF(ISNA(IF(AND(VLOOKUP(CONCATENATE($D1689,$G1689),CSRFinput!$B:$E,4,0)=0,OR(H1689=MappingTables!$C$31,H1689=MappingTables!$C$32)),1,VLOOKUP(CONCATENATE($D1689,$G1689),CSRFinput!$B:$E,4,0))),0,IF(AND(VLOOKUP(CONCATENATE($D1689,$G1689),CSRFinput!$B:$E,4,0)=0,OR(H1689=MappingTables!$C$31,H1689=MappingTables!$C$32)),1,VLOOKUP(CONCATENATE($D1689,$G1689),CSRFinput!$B:$E,4,0)))</f>
        <v>0.054776304963434752</v>
      </c>
      <c r="S1689" s="73">
        <f>IF(B1689="",0,P1689*R1689)</f>
        <v>14.872398582727674</v>
      </c>
      <c r="T1689" s="85">
        <f>IF(B1689="",0,IF(OR(H1689=MappingTables!$C$34,H1689=MappingTables!$C$35),S1689,0))</f>
        <v>0</v>
      </c>
    </row>
    <row r="1690" spans="2:20" s="0" customFormat="0" ht="15">
      <c r="B1690" s="69" t="s">
        <v>5112</v>
      </c>
      <c r="C1690" s="70" t="s">
        <v>5113</v>
      </c>
      <c r="D1690" s="70" t="s">
        <v>1</v>
      </c>
      <c r="E1690" s="70" t="s">
        <v>1</v>
      </c>
      <c r="F1690" s="70"/>
      <c r="G1690" s="70" t="s">
        <v>61</v>
      </c>
      <c r="H1690" s="70" t="s">
        <v>178</v>
      </c>
      <c r="I1690" s="70" t="s">
        <v>198</v>
      </c>
      <c r="J1690" s="71" t="str">
        <f>IF(OR(I1690=0,I1690=""),"unrated",VLOOKUP(I1690,MappingTables!$B$19:$C$31,2,FALSE))</f>
        <v>unrated</v>
      </c>
      <c r="K1690" s="72">
        <v>0.58305878073215944</v>
      </c>
      <c r="L1690" s="70">
        <v>25.622473075109448</v>
      </c>
      <c r="M1690" s="71">
        <f>IF(L1690&lt;1,1,L1690)</f>
        <v>25.622473075109448</v>
      </c>
      <c r="N1690" s="70" t="s">
        <v>3288</v>
      </c>
      <c r="O1690" s="71">
        <f>IF(OR(I1690=$A$1,I1690=0),"",IF(N1690=MappingTables!$C$14,VLOOKUP(J1690,ModelParameters!$M$8:$N$15,2,FALSE),IF(N1690=MappingTables!$C$16,VLOOKUP(J1690,ModelParameters!$P$8:$Q$15,2,FALSE),0)))</f>
        <v>1</v>
      </c>
      <c r="P1690" s="73">
        <f>IF(OR(I1690=0,I1690=$A$1),0,MIN(O1690*M1690,1)*K1690)</f>
        <v>0.58305878073215944</v>
      </c>
      <c r="Q1690" s="73">
        <f>IF(B1690="",0,IF(OR(H1690=MappingTables!$C$34,H1690=MappingTables!$C$35),P1690,0))</f>
        <v>0</v>
      </c>
      <c r="R1690" s="73">
        <f>IF(ISNA(IF(AND(VLOOKUP(CONCATENATE($D1690,$G1690),CSRFinput!$B:$E,4,0)=0,OR(H1690=MappingTables!$C$31,H1690=MappingTables!$C$32)),1,VLOOKUP(CONCATENATE($D1690,$G1690),CSRFinput!$B:$E,4,0))),0,IF(AND(VLOOKUP(CONCATENATE($D1690,$G1690),CSRFinput!$B:$E,4,0)=0,OR(H1690=MappingTables!$C$31,H1690=MappingTables!$C$32)),1,VLOOKUP(CONCATENATE($D1690,$G1690),CSRFinput!$B:$E,4,0)))</f>
        <v>0.054776304963434752</v>
      </c>
      <c r="S1690" s="73">
        <f>IF(B1690="",0,P1690*R1690)</f>
        <v>0.0319378055849932</v>
      </c>
      <c r="T1690" s="85">
        <f>IF(B1690="",0,IF(OR(H1690=MappingTables!$C$34,H1690=MappingTables!$C$35),S1690,0))</f>
        <v>0</v>
      </c>
    </row>
    <row r="1691" spans="2:20" s="0" customFormat="0" ht="15">
      <c r="B1691" s="69">
        <v>22554274</v>
      </c>
      <c r="C1691" s="70" t="s">
        <v>4720</v>
      </c>
      <c r="D1691" s="70" t="s">
        <v>1</v>
      </c>
      <c r="E1691" s="70" t="s">
        <v>1</v>
      </c>
      <c r="F1691" s="70"/>
      <c r="G1691" s="70" t="s">
        <v>61</v>
      </c>
      <c r="H1691" s="70" t="s">
        <v>178</v>
      </c>
      <c r="I1691" s="70" t="s">
        <v>216</v>
      </c>
      <c r="J1691" s="71">
        <f>IF(OR(I1691=0,I1691=""),"unrated",VLOOKUP(I1691,MappingTables!$B$19:$C$31,2,FALSE))</f>
        <v>0</v>
      </c>
      <c r="K1691" s="72">
        <v>9.2046965996408704</v>
      </c>
      <c r="L1691" s="70">
        <v>0.063289202591124584</v>
      </c>
      <c r="M1691" s="71">
        <f>IF(L1691&lt;1,1,L1691)</f>
        <v>1</v>
      </c>
      <c r="N1691" s="70" t="s">
        <v>3288</v>
      </c>
      <c r="O1691" s="71">
        <f>IF(OR(I1691=$A$1,I1691=0),"",IF(N1691=MappingTables!$C$14,VLOOKUP(J1691,ModelParameters!$M$8:$N$15,2,FALSE),IF(N1691=MappingTables!$C$16,VLOOKUP(J1691,ModelParameters!$P$8:$Q$15,2,FALSE),0)))</f>
        <v>0.125</v>
      </c>
      <c r="P1691" s="73">
        <f>IF(OR(I1691=0,I1691=$A$1),0,MIN(O1691*M1691,1)*K1691)</f>
        <v>1.1505870749551088</v>
      </c>
      <c r="Q1691" s="73">
        <f>IF(B1691="",0,IF(OR(H1691=MappingTables!$C$34,H1691=MappingTables!$C$35),P1691,0))</f>
        <v>0</v>
      </c>
      <c r="R1691" s="73">
        <f>IF(ISNA(IF(AND(VLOOKUP(CONCATENATE($D1691,$G1691),CSRFinput!$B:$E,4,0)=0,OR(H1691=MappingTables!$C$31,H1691=MappingTables!$C$32)),1,VLOOKUP(CONCATENATE($D1691,$G1691),CSRFinput!$B:$E,4,0))),0,IF(AND(VLOOKUP(CONCATENATE($D1691,$G1691),CSRFinput!$B:$E,4,0)=0,OR(H1691=MappingTables!$C$31,H1691=MappingTables!$C$32)),1,VLOOKUP(CONCATENATE($D1691,$G1691),CSRFinput!$B:$E,4,0)))</f>
        <v>0.054776304963434752</v>
      </c>
      <c r="S1691" s="73">
        <f>IF(B1691="",0,P1691*R1691)</f>
        <v>0.0630249085047274</v>
      </c>
      <c r="T1691" s="85">
        <f>IF(B1691="",0,IF(OR(H1691=MappingTables!$C$34,H1691=MappingTables!$C$35),S1691,0))</f>
        <v>0</v>
      </c>
    </row>
    <row r="1692" spans="2:20" s="0" customFormat="0" ht="15">
      <c r="B1692" s="69" t="s">
        <v>4798</v>
      </c>
      <c r="C1692" s="70" t="s">
        <v>4799</v>
      </c>
      <c r="D1692" s="70" t="s">
        <v>1</v>
      </c>
      <c r="E1692" s="70" t="s">
        <v>1</v>
      </c>
      <c r="F1692" s="70"/>
      <c r="G1692" s="70" t="s">
        <v>61</v>
      </c>
      <c r="H1692" s="70" t="s">
        <v>178</v>
      </c>
      <c r="I1692" s="70" t="s">
        <v>198</v>
      </c>
      <c r="J1692" s="71" t="str">
        <f>IF(OR(I1692=0,I1692=""),"unrated",VLOOKUP(I1692,MappingTables!$B$19:$C$31,2,FALSE))</f>
        <v>unrated</v>
      </c>
      <c r="K1692" s="72">
        <v>731.64510845664784</v>
      </c>
      <c r="L1692" s="70">
        <v>0.068493403830452704</v>
      </c>
      <c r="M1692" s="71">
        <f>IF(L1692&lt;1,1,L1692)</f>
        <v>1</v>
      </c>
      <c r="N1692" s="70" t="s">
        <v>3288</v>
      </c>
      <c r="O1692" s="71">
        <f>IF(OR(I1692=$A$1,I1692=0),"",IF(N1692=MappingTables!$C$14,VLOOKUP(J1692,ModelParameters!$M$8:$N$15,2,FALSE),IF(N1692=MappingTables!$C$16,VLOOKUP(J1692,ModelParameters!$P$8:$Q$15,2,FALSE),0)))</f>
        <v>1</v>
      </c>
      <c r="P1692" s="73">
        <f>IF(OR(I1692=0,I1692=$A$1),0,MIN(O1692*M1692,1)*K1692)</f>
        <v>731.64510845664784</v>
      </c>
      <c r="Q1692" s="73">
        <f>IF(B1692="",0,IF(OR(H1692=MappingTables!$C$34,H1692=MappingTables!$C$35),P1692,0))</f>
        <v>0</v>
      </c>
      <c r="R1692" s="73">
        <f>IF(ISNA(IF(AND(VLOOKUP(CONCATENATE($D1692,$G1692),CSRFinput!$B:$E,4,0)=0,OR(H1692=MappingTables!$C$31,H1692=MappingTables!$C$32)),1,VLOOKUP(CONCATENATE($D1692,$G1692),CSRFinput!$B:$E,4,0))),0,IF(AND(VLOOKUP(CONCATENATE($D1692,$G1692),CSRFinput!$B:$E,4,0)=0,OR(H1692=MappingTables!$C$31,H1692=MappingTables!$C$32)),1,VLOOKUP(CONCATENATE($D1692,$G1692),CSRFinput!$B:$E,4,0)))</f>
        <v>0.054776304963434752</v>
      </c>
      <c r="S1692" s="73">
        <f>IF(B1692="",0,P1692*R1692)</f>
        <v>40.07681558582664</v>
      </c>
      <c r="T1692" s="85">
        <f>IF(B1692="",0,IF(OR(H1692=MappingTables!$C$34,H1692=MappingTables!$C$35),S1692,0))</f>
        <v>0</v>
      </c>
    </row>
    <row r="1693" spans="2:20" s="0" customFormat="0" ht="15">
      <c r="B1693" s="69" t="s">
        <v>4737</v>
      </c>
      <c r="C1693" s="70" t="s">
        <v>4738</v>
      </c>
      <c r="D1693" s="70" t="s">
        <v>1</v>
      </c>
      <c r="E1693" s="70" t="s">
        <v>1</v>
      </c>
      <c r="F1693" s="70"/>
      <c r="G1693" s="70" t="s">
        <v>61</v>
      </c>
      <c r="H1693" s="70" t="s">
        <v>178</v>
      </c>
      <c r="I1693" s="70" t="s">
        <v>184</v>
      </c>
      <c r="J1693" s="71">
        <f>IF(OR(I1693=0,I1693=""),"unrated",VLOOKUP(I1693,MappingTables!$B$19:$C$31,2,FALSE))</f>
        <v>5</v>
      </c>
      <c r="K1693" s="72">
        <v>2.8870560556104796</v>
      </c>
      <c r="L1693" s="70">
        <v>0.06849329488538776</v>
      </c>
      <c r="M1693" s="71">
        <f>IF(L1693&lt;1,1,L1693)</f>
        <v>1</v>
      </c>
      <c r="N1693" s="70" t="s">
        <v>3288</v>
      </c>
      <c r="O1693" s="71">
        <f>IF(OR(I1693=$A$1,I1693=0),"",IF(N1693=MappingTables!$C$14,VLOOKUP(J1693,ModelParameters!$M$8:$N$15,2,FALSE),IF(N1693=MappingTables!$C$16,VLOOKUP(J1693,ModelParameters!$P$8:$Q$15,2,FALSE),0)))</f>
        <v>1</v>
      </c>
      <c r="P1693" s="73">
        <f>IF(OR(I1693=0,I1693=$A$1),0,MIN(O1693*M1693,1)*K1693)</f>
        <v>2.8870560556104796</v>
      </c>
      <c r="Q1693" s="73">
        <f>IF(B1693="",0,IF(OR(H1693=MappingTables!$C$34,H1693=MappingTables!$C$35),P1693,0))</f>
        <v>0</v>
      </c>
      <c r="R1693" s="73">
        <f>IF(ISNA(IF(AND(VLOOKUP(CONCATENATE($D1693,$G1693),CSRFinput!$B:$E,4,0)=0,OR(H1693=MappingTables!$C$31,H1693=MappingTables!$C$32)),1,VLOOKUP(CONCATENATE($D1693,$G1693),CSRFinput!$B:$E,4,0))),0,IF(AND(VLOOKUP(CONCATENATE($D1693,$G1693),CSRFinput!$B:$E,4,0)=0,OR(H1693=MappingTables!$C$31,H1693=MappingTables!$C$32)),1,VLOOKUP(CONCATENATE($D1693,$G1693),CSRFinput!$B:$E,4,0)))</f>
        <v>0.054776304963434752</v>
      </c>
      <c r="S1693" s="73">
        <f>IF(B1693="",0,P1693*R1693)</f>
        <v>0.15814226294865066</v>
      </c>
      <c r="T1693" s="85">
        <f>IF(B1693="",0,IF(OR(H1693=MappingTables!$C$34,H1693=MappingTables!$C$35),S1693,0))</f>
        <v>0</v>
      </c>
    </row>
    <row r="1694" spans="2:20" s="0" customFormat="0" ht="15">
      <c r="B1694" s="69" t="s">
        <v>5114</v>
      </c>
      <c r="C1694" s="70" t="s">
        <v>5115</v>
      </c>
      <c r="D1694" s="70" t="s">
        <v>1</v>
      </c>
      <c r="E1694" s="70" t="s">
        <v>1</v>
      </c>
      <c r="F1694" s="70"/>
      <c r="G1694" s="70" t="s">
        <v>61</v>
      </c>
      <c r="H1694" s="70" t="s">
        <v>178</v>
      </c>
      <c r="I1694" s="70" t="s">
        <v>216</v>
      </c>
      <c r="J1694" s="71">
        <f>IF(OR(I1694=0,I1694=""),"unrated",VLOOKUP(I1694,MappingTables!$B$19:$C$31,2,FALSE))</f>
        <v>0</v>
      </c>
      <c r="K1694" s="72">
        <v>1095.495088749125</v>
      </c>
      <c r="L1694" s="70">
        <v>0.043837429945723368</v>
      </c>
      <c r="M1694" s="71">
        <f>IF(L1694&lt;1,1,L1694)</f>
        <v>1</v>
      </c>
      <c r="N1694" s="70" t="s">
        <v>3288</v>
      </c>
      <c r="O1694" s="71">
        <f>IF(OR(I1694=$A$1,I1694=0),"",IF(N1694=MappingTables!$C$14,VLOOKUP(J1694,ModelParameters!$M$8:$N$15,2,FALSE),IF(N1694=MappingTables!$C$16,VLOOKUP(J1694,ModelParameters!$P$8:$Q$15,2,FALSE),0)))</f>
        <v>0.125</v>
      </c>
      <c r="P1694" s="73">
        <f>IF(OR(I1694=0,I1694=$A$1),0,MIN(O1694*M1694,1)*K1694)</f>
        <v>136.93688609364062</v>
      </c>
      <c r="Q1694" s="73">
        <f>IF(B1694="",0,IF(OR(H1694=MappingTables!$C$34,H1694=MappingTables!$C$35),P1694,0))</f>
        <v>0</v>
      </c>
      <c r="R1694" s="73">
        <f>IF(ISNA(IF(AND(VLOOKUP(CONCATENATE($D1694,$G1694),CSRFinput!$B:$E,4,0)=0,OR(H1694=MappingTables!$C$31,H1694=MappingTables!$C$32)),1,VLOOKUP(CONCATENATE($D1694,$G1694),CSRFinput!$B:$E,4,0))),0,IF(AND(VLOOKUP(CONCATENATE($D1694,$G1694),CSRFinput!$B:$E,4,0)=0,OR(H1694=MappingTables!$C$31,H1694=MappingTables!$C$32)),1,VLOOKUP(CONCATENATE($D1694,$G1694),CSRFinput!$B:$E,4,0)))</f>
        <v>0.054776304963434752</v>
      </c>
      <c r="S1694" s="73">
        <f>IF(B1694="",0,P1694*R1694)</f>
        <v>7.5008966334083856</v>
      </c>
      <c r="T1694" s="85">
        <f>IF(B1694="",0,IF(OR(H1694=MappingTables!$C$34,H1694=MappingTables!$C$35),S1694,0))</f>
        <v>0</v>
      </c>
    </row>
    <row r="1695" spans="2:20" s="0" customFormat="0" ht="15">
      <c r="B1695" s="69" t="s">
        <v>5116</v>
      </c>
      <c r="C1695" s="70" t="s">
        <v>5117</v>
      </c>
      <c r="D1695" s="70" t="s">
        <v>1</v>
      </c>
      <c r="E1695" s="70" t="s">
        <v>1</v>
      </c>
      <c r="F1695" s="70"/>
      <c r="G1695" s="70" t="s">
        <v>61</v>
      </c>
      <c r="H1695" s="70" t="s">
        <v>178</v>
      </c>
      <c r="I1695" s="70" t="s">
        <v>204</v>
      </c>
      <c r="J1695" s="71">
        <f>IF(OR(I1695=0,I1695=""),"unrated",VLOOKUP(I1695,MappingTables!$B$19:$C$31,2,FALSE))</f>
        <v>6</v>
      </c>
      <c r="K1695" s="72">
        <v>810.29539070382512</v>
      </c>
      <c r="L1695" s="70">
        <v>0.06849403311596364</v>
      </c>
      <c r="M1695" s="71">
        <f>IF(L1695&lt;1,1,L1695)</f>
        <v>1</v>
      </c>
      <c r="N1695" s="70" t="s">
        <v>3288</v>
      </c>
      <c r="O1695" s="71">
        <f>IF(OR(I1695=$A$1,I1695=0),"",IF(N1695=MappingTables!$C$14,VLOOKUP(J1695,ModelParameters!$M$8:$N$15,2,FALSE),IF(N1695=MappingTables!$C$16,VLOOKUP(J1695,ModelParameters!$P$8:$Q$15,2,FALSE),0)))</f>
        <v>1</v>
      </c>
      <c r="P1695" s="73">
        <f>IF(OR(I1695=0,I1695=$A$1),0,MIN(O1695*M1695,1)*K1695)</f>
        <v>810.29539070382512</v>
      </c>
      <c r="Q1695" s="73">
        <f>IF(B1695="",0,IF(OR(H1695=MappingTables!$C$34,H1695=MappingTables!$C$35),P1695,0))</f>
        <v>0</v>
      </c>
      <c r="R1695" s="73">
        <f>IF(ISNA(IF(AND(VLOOKUP(CONCATENATE($D1695,$G1695),CSRFinput!$B:$E,4,0)=0,OR(H1695=MappingTables!$C$31,H1695=MappingTables!$C$32)),1,VLOOKUP(CONCATENATE($D1695,$G1695),CSRFinput!$B:$E,4,0))),0,IF(AND(VLOOKUP(CONCATENATE($D1695,$G1695),CSRFinput!$B:$E,4,0)=0,OR(H1695=MappingTables!$C$31,H1695=MappingTables!$C$32)),1,VLOOKUP(CONCATENATE($D1695,$G1695),CSRFinput!$B:$E,4,0)))</f>
        <v>0.054776304963434752</v>
      </c>
      <c r="S1695" s="73">
        <f>IF(B1695="",0,P1695*R1695)</f>
        <v>44.38498743165824</v>
      </c>
      <c r="T1695" s="85">
        <f>IF(B1695="",0,IF(OR(H1695=MappingTables!$C$34,H1695=MappingTables!$C$35),S1695,0))</f>
        <v>0</v>
      </c>
    </row>
    <row r="1696" spans="2:20" s="0" customFormat="0" ht="15">
      <c r="B1696" s="69" t="s">
        <v>4927</v>
      </c>
      <c r="C1696" s="70" t="s">
        <v>4928</v>
      </c>
      <c r="D1696" s="70" t="s">
        <v>1</v>
      </c>
      <c r="E1696" s="70" t="s">
        <v>1</v>
      </c>
      <c r="F1696" s="70"/>
      <c r="G1696" s="70" t="s">
        <v>61</v>
      </c>
      <c r="H1696" s="70" t="s">
        <v>178</v>
      </c>
      <c r="I1696" s="70" t="s">
        <v>3298</v>
      </c>
      <c r="J1696" s="71">
        <f>IF(OR(I1696=0,I1696=""),"unrated",VLOOKUP(I1696,MappingTables!$B$19:$C$31,2,FALSE))</f>
        <v>6</v>
      </c>
      <c r="K1696" s="72">
        <v>206.43892652256856</v>
      </c>
      <c r="L1696" s="70">
        <v>-0.35930326538647356</v>
      </c>
      <c r="M1696" s="71">
        <f>IF(L1696&lt;1,1,L1696)</f>
        <v>1</v>
      </c>
      <c r="N1696" s="70" t="s">
        <v>3288</v>
      </c>
      <c r="O1696" s="71">
        <f>IF(OR(I1696=$A$1,I1696=0),"",IF(N1696=MappingTables!$C$14,VLOOKUP(J1696,ModelParameters!$M$8:$N$15,2,FALSE),IF(N1696=MappingTables!$C$16,VLOOKUP(J1696,ModelParameters!$P$8:$Q$15,2,FALSE),0)))</f>
        <v>1</v>
      </c>
      <c r="P1696" s="73">
        <f>IF(OR(I1696=0,I1696=$A$1),0,MIN(O1696*M1696,1)*K1696)</f>
        <v>206.43892652256856</v>
      </c>
      <c r="Q1696" s="73">
        <f>IF(B1696="",0,IF(OR(H1696=MappingTables!$C$34,H1696=MappingTables!$C$35),P1696,0))</f>
        <v>0</v>
      </c>
      <c r="R1696" s="73">
        <f>IF(ISNA(IF(AND(VLOOKUP(CONCATENATE($D1696,$G1696),CSRFinput!$B:$E,4,0)=0,OR(H1696=MappingTables!$C$31,H1696=MappingTables!$C$32)),1,VLOOKUP(CONCATENATE($D1696,$G1696),CSRFinput!$B:$E,4,0))),0,IF(AND(VLOOKUP(CONCATENATE($D1696,$G1696),CSRFinput!$B:$E,4,0)=0,OR(H1696=MappingTables!$C$31,H1696=MappingTables!$C$32)),1,VLOOKUP(CONCATENATE($D1696,$G1696),CSRFinput!$B:$E,4,0)))</f>
        <v>0.054776304963434752</v>
      </c>
      <c r="S1696" s="73">
        <f>IF(B1696="",0,P1696*R1696)</f>
        <v>11.307961595524314</v>
      </c>
      <c r="T1696" s="85">
        <f>IF(B1696="",0,IF(OR(H1696=MappingTables!$C$34,H1696=MappingTables!$C$35),S1696,0))</f>
        <v>0</v>
      </c>
    </row>
    <row r="1697" spans="2:20" s="0" customFormat="0" ht="15">
      <c r="B1697" s="69" t="s">
        <v>4248</v>
      </c>
      <c r="C1697" s="70" t="s">
        <v>4249</v>
      </c>
      <c r="D1697" s="70" t="s">
        <v>1</v>
      </c>
      <c r="E1697" s="70" t="s">
        <v>1</v>
      </c>
      <c r="F1697" s="70"/>
      <c r="G1697" s="70" t="s">
        <v>61</v>
      </c>
      <c r="H1697" s="70" t="s">
        <v>178</v>
      </c>
      <c r="I1697" s="70" t="s">
        <v>198</v>
      </c>
      <c r="J1697" s="71" t="str">
        <f>IF(OR(I1697=0,I1697=""),"unrated",VLOOKUP(I1697,MappingTables!$B$19:$C$31,2,FALSE))</f>
        <v>unrated</v>
      </c>
      <c r="K1697" s="72">
        <v>3.8612717833740104</v>
      </c>
      <c r="L1697" s="70">
        <v>9.3244183272205008</v>
      </c>
      <c r="M1697" s="71">
        <f>IF(L1697&lt;1,1,L1697)</f>
        <v>9.3244183272205008</v>
      </c>
      <c r="N1697" s="70" t="s">
        <v>3288</v>
      </c>
      <c r="O1697" s="71">
        <f>IF(OR(I1697=$A$1,I1697=0),"",IF(N1697=MappingTables!$C$14,VLOOKUP(J1697,ModelParameters!$M$8:$N$15,2,FALSE),IF(N1697=MappingTables!$C$16,VLOOKUP(J1697,ModelParameters!$P$8:$Q$15,2,FALSE),0)))</f>
        <v>1</v>
      </c>
      <c r="P1697" s="73">
        <f>IF(OR(I1697=0,I1697=$A$1),0,MIN(O1697*M1697,1)*K1697)</f>
        <v>3.8612717833740104</v>
      </c>
      <c r="Q1697" s="73">
        <f>IF(B1697="",0,IF(OR(H1697=MappingTables!$C$34,H1697=MappingTables!$C$35),P1697,0))</f>
        <v>0</v>
      </c>
      <c r="R1697" s="73">
        <f>IF(ISNA(IF(AND(VLOOKUP(CONCATENATE($D1697,$G1697),CSRFinput!$B:$E,4,0)=0,OR(H1697=MappingTables!$C$31,H1697=MappingTables!$C$32)),1,VLOOKUP(CONCATENATE($D1697,$G1697),CSRFinput!$B:$E,4,0))),0,IF(AND(VLOOKUP(CONCATENATE($D1697,$G1697),CSRFinput!$B:$E,4,0)=0,OR(H1697=MappingTables!$C$31,H1697=MappingTables!$C$32)),1,VLOOKUP(CONCATENATE($D1697,$G1697),CSRFinput!$B:$E,4,0)))</f>
        <v>0.054776304963434752</v>
      </c>
      <c r="S1697" s="73">
        <f>IF(B1697="",0,P1697*R1697)</f>
        <v>0.21150620075280036</v>
      </c>
      <c r="T1697" s="85">
        <f>IF(B1697="",0,IF(OR(H1697=MappingTables!$C$34,H1697=MappingTables!$C$35),S1697,0))</f>
        <v>0</v>
      </c>
    </row>
    <row r="1698" spans="2:20" s="0" customFormat="0" ht="15">
      <c r="B1698" s="69" t="s">
        <v>5118</v>
      </c>
      <c r="C1698" s="70" t="s">
        <v>5119</v>
      </c>
      <c r="D1698" s="70" t="s">
        <v>1</v>
      </c>
      <c r="E1698" s="70" t="s">
        <v>1</v>
      </c>
      <c r="F1698" s="70"/>
      <c r="G1698" s="70" t="s">
        <v>61</v>
      </c>
      <c r="H1698" s="70" t="s">
        <v>178</v>
      </c>
      <c r="I1698" s="70" t="s">
        <v>216</v>
      </c>
      <c r="J1698" s="71">
        <f>IF(OR(I1698=0,I1698=""),"unrated",VLOOKUP(I1698,MappingTables!$B$19:$C$31,2,FALSE))</f>
        <v>0</v>
      </c>
      <c r="K1698" s="72">
        <v>4.8118321778825376</v>
      </c>
      <c r="L1698" s="70">
        <v>0.068494196505838296</v>
      </c>
      <c r="M1698" s="71">
        <f>IF(L1698&lt;1,1,L1698)</f>
        <v>1</v>
      </c>
      <c r="N1698" s="70" t="s">
        <v>3288</v>
      </c>
      <c r="O1698" s="71">
        <f>IF(OR(I1698=$A$1,I1698=0),"",IF(N1698=MappingTables!$C$14,VLOOKUP(J1698,ModelParameters!$M$8:$N$15,2,FALSE),IF(N1698=MappingTables!$C$16,VLOOKUP(J1698,ModelParameters!$P$8:$Q$15,2,FALSE),0)))</f>
        <v>0.125</v>
      </c>
      <c r="P1698" s="73">
        <f>IF(OR(I1698=0,I1698=$A$1),0,MIN(O1698*M1698,1)*K1698)</f>
        <v>0.6014790222353172</v>
      </c>
      <c r="Q1698" s="73">
        <f>IF(B1698="",0,IF(OR(H1698=MappingTables!$C$34,H1698=MappingTables!$C$35),P1698,0))</f>
        <v>0</v>
      </c>
      <c r="R1698" s="73">
        <f>IF(ISNA(IF(AND(VLOOKUP(CONCATENATE($D1698,$G1698),CSRFinput!$B:$E,4,0)=0,OR(H1698=MappingTables!$C$31,H1698=MappingTables!$C$32)),1,VLOOKUP(CONCATENATE($D1698,$G1698),CSRFinput!$B:$E,4,0))),0,IF(AND(VLOOKUP(CONCATENATE($D1698,$G1698),CSRFinput!$B:$E,4,0)=0,OR(H1698=MappingTables!$C$31,H1698=MappingTables!$C$32)),1,VLOOKUP(CONCATENATE($D1698,$G1698),CSRFinput!$B:$E,4,0)))</f>
        <v>0.054776304963434752</v>
      </c>
      <c r="S1698" s="73">
        <f>IF(B1698="",0,P1698*R1698)</f>
        <v>0.032946798351070292</v>
      </c>
      <c r="T1698" s="85">
        <f>IF(B1698="",0,IF(OR(H1698=MappingTables!$C$34,H1698=MappingTables!$C$35),S1698,0))</f>
        <v>0</v>
      </c>
    </row>
    <row r="1699" spans="2:20" s="0" customFormat="0" ht="15">
      <c r="B1699" s="69">
        <v>20819692</v>
      </c>
      <c r="C1699" s="70" t="s">
        <v>4942</v>
      </c>
      <c r="D1699" s="70" t="s">
        <v>1</v>
      </c>
      <c r="E1699" s="70" t="s">
        <v>1</v>
      </c>
      <c r="F1699" s="70"/>
      <c r="G1699" s="70" t="s">
        <v>61</v>
      </c>
      <c r="H1699" s="70" t="s">
        <v>178</v>
      </c>
      <c r="I1699" s="70" t="s">
        <v>198</v>
      </c>
      <c r="J1699" s="71" t="str">
        <f>IF(OR(I1699=0,I1699=""),"unrated",VLOOKUP(I1699,MappingTables!$B$19:$C$31,2,FALSE))</f>
        <v>unrated</v>
      </c>
      <c r="K1699" s="72">
        <v>30.291775160098</v>
      </c>
      <c r="L1699" s="70">
        <v>1.1513777594546532</v>
      </c>
      <c r="M1699" s="71">
        <f>IF(L1699&lt;1,1,L1699)</f>
        <v>1.1513777594546532</v>
      </c>
      <c r="N1699" s="70" t="s">
        <v>3288</v>
      </c>
      <c r="O1699" s="71">
        <f>IF(OR(I1699=$A$1,I1699=0),"",IF(N1699=MappingTables!$C$14,VLOOKUP(J1699,ModelParameters!$M$8:$N$15,2,FALSE),IF(N1699=MappingTables!$C$16,VLOOKUP(J1699,ModelParameters!$P$8:$Q$15,2,FALSE),0)))</f>
        <v>1</v>
      </c>
      <c r="P1699" s="73">
        <f>IF(OR(I1699=0,I1699=$A$1),0,MIN(O1699*M1699,1)*K1699)</f>
        <v>30.291775160098</v>
      </c>
      <c r="Q1699" s="73">
        <f>IF(B1699="",0,IF(OR(H1699=MappingTables!$C$34,H1699=MappingTables!$C$35),P1699,0))</f>
        <v>0</v>
      </c>
      <c r="R1699" s="73">
        <f>IF(ISNA(IF(AND(VLOOKUP(CONCATENATE($D1699,$G1699),CSRFinput!$B:$E,4,0)=0,OR(H1699=MappingTables!$C$31,H1699=MappingTables!$C$32)),1,VLOOKUP(CONCATENATE($D1699,$G1699),CSRFinput!$B:$E,4,0))),0,IF(AND(VLOOKUP(CONCATENATE($D1699,$G1699),CSRFinput!$B:$E,4,0)=0,OR(H1699=MappingTables!$C$31,H1699=MappingTables!$C$32)),1,VLOOKUP(CONCATENATE($D1699,$G1699),CSRFinput!$B:$E,4,0)))</f>
        <v>0.054776304963434752</v>
      </c>
      <c r="S1699" s="73">
        <f>IF(B1699="",0,P1699*R1699)</f>
        <v>1.6592715140533256</v>
      </c>
      <c r="T1699" s="85">
        <f>IF(B1699="",0,IF(OR(H1699=MappingTables!$C$34,H1699=MappingTables!$C$35),S1699,0))</f>
        <v>0</v>
      </c>
    </row>
    <row r="1700" spans="2:20" s="0" customFormat="0" ht="15">
      <c r="B1700" s="69" t="s">
        <v>5120</v>
      </c>
      <c r="C1700" s="70" t="s">
        <v>5121</v>
      </c>
      <c r="D1700" s="70" t="s">
        <v>1</v>
      </c>
      <c r="E1700" s="70" t="s">
        <v>1</v>
      </c>
      <c r="F1700" s="70"/>
      <c r="G1700" s="70" t="s">
        <v>61</v>
      </c>
      <c r="H1700" s="70" t="s">
        <v>178</v>
      </c>
      <c r="I1700" s="70" t="s">
        <v>204</v>
      </c>
      <c r="J1700" s="71">
        <f>IF(OR(I1700=0,I1700=""),"unrated",VLOOKUP(I1700,MappingTables!$B$19:$C$31,2,FALSE))</f>
        <v>6</v>
      </c>
      <c r="K1700" s="72">
        <v>185.92551144507532</v>
      </c>
      <c r="L1700" s="70">
        <v>0.06849453996199144</v>
      </c>
      <c r="M1700" s="71">
        <f>IF(L1700&lt;1,1,L1700)</f>
        <v>1</v>
      </c>
      <c r="N1700" s="70" t="s">
        <v>3288</v>
      </c>
      <c r="O1700" s="71">
        <f>IF(OR(I1700=$A$1,I1700=0),"",IF(N1700=MappingTables!$C$14,VLOOKUP(J1700,ModelParameters!$M$8:$N$15,2,FALSE),IF(N1700=MappingTables!$C$16,VLOOKUP(J1700,ModelParameters!$P$8:$Q$15,2,FALSE),0)))</f>
        <v>1</v>
      </c>
      <c r="P1700" s="73">
        <f>IF(OR(I1700=0,I1700=$A$1),0,MIN(O1700*M1700,1)*K1700)</f>
        <v>185.92551144507532</v>
      </c>
      <c r="Q1700" s="73">
        <f>IF(B1700="",0,IF(OR(H1700=MappingTables!$C$34,H1700=MappingTables!$C$35),P1700,0))</f>
        <v>0</v>
      </c>
      <c r="R1700" s="73">
        <f>IF(ISNA(IF(AND(VLOOKUP(CONCATENATE($D1700,$G1700),CSRFinput!$B:$E,4,0)=0,OR(H1700=MappingTables!$C$31,H1700=MappingTables!$C$32)),1,VLOOKUP(CONCATENATE($D1700,$G1700),CSRFinput!$B:$E,4,0))),0,IF(AND(VLOOKUP(CONCATENATE($D1700,$G1700),CSRFinput!$B:$E,4,0)=0,OR(H1700=MappingTables!$C$31,H1700=MappingTables!$C$32)),1,VLOOKUP(CONCATENATE($D1700,$G1700),CSRFinput!$B:$E,4,0)))</f>
        <v>0.054776304963434752</v>
      </c>
      <c r="S1700" s="73">
        <f>IF(B1700="",0,P1700*R1700)</f>
        <v>10.184312515398024</v>
      </c>
      <c r="T1700" s="85">
        <f>IF(B1700="",0,IF(OR(H1700=MappingTables!$C$34,H1700=MappingTables!$C$35),S1700,0))</f>
        <v>0</v>
      </c>
    </row>
    <row r="1701" spans="2:20" s="0" customFormat="0" ht="15">
      <c r="B1701" s="69">
        <v>15148670</v>
      </c>
      <c r="C1701" s="70" t="s">
        <v>4515</v>
      </c>
      <c r="D1701" s="70" t="s">
        <v>1</v>
      </c>
      <c r="E1701" s="70" t="s">
        <v>1</v>
      </c>
      <c r="F1701" s="70"/>
      <c r="G1701" s="70" t="s">
        <v>61</v>
      </c>
      <c r="H1701" s="70" t="s">
        <v>178</v>
      </c>
      <c r="I1701" s="70" t="s">
        <v>181</v>
      </c>
      <c r="J1701" s="71">
        <f>IF(OR(I1701=0,I1701=""),"unrated",VLOOKUP(I1701,MappingTables!$B$19:$C$31,2,FALSE))</f>
        <v>3</v>
      </c>
      <c r="K1701" s="72">
        <v>338.85377292288344</v>
      </c>
      <c r="L1701" s="70">
        <v>0.049153121369373976</v>
      </c>
      <c r="M1701" s="71">
        <f>IF(L1701&lt;1,1,L1701)</f>
        <v>1</v>
      </c>
      <c r="N1701" s="70" t="s">
        <v>3288</v>
      </c>
      <c r="O1701" s="71">
        <f>IF(OR(I1701=$A$1,I1701=0),"",IF(N1701=MappingTables!$C$14,VLOOKUP(J1701,ModelParameters!$M$8:$N$15,2,FALSE),IF(N1701=MappingTables!$C$16,VLOOKUP(J1701,ModelParameters!$P$8:$Q$15,2,FALSE),0)))</f>
        <v>0.197</v>
      </c>
      <c r="P1701" s="73">
        <f>IF(OR(I1701=0,I1701=$A$1),0,MIN(O1701*M1701,1)*K1701)</f>
        <v>66.754193265808024</v>
      </c>
      <c r="Q1701" s="73">
        <f>IF(B1701="",0,IF(OR(H1701=MappingTables!$C$34,H1701=MappingTables!$C$35),P1701,0))</f>
        <v>0</v>
      </c>
      <c r="R1701" s="73">
        <f>IF(ISNA(IF(AND(VLOOKUP(CONCATENATE($D1701,$G1701),CSRFinput!$B:$E,4,0)=0,OR(H1701=MappingTables!$C$31,H1701=MappingTables!$C$32)),1,VLOOKUP(CONCATENATE($D1701,$G1701),CSRFinput!$B:$E,4,0))),0,IF(AND(VLOOKUP(CONCATENATE($D1701,$G1701),CSRFinput!$B:$E,4,0)=0,OR(H1701=MappingTables!$C$31,H1701=MappingTables!$C$32)),1,VLOOKUP(CONCATENATE($D1701,$G1701),CSRFinput!$B:$E,4,0)))</f>
        <v>0.054776304963434752</v>
      </c>
      <c r="S1701" s="73">
        <f>IF(B1701="",0,P1701*R1701)</f>
        <v>3.6565480479159632</v>
      </c>
      <c r="T1701" s="85">
        <f>IF(B1701="",0,IF(OR(H1701=MappingTables!$C$34,H1701=MappingTables!$C$35),S1701,0))</f>
        <v>0</v>
      </c>
    </row>
    <row r="1702" spans="2:20" s="0" customFormat="0" ht="15">
      <c r="B1702" s="69" t="s">
        <v>5089</v>
      </c>
      <c r="C1702" s="70" t="s">
        <v>5090</v>
      </c>
      <c r="D1702" s="70" t="s">
        <v>1</v>
      </c>
      <c r="E1702" s="70" t="s">
        <v>1</v>
      </c>
      <c r="F1702" s="70"/>
      <c r="G1702" s="70" t="s">
        <v>61</v>
      </c>
      <c r="H1702" s="70" t="s">
        <v>178</v>
      </c>
      <c r="I1702" s="70" t="s">
        <v>3298</v>
      </c>
      <c r="J1702" s="71">
        <f>IF(OR(I1702=0,I1702=""),"unrated",VLOOKUP(I1702,MappingTables!$B$19:$C$31,2,FALSE))</f>
        <v>6</v>
      </c>
      <c r="K1702" s="72">
        <v>449.947105894692</v>
      </c>
      <c r="L1702" s="70">
        <v>-0.28139364630522544</v>
      </c>
      <c r="M1702" s="71">
        <f>IF(L1702&lt;1,1,L1702)</f>
        <v>1</v>
      </c>
      <c r="N1702" s="70" t="s">
        <v>3288</v>
      </c>
      <c r="O1702" s="71">
        <f>IF(OR(I1702=$A$1,I1702=0),"",IF(N1702=MappingTables!$C$14,VLOOKUP(J1702,ModelParameters!$M$8:$N$15,2,FALSE),IF(N1702=MappingTables!$C$16,VLOOKUP(J1702,ModelParameters!$P$8:$Q$15,2,FALSE),0)))</f>
        <v>1</v>
      </c>
      <c r="P1702" s="73">
        <f>IF(OR(I1702=0,I1702=$A$1),0,MIN(O1702*M1702,1)*K1702)</f>
        <v>449.947105894692</v>
      </c>
      <c r="Q1702" s="73">
        <f>IF(B1702="",0,IF(OR(H1702=MappingTables!$C$34,H1702=MappingTables!$C$35),P1702,0))</f>
        <v>0</v>
      </c>
      <c r="R1702" s="73">
        <f>IF(ISNA(IF(AND(VLOOKUP(CONCATENATE($D1702,$G1702),CSRFinput!$B:$E,4,0)=0,OR(H1702=MappingTables!$C$31,H1702=MappingTables!$C$32)),1,VLOOKUP(CONCATENATE($D1702,$G1702),CSRFinput!$B:$E,4,0))),0,IF(AND(VLOOKUP(CONCATENATE($D1702,$G1702),CSRFinput!$B:$E,4,0)=0,OR(H1702=MappingTables!$C$31,H1702=MappingTables!$C$32)),1,VLOOKUP(CONCATENATE($D1702,$G1702),CSRFinput!$B:$E,4,0)))</f>
        <v>0.054776304963434752</v>
      </c>
      <c r="S1702" s="73">
        <f>IF(B1702="",0,P1702*R1702)</f>
        <v>24.64643988990252</v>
      </c>
      <c r="T1702" s="85">
        <f>IF(B1702="",0,IF(OR(H1702=MappingTables!$C$34,H1702=MappingTables!$C$35),S1702,0))</f>
        <v>0</v>
      </c>
    </row>
    <row r="1703" spans="2:20" s="0" customFormat="0" ht="15">
      <c r="B1703" s="69">
        <v>870797</v>
      </c>
      <c r="C1703" s="70" t="s">
        <v>4758</v>
      </c>
      <c r="D1703" s="70" t="s">
        <v>1</v>
      </c>
      <c r="E1703" s="70" t="s">
        <v>1</v>
      </c>
      <c r="F1703" s="70"/>
      <c r="G1703" s="70" t="s">
        <v>61</v>
      </c>
      <c r="H1703" s="70" t="s">
        <v>178</v>
      </c>
      <c r="I1703" s="70" t="s">
        <v>179</v>
      </c>
      <c r="J1703" s="71">
        <f>IF(OR(I1703=0,I1703=""),"unrated",VLOOKUP(I1703,MappingTables!$B$19:$C$31,2,FALSE))</f>
        <v>4</v>
      </c>
      <c r="K1703" s="72">
        <v>2.7712349160139728</v>
      </c>
      <c r="L1703" s="70">
        <v>0.068496621781845376</v>
      </c>
      <c r="M1703" s="71">
        <f>IF(L1703&lt;1,1,L1703)</f>
        <v>1</v>
      </c>
      <c r="N1703" s="70" t="s">
        <v>3288</v>
      </c>
      <c r="O1703" s="71">
        <f>IF(OR(I1703=$A$1,I1703=0),"",IF(N1703=MappingTables!$C$14,VLOOKUP(J1703,ModelParameters!$M$8:$N$15,2,FALSE),IF(N1703=MappingTables!$C$16,VLOOKUP(J1703,ModelParameters!$P$8:$Q$15,2,FALSE),0)))</f>
        <v>0.82</v>
      </c>
      <c r="P1703" s="73">
        <f>IF(OR(I1703=0,I1703=$A$1),0,MIN(O1703*M1703,1)*K1703)</f>
        <v>2.2724126311314576</v>
      </c>
      <c r="Q1703" s="73">
        <f>IF(B1703="",0,IF(OR(H1703=MappingTables!$C$34,H1703=MappingTables!$C$35),P1703,0))</f>
        <v>0</v>
      </c>
      <c r="R1703" s="73">
        <f>IF(ISNA(IF(AND(VLOOKUP(CONCATENATE($D1703,$G1703),CSRFinput!$B:$E,4,0)=0,OR(H1703=MappingTables!$C$31,H1703=MappingTables!$C$32)),1,VLOOKUP(CONCATENATE($D1703,$G1703),CSRFinput!$B:$E,4,0))),0,IF(AND(VLOOKUP(CONCATENATE($D1703,$G1703),CSRFinput!$B:$E,4,0)=0,OR(H1703=MappingTables!$C$31,H1703=MappingTables!$C$32)),1,VLOOKUP(CONCATENATE($D1703,$G1703),CSRFinput!$B:$E,4,0)))</f>
        <v>0.054776304963434752</v>
      </c>
      <c r="S1703" s="73">
        <f>IF(B1703="",0,P1703*R1703)</f>
        <v>0.12447436728561788</v>
      </c>
      <c r="T1703" s="85">
        <f>IF(B1703="",0,IF(OR(H1703=MappingTables!$C$34,H1703=MappingTables!$C$35),S1703,0))</f>
        <v>0</v>
      </c>
    </row>
    <row r="1704" spans="2:20" s="0" customFormat="0" ht="15">
      <c r="B1704" s="69" t="s">
        <v>4404</v>
      </c>
      <c r="C1704" s="70" t="s">
        <v>4405</v>
      </c>
      <c r="D1704" s="70" t="s">
        <v>1</v>
      </c>
      <c r="E1704" s="70" t="s">
        <v>1</v>
      </c>
      <c r="F1704" s="70"/>
      <c r="G1704" s="70" t="s">
        <v>61</v>
      </c>
      <c r="H1704" s="70" t="s">
        <v>178</v>
      </c>
      <c r="I1704" s="70" t="s">
        <v>198</v>
      </c>
      <c r="J1704" s="71" t="str">
        <f>IF(OR(I1704=0,I1704=""),"unrated",VLOOKUP(I1704,MappingTables!$B$19:$C$31,2,FALSE))</f>
        <v>unrated</v>
      </c>
      <c r="K1704" s="72">
        <v>750.08779365234912</v>
      </c>
      <c r="L1704" s="70">
        <v>0.068493143442457256</v>
      </c>
      <c r="M1704" s="71">
        <f>IF(L1704&lt;1,1,L1704)</f>
        <v>1</v>
      </c>
      <c r="N1704" s="70" t="s">
        <v>3288</v>
      </c>
      <c r="O1704" s="71">
        <f>IF(OR(I1704=$A$1,I1704=0),"",IF(N1704=MappingTables!$C$14,VLOOKUP(J1704,ModelParameters!$M$8:$N$15,2,FALSE),IF(N1704=MappingTables!$C$16,VLOOKUP(J1704,ModelParameters!$P$8:$Q$15,2,FALSE),0)))</f>
        <v>1</v>
      </c>
      <c r="P1704" s="73">
        <f>IF(OR(I1704=0,I1704=$A$1),0,MIN(O1704*M1704,1)*K1704)</f>
        <v>750.08779365234912</v>
      </c>
      <c r="Q1704" s="73">
        <f>IF(B1704="",0,IF(OR(H1704=MappingTables!$C$34,H1704=MappingTables!$C$35),P1704,0))</f>
        <v>0</v>
      </c>
      <c r="R1704" s="73">
        <f>IF(ISNA(IF(AND(VLOOKUP(CONCATENATE($D1704,$G1704),CSRFinput!$B:$E,4,0)=0,OR(H1704=MappingTables!$C$31,H1704=MappingTables!$C$32)),1,VLOOKUP(CONCATENATE($D1704,$G1704),CSRFinput!$B:$E,4,0))),0,IF(AND(VLOOKUP(CONCATENATE($D1704,$G1704),CSRFinput!$B:$E,4,0)=0,OR(H1704=MappingTables!$C$31,H1704=MappingTables!$C$32)),1,VLOOKUP(CONCATENATE($D1704,$G1704),CSRFinput!$B:$E,4,0)))</f>
        <v>0.054776304963434752</v>
      </c>
      <c r="S1704" s="73">
        <f>IF(B1704="",0,P1704*R1704)</f>
        <v>41.087037734450992</v>
      </c>
      <c r="T1704" s="85">
        <f>IF(B1704="",0,IF(OR(H1704=MappingTables!$C$34,H1704=MappingTables!$C$35),S1704,0))</f>
        <v>0</v>
      </c>
    </row>
    <row r="1705" spans="2:20" s="0" customFormat="0" ht="15">
      <c r="B1705" s="69" t="s">
        <v>4604</v>
      </c>
      <c r="C1705" s="70" t="s">
        <v>4605</v>
      </c>
      <c r="D1705" s="70" t="s">
        <v>1</v>
      </c>
      <c r="E1705" s="70" t="s">
        <v>1</v>
      </c>
      <c r="F1705" s="70"/>
      <c r="G1705" s="70" t="s">
        <v>61</v>
      </c>
      <c r="H1705" s="70" t="s">
        <v>178</v>
      </c>
      <c r="I1705" s="70" t="s">
        <v>198</v>
      </c>
      <c r="J1705" s="71" t="str">
        <f>IF(OR(I1705=0,I1705=""),"unrated",VLOOKUP(I1705,MappingTables!$B$19:$C$31,2,FALSE))</f>
        <v>unrated</v>
      </c>
      <c r="K1705" s="72">
        <v>128.52026076043788</v>
      </c>
      <c r="L1705" s="70">
        <v>1.23730504510441</v>
      </c>
      <c r="M1705" s="71">
        <f>IF(L1705&lt;1,1,L1705)</f>
        <v>1.23730504510441</v>
      </c>
      <c r="N1705" s="70" t="s">
        <v>3288</v>
      </c>
      <c r="O1705" s="71">
        <f>IF(OR(I1705=$A$1,I1705=0),"",IF(N1705=MappingTables!$C$14,VLOOKUP(J1705,ModelParameters!$M$8:$N$15,2,FALSE),IF(N1705=MappingTables!$C$16,VLOOKUP(J1705,ModelParameters!$P$8:$Q$15,2,FALSE),0)))</f>
        <v>1</v>
      </c>
      <c r="P1705" s="73">
        <f>IF(OR(I1705=0,I1705=$A$1),0,MIN(O1705*M1705,1)*K1705)</f>
        <v>128.52026076043788</v>
      </c>
      <c r="Q1705" s="73">
        <f>IF(B1705="",0,IF(OR(H1705=MappingTables!$C$34,H1705=MappingTables!$C$35),P1705,0))</f>
        <v>0</v>
      </c>
      <c r="R1705" s="73">
        <f>IF(ISNA(IF(AND(VLOOKUP(CONCATENATE($D1705,$G1705),CSRFinput!$B:$E,4,0)=0,OR(H1705=MappingTables!$C$31,H1705=MappingTables!$C$32)),1,VLOOKUP(CONCATENATE($D1705,$G1705),CSRFinput!$B:$E,4,0))),0,IF(AND(VLOOKUP(CONCATENATE($D1705,$G1705),CSRFinput!$B:$E,4,0)=0,OR(H1705=MappingTables!$C$31,H1705=MappingTables!$C$32)),1,VLOOKUP(CONCATENATE($D1705,$G1705),CSRFinput!$B:$E,4,0)))</f>
        <v>0.054776304963434752</v>
      </c>
      <c r="S1705" s="73">
        <f>IF(B1705="",0,P1705*R1705)</f>
        <v>7.0398649973939024</v>
      </c>
      <c r="T1705" s="85">
        <f>IF(B1705="",0,IF(OR(H1705=MappingTables!$C$34,H1705=MappingTables!$C$35),S1705,0))</f>
        <v>0</v>
      </c>
    </row>
    <row r="1706" spans="2:20" s="0" customFormat="0" ht="15">
      <c r="B1706" s="69" t="s">
        <v>4022</v>
      </c>
      <c r="C1706" s="70" t="s">
        <v>4023</v>
      </c>
      <c r="D1706" s="70" t="s">
        <v>1</v>
      </c>
      <c r="E1706" s="70" t="s">
        <v>1</v>
      </c>
      <c r="F1706" s="70"/>
      <c r="G1706" s="70" t="s">
        <v>61</v>
      </c>
      <c r="H1706" s="70" t="s">
        <v>178</v>
      </c>
      <c r="I1706" s="70" t="s">
        <v>198</v>
      </c>
      <c r="J1706" s="71" t="str">
        <f>IF(OR(I1706=0,I1706=""),"unrated",VLOOKUP(I1706,MappingTables!$B$19:$C$31,2,FALSE))</f>
        <v>unrated</v>
      </c>
      <c r="K1706" s="72">
        <v>25.044354843776988</v>
      </c>
      <c r="L1706" s="70">
        <v>0.068493841251183336</v>
      </c>
      <c r="M1706" s="71">
        <f>IF(L1706&lt;1,1,L1706)</f>
        <v>1</v>
      </c>
      <c r="N1706" s="70" t="s">
        <v>3288</v>
      </c>
      <c r="O1706" s="71">
        <f>IF(OR(I1706=$A$1,I1706=0),"",IF(N1706=MappingTables!$C$14,VLOOKUP(J1706,ModelParameters!$M$8:$N$15,2,FALSE),IF(N1706=MappingTables!$C$16,VLOOKUP(J1706,ModelParameters!$P$8:$Q$15,2,FALSE),0)))</f>
        <v>1</v>
      </c>
      <c r="P1706" s="73">
        <f>IF(OR(I1706=0,I1706=$A$1),0,MIN(O1706*M1706,1)*K1706)</f>
        <v>25.044354843776988</v>
      </c>
      <c r="Q1706" s="73">
        <f>IF(B1706="",0,IF(OR(H1706=MappingTables!$C$34,H1706=MappingTables!$C$35),P1706,0))</f>
        <v>0</v>
      </c>
      <c r="R1706" s="73">
        <f>IF(ISNA(IF(AND(VLOOKUP(CONCATENATE($D1706,$G1706),CSRFinput!$B:$E,4,0)=0,OR(H1706=MappingTables!$C$31,H1706=MappingTables!$C$32)),1,VLOOKUP(CONCATENATE($D1706,$G1706),CSRFinput!$B:$E,4,0))),0,IF(AND(VLOOKUP(CONCATENATE($D1706,$G1706),CSRFinput!$B:$E,4,0)=0,OR(H1706=MappingTables!$C$31,H1706=MappingTables!$C$32)),1,VLOOKUP(CONCATENATE($D1706,$G1706),CSRFinput!$B:$E,4,0)))</f>
        <v>0.054776304963434752</v>
      </c>
      <c r="S1706" s="73">
        <f>IF(B1706="",0,P1706*R1706)</f>
        <v>1.3718372185352026</v>
      </c>
      <c r="T1706" s="85">
        <f>IF(B1706="",0,IF(OR(H1706=MappingTables!$C$34,H1706=MappingTables!$C$35),S1706,0))</f>
        <v>0</v>
      </c>
    </row>
    <row r="1707" spans="2:20" s="0" customFormat="0" ht="15">
      <c r="B1707" s="69">
        <v>24139330</v>
      </c>
      <c r="C1707" s="70" t="s">
        <v>3679</v>
      </c>
      <c r="D1707" s="70" t="s">
        <v>1</v>
      </c>
      <c r="E1707" s="70" t="s">
        <v>1</v>
      </c>
      <c r="F1707" s="70"/>
      <c r="G1707" s="70" t="s">
        <v>61</v>
      </c>
      <c r="H1707" s="70" t="s">
        <v>178</v>
      </c>
      <c r="I1707" s="70" t="s">
        <v>216</v>
      </c>
      <c r="J1707" s="71">
        <f>IF(OR(I1707=0,I1707=""),"unrated",VLOOKUP(I1707,MappingTables!$B$19:$C$31,2,FALSE))</f>
        <v>0</v>
      </c>
      <c r="K1707" s="72">
        <v>1518.8540280450186</v>
      </c>
      <c r="L1707" s="70">
        <v>4.4754116032642704</v>
      </c>
      <c r="M1707" s="71">
        <f>IF(L1707&lt;1,1,L1707)</f>
        <v>4.4754116032642704</v>
      </c>
      <c r="N1707" s="70" t="s">
        <v>3288</v>
      </c>
      <c r="O1707" s="71">
        <f>IF(OR(I1707=$A$1,I1707=0),"",IF(N1707=MappingTables!$C$14,VLOOKUP(J1707,ModelParameters!$M$8:$N$15,2,FALSE),IF(N1707=MappingTables!$C$16,VLOOKUP(J1707,ModelParameters!$P$8:$Q$15,2,FALSE),0)))</f>
        <v>0.125</v>
      </c>
      <c r="P1707" s="73">
        <f>IF(OR(I1707=0,I1707=$A$1),0,MIN(O1707*M1707,1)*K1707)</f>
        <v>849.68711759716912</v>
      </c>
      <c r="Q1707" s="73">
        <f>IF(B1707="",0,IF(OR(H1707=MappingTables!$C$34,H1707=MappingTables!$C$35),P1707,0))</f>
        <v>0</v>
      </c>
      <c r="R1707" s="73">
        <f>IF(ISNA(IF(AND(VLOOKUP(CONCATENATE($D1707,$G1707),CSRFinput!$B:$E,4,0)=0,OR(H1707=MappingTables!$C$31,H1707=MappingTables!$C$32)),1,VLOOKUP(CONCATENATE($D1707,$G1707),CSRFinput!$B:$E,4,0))),0,IF(AND(VLOOKUP(CONCATENATE($D1707,$G1707),CSRFinput!$B:$E,4,0)=0,OR(H1707=MappingTables!$C$31,H1707=MappingTables!$C$32)),1,VLOOKUP(CONCATENATE($D1707,$G1707),CSRFinput!$B:$E,4,0)))</f>
        <v>0.054776304963434752</v>
      </c>
      <c r="S1707" s="73">
        <f>IF(B1707="",0,P1707*R1707)</f>
        <v>46.542720677004384</v>
      </c>
      <c r="T1707" s="85">
        <f>IF(B1707="",0,IF(OR(H1707=MappingTables!$C$34,H1707=MappingTables!$C$35),S1707,0))</f>
        <v>0</v>
      </c>
    </row>
    <row r="1708" spans="2:20" s="0" customFormat="0" ht="15">
      <c r="B1708" s="69" t="s">
        <v>4072</v>
      </c>
      <c r="C1708" s="70" t="s">
        <v>4073</v>
      </c>
      <c r="D1708" s="70" t="s">
        <v>1</v>
      </c>
      <c r="E1708" s="70" t="s">
        <v>1</v>
      </c>
      <c r="F1708" s="70"/>
      <c r="G1708" s="70" t="s">
        <v>61</v>
      </c>
      <c r="H1708" s="70" t="s">
        <v>178</v>
      </c>
      <c r="I1708" s="70" t="s">
        <v>198</v>
      </c>
      <c r="J1708" s="71" t="str">
        <f>IF(OR(I1708=0,I1708=""),"unrated",VLOOKUP(I1708,MappingTables!$B$19:$C$31,2,FALSE))</f>
        <v>unrated</v>
      </c>
      <c r="K1708" s="72">
        <v>1.9326834990953436</v>
      </c>
      <c r="L1708" s="70">
        <v>8.2714346846382336</v>
      </c>
      <c r="M1708" s="71">
        <f>IF(L1708&lt;1,1,L1708)</f>
        <v>8.2714346846382336</v>
      </c>
      <c r="N1708" s="70" t="s">
        <v>3288</v>
      </c>
      <c r="O1708" s="71">
        <f>IF(OR(I1708=$A$1,I1708=0),"",IF(N1708=MappingTables!$C$14,VLOOKUP(J1708,ModelParameters!$M$8:$N$15,2,FALSE),IF(N1708=MappingTables!$C$16,VLOOKUP(J1708,ModelParameters!$P$8:$Q$15,2,FALSE),0)))</f>
        <v>1</v>
      </c>
      <c r="P1708" s="73">
        <f>IF(OR(I1708=0,I1708=$A$1),0,MIN(O1708*M1708,1)*K1708)</f>
        <v>1.9326834990953436</v>
      </c>
      <c r="Q1708" s="73">
        <f>IF(B1708="",0,IF(OR(H1708=MappingTables!$C$34,H1708=MappingTables!$C$35),P1708,0))</f>
        <v>0</v>
      </c>
      <c r="R1708" s="73">
        <f>IF(ISNA(IF(AND(VLOOKUP(CONCATENATE($D1708,$G1708),CSRFinput!$B:$E,4,0)=0,OR(H1708=MappingTables!$C$31,H1708=MappingTables!$C$32)),1,VLOOKUP(CONCATENATE($D1708,$G1708),CSRFinput!$B:$E,4,0))),0,IF(AND(VLOOKUP(CONCATENATE($D1708,$G1708),CSRFinput!$B:$E,4,0)=0,OR(H1708=MappingTables!$C$31,H1708=MappingTables!$C$32)),1,VLOOKUP(CONCATENATE($D1708,$G1708),CSRFinput!$B:$E,4,0)))</f>
        <v>0.054776304963434752</v>
      </c>
      <c r="S1708" s="73">
        <f>IF(B1708="",0,P1708*R1708)</f>
        <v>0.10586526074424472</v>
      </c>
      <c r="T1708" s="85">
        <f>IF(B1708="",0,IF(OR(H1708=MappingTables!$C$34,H1708=MappingTables!$C$35),S1708,0))</f>
        <v>0</v>
      </c>
    </row>
    <row r="1709" spans="2:20" s="0" customFormat="0" ht="15">
      <c r="B1709" s="69" t="s">
        <v>4359</v>
      </c>
      <c r="C1709" s="70" t="s">
        <v>4360</v>
      </c>
      <c r="D1709" s="70" t="s">
        <v>1</v>
      </c>
      <c r="E1709" s="70" t="s">
        <v>1</v>
      </c>
      <c r="F1709" s="70"/>
      <c r="G1709" s="70" t="s">
        <v>61</v>
      </c>
      <c r="H1709" s="70" t="s">
        <v>178</v>
      </c>
      <c r="I1709" s="70" t="s">
        <v>198</v>
      </c>
      <c r="J1709" s="71" t="str">
        <f>IF(OR(I1709=0,I1709=""),"unrated",VLOOKUP(I1709,MappingTables!$B$19:$C$31,2,FALSE))</f>
        <v>unrated</v>
      </c>
      <c r="K1709" s="72">
        <v>2003.1692501768588</v>
      </c>
      <c r="L1709" s="70">
        <v>22.844031783901512</v>
      </c>
      <c r="M1709" s="71">
        <f>IF(L1709&lt;1,1,L1709)</f>
        <v>22.844031783901512</v>
      </c>
      <c r="N1709" s="70" t="s">
        <v>3288</v>
      </c>
      <c r="O1709" s="71">
        <f>IF(OR(I1709=$A$1,I1709=0),"",IF(N1709=MappingTables!$C$14,VLOOKUP(J1709,ModelParameters!$M$8:$N$15,2,FALSE),IF(N1709=MappingTables!$C$16,VLOOKUP(J1709,ModelParameters!$P$8:$Q$15,2,FALSE),0)))</f>
        <v>1</v>
      </c>
      <c r="P1709" s="73">
        <f>IF(OR(I1709=0,I1709=$A$1),0,MIN(O1709*M1709,1)*K1709)</f>
        <v>2003.1692501768588</v>
      </c>
      <c r="Q1709" s="73">
        <f>IF(B1709="",0,IF(OR(H1709=MappingTables!$C$34,H1709=MappingTables!$C$35),P1709,0))</f>
        <v>0</v>
      </c>
      <c r="R1709" s="73">
        <f>IF(ISNA(IF(AND(VLOOKUP(CONCATENATE($D1709,$G1709),CSRFinput!$B:$E,4,0)=0,OR(H1709=MappingTables!$C$31,H1709=MappingTables!$C$32)),1,VLOOKUP(CONCATENATE($D1709,$G1709),CSRFinput!$B:$E,4,0))),0,IF(AND(VLOOKUP(CONCATENATE($D1709,$G1709),CSRFinput!$B:$E,4,0)=0,OR(H1709=MappingTables!$C$31,H1709=MappingTables!$C$32)),1,VLOOKUP(CONCATENATE($D1709,$G1709),CSRFinput!$B:$E,4,0)))</f>
        <v>0.054776304963434752</v>
      </c>
      <c r="S1709" s="73">
        <f>IF(B1709="",0,P1709*R1709)</f>
        <v>109.72620974106254</v>
      </c>
      <c r="T1709" s="85">
        <f>IF(B1709="",0,IF(OR(H1709=MappingTables!$C$34,H1709=MappingTables!$C$35),S1709,0))</f>
        <v>0</v>
      </c>
    </row>
    <row r="1710" spans="2:20" s="0" customFormat="0" ht="15">
      <c r="B1710" s="69" t="s">
        <v>3650</v>
      </c>
      <c r="C1710" s="70" t="s">
        <v>3651</v>
      </c>
      <c r="D1710" s="70" t="s">
        <v>1</v>
      </c>
      <c r="E1710" s="70" t="s">
        <v>1</v>
      </c>
      <c r="F1710" s="70"/>
      <c r="G1710" s="70" t="s">
        <v>61</v>
      </c>
      <c r="H1710" s="70" t="s">
        <v>178</v>
      </c>
      <c r="I1710" s="70" t="s">
        <v>3298</v>
      </c>
      <c r="J1710" s="71">
        <f>IF(OR(I1710=0,I1710=""),"unrated",VLOOKUP(I1710,MappingTables!$B$19:$C$31,2,FALSE))</f>
        <v>6</v>
      </c>
      <c r="K1710" s="72">
        <v>876.80442381076816</v>
      </c>
      <c r="L1710" s="70">
        <v>-0.55276123829120624</v>
      </c>
      <c r="M1710" s="71">
        <f>IF(L1710&lt;1,1,L1710)</f>
        <v>1</v>
      </c>
      <c r="N1710" s="70" t="s">
        <v>3288</v>
      </c>
      <c r="O1710" s="71">
        <f>IF(OR(I1710=$A$1,I1710=0),"",IF(N1710=MappingTables!$C$14,VLOOKUP(J1710,ModelParameters!$M$8:$N$15,2,FALSE),IF(N1710=MappingTables!$C$16,VLOOKUP(J1710,ModelParameters!$P$8:$Q$15,2,FALSE),0)))</f>
        <v>1</v>
      </c>
      <c r="P1710" s="73">
        <f>IF(OR(I1710=0,I1710=$A$1),0,MIN(O1710*M1710,1)*K1710)</f>
        <v>876.80442381076816</v>
      </c>
      <c r="Q1710" s="73">
        <f>IF(B1710="",0,IF(OR(H1710=MappingTables!$C$34,H1710=MappingTables!$C$35),P1710,0))</f>
        <v>0</v>
      </c>
      <c r="R1710" s="73">
        <f>IF(ISNA(IF(AND(VLOOKUP(CONCATENATE($D1710,$G1710),CSRFinput!$B:$E,4,0)=0,OR(H1710=MappingTables!$C$31,H1710=MappingTables!$C$32)),1,VLOOKUP(CONCATENATE($D1710,$G1710),CSRFinput!$B:$E,4,0))),0,IF(AND(VLOOKUP(CONCATENATE($D1710,$G1710),CSRFinput!$B:$E,4,0)=0,OR(H1710=MappingTables!$C$31,H1710=MappingTables!$C$32)),1,VLOOKUP(CONCATENATE($D1710,$G1710),CSRFinput!$B:$E,4,0)))</f>
        <v>0.054776304963434752</v>
      </c>
      <c r="S1710" s="73">
        <f>IF(B1710="",0,P1710*R1710)</f>
        <v>48.028106511947328</v>
      </c>
      <c r="T1710" s="85">
        <f>IF(B1710="",0,IF(OR(H1710=MappingTables!$C$34,H1710=MappingTables!$C$35),S1710,0))</f>
        <v>0</v>
      </c>
    </row>
    <row r="1711" spans="2:20" s="0" customFormat="0" ht="15">
      <c r="B1711" s="69" t="s">
        <v>5122</v>
      </c>
      <c r="C1711" s="70" t="s">
        <v>5123</v>
      </c>
      <c r="D1711" s="70" t="s">
        <v>1</v>
      </c>
      <c r="E1711" s="70" t="s">
        <v>1</v>
      </c>
      <c r="F1711" s="70"/>
      <c r="G1711" s="70" t="s">
        <v>61</v>
      </c>
      <c r="H1711" s="70" t="s">
        <v>178</v>
      </c>
      <c r="I1711" s="70" t="s">
        <v>198</v>
      </c>
      <c r="J1711" s="71" t="str">
        <f>IF(OR(I1711=0,I1711=""),"unrated",VLOOKUP(I1711,MappingTables!$B$19:$C$31,2,FALSE))</f>
        <v>unrated</v>
      </c>
      <c r="K1711" s="72">
        <v>4183.4557386767336</v>
      </c>
      <c r="L1711" s="70">
        <v>0.67634510472871456</v>
      </c>
      <c r="M1711" s="71">
        <f>IF(L1711&lt;1,1,L1711)</f>
        <v>1</v>
      </c>
      <c r="N1711" s="70" t="s">
        <v>3288</v>
      </c>
      <c r="O1711" s="71">
        <f>IF(OR(I1711=$A$1,I1711=0),"",IF(N1711=MappingTables!$C$14,VLOOKUP(J1711,ModelParameters!$M$8:$N$15,2,FALSE),IF(N1711=MappingTables!$C$16,VLOOKUP(J1711,ModelParameters!$P$8:$Q$15,2,FALSE),0)))</f>
        <v>1</v>
      </c>
      <c r="P1711" s="73">
        <f>IF(OR(I1711=0,I1711=$A$1),0,MIN(O1711*M1711,1)*K1711)</f>
        <v>4183.4557386767336</v>
      </c>
      <c r="Q1711" s="73">
        <f>IF(B1711="",0,IF(OR(H1711=MappingTables!$C$34,H1711=MappingTables!$C$35),P1711,0))</f>
        <v>0</v>
      </c>
      <c r="R1711" s="73">
        <f>IF(ISNA(IF(AND(VLOOKUP(CONCATENATE($D1711,$G1711),CSRFinput!$B:$E,4,0)=0,OR(H1711=MappingTables!$C$31,H1711=MappingTables!$C$32)),1,VLOOKUP(CONCATENATE($D1711,$G1711),CSRFinput!$B:$E,4,0))),0,IF(AND(VLOOKUP(CONCATENATE($D1711,$G1711),CSRFinput!$B:$E,4,0)=0,OR(H1711=MappingTables!$C$31,H1711=MappingTables!$C$32)),1,VLOOKUP(CONCATENATE($D1711,$G1711),CSRFinput!$B:$E,4,0)))</f>
        <v>0.054776304963434752</v>
      </c>
      <c r="S1711" s="73">
        <f>IF(B1711="",0,P1711*R1711)</f>
        <v>229.154247342788</v>
      </c>
      <c r="T1711" s="85">
        <f>IF(B1711="",0,IF(OR(H1711=MappingTables!$C$34,H1711=MappingTables!$C$35),S1711,0))</f>
        <v>0</v>
      </c>
    </row>
    <row r="1712" spans="2:20" s="0" customFormat="0" ht="15">
      <c r="B1712" s="69" t="s">
        <v>3960</v>
      </c>
      <c r="C1712" s="70" t="s">
        <v>3961</v>
      </c>
      <c r="D1712" s="70" t="s">
        <v>1</v>
      </c>
      <c r="E1712" s="70" t="s">
        <v>1</v>
      </c>
      <c r="F1712" s="70"/>
      <c r="G1712" s="70" t="s">
        <v>61</v>
      </c>
      <c r="H1712" s="70" t="s">
        <v>178</v>
      </c>
      <c r="I1712" s="70" t="s">
        <v>198</v>
      </c>
      <c r="J1712" s="71" t="str">
        <f>IF(OR(I1712=0,I1712=""),"unrated",VLOOKUP(I1712,MappingTables!$B$19:$C$31,2,FALSE))</f>
        <v>unrated</v>
      </c>
      <c r="K1712" s="72">
        <v>3.6268291888458496</v>
      </c>
      <c r="L1712" s="70">
        <v>8.5696386157711088</v>
      </c>
      <c r="M1712" s="71">
        <f>IF(L1712&lt;1,1,L1712)</f>
        <v>8.5696386157711088</v>
      </c>
      <c r="N1712" s="70" t="s">
        <v>3288</v>
      </c>
      <c r="O1712" s="71">
        <f>IF(OR(I1712=$A$1,I1712=0),"",IF(N1712=MappingTables!$C$14,VLOOKUP(J1712,ModelParameters!$M$8:$N$15,2,FALSE),IF(N1712=MappingTables!$C$16,VLOOKUP(J1712,ModelParameters!$P$8:$Q$15,2,FALSE),0)))</f>
        <v>1</v>
      </c>
      <c r="P1712" s="73">
        <f>IF(OR(I1712=0,I1712=$A$1),0,MIN(O1712*M1712,1)*K1712)</f>
        <v>3.6268291888458496</v>
      </c>
      <c r="Q1712" s="73">
        <f>IF(B1712="",0,IF(OR(H1712=MappingTables!$C$34,H1712=MappingTables!$C$35),P1712,0))</f>
        <v>0</v>
      </c>
      <c r="R1712" s="73">
        <f>IF(ISNA(IF(AND(VLOOKUP(CONCATENATE($D1712,$G1712),CSRFinput!$B:$E,4,0)=0,OR(H1712=MappingTables!$C$31,H1712=MappingTables!$C$32)),1,VLOOKUP(CONCATENATE($D1712,$G1712),CSRFinput!$B:$E,4,0))),0,IF(AND(VLOOKUP(CONCATENATE($D1712,$G1712),CSRFinput!$B:$E,4,0)=0,OR(H1712=MappingTables!$C$31,H1712=MappingTables!$C$32)),1,VLOOKUP(CONCATENATE($D1712,$G1712),CSRFinput!$B:$E,4,0)))</f>
        <v>0.054776304963434752</v>
      </c>
      <c r="S1712" s="73">
        <f>IF(B1712="",0,P1712*R1712)</f>
        <v>0.19866430169850692</v>
      </c>
      <c r="T1712" s="85">
        <f>IF(B1712="",0,IF(OR(H1712=MappingTables!$C$34,H1712=MappingTables!$C$35),S1712,0))</f>
        <v>0</v>
      </c>
    </row>
    <row r="1713" spans="2:20" s="0" customFormat="0" ht="15">
      <c r="B1713" s="69" t="s">
        <v>4035</v>
      </c>
      <c r="C1713" s="70" t="s">
        <v>4036</v>
      </c>
      <c r="D1713" s="70" t="s">
        <v>1</v>
      </c>
      <c r="E1713" s="70" t="s">
        <v>1</v>
      </c>
      <c r="F1713" s="70"/>
      <c r="G1713" s="70" t="s">
        <v>61</v>
      </c>
      <c r="H1713" s="70" t="s">
        <v>178</v>
      </c>
      <c r="I1713" s="70" t="s">
        <v>184</v>
      </c>
      <c r="J1713" s="71">
        <f>IF(OR(I1713=0,I1713=""),"unrated",VLOOKUP(I1713,MappingTables!$B$19:$C$31,2,FALSE))</f>
        <v>5</v>
      </c>
      <c r="K1713" s="72">
        <v>2148.22535590247</v>
      </c>
      <c r="L1713" s="70">
        <v>0.061840300221077688</v>
      </c>
      <c r="M1713" s="71">
        <f>IF(L1713&lt;1,1,L1713)</f>
        <v>1</v>
      </c>
      <c r="N1713" s="70" t="s">
        <v>3288</v>
      </c>
      <c r="O1713" s="71">
        <f>IF(OR(I1713=$A$1,I1713=0),"",IF(N1713=MappingTables!$C$14,VLOOKUP(J1713,ModelParameters!$M$8:$N$15,2,FALSE),IF(N1713=MappingTables!$C$16,VLOOKUP(J1713,ModelParameters!$P$8:$Q$15,2,FALSE),0)))</f>
        <v>1</v>
      </c>
      <c r="P1713" s="73">
        <f>IF(OR(I1713=0,I1713=$A$1),0,MIN(O1713*M1713,1)*K1713)</f>
        <v>2148.22535590247</v>
      </c>
      <c r="Q1713" s="73">
        <f>IF(B1713="",0,IF(OR(H1713=MappingTables!$C$34,H1713=MappingTables!$C$35),P1713,0))</f>
        <v>0</v>
      </c>
      <c r="R1713" s="73">
        <f>IF(ISNA(IF(AND(VLOOKUP(CONCATENATE($D1713,$G1713),CSRFinput!$B:$E,4,0)=0,OR(H1713=MappingTables!$C$31,H1713=MappingTables!$C$32)),1,VLOOKUP(CONCATENATE($D1713,$G1713),CSRFinput!$B:$E,4,0))),0,IF(AND(VLOOKUP(CONCATENATE($D1713,$G1713),CSRFinput!$B:$E,4,0)=0,OR(H1713=MappingTables!$C$31,H1713=MappingTables!$C$32)),1,VLOOKUP(CONCATENATE($D1713,$G1713),CSRFinput!$B:$E,4,0)))</f>
        <v>0.054776304963434752</v>
      </c>
      <c r="S1713" s="73">
        <f>IF(B1713="",0,P1713*R1713)</f>
        <v>117.67184722509684</v>
      </c>
      <c r="T1713" s="85">
        <f>IF(B1713="",0,IF(OR(H1713=MappingTables!$C$34,H1713=MappingTables!$C$35),S1713,0))</f>
        <v>0</v>
      </c>
    </row>
    <row r="1714" spans="2:20" s="0" customFormat="0" ht="15">
      <c r="B1714" s="69">
        <v>14504624</v>
      </c>
      <c r="C1714" s="70" t="s">
        <v>4259</v>
      </c>
      <c r="D1714" s="70" t="s">
        <v>1</v>
      </c>
      <c r="E1714" s="70" t="s">
        <v>1</v>
      </c>
      <c r="F1714" s="70"/>
      <c r="G1714" s="70" t="s">
        <v>61</v>
      </c>
      <c r="H1714" s="70" t="s">
        <v>178</v>
      </c>
      <c r="I1714" s="70" t="s">
        <v>216</v>
      </c>
      <c r="J1714" s="71">
        <f>IF(OR(I1714=0,I1714=""),"unrated",VLOOKUP(I1714,MappingTables!$B$19:$C$31,2,FALSE))</f>
        <v>0</v>
      </c>
      <c r="K1714" s="72">
        <v>706.32136630755136</v>
      </c>
      <c r="L1714" s="70">
        <v>0.058052167860927368</v>
      </c>
      <c r="M1714" s="71">
        <f>IF(L1714&lt;1,1,L1714)</f>
        <v>1</v>
      </c>
      <c r="N1714" s="70" t="s">
        <v>3288</v>
      </c>
      <c r="O1714" s="71">
        <f>IF(OR(I1714=$A$1,I1714=0),"",IF(N1714=MappingTables!$C$14,VLOOKUP(J1714,ModelParameters!$M$8:$N$15,2,FALSE),IF(N1714=MappingTables!$C$16,VLOOKUP(J1714,ModelParameters!$P$8:$Q$15,2,FALSE),0)))</f>
        <v>0.125</v>
      </c>
      <c r="P1714" s="73">
        <f>IF(OR(I1714=0,I1714=$A$1),0,MIN(O1714*M1714,1)*K1714)</f>
        <v>88.29017078844392</v>
      </c>
      <c r="Q1714" s="73">
        <f>IF(B1714="",0,IF(OR(H1714=MappingTables!$C$34,H1714=MappingTables!$C$35),P1714,0))</f>
        <v>0</v>
      </c>
      <c r="R1714" s="73">
        <f>IF(ISNA(IF(AND(VLOOKUP(CONCATENATE($D1714,$G1714),CSRFinput!$B:$E,4,0)=0,OR(H1714=MappingTables!$C$31,H1714=MappingTables!$C$32)),1,VLOOKUP(CONCATENATE($D1714,$G1714),CSRFinput!$B:$E,4,0))),0,IF(AND(VLOOKUP(CONCATENATE($D1714,$G1714),CSRFinput!$B:$E,4,0)=0,OR(H1714=MappingTables!$C$31,H1714=MappingTables!$C$32)),1,VLOOKUP(CONCATENATE($D1714,$G1714),CSRFinput!$B:$E,4,0)))</f>
        <v>0.054776304963434752</v>
      </c>
      <c r="S1714" s="73">
        <f>IF(B1714="",0,P1714*R1714)</f>
        <v>4.8362093203815432</v>
      </c>
      <c r="T1714" s="85">
        <f>IF(B1714="",0,IF(OR(H1714=MappingTables!$C$34,H1714=MappingTables!$C$35),S1714,0))</f>
        <v>0</v>
      </c>
    </row>
    <row r="1715" spans="2:20" s="0" customFormat="0" ht="15">
      <c r="B1715" s="69">
        <v>22623667</v>
      </c>
      <c r="C1715" s="70" t="s">
        <v>5124</v>
      </c>
      <c r="D1715" s="70" t="s">
        <v>1</v>
      </c>
      <c r="E1715" s="70" t="s">
        <v>1</v>
      </c>
      <c r="F1715" s="70"/>
      <c r="G1715" s="70" t="s">
        <v>61</v>
      </c>
      <c r="H1715" s="70" t="s">
        <v>178</v>
      </c>
      <c r="I1715" s="70" t="s">
        <v>198</v>
      </c>
      <c r="J1715" s="71" t="str">
        <f>IF(OR(I1715=0,I1715=""),"unrated",VLOOKUP(I1715,MappingTables!$B$19:$C$31,2,FALSE))</f>
        <v>unrated</v>
      </c>
      <c r="K1715" s="72">
        <v>70.23454758184012</v>
      </c>
      <c r="L1715" s="70">
        <v>0.1133374626013054</v>
      </c>
      <c r="M1715" s="71">
        <f>IF(L1715&lt;1,1,L1715)</f>
        <v>1</v>
      </c>
      <c r="N1715" s="70" t="s">
        <v>3288</v>
      </c>
      <c r="O1715" s="71">
        <f>IF(OR(I1715=$A$1,I1715=0),"",IF(N1715=MappingTables!$C$14,VLOOKUP(J1715,ModelParameters!$M$8:$N$15,2,FALSE),IF(N1715=MappingTables!$C$16,VLOOKUP(J1715,ModelParameters!$P$8:$Q$15,2,FALSE),0)))</f>
        <v>1</v>
      </c>
      <c r="P1715" s="73">
        <f>IF(OR(I1715=0,I1715=$A$1),0,MIN(O1715*M1715,1)*K1715)</f>
        <v>70.23454758184012</v>
      </c>
      <c r="Q1715" s="73">
        <f>IF(B1715="",0,IF(OR(H1715=MappingTables!$C$34,H1715=MappingTables!$C$35),P1715,0))</f>
        <v>0</v>
      </c>
      <c r="R1715" s="73">
        <f>IF(ISNA(IF(AND(VLOOKUP(CONCATENATE($D1715,$G1715),CSRFinput!$B:$E,4,0)=0,OR(H1715=MappingTables!$C$31,H1715=MappingTables!$C$32)),1,VLOOKUP(CONCATENATE($D1715,$G1715),CSRFinput!$B:$E,4,0))),0,IF(AND(VLOOKUP(CONCATENATE($D1715,$G1715),CSRFinput!$B:$E,4,0)=0,OR(H1715=MappingTables!$C$31,H1715=MappingTables!$C$32)),1,VLOOKUP(CONCATENATE($D1715,$G1715),CSRFinput!$B:$E,4,0)))</f>
        <v>0.054776304963434752</v>
      </c>
      <c r="S1715" s="73">
        <f>IF(B1715="",0,P1715*R1715)</f>
        <v>3.8471889973117432</v>
      </c>
      <c r="T1715" s="85">
        <f>IF(B1715="",0,IF(OR(H1715=MappingTables!$C$34,H1715=MappingTables!$C$35),S1715,0))</f>
        <v>0</v>
      </c>
    </row>
    <row r="1716" spans="2:20" s="0" customFormat="0" ht="15">
      <c r="B1716" s="69" t="s">
        <v>5125</v>
      </c>
      <c r="C1716" s="70" t="s">
        <v>5126</v>
      </c>
      <c r="D1716" s="70" t="s">
        <v>1</v>
      </c>
      <c r="E1716" s="70" t="s">
        <v>1</v>
      </c>
      <c r="F1716" s="70"/>
      <c r="G1716" s="70" t="s">
        <v>61</v>
      </c>
      <c r="H1716" s="70" t="s">
        <v>178</v>
      </c>
      <c r="I1716" s="70" t="s">
        <v>198</v>
      </c>
      <c r="J1716" s="71" t="str">
        <f>IF(OR(I1716=0,I1716=""),"unrated",VLOOKUP(I1716,MappingTables!$B$19:$C$31,2,FALSE))</f>
        <v>unrated</v>
      </c>
      <c r="K1716" s="72">
        <v>9361.9445624557392</v>
      </c>
      <c r="L1716" s="70">
        <v>5.2023443338639552</v>
      </c>
      <c r="M1716" s="71">
        <f>IF(L1716&lt;1,1,L1716)</f>
        <v>5.2023443338639552</v>
      </c>
      <c r="N1716" s="70" t="s">
        <v>3288</v>
      </c>
      <c r="O1716" s="71">
        <f>IF(OR(I1716=$A$1,I1716=0),"",IF(N1716=MappingTables!$C$14,VLOOKUP(J1716,ModelParameters!$M$8:$N$15,2,FALSE),IF(N1716=MappingTables!$C$16,VLOOKUP(J1716,ModelParameters!$P$8:$Q$15,2,FALSE),0)))</f>
        <v>1</v>
      </c>
      <c r="P1716" s="73">
        <f>IF(OR(I1716=0,I1716=$A$1),0,MIN(O1716*M1716,1)*K1716)</f>
        <v>9361.9445624557392</v>
      </c>
      <c r="Q1716" s="73">
        <f>IF(B1716="",0,IF(OR(H1716=MappingTables!$C$34,H1716=MappingTables!$C$35),P1716,0))</f>
        <v>0</v>
      </c>
      <c r="R1716" s="73">
        <f>IF(ISNA(IF(AND(VLOOKUP(CONCATENATE($D1716,$G1716),CSRFinput!$B:$E,4,0)=0,OR(H1716=MappingTables!$C$31,H1716=MappingTables!$C$32)),1,VLOOKUP(CONCATENATE($D1716,$G1716),CSRFinput!$B:$E,4,0))),0,IF(AND(VLOOKUP(CONCATENATE($D1716,$G1716),CSRFinput!$B:$E,4,0)=0,OR(H1716=MappingTables!$C$31,H1716=MappingTables!$C$32)),1,VLOOKUP(CONCATENATE($D1716,$G1716),CSRFinput!$B:$E,4,0)))</f>
        <v>0.054776304963434752</v>
      </c>
      <c r="S1716" s="73">
        <f>IF(B1716="",0,P1716*R1716)</f>
        <v>512.81273040384528</v>
      </c>
      <c r="T1716" s="85">
        <f>IF(B1716="",0,IF(OR(H1716=MappingTables!$C$34,H1716=MappingTables!$C$35),S1716,0))</f>
        <v>0</v>
      </c>
    </row>
    <row r="1717" spans="2:20" s="0" customFormat="0" ht="15">
      <c r="B1717" s="69">
        <v>22554344</v>
      </c>
      <c r="C1717" s="70" t="s">
        <v>4587</v>
      </c>
      <c r="D1717" s="70" t="s">
        <v>1</v>
      </c>
      <c r="E1717" s="70" t="s">
        <v>1</v>
      </c>
      <c r="F1717" s="70"/>
      <c r="G1717" s="70" t="s">
        <v>61</v>
      </c>
      <c r="H1717" s="70" t="s">
        <v>178</v>
      </c>
      <c r="I1717" s="70" t="s">
        <v>198</v>
      </c>
      <c r="J1717" s="71" t="str">
        <f>IF(OR(I1717=0,I1717=""),"unrated",VLOOKUP(I1717,MappingTables!$B$19:$C$31,2,FALSE))</f>
        <v>unrated</v>
      </c>
      <c r="K1717" s="72">
        <v>3034.3131362933776</v>
      </c>
      <c r="L1717" s="70">
        <v>0.068492513614128472</v>
      </c>
      <c r="M1717" s="71">
        <f>IF(L1717&lt;1,1,L1717)</f>
        <v>1</v>
      </c>
      <c r="N1717" s="70" t="s">
        <v>3288</v>
      </c>
      <c r="O1717" s="71">
        <f>IF(OR(I1717=$A$1,I1717=0),"",IF(N1717=MappingTables!$C$14,VLOOKUP(J1717,ModelParameters!$M$8:$N$15,2,FALSE),IF(N1717=MappingTables!$C$16,VLOOKUP(J1717,ModelParameters!$P$8:$Q$15,2,FALSE),0)))</f>
        <v>1</v>
      </c>
      <c r="P1717" s="73">
        <f>IF(OR(I1717=0,I1717=$A$1),0,MIN(O1717*M1717,1)*K1717)</f>
        <v>3034.3131362933776</v>
      </c>
      <c r="Q1717" s="73">
        <f>IF(B1717="",0,IF(OR(H1717=MappingTables!$C$34,H1717=MappingTables!$C$35),P1717,0))</f>
        <v>0</v>
      </c>
      <c r="R1717" s="73">
        <f>IF(ISNA(IF(AND(VLOOKUP(CONCATENATE($D1717,$G1717),CSRFinput!$B:$E,4,0)=0,OR(H1717=MappingTables!$C$31,H1717=MappingTables!$C$32)),1,VLOOKUP(CONCATENATE($D1717,$G1717),CSRFinput!$B:$E,4,0))),0,IF(AND(VLOOKUP(CONCATENATE($D1717,$G1717),CSRFinput!$B:$E,4,0)=0,OR(H1717=MappingTables!$C$31,H1717=MappingTables!$C$32)),1,VLOOKUP(CONCATENATE($D1717,$G1717),CSRFinput!$B:$E,4,0)))</f>
        <v>0.054776304963434752</v>
      </c>
      <c r="S1717" s="73">
        <f>IF(B1717="",0,P1717*R1717)</f>
        <v>166.20846170816222</v>
      </c>
      <c r="T1717" s="85">
        <f>IF(B1717="",0,IF(OR(H1717=MappingTables!$C$34,H1717=MappingTables!$C$35),S1717,0))</f>
        <v>0</v>
      </c>
    </row>
    <row r="1718" spans="2:20" s="0" customFormat="0" ht="15">
      <c r="B1718" s="69">
        <v>2264351</v>
      </c>
      <c r="C1718" s="70" t="s">
        <v>4050</v>
      </c>
      <c r="D1718" s="70" t="s">
        <v>1</v>
      </c>
      <c r="E1718" s="70" t="s">
        <v>1</v>
      </c>
      <c r="F1718" s="70"/>
      <c r="G1718" s="70" t="s">
        <v>61</v>
      </c>
      <c r="H1718" s="70" t="s">
        <v>178</v>
      </c>
      <c r="I1718" s="70" t="s">
        <v>204</v>
      </c>
      <c r="J1718" s="71">
        <f>IF(OR(I1718=0,I1718=""),"unrated",VLOOKUP(I1718,MappingTables!$B$19:$C$31,2,FALSE))</f>
        <v>6</v>
      </c>
      <c r="K1718" s="72">
        <v>20.155640960086032</v>
      </c>
      <c r="L1718" s="70">
        <v>0.068492851061517784</v>
      </c>
      <c r="M1718" s="71">
        <f>IF(L1718&lt;1,1,L1718)</f>
        <v>1</v>
      </c>
      <c r="N1718" s="70" t="s">
        <v>3288</v>
      </c>
      <c r="O1718" s="71">
        <f>IF(OR(I1718=$A$1,I1718=0),"",IF(N1718=MappingTables!$C$14,VLOOKUP(J1718,ModelParameters!$M$8:$N$15,2,FALSE),IF(N1718=MappingTables!$C$16,VLOOKUP(J1718,ModelParameters!$P$8:$Q$15,2,FALSE),0)))</f>
        <v>1</v>
      </c>
      <c r="P1718" s="73">
        <f>IF(OR(I1718=0,I1718=$A$1),0,MIN(O1718*M1718,1)*K1718)</f>
        <v>20.155640960086032</v>
      </c>
      <c r="Q1718" s="73">
        <f>IF(B1718="",0,IF(OR(H1718=MappingTables!$C$34,H1718=MappingTables!$C$35),P1718,0))</f>
        <v>0</v>
      </c>
      <c r="R1718" s="73">
        <f>IF(ISNA(IF(AND(VLOOKUP(CONCATENATE($D1718,$G1718),CSRFinput!$B:$E,4,0)=0,OR(H1718=MappingTables!$C$31,H1718=MappingTables!$C$32)),1,VLOOKUP(CONCATENATE($D1718,$G1718),CSRFinput!$B:$E,4,0))),0,IF(AND(VLOOKUP(CONCATENATE($D1718,$G1718),CSRFinput!$B:$E,4,0)=0,OR(H1718=MappingTables!$C$31,H1718=MappingTables!$C$32)),1,VLOOKUP(CONCATENATE($D1718,$G1718),CSRFinput!$B:$E,4,0)))</f>
        <v>0.054776304963434752</v>
      </c>
      <c r="S1718" s="73">
        <f>IF(B1718="",0,P1718*R1718)</f>
        <v>1.1040515359631692</v>
      </c>
      <c r="T1718" s="85">
        <f>IF(B1718="",0,IF(OR(H1718=MappingTables!$C$34,H1718=MappingTables!$C$35),S1718,0))</f>
        <v>0</v>
      </c>
    </row>
    <row r="1719" spans="2:20" s="0" customFormat="0" ht="15">
      <c r="B1719" s="69">
        <v>16974055</v>
      </c>
      <c r="C1719" s="70" t="s">
        <v>5127</v>
      </c>
      <c r="D1719" s="70" t="s">
        <v>1</v>
      </c>
      <c r="E1719" s="70" t="s">
        <v>1</v>
      </c>
      <c r="F1719" s="70"/>
      <c r="G1719" s="70" t="s">
        <v>61</v>
      </c>
      <c r="H1719" s="70" t="s">
        <v>178</v>
      </c>
      <c r="I1719" s="70" t="s">
        <v>198</v>
      </c>
      <c r="J1719" s="71" t="str">
        <f>IF(OR(I1719=0,I1719=""),"unrated",VLOOKUP(I1719,MappingTables!$B$19:$C$31,2,FALSE))</f>
        <v>unrated</v>
      </c>
      <c r="K1719" s="72">
        <v>73.217807068123776</v>
      </c>
      <c r="L1719" s="70">
        <v>0.065062397004388136</v>
      </c>
      <c r="M1719" s="71">
        <f>IF(L1719&lt;1,1,L1719)</f>
        <v>1</v>
      </c>
      <c r="N1719" s="70" t="s">
        <v>3288</v>
      </c>
      <c r="O1719" s="71">
        <f>IF(OR(I1719=$A$1,I1719=0),"",IF(N1719=MappingTables!$C$14,VLOOKUP(J1719,ModelParameters!$M$8:$N$15,2,FALSE),IF(N1719=MappingTables!$C$16,VLOOKUP(J1719,ModelParameters!$P$8:$Q$15,2,FALSE),0)))</f>
        <v>1</v>
      </c>
      <c r="P1719" s="73">
        <f>IF(OR(I1719=0,I1719=$A$1),0,MIN(O1719*M1719,1)*K1719)</f>
        <v>73.217807068123776</v>
      </c>
      <c r="Q1719" s="73">
        <f>IF(B1719="",0,IF(OR(H1719=MappingTables!$C$34,H1719=MappingTables!$C$35),P1719,0))</f>
        <v>0</v>
      </c>
      <c r="R1719" s="73">
        <f>IF(ISNA(IF(AND(VLOOKUP(CONCATENATE($D1719,$G1719),CSRFinput!$B:$E,4,0)=0,OR(H1719=MappingTables!$C$31,H1719=MappingTables!$C$32)),1,VLOOKUP(CONCATENATE($D1719,$G1719),CSRFinput!$B:$E,4,0))),0,IF(AND(VLOOKUP(CONCATENATE($D1719,$G1719),CSRFinput!$B:$E,4,0)=0,OR(H1719=MappingTables!$C$31,H1719=MappingTables!$C$32)),1,VLOOKUP(CONCATENATE($D1719,$G1719),CSRFinput!$B:$E,4,0)))</f>
        <v>0.054776304963434752</v>
      </c>
      <c r="S1719" s="73">
        <f>IF(B1719="",0,P1719*R1719)</f>
        <v>4.0106009287174768</v>
      </c>
      <c r="T1719" s="85">
        <f>IF(B1719="",0,IF(OR(H1719=MappingTables!$C$34,H1719=MappingTables!$C$35),S1719,0))</f>
        <v>0</v>
      </c>
    </row>
    <row r="1720" spans="2:20" s="0" customFormat="0" ht="15">
      <c r="B1720" s="69" t="s">
        <v>4958</v>
      </c>
      <c r="C1720" s="70" t="s">
        <v>4959</v>
      </c>
      <c r="D1720" s="70" t="s">
        <v>1</v>
      </c>
      <c r="E1720" s="70" t="s">
        <v>1</v>
      </c>
      <c r="F1720" s="70"/>
      <c r="G1720" s="70" t="s">
        <v>61</v>
      </c>
      <c r="H1720" s="70" t="s">
        <v>178</v>
      </c>
      <c r="I1720" s="70" t="s">
        <v>198</v>
      </c>
      <c r="J1720" s="71" t="str">
        <f>IF(OR(I1720=0,I1720=""),"unrated",VLOOKUP(I1720,MappingTables!$B$19:$C$31,2,FALSE))</f>
        <v>unrated</v>
      </c>
      <c r="K1720" s="72">
        <v>56.355045029896008</v>
      </c>
      <c r="L1720" s="70">
        <v>0.16835929030285144</v>
      </c>
      <c r="M1720" s="71">
        <f>IF(L1720&lt;1,1,L1720)</f>
        <v>1</v>
      </c>
      <c r="N1720" s="70" t="s">
        <v>3288</v>
      </c>
      <c r="O1720" s="71">
        <f>IF(OR(I1720=$A$1,I1720=0),"",IF(N1720=MappingTables!$C$14,VLOOKUP(J1720,ModelParameters!$M$8:$N$15,2,FALSE),IF(N1720=MappingTables!$C$16,VLOOKUP(J1720,ModelParameters!$P$8:$Q$15,2,FALSE),0)))</f>
        <v>1</v>
      </c>
      <c r="P1720" s="73">
        <f>IF(OR(I1720=0,I1720=$A$1),0,MIN(O1720*M1720,1)*K1720)</f>
        <v>56.355045029896008</v>
      </c>
      <c r="Q1720" s="73">
        <f>IF(B1720="",0,IF(OR(H1720=MappingTables!$C$34,H1720=MappingTables!$C$35),P1720,0))</f>
        <v>0</v>
      </c>
      <c r="R1720" s="73">
        <f>IF(ISNA(IF(AND(VLOOKUP(CONCATENATE($D1720,$G1720),CSRFinput!$B:$E,4,0)=0,OR(H1720=MappingTables!$C$31,H1720=MappingTables!$C$32)),1,VLOOKUP(CONCATENATE($D1720,$G1720),CSRFinput!$B:$E,4,0))),0,IF(AND(VLOOKUP(CONCATENATE($D1720,$G1720),CSRFinput!$B:$E,4,0)=0,OR(H1720=MappingTables!$C$31,H1720=MappingTables!$C$32)),1,VLOOKUP(CONCATENATE($D1720,$G1720),CSRFinput!$B:$E,4,0)))</f>
        <v>0.054776304963434752</v>
      </c>
      <c r="S1720" s="73">
        <f>IF(B1720="",0,P1720*R1720)</f>
        <v>3.0869211327856812</v>
      </c>
      <c r="T1720" s="85">
        <f>IF(B1720="",0,IF(OR(H1720=MappingTables!$C$34,H1720=MappingTables!$C$35),S1720,0))</f>
        <v>0</v>
      </c>
    </row>
    <row r="1721" spans="2:20" s="0" customFormat="0" ht="15">
      <c r="B1721" s="69" t="s">
        <v>5128</v>
      </c>
      <c r="C1721" s="70" t="s">
        <v>5129</v>
      </c>
      <c r="D1721" s="70" t="s">
        <v>1</v>
      </c>
      <c r="E1721" s="70" t="s">
        <v>1</v>
      </c>
      <c r="F1721" s="70"/>
      <c r="G1721" s="70" t="s">
        <v>61</v>
      </c>
      <c r="H1721" s="70" t="s">
        <v>178</v>
      </c>
      <c r="I1721" s="70" t="s">
        <v>198</v>
      </c>
      <c r="J1721" s="71" t="str">
        <f>IF(OR(I1721=0,I1721=""),"unrated",VLOOKUP(I1721,MappingTables!$B$19:$C$31,2,FALSE))</f>
        <v>unrated</v>
      </c>
      <c r="K1721" s="72">
        <v>3434.8328633272264</v>
      </c>
      <c r="L1721" s="70">
        <v>9.8745547705999104</v>
      </c>
      <c r="M1721" s="71">
        <f>IF(L1721&lt;1,1,L1721)</f>
        <v>9.8745547705999104</v>
      </c>
      <c r="N1721" s="70" t="s">
        <v>3288</v>
      </c>
      <c r="O1721" s="71">
        <f>IF(OR(I1721=$A$1,I1721=0),"",IF(N1721=MappingTables!$C$14,VLOOKUP(J1721,ModelParameters!$M$8:$N$15,2,FALSE),IF(N1721=MappingTables!$C$16,VLOOKUP(J1721,ModelParameters!$P$8:$Q$15,2,FALSE),0)))</f>
        <v>1</v>
      </c>
      <c r="P1721" s="73">
        <f>IF(OR(I1721=0,I1721=$A$1),0,MIN(O1721*M1721,1)*K1721)</f>
        <v>3434.8328633272264</v>
      </c>
      <c r="Q1721" s="73">
        <f>IF(B1721="",0,IF(OR(H1721=MappingTables!$C$34,H1721=MappingTables!$C$35),P1721,0))</f>
        <v>0</v>
      </c>
      <c r="R1721" s="73">
        <f>IF(ISNA(IF(AND(VLOOKUP(CONCATENATE($D1721,$G1721),CSRFinput!$B:$E,4,0)=0,OR(H1721=MappingTables!$C$31,H1721=MappingTables!$C$32)),1,VLOOKUP(CONCATENATE($D1721,$G1721),CSRFinput!$B:$E,4,0))),0,IF(AND(VLOOKUP(CONCATENATE($D1721,$G1721),CSRFinput!$B:$E,4,0)=0,OR(H1721=MappingTables!$C$31,H1721=MappingTables!$C$32)),1,VLOOKUP(CONCATENATE($D1721,$G1721),CSRFinput!$B:$E,4,0)))</f>
        <v>0.054776304963434752</v>
      </c>
      <c r="S1721" s="73">
        <f>IF(B1721="",0,P1721*R1721)</f>
        <v>188.14745242003996</v>
      </c>
      <c r="T1721" s="85">
        <f>IF(B1721="",0,IF(OR(H1721=MappingTables!$C$34,H1721=MappingTables!$C$35),S1721,0))</f>
        <v>0</v>
      </c>
    </row>
    <row r="1722" spans="2:20" s="0" customFormat="0" ht="15">
      <c r="B1722" s="69">
        <v>22554106</v>
      </c>
      <c r="C1722" s="70" t="s">
        <v>3994</v>
      </c>
      <c r="D1722" s="70" t="s">
        <v>1</v>
      </c>
      <c r="E1722" s="70" t="s">
        <v>1</v>
      </c>
      <c r="F1722" s="70"/>
      <c r="G1722" s="70" t="s">
        <v>61</v>
      </c>
      <c r="H1722" s="70" t="s">
        <v>178</v>
      </c>
      <c r="I1722" s="70" t="s">
        <v>216</v>
      </c>
      <c r="J1722" s="71">
        <f>IF(OR(I1722=0,I1722=""),"unrated",VLOOKUP(I1722,MappingTables!$B$19:$C$31,2,FALSE))</f>
        <v>0</v>
      </c>
      <c r="K1722" s="72">
        <v>58.120614707025864</v>
      </c>
      <c r="L1722" s="70">
        <v>0.049416204595355632</v>
      </c>
      <c r="M1722" s="71">
        <f>IF(L1722&lt;1,1,L1722)</f>
        <v>1</v>
      </c>
      <c r="N1722" s="70" t="s">
        <v>3288</v>
      </c>
      <c r="O1722" s="71">
        <f>IF(OR(I1722=$A$1,I1722=0),"",IF(N1722=MappingTables!$C$14,VLOOKUP(J1722,ModelParameters!$M$8:$N$15,2,FALSE),IF(N1722=MappingTables!$C$16,VLOOKUP(J1722,ModelParameters!$P$8:$Q$15,2,FALSE),0)))</f>
        <v>0.125</v>
      </c>
      <c r="P1722" s="73">
        <f>IF(OR(I1722=0,I1722=$A$1),0,MIN(O1722*M1722,1)*K1722)</f>
        <v>7.2650768383782336</v>
      </c>
      <c r="Q1722" s="73">
        <f>IF(B1722="",0,IF(OR(H1722=MappingTables!$C$34,H1722=MappingTables!$C$35),P1722,0))</f>
        <v>0</v>
      </c>
      <c r="R1722" s="73">
        <f>IF(ISNA(IF(AND(VLOOKUP(CONCATENATE($D1722,$G1722),CSRFinput!$B:$E,4,0)=0,OR(H1722=MappingTables!$C$31,H1722=MappingTables!$C$32)),1,VLOOKUP(CONCATENATE($D1722,$G1722),CSRFinput!$B:$E,4,0))),0,IF(AND(VLOOKUP(CONCATENATE($D1722,$G1722),CSRFinput!$B:$E,4,0)=0,OR(H1722=MappingTables!$C$31,H1722=MappingTables!$C$32)),1,VLOOKUP(CONCATENATE($D1722,$G1722),CSRFinput!$B:$E,4,0)))</f>
        <v>0.054776304963434752</v>
      </c>
      <c r="S1722" s="73">
        <f>IF(B1722="",0,P1722*R1722)</f>
        <v>0.39795406448179248</v>
      </c>
      <c r="T1722" s="85">
        <f>IF(B1722="",0,IF(OR(H1722=MappingTables!$C$34,H1722=MappingTables!$C$35),S1722,0))</f>
        <v>0</v>
      </c>
    </row>
    <row r="1723" spans="2:20" s="0" customFormat="0" ht="15">
      <c r="B1723" s="69" t="s">
        <v>5058</v>
      </c>
      <c r="C1723" s="70" t="s">
        <v>5059</v>
      </c>
      <c r="D1723" s="70" t="s">
        <v>1</v>
      </c>
      <c r="E1723" s="70" t="s">
        <v>1</v>
      </c>
      <c r="F1723" s="70"/>
      <c r="G1723" s="70" t="s">
        <v>61</v>
      </c>
      <c r="H1723" s="70" t="s">
        <v>178</v>
      </c>
      <c r="I1723" s="70" t="s">
        <v>204</v>
      </c>
      <c r="J1723" s="71">
        <f>IF(OR(I1723=0,I1723=""),"unrated",VLOOKUP(I1723,MappingTables!$B$19:$C$31,2,FALSE))</f>
        <v>6</v>
      </c>
      <c r="K1723" s="72">
        <v>81.43014689418216</v>
      </c>
      <c r="L1723" s="70">
        <v>0.0684951815632108</v>
      </c>
      <c r="M1723" s="71">
        <f>IF(L1723&lt;1,1,L1723)</f>
        <v>1</v>
      </c>
      <c r="N1723" s="70" t="s">
        <v>3288</v>
      </c>
      <c r="O1723" s="71">
        <f>IF(OR(I1723=$A$1,I1723=0),"",IF(N1723=MappingTables!$C$14,VLOOKUP(J1723,ModelParameters!$M$8:$N$15,2,FALSE),IF(N1723=MappingTables!$C$16,VLOOKUP(J1723,ModelParameters!$P$8:$Q$15,2,FALSE),0)))</f>
        <v>1</v>
      </c>
      <c r="P1723" s="73">
        <f>IF(OR(I1723=0,I1723=$A$1),0,MIN(O1723*M1723,1)*K1723)</f>
        <v>81.43014689418216</v>
      </c>
      <c r="Q1723" s="73">
        <f>IF(B1723="",0,IF(OR(H1723=MappingTables!$C$34,H1723=MappingTables!$C$35),P1723,0))</f>
        <v>0</v>
      </c>
      <c r="R1723" s="73">
        <f>IF(ISNA(IF(AND(VLOOKUP(CONCATENATE($D1723,$G1723),CSRFinput!$B:$E,4,0)=0,OR(H1723=MappingTables!$C$31,H1723=MappingTables!$C$32)),1,VLOOKUP(CONCATENATE($D1723,$G1723),CSRFinput!$B:$E,4,0))),0,IF(AND(VLOOKUP(CONCATENATE($D1723,$G1723),CSRFinput!$B:$E,4,0)=0,OR(H1723=MappingTables!$C$31,H1723=MappingTables!$C$32)),1,VLOOKUP(CONCATENATE($D1723,$G1723),CSRFinput!$B:$E,4,0)))</f>
        <v>0.054776304963434752</v>
      </c>
      <c r="S1723" s="73">
        <f>IF(B1723="",0,P1723*R1723)</f>
        <v>4.4604425594930112</v>
      </c>
      <c r="T1723" s="85">
        <f>IF(B1723="",0,IF(OR(H1723=MappingTables!$C$34,H1723=MappingTables!$C$35),S1723,0))</f>
        <v>0</v>
      </c>
    </row>
    <row r="1724" spans="2:20" s="0" customFormat="0" ht="15">
      <c r="B1724" s="69" t="s">
        <v>5130</v>
      </c>
      <c r="C1724" s="70" t="s">
        <v>5131</v>
      </c>
      <c r="D1724" s="70" t="s">
        <v>1</v>
      </c>
      <c r="E1724" s="70" t="s">
        <v>1</v>
      </c>
      <c r="F1724" s="70"/>
      <c r="G1724" s="70" t="s">
        <v>61</v>
      </c>
      <c r="H1724" s="70" t="s">
        <v>178</v>
      </c>
      <c r="I1724" s="70" t="s">
        <v>204</v>
      </c>
      <c r="J1724" s="71">
        <f>IF(OR(I1724=0,I1724=""),"unrated",VLOOKUP(I1724,MappingTables!$B$19:$C$31,2,FALSE))</f>
        <v>6</v>
      </c>
      <c r="K1724" s="72">
        <v>91.780563378771152</v>
      </c>
      <c r="L1724" s="70">
        <v>-0.24521830787351416</v>
      </c>
      <c r="M1724" s="71">
        <f>IF(L1724&lt;1,1,L1724)</f>
        <v>1</v>
      </c>
      <c r="N1724" s="70" t="s">
        <v>3288</v>
      </c>
      <c r="O1724" s="71">
        <f>IF(OR(I1724=$A$1,I1724=0),"",IF(N1724=MappingTables!$C$14,VLOOKUP(J1724,ModelParameters!$M$8:$N$15,2,FALSE),IF(N1724=MappingTables!$C$16,VLOOKUP(J1724,ModelParameters!$P$8:$Q$15,2,FALSE),0)))</f>
        <v>1</v>
      </c>
      <c r="P1724" s="73">
        <f>IF(OR(I1724=0,I1724=$A$1),0,MIN(O1724*M1724,1)*K1724)</f>
        <v>91.780563378771152</v>
      </c>
      <c r="Q1724" s="73">
        <f>IF(B1724="",0,IF(OR(H1724=MappingTables!$C$34,H1724=MappingTables!$C$35),P1724,0))</f>
        <v>0</v>
      </c>
      <c r="R1724" s="73">
        <f>IF(ISNA(IF(AND(VLOOKUP(CONCATENATE($D1724,$G1724),CSRFinput!$B:$E,4,0)=0,OR(H1724=MappingTables!$C$31,H1724=MappingTables!$C$32)),1,VLOOKUP(CONCATENATE($D1724,$G1724),CSRFinput!$B:$E,4,0))),0,IF(AND(VLOOKUP(CONCATENATE($D1724,$G1724),CSRFinput!$B:$E,4,0)=0,OR(H1724=MappingTables!$C$31,H1724=MappingTables!$C$32)),1,VLOOKUP(CONCATENATE($D1724,$G1724),CSRFinput!$B:$E,4,0)))</f>
        <v>0.054776304963434752</v>
      </c>
      <c r="S1724" s="73">
        <f>IF(B1724="",0,P1724*R1724)</f>
        <v>5.02740012935142</v>
      </c>
      <c r="T1724" s="85">
        <f>IF(B1724="",0,IF(OR(H1724=MappingTables!$C$34,H1724=MappingTables!$C$35),S1724,0))</f>
        <v>0</v>
      </c>
    </row>
    <row r="1725" spans="2:20" s="0" customFormat="0" ht="15">
      <c r="B1725" s="69">
        <v>22554226</v>
      </c>
      <c r="C1725" s="70" t="s">
        <v>4497</v>
      </c>
      <c r="D1725" s="70" t="s">
        <v>1</v>
      </c>
      <c r="E1725" s="70" t="s">
        <v>1</v>
      </c>
      <c r="F1725" s="70"/>
      <c r="G1725" s="70" t="s">
        <v>61</v>
      </c>
      <c r="H1725" s="70" t="s">
        <v>178</v>
      </c>
      <c r="I1725" s="70" t="s">
        <v>179</v>
      </c>
      <c r="J1725" s="71">
        <f>IF(OR(I1725=0,I1725=""),"unrated",VLOOKUP(I1725,MappingTables!$B$19:$C$31,2,FALSE))</f>
        <v>4</v>
      </c>
      <c r="K1725" s="72">
        <v>53.164878742906816</v>
      </c>
      <c r="L1725" s="70">
        <v>0.06849305181003708</v>
      </c>
      <c r="M1725" s="71">
        <f>IF(L1725&lt;1,1,L1725)</f>
        <v>1</v>
      </c>
      <c r="N1725" s="70" t="s">
        <v>3288</v>
      </c>
      <c r="O1725" s="71">
        <f>IF(OR(I1725=$A$1,I1725=0),"",IF(N1725=MappingTables!$C$14,VLOOKUP(J1725,ModelParameters!$M$8:$N$15,2,FALSE),IF(N1725=MappingTables!$C$16,VLOOKUP(J1725,ModelParameters!$P$8:$Q$15,2,FALSE),0)))</f>
        <v>0.82</v>
      </c>
      <c r="P1725" s="73">
        <f>IF(OR(I1725=0,I1725=$A$1),0,MIN(O1725*M1725,1)*K1725)</f>
        <v>43.595200569183584</v>
      </c>
      <c r="Q1725" s="73">
        <f>IF(B1725="",0,IF(OR(H1725=MappingTables!$C$34,H1725=MappingTables!$C$35),P1725,0))</f>
        <v>0</v>
      </c>
      <c r="R1725" s="73">
        <f>IF(ISNA(IF(AND(VLOOKUP(CONCATENATE($D1725,$G1725),CSRFinput!$B:$E,4,0)=0,OR(H1725=MappingTables!$C$31,H1725=MappingTables!$C$32)),1,VLOOKUP(CONCATENATE($D1725,$G1725),CSRFinput!$B:$E,4,0))),0,IF(AND(VLOOKUP(CONCATENATE($D1725,$G1725),CSRFinput!$B:$E,4,0)=0,OR(H1725=MappingTables!$C$31,H1725=MappingTables!$C$32)),1,VLOOKUP(CONCATENATE($D1725,$G1725),CSRFinput!$B:$E,4,0)))</f>
        <v>0.054776304963434752</v>
      </c>
      <c r="S1725" s="73">
        <f>IF(B1725="",0,P1725*R1725)</f>
        <v>2.3879840013197044</v>
      </c>
      <c r="T1725" s="85">
        <f>IF(B1725="",0,IF(OR(H1725=MappingTables!$C$34,H1725=MappingTables!$C$35),S1725,0))</f>
        <v>0</v>
      </c>
    </row>
    <row r="1726" spans="2:20" s="0" customFormat="0" ht="15">
      <c r="B1726" s="69" t="s">
        <v>4508</v>
      </c>
      <c r="C1726" s="70" t="s">
        <v>4509</v>
      </c>
      <c r="D1726" s="70" t="s">
        <v>1</v>
      </c>
      <c r="E1726" s="70" t="s">
        <v>1</v>
      </c>
      <c r="F1726" s="70"/>
      <c r="G1726" s="70" t="s">
        <v>61</v>
      </c>
      <c r="H1726" s="70" t="s">
        <v>178</v>
      </c>
      <c r="I1726" s="70" t="s">
        <v>198</v>
      </c>
      <c r="J1726" s="71" t="str">
        <f>IF(OR(I1726=0,I1726=""),"unrated",VLOOKUP(I1726,MappingTables!$B$19:$C$31,2,FALSE))</f>
        <v>unrated</v>
      </c>
      <c r="K1726" s="72">
        <v>339.44131050472776</v>
      </c>
      <c r="L1726" s="70">
        <v>9.7019203832266112</v>
      </c>
      <c r="M1726" s="71">
        <f>IF(L1726&lt;1,1,L1726)</f>
        <v>9.7019203832266112</v>
      </c>
      <c r="N1726" s="70" t="s">
        <v>3288</v>
      </c>
      <c r="O1726" s="71">
        <f>IF(OR(I1726=$A$1,I1726=0),"",IF(N1726=MappingTables!$C$14,VLOOKUP(J1726,ModelParameters!$M$8:$N$15,2,FALSE),IF(N1726=MappingTables!$C$16,VLOOKUP(J1726,ModelParameters!$P$8:$Q$15,2,FALSE),0)))</f>
        <v>1</v>
      </c>
      <c r="P1726" s="73">
        <f>IF(OR(I1726=0,I1726=$A$1),0,MIN(O1726*M1726,1)*K1726)</f>
        <v>339.44131050472776</v>
      </c>
      <c r="Q1726" s="73">
        <f>IF(B1726="",0,IF(OR(H1726=MappingTables!$C$34,H1726=MappingTables!$C$35),P1726,0))</f>
        <v>0</v>
      </c>
      <c r="R1726" s="73">
        <f>IF(ISNA(IF(AND(VLOOKUP(CONCATENATE($D1726,$G1726),CSRFinput!$B:$E,4,0)=0,OR(H1726=MappingTables!$C$31,H1726=MappingTables!$C$32)),1,VLOOKUP(CONCATENATE($D1726,$G1726),CSRFinput!$B:$E,4,0))),0,IF(AND(VLOOKUP(CONCATENATE($D1726,$G1726),CSRFinput!$B:$E,4,0)=0,OR(H1726=MappingTables!$C$31,H1726=MappingTables!$C$32)),1,VLOOKUP(CONCATENATE($D1726,$G1726),CSRFinput!$B:$E,4,0)))</f>
        <v>0.054776304963434752</v>
      </c>
      <c r="S1726" s="73">
        <f>IF(B1726="",0,P1726*R1726)</f>
        <v>18.59334074139492</v>
      </c>
      <c r="T1726" s="85">
        <f>IF(B1726="",0,IF(OR(H1726=MappingTables!$C$34,H1726=MappingTables!$C$35),S1726,0))</f>
        <v>0</v>
      </c>
    </row>
    <row r="1727" spans="2:20" s="0" customFormat="0" ht="15">
      <c r="B1727" s="69">
        <v>22623660</v>
      </c>
      <c r="C1727" s="70" t="s">
        <v>4960</v>
      </c>
      <c r="D1727" s="70" t="s">
        <v>1</v>
      </c>
      <c r="E1727" s="70" t="s">
        <v>1</v>
      </c>
      <c r="F1727" s="70"/>
      <c r="G1727" s="70" t="s">
        <v>61</v>
      </c>
      <c r="H1727" s="70" t="s">
        <v>178</v>
      </c>
      <c r="I1727" s="70" t="s">
        <v>204</v>
      </c>
      <c r="J1727" s="71">
        <f>IF(OR(I1727=0,I1727=""),"unrated",VLOOKUP(I1727,MappingTables!$B$19:$C$31,2,FALSE))</f>
        <v>6</v>
      </c>
      <c r="K1727" s="72">
        <v>1326.7711794041566</v>
      </c>
      <c r="L1727" s="70">
        <v>0.068489643569387856</v>
      </c>
      <c r="M1727" s="71">
        <f>IF(L1727&lt;1,1,L1727)</f>
        <v>1</v>
      </c>
      <c r="N1727" s="70" t="s">
        <v>3288</v>
      </c>
      <c r="O1727" s="71">
        <f>IF(OR(I1727=$A$1,I1727=0),"",IF(N1727=MappingTables!$C$14,VLOOKUP(J1727,ModelParameters!$M$8:$N$15,2,FALSE),IF(N1727=MappingTables!$C$16,VLOOKUP(J1727,ModelParameters!$P$8:$Q$15,2,FALSE),0)))</f>
        <v>1</v>
      </c>
      <c r="P1727" s="73">
        <f>IF(OR(I1727=0,I1727=$A$1),0,MIN(O1727*M1727,1)*K1727)</f>
        <v>1326.7711794041566</v>
      </c>
      <c r="Q1727" s="73">
        <f>IF(B1727="",0,IF(OR(H1727=MappingTables!$C$34,H1727=MappingTables!$C$35),P1727,0))</f>
        <v>0</v>
      </c>
      <c r="R1727" s="73">
        <f>IF(ISNA(IF(AND(VLOOKUP(CONCATENATE($D1727,$G1727),CSRFinput!$B:$E,4,0)=0,OR(H1727=MappingTables!$C$31,H1727=MappingTables!$C$32)),1,VLOOKUP(CONCATENATE($D1727,$G1727),CSRFinput!$B:$E,4,0))),0,IF(AND(VLOOKUP(CONCATENATE($D1727,$G1727),CSRFinput!$B:$E,4,0)=0,OR(H1727=MappingTables!$C$31,H1727=MappingTables!$C$32)),1,VLOOKUP(CONCATENATE($D1727,$G1727),CSRFinput!$B:$E,4,0)))</f>
        <v>0.054776304963434752</v>
      </c>
      <c r="S1727" s="73">
        <f>IF(B1727="",0,P1727*R1727)</f>
        <v>72.675622739738096</v>
      </c>
      <c r="T1727" s="85">
        <f>IF(B1727="",0,IF(OR(H1727=MappingTables!$C$34,H1727=MappingTables!$C$35),S1727,0))</f>
        <v>0</v>
      </c>
    </row>
    <row r="1728" spans="2:20" s="0" customFormat="0" ht="15">
      <c r="B1728" s="69" t="s">
        <v>4300</v>
      </c>
      <c r="C1728" s="70" t="s">
        <v>4301</v>
      </c>
      <c r="D1728" s="70" t="s">
        <v>1</v>
      </c>
      <c r="E1728" s="70" t="s">
        <v>1</v>
      </c>
      <c r="F1728" s="70"/>
      <c r="G1728" s="70" t="s">
        <v>61</v>
      </c>
      <c r="H1728" s="70" t="s">
        <v>178</v>
      </c>
      <c r="I1728" s="70" t="s">
        <v>184</v>
      </c>
      <c r="J1728" s="71">
        <f>IF(OR(I1728=0,I1728=""),"unrated",VLOOKUP(I1728,MappingTables!$B$19:$C$31,2,FALSE))</f>
        <v>5</v>
      </c>
      <c r="K1728" s="72">
        <v>965.87918709133568</v>
      </c>
      <c r="L1728" s="70">
        <v>0.068496127696176576</v>
      </c>
      <c r="M1728" s="71">
        <f>IF(L1728&lt;1,1,L1728)</f>
        <v>1</v>
      </c>
      <c r="N1728" s="70" t="s">
        <v>3288</v>
      </c>
      <c r="O1728" s="71">
        <f>IF(OR(I1728=$A$1,I1728=0),"",IF(N1728=MappingTables!$C$14,VLOOKUP(J1728,ModelParameters!$M$8:$N$15,2,FALSE),IF(N1728=MappingTables!$C$16,VLOOKUP(J1728,ModelParameters!$P$8:$Q$15,2,FALSE),0)))</f>
        <v>1</v>
      </c>
      <c r="P1728" s="73">
        <f>IF(OR(I1728=0,I1728=$A$1),0,MIN(O1728*M1728,1)*K1728)</f>
        <v>965.87918709133568</v>
      </c>
      <c r="Q1728" s="73">
        <f>IF(B1728="",0,IF(OR(H1728=MappingTables!$C$34,H1728=MappingTables!$C$35),P1728,0))</f>
        <v>0</v>
      </c>
      <c r="R1728" s="73">
        <f>IF(ISNA(IF(AND(VLOOKUP(CONCATENATE($D1728,$G1728),CSRFinput!$B:$E,4,0)=0,OR(H1728=MappingTables!$C$31,H1728=MappingTables!$C$32)),1,VLOOKUP(CONCATENATE($D1728,$G1728),CSRFinput!$B:$E,4,0))),0,IF(AND(VLOOKUP(CONCATENATE($D1728,$G1728),CSRFinput!$B:$E,4,0)=0,OR(H1728=MappingTables!$C$31,H1728=MappingTables!$C$32)),1,VLOOKUP(CONCATENATE($D1728,$G1728),CSRFinput!$B:$E,4,0)))</f>
        <v>0.054776304963434752</v>
      </c>
      <c r="S1728" s="73">
        <f>IF(B1728="",0,P1728*R1728)</f>
        <v>52.907292909949456</v>
      </c>
      <c r="T1728" s="85">
        <f>IF(B1728="",0,IF(OR(H1728=MappingTables!$C$34,H1728=MappingTables!$C$35),S1728,0))</f>
        <v>0</v>
      </c>
    </row>
    <row r="1729" spans="2:20" s="0" customFormat="0" ht="15">
      <c r="B1729" s="69" t="s">
        <v>3690</v>
      </c>
      <c r="C1729" s="70" t="s">
        <v>3691</v>
      </c>
      <c r="D1729" s="70" t="s">
        <v>1</v>
      </c>
      <c r="E1729" s="70" t="s">
        <v>1</v>
      </c>
      <c r="F1729" s="70"/>
      <c r="G1729" s="70" t="s">
        <v>61</v>
      </c>
      <c r="H1729" s="70" t="s">
        <v>178</v>
      </c>
      <c r="I1729" s="70" t="s">
        <v>513</v>
      </c>
      <c r="J1729" s="71">
        <f>IF(OR(I1729=0,I1729=""),"unrated",VLOOKUP(I1729,MappingTables!$B$19:$C$31,2,FALSE))</f>
        <v>6</v>
      </c>
      <c r="K1729" s="72">
        <v>15.418188734123928</v>
      </c>
      <c r="L1729" s="70">
        <v>0.068495706594313672</v>
      </c>
      <c r="M1729" s="71">
        <f>IF(L1729&lt;1,1,L1729)</f>
        <v>1</v>
      </c>
      <c r="N1729" s="70" t="s">
        <v>3288</v>
      </c>
      <c r="O1729" s="71">
        <f>IF(OR(I1729=$A$1,I1729=0),"",IF(N1729=MappingTables!$C$14,VLOOKUP(J1729,ModelParameters!$M$8:$N$15,2,FALSE),IF(N1729=MappingTables!$C$16,VLOOKUP(J1729,ModelParameters!$P$8:$Q$15,2,FALSE),0)))</f>
        <v>1</v>
      </c>
      <c r="P1729" s="73">
        <f>IF(OR(I1729=0,I1729=$A$1),0,MIN(O1729*M1729,1)*K1729)</f>
        <v>15.418188734123928</v>
      </c>
      <c r="Q1729" s="73">
        <f>IF(B1729="",0,IF(OR(H1729=MappingTables!$C$34,H1729=MappingTables!$C$35),P1729,0))</f>
        <v>0</v>
      </c>
      <c r="R1729" s="73">
        <f>IF(ISNA(IF(AND(VLOOKUP(CONCATENATE($D1729,$G1729),CSRFinput!$B:$E,4,0)=0,OR(H1729=MappingTables!$C$31,H1729=MappingTables!$C$32)),1,VLOOKUP(CONCATENATE($D1729,$G1729),CSRFinput!$B:$E,4,0))),0,IF(AND(VLOOKUP(CONCATENATE($D1729,$G1729),CSRFinput!$B:$E,4,0)=0,OR(H1729=MappingTables!$C$31,H1729=MappingTables!$C$32)),1,VLOOKUP(CONCATENATE($D1729,$G1729),CSRFinput!$B:$E,4,0)))</f>
        <v>0.054776304963434752</v>
      </c>
      <c r="S1729" s="73">
        <f>IF(B1729="",0,P1729*R1729)</f>
        <v>0.8445514080841664</v>
      </c>
      <c r="T1729" s="85">
        <f>IF(B1729="",0,IF(OR(H1729=MappingTables!$C$34,H1729=MappingTables!$C$35),S1729,0))</f>
        <v>0</v>
      </c>
    </row>
    <row r="1730" spans="2:20" s="0" customFormat="0" ht="15">
      <c r="B1730" s="69">
        <v>22623692</v>
      </c>
      <c r="C1730" s="70" t="s">
        <v>3487</v>
      </c>
      <c r="D1730" s="70" t="s">
        <v>1</v>
      </c>
      <c r="E1730" s="70" t="s">
        <v>1</v>
      </c>
      <c r="F1730" s="70"/>
      <c r="G1730" s="70" t="s">
        <v>61</v>
      </c>
      <c r="H1730" s="70" t="s">
        <v>178</v>
      </c>
      <c r="I1730" s="70" t="s">
        <v>513</v>
      </c>
      <c r="J1730" s="71">
        <f>IF(OR(I1730=0,I1730=""),"unrated",VLOOKUP(I1730,MappingTables!$B$19:$C$31,2,FALSE))</f>
        <v>6</v>
      </c>
      <c r="K1730" s="72">
        <v>134.71203785404342</v>
      </c>
      <c r="L1730" s="70">
        <v>0.068492762893941296</v>
      </c>
      <c r="M1730" s="71">
        <f>IF(L1730&lt;1,1,L1730)</f>
        <v>1</v>
      </c>
      <c r="N1730" s="70" t="s">
        <v>3288</v>
      </c>
      <c r="O1730" s="71">
        <f>IF(OR(I1730=$A$1,I1730=0),"",IF(N1730=MappingTables!$C$14,VLOOKUP(J1730,ModelParameters!$M$8:$N$15,2,FALSE),IF(N1730=MappingTables!$C$16,VLOOKUP(J1730,ModelParameters!$P$8:$Q$15,2,FALSE),0)))</f>
        <v>1</v>
      </c>
      <c r="P1730" s="73">
        <f>IF(OR(I1730=0,I1730=$A$1),0,MIN(O1730*M1730,1)*K1730)</f>
        <v>134.71203785404342</v>
      </c>
      <c r="Q1730" s="73">
        <f>IF(B1730="",0,IF(OR(H1730=MappingTables!$C$34,H1730=MappingTables!$C$35),P1730,0))</f>
        <v>0</v>
      </c>
      <c r="R1730" s="73">
        <f>IF(ISNA(IF(AND(VLOOKUP(CONCATENATE($D1730,$G1730),CSRFinput!$B:$E,4,0)=0,OR(H1730=MappingTables!$C$31,H1730=MappingTables!$C$32)),1,VLOOKUP(CONCATENATE($D1730,$G1730),CSRFinput!$B:$E,4,0))),0,IF(AND(VLOOKUP(CONCATENATE($D1730,$G1730),CSRFinput!$B:$E,4,0)=0,OR(H1730=MappingTables!$C$31,H1730=MappingTables!$C$32)),1,VLOOKUP(CONCATENATE($D1730,$G1730),CSRFinput!$B:$E,4,0)))</f>
        <v>0.054776304963434752</v>
      </c>
      <c r="S1730" s="73">
        <f>IF(B1730="",0,P1730*R1730)</f>
        <v>7.3790276677388496</v>
      </c>
      <c r="T1730" s="85">
        <f>IF(B1730="",0,IF(OR(H1730=MappingTables!$C$34,H1730=MappingTables!$C$35),S1730,0))</f>
        <v>0</v>
      </c>
    </row>
    <row r="1731" spans="2:20" s="0" customFormat="0" ht="15">
      <c r="B1731" s="69" t="s">
        <v>3997</v>
      </c>
      <c r="C1731" s="70" t="s">
        <v>3998</v>
      </c>
      <c r="D1731" s="70" t="s">
        <v>1</v>
      </c>
      <c r="E1731" s="70" t="s">
        <v>1</v>
      </c>
      <c r="F1731" s="70"/>
      <c r="G1731" s="70" t="s">
        <v>61</v>
      </c>
      <c r="H1731" s="70" t="s">
        <v>178</v>
      </c>
      <c r="I1731" s="70" t="s">
        <v>198</v>
      </c>
      <c r="J1731" s="71" t="str">
        <f>IF(OR(I1731=0,I1731=""),"unrated",VLOOKUP(I1731,MappingTables!$B$19:$C$31,2,FALSE))</f>
        <v>unrated</v>
      </c>
      <c r="K1731" s="72">
        <v>0.6286337477514968</v>
      </c>
      <c r="L1731" s="70">
        <v>8.4771244541357216</v>
      </c>
      <c r="M1731" s="71">
        <f>IF(L1731&lt;1,1,L1731)</f>
        <v>8.4771244541357216</v>
      </c>
      <c r="N1731" s="70" t="s">
        <v>3288</v>
      </c>
      <c r="O1731" s="71">
        <f>IF(OR(I1731=$A$1,I1731=0),"",IF(N1731=MappingTables!$C$14,VLOOKUP(J1731,ModelParameters!$M$8:$N$15,2,FALSE),IF(N1731=MappingTables!$C$16,VLOOKUP(J1731,ModelParameters!$P$8:$Q$15,2,FALSE),0)))</f>
        <v>1</v>
      </c>
      <c r="P1731" s="73">
        <f>IF(OR(I1731=0,I1731=$A$1),0,MIN(O1731*M1731,1)*K1731)</f>
        <v>0.6286337477514968</v>
      </c>
      <c r="Q1731" s="73">
        <f>IF(B1731="",0,IF(OR(H1731=MappingTables!$C$34,H1731=MappingTables!$C$35),P1731,0))</f>
        <v>0</v>
      </c>
      <c r="R1731" s="73">
        <f>IF(ISNA(IF(AND(VLOOKUP(CONCATENATE($D1731,$G1731),CSRFinput!$B:$E,4,0)=0,OR(H1731=MappingTables!$C$31,H1731=MappingTables!$C$32)),1,VLOOKUP(CONCATENATE($D1731,$G1731),CSRFinput!$B:$E,4,0))),0,IF(AND(VLOOKUP(CONCATENATE($D1731,$G1731),CSRFinput!$B:$E,4,0)=0,OR(H1731=MappingTables!$C$31,H1731=MappingTables!$C$32)),1,VLOOKUP(CONCATENATE($D1731,$G1731),CSRFinput!$B:$E,4,0)))</f>
        <v>0.054776304963434752</v>
      </c>
      <c r="S1731" s="73">
        <f>IF(B1731="",0,P1731*R1731)</f>
        <v>0.034434233877142908</v>
      </c>
      <c r="T1731" s="85">
        <f>IF(B1731="",0,IF(OR(H1731=MappingTables!$C$34,H1731=MappingTables!$C$35),S1731,0))</f>
        <v>0</v>
      </c>
    </row>
    <row r="1732" spans="2:20" s="0" customFormat="0" ht="15">
      <c r="B1732" s="69" t="s">
        <v>4154</v>
      </c>
      <c r="C1732" s="70" t="s">
        <v>4155</v>
      </c>
      <c r="D1732" s="70" t="s">
        <v>1</v>
      </c>
      <c r="E1732" s="70" t="s">
        <v>1</v>
      </c>
      <c r="F1732" s="70"/>
      <c r="G1732" s="70" t="s">
        <v>61</v>
      </c>
      <c r="H1732" s="70" t="s">
        <v>178</v>
      </c>
      <c r="I1732" s="70" t="s">
        <v>198</v>
      </c>
      <c r="J1732" s="71" t="str">
        <f>IF(OR(I1732=0,I1732=""),"unrated",VLOOKUP(I1732,MappingTables!$B$19:$C$31,2,FALSE))</f>
        <v>unrated</v>
      </c>
      <c r="K1732" s="72">
        <v>1667.4979092055514</v>
      </c>
      <c r="L1732" s="70">
        <v>0.69081077608412808</v>
      </c>
      <c r="M1732" s="71">
        <f>IF(L1732&lt;1,1,L1732)</f>
        <v>1</v>
      </c>
      <c r="N1732" s="70" t="s">
        <v>3288</v>
      </c>
      <c r="O1732" s="71">
        <f>IF(OR(I1732=$A$1,I1732=0),"",IF(N1732=MappingTables!$C$14,VLOOKUP(J1732,ModelParameters!$M$8:$N$15,2,FALSE),IF(N1732=MappingTables!$C$16,VLOOKUP(J1732,ModelParameters!$P$8:$Q$15,2,FALSE),0)))</f>
        <v>1</v>
      </c>
      <c r="P1732" s="73">
        <f>IF(OR(I1732=0,I1732=$A$1),0,MIN(O1732*M1732,1)*K1732)</f>
        <v>1667.4979092055514</v>
      </c>
      <c r="Q1732" s="73">
        <f>IF(B1732="",0,IF(OR(H1732=MappingTables!$C$34,H1732=MappingTables!$C$35),P1732,0))</f>
        <v>0</v>
      </c>
      <c r="R1732" s="73">
        <f>IF(ISNA(IF(AND(VLOOKUP(CONCATENATE($D1732,$G1732),CSRFinput!$B:$E,4,0)=0,OR(H1732=MappingTables!$C$31,H1732=MappingTables!$C$32)),1,VLOOKUP(CONCATENATE($D1732,$G1732),CSRFinput!$B:$E,4,0))),0,IF(AND(VLOOKUP(CONCATENATE($D1732,$G1732),CSRFinput!$B:$E,4,0)=0,OR(H1732=MappingTables!$C$31,H1732=MappingTables!$C$32)),1,VLOOKUP(CONCATENATE($D1732,$G1732),CSRFinput!$B:$E,4,0)))</f>
        <v>0.054776304963434752</v>
      </c>
      <c r="S1732" s="73">
        <f>IF(B1732="",0,P1732*R1732)</f>
        <v>91.33937400053312</v>
      </c>
      <c r="T1732" s="85">
        <f>IF(B1732="",0,IF(OR(H1732=MappingTables!$C$34,H1732=MappingTables!$C$35),S1732,0))</f>
        <v>0</v>
      </c>
    </row>
    <row r="1733" spans="2:20" s="0" customFormat="0" ht="15">
      <c r="B1733" s="69">
        <v>2644548</v>
      </c>
      <c r="C1733" s="70" t="s">
        <v>5082</v>
      </c>
      <c r="D1733" s="70" t="s">
        <v>1</v>
      </c>
      <c r="E1733" s="70" t="s">
        <v>1</v>
      </c>
      <c r="F1733" s="70"/>
      <c r="G1733" s="70" t="s">
        <v>61</v>
      </c>
      <c r="H1733" s="70" t="s">
        <v>178</v>
      </c>
      <c r="I1733" s="70" t="s">
        <v>198</v>
      </c>
      <c r="J1733" s="71" t="str">
        <f>IF(OR(I1733=0,I1733=""),"unrated",VLOOKUP(I1733,MappingTables!$B$19:$C$31,2,FALSE))</f>
        <v>unrated</v>
      </c>
      <c r="K1733" s="72">
        <v>207.27012369111084</v>
      </c>
      <c r="L1733" s="70">
        <v>0.068492134280713688</v>
      </c>
      <c r="M1733" s="71">
        <f>IF(L1733&lt;1,1,L1733)</f>
        <v>1</v>
      </c>
      <c r="N1733" s="70" t="s">
        <v>3288</v>
      </c>
      <c r="O1733" s="71">
        <f>IF(OR(I1733=$A$1,I1733=0),"",IF(N1733=MappingTables!$C$14,VLOOKUP(J1733,ModelParameters!$M$8:$N$15,2,FALSE),IF(N1733=MappingTables!$C$16,VLOOKUP(J1733,ModelParameters!$P$8:$Q$15,2,FALSE),0)))</f>
        <v>1</v>
      </c>
      <c r="P1733" s="73">
        <f>IF(OR(I1733=0,I1733=$A$1),0,MIN(O1733*M1733,1)*K1733)</f>
        <v>207.27012369111084</v>
      </c>
      <c r="Q1733" s="73">
        <f>IF(B1733="",0,IF(OR(H1733=MappingTables!$C$34,H1733=MappingTables!$C$35),P1733,0))</f>
        <v>0</v>
      </c>
      <c r="R1733" s="73">
        <f>IF(ISNA(IF(AND(VLOOKUP(CONCATENATE($D1733,$G1733),CSRFinput!$B:$E,4,0)=0,OR(H1733=MappingTables!$C$31,H1733=MappingTables!$C$32)),1,VLOOKUP(CONCATENATE($D1733,$G1733),CSRFinput!$B:$E,4,0))),0,IF(AND(VLOOKUP(CONCATENATE($D1733,$G1733),CSRFinput!$B:$E,4,0)=0,OR(H1733=MappingTables!$C$31,H1733=MappingTables!$C$32)),1,VLOOKUP(CONCATENATE($D1733,$G1733),CSRFinput!$B:$E,4,0)))</f>
        <v>0.054776304963434752</v>
      </c>
      <c r="S1733" s="73">
        <f>IF(B1733="",0,P1733*R1733)</f>
        <v>11.35349150511313</v>
      </c>
      <c r="T1733" s="85">
        <f>IF(B1733="",0,IF(OR(H1733=MappingTables!$C$34,H1733=MappingTables!$C$35),S1733,0))</f>
        <v>0</v>
      </c>
    </row>
    <row r="1734" spans="2:20" s="0" customFormat="0" ht="15">
      <c r="B1734" s="69">
        <v>25094363</v>
      </c>
      <c r="C1734" s="70" t="s">
        <v>4902</v>
      </c>
      <c r="D1734" s="70" t="s">
        <v>1</v>
      </c>
      <c r="E1734" s="70" t="s">
        <v>1</v>
      </c>
      <c r="F1734" s="70"/>
      <c r="G1734" s="70" t="s">
        <v>61</v>
      </c>
      <c r="H1734" s="70" t="s">
        <v>178</v>
      </c>
      <c r="I1734" s="70" t="s">
        <v>198</v>
      </c>
      <c r="J1734" s="71" t="str">
        <f>IF(OR(I1734=0,I1734=""),"unrated",VLOOKUP(I1734,MappingTables!$B$19:$C$31,2,FALSE))</f>
        <v>unrated</v>
      </c>
      <c r="K1734" s="72">
        <v>8569.1168788243776</v>
      </c>
      <c r="L1734" s="70">
        <v>0.06115801043998768</v>
      </c>
      <c r="M1734" s="71">
        <f>IF(L1734&lt;1,1,L1734)</f>
        <v>1</v>
      </c>
      <c r="N1734" s="70" t="s">
        <v>3288</v>
      </c>
      <c r="O1734" s="71">
        <f>IF(OR(I1734=$A$1,I1734=0),"",IF(N1734=MappingTables!$C$14,VLOOKUP(J1734,ModelParameters!$M$8:$N$15,2,FALSE),IF(N1734=MappingTables!$C$16,VLOOKUP(J1734,ModelParameters!$P$8:$Q$15,2,FALSE),0)))</f>
        <v>1</v>
      </c>
      <c r="P1734" s="73">
        <f>IF(OR(I1734=0,I1734=$A$1),0,MIN(O1734*M1734,1)*K1734)</f>
        <v>8569.1168788243776</v>
      </c>
      <c r="Q1734" s="73">
        <f>IF(B1734="",0,IF(OR(H1734=MappingTables!$C$34,H1734=MappingTables!$C$35),P1734,0))</f>
        <v>0</v>
      </c>
      <c r="R1734" s="73">
        <f>IF(ISNA(IF(AND(VLOOKUP(CONCATENATE($D1734,$G1734),CSRFinput!$B:$E,4,0)=0,OR(H1734=MappingTables!$C$31,H1734=MappingTables!$C$32)),1,VLOOKUP(CONCATENATE($D1734,$G1734),CSRFinput!$B:$E,4,0))),0,IF(AND(VLOOKUP(CONCATENATE($D1734,$G1734),CSRFinput!$B:$E,4,0)=0,OR(H1734=MappingTables!$C$31,H1734=MappingTables!$C$32)),1,VLOOKUP(CONCATENATE($D1734,$G1734),CSRFinput!$B:$E,4,0)))</f>
        <v>0.054776304963434752</v>
      </c>
      <c r="S1734" s="73">
        <f>IF(B1734="",0,P1734*R1734)</f>
        <v>469.38455942180032</v>
      </c>
      <c r="T1734" s="85">
        <f>IF(B1734="",0,IF(OR(H1734=MappingTables!$C$34,H1734=MappingTables!$C$35),S1734,0))</f>
        <v>0</v>
      </c>
    </row>
    <row r="1735" spans="2:20" s="0" customFormat="0" ht="15">
      <c r="B1735" s="69">
        <v>17849962</v>
      </c>
      <c r="C1735" s="70" t="s">
        <v>4870</v>
      </c>
      <c r="D1735" s="70" t="s">
        <v>1</v>
      </c>
      <c r="E1735" s="70" t="s">
        <v>1</v>
      </c>
      <c r="F1735" s="70"/>
      <c r="G1735" s="70" t="s">
        <v>61</v>
      </c>
      <c r="H1735" s="70" t="s">
        <v>178</v>
      </c>
      <c r="I1735" s="70" t="s">
        <v>216</v>
      </c>
      <c r="J1735" s="71">
        <f>IF(OR(I1735=0,I1735=""),"unrated",VLOOKUP(I1735,MappingTables!$B$19:$C$31,2,FALSE))</f>
        <v>0</v>
      </c>
      <c r="K1735" s="72">
        <v>1020.9255096086644</v>
      </c>
      <c r="L1735" s="70">
        <v>0.052329188121588256</v>
      </c>
      <c r="M1735" s="71">
        <f>IF(L1735&lt;1,1,L1735)</f>
        <v>1</v>
      </c>
      <c r="N1735" s="70" t="s">
        <v>3288</v>
      </c>
      <c r="O1735" s="71">
        <f>IF(OR(I1735=$A$1,I1735=0),"",IF(N1735=MappingTables!$C$14,VLOOKUP(J1735,ModelParameters!$M$8:$N$15,2,FALSE),IF(N1735=MappingTables!$C$16,VLOOKUP(J1735,ModelParameters!$P$8:$Q$15,2,FALSE),0)))</f>
        <v>0.125</v>
      </c>
      <c r="P1735" s="73">
        <f>IF(OR(I1735=0,I1735=$A$1),0,MIN(O1735*M1735,1)*K1735)</f>
        <v>127.61568870108306</v>
      </c>
      <c r="Q1735" s="73">
        <f>IF(B1735="",0,IF(OR(H1735=MappingTables!$C$34,H1735=MappingTables!$C$35),P1735,0))</f>
        <v>0</v>
      </c>
      <c r="R1735" s="73">
        <f>IF(ISNA(IF(AND(VLOOKUP(CONCATENATE($D1735,$G1735),CSRFinput!$B:$E,4,0)=0,OR(H1735=MappingTables!$C$31,H1735=MappingTables!$C$32)),1,VLOOKUP(CONCATENATE($D1735,$G1735),CSRFinput!$B:$E,4,0))),0,IF(AND(VLOOKUP(CONCATENATE($D1735,$G1735),CSRFinput!$B:$E,4,0)=0,OR(H1735=MappingTables!$C$31,H1735=MappingTables!$C$32)),1,VLOOKUP(CONCATENATE($D1735,$G1735),CSRFinput!$B:$E,4,0)))</f>
        <v>0.054776304963434752</v>
      </c>
      <c r="S1735" s="73">
        <f>IF(B1735="",0,P1735*R1735)</f>
        <v>6.9903158824092808</v>
      </c>
      <c r="T1735" s="85">
        <f>IF(B1735="",0,IF(OR(H1735=MappingTables!$C$34,H1735=MappingTables!$C$35),S1735,0))</f>
        <v>0</v>
      </c>
    </row>
    <row r="1736" spans="2:20" s="0" customFormat="0" ht="15">
      <c r="B1736" s="69">
        <v>21027851</v>
      </c>
      <c r="C1736" s="70" t="s">
        <v>3786</v>
      </c>
      <c r="D1736" s="70" t="s">
        <v>1</v>
      </c>
      <c r="E1736" s="70" t="s">
        <v>1</v>
      </c>
      <c r="F1736" s="70"/>
      <c r="G1736" s="70" t="s">
        <v>61</v>
      </c>
      <c r="H1736" s="70" t="s">
        <v>178</v>
      </c>
      <c r="I1736" s="70" t="s">
        <v>216</v>
      </c>
      <c r="J1736" s="71">
        <f>IF(OR(I1736=0,I1736=""),"unrated",VLOOKUP(I1736,MappingTables!$B$19:$C$31,2,FALSE))</f>
        <v>0</v>
      </c>
      <c r="K1736" s="72">
        <v>38.029171941590864</v>
      </c>
      <c r="L1736" s="70">
        <v>0.071707222615304408</v>
      </c>
      <c r="M1736" s="71">
        <f>IF(L1736&lt;1,1,L1736)</f>
        <v>1</v>
      </c>
      <c r="N1736" s="70" t="s">
        <v>3288</v>
      </c>
      <c r="O1736" s="71">
        <f>IF(OR(I1736=$A$1,I1736=0),"",IF(N1736=MappingTables!$C$14,VLOOKUP(J1736,ModelParameters!$M$8:$N$15,2,FALSE),IF(N1736=MappingTables!$C$16,VLOOKUP(J1736,ModelParameters!$P$8:$Q$15,2,FALSE),0)))</f>
        <v>0.125</v>
      </c>
      <c r="P1736" s="73">
        <f>IF(OR(I1736=0,I1736=$A$1),0,MIN(O1736*M1736,1)*K1736)</f>
        <v>4.7536464926988584</v>
      </c>
      <c r="Q1736" s="73">
        <f>IF(B1736="",0,IF(OR(H1736=MappingTables!$C$34,H1736=MappingTables!$C$35),P1736,0))</f>
        <v>0</v>
      </c>
      <c r="R1736" s="73">
        <f>IF(ISNA(IF(AND(VLOOKUP(CONCATENATE($D1736,$G1736),CSRFinput!$B:$E,4,0)=0,OR(H1736=MappingTables!$C$31,H1736=MappingTables!$C$32)),1,VLOOKUP(CONCATENATE($D1736,$G1736),CSRFinput!$B:$E,4,0))),0,IF(AND(VLOOKUP(CONCATENATE($D1736,$G1736),CSRFinput!$B:$E,4,0)=0,OR(H1736=MappingTables!$C$31,H1736=MappingTables!$C$32)),1,VLOOKUP(CONCATENATE($D1736,$G1736),CSRFinput!$B:$E,4,0)))</f>
        <v>0.054776304963434752</v>
      </c>
      <c r="S1736" s="73">
        <f>IF(B1736="",0,P1736*R1736)</f>
        <v>0.26038718997243472</v>
      </c>
      <c r="T1736" s="85">
        <f>IF(B1736="",0,IF(OR(H1736=MappingTables!$C$34,H1736=MappingTables!$C$35),S1736,0))</f>
        <v>0</v>
      </c>
    </row>
    <row r="1737" spans="2:20" s="0" customFormat="0" ht="15">
      <c r="B1737" s="69">
        <v>14504641</v>
      </c>
      <c r="C1737" s="70" t="s">
        <v>3451</v>
      </c>
      <c r="D1737" s="70" t="s">
        <v>1</v>
      </c>
      <c r="E1737" s="70" t="s">
        <v>1</v>
      </c>
      <c r="F1737" s="70"/>
      <c r="G1737" s="70" t="s">
        <v>61</v>
      </c>
      <c r="H1737" s="70" t="s">
        <v>178</v>
      </c>
      <c r="I1737" s="70" t="s">
        <v>216</v>
      </c>
      <c r="J1737" s="71">
        <f>IF(OR(I1737=0,I1737=""),"unrated",VLOOKUP(I1737,MappingTables!$B$19:$C$31,2,FALSE))</f>
        <v>0</v>
      </c>
      <c r="K1737" s="72">
        <v>3.3447246169792508</v>
      </c>
      <c r="L1737" s="70">
        <v>0.070429216715803312</v>
      </c>
      <c r="M1737" s="71">
        <f>IF(L1737&lt;1,1,L1737)</f>
        <v>1</v>
      </c>
      <c r="N1737" s="70" t="s">
        <v>3288</v>
      </c>
      <c r="O1737" s="71">
        <f>IF(OR(I1737=$A$1,I1737=0),"",IF(N1737=MappingTables!$C$14,VLOOKUP(J1737,ModelParameters!$M$8:$N$15,2,FALSE),IF(N1737=MappingTables!$C$16,VLOOKUP(J1737,ModelParameters!$P$8:$Q$15,2,FALSE),0)))</f>
        <v>0.125</v>
      </c>
      <c r="P1737" s="73">
        <f>IF(OR(I1737=0,I1737=$A$1),0,MIN(O1737*M1737,1)*K1737)</f>
        <v>0.41809057712240632</v>
      </c>
      <c r="Q1737" s="73">
        <f>IF(B1737="",0,IF(OR(H1737=MappingTables!$C$34,H1737=MappingTables!$C$35),P1737,0))</f>
        <v>0</v>
      </c>
      <c r="R1737" s="73">
        <f>IF(ISNA(IF(AND(VLOOKUP(CONCATENATE($D1737,$G1737),CSRFinput!$B:$E,4,0)=0,OR(H1737=MappingTables!$C$31,H1737=MappingTables!$C$32)),1,VLOOKUP(CONCATENATE($D1737,$G1737),CSRFinput!$B:$E,4,0))),0,IF(AND(VLOOKUP(CONCATENATE($D1737,$G1737),CSRFinput!$B:$E,4,0)=0,OR(H1737=MappingTables!$C$31,H1737=MappingTables!$C$32)),1,VLOOKUP(CONCATENATE($D1737,$G1737),CSRFinput!$B:$E,4,0)))</f>
        <v>0.054776304963434752</v>
      </c>
      <c r="S1737" s="73">
        <f>IF(B1737="",0,P1737*R1737)</f>
        <v>0.022901456954795364</v>
      </c>
      <c r="T1737" s="85">
        <f>IF(B1737="",0,IF(OR(H1737=MappingTables!$C$34,H1737=MappingTables!$C$35),S1737,0))</f>
        <v>0</v>
      </c>
    </row>
    <row r="1738" spans="2:20" s="0" customFormat="0" ht="15">
      <c r="B1738" s="69" t="s">
        <v>4845</v>
      </c>
      <c r="C1738" s="70" t="s">
        <v>4846</v>
      </c>
      <c r="D1738" s="70" t="s">
        <v>1</v>
      </c>
      <c r="E1738" s="70" t="s">
        <v>1</v>
      </c>
      <c r="F1738" s="70"/>
      <c r="G1738" s="70" t="s">
        <v>61</v>
      </c>
      <c r="H1738" s="70" t="s">
        <v>178</v>
      </c>
      <c r="I1738" s="70" t="s">
        <v>198</v>
      </c>
      <c r="J1738" s="71" t="str">
        <f>IF(OR(I1738=0,I1738=""),"unrated",VLOOKUP(I1738,MappingTables!$B$19:$C$31,2,FALSE))</f>
        <v>unrated</v>
      </c>
      <c r="K1738" s="72">
        <v>448.05466860149064</v>
      </c>
      <c r="L1738" s="70">
        <v>17.48546794357208</v>
      </c>
      <c r="M1738" s="71">
        <f>IF(L1738&lt;1,1,L1738)</f>
        <v>17.48546794357208</v>
      </c>
      <c r="N1738" s="70" t="s">
        <v>3288</v>
      </c>
      <c r="O1738" s="71">
        <f>IF(OR(I1738=$A$1,I1738=0),"",IF(N1738=MappingTables!$C$14,VLOOKUP(J1738,ModelParameters!$M$8:$N$15,2,FALSE),IF(N1738=MappingTables!$C$16,VLOOKUP(J1738,ModelParameters!$P$8:$Q$15,2,FALSE),0)))</f>
        <v>1</v>
      </c>
      <c r="P1738" s="73">
        <f>IF(OR(I1738=0,I1738=$A$1),0,MIN(O1738*M1738,1)*K1738)</f>
        <v>448.05466860149064</v>
      </c>
      <c r="Q1738" s="73">
        <f>IF(B1738="",0,IF(OR(H1738=MappingTables!$C$34,H1738=MappingTables!$C$35),P1738,0))</f>
        <v>0</v>
      </c>
      <c r="R1738" s="73">
        <f>IF(ISNA(IF(AND(VLOOKUP(CONCATENATE($D1738,$G1738),CSRFinput!$B:$E,4,0)=0,OR(H1738=MappingTables!$C$31,H1738=MappingTables!$C$32)),1,VLOOKUP(CONCATENATE($D1738,$G1738),CSRFinput!$B:$E,4,0))),0,IF(AND(VLOOKUP(CONCATENATE($D1738,$G1738),CSRFinput!$B:$E,4,0)=0,OR(H1738=MappingTables!$C$31,H1738=MappingTables!$C$32)),1,VLOOKUP(CONCATENATE($D1738,$G1738),CSRFinput!$B:$E,4,0)))</f>
        <v>0.054776304963434752</v>
      </c>
      <c r="S1738" s="73">
        <f>IF(B1738="",0,P1738*R1738)</f>
        <v>24.542779167605944</v>
      </c>
      <c r="T1738" s="85">
        <f>IF(B1738="",0,IF(OR(H1738=MappingTables!$C$34,H1738=MappingTables!$C$35),S1738,0))</f>
        <v>0</v>
      </c>
    </row>
    <row r="1739" spans="2:20" s="0" customFormat="0" ht="15">
      <c r="B1739" s="69" t="s">
        <v>3571</v>
      </c>
      <c r="C1739" s="70" t="s">
        <v>3572</v>
      </c>
      <c r="D1739" s="70" t="s">
        <v>1</v>
      </c>
      <c r="E1739" s="70" t="s">
        <v>1</v>
      </c>
      <c r="F1739" s="70"/>
      <c r="G1739" s="70" t="s">
        <v>61</v>
      </c>
      <c r="H1739" s="70" t="s">
        <v>178</v>
      </c>
      <c r="I1739" s="70" t="s">
        <v>179</v>
      </c>
      <c r="J1739" s="71">
        <f>IF(OR(I1739=0,I1739=""),"unrated",VLOOKUP(I1739,MappingTables!$B$19:$C$31,2,FALSE))</f>
        <v>4</v>
      </c>
      <c r="K1739" s="72">
        <v>17230.180366683006</v>
      </c>
      <c r="L1739" s="70">
        <v>4.3356013346809448</v>
      </c>
      <c r="M1739" s="71">
        <f>IF(L1739&lt;1,1,L1739)</f>
        <v>4.3356013346809448</v>
      </c>
      <c r="N1739" s="70" t="s">
        <v>3288</v>
      </c>
      <c r="O1739" s="71">
        <f>IF(OR(I1739=$A$1,I1739=0),"",IF(N1739=MappingTables!$C$14,VLOOKUP(J1739,ModelParameters!$M$8:$N$15,2,FALSE),IF(N1739=MappingTables!$C$16,VLOOKUP(J1739,ModelParameters!$P$8:$Q$15,2,FALSE),0)))</f>
        <v>0.82</v>
      </c>
      <c r="P1739" s="73">
        <f>IF(OR(I1739=0,I1739=$A$1),0,MIN(O1739*M1739,1)*K1739)</f>
        <v>17230.180366683006</v>
      </c>
      <c r="Q1739" s="73">
        <f>IF(B1739="",0,IF(OR(H1739=MappingTables!$C$34,H1739=MappingTables!$C$35),P1739,0))</f>
        <v>0</v>
      </c>
      <c r="R1739" s="73">
        <f>IF(ISNA(IF(AND(VLOOKUP(CONCATENATE($D1739,$G1739),CSRFinput!$B:$E,4,0)=0,OR(H1739=MappingTables!$C$31,H1739=MappingTables!$C$32)),1,VLOOKUP(CONCATENATE($D1739,$G1739),CSRFinput!$B:$E,4,0))),0,IF(AND(VLOOKUP(CONCATENATE($D1739,$G1739),CSRFinput!$B:$E,4,0)=0,OR(H1739=MappingTables!$C$31,H1739=MappingTables!$C$32)),1,VLOOKUP(CONCATENATE($D1739,$G1739),CSRFinput!$B:$E,4,0)))</f>
        <v>0.054776304963434752</v>
      </c>
      <c r="S1739" s="73">
        <f>IF(B1739="",0,P1739*R1739)</f>
        <v>943.80561434041424</v>
      </c>
      <c r="T1739" s="85">
        <f>IF(B1739="",0,IF(OR(H1739=MappingTables!$C$34,H1739=MappingTables!$C$35),S1739,0))</f>
        <v>0</v>
      </c>
    </row>
    <row r="1740" spans="2:20" s="0" customFormat="0" ht="15">
      <c r="B1740" s="69">
        <v>14504632</v>
      </c>
      <c r="C1740" s="70" t="s">
        <v>4264</v>
      </c>
      <c r="D1740" s="70" t="s">
        <v>1</v>
      </c>
      <c r="E1740" s="70" t="s">
        <v>1</v>
      </c>
      <c r="F1740" s="70"/>
      <c r="G1740" s="70" t="s">
        <v>61</v>
      </c>
      <c r="H1740" s="70" t="s">
        <v>178</v>
      </c>
      <c r="I1740" s="70" t="s">
        <v>216</v>
      </c>
      <c r="J1740" s="71">
        <f>IF(OR(I1740=0,I1740=""),"unrated",VLOOKUP(I1740,MappingTables!$B$19:$C$31,2,FALSE))</f>
        <v>0</v>
      </c>
      <c r="K1740" s="72">
        <v>18.70165053541044</v>
      </c>
      <c r="L1740" s="70">
        <v>0.016161941162487522</v>
      </c>
      <c r="M1740" s="71">
        <f>IF(L1740&lt;1,1,L1740)</f>
        <v>1</v>
      </c>
      <c r="N1740" s="70" t="s">
        <v>3288</v>
      </c>
      <c r="O1740" s="71">
        <f>IF(OR(I1740=$A$1,I1740=0),"",IF(N1740=MappingTables!$C$14,VLOOKUP(J1740,ModelParameters!$M$8:$N$15,2,FALSE),IF(N1740=MappingTables!$C$16,VLOOKUP(J1740,ModelParameters!$P$8:$Q$15,2,FALSE),0)))</f>
        <v>0.125</v>
      </c>
      <c r="P1740" s="73">
        <f>IF(OR(I1740=0,I1740=$A$1),0,MIN(O1740*M1740,1)*K1740)</f>
        <v>2.3377063169263052</v>
      </c>
      <c r="Q1740" s="73">
        <f>IF(B1740="",0,IF(OR(H1740=MappingTables!$C$34,H1740=MappingTables!$C$35),P1740,0))</f>
        <v>0</v>
      </c>
      <c r="R1740" s="73">
        <f>IF(ISNA(IF(AND(VLOOKUP(CONCATENATE($D1740,$G1740),CSRFinput!$B:$E,4,0)=0,OR(H1740=MappingTables!$C$31,H1740=MappingTables!$C$32)),1,VLOOKUP(CONCATENATE($D1740,$G1740),CSRFinput!$B:$E,4,0))),0,IF(AND(VLOOKUP(CONCATENATE($D1740,$G1740),CSRFinput!$B:$E,4,0)=0,OR(H1740=MappingTables!$C$31,H1740=MappingTables!$C$32)),1,VLOOKUP(CONCATENATE($D1740,$G1740),CSRFinput!$B:$E,4,0)))</f>
        <v>0.054776304963434752</v>
      </c>
      <c r="S1740" s="73">
        <f>IF(B1740="",0,P1740*R1740)</f>
        <v>0.12805091413090314</v>
      </c>
      <c r="T1740" s="85">
        <f>IF(B1740="",0,IF(OR(H1740=MappingTables!$C$34,H1740=MappingTables!$C$35),S1740,0))</f>
        <v>0</v>
      </c>
    </row>
    <row r="1741" spans="2:20" s="0" customFormat="0" ht="15">
      <c r="B1741" s="69" t="s">
        <v>3825</v>
      </c>
      <c r="C1741" s="70" t="s">
        <v>3826</v>
      </c>
      <c r="D1741" s="70" t="s">
        <v>1</v>
      </c>
      <c r="E1741" s="70" t="s">
        <v>1</v>
      </c>
      <c r="F1741" s="70"/>
      <c r="G1741" s="70" t="s">
        <v>61</v>
      </c>
      <c r="H1741" s="70" t="s">
        <v>178</v>
      </c>
      <c r="I1741" s="70" t="s">
        <v>198</v>
      </c>
      <c r="J1741" s="71" t="str">
        <f>IF(OR(I1741=0,I1741=""),"unrated",VLOOKUP(I1741,MappingTables!$B$19:$C$31,2,FALSE))</f>
        <v>unrated</v>
      </c>
      <c r="K1741" s="72">
        <v>119.78049678499338</v>
      </c>
      <c r="L1741" s="70">
        <v>0.068489617477925992</v>
      </c>
      <c r="M1741" s="71">
        <f>IF(L1741&lt;1,1,L1741)</f>
        <v>1</v>
      </c>
      <c r="N1741" s="70" t="s">
        <v>3288</v>
      </c>
      <c r="O1741" s="71">
        <f>IF(OR(I1741=$A$1,I1741=0),"",IF(N1741=MappingTables!$C$14,VLOOKUP(J1741,ModelParameters!$M$8:$N$15,2,FALSE),IF(N1741=MappingTables!$C$16,VLOOKUP(J1741,ModelParameters!$P$8:$Q$15,2,FALSE),0)))</f>
        <v>1</v>
      </c>
      <c r="P1741" s="73">
        <f>IF(OR(I1741=0,I1741=$A$1),0,MIN(O1741*M1741,1)*K1741)</f>
        <v>119.78049678499338</v>
      </c>
      <c r="Q1741" s="73">
        <f>IF(B1741="",0,IF(OR(H1741=MappingTables!$C$34,H1741=MappingTables!$C$35),P1741,0))</f>
        <v>0</v>
      </c>
      <c r="R1741" s="73">
        <f>IF(ISNA(IF(AND(VLOOKUP(CONCATENATE($D1741,$G1741),CSRFinput!$B:$E,4,0)=0,OR(H1741=MappingTables!$C$31,H1741=MappingTables!$C$32)),1,VLOOKUP(CONCATENATE($D1741,$G1741),CSRFinput!$B:$E,4,0))),0,IF(AND(VLOOKUP(CONCATENATE($D1741,$G1741),CSRFinput!$B:$E,4,0)=0,OR(H1741=MappingTables!$C$31,H1741=MappingTables!$C$32)),1,VLOOKUP(CONCATENATE($D1741,$G1741),CSRFinput!$B:$E,4,0)))</f>
        <v>0.054776304963434752</v>
      </c>
      <c r="S1741" s="73">
        <f>IF(B1741="",0,P1741*R1741)</f>
        <v>6.5611330205665128</v>
      </c>
      <c r="T1741" s="85">
        <f>IF(B1741="",0,IF(OR(H1741=MappingTables!$C$34,H1741=MappingTables!$C$35),S1741,0))</f>
        <v>0</v>
      </c>
    </row>
    <row r="1742" spans="2:20" s="0" customFormat="0" ht="15">
      <c r="B1742" s="69" t="s">
        <v>3432</v>
      </c>
      <c r="C1742" s="70" t="s">
        <v>3433</v>
      </c>
      <c r="D1742" s="70" t="s">
        <v>1</v>
      </c>
      <c r="E1742" s="70" t="s">
        <v>1</v>
      </c>
      <c r="F1742" s="70"/>
      <c r="G1742" s="70" t="s">
        <v>61</v>
      </c>
      <c r="H1742" s="70" t="s">
        <v>178</v>
      </c>
      <c r="I1742" s="70" t="s">
        <v>513</v>
      </c>
      <c r="J1742" s="71">
        <f>IF(OR(I1742=0,I1742=""),"unrated",VLOOKUP(I1742,MappingTables!$B$19:$C$31,2,FALSE))</f>
        <v>6</v>
      </c>
      <c r="K1742" s="72">
        <v>627.11224975305232</v>
      </c>
      <c r="L1742" s="70">
        <v>0.068492095815345072</v>
      </c>
      <c r="M1742" s="71">
        <f>IF(L1742&lt;1,1,L1742)</f>
        <v>1</v>
      </c>
      <c r="N1742" s="70" t="s">
        <v>3288</v>
      </c>
      <c r="O1742" s="71">
        <f>IF(OR(I1742=$A$1,I1742=0),"",IF(N1742=MappingTables!$C$14,VLOOKUP(J1742,ModelParameters!$M$8:$N$15,2,FALSE),IF(N1742=MappingTables!$C$16,VLOOKUP(J1742,ModelParameters!$P$8:$Q$15,2,FALSE),0)))</f>
        <v>1</v>
      </c>
      <c r="P1742" s="73">
        <f>IF(OR(I1742=0,I1742=$A$1),0,MIN(O1742*M1742,1)*K1742)</f>
        <v>627.11224975305232</v>
      </c>
      <c r="Q1742" s="73">
        <f>IF(B1742="",0,IF(OR(H1742=MappingTables!$C$34,H1742=MappingTables!$C$35),P1742,0))</f>
        <v>0</v>
      </c>
      <c r="R1742" s="73">
        <f>IF(ISNA(IF(AND(VLOOKUP(CONCATENATE($D1742,$G1742),CSRFinput!$B:$E,4,0)=0,OR(H1742=MappingTables!$C$31,H1742=MappingTables!$C$32)),1,VLOOKUP(CONCATENATE($D1742,$G1742),CSRFinput!$B:$E,4,0))),0,IF(AND(VLOOKUP(CONCATENATE($D1742,$G1742),CSRFinput!$B:$E,4,0)=0,OR(H1742=MappingTables!$C$31,H1742=MappingTables!$C$32)),1,VLOOKUP(CONCATENATE($D1742,$G1742),CSRFinput!$B:$E,4,0)))</f>
        <v>0.054776304963434752</v>
      </c>
      <c r="S1742" s="73">
        <f>IF(B1742="",0,P1742*R1742)</f>
        <v>34.350891838778856</v>
      </c>
      <c r="T1742" s="85">
        <f>IF(B1742="",0,IF(OR(H1742=MappingTables!$C$34,H1742=MappingTables!$C$35),S1742,0))</f>
        <v>0</v>
      </c>
    </row>
    <row r="1743" spans="2:20" s="0" customFormat="0" ht="15">
      <c r="B1743" s="69">
        <v>22554210</v>
      </c>
      <c r="C1743" s="70" t="s">
        <v>5132</v>
      </c>
      <c r="D1743" s="70" t="s">
        <v>1</v>
      </c>
      <c r="E1743" s="70" t="s">
        <v>1</v>
      </c>
      <c r="F1743" s="70"/>
      <c r="G1743" s="70" t="s">
        <v>61</v>
      </c>
      <c r="H1743" s="70" t="s">
        <v>178</v>
      </c>
      <c r="I1743" s="70" t="s">
        <v>216</v>
      </c>
      <c r="J1743" s="71">
        <f>IF(OR(I1743=0,I1743=""),"unrated",VLOOKUP(I1743,MappingTables!$B$19:$C$31,2,FALSE))</f>
        <v>0</v>
      </c>
      <c r="K1743" s="72">
        <v>2765.3664057144368</v>
      </c>
      <c r="L1743" s="70">
        <v>0.21988733235107992</v>
      </c>
      <c r="M1743" s="71">
        <f>IF(L1743&lt;1,1,L1743)</f>
        <v>1</v>
      </c>
      <c r="N1743" s="70" t="s">
        <v>3288</v>
      </c>
      <c r="O1743" s="71">
        <f>IF(OR(I1743=$A$1,I1743=0),"",IF(N1743=MappingTables!$C$14,VLOOKUP(J1743,ModelParameters!$M$8:$N$15,2,FALSE),IF(N1743=MappingTables!$C$16,VLOOKUP(J1743,ModelParameters!$P$8:$Q$15,2,FALSE),0)))</f>
        <v>0.125</v>
      </c>
      <c r="P1743" s="73">
        <f>IF(OR(I1743=0,I1743=$A$1),0,MIN(O1743*M1743,1)*K1743)</f>
        <v>345.6708007143046</v>
      </c>
      <c r="Q1743" s="73">
        <f>IF(B1743="",0,IF(OR(H1743=MappingTables!$C$34,H1743=MappingTables!$C$35),P1743,0))</f>
        <v>0</v>
      </c>
      <c r="R1743" s="73">
        <f>IF(ISNA(IF(AND(VLOOKUP(CONCATENATE($D1743,$G1743),CSRFinput!$B:$E,4,0)=0,OR(H1743=MappingTables!$C$31,H1743=MappingTables!$C$32)),1,VLOOKUP(CONCATENATE($D1743,$G1743),CSRFinput!$B:$E,4,0))),0,IF(AND(VLOOKUP(CONCATENATE($D1743,$G1743),CSRFinput!$B:$E,4,0)=0,OR(H1743=MappingTables!$C$31,H1743=MappingTables!$C$32)),1,VLOOKUP(CONCATENATE($D1743,$G1743),CSRFinput!$B:$E,4,0)))</f>
        <v>0.054776304963434752</v>
      </c>
      <c r="S1743" s="73">
        <f>IF(B1743="",0,P1743*R1743)</f>
        <v>18.934569196881432</v>
      </c>
      <c r="T1743" s="85">
        <f>IF(B1743="",0,IF(OR(H1743=MappingTables!$C$34,H1743=MappingTables!$C$35),S1743,0))</f>
        <v>0</v>
      </c>
    </row>
    <row r="1744" spans="2:20" s="0" customFormat="0" ht="15">
      <c r="B1744" s="69" t="s">
        <v>3913</v>
      </c>
      <c r="C1744" s="70" t="s">
        <v>3914</v>
      </c>
      <c r="D1744" s="70" t="s">
        <v>1</v>
      </c>
      <c r="E1744" s="70" t="s">
        <v>1</v>
      </c>
      <c r="F1744" s="70"/>
      <c r="G1744" s="70" t="s">
        <v>61</v>
      </c>
      <c r="H1744" s="70" t="s">
        <v>178</v>
      </c>
      <c r="I1744" s="70" t="s">
        <v>3291</v>
      </c>
      <c r="J1744" s="71">
        <f>IF(OR(I1744=0,I1744=""),"unrated",VLOOKUP(I1744,MappingTables!$B$19:$C$31,2,FALSE))</f>
        <v>6</v>
      </c>
      <c r="K1744" s="72">
        <v>192.00834073997248</v>
      </c>
      <c r="L1744" s="70">
        <v>-0.009749901357889544</v>
      </c>
      <c r="M1744" s="71">
        <f>IF(L1744&lt;1,1,L1744)</f>
        <v>1</v>
      </c>
      <c r="N1744" s="70" t="s">
        <v>3288</v>
      </c>
      <c r="O1744" s="71">
        <f>IF(OR(I1744=$A$1,I1744=0),"",IF(N1744=MappingTables!$C$14,VLOOKUP(J1744,ModelParameters!$M$8:$N$15,2,FALSE),IF(N1744=MappingTables!$C$16,VLOOKUP(J1744,ModelParameters!$P$8:$Q$15,2,FALSE),0)))</f>
        <v>1</v>
      </c>
      <c r="P1744" s="73">
        <f>IF(OR(I1744=0,I1744=$A$1),0,MIN(O1744*M1744,1)*K1744)</f>
        <v>192.00834073997248</v>
      </c>
      <c r="Q1744" s="73">
        <f>IF(B1744="",0,IF(OR(H1744=MappingTables!$C$34,H1744=MappingTables!$C$35),P1744,0))</f>
        <v>0</v>
      </c>
      <c r="R1744" s="73">
        <f>IF(ISNA(IF(AND(VLOOKUP(CONCATENATE($D1744,$G1744),CSRFinput!$B:$E,4,0)=0,OR(H1744=MappingTables!$C$31,H1744=MappingTables!$C$32)),1,VLOOKUP(CONCATENATE($D1744,$G1744),CSRFinput!$B:$E,4,0))),0,IF(AND(VLOOKUP(CONCATENATE($D1744,$G1744),CSRFinput!$B:$E,4,0)=0,OR(H1744=MappingTables!$C$31,H1744=MappingTables!$C$32)),1,VLOOKUP(CONCATENATE($D1744,$G1744),CSRFinput!$B:$E,4,0)))</f>
        <v>0.054776304963434752</v>
      </c>
      <c r="S1744" s="73">
        <f>IF(B1744="",0,P1744*R1744)</f>
        <v>10.517507427895826</v>
      </c>
      <c r="T1744" s="85">
        <f>IF(B1744="",0,IF(OR(H1744=MappingTables!$C$34,H1744=MappingTables!$C$35),S1744,0))</f>
        <v>0</v>
      </c>
    </row>
    <row r="1745" spans="2:20" s="0" customFormat="0" ht="15">
      <c r="B1745" s="69" t="s">
        <v>3670</v>
      </c>
      <c r="C1745" s="70" t="s">
        <v>3671</v>
      </c>
      <c r="D1745" s="70" t="s">
        <v>1</v>
      </c>
      <c r="E1745" s="70" t="s">
        <v>1</v>
      </c>
      <c r="F1745" s="70"/>
      <c r="G1745" s="70" t="s">
        <v>61</v>
      </c>
      <c r="H1745" s="70" t="s">
        <v>178</v>
      </c>
      <c r="I1745" s="70" t="s">
        <v>204</v>
      </c>
      <c r="J1745" s="71">
        <f>IF(OR(I1745=0,I1745=""),"unrated",VLOOKUP(I1745,MappingTables!$B$19:$C$31,2,FALSE))</f>
        <v>6</v>
      </c>
      <c r="K1745" s="72">
        <v>16.487063838133914</v>
      </c>
      <c r="L1745" s="70">
        <v>0.068124084235254152</v>
      </c>
      <c r="M1745" s="71">
        <f>IF(L1745&lt;1,1,L1745)</f>
        <v>1</v>
      </c>
      <c r="N1745" s="70" t="s">
        <v>3288</v>
      </c>
      <c r="O1745" s="71">
        <f>IF(OR(I1745=$A$1,I1745=0),"",IF(N1745=MappingTables!$C$14,VLOOKUP(J1745,ModelParameters!$M$8:$N$15,2,FALSE),IF(N1745=MappingTables!$C$16,VLOOKUP(J1745,ModelParameters!$P$8:$Q$15,2,FALSE),0)))</f>
        <v>1</v>
      </c>
      <c r="P1745" s="73">
        <f>IF(OR(I1745=0,I1745=$A$1),0,MIN(O1745*M1745,1)*K1745)</f>
        <v>16.487063838133914</v>
      </c>
      <c r="Q1745" s="73">
        <f>IF(B1745="",0,IF(OR(H1745=MappingTables!$C$34,H1745=MappingTables!$C$35),P1745,0))</f>
        <v>0</v>
      </c>
      <c r="R1745" s="73">
        <f>IF(ISNA(IF(AND(VLOOKUP(CONCATENATE($D1745,$G1745),CSRFinput!$B:$E,4,0)=0,OR(H1745=MappingTables!$C$31,H1745=MappingTables!$C$32)),1,VLOOKUP(CONCATENATE($D1745,$G1745),CSRFinput!$B:$E,4,0))),0,IF(AND(VLOOKUP(CONCATENATE($D1745,$G1745),CSRFinput!$B:$E,4,0)=0,OR(H1745=MappingTables!$C$31,H1745=MappingTables!$C$32)),1,VLOOKUP(CONCATENATE($D1745,$G1745),CSRFinput!$B:$E,4,0)))</f>
        <v>0.054776304963434752</v>
      </c>
      <c r="S1745" s="73">
        <f>IF(B1745="",0,P1745*R1745)</f>
        <v>0.90310043674924032</v>
      </c>
      <c r="T1745" s="85">
        <f>IF(B1745="",0,IF(OR(H1745=MappingTables!$C$34,H1745=MappingTables!$C$35),S1745,0))</f>
        <v>0</v>
      </c>
    </row>
    <row r="1746" spans="2:20" s="0" customFormat="0" ht="15">
      <c r="B1746" s="69" t="s">
        <v>5133</v>
      </c>
      <c r="C1746" s="70" t="s">
        <v>5134</v>
      </c>
      <c r="D1746" s="70" t="s">
        <v>1</v>
      </c>
      <c r="E1746" s="70" t="s">
        <v>1</v>
      </c>
      <c r="F1746" s="70"/>
      <c r="G1746" s="70" t="s">
        <v>61</v>
      </c>
      <c r="H1746" s="70" t="s">
        <v>178</v>
      </c>
      <c r="I1746" s="70" t="s">
        <v>204</v>
      </c>
      <c r="J1746" s="71">
        <f>IF(OR(I1746=0,I1746=""),"unrated",VLOOKUP(I1746,MappingTables!$B$19:$C$31,2,FALSE))</f>
        <v>6</v>
      </c>
      <c r="K1746" s="72">
        <v>136.78391882944774</v>
      </c>
      <c r="L1746" s="70">
        <v>0.068495515160828216</v>
      </c>
      <c r="M1746" s="71">
        <f>IF(L1746&lt;1,1,L1746)</f>
        <v>1</v>
      </c>
      <c r="N1746" s="70" t="s">
        <v>3288</v>
      </c>
      <c r="O1746" s="71">
        <f>IF(OR(I1746=$A$1,I1746=0),"",IF(N1746=MappingTables!$C$14,VLOOKUP(J1746,ModelParameters!$M$8:$N$15,2,FALSE),IF(N1746=MappingTables!$C$16,VLOOKUP(J1746,ModelParameters!$P$8:$Q$15,2,FALSE),0)))</f>
        <v>1</v>
      </c>
      <c r="P1746" s="73">
        <f>IF(OR(I1746=0,I1746=$A$1),0,MIN(O1746*M1746,1)*K1746)</f>
        <v>136.78391882944774</v>
      </c>
      <c r="Q1746" s="73">
        <f>IF(B1746="",0,IF(OR(H1746=MappingTables!$C$34,H1746=MappingTables!$C$35),P1746,0))</f>
        <v>0</v>
      </c>
      <c r="R1746" s="73">
        <f>IF(ISNA(IF(AND(VLOOKUP(CONCATENATE($D1746,$G1746),CSRFinput!$B:$E,4,0)=0,OR(H1746=MappingTables!$C$31,H1746=MappingTables!$C$32)),1,VLOOKUP(CONCATENATE($D1746,$G1746),CSRFinput!$B:$E,4,0))),0,IF(AND(VLOOKUP(CONCATENATE($D1746,$G1746),CSRFinput!$B:$E,4,0)=0,OR(H1746=MappingTables!$C$31,H1746=MappingTables!$C$32)),1,VLOOKUP(CONCATENATE($D1746,$G1746),CSRFinput!$B:$E,4,0)))</f>
        <v>0.054776304963434752</v>
      </c>
      <c r="S1746" s="73">
        <f>IF(B1746="",0,P1746*R1746)</f>
        <v>7.492517651895536</v>
      </c>
      <c r="T1746" s="85">
        <f>IF(B1746="",0,IF(OR(H1746=MappingTables!$C$34,H1746=MappingTables!$C$35),S1746,0))</f>
        <v>0</v>
      </c>
    </row>
    <row r="1747" spans="2:20" s="0" customFormat="0" ht="15">
      <c r="B1747" s="69">
        <v>18746165</v>
      </c>
      <c r="C1747" s="70" t="s">
        <v>5135</v>
      </c>
      <c r="D1747" s="70" t="s">
        <v>1</v>
      </c>
      <c r="E1747" s="70" t="s">
        <v>1</v>
      </c>
      <c r="F1747" s="70"/>
      <c r="G1747" s="70" t="s">
        <v>61</v>
      </c>
      <c r="H1747" s="70" t="s">
        <v>178</v>
      </c>
      <c r="I1747" s="70" t="s">
        <v>216</v>
      </c>
      <c r="J1747" s="71">
        <f>IF(OR(I1747=0,I1747=""),"unrated",VLOOKUP(I1747,MappingTables!$B$19:$C$31,2,FALSE))</f>
        <v>0</v>
      </c>
      <c r="K1747" s="72">
        <v>1045.0397337017862</v>
      </c>
      <c r="L1747" s="70">
        <v>0.067460623384276872</v>
      </c>
      <c r="M1747" s="71">
        <f>IF(L1747&lt;1,1,L1747)</f>
        <v>1</v>
      </c>
      <c r="N1747" s="70" t="s">
        <v>3288</v>
      </c>
      <c r="O1747" s="71">
        <f>IF(OR(I1747=$A$1,I1747=0),"",IF(N1747=MappingTables!$C$14,VLOOKUP(J1747,ModelParameters!$M$8:$N$15,2,FALSE),IF(N1747=MappingTables!$C$16,VLOOKUP(J1747,ModelParameters!$P$8:$Q$15,2,FALSE),0)))</f>
        <v>0.125</v>
      </c>
      <c r="P1747" s="73">
        <f>IF(OR(I1747=0,I1747=$A$1),0,MIN(O1747*M1747,1)*K1747)</f>
        <v>130.62996671272328</v>
      </c>
      <c r="Q1747" s="73">
        <f>IF(B1747="",0,IF(OR(H1747=MappingTables!$C$34,H1747=MappingTables!$C$35),P1747,0))</f>
        <v>0</v>
      </c>
      <c r="R1747" s="73">
        <f>IF(ISNA(IF(AND(VLOOKUP(CONCATENATE($D1747,$G1747),CSRFinput!$B:$E,4,0)=0,OR(H1747=MappingTables!$C$31,H1747=MappingTables!$C$32)),1,VLOOKUP(CONCATENATE($D1747,$G1747),CSRFinput!$B:$E,4,0))),0,IF(AND(VLOOKUP(CONCATENATE($D1747,$G1747),CSRFinput!$B:$E,4,0)=0,OR(H1747=MappingTables!$C$31,H1747=MappingTables!$C$32)),1,VLOOKUP(CONCATENATE($D1747,$G1747),CSRFinput!$B:$E,4,0)))</f>
        <v>0.054776304963434752</v>
      </c>
      <c r="S1747" s="73">
        <f>IF(B1747="",0,P1747*R1747)</f>
        <v>7.1554268940194608</v>
      </c>
      <c r="T1747" s="85">
        <f>IF(B1747="",0,IF(OR(H1747=MappingTables!$C$34,H1747=MappingTables!$C$35),S1747,0))</f>
        <v>0</v>
      </c>
    </row>
    <row r="1748" spans="2:20" s="0" customFormat="0" ht="15">
      <c r="B1748" s="69" t="s">
        <v>5136</v>
      </c>
      <c r="C1748" s="70" t="s">
        <v>5137</v>
      </c>
      <c r="D1748" s="70" t="s">
        <v>1</v>
      </c>
      <c r="E1748" s="70" t="s">
        <v>1</v>
      </c>
      <c r="F1748" s="70"/>
      <c r="G1748" s="70" t="s">
        <v>61</v>
      </c>
      <c r="H1748" s="70" t="s">
        <v>178</v>
      </c>
      <c r="I1748" s="70" t="s">
        <v>216</v>
      </c>
      <c r="J1748" s="71">
        <f>IF(OR(I1748=0,I1748=""),"unrated",VLOOKUP(I1748,MappingTables!$B$19:$C$31,2,FALSE))</f>
        <v>0</v>
      </c>
      <c r="K1748" s="72">
        <v>1031.8278875654682</v>
      </c>
      <c r="L1748" s="70">
        <v>0.049316360440253184</v>
      </c>
      <c r="M1748" s="71">
        <f>IF(L1748&lt;1,1,L1748)</f>
        <v>1</v>
      </c>
      <c r="N1748" s="70" t="s">
        <v>3288</v>
      </c>
      <c r="O1748" s="71">
        <f>IF(OR(I1748=$A$1,I1748=0),"",IF(N1748=MappingTables!$C$14,VLOOKUP(J1748,ModelParameters!$M$8:$N$15,2,FALSE),IF(N1748=MappingTables!$C$16,VLOOKUP(J1748,ModelParameters!$P$8:$Q$15,2,FALSE),0)))</f>
        <v>0.125</v>
      </c>
      <c r="P1748" s="73">
        <f>IF(OR(I1748=0,I1748=$A$1),0,MIN(O1748*M1748,1)*K1748)</f>
        <v>128.97848594568354</v>
      </c>
      <c r="Q1748" s="73">
        <f>IF(B1748="",0,IF(OR(H1748=MappingTables!$C$34,H1748=MappingTables!$C$35),P1748,0))</f>
        <v>0</v>
      </c>
      <c r="R1748" s="73">
        <f>IF(ISNA(IF(AND(VLOOKUP(CONCATENATE($D1748,$G1748),CSRFinput!$B:$E,4,0)=0,OR(H1748=MappingTables!$C$31,H1748=MappingTables!$C$32)),1,VLOOKUP(CONCATENATE($D1748,$G1748),CSRFinput!$B:$E,4,0))),0,IF(AND(VLOOKUP(CONCATENATE($D1748,$G1748),CSRFinput!$B:$E,4,0)=0,OR(H1748=MappingTables!$C$31,H1748=MappingTables!$C$32)),1,VLOOKUP(CONCATENATE($D1748,$G1748),CSRFinput!$B:$E,4,0)))</f>
        <v>0.054776304963434752</v>
      </c>
      <c r="S1748" s="73">
        <f>IF(B1748="",0,P1748*R1748)</f>
        <v>7.0649648798828448</v>
      </c>
      <c r="T1748" s="85">
        <f>IF(B1748="",0,IF(OR(H1748=MappingTables!$C$34,H1748=MappingTables!$C$35),S1748,0))</f>
        <v>0</v>
      </c>
    </row>
    <row r="1749" spans="2:20" s="0" customFormat="0" ht="15">
      <c r="B1749" s="69" t="s">
        <v>3490</v>
      </c>
      <c r="C1749" s="70" t="s">
        <v>3491</v>
      </c>
      <c r="D1749" s="70" t="s">
        <v>1</v>
      </c>
      <c r="E1749" s="70" t="s">
        <v>1</v>
      </c>
      <c r="F1749" s="70"/>
      <c r="G1749" s="70" t="s">
        <v>61</v>
      </c>
      <c r="H1749" s="70" t="s">
        <v>178</v>
      </c>
      <c r="I1749" s="70" t="s">
        <v>188</v>
      </c>
      <c r="J1749" s="71">
        <f>IF(OR(I1749=0,I1749=""),"unrated",VLOOKUP(I1749,MappingTables!$B$19:$C$31,2,FALSE))</f>
        <v>2</v>
      </c>
      <c r="K1749" s="72">
        <v>44.25398945493524</v>
      </c>
      <c r="L1749" s="70">
        <v>0.068496457334723248</v>
      </c>
      <c r="M1749" s="71">
        <f>IF(L1749&lt;1,1,L1749)</f>
        <v>1</v>
      </c>
      <c r="N1749" s="70" t="s">
        <v>3288</v>
      </c>
      <c r="O1749" s="71">
        <f>IF(OR(I1749=$A$1,I1749=0),"",IF(N1749=MappingTables!$C$14,VLOOKUP(J1749,ModelParameters!$M$8:$N$15,2,FALSE),IF(N1749=MappingTables!$C$16,VLOOKUP(J1749,ModelParameters!$P$8:$Q$15,2,FALSE),0)))</f>
        <v>0.166</v>
      </c>
      <c r="P1749" s="73">
        <f>IF(OR(I1749=0,I1749=$A$1),0,MIN(O1749*M1749,1)*K1749)</f>
        <v>7.3461622495192496</v>
      </c>
      <c r="Q1749" s="73">
        <f>IF(B1749="",0,IF(OR(H1749=MappingTables!$C$34,H1749=MappingTables!$C$35),P1749,0))</f>
        <v>0</v>
      </c>
      <c r="R1749" s="73">
        <f>IF(ISNA(IF(AND(VLOOKUP(CONCATENATE($D1749,$G1749),CSRFinput!$B:$E,4,0)=0,OR(H1749=MappingTables!$C$31,H1749=MappingTables!$C$32)),1,VLOOKUP(CONCATENATE($D1749,$G1749),CSRFinput!$B:$E,4,0))),0,IF(AND(VLOOKUP(CONCATENATE($D1749,$G1749),CSRFinput!$B:$E,4,0)=0,OR(H1749=MappingTables!$C$31,H1749=MappingTables!$C$32)),1,VLOOKUP(CONCATENATE($D1749,$G1749),CSRFinput!$B:$E,4,0)))</f>
        <v>0.054776304963434752</v>
      </c>
      <c r="S1749" s="73">
        <f>IF(B1749="",0,P1749*R1749)</f>
        <v>0.40239562369053824</v>
      </c>
      <c r="T1749" s="85">
        <f>IF(B1749="",0,IF(OR(H1749=MappingTables!$C$34,H1749=MappingTables!$C$35),S1749,0))</f>
        <v>0</v>
      </c>
    </row>
    <row r="1750" spans="2:20" s="0" customFormat="0" ht="15">
      <c r="B1750" s="69" t="s">
        <v>5138</v>
      </c>
      <c r="C1750" s="70" t="s">
        <v>5139</v>
      </c>
      <c r="D1750" s="70" t="s">
        <v>1</v>
      </c>
      <c r="E1750" s="70" t="s">
        <v>1</v>
      </c>
      <c r="F1750" s="70"/>
      <c r="G1750" s="70" t="s">
        <v>61</v>
      </c>
      <c r="H1750" s="70" t="s">
        <v>178</v>
      </c>
      <c r="I1750" s="70" t="s">
        <v>179</v>
      </c>
      <c r="J1750" s="71">
        <f>IF(OR(I1750=0,I1750=""),"unrated",VLOOKUP(I1750,MappingTables!$B$19:$C$31,2,FALSE))</f>
        <v>4</v>
      </c>
      <c r="K1750" s="72">
        <v>4.8240035601369368</v>
      </c>
      <c r="L1750" s="70">
        <v>0.72269401480886288</v>
      </c>
      <c r="M1750" s="71">
        <f>IF(L1750&lt;1,1,L1750)</f>
        <v>1</v>
      </c>
      <c r="N1750" s="70" t="s">
        <v>3288</v>
      </c>
      <c r="O1750" s="71">
        <f>IF(OR(I1750=$A$1,I1750=0),"",IF(N1750=MappingTables!$C$14,VLOOKUP(J1750,ModelParameters!$M$8:$N$15,2,FALSE),IF(N1750=MappingTables!$C$16,VLOOKUP(J1750,ModelParameters!$P$8:$Q$15,2,FALSE),0)))</f>
        <v>0.82</v>
      </c>
      <c r="P1750" s="73">
        <f>IF(OR(I1750=0,I1750=$A$1),0,MIN(O1750*M1750,1)*K1750)</f>
        <v>3.955682919312288</v>
      </c>
      <c r="Q1750" s="73">
        <f>IF(B1750="",0,IF(OR(H1750=MappingTables!$C$34,H1750=MappingTables!$C$35),P1750,0))</f>
        <v>0</v>
      </c>
      <c r="R1750" s="73">
        <f>IF(ISNA(IF(AND(VLOOKUP(CONCATENATE($D1750,$G1750),CSRFinput!$B:$E,4,0)=0,OR(H1750=MappingTables!$C$31,H1750=MappingTables!$C$32)),1,VLOOKUP(CONCATENATE($D1750,$G1750),CSRFinput!$B:$E,4,0))),0,IF(AND(VLOOKUP(CONCATENATE($D1750,$G1750),CSRFinput!$B:$E,4,0)=0,OR(H1750=MappingTables!$C$31,H1750=MappingTables!$C$32)),1,VLOOKUP(CONCATENATE($D1750,$G1750),CSRFinput!$B:$E,4,0)))</f>
        <v>0.054776304963434752</v>
      </c>
      <c r="S1750" s="73">
        <f>IF(B1750="",0,P1750*R1750)</f>
        <v>0.21667769392689976</v>
      </c>
      <c r="T1750" s="85">
        <f>IF(B1750="",0,IF(OR(H1750=MappingTables!$C$34,H1750=MappingTables!$C$35),S1750,0))</f>
        <v>0</v>
      </c>
    </row>
    <row r="1751" spans="2:20" s="0" customFormat="0" ht="15">
      <c r="B1751" s="69" t="s">
        <v>4741</v>
      </c>
      <c r="C1751" s="70" t="s">
        <v>4742</v>
      </c>
      <c r="D1751" s="70" t="s">
        <v>1</v>
      </c>
      <c r="E1751" s="70" t="s">
        <v>1</v>
      </c>
      <c r="F1751" s="70"/>
      <c r="G1751" s="70" t="s">
        <v>61</v>
      </c>
      <c r="H1751" s="70" t="s">
        <v>178</v>
      </c>
      <c r="I1751" s="70" t="s">
        <v>204</v>
      </c>
      <c r="J1751" s="71">
        <f>IF(OR(I1751=0,I1751=""),"unrated",VLOOKUP(I1751,MappingTables!$B$19:$C$31,2,FALSE))</f>
        <v>6</v>
      </c>
      <c r="K1751" s="72">
        <v>99.245918094800448</v>
      </c>
      <c r="L1751" s="70">
        <v>0.068489459920867472</v>
      </c>
      <c r="M1751" s="71">
        <f>IF(L1751&lt;1,1,L1751)</f>
        <v>1</v>
      </c>
      <c r="N1751" s="70" t="s">
        <v>3288</v>
      </c>
      <c r="O1751" s="71">
        <f>IF(OR(I1751=$A$1,I1751=0),"",IF(N1751=MappingTables!$C$14,VLOOKUP(J1751,ModelParameters!$M$8:$N$15,2,FALSE),IF(N1751=MappingTables!$C$16,VLOOKUP(J1751,ModelParameters!$P$8:$Q$15,2,FALSE),0)))</f>
        <v>1</v>
      </c>
      <c r="P1751" s="73">
        <f>IF(OR(I1751=0,I1751=$A$1),0,MIN(O1751*M1751,1)*K1751)</f>
        <v>99.245918094800448</v>
      </c>
      <c r="Q1751" s="73">
        <f>IF(B1751="",0,IF(OR(H1751=MappingTables!$C$34,H1751=MappingTables!$C$35),P1751,0))</f>
        <v>0</v>
      </c>
      <c r="R1751" s="73">
        <f>IF(ISNA(IF(AND(VLOOKUP(CONCATENATE($D1751,$G1751),CSRFinput!$B:$E,4,0)=0,OR(H1751=MappingTables!$C$31,H1751=MappingTables!$C$32)),1,VLOOKUP(CONCATENATE($D1751,$G1751),CSRFinput!$B:$E,4,0))),0,IF(AND(VLOOKUP(CONCATENATE($D1751,$G1751),CSRFinput!$B:$E,4,0)=0,OR(H1751=MappingTables!$C$31,H1751=MappingTables!$C$32)),1,VLOOKUP(CONCATENATE($D1751,$G1751),CSRFinput!$B:$E,4,0)))</f>
        <v>0.054776304963434752</v>
      </c>
      <c r="S1751" s="73">
        <f>IF(B1751="",0,P1751*R1751)</f>
        <v>5.4363246759368568</v>
      </c>
      <c r="T1751" s="85">
        <f>IF(B1751="",0,IF(OR(H1751=MappingTables!$C$34,H1751=MappingTables!$C$35),S1751,0))</f>
        <v>0</v>
      </c>
    </row>
    <row r="1752" spans="2:20" s="0" customFormat="0" ht="15">
      <c r="B1752" s="69">
        <v>17619874</v>
      </c>
      <c r="C1752" s="70" t="s">
        <v>4013</v>
      </c>
      <c r="D1752" s="70" t="s">
        <v>1</v>
      </c>
      <c r="E1752" s="70" t="s">
        <v>1</v>
      </c>
      <c r="F1752" s="70"/>
      <c r="G1752" s="70" t="s">
        <v>61</v>
      </c>
      <c r="H1752" s="70" t="s">
        <v>178</v>
      </c>
      <c r="I1752" s="70" t="s">
        <v>216</v>
      </c>
      <c r="J1752" s="71">
        <f>IF(OR(I1752=0,I1752=""),"unrated",VLOOKUP(I1752,MappingTables!$B$19:$C$31,2,FALSE))</f>
        <v>0</v>
      </c>
      <c r="K1752" s="72">
        <v>1884.7053363895</v>
      </c>
      <c r="L1752" s="70">
        <v>0.038151996281011472</v>
      </c>
      <c r="M1752" s="71">
        <f>IF(L1752&lt;1,1,L1752)</f>
        <v>1</v>
      </c>
      <c r="N1752" s="70" t="s">
        <v>3288</v>
      </c>
      <c r="O1752" s="71">
        <f>IF(OR(I1752=$A$1,I1752=0),"",IF(N1752=MappingTables!$C$14,VLOOKUP(J1752,ModelParameters!$M$8:$N$15,2,FALSE),IF(N1752=MappingTables!$C$16,VLOOKUP(J1752,ModelParameters!$P$8:$Q$15,2,FALSE),0)))</f>
        <v>0.125</v>
      </c>
      <c r="P1752" s="73">
        <f>IF(OR(I1752=0,I1752=$A$1),0,MIN(O1752*M1752,1)*K1752)</f>
        <v>235.58816704868748</v>
      </c>
      <c r="Q1752" s="73">
        <f>IF(B1752="",0,IF(OR(H1752=MappingTables!$C$34,H1752=MappingTables!$C$35),P1752,0))</f>
        <v>0</v>
      </c>
      <c r="R1752" s="73">
        <f>IF(ISNA(IF(AND(VLOOKUP(CONCATENATE($D1752,$G1752),CSRFinput!$B:$E,4,0)=0,OR(H1752=MappingTables!$C$31,H1752=MappingTables!$C$32)),1,VLOOKUP(CONCATENATE($D1752,$G1752),CSRFinput!$B:$E,4,0))),0,IF(AND(VLOOKUP(CONCATENATE($D1752,$G1752),CSRFinput!$B:$E,4,0)=0,OR(H1752=MappingTables!$C$31,H1752=MappingTables!$C$32)),1,VLOOKUP(CONCATENATE($D1752,$G1752),CSRFinput!$B:$E,4,0)))</f>
        <v>0.054776304963434752</v>
      </c>
      <c r="S1752" s="73">
        <f>IF(B1752="",0,P1752*R1752)</f>
        <v>12.904649284035516</v>
      </c>
      <c r="T1752" s="85">
        <f>IF(B1752="",0,IF(OR(H1752=MappingTables!$C$34,H1752=MappingTables!$C$35),S1752,0))</f>
        <v>0</v>
      </c>
    </row>
    <row r="1753" spans="2:20" s="0" customFormat="0" ht="15">
      <c r="B1753" s="69" t="s">
        <v>5023</v>
      </c>
      <c r="C1753" s="70" t="s">
        <v>5024</v>
      </c>
      <c r="D1753" s="70" t="s">
        <v>1</v>
      </c>
      <c r="E1753" s="70" t="s">
        <v>1</v>
      </c>
      <c r="F1753" s="70"/>
      <c r="G1753" s="70" t="s">
        <v>61</v>
      </c>
      <c r="H1753" s="70" t="s">
        <v>178</v>
      </c>
      <c r="I1753" s="70" t="s">
        <v>198</v>
      </c>
      <c r="J1753" s="71" t="str">
        <f>IF(OR(I1753=0,I1753=""),"unrated",VLOOKUP(I1753,MappingTables!$B$19:$C$31,2,FALSE))</f>
        <v>unrated</v>
      </c>
      <c r="K1753" s="72">
        <v>19316.85149636762</v>
      </c>
      <c r="L1753" s="70">
        <v>11.13055935901707</v>
      </c>
      <c r="M1753" s="71">
        <f>IF(L1753&lt;1,1,L1753)</f>
        <v>11.13055935901707</v>
      </c>
      <c r="N1753" s="70" t="s">
        <v>3288</v>
      </c>
      <c r="O1753" s="71">
        <f>IF(OR(I1753=$A$1,I1753=0),"",IF(N1753=MappingTables!$C$14,VLOOKUP(J1753,ModelParameters!$M$8:$N$15,2,FALSE),IF(N1753=MappingTables!$C$16,VLOOKUP(J1753,ModelParameters!$P$8:$Q$15,2,FALSE),0)))</f>
        <v>1</v>
      </c>
      <c r="P1753" s="73">
        <f>IF(OR(I1753=0,I1753=$A$1),0,MIN(O1753*M1753,1)*K1753)</f>
        <v>19316.85149636762</v>
      </c>
      <c r="Q1753" s="73">
        <f>IF(B1753="",0,IF(OR(H1753=MappingTables!$C$34,H1753=MappingTables!$C$35),P1753,0))</f>
        <v>0</v>
      </c>
      <c r="R1753" s="73">
        <f>IF(ISNA(IF(AND(VLOOKUP(CONCATENATE($D1753,$G1753),CSRFinput!$B:$E,4,0)=0,OR(H1753=MappingTables!$C$31,H1753=MappingTables!$C$32)),1,VLOOKUP(CONCATENATE($D1753,$G1753),CSRFinput!$B:$E,4,0))),0,IF(AND(VLOOKUP(CONCATENATE($D1753,$G1753),CSRFinput!$B:$E,4,0)=0,OR(H1753=MappingTables!$C$31,H1753=MappingTables!$C$32)),1,VLOOKUP(CONCATENATE($D1753,$G1753),CSRFinput!$B:$E,4,0)))</f>
        <v>0.054776304963434752</v>
      </c>
      <c r="S1753" s="73">
        <f>IF(B1753="",0,P1753*R1753)</f>
        <v>1058.1057484984138</v>
      </c>
      <c r="T1753" s="85">
        <f>IF(B1753="",0,IF(OR(H1753=MappingTables!$C$34,H1753=MappingTables!$C$35),S1753,0))</f>
        <v>0</v>
      </c>
    </row>
    <row r="1754" spans="2:20" s="0" customFormat="0" ht="15">
      <c r="B1754" s="69" t="s">
        <v>5140</v>
      </c>
      <c r="C1754" s="70" t="s">
        <v>5141</v>
      </c>
      <c r="D1754" s="70" t="s">
        <v>1</v>
      </c>
      <c r="E1754" s="70" t="s">
        <v>1</v>
      </c>
      <c r="F1754" s="70"/>
      <c r="G1754" s="70" t="s">
        <v>61</v>
      </c>
      <c r="H1754" s="70" t="s">
        <v>178</v>
      </c>
      <c r="I1754" s="70" t="s">
        <v>3298</v>
      </c>
      <c r="J1754" s="71">
        <f>IF(OR(I1754=0,I1754=""),"unrated",VLOOKUP(I1754,MappingTables!$B$19:$C$31,2,FALSE))</f>
        <v>6</v>
      </c>
      <c r="K1754" s="72">
        <v>139.91714320104206</v>
      </c>
      <c r="L1754" s="70">
        <v>0.068492653932906672</v>
      </c>
      <c r="M1754" s="71">
        <f>IF(L1754&lt;1,1,L1754)</f>
        <v>1</v>
      </c>
      <c r="N1754" s="70" t="s">
        <v>3288</v>
      </c>
      <c r="O1754" s="71">
        <f>IF(OR(I1754=$A$1,I1754=0),"",IF(N1754=MappingTables!$C$14,VLOOKUP(J1754,ModelParameters!$M$8:$N$15,2,FALSE),IF(N1754=MappingTables!$C$16,VLOOKUP(J1754,ModelParameters!$P$8:$Q$15,2,FALSE),0)))</f>
        <v>1</v>
      </c>
      <c r="P1754" s="73">
        <f>IF(OR(I1754=0,I1754=$A$1),0,MIN(O1754*M1754,1)*K1754)</f>
        <v>139.91714320104206</v>
      </c>
      <c r="Q1754" s="73">
        <f>IF(B1754="",0,IF(OR(H1754=MappingTables!$C$34,H1754=MappingTables!$C$35),P1754,0))</f>
        <v>0</v>
      </c>
      <c r="R1754" s="73">
        <f>IF(ISNA(IF(AND(VLOOKUP(CONCATENATE($D1754,$G1754),CSRFinput!$B:$E,4,0)=0,OR(H1754=MappingTables!$C$31,H1754=MappingTables!$C$32)),1,VLOOKUP(CONCATENATE($D1754,$G1754),CSRFinput!$B:$E,4,0))),0,IF(AND(VLOOKUP(CONCATENATE($D1754,$G1754),CSRFinput!$B:$E,4,0)=0,OR(H1754=MappingTables!$C$31,H1754=MappingTables!$C$32)),1,VLOOKUP(CONCATENATE($D1754,$G1754),CSRFinput!$B:$E,4,0)))</f>
        <v>0.054776304963434752</v>
      </c>
      <c r="S1754" s="73">
        <f>IF(B1754="",0,P1754*R1754)</f>
        <v>7.6641441055928512</v>
      </c>
      <c r="T1754" s="85">
        <f>IF(B1754="",0,IF(OR(H1754=MappingTables!$C$34,H1754=MappingTables!$C$35),S1754,0))</f>
        <v>0</v>
      </c>
    </row>
    <row r="1755" spans="2:20" s="0" customFormat="0" ht="15">
      <c r="B1755" s="69">
        <v>12130969</v>
      </c>
      <c r="C1755" s="70" t="s">
        <v>3747</v>
      </c>
      <c r="D1755" s="70" t="s">
        <v>1</v>
      </c>
      <c r="E1755" s="70" t="s">
        <v>1</v>
      </c>
      <c r="F1755" s="70"/>
      <c r="G1755" s="70" t="s">
        <v>61</v>
      </c>
      <c r="H1755" s="70" t="s">
        <v>178</v>
      </c>
      <c r="I1755" s="70" t="s">
        <v>220</v>
      </c>
      <c r="J1755" s="71">
        <f>IF(OR(I1755=0,I1755=""),"unrated",VLOOKUP(I1755,MappingTables!$B$19:$C$31,2,FALSE))</f>
        <v>1</v>
      </c>
      <c r="K1755" s="72">
        <v>1315.1205329356876</v>
      </c>
      <c r="L1755" s="70">
        <v>0.14641522760118408</v>
      </c>
      <c r="M1755" s="71">
        <f>IF(L1755&lt;1,1,L1755)</f>
        <v>1</v>
      </c>
      <c r="N1755" s="70" t="s">
        <v>3288</v>
      </c>
      <c r="O1755" s="71">
        <f>IF(OR(I1755=$A$1,I1755=0),"",IF(N1755=MappingTables!$C$14,VLOOKUP(J1755,ModelParameters!$M$8:$N$15,2,FALSE),IF(N1755=MappingTables!$C$16,VLOOKUP(J1755,ModelParameters!$P$8:$Q$15,2,FALSE),0)))</f>
        <v>0.134</v>
      </c>
      <c r="P1755" s="73">
        <f>IF(OR(I1755=0,I1755=$A$1),0,MIN(O1755*M1755,1)*K1755)</f>
        <v>176.22615141338216</v>
      </c>
      <c r="Q1755" s="73">
        <f>IF(B1755="",0,IF(OR(H1755=MappingTables!$C$34,H1755=MappingTables!$C$35),P1755,0))</f>
        <v>0</v>
      </c>
      <c r="R1755" s="73">
        <f>IF(ISNA(IF(AND(VLOOKUP(CONCATENATE($D1755,$G1755),CSRFinput!$B:$E,4,0)=0,OR(H1755=MappingTables!$C$31,H1755=MappingTables!$C$32)),1,VLOOKUP(CONCATENATE($D1755,$G1755),CSRFinput!$B:$E,4,0))),0,IF(AND(VLOOKUP(CONCATENATE($D1755,$G1755),CSRFinput!$B:$E,4,0)=0,OR(H1755=MappingTables!$C$31,H1755=MappingTables!$C$32)),1,VLOOKUP(CONCATENATE($D1755,$G1755),CSRFinput!$B:$E,4,0)))</f>
        <v>0.054776304963434752</v>
      </c>
      <c r="S1755" s="73">
        <f>IF(B1755="",0,P1755*R1755)</f>
        <v>9.6530174123518496</v>
      </c>
      <c r="T1755" s="85">
        <f>IF(B1755="",0,IF(OR(H1755=MappingTables!$C$34,H1755=MappingTables!$C$35),S1755,0))</f>
        <v>0</v>
      </c>
    </row>
    <row r="1756" spans="2:20" s="0" customFormat="0" ht="15">
      <c r="B1756" s="69" t="s">
        <v>5142</v>
      </c>
      <c r="C1756" s="70" t="s">
        <v>5143</v>
      </c>
      <c r="D1756" s="70" t="s">
        <v>1</v>
      </c>
      <c r="E1756" s="70" t="s">
        <v>1</v>
      </c>
      <c r="F1756" s="70"/>
      <c r="G1756" s="70" t="s">
        <v>61</v>
      </c>
      <c r="H1756" s="70" t="s">
        <v>178</v>
      </c>
      <c r="I1756" s="70" t="s">
        <v>216</v>
      </c>
      <c r="J1756" s="71">
        <f>IF(OR(I1756=0,I1756=""),"unrated",VLOOKUP(I1756,MappingTables!$B$19:$C$31,2,FALSE))</f>
        <v>0</v>
      </c>
      <c r="K1756" s="72">
        <v>5904.77497134204</v>
      </c>
      <c r="L1756" s="70">
        <v>0.055913582525524064</v>
      </c>
      <c r="M1756" s="71">
        <f>IF(L1756&lt;1,1,L1756)</f>
        <v>1</v>
      </c>
      <c r="N1756" s="70" t="s">
        <v>3288</v>
      </c>
      <c r="O1756" s="71">
        <f>IF(OR(I1756=$A$1,I1756=0),"",IF(N1756=MappingTables!$C$14,VLOOKUP(J1756,ModelParameters!$M$8:$N$15,2,FALSE),IF(N1756=MappingTables!$C$16,VLOOKUP(J1756,ModelParameters!$P$8:$Q$15,2,FALSE),0)))</f>
        <v>0.125</v>
      </c>
      <c r="P1756" s="73">
        <f>IF(OR(I1756=0,I1756=$A$1),0,MIN(O1756*M1756,1)*K1756)</f>
        <v>738.09687141775504</v>
      </c>
      <c r="Q1756" s="73">
        <f>IF(B1756="",0,IF(OR(H1756=MappingTables!$C$34,H1756=MappingTables!$C$35),P1756,0))</f>
        <v>0</v>
      </c>
      <c r="R1756" s="73">
        <f>IF(ISNA(IF(AND(VLOOKUP(CONCATENATE($D1756,$G1756),CSRFinput!$B:$E,4,0)=0,OR(H1756=MappingTables!$C$31,H1756=MappingTables!$C$32)),1,VLOOKUP(CONCATENATE($D1756,$G1756),CSRFinput!$B:$E,4,0))),0,IF(AND(VLOOKUP(CONCATENATE($D1756,$G1756),CSRFinput!$B:$E,4,0)=0,OR(H1756=MappingTables!$C$31,H1756=MappingTables!$C$32)),1,VLOOKUP(CONCATENATE($D1756,$G1756),CSRFinput!$B:$E,4,0)))</f>
        <v>0.054776304963434752</v>
      </c>
      <c r="S1756" s="73">
        <f>IF(B1756="",0,P1756*R1756)</f>
        <v>40.430219321336032</v>
      </c>
      <c r="T1756" s="85">
        <f>IF(B1756="",0,IF(OR(H1756=MappingTables!$C$34,H1756=MappingTables!$C$35),S1756,0))</f>
        <v>0</v>
      </c>
    </row>
    <row r="1757" spans="2:20" s="0" customFormat="0" ht="15">
      <c r="B1757" s="69" t="s">
        <v>5144</v>
      </c>
      <c r="C1757" s="70" t="s">
        <v>5145</v>
      </c>
      <c r="D1757" s="70" t="s">
        <v>1</v>
      </c>
      <c r="E1757" s="70" t="s">
        <v>1</v>
      </c>
      <c r="F1757" s="70"/>
      <c r="G1757" s="70" t="s">
        <v>61</v>
      </c>
      <c r="H1757" s="70" t="s">
        <v>178</v>
      </c>
      <c r="I1757" s="70" t="s">
        <v>181</v>
      </c>
      <c r="J1757" s="71">
        <f>IF(OR(I1757=0,I1757=""),"unrated",VLOOKUP(I1757,MappingTables!$B$19:$C$31,2,FALSE))</f>
        <v>3</v>
      </c>
      <c r="K1757" s="72">
        <v>3230.1799855573508</v>
      </c>
      <c r="L1757" s="70">
        <v>5.6864333120026832</v>
      </c>
      <c r="M1757" s="71">
        <f>IF(L1757&lt;1,1,L1757)</f>
        <v>5.6864333120026832</v>
      </c>
      <c r="N1757" s="70" t="s">
        <v>3288</v>
      </c>
      <c r="O1757" s="71">
        <f>IF(OR(I1757=$A$1,I1757=0),"",IF(N1757=MappingTables!$C$14,VLOOKUP(J1757,ModelParameters!$M$8:$N$15,2,FALSE),IF(N1757=MappingTables!$C$16,VLOOKUP(J1757,ModelParameters!$P$8:$Q$15,2,FALSE),0)))</f>
        <v>0.197</v>
      </c>
      <c r="P1757" s="73">
        <f>IF(OR(I1757=0,I1757=$A$1),0,MIN(O1757*M1757,1)*K1757)</f>
        <v>3230.1799855573508</v>
      </c>
      <c r="Q1757" s="73">
        <f>IF(B1757="",0,IF(OR(H1757=MappingTables!$C$34,H1757=MappingTables!$C$35),P1757,0))</f>
        <v>0</v>
      </c>
      <c r="R1757" s="73">
        <f>IF(ISNA(IF(AND(VLOOKUP(CONCATENATE($D1757,$G1757),CSRFinput!$B:$E,4,0)=0,OR(H1757=MappingTables!$C$31,H1757=MappingTables!$C$32)),1,VLOOKUP(CONCATENATE($D1757,$G1757),CSRFinput!$B:$E,4,0))),0,IF(AND(VLOOKUP(CONCATENATE($D1757,$G1757),CSRFinput!$B:$E,4,0)=0,OR(H1757=MappingTables!$C$31,H1757=MappingTables!$C$32)),1,VLOOKUP(CONCATENATE($D1757,$G1757),CSRFinput!$B:$E,4,0)))</f>
        <v>0.054776304963434752</v>
      </c>
      <c r="S1757" s="73">
        <f>IF(B1757="",0,P1757*R1757)</f>
        <v>176.93732397567272</v>
      </c>
      <c r="T1757" s="85">
        <f>IF(B1757="",0,IF(OR(H1757=MappingTables!$C$34,H1757=MappingTables!$C$35),S1757,0))</f>
        <v>0</v>
      </c>
    </row>
    <row r="1758" spans="2:20" s="0" customFormat="0" ht="15">
      <c r="B1758" s="69" t="s">
        <v>4724</v>
      </c>
      <c r="C1758" s="70" t="s">
        <v>4725</v>
      </c>
      <c r="D1758" s="70" t="s">
        <v>1</v>
      </c>
      <c r="E1758" s="70" t="s">
        <v>1</v>
      </c>
      <c r="F1758" s="70"/>
      <c r="G1758" s="70" t="s">
        <v>61</v>
      </c>
      <c r="H1758" s="70" t="s">
        <v>178</v>
      </c>
      <c r="I1758" s="70" t="s">
        <v>216</v>
      </c>
      <c r="J1758" s="71">
        <f>IF(OR(I1758=0,I1758=""),"unrated",VLOOKUP(I1758,MappingTables!$B$19:$C$31,2,FALSE))</f>
        <v>0</v>
      </c>
      <c r="K1758" s="72">
        <v>10.147179554556938</v>
      </c>
      <c r="L1758" s="70">
        <v>0.14518566824220322</v>
      </c>
      <c r="M1758" s="71">
        <f>IF(L1758&lt;1,1,L1758)</f>
        <v>1</v>
      </c>
      <c r="N1758" s="70" t="s">
        <v>3288</v>
      </c>
      <c r="O1758" s="71">
        <f>IF(OR(I1758=$A$1,I1758=0),"",IF(N1758=MappingTables!$C$14,VLOOKUP(J1758,ModelParameters!$M$8:$N$15,2,FALSE),IF(N1758=MappingTables!$C$16,VLOOKUP(J1758,ModelParameters!$P$8:$Q$15,2,FALSE),0)))</f>
        <v>0.125</v>
      </c>
      <c r="P1758" s="73">
        <f>IF(OR(I1758=0,I1758=$A$1),0,MIN(O1758*M1758,1)*K1758)</f>
        <v>1.2683974443196174</v>
      </c>
      <c r="Q1758" s="73">
        <f>IF(B1758="",0,IF(OR(H1758=MappingTables!$C$34,H1758=MappingTables!$C$35),P1758,0))</f>
        <v>0</v>
      </c>
      <c r="R1758" s="73">
        <f>IF(ISNA(IF(AND(VLOOKUP(CONCATENATE($D1758,$G1758),CSRFinput!$B:$E,4,0)=0,OR(H1758=MappingTables!$C$31,H1758=MappingTables!$C$32)),1,VLOOKUP(CONCATENATE($D1758,$G1758),CSRFinput!$B:$E,4,0))),0,IF(AND(VLOOKUP(CONCATENATE($D1758,$G1758),CSRFinput!$B:$E,4,0)=0,OR(H1758=MappingTables!$C$31,H1758=MappingTables!$C$32)),1,VLOOKUP(CONCATENATE($D1758,$G1758),CSRFinput!$B:$E,4,0)))</f>
        <v>0.054776304963434752</v>
      </c>
      <c r="S1758" s="73">
        <f>IF(B1758="",0,P1758*R1758)</f>
        <v>0.069478125224892608</v>
      </c>
      <c r="T1758" s="85">
        <f>IF(B1758="",0,IF(OR(H1758=MappingTables!$C$34,H1758=MappingTables!$C$35),S1758,0))</f>
        <v>0</v>
      </c>
    </row>
    <row r="1759" spans="2:20" s="0" customFormat="0" ht="15">
      <c r="B1759" s="69">
        <v>1551415</v>
      </c>
      <c r="C1759" s="70" t="s">
        <v>4863</v>
      </c>
      <c r="D1759" s="70" t="s">
        <v>1</v>
      </c>
      <c r="E1759" s="70" t="s">
        <v>1</v>
      </c>
      <c r="F1759" s="70"/>
      <c r="G1759" s="70" t="s">
        <v>61</v>
      </c>
      <c r="H1759" s="70" t="s">
        <v>178</v>
      </c>
      <c r="I1759" s="70" t="s">
        <v>198</v>
      </c>
      <c r="J1759" s="71" t="str">
        <f>IF(OR(I1759=0,I1759=""),"unrated",VLOOKUP(I1759,MappingTables!$B$19:$C$31,2,FALSE))</f>
        <v>unrated</v>
      </c>
      <c r="K1759" s="72">
        <v>96.997499953824256</v>
      </c>
      <c r="L1759" s="70">
        <v>0.068494493742581344</v>
      </c>
      <c r="M1759" s="71">
        <f>IF(L1759&lt;1,1,L1759)</f>
        <v>1</v>
      </c>
      <c r="N1759" s="70" t="s">
        <v>3288</v>
      </c>
      <c r="O1759" s="71">
        <f>IF(OR(I1759=$A$1,I1759=0),"",IF(N1759=MappingTables!$C$14,VLOOKUP(J1759,ModelParameters!$M$8:$N$15,2,FALSE),IF(N1759=MappingTables!$C$16,VLOOKUP(J1759,ModelParameters!$P$8:$Q$15,2,FALSE),0)))</f>
        <v>1</v>
      </c>
      <c r="P1759" s="73">
        <f>IF(OR(I1759=0,I1759=$A$1),0,MIN(O1759*M1759,1)*K1759)</f>
        <v>96.997499953824256</v>
      </c>
      <c r="Q1759" s="73">
        <f>IF(B1759="",0,IF(OR(H1759=MappingTables!$C$34,H1759=MappingTables!$C$35),P1759,0))</f>
        <v>0</v>
      </c>
      <c r="R1759" s="73">
        <f>IF(ISNA(IF(AND(VLOOKUP(CONCATENATE($D1759,$G1759),CSRFinput!$B:$E,4,0)=0,OR(H1759=MappingTables!$C$31,H1759=MappingTables!$C$32)),1,VLOOKUP(CONCATENATE($D1759,$G1759),CSRFinput!$B:$E,4,0))),0,IF(AND(VLOOKUP(CONCATENATE($D1759,$G1759),CSRFinput!$B:$E,4,0)=0,OR(H1759=MappingTables!$C$31,H1759=MappingTables!$C$32)),1,VLOOKUP(CONCATENATE($D1759,$G1759),CSRFinput!$B:$E,4,0)))</f>
        <v>0.054776304963434752</v>
      </c>
      <c r="S1759" s="73">
        <f>IF(B1759="",0,P1759*R1759)</f>
        <v>5.3131646381614264</v>
      </c>
      <c r="T1759" s="85">
        <f>IF(B1759="",0,IF(OR(H1759=MappingTables!$C$34,H1759=MappingTables!$C$35),S1759,0))</f>
        <v>0</v>
      </c>
    </row>
    <row r="1760" spans="2:20" s="0" customFormat="0" ht="15">
      <c r="B1760" s="69" t="s">
        <v>3618</v>
      </c>
      <c r="C1760" s="70" t="s">
        <v>3619</v>
      </c>
      <c r="D1760" s="70" t="s">
        <v>1</v>
      </c>
      <c r="E1760" s="70" t="s">
        <v>1</v>
      </c>
      <c r="F1760" s="70"/>
      <c r="G1760" s="70" t="s">
        <v>61</v>
      </c>
      <c r="H1760" s="70" t="s">
        <v>178</v>
      </c>
      <c r="I1760" s="70" t="s">
        <v>204</v>
      </c>
      <c r="J1760" s="71">
        <f>IF(OR(I1760=0,I1760=""),"unrated",VLOOKUP(I1760,MappingTables!$B$19:$C$31,2,FALSE))</f>
        <v>6</v>
      </c>
      <c r="K1760" s="72">
        <v>26.364760484098684</v>
      </c>
      <c r="L1760" s="70">
        <v>0.068495706983336528</v>
      </c>
      <c r="M1760" s="71">
        <f>IF(L1760&lt;1,1,L1760)</f>
        <v>1</v>
      </c>
      <c r="N1760" s="70" t="s">
        <v>3288</v>
      </c>
      <c r="O1760" s="71">
        <f>IF(OR(I1760=$A$1,I1760=0),"",IF(N1760=MappingTables!$C$14,VLOOKUP(J1760,ModelParameters!$M$8:$N$15,2,FALSE),IF(N1760=MappingTables!$C$16,VLOOKUP(J1760,ModelParameters!$P$8:$Q$15,2,FALSE),0)))</f>
        <v>1</v>
      </c>
      <c r="P1760" s="73">
        <f>IF(OR(I1760=0,I1760=$A$1),0,MIN(O1760*M1760,1)*K1760)</f>
        <v>26.364760484098684</v>
      </c>
      <c r="Q1760" s="73">
        <f>IF(B1760="",0,IF(OR(H1760=MappingTables!$C$34,H1760=MappingTables!$C$35),P1760,0))</f>
        <v>0</v>
      </c>
      <c r="R1760" s="73">
        <f>IF(ISNA(IF(AND(VLOOKUP(CONCATENATE($D1760,$G1760),CSRFinput!$B:$E,4,0)=0,OR(H1760=MappingTables!$C$31,H1760=MappingTables!$C$32)),1,VLOOKUP(CONCATENATE($D1760,$G1760),CSRFinput!$B:$E,4,0))),0,IF(AND(VLOOKUP(CONCATENATE($D1760,$G1760),CSRFinput!$B:$E,4,0)=0,OR(H1760=MappingTables!$C$31,H1760=MappingTables!$C$32)),1,VLOOKUP(CONCATENATE($D1760,$G1760),CSRFinput!$B:$E,4,0)))</f>
        <v>0.054776304963434752</v>
      </c>
      <c r="S1760" s="73">
        <f>IF(B1760="",0,P1760*R1760)</f>
        <v>1.4441641605649032</v>
      </c>
      <c r="T1760" s="85">
        <f>IF(B1760="",0,IF(OR(H1760=MappingTables!$C$34,H1760=MappingTables!$C$35),S1760,0))</f>
        <v>0</v>
      </c>
    </row>
    <row r="1761" spans="2:20" s="0" customFormat="0" ht="15">
      <c r="B1761" s="69" t="s">
        <v>4874</v>
      </c>
      <c r="C1761" s="70" t="s">
        <v>4875</v>
      </c>
      <c r="D1761" s="70" t="s">
        <v>1</v>
      </c>
      <c r="E1761" s="70" t="s">
        <v>1</v>
      </c>
      <c r="F1761" s="70"/>
      <c r="G1761" s="70" t="s">
        <v>61</v>
      </c>
      <c r="H1761" s="70" t="s">
        <v>178</v>
      </c>
      <c r="I1761" s="70" t="s">
        <v>204</v>
      </c>
      <c r="J1761" s="71">
        <f>IF(OR(I1761=0,I1761=""),"unrated",VLOOKUP(I1761,MappingTables!$B$19:$C$31,2,FALSE))</f>
        <v>6</v>
      </c>
      <c r="K1761" s="72">
        <v>162.86785477284488</v>
      </c>
      <c r="L1761" s="70">
        <v>0.068495210315722632</v>
      </c>
      <c r="M1761" s="71">
        <f>IF(L1761&lt;1,1,L1761)</f>
        <v>1</v>
      </c>
      <c r="N1761" s="70" t="s">
        <v>3288</v>
      </c>
      <c r="O1761" s="71">
        <f>IF(OR(I1761=$A$1,I1761=0),"",IF(N1761=MappingTables!$C$14,VLOOKUP(J1761,ModelParameters!$M$8:$N$15,2,FALSE),IF(N1761=MappingTables!$C$16,VLOOKUP(J1761,ModelParameters!$P$8:$Q$15,2,FALSE),0)))</f>
        <v>1</v>
      </c>
      <c r="P1761" s="73">
        <f>IF(OR(I1761=0,I1761=$A$1),0,MIN(O1761*M1761,1)*K1761)</f>
        <v>162.86785477284488</v>
      </c>
      <c r="Q1761" s="73">
        <f>IF(B1761="",0,IF(OR(H1761=MappingTables!$C$34,H1761=MappingTables!$C$35),P1761,0))</f>
        <v>0</v>
      </c>
      <c r="R1761" s="73">
        <f>IF(ISNA(IF(AND(VLOOKUP(CONCATENATE($D1761,$G1761),CSRFinput!$B:$E,4,0)=0,OR(H1761=MappingTables!$C$31,H1761=MappingTables!$C$32)),1,VLOOKUP(CONCATENATE($D1761,$G1761),CSRFinput!$B:$E,4,0))),0,IF(AND(VLOOKUP(CONCATENATE($D1761,$G1761),CSRFinput!$B:$E,4,0)=0,OR(H1761=MappingTables!$C$31,H1761=MappingTables!$C$32)),1,VLOOKUP(CONCATENATE($D1761,$G1761),CSRFinput!$B:$E,4,0)))</f>
        <v>0.054776304963434752</v>
      </c>
      <c r="S1761" s="73">
        <f>IF(B1761="",0,P1761*R1761)</f>
        <v>8.9212992817777536</v>
      </c>
      <c r="T1761" s="85">
        <f>IF(B1761="",0,IF(OR(H1761=MappingTables!$C$34,H1761=MappingTables!$C$35),S1761,0))</f>
        <v>0</v>
      </c>
    </row>
    <row r="1762" spans="2:20" s="0" customFormat="0" ht="15">
      <c r="B1762" s="69">
        <v>21301526</v>
      </c>
      <c r="C1762" s="70" t="s">
        <v>4755</v>
      </c>
      <c r="D1762" s="70" t="s">
        <v>1</v>
      </c>
      <c r="E1762" s="70" t="s">
        <v>1</v>
      </c>
      <c r="F1762" s="70"/>
      <c r="G1762" s="70" t="s">
        <v>61</v>
      </c>
      <c r="H1762" s="70" t="s">
        <v>178</v>
      </c>
      <c r="I1762" s="70" t="s">
        <v>216</v>
      </c>
      <c r="J1762" s="71">
        <f>IF(OR(I1762=0,I1762=""),"unrated",VLOOKUP(I1762,MappingTables!$B$19:$C$31,2,FALSE))</f>
        <v>0</v>
      </c>
      <c r="K1762" s="72">
        <v>91.608005720259216</v>
      </c>
      <c r="L1762" s="70">
        <v>2.4409479134235024</v>
      </c>
      <c r="M1762" s="71">
        <f>IF(L1762&lt;1,1,L1762)</f>
        <v>2.4409479134235024</v>
      </c>
      <c r="N1762" s="70" t="s">
        <v>3288</v>
      </c>
      <c r="O1762" s="71">
        <f>IF(OR(I1762=$A$1,I1762=0),"",IF(N1762=MappingTables!$C$14,VLOOKUP(J1762,ModelParameters!$M$8:$N$15,2,FALSE),IF(N1762=MappingTables!$C$16,VLOOKUP(J1762,ModelParameters!$P$8:$Q$15,2,FALSE),0)))</f>
        <v>0.125</v>
      </c>
      <c r="P1762" s="73">
        <f>IF(OR(I1762=0,I1762=$A$1),0,MIN(O1762*M1762,1)*K1762)</f>
        <v>27.95129630196938</v>
      </c>
      <c r="Q1762" s="73">
        <f>IF(B1762="",0,IF(OR(H1762=MappingTables!$C$34,H1762=MappingTables!$C$35),P1762,0))</f>
        <v>0</v>
      </c>
      <c r="R1762" s="73">
        <f>IF(ISNA(IF(AND(VLOOKUP(CONCATENATE($D1762,$G1762),CSRFinput!$B:$E,4,0)=0,OR(H1762=MappingTables!$C$31,H1762=MappingTables!$C$32)),1,VLOOKUP(CONCATENATE($D1762,$G1762),CSRFinput!$B:$E,4,0))),0,IF(AND(VLOOKUP(CONCATENATE($D1762,$G1762),CSRFinput!$B:$E,4,0)=0,OR(H1762=MappingTables!$C$31,H1762=MappingTables!$C$32)),1,VLOOKUP(CONCATENATE($D1762,$G1762),CSRFinput!$B:$E,4,0)))</f>
        <v>0.054776304963434752</v>
      </c>
      <c r="S1762" s="73">
        <f>IF(B1762="",0,P1762*R1762)</f>
        <v>1.5310687303600008</v>
      </c>
      <c r="T1762" s="85">
        <f>IF(B1762="",0,IF(OR(H1762=MappingTables!$C$34,H1762=MappingTables!$C$35),S1762,0))</f>
        <v>0</v>
      </c>
    </row>
    <row r="1763" spans="2:20" s="0" customFormat="0" ht="15">
      <c r="B1763" s="69" t="s">
        <v>4594</v>
      </c>
      <c r="C1763" s="70" t="s">
        <v>4595</v>
      </c>
      <c r="D1763" s="70" t="s">
        <v>1</v>
      </c>
      <c r="E1763" s="70" t="s">
        <v>1</v>
      </c>
      <c r="F1763" s="70"/>
      <c r="G1763" s="70" t="s">
        <v>61</v>
      </c>
      <c r="H1763" s="70" t="s">
        <v>178</v>
      </c>
      <c r="I1763" s="70" t="s">
        <v>198</v>
      </c>
      <c r="J1763" s="71" t="str">
        <f>IF(OR(I1763=0,I1763=""),"unrated",VLOOKUP(I1763,MappingTables!$B$19:$C$31,2,FALSE))</f>
        <v>unrated</v>
      </c>
      <c r="K1763" s="72">
        <v>50.527386237348448</v>
      </c>
      <c r="L1763" s="70">
        <v>0.068494429111469664</v>
      </c>
      <c r="M1763" s="71">
        <f>IF(L1763&lt;1,1,L1763)</f>
        <v>1</v>
      </c>
      <c r="N1763" s="70" t="s">
        <v>3288</v>
      </c>
      <c r="O1763" s="71">
        <f>IF(OR(I1763=$A$1,I1763=0),"",IF(N1763=MappingTables!$C$14,VLOOKUP(J1763,ModelParameters!$M$8:$N$15,2,FALSE),IF(N1763=MappingTables!$C$16,VLOOKUP(J1763,ModelParameters!$P$8:$Q$15,2,FALSE),0)))</f>
        <v>1</v>
      </c>
      <c r="P1763" s="73">
        <f>IF(OR(I1763=0,I1763=$A$1),0,MIN(O1763*M1763,1)*K1763)</f>
        <v>50.527386237348448</v>
      </c>
      <c r="Q1763" s="73">
        <f>IF(B1763="",0,IF(OR(H1763=MappingTables!$C$34,H1763=MappingTables!$C$35),P1763,0))</f>
        <v>0</v>
      </c>
      <c r="R1763" s="73">
        <f>IF(ISNA(IF(AND(VLOOKUP(CONCATENATE($D1763,$G1763),CSRFinput!$B:$E,4,0)=0,OR(H1763=MappingTables!$C$31,H1763=MappingTables!$C$32)),1,VLOOKUP(CONCATENATE($D1763,$G1763),CSRFinput!$B:$E,4,0))),0,IF(AND(VLOOKUP(CONCATENATE($D1763,$G1763),CSRFinput!$B:$E,4,0)=0,OR(H1763=MappingTables!$C$31,H1763=MappingTables!$C$32)),1,VLOOKUP(CONCATENATE($D1763,$G1763),CSRFinput!$B:$E,4,0)))</f>
        <v>0.054776304963434752</v>
      </c>
      <c r="S1763" s="73">
        <f>IF(B1763="",0,P1763*R1763)</f>
        <v>2.7677035175422548</v>
      </c>
      <c r="T1763" s="85">
        <f>IF(B1763="",0,IF(OR(H1763=MappingTables!$C$34,H1763=MappingTables!$C$35),S1763,0))</f>
        <v>0</v>
      </c>
    </row>
    <row r="1764" spans="2:20" s="0" customFormat="0" ht="15">
      <c r="B1764" s="69" t="s">
        <v>4963</v>
      </c>
      <c r="C1764" s="70" t="s">
        <v>4964</v>
      </c>
      <c r="D1764" s="70" t="s">
        <v>1</v>
      </c>
      <c r="E1764" s="70" t="s">
        <v>1</v>
      </c>
      <c r="F1764" s="70"/>
      <c r="G1764" s="70" t="s">
        <v>61</v>
      </c>
      <c r="H1764" s="70" t="s">
        <v>178</v>
      </c>
      <c r="I1764" s="70" t="s">
        <v>198</v>
      </c>
      <c r="J1764" s="71" t="str">
        <f>IF(OR(I1764=0,I1764=""),"unrated",VLOOKUP(I1764,MappingTables!$B$19:$C$31,2,FALSE))</f>
        <v>unrated</v>
      </c>
      <c r="K1764" s="72">
        <v>0.1762110534606468</v>
      </c>
      <c r="L1764" s="70">
        <v>27.123565293366948</v>
      </c>
      <c r="M1764" s="71">
        <f>IF(L1764&lt;1,1,L1764)</f>
        <v>27.123565293366948</v>
      </c>
      <c r="N1764" s="70" t="s">
        <v>3288</v>
      </c>
      <c r="O1764" s="71">
        <f>IF(OR(I1764=$A$1,I1764=0),"",IF(N1764=MappingTables!$C$14,VLOOKUP(J1764,ModelParameters!$M$8:$N$15,2,FALSE),IF(N1764=MappingTables!$C$16,VLOOKUP(J1764,ModelParameters!$P$8:$Q$15,2,FALSE),0)))</f>
        <v>1</v>
      </c>
      <c r="P1764" s="73">
        <f>IF(OR(I1764=0,I1764=$A$1),0,MIN(O1764*M1764,1)*K1764)</f>
        <v>0.1762110534606468</v>
      </c>
      <c r="Q1764" s="73">
        <f>IF(B1764="",0,IF(OR(H1764=MappingTables!$C$34,H1764=MappingTables!$C$35),P1764,0))</f>
        <v>0</v>
      </c>
      <c r="R1764" s="73">
        <f>IF(ISNA(IF(AND(VLOOKUP(CONCATENATE($D1764,$G1764),CSRFinput!$B:$E,4,0)=0,OR(H1764=MappingTables!$C$31,H1764=MappingTables!$C$32)),1,VLOOKUP(CONCATENATE($D1764,$G1764),CSRFinput!$B:$E,4,0))),0,IF(AND(VLOOKUP(CONCATENATE($D1764,$G1764),CSRFinput!$B:$E,4,0)=0,OR(H1764=MappingTables!$C$31,H1764=MappingTables!$C$32)),1,VLOOKUP(CONCATENATE($D1764,$G1764),CSRFinput!$B:$E,4,0)))</f>
        <v>0.054776304963434752</v>
      </c>
      <c r="S1764" s="73">
        <f>IF(B1764="",0,P1764*R1764)</f>
        <v>0.0096521904022884944</v>
      </c>
      <c r="T1764" s="85">
        <f>IF(B1764="",0,IF(OR(H1764=MappingTables!$C$34,H1764=MappingTables!$C$35),S1764,0))</f>
        <v>0</v>
      </c>
    </row>
    <row r="1765" spans="2:20" s="0" customFormat="0" ht="15">
      <c r="B1765" s="69" t="s">
        <v>3905</v>
      </c>
      <c r="C1765" s="70" t="s">
        <v>3906</v>
      </c>
      <c r="D1765" s="70" t="s">
        <v>1</v>
      </c>
      <c r="E1765" s="70" t="s">
        <v>1</v>
      </c>
      <c r="F1765" s="70"/>
      <c r="G1765" s="70" t="s">
        <v>61</v>
      </c>
      <c r="H1765" s="70" t="s">
        <v>178</v>
      </c>
      <c r="I1765" s="70" t="s">
        <v>3298</v>
      </c>
      <c r="J1765" s="71">
        <f>IF(OR(I1765=0,I1765=""),"unrated",VLOOKUP(I1765,MappingTables!$B$19:$C$31,2,FALSE))</f>
        <v>6</v>
      </c>
      <c r="K1765" s="72">
        <v>105.64230190550408</v>
      </c>
      <c r="L1765" s="70">
        <v>-1.9636994856586728</v>
      </c>
      <c r="M1765" s="71">
        <f>IF(L1765&lt;1,1,L1765)</f>
        <v>1</v>
      </c>
      <c r="N1765" s="70" t="s">
        <v>3288</v>
      </c>
      <c r="O1765" s="71">
        <f>IF(OR(I1765=$A$1,I1765=0),"",IF(N1765=MappingTables!$C$14,VLOOKUP(J1765,ModelParameters!$M$8:$N$15,2,FALSE),IF(N1765=MappingTables!$C$16,VLOOKUP(J1765,ModelParameters!$P$8:$Q$15,2,FALSE),0)))</f>
        <v>1</v>
      </c>
      <c r="P1765" s="73">
        <f>IF(OR(I1765=0,I1765=$A$1),0,MIN(O1765*M1765,1)*K1765)</f>
        <v>105.64230190550408</v>
      </c>
      <c r="Q1765" s="73">
        <f>IF(B1765="",0,IF(OR(H1765=MappingTables!$C$34,H1765=MappingTables!$C$35),P1765,0))</f>
        <v>0</v>
      </c>
      <c r="R1765" s="73">
        <f>IF(ISNA(IF(AND(VLOOKUP(CONCATENATE($D1765,$G1765),CSRFinput!$B:$E,4,0)=0,OR(H1765=MappingTables!$C$31,H1765=MappingTables!$C$32)),1,VLOOKUP(CONCATENATE($D1765,$G1765),CSRFinput!$B:$E,4,0))),0,IF(AND(VLOOKUP(CONCATENATE($D1765,$G1765),CSRFinput!$B:$E,4,0)=0,OR(H1765=MappingTables!$C$31,H1765=MappingTables!$C$32)),1,VLOOKUP(CONCATENATE($D1765,$G1765),CSRFinput!$B:$E,4,0)))</f>
        <v>0.054776304963434752</v>
      </c>
      <c r="S1765" s="73">
        <f>IF(B1765="",0,P1765*R1765)</f>
        <v>5.786694946215136</v>
      </c>
      <c r="T1765" s="85">
        <f>IF(B1765="",0,IF(OR(H1765=MappingTables!$C$34,H1765=MappingTables!$C$35),S1765,0))</f>
        <v>0</v>
      </c>
    </row>
    <row r="1766" spans="2:20" s="0" customFormat="0" ht="15">
      <c r="B1766" s="69" t="s">
        <v>4634</v>
      </c>
      <c r="C1766" s="70" t="s">
        <v>4635</v>
      </c>
      <c r="D1766" s="70" t="s">
        <v>1</v>
      </c>
      <c r="E1766" s="70" t="s">
        <v>1</v>
      </c>
      <c r="F1766" s="70"/>
      <c r="G1766" s="70" t="s">
        <v>61</v>
      </c>
      <c r="H1766" s="70" t="s">
        <v>178</v>
      </c>
      <c r="I1766" s="70" t="s">
        <v>3298</v>
      </c>
      <c r="J1766" s="71">
        <f>IF(OR(I1766=0,I1766=""),"unrated",VLOOKUP(I1766,MappingTables!$B$19:$C$31,2,FALSE))</f>
        <v>6</v>
      </c>
      <c r="K1766" s="72">
        <v>6267.277894502288</v>
      </c>
      <c r="L1766" s="70">
        <v>0.068493780722259408</v>
      </c>
      <c r="M1766" s="71">
        <f>IF(L1766&lt;1,1,L1766)</f>
        <v>1</v>
      </c>
      <c r="N1766" s="70" t="s">
        <v>3288</v>
      </c>
      <c r="O1766" s="71">
        <f>IF(OR(I1766=$A$1,I1766=0),"",IF(N1766=MappingTables!$C$14,VLOOKUP(J1766,ModelParameters!$M$8:$N$15,2,FALSE),IF(N1766=MappingTables!$C$16,VLOOKUP(J1766,ModelParameters!$P$8:$Q$15,2,FALSE),0)))</f>
        <v>1</v>
      </c>
      <c r="P1766" s="73">
        <f>IF(OR(I1766=0,I1766=$A$1),0,MIN(O1766*M1766,1)*K1766)</f>
        <v>6267.277894502288</v>
      </c>
      <c r="Q1766" s="73">
        <f>IF(B1766="",0,IF(OR(H1766=MappingTables!$C$34,H1766=MappingTables!$C$35),P1766,0))</f>
        <v>0</v>
      </c>
      <c r="R1766" s="73">
        <f>IF(ISNA(IF(AND(VLOOKUP(CONCATENATE($D1766,$G1766),CSRFinput!$B:$E,4,0)=0,OR(H1766=MappingTables!$C$31,H1766=MappingTables!$C$32)),1,VLOOKUP(CONCATENATE($D1766,$G1766),CSRFinput!$B:$E,4,0))),0,IF(AND(VLOOKUP(CONCATENATE($D1766,$G1766),CSRFinput!$B:$E,4,0)=0,OR(H1766=MappingTables!$C$31,H1766=MappingTables!$C$32)),1,VLOOKUP(CONCATENATE($D1766,$G1766),CSRFinput!$B:$E,4,0)))</f>
        <v>0.054776304963434752</v>
      </c>
      <c r="S1766" s="73">
        <f>IF(B1766="",0,P1766*R1766)</f>
        <v>343.2983252398506</v>
      </c>
      <c r="T1766" s="85">
        <f>IF(B1766="",0,IF(OR(H1766=MappingTables!$C$34,H1766=MappingTables!$C$35),S1766,0))</f>
        <v>0</v>
      </c>
    </row>
    <row r="1767" spans="2:20" s="0" customFormat="0" ht="15">
      <c r="B1767" s="69">
        <v>22554249</v>
      </c>
      <c r="C1767" s="70" t="s">
        <v>5146</v>
      </c>
      <c r="D1767" s="70" t="s">
        <v>1</v>
      </c>
      <c r="E1767" s="70" t="s">
        <v>1</v>
      </c>
      <c r="F1767" s="70"/>
      <c r="G1767" s="70" t="s">
        <v>61</v>
      </c>
      <c r="H1767" s="70" t="s">
        <v>178</v>
      </c>
      <c r="I1767" s="70" t="s">
        <v>216</v>
      </c>
      <c r="J1767" s="71">
        <f>IF(OR(I1767=0,I1767=""),"unrated",VLOOKUP(I1767,MappingTables!$B$19:$C$31,2,FALSE))</f>
        <v>0</v>
      </c>
      <c r="K1767" s="72">
        <v>4.6493188893527024</v>
      </c>
      <c r="L1767" s="70">
        <v>0.013642089179857998</v>
      </c>
      <c r="M1767" s="71">
        <f>IF(L1767&lt;1,1,L1767)</f>
        <v>1</v>
      </c>
      <c r="N1767" s="70" t="s">
        <v>3288</v>
      </c>
      <c r="O1767" s="71">
        <f>IF(OR(I1767=$A$1,I1767=0),"",IF(N1767=MappingTables!$C$14,VLOOKUP(J1767,ModelParameters!$M$8:$N$15,2,FALSE),IF(N1767=MappingTables!$C$16,VLOOKUP(J1767,ModelParameters!$P$8:$Q$15,2,FALSE),0)))</f>
        <v>0.125</v>
      </c>
      <c r="P1767" s="73">
        <f>IF(OR(I1767=0,I1767=$A$1),0,MIN(O1767*M1767,1)*K1767)</f>
        <v>0.58116486116908784</v>
      </c>
      <c r="Q1767" s="73">
        <f>IF(B1767="",0,IF(OR(H1767=MappingTables!$C$34,H1767=MappingTables!$C$35),P1767,0))</f>
        <v>0</v>
      </c>
      <c r="R1767" s="73">
        <f>IF(ISNA(IF(AND(VLOOKUP(CONCATENATE($D1767,$G1767),CSRFinput!$B:$E,4,0)=0,OR(H1767=MappingTables!$C$31,H1767=MappingTables!$C$32)),1,VLOOKUP(CONCATENATE($D1767,$G1767),CSRFinput!$B:$E,4,0))),0,IF(AND(VLOOKUP(CONCATENATE($D1767,$G1767),CSRFinput!$B:$E,4,0)=0,OR(H1767=MappingTables!$C$31,H1767=MappingTables!$C$32)),1,VLOOKUP(CONCATENATE($D1767,$G1767),CSRFinput!$B:$E,4,0)))</f>
        <v>0.054776304963434752</v>
      </c>
      <c r="S1767" s="73">
        <f>IF(B1767="",0,P1767*R1767)</f>
        <v>0.031834063669430172</v>
      </c>
      <c r="T1767" s="85">
        <f>IF(B1767="",0,IF(OR(H1767=MappingTables!$C$34,H1767=MappingTables!$C$35),S1767,0))</f>
        <v>0</v>
      </c>
    </row>
    <row r="1768" spans="2:20" s="0" customFormat="0" ht="15">
      <c r="B1768" s="69" t="s">
        <v>4298</v>
      </c>
      <c r="C1768" s="70" t="s">
        <v>4299</v>
      </c>
      <c r="D1768" s="70" t="s">
        <v>1</v>
      </c>
      <c r="E1768" s="70" t="s">
        <v>1</v>
      </c>
      <c r="F1768" s="70"/>
      <c r="G1768" s="70" t="s">
        <v>61</v>
      </c>
      <c r="H1768" s="70" t="s">
        <v>178</v>
      </c>
      <c r="I1768" s="70" t="s">
        <v>198</v>
      </c>
      <c r="J1768" s="71" t="str">
        <f>IF(OR(I1768=0,I1768=""),"unrated",VLOOKUP(I1768,MappingTables!$B$19:$C$31,2,FALSE))</f>
        <v>unrated</v>
      </c>
      <c r="K1768" s="72">
        <v>21127.321709924936</v>
      </c>
      <c r="L1768" s="70">
        <v>21.471809923159876</v>
      </c>
      <c r="M1768" s="71">
        <f>IF(L1768&lt;1,1,L1768)</f>
        <v>21.471809923159876</v>
      </c>
      <c r="N1768" s="70" t="s">
        <v>3288</v>
      </c>
      <c r="O1768" s="71">
        <f>IF(OR(I1768=$A$1,I1768=0),"",IF(N1768=MappingTables!$C$14,VLOOKUP(J1768,ModelParameters!$M$8:$N$15,2,FALSE),IF(N1768=MappingTables!$C$16,VLOOKUP(J1768,ModelParameters!$P$8:$Q$15,2,FALSE),0)))</f>
        <v>1</v>
      </c>
      <c r="P1768" s="73">
        <f>IF(OR(I1768=0,I1768=$A$1),0,MIN(O1768*M1768,1)*K1768)</f>
        <v>21127.321709924936</v>
      </c>
      <c r="Q1768" s="73">
        <f>IF(B1768="",0,IF(OR(H1768=MappingTables!$C$34,H1768=MappingTables!$C$35),P1768,0))</f>
        <v>0</v>
      </c>
      <c r="R1768" s="73">
        <f>IF(ISNA(IF(AND(VLOOKUP(CONCATENATE($D1768,$G1768),CSRFinput!$B:$E,4,0)=0,OR(H1768=MappingTables!$C$31,H1768=MappingTables!$C$32)),1,VLOOKUP(CONCATENATE($D1768,$G1768),CSRFinput!$B:$E,4,0))),0,IF(AND(VLOOKUP(CONCATENATE($D1768,$G1768),CSRFinput!$B:$E,4,0)=0,OR(H1768=MappingTables!$C$31,H1768=MappingTables!$C$32)),1,VLOOKUP(CONCATENATE($D1768,$G1768),CSRFinput!$B:$E,4,0)))</f>
        <v>0.054776304963434752</v>
      </c>
      <c r="S1768" s="73">
        <f>IF(B1768="",0,P1768*R1768)</f>
        <v>1157.2766170434442</v>
      </c>
      <c r="T1768" s="85">
        <f>IF(B1768="",0,IF(OR(H1768=MappingTables!$C$34,H1768=MappingTables!$C$35),S1768,0))</f>
        <v>0</v>
      </c>
    </row>
    <row r="1769" spans="2:20" s="0" customFormat="0" ht="15">
      <c r="B1769" s="69" t="s">
        <v>4714</v>
      </c>
      <c r="C1769" s="70" t="s">
        <v>4715</v>
      </c>
      <c r="D1769" s="70" t="s">
        <v>1</v>
      </c>
      <c r="E1769" s="70" t="s">
        <v>1</v>
      </c>
      <c r="F1769" s="70"/>
      <c r="G1769" s="70" t="s">
        <v>61</v>
      </c>
      <c r="H1769" s="70" t="s">
        <v>178</v>
      </c>
      <c r="I1769" s="70" t="s">
        <v>198</v>
      </c>
      <c r="J1769" s="71" t="str">
        <f>IF(OR(I1769=0,I1769=""),"unrated",VLOOKUP(I1769,MappingTables!$B$19:$C$31,2,FALSE))</f>
        <v>unrated</v>
      </c>
      <c r="K1769" s="72">
        <v>2.4774046283956316</v>
      </c>
      <c r="L1769" s="70">
        <v>37.654876653701432</v>
      </c>
      <c r="M1769" s="71">
        <f>IF(L1769&lt;1,1,L1769)</f>
        <v>37.654876653701432</v>
      </c>
      <c r="N1769" s="70" t="s">
        <v>3288</v>
      </c>
      <c r="O1769" s="71">
        <f>IF(OR(I1769=$A$1,I1769=0),"",IF(N1769=MappingTables!$C$14,VLOOKUP(J1769,ModelParameters!$M$8:$N$15,2,FALSE),IF(N1769=MappingTables!$C$16,VLOOKUP(J1769,ModelParameters!$P$8:$Q$15,2,FALSE),0)))</f>
        <v>1</v>
      </c>
      <c r="P1769" s="73">
        <f>IF(OR(I1769=0,I1769=$A$1),0,MIN(O1769*M1769,1)*K1769)</f>
        <v>2.4774046283956316</v>
      </c>
      <c r="Q1769" s="73">
        <f>IF(B1769="",0,IF(OR(H1769=MappingTables!$C$34,H1769=MappingTables!$C$35),P1769,0))</f>
        <v>0</v>
      </c>
      <c r="R1769" s="73">
        <f>IF(ISNA(IF(AND(VLOOKUP(CONCATENATE($D1769,$G1769),CSRFinput!$B:$E,4,0)=0,OR(H1769=MappingTables!$C$31,H1769=MappingTables!$C$32)),1,VLOOKUP(CONCATENATE($D1769,$G1769),CSRFinput!$B:$E,4,0))),0,IF(AND(VLOOKUP(CONCATENATE($D1769,$G1769),CSRFinput!$B:$E,4,0)=0,OR(H1769=MappingTables!$C$31,H1769=MappingTables!$C$32)),1,VLOOKUP(CONCATENATE($D1769,$G1769),CSRFinput!$B:$E,4,0)))</f>
        <v>0.054776304963434752</v>
      </c>
      <c r="S1769" s="73">
        <f>IF(B1769="",0,P1769*R1769)</f>
        <v>0.13570307144282386</v>
      </c>
      <c r="T1769" s="85">
        <f>IF(B1769="",0,IF(OR(H1769=MappingTables!$C$34,H1769=MappingTables!$C$35),S1769,0))</f>
        <v>0</v>
      </c>
    </row>
    <row r="1770" spans="2:20" s="0" customFormat="0" ht="15">
      <c r="B1770" s="69">
        <v>22623674</v>
      </c>
      <c r="C1770" s="70" t="s">
        <v>3399</v>
      </c>
      <c r="D1770" s="70" t="s">
        <v>1</v>
      </c>
      <c r="E1770" s="70" t="s">
        <v>1</v>
      </c>
      <c r="F1770" s="70"/>
      <c r="G1770" s="70" t="s">
        <v>61</v>
      </c>
      <c r="H1770" s="70" t="s">
        <v>178</v>
      </c>
      <c r="I1770" s="70" t="s">
        <v>198</v>
      </c>
      <c r="J1770" s="71" t="str">
        <f>IF(OR(I1770=0,I1770=""),"unrated",VLOOKUP(I1770,MappingTables!$B$19:$C$31,2,FALSE))</f>
        <v>unrated</v>
      </c>
      <c r="K1770" s="72">
        <v>30.49308664136936</v>
      </c>
      <c r="L1770" s="70">
        <v>0.068495926746259192</v>
      </c>
      <c r="M1770" s="71">
        <f>IF(L1770&lt;1,1,L1770)</f>
        <v>1</v>
      </c>
      <c r="N1770" s="70" t="s">
        <v>3288</v>
      </c>
      <c r="O1770" s="71">
        <f>IF(OR(I1770=$A$1,I1770=0),"",IF(N1770=MappingTables!$C$14,VLOOKUP(J1770,ModelParameters!$M$8:$N$15,2,FALSE),IF(N1770=MappingTables!$C$16,VLOOKUP(J1770,ModelParameters!$P$8:$Q$15,2,FALSE),0)))</f>
        <v>1</v>
      </c>
      <c r="P1770" s="73">
        <f>IF(OR(I1770=0,I1770=$A$1),0,MIN(O1770*M1770,1)*K1770)</f>
        <v>30.49308664136936</v>
      </c>
      <c r="Q1770" s="73">
        <f>IF(B1770="",0,IF(OR(H1770=MappingTables!$C$34,H1770=MappingTables!$C$35),P1770,0))</f>
        <v>0</v>
      </c>
      <c r="R1770" s="73">
        <f>IF(ISNA(IF(AND(VLOOKUP(CONCATENATE($D1770,$G1770),CSRFinput!$B:$E,4,0)=0,OR(H1770=MappingTables!$C$31,H1770=MappingTables!$C$32)),1,VLOOKUP(CONCATENATE($D1770,$G1770),CSRFinput!$B:$E,4,0))),0,IF(AND(VLOOKUP(CONCATENATE($D1770,$G1770),CSRFinput!$B:$E,4,0)=0,OR(H1770=MappingTables!$C$31,H1770=MappingTables!$C$32)),1,VLOOKUP(CONCATENATE($D1770,$G1770),CSRFinput!$B:$E,4,0)))</f>
        <v>0.054776304963434752</v>
      </c>
      <c r="S1770" s="73">
        <f>IF(B1770="",0,P1770*R1770)</f>
        <v>1.6702986131440864</v>
      </c>
      <c r="T1770" s="85">
        <f>IF(B1770="",0,IF(OR(H1770=MappingTables!$C$34,H1770=MappingTables!$C$35),S1770,0))</f>
        <v>0</v>
      </c>
    </row>
    <row r="1771" spans="2:20" s="0" customFormat="0" ht="15">
      <c r="B1771" s="69" t="s">
        <v>4821</v>
      </c>
      <c r="C1771" s="70" t="s">
        <v>4822</v>
      </c>
      <c r="D1771" s="70" t="s">
        <v>1</v>
      </c>
      <c r="E1771" s="70" t="s">
        <v>1</v>
      </c>
      <c r="F1771" s="70"/>
      <c r="G1771" s="70" t="s">
        <v>61</v>
      </c>
      <c r="H1771" s="70" t="s">
        <v>178</v>
      </c>
      <c r="I1771" s="70" t="s">
        <v>198</v>
      </c>
      <c r="J1771" s="71" t="str">
        <f>IF(OR(I1771=0,I1771=""),"unrated",VLOOKUP(I1771,MappingTables!$B$19:$C$31,2,FALSE))</f>
        <v>unrated</v>
      </c>
      <c r="K1771" s="72">
        <v>181.75634734093784</v>
      </c>
      <c r="L1771" s="70">
        <v>0.068493458094929864</v>
      </c>
      <c r="M1771" s="71">
        <f>IF(L1771&lt;1,1,L1771)</f>
        <v>1</v>
      </c>
      <c r="N1771" s="70" t="s">
        <v>3288</v>
      </c>
      <c r="O1771" s="71">
        <f>IF(OR(I1771=$A$1,I1771=0),"",IF(N1771=MappingTables!$C$14,VLOOKUP(J1771,ModelParameters!$M$8:$N$15,2,FALSE),IF(N1771=MappingTables!$C$16,VLOOKUP(J1771,ModelParameters!$P$8:$Q$15,2,FALSE),0)))</f>
        <v>1</v>
      </c>
      <c r="P1771" s="73">
        <f>IF(OR(I1771=0,I1771=$A$1),0,MIN(O1771*M1771,1)*K1771)</f>
        <v>181.75634734093784</v>
      </c>
      <c r="Q1771" s="73">
        <f>IF(B1771="",0,IF(OR(H1771=MappingTables!$C$34,H1771=MappingTables!$C$35),P1771,0))</f>
        <v>0</v>
      </c>
      <c r="R1771" s="73">
        <f>IF(ISNA(IF(AND(VLOOKUP(CONCATENATE($D1771,$G1771),CSRFinput!$B:$E,4,0)=0,OR(H1771=MappingTables!$C$31,H1771=MappingTables!$C$32)),1,VLOOKUP(CONCATENATE($D1771,$G1771),CSRFinput!$B:$E,4,0))),0,IF(AND(VLOOKUP(CONCATENATE($D1771,$G1771),CSRFinput!$B:$E,4,0)=0,OR(H1771=MappingTables!$C$31,H1771=MappingTables!$C$32)),1,VLOOKUP(CONCATENATE($D1771,$G1771),CSRFinput!$B:$E,4,0)))</f>
        <v>0.054776304963434752</v>
      </c>
      <c r="S1771" s="73">
        <f>IF(B1771="",0,P1771*R1771)</f>
        <v>9.9559411109871856</v>
      </c>
      <c r="T1771" s="85">
        <f>IF(B1771="",0,IF(OR(H1771=MappingTables!$C$34,H1771=MappingTables!$C$35),S1771,0))</f>
        <v>0</v>
      </c>
    </row>
    <row r="1772" spans="2:20" s="0" customFormat="0" ht="15">
      <c r="B1772" s="69">
        <v>21382664</v>
      </c>
      <c r="C1772" s="70" t="s">
        <v>4544</v>
      </c>
      <c r="D1772" s="70" t="s">
        <v>1</v>
      </c>
      <c r="E1772" s="70" t="s">
        <v>1</v>
      </c>
      <c r="F1772" s="70"/>
      <c r="G1772" s="70" t="s">
        <v>61</v>
      </c>
      <c r="H1772" s="70" t="s">
        <v>178</v>
      </c>
      <c r="I1772" s="70" t="s">
        <v>216</v>
      </c>
      <c r="J1772" s="71">
        <f>IF(OR(I1772=0,I1772=""),"unrated",VLOOKUP(I1772,MappingTables!$B$19:$C$31,2,FALSE))</f>
        <v>0</v>
      </c>
      <c r="K1772" s="72">
        <v>1599.2809788361556</v>
      </c>
      <c r="L1772" s="70">
        <v>0.023443048858404368</v>
      </c>
      <c r="M1772" s="71">
        <f>IF(L1772&lt;1,1,L1772)</f>
        <v>1</v>
      </c>
      <c r="N1772" s="70" t="s">
        <v>3288</v>
      </c>
      <c r="O1772" s="71">
        <f>IF(OR(I1772=$A$1,I1772=0),"",IF(N1772=MappingTables!$C$14,VLOOKUP(J1772,ModelParameters!$M$8:$N$15,2,FALSE),IF(N1772=MappingTables!$C$16,VLOOKUP(J1772,ModelParameters!$P$8:$Q$15,2,FALSE),0)))</f>
        <v>0.125</v>
      </c>
      <c r="P1772" s="73">
        <f>IF(OR(I1772=0,I1772=$A$1),0,MIN(O1772*M1772,1)*K1772)</f>
        <v>199.91012235451944</v>
      </c>
      <c r="Q1772" s="73">
        <f>IF(B1772="",0,IF(OR(H1772=MappingTables!$C$34,H1772=MappingTables!$C$35),P1772,0))</f>
        <v>0</v>
      </c>
      <c r="R1772" s="73">
        <f>IF(ISNA(IF(AND(VLOOKUP(CONCATENATE($D1772,$G1772),CSRFinput!$B:$E,4,0)=0,OR(H1772=MappingTables!$C$31,H1772=MappingTables!$C$32)),1,VLOOKUP(CONCATENATE($D1772,$G1772),CSRFinput!$B:$E,4,0))),0,IF(AND(VLOOKUP(CONCATENATE($D1772,$G1772),CSRFinput!$B:$E,4,0)=0,OR(H1772=MappingTables!$C$31,H1772=MappingTables!$C$32)),1,VLOOKUP(CONCATENATE($D1772,$G1772),CSRFinput!$B:$E,4,0)))</f>
        <v>0.054776304963434752</v>
      </c>
      <c r="S1772" s="73">
        <f>IF(B1772="",0,P1772*R1772)</f>
        <v>10.950337827368712</v>
      </c>
      <c r="T1772" s="85">
        <f>IF(B1772="",0,IF(OR(H1772=MappingTables!$C$34,H1772=MappingTables!$C$35),S1772,0))</f>
        <v>0</v>
      </c>
    </row>
    <row r="1773" spans="2:20" s="0" customFormat="0" ht="15">
      <c r="B1773" s="69" t="s">
        <v>5147</v>
      </c>
      <c r="C1773" s="70" t="s">
        <v>5148</v>
      </c>
      <c r="D1773" s="70" t="s">
        <v>1</v>
      </c>
      <c r="E1773" s="70" t="s">
        <v>1</v>
      </c>
      <c r="F1773" s="70"/>
      <c r="G1773" s="70" t="s">
        <v>61</v>
      </c>
      <c r="H1773" s="70" t="s">
        <v>178</v>
      </c>
      <c r="I1773" s="70" t="s">
        <v>184</v>
      </c>
      <c r="J1773" s="71">
        <f>IF(OR(I1773=0,I1773=""),"unrated",VLOOKUP(I1773,MappingTables!$B$19:$C$31,2,FALSE))</f>
        <v>5</v>
      </c>
      <c r="K1773" s="72">
        <v>7710.7817862199072</v>
      </c>
      <c r="L1773" s="70">
        <v>4.8759057777341096</v>
      </c>
      <c r="M1773" s="71">
        <f>IF(L1773&lt;1,1,L1773)</f>
        <v>4.8759057777341096</v>
      </c>
      <c r="N1773" s="70" t="s">
        <v>3288</v>
      </c>
      <c r="O1773" s="71">
        <f>IF(OR(I1773=$A$1,I1773=0),"",IF(N1773=MappingTables!$C$14,VLOOKUP(J1773,ModelParameters!$M$8:$N$15,2,FALSE),IF(N1773=MappingTables!$C$16,VLOOKUP(J1773,ModelParameters!$P$8:$Q$15,2,FALSE),0)))</f>
        <v>1</v>
      </c>
      <c r="P1773" s="73">
        <f>IF(OR(I1773=0,I1773=$A$1),0,MIN(O1773*M1773,1)*K1773)</f>
        <v>7710.7817862199072</v>
      </c>
      <c r="Q1773" s="73">
        <f>IF(B1773="",0,IF(OR(H1773=MappingTables!$C$34,H1773=MappingTables!$C$35),P1773,0))</f>
        <v>0</v>
      </c>
      <c r="R1773" s="73">
        <f>IF(ISNA(IF(AND(VLOOKUP(CONCATENATE($D1773,$G1773),CSRFinput!$B:$E,4,0)=0,OR(H1773=MappingTables!$C$31,H1773=MappingTables!$C$32)),1,VLOOKUP(CONCATENATE($D1773,$G1773),CSRFinput!$B:$E,4,0))),0,IF(AND(VLOOKUP(CONCATENATE($D1773,$G1773),CSRFinput!$B:$E,4,0)=0,OR(H1773=MappingTables!$C$31,H1773=MappingTables!$C$32)),1,VLOOKUP(CONCATENATE($D1773,$G1773),CSRFinput!$B:$E,4,0)))</f>
        <v>0.054776304963434752</v>
      </c>
      <c r="S1773" s="73">
        <f>IF(B1773="",0,P1773*R1773)</f>
        <v>422.36813462847984</v>
      </c>
      <c r="T1773" s="85">
        <f>IF(B1773="",0,IF(OR(H1773=MappingTables!$C$34,H1773=MappingTables!$C$35),S1773,0))</f>
        <v>0</v>
      </c>
    </row>
    <row r="1774" spans="2:20" s="0" customFormat="0" ht="15">
      <c r="B1774" s="69">
        <v>22554268</v>
      </c>
      <c r="C1774" s="70" t="s">
        <v>4592</v>
      </c>
      <c r="D1774" s="70" t="s">
        <v>1</v>
      </c>
      <c r="E1774" s="70" t="s">
        <v>1</v>
      </c>
      <c r="F1774" s="70"/>
      <c r="G1774" s="70" t="s">
        <v>61</v>
      </c>
      <c r="H1774" s="70" t="s">
        <v>178</v>
      </c>
      <c r="I1774" s="70" t="s">
        <v>216</v>
      </c>
      <c r="J1774" s="71">
        <f>IF(OR(I1774=0,I1774=""),"unrated",VLOOKUP(I1774,MappingTables!$B$19:$C$31,2,FALSE))</f>
        <v>0</v>
      </c>
      <c r="K1774" s="72">
        <v>22.098585569076212</v>
      </c>
      <c r="L1774" s="70">
        <v>0.1321421474459497</v>
      </c>
      <c r="M1774" s="71">
        <f>IF(L1774&lt;1,1,L1774)</f>
        <v>1</v>
      </c>
      <c r="N1774" s="70" t="s">
        <v>3288</v>
      </c>
      <c r="O1774" s="71">
        <f>IF(OR(I1774=$A$1,I1774=0),"",IF(N1774=MappingTables!$C$14,VLOOKUP(J1774,ModelParameters!$M$8:$N$15,2,FALSE),IF(N1774=MappingTables!$C$16,VLOOKUP(J1774,ModelParameters!$P$8:$Q$15,2,FALSE),0)))</f>
        <v>0.125</v>
      </c>
      <c r="P1774" s="73">
        <f>IF(OR(I1774=0,I1774=$A$1),0,MIN(O1774*M1774,1)*K1774)</f>
        <v>2.7623231961345268</v>
      </c>
      <c r="Q1774" s="73">
        <f>IF(B1774="",0,IF(OR(H1774=MappingTables!$C$34,H1774=MappingTables!$C$35),P1774,0))</f>
        <v>0</v>
      </c>
      <c r="R1774" s="73">
        <f>IF(ISNA(IF(AND(VLOOKUP(CONCATENATE($D1774,$G1774),CSRFinput!$B:$E,4,0)=0,OR(H1774=MappingTables!$C$31,H1774=MappingTables!$C$32)),1,VLOOKUP(CONCATENATE($D1774,$G1774),CSRFinput!$B:$E,4,0))),0,IF(AND(VLOOKUP(CONCATENATE($D1774,$G1774),CSRFinput!$B:$E,4,0)=0,OR(H1774=MappingTables!$C$31,H1774=MappingTables!$C$32)),1,VLOOKUP(CONCATENATE($D1774,$G1774),CSRFinput!$B:$E,4,0)))</f>
        <v>0.054776304963434752</v>
      </c>
      <c r="S1774" s="73">
        <f>IF(B1774="",0,P1774*R1774)</f>
        <v>0.15130985779903464</v>
      </c>
      <c r="T1774" s="85">
        <f>IF(B1774="",0,IF(OR(H1774=MappingTables!$C$34,H1774=MappingTables!$C$35),S1774,0))</f>
        <v>0</v>
      </c>
    </row>
    <row r="1775" spans="2:20" s="0" customFormat="0" ht="15">
      <c r="B1775" s="69">
        <v>18746165</v>
      </c>
      <c r="C1775" s="70" t="s">
        <v>5135</v>
      </c>
      <c r="D1775" s="70" t="s">
        <v>1</v>
      </c>
      <c r="E1775" s="70" t="s">
        <v>1</v>
      </c>
      <c r="F1775" s="70"/>
      <c r="G1775" s="70" t="s">
        <v>61</v>
      </c>
      <c r="H1775" s="70" t="s">
        <v>178</v>
      </c>
      <c r="I1775" s="70" t="s">
        <v>216</v>
      </c>
      <c r="J1775" s="71">
        <f>IF(OR(I1775=0,I1775=""),"unrated",VLOOKUP(I1775,MappingTables!$B$19:$C$31,2,FALSE))</f>
        <v>0</v>
      </c>
      <c r="K1775" s="72">
        <v>492.6950480729308</v>
      </c>
      <c r="L1775" s="70">
        <v>0.06746062338427404</v>
      </c>
      <c r="M1775" s="71">
        <f>IF(L1775&lt;1,1,L1775)</f>
        <v>1</v>
      </c>
      <c r="N1775" s="70" t="s">
        <v>3288</v>
      </c>
      <c r="O1775" s="71">
        <f>IF(OR(I1775=$A$1,I1775=0),"",IF(N1775=MappingTables!$C$14,VLOOKUP(J1775,ModelParameters!$M$8:$N$15,2,FALSE),IF(N1775=MappingTables!$C$16,VLOOKUP(J1775,ModelParameters!$P$8:$Q$15,2,FALSE),0)))</f>
        <v>0.125</v>
      </c>
      <c r="P1775" s="73">
        <f>IF(OR(I1775=0,I1775=$A$1),0,MIN(O1775*M1775,1)*K1775)</f>
        <v>61.586881009116352</v>
      </c>
      <c r="Q1775" s="73">
        <f>IF(B1775="",0,IF(OR(H1775=MappingTables!$C$34,H1775=MappingTables!$C$35),P1775,0))</f>
        <v>0</v>
      </c>
      <c r="R1775" s="73">
        <f>IF(ISNA(IF(AND(VLOOKUP(CONCATENATE($D1775,$G1775),CSRFinput!$B:$E,4,0)=0,OR(H1775=MappingTables!$C$31,H1775=MappingTables!$C$32)),1,VLOOKUP(CONCATENATE($D1775,$G1775),CSRFinput!$B:$E,4,0))),0,IF(AND(VLOOKUP(CONCATENATE($D1775,$G1775),CSRFinput!$B:$E,4,0)=0,OR(H1775=MappingTables!$C$31,H1775=MappingTables!$C$32)),1,VLOOKUP(CONCATENATE($D1775,$G1775),CSRFinput!$B:$E,4,0)))</f>
        <v>0.054776304963434752</v>
      </c>
      <c r="S1775" s="73">
        <f>IF(B1775="",0,P1775*R1775)</f>
        <v>3.3735017759021256</v>
      </c>
      <c r="T1775" s="85">
        <f>IF(B1775="",0,IF(OR(H1775=MappingTables!$C$34,H1775=MappingTables!$C$35),S1775,0))</f>
        <v>0</v>
      </c>
    </row>
    <row r="1776" spans="2:20" s="0" customFormat="0" ht="15">
      <c r="B1776" s="69">
        <v>1551608</v>
      </c>
      <c r="C1776" s="70" t="s">
        <v>5149</v>
      </c>
      <c r="D1776" s="70" t="s">
        <v>1</v>
      </c>
      <c r="E1776" s="70" t="s">
        <v>1</v>
      </c>
      <c r="F1776" s="70"/>
      <c r="G1776" s="70" t="s">
        <v>61</v>
      </c>
      <c r="H1776" s="70" t="s">
        <v>178</v>
      </c>
      <c r="I1776" s="70" t="s">
        <v>198</v>
      </c>
      <c r="J1776" s="71" t="str">
        <f>IF(OR(I1776=0,I1776=""),"unrated",VLOOKUP(I1776,MappingTables!$B$19:$C$31,2,FALSE))</f>
        <v>unrated</v>
      </c>
      <c r="K1776" s="72">
        <v>5.3197097616919832</v>
      </c>
      <c r="L1776" s="70">
        <v>0.068490876016991192</v>
      </c>
      <c r="M1776" s="71">
        <f>IF(L1776&lt;1,1,L1776)</f>
        <v>1</v>
      </c>
      <c r="N1776" s="70" t="s">
        <v>3288</v>
      </c>
      <c r="O1776" s="71">
        <f>IF(OR(I1776=$A$1,I1776=0),"",IF(N1776=MappingTables!$C$14,VLOOKUP(J1776,ModelParameters!$M$8:$N$15,2,FALSE),IF(N1776=MappingTables!$C$16,VLOOKUP(J1776,ModelParameters!$P$8:$Q$15,2,FALSE),0)))</f>
        <v>1</v>
      </c>
      <c r="P1776" s="73">
        <f>IF(OR(I1776=0,I1776=$A$1),0,MIN(O1776*M1776,1)*K1776)</f>
        <v>5.3197097616919832</v>
      </c>
      <c r="Q1776" s="73">
        <f>IF(B1776="",0,IF(OR(H1776=MappingTables!$C$34,H1776=MappingTables!$C$35),P1776,0))</f>
        <v>0</v>
      </c>
      <c r="R1776" s="73">
        <f>IF(ISNA(IF(AND(VLOOKUP(CONCATENATE($D1776,$G1776),CSRFinput!$B:$E,4,0)=0,OR(H1776=MappingTables!$C$31,H1776=MappingTables!$C$32)),1,VLOOKUP(CONCATENATE($D1776,$G1776),CSRFinput!$B:$E,4,0))),0,IF(AND(VLOOKUP(CONCATENATE($D1776,$G1776),CSRFinput!$B:$E,4,0)=0,OR(H1776=MappingTables!$C$31,H1776=MappingTables!$C$32)),1,VLOOKUP(CONCATENATE($D1776,$G1776),CSRFinput!$B:$E,4,0)))</f>
        <v>0.054776304963434752</v>
      </c>
      <c r="S1776" s="73">
        <f>IF(B1776="",0,P1776*R1776)</f>
        <v>0.29139404422340088</v>
      </c>
      <c r="T1776" s="85">
        <f>IF(B1776="",0,IF(OR(H1776=MappingTables!$C$34,H1776=MappingTables!$C$35),S1776,0))</f>
        <v>0</v>
      </c>
    </row>
    <row r="1777" spans="2:20" s="0" customFormat="0" ht="15">
      <c r="B1777" s="69" t="s">
        <v>5144</v>
      </c>
      <c r="C1777" s="70" t="s">
        <v>5145</v>
      </c>
      <c r="D1777" s="70" t="s">
        <v>1</v>
      </c>
      <c r="E1777" s="70" t="s">
        <v>1</v>
      </c>
      <c r="F1777" s="70"/>
      <c r="G1777" s="70" t="s">
        <v>61</v>
      </c>
      <c r="H1777" s="70" t="s">
        <v>178</v>
      </c>
      <c r="I1777" s="70" t="s">
        <v>181</v>
      </c>
      <c r="J1777" s="71">
        <f>IF(OR(I1777=0,I1777=""),"unrated",VLOOKUP(I1777,MappingTables!$B$19:$C$31,2,FALSE))</f>
        <v>3</v>
      </c>
      <c r="K1777" s="72">
        <v>1522.9025576256436</v>
      </c>
      <c r="L1777" s="70">
        <v>5.6864333120026856</v>
      </c>
      <c r="M1777" s="71">
        <f>IF(L1777&lt;1,1,L1777)</f>
        <v>5.6864333120026856</v>
      </c>
      <c r="N1777" s="70" t="s">
        <v>3288</v>
      </c>
      <c r="O1777" s="71">
        <f>IF(OR(I1777=$A$1,I1777=0),"",IF(N1777=MappingTables!$C$14,VLOOKUP(J1777,ModelParameters!$M$8:$N$15,2,FALSE),IF(N1777=MappingTables!$C$16,VLOOKUP(J1777,ModelParameters!$P$8:$Q$15,2,FALSE),0)))</f>
        <v>0.197</v>
      </c>
      <c r="P1777" s="73">
        <f>IF(OR(I1777=0,I1777=$A$1),0,MIN(O1777*M1777,1)*K1777)</f>
        <v>1522.9025576256436</v>
      </c>
      <c r="Q1777" s="73">
        <f>IF(B1777="",0,IF(OR(H1777=MappingTables!$C$34,H1777=MappingTables!$C$35),P1777,0))</f>
        <v>0</v>
      </c>
      <c r="R1777" s="73">
        <f>IF(ISNA(IF(AND(VLOOKUP(CONCATENATE($D1777,$G1777),CSRFinput!$B:$E,4,0)=0,OR(H1777=MappingTables!$C$31,H1777=MappingTables!$C$32)),1,VLOOKUP(CONCATENATE($D1777,$G1777),CSRFinput!$B:$E,4,0))),0,IF(AND(VLOOKUP(CONCATENATE($D1777,$G1777),CSRFinput!$B:$E,4,0)=0,OR(H1777=MappingTables!$C$31,H1777=MappingTables!$C$32)),1,VLOOKUP(CONCATENATE($D1777,$G1777),CSRFinput!$B:$E,4,0)))</f>
        <v>0.054776304963434752</v>
      </c>
      <c r="S1777" s="73">
        <f>IF(B1777="",0,P1777*R1777)</f>
        <v>83.418974926097024</v>
      </c>
      <c r="T1777" s="85">
        <f>IF(B1777="",0,IF(OR(H1777=MappingTables!$C$34,H1777=MappingTables!$C$35),S1777,0))</f>
        <v>0</v>
      </c>
    </row>
    <row r="1778" spans="2:20" s="0" customFormat="0" ht="15">
      <c r="B1778" s="69">
        <v>24748733</v>
      </c>
      <c r="C1778" s="70" t="s">
        <v>4773</v>
      </c>
      <c r="D1778" s="70" t="s">
        <v>1</v>
      </c>
      <c r="E1778" s="70" t="s">
        <v>1</v>
      </c>
      <c r="F1778" s="70"/>
      <c r="G1778" s="70" t="s">
        <v>61</v>
      </c>
      <c r="H1778" s="70" t="s">
        <v>178</v>
      </c>
      <c r="I1778" s="70" t="s">
        <v>198</v>
      </c>
      <c r="J1778" s="71" t="str">
        <f>IF(OR(I1778=0,I1778=""),"unrated",VLOOKUP(I1778,MappingTables!$B$19:$C$31,2,FALSE))</f>
        <v>unrated</v>
      </c>
      <c r="K1778" s="72">
        <v>8240.5597922948144</v>
      </c>
      <c r="L1778" s="70">
        <v>0.0497314712607532</v>
      </c>
      <c r="M1778" s="71">
        <f>IF(L1778&lt;1,1,L1778)</f>
        <v>1</v>
      </c>
      <c r="N1778" s="70" t="s">
        <v>3288</v>
      </c>
      <c r="O1778" s="71">
        <f>IF(OR(I1778=$A$1,I1778=0),"",IF(N1778=MappingTables!$C$14,VLOOKUP(J1778,ModelParameters!$M$8:$N$15,2,FALSE),IF(N1778=MappingTables!$C$16,VLOOKUP(J1778,ModelParameters!$P$8:$Q$15,2,FALSE),0)))</f>
        <v>1</v>
      </c>
      <c r="P1778" s="73">
        <f>IF(OR(I1778=0,I1778=$A$1),0,MIN(O1778*M1778,1)*K1778)</f>
        <v>8240.5597922948144</v>
      </c>
      <c r="Q1778" s="73">
        <f>IF(B1778="",0,IF(OR(H1778=MappingTables!$C$34,H1778=MappingTables!$C$35),P1778,0))</f>
        <v>0</v>
      </c>
      <c r="R1778" s="73">
        <f>IF(ISNA(IF(AND(VLOOKUP(CONCATENATE($D1778,$G1778),CSRFinput!$B:$E,4,0)=0,OR(H1778=MappingTables!$C$31,H1778=MappingTables!$C$32)),1,VLOOKUP(CONCATENATE($D1778,$G1778),CSRFinput!$B:$E,4,0))),0,IF(AND(VLOOKUP(CONCATENATE($D1778,$G1778),CSRFinput!$B:$E,4,0)=0,OR(H1778=MappingTables!$C$31,H1778=MappingTables!$C$32)),1,VLOOKUP(CONCATENATE($D1778,$G1778),CSRFinput!$B:$E,4,0)))</f>
        <v>0.054776304963434752</v>
      </c>
      <c r="S1778" s="73">
        <f>IF(B1778="",0,P1778*R1778)</f>
        <v>451.38741625215928</v>
      </c>
      <c r="T1778" s="85">
        <f>IF(B1778="",0,IF(OR(H1778=MappingTables!$C$34,H1778=MappingTables!$C$35),S1778,0))</f>
        <v>0</v>
      </c>
    </row>
    <row r="1779" spans="2:20" s="0" customFormat="0" ht="15">
      <c r="B1779" s="69">
        <v>7065941</v>
      </c>
      <c r="C1779" s="70" t="s">
        <v>5150</v>
      </c>
      <c r="D1779" s="70" t="s">
        <v>1</v>
      </c>
      <c r="E1779" s="70" t="s">
        <v>1</v>
      </c>
      <c r="F1779" s="70"/>
      <c r="G1779" s="70" t="s">
        <v>61</v>
      </c>
      <c r="H1779" s="70" t="s">
        <v>178</v>
      </c>
      <c r="I1779" s="70" t="s">
        <v>216</v>
      </c>
      <c r="J1779" s="71">
        <f>IF(OR(I1779=0,I1779=""),"unrated",VLOOKUP(I1779,MappingTables!$B$19:$C$31,2,FALSE))</f>
        <v>0</v>
      </c>
      <c r="K1779" s="72">
        <v>3.1020830212868232</v>
      </c>
      <c r="L1779" s="70">
        <v>0.050352329840779224</v>
      </c>
      <c r="M1779" s="71">
        <f>IF(L1779&lt;1,1,L1779)</f>
        <v>1</v>
      </c>
      <c r="N1779" s="70" t="s">
        <v>3288</v>
      </c>
      <c r="O1779" s="71">
        <f>IF(OR(I1779=$A$1,I1779=0),"",IF(N1779=MappingTables!$C$14,VLOOKUP(J1779,ModelParameters!$M$8:$N$15,2,FALSE),IF(N1779=MappingTables!$C$16,VLOOKUP(J1779,ModelParameters!$P$8:$Q$15,2,FALSE),0)))</f>
        <v>0.125</v>
      </c>
      <c r="P1779" s="73">
        <f>IF(OR(I1779=0,I1779=$A$1),0,MIN(O1779*M1779,1)*K1779)</f>
        <v>0.38776037766085288</v>
      </c>
      <c r="Q1779" s="73">
        <f>IF(B1779="",0,IF(OR(H1779=MappingTables!$C$34,H1779=MappingTables!$C$35),P1779,0))</f>
        <v>0</v>
      </c>
      <c r="R1779" s="73">
        <f>IF(ISNA(IF(AND(VLOOKUP(CONCATENATE($D1779,$G1779),CSRFinput!$B:$E,4,0)=0,OR(H1779=MappingTables!$C$31,H1779=MappingTables!$C$32)),1,VLOOKUP(CONCATENATE($D1779,$G1779),CSRFinput!$B:$E,4,0))),0,IF(AND(VLOOKUP(CONCATENATE($D1779,$G1779),CSRFinput!$B:$E,4,0)=0,OR(H1779=MappingTables!$C$31,H1779=MappingTables!$C$32)),1,VLOOKUP(CONCATENATE($D1779,$G1779),CSRFinput!$B:$E,4,0)))</f>
        <v>0.054776304963434752</v>
      </c>
      <c r="S1779" s="73">
        <f>IF(B1779="",0,P1779*R1779)</f>
        <v>0.021240080699487512</v>
      </c>
      <c r="T1779" s="85">
        <f>IF(B1779="",0,IF(OR(H1779=MappingTables!$C$34,H1779=MappingTables!$C$35),S1779,0))</f>
        <v>0</v>
      </c>
    </row>
    <row r="1780" spans="2:20" s="0" customFormat="0" ht="15">
      <c r="B1780" s="69" t="s">
        <v>5151</v>
      </c>
      <c r="C1780" s="70" t="s">
        <v>5152</v>
      </c>
      <c r="D1780" s="70" t="s">
        <v>1</v>
      </c>
      <c r="E1780" s="70" t="s">
        <v>1</v>
      </c>
      <c r="F1780" s="70"/>
      <c r="G1780" s="70" t="s">
        <v>61</v>
      </c>
      <c r="H1780" s="70" t="s">
        <v>178</v>
      </c>
      <c r="I1780" s="70" t="s">
        <v>198</v>
      </c>
      <c r="J1780" s="71" t="str">
        <f>IF(OR(I1780=0,I1780=""),"unrated",VLOOKUP(I1780,MappingTables!$B$19:$C$31,2,FALSE))</f>
        <v>unrated</v>
      </c>
      <c r="K1780" s="72">
        <v>272.6591836914264</v>
      </c>
      <c r="L1780" s="70">
        <v>30.106585309914996</v>
      </c>
      <c r="M1780" s="71">
        <f>IF(L1780&lt;1,1,L1780)</f>
        <v>30.106585309914996</v>
      </c>
      <c r="N1780" s="70" t="s">
        <v>3288</v>
      </c>
      <c r="O1780" s="71">
        <f>IF(OR(I1780=$A$1,I1780=0),"",IF(N1780=MappingTables!$C$14,VLOOKUP(J1780,ModelParameters!$M$8:$N$15,2,FALSE),IF(N1780=MappingTables!$C$16,VLOOKUP(J1780,ModelParameters!$P$8:$Q$15,2,FALSE),0)))</f>
        <v>1</v>
      </c>
      <c r="P1780" s="73">
        <f>IF(OR(I1780=0,I1780=$A$1),0,MIN(O1780*M1780,1)*K1780)</f>
        <v>272.6591836914264</v>
      </c>
      <c r="Q1780" s="73">
        <f>IF(B1780="",0,IF(OR(H1780=MappingTables!$C$34,H1780=MappingTables!$C$35),P1780,0))</f>
        <v>0</v>
      </c>
      <c r="R1780" s="73">
        <f>IF(ISNA(IF(AND(VLOOKUP(CONCATENATE($D1780,$G1780),CSRFinput!$B:$E,4,0)=0,OR(H1780=MappingTables!$C$31,H1780=MappingTables!$C$32)),1,VLOOKUP(CONCATENATE($D1780,$G1780),CSRFinput!$B:$E,4,0))),0,IF(AND(VLOOKUP(CONCATENATE($D1780,$G1780),CSRFinput!$B:$E,4,0)=0,OR(H1780=MappingTables!$C$31,H1780=MappingTables!$C$32)),1,VLOOKUP(CONCATENATE($D1780,$G1780),CSRFinput!$B:$E,4,0)))</f>
        <v>0.054776304963434752</v>
      </c>
      <c r="S1780" s="73">
        <f>IF(B1780="",0,P1780*R1780)</f>
        <v>14.935262596962748</v>
      </c>
      <c r="T1780" s="85">
        <f>IF(B1780="",0,IF(OR(H1780=MappingTables!$C$34,H1780=MappingTables!$C$35),S1780,0))</f>
        <v>0</v>
      </c>
    </row>
    <row r="1781" spans="2:20" s="0" customFormat="0" ht="15">
      <c r="B1781" s="69" t="s">
        <v>3845</v>
      </c>
      <c r="C1781" s="70" t="s">
        <v>3846</v>
      </c>
      <c r="D1781" s="70" t="s">
        <v>1</v>
      </c>
      <c r="E1781" s="70" t="s">
        <v>1</v>
      </c>
      <c r="F1781" s="70"/>
      <c r="G1781" s="70" t="s">
        <v>61</v>
      </c>
      <c r="H1781" s="70" t="s">
        <v>178</v>
      </c>
      <c r="I1781" s="70" t="s">
        <v>204</v>
      </c>
      <c r="J1781" s="71">
        <f>IF(OR(I1781=0,I1781=""),"unrated",VLOOKUP(I1781,MappingTables!$B$19:$C$31,2,FALSE))</f>
        <v>6</v>
      </c>
      <c r="K1781" s="72">
        <v>722.15514915566592</v>
      </c>
      <c r="L1781" s="70">
        <v>0.068491134046703304</v>
      </c>
      <c r="M1781" s="71">
        <f>IF(L1781&lt;1,1,L1781)</f>
        <v>1</v>
      </c>
      <c r="N1781" s="70" t="s">
        <v>3288</v>
      </c>
      <c r="O1781" s="71">
        <f>IF(OR(I1781=$A$1,I1781=0),"",IF(N1781=MappingTables!$C$14,VLOOKUP(J1781,ModelParameters!$M$8:$N$15,2,FALSE),IF(N1781=MappingTables!$C$16,VLOOKUP(J1781,ModelParameters!$P$8:$Q$15,2,FALSE),0)))</f>
        <v>1</v>
      </c>
      <c r="P1781" s="73">
        <f>IF(OR(I1781=0,I1781=$A$1),0,MIN(O1781*M1781,1)*K1781)</f>
        <v>722.15514915566592</v>
      </c>
      <c r="Q1781" s="73">
        <f>IF(B1781="",0,IF(OR(H1781=MappingTables!$C$34,H1781=MappingTables!$C$35),P1781,0))</f>
        <v>0</v>
      </c>
      <c r="R1781" s="73">
        <f>IF(ISNA(IF(AND(VLOOKUP(CONCATENATE($D1781,$G1781),CSRFinput!$B:$E,4,0)=0,OR(H1781=MappingTables!$C$31,H1781=MappingTables!$C$32)),1,VLOOKUP(CONCATENATE($D1781,$G1781),CSRFinput!$B:$E,4,0))),0,IF(AND(VLOOKUP(CONCATENATE($D1781,$G1781),CSRFinput!$B:$E,4,0)=0,OR(H1781=MappingTables!$C$31,H1781=MappingTables!$C$32)),1,VLOOKUP(CONCATENATE($D1781,$G1781),CSRFinput!$B:$E,4,0)))</f>
        <v>0.054776304963434752</v>
      </c>
      <c r="S1781" s="73">
        <f>IF(B1781="",0,P1781*R1781)</f>
        <v>39.556990681065464</v>
      </c>
      <c r="T1781" s="85">
        <f>IF(B1781="",0,IF(OR(H1781=MappingTables!$C$34,H1781=MappingTables!$C$35),S1781,0))</f>
        <v>0</v>
      </c>
    </row>
    <row r="1782" spans="2:20" s="0" customFormat="0" ht="15">
      <c r="B1782" s="69" t="s">
        <v>5112</v>
      </c>
      <c r="C1782" s="70" t="s">
        <v>5113</v>
      </c>
      <c r="D1782" s="70" t="s">
        <v>1</v>
      </c>
      <c r="E1782" s="70" t="s">
        <v>1</v>
      </c>
      <c r="F1782" s="70"/>
      <c r="G1782" s="70" t="s">
        <v>61</v>
      </c>
      <c r="H1782" s="70" t="s">
        <v>178</v>
      </c>
      <c r="I1782" s="70" t="s">
        <v>198</v>
      </c>
      <c r="J1782" s="71" t="str">
        <f>IF(OR(I1782=0,I1782=""),"unrated",VLOOKUP(I1782,MappingTables!$B$19:$C$31,2,FALSE))</f>
        <v>unrated</v>
      </c>
      <c r="K1782" s="72">
        <v>0.27488923672473448</v>
      </c>
      <c r="L1782" s="70">
        <v>25.622473075109448</v>
      </c>
      <c r="M1782" s="71">
        <f>IF(L1782&lt;1,1,L1782)</f>
        <v>25.622473075109448</v>
      </c>
      <c r="N1782" s="70" t="s">
        <v>3288</v>
      </c>
      <c r="O1782" s="71">
        <f>IF(OR(I1782=$A$1,I1782=0),"",IF(N1782=MappingTables!$C$14,VLOOKUP(J1782,ModelParameters!$M$8:$N$15,2,FALSE),IF(N1782=MappingTables!$C$16,VLOOKUP(J1782,ModelParameters!$P$8:$Q$15,2,FALSE),0)))</f>
        <v>1</v>
      </c>
      <c r="P1782" s="73">
        <f>IF(OR(I1782=0,I1782=$A$1),0,MIN(O1782*M1782,1)*K1782)</f>
        <v>0.27488923672473448</v>
      </c>
      <c r="Q1782" s="73">
        <f>IF(B1782="",0,IF(OR(H1782=MappingTables!$C$34,H1782=MappingTables!$C$35),P1782,0))</f>
        <v>0</v>
      </c>
      <c r="R1782" s="73">
        <f>IF(ISNA(IF(AND(VLOOKUP(CONCATENATE($D1782,$G1782),CSRFinput!$B:$E,4,0)=0,OR(H1782=MappingTables!$C$31,H1782=MappingTables!$C$32)),1,VLOOKUP(CONCATENATE($D1782,$G1782),CSRFinput!$B:$E,4,0))),0,IF(AND(VLOOKUP(CONCATENATE($D1782,$G1782),CSRFinput!$B:$E,4,0)=0,OR(H1782=MappingTables!$C$31,H1782=MappingTables!$C$32)),1,VLOOKUP(CONCATENATE($D1782,$G1782),CSRFinput!$B:$E,4,0)))</f>
        <v>0.054776304963434752</v>
      </c>
      <c r="S1782" s="73">
        <f>IF(B1782="",0,P1782*R1782)</f>
        <v>0.015057416661999864</v>
      </c>
      <c r="T1782" s="85">
        <f>IF(B1782="",0,IF(OR(H1782=MappingTables!$C$34,H1782=MappingTables!$C$35),S1782,0))</f>
        <v>0</v>
      </c>
    </row>
    <row r="1783" spans="2:20" s="0" customFormat="0" ht="15">
      <c r="B1783" s="69" t="s">
        <v>4194</v>
      </c>
      <c r="C1783" s="70" t="s">
        <v>4195</v>
      </c>
      <c r="D1783" s="70" t="s">
        <v>1</v>
      </c>
      <c r="E1783" s="70" t="s">
        <v>1</v>
      </c>
      <c r="F1783" s="70"/>
      <c r="G1783" s="70" t="s">
        <v>61</v>
      </c>
      <c r="H1783" s="70" t="s">
        <v>178</v>
      </c>
      <c r="I1783" s="70" t="s">
        <v>198</v>
      </c>
      <c r="J1783" s="71" t="str">
        <f>IF(OR(I1783=0,I1783=""),"unrated",VLOOKUP(I1783,MappingTables!$B$19:$C$31,2,FALSE))</f>
        <v>unrated</v>
      </c>
      <c r="K1783" s="72">
        <v>94.263102045020048</v>
      </c>
      <c r="L1783" s="70">
        <v>0.050508150082566072</v>
      </c>
      <c r="M1783" s="71">
        <f>IF(L1783&lt;1,1,L1783)</f>
        <v>1</v>
      </c>
      <c r="N1783" s="70" t="s">
        <v>3288</v>
      </c>
      <c r="O1783" s="71">
        <f>IF(OR(I1783=$A$1,I1783=0),"",IF(N1783=MappingTables!$C$14,VLOOKUP(J1783,ModelParameters!$M$8:$N$15,2,FALSE),IF(N1783=MappingTables!$C$16,VLOOKUP(J1783,ModelParameters!$P$8:$Q$15,2,FALSE),0)))</f>
        <v>1</v>
      </c>
      <c r="P1783" s="73">
        <f>IF(OR(I1783=0,I1783=$A$1),0,MIN(O1783*M1783,1)*K1783)</f>
        <v>94.263102045020048</v>
      </c>
      <c r="Q1783" s="73">
        <f>IF(B1783="",0,IF(OR(H1783=MappingTables!$C$34,H1783=MappingTables!$C$35),P1783,0))</f>
        <v>0</v>
      </c>
      <c r="R1783" s="73">
        <f>IF(ISNA(IF(AND(VLOOKUP(CONCATENATE($D1783,$G1783),CSRFinput!$B:$E,4,0)=0,OR(H1783=MappingTables!$C$31,H1783=MappingTables!$C$32)),1,VLOOKUP(CONCATENATE($D1783,$G1783),CSRFinput!$B:$E,4,0))),0,IF(AND(VLOOKUP(CONCATENATE($D1783,$G1783),CSRFinput!$B:$E,4,0)=0,OR(H1783=MappingTables!$C$31,H1783=MappingTables!$C$32)),1,VLOOKUP(CONCATENATE($D1783,$G1783),CSRFinput!$B:$E,4,0)))</f>
        <v>0.054776304963434752</v>
      </c>
      <c r="S1783" s="73">
        <f>IF(B1783="",0,P1783*R1783)</f>
        <v>5.163384424417388</v>
      </c>
      <c r="T1783" s="85">
        <f>IF(B1783="",0,IF(OR(H1783=MappingTables!$C$34,H1783=MappingTables!$C$35),S1783,0))</f>
        <v>0</v>
      </c>
    </row>
    <row r="1784" spans="2:20" s="0" customFormat="0" ht="15">
      <c r="B1784" s="69">
        <v>14504614</v>
      </c>
      <c r="C1784" s="70" t="s">
        <v>4660</v>
      </c>
      <c r="D1784" s="70" t="s">
        <v>1</v>
      </c>
      <c r="E1784" s="70" t="s">
        <v>1</v>
      </c>
      <c r="F1784" s="70"/>
      <c r="G1784" s="70" t="s">
        <v>61</v>
      </c>
      <c r="H1784" s="70" t="s">
        <v>178</v>
      </c>
      <c r="I1784" s="70" t="s">
        <v>216</v>
      </c>
      <c r="J1784" s="71">
        <f>IF(OR(I1784=0,I1784=""),"unrated",VLOOKUP(I1784,MappingTables!$B$19:$C$31,2,FALSE))</f>
        <v>0</v>
      </c>
      <c r="K1784" s="72">
        <v>538.0319084139808</v>
      </c>
      <c r="L1784" s="70">
        <v>0.0062985611426750472</v>
      </c>
      <c r="M1784" s="71">
        <f>IF(L1784&lt;1,1,L1784)</f>
        <v>1</v>
      </c>
      <c r="N1784" s="70" t="s">
        <v>3288</v>
      </c>
      <c r="O1784" s="71">
        <f>IF(OR(I1784=$A$1,I1784=0),"",IF(N1784=MappingTables!$C$14,VLOOKUP(J1784,ModelParameters!$M$8:$N$15,2,FALSE),IF(N1784=MappingTables!$C$16,VLOOKUP(J1784,ModelParameters!$P$8:$Q$15,2,FALSE),0)))</f>
        <v>0.125</v>
      </c>
      <c r="P1784" s="73">
        <f>IF(OR(I1784=0,I1784=$A$1),0,MIN(O1784*M1784,1)*K1784)</f>
        <v>67.2539885517476</v>
      </c>
      <c r="Q1784" s="73">
        <f>IF(B1784="",0,IF(OR(H1784=MappingTables!$C$34,H1784=MappingTables!$C$35),P1784,0))</f>
        <v>0</v>
      </c>
      <c r="R1784" s="73">
        <f>IF(ISNA(IF(AND(VLOOKUP(CONCATENATE($D1784,$G1784),CSRFinput!$B:$E,4,0)=0,OR(H1784=MappingTables!$C$31,H1784=MappingTables!$C$32)),1,VLOOKUP(CONCATENATE($D1784,$G1784),CSRFinput!$B:$E,4,0))),0,IF(AND(VLOOKUP(CONCATENATE($D1784,$G1784),CSRFinput!$B:$E,4,0)=0,OR(H1784=MappingTables!$C$31,H1784=MappingTables!$C$32)),1,VLOOKUP(CONCATENATE($D1784,$G1784),CSRFinput!$B:$E,4,0)))</f>
        <v>0.054776304963434752</v>
      </c>
      <c r="S1784" s="73">
        <f>IF(B1784="",0,P1784*R1784)</f>
        <v>3.683924986917876</v>
      </c>
      <c r="T1784" s="85">
        <f>IF(B1784="",0,IF(OR(H1784=MappingTables!$C$34,H1784=MappingTables!$C$35),S1784,0))</f>
        <v>0</v>
      </c>
    </row>
    <row r="1785" spans="2:20" s="0" customFormat="0" ht="15">
      <c r="B1785" s="69">
        <v>2986422</v>
      </c>
      <c r="C1785" s="70" t="s">
        <v>5106</v>
      </c>
      <c r="D1785" s="70" t="s">
        <v>1</v>
      </c>
      <c r="E1785" s="70" t="s">
        <v>1</v>
      </c>
      <c r="F1785" s="70"/>
      <c r="G1785" s="70" t="s">
        <v>61</v>
      </c>
      <c r="H1785" s="70" t="s">
        <v>178</v>
      </c>
      <c r="I1785" s="70" t="s">
        <v>184</v>
      </c>
      <c r="J1785" s="71">
        <f>IF(OR(I1785=0,I1785=""),"unrated",VLOOKUP(I1785,MappingTables!$B$19:$C$31,2,FALSE))</f>
        <v>5</v>
      </c>
      <c r="K1785" s="72">
        <v>65.982234086215808</v>
      </c>
      <c r="L1785" s="70">
        <v>0.076726298204095696</v>
      </c>
      <c r="M1785" s="71">
        <f>IF(L1785&lt;1,1,L1785)</f>
        <v>1</v>
      </c>
      <c r="N1785" s="70" t="s">
        <v>3288</v>
      </c>
      <c r="O1785" s="71">
        <f>IF(OR(I1785=$A$1,I1785=0),"",IF(N1785=MappingTables!$C$14,VLOOKUP(J1785,ModelParameters!$M$8:$N$15,2,FALSE),IF(N1785=MappingTables!$C$16,VLOOKUP(J1785,ModelParameters!$P$8:$Q$15,2,FALSE),0)))</f>
        <v>1</v>
      </c>
      <c r="P1785" s="73">
        <f>IF(OR(I1785=0,I1785=$A$1),0,MIN(O1785*M1785,1)*K1785)</f>
        <v>65.982234086215808</v>
      </c>
      <c r="Q1785" s="73">
        <f>IF(B1785="",0,IF(OR(H1785=MappingTables!$C$34,H1785=MappingTables!$C$35),P1785,0))</f>
        <v>0</v>
      </c>
      <c r="R1785" s="73">
        <f>IF(ISNA(IF(AND(VLOOKUP(CONCATENATE($D1785,$G1785),CSRFinput!$B:$E,4,0)=0,OR(H1785=MappingTables!$C$31,H1785=MappingTables!$C$32)),1,VLOOKUP(CONCATENATE($D1785,$G1785),CSRFinput!$B:$E,4,0))),0,IF(AND(VLOOKUP(CONCATENATE($D1785,$G1785),CSRFinput!$B:$E,4,0)=0,OR(H1785=MappingTables!$C$31,H1785=MappingTables!$C$32)),1,VLOOKUP(CONCATENATE($D1785,$G1785),CSRFinput!$B:$E,4,0)))</f>
        <v>0.054776304963434752</v>
      </c>
      <c r="S1785" s="73">
        <f>IF(B1785="",0,P1785*R1785)</f>
        <v>3.6142629764752968</v>
      </c>
      <c r="T1785" s="85">
        <f>IF(B1785="",0,IF(OR(H1785=MappingTables!$C$34,H1785=MappingTables!$C$35),S1785,0))</f>
        <v>0</v>
      </c>
    </row>
    <row r="1786" spans="2:20" s="0" customFormat="0" ht="15">
      <c r="B1786" s="69" t="s">
        <v>3350</v>
      </c>
      <c r="C1786" s="70" t="s">
        <v>3351</v>
      </c>
      <c r="D1786" s="70" t="s">
        <v>1</v>
      </c>
      <c r="E1786" s="70" t="s">
        <v>1</v>
      </c>
      <c r="F1786" s="70"/>
      <c r="G1786" s="70" t="s">
        <v>61</v>
      </c>
      <c r="H1786" s="70" t="s">
        <v>178</v>
      </c>
      <c r="I1786" s="70" t="s">
        <v>198</v>
      </c>
      <c r="J1786" s="71" t="str">
        <f>IF(OR(I1786=0,I1786=""),"unrated",VLOOKUP(I1786,MappingTables!$B$19:$C$31,2,FALSE))</f>
        <v>unrated</v>
      </c>
      <c r="K1786" s="72">
        <v>71.884759664299112</v>
      </c>
      <c r="L1786" s="70">
        <v>0.068497542962808024</v>
      </c>
      <c r="M1786" s="71">
        <f>IF(L1786&lt;1,1,L1786)</f>
        <v>1</v>
      </c>
      <c r="N1786" s="70" t="s">
        <v>3288</v>
      </c>
      <c r="O1786" s="71">
        <f>IF(OR(I1786=$A$1,I1786=0),"",IF(N1786=MappingTables!$C$14,VLOOKUP(J1786,ModelParameters!$M$8:$N$15,2,FALSE),IF(N1786=MappingTables!$C$16,VLOOKUP(J1786,ModelParameters!$P$8:$Q$15,2,FALSE),0)))</f>
        <v>1</v>
      </c>
      <c r="P1786" s="73">
        <f>IF(OR(I1786=0,I1786=$A$1),0,MIN(O1786*M1786,1)*K1786)</f>
        <v>71.884759664299112</v>
      </c>
      <c r="Q1786" s="73">
        <f>IF(B1786="",0,IF(OR(H1786=MappingTables!$C$34,H1786=MappingTables!$C$35),P1786,0))</f>
        <v>0</v>
      </c>
      <c r="R1786" s="73">
        <f>IF(ISNA(IF(AND(VLOOKUP(CONCATENATE($D1786,$G1786),CSRFinput!$B:$E,4,0)=0,OR(H1786=MappingTables!$C$31,H1786=MappingTables!$C$32)),1,VLOOKUP(CONCATENATE($D1786,$G1786),CSRFinput!$B:$E,4,0))),0,IF(AND(VLOOKUP(CONCATENATE($D1786,$G1786),CSRFinput!$B:$E,4,0)=0,OR(H1786=MappingTables!$C$31,H1786=MappingTables!$C$32)),1,VLOOKUP(CONCATENATE($D1786,$G1786),CSRFinput!$B:$E,4,0)))</f>
        <v>0.054776304963434752</v>
      </c>
      <c r="S1786" s="73">
        <f>IF(B1786="",0,P1786*R1786)</f>
        <v>3.9375815175948616</v>
      </c>
      <c r="T1786" s="85">
        <f>IF(B1786="",0,IF(OR(H1786=MappingTables!$C$34,H1786=MappingTables!$C$35),S1786,0))</f>
        <v>0</v>
      </c>
    </row>
    <row r="1787" spans="2:20" s="0" customFormat="0" ht="15">
      <c r="B1787" s="69" t="s">
        <v>4269</v>
      </c>
      <c r="C1787" s="70" t="s">
        <v>4270</v>
      </c>
      <c r="D1787" s="70" t="s">
        <v>1</v>
      </c>
      <c r="E1787" s="70" t="s">
        <v>1</v>
      </c>
      <c r="F1787" s="70"/>
      <c r="G1787" s="70" t="s">
        <v>61</v>
      </c>
      <c r="H1787" s="70" t="s">
        <v>178</v>
      </c>
      <c r="I1787" s="70" t="s">
        <v>198</v>
      </c>
      <c r="J1787" s="71" t="str">
        <f>IF(OR(I1787=0,I1787=""),"unrated",VLOOKUP(I1787,MappingTables!$B$19:$C$31,2,FALSE))</f>
        <v>unrated</v>
      </c>
      <c r="K1787" s="72">
        <v>63.28627967269876</v>
      </c>
      <c r="L1787" s="70">
        <v>0.0577058031809894</v>
      </c>
      <c r="M1787" s="71">
        <f>IF(L1787&lt;1,1,L1787)</f>
        <v>1</v>
      </c>
      <c r="N1787" s="70" t="s">
        <v>3288</v>
      </c>
      <c r="O1787" s="71">
        <f>IF(OR(I1787=$A$1,I1787=0),"",IF(N1787=MappingTables!$C$14,VLOOKUP(J1787,ModelParameters!$M$8:$N$15,2,FALSE),IF(N1787=MappingTables!$C$16,VLOOKUP(J1787,ModelParameters!$P$8:$Q$15,2,FALSE),0)))</f>
        <v>1</v>
      </c>
      <c r="P1787" s="73">
        <f>IF(OR(I1787=0,I1787=$A$1),0,MIN(O1787*M1787,1)*K1787)</f>
        <v>63.28627967269876</v>
      </c>
      <c r="Q1787" s="73">
        <f>IF(B1787="",0,IF(OR(H1787=MappingTables!$C$34,H1787=MappingTables!$C$35),P1787,0))</f>
        <v>0</v>
      </c>
      <c r="R1787" s="73">
        <f>IF(ISNA(IF(AND(VLOOKUP(CONCATENATE($D1787,$G1787),CSRFinput!$B:$E,4,0)=0,OR(H1787=MappingTables!$C$31,H1787=MappingTables!$C$32)),1,VLOOKUP(CONCATENATE($D1787,$G1787),CSRFinput!$B:$E,4,0))),0,IF(AND(VLOOKUP(CONCATENATE($D1787,$G1787),CSRFinput!$B:$E,4,0)=0,OR(H1787=MappingTables!$C$31,H1787=MappingTables!$C$32)),1,VLOOKUP(CONCATENATE($D1787,$G1787),CSRFinput!$B:$E,4,0)))</f>
        <v>0.054776304963434752</v>
      </c>
      <c r="S1787" s="73">
        <f>IF(B1787="",0,P1787*R1787)</f>
        <v>3.4665885553529692</v>
      </c>
      <c r="T1787" s="85">
        <f>IF(B1787="",0,IF(OR(H1787=MappingTables!$C$34,H1787=MappingTables!$C$35),S1787,0))</f>
        <v>0</v>
      </c>
    </row>
    <row r="1788" spans="2:20" s="0" customFormat="0" ht="15">
      <c r="B1788" s="69" t="s">
        <v>3445</v>
      </c>
      <c r="C1788" s="70" t="s">
        <v>3446</v>
      </c>
      <c r="D1788" s="70" t="s">
        <v>1</v>
      </c>
      <c r="E1788" s="70" t="s">
        <v>1</v>
      </c>
      <c r="F1788" s="70"/>
      <c r="G1788" s="70" t="s">
        <v>61</v>
      </c>
      <c r="H1788" s="70" t="s">
        <v>178</v>
      </c>
      <c r="I1788" s="70" t="s">
        <v>198</v>
      </c>
      <c r="J1788" s="71" t="str">
        <f>IF(OR(I1788=0,I1788=""),"unrated",VLOOKUP(I1788,MappingTables!$B$19:$C$31,2,FALSE))</f>
        <v>unrated</v>
      </c>
      <c r="K1788" s="72">
        <v>38.950157435389184</v>
      </c>
      <c r="L1788" s="70">
        <v>0.95293979825493744</v>
      </c>
      <c r="M1788" s="71">
        <f>IF(L1788&lt;1,1,L1788)</f>
        <v>1</v>
      </c>
      <c r="N1788" s="70" t="s">
        <v>3288</v>
      </c>
      <c r="O1788" s="71">
        <f>IF(OR(I1788=$A$1,I1788=0),"",IF(N1788=MappingTables!$C$14,VLOOKUP(J1788,ModelParameters!$M$8:$N$15,2,FALSE),IF(N1788=MappingTables!$C$16,VLOOKUP(J1788,ModelParameters!$P$8:$Q$15,2,FALSE),0)))</f>
        <v>1</v>
      </c>
      <c r="P1788" s="73">
        <f>IF(OR(I1788=0,I1788=$A$1),0,MIN(O1788*M1788,1)*K1788)</f>
        <v>38.950157435389184</v>
      </c>
      <c r="Q1788" s="73">
        <f>IF(B1788="",0,IF(OR(H1788=MappingTables!$C$34,H1788=MappingTables!$C$35),P1788,0))</f>
        <v>0</v>
      </c>
      <c r="R1788" s="73">
        <f>IF(ISNA(IF(AND(VLOOKUP(CONCATENATE($D1788,$G1788),CSRFinput!$B:$E,4,0)=0,OR(H1788=MappingTables!$C$31,H1788=MappingTables!$C$32)),1,VLOOKUP(CONCATENATE($D1788,$G1788),CSRFinput!$B:$E,4,0))),0,IF(AND(VLOOKUP(CONCATENATE($D1788,$G1788),CSRFinput!$B:$E,4,0)=0,OR(H1788=MappingTables!$C$31,H1788=MappingTables!$C$32)),1,VLOOKUP(CONCATENATE($D1788,$G1788),CSRFinput!$B:$E,4,0)))</f>
        <v>0.054776304963434752</v>
      </c>
      <c r="S1788" s="73">
        <f>IF(B1788="",0,P1788*R1788)</f>
        <v>2.1335457020546736</v>
      </c>
      <c r="T1788" s="85">
        <f>IF(B1788="",0,IF(OR(H1788=MappingTables!$C$34,H1788=MappingTables!$C$35),S1788,0))</f>
        <v>0</v>
      </c>
    </row>
    <row r="1789" spans="2:20" s="0" customFormat="0" ht="15">
      <c r="B1789" s="69" t="s">
        <v>4943</v>
      </c>
      <c r="C1789" s="70" t="s">
        <v>4944</v>
      </c>
      <c r="D1789" s="70" t="s">
        <v>1</v>
      </c>
      <c r="E1789" s="70" t="s">
        <v>1</v>
      </c>
      <c r="F1789" s="70"/>
      <c r="G1789" s="70" t="s">
        <v>61</v>
      </c>
      <c r="H1789" s="70" t="s">
        <v>178</v>
      </c>
      <c r="I1789" s="70" t="s">
        <v>216</v>
      </c>
      <c r="J1789" s="71">
        <f>IF(OR(I1789=0,I1789=""),"unrated",VLOOKUP(I1789,MappingTables!$B$19:$C$31,2,FALSE))</f>
        <v>0</v>
      </c>
      <c r="K1789" s="72">
        <v>537.37473795233576</v>
      </c>
      <c r="L1789" s="70">
        <v>0.054790794335088776</v>
      </c>
      <c r="M1789" s="71">
        <f>IF(L1789&lt;1,1,L1789)</f>
        <v>1</v>
      </c>
      <c r="N1789" s="70" t="s">
        <v>3288</v>
      </c>
      <c r="O1789" s="71">
        <f>IF(OR(I1789=$A$1,I1789=0),"",IF(N1789=MappingTables!$C$14,VLOOKUP(J1789,ModelParameters!$M$8:$N$15,2,FALSE),IF(N1789=MappingTables!$C$16,VLOOKUP(J1789,ModelParameters!$P$8:$Q$15,2,FALSE),0)))</f>
        <v>0.125</v>
      </c>
      <c r="P1789" s="73">
        <f>IF(OR(I1789=0,I1789=$A$1),0,MIN(O1789*M1789,1)*K1789)</f>
        <v>67.171842244041968</v>
      </c>
      <c r="Q1789" s="73">
        <f>IF(B1789="",0,IF(OR(H1789=MappingTables!$C$34,H1789=MappingTables!$C$35),P1789,0))</f>
        <v>0</v>
      </c>
      <c r="R1789" s="73">
        <f>IF(ISNA(IF(AND(VLOOKUP(CONCATENATE($D1789,$G1789),CSRFinput!$B:$E,4,0)=0,OR(H1789=MappingTables!$C$31,H1789=MappingTables!$C$32)),1,VLOOKUP(CONCATENATE($D1789,$G1789),CSRFinput!$B:$E,4,0))),0,IF(AND(VLOOKUP(CONCATENATE($D1789,$G1789),CSRFinput!$B:$E,4,0)=0,OR(H1789=MappingTables!$C$31,H1789=MappingTables!$C$32)),1,VLOOKUP(CONCATENATE($D1789,$G1789),CSRFinput!$B:$E,4,0)))</f>
        <v>0.054776304963434752</v>
      </c>
      <c r="S1789" s="73">
        <f>IF(B1789="",0,P1789*R1789)</f>
        <v>3.679425315715372</v>
      </c>
      <c r="T1789" s="85">
        <f>IF(B1789="",0,IF(OR(H1789=MappingTables!$C$34,H1789=MappingTables!$C$35),S1789,0))</f>
        <v>0</v>
      </c>
    </row>
    <row r="1790" spans="2:20" s="0" customFormat="0" ht="15">
      <c r="B1790" s="69" t="s">
        <v>5017</v>
      </c>
      <c r="C1790" s="70" t="s">
        <v>5018</v>
      </c>
      <c r="D1790" s="70" t="s">
        <v>1</v>
      </c>
      <c r="E1790" s="70" t="s">
        <v>1</v>
      </c>
      <c r="F1790" s="70"/>
      <c r="G1790" s="70" t="s">
        <v>61</v>
      </c>
      <c r="H1790" s="70" t="s">
        <v>178</v>
      </c>
      <c r="I1790" s="70" t="s">
        <v>3298</v>
      </c>
      <c r="J1790" s="71">
        <f>IF(OR(I1790=0,I1790=""),"unrated",VLOOKUP(I1790,MappingTables!$B$19:$C$31,2,FALSE))</f>
        <v>6</v>
      </c>
      <c r="K1790" s="72">
        <v>727.80593867745568</v>
      </c>
      <c r="L1790" s="70">
        <v>-1.190075948129055</v>
      </c>
      <c r="M1790" s="71">
        <f>IF(L1790&lt;1,1,L1790)</f>
        <v>1</v>
      </c>
      <c r="N1790" s="70" t="s">
        <v>3288</v>
      </c>
      <c r="O1790" s="71">
        <f>IF(OR(I1790=$A$1,I1790=0),"",IF(N1790=MappingTables!$C$14,VLOOKUP(J1790,ModelParameters!$M$8:$N$15,2,FALSE),IF(N1790=MappingTables!$C$16,VLOOKUP(J1790,ModelParameters!$P$8:$Q$15,2,FALSE),0)))</f>
        <v>1</v>
      </c>
      <c r="P1790" s="73">
        <f>IF(OR(I1790=0,I1790=$A$1),0,MIN(O1790*M1790,1)*K1790)</f>
        <v>727.80593867745568</v>
      </c>
      <c r="Q1790" s="73">
        <f>IF(B1790="",0,IF(OR(H1790=MappingTables!$C$34,H1790=MappingTables!$C$35),P1790,0))</f>
        <v>0</v>
      </c>
      <c r="R1790" s="73">
        <f>IF(ISNA(IF(AND(VLOOKUP(CONCATENATE($D1790,$G1790),CSRFinput!$B:$E,4,0)=0,OR(H1790=MappingTables!$C$31,H1790=MappingTables!$C$32)),1,VLOOKUP(CONCATENATE($D1790,$G1790),CSRFinput!$B:$E,4,0))),0,IF(AND(VLOOKUP(CONCATENATE($D1790,$G1790),CSRFinput!$B:$E,4,0)=0,OR(H1790=MappingTables!$C$31,H1790=MappingTables!$C$32)),1,VLOOKUP(CONCATENATE($D1790,$G1790),CSRFinput!$B:$E,4,0)))</f>
        <v>0.054776304963434752</v>
      </c>
      <c r="S1790" s="73">
        <f>IF(B1790="",0,P1790*R1790)</f>
        <v>39.8665200511952</v>
      </c>
      <c r="T1790" s="85">
        <f>IF(B1790="",0,IF(OR(H1790=MappingTables!$C$34,H1790=MappingTables!$C$35),S1790,0))</f>
        <v>0</v>
      </c>
    </row>
    <row r="1791" spans="2:20" s="0" customFormat="0" ht="15">
      <c r="B1791" s="69">
        <v>11248835</v>
      </c>
      <c r="C1791" s="70" t="s">
        <v>3781</v>
      </c>
      <c r="D1791" s="70" t="s">
        <v>1</v>
      </c>
      <c r="E1791" s="70" t="s">
        <v>1</v>
      </c>
      <c r="F1791" s="70"/>
      <c r="G1791" s="70" t="s">
        <v>61</v>
      </c>
      <c r="H1791" s="70" t="s">
        <v>178</v>
      </c>
      <c r="I1791" s="70" t="s">
        <v>216</v>
      </c>
      <c r="J1791" s="71">
        <f>IF(OR(I1791=0,I1791=""),"unrated",VLOOKUP(I1791,MappingTables!$B$19:$C$31,2,FALSE))</f>
        <v>0</v>
      </c>
      <c r="K1791" s="72">
        <v>1492.1684873774272</v>
      </c>
      <c r="L1791" s="70">
        <v>3.834473424498252</v>
      </c>
      <c r="M1791" s="71">
        <f>IF(L1791&lt;1,1,L1791)</f>
        <v>3.834473424498252</v>
      </c>
      <c r="N1791" s="70" t="s">
        <v>3288</v>
      </c>
      <c r="O1791" s="71">
        <f>IF(OR(I1791=$A$1,I1791=0),"",IF(N1791=MappingTables!$C$14,VLOOKUP(J1791,ModelParameters!$M$8:$N$15,2,FALSE),IF(N1791=MappingTables!$C$16,VLOOKUP(J1791,ModelParameters!$P$8:$Q$15,2,FALSE),0)))</f>
        <v>0.125</v>
      </c>
      <c r="P1791" s="73">
        <f>IF(OR(I1791=0,I1791=$A$1),0,MIN(O1791*M1791,1)*K1791)</f>
        <v>715.21005121531256</v>
      </c>
      <c r="Q1791" s="73">
        <f>IF(B1791="",0,IF(OR(H1791=MappingTables!$C$34,H1791=MappingTables!$C$35),P1791,0))</f>
        <v>0</v>
      </c>
      <c r="R1791" s="73">
        <f>IF(ISNA(IF(AND(VLOOKUP(CONCATENATE($D1791,$G1791),CSRFinput!$B:$E,4,0)=0,OR(H1791=MappingTables!$C$31,H1791=MappingTables!$C$32)),1,VLOOKUP(CONCATENATE($D1791,$G1791),CSRFinput!$B:$E,4,0))),0,IF(AND(VLOOKUP(CONCATENATE($D1791,$G1791),CSRFinput!$B:$E,4,0)=0,OR(H1791=MappingTables!$C$31,H1791=MappingTables!$C$32)),1,VLOOKUP(CONCATENATE($D1791,$G1791),CSRFinput!$B:$E,4,0)))</f>
        <v>0.054776304963434752</v>
      </c>
      <c r="S1791" s="73">
        <f>IF(B1791="",0,P1791*R1791)</f>
        <v>39.176563878283752</v>
      </c>
      <c r="T1791" s="85">
        <f>IF(B1791="",0,IF(OR(H1791=MappingTables!$C$34,H1791=MappingTables!$C$35),S1791,0))</f>
        <v>0</v>
      </c>
    </row>
    <row r="1792" spans="2:20" s="0" customFormat="0" ht="15">
      <c r="B1792" s="69" t="s">
        <v>4122</v>
      </c>
      <c r="C1792" s="70" t="s">
        <v>4123</v>
      </c>
      <c r="D1792" s="70" t="s">
        <v>1</v>
      </c>
      <c r="E1792" s="70" t="s">
        <v>1</v>
      </c>
      <c r="F1792" s="70"/>
      <c r="G1792" s="70" t="s">
        <v>61</v>
      </c>
      <c r="H1792" s="70" t="s">
        <v>178</v>
      </c>
      <c r="I1792" s="70" t="s">
        <v>198</v>
      </c>
      <c r="J1792" s="71" t="str">
        <f>IF(OR(I1792=0,I1792=""),"unrated",VLOOKUP(I1792,MappingTables!$B$19:$C$31,2,FALSE))</f>
        <v>unrated</v>
      </c>
      <c r="K1792" s="72">
        <v>8.9596272133856832</v>
      </c>
      <c r="L1792" s="70">
        <v>0.068492928540026528</v>
      </c>
      <c r="M1792" s="71">
        <f>IF(L1792&lt;1,1,L1792)</f>
        <v>1</v>
      </c>
      <c r="N1792" s="70" t="s">
        <v>3288</v>
      </c>
      <c r="O1792" s="71">
        <f>IF(OR(I1792=$A$1,I1792=0),"",IF(N1792=MappingTables!$C$14,VLOOKUP(J1792,ModelParameters!$M$8:$N$15,2,FALSE),IF(N1792=MappingTables!$C$16,VLOOKUP(J1792,ModelParameters!$P$8:$Q$15,2,FALSE),0)))</f>
        <v>1</v>
      </c>
      <c r="P1792" s="73">
        <f>IF(OR(I1792=0,I1792=$A$1),0,MIN(O1792*M1792,1)*K1792)</f>
        <v>8.9596272133856832</v>
      </c>
      <c r="Q1792" s="73">
        <f>IF(B1792="",0,IF(OR(H1792=MappingTables!$C$34,H1792=MappingTables!$C$35),P1792,0))</f>
        <v>0</v>
      </c>
      <c r="R1792" s="73">
        <f>IF(ISNA(IF(AND(VLOOKUP(CONCATENATE($D1792,$G1792),CSRFinput!$B:$E,4,0)=0,OR(H1792=MappingTables!$C$31,H1792=MappingTables!$C$32)),1,VLOOKUP(CONCATENATE($D1792,$G1792),CSRFinput!$B:$E,4,0))),0,IF(AND(VLOOKUP(CONCATENATE($D1792,$G1792),CSRFinput!$B:$E,4,0)=0,OR(H1792=MappingTables!$C$31,H1792=MappingTables!$C$32)),1,VLOOKUP(CONCATENATE($D1792,$G1792),CSRFinput!$B:$E,4,0)))</f>
        <v>0.054776304963434752</v>
      </c>
      <c r="S1792" s="73">
        <f>IF(B1792="",0,P1792*R1792)</f>
        <v>0.49077527259910328</v>
      </c>
      <c r="T1792" s="85">
        <f>IF(B1792="",0,IF(OR(H1792=MappingTables!$C$34,H1792=MappingTables!$C$35),S1792,0))</f>
        <v>0</v>
      </c>
    </row>
    <row r="1793" spans="2:20" s="0" customFormat="0" ht="15">
      <c r="B1793" s="69" t="s">
        <v>4464</v>
      </c>
      <c r="C1793" s="70" t="s">
        <v>4465</v>
      </c>
      <c r="D1793" s="70" t="s">
        <v>1</v>
      </c>
      <c r="E1793" s="70" t="s">
        <v>1</v>
      </c>
      <c r="F1793" s="70"/>
      <c r="G1793" s="70" t="s">
        <v>61</v>
      </c>
      <c r="H1793" s="70" t="s">
        <v>178</v>
      </c>
      <c r="I1793" s="70" t="s">
        <v>181</v>
      </c>
      <c r="J1793" s="71">
        <f>IF(OR(I1793=0,I1793=""),"unrated",VLOOKUP(I1793,MappingTables!$B$19:$C$31,2,FALSE))</f>
        <v>3</v>
      </c>
      <c r="K1793" s="72">
        <v>473.6771400427224</v>
      </c>
      <c r="L1793" s="70">
        <v>0.068491712741926</v>
      </c>
      <c r="M1793" s="71">
        <f>IF(L1793&lt;1,1,L1793)</f>
        <v>1</v>
      </c>
      <c r="N1793" s="70" t="s">
        <v>3288</v>
      </c>
      <c r="O1793" s="71">
        <f>IF(OR(I1793=$A$1,I1793=0),"",IF(N1793=MappingTables!$C$14,VLOOKUP(J1793,ModelParameters!$M$8:$N$15,2,FALSE),IF(N1793=MappingTables!$C$16,VLOOKUP(J1793,ModelParameters!$P$8:$Q$15,2,FALSE),0)))</f>
        <v>0.197</v>
      </c>
      <c r="P1793" s="73">
        <f>IF(OR(I1793=0,I1793=$A$1),0,MIN(O1793*M1793,1)*K1793)</f>
        <v>93.314396588416304</v>
      </c>
      <c r="Q1793" s="73">
        <f>IF(B1793="",0,IF(OR(H1793=MappingTables!$C$34,H1793=MappingTables!$C$35),P1793,0))</f>
        <v>0</v>
      </c>
      <c r="R1793" s="73">
        <f>IF(ISNA(IF(AND(VLOOKUP(CONCATENATE($D1793,$G1793),CSRFinput!$B:$E,4,0)=0,OR(H1793=MappingTables!$C$31,H1793=MappingTables!$C$32)),1,VLOOKUP(CONCATENATE($D1793,$G1793),CSRFinput!$B:$E,4,0))),0,IF(AND(VLOOKUP(CONCATENATE($D1793,$G1793),CSRFinput!$B:$E,4,0)=0,OR(H1793=MappingTables!$C$31,H1793=MappingTables!$C$32)),1,VLOOKUP(CONCATENATE($D1793,$G1793),CSRFinput!$B:$E,4,0)))</f>
        <v>0.054776304963434752</v>
      </c>
      <c r="S1793" s="73">
        <f>IF(B1793="",0,P1793*R1793)</f>
        <v>5.1114178450059872</v>
      </c>
      <c r="T1793" s="85">
        <f>IF(B1793="",0,IF(OR(H1793=MappingTables!$C$34,H1793=MappingTables!$C$35),S1793,0))</f>
        <v>0</v>
      </c>
    </row>
    <row r="1794" spans="2:20" s="0" customFormat="0" ht="15">
      <c r="B1794" s="69" t="s">
        <v>3968</v>
      </c>
      <c r="C1794" s="70" t="s">
        <v>3969</v>
      </c>
      <c r="D1794" s="70" t="s">
        <v>1</v>
      </c>
      <c r="E1794" s="70" t="s">
        <v>1</v>
      </c>
      <c r="F1794" s="70"/>
      <c r="G1794" s="70" t="s">
        <v>61</v>
      </c>
      <c r="H1794" s="70" t="s">
        <v>178</v>
      </c>
      <c r="I1794" s="70" t="s">
        <v>198</v>
      </c>
      <c r="J1794" s="71" t="str">
        <f>IF(OR(I1794=0,I1794=""),"unrated",VLOOKUP(I1794,MappingTables!$B$19:$C$31,2,FALSE))</f>
        <v>unrated</v>
      </c>
      <c r="K1794" s="72">
        <v>16.669236262704732</v>
      </c>
      <c r="L1794" s="70">
        <v>9.691878145385264</v>
      </c>
      <c r="M1794" s="71">
        <f>IF(L1794&lt;1,1,L1794)</f>
        <v>9.691878145385264</v>
      </c>
      <c r="N1794" s="70" t="s">
        <v>3288</v>
      </c>
      <c r="O1794" s="71">
        <f>IF(OR(I1794=$A$1,I1794=0),"",IF(N1794=MappingTables!$C$14,VLOOKUP(J1794,ModelParameters!$M$8:$N$15,2,FALSE),IF(N1794=MappingTables!$C$16,VLOOKUP(J1794,ModelParameters!$P$8:$Q$15,2,FALSE),0)))</f>
        <v>1</v>
      </c>
      <c r="P1794" s="73">
        <f>IF(OR(I1794=0,I1794=$A$1),0,MIN(O1794*M1794,1)*K1794)</f>
        <v>16.669236262704732</v>
      </c>
      <c r="Q1794" s="73">
        <f>IF(B1794="",0,IF(OR(H1794=MappingTables!$C$34,H1794=MappingTables!$C$35),P1794,0))</f>
        <v>0</v>
      </c>
      <c r="R1794" s="73">
        <f>IF(ISNA(IF(AND(VLOOKUP(CONCATENATE($D1794,$G1794),CSRFinput!$B:$E,4,0)=0,OR(H1794=MappingTables!$C$31,H1794=MappingTables!$C$32)),1,VLOOKUP(CONCATENATE($D1794,$G1794),CSRFinput!$B:$E,4,0))),0,IF(AND(VLOOKUP(CONCATENATE($D1794,$G1794),CSRFinput!$B:$E,4,0)=0,OR(H1794=MappingTables!$C$31,H1794=MappingTables!$C$32)),1,VLOOKUP(CONCATENATE($D1794,$G1794),CSRFinput!$B:$E,4,0)))</f>
        <v>0.054776304963434752</v>
      </c>
      <c r="S1794" s="73">
        <f>IF(B1794="",0,P1794*R1794)</f>
        <v>0.91307916903345968</v>
      </c>
      <c r="T1794" s="85">
        <f>IF(B1794="",0,IF(OR(H1794=MappingTables!$C$34,H1794=MappingTables!$C$35),S1794,0))</f>
        <v>0</v>
      </c>
    </row>
    <row r="1795" spans="2:20" s="0" customFormat="0" ht="15">
      <c r="B1795" s="69">
        <v>22623667</v>
      </c>
      <c r="C1795" s="70" t="s">
        <v>5124</v>
      </c>
      <c r="D1795" s="70" t="s">
        <v>1</v>
      </c>
      <c r="E1795" s="70" t="s">
        <v>1</v>
      </c>
      <c r="F1795" s="70"/>
      <c r="G1795" s="70" t="s">
        <v>61</v>
      </c>
      <c r="H1795" s="70" t="s">
        <v>178</v>
      </c>
      <c r="I1795" s="70" t="s">
        <v>198</v>
      </c>
      <c r="J1795" s="71" t="str">
        <f>IF(OR(I1795=0,I1795=""),"unrated",VLOOKUP(I1795,MappingTables!$B$19:$C$31,2,FALSE))</f>
        <v>unrated</v>
      </c>
      <c r="K1795" s="72">
        <v>148.972256144497</v>
      </c>
      <c r="L1795" s="70">
        <v>0.113337462601305</v>
      </c>
      <c r="M1795" s="71">
        <f>IF(L1795&lt;1,1,L1795)</f>
        <v>1</v>
      </c>
      <c r="N1795" s="70" t="s">
        <v>3288</v>
      </c>
      <c r="O1795" s="71">
        <f>IF(OR(I1795=$A$1,I1795=0),"",IF(N1795=MappingTables!$C$14,VLOOKUP(J1795,ModelParameters!$M$8:$N$15,2,FALSE),IF(N1795=MappingTables!$C$16,VLOOKUP(J1795,ModelParameters!$P$8:$Q$15,2,FALSE),0)))</f>
        <v>1</v>
      </c>
      <c r="P1795" s="73">
        <f>IF(OR(I1795=0,I1795=$A$1),0,MIN(O1795*M1795,1)*K1795)</f>
        <v>148.972256144497</v>
      </c>
      <c r="Q1795" s="73">
        <f>IF(B1795="",0,IF(OR(H1795=MappingTables!$C$34,H1795=MappingTables!$C$35),P1795,0))</f>
        <v>0</v>
      </c>
      <c r="R1795" s="73">
        <f>IF(ISNA(IF(AND(VLOOKUP(CONCATENATE($D1795,$G1795),CSRFinput!$B:$E,4,0)=0,OR(H1795=MappingTables!$C$31,H1795=MappingTables!$C$32)),1,VLOOKUP(CONCATENATE($D1795,$G1795),CSRFinput!$B:$E,4,0))),0,IF(AND(VLOOKUP(CONCATENATE($D1795,$G1795),CSRFinput!$B:$E,4,0)=0,OR(H1795=MappingTables!$C$31,H1795=MappingTables!$C$32)),1,VLOOKUP(CONCATENATE($D1795,$G1795),CSRFinput!$B:$E,4,0)))</f>
        <v>0.054776304963434752</v>
      </c>
      <c r="S1795" s="73">
        <f>IF(B1795="",0,P1795*R1795)</f>
        <v>8.1601497336618848</v>
      </c>
      <c r="T1795" s="85">
        <f>IF(B1795="",0,IF(OR(H1795=MappingTables!$C$34,H1795=MappingTables!$C$35),S1795,0))</f>
        <v>0</v>
      </c>
    </row>
    <row r="1796" spans="2:20" s="0" customFormat="0" ht="15">
      <c r="B1796" s="69">
        <v>22554205</v>
      </c>
      <c r="C1796" s="70" t="s">
        <v>3486</v>
      </c>
      <c r="D1796" s="70" t="s">
        <v>1</v>
      </c>
      <c r="E1796" s="70" t="s">
        <v>1</v>
      </c>
      <c r="F1796" s="70"/>
      <c r="G1796" s="70" t="s">
        <v>61</v>
      </c>
      <c r="H1796" s="70" t="s">
        <v>178</v>
      </c>
      <c r="I1796" s="70" t="s">
        <v>198</v>
      </c>
      <c r="J1796" s="71" t="str">
        <f>IF(OR(I1796=0,I1796=""),"unrated",VLOOKUP(I1796,MappingTables!$B$19:$C$31,2,FALSE))</f>
        <v>unrated</v>
      </c>
      <c r="K1796" s="72">
        <v>779.53319311330864</v>
      </c>
      <c r="L1796" s="70">
        <v>0.068493523885989632</v>
      </c>
      <c r="M1796" s="71">
        <f>IF(L1796&lt;1,1,L1796)</f>
        <v>1</v>
      </c>
      <c r="N1796" s="70" t="s">
        <v>3288</v>
      </c>
      <c r="O1796" s="71">
        <f>IF(OR(I1796=$A$1,I1796=0),"",IF(N1796=MappingTables!$C$14,VLOOKUP(J1796,ModelParameters!$M$8:$N$15,2,FALSE),IF(N1796=MappingTables!$C$16,VLOOKUP(J1796,ModelParameters!$P$8:$Q$15,2,FALSE),0)))</f>
        <v>1</v>
      </c>
      <c r="P1796" s="73">
        <f>IF(OR(I1796=0,I1796=$A$1),0,MIN(O1796*M1796,1)*K1796)</f>
        <v>779.53319311330864</v>
      </c>
      <c r="Q1796" s="73">
        <f>IF(B1796="",0,IF(OR(H1796=MappingTables!$C$34,H1796=MappingTables!$C$35),P1796,0))</f>
        <v>0</v>
      </c>
      <c r="R1796" s="73">
        <f>IF(ISNA(IF(AND(VLOOKUP(CONCATENATE($D1796,$G1796),CSRFinput!$B:$E,4,0)=0,OR(H1796=MappingTables!$C$31,H1796=MappingTables!$C$32)),1,VLOOKUP(CONCATENATE($D1796,$G1796),CSRFinput!$B:$E,4,0))),0,IF(AND(VLOOKUP(CONCATENATE($D1796,$G1796),CSRFinput!$B:$E,4,0)=0,OR(H1796=MappingTables!$C$31,H1796=MappingTables!$C$32)),1,VLOOKUP(CONCATENATE($D1796,$G1796),CSRFinput!$B:$E,4,0)))</f>
        <v>0.054776304963434752</v>
      </c>
      <c r="S1796" s="73">
        <f>IF(B1796="",0,P1796*R1796)</f>
        <v>42.699947915094672</v>
      </c>
      <c r="T1796" s="85">
        <f>IF(B1796="",0,IF(OR(H1796=MappingTables!$C$34,H1796=MappingTables!$C$35),S1796,0))</f>
        <v>0</v>
      </c>
    </row>
    <row r="1797" spans="2:20" s="0" customFormat="0" ht="15">
      <c r="B1797" s="69" t="s">
        <v>4051</v>
      </c>
      <c r="C1797" s="70" t="s">
        <v>4052</v>
      </c>
      <c r="D1797" s="70" t="s">
        <v>1</v>
      </c>
      <c r="E1797" s="70" t="s">
        <v>1</v>
      </c>
      <c r="F1797" s="70"/>
      <c r="G1797" s="70" t="s">
        <v>61</v>
      </c>
      <c r="H1797" s="70" t="s">
        <v>178</v>
      </c>
      <c r="I1797" s="70" t="s">
        <v>204</v>
      </c>
      <c r="J1797" s="71">
        <f>IF(OR(I1797=0,I1797=""),"unrated",VLOOKUP(I1797,MappingTables!$B$19:$C$31,2,FALSE))</f>
        <v>6</v>
      </c>
      <c r="K1797" s="72">
        <v>119.0230523893432</v>
      </c>
      <c r="L1797" s="70">
        <v>0.068494696366195416</v>
      </c>
      <c r="M1797" s="71">
        <f>IF(L1797&lt;1,1,L1797)</f>
        <v>1</v>
      </c>
      <c r="N1797" s="70" t="s">
        <v>3288</v>
      </c>
      <c r="O1797" s="71">
        <f>IF(OR(I1797=$A$1,I1797=0),"",IF(N1797=MappingTables!$C$14,VLOOKUP(J1797,ModelParameters!$M$8:$N$15,2,FALSE),IF(N1797=MappingTables!$C$16,VLOOKUP(J1797,ModelParameters!$P$8:$Q$15,2,FALSE),0)))</f>
        <v>1</v>
      </c>
      <c r="P1797" s="73">
        <f>IF(OR(I1797=0,I1797=$A$1),0,MIN(O1797*M1797,1)*K1797)</f>
        <v>119.0230523893432</v>
      </c>
      <c r="Q1797" s="73">
        <f>IF(B1797="",0,IF(OR(H1797=MappingTables!$C$34,H1797=MappingTables!$C$35),P1797,0))</f>
        <v>0</v>
      </c>
      <c r="R1797" s="73">
        <f>IF(ISNA(IF(AND(VLOOKUP(CONCATENATE($D1797,$G1797),CSRFinput!$B:$E,4,0)=0,OR(H1797=MappingTables!$C$31,H1797=MappingTables!$C$32)),1,VLOOKUP(CONCATENATE($D1797,$G1797),CSRFinput!$B:$E,4,0))),0,IF(AND(VLOOKUP(CONCATENATE($D1797,$G1797),CSRFinput!$B:$E,4,0)=0,OR(H1797=MappingTables!$C$31,H1797=MappingTables!$C$32)),1,VLOOKUP(CONCATENATE($D1797,$G1797),CSRFinput!$B:$E,4,0)))</f>
        <v>0.054776304963434752</v>
      </c>
      <c r="S1797" s="73">
        <f>IF(B1797="",0,P1797*R1797)</f>
        <v>6.5196430153575352</v>
      </c>
      <c r="T1797" s="85">
        <f>IF(B1797="",0,IF(OR(H1797=MappingTables!$C$34,H1797=MappingTables!$C$35),S1797,0))</f>
        <v>0</v>
      </c>
    </row>
    <row r="1798" spans="2:20" s="0" customFormat="0" ht="15">
      <c r="B1798" s="69" t="s">
        <v>4752</v>
      </c>
      <c r="C1798" s="70" t="s">
        <v>4753</v>
      </c>
      <c r="D1798" s="70" t="s">
        <v>1</v>
      </c>
      <c r="E1798" s="70" t="s">
        <v>1</v>
      </c>
      <c r="F1798" s="70"/>
      <c r="G1798" s="70" t="s">
        <v>61</v>
      </c>
      <c r="H1798" s="70" t="s">
        <v>178</v>
      </c>
      <c r="I1798" s="70" t="s">
        <v>198</v>
      </c>
      <c r="J1798" s="71" t="str">
        <f>IF(OR(I1798=0,I1798=""),"unrated",VLOOKUP(I1798,MappingTables!$B$19:$C$31,2,FALSE))</f>
        <v>unrated</v>
      </c>
      <c r="K1798" s="72">
        <v>0.1893996999394516</v>
      </c>
      <c r="L1798" s="70">
        <v>7.9929509837054896</v>
      </c>
      <c r="M1798" s="71">
        <f>IF(L1798&lt;1,1,L1798)</f>
        <v>7.9929509837054896</v>
      </c>
      <c r="N1798" s="70" t="s">
        <v>3288</v>
      </c>
      <c r="O1798" s="71">
        <f>IF(OR(I1798=$A$1,I1798=0),"",IF(N1798=MappingTables!$C$14,VLOOKUP(J1798,ModelParameters!$M$8:$N$15,2,FALSE),IF(N1798=MappingTables!$C$16,VLOOKUP(J1798,ModelParameters!$P$8:$Q$15,2,FALSE),0)))</f>
        <v>1</v>
      </c>
      <c r="P1798" s="73">
        <f>IF(OR(I1798=0,I1798=$A$1),0,MIN(O1798*M1798,1)*K1798)</f>
        <v>0.1893996999394516</v>
      </c>
      <c r="Q1798" s="73">
        <f>IF(B1798="",0,IF(OR(H1798=MappingTables!$C$34,H1798=MappingTables!$C$35),P1798,0))</f>
        <v>0</v>
      </c>
      <c r="R1798" s="73">
        <f>IF(ISNA(IF(AND(VLOOKUP(CONCATENATE($D1798,$G1798),CSRFinput!$B:$E,4,0)=0,OR(H1798=MappingTables!$C$31,H1798=MappingTables!$C$32)),1,VLOOKUP(CONCATENATE($D1798,$G1798),CSRFinput!$B:$E,4,0))),0,IF(AND(VLOOKUP(CONCATENATE($D1798,$G1798),CSRFinput!$B:$E,4,0)=0,OR(H1798=MappingTables!$C$31,H1798=MappingTables!$C$32)),1,VLOOKUP(CONCATENATE($D1798,$G1798),CSRFinput!$B:$E,4,0)))</f>
        <v>0.054776304963434752</v>
      </c>
      <c r="S1798" s="73">
        <f>IF(B1798="",0,P1798*R1798)</f>
        <v>0.010374615723866436</v>
      </c>
      <c r="T1798" s="85">
        <f>IF(B1798="",0,IF(OR(H1798=MappingTables!$C$34,H1798=MappingTables!$C$35),S1798,0))</f>
        <v>0</v>
      </c>
    </row>
    <row r="1799" spans="2:20" s="0" customFormat="0" ht="15">
      <c r="B1799" s="69" t="s">
        <v>5153</v>
      </c>
      <c r="C1799" s="70" t="s">
        <v>5154</v>
      </c>
      <c r="D1799" s="70" t="s">
        <v>1</v>
      </c>
      <c r="E1799" s="70" t="s">
        <v>1</v>
      </c>
      <c r="F1799" s="70"/>
      <c r="G1799" s="70" t="s">
        <v>61</v>
      </c>
      <c r="H1799" s="70" t="s">
        <v>178</v>
      </c>
      <c r="I1799" s="70" t="s">
        <v>184</v>
      </c>
      <c r="J1799" s="71">
        <f>IF(OR(I1799=0,I1799=""),"unrated",VLOOKUP(I1799,MappingTables!$B$19:$C$31,2,FALSE))</f>
        <v>5</v>
      </c>
      <c r="K1799" s="72">
        <v>473.24716346497528</v>
      </c>
      <c r="L1799" s="70">
        <v>0.068488894389007208</v>
      </c>
      <c r="M1799" s="71">
        <f>IF(L1799&lt;1,1,L1799)</f>
        <v>1</v>
      </c>
      <c r="N1799" s="70" t="s">
        <v>3288</v>
      </c>
      <c r="O1799" s="71">
        <f>IF(OR(I1799=$A$1,I1799=0),"",IF(N1799=MappingTables!$C$14,VLOOKUP(J1799,ModelParameters!$M$8:$N$15,2,FALSE),IF(N1799=MappingTables!$C$16,VLOOKUP(J1799,ModelParameters!$P$8:$Q$15,2,FALSE),0)))</f>
        <v>1</v>
      </c>
      <c r="P1799" s="73">
        <f>IF(OR(I1799=0,I1799=$A$1),0,MIN(O1799*M1799,1)*K1799)</f>
        <v>473.24716346497528</v>
      </c>
      <c r="Q1799" s="73">
        <f>IF(B1799="",0,IF(OR(H1799=MappingTables!$C$34,H1799=MappingTables!$C$35),P1799,0))</f>
        <v>0</v>
      </c>
      <c r="R1799" s="73">
        <f>IF(ISNA(IF(AND(VLOOKUP(CONCATENATE($D1799,$G1799),CSRFinput!$B:$E,4,0)=0,OR(H1799=MappingTables!$C$31,H1799=MappingTables!$C$32)),1,VLOOKUP(CONCATENATE($D1799,$G1799),CSRFinput!$B:$E,4,0))),0,IF(AND(VLOOKUP(CONCATENATE($D1799,$G1799),CSRFinput!$B:$E,4,0)=0,OR(H1799=MappingTables!$C$31,H1799=MappingTables!$C$32)),1,VLOOKUP(CONCATENATE($D1799,$G1799),CSRFinput!$B:$E,4,0)))</f>
        <v>0.054776304963434752</v>
      </c>
      <c r="S1799" s="73">
        <f>IF(B1799="",0,P1799*R1799)</f>
        <v>25.922730949037944</v>
      </c>
      <c r="T1799" s="85">
        <f>IF(B1799="",0,IF(OR(H1799=MappingTables!$C$34,H1799=MappingTables!$C$35),S1799,0))</f>
        <v>0</v>
      </c>
    </row>
    <row r="1800" spans="2:20" s="0" customFormat="0" ht="15">
      <c r="B1800" s="69">
        <v>16974687</v>
      </c>
      <c r="C1800" s="70" t="s">
        <v>4907</v>
      </c>
      <c r="D1800" s="70" t="s">
        <v>1</v>
      </c>
      <c r="E1800" s="70" t="s">
        <v>1</v>
      </c>
      <c r="F1800" s="70"/>
      <c r="G1800" s="70" t="s">
        <v>61</v>
      </c>
      <c r="H1800" s="70" t="s">
        <v>178</v>
      </c>
      <c r="I1800" s="70" t="s">
        <v>198</v>
      </c>
      <c r="J1800" s="71" t="str">
        <f>IF(OR(I1800=0,I1800=""),"unrated",VLOOKUP(I1800,MappingTables!$B$19:$C$31,2,FALSE))</f>
        <v>unrated</v>
      </c>
      <c r="K1800" s="72">
        <v>303.53473603259596</v>
      </c>
      <c r="L1800" s="70">
        <v>0.075867185413332144</v>
      </c>
      <c r="M1800" s="71">
        <f>IF(L1800&lt;1,1,L1800)</f>
        <v>1</v>
      </c>
      <c r="N1800" s="70" t="s">
        <v>3288</v>
      </c>
      <c r="O1800" s="71">
        <f>IF(OR(I1800=$A$1,I1800=0),"",IF(N1800=MappingTables!$C$14,VLOOKUP(J1800,ModelParameters!$M$8:$N$15,2,FALSE),IF(N1800=MappingTables!$C$16,VLOOKUP(J1800,ModelParameters!$P$8:$Q$15,2,FALSE),0)))</f>
        <v>1</v>
      </c>
      <c r="P1800" s="73">
        <f>IF(OR(I1800=0,I1800=$A$1),0,MIN(O1800*M1800,1)*K1800)</f>
        <v>303.53473603259596</v>
      </c>
      <c r="Q1800" s="73">
        <f>IF(B1800="",0,IF(OR(H1800=MappingTables!$C$34,H1800=MappingTables!$C$35),P1800,0))</f>
        <v>0</v>
      </c>
      <c r="R1800" s="73">
        <f>IF(ISNA(IF(AND(VLOOKUP(CONCATENATE($D1800,$G1800),CSRFinput!$B:$E,4,0)=0,OR(H1800=MappingTables!$C$31,H1800=MappingTables!$C$32)),1,VLOOKUP(CONCATENATE($D1800,$G1800),CSRFinput!$B:$E,4,0))),0,IF(AND(VLOOKUP(CONCATENATE($D1800,$G1800),CSRFinput!$B:$E,4,0)=0,OR(H1800=MappingTables!$C$31,H1800=MappingTables!$C$32)),1,VLOOKUP(CONCATENATE($D1800,$G1800),CSRFinput!$B:$E,4,0)))</f>
        <v>0.054776304963434752</v>
      </c>
      <c r="S1800" s="73">
        <f>IF(B1800="",0,P1800*R1800)</f>
        <v>16.626511267917146</v>
      </c>
      <c r="T1800" s="85">
        <f>IF(B1800="",0,IF(OR(H1800=MappingTables!$C$34,H1800=MappingTables!$C$35),S1800,0))</f>
        <v>0</v>
      </c>
    </row>
    <row r="1801" spans="2:20" s="0" customFormat="0" ht="15">
      <c r="B1801" s="69" t="s">
        <v>5155</v>
      </c>
      <c r="C1801" s="70" t="s">
        <v>5156</v>
      </c>
      <c r="D1801" s="70" t="s">
        <v>1</v>
      </c>
      <c r="E1801" s="70" t="s">
        <v>1</v>
      </c>
      <c r="F1801" s="70"/>
      <c r="G1801" s="70" t="s">
        <v>61</v>
      </c>
      <c r="H1801" s="70" t="s">
        <v>178</v>
      </c>
      <c r="I1801" s="70" t="s">
        <v>198</v>
      </c>
      <c r="J1801" s="71" t="str">
        <f>IF(OR(I1801=0,I1801=""),"unrated",VLOOKUP(I1801,MappingTables!$B$19:$C$31,2,FALSE))</f>
        <v>unrated</v>
      </c>
      <c r="K1801" s="72">
        <v>164.74117154006558</v>
      </c>
      <c r="L1801" s="70">
        <v>0.037365680002929952</v>
      </c>
      <c r="M1801" s="71">
        <f>IF(L1801&lt;1,1,L1801)</f>
        <v>1</v>
      </c>
      <c r="N1801" s="70" t="s">
        <v>3288</v>
      </c>
      <c r="O1801" s="71">
        <f>IF(OR(I1801=$A$1,I1801=0),"",IF(N1801=MappingTables!$C$14,VLOOKUP(J1801,ModelParameters!$M$8:$N$15,2,FALSE),IF(N1801=MappingTables!$C$16,VLOOKUP(J1801,ModelParameters!$P$8:$Q$15,2,FALSE),0)))</f>
        <v>1</v>
      </c>
      <c r="P1801" s="73">
        <f>IF(OR(I1801=0,I1801=$A$1),0,MIN(O1801*M1801,1)*K1801)</f>
        <v>164.74117154006558</v>
      </c>
      <c r="Q1801" s="73">
        <f>IF(B1801="",0,IF(OR(H1801=MappingTables!$C$34,H1801=MappingTables!$C$35),P1801,0))</f>
        <v>0</v>
      </c>
      <c r="R1801" s="73">
        <f>IF(ISNA(IF(AND(VLOOKUP(CONCATENATE($D1801,$G1801),CSRFinput!$B:$E,4,0)=0,OR(H1801=MappingTables!$C$31,H1801=MappingTables!$C$32)),1,VLOOKUP(CONCATENATE($D1801,$G1801),CSRFinput!$B:$E,4,0))),0,IF(AND(VLOOKUP(CONCATENATE($D1801,$G1801),CSRFinput!$B:$E,4,0)=0,OR(H1801=MappingTables!$C$31,H1801=MappingTables!$C$32)),1,VLOOKUP(CONCATENATE($D1801,$G1801),CSRFinput!$B:$E,4,0)))</f>
        <v>0.054776304963434752</v>
      </c>
      <c r="S1801" s="73">
        <f>IF(B1801="",0,P1801*R1801)</f>
        <v>9.0239126523121504</v>
      </c>
      <c r="T1801" s="85">
        <f>IF(B1801="",0,IF(OR(H1801=MappingTables!$C$34,H1801=MappingTables!$C$35),S1801,0))</f>
        <v>0</v>
      </c>
    </row>
    <row r="1802" spans="2:20" s="0" customFormat="0" ht="15">
      <c r="B1802" s="69" t="s">
        <v>4469</v>
      </c>
      <c r="C1802" s="70" t="s">
        <v>4470</v>
      </c>
      <c r="D1802" s="70" t="s">
        <v>1</v>
      </c>
      <c r="E1802" s="70" t="s">
        <v>1</v>
      </c>
      <c r="F1802" s="70"/>
      <c r="G1802" s="70" t="s">
        <v>61</v>
      </c>
      <c r="H1802" s="70" t="s">
        <v>178</v>
      </c>
      <c r="I1802" s="70" t="s">
        <v>181</v>
      </c>
      <c r="J1802" s="71">
        <f>IF(OR(I1802=0,I1802=""),"unrated",VLOOKUP(I1802,MappingTables!$B$19:$C$31,2,FALSE))</f>
        <v>3</v>
      </c>
      <c r="K1802" s="72">
        <v>55.242445716302368</v>
      </c>
      <c r="L1802" s="70">
        <v>0.068493450807790944</v>
      </c>
      <c r="M1802" s="71">
        <f>IF(L1802&lt;1,1,L1802)</f>
        <v>1</v>
      </c>
      <c r="N1802" s="70" t="s">
        <v>3288</v>
      </c>
      <c r="O1802" s="71">
        <f>IF(OR(I1802=$A$1,I1802=0),"",IF(N1802=MappingTables!$C$14,VLOOKUP(J1802,ModelParameters!$M$8:$N$15,2,FALSE),IF(N1802=MappingTables!$C$16,VLOOKUP(J1802,ModelParameters!$P$8:$Q$15,2,FALSE),0)))</f>
        <v>0.197</v>
      </c>
      <c r="P1802" s="73">
        <f>IF(OR(I1802=0,I1802=$A$1),0,MIN(O1802*M1802,1)*K1802)</f>
        <v>10.882761806111566</v>
      </c>
      <c r="Q1802" s="73">
        <f>IF(B1802="",0,IF(OR(H1802=MappingTables!$C$34,H1802=MappingTables!$C$35),P1802,0))</f>
        <v>0</v>
      </c>
      <c r="R1802" s="73">
        <f>IF(ISNA(IF(AND(VLOOKUP(CONCATENATE($D1802,$G1802),CSRFinput!$B:$E,4,0)=0,OR(H1802=MappingTables!$C$31,H1802=MappingTables!$C$32)),1,VLOOKUP(CONCATENATE($D1802,$G1802),CSRFinput!$B:$E,4,0))),0,IF(AND(VLOOKUP(CONCATENATE($D1802,$G1802),CSRFinput!$B:$E,4,0)=0,OR(H1802=MappingTables!$C$31,H1802=MappingTables!$C$32)),1,VLOOKUP(CONCATENATE($D1802,$G1802),CSRFinput!$B:$E,4,0)))</f>
        <v>0.054776304963434752</v>
      </c>
      <c r="S1802" s="73">
        <f>IF(B1802="",0,P1802*R1802)</f>
        <v>0.59611747953598712</v>
      </c>
      <c r="T1802" s="85">
        <f>IF(B1802="",0,IF(OR(H1802=MappingTables!$C$34,H1802=MappingTables!$C$35),S1802,0))</f>
        <v>0</v>
      </c>
    </row>
    <row r="1803" spans="2:20" s="0" customFormat="0" ht="15">
      <c r="B1803" s="69" t="s">
        <v>4819</v>
      </c>
      <c r="C1803" s="70" t="s">
        <v>4820</v>
      </c>
      <c r="D1803" s="70" t="s">
        <v>1</v>
      </c>
      <c r="E1803" s="70" t="s">
        <v>1</v>
      </c>
      <c r="F1803" s="70"/>
      <c r="G1803" s="70" t="s">
        <v>61</v>
      </c>
      <c r="H1803" s="70" t="s">
        <v>178</v>
      </c>
      <c r="I1803" s="70" t="s">
        <v>220</v>
      </c>
      <c r="J1803" s="71">
        <f>IF(OR(I1803=0,I1803=""),"unrated",VLOOKUP(I1803,MappingTables!$B$19:$C$31,2,FALSE))</f>
        <v>1</v>
      </c>
      <c r="K1803" s="72">
        <v>38.5676039089332</v>
      </c>
      <c r="L1803" s="70">
        <v>0.068495316524932904</v>
      </c>
      <c r="M1803" s="71">
        <f>IF(L1803&lt;1,1,L1803)</f>
        <v>1</v>
      </c>
      <c r="N1803" s="70" t="s">
        <v>3288</v>
      </c>
      <c r="O1803" s="71">
        <f>IF(OR(I1803=$A$1,I1803=0),"",IF(N1803=MappingTables!$C$14,VLOOKUP(J1803,ModelParameters!$M$8:$N$15,2,FALSE),IF(N1803=MappingTables!$C$16,VLOOKUP(J1803,ModelParameters!$P$8:$Q$15,2,FALSE),0)))</f>
        <v>0.134</v>
      </c>
      <c r="P1803" s="73">
        <f>IF(OR(I1803=0,I1803=$A$1),0,MIN(O1803*M1803,1)*K1803)</f>
        <v>5.1680589237970488</v>
      </c>
      <c r="Q1803" s="73">
        <f>IF(B1803="",0,IF(OR(H1803=MappingTables!$C$34,H1803=MappingTables!$C$35),P1803,0))</f>
        <v>0</v>
      </c>
      <c r="R1803" s="73">
        <f>IF(ISNA(IF(AND(VLOOKUP(CONCATENATE($D1803,$G1803),CSRFinput!$B:$E,4,0)=0,OR(H1803=MappingTables!$C$31,H1803=MappingTables!$C$32)),1,VLOOKUP(CONCATENATE($D1803,$G1803),CSRFinput!$B:$E,4,0))),0,IF(AND(VLOOKUP(CONCATENATE($D1803,$G1803),CSRFinput!$B:$E,4,0)=0,OR(H1803=MappingTables!$C$31,H1803=MappingTables!$C$32)),1,VLOOKUP(CONCATENATE($D1803,$G1803),CSRFinput!$B:$E,4,0)))</f>
        <v>0.054776304963434752</v>
      </c>
      <c r="S1803" s="73">
        <f>IF(B1803="",0,P1803*R1803)</f>
        <v>0.28308717167890756</v>
      </c>
      <c r="T1803" s="85">
        <f>IF(B1803="",0,IF(OR(H1803=MappingTables!$C$34,H1803=MappingTables!$C$35),S1803,0))</f>
        <v>0</v>
      </c>
    </row>
    <row r="1804" spans="2:20" s="0" customFormat="0" ht="15">
      <c r="B1804" s="69" t="s">
        <v>3568</v>
      </c>
      <c r="C1804" s="70" t="s">
        <v>3569</v>
      </c>
      <c r="D1804" s="70" t="s">
        <v>1</v>
      </c>
      <c r="E1804" s="70" t="s">
        <v>1</v>
      </c>
      <c r="F1804" s="70"/>
      <c r="G1804" s="70" t="s">
        <v>61</v>
      </c>
      <c r="H1804" s="70" t="s">
        <v>178</v>
      </c>
      <c r="I1804" s="70" t="s">
        <v>198</v>
      </c>
      <c r="J1804" s="71" t="str">
        <f>IF(OR(I1804=0,I1804=""),"unrated",VLOOKUP(I1804,MappingTables!$B$19:$C$31,2,FALSE))</f>
        <v>unrated</v>
      </c>
      <c r="K1804" s="72">
        <v>0.60690500662461544</v>
      </c>
      <c r="L1804" s="70">
        <v>6.5279162216413344</v>
      </c>
      <c r="M1804" s="71">
        <f>IF(L1804&lt;1,1,L1804)</f>
        <v>6.5279162216413344</v>
      </c>
      <c r="N1804" s="70" t="s">
        <v>3288</v>
      </c>
      <c r="O1804" s="71">
        <f>IF(OR(I1804=$A$1,I1804=0),"",IF(N1804=MappingTables!$C$14,VLOOKUP(J1804,ModelParameters!$M$8:$N$15,2,FALSE),IF(N1804=MappingTables!$C$16,VLOOKUP(J1804,ModelParameters!$P$8:$Q$15,2,FALSE),0)))</f>
        <v>1</v>
      </c>
      <c r="P1804" s="73">
        <f>IF(OR(I1804=0,I1804=$A$1),0,MIN(O1804*M1804,1)*K1804)</f>
        <v>0.60690500662461544</v>
      </c>
      <c r="Q1804" s="73">
        <f>IF(B1804="",0,IF(OR(H1804=MappingTables!$C$34,H1804=MappingTables!$C$35),P1804,0))</f>
        <v>0</v>
      </c>
      <c r="R1804" s="73">
        <f>IF(ISNA(IF(AND(VLOOKUP(CONCATENATE($D1804,$G1804),CSRFinput!$B:$E,4,0)=0,OR(H1804=MappingTables!$C$31,H1804=MappingTables!$C$32)),1,VLOOKUP(CONCATENATE($D1804,$G1804),CSRFinput!$B:$E,4,0))),0,IF(AND(VLOOKUP(CONCATENATE($D1804,$G1804),CSRFinput!$B:$E,4,0)=0,OR(H1804=MappingTables!$C$31,H1804=MappingTables!$C$32)),1,VLOOKUP(CONCATENATE($D1804,$G1804),CSRFinput!$B:$E,4,0)))</f>
        <v>0.054776304963434752</v>
      </c>
      <c r="S1804" s="73">
        <f>IF(B1804="",0,P1804*R1804)</f>
        <v>0.033244013726705324</v>
      </c>
      <c r="T1804" s="85">
        <f>IF(B1804="",0,IF(OR(H1804=MappingTables!$C$34,H1804=MappingTables!$C$35),S1804,0))</f>
        <v>0</v>
      </c>
    </row>
    <row r="1805" spans="2:20" s="0" customFormat="0" ht="15">
      <c r="B1805" s="69">
        <v>16974682</v>
      </c>
      <c r="C1805" s="70" t="s">
        <v>5157</v>
      </c>
      <c r="D1805" s="70" t="s">
        <v>1</v>
      </c>
      <c r="E1805" s="70" t="s">
        <v>1</v>
      </c>
      <c r="F1805" s="70"/>
      <c r="G1805" s="70" t="s">
        <v>61</v>
      </c>
      <c r="H1805" s="70" t="s">
        <v>178</v>
      </c>
      <c r="I1805" s="70" t="s">
        <v>198</v>
      </c>
      <c r="J1805" s="71" t="str">
        <f>IF(OR(I1805=0,I1805=""),"unrated",VLOOKUP(I1805,MappingTables!$B$19:$C$31,2,FALSE))</f>
        <v>unrated</v>
      </c>
      <c r="K1805" s="72">
        <v>160.9112464319444</v>
      </c>
      <c r="L1805" s="70">
        <v>0.24653505823888304</v>
      </c>
      <c r="M1805" s="71">
        <f>IF(L1805&lt;1,1,L1805)</f>
        <v>1</v>
      </c>
      <c r="N1805" s="70" t="s">
        <v>3288</v>
      </c>
      <c r="O1805" s="71">
        <f>IF(OR(I1805=$A$1,I1805=0),"",IF(N1805=MappingTables!$C$14,VLOOKUP(J1805,ModelParameters!$M$8:$N$15,2,FALSE),IF(N1805=MappingTables!$C$16,VLOOKUP(J1805,ModelParameters!$P$8:$Q$15,2,FALSE),0)))</f>
        <v>1</v>
      </c>
      <c r="P1805" s="73">
        <f>IF(OR(I1805=0,I1805=$A$1),0,MIN(O1805*M1805,1)*K1805)</f>
        <v>160.9112464319444</v>
      </c>
      <c r="Q1805" s="73">
        <f>IF(B1805="",0,IF(OR(H1805=MappingTables!$C$34,H1805=MappingTables!$C$35),P1805,0))</f>
        <v>0</v>
      </c>
      <c r="R1805" s="73">
        <f>IF(ISNA(IF(AND(VLOOKUP(CONCATENATE($D1805,$G1805),CSRFinput!$B:$E,4,0)=0,OR(H1805=MappingTables!$C$31,H1805=MappingTables!$C$32)),1,VLOOKUP(CONCATENATE($D1805,$G1805),CSRFinput!$B:$E,4,0))),0,IF(AND(VLOOKUP(CONCATENATE($D1805,$G1805),CSRFinput!$B:$E,4,0)=0,OR(H1805=MappingTables!$C$31,H1805=MappingTables!$C$32)),1,VLOOKUP(CONCATENATE($D1805,$G1805),CSRFinput!$B:$E,4,0)))</f>
        <v>0.054776304963434752</v>
      </c>
      <c r="S1805" s="73">
        <f>IF(B1805="",0,P1805*R1805)</f>
        <v>8.8141235066025872</v>
      </c>
      <c r="T1805" s="85">
        <f>IF(B1805="",0,IF(OR(H1805=MappingTables!$C$34,H1805=MappingTables!$C$35),S1805,0))</f>
        <v>0</v>
      </c>
    </row>
    <row r="1806" spans="2:20" s="0" customFormat="0" ht="15">
      <c r="B1806" s="69" t="s">
        <v>4722</v>
      </c>
      <c r="C1806" s="70" t="s">
        <v>4723</v>
      </c>
      <c r="D1806" s="70" t="s">
        <v>1</v>
      </c>
      <c r="E1806" s="70" t="s">
        <v>1</v>
      </c>
      <c r="F1806" s="70"/>
      <c r="G1806" s="70" t="s">
        <v>61</v>
      </c>
      <c r="H1806" s="70" t="s">
        <v>178</v>
      </c>
      <c r="I1806" s="70" t="s">
        <v>184</v>
      </c>
      <c r="J1806" s="71">
        <f>IF(OR(I1806=0,I1806=""),"unrated",VLOOKUP(I1806,MappingTables!$B$19:$C$31,2,FALSE))</f>
        <v>5</v>
      </c>
      <c r="K1806" s="72">
        <v>97.802508344408608</v>
      </c>
      <c r="L1806" s="70">
        <v>0.068494521461192032</v>
      </c>
      <c r="M1806" s="71">
        <f>IF(L1806&lt;1,1,L1806)</f>
        <v>1</v>
      </c>
      <c r="N1806" s="70" t="s">
        <v>3288</v>
      </c>
      <c r="O1806" s="71">
        <f>IF(OR(I1806=$A$1,I1806=0),"",IF(N1806=MappingTables!$C$14,VLOOKUP(J1806,ModelParameters!$M$8:$N$15,2,FALSE),IF(N1806=MappingTables!$C$16,VLOOKUP(J1806,ModelParameters!$P$8:$Q$15,2,FALSE),0)))</f>
        <v>1</v>
      </c>
      <c r="P1806" s="73">
        <f>IF(OR(I1806=0,I1806=$A$1),0,MIN(O1806*M1806,1)*K1806)</f>
        <v>97.802508344408608</v>
      </c>
      <c r="Q1806" s="73">
        <f>IF(B1806="",0,IF(OR(H1806=MappingTables!$C$34,H1806=MappingTables!$C$35),P1806,0))</f>
        <v>0</v>
      </c>
      <c r="R1806" s="73">
        <f>IF(ISNA(IF(AND(VLOOKUP(CONCATENATE($D1806,$G1806),CSRFinput!$B:$E,4,0)=0,OR(H1806=MappingTables!$C$31,H1806=MappingTables!$C$32)),1,VLOOKUP(CONCATENATE($D1806,$G1806),CSRFinput!$B:$E,4,0))),0,IF(AND(VLOOKUP(CONCATENATE($D1806,$G1806),CSRFinput!$B:$E,4,0)=0,OR(H1806=MappingTables!$C$31,H1806=MappingTables!$C$32)),1,VLOOKUP(CONCATENATE($D1806,$G1806),CSRFinput!$B:$E,4,0)))</f>
        <v>0.054776304963434752</v>
      </c>
      <c r="S1806" s="73">
        <f>IF(B1806="",0,P1806*R1806)</f>
        <v>5.3572600232621984</v>
      </c>
      <c r="T1806" s="85">
        <f>IF(B1806="",0,IF(OR(H1806=MappingTables!$C$34,H1806=MappingTables!$C$35),S1806,0))</f>
        <v>0</v>
      </c>
    </row>
    <row r="1807" spans="2:20" s="0" customFormat="0" ht="15">
      <c r="B1807" s="69" t="s">
        <v>5158</v>
      </c>
      <c r="C1807" s="70" t="s">
        <v>5159</v>
      </c>
      <c r="D1807" s="70" t="s">
        <v>1</v>
      </c>
      <c r="E1807" s="70" t="s">
        <v>1</v>
      </c>
      <c r="F1807" s="70"/>
      <c r="G1807" s="70" t="s">
        <v>61</v>
      </c>
      <c r="H1807" s="70" t="s">
        <v>178</v>
      </c>
      <c r="I1807" s="70" t="s">
        <v>198</v>
      </c>
      <c r="J1807" s="71" t="str">
        <f>IF(OR(I1807=0,I1807=""),"unrated",VLOOKUP(I1807,MappingTables!$B$19:$C$31,2,FALSE))</f>
        <v>unrated</v>
      </c>
      <c r="K1807" s="72">
        <v>3.1545141415345432</v>
      </c>
      <c r="L1807" s="70">
        <v>44.056855963790576</v>
      </c>
      <c r="M1807" s="71">
        <f>IF(L1807&lt;1,1,L1807)</f>
        <v>44.056855963790576</v>
      </c>
      <c r="N1807" s="70" t="s">
        <v>3288</v>
      </c>
      <c r="O1807" s="71">
        <f>IF(OR(I1807=$A$1,I1807=0),"",IF(N1807=MappingTables!$C$14,VLOOKUP(J1807,ModelParameters!$M$8:$N$15,2,FALSE),IF(N1807=MappingTables!$C$16,VLOOKUP(J1807,ModelParameters!$P$8:$Q$15,2,FALSE),0)))</f>
        <v>1</v>
      </c>
      <c r="P1807" s="73">
        <f>IF(OR(I1807=0,I1807=$A$1),0,MIN(O1807*M1807,1)*K1807)</f>
        <v>3.1545141415345432</v>
      </c>
      <c r="Q1807" s="73">
        <f>IF(B1807="",0,IF(OR(H1807=MappingTables!$C$34,H1807=MappingTables!$C$35),P1807,0))</f>
        <v>0</v>
      </c>
      <c r="R1807" s="73">
        <f>IF(ISNA(IF(AND(VLOOKUP(CONCATENATE($D1807,$G1807),CSRFinput!$B:$E,4,0)=0,OR(H1807=MappingTables!$C$31,H1807=MappingTables!$C$32)),1,VLOOKUP(CONCATENATE($D1807,$G1807),CSRFinput!$B:$E,4,0))),0,IF(AND(VLOOKUP(CONCATENATE($D1807,$G1807),CSRFinput!$B:$E,4,0)=0,OR(H1807=MappingTables!$C$31,H1807=MappingTables!$C$32)),1,VLOOKUP(CONCATENATE($D1807,$G1807),CSRFinput!$B:$E,4,0)))</f>
        <v>0.054776304963434752</v>
      </c>
      <c r="S1807" s="73">
        <f>IF(B1807="",0,P1807*R1807)</f>
        <v>0.17279262862816372</v>
      </c>
      <c r="T1807" s="85">
        <f>IF(B1807="",0,IF(OR(H1807=MappingTables!$C$34,H1807=MappingTables!$C$35),S1807,0))</f>
        <v>0</v>
      </c>
    </row>
    <row r="1808" spans="2:20" s="0" customFormat="0" ht="15">
      <c r="B1808" s="69" t="s">
        <v>5160</v>
      </c>
      <c r="C1808" s="70" t="s">
        <v>5161</v>
      </c>
      <c r="D1808" s="70" t="s">
        <v>1</v>
      </c>
      <c r="E1808" s="70" t="s">
        <v>1</v>
      </c>
      <c r="F1808" s="70"/>
      <c r="G1808" s="70" t="s">
        <v>61</v>
      </c>
      <c r="H1808" s="70" t="s">
        <v>178</v>
      </c>
      <c r="I1808" s="70" t="s">
        <v>188</v>
      </c>
      <c r="J1808" s="71">
        <f>IF(OR(I1808=0,I1808=""),"unrated",VLOOKUP(I1808,MappingTables!$B$19:$C$31,2,FALSE))</f>
        <v>2</v>
      </c>
      <c r="K1808" s="72">
        <v>3.208679878752362</v>
      </c>
      <c r="L1808" s="70">
        <v>0.068492265837145144</v>
      </c>
      <c r="M1808" s="71">
        <f>IF(L1808&lt;1,1,L1808)</f>
        <v>1</v>
      </c>
      <c r="N1808" s="70" t="s">
        <v>3288</v>
      </c>
      <c r="O1808" s="71">
        <f>IF(OR(I1808=$A$1,I1808=0),"",IF(N1808=MappingTables!$C$14,VLOOKUP(J1808,ModelParameters!$M$8:$N$15,2,FALSE),IF(N1808=MappingTables!$C$16,VLOOKUP(J1808,ModelParameters!$P$8:$Q$15,2,FALSE),0)))</f>
        <v>0.166</v>
      </c>
      <c r="P1808" s="73">
        <f>IF(OR(I1808=0,I1808=$A$1),0,MIN(O1808*M1808,1)*K1808)</f>
        <v>0.53264085987289208</v>
      </c>
      <c r="Q1808" s="73">
        <f>IF(B1808="",0,IF(OR(H1808=MappingTables!$C$34,H1808=MappingTables!$C$35),P1808,0))</f>
        <v>0</v>
      </c>
      <c r="R1808" s="73">
        <f>IF(ISNA(IF(AND(VLOOKUP(CONCATENATE($D1808,$G1808),CSRFinput!$B:$E,4,0)=0,OR(H1808=MappingTables!$C$31,H1808=MappingTables!$C$32)),1,VLOOKUP(CONCATENATE($D1808,$G1808),CSRFinput!$B:$E,4,0))),0,IF(AND(VLOOKUP(CONCATENATE($D1808,$G1808),CSRFinput!$B:$E,4,0)=0,OR(H1808=MappingTables!$C$31,H1808=MappingTables!$C$32)),1,VLOOKUP(CONCATENATE($D1808,$G1808),CSRFinput!$B:$E,4,0)))</f>
        <v>0.054776304963434752</v>
      </c>
      <c r="S1808" s="73">
        <f>IF(B1808="",0,P1808*R1808)</f>
        <v>0.029176098176383656</v>
      </c>
      <c r="T1808" s="85">
        <f>IF(B1808="",0,IF(OR(H1808=MappingTables!$C$34,H1808=MappingTables!$C$35),S1808,0))</f>
        <v>0</v>
      </c>
    </row>
    <row r="1809" spans="2:20" s="0" customFormat="0" ht="15">
      <c r="B1809" s="69" t="s">
        <v>5100</v>
      </c>
      <c r="C1809" s="70" t="s">
        <v>5101</v>
      </c>
      <c r="D1809" s="70" t="s">
        <v>1</v>
      </c>
      <c r="E1809" s="70" t="s">
        <v>1</v>
      </c>
      <c r="F1809" s="70"/>
      <c r="G1809" s="70" t="s">
        <v>61</v>
      </c>
      <c r="H1809" s="70" t="s">
        <v>178</v>
      </c>
      <c r="I1809" s="70" t="s">
        <v>184</v>
      </c>
      <c r="J1809" s="71">
        <f>IF(OR(I1809=0,I1809=""),"unrated",VLOOKUP(I1809,MappingTables!$B$19:$C$31,2,FALSE))</f>
        <v>5</v>
      </c>
      <c r="K1809" s="72">
        <v>919.78127833686544</v>
      </c>
      <c r="L1809" s="70">
        <v>4.5193424472487056</v>
      </c>
      <c r="M1809" s="71">
        <f>IF(L1809&lt;1,1,L1809)</f>
        <v>4.5193424472487056</v>
      </c>
      <c r="N1809" s="70" t="s">
        <v>3288</v>
      </c>
      <c r="O1809" s="71">
        <f>IF(OR(I1809=$A$1,I1809=0),"",IF(N1809=MappingTables!$C$14,VLOOKUP(J1809,ModelParameters!$M$8:$N$15,2,FALSE),IF(N1809=MappingTables!$C$16,VLOOKUP(J1809,ModelParameters!$P$8:$Q$15,2,FALSE),0)))</f>
        <v>1</v>
      </c>
      <c r="P1809" s="73">
        <f>IF(OR(I1809=0,I1809=$A$1),0,MIN(O1809*M1809,1)*K1809)</f>
        <v>919.78127833686544</v>
      </c>
      <c r="Q1809" s="73">
        <f>IF(B1809="",0,IF(OR(H1809=MappingTables!$C$34,H1809=MappingTables!$C$35),P1809,0))</f>
        <v>0</v>
      </c>
      <c r="R1809" s="73">
        <f>IF(ISNA(IF(AND(VLOOKUP(CONCATENATE($D1809,$G1809),CSRFinput!$B:$E,4,0)=0,OR(H1809=MappingTables!$C$31,H1809=MappingTables!$C$32)),1,VLOOKUP(CONCATENATE($D1809,$G1809),CSRFinput!$B:$E,4,0))),0,IF(AND(VLOOKUP(CONCATENATE($D1809,$G1809),CSRFinput!$B:$E,4,0)=0,OR(H1809=MappingTables!$C$31,H1809=MappingTables!$C$32)),1,VLOOKUP(CONCATENATE($D1809,$G1809),CSRFinput!$B:$E,4,0)))</f>
        <v>0.054776304963434752</v>
      </c>
      <c r="S1809" s="73">
        <f>IF(B1809="",0,P1809*R1809)</f>
        <v>50.382219801838008</v>
      </c>
      <c r="T1809" s="85">
        <f>IF(B1809="",0,IF(OR(H1809=MappingTables!$C$34,H1809=MappingTables!$C$35),S1809,0))</f>
        <v>0</v>
      </c>
    </row>
    <row r="1810" spans="2:20" s="0" customFormat="0" ht="15">
      <c r="B1810" s="69" t="s">
        <v>5044</v>
      </c>
      <c r="C1810" s="70" t="s">
        <v>5045</v>
      </c>
      <c r="D1810" s="70" t="s">
        <v>1</v>
      </c>
      <c r="E1810" s="70" t="s">
        <v>1</v>
      </c>
      <c r="F1810" s="70"/>
      <c r="G1810" s="70" t="s">
        <v>61</v>
      </c>
      <c r="H1810" s="70" t="s">
        <v>178</v>
      </c>
      <c r="I1810" s="70" t="s">
        <v>3298</v>
      </c>
      <c r="J1810" s="71">
        <f>IF(OR(I1810=0,I1810=""),"unrated",VLOOKUP(I1810,MappingTables!$B$19:$C$31,2,FALSE))</f>
        <v>6</v>
      </c>
      <c r="K1810" s="72">
        <v>38.8507932831598</v>
      </c>
      <c r="L1810" s="70">
        <v>0.068494117425653728</v>
      </c>
      <c r="M1810" s="71">
        <f>IF(L1810&lt;1,1,L1810)</f>
        <v>1</v>
      </c>
      <c r="N1810" s="70" t="s">
        <v>3288</v>
      </c>
      <c r="O1810" s="71">
        <f>IF(OR(I1810=$A$1,I1810=0),"",IF(N1810=MappingTables!$C$14,VLOOKUP(J1810,ModelParameters!$M$8:$N$15,2,FALSE),IF(N1810=MappingTables!$C$16,VLOOKUP(J1810,ModelParameters!$P$8:$Q$15,2,FALSE),0)))</f>
        <v>1</v>
      </c>
      <c r="P1810" s="73">
        <f>IF(OR(I1810=0,I1810=$A$1),0,MIN(O1810*M1810,1)*K1810)</f>
        <v>38.8507932831598</v>
      </c>
      <c r="Q1810" s="73">
        <f>IF(B1810="",0,IF(OR(H1810=MappingTables!$C$34,H1810=MappingTables!$C$35),P1810,0))</f>
        <v>0</v>
      </c>
      <c r="R1810" s="73">
        <f>IF(ISNA(IF(AND(VLOOKUP(CONCATENATE($D1810,$G1810),CSRFinput!$B:$E,4,0)=0,OR(H1810=MappingTables!$C$31,H1810=MappingTables!$C$32)),1,VLOOKUP(CONCATENATE($D1810,$G1810),CSRFinput!$B:$E,4,0))),0,IF(AND(VLOOKUP(CONCATENATE($D1810,$G1810),CSRFinput!$B:$E,4,0)=0,OR(H1810=MappingTables!$C$31,H1810=MappingTables!$C$32)),1,VLOOKUP(CONCATENATE($D1810,$G1810),CSRFinput!$B:$E,4,0)))</f>
        <v>0.054776304963434752</v>
      </c>
      <c r="S1810" s="73">
        <f>IF(B1810="",0,P1810*R1810)</f>
        <v>2.128102900949724</v>
      </c>
      <c r="T1810" s="85">
        <f>IF(B1810="",0,IF(OR(H1810=MappingTables!$C$34,H1810=MappingTables!$C$35),S1810,0))</f>
        <v>0</v>
      </c>
    </row>
    <row r="1811" spans="2:20" s="0" customFormat="0" ht="15">
      <c r="B1811" s="69">
        <v>5036274</v>
      </c>
      <c r="C1811" s="70" t="s">
        <v>4226</v>
      </c>
      <c r="D1811" s="70" t="s">
        <v>1</v>
      </c>
      <c r="E1811" s="70" t="s">
        <v>1</v>
      </c>
      <c r="F1811" s="70"/>
      <c r="G1811" s="70" t="s">
        <v>61</v>
      </c>
      <c r="H1811" s="70" t="s">
        <v>178</v>
      </c>
      <c r="I1811" s="70" t="s">
        <v>3298</v>
      </c>
      <c r="J1811" s="71">
        <f>IF(OR(I1811=0,I1811=""),"unrated",VLOOKUP(I1811,MappingTables!$B$19:$C$31,2,FALSE))</f>
        <v>6</v>
      </c>
      <c r="K1811" s="72">
        <v>155.02510780560012</v>
      </c>
      <c r="L1811" s="70">
        <v>-0.34232969738775448</v>
      </c>
      <c r="M1811" s="71">
        <f>IF(L1811&lt;1,1,L1811)</f>
        <v>1</v>
      </c>
      <c r="N1811" s="70" t="s">
        <v>3288</v>
      </c>
      <c r="O1811" s="71">
        <f>IF(OR(I1811=$A$1,I1811=0),"",IF(N1811=MappingTables!$C$14,VLOOKUP(J1811,ModelParameters!$M$8:$N$15,2,FALSE),IF(N1811=MappingTables!$C$16,VLOOKUP(J1811,ModelParameters!$P$8:$Q$15,2,FALSE),0)))</f>
        <v>1</v>
      </c>
      <c r="P1811" s="73">
        <f>IF(OR(I1811=0,I1811=$A$1),0,MIN(O1811*M1811,1)*K1811)</f>
        <v>155.02510780560012</v>
      </c>
      <c r="Q1811" s="73">
        <f>IF(B1811="",0,IF(OR(H1811=MappingTables!$C$34,H1811=MappingTables!$C$35),P1811,0))</f>
        <v>0</v>
      </c>
      <c r="R1811" s="73">
        <f>IF(ISNA(IF(AND(VLOOKUP(CONCATENATE($D1811,$G1811),CSRFinput!$B:$E,4,0)=0,OR(H1811=MappingTables!$C$31,H1811=MappingTables!$C$32)),1,VLOOKUP(CONCATENATE($D1811,$G1811),CSRFinput!$B:$E,4,0))),0,IF(AND(VLOOKUP(CONCATENATE($D1811,$G1811),CSRFinput!$B:$E,4,0)=0,OR(H1811=MappingTables!$C$31,H1811=MappingTables!$C$32)),1,VLOOKUP(CONCATENATE($D1811,$G1811),CSRFinput!$B:$E,4,0)))</f>
        <v>0.054776304963434752</v>
      </c>
      <c r="S1811" s="73">
        <f>IF(B1811="",0,P1811*R1811)</f>
        <v>8.4917025821489024</v>
      </c>
      <c r="T1811" s="85">
        <f>IF(B1811="",0,IF(OR(H1811=MappingTables!$C$34,H1811=MappingTables!$C$35),S1811,0))</f>
        <v>0</v>
      </c>
    </row>
    <row r="1812" spans="2:20" s="0" customFormat="0" ht="15">
      <c r="B1812" s="69" t="s">
        <v>5158</v>
      </c>
      <c r="C1812" s="70" t="s">
        <v>5159</v>
      </c>
      <c r="D1812" s="70" t="s">
        <v>1</v>
      </c>
      <c r="E1812" s="70" t="s">
        <v>1</v>
      </c>
      <c r="F1812" s="70"/>
      <c r="G1812" s="70" t="s">
        <v>61</v>
      </c>
      <c r="H1812" s="70" t="s">
        <v>178</v>
      </c>
      <c r="I1812" s="70" t="s">
        <v>198</v>
      </c>
      <c r="J1812" s="71" t="str">
        <f>IF(OR(I1812=0,I1812=""),"unrated",VLOOKUP(I1812,MappingTables!$B$19:$C$31,2,FALSE))</f>
        <v>unrated</v>
      </c>
      <c r="K1812" s="72">
        <v>1.4872290909517836</v>
      </c>
      <c r="L1812" s="70">
        <v>44.056855963790584</v>
      </c>
      <c r="M1812" s="71">
        <f>IF(L1812&lt;1,1,L1812)</f>
        <v>44.056855963790584</v>
      </c>
      <c r="N1812" s="70" t="s">
        <v>3288</v>
      </c>
      <c r="O1812" s="71">
        <f>IF(OR(I1812=$A$1,I1812=0),"",IF(N1812=MappingTables!$C$14,VLOOKUP(J1812,ModelParameters!$M$8:$N$15,2,FALSE),IF(N1812=MappingTables!$C$16,VLOOKUP(J1812,ModelParameters!$P$8:$Q$15,2,FALSE),0)))</f>
        <v>1</v>
      </c>
      <c r="P1812" s="73">
        <f>IF(OR(I1812=0,I1812=$A$1),0,MIN(O1812*M1812,1)*K1812)</f>
        <v>1.4872290909517836</v>
      </c>
      <c r="Q1812" s="73">
        <f>IF(B1812="",0,IF(OR(H1812=MappingTables!$C$34,H1812=MappingTables!$C$35),P1812,0))</f>
        <v>0</v>
      </c>
      <c r="R1812" s="73">
        <f>IF(ISNA(IF(AND(VLOOKUP(CONCATENATE($D1812,$G1812),CSRFinput!$B:$E,4,0)=0,OR(H1812=MappingTables!$C$31,H1812=MappingTables!$C$32)),1,VLOOKUP(CONCATENATE($D1812,$G1812),CSRFinput!$B:$E,4,0))),0,IF(AND(VLOOKUP(CONCATENATE($D1812,$G1812),CSRFinput!$B:$E,4,0)=0,OR(H1812=MappingTables!$C$31,H1812=MappingTables!$C$32)),1,VLOOKUP(CONCATENATE($D1812,$G1812),CSRFinput!$B:$E,4,0)))</f>
        <v>0.054776304963434752</v>
      </c>
      <c r="S1812" s="73">
        <f>IF(B1812="",0,P1812*R1812)</f>
        <v>0.081464914236466736</v>
      </c>
      <c r="T1812" s="85">
        <f>IF(B1812="",0,IF(OR(H1812=MappingTables!$C$34,H1812=MappingTables!$C$35),S1812,0))</f>
        <v>0</v>
      </c>
    </row>
    <row r="1813" spans="2:20" s="0" customFormat="0" ht="15">
      <c r="B1813" s="69">
        <v>22623701</v>
      </c>
      <c r="C1813" s="70" t="s">
        <v>3712</v>
      </c>
      <c r="D1813" s="70" t="s">
        <v>1</v>
      </c>
      <c r="E1813" s="70" t="s">
        <v>1</v>
      </c>
      <c r="F1813" s="70"/>
      <c r="G1813" s="70" t="s">
        <v>61</v>
      </c>
      <c r="H1813" s="70" t="s">
        <v>178</v>
      </c>
      <c r="I1813" s="70" t="s">
        <v>216</v>
      </c>
      <c r="J1813" s="71">
        <f>IF(OR(I1813=0,I1813=""),"unrated",VLOOKUP(I1813,MappingTables!$B$19:$C$31,2,FALSE))</f>
        <v>0</v>
      </c>
      <c r="K1813" s="72">
        <v>507.82413228237744</v>
      </c>
      <c r="L1813" s="70">
        <v>0.0327279721654527</v>
      </c>
      <c r="M1813" s="71">
        <f>IF(L1813&lt;1,1,L1813)</f>
        <v>1</v>
      </c>
      <c r="N1813" s="70" t="s">
        <v>3288</v>
      </c>
      <c r="O1813" s="71">
        <f>IF(OR(I1813=$A$1,I1813=0),"",IF(N1813=MappingTables!$C$14,VLOOKUP(J1813,ModelParameters!$M$8:$N$15,2,FALSE),IF(N1813=MappingTables!$C$16,VLOOKUP(J1813,ModelParameters!$P$8:$Q$15,2,FALSE),0)))</f>
        <v>0.125</v>
      </c>
      <c r="P1813" s="73">
        <f>IF(OR(I1813=0,I1813=$A$1),0,MIN(O1813*M1813,1)*K1813)</f>
        <v>63.478016535297176</v>
      </c>
      <c r="Q1813" s="73">
        <f>IF(B1813="",0,IF(OR(H1813=MappingTables!$C$34,H1813=MappingTables!$C$35),P1813,0))</f>
        <v>0</v>
      </c>
      <c r="R1813" s="73">
        <f>IF(ISNA(IF(AND(VLOOKUP(CONCATENATE($D1813,$G1813),CSRFinput!$B:$E,4,0)=0,OR(H1813=MappingTables!$C$31,H1813=MappingTables!$C$32)),1,VLOOKUP(CONCATENATE($D1813,$G1813),CSRFinput!$B:$E,4,0))),0,IF(AND(VLOOKUP(CONCATENATE($D1813,$G1813),CSRFinput!$B:$E,4,0)=0,OR(H1813=MappingTables!$C$31,H1813=MappingTables!$C$32)),1,VLOOKUP(CONCATENATE($D1813,$G1813),CSRFinput!$B:$E,4,0)))</f>
        <v>0.054776304963434752</v>
      </c>
      <c r="S1813" s="73">
        <f>IF(B1813="",0,P1813*R1813)</f>
        <v>3.4770911922113924</v>
      </c>
      <c r="T1813" s="85">
        <f>IF(B1813="",0,IF(OR(H1813=MappingTables!$C$34,H1813=MappingTables!$C$35),S1813,0))</f>
        <v>0</v>
      </c>
    </row>
    <row r="1814" spans="2:20" s="0" customFormat="0" ht="15">
      <c r="B1814" s="69">
        <v>8842299</v>
      </c>
      <c r="C1814" s="70" t="s">
        <v>4529</v>
      </c>
      <c r="D1814" s="70" t="s">
        <v>1</v>
      </c>
      <c r="E1814" s="70" t="s">
        <v>1</v>
      </c>
      <c r="F1814" s="70"/>
      <c r="G1814" s="70" t="s">
        <v>61</v>
      </c>
      <c r="H1814" s="70" t="s">
        <v>178</v>
      </c>
      <c r="I1814" s="70" t="s">
        <v>216</v>
      </c>
      <c r="J1814" s="71">
        <f>IF(OR(I1814=0,I1814=""),"unrated",VLOOKUP(I1814,MappingTables!$B$19:$C$31,2,FALSE))</f>
        <v>0</v>
      </c>
      <c r="K1814" s="72">
        <v>7.9010640591037536</v>
      </c>
      <c r="L1814" s="70">
        <v>5.8997442362490896</v>
      </c>
      <c r="M1814" s="71">
        <f>IF(L1814&lt;1,1,L1814)</f>
        <v>5.8997442362490896</v>
      </c>
      <c r="N1814" s="70" t="s">
        <v>3288</v>
      </c>
      <c r="O1814" s="71">
        <f>IF(OR(I1814=$A$1,I1814=0),"",IF(N1814=MappingTables!$C$14,VLOOKUP(J1814,ModelParameters!$M$8:$N$15,2,FALSE),IF(N1814=MappingTables!$C$16,VLOOKUP(J1814,ModelParameters!$P$8:$Q$15,2,FALSE),0)))</f>
        <v>0.125</v>
      </c>
      <c r="P1814" s="73">
        <f>IF(OR(I1814=0,I1814=$A$1),0,MIN(O1814*M1814,1)*K1814)</f>
        <v>5.8267821428665264</v>
      </c>
      <c r="Q1814" s="73">
        <f>IF(B1814="",0,IF(OR(H1814=MappingTables!$C$34,H1814=MappingTables!$C$35),P1814,0))</f>
        <v>0</v>
      </c>
      <c r="R1814" s="73">
        <f>IF(ISNA(IF(AND(VLOOKUP(CONCATENATE($D1814,$G1814),CSRFinput!$B:$E,4,0)=0,OR(H1814=MappingTables!$C$31,H1814=MappingTables!$C$32)),1,VLOOKUP(CONCATENATE($D1814,$G1814),CSRFinput!$B:$E,4,0))),0,IF(AND(VLOOKUP(CONCATENATE($D1814,$G1814),CSRFinput!$B:$E,4,0)=0,OR(H1814=MappingTables!$C$31,H1814=MappingTables!$C$32)),1,VLOOKUP(CONCATENATE($D1814,$G1814),CSRFinput!$B:$E,4,0)))</f>
        <v>0.054776304963434752</v>
      </c>
      <c r="S1814" s="73">
        <f>IF(B1814="",0,P1814*R1814)</f>
        <v>0.31916959561315268</v>
      </c>
      <c r="T1814" s="85">
        <f>IF(B1814="",0,IF(OR(H1814=MappingTables!$C$34,H1814=MappingTables!$C$35),S1814,0))</f>
        <v>0</v>
      </c>
    </row>
    <row r="1815" spans="2:20" s="0" customFormat="0" ht="15">
      <c r="B1815" s="69" t="s">
        <v>5108</v>
      </c>
      <c r="C1815" s="70" t="s">
        <v>5109</v>
      </c>
      <c r="D1815" s="70" t="s">
        <v>1</v>
      </c>
      <c r="E1815" s="70" t="s">
        <v>1</v>
      </c>
      <c r="F1815" s="70"/>
      <c r="G1815" s="70" t="s">
        <v>61</v>
      </c>
      <c r="H1815" s="70" t="s">
        <v>178</v>
      </c>
      <c r="I1815" s="70" t="s">
        <v>204</v>
      </c>
      <c r="J1815" s="71">
        <f>IF(OR(I1815=0,I1815=""),"unrated",VLOOKUP(I1815,MappingTables!$B$19:$C$31,2,FALSE))</f>
        <v>6</v>
      </c>
      <c r="K1815" s="72">
        <v>56.609264778585152</v>
      </c>
      <c r="L1815" s="70">
        <v>0.068497322204634432</v>
      </c>
      <c r="M1815" s="71">
        <f>IF(L1815&lt;1,1,L1815)</f>
        <v>1</v>
      </c>
      <c r="N1815" s="70" t="s">
        <v>3288</v>
      </c>
      <c r="O1815" s="71">
        <f>IF(OR(I1815=$A$1,I1815=0),"",IF(N1815=MappingTables!$C$14,VLOOKUP(J1815,ModelParameters!$M$8:$N$15,2,FALSE),IF(N1815=MappingTables!$C$16,VLOOKUP(J1815,ModelParameters!$P$8:$Q$15,2,FALSE),0)))</f>
        <v>1</v>
      </c>
      <c r="P1815" s="73">
        <f>IF(OR(I1815=0,I1815=$A$1),0,MIN(O1815*M1815,1)*K1815)</f>
        <v>56.609264778585152</v>
      </c>
      <c r="Q1815" s="73">
        <f>IF(B1815="",0,IF(OR(H1815=MappingTables!$C$34,H1815=MappingTables!$C$35),P1815,0))</f>
        <v>0</v>
      </c>
      <c r="R1815" s="73">
        <f>IF(ISNA(IF(AND(VLOOKUP(CONCATENATE($D1815,$G1815),CSRFinput!$B:$E,4,0)=0,OR(H1815=MappingTables!$C$31,H1815=MappingTables!$C$32)),1,VLOOKUP(CONCATENATE($D1815,$G1815),CSRFinput!$B:$E,4,0))),0,IF(AND(VLOOKUP(CONCATENATE($D1815,$G1815),CSRFinput!$B:$E,4,0)=0,OR(H1815=MappingTables!$C$31,H1815=MappingTables!$C$32)),1,VLOOKUP(CONCATENATE($D1815,$G1815),CSRFinput!$B:$E,4,0)))</f>
        <v>0.054776304963434752</v>
      </c>
      <c r="S1815" s="73">
        <f>IF(B1815="",0,P1815*R1815)</f>
        <v>3.100846351267606</v>
      </c>
      <c r="T1815" s="85">
        <f>IF(B1815="",0,IF(OR(H1815=MappingTables!$C$34,H1815=MappingTables!$C$35),S1815,0))</f>
        <v>0</v>
      </c>
    </row>
    <row r="1816" spans="2:20" s="0" customFormat="0" ht="15">
      <c r="B1816" s="69" t="s">
        <v>4246</v>
      </c>
      <c r="C1816" s="70" t="s">
        <v>4247</v>
      </c>
      <c r="D1816" s="70" t="s">
        <v>1</v>
      </c>
      <c r="E1816" s="70" t="s">
        <v>1</v>
      </c>
      <c r="F1816" s="70"/>
      <c r="G1816" s="70" t="s">
        <v>61</v>
      </c>
      <c r="H1816" s="70" t="s">
        <v>178</v>
      </c>
      <c r="I1816" s="70" t="s">
        <v>3291</v>
      </c>
      <c r="J1816" s="71">
        <f>IF(OR(I1816=0,I1816=""),"unrated",VLOOKUP(I1816,MappingTables!$B$19:$C$31,2,FALSE))</f>
        <v>6</v>
      </c>
      <c r="K1816" s="72">
        <v>6926.4717257941992</v>
      </c>
      <c r="L1816" s="70">
        <v>0.068488891475634512</v>
      </c>
      <c r="M1816" s="71">
        <f>IF(L1816&lt;1,1,L1816)</f>
        <v>1</v>
      </c>
      <c r="N1816" s="70" t="s">
        <v>3288</v>
      </c>
      <c r="O1816" s="71">
        <f>IF(OR(I1816=$A$1,I1816=0),"",IF(N1816=MappingTables!$C$14,VLOOKUP(J1816,ModelParameters!$M$8:$N$15,2,FALSE),IF(N1816=MappingTables!$C$16,VLOOKUP(J1816,ModelParameters!$P$8:$Q$15,2,FALSE),0)))</f>
        <v>1</v>
      </c>
      <c r="P1816" s="73">
        <f>IF(OR(I1816=0,I1816=$A$1),0,MIN(O1816*M1816,1)*K1816)</f>
        <v>6926.4717257941992</v>
      </c>
      <c r="Q1816" s="73">
        <f>IF(B1816="",0,IF(OR(H1816=MappingTables!$C$34,H1816=MappingTables!$C$35),P1816,0))</f>
        <v>0</v>
      </c>
      <c r="R1816" s="73">
        <f>IF(ISNA(IF(AND(VLOOKUP(CONCATENATE($D1816,$G1816),CSRFinput!$B:$E,4,0)=0,OR(H1816=MappingTables!$C$31,H1816=MappingTables!$C$32)),1,VLOOKUP(CONCATENATE($D1816,$G1816),CSRFinput!$B:$E,4,0))),0,IF(AND(VLOOKUP(CONCATENATE($D1816,$G1816),CSRFinput!$B:$E,4,0)=0,OR(H1816=MappingTables!$C$31,H1816=MappingTables!$C$32)),1,VLOOKUP(CONCATENATE($D1816,$G1816),CSRFinput!$B:$E,4,0)))</f>
        <v>0.054776304963434752</v>
      </c>
      <c r="S1816" s="73">
        <f>IF(B1816="",0,P1816*R1816)</f>
        <v>379.40652757271128</v>
      </c>
      <c r="T1816" s="85">
        <f>IF(B1816="",0,IF(OR(H1816=MappingTables!$C$34,H1816=MappingTables!$C$35),S1816,0))</f>
        <v>0</v>
      </c>
    </row>
    <row r="1817" spans="2:20" s="0" customFormat="0" ht="15">
      <c r="B1817" s="69" t="s">
        <v>3989</v>
      </c>
      <c r="C1817" s="70" t="s">
        <v>3990</v>
      </c>
      <c r="D1817" s="70" t="s">
        <v>1</v>
      </c>
      <c r="E1817" s="70" t="s">
        <v>1</v>
      </c>
      <c r="F1817" s="70"/>
      <c r="G1817" s="70" t="s">
        <v>61</v>
      </c>
      <c r="H1817" s="70" t="s">
        <v>178</v>
      </c>
      <c r="I1817" s="70" t="s">
        <v>184</v>
      </c>
      <c r="J1817" s="71">
        <f>IF(OR(I1817=0,I1817=""),"unrated",VLOOKUP(I1817,MappingTables!$B$19:$C$31,2,FALSE))</f>
        <v>5</v>
      </c>
      <c r="K1817" s="72">
        <v>400.73740844852384</v>
      </c>
      <c r="L1817" s="70">
        <v>3.7515670545103624</v>
      </c>
      <c r="M1817" s="71">
        <f>IF(L1817&lt;1,1,L1817)</f>
        <v>3.7515670545103624</v>
      </c>
      <c r="N1817" s="70" t="s">
        <v>3288</v>
      </c>
      <c r="O1817" s="71">
        <f>IF(OR(I1817=$A$1,I1817=0),"",IF(N1817=MappingTables!$C$14,VLOOKUP(J1817,ModelParameters!$M$8:$N$15,2,FALSE),IF(N1817=MappingTables!$C$16,VLOOKUP(J1817,ModelParameters!$P$8:$Q$15,2,FALSE),0)))</f>
        <v>1</v>
      </c>
      <c r="P1817" s="73">
        <f>IF(OR(I1817=0,I1817=$A$1),0,MIN(O1817*M1817,1)*K1817)</f>
        <v>400.73740844852384</v>
      </c>
      <c r="Q1817" s="73">
        <f>IF(B1817="",0,IF(OR(H1817=MappingTables!$C$34,H1817=MappingTables!$C$35),P1817,0))</f>
        <v>0</v>
      </c>
      <c r="R1817" s="73">
        <f>IF(ISNA(IF(AND(VLOOKUP(CONCATENATE($D1817,$G1817),CSRFinput!$B:$E,4,0)=0,OR(H1817=MappingTables!$C$31,H1817=MappingTables!$C$32)),1,VLOOKUP(CONCATENATE($D1817,$G1817),CSRFinput!$B:$E,4,0))),0,IF(AND(VLOOKUP(CONCATENATE($D1817,$G1817),CSRFinput!$B:$E,4,0)=0,OR(H1817=MappingTables!$C$31,H1817=MappingTables!$C$32)),1,VLOOKUP(CONCATENATE($D1817,$G1817),CSRFinput!$B:$E,4,0)))</f>
        <v>0.054776304963434752</v>
      </c>
      <c r="S1817" s="73">
        <f>IF(B1817="",0,P1817*R1817)</f>
        <v>21.95091449543286</v>
      </c>
      <c r="T1817" s="85">
        <f>IF(B1817="",0,IF(OR(H1817=MappingTables!$C$34,H1817=MappingTables!$C$35),S1817,0))</f>
        <v>0</v>
      </c>
    </row>
    <row r="1818" spans="2:20" s="0" customFormat="0" ht="15">
      <c r="B1818" s="69" t="s">
        <v>3338</v>
      </c>
      <c r="C1818" s="70" t="s">
        <v>3339</v>
      </c>
      <c r="D1818" s="70" t="s">
        <v>1</v>
      </c>
      <c r="E1818" s="70" t="s">
        <v>1</v>
      </c>
      <c r="F1818" s="70"/>
      <c r="G1818" s="70" t="s">
        <v>61</v>
      </c>
      <c r="H1818" s="70" t="s">
        <v>178</v>
      </c>
      <c r="I1818" s="70" t="s">
        <v>179</v>
      </c>
      <c r="J1818" s="71">
        <f>IF(OR(I1818=0,I1818=""),"unrated",VLOOKUP(I1818,MappingTables!$B$19:$C$31,2,FALSE))</f>
        <v>4</v>
      </c>
      <c r="K1818" s="72">
        <v>2762.2199786101076</v>
      </c>
      <c r="L1818" s="70">
        <v>0.068490919734433472</v>
      </c>
      <c r="M1818" s="71">
        <f>IF(L1818&lt;1,1,L1818)</f>
        <v>1</v>
      </c>
      <c r="N1818" s="70" t="s">
        <v>3288</v>
      </c>
      <c r="O1818" s="71">
        <f>IF(OR(I1818=$A$1,I1818=0),"",IF(N1818=MappingTables!$C$14,VLOOKUP(J1818,ModelParameters!$M$8:$N$15,2,FALSE),IF(N1818=MappingTables!$C$16,VLOOKUP(J1818,ModelParameters!$P$8:$Q$15,2,FALSE),0)))</f>
        <v>0.82</v>
      </c>
      <c r="P1818" s="73">
        <f>IF(OR(I1818=0,I1818=$A$1),0,MIN(O1818*M1818,1)*K1818)</f>
        <v>2265.020382460288</v>
      </c>
      <c r="Q1818" s="73">
        <f>IF(B1818="",0,IF(OR(H1818=MappingTables!$C$34,H1818=MappingTables!$C$35),P1818,0))</f>
        <v>0</v>
      </c>
      <c r="R1818" s="73">
        <f>IF(ISNA(IF(AND(VLOOKUP(CONCATENATE($D1818,$G1818),CSRFinput!$B:$E,4,0)=0,OR(H1818=MappingTables!$C$31,H1818=MappingTables!$C$32)),1,VLOOKUP(CONCATENATE($D1818,$G1818),CSRFinput!$B:$E,4,0))),0,IF(AND(VLOOKUP(CONCATENATE($D1818,$G1818),CSRFinput!$B:$E,4,0)=0,OR(H1818=MappingTables!$C$31,H1818=MappingTables!$C$32)),1,VLOOKUP(CONCATENATE($D1818,$G1818),CSRFinput!$B:$E,4,0)))</f>
        <v>0.054776304963434752</v>
      </c>
      <c r="S1818" s="73">
        <f>IF(B1818="",0,P1818*R1818)</f>
        <v>124.06944721804036</v>
      </c>
      <c r="T1818" s="85">
        <f>IF(B1818="",0,IF(OR(H1818=MappingTables!$C$34,H1818=MappingTables!$C$35),S1818,0))</f>
        <v>0</v>
      </c>
    </row>
    <row r="1819" spans="2:20" s="0" customFormat="0" ht="15">
      <c r="B1819" s="69" t="s">
        <v>5162</v>
      </c>
      <c r="C1819" s="70" t="s">
        <v>5163</v>
      </c>
      <c r="D1819" s="70" t="s">
        <v>1</v>
      </c>
      <c r="E1819" s="70" t="s">
        <v>1</v>
      </c>
      <c r="F1819" s="70"/>
      <c r="G1819" s="70" t="s">
        <v>61</v>
      </c>
      <c r="H1819" s="70" t="s">
        <v>178</v>
      </c>
      <c r="I1819" s="70" t="s">
        <v>216</v>
      </c>
      <c r="J1819" s="71">
        <f>IF(OR(I1819=0,I1819=""),"unrated",VLOOKUP(I1819,MappingTables!$B$19:$C$31,2,FALSE))</f>
        <v>0</v>
      </c>
      <c r="K1819" s="72">
        <v>1236.5532667778696</v>
      </c>
      <c r="L1819" s="70">
        <v>0.035614629578711456</v>
      </c>
      <c r="M1819" s="71">
        <f>IF(L1819&lt;1,1,L1819)</f>
        <v>1</v>
      </c>
      <c r="N1819" s="70" t="s">
        <v>3288</v>
      </c>
      <c r="O1819" s="71">
        <f>IF(OR(I1819=$A$1,I1819=0),"",IF(N1819=MappingTables!$C$14,VLOOKUP(J1819,ModelParameters!$M$8:$N$15,2,FALSE),IF(N1819=MappingTables!$C$16,VLOOKUP(J1819,ModelParameters!$P$8:$Q$15,2,FALSE),0)))</f>
        <v>0.125</v>
      </c>
      <c r="P1819" s="73">
        <f>IF(OR(I1819=0,I1819=$A$1),0,MIN(O1819*M1819,1)*K1819)</f>
        <v>154.5691583472337</v>
      </c>
      <c r="Q1819" s="73">
        <f>IF(B1819="",0,IF(OR(H1819=MappingTables!$C$34,H1819=MappingTables!$C$35),P1819,0))</f>
        <v>0</v>
      </c>
      <c r="R1819" s="73">
        <f>IF(ISNA(IF(AND(VLOOKUP(CONCATENATE($D1819,$G1819),CSRFinput!$B:$E,4,0)=0,OR(H1819=MappingTables!$C$31,H1819=MappingTables!$C$32)),1,VLOOKUP(CONCATENATE($D1819,$G1819),CSRFinput!$B:$E,4,0))),0,IF(AND(VLOOKUP(CONCATENATE($D1819,$G1819),CSRFinput!$B:$E,4,0)=0,OR(H1819=MappingTables!$C$31,H1819=MappingTables!$C$32)),1,VLOOKUP(CONCATENATE($D1819,$G1819),CSRFinput!$B:$E,4,0)))</f>
        <v>0.054776304963434752</v>
      </c>
      <c r="S1819" s="73">
        <f>IF(B1819="",0,P1819*R1819)</f>
        <v>8.4667273555695088</v>
      </c>
      <c r="T1819" s="85">
        <f>IF(B1819="",0,IF(OR(H1819=MappingTables!$C$34,H1819=MappingTables!$C$35),S1819,0))</f>
        <v>0</v>
      </c>
    </row>
    <row r="1820" spans="2:20" s="0" customFormat="0" ht="15">
      <c r="B1820" s="69" t="s">
        <v>4669</v>
      </c>
      <c r="C1820" s="70" t="s">
        <v>4670</v>
      </c>
      <c r="D1820" s="70" t="s">
        <v>1</v>
      </c>
      <c r="E1820" s="70" t="s">
        <v>1</v>
      </c>
      <c r="F1820" s="70"/>
      <c r="G1820" s="70" t="s">
        <v>61</v>
      </c>
      <c r="H1820" s="70" t="s">
        <v>178</v>
      </c>
      <c r="I1820" s="70" t="s">
        <v>198</v>
      </c>
      <c r="J1820" s="71" t="str">
        <f>IF(OR(I1820=0,I1820=""),"unrated",VLOOKUP(I1820,MappingTables!$B$19:$C$31,2,FALSE))</f>
        <v>unrated</v>
      </c>
      <c r="K1820" s="72">
        <v>0.46568965515618208</v>
      </c>
      <c r="L1820" s="70">
        <v>0.06849499394212544</v>
      </c>
      <c r="M1820" s="71">
        <f>IF(L1820&lt;1,1,L1820)</f>
        <v>1</v>
      </c>
      <c r="N1820" s="70" t="s">
        <v>3288</v>
      </c>
      <c r="O1820" s="71">
        <f>IF(OR(I1820=$A$1,I1820=0),"",IF(N1820=MappingTables!$C$14,VLOOKUP(J1820,ModelParameters!$M$8:$N$15,2,FALSE),IF(N1820=MappingTables!$C$16,VLOOKUP(J1820,ModelParameters!$P$8:$Q$15,2,FALSE),0)))</f>
        <v>1</v>
      </c>
      <c r="P1820" s="73">
        <f>IF(OR(I1820=0,I1820=$A$1),0,MIN(O1820*M1820,1)*K1820)</f>
        <v>0.46568965515618208</v>
      </c>
      <c r="Q1820" s="73">
        <f>IF(B1820="",0,IF(OR(H1820=MappingTables!$C$34,H1820=MappingTables!$C$35),P1820,0))</f>
        <v>0</v>
      </c>
      <c r="R1820" s="73">
        <f>IF(ISNA(IF(AND(VLOOKUP(CONCATENATE($D1820,$G1820),CSRFinput!$B:$E,4,0)=0,OR(H1820=MappingTables!$C$31,H1820=MappingTables!$C$32)),1,VLOOKUP(CONCATENATE($D1820,$G1820),CSRFinput!$B:$E,4,0))),0,IF(AND(VLOOKUP(CONCATENATE($D1820,$G1820),CSRFinput!$B:$E,4,0)=0,OR(H1820=MappingTables!$C$31,H1820=MappingTables!$C$32)),1,VLOOKUP(CONCATENATE($D1820,$G1820),CSRFinput!$B:$E,4,0)))</f>
        <v>0.054776304963434752</v>
      </c>
      <c r="S1820" s="73">
        <f>IF(B1820="",0,P1820*R1820)</f>
        <v>0.0255087585691518</v>
      </c>
      <c r="T1820" s="85">
        <f>IF(B1820="",0,IF(OR(H1820=MappingTables!$C$34,H1820=MappingTables!$C$35),S1820,0))</f>
        <v>0</v>
      </c>
    </row>
    <row r="1821" spans="2:20" s="0" customFormat="0" ht="15">
      <c r="B1821" s="69" t="s">
        <v>3533</v>
      </c>
      <c r="C1821" s="70" t="s">
        <v>3534</v>
      </c>
      <c r="D1821" s="70" t="s">
        <v>1</v>
      </c>
      <c r="E1821" s="70" t="s">
        <v>1</v>
      </c>
      <c r="F1821" s="70"/>
      <c r="G1821" s="70" t="s">
        <v>61</v>
      </c>
      <c r="H1821" s="70" t="s">
        <v>178</v>
      </c>
      <c r="I1821" s="70" t="s">
        <v>184</v>
      </c>
      <c r="J1821" s="71">
        <f>IF(OR(I1821=0,I1821=""),"unrated",VLOOKUP(I1821,MappingTables!$B$19:$C$31,2,FALSE))</f>
        <v>5</v>
      </c>
      <c r="K1821" s="72">
        <v>473.45717960619248</v>
      </c>
      <c r="L1821" s="70">
        <v>0.068488077574618432</v>
      </c>
      <c r="M1821" s="71">
        <f>IF(L1821&lt;1,1,L1821)</f>
        <v>1</v>
      </c>
      <c r="N1821" s="70" t="s">
        <v>3288</v>
      </c>
      <c r="O1821" s="71">
        <f>IF(OR(I1821=$A$1,I1821=0),"",IF(N1821=MappingTables!$C$14,VLOOKUP(J1821,ModelParameters!$M$8:$N$15,2,FALSE),IF(N1821=MappingTables!$C$16,VLOOKUP(J1821,ModelParameters!$P$8:$Q$15,2,FALSE),0)))</f>
        <v>1</v>
      </c>
      <c r="P1821" s="73">
        <f>IF(OR(I1821=0,I1821=$A$1),0,MIN(O1821*M1821,1)*K1821)</f>
        <v>473.45717960619248</v>
      </c>
      <c r="Q1821" s="73">
        <f>IF(B1821="",0,IF(OR(H1821=MappingTables!$C$34,H1821=MappingTables!$C$35),P1821,0))</f>
        <v>0</v>
      </c>
      <c r="R1821" s="73">
        <f>IF(ISNA(IF(AND(VLOOKUP(CONCATENATE($D1821,$G1821),CSRFinput!$B:$E,4,0)=0,OR(H1821=MappingTables!$C$31,H1821=MappingTables!$C$32)),1,VLOOKUP(CONCATENATE($D1821,$G1821),CSRFinput!$B:$E,4,0))),0,IF(AND(VLOOKUP(CONCATENATE($D1821,$G1821),CSRFinput!$B:$E,4,0)=0,OR(H1821=MappingTables!$C$31,H1821=MappingTables!$C$32)),1,VLOOKUP(CONCATENATE($D1821,$G1821),CSRFinput!$B:$E,4,0)))</f>
        <v>0.054776304963434752</v>
      </c>
      <c r="S1821" s="73">
        <f>IF(B1821="",0,P1821*R1821)</f>
        <v>25.9342348572365</v>
      </c>
      <c r="T1821" s="85">
        <f>IF(B1821="",0,IF(OR(H1821=MappingTables!$C$34,H1821=MappingTables!$C$35),S1821,0))</f>
        <v>0</v>
      </c>
    </row>
    <row r="1822" spans="2:20" s="0" customFormat="0" ht="15">
      <c r="B1822" s="69" t="s">
        <v>3392</v>
      </c>
      <c r="C1822" s="70" t="s">
        <v>3393</v>
      </c>
      <c r="D1822" s="70" t="s">
        <v>1</v>
      </c>
      <c r="E1822" s="70" t="s">
        <v>1</v>
      </c>
      <c r="F1822" s="70"/>
      <c r="G1822" s="70" t="s">
        <v>61</v>
      </c>
      <c r="H1822" s="70" t="s">
        <v>178</v>
      </c>
      <c r="I1822" s="70" t="s">
        <v>198</v>
      </c>
      <c r="J1822" s="71" t="str">
        <f>IF(OR(I1822=0,I1822=""),"unrated",VLOOKUP(I1822,MappingTables!$B$19:$C$31,2,FALSE))</f>
        <v>unrated</v>
      </c>
      <c r="K1822" s="72">
        <v>548.7999629730028</v>
      </c>
      <c r="L1822" s="70">
        <v>8.6448782126935216</v>
      </c>
      <c r="M1822" s="71">
        <f>IF(L1822&lt;1,1,L1822)</f>
        <v>8.6448782126935216</v>
      </c>
      <c r="N1822" s="70" t="s">
        <v>3288</v>
      </c>
      <c r="O1822" s="71">
        <f>IF(OR(I1822=$A$1,I1822=0),"",IF(N1822=MappingTables!$C$14,VLOOKUP(J1822,ModelParameters!$M$8:$N$15,2,FALSE),IF(N1822=MappingTables!$C$16,VLOOKUP(J1822,ModelParameters!$P$8:$Q$15,2,FALSE),0)))</f>
        <v>1</v>
      </c>
      <c r="P1822" s="73">
        <f>IF(OR(I1822=0,I1822=$A$1),0,MIN(O1822*M1822,1)*K1822)</f>
        <v>548.7999629730028</v>
      </c>
      <c r="Q1822" s="73">
        <f>IF(B1822="",0,IF(OR(H1822=MappingTables!$C$34,H1822=MappingTables!$C$35),P1822,0))</f>
        <v>0</v>
      </c>
      <c r="R1822" s="73">
        <f>IF(ISNA(IF(AND(VLOOKUP(CONCATENATE($D1822,$G1822),CSRFinput!$B:$E,4,0)=0,OR(H1822=MappingTables!$C$31,H1822=MappingTables!$C$32)),1,VLOOKUP(CONCATENATE($D1822,$G1822),CSRFinput!$B:$E,4,0))),0,IF(AND(VLOOKUP(CONCATENATE($D1822,$G1822),CSRFinput!$B:$E,4,0)=0,OR(H1822=MappingTables!$C$31,H1822=MappingTables!$C$32)),1,VLOOKUP(CONCATENATE($D1822,$G1822),CSRFinput!$B:$E,4,0)))</f>
        <v>0.054776304963434752</v>
      </c>
      <c r="S1822" s="73">
        <f>IF(B1822="",0,P1822*R1822)</f>
        <v>30.061234135730904</v>
      </c>
      <c r="T1822" s="85">
        <f>IF(B1822="",0,IF(OR(H1822=MappingTables!$C$34,H1822=MappingTables!$C$35),S1822,0))</f>
        <v>0</v>
      </c>
    </row>
    <row r="1823" spans="2:20" s="0" customFormat="0" ht="15">
      <c r="B1823" s="69" t="s">
        <v>4676</v>
      </c>
      <c r="C1823" s="70" t="s">
        <v>4677</v>
      </c>
      <c r="D1823" s="70" t="s">
        <v>1</v>
      </c>
      <c r="E1823" s="70" t="s">
        <v>1</v>
      </c>
      <c r="F1823" s="70"/>
      <c r="G1823" s="70" t="s">
        <v>61</v>
      </c>
      <c r="H1823" s="70" t="s">
        <v>178</v>
      </c>
      <c r="I1823" s="70" t="s">
        <v>3291</v>
      </c>
      <c r="J1823" s="71">
        <f>IF(OR(I1823=0,I1823=""),"unrated",VLOOKUP(I1823,MappingTables!$B$19:$C$31,2,FALSE))</f>
        <v>6</v>
      </c>
      <c r="K1823" s="72">
        <v>250.7081635056224</v>
      </c>
      <c r="L1823" s="70">
        <v>0.068493081796432112</v>
      </c>
      <c r="M1823" s="71">
        <f>IF(L1823&lt;1,1,L1823)</f>
        <v>1</v>
      </c>
      <c r="N1823" s="70" t="s">
        <v>3288</v>
      </c>
      <c r="O1823" s="71">
        <f>IF(OR(I1823=$A$1,I1823=0),"",IF(N1823=MappingTables!$C$14,VLOOKUP(J1823,ModelParameters!$M$8:$N$15,2,FALSE),IF(N1823=MappingTables!$C$16,VLOOKUP(J1823,ModelParameters!$P$8:$Q$15,2,FALSE),0)))</f>
        <v>1</v>
      </c>
      <c r="P1823" s="73">
        <f>IF(OR(I1823=0,I1823=$A$1),0,MIN(O1823*M1823,1)*K1823)</f>
        <v>250.7081635056224</v>
      </c>
      <c r="Q1823" s="73">
        <f>IF(B1823="",0,IF(OR(H1823=MappingTables!$C$34,H1823=MappingTables!$C$35),P1823,0))</f>
        <v>0</v>
      </c>
      <c r="R1823" s="73">
        <f>IF(ISNA(IF(AND(VLOOKUP(CONCATENATE($D1823,$G1823),CSRFinput!$B:$E,4,0)=0,OR(H1823=MappingTables!$C$31,H1823=MappingTables!$C$32)),1,VLOOKUP(CONCATENATE($D1823,$G1823),CSRFinput!$B:$E,4,0))),0,IF(AND(VLOOKUP(CONCATENATE($D1823,$G1823),CSRFinput!$B:$E,4,0)=0,OR(H1823=MappingTables!$C$31,H1823=MappingTables!$C$32)),1,VLOOKUP(CONCATENATE($D1823,$G1823),CSRFinput!$B:$E,4,0)))</f>
        <v>0.054776304963434752</v>
      </c>
      <c r="S1823" s="73">
        <f>IF(B1823="",0,P1823*R1823)</f>
        <v>13.732866821006636</v>
      </c>
      <c r="T1823" s="85">
        <f>IF(B1823="",0,IF(OR(H1823=MappingTables!$C$34,H1823=MappingTables!$C$35),S1823,0))</f>
        <v>0</v>
      </c>
    </row>
    <row r="1824" spans="2:20" s="0" customFormat="0" ht="15">
      <c r="B1824" s="69" t="s">
        <v>5164</v>
      </c>
      <c r="C1824" s="70" t="s">
        <v>5165</v>
      </c>
      <c r="D1824" s="70" t="s">
        <v>1</v>
      </c>
      <c r="E1824" s="70" t="s">
        <v>1</v>
      </c>
      <c r="F1824" s="70"/>
      <c r="G1824" s="70" t="s">
        <v>61</v>
      </c>
      <c r="H1824" s="70" t="s">
        <v>178</v>
      </c>
      <c r="I1824" s="70" t="s">
        <v>3298</v>
      </c>
      <c r="J1824" s="71">
        <f>IF(OR(I1824=0,I1824=""),"unrated",VLOOKUP(I1824,MappingTables!$B$19:$C$31,2,FALSE))</f>
        <v>6</v>
      </c>
      <c r="K1824" s="72">
        <v>32.183625647760472</v>
      </c>
      <c r="L1824" s="70">
        <v>0.068488927010227976</v>
      </c>
      <c r="M1824" s="71">
        <f>IF(L1824&lt;1,1,L1824)</f>
        <v>1</v>
      </c>
      <c r="N1824" s="70" t="s">
        <v>3288</v>
      </c>
      <c r="O1824" s="71">
        <f>IF(OR(I1824=$A$1,I1824=0),"",IF(N1824=MappingTables!$C$14,VLOOKUP(J1824,ModelParameters!$M$8:$N$15,2,FALSE),IF(N1824=MappingTables!$C$16,VLOOKUP(J1824,ModelParameters!$P$8:$Q$15,2,FALSE),0)))</f>
        <v>1</v>
      </c>
      <c r="P1824" s="73">
        <f>IF(OR(I1824=0,I1824=$A$1),0,MIN(O1824*M1824,1)*K1824)</f>
        <v>32.183625647760472</v>
      </c>
      <c r="Q1824" s="73">
        <f>IF(B1824="",0,IF(OR(H1824=MappingTables!$C$34,H1824=MappingTables!$C$35),P1824,0))</f>
        <v>0</v>
      </c>
      <c r="R1824" s="73">
        <f>IF(ISNA(IF(AND(VLOOKUP(CONCATENATE($D1824,$G1824),CSRFinput!$B:$E,4,0)=0,OR(H1824=MappingTables!$C$31,H1824=MappingTables!$C$32)),1,VLOOKUP(CONCATENATE($D1824,$G1824),CSRFinput!$B:$E,4,0))),0,IF(AND(VLOOKUP(CONCATENATE($D1824,$G1824),CSRFinput!$B:$E,4,0)=0,OR(H1824=MappingTables!$C$31,H1824=MappingTables!$C$32)),1,VLOOKUP(CONCATENATE($D1824,$G1824),CSRFinput!$B:$E,4,0)))</f>
        <v>0.054776304963434752</v>
      </c>
      <c r="S1824" s="73">
        <f>IF(B1824="",0,P1824*R1824)</f>
        <v>1.762900093310748</v>
      </c>
      <c r="T1824" s="85">
        <f>IF(B1824="",0,IF(OR(H1824=MappingTables!$C$34,H1824=MappingTables!$C$35),S1824,0))</f>
        <v>0</v>
      </c>
    </row>
    <row r="1825" spans="2:20" s="0" customFormat="0" ht="15">
      <c r="B1825" s="69" t="s">
        <v>4994</v>
      </c>
      <c r="C1825" s="70" t="s">
        <v>4995</v>
      </c>
      <c r="D1825" s="70" t="s">
        <v>1</v>
      </c>
      <c r="E1825" s="70" t="s">
        <v>1</v>
      </c>
      <c r="F1825" s="70"/>
      <c r="G1825" s="70" t="s">
        <v>61</v>
      </c>
      <c r="H1825" s="70" t="s">
        <v>178</v>
      </c>
      <c r="I1825" s="70" t="s">
        <v>198</v>
      </c>
      <c r="J1825" s="71" t="str">
        <f>IF(OR(I1825=0,I1825=""),"unrated",VLOOKUP(I1825,MappingTables!$B$19:$C$31,2,FALSE))</f>
        <v>unrated</v>
      </c>
      <c r="K1825" s="72">
        <v>6.7358086901677552</v>
      </c>
      <c r="L1825" s="70">
        <v>35.166691560547932</v>
      </c>
      <c r="M1825" s="71">
        <f>IF(L1825&lt;1,1,L1825)</f>
        <v>35.166691560547932</v>
      </c>
      <c r="N1825" s="70" t="s">
        <v>3288</v>
      </c>
      <c r="O1825" s="71">
        <f>IF(OR(I1825=$A$1,I1825=0),"",IF(N1825=MappingTables!$C$14,VLOOKUP(J1825,ModelParameters!$M$8:$N$15,2,FALSE),IF(N1825=MappingTables!$C$16,VLOOKUP(J1825,ModelParameters!$P$8:$Q$15,2,FALSE),0)))</f>
        <v>1</v>
      </c>
      <c r="P1825" s="73">
        <f>IF(OR(I1825=0,I1825=$A$1),0,MIN(O1825*M1825,1)*K1825)</f>
        <v>6.7358086901677552</v>
      </c>
      <c r="Q1825" s="73">
        <f>IF(B1825="",0,IF(OR(H1825=MappingTables!$C$34,H1825=MappingTables!$C$35),P1825,0))</f>
        <v>0</v>
      </c>
      <c r="R1825" s="73">
        <f>IF(ISNA(IF(AND(VLOOKUP(CONCATENATE($D1825,$G1825),CSRFinput!$B:$E,4,0)=0,OR(H1825=MappingTables!$C$31,H1825=MappingTables!$C$32)),1,VLOOKUP(CONCATENATE($D1825,$G1825),CSRFinput!$B:$E,4,0))),0,IF(AND(VLOOKUP(CONCATENATE($D1825,$G1825),CSRFinput!$B:$E,4,0)=0,OR(H1825=MappingTables!$C$31,H1825=MappingTables!$C$32)),1,VLOOKUP(CONCATENATE($D1825,$G1825),CSRFinput!$B:$E,4,0)))</f>
        <v>0.054776304963434752</v>
      </c>
      <c r="S1825" s="73">
        <f>IF(B1825="",0,P1825*R1825)</f>
        <v>0.36896271098798296</v>
      </c>
      <c r="T1825" s="85">
        <f>IF(B1825="",0,IF(OR(H1825=MappingTables!$C$34,H1825=MappingTables!$C$35),S1825,0))</f>
        <v>0</v>
      </c>
    </row>
    <row r="1826" spans="2:20" s="0" customFormat="0" ht="15">
      <c r="B1826" s="69">
        <v>15099701</v>
      </c>
      <c r="C1826" s="70" t="s">
        <v>4639</v>
      </c>
      <c r="D1826" s="70" t="s">
        <v>1</v>
      </c>
      <c r="E1826" s="70" t="s">
        <v>1</v>
      </c>
      <c r="F1826" s="70"/>
      <c r="G1826" s="70" t="s">
        <v>61</v>
      </c>
      <c r="H1826" s="70" t="s">
        <v>178</v>
      </c>
      <c r="I1826" s="70" t="s">
        <v>216</v>
      </c>
      <c r="J1826" s="71">
        <f>IF(OR(I1826=0,I1826=""),"unrated",VLOOKUP(I1826,MappingTables!$B$19:$C$31,2,FALSE))</f>
        <v>0</v>
      </c>
      <c r="K1826" s="72">
        <v>249.26648759074352</v>
      </c>
      <c r="L1826" s="70">
        <v>0.034990647793380904</v>
      </c>
      <c r="M1826" s="71">
        <f>IF(L1826&lt;1,1,L1826)</f>
        <v>1</v>
      </c>
      <c r="N1826" s="70" t="s">
        <v>3288</v>
      </c>
      <c r="O1826" s="71">
        <f>IF(OR(I1826=$A$1,I1826=0),"",IF(N1826=MappingTables!$C$14,VLOOKUP(J1826,ModelParameters!$M$8:$N$15,2,FALSE),IF(N1826=MappingTables!$C$16,VLOOKUP(J1826,ModelParameters!$P$8:$Q$15,2,FALSE),0)))</f>
        <v>0.125</v>
      </c>
      <c r="P1826" s="73">
        <f>IF(OR(I1826=0,I1826=$A$1),0,MIN(O1826*M1826,1)*K1826)</f>
        <v>31.158310948842944</v>
      </c>
      <c r="Q1826" s="73">
        <f>IF(B1826="",0,IF(OR(H1826=MappingTables!$C$34,H1826=MappingTables!$C$35),P1826,0))</f>
        <v>0</v>
      </c>
      <c r="R1826" s="73">
        <f>IF(ISNA(IF(AND(VLOOKUP(CONCATENATE($D1826,$G1826),CSRFinput!$B:$E,4,0)=0,OR(H1826=MappingTables!$C$31,H1826=MappingTables!$C$32)),1,VLOOKUP(CONCATENATE($D1826,$G1826),CSRFinput!$B:$E,4,0))),0,IF(AND(VLOOKUP(CONCATENATE($D1826,$G1826),CSRFinput!$B:$E,4,0)=0,OR(H1826=MappingTables!$C$31,H1826=MappingTables!$C$32)),1,VLOOKUP(CONCATENATE($D1826,$G1826),CSRFinput!$B:$E,4,0)))</f>
        <v>0.054776304963434752</v>
      </c>
      <c r="S1826" s="73">
        <f>IF(B1826="",0,P1826*R1826)</f>
        <v>1.7067371426793492</v>
      </c>
      <c r="T1826" s="85">
        <f>IF(B1826="",0,IF(OR(H1826=MappingTables!$C$34,H1826=MappingTables!$C$35),S1826,0))</f>
        <v>0</v>
      </c>
    </row>
    <row r="1827" spans="2:20" s="0" customFormat="0" ht="15">
      <c r="B1827" s="69" t="s">
        <v>4982</v>
      </c>
      <c r="C1827" s="70" t="s">
        <v>4983</v>
      </c>
      <c r="D1827" s="70" t="s">
        <v>1</v>
      </c>
      <c r="E1827" s="70" t="s">
        <v>1</v>
      </c>
      <c r="F1827" s="70"/>
      <c r="G1827" s="70" t="s">
        <v>61</v>
      </c>
      <c r="H1827" s="70" t="s">
        <v>178</v>
      </c>
      <c r="I1827" s="70" t="s">
        <v>3291</v>
      </c>
      <c r="J1827" s="71">
        <f>IF(OR(I1827=0,I1827=""),"unrated",VLOOKUP(I1827,MappingTables!$B$19:$C$31,2,FALSE))</f>
        <v>6</v>
      </c>
      <c r="K1827" s="72">
        <v>2.6703294692389572</v>
      </c>
      <c r="L1827" s="70">
        <v>0.06849220362854452</v>
      </c>
      <c r="M1827" s="71">
        <f>IF(L1827&lt;1,1,L1827)</f>
        <v>1</v>
      </c>
      <c r="N1827" s="70" t="s">
        <v>3288</v>
      </c>
      <c r="O1827" s="71">
        <f>IF(OR(I1827=$A$1,I1827=0),"",IF(N1827=MappingTables!$C$14,VLOOKUP(J1827,ModelParameters!$M$8:$N$15,2,FALSE),IF(N1827=MappingTables!$C$16,VLOOKUP(J1827,ModelParameters!$P$8:$Q$15,2,FALSE),0)))</f>
        <v>1</v>
      </c>
      <c r="P1827" s="73">
        <f>IF(OR(I1827=0,I1827=$A$1),0,MIN(O1827*M1827,1)*K1827)</f>
        <v>2.6703294692389572</v>
      </c>
      <c r="Q1827" s="73">
        <f>IF(B1827="",0,IF(OR(H1827=MappingTables!$C$34,H1827=MappingTables!$C$35),P1827,0))</f>
        <v>0</v>
      </c>
      <c r="R1827" s="73">
        <f>IF(ISNA(IF(AND(VLOOKUP(CONCATENATE($D1827,$G1827),CSRFinput!$B:$E,4,0)=0,OR(H1827=MappingTables!$C$31,H1827=MappingTables!$C$32)),1,VLOOKUP(CONCATENATE($D1827,$G1827),CSRFinput!$B:$E,4,0))),0,IF(AND(VLOOKUP(CONCATENATE($D1827,$G1827),CSRFinput!$B:$E,4,0)=0,OR(H1827=MappingTables!$C$31,H1827=MappingTables!$C$32)),1,VLOOKUP(CONCATENATE($D1827,$G1827),CSRFinput!$B:$E,4,0)))</f>
        <v>0.054776304963434752</v>
      </c>
      <c r="S1827" s="73">
        <f>IF(B1827="",0,P1827*R1827)</f>
        <v>0.14627078135987998</v>
      </c>
      <c r="T1827" s="85">
        <f>IF(B1827="",0,IF(OR(H1827=MappingTables!$C$34,H1827=MappingTables!$C$35),S1827,0))</f>
        <v>0</v>
      </c>
    </row>
    <row r="1828" spans="2:20" s="0" customFormat="0" ht="15">
      <c r="B1828" s="69">
        <v>2215067</v>
      </c>
      <c r="C1828" s="70" t="s">
        <v>4648</v>
      </c>
      <c r="D1828" s="70" t="s">
        <v>1</v>
      </c>
      <c r="E1828" s="70" t="s">
        <v>1</v>
      </c>
      <c r="F1828" s="70"/>
      <c r="G1828" s="70" t="s">
        <v>61</v>
      </c>
      <c r="H1828" s="70" t="s">
        <v>178</v>
      </c>
      <c r="I1828" s="70" t="s">
        <v>3298</v>
      </c>
      <c r="J1828" s="71">
        <f>IF(OR(I1828=0,I1828=""),"unrated",VLOOKUP(I1828,MappingTables!$B$19:$C$31,2,FALSE))</f>
        <v>6</v>
      </c>
      <c r="K1828" s="72">
        <v>154.2110710558373</v>
      </c>
      <c r="L1828" s="70">
        <v>0.068499383174289624</v>
      </c>
      <c r="M1828" s="71">
        <f>IF(L1828&lt;1,1,L1828)</f>
        <v>1</v>
      </c>
      <c r="N1828" s="70" t="s">
        <v>3288</v>
      </c>
      <c r="O1828" s="71">
        <f>IF(OR(I1828=$A$1,I1828=0),"",IF(N1828=MappingTables!$C$14,VLOOKUP(J1828,ModelParameters!$M$8:$N$15,2,FALSE),IF(N1828=MappingTables!$C$16,VLOOKUP(J1828,ModelParameters!$P$8:$Q$15,2,FALSE),0)))</f>
        <v>1</v>
      </c>
      <c r="P1828" s="73">
        <f>IF(OR(I1828=0,I1828=$A$1),0,MIN(O1828*M1828,1)*K1828)</f>
        <v>154.2110710558373</v>
      </c>
      <c r="Q1828" s="73">
        <f>IF(B1828="",0,IF(OR(H1828=MappingTables!$C$34,H1828=MappingTables!$C$35),P1828,0))</f>
        <v>0</v>
      </c>
      <c r="R1828" s="73">
        <f>IF(ISNA(IF(AND(VLOOKUP(CONCATENATE($D1828,$G1828),CSRFinput!$B:$E,4,0)=0,OR(H1828=MappingTables!$C$31,H1828=MappingTables!$C$32)),1,VLOOKUP(CONCATENATE($D1828,$G1828),CSRFinput!$B:$E,4,0))),0,IF(AND(VLOOKUP(CONCATENATE($D1828,$G1828),CSRFinput!$B:$E,4,0)=0,OR(H1828=MappingTables!$C$31,H1828=MappingTables!$C$32)),1,VLOOKUP(CONCATENATE($D1828,$G1828),CSRFinput!$B:$E,4,0)))</f>
        <v>0.054776304963434752</v>
      </c>
      <c r="S1828" s="73">
        <f>IF(B1828="",0,P1828*R1828)</f>
        <v>8.4471126568924496</v>
      </c>
      <c r="T1828" s="85">
        <f>IF(B1828="",0,IF(OR(H1828=MappingTables!$C$34,H1828=MappingTables!$C$35),S1828,0))</f>
        <v>0</v>
      </c>
    </row>
    <row r="1829" spans="2:20" s="0" customFormat="0" ht="15">
      <c r="B1829" s="69" t="s">
        <v>5091</v>
      </c>
      <c r="C1829" s="70" t="s">
        <v>5092</v>
      </c>
      <c r="D1829" s="70" t="s">
        <v>1</v>
      </c>
      <c r="E1829" s="70" t="s">
        <v>1</v>
      </c>
      <c r="F1829" s="70"/>
      <c r="G1829" s="70" t="s">
        <v>61</v>
      </c>
      <c r="H1829" s="70" t="s">
        <v>178</v>
      </c>
      <c r="I1829" s="70" t="s">
        <v>198</v>
      </c>
      <c r="J1829" s="71" t="str">
        <f>IF(OR(I1829=0,I1829=""),"unrated",VLOOKUP(I1829,MappingTables!$B$19:$C$31,2,FALSE))</f>
        <v>unrated</v>
      </c>
      <c r="K1829" s="72">
        <v>6810.4454821172472</v>
      </c>
      <c r="L1829" s="70">
        <v>39.81330579040676</v>
      </c>
      <c r="M1829" s="71">
        <f>IF(L1829&lt;1,1,L1829)</f>
        <v>39.81330579040676</v>
      </c>
      <c r="N1829" s="70" t="s">
        <v>3288</v>
      </c>
      <c r="O1829" s="71">
        <f>IF(OR(I1829=$A$1,I1829=0),"",IF(N1829=MappingTables!$C$14,VLOOKUP(J1829,ModelParameters!$M$8:$N$15,2,FALSE),IF(N1829=MappingTables!$C$16,VLOOKUP(J1829,ModelParameters!$P$8:$Q$15,2,FALSE),0)))</f>
        <v>1</v>
      </c>
      <c r="P1829" s="73">
        <f>IF(OR(I1829=0,I1829=$A$1),0,MIN(O1829*M1829,1)*K1829)</f>
        <v>6810.4454821172472</v>
      </c>
      <c r="Q1829" s="73">
        <f>IF(B1829="",0,IF(OR(H1829=MappingTables!$C$34,H1829=MappingTables!$C$35),P1829,0))</f>
        <v>0</v>
      </c>
      <c r="R1829" s="73">
        <f>IF(ISNA(IF(AND(VLOOKUP(CONCATENATE($D1829,$G1829),CSRFinput!$B:$E,4,0)=0,OR(H1829=MappingTables!$C$31,H1829=MappingTables!$C$32)),1,VLOOKUP(CONCATENATE($D1829,$G1829),CSRFinput!$B:$E,4,0))),0,IF(AND(VLOOKUP(CONCATENATE($D1829,$G1829),CSRFinput!$B:$E,4,0)=0,OR(H1829=MappingTables!$C$31,H1829=MappingTables!$C$32)),1,VLOOKUP(CONCATENATE($D1829,$G1829),CSRFinput!$B:$E,4,0)))</f>
        <v>0.054776304963434752</v>
      </c>
      <c r="S1829" s="73">
        <f>IF(B1829="",0,P1829*R1829)</f>
        <v>373.0510386653008</v>
      </c>
      <c r="T1829" s="85">
        <f>IF(B1829="",0,IF(OR(H1829=MappingTables!$C$34,H1829=MappingTables!$C$35),S1829,0))</f>
        <v>0</v>
      </c>
    </row>
    <row r="1830" spans="2:20" s="0" customFormat="0" ht="15">
      <c r="B1830" s="69">
        <v>16974058</v>
      </c>
      <c r="C1830" s="70" t="s">
        <v>3880</v>
      </c>
      <c r="D1830" s="70" t="s">
        <v>1</v>
      </c>
      <c r="E1830" s="70" t="s">
        <v>1</v>
      </c>
      <c r="F1830" s="70"/>
      <c r="G1830" s="70" t="s">
        <v>61</v>
      </c>
      <c r="H1830" s="70" t="s">
        <v>178</v>
      </c>
      <c r="I1830" s="70" t="s">
        <v>198</v>
      </c>
      <c r="J1830" s="71" t="str">
        <f>IF(OR(I1830=0,I1830=""),"unrated",VLOOKUP(I1830,MappingTables!$B$19:$C$31,2,FALSE))</f>
        <v>unrated</v>
      </c>
      <c r="K1830" s="72">
        <v>174.47464379503816</v>
      </c>
      <c r="L1830" s="70">
        <v>0.098809893247677424</v>
      </c>
      <c r="M1830" s="71">
        <f>IF(L1830&lt;1,1,L1830)</f>
        <v>1</v>
      </c>
      <c r="N1830" s="70" t="s">
        <v>3288</v>
      </c>
      <c r="O1830" s="71">
        <f>IF(OR(I1830=$A$1,I1830=0),"",IF(N1830=MappingTables!$C$14,VLOOKUP(J1830,ModelParameters!$M$8:$N$15,2,FALSE),IF(N1830=MappingTables!$C$16,VLOOKUP(J1830,ModelParameters!$P$8:$Q$15,2,FALSE),0)))</f>
        <v>1</v>
      </c>
      <c r="P1830" s="73">
        <f>IF(OR(I1830=0,I1830=$A$1),0,MIN(O1830*M1830,1)*K1830)</f>
        <v>174.47464379503816</v>
      </c>
      <c r="Q1830" s="73">
        <f>IF(B1830="",0,IF(OR(H1830=MappingTables!$C$34,H1830=MappingTables!$C$35),P1830,0))</f>
        <v>0</v>
      </c>
      <c r="R1830" s="73">
        <f>IF(ISNA(IF(AND(VLOOKUP(CONCATENATE($D1830,$G1830),CSRFinput!$B:$E,4,0)=0,OR(H1830=MappingTables!$C$31,H1830=MappingTables!$C$32)),1,VLOOKUP(CONCATENATE($D1830,$G1830),CSRFinput!$B:$E,4,0))),0,IF(AND(VLOOKUP(CONCATENATE($D1830,$G1830),CSRFinput!$B:$E,4,0)=0,OR(H1830=MappingTables!$C$31,H1830=MappingTables!$C$32)),1,VLOOKUP(CONCATENATE($D1830,$G1830),CSRFinput!$B:$E,4,0)))</f>
        <v>0.054776304963434752</v>
      </c>
      <c r="S1830" s="73">
        <f>IF(B1830="",0,P1830*R1830)</f>
        <v>9.5570762969036592</v>
      </c>
      <c r="T1830" s="85">
        <f>IF(B1830="",0,IF(OR(H1830=MappingTables!$C$34,H1830=MappingTables!$C$35),S1830,0))</f>
        <v>0</v>
      </c>
    </row>
    <row r="1831" spans="2:20" s="0" customFormat="0" ht="15">
      <c r="B1831" s="69" t="s">
        <v>4826</v>
      </c>
      <c r="C1831" s="70" t="s">
        <v>4827</v>
      </c>
      <c r="D1831" s="70" t="s">
        <v>1</v>
      </c>
      <c r="E1831" s="70" t="s">
        <v>1</v>
      </c>
      <c r="F1831" s="70"/>
      <c r="G1831" s="70" t="s">
        <v>61</v>
      </c>
      <c r="H1831" s="70" t="s">
        <v>178</v>
      </c>
      <c r="I1831" s="70" t="s">
        <v>3298</v>
      </c>
      <c r="J1831" s="71">
        <f>IF(OR(I1831=0,I1831=""),"unrated",VLOOKUP(I1831,MappingTables!$B$19:$C$31,2,FALSE))</f>
        <v>6</v>
      </c>
      <c r="K1831" s="72">
        <v>52.356220267342</v>
      </c>
      <c r="L1831" s="70">
        <v>-1.2224097689165972</v>
      </c>
      <c r="M1831" s="71">
        <f>IF(L1831&lt;1,1,L1831)</f>
        <v>1</v>
      </c>
      <c r="N1831" s="70" t="s">
        <v>3288</v>
      </c>
      <c r="O1831" s="71">
        <f>IF(OR(I1831=$A$1,I1831=0),"",IF(N1831=MappingTables!$C$14,VLOOKUP(J1831,ModelParameters!$M$8:$N$15,2,FALSE),IF(N1831=MappingTables!$C$16,VLOOKUP(J1831,ModelParameters!$P$8:$Q$15,2,FALSE),0)))</f>
        <v>1</v>
      </c>
      <c r="P1831" s="73">
        <f>IF(OR(I1831=0,I1831=$A$1),0,MIN(O1831*M1831,1)*K1831)</f>
        <v>52.356220267342</v>
      </c>
      <c r="Q1831" s="73">
        <f>IF(B1831="",0,IF(OR(H1831=MappingTables!$C$34,H1831=MappingTables!$C$35),P1831,0))</f>
        <v>0</v>
      </c>
      <c r="R1831" s="73">
        <f>IF(ISNA(IF(AND(VLOOKUP(CONCATENATE($D1831,$G1831),CSRFinput!$B:$E,4,0)=0,OR(H1831=MappingTables!$C$31,H1831=MappingTables!$C$32)),1,VLOOKUP(CONCATENATE($D1831,$G1831),CSRFinput!$B:$E,4,0))),0,IF(AND(VLOOKUP(CONCATENATE($D1831,$G1831),CSRFinput!$B:$E,4,0)=0,OR(H1831=MappingTables!$C$31,H1831=MappingTables!$C$32)),1,VLOOKUP(CONCATENATE($D1831,$G1831),CSRFinput!$B:$E,4,0)))</f>
        <v>0.054776304963434752</v>
      </c>
      <c r="S1831" s="73">
        <f>IF(B1831="",0,P1831*R1831)</f>
        <v>2.8678802880966892</v>
      </c>
      <c r="T1831" s="85">
        <f>IF(B1831="",0,IF(OR(H1831=MappingTables!$C$34,H1831=MappingTables!$C$35),S1831,0))</f>
        <v>0</v>
      </c>
    </row>
    <row r="1832" spans="2:20" s="0" customFormat="0" ht="15">
      <c r="B1832" s="69">
        <v>7065945</v>
      </c>
      <c r="C1832" s="70" t="s">
        <v>3633</v>
      </c>
      <c r="D1832" s="70" t="s">
        <v>1</v>
      </c>
      <c r="E1832" s="70" t="s">
        <v>1</v>
      </c>
      <c r="F1832" s="70"/>
      <c r="G1832" s="70" t="s">
        <v>61</v>
      </c>
      <c r="H1832" s="70" t="s">
        <v>178</v>
      </c>
      <c r="I1832" s="70" t="s">
        <v>216</v>
      </c>
      <c r="J1832" s="71">
        <f>IF(OR(I1832=0,I1832=""),"unrated",VLOOKUP(I1832,MappingTables!$B$19:$C$31,2,FALSE))</f>
        <v>0</v>
      </c>
      <c r="K1832" s="72">
        <v>6.7986844519062272</v>
      </c>
      <c r="L1832" s="70">
        <v>0.076901493022118304</v>
      </c>
      <c r="M1832" s="71">
        <f>IF(L1832&lt;1,1,L1832)</f>
        <v>1</v>
      </c>
      <c r="N1832" s="70" t="s">
        <v>3288</v>
      </c>
      <c r="O1832" s="71">
        <f>IF(OR(I1832=$A$1,I1832=0),"",IF(N1832=MappingTables!$C$14,VLOOKUP(J1832,ModelParameters!$M$8:$N$15,2,FALSE),IF(N1832=MappingTables!$C$16,VLOOKUP(J1832,ModelParameters!$P$8:$Q$15,2,FALSE),0)))</f>
        <v>0.125</v>
      </c>
      <c r="P1832" s="73">
        <f>IF(OR(I1832=0,I1832=$A$1),0,MIN(O1832*M1832,1)*K1832)</f>
        <v>0.8498355564882784</v>
      </c>
      <c r="Q1832" s="73">
        <f>IF(B1832="",0,IF(OR(H1832=MappingTables!$C$34,H1832=MappingTables!$C$35),P1832,0))</f>
        <v>0</v>
      </c>
      <c r="R1832" s="73">
        <f>IF(ISNA(IF(AND(VLOOKUP(CONCATENATE($D1832,$G1832),CSRFinput!$B:$E,4,0)=0,OR(H1832=MappingTables!$C$31,H1832=MappingTables!$C$32)),1,VLOOKUP(CONCATENATE($D1832,$G1832),CSRFinput!$B:$E,4,0))),0,IF(AND(VLOOKUP(CONCATENATE($D1832,$G1832),CSRFinput!$B:$E,4,0)=0,OR(H1832=MappingTables!$C$31,H1832=MappingTables!$C$32)),1,VLOOKUP(CONCATENATE($D1832,$G1832),CSRFinput!$B:$E,4,0)))</f>
        <v>0.054776304963434752</v>
      </c>
      <c r="S1832" s="73">
        <f>IF(B1832="",0,P1832*R1832)</f>
        <v>0.046550851610972216</v>
      </c>
      <c r="T1832" s="85">
        <f>IF(B1832="",0,IF(OR(H1832=MappingTables!$C$34,H1832=MappingTables!$C$35),S1832,0))</f>
        <v>0</v>
      </c>
    </row>
    <row r="1833" spans="2:20" s="0" customFormat="0" ht="15">
      <c r="B1833" s="69" t="s">
        <v>5166</v>
      </c>
      <c r="C1833" s="70" t="s">
        <v>5167</v>
      </c>
      <c r="D1833" s="70" t="s">
        <v>1</v>
      </c>
      <c r="E1833" s="70" t="s">
        <v>1</v>
      </c>
      <c r="F1833" s="70"/>
      <c r="G1833" s="70" t="s">
        <v>61</v>
      </c>
      <c r="H1833" s="70" t="s">
        <v>178</v>
      </c>
      <c r="I1833" s="70" t="s">
        <v>3298</v>
      </c>
      <c r="J1833" s="71">
        <f>IF(OR(I1833=0,I1833=""),"unrated",VLOOKUP(I1833,MappingTables!$B$19:$C$31,2,FALSE))</f>
        <v>6</v>
      </c>
      <c r="K1833" s="72">
        <v>98.340192756692496</v>
      </c>
      <c r="L1833" s="70">
        <v>-0.32836007404078936</v>
      </c>
      <c r="M1833" s="71">
        <f>IF(L1833&lt;1,1,L1833)</f>
        <v>1</v>
      </c>
      <c r="N1833" s="70" t="s">
        <v>3288</v>
      </c>
      <c r="O1833" s="71">
        <f>IF(OR(I1833=$A$1,I1833=0),"",IF(N1833=MappingTables!$C$14,VLOOKUP(J1833,ModelParameters!$M$8:$N$15,2,FALSE),IF(N1833=MappingTables!$C$16,VLOOKUP(J1833,ModelParameters!$P$8:$Q$15,2,FALSE),0)))</f>
        <v>1</v>
      </c>
      <c r="P1833" s="73">
        <f>IF(OR(I1833=0,I1833=$A$1),0,MIN(O1833*M1833,1)*K1833)</f>
        <v>98.340192756692496</v>
      </c>
      <c r="Q1833" s="73">
        <f>IF(B1833="",0,IF(OR(H1833=MappingTables!$C$34,H1833=MappingTables!$C$35),P1833,0))</f>
        <v>0</v>
      </c>
      <c r="R1833" s="73">
        <f>IF(ISNA(IF(AND(VLOOKUP(CONCATENATE($D1833,$G1833),CSRFinput!$B:$E,4,0)=0,OR(H1833=MappingTables!$C$31,H1833=MappingTables!$C$32)),1,VLOOKUP(CONCATENATE($D1833,$G1833),CSRFinput!$B:$E,4,0))),0,IF(AND(VLOOKUP(CONCATENATE($D1833,$G1833),CSRFinput!$B:$E,4,0)=0,OR(H1833=MappingTables!$C$31,H1833=MappingTables!$C$32)),1,VLOOKUP(CONCATENATE($D1833,$G1833),CSRFinput!$B:$E,4,0)))</f>
        <v>0.054776304963434752</v>
      </c>
      <c r="S1833" s="73">
        <f>IF(B1833="",0,P1833*R1833)</f>
        <v>5.3867123886035456</v>
      </c>
      <c r="T1833" s="85">
        <f>IF(B1833="",0,IF(OR(H1833=MappingTables!$C$34,H1833=MappingTables!$C$35),S1833,0))</f>
        <v>0</v>
      </c>
    </row>
    <row r="1834" spans="2:20" s="0" customFormat="0" ht="15">
      <c r="B1834" s="69" t="s">
        <v>4277</v>
      </c>
      <c r="C1834" s="70" t="s">
        <v>4278</v>
      </c>
      <c r="D1834" s="70" t="s">
        <v>1</v>
      </c>
      <c r="E1834" s="70" t="s">
        <v>1</v>
      </c>
      <c r="F1834" s="70"/>
      <c r="G1834" s="70" t="s">
        <v>61</v>
      </c>
      <c r="H1834" s="70" t="s">
        <v>178</v>
      </c>
      <c r="I1834" s="70" t="s">
        <v>198</v>
      </c>
      <c r="J1834" s="71" t="str">
        <f>IF(OR(I1834=0,I1834=""),"unrated",VLOOKUP(I1834,MappingTables!$B$19:$C$31,2,FALSE))</f>
        <v>unrated</v>
      </c>
      <c r="K1834" s="72">
        <v>652.52465716647136</v>
      </c>
      <c r="L1834" s="70">
        <v>0.068489288295816992</v>
      </c>
      <c r="M1834" s="71">
        <f>IF(L1834&lt;1,1,L1834)</f>
        <v>1</v>
      </c>
      <c r="N1834" s="70" t="s">
        <v>3288</v>
      </c>
      <c r="O1834" s="71">
        <f>IF(OR(I1834=$A$1,I1834=0),"",IF(N1834=MappingTables!$C$14,VLOOKUP(J1834,ModelParameters!$M$8:$N$15,2,FALSE),IF(N1834=MappingTables!$C$16,VLOOKUP(J1834,ModelParameters!$P$8:$Q$15,2,FALSE),0)))</f>
        <v>1</v>
      </c>
      <c r="P1834" s="73">
        <f>IF(OR(I1834=0,I1834=$A$1),0,MIN(O1834*M1834,1)*K1834)</f>
        <v>652.52465716647136</v>
      </c>
      <c r="Q1834" s="73">
        <f>IF(B1834="",0,IF(OR(H1834=MappingTables!$C$34,H1834=MappingTables!$C$35),P1834,0))</f>
        <v>0</v>
      </c>
      <c r="R1834" s="73">
        <f>IF(ISNA(IF(AND(VLOOKUP(CONCATENATE($D1834,$G1834),CSRFinput!$B:$E,4,0)=0,OR(H1834=MappingTables!$C$31,H1834=MappingTables!$C$32)),1,VLOOKUP(CONCATENATE($D1834,$G1834),CSRFinput!$B:$E,4,0))),0,IF(AND(VLOOKUP(CONCATENATE($D1834,$G1834),CSRFinput!$B:$E,4,0)=0,OR(H1834=MappingTables!$C$31,H1834=MappingTables!$C$32)),1,VLOOKUP(CONCATENATE($D1834,$G1834),CSRFinput!$B:$E,4,0)))</f>
        <v>0.054776304963434752</v>
      </c>
      <c r="S1834" s="73">
        <f>IF(B1834="",0,P1834*R1834)</f>
        <v>35.742889617111344</v>
      </c>
      <c r="T1834" s="85">
        <f>IF(B1834="",0,IF(OR(H1834=MappingTables!$C$34,H1834=MappingTables!$C$35),S1834,0))</f>
        <v>0</v>
      </c>
    </row>
    <row r="1835" spans="2:20" s="0" customFormat="0" ht="15">
      <c r="B1835" s="69" t="s">
        <v>4178</v>
      </c>
      <c r="C1835" s="70" t="s">
        <v>4179</v>
      </c>
      <c r="D1835" s="70" t="s">
        <v>1</v>
      </c>
      <c r="E1835" s="70" t="s">
        <v>1</v>
      </c>
      <c r="F1835" s="70"/>
      <c r="G1835" s="70" t="s">
        <v>61</v>
      </c>
      <c r="H1835" s="70" t="s">
        <v>178</v>
      </c>
      <c r="I1835" s="70" t="s">
        <v>184</v>
      </c>
      <c r="J1835" s="71">
        <f>IF(OR(I1835=0,I1835=""),"unrated",VLOOKUP(I1835,MappingTables!$B$19:$C$31,2,FALSE))</f>
        <v>5</v>
      </c>
      <c r="K1835" s="72">
        <v>2931.1654025075628</v>
      </c>
      <c r="L1835" s="70">
        <v>0.068490766025452104</v>
      </c>
      <c r="M1835" s="71">
        <f>IF(L1835&lt;1,1,L1835)</f>
        <v>1</v>
      </c>
      <c r="N1835" s="70" t="s">
        <v>3288</v>
      </c>
      <c r="O1835" s="71">
        <f>IF(OR(I1835=$A$1,I1835=0),"",IF(N1835=MappingTables!$C$14,VLOOKUP(J1835,ModelParameters!$M$8:$N$15,2,FALSE),IF(N1835=MappingTables!$C$16,VLOOKUP(J1835,ModelParameters!$P$8:$Q$15,2,FALSE),0)))</f>
        <v>1</v>
      </c>
      <c r="P1835" s="73">
        <f>IF(OR(I1835=0,I1835=$A$1),0,MIN(O1835*M1835,1)*K1835)</f>
        <v>2931.1654025075628</v>
      </c>
      <c r="Q1835" s="73">
        <f>IF(B1835="",0,IF(OR(H1835=MappingTables!$C$34,H1835=MappingTables!$C$35),P1835,0))</f>
        <v>0</v>
      </c>
      <c r="R1835" s="73">
        <f>IF(ISNA(IF(AND(VLOOKUP(CONCATENATE($D1835,$G1835),CSRFinput!$B:$E,4,0)=0,OR(H1835=MappingTables!$C$31,H1835=MappingTables!$C$32)),1,VLOOKUP(CONCATENATE($D1835,$G1835),CSRFinput!$B:$E,4,0))),0,IF(AND(VLOOKUP(CONCATENATE($D1835,$G1835),CSRFinput!$B:$E,4,0)=0,OR(H1835=MappingTables!$C$31,H1835=MappingTables!$C$32)),1,VLOOKUP(CONCATENATE($D1835,$G1835),CSRFinput!$B:$E,4,0)))</f>
        <v>0.054776304963434752</v>
      </c>
      <c r="S1835" s="73">
        <f>IF(B1835="",0,P1835*R1835)</f>
        <v>160.55840998602324</v>
      </c>
      <c r="T1835" s="85">
        <f>IF(B1835="",0,IF(OR(H1835=MappingTables!$C$34,H1835=MappingTables!$C$35),S1835,0))</f>
        <v>0</v>
      </c>
    </row>
    <row r="1836" spans="2:20" s="0" customFormat="0" ht="15">
      <c r="B1836" s="69">
        <v>1551610</v>
      </c>
      <c r="C1836" s="70" t="s">
        <v>3915</v>
      </c>
      <c r="D1836" s="70" t="s">
        <v>1</v>
      </c>
      <c r="E1836" s="70" t="s">
        <v>1</v>
      </c>
      <c r="F1836" s="70"/>
      <c r="G1836" s="70" t="s">
        <v>61</v>
      </c>
      <c r="H1836" s="70" t="s">
        <v>178</v>
      </c>
      <c r="I1836" s="70" t="s">
        <v>198</v>
      </c>
      <c r="J1836" s="71" t="str">
        <f>IF(OR(I1836=0,I1836=""),"unrated",VLOOKUP(I1836,MappingTables!$B$19:$C$31,2,FALSE))</f>
        <v>unrated</v>
      </c>
      <c r="K1836" s="72">
        <v>1.4698434106986236</v>
      </c>
      <c r="L1836" s="70">
        <v>0.052050564916489472</v>
      </c>
      <c r="M1836" s="71">
        <f>IF(L1836&lt;1,1,L1836)</f>
        <v>1</v>
      </c>
      <c r="N1836" s="70" t="s">
        <v>3288</v>
      </c>
      <c r="O1836" s="71">
        <f>IF(OR(I1836=$A$1,I1836=0),"",IF(N1836=MappingTables!$C$14,VLOOKUP(J1836,ModelParameters!$M$8:$N$15,2,FALSE),IF(N1836=MappingTables!$C$16,VLOOKUP(J1836,ModelParameters!$P$8:$Q$15,2,FALSE),0)))</f>
        <v>1</v>
      </c>
      <c r="P1836" s="73">
        <f>IF(OR(I1836=0,I1836=$A$1),0,MIN(O1836*M1836,1)*K1836)</f>
        <v>1.4698434106986236</v>
      </c>
      <c r="Q1836" s="73">
        <f>IF(B1836="",0,IF(OR(H1836=MappingTables!$C$34,H1836=MappingTables!$C$35),P1836,0))</f>
        <v>0</v>
      </c>
      <c r="R1836" s="73">
        <f>IF(ISNA(IF(AND(VLOOKUP(CONCATENATE($D1836,$G1836),CSRFinput!$B:$E,4,0)=0,OR(H1836=MappingTables!$C$31,H1836=MappingTables!$C$32)),1,VLOOKUP(CONCATENATE($D1836,$G1836),CSRFinput!$B:$E,4,0))),0,IF(AND(VLOOKUP(CONCATENATE($D1836,$G1836),CSRFinput!$B:$E,4,0)=0,OR(H1836=MappingTables!$C$31,H1836=MappingTables!$C$32)),1,VLOOKUP(CONCATENATE($D1836,$G1836),CSRFinput!$B:$E,4,0)))</f>
        <v>0.054776304963434752</v>
      </c>
      <c r="S1836" s="73">
        <f>IF(B1836="",0,P1836*R1836)</f>
        <v>0.08051259091292288</v>
      </c>
      <c r="T1836" s="85">
        <f>IF(B1836="",0,IF(OR(H1836=MappingTables!$C$34,H1836=MappingTables!$C$35),S1836,0))</f>
        <v>0</v>
      </c>
    </row>
    <row r="1837" spans="2:20" s="0" customFormat="0" ht="15">
      <c r="B1837" s="69" t="s">
        <v>4333</v>
      </c>
      <c r="C1837" s="70" t="s">
        <v>4334</v>
      </c>
      <c r="D1837" s="70" t="s">
        <v>1</v>
      </c>
      <c r="E1837" s="70" t="s">
        <v>1</v>
      </c>
      <c r="F1837" s="70"/>
      <c r="G1837" s="70" t="s">
        <v>61</v>
      </c>
      <c r="H1837" s="70" t="s">
        <v>178</v>
      </c>
      <c r="I1837" s="70" t="s">
        <v>198</v>
      </c>
      <c r="J1837" s="71" t="str">
        <f>IF(OR(I1837=0,I1837=""),"unrated",VLOOKUP(I1837,MappingTables!$B$19:$C$31,2,FALSE))</f>
        <v>unrated</v>
      </c>
      <c r="K1837" s="72">
        <v>105865.07068779422</v>
      </c>
      <c r="L1837" s="70">
        <v>2.5043719563779076</v>
      </c>
      <c r="M1837" s="71">
        <f>IF(L1837&lt;1,1,L1837)</f>
        <v>2.5043719563779076</v>
      </c>
      <c r="N1837" s="70" t="s">
        <v>3288</v>
      </c>
      <c r="O1837" s="71">
        <f>IF(OR(I1837=$A$1,I1837=0),"",IF(N1837=MappingTables!$C$14,VLOOKUP(J1837,ModelParameters!$M$8:$N$15,2,FALSE),IF(N1837=MappingTables!$C$16,VLOOKUP(J1837,ModelParameters!$P$8:$Q$15,2,FALSE),0)))</f>
        <v>1</v>
      </c>
      <c r="P1837" s="73">
        <f>IF(OR(I1837=0,I1837=$A$1),0,MIN(O1837*M1837,1)*K1837)</f>
        <v>105865.07068779422</v>
      </c>
      <c r="Q1837" s="73">
        <f>IF(B1837="",0,IF(OR(H1837=MappingTables!$C$34,H1837=MappingTables!$C$35),P1837,0))</f>
        <v>0</v>
      </c>
      <c r="R1837" s="73">
        <f>IF(ISNA(IF(AND(VLOOKUP(CONCATENATE($D1837,$G1837),CSRFinput!$B:$E,4,0)=0,OR(H1837=MappingTables!$C$31,H1837=MappingTables!$C$32)),1,VLOOKUP(CONCATENATE($D1837,$G1837),CSRFinput!$B:$E,4,0))),0,IF(AND(VLOOKUP(CONCATENATE($D1837,$G1837),CSRFinput!$B:$E,4,0)=0,OR(H1837=MappingTables!$C$31,H1837=MappingTables!$C$32)),1,VLOOKUP(CONCATENATE($D1837,$G1837),CSRFinput!$B:$E,4,0)))</f>
        <v>0.054776304963434752</v>
      </c>
      <c r="S1837" s="73">
        <f>IF(B1837="",0,P1837*R1837)</f>
        <v>5798.8973969701928</v>
      </c>
      <c r="T1837" s="85">
        <f>IF(B1837="",0,IF(OR(H1837=MappingTables!$C$34,H1837=MappingTables!$C$35),S1837,0))</f>
        <v>0</v>
      </c>
    </row>
    <row r="1838" spans="2:20" s="0" customFormat="0" ht="15">
      <c r="B1838" s="69" t="s">
        <v>5005</v>
      </c>
      <c r="C1838" s="70" t="s">
        <v>5006</v>
      </c>
      <c r="D1838" s="70" t="s">
        <v>1</v>
      </c>
      <c r="E1838" s="70" t="s">
        <v>1</v>
      </c>
      <c r="F1838" s="70"/>
      <c r="G1838" s="70" t="s">
        <v>61</v>
      </c>
      <c r="H1838" s="70" t="s">
        <v>178</v>
      </c>
      <c r="I1838" s="70" t="s">
        <v>198</v>
      </c>
      <c r="J1838" s="71" t="str">
        <f>IF(OR(I1838=0,I1838=""),"unrated",VLOOKUP(I1838,MappingTables!$B$19:$C$31,2,FALSE))</f>
        <v>unrated</v>
      </c>
      <c r="K1838" s="72">
        <v>8240.7429736702</v>
      </c>
      <c r="L1838" s="70">
        <v>9.6983273800693072</v>
      </c>
      <c r="M1838" s="71">
        <f>IF(L1838&lt;1,1,L1838)</f>
        <v>9.6983273800693072</v>
      </c>
      <c r="N1838" s="70" t="s">
        <v>3288</v>
      </c>
      <c r="O1838" s="71">
        <f>IF(OR(I1838=$A$1,I1838=0),"",IF(N1838=MappingTables!$C$14,VLOOKUP(J1838,ModelParameters!$M$8:$N$15,2,FALSE),IF(N1838=MappingTables!$C$16,VLOOKUP(J1838,ModelParameters!$P$8:$Q$15,2,FALSE),0)))</f>
        <v>1</v>
      </c>
      <c r="P1838" s="73">
        <f>IF(OR(I1838=0,I1838=$A$1),0,MIN(O1838*M1838,1)*K1838)</f>
        <v>8240.7429736702</v>
      </c>
      <c r="Q1838" s="73">
        <f>IF(B1838="",0,IF(OR(H1838=MappingTables!$C$34,H1838=MappingTables!$C$35),P1838,0))</f>
        <v>0</v>
      </c>
      <c r="R1838" s="73">
        <f>IF(ISNA(IF(AND(VLOOKUP(CONCATENATE($D1838,$G1838),CSRFinput!$B:$E,4,0)=0,OR(H1838=MappingTables!$C$31,H1838=MappingTables!$C$32)),1,VLOOKUP(CONCATENATE($D1838,$G1838),CSRFinput!$B:$E,4,0))),0,IF(AND(VLOOKUP(CONCATENATE($D1838,$G1838),CSRFinput!$B:$E,4,0)=0,OR(H1838=MappingTables!$C$31,H1838=MappingTables!$C$32)),1,VLOOKUP(CONCATENATE($D1838,$G1838),CSRFinput!$B:$E,4,0)))</f>
        <v>0.054776304963434752</v>
      </c>
      <c r="S1838" s="73">
        <f>IF(B1838="",0,P1838*R1838)</f>
        <v>451.39745025104104</v>
      </c>
      <c r="T1838" s="85">
        <f>IF(B1838="",0,IF(OR(H1838=MappingTables!$C$34,H1838=MappingTables!$C$35),S1838,0))</f>
        <v>0</v>
      </c>
    </row>
    <row r="1839" spans="2:20" s="0" customFormat="0" ht="15">
      <c r="B1839" s="69">
        <v>22554261</v>
      </c>
      <c r="C1839" s="70" t="s">
        <v>3369</v>
      </c>
      <c r="D1839" s="70" t="s">
        <v>1</v>
      </c>
      <c r="E1839" s="70" t="s">
        <v>1</v>
      </c>
      <c r="F1839" s="70"/>
      <c r="G1839" s="70" t="s">
        <v>61</v>
      </c>
      <c r="H1839" s="70" t="s">
        <v>178</v>
      </c>
      <c r="I1839" s="70" t="s">
        <v>3291</v>
      </c>
      <c r="J1839" s="71">
        <f>IF(OR(I1839=0,I1839=""),"unrated",VLOOKUP(I1839,MappingTables!$B$19:$C$31,2,FALSE))</f>
        <v>6</v>
      </c>
      <c r="K1839" s="72">
        <v>3355.2177361358776</v>
      </c>
      <c r="L1839" s="70">
        <v>0.061237188440775672</v>
      </c>
      <c r="M1839" s="71">
        <f>IF(L1839&lt;1,1,L1839)</f>
        <v>1</v>
      </c>
      <c r="N1839" s="70" t="s">
        <v>3288</v>
      </c>
      <c r="O1839" s="71">
        <f>IF(OR(I1839=$A$1,I1839=0),"",IF(N1839=MappingTables!$C$14,VLOOKUP(J1839,ModelParameters!$M$8:$N$15,2,FALSE),IF(N1839=MappingTables!$C$16,VLOOKUP(J1839,ModelParameters!$P$8:$Q$15,2,FALSE),0)))</f>
        <v>1</v>
      </c>
      <c r="P1839" s="73">
        <f>IF(OR(I1839=0,I1839=$A$1),0,MIN(O1839*M1839,1)*K1839)</f>
        <v>3355.2177361358776</v>
      </c>
      <c r="Q1839" s="73">
        <f>IF(B1839="",0,IF(OR(H1839=MappingTables!$C$34,H1839=MappingTables!$C$35),P1839,0))</f>
        <v>0</v>
      </c>
      <c r="R1839" s="73">
        <f>IF(ISNA(IF(AND(VLOOKUP(CONCATENATE($D1839,$G1839),CSRFinput!$B:$E,4,0)=0,OR(H1839=MappingTables!$C$31,H1839=MappingTables!$C$32)),1,VLOOKUP(CONCATENATE($D1839,$G1839),CSRFinput!$B:$E,4,0))),0,IF(AND(VLOOKUP(CONCATENATE($D1839,$G1839),CSRFinput!$B:$E,4,0)=0,OR(H1839=MappingTables!$C$31,H1839=MappingTables!$C$32)),1,VLOOKUP(CONCATENATE($D1839,$G1839),CSRFinput!$B:$E,4,0)))</f>
        <v>0.054776304963434752</v>
      </c>
      <c r="S1839" s="73">
        <f>IF(B1839="",0,P1839*R1839)</f>
        <v>183.786429933304</v>
      </c>
      <c r="T1839" s="85">
        <f>IF(B1839="",0,IF(OR(H1839=MappingTables!$C$34,H1839=MappingTables!$C$35),S1839,0))</f>
        <v>0</v>
      </c>
    </row>
    <row r="1840" spans="2:20" s="0" customFormat="0" ht="15">
      <c r="B1840" s="69" t="s">
        <v>3909</v>
      </c>
      <c r="C1840" s="70" t="s">
        <v>3910</v>
      </c>
      <c r="D1840" s="70" t="s">
        <v>1</v>
      </c>
      <c r="E1840" s="70" t="s">
        <v>1</v>
      </c>
      <c r="F1840" s="70"/>
      <c r="G1840" s="70" t="s">
        <v>61</v>
      </c>
      <c r="H1840" s="70" t="s">
        <v>178</v>
      </c>
      <c r="I1840" s="70" t="s">
        <v>204</v>
      </c>
      <c r="J1840" s="71">
        <f>IF(OR(I1840=0,I1840=""),"unrated",VLOOKUP(I1840,MappingTables!$B$19:$C$31,2,FALSE))</f>
        <v>6</v>
      </c>
      <c r="K1840" s="72">
        <v>116.240615105996</v>
      </c>
      <c r="L1840" s="70">
        <v>1.9792443572688528</v>
      </c>
      <c r="M1840" s="71">
        <f>IF(L1840&lt;1,1,L1840)</f>
        <v>1.9792443572688528</v>
      </c>
      <c r="N1840" s="70" t="s">
        <v>3288</v>
      </c>
      <c r="O1840" s="71">
        <f>IF(OR(I1840=$A$1,I1840=0),"",IF(N1840=MappingTables!$C$14,VLOOKUP(J1840,ModelParameters!$M$8:$N$15,2,FALSE),IF(N1840=MappingTables!$C$16,VLOOKUP(J1840,ModelParameters!$P$8:$Q$15,2,FALSE),0)))</f>
        <v>1</v>
      </c>
      <c r="P1840" s="73">
        <f>IF(OR(I1840=0,I1840=$A$1),0,MIN(O1840*M1840,1)*K1840)</f>
        <v>116.240615105996</v>
      </c>
      <c r="Q1840" s="73">
        <f>IF(B1840="",0,IF(OR(H1840=MappingTables!$C$34,H1840=MappingTables!$C$35),P1840,0))</f>
        <v>0</v>
      </c>
      <c r="R1840" s="73">
        <f>IF(ISNA(IF(AND(VLOOKUP(CONCATENATE($D1840,$G1840),CSRFinput!$B:$E,4,0)=0,OR(H1840=MappingTables!$C$31,H1840=MappingTables!$C$32)),1,VLOOKUP(CONCATENATE($D1840,$G1840),CSRFinput!$B:$E,4,0))),0,IF(AND(VLOOKUP(CONCATENATE($D1840,$G1840),CSRFinput!$B:$E,4,0)=0,OR(H1840=MappingTables!$C$31,H1840=MappingTables!$C$32)),1,VLOOKUP(CONCATENATE($D1840,$G1840),CSRFinput!$B:$E,4,0)))</f>
        <v>0.054776304963434752</v>
      </c>
      <c r="S1840" s="73">
        <f>IF(B1840="",0,P1840*R1840)</f>
        <v>6.3672313821832776</v>
      </c>
      <c r="T1840" s="85">
        <f>IF(B1840="",0,IF(OR(H1840=MappingTables!$C$34,H1840=MappingTables!$C$35),S1840,0))</f>
        <v>0</v>
      </c>
    </row>
    <row r="1841" spans="2:20" s="0" customFormat="0" ht="15">
      <c r="B1841" s="69">
        <v>6955862</v>
      </c>
      <c r="C1841" s="70" t="s">
        <v>4697</v>
      </c>
      <c r="D1841" s="70" t="s">
        <v>1</v>
      </c>
      <c r="E1841" s="70" t="s">
        <v>1</v>
      </c>
      <c r="F1841" s="70"/>
      <c r="G1841" s="70" t="s">
        <v>61</v>
      </c>
      <c r="H1841" s="70" t="s">
        <v>178</v>
      </c>
      <c r="I1841" s="70" t="s">
        <v>184</v>
      </c>
      <c r="J1841" s="71">
        <f>IF(OR(I1841=0,I1841=""),"unrated",VLOOKUP(I1841,MappingTables!$B$19:$C$31,2,FALSE))</f>
        <v>5</v>
      </c>
      <c r="K1841" s="72">
        <v>152.16316059494386</v>
      </c>
      <c r="L1841" s="70">
        <v>0.060039114519426072</v>
      </c>
      <c r="M1841" s="71">
        <f>IF(L1841&lt;1,1,L1841)</f>
        <v>1</v>
      </c>
      <c r="N1841" s="70" t="s">
        <v>3288</v>
      </c>
      <c r="O1841" s="71">
        <f>IF(OR(I1841=$A$1,I1841=0),"",IF(N1841=MappingTables!$C$14,VLOOKUP(J1841,ModelParameters!$M$8:$N$15,2,FALSE),IF(N1841=MappingTables!$C$16,VLOOKUP(J1841,ModelParameters!$P$8:$Q$15,2,FALSE),0)))</f>
        <v>1</v>
      </c>
      <c r="P1841" s="73">
        <f>IF(OR(I1841=0,I1841=$A$1),0,MIN(O1841*M1841,1)*K1841)</f>
        <v>152.16316059494386</v>
      </c>
      <c r="Q1841" s="73">
        <f>IF(B1841="",0,IF(OR(H1841=MappingTables!$C$34,H1841=MappingTables!$C$35),P1841,0))</f>
        <v>0</v>
      </c>
      <c r="R1841" s="73">
        <f>IF(ISNA(IF(AND(VLOOKUP(CONCATENATE($D1841,$G1841),CSRFinput!$B:$E,4,0)=0,OR(H1841=MappingTables!$C$31,H1841=MappingTables!$C$32)),1,VLOOKUP(CONCATENATE($D1841,$G1841),CSRFinput!$B:$E,4,0))),0,IF(AND(VLOOKUP(CONCATENATE($D1841,$G1841),CSRFinput!$B:$E,4,0)=0,OR(H1841=MappingTables!$C$31,H1841=MappingTables!$C$32)),1,VLOOKUP(CONCATENATE($D1841,$G1841),CSRFinput!$B:$E,4,0)))</f>
        <v>0.054776304963434752</v>
      </c>
      <c r="S1841" s="73">
        <f>IF(B1841="",0,P1841*R1841)</f>
        <v>8.3349356889487424</v>
      </c>
      <c r="T1841" s="85">
        <f>IF(B1841="",0,IF(OR(H1841=MappingTables!$C$34,H1841=MappingTables!$C$35),S1841,0))</f>
        <v>0</v>
      </c>
    </row>
    <row r="1842" spans="2:20" s="0" customFormat="0" ht="15">
      <c r="B1842" s="69">
        <v>1921710</v>
      </c>
      <c r="C1842" s="70" t="s">
        <v>3308</v>
      </c>
      <c r="D1842" s="70" t="s">
        <v>1</v>
      </c>
      <c r="E1842" s="70" t="s">
        <v>1</v>
      </c>
      <c r="F1842" s="70"/>
      <c r="G1842" s="70" t="s">
        <v>61</v>
      </c>
      <c r="H1842" s="70" t="s">
        <v>178</v>
      </c>
      <c r="I1842" s="70" t="s">
        <v>216</v>
      </c>
      <c r="J1842" s="71">
        <f>IF(OR(I1842=0,I1842=""),"unrated",VLOOKUP(I1842,MappingTables!$B$19:$C$31,2,FALSE))</f>
        <v>0</v>
      </c>
      <c r="K1842" s="72">
        <v>323.87866037725008</v>
      </c>
      <c r="L1842" s="70">
        <v>0.045244934872030432</v>
      </c>
      <c r="M1842" s="71">
        <f>IF(L1842&lt;1,1,L1842)</f>
        <v>1</v>
      </c>
      <c r="N1842" s="70" t="s">
        <v>3288</v>
      </c>
      <c r="O1842" s="71">
        <f>IF(OR(I1842=$A$1,I1842=0),"",IF(N1842=MappingTables!$C$14,VLOOKUP(J1842,ModelParameters!$M$8:$N$15,2,FALSE),IF(N1842=MappingTables!$C$16,VLOOKUP(J1842,ModelParameters!$P$8:$Q$15,2,FALSE),0)))</f>
        <v>0.125</v>
      </c>
      <c r="P1842" s="73">
        <f>IF(OR(I1842=0,I1842=$A$1),0,MIN(O1842*M1842,1)*K1842)</f>
        <v>40.484832547156256</v>
      </c>
      <c r="Q1842" s="73">
        <f>IF(B1842="",0,IF(OR(H1842=MappingTables!$C$34,H1842=MappingTables!$C$35),P1842,0))</f>
        <v>0</v>
      </c>
      <c r="R1842" s="73">
        <f>IF(ISNA(IF(AND(VLOOKUP(CONCATENATE($D1842,$G1842),CSRFinput!$B:$E,4,0)=0,OR(H1842=MappingTables!$C$31,H1842=MappingTables!$C$32)),1,VLOOKUP(CONCATENATE($D1842,$G1842),CSRFinput!$B:$E,4,0))),0,IF(AND(VLOOKUP(CONCATENATE($D1842,$G1842),CSRFinput!$B:$E,4,0)=0,OR(H1842=MappingTables!$C$31,H1842=MappingTables!$C$32)),1,VLOOKUP(CONCATENATE($D1842,$G1842),CSRFinput!$B:$E,4,0)))</f>
        <v>0.054776304963434752</v>
      </c>
      <c r="S1842" s="73">
        <f>IF(B1842="",0,P1842*R1842)</f>
        <v>2.21760953399662</v>
      </c>
      <c r="T1842" s="85">
        <f>IF(B1842="",0,IF(OR(H1842=MappingTables!$C$34,H1842=MappingTables!$C$35),S1842,0))</f>
        <v>0</v>
      </c>
    </row>
    <row r="1843" spans="2:20" s="0" customFormat="0" ht="15">
      <c r="B1843" s="69" t="s">
        <v>5168</v>
      </c>
      <c r="C1843" s="70" t="s">
        <v>5169</v>
      </c>
      <c r="D1843" s="70" t="s">
        <v>1</v>
      </c>
      <c r="E1843" s="70" t="s">
        <v>1</v>
      </c>
      <c r="F1843" s="70"/>
      <c r="G1843" s="70" t="s">
        <v>61</v>
      </c>
      <c r="H1843" s="70" t="s">
        <v>178</v>
      </c>
      <c r="I1843" s="70" t="s">
        <v>188</v>
      </c>
      <c r="J1843" s="71">
        <f>IF(OR(I1843=0,I1843=""),"unrated",VLOOKUP(I1843,MappingTables!$B$19:$C$31,2,FALSE))</f>
        <v>2</v>
      </c>
      <c r="K1843" s="72">
        <v>15.367462515165184</v>
      </c>
      <c r="L1843" s="70">
        <v>0.068491850423403016</v>
      </c>
      <c r="M1843" s="71">
        <f>IF(L1843&lt;1,1,L1843)</f>
        <v>1</v>
      </c>
      <c r="N1843" s="70" t="s">
        <v>3288</v>
      </c>
      <c r="O1843" s="71">
        <f>IF(OR(I1843=$A$1,I1843=0),"",IF(N1843=MappingTables!$C$14,VLOOKUP(J1843,ModelParameters!$M$8:$N$15,2,FALSE),IF(N1843=MappingTables!$C$16,VLOOKUP(J1843,ModelParameters!$P$8:$Q$15,2,FALSE),0)))</f>
        <v>0.166</v>
      </c>
      <c r="P1843" s="73">
        <f>IF(OR(I1843=0,I1843=$A$1),0,MIN(O1843*M1843,1)*K1843)</f>
        <v>2.5509987775174208</v>
      </c>
      <c r="Q1843" s="73">
        <f>IF(B1843="",0,IF(OR(H1843=MappingTables!$C$34,H1843=MappingTables!$C$35),P1843,0))</f>
        <v>0</v>
      </c>
      <c r="R1843" s="73">
        <f>IF(ISNA(IF(AND(VLOOKUP(CONCATENATE($D1843,$G1843),CSRFinput!$B:$E,4,0)=0,OR(H1843=MappingTables!$C$31,H1843=MappingTables!$C$32)),1,VLOOKUP(CONCATENATE($D1843,$G1843),CSRFinput!$B:$E,4,0))),0,IF(AND(VLOOKUP(CONCATENATE($D1843,$G1843),CSRFinput!$B:$E,4,0)=0,OR(H1843=MappingTables!$C$31,H1843=MappingTables!$C$32)),1,VLOOKUP(CONCATENATE($D1843,$G1843),CSRFinput!$B:$E,4,0)))</f>
        <v>0.054776304963434752</v>
      </c>
      <c r="S1843" s="73">
        <f>IF(B1843="",0,P1843*R1843)</f>
        <v>0.13973428699864348</v>
      </c>
      <c r="T1843" s="85">
        <f>IF(B1843="",0,IF(OR(H1843=MappingTables!$C$34,H1843=MappingTables!$C$35),S1843,0))</f>
        <v>0</v>
      </c>
    </row>
    <row r="1844" spans="2:20" s="0" customFormat="0" ht="15">
      <c r="B1844" s="69" t="s">
        <v>4883</v>
      </c>
      <c r="C1844" s="70" t="s">
        <v>4884</v>
      </c>
      <c r="D1844" s="70" t="s">
        <v>1</v>
      </c>
      <c r="E1844" s="70" t="s">
        <v>1</v>
      </c>
      <c r="F1844" s="70"/>
      <c r="G1844" s="70" t="s">
        <v>61</v>
      </c>
      <c r="H1844" s="70" t="s">
        <v>178</v>
      </c>
      <c r="I1844" s="70" t="s">
        <v>204</v>
      </c>
      <c r="J1844" s="71">
        <f>IF(OR(I1844=0,I1844=""),"unrated",VLOOKUP(I1844,MappingTables!$B$19:$C$31,2,FALSE))</f>
        <v>6</v>
      </c>
      <c r="K1844" s="72">
        <v>1631.4245756760736</v>
      </c>
      <c r="L1844" s="70">
        <v>0.068494949393734072</v>
      </c>
      <c r="M1844" s="71">
        <f>IF(L1844&lt;1,1,L1844)</f>
        <v>1</v>
      </c>
      <c r="N1844" s="70" t="s">
        <v>3288</v>
      </c>
      <c r="O1844" s="71">
        <f>IF(OR(I1844=$A$1,I1844=0),"",IF(N1844=MappingTables!$C$14,VLOOKUP(J1844,ModelParameters!$M$8:$N$15,2,FALSE),IF(N1844=MappingTables!$C$16,VLOOKUP(J1844,ModelParameters!$P$8:$Q$15,2,FALSE),0)))</f>
        <v>1</v>
      </c>
      <c r="P1844" s="73">
        <f>IF(OR(I1844=0,I1844=$A$1),0,MIN(O1844*M1844,1)*K1844)</f>
        <v>1631.4245756760736</v>
      </c>
      <c r="Q1844" s="73">
        <f>IF(B1844="",0,IF(OR(H1844=MappingTables!$C$34,H1844=MappingTables!$C$35),P1844,0))</f>
        <v>0</v>
      </c>
      <c r="R1844" s="73">
        <f>IF(ISNA(IF(AND(VLOOKUP(CONCATENATE($D1844,$G1844),CSRFinput!$B:$E,4,0)=0,OR(H1844=MappingTables!$C$31,H1844=MappingTables!$C$32)),1,VLOOKUP(CONCATENATE($D1844,$G1844),CSRFinput!$B:$E,4,0))),0,IF(AND(VLOOKUP(CONCATENATE($D1844,$G1844),CSRFinput!$B:$E,4,0)=0,OR(H1844=MappingTables!$C$31,H1844=MappingTables!$C$32)),1,VLOOKUP(CONCATENATE($D1844,$G1844),CSRFinput!$B:$E,4,0)))</f>
        <v>0.054776304963434752</v>
      </c>
      <c r="S1844" s="73">
        <f>IF(B1844="",0,P1844*R1844)</f>
        <v>89.363410082074752</v>
      </c>
      <c r="T1844" s="85">
        <f>IF(B1844="",0,IF(OR(H1844=MappingTables!$C$34,H1844=MappingTables!$C$35),S1844,0))</f>
        <v>0</v>
      </c>
    </row>
    <row r="1845" spans="2:20" s="0" customFormat="0" ht="15">
      <c r="B1845" s="69" t="s">
        <v>3684</v>
      </c>
      <c r="C1845" s="70" t="s">
        <v>3685</v>
      </c>
      <c r="D1845" s="70" t="s">
        <v>1</v>
      </c>
      <c r="E1845" s="70" t="s">
        <v>1</v>
      </c>
      <c r="F1845" s="70"/>
      <c r="G1845" s="70" t="s">
        <v>61</v>
      </c>
      <c r="H1845" s="70" t="s">
        <v>178</v>
      </c>
      <c r="I1845" s="70" t="s">
        <v>198</v>
      </c>
      <c r="J1845" s="71" t="str">
        <f>IF(OR(I1845=0,I1845=""),"unrated",VLOOKUP(I1845,MappingTables!$B$19:$C$31,2,FALSE))</f>
        <v>unrated</v>
      </c>
      <c r="K1845" s="72">
        <v>28.058926950411296</v>
      </c>
      <c r="L1845" s="70">
        <v>3.7818080286426336</v>
      </c>
      <c r="M1845" s="71">
        <f>IF(L1845&lt;1,1,L1845)</f>
        <v>3.7818080286426336</v>
      </c>
      <c r="N1845" s="70" t="s">
        <v>3288</v>
      </c>
      <c r="O1845" s="71">
        <f>IF(OR(I1845=$A$1,I1845=0),"",IF(N1845=MappingTables!$C$14,VLOOKUP(J1845,ModelParameters!$M$8:$N$15,2,FALSE),IF(N1845=MappingTables!$C$16,VLOOKUP(J1845,ModelParameters!$P$8:$Q$15,2,FALSE),0)))</f>
        <v>1</v>
      </c>
      <c r="P1845" s="73">
        <f>IF(OR(I1845=0,I1845=$A$1),0,MIN(O1845*M1845,1)*K1845)</f>
        <v>28.058926950411296</v>
      </c>
      <c r="Q1845" s="73">
        <f>IF(B1845="",0,IF(OR(H1845=MappingTables!$C$34,H1845=MappingTables!$C$35),P1845,0))</f>
        <v>0</v>
      </c>
      <c r="R1845" s="73">
        <f>IF(ISNA(IF(AND(VLOOKUP(CONCATENATE($D1845,$G1845),CSRFinput!$B:$E,4,0)=0,OR(H1845=MappingTables!$C$31,H1845=MappingTables!$C$32)),1,VLOOKUP(CONCATENATE($D1845,$G1845),CSRFinput!$B:$E,4,0))),0,IF(AND(VLOOKUP(CONCATENATE($D1845,$G1845),CSRFinput!$B:$E,4,0)=0,OR(H1845=MappingTables!$C$31,H1845=MappingTables!$C$32)),1,VLOOKUP(CONCATENATE($D1845,$G1845),CSRFinput!$B:$E,4,0)))</f>
        <v>0.054776304963434752</v>
      </c>
      <c r="S1845" s="73">
        <f>IF(B1845="",0,P1845*R1845)</f>
        <v>1.5369643395824674</v>
      </c>
      <c r="T1845" s="85">
        <f>IF(B1845="",0,IF(OR(H1845=MappingTables!$C$34,H1845=MappingTables!$C$35),S1845,0))</f>
        <v>0</v>
      </c>
    </row>
    <row r="1846" spans="2:20" s="0" customFormat="0" ht="15">
      <c r="B1846" s="69" t="s">
        <v>3709</v>
      </c>
      <c r="C1846" s="70" t="s">
        <v>3710</v>
      </c>
      <c r="D1846" s="70" t="s">
        <v>1</v>
      </c>
      <c r="E1846" s="70" t="s">
        <v>1</v>
      </c>
      <c r="F1846" s="70"/>
      <c r="G1846" s="70" t="s">
        <v>61</v>
      </c>
      <c r="H1846" s="70" t="s">
        <v>178</v>
      </c>
      <c r="I1846" s="70" t="s">
        <v>198</v>
      </c>
      <c r="J1846" s="71" t="str">
        <f>IF(OR(I1846=0,I1846=""),"unrated",VLOOKUP(I1846,MappingTables!$B$19:$C$31,2,FALSE))</f>
        <v>unrated</v>
      </c>
      <c r="K1846" s="72">
        <v>14474.786232480744</v>
      </c>
      <c r="L1846" s="70">
        <v>7.349065615493216</v>
      </c>
      <c r="M1846" s="71">
        <f>IF(L1846&lt;1,1,L1846)</f>
        <v>7.349065615493216</v>
      </c>
      <c r="N1846" s="70" t="s">
        <v>3288</v>
      </c>
      <c r="O1846" s="71">
        <f>IF(OR(I1846=$A$1,I1846=0),"",IF(N1846=MappingTables!$C$14,VLOOKUP(J1846,ModelParameters!$M$8:$N$15,2,FALSE),IF(N1846=MappingTables!$C$16,VLOOKUP(J1846,ModelParameters!$P$8:$Q$15,2,FALSE),0)))</f>
        <v>1</v>
      </c>
      <c r="P1846" s="73">
        <f>IF(OR(I1846=0,I1846=$A$1),0,MIN(O1846*M1846,1)*K1846)</f>
        <v>14474.786232480744</v>
      </c>
      <c r="Q1846" s="73">
        <f>IF(B1846="",0,IF(OR(H1846=MappingTables!$C$34,H1846=MappingTables!$C$35),P1846,0))</f>
        <v>0</v>
      </c>
      <c r="R1846" s="73">
        <f>IF(ISNA(IF(AND(VLOOKUP(CONCATENATE($D1846,$G1846),CSRFinput!$B:$E,4,0)=0,OR(H1846=MappingTables!$C$31,H1846=MappingTables!$C$32)),1,VLOOKUP(CONCATENATE($D1846,$G1846),CSRFinput!$B:$E,4,0))),0,IF(AND(VLOOKUP(CONCATENATE($D1846,$G1846),CSRFinput!$B:$E,4,0)=0,OR(H1846=MappingTables!$C$31,H1846=MappingTables!$C$32)),1,VLOOKUP(CONCATENATE($D1846,$G1846),CSRFinput!$B:$E,4,0)))</f>
        <v>0.054776304963434752</v>
      </c>
      <c r="S1846" s="73">
        <f>IF(B1846="",0,P1846*R1846)</f>
        <v>792.87530495089216</v>
      </c>
      <c r="T1846" s="85">
        <f>IF(B1846="",0,IF(OR(H1846=MappingTables!$C$34,H1846=MappingTables!$C$35),S1846,0))</f>
        <v>0</v>
      </c>
    </row>
    <row r="1847" spans="2:20" s="0" customFormat="0" ht="15">
      <c r="B1847" s="69" t="s">
        <v>5000</v>
      </c>
      <c r="C1847" s="70" t="s">
        <v>5001</v>
      </c>
      <c r="D1847" s="70" t="s">
        <v>1</v>
      </c>
      <c r="E1847" s="70" t="s">
        <v>1</v>
      </c>
      <c r="F1847" s="70"/>
      <c r="G1847" s="70" t="s">
        <v>61</v>
      </c>
      <c r="H1847" s="70" t="s">
        <v>178</v>
      </c>
      <c r="I1847" s="70" t="s">
        <v>216</v>
      </c>
      <c r="J1847" s="71">
        <f>IF(OR(I1847=0,I1847=""),"unrated",VLOOKUP(I1847,MappingTables!$B$19:$C$31,2,FALSE))</f>
        <v>0</v>
      </c>
      <c r="K1847" s="72">
        <v>866.21001304772624</v>
      </c>
      <c r="L1847" s="70">
        <v>0.06849331382985348</v>
      </c>
      <c r="M1847" s="71">
        <f>IF(L1847&lt;1,1,L1847)</f>
        <v>1</v>
      </c>
      <c r="N1847" s="70" t="s">
        <v>3288</v>
      </c>
      <c r="O1847" s="71">
        <f>IF(OR(I1847=$A$1,I1847=0),"",IF(N1847=MappingTables!$C$14,VLOOKUP(J1847,ModelParameters!$M$8:$N$15,2,FALSE),IF(N1847=MappingTables!$C$16,VLOOKUP(J1847,ModelParameters!$P$8:$Q$15,2,FALSE),0)))</f>
        <v>0.125</v>
      </c>
      <c r="P1847" s="73">
        <f>IF(OR(I1847=0,I1847=$A$1),0,MIN(O1847*M1847,1)*K1847)</f>
        <v>108.27625163096578</v>
      </c>
      <c r="Q1847" s="73">
        <f>IF(B1847="",0,IF(OR(H1847=MappingTables!$C$34,H1847=MappingTables!$C$35),P1847,0))</f>
        <v>0</v>
      </c>
      <c r="R1847" s="73">
        <f>IF(ISNA(IF(AND(VLOOKUP(CONCATENATE($D1847,$G1847),CSRFinput!$B:$E,4,0)=0,OR(H1847=MappingTables!$C$31,H1847=MappingTables!$C$32)),1,VLOOKUP(CONCATENATE($D1847,$G1847),CSRFinput!$B:$E,4,0))),0,IF(AND(VLOOKUP(CONCATENATE($D1847,$G1847),CSRFinput!$B:$E,4,0)=0,OR(H1847=MappingTables!$C$31,H1847=MappingTables!$C$32)),1,VLOOKUP(CONCATENATE($D1847,$G1847),CSRFinput!$B:$E,4,0)))</f>
        <v>0.054776304963434752</v>
      </c>
      <c r="S1847" s="73">
        <f>IF(B1847="",0,P1847*R1847)</f>
        <v>5.9309729796353808</v>
      </c>
      <c r="T1847" s="85">
        <f>IF(B1847="",0,IF(OR(H1847=MappingTables!$C$34,H1847=MappingTables!$C$35),S1847,0))</f>
        <v>0</v>
      </c>
    </row>
    <row r="1848" spans="2:20" s="0" customFormat="0" ht="15">
      <c r="B1848" s="69" t="s">
        <v>4142</v>
      </c>
      <c r="C1848" s="70" t="s">
        <v>4143</v>
      </c>
      <c r="D1848" s="70" t="s">
        <v>1</v>
      </c>
      <c r="E1848" s="70" t="s">
        <v>1</v>
      </c>
      <c r="F1848" s="70"/>
      <c r="G1848" s="70" t="s">
        <v>61</v>
      </c>
      <c r="H1848" s="70" t="s">
        <v>178</v>
      </c>
      <c r="I1848" s="70" t="s">
        <v>198</v>
      </c>
      <c r="J1848" s="71" t="str">
        <f>IF(OR(I1848=0,I1848=""),"unrated",VLOOKUP(I1848,MappingTables!$B$19:$C$31,2,FALSE))</f>
        <v>unrated</v>
      </c>
      <c r="K1848" s="72">
        <v>246.30408714027056</v>
      </c>
      <c r="L1848" s="70">
        <v>3.4362903569334812</v>
      </c>
      <c r="M1848" s="71">
        <f>IF(L1848&lt;1,1,L1848)</f>
        <v>3.4362903569334812</v>
      </c>
      <c r="N1848" s="70" t="s">
        <v>3288</v>
      </c>
      <c r="O1848" s="71">
        <f>IF(OR(I1848=$A$1,I1848=0),"",IF(N1848=MappingTables!$C$14,VLOOKUP(J1848,ModelParameters!$M$8:$N$15,2,FALSE),IF(N1848=MappingTables!$C$16,VLOOKUP(J1848,ModelParameters!$P$8:$Q$15,2,FALSE),0)))</f>
        <v>1</v>
      </c>
      <c r="P1848" s="73">
        <f>IF(OR(I1848=0,I1848=$A$1),0,MIN(O1848*M1848,1)*K1848)</f>
        <v>246.30408714027056</v>
      </c>
      <c r="Q1848" s="73">
        <f>IF(B1848="",0,IF(OR(H1848=MappingTables!$C$34,H1848=MappingTables!$C$35),P1848,0))</f>
        <v>0</v>
      </c>
      <c r="R1848" s="73">
        <f>IF(ISNA(IF(AND(VLOOKUP(CONCATENATE($D1848,$G1848),CSRFinput!$B:$E,4,0)=0,OR(H1848=MappingTables!$C$31,H1848=MappingTables!$C$32)),1,VLOOKUP(CONCATENATE($D1848,$G1848),CSRFinput!$B:$E,4,0))),0,IF(AND(VLOOKUP(CONCATENATE($D1848,$G1848),CSRFinput!$B:$E,4,0)=0,OR(H1848=MappingTables!$C$31,H1848=MappingTables!$C$32)),1,VLOOKUP(CONCATENATE($D1848,$G1848),CSRFinput!$B:$E,4,0)))</f>
        <v>0.054776304963434752</v>
      </c>
      <c r="S1848" s="73">
        <f>IF(B1848="",0,P1848*R1848)</f>
        <v>13.491627790935868</v>
      </c>
      <c r="T1848" s="85">
        <f>IF(B1848="",0,IF(OR(H1848=MappingTables!$C$34,H1848=MappingTables!$C$35),S1848,0))</f>
        <v>0</v>
      </c>
    </row>
    <row r="1849" spans="2:20" s="0" customFormat="0" ht="15">
      <c r="B1849" s="69">
        <v>1551412</v>
      </c>
      <c r="C1849" s="70" t="s">
        <v>4668</v>
      </c>
      <c r="D1849" s="70" t="s">
        <v>1</v>
      </c>
      <c r="E1849" s="70" t="s">
        <v>1</v>
      </c>
      <c r="F1849" s="70"/>
      <c r="G1849" s="70" t="s">
        <v>61</v>
      </c>
      <c r="H1849" s="70" t="s">
        <v>178</v>
      </c>
      <c r="I1849" s="70" t="s">
        <v>184</v>
      </c>
      <c r="J1849" s="71">
        <f>IF(OR(I1849=0,I1849=""),"unrated",VLOOKUP(I1849,MappingTables!$B$19:$C$31,2,FALSE))</f>
        <v>5</v>
      </c>
      <c r="K1849" s="72">
        <v>4.0768983167867712</v>
      </c>
      <c r="L1849" s="70">
        <v>0.068491241780327256</v>
      </c>
      <c r="M1849" s="71">
        <f>IF(L1849&lt;1,1,L1849)</f>
        <v>1</v>
      </c>
      <c r="N1849" s="70" t="s">
        <v>3288</v>
      </c>
      <c r="O1849" s="71">
        <f>IF(OR(I1849=$A$1,I1849=0),"",IF(N1849=MappingTables!$C$14,VLOOKUP(J1849,ModelParameters!$M$8:$N$15,2,FALSE),IF(N1849=MappingTables!$C$16,VLOOKUP(J1849,ModelParameters!$P$8:$Q$15,2,FALSE),0)))</f>
        <v>1</v>
      </c>
      <c r="P1849" s="73">
        <f>IF(OR(I1849=0,I1849=$A$1),0,MIN(O1849*M1849,1)*K1849)</f>
        <v>4.0768983167867712</v>
      </c>
      <c r="Q1849" s="73">
        <f>IF(B1849="",0,IF(OR(H1849=MappingTables!$C$34,H1849=MappingTables!$C$35),P1849,0))</f>
        <v>0</v>
      </c>
      <c r="R1849" s="73">
        <f>IF(ISNA(IF(AND(VLOOKUP(CONCATENATE($D1849,$G1849),CSRFinput!$B:$E,4,0)=0,OR(H1849=MappingTables!$C$31,H1849=MappingTables!$C$32)),1,VLOOKUP(CONCATENATE($D1849,$G1849),CSRFinput!$B:$E,4,0))),0,IF(AND(VLOOKUP(CONCATENATE($D1849,$G1849),CSRFinput!$B:$E,4,0)=0,OR(H1849=MappingTables!$C$31,H1849=MappingTables!$C$32)),1,VLOOKUP(CONCATENATE($D1849,$G1849),CSRFinput!$B:$E,4,0)))</f>
        <v>0.054776304963434752</v>
      </c>
      <c r="S1849" s="73">
        <f>IF(B1849="",0,P1849*R1849)</f>
        <v>0.223317425505226</v>
      </c>
      <c r="T1849" s="85">
        <f>IF(B1849="",0,IF(OR(H1849=MappingTables!$C$34,H1849=MappingTables!$C$35),S1849,0))</f>
        <v>0</v>
      </c>
    </row>
    <row r="1850" spans="2:20" s="0" customFormat="0" ht="15">
      <c r="B1850" s="69" t="s">
        <v>4649</v>
      </c>
      <c r="C1850" s="70" t="s">
        <v>4650</v>
      </c>
      <c r="D1850" s="70" t="s">
        <v>1</v>
      </c>
      <c r="E1850" s="70" t="s">
        <v>1</v>
      </c>
      <c r="F1850" s="70"/>
      <c r="G1850" s="70" t="s">
        <v>61</v>
      </c>
      <c r="H1850" s="70" t="s">
        <v>178</v>
      </c>
      <c r="I1850" s="70" t="s">
        <v>220</v>
      </c>
      <c r="J1850" s="71">
        <f>IF(OR(I1850=0,I1850=""),"unrated",VLOOKUP(I1850,MappingTables!$B$19:$C$31,2,FALSE))</f>
        <v>1</v>
      </c>
      <c r="K1850" s="72">
        <v>45.015805287594544</v>
      </c>
      <c r="L1850" s="70">
        <v>0.068492665735614648</v>
      </c>
      <c r="M1850" s="71">
        <f>IF(L1850&lt;1,1,L1850)</f>
        <v>1</v>
      </c>
      <c r="N1850" s="70" t="s">
        <v>3288</v>
      </c>
      <c r="O1850" s="71">
        <f>IF(OR(I1850=$A$1,I1850=0),"",IF(N1850=MappingTables!$C$14,VLOOKUP(J1850,ModelParameters!$M$8:$N$15,2,FALSE),IF(N1850=MappingTables!$C$16,VLOOKUP(J1850,ModelParameters!$P$8:$Q$15,2,FALSE),0)))</f>
        <v>0.134</v>
      </c>
      <c r="P1850" s="73">
        <f>IF(OR(I1850=0,I1850=$A$1),0,MIN(O1850*M1850,1)*K1850)</f>
        <v>6.0321179085376696</v>
      </c>
      <c r="Q1850" s="73">
        <f>IF(B1850="",0,IF(OR(H1850=MappingTables!$C$34,H1850=MappingTables!$C$35),P1850,0))</f>
        <v>0</v>
      </c>
      <c r="R1850" s="73">
        <f>IF(ISNA(IF(AND(VLOOKUP(CONCATENATE($D1850,$G1850),CSRFinput!$B:$E,4,0)=0,OR(H1850=MappingTables!$C$31,H1850=MappingTables!$C$32)),1,VLOOKUP(CONCATENATE($D1850,$G1850),CSRFinput!$B:$E,4,0))),0,IF(AND(VLOOKUP(CONCATENATE($D1850,$G1850),CSRFinput!$B:$E,4,0)=0,OR(H1850=MappingTables!$C$31,H1850=MappingTables!$C$32)),1,VLOOKUP(CONCATENATE($D1850,$G1850),CSRFinput!$B:$E,4,0)))</f>
        <v>0.054776304963434752</v>
      </c>
      <c r="S1850" s="73">
        <f>IF(B1850="",0,P1850*R1850)</f>
        <v>0.3304171301334556</v>
      </c>
      <c r="T1850" s="85">
        <f>IF(B1850="",0,IF(OR(H1850=MappingTables!$C$34,H1850=MappingTables!$C$35),S1850,0))</f>
        <v>0</v>
      </c>
    </row>
    <row r="1851" spans="2:20" s="0" customFormat="0" ht="15">
      <c r="B1851" s="69">
        <v>1928022</v>
      </c>
      <c r="C1851" s="70" t="s">
        <v>4012</v>
      </c>
      <c r="D1851" s="70" t="s">
        <v>1</v>
      </c>
      <c r="E1851" s="70" t="s">
        <v>1</v>
      </c>
      <c r="F1851" s="70"/>
      <c r="G1851" s="70" t="s">
        <v>61</v>
      </c>
      <c r="H1851" s="70" t="s">
        <v>178</v>
      </c>
      <c r="I1851" s="70" t="s">
        <v>188</v>
      </c>
      <c r="J1851" s="71">
        <f>IF(OR(I1851=0,I1851=""),"unrated",VLOOKUP(I1851,MappingTables!$B$19:$C$31,2,FALSE))</f>
        <v>2</v>
      </c>
      <c r="K1851" s="72">
        <v>49.868089138581848</v>
      </c>
      <c r="L1851" s="70">
        <v>0.068491651480469384</v>
      </c>
      <c r="M1851" s="71">
        <f>IF(L1851&lt;1,1,L1851)</f>
        <v>1</v>
      </c>
      <c r="N1851" s="70" t="s">
        <v>3288</v>
      </c>
      <c r="O1851" s="71">
        <f>IF(OR(I1851=$A$1,I1851=0),"",IF(N1851=MappingTables!$C$14,VLOOKUP(J1851,ModelParameters!$M$8:$N$15,2,FALSE),IF(N1851=MappingTables!$C$16,VLOOKUP(J1851,ModelParameters!$P$8:$Q$15,2,FALSE),0)))</f>
        <v>0.166</v>
      </c>
      <c r="P1851" s="73">
        <f>IF(OR(I1851=0,I1851=$A$1),0,MIN(O1851*M1851,1)*K1851)</f>
        <v>8.2781027970045872</v>
      </c>
      <c r="Q1851" s="73">
        <f>IF(B1851="",0,IF(OR(H1851=MappingTables!$C$34,H1851=MappingTables!$C$35),P1851,0))</f>
        <v>0</v>
      </c>
      <c r="R1851" s="73">
        <f>IF(ISNA(IF(AND(VLOOKUP(CONCATENATE($D1851,$G1851),CSRFinput!$B:$E,4,0)=0,OR(H1851=MappingTables!$C$31,H1851=MappingTables!$C$32)),1,VLOOKUP(CONCATENATE($D1851,$G1851),CSRFinput!$B:$E,4,0))),0,IF(AND(VLOOKUP(CONCATENATE($D1851,$G1851),CSRFinput!$B:$E,4,0)=0,OR(H1851=MappingTables!$C$31,H1851=MappingTables!$C$32)),1,VLOOKUP(CONCATENATE($D1851,$G1851),CSRFinput!$B:$E,4,0)))</f>
        <v>0.054776304963434752</v>
      </c>
      <c r="S1851" s="73">
        <f>IF(B1851="",0,P1851*R1851)</f>
        <v>0.45344388332738552</v>
      </c>
      <c r="T1851" s="85">
        <f>IF(B1851="",0,IF(OR(H1851=MappingTables!$C$34,H1851=MappingTables!$C$35),S1851,0))</f>
        <v>0</v>
      </c>
    </row>
    <row r="1852" spans="2:20" s="0" customFormat="0" ht="15">
      <c r="B1852" s="69" t="s">
        <v>4302</v>
      </c>
      <c r="C1852" s="70" t="s">
        <v>4303</v>
      </c>
      <c r="D1852" s="70" t="s">
        <v>1</v>
      </c>
      <c r="E1852" s="70" t="s">
        <v>1</v>
      </c>
      <c r="F1852" s="70"/>
      <c r="G1852" s="70" t="s">
        <v>61</v>
      </c>
      <c r="H1852" s="70" t="s">
        <v>178</v>
      </c>
      <c r="I1852" s="70" t="s">
        <v>216</v>
      </c>
      <c r="J1852" s="71">
        <f>IF(OR(I1852=0,I1852=""),"unrated",VLOOKUP(I1852,MappingTables!$B$19:$C$31,2,FALSE))</f>
        <v>0</v>
      </c>
      <c r="K1852" s="72">
        <v>1166.773470100644</v>
      </c>
      <c r="L1852" s="70">
        <v>0.076712253788269136</v>
      </c>
      <c r="M1852" s="71">
        <f>IF(L1852&lt;1,1,L1852)</f>
        <v>1</v>
      </c>
      <c r="N1852" s="70" t="s">
        <v>3288</v>
      </c>
      <c r="O1852" s="71">
        <f>IF(OR(I1852=$A$1,I1852=0),"",IF(N1852=MappingTables!$C$14,VLOOKUP(J1852,ModelParameters!$M$8:$N$15,2,FALSE),IF(N1852=MappingTables!$C$16,VLOOKUP(J1852,ModelParameters!$P$8:$Q$15,2,FALSE),0)))</f>
        <v>0.125</v>
      </c>
      <c r="P1852" s="73">
        <f>IF(OR(I1852=0,I1852=$A$1),0,MIN(O1852*M1852,1)*K1852)</f>
        <v>145.84668376258052</v>
      </c>
      <c r="Q1852" s="73">
        <f>IF(B1852="",0,IF(OR(H1852=MappingTables!$C$34,H1852=MappingTables!$C$35),P1852,0))</f>
        <v>0</v>
      </c>
      <c r="R1852" s="73">
        <f>IF(ISNA(IF(AND(VLOOKUP(CONCATENATE($D1852,$G1852),CSRFinput!$B:$E,4,0)=0,OR(H1852=MappingTables!$C$31,H1852=MappingTables!$C$32)),1,VLOOKUP(CONCATENATE($D1852,$G1852),CSRFinput!$B:$E,4,0))),0,IF(AND(VLOOKUP(CONCATENATE($D1852,$G1852),CSRFinput!$B:$E,4,0)=0,OR(H1852=MappingTables!$C$31,H1852=MappingTables!$C$32)),1,VLOOKUP(CONCATENATE($D1852,$G1852),CSRFinput!$B:$E,4,0)))</f>
        <v>0.054776304963434752</v>
      </c>
      <c r="S1852" s="73">
        <f>IF(B1852="",0,P1852*R1852)</f>
        <v>7.9889424276847376</v>
      </c>
      <c r="T1852" s="85">
        <f>IF(B1852="",0,IF(OR(H1852=MappingTables!$C$34,H1852=MappingTables!$C$35),S1852,0))</f>
        <v>0</v>
      </c>
    </row>
    <row r="1853" spans="2:20" s="0" customFormat="0" ht="15">
      <c r="B1853" s="69">
        <v>7065947</v>
      </c>
      <c r="C1853" s="70" t="s">
        <v>4286</v>
      </c>
      <c r="D1853" s="70" t="s">
        <v>1</v>
      </c>
      <c r="E1853" s="70" t="s">
        <v>1</v>
      </c>
      <c r="F1853" s="70"/>
      <c r="G1853" s="70" t="s">
        <v>61</v>
      </c>
      <c r="H1853" s="70" t="s">
        <v>178</v>
      </c>
      <c r="I1853" s="70" t="s">
        <v>216</v>
      </c>
      <c r="J1853" s="71">
        <f>IF(OR(I1853=0,I1853=""),"unrated",VLOOKUP(I1853,MappingTables!$B$19:$C$31,2,FALSE))</f>
        <v>0</v>
      </c>
      <c r="K1853" s="72">
        <v>5.7988540319784928</v>
      </c>
      <c r="L1853" s="70">
        <v>0.068350406994404616</v>
      </c>
      <c r="M1853" s="71">
        <f>IF(L1853&lt;1,1,L1853)</f>
        <v>1</v>
      </c>
      <c r="N1853" s="70" t="s">
        <v>3288</v>
      </c>
      <c r="O1853" s="71">
        <f>IF(OR(I1853=$A$1,I1853=0),"",IF(N1853=MappingTables!$C$14,VLOOKUP(J1853,ModelParameters!$M$8:$N$15,2,FALSE),IF(N1853=MappingTables!$C$16,VLOOKUP(J1853,ModelParameters!$P$8:$Q$15,2,FALSE),0)))</f>
        <v>0.125</v>
      </c>
      <c r="P1853" s="73">
        <f>IF(OR(I1853=0,I1853=$A$1),0,MIN(O1853*M1853,1)*K1853)</f>
        <v>0.72485675399731168</v>
      </c>
      <c r="Q1853" s="73">
        <f>IF(B1853="",0,IF(OR(H1853=MappingTables!$C$34,H1853=MappingTables!$C$35),P1853,0))</f>
        <v>0</v>
      </c>
      <c r="R1853" s="73">
        <f>IF(ISNA(IF(AND(VLOOKUP(CONCATENATE($D1853,$G1853),CSRFinput!$B:$E,4,0)=0,OR(H1853=MappingTables!$C$31,H1853=MappingTables!$C$32)),1,VLOOKUP(CONCATENATE($D1853,$G1853),CSRFinput!$B:$E,4,0))),0,IF(AND(VLOOKUP(CONCATENATE($D1853,$G1853),CSRFinput!$B:$E,4,0)=0,OR(H1853=MappingTables!$C$31,H1853=MappingTables!$C$32)),1,VLOOKUP(CONCATENATE($D1853,$G1853),CSRFinput!$B:$E,4,0)))</f>
        <v>0.054776304963434752</v>
      </c>
      <c r="S1853" s="73">
        <f>IF(B1853="",0,P1853*R1853)</f>
        <v>0.039704974611762144</v>
      </c>
      <c r="T1853" s="85">
        <f>IF(B1853="",0,IF(OR(H1853=MappingTables!$C$34,H1853=MappingTables!$C$35),S1853,0))</f>
        <v>0</v>
      </c>
    </row>
    <row r="1854" spans="2:20" s="0" customFormat="0" ht="15">
      <c r="B1854" s="69" t="s">
        <v>3842</v>
      </c>
      <c r="C1854" s="70" t="s">
        <v>3843</v>
      </c>
      <c r="D1854" s="70" t="s">
        <v>1</v>
      </c>
      <c r="E1854" s="70" t="s">
        <v>1</v>
      </c>
      <c r="F1854" s="70"/>
      <c r="G1854" s="70" t="s">
        <v>61</v>
      </c>
      <c r="H1854" s="70" t="s">
        <v>178</v>
      </c>
      <c r="I1854" s="70" t="s">
        <v>181</v>
      </c>
      <c r="J1854" s="71">
        <f>IF(OR(I1854=0,I1854=""),"unrated",VLOOKUP(I1854,MappingTables!$B$19:$C$31,2,FALSE))</f>
        <v>3</v>
      </c>
      <c r="K1854" s="72">
        <v>144.53244533824168</v>
      </c>
      <c r="L1854" s="70">
        <v>0.068496134623799512</v>
      </c>
      <c r="M1854" s="71">
        <f>IF(L1854&lt;1,1,L1854)</f>
        <v>1</v>
      </c>
      <c r="N1854" s="70" t="s">
        <v>3288</v>
      </c>
      <c r="O1854" s="71">
        <f>IF(OR(I1854=$A$1,I1854=0),"",IF(N1854=MappingTables!$C$14,VLOOKUP(J1854,ModelParameters!$M$8:$N$15,2,FALSE),IF(N1854=MappingTables!$C$16,VLOOKUP(J1854,ModelParameters!$P$8:$Q$15,2,FALSE),0)))</f>
        <v>0.197</v>
      </c>
      <c r="P1854" s="73">
        <f>IF(OR(I1854=0,I1854=$A$1),0,MIN(O1854*M1854,1)*K1854)</f>
        <v>28.472891731633604</v>
      </c>
      <c r="Q1854" s="73">
        <f>IF(B1854="",0,IF(OR(H1854=MappingTables!$C$34,H1854=MappingTables!$C$35),P1854,0))</f>
        <v>0</v>
      </c>
      <c r="R1854" s="73">
        <f>IF(ISNA(IF(AND(VLOOKUP(CONCATENATE($D1854,$G1854),CSRFinput!$B:$E,4,0)=0,OR(H1854=MappingTables!$C$31,H1854=MappingTables!$C$32)),1,VLOOKUP(CONCATENATE($D1854,$G1854),CSRFinput!$B:$E,4,0))),0,IF(AND(VLOOKUP(CONCATENATE($D1854,$G1854),CSRFinput!$B:$E,4,0)=0,OR(H1854=MappingTables!$C$31,H1854=MappingTables!$C$32)),1,VLOOKUP(CONCATENATE($D1854,$G1854),CSRFinput!$B:$E,4,0)))</f>
        <v>0.054776304963434752</v>
      </c>
      <c r="S1854" s="73">
        <f>IF(B1854="",0,P1854*R1854)</f>
        <v>1.5596398006828222</v>
      </c>
      <c r="T1854" s="85">
        <f>IF(B1854="",0,IF(OR(H1854=MappingTables!$C$34,H1854=MappingTables!$C$35),S1854,0))</f>
        <v>0</v>
      </c>
    </row>
    <row r="1855" spans="2:20" s="0" customFormat="0" ht="15">
      <c r="B1855" s="69">
        <v>13285034</v>
      </c>
      <c r="C1855" s="70" t="s">
        <v>4936</v>
      </c>
      <c r="D1855" s="70" t="s">
        <v>1</v>
      </c>
      <c r="E1855" s="70" t="s">
        <v>1</v>
      </c>
      <c r="F1855" s="70"/>
      <c r="G1855" s="70" t="s">
        <v>61</v>
      </c>
      <c r="H1855" s="70" t="s">
        <v>178</v>
      </c>
      <c r="I1855" s="70" t="s">
        <v>204</v>
      </c>
      <c r="J1855" s="71">
        <f>IF(OR(I1855=0,I1855=""),"unrated",VLOOKUP(I1855,MappingTables!$B$19:$C$31,2,FALSE))</f>
        <v>6</v>
      </c>
      <c r="K1855" s="72">
        <v>71.897568063848864</v>
      </c>
      <c r="L1855" s="70">
        <v>0.068495659051264232</v>
      </c>
      <c r="M1855" s="71">
        <f>IF(L1855&lt;1,1,L1855)</f>
        <v>1</v>
      </c>
      <c r="N1855" s="70" t="s">
        <v>3288</v>
      </c>
      <c r="O1855" s="71">
        <f>IF(OR(I1855=$A$1,I1855=0),"",IF(N1855=MappingTables!$C$14,VLOOKUP(J1855,ModelParameters!$M$8:$N$15,2,FALSE),IF(N1855=MappingTables!$C$16,VLOOKUP(J1855,ModelParameters!$P$8:$Q$15,2,FALSE),0)))</f>
        <v>1</v>
      </c>
      <c r="P1855" s="73">
        <f>IF(OR(I1855=0,I1855=$A$1),0,MIN(O1855*M1855,1)*K1855)</f>
        <v>71.897568063848864</v>
      </c>
      <c r="Q1855" s="73">
        <f>IF(B1855="",0,IF(OR(H1855=MappingTables!$C$34,H1855=MappingTables!$C$35),P1855,0))</f>
        <v>0</v>
      </c>
      <c r="R1855" s="73">
        <f>IF(ISNA(IF(AND(VLOOKUP(CONCATENATE($D1855,$G1855),CSRFinput!$B:$E,4,0)=0,OR(H1855=MappingTables!$C$31,H1855=MappingTables!$C$32)),1,VLOOKUP(CONCATENATE($D1855,$G1855),CSRFinput!$B:$E,4,0))),0,IF(AND(VLOOKUP(CONCATENATE($D1855,$G1855),CSRFinput!$B:$E,4,0)=0,OR(H1855=MappingTables!$C$31,H1855=MappingTables!$C$32)),1,VLOOKUP(CONCATENATE($D1855,$G1855),CSRFinput!$B:$E,4,0)))</f>
        <v>0.054776304963434752</v>
      </c>
      <c r="S1855" s="73">
        <f>IF(B1855="",0,P1855*R1855)</f>
        <v>3.9382831143946928</v>
      </c>
      <c r="T1855" s="85">
        <f>IF(B1855="",0,IF(OR(H1855=MappingTables!$C$34,H1855=MappingTables!$C$35),S1855,0))</f>
        <v>0</v>
      </c>
    </row>
    <row r="1856" spans="2:20" s="0" customFormat="0" ht="15">
      <c r="B1856" s="69">
        <v>22554418</v>
      </c>
      <c r="C1856" s="70" t="s">
        <v>4011</v>
      </c>
      <c r="D1856" s="70" t="s">
        <v>1</v>
      </c>
      <c r="E1856" s="70" t="s">
        <v>1</v>
      </c>
      <c r="F1856" s="70"/>
      <c r="G1856" s="70" t="s">
        <v>61</v>
      </c>
      <c r="H1856" s="70" t="s">
        <v>178</v>
      </c>
      <c r="I1856" s="70" t="s">
        <v>216</v>
      </c>
      <c r="J1856" s="71">
        <f>IF(OR(I1856=0,I1856=""),"unrated",VLOOKUP(I1856,MappingTables!$B$19:$C$31,2,FALSE))</f>
        <v>0</v>
      </c>
      <c r="K1856" s="72">
        <v>258.3060383790356</v>
      </c>
      <c r="L1856" s="70">
        <v>2.565607819149228</v>
      </c>
      <c r="M1856" s="71">
        <f>IF(L1856&lt;1,1,L1856)</f>
        <v>2.565607819149228</v>
      </c>
      <c r="N1856" s="70" t="s">
        <v>3288</v>
      </c>
      <c r="O1856" s="71">
        <f>IF(OR(I1856=$A$1,I1856=0),"",IF(N1856=MappingTables!$C$14,VLOOKUP(J1856,ModelParameters!$M$8:$N$15,2,FALSE),IF(N1856=MappingTables!$C$16,VLOOKUP(J1856,ModelParameters!$P$8:$Q$15,2,FALSE),0)))</f>
        <v>0.125</v>
      </c>
      <c r="P1856" s="73">
        <f>IF(OR(I1856=0,I1856=$A$1),0,MIN(O1856*M1856,1)*K1856)</f>
        <v>82.838998974839296</v>
      </c>
      <c r="Q1856" s="73">
        <f>IF(B1856="",0,IF(OR(H1856=MappingTables!$C$34,H1856=MappingTables!$C$35),P1856,0))</f>
        <v>0</v>
      </c>
      <c r="R1856" s="73">
        <f>IF(ISNA(IF(AND(VLOOKUP(CONCATENATE($D1856,$G1856),CSRFinput!$B:$E,4,0)=0,OR(H1856=MappingTables!$C$31,H1856=MappingTables!$C$32)),1,VLOOKUP(CONCATENATE($D1856,$G1856),CSRFinput!$B:$E,4,0))),0,IF(AND(VLOOKUP(CONCATENATE($D1856,$G1856),CSRFinput!$B:$E,4,0)=0,OR(H1856=MappingTables!$C$31,H1856=MappingTables!$C$32)),1,VLOOKUP(CONCATENATE($D1856,$G1856),CSRFinput!$B:$E,4,0)))</f>
        <v>0.054776304963434752</v>
      </c>
      <c r="S1856" s="73">
        <f>IF(B1856="",0,P1856*R1856)</f>
        <v>4.537614270711456</v>
      </c>
      <c r="T1856" s="85">
        <f>IF(B1856="",0,IF(OR(H1856=MappingTables!$C$34,H1856=MappingTables!$C$35),S1856,0))</f>
        <v>0</v>
      </c>
    </row>
    <row r="1857" spans="2:20" s="0" customFormat="0" ht="15">
      <c r="B1857" s="69" t="s">
        <v>5122</v>
      </c>
      <c r="C1857" s="70" t="s">
        <v>5123</v>
      </c>
      <c r="D1857" s="70" t="s">
        <v>1</v>
      </c>
      <c r="E1857" s="70" t="s">
        <v>1</v>
      </c>
      <c r="F1857" s="70"/>
      <c r="G1857" s="70" t="s">
        <v>61</v>
      </c>
      <c r="H1857" s="70" t="s">
        <v>178</v>
      </c>
      <c r="I1857" s="70" t="s">
        <v>198</v>
      </c>
      <c r="J1857" s="71" t="str">
        <f>IF(OR(I1857=0,I1857=""),"unrated",VLOOKUP(I1857,MappingTables!$B$19:$C$31,2,FALSE))</f>
        <v>unrated</v>
      </c>
      <c r="K1857" s="72">
        <v>1972.3345053916896</v>
      </c>
      <c r="L1857" s="70">
        <v>0.67634510472871632</v>
      </c>
      <c r="M1857" s="71">
        <f>IF(L1857&lt;1,1,L1857)</f>
        <v>1</v>
      </c>
      <c r="N1857" s="70" t="s">
        <v>3288</v>
      </c>
      <c r="O1857" s="71">
        <f>IF(OR(I1857=$A$1,I1857=0),"",IF(N1857=MappingTables!$C$14,VLOOKUP(J1857,ModelParameters!$M$8:$N$15,2,FALSE),IF(N1857=MappingTables!$C$16,VLOOKUP(J1857,ModelParameters!$P$8:$Q$15,2,FALSE),0)))</f>
        <v>1</v>
      </c>
      <c r="P1857" s="73">
        <f>IF(OR(I1857=0,I1857=$A$1),0,MIN(O1857*M1857,1)*K1857)</f>
        <v>1972.3345053916896</v>
      </c>
      <c r="Q1857" s="73">
        <f>IF(B1857="",0,IF(OR(H1857=MappingTables!$C$34,H1857=MappingTables!$C$35),P1857,0))</f>
        <v>0</v>
      </c>
      <c r="R1857" s="73">
        <f>IF(ISNA(IF(AND(VLOOKUP(CONCATENATE($D1857,$G1857),CSRFinput!$B:$E,4,0)=0,OR(H1857=MappingTables!$C$31,H1857=MappingTables!$C$32)),1,VLOOKUP(CONCATENATE($D1857,$G1857),CSRFinput!$B:$E,4,0))),0,IF(AND(VLOOKUP(CONCATENATE($D1857,$G1857),CSRFinput!$B:$E,4,0)=0,OR(H1857=MappingTables!$C$31,H1857=MappingTables!$C$32)),1,VLOOKUP(CONCATENATE($D1857,$G1857),CSRFinput!$B:$E,4,0)))</f>
        <v>0.054776304963434752</v>
      </c>
      <c r="S1857" s="73">
        <f>IF(B1857="",0,P1857*R1857)</f>
        <v>108.03719635724044</v>
      </c>
      <c r="T1857" s="85">
        <f>IF(B1857="",0,IF(OR(H1857=MappingTables!$C$34,H1857=MappingTables!$C$35),S1857,0))</f>
        <v>0</v>
      </c>
    </row>
    <row r="1858" spans="2:20" s="0" customFormat="0" ht="15">
      <c r="B1858" s="69">
        <v>18423591</v>
      </c>
      <c r="C1858" s="70" t="s">
        <v>3854</v>
      </c>
      <c r="D1858" s="70" t="s">
        <v>1</v>
      </c>
      <c r="E1858" s="70" t="s">
        <v>1</v>
      </c>
      <c r="F1858" s="70"/>
      <c r="G1858" s="70" t="s">
        <v>61</v>
      </c>
      <c r="H1858" s="70" t="s">
        <v>178</v>
      </c>
      <c r="I1858" s="70" t="s">
        <v>198</v>
      </c>
      <c r="J1858" s="71" t="str">
        <f>IF(OR(I1858=0,I1858=""),"unrated",VLOOKUP(I1858,MappingTables!$B$19:$C$31,2,FALSE))</f>
        <v>unrated</v>
      </c>
      <c r="K1858" s="72">
        <v>281.89225107198784</v>
      </c>
      <c r="L1858" s="70">
        <v>0.059733505704873672</v>
      </c>
      <c r="M1858" s="71">
        <f>IF(L1858&lt;1,1,L1858)</f>
        <v>1</v>
      </c>
      <c r="N1858" s="70" t="s">
        <v>3288</v>
      </c>
      <c r="O1858" s="71">
        <f>IF(OR(I1858=$A$1,I1858=0),"",IF(N1858=MappingTables!$C$14,VLOOKUP(J1858,ModelParameters!$M$8:$N$15,2,FALSE),IF(N1858=MappingTables!$C$16,VLOOKUP(J1858,ModelParameters!$P$8:$Q$15,2,FALSE),0)))</f>
        <v>1</v>
      </c>
      <c r="P1858" s="73">
        <f>IF(OR(I1858=0,I1858=$A$1),0,MIN(O1858*M1858,1)*K1858)</f>
        <v>281.89225107198784</v>
      </c>
      <c r="Q1858" s="73">
        <f>IF(B1858="",0,IF(OR(H1858=MappingTables!$C$34,H1858=MappingTables!$C$35),P1858,0))</f>
        <v>0</v>
      </c>
      <c r="R1858" s="73">
        <f>IF(ISNA(IF(AND(VLOOKUP(CONCATENATE($D1858,$G1858),CSRFinput!$B:$E,4,0)=0,OR(H1858=MappingTables!$C$31,H1858=MappingTables!$C$32)),1,VLOOKUP(CONCATENATE($D1858,$G1858),CSRFinput!$B:$E,4,0))),0,IF(AND(VLOOKUP(CONCATENATE($D1858,$G1858),CSRFinput!$B:$E,4,0)=0,OR(H1858=MappingTables!$C$31,H1858=MappingTables!$C$32)),1,VLOOKUP(CONCATENATE($D1858,$G1858),CSRFinput!$B:$E,4,0)))</f>
        <v>0.054776304963434752</v>
      </c>
      <c r="S1858" s="73">
        <f>IF(B1858="",0,P1858*R1858)</f>
        <v>15.441015911548324</v>
      </c>
      <c r="T1858" s="85">
        <f>IF(B1858="",0,IF(OR(H1858=MappingTables!$C$34,H1858=MappingTables!$C$35),S1858,0))</f>
        <v>0</v>
      </c>
    </row>
    <row r="1859" spans="2:20" s="0" customFormat="0" ht="15">
      <c r="B1859" s="69">
        <v>22554457</v>
      </c>
      <c r="C1859" s="70" t="s">
        <v>4511</v>
      </c>
      <c r="D1859" s="70" t="s">
        <v>1</v>
      </c>
      <c r="E1859" s="70" t="s">
        <v>1</v>
      </c>
      <c r="F1859" s="70"/>
      <c r="G1859" s="70" t="s">
        <v>61</v>
      </c>
      <c r="H1859" s="70" t="s">
        <v>178</v>
      </c>
      <c r="I1859" s="70" t="s">
        <v>216</v>
      </c>
      <c r="J1859" s="71">
        <f>IF(OR(I1859=0,I1859=""),"unrated",VLOOKUP(I1859,MappingTables!$B$19:$C$31,2,FALSE))</f>
        <v>0</v>
      </c>
      <c r="K1859" s="72">
        <v>76.287132906707616</v>
      </c>
      <c r="L1859" s="70">
        <v>0.048184251703117728</v>
      </c>
      <c r="M1859" s="71">
        <f>IF(L1859&lt;1,1,L1859)</f>
        <v>1</v>
      </c>
      <c r="N1859" s="70" t="s">
        <v>3288</v>
      </c>
      <c r="O1859" s="71">
        <f>IF(OR(I1859=$A$1,I1859=0),"",IF(N1859=MappingTables!$C$14,VLOOKUP(J1859,ModelParameters!$M$8:$N$15,2,FALSE),IF(N1859=MappingTables!$C$16,VLOOKUP(J1859,ModelParameters!$P$8:$Q$15,2,FALSE),0)))</f>
        <v>0.125</v>
      </c>
      <c r="P1859" s="73">
        <f>IF(OR(I1859=0,I1859=$A$1),0,MIN(O1859*M1859,1)*K1859)</f>
        <v>9.5358916133384512</v>
      </c>
      <c r="Q1859" s="73">
        <f>IF(B1859="",0,IF(OR(H1859=MappingTables!$C$34,H1859=MappingTables!$C$35),P1859,0))</f>
        <v>0</v>
      </c>
      <c r="R1859" s="73">
        <f>IF(ISNA(IF(AND(VLOOKUP(CONCATENATE($D1859,$G1859),CSRFinput!$B:$E,4,0)=0,OR(H1859=MappingTables!$C$31,H1859=MappingTables!$C$32)),1,VLOOKUP(CONCATENATE($D1859,$G1859),CSRFinput!$B:$E,4,0))),0,IF(AND(VLOOKUP(CONCATENATE($D1859,$G1859),CSRFinput!$B:$E,4,0)=0,OR(H1859=MappingTables!$C$31,H1859=MappingTables!$C$32)),1,VLOOKUP(CONCATENATE($D1859,$G1859),CSRFinput!$B:$E,4,0)))</f>
        <v>0.054776304963434752</v>
      </c>
      <c r="S1859" s="73">
        <f>IF(B1859="",0,P1859*R1859)</f>
        <v>0.52234090711048688</v>
      </c>
      <c r="T1859" s="85">
        <f>IF(B1859="",0,IF(OR(H1859=MappingTables!$C$34,H1859=MappingTables!$C$35),S1859,0))</f>
        <v>0</v>
      </c>
    </row>
    <row r="1860" spans="2:20" s="0" customFormat="0" ht="15">
      <c r="B1860" s="69" t="s">
        <v>4398</v>
      </c>
      <c r="C1860" s="70" t="s">
        <v>4399</v>
      </c>
      <c r="D1860" s="70" t="s">
        <v>1</v>
      </c>
      <c r="E1860" s="70" t="s">
        <v>1</v>
      </c>
      <c r="F1860" s="70"/>
      <c r="G1860" s="70" t="s">
        <v>61</v>
      </c>
      <c r="H1860" s="70" t="s">
        <v>178</v>
      </c>
      <c r="I1860" s="70" t="s">
        <v>216</v>
      </c>
      <c r="J1860" s="71">
        <f>IF(OR(I1860=0,I1860=""),"unrated",VLOOKUP(I1860,MappingTables!$B$19:$C$31,2,FALSE))</f>
        <v>0</v>
      </c>
      <c r="K1860" s="72">
        <v>69.913716526604744</v>
      </c>
      <c r="L1860" s="70">
        <v>0.12603123285988016</v>
      </c>
      <c r="M1860" s="71">
        <f>IF(L1860&lt;1,1,L1860)</f>
        <v>1</v>
      </c>
      <c r="N1860" s="70" t="s">
        <v>3288</v>
      </c>
      <c r="O1860" s="71">
        <f>IF(OR(I1860=$A$1,I1860=0),"",IF(N1860=MappingTables!$C$14,VLOOKUP(J1860,ModelParameters!$M$8:$N$15,2,FALSE),IF(N1860=MappingTables!$C$16,VLOOKUP(J1860,ModelParameters!$P$8:$Q$15,2,FALSE),0)))</f>
        <v>0.125</v>
      </c>
      <c r="P1860" s="73">
        <f>IF(OR(I1860=0,I1860=$A$1),0,MIN(O1860*M1860,1)*K1860)</f>
        <v>8.7392145658255936</v>
      </c>
      <c r="Q1860" s="73">
        <f>IF(B1860="",0,IF(OR(H1860=MappingTables!$C$34,H1860=MappingTables!$C$35),P1860,0))</f>
        <v>0</v>
      </c>
      <c r="R1860" s="73">
        <f>IF(ISNA(IF(AND(VLOOKUP(CONCATENATE($D1860,$G1860),CSRFinput!$B:$E,4,0)=0,OR(H1860=MappingTables!$C$31,H1860=MappingTables!$C$32)),1,VLOOKUP(CONCATENATE($D1860,$G1860),CSRFinput!$B:$E,4,0))),0,IF(AND(VLOOKUP(CONCATENATE($D1860,$G1860),CSRFinput!$B:$E,4,0)=0,OR(H1860=MappingTables!$C$31,H1860=MappingTables!$C$32)),1,VLOOKUP(CONCATENATE($D1860,$G1860),CSRFinput!$B:$E,4,0)))</f>
        <v>0.054776304963434752</v>
      </c>
      <c r="S1860" s="73">
        <f>IF(B1860="",0,P1860*R1860)</f>
        <v>0.47870188219855376</v>
      </c>
      <c r="T1860" s="85">
        <f>IF(B1860="",0,IF(OR(H1860=MappingTables!$C$34,H1860=MappingTables!$C$35),S1860,0))</f>
        <v>0</v>
      </c>
    </row>
    <row r="1861" spans="2:20" s="0" customFormat="0" ht="15">
      <c r="B1861" s="69" t="s">
        <v>3723</v>
      </c>
      <c r="C1861" s="70" t="s">
        <v>3724</v>
      </c>
      <c r="D1861" s="70" t="s">
        <v>1</v>
      </c>
      <c r="E1861" s="70" t="s">
        <v>1</v>
      </c>
      <c r="F1861" s="70"/>
      <c r="G1861" s="70" t="s">
        <v>61</v>
      </c>
      <c r="H1861" s="70" t="s">
        <v>178</v>
      </c>
      <c r="I1861" s="70" t="s">
        <v>204</v>
      </c>
      <c r="J1861" s="71">
        <f>IF(OR(I1861=0,I1861=""),"unrated",VLOOKUP(I1861,MappingTables!$B$19:$C$31,2,FALSE))</f>
        <v>6</v>
      </c>
      <c r="K1861" s="72">
        <v>1016.6875672813026</v>
      </c>
      <c r="L1861" s="70">
        <v>0.068495736937545096</v>
      </c>
      <c r="M1861" s="71">
        <f>IF(L1861&lt;1,1,L1861)</f>
        <v>1</v>
      </c>
      <c r="N1861" s="70" t="s">
        <v>3288</v>
      </c>
      <c r="O1861" s="71">
        <f>IF(OR(I1861=$A$1,I1861=0),"",IF(N1861=MappingTables!$C$14,VLOOKUP(J1861,ModelParameters!$M$8:$N$15,2,FALSE),IF(N1861=MappingTables!$C$16,VLOOKUP(J1861,ModelParameters!$P$8:$Q$15,2,FALSE),0)))</f>
        <v>1</v>
      </c>
      <c r="P1861" s="73">
        <f>IF(OR(I1861=0,I1861=$A$1),0,MIN(O1861*M1861,1)*K1861)</f>
        <v>1016.6875672813026</v>
      </c>
      <c r="Q1861" s="73">
        <f>IF(B1861="",0,IF(OR(H1861=MappingTables!$C$34,H1861=MappingTables!$C$35),P1861,0))</f>
        <v>0</v>
      </c>
      <c r="R1861" s="73">
        <f>IF(ISNA(IF(AND(VLOOKUP(CONCATENATE($D1861,$G1861),CSRFinput!$B:$E,4,0)=0,OR(H1861=MappingTables!$C$31,H1861=MappingTables!$C$32)),1,VLOOKUP(CONCATENATE($D1861,$G1861),CSRFinput!$B:$E,4,0))),0,IF(AND(VLOOKUP(CONCATENATE($D1861,$G1861),CSRFinput!$B:$E,4,0)=0,OR(H1861=MappingTables!$C$31,H1861=MappingTables!$C$32)),1,VLOOKUP(CONCATENATE($D1861,$G1861),CSRFinput!$B:$E,4,0)))</f>
        <v>0.054776304963434752</v>
      </c>
      <c r="S1861" s="73">
        <f>IF(B1861="",0,P1861*R1861)</f>
        <v>55.690388237933224</v>
      </c>
      <c r="T1861" s="85">
        <f>IF(B1861="",0,IF(OR(H1861=MappingTables!$C$34,H1861=MappingTables!$C$35),S1861,0))</f>
        <v>0</v>
      </c>
    </row>
    <row r="1862" spans="2:20" s="0" customFormat="0" ht="15">
      <c r="B1862" s="69">
        <v>22554310</v>
      </c>
      <c r="C1862" s="70" t="s">
        <v>5170</v>
      </c>
      <c r="D1862" s="70" t="s">
        <v>1</v>
      </c>
      <c r="E1862" s="70" t="s">
        <v>1</v>
      </c>
      <c r="F1862" s="70"/>
      <c r="G1862" s="70" t="s">
        <v>61</v>
      </c>
      <c r="H1862" s="70" t="s">
        <v>178</v>
      </c>
      <c r="I1862" s="70" t="s">
        <v>216</v>
      </c>
      <c r="J1862" s="71">
        <f>IF(OR(I1862=0,I1862=""),"unrated",VLOOKUP(I1862,MappingTables!$B$19:$C$31,2,FALSE))</f>
        <v>0</v>
      </c>
      <c r="K1862" s="72">
        <v>5597.4738337300376</v>
      </c>
      <c r="L1862" s="70">
        <v>0.062157699395950408</v>
      </c>
      <c r="M1862" s="71">
        <f>IF(L1862&lt;1,1,L1862)</f>
        <v>1</v>
      </c>
      <c r="N1862" s="70" t="s">
        <v>3288</v>
      </c>
      <c r="O1862" s="71">
        <f>IF(OR(I1862=$A$1,I1862=0),"",IF(N1862=MappingTables!$C$14,VLOOKUP(J1862,ModelParameters!$M$8:$N$15,2,FALSE),IF(N1862=MappingTables!$C$16,VLOOKUP(J1862,ModelParameters!$P$8:$Q$15,2,FALSE),0)))</f>
        <v>0.125</v>
      </c>
      <c r="P1862" s="73">
        <f>IF(OR(I1862=0,I1862=$A$1),0,MIN(O1862*M1862,1)*K1862)</f>
        <v>699.68422921625472</v>
      </c>
      <c r="Q1862" s="73">
        <f>IF(B1862="",0,IF(OR(H1862=MappingTables!$C$34,H1862=MappingTables!$C$35),P1862,0))</f>
        <v>0</v>
      </c>
      <c r="R1862" s="73">
        <f>IF(ISNA(IF(AND(VLOOKUP(CONCATENATE($D1862,$G1862),CSRFinput!$B:$E,4,0)=0,OR(H1862=MappingTables!$C$31,H1862=MappingTables!$C$32)),1,VLOOKUP(CONCATENATE($D1862,$G1862),CSRFinput!$B:$E,4,0))),0,IF(AND(VLOOKUP(CONCATENATE($D1862,$G1862),CSRFinput!$B:$E,4,0)=0,OR(H1862=MappingTables!$C$31,H1862=MappingTables!$C$32)),1,VLOOKUP(CONCATENATE($D1862,$G1862),CSRFinput!$B:$E,4,0)))</f>
        <v>0.054776304963434752</v>
      </c>
      <c r="S1862" s="73">
        <f>IF(B1862="",0,P1862*R1862)</f>
        <v>38.326116717655352</v>
      </c>
      <c r="T1862" s="85">
        <f>IF(B1862="",0,IF(OR(H1862=MappingTables!$C$34,H1862=MappingTables!$C$35),S1862,0))</f>
        <v>0</v>
      </c>
    </row>
    <row r="1863" spans="2:20" s="0" customFormat="0" ht="15">
      <c r="B1863" s="69">
        <v>21637003</v>
      </c>
      <c r="C1863" s="70" t="s">
        <v>5056</v>
      </c>
      <c r="D1863" s="70" t="s">
        <v>1</v>
      </c>
      <c r="E1863" s="70" t="s">
        <v>1</v>
      </c>
      <c r="F1863" s="70"/>
      <c r="G1863" s="70" t="s">
        <v>61</v>
      </c>
      <c r="H1863" s="70" t="s">
        <v>178</v>
      </c>
      <c r="I1863" s="70" t="s">
        <v>216</v>
      </c>
      <c r="J1863" s="71">
        <f>IF(OR(I1863=0,I1863=""),"unrated",VLOOKUP(I1863,MappingTables!$B$19:$C$31,2,FALSE))</f>
        <v>0</v>
      </c>
      <c r="K1863" s="72">
        <v>447.62075252137744</v>
      </c>
      <c r="L1863" s="70">
        <v>3.5662815221211232</v>
      </c>
      <c r="M1863" s="71">
        <f>IF(L1863&lt;1,1,L1863)</f>
        <v>3.5662815221211232</v>
      </c>
      <c r="N1863" s="70" t="s">
        <v>3288</v>
      </c>
      <c r="O1863" s="71">
        <f>IF(OR(I1863=$A$1,I1863=0),"",IF(N1863=MappingTables!$C$14,VLOOKUP(J1863,ModelParameters!$M$8:$N$15,2,FALSE),IF(N1863=MappingTables!$C$16,VLOOKUP(J1863,ModelParameters!$P$8:$Q$15,2,FALSE),0)))</f>
        <v>0.125</v>
      </c>
      <c r="P1863" s="73">
        <f>IF(OR(I1863=0,I1863=$A$1),0,MIN(O1863*M1863,1)*K1863)</f>
        <v>199.54270232936756</v>
      </c>
      <c r="Q1863" s="73">
        <f>IF(B1863="",0,IF(OR(H1863=MappingTables!$C$34,H1863=MappingTables!$C$35),P1863,0))</f>
        <v>0</v>
      </c>
      <c r="R1863" s="73">
        <f>IF(ISNA(IF(AND(VLOOKUP(CONCATENATE($D1863,$G1863),CSRFinput!$B:$E,4,0)=0,OR(H1863=MappingTables!$C$31,H1863=MappingTables!$C$32)),1,VLOOKUP(CONCATENATE($D1863,$G1863),CSRFinput!$B:$E,4,0))),0,IF(AND(VLOOKUP(CONCATENATE($D1863,$G1863),CSRFinput!$B:$E,4,0)=0,OR(H1863=MappingTables!$C$31,H1863=MappingTables!$C$32)),1,VLOOKUP(CONCATENATE($D1863,$G1863),CSRFinput!$B:$E,4,0)))</f>
        <v>0.054776304963434752</v>
      </c>
      <c r="S1863" s="73">
        <f>IF(B1863="",0,P1863*R1863)</f>
        <v>10.93021191602132</v>
      </c>
      <c r="T1863" s="85">
        <f>IF(B1863="",0,IF(OR(H1863=MappingTables!$C$34,H1863=MappingTables!$C$35),S1863,0))</f>
        <v>0</v>
      </c>
    </row>
    <row r="1864" spans="2:20" s="0" customFormat="0" ht="15">
      <c r="B1864" s="69" t="s">
        <v>4053</v>
      </c>
      <c r="C1864" s="70" t="s">
        <v>4054</v>
      </c>
      <c r="D1864" s="70" t="s">
        <v>1</v>
      </c>
      <c r="E1864" s="70" t="s">
        <v>1</v>
      </c>
      <c r="F1864" s="70"/>
      <c r="G1864" s="70" t="s">
        <v>61</v>
      </c>
      <c r="H1864" s="70" t="s">
        <v>178</v>
      </c>
      <c r="I1864" s="70" t="s">
        <v>513</v>
      </c>
      <c r="J1864" s="71">
        <f>IF(OR(I1864=0,I1864=""),"unrated",VLOOKUP(I1864,MappingTables!$B$19:$C$31,2,FALSE))</f>
        <v>6</v>
      </c>
      <c r="K1864" s="72">
        <v>52.626734666653512</v>
      </c>
      <c r="L1864" s="70">
        <v>0.068491061761702192</v>
      </c>
      <c r="M1864" s="71">
        <f>IF(L1864&lt;1,1,L1864)</f>
        <v>1</v>
      </c>
      <c r="N1864" s="70" t="s">
        <v>3288</v>
      </c>
      <c r="O1864" s="71">
        <f>IF(OR(I1864=$A$1,I1864=0),"",IF(N1864=MappingTables!$C$14,VLOOKUP(J1864,ModelParameters!$M$8:$N$15,2,FALSE),IF(N1864=MappingTables!$C$16,VLOOKUP(J1864,ModelParameters!$P$8:$Q$15,2,FALSE),0)))</f>
        <v>1</v>
      </c>
      <c r="P1864" s="73">
        <f>IF(OR(I1864=0,I1864=$A$1),0,MIN(O1864*M1864,1)*K1864)</f>
        <v>52.626734666653512</v>
      </c>
      <c r="Q1864" s="73">
        <f>IF(B1864="",0,IF(OR(H1864=MappingTables!$C$34,H1864=MappingTables!$C$35),P1864,0))</f>
        <v>0</v>
      </c>
      <c r="R1864" s="73">
        <f>IF(ISNA(IF(AND(VLOOKUP(CONCATENATE($D1864,$G1864),CSRFinput!$B:$E,4,0)=0,OR(H1864=MappingTables!$C$31,H1864=MappingTables!$C$32)),1,VLOOKUP(CONCATENATE($D1864,$G1864),CSRFinput!$B:$E,4,0))),0,IF(AND(VLOOKUP(CONCATENATE($D1864,$G1864),CSRFinput!$B:$E,4,0)=0,OR(H1864=MappingTables!$C$31,H1864=MappingTables!$C$32)),1,VLOOKUP(CONCATENATE($D1864,$G1864),CSRFinput!$B:$E,4,0)))</f>
        <v>0.054776304963434752</v>
      </c>
      <c r="S1864" s="73">
        <f>IF(B1864="",0,P1864*R1864)</f>
        <v>2.8826980673303764</v>
      </c>
      <c r="T1864" s="85">
        <f>IF(B1864="",0,IF(OR(H1864=MappingTables!$C$34,H1864=MappingTables!$C$35),S1864,0))</f>
        <v>0</v>
      </c>
    </row>
    <row r="1865" spans="2:20" s="0" customFormat="0" ht="15">
      <c r="B1865" s="69" t="s">
        <v>4140</v>
      </c>
      <c r="C1865" s="70" t="s">
        <v>4141</v>
      </c>
      <c r="D1865" s="70" t="s">
        <v>1</v>
      </c>
      <c r="E1865" s="70" t="s">
        <v>1</v>
      </c>
      <c r="F1865" s="70"/>
      <c r="G1865" s="70" t="s">
        <v>61</v>
      </c>
      <c r="H1865" s="70" t="s">
        <v>178</v>
      </c>
      <c r="I1865" s="70" t="s">
        <v>198</v>
      </c>
      <c r="J1865" s="71" t="str">
        <f>IF(OR(I1865=0,I1865=""),"unrated",VLOOKUP(I1865,MappingTables!$B$19:$C$31,2,FALSE))</f>
        <v>unrated</v>
      </c>
      <c r="K1865" s="72">
        <v>515.32108132924904</v>
      </c>
      <c r="L1865" s="70">
        <v>0.068496726156739368</v>
      </c>
      <c r="M1865" s="71">
        <f>IF(L1865&lt;1,1,L1865)</f>
        <v>1</v>
      </c>
      <c r="N1865" s="70" t="s">
        <v>3288</v>
      </c>
      <c r="O1865" s="71">
        <f>IF(OR(I1865=$A$1,I1865=0),"",IF(N1865=MappingTables!$C$14,VLOOKUP(J1865,ModelParameters!$M$8:$N$15,2,FALSE),IF(N1865=MappingTables!$C$16,VLOOKUP(J1865,ModelParameters!$P$8:$Q$15,2,FALSE),0)))</f>
        <v>1</v>
      </c>
      <c r="P1865" s="73">
        <f>IF(OR(I1865=0,I1865=$A$1),0,MIN(O1865*M1865,1)*K1865)</f>
        <v>515.32108132924904</v>
      </c>
      <c r="Q1865" s="73">
        <f>IF(B1865="",0,IF(OR(H1865=MappingTables!$C$34,H1865=MappingTables!$C$35),P1865,0))</f>
        <v>0</v>
      </c>
      <c r="R1865" s="73">
        <f>IF(ISNA(IF(AND(VLOOKUP(CONCATENATE($D1865,$G1865),CSRFinput!$B:$E,4,0)=0,OR(H1865=MappingTables!$C$31,H1865=MappingTables!$C$32)),1,VLOOKUP(CONCATENATE($D1865,$G1865),CSRFinput!$B:$E,4,0))),0,IF(AND(VLOOKUP(CONCATENATE($D1865,$G1865),CSRFinput!$B:$E,4,0)=0,OR(H1865=MappingTables!$C$31,H1865=MappingTables!$C$32)),1,VLOOKUP(CONCATENATE($D1865,$G1865),CSRFinput!$B:$E,4,0)))</f>
        <v>0.054776304963434752</v>
      </c>
      <c r="S1865" s="73">
        <f>IF(B1865="",0,P1865*R1865)</f>
        <v>28.227384704977912</v>
      </c>
      <c r="T1865" s="85">
        <f>IF(B1865="",0,IF(OR(H1865=MappingTables!$C$34,H1865=MappingTables!$C$35),S1865,0))</f>
        <v>0</v>
      </c>
    </row>
    <row r="1866" spans="2:20" s="0" customFormat="0" ht="15">
      <c r="B1866" s="69" t="s">
        <v>5171</v>
      </c>
      <c r="C1866" s="70" t="s">
        <v>5172</v>
      </c>
      <c r="D1866" s="70" t="s">
        <v>1</v>
      </c>
      <c r="E1866" s="70" t="s">
        <v>1</v>
      </c>
      <c r="F1866" s="70"/>
      <c r="G1866" s="70" t="s">
        <v>61</v>
      </c>
      <c r="H1866" s="70" t="s">
        <v>178</v>
      </c>
      <c r="I1866" s="70" t="s">
        <v>3298</v>
      </c>
      <c r="J1866" s="71">
        <f>IF(OR(I1866=0,I1866=""),"unrated",VLOOKUP(I1866,MappingTables!$B$19:$C$31,2,FALSE))</f>
        <v>6</v>
      </c>
      <c r="K1866" s="72">
        <v>224.89282686414792</v>
      </c>
      <c r="L1866" s="70">
        <v>0.068497975025926376</v>
      </c>
      <c r="M1866" s="71">
        <f>IF(L1866&lt;1,1,L1866)</f>
        <v>1</v>
      </c>
      <c r="N1866" s="70" t="s">
        <v>3288</v>
      </c>
      <c r="O1866" s="71">
        <f>IF(OR(I1866=$A$1,I1866=0),"",IF(N1866=MappingTables!$C$14,VLOOKUP(J1866,ModelParameters!$M$8:$N$15,2,FALSE),IF(N1866=MappingTables!$C$16,VLOOKUP(J1866,ModelParameters!$P$8:$Q$15,2,FALSE),0)))</f>
        <v>1</v>
      </c>
      <c r="P1866" s="73">
        <f>IF(OR(I1866=0,I1866=$A$1),0,MIN(O1866*M1866,1)*K1866)</f>
        <v>224.89282686414792</v>
      </c>
      <c r="Q1866" s="73">
        <f>IF(B1866="",0,IF(OR(H1866=MappingTables!$C$34,H1866=MappingTables!$C$35),P1866,0))</f>
        <v>0</v>
      </c>
      <c r="R1866" s="73">
        <f>IF(ISNA(IF(AND(VLOOKUP(CONCATENATE($D1866,$G1866),CSRFinput!$B:$E,4,0)=0,OR(H1866=MappingTables!$C$31,H1866=MappingTables!$C$32)),1,VLOOKUP(CONCATENATE($D1866,$G1866),CSRFinput!$B:$E,4,0))),0,IF(AND(VLOOKUP(CONCATENATE($D1866,$G1866),CSRFinput!$B:$E,4,0)=0,OR(H1866=MappingTables!$C$31,H1866=MappingTables!$C$32)),1,VLOOKUP(CONCATENATE($D1866,$G1866),CSRFinput!$B:$E,4,0)))</f>
        <v>0.054776304963434752</v>
      </c>
      <c r="S1866" s="73">
        <f>IF(B1866="",0,P1866*R1866)</f>
        <v>12.318798068399496</v>
      </c>
      <c r="T1866" s="85">
        <f>IF(B1866="",0,IF(OR(H1866=MappingTables!$C$34,H1866=MappingTables!$C$35),S1866,0))</f>
        <v>0</v>
      </c>
    </row>
    <row r="1867" spans="2:20" s="0" customFormat="0" ht="15">
      <c r="B1867" s="69" t="s">
        <v>5173</v>
      </c>
      <c r="C1867" s="70" t="s">
        <v>5174</v>
      </c>
      <c r="D1867" s="70" t="s">
        <v>1</v>
      </c>
      <c r="E1867" s="70" t="s">
        <v>1</v>
      </c>
      <c r="F1867" s="70"/>
      <c r="G1867" s="70" t="s">
        <v>61</v>
      </c>
      <c r="H1867" s="70" t="s">
        <v>178</v>
      </c>
      <c r="I1867" s="70" t="s">
        <v>3298</v>
      </c>
      <c r="J1867" s="71">
        <f>IF(OR(I1867=0,I1867=""),"unrated",VLOOKUP(I1867,MappingTables!$B$19:$C$31,2,FALSE))</f>
        <v>6</v>
      </c>
      <c r="K1867" s="72">
        <v>687.61537441064248</v>
      </c>
      <c r="L1867" s="70">
        <v>-2.6073932279725124</v>
      </c>
      <c r="M1867" s="71">
        <f>IF(L1867&lt;1,1,L1867)</f>
        <v>1</v>
      </c>
      <c r="N1867" s="70" t="s">
        <v>3288</v>
      </c>
      <c r="O1867" s="71">
        <f>IF(OR(I1867=$A$1,I1867=0),"",IF(N1867=MappingTables!$C$14,VLOOKUP(J1867,ModelParameters!$M$8:$N$15,2,FALSE),IF(N1867=MappingTables!$C$16,VLOOKUP(J1867,ModelParameters!$P$8:$Q$15,2,FALSE),0)))</f>
        <v>1</v>
      </c>
      <c r="P1867" s="73">
        <f>IF(OR(I1867=0,I1867=$A$1),0,MIN(O1867*M1867,1)*K1867)</f>
        <v>687.61537441064248</v>
      </c>
      <c r="Q1867" s="73">
        <f>IF(B1867="",0,IF(OR(H1867=MappingTables!$C$34,H1867=MappingTables!$C$35),P1867,0))</f>
        <v>0</v>
      </c>
      <c r="R1867" s="73">
        <f>IF(ISNA(IF(AND(VLOOKUP(CONCATENATE($D1867,$G1867),CSRFinput!$B:$E,4,0)=0,OR(H1867=MappingTables!$C$31,H1867=MappingTables!$C$32)),1,VLOOKUP(CONCATENATE($D1867,$G1867),CSRFinput!$B:$E,4,0))),0,IF(AND(VLOOKUP(CONCATENATE($D1867,$G1867),CSRFinput!$B:$E,4,0)=0,OR(H1867=MappingTables!$C$31,H1867=MappingTables!$C$32)),1,VLOOKUP(CONCATENATE($D1867,$G1867),CSRFinput!$B:$E,4,0)))</f>
        <v>0.054776304963434752</v>
      </c>
      <c r="S1867" s="73">
        <f>IF(B1867="",0,P1867*R1867)</f>
        <v>37.66502944626372</v>
      </c>
      <c r="T1867" s="85">
        <f>IF(B1867="",0,IF(OR(H1867=MappingTables!$C$34,H1867=MappingTables!$C$35),S1867,0))</f>
        <v>0</v>
      </c>
    </row>
    <row r="1868" spans="2:20" s="0" customFormat="0" ht="15">
      <c r="B1868" s="69" t="s">
        <v>4555</v>
      </c>
      <c r="C1868" s="70" t="s">
        <v>4556</v>
      </c>
      <c r="D1868" s="70" t="s">
        <v>1</v>
      </c>
      <c r="E1868" s="70" t="s">
        <v>1</v>
      </c>
      <c r="F1868" s="70"/>
      <c r="G1868" s="70" t="s">
        <v>61</v>
      </c>
      <c r="H1868" s="70" t="s">
        <v>178</v>
      </c>
      <c r="I1868" s="70" t="s">
        <v>198</v>
      </c>
      <c r="J1868" s="71" t="str">
        <f>IF(OR(I1868=0,I1868=""),"unrated",VLOOKUP(I1868,MappingTables!$B$19:$C$31,2,FALSE))</f>
        <v>unrated</v>
      </c>
      <c r="K1868" s="72">
        <v>3113.5156058931348</v>
      </c>
      <c r="L1868" s="70">
        <v>8.1425067842551008</v>
      </c>
      <c r="M1868" s="71">
        <f>IF(L1868&lt;1,1,L1868)</f>
        <v>8.1425067842551008</v>
      </c>
      <c r="N1868" s="70" t="s">
        <v>3288</v>
      </c>
      <c r="O1868" s="71">
        <f>IF(OR(I1868=$A$1,I1868=0),"",IF(N1868=MappingTables!$C$14,VLOOKUP(J1868,ModelParameters!$M$8:$N$15,2,FALSE),IF(N1868=MappingTables!$C$16,VLOOKUP(J1868,ModelParameters!$P$8:$Q$15,2,FALSE),0)))</f>
        <v>1</v>
      </c>
      <c r="P1868" s="73">
        <f>IF(OR(I1868=0,I1868=$A$1),0,MIN(O1868*M1868,1)*K1868)</f>
        <v>3113.5156058931348</v>
      </c>
      <c r="Q1868" s="73">
        <f>IF(B1868="",0,IF(OR(H1868=MappingTables!$C$34,H1868=MappingTables!$C$35),P1868,0))</f>
        <v>0</v>
      </c>
      <c r="R1868" s="73">
        <f>IF(ISNA(IF(AND(VLOOKUP(CONCATENATE($D1868,$G1868),CSRFinput!$B:$E,4,0)=0,OR(H1868=MappingTables!$C$31,H1868=MappingTables!$C$32)),1,VLOOKUP(CONCATENATE($D1868,$G1868),CSRFinput!$B:$E,4,0))),0,IF(AND(VLOOKUP(CONCATENATE($D1868,$G1868),CSRFinput!$B:$E,4,0)=0,OR(H1868=MappingTables!$C$31,H1868=MappingTables!$C$32)),1,VLOOKUP(CONCATENATE($D1868,$G1868),CSRFinput!$B:$E,4,0)))</f>
        <v>0.054776304963434752</v>
      </c>
      <c r="S1868" s="73">
        <f>IF(B1868="",0,P1868*R1868)</f>
        <v>170.54688033681568</v>
      </c>
      <c r="T1868" s="85">
        <f>IF(B1868="",0,IF(OR(H1868=MappingTables!$C$34,H1868=MappingTables!$C$35),S1868,0))</f>
        <v>0</v>
      </c>
    </row>
    <row r="1869" spans="2:20" s="0" customFormat="0" ht="15">
      <c r="B1869" s="69">
        <v>22554210</v>
      </c>
      <c r="C1869" s="70" t="s">
        <v>5132</v>
      </c>
      <c r="D1869" s="70" t="s">
        <v>1</v>
      </c>
      <c r="E1869" s="70" t="s">
        <v>1</v>
      </c>
      <c r="F1869" s="70"/>
      <c r="G1869" s="70" t="s">
        <v>61</v>
      </c>
      <c r="H1869" s="70" t="s">
        <v>178</v>
      </c>
      <c r="I1869" s="70" t="s">
        <v>216</v>
      </c>
      <c r="J1869" s="71">
        <f>IF(OR(I1869=0,I1869=""),"unrated",VLOOKUP(I1869,MappingTables!$B$19:$C$31,2,FALSE))</f>
        <v>0</v>
      </c>
      <c r="K1869" s="72">
        <v>1303.761273634125</v>
      </c>
      <c r="L1869" s="70">
        <v>0.21988733235108172</v>
      </c>
      <c r="M1869" s="71">
        <f>IF(L1869&lt;1,1,L1869)</f>
        <v>1</v>
      </c>
      <c r="N1869" s="70" t="s">
        <v>3288</v>
      </c>
      <c r="O1869" s="71">
        <f>IF(OR(I1869=$A$1,I1869=0),"",IF(N1869=MappingTables!$C$14,VLOOKUP(J1869,ModelParameters!$M$8:$N$15,2,FALSE),IF(N1869=MappingTables!$C$16,VLOOKUP(J1869,ModelParameters!$P$8:$Q$15,2,FALSE),0)))</f>
        <v>0.125</v>
      </c>
      <c r="P1869" s="73">
        <f>IF(OR(I1869=0,I1869=$A$1),0,MIN(O1869*M1869,1)*K1869)</f>
        <v>162.97015920426562</v>
      </c>
      <c r="Q1869" s="73">
        <f>IF(B1869="",0,IF(OR(H1869=MappingTables!$C$34,H1869=MappingTables!$C$35),P1869,0))</f>
        <v>0</v>
      </c>
      <c r="R1869" s="73">
        <f>IF(ISNA(IF(AND(VLOOKUP(CONCATENATE($D1869,$G1869),CSRFinput!$B:$E,4,0)=0,OR(H1869=MappingTables!$C$31,H1869=MappingTables!$C$32)),1,VLOOKUP(CONCATENATE($D1869,$G1869),CSRFinput!$B:$E,4,0))),0,IF(AND(VLOOKUP(CONCATENATE($D1869,$G1869),CSRFinput!$B:$E,4,0)=0,OR(H1869=MappingTables!$C$31,H1869=MappingTables!$C$32)),1,VLOOKUP(CONCATENATE($D1869,$G1869),CSRFinput!$B:$E,4,0)))</f>
        <v>0.054776304963434752</v>
      </c>
      <c r="S1869" s="73">
        <f>IF(B1869="",0,P1869*R1869)</f>
        <v>8.926903140512368</v>
      </c>
      <c r="T1869" s="85">
        <f>IF(B1869="",0,IF(OR(H1869=MappingTables!$C$34,H1869=MappingTables!$C$35),S1869,0))</f>
        <v>0</v>
      </c>
    </row>
    <row r="1870" spans="2:20" s="0" customFormat="0" ht="15">
      <c r="B1870" s="69" t="s">
        <v>5175</v>
      </c>
      <c r="C1870" s="70" t="s">
        <v>5176</v>
      </c>
      <c r="D1870" s="70" t="s">
        <v>1</v>
      </c>
      <c r="E1870" s="70" t="s">
        <v>1</v>
      </c>
      <c r="F1870" s="70"/>
      <c r="G1870" s="70" t="s">
        <v>61</v>
      </c>
      <c r="H1870" s="70" t="s">
        <v>178</v>
      </c>
      <c r="I1870" s="70" t="s">
        <v>198</v>
      </c>
      <c r="J1870" s="71" t="str">
        <f>IF(OR(I1870=0,I1870=""),"unrated",VLOOKUP(I1870,MappingTables!$B$19:$C$31,2,FALSE))</f>
        <v>unrated</v>
      </c>
      <c r="K1870" s="72">
        <v>2191.6232148482692</v>
      </c>
      <c r="L1870" s="70">
        <v>0.3552734007035878</v>
      </c>
      <c r="M1870" s="71">
        <f>IF(L1870&lt;1,1,L1870)</f>
        <v>1</v>
      </c>
      <c r="N1870" s="70" t="s">
        <v>3288</v>
      </c>
      <c r="O1870" s="71">
        <f>IF(OR(I1870=$A$1,I1870=0),"",IF(N1870=MappingTables!$C$14,VLOOKUP(J1870,ModelParameters!$M$8:$N$15,2,FALSE),IF(N1870=MappingTables!$C$16,VLOOKUP(J1870,ModelParameters!$P$8:$Q$15,2,FALSE),0)))</f>
        <v>1</v>
      </c>
      <c r="P1870" s="73">
        <f>IF(OR(I1870=0,I1870=$A$1),0,MIN(O1870*M1870,1)*K1870)</f>
        <v>2191.6232148482692</v>
      </c>
      <c r="Q1870" s="73">
        <f>IF(B1870="",0,IF(OR(H1870=MappingTables!$C$34,H1870=MappingTables!$C$35),P1870,0))</f>
        <v>0</v>
      </c>
      <c r="R1870" s="73">
        <f>IF(ISNA(IF(AND(VLOOKUP(CONCATENATE($D1870,$G1870),CSRFinput!$B:$E,4,0)=0,OR(H1870=MappingTables!$C$31,H1870=MappingTables!$C$32)),1,VLOOKUP(CONCATENATE($D1870,$G1870),CSRFinput!$B:$E,4,0))),0,IF(AND(VLOOKUP(CONCATENATE($D1870,$G1870),CSRFinput!$B:$E,4,0)=0,OR(H1870=MappingTables!$C$31,H1870=MappingTables!$C$32)),1,VLOOKUP(CONCATENATE($D1870,$G1870),CSRFinput!$B:$E,4,0)))</f>
        <v>0.054776304963434752</v>
      </c>
      <c r="S1870" s="73">
        <f>IF(B1870="",0,P1870*R1870)</f>
        <v>120.04902158147208</v>
      </c>
      <c r="T1870" s="85">
        <f>IF(B1870="",0,IF(OR(H1870=MappingTables!$C$34,H1870=MappingTables!$C$35),S1870,0))</f>
        <v>0</v>
      </c>
    </row>
    <row r="1871" spans="2:20" s="0" customFormat="0" ht="15">
      <c r="B1871" s="69" t="s">
        <v>5133</v>
      </c>
      <c r="C1871" s="70" t="s">
        <v>5134</v>
      </c>
      <c r="D1871" s="70" t="s">
        <v>1</v>
      </c>
      <c r="E1871" s="70" t="s">
        <v>1</v>
      </c>
      <c r="F1871" s="70"/>
      <c r="G1871" s="70" t="s">
        <v>61</v>
      </c>
      <c r="H1871" s="70" t="s">
        <v>178</v>
      </c>
      <c r="I1871" s="70" t="s">
        <v>204</v>
      </c>
      <c r="J1871" s="71">
        <f>IF(OR(I1871=0,I1871=""),"unrated",VLOOKUP(I1871,MappingTables!$B$19:$C$31,2,FALSE))</f>
        <v>6</v>
      </c>
      <c r="K1871" s="72">
        <v>290.12800243672048</v>
      </c>
      <c r="L1871" s="70">
        <v>0.068495515160830368</v>
      </c>
      <c r="M1871" s="71">
        <f>IF(L1871&lt;1,1,L1871)</f>
        <v>1</v>
      </c>
      <c r="N1871" s="70" t="s">
        <v>3288</v>
      </c>
      <c r="O1871" s="71">
        <f>IF(OR(I1871=$A$1,I1871=0),"",IF(N1871=MappingTables!$C$14,VLOOKUP(J1871,ModelParameters!$M$8:$N$15,2,FALSE),IF(N1871=MappingTables!$C$16,VLOOKUP(J1871,ModelParameters!$P$8:$Q$15,2,FALSE),0)))</f>
        <v>1</v>
      </c>
      <c r="P1871" s="73">
        <f>IF(OR(I1871=0,I1871=$A$1),0,MIN(O1871*M1871,1)*K1871)</f>
        <v>290.12800243672048</v>
      </c>
      <c r="Q1871" s="73">
        <f>IF(B1871="",0,IF(OR(H1871=MappingTables!$C$34,H1871=MappingTables!$C$35),P1871,0))</f>
        <v>0</v>
      </c>
      <c r="R1871" s="73">
        <f>IF(ISNA(IF(AND(VLOOKUP(CONCATENATE($D1871,$G1871),CSRFinput!$B:$E,4,0)=0,OR(H1871=MappingTables!$C$31,H1871=MappingTables!$C$32)),1,VLOOKUP(CONCATENATE($D1871,$G1871),CSRFinput!$B:$E,4,0))),0,IF(AND(VLOOKUP(CONCATENATE($D1871,$G1871),CSRFinput!$B:$E,4,0)=0,OR(H1871=MappingTables!$C$31,H1871=MappingTables!$C$32)),1,VLOOKUP(CONCATENATE($D1871,$G1871),CSRFinput!$B:$E,4,0)))</f>
        <v>0.054776304963434752</v>
      </c>
      <c r="S1871" s="73">
        <f>IF(B1871="",0,P1871*R1871)</f>
        <v>15.892139939905942</v>
      </c>
      <c r="T1871" s="85">
        <f>IF(B1871="",0,IF(OR(H1871=MappingTables!$C$34,H1871=MappingTables!$C$35),S1871,0))</f>
        <v>0</v>
      </c>
    </row>
    <row r="1872" spans="2:20" s="0" customFormat="0" ht="15">
      <c r="B1872" s="69" t="s">
        <v>3739</v>
      </c>
      <c r="C1872" s="70" t="s">
        <v>3740</v>
      </c>
      <c r="D1872" s="70" t="s">
        <v>1</v>
      </c>
      <c r="E1872" s="70" t="s">
        <v>1</v>
      </c>
      <c r="F1872" s="70"/>
      <c r="G1872" s="70" t="s">
        <v>61</v>
      </c>
      <c r="H1872" s="70" t="s">
        <v>178</v>
      </c>
      <c r="I1872" s="70" t="s">
        <v>204</v>
      </c>
      <c r="J1872" s="71">
        <f>IF(OR(I1872=0,I1872=""),"unrated",VLOOKUP(I1872,MappingTables!$B$19:$C$31,2,FALSE))</f>
        <v>6</v>
      </c>
      <c r="K1872" s="72">
        <v>161.60132233379648</v>
      </c>
      <c r="L1872" s="70">
        <v>0.068491314615589384</v>
      </c>
      <c r="M1872" s="71">
        <f>IF(L1872&lt;1,1,L1872)</f>
        <v>1</v>
      </c>
      <c r="N1872" s="70" t="s">
        <v>3288</v>
      </c>
      <c r="O1872" s="71">
        <f>IF(OR(I1872=$A$1,I1872=0),"",IF(N1872=MappingTables!$C$14,VLOOKUP(J1872,ModelParameters!$M$8:$N$15,2,FALSE),IF(N1872=MappingTables!$C$16,VLOOKUP(J1872,ModelParameters!$P$8:$Q$15,2,FALSE),0)))</f>
        <v>1</v>
      </c>
      <c r="P1872" s="73">
        <f>IF(OR(I1872=0,I1872=$A$1),0,MIN(O1872*M1872,1)*K1872)</f>
        <v>161.60132233379648</v>
      </c>
      <c r="Q1872" s="73">
        <f>IF(B1872="",0,IF(OR(H1872=MappingTables!$C$34,H1872=MappingTables!$C$35),P1872,0))</f>
        <v>0</v>
      </c>
      <c r="R1872" s="73">
        <f>IF(ISNA(IF(AND(VLOOKUP(CONCATENATE($D1872,$G1872),CSRFinput!$B:$E,4,0)=0,OR(H1872=MappingTables!$C$31,H1872=MappingTables!$C$32)),1,VLOOKUP(CONCATENATE($D1872,$G1872),CSRFinput!$B:$E,4,0))),0,IF(AND(VLOOKUP(CONCATENATE($D1872,$G1872),CSRFinput!$B:$E,4,0)=0,OR(H1872=MappingTables!$C$31,H1872=MappingTables!$C$32)),1,VLOOKUP(CONCATENATE($D1872,$G1872),CSRFinput!$B:$E,4,0)))</f>
        <v>0.054776304963434752</v>
      </c>
      <c r="S1872" s="73">
        <f>IF(B1872="",0,P1872*R1872)</f>
        <v>8.8519233146503552</v>
      </c>
      <c r="T1872" s="85">
        <f>IF(B1872="",0,IF(OR(H1872=MappingTables!$C$34,H1872=MappingTables!$C$35),S1872,0))</f>
        <v>0</v>
      </c>
    </row>
    <row r="1873" spans="2:20" s="0" customFormat="0" ht="15">
      <c r="B1873" s="69" t="s">
        <v>3640</v>
      </c>
      <c r="C1873" s="70" t="s">
        <v>3641</v>
      </c>
      <c r="D1873" s="70" t="s">
        <v>1</v>
      </c>
      <c r="E1873" s="70" t="s">
        <v>1</v>
      </c>
      <c r="F1873" s="70"/>
      <c r="G1873" s="70" t="s">
        <v>61</v>
      </c>
      <c r="H1873" s="70" t="s">
        <v>178</v>
      </c>
      <c r="I1873" s="70" t="s">
        <v>216</v>
      </c>
      <c r="J1873" s="71">
        <f>IF(OR(I1873=0,I1873=""),"unrated",VLOOKUP(I1873,MappingTables!$B$19:$C$31,2,FALSE))</f>
        <v>0</v>
      </c>
      <c r="K1873" s="72">
        <v>562.18830088309736</v>
      </c>
      <c r="L1873" s="70">
        <v>-1.9050917767796924</v>
      </c>
      <c r="M1873" s="71">
        <f>IF(L1873&lt;1,1,L1873)</f>
        <v>1</v>
      </c>
      <c r="N1873" s="70" t="s">
        <v>3288</v>
      </c>
      <c r="O1873" s="71">
        <f>IF(OR(I1873=$A$1,I1873=0),"",IF(N1873=MappingTables!$C$14,VLOOKUP(J1873,ModelParameters!$M$8:$N$15,2,FALSE),IF(N1873=MappingTables!$C$16,VLOOKUP(J1873,ModelParameters!$P$8:$Q$15,2,FALSE),0)))</f>
        <v>0.125</v>
      </c>
      <c r="P1873" s="73">
        <f>IF(OR(I1873=0,I1873=$A$1),0,MIN(O1873*M1873,1)*K1873)</f>
        <v>70.273537610387168</v>
      </c>
      <c r="Q1873" s="73">
        <f>IF(B1873="",0,IF(OR(H1873=MappingTables!$C$34,H1873=MappingTables!$C$35),P1873,0))</f>
        <v>0</v>
      </c>
      <c r="R1873" s="73">
        <f>IF(ISNA(IF(AND(VLOOKUP(CONCATENATE($D1873,$G1873),CSRFinput!$B:$E,4,0)=0,OR(H1873=MappingTables!$C$31,H1873=MappingTables!$C$32)),1,VLOOKUP(CONCATENATE($D1873,$G1873),CSRFinput!$B:$E,4,0))),0,IF(AND(VLOOKUP(CONCATENATE($D1873,$G1873),CSRFinput!$B:$E,4,0)=0,OR(H1873=MappingTables!$C$31,H1873=MappingTables!$C$32)),1,VLOOKUP(CONCATENATE($D1873,$G1873),CSRFinput!$B:$E,4,0)))</f>
        <v>0.054776304963434752</v>
      </c>
      <c r="S1873" s="73">
        <f>IF(B1873="",0,P1873*R1873)</f>
        <v>3.8493247270059696</v>
      </c>
      <c r="T1873" s="85">
        <f>IF(B1873="",0,IF(OR(H1873=MappingTables!$C$34,H1873=MappingTables!$C$35),S1873,0))</f>
        <v>0</v>
      </c>
    </row>
    <row r="1874" spans="2:20" s="0" customFormat="0" ht="15">
      <c r="B1874" s="69" t="s">
        <v>5177</v>
      </c>
      <c r="C1874" s="70" t="s">
        <v>5178</v>
      </c>
      <c r="D1874" s="70" t="s">
        <v>1</v>
      </c>
      <c r="E1874" s="70" t="s">
        <v>1</v>
      </c>
      <c r="F1874" s="70"/>
      <c r="G1874" s="70" t="s">
        <v>61</v>
      </c>
      <c r="H1874" s="70" t="s">
        <v>178</v>
      </c>
      <c r="I1874" s="70" t="s">
        <v>198</v>
      </c>
      <c r="J1874" s="71" t="str">
        <f>IF(OR(I1874=0,I1874=""),"unrated",VLOOKUP(I1874,MappingTables!$B$19:$C$31,2,FALSE))</f>
        <v>unrated</v>
      </c>
      <c r="K1874" s="72">
        <v>246.74184396774876</v>
      </c>
      <c r="L1874" s="70">
        <v>29.146843041823596</v>
      </c>
      <c r="M1874" s="71">
        <f>IF(L1874&lt;1,1,L1874)</f>
        <v>29.146843041823596</v>
      </c>
      <c r="N1874" s="70" t="s">
        <v>3288</v>
      </c>
      <c r="O1874" s="71">
        <f>IF(OR(I1874=$A$1,I1874=0),"",IF(N1874=MappingTables!$C$14,VLOOKUP(J1874,ModelParameters!$M$8:$N$15,2,FALSE),IF(N1874=MappingTables!$C$16,VLOOKUP(J1874,ModelParameters!$P$8:$Q$15,2,FALSE),0)))</f>
        <v>1</v>
      </c>
      <c r="P1874" s="73">
        <f>IF(OR(I1874=0,I1874=$A$1),0,MIN(O1874*M1874,1)*K1874)</f>
        <v>246.74184396774876</v>
      </c>
      <c r="Q1874" s="73">
        <f>IF(B1874="",0,IF(OR(H1874=MappingTables!$C$34,H1874=MappingTables!$C$35),P1874,0))</f>
        <v>0</v>
      </c>
      <c r="R1874" s="73">
        <f>IF(ISNA(IF(AND(VLOOKUP(CONCATENATE($D1874,$G1874),CSRFinput!$B:$E,4,0)=0,OR(H1874=MappingTables!$C$31,H1874=MappingTables!$C$32)),1,VLOOKUP(CONCATENATE($D1874,$G1874),CSRFinput!$B:$E,4,0))),0,IF(AND(VLOOKUP(CONCATENATE($D1874,$G1874),CSRFinput!$B:$E,4,0)=0,OR(H1874=MappingTables!$C$31,H1874=MappingTables!$C$32)),1,VLOOKUP(CONCATENATE($D1874,$G1874),CSRFinput!$B:$E,4,0)))</f>
        <v>0.054776304963434752</v>
      </c>
      <c r="S1874" s="73">
        <f>IF(B1874="",0,P1874*R1874)</f>
        <v>13.51560649241764</v>
      </c>
      <c r="T1874" s="85">
        <f>IF(B1874="",0,IF(OR(H1874=MappingTables!$C$34,H1874=MappingTables!$C$35),S1874,0))</f>
        <v>0</v>
      </c>
    </row>
    <row r="1875" spans="2:20" s="0" customFormat="0" ht="15">
      <c r="B1875" s="69">
        <v>22623681</v>
      </c>
      <c r="C1875" s="70" t="s">
        <v>4144</v>
      </c>
      <c r="D1875" s="70" t="s">
        <v>1</v>
      </c>
      <c r="E1875" s="70" t="s">
        <v>1</v>
      </c>
      <c r="F1875" s="70"/>
      <c r="G1875" s="70" t="s">
        <v>61</v>
      </c>
      <c r="H1875" s="70" t="s">
        <v>178</v>
      </c>
      <c r="I1875" s="70" t="s">
        <v>179</v>
      </c>
      <c r="J1875" s="71">
        <f>IF(OR(I1875=0,I1875=""),"unrated",VLOOKUP(I1875,MappingTables!$B$19:$C$31,2,FALSE))</f>
        <v>4</v>
      </c>
      <c r="K1875" s="72">
        <v>461.86150621051424</v>
      </c>
      <c r="L1875" s="70">
        <v>0.068494397835867528</v>
      </c>
      <c r="M1875" s="71">
        <f>IF(L1875&lt;1,1,L1875)</f>
        <v>1</v>
      </c>
      <c r="N1875" s="70" t="s">
        <v>3288</v>
      </c>
      <c r="O1875" s="71">
        <f>IF(OR(I1875=$A$1,I1875=0),"",IF(N1875=MappingTables!$C$14,VLOOKUP(J1875,ModelParameters!$M$8:$N$15,2,FALSE),IF(N1875=MappingTables!$C$16,VLOOKUP(J1875,ModelParameters!$P$8:$Q$15,2,FALSE),0)))</f>
        <v>0.82</v>
      </c>
      <c r="P1875" s="73">
        <f>IF(OR(I1875=0,I1875=$A$1),0,MIN(O1875*M1875,1)*K1875)</f>
        <v>378.72643509262168</v>
      </c>
      <c r="Q1875" s="73">
        <f>IF(B1875="",0,IF(OR(H1875=MappingTables!$C$34,H1875=MappingTables!$C$35),P1875,0))</f>
        <v>0</v>
      </c>
      <c r="R1875" s="73">
        <f>IF(ISNA(IF(AND(VLOOKUP(CONCATENATE($D1875,$G1875),CSRFinput!$B:$E,4,0)=0,OR(H1875=MappingTables!$C$31,H1875=MappingTables!$C$32)),1,VLOOKUP(CONCATENATE($D1875,$G1875),CSRFinput!$B:$E,4,0))),0,IF(AND(VLOOKUP(CONCATENATE($D1875,$G1875),CSRFinput!$B:$E,4,0)=0,OR(H1875=MappingTables!$C$31,H1875=MappingTables!$C$32)),1,VLOOKUP(CONCATENATE($D1875,$G1875),CSRFinput!$B:$E,4,0)))</f>
        <v>0.054776304963434752</v>
      </c>
      <c r="S1875" s="73">
        <f>IF(B1875="",0,P1875*R1875)</f>
        <v>20.745234706347924</v>
      </c>
      <c r="T1875" s="85">
        <f>IF(B1875="",0,IF(OR(H1875=MappingTables!$C$34,H1875=MappingTables!$C$35),S1875,0))</f>
        <v>0</v>
      </c>
    </row>
    <row r="1876" spans="2:20" s="0" customFormat="0" ht="15">
      <c r="B1876" s="69">
        <v>19863503</v>
      </c>
      <c r="C1876" s="70" t="s">
        <v>5179</v>
      </c>
      <c r="D1876" s="70" t="s">
        <v>1</v>
      </c>
      <c r="E1876" s="70" t="s">
        <v>1</v>
      </c>
      <c r="F1876" s="70"/>
      <c r="G1876" s="70" t="s">
        <v>61</v>
      </c>
      <c r="H1876" s="70" t="s">
        <v>178</v>
      </c>
      <c r="I1876" s="70" t="s">
        <v>216</v>
      </c>
      <c r="J1876" s="71">
        <f>IF(OR(I1876=0,I1876=""),"unrated",VLOOKUP(I1876,MappingTables!$B$19:$C$31,2,FALSE))</f>
        <v>0</v>
      </c>
      <c r="K1876" s="72">
        <v>106.2389606758955</v>
      </c>
      <c r="L1876" s="70">
        <v>0.087809433863822832</v>
      </c>
      <c r="M1876" s="71">
        <f>IF(L1876&lt;1,1,L1876)</f>
        <v>1</v>
      </c>
      <c r="N1876" s="70" t="s">
        <v>3288</v>
      </c>
      <c r="O1876" s="71">
        <f>IF(OR(I1876=$A$1,I1876=0),"",IF(N1876=MappingTables!$C$14,VLOOKUP(J1876,ModelParameters!$M$8:$N$15,2,FALSE),IF(N1876=MappingTables!$C$16,VLOOKUP(J1876,ModelParameters!$P$8:$Q$15,2,FALSE),0)))</f>
        <v>0.125</v>
      </c>
      <c r="P1876" s="73">
        <f>IF(OR(I1876=0,I1876=$A$1),0,MIN(O1876*M1876,1)*K1876)</f>
        <v>13.279870084486938</v>
      </c>
      <c r="Q1876" s="73">
        <f>IF(B1876="",0,IF(OR(H1876=MappingTables!$C$34,H1876=MappingTables!$C$35),P1876,0))</f>
        <v>0</v>
      </c>
      <c r="R1876" s="73">
        <f>IF(ISNA(IF(AND(VLOOKUP(CONCATENATE($D1876,$G1876),CSRFinput!$B:$E,4,0)=0,OR(H1876=MappingTables!$C$31,H1876=MappingTables!$C$32)),1,VLOOKUP(CONCATENATE($D1876,$G1876),CSRFinput!$B:$E,4,0))),0,IF(AND(VLOOKUP(CONCATENATE($D1876,$G1876),CSRFinput!$B:$E,4,0)=0,OR(H1876=MappingTables!$C$31,H1876=MappingTables!$C$32)),1,VLOOKUP(CONCATENATE($D1876,$G1876),CSRFinput!$B:$E,4,0)))</f>
        <v>0.054776304963434752</v>
      </c>
      <c r="S1876" s="73">
        <f>IF(B1876="",0,P1876*R1876)</f>
        <v>0.7274222136226504</v>
      </c>
      <c r="T1876" s="85">
        <f>IF(B1876="",0,IF(OR(H1876=MappingTables!$C$34,H1876=MappingTables!$C$35),S1876,0))</f>
        <v>0</v>
      </c>
    </row>
    <row r="1877" spans="2:20" s="0" customFormat="0" ht="15">
      <c r="B1877" s="69">
        <v>22554314</v>
      </c>
      <c r="C1877" s="70" t="s">
        <v>4460</v>
      </c>
      <c r="D1877" s="70" t="s">
        <v>1</v>
      </c>
      <c r="E1877" s="70" t="s">
        <v>1</v>
      </c>
      <c r="F1877" s="70"/>
      <c r="G1877" s="70" t="s">
        <v>61</v>
      </c>
      <c r="H1877" s="70" t="s">
        <v>178</v>
      </c>
      <c r="I1877" s="70" t="s">
        <v>216</v>
      </c>
      <c r="J1877" s="71">
        <f>IF(OR(I1877=0,I1877=""),"unrated",VLOOKUP(I1877,MappingTables!$B$19:$C$31,2,FALSE))</f>
        <v>0</v>
      </c>
      <c r="K1877" s="72">
        <v>4.1772044976856016</v>
      </c>
      <c r="L1877" s="70">
        <v>-0.011563242655606754</v>
      </c>
      <c r="M1877" s="71">
        <f>IF(L1877&lt;1,1,L1877)</f>
        <v>1</v>
      </c>
      <c r="N1877" s="70" t="s">
        <v>3288</v>
      </c>
      <c r="O1877" s="71">
        <f>IF(OR(I1877=$A$1,I1877=0),"",IF(N1877=MappingTables!$C$14,VLOOKUP(J1877,ModelParameters!$M$8:$N$15,2,FALSE),IF(N1877=MappingTables!$C$16,VLOOKUP(J1877,ModelParameters!$P$8:$Q$15,2,FALSE),0)))</f>
        <v>0.125</v>
      </c>
      <c r="P1877" s="73">
        <f>IF(OR(I1877=0,I1877=$A$1),0,MIN(O1877*M1877,1)*K1877)</f>
        <v>0.52215056221070024</v>
      </c>
      <c r="Q1877" s="73">
        <f>IF(B1877="",0,IF(OR(H1877=MappingTables!$C$34,H1877=MappingTables!$C$35),P1877,0))</f>
        <v>0</v>
      </c>
      <c r="R1877" s="73">
        <f>IF(ISNA(IF(AND(VLOOKUP(CONCATENATE($D1877,$G1877),CSRFinput!$B:$E,4,0)=0,OR(H1877=MappingTables!$C$31,H1877=MappingTables!$C$32)),1,VLOOKUP(CONCATENATE($D1877,$G1877),CSRFinput!$B:$E,4,0))),0,IF(AND(VLOOKUP(CONCATENATE($D1877,$G1877),CSRFinput!$B:$E,4,0)=0,OR(H1877=MappingTables!$C$31,H1877=MappingTables!$C$32)),1,VLOOKUP(CONCATENATE($D1877,$G1877),CSRFinput!$B:$E,4,0)))</f>
        <v>0.054776304963434752</v>
      </c>
      <c r="S1877" s="73">
        <f>IF(B1877="",0,P1877*R1877)</f>
        <v>0.028601478432482228</v>
      </c>
      <c r="T1877" s="85">
        <f>IF(B1877="",0,IF(OR(H1877=MappingTables!$C$34,H1877=MappingTables!$C$35),S1877,0))</f>
        <v>0</v>
      </c>
    </row>
    <row r="1878" spans="2:20" s="0" customFormat="0" ht="15">
      <c r="B1878" s="69">
        <v>7065944</v>
      </c>
      <c r="C1878" s="70" t="s">
        <v>4945</v>
      </c>
      <c r="D1878" s="70" t="s">
        <v>1</v>
      </c>
      <c r="E1878" s="70" t="s">
        <v>1</v>
      </c>
      <c r="F1878" s="70"/>
      <c r="G1878" s="70" t="s">
        <v>61</v>
      </c>
      <c r="H1878" s="70" t="s">
        <v>178</v>
      </c>
      <c r="I1878" s="70" t="s">
        <v>216</v>
      </c>
      <c r="J1878" s="71">
        <f>IF(OR(I1878=0,I1878=""),"unrated",VLOOKUP(I1878,MappingTables!$B$19:$C$31,2,FALSE))</f>
        <v>0</v>
      </c>
      <c r="K1878" s="72">
        <v>2.1852977156004604</v>
      </c>
      <c r="L1878" s="70">
        <v>0.02519565077544206</v>
      </c>
      <c r="M1878" s="71">
        <f>IF(L1878&lt;1,1,L1878)</f>
        <v>1</v>
      </c>
      <c r="N1878" s="70" t="s">
        <v>3288</v>
      </c>
      <c r="O1878" s="71">
        <f>IF(OR(I1878=$A$1,I1878=0),"",IF(N1878=MappingTables!$C$14,VLOOKUP(J1878,ModelParameters!$M$8:$N$15,2,FALSE),IF(N1878=MappingTables!$C$16,VLOOKUP(J1878,ModelParameters!$P$8:$Q$15,2,FALSE),0)))</f>
        <v>0.125</v>
      </c>
      <c r="P1878" s="73">
        <f>IF(OR(I1878=0,I1878=$A$1),0,MIN(O1878*M1878,1)*K1878)</f>
        <v>0.27316221445005756</v>
      </c>
      <c r="Q1878" s="73">
        <f>IF(B1878="",0,IF(OR(H1878=MappingTables!$C$34,H1878=MappingTables!$C$35),P1878,0))</f>
        <v>0</v>
      </c>
      <c r="R1878" s="73">
        <f>IF(ISNA(IF(AND(VLOOKUP(CONCATENATE($D1878,$G1878),CSRFinput!$B:$E,4,0)=0,OR(H1878=MappingTables!$C$31,H1878=MappingTables!$C$32)),1,VLOOKUP(CONCATENATE($D1878,$G1878),CSRFinput!$B:$E,4,0))),0,IF(AND(VLOOKUP(CONCATENATE($D1878,$G1878),CSRFinput!$B:$E,4,0)=0,OR(H1878=MappingTables!$C$31,H1878=MappingTables!$C$32)),1,VLOOKUP(CONCATENATE($D1878,$G1878),CSRFinput!$B:$E,4,0)))</f>
        <v>0.054776304963434752</v>
      </c>
      <c r="S1878" s="73">
        <f>IF(B1878="",0,P1878*R1878)</f>
        <v>0.014962816763203516</v>
      </c>
      <c r="T1878" s="85">
        <f>IF(B1878="",0,IF(OR(H1878=MappingTables!$C$34,H1878=MappingTables!$C$35),S1878,0))</f>
        <v>0</v>
      </c>
    </row>
    <row r="1879" spans="2:20" s="0" customFormat="0" ht="15">
      <c r="B1879" s="69" t="s">
        <v>4625</v>
      </c>
      <c r="C1879" s="70" t="s">
        <v>4626</v>
      </c>
      <c r="D1879" s="70" t="s">
        <v>1</v>
      </c>
      <c r="E1879" s="70" t="s">
        <v>1</v>
      </c>
      <c r="F1879" s="70"/>
      <c r="G1879" s="70" t="s">
        <v>61</v>
      </c>
      <c r="H1879" s="70" t="s">
        <v>178</v>
      </c>
      <c r="I1879" s="70" t="s">
        <v>198</v>
      </c>
      <c r="J1879" s="71" t="str">
        <f>IF(OR(I1879=0,I1879=""),"unrated",VLOOKUP(I1879,MappingTables!$B$19:$C$31,2,FALSE))</f>
        <v>unrated</v>
      </c>
      <c r="K1879" s="72">
        <v>1738.0801474388164</v>
      </c>
      <c r="L1879" s="70">
        <v>44.33081443986892</v>
      </c>
      <c r="M1879" s="71">
        <f>IF(L1879&lt;1,1,L1879)</f>
        <v>44.33081443986892</v>
      </c>
      <c r="N1879" s="70" t="s">
        <v>3288</v>
      </c>
      <c r="O1879" s="71">
        <f>IF(OR(I1879=$A$1,I1879=0),"",IF(N1879=MappingTables!$C$14,VLOOKUP(J1879,ModelParameters!$M$8:$N$15,2,FALSE),IF(N1879=MappingTables!$C$16,VLOOKUP(J1879,ModelParameters!$P$8:$Q$15,2,FALSE),0)))</f>
        <v>1</v>
      </c>
      <c r="P1879" s="73">
        <f>IF(OR(I1879=0,I1879=$A$1),0,MIN(O1879*M1879,1)*K1879)</f>
        <v>1738.0801474388164</v>
      </c>
      <c r="Q1879" s="73">
        <f>IF(B1879="",0,IF(OR(H1879=MappingTables!$C$34,H1879=MappingTables!$C$35),P1879,0))</f>
        <v>0</v>
      </c>
      <c r="R1879" s="73">
        <f>IF(ISNA(IF(AND(VLOOKUP(CONCATENATE($D1879,$G1879),CSRFinput!$B:$E,4,0)=0,OR(H1879=MappingTables!$C$31,H1879=MappingTables!$C$32)),1,VLOOKUP(CONCATENATE($D1879,$G1879),CSRFinput!$B:$E,4,0))),0,IF(AND(VLOOKUP(CONCATENATE($D1879,$G1879),CSRFinput!$B:$E,4,0)=0,OR(H1879=MappingTables!$C$31,H1879=MappingTables!$C$32)),1,VLOOKUP(CONCATENATE($D1879,$G1879),CSRFinput!$B:$E,4,0)))</f>
        <v>0.054776304963434752</v>
      </c>
      <c r="S1879" s="73">
        <f>IF(B1879="",0,P1879*R1879)</f>
        <v>95.20560820700024</v>
      </c>
      <c r="T1879" s="85">
        <f>IF(B1879="",0,IF(OR(H1879=MappingTables!$C$34,H1879=MappingTables!$C$35),S1879,0))</f>
        <v>0</v>
      </c>
    </row>
    <row r="1880" spans="2:20" s="0" customFormat="0" ht="15">
      <c r="B1880" s="69" t="s">
        <v>4000</v>
      </c>
      <c r="C1880" s="70" t="s">
        <v>4001</v>
      </c>
      <c r="D1880" s="70" t="s">
        <v>1</v>
      </c>
      <c r="E1880" s="70" t="s">
        <v>1</v>
      </c>
      <c r="F1880" s="70"/>
      <c r="G1880" s="70" t="s">
        <v>61</v>
      </c>
      <c r="H1880" s="70" t="s">
        <v>178</v>
      </c>
      <c r="I1880" s="70" t="s">
        <v>3298</v>
      </c>
      <c r="J1880" s="71">
        <f>IF(OR(I1880=0,I1880=""),"unrated",VLOOKUP(I1880,MappingTables!$B$19:$C$31,2,FALSE))</f>
        <v>6</v>
      </c>
      <c r="K1880" s="72">
        <v>222.72910481307564</v>
      </c>
      <c r="L1880" s="70">
        <v>0.049848748882115048</v>
      </c>
      <c r="M1880" s="71">
        <f>IF(L1880&lt;1,1,L1880)</f>
        <v>1</v>
      </c>
      <c r="N1880" s="70" t="s">
        <v>3288</v>
      </c>
      <c r="O1880" s="71">
        <f>IF(OR(I1880=$A$1,I1880=0),"",IF(N1880=MappingTables!$C$14,VLOOKUP(J1880,ModelParameters!$M$8:$N$15,2,FALSE),IF(N1880=MappingTables!$C$16,VLOOKUP(J1880,ModelParameters!$P$8:$Q$15,2,FALSE),0)))</f>
        <v>1</v>
      </c>
      <c r="P1880" s="73">
        <f>IF(OR(I1880=0,I1880=$A$1),0,MIN(O1880*M1880,1)*K1880)</f>
        <v>222.72910481307564</v>
      </c>
      <c r="Q1880" s="73">
        <f>IF(B1880="",0,IF(OR(H1880=MappingTables!$C$34,H1880=MappingTables!$C$35),P1880,0))</f>
        <v>0</v>
      </c>
      <c r="R1880" s="73">
        <f>IF(ISNA(IF(AND(VLOOKUP(CONCATENATE($D1880,$G1880),CSRFinput!$B:$E,4,0)=0,OR(H1880=MappingTables!$C$31,H1880=MappingTables!$C$32)),1,VLOOKUP(CONCATENATE($D1880,$G1880),CSRFinput!$B:$E,4,0))),0,IF(AND(VLOOKUP(CONCATENATE($D1880,$G1880),CSRFinput!$B:$E,4,0)=0,OR(H1880=MappingTables!$C$31,H1880=MappingTables!$C$32)),1,VLOOKUP(CONCATENATE($D1880,$G1880),CSRFinput!$B:$E,4,0)))</f>
        <v>0.054776304963434752</v>
      </c>
      <c r="S1880" s="73">
        <f>IF(B1880="",0,P1880*R1880)</f>
        <v>12.200277369473856</v>
      </c>
      <c r="T1880" s="85">
        <f>IF(B1880="",0,IF(OR(H1880=MappingTables!$C$34,H1880=MappingTables!$C$35),S1880,0))</f>
        <v>0</v>
      </c>
    </row>
    <row r="1881" spans="2:20" s="0" customFormat="0" ht="15">
      <c r="B1881" s="69" t="s">
        <v>4967</v>
      </c>
      <c r="C1881" s="70" t="s">
        <v>4968</v>
      </c>
      <c r="D1881" s="70" t="s">
        <v>1</v>
      </c>
      <c r="E1881" s="70" t="s">
        <v>1</v>
      </c>
      <c r="F1881" s="70"/>
      <c r="G1881" s="70" t="s">
        <v>61</v>
      </c>
      <c r="H1881" s="70" t="s">
        <v>178</v>
      </c>
      <c r="I1881" s="70" t="s">
        <v>184</v>
      </c>
      <c r="J1881" s="71">
        <f>IF(OR(I1881=0,I1881=""),"unrated",VLOOKUP(I1881,MappingTables!$B$19:$C$31,2,FALSE))</f>
        <v>5</v>
      </c>
      <c r="K1881" s="72">
        <v>12.910797927243792</v>
      </c>
      <c r="L1881" s="70">
        <v>0.068492475118586968</v>
      </c>
      <c r="M1881" s="71">
        <f>IF(L1881&lt;1,1,L1881)</f>
        <v>1</v>
      </c>
      <c r="N1881" s="70" t="s">
        <v>3288</v>
      </c>
      <c r="O1881" s="71">
        <f>IF(OR(I1881=$A$1,I1881=0),"",IF(N1881=MappingTables!$C$14,VLOOKUP(J1881,ModelParameters!$M$8:$N$15,2,FALSE),IF(N1881=MappingTables!$C$16,VLOOKUP(J1881,ModelParameters!$P$8:$Q$15,2,FALSE),0)))</f>
        <v>1</v>
      </c>
      <c r="P1881" s="73">
        <f>IF(OR(I1881=0,I1881=$A$1),0,MIN(O1881*M1881,1)*K1881)</f>
        <v>12.910797927243792</v>
      </c>
      <c r="Q1881" s="73">
        <f>IF(B1881="",0,IF(OR(H1881=MappingTables!$C$34,H1881=MappingTables!$C$35),P1881,0))</f>
        <v>0</v>
      </c>
      <c r="R1881" s="73">
        <f>IF(ISNA(IF(AND(VLOOKUP(CONCATENATE($D1881,$G1881),CSRFinput!$B:$E,4,0)=0,OR(H1881=MappingTables!$C$31,H1881=MappingTables!$C$32)),1,VLOOKUP(CONCATENATE($D1881,$G1881),CSRFinput!$B:$E,4,0))),0,IF(AND(VLOOKUP(CONCATENATE($D1881,$G1881),CSRFinput!$B:$E,4,0)=0,OR(H1881=MappingTables!$C$31,H1881=MappingTables!$C$32)),1,VLOOKUP(CONCATENATE($D1881,$G1881),CSRFinput!$B:$E,4,0)))</f>
        <v>0.054776304963434752</v>
      </c>
      <c r="S1881" s="73">
        <f>IF(B1881="",0,P1881*R1881)</f>
        <v>0.7072058045839872</v>
      </c>
      <c r="T1881" s="85">
        <f>IF(B1881="",0,IF(OR(H1881=MappingTables!$C$34,H1881=MappingTables!$C$35),S1881,0))</f>
        <v>0</v>
      </c>
    </row>
    <row r="1882" spans="2:20" s="0" customFormat="0" ht="15">
      <c r="B1882" s="69">
        <v>22623706</v>
      </c>
      <c r="C1882" s="70" t="s">
        <v>4847</v>
      </c>
      <c r="D1882" s="70" t="s">
        <v>1</v>
      </c>
      <c r="E1882" s="70" t="s">
        <v>1</v>
      </c>
      <c r="F1882" s="70"/>
      <c r="G1882" s="70" t="s">
        <v>61</v>
      </c>
      <c r="H1882" s="70" t="s">
        <v>178</v>
      </c>
      <c r="I1882" s="70" t="s">
        <v>204</v>
      </c>
      <c r="J1882" s="71">
        <f>IF(OR(I1882=0,I1882=""),"unrated",VLOOKUP(I1882,MappingTables!$B$19:$C$31,2,FALSE))</f>
        <v>6</v>
      </c>
      <c r="K1882" s="72">
        <v>44.290345185743512</v>
      </c>
      <c r="L1882" s="70">
        <v>0.068488596087933576</v>
      </c>
      <c r="M1882" s="71">
        <f>IF(L1882&lt;1,1,L1882)</f>
        <v>1</v>
      </c>
      <c r="N1882" s="70" t="s">
        <v>3288</v>
      </c>
      <c r="O1882" s="71">
        <f>IF(OR(I1882=$A$1,I1882=0),"",IF(N1882=MappingTables!$C$14,VLOOKUP(J1882,ModelParameters!$M$8:$N$15,2,FALSE),IF(N1882=MappingTables!$C$16,VLOOKUP(J1882,ModelParameters!$P$8:$Q$15,2,FALSE),0)))</f>
        <v>1</v>
      </c>
      <c r="P1882" s="73">
        <f>IF(OR(I1882=0,I1882=$A$1),0,MIN(O1882*M1882,1)*K1882)</f>
        <v>44.290345185743512</v>
      </c>
      <c r="Q1882" s="73">
        <f>IF(B1882="",0,IF(OR(H1882=MappingTables!$C$34,H1882=MappingTables!$C$35),P1882,0))</f>
        <v>0</v>
      </c>
      <c r="R1882" s="73">
        <f>IF(ISNA(IF(AND(VLOOKUP(CONCATENATE($D1882,$G1882),CSRFinput!$B:$E,4,0)=0,OR(H1882=MappingTables!$C$31,H1882=MappingTables!$C$32)),1,VLOOKUP(CONCATENATE($D1882,$G1882),CSRFinput!$B:$E,4,0))),0,IF(AND(VLOOKUP(CONCATENATE($D1882,$G1882),CSRFinput!$B:$E,4,0)=0,OR(H1882=MappingTables!$C$31,H1882=MappingTables!$C$32)),1,VLOOKUP(CONCATENATE($D1882,$G1882),CSRFinput!$B:$E,4,0)))</f>
        <v>0.054776304963434752</v>
      </c>
      <c r="S1882" s="73">
        <f>IF(B1882="",0,P1882*R1882)</f>
        <v>2.4260614548300808</v>
      </c>
      <c r="T1882" s="85">
        <f>IF(B1882="",0,IF(OR(H1882=MappingTables!$C$34,H1882=MappingTables!$C$35),S1882,0))</f>
        <v>0</v>
      </c>
    </row>
    <row r="1883" spans="2:20" s="0" customFormat="0" ht="15">
      <c r="B1883" s="69">
        <v>17619849</v>
      </c>
      <c r="C1883" s="70" t="s">
        <v>3809</v>
      </c>
      <c r="D1883" s="70" t="s">
        <v>1</v>
      </c>
      <c r="E1883" s="70" t="s">
        <v>1</v>
      </c>
      <c r="F1883" s="70"/>
      <c r="G1883" s="70" t="s">
        <v>61</v>
      </c>
      <c r="H1883" s="70" t="s">
        <v>178</v>
      </c>
      <c r="I1883" s="70" t="s">
        <v>198</v>
      </c>
      <c r="J1883" s="71" t="str">
        <f>IF(OR(I1883=0,I1883=""),"unrated",VLOOKUP(I1883,MappingTables!$B$19:$C$31,2,FALSE))</f>
        <v>unrated</v>
      </c>
      <c r="K1883" s="72">
        <v>341.78867942907232</v>
      </c>
      <c r="L1883" s="70">
        <v>0.08705177011429024</v>
      </c>
      <c r="M1883" s="71">
        <f>IF(L1883&lt;1,1,L1883)</f>
        <v>1</v>
      </c>
      <c r="N1883" s="70" t="s">
        <v>3288</v>
      </c>
      <c r="O1883" s="71">
        <f>IF(OR(I1883=$A$1,I1883=0),"",IF(N1883=MappingTables!$C$14,VLOOKUP(J1883,ModelParameters!$M$8:$N$15,2,FALSE),IF(N1883=MappingTables!$C$16,VLOOKUP(J1883,ModelParameters!$P$8:$Q$15,2,FALSE),0)))</f>
        <v>1</v>
      </c>
      <c r="P1883" s="73">
        <f>IF(OR(I1883=0,I1883=$A$1),0,MIN(O1883*M1883,1)*K1883)</f>
        <v>341.78867942907232</v>
      </c>
      <c r="Q1883" s="73">
        <f>IF(B1883="",0,IF(OR(H1883=MappingTables!$C$34,H1883=MappingTables!$C$35),P1883,0))</f>
        <v>0</v>
      </c>
      <c r="R1883" s="73">
        <f>IF(ISNA(IF(AND(VLOOKUP(CONCATENATE($D1883,$G1883),CSRFinput!$B:$E,4,0)=0,OR(H1883=MappingTables!$C$31,H1883=MappingTables!$C$32)),1,VLOOKUP(CONCATENATE($D1883,$G1883),CSRFinput!$B:$E,4,0))),0,IF(AND(VLOOKUP(CONCATENATE($D1883,$G1883),CSRFinput!$B:$E,4,0)=0,OR(H1883=MappingTables!$C$31,H1883=MappingTables!$C$32)),1,VLOOKUP(CONCATENATE($D1883,$G1883),CSRFinput!$B:$E,4,0)))</f>
        <v>0.054776304963434752</v>
      </c>
      <c r="S1883" s="73">
        <f>IF(B1883="",0,P1883*R1883)</f>
        <v>18.721920937456504</v>
      </c>
      <c r="T1883" s="85">
        <f>IF(B1883="",0,IF(OR(H1883=MappingTables!$C$34,H1883=MappingTables!$C$35),S1883,0))</f>
        <v>0</v>
      </c>
    </row>
    <row r="1884" spans="2:20" s="0" customFormat="0" ht="15">
      <c r="B1884" s="69" t="s">
        <v>4065</v>
      </c>
      <c r="C1884" s="70" t="s">
        <v>4066</v>
      </c>
      <c r="D1884" s="70" t="s">
        <v>1</v>
      </c>
      <c r="E1884" s="70" t="s">
        <v>1</v>
      </c>
      <c r="F1884" s="70"/>
      <c r="G1884" s="70" t="s">
        <v>61</v>
      </c>
      <c r="H1884" s="70" t="s">
        <v>178</v>
      </c>
      <c r="I1884" s="70" t="s">
        <v>198</v>
      </c>
      <c r="J1884" s="71" t="str">
        <f>IF(OR(I1884=0,I1884=""),"unrated",VLOOKUP(I1884,MappingTables!$B$19:$C$31,2,FALSE))</f>
        <v>unrated</v>
      </c>
      <c r="K1884" s="72">
        <v>1.5258419444943046</v>
      </c>
      <c r="L1884" s="70">
        <v>9.0984063385808656</v>
      </c>
      <c r="M1884" s="71">
        <f>IF(L1884&lt;1,1,L1884)</f>
        <v>9.0984063385808656</v>
      </c>
      <c r="N1884" s="70" t="s">
        <v>3288</v>
      </c>
      <c r="O1884" s="71">
        <f>IF(OR(I1884=$A$1,I1884=0),"",IF(N1884=MappingTables!$C$14,VLOOKUP(J1884,ModelParameters!$M$8:$N$15,2,FALSE),IF(N1884=MappingTables!$C$16,VLOOKUP(J1884,ModelParameters!$P$8:$Q$15,2,FALSE),0)))</f>
        <v>1</v>
      </c>
      <c r="P1884" s="73">
        <f>IF(OR(I1884=0,I1884=$A$1),0,MIN(O1884*M1884,1)*K1884)</f>
        <v>1.5258419444943046</v>
      </c>
      <c r="Q1884" s="73">
        <f>IF(B1884="",0,IF(OR(H1884=MappingTables!$C$34,H1884=MappingTables!$C$35),P1884,0))</f>
        <v>0</v>
      </c>
      <c r="R1884" s="73">
        <f>IF(ISNA(IF(AND(VLOOKUP(CONCATENATE($D1884,$G1884),CSRFinput!$B:$E,4,0)=0,OR(H1884=MappingTables!$C$31,H1884=MappingTables!$C$32)),1,VLOOKUP(CONCATENATE($D1884,$G1884),CSRFinput!$B:$E,4,0))),0,IF(AND(VLOOKUP(CONCATENATE($D1884,$G1884),CSRFinput!$B:$E,4,0)=0,OR(H1884=MappingTables!$C$31,H1884=MappingTables!$C$32)),1,VLOOKUP(CONCATENATE($D1884,$G1884),CSRFinput!$B:$E,4,0)))</f>
        <v>0.054776304963434752</v>
      </c>
      <c r="S1884" s="73">
        <f>IF(B1884="",0,P1884*R1884)</f>
        <v>0.083579983677620304</v>
      </c>
      <c r="T1884" s="85">
        <f>IF(B1884="",0,IF(OR(H1884=MappingTables!$C$34,H1884=MappingTables!$C$35),S1884,0))</f>
        <v>0</v>
      </c>
    </row>
    <row r="1885" spans="2:20" s="0" customFormat="0" ht="15">
      <c r="B1885" s="69" t="s">
        <v>5180</v>
      </c>
      <c r="C1885" s="70" t="s">
        <v>5181</v>
      </c>
      <c r="D1885" s="70" t="s">
        <v>1</v>
      </c>
      <c r="E1885" s="70" t="s">
        <v>1</v>
      </c>
      <c r="F1885" s="70"/>
      <c r="G1885" s="70" t="s">
        <v>61</v>
      </c>
      <c r="H1885" s="70" t="s">
        <v>178</v>
      </c>
      <c r="I1885" s="70" t="s">
        <v>198</v>
      </c>
      <c r="J1885" s="71" t="str">
        <f>IF(OR(I1885=0,I1885=""),"unrated",VLOOKUP(I1885,MappingTables!$B$19:$C$31,2,FALSE))</f>
        <v>unrated</v>
      </c>
      <c r="K1885" s="72">
        <v>324.75760550087396</v>
      </c>
      <c r="L1885" s="70">
        <v>0.068492974795026808</v>
      </c>
      <c r="M1885" s="71">
        <f>IF(L1885&lt;1,1,L1885)</f>
        <v>1</v>
      </c>
      <c r="N1885" s="70" t="s">
        <v>3288</v>
      </c>
      <c r="O1885" s="71">
        <f>IF(OR(I1885=$A$1,I1885=0),"",IF(N1885=MappingTables!$C$14,VLOOKUP(J1885,ModelParameters!$M$8:$N$15,2,FALSE),IF(N1885=MappingTables!$C$16,VLOOKUP(J1885,ModelParameters!$P$8:$Q$15,2,FALSE),0)))</f>
        <v>1</v>
      </c>
      <c r="P1885" s="73">
        <f>IF(OR(I1885=0,I1885=$A$1),0,MIN(O1885*M1885,1)*K1885)</f>
        <v>324.75760550087396</v>
      </c>
      <c r="Q1885" s="73">
        <f>IF(B1885="",0,IF(OR(H1885=MappingTables!$C$34,H1885=MappingTables!$C$35),P1885,0))</f>
        <v>0</v>
      </c>
      <c r="R1885" s="73">
        <f>IF(ISNA(IF(AND(VLOOKUP(CONCATENATE($D1885,$G1885),CSRFinput!$B:$E,4,0)=0,OR(H1885=MappingTables!$C$31,H1885=MappingTables!$C$32)),1,VLOOKUP(CONCATENATE($D1885,$G1885),CSRFinput!$B:$E,4,0))),0,IF(AND(VLOOKUP(CONCATENATE($D1885,$G1885),CSRFinput!$B:$E,4,0)=0,OR(H1885=MappingTables!$C$31,H1885=MappingTables!$C$32)),1,VLOOKUP(CONCATENATE($D1885,$G1885),CSRFinput!$B:$E,4,0)))</f>
        <v>0.054776304963434752</v>
      </c>
      <c r="S1885" s="73">
        <f>IF(B1885="",0,P1885*R1885)</f>
        <v>17.789021638110708</v>
      </c>
      <c r="T1885" s="85">
        <f>IF(B1885="",0,IF(OR(H1885=MappingTables!$C$34,H1885=MappingTables!$C$35),S1885,0))</f>
        <v>0</v>
      </c>
    </row>
    <row r="1886" spans="2:20" s="0" customFormat="0" ht="15">
      <c r="B1886" s="69" t="s">
        <v>4665</v>
      </c>
      <c r="C1886" s="70" t="s">
        <v>4666</v>
      </c>
      <c r="D1886" s="70" t="s">
        <v>1</v>
      </c>
      <c r="E1886" s="70" t="s">
        <v>1</v>
      </c>
      <c r="F1886" s="70"/>
      <c r="G1886" s="70" t="s">
        <v>61</v>
      </c>
      <c r="H1886" s="70" t="s">
        <v>178</v>
      </c>
      <c r="I1886" s="70" t="s">
        <v>204</v>
      </c>
      <c r="J1886" s="71">
        <f>IF(OR(I1886=0,I1886=""),"unrated",VLOOKUP(I1886,MappingTables!$B$19:$C$31,2,FALSE))</f>
        <v>6</v>
      </c>
      <c r="K1886" s="72">
        <v>291.92905398482556</v>
      </c>
      <c r="L1886" s="70">
        <v>0.068497362853758776</v>
      </c>
      <c r="M1886" s="71">
        <f>IF(L1886&lt;1,1,L1886)</f>
        <v>1</v>
      </c>
      <c r="N1886" s="70" t="s">
        <v>3288</v>
      </c>
      <c r="O1886" s="71">
        <f>IF(OR(I1886=$A$1,I1886=0),"",IF(N1886=MappingTables!$C$14,VLOOKUP(J1886,ModelParameters!$M$8:$N$15,2,FALSE),IF(N1886=MappingTables!$C$16,VLOOKUP(J1886,ModelParameters!$P$8:$Q$15,2,FALSE),0)))</f>
        <v>1</v>
      </c>
      <c r="P1886" s="73">
        <f>IF(OR(I1886=0,I1886=$A$1),0,MIN(O1886*M1886,1)*K1886)</f>
        <v>291.92905398482556</v>
      </c>
      <c r="Q1886" s="73">
        <f>IF(B1886="",0,IF(OR(H1886=MappingTables!$C$34,H1886=MappingTables!$C$35),P1886,0))</f>
        <v>0</v>
      </c>
      <c r="R1886" s="73">
        <f>IF(ISNA(IF(AND(VLOOKUP(CONCATENATE($D1886,$G1886),CSRFinput!$B:$E,4,0)=0,OR(H1886=MappingTables!$C$31,H1886=MappingTables!$C$32)),1,VLOOKUP(CONCATENATE($D1886,$G1886),CSRFinput!$B:$E,4,0))),0,IF(AND(VLOOKUP(CONCATENATE($D1886,$G1886),CSRFinput!$B:$E,4,0)=0,OR(H1886=MappingTables!$C$31,H1886=MappingTables!$C$32)),1,VLOOKUP(CONCATENATE($D1886,$G1886),CSRFinput!$B:$E,4,0)))</f>
        <v>0.054776304963434752</v>
      </c>
      <c r="S1886" s="73">
        <f>IF(B1886="",0,P1886*R1886)</f>
        <v>15.990794888759812</v>
      </c>
      <c r="T1886" s="85">
        <f>IF(B1886="",0,IF(OR(H1886=MappingTables!$C$34,H1886=MappingTables!$C$35),S1886,0))</f>
        <v>0</v>
      </c>
    </row>
    <row r="1887" spans="2:20" s="0" customFormat="0" ht="15">
      <c r="B1887" s="69">
        <v>20113244</v>
      </c>
      <c r="C1887" s="70" t="s">
        <v>5057</v>
      </c>
      <c r="D1887" s="70" t="s">
        <v>1</v>
      </c>
      <c r="E1887" s="70" t="s">
        <v>1</v>
      </c>
      <c r="F1887" s="70"/>
      <c r="G1887" s="70" t="s">
        <v>61</v>
      </c>
      <c r="H1887" s="70" t="s">
        <v>178</v>
      </c>
      <c r="I1887" s="70" t="s">
        <v>198</v>
      </c>
      <c r="J1887" s="71" t="str">
        <f>IF(OR(I1887=0,I1887=""),"unrated",VLOOKUP(I1887,MappingTables!$B$19:$C$31,2,FALSE))</f>
        <v>unrated</v>
      </c>
      <c r="K1887" s="72">
        <v>173.8071849367648</v>
      </c>
      <c r="L1887" s="70">
        <v>0.13031250768122606</v>
      </c>
      <c r="M1887" s="71">
        <f>IF(L1887&lt;1,1,L1887)</f>
        <v>1</v>
      </c>
      <c r="N1887" s="70" t="s">
        <v>3288</v>
      </c>
      <c r="O1887" s="71">
        <f>IF(OR(I1887=$A$1,I1887=0),"",IF(N1887=MappingTables!$C$14,VLOOKUP(J1887,ModelParameters!$M$8:$N$15,2,FALSE),IF(N1887=MappingTables!$C$16,VLOOKUP(J1887,ModelParameters!$P$8:$Q$15,2,FALSE),0)))</f>
        <v>1</v>
      </c>
      <c r="P1887" s="73">
        <f>IF(OR(I1887=0,I1887=$A$1),0,MIN(O1887*M1887,1)*K1887)</f>
        <v>173.8071849367648</v>
      </c>
      <c r="Q1887" s="73">
        <f>IF(B1887="",0,IF(OR(H1887=MappingTables!$C$34,H1887=MappingTables!$C$35),P1887,0))</f>
        <v>0</v>
      </c>
      <c r="R1887" s="73">
        <f>IF(ISNA(IF(AND(VLOOKUP(CONCATENATE($D1887,$G1887),CSRFinput!$B:$E,4,0)=0,OR(H1887=MappingTables!$C$31,H1887=MappingTables!$C$32)),1,VLOOKUP(CONCATENATE($D1887,$G1887),CSRFinput!$B:$E,4,0))),0,IF(AND(VLOOKUP(CONCATENATE($D1887,$G1887),CSRFinput!$B:$E,4,0)=0,OR(H1887=MappingTables!$C$31,H1887=MappingTables!$C$32)),1,VLOOKUP(CONCATENATE($D1887,$G1887),CSRFinput!$B:$E,4,0)))</f>
        <v>0.054776304963434752</v>
      </c>
      <c r="S1887" s="73">
        <f>IF(B1887="",0,P1887*R1887)</f>
        <v>9.5205153669323312</v>
      </c>
      <c r="T1887" s="85">
        <f>IF(B1887="",0,IF(OR(H1887=MappingTables!$C$34,H1887=MappingTables!$C$35),S1887,0))</f>
        <v>0</v>
      </c>
    </row>
    <row r="1888" spans="2:20" s="0" customFormat="0" ht="15">
      <c r="B1888" s="69" t="s">
        <v>4726</v>
      </c>
      <c r="C1888" s="70" t="s">
        <v>4727</v>
      </c>
      <c r="D1888" s="70" t="s">
        <v>1</v>
      </c>
      <c r="E1888" s="70" t="s">
        <v>1</v>
      </c>
      <c r="F1888" s="70"/>
      <c r="G1888" s="70" t="s">
        <v>61</v>
      </c>
      <c r="H1888" s="70" t="s">
        <v>178</v>
      </c>
      <c r="I1888" s="70" t="s">
        <v>198</v>
      </c>
      <c r="J1888" s="71" t="str">
        <f>IF(OR(I1888=0,I1888=""),"unrated",VLOOKUP(I1888,MappingTables!$B$19:$C$31,2,FALSE))</f>
        <v>unrated</v>
      </c>
      <c r="K1888" s="72">
        <v>6.1887212205579568</v>
      </c>
      <c r="L1888" s="70">
        <v>8.137419831701968</v>
      </c>
      <c r="M1888" s="71">
        <f>IF(L1888&lt;1,1,L1888)</f>
        <v>8.137419831701968</v>
      </c>
      <c r="N1888" s="70" t="s">
        <v>3288</v>
      </c>
      <c r="O1888" s="71">
        <f>IF(OR(I1888=$A$1,I1888=0),"",IF(N1888=MappingTables!$C$14,VLOOKUP(J1888,ModelParameters!$M$8:$N$15,2,FALSE),IF(N1888=MappingTables!$C$16,VLOOKUP(J1888,ModelParameters!$P$8:$Q$15,2,FALSE),0)))</f>
        <v>1</v>
      </c>
      <c r="P1888" s="73">
        <f>IF(OR(I1888=0,I1888=$A$1),0,MIN(O1888*M1888,1)*K1888)</f>
        <v>6.1887212205579568</v>
      </c>
      <c r="Q1888" s="73">
        <f>IF(B1888="",0,IF(OR(H1888=MappingTables!$C$34,H1888=MappingTables!$C$35),P1888,0))</f>
        <v>0</v>
      </c>
      <c r="R1888" s="73">
        <f>IF(ISNA(IF(AND(VLOOKUP(CONCATENATE($D1888,$G1888),CSRFinput!$B:$E,4,0)=0,OR(H1888=MappingTables!$C$31,H1888=MappingTables!$C$32)),1,VLOOKUP(CONCATENATE($D1888,$G1888),CSRFinput!$B:$E,4,0))),0,IF(AND(VLOOKUP(CONCATENATE($D1888,$G1888),CSRFinput!$B:$E,4,0)=0,OR(H1888=MappingTables!$C$31,H1888=MappingTables!$C$32)),1,VLOOKUP(CONCATENATE($D1888,$G1888),CSRFinput!$B:$E,4,0)))</f>
        <v>0.054776304963434752</v>
      </c>
      <c r="S1888" s="73">
        <f>IF(B1888="",0,P1888*R1888)</f>
        <v>0.3389952809109628</v>
      </c>
      <c r="T1888" s="85">
        <f>IF(B1888="",0,IF(OR(H1888=MappingTables!$C$34,H1888=MappingTables!$C$35),S1888,0))</f>
        <v>0</v>
      </c>
    </row>
    <row r="1889" spans="2:20" s="0" customFormat="0" ht="15">
      <c r="B1889" s="69">
        <v>813656</v>
      </c>
      <c r="C1889" s="70" t="s">
        <v>5182</v>
      </c>
      <c r="D1889" s="70" t="s">
        <v>1</v>
      </c>
      <c r="E1889" s="70" t="s">
        <v>1</v>
      </c>
      <c r="F1889" s="70"/>
      <c r="G1889" s="70" t="s">
        <v>61</v>
      </c>
      <c r="H1889" s="70" t="s">
        <v>178</v>
      </c>
      <c r="I1889" s="70" t="s">
        <v>198</v>
      </c>
      <c r="J1889" s="71" t="str">
        <f>IF(OR(I1889=0,I1889=""),"unrated",VLOOKUP(I1889,MappingTables!$B$19:$C$31,2,FALSE))</f>
        <v>unrated</v>
      </c>
      <c r="K1889" s="72">
        <v>21.601595519220748</v>
      </c>
      <c r="L1889" s="70">
        <v>0.06849000077323188</v>
      </c>
      <c r="M1889" s="71">
        <f>IF(L1889&lt;1,1,L1889)</f>
        <v>1</v>
      </c>
      <c r="N1889" s="70" t="s">
        <v>3288</v>
      </c>
      <c r="O1889" s="71">
        <f>IF(OR(I1889=$A$1,I1889=0),"",IF(N1889=MappingTables!$C$14,VLOOKUP(J1889,ModelParameters!$M$8:$N$15,2,FALSE),IF(N1889=MappingTables!$C$16,VLOOKUP(J1889,ModelParameters!$P$8:$Q$15,2,FALSE),0)))</f>
        <v>1</v>
      </c>
      <c r="P1889" s="73">
        <f>IF(OR(I1889=0,I1889=$A$1),0,MIN(O1889*M1889,1)*K1889)</f>
        <v>21.601595519220748</v>
      </c>
      <c r="Q1889" s="73">
        <f>IF(B1889="",0,IF(OR(H1889=MappingTables!$C$34,H1889=MappingTables!$C$35),P1889,0))</f>
        <v>0</v>
      </c>
      <c r="R1889" s="73">
        <f>IF(ISNA(IF(AND(VLOOKUP(CONCATENATE($D1889,$G1889),CSRFinput!$B:$E,4,0)=0,OR(H1889=MappingTables!$C$31,H1889=MappingTables!$C$32)),1,VLOOKUP(CONCATENATE($D1889,$G1889),CSRFinput!$B:$E,4,0))),0,IF(AND(VLOOKUP(CONCATENATE($D1889,$G1889),CSRFinput!$B:$E,4,0)=0,OR(H1889=MappingTables!$C$31,H1889=MappingTables!$C$32)),1,VLOOKUP(CONCATENATE($D1889,$G1889),CSRFinput!$B:$E,4,0)))</f>
        <v>0.054776304963434752</v>
      </c>
      <c r="S1889" s="73">
        <f>IF(B1889="",0,P1889*R1889)</f>
        <v>1.1832555838576014</v>
      </c>
      <c r="T1889" s="85">
        <f>IF(B1889="",0,IF(OR(H1889=MappingTables!$C$34,H1889=MappingTables!$C$35),S1889,0))</f>
        <v>0</v>
      </c>
    </row>
    <row r="1890" spans="2:20" s="0" customFormat="0" ht="15">
      <c r="B1890" s="69" t="s">
        <v>5177</v>
      </c>
      <c r="C1890" s="70" t="s">
        <v>5178</v>
      </c>
      <c r="D1890" s="70" t="s">
        <v>1</v>
      </c>
      <c r="E1890" s="70" t="s">
        <v>1</v>
      </c>
      <c r="F1890" s="70"/>
      <c r="G1890" s="70" t="s">
        <v>61</v>
      </c>
      <c r="H1890" s="70" t="s">
        <v>178</v>
      </c>
      <c r="I1890" s="70" t="s">
        <v>198</v>
      </c>
      <c r="J1890" s="71" t="str">
        <f>IF(OR(I1890=0,I1890=""),"unrated",VLOOKUP(I1890,MappingTables!$B$19:$C$31,2,FALSE))</f>
        <v>unrated</v>
      </c>
      <c r="K1890" s="72">
        <v>116.32905501290158</v>
      </c>
      <c r="L1890" s="70">
        <v>29.146843041823592</v>
      </c>
      <c r="M1890" s="71">
        <f>IF(L1890&lt;1,1,L1890)</f>
        <v>29.146843041823592</v>
      </c>
      <c r="N1890" s="70" t="s">
        <v>3288</v>
      </c>
      <c r="O1890" s="71">
        <f>IF(OR(I1890=$A$1,I1890=0),"",IF(N1890=MappingTables!$C$14,VLOOKUP(J1890,ModelParameters!$M$8:$N$15,2,FALSE),IF(N1890=MappingTables!$C$16,VLOOKUP(J1890,ModelParameters!$P$8:$Q$15,2,FALSE),0)))</f>
        <v>1</v>
      </c>
      <c r="P1890" s="73">
        <f>IF(OR(I1890=0,I1890=$A$1),0,MIN(O1890*M1890,1)*K1890)</f>
        <v>116.32905501290158</v>
      </c>
      <c r="Q1890" s="73">
        <f>IF(B1890="",0,IF(OR(H1890=MappingTables!$C$34,H1890=MappingTables!$C$35),P1890,0))</f>
        <v>0</v>
      </c>
      <c r="R1890" s="73">
        <f>IF(ISNA(IF(AND(VLOOKUP(CONCATENATE($D1890,$G1890),CSRFinput!$B:$E,4,0)=0,OR(H1890=MappingTables!$C$31,H1890=MappingTables!$C$32)),1,VLOOKUP(CONCATENATE($D1890,$G1890),CSRFinput!$B:$E,4,0))),0,IF(AND(VLOOKUP(CONCATENATE($D1890,$G1890),CSRFinput!$B:$E,4,0)=0,OR(H1890=MappingTables!$C$31,H1890=MappingTables!$C$32)),1,VLOOKUP(CONCATENATE($D1890,$G1890),CSRFinput!$B:$E,4,0)))</f>
        <v>0.054776304963434752</v>
      </c>
      <c r="S1890" s="73">
        <f>IF(B1890="",0,P1890*R1890)</f>
        <v>6.3720757934948752</v>
      </c>
      <c r="T1890" s="85">
        <f>IF(B1890="",0,IF(OR(H1890=MappingTables!$C$34,H1890=MappingTables!$C$35),S1890,0))</f>
        <v>0</v>
      </c>
    </row>
    <row r="1891" spans="2:20" s="0" customFormat="0" ht="15">
      <c r="B1891" s="69" t="s">
        <v>4984</v>
      </c>
      <c r="C1891" s="70" t="s">
        <v>4985</v>
      </c>
      <c r="D1891" s="70" t="s">
        <v>1</v>
      </c>
      <c r="E1891" s="70" t="s">
        <v>1</v>
      </c>
      <c r="F1891" s="70"/>
      <c r="G1891" s="70" t="s">
        <v>61</v>
      </c>
      <c r="H1891" s="70" t="s">
        <v>178</v>
      </c>
      <c r="I1891" s="70" t="s">
        <v>198</v>
      </c>
      <c r="J1891" s="71" t="str">
        <f>IF(OR(I1891=0,I1891=""),"unrated",VLOOKUP(I1891,MappingTables!$B$19:$C$31,2,FALSE))</f>
        <v>unrated</v>
      </c>
      <c r="K1891" s="72">
        <v>692.48488181093704</v>
      </c>
      <c r="L1891" s="70">
        <v>30.751642182871816</v>
      </c>
      <c r="M1891" s="71">
        <f>IF(L1891&lt;1,1,L1891)</f>
        <v>30.751642182871816</v>
      </c>
      <c r="N1891" s="70" t="s">
        <v>3288</v>
      </c>
      <c r="O1891" s="71">
        <f>IF(OR(I1891=$A$1,I1891=0),"",IF(N1891=MappingTables!$C$14,VLOOKUP(J1891,ModelParameters!$M$8:$N$15,2,FALSE),IF(N1891=MappingTables!$C$16,VLOOKUP(J1891,ModelParameters!$P$8:$Q$15,2,FALSE),0)))</f>
        <v>1</v>
      </c>
      <c r="P1891" s="73">
        <f>IF(OR(I1891=0,I1891=$A$1),0,MIN(O1891*M1891,1)*K1891)</f>
        <v>692.48488181093704</v>
      </c>
      <c r="Q1891" s="73">
        <f>IF(B1891="",0,IF(OR(H1891=MappingTables!$C$34,H1891=MappingTables!$C$35),P1891,0))</f>
        <v>0</v>
      </c>
      <c r="R1891" s="73">
        <f>IF(ISNA(IF(AND(VLOOKUP(CONCATENATE($D1891,$G1891),CSRFinput!$B:$E,4,0)=0,OR(H1891=MappingTables!$C$31,H1891=MappingTables!$C$32)),1,VLOOKUP(CONCATENATE($D1891,$G1891),CSRFinput!$B:$E,4,0))),0,IF(AND(VLOOKUP(CONCATENATE($D1891,$G1891),CSRFinput!$B:$E,4,0)=0,OR(H1891=MappingTables!$C$31,H1891=MappingTables!$C$32)),1,VLOOKUP(CONCATENATE($D1891,$G1891),CSRFinput!$B:$E,4,0)))</f>
        <v>0.054776304963434752</v>
      </c>
      <c r="S1891" s="73">
        <f>IF(B1891="",0,P1891*R1891)</f>
        <v>37.93176306864396</v>
      </c>
      <c r="T1891" s="85">
        <f>IF(B1891="",0,IF(OR(H1891=MappingTables!$C$34,H1891=MappingTables!$C$35),S1891,0))</f>
        <v>0</v>
      </c>
    </row>
    <row r="1892" spans="2:20" s="0" customFormat="0" ht="15">
      <c r="B1892" s="69">
        <v>16974057</v>
      </c>
      <c r="C1892" s="70" t="s">
        <v>5107</v>
      </c>
      <c r="D1892" s="70" t="s">
        <v>1</v>
      </c>
      <c r="E1892" s="70" t="s">
        <v>1</v>
      </c>
      <c r="F1892" s="70"/>
      <c r="G1892" s="70" t="s">
        <v>61</v>
      </c>
      <c r="H1892" s="70" t="s">
        <v>178</v>
      </c>
      <c r="I1892" s="70" t="s">
        <v>198</v>
      </c>
      <c r="J1892" s="71" t="str">
        <f>IF(OR(I1892=0,I1892=""),"unrated",VLOOKUP(I1892,MappingTables!$B$19:$C$31,2,FALSE))</f>
        <v>unrated</v>
      </c>
      <c r="K1892" s="72">
        <v>99.10876346938112</v>
      </c>
      <c r="L1892" s="70">
        <v>0.084441632511808464</v>
      </c>
      <c r="M1892" s="71">
        <f>IF(L1892&lt;1,1,L1892)</f>
        <v>1</v>
      </c>
      <c r="N1892" s="70" t="s">
        <v>3288</v>
      </c>
      <c r="O1892" s="71">
        <f>IF(OR(I1892=$A$1,I1892=0),"",IF(N1892=MappingTables!$C$14,VLOOKUP(J1892,ModelParameters!$M$8:$N$15,2,FALSE),IF(N1892=MappingTables!$C$16,VLOOKUP(J1892,ModelParameters!$P$8:$Q$15,2,FALSE),0)))</f>
        <v>1</v>
      </c>
      <c r="P1892" s="73">
        <f>IF(OR(I1892=0,I1892=$A$1),0,MIN(O1892*M1892,1)*K1892)</f>
        <v>99.10876346938112</v>
      </c>
      <c r="Q1892" s="73">
        <f>IF(B1892="",0,IF(OR(H1892=MappingTables!$C$34,H1892=MappingTables!$C$35),P1892,0))</f>
        <v>0</v>
      </c>
      <c r="R1892" s="73">
        <f>IF(ISNA(IF(AND(VLOOKUP(CONCATENATE($D1892,$G1892),CSRFinput!$B:$E,4,0)=0,OR(H1892=MappingTables!$C$31,H1892=MappingTables!$C$32)),1,VLOOKUP(CONCATENATE($D1892,$G1892),CSRFinput!$B:$E,4,0))),0,IF(AND(VLOOKUP(CONCATENATE($D1892,$G1892),CSRFinput!$B:$E,4,0)=0,OR(H1892=MappingTables!$C$31,H1892=MappingTables!$C$32)),1,VLOOKUP(CONCATENATE($D1892,$G1892),CSRFinput!$B:$E,4,0)))</f>
        <v>0.054776304963434752</v>
      </c>
      <c r="S1892" s="73">
        <f>IF(B1892="",0,P1892*R1892)</f>
        <v>5.4288118523477424</v>
      </c>
      <c r="T1892" s="85">
        <f>IF(B1892="",0,IF(OR(H1892=MappingTables!$C$34,H1892=MappingTables!$C$35),S1892,0))</f>
        <v>0</v>
      </c>
    </row>
    <row r="1893" spans="2:20" s="0" customFormat="0" ht="15">
      <c r="B1893" s="69" t="s">
        <v>4427</v>
      </c>
      <c r="C1893" s="70" t="s">
        <v>4428</v>
      </c>
      <c r="D1893" s="70" t="s">
        <v>1</v>
      </c>
      <c r="E1893" s="70" t="s">
        <v>1</v>
      </c>
      <c r="F1893" s="70"/>
      <c r="G1893" s="70" t="s">
        <v>61</v>
      </c>
      <c r="H1893" s="70" t="s">
        <v>178</v>
      </c>
      <c r="I1893" s="70" t="s">
        <v>198</v>
      </c>
      <c r="J1893" s="71" t="str">
        <f>IF(OR(I1893=0,I1893=""),"unrated",VLOOKUP(I1893,MappingTables!$B$19:$C$31,2,FALSE))</f>
        <v>unrated</v>
      </c>
      <c r="K1893" s="72">
        <v>11.931531204355752</v>
      </c>
      <c r="L1893" s="70">
        <v>0.052054626737704832</v>
      </c>
      <c r="M1893" s="71">
        <f>IF(L1893&lt;1,1,L1893)</f>
        <v>1</v>
      </c>
      <c r="N1893" s="70" t="s">
        <v>3288</v>
      </c>
      <c r="O1893" s="71">
        <f>IF(OR(I1893=$A$1,I1893=0),"",IF(N1893=MappingTables!$C$14,VLOOKUP(J1893,ModelParameters!$M$8:$N$15,2,FALSE),IF(N1893=MappingTables!$C$16,VLOOKUP(J1893,ModelParameters!$P$8:$Q$15,2,FALSE),0)))</f>
        <v>1</v>
      </c>
      <c r="P1893" s="73">
        <f>IF(OR(I1893=0,I1893=$A$1),0,MIN(O1893*M1893,1)*K1893)</f>
        <v>11.931531204355752</v>
      </c>
      <c r="Q1893" s="73">
        <f>IF(B1893="",0,IF(OR(H1893=MappingTables!$C$34,H1893=MappingTables!$C$35),P1893,0))</f>
        <v>0</v>
      </c>
      <c r="R1893" s="73">
        <f>IF(ISNA(IF(AND(VLOOKUP(CONCATENATE($D1893,$G1893),CSRFinput!$B:$E,4,0)=0,OR(H1893=MappingTables!$C$31,H1893=MappingTables!$C$32)),1,VLOOKUP(CONCATENATE($D1893,$G1893),CSRFinput!$B:$E,4,0))),0,IF(AND(VLOOKUP(CONCATENATE($D1893,$G1893),CSRFinput!$B:$E,4,0)=0,OR(H1893=MappingTables!$C$31,H1893=MappingTables!$C$32)),1,VLOOKUP(CONCATENATE($D1893,$G1893),CSRFinput!$B:$E,4,0)))</f>
        <v>0.054776304963434752</v>
      </c>
      <c r="S1893" s="73">
        <f>IF(B1893="",0,P1893*R1893)</f>
        <v>0.65356519193052864</v>
      </c>
      <c r="T1893" s="85">
        <f>IF(B1893="",0,IF(OR(H1893=MappingTables!$C$34,H1893=MappingTables!$C$35),S1893,0))</f>
        <v>0</v>
      </c>
    </row>
    <row r="1894" spans="2:20" s="0" customFormat="0" ht="15">
      <c r="B1894" s="69" t="s">
        <v>5183</v>
      </c>
      <c r="C1894" s="70" t="s">
        <v>5184</v>
      </c>
      <c r="D1894" s="70" t="s">
        <v>1</v>
      </c>
      <c r="E1894" s="70" t="s">
        <v>1</v>
      </c>
      <c r="F1894" s="70"/>
      <c r="G1894" s="70" t="s">
        <v>61</v>
      </c>
      <c r="H1894" s="70" t="s">
        <v>178</v>
      </c>
      <c r="I1894" s="70" t="s">
        <v>181</v>
      </c>
      <c r="J1894" s="71">
        <f>IF(OR(I1894=0,I1894=""),"unrated",VLOOKUP(I1894,MappingTables!$B$19:$C$31,2,FALSE))</f>
        <v>3</v>
      </c>
      <c r="K1894" s="72">
        <v>208.70149562730144</v>
      </c>
      <c r="L1894" s="70">
        <v>0.06849100843467744</v>
      </c>
      <c r="M1894" s="71">
        <f>IF(L1894&lt;1,1,L1894)</f>
        <v>1</v>
      </c>
      <c r="N1894" s="70" t="s">
        <v>3288</v>
      </c>
      <c r="O1894" s="71">
        <f>IF(OR(I1894=$A$1,I1894=0),"",IF(N1894=MappingTables!$C$14,VLOOKUP(J1894,ModelParameters!$M$8:$N$15,2,FALSE),IF(N1894=MappingTables!$C$16,VLOOKUP(J1894,ModelParameters!$P$8:$Q$15,2,FALSE),0)))</f>
        <v>0.197</v>
      </c>
      <c r="P1894" s="73">
        <f>IF(OR(I1894=0,I1894=$A$1),0,MIN(O1894*M1894,1)*K1894)</f>
        <v>41.114194638578384</v>
      </c>
      <c r="Q1894" s="73">
        <f>IF(B1894="",0,IF(OR(H1894=MappingTables!$C$34,H1894=MappingTables!$C$35),P1894,0))</f>
        <v>0</v>
      </c>
      <c r="R1894" s="73">
        <f>IF(ISNA(IF(AND(VLOOKUP(CONCATENATE($D1894,$G1894),CSRFinput!$B:$E,4,0)=0,OR(H1894=MappingTables!$C$31,H1894=MappingTables!$C$32)),1,VLOOKUP(CONCATENATE($D1894,$G1894),CSRFinput!$B:$E,4,0))),0,IF(AND(VLOOKUP(CONCATENATE($D1894,$G1894),CSRFinput!$B:$E,4,0)=0,OR(H1894=MappingTables!$C$31,H1894=MappingTables!$C$32)),1,VLOOKUP(CONCATENATE($D1894,$G1894),CSRFinput!$B:$E,4,0)))</f>
        <v>0.054776304963434752</v>
      </c>
      <c r="S1894" s="73">
        <f>IF(B1894="",0,P1894*R1894)</f>
        <v>2.2520836638487836</v>
      </c>
      <c r="T1894" s="85">
        <f>IF(B1894="",0,IF(OR(H1894=MappingTables!$C$34,H1894=MappingTables!$C$35),S1894,0))</f>
        <v>0</v>
      </c>
    </row>
    <row r="1895" spans="2:20" s="0" customFormat="0" ht="15">
      <c r="B1895" s="69">
        <v>22554343</v>
      </c>
      <c r="C1895" s="70" t="s">
        <v>4761</v>
      </c>
      <c r="D1895" s="70" t="s">
        <v>1</v>
      </c>
      <c r="E1895" s="70" t="s">
        <v>1</v>
      </c>
      <c r="F1895" s="70"/>
      <c r="G1895" s="70" t="s">
        <v>61</v>
      </c>
      <c r="H1895" s="70" t="s">
        <v>178</v>
      </c>
      <c r="I1895" s="70" t="s">
        <v>184</v>
      </c>
      <c r="J1895" s="71">
        <f>IF(OR(I1895=0,I1895=""),"unrated",VLOOKUP(I1895,MappingTables!$B$19:$C$31,2,FALSE))</f>
        <v>5</v>
      </c>
      <c r="K1895" s="72">
        <v>316.63472418602384</v>
      </c>
      <c r="L1895" s="70">
        <v>0.068492377790119616</v>
      </c>
      <c r="M1895" s="71">
        <f>IF(L1895&lt;1,1,L1895)</f>
        <v>1</v>
      </c>
      <c r="N1895" s="70" t="s">
        <v>3288</v>
      </c>
      <c r="O1895" s="71">
        <f>IF(OR(I1895=$A$1,I1895=0),"",IF(N1895=MappingTables!$C$14,VLOOKUP(J1895,ModelParameters!$M$8:$N$15,2,FALSE),IF(N1895=MappingTables!$C$16,VLOOKUP(J1895,ModelParameters!$P$8:$Q$15,2,FALSE),0)))</f>
        <v>1</v>
      </c>
      <c r="P1895" s="73">
        <f>IF(OR(I1895=0,I1895=$A$1),0,MIN(O1895*M1895,1)*K1895)</f>
        <v>316.63472418602384</v>
      </c>
      <c r="Q1895" s="73">
        <f>IF(B1895="",0,IF(OR(H1895=MappingTables!$C$34,H1895=MappingTables!$C$35),P1895,0))</f>
        <v>0</v>
      </c>
      <c r="R1895" s="73">
        <f>IF(ISNA(IF(AND(VLOOKUP(CONCATENATE($D1895,$G1895),CSRFinput!$B:$E,4,0)=0,OR(H1895=MappingTables!$C$31,H1895=MappingTables!$C$32)),1,VLOOKUP(CONCATENATE($D1895,$G1895),CSRFinput!$B:$E,4,0))),0,IF(AND(VLOOKUP(CONCATENATE($D1895,$G1895),CSRFinput!$B:$E,4,0)=0,OR(H1895=MappingTables!$C$31,H1895=MappingTables!$C$32)),1,VLOOKUP(CONCATENATE($D1895,$G1895),CSRFinput!$B:$E,4,0)))</f>
        <v>0.054776304963434752</v>
      </c>
      <c r="S1895" s="73">
        <f>IF(B1895="",0,P1895*R1895)</f>
        <v>17.344080214026694</v>
      </c>
      <c r="T1895" s="85">
        <f>IF(B1895="",0,IF(OR(H1895=MappingTables!$C$34,H1895=MappingTables!$C$35),S1895,0))</f>
        <v>0</v>
      </c>
    </row>
    <row r="1896" spans="2:20" s="0" customFormat="0" ht="15">
      <c r="B1896" s="69">
        <v>22554475</v>
      </c>
      <c r="C1896" s="70" t="s">
        <v>4132</v>
      </c>
      <c r="D1896" s="70" t="s">
        <v>1</v>
      </c>
      <c r="E1896" s="70" t="s">
        <v>1</v>
      </c>
      <c r="F1896" s="70"/>
      <c r="G1896" s="70" t="s">
        <v>61</v>
      </c>
      <c r="H1896" s="70" t="s">
        <v>178</v>
      </c>
      <c r="I1896" s="70" t="s">
        <v>220</v>
      </c>
      <c r="J1896" s="71">
        <f>IF(OR(I1896=0,I1896=""),"unrated",VLOOKUP(I1896,MappingTables!$B$19:$C$31,2,FALSE))</f>
        <v>1</v>
      </c>
      <c r="K1896" s="72">
        <v>713.84217511184432</v>
      </c>
      <c r="L1896" s="70">
        <v>0.31893262895708536</v>
      </c>
      <c r="M1896" s="71">
        <f>IF(L1896&lt;1,1,L1896)</f>
        <v>1</v>
      </c>
      <c r="N1896" s="70" t="s">
        <v>3288</v>
      </c>
      <c r="O1896" s="71">
        <f>IF(OR(I1896=$A$1,I1896=0),"",IF(N1896=MappingTables!$C$14,VLOOKUP(J1896,ModelParameters!$M$8:$N$15,2,FALSE),IF(N1896=MappingTables!$C$16,VLOOKUP(J1896,ModelParameters!$P$8:$Q$15,2,FALSE),0)))</f>
        <v>0.134</v>
      </c>
      <c r="P1896" s="73">
        <f>IF(OR(I1896=0,I1896=$A$1),0,MIN(O1896*M1896,1)*K1896)</f>
        <v>95.654851464987152</v>
      </c>
      <c r="Q1896" s="73">
        <f>IF(B1896="",0,IF(OR(H1896=MappingTables!$C$34,H1896=MappingTables!$C$35),P1896,0))</f>
        <v>0</v>
      </c>
      <c r="R1896" s="73">
        <f>IF(ISNA(IF(AND(VLOOKUP(CONCATENATE($D1896,$G1896),CSRFinput!$B:$E,4,0)=0,OR(H1896=MappingTables!$C$31,H1896=MappingTables!$C$32)),1,VLOOKUP(CONCATENATE($D1896,$G1896),CSRFinput!$B:$E,4,0))),0,IF(AND(VLOOKUP(CONCATENATE($D1896,$G1896),CSRFinput!$B:$E,4,0)=0,OR(H1896=MappingTables!$C$31,H1896=MappingTables!$C$32)),1,VLOOKUP(CONCATENATE($D1896,$G1896),CSRFinput!$B:$E,4,0)))</f>
        <v>0.054776304963434752</v>
      </c>
      <c r="S1896" s="73">
        <f>IF(B1896="",0,P1896*R1896)</f>
        <v>5.2396193150781896</v>
      </c>
      <c r="T1896" s="85">
        <f>IF(B1896="",0,IF(OR(H1896=MappingTables!$C$34,H1896=MappingTables!$C$35),S1896,0))</f>
        <v>0</v>
      </c>
    </row>
    <row r="1897" spans="2:20" s="0" customFormat="0" ht="15">
      <c r="B1897" s="69" t="s">
        <v>5185</v>
      </c>
      <c r="C1897" s="70" t="s">
        <v>5186</v>
      </c>
      <c r="D1897" s="70" t="s">
        <v>1</v>
      </c>
      <c r="E1897" s="70" t="s">
        <v>1</v>
      </c>
      <c r="F1897" s="70"/>
      <c r="G1897" s="70" t="s">
        <v>61</v>
      </c>
      <c r="H1897" s="70" t="s">
        <v>178</v>
      </c>
      <c r="I1897" s="70" t="s">
        <v>3291</v>
      </c>
      <c r="J1897" s="71">
        <f>IF(OR(I1897=0,I1897=""),"unrated",VLOOKUP(I1897,MappingTables!$B$19:$C$31,2,FALSE))</f>
        <v>6</v>
      </c>
      <c r="K1897" s="72">
        <v>34.79610863269928</v>
      </c>
      <c r="L1897" s="70">
        <v>0.068493844533024536</v>
      </c>
      <c r="M1897" s="71">
        <f>IF(L1897&lt;1,1,L1897)</f>
        <v>1</v>
      </c>
      <c r="N1897" s="70" t="s">
        <v>3288</v>
      </c>
      <c r="O1897" s="71">
        <f>IF(OR(I1897=$A$1,I1897=0),"",IF(N1897=MappingTables!$C$14,VLOOKUP(J1897,ModelParameters!$M$8:$N$15,2,FALSE),IF(N1897=MappingTables!$C$16,VLOOKUP(J1897,ModelParameters!$P$8:$Q$15,2,FALSE),0)))</f>
        <v>1</v>
      </c>
      <c r="P1897" s="73">
        <f>IF(OR(I1897=0,I1897=$A$1),0,MIN(O1897*M1897,1)*K1897)</f>
        <v>34.79610863269928</v>
      </c>
      <c r="Q1897" s="73">
        <f>IF(B1897="",0,IF(OR(H1897=MappingTables!$C$34,H1897=MappingTables!$C$35),P1897,0))</f>
        <v>0</v>
      </c>
      <c r="R1897" s="73">
        <f>IF(ISNA(IF(AND(VLOOKUP(CONCATENATE($D1897,$G1897),CSRFinput!$B:$E,4,0)=0,OR(H1897=MappingTables!$C$31,H1897=MappingTables!$C$32)),1,VLOOKUP(CONCATENATE($D1897,$G1897),CSRFinput!$B:$E,4,0))),0,IF(AND(VLOOKUP(CONCATENATE($D1897,$G1897),CSRFinput!$B:$E,4,0)=0,OR(H1897=MappingTables!$C$31,H1897=MappingTables!$C$32)),1,VLOOKUP(CONCATENATE($D1897,$G1897),CSRFinput!$B:$E,4,0)))</f>
        <v>0.054776304963434752</v>
      </c>
      <c r="S1897" s="73">
        <f>IF(B1897="",0,P1897*R1897)</f>
        <v>1.9060022580055404</v>
      </c>
      <c r="T1897" s="85">
        <f>IF(B1897="",0,IF(OR(H1897=MappingTables!$C$34,H1897=MappingTables!$C$35),S1897,0))</f>
        <v>0</v>
      </c>
    </row>
    <row r="1898" spans="2:20" s="0" customFormat="0" ht="15">
      <c r="B1898" s="69">
        <v>11100305</v>
      </c>
      <c r="C1898" s="70" t="s">
        <v>5187</v>
      </c>
      <c r="D1898" s="70" t="s">
        <v>1</v>
      </c>
      <c r="E1898" s="70" t="s">
        <v>1</v>
      </c>
      <c r="F1898" s="70"/>
      <c r="G1898" s="70" t="s">
        <v>61</v>
      </c>
      <c r="H1898" s="70" t="s">
        <v>178</v>
      </c>
      <c r="I1898" s="70" t="s">
        <v>216</v>
      </c>
      <c r="J1898" s="71">
        <f>IF(OR(I1898=0,I1898=""),"unrated",VLOOKUP(I1898,MappingTables!$B$19:$C$31,2,FALSE))</f>
        <v>0</v>
      </c>
      <c r="K1898" s="72">
        <v>230.5194859391546</v>
      </c>
      <c r="L1898" s="70">
        <v>1.5590666853004706</v>
      </c>
      <c r="M1898" s="71">
        <f>IF(L1898&lt;1,1,L1898)</f>
        <v>1.5590666853004706</v>
      </c>
      <c r="N1898" s="70" t="s">
        <v>3288</v>
      </c>
      <c r="O1898" s="71">
        <f>IF(OR(I1898=$A$1,I1898=0),"",IF(N1898=MappingTables!$C$14,VLOOKUP(J1898,ModelParameters!$M$8:$N$15,2,FALSE),IF(N1898=MappingTables!$C$16,VLOOKUP(J1898,ModelParameters!$P$8:$Q$15,2,FALSE),0)))</f>
        <v>0.125</v>
      </c>
      <c r="P1898" s="73">
        <f>IF(OR(I1898=0,I1898=$A$1),0,MIN(O1898*M1898,1)*K1898)</f>
        <v>44.924406355040784</v>
      </c>
      <c r="Q1898" s="73">
        <f>IF(B1898="",0,IF(OR(H1898=MappingTables!$C$34,H1898=MappingTables!$C$35),P1898,0))</f>
        <v>0</v>
      </c>
      <c r="R1898" s="73">
        <f>IF(ISNA(IF(AND(VLOOKUP(CONCATENATE($D1898,$G1898),CSRFinput!$B:$E,4,0)=0,OR(H1898=MappingTables!$C$31,H1898=MappingTables!$C$32)),1,VLOOKUP(CONCATENATE($D1898,$G1898),CSRFinput!$B:$E,4,0))),0,IF(AND(VLOOKUP(CONCATENATE($D1898,$G1898),CSRFinput!$B:$E,4,0)=0,OR(H1898=MappingTables!$C$31,H1898=MappingTables!$C$32)),1,VLOOKUP(CONCATENATE($D1898,$G1898),CSRFinput!$B:$E,4,0)))</f>
        <v>0.054776304963434752</v>
      </c>
      <c r="S1898" s="73">
        <f>IF(B1898="",0,P1898*R1898)</f>
        <v>2.46079298280498</v>
      </c>
      <c r="T1898" s="85">
        <f>IF(B1898="",0,IF(OR(H1898=MappingTables!$C$34,H1898=MappingTables!$C$35),S1898,0))</f>
        <v>0</v>
      </c>
    </row>
    <row r="1899" spans="2:20" s="0" customFormat="0" ht="15">
      <c r="B1899" s="69" t="s">
        <v>3938</v>
      </c>
      <c r="C1899" s="70" t="s">
        <v>3939</v>
      </c>
      <c r="D1899" s="70" t="s">
        <v>1</v>
      </c>
      <c r="E1899" s="70" t="s">
        <v>1</v>
      </c>
      <c r="F1899" s="70"/>
      <c r="G1899" s="70" t="s">
        <v>61</v>
      </c>
      <c r="H1899" s="70" t="s">
        <v>178</v>
      </c>
      <c r="I1899" s="70" t="s">
        <v>198</v>
      </c>
      <c r="J1899" s="71" t="str">
        <f>IF(OR(I1899=0,I1899=""),"unrated",VLOOKUP(I1899,MappingTables!$B$19:$C$31,2,FALSE))</f>
        <v>unrated</v>
      </c>
      <c r="K1899" s="72">
        <v>0.097477819655408464</v>
      </c>
      <c r="L1899" s="70">
        <v>4.7029238727905088</v>
      </c>
      <c r="M1899" s="71">
        <f>IF(L1899&lt;1,1,L1899)</f>
        <v>4.7029238727905088</v>
      </c>
      <c r="N1899" s="70" t="s">
        <v>3288</v>
      </c>
      <c r="O1899" s="71">
        <f>IF(OR(I1899=$A$1,I1899=0),"",IF(N1899=MappingTables!$C$14,VLOOKUP(J1899,ModelParameters!$M$8:$N$15,2,FALSE),IF(N1899=MappingTables!$C$16,VLOOKUP(J1899,ModelParameters!$P$8:$Q$15,2,FALSE),0)))</f>
        <v>1</v>
      </c>
      <c r="P1899" s="73">
        <f>IF(OR(I1899=0,I1899=$A$1),0,MIN(O1899*M1899,1)*K1899)</f>
        <v>0.097477819655408464</v>
      </c>
      <c r="Q1899" s="73">
        <f>IF(B1899="",0,IF(OR(H1899=MappingTables!$C$34,H1899=MappingTables!$C$35),P1899,0))</f>
        <v>0</v>
      </c>
      <c r="R1899" s="73">
        <f>IF(ISNA(IF(AND(VLOOKUP(CONCATENATE($D1899,$G1899),CSRFinput!$B:$E,4,0)=0,OR(H1899=MappingTables!$C$31,H1899=MappingTables!$C$32)),1,VLOOKUP(CONCATENATE($D1899,$G1899),CSRFinput!$B:$E,4,0))),0,IF(AND(VLOOKUP(CONCATENATE($D1899,$G1899),CSRFinput!$B:$E,4,0)=0,OR(H1899=MappingTables!$C$31,H1899=MappingTables!$C$32)),1,VLOOKUP(CONCATENATE($D1899,$G1899),CSRFinput!$B:$E,4,0)))</f>
        <v>0.054776304963434752</v>
      </c>
      <c r="S1899" s="73">
        <f>IF(B1899="",0,P1899*R1899)</f>
        <v>0.0053394747766153488</v>
      </c>
      <c r="T1899" s="85">
        <f>IF(B1899="",0,IF(OR(H1899=MappingTables!$C$34,H1899=MappingTables!$C$35),S1899,0))</f>
        <v>0</v>
      </c>
    </row>
    <row r="1900" spans="2:20" s="0" customFormat="0" ht="15">
      <c r="B1900" s="69">
        <v>7065941</v>
      </c>
      <c r="C1900" s="70" t="s">
        <v>5150</v>
      </c>
      <c r="D1900" s="70" t="s">
        <v>1</v>
      </c>
      <c r="E1900" s="70" t="s">
        <v>1</v>
      </c>
      <c r="F1900" s="70"/>
      <c r="G1900" s="70" t="s">
        <v>61</v>
      </c>
      <c r="H1900" s="70" t="s">
        <v>178</v>
      </c>
      <c r="I1900" s="70" t="s">
        <v>216</v>
      </c>
      <c r="J1900" s="71">
        <f>IF(OR(I1900=0,I1900=""),"unrated",VLOOKUP(I1900,MappingTables!$B$19:$C$31,2,FALSE))</f>
        <v>0</v>
      </c>
      <c r="K1900" s="72">
        <v>1.4625098900754586</v>
      </c>
      <c r="L1900" s="70">
        <v>0.050352329840770432</v>
      </c>
      <c r="M1900" s="71">
        <f>IF(L1900&lt;1,1,L1900)</f>
        <v>1</v>
      </c>
      <c r="N1900" s="70" t="s">
        <v>3288</v>
      </c>
      <c r="O1900" s="71">
        <f>IF(OR(I1900=$A$1,I1900=0),"",IF(N1900=MappingTables!$C$14,VLOOKUP(J1900,ModelParameters!$M$8:$N$15,2,FALSE),IF(N1900=MappingTables!$C$16,VLOOKUP(J1900,ModelParameters!$P$8:$Q$15,2,FALSE),0)))</f>
        <v>0.125</v>
      </c>
      <c r="P1900" s="73">
        <f>IF(OR(I1900=0,I1900=$A$1),0,MIN(O1900*M1900,1)*K1900)</f>
        <v>0.18281373625943232</v>
      </c>
      <c r="Q1900" s="73">
        <f>IF(B1900="",0,IF(OR(H1900=MappingTables!$C$34,H1900=MappingTables!$C$35),P1900,0))</f>
        <v>0</v>
      </c>
      <c r="R1900" s="73">
        <f>IF(ISNA(IF(AND(VLOOKUP(CONCATENATE($D1900,$G1900),CSRFinput!$B:$E,4,0)=0,OR(H1900=MappingTables!$C$31,H1900=MappingTables!$C$32)),1,VLOOKUP(CONCATENATE($D1900,$G1900),CSRFinput!$B:$E,4,0))),0,IF(AND(VLOOKUP(CONCATENATE($D1900,$G1900),CSRFinput!$B:$E,4,0)=0,OR(H1900=MappingTables!$C$31,H1900=MappingTables!$C$32)),1,VLOOKUP(CONCATENATE($D1900,$G1900),CSRFinput!$B:$E,4,0)))</f>
        <v>0.054776304963434752</v>
      </c>
      <c r="S1900" s="73">
        <f>IF(B1900="",0,P1900*R1900)</f>
        <v>0.010013860968851594</v>
      </c>
      <c r="T1900" s="85">
        <f>IF(B1900="",0,IF(OR(H1900=MappingTables!$C$34,H1900=MappingTables!$C$35),S1900,0))</f>
        <v>0</v>
      </c>
    </row>
    <row r="1901" spans="2:20" s="0" customFormat="0" ht="15">
      <c r="B1901" s="69" t="s">
        <v>3752</v>
      </c>
      <c r="C1901" s="70" t="s">
        <v>3753</v>
      </c>
      <c r="D1901" s="70" t="s">
        <v>1</v>
      </c>
      <c r="E1901" s="70" t="s">
        <v>1</v>
      </c>
      <c r="F1901" s="70"/>
      <c r="G1901" s="70" t="s">
        <v>61</v>
      </c>
      <c r="H1901" s="70" t="s">
        <v>178</v>
      </c>
      <c r="I1901" s="70" t="s">
        <v>198</v>
      </c>
      <c r="J1901" s="71" t="str">
        <f>IF(OR(I1901=0,I1901=""),"unrated",VLOOKUP(I1901,MappingTables!$B$19:$C$31,2,FALSE))</f>
        <v>unrated</v>
      </c>
      <c r="K1901" s="72">
        <v>17401.123565714712</v>
      </c>
      <c r="L1901" s="70">
        <v>9.0068457239296768</v>
      </c>
      <c r="M1901" s="71">
        <f>IF(L1901&lt;1,1,L1901)</f>
        <v>9.0068457239296768</v>
      </c>
      <c r="N1901" s="70" t="s">
        <v>3288</v>
      </c>
      <c r="O1901" s="71">
        <f>IF(OR(I1901=$A$1,I1901=0),"",IF(N1901=MappingTables!$C$14,VLOOKUP(J1901,ModelParameters!$M$8:$N$15,2,FALSE),IF(N1901=MappingTables!$C$16,VLOOKUP(J1901,ModelParameters!$P$8:$Q$15,2,FALSE),0)))</f>
        <v>1</v>
      </c>
      <c r="P1901" s="73">
        <f>IF(OR(I1901=0,I1901=$A$1),0,MIN(O1901*M1901,1)*K1901)</f>
        <v>17401.123565714712</v>
      </c>
      <c r="Q1901" s="73">
        <f>IF(B1901="",0,IF(OR(H1901=MappingTables!$C$34,H1901=MappingTables!$C$35),P1901,0))</f>
        <v>0</v>
      </c>
      <c r="R1901" s="73">
        <f>IF(ISNA(IF(AND(VLOOKUP(CONCATENATE($D1901,$G1901),CSRFinput!$B:$E,4,0)=0,OR(H1901=MappingTables!$C$31,H1901=MappingTables!$C$32)),1,VLOOKUP(CONCATENATE($D1901,$G1901),CSRFinput!$B:$E,4,0))),0,IF(AND(VLOOKUP(CONCATENATE($D1901,$G1901),CSRFinput!$B:$E,4,0)=0,OR(H1901=MappingTables!$C$31,H1901=MappingTables!$C$32)),1,VLOOKUP(CONCATENATE($D1901,$G1901),CSRFinput!$B:$E,4,0)))</f>
        <v>0.054776304963434752</v>
      </c>
      <c r="S1901" s="73">
        <f>IF(B1901="",0,P1901*R1901)</f>
        <v>953.16925114200016</v>
      </c>
      <c r="T1901" s="85">
        <f>IF(B1901="",0,IF(OR(H1901=MappingTables!$C$34,H1901=MappingTables!$C$35),S1901,0))</f>
        <v>0</v>
      </c>
    </row>
    <row r="1902" spans="2:20" s="0" customFormat="0" ht="15">
      <c r="B1902" s="69" t="s">
        <v>5147</v>
      </c>
      <c r="C1902" s="70" t="s">
        <v>5148</v>
      </c>
      <c r="D1902" s="70" t="s">
        <v>1</v>
      </c>
      <c r="E1902" s="70" t="s">
        <v>1</v>
      </c>
      <c r="F1902" s="70"/>
      <c r="G1902" s="70" t="s">
        <v>61</v>
      </c>
      <c r="H1902" s="70" t="s">
        <v>178</v>
      </c>
      <c r="I1902" s="70" t="s">
        <v>184</v>
      </c>
      <c r="J1902" s="71">
        <f>IF(OR(I1902=0,I1902=""),"unrated",VLOOKUP(I1902,MappingTables!$B$19:$C$31,2,FALSE))</f>
        <v>5</v>
      </c>
      <c r="K1902" s="72">
        <v>16355.093025591286</v>
      </c>
      <c r="L1902" s="70">
        <v>4.8759057777341128</v>
      </c>
      <c r="M1902" s="71">
        <f>IF(L1902&lt;1,1,L1902)</f>
        <v>4.8759057777341128</v>
      </c>
      <c r="N1902" s="70" t="s">
        <v>3288</v>
      </c>
      <c r="O1902" s="71">
        <f>IF(OR(I1902=$A$1,I1902=0),"",IF(N1902=MappingTables!$C$14,VLOOKUP(J1902,ModelParameters!$M$8:$N$15,2,FALSE),IF(N1902=MappingTables!$C$16,VLOOKUP(J1902,ModelParameters!$P$8:$Q$15,2,FALSE),0)))</f>
        <v>1</v>
      </c>
      <c r="P1902" s="73">
        <f>IF(OR(I1902=0,I1902=$A$1),0,MIN(O1902*M1902,1)*K1902)</f>
        <v>16355.093025591286</v>
      </c>
      <c r="Q1902" s="73">
        <f>IF(B1902="",0,IF(OR(H1902=MappingTables!$C$34,H1902=MappingTables!$C$35),P1902,0))</f>
        <v>0</v>
      </c>
      <c r="R1902" s="73">
        <f>IF(ISNA(IF(AND(VLOOKUP(CONCATENATE($D1902,$G1902),CSRFinput!$B:$E,4,0)=0,OR(H1902=MappingTables!$C$31,H1902=MappingTables!$C$32)),1,VLOOKUP(CONCATENATE($D1902,$G1902),CSRFinput!$B:$E,4,0))),0,IF(AND(VLOOKUP(CONCATENATE($D1902,$G1902),CSRFinput!$B:$E,4,0)=0,OR(H1902=MappingTables!$C$31,H1902=MappingTables!$C$32)),1,VLOOKUP(CONCATENATE($D1902,$G1902),CSRFinput!$B:$E,4,0)))</f>
        <v>0.054776304963434752</v>
      </c>
      <c r="S1902" s="73">
        <f>IF(B1902="",0,P1902*R1902)</f>
        <v>895.87156327513312</v>
      </c>
      <c r="T1902" s="85">
        <f>IF(B1902="",0,IF(OR(H1902=MappingTables!$C$34,H1902=MappingTables!$C$35),S1902,0))</f>
        <v>0</v>
      </c>
    </row>
    <row r="1903" spans="2:20" s="0" customFormat="0" ht="15">
      <c r="B1903" s="69" t="s">
        <v>4175</v>
      </c>
      <c r="C1903" s="70" t="s">
        <v>4176</v>
      </c>
      <c r="D1903" s="70" t="s">
        <v>1</v>
      </c>
      <c r="E1903" s="70" t="s">
        <v>1</v>
      </c>
      <c r="F1903" s="70"/>
      <c r="G1903" s="70" t="s">
        <v>61</v>
      </c>
      <c r="H1903" s="70" t="s">
        <v>178</v>
      </c>
      <c r="I1903" s="70" t="s">
        <v>204</v>
      </c>
      <c r="J1903" s="71">
        <f>IF(OR(I1903=0,I1903=""),"unrated",VLOOKUP(I1903,MappingTables!$B$19:$C$31,2,FALSE))</f>
        <v>6</v>
      </c>
      <c r="K1903" s="72">
        <v>838.68702371523792</v>
      </c>
      <c r="L1903" s="70">
        <v>0.04086142561999712</v>
      </c>
      <c r="M1903" s="71">
        <f>IF(L1903&lt;1,1,L1903)</f>
        <v>1</v>
      </c>
      <c r="N1903" s="70" t="s">
        <v>3288</v>
      </c>
      <c r="O1903" s="71">
        <f>IF(OR(I1903=$A$1,I1903=0),"",IF(N1903=MappingTables!$C$14,VLOOKUP(J1903,ModelParameters!$M$8:$N$15,2,FALSE),IF(N1903=MappingTables!$C$16,VLOOKUP(J1903,ModelParameters!$P$8:$Q$15,2,FALSE),0)))</f>
        <v>1</v>
      </c>
      <c r="P1903" s="73">
        <f>IF(OR(I1903=0,I1903=$A$1),0,MIN(O1903*M1903,1)*K1903)</f>
        <v>838.68702371523792</v>
      </c>
      <c r="Q1903" s="73">
        <f>IF(B1903="",0,IF(OR(H1903=MappingTables!$C$34,H1903=MappingTables!$C$35),P1903,0))</f>
        <v>0</v>
      </c>
      <c r="R1903" s="73">
        <f>IF(ISNA(IF(AND(VLOOKUP(CONCATENATE($D1903,$G1903),CSRFinput!$B:$E,4,0)=0,OR(H1903=MappingTables!$C$31,H1903=MappingTables!$C$32)),1,VLOOKUP(CONCATENATE($D1903,$G1903),CSRFinput!$B:$E,4,0))),0,IF(AND(VLOOKUP(CONCATENATE($D1903,$G1903),CSRFinput!$B:$E,4,0)=0,OR(H1903=MappingTables!$C$31,H1903=MappingTables!$C$32)),1,VLOOKUP(CONCATENATE($D1903,$G1903),CSRFinput!$B:$E,4,0)))</f>
        <v>0.054776304963434752</v>
      </c>
      <c r="S1903" s="73">
        <f>IF(B1903="",0,P1903*R1903)</f>
        <v>45.940176179901304</v>
      </c>
      <c r="T1903" s="85">
        <f>IF(B1903="",0,IF(OR(H1903=MappingTables!$C$34,H1903=MappingTables!$C$35),S1903,0))</f>
        <v>0</v>
      </c>
    </row>
    <row r="1904" spans="2:20" s="0" customFormat="0" ht="15">
      <c r="B1904" s="69">
        <v>21027809</v>
      </c>
      <c r="C1904" s="70" t="s">
        <v>5188</v>
      </c>
      <c r="D1904" s="70" t="s">
        <v>1</v>
      </c>
      <c r="E1904" s="70" t="s">
        <v>1</v>
      </c>
      <c r="F1904" s="70"/>
      <c r="G1904" s="70" t="s">
        <v>61</v>
      </c>
      <c r="H1904" s="70" t="s">
        <v>178</v>
      </c>
      <c r="I1904" s="70" t="s">
        <v>198</v>
      </c>
      <c r="J1904" s="71" t="str">
        <f>IF(OR(I1904=0,I1904=""),"unrated",VLOOKUP(I1904,MappingTables!$B$19:$C$31,2,FALSE))</f>
        <v>unrated</v>
      </c>
      <c r="K1904" s="72">
        <v>1522.54661264572</v>
      </c>
      <c r="L1904" s="70">
        <v>0.050157330736154272</v>
      </c>
      <c r="M1904" s="71">
        <f>IF(L1904&lt;1,1,L1904)</f>
        <v>1</v>
      </c>
      <c r="N1904" s="70" t="s">
        <v>3288</v>
      </c>
      <c r="O1904" s="71">
        <f>IF(OR(I1904=$A$1,I1904=0),"",IF(N1904=MappingTables!$C$14,VLOOKUP(J1904,ModelParameters!$M$8:$N$15,2,FALSE),IF(N1904=MappingTables!$C$16,VLOOKUP(J1904,ModelParameters!$P$8:$Q$15,2,FALSE),0)))</f>
        <v>1</v>
      </c>
      <c r="P1904" s="73">
        <f>IF(OR(I1904=0,I1904=$A$1),0,MIN(O1904*M1904,1)*K1904)</f>
        <v>1522.54661264572</v>
      </c>
      <c r="Q1904" s="73">
        <f>IF(B1904="",0,IF(OR(H1904=MappingTables!$C$34,H1904=MappingTables!$C$35),P1904,0))</f>
        <v>0</v>
      </c>
      <c r="R1904" s="73">
        <f>IF(ISNA(IF(AND(VLOOKUP(CONCATENATE($D1904,$G1904),CSRFinput!$B:$E,4,0)=0,OR(H1904=MappingTables!$C$31,H1904=MappingTables!$C$32)),1,VLOOKUP(CONCATENATE($D1904,$G1904),CSRFinput!$B:$E,4,0))),0,IF(AND(VLOOKUP(CONCATENATE($D1904,$G1904),CSRFinput!$B:$E,4,0)=0,OR(H1904=MappingTables!$C$31,H1904=MappingTables!$C$32)),1,VLOOKUP(CONCATENATE($D1904,$G1904),CSRFinput!$B:$E,4,0)))</f>
        <v>0.054776304963434752</v>
      </c>
      <c r="S1904" s="73">
        <f>IF(B1904="",0,P1904*R1904)</f>
        <v>83.399477575326512</v>
      </c>
      <c r="T1904" s="85">
        <f>IF(B1904="",0,IF(OR(H1904=MappingTables!$C$34,H1904=MappingTables!$C$35),S1904,0))</f>
        <v>0</v>
      </c>
    </row>
    <row r="1905" spans="2:20" s="0" customFormat="0" ht="15">
      <c r="B1905" s="69" t="s">
        <v>5189</v>
      </c>
      <c r="C1905" s="70" t="s">
        <v>5190</v>
      </c>
      <c r="D1905" s="70" t="s">
        <v>1</v>
      </c>
      <c r="E1905" s="70" t="s">
        <v>1</v>
      </c>
      <c r="F1905" s="70"/>
      <c r="G1905" s="70" t="s">
        <v>61</v>
      </c>
      <c r="H1905" s="70" t="s">
        <v>178</v>
      </c>
      <c r="I1905" s="70" t="s">
        <v>204</v>
      </c>
      <c r="J1905" s="71">
        <f>IF(OR(I1905=0,I1905=""),"unrated",VLOOKUP(I1905,MappingTables!$B$19:$C$31,2,FALSE))</f>
        <v>6</v>
      </c>
      <c r="K1905" s="72">
        <v>5.3177138316125688</v>
      </c>
      <c r="L1905" s="70">
        <v>0.068492993218074368</v>
      </c>
      <c r="M1905" s="71">
        <f>IF(L1905&lt;1,1,L1905)</f>
        <v>1</v>
      </c>
      <c r="N1905" s="70" t="s">
        <v>3288</v>
      </c>
      <c r="O1905" s="71">
        <f>IF(OR(I1905=$A$1,I1905=0),"",IF(N1905=MappingTables!$C$14,VLOOKUP(J1905,ModelParameters!$M$8:$N$15,2,FALSE),IF(N1905=MappingTables!$C$16,VLOOKUP(J1905,ModelParameters!$P$8:$Q$15,2,FALSE),0)))</f>
        <v>1</v>
      </c>
      <c r="P1905" s="73">
        <f>IF(OR(I1905=0,I1905=$A$1),0,MIN(O1905*M1905,1)*K1905)</f>
        <v>5.3177138316125688</v>
      </c>
      <c r="Q1905" s="73">
        <f>IF(B1905="",0,IF(OR(H1905=MappingTables!$C$34,H1905=MappingTables!$C$35),P1905,0))</f>
        <v>0</v>
      </c>
      <c r="R1905" s="73">
        <f>IF(ISNA(IF(AND(VLOOKUP(CONCATENATE($D1905,$G1905),CSRFinput!$B:$E,4,0)=0,OR(H1905=MappingTables!$C$31,H1905=MappingTables!$C$32)),1,VLOOKUP(CONCATENATE($D1905,$G1905),CSRFinput!$B:$E,4,0))),0,IF(AND(VLOOKUP(CONCATENATE($D1905,$G1905),CSRFinput!$B:$E,4,0)=0,OR(H1905=MappingTables!$C$31,H1905=MappingTables!$C$32)),1,VLOOKUP(CONCATENATE($D1905,$G1905),CSRFinput!$B:$E,4,0)))</f>
        <v>0.054776304963434752</v>
      </c>
      <c r="S1905" s="73">
        <f>IF(B1905="",0,P1905*R1905)</f>
        <v>0.29128471454868516</v>
      </c>
      <c r="T1905" s="85">
        <f>IF(B1905="",0,IF(OR(H1905=MappingTables!$C$34,H1905=MappingTables!$C$35),S1905,0))</f>
        <v>0</v>
      </c>
    </row>
    <row r="1906" spans="2:20" s="0" customFormat="0" ht="15">
      <c r="B1906" s="69" t="s">
        <v>5191</v>
      </c>
      <c r="C1906" s="70" t="s">
        <v>5192</v>
      </c>
      <c r="D1906" s="70" t="s">
        <v>1</v>
      </c>
      <c r="E1906" s="70" t="s">
        <v>1</v>
      </c>
      <c r="F1906" s="70"/>
      <c r="G1906" s="70" t="s">
        <v>61</v>
      </c>
      <c r="H1906" s="70" t="s">
        <v>178</v>
      </c>
      <c r="I1906" s="70" t="s">
        <v>3291</v>
      </c>
      <c r="J1906" s="71">
        <f>IF(OR(I1906=0,I1906=""),"unrated",VLOOKUP(I1906,MappingTables!$B$19:$C$31,2,FALSE))</f>
        <v>6</v>
      </c>
      <c r="K1906" s="72">
        <v>502.90210750825624</v>
      </c>
      <c r="L1906" s="70">
        <v>0.4761709459586232</v>
      </c>
      <c r="M1906" s="71">
        <f>IF(L1906&lt;1,1,L1906)</f>
        <v>1</v>
      </c>
      <c r="N1906" s="70" t="s">
        <v>3288</v>
      </c>
      <c r="O1906" s="71">
        <f>IF(OR(I1906=$A$1,I1906=0),"",IF(N1906=MappingTables!$C$14,VLOOKUP(J1906,ModelParameters!$M$8:$N$15,2,FALSE),IF(N1906=MappingTables!$C$16,VLOOKUP(J1906,ModelParameters!$P$8:$Q$15,2,FALSE),0)))</f>
        <v>1</v>
      </c>
      <c r="P1906" s="73">
        <f>IF(OR(I1906=0,I1906=$A$1),0,MIN(O1906*M1906,1)*K1906)</f>
        <v>502.90210750825624</v>
      </c>
      <c r="Q1906" s="73">
        <f>IF(B1906="",0,IF(OR(H1906=MappingTables!$C$34,H1906=MappingTables!$C$35),P1906,0))</f>
        <v>0</v>
      </c>
      <c r="R1906" s="73">
        <f>IF(ISNA(IF(AND(VLOOKUP(CONCATENATE($D1906,$G1906),CSRFinput!$B:$E,4,0)=0,OR(H1906=MappingTables!$C$31,H1906=MappingTables!$C$32)),1,VLOOKUP(CONCATENATE($D1906,$G1906),CSRFinput!$B:$E,4,0))),0,IF(AND(VLOOKUP(CONCATENATE($D1906,$G1906),CSRFinput!$B:$E,4,0)=0,OR(H1906=MappingTables!$C$31,H1906=MappingTables!$C$32)),1,VLOOKUP(CONCATENATE($D1906,$G1906),CSRFinput!$B:$E,4,0)))</f>
        <v>0.054776304963434752</v>
      </c>
      <c r="S1906" s="73">
        <f>IF(B1906="",0,P1906*R1906)</f>
        <v>27.547119207626292</v>
      </c>
      <c r="T1906" s="85">
        <f>IF(B1906="",0,IF(OR(H1906=MappingTables!$C$34,H1906=MappingTables!$C$35),S1906,0))</f>
        <v>0</v>
      </c>
    </row>
    <row r="1907" spans="2:20" s="0" customFormat="0" ht="15">
      <c r="B1907" s="69" t="s">
        <v>5002</v>
      </c>
      <c r="C1907" s="70" t="s">
        <v>5003</v>
      </c>
      <c r="D1907" s="70" t="s">
        <v>1</v>
      </c>
      <c r="E1907" s="70" t="s">
        <v>1</v>
      </c>
      <c r="F1907" s="70"/>
      <c r="G1907" s="70" t="s">
        <v>61</v>
      </c>
      <c r="H1907" s="70" t="s">
        <v>178</v>
      </c>
      <c r="I1907" s="70" t="s">
        <v>204</v>
      </c>
      <c r="J1907" s="71">
        <f>IF(OR(I1907=0,I1907=""),"unrated",VLOOKUP(I1907,MappingTables!$B$19:$C$31,2,FALSE))</f>
        <v>6</v>
      </c>
      <c r="K1907" s="72">
        <v>262.97548317098728</v>
      </c>
      <c r="L1907" s="70">
        <v>0.052051665908773848</v>
      </c>
      <c r="M1907" s="71">
        <f>IF(L1907&lt;1,1,L1907)</f>
        <v>1</v>
      </c>
      <c r="N1907" s="70" t="s">
        <v>3288</v>
      </c>
      <c r="O1907" s="71">
        <f>IF(OR(I1907=$A$1,I1907=0),"",IF(N1907=MappingTables!$C$14,VLOOKUP(J1907,ModelParameters!$M$8:$N$15,2,FALSE),IF(N1907=MappingTables!$C$16,VLOOKUP(J1907,ModelParameters!$P$8:$Q$15,2,FALSE),0)))</f>
        <v>1</v>
      </c>
      <c r="P1907" s="73">
        <f>IF(OR(I1907=0,I1907=$A$1),0,MIN(O1907*M1907,1)*K1907)</f>
        <v>262.97548317098728</v>
      </c>
      <c r="Q1907" s="73">
        <f>IF(B1907="",0,IF(OR(H1907=MappingTables!$C$34,H1907=MappingTables!$C$35),P1907,0))</f>
        <v>0</v>
      </c>
      <c r="R1907" s="73">
        <f>IF(ISNA(IF(AND(VLOOKUP(CONCATENATE($D1907,$G1907),CSRFinput!$B:$E,4,0)=0,OR(H1907=MappingTables!$C$31,H1907=MappingTables!$C$32)),1,VLOOKUP(CONCATENATE($D1907,$G1907),CSRFinput!$B:$E,4,0))),0,IF(AND(VLOOKUP(CONCATENATE($D1907,$G1907),CSRFinput!$B:$E,4,0)=0,OR(H1907=MappingTables!$C$31,H1907=MappingTables!$C$32)),1,VLOOKUP(CONCATENATE($D1907,$G1907),CSRFinput!$B:$E,4,0)))</f>
        <v>0.054776304963434752</v>
      </c>
      <c r="S1907" s="73">
        <f>IF(B1907="",0,P1907*R1907)</f>
        <v>14.404825264080604</v>
      </c>
      <c r="T1907" s="85">
        <f>IF(B1907="",0,IF(OR(H1907=MappingTables!$C$34,H1907=MappingTables!$C$35),S1907,0))</f>
        <v>0</v>
      </c>
    </row>
    <row r="1908" spans="2:20" s="0" customFormat="0" ht="15">
      <c r="B1908" s="69" t="s">
        <v>5042</v>
      </c>
      <c r="C1908" s="70" t="s">
        <v>5043</v>
      </c>
      <c r="D1908" s="70" t="s">
        <v>1</v>
      </c>
      <c r="E1908" s="70" t="s">
        <v>1</v>
      </c>
      <c r="F1908" s="70"/>
      <c r="G1908" s="70" t="s">
        <v>61</v>
      </c>
      <c r="H1908" s="70" t="s">
        <v>178</v>
      </c>
      <c r="I1908" s="70" t="s">
        <v>3298</v>
      </c>
      <c r="J1908" s="71">
        <f>IF(OR(I1908=0,I1908=""),"unrated",VLOOKUP(I1908,MappingTables!$B$19:$C$31,2,FALSE))</f>
        <v>6</v>
      </c>
      <c r="K1908" s="72">
        <v>174.10050116743438</v>
      </c>
      <c r="L1908" s="70">
        <v>0.06849209814253332</v>
      </c>
      <c r="M1908" s="71">
        <f>IF(L1908&lt;1,1,L1908)</f>
        <v>1</v>
      </c>
      <c r="N1908" s="70" t="s">
        <v>3288</v>
      </c>
      <c r="O1908" s="71">
        <f>IF(OR(I1908=$A$1,I1908=0),"",IF(N1908=MappingTables!$C$14,VLOOKUP(J1908,ModelParameters!$M$8:$N$15,2,FALSE),IF(N1908=MappingTables!$C$16,VLOOKUP(J1908,ModelParameters!$P$8:$Q$15,2,FALSE),0)))</f>
        <v>1</v>
      </c>
      <c r="P1908" s="73">
        <f>IF(OR(I1908=0,I1908=$A$1),0,MIN(O1908*M1908,1)*K1908)</f>
        <v>174.10050116743438</v>
      </c>
      <c r="Q1908" s="73">
        <f>IF(B1908="",0,IF(OR(H1908=MappingTables!$C$34,H1908=MappingTables!$C$35),P1908,0))</f>
        <v>0</v>
      </c>
      <c r="R1908" s="73">
        <f>IF(ISNA(IF(AND(VLOOKUP(CONCATENATE($D1908,$G1908),CSRFinput!$B:$E,4,0)=0,OR(H1908=MappingTables!$C$31,H1908=MappingTables!$C$32)),1,VLOOKUP(CONCATENATE($D1908,$G1908),CSRFinput!$B:$E,4,0))),0,IF(AND(VLOOKUP(CONCATENATE($D1908,$G1908),CSRFinput!$B:$E,4,0)=0,OR(H1908=MappingTables!$C$31,H1908=MappingTables!$C$32)),1,VLOOKUP(CONCATENATE($D1908,$G1908),CSRFinput!$B:$E,4,0)))</f>
        <v>0.054776304963434752</v>
      </c>
      <c r="S1908" s="73">
        <f>IF(B1908="",0,P1908*R1908)</f>
        <v>9.5365821462342128</v>
      </c>
      <c r="T1908" s="85">
        <f>IF(B1908="",0,IF(OR(H1908=MappingTables!$C$34,H1908=MappingTables!$C$35),S1908,0))</f>
        <v>0</v>
      </c>
    </row>
    <row r="1909" spans="2:20" s="0" customFormat="0" ht="15">
      <c r="B1909" s="69">
        <v>16974682</v>
      </c>
      <c r="C1909" s="70" t="s">
        <v>5157</v>
      </c>
      <c r="D1909" s="70" t="s">
        <v>1</v>
      </c>
      <c r="E1909" s="70" t="s">
        <v>1</v>
      </c>
      <c r="F1909" s="70"/>
      <c r="G1909" s="70" t="s">
        <v>61</v>
      </c>
      <c r="H1909" s="70" t="s">
        <v>178</v>
      </c>
      <c r="I1909" s="70" t="s">
        <v>198</v>
      </c>
      <c r="J1909" s="71" t="str">
        <f>IF(OR(I1909=0,I1909=""),"unrated",VLOOKUP(I1909,MappingTables!$B$19:$C$31,2,FALSE))</f>
        <v>unrated</v>
      </c>
      <c r="K1909" s="72">
        <v>341.30370657103912</v>
      </c>
      <c r="L1909" s="70">
        <v>0.24653505823887492</v>
      </c>
      <c r="M1909" s="71">
        <f>IF(L1909&lt;1,1,L1909)</f>
        <v>1</v>
      </c>
      <c r="N1909" s="70" t="s">
        <v>3288</v>
      </c>
      <c r="O1909" s="71">
        <f>IF(OR(I1909=$A$1,I1909=0),"",IF(N1909=MappingTables!$C$14,VLOOKUP(J1909,ModelParameters!$M$8:$N$15,2,FALSE),IF(N1909=MappingTables!$C$16,VLOOKUP(J1909,ModelParameters!$P$8:$Q$15,2,FALSE),0)))</f>
        <v>1</v>
      </c>
      <c r="P1909" s="73">
        <f>IF(OR(I1909=0,I1909=$A$1),0,MIN(O1909*M1909,1)*K1909)</f>
        <v>341.30370657103912</v>
      </c>
      <c r="Q1909" s="73">
        <f>IF(B1909="",0,IF(OR(H1909=MappingTables!$C$34,H1909=MappingTables!$C$35),P1909,0))</f>
        <v>0</v>
      </c>
      <c r="R1909" s="73">
        <f>IF(ISNA(IF(AND(VLOOKUP(CONCATENATE($D1909,$G1909),CSRFinput!$B:$E,4,0)=0,OR(H1909=MappingTables!$C$31,H1909=MappingTables!$C$32)),1,VLOOKUP(CONCATENATE($D1909,$G1909),CSRFinput!$B:$E,4,0))),0,IF(AND(VLOOKUP(CONCATENATE($D1909,$G1909),CSRFinput!$B:$E,4,0)=0,OR(H1909=MappingTables!$C$31,H1909=MappingTables!$C$32)),1,VLOOKUP(CONCATENATE($D1909,$G1909),CSRFinput!$B:$E,4,0)))</f>
        <v>0.054776304963434752</v>
      </c>
      <c r="S1909" s="73">
        <f>IF(B1909="",0,P1909*R1909)</f>
        <v>18.695355916285892</v>
      </c>
      <c r="T1909" s="85">
        <f>IF(B1909="",0,IF(OR(H1909=MappingTables!$C$34,H1909=MappingTables!$C$35),S1909,0))</f>
        <v>0</v>
      </c>
    </row>
    <row r="1910" spans="2:20" s="0" customFormat="0" ht="15">
      <c r="B1910" s="69">
        <v>22623654</v>
      </c>
      <c r="C1910" s="70" t="s">
        <v>4848</v>
      </c>
      <c r="D1910" s="70" t="s">
        <v>1</v>
      </c>
      <c r="E1910" s="70" t="s">
        <v>1</v>
      </c>
      <c r="F1910" s="70"/>
      <c r="G1910" s="70" t="s">
        <v>61</v>
      </c>
      <c r="H1910" s="70" t="s">
        <v>178</v>
      </c>
      <c r="I1910" s="70" t="s">
        <v>184</v>
      </c>
      <c r="J1910" s="71">
        <f>IF(OR(I1910=0,I1910=""),"unrated",VLOOKUP(I1910,MappingTables!$B$19:$C$31,2,FALSE))</f>
        <v>5</v>
      </c>
      <c r="K1910" s="72">
        <v>453.03171040914976</v>
      </c>
      <c r="L1910" s="70">
        <v>0.068489865331368568</v>
      </c>
      <c r="M1910" s="71">
        <f>IF(L1910&lt;1,1,L1910)</f>
        <v>1</v>
      </c>
      <c r="N1910" s="70" t="s">
        <v>3288</v>
      </c>
      <c r="O1910" s="71">
        <f>IF(OR(I1910=$A$1,I1910=0),"",IF(N1910=MappingTables!$C$14,VLOOKUP(J1910,ModelParameters!$M$8:$N$15,2,FALSE),IF(N1910=MappingTables!$C$16,VLOOKUP(J1910,ModelParameters!$P$8:$Q$15,2,FALSE),0)))</f>
        <v>1</v>
      </c>
      <c r="P1910" s="73">
        <f>IF(OR(I1910=0,I1910=$A$1),0,MIN(O1910*M1910,1)*K1910)</f>
        <v>453.03171040914976</v>
      </c>
      <c r="Q1910" s="73">
        <f>IF(B1910="",0,IF(OR(H1910=MappingTables!$C$34,H1910=MappingTables!$C$35),P1910,0))</f>
        <v>0</v>
      </c>
      <c r="R1910" s="73">
        <f>IF(ISNA(IF(AND(VLOOKUP(CONCATENATE($D1910,$G1910),CSRFinput!$B:$E,4,0)=0,OR(H1910=MappingTables!$C$31,H1910=MappingTables!$C$32)),1,VLOOKUP(CONCATENATE($D1910,$G1910),CSRFinput!$B:$E,4,0))),0,IF(AND(VLOOKUP(CONCATENATE($D1910,$G1910),CSRFinput!$B:$E,4,0)=0,OR(H1910=MappingTables!$C$31,H1910=MappingTables!$C$32)),1,VLOOKUP(CONCATENATE($D1910,$G1910),CSRFinput!$B:$E,4,0)))</f>
        <v>0.054776304963434752</v>
      </c>
      <c r="S1910" s="73">
        <f>IF(B1910="",0,P1910*R1910)</f>
        <v>24.815403127478044</v>
      </c>
      <c r="T1910" s="85">
        <f>IF(B1910="",0,IF(OR(H1910=MappingTables!$C$34,H1910=MappingTables!$C$35),S1910,0))</f>
        <v>0</v>
      </c>
    </row>
    <row r="1911" spans="2:20" s="0" customFormat="0" ht="15">
      <c r="B1911" s="69">
        <v>278397</v>
      </c>
      <c r="C1911" s="70" t="s">
        <v>4024</v>
      </c>
      <c r="D1911" s="70" t="s">
        <v>1</v>
      </c>
      <c r="E1911" s="70" t="s">
        <v>1</v>
      </c>
      <c r="F1911" s="70"/>
      <c r="G1911" s="70" t="s">
        <v>61</v>
      </c>
      <c r="H1911" s="70" t="s">
        <v>178</v>
      </c>
      <c r="I1911" s="70" t="s">
        <v>184</v>
      </c>
      <c r="J1911" s="71">
        <f>IF(OR(I1911=0,I1911=""),"unrated",VLOOKUP(I1911,MappingTables!$B$19:$C$31,2,FALSE))</f>
        <v>5</v>
      </c>
      <c r="K1911" s="72">
        <v>16.74848113982285</v>
      </c>
      <c r="L1911" s="70">
        <v>0.068495211219107816</v>
      </c>
      <c r="M1911" s="71">
        <f>IF(L1911&lt;1,1,L1911)</f>
        <v>1</v>
      </c>
      <c r="N1911" s="70" t="s">
        <v>3288</v>
      </c>
      <c r="O1911" s="71">
        <f>IF(OR(I1911=$A$1,I1911=0),"",IF(N1911=MappingTables!$C$14,VLOOKUP(J1911,ModelParameters!$M$8:$N$15,2,FALSE),IF(N1911=MappingTables!$C$16,VLOOKUP(J1911,ModelParameters!$P$8:$Q$15,2,FALSE),0)))</f>
        <v>1</v>
      </c>
      <c r="P1911" s="73">
        <f>IF(OR(I1911=0,I1911=$A$1),0,MIN(O1911*M1911,1)*K1911)</f>
        <v>16.74848113982285</v>
      </c>
      <c r="Q1911" s="73">
        <f>IF(B1911="",0,IF(OR(H1911=MappingTables!$C$34,H1911=MappingTables!$C$35),P1911,0))</f>
        <v>0</v>
      </c>
      <c r="R1911" s="73">
        <f>IF(ISNA(IF(AND(VLOOKUP(CONCATENATE($D1911,$G1911),CSRFinput!$B:$E,4,0)=0,OR(H1911=MappingTables!$C$31,H1911=MappingTables!$C$32)),1,VLOOKUP(CONCATENATE($D1911,$G1911),CSRFinput!$B:$E,4,0))),0,IF(AND(VLOOKUP(CONCATENATE($D1911,$G1911),CSRFinput!$B:$E,4,0)=0,OR(H1911=MappingTables!$C$31,H1911=MappingTables!$C$32)),1,VLOOKUP(CONCATENATE($D1911,$G1911),CSRFinput!$B:$E,4,0)))</f>
        <v>0.054776304963434752</v>
      </c>
      <c r="S1911" s="73">
        <f>IF(B1911="",0,P1911*R1911)</f>
        <v>0.91741991058927168</v>
      </c>
      <c r="T1911" s="85">
        <f>IF(B1911="",0,IF(OR(H1911=MappingTables!$C$34,H1911=MappingTables!$C$35),S1911,0))</f>
        <v>0</v>
      </c>
    </row>
    <row r="1912" spans="2:20" s="0" customFormat="0" ht="15">
      <c r="B1912" s="69">
        <v>1929203</v>
      </c>
      <c r="C1912" s="70" t="s">
        <v>4177</v>
      </c>
      <c r="D1912" s="70" t="s">
        <v>1</v>
      </c>
      <c r="E1912" s="70" t="s">
        <v>1</v>
      </c>
      <c r="F1912" s="70"/>
      <c r="G1912" s="70" t="s">
        <v>61</v>
      </c>
      <c r="H1912" s="70" t="s">
        <v>178</v>
      </c>
      <c r="I1912" s="70" t="s">
        <v>216</v>
      </c>
      <c r="J1912" s="71">
        <f>IF(OR(I1912=0,I1912=""),"unrated",VLOOKUP(I1912,MappingTables!$B$19:$C$31,2,FALSE))</f>
        <v>0</v>
      </c>
      <c r="K1912" s="72">
        <v>125.88338473953486</v>
      </c>
      <c r="L1912" s="70">
        <v>0.068485405062161736</v>
      </c>
      <c r="M1912" s="71">
        <f>IF(L1912&lt;1,1,L1912)</f>
        <v>1</v>
      </c>
      <c r="N1912" s="70" t="s">
        <v>3288</v>
      </c>
      <c r="O1912" s="71">
        <f>IF(OR(I1912=$A$1,I1912=0),"",IF(N1912=MappingTables!$C$14,VLOOKUP(J1912,ModelParameters!$M$8:$N$15,2,FALSE),IF(N1912=MappingTables!$C$16,VLOOKUP(J1912,ModelParameters!$P$8:$Q$15,2,FALSE),0)))</f>
        <v>0.125</v>
      </c>
      <c r="P1912" s="73">
        <f>IF(OR(I1912=0,I1912=$A$1),0,MIN(O1912*M1912,1)*K1912)</f>
        <v>15.735423092441858</v>
      </c>
      <c r="Q1912" s="73">
        <f>IF(B1912="",0,IF(OR(H1912=MappingTables!$C$34,H1912=MappingTables!$C$35),P1912,0))</f>
        <v>0</v>
      </c>
      <c r="R1912" s="73">
        <f>IF(ISNA(IF(AND(VLOOKUP(CONCATENATE($D1912,$G1912),CSRFinput!$B:$E,4,0)=0,OR(H1912=MappingTables!$C$31,H1912=MappingTables!$C$32)),1,VLOOKUP(CONCATENATE($D1912,$G1912),CSRFinput!$B:$E,4,0))),0,IF(AND(VLOOKUP(CONCATENATE($D1912,$G1912),CSRFinput!$B:$E,4,0)=0,OR(H1912=MappingTables!$C$31,H1912=MappingTables!$C$32)),1,VLOOKUP(CONCATENATE($D1912,$G1912),CSRFinput!$B:$E,4,0)))</f>
        <v>0.054776304963434752</v>
      </c>
      <c r="S1912" s="73">
        <f>IF(B1912="",0,P1912*R1912)</f>
        <v>0.8619283340402688</v>
      </c>
      <c r="T1912" s="85">
        <f>IF(B1912="",0,IF(OR(H1912=MappingTables!$C$34,H1912=MappingTables!$C$35),S1912,0))</f>
        <v>0</v>
      </c>
    </row>
    <row r="1913" spans="2:20" s="0" customFormat="0" ht="15">
      <c r="B1913" s="69" t="s">
        <v>4213</v>
      </c>
      <c r="C1913" s="70" t="s">
        <v>4214</v>
      </c>
      <c r="D1913" s="70" t="s">
        <v>1</v>
      </c>
      <c r="E1913" s="70" t="s">
        <v>1</v>
      </c>
      <c r="F1913" s="70"/>
      <c r="G1913" s="70" t="s">
        <v>61</v>
      </c>
      <c r="H1913" s="70" t="s">
        <v>178</v>
      </c>
      <c r="I1913" s="70" t="s">
        <v>198</v>
      </c>
      <c r="J1913" s="71" t="str">
        <f>IF(OR(I1913=0,I1913=""),"unrated",VLOOKUP(I1913,MappingTables!$B$19:$C$31,2,FALSE))</f>
        <v>unrated</v>
      </c>
      <c r="K1913" s="72">
        <v>3150.9767509010372</v>
      </c>
      <c r="L1913" s="70">
        <v>30.752233438710392</v>
      </c>
      <c r="M1913" s="71">
        <f>IF(L1913&lt;1,1,L1913)</f>
        <v>30.752233438710392</v>
      </c>
      <c r="N1913" s="70" t="s">
        <v>3288</v>
      </c>
      <c r="O1913" s="71">
        <f>IF(OR(I1913=$A$1,I1913=0),"",IF(N1913=MappingTables!$C$14,VLOOKUP(J1913,ModelParameters!$M$8:$N$15,2,FALSE),IF(N1913=MappingTables!$C$16,VLOOKUP(J1913,ModelParameters!$P$8:$Q$15,2,FALSE),0)))</f>
        <v>1</v>
      </c>
      <c r="P1913" s="73">
        <f>IF(OR(I1913=0,I1913=$A$1),0,MIN(O1913*M1913,1)*K1913)</f>
        <v>3150.9767509010372</v>
      </c>
      <c r="Q1913" s="73">
        <f>IF(B1913="",0,IF(OR(H1913=MappingTables!$C$34,H1913=MappingTables!$C$35),P1913,0))</f>
        <v>0</v>
      </c>
      <c r="R1913" s="73">
        <f>IF(ISNA(IF(AND(VLOOKUP(CONCATENATE($D1913,$G1913),CSRFinput!$B:$E,4,0)=0,OR(H1913=MappingTables!$C$31,H1913=MappingTables!$C$32)),1,VLOOKUP(CONCATENATE($D1913,$G1913),CSRFinput!$B:$E,4,0))),0,IF(AND(VLOOKUP(CONCATENATE($D1913,$G1913),CSRFinput!$B:$E,4,0)=0,OR(H1913=MappingTables!$C$31,H1913=MappingTables!$C$32)),1,VLOOKUP(CONCATENATE($D1913,$G1913),CSRFinput!$B:$E,4,0)))</f>
        <v>0.054776304963434752</v>
      </c>
      <c r="S1913" s="73">
        <f>IF(B1913="",0,P1913*R1913)</f>
        <v>172.598863440048</v>
      </c>
      <c r="T1913" s="85">
        <f>IF(B1913="",0,IF(OR(H1913=MappingTables!$C$34,H1913=MappingTables!$C$35),S1913,0))</f>
        <v>0</v>
      </c>
    </row>
    <row r="1914" spans="2:20" s="0" customFormat="0" ht="15">
      <c r="B1914" s="69" t="s">
        <v>4336</v>
      </c>
      <c r="C1914" s="70" t="s">
        <v>4337</v>
      </c>
      <c r="D1914" s="70" t="s">
        <v>1</v>
      </c>
      <c r="E1914" s="70" t="s">
        <v>1</v>
      </c>
      <c r="F1914" s="70"/>
      <c r="G1914" s="70" t="s">
        <v>61</v>
      </c>
      <c r="H1914" s="70" t="s">
        <v>178</v>
      </c>
      <c r="I1914" s="70" t="s">
        <v>204</v>
      </c>
      <c r="J1914" s="71">
        <f>IF(OR(I1914=0,I1914=""),"unrated",VLOOKUP(I1914,MappingTables!$B$19:$C$31,2,FALSE))</f>
        <v>6</v>
      </c>
      <c r="K1914" s="72">
        <v>486.4532133911064</v>
      </c>
      <c r="L1914" s="70">
        <v>0.068492149339482192</v>
      </c>
      <c r="M1914" s="71">
        <f>IF(L1914&lt;1,1,L1914)</f>
        <v>1</v>
      </c>
      <c r="N1914" s="70" t="s">
        <v>3288</v>
      </c>
      <c r="O1914" s="71">
        <f>IF(OR(I1914=$A$1,I1914=0),"",IF(N1914=MappingTables!$C$14,VLOOKUP(J1914,ModelParameters!$M$8:$N$15,2,FALSE),IF(N1914=MappingTables!$C$16,VLOOKUP(J1914,ModelParameters!$P$8:$Q$15,2,FALSE),0)))</f>
        <v>1</v>
      </c>
      <c r="P1914" s="73">
        <f>IF(OR(I1914=0,I1914=$A$1),0,MIN(O1914*M1914,1)*K1914)</f>
        <v>486.4532133911064</v>
      </c>
      <c r="Q1914" s="73">
        <f>IF(B1914="",0,IF(OR(H1914=MappingTables!$C$34,H1914=MappingTables!$C$35),P1914,0))</f>
        <v>0</v>
      </c>
      <c r="R1914" s="73">
        <f>IF(ISNA(IF(AND(VLOOKUP(CONCATENATE($D1914,$G1914),CSRFinput!$B:$E,4,0)=0,OR(H1914=MappingTables!$C$31,H1914=MappingTables!$C$32)),1,VLOOKUP(CONCATENATE($D1914,$G1914),CSRFinput!$B:$E,4,0))),0,IF(AND(VLOOKUP(CONCATENATE($D1914,$G1914),CSRFinput!$B:$E,4,0)=0,OR(H1914=MappingTables!$C$31,H1914=MappingTables!$C$32)),1,VLOOKUP(CONCATENATE($D1914,$G1914),CSRFinput!$B:$E,4,0)))</f>
        <v>0.054776304963434752</v>
      </c>
      <c r="S1914" s="73">
        <f>IF(B1914="",0,P1914*R1914)</f>
        <v>26.646109567154048</v>
      </c>
      <c r="T1914" s="85">
        <f>IF(B1914="",0,IF(OR(H1914=MappingTables!$C$34,H1914=MappingTables!$C$35),S1914,0))</f>
        <v>0</v>
      </c>
    </row>
    <row r="1915" spans="2:20" s="0" customFormat="0" ht="15">
      <c r="B1915" s="69" t="s">
        <v>3702</v>
      </c>
      <c r="C1915" s="70" t="s">
        <v>3703</v>
      </c>
      <c r="D1915" s="70" t="s">
        <v>1</v>
      </c>
      <c r="E1915" s="70" t="s">
        <v>1</v>
      </c>
      <c r="F1915" s="70"/>
      <c r="G1915" s="70" t="s">
        <v>61</v>
      </c>
      <c r="H1915" s="70" t="s">
        <v>178</v>
      </c>
      <c r="I1915" s="70" t="s">
        <v>3298</v>
      </c>
      <c r="J1915" s="71">
        <f>IF(OR(I1915=0,I1915=""),"unrated",VLOOKUP(I1915,MappingTables!$B$19:$C$31,2,FALSE))</f>
        <v>6</v>
      </c>
      <c r="K1915" s="72">
        <v>156.70048661358604</v>
      </c>
      <c r="L1915" s="70">
        <v>0.06849276802654984</v>
      </c>
      <c r="M1915" s="71">
        <f>IF(L1915&lt;1,1,L1915)</f>
        <v>1</v>
      </c>
      <c r="N1915" s="70" t="s">
        <v>3288</v>
      </c>
      <c r="O1915" s="71">
        <f>IF(OR(I1915=$A$1,I1915=0),"",IF(N1915=MappingTables!$C$14,VLOOKUP(J1915,ModelParameters!$M$8:$N$15,2,FALSE),IF(N1915=MappingTables!$C$16,VLOOKUP(J1915,ModelParameters!$P$8:$Q$15,2,FALSE),0)))</f>
        <v>1</v>
      </c>
      <c r="P1915" s="73">
        <f>IF(OR(I1915=0,I1915=$A$1),0,MIN(O1915*M1915,1)*K1915)</f>
        <v>156.70048661358604</v>
      </c>
      <c r="Q1915" s="73">
        <f>IF(B1915="",0,IF(OR(H1915=MappingTables!$C$34,H1915=MappingTables!$C$35),P1915,0))</f>
        <v>0</v>
      </c>
      <c r="R1915" s="73">
        <f>IF(ISNA(IF(AND(VLOOKUP(CONCATENATE($D1915,$G1915),CSRFinput!$B:$E,4,0)=0,OR(H1915=MappingTables!$C$31,H1915=MappingTables!$C$32)),1,VLOOKUP(CONCATENATE($D1915,$G1915),CSRFinput!$B:$E,4,0))),0,IF(AND(VLOOKUP(CONCATENATE($D1915,$G1915),CSRFinput!$B:$E,4,0)=0,OR(H1915=MappingTables!$C$31,H1915=MappingTables!$C$32)),1,VLOOKUP(CONCATENATE($D1915,$G1915),CSRFinput!$B:$E,4,0)))</f>
        <v>0.054776304963434752</v>
      </c>
      <c r="S1915" s="73">
        <f>IF(B1915="",0,P1915*R1915)</f>
        <v>8.5834736426644144</v>
      </c>
      <c r="T1915" s="85">
        <f>IF(B1915="",0,IF(OR(H1915=MappingTables!$C$34,H1915=MappingTables!$C$35),S1915,0))</f>
        <v>0</v>
      </c>
    </row>
    <row r="1916" spans="2:20" s="0" customFormat="0" ht="15">
      <c r="B1916" s="69" t="s">
        <v>4055</v>
      </c>
      <c r="C1916" s="70" t="s">
        <v>4056</v>
      </c>
      <c r="D1916" s="70" t="s">
        <v>1</v>
      </c>
      <c r="E1916" s="70" t="s">
        <v>1</v>
      </c>
      <c r="F1916" s="70"/>
      <c r="G1916" s="70" t="s">
        <v>61</v>
      </c>
      <c r="H1916" s="70" t="s">
        <v>178</v>
      </c>
      <c r="I1916" s="70" t="s">
        <v>179</v>
      </c>
      <c r="J1916" s="71">
        <f>IF(OR(I1916=0,I1916=""),"unrated",VLOOKUP(I1916,MappingTables!$B$19:$C$31,2,FALSE))</f>
        <v>4</v>
      </c>
      <c r="K1916" s="72">
        <v>215.15447187500528</v>
      </c>
      <c r="L1916" s="70">
        <v>0.068488916091913432</v>
      </c>
      <c r="M1916" s="71">
        <f>IF(L1916&lt;1,1,L1916)</f>
        <v>1</v>
      </c>
      <c r="N1916" s="70" t="s">
        <v>3288</v>
      </c>
      <c r="O1916" s="71">
        <f>IF(OR(I1916=$A$1,I1916=0),"",IF(N1916=MappingTables!$C$14,VLOOKUP(J1916,ModelParameters!$M$8:$N$15,2,FALSE),IF(N1916=MappingTables!$C$16,VLOOKUP(J1916,ModelParameters!$P$8:$Q$15,2,FALSE),0)))</f>
        <v>0.82</v>
      </c>
      <c r="P1916" s="73">
        <f>IF(OR(I1916=0,I1916=$A$1),0,MIN(O1916*M1916,1)*K1916)</f>
        <v>176.42666693750434</v>
      </c>
      <c r="Q1916" s="73">
        <f>IF(B1916="",0,IF(OR(H1916=MappingTables!$C$34,H1916=MappingTables!$C$35),P1916,0))</f>
        <v>0</v>
      </c>
      <c r="R1916" s="73">
        <f>IF(ISNA(IF(AND(VLOOKUP(CONCATENATE($D1916,$G1916),CSRFinput!$B:$E,4,0)=0,OR(H1916=MappingTables!$C$31,H1916=MappingTables!$C$32)),1,VLOOKUP(CONCATENATE($D1916,$G1916),CSRFinput!$B:$E,4,0))),0,IF(AND(VLOOKUP(CONCATENATE($D1916,$G1916),CSRFinput!$B:$E,4,0)=0,OR(H1916=MappingTables!$C$31,H1916=MappingTables!$C$32)),1,VLOOKUP(CONCATENATE($D1916,$G1916),CSRFinput!$B:$E,4,0)))</f>
        <v>0.054776304963434752</v>
      </c>
      <c r="S1916" s="73">
        <f>IF(B1916="",0,P1916*R1916)</f>
        <v>9.6640009118510688</v>
      </c>
      <c r="T1916" s="85">
        <f>IF(B1916="",0,IF(OR(H1916=MappingTables!$C$34,H1916=MappingTables!$C$35),S1916,0))</f>
        <v>0</v>
      </c>
    </row>
    <row r="1917" spans="2:20" s="0" customFormat="0" ht="15">
      <c r="B1917" s="69" t="s">
        <v>4853</v>
      </c>
      <c r="C1917" s="70" t="s">
        <v>4854</v>
      </c>
      <c r="D1917" s="70" t="s">
        <v>1</v>
      </c>
      <c r="E1917" s="70" t="s">
        <v>1</v>
      </c>
      <c r="F1917" s="70"/>
      <c r="G1917" s="70" t="s">
        <v>61</v>
      </c>
      <c r="H1917" s="70" t="s">
        <v>178</v>
      </c>
      <c r="I1917" s="70" t="s">
        <v>216</v>
      </c>
      <c r="J1917" s="71">
        <f>IF(OR(I1917=0,I1917=""),"unrated",VLOOKUP(I1917,MappingTables!$B$19:$C$31,2,FALSE))</f>
        <v>0</v>
      </c>
      <c r="K1917" s="72">
        <v>106.87656870621908</v>
      </c>
      <c r="L1917" s="70">
        <v>0.04109449349679348</v>
      </c>
      <c r="M1917" s="71">
        <f>IF(L1917&lt;1,1,L1917)</f>
        <v>1</v>
      </c>
      <c r="N1917" s="70" t="s">
        <v>3288</v>
      </c>
      <c r="O1917" s="71">
        <f>IF(OR(I1917=$A$1,I1917=0),"",IF(N1917=MappingTables!$C$14,VLOOKUP(J1917,ModelParameters!$M$8:$N$15,2,FALSE),IF(N1917=MappingTables!$C$16,VLOOKUP(J1917,ModelParameters!$P$8:$Q$15,2,FALSE),0)))</f>
        <v>0.125</v>
      </c>
      <c r="P1917" s="73">
        <f>IF(OR(I1917=0,I1917=$A$1),0,MIN(O1917*M1917,1)*K1917)</f>
        <v>13.359571088277384</v>
      </c>
      <c r="Q1917" s="73">
        <f>IF(B1917="",0,IF(OR(H1917=MappingTables!$C$34,H1917=MappingTables!$C$35),P1917,0))</f>
        <v>0</v>
      </c>
      <c r="R1917" s="73">
        <f>IF(ISNA(IF(AND(VLOOKUP(CONCATENATE($D1917,$G1917),CSRFinput!$B:$E,4,0)=0,OR(H1917=MappingTables!$C$31,H1917=MappingTables!$C$32)),1,VLOOKUP(CONCATENATE($D1917,$G1917),CSRFinput!$B:$E,4,0))),0,IF(AND(VLOOKUP(CONCATENATE($D1917,$G1917),CSRFinput!$B:$E,4,0)=0,OR(H1917=MappingTables!$C$31,H1917=MappingTables!$C$32)),1,VLOOKUP(CONCATENATE($D1917,$G1917),CSRFinput!$B:$E,4,0)))</f>
        <v>0.054776304963434752</v>
      </c>
      <c r="S1917" s="73">
        <f>IF(B1917="",0,P1917*R1917)</f>
        <v>0.731787940112168</v>
      </c>
      <c r="T1917" s="85">
        <f>IF(B1917="",0,IF(OR(H1917=MappingTables!$C$34,H1917=MappingTables!$C$35),S1917,0))</f>
        <v>0</v>
      </c>
    </row>
    <row r="1918" spans="2:20" s="0" customFormat="0" ht="15">
      <c r="B1918" s="69" t="s">
        <v>4712</v>
      </c>
      <c r="C1918" s="70" t="s">
        <v>4713</v>
      </c>
      <c r="D1918" s="70" t="s">
        <v>1</v>
      </c>
      <c r="E1918" s="70" t="s">
        <v>1</v>
      </c>
      <c r="F1918" s="70"/>
      <c r="G1918" s="70" t="s">
        <v>61</v>
      </c>
      <c r="H1918" s="70" t="s">
        <v>178</v>
      </c>
      <c r="I1918" s="70" t="s">
        <v>220</v>
      </c>
      <c r="J1918" s="71">
        <f>IF(OR(I1918=0,I1918=""),"unrated",VLOOKUP(I1918,MappingTables!$B$19:$C$31,2,FALSE))</f>
        <v>1</v>
      </c>
      <c r="K1918" s="72">
        <v>2.3382892926247768</v>
      </c>
      <c r="L1918" s="70">
        <v>0.06849027765184856</v>
      </c>
      <c r="M1918" s="71">
        <f>IF(L1918&lt;1,1,L1918)</f>
        <v>1</v>
      </c>
      <c r="N1918" s="70" t="s">
        <v>3288</v>
      </c>
      <c r="O1918" s="71">
        <f>IF(OR(I1918=$A$1,I1918=0),"",IF(N1918=MappingTables!$C$14,VLOOKUP(J1918,ModelParameters!$M$8:$N$15,2,FALSE),IF(N1918=MappingTables!$C$16,VLOOKUP(J1918,ModelParameters!$P$8:$Q$15,2,FALSE),0)))</f>
        <v>0.134</v>
      </c>
      <c r="P1918" s="73">
        <f>IF(OR(I1918=0,I1918=$A$1),0,MIN(O1918*M1918,1)*K1918)</f>
        <v>0.31333076521172016</v>
      </c>
      <c r="Q1918" s="73">
        <f>IF(B1918="",0,IF(OR(H1918=MappingTables!$C$34,H1918=MappingTables!$C$35),P1918,0))</f>
        <v>0</v>
      </c>
      <c r="R1918" s="73">
        <f>IF(ISNA(IF(AND(VLOOKUP(CONCATENATE($D1918,$G1918),CSRFinput!$B:$E,4,0)=0,OR(H1918=MappingTables!$C$31,H1918=MappingTables!$C$32)),1,VLOOKUP(CONCATENATE($D1918,$G1918),CSRFinput!$B:$E,4,0))),0,IF(AND(VLOOKUP(CONCATENATE($D1918,$G1918),CSRFinput!$B:$E,4,0)=0,OR(H1918=MappingTables!$C$31,H1918=MappingTables!$C$32)),1,VLOOKUP(CONCATENATE($D1918,$G1918),CSRFinput!$B:$E,4,0)))</f>
        <v>0.054776304963434752</v>
      </c>
      <c r="S1918" s="73">
        <f>IF(B1918="",0,P1918*R1918)</f>
        <v>0.017163101549663554</v>
      </c>
      <c r="T1918" s="85">
        <f>IF(B1918="",0,IF(OR(H1918=MappingTables!$C$34,H1918=MappingTables!$C$35),S1918,0))</f>
        <v>0</v>
      </c>
    </row>
    <row r="1919" spans="2:20" s="0" customFormat="0" ht="15">
      <c r="B1919" s="69" t="s">
        <v>5173</v>
      </c>
      <c r="C1919" s="70" t="s">
        <v>5174</v>
      </c>
      <c r="D1919" s="70" t="s">
        <v>1</v>
      </c>
      <c r="E1919" s="70" t="s">
        <v>1</v>
      </c>
      <c r="F1919" s="70"/>
      <c r="G1919" s="70" t="s">
        <v>61</v>
      </c>
      <c r="H1919" s="70" t="s">
        <v>178</v>
      </c>
      <c r="I1919" s="70" t="s">
        <v>3298</v>
      </c>
      <c r="J1919" s="71">
        <f>IF(OR(I1919=0,I1919=""),"unrated",VLOOKUP(I1919,MappingTables!$B$19:$C$31,2,FALSE))</f>
        <v>6</v>
      </c>
      <c r="K1919" s="72">
        <v>324.1835492273924</v>
      </c>
      <c r="L1919" s="70">
        <v>-2.6073932279725148</v>
      </c>
      <c r="M1919" s="71">
        <f>IF(L1919&lt;1,1,L1919)</f>
        <v>1</v>
      </c>
      <c r="N1919" s="70" t="s">
        <v>3288</v>
      </c>
      <c r="O1919" s="71">
        <f>IF(OR(I1919=$A$1,I1919=0),"",IF(N1919=MappingTables!$C$14,VLOOKUP(J1919,ModelParameters!$M$8:$N$15,2,FALSE),IF(N1919=MappingTables!$C$16,VLOOKUP(J1919,ModelParameters!$P$8:$Q$15,2,FALSE),0)))</f>
        <v>1</v>
      </c>
      <c r="P1919" s="73">
        <f>IF(OR(I1919=0,I1919=$A$1),0,MIN(O1919*M1919,1)*K1919)</f>
        <v>324.1835492273924</v>
      </c>
      <c r="Q1919" s="73">
        <f>IF(B1919="",0,IF(OR(H1919=MappingTables!$C$34,H1919=MappingTables!$C$35),P1919,0))</f>
        <v>0</v>
      </c>
      <c r="R1919" s="73">
        <f>IF(ISNA(IF(AND(VLOOKUP(CONCATENATE($D1919,$G1919),CSRFinput!$B:$E,4,0)=0,OR(H1919=MappingTables!$C$31,H1919=MappingTables!$C$32)),1,VLOOKUP(CONCATENATE($D1919,$G1919),CSRFinput!$B:$E,4,0))),0,IF(AND(VLOOKUP(CONCATENATE($D1919,$G1919),CSRFinput!$B:$E,4,0)=0,OR(H1919=MappingTables!$C$31,H1919=MappingTables!$C$32)),1,VLOOKUP(CONCATENATE($D1919,$G1919),CSRFinput!$B:$E,4,0)))</f>
        <v>0.054776304963434752</v>
      </c>
      <c r="S1919" s="73">
        <f>IF(B1919="",0,P1919*R1919)</f>
        <v>17.757576956608312</v>
      </c>
      <c r="T1919" s="85">
        <f>IF(B1919="",0,IF(OR(H1919=MappingTables!$C$34,H1919=MappingTables!$C$35),S1919,0))</f>
        <v>0</v>
      </c>
    </row>
    <row r="1920" spans="2:20" s="0" customFormat="0" ht="15">
      <c r="B1920" s="69" t="s">
        <v>3883</v>
      </c>
      <c r="C1920" s="70" t="s">
        <v>3884</v>
      </c>
      <c r="D1920" s="70" t="s">
        <v>1</v>
      </c>
      <c r="E1920" s="70" t="s">
        <v>1</v>
      </c>
      <c r="F1920" s="70"/>
      <c r="G1920" s="70" t="s">
        <v>61</v>
      </c>
      <c r="H1920" s="70" t="s">
        <v>178</v>
      </c>
      <c r="I1920" s="70" t="s">
        <v>198</v>
      </c>
      <c r="J1920" s="71" t="str">
        <f>IF(OR(I1920=0,I1920=""),"unrated",VLOOKUP(I1920,MappingTables!$B$19:$C$31,2,FALSE))</f>
        <v>unrated</v>
      </c>
      <c r="K1920" s="72">
        <v>2.0581449818490936</v>
      </c>
      <c r="L1920" s="70">
        <v>21.353334949578952</v>
      </c>
      <c r="M1920" s="71">
        <f>IF(L1920&lt;1,1,L1920)</f>
        <v>21.353334949578952</v>
      </c>
      <c r="N1920" s="70" t="s">
        <v>3288</v>
      </c>
      <c r="O1920" s="71">
        <f>IF(OR(I1920=$A$1,I1920=0),"",IF(N1920=MappingTables!$C$14,VLOOKUP(J1920,ModelParameters!$M$8:$N$15,2,FALSE),IF(N1920=MappingTables!$C$16,VLOOKUP(J1920,ModelParameters!$P$8:$Q$15,2,FALSE),0)))</f>
        <v>1</v>
      </c>
      <c r="P1920" s="73">
        <f>IF(OR(I1920=0,I1920=$A$1),0,MIN(O1920*M1920,1)*K1920)</f>
        <v>2.0581449818490936</v>
      </c>
      <c r="Q1920" s="73">
        <f>IF(B1920="",0,IF(OR(H1920=MappingTables!$C$34,H1920=MappingTables!$C$35),P1920,0))</f>
        <v>0</v>
      </c>
      <c r="R1920" s="73">
        <f>IF(ISNA(IF(AND(VLOOKUP(CONCATENATE($D1920,$G1920),CSRFinput!$B:$E,4,0)=0,OR(H1920=MappingTables!$C$31,H1920=MappingTables!$C$32)),1,VLOOKUP(CONCATENATE($D1920,$G1920),CSRFinput!$B:$E,4,0))),0,IF(AND(VLOOKUP(CONCATENATE($D1920,$G1920),CSRFinput!$B:$E,4,0)=0,OR(H1920=MappingTables!$C$31,H1920=MappingTables!$C$32)),1,VLOOKUP(CONCATENATE($D1920,$G1920),CSRFinput!$B:$E,4,0)))</f>
        <v>0.054776304963434752</v>
      </c>
      <c r="S1920" s="73">
        <f>IF(B1920="",0,P1920*R1920)</f>
        <v>0.11273757718472884</v>
      </c>
      <c r="T1920" s="85">
        <f>IF(B1920="",0,IF(OR(H1920=MappingTables!$C$34,H1920=MappingTables!$C$35),S1920,0))</f>
        <v>0</v>
      </c>
    </row>
    <row r="1921" spans="2:20" s="0" customFormat="0" ht="15">
      <c r="B1921" s="69">
        <v>2290881</v>
      </c>
      <c r="C1921" s="70" t="s">
        <v>4882</v>
      </c>
      <c r="D1921" s="70" t="s">
        <v>1</v>
      </c>
      <c r="E1921" s="70" t="s">
        <v>1</v>
      </c>
      <c r="F1921" s="70"/>
      <c r="G1921" s="70" t="s">
        <v>61</v>
      </c>
      <c r="H1921" s="70" t="s">
        <v>178</v>
      </c>
      <c r="I1921" s="70" t="s">
        <v>204</v>
      </c>
      <c r="J1921" s="71">
        <f>IF(OR(I1921=0,I1921=""),"unrated",VLOOKUP(I1921,MappingTables!$B$19:$C$31,2,FALSE))</f>
        <v>6</v>
      </c>
      <c r="K1921" s="72">
        <v>55.599564614867392</v>
      </c>
      <c r="L1921" s="70">
        <v>0.068492309537204464</v>
      </c>
      <c r="M1921" s="71">
        <f>IF(L1921&lt;1,1,L1921)</f>
        <v>1</v>
      </c>
      <c r="N1921" s="70" t="s">
        <v>3288</v>
      </c>
      <c r="O1921" s="71">
        <f>IF(OR(I1921=$A$1,I1921=0),"",IF(N1921=MappingTables!$C$14,VLOOKUP(J1921,ModelParameters!$M$8:$N$15,2,FALSE),IF(N1921=MappingTables!$C$16,VLOOKUP(J1921,ModelParameters!$P$8:$Q$15,2,FALSE),0)))</f>
        <v>1</v>
      </c>
      <c r="P1921" s="73">
        <f>IF(OR(I1921=0,I1921=$A$1),0,MIN(O1921*M1921,1)*K1921)</f>
        <v>55.599564614867392</v>
      </c>
      <c r="Q1921" s="73">
        <f>IF(B1921="",0,IF(OR(H1921=MappingTables!$C$34,H1921=MappingTables!$C$35),P1921,0))</f>
        <v>0</v>
      </c>
      <c r="R1921" s="73">
        <f>IF(ISNA(IF(AND(VLOOKUP(CONCATENATE($D1921,$G1921),CSRFinput!$B:$E,4,0)=0,OR(H1921=MappingTables!$C$31,H1921=MappingTables!$C$32)),1,VLOOKUP(CONCATENATE($D1921,$G1921),CSRFinput!$B:$E,4,0))),0,IF(AND(VLOOKUP(CONCATENATE($D1921,$G1921),CSRFinput!$B:$E,4,0)=0,OR(H1921=MappingTables!$C$31,H1921=MappingTables!$C$32)),1,VLOOKUP(CONCATENATE($D1921,$G1921),CSRFinput!$B:$E,4,0)))</f>
        <v>0.054776304963434752</v>
      </c>
      <c r="S1921" s="73">
        <f>IF(B1921="",0,P1921*R1921)</f>
        <v>3.045538707178172</v>
      </c>
      <c r="T1921" s="85">
        <f>IF(B1921="",0,IF(OR(H1921=MappingTables!$C$34,H1921=MappingTables!$C$35),S1921,0))</f>
        <v>0</v>
      </c>
    </row>
    <row r="1922" spans="2:20" s="0" customFormat="0" ht="15">
      <c r="B1922" s="69">
        <v>1551571</v>
      </c>
      <c r="C1922" s="70" t="s">
        <v>4028</v>
      </c>
      <c r="D1922" s="70" t="s">
        <v>1</v>
      </c>
      <c r="E1922" s="70" t="s">
        <v>1</v>
      </c>
      <c r="F1922" s="70"/>
      <c r="G1922" s="70" t="s">
        <v>61</v>
      </c>
      <c r="H1922" s="70" t="s">
        <v>178</v>
      </c>
      <c r="I1922" s="70" t="s">
        <v>198</v>
      </c>
      <c r="J1922" s="71" t="str">
        <f>IF(OR(I1922=0,I1922=""),"unrated",VLOOKUP(I1922,MappingTables!$B$19:$C$31,2,FALSE))</f>
        <v>unrated</v>
      </c>
      <c r="K1922" s="72">
        <v>2.9034036802585188</v>
      </c>
      <c r="L1922" s="70">
        <v>0.068493518102076784</v>
      </c>
      <c r="M1922" s="71">
        <f>IF(L1922&lt;1,1,L1922)</f>
        <v>1</v>
      </c>
      <c r="N1922" s="70" t="s">
        <v>3288</v>
      </c>
      <c r="O1922" s="71">
        <f>IF(OR(I1922=$A$1,I1922=0),"",IF(N1922=MappingTables!$C$14,VLOOKUP(J1922,ModelParameters!$M$8:$N$15,2,FALSE),IF(N1922=MappingTables!$C$16,VLOOKUP(J1922,ModelParameters!$P$8:$Q$15,2,FALSE),0)))</f>
        <v>1</v>
      </c>
      <c r="P1922" s="73">
        <f>IF(OR(I1922=0,I1922=$A$1),0,MIN(O1922*M1922,1)*K1922)</f>
        <v>2.9034036802585188</v>
      </c>
      <c r="Q1922" s="73">
        <f>IF(B1922="",0,IF(OR(H1922=MappingTables!$C$34,H1922=MappingTables!$C$35),P1922,0))</f>
        <v>0</v>
      </c>
      <c r="R1922" s="73">
        <f>IF(ISNA(IF(AND(VLOOKUP(CONCATENATE($D1922,$G1922),CSRFinput!$B:$E,4,0)=0,OR(H1922=MappingTables!$C$31,H1922=MappingTables!$C$32)),1,VLOOKUP(CONCATENATE($D1922,$G1922),CSRFinput!$B:$E,4,0))),0,IF(AND(VLOOKUP(CONCATENATE($D1922,$G1922),CSRFinput!$B:$E,4,0)=0,OR(H1922=MappingTables!$C$31,H1922=MappingTables!$C$32)),1,VLOOKUP(CONCATENATE($D1922,$G1922),CSRFinput!$B:$E,4,0)))</f>
        <v>0.054776304963434752</v>
      </c>
      <c r="S1922" s="73">
        <f>IF(B1922="",0,P1922*R1922)</f>
        <v>0.15903772542179944</v>
      </c>
      <c r="T1922" s="85">
        <f>IF(B1922="",0,IF(OR(H1922=MappingTables!$C$34,H1922=MappingTables!$C$35),S1922,0))</f>
        <v>0</v>
      </c>
    </row>
    <row r="1923" spans="2:20" s="0" customFormat="0" ht="15">
      <c r="B1923" s="69" t="s">
        <v>3401</v>
      </c>
      <c r="C1923" s="70" t="s">
        <v>3402</v>
      </c>
      <c r="D1923" s="70" t="s">
        <v>1</v>
      </c>
      <c r="E1923" s="70" t="s">
        <v>1</v>
      </c>
      <c r="F1923" s="70"/>
      <c r="G1923" s="70" t="s">
        <v>61</v>
      </c>
      <c r="H1923" s="70" t="s">
        <v>178</v>
      </c>
      <c r="I1923" s="70" t="s">
        <v>216</v>
      </c>
      <c r="J1923" s="71">
        <f>IF(OR(I1923=0,I1923=""),"unrated",VLOOKUP(I1923,MappingTables!$B$19:$C$31,2,FALSE))</f>
        <v>0</v>
      </c>
      <c r="K1923" s="72">
        <v>170.55922720956204</v>
      </c>
      <c r="L1923" s="70">
        <v>0.12602784935879898</v>
      </c>
      <c r="M1923" s="71">
        <f>IF(L1923&lt;1,1,L1923)</f>
        <v>1</v>
      </c>
      <c r="N1923" s="70" t="s">
        <v>3288</v>
      </c>
      <c r="O1923" s="71">
        <f>IF(OR(I1923=$A$1,I1923=0),"",IF(N1923=MappingTables!$C$14,VLOOKUP(J1923,ModelParameters!$M$8:$N$15,2,FALSE),IF(N1923=MappingTables!$C$16,VLOOKUP(J1923,ModelParameters!$P$8:$Q$15,2,FALSE),0)))</f>
        <v>0.125</v>
      </c>
      <c r="P1923" s="73">
        <f>IF(OR(I1923=0,I1923=$A$1),0,MIN(O1923*M1923,1)*K1923)</f>
        <v>21.319903401195256</v>
      </c>
      <c r="Q1923" s="73">
        <f>IF(B1923="",0,IF(OR(H1923=MappingTables!$C$34,H1923=MappingTables!$C$35),P1923,0))</f>
        <v>0</v>
      </c>
      <c r="R1923" s="73">
        <f>IF(ISNA(IF(AND(VLOOKUP(CONCATENATE($D1923,$G1923),CSRFinput!$B:$E,4,0)=0,OR(H1923=MappingTables!$C$31,H1923=MappingTables!$C$32)),1,VLOOKUP(CONCATENATE($D1923,$G1923),CSRFinput!$B:$E,4,0))),0,IF(AND(VLOOKUP(CONCATENATE($D1923,$G1923),CSRFinput!$B:$E,4,0)=0,OR(H1923=MappingTables!$C$31,H1923=MappingTables!$C$32)),1,VLOOKUP(CONCATENATE($D1923,$G1923),CSRFinput!$B:$E,4,0)))</f>
        <v>0.054776304963434752</v>
      </c>
      <c r="S1923" s="73">
        <f>IF(B1923="",0,P1923*R1923)</f>
        <v>1.167825530494841</v>
      </c>
      <c r="T1923" s="85">
        <f>IF(B1923="",0,IF(OR(H1923=MappingTables!$C$34,H1923=MappingTables!$C$35),S1923,0))</f>
        <v>0</v>
      </c>
    </row>
    <row r="1924" spans="2:20" s="0" customFormat="0" ht="15">
      <c r="B1924" s="69" t="s">
        <v>5162</v>
      </c>
      <c r="C1924" s="70" t="s">
        <v>5163</v>
      </c>
      <c r="D1924" s="70" t="s">
        <v>1</v>
      </c>
      <c r="E1924" s="70" t="s">
        <v>1</v>
      </c>
      <c r="F1924" s="70"/>
      <c r="G1924" s="70" t="s">
        <v>61</v>
      </c>
      <c r="H1924" s="70" t="s">
        <v>178</v>
      </c>
      <c r="I1924" s="70" t="s">
        <v>216</v>
      </c>
      <c r="J1924" s="71">
        <f>IF(OR(I1924=0,I1924=""),"unrated",VLOOKUP(I1924,MappingTables!$B$19:$C$31,2,FALSE))</f>
        <v>0</v>
      </c>
      <c r="K1924" s="72">
        <v>582.98613112258912</v>
      </c>
      <c r="L1924" s="70">
        <v>0.035614629578721012</v>
      </c>
      <c r="M1924" s="71">
        <f>IF(L1924&lt;1,1,L1924)</f>
        <v>1</v>
      </c>
      <c r="N1924" s="70" t="s">
        <v>3288</v>
      </c>
      <c r="O1924" s="71">
        <f>IF(OR(I1924=$A$1,I1924=0),"",IF(N1924=MappingTables!$C$14,VLOOKUP(J1924,ModelParameters!$M$8:$N$15,2,FALSE),IF(N1924=MappingTables!$C$16,VLOOKUP(J1924,ModelParameters!$P$8:$Q$15,2,FALSE),0)))</f>
        <v>0.125</v>
      </c>
      <c r="P1924" s="73">
        <f>IF(OR(I1924=0,I1924=$A$1),0,MIN(O1924*M1924,1)*K1924)</f>
        <v>72.873266390323632</v>
      </c>
      <c r="Q1924" s="73">
        <f>IF(B1924="",0,IF(OR(H1924=MappingTables!$C$34,H1924=MappingTables!$C$35),P1924,0))</f>
        <v>0</v>
      </c>
      <c r="R1924" s="73">
        <f>IF(ISNA(IF(AND(VLOOKUP(CONCATENATE($D1924,$G1924),CSRFinput!$B:$E,4,0)=0,OR(H1924=MappingTables!$C$31,H1924=MappingTables!$C$32)),1,VLOOKUP(CONCATENATE($D1924,$G1924),CSRFinput!$B:$E,4,0))),0,IF(AND(VLOOKUP(CONCATENATE($D1924,$G1924),CSRFinput!$B:$E,4,0)=0,OR(H1924=MappingTables!$C$31,H1924=MappingTables!$C$32)),1,VLOOKUP(CONCATENATE($D1924,$G1924),CSRFinput!$B:$E,4,0)))</f>
        <v>0.054776304963434752</v>
      </c>
      <c r="S1924" s="73">
        <f>IF(B1924="",0,P1924*R1924)</f>
        <v>3.9917282634779872</v>
      </c>
      <c r="T1924" s="85">
        <f>IF(B1924="",0,IF(OR(H1924=MappingTables!$C$34,H1924=MappingTables!$C$35),S1924,0))</f>
        <v>0</v>
      </c>
    </row>
    <row r="1925" spans="2:20" s="0" customFormat="0" ht="15">
      <c r="B1925" s="69">
        <v>16974742</v>
      </c>
      <c r="C1925" s="70" t="s">
        <v>3592</v>
      </c>
      <c r="D1925" s="70" t="s">
        <v>1</v>
      </c>
      <c r="E1925" s="70" t="s">
        <v>1</v>
      </c>
      <c r="F1925" s="70"/>
      <c r="G1925" s="70" t="s">
        <v>61</v>
      </c>
      <c r="H1925" s="70" t="s">
        <v>178</v>
      </c>
      <c r="I1925" s="70" t="s">
        <v>216</v>
      </c>
      <c r="J1925" s="71">
        <f>IF(OR(I1925=0,I1925=""),"unrated",VLOOKUP(I1925,MappingTables!$B$19:$C$31,2,FALSE))</f>
        <v>0</v>
      </c>
      <c r="K1925" s="72">
        <v>289.87492073673008</v>
      </c>
      <c r="L1925" s="70">
        <v>0.06786496122743656</v>
      </c>
      <c r="M1925" s="71">
        <f>IF(L1925&lt;1,1,L1925)</f>
        <v>1</v>
      </c>
      <c r="N1925" s="70" t="s">
        <v>3288</v>
      </c>
      <c r="O1925" s="71">
        <f>IF(OR(I1925=$A$1,I1925=0),"",IF(N1925=MappingTables!$C$14,VLOOKUP(J1925,ModelParameters!$M$8:$N$15,2,FALSE),IF(N1925=MappingTables!$C$16,VLOOKUP(J1925,ModelParameters!$P$8:$Q$15,2,FALSE),0)))</f>
        <v>0.125</v>
      </c>
      <c r="P1925" s="73">
        <f>IF(OR(I1925=0,I1925=$A$1),0,MIN(O1925*M1925,1)*K1925)</f>
        <v>36.234365092091256</v>
      </c>
      <c r="Q1925" s="73">
        <f>IF(B1925="",0,IF(OR(H1925=MappingTables!$C$34,H1925=MappingTables!$C$35),P1925,0))</f>
        <v>0</v>
      </c>
      <c r="R1925" s="73">
        <f>IF(ISNA(IF(AND(VLOOKUP(CONCATENATE($D1925,$G1925),CSRFinput!$B:$E,4,0)=0,OR(H1925=MappingTables!$C$31,H1925=MappingTables!$C$32)),1,VLOOKUP(CONCATENATE($D1925,$G1925),CSRFinput!$B:$E,4,0))),0,IF(AND(VLOOKUP(CONCATENATE($D1925,$G1925),CSRFinput!$B:$E,4,0)=0,OR(H1925=MappingTables!$C$31,H1925=MappingTables!$C$32)),1,VLOOKUP(CONCATENATE($D1925,$G1925),CSRFinput!$B:$E,4,0)))</f>
        <v>0.054776304963434752</v>
      </c>
      <c r="S1925" s="73">
        <f>IF(B1925="",0,P1925*R1925)</f>
        <v>1.9847846324408252</v>
      </c>
      <c r="T1925" s="85">
        <f>IF(B1925="",0,IF(OR(H1925=MappingTables!$C$34,H1925=MappingTables!$C$35),S1925,0))</f>
        <v>0</v>
      </c>
    </row>
    <row r="1926" spans="2:20" s="0" customFormat="0" ht="15">
      <c r="B1926" s="69" t="s">
        <v>5130</v>
      </c>
      <c r="C1926" s="70" t="s">
        <v>5131</v>
      </c>
      <c r="D1926" s="70" t="s">
        <v>1</v>
      </c>
      <c r="E1926" s="70" t="s">
        <v>1</v>
      </c>
      <c r="F1926" s="70"/>
      <c r="G1926" s="70" t="s">
        <v>61</v>
      </c>
      <c r="H1926" s="70" t="s">
        <v>178</v>
      </c>
      <c r="I1926" s="70" t="s">
        <v>204</v>
      </c>
      <c r="J1926" s="71">
        <f>IF(OR(I1926=0,I1926=""),"unrated",VLOOKUP(I1926,MappingTables!$B$19:$C$31,2,FALSE))</f>
        <v>6</v>
      </c>
      <c r="K1926" s="72">
        <v>194.67282223636796</v>
      </c>
      <c r="L1926" s="70">
        <v>-0.24521830787351292</v>
      </c>
      <c r="M1926" s="71">
        <f>IF(L1926&lt;1,1,L1926)</f>
        <v>1</v>
      </c>
      <c r="N1926" s="70" t="s">
        <v>3288</v>
      </c>
      <c r="O1926" s="71">
        <f>IF(OR(I1926=$A$1,I1926=0),"",IF(N1926=MappingTables!$C$14,VLOOKUP(J1926,ModelParameters!$M$8:$N$15,2,FALSE),IF(N1926=MappingTables!$C$16,VLOOKUP(J1926,ModelParameters!$P$8:$Q$15,2,FALSE),0)))</f>
        <v>1</v>
      </c>
      <c r="P1926" s="73">
        <f>IF(OR(I1926=0,I1926=$A$1),0,MIN(O1926*M1926,1)*K1926)</f>
        <v>194.67282223636796</v>
      </c>
      <c r="Q1926" s="73">
        <f>IF(B1926="",0,IF(OR(H1926=MappingTables!$C$34,H1926=MappingTables!$C$35),P1926,0))</f>
        <v>0</v>
      </c>
      <c r="R1926" s="73">
        <f>IF(ISNA(IF(AND(VLOOKUP(CONCATENATE($D1926,$G1926),CSRFinput!$B:$E,4,0)=0,OR(H1926=MappingTables!$C$31,H1926=MappingTables!$C$32)),1,VLOOKUP(CONCATENATE($D1926,$G1926),CSRFinput!$B:$E,4,0))),0,IF(AND(VLOOKUP(CONCATENATE($D1926,$G1926),CSRFinput!$B:$E,4,0)=0,OR(H1926=MappingTables!$C$31,H1926=MappingTables!$C$32)),1,VLOOKUP(CONCATENATE($D1926,$G1926),CSRFinput!$B:$E,4,0)))</f>
        <v>0.054776304963434752</v>
      </c>
      <c r="S1926" s="73">
        <f>IF(B1926="",0,P1926*R1926)</f>
        <v>10.663457878911816</v>
      </c>
      <c r="T1926" s="85">
        <f>IF(B1926="",0,IF(OR(H1926=MappingTables!$C$34,H1926=MappingTables!$C$35),S1926,0))</f>
        <v>0</v>
      </c>
    </row>
    <row r="1927" spans="2:20" s="0" customFormat="0" ht="15">
      <c r="B1927" s="69">
        <v>19216269</v>
      </c>
      <c r="C1927" s="70" t="s">
        <v>5022</v>
      </c>
      <c r="D1927" s="70" t="s">
        <v>1</v>
      </c>
      <c r="E1927" s="70" t="s">
        <v>1</v>
      </c>
      <c r="F1927" s="70"/>
      <c r="G1927" s="70" t="s">
        <v>61</v>
      </c>
      <c r="H1927" s="70" t="s">
        <v>178</v>
      </c>
      <c r="I1927" s="70" t="s">
        <v>216</v>
      </c>
      <c r="J1927" s="71">
        <f>IF(OR(I1927=0,I1927=""),"unrated",VLOOKUP(I1927,MappingTables!$B$19:$C$31,2,FALSE))</f>
        <v>0</v>
      </c>
      <c r="K1927" s="72">
        <v>364.85304692573984</v>
      </c>
      <c r="L1927" s="70">
        <v>0.02210289616708822</v>
      </c>
      <c r="M1927" s="71">
        <f>IF(L1927&lt;1,1,L1927)</f>
        <v>1</v>
      </c>
      <c r="N1927" s="70" t="s">
        <v>3288</v>
      </c>
      <c r="O1927" s="71">
        <f>IF(OR(I1927=$A$1,I1927=0),"",IF(N1927=MappingTables!$C$14,VLOOKUP(J1927,ModelParameters!$M$8:$N$15,2,FALSE),IF(N1927=MappingTables!$C$16,VLOOKUP(J1927,ModelParameters!$P$8:$Q$15,2,FALSE),0)))</f>
        <v>0.125</v>
      </c>
      <c r="P1927" s="73">
        <f>IF(OR(I1927=0,I1927=$A$1),0,MIN(O1927*M1927,1)*K1927)</f>
        <v>45.60663086571748</v>
      </c>
      <c r="Q1927" s="73">
        <f>IF(B1927="",0,IF(OR(H1927=MappingTables!$C$34,H1927=MappingTables!$C$35),P1927,0))</f>
        <v>0</v>
      </c>
      <c r="R1927" s="73">
        <f>IF(ISNA(IF(AND(VLOOKUP(CONCATENATE($D1927,$G1927),CSRFinput!$B:$E,4,0)=0,OR(H1927=MappingTables!$C$31,H1927=MappingTables!$C$32)),1,VLOOKUP(CONCATENATE($D1927,$G1927),CSRFinput!$B:$E,4,0))),0,IF(AND(VLOOKUP(CONCATENATE($D1927,$G1927),CSRFinput!$B:$E,4,0)=0,OR(H1927=MappingTables!$C$31,H1927=MappingTables!$C$32)),1,VLOOKUP(CONCATENATE($D1927,$G1927),CSRFinput!$B:$E,4,0)))</f>
        <v>0.054776304963434752</v>
      </c>
      <c r="S1927" s="73">
        <f>IF(B1927="",0,P1927*R1927)</f>
        <v>2.4981627206553368</v>
      </c>
      <c r="T1927" s="85">
        <f>IF(B1927="",0,IF(OR(H1927=MappingTables!$C$34,H1927=MappingTables!$C$35),S1927,0))</f>
        <v>0</v>
      </c>
    </row>
    <row r="1928" spans="2:20" s="0" customFormat="0" ht="15">
      <c r="B1928" s="69" t="s">
        <v>5193</v>
      </c>
      <c r="C1928" s="70" t="s">
        <v>5194</v>
      </c>
      <c r="D1928" s="70" t="s">
        <v>1</v>
      </c>
      <c r="E1928" s="70" t="s">
        <v>1</v>
      </c>
      <c r="F1928" s="70"/>
      <c r="G1928" s="70" t="s">
        <v>61</v>
      </c>
      <c r="H1928" s="70" t="s">
        <v>178</v>
      </c>
      <c r="I1928" s="70" t="s">
        <v>216</v>
      </c>
      <c r="J1928" s="71">
        <f>IF(OR(I1928=0,I1928=""),"unrated",VLOOKUP(I1928,MappingTables!$B$19:$C$31,2,FALSE))</f>
        <v>0</v>
      </c>
      <c r="K1928" s="72">
        <v>1171.864170728834</v>
      </c>
      <c r="L1928" s="70">
        <v>0.05598859464125568</v>
      </c>
      <c r="M1928" s="71">
        <f>IF(L1928&lt;1,1,L1928)</f>
        <v>1</v>
      </c>
      <c r="N1928" s="70" t="s">
        <v>3288</v>
      </c>
      <c r="O1928" s="71">
        <f>IF(OR(I1928=$A$1,I1928=0),"",IF(N1928=MappingTables!$C$14,VLOOKUP(J1928,ModelParameters!$M$8:$N$15,2,FALSE),IF(N1928=MappingTables!$C$16,VLOOKUP(J1928,ModelParameters!$P$8:$Q$15,2,FALSE),0)))</f>
        <v>0.125</v>
      </c>
      <c r="P1928" s="73">
        <f>IF(OR(I1928=0,I1928=$A$1),0,MIN(O1928*M1928,1)*K1928)</f>
        <v>146.48302134110426</v>
      </c>
      <c r="Q1928" s="73">
        <f>IF(B1928="",0,IF(OR(H1928=MappingTables!$C$34,H1928=MappingTables!$C$35),P1928,0))</f>
        <v>0</v>
      </c>
      <c r="R1928" s="73">
        <f>IF(ISNA(IF(AND(VLOOKUP(CONCATENATE($D1928,$G1928),CSRFinput!$B:$E,4,0)=0,OR(H1928=MappingTables!$C$31,H1928=MappingTables!$C$32)),1,VLOOKUP(CONCATENATE($D1928,$G1928),CSRFinput!$B:$E,4,0))),0,IF(AND(VLOOKUP(CONCATENATE($D1928,$G1928),CSRFinput!$B:$E,4,0)=0,OR(H1928=MappingTables!$C$31,H1928=MappingTables!$C$32)),1,VLOOKUP(CONCATENATE($D1928,$G1928),CSRFinput!$B:$E,4,0)))</f>
        <v>0.054776304963434752</v>
      </c>
      <c r="S1928" s="73">
        <f>IF(B1928="",0,P1928*R1928)</f>
        <v>8.023798648945648</v>
      </c>
      <c r="T1928" s="85">
        <f>IF(B1928="",0,IF(OR(H1928=MappingTables!$C$34,H1928=MappingTables!$C$35),S1928,0))</f>
        <v>0</v>
      </c>
    </row>
    <row r="1929" spans="2:20" s="0" customFormat="0" ht="15">
      <c r="B1929" s="69" t="s">
        <v>3881</v>
      </c>
      <c r="C1929" s="70" t="s">
        <v>3882</v>
      </c>
      <c r="D1929" s="70" t="s">
        <v>1</v>
      </c>
      <c r="E1929" s="70" t="s">
        <v>1</v>
      </c>
      <c r="F1929" s="70"/>
      <c r="G1929" s="70" t="s">
        <v>61</v>
      </c>
      <c r="H1929" s="70" t="s">
        <v>178</v>
      </c>
      <c r="I1929" s="70" t="s">
        <v>179</v>
      </c>
      <c r="J1929" s="71">
        <f>IF(OR(I1929=0,I1929=""),"unrated",VLOOKUP(I1929,MappingTables!$B$19:$C$31,2,FALSE))</f>
        <v>4</v>
      </c>
      <c r="K1929" s="72">
        <v>7.7421094328326576</v>
      </c>
      <c r="L1929" s="70">
        <v>0.068491537459023744</v>
      </c>
      <c r="M1929" s="71">
        <f>IF(L1929&lt;1,1,L1929)</f>
        <v>1</v>
      </c>
      <c r="N1929" s="70" t="s">
        <v>3288</v>
      </c>
      <c r="O1929" s="71">
        <f>IF(OR(I1929=$A$1,I1929=0),"",IF(N1929=MappingTables!$C$14,VLOOKUP(J1929,ModelParameters!$M$8:$N$15,2,FALSE),IF(N1929=MappingTables!$C$16,VLOOKUP(J1929,ModelParameters!$P$8:$Q$15,2,FALSE),0)))</f>
        <v>0.82</v>
      </c>
      <c r="P1929" s="73">
        <f>IF(OR(I1929=0,I1929=$A$1),0,MIN(O1929*M1929,1)*K1929)</f>
        <v>6.3485297349227784</v>
      </c>
      <c r="Q1929" s="73">
        <f>IF(B1929="",0,IF(OR(H1929=MappingTables!$C$34,H1929=MappingTables!$C$35),P1929,0))</f>
        <v>0</v>
      </c>
      <c r="R1929" s="73">
        <f>IF(ISNA(IF(AND(VLOOKUP(CONCATENATE($D1929,$G1929),CSRFinput!$B:$E,4,0)=0,OR(H1929=MappingTables!$C$31,H1929=MappingTables!$C$32)),1,VLOOKUP(CONCATENATE($D1929,$G1929),CSRFinput!$B:$E,4,0))),0,IF(AND(VLOOKUP(CONCATENATE($D1929,$G1929),CSRFinput!$B:$E,4,0)=0,OR(H1929=MappingTables!$C$31,H1929=MappingTables!$C$32)),1,VLOOKUP(CONCATENATE($D1929,$G1929),CSRFinput!$B:$E,4,0)))</f>
        <v>0.054776304963434752</v>
      </c>
      <c r="S1929" s="73">
        <f>IF(B1929="",0,P1929*R1929)</f>
        <v>0.34774900082956372</v>
      </c>
      <c r="T1929" s="85">
        <f>IF(B1929="",0,IF(OR(H1929=MappingTables!$C$34,H1929=MappingTables!$C$35),S1929,0))</f>
        <v>0</v>
      </c>
    </row>
    <row r="1930" spans="2:20" s="0" customFormat="0" ht="15">
      <c r="B1930" s="69" t="s">
        <v>5125</v>
      </c>
      <c r="C1930" s="70" t="s">
        <v>5126</v>
      </c>
      <c r="D1930" s="70" t="s">
        <v>1</v>
      </c>
      <c r="E1930" s="70" t="s">
        <v>1</v>
      </c>
      <c r="F1930" s="70"/>
      <c r="G1930" s="70" t="s">
        <v>61</v>
      </c>
      <c r="H1930" s="70" t="s">
        <v>178</v>
      </c>
      <c r="I1930" s="70" t="s">
        <v>198</v>
      </c>
      <c r="J1930" s="71" t="str">
        <f>IF(OR(I1930=0,I1930=""),"unrated",VLOOKUP(I1930,MappingTables!$B$19:$C$31,2,FALSE))</f>
        <v>unrated</v>
      </c>
      <c r="K1930" s="72">
        <v>19857.321665240796</v>
      </c>
      <c r="L1930" s="70">
        <v>5.2023443338639528</v>
      </c>
      <c r="M1930" s="71">
        <f>IF(L1930&lt;1,1,L1930)</f>
        <v>5.2023443338639528</v>
      </c>
      <c r="N1930" s="70" t="s">
        <v>3288</v>
      </c>
      <c r="O1930" s="71">
        <f>IF(OR(I1930=$A$1,I1930=0),"",IF(N1930=MappingTables!$C$14,VLOOKUP(J1930,ModelParameters!$M$8:$N$15,2,FALSE),IF(N1930=MappingTables!$C$16,VLOOKUP(J1930,ModelParameters!$P$8:$Q$15,2,FALSE),0)))</f>
        <v>1</v>
      </c>
      <c r="P1930" s="73">
        <f>IF(OR(I1930=0,I1930=$A$1),0,MIN(O1930*M1930,1)*K1930)</f>
        <v>19857.321665240796</v>
      </c>
      <c r="Q1930" s="73">
        <f>IF(B1930="",0,IF(OR(H1930=MappingTables!$C$34,H1930=MappingTables!$C$35),P1930,0))</f>
        <v>0</v>
      </c>
      <c r="R1930" s="73">
        <f>IF(ISNA(IF(AND(VLOOKUP(CONCATENATE($D1930,$G1930),CSRFinput!$B:$E,4,0)=0,OR(H1930=MappingTables!$C$31,H1930=MappingTables!$C$32)),1,VLOOKUP(CONCATENATE($D1930,$G1930),CSRFinput!$B:$E,4,0))),0,IF(AND(VLOOKUP(CONCATENATE($D1930,$G1930),CSRFinput!$B:$E,4,0)=0,OR(H1930=MappingTables!$C$31,H1930=MappingTables!$C$32)),1,VLOOKUP(CONCATENATE($D1930,$G1930),CSRFinput!$B:$E,4,0)))</f>
        <v>0.054776304963434752</v>
      </c>
      <c r="S1930" s="73">
        <f>IF(B1930="",0,P1930*R1930)</f>
        <v>1087.71070729225</v>
      </c>
      <c r="T1930" s="85">
        <f>IF(B1930="",0,IF(OR(H1930=MappingTables!$C$34,H1930=MappingTables!$C$35),S1930,0))</f>
        <v>0</v>
      </c>
    </row>
    <row r="1931" spans="2:20" s="0" customFormat="0" ht="15">
      <c r="B1931" s="69" t="s">
        <v>3686</v>
      </c>
      <c r="C1931" s="70" t="s">
        <v>3687</v>
      </c>
      <c r="D1931" s="70" t="s">
        <v>1</v>
      </c>
      <c r="E1931" s="70" t="s">
        <v>1</v>
      </c>
      <c r="F1931" s="70"/>
      <c r="G1931" s="70" t="s">
        <v>61</v>
      </c>
      <c r="H1931" s="70" t="s">
        <v>178</v>
      </c>
      <c r="I1931" s="70" t="s">
        <v>198</v>
      </c>
      <c r="J1931" s="71" t="str">
        <f>IF(OR(I1931=0,I1931=""),"unrated",VLOOKUP(I1931,MappingTables!$B$19:$C$31,2,FALSE))</f>
        <v>unrated</v>
      </c>
      <c r="K1931" s="72">
        <v>62382.644999745976</v>
      </c>
      <c r="L1931" s="70">
        <v>9.7997932472452864</v>
      </c>
      <c r="M1931" s="71">
        <f>IF(L1931&lt;1,1,L1931)</f>
        <v>9.7997932472452864</v>
      </c>
      <c r="N1931" s="70" t="s">
        <v>3288</v>
      </c>
      <c r="O1931" s="71">
        <f>IF(OR(I1931=$A$1,I1931=0),"",IF(N1931=MappingTables!$C$14,VLOOKUP(J1931,ModelParameters!$M$8:$N$15,2,FALSE),IF(N1931=MappingTables!$C$16,VLOOKUP(J1931,ModelParameters!$P$8:$Q$15,2,FALSE),0)))</f>
        <v>1</v>
      </c>
      <c r="P1931" s="73">
        <f>IF(OR(I1931=0,I1931=$A$1),0,MIN(O1931*M1931,1)*K1931)</f>
        <v>62382.644999745976</v>
      </c>
      <c r="Q1931" s="73">
        <f>IF(B1931="",0,IF(OR(H1931=MappingTables!$C$34,H1931=MappingTables!$C$35),P1931,0))</f>
        <v>0</v>
      </c>
      <c r="R1931" s="73">
        <f>IF(ISNA(IF(AND(VLOOKUP(CONCATENATE($D1931,$G1931),CSRFinput!$B:$E,4,0)=0,OR(H1931=MappingTables!$C$31,H1931=MappingTables!$C$32)),1,VLOOKUP(CONCATENATE($D1931,$G1931),CSRFinput!$B:$E,4,0))),0,IF(AND(VLOOKUP(CONCATENATE($D1931,$G1931),CSRFinput!$B:$E,4,0)=0,OR(H1931=MappingTables!$C$31,H1931=MappingTables!$C$32)),1,VLOOKUP(CONCATENATE($D1931,$G1931),CSRFinput!$B:$E,4,0)))</f>
        <v>0.054776304963434752</v>
      </c>
      <c r="S1931" s="73">
        <f>IF(B1931="",0,P1931*R1931)</f>
        <v>3417.090786931774</v>
      </c>
      <c r="T1931" s="85">
        <f>IF(B1931="",0,IF(OR(H1931=MappingTables!$C$34,H1931=MappingTables!$C$35),S1931,0))</f>
        <v>0</v>
      </c>
    </row>
    <row r="1932" spans="2:20" s="0" customFormat="0" ht="15">
      <c r="B1932" s="69" t="s">
        <v>4007</v>
      </c>
      <c r="C1932" s="70" t="s">
        <v>4008</v>
      </c>
      <c r="D1932" s="70" t="s">
        <v>1</v>
      </c>
      <c r="E1932" s="70" t="s">
        <v>1</v>
      </c>
      <c r="F1932" s="70"/>
      <c r="G1932" s="70" t="s">
        <v>61</v>
      </c>
      <c r="H1932" s="70" t="s">
        <v>178</v>
      </c>
      <c r="I1932" s="70" t="s">
        <v>184</v>
      </c>
      <c r="J1932" s="71">
        <f>IF(OR(I1932=0,I1932=""),"unrated",VLOOKUP(I1932,MappingTables!$B$19:$C$31,2,FALSE))</f>
        <v>5</v>
      </c>
      <c r="K1932" s="72">
        <v>366.19764386271944</v>
      </c>
      <c r="L1932" s="70">
        <v>0.068494150732174032</v>
      </c>
      <c r="M1932" s="71">
        <f>IF(L1932&lt;1,1,L1932)</f>
        <v>1</v>
      </c>
      <c r="N1932" s="70" t="s">
        <v>3288</v>
      </c>
      <c r="O1932" s="71">
        <f>IF(OR(I1932=$A$1,I1932=0),"",IF(N1932=MappingTables!$C$14,VLOOKUP(J1932,ModelParameters!$M$8:$N$15,2,FALSE),IF(N1932=MappingTables!$C$16,VLOOKUP(J1932,ModelParameters!$P$8:$Q$15,2,FALSE),0)))</f>
        <v>1</v>
      </c>
      <c r="P1932" s="73">
        <f>IF(OR(I1932=0,I1932=$A$1),0,MIN(O1932*M1932,1)*K1932)</f>
        <v>366.19764386271944</v>
      </c>
      <c r="Q1932" s="73">
        <f>IF(B1932="",0,IF(OR(H1932=MappingTables!$C$34,H1932=MappingTables!$C$35),P1932,0))</f>
        <v>0</v>
      </c>
      <c r="R1932" s="73">
        <f>IF(ISNA(IF(AND(VLOOKUP(CONCATENATE($D1932,$G1932),CSRFinput!$B:$E,4,0)=0,OR(H1932=MappingTables!$C$31,H1932=MappingTables!$C$32)),1,VLOOKUP(CONCATENATE($D1932,$G1932),CSRFinput!$B:$E,4,0))),0,IF(AND(VLOOKUP(CONCATENATE($D1932,$G1932),CSRFinput!$B:$E,4,0)=0,OR(H1932=MappingTables!$C$31,H1932=MappingTables!$C$32)),1,VLOOKUP(CONCATENATE($D1932,$G1932),CSRFinput!$B:$E,4,0)))</f>
        <v>0.054776304963434752</v>
      </c>
      <c r="S1932" s="73">
        <f>IF(B1932="",0,P1932*R1932)</f>
        <v>20.058953817115592</v>
      </c>
      <c r="T1932" s="85">
        <f>IF(B1932="",0,IF(OR(H1932=MappingTables!$C$34,H1932=MappingTables!$C$35),S1932,0))</f>
        <v>0</v>
      </c>
    </row>
    <row r="1933" spans="2:20" s="0" customFormat="0" ht="15">
      <c r="B1933" s="69" t="s">
        <v>3986</v>
      </c>
      <c r="C1933" s="70" t="s">
        <v>3987</v>
      </c>
      <c r="D1933" s="70" t="s">
        <v>1</v>
      </c>
      <c r="E1933" s="70" t="s">
        <v>1</v>
      </c>
      <c r="F1933" s="70"/>
      <c r="G1933" s="70" t="s">
        <v>61</v>
      </c>
      <c r="H1933" s="70" t="s">
        <v>178</v>
      </c>
      <c r="I1933" s="70" t="s">
        <v>198</v>
      </c>
      <c r="J1933" s="71" t="str">
        <f>IF(OR(I1933=0,I1933=""),"unrated",VLOOKUP(I1933,MappingTables!$B$19:$C$31,2,FALSE))</f>
        <v>unrated</v>
      </c>
      <c r="K1933" s="72">
        <v>259.31770852825188</v>
      </c>
      <c r="L1933" s="70">
        <v>0.06849123980522284</v>
      </c>
      <c r="M1933" s="71">
        <f>IF(L1933&lt;1,1,L1933)</f>
        <v>1</v>
      </c>
      <c r="N1933" s="70" t="s">
        <v>3288</v>
      </c>
      <c r="O1933" s="71">
        <f>IF(OR(I1933=$A$1,I1933=0),"",IF(N1933=MappingTables!$C$14,VLOOKUP(J1933,ModelParameters!$M$8:$N$15,2,FALSE),IF(N1933=MappingTables!$C$16,VLOOKUP(J1933,ModelParameters!$P$8:$Q$15,2,FALSE),0)))</f>
        <v>1</v>
      </c>
      <c r="P1933" s="73">
        <f>IF(OR(I1933=0,I1933=$A$1),0,MIN(O1933*M1933,1)*K1933)</f>
        <v>259.31770852825188</v>
      </c>
      <c r="Q1933" s="73">
        <f>IF(B1933="",0,IF(OR(H1933=MappingTables!$C$34,H1933=MappingTables!$C$35),P1933,0))</f>
        <v>0</v>
      </c>
      <c r="R1933" s="73">
        <f>IF(ISNA(IF(AND(VLOOKUP(CONCATENATE($D1933,$G1933),CSRFinput!$B:$E,4,0)=0,OR(H1933=MappingTables!$C$31,H1933=MappingTables!$C$32)),1,VLOOKUP(CONCATENATE($D1933,$G1933),CSRFinput!$B:$E,4,0))),0,IF(AND(VLOOKUP(CONCATENATE($D1933,$G1933),CSRFinput!$B:$E,4,0)=0,OR(H1933=MappingTables!$C$31,H1933=MappingTables!$C$32)),1,VLOOKUP(CONCATENATE($D1933,$G1933),CSRFinput!$B:$E,4,0)))</f>
        <v>0.054776304963434752</v>
      </c>
      <c r="S1933" s="73">
        <f>IF(B1933="",0,P1933*R1933)</f>
        <v>14.20446588476261</v>
      </c>
      <c r="T1933" s="85">
        <f>IF(B1933="",0,IF(OR(H1933=MappingTables!$C$34,H1933=MappingTables!$C$35),S1933,0))</f>
        <v>0</v>
      </c>
    </row>
    <row r="1934" spans="2:20" s="0" customFormat="0" ht="15">
      <c r="B1934" s="69" t="s">
        <v>4893</v>
      </c>
      <c r="C1934" s="70" t="s">
        <v>4894</v>
      </c>
      <c r="D1934" s="70" t="s">
        <v>1</v>
      </c>
      <c r="E1934" s="70" t="s">
        <v>1</v>
      </c>
      <c r="F1934" s="70"/>
      <c r="G1934" s="70" t="s">
        <v>61</v>
      </c>
      <c r="H1934" s="70" t="s">
        <v>178</v>
      </c>
      <c r="I1934" s="70" t="s">
        <v>184</v>
      </c>
      <c r="J1934" s="71">
        <f>IF(OR(I1934=0,I1934=""),"unrated",VLOOKUP(I1934,MappingTables!$B$19:$C$31,2,FALSE))</f>
        <v>5</v>
      </c>
      <c r="K1934" s="72">
        <v>175.28824325744798</v>
      </c>
      <c r="L1934" s="70">
        <v>6.8574162304997392</v>
      </c>
      <c r="M1934" s="71">
        <f>IF(L1934&lt;1,1,L1934)</f>
        <v>6.8574162304997392</v>
      </c>
      <c r="N1934" s="70" t="s">
        <v>3288</v>
      </c>
      <c r="O1934" s="71">
        <f>IF(OR(I1934=$A$1,I1934=0),"",IF(N1934=MappingTables!$C$14,VLOOKUP(J1934,ModelParameters!$M$8:$N$15,2,FALSE),IF(N1934=MappingTables!$C$16,VLOOKUP(J1934,ModelParameters!$P$8:$Q$15,2,FALSE),0)))</f>
        <v>1</v>
      </c>
      <c r="P1934" s="73">
        <f>IF(OR(I1934=0,I1934=$A$1),0,MIN(O1934*M1934,1)*K1934)</f>
        <v>175.28824325744798</v>
      </c>
      <c r="Q1934" s="73">
        <f>IF(B1934="",0,IF(OR(H1934=MappingTables!$C$34,H1934=MappingTables!$C$35),P1934,0))</f>
        <v>0</v>
      </c>
      <c r="R1934" s="73">
        <f>IF(ISNA(IF(AND(VLOOKUP(CONCATENATE($D1934,$G1934),CSRFinput!$B:$E,4,0)=0,OR(H1934=MappingTables!$C$31,H1934=MappingTables!$C$32)),1,VLOOKUP(CONCATENATE($D1934,$G1934),CSRFinput!$B:$E,4,0))),0,IF(AND(VLOOKUP(CONCATENATE($D1934,$G1934),CSRFinput!$B:$E,4,0)=0,OR(H1934=MappingTables!$C$31,H1934=MappingTables!$C$32)),1,VLOOKUP(CONCATENATE($D1934,$G1934),CSRFinput!$B:$E,4,0)))</f>
        <v>0.054776304963434752</v>
      </c>
      <c r="S1934" s="73">
        <f>IF(B1934="",0,P1934*R1934)</f>
        <v>9.6016422691747072</v>
      </c>
      <c r="T1934" s="85">
        <f>IF(B1934="",0,IF(OR(H1934=MappingTables!$C$34,H1934=MappingTables!$C$35),S1934,0))</f>
        <v>0</v>
      </c>
    </row>
    <row r="1935" spans="2:20" s="0" customFormat="0" ht="15">
      <c r="B1935" s="69" t="s">
        <v>3635</v>
      </c>
      <c r="C1935" s="70" t="s">
        <v>3636</v>
      </c>
      <c r="D1935" s="70" t="s">
        <v>1</v>
      </c>
      <c r="E1935" s="70" t="s">
        <v>1</v>
      </c>
      <c r="F1935" s="70"/>
      <c r="G1935" s="70" t="s">
        <v>61</v>
      </c>
      <c r="H1935" s="70" t="s">
        <v>178</v>
      </c>
      <c r="I1935" s="70" t="s">
        <v>3291</v>
      </c>
      <c r="J1935" s="71">
        <f>IF(OR(I1935=0,I1935=""),"unrated",VLOOKUP(I1935,MappingTables!$B$19:$C$31,2,FALSE))</f>
        <v>6</v>
      </c>
      <c r="K1935" s="72">
        <v>391.11349926859016</v>
      </c>
      <c r="L1935" s="70">
        <v>0.053983898345907768</v>
      </c>
      <c r="M1935" s="71">
        <f>IF(L1935&lt;1,1,L1935)</f>
        <v>1</v>
      </c>
      <c r="N1935" s="70" t="s">
        <v>3288</v>
      </c>
      <c r="O1935" s="71">
        <f>IF(OR(I1935=$A$1,I1935=0),"",IF(N1935=MappingTables!$C$14,VLOOKUP(J1935,ModelParameters!$M$8:$N$15,2,FALSE),IF(N1935=MappingTables!$C$16,VLOOKUP(J1935,ModelParameters!$P$8:$Q$15,2,FALSE),0)))</f>
        <v>1</v>
      </c>
      <c r="P1935" s="73">
        <f>IF(OR(I1935=0,I1935=$A$1),0,MIN(O1935*M1935,1)*K1935)</f>
        <v>391.11349926859016</v>
      </c>
      <c r="Q1935" s="73">
        <f>IF(B1935="",0,IF(OR(H1935=MappingTables!$C$34,H1935=MappingTables!$C$35),P1935,0))</f>
        <v>0</v>
      </c>
      <c r="R1935" s="73">
        <f>IF(ISNA(IF(AND(VLOOKUP(CONCATENATE($D1935,$G1935),CSRFinput!$B:$E,4,0)=0,OR(H1935=MappingTables!$C$31,H1935=MappingTables!$C$32)),1,VLOOKUP(CONCATENATE($D1935,$G1935),CSRFinput!$B:$E,4,0))),0,IF(AND(VLOOKUP(CONCATENATE($D1935,$G1935),CSRFinput!$B:$E,4,0)=0,OR(H1935=MappingTables!$C$31,H1935=MappingTables!$C$32)),1,VLOOKUP(CONCATENATE($D1935,$G1935),CSRFinput!$B:$E,4,0)))</f>
        <v>0.054776304963434752</v>
      </c>
      <c r="S1935" s="73">
        <f>IF(B1935="",0,P1935*R1935)</f>
        <v>21.423752311252412</v>
      </c>
      <c r="T1935" s="85">
        <f>IF(B1935="",0,IF(OR(H1935=MappingTables!$C$34,H1935=MappingTables!$C$35),S1935,0))</f>
        <v>0</v>
      </c>
    </row>
    <row r="1936" spans="2:20" s="0" customFormat="0" ht="15">
      <c r="B1936" s="69">
        <v>22554515</v>
      </c>
      <c r="C1936" s="70" t="s">
        <v>4614</v>
      </c>
      <c r="D1936" s="70" t="s">
        <v>1</v>
      </c>
      <c r="E1936" s="70" t="s">
        <v>1</v>
      </c>
      <c r="F1936" s="70"/>
      <c r="G1936" s="70" t="s">
        <v>61</v>
      </c>
      <c r="H1936" s="70" t="s">
        <v>178</v>
      </c>
      <c r="I1936" s="70" t="s">
        <v>198</v>
      </c>
      <c r="J1936" s="71" t="str">
        <f>IF(OR(I1936=0,I1936=""),"unrated",VLOOKUP(I1936,MappingTables!$B$19:$C$31,2,FALSE))</f>
        <v>unrated</v>
      </c>
      <c r="K1936" s="72">
        <v>0.50836132526795344</v>
      </c>
      <c r="L1936" s="70">
        <v>0.097287118838201248</v>
      </c>
      <c r="M1936" s="71">
        <f>IF(L1936&lt;1,1,L1936)</f>
        <v>1</v>
      </c>
      <c r="N1936" s="70" t="s">
        <v>3288</v>
      </c>
      <c r="O1936" s="71">
        <f>IF(OR(I1936=$A$1,I1936=0),"",IF(N1936=MappingTables!$C$14,VLOOKUP(J1936,ModelParameters!$M$8:$N$15,2,FALSE),IF(N1936=MappingTables!$C$16,VLOOKUP(J1936,ModelParameters!$P$8:$Q$15,2,FALSE),0)))</f>
        <v>1</v>
      </c>
      <c r="P1936" s="73">
        <f>IF(OR(I1936=0,I1936=$A$1),0,MIN(O1936*M1936,1)*K1936)</f>
        <v>0.50836132526795344</v>
      </c>
      <c r="Q1936" s="73">
        <f>IF(B1936="",0,IF(OR(H1936=MappingTables!$C$34,H1936=MappingTables!$C$35),P1936,0))</f>
        <v>0</v>
      </c>
      <c r="R1936" s="73">
        <f>IF(ISNA(IF(AND(VLOOKUP(CONCATENATE($D1936,$G1936),CSRFinput!$B:$E,4,0)=0,OR(H1936=MappingTables!$C$31,H1936=MappingTables!$C$32)),1,VLOOKUP(CONCATENATE($D1936,$G1936),CSRFinput!$B:$E,4,0))),0,IF(AND(VLOOKUP(CONCATENATE($D1936,$G1936),CSRFinput!$B:$E,4,0)=0,OR(H1936=MappingTables!$C$31,H1936=MappingTables!$C$32)),1,VLOOKUP(CONCATENATE($D1936,$G1936),CSRFinput!$B:$E,4,0)))</f>
        <v>0.054776304963434752</v>
      </c>
      <c r="S1936" s="73">
        <f>IF(B1936="",0,P1936*R1936)</f>
        <v>0.027846154984493268</v>
      </c>
      <c r="T1936" s="85">
        <f>IF(B1936="",0,IF(OR(H1936=MappingTables!$C$34,H1936=MappingTables!$C$35),S1936,0))</f>
        <v>0</v>
      </c>
    </row>
    <row r="1937" spans="2:20" s="0" customFormat="0" ht="15">
      <c r="B1937" s="69" t="s">
        <v>5195</v>
      </c>
      <c r="C1937" s="70" t="s">
        <v>5196</v>
      </c>
      <c r="D1937" s="70" t="s">
        <v>1</v>
      </c>
      <c r="E1937" s="70" t="s">
        <v>1</v>
      </c>
      <c r="F1937" s="70"/>
      <c r="G1937" s="70" t="s">
        <v>61</v>
      </c>
      <c r="H1937" s="70" t="s">
        <v>178</v>
      </c>
      <c r="I1937" s="70" t="s">
        <v>179</v>
      </c>
      <c r="J1937" s="71">
        <f>IF(OR(I1937=0,I1937=""),"unrated",VLOOKUP(I1937,MappingTables!$B$19:$C$31,2,FALSE))</f>
        <v>4</v>
      </c>
      <c r="K1937" s="72">
        <v>751.87703461511232</v>
      </c>
      <c r="L1937" s="70">
        <v>0.06849213535835516</v>
      </c>
      <c r="M1937" s="71">
        <f>IF(L1937&lt;1,1,L1937)</f>
        <v>1</v>
      </c>
      <c r="N1937" s="70" t="s">
        <v>3288</v>
      </c>
      <c r="O1937" s="71">
        <f>IF(OR(I1937=$A$1,I1937=0),"",IF(N1937=MappingTables!$C$14,VLOOKUP(J1937,ModelParameters!$M$8:$N$15,2,FALSE),IF(N1937=MappingTables!$C$16,VLOOKUP(J1937,ModelParameters!$P$8:$Q$15,2,FALSE),0)))</f>
        <v>0.82</v>
      </c>
      <c r="P1937" s="73">
        <f>IF(OR(I1937=0,I1937=$A$1),0,MIN(O1937*M1937,1)*K1937)</f>
        <v>616.53916838439216</v>
      </c>
      <c r="Q1937" s="73">
        <f>IF(B1937="",0,IF(OR(H1937=MappingTables!$C$34,H1937=MappingTables!$C$35),P1937,0))</f>
        <v>0</v>
      </c>
      <c r="R1937" s="73">
        <f>IF(ISNA(IF(AND(VLOOKUP(CONCATENATE($D1937,$G1937),CSRFinput!$B:$E,4,0)=0,OR(H1937=MappingTables!$C$31,H1937=MappingTables!$C$32)),1,VLOOKUP(CONCATENATE($D1937,$G1937),CSRFinput!$B:$E,4,0))),0,IF(AND(VLOOKUP(CONCATENATE($D1937,$G1937),CSRFinput!$B:$E,4,0)=0,OR(H1937=MappingTables!$C$31,H1937=MappingTables!$C$32)),1,VLOOKUP(CONCATENATE($D1937,$G1937),CSRFinput!$B:$E,4,0)))</f>
        <v>0.054776304963434752</v>
      </c>
      <c r="S1937" s="73">
        <f>IF(B1937="",0,P1937*R1937)</f>
        <v>33.771737509325916</v>
      </c>
      <c r="T1937" s="85">
        <f>IF(B1937="",0,IF(OR(H1937=MappingTables!$C$34,H1937=MappingTables!$C$35),S1937,0))</f>
        <v>0</v>
      </c>
    </row>
    <row r="1938" spans="2:20" s="0" customFormat="0" ht="15">
      <c r="B1938" s="69" t="s">
        <v>5065</v>
      </c>
      <c r="C1938" s="70" t="s">
        <v>5066</v>
      </c>
      <c r="D1938" s="70" t="s">
        <v>1</v>
      </c>
      <c r="E1938" s="70" t="s">
        <v>1</v>
      </c>
      <c r="F1938" s="70"/>
      <c r="G1938" s="70" t="s">
        <v>61</v>
      </c>
      <c r="H1938" s="70" t="s">
        <v>178</v>
      </c>
      <c r="I1938" s="70" t="s">
        <v>204</v>
      </c>
      <c r="J1938" s="71">
        <f>IF(OR(I1938=0,I1938=""),"unrated",VLOOKUP(I1938,MappingTables!$B$19:$C$31,2,FALSE))</f>
        <v>6</v>
      </c>
      <c r="K1938" s="72">
        <v>368.62726642206</v>
      </c>
      <c r="L1938" s="70">
        <v>0.068494234764764264</v>
      </c>
      <c r="M1938" s="71">
        <f>IF(L1938&lt;1,1,L1938)</f>
        <v>1</v>
      </c>
      <c r="N1938" s="70" t="s">
        <v>3288</v>
      </c>
      <c r="O1938" s="71">
        <f>IF(OR(I1938=$A$1,I1938=0),"",IF(N1938=MappingTables!$C$14,VLOOKUP(J1938,ModelParameters!$M$8:$N$15,2,FALSE),IF(N1938=MappingTables!$C$16,VLOOKUP(J1938,ModelParameters!$P$8:$Q$15,2,FALSE),0)))</f>
        <v>1</v>
      </c>
      <c r="P1938" s="73">
        <f>IF(OR(I1938=0,I1938=$A$1),0,MIN(O1938*M1938,1)*K1938)</f>
        <v>368.62726642206</v>
      </c>
      <c r="Q1938" s="73">
        <f>IF(B1938="",0,IF(OR(H1938=MappingTables!$C$34,H1938=MappingTables!$C$35),P1938,0))</f>
        <v>0</v>
      </c>
      <c r="R1938" s="73">
        <f>IF(ISNA(IF(AND(VLOOKUP(CONCATENATE($D1938,$G1938),CSRFinput!$B:$E,4,0)=0,OR(H1938=MappingTables!$C$31,H1938=MappingTables!$C$32)),1,VLOOKUP(CONCATENATE($D1938,$G1938),CSRFinput!$B:$E,4,0))),0,IF(AND(VLOOKUP(CONCATENATE($D1938,$G1938),CSRFinput!$B:$E,4,0)=0,OR(H1938=MappingTables!$C$31,H1938=MappingTables!$C$32)),1,VLOOKUP(CONCATENATE($D1938,$G1938),CSRFinput!$B:$E,4,0)))</f>
        <v>0.054776304963434752</v>
      </c>
      <c r="S1938" s="73">
        <f>IF(B1938="",0,P1938*R1938)</f>
        <v>20.192039563372068</v>
      </c>
      <c r="T1938" s="85">
        <f>IF(B1938="",0,IF(OR(H1938=MappingTables!$C$34,H1938=MappingTables!$C$35),S1938,0))</f>
        <v>0</v>
      </c>
    </row>
    <row r="1939" spans="2:20" s="0" customFormat="0" ht="15">
      <c r="B1939" s="69">
        <v>22554511</v>
      </c>
      <c r="C1939" s="70" t="s">
        <v>4448</v>
      </c>
      <c r="D1939" s="70" t="s">
        <v>1</v>
      </c>
      <c r="E1939" s="70" t="s">
        <v>1</v>
      </c>
      <c r="F1939" s="70"/>
      <c r="G1939" s="70" t="s">
        <v>61</v>
      </c>
      <c r="H1939" s="70" t="s">
        <v>178</v>
      </c>
      <c r="I1939" s="70" t="s">
        <v>216</v>
      </c>
      <c r="J1939" s="71">
        <f>IF(OR(I1939=0,I1939=""),"unrated",VLOOKUP(I1939,MappingTables!$B$19:$C$31,2,FALSE))</f>
        <v>0</v>
      </c>
      <c r="K1939" s="72">
        <v>13.956380092270652</v>
      </c>
      <c r="L1939" s="70">
        <v>0.02743380692669706</v>
      </c>
      <c r="M1939" s="71">
        <f>IF(L1939&lt;1,1,L1939)</f>
        <v>1</v>
      </c>
      <c r="N1939" s="70" t="s">
        <v>3288</v>
      </c>
      <c r="O1939" s="71">
        <f>IF(OR(I1939=$A$1,I1939=0),"",IF(N1939=MappingTables!$C$14,VLOOKUP(J1939,ModelParameters!$M$8:$N$15,2,FALSE),IF(N1939=MappingTables!$C$16,VLOOKUP(J1939,ModelParameters!$P$8:$Q$15,2,FALSE),0)))</f>
        <v>0.125</v>
      </c>
      <c r="P1939" s="73">
        <f>IF(OR(I1939=0,I1939=$A$1),0,MIN(O1939*M1939,1)*K1939)</f>
        <v>1.7445475115338316</v>
      </c>
      <c r="Q1939" s="73">
        <f>IF(B1939="",0,IF(OR(H1939=MappingTables!$C$34,H1939=MappingTables!$C$35),P1939,0))</f>
        <v>0</v>
      </c>
      <c r="R1939" s="73">
        <f>IF(ISNA(IF(AND(VLOOKUP(CONCATENATE($D1939,$G1939),CSRFinput!$B:$E,4,0)=0,OR(H1939=MappingTables!$C$31,H1939=MappingTables!$C$32)),1,VLOOKUP(CONCATENATE($D1939,$G1939),CSRFinput!$B:$E,4,0))),0,IF(AND(VLOOKUP(CONCATENATE($D1939,$G1939),CSRFinput!$B:$E,4,0)=0,OR(H1939=MappingTables!$C$31,H1939=MappingTables!$C$32)),1,VLOOKUP(CONCATENATE($D1939,$G1939),CSRFinput!$B:$E,4,0)))</f>
        <v>0.054776304963434752</v>
      </c>
      <c r="S1939" s="73">
        <f>IF(B1939="",0,P1939*R1939)</f>
        <v>0.095559866514978368</v>
      </c>
      <c r="T1939" s="85">
        <f>IF(B1939="",0,IF(OR(H1939=MappingTables!$C$34,H1939=MappingTables!$C$35),S1939,0))</f>
        <v>0</v>
      </c>
    </row>
    <row r="1940" spans="2:20" s="0" customFormat="0" ht="15">
      <c r="B1940" s="69">
        <v>1551603</v>
      </c>
      <c r="C1940" s="70" t="s">
        <v>5197</v>
      </c>
      <c r="D1940" s="70" t="s">
        <v>1</v>
      </c>
      <c r="E1940" s="70" t="s">
        <v>1</v>
      </c>
      <c r="F1940" s="70"/>
      <c r="G1940" s="70" t="s">
        <v>61</v>
      </c>
      <c r="H1940" s="70" t="s">
        <v>178</v>
      </c>
      <c r="I1940" s="70" t="s">
        <v>198</v>
      </c>
      <c r="J1940" s="71" t="str">
        <f>IF(OR(I1940=0,I1940=""),"unrated",VLOOKUP(I1940,MappingTables!$B$19:$C$31,2,FALSE))</f>
        <v>unrated</v>
      </c>
      <c r="K1940" s="72">
        <v>2.337027807317724</v>
      </c>
      <c r="L1940" s="70">
        <v>0.054792939733107336</v>
      </c>
      <c r="M1940" s="71">
        <f>IF(L1940&lt;1,1,L1940)</f>
        <v>1</v>
      </c>
      <c r="N1940" s="70" t="s">
        <v>3288</v>
      </c>
      <c r="O1940" s="71">
        <f>IF(OR(I1940=$A$1,I1940=0),"",IF(N1940=MappingTables!$C$14,VLOOKUP(J1940,ModelParameters!$M$8:$N$15,2,FALSE),IF(N1940=MappingTables!$C$16,VLOOKUP(J1940,ModelParameters!$P$8:$Q$15,2,FALSE),0)))</f>
        <v>1</v>
      </c>
      <c r="P1940" s="73">
        <f>IF(OR(I1940=0,I1940=$A$1),0,MIN(O1940*M1940,1)*K1940)</f>
        <v>2.337027807317724</v>
      </c>
      <c r="Q1940" s="73">
        <f>IF(B1940="",0,IF(OR(H1940=MappingTables!$C$34,H1940=MappingTables!$C$35),P1940,0))</f>
        <v>0</v>
      </c>
      <c r="R1940" s="73">
        <f>IF(ISNA(IF(AND(VLOOKUP(CONCATENATE($D1940,$G1940),CSRFinput!$B:$E,4,0)=0,OR(H1940=MappingTables!$C$31,H1940=MappingTables!$C$32)),1,VLOOKUP(CONCATENATE($D1940,$G1940),CSRFinput!$B:$E,4,0))),0,IF(AND(VLOOKUP(CONCATENATE($D1940,$G1940),CSRFinput!$B:$E,4,0)=0,OR(H1940=MappingTables!$C$31,H1940=MappingTables!$C$32)),1,VLOOKUP(CONCATENATE($D1940,$G1940),CSRFinput!$B:$E,4,0)))</f>
        <v>0.054776304963434752</v>
      </c>
      <c r="S1940" s="73">
        <f>IF(B1940="",0,P1940*R1940)</f>
        <v>0.1280137478816629</v>
      </c>
      <c r="T1940" s="85">
        <f>IF(B1940="",0,IF(OR(H1940=MappingTables!$C$34,H1940=MappingTables!$C$35),S1940,0))</f>
        <v>0</v>
      </c>
    </row>
    <row r="1941" spans="2:20" s="0" customFormat="0" ht="15">
      <c r="B1941" s="69" t="s">
        <v>4582</v>
      </c>
      <c r="C1941" s="70" t="s">
        <v>4583</v>
      </c>
      <c r="D1941" s="70" t="s">
        <v>1</v>
      </c>
      <c r="E1941" s="70" t="s">
        <v>1</v>
      </c>
      <c r="F1941" s="70"/>
      <c r="G1941" s="70" t="s">
        <v>61</v>
      </c>
      <c r="H1941" s="70" t="s">
        <v>178</v>
      </c>
      <c r="I1941" s="70" t="s">
        <v>181</v>
      </c>
      <c r="J1941" s="71">
        <f>IF(OR(I1941=0,I1941=""),"unrated",VLOOKUP(I1941,MappingTables!$B$19:$C$31,2,FALSE))</f>
        <v>3</v>
      </c>
      <c r="K1941" s="72">
        <v>27.744608190619156</v>
      </c>
      <c r="L1941" s="70">
        <v>0.077807723717778496</v>
      </c>
      <c r="M1941" s="71">
        <f>IF(L1941&lt;1,1,L1941)</f>
        <v>1</v>
      </c>
      <c r="N1941" s="70" t="s">
        <v>3288</v>
      </c>
      <c r="O1941" s="71">
        <f>IF(OR(I1941=$A$1,I1941=0),"",IF(N1941=MappingTables!$C$14,VLOOKUP(J1941,ModelParameters!$M$8:$N$15,2,FALSE),IF(N1941=MappingTables!$C$16,VLOOKUP(J1941,ModelParameters!$P$8:$Q$15,2,FALSE),0)))</f>
        <v>0.197</v>
      </c>
      <c r="P1941" s="73">
        <f>IF(OR(I1941=0,I1941=$A$1),0,MIN(O1941*M1941,1)*K1941)</f>
        <v>5.4656878135519736</v>
      </c>
      <c r="Q1941" s="73">
        <f>IF(B1941="",0,IF(OR(H1941=MappingTables!$C$34,H1941=MappingTables!$C$35),P1941,0))</f>
        <v>0</v>
      </c>
      <c r="R1941" s="73">
        <f>IF(ISNA(IF(AND(VLOOKUP(CONCATENATE($D1941,$G1941),CSRFinput!$B:$E,4,0)=0,OR(H1941=MappingTables!$C$31,H1941=MappingTables!$C$32)),1,VLOOKUP(CONCATENATE($D1941,$G1941),CSRFinput!$B:$E,4,0))),0,IF(AND(VLOOKUP(CONCATENATE($D1941,$G1941),CSRFinput!$B:$E,4,0)=0,OR(H1941=MappingTables!$C$31,H1941=MappingTables!$C$32)),1,VLOOKUP(CONCATENATE($D1941,$G1941),CSRFinput!$B:$E,4,0)))</f>
        <v>0.054776304963434752</v>
      </c>
      <c r="S1941" s="73">
        <f>IF(B1941="",0,P1941*R1941)</f>
        <v>0.2993901825100518</v>
      </c>
      <c r="T1941" s="85">
        <f>IF(B1941="",0,IF(OR(H1941=MappingTables!$C$34,H1941=MappingTables!$C$35),S1941,0))</f>
        <v>0</v>
      </c>
    </row>
    <row r="1942" spans="2:20" s="0" customFormat="0" ht="15">
      <c r="B1942" s="69" t="s">
        <v>4885</v>
      </c>
      <c r="C1942" s="70" t="s">
        <v>4886</v>
      </c>
      <c r="D1942" s="70" t="s">
        <v>1</v>
      </c>
      <c r="E1942" s="70" t="s">
        <v>1</v>
      </c>
      <c r="F1942" s="70"/>
      <c r="G1942" s="70" t="s">
        <v>61</v>
      </c>
      <c r="H1942" s="70" t="s">
        <v>178</v>
      </c>
      <c r="I1942" s="70" t="s">
        <v>3298</v>
      </c>
      <c r="J1942" s="71">
        <f>IF(OR(I1942=0,I1942=""),"unrated",VLOOKUP(I1942,MappingTables!$B$19:$C$31,2,FALSE))</f>
        <v>6</v>
      </c>
      <c r="K1942" s="72">
        <v>174.0024658963429</v>
      </c>
      <c r="L1942" s="70">
        <v>0.068495325979800736</v>
      </c>
      <c r="M1942" s="71">
        <f>IF(L1942&lt;1,1,L1942)</f>
        <v>1</v>
      </c>
      <c r="N1942" s="70" t="s">
        <v>3288</v>
      </c>
      <c r="O1942" s="71">
        <f>IF(OR(I1942=$A$1,I1942=0),"",IF(N1942=MappingTables!$C$14,VLOOKUP(J1942,ModelParameters!$M$8:$N$15,2,FALSE),IF(N1942=MappingTables!$C$16,VLOOKUP(J1942,ModelParameters!$P$8:$Q$15,2,FALSE),0)))</f>
        <v>1</v>
      </c>
      <c r="P1942" s="73">
        <f>IF(OR(I1942=0,I1942=$A$1),0,MIN(O1942*M1942,1)*K1942)</f>
        <v>174.0024658963429</v>
      </c>
      <c r="Q1942" s="73">
        <f>IF(B1942="",0,IF(OR(H1942=MappingTables!$C$34,H1942=MappingTables!$C$35),P1942,0))</f>
        <v>0</v>
      </c>
      <c r="R1942" s="73">
        <f>IF(ISNA(IF(AND(VLOOKUP(CONCATENATE($D1942,$G1942),CSRFinput!$B:$E,4,0)=0,OR(H1942=MappingTables!$C$31,H1942=MappingTables!$C$32)),1,VLOOKUP(CONCATENATE($D1942,$G1942),CSRFinput!$B:$E,4,0))),0,IF(AND(VLOOKUP(CONCATENATE($D1942,$G1942),CSRFinput!$B:$E,4,0)=0,OR(H1942=MappingTables!$C$31,H1942=MappingTables!$C$32)),1,VLOOKUP(CONCATENATE($D1942,$G1942),CSRFinput!$B:$E,4,0)))</f>
        <v>0.054776304963434752</v>
      </c>
      <c r="S1942" s="73">
        <f>IF(B1942="",0,P1942*R1942)</f>
        <v>9.5312121363277328</v>
      </c>
      <c r="T1942" s="85">
        <f>IF(B1942="",0,IF(OR(H1942=MappingTables!$C$34,H1942=MappingTables!$C$35),S1942,0))</f>
        <v>0</v>
      </c>
    </row>
    <row r="1943" spans="2:20" s="0" customFormat="0" ht="15">
      <c r="B1943" s="69" t="s">
        <v>5083</v>
      </c>
      <c r="C1943" s="70" t="s">
        <v>5084</v>
      </c>
      <c r="D1943" s="70" t="s">
        <v>1</v>
      </c>
      <c r="E1943" s="70" t="s">
        <v>1</v>
      </c>
      <c r="F1943" s="70"/>
      <c r="G1943" s="70" t="s">
        <v>61</v>
      </c>
      <c r="H1943" s="70" t="s">
        <v>178</v>
      </c>
      <c r="I1943" s="70" t="s">
        <v>184</v>
      </c>
      <c r="J1943" s="71">
        <f>IF(OR(I1943=0,I1943=""),"unrated",VLOOKUP(I1943,MappingTables!$B$19:$C$31,2,FALSE))</f>
        <v>5</v>
      </c>
      <c r="K1943" s="72">
        <v>11.885190779296326</v>
      </c>
      <c r="L1943" s="70">
        <v>0.068491537316883648</v>
      </c>
      <c r="M1943" s="71">
        <f>IF(L1943&lt;1,1,L1943)</f>
        <v>1</v>
      </c>
      <c r="N1943" s="70" t="s">
        <v>3288</v>
      </c>
      <c r="O1943" s="71">
        <f>IF(OR(I1943=$A$1,I1943=0),"",IF(N1943=MappingTables!$C$14,VLOOKUP(J1943,ModelParameters!$M$8:$N$15,2,FALSE),IF(N1943=MappingTables!$C$16,VLOOKUP(J1943,ModelParameters!$P$8:$Q$15,2,FALSE),0)))</f>
        <v>1</v>
      </c>
      <c r="P1943" s="73">
        <f>IF(OR(I1943=0,I1943=$A$1),0,MIN(O1943*M1943,1)*K1943)</f>
        <v>11.885190779296326</v>
      </c>
      <c r="Q1943" s="73">
        <f>IF(B1943="",0,IF(OR(H1943=MappingTables!$C$34,H1943=MappingTables!$C$35),P1943,0))</f>
        <v>0</v>
      </c>
      <c r="R1943" s="73">
        <f>IF(ISNA(IF(AND(VLOOKUP(CONCATENATE($D1943,$G1943),CSRFinput!$B:$E,4,0)=0,OR(H1943=MappingTables!$C$31,H1943=MappingTables!$C$32)),1,VLOOKUP(CONCATENATE($D1943,$G1943),CSRFinput!$B:$E,4,0))),0,IF(AND(VLOOKUP(CONCATENATE($D1943,$G1943),CSRFinput!$B:$E,4,0)=0,OR(H1943=MappingTables!$C$31,H1943=MappingTables!$C$32)),1,VLOOKUP(CONCATENATE($D1943,$G1943),CSRFinput!$B:$E,4,0)))</f>
        <v>0.054776304963434752</v>
      </c>
      <c r="S1943" s="73">
        <f>IF(B1943="",0,P1943*R1943)</f>
        <v>0.6510268346753384</v>
      </c>
      <c r="T1943" s="85">
        <f>IF(B1943="",0,IF(OR(H1943=MappingTables!$C$34,H1943=MappingTables!$C$35),S1943,0))</f>
        <v>0</v>
      </c>
    </row>
    <row r="1944" spans="2:20" s="0" customFormat="0" ht="15">
      <c r="B1944" s="69" t="s">
        <v>4950</v>
      </c>
      <c r="C1944" s="70" t="s">
        <v>4951</v>
      </c>
      <c r="D1944" s="70" t="s">
        <v>1</v>
      </c>
      <c r="E1944" s="70" t="s">
        <v>1</v>
      </c>
      <c r="F1944" s="70"/>
      <c r="G1944" s="70" t="s">
        <v>61</v>
      </c>
      <c r="H1944" s="70" t="s">
        <v>178</v>
      </c>
      <c r="I1944" s="70" t="s">
        <v>204</v>
      </c>
      <c r="J1944" s="71">
        <f>IF(OR(I1944=0,I1944=""),"unrated",VLOOKUP(I1944,MappingTables!$B$19:$C$31,2,FALSE))</f>
        <v>6</v>
      </c>
      <c r="K1944" s="72">
        <v>131.71914948387922</v>
      </c>
      <c r="L1944" s="70">
        <v>-1.041303068182223</v>
      </c>
      <c r="M1944" s="71">
        <f>IF(L1944&lt;1,1,L1944)</f>
        <v>1</v>
      </c>
      <c r="N1944" s="70" t="s">
        <v>3288</v>
      </c>
      <c r="O1944" s="71">
        <f>IF(OR(I1944=$A$1,I1944=0),"",IF(N1944=MappingTables!$C$14,VLOOKUP(J1944,ModelParameters!$M$8:$N$15,2,FALSE),IF(N1944=MappingTables!$C$16,VLOOKUP(J1944,ModelParameters!$P$8:$Q$15,2,FALSE),0)))</f>
        <v>1</v>
      </c>
      <c r="P1944" s="73">
        <f>IF(OR(I1944=0,I1944=$A$1),0,MIN(O1944*M1944,1)*K1944)</f>
        <v>131.71914948387922</v>
      </c>
      <c r="Q1944" s="73">
        <f>IF(B1944="",0,IF(OR(H1944=MappingTables!$C$34,H1944=MappingTables!$C$35),P1944,0))</f>
        <v>0</v>
      </c>
      <c r="R1944" s="73">
        <f>IF(ISNA(IF(AND(VLOOKUP(CONCATENATE($D1944,$G1944),CSRFinput!$B:$E,4,0)=0,OR(H1944=MappingTables!$C$31,H1944=MappingTables!$C$32)),1,VLOOKUP(CONCATENATE($D1944,$G1944),CSRFinput!$B:$E,4,0))),0,IF(AND(VLOOKUP(CONCATENATE($D1944,$G1944),CSRFinput!$B:$E,4,0)=0,OR(H1944=MappingTables!$C$31,H1944=MappingTables!$C$32)),1,VLOOKUP(CONCATENATE($D1944,$G1944),CSRFinput!$B:$E,4,0)))</f>
        <v>0.054776304963434752</v>
      </c>
      <c r="S1944" s="73">
        <f>IF(B1944="",0,P1944*R1944)</f>
        <v>7.2150883016532176</v>
      </c>
      <c r="T1944" s="85">
        <f>IF(B1944="",0,IF(OR(H1944=MappingTables!$C$34,H1944=MappingTables!$C$35),S1944,0))</f>
        <v>0</v>
      </c>
    </row>
    <row r="1945" spans="2:20" s="0" customFormat="0" ht="15">
      <c r="B1945" s="69">
        <v>2644357</v>
      </c>
      <c r="C1945" s="70" t="s">
        <v>5069</v>
      </c>
      <c r="D1945" s="70" t="s">
        <v>1</v>
      </c>
      <c r="E1945" s="70" t="s">
        <v>1</v>
      </c>
      <c r="F1945" s="70"/>
      <c r="G1945" s="70" t="s">
        <v>61</v>
      </c>
      <c r="H1945" s="70" t="s">
        <v>178</v>
      </c>
      <c r="I1945" s="70" t="s">
        <v>216</v>
      </c>
      <c r="J1945" s="71">
        <f>IF(OR(I1945=0,I1945=""),"unrated",VLOOKUP(I1945,MappingTables!$B$19:$C$31,2,FALSE))</f>
        <v>0</v>
      </c>
      <c r="K1945" s="72">
        <v>2.6166523186543564</v>
      </c>
      <c r="L1945" s="70">
        <v>0.048555625044361904</v>
      </c>
      <c r="M1945" s="71">
        <f>IF(L1945&lt;1,1,L1945)</f>
        <v>1</v>
      </c>
      <c r="N1945" s="70" t="s">
        <v>3288</v>
      </c>
      <c r="O1945" s="71">
        <f>IF(OR(I1945=$A$1,I1945=0),"",IF(N1945=MappingTables!$C$14,VLOOKUP(J1945,ModelParameters!$M$8:$N$15,2,FALSE),IF(N1945=MappingTables!$C$16,VLOOKUP(J1945,ModelParameters!$P$8:$Q$15,2,FALSE),0)))</f>
        <v>0.125</v>
      </c>
      <c r="P1945" s="73">
        <f>IF(OR(I1945=0,I1945=$A$1),0,MIN(O1945*M1945,1)*K1945)</f>
        <v>0.32708153983179456</v>
      </c>
      <c r="Q1945" s="73">
        <f>IF(B1945="",0,IF(OR(H1945=MappingTables!$C$34,H1945=MappingTables!$C$35),P1945,0))</f>
        <v>0</v>
      </c>
      <c r="R1945" s="73">
        <f>IF(ISNA(IF(AND(VLOOKUP(CONCATENATE($D1945,$G1945),CSRFinput!$B:$E,4,0)=0,OR(H1945=MappingTables!$C$31,H1945=MappingTables!$C$32)),1,VLOOKUP(CONCATENATE($D1945,$G1945),CSRFinput!$B:$E,4,0))),0,IF(AND(VLOOKUP(CONCATENATE($D1945,$G1945),CSRFinput!$B:$E,4,0)=0,OR(H1945=MappingTables!$C$31,H1945=MappingTables!$C$32)),1,VLOOKUP(CONCATENATE($D1945,$G1945),CSRFinput!$B:$E,4,0)))</f>
        <v>0.054776304963434752</v>
      </c>
      <c r="S1945" s="73">
        <f>IF(B1945="",0,P1945*R1945)</f>
        <v>0.01791631817373621</v>
      </c>
      <c r="T1945" s="85">
        <f>IF(B1945="",0,IF(OR(H1945=MappingTables!$C$34,H1945=MappingTables!$C$35),S1945,0))</f>
        <v>0</v>
      </c>
    </row>
    <row r="1946" spans="2:20" s="0" customFormat="0" ht="15">
      <c r="B1946" s="69">
        <v>22554075</v>
      </c>
      <c r="C1946" s="70" t="s">
        <v>3758</v>
      </c>
      <c r="D1946" s="70" t="s">
        <v>1</v>
      </c>
      <c r="E1946" s="70" t="s">
        <v>1</v>
      </c>
      <c r="F1946" s="70"/>
      <c r="G1946" s="70" t="s">
        <v>61</v>
      </c>
      <c r="H1946" s="70" t="s">
        <v>178</v>
      </c>
      <c r="I1946" s="70" t="s">
        <v>204</v>
      </c>
      <c r="J1946" s="71">
        <f>IF(OR(I1946=0,I1946=""),"unrated",VLOOKUP(I1946,MappingTables!$B$19:$C$31,2,FALSE))</f>
        <v>6</v>
      </c>
      <c r="K1946" s="72">
        <v>673.99852369335392</v>
      </c>
      <c r="L1946" s="70">
        <v>0.068491126746591472</v>
      </c>
      <c r="M1946" s="71">
        <f>IF(L1946&lt;1,1,L1946)</f>
        <v>1</v>
      </c>
      <c r="N1946" s="70" t="s">
        <v>3288</v>
      </c>
      <c r="O1946" s="71">
        <f>IF(OR(I1946=$A$1,I1946=0),"",IF(N1946=MappingTables!$C$14,VLOOKUP(J1946,ModelParameters!$M$8:$N$15,2,FALSE),IF(N1946=MappingTables!$C$16,VLOOKUP(J1946,ModelParameters!$P$8:$Q$15,2,FALSE),0)))</f>
        <v>1</v>
      </c>
      <c r="P1946" s="73">
        <f>IF(OR(I1946=0,I1946=$A$1),0,MIN(O1946*M1946,1)*K1946)</f>
        <v>673.99852369335392</v>
      </c>
      <c r="Q1946" s="73">
        <f>IF(B1946="",0,IF(OR(H1946=MappingTables!$C$34,H1946=MappingTables!$C$35),P1946,0))</f>
        <v>0</v>
      </c>
      <c r="R1946" s="73">
        <f>IF(ISNA(IF(AND(VLOOKUP(CONCATENATE($D1946,$G1946),CSRFinput!$B:$E,4,0)=0,OR(H1946=MappingTables!$C$31,H1946=MappingTables!$C$32)),1,VLOOKUP(CONCATENATE($D1946,$G1946),CSRFinput!$B:$E,4,0))),0,IF(AND(VLOOKUP(CONCATENATE($D1946,$G1946),CSRFinput!$B:$E,4,0)=0,OR(H1946=MappingTables!$C$31,H1946=MappingTables!$C$32)),1,VLOOKUP(CONCATENATE($D1946,$G1946),CSRFinput!$B:$E,4,0)))</f>
        <v>0.054776304963434752</v>
      </c>
      <c r="S1946" s="73">
        <f>IF(B1946="",0,P1946*R1946)</f>
        <v>36.91914867873196</v>
      </c>
      <c r="T1946" s="85">
        <f>IF(B1946="",0,IF(OR(H1946=MappingTables!$C$34,H1946=MappingTables!$C$35),S1946,0))</f>
        <v>0</v>
      </c>
    </row>
    <row r="1947" spans="2:20" s="0" customFormat="0" ht="15">
      <c r="B1947" s="69">
        <v>1551422</v>
      </c>
      <c r="C1947" s="70" t="s">
        <v>3868</v>
      </c>
      <c r="D1947" s="70" t="s">
        <v>1</v>
      </c>
      <c r="E1947" s="70" t="s">
        <v>1</v>
      </c>
      <c r="F1947" s="70"/>
      <c r="G1947" s="70" t="s">
        <v>61</v>
      </c>
      <c r="H1947" s="70" t="s">
        <v>178</v>
      </c>
      <c r="I1947" s="70" t="s">
        <v>184</v>
      </c>
      <c r="J1947" s="71">
        <f>IF(OR(I1947=0,I1947=""),"unrated",VLOOKUP(I1947,MappingTables!$B$19:$C$31,2,FALSE))</f>
        <v>5</v>
      </c>
      <c r="K1947" s="72">
        <v>4.1885816567962984</v>
      </c>
      <c r="L1947" s="70">
        <v>-0.2140050665202924</v>
      </c>
      <c r="M1947" s="71">
        <f>IF(L1947&lt;1,1,L1947)</f>
        <v>1</v>
      </c>
      <c r="N1947" s="70" t="s">
        <v>3288</v>
      </c>
      <c r="O1947" s="71">
        <f>IF(OR(I1947=$A$1,I1947=0),"",IF(N1947=MappingTables!$C$14,VLOOKUP(J1947,ModelParameters!$M$8:$N$15,2,FALSE),IF(N1947=MappingTables!$C$16,VLOOKUP(J1947,ModelParameters!$P$8:$Q$15,2,FALSE),0)))</f>
        <v>1</v>
      </c>
      <c r="P1947" s="73">
        <f>IF(OR(I1947=0,I1947=$A$1),0,MIN(O1947*M1947,1)*K1947)</f>
        <v>4.1885816567962984</v>
      </c>
      <c r="Q1947" s="73">
        <f>IF(B1947="",0,IF(OR(H1947=MappingTables!$C$34,H1947=MappingTables!$C$35),P1947,0))</f>
        <v>0</v>
      </c>
      <c r="R1947" s="73">
        <f>IF(ISNA(IF(AND(VLOOKUP(CONCATENATE($D1947,$G1947),CSRFinput!$B:$E,4,0)=0,OR(H1947=MappingTables!$C$31,H1947=MappingTables!$C$32)),1,VLOOKUP(CONCATENATE($D1947,$G1947),CSRFinput!$B:$E,4,0))),0,IF(AND(VLOOKUP(CONCATENATE($D1947,$G1947),CSRFinput!$B:$E,4,0)=0,OR(H1947=MappingTables!$C$31,H1947=MappingTables!$C$32)),1,VLOOKUP(CONCATENATE($D1947,$G1947),CSRFinput!$B:$E,4,0)))</f>
        <v>0.054776304963434752</v>
      </c>
      <c r="S1947" s="73">
        <f>IF(B1947="",0,P1947*R1947)</f>
        <v>0.22943502619692284</v>
      </c>
      <c r="T1947" s="85">
        <f>IF(B1947="",0,IF(OR(H1947=MappingTables!$C$34,H1947=MappingTables!$C$35),S1947,0))</f>
        <v>0</v>
      </c>
    </row>
    <row r="1948" spans="2:20" s="0" customFormat="0" ht="15">
      <c r="B1948" s="69" t="s">
        <v>5193</v>
      </c>
      <c r="C1948" s="70" t="s">
        <v>5194</v>
      </c>
      <c r="D1948" s="70" t="s">
        <v>1</v>
      </c>
      <c r="E1948" s="70" t="s">
        <v>1</v>
      </c>
      <c r="F1948" s="70"/>
      <c r="G1948" s="70" t="s">
        <v>61</v>
      </c>
      <c r="H1948" s="70" t="s">
        <v>178</v>
      </c>
      <c r="I1948" s="70" t="s">
        <v>216</v>
      </c>
      <c r="J1948" s="71">
        <f>IF(OR(I1948=0,I1948=""),"unrated",VLOOKUP(I1948,MappingTables!$B$19:$C$31,2,FALSE))</f>
        <v>0</v>
      </c>
      <c r="K1948" s="72">
        <v>2485.603672490238</v>
      </c>
      <c r="L1948" s="70">
        <v>0.055988594641251912</v>
      </c>
      <c r="M1948" s="71">
        <f>IF(L1948&lt;1,1,L1948)</f>
        <v>1</v>
      </c>
      <c r="N1948" s="70" t="s">
        <v>3288</v>
      </c>
      <c r="O1948" s="71">
        <f>IF(OR(I1948=$A$1,I1948=0),"",IF(N1948=MappingTables!$C$14,VLOOKUP(J1948,ModelParameters!$M$8:$N$15,2,FALSE),IF(N1948=MappingTables!$C$16,VLOOKUP(J1948,ModelParameters!$P$8:$Q$15,2,FALSE),0)))</f>
        <v>0.125</v>
      </c>
      <c r="P1948" s="73">
        <f>IF(OR(I1948=0,I1948=$A$1),0,MIN(O1948*M1948,1)*K1948)</f>
        <v>310.70045906127972</v>
      </c>
      <c r="Q1948" s="73">
        <f>IF(B1948="",0,IF(OR(H1948=MappingTables!$C$34,H1948=MappingTables!$C$35),P1948,0))</f>
        <v>0</v>
      </c>
      <c r="R1948" s="73">
        <f>IF(ISNA(IF(AND(VLOOKUP(CONCATENATE($D1948,$G1948),CSRFinput!$B:$E,4,0)=0,OR(H1948=MappingTables!$C$31,H1948=MappingTables!$C$32)),1,VLOOKUP(CONCATENATE($D1948,$G1948),CSRFinput!$B:$E,4,0))),0,IF(AND(VLOOKUP(CONCATENATE($D1948,$G1948),CSRFinput!$B:$E,4,0)=0,OR(H1948=MappingTables!$C$31,H1948=MappingTables!$C$32)),1,VLOOKUP(CONCATENATE($D1948,$G1948),CSRFinput!$B:$E,4,0)))</f>
        <v>0.054776304963434752</v>
      </c>
      <c r="S1948" s="73">
        <f>IF(B1948="",0,P1948*R1948)</f>
        <v>17.019023097819832</v>
      </c>
      <c r="T1948" s="85">
        <f>IF(B1948="",0,IF(OR(H1948=MappingTables!$C$34,H1948=MappingTables!$C$35),S1948,0))</f>
        <v>0</v>
      </c>
    </row>
    <row r="1949" spans="2:20" s="0" customFormat="0" ht="15">
      <c r="B1949" s="69" t="s">
        <v>5195</v>
      </c>
      <c r="C1949" s="70" t="s">
        <v>5196</v>
      </c>
      <c r="D1949" s="70" t="s">
        <v>1</v>
      </c>
      <c r="E1949" s="70" t="s">
        <v>1</v>
      </c>
      <c r="F1949" s="70"/>
      <c r="G1949" s="70" t="s">
        <v>61</v>
      </c>
      <c r="H1949" s="70" t="s">
        <v>178</v>
      </c>
      <c r="I1949" s="70" t="s">
        <v>179</v>
      </c>
      <c r="J1949" s="71">
        <f>IF(OR(I1949=0,I1949=""),"unrated",VLOOKUP(I1949,MappingTables!$B$19:$C$31,2,FALSE))</f>
        <v>4</v>
      </c>
      <c r="K1949" s="72">
        <v>1594.7823691382524</v>
      </c>
      <c r="L1949" s="70">
        <v>0.068492135358359656</v>
      </c>
      <c r="M1949" s="71">
        <f>IF(L1949&lt;1,1,L1949)</f>
        <v>1</v>
      </c>
      <c r="N1949" s="70" t="s">
        <v>3288</v>
      </c>
      <c r="O1949" s="71">
        <f>IF(OR(I1949=$A$1,I1949=0),"",IF(N1949=MappingTables!$C$14,VLOOKUP(J1949,ModelParameters!$M$8:$N$15,2,FALSE),IF(N1949=MappingTables!$C$16,VLOOKUP(J1949,ModelParameters!$P$8:$Q$15,2,FALSE),0)))</f>
        <v>0.82</v>
      </c>
      <c r="P1949" s="73">
        <f>IF(OR(I1949=0,I1949=$A$1),0,MIN(O1949*M1949,1)*K1949)</f>
        <v>1307.7215426933668</v>
      </c>
      <c r="Q1949" s="73">
        <f>IF(B1949="",0,IF(OR(H1949=MappingTables!$C$34,H1949=MappingTables!$C$35),P1949,0))</f>
        <v>0</v>
      </c>
      <c r="R1949" s="73">
        <f>IF(ISNA(IF(AND(VLOOKUP(CONCATENATE($D1949,$G1949),CSRFinput!$B:$E,4,0)=0,OR(H1949=MappingTables!$C$31,H1949=MappingTables!$C$32)),1,VLOOKUP(CONCATENATE($D1949,$G1949),CSRFinput!$B:$E,4,0))),0,IF(AND(VLOOKUP(CONCATENATE($D1949,$G1949),CSRFinput!$B:$E,4,0)=0,OR(H1949=MappingTables!$C$31,H1949=MappingTables!$C$32)),1,VLOOKUP(CONCATENATE($D1949,$G1949),CSRFinput!$B:$E,4,0)))</f>
        <v>0.054776304963434752</v>
      </c>
      <c r="S1949" s="73">
        <f>IF(B1949="",0,P1949*R1949)</f>
        <v>71.632154029825216</v>
      </c>
      <c r="T1949" s="85">
        <f>IF(B1949="",0,IF(OR(H1949=MappingTables!$C$34,H1949=MappingTables!$C$35),S1949,0))</f>
        <v>0</v>
      </c>
    </row>
    <row r="1950" spans="2:20" s="0" customFormat="0" ht="15">
      <c r="B1950" s="69" t="s">
        <v>5166</v>
      </c>
      <c r="C1950" s="70" t="s">
        <v>5167</v>
      </c>
      <c r="D1950" s="70" t="s">
        <v>1</v>
      </c>
      <c r="E1950" s="70" t="s">
        <v>1</v>
      </c>
      <c r="F1950" s="70"/>
      <c r="G1950" s="70" t="s">
        <v>61</v>
      </c>
      <c r="H1950" s="70" t="s">
        <v>178</v>
      </c>
      <c r="I1950" s="70" t="s">
        <v>3298</v>
      </c>
      <c r="J1950" s="71">
        <f>IF(OR(I1950=0,I1950=""),"unrated",VLOOKUP(I1950,MappingTables!$B$19:$C$31,2,FALSE))</f>
        <v>6</v>
      </c>
      <c r="K1950" s="72">
        <v>208.58624265055276</v>
      </c>
      <c r="L1950" s="70">
        <v>-0.32836007404078864</v>
      </c>
      <c r="M1950" s="71">
        <f>IF(L1950&lt;1,1,L1950)</f>
        <v>1</v>
      </c>
      <c r="N1950" s="70" t="s">
        <v>3288</v>
      </c>
      <c r="O1950" s="71">
        <f>IF(OR(I1950=$A$1,I1950=0),"",IF(N1950=MappingTables!$C$14,VLOOKUP(J1950,ModelParameters!$M$8:$N$15,2,FALSE),IF(N1950=MappingTables!$C$16,VLOOKUP(J1950,ModelParameters!$P$8:$Q$15,2,FALSE),0)))</f>
        <v>1</v>
      </c>
      <c r="P1950" s="73">
        <f>IF(OR(I1950=0,I1950=$A$1),0,MIN(O1950*M1950,1)*K1950)</f>
        <v>208.58624265055276</v>
      </c>
      <c r="Q1950" s="73">
        <f>IF(B1950="",0,IF(OR(H1950=MappingTables!$C$34,H1950=MappingTables!$C$35),P1950,0))</f>
        <v>0</v>
      </c>
      <c r="R1950" s="73">
        <f>IF(ISNA(IF(AND(VLOOKUP(CONCATENATE($D1950,$G1950),CSRFinput!$B:$E,4,0)=0,OR(H1950=MappingTables!$C$31,H1950=MappingTables!$C$32)),1,VLOOKUP(CONCATENATE($D1950,$G1950),CSRFinput!$B:$E,4,0))),0,IF(AND(VLOOKUP(CONCATENATE($D1950,$G1950),CSRFinput!$B:$E,4,0)=0,OR(H1950=MappingTables!$C$31,H1950=MappingTables!$C$32)),1,VLOOKUP(CONCATENATE($D1950,$G1950),CSRFinput!$B:$E,4,0)))</f>
        <v>0.054776304963434752</v>
      </c>
      <c r="S1950" s="73">
        <f>IF(B1950="",0,P1950*R1950)</f>
        <v>11.425583638603678</v>
      </c>
      <c r="T1950" s="85">
        <f>IF(B1950="",0,IF(OR(H1950=MappingTables!$C$34,H1950=MappingTables!$C$35),S1950,0))</f>
        <v>0</v>
      </c>
    </row>
    <row r="1951" spans="2:20" s="0" customFormat="0" ht="15">
      <c r="B1951" s="69" t="s">
        <v>3713</v>
      </c>
      <c r="C1951" s="70" t="s">
        <v>3714</v>
      </c>
      <c r="D1951" s="70" t="s">
        <v>1</v>
      </c>
      <c r="E1951" s="70" t="s">
        <v>1</v>
      </c>
      <c r="F1951" s="70"/>
      <c r="G1951" s="70" t="s">
        <v>61</v>
      </c>
      <c r="H1951" s="70" t="s">
        <v>178</v>
      </c>
      <c r="I1951" s="70" t="s">
        <v>216</v>
      </c>
      <c r="J1951" s="71">
        <f>IF(OR(I1951=0,I1951=""),"unrated",VLOOKUP(I1951,MappingTables!$B$19:$C$31,2,FALSE))</f>
        <v>0</v>
      </c>
      <c r="K1951" s="72">
        <v>339.04737664807824</v>
      </c>
      <c r="L1951" s="70">
        <v>-6.0521849063909144</v>
      </c>
      <c r="M1951" s="71">
        <f>IF(L1951&lt;1,1,L1951)</f>
        <v>1</v>
      </c>
      <c r="N1951" s="70" t="s">
        <v>3288</v>
      </c>
      <c r="O1951" s="71">
        <f>IF(OR(I1951=$A$1,I1951=0),"",IF(N1951=MappingTables!$C$14,VLOOKUP(J1951,ModelParameters!$M$8:$N$15,2,FALSE),IF(N1951=MappingTables!$C$16,VLOOKUP(J1951,ModelParameters!$P$8:$Q$15,2,FALSE),0)))</f>
        <v>0.125</v>
      </c>
      <c r="P1951" s="73">
        <f>IF(OR(I1951=0,I1951=$A$1),0,MIN(O1951*M1951,1)*K1951)</f>
        <v>42.380922081009776</v>
      </c>
      <c r="Q1951" s="73">
        <f>IF(B1951="",0,IF(OR(H1951=MappingTables!$C$34,H1951=MappingTables!$C$35),P1951,0))</f>
        <v>0</v>
      </c>
      <c r="R1951" s="73">
        <f>IF(ISNA(IF(AND(VLOOKUP(CONCATENATE($D1951,$G1951),CSRFinput!$B:$E,4,0)=0,OR(H1951=MappingTables!$C$31,H1951=MappingTables!$C$32)),1,VLOOKUP(CONCATENATE($D1951,$G1951),CSRFinput!$B:$E,4,0))),0,IF(AND(VLOOKUP(CONCATENATE($D1951,$G1951),CSRFinput!$B:$E,4,0)=0,OR(H1951=MappingTables!$C$31,H1951=MappingTables!$C$32)),1,VLOOKUP(CONCATENATE($D1951,$G1951),CSRFinput!$B:$E,4,0)))</f>
        <v>0.054776304963434752</v>
      </c>
      <c r="S1951" s="73">
        <f>IF(B1951="",0,P1951*R1951)</f>
        <v>2.3214703125409572</v>
      </c>
      <c r="T1951" s="85">
        <f>IF(B1951="",0,IF(OR(H1951=MappingTables!$C$34,H1951=MappingTables!$C$35),S1951,0))</f>
        <v>0</v>
      </c>
    </row>
    <row r="1952" spans="2:20" s="0" customFormat="0" ht="15">
      <c r="B1952" s="69" t="s">
        <v>5198</v>
      </c>
      <c r="C1952" s="70" t="s">
        <v>5199</v>
      </c>
      <c r="D1952" s="70" t="s">
        <v>1</v>
      </c>
      <c r="E1952" s="70" t="s">
        <v>1</v>
      </c>
      <c r="F1952" s="70"/>
      <c r="G1952" s="70" t="s">
        <v>61</v>
      </c>
      <c r="H1952" s="70" t="s">
        <v>178</v>
      </c>
      <c r="I1952" s="70" t="s">
        <v>198</v>
      </c>
      <c r="J1952" s="71" t="str">
        <f>IF(OR(I1952=0,I1952=""),"unrated",VLOOKUP(I1952,MappingTables!$B$19:$C$31,2,FALSE))</f>
        <v>unrated</v>
      </c>
      <c r="K1952" s="72">
        <v>221.11327458702424</v>
      </c>
      <c r="L1952" s="70">
        <v>34.90319339173776</v>
      </c>
      <c r="M1952" s="71">
        <f>IF(L1952&lt;1,1,L1952)</f>
        <v>34.90319339173776</v>
      </c>
      <c r="N1952" s="70" t="s">
        <v>3288</v>
      </c>
      <c r="O1952" s="71">
        <f>IF(OR(I1952=$A$1,I1952=0),"",IF(N1952=MappingTables!$C$14,VLOOKUP(J1952,ModelParameters!$M$8:$N$15,2,FALSE),IF(N1952=MappingTables!$C$16,VLOOKUP(J1952,ModelParameters!$P$8:$Q$15,2,FALSE),0)))</f>
        <v>1</v>
      </c>
      <c r="P1952" s="73">
        <f>IF(OR(I1952=0,I1952=$A$1),0,MIN(O1952*M1952,1)*K1952)</f>
        <v>221.11327458702424</v>
      </c>
      <c r="Q1952" s="73">
        <f>IF(B1952="",0,IF(OR(H1952=MappingTables!$C$34,H1952=MappingTables!$C$35),P1952,0))</f>
        <v>0</v>
      </c>
      <c r="R1952" s="73">
        <f>IF(ISNA(IF(AND(VLOOKUP(CONCATENATE($D1952,$G1952),CSRFinput!$B:$E,4,0)=0,OR(H1952=MappingTables!$C$31,H1952=MappingTables!$C$32)),1,VLOOKUP(CONCATENATE($D1952,$G1952),CSRFinput!$B:$E,4,0))),0,IF(AND(VLOOKUP(CONCATENATE($D1952,$G1952),CSRFinput!$B:$E,4,0)=0,OR(H1952=MappingTables!$C$31,H1952=MappingTables!$C$32)),1,VLOOKUP(CONCATENATE($D1952,$G1952),CSRFinput!$B:$E,4,0)))</f>
        <v>0.054776304963434752</v>
      </c>
      <c r="S1952" s="73">
        <f>IF(B1952="",0,P1952*R1952)</f>
        <v>12.111768160242528</v>
      </c>
      <c r="T1952" s="85">
        <f>IF(B1952="",0,IF(OR(H1952=MappingTables!$C$34,H1952=MappingTables!$C$35),S1952,0))</f>
        <v>0</v>
      </c>
    </row>
    <row r="1953" spans="2:20" s="0" customFormat="0" ht="15">
      <c r="B1953" s="69" t="s">
        <v>5037</v>
      </c>
      <c r="C1953" s="70" t="s">
        <v>5038</v>
      </c>
      <c r="D1953" s="70" t="s">
        <v>1</v>
      </c>
      <c r="E1953" s="70" t="s">
        <v>1</v>
      </c>
      <c r="F1953" s="70"/>
      <c r="G1953" s="70" t="s">
        <v>61</v>
      </c>
      <c r="H1953" s="70" t="s">
        <v>178</v>
      </c>
      <c r="I1953" s="70" t="s">
        <v>204</v>
      </c>
      <c r="J1953" s="71">
        <f>IF(OR(I1953=0,I1953=""),"unrated",VLOOKUP(I1953,MappingTables!$B$19:$C$31,2,FALSE))</f>
        <v>6</v>
      </c>
      <c r="K1953" s="72">
        <v>392.88218642823384</v>
      </c>
      <c r="L1953" s="70">
        <v>0.068785142974959008</v>
      </c>
      <c r="M1953" s="71">
        <f>IF(L1953&lt;1,1,L1953)</f>
        <v>1</v>
      </c>
      <c r="N1953" s="70" t="s">
        <v>3288</v>
      </c>
      <c r="O1953" s="71">
        <f>IF(OR(I1953=$A$1,I1953=0),"",IF(N1953=MappingTables!$C$14,VLOOKUP(J1953,ModelParameters!$M$8:$N$15,2,FALSE),IF(N1953=MappingTables!$C$16,VLOOKUP(J1953,ModelParameters!$P$8:$Q$15,2,FALSE),0)))</f>
        <v>1</v>
      </c>
      <c r="P1953" s="73">
        <f>IF(OR(I1953=0,I1953=$A$1),0,MIN(O1953*M1953,1)*K1953)</f>
        <v>392.88218642823384</v>
      </c>
      <c r="Q1953" s="73">
        <f>IF(B1953="",0,IF(OR(H1953=MappingTables!$C$34,H1953=MappingTables!$C$35),P1953,0))</f>
        <v>0</v>
      </c>
      <c r="R1953" s="73">
        <f>IF(ISNA(IF(AND(VLOOKUP(CONCATENATE($D1953,$G1953),CSRFinput!$B:$E,4,0)=0,OR(H1953=MappingTables!$C$31,H1953=MappingTables!$C$32)),1,VLOOKUP(CONCATENATE($D1953,$G1953),CSRFinput!$B:$E,4,0))),0,IF(AND(VLOOKUP(CONCATENATE($D1953,$G1953),CSRFinput!$B:$E,4,0)=0,OR(H1953=MappingTables!$C$31,H1953=MappingTables!$C$32)),1,VLOOKUP(CONCATENATE($D1953,$G1953),CSRFinput!$B:$E,4,0)))</f>
        <v>0.054776304963434752</v>
      </c>
      <c r="S1953" s="73">
        <f>IF(B1953="",0,P1953*R1953)</f>
        <v>21.520634458493964</v>
      </c>
      <c r="T1953" s="85">
        <f>IF(B1953="",0,IF(OR(H1953=MappingTables!$C$34,H1953=MappingTables!$C$35),S1953,0))</f>
        <v>0</v>
      </c>
    </row>
    <row r="1954" spans="2:20" s="0" customFormat="0" ht="15">
      <c r="B1954" s="69" t="s">
        <v>4919</v>
      </c>
      <c r="C1954" s="70" t="s">
        <v>4920</v>
      </c>
      <c r="D1954" s="70" t="s">
        <v>1</v>
      </c>
      <c r="E1954" s="70" t="s">
        <v>1</v>
      </c>
      <c r="F1954" s="70"/>
      <c r="G1954" s="70" t="s">
        <v>61</v>
      </c>
      <c r="H1954" s="70" t="s">
        <v>178</v>
      </c>
      <c r="I1954" s="70" t="s">
        <v>198</v>
      </c>
      <c r="J1954" s="71" t="str">
        <f>IF(OR(I1954=0,I1954=""),"unrated",VLOOKUP(I1954,MappingTables!$B$19:$C$31,2,FALSE))</f>
        <v>unrated</v>
      </c>
      <c r="K1954" s="72">
        <v>0.63806518755422968</v>
      </c>
      <c r="L1954" s="70">
        <v>0.15910536509365994</v>
      </c>
      <c r="M1954" s="71">
        <f>IF(L1954&lt;1,1,L1954)</f>
        <v>1</v>
      </c>
      <c r="N1954" s="70" t="s">
        <v>3288</v>
      </c>
      <c r="O1954" s="71">
        <f>IF(OR(I1954=$A$1,I1954=0),"",IF(N1954=MappingTables!$C$14,VLOOKUP(J1954,ModelParameters!$M$8:$N$15,2,FALSE),IF(N1954=MappingTables!$C$16,VLOOKUP(J1954,ModelParameters!$P$8:$Q$15,2,FALSE),0)))</f>
        <v>1</v>
      </c>
      <c r="P1954" s="73">
        <f>IF(OR(I1954=0,I1954=$A$1),0,MIN(O1954*M1954,1)*K1954)</f>
        <v>0.63806518755422968</v>
      </c>
      <c r="Q1954" s="73">
        <f>IF(B1954="",0,IF(OR(H1954=MappingTables!$C$34,H1954=MappingTables!$C$35),P1954,0))</f>
        <v>0</v>
      </c>
      <c r="R1954" s="73">
        <f>IF(ISNA(IF(AND(VLOOKUP(CONCATENATE($D1954,$G1954),CSRFinput!$B:$E,4,0)=0,OR(H1954=MappingTables!$C$31,H1954=MappingTables!$C$32)),1,VLOOKUP(CONCATENATE($D1954,$G1954),CSRFinput!$B:$E,4,0))),0,IF(AND(VLOOKUP(CONCATENATE($D1954,$G1954),CSRFinput!$B:$E,4,0)=0,OR(H1954=MappingTables!$C$31,H1954=MappingTables!$C$32)),1,VLOOKUP(CONCATENATE($D1954,$G1954),CSRFinput!$B:$E,4,0)))</f>
        <v>0.054776304963434752</v>
      </c>
      <c r="S1954" s="73">
        <f>IF(B1954="",0,P1954*R1954)</f>
        <v>0.03495085330002168</v>
      </c>
      <c r="T1954" s="85">
        <f>IF(B1954="",0,IF(OR(H1954=MappingTables!$C$34,H1954=MappingTables!$C$35),S1954,0))</f>
        <v>0</v>
      </c>
    </row>
    <row r="1955" spans="2:20" s="0" customFormat="0" ht="15">
      <c r="B1955" s="69" t="s">
        <v>3812</v>
      </c>
      <c r="C1955" s="70" t="s">
        <v>3813</v>
      </c>
      <c r="D1955" s="70" t="s">
        <v>1</v>
      </c>
      <c r="E1955" s="70" t="s">
        <v>1</v>
      </c>
      <c r="F1955" s="70"/>
      <c r="G1955" s="70" t="s">
        <v>61</v>
      </c>
      <c r="H1955" s="70" t="s">
        <v>178</v>
      </c>
      <c r="I1955" s="70" t="s">
        <v>198</v>
      </c>
      <c r="J1955" s="71" t="str">
        <f>IF(OR(I1955=0,I1955=""),"unrated",VLOOKUP(I1955,MappingTables!$B$19:$C$31,2,FALSE))</f>
        <v>unrated</v>
      </c>
      <c r="K1955" s="72">
        <v>11.66562227496662</v>
      </c>
      <c r="L1955" s="70">
        <v>0.068497974496470384</v>
      </c>
      <c r="M1955" s="71">
        <f>IF(L1955&lt;1,1,L1955)</f>
        <v>1</v>
      </c>
      <c r="N1955" s="70" t="s">
        <v>3288</v>
      </c>
      <c r="O1955" s="71">
        <f>IF(OR(I1955=$A$1,I1955=0),"",IF(N1955=MappingTables!$C$14,VLOOKUP(J1955,ModelParameters!$M$8:$N$15,2,FALSE),IF(N1955=MappingTables!$C$16,VLOOKUP(J1955,ModelParameters!$P$8:$Q$15,2,FALSE),0)))</f>
        <v>1</v>
      </c>
      <c r="P1955" s="73">
        <f>IF(OR(I1955=0,I1955=$A$1),0,MIN(O1955*M1955,1)*K1955)</f>
        <v>11.66562227496662</v>
      </c>
      <c r="Q1955" s="73">
        <f>IF(B1955="",0,IF(OR(H1955=MappingTables!$C$34,H1955=MappingTables!$C$35),P1955,0))</f>
        <v>0</v>
      </c>
      <c r="R1955" s="73">
        <f>IF(ISNA(IF(AND(VLOOKUP(CONCATENATE($D1955,$G1955),CSRFinput!$B:$E,4,0)=0,OR(H1955=MappingTables!$C$31,H1955=MappingTables!$C$32)),1,VLOOKUP(CONCATENATE($D1955,$G1955),CSRFinput!$B:$E,4,0))),0,IF(AND(VLOOKUP(CONCATENATE($D1955,$G1955),CSRFinput!$B:$E,4,0)=0,OR(H1955=MappingTables!$C$31,H1955=MappingTables!$C$32)),1,VLOOKUP(CONCATENATE($D1955,$G1955),CSRFinput!$B:$E,4,0)))</f>
        <v>0.054776304963434752</v>
      </c>
      <c r="S1955" s="73">
        <f>IF(B1955="",0,P1955*R1955)</f>
        <v>0.63899968332180912</v>
      </c>
      <c r="T1955" s="85">
        <f>IF(B1955="",0,IF(OR(H1955=MappingTables!$C$34,H1955=MappingTables!$C$35),S1955,0))</f>
        <v>0</v>
      </c>
    </row>
    <row r="1956" spans="2:20" s="0" customFormat="0" ht="15">
      <c r="B1956" s="69" t="s">
        <v>3605</v>
      </c>
      <c r="C1956" s="70" t="s">
        <v>3606</v>
      </c>
      <c r="D1956" s="70" t="s">
        <v>1</v>
      </c>
      <c r="E1956" s="70" t="s">
        <v>1</v>
      </c>
      <c r="F1956" s="70"/>
      <c r="G1956" s="70" t="s">
        <v>61</v>
      </c>
      <c r="H1956" s="70" t="s">
        <v>178</v>
      </c>
      <c r="I1956" s="70" t="s">
        <v>184</v>
      </c>
      <c r="J1956" s="71">
        <f>IF(OR(I1956=0,I1956=""),"unrated",VLOOKUP(I1956,MappingTables!$B$19:$C$31,2,FALSE))</f>
        <v>5</v>
      </c>
      <c r="K1956" s="72">
        <v>376.16335992912216</v>
      </c>
      <c r="L1956" s="70">
        <v>0.048230006248220448</v>
      </c>
      <c r="M1956" s="71">
        <f>IF(L1956&lt;1,1,L1956)</f>
        <v>1</v>
      </c>
      <c r="N1956" s="70" t="s">
        <v>3288</v>
      </c>
      <c r="O1956" s="71">
        <f>IF(OR(I1956=$A$1,I1956=0),"",IF(N1956=MappingTables!$C$14,VLOOKUP(J1956,ModelParameters!$M$8:$N$15,2,FALSE),IF(N1956=MappingTables!$C$16,VLOOKUP(J1956,ModelParameters!$P$8:$Q$15,2,FALSE),0)))</f>
        <v>1</v>
      </c>
      <c r="P1956" s="73">
        <f>IF(OR(I1956=0,I1956=$A$1),0,MIN(O1956*M1956,1)*K1956)</f>
        <v>376.16335992912216</v>
      </c>
      <c r="Q1956" s="73">
        <f>IF(B1956="",0,IF(OR(H1956=MappingTables!$C$34,H1956=MappingTables!$C$35),P1956,0))</f>
        <v>0</v>
      </c>
      <c r="R1956" s="73">
        <f>IF(ISNA(IF(AND(VLOOKUP(CONCATENATE($D1956,$G1956),CSRFinput!$B:$E,4,0)=0,OR(H1956=MappingTables!$C$31,H1956=MappingTables!$C$32)),1,VLOOKUP(CONCATENATE($D1956,$G1956),CSRFinput!$B:$E,4,0))),0,IF(AND(VLOOKUP(CONCATENATE($D1956,$G1956),CSRFinput!$B:$E,4,0)=0,OR(H1956=MappingTables!$C$31,H1956=MappingTables!$C$32)),1,VLOOKUP(CONCATENATE($D1956,$G1956),CSRFinput!$B:$E,4,0)))</f>
        <v>0.054776304963434752</v>
      </c>
      <c r="S1956" s="73">
        <f>IF(B1956="",0,P1956*R1956)</f>
        <v>20.604838919547868</v>
      </c>
      <c r="T1956" s="85">
        <f>IF(B1956="",0,IF(OR(H1956=MappingTables!$C$34,H1956=MappingTables!$C$35),S1956,0))</f>
        <v>0</v>
      </c>
    </row>
    <row r="1957" spans="2:20" s="0" customFormat="0" ht="15">
      <c r="B1957" s="69" t="s">
        <v>4692</v>
      </c>
      <c r="C1957" s="70" t="s">
        <v>4693</v>
      </c>
      <c r="D1957" s="70" t="s">
        <v>1</v>
      </c>
      <c r="E1957" s="70" t="s">
        <v>1</v>
      </c>
      <c r="F1957" s="70"/>
      <c r="G1957" s="70" t="s">
        <v>61</v>
      </c>
      <c r="H1957" s="70" t="s">
        <v>178</v>
      </c>
      <c r="I1957" s="70" t="s">
        <v>198</v>
      </c>
      <c r="J1957" s="71" t="str">
        <f>IF(OR(I1957=0,I1957=""),"unrated",VLOOKUP(I1957,MappingTables!$B$19:$C$31,2,FALSE))</f>
        <v>unrated</v>
      </c>
      <c r="K1957" s="72">
        <v>350.93526945848736</v>
      </c>
      <c r="L1957" s="70">
        <v>1.9528688992905268</v>
      </c>
      <c r="M1957" s="71">
        <f>IF(L1957&lt;1,1,L1957)</f>
        <v>1.9528688992905268</v>
      </c>
      <c r="N1957" s="70" t="s">
        <v>3288</v>
      </c>
      <c r="O1957" s="71">
        <f>IF(OR(I1957=$A$1,I1957=0),"",IF(N1957=MappingTables!$C$14,VLOOKUP(J1957,ModelParameters!$M$8:$N$15,2,FALSE),IF(N1957=MappingTables!$C$16,VLOOKUP(J1957,ModelParameters!$P$8:$Q$15,2,FALSE),0)))</f>
        <v>1</v>
      </c>
      <c r="P1957" s="73">
        <f>IF(OR(I1957=0,I1957=$A$1),0,MIN(O1957*M1957,1)*K1957)</f>
        <v>350.93526945848736</v>
      </c>
      <c r="Q1957" s="73">
        <f>IF(B1957="",0,IF(OR(H1957=MappingTables!$C$34,H1957=MappingTables!$C$35),P1957,0))</f>
        <v>0</v>
      </c>
      <c r="R1957" s="73">
        <f>IF(ISNA(IF(AND(VLOOKUP(CONCATENATE($D1957,$G1957),CSRFinput!$B:$E,4,0)=0,OR(H1957=MappingTables!$C$31,H1957=MappingTables!$C$32)),1,VLOOKUP(CONCATENATE($D1957,$G1957),CSRFinput!$B:$E,4,0))),0,IF(AND(VLOOKUP(CONCATENATE($D1957,$G1957),CSRFinput!$B:$E,4,0)=0,OR(H1957=MappingTables!$C$31,H1957=MappingTables!$C$32)),1,VLOOKUP(CONCATENATE($D1957,$G1957),CSRFinput!$B:$E,4,0)))</f>
        <v>0.054776304963434752</v>
      </c>
      <c r="S1957" s="73">
        <f>IF(B1957="",0,P1957*R1957)</f>
        <v>19.222937342283256</v>
      </c>
      <c r="T1957" s="85">
        <f>IF(B1957="",0,IF(OR(H1957=MappingTables!$C$34,H1957=MappingTables!$C$35),S1957,0))</f>
        <v>0</v>
      </c>
    </row>
    <row r="1958" spans="2:20" s="0" customFormat="0" ht="15">
      <c r="B1958" s="69" t="s">
        <v>4067</v>
      </c>
      <c r="C1958" s="70" t="s">
        <v>4068</v>
      </c>
      <c r="D1958" s="70" t="s">
        <v>1</v>
      </c>
      <c r="E1958" s="70" t="s">
        <v>1</v>
      </c>
      <c r="F1958" s="70"/>
      <c r="G1958" s="70" t="s">
        <v>61</v>
      </c>
      <c r="H1958" s="70" t="s">
        <v>178</v>
      </c>
      <c r="I1958" s="70" t="s">
        <v>216</v>
      </c>
      <c r="J1958" s="71">
        <f>IF(OR(I1958=0,I1958=""),"unrated",VLOOKUP(I1958,MappingTables!$B$19:$C$31,2,FALSE))</f>
        <v>0</v>
      </c>
      <c r="K1958" s="72">
        <v>341.7689949617178</v>
      </c>
      <c r="L1958" s="70">
        <v>-7.0417405727451816</v>
      </c>
      <c r="M1958" s="71">
        <f>IF(L1958&lt;1,1,L1958)</f>
        <v>1</v>
      </c>
      <c r="N1958" s="70" t="s">
        <v>3288</v>
      </c>
      <c r="O1958" s="71">
        <f>IF(OR(I1958=$A$1,I1958=0),"",IF(N1958=MappingTables!$C$14,VLOOKUP(J1958,ModelParameters!$M$8:$N$15,2,FALSE),IF(N1958=MappingTables!$C$16,VLOOKUP(J1958,ModelParameters!$P$8:$Q$15,2,FALSE),0)))</f>
        <v>0.125</v>
      </c>
      <c r="P1958" s="73">
        <f>IF(OR(I1958=0,I1958=$A$1),0,MIN(O1958*M1958,1)*K1958)</f>
        <v>42.721124370214728</v>
      </c>
      <c r="Q1958" s="73">
        <f>IF(B1958="",0,IF(OR(H1958=MappingTables!$C$34,H1958=MappingTables!$C$35),P1958,0))</f>
        <v>0</v>
      </c>
      <c r="R1958" s="73">
        <f>IF(ISNA(IF(AND(VLOOKUP(CONCATENATE($D1958,$G1958),CSRFinput!$B:$E,4,0)=0,OR(H1958=MappingTables!$C$31,H1958=MappingTables!$C$32)),1,VLOOKUP(CONCATENATE($D1958,$G1958),CSRFinput!$B:$E,4,0))),0,IF(AND(VLOOKUP(CONCATENATE($D1958,$G1958),CSRFinput!$B:$E,4,0)=0,OR(H1958=MappingTables!$C$31,H1958=MappingTables!$C$32)),1,VLOOKUP(CONCATENATE($D1958,$G1958),CSRFinput!$B:$E,4,0)))</f>
        <v>0.054776304963434752</v>
      </c>
      <c r="S1958" s="73">
        <f>IF(B1958="",0,P1958*R1958)</f>
        <v>2.340105336883706</v>
      </c>
      <c r="T1958" s="85">
        <f>IF(B1958="",0,IF(OR(H1958=MappingTables!$C$34,H1958=MappingTables!$C$35),S1958,0))</f>
        <v>0</v>
      </c>
    </row>
    <row r="1959" spans="2:20" s="0" customFormat="0" ht="15">
      <c r="B1959" s="69">
        <v>19666405</v>
      </c>
      <c r="C1959" s="70" t="s">
        <v>4929</v>
      </c>
      <c r="D1959" s="70" t="s">
        <v>1</v>
      </c>
      <c r="E1959" s="70" t="s">
        <v>1</v>
      </c>
      <c r="F1959" s="70"/>
      <c r="G1959" s="70" t="s">
        <v>61</v>
      </c>
      <c r="H1959" s="70" t="s">
        <v>178</v>
      </c>
      <c r="I1959" s="70" t="s">
        <v>216</v>
      </c>
      <c r="J1959" s="71">
        <f>IF(OR(I1959=0,I1959=""),"unrated",VLOOKUP(I1959,MappingTables!$B$19:$C$31,2,FALSE))</f>
        <v>0</v>
      </c>
      <c r="K1959" s="72">
        <v>54.480786234039096</v>
      </c>
      <c r="L1959" s="70">
        <v>0.118323597957754</v>
      </c>
      <c r="M1959" s="71">
        <f>IF(L1959&lt;1,1,L1959)</f>
        <v>1</v>
      </c>
      <c r="N1959" s="70" t="s">
        <v>3288</v>
      </c>
      <c r="O1959" s="71">
        <f>IF(OR(I1959=$A$1,I1959=0),"",IF(N1959=MappingTables!$C$14,VLOOKUP(J1959,ModelParameters!$M$8:$N$15,2,FALSE),IF(N1959=MappingTables!$C$16,VLOOKUP(J1959,ModelParameters!$P$8:$Q$15,2,FALSE),0)))</f>
        <v>0.125</v>
      </c>
      <c r="P1959" s="73">
        <f>IF(OR(I1959=0,I1959=$A$1),0,MIN(O1959*M1959,1)*K1959)</f>
        <v>6.8100982792548864</v>
      </c>
      <c r="Q1959" s="73">
        <f>IF(B1959="",0,IF(OR(H1959=MappingTables!$C$34,H1959=MappingTables!$C$35),P1959,0))</f>
        <v>0</v>
      </c>
      <c r="R1959" s="73">
        <f>IF(ISNA(IF(AND(VLOOKUP(CONCATENATE($D1959,$G1959),CSRFinput!$B:$E,4,0)=0,OR(H1959=MappingTables!$C$31,H1959=MappingTables!$C$32)),1,VLOOKUP(CONCATENATE($D1959,$G1959),CSRFinput!$B:$E,4,0))),0,IF(AND(VLOOKUP(CONCATENATE($D1959,$G1959),CSRFinput!$B:$E,4,0)=0,OR(H1959=MappingTables!$C$31,H1959=MappingTables!$C$32)),1,VLOOKUP(CONCATENATE($D1959,$G1959),CSRFinput!$B:$E,4,0)))</f>
        <v>0.054776304963434752</v>
      </c>
      <c r="S1959" s="73">
        <f>IF(B1959="",0,P1959*R1959)</f>
        <v>0.37303202017542792</v>
      </c>
      <c r="T1959" s="85">
        <f>IF(B1959="",0,IF(OR(H1959=MappingTables!$C$34,H1959=MappingTables!$C$35),S1959,0))</f>
        <v>0</v>
      </c>
    </row>
    <row r="1960" spans="2:20" s="0" customFormat="0" ht="15">
      <c r="B1960" s="69" t="s">
        <v>4756</v>
      </c>
      <c r="C1960" s="70" t="s">
        <v>4757</v>
      </c>
      <c r="D1960" s="70" t="s">
        <v>1</v>
      </c>
      <c r="E1960" s="70" t="s">
        <v>1</v>
      </c>
      <c r="F1960" s="70"/>
      <c r="G1960" s="70" t="s">
        <v>61</v>
      </c>
      <c r="H1960" s="70" t="s">
        <v>178</v>
      </c>
      <c r="I1960" s="70" t="s">
        <v>204</v>
      </c>
      <c r="J1960" s="71">
        <f>IF(OR(I1960=0,I1960=""),"unrated",VLOOKUP(I1960,MappingTables!$B$19:$C$31,2,FALSE))</f>
        <v>6</v>
      </c>
      <c r="K1960" s="72">
        <v>108.40487561033134</v>
      </c>
      <c r="L1960" s="70">
        <v>0.06884735615717892</v>
      </c>
      <c r="M1960" s="71">
        <f>IF(L1960&lt;1,1,L1960)</f>
        <v>1</v>
      </c>
      <c r="N1960" s="70" t="s">
        <v>3288</v>
      </c>
      <c r="O1960" s="71">
        <f>IF(OR(I1960=$A$1,I1960=0),"",IF(N1960=MappingTables!$C$14,VLOOKUP(J1960,ModelParameters!$M$8:$N$15,2,FALSE),IF(N1960=MappingTables!$C$16,VLOOKUP(J1960,ModelParameters!$P$8:$Q$15,2,FALSE),0)))</f>
        <v>1</v>
      </c>
      <c r="P1960" s="73">
        <f>IF(OR(I1960=0,I1960=$A$1),0,MIN(O1960*M1960,1)*K1960)</f>
        <v>108.40487561033134</v>
      </c>
      <c r="Q1960" s="73">
        <f>IF(B1960="",0,IF(OR(H1960=MappingTables!$C$34,H1960=MappingTables!$C$35),P1960,0))</f>
        <v>0</v>
      </c>
      <c r="R1960" s="73">
        <f>IF(ISNA(IF(AND(VLOOKUP(CONCATENATE($D1960,$G1960),CSRFinput!$B:$E,4,0)=0,OR(H1960=MappingTables!$C$31,H1960=MappingTables!$C$32)),1,VLOOKUP(CONCATENATE($D1960,$G1960),CSRFinput!$B:$E,4,0))),0,IF(AND(VLOOKUP(CONCATENATE($D1960,$G1960),CSRFinput!$B:$E,4,0)=0,OR(H1960=MappingTables!$C$31,H1960=MappingTables!$C$32)),1,VLOOKUP(CONCATENATE($D1960,$G1960),CSRFinput!$B:$E,4,0)))</f>
        <v>0.054776304963434752</v>
      </c>
      <c r="S1960" s="73">
        <f>IF(B1960="",0,P1960*R1960)</f>
        <v>5.93801852595472</v>
      </c>
      <c r="T1960" s="85">
        <f>IF(B1960="",0,IF(OR(H1960=MappingTables!$C$34,H1960=MappingTables!$C$35),S1960,0))</f>
        <v>0</v>
      </c>
    </row>
    <row r="1961" spans="2:20" s="0" customFormat="0" ht="15">
      <c r="B1961" s="69" t="s">
        <v>3384</v>
      </c>
      <c r="C1961" s="70" t="s">
        <v>3385</v>
      </c>
      <c r="D1961" s="70" t="s">
        <v>1</v>
      </c>
      <c r="E1961" s="70" t="s">
        <v>1</v>
      </c>
      <c r="F1961" s="70"/>
      <c r="G1961" s="70" t="s">
        <v>61</v>
      </c>
      <c r="H1961" s="70" t="s">
        <v>178</v>
      </c>
      <c r="I1961" s="70" t="s">
        <v>204</v>
      </c>
      <c r="J1961" s="71">
        <f>IF(OR(I1961=0,I1961=""),"unrated",VLOOKUP(I1961,MappingTables!$B$19:$C$31,2,FALSE))</f>
        <v>6</v>
      </c>
      <c r="K1961" s="72">
        <v>142.92837642350194</v>
      </c>
      <c r="L1961" s="70">
        <v>0.050083119051260608</v>
      </c>
      <c r="M1961" s="71">
        <f>IF(L1961&lt;1,1,L1961)</f>
        <v>1</v>
      </c>
      <c r="N1961" s="70" t="s">
        <v>3288</v>
      </c>
      <c r="O1961" s="71">
        <f>IF(OR(I1961=$A$1,I1961=0),"",IF(N1961=MappingTables!$C$14,VLOOKUP(J1961,ModelParameters!$M$8:$N$15,2,FALSE),IF(N1961=MappingTables!$C$16,VLOOKUP(J1961,ModelParameters!$P$8:$Q$15,2,FALSE),0)))</f>
        <v>1</v>
      </c>
      <c r="P1961" s="73">
        <f>IF(OR(I1961=0,I1961=$A$1),0,MIN(O1961*M1961,1)*K1961)</f>
        <v>142.92837642350194</v>
      </c>
      <c r="Q1961" s="73">
        <f>IF(B1961="",0,IF(OR(H1961=MappingTables!$C$34,H1961=MappingTables!$C$35),P1961,0))</f>
        <v>0</v>
      </c>
      <c r="R1961" s="73">
        <f>IF(ISNA(IF(AND(VLOOKUP(CONCATENATE($D1961,$G1961),CSRFinput!$B:$E,4,0)=0,OR(H1961=MappingTables!$C$31,H1961=MappingTables!$C$32)),1,VLOOKUP(CONCATENATE($D1961,$G1961),CSRFinput!$B:$E,4,0))),0,IF(AND(VLOOKUP(CONCATENATE($D1961,$G1961),CSRFinput!$B:$E,4,0)=0,OR(H1961=MappingTables!$C$31,H1961=MappingTables!$C$32)),1,VLOOKUP(CONCATENATE($D1961,$G1961),CSRFinput!$B:$E,4,0)))</f>
        <v>0.054776304963434752</v>
      </c>
      <c r="S1961" s="73">
        <f>IF(B1961="",0,P1961*R1961)</f>
        <v>7.8290883349023392</v>
      </c>
      <c r="T1961" s="85">
        <f>IF(B1961="",0,IF(OR(H1961=MappingTables!$C$34,H1961=MappingTables!$C$35),S1961,0))</f>
        <v>0</v>
      </c>
    </row>
    <row r="1962" spans="2:20" s="0" customFormat="0" ht="15">
      <c r="B1962" s="69">
        <v>3776280</v>
      </c>
      <c r="C1962" s="70" t="s">
        <v>4749</v>
      </c>
      <c r="D1962" s="70" t="s">
        <v>1</v>
      </c>
      <c r="E1962" s="70" t="s">
        <v>1</v>
      </c>
      <c r="F1962" s="70"/>
      <c r="G1962" s="70" t="s">
        <v>61</v>
      </c>
      <c r="H1962" s="70" t="s">
        <v>178</v>
      </c>
      <c r="I1962" s="70" t="s">
        <v>181</v>
      </c>
      <c r="J1962" s="71">
        <f>IF(OR(I1962=0,I1962=""),"unrated",VLOOKUP(I1962,MappingTables!$B$19:$C$31,2,FALSE))</f>
        <v>3</v>
      </c>
      <c r="K1962" s="72">
        <v>1383.8229988756976</v>
      </c>
      <c r="L1962" s="70">
        <v>2.1201049042931476</v>
      </c>
      <c r="M1962" s="71">
        <f>IF(L1962&lt;1,1,L1962)</f>
        <v>2.1201049042931476</v>
      </c>
      <c r="N1962" s="70" t="s">
        <v>3288</v>
      </c>
      <c r="O1962" s="71">
        <f>IF(OR(I1962=$A$1,I1962=0),"",IF(N1962=MappingTables!$C$14,VLOOKUP(J1962,ModelParameters!$M$8:$N$15,2,FALSE),IF(N1962=MappingTables!$C$16,VLOOKUP(J1962,ModelParameters!$P$8:$Q$15,2,FALSE),0)))</f>
        <v>0.197</v>
      </c>
      <c r="P1962" s="73">
        <f>IF(OR(I1962=0,I1962=$A$1),0,MIN(O1962*M1962,1)*K1962)</f>
        <v>577.96843553823328</v>
      </c>
      <c r="Q1962" s="73">
        <f>IF(B1962="",0,IF(OR(H1962=MappingTables!$C$34,H1962=MappingTables!$C$35),P1962,0))</f>
        <v>0</v>
      </c>
      <c r="R1962" s="73">
        <f>IF(ISNA(IF(AND(VLOOKUP(CONCATENATE($D1962,$G1962),CSRFinput!$B:$E,4,0)=0,OR(H1962=MappingTables!$C$31,H1962=MappingTables!$C$32)),1,VLOOKUP(CONCATENATE($D1962,$G1962),CSRFinput!$B:$E,4,0))),0,IF(AND(VLOOKUP(CONCATENATE($D1962,$G1962),CSRFinput!$B:$E,4,0)=0,OR(H1962=MappingTables!$C$31,H1962=MappingTables!$C$32)),1,VLOOKUP(CONCATENATE($D1962,$G1962),CSRFinput!$B:$E,4,0)))</f>
        <v>0.054776304963434752</v>
      </c>
      <c r="S1962" s="73">
        <f>IF(B1962="",0,P1962*R1962)</f>
        <v>31.658975284281544</v>
      </c>
      <c r="T1962" s="85">
        <f>IF(B1962="",0,IF(OR(H1962=MappingTables!$C$34,H1962=MappingTables!$C$35),S1962,0))</f>
        <v>0</v>
      </c>
    </row>
    <row r="1963" spans="2:20" s="0" customFormat="0" ht="15">
      <c r="B1963" s="69" t="s">
        <v>4576</v>
      </c>
      <c r="C1963" s="70" t="s">
        <v>4577</v>
      </c>
      <c r="D1963" s="70" t="s">
        <v>1</v>
      </c>
      <c r="E1963" s="70" t="s">
        <v>1</v>
      </c>
      <c r="F1963" s="70"/>
      <c r="G1963" s="70" t="s">
        <v>61</v>
      </c>
      <c r="H1963" s="70" t="s">
        <v>178</v>
      </c>
      <c r="I1963" s="70" t="s">
        <v>198</v>
      </c>
      <c r="J1963" s="71" t="str">
        <f>IF(OR(I1963=0,I1963=""),"unrated",VLOOKUP(I1963,MappingTables!$B$19:$C$31,2,FALSE))</f>
        <v>unrated</v>
      </c>
      <c r="K1963" s="72">
        <v>0.010000889064068222</v>
      </c>
      <c r="L1963" s="70">
        <v>40.297326172255512</v>
      </c>
      <c r="M1963" s="71">
        <f>IF(L1963&lt;1,1,L1963)</f>
        <v>40.297326172255512</v>
      </c>
      <c r="N1963" s="70" t="s">
        <v>3288</v>
      </c>
      <c r="O1963" s="71">
        <f>IF(OR(I1963=$A$1,I1963=0),"",IF(N1963=MappingTables!$C$14,VLOOKUP(J1963,ModelParameters!$M$8:$N$15,2,FALSE),IF(N1963=MappingTables!$C$16,VLOOKUP(J1963,ModelParameters!$P$8:$Q$15,2,FALSE),0)))</f>
        <v>1</v>
      </c>
      <c r="P1963" s="73">
        <f>IF(OR(I1963=0,I1963=$A$1),0,MIN(O1963*M1963,1)*K1963)</f>
        <v>0.010000889064068222</v>
      </c>
      <c r="Q1963" s="73">
        <f>IF(B1963="",0,IF(OR(H1963=MappingTables!$C$34,H1963=MappingTables!$C$35),P1963,0))</f>
        <v>0</v>
      </c>
      <c r="R1963" s="73">
        <f>IF(ISNA(IF(AND(VLOOKUP(CONCATENATE($D1963,$G1963),CSRFinput!$B:$E,4,0)=0,OR(H1963=MappingTables!$C$31,H1963=MappingTables!$C$32)),1,VLOOKUP(CONCATENATE($D1963,$G1963),CSRFinput!$B:$E,4,0))),0,IF(AND(VLOOKUP(CONCATENATE($D1963,$G1963),CSRFinput!$B:$E,4,0)=0,OR(H1963=MappingTables!$C$31,H1963=MappingTables!$C$32)),1,VLOOKUP(CONCATENATE($D1963,$G1963),CSRFinput!$B:$E,4,0)))</f>
        <v>0.054776304963434752</v>
      </c>
      <c r="S1963" s="73">
        <f>IF(B1963="",0,P1963*R1963)</f>
        <v>0.00054781174927888056</v>
      </c>
      <c r="T1963" s="85">
        <f>IF(B1963="",0,IF(OR(H1963=MappingTables!$C$34,H1963=MappingTables!$C$35),S1963,0))</f>
        <v>0</v>
      </c>
    </row>
    <row r="1964" spans="2:20" s="0" customFormat="0" ht="15">
      <c r="B1964" s="69" t="s">
        <v>3830</v>
      </c>
      <c r="C1964" s="70" t="s">
        <v>3831</v>
      </c>
      <c r="D1964" s="70" t="s">
        <v>1</v>
      </c>
      <c r="E1964" s="70" t="s">
        <v>1</v>
      </c>
      <c r="F1964" s="70"/>
      <c r="G1964" s="70" t="s">
        <v>61</v>
      </c>
      <c r="H1964" s="70" t="s">
        <v>178</v>
      </c>
      <c r="I1964" s="70" t="s">
        <v>3298</v>
      </c>
      <c r="J1964" s="71">
        <f>IF(OR(I1964=0,I1964=""),"unrated",VLOOKUP(I1964,MappingTables!$B$19:$C$31,2,FALSE))</f>
        <v>6</v>
      </c>
      <c r="K1964" s="72">
        <v>347.84367598384488</v>
      </c>
      <c r="L1964" s="70">
        <v>0.068498057472021216</v>
      </c>
      <c r="M1964" s="71">
        <f>IF(L1964&lt;1,1,L1964)</f>
        <v>1</v>
      </c>
      <c r="N1964" s="70" t="s">
        <v>3288</v>
      </c>
      <c r="O1964" s="71">
        <f>IF(OR(I1964=$A$1,I1964=0),"",IF(N1964=MappingTables!$C$14,VLOOKUP(J1964,ModelParameters!$M$8:$N$15,2,FALSE),IF(N1964=MappingTables!$C$16,VLOOKUP(J1964,ModelParameters!$P$8:$Q$15,2,FALSE),0)))</f>
        <v>1</v>
      </c>
      <c r="P1964" s="73">
        <f>IF(OR(I1964=0,I1964=$A$1),0,MIN(O1964*M1964,1)*K1964)</f>
        <v>347.84367598384488</v>
      </c>
      <c r="Q1964" s="73">
        <f>IF(B1964="",0,IF(OR(H1964=MappingTables!$C$34,H1964=MappingTables!$C$35),P1964,0))</f>
        <v>0</v>
      </c>
      <c r="R1964" s="73">
        <f>IF(ISNA(IF(AND(VLOOKUP(CONCATENATE($D1964,$G1964),CSRFinput!$B:$E,4,0)=0,OR(H1964=MappingTables!$C$31,H1964=MappingTables!$C$32)),1,VLOOKUP(CONCATENATE($D1964,$G1964),CSRFinput!$B:$E,4,0))),0,IF(AND(VLOOKUP(CONCATENATE($D1964,$G1964),CSRFinput!$B:$E,4,0)=0,OR(H1964=MappingTables!$C$31,H1964=MappingTables!$C$32)),1,VLOOKUP(CONCATENATE($D1964,$G1964),CSRFinput!$B:$E,4,0)))</f>
        <v>0.054776304963434752</v>
      </c>
      <c r="S1964" s="73">
        <f>IF(B1964="",0,P1964*R1964)</f>
        <v>19.053591275293272</v>
      </c>
      <c r="T1964" s="85">
        <f>IF(B1964="",0,IF(OR(H1964=MappingTables!$C$34,H1964=MappingTables!$C$35),S1964,0))</f>
        <v>0</v>
      </c>
    </row>
    <row r="1965" spans="2:20" s="0" customFormat="0" ht="15">
      <c r="B1965" s="69" t="s">
        <v>4841</v>
      </c>
      <c r="C1965" s="70" t="s">
        <v>4842</v>
      </c>
      <c r="D1965" s="70" t="s">
        <v>1</v>
      </c>
      <c r="E1965" s="70" t="s">
        <v>1</v>
      </c>
      <c r="F1965" s="70"/>
      <c r="G1965" s="70" t="s">
        <v>61</v>
      </c>
      <c r="H1965" s="70" t="s">
        <v>178</v>
      </c>
      <c r="I1965" s="70" t="s">
        <v>3298</v>
      </c>
      <c r="J1965" s="71">
        <f>IF(OR(I1965=0,I1965=""),"unrated",VLOOKUP(I1965,MappingTables!$B$19:$C$31,2,FALSE))</f>
        <v>6</v>
      </c>
      <c r="K1965" s="72">
        <v>1149.908830733259</v>
      </c>
      <c r="L1965" s="70">
        <v>0.068492706430431472</v>
      </c>
      <c r="M1965" s="71">
        <f>IF(L1965&lt;1,1,L1965)</f>
        <v>1</v>
      </c>
      <c r="N1965" s="70" t="s">
        <v>3288</v>
      </c>
      <c r="O1965" s="71">
        <f>IF(OR(I1965=$A$1,I1965=0),"",IF(N1965=MappingTables!$C$14,VLOOKUP(J1965,ModelParameters!$M$8:$N$15,2,FALSE),IF(N1965=MappingTables!$C$16,VLOOKUP(J1965,ModelParameters!$P$8:$Q$15,2,FALSE),0)))</f>
        <v>1</v>
      </c>
      <c r="P1965" s="73">
        <f>IF(OR(I1965=0,I1965=$A$1),0,MIN(O1965*M1965,1)*K1965)</f>
        <v>1149.908830733259</v>
      </c>
      <c r="Q1965" s="73">
        <f>IF(B1965="",0,IF(OR(H1965=MappingTables!$C$34,H1965=MappingTables!$C$35),P1965,0))</f>
        <v>0</v>
      </c>
      <c r="R1965" s="73">
        <f>IF(ISNA(IF(AND(VLOOKUP(CONCATENATE($D1965,$G1965),CSRFinput!$B:$E,4,0)=0,OR(H1965=MappingTables!$C$31,H1965=MappingTables!$C$32)),1,VLOOKUP(CONCATENATE($D1965,$G1965),CSRFinput!$B:$E,4,0))),0,IF(AND(VLOOKUP(CONCATENATE($D1965,$G1965),CSRFinput!$B:$E,4,0)=0,OR(H1965=MappingTables!$C$31,H1965=MappingTables!$C$32)),1,VLOOKUP(CONCATENATE($D1965,$G1965),CSRFinput!$B:$E,4,0)))</f>
        <v>0.054776304963434752</v>
      </c>
      <c r="S1965" s="73">
        <f>IF(B1965="",0,P1965*R1965)</f>
        <v>62.987756792391672</v>
      </c>
      <c r="T1965" s="85">
        <f>IF(B1965="",0,IF(OR(H1965=MappingTables!$C$34,H1965=MappingTables!$C$35),S1965,0))</f>
        <v>0</v>
      </c>
    </row>
    <row r="1966" spans="2:20" s="0" customFormat="0" ht="15">
      <c r="B1966" s="69" t="s">
        <v>4291</v>
      </c>
      <c r="C1966" s="70" t="s">
        <v>4292</v>
      </c>
      <c r="D1966" s="70" t="s">
        <v>1</v>
      </c>
      <c r="E1966" s="70" t="s">
        <v>1</v>
      </c>
      <c r="F1966" s="70"/>
      <c r="G1966" s="70" t="s">
        <v>61</v>
      </c>
      <c r="H1966" s="70" t="s">
        <v>178</v>
      </c>
      <c r="I1966" s="70" t="s">
        <v>198</v>
      </c>
      <c r="J1966" s="71" t="str">
        <f>IF(OR(I1966=0,I1966=""),"unrated",VLOOKUP(I1966,MappingTables!$B$19:$C$31,2,FALSE))</f>
        <v>unrated</v>
      </c>
      <c r="K1966" s="72">
        <v>213.70949288146952</v>
      </c>
      <c r="L1966" s="70">
        <v>0.068492438709052472</v>
      </c>
      <c r="M1966" s="71">
        <f>IF(L1966&lt;1,1,L1966)</f>
        <v>1</v>
      </c>
      <c r="N1966" s="70" t="s">
        <v>3288</v>
      </c>
      <c r="O1966" s="71">
        <f>IF(OR(I1966=$A$1,I1966=0),"",IF(N1966=MappingTables!$C$14,VLOOKUP(J1966,ModelParameters!$M$8:$N$15,2,FALSE),IF(N1966=MappingTables!$C$16,VLOOKUP(J1966,ModelParameters!$P$8:$Q$15,2,FALSE),0)))</f>
        <v>1</v>
      </c>
      <c r="P1966" s="73">
        <f>IF(OR(I1966=0,I1966=$A$1),0,MIN(O1966*M1966,1)*K1966)</f>
        <v>213.70949288146952</v>
      </c>
      <c r="Q1966" s="73">
        <f>IF(B1966="",0,IF(OR(H1966=MappingTables!$C$34,H1966=MappingTables!$C$35),P1966,0))</f>
        <v>0</v>
      </c>
      <c r="R1966" s="73">
        <f>IF(ISNA(IF(AND(VLOOKUP(CONCATENATE($D1966,$G1966),CSRFinput!$B:$E,4,0)=0,OR(H1966=MappingTables!$C$31,H1966=MappingTables!$C$32)),1,VLOOKUP(CONCATENATE($D1966,$G1966),CSRFinput!$B:$E,4,0))),0,IF(AND(VLOOKUP(CONCATENATE($D1966,$G1966),CSRFinput!$B:$E,4,0)=0,OR(H1966=MappingTables!$C$31,H1966=MappingTables!$C$32)),1,VLOOKUP(CONCATENATE($D1966,$G1966),CSRFinput!$B:$E,4,0)))</f>
        <v>0.054776304963434752</v>
      </c>
      <c r="S1966" s="73">
        <f>IF(B1966="",0,P1966*R1966)</f>
        <v>11.706216355656362</v>
      </c>
      <c r="T1966" s="85">
        <f>IF(B1966="",0,IF(OR(H1966=MappingTables!$C$34,H1966=MappingTables!$C$35),S1966,0))</f>
        <v>0</v>
      </c>
    </row>
    <row r="1967" spans="2:20" s="0" customFormat="0" ht="15">
      <c r="B1967" s="69" t="s">
        <v>4608</v>
      </c>
      <c r="C1967" s="70" t="s">
        <v>4609</v>
      </c>
      <c r="D1967" s="70" t="s">
        <v>1</v>
      </c>
      <c r="E1967" s="70" t="s">
        <v>1</v>
      </c>
      <c r="F1967" s="70"/>
      <c r="G1967" s="70" t="s">
        <v>61</v>
      </c>
      <c r="H1967" s="70" t="s">
        <v>178</v>
      </c>
      <c r="I1967" s="70" t="s">
        <v>198</v>
      </c>
      <c r="J1967" s="71" t="str">
        <f>IF(OR(I1967=0,I1967=""),"unrated",VLOOKUP(I1967,MappingTables!$B$19:$C$31,2,FALSE))</f>
        <v>unrated</v>
      </c>
      <c r="K1967" s="72">
        <v>3118.4095024286972</v>
      </c>
      <c r="L1967" s="70">
        <v>27.180143724978412</v>
      </c>
      <c r="M1967" s="71">
        <f>IF(L1967&lt;1,1,L1967)</f>
        <v>27.180143724978412</v>
      </c>
      <c r="N1967" s="70" t="s">
        <v>3288</v>
      </c>
      <c r="O1967" s="71">
        <f>IF(OR(I1967=$A$1,I1967=0),"",IF(N1967=MappingTables!$C$14,VLOOKUP(J1967,ModelParameters!$M$8:$N$15,2,FALSE),IF(N1967=MappingTables!$C$16,VLOOKUP(J1967,ModelParameters!$P$8:$Q$15,2,FALSE),0)))</f>
        <v>1</v>
      </c>
      <c r="P1967" s="73">
        <f>IF(OR(I1967=0,I1967=$A$1),0,MIN(O1967*M1967,1)*K1967)</f>
        <v>3118.4095024286972</v>
      </c>
      <c r="Q1967" s="73">
        <f>IF(B1967="",0,IF(OR(H1967=MappingTables!$C$34,H1967=MappingTables!$C$35),P1967,0))</f>
        <v>0</v>
      </c>
      <c r="R1967" s="73">
        <f>IF(ISNA(IF(AND(VLOOKUP(CONCATENATE($D1967,$G1967),CSRFinput!$B:$E,4,0)=0,OR(H1967=MappingTables!$C$31,H1967=MappingTables!$C$32)),1,VLOOKUP(CONCATENATE($D1967,$G1967),CSRFinput!$B:$E,4,0))),0,IF(AND(VLOOKUP(CONCATENATE($D1967,$G1967),CSRFinput!$B:$E,4,0)=0,OR(H1967=MappingTables!$C$31,H1967=MappingTables!$C$32)),1,VLOOKUP(CONCATENATE($D1967,$G1967),CSRFinput!$B:$E,4,0)))</f>
        <v>0.054776304963434752</v>
      </c>
      <c r="S1967" s="73">
        <f>IF(B1967="",0,P1967*R1967)</f>
        <v>170.81494990590716</v>
      </c>
      <c r="T1967" s="85">
        <f>IF(B1967="",0,IF(OR(H1967=MappingTables!$C$34,H1967=MappingTables!$C$35),S1967,0))</f>
        <v>0</v>
      </c>
    </row>
    <row r="1968" spans="2:20" s="0" customFormat="0" ht="15">
      <c r="B1968" s="69" t="s">
        <v>5140</v>
      </c>
      <c r="C1968" s="70" t="s">
        <v>5141</v>
      </c>
      <c r="D1968" s="70" t="s">
        <v>1</v>
      </c>
      <c r="E1968" s="70" t="s">
        <v>1</v>
      </c>
      <c r="F1968" s="70"/>
      <c r="G1968" s="70" t="s">
        <v>61</v>
      </c>
      <c r="H1968" s="70" t="s">
        <v>178</v>
      </c>
      <c r="I1968" s="70" t="s">
        <v>3298</v>
      </c>
      <c r="J1968" s="71">
        <f>IF(OR(I1968=0,I1968=""),"unrated",VLOOKUP(I1968,MappingTables!$B$19:$C$31,2,FALSE))</f>
        <v>6</v>
      </c>
      <c r="K1968" s="72">
        <v>296.77378460326872</v>
      </c>
      <c r="L1968" s="70">
        <v>0.068492653932910928</v>
      </c>
      <c r="M1968" s="71">
        <f>IF(L1968&lt;1,1,L1968)</f>
        <v>1</v>
      </c>
      <c r="N1968" s="70" t="s">
        <v>3288</v>
      </c>
      <c r="O1968" s="71">
        <f>IF(OR(I1968=$A$1,I1968=0),"",IF(N1968=MappingTables!$C$14,VLOOKUP(J1968,ModelParameters!$M$8:$N$15,2,FALSE),IF(N1968=MappingTables!$C$16,VLOOKUP(J1968,ModelParameters!$P$8:$Q$15,2,FALSE),0)))</f>
        <v>1</v>
      </c>
      <c r="P1968" s="73">
        <f>IF(OR(I1968=0,I1968=$A$1),0,MIN(O1968*M1968,1)*K1968)</f>
        <v>296.77378460326872</v>
      </c>
      <c r="Q1968" s="73">
        <f>IF(B1968="",0,IF(OR(H1968=MappingTables!$C$34,H1968=MappingTables!$C$35),P1968,0))</f>
        <v>0</v>
      </c>
      <c r="R1968" s="73">
        <f>IF(ISNA(IF(AND(VLOOKUP(CONCATENATE($D1968,$G1968),CSRFinput!$B:$E,4,0)=0,OR(H1968=MappingTables!$C$31,H1968=MappingTables!$C$32)),1,VLOOKUP(CONCATENATE($D1968,$G1968),CSRFinput!$B:$E,4,0))),0,IF(AND(VLOOKUP(CONCATENATE($D1968,$G1968),CSRFinput!$B:$E,4,0)=0,OR(H1968=MappingTables!$C$31,H1968=MappingTables!$C$32)),1,VLOOKUP(CONCATENATE($D1968,$G1968),CSRFinput!$B:$E,4,0)))</f>
        <v>0.054776304963434752</v>
      </c>
      <c r="S1968" s="73">
        <f>IF(B1968="",0,P1968*R1968)</f>
        <v>16.256171330581346</v>
      </c>
      <c r="T1968" s="85">
        <f>IF(B1968="",0,IF(OR(H1968=MappingTables!$C$34,H1968=MappingTables!$C$35),S1968,0))</f>
        <v>0</v>
      </c>
    </row>
    <row r="1969" spans="2:20" s="0" customFormat="0" ht="15">
      <c r="B1969" s="69" t="s">
        <v>4451</v>
      </c>
      <c r="C1969" s="70" t="s">
        <v>4452</v>
      </c>
      <c r="D1969" s="70" t="s">
        <v>1</v>
      </c>
      <c r="E1969" s="70" t="s">
        <v>1</v>
      </c>
      <c r="F1969" s="70"/>
      <c r="G1969" s="70" t="s">
        <v>61</v>
      </c>
      <c r="H1969" s="70" t="s">
        <v>178</v>
      </c>
      <c r="I1969" s="70" t="s">
        <v>216</v>
      </c>
      <c r="J1969" s="71">
        <f>IF(OR(I1969=0,I1969=""),"unrated",VLOOKUP(I1969,MappingTables!$B$19:$C$31,2,FALSE))</f>
        <v>0</v>
      </c>
      <c r="K1969" s="72">
        <v>0.51866025232949064</v>
      </c>
      <c r="L1969" s="70">
        <v>0.068490714565171848</v>
      </c>
      <c r="M1969" s="71">
        <f>IF(L1969&lt;1,1,L1969)</f>
        <v>1</v>
      </c>
      <c r="N1969" s="70" t="s">
        <v>3288</v>
      </c>
      <c r="O1969" s="71">
        <f>IF(OR(I1969=$A$1,I1969=0),"",IF(N1969=MappingTables!$C$14,VLOOKUP(J1969,ModelParameters!$M$8:$N$15,2,FALSE),IF(N1969=MappingTables!$C$16,VLOOKUP(J1969,ModelParameters!$P$8:$Q$15,2,FALSE),0)))</f>
        <v>0.125</v>
      </c>
      <c r="P1969" s="73">
        <f>IF(OR(I1969=0,I1969=$A$1),0,MIN(O1969*M1969,1)*K1969)</f>
        <v>0.064832531541186328</v>
      </c>
      <c r="Q1969" s="73">
        <f>IF(B1969="",0,IF(OR(H1969=MappingTables!$C$34,H1969=MappingTables!$C$35),P1969,0))</f>
        <v>0</v>
      </c>
      <c r="R1969" s="73">
        <f>IF(ISNA(IF(AND(VLOOKUP(CONCATENATE($D1969,$G1969),CSRFinput!$B:$E,4,0)=0,OR(H1969=MappingTables!$C$31,H1969=MappingTables!$C$32)),1,VLOOKUP(CONCATENATE($D1969,$G1969),CSRFinput!$B:$E,4,0))),0,IF(AND(VLOOKUP(CONCATENATE($D1969,$G1969),CSRFinput!$B:$E,4,0)=0,OR(H1969=MappingTables!$C$31,H1969=MappingTables!$C$32)),1,VLOOKUP(CONCATENATE($D1969,$G1969),CSRFinput!$B:$E,4,0)))</f>
        <v>0.054776304963434752</v>
      </c>
      <c r="S1969" s="73">
        <f>IF(B1969="",0,P1969*R1969)</f>
        <v>0.0035512865192515248</v>
      </c>
      <c r="T1969" s="85">
        <f>IF(B1969="",0,IF(OR(H1969=MappingTables!$C$34,H1969=MappingTables!$C$35),S1969,0))</f>
        <v>0</v>
      </c>
    </row>
    <row r="1970" spans="2:20" s="0" customFormat="0" ht="15">
      <c r="B1970" s="69" t="s">
        <v>4913</v>
      </c>
      <c r="C1970" s="70" t="s">
        <v>4914</v>
      </c>
      <c r="D1970" s="70" t="s">
        <v>1</v>
      </c>
      <c r="E1970" s="70" t="s">
        <v>1</v>
      </c>
      <c r="F1970" s="70"/>
      <c r="G1970" s="70" t="s">
        <v>61</v>
      </c>
      <c r="H1970" s="70" t="s">
        <v>178</v>
      </c>
      <c r="I1970" s="70" t="s">
        <v>181</v>
      </c>
      <c r="J1970" s="71">
        <f>IF(OR(I1970=0,I1970=""),"unrated",VLOOKUP(I1970,MappingTables!$B$19:$C$31,2,FALSE))</f>
        <v>3</v>
      </c>
      <c r="K1970" s="72">
        <v>23.621922096817476</v>
      </c>
      <c r="L1970" s="70">
        <v>0.06849481209644412</v>
      </c>
      <c r="M1970" s="71">
        <f>IF(L1970&lt;1,1,L1970)</f>
        <v>1</v>
      </c>
      <c r="N1970" s="70" t="s">
        <v>3288</v>
      </c>
      <c r="O1970" s="71">
        <f>IF(OR(I1970=$A$1,I1970=0),"",IF(N1970=MappingTables!$C$14,VLOOKUP(J1970,ModelParameters!$M$8:$N$15,2,FALSE),IF(N1970=MappingTables!$C$16,VLOOKUP(J1970,ModelParameters!$P$8:$Q$15,2,FALSE),0)))</f>
        <v>0.197</v>
      </c>
      <c r="P1970" s="73">
        <f>IF(OR(I1970=0,I1970=$A$1),0,MIN(O1970*M1970,1)*K1970)</f>
        <v>4.6535186530730416</v>
      </c>
      <c r="Q1970" s="73">
        <f>IF(B1970="",0,IF(OR(H1970=MappingTables!$C$34,H1970=MappingTables!$C$35),P1970,0))</f>
        <v>0</v>
      </c>
      <c r="R1970" s="73">
        <f>IF(ISNA(IF(AND(VLOOKUP(CONCATENATE($D1970,$G1970),CSRFinput!$B:$E,4,0)=0,OR(H1970=MappingTables!$C$31,H1970=MappingTables!$C$32)),1,VLOOKUP(CONCATENATE($D1970,$G1970),CSRFinput!$B:$E,4,0))),0,IF(AND(VLOOKUP(CONCATENATE($D1970,$G1970),CSRFinput!$B:$E,4,0)=0,OR(H1970=MappingTables!$C$31,H1970=MappingTables!$C$32)),1,VLOOKUP(CONCATENATE($D1970,$G1970),CSRFinput!$B:$E,4,0)))</f>
        <v>0.054776304963434752</v>
      </c>
      <c r="S1970" s="73">
        <f>IF(B1970="",0,P1970*R1970)</f>
        <v>0.25490255689376108</v>
      </c>
      <c r="T1970" s="85">
        <f>IF(B1970="",0,IF(OR(H1970=MappingTables!$C$34,H1970=MappingTables!$C$35),S1970,0))</f>
        <v>0</v>
      </c>
    </row>
    <row r="1971" spans="2:20" s="0" customFormat="0" ht="15">
      <c r="B1971" s="69" t="s">
        <v>4700</v>
      </c>
      <c r="C1971" s="70" t="s">
        <v>4701</v>
      </c>
      <c r="D1971" s="70" t="s">
        <v>1</v>
      </c>
      <c r="E1971" s="70" t="s">
        <v>1</v>
      </c>
      <c r="F1971" s="70"/>
      <c r="G1971" s="70" t="s">
        <v>61</v>
      </c>
      <c r="H1971" s="70" t="s">
        <v>178</v>
      </c>
      <c r="I1971" s="70" t="s">
        <v>184</v>
      </c>
      <c r="J1971" s="71">
        <f>IF(OR(I1971=0,I1971=""),"unrated",VLOOKUP(I1971,MappingTables!$B$19:$C$31,2,FALSE))</f>
        <v>5</v>
      </c>
      <c r="K1971" s="72">
        <v>94.538162777593424</v>
      </c>
      <c r="L1971" s="70">
        <v>0.068491925375616808</v>
      </c>
      <c r="M1971" s="71">
        <f>IF(L1971&lt;1,1,L1971)</f>
        <v>1</v>
      </c>
      <c r="N1971" s="70" t="s">
        <v>3288</v>
      </c>
      <c r="O1971" s="71">
        <f>IF(OR(I1971=$A$1,I1971=0),"",IF(N1971=MappingTables!$C$14,VLOOKUP(J1971,ModelParameters!$M$8:$N$15,2,FALSE),IF(N1971=MappingTables!$C$16,VLOOKUP(J1971,ModelParameters!$P$8:$Q$15,2,FALSE),0)))</f>
        <v>1</v>
      </c>
      <c r="P1971" s="73">
        <f>IF(OR(I1971=0,I1971=$A$1),0,MIN(O1971*M1971,1)*K1971)</f>
        <v>94.538162777593424</v>
      </c>
      <c r="Q1971" s="73">
        <f>IF(B1971="",0,IF(OR(H1971=MappingTables!$C$34,H1971=MappingTables!$C$35),P1971,0))</f>
        <v>0</v>
      </c>
      <c r="R1971" s="73">
        <f>IF(ISNA(IF(AND(VLOOKUP(CONCATENATE($D1971,$G1971),CSRFinput!$B:$E,4,0)=0,OR(H1971=MappingTables!$C$31,H1971=MappingTables!$C$32)),1,VLOOKUP(CONCATENATE($D1971,$G1971),CSRFinput!$B:$E,4,0))),0,IF(AND(VLOOKUP(CONCATENATE($D1971,$G1971),CSRFinput!$B:$E,4,0)=0,OR(H1971=MappingTables!$C$31,H1971=MappingTables!$C$32)),1,VLOOKUP(CONCATENATE($D1971,$G1971),CSRFinput!$B:$E,4,0)))</f>
        <v>0.054776304963434752</v>
      </c>
      <c r="S1971" s="73">
        <f>IF(B1971="",0,P1971*R1971)</f>
        <v>5.1784512349882936</v>
      </c>
      <c r="T1971" s="85">
        <f>IF(B1971="",0,IF(OR(H1971=MappingTables!$C$34,H1971=MappingTables!$C$35),S1971,0))</f>
        <v>0</v>
      </c>
    </row>
    <row r="1972" spans="2:20" s="0" customFormat="0" ht="15">
      <c r="B1972" s="69" t="s">
        <v>3995</v>
      </c>
      <c r="C1972" s="70" t="s">
        <v>3996</v>
      </c>
      <c r="D1972" s="70" t="s">
        <v>1</v>
      </c>
      <c r="E1972" s="70" t="s">
        <v>1</v>
      </c>
      <c r="F1972" s="70"/>
      <c r="G1972" s="70" t="s">
        <v>61</v>
      </c>
      <c r="H1972" s="70" t="s">
        <v>178</v>
      </c>
      <c r="I1972" s="70" t="s">
        <v>3298</v>
      </c>
      <c r="J1972" s="71">
        <f>IF(OR(I1972=0,I1972=""),"unrated",VLOOKUP(I1972,MappingTables!$B$19:$C$31,2,FALSE))</f>
        <v>6</v>
      </c>
      <c r="K1972" s="72">
        <v>452.2016263232728</v>
      </c>
      <c r="L1972" s="70">
        <v>-0.067612576189124448</v>
      </c>
      <c r="M1972" s="71">
        <f>IF(L1972&lt;1,1,L1972)</f>
        <v>1</v>
      </c>
      <c r="N1972" s="70" t="s">
        <v>3288</v>
      </c>
      <c r="O1972" s="71">
        <f>IF(OR(I1972=$A$1,I1972=0),"",IF(N1972=MappingTables!$C$14,VLOOKUP(J1972,ModelParameters!$M$8:$N$15,2,FALSE),IF(N1972=MappingTables!$C$16,VLOOKUP(J1972,ModelParameters!$P$8:$Q$15,2,FALSE),0)))</f>
        <v>1</v>
      </c>
      <c r="P1972" s="73">
        <f>IF(OR(I1972=0,I1972=$A$1),0,MIN(O1972*M1972,1)*K1972)</f>
        <v>452.2016263232728</v>
      </c>
      <c r="Q1972" s="73">
        <f>IF(B1972="",0,IF(OR(H1972=MappingTables!$C$34,H1972=MappingTables!$C$35),P1972,0))</f>
        <v>0</v>
      </c>
      <c r="R1972" s="73">
        <f>IF(ISNA(IF(AND(VLOOKUP(CONCATENATE($D1972,$G1972),CSRFinput!$B:$E,4,0)=0,OR(H1972=MappingTables!$C$31,H1972=MappingTables!$C$32)),1,VLOOKUP(CONCATENATE($D1972,$G1972),CSRFinput!$B:$E,4,0))),0,IF(AND(VLOOKUP(CONCATENATE($D1972,$G1972),CSRFinput!$B:$E,4,0)=0,OR(H1972=MappingTables!$C$31,H1972=MappingTables!$C$32)),1,VLOOKUP(CONCATENATE($D1972,$G1972),CSRFinput!$B:$E,4,0)))</f>
        <v>0.054776304963434752</v>
      </c>
      <c r="S1972" s="73">
        <f>IF(B1972="",0,P1972*R1972)</f>
        <v>24.769934188444756</v>
      </c>
      <c r="T1972" s="85">
        <f>IF(B1972="",0,IF(OR(H1972=MappingTables!$C$34,H1972=MappingTables!$C$35),S1972,0))</f>
        <v>0</v>
      </c>
    </row>
    <row r="1973" spans="2:20" s="0" customFormat="0" ht="15">
      <c r="B1973" s="69" t="s">
        <v>4891</v>
      </c>
      <c r="C1973" s="70" t="s">
        <v>4892</v>
      </c>
      <c r="D1973" s="70" t="s">
        <v>1</v>
      </c>
      <c r="E1973" s="70" t="s">
        <v>1</v>
      </c>
      <c r="F1973" s="70"/>
      <c r="G1973" s="70" t="s">
        <v>61</v>
      </c>
      <c r="H1973" s="70" t="s">
        <v>178</v>
      </c>
      <c r="I1973" s="70" t="s">
        <v>184</v>
      </c>
      <c r="J1973" s="71">
        <f>IF(OR(I1973=0,I1973=""),"unrated",VLOOKUP(I1973,MappingTables!$B$19:$C$31,2,FALSE))</f>
        <v>5</v>
      </c>
      <c r="K1973" s="72">
        <v>151.22277825989672</v>
      </c>
      <c r="L1973" s="70">
        <v>0.068488113972685672</v>
      </c>
      <c r="M1973" s="71">
        <f>IF(L1973&lt;1,1,L1973)</f>
        <v>1</v>
      </c>
      <c r="N1973" s="70" t="s">
        <v>3288</v>
      </c>
      <c r="O1973" s="71">
        <f>IF(OR(I1973=$A$1,I1973=0),"",IF(N1973=MappingTables!$C$14,VLOOKUP(J1973,ModelParameters!$M$8:$N$15,2,FALSE),IF(N1973=MappingTables!$C$16,VLOOKUP(J1973,ModelParameters!$P$8:$Q$15,2,FALSE),0)))</f>
        <v>1</v>
      </c>
      <c r="P1973" s="73">
        <f>IF(OR(I1973=0,I1973=$A$1),0,MIN(O1973*M1973,1)*K1973)</f>
        <v>151.22277825989672</v>
      </c>
      <c r="Q1973" s="73">
        <f>IF(B1973="",0,IF(OR(H1973=MappingTables!$C$34,H1973=MappingTables!$C$35),P1973,0))</f>
        <v>0</v>
      </c>
      <c r="R1973" s="73">
        <f>IF(ISNA(IF(AND(VLOOKUP(CONCATENATE($D1973,$G1973),CSRFinput!$B:$E,4,0)=0,OR(H1973=MappingTables!$C$31,H1973=MappingTables!$C$32)),1,VLOOKUP(CONCATENATE($D1973,$G1973),CSRFinput!$B:$E,4,0))),0,IF(AND(VLOOKUP(CONCATENATE($D1973,$G1973),CSRFinput!$B:$E,4,0)=0,OR(H1973=MappingTables!$C$31,H1973=MappingTables!$C$32)),1,VLOOKUP(CONCATENATE($D1973,$G1973),CSRFinput!$B:$E,4,0)))</f>
        <v>0.054776304963434752</v>
      </c>
      <c r="S1973" s="73">
        <f>IF(B1973="",0,P1973*R1973)</f>
        <v>8.2834250193819744</v>
      </c>
      <c r="T1973" s="85">
        <f>IF(B1973="",0,IF(OR(H1973=MappingTables!$C$34,H1973=MappingTables!$C$35),S1973,0))</f>
        <v>0</v>
      </c>
    </row>
    <row r="1974" spans="2:20" s="0" customFormat="0" ht="15">
      <c r="B1974" s="69" t="s">
        <v>4439</v>
      </c>
      <c r="C1974" s="70" t="s">
        <v>4440</v>
      </c>
      <c r="D1974" s="70" t="s">
        <v>1</v>
      </c>
      <c r="E1974" s="70" t="s">
        <v>1</v>
      </c>
      <c r="F1974" s="70"/>
      <c r="G1974" s="70" t="s">
        <v>61</v>
      </c>
      <c r="H1974" s="70" t="s">
        <v>178</v>
      </c>
      <c r="I1974" s="70" t="s">
        <v>3298</v>
      </c>
      <c r="J1974" s="71">
        <f>IF(OR(I1974=0,I1974=""),"unrated",VLOOKUP(I1974,MappingTables!$B$19:$C$31,2,FALSE))</f>
        <v>6</v>
      </c>
      <c r="K1974" s="72">
        <v>313.0782671322702</v>
      </c>
      <c r="L1974" s="70">
        <v>1.4079693744297648</v>
      </c>
      <c r="M1974" s="71">
        <f>IF(L1974&lt;1,1,L1974)</f>
        <v>1.4079693744297648</v>
      </c>
      <c r="N1974" s="70" t="s">
        <v>3288</v>
      </c>
      <c r="O1974" s="71">
        <f>IF(OR(I1974=$A$1,I1974=0),"",IF(N1974=MappingTables!$C$14,VLOOKUP(J1974,ModelParameters!$M$8:$N$15,2,FALSE),IF(N1974=MappingTables!$C$16,VLOOKUP(J1974,ModelParameters!$P$8:$Q$15,2,FALSE),0)))</f>
        <v>1</v>
      </c>
      <c r="P1974" s="73">
        <f>IF(OR(I1974=0,I1974=$A$1),0,MIN(O1974*M1974,1)*K1974)</f>
        <v>313.0782671322702</v>
      </c>
      <c r="Q1974" s="73">
        <f>IF(B1974="",0,IF(OR(H1974=MappingTables!$C$34,H1974=MappingTables!$C$35),P1974,0))</f>
        <v>0</v>
      </c>
      <c r="R1974" s="73">
        <f>IF(ISNA(IF(AND(VLOOKUP(CONCATENATE($D1974,$G1974),CSRFinput!$B:$E,4,0)=0,OR(H1974=MappingTables!$C$31,H1974=MappingTables!$C$32)),1,VLOOKUP(CONCATENATE($D1974,$G1974),CSRFinput!$B:$E,4,0))),0,IF(AND(VLOOKUP(CONCATENATE($D1974,$G1974),CSRFinput!$B:$E,4,0)=0,OR(H1974=MappingTables!$C$31,H1974=MappingTables!$C$32)),1,VLOOKUP(CONCATENATE($D1974,$G1974),CSRFinput!$B:$E,4,0)))</f>
        <v>0.054776304963434752</v>
      </c>
      <c r="S1974" s="73">
        <f>IF(B1974="",0,P1974*R1974)</f>
        <v>17.149270637860922</v>
      </c>
      <c r="T1974" s="85">
        <f>IF(B1974="",0,IF(OR(H1974=MappingTables!$C$34,H1974=MappingTables!$C$35),S1974,0))</f>
        <v>0</v>
      </c>
    </row>
    <row r="1975" spans="2:20" s="0" customFormat="0" ht="15">
      <c r="B1975" s="69" t="s">
        <v>5128</v>
      </c>
      <c r="C1975" s="70" t="s">
        <v>5129</v>
      </c>
      <c r="D1975" s="70" t="s">
        <v>1</v>
      </c>
      <c r="E1975" s="70" t="s">
        <v>1</v>
      </c>
      <c r="F1975" s="70"/>
      <c r="G1975" s="70" t="s">
        <v>61</v>
      </c>
      <c r="H1975" s="70" t="s">
        <v>178</v>
      </c>
      <c r="I1975" s="70" t="s">
        <v>198</v>
      </c>
      <c r="J1975" s="71" t="str">
        <f>IF(OR(I1975=0,I1975=""),"unrated",VLOOKUP(I1975,MappingTables!$B$19:$C$31,2,FALSE))</f>
        <v>unrated</v>
      </c>
      <c r="K1975" s="72">
        <v>1619.3883238544406</v>
      </c>
      <c r="L1975" s="70">
        <v>9.8745547705999088</v>
      </c>
      <c r="M1975" s="71">
        <f>IF(L1975&lt;1,1,L1975)</f>
        <v>9.8745547705999088</v>
      </c>
      <c r="N1975" s="70" t="s">
        <v>3288</v>
      </c>
      <c r="O1975" s="71">
        <f>IF(OR(I1975=$A$1,I1975=0),"",IF(N1975=MappingTables!$C$14,VLOOKUP(J1975,ModelParameters!$M$8:$N$15,2,FALSE),IF(N1975=MappingTables!$C$16,VLOOKUP(J1975,ModelParameters!$P$8:$Q$15,2,FALSE),0)))</f>
        <v>1</v>
      </c>
      <c r="P1975" s="73">
        <f>IF(OR(I1975=0,I1975=$A$1),0,MIN(O1975*M1975,1)*K1975)</f>
        <v>1619.3883238544406</v>
      </c>
      <c r="Q1975" s="73">
        <f>IF(B1975="",0,IF(OR(H1975=MappingTables!$C$34,H1975=MappingTables!$C$35),P1975,0))</f>
        <v>0</v>
      </c>
      <c r="R1975" s="73">
        <f>IF(ISNA(IF(AND(VLOOKUP(CONCATENATE($D1975,$G1975),CSRFinput!$B:$E,4,0)=0,OR(H1975=MappingTables!$C$31,H1975=MappingTables!$C$32)),1,VLOOKUP(CONCATENATE($D1975,$G1975),CSRFinput!$B:$E,4,0))),0,IF(AND(VLOOKUP(CONCATENATE($D1975,$G1975),CSRFinput!$B:$E,4,0)=0,OR(H1975=MappingTables!$C$31,H1975=MappingTables!$C$32)),1,VLOOKUP(CONCATENATE($D1975,$G1975),CSRFinput!$B:$E,4,0)))</f>
        <v>0.054776304963434752</v>
      </c>
      <c r="S1975" s="73">
        <f>IF(B1975="",0,P1975*R1975)</f>
        <v>88.704108681676288</v>
      </c>
      <c r="T1975" s="85">
        <f>IF(B1975="",0,IF(OR(H1975=MappingTables!$C$34,H1975=MappingTables!$C$35),S1975,0))</f>
        <v>0</v>
      </c>
    </row>
    <row r="1976" spans="2:20" s="0" customFormat="0" ht="15">
      <c r="B1976" s="69" t="s">
        <v>3394</v>
      </c>
      <c r="C1976" s="70" t="s">
        <v>3395</v>
      </c>
      <c r="D1976" s="70" t="s">
        <v>1</v>
      </c>
      <c r="E1976" s="70" t="s">
        <v>1</v>
      </c>
      <c r="F1976" s="70"/>
      <c r="G1976" s="70" t="s">
        <v>61</v>
      </c>
      <c r="H1976" s="70" t="s">
        <v>178</v>
      </c>
      <c r="I1976" s="70" t="s">
        <v>198</v>
      </c>
      <c r="J1976" s="71" t="str">
        <f>IF(OR(I1976=0,I1976=""),"unrated",VLOOKUP(I1976,MappingTables!$B$19:$C$31,2,FALSE))</f>
        <v>unrated</v>
      </c>
      <c r="K1976" s="72">
        <v>178.33042389595918</v>
      </c>
      <c r="L1976" s="70">
        <v>0.068492034167229096</v>
      </c>
      <c r="M1976" s="71">
        <f>IF(L1976&lt;1,1,L1976)</f>
        <v>1</v>
      </c>
      <c r="N1976" s="70" t="s">
        <v>3288</v>
      </c>
      <c r="O1976" s="71">
        <f>IF(OR(I1976=$A$1,I1976=0),"",IF(N1976=MappingTables!$C$14,VLOOKUP(J1976,ModelParameters!$M$8:$N$15,2,FALSE),IF(N1976=MappingTables!$C$16,VLOOKUP(J1976,ModelParameters!$P$8:$Q$15,2,FALSE),0)))</f>
        <v>1</v>
      </c>
      <c r="P1976" s="73">
        <f>IF(OR(I1976=0,I1976=$A$1),0,MIN(O1976*M1976,1)*K1976)</f>
        <v>178.33042389595918</v>
      </c>
      <c r="Q1976" s="73">
        <f>IF(B1976="",0,IF(OR(H1976=MappingTables!$C$34,H1976=MappingTables!$C$35),P1976,0))</f>
        <v>0</v>
      </c>
      <c r="R1976" s="73">
        <f>IF(ISNA(IF(AND(VLOOKUP(CONCATENATE($D1976,$G1976),CSRFinput!$B:$E,4,0)=0,OR(H1976=MappingTables!$C$31,H1976=MappingTables!$C$32)),1,VLOOKUP(CONCATENATE($D1976,$G1976),CSRFinput!$B:$E,4,0))),0,IF(AND(VLOOKUP(CONCATENATE($D1976,$G1976),CSRFinput!$B:$E,4,0)=0,OR(H1976=MappingTables!$C$31,H1976=MappingTables!$C$32)),1,VLOOKUP(CONCATENATE($D1976,$G1976),CSRFinput!$B:$E,4,0)))</f>
        <v>0.054776304963434752</v>
      </c>
      <c r="S1976" s="73">
        <f>IF(B1976="",0,P1976*R1976)</f>
        <v>9.7682816835836512</v>
      </c>
      <c r="T1976" s="85">
        <f>IF(B1976="",0,IF(OR(H1976=MappingTables!$C$34,H1976=MappingTables!$C$35),S1976,0))</f>
        <v>0</v>
      </c>
    </row>
    <row r="1977" spans="2:20" s="0" customFormat="0" ht="15">
      <c r="B1977" s="69" t="s">
        <v>4923</v>
      </c>
      <c r="C1977" s="70" t="s">
        <v>4924</v>
      </c>
      <c r="D1977" s="70" t="s">
        <v>1</v>
      </c>
      <c r="E1977" s="70" t="s">
        <v>1</v>
      </c>
      <c r="F1977" s="70"/>
      <c r="G1977" s="70" t="s">
        <v>61</v>
      </c>
      <c r="H1977" s="70" t="s">
        <v>178</v>
      </c>
      <c r="I1977" s="70" t="s">
        <v>198</v>
      </c>
      <c r="J1977" s="71" t="str">
        <f>IF(OR(I1977=0,I1977=""),"unrated",VLOOKUP(I1977,MappingTables!$B$19:$C$31,2,FALSE))</f>
        <v>unrated</v>
      </c>
      <c r="K1977" s="72">
        <v>0.1213315391189499</v>
      </c>
      <c r="L1977" s="70">
        <v>8.573387047980928</v>
      </c>
      <c r="M1977" s="71">
        <f>IF(L1977&lt;1,1,L1977)</f>
        <v>8.573387047980928</v>
      </c>
      <c r="N1977" s="70" t="s">
        <v>3288</v>
      </c>
      <c r="O1977" s="71">
        <f>IF(OR(I1977=$A$1,I1977=0),"",IF(N1977=MappingTables!$C$14,VLOOKUP(J1977,ModelParameters!$M$8:$N$15,2,FALSE),IF(N1977=MappingTables!$C$16,VLOOKUP(J1977,ModelParameters!$P$8:$Q$15,2,FALSE),0)))</f>
        <v>1</v>
      </c>
      <c r="P1977" s="73">
        <f>IF(OR(I1977=0,I1977=$A$1),0,MIN(O1977*M1977,1)*K1977)</f>
        <v>0.1213315391189499</v>
      </c>
      <c r="Q1977" s="73">
        <f>IF(B1977="",0,IF(OR(H1977=MappingTables!$C$34,H1977=MappingTables!$C$35),P1977,0))</f>
        <v>0</v>
      </c>
      <c r="R1977" s="73">
        <f>IF(ISNA(IF(AND(VLOOKUP(CONCATENATE($D1977,$G1977),CSRFinput!$B:$E,4,0)=0,OR(H1977=MappingTables!$C$31,H1977=MappingTables!$C$32)),1,VLOOKUP(CONCATENATE($D1977,$G1977),CSRFinput!$B:$E,4,0))),0,IF(AND(VLOOKUP(CONCATENATE($D1977,$G1977),CSRFinput!$B:$E,4,0)=0,OR(H1977=MappingTables!$C$31,H1977=MappingTables!$C$32)),1,VLOOKUP(CONCATENATE($D1977,$G1977),CSRFinput!$B:$E,4,0)))</f>
        <v>0.054776304963434752</v>
      </c>
      <c r="S1977" s="73">
        <f>IF(B1977="",0,P1977*R1977)</f>
        <v>0.0066460933884625128</v>
      </c>
      <c r="T1977" s="85">
        <f>IF(B1977="",0,IF(OR(H1977=MappingTables!$C$34,H1977=MappingTables!$C$35),S1977,0))</f>
        <v>0</v>
      </c>
    </row>
    <row r="1978" spans="2:20" s="0" customFormat="0" ht="15">
      <c r="B1978" s="69" t="s">
        <v>3374</v>
      </c>
      <c r="C1978" s="70" t="s">
        <v>3375</v>
      </c>
      <c r="D1978" s="70" t="s">
        <v>1</v>
      </c>
      <c r="E1978" s="70" t="s">
        <v>1</v>
      </c>
      <c r="F1978" s="70"/>
      <c r="G1978" s="70" t="s">
        <v>61</v>
      </c>
      <c r="H1978" s="70" t="s">
        <v>178</v>
      </c>
      <c r="I1978" s="70" t="s">
        <v>216</v>
      </c>
      <c r="J1978" s="71">
        <f>IF(OR(I1978=0,I1978=""),"unrated",VLOOKUP(I1978,MappingTables!$B$19:$C$31,2,FALSE))</f>
        <v>0</v>
      </c>
      <c r="K1978" s="72">
        <v>6720.6555659926544</v>
      </c>
      <c r="L1978" s="70">
        <v>0.060272669639857488</v>
      </c>
      <c r="M1978" s="71">
        <f>IF(L1978&lt;1,1,L1978)</f>
        <v>1</v>
      </c>
      <c r="N1978" s="70" t="s">
        <v>3288</v>
      </c>
      <c r="O1978" s="71">
        <f>IF(OR(I1978=$A$1,I1978=0),"",IF(N1978=MappingTables!$C$14,VLOOKUP(J1978,ModelParameters!$M$8:$N$15,2,FALSE),IF(N1978=MappingTables!$C$16,VLOOKUP(J1978,ModelParameters!$P$8:$Q$15,2,FALSE),0)))</f>
        <v>0.125</v>
      </c>
      <c r="P1978" s="73">
        <f>IF(OR(I1978=0,I1978=$A$1),0,MIN(O1978*M1978,1)*K1978)</f>
        <v>840.08194574908176</v>
      </c>
      <c r="Q1978" s="73">
        <f>IF(B1978="",0,IF(OR(H1978=MappingTables!$C$34,H1978=MappingTables!$C$35),P1978,0))</f>
        <v>0</v>
      </c>
      <c r="R1978" s="73">
        <f>IF(ISNA(IF(AND(VLOOKUP(CONCATENATE($D1978,$G1978),CSRFinput!$B:$E,4,0)=0,OR(H1978=MappingTables!$C$31,H1978=MappingTables!$C$32)),1,VLOOKUP(CONCATENATE($D1978,$G1978),CSRFinput!$B:$E,4,0))),0,IF(AND(VLOOKUP(CONCATENATE($D1978,$G1978),CSRFinput!$B:$E,4,0)=0,OR(H1978=MappingTables!$C$31,H1978=MappingTables!$C$32)),1,VLOOKUP(CONCATENATE($D1978,$G1978),CSRFinput!$B:$E,4,0)))</f>
        <v>0.054776304963434752</v>
      </c>
      <c r="S1978" s="73">
        <f>IF(B1978="",0,P1978*R1978)</f>
        <v>46.016584854627352</v>
      </c>
      <c r="T1978" s="85">
        <f>IF(B1978="",0,IF(OR(H1978=MappingTables!$C$34,H1978=MappingTables!$C$35),S1978,0))</f>
        <v>0</v>
      </c>
    </row>
    <row r="1979" spans="2:20" s="0" customFormat="0" ht="15">
      <c r="B1979" s="69">
        <v>22623665</v>
      </c>
      <c r="C1979" s="70" t="s">
        <v>5200</v>
      </c>
      <c r="D1979" s="70" t="s">
        <v>1</v>
      </c>
      <c r="E1979" s="70" t="s">
        <v>1</v>
      </c>
      <c r="F1979" s="70"/>
      <c r="G1979" s="70" t="s">
        <v>61</v>
      </c>
      <c r="H1979" s="70" t="s">
        <v>178</v>
      </c>
      <c r="I1979" s="70" t="s">
        <v>216</v>
      </c>
      <c r="J1979" s="71">
        <f>IF(OR(I1979=0,I1979=""),"unrated",VLOOKUP(I1979,MappingTables!$B$19:$C$31,2,FALSE))</f>
        <v>0</v>
      </c>
      <c r="K1979" s="72">
        <v>456.90943649778928</v>
      </c>
      <c r="L1979" s="70">
        <v>0.04086935799652764</v>
      </c>
      <c r="M1979" s="71">
        <f>IF(L1979&lt;1,1,L1979)</f>
        <v>1</v>
      </c>
      <c r="N1979" s="70" t="s">
        <v>3288</v>
      </c>
      <c r="O1979" s="71">
        <f>IF(OR(I1979=$A$1,I1979=0),"",IF(N1979=MappingTables!$C$14,VLOOKUP(J1979,ModelParameters!$M$8:$N$15,2,FALSE),IF(N1979=MappingTables!$C$16,VLOOKUP(J1979,ModelParameters!$P$8:$Q$15,2,FALSE),0)))</f>
        <v>0.125</v>
      </c>
      <c r="P1979" s="73">
        <f>IF(OR(I1979=0,I1979=$A$1),0,MIN(O1979*M1979,1)*K1979)</f>
        <v>57.113679562223656</v>
      </c>
      <c r="Q1979" s="73">
        <f>IF(B1979="",0,IF(OR(H1979=MappingTables!$C$34,H1979=MappingTables!$C$35),P1979,0))</f>
        <v>0</v>
      </c>
      <c r="R1979" s="73">
        <f>IF(ISNA(IF(AND(VLOOKUP(CONCATENATE($D1979,$G1979),CSRFinput!$B:$E,4,0)=0,OR(H1979=MappingTables!$C$31,H1979=MappingTables!$C$32)),1,VLOOKUP(CONCATENATE($D1979,$G1979),CSRFinput!$B:$E,4,0))),0,IF(AND(VLOOKUP(CONCATENATE($D1979,$G1979),CSRFinput!$B:$E,4,0)=0,OR(H1979=MappingTables!$C$31,H1979=MappingTables!$C$32)),1,VLOOKUP(CONCATENATE($D1979,$G1979),CSRFinput!$B:$E,4,0)))</f>
        <v>0.054776304963434752</v>
      </c>
      <c r="S1979" s="73">
        <f>IF(B1979="",0,P1979*R1979)</f>
        <v>3.1284763292842536</v>
      </c>
      <c r="T1979" s="85">
        <f>IF(B1979="",0,IF(OR(H1979=MappingTables!$C$34,H1979=MappingTables!$C$35),S1979,0))</f>
        <v>0</v>
      </c>
    </row>
    <row r="1980" spans="2:20" s="0" customFormat="0" ht="15">
      <c r="B1980" s="69" t="s">
        <v>3717</v>
      </c>
      <c r="C1980" s="70" t="s">
        <v>3718</v>
      </c>
      <c r="D1980" s="70" t="s">
        <v>1</v>
      </c>
      <c r="E1980" s="70" t="s">
        <v>1</v>
      </c>
      <c r="F1980" s="70"/>
      <c r="G1980" s="70" t="s">
        <v>61</v>
      </c>
      <c r="H1980" s="70" t="s">
        <v>178</v>
      </c>
      <c r="I1980" s="70" t="s">
        <v>216</v>
      </c>
      <c r="J1980" s="71">
        <f>IF(OR(I1980=0,I1980=""),"unrated",VLOOKUP(I1980,MappingTables!$B$19:$C$31,2,FALSE))</f>
        <v>0</v>
      </c>
      <c r="K1980" s="72">
        <v>42.465993443729584</v>
      </c>
      <c r="L1980" s="70">
        <v>0.041096763869398112</v>
      </c>
      <c r="M1980" s="71">
        <f>IF(L1980&lt;1,1,L1980)</f>
        <v>1</v>
      </c>
      <c r="N1980" s="70" t="s">
        <v>3288</v>
      </c>
      <c r="O1980" s="71">
        <f>IF(OR(I1980=$A$1,I1980=0),"",IF(N1980=MappingTables!$C$14,VLOOKUP(J1980,ModelParameters!$M$8:$N$15,2,FALSE),IF(N1980=MappingTables!$C$16,VLOOKUP(J1980,ModelParameters!$P$8:$Q$15,2,FALSE),0)))</f>
        <v>0.125</v>
      </c>
      <c r="P1980" s="73">
        <f>IF(OR(I1980=0,I1980=$A$1),0,MIN(O1980*M1980,1)*K1980)</f>
        <v>5.3082491804661984</v>
      </c>
      <c r="Q1980" s="73">
        <f>IF(B1980="",0,IF(OR(H1980=MappingTables!$C$34,H1980=MappingTables!$C$35),P1980,0))</f>
        <v>0</v>
      </c>
      <c r="R1980" s="73">
        <f>IF(ISNA(IF(AND(VLOOKUP(CONCATENATE($D1980,$G1980),CSRFinput!$B:$E,4,0)=0,OR(H1980=MappingTables!$C$31,H1980=MappingTables!$C$32)),1,VLOOKUP(CONCATENATE($D1980,$G1980),CSRFinput!$B:$E,4,0))),0,IF(AND(VLOOKUP(CONCATENATE($D1980,$G1980),CSRFinput!$B:$E,4,0)=0,OR(H1980=MappingTables!$C$31,H1980=MappingTables!$C$32)),1,VLOOKUP(CONCATENATE($D1980,$G1980),CSRFinput!$B:$E,4,0)))</f>
        <v>0.054776304963434752</v>
      </c>
      <c r="S1980" s="73">
        <f>IF(B1980="",0,P1980*R1980)</f>
        <v>0.29076627593111908</v>
      </c>
      <c r="T1980" s="85">
        <f>IF(B1980="",0,IF(OR(H1980=MappingTables!$C$34,H1980=MappingTables!$C$35),S1980,0))</f>
        <v>0</v>
      </c>
    </row>
    <row r="1981" spans="2:20" s="0" customFormat="0" ht="15">
      <c r="B1981" s="69">
        <v>813656</v>
      </c>
      <c r="C1981" s="70" t="s">
        <v>5182</v>
      </c>
      <c r="D1981" s="70" t="s">
        <v>1</v>
      </c>
      <c r="E1981" s="70" t="s">
        <v>1</v>
      </c>
      <c r="F1981" s="70"/>
      <c r="G1981" s="70" t="s">
        <v>61</v>
      </c>
      <c r="H1981" s="70" t="s">
        <v>178</v>
      </c>
      <c r="I1981" s="70" t="s">
        <v>198</v>
      </c>
      <c r="J1981" s="71" t="str">
        <f>IF(OR(I1981=0,I1981=""),"unrated",VLOOKUP(I1981,MappingTables!$B$19:$C$31,2,FALSE))</f>
        <v>unrated</v>
      </c>
      <c r="K1981" s="72">
        <v>10.184300946063846</v>
      </c>
      <c r="L1981" s="70">
        <v>0.068490000773241192</v>
      </c>
      <c r="M1981" s="71">
        <f>IF(L1981&lt;1,1,L1981)</f>
        <v>1</v>
      </c>
      <c r="N1981" s="70" t="s">
        <v>3288</v>
      </c>
      <c r="O1981" s="71">
        <f>IF(OR(I1981=$A$1,I1981=0),"",IF(N1981=MappingTables!$C$14,VLOOKUP(J1981,ModelParameters!$M$8:$N$15,2,FALSE),IF(N1981=MappingTables!$C$16,VLOOKUP(J1981,ModelParameters!$P$8:$Q$15,2,FALSE),0)))</f>
        <v>1</v>
      </c>
      <c r="P1981" s="73">
        <f>IF(OR(I1981=0,I1981=$A$1),0,MIN(O1981*M1981,1)*K1981)</f>
        <v>10.184300946063846</v>
      </c>
      <c r="Q1981" s="73">
        <f>IF(B1981="",0,IF(OR(H1981=MappingTables!$C$34,H1981=MappingTables!$C$35),P1981,0))</f>
        <v>0</v>
      </c>
      <c r="R1981" s="73">
        <f>IF(ISNA(IF(AND(VLOOKUP(CONCATENATE($D1981,$G1981),CSRFinput!$B:$E,4,0)=0,OR(H1981=MappingTables!$C$31,H1981=MappingTables!$C$32)),1,VLOOKUP(CONCATENATE($D1981,$G1981),CSRFinput!$B:$E,4,0))),0,IF(AND(VLOOKUP(CONCATENATE($D1981,$G1981),CSRFinput!$B:$E,4,0)=0,OR(H1981=MappingTables!$C$31,H1981=MappingTables!$C$32)),1,VLOOKUP(CONCATENATE($D1981,$G1981),CSRFinput!$B:$E,4,0)))</f>
        <v>0.054776304963434752</v>
      </c>
      <c r="S1981" s="73">
        <f>IF(B1981="",0,P1981*R1981)</f>
        <v>0.55785837446099032</v>
      </c>
      <c r="T1981" s="85">
        <f>IF(B1981="",0,IF(OR(H1981=MappingTables!$C$34,H1981=MappingTables!$C$35),S1981,0))</f>
        <v>0</v>
      </c>
    </row>
    <row r="1982" spans="2:20" s="0" customFormat="0" ht="15">
      <c r="B1982" s="69" t="s">
        <v>4346</v>
      </c>
      <c r="C1982" s="70" t="s">
        <v>4347</v>
      </c>
      <c r="D1982" s="70" t="s">
        <v>1</v>
      </c>
      <c r="E1982" s="70" t="s">
        <v>1</v>
      </c>
      <c r="F1982" s="70"/>
      <c r="G1982" s="70" t="s">
        <v>61</v>
      </c>
      <c r="H1982" s="70" t="s">
        <v>178</v>
      </c>
      <c r="I1982" s="70" t="s">
        <v>3298</v>
      </c>
      <c r="J1982" s="71">
        <f>IF(OR(I1982=0,I1982=""),"unrated",VLOOKUP(I1982,MappingTables!$B$19:$C$31,2,FALSE))</f>
        <v>6</v>
      </c>
      <c r="K1982" s="72">
        <v>372.32449141905296</v>
      </c>
      <c r="L1982" s="70">
        <v>0.068493380815243408</v>
      </c>
      <c r="M1982" s="71">
        <f>IF(L1982&lt;1,1,L1982)</f>
        <v>1</v>
      </c>
      <c r="N1982" s="70" t="s">
        <v>3288</v>
      </c>
      <c r="O1982" s="71">
        <f>IF(OR(I1982=$A$1,I1982=0),"",IF(N1982=MappingTables!$C$14,VLOOKUP(J1982,ModelParameters!$M$8:$N$15,2,FALSE),IF(N1982=MappingTables!$C$16,VLOOKUP(J1982,ModelParameters!$P$8:$Q$15,2,FALSE),0)))</f>
        <v>1</v>
      </c>
      <c r="P1982" s="73">
        <f>IF(OR(I1982=0,I1982=$A$1),0,MIN(O1982*M1982,1)*K1982)</f>
        <v>372.32449141905296</v>
      </c>
      <c r="Q1982" s="73">
        <f>IF(B1982="",0,IF(OR(H1982=MappingTables!$C$34,H1982=MappingTables!$C$35),P1982,0))</f>
        <v>0</v>
      </c>
      <c r="R1982" s="73">
        <f>IF(ISNA(IF(AND(VLOOKUP(CONCATENATE($D1982,$G1982),CSRFinput!$B:$E,4,0)=0,OR(H1982=MappingTables!$C$31,H1982=MappingTables!$C$32)),1,VLOOKUP(CONCATENATE($D1982,$G1982),CSRFinput!$B:$E,4,0))),0,IF(AND(VLOOKUP(CONCATENATE($D1982,$G1982),CSRFinput!$B:$E,4,0)=0,OR(H1982=MappingTables!$C$31,H1982=MappingTables!$C$32)),1,VLOOKUP(CONCATENATE($D1982,$G1982),CSRFinput!$B:$E,4,0)))</f>
        <v>0.054776304963434752</v>
      </c>
      <c r="S1982" s="73">
        <f>IF(B1982="",0,P1982*R1982)</f>
        <v>20.394559887325792</v>
      </c>
      <c r="T1982" s="85">
        <f>IF(B1982="",0,IF(OR(H1982=MappingTables!$C$34,H1982=MappingTables!$C$35),S1982,0))</f>
        <v>0</v>
      </c>
    </row>
    <row r="1983" spans="2:20" s="0" customFormat="0" ht="15">
      <c r="B1983" s="69" t="s">
        <v>3616</v>
      </c>
      <c r="C1983" s="70" t="s">
        <v>3617</v>
      </c>
      <c r="D1983" s="70" t="s">
        <v>1</v>
      </c>
      <c r="E1983" s="70" t="s">
        <v>1</v>
      </c>
      <c r="F1983" s="70"/>
      <c r="G1983" s="70" t="s">
        <v>61</v>
      </c>
      <c r="H1983" s="70" t="s">
        <v>178</v>
      </c>
      <c r="I1983" s="70" t="s">
        <v>204</v>
      </c>
      <c r="J1983" s="71">
        <f>IF(OR(I1983=0,I1983=""),"unrated",VLOOKUP(I1983,MappingTables!$B$19:$C$31,2,FALSE))</f>
        <v>6</v>
      </c>
      <c r="K1983" s="72">
        <v>211.03721118663176</v>
      </c>
      <c r="L1983" s="70">
        <v>0.05205655169453756</v>
      </c>
      <c r="M1983" s="71">
        <f>IF(L1983&lt;1,1,L1983)</f>
        <v>1</v>
      </c>
      <c r="N1983" s="70" t="s">
        <v>3288</v>
      </c>
      <c r="O1983" s="71">
        <f>IF(OR(I1983=$A$1,I1983=0),"",IF(N1983=MappingTables!$C$14,VLOOKUP(J1983,ModelParameters!$M$8:$N$15,2,FALSE),IF(N1983=MappingTables!$C$16,VLOOKUP(J1983,ModelParameters!$P$8:$Q$15,2,FALSE),0)))</f>
        <v>1</v>
      </c>
      <c r="P1983" s="73">
        <f>IF(OR(I1983=0,I1983=$A$1),0,MIN(O1983*M1983,1)*K1983)</f>
        <v>211.03721118663176</v>
      </c>
      <c r="Q1983" s="73">
        <f>IF(B1983="",0,IF(OR(H1983=MappingTables!$C$34,H1983=MappingTables!$C$35),P1983,0))</f>
        <v>0</v>
      </c>
      <c r="R1983" s="73">
        <f>IF(ISNA(IF(AND(VLOOKUP(CONCATENATE($D1983,$G1983),CSRFinput!$B:$E,4,0)=0,OR(H1983=MappingTables!$C$31,H1983=MappingTables!$C$32)),1,VLOOKUP(CONCATENATE($D1983,$G1983),CSRFinput!$B:$E,4,0))),0,IF(AND(VLOOKUP(CONCATENATE($D1983,$G1983),CSRFinput!$B:$E,4,0)=0,OR(H1983=MappingTables!$C$31,H1983=MappingTables!$C$32)),1,VLOOKUP(CONCATENATE($D1983,$G1983),CSRFinput!$B:$E,4,0)))</f>
        <v>0.054776304963434752</v>
      </c>
      <c r="S1983" s="73">
        <f>IF(B1983="",0,P1983*R1983)</f>
        <v>11.559838638591726</v>
      </c>
      <c r="T1983" s="85">
        <f>IF(B1983="",0,IF(OR(H1983=MappingTables!$C$34,H1983=MappingTables!$C$35),S1983,0))</f>
        <v>0</v>
      </c>
    </row>
    <row r="1984" spans="2:20" s="0" customFormat="0" ht="15">
      <c r="B1984" s="69" t="s">
        <v>4998</v>
      </c>
      <c r="C1984" s="70" t="s">
        <v>4999</v>
      </c>
      <c r="D1984" s="70" t="s">
        <v>1</v>
      </c>
      <c r="E1984" s="70" t="s">
        <v>1</v>
      </c>
      <c r="F1984" s="70"/>
      <c r="G1984" s="70" t="s">
        <v>61</v>
      </c>
      <c r="H1984" s="70" t="s">
        <v>178</v>
      </c>
      <c r="I1984" s="70" t="s">
        <v>198</v>
      </c>
      <c r="J1984" s="71" t="str">
        <f>IF(OR(I1984=0,I1984=""),"unrated",VLOOKUP(I1984,MappingTables!$B$19:$C$31,2,FALSE))</f>
        <v>unrated</v>
      </c>
      <c r="K1984" s="72">
        <v>8.4354178580511104</v>
      </c>
      <c r="L1984" s="70">
        <v>25.7464698475045</v>
      </c>
      <c r="M1984" s="71">
        <f>IF(L1984&lt;1,1,L1984)</f>
        <v>25.7464698475045</v>
      </c>
      <c r="N1984" s="70" t="s">
        <v>3288</v>
      </c>
      <c r="O1984" s="71">
        <f>IF(OR(I1984=$A$1,I1984=0),"",IF(N1984=MappingTables!$C$14,VLOOKUP(J1984,ModelParameters!$M$8:$N$15,2,FALSE),IF(N1984=MappingTables!$C$16,VLOOKUP(J1984,ModelParameters!$P$8:$Q$15,2,FALSE),0)))</f>
        <v>1</v>
      </c>
      <c r="P1984" s="73">
        <f>IF(OR(I1984=0,I1984=$A$1),0,MIN(O1984*M1984,1)*K1984)</f>
        <v>8.4354178580511104</v>
      </c>
      <c r="Q1984" s="73">
        <f>IF(B1984="",0,IF(OR(H1984=MappingTables!$C$34,H1984=MappingTables!$C$35),P1984,0))</f>
        <v>0</v>
      </c>
      <c r="R1984" s="73">
        <f>IF(ISNA(IF(AND(VLOOKUP(CONCATENATE($D1984,$G1984),CSRFinput!$B:$E,4,0)=0,OR(H1984=MappingTables!$C$31,H1984=MappingTables!$C$32)),1,VLOOKUP(CONCATENATE($D1984,$G1984),CSRFinput!$B:$E,4,0))),0,IF(AND(VLOOKUP(CONCATENATE($D1984,$G1984),CSRFinput!$B:$E,4,0)=0,OR(H1984=MappingTables!$C$31,H1984=MappingTables!$C$32)),1,VLOOKUP(CONCATENATE($D1984,$G1984),CSRFinput!$B:$E,4,0)))</f>
        <v>0.054776304963434752</v>
      </c>
      <c r="S1984" s="73">
        <f>IF(B1984="",0,P1984*R1984)</f>
        <v>0.4620610210866112</v>
      </c>
      <c r="T1984" s="85">
        <f>IF(B1984="",0,IF(OR(H1984=MappingTables!$C$34,H1984=MappingTables!$C$35),S1984,0))</f>
        <v>0</v>
      </c>
    </row>
    <row r="1985" spans="2:20" s="0" customFormat="0" ht="15">
      <c r="B1985" s="69" t="s">
        <v>5185</v>
      </c>
      <c r="C1985" s="70" t="s">
        <v>5186</v>
      </c>
      <c r="D1985" s="70" t="s">
        <v>1</v>
      </c>
      <c r="E1985" s="70" t="s">
        <v>1</v>
      </c>
      <c r="F1985" s="70"/>
      <c r="G1985" s="70" t="s">
        <v>61</v>
      </c>
      <c r="H1985" s="70" t="s">
        <v>178</v>
      </c>
      <c r="I1985" s="70" t="s">
        <v>3291</v>
      </c>
      <c r="J1985" s="71">
        <f>IF(OR(I1985=0,I1985=""),"unrated",VLOOKUP(I1985,MappingTables!$B$19:$C$31,2,FALSE))</f>
        <v>6</v>
      </c>
      <c r="K1985" s="72">
        <v>16.404993865533996</v>
      </c>
      <c r="L1985" s="70">
        <v>0.068493844533014216</v>
      </c>
      <c r="M1985" s="71">
        <f>IF(L1985&lt;1,1,L1985)</f>
        <v>1</v>
      </c>
      <c r="N1985" s="70" t="s">
        <v>3288</v>
      </c>
      <c r="O1985" s="71">
        <f>IF(OR(I1985=$A$1,I1985=0),"",IF(N1985=MappingTables!$C$14,VLOOKUP(J1985,ModelParameters!$M$8:$N$15,2,FALSE),IF(N1985=MappingTables!$C$16,VLOOKUP(J1985,ModelParameters!$P$8:$Q$15,2,FALSE),0)))</f>
        <v>1</v>
      </c>
      <c r="P1985" s="73">
        <f>IF(OR(I1985=0,I1985=$A$1),0,MIN(O1985*M1985,1)*K1985)</f>
        <v>16.404993865533996</v>
      </c>
      <c r="Q1985" s="73">
        <f>IF(B1985="",0,IF(OR(H1985=MappingTables!$C$34,H1985=MappingTables!$C$35),P1985,0))</f>
        <v>0</v>
      </c>
      <c r="R1985" s="73">
        <f>IF(ISNA(IF(AND(VLOOKUP(CONCATENATE($D1985,$G1985),CSRFinput!$B:$E,4,0)=0,OR(H1985=MappingTables!$C$31,H1985=MappingTables!$C$32)),1,VLOOKUP(CONCATENATE($D1985,$G1985),CSRFinput!$B:$E,4,0))),0,IF(AND(VLOOKUP(CONCATENATE($D1985,$G1985),CSRFinput!$B:$E,4,0)=0,OR(H1985=MappingTables!$C$31,H1985=MappingTables!$C$32)),1,VLOOKUP(CONCATENATE($D1985,$G1985),CSRFinput!$B:$E,4,0)))</f>
        <v>0.054776304963434752</v>
      </c>
      <c r="S1985" s="73">
        <f>IF(B1985="",0,P1985*R1985)</f>
        <v>0.89860494690176656</v>
      </c>
      <c r="T1985" s="85">
        <f>IF(B1985="",0,IF(OR(H1985=MappingTables!$C$34,H1985=MappingTables!$C$35),S1985,0))</f>
        <v>0</v>
      </c>
    </row>
    <row r="1986" spans="2:20" s="0" customFormat="0" ht="15">
      <c r="B1986" s="69" t="s">
        <v>4988</v>
      </c>
      <c r="C1986" s="70" t="s">
        <v>4989</v>
      </c>
      <c r="D1986" s="70" t="s">
        <v>1</v>
      </c>
      <c r="E1986" s="70" t="s">
        <v>1</v>
      </c>
      <c r="F1986" s="70"/>
      <c r="G1986" s="70" t="s">
        <v>61</v>
      </c>
      <c r="H1986" s="70" t="s">
        <v>178</v>
      </c>
      <c r="I1986" s="70" t="s">
        <v>198</v>
      </c>
      <c r="J1986" s="71" t="str">
        <f>IF(OR(I1986=0,I1986=""),"unrated",VLOOKUP(I1986,MappingTables!$B$19:$C$31,2,FALSE))</f>
        <v>unrated</v>
      </c>
      <c r="K1986" s="72">
        <v>3.3079980344809684</v>
      </c>
      <c r="L1986" s="70">
        <v>4.1436532250270784</v>
      </c>
      <c r="M1986" s="71">
        <f>IF(L1986&lt;1,1,L1986)</f>
        <v>4.1436532250270784</v>
      </c>
      <c r="N1986" s="70" t="s">
        <v>3288</v>
      </c>
      <c r="O1986" s="71">
        <f>IF(OR(I1986=$A$1,I1986=0),"",IF(N1986=MappingTables!$C$14,VLOOKUP(J1986,ModelParameters!$M$8:$N$15,2,FALSE),IF(N1986=MappingTables!$C$16,VLOOKUP(J1986,ModelParameters!$P$8:$Q$15,2,FALSE),0)))</f>
        <v>1</v>
      </c>
      <c r="P1986" s="73">
        <f>IF(OR(I1986=0,I1986=$A$1),0,MIN(O1986*M1986,1)*K1986)</f>
        <v>3.3079980344809684</v>
      </c>
      <c r="Q1986" s="73">
        <f>IF(B1986="",0,IF(OR(H1986=MappingTables!$C$34,H1986=MappingTables!$C$35),P1986,0))</f>
        <v>0</v>
      </c>
      <c r="R1986" s="73">
        <f>IF(ISNA(IF(AND(VLOOKUP(CONCATENATE($D1986,$G1986),CSRFinput!$B:$E,4,0)=0,OR(H1986=MappingTables!$C$31,H1986=MappingTables!$C$32)),1,VLOOKUP(CONCATENATE($D1986,$G1986),CSRFinput!$B:$E,4,0))),0,IF(AND(VLOOKUP(CONCATENATE($D1986,$G1986),CSRFinput!$B:$E,4,0)=0,OR(H1986=MappingTables!$C$31,H1986=MappingTables!$C$32)),1,VLOOKUP(CONCATENATE($D1986,$G1986),CSRFinput!$B:$E,4,0)))</f>
        <v>0.054776304963434752</v>
      </c>
      <c r="S1986" s="73">
        <f>IF(B1986="",0,P1986*R1986)</f>
        <v>0.18119990915517228</v>
      </c>
      <c r="T1986" s="85">
        <f>IF(B1986="",0,IF(OR(H1986=MappingTables!$C$34,H1986=MappingTables!$C$35),S1986,0))</f>
        <v>0</v>
      </c>
    </row>
    <row r="1987" spans="2:20" s="0" customFormat="0" ht="15">
      <c r="B1987" s="69" t="s">
        <v>3627</v>
      </c>
      <c r="C1987" s="70" t="s">
        <v>3628</v>
      </c>
      <c r="D1987" s="70" t="s">
        <v>1</v>
      </c>
      <c r="E1987" s="70" t="s">
        <v>1</v>
      </c>
      <c r="F1987" s="70"/>
      <c r="G1987" s="70" t="s">
        <v>61</v>
      </c>
      <c r="H1987" s="70" t="s">
        <v>178</v>
      </c>
      <c r="I1987" s="70" t="s">
        <v>198</v>
      </c>
      <c r="J1987" s="71" t="str">
        <f>IF(OR(I1987=0,I1987=""),"unrated",VLOOKUP(I1987,MappingTables!$B$19:$C$31,2,FALSE))</f>
        <v>unrated</v>
      </c>
      <c r="K1987" s="72">
        <v>133.93776772224182</v>
      </c>
      <c r="L1987" s="70">
        <v>0.068490565100195896</v>
      </c>
      <c r="M1987" s="71">
        <f>IF(L1987&lt;1,1,L1987)</f>
        <v>1</v>
      </c>
      <c r="N1987" s="70" t="s">
        <v>3288</v>
      </c>
      <c r="O1987" s="71">
        <f>IF(OR(I1987=$A$1,I1987=0),"",IF(N1987=MappingTables!$C$14,VLOOKUP(J1987,ModelParameters!$M$8:$N$15,2,FALSE),IF(N1987=MappingTables!$C$16,VLOOKUP(J1987,ModelParameters!$P$8:$Q$15,2,FALSE),0)))</f>
        <v>1</v>
      </c>
      <c r="P1987" s="73">
        <f>IF(OR(I1987=0,I1987=$A$1),0,MIN(O1987*M1987,1)*K1987)</f>
        <v>133.93776772224182</v>
      </c>
      <c r="Q1987" s="73">
        <f>IF(B1987="",0,IF(OR(H1987=MappingTables!$C$34,H1987=MappingTables!$C$35),P1987,0))</f>
        <v>0</v>
      </c>
      <c r="R1987" s="73">
        <f>IF(ISNA(IF(AND(VLOOKUP(CONCATENATE($D1987,$G1987),CSRFinput!$B:$E,4,0)=0,OR(H1987=MappingTables!$C$31,H1987=MappingTables!$C$32)),1,VLOOKUP(CONCATENATE($D1987,$G1987),CSRFinput!$B:$E,4,0))),0,IF(AND(VLOOKUP(CONCATENATE($D1987,$G1987),CSRFinput!$B:$E,4,0)=0,OR(H1987=MappingTables!$C$31,H1987=MappingTables!$C$32)),1,VLOOKUP(CONCATENATE($D1987,$G1987),CSRFinput!$B:$E,4,0)))</f>
        <v>0.054776304963434752</v>
      </c>
      <c r="S1987" s="73">
        <f>IF(B1987="",0,P1987*R1987)</f>
        <v>7.3366160108752064</v>
      </c>
      <c r="T1987" s="85">
        <f>IF(B1987="",0,IF(OR(H1987=MappingTables!$C$34,H1987=MappingTables!$C$35),S1987,0))</f>
        <v>0</v>
      </c>
    </row>
    <row r="1988" spans="2:20" s="0" customFormat="0" ht="15">
      <c r="B1988" s="69" t="s">
        <v>5180</v>
      </c>
      <c r="C1988" s="70" t="s">
        <v>5181</v>
      </c>
      <c r="D1988" s="70" t="s">
        <v>1</v>
      </c>
      <c r="E1988" s="70" t="s">
        <v>1</v>
      </c>
      <c r="F1988" s="70"/>
      <c r="G1988" s="70" t="s">
        <v>61</v>
      </c>
      <c r="H1988" s="70" t="s">
        <v>178</v>
      </c>
      <c r="I1988" s="70" t="s">
        <v>198</v>
      </c>
      <c r="J1988" s="71" t="str">
        <f>IF(OR(I1988=0,I1988=""),"unrated",VLOOKUP(I1988,MappingTables!$B$19:$C$31,2,FALSE))</f>
        <v>unrated</v>
      </c>
      <c r="K1988" s="72">
        <v>688.83298684572728</v>
      </c>
      <c r="L1988" s="70">
        <v>0.06849297479502392</v>
      </c>
      <c r="M1988" s="71">
        <f>IF(L1988&lt;1,1,L1988)</f>
        <v>1</v>
      </c>
      <c r="N1988" s="70" t="s">
        <v>3288</v>
      </c>
      <c r="O1988" s="71">
        <f>IF(OR(I1988=$A$1,I1988=0),"",IF(N1988=MappingTables!$C$14,VLOOKUP(J1988,ModelParameters!$M$8:$N$15,2,FALSE),IF(N1988=MappingTables!$C$16,VLOOKUP(J1988,ModelParameters!$P$8:$Q$15,2,FALSE),0)))</f>
        <v>1</v>
      </c>
      <c r="P1988" s="73">
        <f>IF(OR(I1988=0,I1988=$A$1),0,MIN(O1988*M1988,1)*K1988)</f>
        <v>688.83298684572728</v>
      </c>
      <c r="Q1988" s="73">
        <f>IF(B1988="",0,IF(OR(H1988=MappingTables!$C$34,H1988=MappingTables!$C$35),P1988,0))</f>
        <v>0</v>
      </c>
      <c r="R1988" s="73">
        <f>IF(ISNA(IF(AND(VLOOKUP(CONCATENATE($D1988,$G1988),CSRFinput!$B:$E,4,0)=0,OR(H1988=MappingTables!$C$31,H1988=MappingTables!$C$32)),1,VLOOKUP(CONCATENATE($D1988,$G1988),CSRFinput!$B:$E,4,0))),0,IF(AND(VLOOKUP(CONCATENATE($D1988,$G1988),CSRFinput!$B:$E,4,0)=0,OR(H1988=MappingTables!$C$31,H1988=MappingTables!$C$32)),1,VLOOKUP(CONCATENATE($D1988,$G1988),CSRFinput!$B:$E,4,0)))</f>
        <v>0.054776304963434752</v>
      </c>
      <c r="S1988" s="73">
        <f>IF(B1988="",0,P1988*R1988)</f>
        <v>37.7317257563352</v>
      </c>
      <c r="T1988" s="85">
        <f>IF(B1988="",0,IF(OR(H1988=MappingTables!$C$34,H1988=MappingTables!$C$35),S1988,0))</f>
        <v>0</v>
      </c>
    </row>
    <row r="1989" spans="2:20" s="0" customFormat="0" ht="15">
      <c r="B1989" s="69">
        <v>22623672</v>
      </c>
      <c r="C1989" s="70" t="s">
        <v>3520</v>
      </c>
      <c r="D1989" s="70" t="s">
        <v>1</v>
      </c>
      <c r="E1989" s="70" t="s">
        <v>1</v>
      </c>
      <c r="F1989" s="70"/>
      <c r="G1989" s="70" t="s">
        <v>61</v>
      </c>
      <c r="H1989" s="70" t="s">
        <v>178</v>
      </c>
      <c r="I1989" s="70" t="s">
        <v>3291</v>
      </c>
      <c r="J1989" s="71">
        <f>IF(OR(I1989=0,I1989=""),"unrated",VLOOKUP(I1989,MappingTables!$B$19:$C$31,2,FALSE))</f>
        <v>6</v>
      </c>
      <c r="K1989" s="72">
        <v>3445.7883419615224</v>
      </c>
      <c r="L1989" s="70">
        <v>0.068491115395298048</v>
      </c>
      <c r="M1989" s="71">
        <f>IF(L1989&lt;1,1,L1989)</f>
        <v>1</v>
      </c>
      <c r="N1989" s="70" t="s">
        <v>3288</v>
      </c>
      <c r="O1989" s="71">
        <f>IF(OR(I1989=$A$1,I1989=0),"",IF(N1989=MappingTables!$C$14,VLOOKUP(J1989,ModelParameters!$M$8:$N$15,2,FALSE),IF(N1989=MappingTables!$C$16,VLOOKUP(J1989,ModelParameters!$P$8:$Q$15,2,FALSE),0)))</f>
        <v>1</v>
      </c>
      <c r="P1989" s="73">
        <f>IF(OR(I1989=0,I1989=$A$1),0,MIN(O1989*M1989,1)*K1989)</f>
        <v>3445.7883419615224</v>
      </c>
      <c r="Q1989" s="73">
        <f>IF(B1989="",0,IF(OR(H1989=MappingTables!$C$34,H1989=MappingTables!$C$35),P1989,0))</f>
        <v>0</v>
      </c>
      <c r="R1989" s="73">
        <f>IF(ISNA(IF(AND(VLOOKUP(CONCATENATE($D1989,$G1989),CSRFinput!$B:$E,4,0)=0,OR(H1989=MappingTables!$C$31,H1989=MappingTables!$C$32)),1,VLOOKUP(CONCATENATE($D1989,$G1989),CSRFinput!$B:$E,4,0))),0,IF(AND(VLOOKUP(CONCATENATE($D1989,$G1989),CSRFinput!$B:$E,4,0)=0,OR(H1989=MappingTables!$C$31,H1989=MappingTables!$C$32)),1,VLOOKUP(CONCATENATE($D1989,$G1989),CSRFinput!$B:$E,4,0)))</f>
        <v>0.054776304963434752</v>
      </c>
      <c r="S1989" s="73">
        <f>IF(B1989="",0,P1989*R1989)</f>
        <v>188.74755305873252</v>
      </c>
      <c r="T1989" s="85">
        <f>IF(B1989="",0,IF(OR(H1989=MappingTables!$C$34,H1989=MappingTables!$C$35),S1989,0))</f>
        <v>0</v>
      </c>
    </row>
    <row r="1990" spans="2:20" s="0" customFormat="0" ht="15">
      <c r="B1990" s="69" t="s">
        <v>4089</v>
      </c>
      <c r="C1990" s="70" t="s">
        <v>4090</v>
      </c>
      <c r="D1990" s="70" t="s">
        <v>1</v>
      </c>
      <c r="E1990" s="70" t="s">
        <v>1</v>
      </c>
      <c r="F1990" s="70"/>
      <c r="G1990" s="70" t="s">
        <v>61</v>
      </c>
      <c r="H1990" s="70" t="s">
        <v>178</v>
      </c>
      <c r="I1990" s="70" t="s">
        <v>216</v>
      </c>
      <c r="J1990" s="71">
        <f>IF(OR(I1990=0,I1990=""),"unrated",VLOOKUP(I1990,MappingTables!$B$19:$C$31,2,FALSE))</f>
        <v>0</v>
      </c>
      <c r="K1990" s="72">
        <v>341.61423037387328</v>
      </c>
      <c r="L1990" s="70">
        <v>0.057531777303823464</v>
      </c>
      <c r="M1990" s="71">
        <f>IF(L1990&lt;1,1,L1990)</f>
        <v>1</v>
      </c>
      <c r="N1990" s="70" t="s">
        <v>3288</v>
      </c>
      <c r="O1990" s="71">
        <f>IF(OR(I1990=$A$1,I1990=0),"",IF(N1990=MappingTables!$C$14,VLOOKUP(J1990,ModelParameters!$M$8:$N$15,2,FALSE),IF(N1990=MappingTables!$C$16,VLOOKUP(J1990,ModelParameters!$P$8:$Q$15,2,FALSE),0)))</f>
        <v>0.125</v>
      </c>
      <c r="P1990" s="73">
        <f>IF(OR(I1990=0,I1990=$A$1),0,MIN(O1990*M1990,1)*K1990)</f>
        <v>42.70177879673416</v>
      </c>
      <c r="Q1990" s="73">
        <f>IF(B1990="",0,IF(OR(H1990=MappingTables!$C$34,H1990=MappingTables!$C$35),P1990,0))</f>
        <v>0</v>
      </c>
      <c r="R1990" s="73">
        <f>IF(ISNA(IF(AND(VLOOKUP(CONCATENATE($D1990,$G1990),CSRFinput!$B:$E,4,0)=0,OR(H1990=MappingTables!$C$31,H1990=MappingTables!$C$32)),1,VLOOKUP(CONCATENATE($D1990,$G1990),CSRFinput!$B:$E,4,0))),0,IF(AND(VLOOKUP(CONCATENATE($D1990,$G1990),CSRFinput!$B:$E,4,0)=0,OR(H1990=MappingTables!$C$31,H1990=MappingTables!$C$32)),1,VLOOKUP(CONCATENATE($D1990,$G1990),CSRFinput!$B:$E,4,0)))</f>
        <v>0.054776304963434752</v>
      </c>
      <c r="S1990" s="73">
        <f>IF(B1990="",0,P1990*R1990)</f>
        <v>2.339045657851042</v>
      </c>
      <c r="T1990" s="85">
        <f>IF(B1990="",0,IF(OR(H1990=MappingTables!$C$34,H1990=MappingTables!$C$35),S1990,0))</f>
        <v>0</v>
      </c>
    </row>
    <row r="1991" spans="2:20" s="0" customFormat="0" ht="15">
      <c r="B1991" s="69" t="s">
        <v>4979</v>
      </c>
      <c r="C1991" s="70" t="s">
        <v>4980</v>
      </c>
      <c r="D1991" s="70" t="s">
        <v>1</v>
      </c>
      <c r="E1991" s="70" t="s">
        <v>1</v>
      </c>
      <c r="F1991" s="70"/>
      <c r="G1991" s="70" t="s">
        <v>61</v>
      </c>
      <c r="H1991" s="70" t="s">
        <v>178</v>
      </c>
      <c r="I1991" s="70" t="s">
        <v>198</v>
      </c>
      <c r="J1991" s="71" t="str">
        <f>IF(OR(I1991=0,I1991=""),"unrated",VLOOKUP(I1991,MappingTables!$B$19:$C$31,2,FALSE))</f>
        <v>unrated</v>
      </c>
      <c r="K1991" s="72">
        <v>60015.920854252184</v>
      </c>
      <c r="L1991" s="70">
        <v>3.7570506214805216</v>
      </c>
      <c r="M1991" s="71">
        <f>IF(L1991&lt;1,1,L1991)</f>
        <v>3.7570506214805216</v>
      </c>
      <c r="N1991" s="70" t="s">
        <v>3288</v>
      </c>
      <c r="O1991" s="71">
        <f>IF(OR(I1991=$A$1,I1991=0),"",IF(N1991=MappingTables!$C$14,VLOOKUP(J1991,ModelParameters!$M$8:$N$15,2,FALSE),IF(N1991=MappingTables!$C$16,VLOOKUP(J1991,ModelParameters!$P$8:$Q$15,2,FALSE),0)))</f>
        <v>1</v>
      </c>
      <c r="P1991" s="73">
        <f>IF(OR(I1991=0,I1991=$A$1),0,MIN(O1991*M1991,1)*K1991)</f>
        <v>60015.920854252184</v>
      </c>
      <c r="Q1991" s="73">
        <f>IF(B1991="",0,IF(OR(H1991=MappingTables!$C$34,H1991=MappingTables!$C$35),P1991,0))</f>
        <v>0</v>
      </c>
      <c r="R1991" s="73">
        <f>IF(ISNA(IF(AND(VLOOKUP(CONCATENATE($D1991,$G1991),CSRFinput!$B:$E,4,0)=0,OR(H1991=MappingTables!$C$31,H1991=MappingTables!$C$32)),1,VLOOKUP(CONCATENATE($D1991,$G1991),CSRFinput!$B:$E,4,0))),0,IF(AND(VLOOKUP(CONCATENATE($D1991,$G1991),CSRFinput!$B:$E,4,0)=0,OR(H1991=MappingTables!$C$31,H1991=MappingTables!$C$32)),1,VLOOKUP(CONCATENATE($D1991,$G1991),CSRFinput!$B:$E,4,0)))</f>
        <v>0.054776304963434752</v>
      </c>
      <c r="S1991" s="73">
        <f>IF(B1991="",0,P1991*R1991)</f>
        <v>3287.4503833738808</v>
      </c>
      <c r="T1991" s="85">
        <f>IF(B1991="",0,IF(OR(H1991=MappingTables!$C$34,H1991=MappingTables!$C$35),S1991,0))</f>
        <v>0</v>
      </c>
    </row>
    <row r="1992" spans="2:20" s="0" customFormat="0" ht="15">
      <c r="B1992" s="69">
        <v>6759856</v>
      </c>
      <c r="C1992" s="70" t="s">
        <v>4941</v>
      </c>
      <c r="D1992" s="70" t="s">
        <v>1</v>
      </c>
      <c r="E1992" s="70" t="s">
        <v>1</v>
      </c>
      <c r="F1992" s="70"/>
      <c r="G1992" s="70" t="s">
        <v>61</v>
      </c>
      <c r="H1992" s="70" t="s">
        <v>178</v>
      </c>
      <c r="I1992" s="70" t="s">
        <v>198</v>
      </c>
      <c r="J1992" s="71" t="str">
        <f>IF(OR(I1992=0,I1992=""),"unrated",VLOOKUP(I1992,MappingTables!$B$19:$C$31,2,FALSE))</f>
        <v>unrated</v>
      </c>
      <c r="K1992" s="72">
        <v>45.809424206512864</v>
      </c>
      <c r="L1992" s="70">
        <v>0.068494514330348576</v>
      </c>
      <c r="M1992" s="71">
        <f>IF(L1992&lt;1,1,L1992)</f>
        <v>1</v>
      </c>
      <c r="N1992" s="70" t="s">
        <v>3288</v>
      </c>
      <c r="O1992" s="71">
        <f>IF(OR(I1992=$A$1,I1992=0),"",IF(N1992=MappingTables!$C$14,VLOOKUP(J1992,ModelParameters!$M$8:$N$15,2,FALSE),IF(N1992=MappingTables!$C$16,VLOOKUP(J1992,ModelParameters!$P$8:$Q$15,2,FALSE),0)))</f>
        <v>1</v>
      </c>
      <c r="P1992" s="73">
        <f>IF(OR(I1992=0,I1992=$A$1),0,MIN(O1992*M1992,1)*K1992)</f>
        <v>45.809424206512864</v>
      </c>
      <c r="Q1992" s="73">
        <f>IF(B1992="",0,IF(OR(H1992=MappingTables!$C$34,H1992=MappingTables!$C$35),P1992,0))</f>
        <v>0</v>
      </c>
      <c r="R1992" s="73">
        <f>IF(ISNA(IF(AND(VLOOKUP(CONCATENATE($D1992,$G1992),CSRFinput!$B:$E,4,0)=0,OR(H1992=MappingTables!$C$31,H1992=MappingTables!$C$32)),1,VLOOKUP(CONCATENATE($D1992,$G1992),CSRFinput!$B:$E,4,0))),0,IF(AND(VLOOKUP(CONCATENATE($D1992,$G1992),CSRFinput!$B:$E,4,0)=0,OR(H1992=MappingTables!$C$31,H1992=MappingTables!$C$32)),1,VLOOKUP(CONCATENATE($D1992,$G1992),CSRFinput!$B:$E,4,0)))</f>
        <v>0.054776304963434752</v>
      </c>
      <c r="S1992" s="73">
        <f>IF(B1992="",0,P1992*R1992)</f>
        <v>2.5092709905352992</v>
      </c>
      <c r="T1992" s="85">
        <f>IF(B1992="",0,IF(OR(H1992=MappingTables!$C$34,H1992=MappingTables!$C$35),S1992,0))</f>
        <v>0</v>
      </c>
    </row>
    <row r="1993" spans="2:20" s="0" customFormat="0" ht="15">
      <c r="B1993" s="69">
        <v>22623659</v>
      </c>
      <c r="C1993" s="70" t="s">
        <v>4061</v>
      </c>
      <c r="D1993" s="70" t="s">
        <v>1</v>
      </c>
      <c r="E1993" s="70" t="s">
        <v>1</v>
      </c>
      <c r="F1993" s="70"/>
      <c r="G1993" s="70" t="s">
        <v>61</v>
      </c>
      <c r="H1993" s="70" t="s">
        <v>178</v>
      </c>
      <c r="I1993" s="70" t="s">
        <v>184</v>
      </c>
      <c r="J1993" s="71">
        <f>IF(OR(I1993=0,I1993=""),"unrated",VLOOKUP(I1993,MappingTables!$B$19:$C$31,2,FALSE))</f>
        <v>5</v>
      </c>
      <c r="K1993" s="72">
        <v>106.85134741716666</v>
      </c>
      <c r="L1993" s="70">
        <v>0.068489866510507968</v>
      </c>
      <c r="M1993" s="71">
        <f>IF(L1993&lt;1,1,L1993)</f>
        <v>1</v>
      </c>
      <c r="N1993" s="70" t="s">
        <v>3288</v>
      </c>
      <c r="O1993" s="71">
        <f>IF(OR(I1993=$A$1,I1993=0),"",IF(N1993=MappingTables!$C$14,VLOOKUP(J1993,ModelParameters!$M$8:$N$15,2,FALSE),IF(N1993=MappingTables!$C$16,VLOOKUP(J1993,ModelParameters!$P$8:$Q$15,2,FALSE),0)))</f>
        <v>1</v>
      </c>
      <c r="P1993" s="73">
        <f>IF(OR(I1993=0,I1993=$A$1),0,MIN(O1993*M1993,1)*K1993)</f>
        <v>106.85134741716666</v>
      </c>
      <c r="Q1993" s="73">
        <f>IF(B1993="",0,IF(OR(H1993=MappingTables!$C$34,H1993=MappingTables!$C$35),P1993,0))</f>
        <v>0</v>
      </c>
      <c r="R1993" s="73">
        <f>IF(ISNA(IF(AND(VLOOKUP(CONCATENATE($D1993,$G1993),CSRFinput!$B:$E,4,0)=0,OR(H1993=MappingTables!$C$31,H1993=MappingTables!$C$32)),1,VLOOKUP(CONCATENATE($D1993,$G1993),CSRFinput!$B:$E,4,0))),0,IF(AND(VLOOKUP(CONCATENATE($D1993,$G1993),CSRFinput!$B:$E,4,0)=0,OR(H1993=MappingTables!$C$31,H1993=MappingTables!$C$32)),1,VLOOKUP(CONCATENATE($D1993,$G1993),CSRFinput!$B:$E,4,0)))</f>
        <v>0.054776304963434752</v>
      </c>
      <c r="S1993" s="73">
        <f>IF(B1993="",0,P1993*R1993)</f>
        <v>5.8529219918766376</v>
      </c>
      <c r="T1993" s="85">
        <f>IF(B1993="",0,IF(OR(H1993=MappingTables!$C$34,H1993=MappingTables!$C$35),S1993,0))</f>
        <v>0</v>
      </c>
    </row>
    <row r="1994" spans="2:20" s="0" customFormat="0" ht="15">
      <c r="B1994" s="69" t="s">
        <v>3313</v>
      </c>
      <c r="C1994" s="70" t="s">
        <v>3314</v>
      </c>
      <c r="D1994" s="70" t="s">
        <v>1</v>
      </c>
      <c r="E1994" s="70" t="s">
        <v>1</v>
      </c>
      <c r="F1994" s="70"/>
      <c r="G1994" s="70" t="s">
        <v>61</v>
      </c>
      <c r="H1994" s="70" t="s">
        <v>178</v>
      </c>
      <c r="I1994" s="70" t="s">
        <v>198</v>
      </c>
      <c r="J1994" s="71" t="str">
        <f>IF(OR(I1994=0,I1994=""),"unrated",VLOOKUP(I1994,MappingTables!$B$19:$C$31,2,FALSE))</f>
        <v>unrated</v>
      </c>
      <c r="K1994" s="72">
        <v>13.258501774698752</v>
      </c>
      <c r="L1994" s="70">
        <v>0.15442959927838634</v>
      </c>
      <c r="M1994" s="71">
        <f>IF(L1994&lt;1,1,L1994)</f>
        <v>1</v>
      </c>
      <c r="N1994" s="70" t="s">
        <v>3288</v>
      </c>
      <c r="O1994" s="71">
        <f>IF(OR(I1994=$A$1,I1994=0),"",IF(N1994=MappingTables!$C$14,VLOOKUP(J1994,ModelParameters!$M$8:$N$15,2,FALSE),IF(N1994=MappingTables!$C$16,VLOOKUP(J1994,ModelParameters!$P$8:$Q$15,2,FALSE),0)))</f>
        <v>1</v>
      </c>
      <c r="P1994" s="73">
        <f>IF(OR(I1994=0,I1994=$A$1),0,MIN(O1994*M1994,1)*K1994)</f>
        <v>13.258501774698752</v>
      </c>
      <c r="Q1994" s="73">
        <f>IF(B1994="",0,IF(OR(H1994=MappingTables!$C$34,H1994=MappingTables!$C$35),P1994,0))</f>
        <v>0</v>
      </c>
      <c r="R1994" s="73">
        <f>IF(ISNA(IF(AND(VLOOKUP(CONCATENATE($D1994,$G1994),CSRFinput!$B:$E,4,0)=0,OR(H1994=MappingTables!$C$31,H1994=MappingTables!$C$32)),1,VLOOKUP(CONCATENATE($D1994,$G1994),CSRFinput!$B:$E,4,0))),0,IF(AND(VLOOKUP(CONCATENATE($D1994,$G1994),CSRFinput!$B:$E,4,0)=0,OR(H1994=MappingTables!$C$31,H1994=MappingTables!$C$32)),1,VLOOKUP(CONCATENATE($D1994,$G1994),CSRFinput!$B:$E,4,0)))</f>
        <v>0.054776304963434752</v>
      </c>
      <c r="S1994" s="73">
        <f>IF(B1994="",0,P1994*R1994)</f>
        <v>0.72625173656913984</v>
      </c>
      <c r="T1994" s="85">
        <f>IF(B1994="",0,IF(OR(H1994=MappingTables!$C$34,H1994=MappingTables!$C$35),S1994,0))</f>
        <v>0</v>
      </c>
    </row>
    <row r="1995" spans="2:20" s="0" customFormat="0" ht="15">
      <c r="B1995" s="69" t="s">
        <v>4289</v>
      </c>
      <c r="C1995" s="70" t="s">
        <v>4290</v>
      </c>
      <c r="D1995" s="70" t="s">
        <v>1</v>
      </c>
      <c r="E1995" s="70" t="s">
        <v>1</v>
      </c>
      <c r="F1995" s="70"/>
      <c r="G1995" s="70" t="s">
        <v>61</v>
      </c>
      <c r="H1995" s="70" t="s">
        <v>178</v>
      </c>
      <c r="I1995" s="70" t="s">
        <v>3298</v>
      </c>
      <c r="J1995" s="71">
        <f>IF(OR(I1995=0,I1995=""),"unrated",VLOOKUP(I1995,MappingTables!$B$19:$C$31,2,FALSE))</f>
        <v>6</v>
      </c>
      <c r="K1995" s="72">
        <v>254.40308209116952</v>
      </c>
      <c r="L1995" s="70">
        <v>0.06850943689716332</v>
      </c>
      <c r="M1995" s="71">
        <f>IF(L1995&lt;1,1,L1995)</f>
        <v>1</v>
      </c>
      <c r="N1995" s="70" t="s">
        <v>3288</v>
      </c>
      <c r="O1995" s="71">
        <f>IF(OR(I1995=$A$1,I1995=0),"",IF(N1995=MappingTables!$C$14,VLOOKUP(J1995,ModelParameters!$M$8:$N$15,2,FALSE),IF(N1995=MappingTables!$C$16,VLOOKUP(J1995,ModelParameters!$P$8:$Q$15,2,FALSE),0)))</f>
        <v>1</v>
      </c>
      <c r="P1995" s="73">
        <f>IF(OR(I1995=0,I1995=$A$1),0,MIN(O1995*M1995,1)*K1995)</f>
        <v>254.40308209116952</v>
      </c>
      <c r="Q1995" s="73">
        <f>IF(B1995="",0,IF(OR(H1995=MappingTables!$C$34,H1995=MappingTables!$C$35),P1995,0))</f>
        <v>0</v>
      </c>
      <c r="R1995" s="73">
        <f>IF(ISNA(IF(AND(VLOOKUP(CONCATENATE($D1995,$G1995),CSRFinput!$B:$E,4,0)=0,OR(H1995=MappingTables!$C$31,H1995=MappingTables!$C$32)),1,VLOOKUP(CONCATENATE($D1995,$G1995),CSRFinput!$B:$E,4,0))),0,IF(AND(VLOOKUP(CONCATENATE($D1995,$G1995),CSRFinput!$B:$E,4,0)=0,OR(H1995=MappingTables!$C$31,H1995=MappingTables!$C$32)),1,VLOOKUP(CONCATENATE($D1995,$G1995),CSRFinput!$B:$E,4,0)))</f>
        <v>0.054776304963434752</v>
      </c>
      <c r="S1995" s="73">
        <f>IF(B1995="",0,P1995*R1995)</f>
        <v>13.935260808263628</v>
      </c>
      <c r="T1995" s="85">
        <f>IF(B1995="",0,IF(OR(H1995=MappingTables!$C$34,H1995=MappingTables!$C$35),S1995,0))</f>
        <v>0</v>
      </c>
    </row>
    <row r="1996" spans="2:20" s="0" customFormat="0" ht="15">
      <c r="B1996" s="69" t="s">
        <v>5011</v>
      </c>
      <c r="C1996" s="70" t="s">
        <v>5012</v>
      </c>
      <c r="D1996" s="70" t="s">
        <v>1</v>
      </c>
      <c r="E1996" s="70" t="s">
        <v>1</v>
      </c>
      <c r="F1996" s="70"/>
      <c r="G1996" s="70" t="s">
        <v>61</v>
      </c>
      <c r="H1996" s="70" t="s">
        <v>178</v>
      </c>
      <c r="I1996" s="70" t="s">
        <v>198</v>
      </c>
      <c r="J1996" s="71" t="str">
        <f>IF(OR(I1996=0,I1996=""),"unrated",VLOOKUP(I1996,MappingTables!$B$19:$C$31,2,FALSE))</f>
        <v>unrated</v>
      </c>
      <c r="K1996" s="72">
        <v>300.20862975942636</v>
      </c>
      <c r="L1996" s="70">
        <v>0.06849194433201948</v>
      </c>
      <c r="M1996" s="71">
        <f>IF(L1996&lt;1,1,L1996)</f>
        <v>1</v>
      </c>
      <c r="N1996" s="70" t="s">
        <v>3288</v>
      </c>
      <c r="O1996" s="71">
        <f>IF(OR(I1996=$A$1,I1996=0),"",IF(N1996=MappingTables!$C$14,VLOOKUP(J1996,ModelParameters!$M$8:$N$15,2,FALSE),IF(N1996=MappingTables!$C$16,VLOOKUP(J1996,ModelParameters!$P$8:$Q$15,2,FALSE),0)))</f>
        <v>1</v>
      </c>
      <c r="P1996" s="73">
        <f>IF(OR(I1996=0,I1996=$A$1),0,MIN(O1996*M1996,1)*K1996)</f>
        <v>300.20862975942636</v>
      </c>
      <c r="Q1996" s="73">
        <f>IF(B1996="",0,IF(OR(H1996=MappingTables!$C$34,H1996=MappingTables!$C$35),P1996,0))</f>
        <v>0</v>
      </c>
      <c r="R1996" s="73">
        <f>IF(ISNA(IF(AND(VLOOKUP(CONCATENATE($D1996,$G1996),CSRFinput!$B:$E,4,0)=0,OR(H1996=MappingTables!$C$31,H1996=MappingTables!$C$32)),1,VLOOKUP(CONCATENATE($D1996,$G1996),CSRFinput!$B:$E,4,0))),0,IF(AND(VLOOKUP(CONCATENATE($D1996,$G1996),CSRFinput!$B:$E,4,0)=0,OR(H1996=MappingTables!$C$31,H1996=MappingTables!$C$32)),1,VLOOKUP(CONCATENATE($D1996,$G1996),CSRFinput!$B:$E,4,0)))</f>
        <v>0.054776304963434752</v>
      </c>
      <c r="S1996" s="73">
        <f>IF(B1996="",0,P1996*R1996)</f>
        <v>16.44431945635721</v>
      </c>
      <c r="T1996" s="85">
        <f>IF(B1996="",0,IF(OR(H1996=MappingTables!$C$34,H1996=MappingTables!$C$35),S1996,0))</f>
        <v>0</v>
      </c>
    </row>
    <row r="1997" spans="2:20" s="0" customFormat="0" ht="15">
      <c r="B1997" s="69" t="s">
        <v>3511</v>
      </c>
      <c r="C1997" s="70" t="s">
        <v>3512</v>
      </c>
      <c r="D1997" s="70" t="s">
        <v>1</v>
      </c>
      <c r="E1997" s="70" t="s">
        <v>1</v>
      </c>
      <c r="F1997" s="70"/>
      <c r="G1997" s="70" t="s">
        <v>61</v>
      </c>
      <c r="H1997" s="70" t="s">
        <v>178</v>
      </c>
      <c r="I1997" s="70" t="s">
        <v>198</v>
      </c>
      <c r="J1997" s="71" t="str">
        <f>IF(OR(I1997=0,I1997=""),"unrated",VLOOKUP(I1997,MappingTables!$B$19:$C$31,2,FALSE))</f>
        <v>unrated</v>
      </c>
      <c r="K1997" s="72">
        <v>1028.9786955521606</v>
      </c>
      <c r="L1997" s="70">
        <v>9.2834269296228176</v>
      </c>
      <c r="M1997" s="71">
        <f>IF(L1997&lt;1,1,L1997)</f>
        <v>9.2834269296228176</v>
      </c>
      <c r="N1997" s="70" t="s">
        <v>3288</v>
      </c>
      <c r="O1997" s="71">
        <f>IF(OR(I1997=$A$1,I1997=0),"",IF(N1997=MappingTables!$C$14,VLOOKUP(J1997,ModelParameters!$M$8:$N$15,2,FALSE),IF(N1997=MappingTables!$C$16,VLOOKUP(J1997,ModelParameters!$P$8:$Q$15,2,FALSE),0)))</f>
        <v>1</v>
      </c>
      <c r="P1997" s="73">
        <f>IF(OR(I1997=0,I1997=$A$1),0,MIN(O1997*M1997,1)*K1997)</f>
        <v>1028.9786955521606</v>
      </c>
      <c r="Q1997" s="73">
        <f>IF(B1997="",0,IF(OR(H1997=MappingTables!$C$34,H1997=MappingTables!$C$35),P1997,0))</f>
        <v>0</v>
      </c>
      <c r="R1997" s="73">
        <f>IF(ISNA(IF(AND(VLOOKUP(CONCATENATE($D1997,$G1997),CSRFinput!$B:$E,4,0)=0,OR(H1997=MappingTables!$C$31,H1997=MappingTables!$C$32)),1,VLOOKUP(CONCATENATE($D1997,$G1997),CSRFinput!$B:$E,4,0))),0,IF(AND(VLOOKUP(CONCATENATE($D1997,$G1997),CSRFinput!$B:$E,4,0)=0,OR(H1997=MappingTables!$C$31,H1997=MappingTables!$C$32)),1,VLOOKUP(CONCATENATE($D1997,$G1997),CSRFinput!$B:$E,4,0)))</f>
        <v>0.054776304963434752</v>
      </c>
      <c r="S1997" s="73">
        <f>IF(B1997="",0,P1997*R1997)</f>
        <v>56.363650828442432</v>
      </c>
      <c r="T1997" s="85">
        <f>IF(B1997="",0,IF(OR(H1997=MappingTables!$C$34,H1997=MappingTables!$C$35),S1997,0))</f>
        <v>0</v>
      </c>
    </row>
    <row r="1998" spans="2:20" s="0" customFormat="0" ht="15">
      <c r="B1998" s="69" t="s">
        <v>5201</v>
      </c>
      <c r="C1998" s="70" t="s">
        <v>5202</v>
      </c>
      <c r="D1998" s="70" t="s">
        <v>1</v>
      </c>
      <c r="E1998" s="70" t="s">
        <v>1</v>
      </c>
      <c r="F1998" s="70"/>
      <c r="G1998" s="70" t="s">
        <v>61</v>
      </c>
      <c r="H1998" s="70" t="s">
        <v>178</v>
      </c>
      <c r="I1998" s="70" t="s">
        <v>198</v>
      </c>
      <c r="J1998" s="71" t="str">
        <f>IF(OR(I1998=0,I1998=""),"unrated",VLOOKUP(I1998,MappingTables!$B$19:$C$31,2,FALSE))</f>
        <v>unrated</v>
      </c>
      <c r="K1998" s="72">
        <v>1.724940046781861</v>
      </c>
      <c r="L1998" s="70">
        <v>3.9801378204581728</v>
      </c>
      <c r="M1998" s="71">
        <f>IF(L1998&lt;1,1,L1998)</f>
        <v>3.9801378204581728</v>
      </c>
      <c r="N1998" s="70" t="s">
        <v>3288</v>
      </c>
      <c r="O1998" s="71">
        <f>IF(OR(I1998=$A$1,I1998=0),"",IF(N1998=MappingTables!$C$14,VLOOKUP(J1998,ModelParameters!$M$8:$N$15,2,FALSE),IF(N1998=MappingTables!$C$16,VLOOKUP(J1998,ModelParameters!$P$8:$Q$15,2,FALSE),0)))</f>
        <v>1</v>
      </c>
      <c r="P1998" s="73">
        <f>IF(OR(I1998=0,I1998=$A$1),0,MIN(O1998*M1998,1)*K1998)</f>
        <v>1.724940046781861</v>
      </c>
      <c r="Q1998" s="73">
        <f>IF(B1998="",0,IF(OR(H1998=MappingTables!$C$34,H1998=MappingTables!$C$35),P1998,0))</f>
        <v>0</v>
      </c>
      <c r="R1998" s="73">
        <f>IF(ISNA(IF(AND(VLOOKUP(CONCATENATE($D1998,$G1998),CSRFinput!$B:$E,4,0)=0,OR(H1998=MappingTables!$C$31,H1998=MappingTables!$C$32)),1,VLOOKUP(CONCATENATE($D1998,$G1998),CSRFinput!$B:$E,4,0))),0,IF(AND(VLOOKUP(CONCATENATE($D1998,$G1998),CSRFinput!$B:$E,4,0)=0,OR(H1998=MappingTables!$C$31,H1998=MappingTables!$C$32)),1,VLOOKUP(CONCATENATE($D1998,$G1998),CSRFinput!$B:$E,4,0)))</f>
        <v>0.054776304963434752</v>
      </c>
      <c r="S1998" s="73">
        <f>IF(B1998="",0,P1998*R1998)</f>
        <v>0.094485842046164624</v>
      </c>
      <c r="T1998" s="85">
        <f>IF(B1998="",0,IF(OR(H1998=MappingTables!$C$34,H1998=MappingTables!$C$35),S1998,0))</f>
        <v>0</v>
      </c>
    </row>
    <row r="1999" spans="2:20" s="0" customFormat="0" ht="15">
      <c r="B1999" s="69" t="s">
        <v>4559</v>
      </c>
      <c r="C1999" s="70" t="s">
        <v>4560</v>
      </c>
      <c r="D1999" s="70" t="s">
        <v>1</v>
      </c>
      <c r="E1999" s="70" t="s">
        <v>1</v>
      </c>
      <c r="F1999" s="70"/>
      <c r="G1999" s="70" t="s">
        <v>61</v>
      </c>
      <c r="H1999" s="70" t="s">
        <v>178</v>
      </c>
      <c r="I1999" s="70" t="s">
        <v>3298</v>
      </c>
      <c r="J1999" s="71">
        <f>IF(OR(I1999=0,I1999=""),"unrated",VLOOKUP(I1999,MappingTables!$B$19:$C$31,2,FALSE))</f>
        <v>6</v>
      </c>
      <c r="K1999" s="72">
        <v>149.78406515145732</v>
      </c>
      <c r="L1999" s="70">
        <v>-1.0494051574004488</v>
      </c>
      <c r="M1999" s="71">
        <f>IF(L1999&lt;1,1,L1999)</f>
        <v>1</v>
      </c>
      <c r="N1999" s="70" t="s">
        <v>3288</v>
      </c>
      <c r="O1999" s="71">
        <f>IF(OR(I1999=$A$1,I1999=0),"",IF(N1999=MappingTables!$C$14,VLOOKUP(J1999,ModelParameters!$M$8:$N$15,2,FALSE),IF(N1999=MappingTables!$C$16,VLOOKUP(J1999,ModelParameters!$P$8:$Q$15,2,FALSE),0)))</f>
        <v>1</v>
      </c>
      <c r="P1999" s="73">
        <f>IF(OR(I1999=0,I1999=$A$1),0,MIN(O1999*M1999,1)*K1999)</f>
        <v>149.78406515145732</v>
      </c>
      <c r="Q1999" s="73">
        <f>IF(B1999="",0,IF(OR(H1999=MappingTables!$C$34,H1999=MappingTables!$C$35),P1999,0))</f>
        <v>0</v>
      </c>
      <c r="R1999" s="73">
        <f>IF(ISNA(IF(AND(VLOOKUP(CONCATENATE($D1999,$G1999),CSRFinput!$B:$E,4,0)=0,OR(H1999=MappingTables!$C$31,H1999=MappingTables!$C$32)),1,VLOOKUP(CONCATENATE($D1999,$G1999),CSRFinput!$B:$E,4,0))),0,IF(AND(VLOOKUP(CONCATENATE($D1999,$G1999),CSRFinput!$B:$E,4,0)=0,OR(H1999=MappingTables!$C$31,H1999=MappingTables!$C$32)),1,VLOOKUP(CONCATENATE($D1999,$G1999),CSRFinput!$B:$E,4,0)))</f>
        <v>0.054776304963434752</v>
      </c>
      <c r="S1999" s="73">
        <f>IF(B1999="",0,P1999*R1999)</f>
        <v>8.2046176313992064</v>
      </c>
      <c r="T1999" s="85">
        <f>IF(B1999="",0,IF(OR(H1999=MappingTables!$C$34,H1999=MappingTables!$C$35),S1999,0))</f>
        <v>0</v>
      </c>
    </row>
    <row r="2000" spans="2:20" s="0" customFormat="0" ht="15">
      <c r="B2000" s="69" t="s">
        <v>3707</v>
      </c>
      <c r="C2000" s="70" t="s">
        <v>3708</v>
      </c>
      <c r="D2000" s="70" t="s">
        <v>1</v>
      </c>
      <c r="E2000" s="70" t="s">
        <v>1</v>
      </c>
      <c r="F2000" s="70"/>
      <c r="G2000" s="70" t="s">
        <v>61</v>
      </c>
      <c r="H2000" s="70" t="s">
        <v>178</v>
      </c>
      <c r="I2000" s="70" t="s">
        <v>198</v>
      </c>
      <c r="J2000" s="71" t="str">
        <f>IF(OR(I2000=0,I2000=""),"unrated",VLOOKUP(I2000,MappingTables!$B$19:$C$31,2,FALSE))</f>
        <v>unrated</v>
      </c>
      <c r="K2000" s="72">
        <v>76.696013544127456</v>
      </c>
      <c r="L2000" s="70">
        <v>0.068489855013441344</v>
      </c>
      <c r="M2000" s="71">
        <f>IF(L2000&lt;1,1,L2000)</f>
        <v>1</v>
      </c>
      <c r="N2000" s="70" t="s">
        <v>3288</v>
      </c>
      <c r="O2000" s="71">
        <f>IF(OR(I2000=$A$1,I2000=0),"",IF(N2000=MappingTables!$C$14,VLOOKUP(J2000,ModelParameters!$M$8:$N$15,2,FALSE),IF(N2000=MappingTables!$C$16,VLOOKUP(J2000,ModelParameters!$P$8:$Q$15,2,FALSE),0)))</f>
        <v>1</v>
      </c>
      <c r="P2000" s="73">
        <f>IF(OR(I2000=0,I2000=$A$1),0,MIN(O2000*M2000,1)*K2000)</f>
        <v>76.696013544127456</v>
      </c>
      <c r="Q2000" s="73">
        <f>IF(B2000="",0,IF(OR(H2000=MappingTables!$C$34,H2000=MappingTables!$C$35),P2000,0))</f>
        <v>0</v>
      </c>
      <c r="R2000" s="73">
        <f>IF(ISNA(IF(AND(VLOOKUP(CONCATENATE($D2000,$G2000),CSRFinput!$B:$E,4,0)=0,OR(H2000=MappingTables!$C$31,H2000=MappingTables!$C$32)),1,VLOOKUP(CONCATENATE($D2000,$G2000),CSRFinput!$B:$E,4,0))),0,IF(AND(VLOOKUP(CONCATENATE($D2000,$G2000),CSRFinput!$B:$E,4,0)=0,OR(H2000=MappingTables!$C$31,H2000=MappingTables!$C$32)),1,VLOOKUP(CONCATENATE($D2000,$G2000),CSRFinput!$B:$E,4,0)))</f>
        <v>0.054776304963434752</v>
      </c>
      <c r="S2000" s="73">
        <f>IF(B2000="",0,P2000*R2000)</f>
        <v>4.201124227372848</v>
      </c>
      <c r="T2000" s="85">
        <f>IF(B2000="",0,IF(OR(H2000=MappingTables!$C$34,H2000=MappingTables!$C$35),S2000,0))</f>
        <v>0</v>
      </c>
    </row>
    <row r="2001" spans="2:20" s="0" customFormat="0" ht="15">
      <c r="B2001" s="69">
        <v>22554081</v>
      </c>
      <c r="C2001" s="70" t="s">
        <v>5095</v>
      </c>
      <c r="D2001" s="70" t="s">
        <v>1</v>
      </c>
      <c r="E2001" s="70" t="s">
        <v>1</v>
      </c>
      <c r="F2001" s="70"/>
      <c r="G2001" s="70" t="s">
        <v>61</v>
      </c>
      <c r="H2001" s="70" t="s">
        <v>178</v>
      </c>
      <c r="I2001" s="70" t="s">
        <v>216</v>
      </c>
      <c r="J2001" s="71">
        <f>IF(OR(I2001=0,I2001=""),"unrated",VLOOKUP(I2001,MappingTables!$B$19:$C$31,2,FALSE))</f>
        <v>0</v>
      </c>
      <c r="K2001" s="72">
        <v>10.117523920785106</v>
      </c>
      <c r="L2001" s="70">
        <v>0.049790636296062448</v>
      </c>
      <c r="M2001" s="71">
        <f>IF(L2001&lt;1,1,L2001)</f>
        <v>1</v>
      </c>
      <c r="N2001" s="70" t="s">
        <v>3288</v>
      </c>
      <c r="O2001" s="71">
        <f>IF(OR(I2001=$A$1,I2001=0),"",IF(N2001=MappingTables!$C$14,VLOOKUP(J2001,ModelParameters!$M$8:$N$15,2,FALSE),IF(N2001=MappingTables!$C$16,VLOOKUP(J2001,ModelParameters!$P$8:$Q$15,2,FALSE),0)))</f>
        <v>0.125</v>
      </c>
      <c r="P2001" s="73">
        <f>IF(OR(I2001=0,I2001=$A$1),0,MIN(O2001*M2001,1)*K2001)</f>
        <v>1.2646904900981382</v>
      </c>
      <c r="Q2001" s="73">
        <f>IF(B2001="",0,IF(OR(H2001=MappingTables!$C$34,H2001=MappingTables!$C$35),P2001,0))</f>
        <v>0</v>
      </c>
      <c r="R2001" s="73">
        <f>IF(ISNA(IF(AND(VLOOKUP(CONCATENATE($D2001,$G2001),CSRFinput!$B:$E,4,0)=0,OR(H2001=MappingTables!$C$31,H2001=MappingTables!$C$32)),1,VLOOKUP(CONCATENATE($D2001,$G2001),CSRFinput!$B:$E,4,0))),0,IF(AND(VLOOKUP(CONCATENATE($D2001,$G2001),CSRFinput!$B:$E,4,0)=0,OR(H2001=MappingTables!$C$31,H2001=MappingTables!$C$32)),1,VLOOKUP(CONCATENATE($D2001,$G2001),CSRFinput!$B:$E,4,0)))</f>
        <v>0.054776304963434752</v>
      </c>
      <c r="S2001" s="73">
        <f>IF(B2001="",0,P2001*R2001)</f>
        <v>0.069275071969971376</v>
      </c>
      <c r="T2001" s="85">
        <f>IF(B2001="",0,IF(OR(H2001=MappingTables!$C$34,H2001=MappingTables!$C$35),S2001,0))</f>
        <v>0</v>
      </c>
    </row>
    <row r="2002" spans="2:20" s="0" customFormat="0" ht="15">
      <c r="B2002" s="69" t="s">
        <v>4789</v>
      </c>
      <c r="C2002" s="70" t="s">
        <v>4790</v>
      </c>
      <c r="D2002" s="70" t="s">
        <v>1</v>
      </c>
      <c r="E2002" s="70" t="s">
        <v>1</v>
      </c>
      <c r="F2002" s="70"/>
      <c r="G2002" s="70" t="s">
        <v>61</v>
      </c>
      <c r="H2002" s="70" t="s">
        <v>178</v>
      </c>
      <c r="I2002" s="70" t="s">
        <v>181</v>
      </c>
      <c r="J2002" s="71">
        <f>IF(OR(I2002=0,I2002=""),"unrated",VLOOKUP(I2002,MappingTables!$B$19:$C$31,2,FALSE))</f>
        <v>3</v>
      </c>
      <c r="K2002" s="72">
        <v>45.352835762398096</v>
      </c>
      <c r="L2002" s="70">
        <v>0.06849040310020836</v>
      </c>
      <c r="M2002" s="71">
        <f>IF(L2002&lt;1,1,L2002)</f>
        <v>1</v>
      </c>
      <c r="N2002" s="70" t="s">
        <v>3288</v>
      </c>
      <c r="O2002" s="71">
        <f>IF(OR(I2002=$A$1,I2002=0),"",IF(N2002=MappingTables!$C$14,VLOOKUP(J2002,ModelParameters!$M$8:$N$15,2,FALSE),IF(N2002=MappingTables!$C$16,VLOOKUP(J2002,ModelParameters!$P$8:$Q$15,2,FALSE),0)))</f>
        <v>0.197</v>
      </c>
      <c r="P2002" s="73">
        <f>IF(OR(I2002=0,I2002=$A$1),0,MIN(O2002*M2002,1)*K2002)</f>
        <v>8.9345086451924224</v>
      </c>
      <c r="Q2002" s="73">
        <f>IF(B2002="",0,IF(OR(H2002=MappingTables!$C$34,H2002=MappingTables!$C$35),P2002,0))</f>
        <v>0</v>
      </c>
      <c r="R2002" s="73">
        <f>IF(ISNA(IF(AND(VLOOKUP(CONCATENATE($D2002,$G2002),CSRFinput!$B:$E,4,0)=0,OR(H2002=MappingTables!$C$31,H2002=MappingTables!$C$32)),1,VLOOKUP(CONCATENATE($D2002,$G2002),CSRFinput!$B:$E,4,0))),0,IF(AND(VLOOKUP(CONCATENATE($D2002,$G2002),CSRFinput!$B:$E,4,0)=0,OR(H2002=MappingTables!$C$31,H2002=MappingTables!$C$32)),1,VLOOKUP(CONCATENATE($D2002,$G2002),CSRFinput!$B:$E,4,0)))</f>
        <v>0.054776304963434752</v>
      </c>
      <c r="S2002" s="73">
        <f>IF(B2002="",0,P2002*R2002)</f>
        <v>0.48939937024750448</v>
      </c>
      <c r="T2002" s="85">
        <f>IF(B2002="",0,IF(OR(H2002=MappingTables!$C$34,H2002=MappingTables!$C$35),S2002,0))</f>
        <v>0</v>
      </c>
    </row>
    <row r="2003" spans="2:20" s="0" customFormat="0" ht="15">
      <c r="B2003" s="69" t="s">
        <v>4876</v>
      </c>
      <c r="C2003" s="70" t="s">
        <v>4877</v>
      </c>
      <c r="D2003" s="70" t="s">
        <v>1</v>
      </c>
      <c r="E2003" s="70" t="s">
        <v>1</v>
      </c>
      <c r="F2003" s="70"/>
      <c r="G2003" s="70" t="s">
        <v>61</v>
      </c>
      <c r="H2003" s="70" t="s">
        <v>178</v>
      </c>
      <c r="I2003" s="70" t="s">
        <v>198</v>
      </c>
      <c r="J2003" s="71" t="str">
        <f>IF(OR(I2003=0,I2003=""),"unrated",VLOOKUP(I2003,MappingTables!$B$19:$C$31,2,FALSE))</f>
        <v>unrated</v>
      </c>
      <c r="K2003" s="72">
        <v>28.097576789485036</v>
      </c>
      <c r="L2003" s="70">
        <v>0.068491206919871376</v>
      </c>
      <c r="M2003" s="71">
        <f>IF(L2003&lt;1,1,L2003)</f>
        <v>1</v>
      </c>
      <c r="N2003" s="70" t="s">
        <v>3288</v>
      </c>
      <c r="O2003" s="71">
        <f>IF(OR(I2003=$A$1,I2003=0),"",IF(N2003=MappingTables!$C$14,VLOOKUP(J2003,ModelParameters!$M$8:$N$15,2,FALSE),IF(N2003=MappingTables!$C$16,VLOOKUP(J2003,ModelParameters!$P$8:$Q$15,2,FALSE),0)))</f>
        <v>1</v>
      </c>
      <c r="P2003" s="73">
        <f>IF(OR(I2003=0,I2003=$A$1),0,MIN(O2003*M2003,1)*K2003)</f>
        <v>28.097576789485036</v>
      </c>
      <c r="Q2003" s="73">
        <f>IF(B2003="",0,IF(OR(H2003=MappingTables!$C$34,H2003=MappingTables!$C$35),P2003,0))</f>
        <v>0</v>
      </c>
      <c r="R2003" s="73">
        <f>IF(ISNA(IF(AND(VLOOKUP(CONCATENATE($D2003,$G2003),CSRFinput!$B:$E,4,0)=0,OR(H2003=MappingTables!$C$31,H2003=MappingTables!$C$32)),1,VLOOKUP(CONCATENATE($D2003,$G2003),CSRFinput!$B:$E,4,0))),0,IF(AND(VLOOKUP(CONCATENATE($D2003,$G2003),CSRFinput!$B:$E,4,0)=0,OR(H2003=MappingTables!$C$31,H2003=MappingTables!$C$32)),1,VLOOKUP(CONCATENATE($D2003,$G2003),CSRFinput!$B:$E,4,0)))</f>
        <v>0.054776304963434752</v>
      </c>
      <c r="S2003" s="73">
        <f>IF(B2003="",0,P2003*R2003)</f>
        <v>1.5390814349543582</v>
      </c>
      <c r="T2003" s="85">
        <f>IF(B2003="",0,IF(OR(H2003=MappingTables!$C$34,H2003=MappingTables!$C$35),S2003,0))</f>
        <v>0</v>
      </c>
    </row>
    <row r="2004" spans="2:20" s="0" customFormat="0" ht="15">
      <c r="B2004" s="69" t="s">
        <v>3423</v>
      </c>
      <c r="C2004" s="70" t="s">
        <v>3424</v>
      </c>
      <c r="D2004" s="70" t="s">
        <v>1</v>
      </c>
      <c r="E2004" s="70" t="s">
        <v>1</v>
      </c>
      <c r="F2004" s="70"/>
      <c r="G2004" s="70" t="s">
        <v>61</v>
      </c>
      <c r="H2004" s="70" t="s">
        <v>178</v>
      </c>
      <c r="I2004" s="70" t="s">
        <v>3298</v>
      </c>
      <c r="J2004" s="71">
        <f>IF(OR(I2004=0,I2004=""),"unrated",VLOOKUP(I2004,MappingTables!$B$19:$C$31,2,FALSE))</f>
        <v>6</v>
      </c>
      <c r="K2004" s="72">
        <v>135.62854584651572</v>
      </c>
      <c r="L2004" s="70">
        <v>1.6539997623069754</v>
      </c>
      <c r="M2004" s="71">
        <f>IF(L2004&lt;1,1,L2004)</f>
        <v>1.6539997623069754</v>
      </c>
      <c r="N2004" s="70" t="s">
        <v>3288</v>
      </c>
      <c r="O2004" s="71">
        <f>IF(OR(I2004=$A$1,I2004=0),"",IF(N2004=MappingTables!$C$14,VLOOKUP(J2004,ModelParameters!$M$8:$N$15,2,FALSE),IF(N2004=MappingTables!$C$16,VLOOKUP(J2004,ModelParameters!$P$8:$Q$15,2,FALSE),0)))</f>
        <v>1</v>
      </c>
      <c r="P2004" s="73">
        <f>IF(OR(I2004=0,I2004=$A$1),0,MIN(O2004*M2004,1)*K2004)</f>
        <v>135.62854584651572</v>
      </c>
      <c r="Q2004" s="73">
        <f>IF(B2004="",0,IF(OR(H2004=MappingTables!$C$34,H2004=MappingTables!$C$35),P2004,0))</f>
        <v>0</v>
      </c>
      <c r="R2004" s="73">
        <f>IF(ISNA(IF(AND(VLOOKUP(CONCATENATE($D2004,$G2004),CSRFinput!$B:$E,4,0)=0,OR(H2004=MappingTables!$C$31,H2004=MappingTables!$C$32)),1,VLOOKUP(CONCATENATE($D2004,$G2004),CSRFinput!$B:$E,4,0))),0,IF(AND(VLOOKUP(CONCATENATE($D2004,$G2004),CSRFinput!$B:$E,4,0)=0,OR(H2004=MappingTables!$C$31,H2004=MappingTables!$C$32)),1,VLOOKUP(CONCATENATE($D2004,$G2004),CSRFinput!$B:$E,4,0)))</f>
        <v>0.054776304963434752</v>
      </c>
      <c r="S2004" s="73">
        <f>IF(B2004="",0,P2004*R2004)</f>
        <v>7.4292305890359376</v>
      </c>
      <c r="T2004" s="85">
        <f>IF(B2004="",0,IF(OR(H2004=MappingTables!$C$34,H2004=MappingTables!$C$35),S2004,0))</f>
        <v>0</v>
      </c>
    </row>
    <row r="2005" spans="2:20" s="0" customFormat="0" ht="15">
      <c r="B2005" s="69" t="s">
        <v>5136</v>
      </c>
      <c r="C2005" s="70" t="s">
        <v>5137</v>
      </c>
      <c r="D2005" s="70" t="s">
        <v>1</v>
      </c>
      <c r="E2005" s="70" t="s">
        <v>1</v>
      </c>
      <c r="F2005" s="70"/>
      <c r="G2005" s="70" t="s">
        <v>61</v>
      </c>
      <c r="H2005" s="70" t="s">
        <v>178</v>
      </c>
      <c r="I2005" s="70" t="s">
        <v>216</v>
      </c>
      <c r="J2005" s="71">
        <f>IF(OR(I2005=0,I2005=""),"unrated",VLOOKUP(I2005,MappingTables!$B$19:$C$31,2,FALSE))</f>
        <v>0</v>
      </c>
      <c r="K2005" s="72">
        <v>486.46618331591896</v>
      </c>
      <c r="L2005" s="70">
        <v>0.049316360440254592</v>
      </c>
      <c r="M2005" s="71">
        <f>IF(L2005&lt;1,1,L2005)</f>
        <v>1</v>
      </c>
      <c r="N2005" s="70" t="s">
        <v>3288</v>
      </c>
      <c r="O2005" s="71">
        <f>IF(OR(I2005=$A$1,I2005=0),"",IF(N2005=MappingTables!$C$14,VLOOKUP(J2005,ModelParameters!$M$8:$N$15,2,FALSE),IF(N2005=MappingTables!$C$16,VLOOKUP(J2005,ModelParameters!$P$8:$Q$15,2,FALSE),0)))</f>
        <v>0.125</v>
      </c>
      <c r="P2005" s="73">
        <f>IF(OR(I2005=0,I2005=$A$1),0,MIN(O2005*M2005,1)*K2005)</f>
        <v>60.808272914489872</v>
      </c>
      <c r="Q2005" s="73">
        <f>IF(B2005="",0,IF(OR(H2005=MappingTables!$C$34,H2005=MappingTables!$C$35),P2005,0))</f>
        <v>0</v>
      </c>
      <c r="R2005" s="73">
        <f>IF(ISNA(IF(AND(VLOOKUP(CONCATENATE($D2005,$G2005),CSRFinput!$B:$E,4,0)=0,OR(H2005=MappingTables!$C$31,H2005=MappingTables!$C$32)),1,VLOOKUP(CONCATENATE($D2005,$G2005),CSRFinput!$B:$E,4,0))),0,IF(AND(VLOOKUP(CONCATENATE($D2005,$G2005),CSRFinput!$B:$E,4,0)=0,OR(H2005=MappingTables!$C$31,H2005=MappingTables!$C$32)),1,VLOOKUP(CONCATENATE($D2005,$G2005),CSRFinput!$B:$E,4,0)))</f>
        <v>0.054776304963434752</v>
      </c>
      <c r="S2005" s="73">
        <f>IF(B2005="",0,P2005*R2005)</f>
        <v>3.3308525014638664</v>
      </c>
      <c r="T2005" s="85">
        <f>IF(B2005="",0,IF(OR(H2005=MappingTables!$C$34,H2005=MappingTables!$C$35),S2005,0))</f>
        <v>0</v>
      </c>
    </row>
    <row r="2006" spans="2:20" s="0" customFormat="0" ht="15">
      <c r="B2006" s="69">
        <v>18746155</v>
      </c>
      <c r="C2006" s="70" t="s">
        <v>3305</v>
      </c>
      <c r="D2006" s="70" t="s">
        <v>1</v>
      </c>
      <c r="E2006" s="70" t="s">
        <v>1</v>
      </c>
      <c r="F2006" s="70"/>
      <c r="G2006" s="70" t="s">
        <v>61</v>
      </c>
      <c r="H2006" s="70" t="s">
        <v>178</v>
      </c>
      <c r="I2006" s="70" t="s">
        <v>216</v>
      </c>
      <c r="J2006" s="71">
        <f>IF(OR(I2006=0,I2006=""),"unrated",VLOOKUP(I2006,MappingTables!$B$19:$C$31,2,FALSE))</f>
        <v>0</v>
      </c>
      <c r="K2006" s="72">
        <v>748.68933290029888</v>
      </c>
      <c r="L2006" s="70">
        <v>0.054209242656056776</v>
      </c>
      <c r="M2006" s="71">
        <f>IF(L2006&lt;1,1,L2006)</f>
        <v>1</v>
      </c>
      <c r="N2006" s="70" t="s">
        <v>3288</v>
      </c>
      <c r="O2006" s="71">
        <f>IF(OR(I2006=$A$1,I2006=0),"",IF(N2006=MappingTables!$C$14,VLOOKUP(J2006,ModelParameters!$M$8:$N$15,2,FALSE),IF(N2006=MappingTables!$C$16,VLOOKUP(J2006,ModelParameters!$P$8:$Q$15,2,FALSE),0)))</f>
        <v>0.125</v>
      </c>
      <c r="P2006" s="73">
        <f>IF(OR(I2006=0,I2006=$A$1),0,MIN(O2006*M2006,1)*K2006)</f>
        <v>93.58616661253736</v>
      </c>
      <c r="Q2006" s="73">
        <f>IF(B2006="",0,IF(OR(H2006=MappingTables!$C$34,H2006=MappingTables!$C$35),P2006,0))</f>
        <v>0</v>
      </c>
      <c r="R2006" s="73">
        <f>IF(ISNA(IF(AND(VLOOKUP(CONCATENATE($D2006,$G2006),CSRFinput!$B:$E,4,0)=0,OR(H2006=MappingTables!$C$31,H2006=MappingTables!$C$32)),1,VLOOKUP(CONCATENATE($D2006,$G2006),CSRFinput!$B:$E,4,0))),0,IF(AND(VLOOKUP(CONCATENATE($D2006,$G2006),CSRFinput!$B:$E,4,0)=0,OR(H2006=MappingTables!$C$31,H2006=MappingTables!$C$32)),1,VLOOKUP(CONCATENATE($D2006,$G2006),CSRFinput!$B:$E,4,0)))</f>
        <v>0.054776304963434752</v>
      </c>
      <c r="S2006" s="73">
        <f>IF(B2006="",0,P2006*R2006)</f>
        <v>5.1263044027271624</v>
      </c>
      <c r="T2006" s="85">
        <f>IF(B2006="",0,IF(OR(H2006=MappingTables!$C$34,H2006=MappingTables!$C$35),S2006,0))</f>
        <v>0</v>
      </c>
    </row>
    <row r="2007" spans="2:20" s="0" customFormat="0" ht="15">
      <c r="B2007" s="69" t="s">
        <v>4610</v>
      </c>
      <c r="C2007" s="70" t="s">
        <v>4611</v>
      </c>
      <c r="D2007" s="70" t="s">
        <v>1</v>
      </c>
      <c r="E2007" s="70" t="s">
        <v>1</v>
      </c>
      <c r="F2007" s="70"/>
      <c r="G2007" s="70" t="s">
        <v>61</v>
      </c>
      <c r="H2007" s="70" t="s">
        <v>178</v>
      </c>
      <c r="I2007" s="70" t="s">
        <v>216</v>
      </c>
      <c r="J2007" s="71">
        <f>IF(OR(I2007=0,I2007=""),"unrated",VLOOKUP(I2007,MappingTables!$B$19:$C$31,2,FALSE))</f>
        <v>0</v>
      </c>
      <c r="K2007" s="72">
        <v>251.8411771754648</v>
      </c>
      <c r="L2007" s="70">
        <v>0.04931544146280992</v>
      </c>
      <c r="M2007" s="71">
        <f>IF(L2007&lt;1,1,L2007)</f>
        <v>1</v>
      </c>
      <c r="N2007" s="70" t="s">
        <v>3288</v>
      </c>
      <c r="O2007" s="71">
        <f>IF(OR(I2007=$A$1,I2007=0),"",IF(N2007=MappingTables!$C$14,VLOOKUP(J2007,ModelParameters!$M$8:$N$15,2,FALSE),IF(N2007=MappingTables!$C$16,VLOOKUP(J2007,ModelParameters!$P$8:$Q$15,2,FALSE),0)))</f>
        <v>0.125</v>
      </c>
      <c r="P2007" s="73">
        <f>IF(OR(I2007=0,I2007=$A$1),0,MIN(O2007*M2007,1)*K2007)</f>
        <v>31.4801471469331</v>
      </c>
      <c r="Q2007" s="73">
        <f>IF(B2007="",0,IF(OR(H2007=MappingTables!$C$34,H2007=MappingTables!$C$35),P2007,0))</f>
        <v>0</v>
      </c>
      <c r="R2007" s="73">
        <f>IF(ISNA(IF(AND(VLOOKUP(CONCATENATE($D2007,$G2007),CSRFinput!$B:$E,4,0)=0,OR(H2007=MappingTables!$C$31,H2007=MappingTables!$C$32)),1,VLOOKUP(CONCATENATE($D2007,$G2007),CSRFinput!$B:$E,4,0))),0,IF(AND(VLOOKUP(CONCATENATE($D2007,$G2007),CSRFinput!$B:$E,4,0)=0,OR(H2007=MappingTables!$C$31,H2007=MappingTables!$C$32)),1,VLOOKUP(CONCATENATE($D2007,$G2007),CSRFinput!$B:$E,4,0)))</f>
        <v>0.054776304963434752</v>
      </c>
      <c r="S2007" s="73">
        <f>IF(B2007="",0,P2007*R2007)</f>
        <v>1.7243661404142078</v>
      </c>
      <c r="T2007" s="85">
        <f>IF(B2007="",0,IF(OR(H2007=MappingTables!$C$34,H2007=MappingTables!$C$35),S2007,0))</f>
        <v>0</v>
      </c>
    </row>
    <row r="2008" spans="2:20" s="0" customFormat="0" ht="15">
      <c r="B2008" s="69">
        <v>994430</v>
      </c>
      <c r="C2008" s="70" t="s">
        <v>4208</v>
      </c>
      <c r="D2008" s="70" t="s">
        <v>1</v>
      </c>
      <c r="E2008" s="70" t="s">
        <v>1</v>
      </c>
      <c r="F2008" s="70"/>
      <c r="G2008" s="70" t="s">
        <v>61</v>
      </c>
      <c r="H2008" s="70" t="s">
        <v>178</v>
      </c>
      <c r="I2008" s="70" t="s">
        <v>204</v>
      </c>
      <c r="J2008" s="71">
        <f>IF(OR(I2008=0,I2008=""),"unrated",VLOOKUP(I2008,MappingTables!$B$19:$C$31,2,FALSE))</f>
        <v>6</v>
      </c>
      <c r="K2008" s="72">
        <v>102.37833633418004</v>
      </c>
      <c r="L2008" s="70">
        <v>0.06849485064648184</v>
      </c>
      <c r="M2008" s="71">
        <f>IF(L2008&lt;1,1,L2008)</f>
        <v>1</v>
      </c>
      <c r="N2008" s="70" t="s">
        <v>3288</v>
      </c>
      <c r="O2008" s="71">
        <f>IF(OR(I2008=$A$1,I2008=0),"",IF(N2008=MappingTables!$C$14,VLOOKUP(J2008,ModelParameters!$M$8:$N$15,2,FALSE),IF(N2008=MappingTables!$C$16,VLOOKUP(J2008,ModelParameters!$P$8:$Q$15,2,FALSE),0)))</f>
        <v>1</v>
      </c>
      <c r="P2008" s="73">
        <f>IF(OR(I2008=0,I2008=$A$1),0,MIN(O2008*M2008,1)*K2008)</f>
        <v>102.37833633418004</v>
      </c>
      <c r="Q2008" s="73">
        <f>IF(B2008="",0,IF(OR(H2008=MappingTables!$C$34,H2008=MappingTables!$C$35),P2008,0))</f>
        <v>0</v>
      </c>
      <c r="R2008" s="73">
        <f>IF(ISNA(IF(AND(VLOOKUP(CONCATENATE($D2008,$G2008),CSRFinput!$B:$E,4,0)=0,OR(H2008=MappingTables!$C$31,H2008=MappingTables!$C$32)),1,VLOOKUP(CONCATENATE($D2008,$G2008),CSRFinput!$B:$E,4,0))),0,IF(AND(VLOOKUP(CONCATENATE($D2008,$G2008),CSRFinput!$B:$E,4,0)=0,OR(H2008=MappingTables!$C$31,H2008=MappingTables!$C$32)),1,VLOOKUP(CONCATENATE($D2008,$G2008),CSRFinput!$B:$E,4,0)))</f>
        <v>0.054776304963434752</v>
      </c>
      <c r="S2008" s="73">
        <f>IF(B2008="",0,P2008*R2008)</f>
        <v>5.6079069726901392</v>
      </c>
      <c r="T2008" s="85">
        <f>IF(B2008="",0,IF(OR(H2008=MappingTables!$C$34,H2008=MappingTables!$C$35),S2008,0))</f>
        <v>0</v>
      </c>
    </row>
    <row r="2009" spans="2:20" s="0" customFormat="0" ht="15">
      <c r="B2009" s="69">
        <v>4797555</v>
      </c>
      <c r="C2009" s="70" t="s">
        <v>5203</v>
      </c>
      <c r="D2009" s="70" t="s">
        <v>1</v>
      </c>
      <c r="E2009" s="70" t="s">
        <v>1</v>
      </c>
      <c r="F2009" s="70"/>
      <c r="G2009" s="70" t="s">
        <v>61</v>
      </c>
      <c r="H2009" s="70" t="s">
        <v>178</v>
      </c>
      <c r="I2009" s="70" t="s">
        <v>216</v>
      </c>
      <c r="J2009" s="71">
        <f>IF(OR(I2009=0,I2009=""),"unrated",VLOOKUP(I2009,MappingTables!$B$19:$C$31,2,FALSE))</f>
        <v>0</v>
      </c>
      <c r="K2009" s="72">
        <v>0.44600398331296312</v>
      </c>
      <c r="L2009" s="70">
        <v>0.005536899232054744</v>
      </c>
      <c r="M2009" s="71">
        <f>IF(L2009&lt;1,1,L2009)</f>
        <v>1</v>
      </c>
      <c r="N2009" s="70" t="s">
        <v>3288</v>
      </c>
      <c r="O2009" s="71">
        <f>IF(OR(I2009=$A$1,I2009=0),"",IF(N2009=MappingTables!$C$14,VLOOKUP(J2009,ModelParameters!$M$8:$N$15,2,FALSE),IF(N2009=MappingTables!$C$16,VLOOKUP(J2009,ModelParameters!$P$8:$Q$15,2,FALSE),0)))</f>
        <v>0.125</v>
      </c>
      <c r="P2009" s="73">
        <f>IF(OR(I2009=0,I2009=$A$1),0,MIN(O2009*M2009,1)*K2009)</f>
        <v>0.055750497914120392</v>
      </c>
      <c r="Q2009" s="73">
        <f>IF(B2009="",0,IF(OR(H2009=MappingTables!$C$34,H2009=MappingTables!$C$35),P2009,0))</f>
        <v>0</v>
      </c>
      <c r="R2009" s="73">
        <f>IF(ISNA(IF(AND(VLOOKUP(CONCATENATE($D2009,$G2009),CSRFinput!$B:$E,4,0)=0,OR(H2009=MappingTables!$C$31,H2009=MappingTables!$C$32)),1,VLOOKUP(CONCATENATE($D2009,$G2009),CSRFinput!$B:$E,4,0))),0,IF(AND(VLOOKUP(CONCATENATE($D2009,$G2009),CSRFinput!$B:$E,4,0)=0,OR(H2009=MappingTables!$C$31,H2009=MappingTables!$C$32)),1,VLOOKUP(CONCATENATE($D2009,$G2009),CSRFinput!$B:$E,4,0)))</f>
        <v>0.054776304963434752</v>
      </c>
      <c r="S2009" s="73">
        <f>IF(B2009="",0,P2009*R2009)</f>
        <v>0.0030538062756071916</v>
      </c>
      <c r="T2009" s="85">
        <f>IF(B2009="",0,IF(OR(H2009=MappingTables!$C$34,H2009=MappingTables!$C$35),S2009,0))</f>
        <v>0</v>
      </c>
    </row>
    <row r="2010" spans="2:20" s="0" customFormat="0" ht="15">
      <c r="B2010" s="69" t="s">
        <v>3342</v>
      </c>
      <c r="C2010" s="70" t="s">
        <v>3343</v>
      </c>
      <c r="D2010" s="70" t="s">
        <v>1</v>
      </c>
      <c r="E2010" s="70" t="s">
        <v>1</v>
      </c>
      <c r="F2010" s="70"/>
      <c r="G2010" s="70" t="s">
        <v>61</v>
      </c>
      <c r="H2010" s="70" t="s">
        <v>178</v>
      </c>
      <c r="I2010" s="70" t="s">
        <v>198</v>
      </c>
      <c r="J2010" s="71" t="str">
        <f>IF(OR(I2010=0,I2010=""),"unrated",VLOOKUP(I2010,MappingTables!$B$19:$C$31,2,FALSE))</f>
        <v>unrated</v>
      </c>
      <c r="K2010" s="72">
        <v>0.12666625874829556</v>
      </c>
      <c r="L2010" s="70">
        <v>23.377731388212316</v>
      </c>
      <c r="M2010" s="71">
        <f>IF(L2010&lt;1,1,L2010)</f>
        <v>23.377731388212316</v>
      </c>
      <c r="N2010" s="70" t="s">
        <v>3288</v>
      </c>
      <c r="O2010" s="71">
        <f>IF(OR(I2010=$A$1,I2010=0),"",IF(N2010=MappingTables!$C$14,VLOOKUP(J2010,ModelParameters!$M$8:$N$15,2,FALSE),IF(N2010=MappingTables!$C$16,VLOOKUP(J2010,ModelParameters!$P$8:$Q$15,2,FALSE),0)))</f>
        <v>1</v>
      </c>
      <c r="P2010" s="73">
        <f>IF(OR(I2010=0,I2010=$A$1),0,MIN(O2010*M2010,1)*K2010)</f>
        <v>0.12666625874829556</v>
      </c>
      <c r="Q2010" s="73">
        <f>IF(B2010="",0,IF(OR(H2010=MappingTables!$C$34,H2010=MappingTables!$C$35),P2010,0))</f>
        <v>0</v>
      </c>
      <c r="R2010" s="73">
        <f>IF(ISNA(IF(AND(VLOOKUP(CONCATENATE($D2010,$G2010),CSRFinput!$B:$E,4,0)=0,OR(H2010=MappingTables!$C$31,H2010=MappingTables!$C$32)),1,VLOOKUP(CONCATENATE($D2010,$G2010),CSRFinput!$B:$E,4,0))),0,IF(AND(VLOOKUP(CONCATENATE($D2010,$G2010),CSRFinput!$B:$E,4,0)=0,OR(H2010=MappingTables!$C$31,H2010=MappingTables!$C$32)),1,VLOOKUP(CONCATENATE($D2010,$G2010),CSRFinput!$B:$E,4,0)))</f>
        <v>0.054776304963434752</v>
      </c>
      <c r="S2010" s="73">
        <f>IF(B2010="",0,P2010*R2010)</f>
        <v>0.0069383096177739736</v>
      </c>
      <c r="T2010" s="85">
        <f>IF(B2010="",0,IF(OR(H2010=MappingTables!$C$34,H2010=MappingTables!$C$35),S2010,0))</f>
        <v>0</v>
      </c>
    </row>
    <row r="2011" spans="2:20" s="0" customFormat="0" ht="15">
      <c r="B2011" s="69" t="s">
        <v>3317</v>
      </c>
      <c r="C2011" s="70" t="s">
        <v>3318</v>
      </c>
      <c r="D2011" s="70" t="s">
        <v>1</v>
      </c>
      <c r="E2011" s="70" t="s">
        <v>1</v>
      </c>
      <c r="F2011" s="70"/>
      <c r="G2011" s="70" t="s">
        <v>61</v>
      </c>
      <c r="H2011" s="70" t="s">
        <v>178</v>
      </c>
      <c r="I2011" s="70" t="s">
        <v>204</v>
      </c>
      <c r="J2011" s="71">
        <f>IF(OR(I2011=0,I2011=""),"unrated",VLOOKUP(I2011,MappingTables!$B$19:$C$31,2,FALSE))</f>
        <v>6</v>
      </c>
      <c r="K2011" s="72">
        <v>114.31028224578712</v>
      </c>
      <c r="L2011" s="70">
        <v>0.066971233922821808</v>
      </c>
      <c r="M2011" s="71">
        <f>IF(L2011&lt;1,1,L2011)</f>
        <v>1</v>
      </c>
      <c r="N2011" s="70" t="s">
        <v>3288</v>
      </c>
      <c r="O2011" s="71">
        <f>IF(OR(I2011=$A$1,I2011=0),"",IF(N2011=MappingTables!$C$14,VLOOKUP(J2011,ModelParameters!$M$8:$N$15,2,FALSE),IF(N2011=MappingTables!$C$16,VLOOKUP(J2011,ModelParameters!$P$8:$Q$15,2,FALSE),0)))</f>
        <v>1</v>
      </c>
      <c r="P2011" s="73">
        <f>IF(OR(I2011=0,I2011=$A$1),0,MIN(O2011*M2011,1)*K2011)</f>
        <v>114.31028224578712</v>
      </c>
      <c r="Q2011" s="73">
        <f>IF(B2011="",0,IF(OR(H2011=MappingTables!$C$34,H2011=MappingTables!$C$35),P2011,0))</f>
        <v>0</v>
      </c>
      <c r="R2011" s="73">
        <f>IF(ISNA(IF(AND(VLOOKUP(CONCATENATE($D2011,$G2011),CSRFinput!$B:$E,4,0)=0,OR(H2011=MappingTables!$C$31,H2011=MappingTables!$C$32)),1,VLOOKUP(CONCATENATE($D2011,$G2011),CSRFinput!$B:$E,4,0))),0,IF(AND(VLOOKUP(CONCATENATE($D2011,$G2011),CSRFinput!$B:$E,4,0)=0,OR(H2011=MappingTables!$C$31,H2011=MappingTables!$C$32)),1,VLOOKUP(CONCATENATE($D2011,$G2011),CSRFinput!$B:$E,4,0)))</f>
        <v>0.054776304963434752</v>
      </c>
      <c r="S2011" s="73">
        <f>IF(B2011="",0,P2011*R2011)</f>
        <v>6.2614948807515368</v>
      </c>
      <c r="T2011" s="85">
        <f>IF(B2011="",0,IF(OR(H2011=MappingTables!$C$34,H2011=MappingTables!$C$35),S2011,0))</f>
        <v>0</v>
      </c>
    </row>
    <row r="2012" spans="2:20" s="0" customFormat="0" ht="15">
      <c r="B2012" s="69" t="s">
        <v>5204</v>
      </c>
      <c r="C2012" s="70" t="s">
        <v>5205</v>
      </c>
      <c r="D2012" s="70" t="s">
        <v>1</v>
      </c>
      <c r="E2012" s="70" t="s">
        <v>1</v>
      </c>
      <c r="F2012" s="70"/>
      <c r="G2012" s="70" t="s">
        <v>61</v>
      </c>
      <c r="H2012" s="70" t="s">
        <v>178</v>
      </c>
      <c r="I2012" s="70" t="s">
        <v>184</v>
      </c>
      <c r="J2012" s="71">
        <f>IF(OR(I2012=0,I2012=""),"unrated",VLOOKUP(I2012,MappingTables!$B$19:$C$31,2,FALSE))</f>
        <v>5</v>
      </c>
      <c r="K2012" s="72">
        <v>210.70097810044804</v>
      </c>
      <c r="L2012" s="70">
        <v>0.068498561574892976</v>
      </c>
      <c r="M2012" s="71">
        <f>IF(L2012&lt;1,1,L2012)</f>
        <v>1</v>
      </c>
      <c r="N2012" s="70" t="s">
        <v>3288</v>
      </c>
      <c r="O2012" s="71">
        <f>IF(OR(I2012=$A$1,I2012=0),"",IF(N2012=MappingTables!$C$14,VLOOKUP(J2012,ModelParameters!$M$8:$N$15,2,FALSE),IF(N2012=MappingTables!$C$16,VLOOKUP(J2012,ModelParameters!$P$8:$Q$15,2,FALSE),0)))</f>
        <v>1</v>
      </c>
      <c r="P2012" s="73">
        <f>IF(OR(I2012=0,I2012=$A$1),0,MIN(O2012*M2012,1)*K2012)</f>
        <v>210.70097810044804</v>
      </c>
      <c r="Q2012" s="73">
        <f>IF(B2012="",0,IF(OR(H2012=MappingTables!$C$34,H2012=MappingTables!$C$35),P2012,0))</f>
        <v>0</v>
      </c>
      <c r="R2012" s="73">
        <f>IF(ISNA(IF(AND(VLOOKUP(CONCATENATE($D2012,$G2012),CSRFinput!$B:$E,4,0)=0,OR(H2012=MappingTables!$C$31,H2012=MappingTables!$C$32)),1,VLOOKUP(CONCATENATE($D2012,$G2012),CSRFinput!$B:$E,4,0))),0,IF(AND(VLOOKUP(CONCATENATE($D2012,$G2012),CSRFinput!$B:$E,4,0)=0,OR(H2012=MappingTables!$C$31,H2012=MappingTables!$C$32)),1,VLOOKUP(CONCATENATE($D2012,$G2012),CSRFinput!$B:$E,4,0)))</f>
        <v>0.054776304963434752</v>
      </c>
      <c r="S2012" s="73">
        <f>IF(B2012="",0,P2012*R2012)</f>
        <v>11.54142103252413</v>
      </c>
      <c r="T2012" s="85">
        <f>IF(B2012="",0,IF(OR(H2012=MappingTables!$C$34,H2012=MappingTables!$C$35),S2012,0))</f>
        <v>0</v>
      </c>
    </row>
    <row r="2013" spans="2:20" s="0" customFormat="0" ht="15">
      <c r="B2013" s="69">
        <v>22554189</v>
      </c>
      <c r="C2013" s="70" t="s">
        <v>4593</v>
      </c>
      <c r="D2013" s="70" t="s">
        <v>1</v>
      </c>
      <c r="E2013" s="70" t="s">
        <v>1</v>
      </c>
      <c r="F2013" s="70"/>
      <c r="G2013" s="70" t="s">
        <v>61</v>
      </c>
      <c r="H2013" s="70" t="s">
        <v>178</v>
      </c>
      <c r="I2013" s="70" t="s">
        <v>3298</v>
      </c>
      <c r="J2013" s="71">
        <f>IF(OR(I2013=0,I2013=""),"unrated",VLOOKUP(I2013,MappingTables!$B$19:$C$31,2,FALSE))</f>
        <v>6</v>
      </c>
      <c r="K2013" s="72">
        <v>165.15722884016518</v>
      </c>
      <c r="L2013" s="70">
        <v>0.31760352233522664</v>
      </c>
      <c r="M2013" s="71">
        <f>IF(L2013&lt;1,1,L2013)</f>
        <v>1</v>
      </c>
      <c r="N2013" s="70" t="s">
        <v>3288</v>
      </c>
      <c r="O2013" s="71">
        <f>IF(OR(I2013=$A$1,I2013=0),"",IF(N2013=MappingTables!$C$14,VLOOKUP(J2013,ModelParameters!$M$8:$N$15,2,FALSE),IF(N2013=MappingTables!$C$16,VLOOKUP(J2013,ModelParameters!$P$8:$Q$15,2,FALSE),0)))</f>
        <v>1</v>
      </c>
      <c r="P2013" s="73">
        <f>IF(OR(I2013=0,I2013=$A$1),0,MIN(O2013*M2013,1)*K2013)</f>
        <v>165.15722884016518</v>
      </c>
      <c r="Q2013" s="73">
        <f>IF(B2013="",0,IF(OR(H2013=MappingTables!$C$34,H2013=MappingTables!$C$35),P2013,0))</f>
        <v>0</v>
      </c>
      <c r="R2013" s="73">
        <f>IF(ISNA(IF(AND(VLOOKUP(CONCATENATE($D2013,$G2013),CSRFinput!$B:$E,4,0)=0,OR(H2013=MappingTables!$C$31,H2013=MappingTables!$C$32)),1,VLOOKUP(CONCATENATE($D2013,$G2013),CSRFinput!$B:$E,4,0))),0,IF(AND(VLOOKUP(CONCATENATE($D2013,$G2013),CSRFinput!$B:$E,4,0)=0,OR(H2013=MappingTables!$C$31,H2013=MappingTables!$C$32)),1,VLOOKUP(CONCATENATE($D2013,$G2013),CSRFinput!$B:$E,4,0)))</f>
        <v>0.054776304963434752</v>
      </c>
      <c r="S2013" s="73">
        <f>IF(B2013="",0,P2013*R2013)</f>
        <v>9.0467027338646688</v>
      </c>
      <c r="T2013" s="85">
        <f>IF(B2013="",0,IF(OR(H2013=MappingTables!$C$34,H2013=MappingTables!$C$35),S2013,0))</f>
        <v>0</v>
      </c>
    </row>
    <row r="2014" spans="2:20" s="0" customFormat="0" ht="15">
      <c r="B2014" s="69" t="s">
        <v>4975</v>
      </c>
      <c r="C2014" s="70" t="s">
        <v>4976</v>
      </c>
      <c r="D2014" s="70" t="s">
        <v>1</v>
      </c>
      <c r="E2014" s="70" t="s">
        <v>1</v>
      </c>
      <c r="F2014" s="70"/>
      <c r="G2014" s="70" t="s">
        <v>61</v>
      </c>
      <c r="H2014" s="70" t="s">
        <v>178</v>
      </c>
      <c r="I2014" s="70" t="s">
        <v>216</v>
      </c>
      <c r="J2014" s="71">
        <f>IF(OR(I2014=0,I2014=""),"unrated",VLOOKUP(I2014,MappingTables!$B$19:$C$31,2,FALSE))</f>
        <v>0</v>
      </c>
      <c r="K2014" s="72">
        <v>11.563951213700292</v>
      </c>
      <c r="L2014" s="70">
        <v>0.04657805634647876</v>
      </c>
      <c r="M2014" s="71">
        <f>IF(L2014&lt;1,1,L2014)</f>
        <v>1</v>
      </c>
      <c r="N2014" s="70" t="s">
        <v>3288</v>
      </c>
      <c r="O2014" s="71">
        <f>IF(OR(I2014=$A$1,I2014=0),"",IF(N2014=MappingTables!$C$14,VLOOKUP(J2014,ModelParameters!$M$8:$N$15,2,FALSE),IF(N2014=MappingTables!$C$16,VLOOKUP(J2014,ModelParameters!$P$8:$Q$15,2,FALSE),0)))</f>
        <v>0.125</v>
      </c>
      <c r="P2014" s="73">
        <f>IF(OR(I2014=0,I2014=$A$1),0,MIN(O2014*M2014,1)*K2014)</f>
        <v>1.4454939017125366</v>
      </c>
      <c r="Q2014" s="73">
        <f>IF(B2014="",0,IF(OR(H2014=MappingTables!$C$34,H2014=MappingTables!$C$35),P2014,0))</f>
        <v>0</v>
      </c>
      <c r="R2014" s="73">
        <f>IF(ISNA(IF(AND(VLOOKUP(CONCATENATE($D2014,$G2014),CSRFinput!$B:$E,4,0)=0,OR(H2014=MappingTables!$C$31,H2014=MappingTables!$C$32)),1,VLOOKUP(CONCATENATE($D2014,$G2014),CSRFinput!$B:$E,4,0))),0,IF(AND(VLOOKUP(CONCATENATE($D2014,$G2014),CSRFinput!$B:$E,4,0)=0,OR(H2014=MappingTables!$C$31,H2014=MappingTables!$C$32)),1,VLOOKUP(CONCATENATE($D2014,$G2014),CSRFinput!$B:$E,4,0)))</f>
        <v>0.054776304963434752</v>
      </c>
      <c r="S2014" s="73">
        <f>IF(B2014="",0,P2014*R2014)</f>
        <v>0.079178814782991088</v>
      </c>
      <c r="T2014" s="85">
        <f>IF(B2014="",0,IF(OR(H2014=MappingTables!$C$34,H2014=MappingTables!$C$35),S2014,0))</f>
        <v>0</v>
      </c>
    </row>
    <row r="2015" spans="2:20" s="0" customFormat="0" ht="15">
      <c r="B2015" s="69">
        <v>14954581</v>
      </c>
      <c r="C2015" s="70" t="s">
        <v>4881</v>
      </c>
      <c r="D2015" s="70" t="s">
        <v>1</v>
      </c>
      <c r="E2015" s="70" t="s">
        <v>1</v>
      </c>
      <c r="F2015" s="70"/>
      <c r="G2015" s="70" t="s">
        <v>61</v>
      </c>
      <c r="H2015" s="70" t="s">
        <v>178</v>
      </c>
      <c r="I2015" s="70" t="s">
        <v>216</v>
      </c>
      <c r="J2015" s="71">
        <f>IF(OR(I2015=0,I2015=""),"unrated",VLOOKUP(I2015,MappingTables!$B$19:$C$31,2,FALSE))</f>
        <v>0</v>
      </c>
      <c r="K2015" s="72">
        <v>931.67099100343744</v>
      </c>
      <c r="L2015" s="70">
        <v>0.036066683725313432</v>
      </c>
      <c r="M2015" s="71">
        <f>IF(L2015&lt;1,1,L2015)</f>
        <v>1</v>
      </c>
      <c r="N2015" s="70" t="s">
        <v>3288</v>
      </c>
      <c r="O2015" s="71">
        <f>IF(OR(I2015=$A$1,I2015=0),"",IF(N2015=MappingTables!$C$14,VLOOKUP(J2015,ModelParameters!$M$8:$N$15,2,FALSE),IF(N2015=MappingTables!$C$16,VLOOKUP(J2015,ModelParameters!$P$8:$Q$15,2,FALSE),0)))</f>
        <v>0.125</v>
      </c>
      <c r="P2015" s="73">
        <f>IF(OR(I2015=0,I2015=$A$1),0,MIN(O2015*M2015,1)*K2015)</f>
        <v>116.45887387542968</v>
      </c>
      <c r="Q2015" s="73">
        <f>IF(B2015="",0,IF(OR(H2015=MappingTables!$C$34,H2015=MappingTables!$C$35),P2015,0))</f>
        <v>0</v>
      </c>
      <c r="R2015" s="73">
        <f>IF(ISNA(IF(AND(VLOOKUP(CONCATENATE($D2015,$G2015),CSRFinput!$B:$E,4,0)=0,OR(H2015=MappingTables!$C$31,H2015=MappingTables!$C$32)),1,VLOOKUP(CONCATENATE($D2015,$G2015),CSRFinput!$B:$E,4,0))),0,IF(AND(VLOOKUP(CONCATENATE($D2015,$G2015),CSRFinput!$B:$E,4,0)=0,OR(H2015=MappingTables!$C$31,H2015=MappingTables!$C$32)),1,VLOOKUP(CONCATENATE($D2015,$G2015),CSRFinput!$B:$E,4,0)))</f>
        <v>0.054776304963434752</v>
      </c>
      <c r="S2015" s="73">
        <f>IF(B2015="",0,P2015*R2015)</f>
        <v>6.3791867910987208</v>
      </c>
      <c r="T2015" s="85">
        <f>IF(B2015="",0,IF(OR(H2015=MappingTables!$C$34,H2015=MappingTables!$C$35),S2015,0))</f>
        <v>0</v>
      </c>
    </row>
    <row r="2016" spans="2:20" s="0" customFormat="0" ht="15">
      <c r="B2016" s="69">
        <v>14504636</v>
      </c>
      <c r="C2016" s="70" t="s">
        <v>4207</v>
      </c>
      <c r="D2016" s="70" t="s">
        <v>1</v>
      </c>
      <c r="E2016" s="70" t="s">
        <v>1</v>
      </c>
      <c r="F2016" s="70"/>
      <c r="G2016" s="70" t="s">
        <v>61</v>
      </c>
      <c r="H2016" s="70" t="s">
        <v>178</v>
      </c>
      <c r="I2016" s="70" t="s">
        <v>216</v>
      </c>
      <c r="J2016" s="71">
        <f>IF(OR(I2016=0,I2016=""),"unrated",VLOOKUP(I2016,MappingTables!$B$19:$C$31,2,FALSE))</f>
        <v>0</v>
      </c>
      <c r="K2016" s="72">
        <v>19.908900473465768</v>
      </c>
      <c r="L2016" s="70">
        <v>0.06876788664118608</v>
      </c>
      <c r="M2016" s="71">
        <f>IF(L2016&lt;1,1,L2016)</f>
        <v>1</v>
      </c>
      <c r="N2016" s="70" t="s">
        <v>3288</v>
      </c>
      <c r="O2016" s="71">
        <f>IF(OR(I2016=$A$1,I2016=0),"",IF(N2016=MappingTables!$C$14,VLOOKUP(J2016,ModelParameters!$M$8:$N$15,2,FALSE),IF(N2016=MappingTables!$C$16,VLOOKUP(J2016,ModelParameters!$P$8:$Q$15,2,FALSE),0)))</f>
        <v>0.125</v>
      </c>
      <c r="P2016" s="73">
        <f>IF(OR(I2016=0,I2016=$A$1),0,MIN(O2016*M2016,1)*K2016)</f>
        <v>2.4886125591832208</v>
      </c>
      <c r="Q2016" s="73">
        <f>IF(B2016="",0,IF(OR(H2016=MappingTables!$C$34,H2016=MappingTables!$C$35),P2016,0))</f>
        <v>0</v>
      </c>
      <c r="R2016" s="73">
        <f>IF(ISNA(IF(AND(VLOOKUP(CONCATENATE($D2016,$G2016),CSRFinput!$B:$E,4,0)=0,OR(H2016=MappingTables!$C$31,H2016=MappingTables!$C$32)),1,VLOOKUP(CONCATENATE($D2016,$G2016),CSRFinput!$B:$E,4,0))),0,IF(AND(VLOOKUP(CONCATENATE($D2016,$G2016),CSRFinput!$B:$E,4,0)=0,OR(H2016=MappingTables!$C$31,H2016=MappingTables!$C$32)),1,VLOOKUP(CONCATENATE($D2016,$G2016),CSRFinput!$B:$E,4,0)))</f>
        <v>0.054776304963434752</v>
      </c>
      <c r="S2016" s="73">
        <f>IF(B2016="",0,P2016*R2016)</f>
        <v>0.13631700047765394</v>
      </c>
      <c r="T2016" s="85">
        <f>IF(B2016="",0,IF(OR(H2016=MappingTables!$C$34,H2016=MappingTables!$C$35),S2016,0))</f>
        <v>0</v>
      </c>
    </row>
    <row r="2017" spans="2:20" s="0" customFormat="0" ht="15">
      <c r="B2017" s="69" t="s">
        <v>4791</v>
      </c>
      <c r="C2017" s="70" t="s">
        <v>4792</v>
      </c>
      <c r="D2017" s="70" t="s">
        <v>1</v>
      </c>
      <c r="E2017" s="70" t="s">
        <v>1</v>
      </c>
      <c r="F2017" s="70"/>
      <c r="G2017" s="70" t="s">
        <v>61</v>
      </c>
      <c r="H2017" s="70" t="s">
        <v>178</v>
      </c>
      <c r="I2017" s="70" t="s">
        <v>198</v>
      </c>
      <c r="J2017" s="71" t="str">
        <f>IF(OR(I2017=0,I2017=""),"unrated",VLOOKUP(I2017,MappingTables!$B$19:$C$31,2,FALSE))</f>
        <v>unrated</v>
      </c>
      <c r="K2017" s="72">
        <v>0.4191946642003296</v>
      </c>
      <c r="L2017" s="70">
        <v>6.4180999666903768</v>
      </c>
      <c r="M2017" s="71">
        <f>IF(L2017&lt;1,1,L2017)</f>
        <v>6.4180999666903768</v>
      </c>
      <c r="N2017" s="70" t="s">
        <v>3288</v>
      </c>
      <c r="O2017" s="71">
        <f>IF(OR(I2017=$A$1,I2017=0),"",IF(N2017=MappingTables!$C$14,VLOOKUP(J2017,ModelParameters!$M$8:$N$15,2,FALSE),IF(N2017=MappingTables!$C$16,VLOOKUP(J2017,ModelParameters!$P$8:$Q$15,2,FALSE),0)))</f>
        <v>1</v>
      </c>
      <c r="P2017" s="73">
        <f>IF(OR(I2017=0,I2017=$A$1),0,MIN(O2017*M2017,1)*K2017)</f>
        <v>0.4191946642003296</v>
      </c>
      <c r="Q2017" s="73">
        <f>IF(B2017="",0,IF(OR(H2017=MappingTables!$C$34,H2017=MappingTables!$C$35),P2017,0))</f>
        <v>0</v>
      </c>
      <c r="R2017" s="73">
        <f>IF(ISNA(IF(AND(VLOOKUP(CONCATENATE($D2017,$G2017),CSRFinput!$B:$E,4,0)=0,OR(H2017=MappingTables!$C$31,H2017=MappingTables!$C$32)),1,VLOOKUP(CONCATENATE($D2017,$G2017),CSRFinput!$B:$E,4,0))),0,IF(AND(VLOOKUP(CONCATENATE($D2017,$G2017),CSRFinput!$B:$E,4,0)=0,OR(H2017=MappingTables!$C$31,H2017=MappingTables!$C$32)),1,VLOOKUP(CONCATENATE($D2017,$G2017),CSRFinput!$B:$E,4,0)))</f>
        <v>0.054776304963434752</v>
      </c>
      <c r="S2017" s="73">
        <f>IF(B2017="",0,P2017*R2017)</f>
        <v>0.02296193476528188</v>
      </c>
      <c r="T2017" s="85">
        <f>IF(B2017="",0,IF(OR(H2017=MappingTables!$C$34,H2017=MappingTables!$C$35),S2017,0))</f>
        <v>0</v>
      </c>
    </row>
    <row r="2018" spans="2:20" s="0" customFormat="0" ht="15">
      <c r="B2018" s="69" t="s">
        <v>4762</v>
      </c>
      <c r="C2018" s="70" t="s">
        <v>4763</v>
      </c>
      <c r="D2018" s="70" t="s">
        <v>1</v>
      </c>
      <c r="E2018" s="70" t="s">
        <v>1</v>
      </c>
      <c r="F2018" s="70"/>
      <c r="G2018" s="70" t="s">
        <v>61</v>
      </c>
      <c r="H2018" s="70" t="s">
        <v>178</v>
      </c>
      <c r="I2018" s="70" t="s">
        <v>181</v>
      </c>
      <c r="J2018" s="71">
        <f>IF(OR(I2018=0,I2018=""),"unrated",VLOOKUP(I2018,MappingTables!$B$19:$C$31,2,FALSE))</f>
        <v>3</v>
      </c>
      <c r="K2018" s="72">
        <v>60.9218764211192</v>
      </c>
      <c r="L2018" s="70">
        <v>0.06849433385657416</v>
      </c>
      <c r="M2018" s="71">
        <f>IF(L2018&lt;1,1,L2018)</f>
        <v>1</v>
      </c>
      <c r="N2018" s="70" t="s">
        <v>3288</v>
      </c>
      <c r="O2018" s="71">
        <f>IF(OR(I2018=$A$1,I2018=0),"",IF(N2018=MappingTables!$C$14,VLOOKUP(J2018,ModelParameters!$M$8:$N$15,2,FALSE),IF(N2018=MappingTables!$C$16,VLOOKUP(J2018,ModelParameters!$P$8:$Q$15,2,FALSE),0)))</f>
        <v>0.197</v>
      </c>
      <c r="P2018" s="73">
        <f>IF(OR(I2018=0,I2018=$A$1),0,MIN(O2018*M2018,1)*K2018)</f>
        <v>12.00160965496048</v>
      </c>
      <c r="Q2018" s="73">
        <f>IF(B2018="",0,IF(OR(H2018=MappingTables!$C$34,H2018=MappingTables!$C$35),P2018,0))</f>
        <v>0</v>
      </c>
      <c r="R2018" s="73">
        <f>IF(ISNA(IF(AND(VLOOKUP(CONCATENATE($D2018,$G2018),CSRFinput!$B:$E,4,0)=0,OR(H2018=MappingTables!$C$31,H2018=MappingTables!$C$32)),1,VLOOKUP(CONCATENATE($D2018,$G2018),CSRFinput!$B:$E,4,0))),0,IF(AND(VLOOKUP(CONCATENATE($D2018,$G2018),CSRFinput!$B:$E,4,0)=0,OR(H2018=MappingTables!$C$31,H2018=MappingTables!$C$32)),1,VLOOKUP(CONCATENATE($D2018,$G2018),CSRFinput!$B:$E,4,0)))</f>
        <v>0.054776304963434752</v>
      </c>
      <c r="S2018" s="73">
        <f>IF(B2018="",0,P2018*R2018)</f>
        <v>0.65740383051221832</v>
      </c>
      <c r="T2018" s="85">
        <f>IF(B2018="",0,IF(OR(H2018=MappingTables!$C$34,H2018=MappingTables!$C$35),S2018,0))</f>
        <v>0</v>
      </c>
    </row>
    <row r="2019" spans="2:20" s="0" customFormat="0" ht="15">
      <c r="B2019" s="69" t="s">
        <v>5206</v>
      </c>
      <c r="C2019" s="70" t="s">
        <v>5207</v>
      </c>
      <c r="D2019" s="70" t="s">
        <v>1</v>
      </c>
      <c r="E2019" s="70" t="s">
        <v>1</v>
      </c>
      <c r="F2019" s="70"/>
      <c r="G2019" s="70" t="s">
        <v>61</v>
      </c>
      <c r="H2019" s="70" t="s">
        <v>178</v>
      </c>
      <c r="I2019" s="70" t="s">
        <v>198</v>
      </c>
      <c r="J2019" s="71" t="str">
        <f>IF(OR(I2019=0,I2019=""),"unrated",VLOOKUP(I2019,MappingTables!$B$19:$C$31,2,FALSE))</f>
        <v>unrated</v>
      </c>
      <c r="K2019" s="72">
        <v>85.698678895563952</v>
      </c>
      <c r="L2019" s="70">
        <v>-0.0083864967237346336</v>
      </c>
      <c r="M2019" s="71">
        <f>IF(L2019&lt;1,1,L2019)</f>
        <v>1</v>
      </c>
      <c r="N2019" s="70" t="s">
        <v>3288</v>
      </c>
      <c r="O2019" s="71">
        <f>IF(OR(I2019=$A$1,I2019=0),"",IF(N2019=MappingTables!$C$14,VLOOKUP(J2019,ModelParameters!$M$8:$N$15,2,FALSE),IF(N2019=MappingTables!$C$16,VLOOKUP(J2019,ModelParameters!$P$8:$Q$15,2,FALSE),0)))</f>
        <v>1</v>
      </c>
      <c r="P2019" s="73">
        <f>IF(OR(I2019=0,I2019=$A$1),0,MIN(O2019*M2019,1)*K2019)</f>
        <v>85.698678895563952</v>
      </c>
      <c r="Q2019" s="73">
        <f>IF(B2019="",0,IF(OR(H2019=MappingTables!$C$34,H2019=MappingTables!$C$35),P2019,0))</f>
        <v>0</v>
      </c>
      <c r="R2019" s="73">
        <f>IF(ISNA(IF(AND(VLOOKUP(CONCATENATE($D2019,$G2019),CSRFinput!$B:$E,4,0)=0,OR(H2019=MappingTables!$C$31,H2019=MappingTables!$C$32)),1,VLOOKUP(CONCATENATE($D2019,$G2019),CSRFinput!$B:$E,4,0))),0,IF(AND(VLOOKUP(CONCATENATE($D2019,$G2019),CSRFinput!$B:$E,4,0)=0,OR(H2019=MappingTables!$C$31,H2019=MappingTables!$C$32)),1,VLOOKUP(CONCATENATE($D2019,$G2019),CSRFinput!$B:$E,4,0)))</f>
        <v>0.054776304963434752</v>
      </c>
      <c r="S2019" s="73">
        <f>IF(B2019="",0,P2019*R2019)</f>
        <v>4.6942569701468816</v>
      </c>
      <c r="T2019" s="85">
        <f>IF(B2019="",0,IF(OR(H2019=MappingTables!$C$34,H2019=MappingTables!$C$35),S2019,0))</f>
        <v>0</v>
      </c>
    </row>
    <row r="2020" spans="2:20" s="0" customFormat="0" ht="15">
      <c r="B2020" s="69" t="s">
        <v>4316</v>
      </c>
      <c r="C2020" s="70" t="s">
        <v>4317</v>
      </c>
      <c r="D2020" s="70" t="s">
        <v>1</v>
      </c>
      <c r="E2020" s="70" t="s">
        <v>1</v>
      </c>
      <c r="F2020" s="70"/>
      <c r="G2020" s="70" t="s">
        <v>61</v>
      </c>
      <c r="H2020" s="70" t="s">
        <v>178</v>
      </c>
      <c r="I2020" s="70" t="s">
        <v>3298</v>
      </c>
      <c r="J2020" s="71">
        <f>IF(OR(I2020=0,I2020=""),"unrated",VLOOKUP(I2020,MappingTables!$B$19:$C$31,2,FALSE))</f>
        <v>6</v>
      </c>
      <c r="K2020" s="72">
        <v>70.689343439982704</v>
      </c>
      <c r="L2020" s="70">
        <v>-0.47712535439764032</v>
      </c>
      <c r="M2020" s="71">
        <f>IF(L2020&lt;1,1,L2020)</f>
        <v>1</v>
      </c>
      <c r="N2020" s="70" t="s">
        <v>3288</v>
      </c>
      <c r="O2020" s="71">
        <f>IF(OR(I2020=$A$1,I2020=0),"",IF(N2020=MappingTables!$C$14,VLOOKUP(J2020,ModelParameters!$M$8:$N$15,2,FALSE),IF(N2020=MappingTables!$C$16,VLOOKUP(J2020,ModelParameters!$P$8:$Q$15,2,FALSE),0)))</f>
        <v>1</v>
      </c>
      <c r="P2020" s="73">
        <f>IF(OR(I2020=0,I2020=$A$1),0,MIN(O2020*M2020,1)*K2020)</f>
        <v>70.689343439982704</v>
      </c>
      <c r="Q2020" s="73">
        <f>IF(B2020="",0,IF(OR(H2020=MappingTables!$C$34,H2020=MappingTables!$C$35),P2020,0))</f>
        <v>0</v>
      </c>
      <c r="R2020" s="73">
        <f>IF(ISNA(IF(AND(VLOOKUP(CONCATENATE($D2020,$G2020),CSRFinput!$B:$E,4,0)=0,OR(H2020=MappingTables!$C$31,H2020=MappingTables!$C$32)),1,VLOOKUP(CONCATENATE($D2020,$G2020),CSRFinput!$B:$E,4,0))),0,IF(AND(VLOOKUP(CONCATENATE($D2020,$G2020),CSRFinput!$B:$E,4,0)=0,OR(H2020=MappingTables!$C$31,H2020=MappingTables!$C$32)),1,VLOOKUP(CONCATENATE($D2020,$G2020),CSRFinput!$B:$E,4,0)))</f>
        <v>0.054776304963434752</v>
      </c>
      <c r="S2020" s="73">
        <f>IF(B2020="",0,P2020*R2020)</f>
        <v>3.8721010339334688</v>
      </c>
      <c r="T2020" s="85">
        <f>IF(B2020="",0,IF(OR(H2020=MappingTables!$C$34,H2020=MappingTables!$C$35),S2020,0))</f>
        <v>0</v>
      </c>
    </row>
    <row r="2021" spans="2:20" s="0" customFormat="0" ht="15">
      <c r="B2021" s="69">
        <v>22554266</v>
      </c>
      <c r="C2021" s="70" t="s">
        <v>5208</v>
      </c>
      <c r="D2021" s="70" t="s">
        <v>1</v>
      </c>
      <c r="E2021" s="70" t="s">
        <v>1</v>
      </c>
      <c r="F2021" s="70"/>
      <c r="G2021" s="70" t="s">
        <v>61</v>
      </c>
      <c r="H2021" s="70" t="s">
        <v>178</v>
      </c>
      <c r="I2021" s="70" t="s">
        <v>216</v>
      </c>
      <c r="J2021" s="71">
        <f>IF(OR(I2021=0,I2021=""),"unrated",VLOOKUP(I2021,MappingTables!$B$19:$C$31,2,FALSE))</f>
        <v>0</v>
      </c>
      <c r="K2021" s="72">
        <v>7.9390948781103504</v>
      </c>
      <c r="L2021" s="70">
        <v>0.081451374571659776</v>
      </c>
      <c r="M2021" s="71">
        <f>IF(L2021&lt;1,1,L2021)</f>
        <v>1</v>
      </c>
      <c r="N2021" s="70" t="s">
        <v>3288</v>
      </c>
      <c r="O2021" s="71">
        <f>IF(OR(I2021=$A$1,I2021=0),"",IF(N2021=MappingTables!$C$14,VLOOKUP(J2021,ModelParameters!$M$8:$N$15,2,FALSE),IF(N2021=MappingTables!$C$16,VLOOKUP(J2021,ModelParameters!$P$8:$Q$15,2,FALSE),0)))</f>
        <v>0.125</v>
      </c>
      <c r="P2021" s="73">
        <f>IF(OR(I2021=0,I2021=$A$1),0,MIN(O2021*M2021,1)*K2021)</f>
        <v>0.99238685976379376</v>
      </c>
      <c r="Q2021" s="73">
        <f>IF(B2021="",0,IF(OR(H2021=MappingTables!$C$34,H2021=MappingTables!$C$35),P2021,0))</f>
        <v>0</v>
      </c>
      <c r="R2021" s="73">
        <f>IF(ISNA(IF(AND(VLOOKUP(CONCATENATE($D2021,$G2021),CSRFinput!$B:$E,4,0)=0,OR(H2021=MappingTables!$C$31,H2021=MappingTables!$C$32)),1,VLOOKUP(CONCATENATE($D2021,$G2021),CSRFinput!$B:$E,4,0))),0,IF(AND(VLOOKUP(CONCATENATE($D2021,$G2021),CSRFinput!$B:$E,4,0)=0,OR(H2021=MappingTables!$C$31,H2021=MappingTables!$C$32)),1,VLOOKUP(CONCATENATE($D2021,$G2021),CSRFinput!$B:$E,4,0)))</f>
        <v>0.054776304963434752</v>
      </c>
      <c r="S2021" s="73">
        <f>IF(B2021="",0,P2021*R2021)</f>
        <v>0.054359285272126928</v>
      </c>
      <c r="T2021" s="85">
        <f>IF(B2021="",0,IF(OR(H2021=MappingTables!$C$34,H2021=MappingTables!$C$35),S2021,0))</f>
        <v>0</v>
      </c>
    </row>
    <row r="2022" spans="2:20" s="0" customFormat="0" ht="15">
      <c r="B2022" s="69">
        <v>22554066</v>
      </c>
      <c r="C2022" s="70" t="s">
        <v>4887</v>
      </c>
      <c r="D2022" s="70" t="s">
        <v>1</v>
      </c>
      <c r="E2022" s="70" t="s">
        <v>1</v>
      </c>
      <c r="F2022" s="70"/>
      <c r="G2022" s="70" t="s">
        <v>61</v>
      </c>
      <c r="H2022" s="70" t="s">
        <v>178</v>
      </c>
      <c r="I2022" s="70" t="s">
        <v>198</v>
      </c>
      <c r="J2022" s="71" t="str">
        <f>IF(OR(I2022=0,I2022=""),"unrated",VLOOKUP(I2022,MappingTables!$B$19:$C$31,2,FALSE))</f>
        <v>unrated</v>
      </c>
      <c r="K2022" s="72">
        <v>654.70406074121232</v>
      </c>
      <c r="L2022" s="70">
        <v>0.054793842772199328</v>
      </c>
      <c r="M2022" s="71">
        <f>IF(L2022&lt;1,1,L2022)</f>
        <v>1</v>
      </c>
      <c r="N2022" s="70" t="s">
        <v>3288</v>
      </c>
      <c r="O2022" s="71">
        <f>IF(OR(I2022=$A$1,I2022=0),"",IF(N2022=MappingTables!$C$14,VLOOKUP(J2022,ModelParameters!$M$8:$N$15,2,FALSE),IF(N2022=MappingTables!$C$16,VLOOKUP(J2022,ModelParameters!$P$8:$Q$15,2,FALSE),0)))</f>
        <v>1</v>
      </c>
      <c r="P2022" s="73">
        <f>IF(OR(I2022=0,I2022=$A$1),0,MIN(O2022*M2022,1)*K2022)</f>
        <v>654.70406074121232</v>
      </c>
      <c r="Q2022" s="73">
        <f>IF(B2022="",0,IF(OR(H2022=MappingTables!$C$34,H2022=MappingTables!$C$35),P2022,0))</f>
        <v>0</v>
      </c>
      <c r="R2022" s="73">
        <f>IF(ISNA(IF(AND(VLOOKUP(CONCATENATE($D2022,$G2022),CSRFinput!$B:$E,4,0)=0,OR(H2022=MappingTables!$C$31,H2022=MappingTables!$C$32)),1,VLOOKUP(CONCATENATE($D2022,$G2022),CSRFinput!$B:$E,4,0))),0,IF(AND(VLOOKUP(CONCATENATE($D2022,$G2022),CSRFinput!$B:$E,4,0)=0,OR(H2022=MappingTables!$C$31,H2022=MappingTables!$C$32)),1,VLOOKUP(CONCATENATE($D2022,$G2022),CSRFinput!$B:$E,4,0)))</f>
        <v>0.054776304963434752</v>
      </c>
      <c r="S2022" s="73">
        <f>IF(B2022="",0,P2022*R2022)</f>
        <v>35.862269291959756</v>
      </c>
      <c r="T2022" s="85">
        <f>IF(B2022="",0,IF(OR(H2022=MappingTables!$C$34,H2022=MappingTables!$C$35),S2022,0))</f>
        <v>0</v>
      </c>
    </row>
    <row r="2023" spans="2:20" s="0" customFormat="0" ht="15">
      <c r="B2023" s="69" t="s">
        <v>4282</v>
      </c>
      <c r="C2023" s="70" t="s">
        <v>4283</v>
      </c>
      <c r="D2023" s="70" t="s">
        <v>1</v>
      </c>
      <c r="E2023" s="70" t="s">
        <v>1</v>
      </c>
      <c r="F2023" s="70"/>
      <c r="G2023" s="70" t="s">
        <v>61</v>
      </c>
      <c r="H2023" s="70" t="s">
        <v>178</v>
      </c>
      <c r="I2023" s="70" t="s">
        <v>513</v>
      </c>
      <c r="J2023" s="71">
        <f>IF(OR(I2023=0,I2023=""),"unrated",VLOOKUP(I2023,MappingTables!$B$19:$C$31,2,FALSE))</f>
        <v>6</v>
      </c>
      <c r="K2023" s="72">
        <v>3197.3869433226104</v>
      </c>
      <c r="L2023" s="70">
        <v>0.06849010574983028</v>
      </c>
      <c r="M2023" s="71">
        <f>IF(L2023&lt;1,1,L2023)</f>
        <v>1</v>
      </c>
      <c r="N2023" s="70" t="s">
        <v>3288</v>
      </c>
      <c r="O2023" s="71">
        <f>IF(OR(I2023=$A$1,I2023=0),"",IF(N2023=MappingTables!$C$14,VLOOKUP(J2023,ModelParameters!$M$8:$N$15,2,FALSE),IF(N2023=MappingTables!$C$16,VLOOKUP(J2023,ModelParameters!$P$8:$Q$15,2,FALSE),0)))</f>
        <v>1</v>
      </c>
      <c r="P2023" s="73">
        <f>IF(OR(I2023=0,I2023=$A$1),0,MIN(O2023*M2023,1)*K2023)</f>
        <v>3197.3869433226104</v>
      </c>
      <c r="Q2023" s="73">
        <f>IF(B2023="",0,IF(OR(H2023=MappingTables!$C$34,H2023=MappingTables!$C$35),P2023,0))</f>
        <v>0</v>
      </c>
      <c r="R2023" s="73">
        <f>IF(ISNA(IF(AND(VLOOKUP(CONCATENATE($D2023,$G2023),CSRFinput!$B:$E,4,0)=0,OR(H2023=MappingTables!$C$31,H2023=MappingTables!$C$32)),1,VLOOKUP(CONCATENATE($D2023,$G2023),CSRFinput!$B:$E,4,0))),0,IF(AND(VLOOKUP(CONCATENATE($D2023,$G2023),CSRFinput!$B:$E,4,0)=0,OR(H2023=MappingTables!$C$31,H2023=MappingTables!$C$32)),1,VLOOKUP(CONCATENATE($D2023,$G2023),CSRFinput!$B:$E,4,0)))</f>
        <v>0.054776304963434752</v>
      </c>
      <c r="S2023" s="73">
        <f>IF(B2023="",0,P2023*R2023)</f>
        <v>175.1410422935438</v>
      </c>
      <c r="T2023" s="85">
        <f>IF(B2023="",0,IF(OR(H2023=MappingTables!$C$34,H2023=MappingTables!$C$35),S2023,0))</f>
        <v>0</v>
      </c>
    </row>
    <row r="2024" spans="2:20" s="0" customFormat="0" ht="15">
      <c r="B2024" s="69" t="s">
        <v>5198</v>
      </c>
      <c r="C2024" s="70" t="s">
        <v>5199</v>
      </c>
      <c r="D2024" s="70" t="s">
        <v>1</v>
      </c>
      <c r="E2024" s="70" t="s">
        <v>1</v>
      </c>
      <c r="F2024" s="70"/>
      <c r="G2024" s="70" t="s">
        <v>61</v>
      </c>
      <c r="H2024" s="70" t="s">
        <v>178</v>
      </c>
      <c r="I2024" s="70" t="s">
        <v>198</v>
      </c>
      <c r="J2024" s="71" t="str">
        <f>IF(OR(I2024=0,I2024=""),"unrated",VLOOKUP(I2024,MappingTables!$B$19:$C$31,2,FALSE))</f>
        <v>unrated</v>
      </c>
      <c r="K2024" s="72">
        <v>468.99630611799944</v>
      </c>
      <c r="L2024" s="70">
        <v>34.903193391737764</v>
      </c>
      <c r="M2024" s="71">
        <f>IF(L2024&lt;1,1,L2024)</f>
        <v>34.903193391737764</v>
      </c>
      <c r="N2024" s="70" t="s">
        <v>3288</v>
      </c>
      <c r="O2024" s="71">
        <f>IF(OR(I2024=$A$1,I2024=0),"",IF(N2024=MappingTables!$C$14,VLOOKUP(J2024,ModelParameters!$M$8:$N$15,2,FALSE),IF(N2024=MappingTables!$C$16,VLOOKUP(J2024,ModelParameters!$P$8:$Q$15,2,FALSE),0)))</f>
        <v>1</v>
      </c>
      <c r="P2024" s="73">
        <f>IF(OR(I2024=0,I2024=$A$1),0,MIN(O2024*M2024,1)*K2024)</f>
        <v>468.99630611799944</v>
      </c>
      <c r="Q2024" s="73">
        <f>IF(B2024="",0,IF(OR(H2024=MappingTables!$C$34,H2024=MappingTables!$C$35),P2024,0))</f>
        <v>0</v>
      </c>
      <c r="R2024" s="73">
        <f>IF(ISNA(IF(AND(VLOOKUP(CONCATENATE($D2024,$G2024),CSRFinput!$B:$E,4,0)=0,OR(H2024=MappingTables!$C$31,H2024=MappingTables!$C$32)),1,VLOOKUP(CONCATENATE($D2024,$G2024),CSRFinput!$B:$E,4,0))),0,IF(AND(VLOOKUP(CONCATENATE($D2024,$G2024),CSRFinput!$B:$E,4,0)=0,OR(H2024=MappingTables!$C$31,H2024=MappingTables!$C$32)),1,VLOOKUP(CONCATENATE($D2024,$G2024),CSRFinput!$B:$E,4,0)))</f>
        <v>0.054776304963434752</v>
      </c>
      <c r="S2024" s="73">
        <f>IF(B2024="",0,P2024*R2024)</f>
        <v>25.689884690643936</v>
      </c>
      <c r="T2024" s="85">
        <f>IF(B2024="",0,IF(OR(H2024=MappingTables!$C$34,H2024=MappingTables!$C$35),S2024,0))</f>
        <v>0</v>
      </c>
    </row>
    <row r="2025" spans="2:20" s="0" customFormat="0" ht="15">
      <c r="B2025" s="69">
        <v>11100305</v>
      </c>
      <c r="C2025" s="70" t="s">
        <v>5187</v>
      </c>
      <c r="D2025" s="70" t="s">
        <v>1</v>
      </c>
      <c r="E2025" s="70" t="s">
        <v>1</v>
      </c>
      <c r="F2025" s="70"/>
      <c r="G2025" s="70" t="s">
        <v>61</v>
      </c>
      <c r="H2025" s="70" t="s">
        <v>178</v>
      </c>
      <c r="I2025" s="70" t="s">
        <v>216</v>
      </c>
      <c r="J2025" s="71">
        <f>IF(OR(I2025=0,I2025=""),"unrated",VLOOKUP(I2025,MappingTables!$B$19:$C$31,2,FALSE))</f>
        <v>0</v>
      </c>
      <c r="K2025" s="72">
        <v>108.68085255411746</v>
      </c>
      <c r="L2025" s="70">
        <v>1.5590666853004706</v>
      </c>
      <c r="M2025" s="71">
        <f>IF(L2025&lt;1,1,L2025)</f>
        <v>1.5590666853004706</v>
      </c>
      <c r="N2025" s="70" t="s">
        <v>3288</v>
      </c>
      <c r="O2025" s="71">
        <f>IF(OR(I2025=$A$1,I2025=0),"",IF(N2025=MappingTables!$C$14,VLOOKUP(J2025,ModelParameters!$M$8:$N$15,2,FALSE),IF(N2025=MappingTables!$C$16,VLOOKUP(J2025,ModelParameters!$P$8:$Q$15,2,FALSE),0)))</f>
        <v>0.125</v>
      </c>
      <c r="P2025" s="73">
        <f>IF(OR(I2025=0,I2025=$A$1),0,MIN(O2025*M2025,1)*K2025)</f>
        <v>21.180087068397136</v>
      </c>
      <c r="Q2025" s="73">
        <f>IF(B2025="",0,IF(OR(H2025=MappingTables!$C$34,H2025=MappingTables!$C$35),P2025,0))</f>
        <v>0</v>
      </c>
      <c r="R2025" s="73">
        <f>IF(ISNA(IF(AND(VLOOKUP(CONCATENATE($D2025,$G2025),CSRFinput!$B:$E,4,0)=0,OR(H2025=MappingTables!$C$31,H2025=MappingTables!$C$32)),1,VLOOKUP(CONCATENATE($D2025,$G2025),CSRFinput!$B:$E,4,0))),0,IF(AND(VLOOKUP(CONCATENATE($D2025,$G2025),CSRFinput!$B:$E,4,0)=0,OR(H2025=MappingTables!$C$31,H2025=MappingTables!$C$32)),1,VLOOKUP(CONCATENATE($D2025,$G2025),CSRFinput!$B:$E,4,0)))</f>
        <v>0.054776304963434752</v>
      </c>
      <c r="S2025" s="73">
        <f>IF(B2025="",0,P2025*R2025)</f>
        <v>1.1601669084106224</v>
      </c>
      <c r="T2025" s="85">
        <f>IF(B2025="",0,IF(OR(H2025=MappingTables!$C$34,H2025=MappingTables!$C$35),S2025,0))</f>
        <v>0</v>
      </c>
    </row>
    <row r="2026" spans="2:20" s="0" customFormat="0" ht="15">
      <c r="B2026" s="69" t="s">
        <v>3864</v>
      </c>
      <c r="C2026" s="70" t="s">
        <v>3865</v>
      </c>
      <c r="D2026" s="70" t="s">
        <v>1</v>
      </c>
      <c r="E2026" s="70" t="s">
        <v>1</v>
      </c>
      <c r="F2026" s="70"/>
      <c r="G2026" s="70" t="s">
        <v>61</v>
      </c>
      <c r="H2026" s="70" t="s">
        <v>178</v>
      </c>
      <c r="I2026" s="70" t="s">
        <v>198</v>
      </c>
      <c r="J2026" s="71" t="str">
        <f>IF(OR(I2026=0,I2026=""),"unrated",VLOOKUP(I2026,MappingTables!$B$19:$C$31,2,FALSE))</f>
        <v>unrated</v>
      </c>
      <c r="K2026" s="72">
        <v>16.4981081755292</v>
      </c>
      <c r="L2026" s="70">
        <v>0.068493018306730424</v>
      </c>
      <c r="M2026" s="71">
        <f>IF(L2026&lt;1,1,L2026)</f>
        <v>1</v>
      </c>
      <c r="N2026" s="70" t="s">
        <v>3288</v>
      </c>
      <c r="O2026" s="71">
        <f>IF(OR(I2026=$A$1,I2026=0),"",IF(N2026=MappingTables!$C$14,VLOOKUP(J2026,ModelParameters!$M$8:$N$15,2,FALSE),IF(N2026=MappingTables!$C$16,VLOOKUP(J2026,ModelParameters!$P$8:$Q$15,2,FALSE),0)))</f>
        <v>1</v>
      </c>
      <c r="P2026" s="73">
        <f>IF(OR(I2026=0,I2026=$A$1),0,MIN(O2026*M2026,1)*K2026)</f>
        <v>16.4981081755292</v>
      </c>
      <c r="Q2026" s="73">
        <f>IF(B2026="",0,IF(OR(H2026=MappingTables!$C$34,H2026=MappingTables!$C$35),P2026,0))</f>
        <v>0</v>
      </c>
      <c r="R2026" s="73">
        <f>IF(ISNA(IF(AND(VLOOKUP(CONCATENATE($D2026,$G2026),CSRFinput!$B:$E,4,0)=0,OR(H2026=MappingTables!$C$31,H2026=MappingTables!$C$32)),1,VLOOKUP(CONCATENATE($D2026,$G2026),CSRFinput!$B:$E,4,0))),0,IF(AND(VLOOKUP(CONCATENATE($D2026,$G2026),CSRFinput!$B:$E,4,0)=0,OR(H2026=MappingTables!$C$31,H2026=MappingTables!$C$32)),1,VLOOKUP(CONCATENATE($D2026,$G2026),CSRFinput!$B:$E,4,0)))</f>
        <v>0.054776304963434752</v>
      </c>
      <c r="S2026" s="73">
        <f>IF(B2026="",0,P2026*R2026)</f>
        <v>0.90370540474252352</v>
      </c>
      <c r="T2026" s="85">
        <f>IF(B2026="",0,IF(OR(H2026=MappingTables!$C$34,H2026=MappingTables!$C$35),S2026,0))</f>
        <v>0</v>
      </c>
    </row>
    <row r="2027" spans="2:20" s="0" customFormat="0" ht="15">
      <c r="B2027" s="69" t="s">
        <v>5155</v>
      </c>
      <c r="C2027" s="70" t="s">
        <v>5156</v>
      </c>
      <c r="D2027" s="70" t="s">
        <v>1</v>
      </c>
      <c r="E2027" s="70" t="s">
        <v>1</v>
      </c>
      <c r="F2027" s="70"/>
      <c r="G2027" s="70" t="s">
        <v>61</v>
      </c>
      <c r="H2027" s="70" t="s">
        <v>178</v>
      </c>
      <c r="I2027" s="70" t="s">
        <v>198</v>
      </c>
      <c r="J2027" s="71" t="str">
        <f>IF(OR(I2027=0,I2027=""),"unrated",VLOOKUP(I2027,MappingTables!$B$19:$C$31,2,FALSE))</f>
        <v>unrated</v>
      </c>
      <c r="K2027" s="72">
        <v>77.66896972132976</v>
      </c>
      <c r="L2027" s="70">
        <v>0.037365680002929152</v>
      </c>
      <c r="M2027" s="71">
        <f>IF(L2027&lt;1,1,L2027)</f>
        <v>1</v>
      </c>
      <c r="N2027" s="70" t="s">
        <v>3288</v>
      </c>
      <c r="O2027" s="71">
        <f>IF(OR(I2027=$A$1,I2027=0),"",IF(N2027=MappingTables!$C$14,VLOOKUP(J2027,ModelParameters!$M$8:$N$15,2,FALSE),IF(N2027=MappingTables!$C$16,VLOOKUP(J2027,ModelParameters!$P$8:$Q$15,2,FALSE),0)))</f>
        <v>1</v>
      </c>
      <c r="P2027" s="73">
        <f>IF(OR(I2027=0,I2027=$A$1),0,MIN(O2027*M2027,1)*K2027)</f>
        <v>77.66896972132976</v>
      </c>
      <c r="Q2027" s="73">
        <f>IF(B2027="",0,IF(OR(H2027=MappingTables!$C$34,H2027=MappingTables!$C$35),P2027,0))</f>
        <v>0</v>
      </c>
      <c r="R2027" s="73">
        <f>IF(ISNA(IF(AND(VLOOKUP(CONCATENATE($D2027,$G2027),CSRFinput!$B:$E,4,0)=0,OR(H2027=MappingTables!$C$31,H2027=MappingTables!$C$32)),1,VLOOKUP(CONCATENATE($D2027,$G2027),CSRFinput!$B:$E,4,0))),0,IF(AND(VLOOKUP(CONCATENATE($D2027,$G2027),CSRFinput!$B:$E,4,0)=0,OR(H2027=MappingTables!$C$31,H2027=MappingTables!$C$32)),1,VLOOKUP(CONCATENATE($D2027,$G2027),CSRFinput!$B:$E,4,0)))</f>
        <v>0.054776304963434752</v>
      </c>
      <c r="S2027" s="73">
        <f>IF(B2027="",0,P2027*R2027)</f>
        <v>4.2544191716513392</v>
      </c>
      <c r="T2027" s="85">
        <f>IF(B2027="",0,IF(OR(H2027=MappingTables!$C$34,H2027=MappingTables!$C$35),S2027,0))</f>
        <v>0</v>
      </c>
    </row>
    <row r="2028" spans="2:20" s="0" customFormat="0" ht="15">
      <c r="B2028" s="69">
        <v>22554389</v>
      </c>
      <c r="C2028" s="70" t="s">
        <v>3330</v>
      </c>
      <c r="D2028" s="70" t="s">
        <v>1</v>
      </c>
      <c r="E2028" s="70" t="s">
        <v>1</v>
      </c>
      <c r="F2028" s="70"/>
      <c r="G2028" s="70" t="s">
        <v>61</v>
      </c>
      <c r="H2028" s="70" t="s">
        <v>178</v>
      </c>
      <c r="I2028" s="70" t="s">
        <v>216</v>
      </c>
      <c r="J2028" s="71">
        <f>IF(OR(I2028=0,I2028=""),"unrated",VLOOKUP(I2028,MappingTables!$B$19:$C$31,2,FALSE))</f>
        <v>0</v>
      </c>
      <c r="K2028" s="72">
        <v>140.85606778036304</v>
      </c>
      <c r="L2028" s="70">
        <v>0.080743685989447472</v>
      </c>
      <c r="M2028" s="71">
        <f>IF(L2028&lt;1,1,L2028)</f>
        <v>1</v>
      </c>
      <c r="N2028" s="70" t="s">
        <v>3288</v>
      </c>
      <c r="O2028" s="71">
        <f>IF(OR(I2028=$A$1,I2028=0),"",IF(N2028=MappingTables!$C$14,VLOOKUP(J2028,ModelParameters!$M$8:$N$15,2,FALSE),IF(N2028=MappingTables!$C$16,VLOOKUP(J2028,ModelParameters!$P$8:$Q$15,2,FALSE),0)))</f>
        <v>0.125</v>
      </c>
      <c r="P2028" s="73">
        <f>IF(OR(I2028=0,I2028=$A$1),0,MIN(O2028*M2028,1)*K2028)</f>
        <v>17.607008472545382</v>
      </c>
      <c r="Q2028" s="73">
        <f>IF(B2028="",0,IF(OR(H2028=MappingTables!$C$34,H2028=MappingTables!$C$35),P2028,0))</f>
        <v>0</v>
      </c>
      <c r="R2028" s="73">
        <f>IF(ISNA(IF(AND(VLOOKUP(CONCATENATE($D2028,$G2028),CSRFinput!$B:$E,4,0)=0,OR(H2028=MappingTables!$C$31,H2028=MappingTables!$C$32)),1,VLOOKUP(CONCATENATE($D2028,$G2028),CSRFinput!$B:$E,4,0))),0,IF(AND(VLOOKUP(CONCATENATE($D2028,$G2028),CSRFinput!$B:$E,4,0)=0,OR(H2028=MappingTables!$C$31,H2028=MappingTables!$C$32)),1,VLOOKUP(CONCATENATE($D2028,$G2028),CSRFinput!$B:$E,4,0)))</f>
        <v>0.054776304963434752</v>
      </c>
      <c r="S2028" s="73">
        <f>IF(B2028="",0,P2028*R2028)</f>
        <v>0.96444686558592528</v>
      </c>
      <c r="T2028" s="85">
        <f>IF(B2028="",0,IF(OR(H2028=MappingTables!$C$34,H2028=MappingTables!$C$35),S2028,0))</f>
        <v>0</v>
      </c>
    </row>
    <row r="2029" spans="2:20" s="0" customFormat="0" ht="15">
      <c r="B2029" s="69" t="s">
        <v>5063</v>
      </c>
      <c r="C2029" s="70" t="s">
        <v>5064</v>
      </c>
      <c r="D2029" s="70" t="s">
        <v>1</v>
      </c>
      <c r="E2029" s="70" t="s">
        <v>1</v>
      </c>
      <c r="F2029" s="70"/>
      <c r="G2029" s="70" t="s">
        <v>61</v>
      </c>
      <c r="H2029" s="70" t="s">
        <v>178</v>
      </c>
      <c r="I2029" s="70" t="s">
        <v>3298</v>
      </c>
      <c r="J2029" s="71">
        <f>IF(OR(I2029=0,I2029=""),"unrated",VLOOKUP(I2029,MappingTables!$B$19:$C$31,2,FALSE))</f>
        <v>6</v>
      </c>
      <c r="K2029" s="72">
        <v>59.66943715931988</v>
      </c>
      <c r="L2029" s="70">
        <v>0.068493538323754616</v>
      </c>
      <c r="M2029" s="71">
        <f>IF(L2029&lt;1,1,L2029)</f>
        <v>1</v>
      </c>
      <c r="N2029" s="70" t="s">
        <v>3288</v>
      </c>
      <c r="O2029" s="71">
        <f>IF(OR(I2029=$A$1,I2029=0),"",IF(N2029=MappingTables!$C$14,VLOOKUP(J2029,ModelParameters!$M$8:$N$15,2,FALSE),IF(N2029=MappingTables!$C$16,VLOOKUP(J2029,ModelParameters!$P$8:$Q$15,2,FALSE),0)))</f>
        <v>1</v>
      </c>
      <c r="P2029" s="73">
        <f>IF(OR(I2029=0,I2029=$A$1),0,MIN(O2029*M2029,1)*K2029)</f>
        <v>59.66943715931988</v>
      </c>
      <c r="Q2029" s="73">
        <f>IF(B2029="",0,IF(OR(H2029=MappingTables!$C$34,H2029=MappingTables!$C$35),P2029,0))</f>
        <v>0</v>
      </c>
      <c r="R2029" s="73">
        <f>IF(ISNA(IF(AND(VLOOKUP(CONCATENATE($D2029,$G2029),CSRFinput!$B:$E,4,0)=0,OR(H2029=MappingTables!$C$31,H2029=MappingTables!$C$32)),1,VLOOKUP(CONCATENATE($D2029,$G2029),CSRFinput!$B:$E,4,0))),0,IF(AND(VLOOKUP(CONCATENATE($D2029,$G2029),CSRFinput!$B:$E,4,0)=0,OR(H2029=MappingTables!$C$31,H2029=MappingTables!$C$32)),1,VLOOKUP(CONCATENATE($D2029,$G2029),CSRFinput!$B:$E,4,0)))</f>
        <v>0.054776304963434752</v>
      </c>
      <c r="S2029" s="73">
        <f>IF(B2029="",0,P2029*R2029)</f>
        <v>3.2684712868354116</v>
      </c>
      <c r="T2029" s="85">
        <f>IF(B2029="",0,IF(OR(H2029=MappingTables!$C$34,H2029=MappingTables!$C$35),S2029,0))</f>
        <v>0</v>
      </c>
    </row>
    <row r="2030" spans="2:20" s="0" customFormat="0" ht="15">
      <c r="B2030" s="69">
        <v>19863506</v>
      </c>
      <c r="C2030" s="70" t="s">
        <v>3444</v>
      </c>
      <c r="D2030" s="70" t="s">
        <v>1</v>
      </c>
      <c r="E2030" s="70" t="s">
        <v>1</v>
      </c>
      <c r="F2030" s="70"/>
      <c r="G2030" s="70" t="s">
        <v>61</v>
      </c>
      <c r="H2030" s="70" t="s">
        <v>178</v>
      </c>
      <c r="I2030" s="70" t="s">
        <v>216</v>
      </c>
      <c r="J2030" s="71">
        <f>IF(OR(I2030=0,I2030=""),"unrated",VLOOKUP(I2030,MappingTables!$B$19:$C$31,2,FALSE))</f>
        <v>0</v>
      </c>
      <c r="K2030" s="72">
        <v>64.5762130397854</v>
      </c>
      <c r="L2030" s="70">
        <v>0.0257748980011152</v>
      </c>
      <c r="M2030" s="71">
        <f>IF(L2030&lt;1,1,L2030)</f>
        <v>1</v>
      </c>
      <c r="N2030" s="70" t="s">
        <v>3288</v>
      </c>
      <c r="O2030" s="71">
        <f>IF(OR(I2030=$A$1,I2030=0),"",IF(N2030=MappingTables!$C$14,VLOOKUP(J2030,ModelParameters!$M$8:$N$15,2,FALSE),IF(N2030=MappingTables!$C$16,VLOOKUP(J2030,ModelParameters!$P$8:$Q$15,2,FALSE),0)))</f>
        <v>0.125</v>
      </c>
      <c r="P2030" s="73">
        <f>IF(OR(I2030=0,I2030=$A$1),0,MIN(O2030*M2030,1)*K2030)</f>
        <v>8.0720266299731744</v>
      </c>
      <c r="Q2030" s="73">
        <f>IF(B2030="",0,IF(OR(H2030=MappingTables!$C$34,H2030=MappingTables!$C$35),P2030,0))</f>
        <v>0</v>
      </c>
      <c r="R2030" s="73">
        <f>IF(ISNA(IF(AND(VLOOKUP(CONCATENATE($D2030,$G2030),CSRFinput!$B:$E,4,0)=0,OR(H2030=MappingTables!$C$31,H2030=MappingTables!$C$32)),1,VLOOKUP(CONCATENATE($D2030,$G2030),CSRFinput!$B:$E,4,0))),0,IF(AND(VLOOKUP(CONCATENATE($D2030,$G2030),CSRFinput!$B:$E,4,0)=0,OR(H2030=MappingTables!$C$31,H2030=MappingTables!$C$32)),1,VLOOKUP(CONCATENATE($D2030,$G2030),CSRFinput!$B:$E,4,0)))</f>
        <v>0.054776304963434752</v>
      </c>
      <c r="S2030" s="73">
        <f>IF(B2030="",0,P2030*R2030)</f>
        <v>0.44215579235637712</v>
      </c>
      <c r="T2030" s="85">
        <f>IF(B2030="",0,IF(OR(H2030=MappingTables!$C$34,H2030=MappingTables!$C$35),S2030,0))</f>
        <v>0</v>
      </c>
    </row>
    <row r="2031" spans="2:20" s="0" customFormat="0" ht="15">
      <c r="B2031" s="69">
        <v>22554359</v>
      </c>
      <c r="C2031" s="70" t="s">
        <v>4468</v>
      </c>
      <c r="D2031" s="70" t="s">
        <v>1</v>
      </c>
      <c r="E2031" s="70" t="s">
        <v>1</v>
      </c>
      <c r="F2031" s="70"/>
      <c r="G2031" s="70" t="s">
        <v>61</v>
      </c>
      <c r="H2031" s="70" t="s">
        <v>178</v>
      </c>
      <c r="I2031" s="70" t="s">
        <v>216</v>
      </c>
      <c r="J2031" s="71">
        <f>IF(OR(I2031=0,I2031=""),"unrated",VLOOKUP(I2031,MappingTables!$B$19:$C$31,2,FALSE))</f>
        <v>0</v>
      </c>
      <c r="K2031" s="72">
        <v>1.7509944640225294</v>
      </c>
      <c r="L2031" s="70">
        <v>0.048450053367518136</v>
      </c>
      <c r="M2031" s="71">
        <f>IF(L2031&lt;1,1,L2031)</f>
        <v>1</v>
      </c>
      <c r="N2031" s="70" t="s">
        <v>3288</v>
      </c>
      <c r="O2031" s="71">
        <f>IF(OR(I2031=$A$1,I2031=0),"",IF(N2031=MappingTables!$C$14,VLOOKUP(J2031,ModelParameters!$M$8:$N$15,2,FALSE),IF(N2031=MappingTables!$C$16,VLOOKUP(J2031,ModelParameters!$P$8:$Q$15,2,FALSE),0)))</f>
        <v>0.125</v>
      </c>
      <c r="P2031" s="73">
        <f>IF(OR(I2031=0,I2031=$A$1),0,MIN(O2031*M2031,1)*K2031)</f>
        <v>0.2188743080028162</v>
      </c>
      <c r="Q2031" s="73">
        <f>IF(B2031="",0,IF(OR(H2031=MappingTables!$C$34,H2031=MappingTables!$C$35),P2031,0))</f>
        <v>0</v>
      </c>
      <c r="R2031" s="73">
        <f>IF(ISNA(IF(AND(VLOOKUP(CONCATENATE($D2031,$G2031),CSRFinput!$B:$E,4,0)=0,OR(H2031=MappingTables!$C$31,H2031=MappingTables!$C$32)),1,VLOOKUP(CONCATENATE($D2031,$G2031),CSRFinput!$B:$E,4,0))),0,IF(AND(VLOOKUP(CONCATENATE($D2031,$G2031),CSRFinput!$B:$E,4,0)=0,OR(H2031=MappingTables!$C$31,H2031=MappingTables!$C$32)),1,VLOOKUP(CONCATENATE($D2031,$G2031),CSRFinput!$B:$E,4,0)))</f>
        <v>0.054776304963434752</v>
      </c>
      <c r="S2031" s="73">
        <f>IF(B2031="",0,P2031*R2031)</f>
        <v>0.011989125843823008</v>
      </c>
      <c r="T2031" s="85">
        <f>IF(B2031="",0,IF(OR(H2031=MappingTables!$C$34,H2031=MappingTables!$C$35),S2031,0))</f>
        <v>0</v>
      </c>
    </row>
    <row r="2032" spans="2:20" s="0" customFormat="0" ht="15">
      <c r="B2032" s="69" t="s">
        <v>5209</v>
      </c>
      <c r="C2032" s="70" t="s">
        <v>5210</v>
      </c>
      <c r="D2032" s="70" t="s">
        <v>1</v>
      </c>
      <c r="E2032" s="70" t="s">
        <v>1</v>
      </c>
      <c r="F2032" s="70"/>
      <c r="G2032" s="70" t="s">
        <v>61</v>
      </c>
      <c r="H2032" s="70" t="s">
        <v>178</v>
      </c>
      <c r="I2032" s="70" t="s">
        <v>3291</v>
      </c>
      <c r="J2032" s="71">
        <f>IF(OR(I2032=0,I2032=""),"unrated",VLOOKUP(I2032,MappingTables!$B$19:$C$31,2,FALSE))</f>
        <v>6</v>
      </c>
      <c r="K2032" s="72">
        <v>374.4972614610136</v>
      </c>
      <c r="L2032" s="70">
        <v>0.068493042110868136</v>
      </c>
      <c r="M2032" s="71">
        <f>IF(L2032&lt;1,1,L2032)</f>
        <v>1</v>
      </c>
      <c r="N2032" s="70" t="s">
        <v>3288</v>
      </c>
      <c r="O2032" s="71">
        <f>IF(OR(I2032=$A$1,I2032=0),"",IF(N2032=MappingTables!$C$14,VLOOKUP(J2032,ModelParameters!$M$8:$N$15,2,FALSE),IF(N2032=MappingTables!$C$16,VLOOKUP(J2032,ModelParameters!$P$8:$Q$15,2,FALSE),0)))</f>
        <v>1</v>
      </c>
      <c r="P2032" s="73">
        <f>IF(OR(I2032=0,I2032=$A$1),0,MIN(O2032*M2032,1)*K2032)</f>
        <v>374.4972614610136</v>
      </c>
      <c r="Q2032" s="73">
        <f>IF(B2032="",0,IF(OR(H2032=MappingTables!$C$34,H2032=MappingTables!$C$35),P2032,0))</f>
        <v>0</v>
      </c>
      <c r="R2032" s="73">
        <f>IF(ISNA(IF(AND(VLOOKUP(CONCATENATE($D2032,$G2032),CSRFinput!$B:$E,4,0)=0,OR(H2032=MappingTables!$C$31,H2032=MappingTables!$C$32)),1,VLOOKUP(CONCATENATE($D2032,$G2032),CSRFinput!$B:$E,4,0))),0,IF(AND(VLOOKUP(CONCATENATE($D2032,$G2032),CSRFinput!$B:$E,4,0)=0,OR(H2032=MappingTables!$C$31,H2032=MappingTables!$C$32)),1,VLOOKUP(CONCATENATE($D2032,$G2032),CSRFinput!$B:$E,4,0)))</f>
        <v>0.054776304963434752</v>
      </c>
      <c r="S2032" s="73">
        <f>IF(B2032="",0,P2032*R2032)</f>
        <v>20.51357620175964</v>
      </c>
      <c r="T2032" s="85">
        <f>IF(B2032="",0,IF(OR(H2032=MappingTables!$C$34,H2032=MappingTables!$C$35),S2032,0))</f>
        <v>0</v>
      </c>
    </row>
    <row r="2033" spans="2:20" s="0" customFormat="0" ht="15">
      <c r="B2033" s="69">
        <v>22281235</v>
      </c>
      <c r="C2033" s="70" t="s">
        <v>4034</v>
      </c>
      <c r="D2033" s="70" t="s">
        <v>1</v>
      </c>
      <c r="E2033" s="70" t="s">
        <v>1</v>
      </c>
      <c r="F2033" s="70"/>
      <c r="G2033" s="70" t="s">
        <v>61</v>
      </c>
      <c r="H2033" s="70" t="s">
        <v>178</v>
      </c>
      <c r="I2033" s="70" t="s">
        <v>198</v>
      </c>
      <c r="J2033" s="71" t="str">
        <f>IF(OR(I2033=0,I2033=""),"unrated",VLOOKUP(I2033,MappingTables!$B$19:$C$31,2,FALSE))</f>
        <v>unrated</v>
      </c>
      <c r="K2033" s="72">
        <v>386.01732361868552</v>
      </c>
      <c r="L2033" s="70">
        <v>4.627305143525236</v>
      </c>
      <c r="M2033" s="71">
        <f>IF(L2033&lt;1,1,L2033)</f>
        <v>4.627305143525236</v>
      </c>
      <c r="N2033" s="70" t="s">
        <v>3288</v>
      </c>
      <c r="O2033" s="71">
        <f>IF(OR(I2033=$A$1,I2033=0),"",IF(N2033=MappingTables!$C$14,VLOOKUP(J2033,ModelParameters!$M$8:$N$15,2,FALSE),IF(N2033=MappingTables!$C$16,VLOOKUP(J2033,ModelParameters!$P$8:$Q$15,2,FALSE),0)))</f>
        <v>1</v>
      </c>
      <c r="P2033" s="73">
        <f>IF(OR(I2033=0,I2033=$A$1),0,MIN(O2033*M2033,1)*K2033)</f>
        <v>386.01732361868552</v>
      </c>
      <c r="Q2033" s="73">
        <f>IF(B2033="",0,IF(OR(H2033=MappingTables!$C$34,H2033=MappingTables!$C$35),P2033,0))</f>
        <v>0</v>
      </c>
      <c r="R2033" s="73">
        <f>IF(ISNA(IF(AND(VLOOKUP(CONCATENATE($D2033,$G2033),CSRFinput!$B:$E,4,0)=0,OR(H2033=MappingTables!$C$31,H2033=MappingTables!$C$32)),1,VLOOKUP(CONCATENATE($D2033,$G2033),CSRFinput!$B:$E,4,0))),0,IF(AND(VLOOKUP(CONCATENATE($D2033,$G2033),CSRFinput!$B:$E,4,0)=0,OR(H2033=MappingTables!$C$31,H2033=MappingTables!$C$32)),1,VLOOKUP(CONCATENATE($D2033,$G2033),CSRFinput!$B:$E,4,0)))</f>
        <v>0.054776304963434752</v>
      </c>
      <c r="S2033" s="73">
        <f>IF(B2033="",0,P2033*R2033)</f>
        <v>21.144602639706</v>
      </c>
      <c r="T2033" s="85">
        <f>IF(B2033="",0,IF(OR(H2033=MappingTables!$C$34,H2033=MappingTables!$C$35),S2033,0))</f>
        <v>0</v>
      </c>
    </row>
    <row r="2034" spans="2:20" s="0" customFormat="0" ht="15">
      <c r="B2034" s="69" t="s">
        <v>4219</v>
      </c>
      <c r="C2034" s="70" t="s">
        <v>4220</v>
      </c>
      <c r="D2034" s="70" t="s">
        <v>1</v>
      </c>
      <c r="E2034" s="70" t="s">
        <v>1</v>
      </c>
      <c r="F2034" s="70"/>
      <c r="G2034" s="70" t="s">
        <v>61</v>
      </c>
      <c r="H2034" s="70" t="s">
        <v>178</v>
      </c>
      <c r="I2034" s="70" t="s">
        <v>220</v>
      </c>
      <c r="J2034" s="71">
        <f>IF(OR(I2034=0,I2034=""),"unrated",VLOOKUP(I2034,MappingTables!$B$19:$C$31,2,FALSE))</f>
        <v>1</v>
      </c>
      <c r="K2034" s="72">
        <v>0.089211795903968816</v>
      </c>
      <c r="L2034" s="70">
        <v>0.068495975156641496</v>
      </c>
      <c r="M2034" s="71">
        <f>IF(L2034&lt;1,1,L2034)</f>
        <v>1</v>
      </c>
      <c r="N2034" s="70" t="s">
        <v>3288</v>
      </c>
      <c r="O2034" s="71">
        <f>IF(OR(I2034=$A$1,I2034=0),"",IF(N2034=MappingTables!$C$14,VLOOKUP(J2034,ModelParameters!$M$8:$N$15,2,FALSE),IF(N2034=MappingTables!$C$16,VLOOKUP(J2034,ModelParameters!$P$8:$Q$15,2,FALSE),0)))</f>
        <v>0.134</v>
      </c>
      <c r="P2034" s="73">
        <f>IF(OR(I2034=0,I2034=$A$1),0,MIN(O2034*M2034,1)*K2034)</f>
        <v>0.01195438065113182</v>
      </c>
      <c r="Q2034" s="73">
        <f>IF(B2034="",0,IF(OR(H2034=MappingTables!$C$34,H2034=MappingTables!$C$35),P2034,0))</f>
        <v>0</v>
      </c>
      <c r="R2034" s="73">
        <f>IF(ISNA(IF(AND(VLOOKUP(CONCATENATE($D2034,$G2034),CSRFinput!$B:$E,4,0)=0,OR(H2034=MappingTables!$C$31,H2034=MappingTables!$C$32)),1,VLOOKUP(CONCATENATE($D2034,$G2034),CSRFinput!$B:$E,4,0))),0,IF(AND(VLOOKUP(CONCATENATE($D2034,$G2034),CSRFinput!$B:$E,4,0)=0,OR(H2034=MappingTables!$C$31,H2034=MappingTables!$C$32)),1,VLOOKUP(CONCATENATE($D2034,$G2034),CSRFinput!$B:$E,4,0)))</f>
        <v>0.054776304963434752</v>
      </c>
      <c r="S2034" s="73">
        <f>IF(B2034="",0,P2034*R2034)</f>
        <v>0.00065481680019538032</v>
      </c>
      <c r="T2034" s="85">
        <f>IF(B2034="",0,IF(OR(H2034=MappingTables!$C$34,H2034=MappingTables!$C$35),S2034,0))</f>
        <v>0</v>
      </c>
    </row>
    <row r="2035" spans="2:20" s="0" customFormat="0" ht="15">
      <c r="B2035" s="69" t="s">
        <v>5164</v>
      </c>
      <c r="C2035" s="70" t="s">
        <v>5165</v>
      </c>
      <c r="D2035" s="70" t="s">
        <v>1</v>
      </c>
      <c r="E2035" s="70" t="s">
        <v>1</v>
      </c>
      <c r="F2035" s="70"/>
      <c r="G2035" s="70" t="s">
        <v>61</v>
      </c>
      <c r="H2035" s="70" t="s">
        <v>178</v>
      </c>
      <c r="I2035" s="70" t="s">
        <v>3298</v>
      </c>
      <c r="J2035" s="71">
        <f>IF(OR(I2035=0,I2035=""),"unrated",VLOOKUP(I2035,MappingTables!$B$19:$C$31,2,FALSE))</f>
        <v>6</v>
      </c>
      <c r="K2035" s="72">
        <v>68.263660666018936</v>
      </c>
      <c r="L2035" s="70">
        <v>0.068488927010224392</v>
      </c>
      <c r="M2035" s="71">
        <f>IF(L2035&lt;1,1,L2035)</f>
        <v>1</v>
      </c>
      <c r="N2035" s="70" t="s">
        <v>3288</v>
      </c>
      <c r="O2035" s="71">
        <f>IF(OR(I2035=$A$1,I2035=0),"",IF(N2035=MappingTables!$C$14,VLOOKUP(J2035,ModelParameters!$M$8:$N$15,2,FALSE),IF(N2035=MappingTables!$C$16,VLOOKUP(J2035,ModelParameters!$P$8:$Q$15,2,FALSE),0)))</f>
        <v>1</v>
      </c>
      <c r="P2035" s="73">
        <f>IF(OR(I2035=0,I2035=$A$1),0,MIN(O2035*M2035,1)*K2035)</f>
        <v>68.263660666018936</v>
      </c>
      <c r="Q2035" s="73">
        <f>IF(B2035="",0,IF(OR(H2035=MappingTables!$C$34,H2035=MappingTables!$C$35),P2035,0))</f>
        <v>0</v>
      </c>
      <c r="R2035" s="73">
        <f>IF(ISNA(IF(AND(VLOOKUP(CONCATENATE($D2035,$G2035),CSRFinput!$B:$E,4,0)=0,OR(H2035=MappingTables!$C$31,H2035=MappingTables!$C$32)),1,VLOOKUP(CONCATENATE($D2035,$G2035),CSRFinput!$B:$E,4,0))),0,IF(AND(VLOOKUP(CONCATENATE($D2035,$G2035),CSRFinput!$B:$E,4,0)=0,OR(H2035=MappingTables!$C$31,H2035=MappingTables!$C$32)),1,VLOOKUP(CONCATENATE($D2035,$G2035),CSRFinput!$B:$E,4,0)))</f>
        <v>0.054776304963434752</v>
      </c>
      <c r="S2035" s="73">
        <f>IF(B2035="",0,P2035*R2035)</f>
        <v>3.7392310945622784</v>
      </c>
      <c r="T2035" s="85">
        <f>IF(B2035="",0,IF(OR(H2035=MappingTables!$C$34,H2035=MappingTables!$C$35),S2035,0))</f>
        <v>0</v>
      </c>
    </row>
    <row r="2036" spans="2:20" s="0" customFormat="0" ht="15">
      <c r="B2036" s="69" t="s">
        <v>5211</v>
      </c>
      <c r="C2036" s="70" t="s">
        <v>5212</v>
      </c>
      <c r="D2036" s="70" t="s">
        <v>1</v>
      </c>
      <c r="E2036" s="70" t="s">
        <v>1</v>
      </c>
      <c r="F2036" s="70"/>
      <c r="G2036" s="70" t="s">
        <v>61</v>
      </c>
      <c r="H2036" s="70" t="s">
        <v>178</v>
      </c>
      <c r="I2036" s="70" t="s">
        <v>3298</v>
      </c>
      <c r="J2036" s="71">
        <f>IF(OR(I2036=0,I2036=""),"unrated",VLOOKUP(I2036,MappingTables!$B$19:$C$31,2,FALSE))</f>
        <v>6</v>
      </c>
      <c r="K2036" s="72">
        <v>296.62127908989656</v>
      </c>
      <c r="L2036" s="70">
        <v>0.068497167112128752</v>
      </c>
      <c r="M2036" s="71">
        <f>IF(L2036&lt;1,1,L2036)</f>
        <v>1</v>
      </c>
      <c r="N2036" s="70" t="s">
        <v>3288</v>
      </c>
      <c r="O2036" s="71">
        <f>IF(OR(I2036=$A$1,I2036=0),"",IF(N2036=MappingTables!$C$14,VLOOKUP(J2036,ModelParameters!$M$8:$N$15,2,FALSE),IF(N2036=MappingTables!$C$16,VLOOKUP(J2036,ModelParameters!$P$8:$Q$15,2,FALSE),0)))</f>
        <v>1</v>
      </c>
      <c r="P2036" s="73">
        <f>IF(OR(I2036=0,I2036=$A$1),0,MIN(O2036*M2036,1)*K2036)</f>
        <v>296.62127908989656</v>
      </c>
      <c r="Q2036" s="73">
        <f>IF(B2036="",0,IF(OR(H2036=MappingTables!$C$34,H2036=MappingTables!$C$35),P2036,0))</f>
        <v>0</v>
      </c>
      <c r="R2036" s="73">
        <f>IF(ISNA(IF(AND(VLOOKUP(CONCATENATE($D2036,$G2036),CSRFinput!$B:$E,4,0)=0,OR(H2036=MappingTables!$C$31,H2036=MappingTables!$C$32)),1,VLOOKUP(CONCATENATE($D2036,$G2036),CSRFinput!$B:$E,4,0))),0,IF(AND(VLOOKUP(CONCATENATE($D2036,$G2036),CSRFinput!$B:$E,4,0)=0,OR(H2036=MappingTables!$C$31,H2036=MappingTables!$C$32)),1,VLOOKUP(CONCATENATE($D2036,$G2036),CSRFinput!$B:$E,4,0)))</f>
        <v>0.054776304963434752</v>
      </c>
      <c r="S2036" s="73">
        <f>IF(B2036="",0,P2036*R2036)</f>
        <v>16.247817642072266</v>
      </c>
      <c r="T2036" s="85">
        <f>IF(B2036="",0,IF(OR(H2036=MappingTables!$C$34,H2036=MappingTables!$C$35),S2036,0))</f>
        <v>0</v>
      </c>
    </row>
    <row r="2037" spans="2:20" s="0" customFormat="0" ht="15">
      <c r="B2037" s="69" t="s">
        <v>5102</v>
      </c>
      <c r="C2037" s="70" t="s">
        <v>5103</v>
      </c>
      <c r="D2037" s="70" t="s">
        <v>1</v>
      </c>
      <c r="E2037" s="70" t="s">
        <v>1</v>
      </c>
      <c r="F2037" s="70"/>
      <c r="G2037" s="70" t="s">
        <v>61</v>
      </c>
      <c r="H2037" s="70" t="s">
        <v>178</v>
      </c>
      <c r="I2037" s="70" t="s">
        <v>198</v>
      </c>
      <c r="J2037" s="71" t="str">
        <f>IF(OR(I2037=0,I2037=""),"unrated",VLOOKUP(I2037,MappingTables!$B$19:$C$31,2,FALSE))</f>
        <v>unrated</v>
      </c>
      <c r="K2037" s="72">
        <v>166.85040669742898</v>
      </c>
      <c r="L2037" s="70">
        <v>0.87704280030863952</v>
      </c>
      <c r="M2037" s="71">
        <f>IF(L2037&lt;1,1,L2037)</f>
        <v>1</v>
      </c>
      <c r="N2037" s="70" t="s">
        <v>3288</v>
      </c>
      <c r="O2037" s="71">
        <f>IF(OR(I2037=$A$1,I2037=0),"",IF(N2037=MappingTables!$C$14,VLOOKUP(J2037,ModelParameters!$M$8:$N$15,2,FALSE),IF(N2037=MappingTables!$C$16,VLOOKUP(J2037,ModelParameters!$P$8:$Q$15,2,FALSE),0)))</f>
        <v>1</v>
      </c>
      <c r="P2037" s="73">
        <f>IF(OR(I2037=0,I2037=$A$1),0,MIN(O2037*M2037,1)*K2037)</f>
        <v>166.85040669742898</v>
      </c>
      <c r="Q2037" s="73">
        <f>IF(B2037="",0,IF(OR(H2037=MappingTables!$C$34,H2037=MappingTables!$C$35),P2037,0))</f>
        <v>0</v>
      </c>
      <c r="R2037" s="73">
        <f>IF(ISNA(IF(AND(VLOOKUP(CONCATENATE($D2037,$G2037),CSRFinput!$B:$E,4,0)=0,OR(H2037=MappingTables!$C$31,H2037=MappingTables!$C$32)),1,VLOOKUP(CONCATENATE($D2037,$G2037),CSRFinput!$B:$E,4,0))),0,IF(AND(VLOOKUP(CONCATENATE($D2037,$G2037),CSRFinput!$B:$E,4,0)=0,OR(H2037=MappingTables!$C$31,H2037=MappingTables!$C$32)),1,VLOOKUP(CONCATENATE($D2037,$G2037),CSRFinput!$B:$E,4,0)))</f>
        <v>0.054776304963434752</v>
      </c>
      <c r="S2037" s="73">
        <f>IF(B2037="",0,P2037*R2037)</f>
        <v>9.1394487605314864</v>
      </c>
      <c r="T2037" s="85">
        <f>IF(B2037="",0,IF(OR(H2037=MappingTables!$C$34,H2037=MappingTables!$C$35),S2037,0))</f>
        <v>0</v>
      </c>
    </row>
    <row r="2038" spans="2:20" s="0" customFormat="0" ht="15">
      <c r="B2038" s="69" t="s">
        <v>5171</v>
      </c>
      <c r="C2038" s="70" t="s">
        <v>5172</v>
      </c>
      <c r="D2038" s="70" t="s">
        <v>1</v>
      </c>
      <c r="E2038" s="70" t="s">
        <v>1</v>
      </c>
      <c r="F2038" s="70"/>
      <c r="G2038" s="70" t="s">
        <v>61</v>
      </c>
      <c r="H2038" s="70" t="s">
        <v>178</v>
      </c>
      <c r="I2038" s="70" t="s">
        <v>3298</v>
      </c>
      <c r="J2038" s="71">
        <f>IF(OR(I2038=0,I2038=""),"unrated",VLOOKUP(I2038,MappingTables!$B$19:$C$31,2,FALSE))</f>
        <v>6</v>
      </c>
      <c r="K2038" s="72">
        <v>106.0281045468077</v>
      </c>
      <c r="L2038" s="70">
        <v>0.06849797502592844</v>
      </c>
      <c r="M2038" s="71">
        <f>IF(L2038&lt;1,1,L2038)</f>
        <v>1</v>
      </c>
      <c r="N2038" s="70" t="s">
        <v>3288</v>
      </c>
      <c r="O2038" s="71">
        <f>IF(OR(I2038=$A$1,I2038=0),"",IF(N2038=MappingTables!$C$14,VLOOKUP(J2038,ModelParameters!$M$8:$N$15,2,FALSE),IF(N2038=MappingTables!$C$16,VLOOKUP(J2038,ModelParameters!$P$8:$Q$15,2,FALSE),0)))</f>
        <v>1</v>
      </c>
      <c r="P2038" s="73">
        <f>IF(OR(I2038=0,I2038=$A$1),0,MIN(O2038*M2038,1)*K2038)</f>
        <v>106.0281045468077</v>
      </c>
      <c r="Q2038" s="73">
        <f>IF(B2038="",0,IF(OR(H2038=MappingTables!$C$34,H2038=MappingTables!$C$35),P2038,0))</f>
        <v>0</v>
      </c>
      <c r="R2038" s="73">
        <f>IF(ISNA(IF(AND(VLOOKUP(CONCATENATE($D2038,$G2038),CSRFinput!$B:$E,4,0)=0,OR(H2038=MappingTables!$C$31,H2038=MappingTables!$C$32)),1,VLOOKUP(CONCATENATE($D2038,$G2038),CSRFinput!$B:$E,4,0))),0,IF(AND(VLOOKUP(CONCATENATE($D2038,$G2038),CSRFinput!$B:$E,4,0)=0,OR(H2038=MappingTables!$C$31,H2038=MappingTables!$C$32)),1,VLOOKUP(CONCATENATE($D2038,$G2038),CSRFinput!$B:$E,4,0)))</f>
        <v>0.054776304963434752</v>
      </c>
      <c r="S2038" s="73">
        <f>IF(B2038="",0,P2038*R2038)</f>
        <v>5.8078277893508808</v>
      </c>
      <c r="T2038" s="85">
        <f>IF(B2038="",0,IF(OR(H2038=MappingTables!$C$34,H2038=MappingTables!$C$35),S2038,0))</f>
        <v>0</v>
      </c>
    </row>
    <row r="2039" spans="2:20" s="0" customFormat="0" ht="15">
      <c r="B2039" s="69" t="s">
        <v>4287</v>
      </c>
      <c r="C2039" s="70" t="s">
        <v>4288</v>
      </c>
      <c r="D2039" s="70" t="s">
        <v>1</v>
      </c>
      <c r="E2039" s="70" t="s">
        <v>1</v>
      </c>
      <c r="F2039" s="70"/>
      <c r="G2039" s="70" t="s">
        <v>61</v>
      </c>
      <c r="H2039" s="70" t="s">
        <v>178</v>
      </c>
      <c r="I2039" s="70" t="s">
        <v>198</v>
      </c>
      <c r="J2039" s="71" t="str">
        <f>IF(OR(I2039=0,I2039=""),"unrated",VLOOKUP(I2039,MappingTables!$B$19:$C$31,2,FALSE))</f>
        <v>unrated</v>
      </c>
      <c r="K2039" s="72">
        <v>17.591570205923108</v>
      </c>
      <c r="L2039" s="70">
        <v>40.29732617225552</v>
      </c>
      <c r="M2039" s="71">
        <f>IF(L2039&lt;1,1,L2039)</f>
        <v>40.29732617225552</v>
      </c>
      <c r="N2039" s="70" t="s">
        <v>3288</v>
      </c>
      <c r="O2039" s="71">
        <f>IF(OR(I2039=$A$1,I2039=0),"",IF(N2039=MappingTables!$C$14,VLOOKUP(J2039,ModelParameters!$M$8:$N$15,2,FALSE),IF(N2039=MappingTables!$C$16,VLOOKUP(J2039,ModelParameters!$P$8:$Q$15,2,FALSE),0)))</f>
        <v>1</v>
      </c>
      <c r="P2039" s="73">
        <f>IF(OR(I2039=0,I2039=$A$1),0,MIN(O2039*M2039,1)*K2039)</f>
        <v>17.591570205923108</v>
      </c>
      <c r="Q2039" s="73">
        <f>IF(B2039="",0,IF(OR(H2039=MappingTables!$C$34,H2039=MappingTables!$C$35),P2039,0))</f>
        <v>0</v>
      </c>
      <c r="R2039" s="73">
        <f>IF(ISNA(IF(AND(VLOOKUP(CONCATENATE($D2039,$G2039),CSRFinput!$B:$E,4,0)=0,OR(H2039=MappingTables!$C$31,H2039=MappingTables!$C$32)),1,VLOOKUP(CONCATENATE($D2039,$G2039),CSRFinput!$B:$E,4,0))),0,IF(AND(VLOOKUP(CONCATENATE($D2039,$G2039),CSRFinput!$B:$E,4,0)=0,OR(H2039=MappingTables!$C$31,H2039=MappingTables!$C$32)),1,VLOOKUP(CONCATENATE($D2039,$G2039),CSRFinput!$B:$E,4,0)))</f>
        <v>0.054776304963434752</v>
      </c>
      <c r="S2039" s="73">
        <f>IF(B2039="",0,P2039*R2039)</f>
        <v>0.9636012143853168</v>
      </c>
      <c r="T2039" s="85">
        <f>IF(B2039="",0,IF(OR(H2039=MappingTables!$C$34,H2039=MappingTables!$C$35),S2039,0))</f>
        <v>0</v>
      </c>
    </row>
    <row r="2040" spans="2:20" s="0" customFormat="0" ht="15">
      <c r="B2040" s="69" t="s">
        <v>4868</v>
      </c>
      <c r="C2040" s="70" t="s">
        <v>4869</v>
      </c>
      <c r="D2040" s="70" t="s">
        <v>1</v>
      </c>
      <c r="E2040" s="70" t="s">
        <v>1</v>
      </c>
      <c r="F2040" s="70"/>
      <c r="G2040" s="70" t="s">
        <v>61</v>
      </c>
      <c r="H2040" s="70" t="s">
        <v>178</v>
      </c>
      <c r="I2040" s="70" t="s">
        <v>198</v>
      </c>
      <c r="J2040" s="71" t="str">
        <f>IF(OR(I2040=0,I2040=""),"unrated",VLOOKUP(I2040,MappingTables!$B$19:$C$31,2,FALSE))</f>
        <v>unrated</v>
      </c>
      <c r="K2040" s="72">
        <v>143.52087708982066</v>
      </c>
      <c r="L2040" s="70">
        <v>7.7656663848982304</v>
      </c>
      <c r="M2040" s="71">
        <f>IF(L2040&lt;1,1,L2040)</f>
        <v>7.7656663848982304</v>
      </c>
      <c r="N2040" s="70" t="s">
        <v>3288</v>
      </c>
      <c r="O2040" s="71">
        <f>IF(OR(I2040=$A$1,I2040=0),"",IF(N2040=MappingTables!$C$14,VLOOKUP(J2040,ModelParameters!$M$8:$N$15,2,FALSE),IF(N2040=MappingTables!$C$16,VLOOKUP(J2040,ModelParameters!$P$8:$Q$15,2,FALSE),0)))</f>
        <v>1</v>
      </c>
      <c r="P2040" s="73">
        <f>IF(OR(I2040=0,I2040=$A$1),0,MIN(O2040*M2040,1)*K2040)</f>
        <v>143.52087708982066</v>
      </c>
      <c r="Q2040" s="73">
        <f>IF(B2040="",0,IF(OR(H2040=MappingTables!$C$34,H2040=MappingTables!$C$35),P2040,0))</f>
        <v>0</v>
      </c>
      <c r="R2040" s="73">
        <f>IF(ISNA(IF(AND(VLOOKUP(CONCATENATE($D2040,$G2040),CSRFinput!$B:$E,4,0)=0,OR(H2040=MappingTables!$C$31,H2040=MappingTables!$C$32)),1,VLOOKUP(CONCATENATE($D2040,$G2040),CSRFinput!$B:$E,4,0))),0,IF(AND(VLOOKUP(CONCATENATE($D2040,$G2040),CSRFinput!$B:$E,4,0)=0,OR(H2040=MappingTables!$C$31,H2040=MappingTables!$C$32)),1,VLOOKUP(CONCATENATE($D2040,$G2040),CSRFinput!$B:$E,4,0)))</f>
        <v>0.054776304963434752</v>
      </c>
      <c r="S2040" s="73">
        <f>IF(B2040="",0,P2040*R2040)</f>
        <v>7.8615433320916528</v>
      </c>
      <c r="T2040" s="85">
        <f>IF(B2040="",0,IF(OR(H2040=MappingTables!$C$34,H2040=MappingTables!$C$35),S2040,0))</f>
        <v>0</v>
      </c>
    </row>
    <row r="2041" spans="2:20" s="0" customFormat="0" ht="15">
      <c r="B2041" s="69" t="s">
        <v>4284</v>
      </c>
      <c r="C2041" s="70" t="s">
        <v>4285</v>
      </c>
      <c r="D2041" s="70" t="s">
        <v>1</v>
      </c>
      <c r="E2041" s="70" t="s">
        <v>1</v>
      </c>
      <c r="F2041" s="70"/>
      <c r="G2041" s="70" t="s">
        <v>61</v>
      </c>
      <c r="H2041" s="70" t="s">
        <v>178</v>
      </c>
      <c r="I2041" s="70" t="s">
        <v>198</v>
      </c>
      <c r="J2041" s="71" t="str">
        <f>IF(OR(I2041=0,I2041=""),"unrated",VLOOKUP(I2041,MappingTables!$B$19:$C$31,2,FALSE))</f>
        <v>unrated</v>
      </c>
      <c r="K2041" s="72">
        <v>695.82178439810648</v>
      </c>
      <c r="L2041" s="70">
        <v>7.2525259665989984</v>
      </c>
      <c r="M2041" s="71">
        <f>IF(L2041&lt;1,1,L2041)</f>
        <v>7.2525259665989984</v>
      </c>
      <c r="N2041" s="70" t="s">
        <v>3288</v>
      </c>
      <c r="O2041" s="71">
        <f>IF(OR(I2041=$A$1,I2041=0),"",IF(N2041=MappingTables!$C$14,VLOOKUP(J2041,ModelParameters!$M$8:$N$15,2,FALSE),IF(N2041=MappingTables!$C$16,VLOOKUP(J2041,ModelParameters!$P$8:$Q$15,2,FALSE),0)))</f>
        <v>1</v>
      </c>
      <c r="P2041" s="73">
        <f>IF(OR(I2041=0,I2041=$A$1),0,MIN(O2041*M2041,1)*K2041)</f>
        <v>695.82178439810648</v>
      </c>
      <c r="Q2041" s="73">
        <f>IF(B2041="",0,IF(OR(H2041=MappingTables!$C$34,H2041=MappingTables!$C$35),P2041,0))</f>
        <v>0</v>
      </c>
      <c r="R2041" s="73">
        <f>IF(ISNA(IF(AND(VLOOKUP(CONCATENATE($D2041,$G2041),CSRFinput!$B:$E,4,0)=0,OR(H2041=MappingTables!$C$31,H2041=MappingTables!$C$32)),1,VLOOKUP(CONCATENATE($D2041,$G2041),CSRFinput!$B:$E,4,0))),0,IF(AND(VLOOKUP(CONCATENATE($D2041,$G2041),CSRFinput!$B:$E,4,0)=0,OR(H2041=MappingTables!$C$31,H2041=MappingTables!$C$32)),1,VLOOKUP(CONCATENATE($D2041,$G2041),CSRFinput!$B:$E,4,0)))</f>
        <v>0.054776304963434752</v>
      </c>
      <c r="S2041" s="73">
        <f>IF(B2041="",0,P2041*R2041)</f>
        <v>38.114546262392024</v>
      </c>
      <c r="T2041" s="85">
        <f>IF(B2041="",0,IF(OR(H2041=MappingTables!$C$34,H2041=MappingTables!$C$35),S2041,0))</f>
        <v>0</v>
      </c>
    </row>
    <row r="2042" spans="2:20" s="0" customFormat="0" ht="15">
      <c r="B2042" s="69">
        <v>21027809</v>
      </c>
      <c r="C2042" s="70" t="s">
        <v>5188</v>
      </c>
      <c r="D2042" s="70" t="s">
        <v>1</v>
      </c>
      <c r="E2042" s="70" t="s">
        <v>1</v>
      </c>
      <c r="F2042" s="70"/>
      <c r="G2042" s="70" t="s">
        <v>61</v>
      </c>
      <c r="H2042" s="70" t="s">
        <v>178</v>
      </c>
      <c r="I2042" s="70" t="s">
        <v>198</v>
      </c>
      <c r="J2042" s="71" t="str">
        <f>IF(OR(I2042=0,I2042=""),"unrated",VLOOKUP(I2042,MappingTables!$B$19:$C$31,2,FALSE))</f>
        <v>unrated</v>
      </c>
      <c r="K2042" s="72">
        <v>3229.4250020284512</v>
      </c>
      <c r="L2042" s="70">
        <v>0.050157330736152272</v>
      </c>
      <c r="M2042" s="71">
        <f>IF(L2042&lt;1,1,L2042)</f>
        <v>1</v>
      </c>
      <c r="N2042" s="70" t="s">
        <v>3288</v>
      </c>
      <c r="O2042" s="71">
        <f>IF(OR(I2042=$A$1,I2042=0),"",IF(N2042=MappingTables!$C$14,VLOOKUP(J2042,ModelParameters!$M$8:$N$15,2,FALSE),IF(N2042=MappingTables!$C$16,VLOOKUP(J2042,ModelParameters!$P$8:$Q$15,2,FALSE),0)))</f>
        <v>1</v>
      </c>
      <c r="P2042" s="73">
        <f>IF(OR(I2042=0,I2042=$A$1),0,MIN(O2042*M2042,1)*K2042)</f>
        <v>3229.4250020284512</v>
      </c>
      <c r="Q2042" s="73">
        <f>IF(B2042="",0,IF(OR(H2042=MappingTables!$C$34,H2042=MappingTables!$C$35),P2042,0))</f>
        <v>0</v>
      </c>
      <c r="R2042" s="73">
        <f>IF(ISNA(IF(AND(VLOOKUP(CONCATENATE($D2042,$G2042),CSRFinput!$B:$E,4,0)=0,OR(H2042=MappingTables!$C$31,H2042=MappingTables!$C$32)),1,VLOOKUP(CONCATENATE($D2042,$G2042),CSRFinput!$B:$E,4,0))),0,IF(AND(VLOOKUP(CONCATENATE($D2042,$G2042),CSRFinput!$B:$E,4,0)=0,OR(H2042=MappingTables!$C$31,H2042=MappingTables!$C$32)),1,VLOOKUP(CONCATENATE($D2042,$G2042),CSRFinput!$B:$E,4,0)))</f>
        <v>0.054776304963434752</v>
      </c>
      <c r="S2042" s="73">
        <f>IF(B2042="",0,P2042*R2042)</f>
        <v>176.89596876765134</v>
      </c>
      <c r="T2042" s="85">
        <f>IF(B2042="",0,IF(OR(H2042=MappingTables!$C$34,H2042=MappingTables!$C$35),S2042,0))</f>
        <v>0</v>
      </c>
    </row>
    <row r="2043" spans="2:20" s="0" customFormat="0" ht="15">
      <c r="B2043" s="69" t="s">
        <v>4354</v>
      </c>
      <c r="C2043" s="70" t="s">
        <v>4355</v>
      </c>
      <c r="D2043" s="70" t="s">
        <v>1</v>
      </c>
      <c r="E2043" s="70" t="s">
        <v>1</v>
      </c>
      <c r="F2043" s="70"/>
      <c r="G2043" s="70" t="s">
        <v>61</v>
      </c>
      <c r="H2043" s="70" t="s">
        <v>178</v>
      </c>
      <c r="I2043" s="70" t="s">
        <v>3298</v>
      </c>
      <c r="J2043" s="71">
        <f>IF(OR(I2043=0,I2043=""),"unrated",VLOOKUP(I2043,MappingTables!$B$19:$C$31,2,FALSE))</f>
        <v>6</v>
      </c>
      <c r="K2043" s="72">
        <v>97.866615775670688</v>
      </c>
      <c r="L2043" s="70">
        <v>-1.6230049777578946</v>
      </c>
      <c r="M2043" s="71">
        <f>IF(L2043&lt;1,1,L2043)</f>
        <v>1</v>
      </c>
      <c r="N2043" s="70" t="s">
        <v>3288</v>
      </c>
      <c r="O2043" s="71">
        <f>IF(OR(I2043=$A$1,I2043=0),"",IF(N2043=MappingTables!$C$14,VLOOKUP(J2043,ModelParameters!$M$8:$N$15,2,FALSE),IF(N2043=MappingTables!$C$16,VLOOKUP(J2043,ModelParameters!$P$8:$Q$15,2,FALSE),0)))</f>
        <v>1</v>
      </c>
      <c r="P2043" s="73">
        <f>IF(OR(I2043=0,I2043=$A$1),0,MIN(O2043*M2043,1)*K2043)</f>
        <v>97.866615775670688</v>
      </c>
      <c r="Q2043" s="73">
        <f>IF(B2043="",0,IF(OR(H2043=MappingTables!$C$34,H2043=MappingTables!$C$35),P2043,0))</f>
        <v>0</v>
      </c>
      <c r="R2043" s="73">
        <f>IF(ISNA(IF(AND(VLOOKUP(CONCATENATE($D2043,$G2043),CSRFinput!$B:$E,4,0)=0,OR(H2043=MappingTables!$C$31,H2043=MappingTables!$C$32)),1,VLOOKUP(CONCATENATE($D2043,$G2043),CSRFinput!$B:$E,4,0))),0,IF(AND(VLOOKUP(CONCATENATE($D2043,$G2043),CSRFinput!$B:$E,4,0)=0,OR(H2043=MappingTables!$C$31,H2043=MappingTables!$C$32)),1,VLOOKUP(CONCATENATE($D2043,$G2043),CSRFinput!$B:$E,4,0)))</f>
        <v>0.054776304963434752</v>
      </c>
      <c r="S2043" s="73">
        <f>IF(B2043="",0,P2043*R2043)</f>
        <v>5.360771591467432</v>
      </c>
      <c r="T2043" s="85">
        <f>IF(B2043="",0,IF(OR(H2043=MappingTables!$C$34,H2043=MappingTables!$C$35),S2043,0))</f>
        <v>0</v>
      </c>
    </row>
    <row r="2044" spans="2:20" s="0" customFormat="0" ht="15">
      <c r="B2044" s="69">
        <v>4313837</v>
      </c>
      <c r="C2044" s="70" t="s">
        <v>3667</v>
      </c>
      <c r="D2044" s="70" t="s">
        <v>1</v>
      </c>
      <c r="E2044" s="70" t="s">
        <v>1</v>
      </c>
      <c r="F2044" s="70"/>
      <c r="G2044" s="70" t="s">
        <v>61</v>
      </c>
      <c r="H2044" s="70" t="s">
        <v>178</v>
      </c>
      <c r="I2044" s="70" t="s">
        <v>216</v>
      </c>
      <c r="J2044" s="71">
        <f>IF(OR(I2044=0,I2044=""),"unrated",VLOOKUP(I2044,MappingTables!$B$19:$C$31,2,FALSE))</f>
        <v>0</v>
      </c>
      <c r="K2044" s="72">
        <v>199.399374394876</v>
      </c>
      <c r="L2044" s="70">
        <v>0.090421590721704448</v>
      </c>
      <c r="M2044" s="71">
        <f>IF(L2044&lt;1,1,L2044)</f>
        <v>1</v>
      </c>
      <c r="N2044" s="70" t="s">
        <v>3288</v>
      </c>
      <c r="O2044" s="71">
        <f>IF(OR(I2044=$A$1,I2044=0),"",IF(N2044=MappingTables!$C$14,VLOOKUP(J2044,ModelParameters!$M$8:$N$15,2,FALSE),IF(N2044=MappingTables!$C$16,VLOOKUP(J2044,ModelParameters!$P$8:$Q$15,2,FALSE),0)))</f>
        <v>0.125</v>
      </c>
      <c r="P2044" s="73">
        <f>IF(OR(I2044=0,I2044=$A$1),0,MIN(O2044*M2044,1)*K2044)</f>
        <v>24.924921799359504</v>
      </c>
      <c r="Q2044" s="73">
        <f>IF(B2044="",0,IF(OR(H2044=MappingTables!$C$34,H2044=MappingTables!$C$35),P2044,0))</f>
        <v>0</v>
      </c>
      <c r="R2044" s="73">
        <f>IF(ISNA(IF(AND(VLOOKUP(CONCATENATE($D2044,$G2044),CSRFinput!$B:$E,4,0)=0,OR(H2044=MappingTables!$C$31,H2044=MappingTables!$C$32)),1,VLOOKUP(CONCATENATE($D2044,$G2044),CSRFinput!$B:$E,4,0))),0,IF(AND(VLOOKUP(CONCATENATE($D2044,$G2044),CSRFinput!$B:$E,4,0)=0,OR(H2044=MappingTables!$C$31,H2044=MappingTables!$C$32)),1,VLOOKUP(CONCATENATE($D2044,$G2044),CSRFinput!$B:$E,4,0)))</f>
        <v>0.054776304963434752</v>
      </c>
      <c r="S2044" s="73">
        <f>IF(B2044="",0,P2044*R2044)</f>
        <v>1.365295117671479</v>
      </c>
      <c r="T2044" s="85">
        <f>IF(B2044="",0,IF(OR(H2044=MappingTables!$C$34,H2044=MappingTables!$C$35),S2044,0))</f>
        <v>0</v>
      </c>
    </row>
    <row r="2045" spans="2:20" s="0" customFormat="0" ht="15">
      <c r="B2045" s="69" t="s">
        <v>5213</v>
      </c>
      <c r="C2045" s="70" t="s">
        <v>5214</v>
      </c>
      <c r="D2045" s="70" t="s">
        <v>1</v>
      </c>
      <c r="E2045" s="70" t="s">
        <v>1</v>
      </c>
      <c r="F2045" s="70"/>
      <c r="G2045" s="70" t="s">
        <v>61</v>
      </c>
      <c r="H2045" s="70" t="s">
        <v>178</v>
      </c>
      <c r="I2045" s="70" t="s">
        <v>198</v>
      </c>
      <c r="J2045" s="71" t="str">
        <f>IF(OR(I2045=0,I2045=""),"unrated",VLOOKUP(I2045,MappingTables!$B$19:$C$31,2,FALSE))</f>
        <v>unrated</v>
      </c>
      <c r="K2045" s="72">
        <v>225.391195659544</v>
      </c>
      <c r="L2045" s="70">
        <v>0.068499028087898536</v>
      </c>
      <c r="M2045" s="71">
        <f>IF(L2045&lt;1,1,L2045)</f>
        <v>1</v>
      </c>
      <c r="N2045" s="70" t="s">
        <v>3288</v>
      </c>
      <c r="O2045" s="71">
        <f>IF(OR(I2045=$A$1,I2045=0),"",IF(N2045=MappingTables!$C$14,VLOOKUP(J2045,ModelParameters!$M$8:$N$15,2,FALSE),IF(N2045=MappingTables!$C$16,VLOOKUP(J2045,ModelParameters!$P$8:$Q$15,2,FALSE),0)))</f>
        <v>1</v>
      </c>
      <c r="P2045" s="73">
        <f>IF(OR(I2045=0,I2045=$A$1),0,MIN(O2045*M2045,1)*K2045)</f>
        <v>225.391195659544</v>
      </c>
      <c r="Q2045" s="73">
        <f>IF(B2045="",0,IF(OR(H2045=MappingTables!$C$34,H2045=MappingTables!$C$35),P2045,0))</f>
        <v>0</v>
      </c>
      <c r="R2045" s="73">
        <f>IF(ISNA(IF(AND(VLOOKUP(CONCATENATE($D2045,$G2045),CSRFinput!$B:$E,4,0)=0,OR(H2045=MappingTables!$C$31,H2045=MappingTables!$C$32)),1,VLOOKUP(CONCATENATE($D2045,$G2045),CSRFinput!$B:$E,4,0))),0,IF(AND(VLOOKUP(CONCATENATE($D2045,$G2045),CSRFinput!$B:$E,4,0)=0,OR(H2045=MappingTables!$C$31,H2045=MappingTables!$C$32)),1,VLOOKUP(CONCATENATE($D2045,$G2045),CSRFinput!$B:$E,4,0)))</f>
        <v>0.054776304963434752</v>
      </c>
      <c r="S2045" s="73">
        <f>IF(B2045="",0,P2045*R2045)</f>
        <v>12.346096869520374</v>
      </c>
      <c r="T2045" s="85">
        <f>IF(B2045="",0,IF(OR(H2045=MappingTables!$C$34,H2045=MappingTables!$C$35),S2045,0))</f>
        <v>0</v>
      </c>
    </row>
    <row r="2046" spans="2:20" s="0" customFormat="0" ht="15">
      <c r="B2046" s="69" t="s">
        <v>3575</v>
      </c>
      <c r="C2046" s="70" t="s">
        <v>3576</v>
      </c>
      <c r="D2046" s="70" t="s">
        <v>1</v>
      </c>
      <c r="E2046" s="70" t="s">
        <v>1</v>
      </c>
      <c r="F2046" s="70"/>
      <c r="G2046" s="70" t="s">
        <v>61</v>
      </c>
      <c r="H2046" s="70" t="s">
        <v>178</v>
      </c>
      <c r="I2046" s="70" t="s">
        <v>220</v>
      </c>
      <c r="J2046" s="71">
        <f>IF(OR(I2046=0,I2046=""),"unrated",VLOOKUP(I2046,MappingTables!$B$19:$C$31,2,FALSE))</f>
        <v>1</v>
      </c>
      <c r="K2046" s="72">
        <v>7.3595501410337904</v>
      </c>
      <c r="L2046" s="70">
        <v>0.068491348126627688</v>
      </c>
      <c r="M2046" s="71">
        <f>IF(L2046&lt;1,1,L2046)</f>
        <v>1</v>
      </c>
      <c r="N2046" s="70" t="s">
        <v>3288</v>
      </c>
      <c r="O2046" s="71">
        <f>IF(OR(I2046=$A$1,I2046=0),"",IF(N2046=MappingTables!$C$14,VLOOKUP(J2046,ModelParameters!$M$8:$N$15,2,FALSE),IF(N2046=MappingTables!$C$16,VLOOKUP(J2046,ModelParameters!$P$8:$Q$15,2,FALSE),0)))</f>
        <v>0.134</v>
      </c>
      <c r="P2046" s="73">
        <f>IF(OR(I2046=0,I2046=$A$1),0,MIN(O2046*M2046,1)*K2046)</f>
        <v>0.986179718898528</v>
      </c>
      <c r="Q2046" s="73">
        <f>IF(B2046="",0,IF(OR(H2046=MappingTables!$C$34,H2046=MappingTables!$C$35),P2046,0))</f>
        <v>0</v>
      </c>
      <c r="R2046" s="73">
        <f>IF(ISNA(IF(AND(VLOOKUP(CONCATENATE($D2046,$G2046),CSRFinput!$B:$E,4,0)=0,OR(H2046=MappingTables!$C$31,H2046=MappingTables!$C$32)),1,VLOOKUP(CONCATENATE($D2046,$G2046),CSRFinput!$B:$E,4,0))),0,IF(AND(VLOOKUP(CONCATENATE($D2046,$G2046),CSRFinput!$B:$E,4,0)=0,OR(H2046=MappingTables!$C$31,H2046=MappingTables!$C$32)),1,VLOOKUP(CONCATENATE($D2046,$G2046),CSRFinput!$B:$E,4,0)))</f>
        <v>0.054776304963434752</v>
      </c>
      <c r="S2046" s="73">
        <f>IF(B2046="",0,P2046*R2046)</f>
        <v>0.054019281031140128</v>
      </c>
      <c r="T2046" s="85">
        <f>IF(B2046="",0,IF(OR(H2046=MappingTables!$C$34,H2046=MappingTables!$C$35),S2046,0))</f>
        <v>0</v>
      </c>
    </row>
    <row r="2047" spans="2:20" s="0" customFormat="0" ht="15">
      <c r="B2047" s="69">
        <v>1551590</v>
      </c>
      <c r="C2047" s="70" t="s">
        <v>4888</v>
      </c>
      <c r="D2047" s="70" t="s">
        <v>1</v>
      </c>
      <c r="E2047" s="70" t="s">
        <v>1</v>
      </c>
      <c r="F2047" s="70"/>
      <c r="G2047" s="70" t="s">
        <v>61</v>
      </c>
      <c r="H2047" s="70" t="s">
        <v>178</v>
      </c>
      <c r="I2047" s="70" t="s">
        <v>220</v>
      </c>
      <c r="J2047" s="71">
        <f>IF(OR(I2047=0,I2047=""),"unrated",VLOOKUP(I2047,MappingTables!$B$19:$C$31,2,FALSE))</f>
        <v>1</v>
      </c>
      <c r="K2047" s="72">
        <v>8.47904250524044</v>
      </c>
      <c r="L2047" s="70">
        <v>0.0684942093529856</v>
      </c>
      <c r="M2047" s="71">
        <f>IF(L2047&lt;1,1,L2047)</f>
        <v>1</v>
      </c>
      <c r="N2047" s="70" t="s">
        <v>3288</v>
      </c>
      <c r="O2047" s="71">
        <f>IF(OR(I2047=$A$1,I2047=0),"",IF(N2047=MappingTables!$C$14,VLOOKUP(J2047,ModelParameters!$M$8:$N$15,2,FALSE),IF(N2047=MappingTables!$C$16,VLOOKUP(J2047,ModelParameters!$P$8:$Q$15,2,FALSE),0)))</f>
        <v>0.134</v>
      </c>
      <c r="P2047" s="73">
        <f>IF(OR(I2047=0,I2047=$A$1),0,MIN(O2047*M2047,1)*K2047)</f>
        <v>1.1361916957022188</v>
      </c>
      <c r="Q2047" s="73">
        <f>IF(B2047="",0,IF(OR(H2047=MappingTables!$C$34,H2047=MappingTables!$C$35),P2047,0))</f>
        <v>0</v>
      </c>
      <c r="R2047" s="73">
        <f>IF(ISNA(IF(AND(VLOOKUP(CONCATENATE($D2047,$G2047),CSRFinput!$B:$E,4,0)=0,OR(H2047=MappingTables!$C$31,H2047=MappingTables!$C$32)),1,VLOOKUP(CONCATENATE($D2047,$G2047),CSRFinput!$B:$E,4,0))),0,IF(AND(VLOOKUP(CONCATENATE($D2047,$G2047),CSRFinput!$B:$E,4,0)=0,OR(H2047=MappingTables!$C$31,H2047=MappingTables!$C$32)),1,VLOOKUP(CONCATENATE($D2047,$G2047),CSRFinput!$B:$E,4,0)))</f>
        <v>0.054776304963434752</v>
      </c>
      <c r="S2047" s="73">
        <f>IF(B2047="",0,P2047*R2047)</f>
        <v>0.0622363828207068</v>
      </c>
      <c r="T2047" s="85">
        <f>IF(B2047="",0,IF(OR(H2047=MappingTables!$C$34,H2047=MappingTables!$C$35),S2047,0))</f>
        <v>0</v>
      </c>
    </row>
    <row r="2048" spans="2:20" s="0" customFormat="0" ht="15">
      <c r="B2048" s="69" t="s">
        <v>4273</v>
      </c>
      <c r="C2048" s="70" t="s">
        <v>4274</v>
      </c>
      <c r="D2048" s="70" t="s">
        <v>1</v>
      </c>
      <c r="E2048" s="70" t="s">
        <v>1</v>
      </c>
      <c r="F2048" s="70"/>
      <c r="G2048" s="70" t="s">
        <v>61</v>
      </c>
      <c r="H2048" s="70" t="s">
        <v>178</v>
      </c>
      <c r="I2048" s="70" t="s">
        <v>216</v>
      </c>
      <c r="J2048" s="71">
        <f>IF(OR(I2048=0,I2048=""),"unrated",VLOOKUP(I2048,MappingTables!$B$19:$C$31,2,FALSE))</f>
        <v>0</v>
      </c>
      <c r="K2048" s="72">
        <v>533.89575920642872</v>
      </c>
      <c r="L2048" s="70">
        <v>0.054794486633046048</v>
      </c>
      <c r="M2048" s="71">
        <f>IF(L2048&lt;1,1,L2048)</f>
        <v>1</v>
      </c>
      <c r="N2048" s="70" t="s">
        <v>3288</v>
      </c>
      <c r="O2048" s="71">
        <f>IF(OR(I2048=$A$1,I2048=0),"",IF(N2048=MappingTables!$C$14,VLOOKUP(J2048,ModelParameters!$M$8:$N$15,2,FALSE),IF(N2048=MappingTables!$C$16,VLOOKUP(J2048,ModelParameters!$P$8:$Q$15,2,FALSE),0)))</f>
        <v>0.125</v>
      </c>
      <c r="P2048" s="73">
        <f>IF(OR(I2048=0,I2048=$A$1),0,MIN(O2048*M2048,1)*K2048)</f>
        <v>66.736969900803584</v>
      </c>
      <c r="Q2048" s="73">
        <f>IF(B2048="",0,IF(OR(H2048=MappingTables!$C$34,H2048=MappingTables!$C$35),P2048,0))</f>
        <v>0</v>
      </c>
      <c r="R2048" s="73">
        <f>IF(ISNA(IF(AND(VLOOKUP(CONCATENATE($D2048,$G2048),CSRFinput!$B:$E,4,0)=0,OR(H2048=MappingTables!$C$31,H2048=MappingTables!$C$32)),1,VLOOKUP(CONCATENATE($D2048,$G2048),CSRFinput!$B:$E,4,0))),0,IF(AND(VLOOKUP(CONCATENATE($D2048,$G2048),CSRFinput!$B:$E,4,0)=0,OR(H2048=MappingTables!$C$31,H2048=MappingTables!$C$32)),1,VLOOKUP(CONCATENATE($D2048,$G2048),CSRFinput!$B:$E,4,0)))</f>
        <v>0.054776304963434752</v>
      </c>
      <c r="S2048" s="73">
        <f>IF(B2048="",0,P2048*R2048)</f>
        <v>3.6556046156219832</v>
      </c>
      <c r="T2048" s="85">
        <f>IF(B2048="",0,IF(OR(H2048=MappingTables!$C$34,H2048=MappingTables!$C$35),S2048,0))</f>
        <v>0</v>
      </c>
    </row>
    <row r="2049" spans="2:20" s="0" customFormat="0" ht="15">
      <c r="B2049" s="69" t="s">
        <v>5142</v>
      </c>
      <c r="C2049" s="70" t="s">
        <v>5143</v>
      </c>
      <c r="D2049" s="70" t="s">
        <v>1</v>
      </c>
      <c r="E2049" s="70" t="s">
        <v>1</v>
      </c>
      <c r="F2049" s="70"/>
      <c r="G2049" s="70" t="s">
        <v>61</v>
      </c>
      <c r="H2049" s="70" t="s">
        <v>178</v>
      </c>
      <c r="I2049" s="70" t="s">
        <v>216</v>
      </c>
      <c r="J2049" s="71">
        <f>IF(OR(I2049=0,I2049=""),"unrated",VLOOKUP(I2049,MappingTables!$B$19:$C$31,2,FALSE))</f>
        <v>0</v>
      </c>
      <c r="K2049" s="72">
        <v>2783.8686841791508</v>
      </c>
      <c r="L2049" s="70">
        <v>0.05591358252553052</v>
      </c>
      <c r="M2049" s="71">
        <f>IF(L2049&lt;1,1,L2049)</f>
        <v>1</v>
      </c>
      <c r="N2049" s="70" t="s">
        <v>3288</v>
      </c>
      <c r="O2049" s="71">
        <f>IF(OR(I2049=$A$1,I2049=0),"",IF(N2049=MappingTables!$C$14,VLOOKUP(J2049,ModelParameters!$M$8:$N$15,2,FALSE),IF(N2049=MappingTables!$C$16,VLOOKUP(J2049,ModelParameters!$P$8:$Q$15,2,FALSE),0)))</f>
        <v>0.125</v>
      </c>
      <c r="P2049" s="73">
        <f>IF(OR(I2049=0,I2049=$A$1),0,MIN(O2049*M2049,1)*K2049)</f>
        <v>347.98358552239388</v>
      </c>
      <c r="Q2049" s="73">
        <f>IF(B2049="",0,IF(OR(H2049=MappingTables!$C$34,H2049=MappingTables!$C$35),P2049,0))</f>
        <v>0</v>
      </c>
      <c r="R2049" s="73">
        <f>IF(ISNA(IF(AND(VLOOKUP(CONCATENATE($D2049,$G2049),CSRFinput!$B:$E,4,0)=0,OR(H2049=MappingTables!$C$31,H2049=MappingTables!$C$32)),1,VLOOKUP(CONCATENATE($D2049,$G2049),CSRFinput!$B:$E,4,0))),0,IF(AND(VLOOKUP(CONCATENATE($D2049,$G2049),CSRFinput!$B:$E,4,0)=0,OR(H2049=MappingTables!$C$31,H2049=MappingTables!$C$32)),1,VLOOKUP(CONCATENATE($D2049,$G2049),CSRFinput!$B:$E,4,0)))</f>
        <v>0.054776304963434752</v>
      </c>
      <c r="S2049" s="73">
        <f>IF(B2049="",0,P2049*R2049)</f>
        <v>19.061255002844124</v>
      </c>
      <c r="T2049" s="85">
        <f>IF(B2049="",0,IF(OR(H2049=MappingTables!$C$34,H2049=MappingTables!$C$35),S2049,0))</f>
        <v>0</v>
      </c>
    </row>
    <row r="2050" spans="2:20" s="0" customFormat="0" ht="15">
      <c r="B2050" s="69" t="s">
        <v>3907</v>
      </c>
      <c r="C2050" s="70" t="s">
        <v>3908</v>
      </c>
      <c r="D2050" s="70" t="s">
        <v>1</v>
      </c>
      <c r="E2050" s="70" t="s">
        <v>1</v>
      </c>
      <c r="F2050" s="70"/>
      <c r="G2050" s="70" t="s">
        <v>61</v>
      </c>
      <c r="H2050" s="70" t="s">
        <v>178</v>
      </c>
      <c r="I2050" s="70" t="s">
        <v>198</v>
      </c>
      <c r="J2050" s="71" t="str">
        <f>IF(OR(I2050=0,I2050=""),"unrated",VLOOKUP(I2050,MappingTables!$B$19:$C$31,2,FALSE))</f>
        <v>unrated</v>
      </c>
      <c r="K2050" s="72">
        <v>2333.7189789287708</v>
      </c>
      <c r="L2050" s="70">
        <v>8.7864385466674528</v>
      </c>
      <c r="M2050" s="71">
        <f>IF(L2050&lt;1,1,L2050)</f>
        <v>8.7864385466674528</v>
      </c>
      <c r="N2050" s="70" t="s">
        <v>3288</v>
      </c>
      <c r="O2050" s="71">
        <f>IF(OR(I2050=$A$1,I2050=0),"",IF(N2050=MappingTables!$C$14,VLOOKUP(J2050,ModelParameters!$M$8:$N$15,2,FALSE),IF(N2050=MappingTables!$C$16,VLOOKUP(J2050,ModelParameters!$P$8:$Q$15,2,FALSE),0)))</f>
        <v>1</v>
      </c>
      <c r="P2050" s="73">
        <f>IF(OR(I2050=0,I2050=$A$1),0,MIN(O2050*M2050,1)*K2050)</f>
        <v>2333.7189789287708</v>
      </c>
      <c r="Q2050" s="73">
        <f>IF(B2050="",0,IF(OR(H2050=MappingTables!$C$34,H2050=MappingTables!$C$35),P2050,0))</f>
        <v>0</v>
      </c>
      <c r="R2050" s="73">
        <f>IF(ISNA(IF(AND(VLOOKUP(CONCATENATE($D2050,$G2050),CSRFinput!$B:$E,4,0)=0,OR(H2050=MappingTables!$C$31,H2050=MappingTables!$C$32)),1,VLOOKUP(CONCATENATE($D2050,$G2050),CSRFinput!$B:$E,4,0))),0,IF(AND(VLOOKUP(CONCATENATE($D2050,$G2050),CSRFinput!$B:$E,4,0)=0,OR(H2050=MappingTables!$C$31,H2050=MappingTables!$C$32)),1,VLOOKUP(CONCATENATE($D2050,$G2050),CSRFinput!$B:$E,4,0)))</f>
        <v>0.054776304963434752</v>
      </c>
      <c r="S2050" s="73">
        <f>IF(B2050="",0,P2050*R2050)</f>
        <v>127.83250248875792</v>
      </c>
      <c r="T2050" s="85">
        <f>IF(B2050="",0,IF(OR(H2050=MappingTables!$C$34,H2050=MappingTables!$C$35),S2050,0))</f>
        <v>0</v>
      </c>
    </row>
    <row r="2051" spans="2:20" s="0" customFormat="0" ht="15">
      <c r="B2051" s="69" t="s">
        <v>4612</v>
      </c>
      <c r="C2051" s="70" t="s">
        <v>4613</v>
      </c>
      <c r="D2051" s="70" t="s">
        <v>1</v>
      </c>
      <c r="E2051" s="70" t="s">
        <v>1</v>
      </c>
      <c r="F2051" s="70"/>
      <c r="G2051" s="70" t="s">
        <v>61</v>
      </c>
      <c r="H2051" s="70" t="s">
        <v>178</v>
      </c>
      <c r="I2051" s="70" t="s">
        <v>188</v>
      </c>
      <c r="J2051" s="71">
        <f>IF(OR(I2051=0,I2051=""),"unrated",VLOOKUP(I2051,MappingTables!$B$19:$C$31,2,FALSE))</f>
        <v>2</v>
      </c>
      <c r="K2051" s="72">
        <v>21.515143945681692</v>
      </c>
      <c r="L2051" s="70">
        <v>0.068498832633636224</v>
      </c>
      <c r="M2051" s="71">
        <f>IF(L2051&lt;1,1,L2051)</f>
        <v>1</v>
      </c>
      <c r="N2051" s="70" t="s">
        <v>3288</v>
      </c>
      <c r="O2051" s="71">
        <f>IF(OR(I2051=$A$1,I2051=0),"",IF(N2051=MappingTables!$C$14,VLOOKUP(J2051,ModelParameters!$M$8:$N$15,2,FALSE),IF(N2051=MappingTables!$C$16,VLOOKUP(J2051,ModelParameters!$P$8:$Q$15,2,FALSE),0)))</f>
        <v>0.166</v>
      </c>
      <c r="P2051" s="73">
        <f>IF(OR(I2051=0,I2051=$A$1),0,MIN(O2051*M2051,1)*K2051)</f>
        <v>3.5715138949831612</v>
      </c>
      <c r="Q2051" s="73">
        <f>IF(B2051="",0,IF(OR(H2051=MappingTables!$C$34,H2051=MappingTables!$C$35),P2051,0))</f>
        <v>0</v>
      </c>
      <c r="R2051" s="73">
        <f>IF(ISNA(IF(AND(VLOOKUP(CONCATENATE($D2051,$G2051),CSRFinput!$B:$E,4,0)=0,OR(H2051=MappingTables!$C$31,H2051=MappingTables!$C$32)),1,VLOOKUP(CONCATENATE($D2051,$G2051),CSRFinput!$B:$E,4,0))),0,IF(AND(VLOOKUP(CONCATENATE($D2051,$G2051),CSRFinput!$B:$E,4,0)=0,OR(H2051=MappingTables!$C$31,H2051=MappingTables!$C$32)),1,VLOOKUP(CONCATENATE($D2051,$G2051),CSRFinput!$B:$E,4,0)))</f>
        <v>0.054776304963434752</v>
      </c>
      <c r="S2051" s="73">
        <f>IF(B2051="",0,P2051*R2051)</f>
        <v>0.19563433429274232</v>
      </c>
      <c r="T2051" s="85">
        <f>IF(B2051="",0,IF(OR(H2051=MappingTables!$C$34,H2051=MappingTables!$C$35),S2051,0))</f>
        <v>0</v>
      </c>
    </row>
    <row r="2052" spans="2:20" s="0" customFormat="0" ht="15">
      <c r="B2052" s="69" t="s">
        <v>4385</v>
      </c>
      <c r="C2052" s="70" t="s">
        <v>4386</v>
      </c>
      <c r="D2052" s="70" t="s">
        <v>1</v>
      </c>
      <c r="E2052" s="70" t="s">
        <v>1</v>
      </c>
      <c r="F2052" s="70"/>
      <c r="G2052" s="70" t="s">
        <v>61</v>
      </c>
      <c r="H2052" s="70" t="s">
        <v>178</v>
      </c>
      <c r="I2052" s="70" t="s">
        <v>184</v>
      </c>
      <c r="J2052" s="71">
        <f>IF(OR(I2052=0,I2052=""),"unrated",VLOOKUP(I2052,MappingTables!$B$19:$C$31,2,FALSE))</f>
        <v>5</v>
      </c>
      <c r="K2052" s="72">
        <v>98.30393725590816</v>
      </c>
      <c r="L2052" s="70">
        <v>0.068494738839414192</v>
      </c>
      <c r="M2052" s="71">
        <f>IF(L2052&lt;1,1,L2052)</f>
        <v>1</v>
      </c>
      <c r="N2052" s="70" t="s">
        <v>3288</v>
      </c>
      <c r="O2052" s="71">
        <f>IF(OR(I2052=$A$1,I2052=0),"",IF(N2052=MappingTables!$C$14,VLOOKUP(J2052,ModelParameters!$M$8:$N$15,2,FALSE),IF(N2052=MappingTables!$C$16,VLOOKUP(J2052,ModelParameters!$P$8:$Q$15,2,FALSE),0)))</f>
        <v>1</v>
      </c>
      <c r="P2052" s="73">
        <f>IF(OR(I2052=0,I2052=$A$1),0,MIN(O2052*M2052,1)*K2052)</f>
        <v>98.30393725590816</v>
      </c>
      <c r="Q2052" s="73">
        <f>IF(B2052="",0,IF(OR(H2052=MappingTables!$C$34,H2052=MappingTables!$C$35),P2052,0))</f>
        <v>0</v>
      </c>
      <c r="R2052" s="73">
        <f>IF(ISNA(IF(AND(VLOOKUP(CONCATENATE($D2052,$G2052),CSRFinput!$B:$E,4,0)=0,OR(H2052=MappingTables!$C$31,H2052=MappingTables!$C$32)),1,VLOOKUP(CONCATENATE($D2052,$G2052),CSRFinput!$B:$E,4,0))),0,IF(AND(VLOOKUP(CONCATENATE($D2052,$G2052),CSRFinput!$B:$E,4,0)=0,OR(H2052=MappingTables!$C$31,H2052=MappingTables!$C$32)),1,VLOOKUP(CONCATENATE($D2052,$G2052),CSRFinput!$B:$E,4,0)))</f>
        <v>0.054776304963434752</v>
      </c>
      <c r="S2052" s="73">
        <f>IF(B2052="",0,P2052*R2052)</f>
        <v>5.3847264462359808</v>
      </c>
      <c r="T2052" s="85">
        <f>IF(B2052="",0,IF(OR(H2052=MappingTables!$C$34,H2052=MappingTables!$C$35),S2052,0))</f>
        <v>0</v>
      </c>
    </row>
    <row r="2053" spans="2:20" s="0" customFormat="0" ht="15">
      <c r="B2053" s="69" t="s">
        <v>4184</v>
      </c>
      <c r="C2053" s="70" t="s">
        <v>4185</v>
      </c>
      <c r="D2053" s="70" t="s">
        <v>1</v>
      </c>
      <c r="E2053" s="70" t="s">
        <v>1</v>
      </c>
      <c r="F2053" s="70"/>
      <c r="G2053" s="70" t="s">
        <v>61</v>
      </c>
      <c r="H2053" s="70" t="s">
        <v>178</v>
      </c>
      <c r="I2053" s="70" t="s">
        <v>204</v>
      </c>
      <c r="J2053" s="71">
        <f>IF(OR(I2053=0,I2053=""),"unrated",VLOOKUP(I2053,MappingTables!$B$19:$C$31,2,FALSE))</f>
        <v>6</v>
      </c>
      <c r="K2053" s="72">
        <v>107.03481224201934</v>
      </c>
      <c r="L2053" s="70">
        <v>0.06849637324972244</v>
      </c>
      <c r="M2053" s="71">
        <f>IF(L2053&lt;1,1,L2053)</f>
        <v>1</v>
      </c>
      <c r="N2053" s="70" t="s">
        <v>3288</v>
      </c>
      <c r="O2053" s="71">
        <f>IF(OR(I2053=$A$1,I2053=0),"",IF(N2053=MappingTables!$C$14,VLOOKUP(J2053,ModelParameters!$M$8:$N$15,2,FALSE),IF(N2053=MappingTables!$C$16,VLOOKUP(J2053,ModelParameters!$P$8:$Q$15,2,FALSE),0)))</f>
        <v>1</v>
      </c>
      <c r="P2053" s="73">
        <f>IF(OR(I2053=0,I2053=$A$1),0,MIN(O2053*M2053,1)*K2053)</f>
        <v>107.03481224201934</v>
      </c>
      <c r="Q2053" s="73">
        <f>IF(B2053="",0,IF(OR(H2053=MappingTables!$C$34,H2053=MappingTables!$C$35),P2053,0))</f>
        <v>0</v>
      </c>
      <c r="R2053" s="73">
        <f>IF(ISNA(IF(AND(VLOOKUP(CONCATENATE($D2053,$G2053),CSRFinput!$B:$E,4,0)=0,OR(H2053=MappingTables!$C$31,H2053=MappingTables!$C$32)),1,VLOOKUP(CONCATENATE($D2053,$G2053),CSRFinput!$B:$E,4,0))),0,IF(AND(VLOOKUP(CONCATENATE($D2053,$G2053),CSRFinput!$B:$E,4,0)=0,OR(H2053=MappingTables!$C$31,H2053=MappingTables!$C$32)),1,VLOOKUP(CONCATENATE($D2053,$G2053),CSRFinput!$B:$E,4,0)))</f>
        <v>0.054776304963434752</v>
      </c>
      <c r="S2053" s="73">
        <f>IF(B2053="",0,P2053*R2053)</f>
        <v>5.8629715170728304</v>
      </c>
      <c r="T2053" s="85">
        <f>IF(B2053="",0,IF(OR(H2053=MappingTables!$C$34,H2053=MappingTables!$C$35),S2053,0))</f>
        <v>0</v>
      </c>
    </row>
    <row r="2054" spans="2:20" s="0" customFormat="0" ht="15">
      <c r="B2054" s="69" t="s">
        <v>4618</v>
      </c>
      <c r="C2054" s="70" t="s">
        <v>4619</v>
      </c>
      <c r="D2054" s="70" t="s">
        <v>1</v>
      </c>
      <c r="E2054" s="70" t="s">
        <v>1</v>
      </c>
      <c r="F2054" s="70"/>
      <c r="G2054" s="70" t="s">
        <v>61</v>
      </c>
      <c r="H2054" s="70" t="s">
        <v>178</v>
      </c>
      <c r="I2054" s="70" t="s">
        <v>198</v>
      </c>
      <c r="J2054" s="71" t="str">
        <f>IF(OR(I2054=0,I2054=""),"unrated",VLOOKUP(I2054,MappingTables!$B$19:$C$31,2,FALSE))</f>
        <v>unrated</v>
      </c>
      <c r="K2054" s="72">
        <v>6026.8980314089352</v>
      </c>
      <c r="L2054" s="70">
        <v>10.385566142693842</v>
      </c>
      <c r="M2054" s="71">
        <f>IF(L2054&lt;1,1,L2054)</f>
        <v>10.385566142693842</v>
      </c>
      <c r="N2054" s="70" t="s">
        <v>3288</v>
      </c>
      <c r="O2054" s="71">
        <f>IF(OR(I2054=$A$1,I2054=0),"",IF(N2054=MappingTables!$C$14,VLOOKUP(J2054,ModelParameters!$M$8:$N$15,2,FALSE),IF(N2054=MappingTables!$C$16,VLOOKUP(J2054,ModelParameters!$P$8:$Q$15,2,FALSE),0)))</f>
        <v>1</v>
      </c>
      <c r="P2054" s="73">
        <f>IF(OR(I2054=0,I2054=$A$1),0,MIN(O2054*M2054,1)*K2054)</f>
        <v>6026.8980314089352</v>
      </c>
      <c r="Q2054" s="73">
        <f>IF(B2054="",0,IF(OR(H2054=MappingTables!$C$34,H2054=MappingTables!$C$35),P2054,0))</f>
        <v>0</v>
      </c>
      <c r="R2054" s="73">
        <f>IF(ISNA(IF(AND(VLOOKUP(CONCATENATE($D2054,$G2054),CSRFinput!$B:$E,4,0)=0,OR(H2054=MappingTables!$C$31,H2054=MappingTables!$C$32)),1,VLOOKUP(CONCATENATE($D2054,$G2054),CSRFinput!$B:$E,4,0))),0,IF(AND(VLOOKUP(CONCATENATE($D2054,$G2054),CSRFinput!$B:$E,4,0)=0,OR(H2054=MappingTables!$C$31,H2054=MappingTables!$C$32)),1,VLOOKUP(CONCATENATE($D2054,$G2054),CSRFinput!$B:$E,4,0)))</f>
        <v>0.054776304963434752</v>
      </c>
      <c r="S2054" s="73">
        <f>IF(B2054="",0,P2054*R2054)</f>
        <v>330.13120455198036</v>
      </c>
      <c r="T2054" s="85">
        <f>IF(B2054="",0,IF(OR(H2054=MappingTables!$C$34,H2054=MappingTables!$C$35),S2054,0))</f>
        <v>0</v>
      </c>
    </row>
    <row r="2055" spans="2:20" s="0" customFormat="0" ht="15">
      <c r="B2055" s="69" t="s">
        <v>4209</v>
      </c>
      <c r="C2055" s="70" t="s">
        <v>4210</v>
      </c>
      <c r="D2055" s="70" t="s">
        <v>1</v>
      </c>
      <c r="E2055" s="70" t="s">
        <v>1</v>
      </c>
      <c r="F2055" s="70"/>
      <c r="G2055" s="70" t="s">
        <v>61</v>
      </c>
      <c r="H2055" s="70" t="s">
        <v>178</v>
      </c>
      <c r="I2055" s="70" t="s">
        <v>204</v>
      </c>
      <c r="J2055" s="71">
        <f>IF(OR(I2055=0,I2055=""),"unrated",VLOOKUP(I2055,MappingTables!$B$19:$C$31,2,FALSE))</f>
        <v>6</v>
      </c>
      <c r="K2055" s="72">
        <v>11.525221386227528</v>
      </c>
      <c r="L2055" s="70">
        <v>0.06849393172139592</v>
      </c>
      <c r="M2055" s="71">
        <f>IF(L2055&lt;1,1,L2055)</f>
        <v>1</v>
      </c>
      <c r="N2055" s="70" t="s">
        <v>3288</v>
      </c>
      <c r="O2055" s="71">
        <f>IF(OR(I2055=$A$1,I2055=0),"",IF(N2055=MappingTables!$C$14,VLOOKUP(J2055,ModelParameters!$M$8:$N$15,2,FALSE),IF(N2055=MappingTables!$C$16,VLOOKUP(J2055,ModelParameters!$P$8:$Q$15,2,FALSE),0)))</f>
        <v>1</v>
      </c>
      <c r="P2055" s="73">
        <f>IF(OR(I2055=0,I2055=$A$1),0,MIN(O2055*M2055,1)*K2055)</f>
        <v>11.525221386227528</v>
      </c>
      <c r="Q2055" s="73">
        <f>IF(B2055="",0,IF(OR(H2055=MappingTables!$C$34,H2055=MappingTables!$C$35),P2055,0))</f>
        <v>0</v>
      </c>
      <c r="R2055" s="73">
        <f>IF(ISNA(IF(AND(VLOOKUP(CONCATENATE($D2055,$G2055),CSRFinput!$B:$E,4,0)=0,OR(H2055=MappingTables!$C$31,H2055=MappingTables!$C$32)),1,VLOOKUP(CONCATENATE($D2055,$G2055),CSRFinput!$B:$E,4,0))),0,IF(AND(VLOOKUP(CONCATENATE($D2055,$G2055),CSRFinput!$B:$E,4,0)=0,OR(H2055=MappingTables!$C$31,H2055=MappingTables!$C$32)),1,VLOOKUP(CONCATENATE($D2055,$G2055),CSRFinput!$B:$E,4,0)))</f>
        <v>0.054776304963434752</v>
      </c>
      <c r="S2055" s="73">
        <f>IF(B2055="",0,P2055*R2055)</f>
        <v>0.63130904142309928</v>
      </c>
      <c r="T2055" s="85">
        <f>IF(B2055="",0,IF(OR(H2055=MappingTables!$C$34,H2055=MappingTables!$C$35),S2055,0))</f>
        <v>0</v>
      </c>
    </row>
    <row r="2056" spans="2:20" s="0" customFormat="0" ht="15">
      <c r="B2056" s="69" t="s">
        <v>5087</v>
      </c>
      <c r="C2056" s="70" t="s">
        <v>5088</v>
      </c>
      <c r="D2056" s="70" t="s">
        <v>1</v>
      </c>
      <c r="E2056" s="70" t="s">
        <v>1</v>
      </c>
      <c r="F2056" s="70"/>
      <c r="G2056" s="70" t="s">
        <v>61</v>
      </c>
      <c r="H2056" s="70" t="s">
        <v>178</v>
      </c>
      <c r="I2056" s="70" t="s">
        <v>198</v>
      </c>
      <c r="J2056" s="71" t="str">
        <f>IF(OR(I2056=0,I2056=""),"unrated",VLOOKUP(I2056,MappingTables!$B$19:$C$31,2,FALSE))</f>
        <v>unrated</v>
      </c>
      <c r="K2056" s="72">
        <v>79.8255205127324</v>
      </c>
      <c r="L2056" s="70">
        <v>0.068489041166403168</v>
      </c>
      <c r="M2056" s="71">
        <f>IF(L2056&lt;1,1,L2056)</f>
        <v>1</v>
      </c>
      <c r="N2056" s="70" t="s">
        <v>3288</v>
      </c>
      <c r="O2056" s="71">
        <f>IF(OR(I2056=$A$1,I2056=0),"",IF(N2056=MappingTables!$C$14,VLOOKUP(J2056,ModelParameters!$M$8:$N$15,2,FALSE),IF(N2056=MappingTables!$C$16,VLOOKUP(J2056,ModelParameters!$P$8:$Q$15,2,FALSE),0)))</f>
        <v>1</v>
      </c>
      <c r="P2056" s="73">
        <f>IF(OR(I2056=0,I2056=$A$1),0,MIN(O2056*M2056,1)*K2056)</f>
        <v>79.8255205127324</v>
      </c>
      <c r="Q2056" s="73">
        <f>IF(B2056="",0,IF(OR(H2056=MappingTables!$C$34,H2056=MappingTables!$C$35),P2056,0))</f>
        <v>0</v>
      </c>
      <c r="R2056" s="73">
        <f>IF(ISNA(IF(AND(VLOOKUP(CONCATENATE($D2056,$G2056),CSRFinput!$B:$E,4,0)=0,OR(H2056=MappingTables!$C$31,H2056=MappingTables!$C$32)),1,VLOOKUP(CONCATENATE($D2056,$G2056),CSRFinput!$B:$E,4,0))),0,IF(AND(VLOOKUP(CONCATENATE($D2056,$G2056),CSRFinput!$B:$E,4,0)=0,OR(H2056=MappingTables!$C$31,H2056=MappingTables!$C$32)),1,VLOOKUP(CONCATENATE($D2056,$G2056),CSRFinput!$B:$E,4,0)))</f>
        <v>0.054776304963434752</v>
      </c>
      <c r="S2056" s="73">
        <f>IF(B2056="",0,P2056*R2056)</f>
        <v>4.3725470554703464</v>
      </c>
      <c r="T2056" s="85">
        <f>IF(B2056="",0,IF(OR(H2056=MappingTables!$C$34,H2056=MappingTables!$C$35),S2056,0))</f>
        <v>0</v>
      </c>
    </row>
    <row r="2057" spans="2:20" s="0" customFormat="0" ht="15">
      <c r="B2057" s="69" t="s">
        <v>4623</v>
      </c>
      <c r="C2057" s="70" t="s">
        <v>4624</v>
      </c>
      <c r="D2057" s="70" t="s">
        <v>1</v>
      </c>
      <c r="E2057" s="70" t="s">
        <v>1</v>
      </c>
      <c r="F2057" s="70"/>
      <c r="G2057" s="70" t="s">
        <v>61</v>
      </c>
      <c r="H2057" s="70" t="s">
        <v>178</v>
      </c>
      <c r="I2057" s="70" t="s">
        <v>179</v>
      </c>
      <c r="J2057" s="71">
        <f>IF(OR(I2057=0,I2057=""),"unrated",VLOOKUP(I2057,MappingTables!$B$19:$C$31,2,FALSE))</f>
        <v>4</v>
      </c>
      <c r="K2057" s="72">
        <v>61.951196225018864</v>
      </c>
      <c r="L2057" s="70">
        <v>0.068492987708716352</v>
      </c>
      <c r="M2057" s="71">
        <f>IF(L2057&lt;1,1,L2057)</f>
        <v>1</v>
      </c>
      <c r="N2057" s="70" t="s">
        <v>3288</v>
      </c>
      <c r="O2057" s="71">
        <f>IF(OR(I2057=$A$1,I2057=0),"",IF(N2057=MappingTables!$C$14,VLOOKUP(J2057,ModelParameters!$M$8:$N$15,2,FALSE),IF(N2057=MappingTables!$C$16,VLOOKUP(J2057,ModelParameters!$P$8:$Q$15,2,FALSE),0)))</f>
        <v>0.82</v>
      </c>
      <c r="P2057" s="73">
        <f>IF(OR(I2057=0,I2057=$A$1),0,MIN(O2057*M2057,1)*K2057)</f>
        <v>50.799980904515464</v>
      </c>
      <c r="Q2057" s="73">
        <f>IF(B2057="",0,IF(OR(H2057=MappingTables!$C$34,H2057=MappingTables!$C$35),P2057,0))</f>
        <v>0</v>
      </c>
      <c r="R2057" s="73">
        <f>IF(ISNA(IF(AND(VLOOKUP(CONCATENATE($D2057,$G2057),CSRFinput!$B:$E,4,0)=0,OR(H2057=MappingTables!$C$31,H2057=MappingTables!$C$32)),1,VLOOKUP(CONCATENATE($D2057,$G2057),CSRFinput!$B:$E,4,0))),0,IF(AND(VLOOKUP(CONCATENATE($D2057,$G2057),CSRFinput!$B:$E,4,0)=0,OR(H2057=MappingTables!$C$31,H2057=MappingTables!$C$32)),1,VLOOKUP(CONCATENATE($D2057,$G2057),CSRFinput!$B:$E,4,0)))</f>
        <v>0.054776304963434752</v>
      </c>
      <c r="S2057" s="73">
        <f>IF(B2057="",0,P2057*R2057)</f>
        <v>2.7826352461624012</v>
      </c>
      <c r="T2057" s="85">
        <f>IF(B2057="",0,IF(OR(H2057=MappingTables!$C$34,H2057=MappingTables!$C$35),S2057,0))</f>
        <v>0</v>
      </c>
    </row>
    <row r="2058" spans="2:20" s="0" customFormat="0" ht="15">
      <c r="B2058" s="69">
        <v>5168892</v>
      </c>
      <c r="C2058" s="70" t="s">
        <v>3400</v>
      </c>
      <c r="D2058" s="70" t="s">
        <v>1</v>
      </c>
      <c r="E2058" s="70" t="s">
        <v>1</v>
      </c>
      <c r="F2058" s="70"/>
      <c r="G2058" s="70" t="s">
        <v>61</v>
      </c>
      <c r="H2058" s="70" t="s">
        <v>178</v>
      </c>
      <c r="I2058" s="70" t="s">
        <v>216</v>
      </c>
      <c r="J2058" s="71">
        <f>IF(OR(I2058=0,I2058=""),"unrated",VLOOKUP(I2058,MappingTables!$B$19:$C$31,2,FALSE))</f>
        <v>0</v>
      </c>
      <c r="K2058" s="72">
        <v>4294.4425945332112</v>
      </c>
      <c r="L2058" s="70">
        <v>1.5800555893824752</v>
      </c>
      <c r="M2058" s="71">
        <f>IF(L2058&lt;1,1,L2058)</f>
        <v>1.5800555893824752</v>
      </c>
      <c r="N2058" s="70" t="s">
        <v>3288</v>
      </c>
      <c r="O2058" s="71">
        <f>IF(OR(I2058=$A$1,I2058=0),"",IF(N2058=MappingTables!$C$14,VLOOKUP(J2058,ModelParameters!$M$8:$N$15,2,FALSE),IF(N2058=MappingTables!$C$16,VLOOKUP(J2058,ModelParameters!$P$8:$Q$15,2,FALSE),0)))</f>
        <v>0.125</v>
      </c>
      <c r="P2058" s="73">
        <f>IF(OR(I2058=0,I2058=$A$1),0,MIN(O2058*M2058,1)*K2058)</f>
        <v>848.18225309679744</v>
      </c>
      <c r="Q2058" s="73">
        <f>IF(B2058="",0,IF(OR(H2058=MappingTables!$C$34,H2058=MappingTables!$C$35),P2058,0))</f>
        <v>0</v>
      </c>
      <c r="R2058" s="73">
        <f>IF(ISNA(IF(AND(VLOOKUP(CONCATENATE($D2058,$G2058),CSRFinput!$B:$E,4,0)=0,OR(H2058=MappingTables!$C$31,H2058=MappingTables!$C$32)),1,VLOOKUP(CONCATENATE($D2058,$G2058),CSRFinput!$B:$E,4,0))),0,IF(AND(VLOOKUP(CONCATENATE($D2058,$G2058),CSRFinput!$B:$E,4,0)=0,OR(H2058=MappingTables!$C$31,H2058=MappingTables!$C$32)),1,VLOOKUP(CONCATENATE($D2058,$G2058),CSRFinput!$B:$E,4,0)))</f>
        <v>0.054776304963434752</v>
      </c>
      <c r="S2058" s="73">
        <f>IF(B2058="",0,P2058*R2058)</f>
        <v>46.460289760203384</v>
      </c>
      <c r="T2058" s="85">
        <f>IF(B2058="",0,IF(OR(H2058=MappingTables!$C$34,H2058=MappingTables!$C$35),S2058,0))</f>
        <v>0</v>
      </c>
    </row>
    <row r="2059" spans="2:20" s="0" customFormat="0" ht="15">
      <c r="B2059" s="69" t="s">
        <v>4076</v>
      </c>
      <c r="C2059" s="70" t="s">
        <v>4077</v>
      </c>
      <c r="D2059" s="70" t="s">
        <v>1</v>
      </c>
      <c r="E2059" s="70" t="s">
        <v>1</v>
      </c>
      <c r="F2059" s="70"/>
      <c r="G2059" s="70" t="s">
        <v>61</v>
      </c>
      <c r="H2059" s="70" t="s">
        <v>178</v>
      </c>
      <c r="I2059" s="70" t="s">
        <v>198</v>
      </c>
      <c r="J2059" s="71" t="str">
        <f>IF(OR(I2059=0,I2059=""),"unrated",VLOOKUP(I2059,MappingTables!$B$19:$C$31,2,FALSE))</f>
        <v>unrated</v>
      </c>
      <c r="K2059" s="72">
        <v>920.45502566919216</v>
      </c>
      <c r="L2059" s="70">
        <v>39.09493633342136</v>
      </c>
      <c r="M2059" s="71">
        <f>IF(L2059&lt;1,1,L2059)</f>
        <v>39.09493633342136</v>
      </c>
      <c r="N2059" s="70" t="s">
        <v>3288</v>
      </c>
      <c r="O2059" s="71">
        <f>IF(OR(I2059=$A$1,I2059=0),"",IF(N2059=MappingTables!$C$14,VLOOKUP(J2059,ModelParameters!$M$8:$N$15,2,FALSE),IF(N2059=MappingTables!$C$16,VLOOKUP(J2059,ModelParameters!$P$8:$Q$15,2,FALSE),0)))</f>
        <v>1</v>
      </c>
      <c r="P2059" s="73">
        <f>IF(OR(I2059=0,I2059=$A$1),0,MIN(O2059*M2059,1)*K2059)</f>
        <v>920.45502566919216</v>
      </c>
      <c r="Q2059" s="73">
        <f>IF(B2059="",0,IF(OR(H2059=MappingTables!$C$34,H2059=MappingTables!$C$35),P2059,0))</f>
        <v>0</v>
      </c>
      <c r="R2059" s="73">
        <f>IF(ISNA(IF(AND(VLOOKUP(CONCATENATE($D2059,$G2059),CSRFinput!$B:$E,4,0)=0,OR(H2059=MappingTables!$C$31,H2059=MappingTables!$C$32)),1,VLOOKUP(CONCATENATE($D2059,$G2059),CSRFinput!$B:$E,4,0))),0,IF(AND(VLOOKUP(CONCATENATE($D2059,$G2059),CSRFinput!$B:$E,4,0)=0,OR(H2059=MappingTables!$C$31,H2059=MappingTables!$C$32)),1,VLOOKUP(CONCATENATE($D2059,$G2059),CSRFinput!$B:$E,4,0)))</f>
        <v>0.054776304963434752</v>
      </c>
      <c r="S2059" s="73">
        <f>IF(B2059="",0,P2059*R2059)</f>
        <v>50.419125191181832</v>
      </c>
      <c r="T2059" s="85">
        <f>IF(B2059="",0,IF(OR(H2059=MappingTables!$C$34,H2059=MappingTables!$C$35),S2059,0))</f>
        <v>0</v>
      </c>
    </row>
    <row r="2060" spans="2:20" s="0" customFormat="0" ht="15">
      <c r="B2060" s="69" t="s">
        <v>4965</v>
      </c>
      <c r="C2060" s="70" t="s">
        <v>4966</v>
      </c>
      <c r="D2060" s="70" t="s">
        <v>1</v>
      </c>
      <c r="E2060" s="70" t="s">
        <v>1</v>
      </c>
      <c r="F2060" s="70"/>
      <c r="G2060" s="70" t="s">
        <v>61</v>
      </c>
      <c r="H2060" s="70" t="s">
        <v>178</v>
      </c>
      <c r="I2060" s="70" t="s">
        <v>3298</v>
      </c>
      <c r="J2060" s="71">
        <f>IF(OR(I2060=0,I2060=""),"unrated",VLOOKUP(I2060,MappingTables!$B$19:$C$31,2,FALSE))</f>
        <v>6</v>
      </c>
      <c r="K2060" s="72">
        <v>136.57409670776388</v>
      </c>
      <c r="L2060" s="70">
        <v>-1.8259467785468236</v>
      </c>
      <c r="M2060" s="71">
        <f>IF(L2060&lt;1,1,L2060)</f>
        <v>1</v>
      </c>
      <c r="N2060" s="70" t="s">
        <v>3288</v>
      </c>
      <c r="O2060" s="71">
        <f>IF(OR(I2060=$A$1,I2060=0),"",IF(N2060=MappingTables!$C$14,VLOOKUP(J2060,ModelParameters!$M$8:$N$15,2,FALSE),IF(N2060=MappingTables!$C$16,VLOOKUP(J2060,ModelParameters!$P$8:$Q$15,2,FALSE),0)))</f>
        <v>1</v>
      </c>
      <c r="P2060" s="73">
        <f>IF(OR(I2060=0,I2060=$A$1),0,MIN(O2060*M2060,1)*K2060)</f>
        <v>136.57409670776388</v>
      </c>
      <c r="Q2060" s="73">
        <f>IF(B2060="",0,IF(OR(H2060=MappingTables!$C$34,H2060=MappingTables!$C$35),P2060,0))</f>
        <v>0</v>
      </c>
      <c r="R2060" s="73">
        <f>IF(ISNA(IF(AND(VLOOKUP(CONCATENATE($D2060,$G2060),CSRFinput!$B:$E,4,0)=0,OR(H2060=MappingTables!$C$31,H2060=MappingTables!$C$32)),1,VLOOKUP(CONCATENATE($D2060,$G2060),CSRFinput!$B:$E,4,0))),0,IF(AND(VLOOKUP(CONCATENATE($D2060,$G2060),CSRFinput!$B:$E,4,0)=0,OR(H2060=MappingTables!$C$31,H2060=MappingTables!$C$32)),1,VLOOKUP(CONCATENATE($D2060,$G2060),CSRFinput!$B:$E,4,0)))</f>
        <v>0.054776304963434752</v>
      </c>
      <c r="S2060" s="73">
        <f>IF(B2060="",0,P2060*R2060)</f>
        <v>7.4810243713701056</v>
      </c>
      <c r="T2060" s="85">
        <f>IF(B2060="",0,IF(OR(H2060=MappingTables!$C$34,H2060=MappingTables!$C$35),S2060,0))</f>
        <v>0</v>
      </c>
    </row>
    <row r="2061" spans="2:20" s="0" customFormat="0" ht="15">
      <c r="B2061" s="69" t="s">
        <v>5215</v>
      </c>
      <c r="C2061" s="70" t="s">
        <v>5216</v>
      </c>
      <c r="D2061" s="70" t="s">
        <v>1</v>
      </c>
      <c r="E2061" s="70" t="s">
        <v>1</v>
      </c>
      <c r="F2061" s="70"/>
      <c r="G2061" s="70" t="s">
        <v>61</v>
      </c>
      <c r="H2061" s="70" t="s">
        <v>178</v>
      </c>
      <c r="I2061" s="70" t="s">
        <v>198</v>
      </c>
      <c r="J2061" s="71" t="str">
        <f>IF(OR(I2061=0,I2061=""),"unrated",VLOOKUP(I2061,MappingTables!$B$19:$C$31,2,FALSE))</f>
        <v>unrated</v>
      </c>
      <c r="K2061" s="72">
        <v>51.637802140025864</v>
      </c>
      <c r="L2061" s="70">
        <v>0.0684906101795054</v>
      </c>
      <c r="M2061" s="71">
        <f>IF(L2061&lt;1,1,L2061)</f>
        <v>1</v>
      </c>
      <c r="N2061" s="70" t="s">
        <v>3288</v>
      </c>
      <c r="O2061" s="71">
        <f>IF(OR(I2061=$A$1,I2061=0),"",IF(N2061=MappingTables!$C$14,VLOOKUP(J2061,ModelParameters!$M$8:$N$15,2,FALSE),IF(N2061=MappingTables!$C$16,VLOOKUP(J2061,ModelParameters!$P$8:$Q$15,2,FALSE),0)))</f>
        <v>1</v>
      </c>
      <c r="P2061" s="73">
        <f>IF(OR(I2061=0,I2061=$A$1),0,MIN(O2061*M2061,1)*K2061)</f>
        <v>51.637802140025864</v>
      </c>
      <c r="Q2061" s="73">
        <f>IF(B2061="",0,IF(OR(H2061=MappingTables!$C$34,H2061=MappingTables!$C$35),P2061,0))</f>
        <v>0</v>
      </c>
      <c r="R2061" s="73">
        <f>IF(ISNA(IF(AND(VLOOKUP(CONCATENATE($D2061,$G2061),CSRFinput!$B:$E,4,0)=0,OR(H2061=MappingTables!$C$31,H2061=MappingTables!$C$32)),1,VLOOKUP(CONCATENATE($D2061,$G2061),CSRFinput!$B:$E,4,0))),0,IF(AND(VLOOKUP(CONCATENATE($D2061,$G2061),CSRFinput!$B:$E,4,0)=0,OR(H2061=MappingTables!$C$31,H2061=MappingTables!$C$32)),1,VLOOKUP(CONCATENATE($D2061,$G2061),CSRFinput!$B:$E,4,0)))</f>
        <v>0.054776304963434752</v>
      </c>
      <c r="S2061" s="73">
        <f>IF(B2061="",0,P2061*R2061)</f>
        <v>2.8285279976635604</v>
      </c>
      <c r="T2061" s="85">
        <f>IF(B2061="",0,IF(OR(H2061=MappingTables!$C$34,H2061=MappingTables!$C$35),S2061,0))</f>
        <v>0</v>
      </c>
    </row>
    <row r="2062" spans="2:20" s="0" customFormat="0" ht="15">
      <c r="B2062" s="69">
        <v>6388757</v>
      </c>
      <c r="C2062" s="70" t="s">
        <v>4310</v>
      </c>
      <c r="D2062" s="70" t="s">
        <v>1</v>
      </c>
      <c r="E2062" s="70" t="s">
        <v>1</v>
      </c>
      <c r="F2062" s="70"/>
      <c r="G2062" s="70" t="s">
        <v>61</v>
      </c>
      <c r="H2062" s="70" t="s">
        <v>178</v>
      </c>
      <c r="I2062" s="70" t="s">
        <v>3298</v>
      </c>
      <c r="J2062" s="71">
        <f>IF(OR(I2062=0,I2062=""),"unrated",VLOOKUP(I2062,MappingTables!$B$19:$C$31,2,FALSE))</f>
        <v>6</v>
      </c>
      <c r="K2062" s="72">
        <v>206.87376196432116</v>
      </c>
      <c r="L2062" s="70">
        <v>0.068493119856550224</v>
      </c>
      <c r="M2062" s="71">
        <f>IF(L2062&lt;1,1,L2062)</f>
        <v>1</v>
      </c>
      <c r="N2062" s="70" t="s">
        <v>3288</v>
      </c>
      <c r="O2062" s="71">
        <f>IF(OR(I2062=$A$1,I2062=0),"",IF(N2062=MappingTables!$C$14,VLOOKUP(J2062,ModelParameters!$M$8:$N$15,2,FALSE),IF(N2062=MappingTables!$C$16,VLOOKUP(J2062,ModelParameters!$P$8:$Q$15,2,FALSE),0)))</f>
        <v>1</v>
      </c>
      <c r="P2062" s="73">
        <f>IF(OR(I2062=0,I2062=$A$1),0,MIN(O2062*M2062,1)*K2062)</f>
        <v>206.87376196432116</v>
      </c>
      <c r="Q2062" s="73">
        <f>IF(B2062="",0,IF(OR(H2062=MappingTables!$C$34,H2062=MappingTables!$C$35),P2062,0))</f>
        <v>0</v>
      </c>
      <c r="R2062" s="73">
        <f>IF(ISNA(IF(AND(VLOOKUP(CONCATENATE($D2062,$G2062),CSRFinput!$B:$E,4,0)=0,OR(H2062=MappingTables!$C$31,H2062=MappingTables!$C$32)),1,VLOOKUP(CONCATENATE($D2062,$G2062),CSRFinput!$B:$E,4,0))),0,IF(AND(VLOOKUP(CONCATENATE($D2062,$G2062),CSRFinput!$B:$E,4,0)=0,OR(H2062=MappingTables!$C$31,H2062=MappingTables!$C$32)),1,VLOOKUP(CONCATENATE($D2062,$G2062),CSRFinput!$B:$E,4,0)))</f>
        <v>0.054776304963434752</v>
      </c>
      <c r="S2062" s="73">
        <f>IF(B2062="",0,P2062*R2062)</f>
        <v>11.331780274290666</v>
      </c>
      <c r="T2062" s="85">
        <f>IF(B2062="",0,IF(OR(H2062=MappingTables!$C$34,H2062=MappingTables!$C$35),S2062,0))</f>
        <v>0</v>
      </c>
    </row>
    <row r="2063" spans="2:20" s="0" customFormat="0" ht="15">
      <c r="B2063" s="69" t="s">
        <v>5217</v>
      </c>
      <c r="C2063" s="70" t="s">
        <v>5218</v>
      </c>
      <c r="D2063" s="70" t="s">
        <v>1</v>
      </c>
      <c r="E2063" s="70" t="s">
        <v>1</v>
      </c>
      <c r="F2063" s="70"/>
      <c r="G2063" s="70" t="s">
        <v>61</v>
      </c>
      <c r="H2063" s="70" t="s">
        <v>178</v>
      </c>
      <c r="I2063" s="70" t="s">
        <v>3298</v>
      </c>
      <c r="J2063" s="71">
        <f>IF(OR(I2063=0,I2063=""),"unrated",VLOOKUP(I2063,MappingTables!$B$19:$C$31,2,FALSE))</f>
        <v>6</v>
      </c>
      <c r="K2063" s="72">
        <v>735.36883418739584</v>
      </c>
      <c r="L2063" s="70">
        <v>0.068490541160452248</v>
      </c>
      <c r="M2063" s="71">
        <f>IF(L2063&lt;1,1,L2063)</f>
        <v>1</v>
      </c>
      <c r="N2063" s="70" t="s">
        <v>3288</v>
      </c>
      <c r="O2063" s="71">
        <f>IF(OR(I2063=$A$1,I2063=0),"",IF(N2063=MappingTables!$C$14,VLOOKUP(J2063,ModelParameters!$M$8:$N$15,2,FALSE),IF(N2063=MappingTables!$C$16,VLOOKUP(J2063,ModelParameters!$P$8:$Q$15,2,FALSE),0)))</f>
        <v>1</v>
      </c>
      <c r="P2063" s="73">
        <f>IF(OR(I2063=0,I2063=$A$1),0,MIN(O2063*M2063,1)*K2063)</f>
        <v>735.36883418739584</v>
      </c>
      <c r="Q2063" s="73">
        <f>IF(B2063="",0,IF(OR(H2063=MappingTables!$C$34,H2063=MappingTables!$C$35),P2063,0))</f>
        <v>0</v>
      </c>
      <c r="R2063" s="73">
        <f>IF(ISNA(IF(AND(VLOOKUP(CONCATENATE($D2063,$G2063),CSRFinput!$B:$E,4,0)=0,OR(H2063=MappingTables!$C$31,H2063=MappingTables!$C$32)),1,VLOOKUP(CONCATENATE($D2063,$G2063),CSRFinput!$B:$E,4,0))),0,IF(AND(VLOOKUP(CONCATENATE($D2063,$G2063),CSRFinput!$B:$E,4,0)=0,OR(H2063=MappingTables!$C$31,H2063=MappingTables!$C$32)),1,VLOOKUP(CONCATENATE($D2063,$G2063),CSRFinput!$B:$E,4,0)))</f>
        <v>0.054776304963434752</v>
      </c>
      <c r="S2063" s="73">
        <f>IF(B2063="",0,P2063*R2063)</f>
        <v>40.280787522054272</v>
      </c>
      <c r="T2063" s="85">
        <f>IF(B2063="",0,IF(OR(H2063=MappingTables!$C$34,H2063=MappingTables!$C$35),S2063,0))</f>
        <v>0</v>
      </c>
    </row>
    <row r="2064" spans="2:20" s="0" customFormat="0" ht="15">
      <c r="B2064" s="69" t="s">
        <v>4937</v>
      </c>
      <c r="C2064" s="70" t="s">
        <v>4938</v>
      </c>
      <c r="D2064" s="70" t="s">
        <v>1</v>
      </c>
      <c r="E2064" s="70" t="s">
        <v>1</v>
      </c>
      <c r="F2064" s="70"/>
      <c r="G2064" s="70" t="s">
        <v>61</v>
      </c>
      <c r="H2064" s="70" t="s">
        <v>178</v>
      </c>
      <c r="I2064" s="70" t="s">
        <v>188</v>
      </c>
      <c r="J2064" s="71">
        <f>IF(OR(I2064=0,I2064=""),"unrated",VLOOKUP(I2064,MappingTables!$B$19:$C$31,2,FALSE))</f>
        <v>2</v>
      </c>
      <c r="K2064" s="72">
        <v>569.17253966447992</v>
      </c>
      <c r="L2064" s="70">
        <v>0.062474706371553776</v>
      </c>
      <c r="M2064" s="71">
        <f>IF(L2064&lt;1,1,L2064)</f>
        <v>1</v>
      </c>
      <c r="N2064" s="70" t="s">
        <v>3288</v>
      </c>
      <c r="O2064" s="71">
        <f>IF(OR(I2064=$A$1,I2064=0),"",IF(N2064=MappingTables!$C$14,VLOOKUP(J2064,ModelParameters!$M$8:$N$15,2,FALSE),IF(N2064=MappingTables!$C$16,VLOOKUP(J2064,ModelParameters!$P$8:$Q$15,2,FALSE),0)))</f>
        <v>0.166</v>
      </c>
      <c r="P2064" s="73">
        <f>IF(OR(I2064=0,I2064=$A$1),0,MIN(O2064*M2064,1)*K2064)</f>
        <v>94.48264158430368</v>
      </c>
      <c r="Q2064" s="73">
        <f>IF(B2064="",0,IF(OR(H2064=MappingTables!$C$34,H2064=MappingTables!$C$35),P2064,0))</f>
        <v>0</v>
      </c>
      <c r="R2064" s="73">
        <f>IF(ISNA(IF(AND(VLOOKUP(CONCATENATE($D2064,$G2064),CSRFinput!$B:$E,4,0)=0,OR(H2064=MappingTables!$C$31,H2064=MappingTables!$C$32)),1,VLOOKUP(CONCATENATE($D2064,$G2064),CSRFinput!$B:$E,4,0))),0,IF(AND(VLOOKUP(CONCATENATE($D2064,$G2064),CSRFinput!$B:$E,4,0)=0,OR(H2064=MappingTables!$C$31,H2064=MappingTables!$C$32)),1,VLOOKUP(CONCATENATE($D2064,$G2064),CSRFinput!$B:$E,4,0)))</f>
        <v>0.054776304963434752</v>
      </c>
      <c r="S2064" s="73">
        <f>IF(B2064="",0,P2064*R2064)</f>
        <v>5.1754099891727208</v>
      </c>
      <c r="T2064" s="85">
        <f>IF(B2064="",0,IF(OR(H2064=MappingTables!$C$34,H2064=MappingTables!$C$35),S2064,0))</f>
        <v>0</v>
      </c>
    </row>
    <row r="2065" spans="2:20" s="0" customFormat="0" ht="15">
      <c r="B2065" s="69">
        <v>1929252</v>
      </c>
      <c r="C2065" s="70" t="s">
        <v>4667</v>
      </c>
      <c r="D2065" s="70" t="s">
        <v>1</v>
      </c>
      <c r="E2065" s="70" t="s">
        <v>1</v>
      </c>
      <c r="F2065" s="70"/>
      <c r="G2065" s="70" t="s">
        <v>61</v>
      </c>
      <c r="H2065" s="70" t="s">
        <v>178</v>
      </c>
      <c r="I2065" s="70" t="s">
        <v>179</v>
      </c>
      <c r="J2065" s="71">
        <f>IF(OR(I2065=0,I2065=""),"unrated",VLOOKUP(I2065,MappingTables!$B$19:$C$31,2,FALSE))</f>
        <v>4</v>
      </c>
      <c r="K2065" s="72">
        <v>8007.6213320161056</v>
      </c>
      <c r="L2065" s="70">
        <v>0.068495802775874736</v>
      </c>
      <c r="M2065" s="71">
        <f>IF(L2065&lt;1,1,L2065)</f>
        <v>1</v>
      </c>
      <c r="N2065" s="70" t="s">
        <v>3288</v>
      </c>
      <c r="O2065" s="71">
        <f>IF(OR(I2065=$A$1,I2065=0),"",IF(N2065=MappingTables!$C$14,VLOOKUP(J2065,ModelParameters!$M$8:$N$15,2,FALSE),IF(N2065=MappingTables!$C$16,VLOOKUP(J2065,ModelParameters!$P$8:$Q$15,2,FALSE),0)))</f>
        <v>0.82</v>
      </c>
      <c r="P2065" s="73">
        <f>IF(OR(I2065=0,I2065=$A$1),0,MIN(O2065*M2065,1)*K2065)</f>
        <v>6566.2494922532056</v>
      </c>
      <c r="Q2065" s="73">
        <f>IF(B2065="",0,IF(OR(H2065=MappingTables!$C$34,H2065=MappingTables!$C$35),P2065,0))</f>
        <v>0</v>
      </c>
      <c r="R2065" s="73">
        <f>IF(ISNA(IF(AND(VLOOKUP(CONCATENATE($D2065,$G2065),CSRFinput!$B:$E,4,0)=0,OR(H2065=MappingTables!$C$31,H2065=MappingTables!$C$32)),1,VLOOKUP(CONCATENATE($D2065,$G2065),CSRFinput!$B:$E,4,0))),0,IF(AND(VLOOKUP(CONCATENATE($D2065,$G2065),CSRFinput!$B:$E,4,0)=0,OR(H2065=MappingTables!$C$31,H2065=MappingTables!$C$32)),1,VLOOKUP(CONCATENATE($D2065,$G2065),CSRFinput!$B:$E,4,0)))</f>
        <v>0.054776304963434752</v>
      </c>
      <c r="S2065" s="73">
        <f>IF(B2065="",0,P2065*R2065)</f>
        <v>359.67488465366024</v>
      </c>
      <c r="T2065" s="85">
        <f>IF(B2065="",0,IF(OR(H2065=MappingTables!$C$34,H2065=MappingTables!$C$35),S2065,0))</f>
        <v>0</v>
      </c>
    </row>
    <row r="2066" spans="2:20" s="0" customFormat="0" ht="15">
      <c r="B2066" s="69" t="s">
        <v>4823</v>
      </c>
      <c r="C2066" s="70" t="s">
        <v>4824</v>
      </c>
      <c r="D2066" s="70" t="s">
        <v>1</v>
      </c>
      <c r="E2066" s="70" t="s">
        <v>1</v>
      </c>
      <c r="F2066" s="70"/>
      <c r="G2066" s="70" t="s">
        <v>61</v>
      </c>
      <c r="H2066" s="70" t="s">
        <v>178</v>
      </c>
      <c r="I2066" s="70" t="s">
        <v>216</v>
      </c>
      <c r="J2066" s="71">
        <f>IF(OR(I2066=0,I2066=""),"unrated",VLOOKUP(I2066,MappingTables!$B$19:$C$31,2,FALSE))</f>
        <v>0</v>
      </c>
      <c r="K2066" s="72">
        <v>98.441205599532688</v>
      </c>
      <c r="L2066" s="70">
        <v>0.073972601287191904</v>
      </c>
      <c r="M2066" s="71">
        <f>IF(L2066&lt;1,1,L2066)</f>
        <v>1</v>
      </c>
      <c r="N2066" s="70" t="s">
        <v>3288</v>
      </c>
      <c r="O2066" s="71">
        <f>IF(OR(I2066=$A$1,I2066=0),"",IF(N2066=MappingTables!$C$14,VLOOKUP(J2066,ModelParameters!$M$8:$N$15,2,FALSE),IF(N2066=MappingTables!$C$16,VLOOKUP(J2066,ModelParameters!$P$8:$Q$15,2,FALSE),0)))</f>
        <v>0.125</v>
      </c>
      <c r="P2066" s="73">
        <f>IF(OR(I2066=0,I2066=$A$1),0,MIN(O2066*M2066,1)*K2066)</f>
        <v>12.305150699941586</v>
      </c>
      <c r="Q2066" s="73">
        <f>IF(B2066="",0,IF(OR(H2066=MappingTables!$C$34,H2066=MappingTables!$C$35),P2066,0))</f>
        <v>0</v>
      </c>
      <c r="R2066" s="73">
        <f>IF(ISNA(IF(AND(VLOOKUP(CONCATENATE($D2066,$G2066),CSRFinput!$B:$E,4,0)=0,OR(H2066=MappingTables!$C$31,H2066=MappingTables!$C$32)),1,VLOOKUP(CONCATENATE($D2066,$G2066),CSRFinput!$B:$E,4,0))),0,IF(AND(VLOOKUP(CONCATENATE($D2066,$G2066),CSRFinput!$B:$E,4,0)=0,OR(H2066=MappingTables!$C$31,H2066=MappingTables!$C$32)),1,VLOOKUP(CONCATENATE($D2066,$G2066),CSRFinput!$B:$E,4,0)))</f>
        <v>0.054776304963434752</v>
      </c>
      <c r="S2066" s="73">
        <f>IF(B2066="",0,P2066*R2066)</f>
        <v>0.67403068736102304</v>
      </c>
      <c r="T2066" s="85">
        <f>IF(B2066="",0,IF(OR(H2066=MappingTables!$C$34,H2066=MappingTables!$C$35),S2066,0))</f>
        <v>0</v>
      </c>
    </row>
    <row r="2067" spans="2:20" s="0" customFormat="0" ht="15">
      <c r="B2067" s="69">
        <v>22623675</v>
      </c>
      <c r="C2067" s="70" t="s">
        <v>4880</v>
      </c>
      <c r="D2067" s="70" t="s">
        <v>1</v>
      </c>
      <c r="E2067" s="70" t="s">
        <v>1</v>
      </c>
      <c r="F2067" s="70"/>
      <c r="G2067" s="70" t="s">
        <v>61</v>
      </c>
      <c r="H2067" s="70" t="s">
        <v>178</v>
      </c>
      <c r="I2067" s="70" t="s">
        <v>198</v>
      </c>
      <c r="J2067" s="71" t="str">
        <f>IF(OR(I2067=0,I2067=""),"unrated",VLOOKUP(I2067,MappingTables!$B$19:$C$31,2,FALSE))</f>
        <v>unrated</v>
      </c>
      <c r="K2067" s="72">
        <v>56.688802307150336</v>
      </c>
      <c r="L2067" s="70">
        <v>0.077556692378215984</v>
      </c>
      <c r="M2067" s="71">
        <f>IF(L2067&lt;1,1,L2067)</f>
        <v>1</v>
      </c>
      <c r="N2067" s="70" t="s">
        <v>3288</v>
      </c>
      <c r="O2067" s="71">
        <f>IF(OR(I2067=$A$1,I2067=0),"",IF(N2067=MappingTables!$C$14,VLOOKUP(J2067,ModelParameters!$M$8:$N$15,2,FALSE),IF(N2067=MappingTables!$C$16,VLOOKUP(J2067,ModelParameters!$P$8:$Q$15,2,FALSE),0)))</f>
        <v>1</v>
      </c>
      <c r="P2067" s="73">
        <f>IF(OR(I2067=0,I2067=$A$1),0,MIN(O2067*M2067,1)*K2067)</f>
        <v>56.688802307150336</v>
      </c>
      <c r="Q2067" s="73">
        <f>IF(B2067="",0,IF(OR(H2067=MappingTables!$C$34,H2067=MappingTables!$C$35),P2067,0))</f>
        <v>0</v>
      </c>
      <c r="R2067" s="73">
        <f>IF(ISNA(IF(AND(VLOOKUP(CONCATENATE($D2067,$G2067),CSRFinput!$B:$E,4,0)=0,OR(H2067=MappingTables!$C$31,H2067=MappingTables!$C$32)),1,VLOOKUP(CONCATENATE($D2067,$G2067),CSRFinput!$B:$E,4,0))),0,IF(AND(VLOOKUP(CONCATENATE($D2067,$G2067),CSRFinput!$B:$E,4,0)=0,OR(H2067=MappingTables!$C$31,H2067=MappingTables!$C$32)),1,VLOOKUP(CONCATENATE($D2067,$G2067),CSRFinput!$B:$E,4,0)))</f>
        <v>0.054776304963434752</v>
      </c>
      <c r="S2067" s="73">
        <f>IF(B2067="",0,P2067*R2067)</f>
        <v>3.1052031231883304</v>
      </c>
      <c r="T2067" s="85">
        <f>IF(B2067="",0,IF(OR(H2067=MappingTables!$C$34,H2067=MappingTables!$C$35),S2067,0))</f>
        <v>0</v>
      </c>
    </row>
    <row r="2068" spans="2:20" s="0" customFormat="0" ht="15">
      <c r="B2068" s="69">
        <v>22623685</v>
      </c>
      <c r="C2068" s="70" t="s">
        <v>4804</v>
      </c>
      <c r="D2068" s="70" t="s">
        <v>1</v>
      </c>
      <c r="E2068" s="70" t="s">
        <v>1</v>
      </c>
      <c r="F2068" s="70"/>
      <c r="G2068" s="70" t="s">
        <v>61</v>
      </c>
      <c r="H2068" s="70" t="s">
        <v>178</v>
      </c>
      <c r="I2068" s="70" t="s">
        <v>3291</v>
      </c>
      <c r="J2068" s="71">
        <f>IF(OR(I2068=0,I2068=""),"unrated",VLOOKUP(I2068,MappingTables!$B$19:$C$31,2,FALSE))</f>
        <v>6</v>
      </c>
      <c r="K2068" s="72">
        <v>9803.7905829060288</v>
      </c>
      <c r="L2068" s="70">
        <v>0.06849596410459492</v>
      </c>
      <c r="M2068" s="71">
        <f>IF(L2068&lt;1,1,L2068)</f>
        <v>1</v>
      </c>
      <c r="N2068" s="70" t="s">
        <v>3288</v>
      </c>
      <c r="O2068" s="71">
        <f>IF(OR(I2068=$A$1,I2068=0),"",IF(N2068=MappingTables!$C$14,VLOOKUP(J2068,ModelParameters!$M$8:$N$15,2,FALSE),IF(N2068=MappingTables!$C$16,VLOOKUP(J2068,ModelParameters!$P$8:$Q$15,2,FALSE),0)))</f>
        <v>1</v>
      </c>
      <c r="P2068" s="73">
        <f>IF(OR(I2068=0,I2068=$A$1),0,MIN(O2068*M2068,1)*K2068)</f>
        <v>9803.7905829060288</v>
      </c>
      <c r="Q2068" s="73">
        <f>IF(B2068="",0,IF(OR(H2068=MappingTables!$C$34,H2068=MappingTables!$C$35),P2068,0))</f>
        <v>0</v>
      </c>
      <c r="R2068" s="73">
        <f>IF(ISNA(IF(AND(VLOOKUP(CONCATENATE($D2068,$G2068),CSRFinput!$B:$E,4,0)=0,OR(H2068=MappingTables!$C$31,H2068=MappingTables!$C$32)),1,VLOOKUP(CONCATENATE($D2068,$G2068),CSRFinput!$B:$E,4,0))),0,IF(AND(VLOOKUP(CONCATENATE($D2068,$G2068),CSRFinput!$B:$E,4,0)=0,OR(H2068=MappingTables!$C$31,H2068=MappingTables!$C$32)),1,VLOOKUP(CONCATENATE($D2068,$G2068),CSRFinput!$B:$E,4,0)))</f>
        <v>0.054776304963434752</v>
      </c>
      <c r="S2068" s="73">
        <f>IF(B2068="",0,P2068*R2068)</f>
        <v>537.0154227669104</v>
      </c>
      <c r="T2068" s="85">
        <f>IF(B2068="",0,IF(OR(H2068=MappingTables!$C$34,H2068=MappingTables!$C$35),S2068,0))</f>
        <v>0</v>
      </c>
    </row>
    <row r="2069" spans="2:20" s="0" customFormat="0" ht="15">
      <c r="B2069" s="69">
        <v>6683584</v>
      </c>
      <c r="C2069" s="70" t="s">
        <v>4633</v>
      </c>
      <c r="D2069" s="70" t="s">
        <v>1</v>
      </c>
      <c r="E2069" s="70" t="s">
        <v>1</v>
      </c>
      <c r="F2069" s="70"/>
      <c r="G2069" s="70" t="s">
        <v>61</v>
      </c>
      <c r="H2069" s="70" t="s">
        <v>178</v>
      </c>
      <c r="I2069" s="70" t="s">
        <v>216</v>
      </c>
      <c r="J2069" s="71">
        <f>IF(OR(I2069=0,I2069=""),"unrated",VLOOKUP(I2069,MappingTables!$B$19:$C$31,2,FALSE))</f>
        <v>0</v>
      </c>
      <c r="K2069" s="72">
        <v>232.29466404705148</v>
      </c>
      <c r="L2069" s="70">
        <v>2.0339391047476056</v>
      </c>
      <c r="M2069" s="71">
        <f>IF(L2069&lt;1,1,L2069)</f>
        <v>2.0339391047476056</v>
      </c>
      <c r="N2069" s="70" t="s">
        <v>3288</v>
      </c>
      <c r="O2069" s="71">
        <f>IF(OR(I2069=$A$1,I2069=0),"",IF(N2069=MappingTables!$C$14,VLOOKUP(J2069,ModelParameters!$M$8:$N$15,2,FALSE),IF(N2069=MappingTables!$C$16,VLOOKUP(J2069,ModelParameters!$P$8:$Q$15,2,FALSE),0)))</f>
        <v>0.125</v>
      </c>
      <c r="P2069" s="73">
        <f>IF(OR(I2069=0,I2069=$A$1),0,MIN(O2069*M2069,1)*K2069)</f>
        <v>59.0591501286882</v>
      </c>
      <c r="Q2069" s="73">
        <f>IF(B2069="",0,IF(OR(H2069=MappingTables!$C$34,H2069=MappingTables!$C$35),P2069,0))</f>
        <v>0</v>
      </c>
      <c r="R2069" s="73">
        <f>IF(ISNA(IF(AND(VLOOKUP(CONCATENATE($D2069,$G2069),CSRFinput!$B:$E,4,0)=0,OR(H2069=MappingTables!$C$31,H2069=MappingTables!$C$32)),1,VLOOKUP(CONCATENATE($D2069,$G2069),CSRFinput!$B:$E,4,0))),0,IF(AND(VLOOKUP(CONCATENATE($D2069,$G2069),CSRFinput!$B:$E,4,0)=0,OR(H2069=MappingTables!$C$31,H2069=MappingTables!$C$32)),1,VLOOKUP(CONCATENATE($D2069,$G2069),CSRFinput!$B:$E,4,0)))</f>
        <v>0.054776304963434752</v>
      </c>
      <c r="S2069" s="73">
        <f>IF(B2069="",0,P2069*R2069)</f>
        <v>3.2350420183303016</v>
      </c>
      <c r="T2069" s="85">
        <f>IF(B2069="",0,IF(OR(H2069=MappingTables!$C$34,H2069=MappingTables!$C$35),S2069,0))</f>
        <v>0</v>
      </c>
    </row>
    <row r="2070" spans="2:20" s="0" customFormat="0" ht="15">
      <c r="B2070" s="69" t="s">
        <v>5110</v>
      </c>
      <c r="C2070" s="70" t="s">
        <v>5111</v>
      </c>
      <c r="D2070" s="70" t="s">
        <v>1</v>
      </c>
      <c r="E2070" s="70" t="s">
        <v>1</v>
      </c>
      <c r="F2070" s="70"/>
      <c r="G2070" s="70" t="s">
        <v>61</v>
      </c>
      <c r="H2070" s="70" t="s">
        <v>178</v>
      </c>
      <c r="I2070" s="70" t="s">
        <v>184</v>
      </c>
      <c r="J2070" s="71">
        <f>IF(OR(I2070=0,I2070=""),"unrated",VLOOKUP(I2070,MappingTables!$B$19:$C$31,2,FALSE))</f>
        <v>5</v>
      </c>
      <c r="K2070" s="72">
        <v>474.15155852582104</v>
      </c>
      <c r="L2070" s="70">
        <v>0.068100344744121744</v>
      </c>
      <c r="M2070" s="71">
        <f>IF(L2070&lt;1,1,L2070)</f>
        <v>1</v>
      </c>
      <c r="N2070" s="70" t="s">
        <v>3288</v>
      </c>
      <c r="O2070" s="71">
        <f>IF(OR(I2070=$A$1,I2070=0),"",IF(N2070=MappingTables!$C$14,VLOOKUP(J2070,ModelParameters!$M$8:$N$15,2,FALSE),IF(N2070=MappingTables!$C$16,VLOOKUP(J2070,ModelParameters!$P$8:$Q$15,2,FALSE),0)))</f>
        <v>1</v>
      </c>
      <c r="P2070" s="73">
        <f>IF(OR(I2070=0,I2070=$A$1),0,MIN(O2070*M2070,1)*K2070)</f>
        <v>474.15155852582104</v>
      </c>
      <c r="Q2070" s="73">
        <f>IF(B2070="",0,IF(OR(H2070=MappingTables!$C$34,H2070=MappingTables!$C$35),P2070,0))</f>
        <v>0</v>
      </c>
      <c r="R2070" s="73">
        <f>IF(ISNA(IF(AND(VLOOKUP(CONCATENATE($D2070,$G2070),CSRFinput!$B:$E,4,0)=0,OR(H2070=MappingTables!$C$31,H2070=MappingTables!$C$32)),1,VLOOKUP(CONCATENATE($D2070,$G2070),CSRFinput!$B:$E,4,0))),0,IF(AND(VLOOKUP(CONCATENATE($D2070,$G2070),CSRFinput!$B:$E,4,0)=0,OR(H2070=MappingTables!$C$31,H2070=MappingTables!$C$32)),1,VLOOKUP(CONCATENATE($D2070,$G2070),CSRFinput!$B:$E,4,0)))</f>
        <v>0.054776304963434752</v>
      </c>
      <c r="S2070" s="73">
        <f>IF(B2070="",0,P2070*R2070)</f>
        <v>25.972270368698256</v>
      </c>
      <c r="T2070" s="85">
        <f>IF(B2070="",0,IF(OR(H2070=MappingTables!$C$34,H2070=MappingTables!$C$35),S2070,0))</f>
        <v>0</v>
      </c>
    </row>
    <row r="2071" spans="2:20" s="0" customFormat="0" ht="15">
      <c r="B2071" s="69" t="s">
        <v>5219</v>
      </c>
      <c r="C2071" s="70" t="s">
        <v>5220</v>
      </c>
      <c r="D2071" s="70" t="s">
        <v>1</v>
      </c>
      <c r="E2071" s="70" t="s">
        <v>1</v>
      </c>
      <c r="F2071" s="70"/>
      <c r="G2071" s="70" t="s">
        <v>61</v>
      </c>
      <c r="H2071" s="70" t="s">
        <v>178</v>
      </c>
      <c r="I2071" s="70" t="s">
        <v>204</v>
      </c>
      <c r="J2071" s="71">
        <f>IF(OR(I2071=0,I2071=""),"unrated",VLOOKUP(I2071,MappingTables!$B$19:$C$31,2,FALSE))</f>
        <v>6</v>
      </c>
      <c r="K2071" s="72">
        <v>74.445444066101536</v>
      </c>
      <c r="L2071" s="70">
        <v>0.068492473649301848</v>
      </c>
      <c r="M2071" s="71">
        <f>IF(L2071&lt;1,1,L2071)</f>
        <v>1</v>
      </c>
      <c r="N2071" s="70" t="s">
        <v>3288</v>
      </c>
      <c r="O2071" s="71">
        <f>IF(OR(I2071=$A$1,I2071=0),"",IF(N2071=MappingTables!$C$14,VLOOKUP(J2071,ModelParameters!$M$8:$N$15,2,FALSE),IF(N2071=MappingTables!$C$16,VLOOKUP(J2071,ModelParameters!$P$8:$Q$15,2,FALSE),0)))</f>
        <v>1</v>
      </c>
      <c r="P2071" s="73">
        <f>IF(OR(I2071=0,I2071=$A$1),0,MIN(O2071*M2071,1)*K2071)</f>
        <v>74.445444066101536</v>
      </c>
      <c r="Q2071" s="73">
        <f>IF(B2071="",0,IF(OR(H2071=MappingTables!$C$34,H2071=MappingTables!$C$35),P2071,0))</f>
        <v>0</v>
      </c>
      <c r="R2071" s="73">
        <f>IF(ISNA(IF(AND(VLOOKUP(CONCATENATE($D2071,$G2071),CSRFinput!$B:$E,4,0)=0,OR(H2071=MappingTables!$C$31,H2071=MappingTables!$C$32)),1,VLOOKUP(CONCATENATE($D2071,$G2071),CSRFinput!$B:$E,4,0))),0,IF(AND(VLOOKUP(CONCATENATE($D2071,$G2071),CSRFinput!$B:$E,4,0)=0,OR(H2071=MappingTables!$C$31,H2071=MappingTables!$C$32)),1,VLOOKUP(CONCATENATE($D2071,$G2071),CSRFinput!$B:$E,4,0)))</f>
        <v>0.054776304963434752</v>
      </c>
      <c r="S2071" s="73">
        <f>IF(B2071="",0,P2071*R2071)</f>
        <v>4.0778463473031016</v>
      </c>
      <c r="T2071" s="85">
        <f>IF(B2071="",0,IF(OR(H2071=MappingTables!$C$34,H2071=MappingTables!$C$35),S2071,0))</f>
        <v>0</v>
      </c>
    </row>
    <row r="2072" spans="2:20" s="0" customFormat="0" ht="15">
      <c r="B2072" s="69" t="s">
        <v>4425</v>
      </c>
      <c r="C2072" s="70" t="s">
        <v>4426</v>
      </c>
      <c r="D2072" s="70" t="s">
        <v>1</v>
      </c>
      <c r="E2072" s="70" t="s">
        <v>1</v>
      </c>
      <c r="F2072" s="70"/>
      <c r="G2072" s="70" t="s">
        <v>61</v>
      </c>
      <c r="H2072" s="70" t="s">
        <v>178</v>
      </c>
      <c r="I2072" s="70" t="s">
        <v>198</v>
      </c>
      <c r="J2072" s="71" t="str">
        <f>IF(OR(I2072=0,I2072=""),"unrated",VLOOKUP(I2072,MappingTables!$B$19:$C$31,2,FALSE))</f>
        <v>unrated</v>
      </c>
      <c r="K2072" s="72">
        <v>7890.7603330891536</v>
      </c>
      <c r="L2072" s="70">
        <v>9.4627104929963184</v>
      </c>
      <c r="M2072" s="71">
        <f>IF(L2072&lt;1,1,L2072)</f>
        <v>9.4627104929963184</v>
      </c>
      <c r="N2072" s="70" t="s">
        <v>3288</v>
      </c>
      <c r="O2072" s="71">
        <f>IF(OR(I2072=$A$1,I2072=0),"",IF(N2072=MappingTables!$C$14,VLOOKUP(J2072,ModelParameters!$M$8:$N$15,2,FALSE),IF(N2072=MappingTables!$C$16,VLOOKUP(J2072,ModelParameters!$P$8:$Q$15,2,FALSE),0)))</f>
        <v>1</v>
      </c>
      <c r="P2072" s="73">
        <f>IF(OR(I2072=0,I2072=$A$1),0,MIN(O2072*M2072,1)*K2072)</f>
        <v>7890.7603330891536</v>
      </c>
      <c r="Q2072" s="73">
        <f>IF(B2072="",0,IF(OR(H2072=MappingTables!$C$34,H2072=MappingTables!$C$35),P2072,0))</f>
        <v>0</v>
      </c>
      <c r="R2072" s="73">
        <f>IF(ISNA(IF(AND(VLOOKUP(CONCATENATE($D2072,$G2072),CSRFinput!$B:$E,4,0)=0,OR(H2072=MappingTables!$C$31,H2072=MappingTables!$C$32)),1,VLOOKUP(CONCATENATE($D2072,$G2072),CSRFinput!$B:$E,4,0))),0,IF(AND(VLOOKUP(CONCATENATE($D2072,$G2072),CSRFinput!$B:$E,4,0)=0,OR(H2072=MappingTables!$C$31,H2072=MappingTables!$C$32)),1,VLOOKUP(CONCATENATE($D2072,$G2072),CSRFinput!$B:$E,4,0)))</f>
        <v>0.054776304963434752</v>
      </c>
      <c r="S2072" s="73">
        <f>IF(B2072="",0,P2072*R2072)</f>
        <v>432.22669439866552</v>
      </c>
      <c r="T2072" s="85">
        <f>IF(B2072="",0,IF(OR(H2072=MappingTables!$C$34,H2072=MappingTables!$C$35),S2072,0))</f>
        <v>0</v>
      </c>
    </row>
    <row r="2073" spans="2:20" s="0" customFormat="0" ht="15">
      <c r="B2073" s="69" t="s">
        <v>5221</v>
      </c>
      <c r="C2073" s="70" t="s">
        <v>5222</v>
      </c>
      <c r="D2073" s="70" t="s">
        <v>1</v>
      </c>
      <c r="E2073" s="70" t="s">
        <v>1</v>
      </c>
      <c r="F2073" s="70"/>
      <c r="G2073" s="70" t="s">
        <v>61</v>
      </c>
      <c r="H2073" s="70" t="s">
        <v>178</v>
      </c>
      <c r="I2073" s="70" t="s">
        <v>184</v>
      </c>
      <c r="J2073" s="71">
        <f>IF(OR(I2073=0,I2073=""),"unrated",VLOOKUP(I2073,MappingTables!$B$19:$C$31,2,FALSE))</f>
        <v>5</v>
      </c>
      <c r="K2073" s="72">
        <v>303.42120026605148</v>
      </c>
      <c r="L2073" s="70">
        <v>4.0065510770553064</v>
      </c>
      <c r="M2073" s="71">
        <f>IF(L2073&lt;1,1,L2073)</f>
        <v>4.0065510770553064</v>
      </c>
      <c r="N2073" s="70" t="s">
        <v>3288</v>
      </c>
      <c r="O2073" s="71">
        <f>IF(OR(I2073=$A$1,I2073=0),"",IF(N2073=MappingTables!$C$14,VLOOKUP(J2073,ModelParameters!$M$8:$N$15,2,FALSE),IF(N2073=MappingTables!$C$16,VLOOKUP(J2073,ModelParameters!$P$8:$Q$15,2,FALSE),0)))</f>
        <v>1</v>
      </c>
      <c r="P2073" s="73">
        <f>IF(OR(I2073=0,I2073=$A$1),0,MIN(O2073*M2073,1)*K2073)</f>
        <v>303.42120026605148</v>
      </c>
      <c r="Q2073" s="73">
        <f>IF(B2073="",0,IF(OR(H2073=MappingTables!$C$34,H2073=MappingTables!$C$35),P2073,0))</f>
        <v>0</v>
      </c>
      <c r="R2073" s="73">
        <f>IF(ISNA(IF(AND(VLOOKUP(CONCATENATE($D2073,$G2073),CSRFinput!$B:$E,4,0)=0,OR(H2073=MappingTables!$C$31,H2073=MappingTables!$C$32)),1,VLOOKUP(CONCATENATE($D2073,$G2073),CSRFinput!$B:$E,4,0))),0,IF(AND(VLOOKUP(CONCATENATE($D2073,$G2073),CSRFinput!$B:$E,4,0)=0,OR(H2073=MappingTables!$C$31,H2073=MappingTables!$C$32)),1,VLOOKUP(CONCATENATE($D2073,$G2073),CSRFinput!$B:$E,4,0)))</f>
        <v>0.054776304963434752</v>
      </c>
      <c r="S2073" s="73">
        <f>IF(B2073="",0,P2073*R2073)</f>
        <v>16.620292198144646</v>
      </c>
      <c r="T2073" s="85">
        <f>IF(B2073="",0,IF(OR(H2073=MappingTables!$C$34,H2073=MappingTables!$C$35),S2073,0))</f>
        <v>0</v>
      </c>
    </row>
    <row r="2074" spans="2:20" s="0" customFormat="0" ht="15">
      <c r="B2074" s="69" t="s">
        <v>4767</v>
      </c>
      <c r="C2074" s="70" t="s">
        <v>4768</v>
      </c>
      <c r="D2074" s="70" t="s">
        <v>1</v>
      </c>
      <c r="E2074" s="70" t="s">
        <v>1</v>
      </c>
      <c r="F2074" s="70"/>
      <c r="G2074" s="70" t="s">
        <v>61</v>
      </c>
      <c r="H2074" s="70" t="s">
        <v>178</v>
      </c>
      <c r="I2074" s="70" t="s">
        <v>198</v>
      </c>
      <c r="J2074" s="71" t="str">
        <f>IF(OR(I2074=0,I2074=""),"unrated",VLOOKUP(I2074,MappingTables!$B$19:$C$31,2,FALSE))</f>
        <v>unrated</v>
      </c>
      <c r="K2074" s="72">
        <v>294.40893244990696</v>
      </c>
      <c r="L2074" s="70">
        <v>25.985324445528848</v>
      </c>
      <c r="M2074" s="71">
        <f>IF(L2074&lt;1,1,L2074)</f>
        <v>25.985324445528848</v>
      </c>
      <c r="N2074" s="70" t="s">
        <v>3288</v>
      </c>
      <c r="O2074" s="71">
        <f>IF(OR(I2074=$A$1,I2074=0),"",IF(N2074=MappingTables!$C$14,VLOOKUP(J2074,ModelParameters!$M$8:$N$15,2,FALSE),IF(N2074=MappingTables!$C$16,VLOOKUP(J2074,ModelParameters!$P$8:$Q$15,2,FALSE),0)))</f>
        <v>1</v>
      </c>
      <c r="P2074" s="73">
        <f>IF(OR(I2074=0,I2074=$A$1),0,MIN(O2074*M2074,1)*K2074)</f>
        <v>294.40893244990696</v>
      </c>
      <c r="Q2074" s="73">
        <f>IF(B2074="",0,IF(OR(H2074=MappingTables!$C$34,H2074=MappingTables!$C$35),P2074,0))</f>
        <v>0</v>
      </c>
      <c r="R2074" s="73">
        <f>IF(ISNA(IF(AND(VLOOKUP(CONCATENATE($D2074,$G2074),CSRFinput!$B:$E,4,0)=0,OR(H2074=MappingTables!$C$31,H2074=MappingTables!$C$32)),1,VLOOKUP(CONCATENATE($D2074,$G2074),CSRFinput!$B:$E,4,0))),0,IF(AND(VLOOKUP(CONCATENATE($D2074,$G2074),CSRFinput!$B:$E,4,0)=0,OR(H2074=MappingTables!$C$31,H2074=MappingTables!$C$32)),1,VLOOKUP(CONCATENATE($D2074,$G2074),CSRFinput!$B:$E,4,0)))</f>
        <v>0.054776304963434752</v>
      </c>
      <c r="S2074" s="73">
        <f>IF(B2074="",0,P2074*R2074)</f>
        <v>16.126633467835366</v>
      </c>
      <c r="T2074" s="85">
        <f>IF(B2074="",0,IF(OR(H2074=MappingTables!$C$34,H2074=MappingTables!$C$35),S2074,0))</f>
        <v>0</v>
      </c>
    </row>
    <row r="2075" spans="2:20" s="0" customFormat="0" ht="15">
      <c r="B2075" s="69" t="s">
        <v>4934</v>
      </c>
      <c r="C2075" s="70" t="s">
        <v>4935</v>
      </c>
      <c r="D2075" s="70" t="s">
        <v>1</v>
      </c>
      <c r="E2075" s="70" t="s">
        <v>1</v>
      </c>
      <c r="F2075" s="70"/>
      <c r="G2075" s="70" t="s">
        <v>61</v>
      </c>
      <c r="H2075" s="70" t="s">
        <v>178</v>
      </c>
      <c r="I2075" s="70" t="s">
        <v>184</v>
      </c>
      <c r="J2075" s="71">
        <f>IF(OR(I2075=0,I2075=""),"unrated",VLOOKUP(I2075,MappingTables!$B$19:$C$31,2,FALSE))</f>
        <v>5</v>
      </c>
      <c r="K2075" s="72">
        <v>211.19832518739212</v>
      </c>
      <c r="L2075" s="70">
        <v>0.068492639705623496</v>
      </c>
      <c r="M2075" s="71">
        <f>IF(L2075&lt;1,1,L2075)</f>
        <v>1</v>
      </c>
      <c r="N2075" s="70" t="s">
        <v>3288</v>
      </c>
      <c r="O2075" s="71">
        <f>IF(OR(I2075=$A$1,I2075=0),"",IF(N2075=MappingTables!$C$14,VLOOKUP(J2075,ModelParameters!$M$8:$N$15,2,FALSE),IF(N2075=MappingTables!$C$16,VLOOKUP(J2075,ModelParameters!$P$8:$Q$15,2,FALSE),0)))</f>
        <v>1</v>
      </c>
      <c r="P2075" s="73">
        <f>IF(OR(I2075=0,I2075=$A$1),0,MIN(O2075*M2075,1)*K2075)</f>
        <v>211.19832518739212</v>
      </c>
      <c r="Q2075" s="73">
        <f>IF(B2075="",0,IF(OR(H2075=MappingTables!$C$34,H2075=MappingTables!$C$35),P2075,0))</f>
        <v>0</v>
      </c>
      <c r="R2075" s="73">
        <f>IF(ISNA(IF(AND(VLOOKUP(CONCATENATE($D2075,$G2075),CSRFinput!$B:$E,4,0)=0,OR(H2075=MappingTables!$C$31,H2075=MappingTables!$C$32)),1,VLOOKUP(CONCATENATE($D2075,$G2075),CSRFinput!$B:$E,4,0))),0,IF(AND(VLOOKUP(CONCATENATE($D2075,$G2075),CSRFinput!$B:$E,4,0)=0,OR(H2075=MappingTables!$C$31,H2075=MappingTables!$C$32)),1,VLOOKUP(CONCATENATE($D2075,$G2075),CSRFinput!$B:$E,4,0)))</f>
        <v>0.054776304963434752</v>
      </c>
      <c r="S2075" s="73">
        <f>IF(B2075="",0,P2075*R2075)</f>
        <v>11.568663868231254</v>
      </c>
      <c r="T2075" s="85">
        <f>IF(B2075="",0,IF(OR(H2075=MappingTables!$C$34,H2075=MappingTables!$C$35),S2075,0))</f>
        <v>0</v>
      </c>
    </row>
    <row r="2076" spans="2:20" s="0" customFormat="0" ht="15">
      <c r="B2076" s="69" t="s">
        <v>3476</v>
      </c>
      <c r="C2076" s="70" t="s">
        <v>3477</v>
      </c>
      <c r="D2076" s="70" t="s">
        <v>1</v>
      </c>
      <c r="E2076" s="70" t="s">
        <v>1</v>
      </c>
      <c r="F2076" s="70"/>
      <c r="G2076" s="70" t="s">
        <v>61</v>
      </c>
      <c r="H2076" s="70" t="s">
        <v>178</v>
      </c>
      <c r="I2076" s="70" t="s">
        <v>204</v>
      </c>
      <c r="J2076" s="71">
        <f>IF(OR(I2076=0,I2076=""),"unrated",VLOOKUP(I2076,MappingTables!$B$19:$C$31,2,FALSE))</f>
        <v>6</v>
      </c>
      <c r="K2076" s="72">
        <v>91.246521937716032</v>
      </c>
      <c r="L2076" s="70">
        <v>0.068490487465275304</v>
      </c>
      <c r="M2076" s="71">
        <f>IF(L2076&lt;1,1,L2076)</f>
        <v>1</v>
      </c>
      <c r="N2076" s="70" t="s">
        <v>3288</v>
      </c>
      <c r="O2076" s="71">
        <f>IF(OR(I2076=$A$1,I2076=0),"",IF(N2076=MappingTables!$C$14,VLOOKUP(J2076,ModelParameters!$M$8:$N$15,2,FALSE),IF(N2076=MappingTables!$C$16,VLOOKUP(J2076,ModelParameters!$P$8:$Q$15,2,FALSE),0)))</f>
        <v>1</v>
      </c>
      <c r="P2076" s="73">
        <f>IF(OR(I2076=0,I2076=$A$1),0,MIN(O2076*M2076,1)*K2076)</f>
        <v>91.246521937716032</v>
      </c>
      <c r="Q2076" s="73">
        <f>IF(B2076="",0,IF(OR(H2076=MappingTables!$C$34,H2076=MappingTables!$C$35),P2076,0))</f>
        <v>0</v>
      </c>
      <c r="R2076" s="73">
        <f>IF(ISNA(IF(AND(VLOOKUP(CONCATENATE($D2076,$G2076),CSRFinput!$B:$E,4,0)=0,OR(H2076=MappingTables!$C$31,H2076=MappingTables!$C$32)),1,VLOOKUP(CONCATENATE($D2076,$G2076),CSRFinput!$B:$E,4,0))),0,IF(AND(VLOOKUP(CONCATENATE($D2076,$G2076),CSRFinput!$B:$E,4,0)=0,OR(H2076=MappingTables!$C$31,H2076=MappingTables!$C$32)),1,VLOOKUP(CONCATENATE($D2076,$G2076),CSRFinput!$B:$E,4,0)))</f>
        <v>0.054776304963434752</v>
      </c>
      <c r="S2076" s="73">
        <f>IF(B2076="",0,P2076*R2076)</f>
        <v>4.9981473125130736</v>
      </c>
      <c r="T2076" s="85">
        <f>IF(B2076="",0,IF(OR(H2076=MappingTables!$C$34,H2076=MappingTables!$C$35),S2076,0))</f>
        <v>0</v>
      </c>
    </row>
    <row r="2077" spans="2:20" s="0" customFormat="0" ht="15">
      <c r="B2077" s="69">
        <v>19863503</v>
      </c>
      <c r="C2077" s="70" t="s">
        <v>5179</v>
      </c>
      <c r="D2077" s="70" t="s">
        <v>1</v>
      </c>
      <c r="E2077" s="70" t="s">
        <v>1</v>
      </c>
      <c r="F2077" s="70"/>
      <c r="G2077" s="70" t="s">
        <v>61</v>
      </c>
      <c r="H2077" s="70" t="s">
        <v>178</v>
      </c>
      <c r="I2077" s="70" t="s">
        <v>216</v>
      </c>
      <c r="J2077" s="71">
        <f>IF(OR(I2077=0,I2077=""),"unrated",VLOOKUP(I2077,MappingTables!$B$19:$C$31,2,FALSE))</f>
        <v>0</v>
      </c>
      <c r="K2077" s="72">
        <v>225.34006706073248</v>
      </c>
      <c r="L2077" s="70">
        <v>0.08780943386381552</v>
      </c>
      <c r="M2077" s="71">
        <f>IF(L2077&lt;1,1,L2077)</f>
        <v>1</v>
      </c>
      <c r="N2077" s="70" t="s">
        <v>3288</v>
      </c>
      <c r="O2077" s="71">
        <f>IF(OR(I2077=$A$1,I2077=0),"",IF(N2077=MappingTables!$C$14,VLOOKUP(J2077,ModelParameters!$M$8:$N$15,2,FALSE),IF(N2077=MappingTables!$C$16,VLOOKUP(J2077,ModelParameters!$P$8:$Q$15,2,FALSE),0)))</f>
        <v>0.125</v>
      </c>
      <c r="P2077" s="73">
        <f>IF(OR(I2077=0,I2077=$A$1),0,MIN(O2077*M2077,1)*K2077)</f>
        <v>28.16750838259156</v>
      </c>
      <c r="Q2077" s="73">
        <f>IF(B2077="",0,IF(OR(H2077=MappingTables!$C$34,H2077=MappingTables!$C$35),P2077,0))</f>
        <v>0</v>
      </c>
      <c r="R2077" s="73">
        <f>IF(ISNA(IF(AND(VLOOKUP(CONCATENATE($D2077,$G2077),CSRFinput!$B:$E,4,0)=0,OR(H2077=MappingTables!$C$31,H2077=MappingTables!$C$32)),1,VLOOKUP(CONCATENATE($D2077,$G2077),CSRFinput!$B:$E,4,0))),0,IF(AND(VLOOKUP(CONCATENATE($D2077,$G2077),CSRFinput!$B:$E,4,0)=0,OR(H2077=MappingTables!$C$31,H2077=MappingTables!$C$32)),1,VLOOKUP(CONCATENATE($D2077,$G2077),CSRFinput!$B:$E,4,0)))</f>
        <v>0.054776304963434752</v>
      </c>
      <c r="S2077" s="73">
        <f>IF(B2077="",0,P2077*R2077)</f>
        <v>1.54291202922494</v>
      </c>
      <c r="T2077" s="85">
        <f>IF(B2077="",0,IF(OR(H2077=MappingTables!$C$34,H2077=MappingTables!$C$35),S2077,0))</f>
        <v>0</v>
      </c>
    </row>
    <row r="2078" spans="2:20" s="0" customFormat="0" ht="15">
      <c r="B2078" s="69">
        <v>20113247</v>
      </c>
      <c r="C2078" s="70" t="s">
        <v>4025</v>
      </c>
      <c r="D2078" s="70" t="s">
        <v>1</v>
      </c>
      <c r="E2078" s="70" t="s">
        <v>1</v>
      </c>
      <c r="F2078" s="70"/>
      <c r="G2078" s="70" t="s">
        <v>61</v>
      </c>
      <c r="H2078" s="70" t="s">
        <v>178</v>
      </c>
      <c r="I2078" s="70" t="s">
        <v>198</v>
      </c>
      <c r="J2078" s="71" t="str">
        <f>IF(OR(I2078=0,I2078=""),"unrated",VLOOKUP(I2078,MappingTables!$B$19:$C$31,2,FALSE))</f>
        <v>unrated</v>
      </c>
      <c r="K2078" s="72">
        <v>353.86088627684332</v>
      </c>
      <c r="L2078" s="70">
        <v>3.1886280080583252</v>
      </c>
      <c r="M2078" s="71">
        <f>IF(L2078&lt;1,1,L2078)</f>
        <v>3.1886280080583252</v>
      </c>
      <c r="N2078" s="70" t="s">
        <v>3288</v>
      </c>
      <c r="O2078" s="71">
        <f>IF(OR(I2078=$A$1,I2078=0),"",IF(N2078=MappingTables!$C$14,VLOOKUP(J2078,ModelParameters!$M$8:$N$15,2,FALSE),IF(N2078=MappingTables!$C$16,VLOOKUP(J2078,ModelParameters!$P$8:$Q$15,2,FALSE),0)))</f>
        <v>1</v>
      </c>
      <c r="P2078" s="73">
        <f>IF(OR(I2078=0,I2078=$A$1),0,MIN(O2078*M2078,1)*K2078)</f>
        <v>353.86088627684332</v>
      </c>
      <c r="Q2078" s="73">
        <f>IF(B2078="",0,IF(OR(H2078=MappingTables!$C$34,H2078=MappingTables!$C$35),P2078,0))</f>
        <v>0</v>
      </c>
      <c r="R2078" s="73">
        <f>IF(ISNA(IF(AND(VLOOKUP(CONCATENATE($D2078,$G2078),CSRFinput!$B:$E,4,0)=0,OR(H2078=MappingTables!$C$31,H2078=MappingTables!$C$32)),1,VLOOKUP(CONCATENATE($D2078,$G2078),CSRFinput!$B:$E,4,0))),0,IF(AND(VLOOKUP(CONCATENATE($D2078,$G2078),CSRFinput!$B:$E,4,0)=0,OR(H2078=MappingTables!$C$31,H2078=MappingTables!$C$32)),1,VLOOKUP(CONCATENATE($D2078,$G2078),CSRFinput!$B:$E,4,0)))</f>
        <v>0.054776304963434752</v>
      </c>
      <c r="S2078" s="73">
        <f>IF(B2078="",0,P2078*R2078)</f>
        <v>19.383191821331672</v>
      </c>
      <c r="T2078" s="85">
        <f>IF(B2078="",0,IF(OR(H2078=MappingTables!$C$34,H2078=MappingTables!$C$35),S2078,0))</f>
        <v>0</v>
      </c>
    </row>
    <row r="2079" spans="2:20" s="0" customFormat="0" ht="15">
      <c r="B2079" s="69" t="s">
        <v>4504</v>
      </c>
      <c r="C2079" s="70" t="s">
        <v>4505</v>
      </c>
      <c r="D2079" s="70" t="s">
        <v>1</v>
      </c>
      <c r="E2079" s="70" t="s">
        <v>1</v>
      </c>
      <c r="F2079" s="70"/>
      <c r="G2079" s="70" t="s">
        <v>61</v>
      </c>
      <c r="H2079" s="70" t="s">
        <v>178</v>
      </c>
      <c r="I2079" s="70" t="s">
        <v>216</v>
      </c>
      <c r="J2079" s="71">
        <f>IF(OR(I2079=0,I2079=""),"unrated",VLOOKUP(I2079,MappingTables!$B$19:$C$31,2,FALSE))</f>
        <v>0</v>
      </c>
      <c r="K2079" s="72">
        <v>11534.585576783542</v>
      </c>
      <c r="L2079" s="70">
        <v>0.12706037486215844</v>
      </c>
      <c r="M2079" s="71">
        <f>IF(L2079&lt;1,1,L2079)</f>
        <v>1</v>
      </c>
      <c r="N2079" s="70" t="s">
        <v>3288</v>
      </c>
      <c r="O2079" s="71">
        <f>IF(OR(I2079=$A$1,I2079=0),"",IF(N2079=MappingTables!$C$14,VLOOKUP(J2079,ModelParameters!$M$8:$N$15,2,FALSE),IF(N2079=MappingTables!$C$16,VLOOKUP(J2079,ModelParameters!$P$8:$Q$15,2,FALSE),0)))</f>
        <v>0.125</v>
      </c>
      <c r="P2079" s="73">
        <f>IF(OR(I2079=0,I2079=$A$1),0,MIN(O2079*M2079,1)*K2079)</f>
        <v>1441.8231970979428</v>
      </c>
      <c r="Q2079" s="73">
        <f>IF(B2079="",0,IF(OR(H2079=MappingTables!$C$34,H2079=MappingTables!$C$35),P2079,0))</f>
        <v>0</v>
      </c>
      <c r="R2079" s="73">
        <f>IF(ISNA(IF(AND(VLOOKUP(CONCATENATE($D2079,$G2079),CSRFinput!$B:$E,4,0)=0,OR(H2079=MappingTables!$C$31,H2079=MappingTables!$C$32)),1,VLOOKUP(CONCATENATE($D2079,$G2079),CSRFinput!$B:$E,4,0))),0,IF(AND(VLOOKUP(CONCATENATE($D2079,$G2079),CSRFinput!$B:$E,4,0)=0,OR(H2079=MappingTables!$C$31,H2079=MappingTables!$C$32)),1,VLOOKUP(CONCATENATE($D2079,$G2079),CSRFinput!$B:$E,4,0)))</f>
        <v>0.054776304963434752</v>
      </c>
      <c r="S2079" s="73">
        <f>IF(B2079="",0,P2079*R2079)</f>
        <v>78.977747147591408</v>
      </c>
      <c r="T2079" s="85">
        <f>IF(B2079="",0,IF(OR(H2079=MappingTables!$C$34,H2079=MappingTables!$C$35),S2079,0))</f>
        <v>0</v>
      </c>
    </row>
    <row r="2080" spans="2:20" s="0" customFormat="0" ht="15">
      <c r="B2080" s="69">
        <v>14504625</v>
      </c>
      <c r="C2080" s="70" t="s">
        <v>4110</v>
      </c>
      <c r="D2080" s="70" t="s">
        <v>1</v>
      </c>
      <c r="E2080" s="70" t="s">
        <v>1</v>
      </c>
      <c r="F2080" s="70"/>
      <c r="G2080" s="70" t="s">
        <v>61</v>
      </c>
      <c r="H2080" s="70" t="s">
        <v>178</v>
      </c>
      <c r="I2080" s="70" t="s">
        <v>216</v>
      </c>
      <c r="J2080" s="71">
        <f>IF(OR(I2080=0,I2080=""),"unrated",VLOOKUP(I2080,MappingTables!$B$19:$C$31,2,FALSE))</f>
        <v>0</v>
      </c>
      <c r="K2080" s="72">
        <v>515.91392317836456</v>
      </c>
      <c r="L2080" s="70">
        <v>0.066456589030523856</v>
      </c>
      <c r="M2080" s="71">
        <f>IF(L2080&lt;1,1,L2080)</f>
        <v>1</v>
      </c>
      <c r="N2080" s="70" t="s">
        <v>3288</v>
      </c>
      <c r="O2080" s="71">
        <f>IF(OR(I2080=$A$1,I2080=0),"",IF(N2080=MappingTables!$C$14,VLOOKUP(J2080,ModelParameters!$M$8:$N$15,2,FALSE),IF(N2080=MappingTables!$C$16,VLOOKUP(J2080,ModelParameters!$P$8:$Q$15,2,FALSE),0)))</f>
        <v>0.125</v>
      </c>
      <c r="P2080" s="73">
        <f>IF(OR(I2080=0,I2080=$A$1),0,MIN(O2080*M2080,1)*K2080)</f>
        <v>64.489240397295576</v>
      </c>
      <c r="Q2080" s="73">
        <f>IF(B2080="",0,IF(OR(H2080=MappingTables!$C$34,H2080=MappingTables!$C$35),P2080,0))</f>
        <v>0</v>
      </c>
      <c r="R2080" s="73">
        <f>IF(ISNA(IF(AND(VLOOKUP(CONCATENATE($D2080,$G2080),CSRFinput!$B:$E,4,0)=0,OR(H2080=MappingTables!$C$31,H2080=MappingTables!$C$32)),1,VLOOKUP(CONCATENATE($D2080,$G2080),CSRFinput!$B:$E,4,0))),0,IF(AND(VLOOKUP(CONCATENATE($D2080,$G2080),CSRFinput!$B:$E,4,0)=0,OR(H2080=MappingTables!$C$31,H2080=MappingTables!$C$32)),1,VLOOKUP(CONCATENATE($D2080,$G2080),CSRFinput!$B:$E,4,0)))</f>
        <v>0.054776304963434752</v>
      </c>
      <c r="S2080" s="73">
        <f>IF(B2080="",0,P2080*R2080)</f>
        <v>3.5324822988625188</v>
      </c>
      <c r="T2080" s="85">
        <f>IF(B2080="",0,IF(OR(H2080=MappingTables!$C$34,H2080=MappingTables!$C$35),S2080,0))</f>
        <v>0</v>
      </c>
    </row>
    <row r="2081" spans="2:20" s="0" customFormat="0" ht="15">
      <c r="B2081" s="69">
        <v>22554310</v>
      </c>
      <c r="C2081" s="70" t="s">
        <v>5170</v>
      </c>
      <c r="D2081" s="70" t="s">
        <v>1</v>
      </c>
      <c r="E2081" s="70" t="s">
        <v>1</v>
      </c>
      <c r="F2081" s="70"/>
      <c r="G2081" s="70" t="s">
        <v>61</v>
      </c>
      <c r="H2081" s="70" t="s">
        <v>178</v>
      </c>
      <c r="I2081" s="70" t="s">
        <v>216</v>
      </c>
      <c r="J2081" s="71">
        <f>IF(OR(I2081=0,I2081=""),"unrated",VLOOKUP(I2081,MappingTables!$B$19:$C$31,2,FALSE))</f>
        <v>0</v>
      </c>
      <c r="K2081" s="72">
        <v>2638.9883089313128</v>
      </c>
      <c r="L2081" s="70">
        <v>0.062157699395953728</v>
      </c>
      <c r="M2081" s="71">
        <f>IF(L2081&lt;1,1,L2081)</f>
        <v>1</v>
      </c>
      <c r="N2081" s="70" t="s">
        <v>3288</v>
      </c>
      <c r="O2081" s="71">
        <f>IF(OR(I2081=$A$1,I2081=0),"",IF(N2081=MappingTables!$C$14,VLOOKUP(J2081,ModelParameters!$M$8:$N$15,2,FALSE),IF(N2081=MappingTables!$C$16,VLOOKUP(J2081,ModelParameters!$P$8:$Q$15,2,FALSE),0)))</f>
        <v>0.125</v>
      </c>
      <c r="P2081" s="73">
        <f>IF(OR(I2081=0,I2081=$A$1),0,MIN(O2081*M2081,1)*K2081)</f>
        <v>329.87353861641412</v>
      </c>
      <c r="Q2081" s="73">
        <f>IF(B2081="",0,IF(OR(H2081=MappingTables!$C$34,H2081=MappingTables!$C$35),P2081,0))</f>
        <v>0</v>
      </c>
      <c r="R2081" s="73">
        <f>IF(ISNA(IF(AND(VLOOKUP(CONCATENATE($D2081,$G2081),CSRFinput!$B:$E,4,0)=0,OR(H2081=MappingTables!$C$31,H2081=MappingTables!$C$32)),1,VLOOKUP(CONCATENATE($D2081,$G2081),CSRFinput!$B:$E,4,0))),0,IF(AND(VLOOKUP(CONCATENATE($D2081,$G2081),CSRFinput!$B:$E,4,0)=0,OR(H2081=MappingTables!$C$31,H2081=MappingTables!$C$32)),1,VLOOKUP(CONCATENATE($D2081,$G2081),CSRFinput!$B:$E,4,0)))</f>
        <v>0.054776304963434752</v>
      </c>
      <c r="S2081" s="73">
        <f>IF(B2081="",0,P2081*R2081)</f>
        <v>18.069253550620072</v>
      </c>
      <c r="T2081" s="85">
        <f>IF(B2081="",0,IF(OR(H2081=MappingTables!$C$34,H2081=MappingTables!$C$35),S2081,0))</f>
        <v>0</v>
      </c>
    </row>
    <row r="2082" spans="2:20" s="0" customFormat="0" ht="15">
      <c r="B2082" s="69" t="s">
        <v>3782</v>
      </c>
      <c r="C2082" s="70" t="s">
        <v>3783</v>
      </c>
      <c r="D2082" s="70" t="s">
        <v>1</v>
      </c>
      <c r="E2082" s="70" t="s">
        <v>1</v>
      </c>
      <c r="F2082" s="70"/>
      <c r="G2082" s="70" t="s">
        <v>61</v>
      </c>
      <c r="H2082" s="70" t="s">
        <v>178</v>
      </c>
      <c r="I2082" s="70" t="s">
        <v>3291</v>
      </c>
      <c r="J2082" s="71">
        <f>IF(OR(I2082=0,I2082=""),"unrated",VLOOKUP(I2082,MappingTables!$B$19:$C$31,2,FALSE))</f>
        <v>6</v>
      </c>
      <c r="K2082" s="72">
        <v>1765.4259147706466</v>
      </c>
      <c r="L2082" s="70">
        <v>0.052321229056563312</v>
      </c>
      <c r="M2082" s="71">
        <f>IF(L2082&lt;1,1,L2082)</f>
        <v>1</v>
      </c>
      <c r="N2082" s="70" t="s">
        <v>3288</v>
      </c>
      <c r="O2082" s="71">
        <f>IF(OR(I2082=$A$1,I2082=0),"",IF(N2082=MappingTables!$C$14,VLOOKUP(J2082,ModelParameters!$M$8:$N$15,2,FALSE),IF(N2082=MappingTables!$C$16,VLOOKUP(J2082,ModelParameters!$P$8:$Q$15,2,FALSE),0)))</f>
        <v>1</v>
      </c>
      <c r="P2082" s="73">
        <f>IF(OR(I2082=0,I2082=$A$1),0,MIN(O2082*M2082,1)*K2082)</f>
        <v>1765.4259147706466</v>
      </c>
      <c r="Q2082" s="73">
        <f>IF(B2082="",0,IF(OR(H2082=MappingTables!$C$34,H2082=MappingTables!$C$35),P2082,0))</f>
        <v>0</v>
      </c>
      <c r="R2082" s="73">
        <f>IF(ISNA(IF(AND(VLOOKUP(CONCATENATE($D2082,$G2082),CSRFinput!$B:$E,4,0)=0,OR(H2082=MappingTables!$C$31,H2082=MappingTables!$C$32)),1,VLOOKUP(CONCATENATE($D2082,$G2082),CSRFinput!$B:$E,4,0))),0,IF(AND(VLOOKUP(CONCATENATE($D2082,$G2082),CSRFinput!$B:$E,4,0)=0,OR(H2082=MappingTables!$C$31,H2082=MappingTables!$C$32)),1,VLOOKUP(CONCATENATE($D2082,$G2082),CSRFinput!$B:$E,4,0)))</f>
        <v>0.054776304963434752</v>
      </c>
      <c r="S2082" s="73">
        <f>IF(B2082="",0,P2082*R2082)</f>
        <v>96.703508297827712</v>
      </c>
      <c r="T2082" s="85">
        <f>IF(B2082="",0,IF(OR(H2082=MappingTables!$C$34,H2082=MappingTables!$C$35),S2082,0))</f>
        <v>0</v>
      </c>
    </row>
    <row r="2083" spans="2:20" s="0" customFormat="0" ht="15">
      <c r="B2083" s="69" t="s">
        <v>4449</v>
      </c>
      <c r="C2083" s="70" t="s">
        <v>4450</v>
      </c>
      <c r="D2083" s="70" t="s">
        <v>1</v>
      </c>
      <c r="E2083" s="70" t="s">
        <v>1</v>
      </c>
      <c r="F2083" s="70"/>
      <c r="G2083" s="70" t="s">
        <v>61</v>
      </c>
      <c r="H2083" s="70" t="s">
        <v>178</v>
      </c>
      <c r="I2083" s="70" t="s">
        <v>198</v>
      </c>
      <c r="J2083" s="71" t="str">
        <f>IF(OR(I2083=0,I2083=""),"unrated",VLOOKUP(I2083,MappingTables!$B$19:$C$31,2,FALSE))</f>
        <v>unrated</v>
      </c>
      <c r="K2083" s="72">
        <v>71.069613730976544</v>
      </c>
      <c r="L2083" s="70">
        <v>0.068494039156672616</v>
      </c>
      <c r="M2083" s="71">
        <f>IF(L2083&lt;1,1,L2083)</f>
        <v>1</v>
      </c>
      <c r="N2083" s="70" t="s">
        <v>3288</v>
      </c>
      <c r="O2083" s="71">
        <f>IF(OR(I2083=$A$1,I2083=0),"",IF(N2083=MappingTables!$C$14,VLOOKUP(J2083,ModelParameters!$M$8:$N$15,2,FALSE),IF(N2083=MappingTables!$C$16,VLOOKUP(J2083,ModelParameters!$P$8:$Q$15,2,FALSE),0)))</f>
        <v>1</v>
      </c>
      <c r="P2083" s="73">
        <f>IF(OR(I2083=0,I2083=$A$1),0,MIN(O2083*M2083,1)*K2083)</f>
        <v>71.069613730976544</v>
      </c>
      <c r="Q2083" s="73">
        <f>IF(B2083="",0,IF(OR(H2083=MappingTables!$C$34,H2083=MappingTables!$C$35),P2083,0))</f>
        <v>0</v>
      </c>
      <c r="R2083" s="73">
        <f>IF(ISNA(IF(AND(VLOOKUP(CONCATENATE($D2083,$G2083),CSRFinput!$B:$E,4,0)=0,OR(H2083=MappingTables!$C$31,H2083=MappingTables!$C$32)),1,VLOOKUP(CONCATENATE($D2083,$G2083),CSRFinput!$B:$E,4,0))),0,IF(AND(VLOOKUP(CONCATENATE($D2083,$G2083),CSRFinput!$B:$E,4,0)=0,OR(H2083=MappingTables!$C$31,H2083=MappingTables!$C$32)),1,VLOOKUP(CONCATENATE($D2083,$G2083),CSRFinput!$B:$E,4,0)))</f>
        <v>0.054776304963434752</v>
      </c>
      <c r="S2083" s="73">
        <f>IF(B2083="",0,P2083*R2083)</f>
        <v>3.8929308353614808</v>
      </c>
      <c r="T2083" s="85">
        <f>IF(B2083="",0,IF(OR(H2083=MappingTables!$C$34,H2083=MappingTables!$C$35),S2083,0))</f>
        <v>0</v>
      </c>
    </row>
    <row r="2084" spans="2:20" s="0" customFormat="0" ht="15">
      <c r="B2084" s="69">
        <v>22554514</v>
      </c>
      <c r="C2084" s="70" t="s">
        <v>5004</v>
      </c>
      <c r="D2084" s="70" t="s">
        <v>1</v>
      </c>
      <c r="E2084" s="70" t="s">
        <v>1</v>
      </c>
      <c r="F2084" s="70"/>
      <c r="G2084" s="70" t="s">
        <v>61</v>
      </c>
      <c r="H2084" s="70" t="s">
        <v>178</v>
      </c>
      <c r="I2084" s="70" t="s">
        <v>216</v>
      </c>
      <c r="J2084" s="71">
        <f>IF(OR(I2084=0,I2084=""),"unrated",VLOOKUP(I2084,MappingTables!$B$19:$C$31,2,FALSE))</f>
        <v>0</v>
      </c>
      <c r="K2084" s="72">
        <v>662.8496205539368</v>
      </c>
      <c r="L2084" s="70">
        <v>0.1107681227295624</v>
      </c>
      <c r="M2084" s="71">
        <f>IF(L2084&lt;1,1,L2084)</f>
        <v>1</v>
      </c>
      <c r="N2084" s="70" t="s">
        <v>3288</v>
      </c>
      <c r="O2084" s="71">
        <f>IF(OR(I2084=$A$1,I2084=0),"",IF(N2084=MappingTables!$C$14,VLOOKUP(J2084,ModelParameters!$M$8:$N$15,2,FALSE),IF(N2084=MappingTables!$C$16,VLOOKUP(J2084,ModelParameters!$P$8:$Q$15,2,FALSE),0)))</f>
        <v>0.125</v>
      </c>
      <c r="P2084" s="73">
        <f>IF(OR(I2084=0,I2084=$A$1),0,MIN(O2084*M2084,1)*K2084)</f>
        <v>82.856202569242096</v>
      </c>
      <c r="Q2084" s="73">
        <f>IF(B2084="",0,IF(OR(H2084=MappingTables!$C$34,H2084=MappingTables!$C$35),P2084,0))</f>
        <v>0</v>
      </c>
      <c r="R2084" s="73">
        <f>IF(ISNA(IF(AND(VLOOKUP(CONCATENATE($D2084,$G2084),CSRFinput!$B:$E,4,0)=0,OR(H2084=MappingTables!$C$31,H2084=MappingTables!$C$32)),1,VLOOKUP(CONCATENATE($D2084,$G2084),CSRFinput!$B:$E,4,0))),0,IF(AND(VLOOKUP(CONCATENATE($D2084,$G2084),CSRFinput!$B:$E,4,0)=0,OR(H2084=MappingTables!$C$31,H2084=MappingTables!$C$32)),1,VLOOKUP(CONCATENATE($D2084,$G2084),CSRFinput!$B:$E,4,0)))</f>
        <v>0.054776304963434752</v>
      </c>
      <c r="S2084" s="73">
        <f>IF(B2084="",0,P2084*R2084)</f>
        <v>4.538556620044932</v>
      </c>
      <c r="T2084" s="85">
        <f>IF(B2084="",0,IF(OR(H2084=MappingTables!$C$34,H2084=MappingTables!$C$35),S2084,0))</f>
        <v>0</v>
      </c>
    </row>
    <row r="2085" spans="2:20" s="0" customFormat="0" ht="15">
      <c r="B2085" s="69" t="s">
        <v>4435</v>
      </c>
      <c r="C2085" s="70" t="s">
        <v>4436</v>
      </c>
      <c r="D2085" s="70" t="s">
        <v>1</v>
      </c>
      <c r="E2085" s="70" t="s">
        <v>1</v>
      </c>
      <c r="F2085" s="70"/>
      <c r="G2085" s="70" t="s">
        <v>61</v>
      </c>
      <c r="H2085" s="70" t="s">
        <v>178</v>
      </c>
      <c r="I2085" s="70" t="s">
        <v>204</v>
      </c>
      <c r="J2085" s="71">
        <f>IF(OR(I2085=0,I2085=""),"unrated",VLOOKUP(I2085,MappingTables!$B$19:$C$31,2,FALSE))</f>
        <v>6</v>
      </c>
      <c r="K2085" s="72">
        <v>0.20270585711689756</v>
      </c>
      <c r="L2085" s="70">
        <v>0.068494743769079464</v>
      </c>
      <c r="M2085" s="71">
        <f>IF(L2085&lt;1,1,L2085)</f>
        <v>1</v>
      </c>
      <c r="N2085" s="70" t="s">
        <v>3288</v>
      </c>
      <c r="O2085" s="71">
        <f>IF(OR(I2085=$A$1,I2085=0),"",IF(N2085=MappingTables!$C$14,VLOOKUP(J2085,ModelParameters!$M$8:$N$15,2,FALSE),IF(N2085=MappingTables!$C$16,VLOOKUP(J2085,ModelParameters!$P$8:$Q$15,2,FALSE),0)))</f>
        <v>1</v>
      </c>
      <c r="P2085" s="73">
        <f>IF(OR(I2085=0,I2085=$A$1),0,MIN(O2085*M2085,1)*K2085)</f>
        <v>0.20270585711689756</v>
      </c>
      <c r="Q2085" s="73">
        <f>IF(B2085="",0,IF(OR(H2085=MappingTables!$C$34,H2085=MappingTables!$C$35),P2085,0))</f>
        <v>0</v>
      </c>
      <c r="R2085" s="73">
        <f>IF(ISNA(IF(AND(VLOOKUP(CONCATENATE($D2085,$G2085),CSRFinput!$B:$E,4,0)=0,OR(H2085=MappingTables!$C$31,H2085=MappingTables!$C$32)),1,VLOOKUP(CONCATENATE($D2085,$G2085),CSRFinput!$B:$E,4,0))),0,IF(AND(VLOOKUP(CONCATENATE($D2085,$G2085),CSRFinput!$B:$E,4,0)=0,OR(H2085=MappingTables!$C$31,H2085=MappingTables!$C$32)),1,VLOOKUP(CONCATENATE($D2085,$G2085),CSRFinput!$B:$E,4,0)))</f>
        <v>0.054776304963434752</v>
      </c>
      <c r="S2085" s="73">
        <f>IF(B2085="",0,P2085*R2085)</f>
        <v>0.011103477847309612</v>
      </c>
      <c r="T2085" s="85">
        <f>IF(B2085="",0,IF(OR(H2085=MappingTables!$C$34,H2085=MappingTables!$C$35),S2085,0))</f>
        <v>0</v>
      </c>
    </row>
    <row r="2086" spans="2:20" s="0" customFormat="0" ht="15">
      <c r="B2086" s="69">
        <v>19762437</v>
      </c>
      <c r="C2086" s="70" t="s">
        <v>4776</v>
      </c>
      <c r="D2086" s="70" t="s">
        <v>1</v>
      </c>
      <c r="E2086" s="70" t="s">
        <v>1</v>
      </c>
      <c r="F2086" s="70"/>
      <c r="G2086" s="70" t="s">
        <v>61</v>
      </c>
      <c r="H2086" s="70" t="s">
        <v>178</v>
      </c>
      <c r="I2086" s="70" t="s">
        <v>181</v>
      </c>
      <c r="J2086" s="71">
        <f>IF(OR(I2086=0,I2086=""),"unrated",VLOOKUP(I2086,MappingTables!$B$19:$C$31,2,FALSE))</f>
        <v>3</v>
      </c>
      <c r="K2086" s="72">
        <v>29494.49609558752</v>
      </c>
      <c r="L2086" s="70">
        <v>4.840675156675572</v>
      </c>
      <c r="M2086" s="71">
        <f>IF(L2086&lt;1,1,L2086)</f>
        <v>4.840675156675572</v>
      </c>
      <c r="N2086" s="70" t="s">
        <v>3288</v>
      </c>
      <c r="O2086" s="71">
        <f>IF(OR(I2086=$A$1,I2086=0),"",IF(N2086=MappingTables!$C$14,VLOOKUP(J2086,ModelParameters!$M$8:$N$15,2,FALSE),IF(N2086=MappingTables!$C$16,VLOOKUP(J2086,ModelParameters!$P$8:$Q$15,2,FALSE),0)))</f>
        <v>0.197</v>
      </c>
      <c r="P2086" s="73">
        <f>IF(OR(I2086=0,I2086=$A$1),0,MIN(O2086*M2086,1)*K2086)</f>
        <v>28126.335078189304</v>
      </c>
      <c r="Q2086" s="73">
        <f>IF(B2086="",0,IF(OR(H2086=MappingTables!$C$34,H2086=MappingTables!$C$35),P2086,0))</f>
        <v>0</v>
      </c>
      <c r="R2086" s="73">
        <f>IF(ISNA(IF(AND(VLOOKUP(CONCATENATE($D2086,$G2086),CSRFinput!$B:$E,4,0)=0,OR(H2086=MappingTables!$C$31,H2086=MappingTables!$C$32)),1,VLOOKUP(CONCATENATE($D2086,$G2086),CSRFinput!$B:$E,4,0))),0,IF(AND(VLOOKUP(CONCATENATE($D2086,$G2086),CSRFinput!$B:$E,4,0)=0,OR(H2086=MappingTables!$C$31,H2086=MappingTables!$C$32)),1,VLOOKUP(CONCATENATE($D2086,$G2086),CSRFinput!$B:$E,4,0)))</f>
        <v>0.054776304963434752</v>
      </c>
      <c r="S2086" s="73">
        <f>IF(B2086="",0,P2086*R2086)</f>
        <v>1540.65670774665</v>
      </c>
      <c r="T2086" s="85">
        <f>IF(B2086="",0,IF(OR(H2086=MappingTables!$C$34,H2086=MappingTables!$C$35),S2086,0))</f>
        <v>0</v>
      </c>
    </row>
    <row r="2087" spans="2:20" s="0" customFormat="0" ht="15">
      <c r="B2087" s="69" t="s">
        <v>5076</v>
      </c>
      <c r="C2087" s="70" t="s">
        <v>5077</v>
      </c>
      <c r="D2087" s="70" t="s">
        <v>1</v>
      </c>
      <c r="E2087" s="70" t="s">
        <v>1</v>
      </c>
      <c r="F2087" s="70"/>
      <c r="G2087" s="70" t="s">
        <v>61</v>
      </c>
      <c r="H2087" s="70" t="s">
        <v>178</v>
      </c>
      <c r="I2087" s="70" t="s">
        <v>198</v>
      </c>
      <c r="J2087" s="71" t="str">
        <f>IF(OR(I2087=0,I2087=""),"unrated",VLOOKUP(I2087,MappingTables!$B$19:$C$31,2,FALSE))</f>
        <v>unrated</v>
      </c>
      <c r="K2087" s="72">
        <v>89.059167647876032</v>
      </c>
      <c r="L2087" s="70">
        <v>0.0684923793577768</v>
      </c>
      <c r="M2087" s="71">
        <f>IF(L2087&lt;1,1,L2087)</f>
        <v>1</v>
      </c>
      <c r="N2087" s="70" t="s">
        <v>3288</v>
      </c>
      <c r="O2087" s="71">
        <f>IF(OR(I2087=$A$1,I2087=0),"",IF(N2087=MappingTables!$C$14,VLOOKUP(J2087,ModelParameters!$M$8:$N$15,2,FALSE),IF(N2087=MappingTables!$C$16,VLOOKUP(J2087,ModelParameters!$P$8:$Q$15,2,FALSE),0)))</f>
        <v>1</v>
      </c>
      <c r="P2087" s="73">
        <f>IF(OR(I2087=0,I2087=$A$1),0,MIN(O2087*M2087,1)*K2087)</f>
        <v>89.059167647876032</v>
      </c>
      <c r="Q2087" s="73">
        <f>IF(B2087="",0,IF(OR(H2087=MappingTables!$C$34,H2087=MappingTables!$C$35),P2087,0))</f>
        <v>0</v>
      </c>
      <c r="R2087" s="73">
        <f>IF(ISNA(IF(AND(VLOOKUP(CONCATENATE($D2087,$G2087),CSRFinput!$B:$E,4,0)=0,OR(H2087=MappingTables!$C$31,H2087=MappingTables!$C$32)),1,VLOOKUP(CONCATENATE($D2087,$G2087),CSRFinput!$B:$E,4,0))),0,IF(AND(VLOOKUP(CONCATENATE($D2087,$G2087),CSRFinput!$B:$E,4,0)=0,OR(H2087=MappingTables!$C$31,H2087=MappingTables!$C$32)),1,VLOOKUP(CONCATENATE($D2087,$G2087),CSRFinput!$B:$E,4,0)))</f>
        <v>0.054776304963434752</v>
      </c>
      <c r="S2087" s="73">
        <f>IF(B2087="",0,P2087*R2087)</f>
        <v>4.87833212686972</v>
      </c>
      <c r="T2087" s="85">
        <f>IF(B2087="",0,IF(OR(H2087=MappingTables!$C$34,H2087=MappingTables!$C$35),S2087,0))</f>
        <v>0</v>
      </c>
    </row>
    <row r="2088" spans="2:20" s="0" customFormat="0" ht="15">
      <c r="B2088" s="69">
        <v>1551579</v>
      </c>
      <c r="C2088" s="70" t="s">
        <v>3638</v>
      </c>
      <c r="D2088" s="70" t="s">
        <v>1</v>
      </c>
      <c r="E2088" s="70" t="s">
        <v>1</v>
      </c>
      <c r="F2088" s="70"/>
      <c r="G2088" s="70" t="s">
        <v>61</v>
      </c>
      <c r="H2088" s="70" t="s">
        <v>178</v>
      </c>
      <c r="I2088" s="70" t="s">
        <v>198</v>
      </c>
      <c r="J2088" s="71" t="str">
        <f>IF(OR(I2088=0,I2088=""),"unrated",VLOOKUP(I2088,MappingTables!$B$19:$C$31,2,FALSE))</f>
        <v>unrated</v>
      </c>
      <c r="K2088" s="72">
        <v>11.130820760042982</v>
      </c>
      <c r="L2088" s="70">
        <v>0.068489750201026336</v>
      </c>
      <c r="M2088" s="71">
        <f>IF(L2088&lt;1,1,L2088)</f>
        <v>1</v>
      </c>
      <c r="N2088" s="70" t="s">
        <v>3288</v>
      </c>
      <c r="O2088" s="71">
        <f>IF(OR(I2088=$A$1,I2088=0),"",IF(N2088=MappingTables!$C$14,VLOOKUP(J2088,ModelParameters!$M$8:$N$15,2,FALSE),IF(N2088=MappingTables!$C$16,VLOOKUP(J2088,ModelParameters!$P$8:$Q$15,2,FALSE),0)))</f>
        <v>1</v>
      </c>
      <c r="P2088" s="73">
        <f>IF(OR(I2088=0,I2088=$A$1),0,MIN(O2088*M2088,1)*K2088)</f>
        <v>11.130820760042982</v>
      </c>
      <c r="Q2088" s="73">
        <f>IF(B2088="",0,IF(OR(H2088=MappingTables!$C$34,H2088=MappingTables!$C$35),P2088,0))</f>
        <v>0</v>
      </c>
      <c r="R2088" s="73">
        <f>IF(ISNA(IF(AND(VLOOKUP(CONCATENATE($D2088,$G2088),CSRFinput!$B:$E,4,0)=0,OR(H2088=MappingTables!$C$31,H2088=MappingTables!$C$32)),1,VLOOKUP(CONCATENATE($D2088,$G2088),CSRFinput!$B:$E,4,0))),0,IF(AND(VLOOKUP(CONCATENATE($D2088,$G2088),CSRFinput!$B:$E,4,0)=0,OR(H2088=MappingTables!$C$31,H2088=MappingTables!$C$32)),1,VLOOKUP(CONCATENATE($D2088,$G2088),CSRFinput!$B:$E,4,0)))</f>
        <v>0.054776304963434752</v>
      </c>
      <c r="S2088" s="73">
        <f>IF(B2088="",0,P2088*R2088)</f>
        <v>0.60970523244544496</v>
      </c>
      <c r="T2088" s="85">
        <f>IF(B2088="",0,IF(OR(H2088=MappingTables!$C$34,H2088=MappingTables!$C$35),S2088,0))</f>
        <v>0</v>
      </c>
    </row>
    <row r="2089" spans="2:20" s="0" customFormat="0" ht="15">
      <c r="B2089" s="69" t="s">
        <v>4062</v>
      </c>
      <c r="C2089" s="70" t="s">
        <v>4063</v>
      </c>
      <c r="D2089" s="70" t="s">
        <v>1</v>
      </c>
      <c r="E2089" s="70" t="s">
        <v>1</v>
      </c>
      <c r="F2089" s="70"/>
      <c r="G2089" s="70" t="s">
        <v>61</v>
      </c>
      <c r="H2089" s="70" t="s">
        <v>178</v>
      </c>
      <c r="I2089" s="70" t="s">
        <v>184</v>
      </c>
      <c r="J2089" s="71">
        <f>IF(OR(I2089=0,I2089=""),"unrated",VLOOKUP(I2089,MappingTables!$B$19:$C$31,2,FALSE))</f>
        <v>5</v>
      </c>
      <c r="K2089" s="72">
        <v>17.723693466233218</v>
      </c>
      <c r="L2089" s="70">
        <v>0.05205500628656792</v>
      </c>
      <c r="M2089" s="71">
        <f>IF(L2089&lt;1,1,L2089)</f>
        <v>1</v>
      </c>
      <c r="N2089" s="70" t="s">
        <v>3288</v>
      </c>
      <c r="O2089" s="71">
        <f>IF(OR(I2089=$A$1,I2089=0),"",IF(N2089=MappingTables!$C$14,VLOOKUP(J2089,ModelParameters!$M$8:$N$15,2,FALSE),IF(N2089=MappingTables!$C$16,VLOOKUP(J2089,ModelParameters!$P$8:$Q$15,2,FALSE),0)))</f>
        <v>1</v>
      </c>
      <c r="P2089" s="73">
        <f>IF(OR(I2089=0,I2089=$A$1),0,MIN(O2089*M2089,1)*K2089)</f>
        <v>17.723693466233218</v>
      </c>
      <c r="Q2089" s="73">
        <f>IF(B2089="",0,IF(OR(H2089=MappingTables!$C$34,H2089=MappingTables!$C$35),P2089,0))</f>
        <v>0</v>
      </c>
      <c r="R2089" s="73">
        <f>IF(ISNA(IF(AND(VLOOKUP(CONCATENATE($D2089,$G2089),CSRFinput!$B:$E,4,0)=0,OR(H2089=MappingTables!$C$31,H2089=MappingTables!$C$32)),1,VLOOKUP(CONCATENATE($D2089,$G2089),CSRFinput!$B:$E,4,0))),0,IF(AND(VLOOKUP(CONCATENATE($D2089,$G2089),CSRFinput!$B:$E,4,0)=0,OR(H2089=MappingTables!$C$31,H2089=MappingTables!$C$32)),1,VLOOKUP(CONCATENATE($D2089,$G2089),CSRFinput!$B:$E,4,0)))</f>
        <v>0.054776304963434752</v>
      </c>
      <c r="S2089" s="73">
        <f>IF(B2089="",0,P2089*R2089)</f>
        <v>0.97083843838482672</v>
      </c>
      <c r="T2089" s="85">
        <f>IF(B2089="",0,IF(OR(H2089=MappingTables!$C$34,H2089=MappingTables!$C$35),S2089,0))</f>
        <v>0</v>
      </c>
    </row>
    <row r="2090" spans="2:20" s="0" customFormat="0" ht="15">
      <c r="B2090" s="69" t="s">
        <v>5223</v>
      </c>
      <c r="C2090" s="70" t="s">
        <v>5224</v>
      </c>
      <c r="D2090" s="70" t="s">
        <v>1</v>
      </c>
      <c r="E2090" s="70" t="s">
        <v>1</v>
      </c>
      <c r="F2090" s="70"/>
      <c r="G2090" s="70" t="s">
        <v>61</v>
      </c>
      <c r="H2090" s="70" t="s">
        <v>178</v>
      </c>
      <c r="I2090" s="70" t="s">
        <v>181</v>
      </c>
      <c r="J2090" s="71">
        <f>IF(OR(I2090=0,I2090=""),"unrated",VLOOKUP(I2090,MappingTables!$B$19:$C$31,2,FALSE))</f>
        <v>3</v>
      </c>
      <c r="K2090" s="72">
        <v>29.524423650328576</v>
      </c>
      <c r="L2090" s="70">
        <v>0.078184509262282528</v>
      </c>
      <c r="M2090" s="71">
        <f>IF(L2090&lt;1,1,L2090)</f>
        <v>1</v>
      </c>
      <c r="N2090" s="70" t="s">
        <v>3288</v>
      </c>
      <c r="O2090" s="71">
        <f>IF(OR(I2090=$A$1,I2090=0),"",IF(N2090=MappingTables!$C$14,VLOOKUP(J2090,ModelParameters!$M$8:$N$15,2,FALSE),IF(N2090=MappingTables!$C$16,VLOOKUP(J2090,ModelParameters!$P$8:$Q$15,2,FALSE),0)))</f>
        <v>0.197</v>
      </c>
      <c r="P2090" s="73">
        <f>IF(OR(I2090=0,I2090=$A$1),0,MIN(O2090*M2090,1)*K2090)</f>
        <v>5.8163114591147288</v>
      </c>
      <c r="Q2090" s="73">
        <f>IF(B2090="",0,IF(OR(H2090=MappingTables!$C$34,H2090=MappingTables!$C$35),P2090,0))</f>
        <v>0</v>
      </c>
      <c r="R2090" s="73">
        <f>IF(ISNA(IF(AND(VLOOKUP(CONCATENATE($D2090,$G2090),CSRFinput!$B:$E,4,0)=0,OR(H2090=MappingTables!$C$31,H2090=MappingTables!$C$32)),1,VLOOKUP(CONCATENATE($D2090,$G2090),CSRFinput!$B:$E,4,0))),0,IF(AND(VLOOKUP(CONCATENATE($D2090,$G2090),CSRFinput!$B:$E,4,0)=0,OR(H2090=MappingTables!$C$31,H2090=MappingTables!$C$32)),1,VLOOKUP(CONCATENATE($D2090,$G2090),CSRFinput!$B:$E,4,0)))</f>
        <v>0.054776304963434752</v>
      </c>
      <c r="S2090" s="73">
        <f>IF(B2090="",0,P2090*R2090)</f>
        <v>0.31859605024678856</v>
      </c>
      <c r="T2090" s="85">
        <f>IF(B2090="",0,IF(OR(H2090=MappingTables!$C$34,H2090=MappingTables!$C$35),S2090,0))</f>
        <v>0</v>
      </c>
    </row>
    <row r="2091" spans="2:20" s="0" customFormat="0" ht="15">
      <c r="B2091" s="69">
        <v>1921758</v>
      </c>
      <c r="C2091" s="70" t="s">
        <v>4233</v>
      </c>
      <c r="D2091" s="70" t="s">
        <v>1</v>
      </c>
      <c r="E2091" s="70" t="s">
        <v>1</v>
      </c>
      <c r="F2091" s="70"/>
      <c r="G2091" s="70" t="s">
        <v>61</v>
      </c>
      <c r="H2091" s="70" t="s">
        <v>178</v>
      </c>
      <c r="I2091" s="70" t="s">
        <v>216</v>
      </c>
      <c r="J2091" s="71">
        <f>IF(OR(I2091=0,I2091=""),"unrated",VLOOKUP(I2091,MappingTables!$B$19:$C$31,2,FALSE))</f>
        <v>0</v>
      </c>
      <c r="K2091" s="72">
        <v>144.28914488534332</v>
      </c>
      <c r="L2091" s="70">
        <v>0.19853265941917968</v>
      </c>
      <c r="M2091" s="71">
        <f>IF(L2091&lt;1,1,L2091)</f>
        <v>1</v>
      </c>
      <c r="N2091" s="70" t="s">
        <v>3288</v>
      </c>
      <c r="O2091" s="71">
        <f>IF(OR(I2091=$A$1,I2091=0),"",IF(N2091=MappingTables!$C$14,VLOOKUP(J2091,ModelParameters!$M$8:$N$15,2,FALSE),IF(N2091=MappingTables!$C$16,VLOOKUP(J2091,ModelParameters!$P$8:$Q$15,2,FALSE),0)))</f>
        <v>0.125</v>
      </c>
      <c r="P2091" s="73">
        <f>IF(OR(I2091=0,I2091=$A$1),0,MIN(O2091*M2091,1)*K2091)</f>
        <v>18.036143110667916</v>
      </c>
      <c r="Q2091" s="73">
        <f>IF(B2091="",0,IF(OR(H2091=MappingTables!$C$34,H2091=MappingTables!$C$35),P2091,0))</f>
        <v>0</v>
      </c>
      <c r="R2091" s="73">
        <f>IF(ISNA(IF(AND(VLOOKUP(CONCATENATE($D2091,$G2091),CSRFinput!$B:$E,4,0)=0,OR(H2091=MappingTables!$C$31,H2091=MappingTables!$C$32)),1,VLOOKUP(CONCATENATE($D2091,$G2091),CSRFinput!$B:$E,4,0))),0,IF(AND(VLOOKUP(CONCATENATE($D2091,$G2091),CSRFinput!$B:$E,4,0)=0,OR(H2091=MappingTables!$C$31,H2091=MappingTables!$C$32)),1,VLOOKUP(CONCATENATE($D2091,$G2091),CSRFinput!$B:$E,4,0)))</f>
        <v>0.054776304963434752</v>
      </c>
      <c r="S2091" s="73">
        <f>IF(B2091="",0,P2091*R2091)</f>
        <v>0.9879532753940984</v>
      </c>
      <c r="T2091" s="85">
        <f>IF(B2091="",0,IF(OR(H2091=MappingTables!$C$34,H2091=MappingTables!$C$35),S2091,0))</f>
        <v>0</v>
      </c>
    </row>
    <row r="2092" spans="2:20" s="0" customFormat="0" ht="15">
      <c r="B2092" s="69" t="s">
        <v>5225</v>
      </c>
      <c r="C2092" s="70" t="s">
        <v>5226</v>
      </c>
      <c r="D2092" s="70" t="s">
        <v>1</v>
      </c>
      <c r="E2092" s="70" t="s">
        <v>1</v>
      </c>
      <c r="F2092" s="70"/>
      <c r="G2092" s="70" t="s">
        <v>61</v>
      </c>
      <c r="H2092" s="70" t="s">
        <v>178</v>
      </c>
      <c r="I2092" s="70" t="s">
        <v>198</v>
      </c>
      <c r="J2092" s="71" t="str">
        <f>IF(OR(I2092=0,I2092=""),"unrated",VLOOKUP(I2092,MappingTables!$B$19:$C$31,2,FALSE))</f>
        <v>unrated</v>
      </c>
      <c r="K2092" s="72">
        <v>2290.8413285694584</v>
      </c>
      <c r="L2092" s="70">
        <v>3.792690875128504</v>
      </c>
      <c r="M2092" s="71">
        <f>IF(L2092&lt;1,1,L2092)</f>
        <v>3.792690875128504</v>
      </c>
      <c r="N2092" s="70" t="s">
        <v>3288</v>
      </c>
      <c r="O2092" s="71">
        <f>IF(OR(I2092=$A$1,I2092=0),"",IF(N2092=MappingTables!$C$14,VLOOKUP(J2092,ModelParameters!$M$8:$N$15,2,FALSE),IF(N2092=MappingTables!$C$16,VLOOKUP(J2092,ModelParameters!$P$8:$Q$15,2,FALSE),0)))</f>
        <v>1</v>
      </c>
      <c r="P2092" s="73">
        <f>IF(OR(I2092=0,I2092=$A$1),0,MIN(O2092*M2092,1)*K2092)</f>
        <v>2290.8413285694584</v>
      </c>
      <c r="Q2092" s="73">
        <f>IF(B2092="",0,IF(OR(H2092=MappingTables!$C$34,H2092=MappingTables!$C$35),P2092,0))</f>
        <v>0</v>
      </c>
      <c r="R2092" s="73">
        <f>IF(ISNA(IF(AND(VLOOKUP(CONCATENATE($D2092,$G2092),CSRFinput!$B:$E,4,0)=0,OR(H2092=MappingTables!$C$31,H2092=MappingTables!$C$32)),1,VLOOKUP(CONCATENATE($D2092,$G2092),CSRFinput!$B:$E,4,0))),0,IF(AND(VLOOKUP(CONCATENATE($D2092,$G2092),CSRFinput!$B:$E,4,0)=0,OR(H2092=MappingTables!$C$31,H2092=MappingTables!$C$32)),1,VLOOKUP(CONCATENATE($D2092,$G2092),CSRFinput!$B:$E,4,0)))</f>
        <v>0.054776304963434752</v>
      </c>
      <c r="S2092" s="73">
        <f>IF(B2092="",0,P2092*R2092)</f>
        <v>125.48382323656068</v>
      </c>
      <c r="T2092" s="85">
        <f>IF(B2092="",0,IF(OR(H2092=MappingTables!$C$34,H2092=MappingTables!$C$35),S2092,0))</f>
        <v>0</v>
      </c>
    </row>
    <row r="2093" spans="2:20" s="0" customFormat="0" ht="15">
      <c r="B2093" s="69">
        <v>22623682</v>
      </c>
      <c r="C2093" s="70" t="s">
        <v>3331</v>
      </c>
      <c r="D2093" s="70" t="s">
        <v>1</v>
      </c>
      <c r="E2093" s="70" t="s">
        <v>1</v>
      </c>
      <c r="F2093" s="70"/>
      <c r="G2093" s="70" t="s">
        <v>61</v>
      </c>
      <c r="H2093" s="70" t="s">
        <v>178</v>
      </c>
      <c r="I2093" s="70" t="s">
        <v>513</v>
      </c>
      <c r="J2093" s="71">
        <f>IF(OR(I2093=0,I2093=""),"unrated",VLOOKUP(I2093,MappingTables!$B$19:$C$31,2,FALSE))</f>
        <v>6</v>
      </c>
      <c r="K2093" s="72">
        <v>9600.4572547550464</v>
      </c>
      <c r="L2093" s="70">
        <v>0.068517281153158984</v>
      </c>
      <c r="M2093" s="71">
        <f>IF(L2093&lt;1,1,L2093)</f>
        <v>1</v>
      </c>
      <c r="N2093" s="70" t="s">
        <v>3288</v>
      </c>
      <c r="O2093" s="71">
        <f>IF(OR(I2093=$A$1,I2093=0),"",IF(N2093=MappingTables!$C$14,VLOOKUP(J2093,ModelParameters!$M$8:$N$15,2,FALSE),IF(N2093=MappingTables!$C$16,VLOOKUP(J2093,ModelParameters!$P$8:$Q$15,2,FALSE),0)))</f>
        <v>1</v>
      </c>
      <c r="P2093" s="73">
        <f>IF(OR(I2093=0,I2093=$A$1),0,MIN(O2093*M2093,1)*K2093)</f>
        <v>9600.4572547550464</v>
      </c>
      <c r="Q2093" s="73">
        <f>IF(B2093="",0,IF(OR(H2093=MappingTables!$C$34,H2093=MappingTables!$C$35),P2093,0))</f>
        <v>0</v>
      </c>
      <c r="R2093" s="73">
        <f>IF(ISNA(IF(AND(VLOOKUP(CONCATENATE($D2093,$G2093),CSRFinput!$B:$E,4,0)=0,OR(H2093=MappingTables!$C$31,H2093=MappingTables!$C$32)),1,VLOOKUP(CONCATENATE($D2093,$G2093),CSRFinput!$B:$E,4,0))),0,IF(AND(VLOOKUP(CONCATENATE($D2093,$G2093),CSRFinput!$B:$E,4,0)=0,OR(H2093=MappingTables!$C$31,H2093=MappingTables!$C$32)),1,VLOOKUP(CONCATENATE($D2093,$G2093),CSRFinput!$B:$E,4,0)))</f>
        <v>0.054776304963434752</v>
      </c>
      <c r="S2093" s="73">
        <f>IF(B2093="",0,P2093*R2093)</f>
        <v>525.87757437488208</v>
      </c>
      <c r="T2093" s="85">
        <f>IF(B2093="",0,IF(OR(H2093=MappingTables!$C$34,H2093=MappingTables!$C$35),S2093,0))</f>
        <v>0</v>
      </c>
    </row>
    <row r="2094" spans="2:20" s="0" customFormat="0" ht="15">
      <c r="B2094" s="69">
        <v>22554434</v>
      </c>
      <c r="C2094" s="70" t="s">
        <v>5227</v>
      </c>
      <c r="D2094" s="70" t="s">
        <v>1</v>
      </c>
      <c r="E2094" s="70" t="s">
        <v>1</v>
      </c>
      <c r="F2094" s="70"/>
      <c r="G2094" s="70" t="s">
        <v>61</v>
      </c>
      <c r="H2094" s="70" t="s">
        <v>178</v>
      </c>
      <c r="I2094" s="70" t="s">
        <v>216</v>
      </c>
      <c r="J2094" s="71">
        <f>IF(OR(I2094=0,I2094=""),"unrated",VLOOKUP(I2094,MappingTables!$B$19:$C$31,2,FALSE))</f>
        <v>0</v>
      </c>
      <c r="K2094" s="72">
        <v>4.7816038390160672</v>
      </c>
      <c r="L2094" s="70">
        <v>0.01902413769242938</v>
      </c>
      <c r="M2094" s="71">
        <f>IF(L2094&lt;1,1,L2094)</f>
        <v>1</v>
      </c>
      <c r="N2094" s="70" t="s">
        <v>3288</v>
      </c>
      <c r="O2094" s="71">
        <f>IF(OR(I2094=$A$1,I2094=0),"",IF(N2094=MappingTables!$C$14,VLOOKUP(J2094,ModelParameters!$M$8:$N$15,2,FALSE),IF(N2094=MappingTables!$C$16,VLOOKUP(J2094,ModelParameters!$P$8:$Q$15,2,FALSE),0)))</f>
        <v>0.125</v>
      </c>
      <c r="P2094" s="73">
        <f>IF(OR(I2094=0,I2094=$A$1),0,MIN(O2094*M2094,1)*K2094)</f>
        <v>0.5977004798770084</v>
      </c>
      <c r="Q2094" s="73">
        <f>IF(B2094="",0,IF(OR(H2094=MappingTables!$C$34,H2094=MappingTables!$C$35),P2094,0))</f>
        <v>0</v>
      </c>
      <c r="R2094" s="73">
        <f>IF(ISNA(IF(AND(VLOOKUP(CONCATENATE($D2094,$G2094),CSRFinput!$B:$E,4,0)=0,OR(H2094=MappingTables!$C$31,H2094=MappingTables!$C$32)),1,VLOOKUP(CONCATENATE($D2094,$G2094),CSRFinput!$B:$E,4,0))),0,IF(AND(VLOOKUP(CONCATENATE($D2094,$G2094),CSRFinput!$B:$E,4,0)=0,OR(H2094=MappingTables!$C$31,H2094=MappingTables!$C$32)),1,VLOOKUP(CONCATENATE($D2094,$G2094),CSRFinput!$B:$E,4,0)))</f>
        <v>0.054776304963434752</v>
      </c>
      <c r="S2094" s="73">
        <f>IF(B2094="",0,P2094*R2094)</f>
        <v>0.032739823762534308</v>
      </c>
      <c r="T2094" s="85">
        <f>IF(B2094="",0,IF(OR(H2094=MappingTables!$C$34,H2094=MappingTables!$C$35),S2094,0))</f>
        <v>0</v>
      </c>
    </row>
    <row r="2095" spans="2:20" s="0" customFormat="0" ht="15">
      <c r="B2095" s="69">
        <v>7065951</v>
      </c>
      <c r="C2095" s="70" t="s">
        <v>4356</v>
      </c>
      <c r="D2095" s="70" t="s">
        <v>1</v>
      </c>
      <c r="E2095" s="70" t="s">
        <v>1</v>
      </c>
      <c r="F2095" s="70"/>
      <c r="G2095" s="70" t="s">
        <v>61</v>
      </c>
      <c r="H2095" s="70" t="s">
        <v>178</v>
      </c>
      <c r="I2095" s="70" t="s">
        <v>216</v>
      </c>
      <c r="J2095" s="71">
        <f>IF(OR(I2095=0,I2095=""),"unrated",VLOOKUP(I2095,MappingTables!$B$19:$C$31,2,FALSE))</f>
        <v>0</v>
      </c>
      <c r="K2095" s="72">
        <v>0.35349078469703748</v>
      </c>
      <c r="L2095" s="70">
        <v>0.082499700251526304</v>
      </c>
      <c r="M2095" s="71">
        <f>IF(L2095&lt;1,1,L2095)</f>
        <v>1</v>
      </c>
      <c r="N2095" s="70" t="s">
        <v>3288</v>
      </c>
      <c r="O2095" s="71">
        <f>IF(OR(I2095=$A$1,I2095=0),"",IF(N2095=MappingTables!$C$14,VLOOKUP(J2095,ModelParameters!$M$8:$N$15,2,FALSE),IF(N2095=MappingTables!$C$16,VLOOKUP(J2095,ModelParameters!$P$8:$Q$15,2,FALSE),0)))</f>
        <v>0.125</v>
      </c>
      <c r="P2095" s="73">
        <f>IF(OR(I2095=0,I2095=$A$1),0,MIN(O2095*M2095,1)*K2095)</f>
        <v>0.044186348087129688</v>
      </c>
      <c r="Q2095" s="73">
        <f>IF(B2095="",0,IF(OR(H2095=MappingTables!$C$34,H2095=MappingTables!$C$35),P2095,0))</f>
        <v>0</v>
      </c>
      <c r="R2095" s="73">
        <f>IF(ISNA(IF(AND(VLOOKUP(CONCATENATE($D2095,$G2095),CSRFinput!$B:$E,4,0)=0,OR(H2095=MappingTables!$C$31,H2095=MappingTables!$C$32)),1,VLOOKUP(CONCATENATE($D2095,$G2095),CSRFinput!$B:$E,4,0))),0,IF(AND(VLOOKUP(CONCATENATE($D2095,$G2095),CSRFinput!$B:$E,4,0)=0,OR(H2095=MappingTables!$C$31,H2095=MappingTables!$C$32)),1,VLOOKUP(CONCATENATE($D2095,$G2095),CSRFinput!$B:$E,4,0)))</f>
        <v>0.054776304963434752</v>
      </c>
      <c r="S2095" s="73">
        <f>IF(B2095="",0,P2095*R2095)</f>
        <v>0.0024203648780410976</v>
      </c>
      <c r="T2095" s="85">
        <f>IF(B2095="",0,IF(OR(H2095=MappingTables!$C$34,H2095=MappingTables!$C$35),S2095,0))</f>
        <v>0</v>
      </c>
    </row>
    <row r="2096" spans="2:20" s="0" customFormat="0" ht="15">
      <c r="B2096" s="69" t="s">
        <v>5175</v>
      </c>
      <c r="C2096" s="70" t="s">
        <v>5176</v>
      </c>
      <c r="D2096" s="70" t="s">
        <v>1</v>
      </c>
      <c r="E2096" s="70" t="s">
        <v>1</v>
      </c>
      <c r="F2096" s="70"/>
      <c r="G2096" s="70" t="s">
        <v>61</v>
      </c>
      <c r="H2096" s="70" t="s">
        <v>178</v>
      </c>
      <c r="I2096" s="70" t="s">
        <v>198</v>
      </c>
      <c r="J2096" s="71" t="str">
        <f>IF(OR(I2096=0,I2096=""),"unrated",VLOOKUP(I2096,MappingTables!$B$19:$C$31,2,FALSE))</f>
        <v>unrated</v>
      </c>
      <c r="K2096" s="72">
        <v>1033.2639711035436</v>
      </c>
      <c r="L2096" s="70">
        <v>0.35527340070359724</v>
      </c>
      <c r="M2096" s="71">
        <f>IF(L2096&lt;1,1,L2096)</f>
        <v>1</v>
      </c>
      <c r="N2096" s="70" t="s">
        <v>3288</v>
      </c>
      <c r="O2096" s="71">
        <f>IF(OR(I2096=$A$1,I2096=0),"",IF(N2096=MappingTables!$C$14,VLOOKUP(J2096,ModelParameters!$M$8:$N$15,2,FALSE),IF(N2096=MappingTables!$C$16,VLOOKUP(J2096,ModelParameters!$P$8:$Q$15,2,FALSE),0)))</f>
        <v>1</v>
      </c>
      <c r="P2096" s="73">
        <f>IF(OR(I2096=0,I2096=$A$1),0,MIN(O2096*M2096,1)*K2096)</f>
        <v>1033.2639711035436</v>
      </c>
      <c r="Q2096" s="73">
        <f>IF(B2096="",0,IF(OR(H2096=MappingTables!$C$34,H2096=MappingTables!$C$35),P2096,0))</f>
        <v>0</v>
      </c>
      <c r="R2096" s="73">
        <f>IF(ISNA(IF(AND(VLOOKUP(CONCATENATE($D2096,$G2096),CSRFinput!$B:$E,4,0)=0,OR(H2096=MappingTables!$C$31,H2096=MappingTables!$C$32)),1,VLOOKUP(CONCATENATE($D2096,$G2096),CSRFinput!$B:$E,4,0))),0,IF(AND(VLOOKUP(CONCATENATE($D2096,$G2096),CSRFinput!$B:$E,4,0)=0,OR(H2096=MappingTables!$C$31,H2096=MappingTables!$C$32)),1,VLOOKUP(CONCATENATE($D2096,$G2096),CSRFinput!$B:$E,4,0)))</f>
        <v>0.054776304963434752</v>
      </c>
      <c r="S2096" s="73">
        <f>IF(B2096="",0,P2096*R2096)</f>
        <v>56.598382388897336</v>
      </c>
      <c r="T2096" s="85">
        <f>IF(B2096="",0,IF(OR(H2096=MappingTables!$C$34,H2096=MappingTables!$C$35),S2096,0))</f>
        <v>0</v>
      </c>
    </row>
    <row r="2097" spans="2:20" s="0" customFormat="0" ht="15">
      <c r="B2097" s="69" t="s">
        <v>4895</v>
      </c>
      <c r="C2097" s="70" t="s">
        <v>4896</v>
      </c>
      <c r="D2097" s="70" t="s">
        <v>1</v>
      </c>
      <c r="E2097" s="70" t="s">
        <v>1</v>
      </c>
      <c r="F2097" s="70"/>
      <c r="G2097" s="70" t="s">
        <v>61</v>
      </c>
      <c r="H2097" s="70" t="s">
        <v>178</v>
      </c>
      <c r="I2097" s="70" t="s">
        <v>184</v>
      </c>
      <c r="J2097" s="71">
        <f>IF(OR(I2097=0,I2097=""),"unrated",VLOOKUP(I2097,MappingTables!$B$19:$C$31,2,FALSE))</f>
        <v>5</v>
      </c>
      <c r="K2097" s="72">
        <v>1552.313424596366</v>
      </c>
      <c r="L2097" s="70">
        <v>0.02657286647465154</v>
      </c>
      <c r="M2097" s="71">
        <f>IF(L2097&lt;1,1,L2097)</f>
        <v>1</v>
      </c>
      <c r="N2097" s="70" t="s">
        <v>3288</v>
      </c>
      <c r="O2097" s="71">
        <f>IF(OR(I2097=$A$1,I2097=0),"",IF(N2097=MappingTables!$C$14,VLOOKUP(J2097,ModelParameters!$M$8:$N$15,2,FALSE),IF(N2097=MappingTables!$C$16,VLOOKUP(J2097,ModelParameters!$P$8:$Q$15,2,FALSE),0)))</f>
        <v>1</v>
      </c>
      <c r="P2097" s="73">
        <f>IF(OR(I2097=0,I2097=$A$1),0,MIN(O2097*M2097,1)*K2097)</f>
        <v>1552.313424596366</v>
      </c>
      <c r="Q2097" s="73">
        <f>IF(B2097="",0,IF(OR(H2097=MappingTables!$C$34,H2097=MappingTables!$C$35),P2097,0))</f>
        <v>0</v>
      </c>
      <c r="R2097" s="73">
        <f>IF(ISNA(IF(AND(VLOOKUP(CONCATENATE($D2097,$G2097),CSRFinput!$B:$E,4,0)=0,OR(H2097=MappingTables!$C$31,H2097=MappingTables!$C$32)),1,VLOOKUP(CONCATENATE($D2097,$G2097),CSRFinput!$B:$E,4,0))),0,IF(AND(VLOOKUP(CONCATENATE($D2097,$G2097),CSRFinput!$B:$E,4,0)=0,OR(H2097=MappingTables!$C$31,H2097=MappingTables!$C$32)),1,VLOOKUP(CONCATENATE($D2097,$G2097),CSRFinput!$B:$E,4,0)))</f>
        <v>0.054776304963434752</v>
      </c>
      <c r="S2097" s="73">
        <f>IF(B2097="",0,P2097*R2097)</f>
        <v>85.029993544524336</v>
      </c>
      <c r="T2097" s="85">
        <f>IF(B2097="",0,IF(OR(H2097=MappingTables!$C$34,H2097=MappingTables!$C$35),S2097,0))</f>
        <v>0</v>
      </c>
    </row>
    <row r="2098" spans="2:20" s="0" customFormat="0" ht="15">
      <c r="B2098" s="69" t="s">
        <v>4173</v>
      </c>
      <c r="C2098" s="70" t="s">
        <v>4174</v>
      </c>
      <c r="D2098" s="70" t="s">
        <v>1</v>
      </c>
      <c r="E2098" s="70" t="s">
        <v>1</v>
      </c>
      <c r="F2098" s="70"/>
      <c r="G2098" s="70" t="s">
        <v>61</v>
      </c>
      <c r="H2098" s="70" t="s">
        <v>178</v>
      </c>
      <c r="I2098" s="70" t="s">
        <v>198</v>
      </c>
      <c r="J2098" s="71" t="str">
        <f>IF(OR(I2098=0,I2098=""),"unrated",VLOOKUP(I2098,MappingTables!$B$19:$C$31,2,FALSE))</f>
        <v>unrated</v>
      </c>
      <c r="K2098" s="72">
        <v>963.78926082631248</v>
      </c>
      <c r="L2098" s="70">
        <v>8.9818139508579888</v>
      </c>
      <c r="M2098" s="71">
        <f>IF(L2098&lt;1,1,L2098)</f>
        <v>8.9818139508579888</v>
      </c>
      <c r="N2098" s="70" t="s">
        <v>3288</v>
      </c>
      <c r="O2098" s="71">
        <f>IF(OR(I2098=$A$1,I2098=0),"",IF(N2098=MappingTables!$C$14,VLOOKUP(J2098,ModelParameters!$M$8:$N$15,2,FALSE),IF(N2098=MappingTables!$C$16,VLOOKUP(J2098,ModelParameters!$P$8:$Q$15,2,FALSE),0)))</f>
        <v>1</v>
      </c>
      <c r="P2098" s="73">
        <f>IF(OR(I2098=0,I2098=$A$1),0,MIN(O2098*M2098,1)*K2098)</f>
        <v>963.78926082631248</v>
      </c>
      <c r="Q2098" s="73">
        <f>IF(B2098="",0,IF(OR(H2098=MappingTables!$C$34,H2098=MappingTables!$C$35),P2098,0))</f>
        <v>0</v>
      </c>
      <c r="R2098" s="73">
        <f>IF(ISNA(IF(AND(VLOOKUP(CONCATENATE($D2098,$G2098),CSRFinput!$B:$E,4,0)=0,OR(H2098=MappingTables!$C$31,H2098=MappingTables!$C$32)),1,VLOOKUP(CONCATENATE($D2098,$G2098),CSRFinput!$B:$E,4,0))),0,IF(AND(VLOOKUP(CONCATENATE($D2098,$G2098),CSRFinput!$B:$E,4,0)=0,OR(H2098=MappingTables!$C$31,H2098=MappingTables!$C$32)),1,VLOOKUP(CONCATENATE($D2098,$G2098),CSRFinput!$B:$E,4,0)))</f>
        <v>0.054776304963434752</v>
      </c>
      <c r="S2098" s="73">
        <f>IF(B2098="",0,P2098*R2098)</f>
        <v>52.792814471505448</v>
      </c>
      <c r="T2098" s="85">
        <f>IF(B2098="",0,IF(OR(H2098=MappingTables!$C$34,H2098=MappingTables!$C$35),S2098,0))</f>
        <v>0</v>
      </c>
    </row>
    <row r="2099" spans="2:20" s="0" customFormat="0" ht="15">
      <c r="B2099" s="69" t="s">
        <v>5116</v>
      </c>
      <c r="C2099" s="70" t="s">
        <v>5117</v>
      </c>
      <c r="D2099" s="70" t="s">
        <v>1</v>
      </c>
      <c r="E2099" s="70" t="s">
        <v>1</v>
      </c>
      <c r="F2099" s="70"/>
      <c r="G2099" s="70" t="s">
        <v>61</v>
      </c>
      <c r="H2099" s="70" t="s">
        <v>178</v>
      </c>
      <c r="I2099" s="70" t="s">
        <v>204</v>
      </c>
      <c r="J2099" s="71">
        <f>IF(OR(I2099=0,I2099=""),"unrated",VLOOKUP(I2099,MappingTables!$B$19:$C$31,2,FALSE))</f>
        <v>6</v>
      </c>
      <c r="K2099" s="72">
        <v>382.0223419283764</v>
      </c>
      <c r="L2099" s="70">
        <v>0.068494033115960112</v>
      </c>
      <c r="M2099" s="71">
        <f>IF(L2099&lt;1,1,L2099)</f>
        <v>1</v>
      </c>
      <c r="N2099" s="70" t="s">
        <v>3288</v>
      </c>
      <c r="O2099" s="71">
        <f>IF(OR(I2099=$A$1,I2099=0),"",IF(N2099=MappingTables!$C$14,VLOOKUP(J2099,ModelParameters!$M$8:$N$15,2,FALSE),IF(N2099=MappingTables!$C$16,VLOOKUP(J2099,ModelParameters!$P$8:$Q$15,2,FALSE),0)))</f>
        <v>1</v>
      </c>
      <c r="P2099" s="73">
        <f>IF(OR(I2099=0,I2099=$A$1),0,MIN(O2099*M2099,1)*K2099)</f>
        <v>382.0223419283764</v>
      </c>
      <c r="Q2099" s="73">
        <f>IF(B2099="",0,IF(OR(H2099=MappingTables!$C$34,H2099=MappingTables!$C$35),P2099,0))</f>
        <v>0</v>
      </c>
      <c r="R2099" s="73">
        <f>IF(ISNA(IF(AND(VLOOKUP(CONCATENATE($D2099,$G2099),CSRFinput!$B:$E,4,0)=0,OR(H2099=MappingTables!$C$31,H2099=MappingTables!$C$32)),1,VLOOKUP(CONCATENATE($D2099,$G2099),CSRFinput!$B:$E,4,0))),0,IF(AND(VLOOKUP(CONCATENATE($D2099,$G2099),CSRFinput!$B:$E,4,0)=0,OR(H2099=MappingTables!$C$31,H2099=MappingTables!$C$32)),1,VLOOKUP(CONCATENATE($D2099,$G2099),CSRFinput!$B:$E,4,0)))</f>
        <v>0.054776304963434752</v>
      </c>
      <c r="S2099" s="73">
        <f>IF(B2099="",0,P2099*R2099)</f>
        <v>20.925772304314292</v>
      </c>
      <c r="T2099" s="85">
        <f>IF(B2099="",0,IF(OR(H2099=MappingTables!$C$34,H2099=MappingTables!$C$35),S2099,0))</f>
        <v>0</v>
      </c>
    </row>
    <row r="2100" spans="2:20" s="0" customFormat="0" ht="15">
      <c r="B2100" s="69">
        <v>1551608</v>
      </c>
      <c r="C2100" s="70" t="s">
        <v>5149</v>
      </c>
      <c r="D2100" s="70" t="s">
        <v>1</v>
      </c>
      <c r="E2100" s="70" t="s">
        <v>1</v>
      </c>
      <c r="F2100" s="70"/>
      <c r="G2100" s="70" t="s">
        <v>61</v>
      </c>
      <c r="H2100" s="70" t="s">
        <v>178</v>
      </c>
      <c r="I2100" s="70" t="s">
        <v>198</v>
      </c>
      <c r="J2100" s="71" t="str">
        <f>IF(OR(I2100=0,I2100=""),"unrated",VLOOKUP(I2100,MappingTables!$B$19:$C$31,2,FALSE))</f>
        <v>unrated</v>
      </c>
      <c r="K2100" s="72">
        <v>11.283466506524342</v>
      </c>
      <c r="L2100" s="70">
        <v>0.06849087601698528</v>
      </c>
      <c r="M2100" s="71">
        <f>IF(L2100&lt;1,1,L2100)</f>
        <v>1</v>
      </c>
      <c r="N2100" s="70" t="s">
        <v>3288</v>
      </c>
      <c r="O2100" s="71">
        <f>IF(OR(I2100=$A$1,I2100=0),"",IF(N2100=MappingTables!$C$14,VLOOKUP(J2100,ModelParameters!$M$8:$N$15,2,FALSE),IF(N2100=MappingTables!$C$16,VLOOKUP(J2100,ModelParameters!$P$8:$Q$15,2,FALSE),0)))</f>
        <v>1</v>
      </c>
      <c r="P2100" s="73">
        <f>IF(OR(I2100=0,I2100=$A$1),0,MIN(O2100*M2100,1)*K2100)</f>
        <v>11.283466506524342</v>
      </c>
      <c r="Q2100" s="73">
        <f>IF(B2100="",0,IF(OR(H2100=MappingTables!$C$34,H2100=MappingTables!$C$35),P2100,0))</f>
        <v>0</v>
      </c>
      <c r="R2100" s="73">
        <f>IF(ISNA(IF(AND(VLOOKUP(CONCATENATE($D2100,$G2100),CSRFinput!$B:$E,4,0)=0,OR(H2100=MappingTables!$C$31,H2100=MappingTables!$C$32)),1,VLOOKUP(CONCATENATE($D2100,$G2100),CSRFinput!$B:$E,4,0))),0,IF(AND(VLOOKUP(CONCATENATE($D2100,$G2100),CSRFinput!$B:$E,4,0)=0,OR(H2100=MappingTables!$C$31,H2100=MappingTables!$C$32)),1,VLOOKUP(CONCATENATE($D2100,$G2100),CSRFinput!$B:$E,4,0)))</f>
        <v>0.054776304963434752</v>
      </c>
      <c r="S2100" s="73">
        <f>IF(B2100="",0,P2100*R2100)</f>
        <v>0.61806660240607904</v>
      </c>
      <c r="T2100" s="85">
        <f>IF(B2100="",0,IF(OR(H2100=MappingTables!$C$34,H2100=MappingTables!$C$35),S2100,0))</f>
        <v>0</v>
      </c>
    </row>
    <row r="2101" spans="2:20" s="0" customFormat="0" ht="15">
      <c r="B2101" s="69">
        <v>16974055</v>
      </c>
      <c r="C2101" s="70" t="s">
        <v>5127</v>
      </c>
      <c r="D2101" s="70" t="s">
        <v>1</v>
      </c>
      <c r="E2101" s="70" t="s">
        <v>1</v>
      </c>
      <c r="F2101" s="70"/>
      <c r="G2101" s="70" t="s">
        <v>61</v>
      </c>
      <c r="H2101" s="70" t="s">
        <v>178</v>
      </c>
      <c r="I2101" s="70" t="s">
        <v>198</v>
      </c>
      <c r="J2101" s="71" t="str">
        <f>IF(OR(I2101=0,I2101=""),"unrated",VLOOKUP(I2101,MappingTables!$B$19:$C$31,2,FALSE))</f>
        <v>unrated</v>
      </c>
      <c r="K2101" s="72">
        <v>34.519310426972872</v>
      </c>
      <c r="L2101" s="70">
        <v>0.065062397004385792</v>
      </c>
      <c r="M2101" s="71">
        <f>IF(L2101&lt;1,1,L2101)</f>
        <v>1</v>
      </c>
      <c r="N2101" s="70" t="s">
        <v>3288</v>
      </c>
      <c r="O2101" s="71">
        <f>IF(OR(I2101=$A$1,I2101=0),"",IF(N2101=MappingTables!$C$14,VLOOKUP(J2101,ModelParameters!$M$8:$N$15,2,FALSE),IF(N2101=MappingTables!$C$16,VLOOKUP(J2101,ModelParameters!$P$8:$Q$15,2,FALSE),0)))</f>
        <v>1</v>
      </c>
      <c r="P2101" s="73">
        <f>IF(OR(I2101=0,I2101=$A$1),0,MIN(O2101*M2101,1)*K2101)</f>
        <v>34.519310426972872</v>
      </c>
      <c r="Q2101" s="73">
        <f>IF(B2101="",0,IF(OR(H2101=MappingTables!$C$34,H2101=MappingTables!$C$35),P2101,0))</f>
        <v>0</v>
      </c>
      <c r="R2101" s="73">
        <f>IF(ISNA(IF(AND(VLOOKUP(CONCATENATE($D2101,$G2101),CSRFinput!$B:$E,4,0)=0,OR(H2101=MappingTables!$C$31,H2101=MappingTables!$C$32)),1,VLOOKUP(CONCATENATE($D2101,$G2101),CSRFinput!$B:$E,4,0))),0,IF(AND(VLOOKUP(CONCATENATE($D2101,$G2101),CSRFinput!$B:$E,4,0)=0,OR(H2101=MappingTables!$C$31,H2101=MappingTables!$C$32)),1,VLOOKUP(CONCATENATE($D2101,$G2101),CSRFinput!$B:$E,4,0)))</f>
        <v>0.054776304963434752</v>
      </c>
      <c r="S2101" s="73">
        <f>IF(B2101="",0,P2101*R2101)</f>
        <v>1.8908402750753392</v>
      </c>
      <c r="T2101" s="85">
        <f>IF(B2101="",0,IF(OR(H2101=MappingTables!$C$34,H2101=MappingTables!$C$35),S2101,0))</f>
        <v>0</v>
      </c>
    </row>
    <row r="2102" spans="2:20" s="0" customFormat="0" ht="15">
      <c r="B2102" s="69" t="s">
        <v>3609</v>
      </c>
      <c r="C2102" s="70" t="s">
        <v>3610</v>
      </c>
      <c r="D2102" s="70" t="s">
        <v>1</v>
      </c>
      <c r="E2102" s="70" t="s">
        <v>1</v>
      </c>
      <c r="F2102" s="70"/>
      <c r="G2102" s="70" t="s">
        <v>61</v>
      </c>
      <c r="H2102" s="70" t="s">
        <v>178</v>
      </c>
      <c r="I2102" s="70" t="s">
        <v>179</v>
      </c>
      <c r="J2102" s="71">
        <f>IF(OR(I2102=0,I2102=""),"unrated",VLOOKUP(I2102,MappingTables!$B$19:$C$31,2,FALSE))</f>
        <v>4</v>
      </c>
      <c r="K2102" s="72">
        <v>20877.304572403428</v>
      </c>
      <c r="L2102" s="70">
        <v>5.4602468183771032</v>
      </c>
      <c r="M2102" s="71">
        <f>IF(L2102&lt;1,1,L2102)</f>
        <v>5.4602468183771032</v>
      </c>
      <c r="N2102" s="70" t="s">
        <v>3288</v>
      </c>
      <c r="O2102" s="71">
        <f>IF(OR(I2102=$A$1,I2102=0),"",IF(N2102=MappingTables!$C$14,VLOOKUP(J2102,ModelParameters!$M$8:$N$15,2,FALSE),IF(N2102=MappingTables!$C$16,VLOOKUP(J2102,ModelParameters!$P$8:$Q$15,2,FALSE),0)))</f>
        <v>0.82</v>
      </c>
      <c r="P2102" s="73">
        <f>IF(OR(I2102=0,I2102=$A$1),0,MIN(O2102*M2102,1)*K2102)</f>
        <v>20877.304572403428</v>
      </c>
      <c r="Q2102" s="73">
        <f>IF(B2102="",0,IF(OR(H2102=MappingTables!$C$34,H2102=MappingTables!$C$35),P2102,0))</f>
        <v>0</v>
      </c>
      <c r="R2102" s="73">
        <f>IF(ISNA(IF(AND(VLOOKUP(CONCATENATE($D2102,$G2102),CSRFinput!$B:$E,4,0)=0,OR(H2102=MappingTables!$C$31,H2102=MappingTables!$C$32)),1,VLOOKUP(CONCATENATE($D2102,$G2102),CSRFinput!$B:$E,4,0))),0,IF(AND(VLOOKUP(CONCATENATE($D2102,$G2102),CSRFinput!$B:$E,4,0)=0,OR(H2102=MappingTables!$C$31,H2102=MappingTables!$C$32)),1,VLOOKUP(CONCATENATE($D2102,$G2102),CSRFinput!$B:$E,4,0)))</f>
        <v>0.054776304963434752</v>
      </c>
      <c r="S2102" s="73">
        <f>IF(B2102="",0,P2102*R2102)</f>
        <v>1143.581602072481</v>
      </c>
      <c r="T2102" s="85">
        <f>IF(B2102="",0,IF(OR(H2102=MappingTables!$C$34,H2102=MappingTables!$C$35),S2102,0))</f>
        <v>0</v>
      </c>
    </row>
    <row r="2103" spans="2:20" s="0" customFormat="0" ht="15">
      <c r="B2103" s="69" t="s">
        <v>4546</v>
      </c>
      <c r="C2103" s="70" t="s">
        <v>4547</v>
      </c>
      <c r="D2103" s="70" t="s">
        <v>1</v>
      </c>
      <c r="E2103" s="70" t="s">
        <v>1</v>
      </c>
      <c r="F2103" s="70"/>
      <c r="G2103" s="70" t="s">
        <v>61</v>
      </c>
      <c r="H2103" s="70" t="s">
        <v>178</v>
      </c>
      <c r="I2103" s="70" t="s">
        <v>198</v>
      </c>
      <c r="J2103" s="71" t="str">
        <f>IF(OR(I2103=0,I2103=""),"unrated",VLOOKUP(I2103,MappingTables!$B$19:$C$31,2,FALSE))</f>
        <v>unrated</v>
      </c>
      <c r="K2103" s="72">
        <v>68.96837703282608</v>
      </c>
      <c r="L2103" s="70">
        <v>22.316143416225392</v>
      </c>
      <c r="M2103" s="71">
        <f>IF(L2103&lt;1,1,L2103)</f>
        <v>22.316143416225392</v>
      </c>
      <c r="N2103" s="70" t="s">
        <v>3288</v>
      </c>
      <c r="O2103" s="71">
        <f>IF(OR(I2103=$A$1,I2103=0),"",IF(N2103=MappingTables!$C$14,VLOOKUP(J2103,ModelParameters!$M$8:$N$15,2,FALSE),IF(N2103=MappingTables!$C$16,VLOOKUP(J2103,ModelParameters!$P$8:$Q$15,2,FALSE),0)))</f>
        <v>1</v>
      </c>
      <c r="P2103" s="73">
        <f>IF(OR(I2103=0,I2103=$A$1),0,MIN(O2103*M2103,1)*K2103)</f>
        <v>68.96837703282608</v>
      </c>
      <c r="Q2103" s="73">
        <f>IF(B2103="",0,IF(OR(H2103=MappingTables!$C$34,H2103=MappingTables!$C$35),P2103,0))</f>
        <v>0</v>
      </c>
      <c r="R2103" s="73">
        <f>IF(ISNA(IF(AND(VLOOKUP(CONCATENATE($D2103,$G2103),CSRFinput!$B:$E,4,0)=0,OR(H2103=MappingTables!$C$31,H2103=MappingTables!$C$32)),1,VLOOKUP(CONCATENATE($D2103,$G2103),CSRFinput!$B:$E,4,0))),0,IF(AND(VLOOKUP(CONCATENATE($D2103,$G2103),CSRFinput!$B:$E,4,0)=0,OR(H2103=MappingTables!$C$31,H2103=MappingTables!$C$32)),1,VLOOKUP(CONCATENATE($D2103,$G2103),CSRFinput!$B:$E,4,0)))</f>
        <v>0.054776304963434752</v>
      </c>
      <c r="S2103" s="73">
        <f>IF(B2103="",0,P2103*R2103)</f>
        <v>3.7778328531832312</v>
      </c>
      <c r="T2103" s="85">
        <f>IF(B2103="",0,IF(OR(H2103=MappingTables!$C$34,H2103=MappingTables!$C$35),S2103,0))</f>
        <v>0</v>
      </c>
    </row>
    <row r="2104" spans="2:20" s="0" customFormat="0" ht="15">
      <c r="B2104" s="69" t="s">
        <v>4383</v>
      </c>
      <c r="C2104" s="70" t="s">
        <v>4384</v>
      </c>
      <c r="D2104" s="70" t="s">
        <v>1</v>
      </c>
      <c r="E2104" s="70" t="s">
        <v>1</v>
      </c>
      <c r="F2104" s="70"/>
      <c r="G2104" s="70" t="s">
        <v>61</v>
      </c>
      <c r="H2104" s="70" t="s">
        <v>178</v>
      </c>
      <c r="I2104" s="70" t="s">
        <v>204</v>
      </c>
      <c r="J2104" s="71">
        <f>IF(OR(I2104=0,I2104=""),"unrated",VLOOKUP(I2104,MappingTables!$B$19:$C$31,2,FALSE))</f>
        <v>6</v>
      </c>
      <c r="K2104" s="72">
        <v>1469.7869370027672</v>
      </c>
      <c r="L2104" s="70">
        <v>-0.032823992696391968</v>
      </c>
      <c r="M2104" s="71">
        <f>IF(L2104&lt;1,1,L2104)</f>
        <v>1</v>
      </c>
      <c r="N2104" s="70" t="s">
        <v>3288</v>
      </c>
      <c r="O2104" s="71">
        <f>IF(OR(I2104=$A$1,I2104=0),"",IF(N2104=MappingTables!$C$14,VLOOKUP(J2104,ModelParameters!$M$8:$N$15,2,FALSE),IF(N2104=MappingTables!$C$16,VLOOKUP(J2104,ModelParameters!$P$8:$Q$15,2,FALSE),0)))</f>
        <v>1</v>
      </c>
      <c r="P2104" s="73">
        <f>IF(OR(I2104=0,I2104=$A$1),0,MIN(O2104*M2104,1)*K2104)</f>
        <v>1469.7869370027672</v>
      </c>
      <c r="Q2104" s="73">
        <f>IF(B2104="",0,IF(OR(H2104=MappingTables!$C$34,H2104=MappingTables!$C$35),P2104,0))</f>
        <v>0</v>
      </c>
      <c r="R2104" s="73">
        <f>IF(ISNA(IF(AND(VLOOKUP(CONCATENATE($D2104,$G2104),CSRFinput!$B:$E,4,0)=0,OR(H2104=MappingTables!$C$31,H2104=MappingTables!$C$32)),1,VLOOKUP(CONCATENATE($D2104,$G2104),CSRFinput!$B:$E,4,0))),0,IF(AND(VLOOKUP(CONCATENATE($D2104,$G2104),CSRFinput!$B:$E,4,0)=0,OR(H2104=MappingTables!$C$31,H2104=MappingTables!$C$32)),1,VLOOKUP(CONCATENATE($D2104,$G2104),CSRFinput!$B:$E,4,0)))</f>
        <v>0.054776304963434752</v>
      </c>
      <c r="S2104" s="73">
        <f>IF(B2104="",0,P2104*R2104)</f>
        <v>80.50949749253624</v>
      </c>
      <c r="T2104" s="85">
        <f>IF(B2104="",0,IF(OR(H2104=MappingTables!$C$34,H2104=MappingTables!$C$35),S2104,0))</f>
        <v>0</v>
      </c>
    </row>
    <row r="2105" spans="2:20" s="0" customFormat="0" ht="15">
      <c r="B2105" s="69" t="s">
        <v>4805</v>
      </c>
      <c r="C2105" s="70" t="s">
        <v>4806</v>
      </c>
      <c r="D2105" s="70" t="s">
        <v>1</v>
      </c>
      <c r="E2105" s="70" t="s">
        <v>1</v>
      </c>
      <c r="F2105" s="70"/>
      <c r="G2105" s="70" t="s">
        <v>61</v>
      </c>
      <c r="H2105" s="70" t="s">
        <v>178</v>
      </c>
      <c r="I2105" s="70" t="s">
        <v>204</v>
      </c>
      <c r="J2105" s="71">
        <f>IF(OR(I2105=0,I2105=""),"unrated",VLOOKUP(I2105,MappingTables!$B$19:$C$31,2,FALSE))</f>
        <v>6</v>
      </c>
      <c r="K2105" s="72">
        <v>55.09570467539252</v>
      </c>
      <c r="L2105" s="70">
        <v>0.06849332135011364</v>
      </c>
      <c r="M2105" s="71">
        <f>IF(L2105&lt;1,1,L2105)</f>
        <v>1</v>
      </c>
      <c r="N2105" s="70" t="s">
        <v>3288</v>
      </c>
      <c r="O2105" s="71">
        <f>IF(OR(I2105=$A$1,I2105=0),"",IF(N2105=MappingTables!$C$14,VLOOKUP(J2105,ModelParameters!$M$8:$N$15,2,FALSE),IF(N2105=MappingTables!$C$16,VLOOKUP(J2105,ModelParameters!$P$8:$Q$15,2,FALSE),0)))</f>
        <v>1</v>
      </c>
      <c r="P2105" s="73">
        <f>IF(OR(I2105=0,I2105=$A$1),0,MIN(O2105*M2105,1)*K2105)</f>
        <v>55.09570467539252</v>
      </c>
      <c r="Q2105" s="73">
        <f>IF(B2105="",0,IF(OR(H2105=MappingTables!$C$34,H2105=MappingTables!$C$35),P2105,0))</f>
        <v>0</v>
      </c>
      <c r="R2105" s="73">
        <f>IF(ISNA(IF(AND(VLOOKUP(CONCATENATE($D2105,$G2105),CSRFinput!$B:$E,4,0)=0,OR(H2105=MappingTables!$C$31,H2105=MappingTables!$C$32)),1,VLOOKUP(CONCATENATE($D2105,$G2105),CSRFinput!$B:$E,4,0))),0,IF(AND(VLOOKUP(CONCATENATE($D2105,$G2105),CSRFinput!$B:$E,4,0)=0,OR(H2105=MappingTables!$C$31,H2105=MappingTables!$C$32)),1,VLOOKUP(CONCATENATE($D2105,$G2105),CSRFinput!$B:$E,4,0)))</f>
        <v>0.054776304963434752</v>
      </c>
      <c r="S2105" s="73">
        <f>IF(B2105="",0,P2105*R2105)</f>
        <v>3.0179391214746384</v>
      </c>
      <c r="T2105" s="85">
        <f>IF(B2105="",0,IF(OR(H2105=MappingTables!$C$34,H2105=MappingTables!$C$35),S2105,0))</f>
        <v>0</v>
      </c>
    </row>
    <row r="2106" spans="2:20" s="0" customFormat="0" ht="15">
      <c r="B2106" s="69">
        <v>1551421</v>
      </c>
      <c r="C2106" s="70" t="s">
        <v>4981</v>
      </c>
      <c r="D2106" s="70" t="s">
        <v>1</v>
      </c>
      <c r="E2106" s="70" t="s">
        <v>1</v>
      </c>
      <c r="F2106" s="70"/>
      <c r="G2106" s="70" t="s">
        <v>61</v>
      </c>
      <c r="H2106" s="70" t="s">
        <v>178</v>
      </c>
      <c r="I2106" s="70" t="s">
        <v>3298</v>
      </c>
      <c r="J2106" s="71">
        <f>IF(OR(I2106=0,I2106=""),"unrated",VLOOKUP(I2106,MappingTables!$B$19:$C$31,2,FALSE))</f>
        <v>6</v>
      </c>
      <c r="K2106" s="72">
        <v>32.270724138026508</v>
      </c>
      <c r="L2106" s="70">
        <v>-0.24992127768337492</v>
      </c>
      <c r="M2106" s="71">
        <f>IF(L2106&lt;1,1,L2106)</f>
        <v>1</v>
      </c>
      <c r="N2106" s="70" t="s">
        <v>3288</v>
      </c>
      <c r="O2106" s="71">
        <f>IF(OR(I2106=$A$1,I2106=0),"",IF(N2106=MappingTables!$C$14,VLOOKUP(J2106,ModelParameters!$M$8:$N$15,2,FALSE),IF(N2106=MappingTables!$C$16,VLOOKUP(J2106,ModelParameters!$P$8:$Q$15,2,FALSE),0)))</f>
        <v>1</v>
      </c>
      <c r="P2106" s="73">
        <f>IF(OR(I2106=0,I2106=$A$1),0,MIN(O2106*M2106,1)*K2106)</f>
        <v>32.270724138026508</v>
      </c>
      <c r="Q2106" s="73">
        <f>IF(B2106="",0,IF(OR(H2106=MappingTables!$C$34,H2106=MappingTables!$C$35),P2106,0))</f>
        <v>0</v>
      </c>
      <c r="R2106" s="73">
        <f>IF(ISNA(IF(AND(VLOOKUP(CONCATENATE($D2106,$G2106),CSRFinput!$B:$E,4,0)=0,OR(H2106=MappingTables!$C$31,H2106=MappingTables!$C$32)),1,VLOOKUP(CONCATENATE($D2106,$G2106),CSRFinput!$B:$E,4,0))),0,IF(AND(VLOOKUP(CONCATENATE($D2106,$G2106),CSRFinput!$B:$E,4,0)=0,OR(H2106=MappingTables!$C$31,H2106=MappingTables!$C$32)),1,VLOOKUP(CONCATENATE($D2106,$G2106),CSRFinput!$B:$E,4,0)))</f>
        <v>0.054776304963434752</v>
      </c>
      <c r="S2106" s="73">
        <f>IF(B2106="",0,P2106*R2106)</f>
        <v>1.7676710267754152</v>
      </c>
      <c r="T2106" s="85">
        <f>IF(B2106="",0,IF(OR(H2106=MappingTables!$C$34,H2106=MappingTables!$C$35),S2106,0))</f>
        <v>0</v>
      </c>
    </row>
    <row r="2107" spans="2:20" s="0" customFormat="0" ht="15">
      <c r="B2107" s="69" t="s">
        <v>5228</v>
      </c>
      <c r="C2107" s="70" t="s">
        <v>5229</v>
      </c>
      <c r="D2107" s="70" t="s">
        <v>1</v>
      </c>
      <c r="E2107" s="70" t="s">
        <v>1</v>
      </c>
      <c r="F2107" s="70"/>
      <c r="G2107" s="70" t="s">
        <v>61</v>
      </c>
      <c r="H2107" s="70" t="s">
        <v>178</v>
      </c>
      <c r="I2107" s="70" t="s">
        <v>198</v>
      </c>
      <c r="J2107" s="71" t="str">
        <f>IF(OR(I2107=0,I2107=""),"unrated",VLOOKUP(I2107,MappingTables!$B$19:$C$31,2,FALSE))</f>
        <v>unrated</v>
      </c>
      <c r="K2107" s="72">
        <v>1.6465838705643996</v>
      </c>
      <c r="L2107" s="70">
        <v>0.068490452289549168</v>
      </c>
      <c r="M2107" s="71">
        <f>IF(L2107&lt;1,1,L2107)</f>
        <v>1</v>
      </c>
      <c r="N2107" s="70" t="s">
        <v>3288</v>
      </c>
      <c r="O2107" s="71">
        <f>IF(OR(I2107=$A$1,I2107=0),"",IF(N2107=MappingTables!$C$14,VLOOKUP(J2107,ModelParameters!$M$8:$N$15,2,FALSE),IF(N2107=MappingTables!$C$16,VLOOKUP(J2107,ModelParameters!$P$8:$Q$15,2,FALSE),0)))</f>
        <v>1</v>
      </c>
      <c r="P2107" s="73">
        <f>IF(OR(I2107=0,I2107=$A$1),0,MIN(O2107*M2107,1)*K2107)</f>
        <v>1.6465838705643996</v>
      </c>
      <c r="Q2107" s="73">
        <f>IF(B2107="",0,IF(OR(H2107=MappingTables!$C$34,H2107=MappingTables!$C$35),P2107,0))</f>
        <v>0</v>
      </c>
      <c r="R2107" s="73">
        <f>IF(ISNA(IF(AND(VLOOKUP(CONCATENATE($D2107,$G2107),CSRFinput!$B:$E,4,0)=0,OR(H2107=MappingTables!$C$31,H2107=MappingTables!$C$32)),1,VLOOKUP(CONCATENATE($D2107,$G2107),CSRFinput!$B:$E,4,0))),0,IF(AND(VLOOKUP(CONCATENATE($D2107,$G2107),CSRFinput!$B:$E,4,0)=0,OR(H2107=MappingTables!$C$31,H2107=MappingTables!$C$32)),1,VLOOKUP(CONCATENATE($D2107,$G2107),CSRFinput!$B:$E,4,0)))</f>
        <v>0.054776304963434752</v>
      </c>
      <c r="S2107" s="73">
        <f>IF(B2107="",0,P2107*R2107)</f>
        <v>0.09019378024190832</v>
      </c>
      <c r="T2107" s="85">
        <f>IF(B2107="",0,IF(OR(H2107=MappingTables!$C$34,H2107=MappingTables!$C$35),S2107,0))</f>
        <v>0</v>
      </c>
    </row>
    <row r="2108" spans="2:20" s="0" customFormat="0" ht="15">
      <c r="B2108" s="69" t="s">
        <v>4743</v>
      </c>
      <c r="C2108" s="70" t="s">
        <v>4744</v>
      </c>
      <c r="D2108" s="70" t="s">
        <v>1</v>
      </c>
      <c r="E2108" s="70" t="s">
        <v>1</v>
      </c>
      <c r="F2108" s="70"/>
      <c r="G2108" s="70" t="s">
        <v>61</v>
      </c>
      <c r="H2108" s="70" t="s">
        <v>178</v>
      </c>
      <c r="I2108" s="70" t="s">
        <v>198</v>
      </c>
      <c r="J2108" s="71" t="str">
        <f>IF(OR(I2108=0,I2108=""),"unrated",VLOOKUP(I2108,MappingTables!$B$19:$C$31,2,FALSE))</f>
        <v>unrated</v>
      </c>
      <c r="K2108" s="72">
        <v>1.6591932992415178</v>
      </c>
      <c r="L2108" s="70">
        <v>46.549456459666456</v>
      </c>
      <c r="M2108" s="71">
        <f>IF(L2108&lt;1,1,L2108)</f>
        <v>46.549456459666456</v>
      </c>
      <c r="N2108" s="70" t="s">
        <v>3288</v>
      </c>
      <c r="O2108" s="71">
        <f>IF(OR(I2108=$A$1,I2108=0),"",IF(N2108=MappingTables!$C$14,VLOOKUP(J2108,ModelParameters!$M$8:$N$15,2,FALSE),IF(N2108=MappingTables!$C$16,VLOOKUP(J2108,ModelParameters!$P$8:$Q$15,2,FALSE),0)))</f>
        <v>1</v>
      </c>
      <c r="P2108" s="73">
        <f>IF(OR(I2108=0,I2108=$A$1),0,MIN(O2108*M2108,1)*K2108)</f>
        <v>1.6591932992415178</v>
      </c>
      <c r="Q2108" s="73">
        <f>IF(B2108="",0,IF(OR(H2108=MappingTables!$C$34,H2108=MappingTables!$C$35),P2108,0))</f>
        <v>0</v>
      </c>
      <c r="R2108" s="73">
        <f>IF(ISNA(IF(AND(VLOOKUP(CONCATENATE($D2108,$G2108),CSRFinput!$B:$E,4,0)=0,OR(H2108=MappingTables!$C$31,H2108=MappingTables!$C$32)),1,VLOOKUP(CONCATENATE($D2108,$G2108),CSRFinput!$B:$E,4,0))),0,IF(AND(VLOOKUP(CONCATENATE($D2108,$G2108),CSRFinput!$B:$E,4,0)=0,OR(H2108=MappingTables!$C$31,H2108=MappingTables!$C$32)),1,VLOOKUP(CONCATENATE($D2108,$G2108),CSRFinput!$B:$E,4,0)))</f>
        <v>0.054776304963434752</v>
      </c>
      <c r="S2108" s="73">
        <f>IF(B2108="",0,P2108*R2108)</f>
        <v>0.090884478152540832</v>
      </c>
      <c r="T2108" s="85">
        <f>IF(B2108="",0,IF(OR(H2108=MappingTables!$C$34,H2108=MappingTables!$C$35),S2108,0))</f>
        <v>0</v>
      </c>
    </row>
    <row r="2109" spans="2:20" s="0" customFormat="0" ht="15">
      <c r="B2109" s="69" t="s">
        <v>3660</v>
      </c>
      <c r="C2109" s="70" t="s">
        <v>3661</v>
      </c>
      <c r="D2109" s="70" t="s">
        <v>1</v>
      </c>
      <c r="E2109" s="70" t="s">
        <v>1</v>
      </c>
      <c r="F2109" s="70"/>
      <c r="G2109" s="70" t="s">
        <v>61</v>
      </c>
      <c r="H2109" s="70" t="s">
        <v>178</v>
      </c>
      <c r="I2109" s="70" t="s">
        <v>198</v>
      </c>
      <c r="J2109" s="71" t="str">
        <f>IF(OR(I2109=0,I2109=""),"unrated",VLOOKUP(I2109,MappingTables!$B$19:$C$31,2,FALSE))</f>
        <v>unrated</v>
      </c>
      <c r="K2109" s="72">
        <v>882.94144804822624</v>
      </c>
      <c r="L2109" s="70">
        <v>30.319369310214828</v>
      </c>
      <c r="M2109" s="71">
        <f>IF(L2109&lt;1,1,L2109)</f>
        <v>30.319369310214828</v>
      </c>
      <c r="N2109" s="70" t="s">
        <v>3288</v>
      </c>
      <c r="O2109" s="71">
        <f>IF(OR(I2109=$A$1,I2109=0),"",IF(N2109=MappingTables!$C$14,VLOOKUP(J2109,ModelParameters!$M$8:$N$15,2,FALSE),IF(N2109=MappingTables!$C$16,VLOOKUP(J2109,ModelParameters!$P$8:$Q$15,2,FALSE),0)))</f>
        <v>1</v>
      </c>
      <c r="P2109" s="73">
        <f>IF(OR(I2109=0,I2109=$A$1),0,MIN(O2109*M2109,1)*K2109)</f>
        <v>882.94144804822624</v>
      </c>
      <c r="Q2109" s="73">
        <f>IF(B2109="",0,IF(OR(H2109=MappingTables!$C$34,H2109=MappingTables!$C$35),P2109,0))</f>
        <v>0</v>
      </c>
      <c r="R2109" s="73">
        <f>IF(ISNA(IF(AND(VLOOKUP(CONCATENATE($D2109,$G2109),CSRFinput!$B:$E,4,0)=0,OR(H2109=MappingTables!$C$31,H2109=MappingTables!$C$32)),1,VLOOKUP(CONCATENATE($D2109,$G2109),CSRFinput!$B:$E,4,0))),0,IF(AND(VLOOKUP(CONCATENATE($D2109,$G2109),CSRFinput!$B:$E,4,0)=0,OR(H2109=MappingTables!$C$31,H2109=MappingTables!$C$32)),1,VLOOKUP(CONCATENATE($D2109,$G2109),CSRFinput!$B:$E,4,0)))</f>
        <v>0.054776304963434752</v>
      </c>
      <c r="S2109" s="73">
        <f>IF(B2109="",0,P2109*R2109)</f>
        <v>48.364270023146328</v>
      </c>
      <c r="T2109" s="85">
        <f>IF(B2109="",0,IF(OR(H2109=MappingTables!$C$34,H2109=MappingTables!$C$35),S2109,0))</f>
        <v>0</v>
      </c>
    </row>
    <row r="2110" spans="2:20" s="0" customFormat="0" ht="15">
      <c r="B2110" s="69">
        <v>22623679</v>
      </c>
      <c r="C2110" s="70" t="s">
        <v>3967</v>
      </c>
      <c r="D2110" s="70" t="s">
        <v>1</v>
      </c>
      <c r="E2110" s="70" t="s">
        <v>1</v>
      </c>
      <c r="F2110" s="70"/>
      <c r="G2110" s="70" t="s">
        <v>61</v>
      </c>
      <c r="H2110" s="70" t="s">
        <v>178</v>
      </c>
      <c r="I2110" s="70" t="s">
        <v>3291</v>
      </c>
      <c r="J2110" s="71">
        <f>IF(OR(I2110=0,I2110=""),"unrated",VLOOKUP(I2110,MappingTables!$B$19:$C$31,2,FALSE))</f>
        <v>6</v>
      </c>
      <c r="K2110" s="72">
        <v>484.71581126246024</v>
      </c>
      <c r="L2110" s="70">
        <v>0.0030944658745304148</v>
      </c>
      <c r="M2110" s="71">
        <f>IF(L2110&lt;1,1,L2110)</f>
        <v>1</v>
      </c>
      <c r="N2110" s="70" t="s">
        <v>3288</v>
      </c>
      <c r="O2110" s="71">
        <f>IF(OR(I2110=$A$1,I2110=0),"",IF(N2110=MappingTables!$C$14,VLOOKUP(J2110,ModelParameters!$M$8:$N$15,2,FALSE),IF(N2110=MappingTables!$C$16,VLOOKUP(J2110,ModelParameters!$P$8:$Q$15,2,FALSE),0)))</f>
        <v>1</v>
      </c>
      <c r="P2110" s="73">
        <f>IF(OR(I2110=0,I2110=$A$1),0,MIN(O2110*M2110,1)*K2110)</f>
        <v>484.71581126246024</v>
      </c>
      <c r="Q2110" s="73">
        <f>IF(B2110="",0,IF(OR(H2110=MappingTables!$C$34,H2110=MappingTables!$C$35),P2110,0))</f>
        <v>0</v>
      </c>
      <c r="R2110" s="73">
        <f>IF(ISNA(IF(AND(VLOOKUP(CONCATENATE($D2110,$G2110),CSRFinput!$B:$E,4,0)=0,OR(H2110=MappingTables!$C$31,H2110=MappingTables!$C$32)),1,VLOOKUP(CONCATENATE($D2110,$G2110),CSRFinput!$B:$E,4,0))),0,IF(AND(VLOOKUP(CONCATENATE($D2110,$G2110),CSRFinput!$B:$E,4,0)=0,OR(H2110=MappingTables!$C$31,H2110=MappingTables!$C$32)),1,VLOOKUP(CONCATENATE($D2110,$G2110),CSRFinput!$B:$E,4,0)))</f>
        <v>0.054776304963434752</v>
      </c>
      <c r="S2110" s="73">
        <f>IF(B2110="",0,P2110*R2110)</f>
        <v>26.550941098311208</v>
      </c>
      <c r="T2110" s="85">
        <f>IF(B2110="",0,IF(OR(H2110=MappingTables!$C$34,H2110=MappingTables!$C$35),S2110,0))</f>
        <v>0</v>
      </c>
    </row>
    <row r="2111" spans="2:20" s="0" customFormat="0" ht="15">
      <c r="B2111" s="69" t="s">
        <v>5080</v>
      </c>
      <c r="C2111" s="70" t="s">
        <v>5081</v>
      </c>
      <c r="D2111" s="70" t="s">
        <v>1</v>
      </c>
      <c r="E2111" s="70" t="s">
        <v>1</v>
      </c>
      <c r="F2111" s="70"/>
      <c r="G2111" s="70" t="s">
        <v>61</v>
      </c>
      <c r="H2111" s="70" t="s">
        <v>178</v>
      </c>
      <c r="I2111" s="70" t="s">
        <v>188</v>
      </c>
      <c r="J2111" s="71">
        <f>IF(OR(I2111=0,I2111=""),"unrated",VLOOKUP(I2111,MappingTables!$B$19:$C$31,2,FALSE))</f>
        <v>2</v>
      </c>
      <c r="K2111" s="72">
        <v>17.531282733163664</v>
      </c>
      <c r="L2111" s="70">
        <v>0.06849280497915988</v>
      </c>
      <c r="M2111" s="71">
        <f>IF(L2111&lt;1,1,L2111)</f>
        <v>1</v>
      </c>
      <c r="N2111" s="70" t="s">
        <v>3288</v>
      </c>
      <c r="O2111" s="71">
        <f>IF(OR(I2111=$A$1,I2111=0),"",IF(N2111=MappingTables!$C$14,VLOOKUP(J2111,ModelParameters!$M$8:$N$15,2,FALSE),IF(N2111=MappingTables!$C$16,VLOOKUP(J2111,ModelParameters!$P$8:$Q$15,2,FALSE),0)))</f>
        <v>0.166</v>
      </c>
      <c r="P2111" s="73">
        <f>IF(OR(I2111=0,I2111=$A$1),0,MIN(O2111*M2111,1)*K2111)</f>
        <v>2.910192933705168</v>
      </c>
      <c r="Q2111" s="73">
        <f>IF(B2111="",0,IF(OR(H2111=MappingTables!$C$34,H2111=MappingTables!$C$35),P2111,0))</f>
        <v>0</v>
      </c>
      <c r="R2111" s="73">
        <f>IF(ISNA(IF(AND(VLOOKUP(CONCATENATE($D2111,$G2111),CSRFinput!$B:$E,4,0)=0,OR(H2111=MappingTables!$C$31,H2111=MappingTables!$C$32)),1,VLOOKUP(CONCATENATE($D2111,$G2111),CSRFinput!$B:$E,4,0))),0,IF(AND(VLOOKUP(CONCATENATE($D2111,$G2111),CSRFinput!$B:$E,4,0)=0,OR(H2111=MappingTables!$C$31,H2111=MappingTables!$C$32)),1,VLOOKUP(CONCATENATE($D2111,$G2111),CSRFinput!$B:$E,4,0)))</f>
        <v>0.054776304963434752</v>
      </c>
      <c r="S2111" s="73">
        <f>IF(B2111="",0,P2111*R2111)</f>
        <v>0.15940961563906714</v>
      </c>
      <c r="T2111" s="85">
        <f>IF(B2111="",0,IF(OR(H2111=MappingTables!$C$34,H2111=MappingTables!$C$35),S2111,0))</f>
        <v>0</v>
      </c>
    </row>
    <row r="2112" spans="2:20" s="0" customFormat="0" ht="15">
      <c r="B2112" s="69">
        <v>12573239</v>
      </c>
      <c r="C2112" s="70" t="s">
        <v>5230</v>
      </c>
      <c r="D2112" s="70" t="s">
        <v>1</v>
      </c>
      <c r="E2112" s="70" t="s">
        <v>1</v>
      </c>
      <c r="F2112" s="70"/>
      <c r="G2112" s="70" t="s">
        <v>61</v>
      </c>
      <c r="H2112" s="70" t="s">
        <v>178</v>
      </c>
      <c r="I2112" s="70" t="s">
        <v>216</v>
      </c>
      <c r="J2112" s="71">
        <f>IF(OR(I2112=0,I2112=""),"unrated",VLOOKUP(I2112,MappingTables!$B$19:$C$31,2,FALSE))</f>
        <v>0</v>
      </c>
      <c r="K2112" s="72">
        <v>165.3414148265581</v>
      </c>
      <c r="L2112" s="70">
        <v>0.22088781222181624</v>
      </c>
      <c r="M2112" s="71">
        <f>IF(L2112&lt;1,1,L2112)</f>
        <v>1</v>
      </c>
      <c r="N2112" s="70" t="s">
        <v>3288</v>
      </c>
      <c r="O2112" s="71">
        <f>IF(OR(I2112=$A$1,I2112=0),"",IF(N2112=MappingTables!$C$14,VLOOKUP(J2112,ModelParameters!$M$8:$N$15,2,FALSE),IF(N2112=MappingTables!$C$16,VLOOKUP(J2112,ModelParameters!$P$8:$Q$15,2,FALSE),0)))</f>
        <v>0.125</v>
      </c>
      <c r="P2112" s="73">
        <f>IF(OR(I2112=0,I2112=$A$1),0,MIN(O2112*M2112,1)*K2112)</f>
        <v>20.66767685331976</v>
      </c>
      <c r="Q2112" s="73">
        <f>IF(B2112="",0,IF(OR(H2112=MappingTables!$C$34,H2112=MappingTables!$C$35),P2112,0))</f>
        <v>0</v>
      </c>
      <c r="R2112" s="73">
        <f>IF(ISNA(IF(AND(VLOOKUP(CONCATENATE($D2112,$G2112),CSRFinput!$B:$E,4,0)=0,OR(H2112=MappingTables!$C$31,H2112=MappingTables!$C$32)),1,VLOOKUP(CONCATENATE($D2112,$G2112),CSRFinput!$B:$E,4,0))),0,IF(AND(VLOOKUP(CONCATENATE($D2112,$G2112),CSRFinput!$B:$E,4,0)=0,OR(H2112=MappingTables!$C$31,H2112=MappingTables!$C$32)),1,VLOOKUP(CONCATENATE($D2112,$G2112),CSRFinput!$B:$E,4,0)))</f>
        <v>0.054776304963434752</v>
      </c>
      <c r="S2112" s="73">
        <f>IF(B2112="",0,P2112*R2112)</f>
        <v>1.1320989702031648</v>
      </c>
      <c r="T2112" s="85">
        <f>IF(B2112="",0,IF(OR(H2112=MappingTables!$C$34,H2112=MappingTables!$C$35),S2112,0))</f>
        <v>0</v>
      </c>
    </row>
    <row r="2113" spans="2:20" s="0" customFormat="0" ht="15">
      <c r="B2113" s="69" t="s">
        <v>5067</v>
      </c>
      <c r="C2113" s="70" t="s">
        <v>5068</v>
      </c>
      <c r="D2113" s="70" t="s">
        <v>1</v>
      </c>
      <c r="E2113" s="70" t="s">
        <v>1</v>
      </c>
      <c r="F2113" s="70"/>
      <c r="G2113" s="70" t="s">
        <v>61</v>
      </c>
      <c r="H2113" s="70" t="s">
        <v>178</v>
      </c>
      <c r="I2113" s="70" t="s">
        <v>198</v>
      </c>
      <c r="J2113" s="71" t="str">
        <f>IF(OR(I2113=0,I2113=""),"unrated",VLOOKUP(I2113,MappingTables!$B$19:$C$31,2,FALSE))</f>
        <v>unrated</v>
      </c>
      <c r="K2113" s="72">
        <v>78.48734930118496</v>
      </c>
      <c r="L2113" s="70">
        <v>0.068494817577711016</v>
      </c>
      <c r="M2113" s="71">
        <f>IF(L2113&lt;1,1,L2113)</f>
        <v>1</v>
      </c>
      <c r="N2113" s="70" t="s">
        <v>3288</v>
      </c>
      <c r="O2113" s="71">
        <f>IF(OR(I2113=$A$1,I2113=0),"",IF(N2113=MappingTables!$C$14,VLOOKUP(J2113,ModelParameters!$M$8:$N$15,2,FALSE),IF(N2113=MappingTables!$C$16,VLOOKUP(J2113,ModelParameters!$P$8:$Q$15,2,FALSE),0)))</f>
        <v>1</v>
      </c>
      <c r="P2113" s="73">
        <f>IF(OR(I2113=0,I2113=$A$1),0,MIN(O2113*M2113,1)*K2113)</f>
        <v>78.48734930118496</v>
      </c>
      <c r="Q2113" s="73">
        <f>IF(B2113="",0,IF(OR(H2113=MappingTables!$C$34,H2113=MappingTables!$C$35),P2113,0))</f>
        <v>0</v>
      </c>
      <c r="R2113" s="73">
        <f>IF(ISNA(IF(AND(VLOOKUP(CONCATENATE($D2113,$G2113),CSRFinput!$B:$E,4,0)=0,OR(H2113=MappingTables!$C$31,H2113=MappingTables!$C$32)),1,VLOOKUP(CONCATENATE($D2113,$G2113),CSRFinput!$B:$E,4,0))),0,IF(AND(VLOOKUP(CONCATENATE($D2113,$G2113),CSRFinput!$B:$E,4,0)=0,OR(H2113=MappingTables!$C$31,H2113=MappingTables!$C$32)),1,VLOOKUP(CONCATENATE($D2113,$G2113),CSRFinput!$B:$E,4,0)))</f>
        <v>0.054776304963434752</v>
      </c>
      <c r="S2113" s="73">
        <f>IF(B2113="",0,P2113*R2113)</f>
        <v>4.2992469810933344</v>
      </c>
      <c r="T2113" s="85">
        <f>IF(B2113="",0,IF(OR(H2113=MappingTables!$C$34,H2113=MappingTables!$C$35),S2113,0))</f>
        <v>0</v>
      </c>
    </row>
    <row r="2114" spans="2:20" s="0" customFormat="0" ht="15">
      <c r="B2114" s="69" t="s">
        <v>3855</v>
      </c>
      <c r="C2114" s="70" t="s">
        <v>3856</v>
      </c>
      <c r="D2114" s="70" t="s">
        <v>1</v>
      </c>
      <c r="E2114" s="70" t="s">
        <v>1</v>
      </c>
      <c r="F2114" s="70"/>
      <c r="G2114" s="70" t="s">
        <v>61</v>
      </c>
      <c r="H2114" s="70" t="s">
        <v>178</v>
      </c>
      <c r="I2114" s="70" t="s">
        <v>198</v>
      </c>
      <c r="J2114" s="71" t="str">
        <f>IF(OR(I2114=0,I2114=""),"unrated",VLOOKUP(I2114,MappingTables!$B$19:$C$31,2,FALSE))</f>
        <v>unrated</v>
      </c>
      <c r="K2114" s="72">
        <v>1.5169943057785872</v>
      </c>
      <c r="L2114" s="70">
        <v>6.6939030559846776</v>
      </c>
      <c r="M2114" s="71">
        <f>IF(L2114&lt;1,1,L2114)</f>
        <v>6.6939030559846776</v>
      </c>
      <c r="N2114" s="70" t="s">
        <v>3288</v>
      </c>
      <c r="O2114" s="71">
        <f>IF(OR(I2114=$A$1,I2114=0),"",IF(N2114=MappingTables!$C$14,VLOOKUP(J2114,ModelParameters!$M$8:$N$15,2,FALSE),IF(N2114=MappingTables!$C$16,VLOOKUP(J2114,ModelParameters!$P$8:$Q$15,2,FALSE),0)))</f>
        <v>1</v>
      </c>
      <c r="P2114" s="73">
        <f>IF(OR(I2114=0,I2114=$A$1),0,MIN(O2114*M2114,1)*K2114)</f>
        <v>1.5169943057785872</v>
      </c>
      <c r="Q2114" s="73">
        <f>IF(B2114="",0,IF(OR(H2114=MappingTables!$C$34,H2114=MappingTables!$C$35),P2114,0))</f>
        <v>0</v>
      </c>
      <c r="R2114" s="73">
        <f>IF(ISNA(IF(AND(VLOOKUP(CONCATENATE($D2114,$G2114),CSRFinput!$B:$E,4,0)=0,OR(H2114=MappingTables!$C$31,H2114=MappingTables!$C$32)),1,VLOOKUP(CONCATENATE($D2114,$G2114),CSRFinput!$B:$E,4,0))),0,IF(AND(VLOOKUP(CONCATENATE($D2114,$G2114),CSRFinput!$B:$E,4,0)=0,OR(H2114=MappingTables!$C$31,H2114=MappingTables!$C$32)),1,VLOOKUP(CONCATENATE($D2114,$G2114),CSRFinput!$B:$E,4,0)))</f>
        <v>0.054776304963434752</v>
      </c>
      <c r="S2114" s="73">
        <f>IF(B2114="",0,P2114*R2114)</f>
        <v>0.083095342721121888</v>
      </c>
      <c r="T2114" s="85">
        <f>IF(B2114="",0,IF(OR(H2114=MappingTables!$C$34,H2114=MappingTables!$C$35),S2114,0))</f>
        <v>0</v>
      </c>
    </row>
    <row r="2115" spans="2:20" s="0" customFormat="0" ht="15">
      <c r="B2115" s="69">
        <v>22554490</v>
      </c>
      <c r="C2115" s="70" t="s">
        <v>5070</v>
      </c>
      <c r="D2115" s="70" t="s">
        <v>1</v>
      </c>
      <c r="E2115" s="70" t="s">
        <v>1</v>
      </c>
      <c r="F2115" s="70"/>
      <c r="G2115" s="70" t="s">
        <v>61</v>
      </c>
      <c r="H2115" s="70" t="s">
        <v>178</v>
      </c>
      <c r="I2115" s="70" t="s">
        <v>184</v>
      </c>
      <c r="J2115" s="71">
        <f>IF(OR(I2115=0,I2115=""),"unrated",VLOOKUP(I2115,MappingTables!$B$19:$C$31,2,FALSE))</f>
        <v>5</v>
      </c>
      <c r="K2115" s="72">
        <v>183.79487624986092</v>
      </c>
      <c r="L2115" s="70">
        <v>0.068492596435844848</v>
      </c>
      <c r="M2115" s="71">
        <f>IF(L2115&lt;1,1,L2115)</f>
        <v>1</v>
      </c>
      <c r="N2115" s="70" t="s">
        <v>3288</v>
      </c>
      <c r="O2115" s="71">
        <f>IF(OR(I2115=$A$1,I2115=0),"",IF(N2115=MappingTables!$C$14,VLOOKUP(J2115,ModelParameters!$M$8:$N$15,2,FALSE),IF(N2115=MappingTables!$C$16,VLOOKUP(J2115,ModelParameters!$P$8:$Q$15,2,FALSE),0)))</f>
        <v>1</v>
      </c>
      <c r="P2115" s="73">
        <f>IF(OR(I2115=0,I2115=$A$1),0,MIN(O2115*M2115,1)*K2115)</f>
        <v>183.79487624986092</v>
      </c>
      <c r="Q2115" s="73">
        <f>IF(B2115="",0,IF(OR(H2115=MappingTables!$C$34,H2115=MappingTables!$C$35),P2115,0))</f>
        <v>0</v>
      </c>
      <c r="R2115" s="73">
        <f>IF(ISNA(IF(AND(VLOOKUP(CONCATENATE($D2115,$G2115),CSRFinput!$B:$E,4,0)=0,OR(H2115=MappingTables!$C$31,H2115=MappingTables!$C$32)),1,VLOOKUP(CONCATENATE($D2115,$G2115),CSRFinput!$B:$E,4,0))),0,IF(AND(VLOOKUP(CONCATENATE($D2115,$G2115),CSRFinput!$B:$E,4,0)=0,OR(H2115=MappingTables!$C$31,H2115=MappingTables!$C$32)),1,VLOOKUP(CONCATENATE($D2115,$G2115),CSRFinput!$B:$E,4,0)))</f>
        <v>0.054776304963434752</v>
      </c>
      <c r="S2115" s="73">
        <f>IF(B2115="",0,P2115*R2115)</f>
        <v>10.067604192179132</v>
      </c>
      <c r="T2115" s="85">
        <f>IF(B2115="",0,IF(OR(H2115=MappingTables!$C$34,H2115=MappingTables!$C$35),S2115,0))</f>
        <v>0</v>
      </c>
    </row>
    <row r="2116" spans="2:20" s="0" customFormat="0" ht="15">
      <c r="B2116" s="69" t="s">
        <v>4663</v>
      </c>
      <c r="C2116" s="70" t="s">
        <v>4664</v>
      </c>
      <c r="D2116" s="70" t="s">
        <v>1</v>
      </c>
      <c r="E2116" s="70" t="s">
        <v>1</v>
      </c>
      <c r="F2116" s="70"/>
      <c r="G2116" s="70" t="s">
        <v>61</v>
      </c>
      <c r="H2116" s="70" t="s">
        <v>178</v>
      </c>
      <c r="I2116" s="70" t="s">
        <v>198</v>
      </c>
      <c r="J2116" s="71" t="str">
        <f>IF(OR(I2116=0,I2116=""),"unrated",VLOOKUP(I2116,MappingTables!$B$19:$C$31,2,FALSE))</f>
        <v>unrated</v>
      </c>
      <c r="K2116" s="72">
        <v>298.15517505581208</v>
      </c>
      <c r="L2116" s="70">
        <v>0.06849342180785052</v>
      </c>
      <c r="M2116" s="71">
        <f>IF(L2116&lt;1,1,L2116)</f>
        <v>1</v>
      </c>
      <c r="N2116" s="70" t="s">
        <v>3288</v>
      </c>
      <c r="O2116" s="71">
        <f>IF(OR(I2116=$A$1,I2116=0),"",IF(N2116=MappingTables!$C$14,VLOOKUP(J2116,ModelParameters!$M$8:$N$15,2,FALSE),IF(N2116=MappingTables!$C$16,VLOOKUP(J2116,ModelParameters!$P$8:$Q$15,2,FALSE),0)))</f>
        <v>1</v>
      </c>
      <c r="P2116" s="73">
        <f>IF(OR(I2116=0,I2116=$A$1),0,MIN(O2116*M2116,1)*K2116)</f>
        <v>298.15517505581208</v>
      </c>
      <c r="Q2116" s="73">
        <f>IF(B2116="",0,IF(OR(H2116=MappingTables!$C$34,H2116=MappingTables!$C$35),P2116,0))</f>
        <v>0</v>
      </c>
      <c r="R2116" s="73">
        <f>IF(ISNA(IF(AND(VLOOKUP(CONCATENATE($D2116,$G2116),CSRFinput!$B:$E,4,0)=0,OR(H2116=MappingTables!$C$31,H2116=MappingTables!$C$32)),1,VLOOKUP(CONCATENATE($D2116,$G2116),CSRFinput!$B:$E,4,0))),0,IF(AND(VLOOKUP(CONCATENATE($D2116,$G2116),CSRFinput!$B:$E,4,0)=0,OR(H2116=MappingTables!$C$31,H2116=MappingTables!$C$32)),1,VLOOKUP(CONCATENATE($D2116,$G2116),CSRFinput!$B:$E,4,0)))</f>
        <v>0.054776304963434752</v>
      </c>
      <c r="S2116" s="73">
        <f>IF(B2116="",0,P2116*R2116)</f>
        <v>16.331838795283438</v>
      </c>
      <c r="T2116" s="85">
        <f>IF(B2116="",0,IF(OR(H2116=MappingTables!$C$34,H2116=MappingTables!$C$35),S2116,0))</f>
        <v>0</v>
      </c>
    </row>
    <row r="2117" spans="2:20" s="0" customFormat="0" ht="15">
      <c r="B2117" s="69" t="s">
        <v>5231</v>
      </c>
      <c r="C2117" s="70" t="s">
        <v>5232</v>
      </c>
      <c r="D2117" s="70" t="s">
        <v>1</v>
      </c>
      <c r="E2117" s="70" t="s">
        <v>1</v>
      </c>
      <c r="F2117" s="70"/>
      <c r="G2117" s="70" t="s">
        <v>61</v>
      </c>
      <c r="H2117" s="70" t="s">
        <v>178</v>
      </c>
      <c r="I2117" s="70" t="s">
        <v>204</v>
      </c>
      <c r="J2117" s="71">
        <f>IF(OR(I2117=0,I2117=""),"unrated",VLOOKUP(I2117,MappingTables!$B$19:$C$31,2,FALSE))</f>
        <v>6</v>
      </c>
      <c r="K2117" s="72">
        <v>827.60139303667472</v>
      </c>
      <c r="L2117" s="70">
        <v>0.054797539274953824</v>
      </c>
      <c r="M2117" s="71">
        <f>IF(L2117&lt;1,1,L2117)</f>
        <v>1</v>
      </c>
      <c r="N2117" s="70" t="s">
        <v>3288</v>
      </c>
      <c r="O2117" s="71">
        <f>IF(OR(I2117=$A$1,I2117=0),"",IF(N2117=MappingTables!$C$14,VLOOKUP(J2117,ModelParameters!$M$8:$N$15,2,FALSE),IF(N2117=MappingTables!$C$16,VLOOKUP(J2117,ModelParameters!$P$8:$Q$15,2,FALSE),0)))</f>
        <v>1</v>
      </c>
      <c r="P2117" s="73">
        <f>IF(OR(I2117=0,I2117=$A$1),0,MIN(O2117*M2117,1)*K2117)</f>
        <v>827.60139303667472</v>
      </c>
      <c r="Q2117" s="73">
        <f>IF(B2117="",0,IF(OR(H2117=MappingTables!$C$34,H2117=MappingTables!$C$35),P2117,0))</f>
        <v>0</v>
      </c>
      <c r="R2117" s="73">
        <f>IF(ISNA(IF(AND(VLOOKUP(CONCATENATE($D2117,$G2117),CSRFinput!$B:$E,4,0)=0,OR(H2117=MappingTables!$C$31,H2117=MappingTables!$C$32)),1,VLOOKUP(CONCATENATE($D2117,$G2117),CSRFinput!$B:$E,4,0))),0,IF(AND(VLOOKUP(CONCATENATE($D2117,$G2117),CSRFinput!$B:$E,4,0)=0,OR(H2117=MappingTables!$C$31,H2117=MappingTables!$C$32)),1,VLOOKUP(CONCATENATE($D2117,$G2117),CSRFinput!$B:$E,4,0)))</f>
        <v>0.054776304963434752</v>
      </c>
      <c r="S2117" s="73">
        <f>IF(B2117="",0,P2117*R2117)</f>
        <v>45.332946293140328</v>
      </c>
      <c r="T2117" s="85">
        <f>IF(B2117="",0,IF(OR(H2117=MappingTables!$C$34,H2117=MappingTables!$C$35),S2117,0))</f>
        <v>0</v>
      </c>
    </row>
    <row r="2118" spans="2:20" s="0" customFormat="0" ht="15">
      <c r="B2118" s="69" t="s">
        <v>3759</v>
      </c>
      <c r="C2118" s="70" t="s">
        <v>3760</v>
      </c>
      <c r="D2118" s="70" t="s">
        <v>1</v>
      </c>
      <c r="E2118" s="70" t="s">
        <v>1</v>
      </c>
      <c r="F2118" s="70"/>
      <c r="G2118" s="70" t="s">
        <v>61</v>
      </c>
      <c r="H2118" s="70" t="s">
        <v>178</v>
      </c>
      <c r="I2118" s="70" t="s">
        <v>204</v>
      </c>
      <c r="J2118" s="71">
        <f>IF(OR(I2118=0,I2118=""),"unrated",VLOOKUP(I2118,MappingTables!$B$19:$C$31,2,FALSE))</f>
        <v>6</v>
      </c>
      <c r="K2118" s="72">
        <v>15.334077310582598</v>
      </c>
      <c r="L2118" s="70">
        <v>0.06469069925918448</v>
      </c>
      <c r="M2118" s="71">
        <f>IF(L2118&lt;1,1,L2118)</f>
        <v>1</v>
      </c>
      <c r="N2118" s="70" t="s">
        <v>3288</v>
      </c>
      <c r="O2118" s="71">
        <f>IF(OR(I2118=$A$1,I2118=0),"",IF(N2118=MappingTables!$C$14,VLOOKUP(J2118,ModelParameters!$M$8:$N$15,2,FALSE),IF(N2118=MappingTables!$C$16,VLOOKUP(J2118,ModelParameters!$P$8:$Q$15,2,FALSE),0)))</f>
        <v>1</v>
      </c>
      <c r="P2118" s="73">
        <f>IF(OR(I2118=0,I2118=$A$1),0,MIN(O2118*M2118,1)*K2118)</f>
        <v>15.334077310582598</v>
      </c>
      <c r="Q2118" s="73">
        <f>IF(B2118="",0,IF(OR(H2118=MappingTables!$C$34,H2118=MappingTables!$C$35),P2118,0))</f>
        <v>0</v>
      </c>
      <c r="R2118" s="73">
        <f>IF(ISNA(IF(AND(VLOOKUP(CONCATENATE($D2118,$G2118),CSRFinput!$B:$E,4,0)=0,OR(H2118=MappingTables!$C$31,H2118=MappingTables!$C$32)),1,VLOOKUP(CONCATENATE($D2118,$G2118),CSRFinput!$B:$E,4,0))),0,IF(AND(VLOOKUP(CONCATENATE($D2118,$G2118),CSRFinput!$B:$E,4,0)=0,OR(H2118=MappingTables!$C$31,H2118=MappingTables!$C$32)),1,VLOOKUP(CONCATENATE($D2118,$G2118),CSRFinput!$B:$E,4,0)))</f>
        <v>0.054776304963434752</v>
      </c>
      <c r="S2118" s="73">
        <f>IF(B2118="",0,P2118*R2118)</f>
        <v>0.83994409509735776</v>
      </c>
      <c r="T2118" s="85">
        <f>IF(B2118="",0,IF(OR(H2118=MappingTables!$C$34,H2118=MappingTables!$C$35),S2118,0))</f>
        <v>0</v>
      </c>
    </row>
    <row r="2119" spans="2:20" s="0" customFormat="0" ht="15">
      <c r="B2119" s="69">
        <v>1105467</v>
      </c>
      <c r="C2119" s="70" t="s">
        <v>4711</v>
      </c>
      <c r="D2119" s="70" t="s">
        <v>1</v>
      </c>
      <c r="E2119" s="70" t="s">
        <v>1</v>
      </c>
      <c r="F2119" s="70"/>
      <c r="G2119" s="70" t="s">
        <v>61</v>
      </c>
      <c r="H2119" s="70" t="s">
        <v>178</v>
      </c>
      <c r="I2119" s="70" t="s">
        <v>184</v>
      </c>
      <c r="J2119" s="71">
        <f>IF(OR(I2119=0,I2119=""),"unrated",VLOOKUP(I2119,MappingTables!$B$19:$C$31,2,FALSE))</f>
        <v>5</v>
      </c>
      <c r="K2119" s="72">
        <v>68.521149724100296</v>
      </c>
      <c r="L2119" s="70">
        <v>0.078078182856997312</v>
      </c>
      <c r="M2119" s="71">
        <f>IF(L2119&lt;1,1,L2119)</f>
        <v>1</v>
      </c>
      <c r="N2119" s="70" t="s">
        <v>3288</v>
      </c>
      <c r="O2119" s="71">
        <f>IF(OR(I2119=$A$1,I2119=0),"",IF(N2119=MappingTables!$C$14,VLOOKUP(J2119,ModelParameters!$M$8:$N$15,2,FALSE),IF(N2119=MappingTables!$C$16,VLOOKUP(J2119,ModelParameters!$P$8:$Q$15,2,FALSE),0)))</f>
        <v>1</v>
      </c>
      <c r="P2119" s="73">
        <f>IF(OR(I2119=0,I2119=$A$1),0,MIN(O2119*M2119,1)*K2119)</f>
        <v>68.521149724100296</v>
      </c>
      <c r="Q2119" s="73">
        <f>IF(B2119="",0,IF(OR(H2119=MappingTables!$C$34,H2119=MappingTables!$C$35),P2119,0))</f>
        <v>0</v>
      </c>
      <c r="R2119" s="73">
        <f>IF(ISNA(IF(AND(VLOOKUP(CONCATENATE($D2119,$G2119),CSRFinput!$B:$E,4,0)=0,OR(H2119=MappingTables!$C$31,H2119=MappingTables!$C$32)),1,VLOOKUP(CONCATENATE($D2119,$G2119),CSRFinput!$B:$E,4,0))),0,IF(AND(VLOOKUP(CONCATENATE($D2119,$G2119),CSRFinput!$B:$E,4,0)=0,OR(H2119=MappingTables!$C$31,H2119=MappingTables!$C$32)),1,VLOOKUP(CONCATENATE($D2119,$G2119),CSRFinput!$B:$E,4,0)))</f>
        <v>0.054776304963434752</v>
      </c>
      <c r="S2119" s="73">
        <f>IF(B2119="",0,P2119*R2119)</f>
        <v>3.7533353937324912</v>
      </c>
      <c r="T2119" s="85">
        <f>IF(B2119="",0,IF(OR(H2119=MappingTables!$C$34,H2119=MappingTables!$C$35),S2119,0))</f>
        <v>0</v>
      </c>
    </row>
    <row r="2120" spans="2:20" s="0" customFormat="0" ht="15">
      <c r="B2120" s="69" t="s">
        <v>5007</v>
      </c>
      <c r="C2120" s="70" t="s">
        <v>5008</v>
      </c>
      <c r="D2120" s="70" t="s">
        <v>1</v>
      </c>
      <c r="E2120" s="70" t="s">
        <v>1</v>
      </c>
      <c r="F2120" s="70"/>
      <c r="G2120" s="70" t="s">
        <v>61</v>
      </c>
      <c r="H2120" s="70" t="s">
        <v>178</v>
      </c>
      <c r="I2120" s="70" t="s">
        <v>204</v>
      </c>
      <c r="J2120" s="71">
        <f>IF(OR(I2120=0,I2120=""),"unrated",VLOOKUP(I2120,MappingTables!$B$19:$C$31,2,FALSE))</f>
        <v>6</v>
      </c>
      <c r="K2120" s="72">
        <v>30.916692145728332</v>
      </c>
      <c r="L2120" s="70">
        <v>0.068497749561164152</v>
      </c>
      <c r="M2120" s="71">
        <f>IF(L2120&lt;1,1,L2120)</f>
        <v>1</v>
      </c>
      <c r="N2120" s="70" t="s">
        <v>3288</v>
      </c>
      <c r="O2120" s="71">
        <f>IF(OR(I2120=$A$1,I2120=0),"",IF(N2120=MappingTables!$C$14,VLOOKUP(J2120,ModelParameters!$M$8:$N$15,2,FALSE),IF(N2120=MappingTables!$C$16,VLOOKUP(J2120,ModelParameters!$P$8:$Q$15,2,FALSE),0)))</f>
        <v>1</v>
      </c>
      <c r="P2120" s="73">
        <f>IF(OR(I2120=0,I2120=$A$1),0,MIN(O2120*M2120,1)*K2120)</f>
        <v>30.916692145728332</v>
      </c>
      <c r="Q2120" s="73">
        <f>IF(B2120="",0,IF(OR(H2120=MappingTables!$C$34,H2120=MappingTables!$C$35),P2120,0))</f>
        <v>0</v>
      </c>
      <c r="R2120" s="73">
        <f>IF(ISNA(IF(AND(VLOOKUP(CONCATENATE($D2120,$G2120),CSRFinput!$B:$E,4,0)=0,OR(H2120=MappingTables!$C$31,H2120=MappingTables!$C$32)),1,VLOOKUP(CONCATENATE($D2120,$G2120),CSRFinput!$B:$E,4,0))),0,IF(AND(VLOOKUP(CONCATENATE($D2120,$G2120),CSRFinput!$B:$E,4,0)=0,OR(H2120=MappingTables!$C$31,H2120=MappingTables!$C$32)),1,VLOOKUP(CONCATENATE($D2120,$G2120),CSRFinput!$B:$E,4,0)))</f>
        <v>0.054776304963434752</v>
      </c>
      <c r="S2120" s="73">
        <f>IF(B2120="",0,P2120*R2120)</f>
        <v>1.693502157435043</v>
      </c>
      <c r="T2120" s="85">
        <f>IF(B2120="",0,IF(OR(H2120=MappingTables!$C$34,H2120=MappingTables!$C$35),S2120,0))</f>
        <v>0</v>
      </c>
    </row>
    <row r="2121" spans="2:20" s="0" customFormat="0" ht="15">
      <c r="B2121" s="69">
        <v>1929086</v>
      </c>
      <c r="C2121" s="70" t="s">
        <v>5233</v>
      </c>
      <c r="D2121" s="70" t="s">
        <v>1</v>
      </c>
      <c r="E2121" s="70" t="s">
        <v>1</v>
      </c>
      <c r="F2121" s="70"/>
      <c r="G2121" s="70" t="s">
        <v>61</v>
      </c>
      <c r="H2121" s="70" t="s">
        <v>178</v>
      </c>
      <c r="I2121" s="70" t="s">
        <v>204</v>
      </c>
      <c r="J2121" s="71">
        <f>IF(OR(I2121=0,I2121=""),"unrated",VLOOKUP(I2121,MappingTables!$B$19:$C$31,2,FALSE))</f>
        <v>6</v>
      </c>
      <c r="K2121" s="72">
        <v>93.693968816016288</v>
      </c>
      <c r="L2121" s="70">
        <v>0.068490564906769832</v>
      </c>
      <c r="M2121" s="71">
        <f>IF(L2121&lt;1,1,L2121)</f>
        <v>1</v>
      </c>
      <c r="N2121" s="70" t="s">
        <v>3288</v>
      </c>
      <c r="O2121" s="71">
        <f>IF(OR(I2121=$A$1,I2121=0),"",IF(N2121=MappingTables!$C$14,VLOOKUP(J2121,ModelParameters!$M$8:$N$15,2,FALSE),IF(N2121=MappingTables!$C$16,VLOOKUP(J2121,ModelParameters!$P$8:$Q$15,2,FALSE),0)))</f>
        <v>1</v>
      </c>
      <c r="P2121" s="73">
        <f>IF(OR(I2121=0,I2121=$A$1),0,MIN(O2121*M2121,1)*K2121)</f>
        <v>93.693968816016288</v>
      </c>
      <c r="Q2121" s="73">
        <f>IF(B2121="",0,IF(OR(H2121=MappingTables!$C$34,H2121=MappingTables!$C$35),P2121,0))</f>
        <v>0</v>
      </c>
      <c r="R2121" s="73">
        <f>IF(ISNA(IF(AND(VLOOKUP(CONCATENATE($D2121,$G2121),CSRFinput!$B:$E,4,0)=0,OR(H2121=MappingTables!$C$31,H2121=MappingTables!$C$32)),1,VLOOKUP(CONCATENATE($D2121,$G2121),CSRFinput!$B:$E,4,0))),0,IF(AND(VLOOKUP(CONCATENATE($D2121,$G2121),CSRFinput!$B:$E,4,0)=0,OR(H2121=MappingTables!$C$31,H2121=MappingTables!$C$32)),1,VLOOKUP(CONCATENATE($D2121,$G2121),CSRFinput!$B:$E,4,0)))</f>
        <v>0.054776304963434752</v>
      </c>
      <c r="S2121" s="73">
        <f>IF(B2121="",0,P2121*R2121)</f>
        <v>5.1322094091006544</v>
      </c>
      <c r="T2121" s="85">
        <f>IF(B2121="",0,IF(OR(H2121=MappingTables!$C$34,H2121=MappingTables!$C$35),S2121,0))</f>
        <v>0</v>
      </c>
    </row>
    <row r="2122" spans="2:20" s="0" customFormat="0" ht="15">
      <c r="B2122" s="69" t="s">
        <v>4698</v>
      </c>
      <c r="C2122" s="70" t="s">
        <v>4699</v>
      </c>
      <c r="D2122" s="70" t="s">
        <v>1</v>
      </c>
      <c r="E2122" s="70" t="s">
        <v>1</v>
      </c>
      <c r="F2122" s="70"/>
      <c r="G2122" s="70" t="s">
        <v>61</v>
      </c>
      <c r="H2122" s="70" t="s">
        <v>178</v>
      </c>
      <c r="I2122" s="70" t="s">
        <v>198</v>
      </c>
      <c r="J2122" s="71" t="str">
        <f>IF(OR(I2122=0,I2122=""),"unrated",VLOOKUP(I2122,MappingTables!$B$19:$C$31,2,FALSE))</f>
        <v>unrated</v>
      </c>
      <c r="K2122" s="72">
        <v>1.347318523888855</v>
      </c>
      <c r="L2122" s="70">
        <v>32.239748582181212</v>
      </c>
      <c r="M2122" s="71">
        <f>IF(L2122&lt;1,1,L2122)</f>
        <v>32.239748582181212</v>
      </c>
      <c r="N2122" s="70" t="s">
        <v>3288</v>
      </c>
      <c r="O2122" s="71">
        <f>IF(OR(I2122=$A$1,I2122=0),"",IF(N2122=MappingTables!$C$14,VLOOKUP(J2122,ModelParameters!$M$8:$N$15,2,FALSE),IF(N2122=MappingTables!$C$16,VLOOKUP(J2122,ModelParameters!$P$8:$Q$15,2,FALSE),0)))</f>
        <v>1</v>
      </c>
      <c r="P2122" s="73">
        <f>IF(OR(I2122=0,I2122=$A$1),0,MIN(O2122*M2122,1)*K2122)</f>
        <v>1.347318523888855</v>
      </c>
      <c r="Q2122" s="73">
        <f>IF(B2122="",0,IF(OR(H2122=MappingTables!$C$34,H2122=MappingTables!$C$35),P2122,0))</f>
        <v>0</v>
      </c>
      <c r="R2122" s="73">
        <f>IF(ISNA(IF(AND(VLOOKUP(CONCATENATE($D2122,$G2122),CSRFinput!$B:$E,4,0)=0,OR(H2122=MappingTables!$C$31,H2122=MappingTables!$C$32)),1,VLOOKUP(CONCATENATE($D2122,$G2122),CSRFinput!$B:$E,4,0))),0,IF(AND(VLOOKUP(CONCATENATE($D2122,$G2122),CSRFinput!$B:$E,4,0)=0,OR(H2122=MappingTables!$C$31,H2122=MappingTables!$C$32)),1,VLOOKUP(CONCATENATE($D2122,$G2122),CSRFinput!$B:$E,4,0)))</f>
        <v>0.054776304963434752</v>
      </c>
      <c r="S2122" s="73">
        <f>IF(B2122="",0,P2122*R2122)</f>
        <v>0.073801130347420672</v>
      </c>
      <c r="T2122" s="85">
        <f>IF(B2122="",0,IF(OR(H2122=MappingTables!$C$34,H2122=MappingTables!$C$35),S2122,0))</f>
        <v>0</v>
      </c>
    </row>
    <row r="2123" spans="2:20" s="0" customFormat="0" ht="15">
      <c r="B2123" s="69" t="s">
        <v>3926</v>
      </c>
      <c r="C2123" s="70" t="s">
        <v>3927</v>
      </c>
      <c r="D2123" s="70" t="s">
        <v>1</v>
      </c>
      <c r="E2123" s="70" t="s">
        <v>1</v>
      </c>
      <c r="F2123" s="70"/>
      <c r="G2123" s="70" t="s">
        <v>61</v>
      </c>
      <c r="H2123" s="70" t="s">
        <v>178</v>
      </c>
      <c r="I2123" s="70" t="s">
        <v>198</v>
      </c>
      <c r="J2123" s="71" t="str">
        <f>IF(OR(I2123=0,I2123=""),"unrated",VLOOKUP(I2123,MappingTables!$B$19:$C$31,2,FALSE))</f>
        <v>unrated</v>
      </c>
      <c r="K2123" s="72">
        <v>199.32764461545824</v>
      </c>
      <c r="L2123" s="70">
        <v>0.15296344961526078</v>
      </c>
      <c r="M2123" s="71">
        <f>IF(L2123&lt;1,1,L2123)</f>
        <v>1</v>
      </c>
      <c r="N2123" s="70" t="s">
        <v>3288</v>
      </c>
      <c r="O2123" s="71">
        <f>IF(OR(I2123=$A$1,I2123=0),"",IF(N2123=MappingTables!$C$14,VLOOKUP(J2123,ModelParameters!$M$8:$N$15,2,FALSE),IF(N2123=MappingTables!$C$16,VLOOKUP(J2123,ModelParameters!$P$8:$Q$15,2,FALSE),0)))</f>
        <v>1</v>
      </c>
      <c r="P2123" s="73">
        <f>IF(OR(I2123=0,I2123=$A$1),0,MIN(O2123*M2123,1)*K2123)</f>
        <v>199.32764461545824</v>
      </c>
      <c r="Q2123" s="73">
        <f>IF(B2123="",0,IF(OR(H2123=MappingTables!$C$34,H2123=MappingTables!$C$35),P2123,0))</f>
        <v>0</v>
      </c>
      <c r="R2123" s="73">
        <f>IF(ISNA(IF(AND(VLOOKUP(CONCATENATE($D2123,$G2123),CSRFinput!$B:$E,4,0)=0,OR(H2123=MappingTables!$C$31,H2123=MappingTables!$C$32)),1,VLOOKUP(CONCATENATE($D2123,$G2123),CSRFinput!$B:$E,4,0))),0,IF(AND(VLOOKUP(CONCATENATE($D2123,$G2123),CSRFinput!$B:$E,4,0)=0,OR(H2123=MappingTables!$C$31,H2123=MappingTables!$C$32)),1,VLOOKUP(CONCATENATE($D2123,$G2123),CSRFinput!$B:$E,4,0)))</f>
        <v>0.054776304963434752</v>
      </c>
      <c r="S2123" s="73">
        <f>IF(B2123="",0,P2123*R2123)</f>
        <v>10.918431849099484</v>
      </c>
      <c r="T2123" s="85">
        <f>IF(B2123="",0,IF(OR(H2123=MappingTables!$C$34,H2123=MappingTables!$C$35),S2123,0))</f>
        <v>0</v>
      </c>
    </row>
    <row r="2124" spans="2:20" s="0" customFormat="0" ht="15">
      <c r="B2124" s="69">
        <v>12573239</v>
      </c>
      <c r="C2124" s="70" t="s">
        <v>5230</v>
      </c>
      <c r="D2124" s="70" t="s">
        <v>1</v>
      </c>
      <c r="E2124" s="70" t="s">
        <v>1</v>
      </c>
      <c r="F2124" s="70"/>
      <c r="G2124" s="70" t="s">
        <v>61</v>
      </c>
      <c r="H2124" s="70" t="s">
        <v>178</v>
      </c>
      <c r="I2124" s="70" t="s">
        <v>216</v>
      </c>
      <c r="J2124" s="71">
        <f>IF(OR(I2124=0,I2124=""),"unrated",VLOOKUP(I2124,MappingTables!$B$19:$C$31,2,FALSE))</f>
        <v>0</v>
      </c>
      <c r="K2124" s="72">
        <v>77.95196077349208</v>
      </c>
      <c r="L2124" s="70">
        <v>0.22088781222181804</v>
      </c>
      <c r="M2124" s="71">
        <f>IF(L2124&lt;1,1,L2124)</f>
        <v>1</v>
      </c>
      <c r="N2124" s="70" t="s">
        <v>3288</v>
      </c>
      <c r="O2124" s="71">
        <f>IF(OR(I2124=$A$1,I2124=0),"",IF(N2124=MappingTables!$C$14,VLOOKUP(J2124,ModelParameters!$M$8:$N$15,2,FALSE),IF(N2124=MappingTables!$C$16,VLOOKUP(J2124,ModelParameters!$P$8:$Q$15,2,FALSE),0)))</f>
        <v>0.125</v>
      </c>
      <c r="P2124" s="73">
        <f>IF(OR(I2124=0,I2124=$A$1),0,MIN(O2124*M2124,1)*K2124)</f>
        <v>9.7439950966865088</v>
      </c>
      <c r="Q2124" s="73">
        <f>IF(B2124="",0,IF(OR(H2124=MappingTables!$C$34,H2124=MappingTables!$C$35),P2124,0))</f>
        <v>0</v>
      </c>
      <c r="R2124" s="73">
        <f>IF(ISNA(IF(AND(VLOOKUP(CONCATENATE($D2124,$G2124),CSRFinput!$B:$E,4,0)=0,OR(H2124=MappingTables!$C$31,H2124=MappingTables!$C$32)),1,VLOOKUP(CONCATENATE($D2124,$G2124),CSRFinput!$B:$E,4,0))),0,IF(AND(VLOOKUP(CONCATENATE($D2124,$G2124),CSRFinput!$B:$E,4,0)=0,OR(H2124=MappingTables!$C$31,H2124=MappingTables!$C$32)),1,VLOOKUP(CONCATENATE($D2124,$G2124),CSRFinput!$B:$E,4,0)))</f>
        <v>0.054776304963434752</v>
      </c>
      <c r="S2124" s="73">
        <f>IF(B2124="",0,P2124*R2124)</f>
        <v>0.53374004697831312</v>
      </c>
      <c r="T2124" s="85">
        <f>IF(B2124="",0,IF(OR(H2124=MappingTables!$C$34,H2124=MappingTables!$C$35),S2124,0))</f>
        <v>0</v>
      </c>
    </row>
    <row r="2125" spans="2:20" s="0" customFormat="0" ht="15">
      <c r="B2125" s="69" t="s">
        <v>4156</v>
      </c>
      <c r="C2125" s="70" t="s">
        <v>4157</v>
      </c>
      <c r="D2125" s="70" t="s">
        <v>1</v>
      </c>
      <c r="E2125" s="70" t="s">
        <v>1</v>
      </c>
      <c r="F2125" s="70"/>
      <c r="G2125" s="70" t="s">
        <v>61</v>
      </c>
      <c r="H2125" s="70" t="s">
        <v>178</v>
      </c>
      <c r="I2125" s="70" t="s">
        <v>216</v>
      </c>
      <c r="J2125" s="71">
        <f>IF(OR(I2125=0,I2125=""),"unrated",VLOOKUP(I2125,MappingTables!$B$19:$C$31,2,FALSE))</f>
        <v>0</v>
      </c>
      <c r="K2125" s="72">
        <v>1559.9454631625934</v>
      </c>
      <c r="L2125" s="70">
        <v>0.041094026470240928</v>
      </c>
      <c r="M2125" s="71">
        <f>IF(L2125&lt;1,1,L2125)</f>
        <v>1</v>
      </c>
      <c r="N2125" s="70" t="s">
        <v>3288</v>
      </c>
      <c r="O2125" s="71">
        <f>IF(OR(I2125=$A$1,I2125=0),"",IF(N2125=MappingTables!$C$14,VLOOKUP(J2125,ModelParameters!$M$8:$N$15,2,FALSE),IF(N2125=MappingTables!$C$16,VLOOKUP(J2125,ModelParameters!$P$8:$Q$15,2,FALSE),0)))</f>
        <v>0.125</v>
      </c>
      <c r="P2125" s="73">
        <f>IF(OR(I2125=0,I2125=$A$1),0,MIN(O2125*M2125,1)*K2125)</f>
        <v>194.99318289532416</v>
      </c>
      <c r="Q2125" s="73">
        <f>IF(B2125="",0,IF(OR(H2125=MappingTables!$C$34,H2125=MappingTables!$C$35),P2125,0))</f>
        <v>0</v>
      </c>
      <c r="R2125" s="73">
        <f>IF(ISNA(IF(AND(VLOOKUP(CONCATENATE($D2125,$G2125),CSRFinput!$B:$E,4,0)=0,OR(H2125=MappingTables!$C$31,H2125=MappingTables!$C$32)),1,VLOOKUP(CONCATENATE($D2125,$G2125),CSRFinput!$B:$E,4,0))),0,IF(AND(VLOOKUP(CONCATENATE($D2125,$G2125),CSRFinput!$B:$E,4,0)=0,OR(H2125=MappingTables!$C$31,H2125=MappingTables!$C$32)),1,VLOOKUP(CONCATENATE($D2125,$G2125),CSRFinput!$B:$E,4,0)))</f>
        <v>0.054776304963434752</v>
      </c>
      <c r="S2125" s="73">
        <f>IF(B2125="",0,P2125*R2125)</f>
        <v>10.681006052065086</v>
      </c>
      <c r="T2125" s="85">
        <f>IF(B2125="",0,IF(OR(H2125=MappingTables!$C$34,H2125=MappingTables!$C$35),S2125,0))</f>
        <v>0</v>
      </c>
    </row>
    <row r="2126" spans="2:20" s="0" customFormat="0" ht="15">
      <c r="B2126" s="69" t="s">
        <v>4986</v>
      </c>
      <c r="C2126" s="70" t="s">
        <v>4987</v>
      </c>
      <c r="D2126" s="70" t="s">
        <v>1</v>
      </c>
      <c r="E2126" s="70" t="s">
        <v>1</v>
      </c>
      <c r="F2126" s="70"/>
      <c r="G2126" s="70" t="s">
        <v>61</v>
      </c>
      <c r="H2126" s="70" t="s">
        <v>178</v>
      </c>
      <c r="I2126" s="70" t="s">
        <v>220</v>
      </c>
      <c r="J2126" s="71">
        <f>IF(OR(I2126=0,I2126=""),"unrated",VLOOKUP(I2126,MappingTables!$B$19:$C$31,2,FALSE))</f>
        <v>1</v>
      </c>
      <c r="K2126" s="72">
        <v>5.839286376307008</v>
      </c>
      <c r="L2126" s="70">
        <v>0.052059075616213376</v>
      </c>
      <c r="M2126" s="71">
        <f>IF(L2126&lt;1,1,L2126)</f>
        <v>1</v>
      </c>
      <c r="N2126" s="70" t="s">
        <v>3288</v>
      </c>
      <c r="O2126" s="71">
        <f>IF(OR(I2126=$A$1,I2126=0),"",IF(N2126=MappingTables!$C$14,VLOOKUP(J2126,ModelParameters!$M$8:$N$15,2,FALSE),IF(N2126=MappingTables!$C$16,VLOOKUP(J2126,ModelParameters!$P$8:$Q$15,2,FALSE),0)))</f>
        <v>0.134</v>
      </c>
      <c r="P2126" s="73">
        <f>IF(OR(I2126=0,I2126=$A$1),0,MIN(O2126*M2126,1)*K2126)</f>
        <v>0.7824643744251392</v>
      </c>
      <c r="Q2126" s="73">
        <f>IF(B2126="",0,IF(OR(H2126=MappingTables!$C$34,H2126=MappingTables!$C$35),P2126,0))</f>
        <v>0</v>
      </c>
      <c r="R2126" s="73">
        <f>IF(ISNA(IF(AND(VLOOKUP(CONCATENATE($D2126,$G2126),CSRFinput!$B:$E,4,0)=0,OR(H2126=MappingTables!$C$31,H2126=MappingTables!$C$32)),1,VLOOKUP(CONCATENATE($D2126,$G2126),CSRFinput!$B:$E,4,0))),0,IF(AND(VLOOKUP(CONCATENATE($D2126,$G2126),CSRFinput!$B:$E,4,0)=0,OR(H2126=MappingTables!$C$31,H2126=MappingTables!$C$32)),1,VLOOKUP(CONCATENATE($D2126,$G2126),CSRFinput!$B:$E,4,0)))</f>
        <v>0.054776304963434752</v>
      </c>
      <c r="S2126" s="73">
        <f>IF(B2126="",0,P2126*R2126)</f>
        <v>0.042860507196534624</v>
      </c>
      <c r="T2126" s="85">
        <f>IF(B2126="",0,IF(OR(H2126=MappingTables!$C$34,H2126=MappingTables!$C$35),S2126,0))</f>
        <v>0</v>
      </c>
    </row>
    <row r="2127" spans="2:20" s="0" customFormat="0" ht="15">
      <c r="B2127" s="69" t="s">
        <v>3436</v>
      </c>
      <c r="C2127" s="70" t="s">
        <v>3437</v>
      </c>
      <c r="D2127" s="70" t="s">
        <v>1</v>
      </c>
      <c r="E2127" s="70" t="s">
        <v>1</v>
      </c>
      <c r="F2127" s="70"/>
      <c r="G2127" s="70" t="s">
        <v>61</v>
      </c>
      <c r="H2127" s="70" t="s">
        <v>178</v>
      </c>
      <c r="I2127" s="70" t="s">
        <v>3291</v>
      </c>
      <c r="J2127" s="71">
        <f>IF(OR(I2127=0,I2127=""),"unrated",VLOOKUP(I2127,MappingTables!$B$19:$C$31,2,FALSE))</f>
        <v>6</v>
      </c>
      <c r="K2127" s="72">
        <v>30.066888524618024</v>
      </c>
      <c r="L2127" s="70">
        <v>0.31764620264776372</v>
      </c>
      <c r="M2127" s="71">
        <f>IF(L2127&lt;1,1,L2127)</f>
        <v>1</v>
      </c>
      <c r="N2127" s="70" t="s">
        <v>3288</v>
      </c>
      <c r="O2127" s="71">
        <f>IF(OR(I2127=$A$1,I2127=0),"",IF(N2127=MappingTables!$C$14,VLOOKUP(J2127,ModelParameters!$M$8:$N$15,2,FALSE),IF(N2127=MappingTables!$C$16,VLOOKUP(J2127,ModelParameters!$P$8:$Q$15,2,FALSE),0)))</f>
        <v>1</v>
      </c>
      <c r="P2127" s="73">
        <f>IF(OR(I2127=0,I2127=$A$1),0,MIN(O2127*M2127,1)*K2127)</f>
        <v>30.066888524618024</v>
      </c>
      <c r="Q2127" s="73">
        <f>IF(B2127="",0,IF(OR(H2127=MappingTables!$C$34,H2127=MappingTables!$C$35),P2127,0))</f>
        <v>0</v>
      </c>
      <c r="R2127" s="73">
        <f>IF(ISNA(IF(AND(VLOOKUP(CONCATENATE($D2127,$G2127),CSRFinput!$B:$E,4,0)=0,OR(H2127=MappingTables!$C$31,H2127=MappingTables!$C$32)),1,VLOOKUP(CONCATENATE($D2127,$G2127),CSRFinput!$B:$E,4,0))),0,IF(AND(VLOOKUP(CONCATENATE($D2127,$G2127),CSRFinput!$B:$E,4,0)=0,OR(H2127=MappingTables!$C$31,H2127=MappingTables!$C$32)),1,VLOOKUP(CONCATENATE($D2127,$G2127),CSRFinput!$B:$E,4,0)))</f>
        <v>0.054776304963434752</v>
      </c>
      <c r="S2127" s="73">
        <f>IF(B2127="",0,P2127*R2127)</f>
        <v>1.6469530551260736</v>
      </c>
      <c r="T2127" s="85">
        <f>IF(B2127="",0,IF(OR(H2127=MappingTables!$C$34,H2127=MappingTables!$C$35),S2127,0))</f>
        <v>0</v>
      </c>
    </row>
    <row r="2128" spans="2:20" s="0" customFormat="0" ht="15">
      <c r="B2128" s="69" t="s">
        <v>5046</v>
      </c>
      <c r="C2128" s="70" t="s">
        <v>5047</v>
      </c>
      <c r="D2128" s="70" t="s">
        <v>1</v>
      </c>
      <c r="E2128" s="70" t="s">
        <v>1</v>
      </c>
      <c r="F2128" s="70"/>
      <c r="G2128" s="70" t="s">
        <v>61</v>
      </c>
      <c r="H2128" s="70" t="s">
        <v>178</v>
      </c>
      <c r="I2128" s="70" t="s">
        <v>198</v>
      </c>
      <c r="J2128" s="71" t="str">
        <f>IF(OR(I2128=0,I2128=""),"unrated",VLOOKUP(I2128,MappingTables!$B$19:$C$31,2,FALSE))</f>
        <v>unrated</v>
      </c>
      <c r="K2128" s="72">
        <v>128.58917143151046</v>
      </c>
      <c r="L2128" s="70">
        <v>0.06849426981724964</v>
      </c>
      <c r="M2128" s="71">
        <f>IF(L2128&lt;1,1,L2128)</f>
        <v>1</v>
      </c>
      <c r="N2128" s="70" t="s">
        <v>3288</v>
      </c>
      <c r="O2128" s="71">
        <f>IF(OR(I2128=$A$1,I2128=0),"",IF(N2128=MappingTables!$C$14,VLOOKUP(J2128,ModelParameters!$M$8:$N$15,2,FALSE),IF(N2128=MappingTables!$C$16,VLOOKUP(J2128,ModelParameters!$P$8:$Q$15,2,FALSE),0)))</f>
        <v>1</v>
      </c>
      <c r="P2128" s="73">
        <f>IF(OR(I2128=0,I2128=$A$1),0,MIN(O2128*M2128,1)*K2128)</f>
        <v>128.58917143151046</v>
      </c>
      <c r="Q2128" s="73">
        <f>IF(B2128="",0,IF(OR(H2128=MappingTables!$C$34,H2128=MappingTables!$C$35),P2128,0))</f>
        <v>0</v>
      </c>
      <c r="R2128" s="73">
        <f>IF(ISNA(IF(AND(VLOOKUP(CONCATENATE($D2128,$G2128),CSRFinput!$B:$E,4,0)=0,OR(H2128=MappingTables!$C$31,H2128=MappingTables!$C$32)),1,VLOOKUP(CONCATENATE($D2128,$G2128),CSRFinput!$B:$E,4,0))),0,IF(AND(VLOOKUP(CONCATENATE($D2128,$G2128),CSRFinput!$B:$E,4,0)=0,OR(H2128=MappingTables!$C$31,H2128=MappingTables!$C$32)),1,VLOOKUP(CONCATENATE($D2128,$G2128),CSRFinput!$B:$E,4,0)))</f>
        <v>0.054776304963434752</v>
      </c>
      <c r="S2128" s="73">
        <f>IF(B2128="",0,P2128*R2128)</f>
        <v>7.0436396693278088</v>
      </c>
      <c r="T2128" s="85">
        <f>IF(B2128="",0,IF(OR(H2128=MappingTables!$C$34,H2128=MappingTables!$C$35),S2128,0))</f>
        <v>0</v>
      </c>
    </row>
    <row r="2129" spans="2:20" s="0" customFormat="0" ht="15">
      <c r="B2129" s="69">
        <v>22554266</v>
      </c>
      <c r="C2129" s="70" t="s">
        <v>5208</v>
      </c>
      <c r="D2129" s="70" t="s">
        <v>1</v>
      </c>
      <c r="E2129" s="70" t="s">
        <v>1</v>
      </c>
      <c r="F2129" s="70"/>
      <c r="G2129" s="70" t="s">
        <v>61</v>
      </c>
      <c r="H2129" s="70" t="s">
        <v>178</v>
      </c>
      <c r="I2129" s="70" t="s">
        <v>216</v>
      </c>
      <c r="J2129" s="71">
        <f>IF(OR(I2129=0,I2129=""),"unrated",VLOOKUP(I2129,MappingTables!$B$19:$C$31,2,FALSE))</f>
        <v>0</v>
      </c>
      <c r="K2129" s="72">
        <v>16.839360630813112</v>
      </c>
      <c r="L2129" s="70">
        <v>0.081451374571649616</v>
      </c>
      <c r="M2129" s="71">
        <f>IF(L2129&lt;1,1,L2129)</f>
        <v>1</v>
      </c>
      <c r="N2129" s="70" t="s">
        <v>3288</v>
      </c>
      <c r="O2129" s="71">
        <f>IF(OR(I2129=$A$1,I2129=0),"",IF(N2129=MappingTables!$C$14,VLOOKUP(J2129,ModelParameters!$M$8:$N$15,2,FALSE),IF(N2129=MappingTables!$C$16,VLOOKUP(J2129,ModelParameters!$P$8:$Q$15,2,FALSE),0)))</f>
        <v>0.125</v>
      </c>
      <c r="P2129" s="73">
        <f>IF(OR(I2129=0,I2129=$A$1),0,MIN(O2129*M2129,1)*K2129)</f>
        <v>2.1049200788516388</v>
      </c>
      <c r="Q2129" s="73">
        <f>IF(B2129="",0,IF(OR(H2129=MappingTables!$C$34,H2129=MappingTables!$C$35),P2129,0))</f>
        <v>0</v>
      </c>
      <c r="R2129" s="73">
        <f>IF(ISNA(IF(AND(VLOOKUP(CONCATENATE($D2129,$G2129),CSRFinput!$B:$E,4,0)=0,OR(H2129=MappingTables!$C$31,H2129=MappingTables!$C$32)),1,VLOOKUP(CONCATENATE($D2129,$G2129),CSRFinput!$B:$E,4,0))),0,IF(AND(VLOOKUP(CONCATENATE($D2129,$G2129),CSRFinput!$B:$E,4,0)=0,OR(H2129=MappingTables!$C$31,H2129=MappingTables!$C$32)),1,VLOOKUP(CONCATENATE($D2129,$G2129),CSRFinput!$B:$E,4,0)))</f>
        <v>0.054776304963434752</v>
      </c>
      <c r="S2129" s="73">
        <f>IF(B2129="",0,P2129*R2129)</f>
        <v>0.1152997441628345</v>
      </c>
      <c r="T2129" s="85">
        <f>IF(B2129="",0,IF(OR(H2129=MappingTables!$C$34,H2129=MappingTables!$C$35),S2129,0))</f>
        <v>0</v>
      </c>
    </row>
    <row r="2130" spans="2:20" s="0" customFormat="0" ht="15">
      <c r="B2130" s="69" t="s">
        <v>4160</v>
      </c>
      <c r="C2130" s="70" t="s">
        <v>4161</v>
      </c>
      <c r="D2130" s="70" t="s">
        <v>1</v>
      </c>
      <c r="E2130" s="70" t="s">
        <v>1</v>
      </c>
      <c r="F2130" s="70"/>
      <c r="G2130" s="70" t="s">
        <v>61</v>
      </c>
      <c r="H2130" s="70" t="s">
        <v>178</v>
      </c>
      <c r="I2130" s="70" t="s">
        <v>3291</v>
      </c>
      <c r="J2130" s="71">
        <f>IF(OR(I2130=0,I2130=""),"unrated",VLOOKUP(I2130,MappingTables!$B$19:$C$31,2,FALSE))</f>
        <v>6</v>
      </c>
      <c r="K2130" s="72">
        <v>788.74727113114176</v>
      </c>
      <c r="L2130" s="70">
        <v>0.068495670991825384</v>
      </c>
      <c r="M2130" s="71">
        <f>IF(L2130&lt;1,1,L2130)</f>
        <v>1</v>
      </c>
      <c r="N2130" s="70" t="s">
        <v>3288</v>
      </c>
      <c r="O2130" s="71">
        <f>IF(OR(I2130=$A$1,I2130=0),"",IF(N2130=MappingTables!$C$14,VLOOKUP(J2130,ModelParameters!$M$8:$N$15,2,FALSE),IF(N2130=MappingTables!$C$16,VLOOKUP(J2130,ModelParameters!$P$8:$Q$15,2,FALSE),0)))</f>
        <v>1</v>
      </c>
      <c r="P2130" s="73">
        <f>IF(OR(I2130=0,I2130=$A$1),0,MIN(O2130*M2130,1)*K2130)</f>
        <v>788.74727113114176</v>
      </c>
      <c r="Q2130" s="73">
        <f>IF(B2130="",0,IF(OR(H2130=MappingTables!$C$34,H2130=MappingTables!$C$35),P2130,0))</f>
        <v>0</v>
      </c>
      <c r="R2130" s="73">
        <f>IF(ISNA(IF(AND(VLOOKUP(CONCATENATE($D2130,$G2130),CSRFinput!$B:$E,4,0)=0,OR(H2130=MappingTables!$C$31,H2130=MappingTables!$C$32)),1,VLOOKUP(CONCATENATE($D2130,$G2130),CSRFinput!$B:$E,4,0))),0,IF(AND(VLOOKUP(CONCATENATE($D2130,$G2130),CSRFinput!$B:$E,4,0)=0,OR(H2130=MappingTables!$C$31,H2130=MappingTables!$C$32)),1,VLOOKUP(CONCATENATE($D2130,$G2130),CSRFinput!$B:$E,4,0)))</f>
        <v>0.054776304963434752</v>
      </c>
      <c r="S2130" s="73">
        <f>IF(B2130="",0,P2130*R2130)</f>
        <v>43.204661062556376</v>
      </c>
      <c r="T2130" s="85">
        <f>IF(B2130="",0,IF(OR(H2130=MappingTables!$C$34,H2130=MappingTables!$C$35),S2130,0))</f>
        <v>0</v>
      </c>
    </row>
    <row r="2131" spans="2:20" s="0" customFormat="0" ht="15">
      <c r="B2131" s="69" t="s">
        <v>5223</v>
      </c>
      <c r="C2131" s="70" t="s">
        <v>5224</v>
      </c>
      <c r="D2131" s="70" t="s">
        <v>1</v>
      </c>
      <c r="E2131" s="70" t="s">
        <v>1</v>
      </c>
      <c r="F2131" s="70"/>
      <c r="G2131" s="70" t="s">
        <v>61</v>
      </c>
      <c r="H2131" s="70" t="s">
        <v>178</v>
      </c>
      <c r="I2131" s="70" t="s">
        <v>181</v>
      </c>
      <c r="J2131" s="71">
        <f>IF(OR(I2131=0,I2131=""),"unrated",VLOOKUP(I2131,MappingTables!$B$19:$C$31,2,FALSE))</f>
        <v>3</v>
      </c>
      <c r="K2131" s="72">
        <v>62.623312226344712</v>
      </c>
      <c r="L2131" s="70">
        <v>0.078184509262282752</v>
      </c>
      <c r="M2131" s="71">
        <f>IF(L2131&lt;1,1,L2131)</f>
        <v>1</v>
      </c>
      <c r="N2131" s="70" t="s">
        <v>3288</v>
      </c>
      <c r="O2131" s="71">
        <f>IF(OR(I2131=$A$1,I2131=0),"",IF(N2131=MappingTables!$C$14,VLOOKUP(J2131,ModelParameters!$M$8:$N$15,2,FALSE),IF(N2131=MappingTables!$C$16,VLOOKUP(J2131,ModelParameters!$P$8:$Q$15,2,FALSE),0)))</f>
        <v>0.197</v>
      </c>
      <c r="P2131" s="73">
        <f>IF(OR(I2131=0,I2131=$A$1),0,MIN(O2131*M2131,1)*K2131)</f>
        <v>12.336792508589908</v>
      </c>
      <c r="Q2131" s="73">
        <f>IF(B2131="",0,IF(OR(H2131=MappingTables!$C$34,H2131=MappingTables!$C$35),P2131,0))</f>
        <v>0</v>
      </c>
      <c r="R2131" s="73">
        <f>IF(ISNA(IF(AND(VLOOKUP(CONCATENATE($D2131,$G2131),CSRFinput!$B:$E,4,0)=0,OR(H2131=MappingTables!$C$31,H2131=MappingTables!$C$32)),1,VLOOKUP(CONCATENATE($D2131,$G2131),CSRFinput!$B:$E,4,0))),0,IF(AND(VLOOKUP(CONCATENATE($D2131,$G2131),CSRFinput!$B:$E,4,0)=0,OR(H2131=MappingTables!$C$31,H2131=MappingTables!$C$32)),1,VLOOKUP(CONCATENATE($D2131,$G2131),CSRFinput!$B:$E,4,0)))</f>
        <v>0.054776304963434752</v>
      </c>
      <c r="S2131" s="73">
        <f>IF(B2131="",0,P2131*R2131)</f>
        <v>0.675763908721138</v>
      </c>
      <c r="T2131" s="85">
        <f>IF(B2131="",0,IF(OR(H2131=MappingTables!$C$34,H2131=MappingTables!$C$35),S2131,0))</f>
        <v>0</v>
      </c>
    </row>
    <row r="2132" spans="2:20" s="0" customFormat="0" ht="15">
      <c r="B2132" s="69" t="s">
        <v>5189</v>
      </c>
      <c r="C2132" s="70" t="s">
        <v>5190</v>
      </c>
      <c r="D2132" s="70" t="s">
        <v>1</v>
      </c>
      <c r="E2132" s="70" t="s">
        <v>1</v>
      </c>
      <c r="F2132" s="70"/>
      <c r="G2132" s="70" t="s">
        <v>61</v>
      </c>
      <c r="H2132" s="70" t="s">
        <v>178</v>
      </c>
      <c r="I2132" s="70" t="s">
        <v>204</v>
      </c>
      <c r="J2132" s="71">
        <f>IF(OR(I2132=0,I2132=""),"unrated",VLOOKUP(I2132,MappingTables!$B$19:$C$31,2,FALSE))</f>
        <v>6</v>
      </c>
      <c r="K2132" s="72">
        <v>2.5070924965136764</v>
      </c>
      <c r="L2132" s="70">
        <v>0.068492993218075336</v>
      </c>
      <c r="M2132" s="71">
        <f>IF(L2132&lt;1,1,L2132)</f>
        <v>1</v>
      </c>
      <c r="N2132" s="70" t="s">
        <v>3288</v>
      </c>
      <c r="O2132" s="71">
        <f>IF(OR(I2132=$A$1,I2132=0),"",IF(N2132=MappingTables!$C$14,VLOOKUP(J2132,ModelParameters!$M$8:$N$15,2,FALSE),IF(N2132=MappingTables!$C$16,VLOOKUP(J2132,ModelParameters!$P$8:$Q$15,2,FALSE),0)))</f>
        <v>1</v>
      </c>
      <c r="P2132" s="73">
        <f>IF(OR(I2132=0,I2132=$A$1),0,MIN(O2132*M2132,1)*K2132)</f>
        <v>2.5070924965136764</v>
      </c>
      <c r="Q2132" s="73">
        <f>IF(B2132="",0,IF(OR(H2132=MappingTables!$C$34,H2132=MappingTables!$C$35),P2132,0))</f>
        <v>0</v>
      </c>
      <c r="R2132" s="73">
        <f>IF(ISNA(IF(AND(VLOOKUP(CONCATENATE($D2132,$G2132),CSRFinput!$B:$E,4,0)=0,OR(H2132=MappingTables!$C$31,H2132=MappingTables!$C$32)),1,VLOOKUP(CONCATENATE($D2132,$G2132),CSRFinput!$B:$E,4,0))),0,IF(AND(VLOOKUP(CONCATENATE($D2132,$G2132),CSRFinput!$B:$E,4,0)=0,OR(H2132=MappingTables!$C$31,H2132=MappingTables!$C$32)),1,VLOOKUP(CONCATENATE($D2132,$G2132),CSRFinput!$B:$E,4,0)))</f>
        <v>0.054776304963434752</v>
      </c>
      <c r="S2132" s="73">
        <f>IF(B2132="",0,P2132*R2132)</f>
        <v>0.13732926316057212</v>
      </c>
      <c r="T2132" s="85">
        <f>IF(B2132="",0,IF(OR(H2132=MappingTables!$C$34,H2132=MappingTables!$C$35),S2132,0))</f>
        <v>0</v>
      </c>
    </row>
    <row r="2133" spans="2:20" s="0" customFormat="0" ht="15">
      <c r="B2133" s="69" t="s">
        <v>4565</v>
      </c>
      <c r="C2133" s="70" t="s">
        <v>4566</v>
      </c>
      <c r="D2133" s="70" t="s">
        <v>1</v>
      </c>
      <c r="E2133" s="70" t="s">
        <v>1</v>
      </c>
      <c r="F2133" s="70"/>
      <c r="G2133" s="70" t="s">
        <v>61</v>
      </c>
      <c r="H2133" s="70" t="s">
        <v>178</v>
      </c>
      <c r="I2133" s="70" t="s">
        <v>179</v>
      </c>
      <c r="J2133" s="71">
        <f>IF(OR(I2133=0,I2133=""),"unrated",VLOOKUP(I2133,MappingTables!$B$19:$C$31,2,FALSE))</f>
        <v>4</v>
      </c>
      <c r="K2133" s="72">
        <v>474.2207286019652</v>
      </c>
      <c r="L2133" s="70">
        <v>0.068496790923362816</v>
      </c>
      <c r="M2133" s="71">
        <f>IF(L2133&lt;1,1,L2133)</f>
        <v>1</v>
      </c>
      <c r="N2133" s="70" t="s">
        <v>3288</v>
      </c>
      <c r="O2133" s="71">
        <f>IF(OR(I2133=$A$1,I2133=0),"",IF(N2133=MappingTables!$C$14,VLOOKUP(J2133,ModelParameters!$M$8:$N$15,2,FALSE),IF(N2133=MappingTables!$C$16,VLOOKUP(J2133,ModelParameters!$P$8:$Q$15,2,FALSE),0)))</f>
        <v>0.82</v>
      </c>
      <c r="P2133" s="73">
        <f>IF(OR(I2133=0,I2133=$A$1),0,MIN(O2133*M2133,1)*K2133)</f>
        <v>388.86099745361136</v>
      </c>
      <c r="Q2133" s="73">
        <f>IF(B2133="",0,IF(OR(H2133=MappingTables!$C$34,H2133=MappingTables!$C$35),P2133,0))</f>
        <v>0</v>
      </c>
      <c r="R2133" s="73">
        <f>IF(ISNA(IF(AND(VLOOKUP(CONCATENATE($D2133,$G2133),CSRFinput!$B:$E,4,0)=0,OR(H2133=MappingTables!$C$31,H2133=MappingTables!$C$32)),1,VLOOKUP(CONCATENATE($D2133,$G2133),CSRFinput!$B:$E,4,0))),0,IF(AND(VLOOKUP(CONCATENATE($D2133,$G2133),CSRFinput!$B:$E,4,0)=0,OR(H2133=MappingTables!$C$31,H2133=MappingTables!$C$32)),1,VLOOKUP(CONCATENATE($D2133,$G2133),CSRFinput!$B:$E,4,0)))</f>
        <v>0.054776304963434752</v>
      </c>
      <c r="S2133" s="73">
        <f>IF(B2133="",0,P2133*R2133)</f>
        <v>21.300368584904444</v>
      </c>
      <c r="T2133" s="85">
        <f>IF(B2133="",0,IF(OR(H2133=MappingTables!$C$34,H2133=MappingTables!$C$35),S2133,0))</f>
        <v>0</v>
      </c>
    </row>
    <row r="2134" spans="2:20" s="0" customFormat="0" ht="15">
      <c r="B2134" s="69" t="s">
        <v>3803</v>
      </c>
      <c r="C2134" s="70" t="s">
        <v>3804</v>
      </c>
      <c r="D2134" s="70" t="s">
        <v>1</v>
      </c>
      <c r="E2134" s="70" t="s">
        <v>1</v>
      </c>
      <c r="F2134" s="70"/>
      <c r="G2134" s="70" t="s">
        <v>61</v>
      </c>
      <c r="H2134" s="70" t="s">
        <v>178</v>
      </c>
      <c r="I2134" s="70" t="s">
        <v>198</v>
      </c>
      <c r="J2134" s="71" t="str">
        <f>IF(OR(I2134=0,I2134=""),"unrated",VLOOKUP(I2134,MappingTables!$B$19:$C$31,2,FALSE))</f>
        <v>unrated</v>
      </c>
      <c r="K2134" s="72">
        <v>58.270828973571696</v>
      </c>
      <c r="L2134" s="70">
        <v>0.05479749665618924</v>
      </c>
      <c r="M2134" s="71">
        <f>IF(L2134&lt;1,1,L2134)</f>
        <v>1</v>
      </c>
      <c r="N2134" s="70" t="s">
        <v>3288</v>
      </c>
      <c r="O2134" s="71">
        <f>IF(OR(I2134=$A$1,I2134=0),"",IF(N2134=MappingTables!$C$14,VLOOKUP(J2134,ModelParameters!$M$8:$N$15,2,FALSE),IF(N2134=MappingTables!$C$16,VLOOKUP(J2134,ModelParameters!$P$8:$Q$15,2,FALSE),0)))</f>
        <v>1</v>
      </c>
      <c r="P2134" s="73">
        <f>IF(OR(I2134=0,I2134=$A$1),0,MIN(O2134*M2134,1)*K2134)</f>
        <v>58.270828973571696</v>
      </c>
      <c r="Q2134" s="73">
        <f>IF(B2134="",0,IF(OR(H2134=MappingTables!$C$34,H2134=MappingTables!$C$35),P2134,0))</f>
        <v>0</v>
      </c>
      <c r="R2134" s="73">
        <f>IF(ISNA(IF(AND(VLOOKUP(CONCATENATE($D2134,$G2134),CSRFinput!$B:$E,4,0)=0,OR(H2134=MappingTables!$C$31,H2134=MappingTables!$C$32)),1,VLOOKUP(CONCATENATE($D2134,$G2134),CSRFinput!$B:$E,4,0))),0,IF(AND(VLOOKUP(CONCATENATE($D2134,$G2134),CSRFinput!$B:$E,4,0)=0,OR(H2134=MappingTables!$C$31,H2134=MappingTables!$C$32)),1,VLOOKUP(CONCATENATE($D2134,$G2134),CSRFinput!$B:$E,4,0)))</f>
        <v>0.054776304963434752</v>
      </c>
      <c r="S2134" s="73">
        <f>IF(B2134="",0,P2134*R2134)</f>
        <v>3.1918606983285128</v>
      </c>
      <c r="T2134" s="85">
        <f>IF(B2134="",0,IF(OR(H2134=MappingTables!$C$34,H2134=MappingTables!$C$35),S2134,0))</f>
        <v>0</v>
      </c>
    </row>
    <row r="2135" spans="2:20" s="0" customFormat="0" ht="15">
      <c r="B2135" s="69" t="s">
        <v>5221</v>
      </c>
      <c r="C2135" s="70" t="s">
        <v>5222</v>
      </c>
      <c r="D2135" s="70" t="s">
        <v>1</v>
      </c>
      <c r="E2135" s="70" t="s">
        <v>1</v>
      </c>
      <c r="F2135" s="70"/>
      <c r="G2135" s="70" t="s">
        <v>61</v>
      </c>
      <c r="H2135" s="70" t="s">
        <v>178</v>
      </c>
      <c r="I2135" s="70" t="s">
        <v>184</v>
      </c>
      <c r="J2135" s="71">
        <f>IF(OR(I2135=0,I2135=""),"unrated",VLOOKUP(I2135,MappingTables!$B$19:$C$31,2,FALSE))</f>
        <v>5</v>
      </c>
      <c r="K2135" s="72">
        <v>143.05113770071816</v>
      </c>
      <c r="L2135" s="70">
        <v>4.0065510770553032</v>
      </c>
      <c r="M2135" s="71">
        <f>IF(L2135&lt;1,1,L2135)</f>
        <v>4.0065510770553032</v>
      </c>
      <c r="N2135" s="70" t="s">
        <v>3288</v>
      </c>
      <c r="O2135" s="71">
        <f>IF(OR(I2135=$A$1,I2135=0),"",IF(N2135=MappingTables!$C$14,VLOOKUP(J2135,ModelParameters!$M$8:$N$15,2,FALSE),IF(N2135=MappingTables!$C$16,VLOOKUP(J2135,ModelParameters!$P$8:$Q$15,2,FALSE),0)))</f>
        <v>1</v>
      </c>
      <c r="P2135" s="73">
        <f>IF(OR(I2135=0,I2135=$A$1),0,MIN(O2135*M2135,1)*K2135)</f>
        <v>143.05113770071816</v>
      </c>
      <c r="Q2135" s="73">
        <f>IF(B2135="",0,IF(OR(H2135=MappingTables!$C$34,H2135=MappingTables!$C$35),P2135,0))</f>
        <v>0</v>
      </c>
      <c r="R2135" s="73">
        <f>IF(ISNA(IF(AND(VLOOKUP(CONCATENATE($D2135,$G2135),CSRFinput!$B:$E,4,0)=0,OR(H2135=MappingTables!$C$31,H2135=MappingTables!$C$32)),1,VLOOKUP(CONCATENATE($D2135,$G2135),CSRFinput!$B:$E,4,0))),0,IF(AND(VLOOKUP(CONCATENATE($D2135,$G2135),CSRFinput!$B:$E,4,0)=0,OR(H2135=MappingTables!$C$31,H2135=MappingTables!$C$32)),1,VLOOKUP(CONCATENATE($D2135,$G2135),CSRFinput!$B:$E,4,0)))</f>
        <v>0.054776304963434752</v>
      </c>
      <c r="S2135" s="73">
        <f>IF(B2135="",0,P2135*R2135)</f>
        <v>7.8358127440608368</v>
      </c>
      <c r="T2135" s="85">
        <f>IF(B2135="",0,IF(OR(H2135=MappingTables!$C$34,H2135=MappingTables!$C$35),S2135,0))</f>
        <v>0</v>
      </c>
    </row>
    <row r="2136" spans="2:20" s="0" customFormat="0" ht="15">
      <c r="B2136" s="69" t="s">
        <v>3954</v>
      </c>
      <c r="C2136" s="70" t="s">
        <v>3955</v>
      </c>
      <c r="D2136" s="70" t="s">
        <v>1</v>
      </c>
      <c r="E2136" s="70" t="s">
        <v>1</v>
      </c>
      <c r="F2136" s="70"/>
      <c r="G2136" s="70" t="s">
        <v>61</v>
      </c>
      <c r="H2136" s="70" t="s">
        <v>178</v>
      </c>
      <c r="I2136" s="70" t="s">
        <v>3298</v>
      </c>
      <c r="J2136" s="71">
        <f>IF(OR(I2136=0,I2136=""),"unrated",VLOOKUP(I2136,MappingTables!$B$19:$C$31,2,FALSE))</f>
        <v>6</v>
      </c>
      <c r="K2136" s="72">
        <v>365.9917443051212</v>
      </c>
      <c r="L2136" s="70">
        <v>-0.55687108535667192</v>
      </c>
      <c r="M2136" s="71">
        <f>IF(L2136&lt;1,1,L2136)</f>
        <v>1</v>
      </c>
      <c r="N2136" s="70" t="s">
        <v>3288</v>
      </c>
      <c r="O2136" s="71">
        <f>IF(OR(I2136=$A$1,I2136=0),"",IF(N2136=MappingTables!$C$14,VLOOKUP(J2136,ModelParameters!$M$8:$N$15,2,FALSE),IF(N2136=MappingTables!$C$16,VLOOKUP(J2136,ModelParameters!$P$8:$Q$15,2,FALSE),0)))</f>
        <v>1</v>
      </c>
      <c r="P2136" s="73">
        <f>IF(OR(I2136=0,I2136=$A$1),0,MIN(O2136*M2136,1)*K2136)</f>
        <v>365.9917443051212</v>
      </c>
      <c r="Q2136" s="73">
        <f>IF(B2136="",0,IF(OR(H2136=MappingTables!$C$34,H2136=MappingTables!$C$35),P2136,0))</f>
        <v>0</v>
      </c>
      <c r="R2136" s="73">
        <f>IF(ISNA(IF(AND(VLOOKUP(CONCATENATE($D2136,$G2136),CSRFinput!$B:$E,4,0)=0,OR(H2136=MappingTables!$C$31,H2136=MappingTables!$C$32)),1,VLOOKUP(CONCATENATE($D2136,$G2136),CSRFinput!$B:$E,4,0))),0,IF(AND(VLOOKUP(CONCATENATE($D2136,$G2136),CSRFinput!$B:$E,4,0)=0,OR(H2136=MappingTables!$C$31,H2136=MappingTables!$C$32)),1,VLOOKUP(CONCATENATE($D2136,$G2136),CSRFinput!$B:$E,4,0)))</f>
        <v>0.054776304963434752</v>
      </c>
      <c r="S2136" s="73">
        <f>IF(B2136="",0,P2136*R2136)</f>
        <v>20.047675400156752</v>
      </c>
      <c r="T2136" s="85">
        <f>IF(B2136="",0,IF(OR(H2136=MappingTables!$C$34,H2136=MappingTables!$C$35),S2136,0))</f>
        <v>0</v>
      </c>
    </row>
    <row r="2137" spans="2:20" s="0" customFormat="0" ht="15">
      <c r="B2137" s="69" t="s">
        <v>5234</v>
      </c>
      <c r="C2137" s="70" t="s">
        <v>5235</v>
      </c>
      <c r="D2137" s="70" t="s">
        <v>1</v>
      </c>
      <c r="E2137" s="70" t="s">
        <v>1</v>
      </c>
      <c r="F2137" s="70"/>
      <c r="G2137" s="70" t="s">
        <v>61</v>
      </c>
      <c r="H2137" s="70" t="s">
        <v>178</v>
      </c>
      <c r="I2137" s="70" t="s">
        <v>216</v>
      </c>
      <c r="J2137" s="71">
        <f>IF(OR(I2137=0,I2137=""),"unrated",VLOOKUP(I2137,MappingTables!$B$19:$C$31,2,FALSE))</f>
        <v>0</v>
      </c>
      <c r="K2137" s="72">
        <v>534.26374499000576</v>
      </c>
      <c r="L2137" s="70">
        <v>0.48091359586021608</v>
      </c>
      <c r="M2137" s="71">
        <f>IF(L2137&lt;1,1,L2137)</f>
        <v>1</v>
      </c>
      <c r="N2137" s="70" t="s">
        <v>3288</v>
      </c>
      <c r="O2137" s="71">
        <f>IF(OR(I2137=$A$1,I2137=0),"",IF(N2137=MappingTables!$C$14,VLOOKUP(J2137,ModelParameters!$M$8:$N$15,2,FALSE),IF(N2137=MappingTables!$C$16,VLOOKUP(J2137,ModelParameters!$P$8:$Q$15,2,FALSE),0)))</f>
        <v>0.125</v>
      </c>
      <c r="P2137" s="73">
        <f>IF(OR(I2137=0,I2137=$A$1),0,MIN(O2137*M2137,1)*K2137)</f>
        <v>66.78296812375072</v>
      </c>
      <c r="Q2137" s="73">
        <f>IF(B2137="",0,IF(OR(H2137=MappingTables!$C$34,H2137=MappingTables!$C$35),P2137,0))</f>
        <v>0</v>
      </c>
      <c r="R2137" s="73">
        <f>IF(ISNA(IF(AND(VLOOKUP(CONCATENATE($D2137,$G2137),CSRFinput!$B:$E,4,0)=0,OR(H2137=MappingTables!$C$31,H2137=MappingTables!$C$32)),1,VLOOKUP(CONCATENATE($D2137,$G2137),CSRFinput!$B:$E,4,0))),0,IF(AND(VLOOKUP(CONCATENATE($D2137,$G2137),CSRFinput!$B:$E,4,0)=0,OR(H2137=MappingTables!$C$31,H2137=MappingTables!$C$32)),1,VLOOKUP(CONCATENATE($D2137,$G2137),CSRFinput!$B:$E,4,0)))</f>
        <v>0.054776304963434752</v>
      </c>
      <c r="S2137" s="73">
        <f>IF(B2137="",0,P2137*R2137)</f>
        <v>3.6581242283099112</v>
      </c>
      <c r="T2137" s="85">
        <f>IF(B2137="",0,IF(OR(H2137=MappingTables!$C$34,H2137=MappingTables!$C$35),S2137,0))</f>
        <v>0</v>
      </c>
    </row>
    <row r="2138" spans="2:20" s="0" customFormat="0" ht="15">
      <c r="B2138" s="69">
        <v>22623673</v>
      </c>
      <c r="C2138" s="70" t="s">
        <v>4279</v>
      </c>
      <c r="D2138" s="70" t="s">
        <v>1</v>
      </c>
      <c r="E2138" s="70" t="s">
        <v>1</v>
      </c>
      <c r="F2138" s="70"/>
      <c r="G2138" s="70" t="s">
        <v>61</v>
      </c>
      <c r="H2138" s="70" t="s">
        <v>178</v>
      </c>
      <c r="I2138" s="70" t="s">
        <v>204</v>
      </c>
      <c r="J2138" s="71">
        <f>IF(OR(I2138=0,I2138=""),"unrated",VLOOKUP(I2138,MappingTables!$B$19:$C$31,2,FALSE))</f>
        <v>6</v>
      </c>
      <c r="K2138" s="72">
        <v>688.6995373760736</v>
      </c>
      <c r="L2138" s="70">
        <v>0.068493200779059096</v>
      </c>
      <c r="M2138" s="71">
        <f>IF(L2138&lt;1,1,L2138)</f>
        <v>1</v>
      </c>
      <c r="N2138" s="70" t="s">
        <v>3288</v>
      </c>
      <c r="O2138" s="71">
        <f>IF(OR(I2138=$A$1,I2138=0),"",IF(N2138=MappingTables!$C$14,VLOOKUP(J2138,ModelParameters!$M$8:$N$15,2,FALSE),IF(N2138=MappingTables!$C$16,VLOOKUP(J2138,ModelParameters!$P$8:$Q$15,2,FALSE),0)))</f>
        <v>1</v>
      </c>
      <c r="P2138" s="73">
        <f>IF(OR(I2138=0,I2138=$A$1),0,MIN(O2138*M2138,1)*K2138)</f>
        <v>688.6995373760736</v>
      </c>
      <c r="Q2138" s="73">
        <f>IF(B2138="",0,IF(OR(H2138=MappingTables!$C$34,H2138=MappingTables!$C$35),P2138,0))</f>
        <v>0</v>
      </c>
      <c r="R2138" s="73">
        <f>IF(ISNA(IF(AND(VLOOKUP(CONCATENATE($D2138,$G2138),CSRFinput!$B:$E,4,0)=0,OR(H2138=MappingTables!$C$31,H2138=MappingTables!$C$32)),1,VLOOKUP(CONCATENATE($D2138,$G2138),CSRFinput!$B:$E,4,0))),0,IF(AND(VLOOKUP(CONCATENATE($D2138,$G2138),CSRFinput!$B:$E,4,0)=0,OR(H2138=MappingTables!$C$31,H2138=MappingTables!$C$32)),1,VLOOKUP(CONCATENATE($D2138,$G2138),CSRFinput!$B:$E,4,0)))</f>
        <v>0.054776304963434752</v>
      </c>
      <c r="S2138" s="73">
        <f>IF(B2138="",0,P2138*R2138)</f>
        <v>37.72441588748824</v>
      </c>
      <c r="T2138" s="85">
        <f>IF(B2138="",0,IF(OR(H2138=MappingTables!$C$34,H2138=MappingTables!$C$35),S2138,0))</f>
        <v>0</v>
      </c>
    </row>
    <row r="2139" spans="2:20" s="0" customFormat="0" ht="15">
      <c r="B2139" s="69" t="s">
        <v>5236</v>
      </c>
      <c r="C2139" s="70" t="s">
        <v>5237</v>
      </c>
      <c r="D2139" s="70" t="s">
        <v>1</v>
      </c>
      <c r="E2139" s="70" t="s">
        <v>1</v>
      </c>
      <c r="F2139" s="70"/>
      <c r="G2139" s="70" t="s">
        <v>61</v>
      </c>
      <c r="H2139" s="70" t="s">
        <v>178</v>
      </c>
      <c r="I2139" s="70" t="s">
        <v>198</v>
      </c>
      <c r="J2139" s="71" t="str">
        <f>IF(OR(I2139=0,I2139=""),"unrated",VLOOKUP(I2139,MappingTables!$B$19:$C$31,2,FALSE))</f>
        <v>unrated</v>
      </c>
      <c r="K2139" s="72">
        <v>27.5027850542559</v>
      </c>
      <c r="L2139" s="70">
        <v>7.9422716539360384</v>
      </c>
      <c r="M2139" s="71">
        <f>IF(L2139&lt;1,1,L2139)</f>
        <v>7.9422716539360384</v>
      </c>
      <c r="N2139" s="70" t="s">
        <v>3288</v>
      </c>
      <c r="O2139" s="71">
        <f>IF(OR(I2139=$A$1,I2139=0),"",IF(N2139=MappingTables!$C$14,VLOOKUP(J2139,ModelParameters!$M$8:$N$15,2,FALSE),IF(N2139=MappingTables!$C$16,VLOOKUP(J2139,ModelParameters!$P$8:$Q$15,2,FALSE),0)))</f>
        <v>1</v>
      </c>
      <c r="P2139" s="73">
        <f>IF(OR(I2139=0,I2139=$A$1),0,MIN(O2139*M2139,1)*K2139)</f>
        <v>27.5027850542559</v>
      </c>
      <c r="Q2139" s="73">
        <f>IF(B2139="",0,IF(OR(H2139=MappingTables!$C$34,H2139=MappingTables!$C$35),P2139,0))</f>
        <v>0</v>
      </c>
      <c r="R2139" s="73">
        <f>IF(ISNA(IF(AND(VLOOKUP(CONCATENATE($D2139,$G2139),CSRFinput!$B:$E,4,0)=0,OR(H2139=MappingTables!$C$31,H2139=MappingTables!$C$32)),1,VLOOKUP(CONCATENATE($D2139,$G2139),CSRFinput!$B:$E,4,0))),0,IF(AND(VLOOKUP(CONCATENATE($D2139,$G2139),CSRFinput!$B:$E,4,0)=0,OR(H2139=MappingTables!$C$31,H2139=MappingTables!$C$32)),1,VLOOKUP(CONCATENATE($D2139,$G2139),CSRFinput!$B:$E,4,0)))</f>
        <v>0.054776304963434752</v>
      </c>
      <c r="S2139" s="73">
        <f>IF(B2139="",0,P2139*R2139)</f>
        <v>1.5065009414757164</v>
      </c>
      <c r="T2139" s="85">
        <f>IF(B2139="",0,IF(OR(H2139=MappingTables!$C$34,H2139=MappingTables!$C$35),S2139,0))</f>
        <v>0</v>
      </c>
    </row>
    <row r="2140" spans="2:20" s="0" customFormat="0" ht="15">
      <c r="B2140" s="69">
        <v>22623665</v>
      </c>
      <c r="C2140" s="70" t="s">
        <v>5200</v>
      </c>
      <c r="D2140" s="70" t="s">
        <v>1</v>
      </c>
      <c r="E2140" s="70" t="s">
        <v>1</v>
      </c>
      <c r="F2140" s="70"/>
      <c r="G2140" s="70" t="s">
        <v>61</v>
      </c>
      <c r="H2140" s="70" t="s">
        <v>178</v>
      </c>
      <c r="I2140" s="70" t="s">
        <v>216</v>
      </c>
      <c r="J2140" s="71">
        <f>IF(OR(I2140=0,I2140=""),"unrated",VLOOKUP(I2140,MappingTables!$B$19:$C$31,2,FALSE))</f>
        <v>0</v>
      </c>
      <c r="K2140" s="72">
        <v>969.13601569238032</v>
      </c>
      <c r="L2140" s="70">
        <v>0.040869357996528376</v>
      </c>
      <c r="M2140" s="71">
        <f>IF(L2140&lt;1,1,L2140)</f>
        <v>1</v>
      </c>
      <c r="N2140" s="70" t="s">
        <v>3288</v>
      </c>
      <c r="O2140" s="71">
        <f>IF(OR(I2140=$A$1,I2140=0),"",IF(N2140=MappingTables!$C$14,VLOOKUP(J2140,ModelParameters!$M$8:$N$15,2,FALSE),IF(N2140=MappingTables!$C$16,VLOOKUP(J2140,ModelParameters!$P$8:$Q$15,2,FALSE),0)))</f>
        <v>0.125</v>
      </c>
      <c r="P2140" s="73">
        <f>IF(OR(I2140=0,I2140=$A$1),0,MIN(O2140*M2140,1)*K2140)</f>
        <v>121.14200196154754</v>
      </c>
      <c r="Q2140" s="73">
        <f>IF(B2140="",0,IF(OR(H2140=MappingTables!$C$34,H2140=MappingTables!$C$35),P2140,0))</f>
        <v>0</v>
      </c>
      <c r="R2140" s="73">
        <f>IF(ISNA(IF(AND(VLOOKUP(CONCATENATE($D2140,$G2140),CSRFinput!$B:$E,4,0)=0,OR(H2140=MappingTables!$C$31,H2140=MappingTables!$C$32)),1,VLOOKUP(CONCATENATE($D2140,$G2140),CSRFinput!$B:$E,4,0))),0,IF(AND(VLOOKUP(CONCATENATE($D2140,$G2140),CSRFinput!$B:$E,4,0)=0,OR(H2140=MappingTables!$C$31,H2140=MappingTables!$C$32)),1,VLOOKUP(CONCATENATE($D2140,$G2140),CSRFinput!$B:$E,4,0)))</f>
        <v>0.054776304963434752</v>
      </c>
      <c r="S2140" s="73">
        <f>IF(B2140="",0,P2140*R2140)</f>
        <v>6.6357112433267392</v>
      </c>
      <c r="T2140" s="85">
        <f>IF(B2140="",0,IF(OR(H2140=MappingTables!$C$34,H2140=MappingTables!$C$35),S2140,0))</f>
        <v>0</v>
      </c>
    </row>
    <row r="2141" spans="2:20" s="0" customFormat="0" ht="15">
      <c r="B2141" s="69" t="s">
        <v>5049</v>
      </c>
      <c r="C2141" s="70" t="s">
        <v>5050</v>
      </c>
      <c r="D2141" s="70" t="s">
        <v>1</v>
      </c>
      <c r="E2141" s="70" t="s">
        <v>1</v>
      </c>
      <c r="F2141" s="70"/>
      <c r="G2141" s="70" t="s">
        <v>61</v>
      </c>
      <c r="H2141" s="70" t="s">
        <v>178</v>
      </c>
      <c r="I2141" s="70" t="s">
        <v>198</v>
      </c>
      <c r="J2141" s="71" t="str">
        <f>IF(OR(I2141=0,I2141=""),"unrated",VLOOKUP(I2141,MappingTables!$B$19:$C$31,2,FALSE))</f>
        <v>unrated</v>
      </c>
      <c r="K2141" s="72">
        <v>412.03718010301856</v>
      </c>
      <c r="L2141" s="70">
        <v>9.6983266422201216</v>
      </c>
      <c r="M2141" s="71">
        <f>IF(L2141&lt;1,1,L2141)</f>
        <v>9.6983266422201216</v>
      </c>
      <c r="N2141" s="70" t="s">
        <v>3288</v>
      </c>
      <c r="O2141" s="71">
        <f>IF(OR(I2141=$A$1,I2141=0),"",IF(N2141=MappingTables!$C$14,VLOOKUP(J2141,ModelParameters!$M$8:$N$15,2,FALSE),IF(N2141=MappingTables!$C$16,VLOOKUP(J2141,ModelParameters!$P$8:$Q$15,2,FALSE),0)))</f>
        <v>1</v>
      </c>
      <c r="P2141" s="73">
        <f>IF(OR(I2141=0,I2141=$A$1),0,MIN(O2141*M2141,1)*K2141)</f>
        <v>412.03718010301856</v>
      </c>
      <c r="Q2141" s="73">
        <f>IF(B2141="",0,IF(OR(H2141=MappingTables!$C$34,H2141=MappingTables!$C$35),P2141,0))</f>
        <v>0</v>
      </c>
      <c r="R2141" s="73">
        <f>IF(ISNA(IF(AND(VLOOKUP(CONCATENATE($D2141,$G2141),CSRFinput!$B:$E,4,0)=0,OR(H2141=MappingTables!$C$31,H2141=MappingTables!$C$32)),1,VLOOKUP(CONCATENATE($D2141,$G2141),CSRFinput!$B:$E,4,0))),0,IF(AND(VLOOKUP(CONCATENATE($D2141,$G2141),CSRFinput!$B:$E,4,0)=0,OR(H2141=MappingTables!$C$31,H2141=MappingTables!$C$32)),1,VLOOKUP(CONCATENATE($D2141,$G2141),CSRFinput!$B:$E,4,0)))</f>
        <v>0.054776304963434752</v>
      </c>
      <c r="S2141" s="73">
        <f>IF(B2141="",0,P2141*R2141)</f>
        <v>22.569874233596636</v>
      </c>
      <c r="T2141" s="85">
        <f>IF(B2141="",0,IF(OR(H2141=MappingTables!$C$34,H2141=MappingTables!$C$35),S2141,0))</f>
        <v>0</v>
      </c>
    </row>
    <row r="2142" spans="2:20" s="0" customFormat="0" ht="15">
      <c r="B2142" s="69" t="s">
        <v>5168</v>
      </c>
      <c r="C2142" s="70" t="s">
        <v>5169</v>
      </c>
      <c r="D2142" s="70" t="s">
        <v>1</v>
      </c>
      <c r="E2142" s="70" t="s">
        <v>1</v>
      </c>
      <c r="F2142" s="70"/>
      <c r="G2142" s="70" t="s">
        <v>61</v>
      </c>
      <c r="H2142" s="70" t="s">
        <v>178</v>
      </c>
      <c r="I2142" s="70" t="s">
        <v>188</v>
      </c>
      <c r="J2142" s="71">
        <f>IF(OR(I2142=0,I2142=""),"unrated",VLOOKUP(I2142,MappingTables!$B$19:$C$31,2,FALSE))</f>
        <v>2</v>
      </c>
      <c r="K2142" s="72">
        <v>7.2451529231454736</v>
      </c>
      <c r="L2142" s="70">
        <v>0.06849185042340532</v>
      </c>
      <c r="M2142" s="71">
        <f>IF(L2142&lt;1,1,L2142)</f>
        <v>1</v>
      </c>
      <c r="N2142" s="70" t="s">
        <v>3288</v>
      </c>
      <c r="O2142" s="71">
        <f>IF(OR(I2142=$A$1,I2142=0),"",IF(N2142=MappingTables!$C$14,VLOOKUP(J2142,ModelParameters!$M$8:$N$15,2,FALSE),IF(N2142=MappingTables!$C$16,VLOOKUP(J2142,ModelParameters!$P$8:$Q$15,2,FALSE),0)))</f>
        <v>0.166</v>
      </c>
      <c r="P2142" s="73">
        <f>IF(OR(I2142=0,I2142=$A$1),0,MIN(O2142*M2142,1)*K2142)</f>
        <v>1.2026953852421484</v>
      </c>
      <c r="Q2142" s="73">
        <f>IF(B2142="",0,IF(OR(H2142=MappingTables!$C$34,H2142=MappingTables!$C$35),P2142,0))</f>
        <v>0</v>
      </c>
      <c r="R2142" s="73">
        <f>IF(ISNA(IF(AND(VLOOKUP(CONCATENATE($D2142,$G2142),CSRFinput!$B:$E,4,0)=0,OR(H2142=MappingTables!$C$31,H2142=MappingTables!$C$32)),1,VLOOKUP(CONCATENATE($D2142,$G2142),CSRFinput!$B:$E,4,0))),0,IF(AND(VLOOKUP(CONCATENATE($D2142,$G2142),CSRFinput!$B:$E,4,0)=0,OR(H2142=MappingTables!$C$31,H2142=MappingTables!$C$32)),1,VLOOKUP(CONCATENATE($D2142,$G2142),CSRFinput!$B:$E,4,0)))</f>
        <v>0.054776304963434752</v>
      </c>
      <c r="S2142" s="73">
        <f>IF(B2142="",0,P2142*R2142)</f>
        <v>0.065879209200139568</v>
      </c>
      <c r="T2142" s="85">
        <f>IF(B2142="",0,IF(OR(H2142=MappingTables!$C$34,H2142=MappingTables!$C$35),S2142,0))</f>
        <v>0</v>
      </c>
    </row>
    <row r="2143" spans="2:20" s="0" customFormat="0" ht="15">
      <c r="B2143" s="69" t="s">
        <v>5160</v>
      </c>
      <c r="C2143" s="70" t="s">
        <v>5161</v>
      </c>
      <c r="D2143" s="70" t="s">
        <v>1</v>
      </c>
      <c r="E2143" s="70" t="s">
        <v>1</v>
      </c>
      <c r="F2143" s="70"/>
      <c r="G2143" s="70" t="s">
        <v>61</v>
      </c>
      <c r="H2143" s="70" t="s">
        <v>178</v>
      </c>
      <c r="I2143" s="70" t="s">
        <v>188</v>
      </c>
      <c r="J2143" s="71">
        <f>IF(OR(I2143=0,I2143=""),"unrated",VLOOKUP(I2143,MappingTables!$B$19:$C$31,2,FALSE))</f>
        <v>2</v>
      </c>
      <c r="K2143" s="72">
        <v>1.5127661089231018</v>
      </c>
      <c r="L2143" s="70">
        <v>0.068492265837146976</v>
      </c>
      <c r="M2143" s="71">
        <f>IF(L2143&lt;1,1,L2143)</f>
        <v>1</v>
      </c>
      <c r="N2143" s="70" t="s">
        <v>3288</v>
      </c>
      <c r="O2143" s="71">
        <f>IF(OR(I2143=$A$1,I2143=0),"",IF(N2143=MappingTables!$C$14,VLOOKUP(J2143,ModelParameters!$M$8:$N$15,2,FALSE),IF(N2143=MappingTables!$C$16,VLOOKUP(J2143,ModelParameters!$P$8:$Q$15,2,FALSE),0)))</f>
        <v>0.166</v>
      </c>
      <c r="P2143" s="73">
        <f>IF(OR(I2143=0,I2143=$A$1),0,MIN(O2143*M2143,1)*K2143)</f>
        <v>0.25111917408123492</v>
      </c>
      <c r="Q2143" s="73">
        <f>IF(B2143="",0,IF(OR(H2143=MappingTables!$C$34,H2143=MappingTables!$C$35),P2143,0))</f>
        <v>0</v>
      </c>
      <c r="R2143" s="73">
        <f>IF(ISNA(IF(AND(VLOOKUP(CONCATENATE($D2143,$G2143),CSRFinput!$B:$E,4,0)=0,OR(H2143=MappingTables!$C$31,H2143=MappingTables!$C$32)),1,VLOOKUP(CONCATENATE($D2143,$G2143),CSRFinput!$B:$E,4,0))),0,IF(AND(VLOOKUP(CONCATENATE($D2143,$G2143),CSRFinput!$B:$E,4,0)=0,OR(H2143=MappingTables!$C$31,H2143=MappingTables!$C$32)),1,VLOOKUP(CONCATENATE($D2143,$G2143),CSRFinput!$B:$E,4,0)))</f>
        <v>0.054776304963434752</v>
      </c>
      <c r="S2143" s="73">
        <f>IF(B2143="",0,P2143*R2143)</f>
        <v>0.013755380461639584</v>
      </c>
      <c r="T2143" s="85">
        <f>IF(B2143="",0,IF(OR(H2143=MappingTables!$C$34,H2143=MappingTables!$C$35),S2143,0))</f>
        <v>0</v>
      </c>
    </row>
    <row r="2144" spans="2:20" s="0" customFormat="0" ht="15">
      <c r="B2144" s="69">
        <v>18964213</v>
      </c>
      <c r="C2144" s="70" t="s">
        <v>3937</v>
      </c>
      <c r="D2144" s="70" t="s">
        <v>1</v>
      </c>
      <c r="E2144" s="70" t="s">
        <v>1</v>
      </c>
      <c r="F2144" s="70"/>
      <c r="G2144" s="70" t="s">
        <v>61</v>
      </c>
      <c r="H2144" s="70" t="s">
        <v>178</v>
      </c>
      <c r="I2144" s="70" t="s">
        <v>216</v>
      </c>
      <c r="J2144" s="71">
        <f>IF(OR(I2144=0,I2144=""),"unrated",VLOOKUP(I2144,MappingTables!$B$19:$C$31,2,FALSE))</f>
        <v>0</v>
      </c>
      <c r="K2144" s="72">
        <v>683.46213443169768</v>
      </c>
      <c r="L2144" s="70">
        <v>0.045829610489019328</v>
      </c>
      <c r="M2144" s="71">
        <f>IF(L2144&lt;1,1,L2144)</f>
        <v>1</v>
      </c>
      <c r="N2144" s="70" t="s">
        <v>3288</v>
      </c>
      <c r="O2144" s="71">
        <f>IF(OR(I2144=$A$1,I2144=0),"",IF(N2144=MappingTables!$C$14,VLOOKUP(J2144,ModelParameters!$M$8:$N$15,2,FALSE),IF(N2144=MappingTables!$C$16,VLOOKUP(J2144,ModelParameters!$P$8:$Q$15,2,FALSE),0)))</f>
        <v>0.125</v>
      </c>
      <c r="P2144" s="73">
        <f>IF(OR(I2144=0,I2144=$A$1),0,MIN(O2144*M2144,1)*K2144)</f>
        <v>85.432766803962208</v>
      </c>
      <c r="Q2144" s="73">
        <f>IF(B2144="",0,IF(OR(H2144=MappingTables!$C$34,H2144=MappingTables!$C$35),P2144,0))</f>
        <v>0</v>
      </c>
      <c r="R2144" s="73">
        <f>IF(ISNA(IF(AND(VLOOKUP(CONCATENATE($D2144,$G2144),CSRFinput!$B:$E,4,0)=0,OR(H2144=MappingTables!$C$31,H2144=MappingTables!$C$32)),1,VLOOKUP(CONCATENATE($D2144,$G2144),CSRFinput!$B:$E,4,0))),0,IF(AND(VLOOKUP(CONCATENATE($D2144,$G2144),CSRFinput!$B:$E,4,0)=0,OR(H2144=MappingTables!$C$31,H2144=MappingTables!$C$32)),1,VLOOKUP(CONCATENATE($D2144,$G2144),CSRFinput!$B:$E,4,0)))</f>
        <v>0.054776304963434752</v>
      </c>
      <c r="S2144" s="73">
        <f>IF(B2144="",0,P2144*R2144)</f>
        <v>4.6796912883238384</v>
      </c>
      <c r="T2144" s="85">
        <f>IF(B2144="",0,IF(OR(H2144=MappingTables!$C$34,H2144=MappingTables!$C$35),S2144,0))</f>
        <v>0</v>
      </c>
    </row>
    <row r="2145" spans="2:20" s="0" customFormat="0" ht="15">
      <c r="B2145" s="69" t="s">
        <v>4903</v>
      </c>
      <c r="C2145" s="70" t="s">
        <v>4904</v>
      </c>
      <c r="D2145" s="70" t="s">
        <v>1</v>
      </c>
      <c r="E2145" s="70" t="s">
        <v>1</v>
      </c>
      <c r="F2145" s="70"/>
      <c r="G2145" s="70" t="s">
        <v>61</v>
      </c>
      <c r="H2145" s="70" t="s">
        <v>178</v>
      </c>
      <c r="I2145" s="70" t="s">
        <v>204</v>
      </c>
      <c r="J2145" s="71">
        <f>IF(OR(I2145=0,I2145=""),"unrated",VLOOKUP(I2145,MappingTables!$B$19:$C$31,2,FALSE))</f>
        <v>6</v>
      </c>
      <c r="K2145" s="72">
        <v>30.632122717478952</v>
      </c>
      <c r="L2145" s="70">
        <v>0.068494943476765088</v>
      </c>
      <c r="M2145" s="71">
        <f>IF(L2145&lt;1,1,L2145)</f>
        <v>1</v>
      </c>
      <c r="N2145" s="70" t="s">
        <v>3288</v>
      </c>
      <c r="O2145" s="71">
        <f>IF(OR(I2145=$A$1,I2145=0),"",IF(N2145=MappingTables!$C$14,VLOOKUP(J2145,ModelParameters!$M$8:$N$15,2,FALSE),IF(N2145=MappingTables!$C$16,VLOOKUP(J2145,ModelParameters!$P$8:$Q$15,2,FALSE),0)))</f>
        <v>1</v>
      </c>
      <c r="P2145" s="73">
        <f>IF(OR(I2145=0,I2145=$A$1),0,MIN(O2145*M2145,1)*K2145)</f>
        <v>30.632122717478952</v>
      </c>
      <c r="Q2145" s="73">
        <f>IF(B2145="",0,IF(OR(H2145=MappingTables!$C$34,H2145=MappingTables!$C$35),P2145,0))</f>
        <v>0</v>
      </c>
      <c r="R2145" s="73">
        <f>IF(ISNA(IF(AND(VLOOKUP(CONCATENATE($D2145,$G2145),CSRFinput!$B:$E,4,0)=0,OR(H2145=MappingTables!$C$31,H2145=MappingTables!$C$32)),1,VLOOKUP(CONCATENATE($D2145,$G2145),CSRFinput!$B:$E,4,0))),0,IF(AND(VLOOKUP(CONCATENATE($D2145,$G2145),CSRFinput!$B:$E,4,0)=0,OR(H2145=MappingTables!$C$31,H2145=MappingTables!$C$32)),1,VLOOKUP(CONCATENATE($D2145,$G2145),CSRFinput!$B:$E,4,0)))</f>
        <v>0.054776304963434752</v>
      </c>
      <c r="S2145" s="73">
        <f>IF(B2145="",0,P2145*R2145)</f>
        <v>1.677914495649985</v>
      </c>
      <c r="T2145" s="85">
        <f>IF(B2145="",0,IF(OR(H2145=MappingTables!$C$34,H2145=MappingTables!$C$35),S2145,0))</f>
        <v>0</v>
      </c>
    </row>
    <row r="2146" spans="2:20" s="0" customFormat="0" ht="15">
      <c r="B2146" s="69">
        <v>870778</v>
      </c>
      <c r="C2146" s="70" t="s">
        <v>3601</v>
      </c>
      <c r="D2146" s="70" t="s">
        <v>1</v>
      </c>
      <c r="E2146" s="70" t="s">
        <v>1</v>
      </c>
      <c r="F2146" s="70"/>
      <c r="G2146" s="70" t="s">
        <v>61</v>
      </c>
      <c r="H2146" s="70" t="s">
        <v>178</v>
      </c>
      <c r="I2146" s="70" t="s">
        <v>220</v>
      </c>
      <c r="J2146" s="71">
        <f>IF(OR(I2146=0,I2146=""),"unrated",VLOOKUP(I2146,MappingTables!$B$19:$C$31,2,FALSE))</f>
        <v>1</v>
      </c>
      <c r="K2146" s="72">
        <v>54.874587349212488</v>
      </c>
      <c r="L2146" s="70">
        <v>0.068493863235506592</v>
      </c>
      <c r="M2146" s="71">
        <f>IF(L2146&lt;1,1,L2146)</f>
        <v>1</v>
      </c>
      <c r="N2146" s="70" t="s">
        <v>3288</v>
      </c>
      <c r="O2146" s="71">
        <f>IF(OR(I2146=$A$1,I2146=0),"",IF(N2146=MappingTables!$C$14,VLOOKUP(J2146,ModelParameters!$M$8:$N$15,2,FALSE),IF(N2146=MappingTables!$C$16,VLOOKUP(J2146,ModelParameters!$P$8:$Q$15,2,FALSE),0)))</f>
        <v>0.134</v>
      </c>
      <c r="P2146" s="73">
        <f>IF(OR(I2146=0,I2146=$A$1),0,MIN(O2146*M2146,1)*K2146)</f>
        <v>7.3531947047944736</v>
      </c>
      <c r="Q2146" s="73">
        <f>IF(B2146="",0,IF(OR(H2146=MappingTables!$C$34,H2146=MappingTables!$C$35),P2146,0))</f>
        <v>0</v>
      </c>
      <c r="R2146" s="73">
        <f>IF(ISNA(IF(AND(VLOOKUP(CONCATENATE($D2146,$G2146),CSRFinput!$B:$E,4,0)=0,OR(H2146=MappingTables!$C$31,H2146=MappingTables!$C$32)),1,VLOOKUP(CONCATENATE($D2146,$G2146),CSRFinput!$B:$E,4,0))),0,IF(AND(VLOOKUP(CONCATENATE($D2146,$G2146),CSRFinput!$B:$E,4,0)=0,OR(H2146=MappingTables!$C$31,H2146=MappingTables!$C$32)),1,VLOOKUP(CONCATENATE($D2146,$G2146),CSRFinput!$B:$E,4,0)))</f>
        <v>0.054776304963434752</v>
      </c>
      <c r="S2146" s="73">
        <f>IF(B2146="",0,P2146*R2146)</f>
        <v>0.40278083560533568</v>
      </c>
      <c r="T2146" s="85">
        <f>IF(B2146="",0,IF(OR(H2146=MappingTables!$C$34,H2146=MappingTables!$C$35),S2146,0))</f>
        <v>0</v>
      </c>
    </row>
    <row r="2147" spans="2:20" s="0" customFormat="0" ht="15">
      <c r="B2147" s="69">
        <v>22554481</v>
      </c>
      <c r="C2147" s="70" t="s">
        <v>5048</v>
      </c>
      <c r="D2147" s="70" t="s">
        <v>1</v>
      </c>
      <c r="E2147" s="70" t="s">
        <v>1</v>
      </c>
      <c r="F2147" s="70"/>
      <c r="G2147" s="70" t="s">
        <v>61</v>
      </c>
      <c r="H2147" s="70" t="s">
        <v>178</v>
      </c>
      <c r="I2147" s="70" t="s">
        <v>216</v>
      </c>
      <c r="J2147" s="71">
        <f>IF(OR(I2147=0,I2147=""),"unrated",VLOOKUP(I2147,MappingTables!$B$19:$C$31,2,FALSE))</f>
        <v>0</v>
      </c>
      <c r="K2147" s="72">
        <v>3.9172148525521184</v>
      </c>
      <c r="L2147" s="70">
        <v>0.038565806288886872</v>
      </c>
      <c r="M2147" s="71">
        <f>IF(L2147&lt;1,1,L2147)</f>
        <v>1</v>
      </c>
      <c r="N2147" s="70" t="s">
        <v>3288</v>
      </c>
      <c r="O2147" s="71">
        <f>IF(OR(I2147=$A$1,I2147=0),"",IF(N2147=MappingTables!$C$14,VLOOKUP(J2147,ModelParameters!$M$8:$N$15,2,FALSE),IF(N2147=MappingTables!$C$16,VLOOKUP(J2147,ModelParameters!$P$8:$Q$15,2,FALSE),0)))</f>
        <v>0.125</v>
      </c>
      <c r="P2147" s="73">
        <f>IF(OR(I2147=0,I2147=$A$1),0,MIN(O2147*M2147,1)*K2147)</f>
        <v>0.4896518565690148</v>
      </c>
      <c r="Q2147" s="73">
        <f>IF(B2147="",0,IF(OR(H2147=MappingTables!$C$34,H2147=MappingTables!$C$35),P2147,0))</f>
        <v>0</v>
      </c>
      <c r="R2147" s="73">
        <f>IF(ISNA(IF(AND(VLOOKUP(CONCATENATE($D2147,$G2147),CSRFinput!$B:$E,4,0)=0,OR(H2147=MappingTables!$C$31,H2147=MappingTables!$C$32)),1,VLOOKUP(CONCATENATE($D2147,$G2147),CSRFinput!$B:$E,4,0))),0,IF(AND(VLOOKUP(CONCATENATE($D2147,$G2147),CSRFinput!$B:$E,4,0)=0,OR(H2147=MappingTables!$C$31,H2147=MappingTables!$C$32)),1,VLOOKUP(CONCATENATE($D2147,$G2147),CSRFinput!$B:$E,4,0)))</f>
        <v>0.054776304963434752</v>
      </c>
      <c r="S2147" s="73">
        <f>IF(B2147="",0,P2147*R2147)</f>
        <v>0.026821319421336368</v>
      </c>
      <c r="T2147" s="85">
        <f>IF(B2147="",0,IF(OR(H2147=MappingTables!$C$34,H2147=MappingTables!$C$35),S2147,0))</f>
        <v>0</v>
      </c>
    </row>
    <row r="2148" spans="2:20" s="0" customFormat="0" ht="15">
      <c r="B2148" s="69" t="s">
        <v>4900</v>
      </c>
      <c r="C2148" s="70" t="s">
        <v>4901</v>
      </c>
      <c r="D2148" s="70" t="s">
        <v>1</v>
      </c>
      <c r="E2148" s="70" t="s">
        <v>1</v>
      </c>
      <c r="F2148" s="70"/>
      <c r="G2148" s="70" t="s">
        <v>61</v>
      </c>
      <c r="H2148" s="70" t="s">
        <v>178</v>
      </c>
      <c r="I2148" s="70" t="s">
        <v>216</v>
      </c>
      <c r="J2148" s="71">
        <f>IF(OR(I2148=0,I2148=""),"unrated",VLOOKUP(I2148,MappingTables!$B$19:$C$31,2,FALSE))</f>
        <v>0</v>
      </c>
      <c r="K2148" s="72">
        <v>135.49708024338876</v>
      </c>
      <c r="L2148" s="70">
        <v>0.0082163902423539648</v>
      </c>
      <c r="M2148" s="71">
        <f>IF(L2148&lt;1,1,L2148)</f>
        <v>1</v>
      </c>
      <c r="N2148" s="70" t="s">
        <v>3288</v>
      </c>
      <c r="O2148" s="71">
        <f>IF(OR(I2148=$A$1,I2148=0),"",IF(N2148=MappingTables!$C$14,VLOOKUP(J2148,ModelParameters!$M$8:$N$15,2,FALSE),IF(N2148=MappingTables!$C$16,VLOOKUP(J2148,ModelParameters!$P$8:$Q$15,2,FALSE),0)))</f>
        <v>0.125</v>
      </c>
      <c r="P2148" s="73">
        <f>IF(OR(I2148=0,I2148=$A$1),0,MIN(O2148*M2148,1)*K2148)</f>
        <v>16.937135030423594</v>
      </c>
      <c r="Q2148" s="73">
        <f>IF(B2148="",0,IF(OR(H2148=MappingTables!$C$34,H2148=MappingTables!$C$35),P2148,0))</f>
        <v>0</v>
      </c>
      <c r="R2148" s="73">
        <f>IF(ISNA(IF(AND(VLOOKUP(CONCATENATE($D2148,$G2148),CSRFinput!$B:$E,4,0)=0,OR(H2148=MappingTables!$C$31,H2148=MappingTables!$C$32)),1,VLOOKUP(CONCATENATE($D2148,$G2148),CSRFinput!$B:$E,4,0))),0,IF(AND(VLOOKUP(CONCATENATE($D2148,$G2148),CSRFinput!$B:$E,4,0)=0,OR(H2148=MappingTables!$C$31,H2148=MappingTables!$C$32)),1,VLOOKUP(CONCATENATE($D2148,$G2148),CSRFinput!$B:$E,4,0)))</f>
        <v>0.054776304963434752</v>
      </c>
      <c r="S2148" s="73">
        <f>IF(B2148="",0,P2148*R2148)</f>
        <v>0.92775367363335664</v>
      </c>
      <c r="T2148" s="85">
        <f>IF(B2148="",0,IF(OR(H2148=MappingTables!$C$34,H2148=MappingTables!$C$35),S2148,0))</f>
        <v>0</v>
      </c>
    </row>
    <row r="2149" spans="2:20" s="0" customFormat="0" ht="15">
      <c r="B2149" s="69" t="s">
        <v>4831</v>
      </c>
      <c r="C2149" s="70" t="s">
        <v>4832</v>
      </c>
      <c r="D2149" s="70" t="s">
        <v>1</v>
      </c>
      <c r="E2149" s="70" t="s">
        <v>1</v>
      </c>
      <c r="F2149" s="70"/>
      <c r="G2149" s="70" t="s">
        <v>61</v>
      </c>
      <c r="H2149" s="70" t="s">
        <v>178</v>
      </c>
      <c r="I2149" s="70" t="s">
        <v>3298</v>
      </c>
      <c r="J2149" s="71">
        <f>IF(OR(I2149=0,I2149=""),"unrated",VLOOKUP(I2149,MappingTables!$B$19:$C$31,2,FALSE))</f>
        <v>6</v>
      </c>
      <c r="K2149" s="72">
        <v>24.550863355035352</v>
      </c>
      <c r="L2149" s="70">
        <v>0.06849241176059176</v>
      </c>
      <c r="M2149" s="71">
        <f>IF(L2149&lt;1,1,L2149)</f>
        <v>1</v>
      </c>
      <c r="N2149" s="70" t="s">
        <v>3288</v>
      </c>
      <c r="O2149" s="71">
        <f>IF(OR(I2149=$A$1,I2149=0),"",IF(N2149=MappingTables!$C$14,VLOOKUP(J2149,ModelParameters!$M$8:$N$15,2,FALSE),IF(N2149=MappingTables!$C$16,VLOOKUP(J2149,ModelParameters!$P$8:$Q$15,2,FALSE),0)))</f>
        <v>1</v>
      </c>
      <c r="P2149" s="73">
        <f>IF(OR(I2149=0,I2149=$A$1),0,MIN(O2149*M2149,1)*K2149)</f>
        <v>24.550863355035352</v>
      </c>
      <c r="Q2149" s="73">
        <f>IF(B2149="",0,IF(OR(H2149=MappingTables!$C$34,H2149=MappingTables!$C$35),P2149,0))</f>
        <v>0</v>
      </c>
      <c r="R2149" s="73">
        <f>IF(ISNA(IF(AND(VLOOKUP(CONCATENATE($D2149,$G2149),CSRFinput!$B:$E,4,0)=0,OR(H2149=MappingTables!$C$31,H2149=MappingTables!$C$32)),1,VLOOKUP(CONCATENATE($D2149,$G2149),CSRFinput!$B:$E,4,0))),0,IF(AND(VLOOKUP(CONCATENATE($D2149,$G2149),CSRFinput!$B:$E,4,0)=0,OR(H2149=MappingTables!$C$31,H2149=MappingTables!$C$32)),1,VLOOKUP(CONCATENATE($D2149,$G2149),CSRFinput!$B:$E,4,0)))</f>
        <v>0.054776304963434752</v>
      </c>
      <c r="S2149" s="73">
        <f>IF(B2149="",0,P2149*R2149)</f>
        <v>1.3448055782510314</v>
      </c>
      <c r="T2149" s="85">
        <f>IF(B2149="",0,IF(OR(H2149=MappingTables!$C$34,H2149=MappingTables!$C$35),S2149,0))</f>
        <v>0</v>
      </c>
    </row>
    <row r="2150" spans="2:20" s="0" customFormat="0" ht="15">
      <c r="B2150" s="69" t="s">
        <v>5118</v>
      </c>
      <c r="C2150" s="70" t="s">
        <v>5119</v>
      </c>
      <c r="D2150" s="70" t="s">
        <v>1</v>
      </c>
      <c r="E2150" s="70" t="s">
        <v>1</v>
      </c>
      <c r="F2150" s="70"/>
      <c r="G2150" s="70" t="s">
        <v>61</v>
      </c>
      <c r="H2150" s="70" t="s">
        <v>178</v>
      </c>
      <c r="I2150" s="70" t="s">
        <v>216</v>
      </c>
      <c r="J2150" s="71">
        <f>IF(OR(I2150=0,I2150=""),"unrated",VLOOKUP(I2150,MappingTables!$B$19:$C$31,2,FALSE))</f>
        <v>0</v>
      </c>
      <c r="K2150" s="72">
        <v>2.2685892258180996</v>
      </c>
      <c r="L2150" s="70">
        <v>0.068494196505832936</v>
      </c>
      <c r="M2150" s="71">
        <f>IF(L2150&lt;1,1,L2150)</f>
        <v>1</v>
      </c>
      <c r="N2150" s="70" t="s">
        <v>3288</v>
      </c>
      <c r="O2150" s="71">
        <f>IF(OR(I2150=$A$1,I2150=0),"",IF(N2150=MappingTables!$C$14,VLOOKUP(J2150,ModelParameters!$M$8:$N$15,2,FALSE),IF(N2150=MappingTables!$C$16,VLOOKUP(J2150,ModelParameters!$P$8:$Q$15,2,FALSE),0)))</f>
        <v>0.125</v>
      </c>
      <c r="P2150" s="73">
        <f>IF(OR(I2150=0,I2150=$A$1),0,MIN(O2150*M2150,1)*K2150)</f>
        <v>0.28357365322726248</v>
      </c>
      <c r="Q2150" s="73">
        <f>IF(B2150="",0,IF(OR(H2150=MappingTables!$C$34,H2150=MappingTables!$C$35),P2150,0))</f>
        <v>0</v>
      </c>
      <c r="R2150" s="73">
        <f>IF(ISNA(IF(AND(VLOOKUP(CONCATENATE($D2150,$G2150),CSRFinput!$B:$E,4,0)=0,OR(H2150=MappingTables!$C$31,H2150=MappingTables!$C$32)),1,VLOOKUP(CONCATENATE($D2150,$G2150),CSRFinput!$B:$E,4,0))),0,IF(AND(VLOOKUP(CONCATENATE($D2150,$G2150),CSRFinput!$B:$E,4,0)=0,OR(H2150=MappingTables!$C$31,H2150=MappingTables!$C$32)),1,VLOOKUP(CONCATENATE($D2150,$G2150),CSRFinput!$B:$E,4,0)))</f>
        <v>0.054776304963434752</v>
      </c>
      <c r="S2150" s="73">
        <f>IF(B2150="",0,P2150*R2150)</f>
        <v>0.015533116908771824</v>
      </c>
      <c r="T2150" s="85">
        <f>IF(B2150="",0,IF(OR(H2150=MappingTables!$C$34,H2150=MappingTables!$C$35),S2150,0))</f>
        <v>0</v>
      </c>
    </row>
    <row r="2151" spans="2:20" s="0" customFormat="0" ht="15">
      <c r="B2151" s="69" t="s">
        <v>4567</v>
      </c>
      <c r="C2151" s="70" t="s">
        <v>4568</v>
      </c>
      <c r="D2151" s="70" t="s">
        <v>1</v>
      </c>
      <c r="E2151" s="70" t="s">
        <v>1</v>
      </c>
      <c r="F2151" s="70"/>
      <c r="G2151" s="70" t="s">
        <v>61</v>
      </c>
      <c r="H2151" s="70" t="s">
        <v>178</v>
      </c>
      <c r="I2151" s="70" t="s">
        <v>198</v>
      </c>
      <c r="J2151" s="71" t="str">
        <f>IF(OR(I2151=0,I2151=""),"unrated",VLOOKUP(I2151,MappingTables!$B$19:$C$31,2,FALSE))</f>
        <v>unrated</v>
      </c>
      <c r="K2151" s="72">
        <v>273.38625476333124</v>
      </c>
      <c r="L2151" s="70">
        <v>0.020631710267655912</v>
      </c>
      <c r="M2151" s="71">
        <f>IF(L2151&lt;1,1,L2151)</f>
        <v>1</v>
      </c>
      <c r="N2151" s="70" t="s">
        <v>3288</v>
      </c>
      <c r="O2151" s="71">
        <f>IF(OR(I2151=$A$1,I2151=0),"",IF(N2151=MappingTables!$C$14,VLOOKUP(J2151,ModelParameters!$M$8:$N$15,2,FALSE),IF(N2151=MappingTables!$C$16,VLOOKUP(J2151,ModelParameters!$P$8:$Q$15,2,FALSE),0)))</f>
        <v>1</v>
      </c>
      <c r="P2151" s="73">
        <f>IF(OR(I2151=0,I2151=$A$1),0,MIN(O2151*M2151,1)*K2151)</f>
        <v>273.38625476333124</v>
      </c>
      <c r="Q2151" s="73">
        <f>IF(B2151="",0,IF(OR(H2151=MappingTables!$C$34,H2151=MappingTables!$C$35),P2151,0))</f>
        <v>0</v>
      </c>
      <c r="R2151" s="73">
        <f>IF(ISNA(IF(AND(VLOOKUP(CONCATENATE($D2151,$G2151),CSRFinput!$B:$E,4,0)=0,OR(H2151=MappingTables!$C$31,H2151=MappingTables!$C$32)),1,VLOOKUP(CONCATENATE($D2151,$G2151),CSRFinput!$B:$E,4,0))),0,IF(AND(VLOOKUP(CONCATENATE($D2151,$G2151),CSRFinput!$B:$E,4,0)=0,OR(H2151=MappingTables!$C$31,H2151=MappingTables!$C$32)),1,VLOOKUP(CONCATENATE($D2151,$G2151),CSRFinput!$B:$E,4,0)))</f>
        <v>0.054776304963434752</v>
      </c>
      <c r="S2151" s="73">
        <f>IF(B2151="",0,P2151*R2151)</f>
        <v>14.9750888637275</v>
      </c>
      <c r="T2151" s="85">
        <f>IF(B2151="",0,IF(OR(H2151=MappingTables!$C$34,H2151=MappingTables!$C$35),S2151,0))</f>
        <v>0</v>
      </c>
    </row>
    <row r="2152" spans="2:20" s="0" customFormat="0" ht="15">
      <c r="B2152" s="69" t="s">
        <v>3442</v>
      </c>
      <c r="C2152" s="70" t="s">
        <v>3443</v>
      </c>
      <c r="D2152" s="70" t="s">
        <v>1</v>
      </c>
      <c r="E2152" s="70" t="s">
        <v>1</v>
      </c>
      <c r="F2152" s="70"/>
      <c r="G2152" s="70" t="s">
        <v>61</v>
      </c>
      <c r="H2152" s="70" t="s">
        <v>178</v>
      </c>
      <c r="I2152" s="70" t="s">
        <v>3298</v>
      </c>
      <c r="J2152" s="71">
        <f>IF(OR(I2152=0,I2152=""),"unrated",VLOOKUP(I2152,MappingTables!$B$19:$C$31,2,FALSE))</f>
        <v>6</v>
      </c>
      <c r="K2152" s="72">
        <v>420.37124015021336</v>
      </c>
      <c r="L2152" s="70">
        <v>0.068497427232852096</v>
      </c>
      <c r="M2152" s="71">
        <f>IF(L2152&lt;1,1,L2152)</f>
        <v>1</v>
      </c>
      <c r="N2152" s="70" t="s">
        <v>3288</v>
      </c>
      <c r="O2152" s="71">
        <f>IF(OR(I2152=$A$1,I2152=0),"",IF(N2152=MappingTables!$C$14,VLOOKUP(J2152,ModelParameters!$M$8:$N$15,2,FALSE),IF(N2152=MappingTables!$C$16,VLOOKUP(J2152,ModelParameters!$P$8:$Q$15,2,FALSE),0)))</f>
        <v>1</v>
      </c>
      <c r="P2152" s="73">
        <f>IF(OR(I2152=0,I2152=$A$1),0,MIN(O2152*M2152,1)*K2152)</f>
        <v>420.37124015021336</v>
      </c>
      <c r="Q2152" s="73">
        <f>IF(B2152="",0,IF(OR(H2152=MappingTables!$C$34,H2152=MappingTables!$C$35),P2152,0))</f>
        <v>0</v>
      </c>
      <c r="R2152" s="73">
        <f>IF(ISNA(IF(AND(VLOOKUP(CONCATENATE($D2152,$G2152),CSRFinput!$B:$E,4,0)=0,OR(H2152=MappingTables!$C$31,H2152=MappingTables!$C$32)),1,VLOOKUP(CONCATENATE($D2152,$G2152),CSRFinput!$B:$E,4,0))),0,IF(AND(VLOOKUP(CONCATENATE($D2152,$G2152),CSRFinput!$B:$E,4,0)=0,OR(H2152=MappingTables!$C$31,H2152=MappingTables!$C$32)),1,VLOOKUP(CONCATENATE($D2152,$G2152),CSRFinput!$B:$E,4,0)))</f>
        <v>0.054776304963434752</v>
      </c>
      <c r="S2152" s="73">
        <f>IF(B2152="",0,P2152*R2152)</f>
        <v>23.026383248325356</v>
      </c>
      <c r="T2152" s="85">
        <f>IF(B2152="",0,IF(OR(H2152=MappingTables!$C$34,H2152=MappingTables!$C$35),S2152,0))</f>
        <v>0</v>
      </c>
    </row>
    <row r="2153" spans="2:20" s="0" customFormat="0" ht="15">
      <c r="B2153" s="69" t="s">
        <v>4348</v>
      </c>
      <c r="C2153" s="70" t="s">
        <v>4349</v>
      </c>
      <c r="D2153" s="70" t="s">
        <v>1</v>
      </c>
      <c r="E2153" s="70" t="s">
        <v>1</v>
      </c>
      <c r="F2153" s="70"/>
      <c r="G2153" s="70" t="s">
        <v>61</v>
      </c>
      <c r="H2153" s="70" t="s">
        <v>178</v>
      </c>
      <c r="I2153" s="70" t="s">
        <v>198</v>
      </c>
      <c r="J2153" s="71" t="str">
        <f>IF(OR(I2153=0,I2153=""),"unrated",VLOOKUP(I2153,MappingTables!$B$19:$C$31,2,FALSE))</f>
        <v>unrated</v>
      </c>
      <c r="K2153" s="72">
        <v>1.9362079041826628</v>
      </c>
      <c r="L2153" s="70">
        <v>8.778382447725296</v>
      </c>
      <c r="M2153" s="71">
        <f>IF(L2153&lt;1,1,L2153)</f>
        <v>8.778382447725296</v>
      </c>
      <c r="N2153" s="70" t="s">
        <v>3288</v>
      </c>
      <c r="O2153" s="71">
        <f>IF(OR(I2153=$A$1,I2153=0),"",IF(N2153=MappingTables!$C$14,VLOOKUP(J2153,ModelParameters!$M$8:$N$15,2,FALSE),IF(N2153=MappingTables!$C$16,VLOOKUP(J2153,ModelParameters!$P$8:$Q$15,2,FALSE),0)))</f>
        <v>1</v>
      </c>
      <c r="P2153" s="73">
        <f>IF(OR(I2153=0,I2153=$A$1),0,MIN(O2153*M2153,1)*K2153)</f>
        <v>1.9362079041826628</v>
      </c>
      <c r="Q2153" s="73">
        <f>IF(B2153="",0,IF(OR(H2153=MappingTables!$C$34,H2153=MappingTables!$C$35),P2153,0))</f>
        <v>0</v>
      </c>
      <c r="R2153" s="73">
        <f>IF(ISNA(IF(AND(VLOOKUP(CONCATENATE($D2153,$G2153),CSRFinput!$B:$E,4,0)=0,OR(H2153=MappingTables!$C$31,H2153=MappingTables!$C$32)),1,VLOOKUP(CONCATENATE($D2153,$G2153),CSRFinput!$B:$E,4,0))),0,IF(AND(VLOOKUP(CONCATENATE($D2153,$G2153),CSRFinput!$B:$E,4,0)=0,OR(H2153=MappingTables!$C$31,H2153=MappingTables!$C$32)),1,VLOOKUP(CONCATENATE($D2153,$G2153),CSRFinput!$B:$E,4,0)))</f>
        <v>0.054776304963434752</v>
      </c>
      <c r="S2153" s="73">
        <f>IF(B2153="",0,P2153*R2153)</f>
        <v>0.1060583146321224</v>
      </c>
      <c r="T2153" s="85">
        <f>IF(B2153="",0,IF(OR(H2153=MappingTables!$C$34,H2153=MappingTables!$C$35),S2153,0))</f>
        <v>0</v>
      </c>
    </row>
    <row r="2154" spans="2:20" s="0" customFormat="0" ht="15">
      <c r="B2154" s="69">
        <v>813657</v>
      </c>
      <c r="C2154" s="70" t="s">
        <v>4933</v>
      </c>
      <c r="D2154" s="70" t="s">
        <v>1</v>
      </c>
      <c r="E2154" s="70" t="s">
        <v>1</v>
      </c>
      <c r="F2154" s="70"/>
      <c r="G2154" s="70" t="s">
        <v>61</v>
      </c>
      <c r="H2154" s="70" t="s">
        <v>178</v>
      </c>
      <c r="I2154" s="70" t="s">
        <v>220</v>
      </c>
      <c r="J2154" s="71">
        <f>IF(OR(I2154=0,I2154=""),"unrated",VLOOKUP(I2154,MappingTables!$B$19:$C$31,2,FALSE))</f>
        <v>1</v>
      </c>
      <c r="K2154" s="72">
        <v>3.0764825147440556</v>
      </c>
      <c r="L2154" s="70">
        <v>0.068492968397430912</v>
      </c>
      <c r="M2154" s="71">
        <f>IF(L2154&lt;1,1,L2154)</f>
        <v>1</v>
      </c>
      <c r="N2154" s="70" t="s">
        <v>3288</v>
      </c>
      <c r="O2154" s="71">
        <f>IF(OR(I2154=$A$1,I2154=0),"",IF(N2154=MappingTables!$C$14,VLOOKUP(J2154,ModelParameters!$M$8:$N$15,2,FALSE),IF(N2154=MappingTables!$C$16,VLOOKUP(J2154,ModelParameters!$P$8:$Q$15,2,FALSE),0)))</f>
        <v>0.134</v>
      </c>
      <c r="P2154" s="73">
        <f>IF(OR(I2154=0,I2154=$A$1),0,MIN(O2154*M2154,1)*K2154)</f>
        <v>0.41224865697570352</v>
      </c>
      <c r="Q2154" s="73">
        <f>IF(B2154="",0,IF(OR(H2154=MappingTables!$C$34,H2154=MappingTables!$C$35),P2154,0))</f>
        <v>0</v>
      </c>
      <c r="R2154" s="73">
        <f>IF(ISNA(IF(AND(VLOOKUP(CONCATENATE($D2154,$G2154),CSRFinput!$B:$E,4,0)=0,OR(H2154=MappingTables!$C$31,H2154=MappingTables!$C$32)),1,VLOOKUP(CONCATENATE($D2154,$G2154),CSRFinput!$B:$E,4,0))),0,IF(AND(VLOOKUP(CONCATENATE($D2154,$G2154),CSRFinput!$B:$E,4,0)=0,OR(H2154=MappingTables!$C$31,H2154=MappingTables!$C$32)),1,VLOOKUP(CONCATENATE($D2154,$G2154),CSRFinput!$B:$E,4,0)))</f>
        <v>0.054776304963434752</v>
      </c>
      <c r="S2154" s="73">
        <f>IF(B2154="",0,P2154*R2154)</f>
        <v>0.02258145815526754</v>
      </c>
      <c r="T2154" s="85">
        <f>IF(B2154="",0,IF(OR(H2154=MappingTables!$C$34,H2154=MappingTables!$C$35),S2154,0))</f>
        <v>0</v>
      </c>
    </row>
    <row r="2155" spans="2:20" s="0" customFormat="0" ht="15">
      <c r="B2155" s="69" t="s">
        <v>4395</v>
      </c>
      <c r="C2155" s="70" t="s">
        <v>4396</v>
      </c>
      <c r="D2155" s="70" t="s">
        <v>1</v>
      </c>
      <c r="E2155" s="70" t="s">
        <v>1</v>
      </c>
      <c r="F2155" s="70"/>
      <c r="G2155" s="70" t="s">
        <v>61</v>
      </c>
      <c r="H2155" s="70" t="s">
        <v>178</v>
      </c>
      <c r="I2155" s="70" t="s">
        <v>204</v>
      </c>
      <c r="J2155" s="71">
        <f>IF(OR(I2155=0,I2155=""),"unrated",VLOOKUP(I2155,MappingTables!$B$19:$C$31,2,FALSE))</f>
        <v>6</v>
      </c>
      <c r="K2155" s="72">
        <v>76.177887332829568</v>
      </c>
      <c r="L2155" s="70">
        <v>0.068488842822409984</v>
      </c>
      <c r="M2155" s="71">
        <f>IF(L2155&lt;1,1,L2155)</f>
        <v>1</v>
      </c>
      <c r="N2155" s="70" t="s">
        <v>3288</v>
      </c>
      <c r="O2155" s="71">
        <f>IF(OR(I2155=$A$1,I2155=0),"",IF(N2155=MappingTables!$C$14,VLOOKUP(J2155,ModelParameters!$M$8:$N$15,2,FALSE),IF(N2155=MappingTables!$C$16,VLOOKUP(J2155,ModelParameters!$P$8:$Q$15,2,FALSE),0)))</f>
        <v>1</v>
      </c>
      <c r="P2155" s="73">
        <f>IF(OR(I2155=0,I2155=$A$1),0,MIN(O2155*M2155,1)*K2155)</f>
        <v>76.177887332829568</v>
      </c>
      <c r="Q2155" s="73">
        <f>IF(B2155="",0,IF(OR(H2155=MappingTables!$C$34,H2155=MappingTables!$C$35),P2155,0))</f>
        <v>0</v>
      </c>
      <c r="R2155" s="73">
        <f>IF(ISNA(IF(AND(VLOOKUP(CONCATENATE($D2155,$G2155),CSRFinput!$B:$E,4,0)=0,OR(H2155=MappingTables!$C$31,H2155=MappingTables!$C$32)),1,VLOOKUP(CONCATENATE($D2155,$G2155),CSRFinput!$B:$E,4,0))),0,IF(AND(VLOOKUP(CONCATENATE($D2155,$G2155),CSRFinput!$B:$E,4,0)=0,OR(H2155=MappingTables!$C$31,H2155=MappingTables!$C$32)),1,VLOOKUP(CONCATENATE($D2155,$G2155),CSRFinput!$B:$E,4,0)))</f>
        <v>0.054776304963434752</v>
      </c>
      <c r="S2155" s="73">
        <f>IF(B2155="",0,P2155*R2155)</f>
        <v>4.1727431880132456</v>
      </c>
      <c r="T2155" s="85">
        <f>IF(B2155="",0,IF(OR(H2155=MappingTables!$C$34,H2155=MappingTables!$C$35),S2155,0))</f>
        <v>0</v>
      </c>
    </row>
    <row r="2156" spans="2:20" s="0" customFormat="0" ht="15">
      <c r="B2156" s="69" t="s">
        <v>3644</v>
      </c>
      <c r="C2156" s="70" t="s">
        <v>3645</v>
      </c>
      <c r="D2156" s="70" t="s">
        <v>1</v>
      </c>
      <c r="E2156" s="70" t="s">
        <v>1</v>
      </c>
      <c r="F2156" s="70"/>
      <c r="G2156" s="70" t="s">
        <v>61</v>
      </c>
      <c r="H2156" s="70" t="s">
        <v>178</v>
      </c>
      <c r="I2156" s="70" t="s">
        <v>184</v>
      </c>
      <c r="J2156" s="71">
        <f>IF(OR(I2156=0,I2156=""),"unrated",VLOOKUP(I2156,MappingTables!$B$19:$C$31,2,FALSE))</f>
        <v>5</v>
      </c>
      <c r="K2156" s="72">
        <v>187.44319187823804</v>
      </c>
      <c r="L2156" s="70">
        <v>0.068492920109691896</v>
      </c>
      <c r="M2156" s="71">
        <f>IF(L2156&lt;1,1,L2156)</f>
        <v>1</v>
      </c>
      <c r="N2156" s="70" t="s">
        <v>3288</v>
      </c>
      <c r="O2156" s="71">
        <f>IF(OR(I2156=$A$1,I2156=0),"",IF(N2156=MappingTables!$C$14,VLOOKUP(J2156,ModelParameters!$M$8:$N$15,2,FALSE),IF(N2156=MappingTables!$C$16,VLOOKUP(J2156,ModelParameters!$P$8:$Q$15,2,FALSE),0)))</f>
        <v>1</v>
      </c>
      <c r="P2156" s="73">
        <f>IF(OR(I2156=0,I2156=$A$1),0,MIN(O2156*M2156,1)*K2156)</f>
        <v>187.44319187823804</v>
      </c>
      <c r="Q2156" s="73">
        <f>IF(B2156="",0,IF(OR(H2156=MappingTables!$C$34,H2156=MappingTables!$C$35),P2156,0))</f>
        <v>0</v>
      </c>
      <c r="R2156" s="73">
        <f>IF(ISNA(IF(AND(VLOOKUP(CONCATENATE($D2156,$G2156),CSRFinput!$B:$E,4,0)=0,OR(H2156=MappingTables!$C$31,H2156=MappingTables!$C$32)),1,VLOOKUP(CONCATENATE($D2156,$G2156),CSRFinput!$B:$E,4,0))),0,IF(AND(VLOOKUP(CONCATENATE($D2156,$G2156),CSRFinput!$B:$E,4,0)=0,OR(H2156=MappingTables!$C$31,H2156=MappingTables!$C$32)),1,VLOOKUP(CONCATENATE($D2156,$G2156),CSRFinput!$B:$E,4,0)))</f>
        <v>0.054776304963434752</v>
      </c>
      <c r="S2156" s="73">
        <f>IF(B2156="",0,P2156*R2156)</f>
        <v>10.267445441641984</v>
      </c>
      <c r="T2156" s="85">
        <f>IF(B2156="",0,IF(OR(H2156=MappingTables!$C$34,H2156=MappingTables!$C$35),S2156,0))</f>
        <v>0</v>
      </c>
    </row>
    <row r="2157" spans="2:20" s="0" customFormat="0" ht="15">
      <c r="B2157" s="69">
        <v>22554140</v>
      </c>
      <c r="C2157" s="70" t="s">
        <v>5238</v>
      </c>
      <c r="D2157" s="70" t="s">
        <v>1</v>
      </c>
      <c r="E2157" s="70" t="s">
        <v>1</v>
      </c>
      <c r="F2157" s="70"/>
      <c r="G2157" s="70" t="s">
        <v>61</v>
      </c>
      <c r="H2157" s="70" t="s">
        <v>178</v>
      </c>
      <c r="I2157" s="70" t="s">
        <v>216</v>
      </c>
      <c r="J2157" s="71">
        <f>IF(OR(I2157=0,I2157=""),"unrated",VLOOKUP(I2157,MappingTables!$B$19:$C$31,2,FALSE))</f>
        <v>0</v>
      </c>
      <c r="K2157" s="72">
        <v>390.24770900231624</v>
      </c>
      <c r="L2157" s="70">
        <v>0.019729529938534648</v>
      </c>
      <c r="M2157" s="71">
        <f>IF(L2157&lt;1,1,L2157)</f>
        <v>1</v>
      </c>
      <c r="N2157" s="70" t="s">
        <v>3288</v>
      </c>
      <c r="O2157" s="71">
        <f>IF(OR(I2157=$A$1,I2157=0),"",IF(N2157=MappingTables!$C$14,VLOOKUP(J2157,ModelParameters!$M$8:$N$15,2,FALSE),IF(N2157=MappingTables!$C$16,VLOOKUP(J2157,ModelParameters!$P$8:$Q$15,2,FALSE),0)))</f>
        <v>0.125</v>
      </c>
      <c r="P2157" s="73">
        <f>IF(OR(I2157=0,I2157=$A$1),0,MIN(O2157*M2157,1)*K2157)</f>
        <v>48.780963625289528</v>
      </c>
      <c r="Q2157" s="73">
        <f>IF(B2157="",0,IF(OR(H2157=MappingTables!$C$34,H2157=MappingTables!$C$35),P2157,0))</f>
        <v>0</v>
      </c>
      <c r="R2157" s="73">
        <f>IF(ISNA(IF(AND(VLOOKUP(CONCATENATE($D2157,$G2157),CSRFinput!$B:$E,4,0)=0,OR(H2157=MappingTables!$C$31,H2157=MappingTables!$C$32)),1,VLOOKUP(CONCATENATE($D2157,$G2157),CSRFinput!$B:$E,4,0))),0,IF(AND(VLOOKUP(CONCATENATE($D2157,$G2157),CSRFinput!$B:$E,4,0)=0,OR(H2157=MappingTables!$C$31,H2157=MappingTables!$C$32)),1,VLOOKUP(CONCATENATE($D2157,$G2157),CSRFinput!$B:$E,4,0)))</f>
        <v>0.054776304963434752</v>
      </c>
      <c r="S2157" s="73">
        <f>IF(B2157="",0,P2157*R2157)</f>
        <v>2.6720409399490772</v>
      </c>
      <c r="T2157" s="85">
        <f>IF(B2157="",0,IF(OR(H2157=MappingTables!$C$34,H2157=MappingTables!$C$35),S2157,0))</f>
        <v>0</v>
      </c>
    </row>
    <row r="2158" spans="2:20" s="0" customFormat="0" ht="15">
      <c r="B2158" s="69">
        <v>778660</v>
      </c>
      <c r="C2158" s="70" t="s">
        <v>3991</v>
      </c>
      <c r="D2158" s="70" t="s">
        <v>1</v>
      </c>
      <c r="E2158" s="70" t="s">
        <v>1</v>
      </c>
      <c r="F2158" s="70"/>
      <c r="G2158" s="70" t="s">
        <v>61</v>
      </c>
      <c r="H2158" s="70" t="s">
        <v>178</v>
      </c>
      <c r="I2158" s="70" t="s">
        <v>220</v>
      </c>
      <c r="J2158" s="71">
        <f>IF(OR(I2158=0,I2158=""),"unrated",VLOOKUP(I2158,MappingTables!$B$19:$C$31,2,FALSE))</f>
        <v>1</v>
      </c>
      <c r="K2158" s="72">
        <v>6.4681323079566536</v>
      </c>
      <c r="L2158" s="70">
        <v>0.068490279022546136</v>
      </c>
      <c r="M2158" s="71">
        <f>IF(L2158&lt;1,1,L2158)</f>
        <v>1</v>
      </c>
      <c r="N2158" s="70" t="s">
        <v>3288</v>
      </c>
      <c r="O2158" s="71">
        <f>IF(OR(I2158=$A$1,I2158=0),"",IF(N2158=MappingTables!$C$14,VLOOKUP(J2158,ModelParameters!$M$8:$N$15,2,FALSE),IF(N2158=MappingTables!$C$16,VLOOKUP(J2158,ModelParameters!$P$8:$Q$15,2,FALSE),0)))</f>
        <v>0.134</v>
      </c>
      <c r="P2158" s="73">
        <f>IF(OR(I2158=0,I2158=$A$1),0,MIN(O2158*M2158,1)*K2158)</f>
        <v>0.86672972926619168</v>
      </c>
      <c r="Q2158" s="73">
        <f>IF(B2158="",0,IF(OR(H2158=MappingTables!$C$34,H2158=MappingTables!$C$35),P2158,0))</f>
        <v>0</v>
      </c>
      <c r="R2158" s="73">
        <f>IF(ISNA(IF(AND(VLOOKUP(CONCATENATE($D2158,$G2158),CSRFinput!$B:$E,4,0)=0,OR(H2158=MappingTables!$C$31,H2158=MappingTables!$C$32)),1,VLOOKUP(CONCATENATE($D2158,$G2158),CSRFinput!$B:$E,4,0))),0,IF(AND(VLOOKUP(CONCATENATE($D2158,$G2158),CSRFinput!$B:$E,4,0)=0,OR(H2158=MappingTables!$C$31,H2158=MappingTables!$C$32)),1,VLOOKUP(CONCATENATE($D2158,$G2158),CSRFinput!$B:$E,4,0)))</f>
        <v>0.054776304963434752</v>
      </c>
      <c r="S2158" s="73">
        <f>IF(B2158="",0,P2158*R2158)</f>
        <v>0.047476251971160152</v>
      </c>
      <c r="T2158" s="85">
        <f>IF(B2158="",0,IF(OR(H2158=MappingTables!$C$34,H2158=MappingTables!$C$35),S2158,0))</f>
        <v>0</v>
      </c>
    </row>
    <row r="2159" spans="2:20" s="0" customFormat="0" ht="15">
      <c r="B2159" s="69">
        <v>18850582</v>
      </c>
      <c r="C2159" s="70" t="s">
        <v>3560</v>
      </c>
      <c r="D2159" s="70" t="s">
        <v>1</v>
      </c>
      <c r="E2159" s="70" t="s">
        <v>1</v>
      </c>
      <c r="F2159" s="70"/>
      <c r="G2159" s="70" t="s">
        <v>61</v>
      </c>
      <c r="H2159" s="70" t="s">
        <v>178</v>
      </c>
      <c r="I2159" s="70" t="s">
        <v>216</v>
      </c>
      <c r="J2159" s="71">
        <f>IF(OR(I2159=0,I2159=""),"unrated",VLOOKUP(I2159,MappingTables!$B$19:$C$31,2,FALSE))</f>
        <v>0</v>
      </c>
      <c r="K2159" s="72">
        <v>2890.9070202210392</v>
      </c>
      <c r="L2159" s="70">
        <v>0.21582079702028208</v>
      </c>
      <c r="M2159" s="71">
        <f>IF(L2159&lt;1,1,L2159)</f>
        <v>1</v>
      </c>
      <c r="N2159" s="70" t="s">
        <v>3288</v>
      </c>
      <c r="O2159" s="71">
        <f>IF(OR(I2159=$A$1,I2159=0),"",IF(N2159=MappingTables!$C$14,VLOOKUP(J2159,ModelParameters!$M$8:$N$15,2,FALSE),IF(N2159=MappingTables!$C$16,VLOOKUP(J2159,ModelParameters!$P$8:$Q$15,2,FALSE),0)))</f>
        <v>0.125</v>
      </c>
      <c r="P2159" s="73">
        <f>IF(OR(I2159=0,I2159=$A$1),0,MIN(O2159*M2159,1)*K2159)</f>
        <v>361.36337752762992</v>
      </c>
      <c r="Q2159" s="73">
        <f>IF(B2159="",0,IF(OR(H2159=MappingTables!$C$34,H2159=MappingTables!$C$35),P2159,0))</f>
        <v>0</v>
      </c>
      <c r="R2159" s="73">
        <f>IF(ISNA(IF(AND(VLOOKUP(CONCATENATE($D2159,$G2159),CSRFinput!$B:$E,4,0)=0,OR(H2159=MappingTables!$C$31,H2159=MappingTables!$C$32)),1,VLOOKUP(CONCATENATE($D2159,$G2159),CSRFinput!$B:$E,4,0))),0,IF(AND(VLOOKUP(CONCATENATE($D2159,$G2159),CSRFinput!$B:$E,4,0)=0,OR(H2159=MappingTables!$C$31,H2159=MappingTables!$C$32)),1,VLOOKUP(CONCATENATE($D2159,$G2159),CSRFinput!$B:$E,4,0)))</f>
        <v>0.054776304963434752</v>
      </c>
      <c r="S2159" s="73">
        <f>IF(B2159="",0,P2159*R2159)</f>
        <v>19.79415057007026</v>
      </c>
      <c r="T2159" s="85">
        <f>IF(B2159="",0,IF(OR(H2159=MappingTables!$C$34,H2159=MappingTables!$C$35),S2159,0))</f>
        <v>0</v>
      </c>
    </row>
    <row r="2160" spans="2:20" s="0" customFormat="0" ht="15">
      <c r="B2160" s="69" t="s">
        <v>4653</v>
      </c>
      <c r="C2160" s="70" t="s">
        <v>4654</v>
      </c>
      <c r="D2160" s="70" t="s">
        <v>1</v>
      </c>
      <c r="E2160" s="70" t="s">
        <v>1</v>
      </c>
      <c r="F2160" s="70"/>
      <c r="G2160" s="70" t="s">
        <v>61</v>
      </c>
      <c r="H2160" s="70" t="s">
        <v>178</v>
      </c>
      <c r="I2160" s="70" t="s">
        <v>198</v>
      </c>
      <c r="J2160" s="71" t="str">
        <f>IF(OR(I2160=0,I2160=""),"unrated",VLOOKUP(I2160,MappingTables!$B$19:$C$31,2,FALSE))</f>
        <v>unrated</v>
      </c>
      <c r="K2160" s="72">
        <v>58.9768056437842</v>
      </c>
      <c r="L2160" s="70">
        <v>0.068489475933182376</v>
      </c>
      <c r="M2160" s="71">
        <f>IF(L2160&lt;1,1,L2160)</f>
        <v>1</v>
      </c>
      <c r="N2160" s="70" t="s">
        <v>3288</v>
      </c>
      <c r="O2160" s="71">
        <f>IF(OR(I2160=$A$1,I2160=0),"",IF(N2160=MappingTables!$C$14,VLOOKUP(J2160,ModelParameters!$M$8:$N$15,2,FALSE),IF(N2160=MappingTables!$C$16,VLOOKUP(J2160,ModelParameters!$P$8:$Q$15,2,FALSE),0)))</f>
        <v>1</v>
      </c>
      <c r="P2160" s="73">
        <f>IF(OR(I2160=0,I2160=$A$1),0,MIN(O2160*M2160,1)*K2160)</f>
        <v>58.9768056437842</v>
      </c>
      <c r="Q2160" s="73">
        <f>IF(B2160="",0,IF(OR(H2160=MappingTables!$C$34,H2160=MappingTables!$C$35),P2160,0))</f>
        <v>0</v>
      </c>
      <c r="R2160" s="73">
        <f>IF(ISNA(IF(AND(VLOOKUP(CONCATENATE($D2160,$G2160),CSRFinput!$B:$E,4,0)=0,OR(H2160=MappingTables!$C$31,H2160=MappingTables!$C$32)),1,VLOOKUP(CONCATENATE($D2160,$G2160),CSRFinput!$B:$E,4,0))),0,IF(AND(VLOOKUP(CONCATENATE($D2160,$G2160),CSRFinput!$B:$E,4,0)=0,OR(H2160=MappingTables!$C$31,H2160=MappingTables!$C$32)),1,VLOOKUP(CONCATENATE($D2160,$G2160),CSRFinput!$B:$E,4,0)))</f>
        <v>0.054776304963434752</v>
      </c>
      <c r="S2160" s="73">
        <f>IF(B2160="",0,P2160*R2160)</f>
        <v>3.2305314917131436</v>
      </c>
      <c r="T2160" s="85">
        <f>IF(B2160="",0,IF(OR(H2160=MappingTables!$C$34,H2160=MappingTables!$C$35),S2160,0))</f>
        <v>0</v>
      </c>
    </row>
    <row r="2161" spans="2:20" s="0" customFormat="0" ht="15">
      <c r="B2161" s="69" t="s">
        <v>5191</v>
      </c>
      <c r="C2161" s="70" t="s">
        <v>5192</v>
      </c>
      <c r="D2161" s="70" t="s">
        <v>1</v>
      </c>
      <c r="E2161" s="70" t="s">
        <v>1</v>
      </c>
      <c r="F2161" s="70"/>
      <c r="G2161" s="70" t="s">
        <v>61</v>
      </c>
      <c r="H2161" s="70" t="s">
        <v>178</v>
      </c>
      <c r="I2161" s="70" t="s">
        <v>3291</v>
      </c>
      <c r="J2161" s="71">
        <f>IF(OR(I2161=0,I2161=""),"unrated",VLOOKUP(I2161,MappingTables!$B$19:$C$31,2,FALSE))</f>
        <v>6</v>
      </c>
      <c r="K2161" s="72">
        <v>237.09852366715704</v>
      </c>
      <c r="L2161" s="70">
        <v>0.47617094595862112</v>
      </c>
      <c r="M2161" s="71">
        <f>IF(L2161&lt;1,1,L2161)</f>
        <v>1</v>
      </c>
      <c r="N2161" s="70" t="s">
        <v>3288</v>
      </c>
      <c r="O2161" s="71">
        <f>IF(OR(I2161=$A$1,I2161=0),"",IF(N2161=MappingTables!$C$14,VLOOKUP(J2161,ModelParameters!$M$8:$N$15,2,FALSE),IF(N2161=MappingTables!$C$16,VLOOKUP(J2161,ModelParameters!$P$8:$Q$15,2,FALSE),0)))</f>
        <v>1</v>
      </c>
      <c r="P2161" s="73">
        <f>IF(OR(I2161=0,I2161=$A$1),0,MIN(O2161*M2161,1)*K2161)</f>
        <v>237.09852366715704</v>
      </c>
      <c r="Q2161" s="73">
        <f>IF(B2161="",0,IF(OR(H2161=MappingTables!$C$34,H2161=MappingTables!$C$35),P2161,0))</f>
        <v>0</v>
      </c>
      <c r="R2161" s="73">
        <f>IF(ISNA(IF(AND(VLOOKUP(CONCATENATE($D2161,$G2161),CSRFinput!$B:$E,4,0)=0,OR(H2161=MappingTables!$C$31,H2161=MappingTables!$C$32)),1,VLOOKUP(CONCATENATE($D2161,$G2161),CSRFinput!$B:$E,4,0))),0,IF(AND(VLOOKUP(CONCATENATE($D2161,$G2161),CSRFinput!$B:$E,4,0)=0,OR(H2161=MappingTables!$C$31,H2161=MappingTables!$C$32)),1,VLOOKUP(CONCATENATE($D2161,$G2161),CSRFinput!$B:$E,4,0)))</f>
        <v>0.054776304963434752</v>
      </c>
      <c r="S2161" s="73">
        <f>IF(B2161="",0,P2161*R2161)</f>
        <v>12.987381038772346</v>
      </c>
      <c r="T2161" s="85">
        <f>IF(B2161="",0,IF(OR(H2161=MappingTables!$C$34,H2161=MappingTables!$C$35),S2161,0))</f>
        <v>0</v>
      </c>
    </row>
    <row r="2162" spans="2:20" s="0" customFormat="0" ht="15">
      <c r="B2162" s="69" t="s">
        <v>3479</v>
      </c>
      <c r="C2162" s="70" t="s">
        <v>3480</v>
      </c>
      <c r="D2162" s="70" t="s">
        <v>1</v>
      </c>
      <c r="E2162" s="70" t="s">
        <v>1</v>
      </c>
      <c r="F2162" s="70"/>
      <c r="G2162" s="70" t="s">
        <v>61</v>
      </c>
      <c r="H2162" s="70" t="s">
        <v>178</v>
      </c>
      <c r="I2162" s="70" t="s">
        <v>3298</v>
      </c>
      <c r="J2162" s="71">
        <f>IF(OR(I2162=0,I2162=""),"unrated",VLOOKUP(I2162,MappingTables!$B$19:$C$31,2,FALSE))</f>
        <v>6</v>
      </c>
      <c r="K2162" s="72">
        <v>135.93253575474508</v>
      </c>
      <c r="L2162" s="70">
        <v>-0.51587206926288056</v>
      </c>
      <c r="M2162" s="71">
        <f>IF(L2162&lt;1,1,L2162)</f>
        <v>1</v>
      </c>
      <c r="N2162" s="70" t="s">
        <v>3288</v>
      </c>
      <c r="O2162" s="71">
        <f>IF(OR(I2162=$A$1,I2162=0),"",IF(N2162=MappingTables!$C$14,VLOOKUP(J2162,ModelParameters!$M$8:$N$15,2,FALSE),IF(N2162=MappingTables!$C$16,VLOOKUP(J2162,ModelParameters!$P$8:$Q$15,2,FALSE),0)))</f>
        <v>1</v>
      </c>
      <c r="P2162" s="73">
        <f>IF(OR(I2162=0,I2162=$A$1),0,MIN(O2162*M2162,1)*K2162)</f>
        <v>135.93253575474508</v>
      </c>
      <c r="Q2162" s="73">
        <f>IF(B2162="",0,IF(OR(H2162=MappingTables!$C$34,H2162=MappingTables!$C$35),P2162,0))</f>
        <v>0</v>
      </c>
      <c r="R2162" s="73">
        <f>IF(ISNA(IF(AND(VLOOKUP(CONCATENATE($D2162,$G2162),CSRFinput!$B:$E,4,0)=0,OR(H2162=MappingTables!$C$31,H2162=MappingTables!$C$32)),1,VLOOKUP(CONCATENATE($D2162,$G2162),CSRFinput!$B:$E,4,0))),0,IF(AND(VLOOKUP(CONCATENATE($D2162,$G2162),CSRFinput!$B:$E,4,0)=0,OR(H2162=MappingTables!$C$31,H2162=MappingTables!$C$32)),1,VLOOKUP(CONCATENATE($D2162,$G2162),CSRFinput!$B:$E,4,0)))</f>
        <v>0.054776304963434752</v>
      </c>
      <c r="S2162" s="73">
        <f>IF(B2162="",0,P2162*R2162)</f>
        <v>7.4458820329549152</v>
      </c>
      <c r="T2162" s="85">
        <f>IF(B2162="",0,IF(OR(H2162=MappingTables!$C$34,H2162=MappingTables!$C$35),S2162,0))</f>
        <v>0</v>
      </c>
    </row>
    <row r="2163" spans="2:20" s="0" customFormat="0" ht="15">
      <c r="B2163" s="69" t="s">
        <v>5073</v>
      </c>
      <c r="C2163" s="70" t="s">
        <v>5074</v>
      </c>
      <c r="D2163" s="70" t="s">
        <v>1</v>
      </c>
      <c r="E2163" s="70" t="s">
        <v>1</v>
      </c>
      <c r="F2163" s="70"/>
      <c r="G2163" s="70" t="s">
        <v>61</v>
      </c>
      <c r="H2163" s="70" t="s">
        <v>178</v>
      </c>
      <c r="I2163" s="70" t="s">
        <v>204</v>
      </c>
      <c r="J2163" s="71">
        <f>IF(OR(I2163=0,I2163=""),"unrated",VLOOKUP(I2163,MappingTables!$B$19:$C$31,2,FALSE))</f>
        <v>6</v>
      </c>
      <c r="K2163" s="72">
        <v>145.34268968575498</v>
      </c>
      <c r="L2163" s="70">
        <v>0.068490880819186168</v>
      </c>
      <c r="M2163" s="71">
        <f>IF(L2163&lt;1,1,L2163)</f>
        <v>1</v>
      </c>
      <c r="N2163" s="70" t="s">
        <v>3288</v>
      </c>
      <c r="O2163" s="71">
        <f>IF(OR(I2163=$A$1,I2163=0),"",IF(N2163=MappingTables!$C$14,VLOOKUP(J2163,ModelParameters!$M$8:$N$15,2,FALSE),IF(N2163=MappingTables!$C$16,VLOOKUP(J2163,ModelParameters!$P$8:$Q$15,2,FALSE),0)))</f>
        <v>1</v>
      </c>
      <c r="P2163" s="73">
        <f>IF(OR(I2163=0,I2163=$A$1),0,MIN(O2163*M2163,1)*K2163)</f>
        <v>145.34268968575498</v>
      </c>
      <c r="Q2163" s="73">
        <f>IF(B2163="",0,IF(OR(H2163=MappingTables!$C$34,H2163=MappingTables!$C$35),P2163,0))</f>
        <v>0</v>
      </c>
      <c r="R2163" s="73">
        <f>IF(ISNA(IF(AND(VLOOKUP(CONCATENATE($D2163,$G2163),CSRFinput!$B:$E,4,0)=0,OR(H2163=MappingTables!$C$31,H2163=MappingTables!$C$32)),1,VLOOKUP(CONCATENATE($D2163,$G2163),CSRFinput!$B:$E,4,0))),0,IF(AND(VLOOKUP(CONCATENATE($D2163,$G2163),CSRFinput!$B:$E,4,0)=0,OR(H2163=MappingTables!$C$31,H2163=MappingTables!$C$32)),1,VLOOKUP(CONCATENATE($D2163,$G2163),CSRFinput!$B:$E,4,0)))</f>
        <v>0.054776304963434752</v>
      </c>
      <c r="S2163" s="73">
        <f>IF(B2163="",0,P2163*R2163)</f>
        <v>7.9613354944327776</v>
      </c>
      <c r="T2163" s="85">
        <f>IF(B2163="",0,IF(OR(H2163=MappingTables!$C$34,H2163=MappingTables!$C$35),S2163,0))</f>
        <v>0</v>
      </c>
    </row>
    <row r="2164" spans="2:20" s="0" customFormat="0" ht="15">
      <c r="B2164" s="69">
        <v>17849964</v>
      </c>
      <c r="C2164" s="70" t="s">
        <v>3988</v>
      </c>
      <c r="D2164" s="70" t="s">
        <v>1</v>
      </c>
      <c r="E2164" s="70" t="s">
        <v>1</v>
      </c>
      <c r="F2164" s="70"/>
      <c r="G2164" s="70" t="s">
        <v>61</v>
      </c>
      <c r="H2164" s="70" t="s">
        <v>178</v>
      </c>
      <c r="I2164" s="70" t="s">
        <v>216</v>
      </c>
      <c r="J2164" s="71">
        <f>IF(OR(I2164=0,I2164=""),"unrated",VLOOKUP(I2164,MappingTables!$B$19:$C$31,2,FALSE))</f>
        <v>0</v>
      </c>
      <c r="K2164" s="72">
        <v>2027.6679922075868</v>
      </c>
      <c r="L2164" s="70">
        <v>0.047325553781467456</v>
      </c>
      <c r="M2164" s="71">
        <f>IF(L2164&lt;1,1,L2164)</f>
        <v>1</v>
      </c>
      <c r="N2164" s="70" t="s">
        <v>3288</v>
      </c>
      <c r="O2164" s="71">
        <f>IF(OR(I2164=$A$1,I2164=0),"",IF(N2164=MappingTables!$C$14,VLOOKUP(J2164,ModelParameters!$M$8:$N$15,2,FALSE),IF(N2164=MappingTables!$C$16,VLOOKUP(J2164,ModelParameters!$P$8:$Q$15,2,FALSE),0)))</f>
        <v>0.125</v>
      </c>
      <c r="P2164" s="73">
        <f>IF(OR(I2164=0,I2164=$A$1),0,MIN(O2164*M2164,1)*K2164)</f>
        <v>253.45849902594836</v>
      </c>
      <c r="Q2164" s="73">
        <f>IF(B2164="",0,IF(OR(H2164=MappingTables!$C$34,H2164=MappingTables!$C$35),P2164,0))</f>
        <v>0</v>
      </c>
      <c r="R2164" s="73">
        <f>IF(ISNA(IF(AND(VLOOKUP(CONCATENATE($D2164,$G2164),CSRFinput!$B:$E,4,0)=0,OR(H2164=MappingTables!$C$31,H2164=MappingTables!$C$32)),1,VLOOKUP(CONCATENATE($D2164,$G2164),CSRFinput!$B:$E,4,0))),0,IF(AND(VLOOKUP(CONCATENATE($D2164,$G2164),CSRFinput!$B:$E,4,0)=0,OR(H2164=MappingTables!$C$31,H2164=MappingTables!$C$32)),1,VLOOKUP(CONCATENATE($D2164,$G2164),CSRFinput!$B:$E,4,0)))</f>
        <v>0.054776304963434752</v>
      </c>
      <c r="S2164" s="73">
        <f>IF(B2164="",0,P2164*R2164)</f>
        <v>13.883520038219778</v>
      </c>
      <c r="T2164" s="85">
        <f>IF(B2164="",0,IF(OR(H2164=MappingTables!$C$34,H2164=MappingTables!$C$35),S2164,0))</f>
        <v>0</v>
      </c>
    </row>
    <row r="2165" spans="2:20" s="0" customFormat="0" ht="15">
      <c r="B2165" s="69">
        <v>4219959</v>
      </c>
      <c r="C2165" s="70" t="s">
        <v>5021</v>
      </c>
      <c r="D2165" s="70" t="s">
        <v>1</v>
      </c>
      <c r="E2165" s="70" t="s">
        <v>1</v>
      </c>
      <c r="F2165" s="70"/>
      <c r="G2165" s="70" t="s">
        <v>61</v>
      </c>
      <c r="H2165" s="70" t="s">
        <v>178</v>
      </c>
      <c r="I2165" s="70" t="s">
        <v>204</v>
      </c>
      <c r="J2165" s="71">
        <f>IF(OR(I2165=0,I2165=""),"unrated",VLOOKUP(I2165,MappingTables!$B$19:$C$31,2,FALSE))</f>
        <v>6</v>
      </c>
      <c r="K2165" s="72">
        <v>13.102826124753688</v>
      </c>
      <c r="L2165" s="70">
        <v>-0.34078823673555052</v>
      </c>
      <c r="M2165" s="71">
        <f>IF(L2165&lt;1,1,L2165)</f>
        <v>1</v>
      </c>
      <c r="N2165" s="70" t="s">
        <v>3288</v>
      </c>
      <c r="O2165" s="71">
        <f>IF(OR(I2165=$A$1,I2165=0),"",IF(N2165=MappingTables!$C$14,VLOOKUP(J2165,ModelParameters!$M$8:$N$15,2,FALSE),IF(N2165=MappingTables!$C$16,VLOOKUP(J2165,ModelParameters!$P$8:$Q$15,2,FALSE),0)))</f>
        <v>1</v>
      </c>
      <c r="P2165" s="73">
        <f>IF(OR(I2165=0,I2165=$A$1),0,MIN(O2165*M2165,1)*K2165)</f>
        <v>13.102826124753688</v>
      </c>
      <c r="Q2165" s="73">
        <f>IF(B2165="",0,IF(OR(H2165=MappingTables!$C$34,H2165=MappingTables!$C$35),P2165,0))</f>
        <v>0</v>
      </c>
      <c r="R2165" s="73">
        <f>IF(ISNA(IF(AND(VLOOKUP(CONCATENATE($D2165,$G2165),CSRFinput!$B:$E,4,0)=0,OR(H2165=MappingTables!$C$31,H2165=MappingTables!$C$32)),1,VLOOKUP(CONCATENATE($D2165,$G2165),CSRFinput!$B:$E,4,0))),0,IF(AND(VLOOKUP(CONCATENATE($D2165,$G2165),CSRFinput!$B:$E,4,0)=0,OR(H2165=MappingTables!$C$31,H2165=MappingTables!$C$32)),1,VLOOKUP(CONCATENATE($D2165,$G2165),CSRFinput!$B:$E,4,0)))</f>
        <v>0.054776304963434752</v>
      </c>
      <c r="S2165" s="73">
        <f>IF(B2165="",0,P2165*R2165)</f>
        <v>0.717724399692368</v>
      </c>
      <c r="T2165" s="85">
        <f>IF(B2165="",0,IF(OR(H2165=MappingTables!$C$34,H2165=MappingTables!$C$35),S2165,0))</f>
        <v>0</v>
      </c>
    </row>
    <row r="2166" spans="2:20" s="0" customFormat="0" ht="15">
      <c r="B2166" s="69" t="s">
        <v>5120</v>
      </c>
      <c r="C2166" s="70" t="s">
        <v>5121</v>
      </c>
      <c r="D2166" s="70" t="s">
        <v>1</v>
      </c>
      <c r="E2166" s="70" t="s">
        <v>1</v>
      </c>
      <c r="F2166" s="70"/>
      <c r="G2166" s="70" t="s">
        <v>61</v>
      </c>
      <c r="H2166" s="70" t="s">
        <v>178</v>
      </c>
      <c r="I2166" s="70" t="s">
        <v>204</v>
      </c>
      <c r="J2166" s="71">
        <f>IF(OR(I2166=0,I2166=""),"unrated",VLOOKUP(I2166,MappingTables!$B$19:$C$31,2,FALSE))</f>
        <v>6</v>
      </c>
      <c r="K2166" s="72">
        <v>87.65655107896512</v>
      </c>
      <c r="L2166" s="70">
        <v>0.068494539961984544</v>
      </c>
      <c r="M2166" s="71">
        <f>IF(L2166&lt;1,1,L2166)</f>
        <v>1</v>
      </c>
      <c r="N2166" s="70" t="s">
        <v>3288</v>
      </c>
      <c r="O2166" s="71">
        <f>IF(OR(I2166=$A$1,I2166=0),"",IF(N2166=MappingTables!$C$14,VLOOKUP(J2166,ModelParameters!$M$8:$N$15,2,FALSE),IF(N2166=MappingTables!$C$16,VLOOKUP(J2166,ModelParameters!$P$8:$Q$15,2,FALSE),0)))</f>
        <v>1</v>
      </c>
      <c r="P2166" s="73">
        <f>IF(OR(I2166=0,I2166=$A$1),0,MIN(O2166*M2166,1)*K2166)</f>
        <v>87.65655107896512</v>
      </c>
      <c r="Q2166" s="73">
        <f>IF(B2166="",0,IF(OR(H2166=MappingTables!$C$34,H2166=MappingTables!$C$35),P2166,0))</f>
        <v>0</v>
      </c>
      <c r="R2166" s="73">
        <f>IF(ISNA(IF(AND(VLOOKUP(CONCATENATE($D2166,$G2166),CSRFinput!$B:$E,4,0)=0,OR(H2166=MappingTables!$C$31,H2166=MappingTables!$C$32)),1,VLOOKUP(CONCATENATE($D2166,$G2166),CSRFinput!$B:$E,4,0))),0,IF(AND(VLOOKUP(CONCATENATE($D2166,$G2166),CSRFinput!$B:$E,4,0)=0,OR(H2166=MappingTables!$C$31,H2166=MappingTables!$C$32)),1,VLOOKUP(CONCATENATE($D2166,$G2166),CSRFinput!$B:$E,4,0)))</f>
        <v>0.054776304963434752</v>
      </c>
      <c r="S2166" s="73">
        <f>IF(B2166="",0,P2166*R2166)</f>
        <v>4.8015019739442896</v>
      </c>
      <c r="T2166" s="85">
        <f>IF(B2166="",0,IF(OR(H2166=MappingTables!$C$34,H2166=MappingTables!$C$35),S2166,0))</f>
        <v>0</v>
      </c>
    </row>
    <row r="2167" spans="2:20" s="0" customFormat="0" ht="15">
      <c r="B2167" s="69" t="s">
        <v>5019</v>
      </c>
      <c r="C2167" s="70" t="s">
        <v>5020</v>
      </c>
      <c r="D2167" s="70" t="s">
        <v>1</v>
      </c>
      <c r="E2167" s="70" t="s">
        <v>1</v>
      </c>
      <c r="F2167" s="70"/>
      <c r="G2167" s="70" t="s">
        <v>61</v>
      </c>
      <c r="H2167" s="70" t="s">
        <v>178</v>
      </c>
      <c r="I2167" s="70" t="s">
        <v>184</v>
      </c>
      <c r="J2167" s="71">
        <f>IF(OR(I2167=0,I2167=""),"unrated",VLOOKUP(I2167,MappingTables!$B$19:$C$31,2,FALSE))</f>
        <v>5</v>
      </c>
      <c r="K2167" s="72">
        <v>181.59354087606776</v>
      </c>
      <c r="L2167" s="70">
        <v>0.068493399384797592</v>
      </c>
      <c r="M2167" s="71">
        <f>IF(L2167&lt;1,1,L2167)</f>
        <v>1</v>
      </c>
      <c r="N2167" s="70" t="s">
        <v>3288</v>
      </c>
      <c r="O2167" s="71">
        <f>IF(OR(I2167=$A$1,I2167=0),"",IF(N2167=MappingTables!$C$14,VLOOKUP(J2167,ModelParameters!$M$8:$N$15,2,FALSE),IF(N2167=MappingTables!$C$16,VLOOKUP(J2167,ModelParameters!$P$8:$Q$15,2,FALSE),0)))</f>
        <v>1</v>
      </c>
      <c r="P2167" s="73">
        <f>IF(OR(I2167=0,I2167=$A$1),0,MIN(O2167*M2167,1)*K2167)</f>
        <v>181.59354087606776</v>
      </c>
      <c r="Q2167" s="73">
        <f>IF(B2167="",0,IF(OR(H2167=MappingTables!$C$34,H2167=MappingTables!$C$35),P2167,0))</f>
        <v>0</v>
      </c>
      <c r="R2167" s="73">
        <f>IF(ISNA(IF(AND(VLOOKUP(CONCATENATE($D2167,$G2167),CSRFinput!$B:$E,4,0)=0,OR(H2167=MappingTables!$C$31,H2167=MappingTables!$C$32)),1,VLOOKUP(CONCATENATE($D2167,$G2167),CSRFinput!$B:$E,4,0))),0,IF(AND(VLOOKUP(CONCATENATE($D2167,$G2167),CSRFinput!$B:$E,4,0)=0,OR(H2167=MappingTables!$C$31,H2167=MappingTables!$C$32)),1,VLOOKUP(CONCATENATE($D2167,$G2167),CSRFinput!$B:$E,4,0)))</f>
        <v>0.054776304963434752</v>
      </c>
      <c r="S2167" s="73">
        <f>IF(B2167="",0,P2167*R2167)</f>
        <v>9.9470231744174416</v>
      </c>
      <c r="T2167" s="85">
        <f>IF(B2167="",0,IF(OR(H2167=MappingTables!$C$34,H2167=MappingTables!$C$35),S2167,0))</f>
        <v>0</v>
      </c>
    </row>
    <row r="2168" spans="2:20" s="0" customFormat="0" ht="15">
      <c r="B2168" s="69" t="s">
        <v>5035</v>
      </c>
      <c r="C2168" s="70" t="s">
        <v>5036</v>
      </c>
      <c r="D2168" s="70" t="s">
        <v>1</v>
      </c>
      <c r="E2168" s="70" t="s">
        <v>1</v>
      </c>
      <c r="F2168" s="70"/>
      <c r="G2168" s="70" t="s">
        <v>61</v>
      </c>
      <c r="H2168" s="70" t="s">
        <v>178</v>
      </c>
      <c r="I2168" s="70" t="s">
        <v>198</v>
      </c>
      <c r="J2168" s="71" t="str">
        <f>IF(OR(I2168=0,I2168=""),"unrated",VLOOKUP(I2168,MappingTables!$B$19:$C$31,2,FALSE))</f>
        <v>unrated</v>
      </c>
      <c r="K2168" s="72">
        <v>83.12935967006784</v>
      </c>
      <c r="L2168" s="70">
        <v>0.13476153768994494</v>
      </c>
      <c r="M2168" s="71">
        <f>IF(L2168&lt;1,1,L2168)</f>
        <v>1</v>
      </c>
      <c r="N2168" s="70" t="s">
        <v>3288</v>
      </c>
      <c r="O2168" s="71">
        <f>IF(OR(I2168=$A$1,I2168=0),"",IF(N2168=MappingTables!$C$14,VLOOKUP(J2168,ModelParameters!$M$8:$N$15,2,FALSE),IF(N2168=MappingTables!$C$16,VLOOKUP(J2168,ModelParameters!$P$8:$Q$15,2,FALSE),0)))</f>
        <v>1</v>
      </c>
      <c r="P2168" s="73">
        <f>IF(OR(I2168=0,I2168=$A$1),0,MIN(O2168*M2168,1)*K2168)</f>
        <v>83.12935967006784</v>
      </c>
      <c r="Q2168" s="73">
        <f>IF(B2168="",0,IF(OR(H2168=MappingTables!$C$34,H2168=MappingTables!$C$35),P2168,0))</f>
        <v>0</v>
      </c>
      <c r="R2168" s="73">
        <f>IF(ISNA(IF(AND(VLOOKUP(CONCATENATE($D2168,$G2168),CSRFinput!$B:$E,4,0)=0,OR(H2168=MappingTables!$C$31,H2168=MappingTables!$C$32)),1,VLOOKUP(CONCATENATE($D2168,$G2168),CSRFinput!$B:$E,4,0))),0,IF(AND(VLOOKUP(CONCATENATE($D2168,$G2168),CSRFinput!$B:$E,4,0)=0,OR(H2168=MappingTables!$C$31,H2168=MappingTables!$C$32)),1,VLOOKUP(CONCATENATE($D2168,$G2168),CSRFinput!$B:$E,4,0)))</f>
        <v>0.054776304963434752</v>
      </c>
      <c r="S2168" s="73">
        <f>IF(B2168="",0,P2168*R2168)</f>
        <v>4.5535191567026896</v>
      </c>
      <c r="T2168" s="85">
        <f>IF(B2168="",0,IF(OR(H2168=MappingTables!$C$34,H2168=MappingTables!$C$35),S2168,0))</f>
        <v>0</v>
      </c>
    </row>
    <row r="2169" spans="2:20" s="0" customFormat="0" ht="15">
      <c r="B2169" s="69">
        <v>1929086</v>
      </c>
      <c r="C2169" s="70" t="s">
        <v>5233</v>
      </c>
      <c r="D2169" s="70" t="s">
        <v>1</v>
      </c>
      <c r="E2169" s="70" t="s">
        <v>1</v>
      </c>
      <c r="F2169" s="70"/>
      <c r="G2169" s="70" t="s">
        <v>61</v>
      </c>
      <c r="H2169" s="70" t="s">
        <v>178</v>
      </c>
      <c r="I2169" s="70" t="s">
        <v>204</v>
      </c>
      <c r="J2169" s="71">
        <f>IF(OR(I2169=0,I2169=""),"unrated",VLOOKUP(I2169,MappingTables!$B$19:$C$31,2,FALSE))</f>
        <v>6</v>
      </c>
      <c r="K2169" s="72">
        <v>198.73128541834064</v>
      </c>
      <c r="L2169" s="70">
        <v>0.06849056490676628</v>
      </c>
      <c r="M2169" s="71">
        <f>IF(L2169&lt;1,1,L2169)</f>
        <v>1</v>
      </c>
      <c r="N2169" s="70" t="s">
        <v>3288</v>
      </c>
      <c r="O2169" s="71">
        <f>IF(OR(I2169=$A$1,I2169=0),"",IF(N2169=MappingTables!$C$14,VLOOKUP(J2169,ModelParameters!$M$8:$N$15,2,FALSE),IF(N2169=MappingTables!$C$16,VLOOKUP(J2169,ModelParameters!$P$8:$Q$15,2,FALSE),0)))</f>
        <v>1</v>
      </c>
      <c r="P2169" s="73">
        <f>IF(OR(I2169=0,I2169=$A$1),0,MIN(O2169*M2169,1)*K2169)</f>
        <v>198.73128541834064</v>
      </c>
      <c r="Q2169" s="73">
        <f>IF(B2169="",0,IF(OR(H2169=MappingTables!$C$34,H2169=MappingTables!$C$35),P2169,0))</f>
        <v>0</v>
      </c>
      <c r="R2169" s="73">
        <f>IF(ISNA(IF(AND(VLOOKUP(CONCATENATE($D2169,$G2169),CSRFinput!$B:$E,4,0)=0,OR(H2169=MappingTables!$C$31,H2169=MappingTables!$C$32)),1,VLOOKUP(CONCATENATE($D2169,$G2169),CSRFinput!$B:$E,4,0))),0,IF(AND(VLOOKUP(CONCATENATE($D2169,$G2169),CSRFinput!$B:$E,4,0)=0,OR(H2169=MappingTables!$C$31,H2169=MappingTables!$C$32)),1,VLOOKUP(CONCATENATE($D2169,$G2169),CSRFinput!$B:$E,4,0)))</f>
        <v>0.054776304963434752</v>
      </c>
      <c r="S2169" s="73">
        <f>IF(B2169="",0,P2169*R2169)</f>
        <v>10.885765495850422</v>
      </c>
      <c r="T2169" s="85">
        <f>IF(B2169="",0,IF(OR(H2169=MappingTables!$C$34,H2169=MappingTables!$C$35),S2169,0))</f>
        <v>0</v>
      </c>
    </row>
    <row r="2170" spans="2:20" s="0" customFormat="0" ht="15">
      <c r="B2170" s="69" t="s">
        <v>4519</v>
      </c>
      <c r="C2170" s="70" t="s">
        <v>4520</v>
      </c>
      <c r="D2170" s="70" t="s">
        <v>1</v>
      </c>
      <c r="E2170" s="70" t="s">
        <v>1</v>
      </c>
      <c r="F2170" s="70"/>
      <c r="G2170" s="70" t="s">
        <v>61</v>
      </c>
      <c r="H2170" s="70" t="s">
        <v>178</v>
      </c>
      <c r="I2170" s="70" t="s">
        <v>216</v>
      </c>
      <c r="J2170" s="71">
        <f>IF(OR(I2170=0,I2170=""),"unrated",VLOOKUP(I2170,MappingTables!$B$19:$C$31,2,FALSE))</f>
        <v>0</v>
      </c>
      <c r="K2170" s="72">
        <v>4773.3466053373096</v>
      </c>
      <c r="L2170" s="70">
        <v>0.054795736440845808</v>
      </c>
      <c r="M2170" s="71">
        <f>IF(L2170&lt;1,1,L2170)</f>
        <v>1</v>
      </c>
      <c r="N2170" s="70" t="s">
        <v>3288</v>
      </c>
      <c r="O2170" s="71">
        <f>IF(OR(I2170=$A$1,I2170=0),"",IF(N2170=MappingTables!$C$14,VLOOKUP(J2170,ModelParameters!$M$8:$N$15,2,FALSE),IF(N2170=MappingTables!$C$16,VLOOKUP(J2170,ModelParameters!$P$8:$Q$15,2,FALSE),0)))</f>
        <v>0.125</v>
      </c>
      <c r="P2170" s="73">
        <f>IF(OR(I2170=0,I2170=$A$1),0,MIN(O2170*M2170,1)*K2170)</f>
        <v>596.66832566716368</v>
      </c>
      <c r="Q2170" s="73">
        <f>IF(B2170="",0,IF(OR(H2170=MappingTables!$C$34,H2170=MappingTables!$C$35),P2170,0))</f>
        <v>0</v>
      </c>
      <c r="R2170" s="73">
        <f>IF(ISNA(IF(AND(VLOOKUP(CONCATENATE($D2170,$G2170),CSRFinput!$B:$E,4,0)=0,OR(H2170=MappingTables!$C$31,H2170=MappingTables!$C$32)),1,VLOOKUP(CONCATENATE($D2170,$G2170),CSRFinput!$B:$E,4,0))),0,IF(AND(VLOOKUP(CONCATENATE($D2170,$G2170),CSRFinput!$B:$E,4,0)=0,OR(H2170=MappingTables!$C$31,H2170=MappingTables!$C$32)),1,VLOOKUP(CONCATENATE($D2170,$G2170),CSRFinput!$B:$E,4,0)))</f>
        <v>0.054776304963434752</v>
      </c>
      <c r="S2170" s="73">
        <f>IF(B2170="",0,P2170*R2170)</f>
        <v>32.683286168766564</v>
      </c>
      <c r="T2170" s="85">
        <f>IF(B2170="",0,IF(OR(H2170=MappingTables!$C$34,H2170=MappingTables!$C$35),S2170,0))</f>
        <v>0</v>
      </c>
    </row>
    <row r="2171" spans="2:20" s="0" customFormat="0" ht="15">
      <c r="B2171" s="69" t="s">
        <v>4857</v>
      </c>
      <c r="C2171" s="70" t="s">
        <v>4858</v>
      </c>
      <c r="D2171" s="70" t="s">
        <v>1</v>
      </c>
      <c r="E2171" s="70" t="s">
        <v>1</v>
      </c>
      <c r="F2171" s="70"/>
      <c r="G2171" s="70" t="s">
        <v>61</v>
      </c>
      <c r="H2171" s="70" t="s">
        <v>178</v>
      </c>
      <c r="I2171" s="70" t="s">
        <v>216</v>
      </c>
      <c r="J2171" s="71">
        <f>IF(OR(I2171=0,I2171=""),"unrated",VLOOKUP(I2171,MappingTables!$B$19:$C$31,2,FALSE))</f>
        <v>0</v>
      </c>
      <c r="K2171" s="72">
        <v>682.18659044978048</v>
      </c>
      <c r="L2171" s="70">
        <v>0.0547904721249196</v>
      </c>
      <c r="M2171" s="71">
        <f>IF(L2171&lt;1,1,L2171)</f>
        <v>1</v>
      </c>
      <c r="N2171" s="70" t="s">
        <v>3288</v>
      </c>
      <c r="O2171" s="71">
        <f>IF(OR(I2171=$A$1,I2171=0),"",IF(N2171=MappingTables!$C$14,VLOOKUP(J2171,ModelParameters!$M$8:$N$15,2,FALSE),IF(N2171=MappingTables!$C$16,VLOOKUP(J2171,ModelParameters!$P$8:$Q$15,2,FALSE),0)))</f>
        <v>0.125</v>
      </c>
      <c r="P2171" s="73">
        <f>IF(OR(I2171=0,I2171=$A$1),0,MIN(O2171*M2171,1)*K2171)</f>
        <v>85.27332380622256</v>
      </c>
      <c r="Q2171" s="73">
        <f>IF(B2171="",0,IF(OR(H2171=MappingTables!$C$34,H2171=MappingTables!$C$35),P2171,0))</f>
        <v>0</v>
      </c>
      <c r="R2171" s="73">
        <f>IF(ISNA(IF(AND(VLOOKUP(CONCATENATE($D2171,$G2171),CSRFinput!$B:$E,4,0)=0,OR(H2171=MappingTables!$C$31,H2171=MappingTables!$C$32)),1,VLOOKUP(CONCATENATE($D2171,$G2171),CSRFinput!$B:$E,4,0))),0,IF(AND(VLOOKUP(CONCATENATE($D2171,$G2171),CSRFinput!$B:$E,4,0)=0,OR(H2171=MappingTables!$C$31,H2171=MappingTables!$C$32)),1,VLOOKUP(CONCATENATE($D2171,$G2171),CSRFinput!$B:$E,4,0)))</f>
        <v>0.054776304963434752</v>
      </c>
      <c r="S2171" s="73">
        <f>IF(B2171="",0,P2171*R2171)</f>
        <v>4.670957590055368</v>
      </c>
      <c r="T2171" s="85">
        <f>IF(B2171="",0,IF(OR(H2171=MappingTables!$C$34,H2171=MappingTables!$C$35),S2171,0))</f>
        <v>0</v>
      </c>
    </row>
    <row r="2172" spans="2:20" s="0" customFormat="0" ht="15">
      <c r="B2172" s="69" t="s">
        <v>5239</v>
      </c>
      <c r="C2172" s="70" t="s">
        <v>5240</v>
      </c>
      <c r="D2172" s="70" t="s">
        <v>1</v>
      </c>
      <c r="E2172" s="70" t="s">
        <v>1</v>
      </c>
      <c r="F2172" s="70"/>
      <c r="G2172" s="70" t="s">
        <v>61</v>
      </c>
      <c r="H2172" s="70" t="s">
        <v>178</v>
      </c>
      <c r="I2172" s="70" t="s">
        <v>198</v>
      </c>
      <c r="J2172" s="71" t="str">
        <f>IF(OR(I2172=0,I2172=""),"unrated",VLOOKUP(I2172,MappingTables!$B$19:$C$31,2,FALSE))</f>
        <v>unrated</v>
      </c>
      <c r="K2172" s="72">
        <v>2283.3367887976028</v>
      </c>
      <c r="L2172" s="70">
        <v>9.0068457239296816</v>
      </c>
      <c r="M2172" s="71">
        <f>IF(L2172&lt;1,1,L2172)</f>
        <v>9.0068457239296816</v>
      </c>
      <c r="N2172" s="70" t="s">
        <v>3288</v>
      </c>
      <c r="O2172" s="71">
        <f>IF(OR(I2172=$A$1,I2172=0),"",IF(N2172=MappingTables!$C$14,VLOOKUP(J2172,ModelParameters!$M$8:$N$15,2,FALSE),IF(N2172=MappingTables!$C$16,VLOOKUP(J2172,ModelParameters!$P$8:$Q$15,2,FALSE),0)))</f>
        <v>1</v>
      </c>
      <c r="P2172" s="73">
        <f>IF(OR(I2172=0,I2172=$A$1),0,MIN(O2172*M2172,1)*K2172)</f>
        <v>2283.3367887976028</v>
      </c>
      <c r="Q2172" s="73">
        <f>IF(B2172="",0,IF(OR(H2172=MappingTables!$C$34,H2172=MappingTables!$C$35),P2172,0))</f>
        <v>0</v>
      </c>
      <c r="R2172" s="73">
        <f>IF(ISNA(IF(AND(VLOOKUP(CONCATENATE($D2172,$G2172),CSRFinput!$B:$E,4,0)=0,OR(H2172=MappingTables!$C$31,H2172=MappingTables!$C$32)),1,VLOOKUP(CONCATENATE($D2172,$G2172),CSRFinput!$B:$E,4,0))),0,IF(AND(VLOOKUP(CONCATENATE($D2172,$G2172),CSRFinput!$B:$E,4,0)=0,OR(H2172=MappingTables!$C$31,H2172=MappingTables!$C$32)),1,VLOOKUP(CONCATENATE($D2172,$G2172),CSRFinput!$B:$E,4,0)))</f>
        <v>0.054776304963434752</v>
      </c>
      <c r="S2172" s="73">
        <f>IF(B2172="",0,P2172*R2172)</f>
        <v>125.0727522774073</v>
      </c>
      <c r="T2172" s="85">
        <f>IF(B2172="",0,IF(OR(H2172=MappingTables!$C$34,H2172=MappingTables!$C$35),S2172,0))</f>
        <v>0</v>
      </c>
    </row>
    <row r="2173" spans="2:20" s="0" customFormat="0" ht="15">
      <c r="B2173" s="69" t="s">
        <v>3952</v>
      </c>
      <c r="C2173" s="70" t="s">
        <v>3953</v>
      </c>
      <c r="D2173" s="70" t="s">
        <v>1</v>
      </c>
      <c r="E2173" s="70" t="s">
        <v>1</v>
      </c>
      <c r="F2173" s="70"/>
      <c r="G2173" s="70" t="s">
        <v>61</v>
      </c>
      <c r="H2173" s="70" t="s">
        <v>178</v>
      </c>
      <c r="I2173" s="70" t="s">
        <v>198</v>
      </c>
      <c r="J2173" s="71" t="str">
        <f>IF(OR(I2173=0,I2173=""),"unrated",VLOOKUP(I2173,MappingTables!$B$19:$C$31,2,FALSE))</f>
        <v>unrated</v>
      </c>
      <c r="K2173" s="72">
        <v>5552.931614572788</v>
      </c>
      <c r="L2173" s="70">
        <v>8.9982273156061872</v>
      </c>
      <c r="M2173" s="71">
        <f>IF(L2173&lt;1,1,L2173)</f>
        <v>8.9982273156061872</v>
      </c>
      <c r="N2173" s="70" t="s">
        <v>3288</v>
      </c>
      <c r="O2173" s="71">
        <f>IF(OR(I2173=$A$1,I2173=0),"",IF(N2173=MappingTables!$C$14,VLOOKUP(J2173,ModelParameters!$M$8:$N$15,2,FALSE),IF(N2173=MappingTables!$C$16,VLOOKUP(J2173,ModelParameters!$P$8:$Q$15,2,FALSE),0)))</f>
        <v>1</v>
      </c>
      <c r="P2173" s="73">
        <f>IF(OR(I2173=0,I2173=$A$1),0,MIN(O2173*M2173,1)*K2173)</f>
        <v>5552.931614572788</v>
      </c>
      <c r="Q2173" s="73">
        <f>IF(B2173="",0,IF(OR(H2173=MappingTables!$C$34,H2173=MappingTables!$C$35),P2173,0))</f>
        <v>0</v>
      </c>
      <c r="R2173" s="73">
        <f>IF(ISNA(IF(AND(VLOOKUP(CONCATENATE($D2173,$G2173),CSRFinput!$B:$E,4,0)=0,OR(H2173=MappingTables!$C$31,H2173=MappingTables!$C$32)),1,VLOOKUP(CONCATENATE($D2173,$G2173),CSRFinput!$B:$E,4,0))),0,IF(AND(VLOOKUP(CONCATENATE($D2173,$G2173),CSRFinput!$B:$E,4,0)=0,OR(H2173=MappingTables!$C$31,H2173=MappingTables!$C$32)),1,VLOOKUP(CONCATENATE($D2173,$G2173),CSRFinput!$B:$E,4,0)))</f>
        <v>0.054776304963434752</v>
      </c>
      <c r="S2173" s="73">
        <f>IF(B2173="",0,P2173*R2173)</f>
        <v>304.1690755609372</v>
      </c>
      <c r="T2173" s="85">
        <f>IF(B2173="",0,IF(OR(H2173=MappingTables!$C$34,H2173=MappingTables!$C$35),S2173,0))</f>
        <v>0</v>
      </c>
    </row>
    <row r="2174" spans="2:20" s="0" customFormat="0" ht="15">
      <c r="B2174" s="69" t="s">
        <v>5114</v>
      </c>
      <c r="C2174" s="70" t="s">
        <v>5115</v>
      </c>
      <c r="D2174" s="70" t="s">
        <v>1</v>
      </c>
      <c r="E2174" s="70" t="s">
        <v>1</v>
      </c>
      <c r="F2174" s="70"/>
      <c r="G2174" s="70" t="s">
        <v>61</v>
      </c>
      <c r="H2174" s="70" t="s">
        <v>178</v>
      </c>
      <c r="I2174" s="70" t="s">
        <v>216</v>
      </c>
      <c r="J2174" s="71">
        <f>IF(OR(I2174=0,I2174=""),"unrated",VLOOKUP(I2174,MappingTables!$B$19:$C$31,2,FALSE))</f>
        <v>0</v>
      </c>
      <c r="K2174" s="72">
        <v>516.48275947255056</v>
      </c>
      <c r="L2174" s="70">
        <v>0.043837429945730296</v>
      </c>
      <c r="M2174" s="71">
        <f>IF(L2174&lt;1,1,L2174)</f>
        <v>1</v>
      </c>
      <c r="N2174" s="70" t="s">
        <v>3288</v>
      </c>
      <c r="O2174" s="71">
        <f>IF(OR(I2174=$A$1,I2174=0),"",IF(N2174=MappingTables!$C$14,VLOOKUP(J2174,ModelParameters!$M$8:$N$15,2,FALSE),IF(N2174=MappingTables!$C$16,VLOOKUP(J2174,ModelParameters!$P$8:$Q$15,2,FALSE),0)))</f>
        <v>0.125</v>
      </c>
      <c r="P2174" s="73">
        <f>IF(OR(I2174=0,I2174=$A$1),0,MIN(O2174*M2174,1)*K2174)</f>
        <v>64.560344934068824</v>
      </c>
      <c r="Q2174" s="73">
        <f>IF(B2174="",0,IF(OR(H2174=MappingTables!$C$34,H2174=MappingTables!$C$35),P2174,0))</f>
        <v>0</v>
      </c>
      <c r="R2174" s="73">
        <f>IF(ISNA(IF(AND(VLOOKUP(CONCATENATE($D2174,$G2174),CSRFinput!$B:$E,4,0)=0,OR(H2174=MappingTables!$C$31,H2174=MappingTables!$C$32)),1,VLOOKUP(CONCATENATE($D2174,$G2174),CSRFinput!$B:$E,4,0))),0,IF(AND(VLOOKUP(CONCATENATE($D2174,$G2174),CSRFinput!$B:$E,4,0)=0,OR(H2174=MappingTables!$C$31,H2174=MappingTables!$C$32)),1,VLOOKUP(CONCATENATE($D2174,$G2174),CSRFinput!$B:$E,4,0)))</f>
        <v>0.054776304963434752</v>
      </c>
      <c r="S2174" s="73">
        <f>IF(B2174="",0,P2174*R2174)</f>
        <v>3.5363771426530936</v>
      </c>
      <c r="T2174" s="85">
        <f>IF(B2174="",0,IF(OR(H2174=MappingTables!$C$34,H2174=MappingTables!$C$35),S2174,0))</f>
        <v>0</v>
      </c>
    </row>
    <row r="2175" spans="2:20" s="0" customFormat="0" ht="15">
      <c r="B2175" s="69" t="s">
        <v>4236</v>
      </c>
      <c r="C2175" s="70" t="s">
        <v>4237</v>
      </c>
      <c r="D2175" s="70" t="s">
        <v>1</v>
      </c>
      <c r="E2175" s="70" t="s">
        <v>1</v>
      </c>
      <c r="F2175" s="70"/>
      <c r="G2175" s="70" t="s">
        <v>61</v>
      </c>
      <c r="H2175" s="70" t="s">
        <v>178</v>
      </c>
      <c r="I2175" s="70" t="s">
        <v>184</v>
      </c>
      <c r="J2175" s="71">
        <f>IF(OR(I2175=0,I2175=""),"unrated",VLOOKUP(I2175,MappingTables!$B$19:$C$31,2,FALSE))</f>
        <v>5</v>
      </c>
      <c r="K2175" s="72">
        <v>42.349391696757856</v>
      </c>
      <c r="L2175" s="70">
        <v>0.068491190987279624</v>
      </c>
      <c r="M2175" s="71">
        <f>IF(L2175&lt;1,1,L2175)</f>
        <v>1</v>
      </c>
      <c r="N2175" s="70" t="s">
        <v>3288</v>
      </c>
      <c r="O2175" s="71">
        <f>IF(OR(I2175=$A$1,I2175=0),"",IF(N2175=MappingTables!$C$14,VLOOKUP(J2175,ModelParameters!$M$8:$N$15,2,FALSE),IF(N2175=MappingTables!$C$16,VLOOKUP(J2175,ModelParameters!$P$8:$Q$15,2,FALSE),0)))</f>
        <v>1</v>
      </c>
      <c r="P2175" s="73">
        <f>IF(OR(I2175=0,I2175=$A$1),0,MIN(O2175*M2175,1)*K2175)</f>
        <v>42.349391696757856</v>
      </c>
      <c r="Q2175" s="73">
        <f>IF(B2175="",0,IF(OR(H2175=MappingTables!$C$34,H2175=MappingTables!$C$35),P2175,0))</f>
        <v>0</v>
      </c>
      <c r="R2175" s="73">
        <f>IF(ISNA(IF(AND(VLOOKUP(CONCATENATE($D2175,$G2175),CSRFinput!$B:$E,4,0)=0,OR(H2175=MappingTables!$C$31,H2175=MappingTables!$C$32)),1,VLOOKUP(CONCATENATE($D2175,$G2175),CSRFinput!$B:$E,4,0))),0,IF(AND(VLOOKUP(CONCATENATE($D2175,$G2175),CSRFinput!$B:$E,4,0)=0,OR(H2175=MappingTables!$C$31,H2175=MappingTables!$C$32)),1,VLOOKUP(CONCATENATE($D2175,$G2175),CSRFinput!$B:$E,4,0)))</f>
        <v>0.054776304963434752</v>
      </c>
      <c r="S2175" s="73">
        <f>IF(B2175="",0,P2175*R2175)</f>
        <v>2.3197431945975596</v>
      </c>
      <c r="T2175" s="85">
        <f>IF(B2175="",0,IF(OR(H2175=MappingTables!$C$34,H2175=MappingTables!$C$35),S2175,0))</f>
        <v>0</v>
      </c>
    </row>
    <row r="2176" spans="2:20" s="0" customFormat="0" ht="15">
      <c r="B2176" s="69" t="s">
        <v>3336</v>
      </c>
      <c r="C2176" s="70" t="s">
        <v>3337</v>
      </c>
      <c r="D2176" s="70" t="s">
        <v>1</v>
      </c>
      <c r="E2176" s="70" t="s">
        <v>1</v>
      </c>
      <c r="F2176" s="70"/>
      <c r="G2176" s="70" t="s">
        <v>61</v>
      </c>
      <c r="H2176" s="70" t="s">
        <v>178</v>
      </c>
      <c r="I2176" s="70" t="s">
        <v>198</v>
      </c>
      <c r="J2176" s="71" t="str">
        <f>IF(OR(I2176=0,I2176=""),"unrated",VLOOKUP(I2176,MappingTables!$B$19:$C$31,2,FALSE))</f>
        <v>unrated</v>
      </c>
      <c r="K2176" s="72">
        <v>65.500774450952304</v>
      </c>
      <c r="L2176" s="70">
        <v>0.06849027633202476</v>
      </c>
      <c r="M2176" s="71">
        <f>IF(L2176&lt;1,1,L2176)</f>
        <v>1</v>
      </c>
      <c r="N2176" s="70" t="s">
        <v>3288</v>
      </c>
      <c r="O2176" s="71">
        <f>IF(OR(I2176=$A$1,I2176=0),"",IF(N2176=MappingTables!$C$14,VLOOKUP(J2176,ModelParameters!$M$8:$N$15,2,FALSE),IF(N2176=MappingTables!$C$16,VLOOKUP(J2176,ModelParameters!$P$8:$Q$15,2,FALSE),0)))</f>
        <v>1</v>
      </c>
      <c r="P2176" s="73">
        <f>IF(OR(I2176=0,I2176=$A$1),0,MIN(O2176*M2176,1)*K2176)</f>
        <v>65.500774450952304</v>
      </c>
      <c r="Q2176" s="73">
        <f>IF(B2176="",0,IF(OR(H2176=MappingTables!$C$34,H2176=MappingTables!$C$35),P2176,0))</f>
        <v>0</v>
      </c>
      <c r="R2176" s="73">
        <f>IF(ISNA(IF(AND(VLOOKUP(CONCATENATE($D2176,$G2176),CSRFinput!$B:$E,4,0)=0,OR(H2176=MappingTables!$C$31,H2176=MappingTables!$C$32)),1,VLOOKUP(CONCATENATE($D2176,$G2176),CSRFinput!$B:$E,4,0))),0,IF(AND(VLOOKUP(CONCATENATE($D2176,$G2176),CSRFinput!$B:$E,4,0)=0,OR(H2176=MappingTables!$C$31,H2176=MappingTables!$C$32)),1,VLOOKUP(CONCATENATE($D2176,$G2176),CSRFinput!$B:$E,4,0)))</f>
        <v>0.054776304963434752</v>
      </c>
      <c r="S2176" s="73">
        <f>IF(B2176="",0,P2176*R2176)</f>
        <v>3.5878903966665188</v>
      </c>
      <c r="T2176" s="85">
        <f>IF(B2176="",0,IF(OR(H2176=MappingTables!$C$34,H2176=MappingTables!$C$35),S2176,0))</f>
        <v>0</v>
      </c>
    </row>
    <row r="2177" spans="2:20" s="0" customFormat="0" ht="15">
      <c r="B2177" s="69" t="s">
        <v>4793</v>
      </c>
      <c r="C2177" s="70" t="s">
        <v>4794</v>
      </c>
      <c r="D2177" s="70" t="s">
        <v>1</v>
      </c>
      <c r="E2177" s="70" t="s">
        <v>1</v>
      </c>
      <c r="F2177" s="70"/>
      <c r="G2177" s="70" t="s">
        <v>61</v>
      </c>
      <c r="H2177" s="70" t="s">
        <v>178</v>
      </c>
      <c r="I2177" s="70" t="s">
        <v>181</v>
      </c>
      <c r="J2177" s="71">
        <f>IF(OR(I2177=0,I2177=""),"unrated",VLOOKUP(I2177,MappingTables!$B$19:$C$31,2,FALSE))</f>
        <v>3</v>
      </c>
      <c r="K2177" s="72">
        <v>75.494864879332208</v>
      </c>
      <c r="L2177" s="70">
        <v>0.0684938963790242</v>
      </c>
      <c r="M2177" s="71">
        <f>IF(L2177&lt;1,1,L2177)</f>
        <v>1</v>
      </c>
      <c r="N2177" s="70" t="s">
        <v>3288</v>
      </c>
      <c r="O2177" s="71">
        <f>IF(OR(I2177=$A$1,I2177=0),"",IF(N2177=MappingTables!$C$14,VLOOKUP(J2177,ModelParameters!$M$8:$N$15,2,FALSE),IF(N2177=MappingTables!$C$16,VLOOKUP(J2177,ModelParameters!$P$8:$Q$15,2,FALSE),0)))</f>
        <v>0.197</v>
      </c>
      <c r="P2177" s="73">
        <f>IF(OR(I2177=0,I2177=$A$1),0,MIN(O2177*M2177,1)*K2177)</f>
        <v>14.872488381228444</v>
      </c>
      <c r="Q2177" s="73">
        <f>IF(B2177="",0,IF(OR(H2177=MappingTables!$C$34,H2177=MappingTables!$C$35),P2177,0))</f>
        <v>0</v>
      </c>
      <c r="R2177" s="73">
        <f>IF(ISNA(IF(AND(VLOOKUP(CONCATENATE($D2177,$G2177),CSRFinput!$B:$E,4,0)=0,OR(H2177=MappingTables!$C$31,H2177=MappingTables!$C$32)),1,VLOOKUP(CONCATENATE($D2177,$G2177),CSRFinput!$B:$E,4,0))),0,IF(AND(VLOOKUP(CONCATENATE($D2177,$G2177),CSRFinput!$B:$E,4,0)=0,OR(H2177=MappingTables!$C$31,H2177=MappingTables!$C$32)),1,VLOOKUP(CONCATENATE($D2177,$G2177),CSRFinput!$B:$E,4,0)))</f>
        <v>0.054776304963434752</v>
      </c>
      <c r="S2177" s="73">
        <f>IF(B2177="",0,P2177*R2177)</f>
        <v>0.81465995913530944</v>
      </c>
      <c r="T2177" s="85">
        <f>IF(B2177="",0,IF(OR(H2177=MappingTables!$C$34,H2177=MappingTables!$C$35),S2177,0))</f>
        <v>0</v>
      </c>
    </row>
    <row r="2178" spans="2:20" s="0" customFormat="0" ht="15">
      <c r="B2178" s="69" t="s">
        <v>4030</v>
      </c>
      <c r="C2178" s="70" t="s">
        <v>4031</v>
      </c>
      <c r="D2178" s="70" t="s">
        <v>1</v>
      </c>
      <c r="E2178" s="70" t="s">
        <v>1</v>
      </c>
      <c r="F2178" s="70"/>
      <c r="G2178" s="70" t="s">
        <v>61</v>
      </c>
      <c r="H2178" s="70" t="s">
        <v>178</v>
      </c>
      <c r="I2178" s="70" t="s">
        <v>3298</v>
      </c>
      <c r="J2178" s="71">
        <f>IF(OR(I2178=0,I2178=""),"unrated",VLOOKUP(I2178,MappingTables!$B$19:$C$31,2,FALSE))</f>
        <v>6</v>
      </c>
      <c r="K2178" s="72">
        <v>55.29398034000408</v>
      </c>
      <c r="L2178" s="70">
        <v>-0.3931936806802044</v>
      </c>
      <c r="M2178" s="71">
        <f>IF(L2178&lt;1,1,L2178)</f>
        <v>1</v>
      </c>
      <c r="N2178" s="70" t="s">
        <v>3288</v>
      </c>
      <c r="O2178" s="71">
        <f>IF(OR(I2178=$A$1,I2178=0),"",IF(N2178=MappingTables!$C$14,VLOOKUP(J2178,ModelParameters!$M$8:$N$15,2,FALSE),IF(N2178=MappingTables!$C$16,VLOOKUP(J2178,ModelParameters!$P$8:$Q$15,2,FALSE),0)))</f>
        <v>1</v>
      </c>
      <c r="P2178" s="73">
        <f>IF(OR(I2178=0,I2178=$A$1),0,MIN(O2178*M2178,1)*K2178)</f>
        <v>55.29398034000408</v>
      </c>
      <c r="Q2178" s="73">
        <f>IF(B2178="",0,IF(OR(H2178=MappingTables!$C$34,H2178=MappingTables!$C$35),P2178,0))</f>
        <v>0</v>
      </c>
      <c r="R2178" s="73">
        <f>IF(ISNA(IF(AND(VLOOKUP(CONCATENATE($D2178,$G2178),CSRFinput!$B:$E,4,0)=0,OR(H2178=MappingTables!$C$31,H2178=MappingTables!$C$32)),1,VLOOKUP(CONCATENATE($D2178,$G2178),CSRFinput!$B:$E,4,0))),0,IF(AND(VLOOKUP(CONCATENATE($D2178,$G2178),CSRFinput!$B:$E,4,0)=0,OR(H2178=MappingTables!$C$31,H2178=MappingTables!$C$32)),1,VLOOKUP(CONCATENATE($D2178,$G2178),CSRFinput!$B:$E,4,0)))</f>
        <v>0.054776304963434752</v>
      </c>
      <c r="S2178" s="73">
        <f>IF(B2178="",0,P2178*R2178)</f>
        <v>3.0287999297462292</v>
      </c>
      <c r="T2178" s="85">
        <f>IF(B2178="",0,IF(OR(H2178=MappingTables!$C$34,H2178=MappingTables!$C$35),S2178,0))</f>
        <v>0</v>
      </c>
    </row>
    <row r="2179" spans="2:20" s="0" customFormat="0" ht="15">
      <c r="B2179" s="69">
        <v>781753</v>
      </c>
      <c r="C2179" s="70" t="s">
        <v>4765</v>
      </c>
      <c r="D2179" s="70" t="s">
        <v>1</v>
      </c>
      <c r="E2179" s="70" t="s">
        <v>1</v>
      </c>
      <c r="F2179" s="70"/>
      <c r="G2179" s="70" t="s">
        <v>61</v>
      </c>
      <c r="H2179" s="70" t="s">
        <v>178</v>
      </c>
      <c r="I2179" s="70" t="s">
        <v>198</v>
      </c>
      <c r="J2179" s="71" t="str">
        <f>IF(OR(I2179=0,I2179=""),"unrated",VLOOKUP(I2179,MappingTables!$B$19:$C$31,2,FALSE))</f>
        <v>unrated</v>
      </c>
      <c r="K2179" s="72">
        <v>64.751297535553944</v>
      </c>
      <c r="L2179" s="70">
        <v>0.068495938991062264</v>
      </c>
      <c r="M2179" s="71">
        <f>IF(L2179&lt;1,1,L2179)</f>
        <v>1</v>
      </c>
      <c r="N2179" s="70" t="s">
        <v>3288</v>
      </c>
      <c r="O2179" s="71">
        <f>IF(OR(I2179=$A$1,I2179=0),"",IF(N2179=MappingTables!$C$14,VLOOKUP(J2179,ModelParameters!$M$8:$N$15,2,FALSE),IF(N2179=MappingTables!$C$16,VLOOKUP(J2179,ModelParameters!$P$8:$Q$15,2,FALSE),0)))</f>
        <v>1</v>
      </c>
      <c r="P2179" s="73">
        <f>IF(OR(I2179=0,I2179=$A$1),0,MIN(O2179*M2179,1)*K2179)</f>
        <v>64.751297535553944</v>
      </c>
      <c r="Q2179" s="73">
        <f>IF(B2179="",0,IF(OR(H2179=MappingTables!$C$34,H2179=MappingTables!$C$35),P2179,0))</f>
        <v>0</v>
      </c>
      <c r="R2179" s="73">
        <f>IF(ISNA(IF(AND(VLOOKUP(CONCATENATE($D2179,$G2179),CSRFinput!$B:$E,4,0)=0,OR(H2179=MappingTables!$C$31,H2179=MappingTables!$C$32)),1,VLOOKUP(CONCATENATE($D2179,$G2179),CSRFinput!$B:$E,4,0))),0,IF(AND(VLOOKUP(CONCATENATE($D2179,$G2179),CSRFinput!$B:$E,4,0)=0,OR(H2179=MappingTables!$C$31,H2179=MappingTables!$C$32)),1,VLOOKUP(CONCATENATE($D2179,$G2179),CSRFinput!$B:$E,4,0)))</f>
        <v>0.054776304963434752</v>
      </c>
      <c r="S2179" s="73">
        <f>IF(B2179="",0,P2179*R2179)</f>
        <v>3.5468368205856044</v>
      </c>
      <c r="T2179" s="85">
        <f>IF(B2179="",0,IF(OR(H2179=MappingTables!$C$34,H2179=MappingTables!$C$35),S2179,0))</f>
        <v>0</v>
      </c>
    </row>
    <row r="2180" spans="2:20" s="0" customFormat="0" ht="15">
      <c r="B2180" s="69">
        <v>22554252</v>
      </c>
      <c r="C2180" s="70" t="s">
        <v>4581</v>
      </c>
      <c r="D2180" s="70" t="s">
        <v>1</v>
      </c>
      <c r="E2180" s="70" t="s">
        <v>1</v>
      </c>
      <c r="F2180" s="70"/>
      <c r="G2180" s="70" t="s">
        <v>61</v>
      </c>
      <c r="H2180" s="70" t="s">
        <v>178</v>
      </c>
      <c r="I2180" s="70" t="s">
        <v>216</v>
      </c>
      <c r="J2180" s="71">
        <f>IF(OR(I2180=0,I2180=""),"unrated",VLOOKUP(I2180,MappingTables!$B$19:$C$31,2,FALSE))</f>
        <v>0</v>
      </c>
      <c r="K2180" s="72">
        <v>5.395076386916308</v>
      </c>
      <c r="L2180" s="70">
        <v>0.0443704481622374</v>
      </c>
      <c r="M2180" s="71">
        <f>IF(L2180&lt;1,1,L2180)</f>
        <v>1</v>
      </c>
      <c r="N2180" s="70" t="s">
        <v>3288</v>
      </c>
      <c r="O2180" s="71">
        <f>IF(OR(I2180=$A$1,I2180=0),"",IF(N2180=MappingTables!$C$14,VLOOKUP(J2180,ModelParameters!$M$8:$N$15,2,FALSE),IF(N2180=MappingTables!$C$16,VLOOKUP(J2180,ModelParameters!$P$8:$Q$15,2,FALSE),0)))</f>
        <v>0.125</v>
      </c>
      <c r="P2180" s="73">
        <f>IF(OR(I2180=0,I2180=$A$1),0,MIN(O2180*M2180,1)*K2180)</f>
        <v>0.67438454836453856</v>
      </c>
      <c r="Q2180" s="73">
        <f>IF(B2180="",0,IF(OR(H2180=MappingTables!$C$34,H2180=MappingTables!$C$35),P2180,0))</f>
        <v>0</v>
      </c>
      <c r="R2180" s="73">
        <f>IF(ISNA(IF(AND(VLOOKUP(CONCATENATE($D2180,$G2180),CSRFinput!$B:$E,4,0)=0,OR(H2180=MappingTables!$C$31,H2180=MappingTables!$C$32)),1,VLOOKUP(CONCATENATE($D2180,$G2180),CSRFinput!$B:$E,4,0))),0,IF(AND(VLOOKUP(CONCATENATE($D2180,$G2180),CSRFinput!$B:$E,4,0)=0,OR(H2180=MappingTables!$C$31,H2180=MappingTables!$C$32)),1,VLOOKUP(CONCATENATE($D2180,$G2180),CSRFinput!$B:$E,4,0)))</f>
        <v>0.054776304963434752</v>
      </c>
      <c r="S2180" s="73">
        <f>IF(B2180="",0,P2180*R2180)</f>
        <v>0.036940293683844176</v>
      </c>
      <c r="T2180" s="85">
        <f>IF(B2180="",0,IF(OR(H2180=MappingTables!$C$34,H2180=MappingTables!$C$35),S2180,0))</f>
        <v>0</v>
      </c>
    </row>
    <row r="2181" spans="2:20" s="0" customFormat="0" ht="15">
      <c r="B2181" s="69" t="s">
        <v>4500</v>
      </c>
      <c r="C2181" s="70" t="s">
        <v>4501</v>
      </c>
      <c r="D2181" s="70" t="s">
        <v>1</v>
      </c>
      <c r="E2181" s="70" t="s">
        <v>1</v>
      </c>
      <c r="F2181" s="70"/>
      <c r="G2181" s="70" t="s">
        <v>61</v>
      </c>
      <c r="H2181" s="70" t="s">
        <v>178</v>
      </c>
      <c r="I2181" s="70" t="s">
        <v>184</v>
      </c>
      <c r="J2181" s="71">
        <f>IF(OR(I2181=0,I2181=""),"unrated",VLOOKUP(I2181,MappingTables!$B$19:$C$31,2,FALSE))</f>
        <v>5</v>
      </c>
      <c r="K2181" s="72">
        <v>102.94592094486642</v>
      </c>
      <c r="L2181" s="70">
        <v>0.068491003075884752</v>
      </c>
      <c r="M2181" s="71">
        <f>IF(L2181&lt;1,1,L2181)</f>
        <v>1</v>
      </c>
      <c r="N2181" s="70" t="s">
        <v>3288</v>
      </c>
      <c r="O2181" s="71">
        <f>IF(OR(I2181=$A$1,I2181=0),"",IF(N2181=MappingTables!$C$14,VLOOKUP(J2181,ModelParameters!$M$8:$N$15,2,FALSE),IF(N2181=MappingTables!$C$16,VLOOKUP(J2181,ModelParameters!$P$8:$Q$15,2,FALSE),0)))</f>
        <v>1</v>
      </c>
      <c r="P2181" s="73">
        <f>IF(OR(I2181=0,I2181=$A$1),0,MIN(O2181*M2181,1)*K2181)</f>
        <v>102.94592094486642</v>
      </c>
      <c r="Q2181" s="73">
        <f>IF(B2181="",0,IF(OR(H2181=MappingTables!$C$34,H2181=MappingTables!$C$35),P2181,0))</f>
        <v>0</v>
      </c>
      <c r="R2181" s="73">
        <f>IF(ISNA(IF(AND(VLOOKUP(CONCATENATE($D2181,$G2181),CSRFinput!$B:$E,4,0)=0,OR(H2181=MappingTables!$C$31,H2181=MappingTables!$C$32)),1,VLOOKUP(CONCATENATE($D2181,$G2181),CSRFinput!$B:$E,4,0))),0,IF(AND(VLOOKUP(CONCATENATE($D2181,$G2181),CSRFinput!$B:$E,4,0)=0,OR(H2181=MappingTables!$C$31,H2181=MappingTables!$C$32)),1,VLOOKUP(CONCATENATE($D2181,$G2181),CSRFinput!$B:$E,4,0)))</f>
        <v>0.054776304963434752</v>
      </c>
      <c r="S2181" s="73">
        <f>IF(B2181="",0,P2181*R2181)</f>
        <v>5.6389971604176488</v>
      </c>
      <c r="T2181" s="85">
        <f>IF(B2181="",0,IF(OR(H2181=MappingTables!$C$34,H2181=MappingTables!$C$35),S2181,0))</f>
        <v>0</v>
      </c>
    </row>
    <row r="2182" spans="2:20" s="0" customFormat="0" ht="15">
      <c r="B2182" s="69" t="s">
        <v>3754</v>
      </c>
      <c r="C2182" s="70" t="s">
        <v>3755</v>
      </c>
      <c r="D2182" s="70" t="s">
        <v>1</v>
      </c>
      <c r="E2182" s="70" t="s">
        <v>1</v>
      </c>
      <c r="F2182" s="70"/>
      <c r="G2182" s="70" t="s">
        <v>61</v>
      </c>
      <c r="H2182" s="70" t="s">
        <v>178</v>
      </c>
      <c r="I2182" s="70" t="s">
        <v>3298</v>
      </c>
      <c r="J2182" s="71">
        <f>IF(OR(I2182=0,I2182=""),"unrated",VLOOKUP(I2182,MappingTables!$B$19:$C$31,2,FALSE))</f>
        <v>6</v>
      </c>
      <c r="K2182" s="72">
        <v>355.8873958920962</v>
      </c>
      <c r="L2182" s="70">
        <v>0.068491216730150408</v>
      </c>
      <c r="M2182" s="71">
        <f>IF(L2182&lt;1,1,L2182)</f>
        <v>1</v>
      </c>
      <c r="N2182" s="70" t="s">
        <v>3288</v>
      </c>
      <c r="O2182" s="71">
        <f>IF(OR(I2182=$A$1,I2182=0),"",IF(N2182=MappingTables!$C$14,VLOOKUP(J2182,ModelParameters!$M$8:$N$15,2,FALSE),IF(N2182=MappingTables!$C$16,VLOOKUP(J2182,ModelParameters!$P$8:$Q$15,2,FALSE),0)))</f>
        <v>1</v>
      </c>
      <c r="P2182" s="73">
        <f>IF(OR(I2182=0,I2182=$A$1),0,MIN(O2182*M2182,1)*K2182)</f>
        <v>355.8873958920962</v>
      </c>
      <c r="Q2182" s="73">
        <f>IF(B2182="",0,IF(OR(H2182=MappingTables!$C$34,H2182=MappingTables!$C$35),P2182,0))</f>
        <v>0</v>
      </c>
      <c r="R2182" s="73">
        <f>IF(ISNA(IF(AND(VLOOKUP(CONCATENATE($D2182,$G2182),CSRFinput!$B:$E,4,0)=0,OR(H2182=MappingTables!$C$31,H2182=MappingTables!$C$32)),1,VLOOKUP(CONCATENATE($D2182,$G2182),CSRFinput!$B:$E,4,0))),0,IF(AND(VLOOKUP(CONCATENATE($D2182,$G2182),CSRFinput!$B:$E,4,0)=0,OR(H2182=MappingTables!$C$31,H2182=MappingTables!$C$32)),1,VLOOKUP(CONCATENATE($D2182,$G2182),CSRFinput!$B:$E,4,0)))</f>
        <v>0.054776304963434752</v>
      </c>
      <c r="S2182" s="73">
        <f>IF(B2182="",0,P2182*R2182)</f>
        <v>19.4941965300281</v>
      </c>
      <c r="T2182" s="85">
        <f>IF(B2182="",0,IF(OR(H2182=MappingTables!$C$34,H2182=MappingTables!$C$35),S2182,0))</f>
        <v>0</v>
      </c>
    </row>
    <row r="2183" spans="2:20" s="0" customFormat="0" ht="15">
      <c r="B2183" s="69" t="s">
        <v>4682</v>
      </c>
      <c r="C2183" s="70" t="s">
        <v>4683</v>
      </c>
      <c r="D2183" s="70" t="s">
        <v>1</v>
      </c>
      <c r="E2183" s="70" t="s">
        <v>1</v>
      </c>
      <c r="F2183" s="70"/>
      <c r="G2183" s="70" t="s">
        <v>61</v>
      </c>
      <c r="H2183" s="70" t="s">
        <v>178</v>
      </c>
      <c r="I2183" s="70" t="s">
        <v>216</v>
      </c>
      <c r="J2183" s="71">
        <f>IF(OR(I2183=0,I2183=""),"unrated",VLOOKUP(I2183,MappingTables!$B$19:$C$31,2,FALSE))</f>
        <v>0</v>
      </c>
      <c r="K2183" s="72">
        <v>2533.69884939501</v>
      </c>
      <c r="L2183" s="70">
        <v>0.054795480359008304</v>
      </c>
      <c r="M2183" s="71">
        <f>IF(L2183&lt;1,1,L2183)</f>
        <v>1</v>
      </c>
      <c r="N2183" s="70" t="s">
        <v>3288</v>
      </c>
      <c r="O2183" s="71">
        <f>IF(OR(I2183=$A$1,I2183=0),"",IF(N2183=MappingTables!$C$14,VLOOKUP(J2183,ModelParameters!$M$8:$N$15,2,FALSE),IF(N2183=MappingTables!$C$16,VLOOKUP(J2183,ModelParameters!$P$8:$Q$15,2,FALSE),0)))</f>
        <v>0.125</v>
      </c>
      <c r="P2183" s="73">
        <f>IF(OR(I2183=0,I2183=$A$1),0,MIN(O2183*M2183,1)*K2183)</f>
        <v>316.71235617437624</v>
      </c>
      <c r="Q2183" s="73">
        <f>IF(B2183="",0,IF(OR(H2183=MappingTables!$C$34,H2183=MappingTables!$C$35),P2183,0))</f>
        <v>0</v>
      </c>
      <c r="R2183" s="73">
        <f>IF(ISNA(IF(AND(VLOOKUP(CONCATENATE($D2183,$G2183),CSRFinput!$B:$E,4,0)=0,OR(H2183=MappingTables!$C$31,H2183=MappingTables!$C$32)),1,VLOOKUP(CONCATENATE($D2183,$G2183),CSRFinput!$B:$E,4,0))),0,IF(AND(VLOOKUP(CONCATENATE($D2183,$G2183),CSRFinput!$B:$E,4,0)=0,OR(H2183=MappingTables!$C$31,H2183=MappingTables!$C$32)),1,VLOOKUP(CONCATENATE($D2183,$G2183),CSRFinput!$B:$E,4,0)))</f>
        <v>0.054776304963434752</v>
      </c>
      <c r="S2183" s="73">
        <f>IF(B2183="",0,P2183*R2183)</f>
        <v>17.3483326074956</v>
      </c>
      <c r="T2183" s="85">
        <f>IF(B2183="",0,IF(OR(H2183=MappingTables!$C$34,H2183=MappingTables!$C$35),S2183,0))</f>
        <v>0</v>
      </c>
    </row>
    <row r="2184" spans="2:20" s="0" customFormat="0" ht="15">
      <c r="B2184" s="69" t="s">
        <v>4889</v>
      </c>
      <c r="C2184" s="70" t="s">
        <v>4890</v>
      </c>
      <c r="D2184" s="70" t="s">
        <v>1</v>
      </c>
      <c r="E2184" s="70" t="s">
        <v>1</v>
      </c>
      <c r="F2184" s="70"/>
      <c r="G2184" s="70" t="s">
        <v>61</v>
      </c>
      <c r="H2184" s="70" t="s">
        <v>178</v>
      </c>
      <c r="I2184" s="70" t="s">
        <v>216</v>
      </c>
      <c r="J2184" s="71">
        <f>IF(OR(I2184=0,I2184=""),"unrated",VLOOKUP(I2184,MappingTables!$B$19:$C$31,2,FALSE))</f>
        <v>0</v>
      </c>
      <c r="K2184" s="72">
        <v>9129.7746932929824</v>
      </c>
      <c r="L2184" s="70">
        <v>0.054797962066264328</v>
      </c>
      <c r="M2184" s="71">
        <f>IF(L2184&lt;1,1,L2184)</f>
        <v>1</v>
      </c>
      <c r="N2184" s="70" t="s">
        <v>3288</v>
      </c>
      <c r="O2184" s="71">
        <f>IF(OR(I2184=$A$1,I2184=0),"",IF(N2184=MappingTables!$C$14,VLOOKUP(J2184,ModelParameters!$M$8:$N$15,2,FALSE),IF(N2184=MappingTables!$C$16,VLOOKUP(J2184,ModelParameters!$P$8:$Q$15,2,FALSE),0)))</f>
        <v>0.125</v>
      </c>
      <c r="P2184" s="73">
        <f>IF(OR(I2184=0,I2184=$A$1),0,MIN(O2184*M2184,1)*K2184)</f>
        <v>1141.2218366616228</v>
      </c>
      <c r="Q2184" s="73">
        <f>IF(B2184="",0,IF(OR(H2184=MappingTables!$C$34,H2184=MappingTables!$C$35),P2184,0))</f>
        <v>0</v>
      </c>
      <c r="R2184" s="73">
        <f>IF(ISNA(IF(AND(VLOOKUP(CONCATENATE($D2184,$G2184),CSRFinput!$B:$E,4,0)=0,OR(H2184=MappingTables!$C$31,H2184=MappingTables!$C$32)),1,VLOOKUP(CONCATENATE($D2184,$G2184),CSRFinput!$B:$E,4,0))),0,IF(AND(VLOOKUP(CONCATENATE($D2184,$G2184),CSRFinput!$B:$E,4,0)=0,OR(H2184=MappingTables!$C$31,H2184=MappingTables!$C$32)),1,VLOOKUP(CONCATENATE($D2184,$G2184),CSRFinput!$B:$E,4,0)))</f>
        <v>0.054776304963434752</v>
      </c>
      <c r="S2184" s="73">
        <f>IF(B2184="",0,P2184*R2184)</f>
        <v>62.511915355908176</v>
      </c>
      <c r="T2184" s="85">
        <f>IF(B2184="",0,IF(OR(H2184=MappingTables!$C$34,H2184=MappingTables!$C$35),S2184,0))</f>
        <v>0</v>
      </c>
    </row>
    <row r="2185" spans="2:20" s="0" customFormat="0" ht="15">
      <c r="B2185" s="69">
        <v>22623661</v>
      </c>
      <c r="C2185" s="70" t="s">
        <v>4622</v>
      </c>
      <c r="D2185" s="70" t="s">
        <v>1</v>
      </c>
      <c r="E2185" s="70" t="s">
        <v>1</v>
      </c>
      <c r="F2185" s="70"/>
      <c r="G2185" s="70" t="s">
        <v>61</v>
      </c>
      <c r="H2185" s="70" t="s">
        <v>178</v>
      </c>
      <c r="I2185" s="70" t="s">
        <v>198</v>
      </c>
      <c r="J2185" s="71" t="str">
        <f>IF(OR(I2185=0,I2185=""),"unrated",VLOOKUP(I2185,MappingTables!$B$19:$C$31,2,FALSE))</f>
        <v>unrated</v>
      </c>
      <c r="K2185" s="72">
        <v>200.2035216618162</v>
      </c>
      <c r="L2185" s="70">
        <v>7.9716835477253632</v>
      </c>
      <c r="M2185" s="71">
        <f>IF(L2185&lt;1,1,L2185)</f>
        <v>7.9716835477253632</v>
      </c>
      <c r="N2185" s="70" t="s">
        <v>3288</v>
      </c>
      <c r="O2185" s="71">
        <f>IF(OR(I2185=$A$1,I2185=0),"",IF(N2185=MappingTables!$C$14,VLOOKUP(J2185,ModelParameters!$M$8:$N$15,2,FALSE),IF(N2185=MappingTables!$C$16,VLOOKUP(J2185,ModelParameters!$P$8:$Q$15,2,FALSE),0)))</f>
        <v>1</v>
      </c>
      <c r="P2185" s="73">
        <f>IF(OR(I2185=0,I2185=$A$1),0,MIN(O2185*M2185,1)*K2185)</f>
        <v>200.2035216618162</v>
      </c>
      <c r="Q2185" s="73">
        <f>IF(B2185="",0,IF(OR(H2185=MappingTables!$C$34,H2185=MappingTables!$C$35),P2185,0))</f>
        <v>0</v>
      </c>
      <c r="R2185" s="73">
        <f>IF(ISNA(IF(AND(VLOOKUP(CONCATENATE($D2185,$G2185),CSRFinput!$B:$E,4,0)=0,OR(H2185=MappingTables!$C$31,H2185=MappingTables!$C$32)),1,VLOOKUP(CONCATENATE($D2185,$G2185),CSRFinput!$B:$E,4,0))),0,IF(AND(VLOOKUP(CONCATENATE($D2185,$G2185),CSRFinput!$B:$E,4,0)=0,OR(H2185=MappingTables!$C$31,H2185=MappingTables!$C$32)),1,VLOOKUP(CONCATENATE($D2185,$G2185),CSRFinput!$B:$E,4,0)))</f>
        <v>0.054776304963434752</v>
      </c>
      <c r="S2185" s="73">
        <f>IF(B2185="",0,P2185*R2185)</f>
        <v>10.96640915730126</v>
      </c>
      <c r="T2185" s="85">
        <f>IF(B2185="",0,IF(OR(H2185=MappingTables!$C$34,H2185=MappingTables!$C$35),S2185,0))</f>
        <v>0</v>
      </c>
    </row>
    <row r="2186" spans="2:20" s="0" customFormat="0" ht="15">
      <c r="B2186" s="69">
        <v>22623662</v>
      </c>
      <c r="C2186" s="70" t="s">
        <v>4002</v>
      </c>
      <c r="D2186" s="70" t="s">
        <v>1</v>
      </c>
      <c r="E2186" s="70" t="s">
        <v>1</v>
      </c>
      <c r="F2186" s="70"/>
      <c r="G2186" s="70" t="s">
        <v>61</v>
      </c>
      <c r="H2186" s="70" t="s">
        <v>178</v>
      </c>
      <c r="I2186" s="70" t="s">
        <v>3291</v>
      </c>
      <c r="J2186" s="71">
        <f>IF(OR(I2186=0,I2186=""),"unrated",VLOOKUP(I2186,MappingTables!$B$19:$C$31,2,FALSE))</f>
        <v>6</v>
      </c>
      <c r="K2186" s="72">
        <v>1233.4759104303518</v>
      </c>
      <c r="L2186" s="70">
        <v>0.068491277692964048</v>
      </c>
      <c r="M2186" s="71">
        <f>IF(L2186&lt;1,1,L2186)</f>
        <v>1</v>
      </c>
      <c r="N2186" s="70" t="s">
        <v>3288</v>
      </c>
      <c r="O2186" s="71">
        <f>IF(OR(I2186=$A$1,I2186=0),"",IF(N2186=MappingTables!$C$14,VLOOKUP(J2186,ModelParameters!$M$8:$N$15,2,FALSE),IF(N2186=MappingTables!$C$16,VLOOKUP(J2186,ModelParameters!$P$8:$Q$15,2,FALSE),0)))</f>
        <v>1</v>
      </c>
      <c r="P2186" s="73">
        <f>IF(OR(I2186=0,I2186=$A$1),0,MIN(O2186*M2186,1)*K2186)</f>
        <v>1233.4759104303518</v>
      </c>
      <c r="Q2186" s="73">
        <f>IF(B2186="",0,IF(OR(H2186=MappingTables!$C$34,H2186=MappingTables!$C$35),P2186,0))</f>
        <v>0</v>
      </c>
      <c r="R2186" s="73">
        <f>IF(ISNA(IF(AND(VLOOKUP(CONCATENATE($D2186,$G2186),CSRFinput!$B:$E,4,0)=0,OR(H2186=MappingTables!$C$31,H2186=MappingTables!$C$32)),1,VLOOKUP(CONCATENATE($D2186,$G2186),CSRFinput!$B:$E,4,0))),0,IF(AND(VLOOKUP(CONCATENATE($D2186,$G2186),CSRFinput!$B:$E,4,0)=0,OR(H2186=MappingTables!$C$31,H2186=MappingTables!$C$32)),1,VLOOKUP(CONCATENATE($D2186,$G2186),CSRFinput!$B:$E,4,0)))</f>
        <v>0.054776304963434752</v>
      </c>
      <c r="S2186" s="73">
        <f>IF(B2186="",0,P2186*R2186)</f>
        <v>67.56525263478328</v>
      </c>
      <c r="T2186" s="85">
        <f>IF(B2186="",0,IF(OR(H2186=MappingTables!$C$34,H2186=MappingTables!$C$35),S2186,0))</f>
        <v>0</v>
      </c>
    </row>
    <row r="2187" spans="2:20" s="0" customFormat="0" ht="15">
      <c r="B2187" s="69">
        <v>7065942</v>
      </c>
      <c r="C2187" s="70" t="s">
        <v>4908</v>
      </c>
      <c r="D2187" s="70" t="s">
        <v>1</v>
      </c>
      <c r="E2187" s="70" t="s">
        <v>1</v>
      </c>
      <c r="F2187" s="70"/>
      <c r="G2187" s="70" t="s">
        <v>61</v>
      </c>
      <c r="H2187" s="70" t="s">
        <v>178</v>
      </c>
      <c r="I2187" s="70" t="s">
        <v>216</v>
      </c>
      <c r="J2187" s="71">
        <f>IF(OR(I2187=0,I2187=""),"unrated",VLOOKUP(I2187,MappingTables!$B$19:$C$31,2,FALSE))</f>
        <v>0</v>
      </c>
      <c r="K2187" s="72">
        <v>0.19160349977051088</v>
      </c>
      <c r="L2187" s="70">
        <v>0.038926798224578112</v>
      </c>
      <c r="M2187" s="71">
        <f>IF(L2187&lt;1,1,L2187)</f>
        <v>1</v>
      </c>
      <c r="N2187" s="70" t="s">
        <v>3288</v>
      </c>
      <c r="O2187" s="71">
        <f>IF(OR(I2187=$A$1,I2187=0),"",IF(N2187=MappingTables!$C$14,VLOOKUP(J2187,ModelParameters!$M$8:$N$15,2,FALSE),IF(N2187=MappingTables!$C$16,VLOOKUP(J2187,ModelParameters!$P$8:$Q$15,2,FALSE),0)))</f>
        <v>0.125</v>
      </c>
      <c r="P2187" s="73">
        <f>IF(OR(I2187=0,I2187=$A$1),0,MIN(O2187*M2187,1)*K2187)</f>
        <v>0.023950437471313856</v>
      </c>
      <c r="Q2187" s="73">
        <f>IF(B2187="",0,IF(OR(H2187=MappingTables!$C$34,H2187=MappingTables!$C$35),P2187,0))</f>
        <v>0</v>
      </c>
      <c r="R2187" s="73">
        <f>IF(ISNA(IF(AND(VLOOKUP(CONCATENATE($D2187,$G2187),CSRFinput!$B:$E,4,0)=0,OR(H2187=MappingTables!$C$31,H2187=MappingTables!$C$32)),1,VLOOKUP(CONCATENATE($D2187,$G2187),CSRFinput!$B:$E,4,0))),0,IF(AND(VLOOKUP(CONCATENATE($D2187,$G2187),CSRFinput!$B:$E,4,0)=0,OR(H2187=MappingTables!$C$31,H2187=MappingTables!$C$32)),1,VLOOKUP(CONCATENATE($D2187,$G2187),CSRFinput!$B:$E,4,0)))</f>
        <v>0.054776304963434752</v>
      </c>
      <c r="S2187" s="73">
        <f>IF(B2187="",0,P2187*R2187)</f>
        <v>0.001311916466936363</v>
      </c>
      <c r="T2187" s="85">
        <f>IF(B2187="",0,IF(OR(H2187=MappingTables!$C$34,H2187=MappingTables!$C$35),S2187,0))</f>
        <v>0</v>
      </c>
    </row>
    <row r="2188" spans="2:20" s="0" customFormat="0" ht="15">
      <c r="B2188" s="69" t="s">
        <v>5209</v>
      </c>
      <c r="C2188" s="70" t="s">
        <v>5210</v>
      </c>
      <c r="D2188" s="70" t="s">
        <v>1</v>
      </c>
      <c r="E2188" s="70" t="s">
        <v>1</v>
      </c>
      <c r="F2188" s="70"/>
      <c r="G2188" s="70" t="s">
        <v>61</v>
      </c>
      <c r="H2188" s="70" t="s">
        <v>178</v>
      </c>
      <c r="I2188" s="70" t="s">
        <v>3291</v>
      </c>
      <c r="J2188" s="71">
        <f>IF(OR(I2188=0,I2188=""),"unrated",VLOOKUP(I2188,MappingTables!$B$19:$C$31,2,FALSE))</f>
        <v>6</v>
      </c>
      <c r="K2188" s="72">
        <v>176.5606993614202</v>
      </c>
      <c r="L2188" s="70">
        <v>0.068493042110876088</v>
      </c>
      <c r="M2188" s="71">
        <f>IF(L2188&lt;1,1,L2188)</f>
        <v>1</v>
      </c>
      <c r="N2188" s="70" t="s">
        <v>3288</v>
      </c>
      <c r="O2188" s="71">
        <f>IF(OR(I2188=$A$1,I2188=0),"",IF(N2188=MappingTables!$C$14,VLOOKUP(J2188,ModelParameters!$M$8:$N$15,2,FALSE),IF(N2188=MappingTables!$C$16,VLOOKUP(J2188,ModelParameters!$P$8:$Q$15,2,FALSE),0)))</f>
        <v>1</v>
      </c>
      <c r="P2188" s="73">
        <f>IF(OR(I2188=0,I2188=$A$1),0,MIN(O2188*M2188,1)*K2188)</f>
        <v>176.5606993614202</v>
      </c>
      <c r="Q2188" s="73">
        <f>IF(B2188="",0,IF(OR(H2188=MappingTables!$C$34,H2188=MappingTables!$C$35),P2188,0))</f>
        <v>0</v>
      </c>
      <c r="R2188" s="73">
        <f>IF(ISNA(IF(AND(VLOOKUP(CONCATENATE($D2188,$G2188),CSRFinput!$B:$E,4,0)=0,OR(H2188=MappingTables!$C$31,H2188=MappingTables!$C$32)),1,VLOOKUP(CONCATENATE($D2188,$G2188),CSRFinput!$B:$E,4,0))),0,IF(AND(VLOOKUP(CONCATENATE($D2188,$G2188),CSRFinput!$B:$E,4,0)=0,OR(H2188=MappingTables!$C$31,H2188=MappingTables!$C$32)),1,VLOOKUP(CONCATENATE($D2188,$G2188),CSRFinput!$B:$E,4,0)))</f>
        <v>0.054776304963434752</v>
      </c>
      <c r="S2188" s="73">
        <f>IF(B2188="",0,P2188*R2188)</f>
        <v>9.6713427127784736</v>
      </c>
      <c r="T2188" s="85">
        <f>IF(B2188="",0,IF(OR(H2188=MappingTables!$C$34,H2188=MappingTables!$C$35),S2188,0))</f>
        <v>0</v>
      </c>
    </row>
    <row r="2189" spans="2:20" s="0" customFormat="0" ht="15">
      <c r="B2189" s="69" t="s">
        <v>3311</v>
      </c>
      <c r="C2189" s="70" t="s">
        <v>3312</v>
      </c>
      <c r="D2189" s="70" t="s">
        <v>1</v>
      </c>
      <c r="E2189" s="70" t="s">
        <v>1</v>
      </c>
      <c r="F2189" s="70"/>
      <c r="G2189" s="70" t="s">
        <v>61</v>
      </c>
      <c r="H2189" s="70" t="s">
        <v>178</v>
      </c>
      <c r="I2189" s="70" t="s">
        <v>3298</v>
      </c>
      <c r="J2189" s="71">
        <f>IF(OR(I2189=0,I2189=""),"unrated",VLOOKUP(I2189,MappingTables!$B$19:$C$31,2,FALSE))</f>
        <v>6</v>
      </c>
      <c r="K2189" s="72">
        <v>543.9012383664424</v>
      </c>
      <c r="L2189" s="70">
        <v>-1.8246567742018712</v>
      </c>
      <c r="M2189" s="71">
        <f>IF(L2189&lt;1,1,L2189)</f>
        <v>1</v>
      </c>
      <c r="N2189" s="70" t="s">
        <v>3288</v>
      </c>
      <c r="O2189" s="71">
        <f>IF(OR(I2189=$A$1,I2189=0),"",IF(N2189=MappingTables!$C$14,VLOOKUP(J2189,ModelParameters!$M$8:$N$15,2,FALSE),IF(N2189=MappingTables!$C$16,VLOOKUP(J2189,ModelParameters!$P$8:$Q$15,2,FALSE),0)))</f>
        <v>1</v>
      </c>
      <c r="P2189" s="73">
        <f>IF(OR(I2189=0,I2189=$A$1),0,MIN(O2189*M2189,1)*K2189)</f>
        <v>543.9012383664424</v>
      </c>
      <c r="Q2189" s="73">
        <f>IF(B2189="",0,IF(OR(H2189=MappingTables!$C$34,H2189=MappingTables!$C$35),P2189,0))</f>
        <v>0</v>
      </c>
      <c r="R2189" s="73">
        <f>IF(ISNA(IF(AND(VLOOKUP(CONCATENATE($D2189,$G2189),CSRFinput!$B:$E,4,0)=0,OR(H2189=MappingTables!$C$31,H2189=MappingTables!$C$32)),1,VLOOKUP(CONCATENATE($D2189,$G2189),CSRFinput!$B:$E,4,0))),0,IF(AND(VLOOKUP(CONCATENATE($D2189,$G2189),CSRFinput!$B:$E,4,0)=0,OR(H2189=MappingTables!$C$31,H2189=MappingTables!$C$32)),1,VLOOKUP(CONCATENATE($D2189,$G2189),CSRFinput!$B:$E,4,0)))</f>
        <v>0.054776304963434752</v>
      </c>
      <c r="S2189" s="73">
        <f>IF(B2189="",0,P2189*R2189)</f>
        <v>29.792900102750068</v>
      </c>
      <c r="T2189" s="85">
        <f>IF(B2189="",0,IF(OR(H2189=MappingTables!$C$34,H2189=MappingTables!$C$35),S2189,0))</f>
        <v>0</v>
      </c>
    </row>
    <row r="2190" spans="2:20" s="0" customFormat="0" ht="15">
      <c r="B2190" s="69" t="s">
        <v>5183</v>
      </c>
      <c r="C2190" s="70" t="s">
        <v>5184</v>
      </c>
      <c r="D2190" s="70" t="s">
        <v>1</v>
      </c>
      <c r="E2190" s="70" t="s">
        <v>1</v>
      </c>
      <c r="F2190" s="70"/>
      <c r="G2190" s="70" t="s">
        <v>61</v>
      </c>
      <c r="H2190" s="70" t="s">
        <v>178</v>
      </c>
      <c r="I2190" s="70" t="s">
        <v>181</v>
      </c>
      <c r="J2190" s="71">
        <f>IF(OR(I2190=0,I2190=""),"unrated",VLOOKUP(I2190,MappingTables!$B$19:$C$31,2,FALSE))</f>
        <v>3</v>
      </c>
      <c r="K2190" s="72">
        <v>98.3945299930444</v>
      </c>
      <c r="L2190" s="70">
        <v>0.068491008434681488</v>
      </c>
      <c r="M2190" s="71">
        <f>IF(L2190&lt;1,1,L2190)</f>
        <v>1</v>
      </c>
      <c r="N2190" s="70" t="s">
        <v>3288</v>
      </c>
      <c r="O2190" s="71">
        <f>IF(OR(I2190=$A$1,I2190=0),"",IF(N2190=MappingTables!$C$14,VLOOKUP(J2190,ModelParameters!$M$8:$N$15,2,FALSE),IF(N2190=MappingTables!$C$16,VLOOKUP(J2190,ModelParameters!$P$8:$Q$15,2,FALSE),0)))</f>
        <v>0.197</v>
      </c>
      <c r="P2190" s="73">
        <f>IF(OR(I2190=0,I2190=$A$1),0,MIN(O2190*M2190,1)*K2190)</f>
        <v>19.383722408629744</v>
      </c>
      <c r="Q2190" s="73">
        <f>IF(B2190="",0,IF(OR(H2190=MappingTables!$C$34,H2190=MappingTables!$C$35),P2190,0))</f>
        <v>0</v>
      </c>
      <c r="R2190" s="73">
        <f>IF(ISNA(IF(AND(VLOOKUP(CONCATENATE($D2190,$G2190),CSRFinput!$B:$E,4,0)=0,OR(H2190=MappingTables!$C$31,H2190=MappingTables!$C$32)),1,VLOOKUP(CONCATENATE($D2190,$G2190),CSRFinput!$B:$E,4,0))),0,IF(AND(VLOOKUP(CONCATENATE($D2190,$G2190),CSRFinput!$B:$E,4,0)=0,OR(H2190=MappingTables!$C$31,H2190=MappingTables!$C$32)),1,VLOOKUP(CONCATENATE($D2190,$G2190),CSRFinput!$B:$E,4,0)))</f>
        <v>0.054776304963434752</v>
      </c>
      <c r="S2190" s="73">
        <f>IF(B2190="",0,P2190*R2190)</f>
        <v>1.061768689981667</v>
      </c>
      <c r="T2190" s="85">
        <f>IF(B2190="",0,IF(OR(H2190=MappingTables!$C$34,H2190=MappingTables!$C$35),S2190,0))</f>
        <v>0</v>
      </c>
    </row>
    <row r="2191" spans="2:20" s="0" customFormat="0" ht="15">
      <c r="B2191" s="69">
        <v>22554249</v>
      </c>
      <c r="C2191" s="70" t="s">
        <v>5146</v>
      </c>
      <c r="D2191" s="70" t="s">
        <v>1</v>
      </c>
      <c r="E2191" s="70" t="s">
        <v>1</v>
      </c>
      <c r="F2191" s="70"/>
      <c r="G2191" s="70" t="s">
        <v>61</v>
      </c>
      <c r="H2191" s="70" t="s">
        <v>178</v>
      </c>
      <c r="I2191" s="70" t="s">
        <v>216</v>
      </c>
      <c r="J2191" s="71">
        <f>IF(OR(I2191=0,I2191=""),"unrated",VLOOKUP(I2191,MappingTables!$B$19:$C$31,2,FALSE))</f>
        <v>0</v>
      </c>
      <c r="K2191" s="72">
        <v>9.8615218297749424</v>
      </c>
      <c r="L2191" s="70">
        <v>0.01364208917985174</v>
      </c>
      <c r="M2191" s="71">
        <f>IF(L2191&lt;1,1,L2191)</f>
        <v>1</v>
      </c>
      <c r="N2191" s="70" t="s">
        <v>3288</v>
      </c>
      <c r="O2191" s="71">
        <f>IF(OR(I2191=$A$1,I2191=0),"",IF(N2191=MappingTables!$C$14,VLOOKUP(J2191,ModelParameters!$M$8:$N$15,2,FALSE),IF(N2191=MappingTables!$C$16,VLOOKUP(J2191,ModelParameters!$P$8:$Q$15,2,FALSE),0)))</f>
        <v>0.125</v>
      </c>
      <c r="P2191" s="73">
        <f>IF(OR(I2191=0,I2191=$A$1),0,MIN(O2191*M2191,1)*K2191)</f>
        <v>1.2326902287218678</v>
      </c>
      <c r="Q2191" s="73">
        <f>IF(B2191="",0,IF(OR(H2191=MappingTables!$C$34,H2191=MappingTables!$C$35),P2191,0))</f>
        <v>0</v>
      </c>
      <c r="R2191" s="73">
        <f>IF(ISNA(IF(AND(VLOOKUP(CONCATENATE($D2191,$G2191),CSRFinput!$B:$E,4,0)=0,OR(H2191=MappingTables!$C$31,H2191=MappingTables!$C$32)),1,VLOOKUP(CONCATENATE($D2191,$G2191),CSRFinput!$B:$E,4,0))),0,IF(AND(VLOOKUP(CONCATENATE($D2191,$G2191),CSRFinput!$B:$E,4,0)=0,OR(H2191=MappingTables!$C$31,H2191=MappingTables!$C$32)),1,VLOOKUP(CONCATENATE($D2191,$G2191),CSRFinput!$B:$E,4,0)))</f>
        <v>0.054776304963434752</v>
      </c>
      <c r="S2191" s="73">
        <f>IF(B2191="",0,P2191*R2191)</f>
        <v>0.06752221589391516</v>
      </c>
      <c r="T2191" s="85">
        <f>IF(B2191="",0,IF(OR(H2191=MappingTables!$C$34,H2191=MappingTables!$C$35),S2191,0))</f>
        <v>0</v>
      </c>
    </row>
    <row r="2192" spans="2:20" s="0" customFormat="0" ht="15">
      <c r="B2192" s="69" t="s">
        <v>4946</v>
      </c>
      <c r="C2192" s="70" t="s">
        <v>4947</v>
      </c>
      <c r="D2192" s="70" t="s">
        <v>1</v>
      </c>
      <c r="E2192" s="70" t="s">
        <v>1</v>
      </c>
      <c r="F2192" s="70"/>
      <c r="G2192" s="70" t="s">
        <v>61</v>
      </c>
      <c r="H2192" s="70" t="s">
        <v>178</v>
      </c>
      <c r="I2192" s="70" t="s">
        <v>198</v>
      </c>
      <c r="J2192" s="71" t="str">
        <f>IF(OR(I2192=0,I2192=""),"unrated",VLOOKUP(I2192,MappingTables!$B$19:$C$31,2,FALSE))</f>
        <v>unrated</v>
      </c>
      <c r="K2192" s="72">
        <v>618.05765176895224</v>
      </c>
      <c r="L2192" s="70">
        <v>1.155518778624202</v>
      </c>
      <c r="M2192" s="71">
        <f>IF(L2192&lt;1,1,L2192)</f>
        <v>1.155518778624202</v>
      </c>
      <c r="N2192" s="70" t="s">
        <v>3288</v>
      </c>
      <c r="O2192" s="71">
        <f>IF(OR(I2192=$A$1,I2192=0),"",IF(N2192=MappingTables!$C$14,VLOOKUP(J2192,ModelParameters!$M$8:$N$15,2,FALSE),IF(N2192=MappingTables!$C$16,VLOOKUP(J2192,ModelParameters!$P$8:$Q$15,2,FALSE),0)))</f>
        <v>1</v>
      </c>
      <c r="P2192" s="73">
        <f>IF(OR(I2192=0,I2192=$A$1),0,MIN(O2192*M2192,1)*K2192)</f>
        <v>618.05765176895224</v>
      </c>
      <c r="Q2192" s="73">
        <f>IF(B2192="",0,IF(OR(H2192=MappingTables!$C$34,H2192=MappingTables!$C$35),P2192,0))</f>
        <v>0</v>
      </c>
      <c r="R2192" s="73">
        <f>IF(ISNA(IF(AND(VLOOKUP(CONCATENATE($D2192,$G2192),CSRFinput!$B:$E,4,0)=0,OR(H2192=MappingTables!$C$31,H2192=MappingTables!$C$32)),1,VLOOKUP(CONCATENATE($D2192,$G2192),CSRFinput!$B:$E,4,0))),0,IF(AND(VLOOKUP(CONCATENATE($D2192,$G2192),CSRFinput!$B:$E,4,0)=0,OR(H2192=MappingTables!$C$31,H2192=MappingTables!$C$32)),1,VLOOKUP(CONCATENATE($D2192,$G2192),CSRFinput!$B:$E,4,0)))</f>
        <v>0.054776304963434752</v>
      </c>
      <c r="S2192" s="73">
        <f>IF(B2192="",0,P2192*R2192)</f>
        <v>33.854914418280488</v>
      </c>
      <c r="T2192" s="85">
        <f>IF(B2192="",0,IF(OR(H2192=MappingTables!$C$34,H2192=MappingTables!$C$35),S2192,0))</f>
        <v>0</v>
      </c>
    </row>
    <row r="2193" spans="2:20" s="0" customFormat="0" ht="15">
      <c r="B2193" s="69" t="s">
        <v>4658</v>
      </c>
      <c r="C2193" s="70" t="s">
        <v>4659</v>
      </c>
      <c r="D2193" s="70" t="s">
        <v>1</v>
      </c>
      <c r="E2193" s="70" t="s">
        <v>1</v>
      </c>
      <c r="F2193" s="70"/>
      <c r="G2193" s="70" t="s">
        <v>61</v>
      </c>
      <c r="H2193" s="70" t="s">
        <v>178</v>
      </c>
      <c r="I2193" s="70" t="s">
        <v>184</v>
      </c>
      <c r="J2193" s="71">
        <f>IF(OR(I2193=0,I2193=""),"unrated",VLOOKUP(I2193,MappingTables!$B$19:$C$31,2,FALSE))</f>
        <v>5</v>
      </c>
      <c r="K2193" s="72">
        <v>597.97989050598696</v>
      </c>
      <c r="L2193" s="70">
        <v>0.068492121048882056</v>
      </c>
      <c r="M2193" s="71">
        <f>IF(L2193&lt;1,1,L2193)</f>
        <v>1</v>
      </c>
      <c r="N2193" s="70" t="s">
        <v>3288</v>
      </c>
      <c r="O2193" s="71">
        <f>IF(OR(I2193=$A$1,I2193=0),"",IF(N2193=MappingTables!$C$14,VLOOKUP(J2193,ModelParameters!$M$8:$N$15,2,FALSE),IF(N2193=MappingTables!$C$16,VLOOKUP(J2193,ModelParameters!$P$8:$Q$15,2,FALSE),0)))</f>
        <v>1</v>
      </c>
      <c r="P2193" s="73">
        <f>IF(OR(I2193=0,I2193=$A$1),0,MIN(O2193*M2193,1)*K2193)</f>
        <v>597.97989050598696</v>
      </c>
      <c r="Q2193" s="73">
        <f>IF(B2193="",0,IF(OR(H2193=MappingTables!$C$34,H2193=MappingTables!$C$35),P2193,0))</f>
        <v>0</v>
      </c>
      <c r="R2193" s="73">
        <f>IF(ISNA(IF(AND(VLOOKUP(CONCATENATE($D2193,$G2193),CSRFinput!$B:$E,4,0)=0,OR(H2193=MappingTables!$C$31,H2193=MappingTables!$C$32)),1,VLOOKUP(CONCATENATE($D2193,$G2193),CSRFinput!$B:$E,4,0))),0,IF(AND(VLOOKUP(CONCATENATE($D2193,$G2193),CSRFinput!$B:$E,4,0)=0,OR(H2193=MappingTables!$C$31,H2193=MappingTables!$C$32)),1,VLOOKUP(CONCATENATE($D2193,$G2193),CSRFinput!$B:$E,4,0)))</f>
        <v>0.054776304963434752</v>
      </c>
      <c r="S2193" s="73">
        <f>IF(B2193="",0,P2193*R2193)</f>
        <v>32.755128844357264</v>
      </c>
      <c r="T2193" s="85">
        <f>IF(B2193="",0,IF(OR(H2193=MappingTables!$C$34,H2193=MappingTables!$C$35),S2193,0))</f>
        <v>0</v>
      </c>
    </row>
    <row r="2194" spans="2:20" s="0" customFormat="0" ht="15">
      <c r="B2194" s="69">
        <v>16974601</v>
      </c>
      <c r="C2194" s="70" t="s">
        <v>4137</v>
      </c>
      <c r="D2194" s="70" t="s">
        <v>1</v>
      </c>
      <c r="E2194" s="70" t="s">
        <v>1</v>
      </c>
      <c r="F2194" s="70"/>
      <c r="G2194" s="70" t="s">
        <v>61</v>
      </c>
      <c r="H2194" s="70" t="s">
        <v>178</v>
      </c>
      <c r="I2194" s="70" t="s">
        <v>216</v>
      </c>
      <c r="J2194" s="71">
        <f>IF(OR(I2194=0,I2194=""),"unrated",VLOOKUP(I2194,MappingTables!$B$19:$C$31,2,FALSE))</f>
        <v>0</v>
      </c>
      <c r="K2194" s="72">
        <v>725.07240643775104</v>
      </c>
      <c r="L2194" s="70">
        <v>0.029861888106645888</v>
      </c>
      <c r="M2194" s="71">
        <f>IF(L2194&lt;1,1,L2194)</f>
        <v>1</v>
      </c>
      <c r="N2194" s="70" t="s">
        <v>3288</v>
      </c>
      <c r="O2194" s="71">
        <f>IF(OR(I2194=$A$1,I2194=0),"",IF(N2194=MappingTables!$C$14,VLOOKUP(J2194,ModelParameters!$M$8:$N$15,2,FALSE),IF(N2194=MappingTables!$C$16,VLOOKUP(J2194,ModelParameters!$P$8:$Q$15,2,FALSE),0)))</f>
        <v>0.125</v>
      </c>
      <c r="P2194" s="73">
        <f>IF(OR(I2194=0,I2194=$A$1),0,MIN(O2194*M2194,1)*K2194)</f>
        <v>90.63405080471888</v>
      </c>
      <c r="Q2194" s="73">
        <f>IF(B2194="",0,IF(OR(H2194=MappingTables!$C$34,H2194=MappingTables!$C$35),P2194,0))</f>
        <v>0</v>
      </c>
      <c r="R2194" s="73">
        <f>IF(ISNA(IF(AND(VLOOKUP(CONCATENATE($D2194,$G2194),CSRFinput!$B:$E,4,0)=0,OR(H2194=MappingTables!$C$31,H2194=MappingTables!$C$32)),1,VLOOKUP(CONCATENATE($D2194,$G2194),CSRFinput!$B:$E,4,0))),0,IF(AND(VLOOKUP(CONCATENATE($D2194,$G2194),CSRFinput!$B:$E,4,0)=0,OR(H2194=MappingTables!$C$31,H2194=MappingTables!$C$32)),1,VLOOKUP(CONCATENATE($D2194,$G2194),CSRFinput!$B:$E,4,0)))</f>
        <v>0.054776304963434752</v>
      </c>
      <c r="S2194" s="73">
        <f>IF(B2194="",0,P2194*R2194)</f>
        <v>4.9645984069507208</v>
      </c>
      <c r="T2194" s="85">
        <f>IF(B2194="",0,IF(OR(H2194=MappingTables!$C$34,H2194=MappingTables!$C$35),S2194,0))</f>
        <v>0</v>
      </c>
    </row>
    <row r="2195" spans="2:20" s="0" customFormat="0" ht="15">
      <c r="B2195" s="69" t="s">
        <v>4257</v>
      </c>
      <c r="C2195" s="70" t="s">
        <v>4258</v>
      </c>
      <c r="D2195" s="70" t="s">
        <v>1</v>
      </c>
      <c r="E2195" s="70" t="s">
        <v>1</v>
      </c>
      <c r="F2195" s="70"/>
      <c r="G2195" s="70" t="s">
        <v>61</v>
      </c>
      <c r="H2195" s="70" t="s">
        <v>178</v>
      </c>
      <c r="I2195" s="70" t="s">
        <v>204</v>
      </c>
      <c r="J2195" s="71">
        <f>IF(OR(I2195=0,I2195=""),"unrated",VLOOKUP(I2195,MappingTables!$B$19:$C$31,2,FALSE))</f>
        <v>6</v>
      </c>
      <c r="K2195" s="72">
        <v>67.463057543273336</v>
      </c>
      <c r="L2195" s="70">
        <v>0.06262078725206836</v>
      </c>
      <c r="M2195" s="71">
        <f>IF(L2195&lt;1,1,L2195)</f>
        <v>1</v>
      </c>
      <c r="N2195" s="70" t="s">
        <v>3288</v>
      </c>
      <c r="O2195" s="71">
        <f>IF(OR(I2195=$A$1,I2195=0),"",IF(N2195=MappingTables!$C$14,VLOOKUP(J2195,ModelParameters!$M$8:$N$15,2,FALSE),IF(N2195=MappingTables!$C$16,VLOOKUP(J2195,ModelParameters!$P$8:$Q$15,2,FALSE),0)))</f>
        <v>1</v>
      </c>
      <c r="P2195" s="73">
        <f>IF(OR(I2195=0,I2195=$A$1),0,MIN(O2195*M2195,1)*K2195)</f>
        <v>67.463057543273336</v>
      </c>
      <c r="Q2195" s="73">
        <f>IF(B2195="",0,IF(OR(H2195=MappingTables!$C$34,H2195=MappingTables!$C$35),P2195,0))</f>
        <v>0</v>
      </c>
      <c r="R2195" s="73">
        <f>IF(ISNA(IF(AND(VLOOKUP(CONCATENATE($D2195,$G2195),CSRFinput!$B:$E,4,0)=0,OR(H2195=MappingTables!$C$31,H2195=MappingTables!$C$32)),1,VLOOKUP(CONCATENATE($D2195,$G2195),CSRFinput!$B:$E,4,0))),0,IF(AND(VLOOKUP(CONCATENATE($D2195,$G2195),CSRFinput!$B:$E,4,0)=0,OR(H2195=MappingTables!$C$31,H2195=MappingTables!$C$32)),1,VLOOKUP(CONCATENATE($D2195,$G2195),CSRFinput!$B:$E,4,0)))</f>
        <v>0.054776304963434752</v>
      </c>
      <c r="S2195" s="73">
        <f>IF(B2195="",0,P2195*R2195)</f>
        <v>3.6953770137560872</v>
      </c>
      <c r="T2195" s="85">
        <f>IF(B2195="",0,IF(OR(H2195=MappingTables!$C$34,H2195=MappingTables!$C$35),S2195,0))</f>
        <v>0</v>
      </c>
    </row>
    <row r="2196" spans="2:20" s="0" customFormat="0" ht="15">
      <c r="B2196" s="69" t="s">
        <v>4512</v>
      </c>
      <c r="C2196" s="70" t="s">
        <v>4513</v>
      </c>
      <c r="D2196" s="70" t="s">
        <v>1</v>
      </c>
      <c r="E2196" s="70" t="s">
        <v>1</v>
      </c>
      <c r="F2196" s="70"/>
      <c r="G2196" s="70" t="s">
        <v>61</v>
      </c>
      <c r="H2196" s="70" t="s">
        <v>178</v>
      </c>
      <c r="I2196" s="70" t="s">
        <v>198</v>
      </c>
      <c r="J2196" s="71" t="str">
        <f>IF(OR(I2196=0,I2196=""),"unrated",VLOOKUP(I2196,MappingTables!$B$19:$C$31,2,FALSE))</f>
        <v>unrated</v>
      </c>
      <c r="K2196" s="72">
        <v>2228.9999937129456</v>
      </c>
      <c r="L2196" s="70">
        <v>12.179209175890554</v>
      </c>
      <c r="M2196" s="71">
        <f>IF(L2196&lt;1,1,L2196)</f>
        <v>12.179209175890554</v>
      </c>
      <c r="N2196" s="70" t="s">
        <v>3288</v>
      </c>
      <c r="O2196" s="71">
        <f>IF(OR(I2196=$A$1,I2196=0),"",IF(N2196=MappingTables!$C$14,VLOOKUP(J2196,ModelParameters!$M$8:$N$15,2,FALSE),IF(N2196=MappingTables!$C$16,VLOOKUP(J2196,ModelParameters!$P$8:$Q$15,2,FALSE),0)))</f>
        <v>1</v>
      </c>
      <c r="P2196" s="73">
        <f>IF(OR(I2196=0,I2196=$A$1),0,MIN(O2196*M2196,1)*K2196)</f>
        <v>2228.9999937129456</v>
      </c>
      <c r="Q2196" s="73">
        <f>IF(B2196="",0,IF(OR(H2196=MappingTables!$C$34,H2196=MappingTables!$C$35),P2196,0))</f>
        <v>0</v>
      </c>
      <c r="R2196" s="73">
        <f>IF(ISNA(IF(AND(VLOOKUP(CONCATENATE($D2196,$G2196),CSRFinput!$B:$E,4,0)=0,OR(H2196=MappingTables!$C$31,H2196=MappingTables!$C$32)),1,VLOOKUP(CONCATENATE($D2196,$G2196),CSRFinput!$B:$E,4,0))),0,IF(AND(VLOOKUP(CONCATENATE($D2196,$G2196),CSRFinput!$B:$E,4,0)=0,OR(H2196=MappingTables!$C$31,H2196=MappingTables!$C$32)),1,VLOOKUP(CONCATENATE($D2196,$G2196),CSRFinput!$B:$E,4,0)))</f>
        <v>0.054776304963434752</v>
      </c>
      <c r="S2196" s="73">
        <f>IF(B2196="",0,P2196*R2196)</f>
        <v>122.09638341911444</v>
      </c>
      <c r="T2196" s="85">
        <f>IF(B2196="",0,IF(OR(H2196=MappingTables!$C$34,H2196=MappingTables!$C$35),S2196,0))</f>
        <v>0</v>
      </c>
    </row>
    <row r="2197" spans="2:20" s="0" customFormat="0" ht="15">
      <c r="B2197" s="69" t="s">
        <v>4074</v>
      </c>
      <c r="C2197" s="70" t="s">
        <v>4075</v>
      </c>
      <c r="D2197" s="70" t="s">
        <v>1</v>
      </c>
      <c r="E2197" s="70" t="s">
        <v>1</v>
      </c>
      <c r="F2197" s="70"/>
      <c r="G2197" s="70" t="s">
        <v>61</v>
      </c>
      <c r="H2197" s="70" t="s">
        <v>178</v>
      </c>
      <c r="I2197" s="70" t="s">
        <v>204</v>
      </c>
      <c r="J2197" s="71">
        <f>IF(OR(I2197=0,I2197=""),"unrated",VLOOKUP(I2197,MappingTables!$B$19:$C$31,2,FALSE))</f>
        <v>6</v>
      </c>
      <c r="K2197" s="72">
        <v>889.97703147775008</v>
      </c>
      <c r="L2197" s="70">
        <v>0.045395589546674968</v>
      </c>
      <c r="M2197" s="71">
        <f>IF(L2197&lt;1,1,L2197)</f>
        <v>1</v>
      </c>
      <c r="N2197" s="70" t="s">
        <v>3288</v>
      </c>
      <c r="O2197" s="71">
        <f>IF(OR(I2197=$A$1,I2197=0),"",IF(N2197=MappingTables!$C$14,VLOOKUP(J2197,ModelParameters!$M$8:$N$15,2,FALSE),IF(N2197=MappingTables!$C$16,VLOOKUP(J2197,ModelParameters!$P$8:$Q$15,2,FALSE),0)))</f>
        <v>1</v>
      </c>
      <c r="P2197" s="73">
        <f>IF(OR(I2197=0,I2197=$A$1),0,MIN(O2197*M2197,1)*K2197)</f>
        <v>889.97703147775008</v>
      </c>
      <c r="Q2197" s="73">
        <f>IF(B2197="",0,IF(OR(H2197=MappingTables!$C$34,H2197=MappingTables!$C$35),P2197,0))</f>
        <v>0</v>
      </c>
      <c r="R2197" s="73">
        <f>IF(ISNA(IF(AND(VLOOKUP(CONCATENATE($D2197,$G2197),CSRFinput!$B:$E,4,0)=0,OR(H2197=MappingTables!$C$31,H2197=MappingTables!$C$32)),1,VLOOKUP(CONCATENATE($D2197,$G2197),CSRFinput!$B:$E,4,0))),0,IF(AND(VLOOKUP(CONCATENATE($D2197,$G2197),CSRFinput!$B:$E,4,0)=0,OR(H2197=MappingTables!$C$31,H2197=MappingTables!$C$32)),1,VLOOKUP(CONCATENATE($D2197,$G2197),CSRFinput!$B:$E,4,0)))</f>
        <v>0.054776304963434752</v>
      </c>
      <c r="S2197" s="73">
        <f>IF(B2197="",0,P2197*R2197)</f>
        <v>48.749653286677608</v>
      </c>
      <c r="T2197" s="85">
        <f>IF(B2197="",0,IF(OR(H2197=MappingTables!$C$34,H2197=MappingTables!$C$35),S2197,0))</f>
        <v>0</v>
      </c>
    </row>
    <row r="2198" spans="2:20" s="0" customFormat="0" ht="15">
      <c r="B2198" s="69" t="s">
        <v>4224</v>
      </c>
      <c r="C2198" s="70" t="s">
        <v>4225</v>
      </c>
      <c r="D2198" s="70" t="s">
        <v>1</v>
      </c>
      <c r="E2198" s="70" t="s">
        <v>1</v>
      </c>
      <c r="F2198" s="70"/>
      <c r="G2198" s="70" t="s">
        <v>61</v>
      </c>
      <c r="H2198" s="70" t="s">
        <v>178</v>
      </c>
      <c r="I2198" s="70" t="s">
        <v>179</v>
      </c>
      <c r="J2198" s="71">
        <f>IF(OR(I2198=0,I2198=""),"unrated",VLOOKUP(I2198,MappingTables!$B$19:$C$31,2,FALSE))</f>
        <v>4</v>
      </c>
      <c r="K2198" s="72">
        <v>209.45827572446</v>
      </c>
      <c r="L2198" s="70">
        <v>0.068495320076273792</v>
      </c>
      <c r="M2198" s="71">
        <f>IF(L2198&lt;1,1,L2198)</f>
        <v>1</v>
      </c>
      <c r="N2198" s="70" t="s">
        <v>3288</v>
      </c>
      <c r="O2198" s="71">
        <f>IF(OR(I2198=$A$1,I2198=0),"",IF(N2198=MappingTables!$C$14,VLOOKUP(J2198,ModelParameters!$M$8:$N$15,2,FALSE),IF(N2198=MappingTables!$C$16,VLOOKUP(J2198,ModelParameters!$P$8:$Q$15,2,FALSE),0)))</f>
        <v>0.82</v>
      </c>
      <c r="P2198" s="73">
        <f>IF(OR(I2198=0,I2198=$A$1),0,MIN(O2198*M2198,1)*K2198)</f>
        <v>171.75578609405718</v>
      </c>
      <c r="Q2198" s="73">
        <f>IF(B2198="",0,IF(OR(H2198=MappingTables!$C$34,H2198=MappingTables!$C$35),P2198,0))</f>
        <v>0</v>
      </c>
      <c r="R2198" s="73">
        <f>IF(ISNA(IF(AND(VLOOKUP(CONCATENATE($D2198,$G2198),CSRFinput!$B:$E,4,0)=0,OR(H2198=MappingTables!$C$31,H2198=MappingTables!$C$32)),1,VLOOKUP(CONCATENATE($D2198,$G2198),CSRFinput!$B:$E,4,0))),0,IF(AND(VLOOKUP(CONCATENATE($D2198,$G2198),CSRFinput!$B:$E,4,0)=0,OR(H2198=MappingTables!$C$31,H2198=MappingTables!$C$32)),1,VLOOKUP(CONCATENATE($D2198,$G2198),CSRFinput!$B:$E,4,0)))</f>
        <v>0.054776304963434752</v>
      </c>
      <c r="S2198" s="73">
        <f>IF(B2198="",0,P2198*R2198)</f>
        <v>9.4081473183225424</v>
      </c>
      <c r="T2198" s="85">
        <f>IF(B2198="",0,IF(OR(H2198=MappingTables!$C$34,H2198=MappingTables!$C$35),S2198,0))</f>
        <v>0</v>
      </c>
    </row>
    <row r="2199" spans="2:20" s="0" customFormat="0" ht="15">
      <c r="B2199" s="69" t="s">
        <v>4695</v>
      </c>
      <c r="C2199" s="70" t="s">
        <v>4696</v>
      </c>
      <c r="D2199" s="70" t="s">
        <v>1</v>
      </c>
      <c r="E2199" s="70" t="s">
        <v>1</v>
      </c>
      <c r="F2199" s="70"/>
      <c r="G2199" s="70" t="s">
        <v>61</v>
      </c>
      <c r="H2199" s="70" t="s">
        <v>178</v>
      </c>
      <c r="I2199" s="70" t="s">
        <v>184</v>
      </c>
      <c r="J2199" s="71">
        <f>IF(OR(I2199=0,I2199=""),"unrated",VLOOKUP(I2199,MappingTables!$B$19:$C$31,2,FALSE))</f>
        <v>5</v>
      </c>
      <c r="K2199" s="72">
        <v>3539.1713004164624</v>
      </c>
      <c r="L2199" s="70">
        <v>3.6748002406009464</v>
      </c>
      <c r="M2199" s="71">
        <f>IF(L2199&lt;1,1,L2199)</f>
        <v>3.6748002406009464</v>
      </c>
      <c r="N2199" s="70" t="s">
        <v>3288</v>
      </c>
      <c r="O2199" s="71">
        <f>IF(OR(I2199=$A$1,I2199=0),"",IF(N2199=MappingTables!$C$14,VLOOKUP(J2199,ModelParameters!$M$8:$N$15,2,FALSE),IF(N2199=MappingTables!$C$16,VLOOKUP(J2199,ModelParameters!$P$8:$Q$15,2,FALSE),0)))</f>
        <v>1</v>
      </c>
      <c r="P2199" s="73">
        <f>IF(OR(I2199=0,I2199=$A$1),0,MIN(O2199*M2199,1)*K2199)</f>
        <v>3539.1713004164624</v>
      </c>
      <c r="Q2199" s="73">
        <f>IF(B2199="",0,IF(OR(H2199=MappingTables!$C$34,H2199=MappingTables!$C$35),P2199,0))</f>
        <v>0</v>
      </c>
      <c r="R2199" s="73">
        <f>IF(ISNA(IF(AND(VLOOKUP(CONCATENATE($D2199,$G2199),CSRFinput!$B:$E,4,0)=0,OR(H2199=MappingTables!$C$31,H2199=MappingTables!$C$32)),1,VLOOKUP(CONCATENATE($D2199,$G2199),CSRFinput!$B:$E,4,0))),0,IF(AND(VLOOKUP(CONCATENATE($D2199,$G2199),CSRFinput!$B:$E,4,0)=0,OR(H2199=MappingTables!$C$31,H2199=MappingTables!$C$32)),1,VLOOKUP(CONCATENATE($D2199,$G2199),CSRFinput!$B:$E,4,0)))</f>
        <v>0.054776304963434752</v>
      </c>
      <c r="S2199" s="73">
        <f>IF(B2199="",0,P2199*R2199)</f>
        <v>193.86272646944812</v>
      </c>
      <c r="T2199" s="85">
        <f>IF(B2199="",0,IF(OR(H2199=MappingTables!$C$34,H2199=MappingTables!$C$35),S2199,0))</f>
        <v>0</v>
      </c>
    </row>
    <row r="2200" spans="2:20" s="0" customFormat="0" ht="15">
      <c r="B2200" s="69" t="s">
        <v>4229</v>
      </c>
      <c r="C2200" s="70" t="s">
        <v>4230</v>
      </c>
      <c r="D2200" s="70" t="s">
        <v>1</v>
      </c>
      <c r="E2200" s="70" t="s">
        <v>1</v>
      </c>
      <c r="F2200" s="70"/>
      <c r="G2200" s="70" t="s">
        <v>61</v>
      </c>
      <c r="H2200" s="70" t="s">
        <v>178</v>
      </c>
      <c r="I2200" s="70" t="s">
        <v>188</v>
      </c>
      <c r="J2200" s="71">
        <f>IF(OR(I2200=0,I2200=""),"unrated",VLOOKUP(I2200,MappingTables!$B$19:$C$31,2,FALSE))</f>
        <v>2</v>
      </c>
      <c r="K2200" s="72">
        <v>170.15386661437608</v>
      </c>
      <c r="L2200" s="70">
        <v>0.06849286587872916</v>
      </c>
      <c r="M2200" s="71">
        <f>IF(L2200&lt;1,1,L2200)</f>
        <v>1</v>
      </c>
      <c r="N2200" s="70" t="s">
        <v>3288</v>
      </c>
      <c r="O2200" s="71">
        <f>IF(OR(I2200=$A$1,I2200=0),"",IF(N2200=MappingTables!$C$14,VLOOKUP(J2200,ModelParameters!$M$8:$N$15,2,FALSE),IF(N2200=MappingTables!$C$16,VLOOKUP(J2200,ModelParameters!$P$8:$Q$15,2,FALSE),0)))</f>
        <v>0.166</v>
      </c>
      <c r="P2200" s="73">
        <f>IF(OR(I2200=0,I2200=$A$1),0,MIN(O2200*M2200,1)*K2200)</f>
        <v>28.245541857986432</v>
      </c>
      <c r="Q2200" s="73">
        <f>IF(B2200="",0,IF(OR(H2200=MappingTables!$C$34,H2200=MappingTables!$C$35),P2200,0))</f>
        <v>0</v>
      </c>
      <c r="R2200" s="73">
        <f>IF(ISNA(IF(AND(VLOOKUP(CONCATENATE($D2200,$G2200),CSRFinput!$B:$E,4,0)=0,OR(H2200=MappingTables!$C$31,H2200=MappingTables!$C$32)),1,VLOOKUP(CONCATENATE($D2200,$G2200),CSRFinput!$B:$E,4,0))),0,IF(AND(VLOOKUP(CONCATENATE($D2200,$G2200),CSRFinput!$B:$E,4,0)=0,OR(H2200=MappingTables!$C$31,H2200=MappingTables!$C$32)),1,VLOOKUP(CONCATENATE($D2200,$G2200),CSRFinput!$B:$E,4,0)))</f>
        <v>0.054776304963434752</v>
      </c>
      <c r="S2200" s="73">
        <f>IF(B2200="",0,P2200*R2200)</f>
        <v>1.5471864146705264</v>
      </c>
      <c r="T2200" s="85">
        <f>IF(B2200="",0,IF(OR(H2200=MappingTables!$C$34,H2200=MappingTables!$C$35),S2200,0))</f>
        <v>0</v>
      </c>
    </row>
    <row r="2201" spans="2:20" s="0" customFormat="0" ht="15">
      <c r="B2201" s="69" t="s">
        <v>5060</v>
      </c>
      <c r="C2201" s="70" t="s">
        <v>5061</v>
      </c>
      <c r="D2201" s="70" t="s">
        <v>1</v>
      </c>
      <c r="E2201" s="70" t="s">
        <v>1</v>
      </c>
      <c r="F2201" s="70"/>
      <c r="G2201" s="70" t="s">
        <v>61</v>
      </c>
      <c r="H2201" s="70" t="s">
        <v>178</v>
      </c>
      <c r="I2201" s="70" t="s">
        <v>198</v>
      </c>
      <c r="J2201" s="71" t="str">
        <f>IF(OR(I2201=0,I2201=""),"unrated",VLOOKUP(I2201,MappingTables!$B$19:$C$31,2,FALSE))</f>
        <v>unrated</v>
      </c>
      <c r="K2201" s="72">
        <v>0.013975928129364014</v>
      </c>
      <c r="L2201" s="70">
        <v>6.2120060819253728</v>
      </c>
      <c r="M2201" s="71">
        <f>IF(L2201&lt;1,1,L2201)</f>
        <v>6.2120060819253728</v>
      </c>
      <c r="N2201" s="70" t="s">
        <v>3288</v>
      </c>
      <c r="O2201" s="71">
        <f>IF(OR(I2201=$A$1,I2201=0),"",IF(N2201=MappingTables!$C$14,VLOOKUP(J2201,ModelParameters!$M$8:$N$15,2,FALSE),IF(N2201=MappingTables!$C$16,VLOOKUP(J2201,ModelParameters!$P$8:$Q$15,2,FALSE),0)))</f>
        <v>1</v>
      </c>
      <c r="P2201" s="73">
        <f>IF(OR(I2201=0,I2201=$A$1),0,MIN(O2201*M2201,1)*K2201)</f>
        <v>0.013975928129364014</v>
      </c>
      <c r="Q2201" s="73">
        <f>IF(B2201="",0,IF(OR(H2201=MappingTables!$C$34,H2201=MappingTables!$C$35),P2201,0))</f>
        <v>0</v>
      </c>
      <c r="R2201" s="73">
        <f>IF(ISNA(IF(AND(VLOOKUP(CONCATENATE($D2201,$G2201),CSRFinput!$B:$E,4,0)=0,OR(H2201=MappingTables!$C$31,H2201=MappingTables!$C$32)),1,VLOOKUP(CONCATENATE($D2201,$G2201),CSRFinput!$B:$E,4,0))),0,IF(AND(VLOOKUP(CONCATENATE($D2201,$G2201),CSRFinput!$B:$E,4,0)=0,OR(H2201=MappingTables!$C$31,H2201=MappingTables!$C$32)),1,VLOOKUP(CONCATENATE($D2201,$G2201),CSRFinput!$B:$E,4,0)))</f>
        <v>0.054776304963434752</v>
      </c>
      <c r="S2201" s="73">
        <f>IF(B2201="",0,P2201*R2201)</f>
        <v>0.00076554970136108944</v>
      </c>
      <c r="T2201" s="85">
        <f>IF(B2201="",0,IF(OR(H2201=MappingTables!$C$34,H2201=MappingTables!$C$35),S2201,0))</f>
        <v>0</v>
      </c>
    </row>
    <row r="2202" spans="2:20" s="0" customFormat="0" ht="15">
      <c r="B2202" s="69" t="s">
        <v>4953</v>
      </c>
      <c r="C2202" s="70" t="s">
        <v>4954</v>
      </c>
      <c r="D2202" s="70" t="s">
        <v>1</v>
      </c>
      <c r="E2202" s="70" t="s">
        <v>1</v>
      </c>
      <c r="F2202" s="70"/>
      <c r="G2202" s="70" t="s">
        <v>61</v>
      </c>
      <c r="H2202" s="70" t="s">
        <v>178</v>
      </c>
      <c r="I2202" s="70" t="s">
        <v>184</v>
      </c>
      <c r="J2202" s="71">
        <f>IF(OR(I2202=0,I2202=""),"unrated",VLOOKUP(I2202,MappingTables!$B$19:$C$31,2,FALSE))</f>
        <v>5</v>
      </c>
      <c r="K2202" s="72">
        <v>685.21130168975048</v>
      </c>
      <c r="L2202" s="70">
        <v>0.068497344052798808</v>
      </c>
      <c r="M2202" s="71">
        <f>IF(L2202&lt;1,1,L2202)</f>
        <v>1</v>
      </c>
      <c r="N2202" s="70" t="s">
        <v>3288</v>
      </c>
      <c r="O2202" s="71">
        <f>IF(OR(I2202=$A$1,I2202=0),"",IF(N2202=MappingTables!$C$14,VLOOKUP(J2202,ModelParameters!$M$8:$N$15,2,FALSE),IF(N2202=MappingTables!$C$16,VLOOKUP(J2202,ModelParameters!$P$8:$Q$15,2,FALSE),0)))</f>
        <v>1</v>
      </c>
      <c r="P2202" s="73">
        <f>IF(OR(I2202=0,I2202=$A$1),0,MIN(O2202*M2202,1)*K2202)</f>
        <v>685.21130168975048</v>
      </c>
      <c r="Q2202" s="73">
        <f>IF(B2202="",0,IF(OR(H2202=MappingTables!$C$34,H2202=MappingTables!$C$35),P2202,0))</f>
        <v>0</v>
      </c>
      <c r="R2202" s="73">
        <f>IF(ISNA(IF(AND(VLOOKUP(CONCATENATE($D2202,$G2202),CSRFinput!$B:$E,4,0)=0,OR(H2202=MappingTables!$C$31,H2202=MappingTables!$C$32)),1,VLOOKUP(CONCATENATE($D2202,$G2202),CSRFinput!$B:$E,4,0))),0,IF(AND(VLOOKUP(CONCATENATE($D2202,$G2202),CSRFinput!$B:$E,4,0)=0,OR(H2202=MappingTables!$C$31,H2202=MappingTables!$C$32)),1,VLOOKUP(CONCATENATE($D2202,$G2202),CSRFinput!$B:$E,4,0)))</f>
        <v>0.054776304963434752</v>
      </c>
      <c r="S2202" s="73">
        <f>IF(B2202="",0,P2202*R2202)</f>
        <v>37.533343225749864</v>
      </c>
      <c r="T2202" s="85">
        <f>IF(B2202="",0,IF(OR(H2202=MappingTables!$C$34,H2202=MappingTables!$C$35),S2202,0))</f>
        <v>0</v>
      </c>
    </row>
    <row r="2203" spans="2:20" s="0" customFormat="0" ht="15">
      <c r="B2203" s="69" t="s">
        <v>5093</v>
      </c>
      <c r="C2203" s="70" t="s">
        <v>5094</v>
      </c>
      <c r="D2203" s="70" t="s">
        <v>1</v>
      </c>
      <c r="E2203" s="70" t="s">
        <v>1</v>
      </c>
      <c r="F2203" s="70"/>
      <c r="G2203" s="70" t="s">
        <v>61</v>
      </c>
      <c r="H2203" s="70" t="s">
        <v>178</v>
      </c>
      <c r="I2203" s="70" t="s">
        <v>198</v>
      </c>
      <c r="J2203" s="71" t="str">
        <f>IF(OR(I2203=0,I2203=""),"unrated",VLOOKUP(I2203,MappingTables!$B$19:$C$31,2,FALSE))</f>
        <v>unrated</v>
      </c>
      <c r="K2203" s="72">
        <v>170.01721848543142</v>
      </c>
      <c r="L2203" s="70">
        <v>9.1001341785050832</v>
      </c>
      <c r="M2203" s="71">
        <f>IF(L2203&lt;1,1,L2203)</f>
        <v>9.1001341785050832</v>
      </c>
      <c r="N2203" s="70" t="s">
        <v>3288</v>
      </c>
      <c r="O2203" s="71">
        <f>IF(OR(I2203=$A$1,I2203=0),"",IF(N2203=MappingTables!$C$14,VLOOKUP(J2203,ModelParameters!$M$8:$N$15,2,FALSE),IF(N2203=MappingTables!$C$16,VLOOKUP(J2203,ModelParameters!$P$8:$Q$15,2,FALSE),0)))</f>
        <v>1</v>
      </c>
      <c r="P2203" s="73">
        <f>IF(OR(I2203=0,I2203=$A$1),0,MIN(O2203*M2203,1)*K2203)</f>
        <v>170.01721848543142</v>
      </c>
      <c r="Q2203" s="73">
        <f>IF(B2203="",0,IF(OR(H2203=MappingTables!$C$34,H2203=MappingTables!$C$35),P2203,0))</f>
        <v>0</v>
      </c>
      <c r="R2203" s="73">
        <f>IF(ISNA(IF(AND(VLOOKUP(CONCATENATE($D2203,$G2203),CSRFinput!$B:$E,4,0)=0,OR(H2203=MappingTables!$C$31,H2203=MappingTables!$C$32)),1,VLOOKUP(CONCATENATE($D2203,$G2203),CSRFinput!$B:$E,4,0))),0,IF(AND(VLOOKUP(CONCATENATE($D2203,$G2203),CSRFinput!$B:$E,4,0)=0,OR(H2203=MappingTables!$C$31,H2203=MappingTables!$C$32)),1,VLOOKUP(CONCATENATE($D2203,$G2203),CSRFinput!$B:$E,4,0)))</f>
        <v>0.054776304963434752</v>
      </c>
      <c r="S2203" s="73">
        <f>IF(B2203="",0,P2203*R2203)</f>
        <v>9.3129150087929088</v>
      </c>
      <c r="T2203" s="85">
        <f>IF(B2203="",0,IF(OR(H2203=MappingTables!$C$34,H2203=MappingTables!$C$35),S2203,0))</f>
        <v>0</v>
      </c>
    </row>
    <row r="2204" spans="2:20" s="0" customFormat="0" ht="15">
      <c r="B2204" s="69" t="s">
        <v>5241</v>
      </c>
      <c r="C2204" s="70" t="s">
        <v>5242</v>
      </c>
      <c r="D2204" s="70" t="s">
        <v>1</v>
      </c>
      <c r="E2204" s="70" t="s">
        <v>1</v>
      </c>
      <c r="F2204" s="70"/>
      <c r="G2204" s="70" t="s">
        <v>61</v>
      </c>
      <c r="H2204" s="70" t="s">
        <v>178</v>
      </c>
      <c r="I2204" s="70" t="s">
        <v>198</v>
      </c>
      <c r="J2204" s="71" t="str">
        <f>IF(OR(I2204=0,I2204=""),"unrated",VLOOKUP(I2204,MappingTables!$B$19:$C$31,2,FALSE))</f>
        <v>unrated</v>
      </c>
      <c r="K2204" s="72">
        <v>146.91897775863196</v>
      </c>
      <c r="L2204" s="70">
        <v>0.06849622987317004</v>
      </c>
      <c r="M2204" s="71">
        <f>IF(L2204&lt;1,1,L2204)</f>
        <v>1</v>
      </c>
      <c r="N2204" s="70" t="s">
        <v>3288</v>
      </c>
      <c r="O2204" s="71">
        <f>IF(OR(I2204=$A$1,I2204=0),"",IF(N2204=MappingTables!$C$14,VLOOKUP(J2204,ModelParameters!$M$8:$N$15,2,FALSE),IF(N2204=MappingTables!$C$16,VLOOKUP(J2204,ModelParameters!$P$8:$Q$15,2,FALSE),0)))</f>
        <v>1</v>
      </c>
      <c r="P2204" s="73">
        <f>IF(OR(I2204=0,I2204=$A$1),0,MIN(O2204*M2204,1)*K2204)</f>
        <v>146.91897775863196</v>
      </c>
      <c r="Q2204" s="73">
        <f>IF(B2204="",0,IF(OR(H2204=MappingTables!$C$34,H2204=MappingTables!$C$35),P2204,0))</f>
        <v>0</v>
      </c>
      <c r="R2204" s="73">
        <f>IF(ISNA(IF(AND(VLOOKUP(CONCATENATE($D2204,$G2204),CSRFinput!$B:$E,4,0)=0,OR(H2204=MappingTables!$C$31,H2204=MappingTables!$C$32)),1,VLOOKUP(CONCATENATE($D2204,$G2204),CSRFinput!$B:$E,4,0))),0,IF(AND(VLOOKUP(CONCATENATE($D2204,$G2204),CSRFinput!$B:$E,4,0)=0,OR(H2204=MappingTables!$C$31,H2204=MappingTables!$C$32)),1,VLOOKUP(CONCATENATE($D2204,$G2204),CSRFinput!$B:$E,4,0)))</f>
        <v>0.054776304963434752</v>
      </c>
      <c r="S2204" s="73">
        <f>IF(B2204="",0,P2204*R2204)</f>
        <v>8.047678730622912</v>
      </c>
      <c r="T2204" s="85">
        <f>IF(B2204="",0,IF(OR(H2204=MappingTables!$C$34,H2204=MappingTables!$C$35),S2204,0))</f>
        <v>0</v>
      </c>
    </row>
    <row r="2205" spans="2:20" s="0" customFormat="0" ht="15">
      <c r="B2205" s="69">
        <v>20113243</v>
      </c>
      <c r="C2205" s="70" t="s">
        <v>5243</v>
      </c>
      <c r="D2205" s="70" t="s">
        <v>1</v>
      </c>
      <c r="E2205" s="70" t="s">
        <v>1</v>
      </c>
      <c r="F2205" s="70"/>
      <c r="G2205" s="70" t="s">
        <v>61</v>
      </c>
      <c r="H2205" s="70" t="s">
        <v>178</v>
      </c>
      <c r="I2205" s="70" t="s">
        <v>198</v>
      </c>
      <c r="J2205" s="71" t="str">
        <f>IF(OR(I2205=0,I2205=""),"unrated",VLOOKUP(I2205,MappingTables!$B$19:$C$31,2,FALSE))</f>
        <v>unrated</v>
      </c>
      <c r="K2205" s="72">
        <v>182.95150360939364</v>
      </c>
      <c r="L2205" s="70">
        <v>0.079234996519487808</v>
      </c>
      <c r="M2205" s="71">
        <f>IF(L2205&lt;1,1,L2205)</f>
        <v>1</v>
      </c>
      <c r="N2205" s="70" t="s">
        <v>3288</v>
      </c>
      <c r="O2205" s="71">
        <f>IF(OR(I2205=$A$1,I2205=0),"",IF(N2205=MappingTables!$C$14,VLOOKUP(J2205,ModelParameters!$M$8:$N$15,2,FALSE),IF(N2205=MappingTables!$C$16,VLOOKUP(J2205,ModelParameters!$P$8:$Q$15,2,FALSE),0)))</f>
        <v>1</v>
      </c>
      <c r="P2205" s="73">
        <f>IF(OR(I2205=0,I2205=$A$1),0,MIN(O2205*M2205,1)*K2205)</f>
        <v>182.95150360939364</v>
      </c>
      <c r="Q2205" s="73">
        <f>IF(B2205="",0,IF(OR(H2205=MappingTables!$C$34,H2205=MappingTables!$C$35),P2205,0))</f>
        <v>0</v>
      </c>
      <c r="R2205" s="73">
        <f>IF(ISNA(IF(AND(VLOOKUP(CONCATENATE($D2205,$G2205),CSRFinput!$B:$E,4,0)=0,OR(H2205=MappingTables!$C$31,H2205=MappingTables!$C$32)),1,VLOOKUP(CONCATENATE($D2205,$G2205),CSRFinput!$B:$E,4,0))),0,IF(AND(VLOOKUP(CONCATENATE($D2205,$G2205),CSRFinput!$B:$E,4,0)=0,OR(H2205=MappingTables!$C$31,H2205=MappingTables!$C$32)),1,VLOOKUP(CONCATENATE($D2205,$G2205),CSRFinput!$B:$E,4,0)))</f>
        <v>0.054776304963434752</v>
      </c>
      <c r="S2205" s="73">
        <f>IF(B2205="",0,P2205*R2205)</f>
        <v>10.021407355227082</v>
      </c>
      <c r="T2205" s="85">
        <f>IF(B2205="",0,IF(OR(H2205=MappingTables!$C$34,H2205=MappingTables!$C$35),S2205,0))</f>
        <v>0</v>
      </c>
    </row>
    <row r="2206" spans="2:20" s="0" customFormat="0" ht="15">
      <c r="B2206" s="69" t="s">
        <v>4802</v>
      </c>
      <c r="C2206" s="70" t="s">
        <v>4803</v>
      </c>
      <c r="D2206" s="70" t="s">
        <v>1</v>
      </c>
      <c r="E2206" s="70" t="s">
        <v>1</v>
      </c>
      <c r="F2206" s="70"/>
      <c r="G2206" s="70" t="s">
        <v>61</v>
      </c>
      <c r="H2206" s="70" t="s">
        <v>178</v>
      </c>
      <c r="I2206" s="70" t="s">
        <v>204</v>
      </c>
      <c r="J2206" s="71">
        <f>IF(OR(I2206=0,I2206=""),"unrated",VLOOKUP(I2206,MappingTables!$B$19:$C$31,2,FALSE))</f>
        <v>6</v>
      </c>
      <c r="K2206" s="72">
        <v>151.46598754853486</v>
      </c>
      <c r="L2206" s="70">
        <v>0.0684921047611918</v>
      </c>
      <c r="M2206" s="71">
        <f>IF(L2206&lt;1,1,L2206)</f>
        <v>1</v>
      </c>
      <c r="N2206" s="70" t="s">
        <v>3288</v>
      </c>
      <c r="O2206" s="71">
        <f>IF(OR(I2206=$A$1,I2206=0),"",IF(N2206=MappingTables!$C$14,VLOOKUP(J2206,ModelParameters!$M$8:$N$15,2,FALSE),IF(N2206=MappingTables!$C$16,VLOOKUP(J2206,ModelParameters!$P$8:$Q$15,2,FALSE),0)))</f>
        <v>1</v>
      </c>
      <c r="P2206" s="73">
        <f>IF(OR(I2206=0,I2206=$A$1),0,MIN(O2206*M2206,1)*K2206)</f>
        <v>151.46598754853486</v>
      </c>
      <c r="Q2206" s="73">
        <f>IF(B2206="",0,IF(OR(H2206=MappingTables!$C$34,H2206=MappingTables!$C$35),P2206,0))</f>
        <v>0</v>
      </c>
      <c r="R2206" s="73">
        <f>IF(ISNA(IF(AND(VLOOKUP(CONCATENATE($D2206,$G2206),CSRFinput!$B:$E,4,0)=0,OR(H2206=MappingTables!$C$31,H2206=MappingTables!$C$32)),1,VLOOKUP(CONCATENATE($D2206,$G2206),CSRFinput!$B:$E,4,0))),0,IF(AND(VLOOKUP(CONCATENATE($D2206,$G2206),CSRFinput!$B:$E,4,0)=0,OR(H2206=MappingTables!$C$31,H2206=MappingTables!$C$32)),1,VLOOKUP(CONCATENATE($D2206,$G2206),CSRFinput!$B:$E,4,0)))</f>
        <v>0.054776304963434752</v>
      </c>
      <c r="S2206" s="73">
        <f>IF(B2206="",0,P2206*R2206)</f>
        <v>8.2967471255463568</v>
      </c>
      <c r="T2206" s="85">
        <f>IF(B2206="",0,IF(OR(H2206=MappingTables!$C$34,H2206=MappingTables!$C$35),S2206,0))</f>
        <v>0</v>
      </c>
    </row>
    <row r="2207" spans="2:20" s="0" customFormat="0" ht="15">
      <c r="B2207" s="69" t="s">
        <v>4672</v>
      </c>
      <c r="C2207" s="70" t="s">
        <v>4673</v>
      </c>
      <c r="D2207" s="70" t="s">
        <v>1</v>
      </c>
      <c r="E2207" s="70" t="s">
        <v>1</v>
      </c>
      <c r="F2207" s="70"/>
      <c r="G2207" s="70" t="s">
        <v>61</v>
      </c>
      <c r="H2207" s="70" t="s">
        <v>178</v>
      </c>
      <c r="I2207" s="70" t="s">
        <v>198</v>
      </c>
      <c r="J2207" s="71" t="str">
        <f>IF(OR(I2207=0,I2207=""),"unrated",VLOOKUP(I2207,MappingTables!$B$19:$C$31,2,FALSE))</f>
        <v>unrated</v>
      </c>
      <c r="K2207" s="72">
        <v>9.7630961901992384</v>
      </c>
      <c r="L2207" s="70">
        <v>7.0660451441154504</v>
      </c>
      <c r="M2207" s="71">
        <f>IF(L2207&lt;1,1,L2207)</f>
        <v>7.0660451441154504</v>
      </c>
      <c r="N2207" s="70" t="s">
        <v>3288</v>
      </c>
      <c r="O2207" s="71">
        <f>IF(OR(I2207=$A$1,I2207=0),"",IF(N2207=MappingTables!$C$14,VLOOKUP(J2207,ModelParameters!$M$8:$N$15,2,FALSE),IF(N2207=MappingTables!$C$16,VLOOKUP(J2207,ModelParameters!$P$8:$Q$15,2,FALSE),0)))</f>
        <v>1</v>
      </c>
      <c r="P2207" s="73">
        <f>IF(OR(I2207=0,I2207=$A$1),0,MIN(O2207*M2207,1)*K2207)</f>
        <v>9.7630961901992384</v>
      </c>
      <c r="Q2207" s="73">
        <f>IF(B2207="",0,IF(OR(H2207=MappingTables!$C$34,H2207=MappingTables!$C$35),P2207,0))</f>
        <v>0</v>
      </c>
      <c r="R2207" s="73">
        <f>IF(ISNA(IF(AND(VLOOKUP(CONCATENATE($D2207,$G2207),CSRFinput!$B:$E,4,0)=0,OR(H2207=MappingTables!$C$31,H2207=MappingTables!$C$32)),1,VLOOKUP(CONCATENATE($D2207,$G2207),CSRFinput!$B:$E,4,0))),0,IF(AND(VLOOKUP(CONCATENATE($D2207,$G2207),CSRFinput!$B:$E,4,0)=0,OR(H2207=MappingTables!$C$31,H2207=MappingTables!$C$32)),1,VLOOKUP(CONCATENATE($D2207,$G2207),CSRFinput!$B:$E,4,0)))</f>
        <v>0.054776304963434752</v>
      </c>
      <c r="S2207" s="73">
        <f>IF(B2207="",0,P2207*R2207)</f>
        <v>0.53478633430170152</v>
      </c>
      <c r="T2207" s="85">
        <f>IF(B2207="",0,IF(OR(H2207=MappingTables!$C$34,H2207=MappingTables!$C$35),S2207,0))</f>
        <v>0</v>
      </c>
    </row>
    <row r="2208" spans="2:20" s="0" customFormat="0" ht="15">
      <c r="B2208" s="69" t="s">
        <v>5204</v>
      </c>
      <c r="C2208" s="70" t="s">
        <v>5205</v>
      </c>
      <c r="D2208" s="70" t="s">
        <v>1</v>
      </c>
      <c r="E2208" s="70" t="s">
        <v>1</v>
      </c>
      <c r="F2208" s="70"/>
      <c r="G2208" s="70" t="s">
        <v>61</v>
      </c>
      <c r="H2208" s="70" t="s">
        <v>178</v>
      </c>
      <c r="I2208" s="70" t="s">
        <v>184</v>
      </c>
      <c r="J2208" s="71">
        <f>IF(OR(I2208=0,I2208=""),"unrated",VLOOKUP(I2208,MappingTables!$B$19:$C$31,2,FALSE))</f>
        <v>5</v>
      </c>
      <c r="K2208" s="72">
        <v>446.91111653623568</v>
      </c>
      <c r="L2208" s="70">
        <v>0.068498561574890576</v>
      </c>
      <c r="M2208" s="71">
        <f>IF(L2208&lt;1,1,L2208)</f>
        <v>1</v>
      </c>
      <c r="N2208" s="70" t="s">
        <v>3288</v>
      </c>
      <c r="O2208" s="71">
        <f>IF(OR(I2208=$A$1,I2208=0),"",IF(N2208=MappingTables!$C$14,VLOOKUP(J2208,ModelParameters!$M$8:$N$15,2,FALSE),IF(N2208=MappingTables!$C$16,VLOOKUP(J2208,ModelParameters!$P$8:$Q$15,2,FALSE),0)))</f>
        <v>1</v>
      </c>
      <c r="P2208" s="73">
        <f>IF(OR(I2208=0,I2208=$A$1),0,MIN(O2208*M2208,1)*K2208)</f>
        <v>446.91111653623568</v>
      </c>
      <c r="Q2208" s="73">
        <f>IF(B2208="",0,IF(OR(H2208=MappingTables!$C$34,H2208=MappingTables!$C$35),P2208,0))</f>
        <v>0</v>
      </c>
      <c r="R2208" s="73">
        <f>IF(ISNA(IF(AND(VLOOKUP(CONCATENATE($D2208,$G2208),CSRFinput!$B:$E,4,0)=0,OR(H2208=MappingTables!$C$31,H2208=MappingTables!$C$32)),1,VLOOKUP(CONCATENATE($D2208,$G2208),CSRFinput!$B:$E,4,0))),0,IF(AND(VLOOKUP(CONCATENATE($D2208,$G2208),CSRFinput!$B:$E,4,0)=0,OR(H2208=MappingTables!$C$31,H2208=MappingTables!$C$32)),1,VLOOKUP(CONCATENATE($D2208,$G2208),CSRFinput!$B:$E,4,0)))</f>
        <v>0.054776304963434752</v>
      </c>
      <c r="S2208" s="73">
        <f>IF(B2208="",0,P2208*R2208)</f>
        <v>24.480139610937976</v>
      </c>
      <c r="T2208" s="85">
        <f>IF(B2208="",0,IF(OR(H2208=MappingTables!$C$34,H2208=MappingTables!$C$35),S2208,0))</f>
        <v>0</v>
      </c>
    </row>
    <row r="2209" spans="2:20" s="0" customFormat="0" ht="15">
      <c r="B2209" s="69" t="s">
        <v>4992</v>
      </c>
      <c r="C2209" s="70" t="s">
        <v>4993</v>
      </c>
      <c r="D2209" s="70" t="s">
        <v>1</v>
      </c>
      <c r="E2209" s="70" t="s">
        <v>1</v>
      </c>
      <c r="F2209" s="70"/>
      <c r="G2209" s="70" t="s">
        <v>61</v>
      </c>
      <c r="H2209" s="70" t="s">
        <v>178</v>
      </c>
      <c r="I2209" s="70" t="s">
        <v>198</v>
      </c>
      <c r="J2209" s="71" t="str">
        <f>IF(OR(I2209=0,I2209=""),"unrated",VLOOKUP(I2209,MappingTables!$B$19:$C$31,2,FALSE))</f>
        <v>unrated</v>
      </c>
      <c r="K2209" s="72">
        <v>364.99760358154136</v>
      </c>
      <c r="L2209" s="70">
        <v>0.068493388521583224</v>
      </c>
      <c r="M2209" s="71">
        <f>IF(L2209&lt;1,1,L2209)</f>
        <v>1</v>
      </c>
      <c r="N2209" s="70" t="s">
        <v>3288</v>
      </c>
      <c r="O2209" s="71">
        <f>IF(OR(I2209=$A$1,I2209=0),"",IF(N2209=MappingTables!$C$14,VLOOKUP(J2209,ModelParameters!$M$8:$N$15,2,FALSE),IF(N2209=MappingTables!$C$16,VLOOKUP(J2209,ModelParameters!$P$8:$Q$15,2,FALSE),0)))</f>
        <v>1</v>
      </c>
      <c r="P2209" s="73">
        <f>IF(OR(I2209=0,I2209=$A$1),0,MIN(O2209*M2209,1)*K2209)</f>
        <v>364.99760358154136</v>
      </c>
      <c r="Q2209" s="73">
        <f>IF(B2209="",0,IF(OR(H2209=MappingTables!$C$34,H2209=MappingTables!$C$35),P2209,0))</f>
        <v>0</v>
      </c>
      <c r="R2209" s="73">
        <f>IF(ISNA(IF(AND(VLOOKUP(CONCATENATE($D2209,$G2209),CSRFinput!$B:$E,4,0)=0,OR(H2209=MappingTables!$C$31,H2209=MappingTables!$C$32)),1,VLOOKUP(CONCATENATE($D2209,$G2209),CSRFinput!$B:$E,4,0))),0,IF(AND(VLOOKUP(CONCATENATE($D2209,$G2209),CSRFinput!$B:$E,4,0)=0,OR(H2209=MappingTables!$C$31,H2209=MappingTables!$C$32)),1,VLOOKUP(CONCATENATE($D2209,$G2209),CSRFinput!$B:$E,4,0)))</f>
        <v>0.054776304963434752</v>
      </c>
      <c r="S2209" s="73">
        <f>IF(B2209="",0,P2209*R2209)</f>
        <v>19.993220044705376</v>
      </c>
      <c r="T2209" s="85">
        <f>IF(B2209="",0,IF(OR(H2209=MappingTables!$C$34,H2209=MappingTables!$C$35),S2209,0))</f>
        <v>0</v>
      </c>
    </row>
    <row r="2210" spans="2:20" s="0" customFormat="0" ht="15">
      <c r="B2210" s="69" t="s">
        <v>3545</v>
      </c>
      <c r="C2210" s="70" t="s">
        <v>3546</v>
      </c>
      <c r="D2210" s="70" t="s">
        <v>1</v>
      </c>
      <c r="E2210" s="70" t="s">
        <v>1</v>
      </c>
      <c r="F2210" s="70"/>
      <c r="G2210" s="70" t="s">
        <v>61</v>
      </c>
      <c r="H2210" s="70" t="s">
        <v>178</v>
      </c>
      <c r="I2210" s="70" t="s">
        <v>198</v>
      </c>
      <c r="J2210" s="71" t="str">
        <f>IF(OR(I2210=0,I2210=""),"unrated",VLOOKUP(I2210,MappingTables!$B$19:$C$31,2,FALSE))</f>
        <v>unrated</v>
      </c>
      <c r="K2210" s="72">
        <v>69.505380493537488</v>
      </c>
      <c r="L2210" s="70">
        <v>0.052052865433296152</v>
      </c>
      <c r="M2210" s="71">
        <f>IF(L2210&lt;1,1,L2210)</f>
        <v>1</v>
      </c>
      <c r="N2210" s="70" t="s">
        <v>3288</v>
      </c>
      <c r="O2210" s="71">
        <f>IF(OR(I2210=$A$1,I2210=0),"",IF(N2210=MappingTables!$C$14,VLOOKUP(J2210,ModelParameters!$M$8:$N$15,2,FALSE),IF(N2210=MappingTables!$C$16,VLOOKUP(J2210,ModelParameters!$P$8:$Q$15,2,FALSE),0)))</f>
        <v>1</v>
      </c>
      <c r="P2210" s="73">
        <f>IF(OR(I2210=0,I2210=$A$1),0,MIN(O2210*M2210,1)*K2210)</f>
        <v>69.505380493537488</v>
      </c>
      <c r="Q2210" s="73">
        <f>IF(B2210="",0,IF(OR(H2210=MappingTables!$C$34,H2210=MappingTables!$C$35),P2210,0))</f>
        <v>0</v>
      </c>
      <c r="R2210" s="73">
        <f>IF(ISNA(IF(AND(VLOOKUP(CONCATENATE($D2210,$G2210),CSRFinput!$B:$E,4,0)=0,OR(H2210=MappingTables!$C$31,H2210=MappingTables!$C$32)),1,VLOOKUP(CONCATENATE($D2210,$G2210),CSRFinput!$B:$E,4,0))),0,IF(AND(VLOOKUP(CONCATENATE($D2210,$G2210),CSRFinput!$B:$E,4,0)=0,OR(H2210=MappingTables!$C$31,H2210=MappingTables!$C$32)),1,VLOOKUP(CONCATENATE($D2210,$G2210),CSRFinput!$B:$E,4,0)))</f>
        <v>0.054776304963434752</v>
      </c>
      <c r="S2210" s="73">
        <f>IF(B2210="",0,P2210*R2210)</f>
        <v>3.8072479185135784</v>
      </c>
      <c r="T2210" s="85">
        <f>IF(B2210="",0,IF(OR(H2210=MappingTables!$C$34,H2210=MappingTables!$C$35),S2210,0))</f>
        <v>0</v>
      </c>
    </row>
    <row r="2211" spans="2:20" s="0" customFormat="0" ht="15">
      <c r="B2211" s="69">
        <v>22554140</v>
      </c>
      <c r="C2211" s="70" t="s">
        <v>5238</v>
      </c>
      <c r="D2211" s="70" t="s">
        <v>1</v>
      </c>
      <c r="E2211" s="70" t="s">
        <v>1</v>
      </c>
      <c r="F2211" s="70"/>
      <c r="G2211" s="70" t="s">
        <v>61</v>
      </c>
      <c r="H2211" s="70" t="s">
        <v>178</v>
      </c>
      <c r="I2211" s="70" t="s">
        <v>216</v>
      </c>
      <c r="J2211" s="71">
        <f>IF(OR(I2211=0,I2211=""),"unrated",VLOOKUP(I2211,MappingTables!$B$19:$C$31,2,FALSE))</f>
        <v>0</v>
      </c>
      <c r="K2211" s="72">
        <v>827.74195414543568</v>
      </c>
      <c r="L2211" s="70">
        <v>0.019729529938532272</v>
      </c>
      <c r="M2211" s="71">
        <f>IF(L2211&lt;1,1,L2211)</f>
        <v>1</v>
      </c>
      <c r="N2211" s="70" t="s">
        <v>3288</v>
      </c>
      <c r="O2211" s="71">
        <f>IF(OR(I2211=$A$1,I2211=0),"",IF(N2211=MappingTables!$C$14,VLOOKUP(J2211,ModelParameters!$M$8:$N$15,2,FALSE),IF(N2211=MappingTables!$C$16,VLOOKUP(J2211,ModelParameters!$P$8:$Q$15,2,FALSE),0)))</f>
        <v>0.125</v>
      </c>
      <c r="P2211" s="73">
        <f>IF(OR(I2211=0,I2211=$A$1),0,MIN(O2211*M2211,1)*K2211)</f>
        <v>103.46774426817946</v>
      </c>
      <c r="Q2211" s="73">
        <f>IF(B2211="",0,IF(OR(H2211=MappingTables!$C$34,H2211=MappingTables!$C$35),P2211,0))</f>
        <v>0</v>
      </c>
      <c r="R2211" s="73">
        <f>IF(ISNA(IF(AND(VLOOKUP(CONCATENATE($D2211,$G2211),CSRFinput!$B:$E,4,0)=0,OR(H2211=MappingTables!$C$31,H2211=MappingTables!$C$32)),1,VLOOKUP(CONCATENATE($D2211,$G2211),CSRFinput!$B:$E,4,0))),0,IF(AND(VLOOKUP(CONCATENATE($D2211,$G2211),CSRFinput!$B:$E,4,0)=0,OR(H2211=MappingTables!$C$31,H2211=MappingTables!$C$32)),1,VLOOKUP(CONCATENATE($D2211,$G2211),CSRFinput!$B:$E,4,0)))</f>
        <v>0.054776304963434752</v>
      </c>
      <c r="S2211" s="73">
        <f>IF(B2211="",0,P2211*R2211)</f>
        <v>5.667580713912476</v>
      </c>
      <c r="T2211" s="85">
        <f>IF(B2211="",0,IF(OR(H2211=MappingTables!$C$34,H2211=MappingTables!$C$35),S2211,0))</f>
        <v>0</v>
      </c>
    </row>
    <row r="2212" spans="2:20" s="0" customFormat="0" ht="15">
      <c r="B2212" s="69" t="s">
        <v>5244</v>
      </c>
      <c r="C2212" s="70" t="s">
        <v>5245</v>
      </c>
      <c r="D2212" s="70" t="s">
        <v>1</v>
      </c>
      <c r="E2212" s="70" t="s">
        <v>1</v>
      </c>
      <c r="F2212" s="70"/>
      <c r="G2212" s="70" t="s">
        <v>61</v>
      </c>
      <c r="H2212" s="70" t="s">
        <v>178</v>
      </c>
      <c r="I2212" s="70" t="s">
        <v>204</v>
      </c>
      <c r="J2212" s="71">
        <f>IF(OR(I2212=0,I2212=""),"unrated",VLOOKUP(I2212,MappingTables!$B$19:$C$31,2,FALSE))</f>
        <v>6</v>
      </c>
      <c r="K2212" s="72">
        <v>232.72782069211536</v>
      </c>
      <c r="L2212" s="70">
        <v>0.063966797089925072</v>
      </c>
      <c r="M2212" s="71">
        <f>IF(L2212&lt;1,1,L2212)</f>
        <v>1</v>
      </c>
      <c r="N2212" s="70" t="s">
        <v>3288</v>
      </c>
      <c r="O2212" s="71">
        <f>IF(OR(I2212=$A$1,I2212=0),"",IF(N2212=MappingTables!$C$14,VLOOKUP(J2212,ModelParameters!$M$8:$N$15,2,FALSE),IF(N2212=MappingTables!$C$16,VLOOKUP(J2212,ModelParameters!$P$8:$Q$15,2,FALSE),0)))</f>
        <v>1</v>
      </c>
      <c r="P2212" s="73">
        <f>IF(OR(I2212=0,I2212=$A$1),0,MIN(O2212*M2212,1)*K2212)</f>
        <v>232.72782069211536</v>
      </c>
      <c r="Q2212" s="73">
        <f>IF(B2212="",0,IF(OR(H2212=MappingTables!$C$34,H2212=MappingTables!$C$35),P2212,0))</f>
        <v>0</v>
      </c>
      <c r="R2212" s="73">
        <f>IF(ISNA(IF(AND(VLOOKUP(CONCATENATE($D2212,$G2212),CSRFinput!$B:$E,4,0)=0,OR(H2212=MappingTables!$C$31,H2212=MappingTables!$C$32)),1,VLOOKUP(CONCATENATE($D2212,$G2212),CSRFinput!$B:$E,4,0))),0,IF(AND(VLOOKUP(CONCATENATE($D2212,$G2212),CSRFinput!$B:$E,4,0)=0,OR(H2212=MappingTables!$C$31,H2212=MappingTables!$C$32)),1,VLOOKUP(CONCATENATE($D2212,$G2212),CSRFinput!$B:$E,4,0)))</f>
        <v>0.054776304963434752</v>
      </c>
      <c r="S2212" s="73">
        <f>IF(B2212="",0,P2212*R2212)</f>
        <v>12.747970079706872</v>
      </c>
      <c r="T2212" s="85">
        <f>IF(B2212="",0,IF(OR(H2212=MappingTables!$C$34,H2212=MappingTables!$C$35),S2212,0))</f>
        <v>0</v>
      </c>
    </row>
    <row r="2213" spans="2:20" s="0" customFormat="0" ht="15">
      <c r="B2213" s="69" t="s">
        <v>3629</v>
      </c>
      <c r="C2213" s="70" t="s">
        <v>3630</v>
      </c>
      <c r="D2213" s="70" t="s">
        <v>1</v>
      </c>
      <c r="E2213" s="70" t="s">
        <v>1</v>
      </c>
      <c r="F2213" s="70"/>
      <c r="G2213" s="70" t="s">
        <v>61</v>
      </c>
      <c r="H2213" s="70" t="s">
        <v>178</v>
      </c>
      <c r="I2213" s="70" t="s">
        <v>198</v>
      </c>
      <c r="J2213" s="71" t="str">
        <f>IF(OR(I2213=0,I2213=""),"unrated",VLOOKUP(I2213,MappingTables!$B$19:$C$31,2,FALSE))</f>
        <v>unrated</v>
      </c>
      <c r="K2213" s="72">
        <v>130.62451464183442</v>
      </c>
      <c r="L2213" s="70">
        <v>5.1831395941544944</v>
      </c>
      <c r="M2213" s="71">
        <f>IF(L2213&lt;1,1,L2213)</f>
        <v>5.1831395941544944</v>
      </c>
      <c r="N2213" s="70" t="s">
        <v>3288</v>
      </c>
      <c r="O2213" s="71">
        <f>IF(OR(I2213=$A$1,I2213=0),"",IF(N2213=MappingTables!$C$14,VLOOKUP(J2213,ModelParameters!$M$8:$N$15,2,FALSE),IF(N2213=MappingTables!$C$16,VLOOKUP(J2213,ModelParameters!$P$8:$Q$15,2,FALSE),0)))</f>
        <v>1</v>
      </c>
      <c r="P2213" s="73">
        <f>IF(OR(I2213=0,I2213=$A$1),0,MIN(O2213*M2213,1)*K2213)</f>
        <v>130.62451464183442</v>
      </c>
      <c r="Q2213" s="73">
        <f>IF(B2213="",0,IF(OR(H2213=MappingTables!$C$34,H2213=MappingTables!$C$35),P2213,0))</f>
        <v>0</v>
      </c>
      <c r="R2213" s="73">
        <f>IF(ISNA(IF(AND(VLOOKUP(CONCATENATE($D2213,$G2213),CSRFinput!$B:$E,4,0)=0,OR(H2213=MappingTables!$C$31,H2213=MappingTables!$C$32)),1,VLOOKUP(CONCATENATE($D2213,$G2213),CSRFinput!$B:$E,4,0))),0,IF(AND(VLOOKUP(CONCATENATE($D2213,$G2213),CSRFinput!$B:$E,4,0)=0,OR(H2213=MappingTables!$C$31,H2213=MappingTables!$C$32)),1,VLOOKUP(CONCATENATE($D2213,$G2213),CSRFinput!$B:$E,4,0)))</f>
        <v>0.054776304963434752</v>
      </c>
      <c r="S2213" s="73">
        <f>IF(B2213="",0,P2213*R2213)</f>
        <v>7.1551282497217704</v>
      </c>
      <c r="T2213" s="85">
        <f>IF(B2213="",0,IF(OR(H2213=MappingTables!$C$34,H2213=MappingTables!$C$35),S2213,0))</f>
        <v>0</v>
      </c>
    </row>
    <row r="2214" spans="2:20" s="0" customFormat="0" ht="15">
      <c r="B2214" s="69" t="s">
        <v>5246</v>
      </c>
      <c r="C2214" s="70" t="s">
        <v>5247</v>
      </c>
      <c r="D2214" s="70" t="s">
        <v>1</v>
      </c>
      <c r="E2214" s="70" t="s">
        <v>1</v>
      </c>
      <c r="F2214" s="70"/>
      <c r="G2214" s="70" t="s">
        <v>61</v>
      </c>
      <c r="H2214" s="70" t="s">
        <v>178</v>
      </c>
      <c r="I2214" s="70" t="s">
        <v>198</v>
      </c>
      <c r="J2214" s="71" t="str">
        <f>IF(OR(I2214=0,I2214=""),"unrated",VLOOKUP(I2214,MappingTables!$B$19:$C$31,2,FALSE))</f>
        <v>unrated</v>
      </c>
      <c r="K2214" s="72">
        <v>154.67236460911226</v>
      </c>
      <c r="L2214" s="70">
        <v>0.068492289063691616</v>
      </c>
      <c r="M2214" s="71">
        <f>IF(L2214&lt;1,1,L2214)</f>
        <v>1</v>
      </c>
      <c r="N2214" s="70" t="s">
        <v>3288</v>
      </c>
      <c r="O2214" s="71">
        <f>IF(OR(I2214=$A$1,I2214=0),"",IF(N2214=MappingTables!$C$14,VLOOKUP(J2214,ModelParameters!$M$8:$N$15,2,FALSE),IF(N2214=MappingTables!$C$16,VLOOKUP(J2214,ModelParameters!$P$8:$Q$15,2,FALSE),0)))</f>
        <v>1</v>
      </c>
      <c r="P2214" s="73">
        <f>IF(OR(I2214=0,I2214=$A$1),0,MIN(O2214*M2214,1)*K2214)</f>
        <v>154.67236460911226</v>
      </c>
      <c r="Q2214" s="73">
        <f>IF(B2214="",0,IF(OR(H2214=MappingTables!$C$34,H2214=MappingTables!$C$35),P2214,0))</f>
        <v>0</v>
      </c>
      <c r="R2214" s="73">
        <f>IF(ISNA(IF(AND(VLOOKUP(CONCATENATE($D2214,$G2214),CSRFinput!$B:$E,4,0)=0,OR(H2214=MappingTables!$C$31,H2214=MappingTables!$C$32)),1,VLOOKUP(CONCATENATE($D2214,$G2214),CSRFinput!$B:$E,4,0))),0,IF(AND(VLOOKUP(CONCATENATE($D2214,$G2214),CSRFinput!$B:$E,4,0)=0,OR(H2214=MappingTables!$C$31,H2214=MappingTables!$C$32)),1,VLOOKUP(CONCATENATE($D2214,$G2214),CSRFinput!$B:$E,4,0)))</f>
        <v>0.054776304963434752</v>
      </c>
      <c r="S2214" s="73">
        <f>IF(B2214="",0,P2214*R2214)</f>
        <v>8.4723806132443056</v>
      </c>
      <c r="T2214" s="85">
        <f>IF(B2214="",0,IF(OR(H2214=MappingTables!$C$34,H2214=MappingTables!$C$35),S2214,0))</f>
        <v>0</v>
      </c>
    </row>
    <row r="2215" spans="2:20" s="0" customFormat="0" ht="15">
      <c r="B2215" s="69" t="s">
        <v>4330</v>
      </c>
      <c r="C2215" s="70" t="s">
        <v>4331</v>
      </c>
      <c r="D2215" s="70" t="s">
        <v>1</v>
      </c>
      <c r="E2215" s="70" t="s">
        <v>1</v>
      </c>
      <c r="F2215" s="70"/>
      <c r="G2215" s="70" t="s">
        <v>61</v>
      </c>
      <c r="H2215" s="70" t="s">
        <v>178</v>
      </c>
      <c r="I2215" s="70" t="s">
        <v>3291</v>
      </c>
      <c r="J2215" s="71">
        <f>IF(OR(I2215=0,I2215=""),"unrated",VLOOKUP(I2215,MappingTables!$B$19:$C$31,2,FALSE))</f>
        <v>6</v>
      </c>
      <c r="K2215" s="72">
        <v>23.232565257699804</v>
      </c>
      <c r="L2215" s="70">
        <v>0.068499116017178448</v>
      </c>
      <c r="M2215" s="71">
        <f>IF(L2215&lt;1,1,L2215)</f>
        <v>1</v>
      </c>
      <c r="N2215" s="70" t="s">
        <v>3288</v>
      </c>
      <c r="O2215" s="71">
        <f>IF(OR(I2215=$A$1,I2215=0),"",IF(N2215=MappingTables!$C$14,VLOOKUP(J2215,ModelParameters!$M$8:$N$15,2,FALSE),IF(N2215=MappingTables!$C$16,VLOOKUP(J2215,ModelParameters!$P$8:$Q$15,2,FALSE),0)))</f>
        <v>1</v>
      </c>
      <c r="P2215" s="73">
        <f>IF(OR(I2215=0,I2215=$A$1),0,MIN(O2215*M2215,1)*K2215)</f>
        <v>23.232565257699804</v>
      </c>
      <c r="Q2215" s="73">
        <f>IF(B2215="",0,IF(OR(H2215=MappingTables!$C$34,H2215=MappingTables!$C$35),P2215,0))</f>
        <v>0</v>
      </c>
      <c r="R2215" s="73">
        <f>IF(ISNA(IF(AND(VLOOKUP(CONCATENATE($D2215,$G2215),CSRFinput!$B:$E,4,0)=0,OR(H2215=MappingTables!$C$31,H2215=MappingTables!$C$32)),1,VLOOKUP(CONCATENATE($D2215,$G2215),CSRFinput!$B:$E,4,0))),0,IF(AND(VLOOKUP(CONCATENATE($D2215,$G2215),CSRFinput!$B:$E,4,0)=0,OR(H2215=MappingTables!$C$31,H2215=MappingTables!$C$32)),1,VLOOKUP(CONCATENATE($D2215,$G2215),CSRFinput!$B:$E,4,0)))</f>
        <v>0.054776304963434752</v>
      </c>
      <c r="S2215" s="73">
        <f>IF(B2215="",0,P2215*R2215)</f>
        <v>1.2725940796386636</v>
      </c>
      <c r="T2215" s="85">
        <f>IF(B2215="",0,IF(OR(H2215=MappingTables!$C$34,H2215=MappingTables!$C$35),S2215,0))</f>
        <v>0</v>
      </c>
    </row>
    <row r="2216" spans="2:20" s="0" customFormat="0" ht="15">
      <c r="B2216" s="69" t="s">
        <v>5244</v>
      </c>
      <c r="C2216" s="70" t="s">
        <v>5245</v>
      </c>
      <c r="D2216" s="70" t="s">
        <v>1</v>
      </c>
      <c r="E2216" s="70" t="s">
        <v>1</v>
      </c>
      <c r="F2216" s="70"/>
      <c r="G2216" s="70" t="s">
        <v>61</v>
      </c>
      <c r="H2216" s="70" t="s">
        <v>178</v>
      </c>
      <c r="I2216" s="70" t="s">
        <v>204</v>
      </c>
      <c r="J2216" s="71">
        <f>IF(OR(I2216=0,I2216=""),"unrated",VLOOKUP(I2216,MappingTables!$B$19:$C$31,2,FALSE))</f>
        <v>6</v>
      </c>
      <c r="K2216" s="72">
        <v>493.63154899670864</v>
      </c>
      <c r="L2216" s="70">
        <v>0.06396679708992012</v>
      </c>
      <c r="M2216" s="71">
        <f>IF(L2216&lt;1,1,L2216)</f>
        <v>1</v>
      </c>
      <c r="N2216" s="70" t="s">
        <v>3288</v>
      </c>
      <c r="O2216" s="71">
        <f>IF(OR(I2216=$A$1,I2216=0),"",IF(N2216=MappingTables!$C$14,VLOOKUP(J2216,ModelParameters!$M$8:$N$15,2,FALSE),IF(N2216=MappingTables!$C$16,VLOOKUP(J2216,ModelParameters!$P$8:$Q$15,2,FALSE),0)))</f>
        <v>1</v>
      </c>
      <c r="P2216" s="73">
        <f>IF(OR(I2216=0,I2216=$A$1),0,MIN(O2216*M2216,1)*K2216)</f>
        <v>493.63154899670864</v>
      </c>
      <c r="Q2216" s="73">
        <f>IF(B2216="",0,IF(OR(H2216=MappingTables!$C$34,H2216=MappingTables!$C$35),P2216,0))</f>
        <v>0</v>
      </c>
      <c r="R2216" s="73">
        <f>IF(ISNA(IF(AND(VLOOKUP(CONCATENATE($D2216,$G2216),CSRFinput!$B:$E,4,0)=0,OR(H2216=MappingTables!$C$31,H2216=MappingTables!$C$32)),1,VLOOKUP(CONCATENATE($D2216,$G2216),CSRFinput!$B:$E,4,0))),0,IF(AND(VLOOKUP(CONCATENATE($D2216,$G2216),CSRFinput!$B:$E,4,0)=0,OR(H2216=MappingTables!$C$31,H2216=MappingTables!$C$32)),1,VLOOKUP(CONCATENATE($D2216,$G2216),CSRFinput!$B:$E,4,0)))</f>
        <v>0.054776304963434752</v>
      </c>
      <c r="S2216" s="73">
        <f>IF(B2216="",0,P2216*R2216)</f>
        <v>27.039312267416396</v>
      </c>
      <c r="T2216" s="85">
        <f>IF(B2216="",0,IF(OR(H2216=MappingTables!$C$34,H2216=MappingTables!$C$35),S2216,0))</f>
        <v>0</v>
      </c>
    </row>
    <row r="2217" spans="2:20" s="0" customFormat="0" ht="15">
      <c r="B2217" s="69" t="s">
        <v>5231</v>
      </c>
      <c r="C2217" s="70" t="s">
        <v>5232</v>
      </c>
      <c r="D2217" s="70" t="s">
        <v>1</v>
      </c>
      <c r="E2217" s="70" t="s">
        <v>1</v>
      </c>
      <c r="F2217" s="70"/>
      <c r="G2217" s="70" t="s">
        <v>61</v>
      </c>
      <c r="H2217" s="70" t="s">
        <v>178</v>
      </c>
      <c r="I2217" s="70" t="s">
        <v>204</v>
      </c>
      <c r="J2217" s="71">
        <f>IF(OR(I2217=0,I2217=""),"unrated",VLOOKUP(I2217,MappingTables!$B$19:$C$31,2,FALSE))</f>
        <v>6</v>
      </c>
      <c r="K2217" s="72">
        <v>1755.3988877571998</v>
      </c>
      <c r="L2217" s="70">
        <v>0.054797539274956024</v>
      </c>
      <c r="M2217" s="71">
        <f>IF(L2217&lt;1,1,L2217)</f>
        <v>1</v>
      </c>
      <c r="N2217" s="70" t="s">
        <v>3288</v>
      </c>
      <c r="O2217" s="71">
        <f>IF(OR(I2217=$A$1,I2217=0),"",IF(N2217=MappingTables!$C$14,VLOOKUP(J2217,ModelParameters!$M$8:$N$15,2,FALSE),IF(N2217=MappingTables!$C$16,VLOOKUP(J2217,ModelParameters!$P$8:$Q$15,2,FALSE),0)))</f>
        <v>1</v>
      </c>
      <c r="P2217" s="73">
        <f>IF(OR(I2217=0,I2217=$A$1),0,MIN(O2217*M2217,1)*K2217)</f>
        <v>1755.3988877571998</v>
      </c>
      <c r="Q2217" s="73">
        <f>IF(B2217="",0,IF(OR(H2217=MappingTables!$C$34,H2217=MappingTables!$C$35),P2217,0))</f>
        <v>0</v>
      </c>
      <c r="R2217" s="73">
        <f>IF(ISNA(IF(AND(VLOOKUP(CONCATENATE($D2217,$G2217),CSRFinput!$B:$E,4,0)=0,OR(H2217=MappingTables!$C$31,H2217=MappingTables!$C$32)),1,VLOOKUP(CONCATENATE($D2217,$G2217),CSRFinput!$B:$E,4,0))),0,IF(AND(VLOOKUP(CONCATENATE($D2217,$G2217),CSRFinput!$B:$E,4,0)=0,OR(H2217=MappingTables!$C$31,H2217=MappingTables!$C$32)),1,VLOOKUP(CONCATENATE($D2217,$G2217),CSRFinput!$B:$E,4,0)))</f>
        <v>0.054776304963434752</v>
      </c>
      <c r="S2217" s="73">
        <f>IF(B2217="",0,P2217*R2217)</f>
        <v>96.15426480826256</v>
      </c>
      <c r="T2217" s="85">
        <f>IF(B2217="",0,IF(OR(H2217=MappingTables!$C$34,H2217=MappingTables!$C$35),S2217,0))</f>
        <v>0</v>
      </c>
    </row>
    <row r="2218" spans="2:20" s="0" customFormat="0" ht="15">
      <c r="B2218" s="69" t="s">
        <v>4796</v>
      </c>
      <c r="C2218" s="70" t="s">
        <v>4797</v>
      </c>
      <c r="D2218" s="70" t="s">
        <v>1</v>
      </c>
      <c r="E2218" s="70" t="s">
        <v>1</v>
      </c>
      <c r="F2218" s="70"/>
      <c r="G2218" s="70" t="s">
        <v>61</v>
      </c>
      <c r="H2218" s="70" t="s">
        <v>178</v>
      </c>
      <c r="I2218" s="70" t="s">
        <v>198</v>
      </c>
      <c r="J2218" s="71" t="str">
        <f>IF(OR(I2218=0,I2218=""),"unrated",VLOOKUP(I2218,MappingTables!$B$19:$C$31,2,FALSE))</f>
        <v>unrated</v>
      </c>
      <c r="K2218" s="72">
        <v>154.01983050900724</v>
      </c>
      <c r="L2218" s="70">
        <v>30.752241241726928</v>
      </c>
      <c r="M2218" s="71">
        <f>IF(L2218&lt;1,1,L2218)</f>
        <v>30.752241241726928</v>
      </c>
      <c r="N2218" s="70" t="s">
        <v>3288</v>
      </c>
      <c r="O2218" s="71">
        <f>IF(OR(I2218=$A$1,I2218=0),"",IF(N2218=MappingTables!$C$14,VLOOKUP(J2218,ModelParameters!$M$8:$N$15,2,FALSE),IF(N2218=MappingTables!$C$16,VLOOKUP(J2218,ModelParameters!$P$8:$Q$15,2,FALSE),0)))</f>
        <v>1</v>
      </c>
      <c r="P2218" s="73">
        <f>IF(OR(I2218=0,I2218=$A$1),0,MIN(O2218*M2218,1)*K2218)</f>
        <v>154.01983050900724</v>
      </c>
      <c r="Q2218" s="73">
        <f>IF(B2218="",0,IF(OR(H2218=MappingTables!$C$34,H2218=MappingTables!$C$35),P2218,0))</f>
        <v>0</v>
      </c>
      <c r="R2218" s="73">
        <f>IF(ISNA(IF(AND(VLOOKUP(CONCATENATE($D2218,$G2218),CSRFinput!$B:$E,4,0)=0,OR(H2218=MappingTables!$C$31,H2218=MappingTables!$C$32)),1,VLOOKUP(CONCATENATE($D2218,$G2218),CSRFinput!$B:$E,4,0))),0,IF(AND(VLOOKUP(CONCATENATE($D2218,$G2218),CSRFinput!$B:$E,4,0)=0,OR(H2218=MappingTables!$C$31,H2218=MappingTables!$C$32)),1,VLOOKUP(CONCATENATE($D2218,$G2218),CSRFinput!$B:$E,4,0)))</f>
        <v>0.054776304963434752</v>
      </c>
      <c r="S2218" s="73">
        <f>IF(B2218="",0,P2218*R2218)</f>
        <v>8.4366372063779136</v>
      </c>
      <c r="T2218" s="85">
        <f>IF(B2218="",0,IF(OR(H2218=MappingTables!$C$34,H2218=MappingTables!$C$35),S2218,0))</f>
        <v>0</v>
      </c>
    </row>
    <row r="2219" spans="2:20" s="0" customFormat="0" ht="15">
      <c r="B2219" s="69" t="s">
        <v>4082</v>
      </c>
      <c r="C2219" s="70" t="s">
        <v>4083</v>
      </c>
      <c r="D2219" s="70" t="s">
        <v>1</v>
      </c>
      <c r="E2219" s="70" t="s">
        <v>1</v>
      </c>
      <c r="F2219" s="70"/>
      <c r="G2219" s="70" t="s">
        <v>61</v>
      </c>
      <c r="H2219" s="70" t="s">
        <v>178</v>
      </c>
      <c r="I2219" s="70" t="s">
        <v>188</v>
      </c>
      <c r="J2219" s="71">
        <f>IF(OR(I2219=0,I2219=""),"unrated",VLOOKUP(I2219,MappingTables!$B$19:$C$31,2,FALSE))</f>
        <v>2</v>
      </c>
      <c r="K2219" s="72">
        <v>67.861760597889488</v>
      </c>
      <c r="L2219" s="70">
        <v>0.068493780112654016</v>
      </c>
      <c r="M2219" s="71">
        <f>IF(L2219&lt;1,1,L2219)</f>
        <v>1</v>
      </c>
      <c r="N2219" s="70" t="s">
        <v>3288</v>
      </c>
      <c r="O2219" s="71">
        <f>IF(OR(I2219=$A$1,I2219=0),"",IF(N2219=MappingTables!$C$14,VLOOKUP(J2219,ModelParameters!$M$8:$N$15,2,FALSE),IF(N2219=MappingTables!$C$16,VLOOKUP(J2219,ModelParameters!$P$8:$Q$15,2,FALSE),0)))</f>
        <v>0.166</v>
      </c>
      <c r="P2219" s="73">
        <f>IF(OR(I2219=0,I2219=$A$1),0,MIN(O2219*M2219,1)*K2219)</f>
        <v>11.265052259249656</v>
      </c>
      <c r="Q2219" s="73">
        <f>IF(B2219="",0,IF(OR(H2219=MappingTables!$C$34,H2219=MappingTables!$C$35),P2219,0))</f>
        <v>0</v>
      </c>
      <c r="R2219" s="73">
        <f>IF(ISNA(IF(AND(VLOOKUP(CONCATENATE($D2219,$G2219),CSRFinput!$B:$E,4,0)=0,OR(H2219=MappingTables!$C$31,H2219=MappingTables!$C$32)),1,VLOOKUP(CONCATENATE($D2219,$G2219),CSRFinput!$B:$E,4,0))),0,IF(AND(VLOOKUP(CONCATENATE($D2219,$G2219),CSRFinput!$B:$E,4,0)=0,OR(H2219=MappingTables!$C$31,H2219=MappingTables!$C$32)),1,VLOOKUP(CONCATENATE($D2219,$G2219),CSRFinput!$B:$E,4,0)))</f>
        <v>0.054776304963434752</v>
      </c>
      <c r="S2219" s="73">
        <f>IF(B2219="",0,P2219*R2219)</f>
        <v>0.61705793798168872</v>
      </c>
      <c r="T2219" s="85">
        <f>IF(B2219="",0,IF(OR(H2219=MappingTables!$C$34,H2219=MappingTables!$C$35),S2219,0))</f>
        <v>0</v>
      </c>
    </row>
    <row r="2220" spans="2:20" s="0" customFormat="0" ht="15">
      <c r="B2220" s="69" t="s">
        <v>4948</v>
      </c>
      <c r="C2220" s="70" t="s">
        <v>4949</v>
      </c>
      <c r="D2220" s="70" t="s">
        <v>1</v>
      </c>
      <c r="E2220" s="70" t="s">
        <v>1</v>
      </c>
      <c r="F2220" s="70"/>
      <c r="G2220" s="70" t="s">
        <v>61</v>
      </c>
      <c r="H2220" s="70" t="s">
        <v>178</v>
      </c>
      <c r="I2220" s="70" t="s">
        <v>184</v>
      </c>
      <c r="J2220" s="71">
        <f>IF(OR(I2220=0,I2220=""),"unrated",VLOOKUP(I2220,MappingTables!$B$19:$C$31,2,FALSE))</f>
        <v>5</v>
      </c>
      <c r="K2220" s="72">
        <v>2399.5323495562444</v>
      </c>
      <c r="L2220" s="70">
        <v>0.068495584112460208</v>
      </c>
      <c r="M2220" s="71">
        <f>IF(L2220&lt;1,1,L2220)</f>
        <v>1</v>
      </c>
      <c r="N2220" s="70" t="s">
        <v>3288</v>
      </c>
      <c r="O2220" s="71">
        <f>IF(OR(I2220=$A$1,I2220=0),"",IF(N2220=MappingTables!$C$14,VLOOKUP(J2220,ModelParameters!$M$8:$N$15,2,FALSE),IF(N2220=MappingTables!$C$16,VLOOKUP(J2220,ModelParameters!$P$8:$Q$15,2,FALSE),0)))</f>
        <v>1</v>
      </c>
      <c r="P2220" s="73">
        <f>IF(OR(I2220=0,I2220=$A$1),0,MIN(O2220*M2220,1)*K2220)</f>
        <v>2399.5323495562444</v>
      </c>
      <c r="Q2220" s="73">
        <f>IF(B2220="",0,IF(OR(H2220=MappingTables!$C$34,H2220=MappingTables!$C$35),P2220,0))</f>
        <v>0</v>
      </c>
      <c r="R2220" s="73">
        <f>IF(ISNA(IF(AND(VLOOKUP(CONCATENATE($D2220,$G2220),CSRFinput!$B:$E,4,0)=0,OR(H2220=MappingTables!$C$31,H2220=MappingTables!$C$32)),1,VLOOKUP(CONCATENATE($D2220,$G2220),CSRFinput!$B:$E,4,0))),0,IF(AND(VLOOKUP(CONCATENATE($D2220,$G2220),CSRFinput!$B:$E,4,0)=0,OR(H2220=MappingTables!$C$31,H2220=MappingTables!$C$32)),1,VLOOKUP(CONCATENATE($D2220,$G2220),CSRFinput!$B:$E,4,0)))</f>
        <v>0.054776304963434752</v>
      </c>
      <c r="S2220" s="73">
        <f>IF(B2220="",0,P2220*R2220)</f>
        <v>131.43751574891996</v>
      </c>
      <c r="T2220" s="85">
        <f>IF(B2220="",0,IF(OR(H2220=MappingTables!$C$34,H2220=MappingTables!$C$35),S2220,0))</f>
        <v>0</v>
      </c>
    </row>
    <row r="2221" spans="2:20" s="0" customFormat="0" ht="15">
      <c r="B2221" s="69" t="s">
        <v>4588</v>
      </c>
      <c r="C2221" s="70" t="s">
        <v>4589</v>
      </c>
      <c r="D2221" s="70" t="s">
        <v>1</v>
      </c>
      <c r="E2221" s="70" t="s">
        <v>1</v>
      </c>
      <c r="F2221" s="70"/>
      <c r="G2221" s="70" t="s">
        <v>61</v>
      </c>
      <c r="H2221" s="70" t="s">
        <v>178</v>
      </c>
      <c r="I2221" s="70" t="s">
        <v>216</v>
      </c>
      <c r="J2221" s="71">
        <f>IF(OR(I2221=0,I2221=""),"unrated",VLOOKUP(I2221,MappingTables!$B$19:$C$31,2,FALSE))</f>
        <v>0</v>
      </c>
      <c r="K2221" s="72">
        <v>0.031566619126593016</v>
      </c>
      <c r="L2221" s="70">
        <v>0.068496087943585304</v>
      </c>
      <c r="M2221" s="71">
        <f>IF(L2221&lt;1,1,L2221)</f>
        <v>1</v>
      </c>
      <c r="N2221" s="70" t="s">
        <v>3288</v>
      </c>
      <c r="O2221" s="71">
        <f>IF(OR(I2221=$A$1,I2221=0),"",IF(N2221=MappingTables!$C$14,VLOOKUP(J2221,ModelParameters!$M$8:$N$15,2,FALSE),IF(N2221=MappingTables!$C$16,VLOOKUP(J2221,ModelParameters!$P$8:$Q$15,2,FALSE),0)))</f>
        <v>0.125</v>
      </c>
      <c r="P2221" s="73">
        <f>IF(OR(I2221=0,I2221=$A$1),0,MIN(O2221*M2221,1)*K2221)</f>
        <v>0.0039458273908241272</v>
      </c>
      <c r="Q2221" s="73">
        <f>IF(B2221="",0,IF(OR(H2221=MappingTables!$C$34,H2221=MappingTables!$C$35),P2221,0))</f>
        <v>0</v>
      </c>
      <c r="R2221" s="73">
        <f>IF(ISNA(IF(AND(VLOOKUP(CONCATENATE($D2221,$G2221),CSRFinput!$B:$E,4,0)=0,OR(H2221=MappingTables!$C$31,H2221=MappingTables!$C$32)),1,VLOOKUP(CONCATENATE($D2221,$G2221),CSRFinput!$B:$E,4,0))),0,IF(AND(VLOOKUP(CONCATENATE($D2221,$G2221),CSRFinput!$B:$E,4,0)=0,OR(H2221=MappingTables!$C$31,H2221=MappingTables!$C$32)),1,VLOOKUP(CONCATENATE($D2221,$G2221),CSRFinput!$B:$E,4,0)))</f>
        <v>0.054776304963434752</v>
      </c>
      <c r="S2221" s="73">
        <f>IF(B2221="",0,P2221*R2221)</f>
        <v>0.00021613784449285644</v>
      </c>
      <c r="T2221" s="85">
        <f>IF(B2221="",0,IF(OR(H2221=MappingTables!$C$34,H2221=MappingTables!$C$35),S2221,0))</f>
        <v>0</v>
      </c>
    </row>
    <row r="2222" spans="2:20" s="0" customFormat="0" ht="15">
      <c r="B2222" s="69">
        <v>16974793</v>
      </c>
      <c r="C2222" s="70" t="s">
        <v>5248</v>
      </c>
      <c r="D2222" s="70" t="s">
        <v>1</v>
      </c>
      <c r="E2222" s="70" t="s">
        <v>1</v>
      </c>
      <c r="F2222" s="70"/>
      <c r="G2222" s="70" t="s">
        <v>61</v>
      </c>
      <c r="H2222" s="70" t="s">
        <v>178</v>
      </c>
      <c r="I2222" s="70" t="s">
        <v>220</v>
      </c>
      <c r="J2222" s="71">
        <f>IF(OR(I2222=0,I2222=""),"unrated",VLOOKUP(I2222,MappingTables!$B$19:$C$31,2,FALSE))</f>
        <v>1</v>
      </c>
      <c r="K2222" s="72">
        <v>756.87743642560128</v>
      </c>
      <c r="L2222" s="70">
        <v>0.2304060332815054</v>
      </c>
      <c r="M2222" s="71">
        <f>IF(L2222&lt;1,1,L2222)</f>
        <v>1</v>
      </c>
      <c r="N2222" s="70" t="s">
        <v>3288</v>
      </c>
      <c r="O2222" s="71">
        <f>IF(OR(I2222=$A$1,I2222=0),"",IF(N2222=MappingTables!$C$14,VLOOKUP(J2222,ModelParameters!$M$8:$N$15,2,FALSE),IF(N2222=MappingTables!$C$16,VLOOKUP(J2222,ModelParameters!$P$8:$Q$15,2,FALSE),0)))</f>
        <v>0.134</v>
      </c>
      <c r="P2222" s="73">
        <f>IF(OR(I2222=0,I2222=$A$1),0,MIN(O2222*M2222,1)*K2222)</f>
        <v>101.42157648103056</v>
      </c>
      <c r="Q2222" s="73">
        <f>IF(B2222="",0,IF(OR(H2222=MappingTables!$C$34,H2222=MappingTables!$C$35),P2222,0))</f>
        <v>0</v>
      </c>
      <c r="R2222" s="73">
        <f>IF(ISNA(IF(AND(VLOOKUP(CONCATENATE($D2222,$G2222),CSRFinput!$B:$E,4,0)=0,OR(H2222=MappingTables!$C$31,H2222=MappingTables!$C$32)),1,VLOOKUP(CONCATENATE($D2222,$G2222),CSRFinput!$B:$E,4,0))),0,IF(AND(VLOOKUP(CONCATENATE($D2222,$G2222),CSRFinput!$B:$E,4,0)=0,OR(H2222=MappingTables!$C$31,H2222=MappingTables!$C$32)),1,VLOOKUP(CONCATENATE($D2222,$G2222),CSRFinput!$B:$E,4,0)))</f>
        <v>0.054776304963434752</v>
      </c>
      <c r="S2222" s="73">
        <f>IF(B2222="",0,P2222*R2222)</f>
        <v>5.555499203197252</v>
      </c>
      <c r="T2222" s="85">
        <f>IF(B2222="",0,IF(OR(H2222=MappingTables!$C$34,H2222=MappingTables!$C$35),S2222,0))</f>
        <v>0</v>
      </c>
    </row>
    <row r="2223" spans="2:20" s="0" customFormat="0" ht="15">
      <c r="B2223" s="69" t="s">
        <v>5039</v>
      </c>
      <c r="C2223" s="70" t="s">
        <v>5040</v>
      </c>
      <c r="D2223" s="70" t="s">
        <v>1</v>
      </c>
      <c r="E2223" s="70" t="s">
        <v>1</v>
      </c>
      <c r="F2223" s="70"/>
      <c r="G2223" s="70" t="s">
        <v>61</v>
      </c>
      <c r="H2223" s="70" t="s">
        <v>178</v>
      </c>
      <c r="I2223" s="70" t="s">
        <v>198</v>
      </c>
      <c r="J2223" s="71" t="str">
        <f>IF(OR(I2223=0,I2223=""),"unrated",VLOOKUP(I2223,MappingTables!$B$19:$C$31,2,FALSE))</f>
        <v>unrated</v>
      </c>
      <c r="K2223" s="72">
        <v>6.6545827543059096</v>
      </c>
      <c r="L2223" s="70">
        <v>40.29732617225552</v>
      </c>
      <c r="M2223" s="71">
        <f>IF(L2223&lt;1,1,L2223)</f>
        <v>40.29732617225552</v>
      </c>
      <c r="N2223" s="70" t="s">
        <v>3288</v>
      </c>
      <c r="O2223" s="71">
        <f>IF(OR(I2223=$A$1,I2223=0),"",IF(N2223=MappingTables!$C$14,VLOOKUP(J2223,ModelParameters!$M$8:$N$15,2,FALSE),IF(N2223=MappingTables!$C$16,VLOOKUP(J2223,ModelParameters!$P$8:$Q$15,2,FALSE),0)))</f>
        <v>1</v>
      </c>
      <c r="P2223" s="73">
        <f>IF(OR(I2223=0,I2223=$A$1),0,MIN(O2223*M2223,1)*K2223)</f>
        <v>6.6545827543059096</v>
      </c>
      <c r="Q2223" s="73">
        <f>IF(B2223="",0,IF(OR(H2223=MappingTables!$C$34,H2223=MappingTables!$C$35),P2223,0))</f>
        <v>0</v>
      </c>
      <c r="R2223" s="73">
        <f>IF(ISNA(IF(AND(VLOOKUP(CONCATENATE($D2223,$G2223),CSRFinput!$B:$E,4,0)=0,OR(H2223=MappingTables!$C$31,H2223=MappingTables!$C$32)),1,VLOOKUP(CONCATENATE($D2223,$G2223),CSRFinput!$B:$E,4,0))),0,IF(AND(VLOOKUP(CONCATENATE($D2223,$G2223),CSRFinput!$B:$E,4,0)=0,OR(H2223=MappingTables!$C$31,H2223=MappingTables!$C$32)),1,VLOOKUP(CONCATENATE($D2223,$G2223),CSRFinput!$B:$E,4,0)))</f>
        <v>0.054776304963434752</v>
      </c>
      <c r="S2223" s="73">
        <f>IF(B2223="",0,P2223*R2223)</f>
        <v>0.36451345435427416</v>
      </c>
      <c r="T2223" s="85">
        <f>IF(B2223="",0,IF(OR(H2223=MappingTables!$C$34,H2223=MappingTables!$C$35),S2223,0))</f>
        <v>0</v>
      </c>
    </row>
    <row r="2224" spans="2:20" s="0" customFormat="0" ht="15">
      <c r="B2224" s="69">
        <v>20113243</v>
      </c>
      <c r="C2224" s="70" t="s">
        <v>5243</v>
      </c>
      <c r="D2224" s="70" t="s">
        <v>1</v>
      </c>
      <c r="E2224" s="70" t="s">
        <v>1</v>
      </c>
      <c r="F2224" s="70"/>
      <c r="G2224" s="70" t="s">
        <v>61</v>
      </c>
      <c r="H2224" s="70" t="s">
        <v>178</v>
      </c>
      <c r="I2224" s="70" t="s">
        <v>198</v>
      </c>
      <c r="J2224" s="71" t="str">
        <f>IF(OR(I2224=0,I2224=""),"unrated",VLOOKUP(I2224,MappingTables!$B$19:$C$31,2,FALSE))</f>
        <v>unrated</v>
      </c>
      <c r="K2224" s="72">
        <v>388.05259228318288</v>
      </c>
      <c r="L2224" s="70">
        <v>0.079234996519483616</v>
      </c>
      <c r="M2224" s="71">
        <f>IF(L2224&lt;1,1,L2224)</f>
        <v>1</v>
      </c>
      <c r="N2224" s="70" t="s">
        <v>3288</v>
      </c>
      <c r="O2224" s="71">
        <f>IF(OR(I2224=$A$1,I2224=0),"",IF(N2224=MappingTables!$C$14,VLOOKUP(J2224,ModelParameters!$M$8:$N$15,2,FALSE),IF(N2224=MappingTables!$C$16,VLOOKUP(J2224,ModelParameters!$P$8:$Q$15,2,FALSE),0)))</f>
        <v>1</v>
      </c>
      <c r="P2224" s="73">
        <f>IF(OR(I2224=0,I2224=$A$1),0,MIN(O2224*M2224,1)*K2224)</f>
        <v>388.05259228318288</v>
      </c>
      <c r="Q2224" s="73">
        <f>IF(B2224="",0,IF(OR(H2224=MappingTables!$C$34,H2224=MappingTables!$C$35),P2224,0))</f>
        <v>0</v>
      </c>
      <c r="R2224" s="73">
        <f>IF(ISNA(IF(AND(VLOOKUP(CONCATENATE($D2224,$G2224),CSRFinput!$B:$E,4,0)=0,OR(H2224=MappingTables!$C$31,H2224=MappingTables!$C$32)),1,VLOOKUP(CONCATENATE($D2224,$G2224),CSRFinput!$B:$E,4,0))),0,IF(AND(VLOOKUP(CONCATENATE($D2224,$G2224),CSRFinput!$B:$E,4,0)=0,OR(H2224=MappingTables!$C$31,H2224=MappingTables!$C$32)),1,VLOOKUP(CONCATENATE($D2224,$G2224),CSRFinput!$B:$E,4,0)))</f>
        <v>0.054776304963434752</v>
      </c>
      <c r="S2224" s="73">
        <f>IF(B2224="",0,P2224*R2224)</f>
        <v>21.256087136755036</v>
      </c>
      <c r="T2224" s="85">
        <f>IF(B2224="",0,IF(OR(H2224=MappingTables!$C$34,H2224=MappingTables!$C$35),S2224,0))</f>
        <v>0</v>
      </c>
    </row>
    <row r="2225" spans="2:20" s="0" customFormat="0" ht="15">
      <c r="B2225" s="69" t="s">
        <v>5138</v>
      </c>
      <c r="C2225" s="70" t="s">
        <v>5139</v>
      </c>
      <c r="D2225" s="70" t="s">
        <v>1</v>
      </c>
      <c r="E2225" s="70" t="s">
        <v>1</v>
      </c>
      <c r="F2225" s="70"/>
      <c r="G2225" s="70" t="s">
        <v>61</v>
      </c>
      <c r="H2225" s="70" t="s">
        <v>178</v>
      </c>
      <c r="I2225" s="70" t="s">
        <v>179</v>
      </c>
      <c r="J2225" s="71">
        <f>IF(OR(I2225=0,I2225=""),"unrated",VLOOKUP(I2225,MappingTables!$B$19:$C$31,2,FALSE))</f>
        <v>4</v>
      </c>
      <c r="K2225" s="72">
        <v>10.232039903811802</v>
      </c>
      <c r="L2225" s="70">
        <v>0.72269401480886144</v>
      </c>
      <c r="M2225" s="71">
        <f>IF(L2225&lt;1,1,L2225)</f>
        <v>1</v>
      </c>
      <c r="N2225" s="70" t="s">
        <v>3288</v>
      </c>
      <c r="O2225" s="71">
        <f>IF(OR(I2225=$A$1,I2225=0),"",IF(N2225=MappingTables!$C$14,VLOOKUP(J2225,ModelParameters!$M$8:$N$15,2,FALSE),IF(N2225=MappingTables!$C$16,VLOOKUP(J2225,ModelParameters!$P$8:$Q$15,2,FALSE),0)))</f>
        <v>0.82</v>
      </c>
      <c r="P2225" s="73">
        <f>IF(OR(I2225=0,I2225=$A$1),0,MIN(O2225*M2225,1)*K2225)</f>
        <v>8.3902727211256784</v>
      </c>
      <c r="Q2225" s="73">
        <f>IF(B2225="",0,IF(OR(H2225=MappingTables!$C$34,H2225=MappingTables!$C$35),P2225,0))</f>
        <v>0</v>
      </c>
      <c r="R2225" s="73">
        <f>IF(ISNA(IF(AND(VLOOKUP(CONCATENATE($D2225,$G2225),CSRFinput!$B:$E,4,0)=0,OR(H2225=MappingTables!$C$31,H2225=MappingTables!$C$32)),1,VLOOKUP(CONCATENATE($D2225,$G2225),CSRFinput!$B:$E,4,0))),0,IF(AND(VLOOKUP(CONCATENATE($D2225,$G2225),CSRFinput!$B:$E,4,0)=0,OR(H2225=MappingTables!$C$31,H2225=MappingTables!$C$32)),1,VLOOKUP(CONCATENATE($D2225,$G2225),CSRFinput!$B:$E,4,0)))</f>
        <v>0.054776304963434752</v>
      </c>
      <c r="S2225" s="73">
        <f>IF(B2225="",0,P2225*R2225)</f>
        <v>0.45958813729876768</v>
      </c>
      <c r="T2225" s="85">
        <f>IF(B2225="",0,IF(OR(H2225=MappingTables!$C$34,H2225=MappingTables!$C$35),S2225,0))</f>
        <v>0</v>
      </c>
    </row>
    <row r="2226" spans="2:20" s="0" customFormat="0" ht="15">
      <c r="B2226" s="69">
        <v>16974604</v>
      </c>
      <c r="C2226" s="70" t="s">
        <v>4764</v>
      </c>
      <c r="D2226" s="70" t="s">
        <v>1</v>
      </c>
      <c r="E2226" s="70" t="s">
        <v>1</v>
      </c>
      <c r="F2226" s="70"/>
      <c r="G2226" s="70" t="s">
        <v>61</v>
      </c>
      <c r="H2226" s="70" t="s">
        <v>178</v>
      </c>
      <c r="I2226" s="70" t="s">
        <v>216</v>
      </c>
      <c r="J2226" s="71">
        <f>IF(OR(I2226=0,I2226=""),"unrated",VLOOKUP(I2226,MappingTables!$B$19:$C$31,2,FALSE))</f>
        <v>0</v>
      </c>
      <c r="K2226" s="72">
        <v>61.409649863380192</v>
      </c>
      <c r="L2226" s="70">
        <v>0.076663155837055104</v>
      </c>
      <c r="M2226" s="71">
        <f>IF(L2226&lt;1,1,L2226)</f>
        <v>1</v>
      </c>
      <c r="N2226" s="70" t="s">
        <v>3288</v>
      </c>
      <c r="O2226" s="71">
        <f>IF(OR(I2226=$A$1,I2226=0),"",IF(N2226=MappingTables!$C$14,VLOOKUP(J2226,ModelParameters!$M$8:$N$15,2,FALSE),IF(N2226=MappingTables!$C$16,VLOOKUP(J2226,ModelParameters!$P$8:$Q$15,2,FALSE),0)))</f>
        <v>0.125</v>
      </c>
      <c r="P2226" s="73">
        <f>IF(OR(I2226=0,I2226=$A$1),0,MIN(O2226*M2226,1)*K2226)</f>
        <v>7.6762062329225248</v>
      </c>
      <c r="Q2226" s="73">
        <f>IF(B2226="",0,IF(OR(H2226=MappingTables!$C$34,H2226=MappingTables!$C$35),P2226,0))</f>
        <v>0</v>
      </c>
      <c r="R2226" s="73">
        <f>IF(ISNA(IF(AND(VLOOKUP(CONCATENATE($D2226,$G2226),CSRFinput!$B:$E,4,0)=0,OR(H2226=MappingTables!$C$31,H2226=MappingTables!$C$32)),1,VLOOKUP(CONCATENATE($D2226,$G2226),CSRFinput!$B:$E,4,0))),0,IF(AND(VLOOKUP(CONCATENATE($D2226,$G2226),CSRFinput!$B:$E,4,0)=0,OR(H2226=MappingTables!$C$31,H2226=MappingTables!$C$32)),1,VLOOKUP(CONCATENATE($D2226,$G2226),CSRFinput!$B:$E,4,0)))</f>
        <v>0.054776304963434752</v>
      </c>
      <c r="S2226" s="73">
        <f>IF(B2226="",0,P2226*R2226)</f>
        <v>0.42047421357678288</v>
      </c>
      <c r="T2226" s="85">
        <f>IF(B2226="",0,IF(OR(H2226=MappingTables!$C$34,H2226=MappingTables!$C$35),S2226,0))</f>
        <v>0</v>
      </c>
    </row>
    <row r="2227" spans="2:20" s="0" customFormat="0" ht="15">
      <c r="B2227" s="69" t="s">
        <v>5206</v>
      </c>
      <c r="C2227" s="70" t="s">
        <v>5207</v>
      </c>
      <c r="D2227" s="70" t="s">
        <v>1</v>
      </c>
      <c r="E2227" s="70" t="s">
        <v>1</v>
      </c>
      <c r="F2227" s="70"/>
      <c r="G2227" s="70" t="s">
        <v>61</v>
      </c>
      <c r="H2227" s="70" t="s">
        <v>178</v>
      </c>
      <c r="I2227" s="70" t="s">
        <v>198</v>
      </c>
      <c r="J2227" s="71" t="str">
        <f>IF(OR(I2227=0,I2227=""),"unrated",VLOOKUP(I2227,MappingTables!$B$19:$C$31,2,FALSE))</f>
        <v>unrated</v>
      </c>
      <c r="K2227" s="72">
        <v>181.77273127695768</v>
      </c>
      <c r="L2227" s="70">
        <v>-0.0083864967237297264</v>
      </c>
      <c r="M2227" s="71">
        <f>IF(L2227&lt;1,1,L2227)</f>
        <v>1</v>
      </c>
      <c r="N2227" s="70" t="s">
        <v>3288</v>
      </c>
      <c r="O2227" s="71">
        <f>IF(OR(I2227=$A$1,I2227=0),"",IF(N2227=MappingTables!$C$14,VLOOKUP(J2227,ModelParameters!$M$8:$N$15,2,FALSE),IF(N2227=MappingTables!$C$16,VLOOKUP(J2227,ModelParameters!$P$8:$Q$15,2,FALSE),0)))</f>
        <v>1</v>
      </c>
      <c r="P2227" s="73">
        <f>IF(OR(I2227=0,I2227=$A$1),0,MIN(O2227*M2227,1)*K2227)</f>
        <v>181.77273127695768</v>
      </c>
      <c r="Q2227" s="73">
        <f>IF(B2227="",0,IF(OR(H2227=MappingTables!$C$34,H2227=MappingTables!$C$35),P2227,0))</f>
        <v>0</v>
      </c>
      <c r="R2227" s="73">
        <f>IF(ISNA(IF(AND(VLOOKUP(CONCATENATE($D2227,$G2227),CSRFinput!$B:$E,4,0)=0,OR(H2227=MappingTables!$C$31,H2227=MappingTables!$C$32)),1,VLOOKUP(CONCATENATE($D2227,$G2227),CSRFinput!$B:$E,4,0))),0,IF(AND(VLOOKUP(CONCATENATE($D2227,$G2227),CSRFinput!$B:$E,4,0)=0,OR(H2227=MappingTables!$C$31,H2227=MappingTables!$C$32)),1,VLOOKUP(CONCATENATE($D2227,$G2227),CSRFinput!$B:$E,4,0)))</f>
        <v>0.054776304963434752</v>
      </c>
      <c r="S2227" s="73">
        <f>IF(B2227="",0,P2227*R2227)</f>
        <v>9.9568385624631088</v>
      </c>
      <c r="T2227" s="85">
        <f>IF(B2227="",0,IF(OR(H2227=MappingTables!$C$34,H2227=MappingTables!$C$35),S2227,0))</f>
        <v>0</v>
      </c>
    </row>
    <row r="2228" spans="2:20" s="0" customFormat="0" ht="15">
      <c r="B2228" s="69">
        <v>17849852</v>
      </c>
      <c r="C2228" s="70" t="s">
        <v>3655</v>
      </c>
      <c r="D2228" s="70" t="s">
        <v>1</v>
      </c>
      <c r="E2228" s="70" t="s">
        <v>1</v>
      </c>
      <c r="F2228" s="70"/>
      <c r="G2228" s="70" t="s">
        <v>61</v>
      </c>
      <c r="H2228" s="70" t="s">
        <v>178</v>
      </c>
      <c r="I2228" s="70" t="s">
        <v>216</v>
      </c>
      <c r="J2228" s="71">
        <f>IF(OR(I2228=0,I2228=""),"unrated",VLOOKUP(I2228,MappingTables!$B$19:$C$31,2,FALSE))</f>
        <v>0</v>
      </c>
      <c r="K2228" s="72">
        <v>102.18558822844306</v>
      </c>
      <c r="L2228" s="70">
        <v>0.054268951811291048</v>
      </c>
      <c r="M2228" s="71">
        <f>IF(L2228&lt;1,1,L2228)</f>
        <v>1</v>
      </c>
      <c r="N2228" s="70" t="s">
        <v>3288</v>
      </c>
      <c r="O2228" s="71">
        <f>IF(OR(I2228=$A$1,I2228=0),"",IF(N2228=MappingTables!$C$14,VLOOKUP(J2228,ModelParameters!$M$8:$N$15,2,FALSE),IF(N2228=MappingTables!$C$16,VLOOKUP(J2228,ModelParameters!$P$8:$Q$15,2,FALSE),0)))</f>
        <v>0.125</v>
      </c>
      <c r="P2228" s="73">
        <f>IF(OR(I2228=0,I2228=$A$1),0,MIN(O2228*M2228,1)*K2228)</f>
        <v>12.773198528555384</v>
      </c>
      <c r="Q2228" s="73">
        <f>IF(B2228="",0,IF(OR(H2228=MappingTables!$C$34,H2228=MappingTables!$C$35),P2228,0))</f>
        <v>0</v>
      </c>
      <c r="R2228" s="73">
        <f>IF(ISNA(IF(AND(VLOOKUP(CONCATENATE($D2228,$G2228),CSRFinput!$B:$E,4,0)=0,OR(H2228=MappingTables!$C$31,H2228=MappingTables!$C$32)),1,VLOOKUP(CONCATENATE($D2228,$G2228),CSRFinput!$B:$E,4,0))),0,IF(AND(VLOOKUP(CONCATENATE($D2228,$G2228),CSRFinput!$B:$E,4,0)=0,OR(H2228=MappingTables!$C$31,H2228=MappingTables!$C$32)),1,VLOOKUP(CONCATENATE($D2228,$G2228),CSRFinput!$B:$E,4,0)))</f>
        <v>0.054776304963434752</v>
      </c>
      <c r="S2228" s="73">
        <f>IF(B2228="",0,P2228*R2228)</f>
        <v>0.69966861795864576</v>
      </c>
      <c r="T2228" s="85">
        <f>IF(B2228="",0,IF(OR(H2228=MappingTables!$C$34,H2228=MappingTables!$C$35),S2228,0))</f>
        <v>0</v>
      </c>
    </row>
    <row r="2229" spans="2:20" s="0" customFormat="0" ht="15">
      <c r="B2229" s="69" t="s">
        <v>3523</v>
      </c>
      <c r="C2229" s="70" t="s">
        <v>3524</v>
      </c>
      <c r="D2229" s="70" t="s">
        <v>1</v>
      </c>
      <c r="E2229" s="70" t="s">
        <v>1</v>
      </c>
      <c r="F2229" s="70"/>
      <c r="G2229" s="70" t="s">
        <v>61</v>
      </c>
      <c r="H2229" s="70" t="s">
        <v>178</v>
      </c>
      <c r="I2229" s="70" t="s">
        <v>198</v>
      </c>
      <c r="J2229" s="71" t="str">
        <f>IF(OR(I2229=0,I2229=""),"unrated",VLOOKUP(I2229,MappingTables!$B$19:$C$31,2,FALSE))</f>
        <v>unrated</v>
      </c>
      <c r="K2229" s="72">
        <v>203.83502973578844</v>
      </c>
      <c r="L2229" s="70">
        <v>14.83732864087453</v>
      </c>
      <c r="M2229" s="71">
        <f>IF(L2229&lt;1,1,L2229)</f>
        <v>14.83732864087453</v>
      </c>
      <c r="N2229" s="70" t="s">
        <v>3288</v>
      </c>
      <c r="O2229" s="71">
        <f>IF(OR(I2229=$A$1,I2229=0),"",IF(N2229=MappingTables!$C$14,VLOOKUP(J2229,ModelParameters!$M$8:$N$15,2,FALSE),IF(N2229=MappingTables!$C$16,VLOOKUP(J2229,ModelParameters!$P$8:$Q$15,2,FALSE),0)))</f>
        <v>1</v>
      </c>
      <c r="P2229" s="73">
        <f>IF(OR(I2229=0,I2229=$A$1),0,MIN(O2229*M2229,1)*K2229)</f>
        <v>203.83502973578844</v>
      </c>
      <c r="Q2229" s="73">
        <f>IF(B2229="",0,IF(OR(H2229=MappingTables!$C$34,H2229=MappingTables!$C$35),P2229,0))</f>
        <v>0</v>
      </c>
      <c r="R2229" s="73">
        <f>IF(ISNA(IF(AND(VLOOKUP(CONCATENATE($D2229,$G2229),CSRFinput!$B:$E,4,0)=0,OR(H2229=MappingTables!$C$31,H2229=MappingTables!$C$32)),1,VLOOKUP(CONCATENATE($D2229,$G2229),CSRFinput!$B:$E,4,0))),0,IF(AND(VLOOKUP(CONCATENATE($D2229,$G2229),CSRFinput!$B:$E,4,0)=0,OR(H2229=MappingTables!$C$31,H2229=MappingTables!$C$32)),1,VLOOKUP(CONCATENATE($D2229,$G2229),CSRFinput!$B:$E,4,0)))</f>
        <v>0.054776304963434752</v>
      </c>
      <c r="S2229" s="73">
        <f>IF(B2229="",0,P2229*R2229)</f>
        <v>11.165329751038338</v>
      </c>
      <c r="T2229" s="85">
        <f>IF(B2229="",0,IF(OR(H2229=MappingTables!$C$34,H2229=MappingTables!$C$35),S2229,0))</f>
        <v>0</v>
      </c>
    </row>
    <row r="2230" spans="2:20" s="0" customFormat="0" ht="15">
      <c r="B2230" s="69" t="s">
        <v>4106</v>
      </c>
      <c r="C2230" s="70" t="s">
        <v>4107</v>
      </c>
      <c r="D2230" s="70" t="s">
        <v>1</v>
      </c>
      <c r="E2230" s="70" t="s">
        <v>1</v>
      </c>
      <c r="F2230" s="70"/>
      <c r="G2230" s="70" t="s">
        <v>61</v>
      </c>
      <c r="H2230" s="70" t="s">
        <v>178</v>
      </c>
      <c r="I2230" s="70" t="s">
        <v>184</v>
      </c>
      <c r="J2230" s="71">
        <f>IF(OR(I2230=0,I2230=""),"unrated",VLOOKUP(I2230,MappingTables!$B$19:$C$31,2,FALSE))</f>
        <v>5</v>
      </c>
      <c r="K2230" s="72">
        <v>291.2238196553464</v>
      </c>
      <c r="L2230" s="70">
        <v>0.06849082808945224</v>
      </c>
      <c r="M2230" s="71">
        <f>IF(L2230&lt;1,1,L2230)</f>
        <v>1</v>
      </c>
      <c r="N2230" s="70" t="s">
        <v>3288</v>
      </c>
      <c r="O2230" s="71">
        <f>IF(OR(I2230=$A$1,I2230=0),"",IF(N2230=MappingTables!$C$14,VLOOKUP(J2230,ModelParameters!$M$8:$N$15,2,FALSE),IF(N2230=MappingTables!$C$16,VLOOKUP(J2230,ModelParameters!$P$8:$Q$15,2,FALSE),0)))</f>
        <v>1</v>
      </c>
      <c r="P2230" s="73">
        <f>IF(OR(I2230=0,I2230=$A$1),0,MIN(O2230*M2230,1)*K2230)</f>
        <v>291.2238196553464</v>
      </c>
      <c r="Q2230" s="73">
        <f>IF(B2230="",0,IF(OR(H2230=MappingTables!$C$34,H2230=MappingTables!$C$35),P2230,0))</f>
        <v>0</v>
      </c>
      <c r="R2230" s="73">
        <f>IF(ISNA(IF(AND(VLOOKUP(CONCATENATE($D2230,$G2230),CSRFinput!$B:$E,4,0)=0,OR(H2230=MappingTables!$C$31,H2230=MappingTables!$C$32)),1,VLOOKUP(CONCATENATE($D2230,$G2230),CSRFinput!$B:$E,4,0))),0,IF(AND(VLOOKUP(CONCATENATE($D2230,$G2230),CSRFinput!$B:$E,4,0)=0,OR(H2230=MappingTables!$C$31,H2230=MappingTables!$C$32)),1,VLOOKUP(CONCATENATE($D2230,$G2230),CSRFinput!$B:$E,4,0)))</f>
        <v>0.054776304963434752</v>
      </c>
      <c r="S2230" s="73">
        <f>IF(B2230="",0,P2230*R2230)</f>
        <v>15.95216475805758</v>
      </c>
      <c r="T2230" s="85">
        <f>IF(B2230="",0,IF(OR(H2230=MappingTables!$C$34,H2230=MappingTables!$C$35),S2230,0))</f>
        <v>0</v>
      </c>
    </row>
    <row r="2231" spans="2:20" s="0" customFormat="0" ht="15">
      <c r="B2231" s="69" t="s">
        <v>4461</v>
      </c>
      <c r="C2231" s="70" t="s">
        <v>4462</v>
      </c>
      <c r="D2231" s="70" t="s">
        <v>1</v>
      </c>
      <c r="E2231" s="70" t="s">
        <v>1</v>
      </c>
      <c r="F2231" s="70"/>
      <c r="G2231" s="70" t="s">
        <v>61</v>
      </c>
      <c r="H2231" s="70" t="s">
        <v>178</v>
      </c>
      <c r="I2231" s="70" t="s">
        <v>198</v>
      </c>
      <c r="J2231" s="71" t="str">
        <f>IF(OR(I2231=0,I2231=""),"unrated",VLOOKUP(I2231,MappingTables!$B$19:$C$31,2,FALSE))</f>
        <v>unrated</v>
      </c>
      <c r="K2231" s="72">
        <v>3.3121196250156552</v>
      </c>
      <c r="L2231" s="70">
        <v>30.413473516718996</v>
      </c>
      <c r="M2231" s="71">
        <f>IF(L2231&lt;1,1,L2231)</f>
        <v>30.413473516718996</v>
      </c>
      <c r="N2231" s="70" t="s">
        <v>3288</v>
      </c>
      <c r="O2231" s="71">
        <f>IF(OR(I2231=$A$1,I2231=0),"",IF(N2231=MappingTables!$C$14,VLOOKUP(J2231,ModelParameters!$M$8:$N$15,2,FALSE),IF(N2231=MappingTables!$C$16,VLOOKUP(J2231,ModelParameters!$P$8:$Q$15,2,FALSE),0)))</f>
        <v>1</v>
      </c>
      <c r="P2231" s="73">
        <f>IF(OR(I2231=0,I2231=$A$1),0,MIN(O2231*M2231,1)*K2231)</f>
        <v>3.3121196250156552</v>
      </c>
      <c r="Q2231" s="73">
        <f>IF(B2231="",0,IF(OR(H2231=MappingTables!$C$34,H2231=MappingTables!$C$35),P2231,0))</f>
        <v>0</v>
      </c>
      <c r="R2231" s="73">
        <f>IF(ISNA(IF(AND(VLOOKUP(CONCATENATE($D2231,$G2231),CSRFinput!$B:$E,4,0)=0,OR(H2231=MappingTables!$C$31,H2231=MappingTables!$C$32)),1,VLOOKUP(CONCATENATE($D2231,$G2231),CSRFinput!$B:$E,4,0))),0,IF(AND(VLOOKUP(CONCATENATE($D2231,$G2231),CSRFinput!$B:$E,4,0)=0,OR(H2231=MappingTables!$C$31,H2231=MappingTables!$C$32)),1,VLOOKUP(CONCATENATE($D2231,$G2231),CSRFinput!$B:$E,4,0)))</f>
        <v>0.054776304963434752</v>
      </c>
      <c r="S2231" s="73">
        <f>IF(B2231="",0,P2231*R2231)</f>
        <v>0.18142567465523468</v>
      </c>
      <c r="T2231" s="85">
        <f>IF(B2231="",0,IF(OR(H2231=MappingTables!$C$34,H2231=MappingTables!$C$35),S2231,0))</f>
        <v>0</v>
      </c>
    </row>
    <row r="2232" spans="2:20" s="0" customFormat="0" ht="15">
      <c r="B2232" s="69" t="s">
        <v>5228</v>
      </c>
      <c r="C2232" s="70" t="s">
        <v>5229</v>
      </c>
      <c r="D2232" s="70" t="s">
        <v>1</v>
      </c>
      <c r="E2232" s="70" t="s">
        <v>1</v>
      </c>
      <c r="F2232" s="70"/>
      <c r="G2232" s="70" t="s">
        <v>61</v>
      </c>
      <c r="H2232" s="70" t="s">
        <v>178</v>
      </c>
      <c r="I2232" s="70" t="s">
        <v>198</v>
      </c>
      <c r="J2232" s="71" t="str">
        <f>IF(OR(I2232=0,I2232=""),"unrated",VLOOKUP(I2232,MappingTables!$B$19:$C$31,2,FALSE))</f>
        <v>unrated</v>
      </c>
      <c r="K2232" s="72">
        <v>3.4925164626975064</v>
      </c>
      <c r="L2232" s="70">
        <v>0.068490452289548488</v>
      </c>
      <c r="M2232" s="71">
        <f>IF(L2232&lt;1,1,L2232)</f>
        <v>1</v>
      </c>
      <c r="N2232" s="70" t="s">
        <v>3288</v>
      </c>
      <c r="O2232" s="71">
        <f>IF(OR(I2232=$A$1,I2232=0),"",IF(N2232=MappingTables!$C$14,VLOOKUP(J2232,ModelParameters!$M$8:$N$15,2,FALSE),IF(N2232=MappingTables!$C$16,VLOOKUP(J2232,ModelParameters!$P$8:$Q$15,2,FALSE),0)))</f>
        <v>1</v>
      </c>
      <c r="P2232" s="73">
        <f>IF(OR(I2232=0,I2232=$A$1),0,MIN(O2232*M2232,1)*K2232)</f>
        <v>3.4925164626975064</v>
      </c>
      <c r="Q2232" s="73">
        <f>IF(B2232="",0,IF(OR(H2232=MappingTables!$C$34,H2232=MappingTables!$C$35),P2232,0))</f>
        <v>0</v>
      </c>
      <c r="R2232" s="73">
        <f>IF(ISNA(IF(AND(VLOOKUP(CONCATENATE($D2232,$G2232),CSRFinput!$B:$E,4,0)=0,OR(H2232=MappingTables!$C$31,H2232=MappingTables!$C$32)),1,VLOOKUP(CONCATENATE($D2232,$G2232),CSRFinput!$B:$E,4,0))),0,IF(AND(VLOOKUP(CONCATENATE($D2232,$G2232),CSRFinput!$B:$E,4,0)=0,OR(H2232=MappingTables!$C$31,H2232=MappingTables!$C$32)),1,VLOOKUP(CONCATENATE($D2232,$G2232),CSRFinput!$B:$E,4,0)))</f>
        <v>0.054776304963434752</v>
      </c>
      <c r="S2232" s="73">
        <f>IF(B2232="",0,P2232*R2232)</f>
        <v>0.191307146850535</v>
      </c>
      <c r="T2232" s="85">
        <f>IF(B2232="",0,IF(OR(H2232=MappingTables!$C$34,H2232=MappingTables!$C$35),S2232,0))</f>
        <v>0</v>
      </c>
    </row>
    <row r="2233" spans="2:20" s="0" customFormat="0" ht="15">
      <c r="B2233" s="69">
        <v>15086004</v>
      </c>
      <c r="C2233" s="70" t="s">
        <v>3763</v>
      </c>
      <c r="D2233" s="70" t="s">
        <v>1</v>
      </c>
      <c r="E2233" s="70" t="s">
        <v>1</v>
      </c>
      <c r="F2233" s="70"/>
      <c r="G2233" s="70" t="s">
        <v>61</v>
      </c>
      <c r="H2233" s="70" t="s">
        <v>178</v>
      </c>
      <c r="I2233" s="70" t="s">
        <v>181</v>
      </c>
      <c r="J2233" s="71">
        <f>IF(OR(I2233=0,I2233=""),"unrated",VLOOKUP(I2233,MappingTables!$B$19:$C$31,2,FALSE))</f>
        <v>3</v>
      </c>
      <c r="K2233" s="72">
        <v>6676.2327082322752</v>
      </c>
      <c r="L2233" s="70">
        <v>2.4182372592976556</v>
      </c>
      <c r="M2233" s="71">
        <f>IF(L2233&lt;1,1,L2233)</f>
        <v>2.4182372592976556</v>
      </c>
      <c r="N2233" s="70" t="s">
        <v>3288</v>
      </c>
      <c r="O2233" s="71">
        <f>IF(OR(I2233=$A$1,I2233=0),"",IF(N2233=MappingTables!$C$14,VLOOKUP(J2233,ModelParameters!$M$8:$N$15,2,FALSE),IF(N2233=MappingTables!$C$16,VLOOKUP(J2233,ModelParameters!$P$8:$Q$15,2,FALSE),0)))</f>
        <v>0.197</v>
      </c>
      <c r="P2233" s="73">
        <f>IF(OR(I2233=0,I2233=$A$1),0,MIN(O2233*M2233,1)*K2233)</f>
        <v>3180.5087932974292</v>
      </c>
      <c r="Q2233" s="73">
        <f>IF(B2233="",0,IF(OR(H2233=MappingTables!$C$34,H2233=MappingTables!$C$35),P2233,0))</f>
        <v>0</v>
      </c>
      <c r="R2233" s="73">
        <f>IF(ISNA(IF(AND(VLOOKUP(CONCATENATE($D2233,$G2233),CSRFinput!$B:$E,4,0)=0,OR(H2233=MappingTables!$C$31,H2233=MappingTables!$C$32)),1,VLOOKUP(CONCATENATE($D2233,$G2233),CSRFinput!$B:$E,4,0))),0,IF(AND(VLOOKUP(CONCATENATE($D2233,$G2233),CSRFinput!$B:$E,4,0)=0,OR(H2233=MappingTables!$C$31,H2233=MappingTables!$C$32)),1,VLOOKUP(CONCATENATE($D2233,$G2233),CSRFinput!$B:$E,4,0)))</f>
        <v>0.054776304963434752</v>
      </c>
      <c r="S2233" s="73">
        <f>IF(B2233="",0,P2233*R2233)</f>
        <v>174.21651960054586</v>
      </c>
      <c r="T2233" s="85">
        <f>IF(B2233="",0,IF(OR(H2233=MappingTables!$C$34,H2233=MappingTables!$C$35),S2233,0))</f>
        <v>0</v>
      </c>
    </row>
    <row r="2234" spans="2:20" s="0" customFormat="0" ht="15">
      <c r="B2234" s="69" t="s">
        <v>3750</v>
      </c>
      <c r="C2234" s="70" t="s">
        <v>3751</v>
      </c>
      <c r="D2234" s="70" t="s">
        <v>1</v>
      </c>
      <c r="E2234" s="70" t="s">
        <v>1</v>
      </c>
      <c r="F2234" s="70"/>
      <c r="G2234" s="70" t="s">
        <v>61</v>
      </c>
      <c r="H2234" s="70" t="s">
        <v>178</v>
      </c>
      <c r="I2234" s="70" t="s">
        <v>198</v>
      </c>
      <c r="J2234" s="71" t="str">
        <f>IF(OR(I2234=0,I2234=""),"unrated",VLOOKUP(I2234,MappingTables!$B$19:$C$31,2,FALSE))</f>
        <v>unrated</v>
      </c>
      <c r="K2234" s="72">
        <v>88.089098154237776</v>
      </c>
      <c r="L2234" s="70">
        <v>0.068491066199503192</v>
      </c>
      <c r="M2234" s="71">
        <f>IF(L2234&lt;1,1,L2234)</f>
        <v>1</v>
      </c>
      <c r="N2234" s="70" t="s">
        <v>3288</v>
      </c>
      <c r="O2234" s="71">
        <f>IF(OR(I2234=$A$1,I2234=0),"",IF(N2234=MappingTables!$C$14,VLOOKUP(J2234,ModelParameters!$M$8:$N$15,2,FALSE),IF(N2234=MappingTables!$C$16,VLOOKUP(J2234,ModelParameters!$P$8:$Q$15,2,FALSE),0)))</f>
        <v>1</v>
      </c>
      <c r="P2234" s="73">
        <f>IF(OR(I2234=0,I2234=$A$1),0,MIN(O2234*M2234,1)*K2234)</f>
        <v>88.089098154237776</v>
      </c>
      <c r="Q2234" s="73">
        <f>IF(B2234="",0,IF(OR(H2234=MappingTables!$C$34,H2234=MappingTables!$C$35),P2234,0))</f>
        <v>0</v>
      </c>
      <c r="R2234" s="73">
        <f>IF(ISNA(IF(AND(VLOOKUP(CONCATENATE($D2234,$G2234),CSRFinput!$B:$E,4,0)=0,OR(H2234=MappingTables!$C$31,H2234=MappingTables!$C$32)),1,VLOOKUP(CONCATENATE($D2234,$G2234),CSRFinput!$B:$E,4,0))),0,IF(AND(VLOOKUP(CONCATENATE($D2234,$G2234),CSRFinput!$B:$E,4,0)=0,OR(H2234=MappingTables!$C$31,H2234=MappingTables!$C$32)),1,VLOOKUP(CONCATENATE($D2234,$G2234),CSRFinput!$B:$E,4,0)))</f>
        <v>0.054776304963434752</v>
      </c>
      <c r="S2234" s="73">
        <f>IF(B2234="",0,P2234*R2234)</f>
        <v>4.8251953044504656</v>
      </c>
      <c r="T2234" s="85">
        <f>IF(B2234="",0,IF(OR(H2234=MappingTables!$C$34,H2234=MappingTables!$C$35),S2234,0))</f>
        <v>0</v>
      </c>
    </row>
    <row r="2235" spans="2:20" s="0" customFormat="0" ht="15">
      <c r="B2235" s="69" t="s">
        <v>5219</v>
      </c>
      <c r="C2235" s="70" t="s">
        <v>5220</v>
      </c>
      <c r="D2235" s="70" t="s">
        <v>1</v>
      </c>
      <c r="E2235" s="70" t="s">
        <v>1</v>
      </c>
      <c r="F2235" s="70"/>
      <c r="G2235" s="70" t="s">
        <v>61</v>
      </c>
      <c r="H2235" s="70" t="s">
        <v>178</v>
      </c>
      <c r="I2235" s="70" t="s">
        <v>204</v>
      </c>
      <c r="J2235" s="71">
        <f>IF(OR(I2235=0,I2235=""),"unrated",VLOOKUP(I2235,MappingTables!$B$19:$C$31,2,FALSE))</f>
        <v>6</v>
      </c>
      <c r="K2235" s="72">
        <v>35.098092883621896</v>
      </c>
      <c r="L2235" s="70">
        <v>0.068492473649312848</v>
      </c>
      <c r="M2235" s="71">
        <f>IF(L2235&lt;1,1,L2235)</f>
        <v>1</v>
      </c>
      <c r="N2235" s="70" t="s">
        <v>3288</v>
      </c>
      <c r="O2235" s="71">
        <f>IF(OR(I2235=$A$1,I2235=0),"",IF(N2235=MappingTables!$C$14,VLOOKUP(J2235,ModelParameters!$M$8:$N$15,2,FALSE),IF(N2235=MappingTables!$C$16,VLOOKUP(J2235,ModelParameters!$P$8:$Q$15,2,FALSE),0)))</f>
        <v>1</v>
      </c>
      <c r="P2235" s="73">
        <f>IF(OR(I2235=0,I2235=$A$1),0,MIN(O2235*M2235,1)*K2235)</f>
        <v>35.098092883621896</v>
      </c>
      <c r="Q2235" s="73">
        <f>IF(B2235="",0,IF(OR(H2235=MappingTables!$C$34,H2235=MappingTables!$C$35),P2235,0))</f>
        <v>0</v>
      </c>
      <c r="R2235" s="73">
        <f>IF(ISNA(IF(AND(VLOOKUP(CONCATENATE($D2235,$G2235),CSRFinput!$B:$E,4,0)=0,OR(H2235=MappingTables!$C$31,H2235=MappingTables!$C$32)),1,VLOOKUP(CONCATENATE($D2235,$G2235),CSRFinput!$B:$E,4,0))),0,IF(AND(VLOOKUP(CONCATENATE($D2235,$G2235),CSRFinput!$B:$E,4,0)=0,OR(H2235=MappingTables!$C$31,H2235=MappingTables!$C$32)),1,VLOOKUP(CONCATENATE($D2235,$G2235),CSRFinput!$B:$E,4,0)))</f>
        <v>0.054776304963434752</v>
      </c>
      <c r="S2235" s="73">
        <f>IF(B2235="",0,P2235*R2235)</f>
        <v>1.922543839428232</v>
      </c>
      <c r="T2235" s="85">
        <f>IF(B2235="",0,IF(OR(H2235=MappingTables!$C$34,H2235=MappingTables!$C$35),S2235,0))</f>
        <v>0</v>
      </c>
    </row>
    <row r="2236" spans="2:20" s="0" customFormat="0" ht="15">
      <c r="B2236" s="69">
        <v>16974061</v>
      </c>
      <c r="C2236" s="70" t="s">
        <v>5249</v>
      </c>
      <c r="D2236" s="70" t="s">
        <v>1</v>
      </c>
      <c r="E2236" s="70" t="s">
        <v>1</v>
      </c>
      <c r="F2236" s="70"/>
      <c r="G2236" s="70" t="s">
        <v>61</v>
      </c>
      <c r="H2236" s="70" t="s">
        <v>178</v>
      </c>
      <c r="I2236" s="70" t="s">
        <v>198</v>
      </c>
      <c r="J2236" s="71" t="str">
        <f>IF(OR(I2236=0,I2236=""),"unrated",VLOOKUP(I2236,MappingTables!$B$19:$C$31,2,FALSE))</f>
        <v>unrated</v>
      </c>
      <c r="K2236" s="72">
        <v>2.447888495186578</v>
      </c>
      <c r="L2236" s="70">
        <v>0.03216540120779808</v>
      </c>
      <c r="M2236" s="71">
        <f>IF(L2236&lt;1,1,L2236)</f>
        <v>1</v>
      </c>
      <c r="N2236" s="70" t="s">
        <v>3288</v>
      </c>
      <c r="O2236" s="71">
        <f>IF(OR(I2236=$A$1,I2236=0),"",IF(N2236=MappingTables!$C$14,VLOOKUP(J2236,ModelParameters!$M$8:$N$15,2,FALSE),IF(N2236=MappingTables!$C$16,VLOOKUP(J2236,ModelParameters!$P$8:$Q$15,2,FALSE),0)))</f>
        <v>1</v>
      </c>
      <c r="P2236" s="73">
        <f>IF(OR(I2236=0,I2236=$A$1),0,MIN(O2236*M2236,1)*K2236)</f>
        <v>2.447888495186578</v>
      </c>
      <c r="Q2236" s="73">
        <f>IF(B2236="",0,IF(OR(H2236=MappingTables!$C$34,H2236=MappingTables!$C$35),P2236,0))</f>
        <v>0</v>
      </c>
      <c r="R2236" s="73">
        <f>IF(ISNA(IF(AND(VLOOKUP(CONCATENATE($D2236,$G2236),CSRFinput!$B:$E,4,0)=0,OR(H2236=MappingTables!$C$31,H2236=MappingTables!$C$32)),1,VLOOKUP(CONCATENATE($D2236,$G2236),CSRFinput!$B:$E,4,0))),0,IF(AND(VLOOKUP(CONCATENATE($D2236,$G2236),CSRFinput!$B:$E,4,0)=0,OR(H2236=MappingTables!$C$31,H2236=MappingTables!$C$32)),1,VLOOKUP(CONCATENATE($D2236,$G2236),CSRFinput!$B:$E,4,0)))</f>
        <v>0.054776304963434752</v>
      </c>
      <c r="S2236" s="73">
        <f>IF(B2236="",0,P2236*R2236)</f>
        <v>0.13408628672882336</v>
      </c>
      <c r="T2236" s="85">
        <f>IF(B2236="",0,IF(OR(H2236=MappingTables!$C$34,H2236=MappingTables!$C$35),S2236,0))</f>
        <v>0</v>
      </c>
    </row>
    <row r="2237" spans="2:20" s="0" customFormat="0" ht="15">
      <c r="B2237" s="69" t="s">
        <v>3982</v>
      </c>
      <c r="C2237" s="70" t="s">
        <v>3983</v>
      </c>
      <c r="D2237" s="70" t="s">
        <v>1</v>
      </c>
      <c r="E2237" s="70" t="s">
        <v>1</v>
      </c>
      <c r="F2237" s="70"/>
      <c r="G2237" s="70" t="s">
        <v>61</v>
      </c>
      <c r="H2237" s="70" t="s">
        <v>178</v>
      </c>
      <c r="I2237" s="70" t="s">
        <v>179</v>
      </c>
      <c r="J2237" s="71">
        <f>IF(OR(I2237=0,I2237=""),"unrated",VLOOKUP(I2237,MappingTables!$B$19:$C$31,2,FALSE))</f>
        <v>4</v>
      </c>
      <c r="K2237" s="72">
        <v>124.47555371988522</v>
      </c>
      <c r="L2237" s="70">
        <v>0.06849388198183068</v>
      </c>
      <c r="M2237" s="71">
        <f>IF(L2237&lt;1,1,L2237)</f>
        <v>1</v>
      </c>
      <c r="N2237" s="70" t="s">
        <v>3288</v>
      </c>
      <c r="O2237" s="71">
        <f>IF(OR(I2237=$A$1,I2237=0),"",IF(N2237=MappingTables!$C$14,VLOOKUP(J2237,ModelParameters!$M$8:$N$15,2,FALSE),IF(N2237=MappingTables!$C$16,VLOOKUP(J2237,ModelParameters!$P$8:$Q$15,2,FALSE),0)))</f>
        <v>0.82</v>
      </c>
      <c r="P2237" s="73">
        <f>IF(OR(I2237=0,I2237=$A$1),0,MIN(O2237*M2237,1)*K2237)</f>
        <v>102.06995405030588</v>
      </c>
      <c r="Q2237" s="73">
        <f>IF(B2237="",0,IF(OR(H2237=MappingTables!$C$34,H2237=MappingTables!$C$35),P2237,0))</f>
        <v>0</v>
      </c>
      <c r="R2237" s="73">
        <f>IF(ISNA(IF(AND(VLOOKUP(CONCATENATE($D2237,$G2237),CSRFinput!$B:$E,4,0)=0,OR(H2237=MappingTables!$C$31,H2237=MappingTables!$C$32)),1,VLOOKUP(CONCATENATE($D2237,$G2237),CSRFinput!$B:$E,4,0))),0,IF(AND(VLOOKUP(CONCATENATE($D2237,$G2237),CSRFinput!$B:$E,4,0)=0,OR(H2237=MappingTables!$C$31,H2237=MappingTables!$C$32)),1,VLOOKUP(CONCATENATE($D2237,$G2237),CSRFinput!$B:$E,4,0)))</f>
        <v>0.054776304963434752</v>
      </c>
      <c r="S2237" s="73">
        <f>IF(B2237="",0,P2237*R2237)</f>
        <v>5.5910149306633272</v>
      </c>
      <c r="T2237" s="85">
        <f>IF(B2237="",0,IF(OR(H2237=MappingTables!$C$34,H2237=MappingTables!$C$35),S2237,0))</f>
        <v>0</v>
      </c>
    </row>
    <row r="2238" spans="2:20" s="0" customFormat="0" ht="15">
      <c r="B2238" s="69" t="s">
        <v>5241</v>
      </c>
      <c r="C2238" s="70" t="s">
        <v>5242</v>
      </c>
      <c r="D2238" s="70" t="s">
        <v>1</v>
      </c>
      <c r="E2238" s="70" t="s">
        <v>1</v>
      </c>
      <c r="F2238" s="70"/>
      <c r="G2238" s="70" t="s">
        <v>61</v>
      </c>
      <c r="H2238" s="70" t="s">
        <v>178</v>
      </c>
      <c r="I2238" s="70" t="s">
        <v>198</v>
      </c>
      <c r="J2238" s="71" t="str">
        <f>IF(OR(I2238=0,I2238=""),"unrated",VLOOKUP(I2238,MappingTables!$B$19:$C$31,2,FALSE))</f>
        <v>unrated</v>
      </c>
      <c r="K2238" s="72">
        <v>311.62515229474108</v>
      </c>
      <c r="L2238" s="70">
        <v>0.068496229873160464</v>
      </c>
      <c r="M2238" s="71">
        <f>IF(L2238&lt;1,1,L2238)</f>
        <v>1</v>
      </c>
      <c r="N2238" s="70" t="s">
        <v>3288</v>
      </c>
      <c r="O2238" s="71">
        <f>IF(OR(I2238=$A$1,I2238=0),"",IF(N2238=MappingTables!$C$14,VLOOKUP(J2238,ModelParameters!$M$8:$N$15,2,FALSE),IF(N2238=MappingTables!$C$16,VLOOKUP(J2238,ModelParameters!$P$8:$Q$15,2,FALSE),0)))</f>
        <v>1</v>
      </c>
      <c r="P2238" s="73">
        <f>IF(OR(I2238=0,I2238=$A$1),0,MIN(O2238*M2238,1)*K2238)</f>
        <v>311.62515229474108</v>
      </c>
      <c r="Q2238" s="73">
        <f>IF(B2238="",0,IF(OR(H2238=MappingTables!$C$34,H2238=MappingTables!$C$35),P2238,0))</f>
        <v>0</v>
      </c>
      <c r="R2238" s="73">
        <f>IF(ISNA(IF(AND(VLOOKUP(CONCATENATE($D2238,$G2238),CSRFinput!$B:$E,4,0)=0,OR(H2238=MappingTables!$C$31,H2238=MappingTables!$C$32)),1,VLOOKUP(CONCATENATE($D2238,$G2238),CSRFinput!$B:$E,4,0))),0,IF(AND(VLOOKUP(CONCATENATE($D2238,$G2238),CSRFinput!$B:$E,4,0)=0,OR(H2238=MappingTables!$C$31,H2238=MappingTables!$C$32)),1,VLOOKUP(CONCATENATE($D2238,$G2238),CSRFinput!$B:$E,4,0)))</f>
        <v>0.054776304963434752</v>
      </c>
      <c r="S2238" s="73">
        <f>IF(B2238="",0,P2238*R2238)</f>
        <v>17.069674376373538</v>
      </c>
      <c r="T2238" s="85">
        <f>IF(B2238="",0,IF(OR(H2238=MappingTables!$C$34,H2238=MappingTables!$C$35),S2238,0))</f>
        <v>0</v>
      </c>
    </row>
    <row r="2239" spans="2:20" s="0" customFormat="0" ht="15">
      <c r="B2239" s="69" t="s">
        <v>5215</v>
      </c>
      <c r="C2239" s="70" t="s">
        <v>5216</v>
      </c>
      <c r="D2239" s="70" t="s">
        <v>1</v>
      </c>
      <c r="E2239" s="70" t="s">
        <v>1</v>
      </c>
      <c r="F2239" s="70"/>
      <c r="G2239" s="70" t="s">
        <v>61</v>
      </c>
      <c r="H2239" s="70" t="s">
        <v>178</v>
      </c>
      <c r="I2239" s="70" t="s">
        <v>198</v>
      </c>
      <c r="J2239" s="71" t="str">
        <f>IF(OR(I2239=0,I2239=""),"unrated",VLOOKUP(I2239,MappingTables!$B$19:$C$31,2,FALSE))</f>
        <v>unrated</v>
      </c>
      <c r="K2239" s="72">
        <v>109.52729322125744</v>
      </c>
      <c r="L2239" s="70">
        <v>0.068490610179502144</v>
      </c>
      <c r="M2239" s="71">
        <f>IF(L2239&lt;1,1,L2239)</f>
        <v>1</v>
      </c>
      <c r="N2239" s="70" t="s">
        <v>3288</v>
      </c>
      <c r="O2239" s="71">
        <f>IF(OR(I2239=$A$1,I2239=0),"",IF(N2239=MappingTables!$C$14,VLOOKUP(J2239,ModelParameters!$M$8:$N$15,2,FALSE),IF(N2239=MappingTables!$C$16,VLOOKUP(J2239,ModelParameters!$P$8:$Q$15,2,FALSE),0)))</f>
        <v>1</v>
      </c>
      <c r="P2239" s="73">
        <f>IF(OR(I2239=0,I2239=$A$1),0,MIN(O2239*M2239,1)*K2239)</f>
        <v>109.52729322125744</v>
      </c>
      <c r="Q2239" s="73">
        <f>IF(B2239="",0,IF(OR(H2239=MappingTables!$C$34,H2239=MappingTables!$C$35),P2239,0))</f>
        <v>0</v>
      </c>
      <c r="R2239" s="73">
        <f>IF(ISNA(IF(AND(VLOOKUP(CONCATENATE($D2239,$G2239),CSRFinput!$B:$E,4,0)=0,OR(H2239=MappingTables!$C$31,H2239=MappingTables!$C$32)),1,VLOOKUP(CONCATENATE($D2239,$G2239),CSRFinput!$B:$E,4,0))),0,IF(AND(VLOOKUP(CONCATENATE($D2239,$G2239),CSRFinput!$B:$E,4,0)=0,OR(H2239=MappingTables!$C$31,H2239=MappingTables!$C$32)),1,VLOOKUP(CONCATENATE($D2239,$G2239),CSRFinput!$B:$E,4,0)))</f>
        <v>0.054776304963434752</v>
      </c>
      <c r="S2239" s="73">
        <f>IF(B2239="",0,P2239*R2239)</f>
        <v>5.9995004153071376</v>
      </c>
      <c r="T2239" s="85">
        <f>IF(B2239="",0,IF(OR(H2239=MappingTables!$C$34,H2239=MappingTables!$C$35),S2239,0))</f>
        <v>0</v>
      </c>
    </row>
    <row r="2240" spans="2:20" s="0" customFormat="0" ht="15">
      <c r="B2240" s="69">
        <v>4797555</v>
      </c>
      <c r="C2240" s="70" t="s">
        <v>5203</v>
      </c>
      <c r="D2240" s="70" t="s">
        <v>1</v>
      </c>
      <c r="E2240" s="70" t="s">
        <v>1</v>
      </c>
      <c r="F2240" s="70"/>
      <c r="G2240" s="70" t="s">
        <v>61</v>
      </c>
      <c r="H2240" s="70" t="s">
        <v>178</v>
      </c>
      <c r="I2240" s="70" t="s">
        <v>216</v>
      </c>
      <c r="J2240" s="71">
        <f>IF(OR(I2240=0,I2240=""),"unrated",VLOOKUP(I2240,MappingTables!$B$19:$C$31,2,FALSE))</f>
        <v>0</v>
      </c>
      <c r="K2240" s="72">
        <v>0.94600480164165424</v>
      </c>
      <c r="L2240" s="70">
        <v>0.0055368992320640048</v>
      </c>
      <c r="M2240" s="71">
        <f>IF(L2240&lt;1,1,L2240)</f>
        <v>1</v>
      </c>
      <c r="N2240" s="70" t="s">
        <v>3288</v>
      </c>
      <c r="O2240" s="71">
        <f>IF(OR(I2240=$A$1,I2240=0),"",IF(N2240=MappingTables!$C$14,VLOOKUP(J2240,ModelParameters!$M$8:$N$15,2,FALSE),IF(N2240=MappingTables!$C$16,VLOOKUP(J2240,ModelParameters!$P$8:$Q$15,2,FALSE),0)))</f>
        <v>0.125</v>
      </c>
      <c r="P2240" s="73">
        <f>IF(OR(I2240=0,I2240=$A$1),0,MIN(O2240*M2240,1)*K2240)</f>
        <v>0.11825060020520678</v>
      </c>
      <c r="Q2240" s="73">
        <f>IF(B2240="",0,IF(OR(H2240=MappingTables!$C$34,H2240=MappingTables!$C$35),P2240,0))</f>
        <v>0</v>
      </c>
      <c r="R2240" s="73">
        <f>IF(ISNA(IF(AND(VLOOKUP(CONCATENATE($D2240,$G2240),CSRFinput!$B:$E,4,0)=0,OR(H2240=MappingTables!$C$31,H2240=MappingTables!$C$32)),1,VLOOKUP(CONCATENATE($D2240,$G2240),CSRFinput!$B:$E,4,0))),0,IF(AND(VLOOKUP(CONCATENATE($D2240,$G2240),CSRFinput!$B:$E,4,0)=0,OR(H2240=MappingTables!$C$31,H2240=MappingTables!$C$32)),1,VLOOKUP(CONCATENATE($D2240,$G2240),CSRFinput!$B:$E,4,0)))</f>
        <v>0.054776304963434752</v>
      </c>
      <c r="S2240" s="73">
        <f>IF(B2240="",0,P2240*R2240)</f>
        <v>0.0064773309389496072</v>
      </c>
      <c r="T2240" s="85">
        <f>IF(B2240="",0,IF(OR(H2240=MappingTables!$C$34,H2240=MappingTables!$C$35),S2240,0))</f>
        <v>0</v>
      </c>
    </row>
    <row r="2241" spans="2:20" s="0" customFormat="0" ht="15">
      <c r="B2241" s="69" t="s">
        <v>5225</v>
      </c>
      <c r="C2241" s="70" t="s">
        <v>5226</v>
      </c>
      <c r="D2241" s="70" t="s">
        <v>1</v>
      </c>
      <c r="E2241" s="70" t="s">
        <v>1</v>
      </c>
      <c r="F2241" s="70"/>
      <c r="G2241" s="70" t="s">
        <v>61</v>
      </c>
      <c r="H2241" s="70" t="s">
        <v>178</v>
      </c>
      <c r="I2241" s="70" t="s">
        <v>198</v>
      </c>
      <c r="J2241" s="71" t="str">
        <f>IF(OR(I2241=0,I2241=""),"unrated",VLOOKUP(I2241,MappingTables!$B$19:$C$31,2,FALSE))</f>
        <v>unrated</v>
      </c>
      <c r="K2241" s="72">
        <v>1080.0414013999678</v>
      </c>
      <c r="L2241" s="70">
        <v>3.792690875128512</v>
      </c>
      <c r="M2241" s="71">
        <f>IF(L2241&lt;1,1,L2241)</f>
        <v>3.792690875128512</v>
      </c>
      <c r="N2241" s="70" t="s">
        <v>3288</v>
      </c>
      <c r="O2241" s="71">
        <f>IF(OR(I2241=$A$1,I2241=0),"",IF(N2241=MappingTables!$C$14,VLOOKUP(J2241,ModelParameters!$M$8:$N$15,2,FALSE),IF(N2241=MappingTables!$C$16,VLOOKUP(J2241,ModelParameters!$P$8:$Q$15,2,FALSE),0)))</f>
        <v>1</v>
      </c>
      <c r="P2241" s="73">
        <f>IF(OR(I2241=0,I2241=$A$1),0,MIN(O2241*M2241,1)*K2241)</f>
        <v>1080.0414013999678</v>
      </c>
      <c r="Q2241" s="73">
        <f>IF(B2241="",0,IF(OR(H2241=MappingTables!$C$34,H2241=MappingTables!$C$35),P2241,0))</f>
        <v>0</v>
      </c>
      <c r="R2241" s="73">
        <f>IF(ISNA(IF(AND(VLOOKUP(CONCATENATE($D2241,$G2241),CSRFinput!$B:$E,4,0)=0,OR(H2241=MappingTables!$C$31,H2241=MappingTables!$C$32)),1,VLOOKUP(CONCATENATE($D2241,$G2241),CSRFinput!$B:$E,4,0))),0,IF(AND(VLOOKUP(CONCATENATE($D2241,$G2241),CSRFinput!$B:$E,4,0)=0,OR(H2241=MappingTables!$C$31,H2241=MappingTables!$C$32)),1,VLOOKUP(CONCATENATE($D2241,$G2241),CSRFinput!$B:$E,4,0)))</f>
        <v>0.054776304963434752</v>
      </c>
      <c r="S2241" s="73">
        <f>IF(B2241="",0,P2241*R2241)</f>
        <v>59.16067717622008</v>
      </c>
      <c r="T2241" s="85">
        <f>IF(B2241="",0,IF(OR(H2241=MappingTables!$C$34,H2241=MappingTables!$C$35),S2241,0))</f>
        <v>0</v>
      </c>
    </row>
    <row r="2242" spans="2:20" s="0" customFormat="0" ht="15">
      <c r="B2242" s="69" t="s">
        <v>5234</v>
      </c>
      <c r="C2242" s="70" t="s">
        <v>5235</v>
      </c>
      <c r="D2242" s="70" t="s">
        <v>1</v>
      </c>
      <c r="E2242" s="70" t="s">
        <v>1</v>
      </c>
      <c r="F2242" s="70"/>
      <c r="G2242" s="70" t="s">
        <v>61</v>
      </c>
      <c r="H2242" s="70" t="s">
        <v>178</v>
      </c>
      <c r="I2242" s="70" t="s">
        <v>216</v>
      </c>
      <c r="J2242" s="71">
        <f>IF(OR(I2242=0,I2242=""),"unrated",VLOOKUP(I2242,MappingTables!$B$19:$C$31,2,FALSE))</f>
        <v>0</v>
      </c>
      <c r="K2242" s="72">
        <v>251.88429973664852</v>
      </c>
      <c r="L2242" s="70">
        <v>0.48091359586020768</v>
      </c>
      <c r="M2242" s="71">
        <f>IF(L2242&lt;1,1,L2242)</f>
        <v>1</v>
      </c>
      <c r="N2242" s="70" t="s">
        <v>3288</v>
      </c>
      <c r="O2242" s="71">
        <f>IF(OR(I2242=$A$1,I2242=0),"",IF(N2242=MappingTables!$C$14,VLOOKUP(J2242,ModelParameters!$M$8:$N$15,2,FALSE),IF(N2242=MappingTables!$C$16,VLOOKUP(J2242,ModelParameters!$P$8:$Q$15,2,FALSE),0)))</f>
        <v>0.125</v>
      </c>
      <c r="P2242" s="73">
        <f>IF(OR(I2242=0,I2242=$A$1),0,MIN(O2242*M2242,1)*K2242)</f>
        <v>31.485537467081068</v>
      </c>
      <c r="Q2242" s="73">
        <f>IF(B2242="",0,IF(OR(H2242=MappingTables!$C$34,H2242=MappingTables!$C$35),P2242,0))</f>
        <v>0</v>
      </c>
      <c r="R2242" s="73">
        <f>IF(ISNA(IF(AND(VLOOKUP(CONCATENATE($D2242,$G2242),CSRFinput!$B:$E,4,0)=0,OR(H2242=MappingTables!$C$31,H2242=MappingTables!$C$32)),1,VLOOKUP(CONCATENATE($D2242,$G2242),CSRFinput!$B:$E,4,0))),0,IF(AND(VLOOKUP(CONCATENATE($D2242,$G2242),CSRFinput!$B:$E,4,0)=0,OR(H2242=MappingTables!$C$31,H2242=MappingTables!$C$32)),1,VLOOKUP(CONCATENATE($D2242,$G2242),CSRFinput!$B:$E,4,0)))</f>
        <v>0.054776304963434752</v>
      </c>
      <c r="S2242" s="73">
        <f>IF(B2242="",0,P2242*R2242)</f>
        <v>1.7246614022344834</v>
      </c>
      <c r="T2242" s="85">
        <f>IF(B2242="",0,IF(OR(H2242=MappingTables!$C$34,H2242=MappingTables!$C$35),S2242,0))</f>
        <v>0</v>
      </c>
    </row>
    <row r="2243" spans="2:20" s="0" customFormat="0" ht="15">
      <c r="B2243" s="69" t="s">
        <v>4961</v>
      </c>
      <c r="C2243" s="70" t="s">
        <v>4962</v>
      </c>
      <c r="D2243" s="70" t="s">
        <v>1</v>
      </c>
      <c r="E2243" s="70" t="s">
        <v>1</v>
      </c>
      <c r="F2243" s="70"/>
      <c r="G2243" s="70" t="s">
        <v>61</v>
      </c>
      <c r="H2243" s="70" t="s">
        <v>178</v>
      </c>
      <c r="I2243" s="70" t="s">
        <v>198</v>
      </c>
      <c r="J2243" s="71" t="str">
        <f>IF(OR(I2243=0,I2243=""),"unrated",VLOOKUP(I2243,MappingTables!$B$19:$C$31,2,FALSE))</f>
        <v>unrated</v>
      </c>
      <c r="K2243" s="72">
        <v>12.951083797421286</v>
      </c>
      <c r="L2243" s="70">
        <v>0.06848792921342656</v>
      </c>
      <c r="M2243" s="71">
        <f>IF(L2243&lt;1,1,L2243)</f>
        <v>1</v>
      </c>
      <c r="N2243" s="70" t="s">
        <v>3288</v>
      </c>
      <c r="O2243" s="71">
        <f>IF(OR(I2243=$A$1,I2243=0),"",IF(N2243=MappingTables!$C$14,VLOOKUP(J2243,ModelParameters!$M$8:$N$15,2,FALSE),IF(N2243=MappingTables!$C$16,VLOOKUP(J2243,ModelParameters!$P$8:$Q$15,2,FALSE),0)))</f>
        <v>1</v>
      </c>
      <c r="P2243" s="73">
        <f>IF(OR(I2243=0,I2243=$A$1),0,MIN(O2243*M2243,1)*K2243)</f>
        <v>12.951083797421286</v>
      </c>
      <c r="Q2243" s="73">
        <f>IF(B2243="",0,IF(OR(H2243=MappingTables!$C$34,H2243=MappingTables!$C$35),P2243,0))</f>
        <v>0</v>
      </c>
      <c r="R2243" s="73">
        <f>IF(ISNA(IF(AND(VLOOKUP(CONCATENATE($D2243,$G2243),CSRFinput!$B:$E,4,0)=0,OR(H2243=MappingTables!$C$31,H2243=MappingTables!$C$32)),1,VLOOKUP(CONCATENATE($D2243,$G2243),CSRFinput!$B:$E,4,0))),0,IF(AND(VLOOKUP(CONCATENATE($D2243,$G2243),CSRFinput!$B:$E,4,0)=0,OR(H2243=MappingTables!$C$31,H2243=MappingTables!$C$32)),1,VLOOKUP(CONCATENATE($D2243,$G2243),CSRFinput!$B:$E,4,0)))</f>
        <v>0.054776304963434752</v>
      </c>
      <c r="S2243" s="73">
        <f>IF(B2243="",0,P2243*R2243)</f>
        <v>0.70941251569454696</v>
      </c>
      <c r="T2243" s="85">
        <f>IF(B2243="",0,IF(OR(H2243=MappingTables!$C$34,H2243=MappingTables!$C$35),S2243,0))</f>
        <v>0</v>
      </c>
    </row>
    <row r="2244" spans="2:20" s="0" customFormat="0" ht="15">
      <c r="B2244" s="69" t="s">
        <v>5052</v>
      </c>
      <c r="C2244" s="70" t="s">
        <v>5053</v>
      </c>
      <c r="D2244" s="70" t="s">
        <v>1</v>
      </c>
      <c r="E2244" s="70" t="s">
        <v>1</v>
      </c>
      <c r="F2244" s="70"/>
      <c r="G2244" s="70" t="s">
        <v>61</v>
      </c>
      <c r="H2244" s="70" t="s">
        <v>178</v>
      </c>
      <c r="I2244" s="70" t="s">
        <v>198</v>
      </c>
      <c r="J2244" s="71" t="str">
        <f>IF(OR(I2244=0,I2244=""),"unrated",VLOOKUP(I2244,MappingTables!$B$19:$C$31,2,FALSE))</f>
        <v>unrated</v>
      </c>
      <c r="K2244" s="72">
        <v>639.3356561673908</v>
      </c>
      <c r="L2244" s="70">
        <v>0.63419728524141376</v>
      </c>
      <c r="M2244" s="71">
        <f>IF(L2244&lt;1,1,L2244)</f>
        <v>1</v>
      </c>
      <c r="N2244" s="70" t="s">
        <v>3288</v>
      </c>
      <c r="O2244" s="71">
        <f>IF(OR(I2244=$A$1,I2244=0),"",IF(N2244=MappingTables!$C$14,VLOOKUP(J2244,ModelParameters!$M$8:$N$15,2,FALSE),IF(N2244=MappingTables!$C$16,VLOOKUP(J2244,ModelParameters!$P$8:$Q$15,2,FALSE),0)))</f>
        <v>1</v>
      </c>
      <c r="P2244" s="73">
        <f>IF(OR(I2244=0,I2244=$A$1),0,MIN(O2244*M2244,1)*K2244)</f>
        <v>639.3356561673908</v>
      </c>
      <c r="Q2244" s="73">
        <f>IF(B2244="",0,IF(OR(H2244=MappingTables!$C$34,H2244=MappingTables!$C$35),P2244,0))</f>
        <v>0</v>
      </c>
      <c r="R2244" s="73">
        <f>IF(ISNA(IF(AND(VLOOKUP(CONCATENATE($D2244,$G2244),CSRFinput!$B:$E,4,0)=0,OR(H2244=MappingTables!$C$31,H2244=MappingTables!$C$32)),1,VLOOKUP(CONCATENATE($D2244,$G2244),CSRFinput!$B:$E,4,0))),0,IF(AND(VLOOKUP(CONCATENATE($D2244,$G2244),CSRFinput!$B:$E,4,0)=0,OR(H2244=MappingTables!$C$31,H2244=MappingTables!$C$32)),1,VLOOKUP(CONCATENATE($D2244,$G2244),CSRFinput!$B:$E,4,0)))</f>
        <v>0.054776304963434752</v>
      </c>
      <c r="S2244" s="73">
        <f>IF(B2244="",0,P2244*R2244)</f>
        <v>35.02044487622266</v>
      </c>
      <c r="T2244" s="85">
        <f>IF(B2244="",0,IF(OR(H2244=MappingTables!$C$34,H2244=MappingTables!$C$35),S2244,0))</f>
        <v>0</v>
      </c>
    </row>
    <row r="2245" spans="2:20" s="0" customFormat="0" ht="15">
      <c r="B2245" s="69" t="s">
        <v>3646</v>
      </c>
      <c r="C2245" s="70" t="s">
        <v>3647</v>
      </c>
      <c r="D2245" s="70" t="s">
        <v>1</v>
      </c>
      <c r="E2245" s="70" t="s">
        <v>1</v>
      </c>
      <c r="F2245" s="70"/>
      <c r="G2245" s="70" t="s">
        <v>61</v>
      </c>
      <c r="H2245" s="70" t="s">
        <v>178</v>
      </c>
      <c r="I2245" s="70" t="s">
        <v>204</v>
      </c>
      <c r="J2245" s="71">
        <f>IF(OR(I2245=0,I2245=""),"unrated",VLOOKUP(I2245,MappingTables!$B$19:$C$31,2,FALSE))</f>
        <v>6</v>
      </c>
      <c r="K2245" s="72">
        <v>1758.3183844747154</v>
      </c>
      <c r="L2245" s="70">
        <v>0.06849483072289252</v>
      </c>
      <c r="M2245" s="71">
        <f>IF(L2245&lt;1,1,L2245)</f>
        <v>1</v>
      </c>
      <c r="N2245" s="70" t="s">
        <v>3288</v>
      </c>
      <c r="O2245" s="71">
        <f>IF(OR(I2245=$A$1,I2245=0),"",IF(N2245=MappingTables!$C$14,VLOOKUP(J2245,ModelParameters!$M$8:$N$15,2,FALSE),IF(N2245=MappingTables!$C$16,VLOOKUP(J2245,ModelParameters!$P$8:$Q$15,2,FALSE),0)))</f>
        <v>1</v>
      </c>
      <c r="P2245" s="73">
        <f>IF(OR(I2245=0,I2245=$A$1),0,MIN(O2245*M2245,1)*K2245)</f>
        <v>1758.3183844747154</v>
      </c>
      <c r="Q2245" s="73">
        <f>IF(B2245="",0,IF(OR(H2245=MappingTables!$C$34,H2245=MappingTables!$C$35),P2245,0))</f>
        <v>0</v>
      </c>
      <c r="R2245" s="73">
        <f>IF(ISNA(IF(AND(VLOOKUP(CONCATENATE($D2245,$G2245),CSRFinput!$B:$E,4,0)=0,OR(H2245=MappingTables!$C$31,H2245=MappingTables!$C$32)),1,VLOOKUP(CONCATENATE($D2245,$G2245),CSRFinput!$B:$E,4,0))),0,IF(AND(VLOOKUP(CONCATENATE($D2245,$G2245),CSRFinput!$B:$E,4,0)=0,OR(H2245=MappingTables!$C$31,H2245=MappingTables!$C$32)),1,VLOOKUP(CONCATENATE($D2245,$G2245),CSRFinput!$B:$E,4,0)))</f>
        <v>0.054776304963434752</v>
      </c>
      <c r="S2245" s="73">
        <f>IF(B2245="",0,P2245*R2245)</f>
        <v>96.314184050800928</v>
      </c>
      <c r="T2245" s="85">
        <f>IF(B2245="",0,IF(OR(H2245=MappingTables!$C$34,H2245=MappingTables!$C$35),S2245,0))</f>
        <v>0</v>
      </c>
    </row>
    <row r="2246" spans="2:20" s="0" customFormat="0" ht="15">
      <c r="B2246" s="69" t="s">
        <v>5098</v>
      </c>
      <c r="C2246" s="70" t="s">
        <v>5099</v>
      </c>
      <c r="D2246" s="70" t="s">
        <v>1</v>
      </c>
      <c r="E2246" s="70" t="s">
        <v>1</v>
      </c>
      <c r="F2246" s="70"/>
      <c r="G2246" s="70" t="s">
        <v>61</v>
      </c>
      <c r="H2246" s="70" t="s">
        <v>178</v>
      </c>
      <c r="I2246" s="70" t="s">
        <v>181</v>
      </c>
      <c r="J2246" s="71">
        <f>IF(OR(I2246=0,I2246=""),"unrated",VLOOKUP(I2246,MappingTables!$B$19:$C$31,2,FALSE))</f>
        <v>3</v>
      </c>
      <c r="K2246" s="72">
        <v>27.968956661038664</v>
      </c>
      <c r="L2246" s="70">
        <v>0.068496448151304928</v>
      </c>
      <c r="M2246" s="71">
        <f>IF(L2246&lt;1,1,L2246)</f>
        <v>1</v>
      </c>
      <c r="N2246" s="70" t="s">
        <v>3288</v>
      </c>
      <c r="O2246" s="71">
        <f>IF(OR(I2246=$A$1,I2246=0),"",IF(N2246=MappingTables!$C$14,VLOOKUP(J2246,ModelParameters!$M$8:$N$15,2,FALSE),IF(N2246=MappingTables!$C$16,VLOOKUP(J2246,ModelParameters!$P$8:$Q$15,2,FALSE),0)))</f>
        <v>0.197</v>
      </c>
      <c r="P2246" s="73">
        <f>IF(OR(I2246=0,I2246=$A$1),0,MIN(O2246*M2246,1)*K2246)</f>
        <v>5.509884462224616</v>
      </c>
      <c r="Q2246" s="73">
        <f>IF(B2246="",0,IF(OR(H2246=MappingTables!$C$34,H2246=MappingTables!$C$35),P2246,0))</f>
        <v>0</v>
      </c>
      <c r="R2246" s="73">
        <f>IF(ISNA(IF(AND(VLOOKUP(CONCATENATE($D2246,$G2246),CSRFinput!$B:$E,4,0)=0,OR(H2246=MappingTables!$C$31,H2246=MappingTables!$C$32)),1,VLOOKUP(CONCATENATE($D2246,$G2246),CSRFinput!$B:$E,4,0))),0,IF(AND(VLOOKUP(CONCATENATE($D2246,$G2246),CSRFinput!$B:$E,4,0)=0,OR(H2246=MappingTables!$C$31,H2246=MappingTables!$C$32)),1,VLOOKUP(CONCATENATE($D2246,$G2246),CSRFinput!$B:$E,4,0)))</f>
        <v>0.054776304963434752</v>
      </c>
      <c r="S2246" s="73">
        <f>IF(B2246="",0,P2246*R2246)</f>
        <v>0.30181111161610628</v>
      </c>
      <c r="T2246" s="85">
        <f>IF(B2246="",0,IF(OR(H2246=MappingTables!$C$34,H2246=MappingTables!$C$35),S2246,0))</f>
        <v>0</v>
      </c>
    </row>
    <row r="2247" spans="2:20" s="0" customFormat="0" ht="15">
      <c r="B2247" s="69" t="s">
        <v>3642</v>
      </c>
      <c r="C2247" s="70" t="s">
        <v>3643</v>
      </c>
      <c r="D2247" s="70" t="s">
        <v>1</v>
      </c>
      <c r="E2247" s="70" t="s">
        <v>1</v>
      </c>
      <c r="F2247" s="70"/>
      <c r="G2247" s="70" t="s">
        <v>61</v>
      </c>
      <c r="H2247" s="70" t="s">
        <v>178</v>
      </c>
      <c r="I2247" s="70" t="s">
        <v>198</v>
      </c>
      <c r="J2247" s="71" t="str">
        <f>IF(OR(I2247=0,I2247=""),"unrated",VLOOKUP(I2247,MappingTables!$B$19:$C$31,2,FALSE))</f>
        <v>unrated</v>
      </c>
      <c r="K2247" s="72">
        <v>27.811499078402048</v>
      </c>
      <c r="L2247" s="70">
        <v>0.06887294004824368</v>
      </c>
      <c r="M2247" s="71">
        <f>IF(L2247&lt;1,1,L2247)</f>
        <v>1</v>
      </c>
      <c r="N2247" s="70" t="s">
        <v>3288</v>
      </c>
      <c r="O2247" s="71">
        <f>IF(OR(I2247=$A$1,I2247=0),"",IF(N2247=MappingTables!$C$14,VLOOKUP(J2247,ModelParameters!$M$8:$N$15,2,FALSE),IF(N2247=MappingTables!$C$16,VLOOKUP(J2247,ModelParameters!$P$8:$Q$15,2,FALSE),0)))</f>
        <v>1</v>
      </c>
      <c r="P2247" s="73">
        <f>IF(OR(I2247=0,I2247=$A$1),0,MIN(O2247*M2247,1)*K2247)</f>
        <v>27.811499078402048</v>
      </c>
      <c r="Q2247" s="73">
        <f>IF(B2247="",0,IF(OR(H2247=MappingTables!$C$34,H2247=MappingTables!$C$35),P2247,0))</f>
        <v>0</v>
      </c>
      <c r="R2247" s="73">
        <f>IF(ISNA(IF(AND(VLOOKUP(CONCATENATE($D2247,$G2247),CSRFinput!$B:$E,4,0)=0,OR(H2247=MappingTables!$C$31,H2247=MappingTables!$C$32)),1,VLOOKUP(CONCATENATE($D2247,$G2247),CSRFinput!$B:$E,4,0))),0,IF(AND(VLOOKUP(CONCATENATE($D2247,$G2247),CSRFinput!$B:$E,4,0)=0,OR(H2247=MappingTables!$C$31,H2247=MappingTables!$C$32)),1,VLOOKUP(CONCATENATE($D2247,$G2247),CSRFinput!$B:$E,4,0)))</f>
        <v>0.054776304963434752</v>
      </c>
      <c r="S2247" s="73">
        <f>IF(B2247="",0,P2247*R2247)</f>
        <v>1.5234111550088352</v>
      </c>
      <c r="T2247" s="85">
        <f>IF(B2247="",0,IF(OR(H2247=MappingTables!$C$34,H2247=MappingTables!$C$35),S2247,0))</f>
        <v>0</v>
      </c>
    </row>
    <row r="2248" spans="2:20" s="0" customFormat="0" ht="15">
      <c r="B2248" s="69" t="s">
        <v>4909</v>
      </c>
      <c r="C2248" s="70" t="s">
        <v>4910</v>
      </c>
      <c r="D2248" s="70" t="s">
        <v>1</v>
      </c>
      <c r="E2248" s="70" t="s">
        <v>1</v>
      </c>
      <c r="F2248" s="70"/>
      <c r="G2248" s="70" t="s">
        <v>61</v>
      </c>
      <c r="H2248" s="70" t="s">
        <v>178</v>
      </c>
      <c r="I2248" s="70" t="s">
        <v>198</v>
      </c>
      <c r="J2248" s="71" t="str">
        <f>IF(OR(I2248=0,I2248=""),"unrated",VLOOKUP(I2248,MappingTables!$B$19:$C$31,2,FALSE))</f>
        <v>unrated</v>
      </c>
      <c r="K2248" s="72">
        <v>20441.458091355892</v>
      </c>
      <c r="L2248" s="70">
        <v>11.989088022820506</v>
      </c>
      <c r="M2248" s="71">
        <f>IF(L2248&lt;1,1,L2248)</f>
        <v>11.989088022820506</v>
      </c>
      <c r="N2248" s="70" t="s">
        <v>3288</v>
      </c>
      <c r="O2248" s="71">
        <f>IF(OR(I2248=$A$1,I2248=0),"",IF(N2248=MappingTables!$C$14,VLOOKUP(J2248,ModelParameters!$M$8:$N$15,2,FALSE),IF(N2248=MappingTables!$C$16,VLOOKUP(J2248,ModelParameters!$P$8:$Q$15,2,FALSE),0)))</f>
        <v>1</v>
      </c>
      <c r="P2248" s="73">
        <f>IF(OR(I2248=0,I2248=$A$1),0,MIN(O2248*M2248,1)*K2248)</f>
        <v>20441.458091355892</v>
      </c>
      <c r="Q2248" s="73">
        <f>IF(B2248="",0,IF(OR(H2248=MappingTables!$C$34,H2248=MappingTables!$C$35),P2248,0))</f>
        <v>0</v>
      </c>
      <c r="R2248" s="73">
        <f>IF(ISNA(IF(AND(VLOOKUP(CONCATENATE($D2248,$G2248),CSRFinput!$B:$E,4,0)=0,OR(H2248=MappingTables!$C$31,H2248=MappingTables!$C$32)),1,VLOOKUP(CONCATENATE($D2248,$G2248),CSRFinput!$B:$E,4,0))),0,IF(AND(VLOOKUP(CONCATENATE($D2248,$G2248),CSRFinput!$B:$E,4,0)=0,OR(H2248=MappingTables!$C$31,H2248=MappingTables!$C$32)),1,VLOOKUP(CONCATENATE($D2248,$G2248),CSRFinput!$B:$E,4,0)))</f>
        <v>0.054776304963434752</v>
      </c>
      <c r="S2248" s="73">
        <f>IF(B2248="",0,P2248*R2248)</f>
        <v>1119.7075423093814</v>
      </c>
      <c r="T2248" s="85">
        <f>IF(B2248="",0,IF(OR(H2248=MappingTables!$C$34,H2248=MappingTables!$C$35),S2248,0))</f>
        <v>0</v>
      </c>
    </row>
    <row r="2249" spans="2:20" s="0" customFormat="0" ht="15">
      <c r="B2249" s="69" t="s">
        <v>4238</v>
      </c>
      <c r="C2249" s="70" t="s">
        <v>4239</v>
      </c>
      <c r="D2249" s="70" t="s">
        <v>1</v>
      </c>
      <c r="E2249" s="70" t="s">
        <v>1</v>
      </c>
      <c r="F2249" s="70"/>
      <c r="G2249" s="70" t="s">
        <v>61</v>
      </c>
      <c r="H2249" s="70" t="s">
        <v>178</v>
      </c>
      <c r="I2249" s="70" t="s">
        <v>181</v>
      </c>
      <c r="J2249" s="71">
        <f>IF(OR(I2249=0,I2249=""),"unrated",VLOOKUP(I2249,MappingTables!$B$19:$C$31,2,FALSE))</f>
        <v>3</v>
      </c>
      <c r="K2249" s="72">
        <v>103.13914230366172</v>
      </c>
      <c r="L2249" s="70">
        <v>0.068491485314317616</v>
      </c>
      <c r="M2249" s="71">
        <f>IF(L2249&lt;1,1,L2249)</f>
        <v>1</v>
      </c>
      <c r="N2249" s="70" t="s">
        <v>3288</v>
      </c>
      <c r="O2249" s="71">
        <f>IF(OR(I2249=$A$1,I2249=0),"",IF(N2249=MappingTables!$C$14,VLOOKUP(J2249,ModelParameters!$M$8:$N$15,2,FALSE),IF(N2249=MappingTables!$C$16,VLOOKUP(J2249,ModelParameters!$P$8:$Q$15,2,FALSE),0)))</f>
        <v>0.197</v>
      </c>
      <c r="P2249" s="73">
        <f>IF(OR(I2249=0,I2249=$A$1),0,MIN(O2249*M2249,1)*K2249)</f>
        <v>20.318411033821356</v>
      </c>
      <c r="Q2249" s="73">
        <f>IF(B2249="",0,IF(OR(H2249=MappingTables!$C$34,H2249=MappingTables!$C$35),P2249,0))</f>
        <v>0</v>
      </c>
      <c r="R2249" s="73">
        <f>IF(ISNA(IF(AND(VLOOKUP(CONCATENATE($D2249,$G2249),CSRFinput!$B:$E,4,0)=0,OR(H2249=MappingTables!$C$31,H2249=MappingTables!$C$32)),1,VLOOKUP(CONCATENATE($D2249,$G2249),CSRFinput!$B:$E,4,0))),0,IF(AND(VLOOKUP(CONCATENATE($D2249,$G2249),CSRFinput!$B:$E,4,0)=0,OR(H2249=MappingTables!$C$31,H2249=MappingTables!$C$32)),1,VLOOKUP(CONCATENATE($D2249,$G2249),CSRFinput!$B:$E,4,0)))</f>
        <v>0.054776304963434752</v>
      </c>
      <c r="S2249" s="73">
        <f>IF(B2249="",0,P2249*R2249)</f>
        <v>1.1129674791610162</v>
      </c>
      <c r="T2249" s="85">
        <f>IF(B2249="",0,IF(OR(H2249=MappingTables!$C$34,H2249=MappingTables!$C$35),S2249,0))</f>
        <v>0</v>
      </c>
    </row>
    <row r="2250" spans="2:20" s="0" customFormat="0" ht="15">
      <c r="B2250" s="69" t="s">
        <v>3664</v>
      </c>
      <c r="C2250" s="70" t="s">
        <v>3665</v>
      </c>
      <c r="D2250" s="70" t="s">
        <v>1</v>
      </c>
      <c r="E2250" s="70" t="s">
        <v>1</v>
      </c>
      <c r="F2250" s="70"/>
      <c r="G2250" s="70" t="s">
        <v>61</v>
      </c>
      <c r="H2250" s="70" t="s">
        <v>178</v>
      </c>
      <c r="I2250" s="70" t="s">
        <v>204</v>
      </c>
      <c r="J2250" s="71">
        <f>IF(OR(I2250=0,I2250=""),"unrated",VLOOKUP(I2250,MappingTables!$B$19:$C$31,2,FALSE))</f>
        <v>6</v>
      </c>
      <c r="K2250" s="72">
        <v>62.357026293426232</v>
      </c>
      <c r="L2250" s="70">
        <v>0.068493617093528496</v>
      </c>
      <c r="M2250" s="71">
        <f>IF(L2250&lt;1,1,L2250)</f>
        <v>1</v>
      </c>
      <c r="N2250" s="70" t="s">
        <v>3288</v>
      </c>
      <c r="O2250" s="71">
        <f>IF(OR(I2250=$A$1,I2250=0),"",IF(N2250=MappingTables!$C$14,VLOOKUP(J2250,ModelParameters!$M$8:$N$15,2,FALSE),IF(N2250=MappingTables!$C$16,VLOOKUP(J2250,ModelParameters!$P$8:$Q$15,2,FALSE),0)))</f>
        <v>1</v>
      </c>
      <c r="P2250" s="73">
        <f>IF(OR(I2250=0,I2250=$A$1),0,MIN(O2250*M2250,1)*K2250)</f>
        <v>62.357026293426232</v>
      </c>
      <c r="Q2250" s="73">
        <f>IF(B2250="",0,IF(OR(H2250=MappingTables!$C$34,H2250=MappingTables!$C$35),P2250,0))</f>
        <v>0</v>
      </c>
      <c r="R2250" s="73">
        <f>IF(ISNA(IF(AND(VLOOKUP(CONCATENATE($D2250,$G2250),CSRFinput!$B:$E,4,0)=0,OR(H2250=MappingTables!$C$31,H2250=MappingTables!$C$32)),1,VLOOKUP(CONCATENATE($D2250,$G2250),CSRFinput!$B:$E,4,0))),0,IF(AND(VLOOKUP(CONCATENATE($D2250,$G2250),CSRFinput!$B:$E,4,0)=0,OR(H2250=MappingTables!$C$31,H2250=MappingTables!$C$32)),1,VLOOKUP(CONCATENATE($D2250,$G2250),CSRFinput!$B:$E,4,0)))</f>
        <v>0.054776304963434752</v>
      </c>
      <c r="S2250" s="73">
        <f>IF(B2250="",0,P2250*R2250)</f>
        <v>3.4156874888616344</v>
      </c>
      <c r="T2250" s="85">
        <f>IF(B2250="",0,IF(OR(H2250=MappingTables!$C$34,H2250=MappingTables!$C$35),S2250,0))</f>
        <v>0</v>
      </c>
    </row>
    <row r="2251" spans="2:20" s="0" customFormat="0" ht="15">
      <c r="B2251" s="69">
        <v>16974676</v>
      </c>
      <c r="C2251" s="70" t="s">
        <v>4655</v>
      </c>
      <c r="D2251" s="70" t="s">
        <v>1</v>
      </c>
      <c r="E2251" s="70" t="s">
        <v>1</v>
      </c>
      <c r="F2251" s="70"/>
      <c r="G2251" s="70" t="s">
        <v>61</v>
      </c>
      <c r="H2251" s="70" t="s">
        <v>178</v>
      </c>
      <c r="I2251" s="70" t="s">
        <v>216</v>
      </c>
      <c r="J2251" s="71">
        <f>IF(OR(I2251=0,I2251=""),"unrated",VLOOKUP(I2251,MappingTables!$B$19:$C$31,2,FALSE))</f>
        <v>0</v>
      </c>
      <c r="K2251" s="72">
        <v>180.12928508023322</v>
      </c>
      <c r="L2251" s="70">
        <v>0.040833956252895872</v>
      </c>
      <c r="M2251" s="71">
        <f>IF(L2251&lt;1,1,L2251)</f>
        <v>1</v>
      </c>
      <c r="N2251" s="70" t="s">
        <v>3288</v>
      </c>
      <c r="O2251" s="71">
        <f>IF(OR(I2251=$A$1,I2251=0),"",IF(N2251=MappingTables!$C$14,VLOOKUP(J2251,ModelParameters!$M$8:$N$15,2,FALSE),IF(N2251=MappingTables!$C$16,VLOOKUP(J2251,ModelParameters!$P$8:$Q$15,2,FALSE),0)))</f>
        <v>0.125</v>
      </c>
      <c r="P2251" s="73">
        <f>IF(OR(I2251=0,I2251=$A$1),0,MIN(O2251*M2251,1)*K2251)</f>
        <v>22.516160635029152</v>
      </c>
      <c r="Q2251" s="73">
        <f>IF(B2251="",0,IF(OR(H2251=MappingTables!$C$34,H2251=MappingTables!$C$35),P2251,0))</f>
        <v>0</v>
      </c>
      <c r="R2251" s="73">
        <f>IF(ISNA(IF(AND(VLOOKUP(CONCATENATE($D2251,$G2251),CSRFinput!$B:$E,4,0)=0,OR(H2251=MappingTables!$C$31,H2251=MappingTables!$C$32)),1,VLOOKUP(CONCATENATE($D2251,$G2251),CSRFinput!$B:$E,4,0))),0,IF(AND(VLOOKUP(CONCATENATE($D2251,$G2251),CSRFinput!$B:$E,4,0)=0,OR(H2251=MappingTables!$C$31,H2251=MappingTables!$C$32)),1,VLOOKUP(CONCATENATE($D2251,$G2251),CSRFinput!$B:$E,4,0)))</f>
        <v>0.054776304963434752</v>
      </c>
      <c r="S2251" s="73">
        <f>IF(B2251="",0,P2251*R2251)</f>
        <v>1.2333520815500416</v>
      </c>
      <c r="T2251" s="85">
        <f>IF(B2251="",0,IF(OR(H2251=MappingTables!$C$34,H2251=MappingTables!$C$35),S2251,0))</f>
        <v>0</v>
      </c>
    </row>
    <row r="2252" spans="2:20" s="0" customFormat="0" ht="15">
      <c r="B2252" s="69" t="s">
        <v>4629</v>
      </c>
      <c r="C2252" s="70" t="s">
        <v>4630</v>
      </c>
      <c r="D2252" s="70" t="s">
        <v>1</v>
      </c>
      <c r="E2252" s="70" t="s">
        <v>1</v>
      </c>
      <c r="F2252" s="70"/>
      <c r="G2252" s="70" t="s">
        <v>61</v>
      </c>
      <c r="H2252" s="70" t="s">
        <v>178</v>
      </c>
      <c r="I2252" s="70" t="s">
        <v>198</v>
      </c>
      <c r="J2252" s="71" t="str">
        <f>IF(OR(I2252=0,I2252=""),"unrated",VLOOKUP(I2252,MappingTables!$B$19:$C$31,2,FALSE))</f>
        <v>unrated</v>
      </c>
      <c r="K2252" s="72">
        <v>45.803660394847472</v>
      </c>
      <c r="L2252" s="70">
        <v>9.1001317606204048</v>
      </c>
      <c r="M2252" s="71">
        <f>IF(L2252&lt;1,1,L2252)</f>
        <v>9.1001317606204048</v>
      </c>
      <c r="N2252" s="70" t="s">
        <v>3288</v>
      </c>
      <c r="O2252" s="71">
        <f>IF(OR(I2252=$A$1,I2252=0),"",IF(N2252=MappingTables!$C$14,VLOOKUP(J2252,ModelParameters!$M$8:$N$15,2,FALSE),IF(N2252=MappingTables!$C$16,VLOOKUP(J2252,ModelParameters!$P$8:$Q$15,2,FALSE),0)))</f>
        <v>1</v>
      </c>
      <c r="P2252" s="73">
        <f>IF(OR(I2252=0,I2252=$A$1),0,MIN(O2252*M2252,1)*K2252)</f>
        <v>45.803660394847472</v>
      </c>
      <c r="Q2252" s="73">
        <f>IF(B2252="",0,IF(OR(H2252=MappingTables!$C$34,H2252=MappingTables!$C$35),P2252,0))</f>
        <v>0</v>
      </c>
      <c r="R2252" s="73">
        <f>IF(ISNA(IF(AND(VLOOKUP(CONCATENATE($D2252,$G2252),CSRFinput!$B:$E,4,0)=0,OR(H2252=MappingTables!$C$31,H2252=MappingTables!$C$32)),1,VLOOKUP(CONCATENATE($D2252,$G2252),CSRFinput!$B:$E,4,0))),0,IF(AND(VLOOKUP(CONCATENATE($D2252,$G2252),CSRFinput!$B:$E,4,0)=0,OR(H2252=MappingTables!$C$31,H2252=MappingTables!$C$32)),1,VLOOKUP(CONCATENATE($D2252,$G2252),CSRFinput!$B:$E,4,0)))</f>
        <v>0.054776304963434752</v>
      </c>
      <c r="S2252" s="73">
        <f>IF(B2252="",0,P2252*R2252)</f>
        <v>2.5089552702297632</v>
      </c>
      <c r="T2252" s="85">
        <f>IF(B2252="",0,IF(OR(H2252=MappingTables!$C$34,H2252=MappingTables!$C$35),S2252,0))</f>
        <v>0</v>
      </c>
    </row>
    <row r="2253" spans="2:20" s="0" customFormat="0" ht="15">
      <c r="B2253" s="69" t="s">
        <v>3778</v>
      </c>
      <c r="C2253" s="70" t="s">
        <v>3779</v>
      </c>
      <c r="D2253" s="70" t="s">
        <v>1</v>
      </c>
      <c r="E2253" s="70" t="s">
        <v>1</v>
      </c>
      <c r="F2253" s="70"/>
      <c r="G2253" s="70" t="s">
        <v>61</v>
      </c>
      <c r="H2253" s="70" t="s">
        <v>178</v>
      </c>
      <c r="I2253" s="70" t="s">
        <v>198</v>
      </c>
      <c r="J2253" s="71" t="str">
        <f>IF(OR(I2253=0,I2253=""),"unrated",VLOOKUP(I2253,MappingTables!$B$19:$C$31,2,FALSE))</f>
        <v>unrated</v>
      </c>
      <c r="K2253" s="72">
        <v>3885.1704589151176</v>
      </c>
      <c r="L2253" s="70">
        <v>9.93670191240884</v>
      </c>
      <c r="M2253" s="71">
        <f>IF(L2253&lt;1,1,L2253)</f>
        <v>9.93670191240884</v>
      </c>
      <c r="N2253" s="70" t="s">
        <v>3288</v>
      </c>
      <c r="O2253" s="71">
        <f>IF(OR(I2253=$A$1,I2253=0),"",IF(N2253=MappingTables!$C$14,VLOOKUP(J2253,ModelParameters!$M$8:$N$15,2,FALSE),IF(N2253=MappingTables!$C$16,VLOOKUP(J2253,ModelParameters!$P$8:$Q$15,2,FALSE),0)))</f>
        <v>1</v>
      </c>
      <c r="P2253" s="73">
        <f>IF(OR(I2253=0,I2253=$A$1),0,MIN(O2253*M2253,1)*K2253)</f>
        <v>3885.1704589151176</v>
      </c>
      <c r="Q2253" s="73">
        <f>IF(B2253="",0,IF(OR(H2253=MappingTables!$C$34,H2253=MappingTables!$C$35),P2253,0))</f>
        <v>0</v>
      </c>
      <c r="R2253" s="73">
        <f>IF(ISNA(IF(AND(VLOOKUP(CONCATENATE($D2253,$G2253),CSRFinput!$B:$E,4,0)=0,OR(H2253=MappingTables!$C$31,H2253=MappingTables!$C$32)),1,VLOOKUP(CONCATENATE($D2253,$G2253),CSRFinput!$B:$E,4,0))),0,IF(AND(VLOOKUP(CONCATENATE($D2253,$G2253),CSRFinput!$B:$E,4,0)=0,OR(H2253=MappingTables!$C$31,H2253=MappingTables!$C$32)),1,VLOOKUP(CONCATENATE($D2253,$G2253),CSRFinput!$B:$E,4,0)))</f>
        <v>0.054776304963434752</v>
      </c>
      <c r="S2253" s="73">
        <f>IF(B2253="",0,P2253*R2253)</f>
        <v>212.81528189246224</v>
      </c>
      <c r="T2253" s="85">
        <f>IF(B2253="",0,IF(OR(H2253=MappingTables!$C$34,H2253=MappingTables!$C$35),S2253,0))</f>
        <v>0</v>
      </c>
    </row>
    <row r="2254" spans="2:20" s="0" customFormat="0" ht="15">
      <c r="B2254" s="69">
        <v>16974061</v>
      </c>
      <c r="C2254" s="70" t="s">
        <v>5249</v>
      </c>
      <c r="D2254" s="70" t="s">
        <v>1</v>
      </c>
      <c r="E2254" s="70" t="s">
        <v>1</v>
      </c>
      <c r="F2254" s="70"/>
      <c r="G2254" s="70" t="s">
        <v>61</v>
      </c>
      <c r="H2254" s="70" t="s">
        <v>178</v>
      </c>
      <c r="I2254" s="70" t="s">
        <v>198</v>
      </c>
      <c r="J2254" s="71" t="str">
        <f>IF(OR(I2254=0,I2254=""),"unrated",VLOOKUP(I2254,MappingTables!$B$19:$C$31,2,FALSE))</f>
        <v>unrated</v>
      </c>
      <c r="K2254" s="72">
        <v>5.1921381160862824</v>
      </c>
      <c r="L2254" s="70">
        <v>0.032165401207788276</v>
      </c>
      <c r="M2254" s="71">
        <f>IF(L2254&lt;1,1,L2254)</f>
        <v>1</v>
      </c>
      <c r="N2254" s="70" t="s">
        <v>3288</v>
      </c>
      <c r="O2254" s="71">
        <f>IF(OR(I2254=$A$1,I2254=0),"",IF(N2254=MappingTables!$C$14,VLOOKUP(J2254,ModelParameters!$M$8:$N$15,2,FALSE),IF(N2254=MappingTables!$C$16,VLOOKUP(J2254,ModelParameters!$P$8:$Q$15,2,FALSE),0)))</f>
        <v>1</v>
      </c>
      <c r="P2254" s="73">
        <f>IF(OR(I2254=0,I2254=$A$1),0,MIN(O2254*M2254,1)*K2254)</f>
        <v>5.1921381160862824</v>
      </c>
      <c r="Q2254" s="73">
        <f>IF(B2254="",0,IF(OR(H2254=MappingTables!$C$34,H2254=MappingTables!$C$35),P2254,0))</f>
        <v>0</v>
      </c>
      <c r="R2254" s="73">
        <f>IF(ISNA(IF(AND(VLOOKUP(CONCATENATE($D2254,$G2254),CSRFinput!$B:$E,4,0)=0,OR(H2254=MappingTables!$C$31,H2254=MappingTables!$C$32)),1,VLOOKUP(CONCATENATE($D2254,$G2254),CSRFinput!$B:$E,4,0))),0,IF(AND(VLOOKUP(CONCATENATE($D2254,$G2254),CSRFinput!$B:$E,4,0)=0,OR(H2254=MappingTables!$C$31,H2254=MappingTables!$C$32)),1,VLOOKUP(CONCATENATE($D2254,$G2254),CSRFinput!$B:$E,4,0)))</f>
        <v>0.054776304963434752</v>
      </c>
      <c r="S2254" s="73">
        <f>IF(B2254="",0,P2254*R2254)</f>
        <v>0.28440614085901584</v>
      </c>
      <c r="T2254" s="85">
        <f>IF(B2254="",0,IF(OR(H2254=MappingTables!$C$34,H2254=MappingTables!$C$35),S2254,0))</f>
        <v>0</v>
      </c>
    </row>
    <row r="2255" spans="2:20" s="0" customFormat="0" ht="15">
      <c r="B2255" s="69" t="s">
        <v>4182</v>
      </c>
      <c r="C2255" s="70" t="s">
        <v>4183</v>
      </c>
      <c r="D2255" s="70" t="s">
        <v>1</v>
      </c>
      <c r="E2255" s="70" t="s">
        <v>1</v>
      </c>
      <c r="F2255" s="70"/>
      <c r="G2255" s="70" t="s">
        <v>61</v>
      </c>
      <c r="H2255" s="70" t="s">
        <v>178</v>
      </c>
      <c r="I2255" s="70" t="s">
        <v>179</v>
      </c>
      <c r="J2255" s="71">
        <f>IF(OR(I2255=0,I2255=""),"unrated",VLOOKUP(I2255,MappingTables!$B$19:$C$31,2,FALSE))</f>
        <v>4</v>
      </c>
      <c r="K2255" s="72">
        <v>102.38586081757016</v>
      </c>
      <c r="L2255" s="70">
        <v>0.068496563598169744</v>
      </c>
      <c r="M2255" s="71">
        <f>IF(L2255&lt;1,1,L2255)</f>
        <v>1</v>
      </c>
      <c r="N2255" s="70" t="s">
        <v>3288</v>
      </c>
      <c r="O2255" s="71">
        <f>IF(OR(I2255=$A$1,I2255=0),"",IF(N2255=MappingTables!$C$14,VLOOKUP(J2255,ModelParameters!$M$8:$N$15,2,FALSE),IF(N2255=MappingTables!$C$16,VLOOKUP(J2255,ModelParameters!$P$8:$Q$15,2,FALSE),0)))</f>
        <v>0.82</v>
      </c>
      <c r="P2255" s="73">
        <f>IF(OR(I2255=0,I2255=$A$1),0,MIN(O2255*M2255,1)*K2255)</f>
        <v>83.95640587040752</v>
      </c>
      <c r="Q2255" s="73">
        <f>IF(B2255="",0,IF(OR(H2255=MappingTables!$C$34,H2255=MappingTables!$C$35),P2255,0))</f>
        <v>0</v>
      </c>
      <c r="R2255" s="73">
        <f>IF(ISNA(IF(AND(VLOOKUP(CONCATENATE($D2255,$G2255),CSRFinput!$B:$E,4,0)=0,OR(H2255=MappingTables!$C$31,H2255=MappingTables!$C$32)),1,VLOOKUP(CONCATENATE($D2255,$G2255),CSRFinput!$B:$E,4,0))),0,IF(AND(VLOOKUP(CONCATENATE($D2255,$G2255),CSRFinput!$B:$E,4,0)=0,OR(H2255=MappingTables!$C$31,H2255=MappingTables!$C$32)),1,VLOOKUP(CONCATENATE($D2255,$G2255),CSRFinput!$B:$E,4,0)))</f>
        <v>0.054776304963434752</v>
      </c>
      <c r="S2255" s="73">
        <f>IF(B2255="",0,P2255*R2255)</f>
        <v>4.5988216915913464</v>
      </c>
      <c r="T2255" s="85">
        <f>IF(B2255="",0,IF(OR(H2255=MappingTables!$C$34,H2255=MappingTables!$C$35),S2255,0))</f>
        <v>0</v>
      </c>
    </row>
    <row r="2256" spans="2:20" s="0" customFormat="0" ht="15">
      <c r="B2256" s="69">
        <v>18913657</v>
      </c>
      <c r="C2256" s="70" t="s">
        <v>4952</v>
      </c>
      <c r="D2256" s="70" t="s">
        <v>1</v>
      </c>
      <c r="E2256" s="70" t="s">
        <v>1</v>
      </c>
      <c r="F2256" s="70"/>
      <c r="G2256" s="70" t="s">
        <v>61</v>
      </c>
      <c r="H2256" s="70" t="s">
        <v>178</v>
      </c>
      <c r="I2256" s="70" t="s">
        <v>216</v>
      </c>
      <c r="J2256" s="71">
        <f>IF(OR(I2256=0,I2256=""),"unrated",VLOOKUP(I2256,MappingTables!$B$19:$C$31,2,FALSE))</f>
        <v>0</v>
      </c>
      <c r="K2256" s="72">
        <v>52934.416685996704</v>
      </c>
      <c r="L2256" s="70">
        <v>0.057318071538290168</v>
      </c>
      <c r="M2256" s="71">
        <f>IF(L2256&lt;1,1,L2256)</f>
        <v>1</v>
      </c>
      <c r="N2256" s="70" t="s">
        <v>3288</v>
      </c>
      <c r="O2256" s="71">
        <f>IF(OR(I2256=$A$1,I2256=0),"",IF(N2256=MappingTables!$C$14,VLOOKUP(J2256,ModelParameters!$M$8:$N$15,2,FALSE),IF(N2256=MappingTables!$C$16,VLOOKUP(J2256,ModelParameters!$P$8:$Q$15,2,FALSE),0)))</f>
        <v>0.125</v>
      </c>
      <c r="P2256" s="73">
        <f>IF(OR(I2256=0,I2256=$A$1),0,MIN(O2256*M2256,1)*K2256)</f>
        <v>6616.802085749588</v>
      </c>
      <c r="Q2256" s="73">
        <f>IF(B2256="",0,IF(OR(H2256=MappingTables!$C$34,H2256=MappingTables!$C$35),P2256,0))</f>
        <v>0</v>
      </c>
      <c r="R2256" s="73">
        <f>IF(ISNA(IF(AND(VLOOKUP(CONCATENATE($D2256,$G2256),CSRFinput!$B:$E,4,0)=0,OR(H2256=MappingTables!$C$31,H2256=MappingTables!$C$32)),1,VLOOKUP(CONCATENATE($D2256,$G2256),CSRFinput!$B:$E,4,0))),0,IF(AND(VLOOKUP(CONCATENATE($D2256,$G2256),CSRFinput!$B:$E,4,0)=0,OR(H2256=MappingTables!$C$31,H2256=MappingTables!$C$32)),1,VLOOKUP(CONCATENATE($D2256,$G2256),CSRFinput!$B:$E,4,0)))</f>
        <v>0.054776304963434752</v>
      </c>
      <c r="S2256" s="73">
        <f>IF(B2256="",0,P2256*R2256)</f>
        <v>362.44396893171056</v>
      </c>
      <c r="T2256" s="85">
        <f>IF(B2256="",0,IF(OR(H2256=MappingTables!$C$34,H2256=MappingTables!$C$35),S2256,0))</f>
        <v>0</v>
      </c>
    </row>
    <row r="2257" spans="2:20" s="0" customFormat="0" ht="15">
      <c r="B2257" s="69" t="s">
        <v>5085</v>
      </c>
      <c r="C2257" s="70" t="s">
        <v>5086</v>
      </c>
      <c r="D2257" s="70" t="s">
        <v>1</v>
      </c>
      <c r="E2257" s="70" t="s">
        <v>1</v>
      </c>
      <c r="F2257" s="70"/>
      <c r="G2257" s="70" t="s">
        <v>61</v>
      </c>
      <c r="H2257" s="70" t="s">
        <v>178</v>
      </c>
      <c r="I2257" s="70" t="s">
        <v>184</v>
      </c>
      <c r="J2257" s="71">
        <f>IF(OR(I2257=0,I2257=""),"unrated",VLOOKUP(I2257,MappingTables!$B$19:$C$31,2,FALSE))</f>
        <v>5</v>
      </c>
      <c r="K2257" s="72">
        <v>471.53351095163584</v>
      </c>
      <c r="L2257" s="70">
        <v>0.068488263301982448</v>
      </c>
      <c r="M2257" s="71">
        <f>IF(L2257&lt;1,1,L2257)</f>
        <v>1</v>
      </c>
      <c r="N2257" s="70" t="s">
        <v>3288</v>
      </c>
      <c r="O2257" s="71">
        <f>IF(OR(I2257=$A$1,I2257=0),"",IF(N2257=MappingTables!$C$14,VLOOKUP(J2257,ModelParameters!$M$8:$N$15,2,FALSE),IF(N2257=MappingTables!$C$16,VLOOKUP(J2257,ModelParameters!$P$8:$Q$15,2,FALSE),0)))</f>
        <v>1</v>
      </c>
      <c r="P2257" s="73">
        <f>IF(OR(I2257=0,I2257=$A$1),0,MIN(O2257*M2257,1)*K2257)</f>
        <v>471.53351095163584</v>
      </c>
      <c r="Q2257" s="73">
        <f>IF(B2257="",0,IF(OR(H2257=MappingTables!$C$34,H2257=MappingTables!$C$35),P2257,0))</f>
        <v>0</v>
      </c>
      <c r="R2257" s="73">
        <f>IF(ISNA(IF(AND(VLOOKUP(CONCATENATE($D2257,$G2257),CSRFinput!$B:$E,4,0)=0,OR(H2257=MappingTables!$C$31,H2257=MappingTables!$C$32)),1,VLOOKUP(CONCATENATE($D2257,$G2257),CSRFinput!$B:$E,4,0))),0,IF(AND(VLOOKUP(CONCATENATE($D2257,$G2257),CSRFinput!$B:$E,4,0)=0,OR(H2257=MappingTables!$C$31,H2257=MappingTables!$C$32)),1,VLOOKUP(CONCATENATE($D2257,$G2257),CSRFinput!$B:$E,4,0)))</f>
        <v>0.054776304963434752</v>
      </c>
      <c r="S2257" s="73">
        <f>IF(B2257="",0,P2257*R2257)</f>
        <v>25.828863396365908</v>
      </c>
      <c r="T2257" s="85">
        <f>IF(B2257="",0,IF(OR(H2257=MappingTables!$C$34,H2257=MappingTables!$C$35),S2257,0))</f>
        <v>0</v>
      </c>
    </row>
    <row r="2258" spans="2:20" s="0" customFormat="0" ht="15">
      <c r="B2258" s="69" t="s">
        <v>5201</v>
      </c>
      <c r="C2258" s="70" t="s">
        <v>5202</v>
      </c>
      <c r="D2258" s="70" t="s">
        <v>1</v>
      </c>
      <c r="E2258" s="70" t="s">
        <v>1</v>
      </c>
      <c r="F2258" s="70"/>
      <c r="G2258" s="70" t="s">
        <v>61</v>
      </c>
      <c r="H2258" s="70" t="s">
        <v>178</v>
      </c>
      <c r="I2258" s="70" t="s">
        <v>198</v>
      </c>
      <c r="J2258" s="71" t="str">
        <f>IF(OR(I2258=0,I2258=""),"unrated",VLOOKUP(I2258,MappingTables!$B$19:$C$31,2,FALSE))</f>
        <v>unrated</v>
      </c>
      <c r="K2258" s="72">
        <v>3.6587152604649032</v>
      </c>
      <c r="L2258" s="70">
        <v>3.9801378204581768</v>
      </c>
      <c r="M2258" s="71">
        <f>IF(L2258&lt;1,1,L2258)</f>
        <v>3.9801378204581768</v>
      </c>
      <c r="N2258" s="70" t="s">
        <v>3288</v>
      </c>
      <c r="O2258" s="71">
        <f>IF(OR(I2258=$A$1,I2258=0),"",IF(N2258=MappingTables!$C$14,VLOOKUP(J2258,ModelParameters!$M$8:$N$15,2,FALSE),IF(N2258=MappingTables!$C$16,VLOOKUP(J2258,ModelParameters!$P$8:$Q$15,2,FALSE),0)))</f>
        <v>1</v>
      </c>
      <c r="P2258" s="73">
        <f>IF(OR(I2258=0,I2258=$A$1),0,MIN(O2258*M2258,1)*K2258)</f>
        <v>3.6587152604649032</v>
      </c>
      <c r="Q2258" s="73">
        <f>IF(B2258="",0,IF(OR(H2258=MappingTables!$C$34,H2258=MappingTables!$C$35),P2258,0))</f>
        <v>0</v>
      </c>
      <c r="R2258" s="73">
        <f>IF(ISNA(IF(AND(VLOOKUP(CONCATENATE($D2258,$G2258),CSRFinput!$B:$E,4,0)=0,OR(H2258=MappingTables!$C$31,H2258=MappingTables!$C$32)),1,VLOOKUP(CONCATENATE($D2258,$G2258),CSRFinput!$B:$E,4,0))),0,IF(AND(VLOOKUP(CONCATENATE($D2258,$G2258),CSRFinput!$B:$E,4,0)=0,OR(H2258=MappingTables!$C$31,H2258=MappingTables!$C$32)),1,VLOOKUP(CONCATENATE($D2258,$G2258),CSRFinput!$B:$E,4,0)))</f>
        <v>0.054776304963434752</v>
      </c>
      <c r="S2258" s="73">
        <f>IF(B2258="",0,P2258*R2258)</f>
        <v>0.20041090288159816</v>
      </c>
      <c r="T2258" s="85">
        <f>IF(B2258="",0,IF(OR(H2258=MappingTables!$C$34,H2258=MappingTables!$C$35),S2258,0))</f>
        <v>0</v>
      </c>
    </row>
    <row r="2259" spans="2:20" s="0" customFormat="0" ht="15">
      <c r="B2259" s="69" t="s">
        <v>4680</v>
      </c>
      <c r="C2259" s="70" t="s">
        <v>4681</v>
      </c>
      <c r="D2259" s="70" t="s">
        <v>1</v>
      </c>
      <c r="E2259" s="70" t="s">
        <v>1</v>
      </c>
      <c r="F2259" s="70"/>
      <c r="G2259" s="70" t="s">
        <v>61</v>
      </c>
      <c r="H2259" s="70" t="s">
        <v>178</v>
      </c>
      <c r="I2259" s="70" t="s">
        <v>198</v>
      </c>
      <c r="J2259" s="71" t="str">
        <f>IF(OR(I2259=0,I2259=""),"unrated",VLOOKUP(I2259,MappingTables!$B$19:$C$31,2,FALSE))</f>
        <v>unrated</v>
      </c>
      <c r="K2259" s="72">
        <v>0.70149514891843864</v>
      </c>
      <c r="L2259" s="70">
        <v>0.25232043880134796</v>
      </c>
      <c r="M2259" s="71">
        <f>IF(L2259&lt;1,1,L2259)</f>
        <v>1</v>
      </c>
      <c r="N2259" s="70" t="s">
        <v>3288</v>
      </c>
      <c r="O2259" s="71">
        <f>IF(OR(I2259=$A$1,I2259=0),"",IF(N2259=MappingTables!$C$14,VLOOKUP(J2259,ModelParameters!$M$8:$N$15,2,FALSE),IF(N2259=MappingTables!$C$16,VLOOKUP(J2259,ModelParameters!$P$8:$Q$15,2,FALSE),0)))</f>
        <v>1</v>
      </c>
      <c r="P2259" s="73">
        <f>IF(OR(I2259=0,I2259=$A$1),0,MIN(O2259*M2259,1)*K2259)</f>
        <v>0.70149514891843864</v>
      </c>
      <c r="Q2259" s="73">
        <f>IF(B2259="",0,IF(OR(H2259=MappingTables!$C$34,H2259=MappingTables!$C$35),P2259,0))</f>
        <v>0</v>
      </c>
      <c r="R2259" s="73">
        <f>IF(ISNA(IF(AND(VLOOKUP(CONCATENATE($D2259,$G2259),CSRFinput!$B:$E,4,0)=0,OR(H2259=MappingTables!$C$31,H2259=MappingTables!$C$32)),1,VLOOKUP(CONCATENATE($D2259,$G2259),CSRFinput!$B:$E,4,0))),0,IF(AND(VLOOKUP(CONCATENATE($D2259,$G2259),CSRFinput!$B:$E,4,0)=0,OR(H2259=MappingTables!$C$31,H2259=MappingTables!$C$32)),1,VLOOKUP(CONCATENATE($D2259,$G2259),CSRFinput!$B:$E,4,0)))</f>
        <v>0.054776304963434752</v>
      </c>
      <c r="S2259" s="73">
        <f>IF(B2259="",0,P2259*R2259)</f>
        <v>0.038425312207526472</v>
      </c>
      <c r="T2259" s="85">
        <f>IF(B2259="",0,IF(OR(H2259=MappingTables!$C$34,H2259=MappingTables!$C$35),S2259,0))</f>
        <v>0</v>
      </c>
    </row>
    <row r="2260" spans="2:20" s="0" customFormat="0" ht="15">
      <c r="B2260" s="69">
        <v>14504643</v>
      </c>
      <c r="C2260" s="70" t="s">
        <v>4957</v>
      </c>
      <c r="D2260" s="70" t="s">
        <v>1</v>
      </c>
      <c r="E2260" s="70" t="s">
        <v>1</v>
      </c>
      <c r="F2260" s="70"/>
      <c r="G2260" s="70" t="s">
        <v>61</v>
      </c>
      <c r="H2260" s="70" t="s">
        <v>178</v>
      </c>
      <c r="I2260" s="70" t="s">
        <v>216</v>
      </c>
      <c r="J2260" s="71">
        <f>IF(OR(I2260=0,I2260=""),"unrated",VLOOKUP(I2260,MappingTables!$B$19:$C$31,2,FALSE))</f>
        <v>0</v>
      </c>
      <c r="K2260" s="72">
        <v>550.31485607149</v>
      </c>
      <c r="L2260" s="70">
        <v>0.089615910780511472</v>
      </c>
      <c r="M2260" s="71">
        <f>IF(L2260&lt;1,1,L2260)</f>
        <v>1</v>
      </c>
      <c r="N2260" s="70" t="s">
        <v>3288</v>
      </c>
      <c r="O2260" s="71">
        <f>IF(OR(I2260=$A$1,I2260=0),"",IF(N2260=MappingTables!$C$14,VLOOKUP(J2260,ModelParameters!$M$8:$N$15,2,FALSE),IF(N2260=MappingTables!$C$16,VLOOKUP(J2260,ModelParameters!$P$8:$Q$15,2,FALSE),0)))</f>
        <v>0.125</v>
      </c>
      <c r="P2260" s="73">
        <f>IF(OR(I2260=0,I2260=$A$1),0,MIN(O2260*M2260,1)*K2260)</f>
        <v>68.789357008936248</v>
      </c>
      <c r="Q2260" s="73">
        <f>IF(B2260="",0,IF(OR(H2260=MappingTables!$C$34,H2260=MappingTables!$C$35),P2260,0))</f>
        <v>0</v>
      </c>
      <c r="R2260" s="73">
        <f>IF(ISNA(IF(AND(VLOOKUP(CONCATENATE($D2260,$G2260),CSRFinput!$B:$E,4,0)=0,OR(H2260=MappingTables!$C$31,H2260=MappingTables!$C$32)),1,VLOOKUP(CONCATENATE($D2260,$G2260),CSRFinput!$B:$E,4,0))),0,IF(AND(VLOOKUP(CONCATENATE($D2260,$G2260),CSRFinput!$B:$E,4,0)=0,OR(H2260=MappingTables!$C$31,H2260=MappingTables!$C$32)),1,VLOOKUP(CONCATENATE($D2260,$G2260),CSRFinput!$B:$E,4,0)))</f>
        <v>0.054776304963434752</v>
      </c>
      <c r="S2260" s="73">
        <f>IF(B2260="",0,P2260*R2260)</f>
        <v>3.76802679776008</v>
      </c>
      <c r="T2260" s="85">
        <f>IF(B2260="",0,IF(OR(H2260=MappingTables!$C$34,H2260=MappingTables!$C$35),S2260,0))</f>
        <v>0</v>
      </c>
    </row>
    <row r="2261" spans="2:20" s="0" customFormat="0" ht="15">
      <c r="B2261" s="69" t="s">
        <v>5029</v>
      </c>
      <c r="C2261" s="70" t="s">
        <v>5030</v>
      </c>
      <c r="D2261" s="70" t="s">
        <v>1</v>
      </c>
      <c r="E2261" s="70" t="s">
        <v>1</v>
      </c>
      <c r="F2261" s="70"/>
      <c r="G2261" s="70" t="s">
        <v>61</v>
      </c>
      <c r="H2261" s="70" t="s">
        <v>178</v>
      </c>
      <c r="I2261" s="70" t="s">
        <v>204</v>
      </c>
      <c r="J2261" s="71">
        <f>IF(OR(I2261=0,I2261=""),"unrated",VLOOKUP(I2261,MappingTables!$B$19:$C$31,2,FALSE))</f>
        <v>6</v>
      </c>
      <c r="K2261" s="72">
        <v>105.64657368080278</v>
      </c>
      <c r="L2261" s="70">
        <v>0.043194411129097888</v>
      </c>
      <c r="M2261" s="71">
        <f>IF(L2261&lt;1,1,L2261)</f>
        <v>1</v>
      </c>
      <c r="N2261" s="70" t="s">
        <v>3288</v>
      </c>
      <c r="O2261" s="71">
        <f>IF(OR(I2261=$A$1,I2261=0),"",IF(N2261=MappingTables!$C$14,VLOOKUP(J2261,ModelParameters!$M$8:$N$15,2,FALSE),IF(N2261=MappingTables!$C$16,VLOOKUP(J2261,ModelParameters!$P$8:$Q$15,2,FALSE),0)))</f>
        <v>1</v>
      </c>
      <c r="P2261" s="73">
        <f>IF(OR(I2261=0,I2261=$A$1),0,MIN(O2261*M2261,1)*K2261)</f>
        <v>105.64657368080278</v>
      </c>
      <c r="Q2261" s="73">
        <f>IF(B2261="",0,IF(OR(H2261=MappingTables!$C$34,H2261=MappingTables!$C$35),P2261,0))</f>
        <v>0</v>
      </c>
      <c r="R2261" s="73">
        <f>IF(ISNA(IF(AND(VLOOKUP(CONCATENATE($D2261,$G2261),CSRFinput!$B:$E,4,0)=0,OR(H2261=MappingTables!$C$31,H2261=MappingTables!$C$32)),1,VLOOKUP(CONCATENATE($D2261,$G2261),CSRFinput!$B:$E,4,0))),0,IF(AND(VLOOKUP(CONCATENATE($D2261,$G2261),CSRFinput!$B:$E,4,0)=0,OR(H2261=MappingTables!$C$31,H2261=MappingTables!$C$32)),1,VLOOKUP(CONCATENATE($D2261,$G2261),CSRFinput!$B:$E,4,0)))</f>
        <v>0.054776304963434752</v>
      </c>
      <c r="S2261" s="73">
        <f>IF(B2261="",0,P2261*R2261)</f>
        <v>5.7869289382816336</v>
      </c>
      <c r="T2261" s="85">
        <f>IF(B2261="",0,IF(OR(H2261=MappingTables!$C$34,H2261=MappingTables!$C$35),S2261,0))</f>
        <v>0</v>
      </c>
    </row>
    <row r="2262" spans="2:20" s="0" customFormat="0" ht="15">
      <c r="B2262" s="69">
        <v>22623670</v>
      </c>
      <c r="C2262" s="70" t="s">
        <v>3766</v>
      </c>
      <c r="D2262" s="70" t="s">
        <v>1</v>
      </c>
      <c r="E2262" s="70" t="s">
        <v>1</v>
      </c>
      <c r="F2262" s="70"/>
      <c r="G2262" s="70" t="s">
        <v>61</v>
      </c>
      <c r="H2262" s="70" t="s">
        <v>178</v>
      </c>
      <c r="I2262" s="70" t="s">
        <v>198</v>
      </c>
      <c r="J2262" s="71" t="str">
        <f>IF(OR(I2262=0,I2262=""),"unrated",VLOOKUP(I2262,MappingTables!$B$19:$C$31,2,FALSE))</f>
        <v>unrated</v>
      </c>
      <c r="K2262" s="72">
        <v>860.6643672684848</v>
      </c>
      <c r="L2262" s="70">
        <v>0.027142841999017684</v>
      </c>
      <c r="M2262" s="71">
        <f>IF(L2262&lt;1,1,L2262)</f>
        <v>1</v>
      </c>
      <c r="N2262" s="70" t="s">
        <v>3288</v>
      </c>
      <c r="O2262" s="71">
        <f>IF(OR(I2262=$A$1,I2262=0),"",IF(N2262=MappingTables!$C$14,VLOOKUP(J2262,ModelParameters!$M$8:$N$15,2,FALSE),IF(N2262=MappingTables!$C$16,VLOOKUP(J2262,ModelParameters!$P$8:$Q$15,2,FALSE),0)))</f>
        <v>1</v>
      </c>
      <c r="P2262" s="73">
        <f>IF(OR(I2262=0,I2262=$A$1),0,MIN(O2262*M2262,1)*K2262)</f>
        <v>860.6643672684848</v>
      </c>
      <c r="Q2262" s="73">
        <f>IF(B2262="",0,IF(OR(H2262=MappingTables!$C$34,H2262=MappingTables!$C$35),P2262,0))</f>
        <v>0</v>
      </c>
      <c r="R2262" s="73">
        <f>IF(ISNA(IF(AND(VLOOKUP(CONCATENATE($D2262,$G2262),CSRFinput!$B:$E,4,0)=0,OR(H2262=MappingTables!$C$31,H2262=MappingTables!$C$32)),1,VLOOKUP(CONCATENATE($D2262,$G2262),CSRFinput!$B:$E,4,0))),0,IF(AND(VLOOKUP(CONCATENATE($D2262,$G2262),CSRFinput!$B:$E,4,0)=0,OR(H2262=MappingTables!$C$31,H2262=MappingTables!$C$32)),1,VLOOKUP(CONCATENATE($D2262,$G2262),CSRFinput!$B:$E,4,0)))</f>
        <v>0.054776304963434752</v>
      </c>
      <c r="S2262" s="73">
        <f>IF(B2262="",0,P2262*R2262)</f>
        <v>47.144013852660136</v>
      </c>
      <c r="T2262" s="85">
        <f>IF(B2262="",0,IF(OR(H2262=MappingTables!$C$34,H2262=MappingTables!$C$35),S2262,0))</f>
        <v>0</v>
      </c>
    </row>
    <row r="2263" spans="2:20" s="0" customFormat="0" ht="15">
      <c r="B2263" s="69" t="s">
        <v>3775</v>
      </c>
      <c r="C2263" s="70" t="s">
        <v>3776</v>
      </c>
      <c r="D2263" s="70" t="s">
        <v>1</v>
      </c>
      <c r="E2263" s="70" t="s">
        <v>1</v>
      </c>
      <c r="F2263" s="70"/>
      <c r="G2263" s="70" t="s">
        <v>61</v>
      </c>
      <c r="H2263" s="70" t="s">
        <v>178</v>
      </c>
      <c r="I2263" s="70" t="s">
        <v>198</v>
      </c>
      <c r="J2263" s="71" t="str">
        <f>IF(OR(I2263=0,I2263=""),"unrated",VLOOKUP(I2263,MappingTables!$B$19:$C$31,2,FALSE))</f>
        <v>unrated</v>
      </c>
      <c r="K2263" s="72">
        <v>1658.8747355408782</v>
      </c>
      <c r="L2263" s="70">
        <v>26.86453228696526</v>
      </c>
      <c r="M2263" s="71">
        <f>IF(L2263&lt;1,1,L2263)</f>
        <v>26.86453228696526</v>
      </c>
      <c r="N2263" s="70" t="s">
        <v>3288</v>
      </c>
      <c r="O2263" s="71">
        <f>IF(OR(I2263=$A$1,I2263=0),"",IF(N2263=MappingTables!$C$14,VLOOKUP(J2263,ModelParameters!$M$8:$N$15,2,FALSE),IF(N2263=MappingTables!$C$16,VLOOKUP(J2263,ModelParameters!$P$8:$Q$15,2,FALSE),0)))</f>
        <v>1</v>
      </c>
      <c r="P2263" s="73">
        <f>IF(OR(I2263=0,I2263=$A$1),0,MIN(O2263*M2263,1)*K2263)</f>
        <v>1658.8747355408782</v>
      </c>
      <c r="Q2263" s="73">
        <f>IF(B2263="",0,IF(OR(H2263=MappingTables!$C$34,H2263=MappingTables!$C$35),P2263,0))</f>
        <v>0</v>
      </c>
      <c r="R2263" s="73">
        <f>IF(ISNA(IF(AND(VLOOKUP(CONCATENATE($D2263,$G2263),CSRFinput!$B:$E,4,0)=0,OR(H2263=MappingTables!$C$31,H2263=MappingTables!$C$32)),1,VLOOKUP(CONCATENATE($D2263,$G2263),CSRFinput!$B:$E,4,0))),0,IF(AND(VLOOKUP(CONCATENATE($D2263,$G2263),CSRFinput!$B:$E,4,0)=0,OR(H2263=MappingTables!$C$31,H2263=MappingTables!$C$32)),1,VLOOKUP(CONCATENATE($D2263,$G2263),CSRFinput!$B:$E,4,0)))</f>
        <v>0.054776304963434752</v>
      </c>
      <c r="S2263" s="73">
        <f>IF(B2263="",0,P2263*R2263)</f>
        <v>90.86702841012432</v>
      </c>
      <c r="T2263" s="85">
        <f>IF(B2263="",0,IF(OR(H2263=MappingTables!$C$34,H2263=MappingTables!$C$35),S2263,0))</f>
        <v>0</v>
      </c>
    </row>
    <row r="2264" spans="2:20" s="0" customFormat="0" ht="15">
      <c r="B2264" s="69">
        <v>4467280</v>
      </c>
      <c r="C2264" s="70" t="s">
        <v>5051</v>
      </c>
      <c r="D2264" s="70" t="s">
        <v>1</v>
      </c>
      <c r="E2264" s="70" t="s">
        <v>1</v>
      </c>
      <c r="F2264" s="70"/>
      <c r="G2264" s="70" t="s">
        <v>61</v>
      </c>
      <c r="H2264" s="70" t="s">
        <v>178</v>
      </c>
      <c r="I2264" s="70" t="s">
        <v>181</v>
      </c>
      <c r="J2264" s="71">
        <f>IF(OR(I2264=0,I2264=""),"unrated",VLOOKUP(I2264,MappingTables!$B$19:$C$31,2,FALSE))</f>
        <v>3</v>
      </c>
      <c r="K2264" s="72">
        <v>283.69144421619832</v>
      </c>
      <c r="L2264" s="70">
        <v>0.068493076234517616</v>
      </c>
      <c r="M2264" s="71">
        <f>IF(L2264&lt;1,1,L2264)</f>
        <v>1</v>
      </c>
      <c r="N2264" s="70" t="s">
        <v>3288</v>
      </c>
      <c r="O2264" s="71">
        <f>IF(OR(I2264=$A$1,I2264=0),"",IF(N2264=MappingTables!$C$14,VLOOKUP(J2264,ModelParameters!$M$8:$N$15,2,FALSE),IF(N2264=MappingTables!$C$16,VLOOKUP(J2264,ModelParameters!$P$8:$Q$15,2,FALSE),0)))</f>
        <v>0.197</v>
      </c>
      <c r="P2264" s="73">
        <f>IF(OR(I2264=0,I2264=$A$1),0,MIN(O2264*M2264,1)*K2264)</f>
        <v>55.887214510591056</v>
      </c>
      <c r="Q2264" s="73">
        <f>IF(B2264="",0,IF(OR(H2264=MappingTables!$C$34,H2264=MappingTables!$C$35),P2264,0))</f>
        <v>0</v>
      </c>
      <c r="R2264" s="73">
        <f>IF(ISNA(IF(AND(VLOOKUP(CONCATENATE($D2264,$G2264),CSRFinput!$B:$E,4,0)=0,OR(H2264=MappingTables!$C$31,H2264=MappingTables!$C$32)),1,VLOOKUP(CONCATENATE($D2264,$G2264),CSRFinput!$B:$E,4,0))),0,IF(AND(VLOOKUP(CONCATENATE($D2264,$G2264),CSRFinput!$B:$E,4,0)=0,OR(H2264=MappingTables!$C$31,H2264=MappingTables!$C$32)),1,VLOOKUP(CONCATENATE($D2264,$G2264),CSRFinput!$B:$E,4,0)))</f>
        <v>0.054776304963434752</v>
      </c>
      <c r="S2264" s="73">
        <f>IF(B2264="",0,P2264*R2264)</f>
        <v>3.0612951055890316</v>
      </c>
      <c r="T2264" s="85">
        <f>IF(B2264="",0,IF(OR(H2264=MappingTables!$C$34,H2264=MappingTables!$C$35),S2264,0))</f>
        <v>0</v>
      </c>
    </row>
    <row r="2265" spans="2:20" s="0" customFormat="0" ht="15">
      <c r="B2265" s="69" t="s">
        <v>5246</v>
      </c>
      <c r="C2265" s="70" t="s">
        <v>5247</v>
      </c>
      <c r="D2265" s="70" t="s">
        <v>1</v>
      </c>
      <c r="E2265" s="70" t="s">
        <v>1</v>
      </c>
      <c r="F2265" s="70"/>
      <c r="G2265" s="70" t="s">
        <v>61</v>
      </c>
      <c r="H2265" s="70" t="s">
        <v>178</v>
      </c>
      <c r="I2265" s="70" t="s">
        <v>198</v>
      </c>
      <c r="J2265" s="71" t="str">
        <f>IF(OR(I2265=0,I2265=""),"unrated",VLOOKUP(I2265,MappingTables!$B$19:$C$31,2,FALSE))</f>
        <v>unrated</v>
      </c>
      <c r="K2265" s="72">
        <v>72.921924077795568</v>
      </c>
      <c r="L2265" s="70">
        <v>0.068492289063682736</v>
      </c>
      <c r="M2265" s="71">
        <f>IF(L2265&lt;1,1,L2265)</f>
        <v>1</v>
      </c>
      <c r="N2265" s="70" t="s">
        <v>3288</v>
      </c>
      <c r="O2265" s="71">
        <f>IF(OR(I2265=$A$1,I2265=0),"",IF(N2265=MappingTables!$C$14,VLOOKUP(J2265,ModelParameters!$M$8:$N$15,2,FALSE),IF(N2265=MappingTables!$C$16,VLOOKUP(J2265,ModelParameters!$P$8:$Q$15,2,FALSE),0)))</f>
        <v>1</v>
      </c>
      <c r="P2265" s="73">
        <f>IF(OR(I2265=0,I2265=$A$1),0,MIN(O2265*M2265,1)*K2265)</f>
        <v>72.921924077795568</v>
      </c>
      <c r="Q2265" s="73">
        <f>IF(B2265="",0,IF(OR(H2265=MappingTables!$C$34,H2265=MappingTables!$C$35),P2265,0))</f>
        <v>0</v>
      </c>
      <c r="R2265" s="73">
        <f>IF(ISNA(IF(AND(VLOOKUP(CONCATENATE($D2265,$G2265),CSRFinput!$B:$E,4,0)=0,OR(H2265=MappingTables!$C$31,H2265=MappingTables!$C$32)),1,VLOOKUP(CONCATENATE($D2265,$G2265),CSRFinput!$B:$E,4,0))),0,IF(AND(VLOOKUP(CONCATENATE($D2265,$G2265),CSRFinput!$B:$E,4,0)=0,OR(H2265=MappingTables!$C$31,H2265=MappingTables!$C$32)),1,VLOOKUP(CONCATENATE($D2265,$G2265),CSRFinput!$B:$E,4,0)))</f>
        <v>0.054776304963434752</v>
      </c>
      <c r="S2265" s="73">
        <f>IF(B2265="",0,P2265*R2265)</f>
        <v>3.9943935518057656</v>
      </c>
      <c r="T2265" s="85">
        <f>IF(B2265="",0,IF(OR(H2265=MappingTables!$C$34,H2265=MappingTables!$C$35),S2265,0))</f>
        <v>0</v>
      </c>
    </row>
    <row r="2266" spans="2:20" s="0" customFormat="0" ht="15">
      <c r="B2266" s="69" t="s">
        <v>4917</v>
      </c>
      <c r="C2266" s="70" t="s">
        <v>4918</v>
      </c>
      <c r="D2266" s="70" t="s">
        <v>1</v>
      </c>
      <c r="E2266" s="70" t="s">
        <v>1</v>
      </c>
      <c r="F2266" s="70"/>
      <c r="G2266" s="70" t="s">
        <v>61</v>
      </c>
      <c r="H2266" s="70" t="s">
        <v>178</v>
      </c>
      <c r="I2266" s="70" t="s">
        <v>198</v>
      </c>
      <c r="J2266" s="71" t="str">
        <f>IF(OR(I2266=0,I2266=""),"unrated",VLOOKUP(I2266,MappingTables!$B$19:$C$31,2,FALSE))</f>
        <v>unrated</v>
      </c>
      <c r="K2266" s="72">
        <v>2.2372801080443664</v>
      </c>
      <c r="L2266" s="70">
        <v>27.114949043278856</v>
      </c>
      <c r="M2266" s="71">
        <f>IF(L2266&lt;1,1,L2266)</f>
        <v>27.114949043278856</v>
      </c>
      <c r="N2266" s="70" t="s">
        <v>3288</v>
      </c>
      <c r="O2266" s="71">
        <f>IF(OR(I2266=$A$1,I2266=0),"",IF(N2266=MappingTables!$C$14,VLOOKUP(J2266,ModelParameters!$M$8:$N$15,2,FALSE),IF(N2266=MappingTables!$C$16,VLOOKUP(J2266,ModelParameters!$P$8:$Q$15,2,FALSE),0)))</f>
        <v>1</v>
      </c>
      <c r="P2266" s="73">
        <f>IF(OR(I2266=0,I2266=$A$1),0,MIN(O2266*M2266,1)*K2266)</f>
        <v>2.2372801080443664</v>
      </c>
      <c r="Q2266" s="73">
        <f>IF(B2266="",0,IF(OR(H2266=MappingTables!$C$34,H2266=MappingTables!$C$35),P2266,0))</f>
        <v>0</v>
      </c>
      <c r="R2266" s="73">
        <f>IF(ISNA(IF(AND(VLOOKUP(CONCATENATE($D2266,$G2266),CSRFinput!$B:$E,4,0)=0,OR(H2266=MappingTables!$C$31,H2266=MappingTables!$C$32)),1,VLOOKUP(CONCATENATE($D2266,$G2266),CSRFinput!$B:$E,4,0))),0,IF(AND(VLOOKUP(CONCATENATE($D2266,$G2266),CSRFinput!$B:$E,4,0)=0,OR(H2266=MappingTables!$C$31,H2266=MappingTables!$C$32)),1,VLOOKUP(CONCATENATE($D2266,$G2266),CSRFinput!$B:$E,4,0)))</f>
        <v>0.054776304963434752</v>
      </c>
      <c r="S2266" s="73">
        <f>IF(B2266="",0,P2266*R2266)</f>
        <v>0.12254993748686448</v>
      </c>
      <c r="T2266" s="85">
        <f>IF(B2266="",0,IF(OR(H2266=MappingTables!$C$34,H2266=MappingTables!$C$35),S2266,0))</f>
        <v>0</v>
      </c>
    </row>
    <row r="2267" spans="2:20" s="0" customFormat="0" ht="15">
      <c r="B2267" s="69" t="s">
        <v>4267</v>
      </c>
      <c r="C2267" s="70" t="s">
        <v>4268</v>
      </c>
      <c r="D2267" s="70" t="s">
        <v>1</v>
      </c>
      <c r="E2267" s="70" t="s">
        <v>1</v>
      </c>
      <c r="F2267" s="70"/>
      <c r="G2267" s="70" t="s">
        <v>61</v>
      </c>
      <c r="H2267" s="70" t="s">
        <v>178</v>
      </c>
      <c r="I2267" s="70" t="s">
        <v>198</v>
      </c>
      <c r="J2267" s="71" t="str">
        <f>IF(OR(I2267=0,I2267=""),"unrated",VLOOKUP(I2267,MappingTables!$B$19:$C$31,2,FALSE))</f>
        <v>unrated</v>
      </c>
      <c r="K2267" s="72">
        <v>1.5805296442552876</v>
      </c>
      <c r="L2267" s="70">
        <v>3.9242927266221488</v>
      </c>
      <c r="M2267" s="71">
        <f>IF(L2267&lt;1,1,L2267)</f>
        <v>3.9242927266221488</v>
      </c>
      <c r="N2267" s="70" t="s">
        <v>3288</v>
      </c>
      <c r="O2267" s="71">
        <f>IF(OR(I2267=$A$1,I2267=0),"",IF(N2267=MappingTables!$C$14,VLOOKUP(J2267,ModelParameters!$M$8:$N$15,2,FALSE),IF(N2267=MappingTables!$C$16,VLOOKUP(J2267,ModelParameters!$P$8:$Q$15,2,FALSE),0)))</f>
        <v>1</v>
      </c>
      <c r="P2267" s="73">
        <f>IF(OR(I2267=0,I2267=$A$1),0,MIN(O2267*M2267,1)*K2267)</f>
        <v>1.5805296442552876</v>
      </c>
      <c r="Q2267" s="73">
        <f>IF(B2267="",0,IF(OR(H2267=MappingTables!$C$34,H2267=MappingTables!$C$35),P2267,0))</f>
        <v>0</v>
      </c>
      <c r="R2267" s="73">
        <f>IF(ISNA(IF(AND(VLOOKUP(CONCATENATE($D2267,$G2267),CSRFinput!$B:$E,4,0)=0,OR(H2267=MappingTables!$C$31,H2267=MappingTables!$C$32)),1,VLOOKUP(CONCATENATE($D2267,$G2267),CSRFinput!$B:$E,4,0))),0,IF(AND(VLOOKUP(CONCATENATE($D2267,$G2267),CSRFinput!$B:$E,4,0)=0,OR(H2267=MappingTables!$C$31,H2267=MappingTables!$C$32)),1,VLOOKUP(CONCATENATE($D2267,$G2267),CSRFinput!$B:$E,4,0)))</f>
        <v>0.054776304963434752</v>
      </c>
      <c r="S2267" s="73">
        <f>IF(B2267="",0,P2267*R2267)</f>
        <v>0.086575573797476672</v>
      </c>
      <c r="T2267" s="85">
        <f>IF(B2267="",0,IF(OR(H2267=MappingTables!$C$34,H2267=MappingTables!$C$35),S2267,0))</f>
        <v>0</v>
      </c>
    </row>
    <row r="2268" spans="2:20" s="0" customFormat="0" ht="15">
      <c r="B2268" s="69" t="s">
        <v>5236</v>
      </c>
      <c r="C2268" s="70" t="s">
        <v>5237</v>
      </c>
      <c r="D2268" s="70" t="s">
        <v>1</v>
      </c>
      <c r="E2268" s="70" t="s">
        <v>1</v>
      </c>
      <c r="F2268" s="70"/>
      <c r="G2268" s="70" t="s">
        <v>61</v>
      </c>
      <c r="H2268" s="70" t="s">
        <v>178</v>
      </c>
      <c r="I2268" s="70" t="s">
        <v>198</v>
      </c>
      <c r="J2268" s="71" t="str">
        <f>IF(OR(I2268=0,I2268=""),"unrated",VLOOKUP(I2268,MappingTables!$B$19:$C$31,2,FALSE))</f>
        <v>unrated</v>
      </c>
      <c r="K2268" s="72">
        <v>58.335279145540312</v>
      </c>
      <c r="L2268" s="70">
        <v>7.9422716539360368</v>
      </c>
      <c r="M2268" s="71">
        <f>IF(L2268&lt;1,1,L2268)</f>
        <v>7.9422716539360368</v>
      </c>
      <c r="N2268" s="70" t="s">
        <v>3288</v>
      </c>
      <c r="O2268" s="71">
        <f>IF(OR(I2268=$A$1,I2268=0),"",IF(N2268=MappingTables!$C$14,VLOOKUP(J2268,ModelParameters!$M$8:$N$15,2,FALSE),IF(N2268=MappingTables!$C$16,VLOOKUP(J2268,ModelParameters!$P$8:$Q$15,2,FALSE),0)))</f>
        <v>1</v>
      </c>
      <c r="P2268" s="73">
        <f>IF(OR(I2268=0,I2268=$A$1),0,MIN(O2268*M2268,1)*K2268)</f>
        <v>58.335279145540312</v>
      </c>
      <c r="Q2268" s="73">
        <f>IF(B2268="",0,IF(OR(H2268=MappingTables!$C$34,H2268=MappingTables!$C$35),P2268,0))</f>
        <v>0</v>
      </c>
      <c r="R2268" s="73">
        <f>IF(ISNA(IF(AND(VLOOKUP(CONCATENATE($D2268,$G2268),CSRFinput!$B:$E,4,0)=0,OR(H2268=MappingTables!$C$31,H2268=MappingTables!$C$32)),1,VLOOKUP(CONCATENATE($D2268,$G2268),CSRFinput!$B:$E,4,0))),0,IF(AND(VLOOKUP(CONCATENATE($D2268,$G2268),CSRFinput!$B:$E,4,0)=0,OR(H2268=MappingTables!$C$31,H2268=MappingTables!$C$32)),1,VLOOKUP(CONCATENATE($D2268,$G2268),CSRFinput!$B:$E,4,0)))</f>
        <v>0.054776304963434752</v>
      </c>
      <c r="S2268" s="73">
        <f>IF(B2268="",0,P2268*R2268)</f>
        <v>3.1953910406032116</v>
      </c>
      <c r="T2268" s="85">
        <f>IF(B2268="",0,IF(OR(H2268=MappingTables!$C$34,H2268=MappingTables!$C$35),S2268,0))</f>
        <v>0</v>
      </c>
    </row>
    <row r="2269" spans="2:20" s="0" customFormat="0" ht="15">
      <c r="B2269" s="69" t="s">
        <v>4731</v>
      </c>
      <c r="C2269" s="70" t="s">
        <v>4732</v>
      </c>
      <c r="D2269" s="70" t="s">
        <v>1</v>
      </c>
      <c r="E2269" s="70" t="s">
        <v>1</v>
      </c>
      <c r="F2269" s="70"/>
      <c r="G2269" s="70" t="s">
        <v>61</v>
      </c>
      <c r="H2269" s="70" t="s">
        <v>178</v>
      </c>
      <c r="I2269" s="70" t="s">
        <v>204</v>
      </c>
      <c r="J2269" s="71">
        <f>IF(OR(I2269=0,I2269=""),"unrated",VLOOKUP(I2269,MappingTables!$B$19:$C$31,2,FALSE))</f>
        <v>6</v>
      </c>
      <c r="K2269" s="72">
        <v>148.71207979123554</v>
      </c>
      <c r="L2269" s="70">
        <v>0.0520506877386566</v>
      </c>
      <c r="M2269" s="71">
        <f>IF(L2269&lt;1,1,L2269)</f>
        <v>1</v>
      </c>
      <c r="N2269" s="70" t="s">
        <v>3288</v>
      </c>
      <c r="O2269" s="71">
        <f>IF(OR(I2269=$A$1,I2269=0),"",IF(N2269=MappingTables!$C$14,VLOOKUP(J2269,ModelParameters!$M$8:$N$15,2,FALSE),IF(N2269=MappingTables!$C$16,VLOOKUP(J2269,ModelParameters!$P$8:$Q$15,2,FALSE),0)))</f>
        <v>1</v>
      </c>
      <c r="P2269" s="73">
        <f>IF(OR(I2269=0,I2269=$A$1),0,MIN(O2269*M2269,1)*K2269)</f>
        <v>148.71207979123554</v>
      </c>
      <c r="Q2269" s="73">
        <f>IF(B2269="",0,IF(OR(H2269=MappingTables!$C$34,H2269=MappingTables!$C$35),P2269,0))</f>
        <v>0</v>
      </c>
      <c r="R2269" s="73">
        <f>IF(ISNA(IF(AND(VLOOKUP(CONCATENATE($D2269,$G2269),CSRFinput!$B:$E,4,0)=0,OR(H2269=MappingTables!$C$31,H2269=MappingTables!$C$32)),1,VLOOKUP(CONCATENATE($D2269,$G2269),CSRFinput!$B:$E,4,0))),0,IF(AND(VLOOKUP(CONCATENATE($D2269,$G2269),CSRFinput!$B:$E,4,0)=0,OR(H2269=MappingTables!$C$31,H2269=MappingTables!$C$32)),1,VLOOKUP(CONCATENATE($D2269,$G2269),CSRFinput!$B:$E,4,0)))</f>
        <v>0.054776304963434752</v>
      </c>
      <c r="S2269" s="73">
        <f>IF(B2269="",0,P2269*R2269)</f>
        <v>8.14589823439136</v>
      </c>
      <c r="T2269" s="85">
        <f>IF(B2269="",0,IF(OR(H2269=MappingTables!$C$34,H2269=MappingTables!$C$35),S2269,0))</f>
        <v>0</v>
      </c>
    </row>
    <row r="2270" spans="2:20" s="0" customFormat="0" ht="15">
      <c r="B2270" s="69" t="s">
        <v>3397</v>
      </c>
      <c r="C2270" s="70" t="s">
        <v>3398</v>
      </c>
      <c r="D2270" s="70" t="s">
        <v>1</v>
      </c>
      <c r="E2270" s="70" t="s">
        <v>1</v>
      </c>
      <c r="F2270" s="70"/>
      <c r="G2270" s="70" t="s">
        <v>61</v>
      </c>
      <c r="H2270" s="70" t="s">
        <v>178</v>
      </c>
      <c r="I2270" s="70" t="s">
        <v>3298</v>
      </c>
      <c r="J2270" s="71">
        <f>IF(OR(I2270=0,I2270=""),"unrated",VLOOKUP(I2270,MappingTables!$B$19:$C$31,2,FALSE))</f>
        <v>6</v>
      </c>
      <c r="K2270" s="72">
        <v>2125.7297010853952</v>
      </c>
      <c r="L2270" s="70">
        <v>-0.2440694748777504</v>
      </c>
      <c r="M2270" s="71">
        <f>IF(L2270&lt;1,1,L2270)</f>
        <v>1</v>
      </c>
      <c r="N2270" s="70" t="s">
        <v>3288</v>
      </c>
      <c r="O2270" s="71">
        <f>IF(OR(I2270=$A$1,I2270=0),"",IF(N2270=MappingTables!$C$14,VLOOKUP(J2270,ModelParameters!$M$8:$N$15,2,FALSE),IF(N2270=MappingTables!$C$16,VLOOKUP(J2270,ModelParameters!$P$8:$Q$15,2,FALSE),0)))</f>
        <v>1</v>
      </c>
      <c r="P2270" s="73">
        <f>IF(OR(I2270=0,I2270=$A$1),0,MIN(O2270*M2270,1)*K2270)</f>
        <v>2125.7297010853952</v>
      </c>
      <c r="Q2270" s="73">
        <f>IF(B2270="",0,IF(OR(H2270=MappingTables!$C$34,H2270=MappingTables!$C$35),P2270,0))</f>
        <v>0</v>
      </c>
      <c r="R2270" s="73">
        <f>IF(ISNA(IF(AND(VLOOKUP(CONCATENATE($D2270,$G2270),CSRFinput!$B:$E,4,0)=0,OR(H2270=MappingTables!$C$31,H2270=MappingTables!$C$32)),1,VLOOKUP(CONCATENATE($D2270,$G2270),CSRFinput!$B:$E,4,0))),0,IF(AND(VLOOKUP(CONCATENATE($D2270,$G2270),CSRFinput!$B:$E,4,0)=0,OR(H2270=MappingTables!$C$31,H2270=MappingTables!$C$32)),1,VLOOKUP(CONCATENATE($D2270,$G2270),CSRFinput!$B:$E,4,0)))</f>
        <v>0.054776304963434752</v>
      </c>
      <c r="S2270" s="73">
        <f>IF(B2270="",0,P2270*R2270)</f>
        <v>116.43961837648462</v>
      </c>
      <c r="T2270" s="85">
        <f>IF(B2270="",0,IF(OR(H2270=MappingTables!$C$34,H2270=MappingTables!$C$35),S2270,0))</f>
        <v>0</v>
      </c>
    </row>
    <row r="2271" spans="2:20" s="0" customFormat="0" ht="15">
      <c r="B2271" s="69" t="s">
        <v>3309</v>
      </c>
      <c r="C2271" s="70" t="s">
        <v>3310</v>
      </c>
      <c r="D2271" s="70" t="s">
        <v>1</v>
      </c>
      <c r="E2271" s="70" t="s">
        <v>1</v>
      </c>
      <c r="F2271" s="70"/>
      <c r="G2271" s="70" t="s">
        <v>61</v>
      </c>
      <c r="H2271" s="70" t="s">
        <v>178</v>
      </c>
      <c r="I2271" s="70" t="s">
        <v>198</v>
      </c>
      <c r="J2271" s="71" t="str">
        <f>IF(OR(I2271=0,I2271=""),"unrated",VLOOKUP(I2271,MappingTables!$B$19:$C$31,2,FALSE))</f>
        <v>unrated</v>
      </c>
      <c r="K2271" s="72">
        <v>6.0273274227189296</v>
      </c>
      <c r="L2271" s="70">
        <v>40.297326172255504</v>
      </c>
      <c r="M2271" s="71">
        <f>IF(L2271&lt;1,1,L2271)</f>
        <v>40.297326172255504</v>
      </c>
      <c r="N2271" s="70" t="s">
        <v>3288</v>
      </c>
      <c r="O2271" s="71">
        <f>IF(OR(I2271=$A$1,I2271=0),"",IF(N2271=MappingTables!$C$14,VLOOKUP(J2271,ModelParameters!$M$8:$N$15,2,FALSE),IF(N2271=MappingTables!$C$16,VLOOKUP(J2271,ModelParameters!$P$8:$Q$15,2,FALSE),0)))</f>
        <v>1</v>
      </c>
      <c r="P2271" s="73">
        <f>IF(OR(I2271=0,I2271=$A$1),0,MIN(O2271*M2271,1)*K2271)</f>
        <v>6.0273274227189296</v>
      </c>
      <c r="Q2271" s="73">
        <f>IF(B2271="",0,IF(OR(H2271=MappingTables!$C$34,H2271=MappingTables!$C$35),P2271,0))</f>
        <v>0</v>
      </c>
      <c r="R2271" s="73">
        <f>IF(ISNA(IF(AND(VLOOKUP(CONCATENATE($D2271,$G2271),CSRFinput!$B:$E,4,0)=0,OR(H2271=MappingTables!$C$31,H2271=MappingTables!$C$32)),1,VLOOKUP(CONCATENATE($D2271,$G2271),CSRFinput!$B:$E,4,0))),0,IF(AND(VLOOKUP(CONCATENATE($D2271,$G2271),CSRFinput!$B:$E,4,0)=0,OR(H2271=MappingTables!$C$31,H2271=MappingTables!$C$32)),1,VLOOKUP(CONCATENATE($D2271,$G2271),CSRFinput!$B:$E,4,0)))</f>
        <v>0.054776304963434752</v>
      </c>
      <c r="S2271" s="73">
        <f>IF(B2271="",0,P2271*R2271)</f>
        <v>0.33015472502132532</v>
      </c>
      <c r="T2271" s="85">
        <f>IF(B2271="",0,IF(OR(H2271=MappingTables!$C$34,H2271=MappingTables!$C$35),S2271,0))</f>
        <v>0</v>
      </c>
    </row>
    <row r="2272" spans="2:20" s="0" customFormat="0" ht="15">
      <c r="B2272" s="69">
        <v>19567725</v>
      </c>
      <c r="C2272" s="70" t="s">
        <v>4721</v>
      </c>
      <c r="D2272" s="70" t="s">
        <v>1</v>
      </c>
      <c r="E2272" s="70" t="s">
        <v>1</v>
      </c>
      <c r="F2272" s="70"/>
      <c r="G2272" s="70" t="s">
        <v>61</v>
      </c>
      <c r="H2272" s="70" t="s">
        <v>178</v>
      </c>
      <c r="I2272" s="70" t="s">
        <v>216</v>
      </c>
      <c r="J2272" s="71">
        <f>IF(OR(I2272=0,I2272=""),"unrated",VLOOKUP(I2272,MappingTables!$B$19:$C$31,2,FALSE))</f>
        <v>0</v>
      </c>
      <c r="K2272" s="72">
        <v>539.6860642942736</v>
      </c>
      <c r="L2272" s="70">
        <v>0.022563734548778264</v>
      </c>
      <c r="M2272" s="71">
        <f>IF(L2272&lt;1,1,L2272)</f>
        <v>1</v>
      </c>
      <c r="N2272" s="70" t="s">
        <v>3288</v>
      </c>
      <c r="O2272" s="71">
        <f>IF(OR(I2272=$A$1,I2272=0),"",IF(N2272=MappingTables!$C$14,VLOOKUP(J2272,ModelParameters!$M$8:$N$15,2,FALSE),IF(N2272=MappingTables!$C$16,VLOOKUP(J2272,ModelParameters!$P$8:$Q$15,2,FALSE),0)))</f>
        <v>0.125</v>
      </c>
      <c r="P2272" s="73">
        <f>IF(OR(I2272=0,I2272=$A$1),0,MIN(O2272*M2272,1)*K2272)</f>
        <v>67.4607580367842</v>
      </c>
      <c r="Q2272" s="73">
        <f>IF(B2272="",0,IF(OR(H2272=MappingTables!$C$34,H2272=MappingTables!$C$35),P2272,0))</f>
        <v>0</v>
      </c>
      <c r="R2272" s="73">
        <f>IF(ISNA(IF(AND(VLOOKUP(CONCATENATE($D2272,$G2272),CSRFinput!$B:$E,4,0)=0,OR(H2272=MappingTables!$C$31,H2272=MappingTables!$C$32)),1,VLOOKUP(CONCATENATE($D2272,$G2272),CSRFinput!$B:$E,4,0))),0,IF(AND(VLOOKUP(CONCATENATE($D2272,$G2272),CSRFinput!$B:$E,4,0)=0,OR(H2272=MappingTables!$C$31,H2272=MappingTables!$C$32)),1,VLOOKUP(CONCATENATE($D2272,$G2272),CSRFinput!$B:$E,4,0)))</f>
        <v>0.054776304963434752</v>
      </c>
      <c r="S2272" s="73">
        <f>IF(B2272="",0,P2272*R2272)</f>
        <v>3.6952510552873728</v>
      </c>
      <c r="T2272" s="85">
        <f>IF(B2272="",0,IF(OR(H2272=MappingTables!$C$34,H2272=MappingTables!$C$35),S2272,0))</f>
        <v>0</v>
      </c>
    </row>
    <row r="2273" spans="2:20" s="0" customFormat="0" ht="15">
      <c r="B2273" s="69" t="s">
        <v>4779</v>
      </c>
      <c r="C2273" s="70" t="s">
        <v>4780</v>
      </c>
      <c r="D2273" s="70" t="s">
        <v>1</v>
      </c>
      <c r="E2273" s="70" t="s">
        <v>1</v>
      </c>
      <c r="F2273" s="70"/>
      <c r="G2273" s="70" t="s">
        <v>61</v>
      </c>
      <c r="H2273" s="70" t="s">
        <v>178</v>
      </c>
      <c r="I2273" s="70" t="s">
        <v>198</v>
      </c>
      <c r="J2273" s="71" t="str">
        <f>IF(OR(I2273=0,I2273=""),"unrated",VLOOKUP(I2273,MappingTables!$B$19:$C$31,2,FALSE))</f>
        <v>unrated</v>
      </c>
      <c r="K2273" s="72">
        <v>1.9958096817769136</v>
      </c>
      <c r="L2273" s="70">
        <v>8.5523080135107088</v>
      </c>
      <c r="M2273" s="71">
        <f>IF(L2273&lt;1,1,L2273)</f>
        <v>8.5523080135107088</v>
      </c>
      <c r="N2273" s="70" t="s">
        <v>3288</v>
      </c>
      <c r="O2273" s="71">
        <f>IF(OR(I2273=$A$1,I2273=0),"",IF(N2273=MappingTables!$C$14,VLOOKUP(J2273,ModelParameters!$M$8:$N$15,2,FALSE),IF(N2273=MappingTables!$C$16,VLOOKUP(J2273,ModelParameters!$P$8:$Q$15,2,FALSE),0)))</f>
        <v>1</v>
      </c>
      <c r="P2273" s="73">
        <f>IF(OR(I2273=0,I2273=$A$1),0,MIN(O2273*M2273,1)*K2273)</f>
        <v>1.9958096817769136</v>
      </c>
      <c r="Q2273" s="73">
        <f>IF(B2273="",0,IF(OR(H2273=MappingTables!$C$34,H2273=MappingTables!$C$35),P2273,0))</f>
        <v>0</v>
      </c>
      <c r="R2273" s="73">
        <f>IF(ISNA(IF(AND(VLOOKUP(CONCATENATE($D2273,$G2273),CSRFinput!$B:$E,4,0)=0,OR(H2273=MappingTables!$C$31,H2273=MappingTables!$C$32)),1,VLOOKUP(CONCATENATE($D2273,$G2273),CSRFinput!$B:$E,4,0))),0,IF(AND(VLOOKUP(CONCATENATE($D2273,$G2273),CSRFinput!$B:$E,4,0)=0,OR(H2273=MappingTables!$C$31,H2273=MappingTables!$C$32)),1,VLOOKUP(CONCATENATE($D2273,$G2273),CSRFinput!$B:$E,4,0)))</f>
        <v>0.054776304963434752</v>
      </c>
      <c r="S2273" s="73">
        <f>IF(B2273="",0,P2273*R2273)</f>
        <v>0.10932307977798788</v>
      </c>
      <c r="T2273" s="85">
        <f>IF(B2273="",0,IF(OR(H2273=MappingTables!$C$34,H2273=MappingTables!$C$35),S2273,0))</f>
        <v>0</v>
      </c>
    </row>
    <row r="2274" spans="2:20" s="0" customFormat="0" ht="15">
      <c r="B2274" s="69" t="s">
        <v>5151</v>
      </c>
      <c r="C2274" s="70" t="s">
        <v>5152</v>
      </c>
      <c r="D2274" s="70" t="s">
        <v>1</v>
      </c>
      <c r="E2274" s="70" t="s">
        <v>1</v>
      </c>
      <c r="F2274" s="70"/>
      <c r="G2274" s="70" t="s">
        <v>61</v>
      </c>
      <c r="H2274" s="70" t="s">
        <v>178</v>
      </c>
      <c r="I2274" s="70" t="s">
        <v>198</v>
      </c>
      <c r="J2274" s="71" t="str">
        <f>IF(OR(I2274=0,I2274=""),"unrated",VLOOKUP(I2274,MappingTables!$B$19:$C$31,2,FALSE))</f>
        <v>unrated</v>
      </c>
      <c r="K2274" s="72">
        <v>128.54805926290646</v>
      </c>
      <c r="L2274" s="70">
        <v>30.106585309914992</v>
      </c>
      <c r="M2274" s="71">
        <f>IF(L2274&lt;1,1,L2274)</f>
        <v>30.106585309914992</v>
      </c>
      <c r="N2274" s="70" t="s">
        <v>3288</v>
      </c>
      <c r="O2274" s="71">
        <f>IF(OR(I2274=$A$1,I2274=0),"",IF(N2274=MappingTables!$C$14,VLOOKUP(J2274,ModelParameters!$M$8:$N$15,2,FALSE),IF(N2274=MappingTables!$C$16,VLOOKUP(J2274,ModelParameters!$P$8:$Q$15,2,FALSE),0)))</f>
        <v>1</v>
      </c>
      <c r="P2274" s="73">
        <f>IF(OR(I2274=0,I2274=$A$1),0,MIN(O2274*M2274,1)*K2274)</f>
        <v>128.54805926290646</v>
      </c>
      <c r="Q2274" s="73">
        <f>IF(B2274="",0,IF(OR(H2274=MappingTables!$C$34,H2274=MappingTables!$C$35),P2274,0))</f>
        <v>0</v>
      </c>
      <c r="R2274" s="73">
        <f>IF(ISNA(IF(AND(VLOOKUP(CONCATENATE($D2274,$G2274),CSRFinput!$B:$E,4,0)=0,OR(H2274=MappingTables!$C$31,H2274=MappingTables!$C$32)),1,VLOOKUP(CONCATENATE($D2274,$G2274),CSRFinput!$B:$E,4,0))),0,IF(AND(VLOOKUP(CONCATENATE($D2274,$G2274),CSRFinput!$B:$E,4,0)=0,OR(H2274=MappingTables!$C$31,H2274=MappingTables!$C$32)),1,VLOOKUP(CONCATENATE($D2274,$G2274),CSRFinput!$B:$E,4,0)))</f>
        <v>0.054776304963434752</v>
      </c>
      <c r="S2274" s="73">
        <f>IF(B2274="",0,P2274*R2274)</f>
        <v>7.041387696642648</v>
      </c>
      <c r="T2274" s="85">
        <f>IF(B2274="",0,IF(OR(H2274=MappingTables!$C$34,H2274=MappingTables!$C$35),S2274,0))</f>
        <v>0</v>
      </c>
    </row>
    <row r="2275" spans="2:20" s="0" customFormat="0" ht="15">
      <c r="B2275" s="69" t="s">
        <v>5250</v>
      </c>
      <c r="C2275" s="70" t="s">
        <v>5251</v>
      </c>
      <c r="D2275" s="70" t="s">
        <v>1</v>
      </c>
      <c r="E2275" s="70" t="s">
        <v>1</v>
      </c>
      <c r="F2275" s="70"/>
      <c r="G2275" s="70" t="s">
        <v>61</v>
      </c>
      <c r="H2275" s="70" t="s">
        <v>178</v>
      </c>
      <c r="I2275" s="70" t="s">
        <v>3298</v>
      </c>
      <c r="J2275" s="71">
        <f>IF(OR(I2275=0,I2275=""),"unrated",VLOOKUP(I2275,MappingTables!$B$19:$C$31,2,FALSE))</f>
        <v>6</v>
      </c>
      <c r="K2275" s="72">
        <v>1008.5446728622798</v>
      </c>
      <c r="L2275" s="70">
        <v>0.068492333076466584</v>
      </c>
      <c r="M2275" s="71">
        <f>IF(L2275&lt;1,1,L2275)</f>
        <v>1</v>
      </c>
      <c r="N2275" s="70" t="s">
        <v>3288</v>
      </c>
      <c r="O2275" s="71">
        <f>IF(OR(I2275=$A$1,I2275=0),"",IF(N2275=MappingTables!$C$14,VLOOKUP(J2275,ModelParameters!$M$8:$N$15,2,FALSE),IF(N2275=MappingTables!$C$16,VLOOKUP(J2275,ModelParameters!$P$8:$Q$15,2,FALSE),0)))</f>
        <v>1</v>
      </c>
      <c r="P2275" s="73">
        <f>IF(OR(I2275=0,I2275=$A$1),0,MIN(O2275*M2275,1)*K2275)</f>
        <v>1008.5446728622798</v>
      </c>
      <c r="Q2275" s="73">
        <f>IF(B2275="",0,IF(OR(H2275=MappingTables!$C$34,H2275=MappingTables!$C$35),P2275,0))</f>
        <v>0</v>
      </c>
      <c r="R2275" s="73">
        <f>IF(ISNA(IF(AND(VLOOKUP(CONCATENATE($D2275,$G2275),CSRFinput!$B:$E,4,0)=0,OR(H2275=MappingTables!$C$31,H2275=MappingTables!$C$32)),1,VLOOKUP(CONCATENATE($D2275,$G2275),CSRFinput!$B:$E,4,0))),0,IF(AND(VLOOKUP(CONCATENATE($D2275,$G2275),CSRFinput!$B:$E,4,0)=0,OR(H2275=MappingTables!$C$31,H2275=MappingTables!$C$32)),1,VLOOKUP(CONCATENATE($D2275,$G2275),CSRFinput!$B:$E,4,0)))</f>
        <v>0.054776304963434752</v>
      </c>
      <c r="S2275" s="73">
        <f>IF(B2275="",0,P2275*R2275)</f>
        <v>55.244350569951776</v>
      </c>
      <c r="T2275" s="85">
        <f>IF(B2275="",0,IF(OR(H2275=MappingTables!$C$34,H2275=MappingTables!$C$35),S2275,0))</f>
        <v>0</v>
      </c>
    </row>
    <row r="2276" spans="2:20" s="0" customFormat="0" ht="15">
      <c r="B2276" s="69">
        <v>1928588</v>
      </c>
      <c r="C2276" s="70" t="s">
        <v>4250</v>
      </c>
      <c r="D2276" s="70" t="s">
        <v>1</v>
      </c>
      <c r="E2276" s="70" t="s">
        <v>1</v>
      </c>
      <c r="F2276" s="70"/>
      <c r="G2276" s="70" t="s">
        <v>61</v>
      </c>
      <c r="H2276" s="70" t="s">
        <v>178</v>
      </c>
      <c r="I2276" s="70" t="s">
        <v>179</v>
      </c>
      <c r="J2276" s="71">
        <f>IF(OR(I2276=0,I2276=""),"unrated",VLOOKUP(I2276,MappingTables!$B$19:$C$31,2,FALSE))</f>
        <v>4</v>
      </c>
      <c r="K2276" s="72">
        <v>161.0738090767202</v>
      </c>
      <c r="L2276" s="70">
        <v>0.068494935452560992</v>
      </c>
      <c r="M2276" s="71">
        <f>IF(L2276&lt;1,1,L2276)</f>
        <v>1</v>
      </c>
      <c r="N2276" s="70" t="s">
        <v>3288</v>
      </c>
      <c r="O2276" s="71">
        <f>IF(OR(I2276=$A$1,I2276=0),"",IF(N2276=MappingTables!$C$14,VLOOKUP(J2276,ModelParameters!$M$8:$N$15,2,FALSE),IF(N2276=MappingTables!$C$16,VLOOKUP(J2276,ModelParameters!$P$8:$Q$15,2,FALSE),0)))</f>
        <v>0.82</v>
      </c>
      <c r="P2276" s="73">
        <f>IF(OR(I2276=0,I2276=$A$1),0,MIN(O2276*M2276,1)*K2276)</f>
        <v>132.08052344291056</v>
      </c>
      <c r="Q2276" s="73">
        <f>IF(B2276="",0,IF(OR(H2276=MappingTables!$C$34,H2276=MappingTables!$C$35),P2276,0))</f>
        <v>0</v>
      </c>
      <c r="R2276" s="73">
        <f>IF(ISNA(IF(AND(VLOOKUP(CONCATENATE($D2276,$G2276),CSRFinput!$B:$E,4,0)=0,OR(H2276=MappingTables!$C$31,H2276=MappingTables!$C$32)),1,VLOOKUP(CONCATENATE($D2276,$G2276),CSRFinput!$B:$E,4,0))),0,IF(AND(VLOOKUP(CONCATENATE($D2276,$G2276),CSRFinput!$B:$E,4,0)=0,OR(H2276=MappingTables!$C$31,H2276=MappingTables!$C$32)),1,VLOOKUP(CONCATENATE($D2276,$G2276),CSRFinput!$B:$E,4,0)))</f>
        <v>0.054776304963434752</v>
      </c>
      <c r="S2276" s="73">
        <f>IF(B2276="",0,P2276*R2276)</f>
        <v>7.2348830318389616</v>
      </c>
      <c r="T2276" s="85">
        <f>IF(B2276="",0,IF(OR(H2276=MappingTables!$C$34,H2276=MappingTables!$C$35),S2276,0))</f>
        <v>0</v>
      </c>
    </row>
    <row r="2277" spans="2:20" s="0" customFormat="0" ht="15">
      <c r="B2277" s="69">
        <v>20113245</v>
      </c>
      <c r="C2277" s="70" t="s">
        <v>3364</v>
      </c>
      <c r="D2277" s="70" t="s">
        <v>1</v>
      </c>
      <c r="E2277" s="70" t="s">
        <v>1</v>
      </c>
      <c r="F2277" s="70"/>
      <c r="G2277" s="70" t="s">
        <v>61</v>
      </c>
      <c r="H2277" s="70" t="s">
        <v>178</v>
      </c>
      <c r="I2277" s="70" t="s">
        <v>198</v>
      </c>
      <c r="J2277" s="71" t="str">
        <f>IF(OR(I2277=0,I2277=""),"unrated",VLOOKUP(I2277,MappingTables!$B$19:$C$31,2,FALSE))</f>
        <v>unrated</v>
      </c>
      <c r="K2277" s="72">
        <v>2011.8682843756184</v>
      </c>
      <c r="L2277" s="70">
        <v>0.060952951062313136</v>
      </c>
      <c r="M2277" s="71">
        <f>IF(L2277&lt;1,1,L2277)</f>
        <v>1</v>
      </c>
      <c r="N2277" s="70" t="s">
        <v>3288</v>
      </c>
      <c r="O2277" s="71">
        <f>IF(OR(I2277=$A$1,I2277=0),"",IF(N2277=MappingTables!$C$14,VLOOKUP(J2277,ModelParameters!$M$8:$N$15,2,FALSE),IF(N2277=MappingTables!$C$16,VLOOKUP(J2277,ModelParameters!$P$8:$Q$15,2,FALSE),0)))</f>
        <v>1</v>
      </c>
      <c r="P2277" s="73">
        <f>IF(OR(I2277=0,I2277=$A$1),0,MIN(O2277*M2277,1)*K2277)</f>
        <v>2011.8682843756184</v>
      </c>
      <c r="Q2277" s="73">
        <f>IF(B2277="",0,IF(OR(H2277=MappingTables!$C$34,H2277=MappingTables!$C$35),P2277,0))</f>
        <v>0</v>
      </c>
      <c r="R2277" s="73">
        <f>IF(ISNA(IF(AND(VLOOKUP(CONCATENATE($D2277,$G2277),CSRFinput!$B:$E,4,0)=0,OR(H2277=MappingTables!$C$31,H2277=MappingTables!$C$32)),1,VLOOKUP(CONCATENATE($D2277,$G2277),CSRFinput!$B:$E,4,0))),0,IF(AND(VLOOKUP(CONCATENATE($D2277,$G2277),CSRFinput!$B:$E,4,0)=0,OR(H2277=MappingTables!$C$31,H2277=MappingTables!$C$32)),1,VLOOKUP(CONCATENATE($D2277,$G2277),CSRFinput!$B:$E,4,0)))</f>
        <v>0.054776304963434752</v>
      </c>
      <c r="S2277" s="73">
        <f>IF(B2277="",0,P2277*R2277)</f>
        <v>110.20271069122114</v>
      </c>
      <c r="T2277" s="85">
        <f>IF(B2277="",0,IF(OR(H2277=MappingTables!$C$34,H2277=MappingTables!$C$35),S2277,0))</f>
        <v>0</v>
      </c>
    </row>
    <row r="2278" spans="2:20" s="0" customFormat="0" ht="15">
      <c r="B2278" s="69" t="s">
        <v>4111</v>
      </c>
      <c r="C2278" s="70" t="s">
        <v>4112</v>
      </c>
      <c r="D2278" s="70" t="s">
        <v>1</v>
      </c>
      <c r="E2278" s="70" t="s">
        <v>1</v>
      </c>
      <c r="F2278" s="70"/>
      <c r="G2278" s="70" t="s">
        <v>61</v>
      </c>
      <c r="H2278" s="70" t="s">
        <v>178</v>
      </c>
      <c r="I2278" s="70" t="s">
        <v>198</v>
      </c>
      <c r="J2278" s="71" t="str">
        <f>IF(OR(I2278=0,I2278=""),"unrated",VLOOKUP(I2278,MappingTables!$B$19:$C$31,2,FALSE))</f>
        <v>unrated</v>
      </c>
      <c r="K2278" s="72">
        <v>1.8264184113250296</v>
      </c>
      <c r="L2278" s="70">
        <v>40.29732617225552</v>
      </c>
      <c r="M2278" s="71">
        <f>IF(L2278&lt;1,1,L2278)</f>
        <v>40.29732617225552</v>
      </c>
      <c r="N2278" s="70" t="s">
        <v>3288</v>
      </c>
      <c r="O2278" s="71">
        <f>IF(OR(I2278=$A$1,I2278=0),"",IF(N2278=MappingTables!$C$14,VLOOKUP(J2278,ModelParameters!$M$8:$N$15,2,FALSE),IF(N2278=MappingTables!$C$16,VLOOKUP(J2278,ModelParameters!$P$8:$Q$15,2,FALSE),0)))</f>
        <v>1</v>
      </c>
      <c r="P2278" s="73">
        <f>IF(OR(I2278=0,I2278=$A$1),0,MIN(O2278*M2278,1)*K2278)</f>
        <v>1.8264184113250296</v>
      </c>
      <c r="Q2278" s="73">
        <f>IF(B2278="",0,IF(OR(H2278=MappingTables!$C$34,H2278=MappingTables!$C$35),P2278,0))</f>
        <v>0</v>
      </c>
      <c r="R2278" s="73">
        <f>IF(ISNA(IF(AND(VLOOKUP(CONCATENATE($D2278,$G2278),CSRFinput!$B:$E,4,0)=0,OR(H2278=MappingTables!$C$31,H2278=MappingTables!$C$32)),1,VLOOKUP(CONCATENATE($D2278,$G2278),CSRFinput!$B:$E,4,0))),0,IF(AND(VLOOKUP(CONCATENATE($D2278,$G2278),CSRFinput!$B:$E,4,0)=0,OR(H2278=MappingTables!$C$31,H2278=MappingTables!$C$32)),1,VLOOKUP(CONCATENATE($D2278,$G2278),CSRFinput!$B:$E,4,0)))</f>
        <v>0.054776304963434752</v>
      </c>
      <c r="S2278" s="73">
        <f>IF(B2278="",0,P2278*R2278)</f>
        <v>0.10004445188957182</v>
      </c>
      <c r="T2278" s="85">
        <f>IF(B2278="",0,IF(OR(H2278=MappingTables!$C$34,H2278=MappingTables!$C$35),S2278,0))</f>
        <v>0</v>
      </c>
    </row>
    <row r="2279" spans="2:20" s="0" customFormat="0" ht="15">
      <c r="B2279" s="69" t="s">
        <v>5211</v>
      </c>
      <c r="C2279" s="70" t="s">
        <v>5212</v>
      </c>
      <c r="D2279" s="70" t="s">
        <v>1</v>
      </c>
      <c r="E2279" s="70" t="s">
        <v>1</v>
      </c>
      <c r="F2279" s="70"/>
      <c r="G2279" s="70" t="s">
        <v>61</v>
      </c>
      <c r="H2279" s="70" t="s">
        <v>178</v>
      </c>
      <c r="I2279" s="70" t="s">
        <v>3298</v>
      </c>
      <c r="J2279" s="71">
        <f>IF(OR(I2279=0,I2279=""),"unrated",VLOOKUP(I2279,MappingTables!$B$19:$C$31,2,FALSE))</f>
        <v>6</v>
      </c>
      <c r="K2279" s="72">
        <v>629.1539233575788</v>
      </c>
      <c r="L2279" s="70">
        <v>0.068497167112120256</v>
      </c>
      <c r="M2279" s="71">
        <f>IF(L2279&lt;1,1,L2279)</f>
        <v>1</v>
      </c>
      <c r="N2279" s="70" t="s">
        <v>3288</v>
      </c>
      <c r="O2279" s="71">
        <f>IF(OR(I2279=$A$1,I2279=0),"",IF(N2279=MappingTables!$C$14,VLOOKUP(J2279,ModelParameters!$M$8:$N$15,2,FALSE),IF(N2279=MappingTables!$C$16,VLOOKUP(J2279,ModelParameters!$P$8:$Q$15,2,FALSE),0)))</f>
        <v>1</v>
      </c>
      <c r="P2279" s="73">
        <f>IF(OR(I2279=0,I2279=$A$1),0,MIN(O2279*M2279,1)*K2279)</f>
        <v>629.1539233575788</v>
      </c>
      <c r="Q2279" s="73">
        <f>IF(B2279="",0,IF(OR(H2279=MappingTables!$C$34,H2279=MappingTables!$C$35),P2279,0))</f>
        <v>0</v>
      </c>
      <c r="R2279" s="73">
        <f>IF(ISNA(IF(AND(VLOOKUP(CONCATENATE($D2279,$G2279),CSRFinput!$B:$E,4,0)=0,OR(H2279=MappingTables!$C$31,H2279=MappingTables!$C$32)),1,VLOOKUP(CONCATENATE($D2279,$G2279),CSRFinput!$B:$E,4,0))),0,IF(AND(VLOOKUP(CONCATENATE($D2279,$G2279),CSRFinput!$B:$E,4,0)=0,OR(H2279=MappingTables!$C$31,H2279=MappingTables!$C$32)),1,VLOOKUP(CONCATENATE($D2279,$G2279),CSRFinput!$B:$E,4,0)))</f>
        <v>0.054776304963434752</v>
      </c>
      <c r="S2279" s="73">
        <f>IF(B2279="",0,P2279*R2279)</f>
        <v>34.462727174776192</v>
      </c>
      <c r="T2279" s="85">
        <f>IF(B2279="",0,IF(OR(H2279=MappingTables!$C$34,H2279=MappingTables!$C$35),S2279,0))</f>
        <v>0</v>
      </c>
    </row>
    <row r="2280" spans="2:20" s="0" customFormat="0" ht="15">
      <c r="B2280" s="69" t="s">
        <v>4251</v>
      </c>
      <c r="C2280" s="70" t="s">
        <v>4252</v>
      </c>
      <c r="D2280" s="70" t="s">
        <v>1</v>
      </c>
      <c r="E2280" s="70" t="s">
        <v>1</v>
      </c>
      <c r="F2280" s="70"/>
      <c r="G2280" s="70" t="s">
        <v>61</v>
      </c>
      <c r="H2280" s="70" t="s">
        <v>178</v>
      </c>
      <c r="I2280" s="70" t="s">
        <v>216</v>
      </c>
      <c r="J2280" s="71">
        <f>IF(OR(I2280=0,I2280=""),"unrated",VLOOKUP(I2280,MappingTables!$B$19:$C$31,2,FALSE))</f>
        <v>0</v>
      </c>
      <c r="K2280" s="72">
        <v>304.61924650732648</v>
      </c>
      <c r="L2280" s="70">
        <v>1.793351500494282</v>
      </c>
      <c r="M2280" s="71">
        <f>IF(L2280&lt;1,1,L2280)</f>
        <v>1.793351500494282</v>
      </c>
      <c r="N2280" s="70" t="s">
        <v>3288</v>
      </c>
      <c r="O2280" s="71">
        <f>IF(OR(I2280=$A$1,I2280=0),"",IF(N2280=MappingTables!$C$14,VLOOKUP(J2280,ModelParameters!$M$8:$N$15,2,FALSE),IF(N2280=MappingTables!$C$16,VLOOKUP(J2280,ModelParameters!$P$8:$Q$15,2,FALSE),0)))</f>
        <v>0.125</v>
      </c>
      <c r="P2280" s="73">
        <f>IF(OR(I2280=0,I2280=$A$1),0,MIN(O2280*M2280,1)*K2280)</f>
        <v>68.286172850418936</v>
      </c>
      <c r="Q2280" s="73">
        <f>IF(B2280="",0,IF(OR(H2280=MappingTables!$C$34,H2280=MappingTables!$C$35),P2280,0))</f>
        <v>0</v>
      </c>
      <c r="R2280" s="73">
        <f>IF(ISNA(IF(AND(VLOOKUP(CONCATENATE($D2280,$G2280),CSRFinput!$B:$E,4,0)=0,OR(H2280=MappingTables!$C$31,H2280=MappingTables!$C$32)),1,VLOOKUP(CONCATENATE($D2280,$G2280),CSRFinput!$B:$E,4,0))),0,IF(AND(VLOOKUP(CONCATENATE($D2280,$G2280),CSRFinput!$B:$E,4,0)=0,OR(H2280=MappingTables!$C$31,H2280=MappingTables!$C$32)),1,VLOOKUP(CONCATENATE($D2280,$G2280),CSRFinput!$B:$E,4,0)))</f>
        <v>0.054776304963434752</v>
      </c>
      <c r="S2280" s="73">
        <f>IF(B2280="",0,P2280*R2280)</f>
        <v>3.7404642288403664</v>
      </c>
      <c r="T2280" s="85">
        <f>IF(B2280="",0,IF(OR(H2280=MappingTables!$C$34,H2280=MappingTables!$C$35),S2280,0))</f>
        <v>0</v>
      </c>
    </row>
    <row r="2281" spans="2:20" s="0" customFormat="0" ht="15">
      <c r="B2281" s="69" t="s">
        <v>5153</v>
      </c>
      <c r="C2281" s="70" t="s">
        <v>5154</v>
      </c>
      <c r="D2281" s="70" t="s">
        <v>1</v>
      </c>
      <c r="E2281" s="70" t="s">
        <v>1</v>
      </c>
      <c r="F2281" s="70"/>
      <c r="G2281" s="70" t="s">
        <v>61</v>
      </c>
      <c r="H2281" s="70" t="s">
        <v>178</v>
      </c>
      <c r="I2281" s="70" t="s">
        <v>184</v>
      </c>
      <c r="J2281" s="71">
        <f>IF(OR(I2281=0,I2281=""),"unrated",VLOOKUP(I2281,MappingTables!$B$19:$C$31,2,FALSE))</f>
        <v>5</v>
      </c>
      <c r="K2281" s="72">
        <v>223.11738628949864</v>
      </c>
      <c r="L2281" s="70">
        <v>0.06848889438900564</v>
      </c>
      <c r="M2281" s="71">
        <f>IF(L2281&lt;1,1,L2281)</f>
        <v>1</v>
      </c>
      <c r="N2281" s="70" t="s">
        <v>3288</v>
      </c>
      <c r="O2281" s="71">
        <f>IF(OR(I2281=$A$1,I2281=0),"",IF(N2281=MappingTables!$C$14,VLOOKUP(J2281,ModelParameters!$M$8:$N$15,2,FALSE),IF(N2281=MappingTables!$C$16,VLOOKUP(J2281,ModelParameters!$P$8:$Q$15,2,FALSE),0)))</f>
        <v>1</v>
      </c>
      <c r="P2281" s="73">
        <f>IF(OR(I2281=0,I2281=$A$1),0,MIN(O2281*M2281,1)*K2281)</f>
        <v>223.11738628949864</v>
      </c>
      <c r="Q2281" s="73">
        <f>IF(B2281="",0,IF(OR(H2281=MappingTables!$C$34,H2281=MappingTables!$C$35),P2281,0))</f>
        <v>0</v>
      </c>
      <c r="R2281" s="73">
        <f>IF(ISNA(IF(AND(VLOOKUP(CONCATENATE($D2281,$G2281),CSRFinput!$B:$E,4,0)=0,OR(H2281=MappingTables!$C$31,H2281=MappingTables!$C$32)),1,VLOOKUP(CONCATENATE($D2281,$G2281),CSRFinput!$B:$E,4,0))),0,IF(AND(VLOOKUP(CONCATENATE($D2281,$G2281),CSRFinput!$B:$E,4,0)=0,OR(H2281=MappingTables!$C$31,H2281=MappingTables!$C$32)),1,VLOOKUP(CONCATENATE($D2281,$G2281),CSRFinput!$B:$E,4,0)))</f>
        <v>0.054776304963434752</v>
      </c>
      <c r="S2281" s="73">
        <f>IF(B2281="",0,P2281*R2281)</f>
        <v>12.221545994038052</v>
      </c>
      <c r="T2281" s="85">
        <f>IF(B2281="",0,IF(OR(H2281=MappingTables!$C$34,H2281=MappingTables!$C$35),S2281,0))</f>
        <v>0</v>
      </c>
    </row>
    <row r="2282" spans="2:20" s="0" customFormat="0" ht="15">
      <c r="B2282" s="69" t="s">
        <v>3346</v>
      </c>
      <c r="C2282" s="70" t="s">
        <v>3347</v>
      </c>
      <c r="D2282" s="70" t="s">
        <v>1</v>
      </c>
      <c r="E2282" s="70" t="s">
        <v>1</v>
      </c>
      <c r="F2282" s="70"/>
      <c r="G2282" s="70" t="s">
        <v>61</v>
      </c>
      <c r="H2282" s="70" t="s">
        <v>178</v>
      </c>
      <c r="I2282" s="70" t="s">
        <v>204</v>
      </c>
      <c r="J2282" s="71">
        <f>IF(OR(I2282=0,I2282=""),"unrated",VLOOKUP(I2282,MappingTables!$B$19:$C$31,2,FALSE))</f>
        <v>6</v>
      </c>
      <c r="K2282" s="72">
        <v>27.38860145682116</v>
      </c>
      <c r="L2282" s="70">
        <v>0.068494701365592672</v>
      </c>
      <c r="M2282" s="71">
        <f>IF(L2282&lt;1,1,L2282)</f>
        <v>1</v>
      </c>
      <c r="N2282" s="70" t="s">
        <v>3288</v>
      </c>
      <c r="O2282" s="71">
        <f>IF(OR(I2282=$A$1,I2282=0),"",IF(N2282=MappingTables!$C$14,VLOOKUP(J2282,ModelParameters!$M$8:$N$15,2,FALSE),IF(N2282=MappingTables!$C$16,VLOOKUP(J2282,ModelParameters!$P$8:$Q$15,2,FALSE),0)))</f>
        <v>1</v>
      </c>
      <c r="P2282" s="73">
        <f>IF(OR(I2282=0,I2282=$A$1),0,MIN(O2282*M2282,1)*K2282)</f>
        <v>27.38860145682116</v>
      </c>
      <c r="Q2282" s="73">
        <f>IF(B2282="",0,IF(OR(H2282=MappingTables!$C$34,H2282=MappingTables!$C$35),P2282,0))</f>
        <v>0</v>
      </c>
      <c r="R2282" s="73">
        <f>IF(ISNA(IF(AND(VLOOKUP(CONCATENATE($D2282,$G2282),CSRFinput!$B:$E,4,0)=0,OR(H2282=MappingTables!$C$31,H2282=MappingTables!$C$32)),1,VLOOKUP(CONCATENATE($D2282,$G2282),CSRFinput!$B:$E,4,0))),0,IF(AND(VLOOKUP(CONCATENATE($D2282,$G2282),CSRFinput!$B:$E,4,0)=0,OR(H2282=MappingTables!$C$31,H2282=MappingTables!$C$32)),1,VLOOKUP(CONCATENATE($D2282,$G2282),CSRFinput!$B:$E,4,0)))</f>
        <v>0.054776304963434752</v>
      </c>
      <c r="S2282" s="73">
        <f>IF(B2282="",0,P2282*R2282)</f>
        <v>1.5002463859208092</v>
      </c>
      <c r="T2282" s="85">
        <f>IF(B2282="",0,IF(OR(H2282=MappingTables!$C$34,H2282=MappingTables!$C$35),S2282,0))</f>
        <v>0</v>
      </c>
    </row>
    <row r="2283" spans="2:20" s="0" customFormat="0" ht="15">
      <c r="B2283" s="69">
        <v>16974793</v>
      </c>
      <c r="C2283" s="70" t="s">
        <v>5248</v>
      </c>
      <c r="D2283" s="70" t="s">
        <v>1</v>
      </c>
      <c r="E2283" s="70" t="s">
        <v>1</v>
      </c>
      <c r="F2283" s="70"/>
      <c r="G2283" s="70" t="s">
        <v>61</v>
      </c>
      <c r="H2283" s="70" t="s">
        <v>178</v>
      </c>
      <c r="I2283" s="70" t="s">
        <v>220</v>
      </c>
      <c r="J2283" s="71">
        <f>IF(OR(I2283=0,I2283=""),"unrated",VLOOKUP(I2283,MappingTables!$B$19:$C$31,2,FALSE))</f>
        <v>1</v>
      </c>
      <c r="K2283" s="72">
        <v>356.83788175477416</v>
      </c>
      <c r="L2283" s="70">
        <v>0.23040603328150612</v>
      </c>
      <c r="M2283" s="71">
        <f>IF(L2283&lt;1,1,L2283)</f>
        <v>1</v>
      </c>
      <c r="N2283" s="70" t="s">
        <v>3288</v>
      </c>
      <c r="O2283" s="71">
        <f>IF(OR(I2283=$A$1,I2283=0),"",IF(N2283=MappingTables!$C$14,VLOOKUP(J2283,ModelParameters!$M$8:$N$15,2,FALSE),IF(N2283=MappingTables!$C$16,VLOOKUP(J2283,ModelParameters!$P$8:$Q$15,2,FALSE),0)))</f>
        <v>0.134</v>
      </c>
      <c r="P2283" s="73">
        <f>IF(OR(I2283=0,I2283=$A$1),0,MIN(O2283*M2283,1)*K2283)</f>
        <v>47.816276155139736</v>
      </c>
      <c r="Q2283" s="73">
        <f>IF(B2283="",0,IF(OR(H2283=MappingTables!$C$34,H2283=MappingTables!$C$35),P2283,0))</f>
        <v>0</v>
      </c>
      <c r="R2283" s="73">
        <f>IF(ISNA(IF(AND(VLOOKUP(CONCATENATE($D2283,$G2283),CSRFinput!$B:$E,4,0)=0,OR(H2283=MappingTables!$C$31,H2283=MappingTables!$C$32)),1,VLOOKUP(CONCATENATE($D2283,$G2283),CSRFinput!$B:$E,4,0))),0,IF(AND(VLOOKUP(CONCATENATE($D2283,$G2283),CSRFinput!$B:$E,4,0)=0,OR(H2283=MappingTables!$C$31,H2283=MappingTables!$C$32)),1,VLOOKUP(CONCATENATE($D2283,$G2283),CSRFinput!$B:$E,4,0)))</f>
        <v>0.054776304963434752</v>
      </c>
      <c r="S2283" s="73">
        <f>IF(B2283="",0,P2283*R2283)</f>
        <v>2.619198924889748</v>
      </c>
      <c r="T2283" s="85">
        <f>IF(B2283="",0,IF(OR(H2283=MappingTables!$C$34,H2283=MappingTables!$C$35),S2283,0))</f>
        <v>0</v>
      </c>
    </row>
    <row r="2284" spans="2:20" s="0" customFormat="0" ht="15">
      <c r="B2284" s="69" t="s">
        <v>5217</v>
      </c>
      <c r="C2284" s="70" t="s">
        <v>5218</v>
      </c>
      <c r="D2284" s="70" t="s">
        <v>1</v>
      </c>
      <c r="E2284" s="70" t="s">
        <v>1</v>
      </c>
      <c r="F2284" s="70"/>
      <c r="G2284" s="70" t="s">
        <v>61</v>
      </c>
      <c r="H2284" s="70" t="s">
        <v>178</v>
      </c>
      <c r="I2284" s="70" t="s">
        <v>3298</v>
      </c>
      <c r="J2284" s="71">
        <f>IF(OR(I2284=0,I2284=""),"unrated",VLOOKUP(I2284,MappingTables!$B$19:$C$31,2,FALSE))</f>
        <v>6</v>
      </c>
      <c r="K2284" s="72">
        <v>346.69742348486568</v>
      </c>
      <c r="L2284" s="70">
        <v>0.068490541160455064</v>
      </c>
      <c r="M2284" s="71">
        <f>IF(L2284&lt;1,1,L2284)</f>
        <v>1</v>
      </c>
      <c r="N2284" s="70" t="s">
        <v>3288</v>
      </c>
      <c r="O2284" s="71">
        <f>IF(OR(I2284=$A$1,I2284=0),"",IF(N2284=MappingTables!$C$14,VLOOKUP(J2284,ModelParameters!$M$8:$N$15,2,FALSE),IF(N2284=MappingTables!$C$16,VLOOKUP(J2284,ModelParameters!$P$8:$Q$15,2,FALSE),0)))</f>
        <v>1</v>
      </c>
      <c r="P2284" s="73">
        <f>IF(OR(I2284=0,I2284=$A$1),0,MIN(O2284*M2284,1)*K2284)</f>
        <v>346.69742348486568</v>
      </c>
      <c r="Q2284" s="73">
        <f>IF(B2284="",0,IF(OR(H2284=MappingTables!$C$34,H2284=MappingTables!$C$35),P2284,0))</f>
        <v>0</v>
      </c>
      <c r="R2284" s="73">
        <f>IF(ISNA(IF(AND(VLOOKUP(CONCATENATE($D2284,$G2284),CSRFinput!$B:$E,4,0)=0,OR(H2284=MappingTables!$C$31,H2284=MappingTables!$C$32)),1,VLOOKUP(CONCATENATE($D2284,$G2284),CSRFinput!$B:$E,4,0))),0,IF(AND(VLOOKUP(CONCATENATE($D2284,$G2284),CSRFinput!$B:$E,4,0)=0,OR(H2284=MappingTables!$C$31,H2284=MappingTables!$C$32)),1,VLOOKUP(CONCATENATE($D2284,$G2284),CSRFinput!$B:$E,4,0)))</f>
        <v>0.054776304963434752</v>
      </c>
      <c r="S2284" s="73">
        <f>IF(B2284="",0,P2284*R2284)</f>
        <v>18.990803798844088</v>
      </c>
      <c r="T2284" s="85">
        <f>IF(B2284="",0,IF(OR(H2284=MappingTables!$C$34,H2284=MappingTables!$C$35),S2284,0))</f>
        <v>0</v>
      </c>
    </row>
    <row r="2285" spans="2:20" s="0" customFormat="0" ht="15">
      <c r="B2285" s="69" t="s">
        <v>4471</v>
      </c>
      <c r="C2285" s="70" t="s">
        <v>4472</v>
      </c>
      <c r="D2285" s="70" t="s">
        <v>1</v>
      </c>
      <c r="E2285" s="70" t="s">
        <v>1</v>
      </c>
      <c r="F2285" s="70"/>
      <c r="G2285" s="70" t="s">
        <v>61</v>
      </c>
      <c r="H2285" s="70" t="s">
        <v>178</v>
      </c>
      <c r="I2285" s="70" t="s">
        <v>3298</v>
      </c>
      <c r="J2285" s="71">
        <f>IF(OR(I2285=0,I2285=""),"unrated",VLOOKUP(I2285,MappingTables!$B$19:$C$31,2,FALSE))</f>
        <v>6</v>
      </c>
      <c r="K2285" s="72">
        <v>8990.4199739467184</v>
      </c>
      <c r="L2285" s="70">
        <v>0.068492333076467976</v>
      </c>
      <c r="M2285" s="71">
        <f>IF(L2285&lt;1,1,L2285)</f>
        <v>1</v>
      </c>
      <c r="N2285" s="70" t="s">
        <v>3288</v>
      </c>
      <c r="O2285" s="71">
        <f>IF(OR(I2285=$A$1,I2285=0),"",IF(N2285=MappingTables!$C$14,VLOOKUP(J2285,ModelParameters!$M$8:$N$15,2,FALSE),IF(N2285=MappingTables!$C$16,VLOOKUP(J2285,ModelParameters!$P$8:$Q$15,2,FALSE),0)))</f>
        <v>1</v>
      </c>
      <c r="P2285" s="73">
        <f>IF(OR(I2285=0,I2285=$A$1),0,MIN(O2285*M2285,1)*K2285)</f>
        <v>8990.4199739467184</v>
      </c>
      <c r="Q2285" s="73">
        <f>IF(B2285="",0,IF(OR(H2285=MappingTables!$C$34,H2285=MappingTables!$C$35),P2285,0))</f>
        <v>0</v>
      </c>
      <c r="R2285" s="73">
        <f>IF(ISNA(IF(AND(VLOOKUP(CONCATENATE($D2285,$G2285),CSRFinput!$B:$E,4,0)=0,OR(H2285=MappingTables!$C$31,H2285=MappingTables!$C$32)),1,VLOOKUP(CONCATENATE($D2285,$G2285),CSRFinput!$B:$E,4,0))),0,IF(AND(VLOOKUP(CONCATENATE($D2285,$G2285),CSRFinput!$B:$E,4,0)=0,OR(H2285=MappingTables!$C$31,H2285=MappingTables!$C$32)),1,VLOOKUP(CONCATENATE($D2285,$G2285),CSRFinput!$B:$E,4,0)))</f>
        <v>0.054776304963434752</v>
      </c>
      <c r="S2285" s="73">
        <f>IF(B2285="",0,P2285*R2285)</f>
        <v>492.46198624226056</v>
      </c>
      <c r="T2285" s="85">
        <f>IF(B2285="",0,IF(OR(H2285=MappingTables!$C$34,H2285=MappingTables!$C$35),S2285,0))</f>
        <v>0</v>
      </c>
    </row>
    <row r="2286" spans="2:20" s="0" customFormat="0" ht="15">
      <c r="B2286" s="69">
        <v>22554434</v>
      </c>
      <c r="C2286" s="70" t="s">
        <v>5227</v>
      </c>
      <c r="D2286" s="70" t="s">
        <v>1</v>
      </c>
      <c r="E2286" s="70" t="s">
        <v>1</v>
      </c>
      <c r="F2286" s="70"/>
      <c r="G2286" s="70" t="s">
        <v>61</v>
      </c>
      <c r="H2286" s="70" t="s">
        <v>178</v>
      </c>
      <c r="I2286" s="70" t="s">
        <v>216</v>
      </c>
      <c r="J2286" s="71">
        <f>IF(OR(I2286=0,I2286=""),"unrated",VLOOKUP(I2286,MappingTables!$B$19:$C$31,2,FALSE))</f>
        <v>0</v>
      </c>
      <c r="K2286" s="72">
        <v>10.142107225293628</v>
      </c>
      <c r="L2286" s="70">
        <v>0.019024137692436788</v>
      </c>
      <c r="M2286" s="71">
        <f>IF(L2286&lt;1,1,L2286)</f>
        <v>1</v>
      </c>
      <c r="N2286" s="70" t="s">
        <v>3288</v>
      </c>
      <c r="O2286" s="71">
        <f>IF(OR(I2286=$A$1,I2286=0),"",IF(N2286=MappingTables!$C$14,VLOOKUP(J2286,ModelParameters!$M$8:$N$15,2,FALSE),IF(N2286=MappingTables!$C$16,VLOOKUP(J2286,ModelParameters!$P$8:$Q$15,2,FALSE),0)))</f>
        <v>0.125</v>
      </c>
      <c r="P2286" s="73">
        <f>IF(OR(I2286=0,I2286=$A$1),0,MIN(O2286*M2286,1)*K2286)</f>
        <v>1.2677634031617036</v>
      </c>
      <c r="Q2286" s="73">
        <f>IF(B2286="",0,IF(OR(H2286=MappingTables!$C$34,H2286=MappingTables!$C$35),P2286,0))</f>
        <v>0</v>
      </c>
      <c r="R2286" s="73">
        <f>IF(ISNA(IF(AND(VLOOKUP(CONCATENATE($D2286,$G2286),CSRFinput!$B:$E,4,0)=0,OR(H2286=MappingTables!$C$31,H2286=MappingTables!$C$32)),1,VLOOKUP(CONCATENATE($D2286,$G2286),CSRFinput!$B:$E,4,0))),0,IF(AND(VLOOKUP(CONCATENATE($D2286,$G2286),CSRFinput!$B:$E,4,0)=0,OR(H2286=MappingTables!$C$31,H2286=MappingTables!$C$32)),1,VLOOKUP(CONCATENATE($D2286,$G2286),CSRFinput!$B:$E,4,0)))</f>
        <v>0.054776304963434752</v>
      </c>
      <c r="S2286" s="73">
        <f>IF(B2286="",0,P2286*R2286)</f>
        <v>0.069443394793067352</v>
      </c>
      <c r="T2286" s="85">
        <f>IF(B2286="",0,IF(OR(H2286=MappingTables!$C$34,H2286=MappingTables!$C$35),S2286,0))</f>
        <v>0</v>
      </c>
    </row>
    <row r="2287" spans="2:20" s="0" customFormat="0" ht="15">
      <c r="B2287" s="69" t="s">
        <v>5213</v>
      </c>
      <c r="C2287" s="70" t="s">
        <v>5214</v>
      </c>
      <c r="D2287" s="70" t="s">
        <v>1</v>
      </c>
      <c r="E2287" s="70" t="s">
        <v>1</v>
      </c>
      <c r="F2287" s="70"/>
      <c r="G2287" s="70" t="s">
        <v>61</v>
      </c>
      <c r="H2287" s="70" t="s">
        <v>178</v>
      </c>
      <c r="I2287" s="70" t="s">
        <v>198</v>
      </c>
      <c r="J2287" s="71" t="str">
        <f>IF(OR(I2287=0,I2287=""),"unrated",VLOOKUP(I2287,MappingTables!$B$19:$C$31,2,FALSE))</f>
        <v>unrated</v>
      </c>
      <c r="K2287" s="72">
        <v>106.26306579828188</v>
      </c>
      <c r="L2287" s="70">
        <v>0.068499028087892528</v>
      </c>
      <c r="M2287" s="71">
        <f>IF(L2287&lt;1,1,L2287)</f>
        <v>1</v>
      </c>
      <c r="N2287" s="70" t="s">
        <v>3288</v>
      </c>
      <c r="O2287" s="71">
        <f>IF(OR(I2287=$A$1,I2287=0),"",IF(N2287=MappingTables!$C$14,VLOOKUP(J2287,ModelParameters!$M$8:$N$15,2,FALSE),IF(N2287=MappingTables!$C$16,VLOOKUP(J2287,ModelParameters!$P$8:$Q$15,2,FALSE),0)))</f>
        <v>1</v>
      </c>
      <c r="P2287" s="73">
        <f>IF(OR(I2287=0,I2287=$A$1),0,MIN(O2287*M2287,1)*K2287)</f>
        <v>106.26306579828188</v>
      </c>
      <c r="Q2287" s="73">
        <f>IF(B2287="",0,IF(OR(H2287=MappingTables!$C$34,H2287=MappingTables!$C$35),P2287,0))</f>
        <v>0</v>
      </c>
      <c r="R2287" s="73">
        <f>IF(ISNA(IF(AND(VLOOKUP(CONCATENATE($D2287,$G2287),CSRFinput!$B:$E,4,0)=0,OR(H2287=MappingTables!$C$31,H2287=MappingTables!$C$32)),1,VLOOKUP(CONCATENATE($D2287,$G2287),CSRFinput!$B:$E,4,0))),0,IF(AND(VLOOKUP(CONCATENATE($D2287,$G2287),CSRFinput!$B:$E,4,0)=0,OR(H2287=MappingTables!$C$31,H2287=MappingTables!$C$32)),1,VLOOKUP(CONCATENATE($D2287,$G2287),CSRFinput!$B:$E,4,0)))</f>
        <v>0.054776304963434752</v>
      </c>
      <c r="S2287" s="73">
        <f>IF(B2287="",0,P2287*R2287)</f>
        <v>5.8206980985162208</v>
      </c>
      <c r="T2287" s="85">
        <f>IF(B2287="",0,IF(OR(H2287=MappingTables!$C$34,H2287=MappingTables!$C$35),S2287,0))</f>
        <v>0</v>
      </c>
    </row>
    <row r="2288" spans="2:20" s="0" customFormat="0" ht="15">
      <c r="B2288" s="69" t="s">
        <v>5239</v>
      </c>
      <c r="C2288" s="70" t="s">
        <v>5240</v>
      </c>
      <c r="D2288" s="70" t="s">
        <v>1</v>
      </c>
      <c r="E2288" s="70" t="s">
        <v>1</v>
      </c>
      <c r="F2288" s="70"/>
      <c r="G2288" s="70" t="s">
        <v>61</v>
      </c>
      <c r="H2288" s="70" t="s">
        <v>178</v>
      </c>
      <c r="I2288" s="70" t="s">
        <v>198</v>
      </c>
      <c r="J2288" s="71" t="str">
        <f>IF(OR(I2288=0,I2288=""),"unrated",VLOOKUP(I2288,MappingTables!$B$19:$C$31,2,FALSE))</f>
        <v>unrated</v>
      </c>
      <c r="K2288" s="72">
        <v>4843.1127510571744</v>
      </c>
      <c r="L2288" s="70">
        <v>9.0068457239296768</v>
      </c>
      <c r="M2288" s="71">
        <f>IF(L2288&lt;1,1,L2288)</f>
        <v>9.0068457239296768</v>
      </c>
      <c r="N2288" s="70" t="s">
        <v>3288</v>
      </c>
      <c r="O2288" s="71">
        <f>IF(OR(I2288=$A$1,I2288=0),"",IF(N2288=MappingTables!$C$14,VLOOKUP(J2288,ModelParameters!$M$8:$N$15,2,FALSE),IF(N2288=MappingTables!$C$16,VLOOKUP(J2288,ModelParameters!$P$8:$Q$15,2,FALSE),0)))</f>
        <v>1</v>
      </c>
      <c r="P2288" s="73">
        <f>IF(OR(I2288=0,I2288=$A$1),0,MIN(O2288*M2288,1)*K2288)</f>
        <v>4843.1127510571744</v>
      </c>
      <c r="Q2288" s="73">
        <f>IF(B2288="",0,IF(OR(H2288=MappingTables!$C$34,H2288=MappingTables!$C$35),P2288,0))</f>
        <v>0</v>
      </c>
      <c r="R2288" s="73">
        <f>IF(ISNA(IF(AND(VLOOKUP(CONCATENATE($D2288,$G2288),CSRFinput!$B:$E,4,0)=0,OR(H2288=MappingTables!$C$31,H2288=MappingTables!$C$32)),1,VLOOKUP(CONCATENATE($D2288,$G2288),CSRFinput!$B:$E,4,0))),0,IF(AND(VLOOKUP(CONCATENATE($D2288,$G2288),CSRFinput!$B:$E,4,0)=0,OR(H2288=MappingTables!$C$31,H2288=MappingTables!$C$32)),1,VLOOKUP(CONCATENATE($D2288,$G2288),CSRFinput!$B:$E,4,0)))</f>
        <v>0.054776304963434752</v>
      </c>
      <c r="S2288" s="73">
        <f>IF(B2288="",0,P2288*R2288)</f>
        <v>265.28782102420724</v>
      </c>
      <c r="T2288" s="85">
        <f>IF(B2288="",0,IF(OR(H2288=MappingTables!$C$34,H2288=MappingTables!$C$35),S2288,0))</f>
        <v>0</v>
      </c>
    </row>
    <row r="2289" spans="2:20" s="0" customFormat="0" ht="15">
      <c r="B2289" s="69" t="s">
        <v>4685</v>
      </c>
      <c r="C2289" s="70" t="s">
        <v>4686</v>
      </c>
      <c r="D2289" s="70" t="s">
        <v>1</v>
      </c>
      <c r="E2289" s="70" t="s">
        <v>1</v>
      </c>
      <c r="F2289" s="70"/>
      <c r="G2289" s="70" t="s">
        <v>61</v>
      </c>
      <c r="H2289" s="70" t="s">
        <v>178</v>
      </c>
      <c r="I2289" s="70" t="s">
        <v>204</v>
      </c>
      <c r="J2289" s="71">
        <f>IF(OR(I2289=0,I2289=""),"unrated",VLOOKUP(I2289,MappingTables!$B$19:$C$31,2,FALSE))</f>
        <v>6</v>
      </c>
      <c r="K2289" s="72">
        <v>35.863752289887684</v>
      </c>
      <c r="L2289" s="70">
        <v>0.06849158673010956</v>
      </c>
      <c r="M2289" s="71">
        <f>IF(L2289&lt;1,1,L2289)</f>
        <v>1</v>
      </c>
      <c r="N2289" s="70" t="s">
        <v>3288</v>
      </c>
      <c r="O2289" s="71">
        <f>IF(OR(I2289=$A$1,I2289=0),"",IF(N2289=MappingTables!$C$14,VLOOKUP(J2289,ModelParameters!$M$8:$N$15,2,FALSE),IF(N2289=MappingTables!$C$16,VLOOKUP(J2289,ModelParameters!$P$8:$Q$15,2,FALSE),0)))</f>
        <v>1</v>
      </c>
      <c r="P2289" s="73">
        <f>IF(OR(I2289=0,I2289=$A$1),0,MIN(O2289*M2289,1)*K2289)</f>
        <v>35.863752289887684</v>
      </c>
      <c r="Q2289" s="73">
        <f>IF(B2289="",0,IF(OR(H2289=MappingTables!$C$34,H2289=MappingTables!$C$35),P2289,0))</f>
        <v>0</v>
      </c>
      <c r="R2289" s="73">
        <f>IF(ISNA(IF(AND(VLOOKUP(CONCATENATE($D2289,$G2289),CSRFinput!$B:$E,4,0)=0,OR(H2289=MappingTables!$C$31,H2289=MappingTables!$C$32)),1,VLOOKUP(CONCATENATE($D2289,$G2289),CSRFinput!$B:$E,4,0))),0,IF(AND(VLOOKUP(CONCATENATE($D2289,$G2289),CSRFinput!$B:$E,4,0)=0,OR(H2289=MappingTables!$C$31,H2289=MappingTables!$C$32)),1,VLOOKUP(CONCATENATE($D2289,$G2289),CSRFinput!$B:$E,4,0)))</f>
        <v>0.054776304963434752</v>
      </c>
      <c r="S2289" s="73">
        <f>IF(B2289="",0,P2289*R2289)</f>
        <v>1.9644838325639692</v>
      </c>
      <c r="T2289" s="85">
        <f>IF(B2289="",0,IF(OR(H2289=MappingTables!$C$34,H2289=MappingTables!$C$35),S2289,0))</f>
        <v>0</v>
      </c>
    </row>
    <row r="2290" spans="2:20" s="0" customFormat="0" ht="15">
      <c r="B2290" s="69" t="s">
        <v>4186</v>
      </c>
      <c r="C2290" s="70" t="s">
        <v>4187</v>
      </c>
      <c r="D2290" s="70" t="s">
        <v>1</v>
      </c>
      <c r="E2290" s="70" t="s">
        <v>1</v>
      </c>
      <c r="F2290" s="70"/>
      <c r="G2290" s="70" t="s">
        <v>61</v>
      </c>
      <c r="H2290" s="70" t="s">
        <v>178</v>
      </c>
      <c r="I2290" s="70" t="s">
        <v>204</v>
      </c>
      <c r="J2290" s="71">
        <f>IF(OR(I2290=0,I2290=""),"unrated",VLOOKUP(I2290,MappingTables!$B$19:$C$31,2,FALSE))</f>
        <v>6</v>
      </c>
      <c r="K2290" s="72">
        <v>37.098214151699608</v>
      </c>
      <c r="L2290" s="70">
        <v>0.068490809959678784</v>
      </c>
      <c r="M2290" s="71">
        <f>IF(L2290&lt;1,1,L2290)</f>
        <v>1</v>
      </c>
      <c r="N2290" s="70" t="s">
        <v>3288</v>
      </c>
      <c r="O2290" s="71">
        <f>IF(OR(I2290=$A$1,I2290=0),"",IF(N2290=MappingTables!$C$14,VLOOKUP(J2290,ModelParameters!$M$8:$N$15,2,FALSE),IF(N2290=MappingTables!$C$16,VLOOKUP(J2290,ModelParameters!$P$8:$Q$15,2,FALSE),0)))</f>
        <v>1</v>
      </c>
      <c r="P2290" s="73">
        <f>IF(OR(I2290=0,I2290=$A$1),0,MIN(O2290*M2290,1)*K2290)</f>
        <v>37.098214151699608</v>
      </c>
      <c r="Q2290" s="73">
        <f>IF(B2290="",0,IF(OR(H2290=MappingTables!$C$34,H2290=MappingTables!$C$35),P2290,0))</f>
        <v>0</v>
      </c>
      <c r="R2290" s="73">
        <f>IF(ISNA(IF(AND(VLOOKUP(CONCATENATE($D2290,$G2290),CSRFinput!$B:$E,4,0)=0,OR(H2290=MappingTables!$C$31,H2290=MappingTables!$C$32)),1,VLOOKUP(CONCATENATE($D2290,$G2290),CSRFinput!$B:$E,4,0))),0,IF(AND(VLOOKUP(CONCATENATE($D2290,$G2290),CSRFinput!$B:$E,4,0)=0,OR(H2290=MappingTables!$C$31,H2290=MappingTables!$C$32)),1,VLOOKUP(CONCATENATE($D2290,$G2290),CSRFinput!$B:$E,4,0)))</f>
        <v>0.054776304963434752</v>
      </c>
      <c r="S2290" s="73">
        <f>IF(B2290="",0,P2290*R2290)</f>
        <v>2.0321030919723088</v>
      </c>
      <c r="T2290" s="85">
        <f>IF(B2290="",0,IF(OR(H2290=MappingTables!$C$34,H2290=MappingTables!$C$35),S2290,0))</f>
        <v>0</v>
      </c>
    </row>
    <row r="2291" spans="2:20" s="0" customFormat="0" ht="15">
      <c r="B2291" s="69" t="s">
        <v>4200</v>
      </c>
      <c r="C2291" s="70" t="s">
        <v>4201</v>
      </c>
      <c r="D2291" s="70" t="s">
        <v>1</v>
      </c>
      <c r="E2291" s="70" t="s">
        <v>1</v>
      </c>
      <c r="F2291" s="70"/>
      <c r="G2291" s="70" t="s">
        <v>61</v>
      </c>
      <c r="H2291" s="70" t="s">
        <v>178</v>
      </c>
      <c r="I2291" s="70" t="s">
        <v>204</v>
      </c>
      <c r="J2291" s="71">
        <f>IF(OR(I2291=0,I2291=""),"unrated",VLOOKUP(I2291,MappingTables!$B$19:$C$31,2,FALSE))</f>
        <v>6</v>
      </c>
      <c r="K2291" s="72">
        <v>272.98649020481544</v>
      </c>
      <c r="L2291" s="70">
        <v>0.0684931651297432</v>
      </c>
      <c r="M2291" s="71">
        <f>IF(L2291&lt;1,1,L2291)</f>
        <v>1</v>
      </c>
      <c r="N2291" s="70" t="s">
        <v>3288</v>
      </c>
      <c r="O2291" s="71">
        <f>IF(OR(I2291=$A$1,I2291=0),"",IF(N2291=MappingTables!$C$14,VLOOKUP(J2291,ModelParameters!$M$8:$N$15,2,FALSE),IF(N2291=MappingTables!$C$16,VLOOKUP(J2291,ModelParameters!$P$8:$Q$15,2,FALSE),0)))</f>
        <v>1</v>
      </c>
      <c r="P2291" s="73">
        <f>IF(OR(I2291=0,I2291=$A$1),0,MIN(O2291*M2291,1)*K2291)</f>
        <v>272.98649020481544</v>
      </c>
      <c r="Q2291" s="73">
        <f>IF(B2291="",0,IF(OR(H2291=MappingTables!$C$34,H2291=MappingTables!$C$35),P2291,0))</f>
        <v>0</v>
      </c>
      <c r="R2291" s="73">
        <f>IF(ISNA(IF(AND(VLOOKUP(CONCATENATE($D2291,$G2291),CSRFinput!$B:$E,4,0)=0,OR(H2291=MappingTables!$C$31,H2291=MappingTables!$C$32)),1,VLOOKUP(CONCATENATE($D2291,$G2291),CSRFinput!$B:$E,4,0))),0,IF(AND(VLOOKUP(CONCATENATE($D2291,$G2291),CSRFinput!$B:$E,4,0)=0,OR(H2291=MappingTables!$C$31,H2291=MappingTables!$C$32)),1,VLOOKUP(CONCATENATE($D2291,$G2291),CSRFinput!$B:$E,4,0)))</f>
        <v>0.054776304963434752</v>
      </c>
      <c r="S2291" s="73">
        <f>IF(B2291="",0,P2291*R2291)</f>
        <v>14.953191238356664</v>
      </c>
      <c r="T2291" s="85">
        <f>IF(B2291="",0,IF(OR(H2291=MappingTables!$C$34,H2291=MappingTables!$C$35),S2291,0))</f>
        <v>0</v>
      </c>
    </row>
    <row r="2292" spans="2:20" s="0" customFormat="0" ht="15">
      <c r="B2292" s="69">
        <v>1551603</v>
      </c>
      <c r="C2292" s="70" t="s">
        <v>5197</v>
      </c>
      <c r="D2292" s="70" t="s">
        <v>1</v>
      </c>
      <c r="E2292" s="70" t="s">
        <v>1</v>
      </c>
      <c r="F2292" s="70"/>
      <c r="G2292" s="70" t="s">
        <v>61</v>
      </c>
      <c r="H2292" s="70" t="s">
        <v>178</v>
      </c>
      <c r="I2292" s="70" t="s">
        <v>198</v>
      </c>
      <c r="J2292" s="71" t="str">
        <f>IF(OR(I2292=0,I2292=""),"unrated",VLOOKUP(I2292,MappingTables!$B$19:$C$31,2,FALSE))</f>
        <v>unrated</v>
      </c>
      <c r="K2292" s="72">
        <v>4.9569950592367184</v>
      </c>
      <c r="L2292" s="70">
        <v>0.054792939733117784</v>
      </c>
      <c r="M2292" s="71">
        <f>IF(L2292&lt;1,1,L2292)</f>
        <v>1</v>
      </c>
      <c r="N2292" s="70" t="s">
        <v>3288</v>
      </c>
      <c r="O2292" s="71">
        <f>IF(OR(I2292=$A$1,I2292=0),"",IF(N2292=MappingTables!$C$14,VLOOKUP(J2292,ModelParameters!$M$8:$N$15,2,FALSE),IF(N2292=MappingTables!$C$16,VLOOKUP(J2292,ModelParameters!$P$8:$Q$15,2,FALSE),0)))</f>
        <v>1</v>
      </c>
      <c r="P2292" s="73">
        <f>IF(OR(I2292=0,I2292=$A$1),0,MIN(O2292*M2292,1)*K2292)</f>
        <v>4.9569950592367184</v>
      </c>
      <c r="Q2292" s="73">
        <f>IF(B2292="",0,IF(OR(H2292=MappingTables!$C$34,H2292=MappingTables!$C$35),P2292,0))</f>
        <v>0</v>
      </c>
      <c r="R2292" s="73">
        <f>IF(ISNA(IF(AND(VLOOKUP(CONCATENATE($D2292,$G2292),CSRFinput!$B:$E,4,0)=0,OR(H2292=MappingTables!$C$31,H2292=MappingTables!$C$32)),1,VLOOKUP(CONCATENATE($D2292,$G2292),CSRFinput!$B:$E,4,0))),0,IF(AND(VLOOKUP(CONCATENATE($D2292,$G2292),CSRFinput!$B:$E,4,0)=0,OR(H2292=MappingTables!$C$31,H2292=MappingTables!$C$32)),1,VLOOKUP(CONCATENATE($D2292,$G2292),CSRFinput!$B:$E,4,0)))</f>
        <v>0.054776304963434752</v>
      </c>
      <c r="S2292" s="73">
        <f>IF(B2292="",0,P2292*R2292)</f>
        <v>0.27152587306698984</v>
      </c>
      <c r="T2292" s="85">
        <f>IF(B2292="",0,IF(OR(H2292=MappingTables!$C$34,H2292=MappingTables!$C$35),S2292,0))</f>
        <v>0</v>
      </c>
    </row>
    <row r="2293" spans="2:20" s="0" customFormat="0" ht="15">
      <c r="B2293" s="69">
        <v>22554491</v>
      </c>
      <c r="C2293" s="70" t="s">
        <v>4457</v>
      </c>
      <c r="D2293" s="70" t="s">
        <v>1</v>
      </c>
      <c r="E2293" s="70" t="s">
        <v>1</v>
      </c>
      <c r="F2293" s="70"/>
      <c r="G2293" s="70" t="s">
        <v>61</v>
      </c>
      <c r="H2293" s="70" t="s">
        <v>178</v>
      </c>
      <c r="I2293" s="70" t="s">
        <v>216</v>
      </c>
      <c r="J2293" s="71">
        <f>IF(OR(I2293=0,I2293=""),"unrated",VLOOKUP(I2293,MappingTables!$B$19:$C$31,2,FALSE))</f>
        <v>0</v>
      </c>
      <c r="K2293" s="72">
        <v>155.76475415950748</v>
      </c>
      <c r="L2293" s="70">
        <v>0.053585506135787784</v>
      </c>
      <c r="M2293" s="71">
        <f>IF(L2293&lt;1,1,L2293)</f>
        <v>1</v>
      </c>
      <c r="N2293" s="70" t="s">
        <v>3288</v>
      </c>
      <c r="O2293" s="71">
        <f>IF(OR(I2293=$A$1,I2293=0),"",IF(N2293=MappingTables!$C$14,VLOOKUP(J2293,ModelParameters!$M$8:$N$15,2,FALSE),IF(N2293=MappingTables!$C$16,VLOOKUP(J2293,ModelParameters!$P$8:$Q$15,2,FALSE),0)))</f>
        <v>0.125</v>
      </c>
      <c r="P2293" s="73">
        <f>IF(OR(I2293=0,I2293=$A$1),0,MIN(O2293*M2293,1)*K2293)</f>
        <v>19.470594269938436</v>
      </c>
      <c r="Q2293" s="73">
        <f>IF(B2293="",0,IF(OR(H2293=MappingTables!$C$34,H2293=MappingTables!$C$35),P2293,0))</f>
        <v>0</v>
      </c>
      <c r="R2293" s="73">
        <f>IF(ISNA(IF(AND(VLOOKUP(CONCATENATE($D2293,$G2293),CSRFinput!$B:$E,4,0)=0,OR(H2293=MappingTables!$C$31,H2293=MappingTables!$C$32)),1,VLOOKUP(CONCATENATE($D2293,$G2293),CSRFinput!$B:$E,4,0))),0,IF(AND(VLOOKUP(CONCATENATE($D2293,$G2293),CSRFinput!$B:$E,4,0)=0,OR(H2293=MappingTables!$C$31,H2293=MappingTables!$C$32)),1,VLOOKUP(CONCATENATE($D2293,$G2293),CSRFinput!$B:$E,4,0)))</f>
        <v>0.054776304963434752</v>
      </c>
      <c r="S2293" s="73">
        <f>IF(B2293="",0,P2293*R2293)</f>
        <v>1.066527209549453</v>
      </c>
      <c r="T2293" s="85">
        <f>IF(B2293="",0,IF(OR(H2293=MappingTables!$C$34,H2293=MappingTables!$C$35),S2293,0))</f>
        <v>0</v>
      </c>
    </row>
    <row r="2294" spans="2:20" s="0" customFormat="0" ht="15">
      <c r="B2294" s="69">
        <v>16974692</v>
      </c>
      <c r="C2294" s="70" t="s">
        <v>4932</v>
      </c>
      <c r="D2294" s="70" t="s">
        <v>1</v>
      </c>
      <c r="E2294" s="70" t="s">
        <v>1</v>
      </c>
      <c r="F2294" s="70"/>
      <c r="G2294" s="70" t="s">
        <v>61</v>
      </c>
      <c r="H2294" s="70" t="s">
        <v>178</v>
      </c>
      <c r="I2294" s="70" t="s">
        <v>198</v>
      </c>
      <c r="J2294" s="71" t="str">
        <f>IF(OR(I2294=0,I2294=""),"unrated",VLOOKUP(I2294,MappingTables!$B$19:$C$31,2,FALSE))</f>
        <v>unrated</v>
      </c>
      <c r="K2294" s="72">
        <v>798.03843918641936</v>
      </c>
      <c r="L2294" s="70">
        <v>-0.036033076387249104</v>
      </c>
      <c r="M2294" s="71">
        <f>IF(L2294&lt;1,1,L2294)</f>
        <v>1</v>
      </c>
      <c r="N2294" s="70" t="s">
        <v>3288</v>
      </c>
      <c r="O2294" s="71">
        <f>IF(OR(I2294=$A$1,I2294=0),"",IF(N2294=MappingTables!$C$14,VLOOKUP(J2294,ModelParameters!$M$8:$N$15,2,FALSE),IF(N2294=MappingTables!$C$16,VLOOKUP(J2294,ModelParameters!$P$8:$Q$15,2,FALSE),0)))</f>
        <v>1</v>
      </c>
      <c r="P2294" s="73">
        <f>IF(OR(I2294=0,I2294=$A$1),0,MIN(O2294*M2294,1)*K2294)</f>
        <v>798.03843918641936</v>
      </c>
      <c r="Q2294" s="73">
        <f>IF(B2294="",0,IF(OR(H2294=MappingTables!$C$34,H2294=MappingTables!$C$35),P2294,0))</f>
        <v>0</v>
      </c>
      <c r="R2294" s="73">
        <f>IF(ISNA(IF(AND(VLOOKUP(CONCATENATE($D2294,$G2294),CSRFinput!$B:$E,4,0)=0,OR(H2294=MappingTables!$C$31,H2294=MappingTables!$C$32)),1,VLOOKUP(CONCATENATE($D2294,$G2294),CSRFinput!$B:$E,4,0))),0,IF(AND(VLOOKUP(CONCATENATE($D2294,$G2294),CSRFinput!$B:$E,4,0)=0,OR(H2294=MappingTables!$C$31,H2294=MappingTables!$C$32)),1,VLOOKUP(CONCATENATE($D2294,$G2294),CSRFinput!$B:$E,4,0)))</f>
        <v>0.054776304963434752</v>
      </c>
      <c r="S2294" s="73">
        <f>IF(B2294="",0,P2294*R2294)</f>
        <v>43.713596917418792</v>
      </c>
      <c r="T2294" s="85">
        <f>IF(B2294="",0,IF(OR(H2294=MappingTables!$C$34,H2294=MappingTables!$C$35),S2294,0))</f>
        <v>0</v>
      </c>
    </row>
    <row r="2295" spans="2:20" s="0" customFormat="0" ht="15">
      <c r="B2295" s="69" t="s">
        <v>3495</v>
      </c>
      <c r="C2295" s="70" t="s">
        <v>3496</v>
      </c>
      <c r="D2295" s="70" t="s">
        <v>1</v>
      </c>
      <c r="E2295" s="70" t="s">
        <v>1</v>
      </c>
      <c r="F2295" s="70"/>
      <c r="G2295" s="70" t="s">
        <v>61</v>
      </c>
      <c r="H2295" s="70" t="s">
        <v>178</v>
      </c>
      <c r="I2295" s="70" t="s">
        <v>204</v>
      </c>
      <c r="J2295" s="71">
        <f>IF(OR(I2295=0,I2295=""),"unrated",VLOOKUP(I2295,MappingTables!$B$19:$C$31,2,FALSE))</f>
        <v>6</v>
      </c>
      <c r="K2295" s="72">
        <v>193.52179466260244</v>
      </c>
      <c r="L2295" s="70">
        <v>0.054793947653769728</v>
      </c>
      <c r="M2295" s="71">
        <f>IF(L2295&lt;1,1,L2295)</f>
        <v>1</v>
      </c>
      <c r="N2295" s="70" t="s">
        <v>3288</v>
      </c>
      <c r="O2295" s="71">
        <f>IF(OR(I2295=$A$1,I2295=0),"",IF(N2295=MappingTables!$C$14,VLOOKUP(J2295,ModelParameters!$M$8:$N$15,2,FALSE),IF(N2295=MappingTables!$C$16,VLOOKUP(J2295,ModelParameters!$P$8:$Q$15,2,FALSE),0)))</f>
        <v>1</v>
      </c>
      <c r="P2295" s="73">
        <f>IF(OR(I2295=0,I2295=$A$1),0,MIN(O2295*M2295,1)*K2295)</f>
        <v>193.52179466260244</v>
      </c>
      <c r="Q2295" s="73">
        <f>IF(B2295="",0,IF(OR(H2295=MappingTables!$C$34,H2295=MappingTables!$C$35),P2295,0))</f>
        <v>0</v>
      </c>
      <c r="R2295" s="73">
        <f>IF(ISNA(IF(AND(VLOOKUP(CONCATENATE($D2295,$G2295),CSRFinput!$B:$E,4,0)=0,OR(H2295=MappingTables!$C$31,H2295=MappingTables!$C$32)),1,VLOOKUP(CONCATENATE($D2295,$G2295),CSRFinput!$B:$E,4,0))),0,IF(AND(VLOOKUP(CONCATENATE($D2295,$G2295),CSRFinput!$B:$E,4,0)=0,OR(H2295=MappingTables!$C$31,H2295=MappingTables!$C$32)),1,VLOOKUP(CONCATENATE($D2295,$G2295),CSRFinput!$B:$E,4,0)))</f>
        <v>0.054776304963434752</v>
      </c>
      <c r="S2295" s="73">
        <f>IF(B2295="",0,P2295*R2295)</f>
        <v>10.600408841509912</v>
      </c>
      <c r="T2295" s="85">
        <f>IF(B2295="",0,IF(OR(H2295=MappingTables!$C$34,H2295=MappingTables!$C$35),S2295,0))</f>
        <v>0</v>
      </c>
    </row>
    <row r="2296" spans="2:20" s="0" customFormat="0" ht="15">
      <c r="B2296" s="69" t="s">
        <v>5009</v>
      </c>
      <c r="C2296" s="70" t="s">
        <v>5010</v>
      </c>
      <c r="D2296" s="70" t="s">
        <v>1</v>
      </c>
      <c r="E2296" s="70" t="s">
        <v>1</v>
      </c>
      <c r="F2296" s="70"/>
      <c r="G2296" s="70" t="s">
        <v>61</v>
      </c>
      <c r="H2296" s="70" t="s">
        <v>178</v>
      </c>
      <c r="I2296" s="70" t="s">
        <v>3298</v>
      </c>
      <c r="J2296" s="71">
        <f>IF(OR(I2296=0,I2296=""),"unrated",VLOOKUP(I2296,MappingTables!$B$19:$C$31,2,FALSE))</f>
        <v>6</v>
      </c>
      <c r="K2296" s="72">
        <v>2964.8188540167088</v>
      </c>
      <c r="L2296" s="70">
        <v>-1.093144296121645</v>
      </c>
      <c r="M2296" s="71">
        <f>IF(L2296&lt;1,1,L2296)</f>
        <v>1</v>
      </c>
      <c r="N2296" s="70" t="s">
        <v>3288</v>
      </c>
      <c r="O2296" s="71">
        <f>IF(OR(I2296=$A$1,I2296=0),"",IF(N2296=MappingTables!$C$14,VLOOKUP(J2296,ModelParameters!$M$8:$N$15,2,FALSE),IF(N2296=MappingTables!$C$16,VLOOKUP(J2296,ModelParameters!$P$8:$Q$15,2,FALSE),0)))</f>
        <v>1</v>
      </c>
      <c r="P2296" s="73">
        <f>IF(OR(I2296=0,I2296=$A$1),0,MIN(O2296*M2296,1)*K2296)</f>
        <v>2964.8188540167088</v>
      </c>
      <c r="Q2296" s="73">
        <f>IF(B2296="",0,IF(OR(H2296=MappingTables!$C$34,H2296=MappingTables!$C$35),P2296,0))</f>
        <v>0</v>
      </c>
      <c r="R2296" s="73">
        <f>IF(ISNA(IF(AND(VLOOKUP(CONCATENATE($D2296,$G2296),CSRFinput!$B:$E,4,0)=0,OR(H2296=MappingTables!$C$31,H2296=MappingTables!$C$32)),1,VLOOKUP(CONCATENATE($D2296,$G2296),CSRFinput!$B:$E,4,0))),0,IF(AND(VLOOKUP(CONCATENATE($D2296,$G2296),CSRFinput!$B:$E,4,0)=0,OR(H2296=MappingTables!$C$31,H2296=MappingTables!$C$32)),1,VLOOKUP(CONCATENATE($D2296,$G2296),CSRFinput!$B:$E,4,0)))</f>
        <v>0.054776304963434752</v>
      </c>
      <c r="S2296" s="73">
        <f>IF(B2296="",0,P2296*R2296)</f>
        <v>162.4018217089604</v>
      </c>
      <c r="T2296" s="85">
        <f>IF(B2296="",0,IF(OR(H2296=MappingTables!$C$34,H2296=MappingTables!$C$35),S2296,0))</f>
        <v>0</v>
      </c>
    </row>
    <row r="2297" spans="2:20" s="0" customFormat="0" ht="15">
      <c r="B2297" s="69">
        <v>1928739</v>
      </c>
      <c r="C2297" s="70" t="s">
        <v>4754</v>
      </c>
      <c r="D2297" s="70" t="s">
        <v>1</v>
      </c>
      <c r="E2297" s="70" t="s">
        <v>1</v>
      </c>
      <c r="F2297" s="70"/>
      <c r="G2297" s="70" t="s">
        <v>61</v>
      </c>
      <c r="H2297" s="70" t="s">
        <v>178</v>
      </c>
      <c r="I2297" s="70" t="s">
        <v>220</v>
      </c>
      <c r="J2297" s="71">
        <f>IF(OR(I2297=0,I2297=""),"unrated",VLOOKUP(I2297,MappingTables!$B$19:$C$31,2,FALSE))</f>
        <v>1</v>
      </c>
      <c r="K2297" s="72">
        <v>8.6201195399697872</v>
      </c>
      <c r="L2297" s="70">
        <v>0.08118300204554432</v>
      </c>
      <c r="M2297" s="71">
        <f>IF(L2297&lt;1,1,L2297)</f>
        <v>1</v>
      </c>
      <c r="N2297" s="70" t="s">
        <v>3288</v>
      </c>
      <c r="O2297" s="71">
        <f>IF(OR(I2297=$A$1,I2297=0),"",IF(N2297=MappingTables!$C$14,VLOOKUP(J2297,ModelParameters!$M$8:$N$15,2,FALSE),IF(N2297=MappingTables!$C$16,VLOOKUP(J2297,ModelParameters!$P$8:$Q$15,2,FALSE),0)))</f>
        <v>0.134</v>
      </c>
      <c r="P2297" s="73">
        <f>IF(OR(I2297=0,I2297=$A$1),0,MIN(O2297*M2297,1)*K2297)</f>
        <v>1.1550960183559516</v>
      </c>
      <c r="Q2297" s="73">
        <f>IF(B2297="",0,IF(OR(H2297=MappingTables!$C$34,H2297=MappingTables!$C$35),P2297,0))</f>
        <v>0</v>
      </c>
      <c r="R2297" s="73">
        <f>IF(ISNA(IF(AND(VLOOKUP(CONCATENATE($D2297,$G2297),CSRFinput!$B:$E,4,0)=0,OR(H2297=MappingTables!$C$31,H2297=MappingTables!$C$32)),1,VLOOKUP(CONCATENATE($D2297,$G2297),CSRFinput!$B:$E,4,0))),0,IF(AND(VLOOKUP(CONCATENATE($D2297,$G2297),CSRFinput!$B:$E,4,0)=0,OR(H2297=MappingTables!$C$31,H2297=MappingTables!$C$32)),1,VLOOKUP(CONCATENATE($D2297,$G2297),CSRFinput!$B:$E,4,0)))</f>
        <v>0.054776304963434752</v>
      </c>
      <c r="S2297" s="73">
        <f>IF(B2297="",0,P2297*R2297)</f>
        <v>0.063271891763514832</v>
      </c>
      <c r="T2297" s="85">
        <f>IF(B2297="",0,IF(OR(H2297=MappingTables!$C$34,H2297=MappingTables!$C$35),S2297,0))</f>
        <v>0</v>
      </c>
    </row>
    <row r="2298" spans="2:20" s="0" customFormat="0" ht="15">
      <c r="B2298" s="69" t="s">
        <v>4809</v>
      </c>
      <c r="C2298" s="70" t="s">
        <v>4810</v>
      </c>
      <c r="D2298" s="70" t="s">
        <v>1</v>
      </c>
      <c r="E2298" s="70" t="s">
        <v>1</v>
      </c>
      <c r="F2298" s="70"/>
      <c r="G2298" s="70" t="s">
        <v>61</v>
      </c>
      <c r="H2298" s="70" t="s">
        <v>178</v>
      </c>
      <c r="I2298" s="70" t="s">
        <v>204</v>
      </c>
      <c r="J2298" s="71">
        <f>IF(OR(I2298=0,I2298=""),"unrated",VLOOKUP(I2298,MappingTables!$B$19:$C$31,2,FALSE))</f>
        <v>6</v>
      </c>
      <c r="K2298" s="72">
        <v>2041.2839560410344</v>
      </c>
      <c r="L2298" s="70">
        <v>-0.14901318564493734</v>
      </c>
      <c r="M2298" s="71">
        <f>IF(L2298&lt;1,1,L2298)</f>
        <v>1</v>
      </c>
      <c r="N2298" s="70" t="s">
        <v>3288</v>
      </c>
      <c r="O2298" s="71">
        <f>IF(OR(I2298=$A$1,I2298=0),"",IF(N2298=MappingTables!$C$14,VLOOKUP(J2298,ModelParameters!$M$8:$N$15,2,FALSE),IF(N2298=MappingTables!$C$16,VLOOKUP(J2298,ModelParameters!$P$8:$Q$15,2,FALSE),0)))</f>
        <v>1</v>
      </c>
      <c r="P2298" s="73">
        <f>IF(OR(I2298=0,I2298=$A$1),0,MIN(O2298*M2298,1)*K2298)</f>
        <v>2041.2839560410344</v>
      </c>
      <c r="Q2298" s="73">
        <f>IF(B2298="",0,IF(OR(H2298=MappingTables!$C$34,H2298=MappingTables!$C$35),P2298,0))</f>
        <v>0</v>
      </c>
      <c r="R2298" s="73">
        <f>IF(ISNA(IF(AND(VLOOKUP(CONCATENATE($D2298,$G2298),CSRFinput!$B:$E,4,0)=0,OR(H2298=MappingTables!$C$31,H2298=MappingTables!$C$32)),1,VLOOKUP(CONCATENATE($D2298,$G2298),CSRFinput!$B:$E,4,0))),0,IF(AND(VLOOKUP(CONCATENATE($D2298,$G2298),CSRFinput!$B:$E,4,0)=0,OR(H2298=MappingTables!$C$31,H2298=MappingTables!$C$32)),1,VLOOKUP(CONCATENATE($D2298,$G2298),CSRFinput!$B:$E,4,0)))</f>
        <v>0.054776304963434752</v>
      </c>
      <c r="S2298" s="73">
        <f>IF(B2298="",0,P2298*R2298)</f>
        <v>111.81399249307024</v>
      </c>
      <c r="T2298" s="85">
        <f>IF(B2298="",0,IF(OR(H2298=MappingTables!$C$34,H2298=MappingTables!$C$35),S2298,0))</f>
        <v>0</v>
      </c>
    </row>
    <row r="2299" spans="2:20" s="0" customFormat="0" ht="15">
      <c r="B2299" s="69" t="s">
        <v>5078</v>
      </c>
      <c r="C2299" s="70" t="s">
        <v>5079</v>
      </c>
      <c r="D2299" s="70" t="s">
        <v>1</v>
      </c>
      <c r="E2299" s="70" t="s">
        <v>1</v>
      </c>
      <c r="F2299" s="70"/>
      <c r="G2299" s="70" t="s">
        <v>61</v>
      </c>
      <c r="H2299" s="70" t="s">
        <v>178</v>
      </c>
      <c r="I2299" s="70" t="s">
        <v>204</v>
      </c>
      <c r="J2299" s="71">
        <f>IF(OR(I2299=0,I2299=""),"unrated",VLOOKUP(I2299,MappingTables!$B$19:$C$31,2,FALSE))</f>
        <v>6</v>
      </c>
      <c r="K2299" s="72">
        <v>127.46159459077038</v>
      </c>
      <c r="L2299" s="70">
        <v>0.068490691644273864</v>
      </c>
      <c r="M2299" s="71">
        <f>IF(L2299&lt;1,1,L2299)</f>
        <v>1</v>
      </c>
      <c r="N2299" s="70" t="s">
        <v>3288</v>
      </c>
      <c r="O2299" s="71">
        <f>IF(OR(I2299=$A$1,I2299=0),"",IF(N2299=MappingTables!$C$14,VLOOKUP(J2299,ModelParameters!$M$8:$N$15,2,FALSE),IF(N2299=MappingTables!$C$16,VLOOKUP(J2299,ModelParameters!$P$8:$Q$15,2,FALSE),0)))</f>
        <v>1</v>
      </c>
      <c r="P2299" s="73">
        <f>IF(OR(I2299=0,I2299=$A$1),0,MIN(O2299*M2299,1)*K2299)</f>
        <v>127.46159459077038</v>
      </c>
      <c r="Q2299" s="73">
        <f>IF(B2299="",0,IF(OR(H2299=MappingTables!$C$34,H2299=MappingTables!$C$35),P2299,0))</f>
        <v>0</v>
      </c>
      <c r="R2299" s="73">
        <f>IF(ISNA(IF(AND(VLOOKUP(CONCATENATE($D2299,$G2299),CSRFinput!$B:$E,4,0)=0,OR(H2299=MappingTables!$C$31,H2299=MappingTables!$C$32)),1,VLOOKUP(CONCATENATE($D2299,$G2299),CSRFinput!$B:$E,4,0))),0,IF(AND(VLOOKUP(CONCATENATE($D2299,$G2299),CSRFinput!$B:$E,4,0)=0,OR(H2299=MappingTables!$C$31,H2299=MappingTables!$C$32)),1,VLOOKUP(CONCATENATE($D2299,$G2299),CSRFinput!$B:$E,4,0)))</f>
        <v>0.054776304963434752</v>
      </c>
      <c r="S2299" s="73">
        <f>IF(B2299="",0,P2299*R2299)</f>
        <v>6.981875176429724</v>
      </c>
      <c r="T2299" s="85">
        <f>IF(B2299="",0,IF(OR(H2299=MappingTables!$C$34,H2299=MappingTables!$C$35),S2299,0))</f>
        <v>0</v>
      </c>
    </row>
    <row r="2300" spans="2:20" s="0" customFormat="0" ht="15">
      <c r="B2300" s="69" t="s">
        <v>5104</v>
      </c>
      <c r="C2300" s="70" t="s">
        <v>5105</v>
      </c>
      <c r="D2300" s="70" t="s">
        <v>1</v>
      </c>
      <c r="E2300" s="70" t="s">
        <v>1</v>
      </c>
      <c r="F2300" s="70"/>
      <c r="G2300" s="70" t="s">
        <v>61</v>
      </c>
      <c r="H2300" s="70" t="s">
        <v>178</v>
      </c>
      <c r="I2300" s="70" t="s">
        <v>204</v>
      </c>
      <c r="J2300" s="71">
        <f>IF(OR(I2300=0,I2300=""),"unrated",VLOOKUP(I2300,MappingTables!$B$19:$C$31,2,FALSE))</f>
        <v>6</v>
      </c>
      <c r="K2300" s="72">
        <v>53.750860808888728</v>
      </c>
      <c r="L2300" s="70">
        <v>0.06849320413706152</v>
      </c>
      <c r="M2300" s="71">
        <f>IF(L2300&lt;1,1,L2300)</f>
        <v>1</v>
      </c>
      <c r="N2300" s="70" t="s">
        <v>3288</v>
      </c>
      <c r="O2300" s="71">
        <f>IF(OR(I2300=$A$1,I2300=0),"",IF(N2300=MappingTables!$C$14,VLOOKUP(J2300,ModelParameters!$M$8:$N$15,2,FALSE),IF(N2300=MappingTables!$C$16,VLOOKUP(J2300,ModelParameters!$P$8:$Q$15,2,FALSE),0)))</f>
        <v>1</v>
      </c>
      <c r="P2300" s="73">
        <f>IF(OR(I2300=0,I2300=$A$1),0,MIN(O2300*M2300,1)*K2300)</f>
        <v>53.750860808888728</v>
      </c>
      <c r="Q2300" s="73">
        <f>IF(B2300="",0,IF(OR(H2300=MappingTables!$C$34,H2300=MappingTables!$C$35),P2300,0))</f>
        <v>0</v>
      </c>
      <c r="R2300" s="73">
        <f>IF(ISNA(IF(AND(VLOOKUP(CONCATENATE($D2300,$G2300),CSRFinput!$B:$E,4,0)=0,OR(H2300=MappingTables!$C$31,H2300=MappingTables!$C$32)),1,VLOOKUP(CONCATENATE($D2300,$G2300),CSRFinput!$B:$E,4,0))),0,IF(AND(VLOOKUP(CONCATENATE($D2300,$G2300),CSRFinput!$B:$E,4,0)=0,OR(H2300=MappingTables!$C$31,H2300=MappingTables!$C$32)),1,VLOOKUP(CONCATENATE($D2300,$G2300),CSRFinput!$B:$E,4,0)))</f>
        <v>0.054776304963434752</v>
      </c>
      <c r="S2300" s="73">
        <f>IF(B2300="",0,P2300*R2300)</f>
        <v>2.944273543714822</v>
      </c>
      <c r="T2300" s="85">
        <f>IF(B2300="",0,IF(OR(H2300=MappingTables!$C$34,H2300=MappingTables!$C$35),S2300,0))</f>
        <v>0</v>
      </c>
    </row>
    <row r="2301" spans="2:20" s="0" customFormat="0" ht="15">
      <c r="B2301" s="69">
        <v>22554576</v>
      </c>
      <c r="C2301" s="70" t="s">
        <v>4296</v>
      </c>
      <c r="D2301" s="70" t="s">
        <v>1</v>
      </c>
      <c r="E2301" s="70" t="s">
        <v>1</v>
      </c>
      <c r="F2301" s="70"/>
      <c r="G2301" s="70" t="s">
        <v>61</v>
      </c>
      <c r="H2301" s="70" t="s">
        <v>178</v>
      </c>
      <c r="I2301" s="70" t="s">
        <v>216</v>
      </c>
      <c r="J2301" s="71">
        <f>IF(OR(I2301=0,I2301=""),"unrated",VLOOKUP(I2301,MappingTables!$B$19:$C$31,2,FALSE))</f>
        <v>0</v>
      </c>
      <c r="K2301" s="72">
        <v>8.0292597811247216</v>
      </c>
      <c r="L2301" s="70">
        <v>0.070892418829692192</v>
      </c>
      <c r="M2301" s="71">
        <f>IF(L2301&lt;1,1,L2301)</f>
        <v>1</v>
      </c>
      <c r="N2301" s="70" t="s">
        <v>3288</v>
      </c>
      <c r="O2301" s="71">
        <f>IF(OR(I2301=$A$1,I2301=0),"",IF(N2301=MappingTables!$C$14,VLOOKUP(J2301,ModelParameters!$M$8:$N$15,2,FALSE),IF(N2301=MappingTables!$C$16,VLOOKUP(J2301,ModelParameters!$P$8:$Q$15,2,FALSE),0)))</f>
        <v>0.125</v>
      </c>
      <c r="P2301" s="73">
        <f>IF(OR(I2301=0,I2301=$A$1),0,MIN(O2301*M2301,1)*K2301)</f>
        <v>1.0036574726405902</v>
      </c>
      <c r="Q2301" s="73">
        <f>IF(B2301="",0,IF(OR(H2301=MappingTables!$C$34,H2301=MappingTables!$C$35),P2301,0))</f>
        <v>0</v>
      </c>
      <c r="R2301" s="73">
        <f>IF(ISNA(IF(AND(VLOOKUP(CONCATENATE($D2301,$G2301),CSRFinput!$B:$E,4,0)=0,OR(H2301=MappingTables!$C$31,H2301=MappingTables!$C$32)),1,VLOOKUP(CONCATENATE($D2301,$G2301),CSRFinput!$B:$E,4,0))),0,IF(AND(VLOOKUP(CONCATENATE($D2301,$G2301),CSRFinput!$B:$E,4,0)=0,OR(H2301=MappingTables!$C$31,H2301=MappingTables!$C$32)),1,VLOOKUP(CONCATENATE($D2301,$G2301),CSRFinput!$B:$E,4,0)))</f>
        <v>0.054776304963434752</v>
      </c>
      <c r="S2301" s="73">
        <f>IF(B2301="",0,P2301*R2301)</f>
        <v>0.054976647800191144</v>
      </c>
      <c r="T2301" s="85">
        <f>IF(B2301="",0,IF(OR(H2301=MappingTables!$C$34,H2301=MappingTables!$C$35),S2301,0))</f>
        <v>0</v>
      </c>
    </row>
    <row r="2302" spans="2:20" s="0" customFormat="0" ht="15">
      <c r="B2302" s="69" t="s">
        <v>3497</v>
      </c>
      <c r="C2302" s="70" t="s">
        <v>3498</v>
      </c>
      <c r="D2302" s="70" t="s">
        <v>1</v>
      </c>
      <c r="E2302" s="70" t="s">
        <v>1</v>
      </c>
      <c r="F2302" s="70"/>
      <c r="G2302" s="70" t="s">
        <v>61</v>
      </c>
      <c r="H2302" s="70" t="s">
        <v>178</v>
      </c>
      <c r="I2302" s="70" t="s">
        <v>198</v>
      </c>
      <c r="J2302" s="71" t="str">
        <f>IF(OR(I2302=0,I2302=""),"unrated",VLOOKUP(I2302,MappingTables!$B$19:$C$31,2,FALSE))</f>
        <v>unrated</v>
      </c>
      <c r="K2302" s="72">
        <v>1.0369023095965392</v>
      </c>
      <c r="L2302" s="70">
        <v>31.831908574440708</v>
      </c>
      <c r="M2302" s="71">
        <f>IF(L2302&lt;1,1,L2302)</f>
        <v>31.831908574440708</v>
      </c>
      <c r="N2302" s="70" t="s">
        <v>3288</v>
      </c>
      <c r="O2302" s="71">
        <f>IF(OR(I2302=$A$1,I2302=0),"",IF(N2302=MappingTables!$C$14,VLOOKUP(J2302,ModelParameters!$M$8:$N$15,2,FALSE),IF(N2302=MappingTables!$C$16,VLOOKUP(J2302,ModelParameters!$P$8:$Q$15,2,FALSE),0)))</f>
        <v>1</v>
      </c>
      <c r="P2302" s="73">
        <f>IF(OR(I2302=0,I2302=$A$1),0,MIN(O2302*M2302,1)*K2302)</f>
        <v>1.0369023095965392</v>
      </c>
      <c r="Q2302" s="73">
        <f>IF(B2302="",0,IF(OR(H2302=MappingTables!$C$34,H2302=MappingTables!$C$35),P2302,0))</f>
        <v>0</v>
      </c>
      <c r="R2302" s="73">
        <f>IF(ISNA(IF(AND(VLOOKUP(CONCATENATE($D2302,$G2302),CSRFinput!$B:$E,4,0)=0,OR(H2302=MappingTables!$C$31,H2302=MappingTables!$C$32)),1,VLOOKUP(CONCATENATE($D2302,$G2302),CSRFinput!$B:$E,4,0))),0,IF(AND(VLOOKUP(CONCATENATE($D2302,$G2302),CSRFinput!$B:$E,4,0)=0,OR(H2302=MappingTables!$C$31,H2302=MappingTables!$C$32)),1,VLOOKUP(CONCATENATE($D2302,$G2302),CSRFinput!$B:$E,4,0)))</f>
        <v>0.054776304963434752</v>
      </c>
      <c r="S2302" s="73">
        <f>IF(B2302="",0,P2302*R2302)</f>
        <v>0.056797677127749872</v>
      </c>
      <c r="T2302" s="85">
        <f>IF(B2302="",0,IF(OR(H2302=MappingTables!$C$34,H2302=MappingTables!$C$35),S2302,0))</f>
        <v>0</v>
      </c>
    </row>
    <row r="2303" spans="2:20" s="0" customFormat="0" ht="15">
      <c r="B2303" s="69" t="s">
        <v>5250</v>
      </c>
      <c r="C2303" s="70" t="s">
        <v>5251</v>
      </c>
      <c r="D2303" s="70" t="s">
        <v>1</v>
      </c>
      <c r="E2303" s="70" t="s">
        <v>1</v>
      </c>
      <c r="F2303" s="70"/>
      <c r="G2303" s="70" t="s">
        <v>61</v>
      </c>
      <c r="H2303" s="70" t="s">
        <v>178</v>
      </c>
      <c r="I2303" s="70" t="s">
        <v>3298</v>
      </c>
      <c r="J2303" s="71">
        <f>IF(OR(I2303=0,I2303=""),"unrated",VLOOKUP(I2303,MappingTables!$B$19:$C$31,2,FALSE))</f>
        <v>6</v>
      </c>
      <c r="K2303" s="72">
        <v>475.4890652058232</v>
      </c>
      <c r="L2303" s="70">
        <v>0.068492333076468184</v>
      </c>
      <c r="M2303" s="71">
        <f>IF(L2303&lt;1,1,L2303)</f>
        <v>1</v>
      </c>
      <c r="N2303" s="70" t="s">
        <v>3288</v>
      </c>
      <c r="O2303" s="71">
        <f>IF(OR(I2303=$A$1,I2303=0),"",IF(N2303=MappingTables!$C$14,VLOOKUP(J2303,ModelParameters!$M$8:$N$15,2,FALSE),IF(N2303=MappingTables!$C$16,VLOOKUP(J2303,ModelParameters!$P$8:$Q$15,2,FALSE),0)))</f>
        <v>1</v>
      </c>
      <c r="P2303" s="73">
        <f>IF(OR(I2303=0,I2303=$A$1),0,MIN(O2303*M2303,1)*K2303)</f>
        <v>475.4890652058232</v>
      </c>
      <c r="Q2303" s="73">
        <f>IF(B2303="",0,IF(OR(H2303=MappingTables!$C$34,H2303=MappingTables!$C$35),P2303,0))</f>
        <v>0</v>
      </c>
      <c r="R2303" s="73">
        <f>IF(ISNA(IF(AND(VLOOKUP(CONCATENATE($D2303,$G2303),CSRFinput!$B:$E,4,0)=0,OR(H2303=MappingTables!$C$31,H2303=MappingTables!$C$32)),1,VLOOKUP(CONCATENATE($D2303,$G2303),CSRFinput!$B:$E,4,0))),0,IF(AND(VLOOKUP(CONCATENATE($D2303,$G2303),CSRFinput!$B:$E,4,0)=0,OR(H2303=MappingTables!$C$31,H2303=MappingTables!$C$32)),1,VLOOKUP(CONCATENATE($D2303,$G2303),CSRFinput!$B:$E,4,0)))</f>
        <v>0.054776304963434752</v>
      </c>
      <c r="S2303" s="73">
        <f>IF(B2303="",0,P2303*R2303)</f>
        <v>26.045534042492688</v>
      </c>
      <c r="T2303" s="85">
        <f>IF(B2303="",0,IF(OR(H2303=MappingTables!$C$34,H2303=MappingTables!$C$35),S2303,0))</f>
        <v>0</v>
      </c>
    </row>
    <row r="2304" spans="2:20" s="0" customFormat="0" ht="15">
      <c r="B2304" s="69" t="s">
        <v>4911</v>
      </c>
      <c r="C2304" s="70" t="s">
        <v>4912</v>
      </c>
      <c r="D2304" s="70" t="s">
        <v>1</v>
      </c>
      <c r="E2304" s="70" t="s">
        <v>1</v>
      </c>
      <c r="F2304" s="70"/>
      <c r="G2304" s="70" t="s">
        <v>61</v>
      </c>
      <c r="H2304" s="70" t="s">
        <v>178</v>
      </c>
      <c r="I2304" s="70" t="s">
        <v>3298</v>
      </c>
      <c r="J2304" s="71">
        <f>IF(OR(I2304=0,I2304=""),"unrated",VLOOKUP(I2304,MappingTables!$B$19:$C$31,2,FALSE))</f>
        <v>6</v>
      </c>
      <c r="K2304" s="72">
        <v>163.003343682678</v>
      </c>
      <c r="L2304" s="70">
        <v>0.068491184693502256</v>
      </c>
      <c r="M2304" s="71">
        <f>IF(L2304&lt;1,1,L2304)</f>
        <v>1</v>
      </c>
      <c r="N2304" s="70" t="s">
        <v>3288</v>
      </c>
      <c r="O2304" s="71">
        <f>IF(OR(I2304=$A$1,I2304=0),"",IF(N2304=MappingTables!$C$14,VLOOKUP(J2304,ModelParameters!$M$8:$N$15,2,FALSE),IF(N2304=MappingTables!$C$16,VLOOKUP(J2304,ModelParameters!$P$8:$Q$15,2,FALSE),0)))</f>
        <v>1</v>
      </c>
      <c r="P2304" s="73">
        <f>IF(OR(I2304=0,I2304=$A$1),0,MIN(O2304*M2304,1)*K2304)</f>
        <v>163.003343682678</v>
      </c>
      <c r="Q2304" s="73">
        <f>IF(B2304="",0,IF(OR(H2304=MappingTables!$C$34,H2304=MappingTables!$C$35),P2304,0))</f>
        <v>0</v>
      </c>
      <c r="R2304" s="73">
        <f>IF(ISNA(IF(AND(VLOOKUP(CONCATENATE($D2304,$G2304),CSRFinput!$B:$E,4,0)=0,OR(H2304=MappingTables!$C$31,H2304=MappingTables!$C$32)),1,VLOOKUP(CONCATENATE($D2304,$G2304),CSRFinput!$B:$E,4,0))),0,IF(AND(VLOOKUP(CONCATENATE($D2304,$G2304),CSRFinput!$B:$E,4,0)=0,OR(H2304=MappingTables!$C$31,H2304=MappingTables!$C$32)),1,VLOOKUP(CONCATENATE($D2304,$G2304),CSRFinput!$B:$E,4,0)))</f>
        <v>0.054776304963434752</v>
      </c>
      <c r="S2304" s="73">
        <f>IF(B2304="",0,P2304*R2304)</f>
        <v>8.9287208636219376</v>
      </c>
      <c r="T2304" s="85">
        <f>IF(B2304="",0,IF(OR(H2304=MappingTables!$C$34,H2304=MappingTables!$C$35),S2304,0))</f>
        <v>0</v>
      </c>
    </row>
    <row r="2305" spans="2:20" s="0" customFormat="0" ht="15">
      <c r="B2305" s="69" t="s">
        <v>4718</v>
      </c>
      <c r="C2305" s="70" t="s">
        <v>4719</v>
      </c>
      <c r="D2305" s="70" t="s">
        <v>1</v>
      </c>
      <c r="E2305" s="70" t="s">
        <v>1</v>
      </c>
      <c r="F2305" s="70"/>
      <c r="G2305" s="70" t="s">
        <v>61</v>
      </c>
      <c r="H2305" s="70" t="s">
        <v>178</v>
      </c>
      <c r="I2305" s="70" t="s">
        <v>204</v>
      </c>
      <c r="J2305" s="71">
        <f>IF(OR(I2305=0,I2305=""),"unrated",VLOOKUP(I2305,MappingTables!$B$19:$C$31,2,FALSE))</f>
        <v>6</v>
      </c>
      <c r="K2305" s="72">
        <v>98.828285001235696</v>
      </c>
      <c r="L2305" s="70">
        <v>0.068492805826249944</v>
      </c>
      <c r="M2305" s="71">
        <f>IF(L2305&lt;1,1,L2305)</f>
        <v>1</v>
      </c>
      <c r="N2305" s="70" t="s">
        <v>3288</v>
      </c>
      <c r="O2305" s="71">
        <f>IF(OR(I2305=$A$1,I2305=0),"",IF(N2305=MappingTables!$C$14,VLOOKUP(J2305,ModelParameters!$M$8:$N$15,2,FALSE),IF(N2305=MappingTables!$C$16,VLOOKUP(J2305,ModelParameters!$P$8:$Q$15,2,FALSE),0)))</f>
        <v>1</v>
      </c>
      <c r="P2305" s="73">
        <f>IF(OR(I2305=0,I2305=$A$1),0,MIN(O2305*M2305,1)*K2305)</f>
        <v>98.828285001235696</v>
      </c>
      <c r="Q2305" s="73">
        <f>IF(B2305="",0,IF(OR(H2305=MappingTables!$C$34,H2305=MappingTables!$C$35),P2305,0))</f>
        <v>0</v>
      </c>
      <c r="R2305" s="73">
        <f>IF(ISNA(IF(AND(VLOOKUP(CONCATENATE($D2305,$G2305),CSRFinput!$B:$E,4,0)=0,OR(H2305=MappingTables!$C$31,H2305=MappingTables!$C$32)),1,VLOOKUP(CONCATENATE($D2305,$G2305),CSRFinput!$B:$E,4,0))),0,IF(AND(VLOOKUP(CONCATENATE($D2305,$G2305),CSRFinput!$B:$E,4,0)=0,OR(H2305=MappingTables!$C$31,H2305=MappingTables!$C$32)),1,VLOOKUP(CONCATENATE($D2305,$G2305),CSRFinput!$B:$E,4,0)))</f>
        <v>0.054776304963434752</v>
      </c>
      <c r="S2305" s="73">
        <f>IF(B2305="",0,P2305*R2305)</f>
        <v>5.4134482782409312</v>
      </c>
      <c r="T2305" s="85">
        <f>IF(B2305="",0,IF(OR(H2305=MappingTables!$C$34,H2305=MappingTables!$C$35),S2305,0))</f>
        <v>0</v>
      </c>
    </row>
    <row r="2306" spans="2:20" s="0" customFormat="0" ht="15">
      <c r="B2306" s="69">
        <v>18423593</v>
      </c>
      <c r="C2306" s="70" t="s">
        <v>5041</v>
      </c>
      <c r="D2306" s="70" t="s">
        <v>1</v>
      </c>
      <c r="E2306" s="70" t="s">
        <v>1</v>
      </c>
      <c r="F2306" s="70"/>
      <c r="G2306" s="70" t="s">
        <v>61</v>
      </c>
      <c r="H2306" s="70" t="s">
        <v>178</v>
      </c>
      <c r="I2306" s="70" t="s">
        <v>198</v>
      </c>
      <c r="J2306" s="71" t="str">
        <f>IF(OR(I2306=0,I2306=""),"unrated",VLOOKUP(I2306,MappingTables!$B$19:$C$31,2,FALSE))</f>
        <v>unrated</v>
      </c>
      <c r="K2306" s="72">
        <v>271.64163667031004</v>
      </c>
      <c r="L2306" s="70">
        <v>0.084253719953175488</v>
      </c>
      <c r="M2306" s="71">
        <f>IF(L2306&lt;1,1,L2306)</f>
        <v>1</v>
      </c>
      <c r="N2306" s="70" t="s">
        <v>3288</v>
      </c>
      <c r="O2306" s="71">
        <f>IF(OR(I2306=$A$1,I2306=0),"",IF(N2306=MappingTables!$C$14,VLOOKUP(J2306,ModelParameters!$M$8:$N$15,2,FALSE),IF(N2306=MappingTables!$C$16,VLOOKUP(J2306,ModelParameters!$P$8:$Q$15,2,FALSE),0)))</f>
        <v>1</v>
      </c>
      <c r="P2306" s="73">
        <f>IF(OR(I2306=0,I2306=$A$1),0,MIN(O2306*M2306,1)*K2306)</f>
        <v>271.64163667031004</v>
      </c>
      <c r="Q2306" s="73">
        <f>IF(B2306="",0,IF(OR(H2306=MappingTables!$C$34,H2306=MappingTables!$C$35),P2306,0))</f>
        <v>0</v>
      </c>
      <c r="R2306" s="73">
        <f>IF(ISNA(IF(AND(VLOOKUP(CONCATENATE($D2306,$G2306),CSRFinput!$B:$E,4,0)=0,OR(H2306=MappingTables!$C$31,H2306=MappingTables!$C$32)),1,VLOOKUP(CONCATENATE($D2306,$G2306),CSRFinput!$B:$E,4,0))),0,IF(AND(VLOOKUP(CONCATENATE($D2306,$G2306),CSRFinput!$B:$E,4,0)=0,OR(H2306=MappingTables!$C$31,H2306=MappingTables!$C$32)),1,VLOOKUP(CONCATENATE($D2306,$G2306),CSRFinput!$B:$E,4,0)))</f>
        <v>0.054776304963434752</v>
      </c>
      <c r="S2306" s="73">
        <f>IF(B2306="",0,P2306*R2306)</f>
        <v>14.879525131019444</v>
      </c>
      <c r="T2306" s="85">
        <f>IF(B2306="",0,IF(OR(H2306=MappingTables!$C$34,H2306=MappingTables!$C$35),S2306,0))</f>
        <v>0</v>
      </c>
    </row>
    <row r="2307" spans="2:20" s="0" customFormat="0" ht="15">
      <c r="B2307" s="69" t="s">
        <v>5027</v>
      </c>
      <c r="C2307" s="70" t="s">
        <v>5028</v>
      </c>
      <c r="D2307" s="70" t="s">
        <v>1</v>
      </c>
      <c r="E2307" s="70" t="s">
        <v>1</v>
      </c>
      <c r="F2307" s="70"/>
      <c r="G2307" s="70" t="s">
        <v>61</v>
      </c>
      <c r="H2307" s="70" t="s">
        <v>178</v>
      </c>
      <c r="I2307" s="70" t="s">
        <v>3298</v>
      </c>
      <c r="J2307" s="71">
        <f>IF(OR(I2307=0,I2307=""),"unrated",VLOOKUP(I2307,MappingTables!$B$19:$C$31,2,FALSE))</f>
        <v>6</v>
      </c>
      <c r="K2307" s="72">
        <v>110.07826039390462</v>
      </c>
      <c r="L2307" s="70">
        <v>0.068495732981499456</v>
      </c>
      <c r="M2307" s="71">
        <f>IF(L2307&lt;1,1,L2307)</f>
        <v>1</v>
      </c>
      <c r="N2307" s="70" t="s">
        <v>3288</v>
      </c>
      <c r="O2307" s="71">
        <f>IF(OR(I2307=$A$1,I2307=0),"",IF(N2307=MappingTables!$C$14,VLOOKUP(J2307,ModelParameters!$M$8:$N$15,2,FALSE),IF(N2307=MappingTables!$C$16,VLOOKUP(J2307,ModelParameters!$P$8:$Q$15,2,FALSE),0)))</f>
        <v>1</v>
      </c>
      <c r="P2307" s="73">
        <f>IF(OR(I2307=0,I2307=$A$1),0,MIN(O2307*M2307,1)*K2307)</f>
        <v>110.07826039390462</v>
      </c>
      <c r="Q2307" s="73">
        <f>IF(B2307="",0,IF(OR(H2307=MappingTables!$C$34,H2307=MappingTables!$C$35),P2307,0))</f>
        <v>0</v>
      </c>
      <c r="R2307" s="73">
        <f>IF(ISNA(IF(AND(VLOOKUP(CONCATENATE($D2307,$G2307),CSRFinput!$B:$E,4,0)=0,OR(H2307=MappingTables!$C$31,H2307=MappingTables!$C$32)),1,VLOOKUP(CONCATENATE($D2307,$G2307),CSRFinput!$B:$E,4,0))),0,IF(AND(VLOOKUP(CONCATENATE($D2307,$G2307),CSRFinput!$B:$E,4,0)=0,OR(H2307=MappingTables!$C$31,H2307=MappingTables!$C$32)),1,VLOOKUP(CONCATENATE($D2307,$G2307),CSRFinput!$B:$E,4,0)))</f>
        <v>0.054776304963434752</v>
      </c>
      <c r="S2307" s="73">
        <f>IF(B2307="",0,P2307*R2307)</f>
        <v>6.0296803611809008</v>
      </c>
      <c r="T2307" s="85">
        <f>IF(B2307="",0,IF(OR(H2307=MappingTables!$C$34,H2307=MappingTables!$C$35),S2307,0))</f>
        <v>0</v>
      </c>
    </row>
    <row r="2308" spans="2:20" s="0" customFormat="0" ht="15">
      <c r="B2308" s="69" t="s">
        <v>4537</v>
      </c>
      <c r="C2308" s="70" t="s">
        <v>4538</v>
      </c>
      <c r="D2308" s="70" t="s">
        <v>1</v>
      </c>
      <c r="E2308" s="70" t="s">
        <v>1</v>
      </c>
      <c r="F2308" s="70"/>
      <c r="G2308" s="70" t="s">
        <v>61</v>
      </c>
      <c r="H2308" s="70" t="s">
        <v>178</v>
      </c>
      <c r="I2308" s="70" t="s">
        <v>188</v>
      </c>
      <c r="J2308" s="71">
        <f>IF(OR(I2308=0,I2308=""),"unrated",VLOOKUP(I2308,MappingTables!$B$19:$C$31,2,FALSE))</f>
        <v>2</v>
      </c>
      <c r="K2308" s="72">
        <v>105.3256790792989</v>
      </c>
      <c r="L2308" s="70">
        <v>0.068508937551850568</v>
      </c>
      <c r="M2308" s="71">
        <f>IF(L2308&lt;1,1,L2308)</f>
        <v>1</v>
      </c>
      <c r="N2308" s="70" t="s">
        <v>3288</v>
      </c>
      <c r="O2308" s="71">
        <f>IF(OR(I2308=$A$1,I2308=0),"",IF(N2308=MappingTables!$C$14,VLOOKUP(J2308,ModelParameters!$M$8:$N$15,2,FALSE),IF(N2308=MappingTables!$C$16,VLOOKUP(J2308,ModelParameters!$P$8:$Q$15,2,FALSE),0)))</f>
        <v>0.166</v>
      </c>
      <c r="P2308" s="73">
        <f>IF(OR(I2308=0,I2308=$A$1),0,MIN(O2308*M2308,1)*K2308)</f>
        <v>17.484062727163618</v>
      </c>
      <c r="Q2308" s="73">
        <f>IF(B2308="",0,IF(OR(H2308=MappingTables!$C$34,H2308=MappingTables!$C$35),P2308,0))</f>
        <v>0</v>
      </c>
      <c r="R2308" s="73">
        <f>IF(ISNA(IF(AND(VLOOKUP(CONCATENATE($D2308,$G2308),CSRFinput!$B:$E,4,0)=0,OR(H2308=MappingTables!$C$31,H2308=MappingTables!$C$32)),1,VLOOKUP(CONCATENATE($D2308,$G2308),CSRFinput!$B:$E,4,0))),0,IF(AND(VLOOKUP(CONCATENATE($D2308,$G2308),CSRFinput!$B:$E,4,0)=0,OR(H2308=MappingTables!$C$31,H2308=MappingTables!$C$32)),1,VLOOKUP(CONCATENATE($D2308,$G2308),CSRFinput!$B:$E,4,0)))</f>
        <v>0.054776304963434752</v>
      </c>
      <c r="S2308" s="73">
        <f>IF(B2308="",0,P2308*R2308)</f>
        <v>0.95771235194293696</v>
      </c>
      <c r="T2308" s="85">
        <f>IF(B2308="",0,IF(OR(H2308=MappingTables!$C$34,H2308=MappingTables!$C$35),S2308,0))</f>
        <v>0</v>
      </c>
    </row>
    <row r="2309" spans="2:20" s="0" customFormat="0" ht="15">
      <c r="B2309" s="69" t="s">
        <v>3378</v>
      </c>
      <c r="C2309" s="70" t="s">
        <v>3379</v>
      </c>
      <c r="D2309" s="70" t="s">
        <v>1</v>
      </c>
      <c r="E2309" s="70" t="s">
        <v>1</v>
      </c>
      <c r="F2309" s="70"/>
      <c r="G2309" s="70" t="s">
        <v>61</v>
      </c>
      <c r="H2309" s="70" t="s">
        <v>178</v>
      </c>
      <c r="I2309" s="70" t="s">
        <v>3291</v>
      </c>
      <c r="J2309" s="71">
        <f>IF(OR(I2309=0,I2309=""),"unrated",VLOOKUP(I2309,MappingTables!$B$19:$C$31,2,FALSE))</f>
        <v>6</v>
      </c>
      <c r="K2309" s="72">
        <v>145.38968651069052</v>
      </c>
      <c r="L2309" s="70">
        <v>0.06849367529577868</v>
      </c>
      <c r="M2309" s="71">
        <f>IF(L2309&lt;1,1,L2309)</f>
        <v>1</v>
      </c>
      <c r="N2309" s="70" t="s">
        <v>3288</v>
      </c>
      <c r="O2309" s="71">
        <f>IF(OR(I2309=$A$1,I2309=0),"",IF(N2309=MappingTables!$C$14,VLOOKUP(J2309,ModelParameters!$M$8:$N$15,2,FALSE),IF(N2309=MappingTables!$C$16,VLOOKUP(J2309,ModelParameters!$P$8:$Q$15,2,FALSE),0)))</f>
        <v>1</v>
      </c>
      <c r="P2309" s="73">
        <f>IF(OR(I2309=0,I2309=$A$1),0,MIN(O2309*M2309,1)*K2309)</f>
        <v>145.38968651069052</v>
      </c>
      <c r="Q2309" s="73">
        <f>IF(B2309="",0,IF(OR(H2309=MappingTables!$C$34,H2309=MappingTables!$C$35),P2309,0))</f>
        <v>0</v>
      </c>
      <c r="R2309" s="73">
        <f>IF(ISNA(IF(AND(VLOOKUP(CONCATENATE($D2309,$G2309),CSRFinput!$B:$E,4,0)=0,OR(H2309=MappingTables!$C$31,H2309=MappingTables!$C$32)),1,VLOOKUP(CONCATENATE($D2309,$G2309),CSRFinput!$B:$E,4,0))),0,IF(AND(VLOOKUP(CONCATENATE($D2309,$G2309),CSRFinput!$B:$E,4,0)=0,OR(H2309=MappingTables!$C$31,H2309=MappingTables!$C$32)),1,VLOOKUP(CONCATENATE($D2309,$G2309),CSRFinput!$B:$E,4,0)))</f>
        <v>0.054776304963434752</v>
      </c>
      <c r="S2309" s="73">
        <f>IF(B2309="",0,P2309*R2309)</f>
        <v>7.96390980684776</v>
      </c>
      <c r="T2309" s="85">
        <f>IF(B2309="",0,IF(OR(H2309=MappingTables!$C$34,H2309=MappingTables!$C$35),S2309,0))</f>
        <v>0</v>
      </c>
    </row>
  </sheetData>
  <mergeCells count="1">
    <mergeCell ref="B2:T2"/>
  </mergeCells>
  <pageMargins left="0.75" right="0.75" top="1" bottom="1" header="0.5" footer="0.5"/>
  <headerFooter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5"/>
  <dimension ref="B1:AB7"/>
  <sheetViews>
    <sheetView showGridLines="0" workbookViewId="0"/>
  </sheetViews>
  <sheetFormatPr defaultColWidth="9.14453125" defaultRowHeight="12.75" customHeight="0"/>
  <cols>
    <col min="1" max="1" width="5.71484375" style="1" customWidth="1"/>
    <col min="2" max="2" width="9.71484375" style="1" customWidth="1"/>
    <col min="3" max="3" width="11.28125" style="1" customWidth="1"/>
    <col min="4" max="4" width="14.56640625" style="1" customWidth="1"/>
    <col min="5" max="5" width="17" style="1" customWidth="1"/>
    <col min="6" max="6" width="25.28125" style="1" customWidth="1"/>
    <col min="7" max="7" width="13.99609375" style="1" customWidth="1"/>
    <col min="8" max="8" width="22.71484375" style="1" customWidth="1"/>
    <col min="9" max="9" width="22.5703125" style="1" customWidth="1"/>
    <col min="10" max="10" width="25.71484375" style="1" customWidth="1"/>
    <col min="11" max="12" width="13.99609375" style="1" customWidth="1"/>
    <col min="13" max="13" width="16.71484375" style="1" customWidth="1"/>
    <col min="14" max="14" width="14" style="1" customWidth="1"/>
    <col min="15" max="15" width="13" style="1" customWidth="1"/>
    <col min="16" max="16" width="21.5703125" style="1" customWidth="1"/>
    <col min="17" max="17" width="13.99609375" style="1" customWidth="1"/>
    <col min="18" max="19" width="13.71484375" style="1" customWidth="1"/>
    <col min="20" max="22" width="15.14453125" style="1" customWidth="1"/>
    <col min="23" max="23" width="15.42578125" style="1" customWidth="1"/>
  </cols>
  <sheetData>
    <row r="1" spans="2:23" s="0" customFormat="0" ht="1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2:28" s="0" customFormat="0" ht="15">
      <c r="B2" s="207"/>
      <c r="C2" s="208"/>
      <c r="D2" s="208"/>
      <c r="E2" s="208"/>
      <c r="F2" s="209"/>
      <c r="G2" s="210" t="s">
        <v>64</v>
      </c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1"/>
      <c r="S2" s="211"/>
      <c r="T2" s="211"/>
      <c r="U2" s="211"/>
      <c r="V2" s="211"/>
      <c r="W2" s="211"/>
      <c r="AA2" s="19" t="s">
        <v>2</v>
      </c>
      <c r="AB2" s="5"/>
    </row>
    <row r="3" spans="2:28" s="0" customFormat="0" ht="29.25">
      <c r="B3" s="74" t="s">
        <v>10</v>
      </c>
      <c r="C3" s="94" t="s">
        <v>157</v>
      </c>
      <c r="D3" s="94" t="s">
        <v>158</v>
      </c>
      <c r="E3" s="75" t="s">
        <v>159</v>
      </c>
      <c r="F3" s="164" t="s">
        <v>5252</v>
      </c>
      <c r="G3" s="134" t="s">
        <v>5253</v>
      </c>
      <c r="H3" s="134" t="s">
        <v>150</v>
      </c>
      <c r="I3" s="135" t="s">
        <v>149</v>
      </c>
      <c r="J3" s="134" t="s">
        <v>5254</v>
      </c>
      <c r="K3" s="134" t="s">
        <v>141</v>
      </c>
      <c r="L3" s="134" t="s">
        <v>147</v>
      </c>
      <c r="M3" s="134" t="s">
        <v>148</v>
      </c>
      <c r="N3" s="134" t="s">
        <v>151</v>
      </c>
      <c r="O3" s="134" t="s">
        <v>152</v>
      </c>
      <c r="P3" s="134" t="s">
        <v>3181</v>
      </c>
      <c r="Q3" s="134" t="s">
        <v>153</v>
      </c>
      <c r="R3" s="134" t="s">
        <v>5255</v>
      </c>
      <c r="S3" s="134" t="s">
        <v>5256</v>
      </c>
      <c r="T3" s="134" t="s">
        <v>5257</v>
      </c>
      <c r="U3" s="134" t="s">
        <v>3288</v>
      </c>
      <c r="V3" s="134" t="s">
        <v>3191</v>
      </c>
      <c r="W3" s="134" t="s">
        <v>5258</v>
      </c>
      <c r="AA3" s="59"/>
      <c r="AB3" s="24" t="s">
        <v>5</v>
      </c>
    </row>
    <row r="4" spans="2:28" s="0" customFormat="0" ht="15">
      <c r="B4" s="76" t="s">
        <v>1</v>
      </c>
      <c r="C4" s="77" t="s">
        <v>1</v>
      </c>
      <c r="D4" s="77" t="s">
        <v>5259</v>
      </c>
      <c r="E4" s="77" t="s">
        <v>55</v>
      </c>
      <c r="F4" s="77">
        <v>0</v>
      </c>
      <c r="G4" s="78">
        <f>MAX(H4,I4,J4)</f>
        <v>1</v>
      </c>
      <c r="H4" s="77"/>
      <c r="I4" s="77"/>
      <c r="J4" s="78">
        <f>MAX(K4:Q4)</f>
        <v>1</v>
      </c>
      <c r="K4" s="77">
        <v>1</v>
      </c>
      <c r="L4" s="77">
        <v>1</v>
      </c>
      <c r="M4" s="77"/>
      <c r="N4" s="77">
        <v>1</v>
      </c>
      <c r="O4" s="77"/>
      <c r="P4" s="77"/>
      <c r="Q4" s="77">
        <v>1</v>
      </c>
      <c r="R4" s="78">
        <f>MAX(S4:W4)</f>
        <v>0</v>
      </c>
      <c r="S4" s="77"/>
      <c r="T4" s="77"/>
      <c r="U4" s="77"/>
      <c r="V4" s="77"/>
      <c r="W4" s="77"/>
      <c r="AA4" s="60"/>
      <c r="AB4" s="24" t="s">
        <v>8</v>
      </c>
    </row>
    <row r="5" spans="2:28" s="0" customFormat="0" ht="15">
      <c r="B5" s="76" t="s">
        <v>1</v>
      </c>
      <c r="C5" s="77" t="s">
        <v>1</v>
      </c>
      <c r="D5" s="77" t="s">
        <v>5259</v>
      </c>
      <c r="E5" s="77" t="s">
        <v>61</v>
      </c>
      <c r="F5" s="77">
        <v>0</v>
      </c>
      <c r="G5" s="78">
        <f>MAX(H5,I5,J5)</f>
        <v>1</v>
      </c>
      <c r="H5" s="77"/>
      <c r="I5" s="77"/>
      <c r="J5" s="78">
        <f>MAX(K5:Q5)</f>
        <v>1</v>
      </c>
      <c r="K5" s="77">
        <v>1</v>
      </c>
      <c r="L5" s="77">
        <v>1</v>
      </c>
      <c r="M5" s="77">
        <v>1</v>
      </c>
      <c r="N5" s="77">
        <v>1</v>
      </c>
      <c r="O5" s="77">
        <v>1</v>
      </c>
      <c r="P5" s="77">
        <v>1</v>
      </c>
      <c r="Q5" s="77">
        <v>1</v>
      </c>
      <c r="R5" s="78">
        <f>MAX(S5:W5)</f>
        <v>1</v>
      </c>
      <c r="S5" s="77"/>
      <c r="T5" s="77"/>
      <c r="U5" s="77">
        <v>1</v>
      </c>
      <c r="V5" s="77">
        <v>1</v>
      </c>
      <c r="W5" s="77"/>
      <c r="AA5" s="61"/>
      <c r="AB5" s="24" t="s">
        <v>11</v>
      </c>
    </row>
    <row r="6" spans="2:28" s="0" customFormat="0" ht="15">
      <c r="B6" s="76" t="s">
        <v>1</v>
      </c>
      <c r="C6" s="77" t="s">
        <v>1</v>
      </c>
      <c r="D6" s="77" t="s">
        <v>5259</v>
      </c>
      <c r="E6" s="77" t="s">
        <v>58</v>
      </c>
      <c r="F6" s="77">
        <v>0</v>
      </c>
      <c r="G6" s="78">
        <f>MAX(H6,I6,J6)</f>
        <v>1</v>
      </c>
      <c r="H6" s="77"/>
      <c r="I6" s="77"/>
      <c r="J6" s="78">
        <f>MAX(K6:Q6)</f>
        <v>1</v>
      </c>
      <c r="K6" s="77">
        <v>1</v>
      </c>
      <c r="L6" s="77"/>
      <c r="M6" s="77"/>
      <c r="N6" s="77"/>
      <c r="O6" s="77"/>
      <c r="P6" s="77"/>
      <c r="Q6" s="77"/>
      <c r="R6" s="78">
        <f>MAX(S6:W6)</f>
        <v>0</v>
      </c>
      <c r="S6" s="77"/>
      <c r="T6" s="77"/>
      <c r="U6" s="77"/>
      <c r="V6" s="77"/>
      <c r="W6" s="77"/>
      <c r="AA6" s="62"/>
      <c r="AB6" s="24" t="s">
        <v>14</v>
      </c>
    </row>
    <row r="7" spans="2:23" s="0" customFormat="0" ht="1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</sheetData>
  <mergeCells count="2">
    <mergeCell ref="B2:F2"/>
    <mergeCell ref="G2:W2"/>
  </mergeCells>
  <pageMargins left="0.75" right="0.75" top="1" bottom="1" header="0.5" footer="0.5"/>
  <headerFooter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B2:AA7162"/>
  <sheetViews>
    <sheetView showGridLines="0" workbookViewId="0"/>
  </sheetViews>
  <sheetFormatPr defaultColWidth="23.4296875" defaultRowHeight="12.75" customHeight="0"/>
  <cols>
    <col min="1" max="1" width="6" style="1" customWidth="1"/>
    <col min="2" max="2" width="8.85546875" style="1" customWidth="1"/>
    <col min="3" max="3" width="15.28125" style="1" customWidth="1"/>
    <col min="4" max="4" width="8.28125" style="1" customWidth="1"/>
    <col min="5" max="5" width="15.28125" style="1" customWidth="1"/>
    <col min="6" max="6" width="19.85546875" style="1" customWidth="1"/>
    <col min="7" max="7" width="13.99609375" style="1" customWidth="1"/>
    <col min="8" max="9" width="22.85546875" style="1" customWidth="1"/>
    <col min="10" max="10" width="22.56640625" style="1" customWidth="1"/>
    <col min="11" max="11" width="11.28125" style="1" customWidth="1"/>
    <col min="12" max="12" width="13.56640625" style="1" customWidth="1"/>
    <col min="13" max="13" width="17.14453125" style="1" customWidth="1"/>
    <col min="14" max="14" width="14.28515625" style="1" customWidth="1"/>
    <col min="15" max="15" width="14.5703125" style="1" customWidth="1"/>
    <col min="16" max="16" width="21.85546875" style="1" customWidth="1"/>
    <col min="17" max="17" width="14.5703125" style="1" customWidth="1"/>
    <col min="18" max="18" width="14.4296875" style="1" customWidth="1"/>
    <col min="19" max="19" width="19" style="1" customWidth="1"/>
    <col min="20" max="22" width="13.28125" style="1" customWidth="1"/>
    <col min="26" max="26" width="8.28515625" style="1" customWidth="1"/>
  </cols>
  <sheetData>
    <row r="1" s="0" customFormat="0" ht="15"/>
    <row r="2" spans="2:27" s="0" customFormat="0" ht="15"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Z2" s="19" t="s">
        <v>2</v>
      </c>
      <c r="AA2" s="5"/>
    </row>
    <row r="3" spans="2:27" s="0" customFormat="0" ht="30" customHeight="1">
      <c r="B3" s="136" t="s">
        <v>10</v>
      </c>
      <c r="C3" s="136" t="s">
        <v>5260</v>
      </c>
      <c r="D3" s="136" t="s">
        <v>155</v>
      </c>
      <c r="E3" s="136" t="s">
        <v>159</v>
      </c>
      <c r="F3" s="136" t="s">
        <v>5252</v>
      </c>
      <c r="G3" s="136" t="s">
        <v>5253</v>
      </c>
      <c r="H3" s="136" t="s">
        <v>150</v>
      </c>
      <c r="I3" s="136" t="s">
        <v>149</v>
      </c>
      <c r="J3" s="136" t="s">
        <v>5254</v>
      </c>
      <c r="K3" s="136" t="s">
        <v>141</v>
      </c>
      <c r="L3" s="136" t="s">
        <v>147</v>
      </c>
      <c r="M3" s="136" t="s">
        <v>148</v>
      </c>
      <c r="N3" s="136" t="s">
        <v>151</v>
      </c>
      <c r="O3" s="136" t="s">
        <v>152</v>
      </c>
      <c r="P3" s="134" t="s">
        <v>3181</v>
      </c>
      <c r="Q3" s="136" t="s">
        <v>153</v>
      </c>
      <c r="R3" s="136" t="s">
        <v>5255</v>
      </c>
      <c r="S3" s="136" t="s">
        <v>5256</v>
      </c>
      <c r="T3" s="136" t="s">
        <v>5257</v>
      </c>
      <c r="U3" s="136" t="s">
        <v>3288</v>
      </c>
      <c r="V3" s="136" t="s">
        <v>3191</v>
      </c>
      <c r="W3" s="136" t="s">
        <v>5258</v>
      </c>
      <c r="Z3" s="59"/>
      <c r="AA3" s="24" t="s">
        <v>5</v>
      </c>
    </row>
    <row r="4" spans="2:27" s="0" customFormat="0" ht="15">
      <c r="B4" s="87" t="s">
        <v>1</v>
      </c>
      <c r="C4" s="88" t="s">
        <v>5259</v>
      </c>
      <c r="D4" s="88">
        <v>20993767</v>
      </c>
      <c r="E4" s="88" t="s">
        <v>61</v>
      </c>
      <c r="F4" s="88">
        <v>0</v>
      </c>
      <c r="G4" s="78">
        <f>MAX(H4,I4,J4)</f>
        <v>1</v>
      </c>
      <c r="H4" s="88"/>
      <c r="I4" s="88"/>
      <c r="J4" s="78">
        <f>MAX(K4:Q4)</f>
        <v>1</v>
      </c>
      <c r="K4" s="88">
        <v>1</v>
      </c>
      <c r="L4" s="88"/>
      <c r="M4" s="88"/>
      <c r="N4" s="88"/>
      <c r="O4" s="88"/>
      <c r="P4" s="88"/>
      <c r="Q4" s="88"/>
      <c r="R4" s="78">
        <f>MAX(S4:W4)</f>
        <v>0</v>
      </c>
      <c r="S4" s="88"/>
      <c r="T4" s="88"/>
      <c r="U4" s="88"/>
      <c r="V4" s="88"/>
      <c r="W4" s="88"/>
      <c r="Z4" s="60"/>
      <c r="AA4" s="24" t="s">
        <v>8</v>
      </c>
    </row>
    <row r="5" spans="2:27" s="0" customFormat="0" ht="15">
      <c r="B5" s="87" t="s">
        <v>1</v>
      </c>
      <c r="C5" s="88" t="s">
        <v>5259</v>
      </c>
      <c r="D5" s="88" t="s">
        <v>3286</v>
      </c>
      <c r="E5" s="88" t="s">
        <v>61</v>
      </c>
      <c r="F5" s="88">
        <v>0</v>
      </c>
      <c r="G5" s="78">
        <f>MAX(H5,I5,J5)</f>
        <v>0</v>
      </c>
      <c r="H5" s="88"/>
      <c r="I5" s="88"/>
      <c r="J5" s="78">
        <f>MAX(K5:Q5)</f>
        <v>0</v>
      </c>
      <c r="K5" s="88"/>
      <c r="L5" s="88"/>
      <c r="M5" s="88"/>
      <c r="N5" s="88"/>
      <c r="O5" s="88"/>
      <c r="P5" s="88"/>
      <c r="Q5" s="88"/>
      <c r="R5" s="78">
        <f>MAX(S5:W5)</f>
        <v>1</v>
      </c>
      <c r="S5" s="88"/>
      <c r="T5" s="88"/>
      <c r="U5" s="88">
        <v>1</v>
      </c>
      <c r="V5" s="88"/>
      <c r="W5" s="88"/>
      <c r="Z5" s="61"/>
      <c r="AA5" s="24" t="s">
        <v>11</v>
      </c>
    </row>
    <row r="6" spans="2:27" s="0" customFormat="0" ht="15">
      <c r="B6" s="87" t="s">
        <v>1</v>
      </c>
      <c r="C6" s="88" t="s">
        <v>5259</v>
      </c>
      <c r="D6" s="88" t="s">
        <v>3289</v>
      </c>
      <c r="E6" s="88" t="s">
        <v>61</v>
      </c>
      <c r="F6" s="88">
        <v>0</v>
      </c>
      <c r="G6" s="78">
        <f>MAX(H6,I6,J6)</f>
        <v>0</v>
      </c>
      <c r="H6" s="88"/>
      <c r="I6" s="88"/>
      <c r="J6" s="78">
        <f>MAX(K6:Q6)</f>
        <v>0</v>
      </c>
      <c r="K6" s="88"/>
      <c r="L6" s="88"/>
      <c r="M6" s="88"/>
      <c r="N6" s="88"/>
      <c r="O6" s="88"/>
      <c r="P6" s="88"/>
      <c r="Q6" s="88"/>
      <c r="R6" s="78">
        <f>MAX(S6:W6)</f>
        <v>1</v>
      </c>
      <c r="S6" s="88"/>
      <c r="T6" s="88"/>
      <c r="U6" s="88">
        <v>1</v>
      </c>
      <c r="V6" s="88"/>
      <c r="W6" s="88"/>
      <c r="Z6" s="62"/>
      <c r="AA6" s="24" t="s">
        <v>14</v>
      </c>
    </row>
    <row r="7" spans="2:23" s="0" customFormat="0" ht="15">
      <c r="B7" s="87" t="s">
        <v>1</v>
      </c>
      <c r="C7" s="88" t="s">
        <v>5259</v>
      </c>
      <c r="D7" s="88">
        <v>7505292</v>
      </c>
      <c r="E7" s="88" t="s">
        <v>61</v>
      </c>
      <c r="F7" s="88">
        <v>0</v>
      </c>
      <c r="G7" s="78">
        <f>MAX(H7,I7,J7)</f>
        <v>1</v>
      </c>
      <c r="H7" s="88"/>
      <c r="I7" s="88"/>
      <c r="J7" s="78">
        <f>MAX(K7:Q7)</f>
        <v>1</v>
      </c>
      <c r="K7" s="88">
        <v>1</v>
      </c>
      <c r="L7" s="88"/>
      <c r="M7" s="88"/>
      <c r="N7" s="88"/>
      <c r="O7" s="88"/>
      <c r="P7" s="88"/>
      <c r="Q7" s="88"/>
      <c r="R7" s="78">
        <f>MAX(S7:W7)</f>
        <v>0</v>
      </c>
      <c r="S7" s="88"/>
      <c r="T7" s="88"/>
      <c r="U7" s="88"/>
      <c r="V7" s="88"/>
      <c r="W7" s="88"/>
    </row>
    <row r="8" spans="2:23" s="0" customFormat="0" ht="15">
      <c r="B8" s="87" t="s">
        <v>1</v>
      </c>
      <c r="C8" s="88" t="s">
        <v>5259</v>
      </c>
      <c r="D8" s="88" t="s">
        <v>182</v>
      </c>
      <c r="E8" s="88" t="s">
        <v>61</v>
      </c>
      <c r="F8" s="88">
        <v>0</v>
      </c>
      <c r="G8" s="78">
        <f>MAX(H8,I8,J8)</f>
        <v>1</v>
      </c>
      <c r="H8" s="88"/>
      <c r="I8" s="88"/>
      <c r="J8" s="78">
        <f>MAX(K8:Q8)</f>
        <v>1</v>
      </c>
      <c r="K8" s="88">
        <v>1</v>
      </c>
      <c r="L8" s="88"/>
      <c r="M8" s="88"/>
      <c r="N8" s="88"/>
      <c r="O8" s="88"/>
      <c r="P8" s="88"/>
      <c r="Q8" s="88"/>
      <c r="R8" s="78">
        <f>MAX(S8:W8)</f>
        <v>0</v>
      </c>
      <c r="S8" s="88"/>
      <c r="T8" s="88"/>
      <c r="U8" s="88"/>
      <c r="V8" s="88"/>
      <c r="W8" s="88"/>
    </row>
    <row r="9" spans="2:23" s="0" customFormat="0" ht="15">
      <c r="B9" s="87" t="s">
        <v>1</v>
      </c>
      <c r="C9" s="88" t="s">
        <v>5259</v>
      </c>
      <c r="D9" s="88">
        <v>556907</v>
      </c>
      <c r="E9" s="88" t="s">
        <v>61</v>
      </c>
      <c r="F9" s="88">
        <v>0</v>
      </c>
      <c r="G9" s="78">
        <f>MAX(H9,I9,J9)</f>
        <v>1</v>
      </c>
      <c r="H9" s="88"/>
      <c r="I9" s="88"/>
      <c r="J9" s="78">
        <f>MAX(K9:Q9)</f>
        <v>1</v>
      </c>
      <c r="K9" s="88">
        <v>1</v>
      </c>
      <c r="L9" s="88"/>
      <c r="M9" s="88"/>
      <c r="N9" s="88"/>
      <c r="O9" s="88"/>
      <c r="P9" s="88"/>
      <c r="Q9" s="88"/>
      <c r="R9" s="78">
        <f>MAX(S9:W9)</f>
        <v>0</v>
      </c>
      <c r="S9" s="88"/>
      <c r="T9" s="88"/>
      <c r="U9" s="88"/>
      <c r="V9" s="88"/>
      <c r="W9" s="88"/>
    </row>
    <row r="10" spans="2:23" s="0" customFormat="0" ht="15">
      <c r="B10" s="87" t="s">
        <v>1</v>
      </c>
      <c r="C10" s="88" t="s">
        <v>5259</v>
      </c>
      <c r="D10" s="88">
        <v>16974686</v>
      </c>
      <c r="E10" s="88" t="s">
        <v>61</v>
      </c>
      <c r="F10" s="88">
        <v>0</v>
      </c>
      <c r="G10" s="78">
        <f>MAX(H10,I10,J10)</f>
        <v>0</v>
      </c>
      <c r="H10" s="88"/>
      <c r="I10" s="88"/>
      <c r="J10" s="78">
        <f>MAX(K10:Q10)</f>
        <v>0</v>
      </c>
      <c r="K10" s="88"/>
      <c r="L10" s="88"/>
      <c r="M10" s="88"/>
      <c r="N10" s="88"/>
      <c r="O10" s="88"/>
      <c r="P10" s="88"/>
      <c r="Q10" s="88"/>
      <c r="R10" s="78">
        <f>MAX(S10:W10)</f>
        <v>1</v>
      </c>
      <c r="S10" s="88"/>
      <c r="T10" s="88"/>
      <c r="U10" s="88">
        <v>1</v>
      </c>
      <c r="V10" s="88"/>
      <c r="W10" s="88"/>
    </row>
    <row r="11" spans="2:23" s="0" customFormat="0" ht="15">
      <c r="B11" s="87" t="s">
        <v>1</v>
      </c>
      <c r="C11" s="88" t="s">
        <v>5259</v>
      </c>
      <c r="D11" s="88" t="s">
        <v>3293</v>
      </c>
      <c r="E11" s="88" t="s">
        <v>61</v>
      </c>
      <c r="F11" s="88">
        <v>0</v>
      </c>
      <c r="G11" s="78">
        <f>MAX(H11,I11,J11)</f>
        <v>0</v>
      </c>
      <c r="H11" s="88"/>
      <c r="I11" s="88"/>
      <c r="J11" s="78">
        <f>MAX(K11:Q11)</f>
        <v>0</v>
      </c>
      <c r="K11" s="88"/>
      <c r="L11" s="88"/>
      <c r="M11" s="88"/>
      <c r="N11" s="88"/>
      <c r="O11" s="88"/>
      <c r="P11" s="88"/>
      <c r="Q11" s="88"/>
      <c r="R11" s="78">
        <f>MAX(S11:W11)</f>
        <v>1</v>
      </c>
      <c r="S11" s="88"/>
      <c r="T11" s="88"/>
      <c r="U11" s="88">
        <v>1</v>
      </c>
      <c r="V11" s="88"/>
      <c r="W11" s="88"/>
    </row>
    <row r="12" spans="2:23" s="0" customFormat="0" ht="15">
      <c r="B12" s="87" t="s">
        <v>1</v>
      </c>
      <c r="C12" s="88" t="s">
        <v>5259</v>
      </c>
      <c r="D12" s="88">
        <v>16974966</v>
      </c>
      <c r="E12" s="88" t="s">
        <v>61</v>
      </c>
      <c r="F12" s="88">
        <v>0</v>
      </c>
      <c r="G12" s="78">
        <f>MAX(H12,I12,J12)</f>
        <v>0</v>
      </c>
      <c r="H12" s="88"/>
      <c r="I12" s="88"/>
      <c r="J12" s="78">
        <f>MAX(K12:Q12)</f>
        <v>0</v>
      </c>
      <c r="K12" s="88"/>
      <c r="L12" s="88"/>
      <c r="M12" s="88"/>
      <c r="N12" s="88"/>
      <c r="O12" s="88"/>
      <c r="P12" s="88"/>
      <c r="Q12" s="88"/>
      <c r="R12" s="78">
        <f>MAX(S12:W12)</f>
        <v>1</v>
      </c>
      <c r="S12" s="88"/>
      <c r="T12" s="88"/>
      <c r="U12" s="88">
        <v>1</v>
      </c>
      <c r="V12" s="88"/>
      <c r="W12" s="88"/>
    </row>
    <row r="13" spans="2:23" s="0" customFormat="0" ht="15">
      <c r="B13" s="87" t="s">
        <v>1</v>
      </c>
      <c r="C13" s="88" t="s">
        <v>5259</v>
      </c>
      <c r="D13" s="88" t="s">
        <v>186</v>
      </c>
      <c r="E13" s="88" t="s">
        <v>61</v>
      </c>
      <c r="F13" s="88">
        <v>0</v>
      </c>
      <c r="G13" s="78">
        <f>MAX(H13,I13,J13)</f>
        <v>1</v>
      </c>
      <c r="H13" s="88"/>
      <c r="I13" s="88"/>
      <c r="J13" s="78">
        <f>MAX(K13:Q13)</f>
        <v>1</v>
      </c>
      <c r="K13" s="88">
        <v>1</v>
      </c>
      <c r="L13" s="88"/>
      <c r="M13" s="88"/>
      <c r="N13" s="88"/>
      <c r="O13" s="88"/>
      <c r="P13" s="88"/>
      <c r="Q13" s="88"/>
      <c r="R13" s="78">
        <f>MAX(S13:W13)</f>
        <v>0</v>
      </c>
      <c r="S13" s="88"/>
      <c r="T13" s="88"/>
      <c r="U13" s="88"/>
      <c r="V13" s="88"/>
      <c r="W13" s="88"/>
    </row>
    <row r="14" spans="2:23" s="0" customFormat="0" ht="15">
      <c r="B14" s="87" t="s">
        <v>1</v>
      </c>
      <c r="C14" s="88" t="s">
        <v>5259</v>
      </c>
      <c r="D14" s="88">
        <v>16637778</v>
      </c>
      <c r="E14" s="88" t="s">
        <v>61</v>
      </c>
      <c r="F14" s="88">
        <v>0</v>
      </c>
      <c r="G14" s="78">
        <f>MAX(H14,I14,J14)</f>
        <v>1</v>
      </c>
      <c r="H14" s="88"/>
      <c r="I14" s="88"/>
      <c r="J14" s="78">
        <f>MAX(K14:Q14)</f>
        <v>1</v>
      </c>
      <c r="K14" s="88">
        <v>1</v>
      </c>
      <c r="L14" s="88"/>
      <c r="M14" s="88"/>
      <c r="N14" s="88"/>
      <c r="O14" s="88"/>
      <c r="P14" s="88"/>
      <c r="Q14" s="88"/>
      <c r="R14" s="78">
        <f>MAX(S14:W14)</f>
        <v>0</v>
      </c>
      <c r="S14" s="88"/>
      <c r="T14" s="88"/>
      <c r="U14" s="88"/>
      <c r="V14" s="88"/>
      <c r="W14" s="88"/>
    </row>
    <row r="15" spans="2:23" s="0" customFormat="0" ht="15">
      <c r="B15" s="87" t="s">
        <v>1</v>
      </c>
      <c r="C15" s="88" t="s">
        <v>5259</v>
      </c>
      <c r="D15" s="88" t="s">
        <v>190</v>
      </c>
      <c r="E15" s="88" t="s">
        <v>61</v>
      </c>
      <c r="F15" s="88">
        <v>0</v>
      </c>
      <c r="G15" s="78">
        <f>MAX(H15,I15,J15)</f>
        <v>1</v>
      </c>
      <c r="H15" s="88"/>
      <c r="I15" s="88"/>
      <c r="J15" s="78">
        <f>MAX(K15:Q15)</f>
        <v>1</v>
      </c>
      <c r="K15" s="88">
        <v>1</v>
      </c>
      <c r="L15" s="88"/>
      <c r="M15" s="88"/>
      <c r="N15" s="88"/>
      <c r="O15" s="88"/>
      <c r="P15" s="88"/>
      <c r="Q15" s="88"/>
      <c r="R15" s="78">
        <f>MAX(S15:W15)</f>
        <v>0</v>
      </c>
      <c r="S15" s="88"/>
      <c r="T15" s="88"/>
      <c r="U15" s="88"/>
      <c r="V15" s="88"/>
      <c r="W15" s="88"/>
    </row>
    <row r="16" spans="2:23" s="0" customFormat="0" ht="15">
      <c r="B16" s="87" t="s">
        <v>1</v>
      </c>
      <c r="C16" s="88" t="s">
        <v>5259</v>
      </c>
      <c r="D16" s="88">
        <v>21722265</v>
      </c>
      <c r="E16" s="88" t="s">
        <v>61</v>
      </c>
      <c r="F16" s="88">
        <v>0</v>
      </c>
      <c r="G16" s="78">
        <f>MAX(H16,I16,J16)</f>
        <v>1</v>
      </c>
      <c r="H16" s="88"/>
      <c r="I16" s="88"/>
      <c r="J16" s="78">
        <f>MAX(K16:Q16)</f>
        <v>1</v>
      </c>
      <c r="K16" s="88">
        <v>1</v>
      </c>
      <c r="L16" s="88"/>
      <c r="M16" s="88"/>
      <c r="N16" s="88"/>
      <c r="O16" s="88"/>
      <c r="P16" s="88"/>
      <c r="Q16" s="88"/>
      <c r="R16" s="78">
        <f>MAX(S16:W16)</f>
        <v>0</v>
      </c>
      <c r="S16" s="88"/>
      <c r="T16" s="88"/>
      <c r="U16" s="88"/>
      <c r="V16" s="88"/>
      <c r="W16" s="88"/>
    </row>
    <row r="17" spans="2:23" s="0" customFormat="0" ht="15">
      <c r="B17" s="87" t="s">
        <v>1</v>
      </c>
      <c r="C17" s="88" t="s">
        <v>5259</v>
      </c>
      <c r="D17" s="88" t="s">
        <v>3296</v>
      </c>
      <c r="E17" s="88" t="s">
        <v>61</v>
      </c>
      <c r="F17" s="88">
        <v>0</v>
      </c>
      <c r="G17" s="78">
        <f>MAX(H17,I17,J17)</f>
        <v>0</v>
      </c>
      <c r="H17" s="88"/>
      <c r="I17" s="88"/>
      <c r="J17" s="78">
        <f>MAX(K17:Q17)</f>
        <v>0</v>
      </c>
      <c r="K17" s="88"/>
      <c r="L17" s="88"/>
      <c r="M17" s="88"/>
      <c r="N17" s="88"/>
      <c r="O17" s="88"/>
      <c r="P17" s="88"/>
      <c r="Q17" s="88"/>
      <c r="R17" s="78">
        <f>MAX(S17:W17)</f>
        <v>1</v>
      </c>
      <c r="S17" s="88"/>
      <c r="T17" s="88"/>
      <c r="U17" s="88">
        <v>1</v>
      </c>
      <c r="V17" s="88"/>
      <c r="W17" s="88"/>
    </row>
    <row r="18" spans="2:23" s="0" customFormat="0" ht="15">
      <c r="B18" s="87" t="s">
        <v>1</v>
      </c>
      <c r="C18" s="88" t="s">
        <v>5259</v>
      </c>
      <c r="D18" s="88">
        <v>13093828</v>
      </c>
      <c r="E18" s="88" t="s">
        <v>61</v>
      </c>
      <c r="F18" s="88">
        <v>0</v>
      </c>
      <c r="G18" s="78">
        <f>MAX(H18,I18,J18)</f>
        <v>1</v>
      </c>
      <c r="H18" s="88"/>
      <c r="I18" s="88"/>
      <c r="J18" s="78">
        <f>MAX(K18:Q18)</f>
        <v>1</v>
      </c>
      <c r="K18" s="88">
        <v>1</v>
      </c>
      <c r="L18" s="88"/>
      <c r="M18" s="88"/>
      <c r="N18" s="88"/>
      <c r="O18" s="88"/>
      <c r="P18" s="88"/>
      <c r="Q18" s="88"/>
      <c r="R18" s="78">
        <f>MAX(S18:W18)</f>
        <v>0</v>
      </c>
      <c r="S18" s="88"/>
      <c r="T18" s="88"/>
      <c r="U18" s="88"/>
      <c r="V18" s="88"/>
      <c r="W18" s="88"/>
    </row>
    <row r="19" spans="2:23" s="0" customFormat="0" ht="15">
      <c r="B19" s="87" t="s">
        <v>1</v>
      </c>
      <c r="C19" s="88" t="s">
        <v>5259</v>
      </c>
      <c r="D19" s="88">
        <v>21236160</v>
      </c>
      <c r="E19" s="88" t="s">
        <v>61</v>
      </c>
      <c r="F19" s="88">
        <v>0</v>
      </c>
      <c r="G19" s="78">
        <f>MAX(H19,I19,J19)</f>
        <v>1</v>
      </c>
      <c r="H19" s="88"/>
      <c r="I19" s="88"/>
      <c r="J19" s="78">
        <f>MAX(K19:Q19)</f>
        <v>1</v>
      </c>
      <c r="K19" s="88">
        <v>1</v>
      </c>
      <c r="L19" s="88"/>
      <c r="M19" s="88"/>
      <c r="N19" s="88"/>
      <c r="O19" s="88"/>
      <c r="P19" s="88"/>
      <c r="Q19" s="88"/>
      <c r="R19" s="78">
        <f>MAX(S19:W19)</f>
        <v>0</v>
      </c>
      <c r="S19" s="88"/>
      <c r="T19" s="88"/>
      <c r="U19" s="88"/>
      <c r="V19" s="88"/>
      <c r="W19" s="88"/>
    </row>
    <row r="20" spans="2:23" s="0" customFormat="0" ht="15">
      <c r="B20" s="87" t="s">
        <v>1</v>
      </c>
      <c r="C20" s="88" t="s">
        <v>5259</v>
      </c>
      <c r="D20" s="88" t="s">
        <v>3299</v>
      </c>
      <c r="E20" s="88" t="s">
        <v>61</v>
      </c>
      <c r="F20" s="88">
        <v>0</v>
      </c>
      <c r="G20" s="78">
        <f>MAX(H20,I20,J20)</f>
        <v>0</v>
      </c>
      <c r="H20" s="88"/>
      <c r="I20" s="88"/>
      <c r="J20" s="78">
        <f>MAX(K20:Q20)</f>
        <v>0</v>
      </c>
      <c r="K20" s="88"/>
      <c r="L20" s="88"/>
      <c r="M20" s="88"/>
      <c r="N20" s="88"/>
      <c r="O20" s="88"/>
      <c r="P20" s="88"/>
      <c r="Q20" s="88"/>
      <c r="R20" s="78">
        <f>MAX(S20:W20)</f>
        <v>1</v>
      </c>
      <c r="S20" s="88"/>
      <c r="T20" s="88"/>
      <c r="U20" s="88">
        <v>1</v>
      </c>
      <c r="V20" s="88"/>
      <c r="W20" s="88"/>
    </row>
    <row r="21" spans="2:23" s="0" customFormat="0" ht="15">
      <c r="B21" s="87" t="s">
        <v>1</v>
      </c>
      <c r="C21" s="88" t="s">
        <v>5259</v>
      </c>
      <c r="D21" s="88">
        <v>18668444</v>
      </c>
      <c r="E21" s="88" t="s">
        <v>61</v>
      </c>
      <c r="F21" s="88">
        <v>0</v>
      </c>
      <c r="G21" s="78">
        <f>MAX(H21,I21,J21)</f>
        <v>1</v>
      </c>
      <c r="H21" s="88"/>
      <c r="I21" s="88"/>
      <c r="J21" s="78">
        <f>MAX(K21:Q21)</f>
        <v>1</v>
      </c>
      <c r="K21" s="88">
        <v>1</v>
      </c>
      <c r="L21" s="88"/>
      <c r="M21" s="88"/>
      <c r="N21" s="88"/>
      <c r="O21" s="88"/>
      <c r="P21" s="88"/>
      <c r="Q21" s="88"/>
      <c r="R21" s="78">
        <f>MAX(S21:W21)</f>
        <v>0</v>
      </c>
      <c r="S21" s="88"/>
      <c r="T21" s="88"/>
      <c r="U21" s="88"/>
      <c r="V21" s="88"/>
      <c r="W21" s="88"/>
    </row>
    <row r="22" spans="2:23" s="0" customFormat="0" ht="15">
      <c r="B22" s="87" t="s">
        <v>1</v>
      </c>
      <c r="C22" s="88" t="s">
        <v>5259</v>
      </c>
      <c r="D22" s="88">
        <v>17166420</v>
      </c>
      <c r="E22" s="88" t="s">
        <v>61</v>
      </c>
      <c r="F22" s="88">
        <v>0</v>
      </c>
      <c r="G22" s="78">
        <f>MAX(H22,I22,J22)</f>
        <v>1</v>
      </c>
      <c r="H22" s="88"/>
      <c r="I22" s="88"/>
      <c r="J22" s="78">
        <f>MAX(K22:Q22)</f>
        <v>1</v>
      </c>
      <c r="K22" s="88">
        <v>1</v>
      </c>
      <c r="L22" s="88"/>
      <c r="M22" s="88"/>
      <c r="N22" s="88"/>
      <c r="O22" s="88"/>
      <c r="P22" s="88"/>
      <c r="Q22" s="88"/>
      <c r="R22" s="78">
        <f>MAX(S22:W22)</f>
        <v>0</v>
      </c>
      <c r="S22" s="88"/>
      <c r="T22" s="88"/>
      <c r="U22" s="88"/>
      <c r="V22" s="88"/>
      <c r="W22" s="88"/>
    </row>
    <row r="23" spans="2:23" s="0" customFormat="0" ht="15">
      <c r="B23" s="87" t="s">
        <v>1</v>
      </c>
      <c r="C23" s="88" t="s">
        <v>5259</v>
      </c>
      <c r="D23" s="88">
        <v>4992247</v>
      </c>
      <c r="E23" s="88" t="s">
        <v>61</v>
      </c>
      <c r="F23" s="88">
        <v>0</v>
      </c>
      <c r="G23" s="78">
        <f>MAX(H23,I23,J23)</f>
        <v>1</v>
      </c>
      <c r="H23" s="88"/>
      <c r="I23" s="88"/>
      <c r="J23" s="78">
        <f>MAX(K23:Q23)</f>
        <v>1</v>
      </c>
      <c r="K23" s="88">
        <v>1</v>
      </c>
      <c r="L23" s="88"/>
      <c r="M23" s="88"/>
      <c r="N23" s="88"/>
      <c r="O23" s="88"/>
      <c r="P23" s="88"/>
      <c r="Q23" s="88"/>
      <c r="R23" s="78">
        <f>MAX(S23:W23)</f>
        <v>0</v>
      </c>
      <c r="S23" s="88"/>
      <c r="T23" s="88"/>
      <c r="U23" s="88"/>
      <c r="V23" s="88"/>
      <c r="W23" s="88"/>
    </row>
    <row r="24" spans="2:23" s="0" customFormat="0" ht="15">
      <c r="B24" s="87" t="s">
        <v>1</v>
      </c>
      <c r="C24" s="88" t="s">
        <v>5259</v>
      </c>
      <c r="D24" s="88">
        <v>24931064</v>
      </c>
      <c r="E24" s="88" t="s">
        <v>61</v>
      </c>
      <c r="F24" s="88">
        <v>0</v>
      </c>
      <c r="G24" s="78">
        <f>MAX(H24,I24,J24)</f>
        <v>1</v>
      </c>
      <c r="H24" s="88"/>
      <c r="I24" s="88"/>
      <c r="J24" s="78">
        <f>MAX(K24:Q24)</f>
        <v>1</v>
      </c>
      <c r="K24" s="88">
        <v>1</v>
      </c>
      <c r="L24" s="88"/>
      <c r="M24" s="88"/>
      <c r="N24" s="88"/>
      <c r="O24" s="88"/>
      <c r="P24" s="88"/>
      <c r="Q24" s="88"/>
      <c r="R24" s="78">
        <f>MAX(S24:W24)</f>
        <v>0</v>
      </c>
      <c r="S24" s="88"/>
      <c r="T24" s="88"/>
      <c r="U24" s="88"/>
      <c r="V24" s="88"/>
      <c r="W24" s="88"/>
    </row>
    <row r="25" spans="2:23" s="0" customFormat="0" ht="15">
      <c r="B25" s="87" t="s">
        <v>1</v>
      </c>
      <c r="C25" s="88" t="s">
        <v>5259</v>
      </c>
      <c r="D25" s="88">
        <v>11864945</v>
      </c>
      <c r="E25" s="88" t="s">
        <v>61</v>
      </c>
      <c r="F25" s="88">
        <v>0</v>
      </c>
      <c r="G25" s="78">
        <f>MAX(H25,I25,J25)</f>
        <v>1</v>
      </c>
      <c r="H25" s="88"/>
      <c r="I25" s="88"/>
      <c r="J25" s="78">
        <f>MAX(K25:Q25)</f>
        <v>1</v>
      </c>
      <c r="K25" s="88">
        <v>1</v>
      </c>
      <c r="L25" s="88"/>
      <c r="M25" s="88"/>
      <c r="N25" s="88"/>
      <c r="O25" s="88"/>
      <c r="P25" s="88"/>
      <c r="Q25" s="88"/>
      <c r="R25" s="78">
        <f>MAX(S25:W25)</f>
        <v>0</v>
      </c>
      <c r="S25" s="88"/>
      <c r="T25" s="88"/>
      <c r="U25" s="88"/>
      <c r="V25" s="88"/>
      <c r="W25" s="88"/>
    </row>
    <row r="26" spans="2:23" s="0" customFormat="0" ht="15">
      <c r="B26" s="87" t="s">
        <v>1</v>
      </c>
      <c r="C26" s="88" t="s">
        <v>5259</v>
      </c>
      <c r="D26" s="88" t="s">
        <v>3301</v>
      </c>
      <c r="E26" s="88" t="s">
        <v>61</v>
      </c>
      <c r="F26" s="88">
        <v>0</v>
      </c>
      <c r="G26" s="78">
        <f>MAX(H26,I26,J26)</f>
        <v>0</v>
      </c>
      <c r="H26" s="88"/>
      <c r="I26" s="88"/>
      <c r="J26" s="78">
        <f>MAX(K26:Q26)</f>
        <v>0</v>
      </c>
      <c r="K26" s="88"/>
      <c r="L26" s="88"/>
      <c r="M26" s="88"/>
      <c r="N26" s="88"/>
      <c r="O26" s="88"/>
      <c r="P26" s="88"/>
      <c r="Q26" s="88"/>
      <c r="R26" s="78">
        <f>MAX(S26:W26)</f>
        <v>1</v>
      </c>
      <c r="S26" s="88"/>
      <c r="T26" s="88"/>
      <c r="U26" s="88">
        <v>1</v>
      </c>
      <c r="V26" s="88"/>
      <c r="W26" s="88"/>
    </row>
    <row r="27" spans="2:23" s="0" customFormat="0" ht="15">
      <c r="B27" s="87" t="s">
        <v>1</v>
      </c>
      <c r="C27" s="88" t="s">
        <v>5259</v>
      </c>
      <c r="D27" s="88">
        <v>22857467</v>
      </c>
      <c r="E27" s="88" t="s">
        <v>61</v>
      </c>
      <c r="F27" s="88">
        <v>0</v>
      </c>
      <c r="G27" s="78">
        <f>MAX(H27,I27,J27)</f>
        <v>1</v>
      </c>
      <c r="H27" s="88"/>
      <c r="I27" s="88"/>
      <c r="J27" s="78">
        <f>MAX(K27:Q27)</f>
        <v>1</v>
      </c>
      <c r="K27" s="88">
        <v>1</v>
      </c>
      <c r="L27" s="88"/>
      <c r="M27" s="88"/>
      <c r="N27" s="88"/>
      <c r="O27" s="88"/>
      <c r="P27" s="88"/>
      <c r="Q27" s="88"/>
      <c r="R27" s="78">
        <f>MAX(S27:W27)</f>
        <v>0</v>
      </c>
      <c r="S27" s="88"/>
      <c r="T27" s="88"/>
      <c r="U27" s="88"/>
      <c r="V27" s="88"/>
      <c r="W27" s="88"/>
    </row>
    <row r="28" spans="2:23" s="0" customFormat="0" ht="15">
      <c r="B28" s="87" t="s">
        <v>1</v>
      </c>
      <c r="C28" s="88" t="s">
        <v>5259</v>
      </c>
      <c r="D28" s="88">
        <v>9338568</v>
      </c>
      <c r="E28" s="88" t="s">
        <v>61</v>
      </c>
      <c r="F28" s="88">
        <v>0</v>
      </c>
      <c r="G28" s="78">
        <f>MAX(H28,I28,J28)</f>
        <v>1</v>
      </c>
      <c r="H28" s="88"/>
      <c r="I28" s="88"/>
      <c r="J28" s="78">
        <f>MAX(K28:Q28)</f>
        <v>1</v>
      </c>
      <c r="K28" s="88">
        <v>1</v>
      </c>
      <c r="L28" s="88"/>
      <c r="M28" s="88"/>
      <c r="N28" s="88"/>
      <c r="O28" s="88"/>
      <c r="P28" s="88"/>
      <c r="Q28" s="88"/>
      <c r="R28" s="78">
        <f>MAX(S28:W28)</f>
        <v>0</v>
      </c>
      <c r="S28" s="88"/>
      <c r="T28" s="88"/>
      <c r="U28" s="88"/>
      <c r="V28" s="88"/>
      <c r="W28" s="88"/>
    </row>
    <row r="29" spans="2:23" s="0" customFormat="0" ht="15">
      <c r="B29" s="87" t="s">
        <v>1</v>
      </c>
      <c r="C29" s="88" t="s">
        <v>5259</v>
      </c>
      <c r="D29" s="88">
        <v>17858542</v>
      </c>
      <c r="E29" s="88" t="s">
        <v>61</v>
      </c>
      <c r="F29" s="88">
        <v>0</v>
      </c>
      <c r="G29" s="78">
        <f>MAX(H29,I29,J29)</f>
        <v>1</v>
      </c>
      <c r="H29" s="88"/>
      <c r="I29" s="88"/>
      <c r="J29" s="78">
        <f>MAX(K29:Q29)</f>
        <v>1</v>
      </c>
      <c r="K29" s="88">
        <v>1</v>
      </c>
      <c r="L29" s="88"/>
      <c r="M29" s="88"/>
      <c r="N29" s="88"/>
      <c r="O29" s="88"/>
      <c r="P29" s="88"/>
      <c r="Q29" s="88"/>
      <c r="R29" s="78">
        <f>MAX(S29:W29)</f>
        <v>0</v>
      </c>
      <c r="S29" s="88"/>
      <c r="T29" s="88"/>
      <c r="U29" s="88"/>
      <c r="V29" s="88"/>
      <c r="W29" s="88"/>
    </row>
    <row r="30" spans="2:23" s="0" customFormat="0" ht="15">
      <c r="B30" s="87" t="s">
        <v>1</v>
      </c>
      <c r="C30" s="88" t="s">
        <v>5259</v>
      </c>
      <c r="D30" s="88">
        <v>19012867</v>
      </c>
      <c r="E30" s="88" t="s">
        <v>61</v>
      </c>
      <c r="F30" s="88">
        <v>0</v>
      </c>
      <c r="G30" s="78">
        <f>MAX(H30,I30,J30)</f>
        <v>1</v>
      </c>
      <c r="H30" s="88"/>
      <c r="I30" s="88"/>
      <c r="J30" s="78">
        <f>MAX(K30:Q30)</f>
        <v>1</v>
      </c>
      <c r="K30" s="88">
        <v>1</v>
      </c>
      <c r="L30" s="88"/>
      <c r="M30" s="88"/>
      <c r="N30" s="88"/>
      <c r="O30" s="88"/>
      <c r="P30" s="88"/>
      <c r="Q30" s="88"/>
      <c r="R30" s="78">
        <f>MAX(S30:W30)</f>
        <v>0</v>
      </c>
      <c r="S30" s="88"/>
      <c r="T30" s="88"/>
      <c r="U30" s="88"/>
      <c r="V30" s="88"/>
      <c r="W30" s="88"/>
    </row>
    <row r="31" spans="2:23" s="0" customFormat="0" ht="15">
      <c r="B31" s="87" t="s">
        <v>1</v>
      </c>
      <c r="C31" s="88" t="s">
        <v>5259</v>
      </c>
      <c r="D31" s="88">
        <v>16199153</v>
      </c>
      <c r="E31" s="88" t="s">
        <v>61</v>
      </c>
      <c r="F31" s="88">
        <v>0</v>
      </c>
      <c r="G31" s="78">
        <f>MAX(H31,I31,J31)</f>
        <v>1</v>
      </c>
      <c r="H31" s="88"/>
      <c r="I31" s="88"/>
      <c r="J31" s="78">
        <f>MAX(K31:Q31)</f>
        <v>1</v>
      </c>
      <c r="K31" s="88">
        <v>1</v>
      </c>
      <c r="L31" s="88"/>
      <c r="M31" s="88"/>
      <c r="N31" s="88"/>
      <c r="O31" s="88"/>
      <c r="P31" s="88"/>
      <c r="Q31" s="88"/>
      <c r="R31" s="78">
        <f>MAX(S31:W31)</f>
        <v>0</v>
      </c>
      <c r="S31" s="88"/>
      <c r="T31" s="88"/>
      <c r="U31" s="88"/>
      <c r="V31" s="88"/>
      <c r="W31" s="88"/>
    </row>
    <row r="32" spans="2:23" s="0" customFormat="0" ht="15">
      <c r="B32" s="87" t="s">
        <v>1</v>
      </c>
      <c r="C32" s="88" t="s">
        <v>5259</v>
      </c>
      <c r="D32" s="88" t="s">
        <v>207</v>
      </c>
      <c r="E32" s="88" t="s">
        <v>61</v>
      </c>
      <c r="F32" s="88">
        <v>0</v>
      </c>
      <c r="G32" s="78">
        <f>MAX(H32,I32,J32)</f>
        <v>1</v>
      </c>
      <c r="H32" s="88"/>
      <c r="I32" s="88"/>
      <c r="J32" s="78">
        <f>MAX(K32:Q32)</f>
        <v>1</v>
      </c>
      <c r="K32" s="88">
        <v>1</v>
      </c>
      <c r="L32" s="88"/>
      <c r="M32" s="88"/>
      <c r="N32" s="88"/>
      <c r="O32" s="88"/>
      <c r="P32" s="88"/>
      <c r="Q32" s="88"/>
      <c r="R32" s="78">
        <f>MAX(S32:W32)</f>
        <v>0</v>
      </c>
      <c r="S32" s="88"/>
      <c r="T32" s="88"/>
      <c r="U32" s="88"/>
      <c r="V32" s="88"/>
      <c r="W32" s="88"/>
    </row>
    <row r="33" spans="2:23" s="0" customFormat="0" ht="15">
      <c r="B33" s="87" t="s">
        <v>1</v>
      </c>
      <c r="C33" s="88" t="s">
        <v>5259</v>
      </c>
      <c r="D33" s="88" t="s">
        <v>209</v>
      </c>
      <c r="E33" s="88" t="s">
        <v>61</v>
      </c>
      <c r="F33" s="88">
        <v>0</v>
      </c>
      <c r="G33" s="78">
        <f>MAX(H33,I33,J33)</f>
        <v>1</v>
      </c>
      <c r="H33" s="88"/>
      <c r="I33" s="88"/>
      <c r="J33" s="78">
        <f>MAX(K33:Q33)</f>
        <v>1</v>
      </c>
      <c r="K33" s="88">
        <v>1</v>
      </c>
      <c r="L33" s="88"/>
      <c r="M33" s="88"/>
      <c r="N33" s="88"/>
      <c r="O33" s="88"/>
      <c r="P33" s="88"/>
      <c r="Q33" s="88"/>
      <c r="R33" s="78">
        <f>MAX(S33:W33)</f>
        <v>0</v>
      </c>
      <c r="S33" s="88"/>
      <c r="T33" s="88"/>
      <c r="U33" s="88"/>
      <c r="V33" s="88"/>
      <c r="W33" s="88"/>
    </row>
    <row r="34" spans="2:23" s="0" customFormat="0" ht="15">
      <c r="B34" s="87" t="s">
        <v>1</v>
      </c>
      <c r="C34" s="88" t="s">
        <v>5259</v>
      </c>
      <c r="D34" s="88" t="s">
        <v>211</v>
      </c>
      <c r="E34" s="88" t="s">
        <v>61</v>
      </c>
      <c r="F34" s="88">
        <v>0</v>
      </c>
      <c r="G34" s="78">
        <f>MAX(H34,I34,J34)</f>
        <v>1</v>
      </c>
      <c r="H34" s="88"/>
      <c r="I34" s="88"/>
      <c r="J34" s="78">
        <f>MAX(K34:Q34)</f>
        <v>1</v>
      </c>
      <c r="K34" s="88">
        <v>1</v>
      </c>
      <c r="L34" s="88"/>
      <c r="M34" s="88"/>
      <c r="N34" s="88"/>
      <c r="O34" s="88"/>
      <c r="P34" s="88"/>
      <c r="Q34" s="88"/>
      <c r="R34" s="78">
        <f>MAX(S34:W34)</f>
        <v>0</v>
      </c>
      <c r="S34" s="88"/>
      <c r="T34" s="88"/>
      <c r="U34" s="88"/>
      <c r="V34" s="88"/>
      <c r="W34" s="88"/>
    </row>
    <row r="35" spans="2:23" s="0" customFormat="0" ht="15">
      <c r="B35" s="87" t="s">
        <v>1</v>
      </c>
      <c r="C35" s="88" t="s">
        <v>5259</v>
      </c>
      <c r="D35" s="88">
        <v>11442823</v>
      </c>
      <c r="E35" s="88" t="s">
        <v>61</v>
      </c>
      <c r="F35" s="88">
        <v>0</v>
      </c>
      <c r="G35" s="78">
        <f>MAX(H35,I35,J35)</f>
        <v>1</v>
      </c>
      <c r="H35" s="88"/>
      <c r="I35" s="88"/>
      <c r="J35" s="78">
        <f>MAX(K35:Q35)</f>
        <v>1</v>
      </c>
      <c r="K35" s="88">
        <v>1</v>
      </c>
      <c r="L35" s="88"/>
      <c r="M35" s="88"/>
      <c r="N35" s="88"/>
      <c r="O35" s="88"/>
      <c r="P35" s="88"/>
      <c r="Q35" s="88"/>
      <c r="R35" s="78">
        <f>MAX(S35:W35)</f>
        <v>0</v>
      </c>
      <c r="S35" s="88"/>
      <c r="T35" s="88"/>
      <c r="U35" s="88"/>
      <c r="V35" s="88"/>
      <c r="W35" s="88"/>
    </row>
    <row r="36" spans="2:23" s="0" customFormat="0" ht="15">
      <c r="B36" s="87" t="s">
        <v>1</v>
      </c>
      <c r="C36" s="88" t="s">
        <v>5259</v>
      </c>
      <c r="D36" s="88" t="s">
        <v>3303</v>
      </c>
      <c r="E36" s="88" t="s">
        <v>61</v>
      </c>
      <c r="F36" s="88">
        <v>0</v>
      </c>
      <c r="G36" s="78">
        <f>MAX(H36,I36,J36)</f>
        <v>0</v>
      </c>
      <c r="H36" s="88"/>
      <c r="I36" s="88"/>
      <c r="J36" s="78">
        <f>MAX(K36:Q36)</f>
        <v>0</v>
      </c>
      <c r="K36" s="88"/>
      <c r="L36" s="88"/>
      <c r="M36" s="88"/>
      <c r="N36" s="88"/>
      <c r="O36" s="88"/>
      <c r="P36" s="88"/>
      <c r="Q36" s="88"/>
      <c r="R36" s="78">
        <f>MAX(S36:W36)</f>
        <v>1</v>
      </c>
      <c r="S36" s="88"/>
      <c r="T36" s="88"/>
      <c r="U36" s="88">
        <v>1</v>
      </c>
      <c r="V36" s="88"/>
      <c r="W36" s="88"/>
    </row>
    <row r="37" spans="2:23" s="0" customFormat="0" ht="15">
      <c r="B37" s="87" t="s">
        <v>1</v>
      </c>
      <c r="C37" s="88" t="s">
        <v>5259</v>
      </c>
      <c r="D37" s="88">
        <v>22214086</v>
      </c>
      <c r="E37" s="88" t="s">
        <v>61</v>
      </c>
      <c r="F37" s="88">
        <v>0</v>
      </c>
      <c r="G37" s="78">
        <f>MAX(H37,I37,J37)</f>
        <v>1</v>
      </c>
      <c r="H37" s="88"/>
      <c r="I37" s="88"/>
      <c r="J37" s="78">
        <f>MAX(K37:Q37)</f>
        <v>1</v>
      </c>
      <c r="K37" s="88">
        <v>1</v>
      </c>
      <c r="L37" s="88"/>
      <c r="M37" s="88"/>
      <c r="N37" s="88"/>
      <c r="O37" s="88"/>
      <c r="P37" s="88"/>
      <c r="Q37" s="88"/>
      <c r="R37" s="78">
        <f>MAX(S37:W37)</f>
        <v>0</v>
      </c>
      <c r="S37" s="88"/>
      <c r="T37" s="88"/>
      <c r="U37" s="88"/>
      <c r="V37" s="88"/>
      <c r="W37" s="88"/>
    </row>
    <row r="38" spans="2:23" s="0" customFormat="0" ht="15">
      <c r="B38" s="87" t="s">
        <v>1</v>
      </c>
      <c r="C38" s="88" t="s">
        <v>5259</v>
      </c>
      <c r="D38" s="88">
        <v>18746155</v>
      </c>
      <c r="E38" s="88" t="s">
        <v>61</v>
      </c>
      <c r="F38" s="88">
        <v>0</v>
      </c>
      <c r="G38" s="78">
        <f>MAX(H38,I38,J38)</f>
        <v>0</v>
      </c>
      <c r="H38" s="88"/>
      <c r="I38" s="88"/>
      <c r="J38" s="78">
        <f>MAX(K38:Q38)</f>
        <v>0</v>
      </c>
      <c r="K38" s="88"/>
      <c r="L38" s="88"/>
      <c r="M38" s="88"/>
      <c r="N38" s="88"/>
      <c r="O38" s="88"/>
      <c r="P38" s="88"/>
      <c r="Q38" s="88"/>
      <c r="R38" s="78">
        <f>MAX(S38:W38)</f>
        <v>1</v>
      </c>
      <c r="S38" s="88"/>
      <c r="T38" s="88"/>
      <c r="U38" s="88">
        <v>1</v>
      </c>
      <c r="V38" s="88"/>
      <c r="W38" s="88"/>
    </row>
    <row r="39" spans="2:23" s="0" customFormat="0" ht="15">
      <c r="B39" s="87" t="s">
        <v>1</v>
      </c>
      <c r="C39" s="88" t="s">
        <v>5259</v>
      </c>
      <c r="D39" s="88">
        <v>22078684</v>
      </c>
      <c r="E39" s="88" t="s">
        <v>61</v>
      </c>
      <c r="F39" s="88">
        <v>0</v>
      </c>
      <c r="G39" s="78">
        <f>MAX(H39,I39,J39)</f>
        <v>1</v>
      </c>
      <c r="H39" s="88"/>
      <c r="I39" s="88"/>
      <c r="J39" s="78">
        <f>MAX(K39:Q39)</f>
        <v>1</v>
      </c>
      <c r="K39" s="88">
        <v>1</v>
      </c>
      <c r="L39" s="88"/>
      <c r="M39" s="88"/>
      <c r="N39" s="88"/>
      <c r="O39" s="88"/>
      <c r="P39" s="88"/>
      <c r="Q39" s="88"/>
      <c r="R39" s="78">
        <f>MAX(S39:W39)</f>
        <v>0</v>
      </c>
      <c r="S39" s="88"/>
      <c r="T39" s="88"/>
      <c r="U39" s="88"/>
      <c r="V39" s="88"/>
      <c r="W39" s="88"/>
    </row>
    <row r="40" spans="2:23" s="0" customFormat="0" ht="15">
      <c r="B40" s="87" t="s">
        <v>1</v>
      </c>
      <c r="C40" s="88" t="s">
        <v>5259</v>
      </c>
      <c r="D40" s="88" t="s">
        <v>3306</v>
      </c>
      <c r="E40" s="88" t="s">
        <v>61</v>
      </c>
      <c r="F40" s="88">
        <v>0</v>
      </c>
      <c r="G40" s="78">
        <f>MAX(H40,I40,J40)</f>
        <v>0</v>
      </c>
      <c r="H40" s="88"/>
      <c r="I40" s="88"/>
      <c r="J40" s="78">
        <f>MAX(K40:Q40)</f>
        <v>0</v>
      </c>
      <c r="K40" s="88"/>
      <c r="L40" s="88"/>
      <c r="M40" s="88"/>
      <c r="N40" s="88"/>
      <c r="O40" s="88"/>
      <c r="P40" s="88"/>
      <c r="Q40" s="88"/>
      <c r="R40" s="78">
        <f>MAX(S40:W40)</f>
        <v>1</v>
      </c>
      <c r="S40" s="88"/>
      <c r="T40" s="88"/>
      <c r="U40" s="88">
        <v>1</v>
      </c>
      <c r="V40" s="88"/>
      <c r="W40" s="88"/>
    </row>
    <row r="41" spans="2:23" s="0" customFormat="0" ht="15">
      <c r="B41" s="87" t="s">
        <v>1</v>
      </c>
      <c r="C41" s="88" t="s">
        <v>5259</v>
      </c>
      <c r="D41" s="88">
        <v>1921710</v>
      </c>
      <c r="E41" s="88" t="s">
        <v>61</v>
      </c>
      <c r="F41" s="88">
        <v>0</v>
      </c>
      <c r="G41" s="78">
        <f>MAX(H41,I41,J41)</f>
        <v>0</v>
      </c>
      <c r="H41" s="88"/>
      <c r="I41" s="88"/>
      <c r="J41" s="78">
        <f>MAX(K41:Q41)</f>
        <v>0</v>
      </c>
      <c r="K41" s="88"/>
      <c r="L41" s="88"/>
      <c r="M41" s="88"/>
      <c r="N41" s="88"/>
      <c r="O41" s="88"/>
      <c r="P41" s="88"/>
      <c r="Q41" s="88"/>
      <c r="R41" s="78">
        <f>MAX(S41:W41)</f>
        <v>1</v>
      </c>
      <c r="S41" s="88"/>
      <c r="T41" s="88"/>
      <c r="U41" s="88">
        <v>1</v>
      </c>
      <c r="V41" s="88"/>
      <c r="W41" s="88"/>
    </row>
    <row r="42" spans="2:23" s="0" customFormat="0" ht="15">
      <c r="B42" s="87" t="s">
        <v>1</v>
      </c>
      <c r="C42" s="88" t="s">
        <v>5259</v>
      </c>
      <c r="D42" s="88">
        <v>22106687</v>
      </c>
      <c r="E42" s="88" t="s">
        <v>61</v>
      </c>
      <c r="F42" s="88">
        <v>0</v>
      </c>
      <c r="G42" s="78">
        <f>MAX(H42,I42,J42)</f>
        <v>1</v>
      </c>
      <c r="H42" s="88"/>
      <c r="I42" s="88"/>
      <c r="J42" s="78">
        <f>MAX(K42:Q42)</f>
        <v>1</v>
      </c>
      <c r="K42" s="88">
        <v>1</v>
      </c>
      <c r="L42" s="88"/>
      <c r="M42" s="88"/>
      <c r="N42" s="88"/>
      <c r="O42" s="88"/>
      <c r="P42" s="88"/>
      <c r="Q42" s="88"/>
      <c r="R42" s="78">
        <f>MAX(S42:W42)</f>
        <v>0</v>
      </c>
      <c r="S42" s="88"/>
      <c r="T42" s="88"/>
      <c r="U42" s="88"/>
      <c r="V42" s="88"/>
      <c r="W42" s="88"/>
    </row>
    <row r="43" spans="2:23" s="0" customFormat="0" ht="15">
      <c r="B43" s="87" t="s">
        <v>1</v>
      </c>
      <c r="C43" s="88" t="s">
        <v>5259</v>
      </c>
      <c r="D43" s="88" t="s">
        <v>218</v>
      </c>
      <c r="E43" s="88" t="s">
        <v>61</v>
      </c>
      <c r="F43" s="88">
        <v>0</v>
      </c>
      <c r="G43" s="78">
        <f>MAX(H43,I43,J43)</f>
        <v>1</v>
      </c>
      <c r="H43" s="88"/>
      <c r="I43" s="88"/>
      <c r="J43" s="78">
        <f>MAX(K43:Q43)</f>
        <v>1</v>
      </c>
      <c r="K43" s="88">
        <v>1</v>
      </c>
      <c r="L43" s="88"/>
      <c r="M43" s="88"/>
      <c r="N43" s="88"/>
      <c r="O43" s="88"/>
      <c r="P43" s="88"/>
      <c r="Q43" s="88"/>
      <c r="R43" s="78">
        <f>MAX(S43:W43)</f>
        <v>0</v>
      </c>
      <c r="S43" s="88"/>
      <c r="T43" s="88"/>
      <c r="U43" s="88"/>
      <c r="V43" s="88"/>
      <c r="W43" s="88"/>
    </row>
    <row r="44" spans="2:23" s="0" customFormat="0" ht="15">
      <c r="B44" s="87" t="s">
        <v>1</v>
      </c>
      <c r="C44" s="88" t="s">
        <v>5259</v>
      </c>
      <c r="D44" s="88" t="s">
        <v>3309</v>
      </c>
      <c r="E44" s="88" t="s">
        <v>61</v>
      </c>
      <c r="F44" s="88">
        <v>0</v>
      </c>
      <c r="G44" s="78">
        <f>MAX(H44,I44,J44)</f>
        <v>0</v>
      </c>
      <c r="H44" s="88"/>
      <c r="I44" s="88"/>
      <c r="J44" s="78">
        <f>MAX(K44:Q44)</f>
        <v>0</v>
      </c>
      <c r="K44" s="88"/>
      <c r="L44" s="88"/>
      <c r="M44" s="88"/>
      <c r="N44" s="88"/>
      <c r="O44" s="88"/>
      <c r="P44" s="88"/>
      <c r="Q44" s="88"/>
      <c r="R44" s="78">
        <f>MAX(S44:W44)</f>
        <v>1</v>
      </c>
      <c r="S44" s="88"/>
      <c r="T44" s="88"/>
      <c r="U44" s="88">
        <v>1</v>
      </c>
      <c r="V44" s="88"/>
      <c r="W44" s="88"/>
    </row>
    <row r="45" spans="2:23" s="0" customFormat="0" ht="15">
      <c r="B45" s="87" t="s">
        <v>1</v>
      </c>
      <c r="C45" s="88" t="s">
        <v>5259</v>
      </c>
      <c r="D45" s="88" t="s">
        <v>221</v>
      </c>
      <c r="E45" s="88" t="s">
        <v>61</v>
      </c>
      <c r="F45" s="88">
        <v>0</v>
      </c>
      <c r="G45" s="78">
        <f>MAX(H45,I45,J45)</f>
        <v>1</v>
      </c>
      <c r="H45" s="88"/>
      <c r="I45" s="88"/>
      <c r="J45" s="78">
        <f>MAX(K45:Q45)</f>
        <v>1</v>
      </c>
      <c r="K45" s="88">
        <v>1</v>
      </c>
      <c r="L45" s="88"/>
      <c r="M45" s="88"/>
      <c r="N45" s="88"/>
      <c r="O45" s="88"/>
      <c r="P45" s="88"/>
      <c r="Q45" s="88"/>
      <c r="R45" s="78">
        <f>MAX(S45:W45)</f>
        <v>0</v>
      </c>
      <c r="S45" s="88"/>
      <c r="T45" s="88"/>
      <c r="U45" s="88"/>
      <c r="V45" s="88"/>
      <c r="W45" s="88"/>
    </row>
    <row r="46" spans="2:23" s="0" customFormat="0" ht="15">
      <c r="B46" s="87" t="s">
        <v>1</v>
      </c>
      <c r="C46" s="88" t="s">
        <v>5259</v>
      </c>
      <c r="D46" s="88" t="s">
        <v>223</v>
      </c>
      <c r="E46" s="88" t="s">
        <v>61</v>
      </c>
      <c r="F46" s="88">
        <v>0</v>
      </c>
      <c r="G46" s="78">
        <f>MAX(H46,I46,J46)</f>
        <v>1</v>
      </c>
      <c r="H46" s="88"/>
      <c r="I46" s="88"/>
      <c r="J46" s="78">
        <f>MAX(K46:Q46)</f>
        <v>1</v>
      </c>
      <c r="K46" s="88">
        <v>1</v>
      </c>
      <c r="L46" s="88"/>
      <c r="M46" s="88"/>
      <c r="N46" s="88"/>
      <c r="O46" s="88"/>
      <c r="P46" s="88"/>
      <c r="Q46" s="88"/>
      <c r="R46" s="78">
        <f>MAX(S46:W46)</f>
        <v>0</v>
      </c>
      <c r="S46" s="88"/>
      <c r="T46" s="88"/>
      <c r="U46" s="88"/>
      <c r="V46" s="88"/>
      <c r="W46" s="88"/>
    </row>
    <row r="47" spans="2:23" s="0" customFormat="0" ht="15">
      <c r="B47" s="87" t="s">
        <v>1</v>
      </c>
      <c r="C47" s="88" t="s">
        <v>5259</v>
      </c>
      <c r="D47" s="88" t="s">
        <v>3155</v>
      </c>
      <c r="E47" s="88" t="s">
        <v>61</v>
      </c>
      <c r="F47" s="88">
        <v>0</v>
      </c>
      <c r="G47" s="78">
        <f>MAX(H47,I47,J47)</f>
        <v>1</v>
      </c>
      <c r="H47" s="88"/>
      <c r="I47" s="88"/>
      <c r="J47" s="78">
        <f>MAX(K47:Q47)</f>
        <v>1</v>
      </c>
      <c r="K47" s="88"/>
      <c r="L47" s="88"/>
      <c r="M47" s="88"/>
      <c r="N47" s="88"/>
      <c r="O47" s="88">
        <v>1</v>
      </c>
      <c r="P47" s="88"/>
      <c r="Q47" s="88"/>
      <c r="R47" s="78">
        <f>MAX(S47:W47)</f>
        <v>0</v>
      </c>
      <c r="S47" s="88"/>
      <c r="T47" s="88"/>
      <c r="U47" s="88"/>
      <c r="V47" s="88"/>
      <c r="W47" s="88"/>
    </row>
    <row r="48" spans="2:23" s="0" customFormat="0" ht="15">
      <c r="B48" s="87" t="s">
        <v>1</v>
      </c>
      <c r="C48" s="88" t="s">
        <v>5259</v>
      </c>
      <c r="D48" s="88">
        <v>8584176</v>
      </c>
      <c r="E48" s="88" t="s">
        <v>61</v>
      </c>
      <c r="F48" s="88">
        <v>0</v>
      </c>
      <c r="G48" s="78">
        <f>MAX(H48,I48,J48)</f>
        <v>1</v>
      </c>
      <c r="H48" s="88"/>
      <c r="I48" s="88"/>
      <c r="J48" s="78">
        <f>MAX(K48:Q48)</f>
        <v>1</v>
      </c>
      <c r="K48" s="88">
        <v>1</v>
      </c>
      <c r="L48" s="88"/>
      <c r="M48" s="88"/>
      <c r="N48" s="88"/>
      <c r="O48" s="88"/>
      <c r="P48" s="88"/>
      <c r="Q48" s="88"/>
      <c r="R48" s="78">
        <f>MAX(S48:W48)</f>
        <v>0</v>
      </c>
      <c r="S48" s="88"/>
      <c r="T48" s="88"/>
      <c r="U48" s="88"/>
      <c r="V48" s="88"/>
      <c r="W48" s="88"/>
    </row>
    <row r="49" spans="2:23" s="0" customFormat="0" ht="15">
      <c r="B49" s="87" t="s">
        <v>1</v>
      </c>
      <c r="C49" s="88" t="s">
        <v>5259</v>
      </c>
      <c r="D49" s="88">
        <v>17056008</v>
      </c>
      <c r="E49" s="88" t="s">
        <v>61</v>
      </c>
      <c r="F49" s="88">
        <v>0</v>
      </c>
      <c r="G49" s="78">
        <f>MAX(H49,I49,J49)</f>
        <v>1</v>
      </c>
      <c r="H49" s="88"/>
      <c r="I49" s="88"/>
      <c r="J49" s="78">
        <f>MAX(K49:Q49)</f>
        <v>1</v>
      </c>
      <c r="K49" s="88">
        <v>1</v>
      </c>
      <c r="L49" s="88"/>
      <c r="M49" s="88"/>
      <c r="N49" s="88"/>
      <c r="O49" s="88"/>
      <c r="P49" s="88"/>
      <c r="Q49" s="88"/>
      <c r="R49" s="78">
        <f>MAX(S49:W49)</f>
        <v>0</v>
      </c>
      <c r="S49" s="88"/>
      <c r="T49" s="88"/>
      <c r="U49" s="88"/>
      <c r="V49" s="88"/>
      <c r="W49" s="88"/>
    </row>
    <row r="50" spans="2:23" s="0" customFormat="0" ht="15">
      <c r="B50" s="87" t="s">
        <v>1</v>
      </c>
      <c r="C50" s="88" t="s">
        <v>5259</v>
      </c>
      <c r="D50" s="88">
        <v>11009660</v>
      </c>
      <c r="E50" s="88" t="s">
        <v>61</v>
      </c>
      <c r="F50" s="88">
        <v>0</v>
      </c>
      <c r="G50" s="78">
        <f>MAX(H50,I50,J50)</f>
        <v>1</v>
      </c>
      <c r="H50" s="88"/>
      <c r="I50" s="88"/>
      <c r="J50" s="78">
        <f>MAX(K50:Q50)</f>
        <v>1</v>
      </c>
      <c r="K50" s="88">
        <v>1</v>
      </c>
      <c r="L50" s="88"/>
      <c r="M50" s="88"/>
      <c r="N50" s="88"/>
      <c r="O50" s="88"/>
      <c r="P50" s="88"/>
      <c r="Q50" s="88"/>
      <c r="R50" s="78">
        <f>MAX(S50:W50)</f>
        <v>0</v>
      </c>
      <c r="S50" s="88"/>
      <c r="T50" s="88"/>
      <c r="U50" s="88"/>
      <c r="V50" s="88"/>
      <c r="W50" s="88"/>
    </row>
    <row r="51" spans="2:23" s="0" customFormat="0" ht="15">
      <c r="B51" s="87" t="s">
        <v>1</v>
      </c>
      <c r="C51" s="88" t="s">
        <v>5259</v>
      </c>
      <c r="D51" s="88" t="s">
        <v>228</v>
      </c>
      <c r="E51" s="88" t="s">
        <v>61</v>
      </c>
      <c r="F51" s="88">
        <v>0</v>
      </c>
      <c r="G51" s="78">
        <f>MAX(H51,I51,J51)</f>
        <v>1</v>
      </c>
      <c r="H51" s="88"/>
      <c r="I51" s="88"/>
      <c r="J51" s="78">
        <f>MAX(K51:Q51)</f>
        <v>1</v>
      </c>
      <c r="K51" s="88">
        <v>1</v>
      </c>
      <c r="L51" s="88"/>
      <c r="M51" s="88"/>
      <c r="N51" s="88"/>
      <c r="O51" s="88"/>
      <c r="P51" s="88"/>
      <c r="Q51" s="88"/>
      <c r="R51" s="78">
        <f>MAX(S51:W51)</f>
        <v>0</v>
      </c>
      <c r="S51" s="88"/>
      <c r="T51" s="88"/>
      <c r="U51" s="88"/>
      <c r="V51" s="88"/>
      <c r="W51" s="88"/>
    </row>
    <row r="52" spans="2:23" s="0" customFormat="0" ht="15">
      <c r="B52" s="87" t="s">
        <v>1</v>
      </c>
      <c r="C52" s="88" t="s">
        <v>5259</v>
      </c>
      <c r="D52" s="88" t="s">
        <v>230</v>
      </c>
      <c r="E52" s="88" t="s">
        <v>61</v>
      </c>
      <c r="F52" s="88">
        <v>0</v>
      </c>
      <c r="G52" s="78">
        <f>MAX(H52,I52,J52)</f>
        <v>1</v>
      </c>
      <c r="H52" s="88"/>
      <c r="I52" s="88"/>
      <c r="J52" s="78">
        <f>MAX(K52:Q52)</f>
        <v>1</v>
      </c>
      <c r="K52" s="88">
        <v>1</v>
      </c>
      <c r="L52" s="88"/>
      <c r="M52" s="88"/>
      <c r="N52" s="88"/>
      <c r="O52" s="88"/>
      <c r="P52" s="88"/>
      <c r="Q52" s="88"/>
      <c r="R52" s="78">
        <f>MAX(S52:W52)</f>
        <v>0</v>
      </c>
      <c r="S52" s="88"/>
      <c r="T52" s="88"/>
      <c r="U52" s="88"/>
      <c r="V52" s="88"/>
      <c r="W52" s="88"/>
    </row>
    <row r="53" spans="2:23" s="0" customFormat="0" ht="15">
      <c r="B53" s="87" t="s">
        <v>1</v>
      </c>
      <c r="C53" s="88" t="s">
        <v>5259</v>
      </c>
      <c r="D53" s="88" t="s">
        <v>232</v>
      </c>
      <c r="E53" s="88" t="s">
        <v>61</v>
      </c>
      <c r="F53" s="88">
        <v>0</v>
      </c>
      <c r="G53" s="78">
        <f>MAX(H53,I53,J53)</f>
        <v>1</v>
      </c>
      <c r="H53" s="88"/>
      <c r="I53" s="88"/>
      <c r="J53" s="78">
        <f>MAX(K53:Q53)</f>
        <v>1</v>
      </c>
      <c r="K53" s="88">
        <v>1</v>
      </c>
      <c r="L53" s="88"/>
      <c r="M53" s="88"/>
      <c r="N53" s="88"/>
      <c r="O53" s="88"/>
      <c r="P53" s="88"/>
      <c r="Q53" s="88"/>
      <c r="R53" s="78">
        <f>MAX(S53:W53)</f>
        <v>0</v>
      </c>
      <c r="S53" s="88"/>
      <c r="T53" s="88"/>
      <c r="U53" s="88"/>
      <c r="V53" s="88"/>
      <c r="W53" s="88"/>
    </row>
    <row r="54" spans="2:23" s="0" customFormat="0" ht="15">
      <c r="B54" s="87" t="s">
        <v>1</v>
      </c>
      <c r="C54" s="88" t="s">
        <v>5259</v>
      </c>
      <c r="D54" s="88">
        <v>18051828</v>
      </c>
      <c r="E54" s="88" t="s">
        <v>61</v>
      </c>
      <c r="F54" s="88">
        <v>0</v>
      </c>
      <c r="G54" s="78">
        <f>MAX(H54,I54,J54)</f>
        <v>1</v>
      </c>
      <c r="H54" s="88"/>
      <c r="I54" s="88"/>
      <c r="J54" s="78">
        <f>MAX(K54:Q54)</f>
        <v>1</v>
      </c>
      <c r="K54" s="88">
        <v>1</v>
      </c>
      <c r="L54" s="88"/>
      <c r="M54" s="88"/>
      <c r="N54" s="88"/>
      <c r="O54" s="88"/>
      <c r="P54" s="88"/>
      <c r="Q54" s="88"/>
      <c r="R54" s="78">
        <f>MAX(S54:W54)</f>
        <v>0</v>
      </c>
      <c r="S54" s="88"/>
      <c r="T54" s="88"/>
      <c r="U54" s="88"/>
      <c r="V54" s="88"/>
      <c r="W54" s="88"/>
    </row>
    <row r="55" spans="2:23" s="0" customFormat="0" ht="15">
      <c r="B55" s="87" t="s">
        <v>1</v>
      </c>
      <c r="C55" s="88" t="s">
        <v>5259</v>
      </c>
      <c r="D55" s="88">
        <v>22865681</v>
      </c>
      <c r="E55" s="88" t="s">
        <v>61</v>
      </c>
      <c r="F55" s="88">
        <v>0</v>
      </c>
      <c r="G55" s="78">
        <f>MAX(H55,I55,J55)</f>
        <v>1</v>
      </c>
      <c r="H55" s="88"/>
      <c r="I55" s="88"/>
      <c r="J55" s="78">
        <f>MAX(K55:Q55)</f>
        <v>1</v>
      </c>
      <c r="K55" s="88">
        <v>1</v>
      </c>
      <c r="L55" s="88"/>
      <c r="M55" s="88"/>
      <c r="N55" s="88"/>
      <c r="O55" s="88"/>
      <c r="P55" s="88"/>
      <c r="Q55" s="88"/>
      <c r="R55" s="78">
        <f>MAX(S55:W55)</f>
        <v>0</v>
      </c>
      <c r="S55" s="88"/>
      <c r="T55" s="88"/>
      <c r="U55" s="88"/>
      <c r="V55" s="88"/>
      <c r="W55" s="88"/>
    </row>
    <row r="56" spans="2:23" s="0" customFormat="0" ht="15">
      <c r="B56" s="87" t="s">
        <v>1</v>
      </c>
      <c r="C56" s="88" t="s">
        <v>5259</v>
      </c>
      <c r="D56" s="88" t="s">
        <v>3311</v>
      </c>
      <c r="E56" s="88" t="s">
        <v>61</v>
      </c>
      <c r="F56" s="88">
        <v>0</v>
      </c>
      <c r="G56" s="78">
        <f>MAX(H56,I56,J56)</f>
        <v>0</v>
      </c>
      <c r="H56" s="88"/>
      <c r="I56" s="88"/>
      <c r="J56" s="78">
        <f>MAX(K56:Q56)</f>
        <v>0</v>
      </c>
      <c r="K56" s="88"/>
      <c r="L56" s="88"/>
      <c r="M56" s="88"/>
      <c r="N56" s="88"/>
      <c r="O56" s="88"/>
      <c r="P56" s="88"/>
      <c r="Q56" s="88"/>
      <c r="R56" s="78">
        <f>MAX(S56:W56)</f>
        <v>1</v>
      </c>
      <c r="S56" s="88"/>
      <c r="T56" s="88"/>
      <c r="U56" s="88">
        <v>1</v>
      </c>
      <c r="V56" s="88"/>
      <c r="W56" s="88"/>
    </row>
    <row r="57" spans="2:23" s="0" customFormat="0" ht="15">
      <c r="B57" s="87" t="s">
        <v>1</v>
      </c>
      <c r="C57" s="88" t="s">
        <v>5259</v>
      </c>
      <c r="D57" s="88">
        <v>22264581</v>
      </c>
      <c r="E57" s="88" t="s">
        <v>61</v>
      </c>
      <c r="F57" s="88">
        <v>0</v>
      </c>
      <c r="G57" s="78">
        <f>MAX(H57,I57,J57)</f>
        <v>1</v>
      </c>
      <c r="H57" s="88"/>
      <c r="I57" s="88"/>
      <c r="J57" s="78">
        <f>MAX(K57:Q57)</f>
        <v>1</v>
      </c>
      <c r="K57" s="88">
        <v>1</v>
      </c>
      <c r="L57" s="88"/>
      <c r="M57" s="88"/>
      <c r="N57" s="88"/>
      <c r="O57" s="88"/>
      <c r="P57" s="88"/>
      <c r="Q57" s="88"/>
      <c r="R57" s="78">
        <f>MAX(S57:W57)</f>
        <v>0</v>
      </c>
      <c r="S57" s="88"/>
      <c r="T57" s="88"/>
      <c r="U57" s="88"/>
      <c r="V57" s="88"/>
      <c r="W57" s="88"/>
    </row>
    <row r="58" spans="2:23" s="0" customFormat="0" ht="15">
      <c r="B58" s="87" t="s">
        <v>1</v>
      </c>
      <c r="C58" s="88" t="s">
        <v>5259</v>
      </c>
      <c r="D58" s="88" t="s">
        <v>3313</v>
      </c>
      <c r="E58" s="88" t="s">
        <v>61</v>
      </c>
      <c r="F58" s="88">
        <v>0</v>
      </c>
      <c r="G58" s="78">
        <f>MAX(H58,I58,J58)</f>
        <v>0</v>
      </c>
      <c r="H58" s="88"/>
      <c r="I58" s="88"/>
      <c r="J58" s="78">
        <f>MAX(K58:Q58)</f>
        <v>0</v>
      </c>
      <c r="K58" s="88"/>
      <c r="L58" s="88"/>
      <c r="M58" s="88"/>
      <c r="N58" s="88"/>
      <c r="O58" s="88"/>
      <c r="P58" s="88"/>
      <c r="Q58" s="88"/>
      <c r="R58" s="78">
        <f>MAX(S58:W58)</f>
        <v>1</v>
      </c>
      <c r="S58" s="88"/>
      <c r="T58" s="88"/>
      <c r="U58" s="88">
        <v>1</v>
      </c>
      <c r="V58" s="88"/>
      <c r="W58" s="88"/>
    </row>
    <row r="59" spans="2:23" s="0" customFormat="0" ht="15">
      <c r="B59" s="87" t="s">
        <v>1</v>
      </c>
      <c r="C59" s="88" t="s">
        <v>5259</v>
      </c>
      <c r="D59" s="88">
        <v>13724713</v>
      </c>
      <c r="E59" s="88" t="s">
        <v>61</v>
      </c>
      <c r="F59" s="88">
        <v>0</v>
      </c>
      <c r="G59" s="78">
        <f>MAX(H59,I59,J59)</f>
        <v>1</v>
      </c>
      <c r="H59" s="88"/>
      <c r="I59" s="88"/>
      <c r="J59" s="78">
        <f>MAX(K59:Q59)</f>
        <v>1</v>
      </c>
      <c r="K59" s="88">
        <v>1</v>
      </c>
      <c r="L59" s="88"/>
      <c r="M59" s="88"/>
      <c r="N59" s="88"/>
      <c r="O59" s="88"/>
      <c r="P59" s="88"/>
      <c r="Q59" s="88"/>
      <c r="R59" s="78">
        <f>MAX(S59:W59)</f>
        <v>0</v>
      </c>
      <c r="S59" s="88"/>
      <c r="T59" s="88"/>
      <c r="U59" s="88"/>
      <c r="V59" s="88"/>
      <c r="W59" s="88"/>
    </row>
    <row r="60" spans="2:23" s="0" customFormat="0" ht="15">
      <c r="B60" s="87" t="s">
        <v>1</v>
      </c>
      <c r="C60" s="88" t="s">
        <v>5259</v>
      </c>
      <c r="D60" s="88" t="s">
        <v>3315</v>
      </c>
      <c r="E60" s="88" t="s">
        <v>61</v>
      </c>
      <c r="F60" s="88">
        <v>0</v>
      </c>
      <c r="G60" s="78">
        <f>MAX(H60,I60,J60)</f>
        <v>0</v>
      </c>
      <c r="H60" s="88"/>
      <c r="I60" s="88"/>
      <c r="J60" s="78">
        <f>MAX(K60:Q60)</f>
        <v>0</v>
      </c>
      <c r="K60" s="88"/>
      <c r="L60" s="88"/>
      <c r="M60" s="88"/>
      <c r="N60" s="88"/>
      <c r="O60" s="88"/>
      <c r="P60" s="88"/>
      <c r="Q60" s="88"/>
      <c r="R60" s="78">
        <f>MAX(S60:W60)</f>
        <v>1</v>
      </c>
      <c r="S60" s="88"/>
      <c r="T60" s="88"/>
      <c r="U60" s="88">
        <v>1</v>
      </c>
      <c r="V60" s="88"/>
      <c r="W60" s="88"/>
    </row>
    <row r="61" spans="2:23" s="0" customFormat="0" ht="15">
      <c r="B61" s="87" t="s">
        <v>1</v>
      </c>
      <c r="C61" s="88" t="s">
        <v>5259</v>
      </c>
      <c r="D61" s="88" t="s">
        <v>3317</v>
      </c>
      <c r="E61" s="88" t="s">
        <v>61</v>
      </c>
      <c r="F61" s="88">
        <v>0</v>
      </c>
      <c r="G61" s="78">
        <f>MAX(H61,I61,J61)</f>
        <v>0</v>
      </c>
      <c r="H61" s="88"/>
      <c r="I61" s="88"/>
      <c r="J61" s="78">
        <f>MAX(K61:Q61)</f>
        <v>0</v>
      </c>
      <c r="K61" s="88"/>
      <c r="L61" s="88"/>
      <c r="M61" s="88"/>
      <c r="N61" s="88"/>
      <c r="O61" s="88"/>
      <c r="P61" s="88"/>
      <c r="Q61" s="88"/>
      <c r="R61" s="78">
        <f>MAX(S61:W61)</f>
        <v>1</v>
      </c>
      <c r="S61" s="88"/>
      <c r="T61" s="88"/>
      <c r="U61" s="88">
        <v>1</v>
      </c>
      <c r="V61" s="88"/>
      <c r="W61" s="88"/>
    </row>
    <row r="62" spans="2:23" s="0" customFormat="0" ht="15">
      <c r="B62" s="87" t="s">
        <v>1</v>
      </c>
      <c r="C62" s="88" t="s">
        <v>5259</v>
      </c>
      <c r="D62" s="88" t="s">
        <v>3319</v>
      </c>
      <c r="E62" s="88" t="s">
        <v>61</v>
      </c>
      <c r="F62" s="88">
        <v>0</v>
      </c>
      <c r="G62" s="78">
        <f>MAX(H62,I62,J62)</f>
        <v>0</v>
      </c>
      <c r="H62" s="88"/>
      <c r="I62" s="88"/>
      <c r="J62" s="78">
        <f>MAX(K62:Q62)</f>
        <v>0</v>
      </c>
      <c r="K62" s="88"/>
      <c r="L62" s="88"/>
      <c r="M62" s="88"/>
      <c r="N62" s="88"/>
      <c r="O62" s="88"/>
      <c r="P62" s="88"/>
      <c r="Q62" s="88"/>
      <c r="R62" s="78">
        <f>MAX(S62:W62)</f>
        <v>1</v>
      </c>
      <c r="S62" s="88"/>
      <c r="T62" s="88"/>
      <c r="U62" s="88">
        <v>1</v>
      </c>
      <c r="V62" s="88"/>
      <c r="W62" s="88"/>
    </row>
    <row r="63" spans="2:23" s="0" customFormat="0" ht="15">
      <c r="B63" s="87" t="s">
        <v>1</v>
      </c>
      <c r="C63" s="88" t="s">
        <v>5259</v>
      </c>
      <c r="D63" s="88">
        <v>20904570</v>
      </c>
      <c r="E63" s="88" t="s">
        <v>61</v>
      </c>
      <c r="F63" s="88">
        <v>0</v>
      </c>
      <c r="G63" s="78">
        <f>MAX(H63,I63,J63)</f>
        <v>1</v>
      </c>
      <c r="H63" s="88"/>
      <c r="I63" s="88"/>
      <c r="J63" s="78">
        <f>MAX(K63:Q63)</f>
        <v>1</v>
      </c>
      <c r="K63" s="88"/>
      <c r="L63" s="88"/>
      <c r="M63" s="88">
        <v>1</v>
      </c>
      <c r="N63" s="88"/>
      <c r="O63" s="88"/>
      <c r="P63" s="88"/>
      <c r="Q63" s="88"/>
      <c r="R63" s="78">
        <f>MAX(S63:W63)</f>
        <v>0</v>
      </c>
      <c r="S63" s="88"/>
      <c r="T63" s="88"/>
      <c r="U63" s="88"/>
      <c r="V63" s="88"/>
      <c r="W63" s="88"/>
    </row>
    <row r="64" spans="2:23" s="0" customFormat="0" ht="15">
      <c r="B64" s="87" t="s">
        <v>1</v>
      </c>
      <c r="C64" s="88" t="s">
        <v>5259</v>
      </c>
      <c r="D64" s="88">
        <v>18992190</v>
      </c>
      <c r="E64" s="88" t="s">
        <v>61</v>
      </c>
      <c r="F64" s="88">
        <v>0</v>
      </c>
      <c r="G64" s="78">
        <f>MAX(H64,I64,J64)</f>
        <v>1</v>
      </c>
      <c r="H64" s="88"/>
      <c r="I64" s="88"/>
      <c r="J64" s="78">
        <f>MAX(K64:Q64)</f>
        <v>1</v>
      </c>
      <c r="K64" s="88">
        <v>1</v>
      </c>
      <c r="L64" s="88"/>
      <c r="M64" s="88"/>
      <c r="N64" s="88"/>
      <c r="O64" s="88"/>
      <c r="P64" s="88"/>
      <c r="Q64" s="88"/>
      <c r="R64" s="78">
        <f>MAX(S64:W64)</f>
        <v>0</v>
      </c>
      <c r="S64" s="88"/>
      <c r="T64" s="88"/>
      <c r="U64" s="88"/>
      <c r="V64" s="88"/>
      <c r="W64" s="88"/>
    </row>
    <row r="65" spans="2:23" s="0" customFormat="0" ht="15">
      <c r="B65" s="87" t="s">
        <v>1</v>
      </c>
      <c r="C65" s="88" t="s">
        <v>5259</v>
      </c>
      <c r="D65" s="88" t="s">
        <v>239</v>
      </c>
      <c r="E65" s="88" t="s">
        <v>61</v>
      </c>
      <c r="F65" s="88">
        <v>0</v>
      </c>
      <c r="G65" s="78">
        <f>MAX(H65,I65,J65)</f>
        <v>1</v>
      </c>
      <c r="H65" s="88"/>
      <c r="I65" s="88"/>
      <c r="J65" s="78">
        <f>MAX(K65:Q65)</f>
        <v>1</v>
      </c>
      <c r="K65" s="88">
        <v>1</v>
      </c>
      <c r="L65" s="88"/>
      <c r="M65" s="88"/>
      <c r="N65" s="88"/>
      <c r="O65" s="88"/>
      <c r="P65" s="88"/>
      <c r="Q65" s="88"/>
      <c r="R65" s="78">
        <f>MAX(S65:W65)</f>
        <v>0</v>
      </c>
      <c r="S65" s="88"/>
      <c r="T65" s="88"/>
      <c r="U65" s="88"/>
      <c r="V65" s="88"/>
      <c r="W65" s="88"/>
    </row>
    <row r="66" spans="2:23" s="0" customFormat="0" ht="15">
      <c r="B66" s="87" t="s">
        <v>1</v>
      </c>
      <c r="C66" s="88" t="s">
        <v>5259</v>
      </c>
      <c r="D66" s="88">
        <v>17246494</v>
      </c>
      <c r="E66" s="88" t="s">
        <v>61</v>
      </c>
      <c r="F66" s="88">
        <v>0</v>
      </c>
      <c r="G66" s="78">
        <f>MAX(H66,I66,J66)</f>
        <v>1</v>
      </c>
      <c r="H66" s="88"/>
      <c r="I66" s="88"/>
      <c r="J66" s="78">
        <f>MAX(K66:Q66)</f>
        <v>1</v>
      </c>
      <c r="K66" s="88">
        <v>1</v>
      </c>
      <c r="L66" s="88"/>
      <c r="M66" s="88"/>
      <c r="N66" s="88"/>
      <c r="O66" s="88"/>
      <c r="P66" s="88"/>
      <c r="Q66" s="88"/>
      <c r="R66" s="78">
        <f>MAX(S66:W66)</f>
        <v>0</v>
      </c>
      <c r="S66" s="88"/>
      <c r="T66" s="88"/>
      <c r="U66" s="88"/>
      <c r="V66" s="88"/>
      <c r="W66" s="88"/>
    </row>
    <row r="67" spans="2:23" s="0" customFormat="0" ht="15">
      <c r="B67" s="87" t="s">
        <v>1</v>
      </c>
      <c r="C67" s="88" t="s">
        <v>5259</v>
      </c>
      <c r="D67" s="88" t="s">
        <v>3321</v>
      </c>
      <c r="E67" s="88" t="s">
        <v>61</v>
      </c>
      <c r="F67" s="88">
        <v>0</v>
      </c>
      <c r="G67" s="78">
        <f>MAX(H67,I67,J67)</f>
        <v>0</v>
      </c>
      <c r="H67" s="88"/>
      <c r="I67" s="88"/>
      <c r="J67" s="78">
        <f>MAX(K67:Q67)</f>
        <v>0</v>
      </c>
      <c r="K67" s="88"/>
      <c r="L67" s="88"/>
      <c r="M67" s="88"/>
      <c r="N67" s="88"/>
      <c r="O67" s="88"/>
      <c r="P67" s="88"/>
      <c r="Q67" s="88"/>
      <c r="R67" s="78">
        <f>MAX(S67:W67)</f>
        <v>1</v>
      </c>
      <c r="S67" s="88"/>
      <c r="T67" s="88"/>
      <c r="U67" s="88">
        <v>1</v>
      </c>
      <c r="V67" s="88"/>
      <c r="W67" s="88"/>
    </row>
    <row r="68" spans="2:23" s="0" customFormat="0" ht="15">
      <c r="B68" s="87" t="s">
        <v>1</v>
      </c>
      <c r="C68" s="88" t="s">
        <v>5259</v>
      </c>
      <c r="D68" s="88">
        <v>22387309</v>
      </c>
      <c r="E68" s="88" t="s">
        <v>61</v>
      </c>
      <c r="F68" s="88">
        <v>0</v>
      </c>
      <c r="G68" s="78">
        <f>MAX(H68,I68,J68)</f>
        <v>1</v>
      </c>
      <c r="H68" s="88"/>
      <c r="I68" s="88"/>
      <c r="J68" s="78">
        <f>MAX(K68:Q68)</f>
        <v>1</v>
      </c>
      <c r="K68" s="88">
        <v>1</v>
      </c>
      <c r="L68" s="88"/>
      <c r="M68" s="88"/>
      <c r="N68" s="88"/>
      <c r="O68" s="88"/>
      <c r="P68" s="88"/>
      <c r="Q68" s="88"/>
      <c r="R68" s="78">
        <f>MAX(S68:W68)</f>
        <v>0</v>
      </c>
      <c r="S68" s="88"/>
      <c r="T68" s="88"/>
      <c r="U68" s="88"/>
      <c r="V68" s="88"/>
      <c r="W68" s="88"/>
    </row>
    <row r="69" spans="2:23" s="0" customFormat="0" ht="15">
      <c r="B69" s="87" t="s">
        <v>1</v>
      </c>
      <c r="C69" s="88" t="s">
        <v>5259</v>
      </c>
      <c r="D69" s="88">
        <v>16974123</v>
      </c>
      <c r="E69" s="88" t="s">
        <v>61</v>
      </c>
      <c r="F69" s="88">
        <v>0</v>
      </c>
      <c r="G69" s="78">
        <f>MAX(H69,I69,J69)</f>
        <v>0</v>
      </c>
      <c r="H69" s="88"/>
      <c r="I69" s="88"/>
      <c r="J69" s="78">
        <f>MAX(K69:Q69)</f>
        <v>0</v>
      </c>
      <c r="K69" s="88"/>
      <c r="L69" s="88"/>
      <c r="M69" s="88"/>
      <c r="N69" s="88"/>
      <c r="O69" s="88"/>
      <c r="P69" s="88"/>
      <c r="Q69" s="88"/>
      <c r="R69" s="78">
        <f>MAX(S69:W69)</f>
        <v>1</v>
      </c>
      <c r="S69" s="88"/>
      <c r="T69" s="88"/>
      <c r="U69" s="88">
        <v>1</v>
      </c>
      <c r="V69" s="88"/>
      <c r="W69" s="88"/>
    </row>
    <row r="70" spans="2:23" s="0" customFormat="0" ht="15">
      <c r="B70" s="87" t="s">
        <v>1</v>
      </c>
      <c r="C70" s="88" t="s">
        <v>5259</v>
      </c>
      <c r="D70" s="88" t="s">
        <v>3324</v>
      </c>
      <c r="E70" s="88" t="s">
        <v>61</v>
      </c>
      <c r="F70" s="88">
        <v>0</v>
      </c>
      <c r="G70" s="78">
        <f>MAX(H70,I70,J70)</f>
        <v>0</v>
      </c>
      <c r="H70" s="88"/>
      <c r="I70" s="88"/>
      <c r="J70" s="78">
        <f>MAX(K70:Q70)</f>
        <v>0</v>
      </c>
      <c r="K70" s="88"/>
      <c r="L70" s="88"/>
      <c r="M70" s="88"/>
      <c r="N70" s="88"/>
      <c r="O70" s="88"/>
      <c r="P70" s="88"/>
      <c r="Q70" s="88"/>
      <c r="R70" s="78">
        <f>MAX(S70:W70)</f>
        <v>1</v>
      </c>
      <c r="S70" s="88"/>
      <c r="T70" s="88"/>
      <c r="U70" s="88">
        <v>1</v>
      </c>
      <c r="V70" s="88"/>
      <c r="W70" s="88"/>
    </row>
    <row r="71" spans="2:23" s="0" customFormat="0" ht="15">
      <c r="B71" s="87" t="s">
        <v>1</v>
      </c>
      <c r="C71" s="88" t="s">
        <v>5259</v>
      </c>
      <c r="D71" s="88">
        <v>15775331</v>
      </c>
      <c r="E71" s="88" t="s">
        <v>61</v>
      </c>
      <c r="F71" s="88">
        <v>0</v>
      </c>
      <c r="G71" s="78">
        <f>MAX(H71,I71,J71)</f>
        <v>1</v>
      </c>
      <c r="H71" s="88"/>
      <c r="I71" s="88"/>
      <c r="J71" s="78">
        <f>MAX(K71:Q71)</f>
        <v>1</v>
      </c>
      <c r="K71" s="88">
        <v>1</v>
      </c>
      <c r="L71" s="88"/>
      <c r="M71" s="88"/>
      <c r="N71" s="88"/>
      <c r="O71" s="88"/>
      <c r="P71" s="88"/>
      <c r="Q71" s="88"/>
      <c r="R71" s="78">
        <f>MAX(S71:W71)</f>
        <v>0</v>
      </c>
      <c r="S71" s="88"/>
      <c r="T71" s="88"/>
      <c r="U71" s="88"/>
      <c r="V71" s="88"/>
      <c r="W71" s="88"/>
    </row>
    <row r="72" spans="2:23" s="0" customFormat="0" ht="15">
      <c r="B72" s="87" t="s">
        <v>1</v>
      </c>
      <c r="C72" s="88" t="s">
        <v>5259</v>
      </c>
      <c r="D72" s="88">
        <v>21073867</v>
      </c>
      <c r="E72" s="88" t="s">
        <v>61</v>
      </c>
      <c r="F72" s="88">
        <v>0</v>
      </c>
      <c r="G72" s="78">
        <f>MAX(H72,I72,J72)</f>
        <v>1</v>
      </c>
      <c r="H72" s="88"/>
      <c r="I72" s="88"/>
      <c r="J72" s="78">
        <f>MAX(K72:Q72)</f>
        <v>1</v>
      </c>
      <c r="K72" s="88">
        <v>1</v>
      </c>
      <c r="L72" s="88"/>
      <c r="M72" s="88"/>
      <c r="N72" s="88"/>
      <c r="O72" s="88"/>
      <c r="P72" s="88"/>
      <c r="Q72" s="88"/>
      <c r="R72" s="78">
        <f>MAX(S72:W72)</f>
        <v>0</v>
      </c>
      <c r="S72" s="88"/>
      <c r="T72" s="88"/>
      <c r="U72" s="88"/>
      <c r="V72" s="88"/>
      <c r="W72" s="88"/>
    </row>
    <row r="73" spans="2:23" s="0" customFormat="0" ht="15">
      <c r="B73" s="87" t="s">
        <v>1</v>
      </c>
      <c r="C73" s="88" t="s">
        <v>5259</v>
      </c>
      <c r="D73" s="88" t="s">
        <v>3179</v>
      </c>
      <c r="E73" s="88" t="s">
        <v>61</v>
      </c>
      <c r="F73" s="88">
        <v>0</v>
      </c>
      <c r="G73" s="78">
        <f>MAX(H73,I73,J73)</f>
        <v>1</v>
      </c>
      <c r="H73" s="88"/>
      <c r="I73" s="88"/>
      <c r="J73" s="78">
        <f>MAX(K73:Q73)</f>
        <v>1</v>
      </c>
      <c r="K73" s="88"/>
      <c r="L73" s="88"/>
      <c r="M73" s="88"/>
      <c r="N73" s="88"/>
      <c r="O73" s="88"/>
      <c r="P73" s="88">
        <v>1</v>
      </c>
      <c r="Q73" s="88"/>
      <c r="R73" s="78">
        <f>MAX(S73:W73)</f>
        <v>0</v>
      </c>
      <c r="S73" s="88"/>
      <c r="T73" s="88"/>
      <c r="U73" s="88"/>
      <c r="V73" s="88"/>
      <c r="W73" s="88"/>
    </row>
    <row r="74" spans="2:23" s="0" customFormat="0" ht="15">
      <c r="B74" s="87" t="s">
        <v>1</v>
      </c>
      <c r="C74" s="88" t="s">
        <v>5259</v>
      </c>
      <c r="D74" s="88">
        <v>11879433</v>
      </c>
      <c r="E74" s="88" t="s">
        <v>61</v>
      </c>
      <c r="F74" s="88">
        <v>0</v>
      </c>
      <c r="G74" s="78">
        <f>MAX(H74,I74,J74)</f>
        <v>1</v>
      </c>
      <c r="H74" s="88"/>
      <c r="I74" s="88"/>
      <c r="J74" s="78">
        <f>MAX(K74:Q74)</f>
        <v>1</v>
      </c>
      <c r="K74" s="88">
        <v>1</v>
      </c>
      <c r="L74" s="88"/>
      <c r="M74" s="88"/>
      <c r="N74" s="88"/>
      <c r="O74" s="88"/>
      <c r="P74" s="88"/>
      <c r="Q74" s="88"/>
      <c r="R74" s="78">
        <f>MAX(S74:W74)</f>
        <v>0</v>
      </c>
      <c r="S74" s="88"/>
      <c r="T74" s="88"/>
      <c r="U74" s="88"/>
      <c r="V74" s="88"/>
      <c r="W74" s="88"/>
    </row>
    <row r="75" spans="2:23" s="0" customFormat="0" ht="15">
      <c r="B75" s="87" t="s">
        <v>1</v>
      </c>
      <c r="C75" s="88" t="s">
        <v>5259</v>
      </c>
      <c r="D75" s="88" t="s">
        <v>3326</v>
      </c>
      <c r="E75" s="88" t="s">
        <v>61</v>
      </c>
      <c r="F75" s="88">
        <v>0</v>
      </c>
      <c r="G75" s="78">
        <f>MAX(H75,I75,J75)</f>
        <v>0</v>
      </c>
      <c r="H75" s="88"/>
      <c r="I75" s="88"/>
      <c r="J75" s="78">
        <f>MAX(K75:Q75)</f>
        <v>0</v>
      </c>
      <c r="K75" s="88"/>
      <c r="L75" s="88"/>
      <c r="M75" s="88"/>
      <c r="N75" s="88"/>
      <c r="O75" s="88"/>
      <c r="P75" s="88"/>
      <c r="Q75" s="88"/>
      <c r="R75" s="78">
        <f>MAX(S75:W75)</f>
        <v>1</v>
      </c>
      <c r="S75" s="88"/>
      <c r="T75" s="88"/>
      <c r="U75" s="88">
        <v>1</v>
      </c>
      <c r="V75" s="88"/>
      <c r="W75" s="88"/>
    </row>
    <row r="76" spans="2:23" s="0" customFormat="0" ht="15">
      <c r="B76" s="87" t="s">
        <v>1</v>
      </c>
      <c r="C76" s="88" t="s">
        <v>5259</v>
      </c>
      <c r="D76" s="88">
        <v>21792759</v>
      </c>
      <c r="E76" s="88" t="s">
        <v>61</v>
      </c>
      <c r="F76" s="88">
        <v>0</v>
      </c>
      <c r="G76" s="78">
        <f>MAX(H76,I76,J76)</f>
        <v>1</v>
      </c>
      <c r="H76" s="88"/>
      <c r="I76" s="88"/>
      <c r="J76" s="78">
        <f>MAX(K76:Q76)</f>
        <v>1</v>
      </c>
      <c r="K76" s="88">
        <v>1</v>
      </c>
      <c r="L76" s="88"/>
      <c r="M76" s="88"/>
      <c r="N76" s="88"/>
      <c r="O76" s="88"/>
      <c r="P76" s="88"/>
      <c r="Q76" s="88"/>
      <c r="R76" s="78">
        <f>MAX(S76:W76)</f>
        <v>0</v>
      </c>
      <c r="S76" s="88"/>
      <c r="T76" s="88"/>
      <c r="U76" s="88"/>
      <c r="V76" s="88"/>
      <c r="W76" s="88"/>
    </row>
    <row r="77" spans="2:23" s="0" customFormat="0" ht="15">
      <c r="B77" s="87" t="s">
        <v>1</v>
      </c>
      <c r="C77" s="88" t="s">
        <v>5259</v>
      </c>
      <c r="D77" s="88" t="s">
        <v>3328</v>
      </c>
      <c r="E77" s="88" t="s">
        <v>61</v>
      </c>
      <c r="F77" s="88">
        <v>0</v>
      </c>
      <c r="G77" s="78">
        <f>MAX(H77,I77,J77)</f>
        <v>0</v>
      </c>
      <c r="H77" s="88"/>
      <c r="I77" s="88"/>
      <c r="J77" s="78">
        <f>MAX(K77:Q77)</f>
        <v>0</v>
      </c>
      <c r="K77" s="88"/>
      <c r="L77" s="88"/>
      <c r="M77" s="88"/>
      <c r="N77" s="88"/>
      <c r="O77" s="88"/>
      <c r="P77" s="88"/>
      <c r="Q77" s="88"/>
      <c r="R77" s="78">
        <f>MAX(S77:W77)</f>
        <v>1</v>
      </c>
      <c r="S77" s="88"/>
      <c r="T77" s="88"/>
      <c r="U77" s="88">
        <v>1</v>
      </c>
      <c r="V77" s="88"/>
      <c r="W77" s="88"/>
    </row>
    <row r="78" spans="2:23" s="0" customFormat="0" ht="15">
      <c r="B78" s="87" t="s">
        <v>1</v>
      </c>
      <c r="C78" s="88" t="s">
        <v>5259</v>
      </c>
      <c r="D78" s="88">
        <v>7745746</v>
      </c>
      <c r="E78" s="88" t="s">
        <v>61</v>
      </c>
      <c r="F78" s="88">
        <v>0</v>
      </c>
      <c r="G78" s="78">
        <f>MAX(H78,I78,J78)</f>
        <v>1</v>
      </c>
      <c r="H78" s="88"/>
      <c r="I78" s="88"/>
      <c r="J78" s="78">
        <f>MAX(K78:Q78)</f>
        <v>1</v>
      </c>
      <c r="K78" s="88">
        <v>1</v>
      </c>
      <c r="L78" s="88"/>
      <c r="M78" s="88"/>
      <c r="N78" s="88"/>
      <c r="O78" s="88"/>
      <c r="P78" s="88"/>
      <c r="Q78" s="88"/>
      <c r="R78" s="78">
        <f>MAX(S78:W78)</f>
        <v>0</v>
      </c>
      <c r="S78" s="88"/>
      <c r="T78" s="88"/>
      <c r="U78" s="88"/>
      <c r="V78" s="88"/>
      <c r="W78" s="88"/>
    </row>
    <row r="79" spans="2:23" s="0" customFormat="0" ht="15">
      <c r="B79" s="87" t="s">
        <v>1</v>
      </c>
      <c r="C79" s="88" t="s">
        <v>5259</v>
      </c>
      <c r="D79" s="88" t="s">
        <v>3189</v>
      </c>
      <c r="E79" s="88" t="s">
        <v>61</v>
      </c>
      <c r="F79" s="88">
        <v>0</v>
      </c>
      <c r="G79" s="78">
        <f>MAX(H79,I79,J79)</f>
        <v>0</v>
      </c>
      <c r="H79" s="88"/>
      <c r="I79" s="88"/>
      <c r="J79" s="78">
        <f>MAX(K79:Q79)</f>
        <v>0</v>
      </c>
      <c r="K79" s="88"/>
      <c r="L79" s="88"/>
      <c r="M79" s="88"/>
      <c r="N79" s="88"/>
      <c r="O79" s="88"/>
      <c r="P79" s="88"/>
      <c r="Q79" s="88"/>
      <c r="R79" s="78">
        <f>MAX(S79:W79)</f>
        <v>1</v>
      </c>
      <c r="S79" s="88"/>
      <c r="T79" s="88"/>
      <c r="U79" s="88"/>
      <c r="V79" s="88">
        <v>1</v>
      </c>
      <c r="W79" s="88"/>
    </row>
    <row r="80" spans="2:23" s="0" customFormat="0" ht="15">
      <c r="B80" s="87" t="s">
        <v>1</v>
      </c>
      <c r="C80" s="88" t="s">
        <v>5259</v>
      </c>
      <c r="D80" s="88">
        <v>23455190</v>
      </c>
      <c r="E80" s="88" t="s">
        <v>61</v>
      </c>
      <c r="F80" s="88">
        <v>0</v>
      </c>
      <c r="G80" s="78">
        <f>MAX(H80,I80,J80)</f>
        <v>1</v>
      </c>
      <c r="H80" s="88"/>
      <c r="I80" s="88"/>
      <c r="J80" s="78">
        <f>MAX(K80:Q80)</f>
        <v>1</v>
      </c>
      <c r="K80" s="88">
        <v>1</v>
      </c>
      <c r="L80" s="88"/>
      <c r="M80" s="88"/>
      <c r="N80" s="88"/>
      <c r="O80" s="88"/>
      <c r="P80" s="88"/>
      <c r="Q80" s="88"/>
      <c r="R80" s="78">
        <f>MAX(S80:W80)</f>
        <v>0</v>
      </c>
      <c r="S80" s="88"/>
      <c r="T80" s="88"/>
      <c r="U80" s="88"/>
      <c r="V80" s="88"/>
      <c r="W80" s="88"/>
    </row>
    <row r="81" spans="2:23" s="0" customFormat="0" ht="15">
      <c r="B81" s="87" t="s">
        <v>1</v>
      </c>
      <c r="C81" s="88" t="s">
        <v>5259</v>
      </c>
      <c r="D81" s="88">
        <v>22554389</v>
      </c>
      <c r="E81" s="88" t="s">
        <v>61</v>
      </c>
      <c r="F81" s="88">
        <v>0</v>
      </c>
      <c r="G81" s="78">
        <f>MAX(H81,I81,J81)</f>
        <v>0</v>
      </c>
      <c r="H81" s="88"/>
      <c r="I81" s="88"/>
      <c r="J81" s="78">
        <f>MAX(K81:Q81)</f>
        <v>0</v>
      </c>
      <c r="K81" s="88"/>
      <c r="L81" s="88"/>
      <c r="M81" s="88"/>
      <c r="N81" s="88"/>
      <c r="O81" s="88"/>
      <c r="P81" s="88"/>
      <c r="Q81" s="88"/>
      <c r="R81" s="78">
        <f>MAX(S81:W81)</f>
        <v>1</v>
      </c>
      <c r="S81" s="88"/>
      <c r="T81" s="88"/>
      <c r="U81" s="88">
        <v>1</v>
      </c>
      <c r="V81" s="88"/>
      <c r="W81" s="88"/>
    </row>
    <row r="82" spans="2:23" s="0" customFormat="0" ht="15">
      <c r="B82" s="87" t="s">
        <v>1</v>
      </c>
      <c r="C82" s="88" t="s">
        <v>5259</v>
      </c>
      <c r="D82" s="88">
        <v>22623682</v>
      </c>
      <c r="E82" s="88" t="s">
        <v>61</v>
      </c>
      <c r="F82" s="88">
        <v>0</v>
      </c>
      <c r="G82" s="78">
        <f>MAX(H82,I82,J82)</f>
        <v>0</v>
      </c>
      <c r="H82" s="88"/>
      <c r="I82" s="88"/>
      <c r="J82" s="78">
        <f>MAX(K82:Q82)</f>
        <v>0</v>
      </c>
      <c r="K82" s="88"/>
      <c r="L82" s="88"/>
      <c r="M82" s="88"/>
      <c r="N82" s="88"/>
      <c r="O82" s="88"/>
      <c r="P82" s="88"/>
      <c r="Q82" s="88"/>
      <c r="R82" s="78">
        <f>MAX(S82:W82)</f>
        <v>1</v>
      </c>
      <c r="S82" s="88"/>
      <c r="T82" s="88"/>
      <c r="U82" s="88">
        <v>1</v>
      </c>
      <c r="V82" s="88"/>
      <c r="W82" s="88"/>
    </row>
    <row r="83" spans="2:23" s="0" customFormat="0" ht="15">
      <c r="B83" s="87" t="s">
        <v>1</v>
      </c>
      <c r="C83" s="88" t="s">
        <v>5259</v>
      </c>
      <c r="D83" s="88">
        <v>10660661</v>
      </c>
      <c r="E83" s="88" t="s">
        <v>61</v>
      </c>
      <c r="F83" s="88">
        <v>0</v>
      </c>
      <c r="G83" s="78">
        <f>MAX(H83,I83,J83)</f>
        <v>1</v>
      </c>
      <c r="H83" s="88"/>
      <c r="I83" s="88"/>
      <c r="J83" s="78">
        <f>MAX(K83:Q83)</f>
        <v>1</v>
      </c>
      <c r="K83" s="88">
        <v>1</v>
      </c>
      <c r="L83" s="88"/>
      <c r="M83" s="88"/>
      <c r="N83" s="88"/>
      <c r="O83" s="88"/>
      <c r="P83" s="88"/>
      <c r="Q83" s="88"/>
      <c r="R83" s="78">
        <f>MAX(S83:W83)</f>
        <v>0</v>
      </c>
      <c r="S83" s="88"/>
      <c r="T83" s="88"/>
      <c r="U83" s="88"/>
      <c r="V83" s="88"/>
      <c r="W83" s="88"/>
    </row>
    <row r="84" spans="2:23" s="0" customFormat="0" ht="15">
      <c r="B84" s="87" t="s">
        <v>1</v>
      </c>
      <c r="C84" s="88" t="s">
        <v>5259</v>
      </c>
      <c r="D84" s="88" t="s">
        <v>3332</v>
      </c>
      <c r="E84" s="88" t="s">
        <v>61</v>
      </c>
      <c r="F84" s="88">
        <v>0</v>
      </c>
      <c r="G84" s="78">
        <f>MAX(H84,I84,J84)</f>
        <v>0</v>
      </c>
      <c r="H84" s="88"/>
      <c r="I84" s="88"/>
      <c r="J84" s="78">
        <f>MAX(K84:Q84)</f>
        <v>0</v>
      </c>
      <c r="K84" s="88"/>
      <c r="L84" s="88"/>
      <c r="M84" s="88"/>
      <c r="N84" s="88"/>
      <c r="O84" s="88"/>
      <c r="P84" s="88"/>
      <c r="Q84" s="88"/>
      <c r="R84" s="78">
        <f>MAX(S84:W84)</f>
        <v>1</v>
      </c>
      <c r="S84" s="88"/>
      <c r="T84" s="88"/>
      <c r="U84" s="88">
        <v>1</v>
      </c>
      <c r="V84" s="88"/>
      <c r="W84" s="88"/>
    </row>
    <row r="85" spans="2:23" s="0" customFormat="0" ht="15">
      <c r="B85" s="87" t="s">
        <v>1</v>
      </c>
      <c r="C85" s="88" t="s">
        <v>5259</v>
      </c>
      <c r="D85" s="88" t="s">
        <v>250</v>
      </c>
      <c r="E85" s="88" t="s">
        <v>61</v>
      </c>
      <c r="F85" s="88">
        <v>0</v>
      </c>
      <c r="G85" s="78">
        <f>MAX(H85,I85,J85)</f>
        <v>1</v>
      </c>
      <c r="H85" s="88"/>
      <c r="I85" s="88"/>
      <c r="J85" s="78">
        <f>MAX(K85:Q85)</f>
        <v>1</v>
      </c>
      <c r="K85" s="88">
        <v>1</v>
      </c>
      <c r="L85" s="88"/>
      <c r="M85" s="88"/>
      <c r="N85" s="88"/>
      <c r="O85" s="88"/>
      <c r="P85" s="88"/>
      <c r="Q85" s="88"/>
      <c r="R85" s="78">
        <f>MAX(S85:W85)</f>
        <v>0</v>
      </c>
      <c r="S85" s="88"/>
      <c r="T85" s="88"/>
      <c r="U85" s="88"/>
      <c r="V85" s="88"/>
      <c r="W85" s="88"/>
    </row>
    <row r="86" spans="2:23" s="0" customFormat="0" ht="15">
      <c r="B86" s="87" t="s">
        <v>1</v>
      </c>
      <c r="C86" s="88" t="s">
        <v>5259</v>
      </c>
      <c r="D86" s="88">
        <v>21719480</v>
      </c>
      <c r="E86" s="88" t="s">
        <v>61</v>
      </c>
      <c r="F86" s="88">
        <v>0</v>
      </c>
      <c r="G86" s="78">
        <f>MAX(H86,I86,J86)</f>
        <v>1</v>
      </c>
      <c r="H86" s="88"/>
      <c r="I86" s="88"/>
      <c r="J86" s="78">
        <f>MAX(K86:Q86)</f>
        <v>1</v>
      </c>
      <c r="K86" s="88">
        <v>1</v>
      </c>
      <c r="L86" s="88"/>
      <c r="M86" s="88"/>
      <c r="N86" s="88"/>
      <c r="O86" s="88"/>
      <c r="P86" s="88"/>
      <c r="Q86" s="88"/>
      <c r="R86" s="78">
        <f>MAX(S86:W86)</f>
        <v>0</v>
      </c>
      <c r="S86" s="88"/>
      <c r="T86" s="88"/>
      <c r="U86" s="88"/>
      <c r="V86" s="88"/>
      <c r="W86" s="88"/>
    </row>
    <row r="87" spans="2:23" s="0" customFormat="0" ht="15">
      <c r="B87" s="87" t="s">
        <v>1</v>
      </c>
      <c r="C87" s="88" t="s">
        <v>5259</v>
      </c>
      <c r="D87" s="88" t="s">
        <v>253</v>
      </c>
      <c r="E87" s="88" t="s">
        <v>61</v>
      </c>
      <c r="F87" s="88">
        <v>0</v>
      </c>
      <c r="G87" s="78">
        <f>MAX(H87,I87,J87)</f>
        <v>1</v>
      </c>
      <c r="H87" s="88"/>
      <c r="I87" s="88"/>
      <c r="J87" s="78">
        <f>MAX(K87:Q87)</f>
        <v>1</v>
      </c>
      <c r="K87" s="88">
        <v>1</v>
      </c>
      <c r="L87" s="88"/>
      <c r="M87" s="88"/>
      <c r="N87" s="88"/>
      <c r="O87" s="88"/>
      <c r="P87" s="88"/>
      <c r="Q87" s="88"/>
      <c r="R87" s="78">
        <f>MAX(S87:W87)</f>
        <v>0</v>
      </c>
      <c r="S87" s="88"/>
      <c r="T87" s="88"/>
      <c r="U87" s="88"/>
      <c r="V87" s="88"/>
      <c r="W87" s="88"/>
    </row>
    <row r="88" spans="2:23" s="0" customFormat="0" ht="15">
      <c r="B88" s="87" t="s">
        <v>1</v>
      </c>
      <c r="C88" s="88" t="s">
        <v>5259</v>
      </c>
      <c r="D88" s="88" t="s">
        <v>255</v>
      </c>
      <c r="E88" s="88" t="s">
        <v>61</v>
      </c>
      <c r="F88" s="88">
        <v>0</v>
      </c>
      <c r="G88" s="78">
        <f>MAX(H88,I88,J88)</f>
        <v>1</v>
      </c>
      <c r="H88" s="88"/>
      <c r="I88" s="88"/>
      <c r="J88" s="78">
        <f>MAX(K88:Q88)</f>
        <v>1</v>
      </c>
      <c r="K88" s="88">
        <v>1</v>
      </c>
      <c r="L88" s="88"/>
      <c r="M88" s="88"/>
      <c r="N88" s="88"/>
      <c r="O88" s="88"/>
      <c r="P88" s="88"/>
      <c r="Q88" s="88"/>
      <c r="R88" s="78">
        <f>MAX(S88:W88)</f>
        <v>0</v>
      </c>
      <c r="S88" s="88"/>
      <c r="T88" s="88"/>
      <c r="U88" s="88"/>
      <c r="V88" s="88"/>
      <c r="W88" s="88"/>
    </row>
    <row r="89" spans="2:23" s="0" customFormat="0" ht="15">
      <c r="B89" s="87" t="s">
        <v>1</v>
      </c>
      <c r="C89" s="88" t="s">
        <v>5259</v>
      </c>
      <c r="D89" s="88" t="s">
        <v>3334</v>
      </c>
      <c r="E89" s="88" t="s">
        <v>61</v>
      </c>
      <c r="F89" s="88">
        <v>0</v>
      </c>
      <c r="G89" s="78">
        <f>MAX(H89,I89,J89)</f>
        <v>0</v>
      </c>
      <c r="H89" s="88"/>
      <c r="I89" s="88"/>
      <c r="J89" s="78">
        <f>MAX(K89:Q89)</f>
        <v>0</v>
      </c>
      <c r="K89" s="88"/>
      <c r="L89" s="88"/>
      <c r="M89" s="88"/>
      <c r="N89" s="88"/>
      <c r="O89" s="88"/>
      <c r="P89" s="88"/>
      <c r="Q89" s="88"/>
      <c r="R89" s="78">
        <f>MAX(S89:W89)</f>
        <v>1</v>
      </c>
      <c r="S89" s="88"/>
      <c r="T89" s="88"/>
      <c r="U89" s="88">
        <v>1</v>
      </c>
      <c r="V89" s="88"/>
      <c r="W89" s="88"/>
    </row>
    <row r="90" spans="2:23" s="0" customFormat="0" ht="15">
      <c r="B90" s="87" t="s">
        <v>1</v>
      </c>
      <c r="C90" s="88" t="s">
        <v>5259</v>
      </c>
      <c r="D90" s="88">
        <v>22406780</v>
      </c>
      <c r="E90" s="88" t="s">
        <v>61</v>
      </c>
      <c r="F90" s="88">
        <v>0</v>
      </c>
      <c r="G90" s="78">
        <f>MAX(H90,I90,J90)</f>
        <v>1</v>
      </c>
      <c r="H90" s="88"/>
      <c r="I90" s="88"/>
      <c r="J90" s="78">
        <f>MAX(K90:Q90)</f>
        <v>1</v>
      </c>
      <c r="K90" s="88">
        <v>1</v>
      </c>
      <c r="L90" s="88"/>
      <c r="M90" s="88"/>
      <c r="N90" s="88"/>
      <c r="O90" s="88"/>
      <c r="P90" s="88"/>
      <c r="Q90" s="88"/>
      <c r="R90" s="78">
        <f>MAX(S90:W90)</f>
        <v>0</v>
      </c>
      <c r="S90" s="88"/>
      <c r="T90" s="88"/>
      <c r="U90" s="88"/>
      <c r="V90" s="88"/>
      <c r="W90" s="88"/>
    </row>
    <row r="91" spans="2:23" s="0" customFormat="0" ht="15">
      <c r="B91" s="87" t="s">
        <v>1</v>
      </c>
      <c r="C91" s="88" t="s">
        <v>5259</v>
      </c>
      <c r="D91" s="88" t="s">
        <v>3336</v>
      </c>
      <c r="E91" s="88" t="s">
        <v>61</v>
      </c>
      <c r="F91" s="88">
        <v>0</v>
      </c>
      <c r="G91" s="78">
        <f>MAX(H91,I91,J91)</f>
        <v>0</v>
      </c>
      <c r="H91" s="88"/>
      <c r="I91" s="88"/>
      <c r="J91" s="78">
        <f>MAX(K91:Q91)</f>
        <v>0</v>
      </c>
      <c r="K91" s="88"/>
      <c r="L91" s="88"/>
      <c r="M91" s="88"/>
      <c r="N91" s="88"/>
      <c r="O91" s="88"/>
      <c r="P91" s="88"/>
      <c r="Q91" s="88"/>
      <c r="R91" s="78">
        <f>MAX(S91:W91)</f>
        <v>1</v>
      </c>
      <c r="S91" s="88"/>
      <c r="T91" s="88"/>
      <c r="U91" s="88">
        <v>1</v>
      </c>
      <c r="V91" s="88"/>
      <c r="W91" s="88"/>
    </row>
    <row r="92" spans="2:23" s="0" customFormat="0" ht="15">
      <c r="B92" s="87" t="s">
        <v>1</v>
      </c>
      <c r="C92" s="88" t="s">
        <v>5259</v>
      </c>
      <c r="D92" s="88" t="s">
        <v>3338</v>
      </c>
      <c r="E92" s="88" t="s">
        <v>61</v>
      </c>
      <c r="F92" s="88">
        <v>0</v>
      </c>
      <c r="G92" s="78">
        <f>MAX(H92,I92,J92)</f>
        <v>0</v>
      </c>
      <c r="H92" s="88"/>
      <c r="I92" s="88"/>
      <c r="J92" s="78">
        <f>MAX(K92:Q92)</f>
        <v>0</v>
      </c>
      <c r="K92" s="88"/>
      <c r="L92" s="88"/>
      <c r="M92" s="88"/>
      <c r="N92" s="88"/>
      <c r="O92" s="88"/>
      <c r="P92" s="88"/>
      <c r="Q92" s="88"/>
      <c r="R92" s="78">
        <f>MAX(S92:W92)</f>
        <v>1</v>
      </c>
      <c r="S92" s="88"/>
      <c r="T92" s="88"/>
      <c r="U92" s="88">
        <v>1</v>
      </c>
      <c r="V92" s="88"/>
      <c r="W92" s="88"/>
    </row>
    <row r="93" spans="2:23" s="0" customFormat="0" ht="15">
      <c r="B93" s="87" t="s">
        <v>1</v>
      </c>
      <c r="C93" s="88" t="s">
        <v>5259</v>
      </c>
      <c r="D93" s="88" t="s">
        <v>258</v>
      </c>
      <c r="E93" s="88" t="s">
        <v>61</v>
      </c>
      <c r="F93" s="88">
        <v>0</v>
      </c>
      <c r="G93" s="78">
        <f>MAX(H93,I93,J93)</f>
        <v>1</v>
      </c>
      <c r="H93" s="88"/>
      <c r="I93" s="88"/>
      <c r="J93" s="78">
        <f>MAX(K93:Q93)</f>
        <v>1</v>
      </c>
      <c r="K93" s="88">
        <v>1</v>
      </c>
      <c r="L93" s="88"/>
      <c r="M93" s="88"/>
      <c r="N93" s="88"/>
      <c r="O93" s="88"/>
      <c r="P93" s="88"/>
      <c r="Q93" s="88"/>
      <c r="R93" s="78">
        <f>MAX(S93:W93)</f>
        <v>0</v>
      </c>
      <c r="S93" s="88"/>
      <c r="T93" s="88"/>
      <c r="U93" s="88"/>
      <c r="V93" s="88"/>
      <c r="W93" s="88"/>
    </row>
    <row r="94" spans="2:23" s="0" customFormat="0" ht="15">
      <c r="B94" s="87" t="s">
        <v>1</v>
      </c>
      <c r="C94" s="88" t="s">
        <v>5259</v>
      </c>
      <c r="D94" s="88" t="s">
        <v>3340</v>
      </c>
      <c r="E94" s="88" t="s">
        <v>61</v>
      </c>
      <c r="F94" s="88">
        <v>0</v>
      </c>
      <c r="G94" s="78">
        <f>MAX(H94,I94,J94)</f>
        <v>0</v>
      </c>
      <c r="H94" s="88"/>
      <c r="I94" s="88"/>
      <c r="J94" s="78">
        <f>MAX(K94:Q94)</f>
        <v>0</v>
      </c>
      <c r="K94" s="88"/>
      <c r="L94" s="88"/>
      <c r="M94" s="88"/>
      <c r="N94" s="88"/>
      <c r="O94" s="88"/>
      <c r="P94" s="88"/>
      <c r="Q94" s="88"/>
      <c r="R94" s="78">
        <f>MAX(S94:W94)</f>
        <v>1</v>
      </c>
      <c r="S94" s="88"/>
      <c r="T94" s="88"/>
      <c r="U94" s="88">
        <v>1</v>
      </c>
      <c r="V94" s="88"/>
      <c r="W94" s="88"/>
    </row>
    <row r="95" spans="2:23" s="0" customFormat="0" ht="15">
      <c r="B95" s="87" t="s">
        <v>1</v>
      </c>
      <c r="C95" s="88" t="s">
        <v>5259</v>
      </c>
      <c r="D95" s="88">
        <v>13483958</v>
      </c>
      <c r="E95" s="88" t="s">
        <v>61</v>
      </c>
      <c r="F95" s="88">
        <v>0</v>
      </c>
      <c r="G95" s="78">
        <f>MAX(H95,I95,J95)</f>
        <v>1</v>
      </c>
      <c r="H95" s="88"/>
      <c r="I95" s="88"/>
      <c r="J95" s="78">
        <f>MAX(K95:Q95)</f>
        <v>1</v>
      </c>
      <c r="K95" s="88">
        <v>1</v>
      </c>
      <c r="L95" s="88"/>
      <c r="M95" s="88"/>
      <c r="N95" s="88"/>
      <c r="O95" s="88"/>
      <c r="P95" s="88"/>
      <c r="Q95" s="88"/>
      <c r="R95" s="78">
        <f>MAX(S95:W95)</f>
        <v>0</v>
      </c>
      <c r="S95" s="88"/>
      <c r="T95" s="88"/>
      <c r="U95" s="88"/>
      <c r="V95" s="88"/>
      <c r="W95" s="88"/>
    </row>
    <row r="96" spans="2:23" s="0" customFormat="0" ht="15">
      <c r="B96" s="87" t="s">
        <v>1</v>
      </c>
      <c r="C96" s="88" t="s">
        <v>5259</v>
      </c>
      <c r="D96" s="88">
        <v>12827546</v>
      </c>
      <c r="E96" s="88" t="s">
        <v>61</v>
      </c>
      <c r="F96" s="88">
        <v>0</v>
      </c>
      <c r="G96" s="78">
        <f>MAX(H96,I96,J96)</f>
        <v>1</v>
      </c>
      <c r="H96" s="88"/>
      <c r="I96" s="88"/>
      <c r="J96" s="78">
        <f>MAX(K96:Q96)</f>
        <v>1</v>
      </c>
      <c r="K96" s="88">
        <v>1</v>
      </c>
      <c r="L96" s="88"/>
      <c r="M96" s="88"/>
      <c r="N96" s="88"/>
      <c r="O96" s="88"/>
      <c r="P96" s="88"/>
      <c r="Q96" s="88"/>
      <c r="R96" s="78">
        <f>MAX(S96:W96)</f>
        <v>0</v>
      </c>
      <c r="S96" s="88"/>
      <c r="T96" s="88"/>
      <c r="U96" s="88"/>
      <c r="V96" s="88"/>
      <c r="W96" s="88"/>
    </row>
    <row r="97" spans="2:23" s="0" customFormat="0" ht="15">
      <c r="B97" s="87" t="s">
        <v>1</v>
      </c>
      <c r="C97" s="88" t="s">
        <v>5259</v>
      </c>
      <c r="D97" s="88">
        <v>884301</v>
      </c>
      <c r="E97" s="88" t="s">
        <v>61</v>
      </c>
      <c r="F97" s="88">
        <v>0</v>
      </c>
      <c r="G97" s="78">
        <f>MAX(H97,I97,J97)</f>
        <v>1</v>
      </c>
      <c r="H97" s="88"/>
      <c r="I97" s="88"/>
      <c r="J97" s="78">
        <f>MAX(K97:Q97)</f>
        <v>1</v>
      </c>
      <c r="K97" s="88">
        <v>1</v>
      </c>
      <c r="L97" s="88"/>
      <c r="M97" s="88"/>
      <c r="N97" s="88"/>
      <c r="O97" s="88"/>
      <c r="P97" s="88"/>
      <c r="Q97" s="88"/>
      <c r="R97" s="78">
        <f>MAX(S97:W97)</f>
        <v>0</v>
      </c>
      <c r="S97" s="88"/>
      <c r="T97" s="88"/>
      <c r="U97" s="88"/>
      <c r="V97" s="88"/>
      <c r="W97" s="88"/>
    </row>
    <row r="98" spans="2:23" s="0" customFormat="0" ht="15">
      <c r="B98" s="87" t="s">
        <v>1</v>
      </c>
      <c r="C98" s="88" t="s">
        <v>5259</v>
      </c>
      <c r="D98" s="88" t="s">
        <v>3342</v>
      </c>
      <c r="E98" s="88" t="s">
        <v>61</v>
      </c>
      <c r="F98" s="88">
        <v>0</v>
      </c>
      <c r="G98" s="78">
        <f>MAX(H98,I98,J98)</f>
        <v>0</v>
      </c>
      <c r="H98" s="88"/>
      <c r="I98" s="88"/>
      <c r="J98" s="78">
        <f>MAX(K98:Q98)</f>
        <v>0</v>
      </c>
      <c r="K98" s="88"/>
      <c r="L98" s="88"/>
      <c r="M98" s="88"/>
      <c r="N98" s="88"/>
      <c r="O98" s="88"/>
      <c r="P98" s="88"/>
      <c r="Q98" s="88"/>
      <c r="R98" s="78">
        <f>MAX(S98:W98)</f>
        <v>1</v>
      </c>
      <c r="S98" s="88"/>
      <c r="T98" s="88"/>
      <c r="U98" s="88">
        <v>1</v>
      </c>
      <c r="V98" s="88"/>
      <c r="W98" s="88"/>
    </row>
    <row r="99" spans="2:23" s="0" customFormat="0" ht="15">
      <c r="B99" s="87" t="s">
        <v>1</v>
      </c>
      <c r="C99" s="88" t="s">
        <v>5259</v>
      </c>
      <c r="D99" s="88">
        <v>17838079</v>
      </c>
      <c r="E99" s="88" t="s">
        <v>61</v>
      </c>
      <c r="F99" s="88">
        <v>0</v>
      </c>
      <c r="G99" s="78">
        <f>MAX(H99,I99,J99)</f>
        <v>1</v>
      </c>
      <c r="H99" s="88"/>
      <c r="I99" s="88"/>
      <c r="J99" s="78">
        <f>MAX(K99:Q99)</f>
        <v>1</v>
      </c>
      <c r="K99" s="88">
        <v>1</v>
      </c>
      <c r="L99" s="88"/>
      <c r="M99" s="88"/>
      <c r="N99" s="88"/>
      <c r="O99" s="88"/>
      <c r="P99" s="88"/>
      <c r="Q99" s="88"/>
      <c r="R99" s="78">
        <f>MAX(S99:W99)</f>
        <v>0</v>
      </c>
      <c r="S99" s="88"/>
      <c r="T99" s="88"/>
      <c r="U99" s="88"/>
      <c r="V99" s="88"/>
      <c r="W99" s="88"/>
    </row>
    <row r="100" spans="2:23" s="0" customFormat="0" ht="15">
      <c r="B100" s="87" t="s">
        <v>1</v>
      </c>
      <c r="C100" s="88" t="s">
        <v>5259</v>
      </c>
      <c r="D100" s="88">
        <v>22554600</v>
      </c>
      <c r="E100" s="88" t="s">
        <v>61</v>
      </c>
      <c r="F100" s="88">
        <v>0</v>
      </c>
      <c r="G100" s="78">
        <f>MAX(H100,I100,J100)</f>
        <v>0</v>
      </c>
      <c r="H100" s="88"/>
      <c r="I100" s="88"/>
      <c r="J100" s="78">
        <f>MAX(K100:Q100)</f>
        <v>0</v>
      </c>
      <c r="K100" s="88"/>
      <c r="L100" s="88"/>
      <c r="M100" s="88"/>
      <c r="N100" s="88"/>
      <c r="O100" s="88"/>
      <c r="P100" s="88"/>
      <c r="Q100" s="88"/>
      <c r="R100" s="78">
        <f>MAX(S100:W100)</f>
        <v>1</v>
      </c>
      <c r="S100" s="88"/>
      <c r="T100" s="88"/>
      <c r="U100" s="88"/>
      <c r="V100" s="88">
        <v>1</v>
      </c>
      <c r="W100" s="88"/>
    </row>
    <row r="101" spans="2:23" s="0" customFormat="0" ht="15">
      <c r="B101" s="87" t="s">
        <v>1</v>
      </c>
      <c r="C101" s="88" t="s">
        <v>5259</v>
      </c>
      <c r="D101" s="88">
        <v>11354555</v>
      </c>
      <c r="E101" s="88" t="s">
        <v>61</v>
      </c>
      <c r="F101" s="88">
        <v>0</v>
      </c>
      <c r="G101" s="78">
        <f>MAX(H101,I101,J101)</f>
        <v>1</v>
      </c>
      <c r="H101" s="88"/>
      <c r="I101" s="88"/>
      <c r="J101" s="78">
        <f>MAX(K101:Q101)</f>
        <v>1</v>
      </c>
      <c r="K101" s="88">
        <v>1</v>
      </c>
      <c r="L101" s="88"/>
      <c r="M101" s="88"/>
      <c r="N101" s="88"/>
      <c r="O101" s="88"/>
      <c r="P101" s="88"/>
      <c r="Q101" s="88"/>
      <c r="R101" s="78">
        <f>MAX(S101:W101)</f>
        <v>0</v>
      </c>
      <c r="S101" s="88"/>
      <c r="T101" s="88"/>
      <c r="U101" s="88"/>
      <c r="V101" s="88"/>
      <c r="W101" s="88"/>
    </row>
    <row r="102" spans="2:23" s="0" customFormat="0" ht="15">
      <c r="B102" s="87" t="s">
        <v>1</v>
      </c>
      <c r="C102" s="88" t="s">
        <v>5259</v>
      </c>
      <c r="D102" s="88">
        <v>9791305</v>
      </c>
      <c r="E102" s="88" t="s">
        <v>61</v>
      </c>
      <c r="F102" s="88">
        <v>0</v>
      </c>
      <c r="G102" s="78">
        <f>MAX(H102,I102,J102)</f>
        <v>1</v>
      </c>
      <c r="H102" s="88"/>
      <c r="I102" s="88"/>
      <c r="J102" s="78">
        <f>MAX(K102:Q102)</f>
        <v>1</v>
      </c>
      <c r="K102" s="88">
        <v>1</v>
      </c>
      <c r="L102" s="88"/>
      <c r="M102" s="88"/>
      <c r="N102" s="88"/>
      <c r="O102" s="88"/>
      <c r="P102" s="88"/>
      <c r="Q102" s="88"/>
      <c r="R102" s="78">
        <f>MAX(S102:W102)</f>
        <v>0</v>
      </c>
      <c r="S102" s="88"/>
      <c r="T102" s="88"/>
      <c r="U102" s="88"/>
      <c r="V102" s="88"/>
      <c r="W102" s="88"/>
    </row>
    <row r="103" spans="2:23" s="0" customFormat="0" ht="15">
      <c r="B103" s="87" t="s">
        <v>1</v>
      </c>
      <c r="C103" s="88" t="s">
        <v>5259</v>
      </c>
      <c r="D103" s="88" t="s">
        <v>3344</v>
      </c>
      <c r="E103" s="88" t="s">
        <v>61</v>
      </c>
      <c r="F103" s="88">
        <v>0</v>
      </c>
      <c r="G103" s="78">
        <f>MAX(H103,I103,J103)</f>
        <v>0</v>
      </c>
      <c r="H103" s="88"/>
      <c r="I103" s="88"/>
      <c r="J103" s="78">
        <f>MAX(K103:Q103)</f>
        <v>0</v>
      </c>
      <c r="K103" s="88"/>
      <c r="L103" s="88"/>
      <c r="M103" s="88"/>
      <c r="N103" s="88"/>
      <c r="O103" s="88"/>
      <c r="P103" s="88"/>
      <c r="Q103" s="88"/>
      <c r="R103" s="78">
        <f>MAX(S103:W103)</f>
        <v>1</v>
      </c>
      <c r="S103" s="88"/>
      <c r="T103" s="88"/>
      <c r="U103" s="88">
        <v>1</v>
      </c>
      <c r="V103" s="88"/>
      <c r="W103" s="88"/>
    </row>
    <row r="104" spans="2:23" s="0" customFormat="0" ht="15">
      <c r="B104" s="87" t="s">
        <v>1</v>
      </c>
      <c r="C104" s="88" t="s">
        <v>5259</v>
      </c>
      <c r="D104" s="88">
        <v>19746433</v>
      </c>
      <c r="E104" s="88" t="s">
        <v>61</v>
      </c>
      <c r="F104" s="88">
        <v>0</v>
      </c>
      <c r="G104" s="78">
        <f>MAX(H104,I104,J104)</f>
        <v>1</v>
      </c>
      <c r="H104" s="88"/>
      <c r="I104" s="88"/>
      <c r="J104" s="78">
        <f>MAX(K104:Q104)</f>
        <v>1</v>
      </c>
      <c r="K104" s="88">
        <v>1</v>
      </c>
      <c r="L104" s="88"/>
      <c r="M104" s="88"/>
      <c r="N104" s="88"/>
      <c r="O104" s="88"/>
      <c r="P104" s="88"/>
      <c r="Q104" s="88"/>
      <c r="R104" s="78">
        <f>MAX(S104:W104)</f>
        <v>0</v>
      </c>
      <c r="S104" s="88"/>
      <c r="T104" s="88"/>
      <c r="U104" s="88"/>
      <c r="V104" s="88"/>
      <c r="W104" s="88"/>
    </row>
    <row r="105" spans="2:23" s="0" customFormat="0" ht="15">
      <c r="B105" s="87" t="s">
        <v>1</v>
      </c>
      <c r="C105" s="88" t="s">
        <v>5259</v>
      </c>
      <c r="D105" s="88" t="s">
        <v>267</v>
      </c>
      <c r="E105" s="88" t="s">
        <v>61</v>
      </c>
      <c r="F105" s="88">
        <v>0</v>
      </c>
      <c r="G105" s="78">
        <f>MAX(H105,I105,J105)</f>
        <v>1</v>
      </c>
      <c r="H105" s="88"/>
      <c r="I105" s="88"/>
      <c r="J105" s="78">
        <f>MAX(K105:Q105)</f>
        <v>1</v>
      </c>
      <c r="K105" s="88">
        <v>1</v>
      </c>
      <c r="L105" s="88"/>
      <c r="M105" s="88"/>
      <c r="N105" s="88"/>
      <c r="O105" s="88"/>
      <c r="P105" s="88"/>
      <c r="Q105" s="88"/>
      <c r="R105" s="78">
        <f>MAX(S105:W105)</f>
        <v>0</v>
      </c>
      <c r="S105" s="88"/>
      <c r="T105" s="88"/>
      <c r="U105" s="88"/>
      <c r="V105" s="88"/>
      <c r="W105" s="88"/>
    </row>
    <row r="106" spans="2:23" s="0" customFormat="0" ht="15">
      <c r="B106" s="87" t="s">
        <v>1</v>
      </c>
      <c r="C106" s="88" t="s">
        <v>5259</v>
      </c>
      <c r="D106" s="88" t="s">
        <v>269</v>
      </c>
      <c r="E106" s="88" t="s">
        <v>61</v>
      </c>
      <c r="F106" s="88">
        <v>0</v>
      </c>
      <c r="G106" s="78">
        <f>MAX(H106,I106,J106)</f>
        <v>1</v>
      </c>
      <c r="H106" s="88"/>
      <c r="I106" s="88"/>
      <c r="J106" s="78">
        <f>MAX(K106:Q106)</f>
        <v>1</v>
      </c>
      <c r="K106" s="88">
        <v>1</v>
      </c>
      <c r="L106" s="88"/>
      <c r="M106" s="88"/>
      <c r="N106" s="88"/>
      <c r="O106" s="88"/>
      <c r="P106" s="88"/>
      <c r="Q106" s="88"/>
      <c r="R106" s="78">
        <f>MAX(S106:W106)</f>
        <v>0</v>
      </c>
      <c r="S106" s="88"/>
      <c r="T106" s="88"/>
      <c r="U106" s="88"/>
      <c r="V106" s="88"/>
      <c r="W106" s="88"/>
    </row>
    <row r="107" spans="2:23" s="0" customFormat="0" ht="15">
      <c r="B107" s="87" t="s">
        <v>1</v>
      </c>
      <c r="C107" s="88" t="s">
        <v>5259</v>
      </c>
      <c r="D107" s="88">
        <v>19929932</v>
      </c>
      <c r="E107" s="88" t="s">
        <v>61</v>
      </c>
      <c r="F107" s="88">
        <v>0</v>
      </c>
      <c r="G107" s="78">
        <f>MAX(H107,I107,J107)</f>
        <v>1</v>
      </c>
      <c r="H107" s="88"/>
      <c r="I107" s="88"/>
      <c r="J107" s="78">
        <f>MAX(K107:Q107)</f>
        <v>1</v>
      </c>
      <c r="K107" s="88">
        <v>1</v>
      </c>
      <c r="L107" s="88"/>
      <c r="M107" s="88"/>
      <c r="N107" s="88"/>
      <c r="O107" s="88"/>
      <c r="P107" s="88"/>
      <c r="Q107" s="88"/>
      <c r="R107" s="78">
        <f>MAX(S107:W107)</f>
        <v>0</v>
      </c>
      <c r="S107" s="88"/>
      <c r="T107" s="88"/>
      <c r="U107" s="88"/>
      <c r="V107" s="88"/>
      <c r="W107" s="88"/>
    </row>
    <row r="108" spans="2:23" s="0" customFormat="0" ht="15">
      <c r="B108" s="87" t="s">
        <v>1</v>
      </c>
      <c r="C108" s="88" t="s">
        <v>5259</v>
      </c>
      <c r="D108" s="88">
        <v>20813003</v>
      </c>
      <c r="E108" s="88" t="s">
        <v>61</v>
      </c>
      <c r="F108" s="88">
        <v>0</v>
      </c>
      <c r="G108" s="78">
        <f>MAX(H108,I108,J108)</f>
        <v>1</v>
      </c>
      <c r="H108" s="88"/>
      <c r="I108" s="88"/>
      <c r="J108" s="78">
        <f>MAX(K108:Q108)</f>
        <v>1</v>
      </c>
      <c r="K108" s="88">
        <v>1</v>
      </c>
      <c r="L108" s="88"/>
      <c r="M108" s="88"/>
      <c r="N108" s="88"/>
      <c r="O108" s="88"/>
      <c r="P108" s="88"/>
      <c r="Q108" s="88"/>
      <c r="R108" s="78">
        <f>MAX(S108:W108)</f>
        <v>0</v>
      </c>
      <c r="S108" s="88"/>
      <c r="T108" s="88"/>
      <c r="U108" s="88"/>
      <c r="V108" s="88"/>
      <c r="W108" s="88"/>
    </row>
    <row r="109" spans="2:23" s="0" customFormat="0" ht="15">
      <c r="B109" s="87" t="s">
        <v>1</v>
      </c>
      <c r="C109" s="88" t="s">
        <v>5259</v>
      </c>
      <c r="D109" s="88">
        <v>18812113</v>
      </c>
      <c r="E109" s="88" t="s">
        <v>61</v>
      </c>
      <c r="F109" s="88">
        <v>0</v>
      </c>
      <c r="G109" s="78">
        <f>MAX(H109,I109,J109)</f>
        <v>1</v>
      </c>
      <c r="H109" s="88"/>
      <c r="I109" s="88"/>
      <c r="J109" s="78">
        <f>MAX(K109:Q109)</f>
        <v>1</v>
      </c>
      <c r="K109" s="88">
        <v>1</v>
      </c>
      <c r="L109" s="88"/>
      <c r="M109" s="88"/>
      <c r="N109" s="88"/>
      <c r="O109" s="88"/>
      <c r="P109" s="88"/>
      <c r="Q109" s="88"/>
      <c r="R109" s="78">
        <f>MAX(S109:W109)</f>
        <v>0</v>
      </c>
      <c r="S109" s="88"/>
      <c r="T109" s="88"/>
      <c r="U109" s="88"/>
      <c r="V109" s="88"/>
      <c r="W109" s="88"/>
    </row>
    <row r="110" spans="2:23" s="0" customFormat="0" ht="15">
      <c r="B110" s="87" t="s">
        <v>1</v>
      </c>
      <c r="C110" s="88" t="s">
        <v>5259</v>
      </c>
      <c r="D110" s="88">
        <v>18154855</v>
      </c>
      <c r="E110" s="88" t="s">
        <v>61</v>
      </c>
      <c r="F110" s="88">
        <v>0</v>
      </c>
      <c r="G110" s="78">
        <f>MAX(H110,I110,J110)</f>
        <v>1</v>
      </c>
      <c r="H110" s="88"/>
      <c r="I110" s="88"/>
      <c r="J110" s="78">
        <f>MAX(K110:Q110)</f>
        <v>1</v>
      </c>
      <c r="K110" s="88">
        <v>1</v>
      </c>
      <c r="L110" s="88"/>
      <c r="M110" s="88"/>
      <c r="N110" s="88"/>
      <c r="O110" s="88"/>
      <c r="P110" s="88"/>
      <c r="Q110" s="88"/>
      <c r="R110" s="78">
        <f>MAX(S110:W110)</f>
        <v>0</v>
      </c>
      <c r="S110" s="88"/>
      <c r="T110" s="88"/>
      <c r="U110" s="88"/>
      <c r="V110" s="88"/>
      <c r="W110" s="88"/>
    </row>
    <row r="111" spans="2:23" s="0" customFormat="0" ht="15">
      <c r="B111" s="87" t="s">
        <v>1</v>
      </c>
      <c r="C111" s="88" t="s">
        <v>5259</v>
      </c>
      <c r="D111" s="88" t="s">
        <v>3346</v>
      </c>
      <c r="E111" s="88" t="s">
        <v>61</v>
      </c>
      <c r="F111" s="88">
        <v>0</v>
      </c>
      <c r="G111" s="78">
        <f>MAX(H111,I111,J111)</f>
        <v>0</v>
      </c>
      <c r="H111" s="88"/>
      <c r="I111" s="88"/>
      <c r="J111" s="78">
        <f>MAX(K111:Q111)</f>
        <v>0</v>
      </c>
      <c r="K111" s="88"/>
      <c r="L111" s="88"/>
      <c r="M111" s="88"/>
      <c r="N111" s="88"/>
      <c r="O111" s="88"/>
      <c r="P111" s="88"/>
      <c r="Q111" s="88"/>
      <c r="R111" s="78">
        <f>MAX(S111:W111)</f>
        <v>1</v>
      </c>
      <c r="S111" s="88"/>
      <c r="T111" s="88"/>
      <c r="U111" s="88">
        <v>1</v>
      </c>
      <c r="V111" s="88"/>
      <c r="W111" s="88"/>
    </row>
    <row r="112" spans="2:23" s="0" customFormat="0" ht="15">
      <c r="B112" s="87" t="s">
        <v>1</v>
      </c>
      <c r="C112" s="88" t="s">
        <v>5259</v>
      </c>
      <c r="D112" s="88" t="s">
        <v>3348</v>
      </c>
      <c r="E112" s="88" t="s">
        <v>61</v>
      </c>
      <c r="F112" s="88">
        <v>0</v>
      </c>
      <c r="G112" s="78">
        <f>MAX(H112,I112,J112)</f>
        <v>0</v>
      </c>
      <c r="H112" s="88"/>
      <c r="I112" s="88"/>
      <c r="J112" s="78">
        <f>MAX(K112:Q112)</f>
        <v>0</v>
      </c>
      <c r="K112" s="88"/>
      <c r="L112" s="88"/>
      <c r="M112" s="88"/>
      <c r="N112" s="88"/>
      <c r="O112" s="88"/>
      <c r="P112" s="88"/>
      <c r="Q112" s="88"/>
      <c r="R112" s="78">
        <f>MAX(S112:W112)</f>
        <v>1</v>
      </c>
      <c r="S112" s="88"/>
      <c r="T112" s="88"/>
      <c r="U112" s="88">
        <v>1</v>
      </c>
      <c r="V112" s="88"/>
      <c r="W112" s="88"/>
    </row>
    <row r="113" spans="2:23" s="0" customFormat="0" ht="15">
      <c r="B113" s="87" t="s">
        <v>1</v>
      </c>
      <c r="C113" s="88" t="s">
        <v>5259</v>
      </c>
      <c r="D113" s="88">
        <v>14742713</v>
      </c>
      <c r="E113" s="88" t="s">
        <v>61</v>
      </c>
      <c r="F113" s="88">
        <v>0</v>
      </c>
      <c r="G113" s="78">
        <f>MAX(H113,I113,J113)</f>
        <v>1</v>
      </c>
      <c r="H113" s="88"/>
      <c r="I113" s="88"/>
      <c r="J113" s="78">
        <f>MAX(K113:Q113)</f>
        <v>1</v>
      </c>
      <c r="K113" s="88">
        <v>1</v>
      </c>
      <c r="L113" s="88"/>
      <c r="M113" s="88"/>
      <c r="N113" s="88"/>
      <c r="O113" s="88"/>
      <c r="P113" s="88"/>
      <c r="Q113" s="88"/>
      <c r="R113" s="78">
        <f>MAX(S113:W113)</f>
        <v>0</v>
      </c>
      <c r="S113" s="88"/>
      <c r="T113" s="88"/>
      <c r="U113" s="88"/>
      <c r="V113" s="88"/>
      <c r="W113" s="88"/>
    </row>
    <row r="114" spans="2:23" s="0" customFormat="0" ht="15">
      <c r="B114" s="87" t="s">
        <v>1</v>
      </c>
      <c r="C114" s="88" t="s">
        <v>5259</v>
      </c>
      <c r="D114" s="88" t="s">
        <v>3350</v>
      </c>
      <c r="E114" s="88" t="s">
        <v>61</v>
      </c>
      <c r="F114" s="88">
        <v>0</v>
      </c>
      <c r="G114" s="78">
        <f>MAX(H114,I114,J114)</f>
        <v>0</v>
      </c>
      <c r="H114" s="88"/>
      <c r="I114" s="88"/>
      <c r="J114" s="78">
        <f>MAX(K114:Q114)</f>
        <v>0</v>
      </c>
      <c r="K114" s="88"/>
      <c r="L114" s="88"/>
      <c r="M114" s="88"/>
      <c r="N114" s="88"/>
      <c r="O114" s="88"/>
      <c r="P114" s="88"/>
      <c r="Q114" s="88"/>
      <c r="R114" s="78">
        <f>MAX(S114:W114)</f>
        <v>1</v>
      </c>
      <c r="S114" s="88"/>
      <c r="T114" s="88"/>
      <c r="U114" s="88">
        <v>1</v>
      </c>
      <c r="V114" s="88"/>
      <c r="W114" s="88"/>
    </row>
    <row r="115" spans="2:23" s="0" customFormat="0" ht="15">
      <c r="B115" s="87" t="s">
        <v>1</v>
      </c>
      <c r="C115" s="88" t="s">
        <v>5259</v>
      </c>
      <c r="D115" s="88">
        <v>14954232</v>
      </c>
      <c r="E115" s="88" t="s">
        <v>61</v>
      </c>
      <c r="F115" s="88">
        <v>0</v>
      </c>
      <c r="G115" s="78">
        <f>MAX(H115,I115,J115)</f>
        <v>1</v>
      </c>
      <c r="H115" s="88"/>
      <c r="I115" s="88"/>
      <c r="J115" s="78">
        <f>MAX(K115:Q115)</f>
        <v>1</v>
      </c>
      <c r="K115" s="88">
        <v>1</v>
      </c>
      <c r="L115" s="88"/>
      <c r="M115" s="88"/>
      <c r="N115" s="88"/>
      <c r="O115" s="88"/>
      <c r="P115" s="88"/>
      <c r="Q115" s="88"/>
      <c r="R115" s="78">
        <f>MAX(S115:W115)</f>
        <v>0</v>
      </c>
      <c r="S115" s="88"/>
      <c r="T115" s="88"/>
      <c r="U115" s="88"/>
      <c r="V115" s="88"/>
      <c r="W115" s="88"/>
    </row>
    <row r="116" spans="2:23" s="0" customFormat="0" ht="15">
      <c r="B116" s="87" t="s">
        <v>1</v>
      </c>
      <c r="C116" s="88" t="s">
        <v>5259</v>
      </c>
      <c r="D116" s="88" t="s">
        <v>3352</v>
      </c>
      <c r="E116" s="88" t="s">
        <v>61</v>
      </c>
      <c r="F116" s="88">
        <v>0</v>
      </c>
      <c r="G116" s="78">
        <f>MAX(H116,I116,J116)</f>
        <v>0</v>
      </c>
      <c r="H116" s="88"/>
      <c r="I116" s="88"/>
      <c r="J116" s="78">
        <f>MAX(K116:Q116)</f>
        <v>0</v>
      </c>
      <c r="K116" s="88"/>
      <c r="L116" s="88"/>
      <c r="M116" s="88"/>
      <c r="N116" s="88"/>
      <c r="O116" s="88"/>
      <c r="P116" s="88"/>
      <c r="Q116" s="88"/>
      <c r="R116" s="78">
        <f>MAX(S116:W116)</f>
        <v>1</v>
      </c>
      <c r="S116" s="88"/>
      <c r="T116" s="88"/>
      <c r="U116" s="88">
        <v>1</v>
      </c>
      <c r="V116" s="88"/>
      <c r="W116" s="88"/>
    </row>
    <row r="117" spans="2:23" s="0" customFormat="0" ht="15">
      <c r="B117" s="87" t="s">
        <v>1</v>
      </c>
      <c r="C117" s="88" t="s">
        <v>5259</v>
      </c>
      <c r="D117" s="88">
        <v>18676472</v>
      </c>
      <c r="E117" s="88" t="s">
        <v>61</v>
      </c>
      <c r="F117" s="88">
        <v>0</v>
      </c>
      <c r="G117" s="78">
        <f>MAX(H117,I117,J117)</f>
        <v>1</v>
      </c>
      <c r="H117" s="88"/>
      <c r="I117" s="88"/>
      <c r="J117" s="78">
        <f>MAX(K117:Q117)</f>
        <v>1</v>
      </c>
      <c r="K117" s="88">
        <v>1</v>
      </c>
      <c r="L117" s="88"/>
      <c r="M117" s="88"/>
      <c r="N117" s="88"/>
      <c r="O117" s="88"/>
      <c r="P117" s="88"/>
      <c r="Q117" s="88"/>
      <c r="R117" s="78">
        <f>MAX(S117:W117)</f>
        <v>0</v>
      </c>
      <c r="S117" s="88"/>
      <c r="T117" s="88"/>
      <c r="U117" s="88"/>
      <c r="V117" s="88"/>
      <c r="W117" s="88"/>
    </row>
    <row r="118" spans="2:23" s="0" customFormat="0" ht="15">
      <c r="B118" s="87" t="s">
        <v>1</v>
      </c>
      <c r="C118" s="88" t="s">
        <v>5259</v>
      </c>
      <c r="D118" s="88">
        <v>3092976</v>
      </c>
      <c r="E118" s="88" t="s">
        <v>61</v>
      </c>
      <c r="F118" s="88">
        <v>0</v>
      </c>
      <c r="G118" s="78">
        <f>MAX(H118,I118,J118)</f>
        <v>1</v>
      </c>
      <c r="H118" s="88"/>
      <c r="I118" s="88"/>
      <c r="J118" s="78">
        <f>MAX(K118:Q118)</f>
        <v>1</v>
      </c>
      <c r="K118" s="88">
        <v>1</v>
      </c>
      <c r="L118" s="88"/>
      <c r="M118" s="88"/>
      <c r="N118" s="88"/>
      <c r="O118" s="88"/>
      <c r="P118" s="88"/>
      <c r="Q118" s="88"/>
      <c r="R118" s="78">
        <f>MAX(S118:W118)</f>
        <v>0</v>
      </c>
      <c r="S118" s="88"/>
      <c r="T118" s="88"/>
      <c r="U118" s="88"/>
      <c r="V118" s="88"/>
      <c r="W118" s="88"/>
    </row>
    <row r="119" spans="2:23" s="0" customFormat="0" ht="15">
      <c r="B119" s="87" t="s">
        <v>1</v>
      </c>
      <c r="C119" s="88" t="s">
        <v>5259</v>
      </c>
      <c r="D119" s="88" t="s">
        <v>279</v>
      </c>
      <c r="E119" s="88" t="s">
        <v>61</v>
      </c>
      <c r="F119" s="88">
        <v>0</v>
      </c>
      <c r="G119" s="78">
        <f>MAX(H119,I119,J119)</f>
        <v>1</v>
      </c>
      <c r="H119" s="88"/>
      <c r="I119" s="88"/>
      <c r="J119" s="78">
        <f>MAX(K119:Q119)</f>
        <v>1</v>
      </c>
      <c r="K119" s="88">
        <v>1</v>
      </c>
      <c r="L119" s="88"/>
      <c r="M119" s="88"/>
      <c r="N119" s="88"/>
      <c r="O119" s="88"/>
      <c r="P119" s="88"/>
      <c r="Q119" s="88"/>
      <c r="R119" s="78">
        <f>MAX(S119:W119)</f>
        <v>0</v>
      </c>
      <c r="S119" s="88"/>
      <c r="T119" s="88"/>
      <c r="U119" s="88"/>
      <c r="V119" s="88"/>
      <c r="W119" s="88"/>
    </row>
    <row r="120" spans="2:23" s="0" customFormat="0" ht="15">
      <c r="B120" s="87" t="s">
        <v>1</v>
      </c>
      <c r="C120" s="88" t="s">
        <v>5259</v>
      </c>
      <c r="D120" s="88">
        <v>21365025</v>
      </c>
      <c r="E120" s="88" t="s">
        <v>61</v>
      </c>
      <c r="F120" s="88">
        <v>0</v>
      </c>
      <c r="G120" s="78">
        <f>MAX(H120,I120,J120)</f>
        <v>1</v>
      </c>
      <c r="H120" s="88"/>
      <c r="I120" s="88"/>
      <c r="J120" s="78">
        <f>MAX(K120:Q120)</f>
        <v>1</v>
      </c>
      <c r="K120" s="88">
        <v>1</v>
      </c>
      <c r="L120" s="88"/>
      <c r="M120" s="88"/>
      <c r="N120" s="88"/>
      <c r="O120" s="88"/>
      <c r="P120" s="88"/>
      <c r="Q120" s="88"/>
      <c r="R120" s="78">
        <f>MAX(S120:W120)</f>
        <v>0</v>
      </c>
      <c r="S120" s="88"/>
      <c r="T120" s="88"/>
      <c r="U120" s="88"/>
      <c r="V120" s="88"/>
      <c r="W120" s="88"/>
    </row>
    <row r="121" spans="2:23" s="0" customFormat="0" ht="15">
      <c r="B121" s="87" t="s">
        <v>1</v>
      </c>
      <c r="C121" s="88" t="s">
        <v>5259</v>
      </c>
      <c r="D121" s="88" t="s">
        <v>282</v>
      </c>
      <c r="E121" s="88" t="s">
        <v>58</v>
      </c>
      <c r="F121" s="88">
        <v>0</v>
      </c>
      <c r="G121" s="78">
        <f>MAX(H121,I121,J121)</f>
        <v>1</v>
      </c>
      <c r="H121" s="88"/>
      <c r="I121" s="88"/>
      <c r="J121" s="78">
        <f>MAX(K121:Q121)</f>
        <v>1</v>
      </c>
      <c r="K121" s="88">
        <v>1</v>
      </c>
      <c r="L121" s="88"/>
      <c r="M121" s="88"/>
      <c r="N121" s="88"/>
      <c r="O121" s="88"/>
      <c r="P121" s="88"/>
      <c r="Q121" s="88"/>
      <c r="R121" s="78">
        <f>MAX(S121:W121)</f>
        <v>0</v>
      </c>
      <c r="S121" s="88"/>
      <c r="T121" s="88"/>
      <c r="U121" s="88"/>
      <c r="V121" s="88"/>
      <c r="W121" s="88"/>
    </row>
    <row r="122" spans="2:23" s="0" customFormat="0" ht="15">
      <c r="B122" s="87" t="s">
        <v>1</v>
      </c>
      <c r="C122" s="88" t="s">
        <v>5259</v>
      </c>
      <c r="D122" s="88">
        <v>15276134</v>
      </c>
      <c r="E122" s="88" t="s">
        <v>61</v>
      </c>
      <c r="F122" s="88">
        <v>0</v>
      </c>
      <c r="G122" s="78">
        <f>MAX(H122,I122,J122)</f>
        <v>1</v>
      </c>
      <c r="H122" s="88"/>
      <c r="I122" s="88"/>
      <c r="J122" s="78">
        <f>MAX(K122:Q122)</f>
        <v>1</v>
      </c>
      <c r="K122" s="88">
        <v>1</v>
      </c>
      <c r="L122" s="88"/>
      <c r="M122" s="88"/>
      <c r="N122" s="88"/>
      <c r="O122" s="88"/>
      <c r="P122" s="88"/>
      <c r="Q122" s="88"/>
      <c r="R122" s="78">
        <f>MAX(S122:W122)</f>
        <v>0</v>
      </c>
      <c r="S122" s="88"/>
      <c r="T122" s="88"/>
      <c r="U122" s="88"/>
      <c r="V122" s="88"/>
      <c r="W122" s="88"/>
    </row>
    <row r="123" spans="2:23" s="0" customFormat="0" ht="15">
      <c r="B123" s="87" t="s">
        <v>1</v>
      </c>
      <c r="C123" s="88" t="s">
        <v>5259</v>
      </c>
      <c r="D123" s="88">
        <v>20243725</v>
      </c>
      <c r="E123" s="88" t="s">
        <v>61</v>
      </c>
      <c r="F123" s="88">
        <v>0</v>
      </c>
      <c r="G123" s="78">
        <f>MAX(H123,I123,J123)</f>
        <v>1</v>
      </c>
      <c r="H123" s="88"/>
      <c r="I123" s="88"/>
      <c r="J123" s="78">
        <f>MAX(K123:Q123)</f>
        <v>1</v>
      </c>
      <c r="K123" s="88">
        <v>1</v>
      </c>
      <c r="L123" s="88"/>
      <c r="M123" s="88"/>
      <c r="N123" s="88"/>
      <c r="O123" s="88"/>
      <c r="P123" s="88"/>
      <c r="Q123" s="88"/>
      <c r="R123" s="78">
        <f>MAX(S123:W123)</f>
        <v>0</v>
      </c>
      <c r="S123" s="88"/>
      <c r="T123" s="88"/>
      <c r="U123" s="88"/>
      <c r="V123" s="88"/>
      <c r="W123" s="88"/>
    </row>
    <row r="124" spans="2:23" s="0" customFormat="0" ht="15">
      <c r="B124" s="87" t="s">
        <v>1</v>
      </c>
      <c r="C124" s="88" t="s">
        <v>5259</v>
      </c>
      <c r="D124" s="88" t="s">
        <v>287</v>
      </c>
      <c r="E124" s="88" t="s">
        <v>61</v>
      </c>
      <c r="F124" s="88">
        <v>0</v>
      </c>
      <c r="G124" s="78">
        <f>MAX(H124,I124,J124)</f>
        <v>1</v>
      </c>
      <c r="H124" s="88"/>
      <c r="I124" s="88"/>
      <c r="J124" s="78">
        <f>MAX(K124:Q124)</f>
        <v>1</v>
      </c>
      <c r="K124" s="88">
        <v>1</v>
      </c>
      <c r="L124" s="88"/>
      <c r="M124" s="88"/>
      <c r="N124" s="88"/>
      <c r="O124" s="88"/>
      <c r="P124" s="88"/>
      <c r="Q124" s="88"/>
      <c r="R124" s="78">
        <f>MAX(S124:W124)</f>
        <v>0</v>
      </c>
      <c r="S124" s="88"/>
      <c r="T124" s="88"/>
      <c r="U124" s="88"/>
      <c r="V124" s="88"/>
      <c r="W124" s="88"/>
    </row>
    <row r="125" spans="2:23" s="0" customFormat="0" ht="15">
      <c r="B125" s="87" t="s">
        <v>1</v>
      </c>
      <c r="C125" s="88" t="s">
        <v>5259</v>
      </c>
      <c r="D125" s="88">
        <v>20693891</v>
      </c>
      <c r="E125" s="88" t="s">
        <v>61</v>
      </c>
      <c r="F125" s="88">
        <v>0</v>
      </c>
      <c r="G125" s="78">
        <f>MAX(H125,I125,J125)</f>
        <v>1</v>
      </c>
      <c r="H125" s="88"/>
      <c r="I125" s="88"/>
      <c r="J125" s="78">
        <f>MAX(K125:Q125)</f>
        <v>1</v>
      </c>
      <c r="K125" s="88">
        <v>1</v>
      </c>
      <c r="L125" s="88"/>
      <c r="M125" s="88"/>
      <c r="N125" s="88"/>
      <c r="O125" s="88"/>
      <c r="P125" s="88"/>
      <c r="Q125" s="88"/>
      <c r="R125" s="78">
        <f>MAX(S125:W125)</f>
        <v>0</v>
      </c>
      <c r="S125" s="88"/>
      <c r="T125" s="88"/>
      <c r="U125" s="88"/>
      <c r="V125" s="88"/>
      <c r="W125" s="88"/>
    </row>
    <row r="126" spans="2:23" s="0" customFormat="0" ht="15">
      <c r="B126" s="87" t="s">
        <v>1</v>
      </c>
      <c r="C126" s="88" t="s">
        <v>5259</v>
      </c>
      <c r="D126" s="88">
        <v>14504645</v>
      </c>
      <c r="E126" s="88" t="s">
        <v>61</v>
      </c>
      <c r="F126" s="88">
        <v>0</v>
      </c>
      <c r="G126" s="78">
        <f>MAX(H126,I126,J126)</f>
        <v>0</v>
      </c>
      <c r="H126" s="88"/>
      <c r="I126" s="88"/>
      <c r="J126" s="78">
        <f>MAX(K126:Q126)</f>
        <v>0</v>
      </c>
      <c r="K126" s="88"/>
      <c r="L126" s="88"/>
      <c r="M126" s="88"/>
      <c r="N126" s="88"/>
      <c r="O126" s="88"/>
      <c r="P126" s="88"/>
      <c r="Q126" s="88"/>
      <c r="R126" s="78">
        <f>MAX(S126:W126)</f>
        <v>1</v>
      </c>
      <c r="S126" s="88"/>
      <c r="T126" s="88"/>
      <c r="U126" s="88">
        <v>1</v>
      </c>
      <c r="V126" s="88"/>
      <c r="W126" s="88"/>
    </row>
    <row r="127" spans="2:23" s="0" customFormat="0" ht="15">
      <c r="B127" s="87" t="s">
        <v>1</v>
      </c>
      <c r="C127" s="88" t="s">
        <v>5259</v>
      </c>
      <c r="D127" s="88">
        <v>15709649</v>
      </c>
      <c r="E127" s="88" t="s">
        <v>61</v>
      </c>
      <c r="F127" s="88">
        <v>0</v>
      </c>
      <c r="G127" s="78">
        <f>MAX(H127,I127,J127)</f>
        <v>1</v>
      </c>
      <c r="H127" s="88"/>
      <c r="I127" s="88"/>
      <c r="J127" s="78">
        <f>MAX(K127:Q127)</f>
        <v>1</v>
      </c>
      <c r="K127" s="88">
        <v>1</v>
      </c>
      <c r="L127" s="88"/>
      <c r="M127" s="88"/>
      <c r="N127" s="88"/>
      <c r="O127" s="88"/>
      <c r="P127" s="88"/>
      <c r="Q127" s="88"/>
      <c r="R127" s="78">
        <f>MAX(S127:W127)</f>
        <v>0</v>
      </c>
      <c r="S127" s="88"/>
      <c r="T127" s="88"/>
      <c r="U127" s="88"/>
      <c r="V127" s="88"/>
      <c r="W127" s="88"/>
    </row>
    <row r="128" spans="2:23" s="0" customFormat="0" ht="15">
      <c r="B128" s="87" t="s">
        <v>1</v>
      </c>
      <c r="C128" s="88" t="s">
        <v>5259</v>
      </c>
      <c r="D128" s="88" t="s">
        <v>3355</v>
      </c>
      <c r="E128" s="88" t="s">
        <v>61</v>
      </c>
      <c r="F128" s="88">
        <v>0</v>
      </c>
      <c r="G128" s="78">
        <f>MAX(H128,I128,J128)</f>
        <v>0</v>
      </c>
      <c r="H128" s="88"/>
      <c r="I128" s="88"/>
      <c r="J128" s="78">
        <f>MAX(K128:Q128)</f>
        <v>0</v>
      </c>
      <c r="K128" s="88"/>
      <c r="L128" s="88"/>
      <c r="M128" s="88"/>
      <c r="N128" s="88"/>
      <c r="O128" s="88"/>
      <c r="P128" s="88"/>
      <c r="Q128" s="88"/>
      <c r="R128" s="78">
        <f>MAX(S128:W128)</f>
        <v>1</v>
      </c>
      <c r="S128" s="88"/>
      <c r="T128" s="88"/>
      <c r="U128" s="88">
        <v>1</v>
      </c>
      <c r="V128" s="88"/>
      <c r="W128" s="88"/>
    </row>
    <row r="129" spans="2:23" s="0" customFormat="0" ht="15">
      <c r="B129" s="87" t="s">
        <v>1</v>
      </c>
      <c r="C129" s="88" t="s">
        <v>5259</v>
      </c>
      <c r="D129" s="88" t="s">
        <v>3357</v>
      </c>
      <c r="E129" s="88" t="s">
        <v>61</v>
      </c>
      <c r="F129" s="88">
        <v>0</v>
      </c>
      <c r="G129" s="78">
        <f>MAX(H129,I129,J129)</f>
        <v>0</v>
      </c>
      <c r="H129" s="88"/>
      <c r="I129" s="88"/>
      <c r="J129" s="78">
        <f>MAX(K129:Q129)</f>
        <v>0</v>
      </c>
      <c r="K129" s="88"/>
      <c r="L129" s="88"/>
      <c r="M129" s="88"/>
      <c r="N129" s="88"/>
      <c r="O129" s="88"/>
      <c r="P129" s="88"/>
      <c r="Q129" s="88"/>
      <c r="R129" s="78">
        <f>MAX(S129:W129)</f>
        <v>1</v>
      </c>
      <c r="S129" s="88"/>
      <c r="T129" s="88"/>
      <c r="U129" s="88">
        <v>1</v>
      </c>
      <c r="V129" s="88"/>
      <c r="W129" s="88"/>
    </row>
    <row r="130" spans="2:23" s="0" customFormat="0" ht="15">
      <c r="B130" s="87" t="s">
        <v>1</v>
      </c>
      <c r="C130" s="88" t="s">
        <v>5259</v>
      </c>
      <c r="D130" s="88" t="s">
        <v>182</v>
      </c>
      <c r="E130" s="88" t="s">
        <v>61</v>
      </c>
      <c r="F130" s="88">
        <v>0</v>
      </c>
      <c r="G130" s="78">
        <f>MAX(H130,I130,J130)</f>
        <v>1</v>
      </c>
      <c r="H130" s="88"/>
      <c r="I130" s="88"/>
      <c r="J130" s="78">
        <f>MAX(K130:Q130)</f>
        <v>1</v>
      </c>
      <c r="K130" s="88">
        <v>1</v>
      </c>
      <c r="L130" s="88"/>
      <c r="M130" s="88"/>
      <c r="N130" s="88"/>
      <c r="O130" s="88"/>
      <c r="P130" s="88"/>
      <c r="Q130" s="88"/>
      <c r="R130" s="78">
        <f>MAX(S130:W130)</f>
        <v>0</v>
      </c>
      <c r="S130" s="88"/>
      <c r="T130" s="88"/>
      <c r="U130" s="88"/>
      <c r="V130" s="88"/>
      <c r="W130" s="88"/>
    </row>
    <row r="131" spans="2:23" s="0" customFormat="0" ht="15">
      <c r="B131" s="87" t="s">
        <v>1</v>
      </c>
      <c r="C131" s="88" t="s">
        <v>5259</v>
      </c>
      <c r="D131" s="88">
        <v>22406780</v>
      </c>
      <c r="E131" s="88" t="s">
        <v>61</v>
      </c>
      <c r="F131" s="88">
        <v>0</v>
      </c>
      <c r="G131" s="78">
        <f>MAX(H131,I131,J131)</f>
        <v>1</v>
      </c>
      <c r="H131" s="88"/>
      <c r="I131" s="88"/>
      <c r="J131" s="78">
        <f>MAX(K131:Q131)</f>
        <v>1</v>
      </c>
      <c r="K131" s="88">
        <v>1</v>
      </c>
      <c r="L131" s="88"/>
      <c r="M131" s="88"/>
      <c r="N131" s="88"/>
      <c r="O131" s="88"/>
      <c r="P131" s="88"/>
      <c r="Q131" s="88"/>
      <c r="R131" s="78">
        <f>MAX(S131:W131)</f>
        <v>0</v>
      </c>
      <c r="S131" s="88"/>
      <c r="T131" s="88"/>
      <c r="U131" s="88"/>
      <c r="V131" s="88"/>
      <c r="W131" s="88"/>
    </row>
    <row r="132" spans="2:23" s="0" customFormat="0" ht="15">
      <c r="B132" s="87" t="s">
        <v>1</v>
      </c>
      <c r="C132" s="88" t="s">
        <v>5259</v>
      </c>
      <c r="D132" s="88">
        <v>17000742</v>
      </c>
      <c r="E132" s="88" t="s">
        <v>61</v>
      </c>
      <c r="F132" s="88">
        <v>0</v>
      </c>
      <c r="G132" s="78">
        <f>MAX(H132,I132,J132)</f>
        <v>1</v>
      </c>
      <c r="H132" s="88"/>
      <c r="I132" s="88"/>
      <c r="J132" s="78">
        <f>MAX(K132:Q132)</f>
        <v>1</v>
      </c>
      <c r="K132" s="88">
        <v>1</v>
      </c>
      <c r="L132" s="88"/>
      <c r="M132" s="88"/>
      <c r="N132" s="88"/>
      <c r="O132" s="88"/>
      <c r="P132" s="88"/>
      <c r="Q132" s="88"/>
      <c r="R132" s="78">
        <f>MAX(S132:W132)</f>
        <v>0</v>
      </c>
      <c r="S132" s="88"/>
      <c r="T132" s="88"/>
      <c r="U132" s="88"/>
      <c r="V132" s="88"/>
      <c r="W132" s="88"/>
    </row>
    <row r="133" spans="2:23" s="0" customFormat="0" ht="15">
      <c r="B133" s="87" t="s">
        <v>1</v>
      </c>
      <c r="C133" s="88" t="s">
        <v>5259</v>
      </c>
      <c r="D133" s="88" t="s">
        <v>292</v>
      </c>
      <c r="E133" s="88" t="s">
        <v>61</v>
      </c>
      <c r="F133" s="88">
        <v>0</v>
      </c>
      <c r="G133" s="78">
        <f>MAX(H133,I133,J133)</f>
        <v>1</v>
      </c>
      <c r="H133" s="88"/>
      <c r="I133" s="88"/>
      <c r="J133" s="78">
        <f>MAX(K133:Q133)</f>
        <v>1</v>
      </c>
      <c r="K133" s="88">
        <v>1</v>
      </c>
      <c r="L133" s="88"/>
      <c r="M133" s="88"/>
      <c r="N133" s="88"/>
      <c r="O133" s="88"/>
      <c r="P133" s="88"/>
      <c r="Q133" s="88"/>
      <c r="R133" s="78">
        <f>MAX(S133:W133)</f>
        <v>0</v>
      </c>
      <c r="S133" s="88"/>
      <c r="T133" s="88"/>
      <c r="U133" s="88"/>
      <c r="V133" s="88"/>
      <c r="W133" s="88"/>
    </row>
    <row r="134" spans="2:23" s="0" customFormat="0" ht="15">
      <c r="B134" s="87" t="s">
        <v>1</v>
      </c>
      <c r="C134" s="88" t="s">
        <v>5259</v>
      </c>
      <c r="D134" s="88" t="s">
        <v>3359</v>
      </c>
      <c r="E134" s="88" t="s">
        <v>61</v>
      </c>
      <c r="F134" s="88">
        <v>0</v>
      </c>
      <c r="G134" s="78">
        <f>MAX(H134,I134,J134)</f>
        <v>0</v>
      </c>
      <c r="H134" s="88"/>
      <c r="I134" s="88"/>
      <c r="J134" s="78">
        <f>MAX(K134:Q134)</f>
        <v>0</v>
      </c>
      <c r="K134" s="88"/>
      <c r="L134" s="88"/>
      <c r="M134" s="88"/>
      <c r="N134" s="88"/>
      <c r="O134" s="88"/>
      <c r="P134" s="88"/>
      <c r="Q134" s="88"/>
      <c r="R134" s="78">
        <f>MAX(S134:W134)</f>
        <v>1</v>
      </c>
      <c r="S134" s="88"/>
      <c r="T134" s="88"/>
      <c r="U134" s="88">
        <v>1</v>
      </c>
      <c r="V134" s="88"/>
      <c r="W134" s="88"/>
    </row>
    <row r="135" spans="2:23" s="0" customFormat="0" ht="15">
      <c r="B135" s="87" t="s">
        <v>1</v>
      </c>
      <c r="C135" s="88" t="s">
        <v>5259</v>
      </c>
      <c r="D135" s="88">
        <v>12187816</v>
      </c>
      <c r="E135" s="88" t="s">
        <v>61</v>
      </c>
      <c r="F135" s="88">
        <v>0</v>
      </c>
      <c r="G135" s="78">
        <f>MAX(H135,I135,J135)</f>
        <v>1</v>
      </c>
      <c r="H135" s="88"/>
      <c r="I135" s="88"/>
      <c r="J135" s="78">
        <f>MAX(K135:Q135)</f>
        <v>1</v>
      </c>
      <c r="K135" s="88">
        <v>1</v>
      </c>
      <c r="L135" s="88"/>
      <c r="M135" s="88"/>
      <c r="N135" s="88"/>
      <c r="O135" s="88"/>
      <c r="P135" s="88"/>
      <c r="Q135" s="88"/>
      <c r="R135" s="78">
        <f>MAX(S135:W135)</f>
        <v>0</v>
      </c>
      <c r="S135" s="88"/>
      <c r="T135" s="88"/>
      <c r="U135" s="88"/>
      <c r="V135" s="88"/>
      <c r="W135" s="88"/>
    </row>
    <row r="136" spans="2:23" s="0" customFormat="0" ht="15">
      <c r="B136" s="87" t="s">
        <v>1</v>
      </c>
      <c r="C136" s="88" t="s">
        <v>5259</v>
      </c>
      <c r="D136" s="88" t="s">
        <v>3361</v>
      </c>
      <c r="E136" s="88" t="s">
        <v>61</v>
      </c>
      <c r="F136" s="88">
        <v>0</v>
      </c>
      <c r="G136" s="78">
        <f>MAX(H136,I136,J136)</f>
        <v>0</v>
      </c>
      <c r="H136" s="88"/>
      <c r="I136" s="88"/>
      <c r="J136" s="78">
        <f>MAX(K136:Q136)</f>
        <v>0</v>
      </c>
      <c r="K136" s="88"/>
      <c r="L136" s="88"/>
      <c r="M136" s="88"/>
      <c r="N136" s="88"/>
      <c r="O136" s="88"/>
      <c r="P136" s="88"/>
      <c r="Q136" s="88"/>
      <c r="R136" s="78">
        <f>MAX(S136:W136)</f>
        <v>1</v>
      </c>
      <c r="S136" s="88"/>
      <c r="T136" s="88"/>
      <c r="U136" s="88">
        <v>1</v>
      </c>
      <c r="V136" s="88"/>
      <c r="W136" s="88"/>
    </row>
    <row r="137" spans="2:23" s="0" customFormat="0" ht="15">
      <c r="B137" s="87" t="s">
        <v>1</v>
      </c>
      <c r="C137" s="88" t="s">
        <v>5259</v>
      </c>
      <c r="D137" s="88">
        <v>7514613</v>
      </c>
      <c r="E137" s="88" t="s">
        <v>61</v>
      </c>
      <c r="F137" s="88">
        <v>0</v>
      </c>
      <c r="G137" s="78">
        <f>MAX(H137,I137,J137)</f>
        <v>1</v>
      </c>
      <c r="H137" s="88"/>
      <c r="I137" s="88"/>
      <c r="J137" s="78">
        <f>MAX(K137:Q137)</f>
        <v>1</v>
      </c>
      <c r="K137" s="88">
        <v>1</v>
      </c>
      <c r="L137" s="88"/>
      <c r="M137" s="88"/>
      <c r="N137" s="88"/>
      <c r="O137" s="88"/>
      <c r="P137" s="88"/>
      <c r="Q137" s="88"/>
      <c r="R137" s="78">
        <f>MAX(S137:W137)</f>
        <v>0</v>
      </c>
      <c r="S137" s="88"/>
      <c r="T137" s="88"/>
      <c r="U137" s="88"/>
      <c r="V137" s="88"/>
      <c r="W137" s="88"/>
    </row>
    <row r="138" spans="2:23" s="0" customFormat="0" ht="15">
      <c r="B138" s="87" t="s">
        <v>1</v>
      </c>
      <c r="C138" s="88" t="s">
        <v>5259</v>
      </c>
      <c r="D138" s="88" t="s">
        <v>3058</v>
      </c>
      <c r="E138" s="88" t="s">
        <v>61</v>
      </c>
      <c r="F138" s="88">
        <v>0</v>
      </c>
      <c r="G138" s="78">
        <f>MAX(H138,I138,J138)</f>
        <v>1</v>
      </c>
      <c r="H138" s="88"/>
      <c r="I138" s="88"/>
      <c r="J138" s="78">
        <f>MAX(K138:Q138)</f>
        <v>1</v>
      </c>
      <c r="K138" s="88"/>
      <c r="L138" s="88"/>
      <c r="M138" s="88">
        <v>1</v>
      </c>
      <c r="N138" s="88"/>
      <c r="O138" s="88"/>
      <c r="P138" s="88"/>
      <c r="Q138" s="88"/>
      <c r="R138" s="78">
        <f>MAX(S138:W138)</f>
        <v>0</v>
      </c>
      <c r="S138" s="88"/>
      <c r="T138" s="88"/>
      <c r="U138" s="88"/>
      <c r="V138" s="88"/>
      <c r="W138" s="88"/>
    </row>
    <row r="139" spans="2:23" s="0" customFormat="0" ht="15">
      <c r="B139" s="87" t="s">
        <v>1</v>
      </c>
      <c r="C139" s="88" t="s">
        <v>5259</v>
      </c>
      <c r="D139" s="88" t="s">
        <v>296</v>
      </c>
      <c r="E139" s="88" t="s">
        <v>61</v>
      </c>
      <c r="F139" s="88">
        <v>0</v>
      </c>
      <c r="G139" s="78">
        <f>MAX(H139,I139,J139)</f>
        <v>1</v>
      </c>
      <c r="H139" s="88"/>
      <c r="I139" s="88"/>
      <c r="J139" s="78">
        <f>MAX(K139:Q139)</f>
        <v>1</v>
      </c>
      <c r="K139" s="88">
        <v>1</v>
      </c>
      <c r="L139" s="88"/>
      <c r="M139" s="88"/>
      <c r="N139" s="88"/>
      <c r="O139" s="88"/>
      <c r="P139" s="88"/>
      <c r="Q139" s="88"/>
      <c r="R139" s="78">
        <f>MAX(S139:W139)</f>
        <v>0</v>
      </c>
      <c r="S139" s="88"/>
      <c r="T139" s="88"/>
      <c r="U139" s="88"/>
      <c r="V139" s="88"/>
      <c r="W139" s="88"/>
    </row>
    <row r="140" spans="2:23" s="0" customFormat="0" ht="15">
      <c r="B140" s="87" t="s">
        <v>1</v>
      </c>
      <c r="C140" s="88" t="s">
        <v>5259</v>
      </c>
      <c r="D140" s="88">
        <v>18718604</v>
      </c>
      <c r="E140" s="88" t="s">
        <v>61</v>
      </c>
      <c r="F140" s="88">
        <v>0</v>
      </c>
      <c r="G140" s="78">
        <f>MAX(H140,I140,J140)</f>
        <v>1</v>
      </c>
      <c r="H140" s="88"/>
      <c r="I140" s="88"/>
      <c r="J140" s="78">
        <f>MAX(K140:Q140)</f>
        <v>1</v>
      </c>
      <c r="K140" s="88">
        <v>1</v>
      </c>
      <c r="L140" s="88"/>
      <c r="M140" s="88"/>
      <c r="N140" s="88"/>
      <c r="O140" s="88"/>
      <c r="P140" s="88"/>
      <c r="Q140" s="88"/>
      <c r="R140" s="78">
        <f>MAX(S140:W140)</f>
        <v>0</v>
      </c>
      <c r="S140" s="88"/>
      <c r="T140" s="88"/>
      <c r="U140" s="88"/>
      <c r="V140" s="88"/>
      <c r="W140" s="88"/>
    </row>
    <row r="141" spans="2:23" s="0" customFormat="0" ht="15">
      <c r="B141" s="87" t="s">
        <v>1</v>
      </c>
      <c r="C141" s="88" t="s">
        <v>5259</v>
      </c>
      <c r="D141" s="88">
        <v>15851015</v>
      </c>
      <c r="E141" s="88" t="s">
        <v>61</v>
      </c>
      <c r="F141" s="88">
        <v>0</v>
      </c>
      <c r="G141" s="78">
        <f>MAX(H141,I141,J141)</f>
        <v>1</v>
      </c>
      <c r="H141" s="88"/>
      <c r="I141" s="88"/>
      <c r="J141" s="78">
        <f>MAX(K141:Q141)</f>
        <v>1</v>
      </c>
      <c r="K141" s="88">
        <v>1</v>
      </c>
      <c r="L141" s="88"/>
      <c r="M141" s="88"/>
      <c r="N141" s="88"/>
      <c r="O141" s="88"/>
      <c r="P141" s="88"/>
      <c r="Q141" s="88"/>
      <c r="R141" s="78">
        <f>MAX(S141:W141)</f>
        <v>0</v>
      </c>
      <c r="S141" s="88"/>
      <c r="T141" s="88"/>
      <c r="U141" s="88"/>
      <c r="V141" s="88"/>
      <c r="W141" s="88"/>
    </row>
    <row r="142" spans="2:23" s="0" customFormat="0" ht="15">
      <c r="B142" s="87" t="s">
        <v>1</v>
      </c>
      <c r="C142" s="88" t="s">
        <v>5259</v>
      </c>
      <c r="D142" s="88">
        <v>7745746</v>
      </c>
      <c r="E142" s="88" t="s">
        <v>61</v>
      </c>
      <c r="F142" s="88">
        <v>0</v>
      </c>
      <c r="G142" s="78">
        <f>MAX(H142,I142,J142)</f>
        <v>1</v>
      </c>
      <c r="H142" s="88"/>
      <c r="I142" s="88"/>
      <c r="J142" s="78">
        <f>MAX(K142:Q142)</f>
        <v>1</v>
      </c>
      <c r="K142" s="88">
        <v>1</v>
      </c>
      <c r="L142" s="88"/>
      <c r="M142" s="88"/>
      <c r="N142" s="88"/>
      <c r="O142" s="88"/>
      <c r="P142" s="88"/>
      <c r="Q142" s="88"/>
      <c r="R142" s="78">
        <f>MAX(S142:W142)</f>
        <v>0</v>
      </c>
      <c r="S142" s="88"/>
      <c r="T142" s="88"/>
      <c r="U142" s="88"/>
      <c r="V142" s="88"/>
      <c r="W142" s="88"/>
    </row>
    <row r="143" spans="2:23" s="0" customFormat="0" ht="15">
      <c r="B143" s="87" t="s">
        <v>1</v>
      </c>
      <c r="C143" s="88" t="s">
        <v>5259</v>
      </c>
      <c r="D143" s="88">
        <v>18423531</v>
      </c>
      <c r="E143" s="88" t="s">
        <v>61</v>
      </c>
      <c r="F143" s="88">
        <v>0</v>
      </c>
      <c r="G143" s="78">
        <f>MAX(H143,I143,J143)</f>
        <v>0</v>
      </c>
      <c r="H143" s="88"/>
      <c r="I143" s="88"/>
      <c r="J143" s="78">
        <f>MAX(K143:Q143)</f>
        <v>0</v>
      </c>
      <c r="K143" s="88"/>
      <c r="L143" s="88"/>
      <c r="M143" s="88"/>
      <c r="N143" s="88"/>
      <c r="O143" s="88"/>
      <c r="P143" s="88"/>
      <c r="Q143" s="88"/>
      <c r="R143" s="78">
        <f>MAX(S143:W143)</f>
        <v>1</v>
      </c>
      <c r="S143" s="88"/>
      <c r="T143" s="88"/>
      <c r="U143" s="88">
        <v>1</v>
      </c>
      <c r="V143" s="88"/>
      <c r="W143" s="88"/>
    </row>
    <row r="144" spans="2:23" s="0" customFormat="0" ht="15">
      <c r="B144" s="87" t="s">
        <v>1</v>
      </c>
      <c r="C144" s="88" t="s">
        <v>5259</v>
      </c>
      <c r="D144" s="88">
        <v>20113245</v>
      </c>
      <c r="E144" s="88" t="s">
        <v>61</v>
      </c>
      <c r="F144" s="88">
        <v>0</v>
      </c>
      <c r="G144" s="78">
        <f>MAX(H144,I144,J144)</f>
        <v>0</v>
      </c>
      <c r="H144" s="88"/>
      <c r="I144" s="88"/>
      <c r="J144" s="78">
        <f>MAX(K144:Q144)</f>
        <v>0</v>
      </c>
      <c r="K144" s="88"/>
      <c r="L144" s="88"/>
      <c r="M144" s="88"/>
      <c r="N144" s="88"/>
      <c r="O144" s="88"/>
      <c r="P144" s="88"/>
      <c r="Q144" s="88"/>
      <c r="R144" s="78">
        <f>MAX(S144:W144)</f>
        <v>1</v>
      </c>
      <c r="S144" s="88"/>
      <c r="T144" s="88"/>
      <c r="U144" s="88">
        <v>1</v>
      </c>
      <c r="V144" s="88"/>
      <c r="W144" s="88"/>
    </row>
    <row r="145" spans="2:23" s="0" customFormat="0" ht="15">
      <c r="B145" s="87" t="s">
        <v>1</v>
      </c>
      <c r="C145" s="88" t="s">
        <v>5259</v>
      </c>
      <c r="D145" s="88">
        <v>17400151</v>
      </c>
      <c r="E145" s="88" t="s">
        <v>61</v>
      </c>
      <c r="F145" s="88">
        <v>0</v>
      </c>
      <c r="G145" s="78">
        <f>MAX(H145,I145,J145)</f>
        <v>1</v>
      </c>
      <c r="H145" s="88"/>
      <c r="I145" s="88"/>
      <c r="J145" s="78">
        <f>MAX(K145:Q145)</f>
        <v>1</v>
      </c>
      <c r="K145" s="88">
        <v>1</v>
      </c>
      <c r="L145" s="88"/>
      <c r="M145" s="88"/>
      <c r="N145" s="88"/>
      <c r="O145" s="88"/>
      <c r="P145" s="88"/>
      <c r="Q145" s="88"/>
      <c r="R145" s="78">
        <f>MAX(S145:W145)</f>
        <v>0</v>
      </c>
      <c r="S145" s="88"/>
      <c r="T145" s="88"/>
      <c r="U145" s="88"/>
      <c r="V145" s="88"/>
      <c r="W145" s="88"/>
    </row>
    <row r="146" spans="2:23" s="0" customFormat="0" ht="15">
      <c r="B146" s="87" t="s">
        <v>1</v>
      </c>
      <c r="C146" s="88" t="s">
        <v>5259</v>
      </c>
      <c r="D146" s="88">
        <v>12495004</v>
      </c>
      <c r="E146" s="88" t="s">
        <v>61</v>
      </c>
      <c r="F146" s="88">
        <v>0</v>
      </c>
      <c r="G146" s="78">
        <f>MAX(H146,I146,J146)</f>
        <v>1</v>
      </c>
      <c r="H146" s="88"/>
      <c r="I146" s="88"/>
      <c r="J146" s="78">
        <f>MAX(K146:Q146)</f>
        <v>1</v>
      </c>
      <c r="K146" s="88">
        <v>1</v>
      </c>
      <c r="L146" s="88"/>
      <c r="M146" s="88"/>
      <c r="N146" s="88"/>
      <c r="O146" s="88"/>
      <c r="P146" s="88"/>
      <c r="Q146" s="88"/>
      <c r="R146" s="78">
        <f>MAX(S146:W146)</f>
        <v>0</v>
      </c>
      <c r="S146" s="88"/>
      <c r="T146" s="88"/>
      <c r="U146" s="88"/>
      <c r="V146" s="88"/>
      <c r="W146" s="88"/>
    </row>
    <row r="147" spans="2:23" s="0" customFormat="0" ht="15">
      <c r="B147" s="87" t="s">
        <v>1</v>
      </c>
      <c r="C147" s="88" t="s">
        <v>5259</v>
      </c>
      <c r="D147" s="88">
        <v>7065952</v>
      </c>
      <c r="E147" s="88" t="s">
        <v>61</v>
      </c>
      <c r="F147" s="88">
        <v>0</v>
      </c>
      <c r="G147" s="78">
        <f>MAX(H147,I147,J147)</f>
        <v>0</v>
      </c>
      <c r="H147" s="88"/>
      <c r="I147" s="88"/>
      <c r="J147" s="78">
        <f>MAX(K147:Q147)</f>
        <v>0</v>
      </c>
      <c r="K147" s="88"/>
      <c r="L147" s="88"/>
      <c r="M147" s="88"/>
      <c r="N147" s="88"/>
      <c r="O147" s="88"/>
      <c r="P147" s="88"/>
      <c r="Q147" s="88"/>
      <c r="R147" s="78">
        <f>MAX(S147:W147)</f>
        <v>1</v>
      </c>
      <c r="S147" s="88"/>
      <c r="T147" s="88"/>
      <c r="U147" s="88">
        <v>1</v>
      </c>
      <c r="V147" s="88"/>
      <c r="W147" s="88"/>
    </row>
    <row r="148" spans="2:23" s="0" customFormat="0" ht="15">
      <c r="B148" s="87" t="s">
        <v>1</v>
      </c>
      <c r="C148" s="88" t="s">
        <v>5259</v>
      </c>
      <c r="D148" s="88">
        <v>14519212</v>
      </c>
      <c r="E148" s="88" t="s">
        <v>61</v>
      </c>
      <c r="F148" s="88">
        <v>0</v>
      </c>
      <c r="G148" s="78">
        <f>MAX(H148,I148,J148)</f>
        <v>1</v>
      </c>
      <c r="H148" s="88"/>
      <c r="I148" s="88"/>
      <c r="J148" s="78">
        <f>MAX(K148:Q148)</f>
        <v>1</v>
      </c>
      <c r="K148" s="88">
        <v>1</v>
      </c>
      <c r="L148" s="88"/>
      <c r="M148" s="88"/>
      <c r="N148" s="88"/>
      <c r="O148" s="88"/>
      <c r="P148" s="88"/>
      <c r="Q148" s="88"/>
      <c r="R148" s="78">
        <f>MAX(S148:W148)</f>
        <v>0</v>
      </c>
      <c r="S148" s="88"/>
      <c r="T148" s="88"/>
      <c r="U148" s="88"/>
      <c r="V148" s="88"/>
      <c r="W148" s="88"/>
    </row>
    <row r="149" spans="2:23" s="0" customFormat="0" ht="15">
      <c r="B149" s="87" t="s">
        <v>1</v>
      </c>
      <c r="C149" s="88" t="s">
        <v>5259</v>
      </c>
      <c r="D149" s="88" t="s">
        <v>3366</v>
      </c>
      <c r="E149" s="88" t="s">
        <v>61</v>
      </c>
      <c r="F149" s="88">
        <v>0</v>
      </c>
      <c r="G149" s="78">
        <f>MAX(H149,I149,J149)</f>
        <v>0</v>
      </c>
      <c r="H149" s="88"/>
      <c r="I149" s="88"/>
      <c r="J149" s="78">
        <f>MAX(K149:Q149)</f>
        <v>0</v>
      </c>
      <c r="K149" s="88"/>
      <c r="L149" s="88"/>
      <c r="M149" s="88"/>
      <c r="N149" s="88"/>
      <c r="O149" s="88"/>
      <c r="P149" s="88"/>
      <c r="Q149" s="88"/>
      <c r="R149" s="78">
        <f>MAX(S149:W149)</f>
        <v>1</v>
      </c>
      <c r="S149" s="88"/>
      <c r="T149" s="88"/>
      <c r="U149" s="88">
        <v>1</v>
      </c>
      <c r="V149" s="88"/>
      <c r="W149" s="88"/>
    </row>
    <row r="150" spans="2:23" s="0" customFormat="0" ht="15">
      <c r="B150" s="87" t="s">
        <v>1</v>
      </c>
      <c r="C150" s="88" t="s">
        <v>5259</v>
      </c>
      <c r="D150" s="88">
        <v>22554337</v>
      </c>
      <c r="E150" s="88" t="s">
        <v>61</v>
      </c>
      <c r="F150" s="88">
        <v>0</v>
      </c>
      <c r="G150" s="78">
        <f>MAX(H150,I150,J150)</f>
        <v>0</v>
      </c>
      <c r="H150" s="88"/>
      <c r="I150" s="88"/>
      <c r="J150" s="78">
        <f>MAX(K150:Q150)</f>
        <v>0</v>
      </c>
      <c r="K150" s="88"/>
      <c r="L150" s="88"/>
      <c r="M150" s="88"/>
      <c r="N150" s="88"/>
      <c r="O150" s="88"/>
      <c r="P150" s="88"/>
      <c r="Q150" s="88"/>
      <c r="R150" s="78">
        <f>MAX(S150:W150)</f>
        <v>1</v>
      </c>
      <c r="S150" s="88"/>
      <c r="T150" s="88"/>
      <c r="U150" s="88">
        <v>1</v>
      </c>
      <c r="V150" s="88"/>
      <c r="W150" s="88"/>
    </row>
    <row r="151" spans="2:23" s="0" customFormat="0" ht="15">
      <c r="B151" s="87" t="s">
        <v>1</v>
      </c>
      <c r="C151" s="88" t="s">
        <v>5259</v>
      </c>
      <c r="D151" s="88">
        <v>12122770</v>
      </c>
      <c r="E151" s="88" t="s">
        <v>61</v>
      </c>
      <c r="F151" s="88">
        <v>0</v>
      </c>
      <c r="G151" s="78">
        <f>MAX(H151,I151,J151)</f>
        <v>1</v>
      </c>
      <c r="H151" s="88"/>
      <c r="I151" s="88"/>
      <c r="J151" s="78">
        <f>MAX(K151:Q151)</f>
        <v>1</v>
      </c>
      <c r="K151" s="88">
        <v>1</v>
      </c>
      <c r="L151" s="88"/>
      <c r="M151" s="88"/>
      <c r="N151" s="88"/>
      <c r="O151" s="88"/>
      <c r="P151" s="88"/>
      <c r="Q151" s="88"/>
      <c r="R151" s="78">
        <f>MAX(S151:W151)</f>
        <v>0</v>
      </c>
      <c r="S151" s="88"/>
      <c r="T151" s="88"/>
      <c r="U151" s="88"/>
      <c r="V151" s="88"/>
      <c r="W151" s="88"/>
    </row>
    <row r="152" spans="2:23" s="0" customFormat="0" ht="15">
      <c r="B152" s="87" t="s">
        <v>1</v>
      </c>
      <c r="C152" s="88" t="s">
        <v>5259</v>
      </c>
      <c r="D152" s="88">
        <v>19854528</v>
      </c>
      <c r="E152" s="88" t="s">
        <v>61</v>
      </c>
      <c r="F152" s="88">
        <v>0</v>
      </c>
      <c r="G152" s="78">
        <f>MAX(H152,I152,J152)</f>
        <v>1</v>
      </c>
      <c r="H152" s="88"/>
      <c r="I152" s="88"/>
      <c r="J152" s="78">
        <f>MAX(K152:Q152)</f>
        <v>1</v>
      </c>
      <c r="K152" s="88">
        <v>1</v>
      </c>
      <c r="L152" s="88"/>
      <c r="M152" s="88"/>
      <c r="N152" s="88"/>
      <c r="O152" s="88"/>
      <c r="P152" s="88"/>
      <c r="Q152" s="88"/>
      <c r="R152" s="78">
        <f>MAX(S152:W152)</f>
        <v>0</v>
      </c>
      <c r="S152" s="88"/>
      <c r="T152" s="88"/>
      <c r="U152" s="88"/>
      <c r="V152" s="88"/>
      <c r="W152" s="88"/>
    </row>
    <row r="153" spans="2:23" s="0" customFormat="0" ht="15">
      <c r="B153" s="87" t="s">
        <v>1</v>
      </c>
      <c r="C153" s="88" t="s">
        <v>5259</v>
      </c>
      <c r="D153" s="88" t="s">
        <v>305</v>
      </c>
      <c r="E153" s="88" t="s">
        <v>61</v>
      </c>
      <c r="F153" s="88">
        <v>0</v>
      </c>
      <c r="G153" s="78">
        <f>MAX(H153,I153,J153)</f>
        <v>1</v>
      </c>
      <c r="H153" s="88"/>
      <c r="I153" s="88"/>
      <c r="J153" s="78">
        <f>MAX(K153:Q153)</f>
        <v>1</v>
      </c>
      <c r="K153" s="88">
        <v>1</v>
      </c>
      <c r="L153" s="88"/>
      <c r="M153" s="88"/>
      <c r="N153" s="88"/>
      <c r="O153" s="88"/>
      <c r="P153" s="88"/>
      <c r="Q153" s="88"/>
      <c r="R153" s="78">
        <f>MAX(S153:W153)</f>
        <v>0</v>
      </c>
      <c r="S153" s="88"/>
      <c r="T153" s="88"/>
      <c r="U153" s="88"/>
      <c r="V153" s="88"/>
      <c r="W153" s="88"/>
    </row>
    <row r="154" spans="2:23" s="0" customFormat="0" ht="15">
      <c r="B154" s="87" t="s">
        <v>1</v>
      </c>
      <c r="C154" s="88" t="s">
        <v>5259</v>
      </c>
      <c r="D154" s="88">
        <v>12767430</v>
      </c>
      <c r="E154" s="88" t="s">
        <v>61</v>
      </c>
      <c r="F154" s="88">
        <v>0</v>
      </c>
      <c r="G154" s="78">
        <f>MAX(H154,I154,J154)</f>
        <v>1</v>
      </c>
      <c r="H154" s="88"/>
      <c r="I154" s="88"/>
      <c r="J154" s="78">
        <f>MAX(K154:Q154)</f>
        <v>1</v>
      </c>
      <c r="K154" s="88">
        <v>1</v>
      </c>
      <c r="L154" s="88"/>
      <c r="M154" s="88"/>
      <c r="N154" s="88"/>
      <c r="O154" s="88"/>
      <c r="P154" s="88"/>
      <c r="Q154" s="88"/>
      <c r="R154" s="78">
        <f>MAX(S154:W154)</f>
        <v>0</v>
      </c>
      <c r="S154" s="88"/>
      <c r="T154" s="88"/>
      <c r="U154" s="88"/>
      <c r="V154" s="88"/>
      <c r="W154" s="88"/>
    </row>
    <row r="155" spans="2:23" s="0" customFormat="0" ht="15">
      <c r="B155" s="87" t="s">
        <v>1</v>
      </c>
      <c r="C155" s="88" t="s">
        <v>5259</v>
      </c>
      <c r="D155" s="88">
        <v>23353688</v>
      </c>
      <c r="E155" s="88" t="s">
        <v>61</v>
      </c>
      <c r="F155" s="88">
        <v>0</v>
      </c>
      <c r="G155" s="78">
        <f>MAX(H155,I155,J155)</f>
        <v>1</v>
      </c>
      <c r="H155" s="88"/>
      <c r="I155" s="88"/>
      <c r="J155" s="78">
        <f>MAX(K155:Q155)</f>
        <v>1</v>
      </c>
      <c r="K155" s="88">
        <v>1</v>
      </c>
      <c r="L155" s="88"/>
      <c r="M155" s="88"/>
      <c r="N155" s="88"/>
      <c r="O155" s="88"/>
      <c r="P155" s="88"/>
      <c r="Q155" s="88"/>
      <c r="R155" s="78">
        <f>MAX(S155:W155)</f>
        <v>0</v>
      </c>
      <c r="S155" s="88"/>
      <c r="T155" s="88"/>
      <c r="U155" s="88"/>
      <c r="V155" s="88"/>
      <c r="W155" s="88"/>
    </row>
    <row r="156" spans="2:23" s="0" customFormat="0" ht="15">
      <c r="B156" s="87" t="s">
        <v>1</v>
      </c>
      <c r="C156" s="88" t="s">
        <v>5259</v>
      </c>
      <c r="D156" s="88">
        <v>11821210</v>
      </c>
      <c r="E156" s="88" t="s">
        <v>61</v>
      </c>
      <c r="F156" s="88">
        <v>0</v>
      </c>
      <c r="G156" s="78">
        <f>MAX(H156,I156,J156)</f>
        <v>1</v>
      </c>
      <c r="H156" s="88"/>
      <c r="I156" s="88"/>
      <c r="J156" s="78">
        <f>MAX(K156:Q156)</f>
        <v>1</v>
      </c>
      <c r="K156" s="88">
        <v>1</v>
      </c>
      <c r="L156" s="88"/>
      <c r="M156" s="88"/>
      <c r="N156" s="88"/>
      <c r="O156" s="88"/>
      <c r="P156" s="88"/>
      <c r="Q156" s="88"/>
      <c r="R156" s="78">
        <f>MAX(S156:W156)</f>
        <v>0</v>
      </c>
      <c r="S156" s="88"/>
      <c r="T156" s="88"/>
      <c r="U156" s="88"/>
      <c r="V156" s="88"/>
      <c r="W156" s="88"/>
    </row>
    <row r="157" spans="2:23" s="0" customFormat="0" ht="15">
      <c r="B157" s="87" t="s">
        <v>1</v>
      </c>
      <c r="C157" s="88" t="s">
        <v>5259</v>
      </c>
      <c r="D157" s="88">
        <v>18085384</v>
      </c>
      <c r="E157" s="88" t="s">
        <v>61</v>
      </c>
      <c r="F157" s="88">
        <v>0</v>
      </c>
      <c r="G157" s="78">
        <f>MAX(H157,I157,J157)</f>
        <v>1</v>
      </c>
      <c r="H157" s="88"/>
      <c r="I157" s="88"/>
      <c r="J157" s="78">
        <f>MAX(K157:Q157)</f>
        <v>1</v>
      </c>
      <c r="K157" s="88">
        <v>1</v>
      </c>
      <c r="L157" s="88"/>
      <c r="M157" s="88"/>
      <c r="N157" s="88"/>
      <c r="O157" s="88"/>
      <c r="P157" s="88"/>
      <c r="Q157" s="88"/>
      <c r="R157" s="78">
        <f>MAX(S157:W157)</f>
        <v>0</v>
      </c>
      <c r="S157" s="88"/>
      <c r="T157" s="88"/>
      <c r="U157" s="88"/>
      <c r="V157" s="88"/>
      <c r="W157" s="88"/>
    </row>
    <row r="158" spans="2:23" s="0" customFormat="0" ht="15">
      <c r="B158" s="87" t="s">
        <v>1</v>
      </c>
      <c r="C158" s="88" t="s">
        <v>5259</v>
      </c>
      <c r="D158" s="88">
        <v>22554261</v>
      </c>
      <c r="E158" s="88" t="s">
        <v>61</v>
      </c>
      <c r="F158" s="88">
        <v>0</v>
      </c>
      <c r="G158" s="78">
        <f>MAX(H158,I158,J158)</f>
        <v>0</v>
      </c>
      <c r="H158" s="88"/>
      <c r="I158" s="88"/>
      <c r="J158" s="78">
        <f>MAX(K158:Q158)</f>
        <v>0</v>
      </c>
      <c r="K158" s="88"/>
      <c r="L158" s="88"/>
      <c r="M158" s="88"/>
      <c r="N158" s="88"/>
      <c r="O158" s="88"/>
      <c r="P158" s="88"/>
      <c r="Q158" s="88"/>
      <c r="R158" s="78">
        <f>MAX(S158:W158)</f>
        <v>1</v>
      </c>
      <c r="S158" s="88"/>
      <c r="T158" s="88"/>
      <c r="U158" s="88">
        <v>1</v>
      </c>
      <c r="V158" s="88"/>
      <c r="W158" s="88"/>
    </row>
    <row r="159" spans="2:23" s="0" customFormat="0" ht="15">
      <c r="B159" s="87" t="s">
        <v>1</v>
      </c>
      <c r="C159" s="88" t="s">
        <v>5259</v>
      </c>
      <c r="D159" s="88" t="s">
        <v>3370</v>
      </c>
      <c r="E159" s="88" t="s">
        <v>61</v>
      </c>
      <c r="F159" s="88">
        <v>0</v>
      </c>
      <c r="G159" s="78">
        <f>MAX(H159,I159,J159)</f>
        <v>0</v>
      </c>
      <c r="H159" s="88"/>
      <c r="I159" s="88"/>
      <c r="J159" s="78">
        <f>MAX(K159:Q159)</f>
        <v>0</v>
      </c>
      <c r="K159" s="88"/>
      <c r="L159" s="88"/>
      <c r="M159" s="88"/>
      <c r="N159" s="88"/>
      <c r="O159" s="88"/>
      <c r="P159" s="88"/>
      <c r="Q159" s="88"/>
      <c r="R159" s="78">
        <f>MAX(S159:W159)</f>
        <v>1</v>
      </c>
      <c r="S159" s="88"/>
      <c r="T159" s="88"/>
      <c r="U159" s="88">
        <v>1</v>
      </c>
      <c r="V159" s="88"/>
      <c r="W159" s="88"/>
    </row>
    <row r="160" spans="2:23" s="0" customFormat="0" ht="15">
      <c r="B160" s="87" t="s">
        <v>1</v>
      </c>
      <c r="C160" s="88" t="s">
        <v>5259</v>
      </c>
      <c r="D160" s="88">
        <v>24696645</v>
      </c>
      <c r="E160" s="88" t="s">
        <v>61</v>
      </c>
      <c r="F160" s="88">
        <v>0</v>
      </c>
      <c r="G160" s="78">
        <f>MAX(H160,I160,J160)</f>
        <v>1</v>
      </c>
      <c r="H160" s="88"/>
      <c r="I160" s="88"/>
      <c r="J160" s="78">
        <f>MAX(K160:Q160)</f>
        <v>1</v>
      </c>
      <c r="K160" s="88">
        <v>1</v>
      </c>
      <c r="L160" s="88"/>
      <c r="M160" s="88"/>
      <c r="N160" s="88"/>
      <c r="O160" s="88"/>
      <c r="P160" s="88"/>
      <c r="Q160" s="88"/>
      <c r="R160" s="78">
        <f>MAX(S160:W160)</f>
        <v>0</v>
      </c>
      <c r="S160" s="88"/>
      <c r="T160" s="88"/>
      <c r="U160" s="88"/>
      <c r="V160" s="88"/>
      <c r="W160" s="88"/>
    </row>
    <row r="161" spans="2:23" s="0" customFormat="0" ht="15">
      <c r="B161" s="87" t="s">
        <v>1</v>
      </c>
      <c r="C161" s="88" t="s">
        <v>5259</v>
      </c>
      <c r="D161" s="88" t="s">
        <v>3372</v>
      </c>
      <c r="E161" s="88" t="s">
        <v>61</v>
      </c>
      <c r="F161" s="88">
        <v>0</v>
      </c>
      <c r="G161" s="78">
        <f>MAX(H161,I161,J161)</f>
        <v>0</v>
      </c>
      <c r="H161" s="88"/>
      <c r="I161" s="88"/>
      <c r="J161" s="78">
        <f>MAX(K161:Q161)</f>
        <v>0</v>
      </c>
      <c r="K161" s="88"/>
      <c r="L161" s="88"/>
      <c r="M161" s="88"/>
      <c r="N161" s="88"/>
      <c r="O161" s="88"/>
      <c r="P161" s="88"/>
      <c r="Q161" s="88"/>
      <c r="R161" s="78">
        <f>MAX(S161:W161)</f>
        <v>1</v>
      </c>
      <c r="S161" s="88"/>
      <c r="T161" s="88"/>
      <c r="U161" s="88">
        <v>1</v>
      </c>
      <c r="V161" s="88"/>
      <c r="W161" s="88"/>
    </row>
    <row r="162" spans="2:23" s="0" customFormat="0" ht="15">
      <c r="B162" s="87" t="s">
        <v>1</v>
      </c>
      <c r="C162" s="88" t="s">
        <v>5259</v>
      </c>
      <c r="D162" s="88" t="s">
        <v>3374</v>
      </c>
      <c r="E162" s="88" t="s">
        <v>61</v>
      </c>
      <c r="F162" s="88">
        <v>0</v>
      </c>
      <c r="G162" s="78">
        <f>MAX(H162,I162,J162)</f>
        <v>0</v>
      </c>
      <c r="H162" s="88"/>
      <c r="I162" s="88"/>
      <c r="J162" s="78">
        <f>MAX(K162:Q162)</f>
        <v>0</v>
      </c>
      <c r="K162" s="88"/>
      <c r="L162" s="88"/>
      <c r="M162" s="88"/>
      <c r="N162" s="88"/>
      <c r="O162" s="88"/>
      <c r="P162" s="88"/>
      <c r="Q162" s="88"/>
      <c r="R162" s="78">
        <f>MAX(S162:W162)</f>
        <v>1</v>
      </c>
      <c r="S162" s="88"/>
      <c r="T162" s="88"/>
      <c r="U162" s="88">
        <v>1</v>
      </c>
      <c r="V162" s="88"/>
      <c r="W162" s="88"/>
    </row>
    <row r="163" spans="2:23" s="0" customFormat="0" ht="15">
      <c r="B163" s="87" t="s">
        <v>1</v>
      </c>
      <c r="C163" s="88" t="s">
        <v>5259</v>
      </c>
      <c r="D163" s="88">
        <v>23237421</v>
      </c>
      <c r="E163" s="88" t="s">
        <v>61</v>
      </c>
      <c r="F163" s="88">
        <v>0</v>
      </c>
      <c r="G163" s="78">
        <f>MAX(H163,I163,J163)</f>
        <v>1</v>
      </c>
      <c r="H163" s="88"/>
      <c r="I163" s="88"/>
      <c r="J163" s="78">
        <f>MAX(K163:Q163)</f>
        <v>1</v>
      </c>
      <c r="K163" s="88">
        <v>1</v>
      </c>
      <c r="L163" s="88"/>
      <c r="M163" s="88"/>
      <c r="N163" s="88"/>
      <c r="O163" s="88"/>
      <c r="P163" s="88"/>
      <c r="Q163" s="88"/>
      <c r="R163" s="78">
        <f>MAX(S163:W163)</f>
        <v>0</v>
      </c>
      <c r="S163" s="88"/>
      <c r="T163" s="88"/>
      <c r="U163" s="88"/>
      <c r="V163" s="88"/>
      <c r="W163" s="88"/>
    </row>
    <row r="164" spans="2:23" s="0" customFormat="0" ht="15">
      <c r="B164" s="87" t="s">
        <v>1</v>
      </c>
      <c r="C164" s="88" t="s">
        <v>5259</v>
      </c>
      <c r="D164" s="88">
        <v>17418008</v>
      </c>
      <c r="E164" s="88" t="s">
        <v>61</v>
      </c>
      <c r="F164" s="88">
        <v>0</v>
      </c>
      <c r="G164" s="78">
        <f>MAX(H164,I164,J164)</f>
        <v>1</v>
      </c>
      <c r="H164" s="88"/>
      <c r="I164" s="88"/>
      <c r="J164" s="78">
        <f>MAX(K164:Q164)</f>
        <v>1</v>
      </c>
      <c r="K164" s="88">
        <v>1</v>
      </c>
      <c r="L164" s="88"/>
      <c r="M164" s="88"/>
      <c r="N164" s="88"/>
      <c r="O164" s="88"/>
      <c r="P164" s="88"/>
      <c r="Q164" s="88"/>
      <c r="R164" s="78">
        <f>MAX(S164:W164)</f>
        <v>0</v>
      </c>
      <c r="S164" s="88"/>
      <c r="T164" s="88"/>
      <c r="U164" s="88"/>
      <c r="V164" s="88"/>
      <c r="W164" s="88"/>
    </row>
    <row r="165" spans="2:23" s="0" customFormat="0" ht="15">
      <c r="B165" s="87" t="s">
        <v>1</v>
      </c>
      <c r="C165" s="88" t="s">
        <v>5259</v>
      </c>
      <c r="D165" s="88" t="s">
        <v>314</v>
      </c>
      <c r="E165" s="88" t="s">
        <v>61</v>
      </c>
      <c r="F165" s="88">
        <v>0</v>
      </c>
      <c r="G165" s="78">
        <f>MAX(H165,I165,J165)</f>
        <v>1</v>
      </c>
      <c r="H165" s="88"/>
      <c r="I165" s="88"/>
      <c r="J165" s="78">
        <f>MAX(K165:Q165)</f>
        <v>1</v>
      </c>
      <c r="K165" s="88">
        <v>1</v>
      </c>
      <c r="L165" s="88"/>
      <c r="M165" s="88"/>
      <c r="N165" s="88"/>
      <c r="O165" s="88"/>
      <c r="P165" s="88"/>
      <c r="Q165" s="88"/>
      <c r="R165" s="78">
        <f>MAX(S165:W165)</f>
        <v>0</v>
      </c>
      <c r="S165" s="88"/>
      <c r="T165" s="88"/>
      <c r="U165" s="88"/>
      <c r="V165" s="88"/>
      <c r="W165" s="88"/>
    </row>
    <row r="166" spans="2:23" s="0" customFormat="0" ht="15">
      <c r="B166" s="87" t="s">
        <v>1</v>
      </c>
      <c r="C166" s="88" t="s">
        <v>5259</v>
      </c>
      <c r="D166" s="88">
        <v>17388192</v>
      </c>
      <c r="E166" s="88" t="s">
        <v>61</v>
      </c>
      <c r="F166" s="88">
        <v>0</v>
      </c>
      <c r="G166" s="78">
        <f>MAX(H166,I166,J166)</f>
        <v>1</v>
      </c>
      <c r="H166" s="88"/>
      <c r="I166" s="88"/>
      <c r="J166" s="78">
        <f>MAX(K166:Q166)</f>
        <v>1</v>
      </c>
      <c r="K166" s="88">
        <v>1</v>
      </c>
      <c r="L166" s="88"/>
      <c r="M166" s="88"/>
      <c r="N166" s="88"/>
      <c r="O166" s="88"/>
      <c r="P166" s="88"/>
      <c r="Q166" s="88"/>
      <c r="R166" s="78">
        <f>MAX(S166:W166)</f>
        <v>0</v>
      </c>
      <c r="S166" s="88"/>
      <c r="T166" s="88"/>
      <c r="U166" s="88"/>
      <c r="V166" s="88"/>
      <c r="W166" s="88"/>
    </row>
    <row r="167" spans="2:23" s="0" customFormat="0" ht="15">
      <c r="B167" s="87" t="s">
        <v>1</v>
      </c>
      <c r="C167" s="88" t="s">
        <v>5259</v>
      </c>
      <c r="D167" s="88" t="s">
        <v>3157</v>
      </c>
      <c r="E167" s="88" t="s">
        <v>61</v>
      </c>
      <c r="F167" s="88">
        <v>0</v>
      </c>
      <c r="G167" s="78">
        <f>MAX(H167,I167,J167)</f>
        <v>1</v>
      </c>
      <c r="H167" s="88"/>
      <c r="I167" s="88"/>
      <c r="J167" s="78">
        <f>MAX(K167:Q167)</f>
        <v>1</v>
      </c>
      <c r="K167" s="88"/>
      <c r="L167" s="88"/>
      <c r="M167" s="88"/>
      <c r="N167" s="88"/>
      <c r="O167" s="88">
        <v>1</v>
      </c>
      <c r="P167" s="88"/>
      <c r="Q167" s="88"/>
      <c r="R167" s="78">
        <f>MAX(S167:W167)</f>
        <v>0</v>
      </c>
      <c r="S167" s="88"/>
      <c r="T167" s="88"/>
      <c r="U167" s="88"/>
      <c r="V167" s="88"/>
      <c r="W167" s="88"/>
    </row>
    <row r="168" spans="2:23" s="0" customFormat="0" ht="15">
      <c r="B168" s="87" t="s">
        <v>1</v>
      </c>
      <c r="C168" s="88" t="s">
        <v>5259</v>
      </c>
      <c r="D168" s="88" t="s">
        <v>3376</v>
      </c>
      <c r="E168" s="88" t="s">
        <v>61</v>
      </c>
      <c r="F168" s="88">
        <v>0</v>
      </c>
      <c r="G168" s="78">
        <f>MAX(H168,I168,J168)</f>
        <v>0</v>
      </c>
      <c r="H168" s="88"/>
      <c r="I168" s="88"/>
      <c r="J168" s="78">
        <f>MAX(K168:Q168)</f>
        <v>0</v>
      </c>
      <c r="K168" s="88"/>
      <c r="L168" s="88"/>
      <c r="M168" s="88"/>
      <c r="N168" s="88"/>
      <c r="O168" s="88"/>
      <c r="P168" s="88"/>
      <c r="Q168" s="88"/>
      <c r="R168" s="78">
        <f>MAX(S168:W168)</f>
        <v>1</v>
      </c>
      <c r="S168" s="88"/>
      <c r="T168" s="88"/>
      <c r="U168" s="88">
        <v>1</v>
      </c>
      <c r="V168" s="88"/>
      <c r="W168" s="88"/>
    </row>
    <row r="169" spans="2:23" s="0" customFormat="0" ht="15">
      <c r="B169" s="87" t="s">
        <v>1</v>
      </c>
      <c r="C169" s="88" t="s">
        <v>5259</v>
      </c>
      <c r="D169" s="88" t="s">
        <v>317</v>
      </c>
      <c r="E169" s="88" t="s">
        <v>61</v>
      </c>
      <c r="F169" s="88">
        <v>0</v>
      </c>
      <c r="G169" s="78">
        <f>MAX(H169,I169,J169)</f>
        <v>1</v>
      </c>
      <c r="H169" s="88"/>
      <c r="I169" s="88"/>
      <c r="J169" s="78">
        <f>MAX(K169:Q169)</f>
        <v>1</v>
      </c>
      <c r="K169" s="88">
        <v>1</v>
      </c>
      <c r="L169" s="88"/>
      <c r="M169" s="88"/>
      <c r="N169" s="88"/>
      <c r="O169" s="88"/>
      <c r="P169" s="88"/>
      <c r="Q169" s="88"/>
      <c r="R169" s="78">
        <f>MAX(S169:W169)</f>
        <v>0</v>
      </c>
      <c r="S169" s="88"/>
      <c r="T169" s="88"/>
      <c r="U169" s="88"/>
      <c r="V169" s="88"/>
      <c r="W169" s="88"/>
    </row>
    <row r="170" spans="2:23" s="0" customFormat="0" ht="15">
      <c r="B170" s="87" t="s">
        <v>1</v>
      </c>
      <c r="C170" s="88" t="s">
        <v>5259</v>
      </c>
      <c r="D170" s="88">
        <v>3767589</v>
      </c>
      <c r="E170" s="88" t="s">
        <v>61</v>
      </c>
      <c r="F170" s="88">
        <v>0</v>
      </c>
      <c r="G170" s="78">
        <f>MAX(H170,I170,J170)</f>
        <v>1</v>
      </c>
      <c r="H170" s="88"/>
      <c r="I170" s="88"/>
      <c r="J170" s="78">
        <f>MAX(K170:Q170)</f>
        <v>1</v>
      </c>
      <c r="K170" s="88">
        <v>1</v>
      </c>
      <c r="L170" s="88"/>
      <c r="M170" s="88"/>
      <c r="N170" s="88"/>
      <c r="O170" s="88"/>
      <c r="P170" s="88"/>
      <c r="Q170" s="88"/>
      <c r="R170" s="78">
        <f>MAX(S170:W170)</f>
        <v>0</v>
      </c>
      <c r="S170" s="88"/>
      <c r="T170" s="88"/>
      <c r="U170" s="88"/>
      <c r="V170" s="88"/>
      <c r="W170" s="88"/>
    </row>
    <row r="171" spans="2:23" s="0" customFormat="0" ht="15">
      <c r="B171" s="87" t="s">
        <v>1</v>
      </c>
      <c r="C171" s="88" t="s">
        <v>5259</v>
      </c>
      <c r="D171" s="88" t="s">
        <v>3378</v>
      </c>
      <c r="E171" s="88" t="s">
        <v>61</v>
      </c>
      <c r="F171" s="88">
        <v>0</v>
      </c>
      <c r="G171" s="78">
        <f>MAX(H171,I171,J171)</f>
        <v>0</v>
      </c>
      <c r="H171" s="88"/>
      <c r="I171" s="88"/>
      <c r="J171" s="78">
        <f>MAX(K171:Q171)</f>
        <v>0</v>
      </c>
      <c r="K171" s="88"/>
      <c r="L171" s="88"/>
      <c r="M171" s="88"/>
      <c r="N171" s="88"/>
      <c r="O171" s="88"/>
      <c r="P171" s="88"/>
      <c r="Q171" s="88"/>
      <c r="R171" s="78">
        <f>MAX(S171:W171)</f>
        <v>1</v>
      </c>
      <c r="S171" s="88"/>
      <c r="T171" s="88"/>
      <c r="U171" s="88">
        <v>1</v>
      </c>
      <c r="V171" s="88"/>
      <c r="W171" s="88"/>
    </row>
    <row r="172" spans="2:23" s="0" customFormat="0" ht="15">
      <c r="B172" s="87" t="s">
        <v>1</v>
      </c>
      <c r="C172" s="88" t="s">
        <v>5259</v>
      </c>
      <c r="D172" s="88">
        <v>23936141</v>
      </c>
      <c r="E172" s="88" t="s">
        <v>61</v>
      </c>
      <c r="F172" s="88">
        <v>0</v>
      </c>
      <c r="G172" s="78">
        <f>MAX(H172,I172,J172)</f>
        <v>1</v>
      </c>
      <c r="H172" s="88"/>
      <c r="I172" s="88"/>
      <c r="J172" s="78">
        <f>MAX(K172:Q172)</f>
        <v>1</v>
      </c>
      <c r="K172" s="88">
        <v>1</v>
      </c>
      <c r="L172" s="88"/>
      <c r="M172" s="88"/>
      <c r="N172" s="88"/>
      <c r="O172" s="88"/>
      <c r="P172" s="88"/>
      <c r="Q172" s="88"/>
      <c r="R172" s="78">
        <f>MAX(S172:W172)</f>
        <v>0</v>
      </c>
      <c r="S172" s="88"/>
      <c r="T172" s="88"/>
      <c r="U172" s="88"/>
      <c r="V172" s="88"/>
      <c r="W172" s="88"/>
    </row>
    <row r="173" spans="2:23" s="0" customFormat="0" ht="15">
      <c r="B173" s="87" t="s">
        <v>1</v>
      </c>
      <c r="C173" s="88" t="s">
        <v>5259</v>
      </c>
      <c r="D173" s="88" t="s">
        <v>3380</v>
      </c>
      <c r="E173" s="88" t="s">
        <v>61</v>
      </c>
      <c r="F173" s="88">
        <v>0</v>
      </c>
      <c r="G173" s="78">
        <f>MAX(H173,I173,J173)</f>
        <v>0</v>
      </c>
      <c r="H173" s="88"/>
      <c r="I173" s="88"/>
      <c r="J173" s="78">
        <f>MAX(K173:Q173)</f>
        <v>0</v>
      </c>
      <c r="K173" s="88"/>
      <c r="L173" s="88"/>
      <c r="M173" s="88"/>
      <c r="N173" s="88"/>
      <c r="O173" s="88"/>
      <c r="P173" s="88"/>
      <c r="Q173" s="88"/>
      <c r="R173" s="78">
        <f>MAX(S173:W173)</f>
        <v>1</v>
      </c>
      <c r="S173" s="88"/>
      <c r="T173" s="88"/>
      <c r="U173" s="88">
        <v>1</v>
      </c>
      <c r="V173" s="88"/>
      <c r="W173" s="88"/>
    </row>
    <row r="174" spans="2:23" s="0" customFormat="0" ht="15">
      <c r="B174" s="87" t="s">
        <v>1</v>
      </c>
      <c r="C174" s="88" t="s">
        <v>5259</v>
      </c>
      <c r="D174" s="88">
        <v>22469147</v>
      </c>
      <c r="E174" s="88" t="s">
        <v>61</v>
      </c>
      <c r="F174" s="88">
        <v>0</v>
      </c>
      <c r="G174" s="78">
        <f>MAX(H174,I174,J174)</f>
        <v>1</v>
      </c>
      <c r="H174" s="88"/>
      <c r="I174" s="88"/>
      <c r="J174" s="78">
        <f>MAX(K174:Q174)</f>
        <v>1</v>
      </c>
      <c r="K174" s="88">
        <v>1</v>
      </c>
      <c r="L174" s="88"/>
      <c r="M174" s="88"/>
      <c r="N174" s="88"/>
      <c r="O174" s="88"/>
      <c r="P174" s="88"/>
      <c r="Q174" s="88"/>
      <c r="R174" s="78">
        <f>MAX(S174:W174)</f>
        <v>0</v>
      </c>
      <c r="S174" s="88"/>
      <c r="T174" s="88"/>
      <c r="U174" s="88"/>
      <c r="V174" s="88"/>
      <c r="W174" s="88"/>
    </row>
    <row r="175" spans="2:23" s="0" customFormat="0" ht="15">
      <c r="B175" s="87" t="s">
        <v>1</v>
      </c>
      <c r="C175" s="88" t="s">
        <v>5259</v>
      </c>
      <c r="D175" s="88">
        <v>23528331</v>
      </c>
      <c r="E175" s="88" t="s">
        <v>61</v>
      </c>
      <c r="F175" s="88">
        <v>0</v>
      </c>
      <c r="G175" s="78">
        <f>MAX(H175,I175,J175)</f>
        <v>1</v>
      </c>
      <c r="H175" s="88"/>
      <c r="I175" s="88"/>
      <c r="J175" s="78">
        <f>MAX(K175:Q175)</f>
        <v>1</v>
      </c>
      <c r="K175" s="88">
        <v>1</v>
      </c>
      <c r="L175" s="88"/>
      <c r="M175" s="88"/>
      <c r="N175" s="88"/>
      <c r="O175" s="88"/>
      <c r="P175" s="88"/>
      <c r="Q175" s="88"/>
      <c r="R175" s="78">
        <f>MAX(S175:W175)</f>
        <v>0</v>
      </c>
      <c r="S175" s="88"/>
      <c r="T175" s="88"/>
      <c r="U175" s="88"/>
      <c r="V175" s="88"/>
      <c r="W175" s="88"/>
    </row>
    <row r="176" spans="2:23" s="0" customFormat="0" ht="15">
      <c r="B176" s="87" t="s">
        <v>1</v>
      </c>
      <c r="C176" s="88" t="s">
        <v>5259</v>
      </c>
      <c r="D176" s="88">
        <v>23061859</v>
      </c>
      <c r="E176" s="88" t="s">
        <v>61</v>
      </c>
      <c r="F176" s="88">
        <v>0</v>
      </c>
      <c r="G176" s="78">
        <f>MAX(H176,I176,J176)</f>
        <v>1</v>
      </c>
      <c r="H176" s="88"/>
      <c r="I176" s="88"/>
      <c r="J176" s="78">
        <f>MAX(K176:Q176)</f>
        <v>1</v>
      </c>
      <c r="K176" s="88">
        <v>1</v>
      </c>
      <c r="L176" s="88"/>
      <c r="M176" s="88"/>
      <c r="N176" s="88"/>
      <c r="O176" s="88"/>
      <c r="P176" s="88"/>
      <c r="Q176" s="88"/>
      <c r="R176" s="78">
        <f>MAX(S176:W176)</f>
        <v>0</v>
      </c>
      <c r="S176" s="88"/>
      <c r="T176" s="88"/>
      <c r="U176" s="88"/>
      <c r="V176" s="88"/>
      <c r="W176" s="88"/>
    </row>
    <row r="177" spans="2:23" s="0" customFormat="0" ht="15">
      <c r="B177" s="87" t="s">
        <v>1</v>
      </c>
      <c r="C177" s="88" t="s">
        <v>5259</v>
      </c>
      <c r="D177" s="88">
        <v>8749137</v>
      </c>
      <c r="E177" s="88" t="s">
        <v>61</v>
      </c>
      <c r="F177" s="88">
        <v>0</v>
      </c>
      <c r="G177" s="78">
        <f>MAX(H177,I177,J177)</f>
        <v>1</v>
      </c>
      <c r="H177" s="88"/>
      <c r="I177" s="88"/>
      <c r="J177" s="78">
        <f>MAX(K177:Q177)</f>
        <v>1</v>
      </c>
      <c r="K177" s="88">
        <v>1</v>
      </c>
      <c r="L177" s="88"/>
      <c r="M177" s="88"/>
      <c r="N177" s="88"/>
      <c r="O177" s="88"/>
      <c r="P177" s="88"/>
      <c r="Q177" s="88"/>
      <c r="R177" s="78">
        <f>MAX(S177:W177)</f>
        <v>0</v>
      </c>
      <c r="S177" s="88"/>
      <c r="T177" s="88"/>
      <c r="U177" s="88"/>
      <c r="V177" s="88"/>
      <c r="W177" s="88"/>
    </row>
    <row r="178" spans="2:23" s="0" customFormat="0" ht="15">
      <c r="B178" s="87" t="s">
        <v>1</v>
      </c>
      <c r="C178" s="88" t="s">
        <v>5259</v>
      </c>
      <c r="D178" s="88">
        <v>15445565</v>
      </c>
      <c r="E178" s="88" t="s">
        <v>61</v>
      </c>
      <c r="F178" s="88">
        <v>0</v>
      </c>
      <c r="G178" s="78">
        <f>MAX(H178,I178,J178)</f>
        <v>1</v>
      </c>
      <c r="H178" s="88"/>
      <c r="I178" s="88"/>
      <c r="J178" s="78">
        <f>MAX(K178:Q178)</f>
        <v>1</v>
      </c>
      <c r="K178" s="88">
        <v>1</v>
      </c>
      <c r="L178" s="88"/>
      <c r="M178" s="88"/>
      <c r="N178" s="88"/>
      <c r="O178" s="88"/>
      <c r="P178" s="88"/>
      <c r="Q178" s="88"/>
      <c r="R178" s="78">
        <f>MAX(S178:W178)</f>
        <v>0</v>
      </c>
      <c r="S178" s="88"/>
      <c r="T178" s="88"/>
      <c r="U178" s="88"/>
      <c r="V178" s="88"/>
      <c r="W178" s="88"/>
    </row>
    <row r="179" spans="2:23" s="0" customFormat="0" ht="15">
      <c r="B179" s="87" t="s">
        <v>1</v>
      </c>
      <c r="C179" s="88" t="s">
        <v>5259</v>
      </c>
      <c r="D179" s="88" t="s">
        <v>3382</v>
      </c>
      <c r="E179" s="88" t="s">
        <v>61</v>
      </c>
      <c r="F179" s="88">
        <v>0</v>
      </c>
      <c r="G179" s="78">
        <f>MAX(H179,I179,J179)</f>
        <v>0</v>
      </c>
      <c r="H179" s="88"/>
      <c r="I179" s="88"/>
      <c r="J179" s="78">
        <f>MAX(K179:Q179)</f>
        <v>0</v>
      </c>
      <c r="K179" s="88"/>
      <c r="L179" s="88"/>
      <c r="M179" s="88"/>
      <c r="N179" s="88"/>
      <c r="O179" s="88"/>
      <c r="P179" s="88"/>
      <c r="Q179" s="88"/>
      <c r="R179" s="78">
        <f>MAX(S179:W179)</f>
        <v>1</v>
      </c>
      <c r="S179" s="88"/>
      <c r="T179" s="88"/>
      <c r="U179" s="88">
        <v>1</v>
      </c>
      <c r="V179" s="88"/>
      <c r="W179" s="88"/>
    </row>
    <row r="180" spans="2:23" s="0" customFormat="0" ht="15">
      <c r="B180" s="87" t="s">
        <v>1</v>
      </c>
      <c r="C180" s="88" t="s">
        <v>5259</v>
      </c>
      <c r="D180" s="88" t="s">
        <v>326</v>
      </c>
      <c r="E180" s="88" t="s">
        <v>61</v>
      </c>
      <c r="F180" s="88">
        <v>0</v>
      </c>
      <c r="G180" s="78">
        <f>MAX(H180,I180,J180)</f>
        <v>1</v>
      </c>
      <c r="H180" s="88"/>
      <c r="I180" s="88"/>
      <c r="J180" s="78">
        <f>MAX(K180:Q180)</f>
        <v>1</v>
      </c>
      <c r="K180" s="88">
        <v>1</v>
      </c>
      <c r="L180" s="88"/>
      <c r="M180" s="88"/>
      <c r="N180" s="88"/>
      <c r="O180" s="88"/>
      <c r="P180" s="88"/>
      <c r="Q180" s="88"/>
      <c r="R180" s="78">
        <f>MAX(S180:W180)</f>
        <v>0</v>
      </c>
      <c r="S180" s="88"/>
      <c r="T180" s="88"/>
      <c r="U180" s="88"/>
      <c r="V180" s="88"/>
      <c r="W180" s="88"/>
    </row>
    <row r="181" spans="2:23" s="0" customFormat="0" ht="15">
      <c r="B181" s="87" t="s">
        <v>1</v>
      </c>
      <c r="C181" s="88" t="s">
        <v>5259</v>
      </c>
      <c r="D181" s="88" t="s">
        <v>328</v>
      </c>
      <c r="E181" s="88" t="s">
        <v>61</v>
      </c>
      <c r="F181" s="88">
        <v>0</v>
      </c>
      <c r="G181" s="78">
        <f>MAX(H181,I181,J181)</f>
        <v>1</v>
      </c>
      <c r="H181" s="88"/>
      <c r="I181" s="88"/>
      <c r="J181" s="78">
        <f>MAX(K181:Q181)</f>
        <v>1</v>
      </c>
      <c r="K181" s="88">
        <v>1</v>
      </c>
      <c r="L181" s="88"/>
      <c r="M181" s="88"/>
      <c r="N181" s="88"/>
      <c r="O181" s="88"/>
      <c r="P181" s="88"/>
      <c r="Q181" s="88"/>
      <c r="R181" s="78">
        <f>MAX(S181:W181)</f>
        <v>0</v>
      </c>
      <c r="S181" s="88"/>
      <c r="T181" s="88"/>
      <c r="U181" s="88"/>
      <c r="V181" s="88"/>
      <c r="W181" s="88"/>
    </row>
    <row r="182" spans="2:23" s="0" customFormat="0" ht="15">
      <c r="B182" s="87" t="s">
        <v>1</v>
      </c>
      <c r="C182" s="88" t="s">
        <v>5259</v>
      </c>
      <c r="D182" s="88">
        <v>14276868</v>
      </c>
      <c r="E182" s="88" t="s">
        <v>61</v>
      </c>
      <c r="F182" s="88">
        <v>0</v>
      </c>
      <c r="G182" s="78">
        <f>MAX(H182,I182,J182)</f>
        <v>1</v>
      </c>
      <c r="H182" s="88"/>
      <c r="I182" s="88"/>
      <c r="J182" s="78">
        <f>MAX(K182:Q182)</f>
        <v>1</v>
      </c>
      <c r="K182" s="88">
        <v>1</v>
      </c>
      <c r="L182" s="88"/>
      <c r="M182" s="88"/>
      <c r="N182" s="88"/>
      <c r="O182" s="88"/>
      <c r="P182" s="88"/>
      <c r="Q182" s="88"/>
      <c r="R182" s="78">
        <f>MAX(S182:W182)</f>
        <v>0</v>
      </c>
      <c r="S182" s="88"/>
      <c r="T182" s="88"/>
      <c r="U182" s="88"/>
      <c r="V182" s="88"/>
      <c r="W182" s="88"/>
    </row>
    <row r="183" spans="2:23" s="0" customFormat="0" ht="15">
      <c r="B183" s="87" t="s">
        <v>1</v>
      </c>
      <c r="C183" s="88" t="s">
        <v>5259</v>
      </c>
      <c r="D183" s="88" t="s">
        <v>331</v>
      </c>
      <c r="E183" s="88" t="s">
        <v>61</v>
      </c>
      <c r="F183" s="88">
        <v>0</v>
      </c>
      <c r="G183" s="78">
        <f>MAX(H183,I183,J183)</f>
        <v>1</v>
      </c>
      <c r="H183" s="88"/>
      <c r="I183" s="88"/>
      <c r="J183" s="78">
        <f>MAX(K183:Q183)</f>
        <v>1</v>
      </c>
      <c r="K183" s="88">
        <v>1</v>
      </c>
      <c r="L183" s="88"/>
      <c r="M183" s="88"/>
      <c r="N183" s="88"/>
      <c r="O183" s="88"/>
      <c r="P183" s="88"/>
      <c r="Q183" s="88"/>
      <c r="R183" s="78">
        <f>MAX(S183:W183)</f>
        <v>0</v>
      </c>
      <c r="S183" s="88"/>
      <c r="T183" s="88"/>
      <c r="U183" s="88"/>
      <c r="V183" s="88"/>
      <c r="W183" s="88"/>
    </row>
    <row r="184" spans="2:23" s="0" customFormat="0" ht="15">
      <c r="B184" s="87" t="s">
        <v>1</v>
      </c>
      <c r="C184" s="88" t="s">
        <v>5259</v>
      </c>
      <c r="D184" s="88">
        <v>17407831</v>
      </c>
      <c r="E184" s="88" t="s">
        <v>61</v>
      </c>
      <c r="F184" s="88">
        <v>0</v>
      </c>
      <c r="G184" s="78">
        <f>MAX(H184,I184,J184)</f>
        <v>1</v>
      </c>
      <c r="H184" s="88"/>
      <c r="I184" s="88"/>
      <c r="J184" s="78">
        <f>MAX(K184:Q184)</f>
        <v>1</v>
      </c>
      <c r="K184" s="88">
        <v>1</v>
      </c>
      <c r="L184" s="88"/>
      <c r="M184" s="88"/>
      <c r="N184" s="88"/>
      <c r="O184" s="88"/>
      <c r="P184" s="88"/>
      <c r="Q184" s="88"/>
      <c r="R184" s="78">
        <f>MAX(S184:W184)</f>
        <v>0</v>
      </c>
      <c r="S184" s="88"/>
      <c r="T184" s="88"/>
      <c r="U184" s="88"/>
      <c r="V184" s="88"/>
      <c r="W184" s="88"/>
    </row>
    <row r="185" spans="2:23" s="0" customFormat="0" ht="15">
      <c r="B185" s="87" t="s">
        <v>1</v>
      </c>
      <c r="C185" s="88" t="s">
        <v>5259</v>
      </c>
      <c r="D185" s="88">
        <v>19132588</v>
      </c>
      <c r="E185" s="88" t="s">
        <v>61</v>
      </c>
      <c r="F185" s="88">
        <v>0</v>
      </c>
      <c r="G185" s="78">
        <f>MAX(H185,I185,J185)</f>
        <v>1</v>
      </c>
      <c r="H185" s="88"/>
      <c r="I185" s="88"/>
      <c r="J185" s="78">
        <f>MAX(K185:Q185)</f>
        <v>1</v>
      </c>
      <c r="K185" s="88">
        <v>1</v>
      </c>
      <c r="L185" s="88"/>
      <c r="M185" s="88"/>
      <c r="N185" s="88"/>
      <c r="O185" s="88"/>
      <c r="P185" s="88"/>
      <c r="Q185" s="88"/>
      <c r="R185" s="78">
        <f>MAX(S185:W185)</f>
        <v>0</v>
      </c>
      <c r="S185" s="88"/>
      <c r="T185" s="88"/>
      <c r="U185" s="88"/>
      <c r="V185" s="88"/>
      <c r="W185" s="88"/>
    </row>
    <row r="186" spans="2:23" s="0" customFormat="0" ht="15">
      <c r="B186" s="87" t="s">
        <v>1</v>
      </c>
      <c r="C186" s="88" t="s">
        <v>5259</v>
      </c>
      <c r="D186" s="88">
        <v>22948279</v>
      </c>
      <c r="E186" s="88" t="s">
        <v>61</v>
      </c>
      <c r="F186" s="88">
        <v>0</v>
      </c>
      <c r="G186" s="78">
        <f>MAX(H186,I186,J186)</f>
        <v>1</v>
      </c>
      <c r="H186" s="88"/>
      <c r="I186" s="88"/>
      <c r="J186" s="78">
        <f>MAX(K186:Q186)</f>
        <v>1</v>
      </c>
      <c r="K186" s="88">
        <v>1</v>
      </c>
      <c r="L186" s="88"/>
      <c r="M186" s="88"/>
      <c r="N186" s="88"/>
      <c r="O186" s="88"/>
      <c r="P186" s="88"/>
      <c r="Q186" s="88"/>
      <c r="R186" s="78">
        <f>MAX(S186:W186)</f>
        <v>0</v>
      </c>
      <c r="S186" s="88"/>
      <c r="T186" s="88"/>
      <c r="U186" s="88"/>
      <c r="V186" s="88"/>
      <c r="W186" s="88"/>
    </row>
    <row r="187" spans="2:23" s="0" customFormat="0" ht="15">
      <c r="B187" s="87" t="s">
        <v>1</v>
      </c>
      <c r="C187" s="88" t="s">
        <v>5259</v>
      </c>
      <c r="D187" s="88" t="s">
        <v>3384</v>
      </c>
      <c r="E187" s="88" t="s">
        <v>61</v>
      </c>
      <c r="F187" s="88">
        <v>0</v>
      </c>
      <c r="G187" s="78">
        <f>MAX(H187,I187,J187)</f>
        <v>0</v>
      </c>
      <c r="H187" s="88"/>
      <c r="I187" s="88"/>
      <c r="J187" s="78">
        <f>MAX(K187:Q187)</f>
        <v>0</v>
      </c>
      <c r="K187" s="88"/>
      <c r="L187" s="88"/>
      <c r="M187" s="88"/>
      <c r="N187" s="88"/>
      <c r="O187" s="88"/>
      <c r="P187" s="88"/>
      <c r="Q187" s="88"/>
      <c r="R187" s="78">
        <f>MAX(S187:W187)</f>
        <v>1</v>
      </c>
      <c r="S187" s="88"/>
      <c r="T187" s="88"/>
      <c r="U187" s="88">
        <v>1</v>
      </c>
      <c r="V187" s="88"/>
      <c r="W187" s="88"/>
    </row>
    <row r="188" spans="2:23" s="0" customFormat="0" ht="15">
      <c r="B188" s="87" t="s">
        <v>1</v>
      </c>
      <c r="C188" s="88" t="s">
        <v>5259</v>
      </c>
      <c r="D188" s="88">
        <v>11063578</v>
      </c>
      <c r="E188" s="88" t="s">
        <v>61</v>
      </c>
      <c r="F188" s="88">
        <v>0</v>
      </c>
      <c r="G188" s="78">
        <f>MAX(H188,I188,J188)</f>
        <v>1</v>
      </c>
      <c r="H188" s="88"/>
      <c r="I188" s="88"/>
      <c r="J188" s="78">
        <f>MAX(K188:Q188)</f>
        <v>1</v>
      </c>
      <c r="K188" s="88">
        <v>1</v>
      </c>
      <c r="L188" s="88"/>
      <c r="M188" s="88"/>
      <c r="N188" s="88"/>
      <c r="O188" s="88"/>
      <c r="P188" s="88"/>
      <c r="Q188" s="88"/>
      <c r="R188" s="78">
        <f>MAX(S188:W188)</f>
        <v>0</v>
      </c>
      <c r="S188" s="88"/>
      <c r="T188" s="88"/>
      <c r="U188" s="88"/>
      <c r="V188" s="88"/>
      <c r="W188" s="88"/>
    </row>
    <row r="189" spans="2:23" s="0" customFormat="0" ht="15">
      <c r="B189" s="87" t="s">
        <v>1</v>
      </c>
      <c r="C189" s="88" t="s">
        <v>5259</v>
      </c>
      <c r="D189" s="88" t="s">
        <v>3386</v>
      </c>
      <c r="E189" s="88" t="s">
        <v>61</v>
      </c>
      <c r="F189" s="88">
        <v>0</v>
      </c>
      <c r="G189" s="78">
        <f>MAX(H189,I189,J189)</f>
        <v>0</v>
      </c>
      <c r="H189" s="88"/>
      <c r="I189" s="88"/>
      <c r="J189" s="78">
        <f>MAX(K189:Q189)</f>
        <v>0</v>
      </c>
      <c r="K189" s="88"/>
      <c r="L189" s="88"/>
      <c r="M189" s="88"/>
      <c r="N189" s="88"/>
      <c r="O189" s="88"/>
      <c r="P189" s="88"/>
      <c r="Q189" s="88"/>
      <c r="R189" s="78">
        <f>MAX(S189:W189)</f>
        <v>1</v>
      </c>
      <c r="S189" s="88"/>
      <c r="T189" s="88"/>
      <c r="U189" s="88">
        <v>1</v>
      </c>
      <c r="V189" s="88"/>
      <c r="W189" s="88"/>
    </row>
    <row r="190" spans="2:23" s="0" customFormat="0" ht="15">
      <c r="B190" s="87" t="s">
        <v>1</v>
      </c>
      <c r="C190" s="88" t="s">
        <v>5259</v>
      </c>
      <c r="D190" s="88">
        <v>15454220</v>
      </c>
      <c r="E190" s="88" t="s">
        <v>61</v>
      </c>
      <c r="F190" s="88">
        <v>0</v>
      </c>
      <c r="G190" s="78">
        <f>MAX(H190,I190,J190)</f>
        <v>0</v>
      </c>
      <c r="H190" s="88"/>
      <c r="I190" s="88"/>
      <c r="J190" s="78">
        <f>MAX(K190:Q190)</f>
        <v>0</v>
      </c>
      <c r="K190" s="88"/>
      <c r="L190" s="88"/>
      <c r="M190" s="88"/>
      <c r="N190" s="88"/>
      <c r="O190" s="88"/>
      <c r="P190" s="88"/>
      <c r="Q190" s="88"/>
      <c r="R190" s="78">
        <f>MAX(S190:W190)</f>
        <v>1</v>
      </c>
      <c r="S190" s="88"/>
      <c r="T190" s="88"/>
      <c r="U190" s="88">
        <v>1</v>
      </c>
      <c r="V190" s="88"/>
      <c r="W190" s="88"/>
    </row>
    <row r="191" spans="2:23" s="0" customFormat="0" ht="15">
      <c r="B191" s="87" t="s">
        <v>1</v>
      </c>
      <c r="C191" s="88" t="s">
        <v>5259</v>
      </c>
      <c r="D191" s="88">
        <v>870799</v>
      </c>
      <c r="E191" s="88" t="s">
        <v>61</v>
      </c>
      <c r="F191" s="88">
        <v>0</v>
      </c>
      <c r="G191" s="78">
        <f>MAX(H191,I191,J191)</f>
        <v>0</v>
      </c>
      <c r="H191" s="88"/>
      <c r="I191" s="88"/>
      <c r="J191" s="78">
        <f>MAX(K191:Q191)</f>
        <v>0</v>
      </c>
      <c r="K191" s="88"/>
      <c r="L191" s="88"/>
      <c r="M191" s="88"/>
      <c r="N191" s="88"/>
      <c r="O191" s="88"/>
      <c r="P191" s="88"/>
      <c r="Q191" s="88"/>
      <c r="R191" s="78">
        <f>MAX(S191:W191)</f>
        <v>1</v>
      </c>
      <c r="S191" s="88"/>
      <c r="T191" s="88"/>
      <c r="U191" s="88">
        <v>1</v>
      </c>
      <c r="V191" s="88"/>
      <c r="W191" s="88"/>
    </row>
    <row r="192" spans="2:23" s="0" customFormat="0" ht="15">
      <c r="B192" s="87" t="s">
        <v>1</v>
      </c>
      <c r="C192" s="88" t="s">
        <v>5259</v>
      </c>
      <c r="D192" s="88" t="s">
        <v>3390</v>
      </c>
      <c r="E192" s="88" t="s">
        <v>61</v>
      </c>
      <c r="F192" s="88">
        <v>0</v>
      </c>
      <c r="G192" s="78">
        <f>MAX(H192,I192,J192)</f>
        <v>0</v>
      </c>
      <c r="H192" s="88"/>
      <c r="I192" s="88"/>
      <c r="J192" s="78">
        <f>MAX(K192:Q192)</f>
        <v>0</v>
      </c>
      <c r="K192" s="88"/>
      <c r="L192" s="88"/>
      <c r="M192" s="88"/>
      <c r="N192" s="88"/>
      <c r="O192" s="88"/>
      <c r="P192" s="88"/>
      <c r="Q192" s="88"/>
      <c r="R192" s="78">
        <f>MAX(S192:W192)</f>
        <v>1</v>
      </c>
      <c r="S192" s="88"/>
      <c r="T192" s="88"/>
      <c r="U192" s="88">
        <v>1</v>
      </c>
      <c r="V192" s="88"/>
      <c r="W192" s="88"/>
    </row>
    <row r="193" spans="2:23" s="0" customFormat="0" ht="15">
      <c r="B193" s="87" t="s">
        <v>1</v>
      </c>
      <c r="C193" s="88" t="s">
        <v>5259</v>
      </c>
      <c r="D193" s="88" t="s">
        <v>337</v>
      </c>
      <c r="E193" s="88" t="s">
        <v>61</v>
      </c>
      <c r="F193" s="88">
        <v>0</v>
      </c>
      <c r="G193" s="78">
        <f>MAX(H193,I193,J193)</f>
        <v>1</v>
      </c>
      <c r="H193" s="88"/>
      <c r="I193" s="88"/>
      <c r="J193" s="78">
        <f>MAX(K193:Q193)</f>
        <v>1</v>
      </c>
      <c r="K193" s="88">
        <v>1</v>
      </c>
      <c r="L193" s="88"/>
      <c r="M193" s="88"/>
      <c r="N193" s="88"/>
      <c r="O193" s="88"/>
      <c r="P193" s="88"/>
      <c r="Q193" s="88"/>
      <c r="R193" s="78">
        <f>MAX(S193:W193)</f>
        <v>0</v>
      </c>
      <c r="S193" s="88"/>
      <c r="T193" s="88"/>
      <c r="U193" s="88"/>
      <c r="V193" s="88"/>
      <c r="W193" s="88"/>
    </row>
    <row r="194" spans="2:23" s="0" customFormat="0" ht="15">
      <c r="B194" s="87" t="s">
        <v>1</v>
      </c>
      <c r="C194" s="88" t="s">
        <v>5259</v>
      </c>
      <c r="D194" s="88" t="s">
        <v>3392</v>
      </c>
      <c r="E194" s="88" t="s">
        <v>61</v>
      </c>
      <c r="F194" s="88">
        <v>0</v>
      </c>
      <c r="G194" s="78">
        <f>MAX(H194,I194,J194)</f>
        <v>0</v>
      </c>
      <c r="H194" s="88"/>
      <c r="I194" s="88"/>
      <c r="J194" s="78">
        <f>MAX(K194:Q194)</f>
        <v>0</v>
      </c>
      <c r="K194" s="88"/>
      <c r="L194" s="88"/>
      <c r="M194" s="88"/>
      <c r="N194" s="88"/>
      <c r="O194" s="88"/>
      <c r="P194" s="88"/>
      <c r="Q194" s="88"/>
      <c r="R194" s="78">
        <f>MAX(S194:W194)</f>
        <v>1</v>
      </c>
      <c r="S194" s="88"/>
      <c r="T194" s="88"/>
      <c r="U194" s="88">
        <v>1</v>
      </c>
      <c r="V194" s="88"/>
      <c r="W194" s="88"/>
    </row>
    <row r="195" spans="2:23" s="0" customFormat="0" ht="15">
      <c r="B195" s="87" t="s">
        <v>1</v>
      </c>
      <c r="C195" s="88" t="s">
        <v>5259</v>
      </c>
      <c r="D195" s="88">
        <v>23127282</v>
      </c>
      <c r="E195" s="88" t="s">
        <v>61</v>
      </c>
      <c r="F195" s="88">
        <v>0</v>
      </c>
      <c r="G195" s="78">
        <f>MAX(H195,I195,J195)</f>
        <v>1</v>
      </c>
      <c r="H195" s="88"/>
      <c r="I195" s="88"/>
      <c r="J195" s="78">
        <f>MAX(K195:Q195)</f>
        <v>1</v>
      </c>
      <c r="K195" s="88">
        <v>1</v>
      </c>
      <c r="L195" s="88"/>
      <c r="M195" s="88"/>
      <c r="N195" s="88"/>
      <c r="O195" s="88"/>
      <c r="P195" s="88"/>
      <c r="Q195" s="88"/>
      <c r="R195" s="78">
        <f>MAX(S195:W195)</f>
        <v>0</v>
      </c>
      <c r="S195" s="88"/>
      <c r="T195" s="88"/>
      <c r="U195" s="88"/>
      <c r="V195" s="88"/>
      <c r="W195" s="88"/>
    </row>
    <row r="196" spans="2:23" s="0" customFormat="0" ht="15">
      <c r="B196" s="87" t="s">
        <v>1</v>
      </c>
      <c r="C196" s="88" t="s">
        <v>5259</v>
      </c>
      <c r="D196" s="88">
        <v>19178600</v>
      </c>
      <c r="E196" s="88" t="s">
        <v>61</v>
      </c>
      <c r="F196" s="88">
        <v>0</v>
      </c>
      <c r="G196" s="78">
        <f>MAX(H196,I196,J196)</f>
        <v>1</v>
      </c>
      <c r="H196" s="88"/>
      <c r="I196" s="88"/>
      <c r="J196" s="78">
        <f>MAX(K196:Q196)</f>
        <v>1</v>
      </c>
      <c r="K196" s="88">
        <v>1</v>
      </c>
      <c r="L196" s="88"/>
      <c r="M196" s="88"/>
      <c r="N196" s="88"/>
      <c r="O196" s="88"/>
      <c r="P196" s="88"/>
      <c r="Q196" s="88"/>
      <c r="R196" s="78">
        <f>MAX(S196:W196)</f>
        <v>0</v>
      </c>
      <c r="S196" s="88"/>
      <c r="T196" s="88"/>
      <c r="U196" s="88"/>
      <c r="V196" s="88"/>
      <c r="W196" s="88"/>
    </row>
    <row r="197" spans="2:23" s="0" customFormat="0" ht="15">
      <c r="B197" s="87" t="s">
        <v>1</v>
      </c>
      <c r="C197" s="88" t="s">
        <v>5259</v>
      </c>
      <c r="D197" s="88">
        <v>16092812</v>
      </c>
      <c r="E197" s="88" t="s">
        <v>61</v>
      </c>
      <c r="F197" s="88">
        <v>0</v>
      </c>
      <c r="G197" s="78">
        <f>MAX(H197,I197,J197)</f>
        <v>1</v>
      </c>
      <c r="H197" s="88"/>
      <c r="I197" s="88"/>
      <c r="J197" s="78">
        <f>MAX(K197:Q197)</f>
        <v>1</v>
      </c>
      <c r="K197" s="88">
        <v>1</v>
      </c>
      <c r="L197" s="88"/>
      <c r="M197" s="88"/>
      <c r="N197" s="88"/>
      <c r="O197" s="88"/>
      <c r="P197" s="88"/>
      <c r="Q197" s="88"/>
      <c r="R197" s="78">
        <f>MAX(S197:W197)</f>
        <v>0</v>
      </c>
      <c r="S197" s="88"/>
      <c r="T197" s="88"/>
      <c r="U197" s="88"/>
      <c r="V197" s="88"/>
      <c r="W197" s="88"/>
    </row>
    <row r="198" spans="2:23" s="0" customFormat="0" ht="15">
      <c r="B198" s="87" t="s">
        <v>1</v>
      </c>
      <c r="C198" s="88" t="s">
        <v>5259</v>
      </c>
      <c r="D198" s="88" t="s">
        <v>3394</v>
      </c>
      <c r="E198" s="88" t="s">
        <v>61</v>
      </c>
      <c r="F198" s="88">
        <v>0</v>
      </c>
      <c r="G198" s="78">
        <f>MAX(H198,I198,J198)</f>
        <v>0</v>
      </c>
      <c r="H198" s="88"/>
      <c r="I198" s="88"/>
      <c r="J198" s="78">
        <f>MAX(K198:Q198)</f>
        <v>0</v>
      </c>
      <c r="K198" s="88"/>
      <c r="L198" s="88"/>
      <c r="M198" s="88"/>
      <c r="N198" s="88"/>
      <c r="O198" s="88"/>
      <c r="P198" s="88"/>
      <c r="Q198" s="88"/>
      <c r="R198" s="78">
        <f>MAX(S198:W198)</f>
        <v>1</v>
      </c>
      <c r="S198" s="88"/>
      <c r="T198" s="88"/>
      <c r="U198" s="88">
        <v>1</v>
      </c>
      <c r="V198" s="88"/>
      <c r="W198" s="88"/>
    </row>
    <row r="199" spans="2:23" s="0" customFormat="0" ht="15">
      <c r="B199" s="87" t="s">
        <v>1</v>
      </c>
      <c r="C199" s="88" t="s">
        <v>5259</v>
      </c>
      <c r="D199" s="88">
        <v>22554265</v>
      </c>
      <c r="E199" s="88" t="s">
        <v>61</v>
      </c>
      <c r="F199" s="88">
        <v>0</v>
      </c>
      <c r="G199" s="78">
        <f>MAX(H199,I199,J199)</f>
        <v>0</v>
      </c>
      <c r="H199" s="88"/>
      <c r="I199" s="88"/>
      <c r="J199" s="78">
        <f>MAX(K199:Q199)</f>
        <v>0</v>
      </c>
      <c r="K199" s="88"/>
      <c r="L199" s="88"/>
      <c r="M199" s="88"/>
      <c r="N199" s="88"/>
      <c r="O199" s="88"/>
      <c r="P199" s="88"/>
      <c r="Q199" s="88"/>
      <c r="R199" s="78">
        <f>MAX(S199:W199)</f>
        <v>1</v>
      </c>
      <c r="S199" s="88"/>
      <c r="T199" s="88"/>
      <c r="U199" s="88">
        <v>1</v>
      </c>
      <c r="V199" s="88"/>
      <c r="W199" s="88"/>
    </row>
    <row r="200" spans="2:23" s="0" customFormat="0" ht="15">
      <c r="B200" s="87" t="s">
        <v>1</v>
      </c>
      <c r="C200" s="88" t="s">
        <v>5259</v>
      </c>
      <c r="D200" s="88" t="s">
        <v>3397</v>
      </c>
      <c r="E200" s="88" t="s">
        <v>61</v>
      </c>
      <c r="F200" s="88">
        <v>0</v>
      </c>
      <c r="G200" s="78">
        <f>MAX(H200,I200,J200)</f>
        <v>0</v>
      </c>
      <c r="H200" s="88"/>
      <c r="I200" s="88"/>
      <c r="J200" s="78">
        <f>MAX(K200:Q200)</f>
        <v>0</v>
      </c>
      <c r="K200" s="88"/>
      <c r="L200" s="88"/>
      <c r="M200" s="88"/>
      <c r="N200" s="88"/>
      <c r="O200" s="88"/>
      <c r="P200" s="88"/>
      <c r="Q200" s="88"/>
      <c r="R200" s="78">
        <f>MAX(S200:W200)</f>
        <v>1</v>
      </c>
      <c r="S200" s="88"/>
      <c r="T200" s="88"/>
      <c r="U200" s="88">
        <v>1</v>
      </c>
      <c r="V200" s="88"/>
      <c r="W200" s="88"/>
    </row>
    <row r="201" spans="2:23" s="0" customFormat="0" ht="15">
      <c r="B201" s="87" t="s">
        <v>1</v>
      </c>
      <c r="C201" s="88" t="s">
        <v>5259</v>
      </c>
      <c r="D201" s="88">
        <v>22623674</v>
      </c>
      <c r="E201" s="88" t="s">
        <v>61</v>
      </c>
      <c r="F201" s="88">
        <v>0</v>
      </c>
      <c r="G201" s="78">
        <f>MAX(H201,I201,J201)</f>
        <v>0</v>
      </c>
      <c r="H201" s="88"/>
      <c r="I201" s="88"/>
      <c r="J201" s="78">
        <f>MAX(K201:Q201)</f>
        <v>0</v>
      </c>
      <c r="K201" s="88"/>
      <c r="L201" s="88"/>
      <c r="M201" s="88"/>
      <c r="N201" s="88"/>
      <c r="O201" s="88"/>
      <c r="P201" s="88"/>
      <c r="Q201" s="88"/>
      <c r="R201" s="78">
        <f>MAX(S201:W201)</f>
        <v>1</v>
      </c>
      <c r="S201" s="88"/>
      <c r="T201" s="88"/>
      <c r="U201" s="88">
        <v>1</v>
      </c>
      <c r="V201" s="88"/>
      <c r="W201" s="88"/>
    </row>
    <row r="202" spans="2:23" s="0" customFormat="0" ht="15">
      <c r="B202" s="87" t="s">
        <v>1</v>
      </c>
      <c r="C202" s="88" t="s">
        <v>5259</v>
      </c>
      <c r="D202" s="88">
        <v>18173009</v>
      </c>
      <c r="E202" s="88" t="s">
        <v>61</v>
      </c>
      <c r="F202" s="88">
        <v>0</v>
      </c>
      <c r="G202" s="78">
        <f>MAX(H202,I202,J202)</f>
        <v>1</v>
      </c>
      <c r="H202" s="88"/>
      <c r="I202" s="88"/>
      <c r="J202" s="78">
        <f>MAX(K202:Q202)</f>
        <v>1</v>
      </c>
      <c r="K202" s="88">
        <v>1</v>
      </c>
      <c r="L202" s="88"/>
      <c r="M202" s="88"/>
      <c r="N202" s="88"/>
      <c r="O202" s="88"/>
      <c r="P202" s="88"/>
      <c r="Q202" s="88"/>
      <c r="R202" s="78">
        <f>MAX(S202:W202)</f>
        <v>0</v>
      </c>
      <c r="S202" s="88"/>
      <c r="T202" s="88"/>
      <c r="U202" s="88"/>
      <c r="V202" s="88"/>
      <c r="W202" s="88"/>
    </row>
    <row r="203" spans="2:23" s="0" customFormat="0" ht="15">
      <c r="B203" s="87" t="s">
        <v>1</v>
      </c>
      <c r="C203" s="88" t="s">
        <v>5259</v>
      </c>
      <c r="D203" s="88">
        <v>15831633</v>
      </c>
      <c r="E203" s="88" t="s">
        <v>61</v>
      </c>
      <c r="F203" s="88">
        <v>0</v>
      </c>
      <c r="G203" s="78">
        <f>MAX(H203,I203,J203)</f>
        <v>1</v>
      </c>
      <c r="H203" s="88"/>
      <c r="I203" s="88"/>
      <c r="J203" s="78">
        <f>MAX(K203:Q203)</f>
        <v>1</v>
      </c>
      <c r="K203" s="88"/>
      <c r="L203" s="88">
        <v>1</v>
      </c>
      <c r="M203" s="88"/>
      <c r="N203" s="88"/>
      <c r="O203" s="88"/>
      <c r="P203" s="88"/>
      <c r="Q203" s="88"/>
      <c r="R203" s="78">
        <f>MAX(S203:W203)</f>
        <v>0</v>
      </c>
      <c r="S203" s="88"/>
      <c r="T203" s="88"/>
      <c r="U203" s="88"/>
      <c r="V203" s="88"/>
      <c r="W203" s="88"/>
    </row>
    <row r="204" spans="2:23" s="0" customFormat="0" ht="15">
      <c r="B204" s="87" t="s">
        <v>1</v>
      </c>
      <c r="C204" s="88" t="s">
        <v>5259</v>
      </c>
      <c r="D204" s="88">
        <v>15815020</v>
      </c>
      <c r="E204" s="88" t="s">
        <v>61</v>
      </c>
      <c r="F204" s="88">
        <v>0</v>
      </c>
      <c r="G204" s="78">
        <f>MAX(H204,I204,J204)</f>
        <v>1</v>
      </c>
      <c r="H204" s="88"/>
      <c r="I204" s="88"/>
      <c r="J204" s="78">
        <f>MAX(K204:Q204)</f>
        <v>1</v>
      </c>
      <c r="K204" s="88">
        <v>1</v>
      </c>
      <c r="L204" s="88"/>
      <c r="M204" s="88"/>
      <c r="N204" s="88"/>
      <c r="O204" s="88"/>
      <c r="P204" s="88"/>
      <c r="Q204" s="88"/>
      <c r="R204" s="78">
        <f>MAX(S204:W204)</f>
        <v>0</v>
      </c>
      <c r="S204" s="88"/>
      <c r="T204" s="88"/>
      <c r="U204" s="88"/>
      <c r="V204" s="88"/>
      <c r="W204" s="88"/>
    </row>
    <row r="205" spans="2:23" s="0" customFormat="0" ht="15">
      <c r="B205" s="87" t="s">
        <v>1</v>
      </c>
      <c r="C205" s="88" t="s">
        <v>5259</v>
      </c>
      <c r="D205" s="88">
        <v>17921546</v>
      </c>
      <c r="E205" s="88" t="s">
        <v>61</v>
      </c>
      <c r="F205" s="88">
        <v>0</v>
      </c>
      <c r="G205" s="78">
        <f>MAX(H205,I205,J205)</f>
        <v>1</v>
      </c>
      <c r="H205" s="88"/>
      <c r="I205" s="88"/>
      <c r="J205" s="78">
        <f>MAX(K205:Q205)</f>
        <v>1</v>
      </c>
      <c r="K205" s="88">
        <v>1</v>
      </c>
      <c r="L205" s="88"/>
      <c r="M205" s="88"/>
      <c r="N205" s="88"/>
      <c r="O205" s="88"/>
      <c r="P205" s="88"/>
      <c r="Q205" s="88"/>
      <c r="R205" s="78">
        <f>MAX(S205:W205)</f>
        <v>0</v>
      </c>
      <c r="S205" s="88"/>
      <c r="T205" s="88"/>
      <c r="U205" s="88"/>
      <c r="V205" s="88"/>
      <c r="W205" s="88"/>
    </row>
    <row r="206" spans="2:23" s="0" customFormat="0" ht="15">
      <c r="B206" s="87" t="s">
        <v>1</v>
      </c>
      <c r="C206" s="88" t="s">
        <v>5259</v>
      </c>
      <c r="D206" s="88">
        <v>6839913</v>
      </c>
      <c r="E206" s="88" t="s">
        <v>61</v>
      </c>
      <c r="F206" s="88">
        <v>0</v>
      </c>
      <c r="G206" s="78">
        <f>MAX(H206,I206,J206)</f>
        <v>1</v>
      </c>
      <c r="H206" s="88"/>
      <c r="I206" s="88"/>
      <c r="J206" s="78">
        <f>MAX(K206:Q206)</f>
        <v>1</v>
      </c>
      <c r="K206" s="88">
        <v>1</v>
      </c>
      <c r="L206" s="88"/>
      <c r="M206" s="88"/>
      <c r="N206" s="88"/>
      <c r="O206" s="88"/>
      <c r="P206" s="88"/>
      <c r="Q206" s="88"/>
      <c r="R206" s="78">
        <f>MAX(S206:W206)</f>
        <v>0</v>
      </c>
      <c r="S206" s="88"/>
      <c r="T206" s="88"/>
      <c r="U206" s="88"/>
      <c r="V206" s="88"/>
      <c r="W206" s="88"/>
    </row>
    <row r="207" spans="2:23" s="0" customFormat="0" ht="15">
      <c r="B207" s="87" t="s">
        <v>1</v>
      </c>
      <c r="C207" s="88" t="s">
        <v>5259</v>
      </c>
      <c r="D207" s="88">
        <v>22554485</v>
      </c>
      <c r="E207" s="88" t="s">
        <v>61</v>
      </c>
      <c r="F207" s="88">
        <v>0</v>
      </c>
      <c r="G207" s="78">
        <f>MAX(H207,I207,J207)</f>
        <v>1</v>
      </c>
      <c r="H207" s="88"/>
      <c r="I207" s="88"/>
      <c r="J207" s="78">
        <f>MAX(K207:Q207)</f>
        <v>1</v>
      </c>
      <c r="K207" s="88">
        <v>1</v>
      </c>
      <c r="L207" s="88"/>
      <c r="M207" s="88"/>
      <c r="N207" s="88"/>
      <c r="O207" s="88"/>
      <c r="P207" s="88"/>
      <c r="Q207" s="88"/>
      <c r="R207" s="78">
        <f>MAX(S207:W207)</f>
        <v>0</v>
      </c>
      <c r="S207" s="88"/>
      <c r="T207" s="88"/>
      <c r="U207" s="88"/>
      <c r="V207" s="88"/>
      <c r="W207" s="88"/>
    </row>
    <row r="208" spans="2:23" s="0" customFormat="0" ht="15">
      <c r="B208" s="87" t="s">
        <v>1</v>
      </c>
      <c r="C208" s="88" t="s">
        <v>5259</v>
      </c>
      <c r="D208" s="88">
        <v>22062088</v>
      </c>
      <c r="E208" s="88" t="s">
        <v>61</v>
      </c>
      <c r="F208" s="88">
        <v>0</v>
      </c>
      <c r="G208" s="78">
        <f>MAX(H208,I208,J208)</f>
        <v>1</v>
      </c>
      <c r="H208" s="88"/>
      <c r="I208" s="88"/>
      <c r="J208" s="78">
        <f>MAX(K208:Q208)</f>
        <v>1</v>
      </c>
      <c r="K208" s="88">
        <v>1</v>
      </c>
      <c r="L208" s="88"/>
      <c r="M208" s="88"/>
      <c r="N208" s="88"/>
      <c r="O208" s="88"/>
      <c r="P208" s="88"/>
      <c r="Q208" s="88"/>
      <c r="R208" s="78">
        <f>MAX(S208:W208)</f>
        <v>0</v>
      </c>
      <c r="S208" s="88"/>
      <c r="T208" s="88"/>
      <c r="U208" s="88"/>
      <c r="V208" s="88"/>
      <c r="W208" s="88"/>
    </row>
    <row r="209" spans="2:23" s="0" customFormat="0" ht="15">
      <c r="B209" s="87" t="s">
        <v>1</v>
      </c>
      <c r="C209" s="88" t="s">
        <v>5259</v>
      </c>
      <c r="D209" s="88">
        <v>5168892</v>
      </c>
      <c r="E209" s="88" t="s">
        <v>61</v>
      </c>
      <c r="F209" s="88">
        <v>0</v>
      </c>
      <c r="G209" s="78">
        <f>MAX(H209,I209,J209)</f>
        <v>0</v>
      </c>
      <c r="H209" s="88"/>
      <c r="I209" s="88"/>
      <c r="J209" s="78">
        <f>MAX(K209:Q209)</f>
        <v>0</v>
      </c>
      <c r="K209" s="88"/>
      <c r="L209" s="88"/>
      <c r="M209" s="88"/>
      <c r="N209" s="88"/>
      <c r="O209" s="88"/>
      <c r="P209" s="88"/>
      <c r="Q209" s="88"/>
      <c r="R209" s="78">
        <f>MAX(S209:W209)</f>
        <v>1</v>
      </c>
      <c r="S209" s="88"/>
      <c r="T209" s="88"/>
      <c r="U209" s="88">
        <v>1</v>
      </c>
      <c r="V209" s="88"/>
      <c r="W209" s="88"/>
    </row>
    <row r="210" spans="2:23" s="0" customFormat="0" ht="15">
      <c r="B210" s="87" t="s">
        <v>1</v>
      </c>
      <c r="C210" s="88" t="s">
        <v>5259</v>
      </c>
      <c r="D210" s="88">
        <v>12081610</v>
      </c>
      <c r="E210" s="88" t="s">
        <v>61</v>
      </c>
      <c r="F210" s="88">
        <v>0</v>
      </c>
      <c r="G210" s="78">
        <f>MAX(H210,I210,J210)</f>
        <v>1</v>
      </c>
      <c r="H210" s="88"/>
      <c r="I210" s="88"/>
      <c r="J210" s="78">
        <f>MAX(K210:Q210)</f>
        <v>1</v>
      </c>
      <c r="K210" s="88">
        <v>1</v>
      </c>
      <c r="L210" s="88"/>
      <c r="M210" s="88"/>
      <c r="N210" s="88"/>
      <c r="O210" s="88"/>
      <c r="P210" s="88"/>
      <c r="Q210" s="88"/>
      <c r="R210" s="78">
        <f>MAX(S210:W210)</f>
        <v>0</v>
      </c>
      <c r="S210" s="88"/>
      <c r="T210" s="88"/>
      <c r="U210" s="88"/>
      <c r="V210" s="88"/>
      <c r="W210" s="88"/>
    </row>
    <row r="211" spans="2:23" s="0" customFormat="0" ht="15">
      <c r="B211" s="87" t="s">
        <v>1</v>
      </c>
      <c r="C211" s="88" t="s">
        <v>5259</v>
      </c>
      <c r="D211" s="88">
        <v>18055745</v>
      </c>
      <c r="E211" s="88" t="s">
        <v>61</v>
      </c>
      <c r="F211" s="88">
        <v>0</v>
      </c>
      <c r="G211" s="78">
        <f>MAX(H211,I211,J211)</f>
        <v>1</v>
      </c>
      <c r="H211" s="88"/>
      <c r="I211" s="88"/>
      <c r="J211" s="78">
        <f>MAX(K211:Q211)</f>
        <v>1</v>
      </c>
      <c r="K211" s="88">
        <v>1</v>
      </c>
      <c r="L211" s="88"/>
      <c r="M211" s="88"/>
      <c r="N211" s="88"/>
      <c r="O211" s="88"/>
      <c r="P211" s="88"/>
      <c r="Q211" s="88"/>
      <c r="R211" s="78">
        <f>MAX(S211:W211)</f>
        <v>0</v>
      </c>
      <c r="S211" s="88"/>
      <c r="T211" s="88"/>
      <c r="U211" s="88"/>
      <c r="V211" s="88"/>
      <c r="W211" s="88"/>
    </row>
    <row r="212" spans="2:23" s="0" customFormat="0" ht="15">
      <c r="B212" s="87" t="s">
        <v>1</v>
      </c>
      <c r="C212" s="88" t="s">
        <v>5259</v>
      </c>
      <c r="D212" s="88">
        <v>7219469</v>
      </c>
      <c r="E212" s="88" t="s">
        <v>61</v>
      </c>
      <c r="F212" s="88">
        <v>0</v>
      </c>
      <c r="G212" s="78">
        <f>MAX(H212,I212,J212)</f>
        <v>1</v>
      </c>
      <c r="H212" s="88"/>
      <c r="I212" s="88"/>
      <c r="J212" s="78">
        <f>MAX(K212:Q212)</f>
        <v>1</v>
      </c>
      <c r="K212" s="88">
        <v>1</v>
      </c>
      <c r="L212" s="88"/>
      <c r="M212" s="88"/>
      <c r="N212" s="88"/>
      <c r="O212" s="88"/>
      <c r="P212" s="88"/>
      <c r="Q212" s="88"/>
      <c r="R212" s="78">
        <f>MAX(S212:W212)</f>
        <v>0</v>
      </c>
      <c r="S212" s="88"/>
      <c r="T212" s="88"/>
      <c r="U212" s="88"/>
      <c r="V212" s="88"/>
      <c r="W212" s="88"/>
    </row>
    <row r="213" spans="2:23" s="0" customFormat="0" ht="15">
      <c r="B213" s="87" t="s">
        <v>1</v>
      </c>
      <c r="C213" s="88" t="s">
        <v>5259</v>
      </c>
      <c r="D213" s="88" t="s">
        <v>351</v>
      </c>
      <c r="E213" s="88" t="s">
        <v>61</v>
      </c>
      <c r="F213" s="88">
        <v>0</v>
      </c>
      <c r="G213" s="78">
        <f>MAX(H213,I213,J213)</f>
        <v>1</v>
      </c>
      <c r="H213" s="88"/>
      <c r="I213" s="88"/>
      <c r="J213" s="78">
        <f>MAX(K213:Q213)</f>
        <v>1</v>
      </c>
      <c r="K213" s="88">
        <v>1</v>
      </c>
      <c r="L213" s="88"/>
      <c r="M213" s="88"/>
      <c r="N213" s="88"/>
      <c r="O213" s="88"/>
      <c r="P213" s="88"/>
      <c r="Q213" s="88"/>
      <c r="R213" s="78">
        <f>MAX(S213:W213)</f>
        <v>0</v>
      </c>
      <c r="S213" s="88"/>
      <c r="T213" s="88"/>
      <c r="U213" s="88"/>
      <c r="V213" s="88"/>
      <c r="W213" s="88"/>
    </row>
    <row r="214" spans="2:23" s="0" customFormat="0" ht="15">
      <c r="B214" s="87" t="s">
        <v>1</v>
      </c>
      <c r="C214" s="88" t="s">
        <v>5259</v>
      </c>
      <c r="D214" s="88" t="s">
        <v>353</v>
      </c>
      <c r="E214" s="88" t="s">
        <v>61</v>
      </c>
      <c r="F214" s="88">
        <v>0</v>
      </c>
      <c r="G214" s="78">
        <f>MAX(H214,I214,J214)</f>
        <v>1</v>
      </c>
      <c r="H214" s="88"/>
      <c r="I214" s="88"/>
      <c r="J214" s="78">
        <f>MAX(K214:Q214)</f>
        <v>1</v>
      </c>
      <c r="K214" s="88">
        <v>1</v>
      </c>
      <c r="L214" s="88"/>
      <c r="M214" s="88"/>
      <c r="N214" s="88"/>
      <c r="O214" s="88"/>
      <c r="P214" s="88"/>
      <c r="Q214" s="88"/>
      <c r="R214" s="78">
        <f>MAX(S214:W214)</f>
        <v>0</v>
      </c>
      <c r="S214" s="88"/>
      <c r="T214" s="88"/>
      <c r="U214" s="88"/>
      <c r="V214" s="88"/>
      <c r="W214" s="88"/>
    </row>
    <row r="215" spans="2:23" s="0" customFormat="0" ht="15">
      <c r="B215" s="87" t="s">
        <v>1</v>
      </c>
      <c r="C215" s="88" t="s">
        <v>5259</v>
      </c>
      <c r="D215" s="88">
        <v>8421530</v>
      </c>
      <c r="E215" s="88" t="s">
        <v>61</v>
      </c>
      <c r="F215" s="88">
        <v>0</v>
      </c>
      <c r="G215" s="78">
        <f>MAX(H215,I215,J215)</f>
        <v>1</v>
      </c>
      <c r="H215" s="88"/>
      <c r="I215" s="88"/>
      <c r="J215" s="78">
        <f>MAX(K215:Q215)</f>
        <v>1</v>
      </c>
      <c r="K215" s="88">
        <v>1</v>
      </c>
      <c r="L215" s="88"/>
      <c r="M215" s="88"/>
      <c r="N215" s="88"/>
      <c r="O215" s="88"/>
      <c r="P215" s="88"/>
      <c r="Q215" s="88"/>
      <c r="R215" s="78">
        <f>MAX(S215:W215)</f>
        <v>0</v>
      </c>
      <c r="S215" s="88"/>
      <c r="T215" s="88"/>
      <c r="U215" s="88"/>
      <c r="V215" s="88"/>
      <c r="W215" s="88"/>
    </row>
    <row r="216" spans="2:23" s="0" customFormat="0" ht="15">
      <c r="B216" s="87" t="s">
        <v>1</v>
      </c>
      <c r="C216" s="88" t="s">
        <v>5259</v>
      </c>
      <c r="D216" s="88" t="s">
        <v>3401</v>
      </c>
      <c r="E216" s="88" t="s">
        <v>61</v>
      </c>
      <c r="F216" s="88">
        <v>0</v>
      </c>
      <c r="G216" s="78">
        <f>MAX(H216,I216,J216)</f>
        <v>0</v>
      </c>
      <c r="H216" s="88"/>
      <c r="I216" s="88"/>
      <c r="J216" s="78">
        <f>MAX(K216:Q216)</f>
        <v>0</v>
      </c>
      <c r="K216" s="88"/>
      <c r="L216" s="88"/>
      <c r="M216" s="88"/>
      <c r="N216" s="88"/>
      <c r="O216" s="88"/>
      <c r="P216" s="88"/>
      <c r="Q216" s="88"/>
      <c r="R216" s="78">
        <f>MAX(S216:W216)</f>
        <v>1</v>
      </c>
      <c r="S216" s="88"/>
      <c r="T216" s="88"/>
      <c r="U216" s="88">
        <v>1</v>
      </c>
      <c r="V216" s="88"/>
      <c r="W216" s="88"/>
    </row>
    <row r="217" spans="2:23" s="0" customFormat="0" ht="15">
      <c r="B217" s="87" t="s">
        <v>1</v>
      </c>
      <c r="C217" s="88" t="s">
        <v>5259</v>
      </c>
      <c r="D217" s="88">
        <v>17619867</v>
      </c>
      <c r="E217" s="88" t="s">
        <v>61</v>
      </c>
      <c r="F217" s="88">
        <v>0</v>
      </c>
      <c r="G217" s="78">
        <f>MAX(H217,I217,J217)</f>
        <v>0</v>
      </c>
      <c r="H217" s="88"/>
      <c r="I217" s="88"/>
      <c r="J217" s="78">
        <f>MAX(K217:Q217)</f>
        <v>0</v>
      </c>
      <c r="K217" s="88"/>
      <c r="L217" s="88"/>
      <c r="M217" s="88"/>
      <c r="N217" s="88"/>
      <c r="O217" s="88"/>
      <c r="P217" s="88"/>
      <c r="Q217" s="88"/>
      <c r="R217" s="78">
        <f>MAX(S217:W217)</f>
        <v>1</v>
      </c>
      <c r="S217" s="88"/>
      <c r="T217" s="88"/>
      <c r="U217" s="88">
        <v>1</v>
      </c>
      <c r="V217" s="88"/>
      <c r="W217" s="88"/>
    </row>
    <row r="218" spans="2:23" s="0" customFormat="0" ht="15">
      <c r="B218" s="87" t="s">
        <v>1</v>
      </c>
      <c r="C218" s="88" t="s">
        <v>5259</v>
      </c>
      <c r="D218" s="88" t="s">
        <v>3404</v>
      </c>
      <c r="E218" s="88" t="s">
        <v>61</v>
      </c>
      <c r="F218" s="88">
        <v>0</v>
      </c>
      <c r="G218" s="78">
        <f>MAX(H218,I218,J218)</f>
        <v>0</v>
      </c>
      <c r="H218" s="88"/>
      <c r="I218" s="88"/>
      <c r="J218" s="78">
        <f>MAX(K218:Q218)</f>
        <v>0</v>
      </c>
      <c r="K218" s="88"/>
      <c r="L218" s="88"/>
      <c r="M218" s="88"/>
      <c r="N218" s="88"/>
      <c r="O218" s="88"/>
      <c r="P218" s="88"/>
      <c r="Q218" s="88"/>
      <c r="R218" s="78">
        <f>MAX(S218:W218)</f>
        <v>1</v>
      </c>
      <c r="S218" s="88"/>
      <c r="T218" s="88"/>
      <c r="U218" s="88">
        <v>1</v>
      </c>
      <c r="V218" s="88"/>
      <c r="W218" s="88"/>
    </row>
    <row r="219" spans="2:23" s="0" customFormat="0" ht="15">
      <c r="B219" s="87" t="s">
        <v>1</v>
      </c>
      <c r="C219" s="88" t="s">
        <v>5259</v>
      </c>
      <c r="D219" s="88">
        <v>21623035</v>
      </c>
      <c r="E219" s="88" t="s">
        <v>61</v>
      </c>
      <c r="F219" s="88">
        <v>0</v>
      </c>
      <c r="G219" s="78">
        <f>MAX(H219,I219,J219)</f>
        <v>1</v>
      </c>
      <c r="H219" s="88"/>
      <c r="I219" s="88"/>
      <c r="J219" s="78">
        <f>MAX(K219:Q219)</f>
        <v>1</v>
      </c>
      <c r="K219" s="88">
        <v>1</v>
      </c>
      <c r="L219" s="88"/>
      <c r="M219" s="88"/>
      <c r="N219" s="88"/>
      <c r="O219" s="88"/>
      <c r="P219" s="88"/>
      <c r="Q219" s="88"/>
      <c r="R219" s="78">
        <f>MAX(S219:W219)</f>
        <v>0</v>
      </c>
      <c r="S219" s="88"/>
      <c r="T219" s="88"/>
      <c r="U219" s="88"/>
      <c r="V219" s="88"/>
      <c r="W219" s="88"/>
    </row>
    <row r="220" spans="2:23" s="0" customFormat="0" ht="15">
      <c r="B220" s="87" t="s">
        <v>1</v>
      </c>
      <c r="C220" s="88" t="s">
        <v>5259</v>
      </c>
      <c r="D220" s="88">
        <v>13482143</v>
      </c>
      <c r="E220" s="88" t="s">
        <v>61</v>
      </c>
      <c r="F220" s="88">
        <v>0</v>
      </c>
      <c r="G220" s="78">
        <f>MAX(H220,I220,J220)</f>
        <v>1</v>
      </c>
      <c r="H220" s="88"/>
      <c r="I220" s="88"/>
      <c r="J220" s="78">
        <f>MAX(K220:Q220)</f>
        <v>1</v>
      </c>
      <c r="K220" s="88">
        <v>1</v>
      </c>
      <c r="L220" s="88"/>
      <c r="M220" s="88"/>
      <c r="N220" s="88"/>
      <c r="O220" s="88"/>
      <c r="P220" s="88"/>
      <c r="Q220" s="88"/>
      <c r="R220" s="78">
        <f>MAX(S220:W220)</f>
        <v>0</v>
      </c>
      <c r="S220" s="88"/>
      <c r="T220" s="88"/>
      <c r="U220" s="88"/>
      <c r="V220" s="88"/>
      <c r="W220" s="88"/>
    </row>
    <row r="221" spans="2:23" s="0" customFormat="0" ht="15">
      <c r="B221" s="87" t="s">
        <v>1</v>
      </c>
      <c r="C221" s="88" t="s">
        <v>5259</v>
      </c>
      <c r="D221" s="88">
        <v>22554529</v>
      </c>
      <c r="E221" s="88" t="s">
        <v>61</v>
      </c>
      <c r="F221" s="88">
        <v>0</v>
      </c>
      <c r="G221" s="78">
        <f>MAX(H221,I221,J221)</f>
        <v>0</v>
      </c>
      <c r="H221" s="88"/>
      <c r="I221" s="88"/>
      <c r="J221" s="78">
        <f>MAX(K221:Q221)</f>
        <v>0</v>
      </c>
      <c r="K221" s="88"/>
      <c r="L221" s="88"/>
      <c r="M221" s="88"/>
      <c r="N221" s="88"/>
      <c r="O221" s="88"/>
      <c r="P221" s="88"/>
      <c r="Q221" s="88"/>
      <c r="R221" s="78">
        <f>MAX(S221:W221)</f>
        <v>1</v>
      </c>
      <c r="S221" s="88"/>
      <c r="T221" s="88"/>
      <c r="U221" s="88">
        <v>1</v>
      </c>
      <c r="V221" s="88"/>
      <c r="W221" s="88"/>
    </row>
    <row r="222" spans="2:23" s="0" customFormat="0" ht="15">
      <c r="B222" s="87" t="s">
        <v>1</v>
      </c>
      <c r="C222" s="88" t="s">
        <v>5259</v>
      </c>
      <c r="D222" s="88">
        <v>20173127</v>
      </c>
      <c r="E222" s="88" t="s">
        <v>61</v>
      </c>
      <c r="F222" s="88">
        <v>0</v>
      </c>
      <c r="G222" s="78">
        <f>MAX(H222,I222,J222)</f>
        <v>1</v>
      </c>
      <c r="H222" s="88"/>
      <c r="I222" s="88"/>
      <c r="J222" s="78">
        <f>MAX(K222:Q222)</f>
        <v>1</v>
      </c>
      <c r="K222" s="88">
        <v>1</v>
      </c>
      <c r="L222" s="88"/>
      <c r="M222" s="88"/>
      <c r="N222" s="88"/>
      <c r="O222" s="88"/>
      <c r="P222" s="88"/>
      <c r="Q222" s="88"/>
      <c r="R222" s="78">
        <f>MAX(S222:W222)</f>
        <v>0</v>
      </c>
      <c r="S222" s="88"/>
      <c r="T222" s="88"/>
      <c r="U222" s="88"/>
      <c r="V222" s="88"/>
      <c r="W222" s="88"/>
    </row>
    <row r="223" spans="2:23" s="0" customFormat="0" ht="15">
      <c r="B223" s="87" t="s">
        <v>1</v>
      </c>
      <c r="C223" s="88" t="s">
        <v>5259</v>
      </c>
      <c r="D223" s="88">
        <v>24324810</v>
      </c>
      <c r="E223" s="88" t="s">
        <v>61</v>
      </c>
      <c r="F223" s="88">
        <v>0</v>
      </c>
      <c r="G223" s="78">
        <f>MAX(H223,I223,J223)</f>
        <v>1</v>
      </c>
      <c r="H223" s="88"/>
      <c r="I223" s="88"/>
      <c r="J223" s="78">
        <f>MAX(K223:Q223)</f>
        <v>1</v>
      </c>
      <c r="K223" s="88">
        <v>1</v>
      </c>
      <c r="L223" s="88"/>
      <c r="M223" s="88"/>
      <c r="N223" s="88"/>
      <c r="O223" s="88"/>
      <c r="P223" s="88"/>
      <c r="Q223" s="88"/>
      <c r="R223" s="78">
        <f>MAX(S223:W223)</f>
        <v>0</v>
      </c>
      <c r="S223" s="88"/>
      <c r="T223" s="88"/>
      <c r="U223" s="88"/>
      <c r="V223" s="88"/>
      <c r="W223" s="88"/>
    </row>
    <row r="224" spans="2:23" s="0" customFormat="0" ht="15">
      <c r="B224" s="87" t="s">
        <v>1</v>
      </c>
      <c r="C224" s="88" t="s">
        <v>5259</v>
      </c>
      <c r="D224" s="88">
        <v>13122323</v>
      </c>
      <c r="E224" s="88" t="s">
        <v>61</v>
      </c>
      <c r="F224" s="88">
        <v>0</v>
      </c>
      <c r="G224" s="78">
        <f>MAX(H224,I224,J224)</f>
        <v>1</v>
      </c>
      <c r="H224" s="88"/>
      <c r="I224" s="88"/>
      <c r="J224" s="78">
        <f>MAX(K224:Q224)</f>
        <v>1</v>
      </c>
      <c r="K224" s="88">
        <v>1</v>
      </c>
      <c r="L224" s="88"/>
      <c r="M224" s="88"/>
      <c r="N224" s="88"/>
      <c r="O224" s="88"/>
      <c r="P224" s="88"/>
      <c r="Q224" s="88"/>
      <c r="R224" s="78">
        <f>MAX(S224:W224)</f>
        <v>0</v>
      </c>
      <c r="S224" s="88"/>
      <c r="T224" s="88"/>
      <c r="U224" s="88"/>
      <c r="V224" s="88"/>
      <c r="W224" s="88"/>
    </row>
    <row r="225" spans="2:23" s="0" customFormat="0" ht="15">
      <c r="B225" s="87" t="s">
        <v>1</v>
      </c>
      <c r="C225" s="88" t="s">
        <v>5259</v>
      </c>
      <c r="D225" s="88" t="s">
        <v>361</v>
      </c>
      <c r="E225" s="88" t="s">
        <v>61</v>
      </c>
      <c r="F225" s="88">
        <v>0</v>
      </c>
      <c r="G225" s="78">
        <f>MAX(H225,I225,J225)</f>
        <v>1</v>
      </c>
      <c r="H225" s="88"/>
      <c r="I225" s="88"/>
      <c r="J225" s="78">
        <f>MAX(K225:Q225)</f>
        <v>1</v>
      </c>
      <c r="K225" s="88">
        <v>1</v>
      </c>
      <c r="L225" s="88"/>
      <c r="M225" s="88"/>
      <c r="N225" s="88"/>
      <c r="O225" s="88"/>
      <c r="P225" s="88"/>
      <c r="Q225" s="88"/>
      <c r="R225" s="78">
        <f>MAX(S225:W225)</f>
        <v>0</v>
      </c>
      <c r="S225" s="88"/>
      <c r="T225" s="88"/>
      <c r="U225" s="88"/>
      <c r="V225" s="88"/>
      <c r="W225" s="88"/>
    </row>
    <row r="226" spans="2:23" s="0" customFormat="0" ht="15">
      <c r="B226" s="87" t="s">
        <v>1</v>
      </c>
      <c r="C226" s="88" t="s">
        <v>5259</v>
      </c>
      <c r="D226" s="88">
        <v>21227852</v>
      </c>
      <c r="E226" s="88" t="s">
        <v>61</v>
      </c>
      <c r="F226" s="88">
        <v>0</v>
      </c>
      <c r="G226" s="78">
        <f>MAX(H226,I226,J226)</f>
        <v>1</v>
      </c>
      <c r="H226" s="88"/>
      <c r="I226" s="88"/>
      <c r="J226" s="78">
        <f>MAX(K226:Q226)</f>
        <v>1</v>
      </c>
      <c r="K226" s="88">
        <v>1</v>
      </c>
      <c r="L226" s="88"/>
      <c r="M226" s="88"/>
      <c r="N226" s="88"/>
      <c r="O226" s="88"/>
      <c r="P226" s="88"/>
      <c r="Q226" s="88"/>
      <c r="R226" s="78">
        <f>MAX(S226:W226)</f>
        <v>0</v>
      </c>
      <c r="S226" s="88"/>
      <c r="T226" s="88"/>
      <c r="U226" s="88"/>
      <c r="V226" s="88"/>
      <c r="W226" s="88"/>
    </row>
    <row r="227" spans="2:23" s="0" customFormat="0" ht="15">
      <c r="B227" s="87" t="s">
        <v>1</v>
      </c>
      <c r="C227" s="88" t="s">
        <v>5259</v>
      </c>
      <c r="D227" s="88">
        <v>16183661</v>
      </c>
      <c r="E227" s="88" t="s">
        <v>61</v>
      </c>
      <c r="F227" s="88">
        <v>0</v>
      </c>
      <c r="G227" s="78">
        <f>MAX(H227,I227,J227)</f>
        <v>1</v>
      </c>
      <c r="H227" s="88"/>
      <c r="I227" s="88"/>
      <c r="J227" s="78">
        <f>MAX(K227:Q227)</f>
        <v>1</v>
      </c>
      <c r="K227" s="88">
        <v>1</v>
      </c>
      <c r="L227" s="88"/>
      <c r="M227" s="88"/>
      <c r="N227" s="88"/>
      <c r="O227" s="88"/>
      <c r="P227" s="88"/>
      <c r="Q227" s="88"/>
      <c r="R227" s="78">
        <f>MAX(S227:W227)</f>
        <v>0</v>
      </c>
      <c r="S227" s="88"/>
      <c r="T227" s="88"/>
      <c r="U227" s="88"/>
      <c r="V227" s="88"/>
      <c r="W227" s="88"/>
    </row>
    <row r="228" spans="2:23" s="0" customFormat="0" ht="15">
      <c r="B228" s="87" t="s">
        <v>1</v>
      </c>
      <c r="C228" s="88" t="s">
        <v>5259</v>
      </c>
      <c r="D228" s="88" t="s">
        <v>365</v>
      </c>
      <c r="E228" s="88" t="s">
        <v>61</v>
      </c>
      <c r="F228" s="88">
        <v>0</v>
      </c>
      <c r="G228" s="78">
        <f>MAX(H228,I228,J228)</f>
        <v>1</v>
      </c>
      <c r="H228" s="88"/>
      <c r="I228" s="88"/>
      <c r="J228" s="78">
        <f>MAX(K228:Q228)</f>
        <v>1</v>
      </c>
      <c r="K228" s="88">
        <v>1</v>
      </c>
      <c r="L228" s="88"/>
      <c r="M228" s="88"/>
      <c r="N228" s="88"/>
      <c r="O228" s="88"/>
      <c r="P228" s="88"/>
      <c r="Q228" s="88"/>
      <c r="R228" s="78">
        <f>MAX(S228:W228)</f>
        <v>0</v>
      </c>
      <c r="S228" s="88"/>
      <c r="T228" s="88"/>
      <c r="U228" s="88"/>
      <c r="V228" s="88"/>
      <c r="W228" s="88"/>
    </row>
    <row r="229" spans="2:23" s="0" customFormat="0" ht="15">
      <c r="B229" s="87" t="s">
        <v>1</v>
      </c>
      <c r="C229" s="88" t="s">
        <v>5259</v>
      </c>
      <c r="D229" s="88" t="s">
        <v>367</v>
      </c>
      <c r="E229" s="88" t="s">
        <v>61</v>
      </c>
      <c r="F229" s="88">
        <v>0</v>
      </c>
      <c r="G229" s="78">
        <f>MAX(H229,I229,J229)</f>
        <v>1</v>
      </c>
      <c r="H229" s="88"/>
      <c r="I229" s="88"/>
      <c r="J229" s="78">
        <f>MAX(K229:Q229)</f>
        <v>1</v>
      </c>
      <c r="K229" s="88">
        <v>1</v>
      </c>
      <c r="L229" s="88"/>
      <c r="M229" s="88"/>
      <c r="N229" s="88"/>
      <c r="O229" s="88"/>
      <c r="P229" s="88"/>
      <c r="Q229" s="88"/>
      <c r="R229" s="78">
        <f>MAX(S229:W229)</f>
        <v>0</v>
      </c>
      <c r="S229" s="88"/>
      <c r="T229" s="88"/>
      <c r="U229" s="88"/>
      <c r="V229" s="88"/>
      <c r="W229" s="88"/>
    </row>
    <row r="230" spans="2:23" s="0" customFormat="0" ht="15">
      <c r="B230" s="87" t="s">
        <v>1</v>
      </c>
      <c r="C230" s="88" t="s">
        <v>5259</v>
      </c>
      <c r="D230" s="88">
        <v>10654400</v>
      </c>
      <c r="E230" s="88" t="s">
        <v>61</v>
      </c>
      <c r="F230" s="88">
        <v>0</v>
      </c>
      <c r="G230" s="78">
        <f>MAX(H230,I230,J230)</f>
        <v>1</v>
      </c>
      <c r="H230" s="88"/>
      <c r="I230" s="88"/>
      <c r="J230" s="78">
        <f>MAX(K230:Q230)</f>
        <v>1</v>
      </c>
      <c r="K230" s="88">
        <v>1</v>
      </c>
      <c r="L230" s="88"/>
      <c r="M230" s="88"/>
      <c r="N230" s="88"/>
      <c r="O230" s="88"/>
      <c r="P230" s="88"/>
      <c r="Q230" s="88"/>
      <c r="R230" s="78">
        <f>MAX(S230:W230)</f>
        <v>0</v>
      </c>
      <c r="S230" s="88"/>
      <c r="T230" s="88"/>
      <c r="U230" s="88"/>
      <c r="V230" s="88"/>
      <c r="W230" s="88"/>
    </row>
    <row r="231" spans="2:23" s="0" customFormat="0" ht="15">
      <c r="B231" s="87" t="s">
        <v>1</v>
      </c>
      <c r="C231" s="88" t="s">
        <v>5259</v>
      </c>
      <c r="D231" s="88" t="s">
        <v>370</v>
      </c>
      <c r="E231" s="88" t="s">
        <v>61</v>
      </c>
      <c r="F231" s="88">
        <v>0</v>
      </c>
      <c r="G231" s="78">
        <f>MAX(H231,I231,J231)</f>
        <v>1</v>
      </c>
      <c r="H231" s="88"/>
      <c r="I231" s="88"/>
      <c r="J231" s="78">
        <f>MAX(K231:Q231)</f>
        <v>1</v>
      </c>
      <c r="K231" s="88">
        <v>1</v>
      </c>
      <c r="L231" s="88"/>
      <c r="M231" s="88"/>
      <c r="N231" s="88"/>
      <c r="O231" s="88"/>
      <c r="P231" s="88"/>
      <c r="Q231" s="88"/>
      <c r="R231" s="78">
        <f>MAX(S231:W231)</f>
        <v>0</v>
      </c>
      <c r="S231" s="88"/>
      <c r="T231" s="88"/>
      <c r="U231" s="88"/>
      <c r="V231" s="88"/>
      <c r="W231" s="88"/>
    </row>
    <row r="232" spans="2:23" s="0" customFormat="0" ht="15">
      <c r="B232" s="87" t="s">
        <v>1</v>
      </c>
      <c r="C232" s="88" t="s">
        <v>5259</v>
      </c>
      <c r="D232" s="88" t="s">
        <v>3407</v>
      </c>
      <c r="E232" s="88" t="s">
        <v>61</v>
      </c>
      <c r="F232" s="88">
        <v>0</v>
      </c>
      <c r="G232" s="78">
        <f>MAX(H232,I232,J232)</f>
        <v>0</v>
      </c>
      <c r="H232" s="88"/>
      <c r="I232" s="88"/>
      <c r="J232" s="78">
        <f>MAX(K232:Q232)</f>
        <v>0</v>
      </c>
      <c r="K232" s="88"/>
      <c r="L232" s="88"/>
      <c r="M232" s="88"/>
      <c r="N232" s="88"/>
      <c r="O232" s="88"/>
      <c r="P232" s="88"/>
      <c r="Q232" s="88"/>
      <c r="R232" s="78">
        <f>MAX(S232:W232)</f>
        <v>1</v>
      </c>
      <c r="S232" s="88"/>
      <c r="T232" s="88"/>
      <c r="U232" s="88">
        <v>1</v>
      </c>
      <c r="V232" s="88"/>
      <c r="W232" s="88"/>
    </row>
    <row r="233" spans="2:23" s="0" customFormat="0" ht="15">
      <c r="B233" s="87" t="s">
        <v>1</v>
      </c>
      <c r="C233" s="88" t="s">
        <v>5259</v>
      </c>
      <c r="D233" s="88" t="s">
        <v>3409</v>
      </c>
      <c r="E233" s="88" t="s">
        <v>61</v>
      </c>
      <c r="F233" s="88">
        <v>0</v>
      </c>
      <c r="G233" s="78">
        <f>MAX(H233,I233,J233)</f>
        <v>0</v>
      </c>
      <c r="H233" s="88"/>
      <c r="I233" s="88"/>
      <c r="J233" s="78">
        <f>MAX(K233:Q233)</f>
        <v>0</v>
      </c>
      <c r="K233" s="88"/>
      <c r="L233" s="88"/>
      <c r="M233" s="88"/>
      <c r="N233" s="88"/>
      <c r="O233" s="88"/>
      <c r="P233" s="88"/>
      <c r="Q233" s="88"/>
      <c r="R233" s="78">
        <f>MAX(S233:W233)</f>
        <v>1</v>
      </c>
      <c r="S233" s="88"/>
      <c r="T233" s="88"/>
      <c r="U233" s="88">
        <v>1</v>
      </c>
      <c r="V233" s="88"/>
      <c r="W233" s="88"/>
    </row>
    <row r="234" spans="2:23" s="0" customFormat="0" ht="15">
      <c r="B234" s="87" t="s">
        <v>1</v>
      </c>
      <c r="C234" s="88" t="s">
        <v>5259</v>
      </c>
      <c r="D234" s="88" t="s">
        <v>3411</v>
      </c>
      <c r="E234" s="88" t="s">
        <v>61</v>
      </c>
      <c r="F234" s="88">
        <v>0</v>
      </c>
      <c r="G234" s="78">
        <f>MAX(H234,I234,J234)</f>
        <v>0</v>
      </c>
      <c r="H234" s="88"/>
      <c r="I234" s="88"/>
      <c r="J234" s="78">
        <f>MAX(K234:Q234)</f>
        <v>0</v>
      </c>
      <c r="K234" s="88"/>
      <c r="L234" s="88"/>
      <c r="M234" s="88"/>
      <c r="N234" s="88"/>
      <c r="O234" s="88"/>
      <c r="P234" s="88"/>
      <c r="Q234" s="88"/>
      <c r="R234" s="78">
        <f>MAX(S234:W234)</f>
        <v>1</v>
      </c>
      <c r="S234" s="88"/>
      <c r="T234" s="88"/>
      <c r="U234" s="88">
        <v>1</v>
      </c>
      <c r="V234" s="88"/>
      <c r="W234" s="88"/>
    </row>
    <row r="235" spans="2:23" s="0" customFormat="0" ht="15">
      <c r="B235" s="87" t="s">
        <v>1</v>
      </c>
      <c r="C235" s="88" t="s">
        <v>5259</v>
      </c>
      <c r="D235" s="88">
        <v>12994210</v>
      </c>
      <c r="E235" s="88" t="s">
        <v>61</v>
      </c>
      <c r="F235" s="88">
        <v>0</v>
      </c>
      <c r="G235" s="78">
        <f>MAX(H235,I235,J235)</f>
        <v>0</v>
      </c>
      <c r="H235" s="88"/>
      <c r="I235" s="88"/>
      <c r="J235" s="78">
        <f>MAX(K235:Q235)</f>
        <v>0</v>
      </c>
      <c r="K235" s="88"/>
      <c r="L235" s="88"/>
      <c r="M235" s="88"/>
      <c r="N235" s="88"/>
      <c r="O235" s="88"/>
      <c r="P235" s="88"/>
      <c r="Q235" s="88"/>
      <c r="R235" s="78">
        <f>MAX(S235:W235)</f>
        <v>1</v>
      </c>
      <c r="S235" s="88"/>
      <c r="T235" s="88"/>
      <c r="U235" s="88">
        <v>1</v>
      </c>
      <c r="V235" s="88"/>
      <c r="W235" s="88"/>
    </row>
    <row r="236" spans="2:23" s="0" customFormat="0" ht="15">
      <c r="B236" s="87" t="s">
        <v>1</v>
      </c>
      <c r="C236" s="88" t="s">
        <v>5259</v>
      </c>
      <c r="D236" s="88">
        <v>22554416</v>
      </c>
      <c r="E236" s="88" t="s">
        <v>61</v>
      </c>
      <c r="F236" s="88">
        <v>0</v>
      </c>
      <c r="G236" s="78">
        <f>MAX(H236,I236,J236)</f>
        <v>0</v>
      </c>
      <c r="H236" s="88"/>
      <c r="I236" s="88"/>
      <c r="J236" s="78">
        <f>MAX(K236:Q236)</f>
        <v>0</v>
      </c>
      <c r="K236" s="88"/>
      <c r="L236" s="88"/>
      <c r="M236" s="88"/>
      <c r="N236" s="88"/>
      <c r="O236" s="88"/>
      <c r="P236" s="88"/>
      <c r="Q236" s="88"/>
      <c r="R236" s="78">
        <f>MAX(S236:W236)</f>
        <v>1</v>
      </c>
      <c r="S236" s="88"/>
      <c r="T236" s="88"/>
      <c r="U236" s="88">
        <v>1</v>
      </c>
      <c r="V236" s="88"/>
      <c r="W236" s="88"/>
    </row>
    <row r="237" spans="2:23" s="0" customFormat="0" ht="15">
      <c r="B237" s="87" t="s">
        <v>1</v>
      </c>
      <c r="C237" s="88" t="s">
        <v>5259</v>
      </c>
      <c r="D237" s="88">
        <v>5335554</v>
      </c>
      <c r="E237" s="88" t="s">
        <v>61</v>
      </c>
      <c r="F237" s="88">
        <v>0</v>
      </c>
      <c r="G237" s="78">
        <f>MAX(H237,I237,J237)</f>
        <v>1</v>
      </c>
      <c r="H237" s="88"/>
      <c r="I237" s="88"/>
      <c r="J237" s="78">
        <f>MAX(K237:Q237)</f>
        <v>1</v>
      </c>
      <c r="K237" s="88">
        <v>1</v>
      </c>
      <c r="L237" s="88"/>
      <c r="M237" s="88"/>
      <c r="N237" s="88"/>
      <c r="O237" s="88"/>
      <c r="P237" s="88"/>
      <c r="Q237" s="88"/>
      <c r="R237" s="78">
        <f>MAX(S237:W237)</f>
        <v>0</v>
      </c>
      <c r="S237" s="88"/>
      <c r="T237" s="88"/>
      <c r="U237" s="88"/>
      <c r="V237" s="88"/>
      <c r="W237" s="88"/>
    </row>
    <row r="238" spans="2:23" s="0" customFormat="0" ht="15">
      <c r="B238" s="87" t="s">
        <v>1</v>
      </c>
      <c r="C238" s="88" t="s">
        <v>5259</v>
      </c>
      <c r="D238" s="88" t="s">
        <v>3415</v>
      </c>
      <c r="E238" s="88" t="s">
        <v>61</v>
      </c>
      <c r="F238" s="88">
        <v>0</v>
      </c>
      <c r="G238" s="78">
        <f>MAX(H238,I238,J238)</f>
        <v>0</v>
      </c>
      <c r="H238" s="88"/>
      <c r="I238" s="88"/>
      <c r="J238" s="78">
        <f>MAX(K238:Q238)</f>
        <v>0</v>
      </c>
      <c r="K238" s="88"/>
      <c r="L238" s="88"/>
      <c r="M238" s="88"/>
      <c r="N238" s="88"/>
      <c r="O238" s="88"/>
      <c r="P238" s="88"/>
      <c r="Q238" s="88"/>
      <c r="R238" s="78">
        <f>MAX(S238:W238)</f>
        <v>1</v>
      </c>
      <c r="S238" s="88"/>
      <c r="T238" s="88"/>
      <c r="U238" s="88">
        <v>1</v>
      </c>
      <c r="V238" s="88"/>
      <c r="W238" s="88"/>
    </row>
    <row r="239" spans="2:23" s="0" customFormat="0" ht="15">
      <c r="B239" s="87" t="s">
        <v>1</v>
      </c>
      <c r="C239" s="88" t="s">
        <v>5259</v>
      </c>
      <c r="D239" s="88">
        <v>9322301</v>
      </c>
      <c r="E239" s="88" t="s">
        <v>61</v>
      </c>
      <c r="F239" s="88">
        <v>0</v>
      </c>
      <c r="G239" s="78">
        <f>MAX(H239,I239,J239)</f>
        <v>1</v>
      </c>
      <c r="H239" s="88"/>
      <c r="I239" s="88"/>
      <c r="J239" s="78">
        <f>MAX(K239:Q239)</f>
        <v>1</v>
      </c>
      <c r="K239" s="88">
        <v>1</v>
      </c>
      <c r="L239" s="88"/>
      <c r="M239" s="88"/>
      <c r="N239" s="88"/>
      <c r="O239" s="88"/>
      <c r="P239" s="88"/>
      <c r="Q239" s="88"/>
      <c r="R239" s="78">
        <f>MAX(S239:W239)</f>
        <v>0</v>
      </c>
      <c r="S239" s="88"/>
      <c r="T239" s="88"/>
      <c r="U239" s="88"/>
      <c r="V239" s="88"/>
      <c r="W239" s="88"/>
    </row>
    <row r="240" spans="2:23" s="0" customFormat="0" ht="15">
      <c r="B240" s="87" t="s">
        <v>1</v>
      </c>
      <c r="C240" s="88" t="s">
        <v>5259</v>
      </c>
      <c r="D240" s="88">
        <v>12427810</v>
      </c>
      <c r="E240" s="88" t="s">
        <v>61</v>
      </c>
      <c r="F240" s="88">
        <v>0</v>
      </c>
      <c r="G240" s="78">
        <f>MAX(H240,I240,J240)</f>
        <v>1</v>
      </c>
      <c r="H240" s="88"/>
      <c r="I240" s="88"/>
      <c r="J240" s="78">
        <f>MAX(K240:Q240)</f>
        <v>1</v>
      </c>
      <c r="K240" s="88">
        <v>1</v>
      </c>
      <c r="L240" s="88"/>
      <c r="M240" s="88"/>
      <c r="N240" s="88"/>
      <c r="O240" s="88"/>
      <c r="P240" s="88"/>
      <c r="Q240" s="88"/>
      <c r="R240" s="78">
        <f>MAX(S240:W240)</f>
        <v>0</v>
      </c>
      <c r="S240" s="88"/>
      <c r="T240" s="88"/>
      <c r="U240" s="88"/>
      <c r="V240" s="88"/>
      <c r="W240" s="88"/>
    </row>
    <row r="241" spans="2:23" s="0" customFormat="0" ht="15">
      <c r="B241" s="87" t="s">
        <v>1</v>
      </c>
      <c r="C241" s="88" t="s">
        <v>5259</v>
      </c>
      <c r="D241" s="88">
        <v>16151235</v>
      </c>
      <c r="E241" s="88" t="s">
        <v>61</v>
      </c>
      <c r="F241" s="88">
        <v>0</v>
      </c>
      <c r="G241" s="78">
        <f>MAX(H241,I241,J241)</f>
        <v>1</v>
      </c>
      <c r="H241" s="88"/>
      <c r="I241" s="88"/>
      <c r="J241" s="78">
        <f>MAX(K241:Q241)</f>
        <v>1</v>
      </c>
      <c r="K241" s="88">
        <v>1</v>
      </c>
      <c r="L241" s="88"/>
      <c r="M241" s="88"/>
      <c r="N241" s="88"/>
      <c r="O241" s="88"/>
      <c r="P241" s="88"/>
      <c r="Q241" s="88"/>
      <c r="R241" s="78">
        <f>MAX(S241:W241)</f>
        <v>0</v>
      </c>
      <c r="S241" s="88"/>
      <c r="T241" s="88"/>
      <c r="U241" s="88"/>
      <c r="V241" s="88"/>
      <c r="W241" s="88"/>
    </row>
    <row r="242" spans="2:23" s="0" customFormat="0" ht="15">
      <c r="B242" s="87" t="s">
        <v>1</v>
      </c>
      <c r="C242" s="88" t="s">
        <v>5259</v>
      </c>
      <c r="D242" s="88" t="s">
        <v>3417</v>
      </c>
      <c r="E242" s="88" t="s">
        <v>61</v>
      </c>
      <c r="F242" s="88">
        <v>0</v>
      </c>
      <c r="G242" s="78">
        <f>MAX(H242,I242,J242)</f>
        <v>0</v>
      </c>
      <c r="H242" s="88"/>
      <c r="I242" s="88"/>
      <c r="J242" s="78">
        <f>MAX(K242:Q242)</f>
        <v>0</v>
      </c>
      <c r="K242" s="88"/>
      <c r="L242" s="88"/>
      <c r="M242" s="88"/>
      <c r="N242" s="88"/>
      <c r="O242" s="88"/>
      <c r="P242" s="88"/>
      <c r="Q242" s="88"/>
      <c r="R242" s="78">
        <f>MAX(S242:W242)</f>
        <v>1</v>
      </c>
      <c r="S242" s="88"/>
      <c r="T242" s="88"/>
      <c r="U242" s="88">
        <v>1</v>
      </c>
      <c r="V242" s="88"/>
      <c r="W242" s="88"/>
    </row>
    <row r="243" spans="2:23" s="0" customFormat="0" ht="15">
      <c r="B243" s="87" t="s">
        <v>1</v>
      </c>
      <c r="C243" s="88" t="s">
        <v>5259</v>
      </c>
      <c r="D243" s="88" t="s">
        <v>376</v>
      </c>
      <c r="E243" s="88" t="s">
        <v>61</v>
      </c>
      <c r="F243" s="88">
        <v>0</v>
      </c>
      <c r="G243" s="78">
        <f>MAX(H243,I243,J243)</f>
        <v>1</v>
      </c>
      <c r="H243" s="88"/>
      <c r="I243" s="88"/>
      <c r="J243" s="78">
        <f>MAX(K243:Q243)</f>
        <v>1</v>
      </c>
      <c r="K243" s="88">
        <v>1</v>
      </c>
      <c r="L243" s="88"/>
      <c r="M243" s="88"/>
      <c r="N243" s="88"/>
      <c r="O243" s="88"/>
      <c r="P243" s="88"/>
      <c r="Q243" s="88"/>
      <c r="R243" s="78">
        <f>MAX(S243:W243)</f>
        <v>0</v>
      </c>
      <c r="S243" s="88"/>
      <c r="T243" s="88"/>
      <c r="U243" s="88"/>
      <c r="V243" s="88"/>
      <c r="W243" s="88"/>
    </row>
    <row r="244" spans="2:23" s="0" customFormat="0" ht="15">
      <c r="B244" s="87" t="s">
        <v>1</v>
      </c>
      <c r="C244" s="88" t="s">
        <v>5259</v>
      </c>
      <c r="D244" s="88">
        <v>20173120</v>
      </c>
      <c r="E244" s="88" t="s">
        <v>61</v>
      </c>
      <c r="F244" s="88">
        <v>0</v>
      </c>
      <c r="G244" s="78">
        <f>MAX(H244,I244,J244)</f>
        <v>1</v>
      </c>
      <c r="H244" s="88"/>
      <c r="I244" s="88"/>
      <c r="J244" s="78">
        <f>MAX(K244:Q244)</f>
        <v>1</v>
      </c>
      <c r="K244" s="88">
        <v>1</v>
      </c>
      <c r="L244" s="88"/>
      <c r="M244" s="88"/>
      <c r="N244" s="88"/>
      <c r="O244" s="88"/>
      <c r="P244" s="88"/>
      <c r="Q244" s="88"/>
      <c r="R244" s="78">
        <f>MAX(S244:W244)</f>
        <v>0</v>
      </c>
      <c r="S244" s="88"/>
      <c r="T244" s="88"/>
      <c r="U244" s="88"/>
      <c r="V244" s="88"/>
      <c r="W244" s="88"/>
    </row>
    <row r="245" spans="2:23" s="0" customFormat="0" ht="15">
      <c r="B245" s="87" t="s">
        <v>1</v>
      </c>
      <c r="C245" s="88" t="s">
        <v>5259</v>
      </c>
      <c r="D245" s="88">
        <v>23861635</v>
      </c>
      <c r="E245" s="88" t="s">
        <v>61</v>
      </c>
      <c r="F245" s="88">
        <v>0</v>
      </c>
      <c r="G245" s="78">
        <f>MAX(H245,I245,J245)</f>
        <v>1</v>
      </c>
      <c r="H245" s="88"/>
      <c r="I245" s="88"/>
      <c r="J245" s="78">
        <f>MAX(K245:Q245)</f>
        <v>1</v>
      </c>
      <c r="K245" s="88">
        <v>1</v>
      </c>
      <c r="L245" s="88"/>
      <c r="M245" s="88"/>
      <c r="N245" s="88"/>
      <c r="O245" s="88"/>
      <c r="P245" s="88"/>
      <c r="Q245" s="88"/>
      <c r="R245" s="78">
        <f>MAX(S245:W245)</f>
        <v>0</v>
      </c>
      <c r="S245" s="88"/>
      <c r="T245" s="88"/>
      <c r="U245" s="88"/>
      <c r="V245" s="88"/>
      <c r="W245" s="88"/>
    </row>
    <row r="246" spans="2:23" s="0" customFormat="0" ht="15">
      <c r="B246" s="87" t="s">
        <v>1</v>
      </c>
      <c r="C246" s="88" t="s">
        <v>5259</v>
      </c>
      <c r="D246" s="88">
        <v>19646587</v>
      </c>
      <c r="E246" s="88" t="s">
        <v>61</v>
      </c>
      <c r="F246" s="88">
        <v>0</v>
      </c>
      <c r="G246" s="78">
        <f>MAX(H246,I246,J246)</f>
        <v>1</v>
      </c>
      <c r="H246" s="88"/>
      <c r="I246" s="88"/>
      <c r="J246" s="78">
        <f>MAX(K246:Q246)</f>
        <v>1</v>
      </c>
      <c r="K246" s="88">
        <v>1</v>
      </c>
      <c r="L246" s="88"/>
      <c r="M246" s="88"/>
      <c r="N246" s="88"/>
      <c r="O246" s="88"/>
      <c r="P246" s="88"/>
      <c r="Q246" s="88"/>
      <c r="R246" s="78">
        <f>MAX(S246:W246)</f>
        <v>0</v>
      </c>
      <c r="S246" s="88"/>
      <c r="T246" s="88"/>
      <c r="U246" s="88"/>
      <c r="V246" s="88"/>
      <c r="W246" s="88"/>
    </row>
    <row r="247" spans="2:23" s="0" customFormat="0" ht="15">
      <c r="B247" s="87" t="s">
        <v>1</v>
      </c>
      <c r="C247" s="88" t="s">
        <v>5259</v>
      </c>
      <c r="D247" s="88" t="s">
        <v>3419</v>
      </c>
      <c r="E247" s="88" t="s">
        <v>61</v>
      </c>
      <c r="F247" s="88">
        <v>0</v>
      </c>
      <c r="G247" s="78">
        <f>MAX(H247,I247,J247)</f>
        <v>0</v>
      </c>
      <c r="H247" s="88"/>
      <c r="I247" s="88"/>
      <c r="J247" s="78">
        <f>MAX(K247:Q247)</f>
        <v>0</v>
      </c>
      <c r="K247" s="88"/>
      <c r="L247" s="88"/>
      <c r="M247" s="88"/>
      <c r="N247" s="88"/>
      <c r="O247" s="88"/>
      <c r="P247" s="88"/>
      <c r="Q247" s="88"/>
      <c r="R247" s="78">
        <f>MAX(S247:W247)</f>
        <v>1</v>
      </c>
      <c r="S247" s="88"/>
      <c r="T247" s="88"/>
      <c r="U247" s="88">
        <v>1</v>
      </c>
      <c r="V247" s="88"/>
      <c r="W247" s="88"/>
    </row>
    <row r="248" spans="2:23" s="0" customFormat="0" ht="15">
      <c r="B248" s="87" t="s">
        <v>1</v>
      </c>
      <c r="C248" s="88" t="s">
        <v>5259</v>
      </c>
      <c r="D248" s="88" t="s">
        <v>3421</v>
      </c>
      <c r="E248" s="88" t="s">
        <v>61</v>
      </c>
      <c r="F248" s="88">
        <v>0</v>
      </c>
      <c r="G248" s="78">
        <f>MAX(H248,I248,J248)</f>
        <v>0</v>
      </c>
      <c r="H248" s="88"/>
      <c r="I248" s="88"/>
      <c r="J248" s="78">
        <f>MAX(K248:Q248)</f>
        <v>0</v>
      </c>
      <c r="K248" s="88"/>
      <c r="L248" s="88"/>
      <c r="M248" s="88"/>
      <c r="N248" s="88"/>
      <c r="O248" s="88"/>
      <c r="P248" s="88"/>
      <c r="Q248" s="88"/>
      <c r="R248" s="78">
        <f>MAX(S248:W248)</f>
        <v>1</v>
      </c>
      <c r="S248" s="88"/>
      <c r="T248" s="88"/>
      <c r="U248" s="88">
        <v>1</v>
      </c>
      <c r="V248" s="88"/>
      <c r="W248" s="88"/>
    </row>
    <row r="249" spans="2:23" s="0" customFormat="0" ht="15">
      <c r="B249" s="87" t="s">
        <v>1</v>
      </c>
      <c r="C249" s="88" t="s">
        <v>5259</v>
      </c>
      <c r="D249" s="88" t="s">
        <v>3423</v>
      </c>
      <c r="E249" s="88" t="s">
        <v>61</v>
      </c>
      <c r="F249" s="88">
        <v>0</v>
      </c>
      <c r="G249" s="78">
        <f>MAX(H249,I249,J249)</f>
        <v>0</v>
      </c>
      <c r="H249" s="88"/>
      <c r="I249" s="88"/>
      <c r="J249" s="78">
        <f>MAX(K249:Q249)</f>
        <v>0</v>
      </c>
      <c r="K249" s="88"/>
      <c r="L249" s="88"/>
      <c r="M249" s="88"/>
      <c r="N249" s="88"/>
      <c r="O249" s="88"/>
      <c r="P249" s="88"/>
      <c r="Q249" s="88"/>
      <c r="R249" s="78">
        <f>MAX(S249:W249)</f>
        <v>1</v>
      </c>
      <c r="S249" s="88"/>
      <c r="T249" s="88"/>
      <c r="U249" s="88">
        <v>1</v>
      </c>
      <c r="V249" s="88"/>
      <c r="W249" s="88"/>
    </row>
    <row r="250" spans="2:23" s="0" customFormat="0" ht="15">
      <c r="B250" s="87" t="s">
        <v>1</v>
      </c>
      <c r="C250" s="88" t="s">
        <v>5259</v>
      </c>
      <c r="D250" s="88">
        <v>14111070</v>
      </c>
      <c r="E250" s="88" t="s">
        <v>61</v>
      </c>
      <c r="F250" s="88">
        <v>0</v>
      </c>
      <c r="G250" s="78">
        <f>MAX(H250,I250,J250)</f>
        <v>0</v>
      </c>
      <c r="H250" s="88"/>
      <c r="I250" s="88"/>
      <c r="J250" s="78">
        <f>MAX(K250:Q250)</f>
        <v>0</v>
      </c>
      <c r="K250" s="88"/>
      <c r="L250" s="88"/>
      <c r="M250" s="88"/>
      <c r="N250" s="88"/>
      <c r="O250" s="88"/>
      <c r="P250" s="88"/>
      <c r="Q250" s="88"/>
      <c r="R250" s="78">
        <f>MAX(S250:W250)</f>
        <v>1</v>
      </c>
      <c r="S250" s="88"/>
      <c r="T250" s="88"/>
      <c r="U250" s="88">
        <v>1</v>
      </c>
      <c r="V250" s="88"/>
      <c r="W250" s="88"/>
    </row>
    <row r="251" spans="2:23" s="0" customFormat="0" ht="15">
      <c r="B251" s="87" t="s">
        <v>1</v>
      </c>
      <c r="C251" s="88" t="s">
        <v>5259</v>
      </c>
      <c r="D251" s="88">
        <v>4184780</v>
      </c>
      <c r="E251" s="88" t="s">
        <v>61</v>
      </c>
      <c r="F251" s="88">
        <v>0</v>
      </c>
      <c r="G251" s="78">
        <f>MAX(H251,I251,J251)</f>
        <v>1</v>
      </c>
      <c r="H251" s="88"/>
      <c r="I251" s="88"/>
      <c r="J251" s="78">
        <f>MAX(K251:Q251)</f>
        <v>1</v>
      </c>
      <c r="K251" s="88">
        <v>1</v>
      </c>
      <c r="L251" s="88"/>
      <c r="M251" s="88"/>
      <c r="N251" s="88"/>
      <c r="O251" s="88"/>
      <c r="P251" s="88"/>
      <c r="Q251" s="88"/>
      <c r="R251" s="78">
        <f>MAX(S251:W251)</f>
        <v>0</v>
      </c>
      <c r="S251" s="88"/>
      <c r="T251" s="88"/>
      <c r="U251" s="88"/>
      <c r="V251" s="88"/>
      <c r="W251" s="88"/>
    </row>
    <row r="252" spans="2:23" s="0" customFormat="0" ht="15">
      <c r="B252" s="87" t="s">
        <v>1</v>
      </c>
      <c r="C252" s="88" t="s">
        <v>5259</v>
      </c>
      <c r="D252" s="88">
        <v>7065905</v>
      </c>
      <c r="E252" s="88" t="s">
        <v>61</v>
      </c>
      <c r="F252" s="88">
        <v>0</v>
      </c>
      <c r="G252" s="78">
        <f>MAX(H252,I252,J252)</f>
        <v>0</v>
      </c>
      <c r="H252" s="88"/>
      <c r="I252" s="88"/>
      <c r="J252" s="78">
        <f>MAX(K252:Q252)</f>
        <v>0</v>
      </c>
      <c r="K252" s="88"/>
      <c r="L252" s="88"/>
      <c r="M252" s="88"/>
      <c r="N252" s="88"/>
      <c r="O252" s="88"/>
      <c r="P252" s="88"/>
      <c r="Q252" s="88"/>
      <c r="R252" s="78">
        <f>MAX(S252:W252)</f>
        <v>1</v>
      </c>
      <c r="S252" s="88"/>
      <c r="T252" s="88"/>
      <c r="U252" s="88">
        <v>1</v>
      </c>
      <c r="V252" s="88"/>
      <c r="W252" s="88"/>
    </row>
    <row r="253" spans="2:23" s="0" customFormat="0" ht="15">
      <c r="B253" s="87" t="s">
        <v>1</v>
      </c>
      <c r="C253" s="88" t="s">
        <v>5259</v>
      </c>
      <c r="D253" s="88">
        <v>22956030</v>
      </c>
      <c r="E253" s="88" t="s">
        <v>61</v>
      </c>
      <c r="F253" s="88">
        <v>0</v>
      </c>
      <c r="G253" s="78">
        <f>MAX(H253,I253,J253)</f>
        <v>1</v>
      </c>
      <c r="H253" s="88"/>
      <c r="I253" s="88"/>
      <c r="J253" s="78">
        <f>MAX(K253:Q253)</f>
        <v>1</v>
      </c>
      <c r="K253" s="88">
        <v>1</v>
      </c>
      <c r="L253" s="88"/>
      <c r="M253" s="88"/>
      <c r="N253" s="88"/>
      <c r="O253" s="88"/>
      <c r="P253" s="88"/>
      <c r="Q253" s="88"/>
      <c r="R253" s="78">
        <f>MAX(S253:W253)</f>
        <v>0</v>
      </c>
      <c r="S253" s="88"/>
      <c r="T253" s="88"/>
      <c r="U253" s="88"/>
      <c r="V253" s="88"/>
      <c r="W253" s="88"/>
    </row>
    <row r="254" spans="2:23" s="0" customFormat="0" ht="15">
      <c r="B254" s="87" t="s">
        <v>1</v>
      </c>
      <c r="C254" s="88" t="s">
        <v>5259</v>
      </c>
      <c r="D254" s="88">
        <v>19484951</v>
      </c>
      <c r="E254" s="88" t="s">
        <v>61</v>
      </c>
      <c r="F254" s="88">
        <v>0</v>
      </c>
      <c r="G254" s="78">
        <f>MAX(H254,I254,J254)</f>
        <v>1</v>
      </c>
      <c r="H254" s="88"/>
      <c r="I254" s="88"/>
      <c r="J254" s="78">
        <f>MAX(K254:Q254)</f>
        <v>1</v>
      </c>
      <c r="K254" s="88">
        <v>1</v>
      </c>
      <c r="L254" s="88"/>
      <c r="M254" s="88"/>
      <c r="N254" s="88"/>
      <c r="O254" s="88"/>
      <c r="P254" s="88"/>
      <c r="Q254" s="88"/>
      <c r="R254" s="78">
        <f>MAX(S254:W254)</f>
        <v>0</v>
      </c>
      <c r="S254" s="88"/>
      <c r="T254" s="88"/>
      <c r="U254" s="88"/>
      <c r="V254" s="88"/>
      <c r="W254" s="88"/>
    </row>
    <row r="255" spans="2:23" s="0" customFormat="0" ht="15">
      <c r="B255" s="87" t="s">
        <v>1</v>
      </c>
      <c r="C255" s="88" t="s">
        <v>5259</v>
      </c>
      <c r="D255" s="88">
        <v>22554345</v>
      </c>
      <c r="E255" s="88" t="s">
        <v>61</v>
      </c>
      <c r="F255" s="88">
        <v>0</v>
      </c>
      <c r="G255" s="78">
        <f>MAX(H255,I255,J255)</f>
        <v>0</v>
      </c>
      <c r="H255" s="88"/>
      <c r="I255" s="88"/>
      <c r="J255" s="78">
        <f>MAX(K255:Q255)</f>
        <v>0</v>
      </c>
      <c r="K255" s="88"/>
      <c r="L255" s="88"/>
      <c r="M255" s="88"/>
      <c r="N255" s="88"/>
      <c r="O255" s="88"/>
      <c r="P255" s="88"/>
      <c r="Q255" s="88"/>
      <c r="R255" s="78">
        <f>MAX(S255:W255)</f>
        <v>1</v>
      </c>
      <c r="S255" s="88"/>
      <c r="T255" s="88"/>
      <c r="U255" s="88"/>
      <c r="V255" s="88">
        <v>1</v>
      </c>
      <c r="W255" s="88"/>
    </row>
    <row r="256" spans="2:23" s="0" customFormat="0" ht="15">
      <c r="B256" s="87" t="s">
        <v>1</v>
      </c>
      <c r="C256" s="88" t="s">
        <v>5259</v>
      </c>
      <c r="D256" s="88">
        <v>22623656</v>
      </c>
      <c r="E256" s="88" t="s">
        <v>61</v>
      </c>
      <c r="F256" s="88">
        <v>0</v>
      </c>
      <c r="G256" s="78">
        <f>MAX(H256,I256,J256)</f>
        <v>0</v>
      </c>
      <c r="H256" s="88"/>
      <c r="I256" s="88"/>
      <c r="J256" s="78">
        <f>MAX(K256:Q256)</f>
        <v>0</v>
      </c>
      <c r="K256" s="88"/>
      <c r="L256" s="88"/>
      <c r="M256" s="88"/>
      <c r="N256" s="88"/>
      <c r="O256" s="88"/>
      <c r="P256" s="88"/>
      <c r="Q256" s="88"/>
      <c r="R256" s="78">
        <f>MAX(S256:W256)</f>
        <v>1</v>
      </c>
      <c r="S256" s="88"/>
      <c r="T256" s="88"/>
      <c r="U256" s="88">
        <v>1</v>
      </c>
      <c r="V256" s="88"/>
      <c r="W256" s="88"/>
    </row>
    <row r="257" spans="2:23" s="0" customFormat="0" ht="15">
      <c r="B257" s="87" t="s">
        <v>1</v>
      </c>
      <c r="C257" s="88" t="s">
        <v>5259</v>
      </c>
      <c r="D257" s="88" t="s">
        <v>3428</v>
      </c>
      <c r="E257" s="88" t="s">
        <v>61</v>
      </c>
      <c r="F257" s="88">
        <v>0</v>
      </c>
      <c r="G257" s="78">
        <f>MAX(H257,I257,J257)</f>
        <v>0</v>
      </c>
      <c r="H257" s="88"/>
      <c r="I257" s="88"/>
      <c r="J257" s="78">
        <f>MAX(K257:Q257)</f>
        <v>0</v>
      </c>
      <c r="K257" s="88"/>
      <c r="L257" s="88"/>
      <c r="M257" s="88"/>
      <c r="N257" s="88"/>
      <c r="O257" s="88"/>
      <c r="P257" s="88"/>
      <c r="Q257" s="88"/>
      <c r="R257" s="78">
        <f>MAX(S257:W257)</f>
        <v>1</v>
      </c>
      <c r="S257" s="88"/>
      <c r="T257" s="88"/>
      <c r="U257" s="88">
        <v>1</v>
      </c>
      <c r="V257" s="88"/>
      <c r="W257" s="88"/>
    </row>
    <row r="258" spans="2:23" s="0" customFormat="0" ht="15">
      <c r="B258" s="87" t="s">
        <v>1</v>
      </c>
      <c r="C258" s="88" t="s">
        <v>5259</v>
      </c>
      <c r="D258" s="88" t="s">
        <v>384</v>
      </c>
      <c r="E258" s="88" t="s">
        <v>61</v>
      </c>
      <c r="F258" s="88">
        <v>0</v>
      </c>
      <c r="G258" s="78">
        <f>MAX(H258,I258,J258)</f>
        <v>1</v>
      </c>
      <c r="H258" s="88"/>
      <c r="I258" s="88"/>
      <c r="J258" s="78">
        <f>MAX(K258:Q258)</f>
        <v>1</v>
      </c>
      <c r="K258" s="88">
        <v>1</v>
      </c>
      <c r="L258" s="88"/>
      <c r="M258" s="88"/>
      <c r="N258" s="88"/>
      <c r="O258" s="88"/>
      <c r="P258" s="88"/>
      <c r="Q258" s="88"/>
      <c r="R258" s="78">
        <f>MAX(S258:W258)</f>
        <v>0</v>
      </c>
      <c r="S258" s="88"/>
      <c r="T258" s="88"/>
      <c r="U258" s="88"/>
      <c r="V258" s="88"/>
      <c r="W258" s="88"/>
    </row>
    <row r="259" spans="2:23" s="0" customFormat="0" ht="15">
      <c r="B259" s="87" t="s">
        <v>1</v>
      </c>
      <c r="C259" s="88" t="s">
        <v>5259</v>
      </c>
      <c r="D259" s="88" t="s">
        <v>3430</v>
      </c>
      <c r="E259" s="88" t="s">
        <v>61</v>
      </c>
      <c r="F259" s="88">
        <v>0</v>
      </c>
      <c r="G259" s="78">
        <f>MAX(H259,I259,J259)</f>
        <v>0</v>
      </c>
      <c r="H259" s="88"/>
      <c r="I259" s="88"/>
      <c r="J259" s="78">
        <f>MAX(K259:Q259)</f>
        <v>0</v>
      </c>
      <c r="K259" s="88"/>
      <c r="L259" s="88"/>
      <c r="M259" s="88"/>
      <c r="N259" s="88"/>
      <c r="O259" s="88"/>
      <c r="P259" s="88"/>
      <c r="Q259" s="88"/>
      <c r="R259" s="78">
        <f>MAX(S259:W259)</f>
        <v>1</v>
      </c>
      <c r="S259" s="88"/>
      <c r="T259" s="88"/>
      <c r="U259" s="88">
        <v>1</v>
      </c>
      <c r="V259" s="88"/>
      <c r="W259" s="88"/>
    </row>
    <row r="260" spans="2:23" s="0" customFormat="0" ht="15">
      <c r="B260" s="87" t="s">
        <v>1</v>
      </c>
      <c r="C260" s="88" t="s">
        <v>5259</v>
      </c>
      <c r="D260" s="88">
        <v>11835384</v>
      </c>
      <c r="E260" s="88" t="s">
        <v>61</v>
      </c>
      <c r="F260" s="88">
        <v>0</v>
      </c>
      <c r="G260" s="78">
        <f>MAX(H260,I260,J260)</f>
        <v>1</v>
      </c>
      <c r="H260" s="88"/>
      <c r="I260" s="88"/>
      <c r="J260" s="78">
        <f>MAX(K260:Q260)</f>
        <v>1</v>
      </c>
      <c r="K260" s="88">
        <v>1</v>
      </c>
      <c r="L260" s="88"/>
      <c r="M260" s="88"/>
      <c r="N260" s="88"/>
      <c r="O260" s="88"/>
      <c r="P260" s="88"/>
      <c r="Q260" s="88"/>
      <c r="R260" s="78">
        <f>MAX(S260:W260)</f>
        <v>0</v>
      </c>
      <c r="S260" s="88"/>
      <c r="T260" s="88"/>
      <c r="U260" s="88"/>
      <c r="V260" s="88"/>
      <c r="W260" s="88"/>
    </row>
    <row r="261" spans="2:23" s="0" customFormat="0" ht="15">
      <c r="B261" s="87" t="s">
        <v>1</v>
      </c>
      <c r="C261" s="88" t="s">
        <v>5259</v>
      </c>
      <c r="D261" s="88" t="s">
        <v>387</v>
      </c>
      <c r="E261" s="88" t="s">
        <v>61</v>
      </c>
      <c r="F261" s="88">
        <v>0</v>
      </c>
      <c r="G261" s="78">
        <f>MAX(H261,I261,J261)</f>
        <v>1</v>
      </c>
      <c r="H261" s="88"/>
      <c r="I261" s="88"/>
      <c r="J261" s="78">
        <f>MAX(K261:Q261)</f>
        <v>1</v>
      </c>
      <c r="K261" s="88">
        <v>1</v>
      </c>
      <c r="L261" s="88"/>
      <c r="M261" s="88"/>
      <c r="N261" s="88"/>
      <c r="O261" s="88"/>
      <c r="P261" s="88"/>
      <c r="Q261" s="88"/>
      <c r="R261" s="78">
        <f>MAX(S261:W261)</f>
        <v>0</v>
      </c>
      <c r="S261" s="88"/>
      <c r="T261" s="88"/>
      <c r="U261" s="88"/>
      <c r="V261" s="88"/>
      <c r="W261" s="88"/>
    </row>
    <row r="262" spans="2:23" s="0" customFormat="0" ht="15">
      <c r="B262" s="87" t="s">
        <v>1</v>
      </c>
      <c r="C262" s="88" t="s">
        <v>5259</v>
      </c>
      <c r="D262" s="88">
        <v>4279957</v>
      </c>
      <c r="E262" s="88" t="s">
        <v>61</v>
      </c>
      <c r="F262" s="88">
        <v>0</v>
      </c>
      <c r="G262" s="78">
        <f>MAX(H262,I262,J262)</f>
        <v>0</v>
      </c>
      <c r="H262" s="88"/>
      <c r="I262" s="88"/>
      <c r="J262" s="78">
        <f>MAX(K262:Q262)</f>
        <v>0</v>
      </c>
      <c r="K262" s="88"/>
      <c r="L262" s="88"/>
      <c r="M262" s="88"/>
      <c r="N262" s="88"/>
      <c r="O262" s="88"/>
      <c r="P262" s="88"/>
      <c r="Q262" s="88"/>
      <c r="R262" s="78">
        <f>MAX(S262:W262)</f>
        <v>1</v>
      </c>
      <c r="S262" s="88"/>
      <c r="T262" s="88"/>
      <c r="U262" s="88"/>
      <c r="V262" s="88">
        <v>1</v>
      </c>
      <c r="W262" s="88"/>
    </row>
    <row r="263" spans="2:23" s="0" customFormat="0" ht="15">
      <c r="B263" s="87" t="s">
        <v>1</v>
      </c>
      <c r="C263" s="88" t="s">
        <v>5259</v>
      </c>
      <c r="D263" s="88" t="s">
        <v>389</v>
      </c>
      <c r="E263" s="88" t="s">
        <v>61</v>
      </c>
      <c r="F263" s="88">
        <v>0</v>
      </c>
      <c r="G263" s="78">
        <f>MAX(H263,I263,J263)</f>
        <v>1</v>
      </c>
      <c r="H263" s="88"/>
      <c r="I263" s="88"/>
      <c r="J263" s="78">
        <f>MAX(K263:Q263)</f>
        <v>1</v>
      </c>
      <c r="K263" s="88">
        <v>1</v>
      </c>
      <c r="L263" s="88"/>
      <c r="M263" s="88"/>
      <c r="N263" s="88"/>
      <c r="O263" s="88"/>
      <c r="P263" s="88"/>
      <c r="Q263" s="88"/>
      <c r="R263" s="78">
        <f>MAX(S263:W263)</f>
        <v>0</v>
      </c>
      <c r="S263" s="88"/>
      <c r="T263" s="88"/>
      <c r="U263" s="88"/>
      <c r="V263" s="88"/>
      <c r="W263" s="88"/>
    </row>
    <row r="264" spans="2:23" s="0" customFormat="0" ht="15">
      <c r="B264" s="87" t="s">
        <v>1</v>
      </c>
      <c r="C264" s="88" t="s">
        <v>5259</v>
      </c>
      <c r="D264" s="88">
        <v>23421001</v>
      </c>
      <c r="E264" s="88" t="s">
        <v>61</v>
      </c>
      <c r="F264" s="88">
        <v>0</v>
      </c>
      <c r="G264" s="78">
        <f>MAX(H264,I264,J264)</f>
        <v>1</v>
      </c>
      <c r="H264" s="88"/>
      <c r="I264" s="88"/>
      <c r="J264" s="78">
        <f>MAX(K264:Q264)</f>
        <v>1</v>
      </c>
      <c r="K264" s="88">
        <v>1</v>
      </c>
      <c r="L264" s="88"/>
      <c r="M264" s="88"/>
      <c r="N264" s="88"/>
      <c r="O264" s="88"/>
      <c r="P264" s="88"/>
      <c r="Q264" s="88"/>
      <c r="R264" s="78">
        <f>MAX(S264:W264)</f>
        <v>0</v>
      </c>
      <c r="S264" s="88"/>
      <c r="T264" s="88"/>
      <c r="U264" s="88"/>
      <c r="V264" s="88"/>
      <c r="W264" s="88"/>
    </row>
    <row r="265" spans="2:23" s="0" customFormat="0" ht="15">
      <c r="B265" s="87" t="s">
        <v>1</v>
      </c>
      <c r="C265" s="88" t="s">
        <v>5259</v>
      </c>
      <c r="D265" s="88">
        <v>14256176</v>
      </c>
      <c r="E265" s="88" t="s">
        <v>61</v>
      </c>
      <c r="F265" s="88">
        <v>0</v>
      </c>
      <c r="G265" s="78">
        <f>MAX(H265,I265,J265)</f>
        <v>1</v>
      </c>
      <c r="H265" s="88"/>
      <c r="I265" s="88"/>
      <c r="J265" s="78">
        <f>MAX(K265:Q265)</f>
        <v>1</v>
      </c>
      <c r="K265" s="88">
        <v>1</v>
      </c>
      <c r="L265" s="88"/>
      <c r="M265" s="88"/>
      <c r="N265" s="88"/>
      <c r="O265" s="88"/>
      <c r="P265" s="88"/>
      <c r="Q265" s="88"/>
      <c r="R265" s="78">
        <f>MAX(S265:W265)</f>
        <v>0</v>
      </c>
      <c r="S265" s="88"/>
      <c r="T265" s="88"/>
      <c r="U265" s="88"/>
      <c r="V265" s="88"/>
      <c r="W265" s="88"/>
    </row>
    <row r="266" spans="2:23" s="0" customFormat="0" ht="15">
      <c r="B266" s="87" t="s">
        <v>1</v>
      </c>
      <c r="C266" s="88" t="s">
        <v>5259</v>
      </c>
      <c r="D266" s="88">
        <v>22246381</v>
      </c>
      <c r="E266" s="88" t="s">
        <v>61</v>
      </c>
      <c r="F266" s="88">
        <v>0</v>
      </c>
      <c r="G266" s="78">
        <f>MAX(H266,I266,J266)</f>
        <v>1</v>
      </c>
      <c r="H266" s="88"/>
      <c r="I266" s="88"/>
      <c r="J266" s="78">
        <f>MAX(K266:Q266)</f>
        <v>1</v>
      </c>
      <c r="K266" s="88">
        <v>1</v>
      </c>
      <c r="L266" s="88"/>
      <c r="M266" s="88"/>
      <c r="N266" s="88"/>
      <c r="O266" s="88"/>
      <c r="P266" s="88"/>
      <c r="Q266" s="88"/>
      <c r="R266" s="78">
        <f>MAX(S266:W266)</f>
        <v>0</v>
      </c>
      <c r="S266" s="88"/>
      <c r="T266" s="88"/>
      <c r="U266" s="88"/>
      <c r="V266" s="88"/>
      <c r="W266" s="88"/>
    </row>
    <row r="267" spans="2:23" s="0" customFormat="0" ht="15">
      <c r="B267" s="87" t="s">
        <v>1</v>
      </c>
      <c r="C267" s="88" t="s">
        <v>5259</v>
      </c>
      <c r="D267" s="88" t="s">
        <v>3432</v>
      </c>
      <c r="E267" s="88" t="s">
        <v>61</v>
      </c>
      <c r="F267" s="88">
        <v>0</v>
      </c>
      <c r="G267" s="78">
        <f>MAX(H267,I267,J267)</f>
        <v>0</v>
      </c>
      <c r="H267" s="88"/>
      <c r="I267" s="88"/>
      <c r="J267" s="78">
        <f>MAX(K267:Q267)</f>
        <v>0</v>
      </c>
      <c r="K267" s="88"/>
      <c r="L267" s="88"/>
      <c r="M267" s="88"/>
      <c r="N267" s="88"/>
      <c r="O267" s="88"/>
      <c r="P267" s="88"/>
      <c r="Q267" s="88"/>
      <c r="R267" s="78">
        <f>MAX(S267:W267)</f>
        <v>1</v>
      </c>
      <c r="S267" s="88"/>
      <c r="T267" s="88"/>
      <c r="U267" s="88">
        <v>1</v>
      </c>
      <c r="V267" s="88"/>
      <c r="W267" s="88"/>
    </row>
    <row r="268" spans="2:23" s="0" customFormat="0" ht="15">
      <c r="B268" s="87" t="s">
        <v>1</v>
      </c>
      <c r="C268" s="88" t="s">
        <v>5259</v>
      </c>
      <c r="D268" s="88">
        <v>23963922</v>
      </c>
      <c r="E268" s="88" t="s">
        <v>61</v>
      </c>
      <c r="F268" s="88">
        <v>0</v>
      </c>
      <c r="G268" s="78">
        <f>MAX(H268,I268,J268)</f>
        <v>1</v>
      </c>
      <c r="H268" s="88"/>
      <c r="I268" s="88"/>
      <c r="J268" s="78">
        <f>MAX(K268:Q268)</f>
        <v>1</v>
      </c>
      <c r="K268" s="88"/>
      <c r="L268" s="88"/>
      <c r="M268" s="88">
        <v>1</v>
      </c>
      <c r="N268" s="88"/>
      <c r="O268" s="88"/>
      <c r="P268" s="88"/>
      <c r="Q268" s="88"/>
      <c r="R268" s="78">
        <f>MAX(S268:W268)</f>
        <v>0</v>
      </c>
      <c r="S268" s="88"/>
      <c r="T268" s="88"/>
      <c r="U268" s="88"/>
      <c r="V268" s="88"/>
      <c r="W268" s="88"/>
    </row>
    <row r="269" spans="2:23" s="0" customFormat="0" ht="15">
      <c r="B269" s="87" t="s">
        <v>1</v>
      </c>
      <c r="C269" s="88" t="s">
        <v>5259</v>
      </c>
      <c r="D269" s="88">
        <v>417599</v>
      </c>
      <c r="E269" s="88" t="s">
        <v>55</v>
      </c>
      <c r="F269" s="88">
        <v>0</v>
      </c>
      <c r="G269" s="78">
        <f>MAX(H269,I269,J269)</f>
        <v>1</v>
      </c>
      <c r="H269" s="88"/>
      <c r="I269" s="88"/>
      <c r="J269" s="78">
        <f>MAX(K269:Q269)</f>
        <v>1</v>
      </c>
      <c r="K269" s="88">
        <v>1</v>
      </c>
      <c r="L269" s="88"/>
      <c r="M269" s="88"/>
      <c r="N269" s="88"/>
      <c r="O269" s="88"/>
      <c r="P269" s="88"/>
      <c r="Q269" s="88"/>
      <c r="R269" s="78">
        <f>MAX(S269:W269)</f>
        <v>0</v>
      </c>
      <c r="S269" s="88"/>
      <c r="T269" s="88"/>
      <c r="U269" s="88"/>
      <c r="V269" s="88"/>
      <c r="W269" s="88"/>
    </row>
    <row r="270" spans="2:23" s="0" customFormat="0" ht="15">
      <c r="B270" s="87" t="s">
        <v>1</v>
      </c>
      <c r="C270" s="88" t="s">
        <v>5259</v>
      </c>
      <c r="D270" s="88">
        <v>2373826</v>
      </c>
      <c r="E270" s="88" t="s">
        <v>55</v>
      </c>
      <c r="F270" s="88">
        <v>0</v>
      </c>
      <c r="G270" s="78">
        <f>MAX(H270,I270,J270)</f>
        <v>1</v>
      </c>
      <c r="H270" s="88"/>
      <c r="I270" s="88"/>
      <c r="J270" s="78">
        <f>MAX(K270:Q270)</f>
        <v>1</v>
      </c>
      <c r="K270" s="88"/>
      <c r="L270" s="88"/>
      <c r="M270" s="88"/>
      <c r="N270" s="88">
        <v>1</v>
      </c>
      <c r="O270" s="88"/>
      <c r="P270" s="88"/>
      <c r="Q270" s="88"/>
      <c r="R270" s="78">
        <f>MAX(S270:W270)</f>
        <v>0</v>
      </c>
      <c r="S270" s="88"/>
      <c r="T270" s="88"/>
      <c r="U270" s="88"/>
      <c r="V270" s="88"/>
      <c r="W270" s="88"/>
    </row>
    <row r="271" spans="2:23" s="0" customFormat="0" ht="15">
      <c r="B271" s="87" t="s">
        <v>1</v>
      </c>
      <c r="C271" s="88" t="s">
        <v>5259</v>
      </c>
      <c r="D271" s="88">
        <v>2007329</v>
      </c>
      <c r="E271" s="88" t="s">
        <v>55</v>
      </c>
      <c r="F271" s="88">
        <v>0</v>
      </c>
      <c r="G271" s="78">
        <f>MAX(H271,I271,J271)</f>
        <v>1</v>
      </c>
      <c r="H271" s="88"/>
      <c r="I271" s="88"/>
      <c r="J271" s="78">
        <f>MAX(K271:Q271)</f>
        <v>1</v>
      </c>
      <c r="K271" s="88">
        <v>1</v>
      </c>
      <c r="L271" s="88"/>
      <c r="M271" s="88"/>
      <c r="N271" s="88"/>
      <c r="O271" s="88"/>
      <c r="P271" s="88"/>
      <c r="Q271" s="88"/>
      <c r="R271" s="78">
        <f>MAX(S271:W271)</f>
        <v>0</v>
      </c>
      <c r="S271" s="88"/>
      <c r="T271" s="88"/>
      <c r="U271" s="88"/>
      <c r="V271" s="88"/>
      <c r="W271" s="88"/>
    </row>
    <row r="272" spans="2:23" s="0" customFormat="0" ht="15">
      <c r="B272" s="87" t="s">
        <v>1</v>
      </c>
      <c r="C272" s="88" t="s">
        <v>5259</v>
      </c>
      <c r="D272" s="88">
        <v>20374651</v>
      </c>
      <c r="E272" s="88" t="s">
        <v>55</v>
      </c>
      <c r="F272" s="88">
        <v>0</v>
      </c>
      <c r="G272" s="78">
        <f>MAX(H272,I272,J272)</f>
        <v>1</v>
      </c>
      <c r="H272" s="88"/>
      <c r="I272" s="88"/>
      <c r="J272" s="78">
        <f>MAX(K272:Q272)</f>
        <v>1</v>
      </c>
      <c r="K272" s="88">
        <v>1</v>
      </c>
      <c r="L272" s="88"/>
      <c r="M272" s="88"/>
      <c r="N272" s="88"/>
      <c r="O272" s="88"/>
      <c r="P272" s="88"/>
      <c r="Q272" s="88"/>
      <c r="R272" s="78">
        <f>MAX(S272:W272)</f>
        <v>0</v>
      </c>
      <c r="S272" s="88"/>
      <c r="T272" s="88"/>
      <c r="U272" s="88"/>
      <c r="V272" s="88"/>
      <c r="W272" s="88"/>
    </row>
    <row r="273" spans="2:23" s="0" customFormat="0" ht="15">
      <c r="B273" s="87" t="s">
        <v>1</v>
      </c>
      <c r="C273" s="88" t="s">
        <v>5259</v>
      </c>
      <c r="D273" s="88">
        <v>20173124</v>
      </c>
      <c r="E273" s="88" t="s">
        <v>55</v>
      </c>
      <c r="F273" s="88">
        <v>0</v>
      </c>
      <c r="G273" s="78">
        <f>MAX(H273,I273,J273)</f>
        <v>1</v>
      </c>
      <c r="H273" s="88"/>
      <c r="I273" s="88"/>
      <c r="J273" s="78">
        <f>MAX(K273:Q273)</f>
        <v>1</v>
      </c>
      <c r="K273" s="88">
        <v>1</v>
      </c>
      <c r="L273" s="88"/>
      <c r="M273" s="88"/>
      <c r="N273" s="88"/>
      <c r="O273" s="88"/>
      <c r="P273" s="88"/>
      <c r="Q273" s="88"/>
      <c r="R273" s="78">
        <f>MAX(S273:W273)</f>
        <v>0</v>
      </c>
      <c r="S273" s="88"/>
      <c r="T273" s="88"/>
      <c r="U273" s="88"/>
      <c r="V273" s="88"/>
      <c r="W273" s="88"/>
    </row>
    <row r="274" spans="2:23" s="0" customFormat="0" ht="15">
      <c r="B274" s="87" t="s">
        <v>1</v>
      </c>
      <c r="C274" s="88" t="s">
        <v>5259</v>
      </c>
      <c r="D274" s="88">
        <v>20652550</v>
      </c>
      <c r="E274" s="88" t="s">
        <v>55</v>
      </c>
      <c r="F274" s="88">
        <v>0</v>
      </c>
      <c r="G274" s="78">
        <f>MAX(H274,I274,J274)</f>
        <v>1</v>
      </c>
      <c r="H274" s="88"/>
      <c r="I274" s="88"/>
      <c r="J274" s="78">
        <f>MAX(K274:Q274)</f>
        <v>1</v>
      </c>
      <c r="K274" s="88">
        <v>1</v>
      </c>
      <c r="L274" s="88"/>
      <c r="M274" s="88"/>
      <c r="N274" s="88"/>
      <c r="O274" s="88"/>
      <c r="P274" s="88"/>
      <c r="Q274" s="88"/>
      <c r="R274" s="78">
        <f>MAX(S274:W274)</f>
        <v>0</v>
      </c>
      <c r="S274" s="88"/>
      <c r="T274" s="88"/>
      <c r="U274" s="88"/>
      <c r="V274" s="88"/>
      <c r="W274" s="88"/>
    </row>
    <row r="275" spans="2:23" s="0" customFormat="0" ht="15">
      <c r="B275" s="87" t="s">
        <v>1</v>
      </c>
      <c r="C275" s="88" t="s">
        <v>5259</v>
      </c>
      <c r="D275" s="88">
        <v>2402967</v>
      </c>
      <c r="E275" s="88" t="s">
        <v>55</v>
      </c>
      <c r="F275" s="88">
        <v>0</v>
      </c>
      <c r="G275" s="78">
        <f>MAX(H275,I275,J275)</f>
        <v>1</v>
      </c>
      <c r="H275" s="88"/>
      <c r="I275" s="88"/>
      <c r="J275" s="78">
        <f>MAX(K275:Q275)</f>
        <v>1</v>
      </c>
      <c r="K275" s="88"/>
      <c r="L275" s="88"/>
      <c r="M275" s="88"/>
      <c r="N275" s="88">
        <v>1</v>
      </c>
      <c r="O275" s="88"/>
      <c r="P275" s="88"/>
      <c r="Q275" s="88"/>
      <c r="R275" s="78">
        <f>MAX(S275:W275)</f>
        <v>0</v>
      </c>
      <c r="S275" s="88"/>
      <c r="T275" s="88"/>
      <c r="U275" s="88"/>
      <c r="V275" s="88"/>
      <c r="W275" s="88"/>
    </row>
    <row r="276" spans="2:23" s="0" customFormat="0" ht="15">
      <c r="B276" s="87" t="s">
        <v>1</v>
      </c>
      <c r="C276" s="88" t="s">
        <v>5259</v>
      </c>
      <c r="D276" s="88">
        <v>2402964</v>
      </c>
      <c r="E276" s="88" t="s">
        <v>55</v>
      </c>
      <c r="F276" s="88">
        <v>0</v>
      </c>
      <c r="G276" s="78">
        <f>MAX(H276,I276,J276)</f>
        <v>1</v>
      </c>
      <c r="H276" s="88"/>
      <c r="I276" s="88"/>
      <c r="J276" s="78">
        <f>MAX(K276:Q276)</f>
        <v>1</v>
      </c>
      <c r="K276" s="88"/>
      <c r="L276" s="88"/>
      <c r="M276" s="88"/>
      <c r="N276" s="88">
        <v>1</v>
      </c>
      <c r="O276" s="88"/>
      <c r="P276" s="88"/>
      <c r="Q276" s="88"/>
      <c r="R276" s="78">
        <f>MAX(S276:W276)</f>
        <v>0</v>
      </c>
      <c r="S276" s="88"/>
      <c r="T276" s="88"/>
      <c r="U276" s="88"/>
      <c r="V276" s="88"/>
      <c r="W276" s="88"/>
    </row>
    <row r="277" spans="2:23" s="0" customFormat="0" ht="15">
      <c r="B277" s="87" t="s">
        <v>1</v>
      </c>
      <c r="C277" s="88" t="s">
        <v>5259</v>
      </c>
      <c r="D277" s="88">
        <v>356679</v>
      </c>
      <c r="E277" s="88" t="s">
        <v>55</v>
      </c>
      <c r="F277" s="88">
        <v>0</v>
      </c>
      <c r="G277" s="78">
        <f>MAX(H277,I277,J277)</f>
        <v>1</v>
      </c>
      <c r="H277" s="88"/>
      <c r="I277" s="88"/>
      <c r="J277" s="78">
        <f>MAX(K277:Q277)</f>
        <v>1</v>
      </c>
      <c r="K277" s="88"/>
      <c r="L277" s="88"/>
      <c r="M277" s="88"/>
      <c r="N277" s="88">
        <v>1</v>
      </c>
      <c r="O277" s="88"/>
      <c r="P277" s="88"/>
      <c r="Q277" s="88"/>
      <c r="R277" s="78">
        <f>MAX(S277:W277)</f>
        <v>0</v>
      </c>
      <c r="S277" s="88"/>
      <c r="T277" s="88"/>
      <c r="U277" s="88"/>
      <c r="V277" s="88"/>
      <c r="W277" s="88"/>
    </row>
    <row r="278" spans="2:23" s="0" customFormat="0" ht="15">
      <c r="B278" s="87" t="s">
        <v>1</v>
      </c>
      <c r="C278" s="88" t="s">
        <v>5259</v>
      </c>
      <c r="D278" s="88">
        <v>357822</v>
      </c>
      <c r="E278" s="88" t="s">
        <v>55</v>
      </c>
      <c r="F278" s="88">
        <v>0</v>
      </c>
      <c r="G278" s="78">
        <f>MAX(H278,I278,J278)</f>
        <v>1</v>
      </c>
      <c r="H278" s="88"/>
      <c r="I278" s="88"/>
      <c r="J278" s="78">
        <f>MAX(K278:Q278)</f>
        <v>1</v>
      </c>
      <c r="K278" s="88"/>
      <c r="L278" s="88"/>
      <c r="M278" s="88"/>
      <c r="N278" s="88">
        <v>1</v>
      </c>
      <c r="O278" s="88"/>
      <c r="P278" s="88"/>
      <c r="Q278" s="88"/>
      <c r="R278" s="78">
        <f>MAX(S278:W278)</f>
        <v>0</v>
      </c>
      <c r="S278" s="88"/>
      <c r="T278" s="88"/>
      <c r="U278" s="88"/>
      <c r="V278" s="88"/>
      <c r="W278" s="88"/>
    </row>
    <row r="279" spans="2:23" s="0" customFormat="0" ht="15">
      <c r="B279" s="87" t="s">
        <v>1</v>
      </c>
      <c r="C279" s="88" t="s">
        <v>5259</v>
      </c>
      <c r="D279" s="88">
        <v>19476382</v>
      </c>
      <c r="E279" s="88" t="s">
        <v>55</v>
      </c>
      <c r="F279" s="88">
        <v>0</v>
      </c>
      <c r="G279" s="78">
        <f>MAX(H279,I279,J279)</f>
        <v>1</v>
      </c>
      <c r="H279" s="88"/>
      <c r="I279" s="88"/>
      <c r="J279" s="78">
        <f>MAX(K279:Q279)</f>
        <v>1</v>
      </c>
      <c r="K279" s="88">
        <v>1</v>
      </c>
      <c r="L279" s="88"/>
      <c r="M279" s="88"/>
      <c r="N279" s="88"/>
      <c r="O279" s="88"/>
      <c r="P279" s="88"/>
      <c r="Q279" s="88"/>
      <c r="R279" s="78">
        <f>MAX(S279:W279)</f>
        <v>0</v>
      </c>
      <c r="S279" s="88"/>
      <c r="T279" s="88"/>
      <c r="U279" s="88"/>
      <c r="V279" s="88"/>
      <c r="W279" s="88"/>
    </row>
    <row r="280" spans="2:23" s="0" customFormat="0" ht="15">
      <c r="B280" s="87" t="s">
        <v>1</v>
      </c>
      <c r="C280" s="88" t="s">
        <v>5259</v>
      </c>
      <c r="D280" s="88">
        <v>1043463</v>
      </c>
      <c r="E280" s="88" t="s">
        <v>55</v>
      </c>
      <c r="F280" s="88">
        <v>0</v>
      </c>
      <c r="G280" s="78">
        <f>MAX(H280,I280,J280)</f>
        <v>1</v>
      </c>
      <c r="H280" s="88"/>
      <c r="I280" s="88"/>
      <c r="J280" s="78">
        <f>MAX(K280:Q280)</f>
        <v>1</v>
      </c>
      <c r="K280" s="88"/>
      <c r="L280" s="88"/>
      <c r="M280" s="88"/>
      <c r="N280" s="88">
        <v>1</v>
      </c>
      <c r="O280" s="88"/>
      <c r="P280" s="88"/>
      <c r="Q280" s="88"/>
      <c r="R280" s="78">
        <f>MAX(S280:W280)</f>
        <v>0</v>
      </c>
      <c r="S280" s="88"/>
      <c r="T280" s="88"/>
      <c r="U280" s="88"/>
      <c r="V280" s="88"/>
      <c r="W280" s="88"/>
    </row>
    <row r="281" spans="2:23" s="0" customFormat="0" ht="15">
      <c r="B281" s="87" t="s">
        <v>1</v>
      </c>
      <c r="C281" s="88" t="s">
        <v>5259</v>
      </c>
      <c r="D281" s="88">
        <v>19035757</v>
      </c>
      <c r="E281" s="88" t="s">
        <v>55</v>
      </c>
      <c r="F281" s="88">
        <v>0</v>
      </c>
      <c r="G281" s="78">
        <f>MAX(H281,I281,J281)</f>
        <v>1</v>
      </c>
      <c r="H281" s="88"/>
      <c r="I281" s="88"/>
      <c r="J281" s="78">
        <f>MAX(K281:Q281)</f>
        <v>1</v>
      </c>
      <c r="K281" s="88">
        <v>1</v>
      </c>
      <c r="L281" s="88"/>
      <c r="M281" s="88"/>
      <c r="N281" s="88"/>
      <c r="O281" s="88"/>
      <c r="P281" s="88"/>
      <c r="Q281" s="88"/>
      <c r="R281" s="78">
        <f>MAX(S281:W281)</f>
        <v>0</v>
      </c>
      <c r="S281" s="88"/>
      <c r="T281" s="88"/>
      <c r="U281" s="88"/>
      <c r="V281" s="88"/>
      <c r="W281" s="88"/>
    </row>
    <row r="282" spans="2:23" s="0" customFormat="0" ht="15">
      <c r="B282" s="87" t="s">
        <v>1</v>
      </c>
      <c r="C282" s="88" t="s">
        <v>5259</v>
      </c>
      <c r="D282" s="88">
        <v>147412</v>
      </c>
      <c r="E282" s="88" t="s">
        <v>55</v>
      </c>
      <c r="F282" s="88">
        <v>0</v>
      </c>
      <c r="G282" s="78">
        <f>MAX(H282,I282,J282)</f>
        <v>1</v>
      </c>
      <c r="H282" s="88"/>
      <c r="I282" s="88"/>
      <c r="J282" s="78">
        <f>MAX(K282:Q282)</f>
        <v>1</v>
      </c>
      <c r="K282" s="88"/>
      <c r="L282" s="88"/>
      <c r="M282" s="88"/>
      <c r="N282" s="88">
        <v>1</v>
      </c>
      <c r="O282" s="88"/>
      <c r="P282" s="88"/>
      <c r="Q282" s="88"/>
      <c r="R282" s="78">
        <f>MAX(S282:W282)</f>
        <v>0</v>
      </c>
      <c r="S282" s="88"/>
      <c r="T282" s="88"/>
      <c r="U282" s="88"/>
      <c r="V282" s="88"/>
      <c r="W282" s="88"/>
    </row>
    <row r="283" spans="2:23" s="0" customFormat="0" ht="15">
      <c r="B283" s="87" t="s">
        <v>1</v>
      </c>
      <c r="C283" s="88" t="s">
        <v>5259</v>
      </c>
      <c r="D283" s="88">
        <v>5180794</v>
      </c>
      <c r="E283" s="88" t="s">
        <v>55</v>
      </c>
      <c r="F283" s="88">
        <v>0</v>
      </c>
      <c r="G283" s="78">
        <f>MAX(H283,I283,J283)</f>
        <v>1</v>
      </c>
      <c r="H283" s="88"/>
      <c r="I283" s="88"/>
      <c r="J283" s="78">
        <f>MAX(K283:Q283)</f>
        <v>1</v>
      </c>
      <c r="K283" s="88">
        <v>1</v>
      </c>
      <c r="L283" s="88"/>
      <c r="M283" s="88"/>
      <c r="N283" s="88"/>
      <c r="O283" s="88"/>
      <c r="P283" s="88"/>
      <c r="Q283" s="88"/>
      <c r="R283" s="78">
        <f>MAX(S283:W283)</f>
        <v>0</v>
      </c>
      <c r="S283" s="88"/>
      <c r="T283" s="88"/>
      <c r="U283" s="88"/>
      <c r="V283" s="88"/>
      <c r="W283" s="88"/>
    </row>
    <row r="284" spans="2:23" s="0" customFormat="0" ht="15">
      <c r="B284" s="87" t="s">
        <v>1</v>
      </c>
      <c r="C284" s="88" t="s">
        <v>5259</v>
      </c>
      <c r="D284" s="88">
        <v>147343</v>
      </c>
      <c r="E284" s="88" t="s">
        <v>55</v>
      </c>
      <c r="F284" s="88">
        <v>0</v>
      </c>
      <c r="G284" s="78">
        <f>MAX(H284,I284,J284)</f>
        <v>1</v>
      </c>
      <c r="H284" s="88"/>
      <c r="I284" s="88"/>
      <c r="J284" s="78">
        <f>MAX(K284:Q284)</f>
        <v>1</v>
      </c>
      <c r="K284" s="88"/>
      <c r="L284" s="88"/>
      <c r="M284" s="88"/>
      <c r="N284" s="88">
        <v>1</v>
      </c>
      <c r="O284" s="88"/>
      <c r="P284" s="88"/>
      <c r="Q284" s="88"/>
      <c r="R284" s="78">
        <f>MAX(S284:W284)</f>
        <v>0</v>
      </c>
      <c r="S284" s="88"/>
      <c r="T284" s="88"/>
      <c r="U284" s="88"/>
      <c r="V284" s="88"/>
      <c r="W284" s="88"/>
    </row>
    <row r="285" spans="2:23" s="0" customFormat="0" ht="15">
      <c r="B285" s="87" t="s">
        <v>1</v>
      </c>
      <c r="C285" s="88" t="s">
        <v>5259</v>
      </c>
      <c r="D285" s="88">
        <v>309831</v>
      </c>
      <c r="E285" s="88" t="s">
        <v>55</v>
      </c>
      <c r="F285" s="88">
        <v>0</v>
      </c>
      <c r="G285" s="78">
        <f>MAX(H285,I285,J285)</f>
        <v>1</v>
      </c>
      <c r="H285" s="88"/>
      <c r="I285" s="88"/>
      <c r="J285" s="78">
        <f>MAX(K285:Q285)</f>
        <v>1</v>
      </c>
      <c r="K285" s="88"/>
      <c r="L285" s="88"/>
      <c r="M285" s="88"/>
      <c r="N285" s="88">
        <v>1</v>
      </c>
      <c r="O285" s="88"/>
      <c r="P285" s="88"/>
      <c r="Q285" s="88"/>
      <c r="R285" s="78">
        <f>MAX(S285:W285)</f>
        <v>0</v>
      </c>
      <c r="S285" s="88"/>
      <c r="T285" s="88"/>
      <c r="U285" s="88"/>
      <c r="V285" s="88"/>
      <c r="W285" s="88"/>
    </row>
    <row r="286" spans="2:23" s="0" customFormat="0" ht="15">
      <c r="B286" s="87" t="s">
        <v>1</v>
      </c>
      <c r="C286" s="88" t="s">
        <v>5259</v>
      </c>
      <c r="D286" s="88">
        <v>2457733</v>
      </c>
      <c r="E286" s="88" t="s">
        <v>55</v>
      </c>
      <c r="F286" s="88">
        <v>0</v>
      </c>
      <c r="G286" s="78">
        <f>MAX(H286,I286,J286)</f>
        <v>1</v>
      </c>
      <c r="H286" s="88"/>
      <c r="I286" s="88"/>
      <c r="J286" s="78">
        <f>MAX(K286:Q286)</f>
        <v>1</v>
      </c>
      <c r="K286" s="88"/>
      <c r="L286" s="88"/>
      <c r="M286" s="88"/>
      <c r="N286" s="88">
        <v>1</v>
      </c>
      <c r="O286" s="88"/>
      <c r="P286" s="88"/>
      <c r="Q286" s="88"/>
      <c r="R286" s="78">
        <f>MAX(S286:W286)</f>
        <v>0</v>
      </c>
      <c r="S286" s="88"/>
      <c r="T286" s="88"/>
      <c r="U286" s="88"/>
      <c r="V286" s="88"/>
      <c r="W286" s="88"/>
    </row>
    <row r="287" spans="2:23" s="0" customFormat="0" ht="15">
      <c r="B287" s="87" t="s">
        <v>1</v>
      </c>
      <c r="C287" s="88" t="s">
        <v>5259</v>
      </c>
      <c r="D287" s="88">
        <v>2319641</v>
      </c>
      <c r="E287" s="88" t="s">
        <v>55</v>
      </c>
      <c r="F287" s="88">
        <v>0</v>
      </c>
      <c r="G287" s="78">
        <f>MAX(H287,I287,J287)</f>
        <v>1</v>
      </c>
      <c r="H287" s="88"/>
      <c r="I287" s="88"/>
      <c r="J287" s="78">
        <f>MAX(K287:Q287)</f>
        <v>1</v>
      </c>
      <c r="K287" s="88"/>
      <c r="L287" s="88"/>
      <c r="M287" s="88"/>
      <c r="N287" s="88">
        <v>1</v>
      </c>
      <c r="O287" s="88"/>
      <c r="P287" s="88"/>
      <c r="Q287" s="88"/>
      <c r="R287" s="78">
        <f>MAX(S287:W287)</f>
        <v>0</v>
      </c>
      <c r="S287" s="88"/>
      <c r="T287" s="88"/>
      <c r="U287" s="88"/>
      <c r="V287" s="88"/>
      <c r="W287" s="88"/>
    </row>
    <row r="288" spans="2:23" s="0" customFormat="0" ht="15">
      <c r="B288" s="87" t="s">
        <v>1</v>
      </c>
      <c r="C288" s="88" t="s">
        <v>5259</v>
      </c>
      <c r="D288" s="88" t="s">
        <v>402</v>
      </c>
      <c r="E288" s="88" t="s">
        <v>55</v>
      </c>
      <c r="F288" s="88">
        <v>0</v>
      </c>
      <c r="G288" s="78">
        <f>MAX(H288,I288,J288)</f>
        <v>1</v>
      </c>
      <c r="H288" s="88"/>
      <c r="I288" s="88"/>
      <c r="J288" s="78">
        <f>MAX(K288:Q288)</f>
        <v>1</v>
      </c>
      <c r="K288" s="88">
        <v>1</v>
      </c>
      <c r="L288" s="88"/>
      <c r="M288" s="88"/>
      <c r="N288" s="88"/>
      <c r="O288" s="88"/>
      <c r="P288" s="88"/>
      <c r="Q288" s="88"/>
      <c r="R288" s="78">
        <f>MAX(S288:W288)</f>
        <v>0</v>
      </c>
      <c r="S288" s="88"/>
      <c r="T288" s="88"/>
      <c r="U288" s="88"/>
      <c r="V288" s="88"/>
      <c r="W288" s="88"/>
    </row>
    <row r="289" spans="2:23" s="0" customFormat="0" ht="15">
      <c r="B289" s="87" t="s">
        <v>1</v>
      </c>
      <c r="C289" s="88" t="s">
        <v>5259</v>
      </c>
      <c r="D289" s="88">
        <v>2457732</v>
      </c>
      <c r="E289" s="88" t="s">
        <v>55</v>
      </c>
      <c r="F289" s="88">
        <v>0</v>
      </c>
      <c r="G289" s="78">
        <f>MAX(H289,I289,J289)</f>
        <v>1</v>
      </c>
      <c r="H289" s="88"/>
      <c r="I289" s="88"/>
      <c r="J289" s="78">
        <f>MAX(K289:Q289)</f>
        <v>1</v>
      </c>
      <c r="K289" s="88"/>
      <c r="L289" s="88"/>
      <c r="M289" s="88"/>
      <c r="N289" s="88">
        <v>1</v>
      </c>
      <c r="O289" s="88"/>
      <c r="P289" s="88"/>
      <c r="Q289" s="88"/>
      <c r="R289" s="78">
        <f>MAX(S289:W289)</f>
        <v>0</v>
      </c>
      <c r="S289" s="88"/>
      <c r="T289" s="88"/>
      <c r="U289" s="88"/>
      <c r="V289" s="88"/>
      <c r="W289" s="88"/>
    </row>
    <row r="290" spans="2:23" s="0" customFormat="0" ht="15">
      <c r="B290" s="87" t="s">
        <v>1</v>
      </c>
      <c r="C290" s="88" t="s">
        <v>5259</v>
      </c>
      <c r="D290" s="88">
        <v>499095</v>
      </c>
      <c r="E290" s="88" t="s">
        <v>55</v>
      </c>
      <c r="F290" s="88">
        <v>0</v>
      </c>
      <c r="G290" s="78">
        <f>MAX(H290,I290,J290)</f>
        <v>1</v>
      </c>
      <c r="H290" s="88"/>
      <c r="I290" s="88"/>
      <c r="J290" s="78">
        <f>MAX(K290:Q290)</f>
        <v>1</v>
      </c>
      <c r="K290" s="88"/>
      <c r="L290" s="88"/>
      <c r="M290" s="88"/>
      <c r="N290" s="88">
        <v>1</v>
      </c>
      <c r="O290" s="88"/>
      <c r="P290" s="88"/>
      <c r="Q290" s="88"/>
      <c r="R290" s="78">
        <f>MAX(S290:W290)</f>
        <v>0</v>
      </c>
      <c r="S290" s="88"/>
      <c r="T290" s="88"/>
      <c r="U290" s="88"/>
      <c r="V290" s="88"/>
      <c r="W290" s="88"/>
    </row>
    <row r="291" spans="2:23" s="0" customFormat="0" ht="15">
      <c r="B291" s="87" t="s">
        <v>1</v>
      </c>
      <c r="C291" s="88" t="s">
        <v>5259</v>
      </c>
      <c r="D291" s="88">
        <v>4558086</v>
      </c>
      <c r="E291" s="88" t="s">
        <v>55</v>
      </c>
      <c r="F291" s="88">
        <v>0</v>
      </c>
      <c r="G291" s="78">
        <f>MAX(H291,I291,J291)</f>
        <v>1</v>
      </c>
      <c r="H291" s="88"/>
      <c r="I291" s="88"/>
      <c r="J291" s="78">
        <f>MAX(K291:Q291)</f>
        <v>1</v>
      </c>
      <c r="K291" s="88">
        <v>1</v>
      </c>
      <c r="L291" s="88"/>
      <c r="M291" s="88"/>
      <c r="N291" s="88"/>
      <c r="O291" s="88"/>
      <c r="P291" s="88"/>
      <c r="Q291" s="88"/>
      <c r="R291" s="78">
        <f>MAX(S291:W291)</f>
        <v>0</v>
      </c>
      <c r="S291" s="88"/>
      <c r="T291" s="88"/>
      <c r="U291" s="88"/>
      <c r="V291" s="88"/>
      <c r="W291" s="88"/>
    </row>
    <row r="292" spans="2:23" s="0" customFormat="0" ht="15">
      <c r="B292" s="87" t="s">
        <v>1</v>
      </c>
      <c r="C292" s="88" t="s">
        <v>5259</v>
      </c>
      <c r="D292" s="88">
        <v>640472</v>
      </c>
      <c r="E292" s="88" t="s">
        <v>55</v>
      </c>
      <c r="F292" s="88">
        <v>0</v>
      </c>
      <c r="G292" s="78">
        <f>MAX(H292,I292,J292)</f>
        <v>1</v>
      </c>
      <c r="H292" s="88"/>
      <c r="I292" s="88"/>
      <c r="J292" s="78">
        <f>MAX(K292:Q292)</f>
        <v>1</v>
      </c>
      <c r="K292" s="88"/>
      <c r="L292" s="88"/>
      <c r="M292" s="88"/>
      <c r="N292" s="88"/>
      <c r="O292" s="88"/>
      <c r="P292" s="88"/>
      <c r="Q292" s="88">
        <v>1</v>
      </c>
      <c r="R292" s="78">
        <f>MAX(S292:W292)</f>
        <v>0</v>
      </c>
      <c r="S292" s="88"/>
      <c r="T292" s="88"/>
      <c r="U292" s="88"/>
      <c r="V292" s="88"/>
      <c r="W292" s="88"/>
    </row>
    <row r="293" spans="2:23" s="0" customFormat="0" ht="15">
      <c r="B293" s="87" t="s">
        <v>1</v>
      </c>
      <c r="C293" s="88" t="s">
        <v>5259</v>
      </c>
      <c r="D293" s="88">
        <v>4992226</v>
      </c>
      <c r="E293" s="88" t="s">
        <v>55</v>
      </c>
      <c r="F293" s="88">
        <v>0</v>
      </c>
      <c r="G293" s="78">
        <f>MAX(H293,I293,J293)</f>
        <v>1</v>
      </c>
      <c r="H293" s="88"/>
      <c r="I293" s="88"/>
      <c r="J293" s="78">
        <f>MAX(K293:Q293)</f>
        <v>1</v>
      </c>
      <c r="K293" s="88">
        <v>1</v>
      </c>
      <c r="L293" s="88"/>
      <c r="M293" s="88"/>
      <c r="N293" s="88"/>
      <c r="O293" s="88"/>
      <c r="P293" s="88"/>
      <c r="Q293" s="88"/>
      <c r="R293" s="78">
        <f>MAX(S293:W293)</f>
        <v>0</v>
      </c>
      <c r="S293" s="88"/>
      <c r="T293" s="88"/>
      <c r="U293" s="88"/>
      <c r="V293" s="88"/>
      <c r="W293" s="88"/>
    </row>
    <row r="294" spans="2:23" s="0" customFormat="0" ht="15">
      <c r="B294" s="87" t="s">
        <v>1</v>
      </c>
      <c r="C294" s="88" t="s">
        <v>5259</v>
      </c>
      <c r="D294" s="88">
        <v>3883660</v>
      </c>
      <c r="E294" s="88" t="s">
        <v>55</v>
      </c>
      <c r="F294" s="88">
        <v>0</v>
      </c>
      <c r="G294" s="78">
        <f>MAX(H294,I294,J294)</f>
        <v>1</v>
      </c>
      <c r="H294" s="88"/>
      <c r="I294" s="88"/>
      <c r="J294" s="78">
        <f>MAX(K294:Q294)</f>
        <v>1</v>
      </c>
      <c r="K294" s="88"/>
      <c r="L294" s="88"/>
      <c r="M294" s="88"/>
      <c r="N294" s="88">
        <v>1</v>
      </c>
      <c r="O294" s="88"/>
      <c r="P294" s="88"/>
      <c r="Q294" s="88"/>
      <c r="R294" s="78">
        <f>MAX(S294:W294)</f>
        <v>0</v>
      </c>
      <c r="S294" s="88"/>
      <c r="T294" s="88"/>
      <c r="U294" s="88"/>
      <c r="V294" s="88"/>
      <c r="W294" s="88"/>
    </row>
    <row r="295" spans="2:23" s="0" customFormat="0" ht="15">
      <c r="B295" s="87" t="s">
        <v>1</v>
      </c>
      <c r="C295" s="88" t="s">
        <v>5259</v>
      </c>
      <c r="D295" s="88">
        <v>2402966</v>
      </c>
      <c r="E295" s="88" t="s">
        <v>55</v>
      </c>
      <c r="F295" s="88">
        <v>0</v>
      </c>
      <c r="G295" s="78">
        <f>MAX(H295,I295,J295)</f>
        <v>1</v>
      </c>
      <c r="H295" s="88"/>
      <c r="I295" s="88"/>
      <c r="J295" s="78">
        <f>MAX(K295:Q295)</f>
        <v>1</v>
      </c>
      <c r="K295" s="88"/>
      <c r="L295" s="88"/>
      <c r="M295" s="88"/>
      <c r="N295" s="88">
        <v>1</v>
      </c>
      <c r="O295" s="88"/>
      <c r="P295" s="88"/>
      <c r="Q295" s="88"/>
      <c r="R295" s="78">
        <f>MAX(S295:W295)</f>
        <v>0</v>
      </c>
      <c r="S295" s="88"/>
      <c r="T295" s="88"/>
      <c r="U295" s="88"/>
      <c r="V295" s="88"/>
      <c r="W295" s="88"/>
    </row>
    <row r="296" spans="2:23" s="0" customFormat="0" ht="15">
      <c r="B296" s="87" t="s">
        <v>1</v>
      </c>
      <c r="C296" s="88" t="s">
        <v>5259</v>
      </c>
      <c r="D296" s="88">
        <v>1753192</v>
      </c>
      <c r="E296" s="88" t="s">
        <v>55</v>
      </c>
      <c r="F296" s="88">
        <v>0</v>
      </c>
      <c r="G296" s="78">
        <f>MAX(H296,I296,J296)</f>
        <v>1</v>
      </c>
      <c r="H296" s="88"/>
      <c r="I296" s="88"/>
      <c r="J296" s="78">
        <f>MAX(K296:Q296)</f>
        <v>1</v>
      </c>
      <c r="K296" s="88"/>
      <c r="L296" s="88"/>
      <c r="M296" s="88"/>
      <c r="N296" s="88">
        <v>1</v>
      </c>
      <c r="O296" s="88"/>
      <c r="P296" s="88"/>
      <c r="Q296" s="88"/>
      <c r="R296" s="78">
        <f>MAX(S296:W296)</f>
        <v>0</v>
      </c>
      <c r="S296" s="88"/>
      <c r="T296" s="88"/>
      <c r="U296" s="88"/>
      <c r="V296" s="88"/>
      <c r="W296" s="88"/>
    </row>
    <row r="297" spans="2:23" s="0" customFormat="0" ht="15">
      <c r="B297" s="87" t="s">
        <v>1</v>
      </c>
      <c r="C297" s="88" t="s">
        <v>5259</v>
      </c>
      <c r="D297" s="88">
        <v>743648</v>
      </c>
      <c r="E297" s="88" t="s">
        <v>55</v>
      </c>
      <c r="F297" s="88">
        <v>0</v>
      </c>
      <c r="G297" s="78">
        <f>MAX(H297,I297,J297)</f>
        <v>1</v>
      </c>
      <c r="H297" s="88"/>
      <c r="I297" s="88"/>
      <c r="J297" s="78">
        <f>MAX(K297:Q297)</f>
        <v>1</v>
      </c>
      <c r="K297" s="88">
        <v>1</v>
      </c>
      <c r="L297" s="88"/>
      <c r="M297" s="88"/>
      <c r="N297" s="88"/>
      <c r="O297" s="88"/>
      <c r="P297" s="88"/>
      <c r="Q297" s="88"/>
      <c r="R297" s="78">
        <f>MAX(S297:W297)</f>
        <v>0</v>
      </c>
      <c r="S297" s="88"/>
      <c r="T297" s="88"/>
      <c r="U297" s="88"/>
      <c r="V297" s="88"/>
      <c r="W297" s="88"/>
    </row>
    <row r="298" spans="2:23" s="0" customFormat="0" ht="15">
      <c r="B298" s="87" t="s">
        <v>1</v>
      </c>
      <c r="C298" s="88" t="s">
        <v>5259</v>
      </c>
      <c r="D298" s="88">
        <v>20784315</v>
      </c>
      <c r="E298" s="88" t="s">
        <v>55</v>
      </c>
      <c r="F298" s="88">
        <v>0</v>
      </c>
      <c r="G298" s="78">
        <f>MAX(H298,I298,J298)</f>
        <v>1</v>
      </c>
      <c r="H298" s="88"/>
      <c r="I298" s="88"/>
      <c r="J298" s="78">
        <f>MAX(K298:Q298)</f>
        <v>1</v>
      </c>
      <c r="K298" s="88">
        <v>1</v>
      </c>
      <c r="L298" s="88"/>
      <c r="M298" s="88"/>
      <c r="N298" s="88"/>
      <c r="O298" s="88"/>
      <c r="P298" s="88"/>
      <c r="Q298" s="88"/>
      <c r="R298" s="78">
        <f>MAX(S298:W298)</f>
        <v>0</v>
      </c>
      <c r="S298" s="88"/>
      <c r="T298" s="88"/>
      <c r="U298" s="88"/>
      <c r="V298" s="88"/>
      <c r="W298" s="88"/>
    </row>
    <row r="299" spans="2:23" s="0" customFormat="0" ht="15">
      <c r="B299" s="87" t="s">
        <v>1</v>
      </c>
      <c r="C299" s="88" t="s">
        <v>5259</v>
      </c>
      <c r="D299" s="88">
        <v>497663</v>
      </c>
      <c r="E299" s="88" t="s">
        <v>55</v>
      </c>
      <c r="F299" s="88">
        <v>0</v>
      </c>
      <c r="G299" s="78">
        <f>MAX(H299,I299,J299)</f>
        <v>1</v>
      </c>
      <c r="H299" s="88"/>
      <c r="I299" s="88"/>
      <c r="J299" s="78">
        <f>MAX(K299:Q299)</f>
        <v>1</v>
      </c>
      <c r="K299" s="88"/>
      <c r="L299" s="88"/>
      <c r="M299" s="88"/>
      <c r="N299" s="88">
        <v>1</v>
      </c>
      <c r="O299" s="88"/>
      <c r="P299" s="88"/>
      <c r="Q299" s="88"/>
      <c r="R299" s="78">
        <f>MAX(S299:W299)</f>
        <v>0</v>
      </c>
      <c r="S299" s="88"/>
      <c r="T299" s="88"/>
      <c r="U299" s="88"/>
      <c r="V299" s="88"/>
      <c r="W299" s="88"/>
    </row>
    <row r="300" spans="2:23" s="0" customFormat="0" ht="15">
      <c r="B300" s="87" t="s">
        <v>1</v>
      </c>
      <c r="C300" s="88" t="s">
        <v>5259</v>
      </c>
      <c r="D300" s="88" t="s">
        <v>3434</v>
      </c>
      <c r="E300" s="88" t="s">
        <v>61</v>
      </c>
      <c r="F300" s="88">
        <v>0</v>
      </c>
      <c r="G300" s="78">
        <f>MAX(H300,I300,J300)</f>
        <v>0</v>
      </c>
      <c r="H300" s="88"/>
      <c r="I300" s="88"/>
      <c r="J300" s="78">
        <f>MAX(K300:Q300)</f>
        <v>0</v>
      </c>
      <c r="K300" s="88"/>
      <c r="L300" s="88"/>
      <c r="M300" s="88"/>
      <c r="N300" s="88"/>
      <c r="O300" s="88"/>
      <c r="P300" s="88"/>
      <c r="Q300" s="88"/>
      <c r="R300" s="78">
        <f>MAX(S300:W300)</f>
        <v>1</v>
      </c>
      <c r="S300" s="88"/>
      <c r="T300" s="88"/>
      <c r="U300" s="88">
        <v>1</v>
      </c>
      <c r="V300" s="88"/>
      <c r="W300" s="88"/>
    </row>
    <row r="301" spans="2:23" s="0" customFormat="0" ht="15">
      <c r="B301" s="87" t="s">
        <v>1</v>
      </c>
      <c r="C301" s="88" t="s">
        <v>5259</v>
      </c>
      <c r="D301" s="88" t="s">
        <v>3436</v>
      </c>
      <c r="E301" s="88" t="s">
        <v>61</v>
      </c>
      <c r="F301" s="88">
        <v>0</v>
      </c>
      <c r="G301" s="78">
        <f>MAX(H301,I301,J301)</f>
        <v>0</v>
      </c>
      <c r="H301" s="88"/>
      <c r="I301" s="88"/>
      <c r="J301" s="78">
        <f>MAX(K301:Q301)</f>
        <v>0</v>
      </c>
      <c r="K301" s="88"/>
      <c r="L301" s="88"/>
      <c r="M301" s="88"/>
      <c r="N301" s="88"/>
      <c r="O301" s="88"/>
      <c r="P301" s="88"/>
      <c r="Q301" s="88"/>
      <c r="R301" s="78">
        <f>MAX(S301:W301)</f>
        <v>1</v>
      </c>
      <c r="S301" s="88"/>
      <c r="T301" s="88"/>
      <c r="U301" s="88">
        <v>1</v>
      </c>
      <c r="V301" s="88"/>
      <c r="W301" s="88"/>
    </row>
    <row r="302" spans="2:23" s="0" customFormat="0" ht="15">
      <c r="B302" s="87" t="s">
        <v>1</v>
      </c>
      <c r="C302" s="88" t="s">
        <v>5259</v>
      </c>
      <c r="D302" s="88">
        <v>12334819</v>
      </c>
      <c r="E302" s="88" t="s">
        <v>61</v>
      </c>
      <c r="F302" s="88">
        <v>0</v>
      </c>
      <c r="G302" s="78">
        <f>MAX(H302,I302,J302)</f>
        <v>1</v>
      </c>
      <c r="H302" s="88"/>
      <c r="I302" s="88"/>
      <c r="J302" s="78">
        <f>MAX(K302:Q302)</f>
        <v>1</v>
      </c>
      <c r="K302" s="88">
        <v>1</v>
      </c>
      <c r="L302" s="88"/>
      <c r="M302" s="88"/>
      <c r="N302" s="88"/>
      <c r="O302" s="88"/>
      <c r="P302" s="88"/>
      <c r="Q302" s="88"/>
      <c r="R302" s="78">
        <f>MAX(S302:W302)</f>
        <v>0</v>
      </c>
      <c r="S302" s="88"/>
      <c r="T302" s="88"/>
      <c r="U302" s="88"/>
      <c r="V302" s="88"/>
      <c r="W302" s="88"/>
    </row>
    <row r="303" spans="2:23" s="0" customFormat="0" ht="15">
      <c r="B303" s="87" t="s">
        <v>1</v>
      </c>
      <c r="C303" s="88" t="s">
        <v>5259</v>
      </c>
      <c r="D303" s="88">
        <v>20382570</v>
      </c>
      <c r="E303" s="88" t="s">
        <v>61</v>
      </c>
      <c r="F303" s="88">
        <v>0</v>
      </c>
      <c r="G303" s="78">
        <f>MAX(H303,I303,J303)</f>
        <v>1</v>
      </c>
      <c r="H303" s="88"/>
      <c r="I303" s="88"/>
      <c r="J303" s="78">
        <f>MAX(K303:Q303)</f>
        <v>1</v>
      </c>
      <c r="K303" s="88">
        <v>1</v>
      </c>
      <c r="L303" s="88"/>
      <c r="M303" s="88"/>
      <c r="N303" s="88"/>
      <c r="O303" s="88"/>
      <c r="P303" s="88"/>
      <c r="Q303" s="88"/>
      <c r="R303" s="78">
        <f>MAX(S303:W303)</f>
        <v>0</v>
      </c>
      <c r="S303" s="88"/>
      <c r="T303" s="88"/>
      <c r="U303" s="88"/>
      <c r="V303" s="88"/>
      <c r="W303" s="88"/>
    </row>
    <row r="304" spans="2:23" s="0" customFormat="0" ht="15">
      <c r="B304" s="87" t="s">
        <v>1</v>
      </c>
      <c r="C304" s="88" t="s">
        <v>5259</v>
      </c>
      <c r="D304" s="88">
        <v>19215363</v>
      </c>
      <c r="E304" s="88" t="s">
        <v>61</v>
      </c>
      <c r="F304" s="88">
        <v>0</v>
      </c>
      <c r="G304" s="78">
        <f>MAX(H304,I304,J304)</f>
        <v>1</v>
      </c>
      <c r="H304" s="88"/>
      <c r="I304" s="88"/>
      <c r="J304" s="78">
        <f>MAX(K304:Q304)</f>
        <v>1</v>
      </c>
      <c r="K304" s="88">
        <v>1</v>
      </c>
      <c r="L304" s="88"/>
      <c r="M304" s="88"/>
      <c r="N304" s="88"/>
      <c r="O304" s="88"/>
      <c r="P304" s="88"/>
      <c r="Q304" s="88"/>
      <c r="R304" s="78">
        <f>MAX(S304:W304)</f>
        <v>0</v>
      </c>
      <c r="S304" s="88"/>
      <c r="T304" s="88"/>
      <c r="U304" s="88"/>
      <c r="V304" s="88"/>
      <c r="W304" s="88"/>
    </row>
    <row r="305" spans="2:23" s="0" customFormat="0" ht="15">
      <c r="B305" s="87" t="s">
        <v>1</v>
      </c>
      <c r="C305" s="88" t="s">
        <v>5259</v>
      </c>
      <c r="D305" s="88" t="s">
        <v>3438</v>
      </c>
      <c r="E305" s="88" t="s">
        <v>61</v>
      </c>
      <c r="F305" s="88">
        <v>0</v>
      </c>
      <c r="G305" s="78">
        <f>MAX(H305,I305,J305)</f>
        <v>0</v>
      </c>
      <c r="H305" s="88"/>
      <c r="I305" s="88"/>
      <c r="J305" s="78">
        <f>MAX(K305:Q305)</f>
        <v>0</v>
      </c>
      <c r="K305" s="88"/>
      <c r="L305" s="88"/>
      <c r="M305" s="88"/>
      <c r="N305" s="88"/>
      <c r="O305" s="88"/>
      <c r="P305" s="88"/>
      <c r="Q305" s="88"/>
      <c r="R305" s="78">
        <f>MAX(S305:W305)</f>
        <v>1</v>
      </c>
      <c r="S305" s="88"/>
      <c r="T305" s="88"/>
      <c r="U305" s="88">
        <v>1</v>
      </c>
      <c r="V305" s="88"/>
      <c r="W305" s="88"/>
    </row>
    <row r="306" spans="2:23" s="0" customFormat="0" ht="15">
      <c r="B306" s="87" t="s">
        <v>1</v>
      </c>
      <c r="C306" s="88" t="s">
        <v>5259</v>
      </c>
      <c r="D306" s="88" t="s">
        <v>3195</v>
      </c>
      <c r="E306" s="88" t="s">
        <v>61</v>
      </c>
      <c r="F306" s="88">
        <v>0</v>
      </c>
      <c r="G306" s="78">
        <f>MAX(H306,I306,J306)</f>
        <v>0</v>
      </c>
      <c r="H306" s="88"/>
      <c r="I306" s="88"/>
      <c r="J306" s="78">
        <f>MAX(K306:Q306)</f>
        <v>0</v>
      </c>
      <c r="K306" s="88"/>
      <c r="L306" s="88"/>
      <c r="M306" s="88"/>
      <c r="N306" s="88"/>
      <c r="O306" s="88"/>
      <c r="P306" s="88"/>
      <c r="Q306" s="88"/>
      <c r="R306" s="78">
        <f>MAX(S306:W306)</f>
        <v>1</v>
      </c>
      <c r="S306" s="88"/>
      <c r="T306" s="88"/>
      <c r="U306" s="88"/>
      <c r="V306" s="88">
        <v>1</v>
      </c>
      <c r="W306" s="88"/>
    </row>
    <row r="307" spans="2:23" s="0" customFormat="0" ht="15">
      <c r="B307" s="87" t="s">
        <v>1</v>
      </c>
      <c r="C307" s="88" t="s">
        <v>5259</v>
      </c>
      <c r="D307" s="88" t="s">
        <v>3440</v>
      </c>
      <c r="E307" s="88" t="s">
        <v>61</v>
      </c>
      <c r="F307" s="88">
        <v>0</v>
      </c>
      <c r="G307" s="78">
        <f>MAX(H307,I307,J307)</f>
        <v>0</v>
      </c>
      <c r="H307" s="88"/>
      <c r="I307" s="88"/>
      <c r="J307" s="78">
        <f>MAX(K307:Q307)</f>
        <v>0</v>
      </c>
      <c r="K307" s="88"/>
      <c r="L307" s="88"/>
      <c r="M307" s="88"/>
      <c r="N307" s="88"/>
      <c r="O307" s="88"/>
      <c r="P307" s="88"/>
      <c r="Q307" s="88"/>
      <c r="R307" s="78">
        <f>MAX(S307:W307)</f>
        <v>1</v>
      </c>
      <c r="S307" s="88"/>
      <c r="T307" s="88"/>
      <c r="U307" s="88">
        <v>1</v>
      </c>
      <c r="V307" s="88"/>
      <c r="W307" s="88"/>
    </row>
    <row r="308" spans="2:23" s="0" customFormat="0" ht="15">
      <c r="B308" s="87" t="s">
        <v>1</v>
      </c>
      <c r="C308" s="88" t="s">
        <v>5259</v>
      </c>
      <c r="D308" s="88" t="s">
        <v>3442</v>
      </c>
      <c r="E308" s="88" t="s">
        <v>61</v>
      </c>
      <c r="F308" s="88">
        <v>0</v>
      </c>
      <c r="G308" s="78">
        <f>MAX(H308,I308,J308)</f>
        <v>0</v>
      </c>
      <c r="H308" s="88"/>
      <c r="I308" s="88"/>
      <c r="J308" s="78">
        <f>MAX(K308:Q308)</f>
        <v>0</v>
      </c>
      <c r="K308" s="88"/>
      <c r="L308" s="88"/>
      <c r="M308" s="88"/>
      <c r="N308" s="88"/>
      <c r="O308" s="88"/>
      <c r="P308" s="88"/>
      <c r="Q308" s="88"/>
      <c r="R308" s="78">
        <f>MAX(S308:W308)</f>
        <v>1</v>
      </c>
      <c r="S308" s="88"/>
      <c r="T308" s="88"/>
      <c r="U308" s="88">
        <v>1</v>
      </c>
      <c r="V308" s="88"/>
      <c r="W308" s="88"/>
    </row>
    <row r="309" spans="2:23" s="0" customFormat="0" ht="15">
      <c r="B309" s="87" t="s">
        <v>1</v>
      </c>
      <c r="C309" s="88" t="s">
        <v>5259</v>
      </c>
      <c r="D309" s="88">
        <v>11359229</v>
      </c>
      <c r="E309" s="88" t="s">
        <v>61</v>
      </c>
      <c r="F309" s="88">
        <v>0</v>
      </c>
      <c r="G309" s="78">
        <f>MAX(H309,I309,J309)</f>
        <v>1</v>
      </c>
      <c r="H309" s="88"/>
      <c r="I309" s="88"/>
      <c r="J309" s="78">
        <f>MAX(K309:Q309)</f>
        <v>1</v>
      </c>
      <c r="K309" s="88">
        <v>1</v>
      </c>
      <c r="L309" s="88"/>
      <c r="M309" s="88"/>
      <c r="N309" s="88"/>
      <c r="O309" s="88"/>
      <c r="P309" s="88"/>
      <c r="Q309" s="88"/>
      <c r="R309" s="78">
        <f>MAX(S309:W309)</f>
        <v>0</v>
      </c>
      <c r="S309" s="88"/>
      <c r="T309" s="88"/>
      <c r="U309" s="88"/>
      <c r="V309" s="88"/>
      <c r="W309" s="88"/>
    </row>
    <row r="310" spans="2:23" s="0" customFormat="0" ht="15">
      <c r="B310" s="87" t="s">
        <v>1</v>
      </c>
      <c r="C310" s="88" t="s">
        <v>5259</v>
      </c>
      <c r="D310" s="88">
        <v>17087721</v>
      </c>
      <c r="E310" s="88" t="s">
        <v>61</v>
      </c>
      <c r="F310" s="88">
        <v>0</v>
      </c>
      <c r="G310" s="78">
        <f>MAX(H310,I310,J310)</f>
        <v>1</v>
      </c>
      <c r="H310" s="88"/>
      <c r="I310" s="88"/>
      <c r="J310" s="78">
        <f>MAX(K310:Q310)</f>
        <v>1</v>
      </c>
      <c r="K310" s="88">
        <v>1</v>
      </c>
      <c r="L310" s="88"/>
      <c r="M310" s="88"/>
      <c r="N310" s="88"/>
      <c r="O310" s="88"/>
      <c r="P310" s="88"/>
      <c r="Q310" s="88"/>
      <c r="R310" s="78">
        <f>MAX(S310:W310)</f>
        <v>0</v>
      </c>
      <c r="S310" s="88"/>
      <c r="T310" s="88"/>
      <c r="U310" s="88"/>
      <c r="V310" s="88"/>
      <c r="W310" s="88"/>
    </row>
    <row r="311" spans="2:23" s="0" customFormat="0" ht="15">
      <c r="B311" s="87" t="s">
        <v>1</v>
      </c>
      <c r="C311" s="88" t="s">
        <v>5259</v>
      </c>
      <c r="D311" s="88">
        <v>12894601</v>
      </c>
      <c r="E311" s="88" t="s">
        <v>61</v>
      </c>
      <c r="F311" s="88">
        <v>0</v>
      </c>
      <c r="G311" s="78">
        <f>MAX(H311,I311,J311)</f>
        <v>1</v>
      </c>
      <c r="H311" s="88"/>
      <c r="I311" s="88"/>
      <c r="J311" s="78">
        <f>MAX(K311:Q311)</f>
        <v>1</v>
      </c>
      <c r="K311" s="88">
        <v>1</v>
      </c>
      <c r="L311" s="88"/>
      <c r="M311" s="88"/>
      <c r="N311" s="88"/>
      <c r="O311" s="88"/>
      <c r="P311" s="88"/>
      <c r="Q311" s="88"/>
      <c r="R311" s="78">
        <f>MAX(S311:W311)</f>
        <v>0</v>
      </c>
      <c r="S311" s="88"/>
      <c r="T311" s="88"/>
      <c r="U311" s="88"/>
      <c r="V311" s="88"/>
      <c r="W311" s="88"/>
    </row>
    <row r="312" spans="2:23" s="0" customFormat="0" ht="15">
      <c r="B312" s="87" t="s">
        <v>1</v>
      </c>
      <c r="C312" s="88" t="s">
        <v>5259</v>
      </c>
      <c r="D312" s="88" t="s">
        <v>414</v>
      </c>
      <c r="E312" s="88" t="s">
        <v>61</v>
      </c>
      <c r="F312" s="88">
        <v>0</v>
      </c>
      <c r="G312" s="78">
        <f>MAX(H312,I312,J312)</f>
        <v>1</v>
      </c>
      <c r="H312" s="88"/>
      <c r="I312" s="88"/>
      <c r="J312" s="78">
        <f>MAX(K312:Q312)</f>
        <v>1</v>
      </c>
      <c r="K312" s="88">
        <v>1</v>
      </c>
      <c r="L312" s="88"/>
      <c r="M312" s="88"/>
      <c r="N312" s="88"/>
      <c r="O312" s="88"/>
      <c r="P312" s="88"/>
      <c r="Q312" s="88"/>
      <c r="R312" s="78">
        <f>MAX(S312:W312)</f>
        <v>0</v>
      </c>
      <c r="S312" s="88"/>
      <c r="T312" s="88"/>
      <c r="U312" s="88"/>
      <c r="V312" s="88"/>
      <c r="W312" s="88"/>
    </row>
    <row r="313" spans="2:23" s="0" customFormat="0" ht="15">
      <c r="B313" s="87" t="s">
        <v>1</v>
      </c>
      <c r="C313" s="88" t="s">
        <v>5259</v>
      </c>
      <c r="D313" s="88">
        <v>19863506</v>
      </c>
      <c r="E313" s="88" t="s">
        <v>61</v>
      </c>
      <c r="F313" s="88">
        <v>0</v>
      </c>
      <c r="G313" s="78">
        <f>MAX(H313,I313,J313)</f>
        <v>0</v>
      </c>
      <c r="H313" s="88"/>
      <c r="I313" s="88"/>
      <c r="J313" s="78">
        <f>MAX(K313:Q313)</f>
        <v>0</v>
      </c>
      <c r="K313" s="88"/>
      <c r="L313" s="88"/>
      <c r="M313" s="88"/>
      <c r="N313" s="88"/>
      <c r="O313" s="88"/>
      <c r="P313" s="88"/>
      <c r="Q313" s="88"/>
      <c r="R313" s="78">
        <f>MAX(S313:W313)</f>
        <v>1</v>
      </c>
      <c r="S313" s="88"/>
      <c r="T313" s="88"/>
      <c r="U313" s="88">
        <v>1</v>
      </c>
      <c r="V313" s="88"/>
      <c r="W313" s="88"/>
    </row>
    <row r="314" spans="2:23" s="0" customFormat="0" ht="15">
      <c r="B314" s="87" t="s">
        <v>1</v>
      </c>
      <c r="C314" s="88" t="s">
        <v>5259</v>
      </c>
      <c r="D314" s="88">
        <v>15887203</v>
      </c>
      <c r="E314" s="88" t="s">
        <v>61</v>
      </c>
      <c r="F314" s="88">
        <v>0</v>
      </c>
      <c r="G314" s="78">
        <f>MAX(H314,I314,J314)</f>
        <v>1</v>
      </c>
      <c r="H314" s="88"/>
      <c r="I314" s="88"/>
      <c r="J314" s="78">
        <f>MAX(K314:Q314)</f>
        <v>1</v>
      </c>
      <c r="K314" s="88">
        <v>1</v>
      </c>
      <c r="L314" s="88"/>
      <c r="M314" s="88"/>
      <c r="N314" s="88"/>
      <c r="O314" s="88"/>
      <c r="P314" s="88"/>
      <c r="Q314" s="88"/>
      <c r="R314" s="78">
        <f>MAX(S314:W314)</f>
        <v>0</v>
      </c>
      <c r="S314" s="88"/>
      <c r="T314" s="88"/>
      <c r="U314" s="88"/>
      <c r="V314" s="88"/>
      <c r="W314" s="88"/>
    </row>
    <row r="315" spans="2:23" s="0" customFormat="0" ht="15">
      <c r="B315" s="87" t="s">
        <v>1</v>
      </c>
      <c r="C315" s="88" t="s">
        <v>5259</v>
      </c>
      <c r="D315" s="88">
        <v>23531229</v>
      </c>
      <c r="E315" s="88" t="s">
        <v>61</v>
      </c>
      <c r="F315" s="88">
        <v>0</v>
      </c>
      <c r="G315" s="78">
        <f>MAX(H315,I315,J315)</f>
        <v>1</v>
      </c>
      <c r="H315" s="88"/>
      <c r="I315" s="88"/>
      <c r="J315" s="78">
        <f>MAX(K315:Q315)</f>
        <v>1</v>
      </c>
      <c r="K315" s="88">
        <v>1</v>
      </c>
      <c r="L315" s="88"/>
      <c r="M315" s="88"/>
      <c r="N315" s="88"/>
      <c r="O315" s="88"/>
      <c r="P315" s="88"/>
      <c r="Q315" s="88"/>
      <c r="R315" s="78">
        <f>MAX(S315:W315)</f>
        <v>0</v>
      </c>
      <c r="S315" s="88"/>
      <c r="T315" s="88"/>
      <c r="U315" s="88"/>
      <c r="V315" s="88"/>
      <c r="W315" s="88"/>
    </row>
    <row r="316" spans="2:23" s="0" customFormat="0" ht="15">
      <c r="B316" s="87" t="s">
        <v>1</v>
      </c>
      <c r="C316" s="88" t="s">
        <v>5259</v>
      </c>
      <c r="D316" s="88">
        <v>10572226</v>
      </c>
      <c r="E316" s="88" t="s">
        <v>61</v>
      </c>
      <c r="F316" s="88">
        <v>0</v>
      </c>
      <c r="G316" s="78">
        <f>MAX(H316,I316,J316)</f>
        <v>1</v>
      </c>
      <c r="H316" s="88"/>
      <c r="I316" s="88"/>
      <c r="J316" s="78">
        <f>MAX(K316:Q316)</f>
        <v>1</v>
      </c>
      <c r="K316" s="88">
        <v>1</v>
      </c>
      <c r="L316" s="88"/>
      <c r="M316" s="88"/>
      <c r="N316" s="88"/>
      <c r="O316" s="88"/>
      <c r="P316" s="88"/>
      <c r="Q316" s="88"/>
      <c r="R316" s="78">
        <f>MAX(S316:W316)</f>
        <v>0</v>
      </c>
      <c r="S316" s="88"/>
      <c r="T316" s="88"/>
      <c r="U316" s="88"/>
      <c r="V316" s="88"/>
      <c r="W316" s="88"/>
    </row>
    <row r="317" spans="2:23" s="0" customFormat="0" ht="15">
      <c r="B317" s="87" t="s">
        <v>1</v>
      </c>
      <c r="C317" s="88" t="s">
        <v>5259</v>
      </c>
      <c r="D317" s="88">
        <v>5300051</v>
      </c>
      <c r="E317" s="88" t="s">
        <v>61</v>
      </c>
      <c r="F317" s="88">
        <v>0</v>
      </c>
      <c r="G317" s="78">
        <f>MAX(H317,I317,J317)</f>
        <v>1</v>
      </c>
      <c r="H317" s="88"/>
      <c r="I317" s="88"/>
      <c r="J317" s="78">
        <f>MAX(K317:Q317)</f>
        <v>1</v>
      </c>
      <c r="K317" s="88">
        <v>1</v>
      </c>
      <c r="L317" s="88"/>
      <c r="M317" s="88"/>
      <c r="N317" s="88"/>
      <c r="O317" s="88"/>
      <c r="P317" s="88"/>
      <c r="Q317" s="88"/>
      <c r="R317" s="78">
        <f>MAX(S317:W317)</f>
        <v>0</v>
      </c>
      <c r="S317" s="88"/>
      <c r="T317" s="88"/>
      <c r="U317" s="88"/>
      <c r="V317" s="88"/>
      <c r="W317" s="88"/>
    </row>
    <row r="318" spans="2:23" s="0" customFormat="0" ht="15">
      <c r="B318" s="87" t="s">
        <v>1</v>
      </c>
      <c r="C318" s="88" t="s">
        <v>5259</v>
      </c>
      <c r="D318" s="88" t="s">
        <v>3445</v>
      </c>
      <c r="E318" s="88" t="s">
        <v>61</v>
      </c>
      <c r="F318" s="88">
        <v>0</v>
      </c>
      <c r="G318" s="78">
        <f>MAX(H318,I318,J318)</f>
        <v>0</v>
      </c>
      <c r="H318" s="88"/>
      <c r="I318" s="88"/>
      <c r="J318" s="78">
        <f>MAX(K318:Q318)</f>
        <v>0</v>
      </c>
      <c r="K318" s="88"/>
      <c r="L318" s="88"/>
      <c r="M318" s="88"/>
      <c r="N318" s="88"/>
      <c r="O318" s="88"/>
      <c r="P318" s="88"/>
      <c r="Q318" s="88"/>
      <c r="R318" s="78">
        <f>MAX(S318:W318)</f>
        <v>1</v>
      </c>
      <c r="S318" s="88"/>
      <c r="T318" s="88"/>
      <c r="U318" s="88">
        <v>1</v>
      </c>
      <c r="V318" s="88"/>
      <c r="W318" s="88"/>
    </row>
    <row r="319" spans="2:23" s="0" customFormat="0" ht="15">
      <c r="B319" s="87" t="s">
        <v>1</v>
      </c>
      <c r="C319" s="88" t="s">
        <v>5259</v>
      </c>
      <c r="D319" s="88" t="s">
        <v>3447</v>
      </c>
      <c r="E319" s="88" t="s">
        <v>61</v>
      </c>
      <c r="F319" s="88">
        <v>0</v>
      </c>
      <c r="G319" s="78">
        <f>MAX(H319,I319,J319)</f>
        <v>0</v>
      </c>
      <c r="H319" s="88"/>
      <c r="I319" s="88"/>
      <c r="J319" s="78">
        <f>MAX(K319:Q319)</f>
        <v>0</v>
      </c>
      <c r="K319" s="88"/>
      <c r="L319" s="88"/>
      <c r="M319" s="88"/>
      <c r="N319" s="88"/>
      <c r="O319" s="88"/>
      <c r="P319" s="88"/>
      <c r="Q319" s="88"/>
      <c r="R319" s="78">
        <f>MAX(S319:W319)</f>
        <v>1</v>
      </c>
      <c r="S319" s="88"/>
      <c r="T319" s="88"/>
      <c r="U319" s="88">
        <v>1</v>
      </c>
      <c r="V319" s="88"/>
      <c r="W319" s="88"/>
    </row>
    <row r="320" spans="2:23" s="0" customFormat="0" ht="15">
      <c r="B320" s="87" t="s">
        <v>1</v>
      </c>
      <c r="C320" s="88" t="s">
        <v>5259</v>
      </c>
      <c r="D320" s="88">
        <v>21380827</v>
      </c>
      <c r="E320" s="88" t="s">
        <v>61</v>
      </c>
      <c r="F320" s="88">
        <v>0</v>
      </c>
      <c r="G320" s="78">
        <f>MAX(H320,I320,J320)</f>
        <v>1</v>
      </c>
      <c r="H320" s="88"/>
      <c r="I320" s="88"/>
      <c r="J320" s="78">
        <f>MAX(K320:Q320)</f>
        <v>1</v>
      </c>
      <c r="K320" s="88">
        <v>1</v>
      </c>
      <c r="L320" s="88"/>
      <c r="M320" s="88"/>
      <c r="N320" s="88"/>
      <c r="O320" s="88"/>
      <c r="P320" s="88"/>
      <c r="Q320" s="88"/>
      <c r="R320" s="78">
        <f>MAX(S320:W320)</f>
        <v>0</v>
      </c>
      <c r="S320" s="88"/>
      <c r="T320" s="88"/>
      <c r="U320" s="88"/>
      <c r="V320" s="88"/>
      <c r="W320" s="88"/>
    </row>
    <row r="321" spans="2:23" s="0" customFormat="0" ht="15">
      <c r="B321" s="87" t="s">
        <v>1</v>
      </c>
      <c r="C321" s="88" t="s">
        <v>5259</v>
      </c>
      <c r="D321" s="88">
        <v>10927152</v>
      </c>
      <c r="E321" s="88" t="s">
        <v>61</v>
      </c>
      <c r="F321" s="88">
        <v>0</v>
      </c>
      <c r="G321" s="78">
        <f>MAX(H321,I321,J321)</f>
        <v>1</v>
      </c>
      <c r="H321" s="88"/>
      <c r="I321" s="88"/>
      <c r="J321" s="78">
        <f>MAX(K321:Q321)</f>
        <v>1</v>
      </c>
      <c r="K321" s="88">
        <v>1</v>
      </c>
      <c r="L321" s="88"/>
      <c r="M321" s="88"/>
      <c r="N321" s="88"/>
      <c r="O321" s="88"/>
      <c r="P321" s="88"/>
      <c r="Q321" s="88"/>
      <c r="R321" s="78">
        <f>MAX(S321:W321)</f>
        <v>0</v>
      </c>
      <c r="S321" s="88"/>
      <c r="T321" s="88"/>
      <c r="U321" s="88"/>
      <c r="V321" s="88"/>
      <c r="W321" s="88"/>
    </row>
    <row r="322" spans="2:23" s="0" customFormat="0" ht="15">
      <c r="B322" s="87" t="s">
        <v>1</v>
      </c>
      <c r="C322" s="88" t="s">
        <v>5259</v>
      </c>
      <c r="D322" s="88">
        <v>23237421</v>
      </c>
      <c r="E322" s="88" t="s">
        <v>61</v>
      </c>
      <c r="F322" s="88">
        <v>0</v>
      </c>
      <c r="G322" s="78">
        <f>MAX(H322,I322,J322)</f>
        <v>1</v>
      </c>
      <c r="H322" s="88"/>
      <c r="I322" s="88"/>
      <c r="J322" s="78">
        <f>MAX(K322:Q322)</f>
        <v>1</v>
      </c>
      <c r="K322" s="88">
        <v>1</v>
      </c>
      <c r="L322" s="88"/>
      <c r="M322" s="88"/>
      <c r="N322" s="88"/>
      <c r="O322" s="88"/>
      <c r="P322" s="88"/>
      <c r="Q322" s="88"/>
      <c r="R322" s="78">
        <f>MAX(S322:W322)</f>
        <v>0</v>
      </c>
      <c r="S322" s="88"/>
      <c r="T322" s="88"/>
      <c r="U322" s="88"/>
      <c r="V322" s="88"/>
      <c r="W322" s="88"/>
    </row>
    <row r="323" spans="2:23" s="0" customFormat="0" ht="15">
      <c r="B323" s="87" t="s">
        <v>1</v>
      </c>
      <c r="C323" s="88" t="s">
        <v>5259</v>
      </c>
      <c r="D323" s="88" t="s">
        <v>3449</v>
      </c>
      <c r="E323" s="88" t="s">
        <v>61</v>
      </c>
      <c r="F323" s="88">
        <v>0</v>
      </c>
      <c r="G323" s="78">
        <f>MAX(H323,I323,J323)</f>
        <v>0</v>
      </c>
      <c r="H323" s="88"/>
      <c r="I323" s="88"/>
      <c r="J323" s="78">
        <f>MAX(K323:Q323)</f>
        <v>0</v>
      </c>
      <c r="K323" s="88"/>
      <c r="L323" s="88"/>
      <c r="M323" s="88"/>
      <c r="N323" s="88"/>
      <c r="O323" s="88"/>
      <c r="P323" s="88"/>
      <c r="Q323" s="88"/>
      <c r="R323" s="78">
        <f>MAX(S323:W323)</f>
        <v>1</v>
      </c>
      <c r="S323" s="88"/>
      <c r="T323" s="88"/>
      <c r="U323" s="88">
        <v>1</v>
      </c>
      <c r="V323" s="88"/>
      <c r="W323" s="88"/>
    </row>
    <row r="324" spans="2:23" s="0" customFormat="0" ht="15">
      <c r="B324" s="87" t="s">
        <v>1</v>
      </c>
      <c r="C324" s="88" t="s">
        <v>5259</v>
      </c>
      <c r="D324" s="88">
        <v>24326074</v>
      </c>
      <c r="E324" s="88" t="s">
        <v>61</v>
      </c>
      <c r="F324" s="88">
        <v>0</v>
      </c>
      <c r="G324" s="78">
        <f>MAX(H324,I324,J324)</f>
        <v>1</v>
      </c>
      <c r="H324" s="88"/>
      <c r="I324" s="88"/>
      <c r="J324" s="78">
        <f>MAX(K324:Q324)</f>
        <v>1</v>
      </c>
      <c r="K324" s="88">
        <v>1</v>
      </c>
      <c r="L324" s="88"/>
      <c r="M324" s="88"/>
      <c r="N324" s="88"/>
      <c r="O324" s="88"/>
      <c r="P324" s="88"/>
      <c r="Q324" s="88"/>
      <c r="R324" s="78">
        <f>MAX(S324:W324)</f>
        <v>0</v>
      </c>
      <c r="S324" s="88"/>
      <c r="T324" s="88"/>
      <c r="U324" s="88"/>
      <c r="V324" s="88"/>
      <c r="W324" s="88"/>
    </row>
    <row r="325" spans="2:23" s="0" customFormat="0" ht="15">
      <c r="B325" s="87" t="s">
        <v>1</v>
      </c>
      <c r="C325" s="88" t="s">
        <v>5259</v>
      </c>
      <c r="D325" s="88">
        <v>12122770</v>
      </c>
      <c r="E325" s="88" t="s">
        <v>61</v>
      </c>
      <c r="F325" s="88">
        <v>0</v>
      </c>
      <c r="G325" s="78">
        <f>MAX(H325,I325,J325)</f>
        <v>1</v>
      </c>
      <c r="H325" s="88"/>
      <c r="I325" s="88"/>
      <c r="J325" s="78">
        <f>MAX(K325:Q325)</f>
        <v>1</v>
      </c>
      <c r="K325" s="88">
        <v>1</v>
      </c>
      <c r="L325" s="88"/>
      <c r="M325" s="88"/>
      <c r="N325" s="88"/>
      <c r="O325" s="88"/>
      <c r="P325" s="88"/>
      <c r="Q325" s="88"/>
      <c r="R325" s="78">
        <f>MAX(S325:W325)</f>
        <v>0</v>
      </c>
      <c r="S325" s="88"/>
      <c r="T325" s="88"/>
      <c r="U325" s="88"/>
      <c r="V325" s="88"/>
      <c r="W325" s="88"/>
    </row>
    <row r="326" spans="2:23" s="0" customFormat="0" ht="15">
      <c r="B326" s="87" t="s">
        <v>1</v>
      </c>
      <c r="C326" s="88" t="s">
        <v>5259</v>
      </c>
      <c r="D326" s="88">
        <v>14504641</v>
      </c>
      <c r="E326" s="88" t="s">
        <v>61</v>
      </c>
      <c r="F326" s="88">
        <v>0</v>
      </c>
      <c r="G326" s="78">
        <f>MAX(H326,I326,J326)</f>
        <v>0</v>
      </c>
      <c r="H326" s="88"/>
      <c r="I326" s="88"/>
      <c r="J326" s="78">
        <f>MAX(K326:Q326)</f>
        <v>0</v>
      </c>
      <c r="K326" s="88"/>
      <c r="L326" s="88"/>
      <c r="M326" s="88"/>
      <c r="N326" s="88"/>
      <c r="O326" s="88"/>
      <c r="P326" s="88"/>
      <c r="Q326" s="88"/>
      <c r="R326" s="78">
        <f>MAX(S326:W326)</f>
        <v>1</v>
      </c>
      <c r="S326" s="88"/>
      <c r="T326" s="88"/>
      <c r="U326" s="88">
        <v>1</v>
      </c>
      <c r="V326" s="88"/>
      <c r="W326" s="88"/>
    </row>
    <row r="327" spans="2:23" s="0" customFormat="0" ht="15">
      <c r="B327" s="87" t="s">
        <v>1</v>
      </c>
      <c r="C327" s="88" t="s">
        <v>5259</v>
      </c>
      <c r="D327" s="88">
        <v>14755697</v>
      </c>
      <c r="E327" s="88" t="s">
        <v>61</v>
      </c>
      <c r="F327" s="88">
        <v>0</v>
      </c>
      <c r="G327" s="78">
        <f>MAX(H327,I327,J327)</f>
        <v>1</v>
      </c>
      <c r="H327" s="88"/>
      <c r="I327" s="88"/>
      <c r="J327" s="78">
        <f>MAX(K327:Q327)</f>
        <v>1</v>
      </c>
      <c r="K327" s="88">
        <v>1</v>
      </c>
      <c r="L327" s="88"/>
      <c r="M327" s="88"/>
      <c r="N327" s="88"/>
      <c r="O327" s="88"/>
      <c r="P327" s="88"/>
      <c r="Q327" s="88"/>
      <c r="R327" s="78">
        <f>MAX(S327:W327)</f>
        <v>0</v>
      </c>
      <c r="S327" s="88"/>
      <c r="T327" s="88"/>
      <c r="U327" s="88"/>
      <c r="V327" s="88"/>
      <c r="W327" s="88"/>
    </row>
    <row r="328" spans="2:23" s="0" customFormat="0" ht="15">
      <c r="B328" s="87" t="s">
        <v>1</v>
      </c>
      <c r="C328" s="88" t="s">
        <v>5259</v>
      </c>
      <c r="D328" s="88">
        <v>13715879</v>
      </c>
      <c r="E328" s="88" t="s">
        <v>61</v>
      </c>
      <c r="F328" s="88">
        <v>0</v>
      </c>
      <c r="G328" s="78">
        <f>MAX(H328,I328,J328)</f>
        <v>1</v>
      </c>
      <c r="H328" s="88"/>
      <c r="I328" s="88"/>
      <c r="J328" s="78">
        <f>MAX(K328:Q328)</f>
        <v>1</v>
      </c>
      <c r="K328" s="88">
        <v>1</v>
      </c>
      <c r="L328" s="88"/>
      <c r="M328" s="88"/>
      <c r="N328" s="88"/>
      <c r="O328" s="88"/>
      <c r="P328" s="88"/>
      <c r="Q328" s="88"/>
      <c r="R328" s="78">
        <f>MAX(S328:W328)</f>
        <v>0</v>
      </c>
      <c r="S328" s="88"/>
      <c r="T328" s="88"/>
      <c r="U328" s="88"/>
      <c r="V328" s="88"/>
      <c r="W328" s="88"/>
    </row>
    <row r="329" spans="2:23" s="0" customFormat="0" ht="15">
      <c r="B329" s="87" t="s">
        <v>1</v>
      </c>
      <c r="C329" s="88" t="s">
        <v>5259</v>
      </c>
      <c r="D329" s="88">
        <v>23307204</v>
      </c>
      <c r="E329" s="88" t="s">
        <v>61</v>
      </c>
      <c r="F329" s="88">
        <v>0</v>
      </c>
      <c r="G329" s="78">
        <f>MAX(H329,I329,J329)</f>
        <v>1</v>
      </c>
      <c r="H329" s="88"/>
      <c r="I329" s="88"/>
      <c r="J329" s="78">
        <f>MAX(K329:Q329)</f>
        <v>1</v>
      </c>
      <c r="K329" s="88">
        <v>1</v>
      </c>
      <c r="L329" s="88"/>
      <c r="M329" s="88"/>
      <c r="N329" s="88"/>
      <c r="O329" s="88"/>
      <c r="P329" s="88"/>
      <c r="Q329" s="88"/>
      <c r="R329" s="78">
        <f>MAX(S329:W329)</f>
        <v>0</v>
      </c>
      <c r="S329" s="88"/>
      <c r="T329" s="88"/>
      <c r="U329" s="88"/>
      <c r="V329" s="88"/>
      <c r="W329" s="88"/>
    </row>
    <row r="330" spans="2:23" s="0" customFormat="0" ht="15">
      <c r="B330" s="87" t="s">
        <v>1</v>
      </c>
      <c r="C330" s="88" t="s">
        <v>5259</v>
      </c>
      <c r="D330" s="88" t="s">
        <v>3452</v>
      </c>
      <c r="E330" s="88" t="s">
        <v>61</v>
      </c>
      <c r="F330" s="88">
        <v>0</v>
      </c>
      <c r="G330" s="78">
        <f>MAX(H330,I330,J330)</f>
        <v>0</v>
      </c>
      <c r="H330" s="88"/>
      <c r="I330" s="88"/>
      <c r="J330" s="78">
        <f>MAX(K330:Q330)</f>
        <v>0</v>
      </c>
      <c r="K330" s="88"/>
      <c r="L330" s="88"/>
      <c r="M330" s="88"/>
      <c r="N330" s="88"/>
      <c r="O330" s="88"/>
      <c r="P330" s="88"/>
      <c r="Q330" s="88"/>
      <c r="R330" s="78">
        <f>MAX(S330:W330)</f>
        <v>1</v>
      </c>
      <c r="S330" s="88"/>
      <c r="T330" s="88"/>
      <c r="U330" s="88">
        <v>1</v>
      </c>
      <c r="V330" s="88"/>
      <c r="W330" s="88"/>
    </row>
    <row r="331" spans="2:23" s="0" customFormat="0" ht="15">
      <c r="B331" s="87" t="s">
        <v>1</v>
      </c>
      <c r="C331" s="88" t="s">
        <v>5259</v>
      </c>
      <c r="D331" s="88" t="s">
        <v>426</v>
      </c>
      <c r="E331" s="88" t="s">
        <v>61</v>
      </c>
      <c r="F331" s="88">
        <v>0</v>
      </c>
      <c r="G331" s="78">
        <f>MAX(H331,I331,J331)</f>
        <v>1</v>
      </c>
      <c r="H331" s="88"/>
      <c r="I331" s="88"/>
      <c r="J331" s="78">
        <f>MAX(K331:Q331)</f>
        <v>1</v>
      </c>
      <c r="K331" s="88">
        <v>1</v>
      </c>
      <c r="L331" s="88"/>
      <c r="M331" s="88"/>
      <c r="N331" s="88"/>
      <c r="O331" s="88"/>
      <c r="P331" s="88"/>
      <c r="Q331" s="88"/>
      <c r="R331" s="78">
        <f>MAX(S331:W331)</f>
        <v>0</v>
      </c>
      <c r="S331" s="88"/>
      <c r="T331" s="88"/>
      <c r="U331" s="88"/>
      <c r="V331" s="88"/>
      <c r="W331" s="88"/>
    </row>
    <row r="332" spans="2:23" s="0" customFormat="0" ht="15">
      <c r="B332" s="87" t="s">
        <v>1</v>
      </c>
      <c r="C332" s="88" t="s">
        <v>5259</v>
      </c>
      <c r="D332" s="88" t="s">
        <v>428</v>
      </c>
      <c r="E332" s="88" t="s">
        <v>61</v>
      </c>
      <c r="F332" s="88">
        <v>0</v>
      </c>
      <c r="G332" s="78">
        <f>MAX(H332,I332,J332)</f>
        <v>1</v>
      </c>
      <c r="H332" s="88"/>
      <c r="I332" s="88"/>
      <c r="J332" s="78">
        <f>MAX(K332:Q332)</f>
        <v>1</v>
      </c>
      <c r="K332" s="88">
        <v>1</v>
      </c>
      <c r="L332" s="88"/>
      <c r="M332" s="88"/>
      <c r="N332" s="88"/>
      <c r="O332" s="88"/>
      <c r="P332" s="88"/>
      <c r="Q332" s="88"/>
      <c r="R332" s="78">
        <f>MAX(S332:W332)</f>
        <v>0</v>
      </c>
      <c r="S332" s="88"/>
      <c r="T332" s="88"/>
      <c r="U332" s="88"/>
      <c r="V332" s="88"/>
      <c r="W332" s="88"/>
    </row>
    <row r="333" spans="2:23" s="0" customFormat="0" ht="15">
      <c r="B333" s="87" t="s">
        <v>1</v>
      </c>
      <c r="C333" s="88" t="s">
        <v>5259</v>
      </c>
      <c r="D333" s="88">
        <v>2687393</v>
      </c>
      <c r="E333" s="88" t="s">
        <v>61</v>
      </c>
      <c r="F333" s="88">
        <v>0</v>
      </c>
      <c r="G333" s="78">
        <f>MAX(H333,I333,J333)</f>
        <v>1</v>
      </c>
      <c r="H333" s="88"/>
      <c r="I333" s="88"/>
      <c r="J333" s="78">
        <f>MAX(K333:Q333)</f>
        <v>1</v>
      </c>
      <c r="K333" s="88">
        <v>1</v>
      </c>
      <c r="L333" s="88"/>
      <c r="M333" s="88"/>
      <c r="N333" s="88"/>
      <c r="O333" s="88"/>
      <c r="P333" s="88"/>
      <c r="Q333" s="88"/>
      <c r="R333" s="78">
        <f>MAX(S333:W333)</f>
        <v>0</v>
      </c>
      <c r="S333" s="88"/>
      <c r="T333" s="88"/>
      <c r="U333" s="88"/>
      <c r="V333" s="88"/>
      <c r="W333" s="88"/>
    </row>
    <row r="334" spans="2:23" s="0" customFormat="0" ht="15">
      <c r="B334" s="87" t="s">
        <v>1</v>
      </c>
      <c r="C334" s="88" t="s">
        <v>5259</v>
      </c>
      <c r="D334" s="88">
        <v>23722534</v>
      </c>
      <c r="E334" s="88" t="s">
        <v>61</v>
      </c>
      <c r="F334" s="88">
        <v>0</v>
      </c>
      <c r="G334" s="78">
        <f>MAX(H334,I334,J334)</f>
        <v>1</v>
      </c>
      <c r="H334" s="88"/>
      <c r="I334" s="88"/>
      <c r="J334" s="78">
        <f>MAX(K334:Q334)</f>
        <v>1</v>
      </c>
      <c r="K334" s="88">
        <v>1</v>
      </c>
      <c r="L334" s="88"/>
      <c r="M334" s="88"/>
      <c r="N334" s="88"/>
      <c r="O334" s="88"/>
      <c r="P334" s="88"/>
      <c r="Q334" s="88"/>
      <c r="R334" s="78">
        <f>MAX(S334:W334)</f>
        <v>0</v>
      </c>
      <c r="S334" s="88"/>
      <c r="T334" s="88"/>
      <c r="U334" s="88"/>
      <c r="V334" s="88"/>
      <c r="W334" s="88"/>
    </row>
    <row r="335" spans="2:23" s="0" customFormat="0" ht="15">
      <c r="B335" s="87" t="s">
        <v>1</v>
      </c>
      <c r="C335" s="88" t="s">
        <v>5259</v>
      </c>
      <c r="D335" s="88">
        <v>7920661</v>
      </c>
      <c r="E335" s="88" t="s">
        <v>61</v>
      </c>
      <c r="F335" s="88">
        <v>0</v>
      </c>
      <c r="G335" s="78">
        <f>MAX(H335,I335,J335)</f>
        <v>1</v>
      </c>
      <c r="H335" s="88"/>
      <c r="I335" s="88"/>
      <c r="J335" s="78">
        <f>MAX(K335:Q335)</f>
        <v>1</v>
      </c>
      <c r="K335" s="88">
        <v>1</v>
      </c>
      <c r="L335" s="88"/>
      <c r="M335" s="88"/>
      <c r="N335" s="88"/>
      <c r="O335" s="88"/>
      <c r="P335" s="88"/>
      <c r="Q335" s="88"/>
      <c r="R335" s="78">
        <f>MAX(S335:W335)</f>
        <v>0</v>
      </c>
      <c r="S335" s="88"/>
      <c r="T335" s="88"/>
      <c r="U335" s="88"/>
      <c r="V335" s="88"/>
      <c r="W335" s="88"/>
    </row>
    <row r="336" spans="2:23" s="0" customFormat="0" ht="15">
      <c r="B336" s="87" t="s">
        <v>1</v>
      </c>
      <c r="C336" s="88" t="s">
        <v>5259</v>
      </c>
      <c r="D336" s="88">
        <v>18093606</v>
      </c>
      <c r="E336" s="88" t="s">
        <v>61</v>
      </c>
      <c r="F336" s="88">
        <v>0</v>
      </c>
      <c r="G336" s="78">
        <f>MAX(H336,I336,J336)</f>
        <v>1</v>
      </c>
      <c r="H336" s="88"/>
      <c r="I336" s="88"/>
      <c r="J336" s="78">
        <f>MAX(K336:Q336)</f>
        <v>1</v>
      </c>
      <c r="K336" s="88">
        <v>1</v>
      </c>
      <c r="L336" s="88"/>
      <c r="M336" s="88"/>
      <c r="N336" s="88"/>
      <c r="O336" s="88"/>
      <c r="P336" s="88"/>
      <c r="Q336" s="88"/>
      <c r="R336" s="78">
        <f>MAX(S336:W336)</f>
        <v>0</v>
      </c>
      <c r="S336" s="88"/>
      <c r="T336" s="88"/>
      <c r="U336" s="88"/>
      <c r="V336" s="88"/>
      <c r="W336" s="88"/>
    </row>
    <row r="337" spans="2:23" s="0" customFormat="0" ht="15">
      <c r="B337" s="87" t="s">
        <v>1</v>
      </c>
      <c r="C337" s="88" t="s">
        <v>5259</v>
      </c>
      <c r="D337" s="88">
        <v>9828810</v>
      </c>
      <c r="E337" s="88" t="s">
        <v>61</v>
      </c>
      <c r="F337" s="88">
        <v>0</v>
      </c>
      <c r="G337" s="78">
        <f>MAX(H337,I337,J337)</f>
        <v>1</v>
      </c>
      <c r="H337" s="88"/>
      <c r="I337" s="88"/>
      <c r="J337" s="78">
        <f>MAX(K337:Q337)</f>
        <v>1</v>
      </c>
      <c r="K337" s="88">
        <v>1</v>
      </c>
      <c r="L337" s="88"/>
      <c r="M337" s="88"/>
      <c r="N337" s="88"/>
      <c r="O337" s="88"/>
      <c r="P337" s="88"/>
      <c r="Q337" s="88"/>
      <c r="R337" s="78">
        <f>MAX(S337:W337)</f>
        <v>0</v>
      </c>
      <c r="S337" s="88"/>
      <c r="T337" s="88"/>
      <c r="U337" s="88"/>
      <c r="V337" s="88"/>
      <c r="W337" s="88"/>
    </row>
    <row r="338" spans="2:23" s="0" customFormat="0" ht="15">
      <c r="B338" s="87" t="s">
        <v>1</v>
      </c>
      <c r="C338" s="88" t="s">
        <v>5259</v>
      </c>
      <c r="D338" s="88" t="s">
        <v>435</v>
      </c>
      <c r="E338" s="88" t="s">
        <v>61</v>
      </c>
      <c r="F338" s="88">
        <v>0</v>
      </c>
      <c r="G338" s="78">
        <f>MAX(H338,I338,J338)</f>
        <v>1</v>
      </c>
      <c r="H338" s="88"/>
      <c r="I338" s="88"/>
      <c r="J338" s="78">
        <f>MAX(K338:Q338)</f>
        <v>1</v>
      </c>
      <c r="K338" s="88">
        <v>1</v>
      </c>
      <c r="L338" s="88"/>
      <c r="M338" s="88"/>
      <c r="N338" s="88"/>
      <c r="O338" s="88"/>
      <c r="P338" s="88"/>
      <c r="Q338" s="88"/>
      <c r="R338" s="78">
        <f>MAX(S338:W338)</f>
        <v>0</v>
      </c>
      <c r="S338" s="88"/>
      <c r="T338" s="88"/>
      <c r="U338" s="88"/>
      <c r="V338" s="88"/>
      <c r="W338" s="88"/>
    </row>
    <row r="339" spans="2:23" s="0" customFormat="0" ht="15">
      <c r="B339" s="87" t="s">
        <v>1</v>
      </c>
      <c r="C339" s="88" t="s">
        <v>5259</v>
      </c>
      <c r="D339" s="88" t="s">
        <v>3454</v>
      </c>
      <c r="E339" s="88" t="s">
        <v>61</v>
      </c>
      <c r="F339" s="88">
        <v>0</v>
      </c>
      <c r="G339" s="78">
        <f>MAX(H339,I339,J339)</f>
        <v>0</v>
      </c>
      <c r="H339" s="88"/>
      <c r="I339" s="88"/>
      <c r="J339" s="78">
        <f>MAX(K339:Q339)</f>
        <v>0</v>
      </c>
      <c r="K339" s="88"/>
      <c r="L339" s="88"/>
      <c r="M339" s="88"/>
      <c r="N339" s="88"/>
      <c r="O339" s="88"/>
      <c r="P339" s="88"/>
      <c r="Q339" s="88"/>
      <c r="R339" s="78">
        <f>MAX(S339:W339)</f>
        <v>1</v>
      </c>
      <c r="S339" s="88"/>
      <c r="T339" s="88"/>
      <c r="U339" s="88">
        <v>1</v>
      </c>
      <c r="V339" s="88"/>
      <c r="W339" s="88"/>
    </row>
    <row r="340" spans="2:23" s="0" customFormat="0" ht="15">
      <c r="B340" s="87" t="s">
        <v>1</v>
      </c>
      <c r="C340" s="88" t="s">
        <v>5259</v>
      </c>
      <c r="D340" s="88" t="s">
        <v>437</v>
      </c>
      <c r="E340" s="88" t="s">
        <v>61</v>
      </c>
      <c r="F340" s="88">
        <v>0</v>
      </c>
      <c r="G340" s="78">
        <f>MAX(H340,I340,J340)</f>
        <v>1</v>
      </c>
      <c r="H340" s="88"/>
      <c r="I340" s="88"/>
      <c r="J340" s="78">
        <f>MAX(K340:Q340)</f>
        <v>1</v>
      </c>
      <c r="K340" s="88">
        <v>1</v>
      </c>
      <c r="L340" s="88"/>
      <c r="M340" s="88"/>
      <c r="N340" s="88"/>
      <c r="O340" s="88"/>
      <c r="P340" s="88"/>
      <c r="Q340" s="88"/>
      <c r="R340" s="78">
        <f>MAX(S340:W340)</f>
        <v>0</v>
      </c>
      <c r="S340" s="88"/>
      <c r="T340" s="88"/>
      <c r="U340" s="88"/>
      <c r="V340" s="88"/>
      <c r="W340" s="88"/>
    </row>
    <row r="341" spans="2:23" s="0" customFormat="0" ht="15">
      <c r="B341" s="87" t="s">
        <v>1</v>
      </c>
      <c r="C341" s="88" t="s">
        <v>5259</v>
      </c>
      <c r="D341" s="88">
        <v>22664656</v>
      </c>
      <c r="E341" s="88" t="s">
        <v>61</v>
      </c>
      <c r="F341" s="88">
        <v>0</v>
      </c>
      <c r="G341" s="78">
        <f>MAX(H341,I341,J341)</f>
        <v>1</v>
      </c>
      <c r="H341" s="88"/>
      <c r="I341" s="88"/>
      <c r="J341" s="78">
        <f>MAX(K341:Q341)</f>
        <v>1</v>
      </c>
      <c r="K341" s="88">
        <v>1</v>
      </c>
      <c r="L341" s="88"/>
      <c r="M341" s="88"/>
      <c r="N341" s="88"/>
      <c r="O341" s="88"/>
      <c r="P341" s="88"/>
      <c r="Q341" s="88"/>
      <c r="R341" s="78">
        <f>MAX(S341:W341)</f>
        <v>0</v>
      </c>
      <c r="S341" s="88"/>
      <c r="T341" s="88"/>
      <c r="U341" s="88"/>
      <c r="V341" s="88"/>
      <c r="W341" s="88"/>
    </row>
    <row r="342" spans="2:23" s="0" customFormat="0" ht="15">
      <c r="B342" s="87" t="s">
        <v>1</v>
      </c>
      <c r="C342" s="88" t="s">
        <v>5259</v>
      </c>
      <c r="D342" s="88">
        <v>12200157</v>
      </c>
      <c r="E342" s="88" t="s">
        <v>61</v>
      </c>
      <c r="F342" s="88">
        <v>0</v>
      </c>
      <c r="G342" s="78">
        <f>MAX(H342,I342,J342)</f>
        <v>1</v>
      </c>
      <c r="H342" s="88"/>
      <c r="I342" s="88"/>
      <c r="J342" s="78">
        <f>MAX(K342:Q342)</f>
        <v>1</v>
      </c>
      <c r="K342" s="88">
        <v>1</v>
      </c>
      <c r="L342" s="88"/>
      <c r="M342" s="88"/>
      <c r="N342" s="88"/>
      <c r="O342" s="88"/>
      <c r="P342" s="88"/>
      <c r="Q342" s="88"/>
      <c r="R342" s="78">
        <f>MAX(S342:W342)</f>
        <v>0</v>
      </c>
      <c r="S342" s="88"/>
      <c r="T342" s="88"/>
      <c r="U342" s="88"/>
      <c r="V342" s="88"/>
      <c r="W342" s="88"/>
    </row>
    <row r="343" spans="2:23" s="0" customFormat="0" ht="15">
      <c r="B343" s="87" t="s">
        <v>1</v>
      </c>
      <c r="C343" s="88" t="s">
        <v>5259</v>
      </c>
      <c r="D343" s="88">
        <v>7734423</v>
      </c>
      <c r="E343" s="88" t="s">
        <v>61</v>
      </c>
      <c r="F343" s="88">
        <v>0</v>
      </c>
      <c r="G343" s="78">
        <f>MAX(H343,I343,J343)</f>
        <v>1</v>
      </c>
      <c r="H343" s="88"/>
      <c r="I343" s="88"/>
      <c r="J343" s="78">
        <f>MAX(K343:Q343)</f>
        <v>1</v>
      </c>
      <c r="K343" s="88">
        <v>1</v>
      </c>
      <c r="L343" s="88"/>
      <c r="M343" s="88"/>
      <c r="N343" s="88"/>
      <c r="O343" s="88"/>
      <c r="P343" s="88"/>
      <c r="Q343" s="88"/>
      <c r="R343" s="78">
        <f>MAX(S343:W343)</f>
        <v>0</v>
      </c>
      <c r="S343" s="88"/>
      <c r="T343" s="88"/>
      <c r="U343" s="88"/>
      <c r="V343" s="88"/>
      <c r="W343" s="88"/>
    </row>
    <row r="344" spans="2:23" s="0" customFormat="0" ht="15">
      <c r="B344" s="87" t="s">
        <v>1</v>
      </c>
      <c r="C344" s="88" t="s">
        <v>5259</v>
      </c>
      <c r="D344" s="88">
        <v>8432966</v>
      </c>
      <c r="E344" s="88" t="s">
        <v>61</v>
      </c>
      <c r="F344" s="88">
        <v>0</v>
      </c>
      <c r="G344" s="78">
        <f>MAX(H344,I344,J344)</f>
        <v>1</v>
      </c>
      <c r="H344" s="88"/>
      <c r="I344" s="88"/>
      <c r="J344" s="78">
        <f>MAX(K344:Q344)</f>
        <v>1</v>
      </c>
      <c r="K344" s="88">
        <v>1</v>
      </c>
      <c r="L344" s="88"/>
      <c r="M344" s="88"/>
      <c r="N344" s="88"/>
      <c r="O344" s="88"/>
      <c r="P344" s="88"/>
      <c r="Q344" s="88"/>
      <c r="R344" s="78">
        <f>MAX(S344:W344)</f>
        <v>0</v>
      </c>
      <c r="S344" s="88"/>
      <c r="T344" s="88"/>
      <c r="U344" s="88"/>
      <c r="V344" s="88"/>
      <c r="W344" s="88"/>
    </row>
    <row r="345" spans="2:23" s="0" customFormat="0" ht="15">
      <c r="B345" s="87" t="s">
        <v>1</v>
      </c>
      <c r="C345" s="88" t="s">
        <v>5259</v>
      </c>
      <c r="D345" s="88" t="s">
        <v>443</v>
      </c>
      <c r="E345" s="88" t="s">
        <v>61</v>
      </c>
      <c r="F345" s="88">
        <v>0</v>
      </c>
      <c r="G345" s="78">
        <f>MAX(H345,I345,J345)</f>
        <v>1</v>
      </c>
      <c r="H345" s="88"/>
      <c r="I345" s="88"/>
      <c r="J345" s="78">
        <f>MAX(K345:Q345)</f>
        <v>1</v>
      </c>
      <c r="K345" s="88">
        <v>1</v>
      </c>
      <c r="L345" s="88"/>
      <c r="M345" s="88"/>
      <c r="N345" s="88"/>
      <c r="O345" s="88"/>
      <c r="P345" s="88"/>
      <c r="Q345" s="88"/>
      <c r="R345" s="78">
        <f>MAX(S345:W345)</f>
        <v>0</v>
      </c>
      <c r="S345" s="88"/>
      <c r="T345" s="88"/>
      <c r="U345" s="88"/>
      <c r="V345" s="88"/>
      <c r="W345" s="88"/>
    </row>
    <row r="346" spans="2:23" s="0" customFormat="0" ht="15">
      <c r="B346" s="87" t="s">
        <v>1</v>
      </c>
      <c r="C346" s="88" t="s">
        <v>5259</v>
      </c>
      <c r="D346" s="88" t="s">
        <v>3380</v>
      </c>
      <c r="E346" s="88" t="s">
        <v>61</v>
      </c>
      <c r="F346" s="88">
        <v>0</v>
      </c>
      <c r="G346" s="78">
        <f>MAX(H346,I346,J346)</f>
        <v>0</v>
      </c>
      <c r="H346" s="88"/>
      <c r="I346" s="88"/>
      <c r="J346" s="78">
        <f>MAX(K346:Q346)</f>
        <v>0</v>
      </c>
      <c r="K346" s="88"/>
      <c r="L346" s="88"/>
      <c r="M346" s="88"/>
      <c r="N346" s="88"/>
      <c r="O346" s="88"/>
      <c r="P346" s="88"/>
      <c r="Q346" s="88"/>
      <c r="R346" s="78">
        <f>MAX(S346:W346)</f>
        <v>1</v>
      </c>
      <c r="S346" s="88"/>
      <c r="T346" s="88"/>
      <c r="U346" s="88">
        <v>1</v>
      </c>
      <c r="V346" s="88"/>
      <c r="W346" s="88"/>
    </row>
    <row r="347" spans="2:23" s="0" customFormat="0" ht="15">
      <c r="B347" s="87" t="s">
        <v>1</v>
      </c>
      <c r="C347" s="88" t="s">
        <v>5259</v>
      </c>
      <c r="D347" s="88">
        <v>22554288</v>
      </c>
      <c r="E347" s="88" t="s">
        <v>61</v>
      </c>
      <c r="F347" s="88">
        <v>0</v>
      </c>
      <c r="G347" s="78">
        <f>MAX(H347,I347,J347)</f>
        <v>0</v>
      </c>
      <c r="H347" s="88"/>
      <c r="I347" s="88"/>
      <c r="J347" s="78">
        <f>MAX(K347:Q347)</f>
        <v>0</v>
      </c>
      <c r="K347" s="88"/>
      <c r="L347" s="88"/>
      <c r="M347" s="88"/>
      <c r="N347" s="88"/>
      <c r="O347" s="88"/>
      <c r="P347" s="88"/>
      <c r="Q347" s="88"/>
      <c r="R347" s="78">
        <f>MAX(S347:W347)</f>
        <v>1</v>
      </c>
      <c r="S347" s="88"/>
      <c r="T347" s="88"/>
      <c r="U347" s="88"/>
      <c r="V347" s="88">
        <v>1</v>
      </c>
      <c r="W347" s="88"/>
    </row>
    <row r="348" spans="2:23" s="0" customFormat="0" ht="15">
      <c r="B348" s="87" t="s">
        <v>1</v>
      </c>
      <c r="C348" s="88" t="s">
        <v>5259</v>
      </c>
      <c r="D348" s="88" t="s">
        <v>3456</v>
      </c>
      <c r="E348" s="88" t="s">
        <v>61</v>
      </c>
      <c r="F348" s="88">
        <v>0</v>
      </c>
      <c r="G348" s="78">
        <f>MAX(H348,I348,J348)</f>
        <v>0</v>
      </c>
      <c r="H348" s="88"/>
      <c r="I348" s="88"/>
      <c r="J348" s="78">
        <f>MAX(K348:Q348)</f>
        <v>0</v>
      </c>
      <c r="K348" s="88"/>
      <c r="L348" s="88"/>
      <c r="M348" s="88"/>
      <c r="N348" s="88"/>
      <c r="O348" s="88"/>
      <c r="P348" s="88"/>
      <c r="Q348" s="88"/>
      <c r="R348" s="78">
        <f>MAX(S348:W348)</f>
        <v>1</v>
      </c>
      <c r="S348" s="88"/>
      <c r="T348" s="88"/>
      <c r="U348" s="88">
        <v>1</v>
      </c>
      <c r="V348" s="88"/>
      <c r="W348" s="88"/>
    </row>
    <row r="349" spans="2:23" s="0" customFormat="0" ht="15">
      <c r="B349" s="87" t="s">
        <v>1</v>
      </c>
      <c r="C349" s="88" t="s">
        <v>5259</v>
      </c>
      <c r="D349" s="88" t="s">
        <v>445</v>
      </c>
      <c r="E349" s="88" t="s">
        <v>61</v>
      </c>
      <c r="F349" s="88">
        <v>0</v>
      </c>
      <c r="G349" s="78">
        <f>MAX(H349,I349,J349)</f>
        <v>1</v>
      </c>
      <c r="H349" s="88"/>
      <c r="I349" s="88"/>
      <c r="J349" s="78">
        <f>MAX(K349:Q349)</f>
        <v>1</v>
      </c>
      <c r="K349" s="88">
        <v>1</v>
      </c>
      <c r="L349" s="88"/>
      <c r="M349" s="88"/>
      <c r="N349" s="88"/>
      <c r="O349" s="88"/>
      <c r="P349" s="88"/>
      <c r="Q349" s="88"/>
      <c r="R349" s="78">
        <f>MAX(S349:W349)</f>
        <v>0</v>
      </c>
      <c r="S349" s="88"/>
      <c r="T349" s="88"/>
      <c r="U349" s="88"/>
      <c r="V349" s="88"/>
      <c r="W349" s="88"/>
    </row>
    <row r="350" spans="2:23" s="0" customFormat="0" ht="15">
      <c r="B350" s="87" t="s">
        <v>1</v>
      </c>
      <c r="C350" s="88" t="s">
        <v>5259</v>
      </c>
      <c r="D350" s="88">
        <v>14236674</v>
      </c>
      <c r="E350" s="88" t="s">
        <v>61</v>
      </c>
      <c r="F350" s="88">
        <v>0</v>
      </c>
      <c r="G350" s="78">
        <f>MAX(H350,I350,J350)</f>
        <v>0</v>
      </c>
      <c r="H350" s="88"/>
      <c r="I350" s="88"/>
      <c r="J350" s="78">
        <f>MAX(K350:Q350)</f>
        <v>0</v>
      </c>
      <c r="K350" s="88"/>
      <c r="L350" s="88"/>
      <c r="M350" s="88"/>
      <c r="N350" s="88"/>
      <c r="O350" s="88"/>
      <c r="P350" s="88"/>
      <c r="Q350" s="88"/>
      <c r="R350" s="78">
        <f>MAX(S350:W350)</f>
        <v>1</v>
      </c>
      <c r="S350" s="88"/>
      <c r="T350" s="88"/>
      <c r="U350" s="88">
        <v>1</v>
      </c>
      <c r="V350" s="88"/>
      <c r="W350" s="88"/>
    </row>
    <row r="351" spans="2:23" s="0" customFormat="0" ht="15">
      <c r="B351" s="87" t="s">
        <v>1</v>
      </c>
      <c r="C351" s="88" t="s">
        <v>5259</v>
      </c>
      <c r="D351" s="88">
        <v>21236159</v>
      </c>
      <c r="E351" s="88" t="s">
        <v>61</v>
      </c>
      <c r="F351" s="88">
        <v>0</v>
      </c>
      <c r="G351" s="78">
        <f>MAX(H351,I351,J351)</f>
        <v>1</v>
      </c>
      <c r="H351" s="88"/>
      <c r="I351" s="88"/>
      <c r="J351" s="78">
        <f>MAX(K351:Q351)</f>
        <v>1</v>
      </c>
      <c r="K351" s="88">
        <v>1</v>
      </c>
      <c r="L351" s="88"/>
      <c r="M351" s="88"/>
      <c r="N351" s="88"/>
      <c r="O351" s="88"/>
      <c r="P351" s="88"/>
      <c r="Q351" s="88"/>
      <c r="R351" s="78">
        <f>MAX(S351:W351)</f>
        <v>0</v>
      </c>
      <c r="S351" s="88"/>
      <c r="T351" s="88"/>
      <c r="U351" s="88"/>
      <c r="V351" s="88"/>
      <c r="W351" s="88"/>
    </row>
    <row r="352" spans="2:23" s="0" customFormat="0" ht="15">
      <c r="B352" s="87" t="s">
        <v>1</v>
      </c>
      <c r="C352" s="88" t="s">
        <v>5259</v>
      </c>
      <c r="D352" s="88" t="s">
        <v>3459</v>
      </c>
      <c r="E352" s="88" t="s">
        <v>61</v>
      </c>
      <c r="F352" s="88">
        <v>0</v>
      </c>
      <c r="G352" s="78">
        <f>MAX(H352,I352,J352)</f>
        <v>0</v>
      </c>
      <c r="H352" s="88"/>
      <c r="I352" s="88"/>
      <c r="J352" s="78">
        <f>MAX(K352:Q352)</f>
        <v>0</v>
      </c>
      <c r="K352" s="88"/>
      <c r="L352" s="88"/>
      <c r="M352" s="88"/>
      <c r="N352" s="88"/>
      <c r="O352" s="88"/>
      <c r="P352" s="88"/>
      <c r="Q352" s="88"/>
      <c r="R352" s="78">
        <f>MAX(S352:W352)</f>
        <v>1</v>
      </c>
      <c r="S352" s="88"/>
      <c r="T352" s="88"/>
      <c r="U352" s="88">
        <v>1</v>
      </c>
      <c r="V352" s="88"/>
      <c r="W352" s="88"/>
    </row>
    <row r="353" spans="2:23" s="0" customFormat="0" ht="15">
      <c r="B353" s="87" t="s">
        <v>1</v>
      </c>
      <c r="C353" s="88" t="s">
        <v>5259</v>
      </c>
      <c r="D353" s="88">
        <v>16192333</v>
      </c>
      <c r="E353" s="88" t="s">
        <v>61</v>
      </c>
      <c r="F353" s="88">
        <v>0</v>
      </c>
      <c r="G353" s="78">
        <f>MAX(H353,I353,J353)</f>
        <v>1</v>
      </c>
      <c r="H353" s="88"/>
      <c r="I353" s="88"/>
      <c r="J353" s="78">
        <f>MAX(K353:Q353)</f>
        <v>1</v>
      </c>
      <c r="K353" s="88">
        <v>1</v>
      </c>
      <c r="L353" s="88"/>
      <c r="M353" s="88"/>
      <c r="N353" s="88"/>
      <c r="O353" s="88"/>
      <c r="P353" s="88"/>
      <c r="Q353" s="88"/>
      <c r="R353" s="78">
        <f>MAX(S353:W353)</f>
        <v>0</v>
      </c>
      <c r="S353" s="88"/>
      <c r="T353" s="88"/>
      <c r="U353" s="88"/>
      <c r="V353" s="88"/>
      <c r="W353" s="88"/>
    </row>
    <row r="354" spans="2:23" s="0" customFormat="0" ht="15">
      <c r="B354" s="87" t="s">
        <v>1</v>
      </c>
      <c r="C354" s="88" t="s">
        <v>5259</v>
      </c>
      <c r="D354" s="88">
        <v>23422500</v>
      </c>
      <c r="E354" s="88" t="s">
        <v>61</v>
      </c>
      <c r="F354" s="88">
        <v>0</v>
      </c>
      <c r="G354" s="78">
        <f>MAX(H354,I354,J354)</f>
        <v>1</v>
      </c>
      <c r="H354" s="88"/>
      <c r="I354" s="88"/>
      <c r="J354" s="78">
        <f>MAX(K354:Q354)</f>
        <v>1</v>
      </c>
      <c r="K354" s="88">
        <v>1</v>
      </c>
      <c r="L354" s="88"/>
      <c r="M354" s="88"/>
      <c r="N354" s="88"/>
      <c r="O354" s="88"/>
      <c r="P354" s="88"/>
      <c r="Q354" s="88"/>
      <c r="R354" s="78">
        <f>MAX(S354:W354)</f>
        <v>0</v>
      </c>
      <c r="S354" s="88"/>
      <c r="T354" s="88"/>
      <c r="U354" s="88"/>
      <c r="V354" s="88"/>
      <c r="W354" s="88"/>
    </row>
    <row r="355" spans="2:23" s="0" customFormat="0" ht="15">
      <c r="B355" s="87" t="s">
        <v>1</v>
      </c>
      <c r="C355" s="88" t="s">
        <v>5259</v>
      </c>
      <c r="D355" s="88">
        <v>15524804</v>
      </c>
      <c r="E355" s="88" t="s">
        <v>61</v>
      </c>
      <c r="F355" s="88">
        <v>0</v>
      </c>
      <c r="G355" s="78">
        <f>MAX(H355,I355,J355)</f>
        <v>1</v>
      </c>
      <c r="H355" s="88"/>
      <c r="I355" s="88"/>
      <c r="J355" s="78">
        <f>MAX(K355:Q355)</f>
        <v>1</v>
      </c>
      <c r="K355" s="88">
        <v>1</v>
      </c>
      <c r="L355" s="88"/>
      <c r="M355" s="88"/>
      <c r="N355" s="88"/>
      <c r="O355" s="88"/>
      <c r="P355" s="88"/>
      <c r="Q355" s="88"/>
      <c r="R355" s="78">
        <f>MAX(S355:W355)</f>
        <v>0</v>
      </c>
      <c r="S355" s="88"/>
      <c r="T355" s="88"/>
      <c r="U355" s="88"/>
      <c r="V355" s="88"/>
      <c r="W355" s="88"/>
    </row>
    <row r="356" spans="2:23" s="0" customFormat="0" ht="15">
      <c r="B356" s="87" t="s">
        <v>1</v>
      </c>
      <c r="C356" s="88" t="s">
        <v>5259</v>
      </c>
      <c r="D356" s="88" t="s">
        <v>3461</v>
      </c>
      <c r="E356" s="88" t="s">
        <v>61</v>
      </c>
      <c r="F356" s="88">
        <v>0</v>
      </c>
      <c r="G356" s="78">
        <f>MAX(H356,I356,J356)</f>
        <v>0</v>
      </c>
      <c r="H356" s="88"/>
      <c r="I356" s="88"/>
      <c r="J356" s="78">
        <f>MAX(K356:Q356)</f>
        <v>0</v>
      </c>
      <c r="K356" s="88"/>
      <c r="L356" s="88"/>
      <c r="M356" s="88"/>
      <c r="N356" s="88"/>
      <c r="O356" s="88"/>
      <c r="P356" s="88"/>
      <c r="Q356" s="88"/>
      <c r="R356" s="78">
        <f>MAX(S356:W356)</f>
        <v>1</v>
      </c>
      <c r="S356" s="88"/>
      <c r="T356" s="88"/>
      <c r="U356" s="88">
        <v>1</v>
      </c>
      <c r="V356" s="88"/>
      <c r="W356" s="88"/>
    </row>
    <row r="357" spans="2:23" s="0" customFormat="0" ht="15">
      <c r="B357" s="87" t="s">
        <v>1</v>
      </c>
      <c r="C357" s="88" t="s">
        <v>5259</v>
      </c>
      <c r="D357" s="88">
        <v>11774423</v>
      </c>
      <c r="E357" s="88" t="s">
        <v>61</v>
      </c>
      <c r="F357" s="88">
        <v>0</v>
      </c>
      <c r="G357" s="78">
        <f>MAX(H357,I357,J357)</f>
        <v>1</v>
      </c>
      <c r="H357" s="88"/>
      <c r="I357" s="88"/>
      <c r="J357" s="78">
        <f>MAX(K357:Q357)</f>
        <v>1</v>
      </c>
      <c r="K357" s="88">
        <v>1</v>
      </c>
      <c r="L357" s="88"/>
      <c r="M357" s="88"/>
      <c r="N357" s="88"/>
      <c r="O357" s="88"/>
      <c r="P357" s="88"/>
      <c r="Q357" s="88"/>
      <c r="R357" s="78">
        <f>MAX(S357:W357)</f>
        <v>0</v>
      </c>
      <c r="S357" s="88"/>
      <c r="T357" s="88"/>
      <c r="U357" s="88"/>
      <c r="V357" s="88"/>
      <c r="W357" s="88"/>
    </row>
    <row r="358" spans="2:23" s="0" customFormat="0" ht="15">
      <c r="B358" s="87" t="s">
        <v>1</v>
      </c>
      <c r="C358" s="88" t="s">
        <v>5259</v>
      </c>
      <c r="D358" s="88" t="s">
        <v>3463</v>
      </c>
      <c r="E358" s="88" t="s">
        <v>61</v>
      </c>
      <c r="F358" s="88">
        <v>0</v>
      </c>
      <c r="G358" s="78">
        <f>MAX(H358,I358,J358)</f>
        <v>0</v>
      </c>
      <c r="H358" s="88"/>
      <c r="I358" s="88"/>
      <c r="J358" s="78">
        <f>MAX(K358:Q358)</f>
        <v>0</v>
      </c>
      <c r="K358" s="88"/>
      <c r="L358" s="88"/>
      <c r="M358" s="88"/>
      <c r="N358" s="88"/>
      <c r="O358" s="88"/>
      <c r="P358" s="88"/>
      <c r="Q358" s="88"/>
      <c r="R358" s="78">
        <f>MAX(S358:W358)</f>
        <v>1</v>
      </c>
      <c r="S358" s="88"/>
      <c r="T358" s="88"/>
      <c r="U358" s="88">
        <v>1</v>
      </c>
      <c r="V358" s="88"/>
      <c r="W358" s="88"/>
    </row>
    <row r="359" spans="2:23" s="0" customFormat="0" ht="15">
      <c r="B359" s="87" t="s">
        <v>1</v>
      </c>
      <c r="C359" s="88" t="s">
        <v>5259</v>
      </c>
      <c r="D359" s="88">
        <v>22554451</v>
      </c>
      <c r="E359" s="88" t="s">
        <v>61</v>
      </c>
      <c r="F359" s="88">
        <v>0</v>
      </c>
      <c r="G359" s="78">
        <f>MAX(H359,I359,J359)</f>
        <v>0</v>
      </c>
      <c r="H359" s="88"/>
      <c r="I359" s="88"/>
      <c r="J359" s="78">
        <f>MAX(K359:Q359)</f>
        <v>0</v>
      </c>
      <c r="K359" s="88"/>
      <c r="L359" s="88"/>
      <c r="M359" s="88"/>
      <c r="N359" s="88"/>
      <c r="O359" s="88"/>
      <c r="P359" s="88"/>
      <c r="Q359" s="88"/>
      <c r="R359" s="78">
        <f>MAX(S359:W359)</f>
        <v>1</v>
      </c>
      <c r="S359" s="88"/>
      <c r="T359" s="88"/>
      <c r="U359" s="88">
        <v>1</v>
      </c>
      <c r="V359" s="88"/>
      <c r="W359" s="88"/>
    </row>
    <row r="360" spans="2:23" s="0" customFormat="0" ht="15">
      <c r="B360" s="87" t="s">
        <v>1</v>
      </c>
      <c r="C360" s="88" t="s">
        <v>5259</v>
      </c>
      <c r="D360" s="88">
        <v>17089606</v>
      </c>
      <c r="E360" s="88" t="s">
        <v>61</v>
      </c>
      <c r="F360" s="88">
        <v>0</v>
      </c>
      <c r="G360" s="78">
        <f>MAX(H360,I360,J360)</f>
        <v>1</v>
      </c>
      <c r="H360" s="88"/>
      <c r="I360" s="88"/>
      <c r="J360" s="78">
        <f>MAX(K360:Q360)</f>
        <v>1</v>
      </c>
      <c r="K360" s="88">
        <v>1</v>
      </c>
      <c r="L360" s="88"/>
      <c r="M360" s="88"/>
      <c r="N360" s="88"/>
      <c r="O360" s="88"/>
      <c r="P360" s="88"/>
      <c r="Q360" s="88"/>
      <c r="R360" s="78">
        <f>MAX(S360:W360)</f>
        <v>0</v>
      </c>
      <c r="S360" s="88"/>
      <c r="T360" s="88"/>
      <c r="U360" s="88"/>
      <c r="V360" s="88"/>
      <c r="W360" s="88"/>
    </row>
    <row r="361" spans="2:23" s="0" customFormat="0" ht="15">
      <c r="B361" s="87" t="s">
        <v>1</v>
      </c>
      <c r="C361" s="88" t="s">
        <v>5259</v>
      </c>
      <c r="D361" s="88">
        <v>23432952</v>
      </c>
      <c r="E361" s="88" t="s">
        <v>61</v>
      </c>
      <c r="F361" s="88">
        <v>0</v>
      </c>
      <c r="G361" s="78">
        <f>MAX(H361,I361,J361)</f>
        <v>1</v>
      </c>
      <c r="H361" s="88"/>
      <c r="I361" s="88"/>
      <c r="J361" s="78">
        <f>MAX(K361:Q361)</f>
        <v>1</v>
      </c>
      <c r="K361" s="88">
        <v>1</v>
      </c>
      <c r="L361" s="88"/>
      <c r="M361" s="88"/>
      <c r="N361" s="88"/>
      <c r="O361" s="88"/>
      <c r="P361" s="88"/>
      <c r="Q361" s="88"/>
      <c r="R361" s="78">
        <f>MAX(S361:W361)</f>
        <v>0</v>
      </c>
      <c r="S361" s="88"/>
      <c r="T361" s="88"/>
      <c r="U361" s="88"/>
      <c r="V361" s="88"/>
      <c r="W361" s="88"/>
    </row>
    <row r="362" spans="2:23" s="0" customFormat="0" ht="15">
      <c r="B362" s="87" t="s">
        <v>1</v>
      </c>
      <c r="C362" s="88" t="s">
        <v>5259</v>
      </c>
      <c r="D362" s="88">
        <v>16974056</v>
      </c>
      <c r="E362" s="88" t="s">
        <v>61</v>
      </c>
      <c r="F362" s="88">
        <v>0</v>
      </c>
      <c r="G362" s="78">
        <f>MAX(H362,I362,J362)</f>
        <v>0</v>
      </c>
      <c r="H362" s="88"/>
      <c r="I362" s="88"/>
      <c r="J362" s="78">
        <f>MAX(K362:Q362)</f>
        <v>0</v>
      </c>
      <c r="K362" s="88"/>
      <c r="L362" s="88"/>
      <c r="M362" s="88"/>
      <c r="N362" s="88"/>
      <c r="O362" s="88"/>
      <c r="P362" s="88"/>
      <c r="Q362" s="88"/>
      <c r="R362" s="78">
        <f>MAX(S362:W362)</f>
        <v>1</v>
      </c>
      <c r="S362" s="88"/>
      <c r="T362" s="88"/>
      <c r="U362" s="88">
        <v>1</v>
      </c>
      <c r="V362" s="88"/>
      <c r="W362" s="88"/>
    </row>
    <row r="363" spans="2:23" s="0" customFormat="0" ht="15">
      <c r="B363" s="87" t="s">
        <v>1</v>
      </c>
      <c r="C363" s="88" t="s">
        <v>5259</v>
      </c>
      <c r="D363" s="88" t="s">
        <v>3467</v>
      </c>
      <c r="E363" s="88" t="s">
        <v>61</v>
      </c>
      <c r="F363" s="88">
        <v>0</v>
      </c>
      <c r="G363" s="78">
        <f>MAX(H363,I363,J363)</f>
        <v>0</v>
      </c>
      <c r="H363" s="88"/>
      <c r="I363" s="88"/>
      <c r="J363" s="78">
        <f>MAX(K363:Q363)</f>
        <v>0</v>
      </c>
      <c r="K363" s="88"/>
      <c r="L363" s="88"/>
      <c r="M363" s="88"/>
      <c r="N363" s="88"/>
      <c r="O363" s="88"/>
      <c r="P363" s="88"/>
      <c r="Q363" s="88"/>
      <c r="R363" s="78">
        <f>MAX(S363:W363)</f>
        <v>1</v>
      </c>
      <c r="S363" s="88"/>
      <c r="T363" s="88"/>
      <c r="U363" s="88">
        <v>1</v>
      </c>
      <c r="V363" s="88"/>
      <c r="W363" s="88"/>
    </row>
    <row r="364" spans="2:23" s="0" customFormat="0" ht="15">
      <c r="B364" s="87" t="s">
        <v>1</v>
      </c>
      <c r="C364" s="88" t="s">
        <v>5259</v>
      </c>
      <c r="D364" s="88">
        <v>16211005</v>
      </c>
      <c r="E364" s="88" t="s">
        <v>61</v>
      </c>
      <c r="F364" s="88">
        <v>0</v>
      </c>
      <c r="G364" s="78">
        <f>MAX(H364,I364,J364)</f>
        <v>1</v>
      </c>
      <c r="H364" s="88"/>
      <c r="I364" s="88"/>
      <c r="J364" s="78">
        <f>MAX(K364:Q364)</f>
        <v>1</v>
      </c>
      <c r="K364" s="88">
        <v>1</v>
      </c>
      <c r="L364" s="88"/>
      <c r="M364" s="88"/>
      <c r="N364" s="88"/>
      <c r="O364" s="88"/>
      <c r="P364" s="88"/>
      <c r="Q364" s="88"/>
      <c r="R364" s="78">
        <f>MAX(S364:W364)</f>
        <v>0</v>
      </c>
      <c r="S364" s="88"/>
      <c r="T364" s="88"/>
      <c r="U364" s="88"/>
      <c r="V364" s="88"/>
      <c r="W364" s="88"/>
    </row>
    <row r="365" spans="2:23" s="0" customFormat="0" ht="15">
      <c r="B365" s="87" t="s">
        <v>1</v>
      </c>
      <c r="C365" s="88" t="s">
        <v>5259</v>
      </c>
      <c r="D365" s="88" t="s">
        <v>3469</v>
      </c>
      <c r="E365" s="88" t="s">
        <v>61</v>
      </c>
      <c r="F365" s="88">
        <v>0</v>
      </c>
      <c r="G365" s="78">
        <f>MAX(H365,I365,J365)</f>
        <v>0</v>
      </c>
      <c r="H365" s="88"/>
      <c r="I365" s="88"/>
      <c r="J365" s="78">
        <f>MAX(K365:Q365)</f>
        <v>0</v>
      </c>
      <c r="K365" s="88"/>
      <c r="L365" s="88"/>
      <c r="M365" s="88"/>
      <c r="N365" s="88"/>
      <c r="O365" s="88"/>
      <c r="P365" s="88"/>
      <c r="Q365" s="88"/>
      <c r="R365" s="78">
        <f>MAX(S365:W365)</f>
        <v>1</v>
      </c>
      <c r="S365" s="88"/>
      <c r="T365" s="88"/>
      <c r="U365" s="88">
        <v>1</v>
      </c>
      <c r="V365" s="88"/>
      <c r="W365" s="88"/>
    </row>
    <row r="366" spans="2:23" s="0" customFormat="0" ht="15">
      <c r="B366" s="87" t="s">
        <v>1</v>
      </c>
      <c r="C366" s="88" t="s">
        <v>5259</v>
      </c>
      <c r="D366" s="88">
        <v>22554172</v>
      </c>
      <c r="E366" s="88" t="s">
        <v>61</v>
      </c>
      <c r="F366" s="88">
        <v>0</v>
      </c>
      <c r="G366" s="78">
        <f>MAX(H366,I366,J366)</f>
        <v>0</v>
      </c>
      <c r="H366" s="88"/>
      <c r="I366" s="88"/>
      <c r="J366" s="78">
        <f>MAX(K366:Q366)</f>
        <v>0</v>
      </c>
      <c r="K366" s="88"/>
      <c r="L366" s="88"/>
      <c r="M366" s="88"/>
      <c r="N366" s="88"/>
      <c r="O366" s="88"/>
      <c r="P366" s="88"/>
      <c r="Q366" s="88"/>
      <c r="R366" s="78">
        <f>MAX(S366:W366)</f>
        <v>1</v>
      </c>
      <c r="S366" s="88"/>
      <c r="T366" s="88"/>
      <c r="U366" s="88">
        <v>1</v>
      </c>
      <c r="V366" s="88"/>
      <c r="W366" s="88"/>
    </row>
    <row r="367" spans="2:23" s="0" customFormat="0" ht="15">
      <c r="B367" s="87" t="s">
        <v>1</v>
      </c>
      <c r="C367" s="88" t="s">
        <v>5259</v>
      </c>
      <c r="D367" s="88" t="s">
        <v>3472</v>
      </c>
      <c r="E367" s="88" t="s">
        <v>61</v>
      </c>
      <c r="F367" s="88">
        <v>0</v>
      </c>
      <c r="G367" s="78">
        <f>MAX(H367,I367,J367)</f>
        <v>0</v>
      </c>
      <c r="H367" s="88"/>
      <c r="I367" s="88"/>
      <c r="J367" s="78">
        <f>MAX(K367:Q367)</f>
        <v>0</v>
      </c>
      <c r="K367" s="88"/>
      <c r="L367" s="88"/>
      <c r="M367" s="88"/>
      <c r="N367" s="88"/>
      <c r="O367" s="88"/>
      <c r="P367" s="88"/>
      <c r="Q367" s="88"/>
      <c r="R367" s="78">
        <f>MAX(S367:W367)</f>
        <v>1</v>
      </c>
      <c r="S367" s="88"/>
      <c r="T367" s="88"/>
      <c r="U367" s="88">
        <v>1</v>
      </c>
      <c r="V367" s="88"/>
      <c r="W367" s="88"/>
    </row>
    <row r="368" spans="2:23" s="0" customFormat="0" ht="15">
      <c r="B368" s="87" t="s">
        <v>1</v>
      </c>
      <c r="C368" s="88" t="s">
        <v>5259</v>
      </c>
      <c r="D368" s="88" t="s">
        <v>455</v>
      </c>
      <c r="E368" s="88" t="s">
        <v>61</v>
      </c>
      <c r="F368" s="88">
        <v>0</v>
      </c>
      <c r="G368" s="78">
        <f>MAX(H368,I368,J368)</f>
        <v>1</v>
      </c>
      <c r="H368" s="88"/>
      <c r="I368" s="88"/>
      <c r="J368" s="78">
        <f>MAX(K368:Q368)</f>
        <v>1</v>
      </c>
      <c r="K368" s="88">
        <v>1</v>
      </c>
      <c r="L368" s="88"/>
      <c r="M368" s="88"/>
      <c r="N368" s="88"/>
      <c r="O368" s="88"/>
      <c r="P368" s="88"/>
      <c r="Q368" s="88"/>
      <c r="R368" s="78">
        <f>MAX(S368:W368)</f>
        <v>0</v>
      </c>
      <c r="S368" s="88"/>
      <c r="T368" s="88"/>
      <c r="U368" s="88"/>
      <c r="V368" s="88"/>
      <c r="W368" s="88"/>
    </row>
    <row r="369" spans="2:23" s="0" customFormat="0" ht="15">
      <c r="B369" s="87" t="s">
        <v>1</v>
      </c>
      <c r="C369" s="88" t="s">
        <v>5259</v>
      </c>
      <c r="D369" s="88" t="s">
        <v>3474</v>
      </c>
      <c r="E369" s="88" t="s">
        <v>61</v>
      </c>
      <c r="F369" s="88">
        <v>0</v>
      </c>
      <c r="G369" s="78">
        <f>MAX(H369,I369,J369)</f>
        <v>0</v>
      </c>
      <c r="H369" s="88"/>
      <c r="I369" s="88"/>
      <c r="J369" s="78">
        <f>MAX(K369:Q369)</f>
        <v>0</v>
      </c>
      <c r="K369" s="88"/>
      <c r="L369" s="88"/>
      <c r="M369" s="88"/>
      <c r="N369" s="88"/>
      <c r="O369" s="88"/>
      <c r="P369" s="88"/>
      <c r="Q369" s="88"/>
      <c r="R369" s="78">
        <f>MAX(S369:W369)</f>
        <v>1</v>
      </c>
      <c r="S369" s="88"/>
      <c r="T369" s="88"/>
      <c r="U369" s="88">
        <v>1</v>
      </c>
      <c r="V369" s="88"/>
      <c r="W369" s="88"/>
    </row>
    <row r="370" spans="2:23" s="0" customFormat="0" ht="15">
      <c r="B370" s="87" t="s">
        <v>1</v>
      </c>
      <c r="C370" s="88" t="s">
        <v>5259</v>
      </c>
      <c r="D370" s="88" t="s">
        <v>3476</v>
      </c>
      <c r="E370" s="88" t="s">
        <v>61</v>
      </c>
      <c r="F370" s="88">
        <v>0</v>
      </c>
      <c r="G370" s="78">
        <f>MAX(H370,I370,J370)</f>
        <v>0</v>
      </c>
      <c r="H370" s="88"/>
      <c r="I370" s="88"/>
      <c r="J370" s="78">
        <f>MAX(K370:Q370)</f>
        <v>0</v>
      </c>
      <c r="K370" s="88"/>
      <c r="L370" s="88"/>
      <c r="M370" s="88"/>
      <c r="N370" s="88"/>
      <c r="O370" s="88"/>
      <c r="P370" s="88"/>
      <c r="Q370" s="88"/>
      <c r="R370" s="78">
        <f>MAX(S370:W370)</f>
        <v>1</v>
      </c>
      <c r="S370" s="88"/>
      <c r="T370" s="88"/>
      <c r="U370" s="88">
        <v>1</v>
      </c>
      <c r="V370" s="88"/>
      <c r="W370" s="88"/>
    </row>
    <row r="371" spans="2:23" s="0" customFormat="0" ht="15">
      <c r="B371" s="87" t="s">
        <v>1</v>
      </c>
      <c r="C371" s="88" t="s">
        <v>5259</v>
      </c>
      <c r="D371" s="88">
        <v>22554254</v>
      </c>
      <c r="E371" s="88" t="s">
        <v>61</v>
      </c>
      <c r="F371" s="88">
        <v>0</v>
      </c>
      <c r="G371" s="78">
        <f>MAX(H371,I371,J371)</f>
        <v>0</v>
      </c>
      <c r="H371" s="88"/>
      <c r="I371" s="88"/>
      <c r="J371" s="78">
        <f>MAX(K371:Q371)</f>
        <v>0</v>
      </c>
      <c r="K371" s="88"/>
      <c r="L371" s="88"/>
      <c r="M371" s="88"/>
      <c r="N371" s="88"/>
      <c r="O371" s="88"/>
      <c r="P371" s="88"/>
      <c r="Q371" s="88"/>
      <c r="R371" s="78">
        <f>MAX(S371:W371)</f>
        <v>1</v>
      </c>
      <c r="S371" s="88"/>
      <c r="T371" s="88"/>
      <c r="U371" s="88">
        <v>1</v>
      </c>
      <c r="V371" s="88"/>
      <c r="W371" s="88"/>
    </row>
    <row r="372" spans="2:23" s="0" customFormat="0" ht="15">
      <c r="B372" s="87" t="s">
        <v>1</v>
      </c>
      <c r="C372" s="88" t="s">
        <v>5259</v>
      </c>
      <c r="D372" s="88" t="s">
        <v>3479</v>
      </c>
      <c r="E372" s="88" t="s">
        <v>61</v>
      </c>
      <c r="F372" s="88">
        <v>0</v>
      </c>
      <c r="G372" s="78">
        <f>MAX(H372,I372,J372)</f>
        <v>0</v>
      </c>
      <c r="H372" s="88"/>
      <c r="I372" s="88"/>
      <c r="J372" s="78">
        <f>MAX(K372:Q372)</f>
        <v>0</v>
      </c>
      <c r="K372" s="88"/>
      <c r="L372" s="88"/>
      <c r="M372" s="88"/>
      <c r="N372" s="88"/>
      <c r="O372" s="88"/>
      <c r="P372" s="88"/>
      <c r="Q372" s="88"/>
      <c r="R372" s="78">
        <f>MAX(S372:W372)</f>
        <v>1</v>
      </c>
      <c r="S372" s="88"/>
      <c r="T372" s="88"/>
      <c r="U372" s="88">
        <v>1</v>
      </c>
      <c r="V372" s="88"/>
      <c r="W372" s="88"/>
    </row>
    <row r="373" spans="2:23" s="0" customFormat="0" ht="15">
      <c r="B373" s="87" t="s">
        <v>1</v>
      </c>
      <c r="C373" s="88" t="s">
        <v>5259</v>
      </c>
      <c r="D373" s="88" t="s">
        <v>3481</v>
      </c>
      <c r="E373" s="88" t="s">
        <v>61</v>
      </c>
      <c r="F373" s="88">
        <v>0</v>
      </c>
      <c r="G373" s="78">
        <f>MAX(H373,I373,J373)</f>
        <v>0</v>
      </c>
      <c r="H373" s="88"/>
      <c r="I373" s="88"/>
      <c r="J373" s="78">
        <f>MAX(K373:Q373)</f>
        <v>0</v>
      </c>
      <c r="K373" s="88"/>
      <c r="L373" s="88"/>
      <c r="M373" s="88"/>
      <c r="N373" s="88"/>
      <c r="O373" s="88"/>
      <c r="P373" s="88"/>
      <c r="Q373" s="88"/>
      <c r="R373" s="78">
        <f>MAX(S373:W373)</f>
        <v>1</v>
      </c>
      <c r="S373" s="88"/>
      <c r="T373" s="88"/>
      <c r="U373" s="88">
        <v>1</v>
      </c>
      <c r="V373" s="88"/>
      <c r="W373" s="88"/>
    </row>
    <row r="374" spans="2:23" s="0" customFormat="0" ht="15">
      <c r="B374" s="87" t="s">
        <v>1</v>
      </c>
      <c r="C374" s="88" t="s">
        <v>5259</v>
      </c>
      <c r="D374" s="88">
        <v>23673151</v>
      </c>
      <c r="E374" s="88" t="s">
        <v>61</v>
      </c>
      <c r="F374" s="88">
        <v>0</v>
      </c>
      <c r="G374" s="78">
        <f>MAX(H374,I374,J374)</f>
        <v>1</v>
      </c>
      <c r="H374" s="88"/>
      <c r="I374" s="88"/>
      <c r="J374" s="78">
        <f>MAX(K374:Q374)</f>
        <v>1</v>
      </c>
      <c r="K374" s="88"/>
      <c r="L374" s="88"/>
      <c r="M374" s="88"/>
      <c r="N374" s="88"/>
      <c r="O374" s="88">
        <v>1</v>
      </c>
      <c r="P374" s="88"/>
      <c r="Q374" s="88"/>
      <c r="R374" s="78">
        <f>MAX(S374:W374)</f>
        <v>0</v>
      </c>
      <c r="S374" s="88"/>
      <c r="T374" s="88"/>
      <c r="U374" s="88"/>
      <c r="V374" s="88"/>
      <c r="W374" s="88"/>
    </row>
    <row r="375" spans="2:23" s="0" customFormat="0" ht="15">
      <c r="B375" s="87" t="s">
        <v>1</v>
      </c>
      <c r="C375" s="88" t="s">
        <v>5259</v>
      </c>
      <c r="D375" s="88" t="s">
        <v>3483</v>
      </c>
      <c r="E375" s="88" t="s">
        <v>61</v>
      </c>
      <c r="F375" s="88">
        <v>0</v>
      </c>
      <c r="G375" s="78">
        <f>MAX(H375,I375,J375)</f>
        <v>0</v>
      </c>
      <c r="H375" s="88"/>
      <c r="I375" s="88"/>
      <c r="J375" s="78">
        <f>MAX(K375:Q375)</f>
        <v>0</v>
      </c>
      <c r="K375" s="88"/>
      <c r="L375" s="88"/>
      <c r="M375" s="88"/>
      <c r="N375" s="88"/>
      <c r="O375" s="88"/>
      <c r="P375" s="88"/>
      <c r="Q375" s="88"/>
      <c r="R375" s="78">
        <f>MAX(S375:W375)</f>
        <v>1</v>
      </c>
      <c r="S375" s="88"/>
      <c r="T375" s="88"/>
      <c r="U375" s="88">
        <v>1</v>
      </c>
      <c r="V375" s="88"/>
      <c r="W375" s="88"/>
    </row>
    <row r="376" spans="2:23" s="0" customFormat="0" ht="15">
      <c r="B376" s="87" t="s">
        <v>1</v>
      </c>
      <c r="C376" s="88" t="s">
        <v>5259</v>
      </c>
      <c r="D376" s="88">
        <v>22623646</v>
      </c>
      <c r="E376" s="88" t="s">
        <v>61</v>
      </c>
      <c r="F376" s="88">
        <v>0</v>
      </c>
      <c r="G376" s="78">
        <f>MAX(H376,I376,J376)</f>
        <v>0</v>
      </c>
      <c r="H376" s="88"/>
      <c r="I376" s="88"/>
      <c r="J376" s="78">
        <f>MAX(K376:Q376)</f>
        <v>0</v>
      </c>
      <c r="K376" s="88"/>
      <c r="L376" s="88"/>
      <c r="M376" s="88"/>
      <c r="N376" s="88"/>
      <c r="O376" s="88"/>
      <c r="P376" s="88"/>
      <c r="Q376" s="88"/>
      <c r="R376" s="78">
        <f>MAX(S376:W376)</f>
        <v>1</v>
      </c>
      <c r="S376" s="88"/>
      <c r="T376" s="88"/>
      <c r="U376" s="88">
        <v>1</v>
      </c>
      <c r="V376" s="88"/>
      <c r="W376" s="88"/>
    </row>
    <row r="377" spans="2:23" s="0" customFormat="0" ht="15">
      <c r="B377" s="87" t="s">
        <v>1</v>
      </c>
      <c r="C377" s="88" t="s">
        <v>5259</v>
      </c>
      <c r="D377" s="88" t="s">
        <v>457</v>
      </c>
      <c r="E377" s="88" t="s">
        <v>61</v>
      </c>
      <c r="F377" s="88">
        <v>0</v>
      </c>
      <c r="G377" s="78">
        <f>MAX(H377,I377,J377)</f>
        <v>1</v>
      </c>
      <c r="H377" s="88"/>
      <c r="I377" s="88"/>
      <c r="J377" s="78">
        <f>MAX(K377:Q377)</f>
        <v>1</v>
      </c>
      <c r="K377" s="88">
        <v>1</v>
      </c>
      <c r="L377" s="88"/>
      <c r="M377" s="88"/>
      <c r="N377" s="88"/>
      <c r="O377" s="88"/>
      <c r="P377" s="88"/>
      <c r="Q377" s="88"/>
      <c r="R377" s="78">
        <f>MAX(S377:W377)</f>
        <v>0</v>
      </c>
      <c r="S377" s="88"/>
      <c r="T377" s="88"/>
      <c r="U377" s="88"/>
      <c r="V377" s="88"/>
      <c r="W377" s="88"/>
    </row>
    <row r="378" spans="2:23" s="0" customFormat="0" ht="15">
      <c r="B378" s="87" t="s">
        <v>1</v>
      </c>
      <c r="C378" s="88" t="s">
        <v>5259</v>
      </c>
      <c r="D378" s="88">
        <v>15118994</v>
      </c>
      <c r="E378" s="88" t="s">
        <v>61</v>
      </c>
      <c r="F378" s="88">
        <v>0</v>
      </c>
      <c r="G378" s="78">
        <f>MAX(H378,I378,J378)</f>
        <v>1</v>
      </c>
      <c r="H378" s="88"/>
      <c r="I378" s="88"/>
      <c r="J378" s="78">
        <f>MAX(K378:Q378)</f>
        <v>1</v>
      </c>
      <c r="K378" s="88">
        <v>1</v>
      </c>
      <c r="L378" s="88"/>
      <c r="M378" s="88"/>
      <c r="N378" s="88"/>
      <c r="O378" s="88"/>
      <c r="P378" s="88"/>
      <c r="Q378" s="88"/>
      <c r="R378" s="78">
        <f>MAX(S378:W378)</f>
        <v>0</v>
      </c>
      <c r="S378" s="88"/>
      <c r="T378" s="88"/>
      <c r="U378" s="88"/>
      <c r="V378" s="88"/>
      <c r="W378" s="88"/>
    </row>
    <row r="379" spans="2:23" s="0" customFormat="0" ht="15">
      <c r="B379" s="87" t="s">
        <v>1</v>
      </c>
      <c r="C379" s="88" t="s">
        <v>5259</v>
      </c>
      <c r="D379" s="88">
        <v>22554205</v>
      </c>
      <c r="E379" s="88" t="s">
        <v>61</v>
      </c>
      <c r="F379" s="88">
        <v>0</v>
      </c>
      <c r="G379" s="78">
        <f>MAX(H379,I379,J379)</f>
        <v>0</v>
      </c>
      <c r="H379" s="88"/>
      <c r="I379" s="88"/>
      <c r="J379" s="78">
        <f>MAX(K379:Q379)</f>
        <v>0</v>
      </c>
      <c r="K379" s="88"/>
      <c r="L379" s="88"/>
      <c r="M379" s="88"/>
      <c r="N379" s="88"/>
      <c r="O379" s="88"/>
      <c r="P379" s="88"/>
      <c r="Q379" s="88"/>
      <c r="R379" s="78">
        <f>MAX(S379:W379)</f>
        <v>1</v>
      </c>
      <c r="S379" s="88"/>
      <c r="T379" s="88"/>
      <c r="U379" s="88">
        <v>1</v>
      </c>
      <c r="V379" s="88"/>
      <c r="W379" s="88"/>
    </row>
    <row r="380" spans="2:23" s="0" customFormat="0" ht="15">
      <c r="B380" s="87" t="s">
        <v>1</v>
      </c>
      <c r="C380" s="88" t="s">
        <v>5259</v>
      </c>
      <c r="D380" s="88" t="s">
        <v>460</v>
      </c>
      <c r="E380" s="88" t="s">
        <v>61</v>
      </c>
      <c r="F380" s="88">
        <v>0</v>
      </c>
      <c r="G380" s="78">
        <f>MAX(H380,I380,J380)</f>
        <v>1</v>
      </c>
      <c r="H380" s="88"/>
      <c r="I380" s="88"/>
      <c r="J380" s="78">
        <f>MAX(K380:Q380)</f>
        <v>1</v>
      </c>
      <c r="K380" s="88">
        <v>1</v>
      </c>
      <c r="L380" s="88"/>
      <c r="M380" s="88"/>
      <c r="N380" s="88"/>
      <c r="O380" s="88"/>
      <c r="P380" s="88"/>
      <c r="Q380" s="88"/>
      <c r="R380" s="78">
        <f>MAX(S380:W380)</f>
        <v>0</v>
      </c>
      <c r="S380" s="88"/>
      <c r="T380" s="88"/>
      <c r="U380" s="88"/>
      <c r="V380" s="88"/>
      <c r="W380" s="88"/>
    </row>
    <row r="381" spans="2:23" s="0" customFormat="0" ht="15">
      <c r="B381" s="87" t="s">
        <v>1</v>
      </c>
      <c r="C381" s="88" t="s">
        <v>5259</v>
      </c>
      <c r="D381" s="88">
        <v>22623692</v>
      </c>
      <c r="E381" s="88" t="s">
        <v>61</v>
      </c>
      <c r="F381" s="88">
        <v>0</v>
      </c>
      <c r="G381" s="78">
        <f>MAX(H381,I381,J381)</f>
        <v>0</v>
      </c>
      <c r="H381" s="88"/>
      <c r="I381" s="88"/>
      <c r="J381" s="78">
        <f>MAX(K381:Q381)</f>
        <v>0</v>
      </c>
      <c r="K381" s="88"/>
      <c r="L381" s="88"/>
      <c r="M381" s="88"/>
      <c r="N381" s="88"/>
      <c r="O381" s="88"/>
      <c r="P381" s="88"/>
      <c r="Q381" s="88"/>
      <c r="R381" s="78">
        <f>MAX(S381:W381)</f>
        <v>1</v>
      </c>
      <c r="S381" s="88"/>
      <c r="T381" s="88"/>
      <c r="U381" s="88">
        <v>1</v>
      </c>
      <c r="V381" s="88"/>
      <c r="W381" s="88"/>
    </row>
    <row r="382" spans="2:23" s="0" customFormat="0" ht="15">
      <c r="B382" s="87" t="s">
        <v>1</v>
      </c>
      <c r="C382" s="88" t="s">
        <v>5259</v>
      </c>
      <c r="D382" s="88">
        <v>19567720</v>
      </c>
      <c r="E382" s="88" t="s">
        <v>61</v>
      </c>
      <c r="F382" s="88">
        <v>0</v>
      </c>
      <c r="G382" s="78">
        <f>MAX(H382,I382,J382)</f>
        <v>1</v>
      </c>
      <c r="H382" s="88"/>
      <c r="I382" s="88"/>
      <c r="J382" s="78">
        <f>MAX(K382:Q382)</f>
        <v>1</v>
      </c>
      <c r="K382" s="88">
        <v>1</v>
      </c>
      <c r="L382" s="88"/>
      <c r="M382" s="88"/>
      <c r="N382" s="88"/>
      <c r="O382" s="88"/>
      <c r="P382" s="88"/>
      <c r="Q382" s="88"/>
      <c r="R382" s="78">
        <f>MAX(S382:W382)</f>
        <v>0</v>
      </c>
      <c r="S382" s="88"/>
      <c r="T382" s="88"/>
      <c r="U382" s="88"/>
      <c r="V382" s="88"/>
      <c r="W382" s="88"/>
    </row>
    <row r="383" spans="2:23" s="0" customFormat="0" ht="15">
      <c r="B383" s="87" t="s">
        <v>1</v>
      </c>
      <c r="C383" s="88" t="s">
        <v>5259</v>
      </c>
      <c r="D383" s="88" t="s">
        <v>463</v>
      </c>
      <c r="E383" s="88" t="s">
        <v>61</v>
      </c>
      <c r="F383" s="88">
        <v>0</v>
      </c>
      <c r="G383" s="78">
        <f>MAX(H383,I383,J383)</f>
        <v>1</v>
      </c>
      <c r="H383" s="88"/>
      <c r="I383" s="88"/>
      <c r="J383" s="78">
        <f>MAX(K383:Q383)</f>
        <v>1</v>
      </c>
      <c r="K383" s="88">
        <v>1</v>
      </c>
      <c r="L383" s="88"/>
      <c r="M383" s="88"/>
      <c r="N383" s="88"/>
      <c r="O383" s="88"/>
      <c r="P383" s="88"/>
      <c r="Q383" s="88"/>
      <c r="R383" s="78">
        <f>MAX(S383:W383)</f>
        <v>0</v>
      </c>
      <c r="S383" s="88"/>
      <c r="T383" s="88"/>
      <c r="U383" s="88"/>
      <c r="V383" s="88"/>
      <c r="W383" s="88"/>
    </row>
    <row r="384" spans="2:23" s="0" customFormat="0" ht="15">
      <c r="B384" s="87" t="s">
        <v>1</v>
      </c>
      <c r="C384" s="88" t="s">
        <v>5259</v>
      </c>
      <c r="D384" s="88">
        <v>22554533</v>
      </c>
      <c r="E384" s="88" t="s">
        <v>61</v>
      </c>
      <c r="F384" s="88">
        <v>0</v>
      </c>
      <c r="G384" s="78">
        <f>MAX(H384,I384,J384)</f>
        <v>0</v>
      </c>
      <c r="H384" s="88"/>
      <c r="I384" s="88"/>
      <c r="J384" s="78">
        <f>MAX(K384:Q384)</f>
        <v>0</v>
      </c>
      <c r="K384" s="88"/>
      <c r="L384" s="88"/>
      <c r="M384" s="88"/>
      <c r="N384" s="88"/>
      <c r="O384" s="88"/>
      <c r="P384" s="88"/>
      <c r="Q384" s="88"/>
      <c r="R384" s="78">
        <f>MAX(S384:W384)</f>
        <v>1</v>
      </c>
      <c r="S384" s="88"/>
      <c r="T384" s="88"/>
      <c r="U384" s="88">
        <v>1</v>
      </c>
      <c r="V384" s="88"/>
      <c r="W384" s="88"/>
    </row>
    <row r="385" spans="2:23" s="0" customFormat="0" ht="15">
      <c r="B385" s="87" t="s">
        <v>1</v>
      </c>
      <c r="C385" s="88" t="s">
        <v>5259</v>
      </c>
      <c r="D385" s="88">
        <v>12445544</v>
      </c>
      <c r="E385" s="88" t="s">
        <v>61</v>
      </c>
      <c r="F385" s="88">
        <v>0</v>
      </c>
      <c r="G385" s="78">
        <f>MAX(H385,I385,J385)</f>
        <v>1</v>
      </c>
      <c r="H385" s="88"/>
      <c r="I385" s="88"/>
      <c r="J385" s="78">
        <f>MAX(K385:Q385)</f>
        <v>1</v>
      </c>
      <c r="K385" s="88">
        <v>1</v>
      </c>
      <c r="L385" s="88"/>
      <c r="M385" s="88"/>
      <c r="N385" s="88"/>
      <c r="O385" s="88"/>
      <c r="P385" s="88"/>
      <c r="Q385" s="88"/>
      <c r="R385" s="78">
        <f>MAX(S385:W385)</f>
        <v>0</v>
      </c>
      <c r="S385" s="88"/>
      <c r="T385" s="88"/>
      <c r="U385" s="88"/>
      <c r="V385" s="88"/>
      <c r="W385" s="88"/>
    </row>
    <row r="386" spans="2:23" s="0" customFormat="0" ht="15">
      <c r="B386" s="87" t="s">
        <v>1</v>
      </c>
      <c r="C386" s="88" t="s">
        <v>5259</v>
      </c>
      <c r="D386" s="88">
        <v>7065940</v>
      </c>
      <c r="E386" s="88" t="s">
        <v>61</v>
      </c>
      <c r="F386" s="88">
        <v>0</v>
      </c>
      <c r="G386" s="78">
        <f>MAX(H386,I386,J386)</f>
        <v>0</v>
      </c>
      <c r="H386" s="88"/>
      <c r="I386" s="88"/>
      <c r="J386" s="78">
        <f>MAX(K386:Q386)</f>
        <v>0</v>
      </c>
      <c r="K386" s="88"/>
      <c r="L386" s="88"/>
      <c r="M386" s="88"/>
      <c r="N386" s="88"/>
      <c r="O386" s="88"/>
      <c r="P386" s="88"/>
      <c r="Q386" s="88"/>
      <c r="R386" s="78">
        <f>MAX(S386:W386)</f>
        <v>1</v>
      </c>
      <c r="S386" s="88"/>
      <c r="T386" s="88"/>
      <c r="U386" s="88">
        <v>1</v>
      </c>
      <c r="V386" s="88"/>
      <c r="W386" s="88"/>
    </row>
    <row r="387" spans="2:23" s="0" customFormat="0" ht="15">
      <c r="B387" s="87" t="s">
        <v>1</v>
      </c>
      <c r="C387" s="88" t="s">
        <v>5259</v>
      </c>
      <c r="D387" s="88" t="s">
        <v>466</v>
      </c>
      <c r="E387" s="88" t="s">
        <v>61</v>
      </c>
      <c r="F387" s="88">
        <v>0</v>
      </c>
      <c r="G387" s="78">
        <f>MAX(H387,I387,J387)</f>
        <v>1</v>
      </c>
      <c r="H387" s="88"/>
      <c r="I387" s="88"/>
      <c r="J387" s="78">
        <f>MAX(K387:Q387)</f>
        <v>1</v>
      </c>
      <c r="K387" s="88">
        <v>1</v>
      </c>
      <c r="L387" s="88"/>
      <c r="M387" s="88"/>
      <c r="N387" s="88"/>
      <c r="O387" s="88"/>
      <c r="P387" s="88"/>
      <c r="Q387" s="88"/>
      <c r="R387" s="78">
        <f>MAX(S387:W387)</f>
        <v>0</v>
      </c>
      <c r="S387" s="88"/>
      <c r="T387" s="88"/>
      <c r="U387" s="88"/>
      <c r="V387" s="88"/>
      <c r="W387" s="88"/>
    </row>
    <row r="388" spans="2:23" s="0" customFormat="0" ht="15">
      <c r="B388" s="87" t="s">
        <v>1</v>
      </c>
      <c r="C388" s="88" t="s">
        <v>5259</v>
      </c>
      <c r="D388" s="88" t="s">
        <v>468</v>
      </c>
      <c r="E388" s="88" t="s">
        <v>61</v>
      </c>
      <c r="F388" s="88">
        <v>0</v>
      </c>
      <c r="G388" s="78">
        <f>MAX(H388,I388,J388)</f>
        <v>1</v>
      </c>
      <c r="H388" s="88"/>
      <c r="I388" s="88"/>
      <c r="J388" s="78">
        <f>MAX(K388:Q388)</f>
        <v>1</v>
      </c>
      <c r="K388" s="88">
        <v>1</v>
      </c>
      <c r="L388" s="88"/>
      <c r="M388" s="88"/>
      <c r="N388" s="88"/>
      <c r="O388" s="88"/>
      <c r="P388" s="88"/>
      <c r="Q388" s="88"/>
      <c r="R388" s="78">
        <f>MAX(S388:W388)</f>
        <v>0</v>
      </c>
      <c r="S388" s="88"/>
      <c r="T388" s="88"/>
      <c r="U388" s="88"/>
      <c r="V388" s="88"/>
      <c r="W388" s="88"/>
    </row>
    <row r="389" spans="2:23" s="0" customFormat="0" ht="15">
      <c r="B389" s="87" t="s">
        <v>1</v>
      </c>
      <c r="C389" s="88" t="s">
        <v>5259</v>
      </c>
      <c r="D389" s="88">
        <v>19616285</v>
      </c>
      <c r="E389" s="88" t="s">
        <v>61</v>
      </c>
      <c r="F389" s="88">
        <v>0</v>
      </c>
      <c r="G389" s="78">
        <f>MAX(H389,I389,J389)</f>
        <v>1</v>
      </c>
      <c r="H389" s="88"/>
      <c r="I389" s="88"/>
      <c r="J389" s="78">
        <f>MAX(K389:Q389)</f>
        <v>1</v>
      </c>
      <c r="K389" s="88">
        <v>1</v>
      </c>
      <c r="L389" s="88"/>
      <c r="M389" s="88"/>
      <c r="N389" s="88"/>
      <c r="O389" s="88"/>
      <c r="P389" s="88"/>
      <c r="Q389" s="88"/>
      <c r="R389" s="78">
        <f>MAX(S389:W389)</f>
        <v>0</v>
      </c>
      <c r="S389" s="88"/>
      <c r="T389" s="88"/>
      <c r="U389" s="88"/>
      <c r="V389" s="88"/>
      <c r="W389" s="88"/>
    </row>
    <row r="390" spans="2:23" s="0" customFormat="0" ht="15">
      <c r="B390" s="87" t="s">
        <v>1</v>
      </c>
      <c r="C390" s="88" t="s">
        <v>5259</v>
      </c>
      <c r="D390" s="88">
        <v>21150131</v>
      </c>
      <c r="E390" s="88" t="s">
        <v>61</v>
      </c>
      <c r="F390" s="88">
        <v>0</v>
      </c>
      <c r="G390" s="78">
        <f>MAX(H390,I390,J390)</f>
        <v>1</v>
      </c>
      <c r="H390" s="88"/>
      <c r="I390" s="88"/>
      <c r="J390" s="78">
        <f>MAX(K390:Q390)</f>
        <v>1</v>
      </c>
      <c r="K390" s="88">
        <v>1</v>
      </c>
      <c r="L390" s="88"/>
      <c r="M390" s="88"/>
      <c r="N390" s="88"/>
      <c r="O390" s="88"/>
      <c r="P390" s="88"/>
      <c r="Q390" s="88"/>
      <c r="R390" s="78">
        <f>MAX(S390:W390)</f>
        <v>0</v>
      </c>
      <c r="S390" s="88"/>
      <c r="T390" s="88"/>
      <c r="U390" s="88"/>
      <c r="V390" s="88"/>
      <c r="W390" s="88"/>
    </row>
    <row r="391" spans="2:23" s="0" customFormat="0" ht="15">
      <c r="B391" s="87" t="s">
        <v>1</v>
      </c>
      <c r="C391" s="88" t="s">
        <v>5259</v>
      </c>
      <c r="D391" s="88">
        <v>21681682</v>
      </c>
      <c r="E391" s="88" t="s">
        <v>61</v>
      </c>
      <c r="F391" s="88">
        <v>0</v>
      </c>
      <c r="G391" s="78">
        <f>MAX(H391,I391,J391)</f>
        <v>1</v>
      </c>
      <c r="H391" s="88"/>
      <c r="I391" s="88"/>
      <c r="J391" s="78">
        <f>MAX(K391:Q391)</f>
        <v>1</v>
      </c>
      <c r="K391" s="88">
        <v>1</v>
      </c>
      <c r="L391" s="88"/>
      <c r="M391" s="88"/>
      <c r="N391" s="88"/>
      <c r="O391" s="88"/>
      <c r="P391" s="88"/>
      <c r="Q391" s="88"/>
      <c r="R391" s="78">
        <f>MAX(S391:W391)</f>
        <v>0</v>
      </c>
      <c r="S391" s="88"/>
      <c r="T391" s="88"/>
      <c r="U391" s="88"/>
      <c r="V391" s="88"/>
      <c r="W391" s="88"/>
    </row>
    <row r="392" spans="2:23" s="0" customFormat="0" ht="15">
      <c r="B392" s="87" t="s">
        <v>1</v>
      </c>
      <c r="C392" s="88" t="s">
        <v>5259</v>
      </c>
      <c r="D392" s="88">
        <v>22273778</v>
      </c>
      <c r="E392" s="88" t="s">
        <v>61</v>
      </c>
      <c r="F392" s="88">
        <v>0</v>
      </c>
      <c r="G392" s="78">
        <f>MAX(H392,I392,J392)</f>
        <v>1</v>
      </c>
      <c r="H392" s="88"/>
      <c r="I392" s="88"/>
      <c r="J392" s="78">
        <f>MAX(K392:Q392)</f>
        <v>1</v>
      </c>
      <c r="K392" s="88">
        <v>1</v>
      </c>
      <c r="L392" s="88"/>
      <c r="M392" s="88"/>
      <c r="N392" s="88"/>
      <c r="O392" s="88"/>
      <c r="P392" s="88"/>
      <c r="Q392" s="88"/>
      <c r="R392" s="78">
        <f>MAX(S392:W392)</f>
        <v>0</v>
      </c>
      <c r="S392" s="88"/>
      <c r="T392" s="88"/>
      <c r="U392" s="88"/>
      <c r="V392" s="88"/>
      <c r="W392" s="88"/>
    </row>
    <row r="393" spans="2:23" s="0" customFormat="0" ht="15">
      <c r="B393" s="87" t="s">
        <v>1</v>
      </c>
      <c r="C393" s="88" t="s">
        <v>5259</v>
      </c>
      <c r="D393" s="88">
        <v>10489625</v>
      </c>
      <c r="E393" s="88" t="s">
        <v>61</v>
      </c>
      <c r="F393" s="88">
        <v>0</v>
      </c>
      <c r="G393" s="78">
        <f>MAX(H393,I393,J393)</f>
        <v>1</v>
      </c>
      <c r="H393" s="88"/>
      <c r="I393" s="88"/>
      <c r="J393" s="78">
        <f>MAX(K393:Q393)</f>
        <v>1</v>
      </c>
      <c r="K393" s="88">
        <v>1</v>
      </c>
      <c r="L393" s="88"/>
      <c r="M393" s="88"/>
      <c r="N393" s="88"/>
      <c r="O393" s="88"/>
      <c r="P393" s="88"/>
      <c r="Q393" s="88"/>
      <c r="R393" s="78">
        <f>MAX(S393:W393)</f>
        <v>0</v>
      </c>
      <c r="S393" s="88"/>
      <c r="T393" s="88"/>
      <c r="U393" s="88"/>
      <c r="V393" s="88"/>
      <c r="W393" s="88"/>
    </row>
    <row r="394" spans="2:23" s="0" customFormat="0" ht="15">
      <c r="B394" s="87" t="s">
        <v>1</v>
      </c>
      <c r="C394" s="88" t="s">
        <v>5259</v>
      </c>
      <c r="D394" s="88">
        <v>7621870</v>
      </c>
      <c r="E394" s="88" t="s">
        <v>61</v>
      </c>
      <c r="F394" s="88">
        <v>0</v>
      </c>
      <c r="G394" s="78">
        <f>MAX(H394,I394,J394)</f>
        <v>1</v>
      </c>
      <c r="H394" s="88"/>
      <c r="I394" s="88"/>
      <c r="J394" s="78">
        <f>MAX(K394:Q394)</f>
        <v>1</v>
      </c>
      <c r="K394" s="88">
        <v>1</v>
      </c>
      <c r="L394" s="88"/>
      <c r="M394" s="88"/>
      <c r="N394" s="88"/>
      <c r="O394" s="88"/>
      <c r="P394" s="88"/>
      <c r="Q394" s="88"/>
      <c r="R394" s="78">
        <f>MAX(S394:W394)</f>
        <v>0</v>
      </c>
      <c r="S394" s="88"/>
      <c r="T394" s="88"/>
      <c r="U394" s="88"/>
      <c r="V394" s="88"/>
      <c r="W394" s="88"/>
    </row>
    <row r="395" spans="2:23" s="0" customFormat="0" ht="15">
      <c r="B395" s="87" t="s">
        <v>1</v>
      </c>
      <c r="C395" s="88" t="s">
        <v>5259</v>
      </c>
      <c r="D395" s="88" t="s">
        <v>476</v>
      </c>
      <c r="E395" s="88" t="s">
        <v>61</v>
      </c>
      <c r="F395" s="88">
        <v>0</v>
      </c>
      <c r="G395" s="78">
        <f>MAX(H395,I395,J395)</f>
        <v>1</v>
      </c>
      <c r="H395" s="88"/>
      <c r="I395" s="88"/>
      <c r="J395" s="78">
        <f>MAX(K395:Q395)</f>
        <v>1</v>
      </c>
      <c r="K395" s="88">
        <v>1</v>
      </c>
      <c r="L395" s="88"/>
      <c r="M395" s="88"/>
      <c r="N395" s="88"/>
      <c r="O395" s="88"/>
      <c r="P395" s="88"/>
      <c r="Q395" s="88"/>
      <c r="R395" s="78">
        <f>MAX(S395:W395)</f>
        <v>0</v>
      </c>
      <c r="S395" s="88"/>
      <c r="T395" s="88"/>
      <c r="U395" s="88"/>
      <c r="V395" s="88"/>
      <c r="W395" s="88"/>
    </row>
    <row r="396" spans="2:23" s="0" customFormat="0" ht="15">
      <c r="B396" s="87" t="s">
        <v>1</v>
      </c>
      <c r="C396" s="88" t="s">
        <v>5259</v>
      </c>
      <c r="D396" s="88" t="s">
        <v>3490</v>
      </c>
      <c r="E396" s="88" t="s">
        <v>61</v>
      </c>
      <c r="F396" s="88">
        <v>0</v>
      </c>
      <c r="G396" s="78">
        <f>MAX(H396,I396,J396)</f>
        <v>0</v>
      </c>
      <c r="H396" s="88"/>
      <c r="I396" s="88"/>
      <c r="J396" s="78">
        <f>MAX(K396:Q396)</f>
        <v>0</v>
      </c>
      <c r="K396" s="88"/>
      <c r="L396" s="88"/>
      <c r="M396" s="88"/>
      <c r="N396" s="88"/>
      <c r="O396" s="88"/>
      <c r="P396" s="88"/>
      <c r="Q396" s="88"/>
      <c r="R396" s="78">
        <f>MAX(S396:W396)</f>
        <v>1</v>
      </c>
      <c r="S396" s="88"/>
      <c r="T396" s="88"/>
      <c r="U396" s="88">
        <v>1</v>
      </c>
      <c r="V396" s="88"/>
      <c r="W396" s="88"/>
    </row>
    <row r="397" spans="2:23" s="0" customFormat="0" ht="15">
      <c r="B397" s="87" t="s">
        <v>1</v>
      </c>
      <c r="C397" s="88" t="s">
        <v>5259</v>
      </c>
      <c r="D397" s="88" t="s">
        <v>3492</v>
      </c>
      <c r="E397" s="88" t="s">
        <v>61</v>
      </c>
      <c r="F397" s="88">
        <v>0</v>
      </c>
      <c r="G397" s="78">
        <f>MAX(H397,I397,J397)</f>
        <v>0</v>
      </c>
      <c r="H397" s="88"/>
      <c r="I397" s="88"/>
      <c r="J397" s="78">
        <f>MAX(K397:Q397)</f>
        <v>0</v>
      </c>
      <c r="K397" s="88"/>
      <c r="L397" s="88"/>
      <c r="M397" s="88"/>
      <c r="N397" s="88"/>
      <c r="O397" s="88"/>
      <c r="P397" s="88"/>
      <c r="Q397" s="88"/>
      <c r="R397" s="78">
        <f>MAX(S397:W397)</f>
        <v>1</v>
      </c>
      <c r="S397" s="88"/>
      <c r="T397" s="88"/>
      <c r="U397" s="88">
        <v>1</v>
      </c>
      <c r="V397" s="88"/>
      <c r="W397" s="88"/>
    </row>
    <row r="398" spans="2:23" s="0" customFormat="0" ht="15">
      <c r="B398" s="87" t="s">
        <v>1</v>
      </c>
      <c r="C398" s="88" t="s">
        <v>5259</v>
      </c>
      <c r="D398" s="88">
        <v>18746159</v>
      </c>
      <c r="E398" s="88" t="s">
        <v>61</v>
      </c>
      <c r="F398" s="88">
        <v>0</v>
      </c>
      <c r="G398" s="78">
        <f>MAX(H398,I398,J398)</f>
        <v>0</v>
      </c>
      <c r="H398" s="88"/>
      <c r="I398" s="88"/>
      <c r="J398" s="78">
        <f>MAX(K398:Q398)</f>
        <v>0</v>
      </c>
      <c r="K398" s="88"/>
      <c r="L398" s="88"/>
      <c r="M398" s="88"/>
      <c r="N398" s="88"/>
      <c r="O398" s="88"/>
      <c r="P398" s="88"/>
      <c r="Q398" s="88"/>
      <c r="R398" s="78">
        <f>MAX(S398:W398)</f>
        <v>1</v>
      </c>
      <c r="S398" s="88"/>
      <c r="T398" s="88"/>
      <c r="U398" s="88">
        <v>1</v>
      </c>
      <c r="V398" s="88"/>
      <c r="W398" s="88"/>
    </row>
    <row r="399" spans="2:23" s="0" customFormat="0" ht="15">
      <c r="B399" s="87" t="s">
        <v>1</v>
      </c>
      <c r="C399" s="88" t="s">
        <v>5259</v>
      </c>
      <c r="D399" s="88" t="s">
        <v>3495</v>
      </c>
      <c r="E399" s="88" t="s">
        <v>61</v>
      </c>
      <c r="F399" s="88">
        <v>0</v>
      </c>
      <c r="G399" s="78">
        <f>MAX(H399,I399,J399)</f>
        <v>0</v>
      </c>
      <c r="H399" s="88"/>
      <c r="I399" s="88"/>
      <c r="J399" s="78">
        <f>MAX(K399:Q399)</f>
        <v>0</v>
      </c>
      <c r="K399" s="88"/>
      <c r="L399" s="88"/>
      <c r="M399" s="88"/>
      <c r="N399" s="88"/>
      <c r="O399" s="88"/>
      <c r="P399" s="88"/>
      <c r="Q399" s="88"/>
      <c r="R399" s="78">
        <f>MAX(S399:W399)</f>
        <v>1</v>
      </c>
      <c r="S399" s="88"/>
      <c r="T399" s="88"/>
      <c r="U399" s="88">
        <v>1</v>
      </c>
      <c r="V399" s="88"/>
      <c r="W399" s="88"/>
    </row>
    <row r="400" spans="2:23" s="0" customFormat="0" ht="15">
      <c r="B400" s="87" t="s">
        <v>1</v>
      </c>
      <c r="C400" s="88" t="s">
        <v>5259</v>
      </c>
      <c r="D400" s="88">
        <v>14559424</v>
      </c>
      <c r="E400" s="88" t="s">
        <v>61</v>
      </c>
      <c r="F400" s="88">
        <v>0</v>
      </c>
      <c r="G400" s="78">
        <f>MAX(H400,I400,J400)</f>
        <v>1</v>
      </c>
      <c r="H400" s="88"/>
      <c r="I400" s="88"/>
      <c r="J400" s="78">
        <f>MAX(K400:Q400)</f>
        <v>1</v>
      </c>
      <c r="K400" s="88">
        <v>1</v>
      </c>
      <c r="L400" s="88"/>
      <c r="M400" s="88"/>
      <c r="N400" s="88"/>
      <c r="O400" s="88"/>
      <c r="P400" s="88"/>
      <c r="Q400" s="88"/>
      <c r="R400" s="78">
        <f>MAX(S400:W400)</f>
        <v>0</v>
      </c>
      <c r="S400" s="88"/>
      <c r="T400" s="88"/>
      <c r="U400" s="88"/>
      <c r="V400" s="88"/>
      <c r="W400" s="88"/>
    </row>
    <row r="401" spans="2:23" s="0" customFormat="0" ht="15">
      <c r="B401" s="87" t="s">
        <v>1</v>
      </c>
      <c r="C401" s="88" t="s">
        <v>5259</v>
      </c>
      <c r="D401" s="88" t="s">
        <v>479</v>
      </c>
      <c r="E401" s="88" t="s">
        <v>61</v>
      </c>
      <c r="F401" s="88">
        <v>0</v>
      </c>
      <c r="G401" s="78">
        <f>MAX(H401,I401,J401)</f>
        <v>1</v>
      </c>
      <c r="H401" s="88"/>
      <c r="I401" s="88"/>
      <c r="J401" s="78">
        <f>MAX(K401:Q401)</f>
        <v>1</v>
      </c>
      <c r="K401" s="88">
        <v>1</v>
      </c>
      <c r="L401" s="88"/>
      <c r="M401" s="88"/>
      <c r="N401" s="88"/>
      <c r="O401" s="88"/>
      <c r="P401" s="88"/>
      <c r="Q401" s="88"/>
      <c r="R401" s="78">
        <f>MAX(S401:W401)</f>
        <v>0</v>
      </c>
      <c r="S401" s="88"/>
      <c r="T401" s="88"/>
      <c r="U401" s="88"/>
      <c r="V401" s="88"/>
      <c r="W401" s="88"/>
    </row>
    <row r="402" spans="2:23" s="0" customFormat="0" ht="15">
      <c r="B402" s="87" t="s">
        <v>1</v>
      </c>
      <c r="C402" s="88" t="s">
        <v>5259</v>
      </c>
      <c r="D402" s="88" t="s">
        <v>481</v>
      </c>
      <c r="E402" s="88" t="s">
        <v>61</v>
      </c>
      <c r="F402" s="88">
        <v>0</v>
      </c>
      <c r="G402" s="78">
        <f>MAX(H402,I402,J402)</f>
        <v>1</v>
      </c>
      <c r="H402" s="88"/>
      <c r="I402" s="88"/>
      <c r="J402" s="78">
        <f>MAX(K402:Q402)</f>
        <v>1</v>
      </c>
      <c r="K402" s="88">
        <v>1</v>
      </c>
      <c r="L402" s="88"/>
      <c r="M402" s="88"/>
      <c r="N402" s="88"/>
      <c r="O402" s="88"/>
      <c r="P402" s="88"/>
      <c r="Q402" s="88"/>
      <c r="R402" s="78">
        <f>MAX(S402:W402)</f>
        <v>0</v>
      </c>
      <c r="S402" s="88"/>
      <c r="T402" s="88"/>
      <c r="U402" s="88"/>
      <c r="V402" s="88"/>
      <c r="W402" s="88"/>
    </row>
    <row r="403" spans="2:23" s="0" customFormat="0" ht="15">
      <c r="B403" s="87" t="s">
        <v>1</v>
      </c>
      <c r="C403" s="88" t="s">
        <v>5259</v>
      </c>
      <c r="D403" s="88" t="s">
        <v>483</v>
      </c>
      <c r="E403" s="88" t="s">
        <v>61</v>
      </c>
      <c r="F403" s="88">
        <v>0</v>
      </c>
      <c r="G403" s="78">
        <f>MAX(H403,I403,J403)</f>
        <v>1</v>
      </c>
      <c r="H403" s="88"/>
      <c r="I403" s="88"/>
      <c r="J403" s="78">
        <f>MAX(K403:Q403)</f>
        <v>1</v>
      </c>
      <c r="K403" s="88">
        <v>1</v>
      </c>
      <c r="L403" s="88"/>
      <c r="M403" s="88"/>
      <c r="N403" s="88"/>
      <c r="O403" s="88"/>
      <c r="P403" s="88"/>
      <c r="Q403" s="88"/>
      <c r="R403" s="78">
        <f>MAX(S403:W403)</f>
        <v>0</v>
      </c>
      <c r="S403" s="88"/>
      <c r="T403" s="88"/>
      <c r="U403" s="88"/>
      <c r="V403" s="88"/>
      <c r="W403" s="88"/>
    </row>
    <row r="404" spans="2:23" s="0" customFormat="0" ht="15">
      <c r="B404" s="87" t="s">
        <v>1</v>
      </c>
      <c r="C404" s="88" t="s">
        <v>5259</v>
      </c>
      <c r="D404" s="88" t="s">
        <v>485</v>
      </c>
      <c r="E404" s="88" t="s">
        <v>61</v>
      </c>
      <c r="F404" s="88">
        <v>0</v>
      </c>
      <c r="G404" s="78">
        <f>MAX(H404,I404,J404)</f>
        <v>1</v>
      </c>
      <c r="H404" s="88"/>
      <c r="I404" s="88"/>
      <c r="J404" s="78">
        <f>MAX(K404:Q404)</f>
        <v>1</v>
      </c>
      <c r="K404" s="88">
        <v>1</v>
      </c>
      <c r="L404" s="88"/>
      <c r="M404" s="88"/>
      <c r="N404" s="88"/>
      <c r="O404" s="88"/>
      <c r="P404" s="88"/>
      <c r="Q404" s="88"/>
      <c r="R404" s="78">
        <f>MAX(S404:W404)</f>
        <v>0</v>
      </c>
      <c r="S404" s="88"/>
      <c r="T404" s="88"/>
      <c r="U404" s="88"/>
      <c r="V404" s="88"/>
      <c r="W404" s="88"/>
    </row>
    <row r="405" spans="2:23" s="0" customFormat="0" ht="15">
      <c r="B405" s="87" t="s">
        <v>1</v>
      </c>
      <c r="C405" s="88" t="s">
        <v>5259</v>
      </c>
      <c r="D405" s="88">
        <v>18025250</v>
      </c>
      <c r="E405" s="88" t="s">
        <v>61</v>
      </c>
      <c r="F405" s="88">
        <v>0</v>
      </c>
      <c r="G405" s="78">
        <f>MAX(H405,I405,J405)</f>
        <v>1</v>
      </c>
      <c r="H405" s="88"/>
      <c r="I405" s="88"/>
      <c r="J405" s="78">
        <f>MAX(K405:Q405)</f>
        <v>1</v>
      </c>
      <c r="K405" s="88">
        <v>1</v>
      </c>
      <c r="L405" s="88"/>
      <c r="M405" s="88"/>
      <c r="N405" s="88"/>
      <c r="O405" s="88"/>
      <c r="P405" s="88"/>
      <c r="Q405" s="88"/>
      <c r="R405" s="78">
        <f>MAX(S405:W405)</f>
        <v>0</v>
      </c>
      <c r="S405" s="88"/>
      <c r="T405" s="88"/>
      <c r="U405" s="88"/>
      <c r="V405" s="88"/>
      <c r="W405" s="88"/>
    </row>
    <row r="406" spans="2:23" s="0" customFormat="0" ht="15">
      <c r="B406" s="87" t="s">
        <v>1</v>
      </c>
      <c r="C406" s="88" t="s">
        <v>5259</v>
      </c>
      <c r="D406" s="88" t="s">
        <v>488</v>
      </c>
      <c r="E406" s="88" t="s">
        <v>61</v>
      </c>
      <c r="F406" s="88">
        <v>0</v>
      </c>
      <c r="G406" s="78">
        <f>MAX(H406,I406,J406)</f>
        <v>1</v>
      </c>
      <c r="H406" s="88"/>
      <c r="I406" s="88"/>
      <c r="J406" s="78">
        <f>MAX(K406:Q406)</f>
        <v>1</v>
      </c>
      <c r="K406" s="88">
        <v>1</v>
      </c>
      <c r="L406" s="88"/>
      <c r="M406" s="88"/>
      <c r="N406" s="88"/>
      <c r="O406" s="88"/>
      <c r="P406" s="88"/>
      <c r="Q406" s="88"/>
      <c r="R406" s="78">
        <f>MAX(S406:W406)</f>
        <v>0</v>
      </c>
      <c r="S406" s="88"/>
      <c r="T406" s="88"/>
      <c r="U406" s="88"/>
      <c r="V406" s="88"/>
      <c r="W406" s="88"/>
    </row>
    <row r="407" spans="2:23" s="0" customFormat="0" ht="15">
      <c r="B407" s="87" t="s">
        <v>1</v>
      </c>
      <c r="C407" s="88" t="s">
        <v>5259</v>
      </c>
      <c r="D407" s="88" t="s">
        <v>3497</v>
      </c>
      <c r="E407" s="88" t="s">
        <v>61</v>
      </c>
      <c r="F407" s="88">
        <v>0</v>
      </c>
      <c r="G407" s="78">
        <f>MAX(H407,I407,J407)</f>
        <v>0</v>
      </c>
      <c r="H407" s="88"/>
      <c r="I407" s="88"/>
      <c r="J407" s="78">
        <f>MAX(K407:Q407)</f>
        <v>0</v>
      </c>
      <c r="K407" s="88"/>
      <c r="L407" s="88"/>
      <c r="M407" s="88"/>
      <c r="N407" s="88"/>
      <c r="O407" s="88"/>
      <c r="P407" s="88"/>
      <c r="Q407" s="88"/>
      <c r="R407" s="78">
        <f>MAX(S407:W407)</f>
        <v>1</v>
      </c>
      <c r="S407" s="88"/>
      <c r="T407" s="88"/>
      <c r="U407" s="88">
        <v>1</v>
      </c>
      <c r="V407" s="88"/>
      <c r="W407" s="88"/>
    </row>
    <row r="408" spans="2:23" s="0" customFormat="0" ht="15">
      <c r="B408" s="87" t="s">
        <v>1</v>
      </c>
      <c r="C408" s="88" t="s">
        <v>5259</v>
      </c>
      <c r="D408" s="88">
        <v>22554176</v>
      </c>
      <c r="E408" s="88" t="s">
        <v>61</v>
      </c>
      <c r="F408" s="88">
        <v>0</v>
      </c>
      <c r="G408" s="78">
        <f>MAX(H408,I408,J408)</f>
        <v>0</v>
      </c>
      <c r="H408" s="88"/>
      <c r="I408" s="88"/>
      <c r="J408" s="78">
        <f>MAX(K408:Q408)</f>
        <v>0</v>
      </c>
      <c r="K408" s="88"/>
      <c r="L408" s="88"/>
      <c r="M408" s="88"/>
      <c r="N408" s="88"/>
      <c r="O408" s="88"/>
      <c r="P408" s="88"/>
      <c r="Q408" s="88"/>
      <c r="R408" s="78">
        <f>MAX(S408:W408)</f>
        <v>1</v>
      </c>
      <c r="S408" s="88"/>
      <c r="T408" s="88"/>
      <c r="U408" s="88">
        <v>1</v>
      </c>
      <c r="V408" s="88"/>
      <c r="W408" s="88"/>
    </row>
    <row r="409" spans="2:23" s="0" customFormat="0" ht="15">
      <c r="B409" s="87" t="s">
        <v>1</v>
      </c>
      <c r="C409" s="88" t="s">
        <v>5259</v>
      </c>
      <c r="D409" s="88">
        <v>12259980</v>
      </c>
      <c r="E409" s="88" t="s">
        <v>61</v>
      </c>
      <c r="F409" s="88">
        <v>0</v>
      </c>
      <c r="G409" s="78">
        <f>MAX(H409,I409,J409)</f>
        <v>1</v>
      </c>
      <c r="H409" s="88"/>
      <c r="I409" s="88"/>
      <c r="J409" s="78">
        <f>MAX(K409:Q409)</f>
        <v>1</v>
      </c>
      <c r="K409" s="88">
        <v>1</v>
      </c>
      <c r="L409" s="88"/>
      <c r="M409" s="88"/>
      <c r="N409" s="88"/>
      <c r="O409" s="88"/>
      <c r="P409" s="88"/>
      <c r="Q409" s="88"/>
      <c r="R409" s="78">
        <f>MAX(S409:W409)</f>
        <v>0</v>
      </c>
      <c r="S409" s="88"/>
      <c r="T409" s="88"/>
      <c r="U409" s="88"/>
      <c r="V409" s="88"/>
      <c r="W409" s="88"/>
    </row>
    <row r="410" spans="2:23" s="0" customFormat="0" ht="15">
      <c r="B410" s="87" t="s">
        <v>1</v>
      </c>
      <c r="C410" s="88" t="s">
        <v>5259</v>
      </c>
      <c r="D410" s="88">
        <v>20113240</v>
      </c>
      <c r="E410" s="88" t="s">
        <v>61</v>
      </c>
      <c r="F410" s="88">
        <v>0</v>
      </c>
      <c r="G410" s="78">
        <f>MAX(H410,I410,J410)</f>
        <v>0</v>
      </c>
      <c r="H410" s="88"/>
      <c r="I410" s="88"/>
      <c r="J410" s="78">
        <f>MAX(K410:Q410)</f>
        <v>0</v>
      </c>
      <c r="K410" s="88"/>
      <c r="L410" s="88"/>
      <c r="M410" s="88"/>
      <c r="N410" s="88"/>
      <c r="O410" s="88"/>
      <c r="P410" s="88"/>
      <c r="Q410" s="88"/>
      <c r="R410" s="78">
        <f>MAX(S410:W410)</f>
        <v>1</v>
      </c>
      <c r="S410" s="88"/>
      <c r="T410" s="88"/>
      <c r="U410" s="88">
        <v>1</v>
      </c>
      <c r="V410" s="88"/>
      <c r="W410" s="88"/>
    </row>
    <row r="411" spans="2:23" s="0" customFormat="0" ht="15">
      <c r="B411" s="87" t="s">
        <v>1</v>
      </c>
      <c r="C411" s="88" t="s">
        <v>5259</v>
      </c>
      <c r="D411" s="88">
        <v>23372702</v>
      </c>
      <c r="E411" s="88" t="s">
        <v>61</v>
      </c>
      <c r="F411" s="88">
        <v>0</v>
      </c>
      <c r="G411" s="78">
        <f>MAX(H411,I411,J411)</f>
        <v>1</v>
      </c>
      <c r="H411" s="88"/>
      <c r="I411" s="88"/>
      <c r="J411" s="78">
        <f>MAX(K411:Q411)</f>
        <v>1</v>
      </c>
      <c r="K411" s="88">
        <v>1</v>
      </c>
      <c r="L411" s="88"/>
      <c r="M411" s="88"/>
      <c r="N411" s="88"/>
      <c r="O411" s="88"/>
      <c r="P411" s="88"/>
      <c r="Q411" s="88"/>
      <c r="R411" s="78">
        <f>MAX(S411:W411)</f>
        <v>0</v>
      </c>
      <c r="S411" s="88"/>
      <c r="T411" s="88"/>
      <c r="U411" s="88"/>
      <c r="V411" s="88"/>
      <c r="W411" s="88"/>
    </row>
    <row r="412" spans="2:23" s="0" customFormat="0" ht="15">
      <c r="B412" s="87" t="s">
        <v>1</v>
      </c>
      <c r="C412" s="88" t="s">
        <v>5259</v>
      </c>
      <c r="D412" s="88">
        <v>13533865</v>
      </c>
      <c r="E412" s="88" t="s">
        <v>61</v>
      </c>
      <c r="F412" s="88">
        <v>0</v>
      </c>
      <c r="G412" s="78">
        <f>MAX(H412,I412,J412)</f>
        <v>1</v>
      </c>
      <c r="H412" s="88"/>
      <c r="I412" s="88"/>
      <c r="J412" s="78">
        <f>MAX(K412:Q412)</f>
        <v>1</v>
      </c>
      <c r="K412" s="88">
        <v>1</v>
      </c>
      <c r="L412" s="88"/>
      <c r="M412" s="88"/>
      <c r="N412" s="88"/>
      <c r="O412" s="88"/>
      <c r="P412" s="88"/>
      <c r="Q412" s="88"/>
      <c r="R412" s="78">
        <f>MAX(S412:W412)</f>
        <v>0</v>
      </c>
      <c r="S412" s="88"/>
      <c r="T412" s="88"/>
      <c r="U412" s="88"/>
      <c r="V412" s="88"/>
      <c r="W412" s="88"/>
    </row>
    <row r="413" spans="2:23" s="0" customFormat="0" ht="15">
      <c r="B413" s="87" t="s">
        <v>1</v>
      </c>
      <c r="C413" s="88" t="s">
        <v>5259</v>
      </c>
      <c r="D413" s="88" t="s">
        <v>3328</v>
      </c>
      <c r="E413" s="88" t="s">
        <v>61</v>
      </c>
      <c r="F413" s="88">
        <v>0</v>
      </c>
      <c r="G413" s="78">
        <f>MAX(H413,I413,J413)</f>
        <v>0</v>
      </c>
      <c r="H413" s="88"/>
      <c r="I413" s="88"/>
      <c r="J413" s="78">
        <f>MAX(K413:Q413)</f>
        <v>0</v>
      </c>
      <c r="K413" s="88"/>
      <c r="L413" s="88"/>
      <c r="M413" s="88"/>
      <c r="N413" s="88"/>
      <c r="O413" s="88"/>
      <c r="P413" s="88"/>
      <c r="Q413" s="88"/>
      <c r="R413" s="78">
        <f>MAX(S413:W413)</f>
        <v>1</v>
      </c>
      <c r="S413" s="88"/>
      <c r="T413" s="88"/>
      <c r="U413" s="88">
        <v>1</v>
      </c>
      <c r="V413" s="88"/>
      <c r="W413" s="88"/>
    </row>
    <row r="414" spans="2:23" s="0" customFormat="0" ht="15">
      <c r="B414" s="87" t="s">
        <v>1</v>
      </c>
      <c r="C414" s="88" t="s">
        <v>5259</v>
      </c>
      <c r="D414" s="88">
        <v>9513772</v>
      </c>
      <c r="E414" s="88" t="s">
        <v>61</v>
      </c>
      <c r="F414" s="88">
        <v>0</v>
      </c>
      <c r="G414" s="78">
        <f>MAX(H414,I414,J414)</f>
        <v>1</v>
      </c>
      <c r="H414" s="88"/>
      <c r="I414" s="88"/>
      <c r="J414" s="78">
        <f>MAX(K414:Q414)</f>
        <v>1</v>
      </c>
      <c r="K414" s="88">
        <v>1</v>
      </c>
      <c r="L414" s="88"/>
      <c r="M414" s="88"/>
      <c r="N414" s="88"/>
      <c r="O414" s="88"/>
      <c r="P414" s="88"/>
      <c r="Q414" s="88"/>
      <c r="R414" s="78">
        <f>MAX(S414:W414)</f>
        <v>0</v>
      </c>
      <c r="S414" s="88"/>
      <c r="T414" s="88"/>
      <c r="U414" s="88"/>
      <c r="V414" s="88"/>
      <c r="W414" s="88"/>
    </row>
    <row r="415" spans="2:23" s="0" customFormat="0" ht="15">
      <c r="B415" s="87" t="s">
        <v>1</v>
      </c>
      <c r="C415" s="88" t="s">
        <v>5259</v>
      </c>
      <c r="D415" s="88">
        <v>14559424</v>
      </c>
      <c r="E415" s="88" t="s">
        <v>61</v>
      </c>
      <c r="F415" s="88">
        <v>0</v>
      </c>
      <c r="G415" s="78">
        <f>MAX(H415,I415,J415)</f>
        <v>1</v>
      </c>
      <c r="H415" s="88"/>
      <c r="I415" s="88"/>
      <c r="J415" s="78">
        <f>MAX(K415:Q415)</f>
        <v>1</v>
      </c>
      <c r="K415" s="88">
        <v>1</v>
      </c>
      <c r="L415" s="88"/>
      <c r="M415" s="88"/>
      <c r="N415" s="88"/>
      <c r="O415" s="88"/>
      <c r="P415" s="88"/>
      <c r="Q415" s="88"/>
      <c r="R415" s="78">
        <f>MAX(S415:W415)</f>
        <v>0</v>
      </c>
      <c r="S415" s="88"/>
      <c r="T415" s="88"/>
      <c r="U415" s="88"/>
      <c r="V415" s="88"/>
      <c r="W415" s="88"/>
    </row>
    <row r="416" spans="2:23" s="0" customFormat="0" ht="15">
      <c r="B416" s="87" t="s">
        <v>1</v>
      </c>
      <c r="C416" s="88" t="s">
        <v>5259</v>
      </c>
      <c r="D416" s="88">
        <v>23455187</v>
      </c>
      <c r="E416" s="88" t="s">
        <v>61</v>
      </c>
      <c r="F416" s="88">
        <v>0</v>
      </c>
      <c r="G416" s="78">
        <f>MAX(H416,I416,J416)</f>
        <v>1</v>
      </c>
      <c r="H416" s="88"/>
      <c r="I416" s="88"/>
      <c r="J416" s="78">
        <f>MAX(K416:Q416)</f>
        <v>1</v>
      </c>
      <c r="K416" s="88">
        <v>1</v>
      </c>
      <c r="L416" s="88"/>
      <c r="M416" s="88"/>
      <c r="N416" s="88"/>
      <c r="O416" s="88"/>
      <c r="P416" s="88"/>
      <c r="Q416" s="88"/>
      <c r="R416" s="78">
        <f>MAX(S416:W416)</f>
        <v>0</v>
      </c>
      <c r="S416" s="88"/>
      <c r="T416" s="88"/>
      <c r="U416" s="88"/>
      <c r="V416" s="88"/>
      <c r="W416" s="88"/>
    </row>
    <row r="417" spans="2:23" s="0" customFormat="0" ht="15">
      <c r="B417" s="87" t="s">
        <v>1</v>
      </c>
      <c r="C417" s="88" t="s">
        <v>5259</v>
      </c>
      <c r="D417" s="88">
        <v>16974691</v>
      </c>
      <c r="E417" s="88" t="s">
        <v>61</v>
      </c>
      <c r="F417" s="88">
        <v>0</v>
      </c>
      <c r="G417" s="78">
        <f>MAX(H417,I417,J417)</f>
        <v>0</v>
      </c>
      <c r="H417" s="88"/>
      <c r="I417" s="88"/>
      <c r="J417" s="78">
        <f>MAX(K417:Q417)</f>
        <v>0</v>
      </c>
      <c r="K417" s="88"/>
      <c r="L417" s="88"/>
      <c r="M417" s="88"/>
      <c r="N417" s="88"/>
      <c r="O417" s="88"/>
      <c r="P417" s="88"/>
      <c r="Q417" s="88"/>
      <c r="R417" s="78">
        <f>MAX(S417:W417)</f>
        <v>1</v>
      </c>
      <c r="S417" s="88"/>
      <c r="T417" s="88"/>
      <c r="U417" s="88">
        <v>1</v>
      </c>
      <c r="V417" s="88"/>
      <c r="W417" s="88"/>
    </row>
    <row r="418" spans="2:23" s="0" customFormat="0" ht="15">
      <c r="B418" s="87" t="s">
        <v>1</v>
      </c>
      <c r="C418" s="88" t="s">
        <v>5259</v>
      </c>
      <c r="D418" s="88">
        <v>13534483</v>
      </c>
      <c r="E418" s="88" t="s">
        <v>61</v>
      </c>
      <c r="F418" s="88">
        <v>0</v>
      </c>
      <c r="G418" s="78">
        <f>MAX(H418,I418,J418)</f>
        <v>1</v>
      </c>
      <c r="H418" s="88"/>
      <c r="I418" s="88"/>
      <c r="J418" s="78">
        <f>MAX(K418:Q418)</f>
        <v>1</v>
      </c>
      <c r="K418" s="88">
        <v>1</v>
      </c>
      <c r="L418" s="88"/>
      <c r="M418" s="88"/>
      <c r="N418" s="88"/>
      <c r="O418" s="88"/>
      <c r="P418" s="88"/>
      <c r="Q418" s="88"/>
      <c r="R418" s="78">
        <f>MAX(S418:W418)</f>
        <v>0</v>
      </c>
      <c r="S418" s="88"/>
      <c r="T418" s="88"/>
      <c r="U418" s="88"/>
      <c r="V418" s="88"/>
      <c r="W418" s="88"/>
    </row>
    <row r="419" spans="2:23" s="0" customFormat="0" ht="15">
      <c r="B419" s="87" t="s">
        <v>1</v>
      </c>
      <c r="C419" s="88" t="s">
        <v>5259</v>
      </c>
      <c r="D419" s="88">
        <v>8791617</v>
      </c>
      <c r="E419" s="88" t="s">
        <v>61</v>
      </c>
      <c r="F419" s="88">
        <v>0</v>
      </c>
      <c r="G419" s="78">
        <f>MAX(H419,I419,J419)</f>
        <v>1</v>
      </c>
      <c r="H419" s="88"/>
      <c r="I419" s="88"/>
      <c r="J419" s="78">
        <f>MAX(K419:Q419)</f>
        <v>1</v>
      </c>
      <c r="K419" s="88">
        <v>1</v>
      </c>
      <c r="L419" s="88"/>
      <c r="M419" s="88"/>
      <c r="N419" s="88"/>
      <c r="O419" s="88"/>
      <c r="P419" s="88"/>
      <c r="Q419" s="88"/>
      <c r="R419" s="78">
        <f>MAX(S419:W419)</f>
        <v>0</v>
      </c>
      <c r="S419" s="88"/>
      <c r="T419" s="88"/>
      <c r="U419" s="88"/>
      <c r="V419" s="88"/>
      <c r="W419" s="88"/>
    </row>
    <row r="420" spans="2:23" s="0" customFormat="0" ht="15">
      <c r="B420" s="87" t="s">
        <v>1</v>
      </c>
      <c r="C420" s="88" t="s">
        <v>5259</v>
      </c>
      <c r="D420" s="88">
        <v>24971130</v>
      </c>
      <c r="E420" s="88" t="s">
        <v>61</v>
      </c>
      <c r="F420" s="88">
        <v>0</v>
      </c>
      <c r="G420" s="78">
        <f>MAX(H420,I420,J420)</f>
        <v>1</v>
      </c>
      <c r="H420" s="88"/>
      <c r="I420" s="88"/>
      <c r="J420" s="78">
        <f>MAX(K420:Q420)</f>
        <v>1</v>
      </c>
      <c r="K420" s="88">
        <v>1</v>
      </c>
      <c r="L420" s="88"/>
      <c r="M420" s="88"/>
      <c r="N420" s="88"/>
      <c r="O420" s="88"/>
      <c r="P420" s="88"/>
      <c r="Q420" s="88"/>
      <c r="R420" s="78">
        <f>MAX(S420:W420)</f>
        <v>0</v>
      </c>
      <c r="S420" s="88"/>
      <c r="T420" s="88"/>
      <c r="U420" s="88"/>
      <c r="V420" s="88"/>
      <c r="W420" s="88"/>
    </row>
    <row r="421" spans="2:23" s="0" customFormat="0" ht="15">
      <c r="B421" s="87" t="s">
        <v>1</v>
      </c>
      <c r="C421" s="88" t="s">
        <v>5259</v>
      </c>
      <c r="D421" s="88" t="s">
        <v>498</v>
      </c>
      <c r="E421" s="88" t="s">
        <v>61</v>
      </c>
      <c r="F421" s="88">
        <v>0</v>
      </c>
      <c r="G421" s="78">
        <f>MAX(H421,I421,J421)</f>
        <v>1</v>
      </c>
      <c r="H421" s="88"/>
      <c r="I421" s="88"/>
      <c r="J421" s="78">
        <f>MAX(K421:Q421)</f>
        <v>1</v>
      </c>
      <c r="K421" s="88">
        <v>1</v>
      </c>
      <c r="L421" s="88"/>
      <c r="M421" s="88"/>
      <c r="N421" s="88"/>
      <c r="O421" s="88"/>
      <c r="P421" s="88"/>
      <c r="Q421" s="88"/>
      <c r="R421" s="78">
        <f>MAX(S421:W421)</f>
        <v>0</v>
      </c>
      <c r="S421" s="88"/>
      <c r="T421" s="88"/>
      <c r="U421" s="88"/>
      <c r="V421" s="88"/>
      <c r="W421" s="88"/>
    </row>
    <row r="422" spans="2:23" s="0" customFormat="0" ht="15">
      <c r="B422" s="87" t="s">
        <v>1</v>
      </c>
      <c r="C422" s="88" t="s">
        <v>5259</v>
      </c>
      <c r="D422" s="88">
        <v>19031472</v>
      </c>
      <c r="E422" s="88" t="s">
        <v>61</v>
      </c>
      <c r="F422" s="88">
        <v>0</v>
      </c>
      <c r="G422" s="78">
        <f>MAX(H422,I422,J422)</f>
        <v>1</v>
      </c>
      <c r="H422" s="88"/>
      <c r="I422" s="88"/>
      <c r="J422" s="78">
        <f>MAX(K422:Q422)</f>
        <v>1</v>
      </c>
      <c r="K422" s="88">
        <v>1</v>
      </c>
      <c r="L422" s="88"/>
      <c r="M422" s="88"/>
      <c r="N422" s="88"/>
      <c r="O422" s="88"/>
      <c r="P422" s="88"/>
      <c r="Q422" s="88"/>
      <c r="R422" s="78">
        <f>MAX(S422:W422)</f>
        <v>0</v>
      </c>
      <c r="S422" s="88"/>
      <c r="T422" s="88"/>
      <c r="U422" s="88"/>
      <c r="V422" s="88"/>
      <c r="W422" s="88"/>
    </row>
    <row r="423" spans="2:23" s="0" customFormat="0" ht="15">
      <c r="B423" s="87" t="s">
        <v>1</v>
      </c>
      <c r="C423" s="88" t="s">
        <v>5259</v>
      </c>
      <c r="D423" s="88">
        <v>4966465</v>
      </c>
      <c r="E423" s="88" t="s">
        <v>61</v>
      </c>
      <c r="F423" s="88">
        <v>0</v>
      </c>
      <c r="G423" s="78">
        <f>MAX(H423,I423,J423)</f>
        <v>1</v>
      </c>
      <c r="H423" s="88"/>
      <c r="I423" s="88"/>
      <c r="J423" s="78">
        <f>MAX(K423:Q423)</f>
        <v>1</v>
      </c>
      <c r="K423" s="88">
        <v>1</v>
      </c>
      <c r="L423" s="88"/>
      <c r="M423" s="88"/>
      <c r="N423" s="88"/>
      <c r="O423" s="88"/>
      <c r="P423" s="88"/>
      <c r="Q423" s="88"/>
      <c r="R423" s="78">
        <f>MAX(S423:W423)</f>
        <v>0</v>
      </c>
      <c r="S423" s="88"/>
      <c r="T423" s="88"/>
      <c r="U423" s="88"/>
      <c r="V423" s="88"/>
      <c r="W423" s="88"/>
    </row>
    <row r="424" spans="2:23" s="0" customFormat="0" ht="15">
      <c r="B424" s="87" t="s">
        <v>1</v>
      </c>
      <c r="C424" s="88" t="s">
        <v>5259</v>
      </c>
      <c r="D424" s="88">
        <v>14288288</v>
      </c>
      <c r="E424" s="88" t="s">
        <v>61</v>
      </c>
      <c r="F424" s="88">
        <v>0</v>
      </c>
      <c r="G424" s="78">
        <f>MAX(H424,I424,J424)</f>
        <v>1</v>
      </c>
      <c r="H424" s="88"/>
      <c r="I424" s="88"/>
      <c r="J424" s="78">
        <f>MAX(K424:Q424)</f>
        <v>1</v>
      </c>
      <c r="K424" s="88">
        <v>1</v>
      </c>
      <c r="L424" s="88"/>
      <c r="M424" s="88"/>
      <c r="N424" s="88"/>
      <c r="O424" s="88"/>
      <c r="P424" s="88"/>
      <c r="Q424" s="88"/>
      <c r="R424" s="78">
        <f>MAX(S424:W424)</f>
        <v>0</v>
      </c>
      <c r="S424" s="88"/>
      <c r="T424" s="88"/>
      <c r="U424" s="88"/>
      <c r="V424" s="88"/>
      <c r="W424" s="88"/>
    </row>
    <row r="425" spans="2:23" s="0" customFormat="0" ht="15">
      <c r="B425" s="87" t="s">
        <v>1</v>
      </c>
      <c r="C425" s="88" t="s">
        <v>5259</v>
      </c>
      <c r="D425" s="88">
        <v>22554528</v>
      </c>
      <c r="E425" s="88" t="s">
        <v>61</v>
      </c>
      <c r="F425" s="88">
        <v>0</v>
      </c>
      <c r="G425" s="78">
        <f>MAX(H425,I425,J425)</f>
        <v>0</v>
      </c>
      <c r="H425" s="88"/>
      <c r="I425" s="88"/>
      <c r="J425" s="78">
        <f>MAX(K425:Q425)</f>
        <v>0</v>
      </c>
      <c r="K425" s="88"/>
      <c r="L425" s="88"/>
      <c r="M425" s="88"/>
      <c r="N425" s="88"/>
      <c r="O425" s="88"/>
      <c r="P425" s="88"/>
      <c r="Q425" s="88"/>
      <c r="R425" s="78">
        <f>MAX(S425:W425)</f>
        <v>1</v>
      </c>
      <c r="S425" s="88"/>
      <c r="T425" s="88"/>
      <c r="U425" s="88">
        <v>1</v>
      </c>
      <c r="V425" s="88"/>
      <c r="W425" s="88"/>
    </row>
    <row r="426" spans="2:23" s="0" customFormat="0" ht="15">
      <c r="B426" s="87" t="s">
        <v>1</v>
      </c>
      <c r="C426" s="88" t="s">
        <v>5259</v>
      </c>
      <c r="D426" s="88">
        <v>19216275</v>
      </c>
      <c r="E426" s="88" t="s">
        <v>61</v>
      </c>
      <c r="F426" s="88">
        <v>0</v>
      </c>
      <c r="G426" s="78">
        <f>MAX(H426,I426,J426)</f>
        <v>1</v>
      </c>
      <c r="H426" s="88"/>
      <c r="I426" s="88"/>
      <c r="J426" s="78">
        <f>MAX(K426:Q426)</f>
        <v>1</v>
      </c>
      <c r="K426" s="88">
        <v>1</v>
      </c>
      <c r="L426" s="88"/>
      <c r="M426" s="88"/>
      <c r="N426" s="88"/>
      <c r="O426" s="88"/>
      <c r="P426" s="88"/>
      <c r="Q426" s="88"/>
      <c r="R426" s="78">
        <f>MAX(S426:W426)</f>
        <v>0</v>
      </c>
      <c r="S426" s="88"/>
      <c r="T426" s="88"/>
      <c r="U426" s="88"/>
      <c r="V426" s="88"/>
      <c r="W426" s="88"/>
    </row>
    <row r="427" spans="2:23" s="0" customFormat="0" ht="15">
      <c r="B427" s="87" t="s">
        <v>1</v>
      </c>
      <c r="C427" s="88" t="s">
        <v>5259</v>
      </c>
      <c r="D427" s="88">
        <v>22264581</v>
      </c>
      <c r="E427" s="88" t="s">
        <v>61</v>
      </c>
      <c r="F427" s="88">
        <v>0</v>
      </c>
      <c r="G427" s="78">
        <f>MAX(H427,I427,J427)</f>
        <v>1</v>
      </c>
      <c r="H427" s="88"/>
      <c r="I427" s="88"/>
      <c r="J427" s="78">
        <f>MAX(K427:Q427)</f>
        <v>1</v>
      </c>
      <c r="K427" s="88">
        <v>1</v>
      </c>
      <c r="L427" s="88"/>
      <c r="M427" s="88"/>
      <c r="N427" s="88"/>
      <c r="O427" s="88"/>
      <c r="P427" s="88"/>
      <c r="Q427" s="88"/>
      <c r="R427" s="78">
        <f>MAX(S427:W427)</f>
        <v>0</v>
      </c>
      <c r="S427" s="88"/>
      <c r="T427" s="88"/>
      <c r="U427" s="88"/>
      <c r="V427" s="88"/>
      <c r="W427" s="88"/>
    </row>
    <row r="428" spans="2:23" s="0" customFormat="0" ht="15">
      <c r="B428" s="87" t="s">
        <v>1</v>
      </c>
      <c r="C428" s="88" t="s">
        <v>5259</v>
      </c>
      <c r="D428" s="88">
        <v>22623686</v>
      </c>
      <c r="E428" s="88" t="s">
        <v>61</v>
      </c>
      <c r="F428" s="88">
        <v>0</v>
      </c>
      <c r="G428" s="78">
        <f>MAX(H428,I428,J428)</f>
        <v>0</v>
      </c>
      <c r="H428" s="88"/>
      <c r="I428" s="88"/>
      <c r="J428" s="78">
        <f>MAX(K428:Q428)</f>
        <v>0</v>
      </c>
      <c r="K428" s="88"/>
      <c r="L428" s="88"/>
      <c r="M428" s="88"/>
      <c r="N428" s="88"/>
      <c r="O428" s="88"/>
      <c r="P428" s="88"/>
      <c r="Q428" s="88"/>
      <c r="R428" s="78">
        <f>MAX(S428:W428)</f>
        <v>1</v>
      </c>
      <c r="S428" s="88"/>
      <c r="T428" s="88"/>
      <c r="U428" s="88">
        <v>1</v>
      </c>
      <c r="V428" s="88"/>
      <c r="W428" s="88"/>
    </row>
    <row r="429" spans="2:23" s="0" customFormat="0" ht="15">
      <c r="B429" s="87" t="s">
        <v>1</v>
      </c>
      <c r="C429" s="88" t="s">
        <v>5259</v>
      </c>
      <c r="D429" s="88">
        <v>21417310</v>
      </c>
      <c r="E429" s="88" t="s">
        <v>61</v>
      </c>
      <c r="F429" s="88">
        <v>0</v>
      </c>
      <c r="G429" s="78">
        <f>MAX(H429,I429,J429)</f>
        <v>1</v>
      </c>
      <c r="H429" s="88"/>
      <c r="I429" s="88"/>
      <c r="J429" s="78">
        <f>MAX(K429:Q429)</f>
        <v>1</v>
      </c>
      <c r="K429" s="88">
        <v>1</v>
      </c>
      <c r="L429" s="88"/>
      <c r="M429" s="88"/>
      <c r="N429" s="88"/>
      <c r="O429" s="88"/>
      <c r="P429" s="88"/>
      <c r="Q429" s="88"/>
      <c r="R429" s="78">
        <f>MAX(S429:W429)</f>
        <v>0</v>
      </c>
      <c r="S429" s="88"/>
      <c r="T429" s="88"/>
      <c r="U429" s="88"/>
      <c r="V429" s="88"/>
      <c r="W429" s="88"/>
    </row>
    <row r="430" spans="2:23" s="0" customFormat="0" ht="15">
      <c r="B430" s="87" t="s">
        <v>1</v>
      </c>
      <c r="C430" s="88" t="s">
        <v>5259</v>
      </c>
      <c r="D430" s="88" t="s">
        <v>505</v>
      </c>
      <c r="E430" s="88" t="s">
        <v>61</v>
      </c>
      <c r="F430" s="88">
        <v>0</v>
      </c>
      <c r="G430" s="78">
        <f>MAX(H430,I430,J430)</f>
        <v>1</v>
      </c>
      <c r="H430" s="88"/>
      <c r="I430" s="88"/>
      <c r="J430" s="78">
        <f>MAX(K430:Q430)</f>
        <v>1</v>
      </c>
      <c r="K430" s="88">
        <v>1</v>
      </c>
      <c r="L430" s="88"/>
      <c r="M430" s="88"/>
      <c r="N430" s="88"/>
      <c r="O430" s="88"/>
      <c r="P430" s="88"/>
      <c r="Q430" s="88"/>
      <c r="R430" s="78">
        <f>MAX(S430:W430)</f>
        <v>0</v>
      </c>
      <c r="S430" s="88"/>
      <c r="T430" s="88"/>
      <c r="U430" s="88"/>
      <c r="V430" s="88"/>
      <c r="W430" s="88"/>
    </row>
    <row r="431" spans="2:23" s="0" customFormat="0" ht="15">
      <c r="B431" s="87" t="s">
        <v>1</v>
      </c>
      <c r="C431" s="88" t="s">
        <v>5259</v>
      </c>
      <c r="D431" s="88">
        <v>12635311</v>
      </c>
      <c r="E431" s="88" t="s">
        <v>61</v>
      </c>
      <c r="F431" s="88">
        <v>0</v>
      </c>
      <c r="G431" s="78">
        <f>MAX(H431,I431,J431)</f>
        <v>1</v>
      </c>
      <c r="H431" s="88"/>
      <c r="I431" s="88"/>
      <c r="J431" s="78">
        <f>MAX(K431:Q431)</f>
        <v>1</v>
      </c>
      <c r="K431" s="88">
        <v>1</v>
      </c>
      <c r="L431" s="88"/>
      <c r="M431" s="88"/>
      <c r="N431" s="88"/>
      <c r="O431" s="88"/>
      <c r="P431" s="88"/>
      <c r="Q431" s="88"/>
      <c r="R431" s="78">
        <f>MAX(S431:W431)</f>
        <v>0</v>
      </c>
      <c r="S431" s="88"/>
      <c r="T431" s="88"/>
      <c r="U431" s="88"/>
      <c r="V431" s="88"/>
      <c r="W431" s="88"/>
    </row>
    <row r="432" spans="2:23" s="0" customFormat="0" ht="15">
      <c r="B432" s="87" t="s">
        <v>1</v>
      </c>
      <c r="C432" s="88" t="s">
        <v>5259</v>
      </c>
      <c r="D432" s="88">
        <v>20678970</v>
      </c>
      <c r="E432" s="88" t="s">
        <v>61</v>
      </c>
      <c r="F432" s="88">
        <v>0</v>
      </c>
      <c r="G432" s="78">
        <f>MAX(H432,I432,J432)</f>
        <v>1</v>
      </c>
      <c r="H432" s="88"/>
      <c r="I432" s="88"/>
      <c r="J432" s="78">
        <f>MAX(K432:Q432)</f>
        <v>1</v>
      </c>
      <c r="K432" s="88">
        <v>1</v>
      </c>
      <c r="L432" s="88"/>
      <c r="M432" s="88"/>
      <c r="N432" s="88"/>
      <c r="O432" s="88"/>
      <c r="P432" s="88"/>
      <c r="Q432" s="88"/>
      <c r="R432" s="78">
        <f>MAX(S432:W432)</f>
        <v>0</v>
      </c>
      <c r="S432" s="88"/>
      <c r="T432" s="88"/>
      <c r="U432" s="88"/>
      <c r="V432" s="88"/>
      <c r="W432" s="88"/>
    </row>
    <row r="433" spans="2:23" s="0" customFormat="0" ht="15">
      <c r="B433" s="87" t="s">
        <v>1</v>
      </c>
      <c r="C433" s="88" t="s">
        <v>5259</v>
      </c>
      <c r="D433" s="88">
        <v>11842055</v>
      </c>
      <c r="E433" s="88" t="s">
        <v>61</v>
      </c>
      <c r="F433" s="88">
        <v>0</v>
      </c>
      <c r="G433" s="78">
        <f>MAX(H433,I433,J433)</f>
        <v>1</v>
      </c>
      <c r="H433" s="88"/>
      <c r="I433" s="88"/>
      <c r="J433" s="78">
        <f>MAX(K433:Q433)</f>
        <v>1</v>
      </c>
      <c r="K433" s="88">
        <v>1</v>
      </c>
      <c r="L433" s="88"/>
      <c r="M433" s="88"/>
      <c r="N433" s="88"/>
      <c r="O433" s="88"/>
      <c r="P433" s="88"/>
      <c r="Q433" s="88"/>
      <c r="R433" s="78">
        <f>MAX(S433:W433)</f>
        <v>0</v>
      </c>
      <c r="S433" s="88"/>
      <c r="T433" s="88"/>
      <c r="U433" s="88"/>
      <c r="V433" s="88"/>
      <c r="W433" s="88"/>
    </row>
    <row r="434" spans="2:23" s="0" customFormat="0" ht="15">
      <c r="B434" s="87" t="s">
        <v>1</v>
      </c>
      <c r="C434" s="88" t="s">
        <v>5259</v>
      </c>
      <c r="D434" s="88">
        <v>13275738</v>
      </c>
      <c r="E434" s="88" t="s">
        <v>61</v>
      </c>
      <c r="F434" s="88">
        <v>0</v>
      </c>
      <c r="G434" s="78">
        <f>MAX(H434,I434,J434)</f>
        <v>1</v>
      </c>
      <c r="H434" s="88"/>
      <c r="I434" s="88"/>
      <c r="J434" s="78">
        <f>MAX(K434:Q434)</f>
        <v>1</v>
      </c>
      <c r="K434" s="88">
        <v>1</v>
      </c>
      <c r="L434" s="88"/>
      <c r="M434" s="88"/>
      <c r="N434" s="88"/>
      <c r="O434" s="88"/>
      <c r="P434" s="88"/>
      <c r="Q434" s="88"/>
      <c r="R434" s="78">
        <f>MAX(S434:W434)</f>
        <v>0</v>
      </c>
      <c r="S434" s="88"/>
      <c r="T434" s="88"/>
      <c r="U434" s="88"/>
      <c r="V434" s="88"/>
      <c r="W434" s="88"/>
    </row>
    <row r="435" spans="2:23" s="0" customFormat="0" ht="15">
      <c r="B435" s="87" t="s">
        <v>1</v>
      </c>
      <c r="C435" s="88" t="s">
        <v>5259</v>
      </c>
      <c r="D435" s="88" t="s">
        <v>3504</v>
      </c>
      <c r="E435" s="88" t="s">
        <v>61</v>
      </c>
      <c r="F435" s="88">
        <v>0</v>
      </c>
      <c r="G435" s="78">
        <f>MAX(H435,I435,J435)</f>
        <v>0</v>
      </c>
      <c r="H435" s="88"/>
      <c r="I435" s="88"/>
      <c r="J435" s="78">
        <f>MAX(K435:Q435)</f>
        <v>0</v>
      </c>
      <c r="K435" s="88"/>
      <c r="L435" s="88"/>
      <c r="M435" s="88"/>
      <c r="N435" s="88"/>
      <c r="O435" s="88"/>
      <c r="P435" s="88"/>
      <c r="Q435" s="88"/>
      <c r="R435" s="78">
        <f>MAX(S435:W435)</f>
        <v>1</v>
      </c>
      <c r="S435" s="88"/>
      <c r="T435" s="88"/>
      <c r="U435" s="88">
        <v>1</v>
      </c>
      <c r="V435" s="88"/>
      <c r="W435" s="88"/>
    </row>
    <row r="436" spans="2:23" s="0" customFormat="0" ht="15">
      <c r="B436" s="87" t="s">
        <v>1</v>
      </c>
      <c r="C436" s="88" t="s">
        <v>5259</v>
      </c>
      <c r="D436" s="88">
        <v>16974606</v>
      </c>
      <c r="E436" s="88" t="s">
        <v>61</v>
      </c>
      <c r="F436" s="88">
        <v>0</v>
      </c>
      <c r="G436" s="78">
        <f>MAX(H436,I436,J436)</f>
        <v>0</v>
      </c>
      <c r="H436" s="88"/>
      <c r="I436" s="88"/>
      <c r="J436" s="78">
        <f>MAX(K436:Q436)</f>
        <v>0</v>
      </c>
      <c r="K436" s="88"/>
      <c r="L436" s="88"/>
      <c r="M436" s="88"/>
      <c r="N436" s="88"/>
      <c r="O436" s="88"/>
      <c r="P436" s="88"/>
      <c r="Q436" s="88"/>
      <c r="R436" s="78">
        <f>MAX(S436:W436)</f>
        <v>1</v>
      </c>
      <c r="S436" s="88"/>
      <c r="T436" s="88"/>
      <c r="U436" s="88">
        <v>1</v>
      </c>
      <c r="V436" s="88"/>
      <c r="W436" s="88"/>
    </row>
    <row r="437" spans="2:23" s="0" customFormat="0" ht="15">
      <c r="B437" s="87" t="s">
        <v>1</v>
      </c>
      <c r="C437" s="88" t="s">
        <v>5259</v>
      </c>
      <c r="D437" s="88" t="s">
        <v>511</v>
      </c>
      <c r="E437" s="88" t="s">
        <v>61</v>
      </c>
      <c r="F437" s="88">
        <v>0</v>
      </c>
      <c r="G437" s="78">
        <f>MAX(H437,I437,J437)</f>
        <v>1</v>
      </c>
      <c r="H437" s="88"/>
      <c r="I437" s="88"/>
      <c r="J437" s="78">
        <f>MAX(K437:Q437)</f>
        <v>1</v>
      </c>
      <c r="K437" s="88">
        <v>1</v>
      </c>
      <c r="L437" s="88"/>
      <c r="M437" s="88"/>
      <c r="N437" s="88"/>
      <c r="O437" s="88"/>
      <c r="P437" s="88"/>
      <c r="Q437" s="88"/>
      <c r="R437" s="78">
        <f>MAX(S437:W437)</f>
        <v>0</v>
      </c>
      <c r="S437" s="88"/>
      <c r="T437" s="88"/>
      <c r="U437" s="88"/>
      <c r="V437" s="88"/>
      <c r="W437" s="88"/>
    </row>
    <row r="438" spans="2:23" s="0" customFormat="0" ht="15">
      <c r="B438" s="87" t="s">
        <v>1</v>
      </c>
      <c r="C438" s="88" t="s">
        <v>5259</v>
      </c>
      <c r="D438" s="88">
        <v>10211113</v>
      </c>
      <c r="E438" s="88" t="s">
        <v>61</v>
      </c>
      <c r="F438" s="88">
        <v>0</v>
      </c>
      <c r="G438" s="78">
        <f>MAX(H438,I438,J438)</f>
        <v>1</v>
      </c>
      <c r="H438" s="88"/>
      <c r="I438" s="88"/>
      <c r="J438" s="78">
        <f>MAX(K438:Q438)</f>
        <v>1</v>
      </c>
      <c r="K438" s="88">
        <v>1</v>
      </c>
      <c r="L438" s="88"/>
      <c r="M438" s="88"/>
      <c r="N438" s="88"/>
      <c r="O438" s="88"/>
      <c r="P438" s="88"/>
      <c r="Q438" s="88"/>
      <c r="R438" s="78">
        <f>MAX(S438:W438)</f>
        <v>0</v>
      </c>
      <c r="S438" s="88"/>
      <c r="T438" s="88"/>
      <c r="U438" s="88"/>
      <c r="V438" s="88"/>
      <c r="W438" s="88"/>
    </row>
    <row r="439" spans="2:23" s="0" customFormat="0" ht="15">
      <c r="B439" s="87" t="s">
        <v>1</v>
      </c>
      <c r="C439" s="88" t="s">
        <v>5259</v>
      </c>
      <c r="D439" s="88" t="s">
        <v>3507</v>
      </c>
      <c r="E439" s="88" t="s">
        <v>61</v>
      </c>
      <c r="F439" s="88">
        <v>0</v>
      </c>
      <c r="G439" s="78">
        <f>MAX(H439,I439,J439)</f>
        <v>0</v>
      </c>
      <c r="H439" s="88"/>
      <c r="I439" s="88"/>
      <c r="J439" s="78">
        <f>MAX(K439:Q439)</f>
        <v>0</v>
      </c>
      <c r="K439" s="88"/>
      <c r="L439" s="88"/>
      <c r="M439" s="88"/>
      <c r="N439" s="88"/>
      <c r="O439" s="88"/>
      <c r="P439" s="88"/>
      <c r="Q439" s="88"/>
      <c r="R439" s="78">
        <f>MAX(S439:W439)</f>
        <v>1</v>
      </c>
      <c r="S439" s="88"/>
      <c r="T439" s="88"/>
      <c r="U439" s="88">
        <v>1</v>
      </c>
      <c r="V439" s="88"/>
      <c r="W439" s="88"/>
    </row>
    <row r="440" spans="2:23" s="0" customFormat="0" ht="15">
      <c r="B440" s="87" t="s">
        <v>1</v>
      </c>
      <c r="C440" s="88" t="s">
        <v>5259</v>
      </c>
      <c r="D440" s="88" t="s">
        <v>515</v>
      </c>
      <c r="E440" s="88" t="s">
        <v>61</v>
      </c>
      <c r="F440" s="88">
        <v>0</v>
      </c>
      <c r="G440" s="78">
        <f>MAX(H440,I440,J440)</f>
        <v>1</v>
      </c>
      <c r="H440" s="88"/>
      <c r="I440" s="88"/>
      <c r="J440" s="78">
        <f>MAX(K440:Q440)</f>
        <v>1</v>
      </c>
      <c r="K440" s="88">
        <v>1</v>
      </c>
      <c r="L440" s="88"/>
      <c r="M440" s="88"/>
      <c r="N440" s="88"/>
      <c r="O440" s="88"/>
      <c r="P440" s="88"/>
      <c r="Q440" s="88"/>
      <c r="R440" s="78">
        <f>MAX(S440:W440)</f>
        <v>0</v>
      </c>
      <c r="S440" s="88"/>
      <c r="T440" s="88"/>
      <c r="U440" s="88"/>
      <c r="V440" s="88"/>
      <c r="W440" s="88"/>
    </row>
    <row r="441" spans="2:23" s="0" customFormat="0" ht="15">
      <c r="B441" s="87" t="s">
        <v>1</v>
      </c>
      <c r="C441" s="88" t="s">
        <v>5259</v>
      </c>
      <c r="D441" s="88">
        <v>10591784</v>
      </c>
      <c r="E441" s="88" t="s">
        <v>61</v>
      </c>
      <c r="F441" s="88">
        <v>0</v>
      </c>
      <c r="G441" s="78">
        <f>MAX(H441,I441,J441)</f>
        <v>1</v>
      </c>
      <c r="H441" s="88"/>
      <c r="I441" s="88"/>
      <c r="J441" s="78">
        <f>MAX(K441:Q441)</f>
        <v>1</v>
      </c>
      <c r="K441" s="88">
        <v>1</v>
      </c>
      <c r="L441" s="88"/>
      <c r="M441" s="88"/>
      <c r="N441" s="88"/>
      <c r="O441" s="88"/>
      <c r="P441" s="88"/>
      <c r="Q441" s="88"/>
      <c r="R441" s="78">
        <f>MAX(S441:W441)</f>
        <v>0</v>
      </c>
      <c r="S441" s="88"/>
      <c r="T441" s="88"/>
      <c r="U441" s="88"/>
      <c r="V441" s="88"/>
      <c r="W441" s="88"/>
    </row>
    <row r="442" spans="2:23" s="0" customFormat="0" ht="15">
      <c r="B442" s="87" t="s">
        <v>1</v>
      </c>
      <c r="C442" s="88" t="s">
        <v>5259</v>
      </c>
      <c r="D442" s="88">
        <v>23043029</v>
      </c>
      <c r="E442" s="88" t="s">
        <v>61</v>
      </c>
      <c r="F442" s="88">
        <v>0</v>
      </c>
      <c r="G442" s="78">
        <f>MAX(H442,I442,J442)</f>
        <v>1</v>
      </c>
      <c r="H442" s="88"/>
      <c r="I442" s="88"/>
      <c r="J442" s="78">
        <f>MAX(K442:Q442)</f>
        <v>1</v>
      </c>
      <c r="K442" s="88">
        <v>1</v>
      </c>
      <c r="L442" s="88"/>
      <c r="M442" s="88"/>
      <c r="N442" s="88"/>
      <c r="O442" s="88"/>
      <c r="P442" s="88"/>
      <c r="Q442" s="88"/>
      <c r="R442" s="78">
        <f>MAX(S442:W442)</f>
        <v>0</v>
      </c>
      <c r="S442" s="88"/>
      <c r="T442" s="88"/>
      <c r="U442" s="88"/>
      <c r="V442" s="88"/>
      <c r="W442" s="88"/>
    </row>
    <row r="443" spans="2:23" s="0" customFormat="0" ht="15">
      <c r="B443" s="87" t="s">
        <v>1</v>
      </c>
      <c r="C443" s="88" t="s">
        <v>5259</v>
      </c>
      <c r="D443" s="88" t="s">
        <v>519</v>
      </c>
      <c r="E443" s="88" t="s">
        <v>61</v>
      </c>
      <c r="F443" s="88">
        <v>0</v>
      </c>
      <c r="G443" s="78">
        <f>MAX(H443,I443,J443)</f>
        <v>1</v>
      </c>
      <c r="H443" s="88"/>
      <c r="I443" s="88"/>
      <c r="J443" s="78">
        <f>MAX(K443:Q443)</f>
        <v>1</v>
      </c>
      <c r="K443" s="88">
        <v>1</v>
      </c>
      <c r="L443" s="88"/>
      <c r="M443" s="88"/>
      <c r="N443" s="88"/>
      <c r="O443" s="88"/>
      <c r="P443" s="88"/>
      <c r="Q443" s="88"/>
      <c r="R443" s="78">
        <f>MAX(S443:W443)</f>
        <v>0</v>
      </c>
      <c r="S443" s="88"/>
      <c r="T443" s="88"/>
      <c r="U443" s="88"/>
      <c r="V443" s="88"/>
      <c r="W443" s="88"/>
    </row>
    <row r="444" spans="2:23" s="0" customFormat="0" ht="15">
      <c r="B444" s="87" t="s">
        <v>1</v>
      </c>
      <c r="C444" s="88" t="s">
        <v>5259</v>
      </c>
      <c r="D444" s="88" t="s">
        <v>521</v>
      </c>
      <c r="E444" s="88" t="s">
        <v>61</v>
      </c>
      <c r="F444" s="88">
        <v>0</v>
      </c>
      <c r="G444" s="78">
        <f>MAX(H444,I444,J444)</f>
        <v>1</v>
      </c>
      <c r="H444" s="88"/>
      <c r="I444" s="88"/>
      <c r="J444" s="78">
        <f>MAX(K444:Q444)</f>
        <v>1</v>
      </c>
      <c r="K444" s="88">
        <v>1</v>
      </c>
      <c r="L444" s="88"/>
      <c r="M444" s="88"/>
      <c r="N444" s="88"/>
      <c r="O444" s="88"/>
      <c r="P444" s="88"/>
      <c r="Q444" s="88"/>
      <c r="R444" s="78">
        <f>MAX(S444:W444)</f>
        <v>0</v>
      </c>
      <c r="S444" s="88"/>
      <c r="T444" s="88"/>
      <c r="U444" s="88"/>
      <c r="V444" s="88"/>
      <c r="W444" s="88"/>
    </row>
    <row r="445" spans="2:23" s="0" customFormat="0" ht="15">
      <c r="B445" s="87" t="s">
        <v>1</v>
      </c>
      <c r="C445" s="88" t="s">
        <v>5259</v>
      </c>
      <c r="D445" s="88">
        <v>21817247</v>
      </c>
      <c r="E445" s="88" t="s">
        <v>61</v>
      </c>
      <c r="F445" s="88">
        <v>0</v>
      </c>
      <c r="G445" s="78">
        <f>MAX(H445,I445,J445)</f>
        <v>1</v>
      </c>
      <c r="H445" s="88"/>
      <c r="I445" s="88"/>
      <c r="J445" s="78">
        <f>MAX(K445:Q445)</f>
        <v>1</v>
      </c>
      <c r="K445" s="88">
        <v>1</v>
      </c>
      <c r="L445" s="88"/>
      <c r="M445" s="88"/>
      <c r="N445" s="88"/>
      <c r="O445" s="88"/>
      <c r="P445" s="88"/>
      <c r="Q445" s="88"/>
      <c r="R445" s="78">
        <f>MAX(S445:W445)</f>
        <v>0</v>
      </c>
      <c r="S445" s="88"/>
      <c r="T445" s="88"/>
      <c r="U445" s="88"/>
      <c r="V445" s="88"/>
      <c r="W445" s="88"/>
    </row>
    <row r="446" spans="2:23" s="0" customFormat="0" ht="15">
      <c r="B446" s="87" t="s">
        <v>1</v>
      </c>
      <c r="C446" s="88" t="s">
        <v>5259</v>
      </c>
      <c r="D446" s="88" t="s">
        <v>3509</v>
      </c>
      <c r="E446" s="88" t="s">
        <v>61</v>
      </c>
      <c r="F446" s="88">
        <v>0</v>
      </c>
      <c r="G446" s="78">
        <f>MAX(H446,I446,J446)</f>
        <v>0</v>
      </c>
      <c r="H446" s="88"/>
      <c r="I446" s="88"/>
      <c r="J446" s="78">
        <f>MAX(K446:Q446)</f>
        <v>0</v>
      </c>
      <c r="K446" s="88"/>
      <c r="L446" s="88"/>
      <c r="M446" s="88"/>
      <c r="N446" s="88"/>
      <c r="O446" s="88"/>
      <c r="P446" s="88"/>
      <c r="Q446" s="88"/>
      <c r="R446" s="78">
        <f>MAX(S446:W446)</f>
        <v>1</v>
      </c>
      <c r="S446" s="88"/>
      <c r="T446" s="88"/>
      <c r="U446" s="88">
        <v>1</v>
      </c>
      <c r="V446" s="88"/>
      <c r="W446" s="88"/>
    </row>
    <row r="447" spans="2:23" s="0" customFormat="0" ht="15">
      <c r="B447" s="87" t="s">
        <v>1</v>
      </c>
      <c r="C447" s="88" t="s">
        <v>5259</v>
      </c>
      <c r="D447" s="88" t="s">
        <v>3511</v>
      </c>
      <c r="E447" s="88" t="s">
        <v>61</v>
      </c>
      <c r="F447" s="88">
        <v>0</v>
      </c>
      <c r="G447" s="78">
        <f>MAX(H447,I447,J447)</f>
        <v>0</v>
      </c>
      <c r="H447" s="88"/>
      <c r="I447" s="88"/>
      <c r="J447" s="78">
        <f>MAX(K447:Q447)</f>
        <v>0</v>
      </c>
      <c r="K447" s="88"/>
      <c r="L447" s="88"/>
      <c r="M447" s="88"/>
      <c r="N447" s="88"/>
      <c r="O447" s="88"/>
      <c r="P447" s="88"/>
      <c r="Q447" s="88"/>
      <c r="R447" s="78">
        <f>MAX(S447:W447)</f>
        <v>1</v>
      </c>
      <c r="S447" s="88"/>
      <c r="T447" s="88"/>
      <c r="U447" s="88">
        <v>1</v>
      </c>
      <c r="V447" s="88"/>
      <c r="W447" s="88"/>
    </row>
    <row r="448" spans="2:23" s="0" customFormat="0" ht="15">
      <c r="B448" s="87" t="s">
        <v>1</v>
      </c>
      <c r="C448" s="88" t="s">
        <v>5259</v>
      </c>
      <c r="D448" s="88">
        <v>3273888</v>
      </c>
      <c r="E448" s="88" t="s">
        <v>61</v>
      </c>
      <c r="F448" s="88">
        <v>0</v>
      </c>
      <c r="G448" s="78">
        <f>MAX(H448,I448,J448)</f>
        <v>1</v>
      </c>
      <c r="H448" s="88"/>
      <c r="I448" s="88"/>
      <c r="J448" s="78">
        <f>MAX(K448:Q448)</f>
        <v>1</v>
      </c>
      <c r="K448" s="88">
        <v>1</v>
      </c>
      <c r="L448" s="88"/>
      <c r="M448" s="88"/>
      <c r="N448" s="88"/>
      <c r="O448" s="88"/>
      <c r="P448" s="88"/>
      <c r="Q448" s="88"/>
      <c r="R448" s="78">
        <f>MAX(S448:W448)</f>
        <v>0</v>
      </c>
      <c r="S448" s="88"/>
      <c r="T448" s="88"/>
      <c r="U448" s="88"/>
      <c r="V448" s="88"/>
      <c r="W448" s="88"/>
    </row>
    <row r="449" spans="2:23" s="0" customFormat="0" ht="15">
      <c r="B449" s="87" t="s">
        <v>1</v>
      </c>
      <c r="C449" s="88" t="s">
        <v>5259</v>
      </c>
      <c r="D449" s="88" t="s">
        <v>525</v>
      </c>
      <c r="E449" s="88" t="s">
        <v>61</v>
      </c>
      <c r="F449" s="88">
        <v>0</v>
      </c>
      <c r="G449" s="78">
        <f>MAX(H449,I449,J449)</f>
        <v>1</v>
      </c>
      <c r="H449" s="88"/>
      <c r="I449" s="88"/>
      <c r="J449" s="78">
        <f>MAX(K449:Q449)</f>
        <v>1</v>
      </c>
      <c r="K449" s="88">
        <v>1</v>
      </c>
      <c r="L449" s="88"/>
      <c r="M449" s="88"/>
      <c r="N449" s="88"/>
      <c r="O449" s="88"/>
      <c r="P449" s="88"/>
      <c r="Q449" s="88"/>
      <c r="R449" s="78">
        <f>MAX(S449:W449)</f>
        <v>0</v>
      </c>
      <c r="S449" s="88"/>
      <c r="T449" s="88"/>
      <c r="U449" s="88"/>
      <c r="V449" s="88"/>
      <c r="W449" s="88"/>
    </row>
    <row r="450" spans="2:23" s="0" customFormat="0" ht="15">
      <c r="B450" s="87" t="s">
        <v>1</v>
      </c>
      <c r="C450" s="88" t="s">
        <v>5259</v>
      </c>
      <c r="D450" s="88">
        <v>21272376</v>
      </c>
      <c r="E450" s="88" t="s">
        <v>61</v>
      </c>
      <c r="F450" s="88">
        <v>0</v>
      </c>
      <c r="G450" s="78">
        <f>MAX(H450,I450,J450)</f>
        <v>1</v>
      </c>
      <c r="H450" s="88"/>
      <c r="I450" s="88"/>
      <c r="J450" s="78">
        <f>MAX(K450:Q450)</f>
        <v>1</v>
      </c>
      <c r="K450" s="88">
        <v>1</v>
      </c>
      <c r="L450" s="88"/>
      <c r="M450" s="88"/>
      <c r="N450" s="88"/>
      <c r="O450" s="88"/>
      <c r="P450" s="88"/>
      <c r="Q450" s="88"/>
      <c r="R450" s="78">
        <f>MAX(S450:W450)</f>
        <v>0</v>
      </c>
      <c r="S450" s="88"/>
      <c r="T450" s="88"/>
      <c r="U450" s="88"/>
      <c r="V450" s="88"/>
      <c r="W450" s="88"/>
    </row>
    <row r="451" spans="2:23" s="0" customFormat="0" ht="15">
      <c r="B451" s="87" t="s">
        <v>1</v>
      </c>
      <c r="C451" s="88" t="s">
        <v>5259</v>
      </c>
      <c r="D451" s="88" t="s">
        <v>528</v>
      </c>
      <c r="E451" s="88" t="s">
        <v>61</v>
      </c>
      <c r="F451" s="88">
        <v>0</v>
      </c>
      <c r="G451" s="78">
        <f>MAX(H451,I451,J451)</f>
        <v>1</v>
      </c>
      <c r="H451" s="88"/>
      <c r="I451" s="88"/>
      <c r="J451" s="78">
        <f>MAX(K451:Q451)</f>
        <v>1</v>
      </c>
      <c r="K451" s="88">
        <v>1</v>
      </c>
      <c r="L451" s="88"/>
      <c r="M451" s="88"/>
      <c r="N451" s="88"/>
      <c r="O451" s="88"/>
      <c r="P451" s="88"/>
      <c r="Q451" s="88"/>
      <c r="R451" s="78">
        <f>MAX(S451:W451)</f>
        <v>0</v>
      </c>
      <c r="S451" s="88"/>
      <c r="T451" s="88"/>
      <c r="U451" s="88"/>
      <c r="V451" s="88"/>
      <c r="W451" s="88"/>
    </row>
    <row r="452" spans="2:23" s="0" customFormat="0" ht="15">
      <c r="B452" s="87" t="s">
        <v>1</v>
      </c>
      <c r="C452" s="88" t="s">
        <v>5259</v>
      </c>
      <c r="D452" s="88">
        <v>19639660</v>
      </c>
      <c r="E452" s="88" t="s">
        <v>61</v>
      </c>
      <c r="F452" s="88">
        <v>0</v>
      </c>
      <c r="G452" s="78">
        <f>MAX(H452,I452,J452)</f>
        <v>1</v>
      </c>
      <c r="H452" s="88"/>
      <c r="I452" s="88"/>
      <c r="J452" s="78">
        <f>MAX(K452:Q452)</f>
        <v>1</v>
      </c>
      <c r="K452" s="88">
        <v>1</v>
      </c>
      <c r="L452" s="88"/>
      <c r="M452" s="88"/>
      <c r="N452" s="88"/>
      <c r="O452" s="88"/>
      <c r="P452" s="88"/>
      <c r="Q452" s="88"/>
      <c r="R452" s="78">
        <f>MAX(S452:W452)</f>
        <v>0</v>
      </c>
      <c r="S452" s="88"/>
      <c r="T452" s="88"/>
      <c r="U452" s="88"/>
      <c r="V452" s="88"/>
      <c r="W452" s="88"/>
    </row>
    <row r="453" spans="2:23" s="0" customFormat="0" ht="15">
      <c r="B453" s="87" t="s">
        <v>1</v>
      </c>
      <c r="C453" s="88" t="s">
        <v>5259</v>
      </c>
      <c r="D453" s="88">
        <v>22554147</v>
      </c>
      <c r="E453" s="88" t="s">
        <v>61</v>
      </c>
      <c r="F453" s="88">
        <v>0</v>
      </c>
      <c r="G453" s="78">
        <f>MAX(H453,I453,J453)</f>
        <v>0</v>
      </c>
      <c r="H453" s="88"/>
      <c r="I453" s="88"/>
      <c r="J453" s="78">
        <f>MAX(K453:Q453)</f>
        <v>0</v>
      </c>
      <c r="K453" s="88"/>
      <c r="L453" s="88"/>
      <c r="M453" s="88"/>
      <c r="N453" s="88"/>
      <c r="O453" s="88"/>
      <c r="P453" s="88"/>
      <c r="Q453" s="88"/>
      <c r="R453" s="78">
        <f>MAX(S453:W453)</f>
        <v>1</v>
      </c>
      <c r="S453" s="88"/>
      <c r="T453" s="88"/>
      <c r="U453" s="88">
        <v>1</v>
      </c>
      <c r="V453" s="88"/>
      <c r="W453" s="88"/>
    </row>
    <row r="454" spans="2:23" s="0" customFormat="0" ht="15">
      <c r="B454" s="87" t="s">
        <v>1</v>
      </c>
      <c r="C454" s="88" t="s">
        <v>5259</v>
      </c>
      <c r="D454" s="88" t="s">
        <v>531</v>
      </c>
      <c r="E454" s="88" t="s">
        <v>61</v>
      </c>
      <c r="F454" s="88">
        <v>0</v>
      </c>
      <c r="G454" s="78">
        <f>MAX(H454,I454,J454)</f>
        <v>1</v>
      </c>
      <c r="H454" s="88"/>
      <c r="I454" s="88"/>
      <c r="J454" s="78">
        <f>MAX(K454:Q454)</f>
        <v>1</v>
      </c>
      <c r="K454" s="88">
        <v>1</v>
      </c>
      <c r="L454" s="88"/>
      <c r="M454" s="88"/>
      <c r="N454" s="88"/>
      <c r="O454" s="88"/>
      <c r="P454" s="88"/>
      <c r="Q454" s="88"/>
      <c r="R454" s="78">
        <f>MAX(S454:W454)</f>
        <v>0</v>
      </c>
      <c r="S454" s="88"/>
      <c r="T454" s="88"/>
      <c r="U454" s="88"/>
      <c r="V454" s="88"/>
      <c r="W454" s="88"/>
    </row>
    <row r="455" spans="2:23" s="0" customFormat="0" ht="15">
      <c r="B455" s="87" t="s">
        <v>1</v>
      </c>
      <c r="C455" s="88" t="s">
        <v>5259</v>
      </c>
      <c r="D455" s="88">
        <v>12610612</v>
      </c>
      <c r="E455" s="88" t="s">
        <v>61</v>
      </c>
      <c r="F455" s="88">
        <v>0</v>
      </c>
      <c r="G455" s="78">
        <f>MAX(H455,I455,J455)</f>
        <v>1</v>
      </c>
      <c r="H455" s="88"/>
      <c r="I455" s="88"/>
      <c r="J455" s="78">
        <f>MAX(K455:Q455)</f>
        <v>1</v>
      </c>
      <c r="K455" s="88">
        <v>1</v>
      </c>
      <c r="L455" s="88"/>
      <c r="M455" s="88"/>
      <c r="N455" s="88"/>
      <c r="O455" s="88"/>
      <c r="P455" s="88"/>
      <c r="Q455" s="88"/>
      <c r="R455" s="78">
        <f>MAX(S455:W455)</f>
        <v>0</v>
      </c>
      <c r="S455" s="88"/>
      <c r="T455" s="88"/>
      <c r="U455" s="88"/>
      <c r="V455" s="88"/>
      <c r="W455" s="88"/>
    </row>
    <row r="456" spans="2:23" s="0" customFormat="0" ht="15">
      <c r="B456" s="87" t="s">
        <v>1</v>
      </c>
      <c r="C456" s="88" t="s">
        <v>5259</v>
      </c>
      <c r="D456" s="88">
        <v>18912862</v>
      </c>
      <c r="E456" s="88" t="s">
        <v>61</v>
      </c>
      <c r="F456" s="88">
        <v>0</v>
      </c>
      <c r="G456" s="78">
        <f>MAX(H456,I456,J456)</f>
        <v>1</v>
      </c>
      <c r="H456" s="88"/>
      <c r="I456" s="88"/>
      <c r="J456" s="78">
        <f>MAX(K456:Q456)</f>
        <v>1</v>
      </c>
      <c r="K456" s="88">
        <v>1</v>
      </c>
      <c r="L456" s="88"/>
      <c r="M456" s="88"/>
      <c r="N456" s="88"/>
      <c r="O456" s="88"/>
      <c r="P456" s="88"/>
      <c r="Q456" s="88"/>
      <c r="R456" s="78">
        <f>MAX(S456:W456)</f>
        <v>0</v>
      </c>
      <c r="S456" s="88"/>
      <c r="T456" s="88"/>
      <c r="U456" s="88"/>
      <c r="V456" s="88"/>
      <c r="W456" s="88"/>
    </row>
    <row r="457" spans="2:23" s="0" customFormat="0" ht="15">
      <c r="B457" s="87" t="s">
        <v>1</v>
      </c>
      <c r="C457" s="88" t="s">
        <v>5259</v>
      </c>
      <c r="D457" s="88" t="s">
        <v>3514</v>
      </c>
      <c r="E457" s="88" t="s">
        <v>61</v>
      </c>
      <c r="F457" s="88">
        <v>0</v>
      </c>
      <c r="G457" s="78">
        <f>MAX(H457,I457,J457)</f>
        <v>0</v>
      </c>
      <c r="H457" s="88"/>
      <c r="I457" s="88"/>
      <c r="J457" s="78">
        <f>MAX(K457:Q457)</f>
        <v>0</v>
      </c>
      <c r="K457" s="88"/>
      <c r="L457" s="88"/>
      <c r="M457" s="88"/>
      <c r="N457" s="88"/>
      <c r="O457" s="88"/>
      <c r="P457" s="88"/>
      <c r="Q457" s="88"/>
      <c r="R457" s="78">
        <f>MAX(S457:W457)</f>
        <v>1</v>
      </c>
      <c r="S457" s="88"/>
      <c r="T457" s="88"/>
      <c r="U457" s="88">
        <v>1</v>
      </c>
      <c r="V457" s="88"/>
      <c r="W457" s="88"/>
    </row>
    <row r="458" spans="2:23" s="0" customFormat="0" ht="15">
      <c r="B458" s="87" t="s">
        <v>1</v>
      </c>
      <c r="C458" s="88" t="s">
        <v>5259</v>
      </c>
      <c r="D458" s="88">
        <v>11238601</v>
      </c>
      <c r="E458" s="88" t="s">
        <v>61</v>
      </c>
      <c r="F458" s="88">
        <v>0</v>
      </c>
      <c r="G458" s="78">
        <f>MAX(H458,I458,J458)</f>
        <v>1</v>
      </c>
      <c r="H458" s="88"/>
      <c r="I458" s="88"/>
      <c r="J458" s="78">
        <f>MAX(K458:Q458)</f>
        <v>1</v>
      </c>
      <c r="K458" s="88">
        <v>1</v>
      </c>
      <c r="L458" s="88"/>
      <c r="M458" s="88"/>
      <c r="N458" s="88"/>
      <c r="O458" s="88"/>
      <c r="P458" s="88"/>
      <c r="Q458" s="88"/>
      <c r="R458" s="78">
        <f>MAX(S458:W458)</f>
        <v>0</v>
      </c>
      <c r="S458" s="88"/>
      <c r="T458" s="88"/>
      <c r="U458" s="88"/>
      <c r="V458" s="88"/>
      <c r="W458" s="88"/>
    </row>
    <row r="459" spans="2:23" s="0" customFormat="0" ht="15">
      <c r="B459" s="87" t="s">
        <v>1</v>
      </c>
      <c r="C459" s="88" t="s">
        <v>5259</v>
      </c>
      <c r="D459" s="88" t="s">
        <v>3516</v>
      </c>
      <c r="E459" s="88" t="s">
        <v>61</v>
      </c>
      <c r="F459" s="88">
        <v>0</v>
      </c>
      <c r="G459" s="78">
        <f>MAX(H459,I459,J459)</f>
        <v>0</v>
      </c>
      <c r="H459" s="88"/>
      <c r="I459" s="88"/>
      <c r="J459" s="78">
        <f>MAX(K459:Q459)</f>
        <v>0</v>
      </c>
      <c r="K459" s="88"/>
      <c r="L459" s="88"/>
      <c r="M459" s="88"/>
      <c r="N459" s="88"/>
      <c r="O459" s="88"/>
      <c r="P459" s="88"/>
      <c r="Q459" s="88"/>
      <c r="R459" s="78">
        <f>MAX(S459:W459)</f>
        <v>1</v>
      </c>
      <c r="S459" s="88"/>
      <c r="T459" s="88"/>
      <c r="U459" s="88">
        <v>1</v>
      </c>
      <c r="V459" s="88"/>
      <c r="W459" s="88"/>
    </row>
    <row r="460" spans="2:23" s="0" customFormat="0" ht="15">
      <c r="B460" s="87" t="s">
        <v>1</v>
      </c>
      <c r="C460" s="88" t="s">
        <v>5259</v>
      </c>
      <c r="D460" s="88">
        <v>15405446</v>
      </c>
      <c r="E460" s="88" t="s">
        <v>61</v>
      </c>
      <c r="F460" s="88">
        <v>0</v>
      </c>
      <c r="G460" s="78">
        <f>MAX(H460,I460,J460)</f>
        <v>1</v>
      </c>
      <c r="H460" s="88"/>
      <c r="I460" s="88"/>
      <c r="J460" s="78">
        <f>MAX(K460:Q460)</f>
        <v>1</v>
      </c>
      <c r="K460" s="88">
        <v>1</v>
      </c>
      <c r="L460" s="88"/>
      <c r="M460" s="88"/>
      <c r="N460" s="88"/>
      <c r="O460" s="88"/>
      <c r="P460" s="88"/>
      <c r="Q460" s="88"/>
      <c r="R460" s="78">
        <f>MAX(S460:W460)</f>
        <v>0</v>
      </c>
      <c r="S460" s="88"/>
      <c r="T460" s="88"/>
      <c r="U460" s="88"/>
      <c r="V460" s="88"/>
      <c r="W460" s="88"/>
    </row>
    <row r="461" spans="2:23" s="0" customFormat="0" ht="15">
      <c r="B461" s="87" t="s">
        <v>1</v>
      </c>
      <c r="C461" s="88" t="s">
        <v>5259</v>
      </c>
      <c r="D461" s="88" t="s">
        <v>3518</v>
      </c>
      <c r="E461" s="88" t="s">
        <v>61</v>
      </c>
      <c r="F461" s="88">
        <v>0</v>
      </c>
      <c r="G461" s="78">
        <f>MAX(H461,I461,J461)</f>
        <v>0</v>
      </c>
      <c r="H461" s="88"/>
      <c r="I461" s="88"/>
      <c r="J461" s="78">
        <f>MAX(K461:Q461)</f>
        <v>0</v>
      </c>
      <c r="K461" s="88"/>
      <c r="L461" s="88"/>
      <c r="M461" s="88"/>
      <c r="N461" s="88"/>
      <c r="O461" s="88"/>
      <c r="P461" s="88"/>
      <c r="Q461" s="88"/>
      <c r="R461" s="78">
        <f>MAX(S461:W461)</f>
        <v>1</v>
      </c>
      <c r="S461" s="88"/>
      <c r="T461" s="88"/>
      <c r="U461" s="88">
        <v>1</v>
      </c>
      <c r="V461" s="88"/>
      <c r="W461" s="88"/>
    </row>
    <row r="462" spans="2:23" s="0" customFormat="0" ht="15">
      <c r="B462" s="87" t="s">
        <v>1</v>
      </c>
      <c r="C462" s="88" t="s">
        <v>5259</v>
      </c>
      <c r="D462" s="88">
        <v>22623672</v>
      </c>
      <c r="E462" s="88" t="s">
        <v>61</v>
      </c>
      <c r="F462" s="88">
        <v>0</v>
      </c>
      <c r="G462" s="78">
        <f>MAX(H462,I462,J462)</f>
        <v>0</v>
      </c>
      <c r="H462" s="88"/>
      <c r="I462" s="88"/>
      <c r="J462" s="78">
        <f>MAX(K462:Q462)</f>
        <v>0</v>
      </c>
      <c r="K462" s="88"/>
      <c r="L462" s="88"/>
      <c r="M462" s="88"/>
      <c r="N462" s="88"/>
      <c r="O462" s="88"/>
      <c r="P462" s="88"/>
      <c r="Q462" s="88"/>
      <c r="R462" s="78">
        <f>MAX(S462:W462)</f>
        <v>1</v>
      </c>
      <c r="S462" s="88"/>
      <c r="T462" s="88"/>
      <c r="U462" s="88">
        <v>1</v>
      </c>
      <c r="V462" s="88"/>
      <c r="W462" s="88"/>
    </row>
    <row r="463" spans="2:23" s="0" customFormat="0" ht="15">
      <c r="B463" s="87" t="s">
        <v>1</v>
      </c>
      <c r="C463" s="88" t="s">
        <v>5259</v>
      </c>
      <c r="D463" s="88" t="s">
        <v>3521</v>
      </c>
      <c r="E463" s="88" t="s">
        <v>61</v>
      </c>
      <c r="F463" s="88">
        <v>0</v>
      </c>
      <c r="G463" s="78">
        <f>MAX(H463,I463,J463)</f>
        <v>0</v>
      </c>
      <c r="H463" s="88"/>
      <c r="I463" s="88"/>
      <c r="J463" s="78">
        <f>MAX(K463:Q463)</f>
        <v>0</v>
      </c>
      <c r="K463" s="88"/>
      <c r="L463" s="88"/>
      <c r="M463" s="88"/>
      <c r="N463" s="88"/>
      <c r="O463" s="88"/>
      <c r="P463" s="88"/>
      <c r="Q463" s="88"/>
      <c r="R463" s="78">
        <f>MAX(S463:W463)</f>
        <v>1</v>
      </c>
      <c r="S463" s="88"/>
      <c r="T463" s="88"/>
      <c r="U463" s="88">
        <v>1</v>
      </c>
      <c r="V463" s="88"/>
      <c r="W463" s="88"/>
    </row>
    <row r="464" spans="2:23" s="0" customFormat="0" ht="15">
      <c r="B464" s="87" t="s">
        <v>1</v>
      </c>
      <c r="C464" s="88" t="s">
        <v>5259</v>
      </c>
      <c r="D464" s="88" t="s">
        <v>537</v>
      </c>
      <c r="E464" s="88" t="s">
        <v>61</v>
      </c>
      <c r="F464" s="88">
        <v>0</v>
      </c>
      <c r="G464" s="78">
        <f>MAX(H464,I464,J464)</f>
        <v>1</v>
      </c>
      <c r="H464" s="88"/>
      <c r="I464" s="88"/>
      <c r="J464" s="78">
        <f>MAX(K464:Q464)</f>
        <v>1</v>
      </c>
      <c r="K464" s="88">
        <v>1</v>
      </c>
      <c r="L464" s="88"/>
      <c r="M464" s="88"/>
      <c r="N464" s="88"/>
      <c r="O464" s="88"/>
      <c r="P464" s="88"/>
      <c r="Q464" s="88"/>
      <c r="R464" s="78">
        <f>MAX(S464:W464)</f>
        <v>0</v>
      </c>
      <c r="S464" s="88"/>
      <c r="T464" s="88"/>
      <c r="U464" s="88"/>
      <c r="V464" s="88"/>
      <c r="W464" s="88"/>
    </row>
    <row r="465" spans="2:23" s="0" customFormat="0" ht="15">
      <c r="B465" s="87" t="s">
        <v>1</v>
      </c>
      <c r="C465" s="88" t="s">
        <v>5259</v>
      </c>
      <c r="D465" s="88" t="s">
        <v>3523</v>
      </c>
      <c r="E465" s="88" t="s">
        <v>61</v>
      </c>
      <c r="F465" s="88">
        <v>0</v>
      </c>
      <c r="G465" s="78">
        <f>MAX(H465,I465,J465)</f>
        <v>0</v>
      </c>
      <c r="H465" s="88"/>
      <c r="I465" s="88"/>
      <c r="J465" s="78">
        <f>MAX(K465:Q465)</f>
        <v>0</v>
      </c>
      <c r="K465" s="88"/>
      <c r="L465" s="88"/>
      <c r="M465" s="88"/>
      <c r="N465" s="88"/>
      <c r="O465" s="88"/>
      <c r="P465" s="88"/>
      <c r="Q465" s="88"/>
      <c r="R465" s="78">
        <f>MAX(S465:W465)</f>
        <v>1</v>
      </c>
      <c r="S465" s="88"/>
      <c r="T465" s="88"/>
      <c r="U465" s="88">
        <v>1</v>
      </c>
      <c r="V465" s="88"/>
      <c r="W465" s="88"/>
    </row>
    <row r="466" spans="2:23" s="0" customFormat="0" ht="15">
      <c r="B466" s="87" t="s">
        <v>1</v>
      </c>
      <c r="C466" s="88" t="s">
        <v>5259</v>
      </c>
      <c r="D466" s="88" t="s">
        <v>539</v>
      </c>
      <c r="E466" s="88" t="s">
        <v>61</v>
      </c>
      <c r="F466" s="88">
        <v>0</v>
      </c>
      <c r="G466" s="78">
        <f>MAX(H466,I466,J466)</f>
        <v>1</v>
      </c>
      <c r="H466" s="88"/>
      <c r="I466" s="88"/>
      <c r="J466" s="78">
        <f>MAX(K466:Q466)</f>
        <v>1</v>
      </c>
      <c r="K466" s="88">
        <v>1</v>
      </c>
      <c r="L466" s="88"/>
      <c r="M466" s="88"/>
      <c r="N466" s="88"/>
      <c r="O466" s="88"/>
      <c r="P466" s="88"/>
      <c r="Q466" s="88"/>
      <c r="R466" s="78">
        <f>MAX(S466:W466)</f>
        <v>0</v>
      </c>
      <c r="S466" s="88"/>
      <c r="T466" s="88"/>
      <c r="U466" s="88"/>
      <c r="V466" s="88"/>
      <c r="W466" s="88"/>
    </row>
    <row r="467" spans="2:23" s="0" customFormat="0" ht="15">
      <c r="B467" s="87" t="s">
        <v>1</v>
      </c>
      <c r="C467" s="88" t="s">
        <v>5259</v>
      </c>
      <c r="D467" s="88" t="s">
        <v>541</v>
      </c>
      <c r="E467" s="88" t="s">
        <v>61</v>
      </c>
      <c r="F467" s="88">
        <v>0</v>
      </c>
      <c r="G467" s="78">
        <f>MAX(H467,I467,J467)</f>
        <v>1</v>
      </c>
      <c r="H467" s="88"/>
      <c r="I467" s="88"/>
      <c r="J467" s="78">
        <f>MAX(K467:Q467)</f>
        <v>1</v>
      </c>
      <c r="K467" s="88">
        <v>1</v>
      </c>
      <c r="L467" s="88"/>
      <c r="M467" s="88"/>
      <c r="N467" s="88"/>
      <c r="O467" s="88"/>
      <c r="P467" s="88"/>
      <c r="Q467" s="88"/>
      <c r="R467" s="78">
        <f>MAX(S467:W467)</f>
        <v>0</v>
      </c>
      <c r="S467" s="88"/>
      <c r="T467" s="88"/>
      <c r="U467" s="88"/>
      <c r="V467" s="88"/>
      <c r="W467" s="88"/>
    </row>
    <row r="468" spans="2:23" s="0" customFormat="0" ht="15">
      <c r="B468" s="87" t="s">
        <v>1</v>
      </c>
      <c r="C468" s="88" t="s">
        <v>5259</v>
      </c>
      <c r="D468" s="88" t="s">
        <v>543</v>
      </c>
      <c r="E468" s="88" t="s">
        <v>61</v>
      </c>
      <c r="F468" s="88">
        <v>0</v>
      </c>
      <c r="G468" s="78">
        <f>MAX(H468,I468,J468)</f>
        <v>1</v>
      </c>
      <c r="H468" s="88"/>
      <c r="I468" s="88"/>
      <c r="J468" s="78">
        <f>MAX(K468:Q468)</f>
        <v>1</v>
      </c>
      <c r="K468" s="88">
        <v>1</v>
      </c>
      <c r="L468" s="88"/>
      <c r="M468" s="88"/>
      <c r="N468" s="88"/>
      <c r="O468" s="88"/>
      <c r="P468" s="88"/>
      <c r="Q468" s="88"/>
      <c r="R468" s="78">
        <f>MAX(S468:W468)</f>
        <v>0</v>
      </c>
      <c r="S468" s="88"/>
      <c r="T468" s="88"/>
      <c r="U468" s="88"/>
      <c r="V468" s="88"/>
      <c r="W468" s="88"/>
    </row>
    <row r="469" spans="2:23" s="0" customFormat="0" ht="15">
      <c r="B469" s="87" t="s">
        <v>1</v>
      </c>
      <c r="C469" s="88" t="s">
        <v>5259</v>
      </c>
      <c r="D469" s="88">
        <v>18423529</v>
      </c>
      <c r="E469" s="88" t="s">
        <v>61</v>
      </c>
      <c r="F469" s="88">
        <v>0</v>
      </c>
      <c r="G469" s="78">
        <f>MAX(H469,I469,J469)</f>
        <v>0</v>
      </c>
      <c r="H469" s="88"/>
      <c r="I469" s="88"/>
      <c r="J469" s="78">
        <f>MAX(K469:Q469)</f>
        <v>0</v>
      </c>
      <c r="K469" s="88"/>
      <c r="L469" s="88"/>
      <c r="M469" s="88"/>
      <c r="N469" s="88"/>
      <c r="O469" s="88"/>
      <c r="P469" s="88"/>
      <c r="Q469" s="88"/>
      <c r="R469" s="78">
        <f>MAX(S469:W469)</f>
        <v>1</v>
      </c>
      <c r="S469" s="88"/>
      <c r="T469" s="88"/>
      <c r="U469" s="88">
        <v>1</v>
      </c>
      <c r="V469" s="88"/>
      <c r="W469" s="88"/>
    </row>
    <row r="470" spans="2:23" s="0" customFormat="0" ht="15">
      <c r="B470" s="87" t="s">
        <v>1</v>
      </c>
      <c r="C470" s="88" t="s">
        <v>5259</v>
      </c>
      <c r="D470" s="88" t="s">
        <v>3526</v>
      </c>
      <c r="E470" s="88" t="s">
        <v>61</v>
      </c>
      <c r="F470" s="88">
        <v>0</v>
      </c>
      <c r="G470" s="78">
        <f>MAX(H470,I470,J470)</f>
        <v>0</v>
      </c>
      <c r="H470" s="88"/>
      <c r="I470" s="88"/>
      <c r="J470" s="78">
        <f>MAX(K470:Q470)</f>
        <v>0</v>
      </c>
      <c r="K470" s="88"/>
      <c r="L470" s="88"/>
      <c r="M470" s="88"/>
      <c r="N470" s="88"/>
      <c r="O470" s="88"/>
      <c r="P470" s="88"/>
      <c r="Q470" s="88"/>
      <c r="R470" s="78">
        <f>MAX(S470:W470)</f>
        <v>1</v>
      </c>
      <c r="S470" s="88"/>
      <c r="T470" s="88"/>
      <c r="U470" s="88">
        <v>1</v>
      </c>
      <c r="V470" s="88"/>
      <c r="W470" s="88"/>
    </row>
    <row r="471" spans="2:23" s="0" customFormat="0" ht="15">
      <c r="B471" s="87" t="s">
        <v>1</v>
      </c>
      <c r="C471" s="88" t="s">
        <v>5259</v>
      </c>
      <c r="D471" s="88">
        <v>5300051</v>
      </c>
      <c r="E471" s="88" t="s">
        <v>61</v>
      </c>
      <c r="F471" s="88">
        <v>0</v>
      </c>
      <c r="G471" s="78">
        <f>MAX(H471,I471,J471)</f>
        <v>1</v>
      </c>
      <c r="H471" s="88"/>
      <c r="I471" s="88"/>
      <c r="J471" s="78">
        <f>MAX(K471:Q471)</f>
        <v>1</v>
      </c>
      <c r="K471" s="88">
        <v>1</v>
      </c>
      <c r="L471" s="88"/>
      <c r="M471" s="88"/>
      <c r="N471" s="88"/>
      <c r="O471" s="88"/>
      <c r="P471" s="88"/>
      <c r="Q471" s="88"/>
      <c r="R471" s="78">
        <f>MAX(S471:W471)</f>
        <v>0</v>
      </c>
      <c r="S471" s="88"/>
      <c r="T471" s="88"/>
      <c r="U471" s="88"/>
      <c r="V471" s="88"/>
      <c r="W471" s="88"/>
    </row>
    <row r="472" spans="2:23" s="0" customFormat="0" ht="15">
      <c r="B472" s="87" t="s">
        <v>1</v>
      </c>
      <c r="C472" s="88" t="s">
        <v>5259</v>
      </c>
      <c r="D472" s="88">
        <v>13449119</v>
      </c>
      <c r="E472" s="88" t="s">
        <v>61</v>
      </c>
      <c r="F472" s="88">
        <v>0</v>
      </c>
      <c r="G472" s="78">
        <f>MAX(H472,I472,J472)</f>
        <v>1</v>
      </c>
      <c r="H472" s="88"/>
      <c r="I472" s="88"/>
      <c r="J472" s="78">
        <f>MAX(K472:Q472)</f>
        <v>1</v>
      </c>
      <c r="K472" s="88">
        <v>1</v>
      </c>
      <c r="L472" s="88"/>
      <c r="M472" s="88"/>
      <c r="N472" s="88"/>
      <c r="O472" s="88"/>
      <c r="P472" s="88"/>
      <c r="Q472" s="88"/>
      <c r="R472" s="78">
        <f>MAX(S472:W472)</f>
        <v>0</v>
      </c>
      <c r="S472" s="88"/>
      <c r="T472" s="88"/>
      <c r="U472" s="88"/>
      <c r="V472" s="88"/>
      <c r="W472" s="88"/>
    </row>
    <row r="473" spans="2:23" s="0" customFormat="0" ht="15">
      <c r="B473" s="87" t="s">
        <v>1</v>
      </c>
      <c r="C473" s="88" t="s">
        <v>5259</v>
      </c>
      <c r="D473" s="88" t="s">
        <v>546</v>
      </c>
      <c r="E473" s="88" t="s">
        <v>61</v>
      </c>
      <c r="F473" s="88">
        <v>0</v>
      </c>
      <c r="G473" s="78">
        <f>MAX(H473,I473,J473)</f>
        <v>1</v>
      </c>
      <c r="H473" s="88"/>
      <c r="I473" s="88"/>
      <c r="J473" s="78">
        <f>MAX(K473:Q473)</f>
        <v>1</v>
      </c>
      <c r="K473" s="88">
        <v>1</v>
      </c>
      <c r="L473" s="88"/>
      <c r="M473" s="88"/>
      <c r="N473" s="88"/>
      <c r="O473" s="88"/>
      <c r="P473" s="88"/>
      <c r="Q473" s="88"/>
      <c r="R473" s="78">
        <f>MAX(S473:W473)</f>
        <v>0</v>
      </c>
      <c r="S473" s="88"/>
      <c r="T473" s="88"/>
      <c r="U473" s="88"/>
      <c r="V473" s="88"/>
      <c r="W473" s="88"/>
    </row>
    <row r="474" spans="2:23" s="0" customFormat="0" ht="15">
      <c r="B474" s="87" t="s">
        <v>1</v>
      </c>
      <c r="C474" s="88" t="s">
        <v>5259</v>
      </c>
      <c r="D474" s="88">
        <v>12074508</v>
      </c>
      <c r="E474" s="88" t="s">
        <v>61</v>
      </c>
      <c r="F474" s="88">
        <v>0</v>
      </c>
      <c r="G474" s="78">
        <f>MAX(H474,I474,J474)</f>
        <v>1</v>
      </c>
      <c r="H474" s="88"/>
      <c r="I474" s="88"/>
      <c r="J474" s="78">
        <f>MAX(K474:Q474)</f>
        <v>1</v>
      </c>
      <c r="K474" s="88">
        <v>1</v>
      </c>
      <c r="L474" s="88"/>
      <c r="M474" s="88"/>
      <c r="N474" s="88"/>
      <c r="O474" s="88"/>
      <c r="P474" s="88"/>
      <c r="Q474" s="88"/>
      <c r="R474" s="78">
        <f>MAX(S474:W474)</f>
        <v>0</v>
      </c>
      <c r="S474" s="88"/>
      <c r="T474" s="88"/>
      <c r="U474" s="88"/>
      <c r="V474" s="88"/>
      <c r="W474" s="88"/>
    </row>
    <row r="475" spans="2:23" s="0" customFormat="0" ht="15">
      <c r="B475" s="87" t="s">
        <v>1</v>
      </c>
      <c r="C475" s="88" t="s">
        <v>5259</v>
      </c>
      <c r="D475" s="88">
        <v>19761708</v>
      </c>
      <c r="E475" s="88" t="s">
        <v>61</v>
      </c>
      <c r="F475" s="88">
        <v>0</v>
      </c>
      <c r="G475" s="78">
        <f>MAX(H475,I475,J475)</f>
        <v>1</v>
      </c>
      <c r="H475" s="88"/>
      <c r="I475" s="88"/>
      <c r="J475" s="78">
        <f>MAX(K475:Q475)</f>
        <v>1</v>
      </c>
      <c r="K475" s="88">
        <v>1</v>
      </c>
      <c r="L475" s="88"/>
      <c r="M475" s="88"/>
      <c r="N475" s="88"/>
      <c r="O475" s="88"/>
      <c r="P475" s="88"/>
      <c r="Q475" s="88"/>
      <c r="R475" s="78">
        <f>MAX(S475:W475)</f>
        <v>0</v>
      </c>
      <c r="S475" s="88"/>
      <c r="T475" s="88"/>
      <c r="U475" s="88"/>
      <c r="V475" s="88"/>
      <c r="W475" s="88"/>
    </row>
    <row r="476" spans="2:23" s="0" customFormat="0" ht="15">
      <c r="B476" s="87" t="s">
        <v>1</v>
      </c>
      <c r="C476" s="88" t="s">
        <v>5259</v>
      </c>
      <c r="D476" s="88">
        <v>5449277</v>
      </c>
      <c r="E476" s="88" t="s">
        <v>61</v>
      </c>
      <c r="F476" s="88">
        <v>0</v>
      </c>
      <c r="G476" s="78">
        <f>MAX(H476,I476,J476)</f>
        <v>1</v>
      </c>
      <c r="H476" s="88"/>
      <c r="I476" s="88"/>
      <c r="J476" s="78">
        <f>MAX(K476:Q476)</f>
        <v>1</v>
      </c>
      <c r="K476" s="88">
        <v>1</v>
      </c>
      <c r="L476" s="88"/>
      <c r="M476" s="88"/>
      <c r="N476" s="88"/>
      <c r="O476" s="88"/>
      <c r="P476" s="88"/>
      <c r="Q476" s="88"/>
      <c r="R476" s="78">
        <f>MAX(S476:W476)</f>
        <v>0</v>
      </c>
      <c r="S476" s="88"/>
      <c r="T476" s="88"/>
      <c r="U476" s="88"/>
      <c r="V476" s="88"/>
      <c r="W476" s="88"/>
    </row>
    <row r="477" spans="2:23" s="0" customFormat="0" ht="15">
      <c r="B477" s="87" t="s">
        <v>1</v>
      </c>
      <c r="C477" s="88" t="s">
        <v>5259</v>
      </c>
      <c r="D477" s="88">
        <v>14725002</v>
      </c>
      <c r="E477" s="88" t="s">
        <v>61</v>
      </c>
      <c r="F477" s="88">
        <v>0</v>
      </c>
      <c r="G477" s="78">
        <f>MAX(H477,I477,J477)</f>
        <v>1</v>
      </c>
      <c r="H477" s="88"/>
      <c r="I477" s="88"/>
      <c r="J477" s="78">
        <f>MAX(K477:Q477)</f>
        <v>1</v>
      </c>
      <c r="K477" s="88">
        <v>1</v>
      </c>
      <c r="L477" s="88"/>
      <c r="M477" s="88"/>
      <c r="N477" s="88"/>
      <c r="O477" s="88"/>
      <c r="P477" s="88"/>
      <c r="Q477" s="88"/>
      <c r="R477" s="78">
        <f>MAX(S477:W477)</f>
        <v>0</v>
      </c>
      <c r="S477" s="88"/>
      <c r="T477" s="88"/>
      <c r="U477" s="88"/>
      <c r="V477" s="88"/>
      <c r="W477" s="88"/>
    </row>
    <row r="478" spans="2:23" s="0" customFormat="0" ht="15">
      <c r="B478" s="87" t="s">
        <v>1</v>
      </c>
      <c r="C478" s="88" t="s">
        <v>5259</v>
      </c>
      <c r="D478" s="88">
        <v>6827074</v>
      </c>
      <c r="E478" s="88" t="s">
        <v>61</v>
      </c>
      <c r="F478" s="88">
        <v>0</v>
      </c>
      <c r="G478" s="78">
        <f>MAX(H478,I478,J478)</f>
        <v>1</v>
      </c>
      <c r="H478" s="88"/>
      <c r="I478" s="88"/>
      <c r="J478" s="78">
        <f>MAX(K478:Q478)</f>
        <v>1</v>
      </c>
      <c r="K478" s="88">
        <v>1</v>
      </c>
      <c r="L478" s="88"/>
      <c r="M478" s="88"/>
      <c r="N478" s="88"/>
      <c r="O478" s="88"/>
      <c r="P478" s="88"/>
      <c r="Q478" s="88"/>
      <c r="R478" s="78">
        <f>MAX(S478:W478)</f>
        <v>0</v>
      </c>
      <c r="S478" s="88"/>
      <c r="T478" s="88"/>
      <c r="U478" s="88"/>
      <c r="V478" s="88"/>
      <c r="W478" s="88"/>
    </row>
    <row r="479" spans="2:23" s="0" customFormat="0" ht="15">
      <c r="B479" s="87" t="s">
        <v>1</v>
      </c>
      <c r="C479" s="88" t="s">
        <v>5259</v>
      </c>
      <c r="D479" s="88" t="s">
        <v>3528</v>
      </c>
      <c r="E479" s="88" t="s">
        <v>61</v>
      </c>
      <c r="F479" s="88">
        <v>0</v>
      </c>
      <c r="G479" s="78">
        <f>MAX(H479,I479,J479)</f>
        <v>0</v>
      </c>
      <c r="H479" s="88"/>
      <c r="I479" s="88"/>
      <c r="J479" s="78">
        <f>MAX(K479:Q479)</f>
        <v>0</v>
      </c>
      <c r="K479" s="88"/>
      <c r="L479" s="88"/>
      <c r="M479" s="88"/>
      <c r="N479" s="88"/>
      <c r="O479" s="88"/>
      <c r="P479" s="88"/>
      <c r="Q479" s="88"/>
      <c r="R479" s="78">
        <f>MAX(S479:W479)</f>
        <v>1</v>
      </c>
      <c r="S479" s="88"/>
      <c r="T479" s="88"/>
      <c r="U479" s="88">
        <v>1</v>
      </c>
      <c r="V479" s="88"/>
      <c r="W479" s="88"/>
    </row>
    <row r="480" spans="2:23" s="0" customFormat="0" ht="15">
      <c r="B480" s="87" t="s">
        <v>1</v>
      </c>
      <c r="C480" s="88" t="s">
        <v>5259</v>
      </c>
      <c r="D480" s="88" t="s">
        <v>365</v>
      </c>
      <c r="E480" s="88" t="s">
        <v>61</v>
      </c>
      <c r="F480" s="88">
        <v>0</v>
      </c>
      <c r="G480" s="78">
        <f>MAX(H480,I480,J480)</f>
        <v>1</v>
      </c>
      <c r="H480" s="88"/>
      <c r="I480" s="88"/>
      <c r="J480" s="78">
        <f>MAX(K480:Q480)</f>
        <v>1</v>
      </c>
      <c r="K480" s="88">
        <v>1</v>
      </c>
      <c r="L480" s="88"/>
      <c r="M480" s="88"/>
      <c r="N480" s="88"/>
      <c r="O480" s="88"/>
      <c r="P480" s="88"/>
      <c r="Q480" s="88"/>
      <c r="R480" s="78">
        <f>MAX(S480:W480)</f>
        <v>0</v>
      </c>
      <c r="S480" s="88"/>
      <c r="T480" s="88"/>
      <c r="U480" s="88"/>
      <c r="V480" s="88"/>
      <c r="W480" s="88"/>
    </row>
    <row r="481" spans="2:23" s="0" customFormat="0" ht="15">
      <c r="B481" s="87" t="s">
        <v>1</v>
      </c>
      <c r="C481" s="88" t="s">
        <v>5259</v>
      </c>
      <c r="D481" s="88">
        <v>761910</v>
      </c>
      <c r="E481" s="88" t="s">
        <v>61</v>
      </c>
      <c r="F481" s="88">
        <v>0</v>
      </c>
      <c r="G481" s="78">
        <f>MAX(H481,I481,J481)</f>
        <v>1</v>
      </c>
      <c r="H481" s="88"/>
      <c r="I481" s="88"/>
      <c r="J481" s="78">
        <f>MAX(K481:Q481)</f>
        <v>1</v>
      </c>
      <c r="K481" s="88">
        <v>1</v>
      </c>
      <c r="L481" s="88"/>
      <c r="M481" s="88"/>
      <c r="N481" s="88"/>
      <c r="O481" s="88"/>
      <c r="P481" s="88"/>
      <c r="Q481" s="88"/>
      <c r="R481" s="78">
        <f>MAX(S481:W481)</f>
        <v>0</v>
      </c>
      <c r="S481" s="88"/>
      <c r="T481" s="88"/>
      <c r="U481" s="88"/>
      <c r="V481" s="88"/>
      <c r="W481" s="88"/>
    </row>
    <row r="482" spans="2:23" s="0" customFormat="0" ht="15">
      <c r="B482" s="87" t="s">
        <v>1</v>
      </c>
      <c r="C482" s="88" t="s">
        <v>5259</v>
      </c>
      <c r="D482" s="88">
        <v>15775695</v>
      </c>
      <c r="E482" s="88" t="s">
        <v>61</v>
      </c>
      <c r="F482" s="88">
        <v>0</v>
      </c>
      <c r="G482" s="78">
        <f>MAX(H482,I482,J482)</f>
        <v>1</v>
      </c>
      <c r="H482" s="88"/>
      <c r="I482" s="88"/>
      <c r="J482" s="78">
        <f>MAX(K482:Q482)</f>
        <v>1</v>
      </c>
      <c r="K482" s="88">
        <v>1</v>
      </c>
      <c r="L482" s="88"/>
      <c r="M482" s="88"/>
      <c r="N482" s="88"/>
      <c r="O482" s="88"/>
      <c r="P482" s="88"/>
      <c r="Q482" s="88"/>
      <c r="R482" s="78">
        <f>MAX(S482:W482)</f>
        <v>0</v>
      </c>
      <c r="S482" s="88"/>
      <c r="T482" s="88"/>
      <c r="U482" s="88"/>
      <c r="V482" s="88"/>
      <c r="W482" s="88"/>
    </row>
    <row r="483" spans="2:23" s="0" customFormat="0" ht="15">
      <c r="B483" s="87" t="s">
        <v>1</v>
      </c>
      <c r="C483" s="88" t="s">
        <v>5259</v>
      </c>
      <c r="D483" s="88" t="s">
        <v>555</v>
      </c>
      <c r="E483" s="88" t="s">
        <v>61</v>
      </c>
      <c r="F483" s="88">
        <v>0</v>
      </c>
      <c r="G483" s="78">
        <f>MAX(H483,I483,J483)</f>
        <v>1</v>
      </c>
      <c r="H483" s="88"/>
      <c r="I483" s="88"/>
      <c r="J483" s="78">
        <f>MAX(K483:Q483)</f>
        <v>1</v>
      </c>
      <c r="K483" s="88">
        <v>1</v>
      </c>
      <c r="L483" s="88"/>
      <c r="M483" s="88"/>
      <c r="N483" s="88"/>
      <c r="O483" s="88"/>
      <c r="P483" s="88"/>
      <c r="Q483" s="88"/>
      <c r="R483" s="78">
        <f>MAX(S483:W483)</f>
        <v>0</v>
      </c>
      <c r="S483" s="88"/>
      <c r="T483" s="88"/>
      <c r="U483" s="88"/>
      <c r="V483" s="88"/>
      <c r="W483" s="88"/>
    </row>
    <row r="484" spans="2:23" s="0" customFormat="0" ht="15">
      <c r="B484" s="87" t="s">
        <v>1</v>
      </c>
      <c r="C484" s="88" t="s">
        <v>5259</v>
      </c>
      <c r="D484" s="88" t="s">
        <v>3530</v>
      </c>
      <c r="E484" s="88" t="s">
        <v>61</v>
      </c>
      <c r="F484" s="88">
        <v>0</v>
      </c>
      <c r="G484" s="78">
        <f>MAX(H484,I484,J484)</f>
        <v>0</v>
      </c>
      <c r="H484" s="88"/>
      <c r="I484" s="88"/>
      <c r="J484" s="78">
        <f>MAX(K484:Q484)</f>
        <v>0</v>
      </c>
      <c r="K484" s="88"/>
      <c r="L484" s="88"/>
      <c r="M484" s="88"/>
      <c r="N484" s="88"/>
      <c r="O484" s="88"/>
      <c r="P484" s="88"/>
      <c r="Q484" s="88"/>
      <c r="R484" s="78">
        <f>MAX(S484:W484)</f>
        <v>1</v>
      </c>
      <c r="S484" s="88"/>
      <c r="T484" s="88"/>
      <c r="U484" s="88">
        <v>1</v>
      </c>
      <c r="V484" s="88"/>
      <c r="W484" s="88"/>
    </row>
    <row r="485" spans="2:23" s="0" customFormat="0" ht="15">
      <c r="B485" s="87" t="s">
        <v>1</v>
      </c>
      <c r="C485" s="88" t="s">
        <v>5259</v>
      </c>
      <c r="D485" s="88">
        <v>12776014</v>
      </c>
      <c r="E485" s="88" t="s">
        <v>61</v>
      </c>
      <c r="F485" s="88">
        <v>0</v>
      </c>
      <c r="G485" s="78">
        <f>MAX(H485,I485,J485)</f>
        <v>1</v>
      </c>
      <c r="H485" s="88"/>
      <c r="I485" s="88"/>
      <c r="J485" s="78">
        <f>MAX(K485:Q485)</f>
        <v>1</v>
      </c>
      <c r="K485" s="88">
        <v>1</v>
      </c>
      <c r="L485" s="88"/>
      <c r="M485" s="88"/>
      <c r="N485" s="88"/>
      <c r="O485" s="88"/>
      <c r="P485" s="88"/>
      <c r="Q485" s="88"/>
      <c r="R485" s="78">
        <f>MAX(S485:W485)</f>
        <v>0</v>
      </c>
      <c r="S485" s="88"/>
      <c r="T485" s="88"/>
      <c r="U485" s="88"/>
      <c r="V485" s="88"/>
      <c r="W485" s="88"/>
    </row>
    <row r="486" spans="2:23" s="0" customFormat="0" ht="15">
      <c r="B486" s="87" t="s">
        <v>1</v>
      </c>
      <c r="C486" s="88" t="s">
        <v>5259</v>
      </c>
      <c r="D486" s="88">
        <v>19762439</v>
      </c>
      <c r="E486" s="88" t="s">
        <v>61</v>
      </c>
      <c r="F486" s="88">
        <v>0</v>
      </c>
      <c r="G486" s="78">
        <f>MAX(H486,I486,J486)</f>
        <v>1</v>
      </c>
      <c r="H486" s="88"/>
      <c r="I486" s="88"/>
      <c r="J486" s="78">
        <f>MAX(K486:Q486)</f>
        <v>1</v>
      </c>
      <c r="K486" s="88">
        <v>1</v>
      </c>
      <c r="L486" s="88"/>
      <c r="M486" s="88"/>
      <c r="N486" s="88"/>
      <c r="O486" s="88"/>
      <c r="P486" s="88"/>
      <c r="Q486" s="88"/>
      <c r="R486" s="78">
        <f>MAX(S486:W486)</f>
        <v>0</v>
      </c>
      <c r="S486" s="88"/>
      <c r="T486" s="88"/>
      <c r="U486" s="88"/>
      <c r="V486" s="88"/>
      <c r="W486" s="88"/>
    </row>
    <row r="487" spans="2:23" s="0" customFormat="0" ht="15">
      <c r="B487" s="87" t="s">
        <v>1</v>
      </c>
      <c r="C487" s="88" t="s">
        <v>5259</v>
      </c>
      <c r="D487" s="88">
        <v>948883</v>
      </c>
      <c r="E487" s="88" t="s">
        <v>61</v>
      </c>
      <c r="F487" s="88">
        <v>0</v>
      </c>
      <c r="G487" s="78">
        <f>MAX(H487,I487,J487)</f>
        <v>0</v>
      </c>
      <c r="H487" s="88"/>
      <c r="I487" s="88"/>
      <c r="J487" s="78">
        <f>MAX(K487:Q487)</f>
        <v>0</v>
      </c>
      <c r="K487" s="88"/>
      <c r="L487" s="88"/>
      <c r="M487" s="88"/>
      <c r="N487" s="88"/>
      <c r="O487" s="88"/>
      <c r="P487" s="88"/>
      <c r="Q487" s="88"/>
      <c r="R487" s="78">
        <f>MAX(S487:W487)</f>
        <v>1</v>
      </c>
      <c r="S487" s="88"/>
      <c r="T487" s="88"/>
      <c r="U487" s="88">
        <v>1</v>
      </c>
      <c r="V487" s="88"/>
      <c r="W487" s="88"/>
    </row>
    <row r="488" spans="2:23" s="0" customFormat="0" ht="15">
      <c r="B488" s="87" t="s">
        <v>1</v>
      </c>
      <c r="C488" s="88" t="s">
        <v>5259</v>
      </c>
      <c r="D488" s="88" t="s">
        <v>3533</v>
      </c>
      <c r="E488" s="88" t="s">
        <v>61</v>
      </c>
      <c r="F488" s="88">
        <v>0</v>
      </c>
      <c r="G488" s="78">
        <f>MAX(H488,I488,J488)</f>
        <v>0</v>
      </c>
      <c r="H488" s="88"/>
      <c r="I488" s="88"/>
      <c r="J488" s="78">
        <f>MAX(K488:Q488)</f>
        <v>0</v>
      </c>
      <c r="K488" s="88"/>
      <c r="L488" s="88"/>
      <c r="M488" s="88"/>
      <c r="N488" s="88"/>
      <c r="O488" s="88"/>
      <c r="P488" s="88"/>
      <c r="Q488" s="88"/>
      <c r="R488" s="78">
        <f>MAX(S488:W488)</f>
        <v>1</v>
      </c>
      <c r="S488" s="88"/>
      <c r="T488" s="88"/>
      <c r="U488" s="88">
        <v>1</v>
      </c>
      <c r="V488" s="88"/>
      <c r="W488" s="88"/>
    </row>
    <row r="489" spans="2:23" s="0" customFormat="0" ht="15">
      <c r="B489" s="87" t="s">
        <v>1</v>
      </c>
      <c r="C489" s="88" t="s">
        <v>5259</v>
      </c>
      <c r="D489" s="88">
        <v>19635261</v>
      </c>
      <c r="E489" s="88" t="s">
        <v>61</v>
      </c>
      <c r="F489" s="88">
        <v>0</v>
      </c>
      <c r="G489" s="78">
        <f>MAX(H489,I489,J489)</f>
        <v>1</v>
      </c>
      <c r="H489" s="88"/>
      <c r="I489" s="88"/>
      <c r="J489" s="78">
        <f>MAX(K489:Q489)</f>
        <v>1</v>
      </c>
      <c r="K489" s="88">
        <v>1</v>
      </c>
      <c r="L489" s="88"/>
      <c r="M489" s="88"/>
      <c r="N489" s="88"/>
      <c r="O489" s="88"/>
      <c r="P489" s="88"/>
      <c r="Q489" s="88"/>
      <c r="R489" s="78">
        <f>MAX(S489:W489)</f>
        <v>0</v>
      </c>
      <c r="S489" s="88"/>
      <c r="T489" s="88"/>
      <c r="U489" s="88"/>
      <c r="V489" s="88"/>
      <c r="W489" s="88"/>
    </row>
    <row r="490" spans="2:23" s="0" customFormat="0" ht="15">
      <c r="B490" s="87" t="s">
        <v>1</v>
      </c>
      <c r="C490" s="88" t="s">
        <v>5259</v>
      </c>
      <c r="D490" s="88">
        <v>6837218</v>
      </c>
      <c r="E490" s="88" t="s">
        <v>61</v>
      </c>
      <c r="F490" s="88">
        <v>0</v>
      </c>
      <c r="G490" s="78">
        <f>MAX(H490,I490,J490)</f>
        <v>1</v>
      </c>
      <c r="H490" s="88"/>
      <c r="I490" s="88"/>
      <c r="J490" s="78">
        <f>MAX(K490:Q490)</f>
        <v>1</v>
      </c>
      <c r="K490" s="88">
        <v>1</v>
      </c>
      <c r="L490" s="88"/>
      <c r="M490" s="88"/>
      <c r="N490" s="88"/>
      <c r="O490" s="88"/>
      <c r="P490" s="88"/>
      <c r="Q490" s="88"/>
      <c r="R490" s="78">
        <f>MAX(S490:W490)</f>
        <v>0</v>
      </c>
      <c r="S490" s="88"/>
      <c r="T490" s="88"/>
      <c r="U490" s="88"/>
      <c r="V490" s="88"/>
      <c r="W490" s="88"/>
    </row>
    <row r="491" spans="2:23" s="0" customFormat="0" ht="15">
      <c r="B491" s="87" t="s">
        <v>1</v>
      </c>
      <c r="C491" s="88" t="s">
        <v>5259</v>
      </c>
      <c r="D491" s="88">
        <v>24964661</v>
      </c>
      <c r="E491" s="88" t="s">
        <v>61</v>
      </c>
      <c r="F491" s="88">
        <v>0</v>
      </c>
      <c r="G491" s="78">
        <f>MAX(H491,I491,J491)</f>
        <v>1</v>
      </c>
      <c r="H491" s="88"/>
      <c r="I491" s="88"/>
      <c r="J491" s="78">
        <f>MAX(K491:Q491)</f>
        <v>1</v>
      </c>
      <c r="K491" s="88">
        <v>1</v>
      </c>
      <c r="L491" s="88"/>
      <c r="M491" s="88"/>
      <c r="N491" s="88"/>
      <c r="O491" s="88"/>
      <c r="P491" s="88"/>
      <c r="Q491" s="88"/>
      <c r="R491" s="78">
        <f>MAX(S491:W491)</f>
        <v>0</v>
      </c>
      <c r="S491" s="88"/>
      <c r="T491" s="88"/>
      <c r="U491" s="88"/>
      <c r="V491" s="88"/>
      <c r="W491" s="88"/>
    </row>
    <row r="492" spans="2:23" s="0" customFormat="0" ht="15">
      <c r="B492" s="87" t="s">
        <v>1</v>
      </c>
      <c r="C492" s="88" t="s">
        <v>5259</v>
      </c>
      <c r="D492" s="88">
        <v>12149431</v>
      </c>
      <c r="E492" s="88" t="s">
        <v>61</v>
      </c>
      <c r="F492" s="88">
        <v>0</v>
      </c>
      <c r="G492" s="78">
        <f>MAX(H492,I492,J492)</f>
        <v>1</v>
      </c>
      <c r="H492" s="88"/>
      <c r="I492" s="88"/>
      <c r="J492" s="78">
        <f>MAX(K492:Q492)</f>
        <v>1</v>
      </c>
      <c r="K492" s="88">
        <v>1</v>
      </c>
      <c r="L492" s="88"/>
      <c r="M492" s="88"/>
      <c r="N492" s="88"/>
      <c r="O492" s="88"/>
      <c r="P492" s="88"/>
      <c r="Q492" s="88"/>
      <c r="R492" s="78">
        <f>MAX(S492:W492)</f>
        <v>0</v>
      </c>
      <c r="S492" s="88"/>
      <c r="T492" s="88"/>
      <c r="U492" s="88"/>
      <c r="V492" s="88"/>
      <c r="W492" s="88"/>
    </row>
    <row r="493" spans="2:23" s="0" customFormat="0" ht="15">
      <c r="B493" s="87" t="s">
        <v>1</v>
      </c>
      <c r="C493" s="88" t="s">
        <v>5259</v>
      </c>
      <c r="D493" s="88">
        <v>19602155</v>
      </c>
      <c r="E493" s="88" t="s">
        <v>61</v>
      </c>
      <c r="F493" s="88">
        <v>0</v>
      </c>
      <c r="G493" s="78">
        <f>MAX(H493,I493,J493)</f>
        <v>1</v>
      </c>
      <c r="H493" s="88"/>
      <c r="I493" s="88"/>
      <c r="J493" s="78">
        <f>MAX(K493:Q493)</f>
        <v>1</v>
      </c>
      <c r="K493" s="88">
        <v>1</v>
      </c>
      <c r="L493" s="88"/>
      <c r="M493" s="88"/>
      <c r="N493" s="88"/>
      <c r="O493" s="88"/>
      <c r="P493" s="88"/>
      <c r="Q493" s="88"/>
      <c r="R493" s="78">
        <f>MAX(S493:W493)</f>
        <v>0</v>
      </c>
      <c r="S493" s="88"/>
      <c r="T493" s="88"/>
      <c r="U493" s="88"/>
      <c r="V493" s="88"/>
      <c r="W493" s="88"/>
    </row>
    <row r="494" spans="2:23" s="0" customFormat="0" ht="15">
      <c r="B494" s="87" t="s">
        <v>1</v>
      </c>
      <c r="C494" s="88" t="s">
        <v>5259</v>
      </c>
      <c r="D494" s="88">
        <v>15718958</v>
      </c>
      <c r="E494" s="88" t="s">
        <v>61</v>
      </c>
      <c r="F494" s="88">
        <v>0</v>
      </c>
      <c r="G494" s="78">
        <f>MAX(H494,I494,J494)</f>
        <v>1</v>
      </c>
      <c r="H494" s="88"/>
      <c r="I494" s="88"/>
      <c r="J494" s="78">
        <f>MAX(K494:Q494)</f>
        <v>1</v>
      </c>
      <c r="K494" s="88">
        <v>1</v>
      </c>
      <c r="L494" s="88"/>
      <c r="M494" s="88"/>
      <c r="N494" s="88"/>
      <c r="O494" s="88"/>
      <c r="P494" s="88"/>
      <c r="Q494" s="88"/>
      <c r="R494" s="78">
        <f>MAX(S494:W494)</f>
        <v>0</v>
      </c>
      <c r="S494" s="88"/>
      <c r="T494" s="88"/>
      <c r="U494" s="88"/>
      <c r="V494" s="88"/>
      <c r="W494" s="88"/>
    </row>
    <row r="495" spans="2:23" s="0" customFormat="0" ht="15">
      <c r="B495" s="87" t="s">
        <v>1</v>
      </c>
      <c r="C495" s="88" t="s">
        <v>5259</v>
      </c>
      <c r="D495" s="88">
        <v>16974927</v>
      </c>
      <c r="E495" s="88" t="s">
        <v>61</v>
      </c>
      <c r="F495" s="88">
        <v>0</v>
      </c>
      <c r="G495" s="78">
        <f>MAX(H495,I495,J495)</f>
        <v>0</v>
      </c>
      <c r="H495" s="88"/>
      <c r="I495" s="88"/>
      <c r="J495" s="78">
        <f>MAX(K495:Q495)</f>
        <v>0</v>
      </c>
      <c r="K495" s="88"/>
      <c r="L495" s="88"/>
      <c r="M495" s="88"/>
      <c r="N495" s="88"/>
      <c r="O495" s="88"/>
      <c r="P495" s="88"/>
      <c r="Q495" s="88"/>
      <c r="R495" s="78">
        <f>MAX(S495:W495)</f>
        <v>1</v>
      </c>
      <c r="S495" s="88"/>
      <c r="T495" s="88"/>
      <c r="U495" s="88">
        <v>1</v>
      </c>
      <c r="V495" s="88"/>
      <c r="W495" s="88"/>
    </row>
    <row r="496" spans="2:23" s="0" customFormat="0" ht="15">
      <c r="B496" s="87" t="s">
        <v>1</v>
      </c>
      <c r="C496" s="88" t="s">
        <v>5259</v>
      </c>
      <c r="D496" s="88">
        <v>14742713</v>
      </c>
      <c r="E496" s="88" t="s">
        <v>61</v>
      </c>
      <c r="F496" s="88">
        <v>0</v>
      </c>
      <c r="G496" s="78">
        <f>MAX(H496,I496,J496)</f>
        <v>1</v>
      </c>
      <c r="H496" s="88"/>
      <c r="I496" s="88"/>
      <c r="J496" s="78">
        <f>MAX(K496:Q496)</f>
        <v>1</v>
      </c>
      <c r="K496" s="88">
        <v>1</v>
      </c>
      <c r="L496" s="88"/>
      <c r="M496" s="88"/>
      <c r="N496" s="88"/>
      <c r="O496" s="88"/>
      <c r="P496" s="88"/>
      <c r="Q496" s="88"/>
      <c r="R496" s="78">
        <f>MAX(S496:W496)</f>
        <v>0</v>
      </c>
      <c r="S496" s="88"/>
      <c r="T496" s="88"/>
      <c r="U496" s="88"/>
      <c r="V496" s="88"/>
      <c r="W496" s="88"/>
    </row>
    <row r="497" spans="2:23" s="0" customFormat="0" ht="15">
      <c r="B497" s="87" t="s">
        <v>1</v>
      </c>
      <c r="C497" s="88" t="s">
        <v>5259</v>
      </c>
      <c r="D497" s="88">
        <v>11773266</v>
      </c>
      <c r="E497" s="88" t="s">
        <v>61</v>
      </c>
      <c r="F497" s="88">
        <v>0</v>
      </c>
      <c r="G497" s="78">
        <f>MAX(H497,I497,J497)</f>
        <v>1</v>
      </c>
      <c r="H497" s="88"/>
      <c r="I497" s="88"/>
      <c r="J497" s="78">
        <f>MAX(K497:Q497)</f>
        <v>1</v>
      </c>
      <c r="K497" s="88">
        <v>1</v>
      </c>
      <c r="L497" s="88"/>
      <c r="M497" s="88"/>
      <c r="N497" s="88"/>
      <c r="O497" s="88"/>
      <c r="P497" s="88"/>
      <c r="Q497" s="88"/>
      <c r="R497" s="78">
        <f>MAX(S497:W497)</f>
        <v>0</v>
      </c>
      <c r="S497" s="88"/>
      <c r="T497" s="88"/>
      <c r="U497" s="88"/>
      <c r="V497" s="88"/>
      <c r="W497" s="88"/>
    </row>
    <row r="498" spans="2:23" s="0" customFormat="0" ht="15">
      <c r="B498" s="87" t="s">
        <v>1</v>
      </c>
      <c r="C498" s="88" t="s">
        <v>5259</v>
      </c>
      <c r="D498" s="88" t="s">
        <v>566</v>
      </c>
      <c r="E498" s="88" t="s">
        <v>61</v>
      </c>
      <c r="F498" s="88">
        <v>0</v>
      </c>
      <c r="G498" s="78">
        <f>MAX(H498,I498,J498)</f>
        <v>1</v>
      </c>
      <c r="H498" s="88"/>
      <c r="I498" s="88"/>
      <c r="J498" s="78">
        <f>MAX(K498:Q498)</f>
        <v>1</v>
      </c>
      <c r="K498" s="88">
        <v>1</v>
      </c>
      <c r="L498" s="88"/>
      <c r="M498" s="88"/>
      <c r="N498" s="88"/>
      <c r="O498" s="88"/>
      <c r="P498" s="88"/>
      <c r="Q498" s="88"/>
      <c r="R498" s="78">
        <f>MAX(S498:W498)</f>
        <v>0</v>
      </c>
      <c r="S498" s="88"/>
      <c r="T498" s="88"/>
      <c r="U498" s="88"/>
      <c r="V498" s="88"/>
      <c r="W498" s="88"/>
    </row>
    <row r="499" spans="2:23" s="0" customFormat="0" ht="15">
      <c r="B499" s="87" t="s">
        <v>1</v>
      </c>
      <c r="C499" s="88" t="s">
        <v>5259</v>
      </c>
      <c r="D499" s="88">
        <v>15456462</v>
      </c>
      <c r="E499" s="88" t="s">
        <v>61</v>
      </c>
      <c r="F499" s="88">
        <v>0</v>
      </c>
      <c r="G499" s="78">
        <f>MAX(H499,I499,J499)</f>
        <v>1</v>
      </c>
      <c r="H499" s="88"/>
      <c r="I499" s="88"/>
      <c r="J499" s="78">
        <f>MAX(K499:Q499)</f>
        <v>1</v>
      </c>
      <c r="K499" s="88">
        <v>1</v>
      </c>
      <c r="L499" s="88"/>
      <c r="M499" s="88"/>
      <c r="N499" s="88"/>
      <c r="O499" s="88"/>
      <c r="P499" s="88"/>
      <c r="Q499" s="88"/>
      <c r="R499" s="78">
        <f>MAX(S499:W499)</f>
        <v>0</v>
      </c>
      <c r="S499" s="88"/>
      <c r="T499" s="88"/>
      <c r="U499" s="88"/>
      <c r="V499" s="88"/>
      <c r="W499" s="88"/>
    </row>
    <row r="500" spans="2:23" s="0" customFormat="0" ht="15">
      <c r="B500" s="87" t="s">
        <v>1</v>
      </c>
      <c r="C500" s="88" t="s">
        <v>5259</v>
      </c>
      <c r="D500" s="88" t="s">
        <v>3198</v>
      </c>
      <c r="E500" s="88" t="s">
        <v>61</v>
      </c>
      <c r="F500" s="88">
        <v>0</v>
      </c>
      <c r="G500" s="78">
        <f>MAX(H500,I500,J500)</f>
        <v>0</v>
      </c>
      <c r="H500" s="88"/>
      <c r="I500" s="88"/>
      <c r="J500" s="78">
        <f>MAX(K500:Q500)</f>
        <v>0</v>
      </c>
      <c r="K500" s="88"/>
      <c r="L500" s="88"/>
      <c r="M500" s="88"/>
      <c r="N500" s="88"/>
      <c r="O500" s="88"/>
      <c r="P500" s="88"/>
      <c r="Q500" s="88"/>
      <c r="R500" s="78">
        <f>MAX(S500:W500)</f>
        <v>1</v>
      </c>
      <c r="S500" s="88"/>
      <c r="T500" s="88"/>
      <c r="U500" s="88"/>
      <c r="V500" s="88">
        <v>1</v>
      </c>
      <c r="W500" s="88"/>
    </row>
    <row r="501" spans="2:23" s="0" customFormat="0" ht="15">
      <c r="B501" s="87" t="s">
        <v>1</v>
      </c>
      <c r="C501" s="88" t="s">
        <v>5259</v>
      </c>
      <c r="D501" s="88" t="s">
        <v>3536</v>
      </c>
      <c r="E501" s="88" t="s">
        <v>61</v>
      </c>
      <c r="F501" s="88">
        <v>0</v>
      </c>
      <c r="G501" s="78">
        <f>MAX(H501,I501,J501)</f>
        <v>0</v>
      </c>
      <c r="H501" s="88"/>
      <c r="I501" s="88"/>
      <c r="J501" s="78">
        <f>MAX(K501:Q501)</f>
        <v>0</v>
      </c>
      <c r="K501" s="88"/>
      <c r="L501" s="88"/>
      <c r="M501" s="88"/>
      <c r="N501" s="88"/>
      <c r="O501" s="88"/>
      <c r="P501" s="88"/>
      <c r="Q501" s="88"/>
      <c r="R501" s="78">
        <f>MAX(S501:W501)</f>
        <v>1</v>
      </c>
      <c r="S501" s="88"/>
      <c r="T501" s="88"/>
      <c r="U501" s="88">
        <v>1</v>
      </c>
      <c r="V501" s="88"/>
      <c r="W501" s="88"/>
    </row>
    <row r="502" spans="2:23" s="0" customFormat="0" ht="15">
      <c r="B502" s="87" t="s">
        <v>1</v>
      </c>
      <c r="C502" s="88" t="s">
        <v>5259</v>
      </c>
      <c r="D502" s="88">
        <v>15716650</v>
      </c>
      <c r="E502" s="88" t="s">
        <v>61</v>
      </c>
      <c r="F502" s="88">
        <v>0</v>
      </c>
      <c r="G502" s="78">
        <f>MAX(H502,I502,J502)</f>
        <v>1</v>
      </c>
      <c r="H502" s="88"/>
      <c r="I502" s="88"/>
      <c r="J502" s="78">
        <f>MAX(K502:Q502)</f>
        <v>1</v>
      </c>
      <c r="K502" s="88">
        <v>1</v>
      </c>
      <c r="L502" s="88"/>
      <c r="M502" s="88"/>
      <c r="N502" s="88"/>
      <c r="O502" s="88"/>
      <c r="P502" s="88"/>
      <c r="Q502" s="88"/>
      <c r="R502" s="78">
        <f>MAX(S502:W502)</f>
        <v>0</v>
      </c>
      <c r="S502" s="88"/>
      <c r="T502" s="88"/>
      <c r="U502" s="88"/>
      <c r="V502" s="88"/>
      <c r="W502" s="88"/>
    </row>
    <row r="503" spans="2:23" s="0" customFormat="0" ht="15">
      <c r="B503" s="87" t="s">
        <v>1</v>
      </c>
      <c r="C503" s="88" t="s">
        <v>5259</v>
      </c>
      <c r="D503" s="88">
        <v>12149431</v>
      </c>
      <c r="E503" s="88" t="s">
        <v>61</v>
      </c>
      <c r="F503" s="88">
        <v>0</v>
      </c>
      <c r="G503" s="78">
        <f>MAX(H503,I503,J503)</f>
        <v>1</v>
      </c>
      <c r="H503" s="88"/>
      <c r="I503" s="88"/>
      <c r="J503" s="78">
        <f>MAX(K503:Q503)</f>
        <v>1</v>
      </c>
      <c r="K503" s="88">
        <v>1</v>
      </c>
      <c r="L503" s="88"/>
      <c r="M503" s="88"/>
      <c r="N503" s="88"/>
      <c r="O503" s="88"/>
      <c r="P503" s="88"/>
      <c r="Q503" s="88"/>
      <c r="R503" s="78">
        <f>MAX(S503:W503)</f>
        <v>0</v>
      </c>
      <c r="S503" s="88"/>
      <c r="T503" s="88"/>
      <c r="U503" s="88"/>
      <c r="V503" s="88"/>
      <c r="W503" s="88"/>
    </row>
    <row r="504" spans="2:23" s="0" customFormat="0" ht="15">
      <c r="B504" s="87" t="s">
        <v>1</v>
      </c>
      <c r="C504" s="88" t="s">
        <v>5259</v>
      </c>
      <c r="D504" s="88">
        <v>17296773</v>
      </c>
      <c r="E504" s="88" t="s">
        <v>61</v>
      </c>
      <c r="F504" s="88">
        <v>0</v>
      </c>
      <c r="G504" s="78">
        <f>MAX(H504,I504,J504)</f>
        <v>1</v>
      </c>
      <c r="H504" s="88"/>
      <c r="I504" s="88"/>
      <c r="J504" s="78">
        <f>MAX(K504:Q504)</f>
        <v>1</v>
      </c>
      <c r="K504" s="88">
        <v>1</v>
      </c>
      <c r="L504" s="88"/>
      <c r="M504" s="88"/>
      <c r="N504" s="88"/>
      <c r="O504" s="88"/>
      <c r="P504" s="88"/>
      <c r="Q504" s="88"/>
      <c r="R504" s="78">
        <f>MAX(S504:W504)</f>
        <v>0</v>
      </c>
      <c r="S504" s="88"/>
      <c r="T504" s="88"/>
      <c r="U504" s="88"/>
      <c r="V504" s="88"/>
      <c r="W504" s="88"/>
    </row>
    <row r="505" spans="2:23" s="0" customFormat="0" ht="15">
      <c r="B505" s="87" t="s">
        <v>1</v>
      </c>
      <c r="C505" s="88" t="s">
        <v>5259</v>
      </c>
      <c r="D505" s="88" t="s">
        <v>571</v>
      </c>
      <c r="E505" s="88" t="s">
        <v>61</v>
      </c>
      <c r="F505" s="88">
        <v>0</v>
      </c>
      <c r="G505" s="78">
        <f>MAX(H505,I505,J505)</f>
        <v>1</v>
      </c>
      <c r="H505" s="88"/>
      <c r="I505" s="88"/>
      <c r="J505" s="78">
        <f>MAX(K505:Q505)</f>
        <v>1</v>
      </c>
      <c r="K505" s="88">
        <v>1</v>
      </c>
      <c r="L505" s="88"/>
      <c r="M505" s="88"/>
      <c r="N505" s="88"/>
      <c r="O505" s="88"/>
      <c r="P505" s="88"/>
      <c r="Q505" s="88"/>
      <c r="R505" s="78">
        <f>MAX(S505:W505)</f>
        <v>0</v>
      </c>
      <c r="S505" s="88"/>
      <c r="T505" s="88"/>
      <c r="U505" s="88"/>
      <c r="V505" s="88"/>
      <c r="W505" s="88"/>
    </row>
    <row r="506" spans="2:23" s="0" customFormat="0" ht="15">
      <c r="B506" s="87" t="s">
        <v>1</v>
      </c>
      <c r="C506" s="88" t="s">
        <v>5259</v>
      </c>
      <c r="D506" s="88" t="s">
        <v>3538</v>
      </c>
      <c r="E506" s="88" t="s">
        <v>61</v>
      </c>
      <c r="F506" s="88">
        <v>0</v>
      </c>
      <c r="G506" s="78">
        <f>MAX(H506,I506,J506)</f>
        <v>0</v>
      </c>
      <c r="H506" s="88"/>
      <c r="I506" s="88"/>
      <c r="J506" s="78">
        <f>MAX(K506:Q506)</f>
        <v>0</v>
      </c>
      <c r="K506" s="88"/>
      <c r="L506" s="88"/>
      <c r="M506" s="88"/>
      <c r="N506" s="88"/>
      <c r="O506" s="88"/>
      <c r="P506" s="88"/>
      <c r="Q506" s="88"/>
      <c r="R506" s="78">
        <f>MAX(S506:W506)</f>
        <v>1</v>
      </c>
      <c r="S506" s="88"/>
      <c r="T506" s="88"/>
      <c r="U506" s="88">
        <v>1</v>
      </c>
      <c r="V506" s="88"/>
      <c r="W506" s="88"/>
    </row>
    <row r="507" spans="2:23" s="0" customFormat="0" ht="15">
      <c r="B507" s="87" t="s">
        <v>1</v>
      </c>
      <c r="C507" s="88" t="s">
        <v>5259</v>
      </c>
      <c r="D507" s="88">
        <v>13166841</v>
      </c>
      <c r="E507" s="88" t="s">
        <v>61</v>
      </c>
      <c r="F507" s="88">
        <v>0</v>
      </c>
      <c r="G507" s="78">
        <f>MAX(H507,I507,J507)</f>
        <v>0</v>
      </c>
      <c r="H507" s="88"/>
      <c r="I507" s="88"/>
      <c r="J507" s="78">
        <f>MAX(K507:Q507)</f>
        <v>0</v>
      </c>
      <c r="K507" s="88"/>
      <c r="L507" s="88"/>
      <c r="M507" s="88"/>
      <c r="N507" s="88"/>
      <c r="O507" s="88"/>
      <c r="P507" s="88"/>
      <c r="Q507" s="88"/>
      <c r="R507" s="78">
        <f>MAX(S507:W507)</f>
        <v>1</v>
      </c>
      <c r="S507" s="88"/>
      <c r="T507" s="88"/>
      <c r="U507" s="88">
        <v>1</v>
      </c>
      <c r="V507" s="88"/>
      <c r="W507" s="88"/>
    </row>
    <row r="508" spans="2:23" s="0" customFormat="0" ht="15">
      <c r="B508" s="87" t="s">
        <v>1</v>
      </c>
      <c r="C508" s="88" t="s">
        <v>5259</v>
      </c>
      <c r="D508" s="88">
        <v>22623666</v>
      </c>
      <c r="E508" s="88" t="s">
        <v>61</v>
      </c>
      <c r="F508" s="88">
        <v>0</v>
      </c>
      <c r="G508" s="78">
        <f>MAX(H508,I508,J508)</f>
        <v>0</v>
      </c>
      <c r="H508" s="88"/>
      <c r="I508" s="88"/>
      <c r="J508" s="78">
        <f>MAX(K508:Q508)</f>
        <v>0</v>
      </c>
      <c r="K508" s="88"/>
      <c r="L508" s="88"/>
      <c r="M508" s="88"/>
      <c r="N508" s="88"/>
      <c r="O508" s="88"/>
      <c r="P508" s="88"/>
      <c r="Q508" s="88"/>
      <c r="R508" s="78">
        <f>MAX(S508:W508)</f>
        <v>1</v>
      </c>
      <c r="S508" s="88"/>
      <c r="T508" s="88"/>
      <c r="U508" s="88">
        <v>1</v>
      </c>
      <c r="V508" s="88"/>
      <c r="W508" s="88"/>
    </row>
    <row r="509" spans="2:23" s="0" customFormat="0" ht="15">
      <c r="B509" s="87" t="s">
        <v>1</v>
      </c>
      <c r="C509" s="88" t="s">
        <v>5259</v>
      </c>
      <c r="D509" s="88">
        <v>16974681</v>
      </c>
      <c r="E509" s="88" t="s">
        <v>61</v>
      </c>
      <c r="F509" s="88">
        <v>0</v>
      </c>
      <c r="G509" s="78">
        <f>MAX(H509,I509,J509)</f>
        <v>0</v>
      </c>
      <c r="H509" s="88"/>
      <c r="I509" s="88"/>
      <c r="J509" s="78">
        <f>MAX(K509:Q509)</f>
        <v>0</v>
      </c>
      <c r="K509" s="88"/>
      <c r="L509" s="88"/>
      <c r="M509" s="88"/>
      <c r="N509" s="88"/>
      <c r="O509" s="88"/>
      <c r="P509" s="88"/>
      <c r="Q509" s="88"/>
      <c r="R509" s="78">
        <f>MAX(S509:W509)</f>
        <v>1</v>
      </c>
      <c r="S509" s="88"/>
      <c r="T509" s="88"/>
      <c r="U509" s="88">
        <v>1</v>
      </c>
      <c r="V509" s="88"/>
      <c r="W509" s="88"/>
    </row>
    <row r="510" spans="2:23" s="0" customFormat="0" ht="15">
      <c r="B510" s="87" t="s">
        <v>1</v>
      </c>
      <c r="C510" s="88" t="s">
        <v>5259</v>
      </c>
      <c r="D510" s="88" t="s">
        <v>3543</v>
      </c>
      <c r="E510" s="88" t="s">
        <v>61</v>
      </c>
      <c r="F510" s="88">
        <v>0</v>
      </c>
      <c r="G510" s="78">
        <f>MAX(H510,I510,J510)</f>
        <v>0</v>
      </c>
      <c r="H510" s="88"/>
      <c r="I510" s="88"/>
      <c r="J510" s="78">
        <f>MAX(K510:Q510)</f>
        <v>0</v>
      </c>
      <c r="K510" s="88"/>
      <c r="L510" s="88"/>
      <c r="M510" s="88"/>
      <c r="N510" s="88"/>
      <c r="O510" s="88"/>
      <c r="P510" s="88"/>
      <c r="Q510" s="88"/>
      <c r="R510" s="78">
        <f>MAX(S510:W510)</f>
        <v>1</v>
      </c>
      <c r="S510" s="88"/>
      <c r="T510" s="88"/>
      <c r="U510" s="88">
        <v>1</v>
      </c>
      <c r="V510" s="88"/>
      <c r="W510" s="88"/>
    </row>
    <row r="511" spans="2:23" s="0" customFormat="0" ht="15">
      <c r="B511" s="87" t="s">
        <v>1</v>
      </c>
      <c r="C511" s="88" t="s">
        <v>5259</v>
      </c>
      <c r="D511" s="88">
        <v>14346856</v>
      </c>
      <c r="E511" s="88" t="s">
        <v>61</v>
      </c>
      <c r="F511" s="88">
        <v>0</v>
      </c>
      <c r="G511" s="78">
        <f>MAX(H511,I511,J511)</f>
        <v>1</v>
      </c>
      <c r="H511" s="88"/>
      <c r="I511" s="88"/>
      <c r="J511" s="78">
        <f>MAX(K511:Q511)</f>
        <v>1</v>
      </c>
      <c r="K511" s="88">
        <v>1</v>
      </c>
      <c r="L511" s="88"/>
      <c r="M511" s="88"/>
      <c r="N511" s="88"/>
      <c r="O511" s="88"/>
      <c r="P511" s="88"/>
      <c r="Q511" s="88"/>
      <c r="R511" s="78">
        <f>MAX(S511:W511)</f>
        <v>0</v>
      </c>
      <c r="S511" s="88"/>
      <c r="T511" s="88"/>
      <c r="U511" s="88"/>
      <c r="V511" s="88"/>
      <c r="W511" s="88"/>
    </row>
    <row r="512" spans="2:23" s="0" customFormat="0" ht="15">
      <c r="B512" s="87" t="s">
        <v>1</v>
      </c>
      <c r="C512" s="88" t="s">
        <v>5259</v>
      </c>
      <c r="D512" s="88" t="s">
        <v>3545</v>
      </c>
      <c r="E512" s="88" t="s">
        <v>61</v>
      </c>
      <c r="F512" s="88">
        <v>0</v>
      </c>
      <c r="G512" s="78">
        <f>MAX(H512,I512,J512)</f>
        <v>0</v>
      </c>
      <c r="H512" s="88"/>
      <c r="I512" s="88"/>
      <c r="J512" s="78">
        <f>MAX(K512:Q512)</f>
        <v>0</v>
      </c>
      <c r="K512" s="88"/>
      <c r="L512" s="88"/>
      <c r="M512" s="88"/>
      <c r="N512" s="88"/>
      <c r="O512" s="88"/>
      <c r="P512" s="88"/>
      <c r="Q512" s="88"/>
      <c r="R512" s="78">
        <f>MAX(S512:W512)</f>
        <v>1</v>
      </c>
      <c r="S512" s="88"/>
      <c r="T512" s="88"/>
      <c r="U512" s="88">
        <v>1</v>
      </c>
      <c r="V512" s="88"/>
      <c r="W512" s="88"/>
    </row>
    <row r="513" spans="2:23" s="0" customFormat="0" ht="15">
      <c r="B513" s="87" t="s">
        <v>1</v>
      </c>
      <c r="C513" s="88" t="s">
        <v>5259</v>
      </c>
      <c r="D513" s="88" t="s">
        <v>3547</v>
      </c>
      <c r="E513" s="88" t="s">
        <v>61</v>
      </c>
      <c r="F513" s="88">
        <v>0</v>
      </c>
      <c r="G513" s="78">
        <f>MAX(H513,I513,J513)</f>
        <v>0</v>
      </c>
      <c r="H513" s="88"/>
      <c r="I513" s="88"/>
      <c r="J513" s="78">
        <f>MAX(K513:Q513)</f>
        <v>0</v>
      </c>
      <c r="K513" s="88"/>
      <c r="L513" s="88"/>
      <c r="M513" s="88"/>
      <c r="N513" s="88"/>
      <c r="O513" s="88"/>
      <c r="P513" s="88"/>
      <c r="Q513" s="88"/>
      <c r="R513" s="78">
        <f>MAX(S513:W513)</f>
        <v>1</v>
      </c>
      <c r="S513" s="88"/>
      <c r="T513" s="88"/>
      <c r="U513" s="88">
        <v>1</v>
      </c>
      <c r="V513" s="88"/>
      <c r="W513" s="88"/>
    </row>
    <row r="514" spans="2:23" s="0" customFormat="0" ht="15">
      <c r="B514" s="87" t="s">
        <v>1</v>
      </c>
      <c r="C514" s="88" t="s">
        <v>5259</v>
      </c>
      <c r="D514" s="88">
        <v>19043517</v>
      </c>
      <c r="E514" s="88" t="s">
        <v>61</v>
      </c>
      <c r="F514" s="88">
        <v>0</v>
      </c>
      <c r="G514" s="78">
        <f>MAX(H514,I514,J514)</f>
        <v>1</v>
      </c>
      <c r="H514" s="88"/>
      <c r="I514" s="88"/>
      <c r="J514" s="78">
        <f>MAX(K514:Q514)</f>
        <v>1</v>
      </c>
      <c r="K514" s="88">
        <v>1</v>
      </c>
      <c r="L514" s="88"/>
      <c r="M514" s="88"/>
      <c r="N514" s="88"/>
      <c r="O514" s="88"/>
      <c r="P514" s="88"/>
      <c r="Q514" s="88"/>
      <c r="R514" s="78">
        <f>MAX(S514:W514)</f>
        <v>0</v>
      </c>
      <c r="S514" s="88"/>
      <c r="T514" s="88"/>
      <c r="U514" s="88"/>
      <c r="V514" s="88"/>
      <c r="W514" s="88"/>
    </row>
    <row r="515" spans="2:23" s="0" customFormat="0" ht="15">
      <c r="B515" s="87" t="s">
        <v>1</v>
      </c>
      <c r="C515" s="88" t="s">
        <v>5259</v>
      </c>
      <c r="D515" s="88">
        <v>19503866</v>
      </c>
      <c r="E515" s="88" t="s">
        <v>61</v>
      </c>
      <c r="F515" s="88">
        <v>0</v>
      </c>
      <c r="G515" s="78">
        <f>MAX(H515,I515,J515)</f>
        <v>1</v>
      </c>
      <c r="H515" s="88"/>
      <c r="I515" s="88"/>
      <c r="J515" s="78">
        <f>MAX(K515:Q515)</f>
        <v>1</v>
      </c>
      <c r="K515" s="88">
        <v>1</v>
      </c>
      <c r="L515" s="88"/>
      <c r="M515" s="88"/>
      <c r="N515" s="88"/>
      <c r="O515" s="88"/>
      <c r="P515" s="88"/>
      <c r="Q515" s="88"/>
      <c r="R515" s="78">
        <f>MAX(S515:W515)</f>
        <v>0</v>
      </c>
      <c r="S515" s="88"/>
      <c r="T515" s="88"/>
      <c r="U515" s="88"/>
      <c r="V515" s="88"/>
      <c r="W515" s="88"/>
    </row>
    <row r="516" spans="2:23" s="0" customFormat="0" ht="15">
      <c r="B516" s="87" t="s">
        <v>1</v>
      </c>
      <c r="C516" s="88" t="s">
        <v>5259</v>
      </c>
      <c r="D516" s="88">
        <v>12635311</v>
      </c>
      <c r="E516" s="88" t="s">
        <v>61</v>
      </c>
      <c r="F516" s="88">
        <v>0</v>
      </c>
      <c r="G516" s="78">
        <f>MAX(H516,I516,J516)</f>
        <v>1</v>
      </c>
      <c r="H516" s="88"/>
      <c r="I516" s="88"/>
      <c r="J516" s="78">
        <f>MAX(K516:Q516)</f>
        <v>1</v>
      </c>
      <c r="K516" s="88">
        <v>1</v>
      </c>
      <c r="L516" s="88"/>
      <c r="M516" s="88"/>
      <c r="N516" s="88"/>
      <c r="O516" s="88"/>
      <c r="P516" s="88"/>
      <c r="Q516" s="88"/>
      <c r="R516" s="78">
        <f>MAX(S516:W516)</f>
        <v>0</v>
      </c>
      <c r="S516" s="88"/>
      <c r="T516" s="88"/>
      <c r="U516" s="88"/>
      <c r="V516" s="88"/>
      <c r="W516" s="88"/>
    </row>
    <row r="517" spans="2:23" s="0" customFormat="0" ht="15">
      <c r="B517" s="87" t="s">
        <v>1</v>
      </c>
      <c r="C517" s="88" t="s">
        <v>5259</v>
      </c>
      <c r="D517" s="88" t="s">
        <v>3549</v>
      </c>
      <c r="E517" s="88" t="s">
        <v>61</v>
      </c>
      <c r="F517" s="88">
        <v>0</v>
      </c>
      <c r="G517" s="78">
        <f>MAX(H517,I517,J517)</f>
        <v>0</v>
      </c>
      <c r="H517" s="88"/>
      <c r="I517" s="88"/>
      <c r="J517" s="78">
        <f>MAX(K517:Q517)</f>
        <v>0</v>
      </c>
      <c r="K517" s="88"/>
      <c r="L517" s="88"/>
      <c r="M517" s="88"/>
      <c r="N517" s="88"/>
      <c r="O517" s="88"/>
      <c r="P517" s="88"/>
      <c r="Q517" s="88"/>
      <c r="R517" s="78">
        <f>MAX(S517:W517)</f>
        <v>1</v>
      </c>
      <c r="S517" s="88"/>
      <c r="T517" s="88"/>
      <c r="U517" s="88">
        <v>1</v>
      </c>
      <c r="V517" s="88"/>
      <c r="W517" s="88"/>
    </row>
    <row r="518" spans="2:23" s="0" customFormat="0" ht="15">
      <c r="B518" s="87" t="s">
        <v>1</v>
      </c>
      <c r="C518" s="88" t="s">
        <v>5259</v>
      </c>
      <c r="D518" s="88" t="s">
        <v>576</v>
      </c>
      <c r="E518" s="88" t="s">
        <v>61</v>
      </c>
      <c r="F518" s="88">
        <v>0</v>
      </c>
      <c r="G518" s="78">
        <f>MAX(H518,I518,J518)</f>
        <v>1</v>
      </c>
      <c r="H518" s="88"/>
      <c r="I518" s="88"/>
      <c r="J518" s="78">
        <f>MAX(K518:Q518)</f>
        <v>1</v>
      </c>
      <c r="K518" s="88">
        <v>1</v>
      </c>
      <c r="L518" s="88"/>
      <c r="M518" s="88"/>
      <c r="N518" s="88"/>
      <c r="O518" s="88"/>
      <c r="P518" s="88"/>
      <c r="Q518" s="88"/>
      <c r="R518" s="78">
        <f>MAX(S518:W518)</f>
        <v>0</v>
      </c>
      <c r="S518" s="88"/>
      <c r="T518" s="88"/>
      <c r="U518" s="88"/>
      <c r="V518" s="88"/>
      <c r="W518" s="88"/>
    </row>
    <row r="519" spans="2:23" s="0" customFormat="0" ht="15">
      <c r="B519" s="87" t="s">
        <v>1</v>
      </c>
      <c r="C519" s="88" t="s">
        <v>5259</v>
      </c>
      <c r="D519" s="88" t="s">
        <v>3551</v>
      </c>
      <c r="E519" s="88" t="s">
        <v>61</v>
      </c>
      <c r="F519" s="88">
        <v>0</v>
      </c>
      <c r="G519" s="78">
        <f>MAX(H519,I519,J519)</f>
        <v>0</v>
      </c>
      <c r="H519" s="88"/>
      <c r="I519" s="88"/>
      <c r="J519" s="78">
        <f>MAX(K519:Q519)</f>
        <v>0</v>
      </c>
      <c r="K519" s="88"/>
      <c r="L519" s="88"/>
      <c r="M519" s="88"/>
      <c r="N519" s="88"/>
      <c r="O519" s="88"/>
      <c r="P519" s="88"/>
      <c r="Q519" s="88"/>
      <c r="R519" s="78">
        <f>MAX(S519:W519)</f>
        <v>1</v>
      </c>
      <c r="S519" s="88"/>
      <c r="T519" s="88"/>
      <c r="U519" s="88">
        <v>1</v>
      </c>
      <c r="V519" s="88"/>
      <c r="W519" s="88"/>
    </row>
    <row r="520" spans="2:23" s="0" customFormat="0" ht="15">
      <c r="B520" s="87" t="s">
        <v>1</v>
      </c>
      <c r="C520" s="88" t="s">
        <v>5259</v>
      </c>
      <c r="D520" s="88" t="s">
        <v>457</v>
      </c>
      <c r="E520" s="88" t="s">
        <v>61</v>
      </c>
      <c r="F520" s="88">
        <v>0</v>
      </c>
      <c r="G520" s="78">
        <f>MAX(H520,I520,J520)</f>
        <v>1</v>
      </c>
      <c r="H520" s="88"/>
      <c r="I520" s="88"/>
      <c r="J520" s="78">
        <f>MAX(K520:Q520)</f>
        <v>1</v>
      </c>
      <c r="K520" s="88">
        <v>1</v>
      </c>
      <c r="L520" s="88"/>
      <c r="M520" s="88"/>
      <c r="N520" s="88"/>
      <c r="O520" s="88"/>
      <c r="P520" s="88"/>
      <c r="Q520" s="88"/>
      <c r="R520" s="78">
        <f>MAX(S520:W520)</f>
        <v>0</v>
      </c>
      <c r="S520" s="88"/>
      <c r="T520" s="88"/>
      <c r="U520" s="88"/>
      <c r="V520" s="88"/>
      <c r="W520" s="88"/>
    </row>
    <row r="521" spans="2:23" s="0" customFormat="0" ht="15">
      <c r="B521" s="87" t="s">
        <v>1</v>
      </c>
      <c r="C521" s="88" t="s">
        <v>5259</v>
      </c>
      <c r="D521" s="88" t="s">
        <v>3553</v>
      </c>
      <c r="E521" s="88" t="s">
        <v>61</v>
      </c>
      <c r="F521" s="88">
        <v>0</v>
      </c>
      <c r="G521" s="78">
        <f>MAX(H521,I521,J521)</f>
        <v>0</v>
      </c>
      <c r="H521" s="88"/>
      <c r="I521" s="88"/>
      <c r="J521" s="78">
        <f>MAX(K521:Q521)</f>
        <v>0</v>
      </c>
      <c r="K521" s="88"/>
      <c r="L521" s="88"/>
      <c r="M521" s="88"/>
      <c r="N521" s="88"/>
      <c r="O521" s="88"/>
      <c r="P521" s="88"/>
      <c r="Q521" s="88"/>
      <c r="R521" s="78">
        <f>MAX(S521:W521)</f>
        <v>1</v>
      </c>
      <c r="S521" s="88"/>
      <c r="T521" s="88"/>
      <c r="U521" s="88">
        <v>1</v>
      </c>
      <c r="V521" s="88"/>
      <c r="W521" s="88"/>
    </row>
    <row r="522" spans="2:23" s="0" customFormat="0" ht="15">
      <c r="B522" s="87" t="s">
        <v>1</v>
      </c>
      <c r="C522" s="88" t="s">
        <v>5259</v>
      </c>
      <c r="D522" s="88" t="s">
        <v>578</v>
      </c>
      <c r="E522" s="88" t="s">
        <v>61</v>
      </c>
      <c r="F522" s="88">
        <v>0</v>
      </c>
      <c r="G522" s="78">
        <f>MAX(H522,I522,J522)</f>
        <v>1</v>
      </c>
      <c r="H522" s="88"/>
      <c r="I522" s="88"/>
      <c r="J522" s="78">
        <f>MAX(K522:Q522)</f>
        <v>1</v>
      </c>
      <c r="K522" s="88">
        <v>1</v>
      </c>
      <c r="L522" s="88"/>
      <c r="M522" s="88"/>
      <c r="N522" s="88"/>
      <c r="O522" s="88"/>
      <c r="P522" s="88"/>
      <c r="Q522" s="88"/>
      <c r="R522" s="78">
        <f>MAX(S522:W522)</f>
        <v>0</v>
      </c>
      <c r="S522" s="88"/>
      <c r="T522" s="88"/>
      <c r="U522" s="88"/>
      <c r="V522" s="88"/>
      <c r="W522" s="88"/>
    </row>
    <row r="523" spans="2:23" s="0" customFormat="0" ht="15">
      <c r="B523" s="87" t="s">
        <v>1</v>
      </c>
      <c r="C523" s="88" t="s">
        <v>5259</v>
      </c>
      <c r="D523" s="88">
        <v>22554451</v>
      </c>
      <c r="E523" s="88" t="s">
        <v>61</v>
      </c>
      <c r="F523" s="88">
        <v>0</v>
      </c>
      <c r="G523" s="78">
        <f>MAX(H523,I523,J523)</f>
        <v>0</v>
      </c>
      <c r="H523" s="88"/>
      <c r="I523" s="88"/>
      <c r="J523" s="78">
        <f>MAX(K523:Q523)</f>
        <v>0</v>
      </c>
      <c r="K523" s="88"/>
      <c r="L523" s="88"/>
      <c r="M523" s="88"/>
      <c r="N523" s="88"/>
      <c r="O523" s="88"/>
      <c r="P523" s="88"/>
      <c r="Q523" s="88"/>
      <c r="R523" s="78">
        <f>MAX(S523:W523)</f>
        <v>1</v>
      </c>
      <c r="S523" s="88"/>
      <c r="T523" s="88"/>
      <c r="U523" s="88">
        <v>1</v>
      </c>
      <c r="V523" s="88"/>
      <c r="W523" s="88"/>
    </row>
    <row r="524" spans="2:23" s="0" customFormat="0" ht="15">
      <c r="B524" s="87" t="s">
        <v>1</v>
      </c>
      <c r="C524" s="88" t="s">
        <v>5259</v>
      </c>
      <c r="D524" s="88">
        <v>4797581</v>
      </c>
      <c r="E524" s="88" t="s">
        <v>61</v>
      </c>
      <c r="F524" s="88">
        <v>0</v>
      </c>
      <c r="G524" s="78">
        <f>MAX(H524,I524,J524)</f>
        <v>0</v>
      </c>
      <c r="H524" s="88"/>
      <c r="I524" s="88"/>
      <c r="J524" s="78">
        <f>MAX(K524:Q524)</f>
        <v>0</v>
      </c>
      <c r="K524" s="88"/>
      <c r="L524" s="88"/>
      <c r="M524" s="88"/>
      <c r="N524" s="88"/>
      <c r="O524" s="88"/>
      <c r="P524" s="88"/>
      <c r="Q524" s="88"/>
      <c r="R524" s="78">
        <f>MAX(S524:W524)</f>
        <v>1</v>
      </c>
      <c r="S524" s="88"/>
      <c r="T524" s="88"/>
      <c r="U524" s="88">
        <v>1</v>
      </c>
      <c r="V524" s="88"/>
      <c r="W524" s="88"/>
    </row>
    <row r="525" spans="2:23" s="0" customFormat="0" ht="15">
      <c r="B525" s="87" t="s">
        <v>1</v>
      </c>
      <c r="C525" s="88" t="s">
        <v>5259</v>
      </c>
      <c r="D525" s="88">
        <v>21089955</v>
      </c>
      <c r="E525" s="88" t="s">
        <v>61</v>
      </c>
      <c r="F525" s="88">
        <v>0</v>
      </c>
      <c r="G525" s="78">
        <f>MAX(H525,I525,J525)</f>
        <v>1</v>
      </c>
      <c r="H525" s="88"/>
      <c r="I525" s="88"/>
      <c r="J525" s="78">
        <f>MAX(K525:Q525)</f>
        <v>1</v>
      </c>
      <c r="K525" s="88">
        <v>1</v>
      </c>
      <c r="L525" s="88"/>
      <c r="M525" s="88"/>
      <c r="N525" s="88"/>
      <c r="O525" s="88"/>
      <c r="P525" s="88"/>
      <c r="Q525" s="88"/>
      <c r="R525" s="78">
        <f>MAX(S525:W525)</f>
        <v>0</v>
      </c>
      <c r="S525" s="88"/>
      <c r="T525" s="88"/>
      <c r="U525" s="88"/>
      <c r="V525" s="88"/>
      <c r="W525" s="88"/>
    </row>
    <row r="526" spans="2:23" s="0" customFormat="0" ht="15">
      <c r="B526" s="87" t="s">
        <v>1</v>
      </c>
      <c r="C526" s="88" t="s">
        <v>5259</v>
      </c>
      <c r="D526" s="88">
        <v>22214088</v>
      </c>
      <c r="E526" s="88" t="s">
        <v>61</v>
      </c>
      <c r="F526" s="88">
        <v>0</v>
      </c>
      <c r="G526" s="78">
        <f>MAX(H526,I526,J526)</f>
        <v>1</v>
      </c>
      <c r="H526" s="88"/>
      <c r="I526" s="88"/>
      <c r="J526" s="78">
        <f>MAX(K526:Q526)</f>
        <v>1</v>
      </c>
      <c r="K526" s="88">
        <v>1</v>
      </c>
      <c r="L526" s="88"/>
      <c r="M526" s="88"/>
      <c r="N526" s="88"/>
      <c r="O526" s="88"/>
      <c r="P526" s="88"/>
      <c r="Q526" s="88"/>
      <c r="R526" s="78">
        <f>MAX(S526:W526)</f>
        <v>0</v>
      </c>
      <c r="S526" s="88"/>
      <c r="T526" s="88"/>
      <c r="U526" s="88"/>
      <c r="V526" s="88"/>
      <c r="W526" s="88"/>
    </row>
    <row r="527" spans="2:23" s="0" customFormat="0" ht="15">
      <c r="B527" s="87" t="s">
        <v>1</v>
      </c>
      <c r="C527" s="88" t="s">
        <v>5259</v>
      </c>
      <c r="D527" s="88" t="s">
        <v>3556</v>
      </c>
      <c r="E527" s="88" t="s">
        <v>61</v>
      </c>
      <c r="F527" s="88">
        <v>0</v>
      </c>
      <c r="G527" s="78">
        <f>MAX(H527,I527,J527)</f>
        <v>0</v>
      </c>
      <c r="H527" s="88"/>
      <c r="I527" s="88"/>
      <c r="J527" s="78">
        <f>MAX(K527:Q527)</f>
        <v>0</v>
      </c>
      <c r="K527" s="88"/>
      <c r="L527" s="88"/>
      <c r="M527" s="88"/>
      <c r="N527" s="88"/>
      <c r="O527" s="88"/>
      <c r="P527" s="88"/>
      <c r="Q527" s="88"/>
      <c r="R527" s="78">
        <f>MAX(S527:W527)</f>
        <v>1</v>
      </c>
      <c r="S527" s="88"/>
      <c r="T527" s="88"/>
      <c r="U527" s="88">
        <v>1</v>
      </c>
      <c r="V527" s="88"/>
      <c r="W527" s="88"/>
    </row>
    <row r="528" spans="2:23" s="0" customFormat="0" ht="15">
      <c r="B528" s="87" t="s">
        <v>1</v>
      </c>
      <c r="C528" s="88" t="s">
        <v>5259</v>
      </c>
      <c r="D528" s="88" t="s">
        <v>582</v>
      </c>
      <c r="E528" s="88" t="s">
        <v>61</v>
      </c>
      <c r="F528" s="88">
        <v>0</v>
      </c>
      <c r="G528" s="78">
        <f>MAX(H528,I528,J528)</f>
        <v>1</v>
      </c>
      <c r="H528" s="88"/>
      <c r="I528" s="88"/>
      <c r="J528" s="78">
        <f>MAX(K528:Q528)</f>
        <v>1</v>
      </c>
      <c r="K528" s="88">
        <v>1</v>
      </c>
      <c r="L528" s="88"/>
      <c r="M528" s="88"/>
      <c r="N528" s="88"/>
      <c r="O528" s="88"/>
      <c r="P528" s="88"/>
      <c r="Q528" s="88"/>
      <c r="R528" s="78">
        <f>MAX(S528:W528)</f>
        <v>0</v>
      </c>
      <c r="S528" s="88"/>
      <c r="T528" s="88"/>
      <c r="U528" s="88"/>
      <c r="V528" s="88"/>
      <c r="W528" s="88"/>
    </row>
    <row r="529" spans="2:23" s="0" customFormat="0" ht="15">
      <c r="B529" s="87" t="s">
        <v>1</v>
      </c>
      <c r="C529" s="88" t="s">
        <v>5259</v>
      </c>
      <c r="D529" s="88">
        <v>9277884</v>
      </c>
      <c r="E529" s="88" t="s">
        <v>61</v>
      </c>
      <c r="F529" s="88">
        <v>0</v>
      </c>
      <c r="G529" s="78">
        <f>MAX(H529,I529,J529)</f>
        <v>1</v>
      </c>
      <c r="H529" s="88"/>
      <c r="I529" s="88"/>
      <c r="J529" s="78">
        <f>MAX(K529:Q529)</f>
        <v>1</v>
      </c>
      <c r="K529" s="88">
        <v>1</v>
      </c>
      <c r="L529" s="88"/>
      <c r="M529" s="88"/>
      <c r="N529" s="88"/>
      <c r="O529" s="88"/>
      <c r="P529" s="88"/>
      <c r="Q529" s="88"/>
      <c r="R529" s="78">
        <f>MAX(S529:W529)</f>
        <v>0</v>
      </c>
      <c r="S529" s="88"/>
      <c r="T529" s="88"/>
      <c r="U529" s="88"/>
      <c r="V529" s="88"/>
      <c r="W529" s="88"/>
    </row>
    <row r="530" spans="2:23" s="0" customFormat="0" ht="15">
      <c r="B530" s="87" t="s">
        <v>1</v>
      </c>
      <c r="C530" s="88" t="s">
        <v>5259</v>
      </c>
      <c r="D530" s="88" t="s">
        <v>3344</v>
      </c>
      <c r="E530" s="88" t="s">
        <v>61</v>
      </c>
      <c r="F530" s="88">
        <v>0</v>
      </c>
      <c r="G530" s="78">
        <f>MAX(H530,I530,J530)</f>
        <v>0</v>
      </c>
      <c r="H530" s="88"/>
      <c r="I530" s="88"/>
      <c r="J530" s="78">
        <f>MAX(K530:Q530)</f>
        <v>0</v>
      </c>
      <c r="K530" s="88"/>
      <c r="L530" s="88"/>
      <c r="M530" s="88"/>
      <c r="N530" s="88"/>
      <c r="O530" s="88"/>
      <c r="P530" s="88"/>
      <c r="Q530" s="88"/>
      <c r="R530" s="78">
        <f>MAX(S530:W530)</f>
        <v>1</v>
      </c>
      <c r="S530" s="88"/>
      <c r="T530" s="88"/>
      <c r="U530" s="88">
        <v>1</v>
      </c>
      <c r="V530" s="88"/>
      <c r="W530" s="88"/>
    </row>
    <row r="531" spans="2:23" s="0" customFormat="0" ht="15">
      <c r="B531" s="87" t="s">
        <v>1</v>
      </c>
      <c r="C531" s="88" t="s">
        <v>5259</v>
      </c>
      <c r="D531" s="88" t="s">
        <v>3558</v>
      </c>
      <c r="E531" s="88" t="s">
        <v>61</v>
      </c>
      <c r="F531" s="88">
        <v>0</v>
      </c>
      <c r="G531" s="78">
        <f>MAX(H531,I531,J531)</f>
        <v>0</v>
      </c>
      <c r="H531" s="88"/>
      <c r="I531" s="88"/>
      <c r="J531" s="78">
        <f>MAX(K531:Q531)</f>
        <v>0</v>
      </c>
      <c r="K531" s="88"/>
      <c r="L531" s="88"/>
      <c r="M531" s="88"/>
      <c r="N531" s="88"/>
      <c r="O531" s="88"/>
      <c r="P531" s="88"/>
      <c r="Q531" s="88"/>
      <c r="R531" s="78">
        <f>MAX(S531:W531)</f>
        <v>1</v>
      </c>
      <c r="S531" s="88"/>
      <c r="T531" s="88"/>
      <c r="U531" s="88">
        <v>1</v>
      </c>
      <c r="V531" s="88"/>
      <c r="W531" s="88"/>
    </row>
    <row r="532" spans="2:23" s="0" customFormat="0" ht="15">
      <c r="B532" s="87" t="s">
        <v>1</v>
      </c>
      <c r="C532" s="88" t="s">
        <v>5259</v>
      </c>
      <c r="D532" s="88">
        <v>17776637</v>
      </c>
      <c r="E532" s="88" t="s">
        <v>61</v>
      </c>
      <c r="F532" s="88">
        <v>0</v>
      </c>
      <c r="G532" s="78">
        <f>MAX(H532,I532,J532)</f>
        <v>1</v>
      </c>
      <c r="H532" s="88"/>
      <c r="I532" s="88"/>
      <c r="J532" s="78">
        <f>MAX(K532:Q532)</f>
        <v>1</v>
      </c>
      <c r="K532" s="88">
        <v>1</v>
      </c>
      <c r="L532" s="88"/>
      <c r="M532" s="88"/>
      <c r="N532" s="88"/>
      <c r="O532" s="88"/>
      <c r="P532" s="88"/>
      <c r="Q532" s="88"/>
      <c r="R532" s="78">
        <f>MAX(S532:W532)</f>
        <v>0</v>
      </c>
      <c r="S532" s="88"/>
      <c r="T532" s="88"/>
      <c r="U532" s="88"/>
      <c r="V532" s="88"/>
      <c r="W532" s="88"/>
    </row>
    <row r="533" spans="2:23" s="0" customFormat="0" ht="15">
      <c r="B533" s="87" t="s">
        <v>1</v>
      </c>
      <c r="C533" s="88" t="s">
        <v>5259</v>
      </c>
      <c r="D533" s="88">
        <v>18850582</v>
      </c>
      <c r="E533" s="88" t="s">
        <v>61</v>
      </c>
      <c r="F533" s="88">
        <v>0</v>
      </c>
      <c r="G533" s="78">
        <f>MAX(H533,I533,J533)</f>
        <v>0</v>
      </c>
      <c r="H533" s="88"/>
      <c r="I533" s="88"/>
      <c r="J533" s="78">
        <f>MAX(K533:Q533)</f>
        <v>0</v>
      </c>
      <c r="K533" s="88"/>
      <c r="L533" s="88"/>
      <c r="M533" s="88"/>
      <c r="N533" s="88"/>
      <c r="O533" s="88"/>
      <c r="P533" s="88"/>
      <c r="Q533" s="88"/>
      <c r="R533" s="78">
        <f>MAX(S533:W533)</f>
        <v>1</v>
      </c>
      <c r="S533" s="88"/>
      <c r="T533" s="88"/>
      <c r="U533" s="88">
        <v>1</v>
      </c>
      <c r="V533" s="88"/>
      <c r="W533" s="88"/>
    </row>
    <row r="534" spans="2:23" s="0" customFormat="0" ht="15">
      <c r="B534" s="87" t="s">
        <v>1</v>
      </c>
      <c r="C534" s="88" t="s">
        <v>5259</v>
      </c>
      <c r="D534" s="88">
        <v>15887204</v>
      </c>
      <c r="E534" s="88" t="s">
        <v>61</v>
      </c>
      <c r="F534" s="88">
        <v>0</v>
      </c>
      <c r="G534" s="78">
        <f>MAX(H534,I534,J534)</f>
        <v>1</v>
      </c>
      <c r="H534" s="88"/>
      <c r="I534" s="88"/>
      <c r="J534" s="78">
        <f>MAX(K534:Q534)</f>
        <v>1</v>
      </c>
      <c r="K534" s="88">
        <v>1</v>
      </c>
      <c r="L534" s="88"/>
      <c r="M534" s="88"/>
      <c r="N534" s="88"/>
      <c r="O534" s="88"/>
      <c r="P534" s="88"/>
      <c r="Q534" s="88"/>
      <c r="R534" s="78">
        <f>MAX(S534:W534)</f>
        <v>0</v>
      </c>
      <c r="S534" s="88"/>
      <c r="T534" s="88"/>
      <c r="U534" s="88"/>
      <c r="V534" s="88"/>
      <c r="W534" s="88"/>
    </row>
    <row r="535" spans="2:23" s="0" customFormat="0" ht="15">
      <c r="B535" s="87" t="s">
        <v>1</v>
      </c>
      <c r="C535" s="88" t="s">
        <v>5259</v>
      </c>
      <c r="D535" s="88">
        <v>14903820</v>
      </c>
      <c r="E535" s="88" t="s">
        <v>61</v>
      </c>
      <c r="F535" s="88">
        <v>0</v>
      </c>
      <c r="G535" s="78">
        <f>MAX(H535,I535,J535)</f>
        <v>1</v>
      </c>
      <c r="H535" s="88"/>
      <c r="I535" s="88"/>
      <c r="J535" s="78">
        <f>MAX(K535:Q535)</f>
        <v>1</v>
      </c>
      <c r="K535" s="88">
        <v>1</v>
      </c>
      <c r="L535" s="88"/>
      <c r="M535" s="88"/>
      <c r="N535" s="88"/>
      <c r="O535" s="88"/>
      <c r="P535" s="88"/>
      <c r="Q535" s="88"/>
      <c r="R535" s="78">
        <f>MAX(S535:W535)</f>
        <v>0</v>
      </c>
      <c r="S535" s="88"/>
      <c r="T535" s="88"/>
      <c r="U535" s="88"/>
      <c r="V535" s="88"/>
      <c r="W535" s="88"/>
    </row>
    <row r="536" spans="2:23" s="0" customFormat="0" ht="15">
      <c r="B536" s="87" t="s">
        <v>1</v>
      </c>
      <c r="C536" s="88" t="s">
        <v>5259</v>
      </c>
      <c r="D536" s="88" t="s">
        <v>3538</v>
      </c>
      <c r="E536" s="88" t="s">
        <v>61</v>
      </c>
      <c r="F536" s="88">
        <v>0</v>
      </c>
      <c r="G536" s="78">
        <f>MAX(H536,I536,J536)</f>
        <v>0</v>
      </c>
      <c r="H536" s="88"/>
      <c r="I536" s="88"/>
      <c r="J536" s="78">
        <f>MAX(K536:Q536)</f>
        <v>0</v>
      </c>
      <c r="K536" s="88"/>
      <c r="L536" s="88"/>
      <c r="M536" s="88"/>
      <c r="N536" s="88"/>
      <c r="O536" s="88"/>
      <c r="P536" s="88"/>
      <c r="Q536" s="88"/>
      <c r="R536" s="78">
        <f>MAX(S536:W536)</f>
        <v>1</v>
      </c>
      <c r="S536" s="88"/>
      <c r="T536" s="88"/>
      <c r="U536" s="88">
        <v>1</v>
      </c>
      <c r="V536" s="88"/>
      <c r="W536" s="88"/>
    </row>
    <row r="537" spans="2:23" s="0" customFormat="0" ht="15">
      <c r="B537" s="87" t="s">
        <v>1</v>
      </c>
      <c r="C537" s="88" t="s">
        <v>5259</v>
      </c>
      <c r="D537" s="88">
        <v>22062042</v>
      </c>
      <c r="E537" s="88" t="s">
        <v>61</v>
      </c>
      <c r="F537" s="88">
        <v>0</v>
      </c>
      <c r="G537" s="78">
        <f>MAX(H537,I537,J537)</f>
        <v>1</v>
      </c>
      <c r="H537" s="88"/>
      <c r="I537" s="88"/>
      <c r="J537" s="78">
        <f>MAX(K537:Q537)</f>
        <v>1</v>
      </c>
      <c r="K537" s="88">
        <v>1</v>
      </c>
      <c r="L537" s="88"/>
      <c r="M537" s="88"/>
      <c r="N537" s="88"/>
      <c r="O537" s="88"/>
      <c r="P537" s="88"/>
      <c r="Q537" s="88"/>
      <c r="R537" s="78">
        <f>MAX(S537:W537)</f>
        <v>0</v>
      </c>
      <c r="S537" s="88"/>
      <c r="T537" s="88"/>
      <c r="U537" s="88"/>
      <c r="V537" s="88"/>
      <c r="W537" s="88"/>
    </row>
    <row r="538" spans="2:23" s="0" customFormat="0" ht="15">
      <c r="B538" s="87" t="s">
        <v>1</v>
      </c>
      <c r="C538" s="88" t="s">
        <v>5259</v>
      </c>
      <c r="D538" s="88" t="s">
        <v>3561</v>
      </c>
      <c r="E538" s="88" t="s">
        <v>61</v>
      </c>
      <c r="F538" s="88">
        <v>0</v>
      </c>
      <c r="G538" s="78">
        <f>MAX(H538,I538,J538)</f>
        <v>0</v>
      </c>
      <c r="H538" s="88"/>
      <c r="I538" s="88"/>
      <c r="J538" s="78">
        <f>MAX(K538:Q538)</f>
        <v>0</v>
      </c>
      <c r="K538" s="88"/>
      <c r="L538" s="88"/>
      <c r="M538" s="88"/>
      <c r="N538" s="88"/>
      <c r="O538" s="88"/>
      <c r="P538" s="88"/>
      <c r="Q538" s="88"/>
      <c r="R538" s="78">
        <f>MAX(S538:W538)</f>
        <v>1</v>
      </c>
      <c r="S538" s="88"/>
      <c r="T538" s="88"/>
      <c r="U538" s="88">
        <v>1</v>
      </c>
      <c r="V538" s="88"/>
      <c r="W538" s="88"/>
    </row>
    <row r="539" spans="2:23" s="0" customFormat="0" ht="15">
      <c r="B539" s="87" t="s">
        <v>1</v>
      </c>
      <c r="C539" s="88" t="s">
        <v>5259</v>
      </c>
      <c r="D539" s="88" t="s">
        <v>3563</v>
      </c>
      <c r="E539" s="88" t="s">
        <v>61</v>
      </c>
      <c r="F539" s="88">
        <v>0</v>
      </c>
      <c r="G539" s="78">
        <f>MAX(H539,I539,J539)</f>
        <v>0</v>
      </c>
      <c r="H539" s="88"/>
      <c r="I539" s="88"/>
      <c r="J539" s="78">
        <f>MAX(K539:Q539)</f>
        <v>0</v>
      </c>
      <c r="K539" s="88"/>
      <c r="L539" s="88"/>
      <c r="M539" s="88"/>
      <c r="N539" s="88"/>
      <c r="O539" s="88"/>
      <c r="P539" s="88"/>
      <c r="Q539" s="88"/>
      <c r="R539" s="78">
        <f>MAX(S539:W539)</f>
        <v>1</v>
      </c>
      <c r="S539" s="88"/>
      <c r="T539" s="88"/>
      <c r="U539" s="88">
        <v>1</v>
      </c>
      <c r="V539" s="88"/>
      <c r="W539" s="88"/>
    </row>
    <row r="540" spans="2:23" s="0" customFormat="0" ht="15">
      <c r="B540" s="87" t="s">
        <v>1</v>
      </c>
      <c r="C540" s="88" t="s">
        <v>5259</v>
      </c>
      <c r="D540" s="88">
        <v>18407518</v>
      </c>
      <c r="E540" s="88" t="s">
        <v>61</v>
      </c>
      <c r="F540" s="88">
        <v>0</v>
      </c>
      <c r="G540" s="78">
        <f>MAX(H540,I540,J540)</f>
        <v>1</v>
      </c>
      <c r="H540" s="88"/>
      <c r="I540" s="88"/>
      <c r="J540" s="78">
        <f>MAX(K540:Q540)</f>
        <v>1</v>
      </c>
      <c r="K540" s="88">
        <v>1</v>
      </c>
      <c r="L540" s="88"/>
      <c r="M540" s="88"/>
      <c r="N540" s="88"/>
      <c r="O540" s="88"/>
      <c r="P540" s="88"/>
      <c r="Q540" s="88"/>
      <c r="R540" s="78">
        <f>MAX(S540:W540)</f>
        <v>0</v>
      </c>
      <c r="S540" s="88"/>
      <c r="T540" s="88"/>
      <c r="U540" s="88"/>
      <c r="V540" s="88"/>
      <c r="W540" s="88"/>
    </row>
    <row r="541" spans="2:23" s="0" customFormat="0" ht="15">
      <c r="B541" s="87" t="s">
        <v>1</v>
      </c>
      <c r="C541" s="88" t="s">
        <v>5259</v>
      </c>
      <c r="D541" s="88">
        <v>14504648</v>
      </c>
      <c r="E541" s="88" t="s">
        <v>61</v>
      </c>
      <c r="F541" s="88">
        <v>0</v>
      </c>
      <c r="G541" s="78">
        <f>MAX(H541,I541,J541)</f>
        <v>0</v>
      </c>
      <c r="H541" s="88"/>
      <c r="I541" s="88"/>
      <c r="J541" s="78">
        <f>MAX(K541:Q541)</f>
        <v>0</v>
      </c>
      <c r="K541" s="88"/>
      <c r="L541" s="88"/>
      <c r="M541" s="88"/>
      <c r="N541" s="88"/>
      <c r="O541" s="88"/>
      <c r="P541" s="88"/>
      <c r="Q541" s="88"/>
      <c r="R541" s="78">
        <f>MAX(S541:W541)</f>
        <v>1</v>
      </c>
      <c r="S541" s="88"/>
      <c r="T541" s="88"/>
      <c r="U541" s="88">
        <v>1</v>
      </c>
      <c r="V541" s="88"/>
      <c r="W541" s="88"/>
    </row>
    <row r="542" spans="2:23" s="0" customFormat="0" ht="15">
      <c r="B542" s="87" t="s">
        <v>1</v>
      </c>
      <c r="C542" s="88" t="s">
        <v>5259</v>
      </c>
      <c r="D542" s="88">
        <v>15869428</v>
      </c>
      <c r="E542" s="88" t="s">
        <v>61</v>
      </c>
      <c r="F542" s="88">
        <v>0</v>
      </c>
      <c r="G542" s="78">
        <f>MAX(H542,I542,J542)</f>
        <v>1</v>
      </c>
      <c r="H542" s="88"/>
      <c r="I542" s="88"/>
      <c r="J542" s="78">
        <f>MAX(K542:Q542)</f>
        <v>1</v>
      </c>
      <c r="K542" s="88">
        <v>1</v>
      </c>
      <c r="L542" s="88"/>
      <c r="M542" s="88"/>
      <c r="N542" s="88"/>
      <c r="O542" s="88"/>
      <c r="P542" s="88"/>
      <c r="Q542" s="88"/>
      <c r="R542" s="78">
        <f>MAX(S542:W542)</f>
        <v>0</v>
      </c>
      <c r="S542" s="88"/>
      <c r="T542" s="88"/>
      <c r="U542" s="88"/>
      <c r="V542" s="88"/>
      <c r="W542" s="88"/>
    </row>
    <row r="543" spans="2:23" s="0" customFormat="0" ht="15">
      <c r="B543" s="87" t="s">
        <v>1</v>
      </c>
      <c r="C543" s="88" t="s">
        <v>5259</v>
      </c>
      <c r="D543" s="88">
        <v>19676193</v>
      </c>
      <c r="E543" s="88" t="s">
        <v>61</v>
      </c>
      <c r="F543" s="88">
        <v>0</v>
      </c>
      <c r="G543" s="78">
        <f>MAX(H543,I543,J543)</f>
        <v>1</v>
      </c>
      <c r="H543" s="88"/>
      <c r="I543" s="88"/>
      <c r="J543" s="78">
        <f>MAX(K543:Q543)</f>
        <v>1</v>
      </c>
      <c r="K543" s="88">
        <v>1</v>
      </c>
      <c r="L543" s="88"/>
      <c r="M543" s="88"/>
      <c r="N543" s="88"/>
      <c r="O543" s="88"/>
      <c r="P543" s="88"/>
      <c r="Q543" s="88"/>
      <c r="R543" s="78">
        <f>MAX(S543:W543)</f>
        <v>0</v>
      </c>
      <c r="S543" s="88"/>
      <c r="T543" s="88"/>
      <c r="U543" s="88"/>
      <c r="V543" s="88"/>
      <c r="W543" s="88"/>
    </row>
    <row r="544" spans="2:23" s="0" customFormat="0" ht="15">
      <c r="B544" s="87" t="s">
        <v>1</v>
      </c>
      <c r="C544" s="88" t="s">
        <v>5259</v>
      </c>
      <c r="D544" s="88">
        <v>24748824</v>
      </c>
      <c r="E544" s="88" t="s">
        <v>61</v>
      </c>
      <c r="F544" s="88">
        <v>0</v>
      </c>
      <c r="G544" s="78">
        <f>MAX(H544,I544,J544)</f>
        <v>1</v>
      </c>
      <c r="H544" s="88"/>
      <c r="I544" s="88"/>
      <c r="J544" s="78">
        <f>MAX(K544:Q544)</f>
        <v>1</v>
      </c>
      <c r="K544" s="88">
        <v>1</v>
      </c>
      <c r="L544" s="88"/>
      <c r="M544" s="88"/>
      <c r="N544" s="88"/>
      <c r="O544" s="88"/>
      <c r="P544" s="88"/>
      <c r="Q544" s="88"/>
      <c r="R544" s="78">
        <f>MAX(S544:W544)</f>
        <v>0</v>
      </c>
      <c r="S544" s="88"/>
      <c r="T544" s="88"/>
      <c r="U544" s="88"/>
      <c r="V544" s="88"/>
      <c r="W544" s="88"/>
    </row>
    <row r="545" spans="2:23" s="0" customFormat="0" ht="15">
      <c r="B545" s="87" t="s">
        <v>1</v>
      </c>
      <c r="C545" s="88" t="s">
        <v>5259</v>
      </c>
      <c r="D545" s="88" t="s">
        <v>3566</v>
      </c>
      <c r="E545" s="88" t="s">
        <v>61</v>
      </c>
      <c r="F545" s="88">
        <v>0</v>
      </c>
      <c r="G545" s="78">
        <f>MAX(H545,I545,J545)</f>
        <v>0</v>
      </c>
      <c r="H545" s="88"/>
      <c r="I545" s="88"/>
      <c r="J545" s="78">
        <f>MAX(K545:Q545)</f>
        <v>0</v>
      </c>
      <c r="K545" s="88"/>
      <c r="L545" s="88"/>
      <c r="M545" s="88"/>
      <c r="N545" s="88"/>
      <c r="O545" s="88"/>
      <c r="P545" s="88"/>
      <c r="Q545" s="88"/>
      <c r="R545" s="78">
        <f>MAX(S545:W545)</f>
        <v>1</v>
      </c>
      <c r="S545" s="88"/>
      <c r="T545" s="88"/>
      <c r="U545" s="88">
        <v>1</v>
      </c>
      <c r="V545" s="88"/>
      <c r="W545" s="88"/>
    </row>
    <row r="546" spans="2:23" s="0" customFormat="0" ht="15">
      <c r="B546" s="87" t="s">
        <v>1</v>
      </c>
      <c r="C546" s="88" t="s">
        <v>5259</v>
      </c>
      <c r="D546" s="88">
        <v>21714881</v>
      </c>
      <c r="E546" s="88" t="s">
        <v>61</v>
      </c>
      <c r="F546" s="88">
        <v>0</v>
      </c>
      <c r="G546" s="78">
        <f>MAX(H546,I546,J546)</f>
        <v>1</v>
      </c>
      <c r="H546" s="88"/>
      <c r="I546" s="88"/>
      <c r="J546" s="78">
        <f>MAX(K546:Q546)</f>
        <v>1</v>
      </c>
      <c r="K546" s="88">
        <v>1</v>
      </c>
      <c r="L546" s="88"/>
      <c r="M546" s="88"/>
      <c r="N546" s="88"/>
      <c r="O546" s="88"/>
      <c r="P546" s="88"/>
      <c r="Q546" s="88"/>
      <c r="R546" s="78">
        <f>MAX(S546:W546)</f>
        <v>0</v>
      </c>
      <c r="S546" s="88"/>
      <c r="T546" s="88"/>
      <c r="U546" s="88"/>
      <c r="V546" s="88"/>
      <c r="W546" s="88"/>
    </row>
    <row r="547" spans="2:23" s="0" customFormat="0" ht="15">
      <c r="B547" s="87" t="s">
        <v>1</v>
      </c>
      <c r="C547" s="88" t="s">
        <v>5259</v>
      </c>
      <c r="D547" s="88">
        <v>24426174</v>
      </c>
      <c r="E547" s="88" t="s">
        <v>61</v>
      </c>
      <c r="F547" s="88">
        <v>0</v>
      </c>
      <c r="G547" s="78">
        <f>MAX(H547,I547,J547)</f>
        <v>1</v>
      </c>
      <c r="H547" s="88"/>
      <c r="I547" s="88"/>
      <c r="J547" s="78">
        <f>MAX(K547:Q547)</f>
        <v>1</v>
      </c>
      <c r="K547" s="88">
        <v>1</v>
      </c>
      <c r="L547" s="88"/>
      <c r="M547" s="88"/>
      <c r="N547" s="88"/>
      <c r="O547" s="88"/>
      <c r="P547" s="88"/>
      <c r="Q547" s="88"/>
      <c r="R547" s="78">
        <f>MAX(S547:W547)</f>
        <v>0</v>
      </c>
      <c r="S547" s="88"/>
      <c r="T547" s="88"/>
      <c r="U547" s="88"/>
      <c r="V547" s="88"/>
      <c r="W547" s="88"/>
    </row>
    <row r="548" spans="2:23" s="0" customFormat="0" ht="15">
      <c r="B548" s="87" t="s">
        <v>1</v>
      </c>
      <c r="C548" s="88" t="s">
        <v>5259</v>
      </c>
      <c r="D548" s="88" t="s">
        <v>595</v>
      </c>
      <c r="E548" s="88" t="s">
        <v>61</v>
      </c>
      <c r="F548" s="88">
        <v>0</v>
      </c>
      <c r="G548" s="78">
        <f>MAX(H548,I548,J548)</f>
        <v>1</v>
      </c>
      <c r="H548" s="88"/>
      <c r="I548" s="88"/>
      <c r="J548" s="78">
        <f>MAX(K548:Q548)</f>
        <v>1</v>
      </c>
      <c r="K548" s="88">
        <v>1</v>
      </c>
      <c r="L548" s="88"/>
      <c r="M548" s="88"/>
      <c r="N548" s="88"/>
      <c r="O548" s="88"/>
      <c r="P548" s="88"/>
      <c r="Q548" s="88"/>
      <c r="R548" s="78">
        <f>MAX(S548:W548)</f>
        <v>0</v>
      </c>
      <c r="S548" s="88"/>
      <c r="T548" s="88"/>
      <c r="U548" s="88"/>
      <c r="V548" s="88"/>
      <c r="W548" s="88"/>
    </row>
    <row r="549" spans="2:23" s="0" customFormat="0" ht="15">
      <c r="B549" s="87" t="s">
        <v>1</v>
      </c>
      <c r="C549" s="88" t="s">
        <v>5259</v>
      </c>
      <c r="D549" s="88" t="s">
        <v>279</v>
      </c>
      <c r="E549" s="88" t="s">
        <v>61</v>
      </c>
      <c r="F549" s="88">
        <v>0</v>
      </c>
      <c r="G549" s="78">
        <f>MAX(H549,I549,J549)</f>
        <v>1</v>
      </c>
      <c r="H549" s="88"/>
      <c r="I549" s="88"/>
      <c r="J549" s="78">
        <f>MAX(K549:Q549)</f>
        <v>1</v>
      </c>
      <c r="K549" s="88">
        <v>1</v>
      </c>
      <c r="L549" s="88"/>
      <c r="M549" s="88"/>
      <c r="N549" s="88"/>
      <c r="O549" s="88"/>
      <c r="P549" s="88"/>
      <c r="Q549" s="88"/>
      <c r="R549" s="78">
        <f>MAX(S549:W549)</f>
        <v>0</v>
      </c>
      <c r="S549" s="88"/>
      <c r="T549" s="88"/>
      <c r="U549" s="88"/>
      <c r="V549" s="88"/>
      <c r="W549" s="88"/>
    </row>
    <row r="550" spans="2:23" s="0" customFormat="0" ht="15">
      <c r="B550" s="87" t="s">
        <v>1</v>
      </c>
      <c r="C550" s="88" t="s">
        <v>5259</v>
      </c>
      <c r="D550" s="88" t="s">
        <v>3568</v>
      </c>
      <c r="E550" s="88" t="s">
        <v>61</v>
      </c>
      <c r="F550" s="88">
        <v>0</v>
      </c>
      <c r="G550" s="78">
        <f>MAX(H550,I550,J550)</f>
        <v>0</v>
      </c>
      <c r="H550" s="88"/>
      <c r="I550" s="88"/>
      <c r="J550" s="78">
        <f>MAX(K550:Q550)</f>
        <v>0</v>
      </c>
      <c r="K550" s="88"/>
      <c r="L550" s="88"/>
      <c r="M550" s="88"/>
      <c r="N550" s="88"/>
      <c r="O550" s="88"/>
      <c r="P550" s="88"/>
      <c r="Q550" s="88"/>
      <c r="R550" s="78">
        <f>MAX(S550:W550)</f>
        <v>1</v>
      </c>
      <c r="S550" s="88"/>
      <c r="T550" s="88"/>
      <c r="U550" s="88">
        <v>1</v>
      </c>
      <c r="V550" s="88"/>
      <c r="W550" s="88"/>
    </row>
    <row r="551" spans="2:23" s="0" customFormat="0" ht="15">
      <c r="B551" s="87" t="s">
        <v>1</v>
      </c>
      <c r="C551" s="88" t="s">
        <v>5259</v>
      </c>
      <c r="D551" s="88">
        <v>22246383</v>
      </c>
      <c r="E551" s="88" t="s">
        <v>61</v>
      </c>
      <c r="F551" s="88">
        <v>0</v>
      </c>
      <c r="G551" s="78">
        <f>MAX(H551,I551,J551)</f>
        <v>1</v>
      </c>
      <c r="H551" s="88"/>
      <c r="I551" s="88"/>
      <c r="J551" s="78">
        <f>MAX(K551:Q551)</f>
        <v>1</v>
      </c>
      <c r="K551" s="88">
        <v>1</v>
      </c>
      <c r="L551" s="88"/>
      <c r="M551" s="88"/>
      <c r="N551" s="88"/>
      <c r="O551" s="88"/>
      <c r="P551" s="88"/>
      <c r="Q551" s="88"/>
      <c r="R551" s="78">
        <f>MAX(S551:W551)</f>
        <v>0</v>
      </c>
      <c r="S551" s="88"/>
      <c r="T551" s="88"/>
      <c r="U551" s="88"/>
      <c r="V551" s="88"/>
      <c r="W551" s="88"/>
    </row>
    <row r="552" spans="2:23" s="0" customFormat="0" ht="15">
      <c r="B552" s="87" t="s">
        <v>1</v>
      </c>
      <c r="C552" s="88" t="s">
        <v>5259</v>
      </c>
      <c r="D552" s="88">
        <v>22069574</v>
      </c>
      <c r="E552" s="88" t="s">
        <v>61</v>
      </c>
      <c r="F552" s="88">
        <v>0</v>
      </c>
      <c r="G552" s="78">
        <f>MAX(H552,I552,J552)</f>
        <v>1</v>
      </c>
      <c r="H552" s="88"/>
      <c r="I552" s="88"/>
      <c r="J552" s="78">
        <f>MAX(K552:Q552)</f>
        <v>1</v>
      </c>
      <c r="K552" s="88">
        <v>1</v>
      </c>
      <c r="L552" s="88"/>
      <c r="M552" s="88"/>
      <c r="N552" s="88"/>
      <c r="O552" s="88"/>
      <c r="P552" s="88"/>
      <c r="Q552" s="88"/>
      <c r="R552" s="78">
        <f>MAX(S552:W552)</f>
        <v>0</v>
      </c>
      <c r="S552" s="88"/>
      <c r="T552" s="88"/>
      <c r="U552" s="88"/>
      <c r="V552" s="88"/>
      <c r="W552" s="88"/>
    </row>
    <row r="553" spans="2:23" s="0" customFormat="0" ht="15">
      <c r="B553" s="87" t="s">
        <v>1</v>
      </c>
      <c r="C553" s="88" t="s">
        <v>5259</v>
      </c>
      <c r="D553" s="88">
        <v>1921702</v>
      </c>
      <c r="E553" s="88" t="s">
        <v>61</v>
      </c>
      <c r="F553" s="88">
        <v>0</v>
      </c>
      <c r="G553" s="78">
        <f>MAX(H553,I553,J553)</f>
        <v>0</v>
      </c>
      <c r="H553" s="88"/>
      <c r="I553" s="88"/>
      <c r="J553" s="78">
        <f>MAX(K553:Q553)</f>
        <v>0</v>
      </c>
      <c r="K553" s="88"/>
      <c r="L553" s="88"/>
      <c r="M553" s="88"/>
      <c r="N553" s="88"/>
      <c r="O553" s="88"/>
      <c r="P553" s="88"/>
      <c r="Q553" s="88"/>
      <c r="R553" s="78">
        <f>MAX(S553:W553)</f>
        <v>1</v>
      </c>
      <c r="S553" s="88"/>
      <c r="T553" s="88"/>
      <c r="U553" s="88">
        <v>1</v>
      </c>
      <c r="V553" s="88"/>
      <c r="W553" s="88"/>
    </row>
    <row r="554" spans="2:23" s="0" customFormat="0" ht="15">
      <c r="B554" s="87" t="s">
        <v>1</v>
      </c>
      <c r="C554" s="88" t="s">
        <v>5259</v>
      </c>
      <c r="D554" s="88" t="s">
        <v>3200</v>
      </c>
      <c r="E554" s="88" t="s">
        <v>61</v>
      </c>
      <c r="F554" s="88">
        <v>0</v>
      </c>
      <c r="G554" s="78">
        <f>MAX(H554,I554,J554)</f>
        <v>0</v>
      </c>
      <c r="H554" s="88"/>
      <c r="I554" s="88"/>
      <c r="J554" s="78">
        <f>MAX(K554:Q554)</f>
        <v>0</v>
      </c>
      <c r="K554" s="88"/>
      <c r="L554" s="88"/>
      <c r="M554" s="88"/>
      <c r="N554" s="88"/>
      <c r="O554" s="88"/>
      <c r="P554" s="88"/>
      <c r="Q554" s="88"/>
      <c r="R554" s="78">
        <f>MAX(S554:W554)</f>
        <v>1</v>
      </c>
      <c r="S554" s="88"/>
      <c r="T554" s="88"/>
      <c r="U554" s="88"/>
      <c r="V554" s="88">
        <v>1</v>
      </c>
      <c r="W554" s="88"/>
    </row>
    <row r="555" spans="2:23" s="0" customFormat="0" ht="15">
      <c r="B555" s="87" t="s">
        <v>1</v>
      </c>
      <c r="C555" s="88" t="s">
        <v>5259</v>
      </c>
      <c r="D555" s="88" t="s">
        <v>599</v>
      </c>
      <c r="E555" s="88" t="s">
        <v>61</v>
      </c>
      <c r="F555" s="88">
        <v>0</v>
      </c>
      <c r="G555" s="78">
        <f>MAX(H555,I555,J555)</f>
        <v>1</v>
      </c>
      <c r="H555" s="88"/>
      <c r="I555" s="88"/>
      <c r="J555" s="78">
        <f>MAX(K555:Q555)</f>
        <v>1</v>
      </c>
      <c r="K555" s="88">
        <v>1</v>
      </c>
      <c r="L555" s="88"/>
      <c r="M555" s="88"/>
      <c r="N555" s="88"/>
      <c r="O555" s="88"/>
      <c r="P555" s="88"/>
      <c r="Q555" s="88"/>
      <c r="R555" s="78">
        <f>MAX(S555:W555)</f>
        <v>0</v>
      </c>
      <c r="S555" s="88"/>
      <c r="T555" s="88"/>
      <c r="U555" s="88"/>
      <c r="V555" s="88"/>
      <c r="W555" s="88"/>
    </row>
    <row r="556" spans="2:23" s="0" customFormat="0" ht="15">
      <c r="B556" s="87" t="s">
        <v>1</v>
      </c>
      <c r="C556" s="88" t="s">
        <v>5259</v>
      </c>
      <c r="D556" s="88">
        <v>20708335</v>
      </c>
      <c r="E556" s="88" t="s">
        <v>61</v>
      </c>
      <c r="F556" s="88">
        <v>0</v>
      </c>
      <c r="G556" s="78">
        <f>MAX(H556,I556,J556)</f>
        <v>1</v>
      </c>
      <c r="H556" s="88"/>
      <c r="I556" s="88"/>
      <c r="J556" s="78">
        <f>MAX(K556:Q556)</f>
        <v>1</v>
      </c>
      <c r="K556" s="88">
        <v>1</v>
      </c>
      <c r="L556" s="88"/>
      <c r="M556" s="88"/>
      <c r="N556" s="88"/>
      <c r="O556" s="88"/>
      <c r="P556" s="88"/>
      <c r="Q556" s="88"/>
      <c r="R556" s="78">
        <f>MAX(S556:W556)</f>
        <v>0</v>
      </c>
      <c r="S556" s="88"/>
      <c r="T556" s="88"/>
      <c r="U556" s="88"/>
      <c r="V556" s="88"/>
      <c r="W556" s="88"/>
    </row>
    <row r="557" spans="2:23" s="0" customFormat="0" ht="15">
      <c r="B557" s="87" t="s">
        <v>1</v>
      </c>
      <c r="C557" s="88" t="s">
        <v>5259</v>
      </c>
      <c r="D557" s="88" t="s">
        <v>3571</v>
      </c>
      <c r="E557" s="88" t="s">
        <v>61</v>
      </c>
      <c r="F557" s="88">
        <v>0</v>
      </c>
      <c r="G557" s="78">
        <f>MAX(H557,I557,J557)</f>
        <v>0</v>
      </c>
      <c r="H557" s="88"/>
      <c r="I557" s="88"/>
      <c r="J557" s="78">
        <f>MAX(K557:Q557)</f>
        <v>0</v>
      </c>
      <c r="K557" s="88"/>
      <c r="L557" s="88"/>
      <c r="M557" s="88"/>
      <c r="N557" s="88"/>
      <c r="O557" s="88"/>
      <c r="P557" s="88"/>
      <c r="Q557" s="88"/>
      <c r="R557" s="78">
        <f>MAX(S557:W557)</f>
        <v>1</v>
      </c>
      <c r="S557" s="88"/>
      <c r="T557" s="88"/>
      <c r="U557" s="88">
        <v>1</v>
      </c>
      <c r="V557" s="88"/>
      <c r="W557" s="88"/>
    </row>
    <row r="558" spans="2:23" s="0" customFormat="0" ht="15">
      <c r="B558" s="87" t="s">
        <v>1</v>
      </c>
      <c r="C558" s="88" t="s">
        <v>5259</v>
      </c>
      <c r="D558" s="88">
        <v>3001303</v>
      </c>
      <c r="E558" s="88" t="s">
        <v>61</v>
      </c>
      <c r="F558" s="88">
        <v>0</v>
      </c>
      <c r="G558" s="78">
        <f>MAX(H558,I558,J558)</f>
        <v>1</v>
      </c>
      <c r="H558" s="88"/>
      <c r="I558" s="88"/>
      <c r="J558" s="78">
        <f>MAX(K558:Q558)</f>
        <v>1</v>
      </c>
      <c r="K558" s="88">
        <v>1</v>
      </c>
      <c r="L558" s="88"/>
      <c r="M558" s="88"/>
      <c r="N558" s="88"/>
      <c r="O558" s="88"/>
      <c r="P558" s="88"/>
      <c r="Q558" s="88"/>
      <c r="R558" s="78">
        <f>MAX(S558:W558)</f>
        <v>0</v>
      </c>
      <c r="S558" s="88"/>
      <c r="T558" s="88"/>
      <c r="U558" s="88"/>
      <c r="V558" s="88"/>
      <c r="W558" s="88"/>
    </row>
    <row r="559" spans="2:23" s="0" customFormat="0" ht="15">
      <c r="B559" s="87" t="s">
        <v>1</v>
      </c>
      <c r="C559" s="88" t="s">
        <v>5259</v>
      </c>
      <c r="D559" s="88" t="s">
        <v>3573</v>
      </c>
      <c r="E559" s="88" t="s">
        <v>61</v>
      </c>
      <c r="F559" s="88">
        <v>0</v>
      </c>
      <c r="G559" s="78">
        <f>MAX(H559,I559,J559)</f>
        <v>0</v>
      </c>
      <c r="H559" s="88"/>
      <c r="I559" s="88"/>
      <c r="J559" s="78">
        <f>MAX(K559:Q559)</f>
        <v>0</v>
      </c>
      <c r="K559" s="88"/>
      <c r="L559" s="88"/>
      <c r="M559" s="88"/>
      <c r="N559" s="88"/>
      <c r="O559" s="88"/>
      <c r="P559" s="88"/>
      <c r="Q559" s="88"/>
      <c r="R559" s="78">
        <f>MAX(S559:W559)</f>
        <v>1</v>
      </c>
      <c r="S559" s="88"/>
      <c r="T559" s="88"/>
      <c r="U559" s="88">
        <v>1</v>
      </c>
      <c r="V559" s="88"/>
      <c r="W559" s="88"/>
    </row>
    <row r="560" spans="2:23" s="0" customFormat="0" ht="15">
      <c r="B560" s="87" t="s">
        <v>1</v>
      </c>
      <c r="C560" s="88" t="s">
        <v>5259</v>
      </c>
      <c r="D560" s="88">
        <v>16211005</v>
      </c>
      <c r="E560" s="88" t="s">
        <v>61</v>
      </c>
      <c r="F560" s="88">
        <v>0</v>
      </c>
      <c r="G560" s="78">
        <f>MAX(H560,I560,J560)</f>
        <v>1</v>
      </c>
      <c r="H560" s="88"/>
      <c r="I560" s="88"/>
      <c r="J560" s="78">
        <f>MAX(K560:Q560)</f>
        <v>1</v>
      </c>
      <c r="K560" s="88">
        <v>1</v>
      </c>
      <c r="L560" s="88"/>
      <c r="M560" s="88"/>
      <c r="N560" s="88"/>
      <c r="O560" s="88"/>
      <c r="P560" s="88"/>
      <c r="Q560" s="88"/>
      <c r="R560" s="78">
        <f>MAX(S560:W560)</f>
        <v>0</v>
      </c>
      <c r="S560" s="88"/>
      <c r="T560" s="88"/>
      <c r="U560" s="88"/>
      <c r="V560" s="88"/>
      <c r="W560" s="88"/>
    </row>
    <row r="561" spans="2:23" s="0" customFormat="0" ht="15">
      <c r="B561" s="87" t="s">
        <v>1</v>
      </c>
      <c r="C561" s="88" t="s">
        <v>5259</v>
      </c>
      <c r="D561" s="88">
        <v>11002190</v>
      </c>
      <c r="E561" s="88" t="s">
        <v>61</v>
      </c>
      <c r="F561" s="88">
        <v>0</v>
      </c>
      <c r="G561" s="78">
        <f>MAX(H561,I561,J561)</f>
        <v>1</v>
      </c>
      <c r="H561" s="88"/>
      <c r="I561" s="88"/>
      <c r="J561" s="78">
        <f>MAX(K561:Q561)</f>
        <v>1</v>
      </c>
      <c r="K561" s="88">
        <v>1</v>
      </c>
      <c r="L561" s="88"/>
      <c r="M561" s="88"/>
      <c r="N561" s="88"/>
      <c r="O561" s="88"/>
      <c r="P561" s="88"/>
      <c r="Q561" s="88"/>
      <c r="R561" s="78">
        <f>MAX(S561:W561)</f>
        <v>0</v>
      </c>
      <c r="S561" s="88"/>
      <c r="T561" s="88"/>
      <c r="U561" s="88"/>
      <c r="V561" s="88"/>
      <c r="W561" s="88"/>
    </row>
    <row r="562" spans="2:23" s="0" customFormat="0" ht="15">
      <c r="B562" s="87" t="s">
        <v>1</v>
      </c>
      <c r="C562" s="88" t="s">
        <v>5259</v>
      </c>
      <c r="D562" s="88" t="s">
        <v>604</v>
      </c>
      <c r="E562" s="88" t="s">
        <v>61</v>
      </c>
      <c r="F562" s="88">
        <v>0</v>
      </c>
      <c r="G562" s="78">
        <f>MAX(H562,I562,J562)</f>
        <v>1</v>
      </c>
      <c r="H562" s="88"/>
      <c r="I562" s="88"/>
      <c r="J562" s="78">
        <f>MAX(K562:Q562)</f>
        <v>1</v>
      </c>
      <c r="K562" s="88">
        <v>1</v>
      </c>
      <c r="L562" s="88"/>
      <c r="M562" s="88"/>
      <c r="N562" s="88"/>
      <c r="O562" s="88"/>
      <c r="P562" s="88"/>
      <c r="Q562" s="88"/>
      <c r="R562" s="78">
        <f>MAX(S562:W562)</f>
        <v>0</v>
      </c>
      <c r="S562" s="88"/>
      <c r="T562" s="88"/>
      <c r="U562" s="88"/>
      <c r="V562" s="88"/>
      <c r="W562" s="88"/>
    </row>
    <row r="563" spans="2:23" s="0" customFormat="0" ht="15">
      <c r="B563" s="87" t="s">
        <v>1</v>
      </c>
      <c r="C563" s="88" t="s">
        <v>5259</v>
      </c>
      <c r="D563" s="88" t="s">
        <v>3575</v>
      </c>
      <c r="E563" s="88" t="s">
        <v>61</v>
      </c>
      <c r="F563" s="88">
        <v>0</v>
      </c>
      <c r="G563" s="78">
        <f>MAX(H563,I563,J563)</f>
        <v>0</v>
      </c>
      <c r="H563" s="88"/>
      <c r="I563" s="88"/>
      <c r="J563" s="78">
        <f>MAX(K563:Q563)</f>
        <v>0</v>
      </c>
      <c r="K563" s="88"/>
      <c r="L563" s="88"/>
      <c r="M563" s="88"/>
      <c r="N563" s="88"/>
      <c r="O563" s="88"/>
      <c r="P563" s="88"/>
      <c r="Q563" s="88"/>
      <c r="R563" s="78">
        <f>MAX(S563:W563)</f>
        <v>1</v>
      </c>
      <c r="S563" s="88"/>
      <c r="T563" s="88"/>
      <c r="U563" s="88">
        <v>1</v>
      </c>
      <c r="V563" s="88"/>
      <c r="W563" s="88"/>
    </row>
    <row r="564" spans="2:23" s="0" customFormat="0" ht="15">
      <c r="B564" s="87" t="s">
        <v>1</v>
      </c>
      <c r="C564" s="88" t="s">
        <v>5259</v>
      </c>
      <c r="D564" s="88">
        <v>21743790</v>
      </c>
      <c r="E564" s="88" t="s">
        <v>61</v>
      </c>
      <c r="F564" s="88">
        <v>0</v>
      </c>
      <c r="G564" s="78">
        <f>MAX(H564,I564,J564)</f>
        <v>1</v>
      </c>
      <c r="H564" s="88"/>
      <c r="I564" s="88"/>
      <c r="J564" s="78">
        <f>MAX(K564:Q564)</f>
        <v>1</v>
      </c>
      <c r="K564" s="88">
        <v>1</v>
      </c>
      <c r="L564" s="88"/>
      <c r="M564" s="88"/>
      <c r="N564" s="88"/>
      <c r="O564" s="88"/>
      <c r="P564" s="88"/>
      <c r="Q564" s="88"/>
      <c r="R564" s="78">
        <f>MAX(S564:W564)</f>
        <v>0</v>
      </c>
      <c r="S564" s="88"/>
      <c r="T564" s="88"/>
      <c r="U564" s="88"/>
      <c r="V564" s="88"/>
      <c r="W564" s="88"/>
    </row>
    <row r="565" spans="2:23" s="0" customFormat="0" ht="15">
      <c r="B565" s="87" t="s">
        <v>1</v>
      </c>
      <c r="C565" s="88" t="s">
        <v>5259</v>
      </c>
      <c r="D565" s="88" t="s">
        <v>3202</v>
      </c>
      <c r="E565" s="88" t="s">
        <v>61</v>
      </c>
      <c r="F565" s="88">
        <v>0</v>
      </c>
      <c r="G565" s="78">
        <f>MAX(H565,I565,J565)</f>
        <v>0</v>
      </c>
      <c r="H565" s="88"/>
      <c r="I565" s="88"/>
      <c r="J565" s="78">
        <f>MAX(K565:Q565)</f>
        <v>0</v>
      </c>
      <c r="K565" s="88"/>
      <c r="L565" s="88"/>
      <c r="M565" s="88"/>
      <c r="N565" s="88"/>
      <c r="O565" s="88"/>
      <c r="P565" s="88"/>
      <c r="Q565" s="88"/>
      <c r="R565" s="78">
        <f>MAX(S565:W565)</f>
        <v>1</v>
      </c>
      <c r="S565" s="88"/>
      <c r="T565" s="88"/>
      <c r="U565" s="88"/>
      <c r="V565" s="88">
        <v>1</v>
      </c>
      <c r="W565" s="88"/>
    </row>
    <row r="566" spans="2:23" s="0" customFormat="0" ht="15">
      <c r="B566" s="87" t="s">
        <v>1</v>
      </c>
      <c r="C566" s="88" t="s">
        <v>5259</v>
      </c>
      <c r="D566" s="88">
        <v>20215778</v>
      </c>
      <c r="E566" s="88" t="s">
        <v>61</v>
      </c>
      <c r="F566" s="88">
        <v>0</v>
      </c>
      <c r="G566" s="78">
        <f>MAX(H566,I566,J566)</f>
        <v>1</v>
      </c>
      <c r="H566" s="88"/>
      <c r="I566" s="88"/>
      <c r="J566" s="78">
        <f>MAX(K566:Q566)</f>
        <v>1</v>
      </c>
      <c r="K566" s="88">
        <v>1</v>
      </c>
      <c r="L566" s="88"/>
      <c r="M566" s="88"/>
      <c r="N566" s="88"/>
      <c r="O566" s="88"/>
      <c r="P566" s="88"/>
      <c r="Q566" s="88"/>
      <c r="R566" s="78">
        <f>MAX(S566:W566)</f>
        <v>0</v>
      </c>
      <c r="S566" s="88"/>
      <c r="T566" s="88"/>
      <c r="U566" s="88"/>
      <c r="V566" s="88"/>
      <c r="W566" s="88"/>
    </row>
    <row r="567" spans="2:23" s="0" customFormat="0" ht="15">
      <c r="B567" s="87" t="s">
        <v>1</v>
      </c>
      <c r="C567" s="88" t="s">
        <v>5259</v>
      </c>
      <c r="D567" s="88">
        <v>12553441</v>
      </c>
      <c r="E567" s="88" t="s">
        <v>61</v>
      </c>
      <c r="F567" s="88">
        <v>0</v>
      </c>
      <c r="G567" s="78">
        <f>MAX(H567,I567,J567)</f>
        <v>1</v>
      </c>
      <c r="H567" s="88"/>
      <c r="I567" s="88"/>
      <c r="J567" s="78">
        <f>MAX(K567:Q567)</f>
        <v>1</v>
      </c>
      <c r="K567" s="88">
        <v>1</v>
      </c>
      <c r="L567" s="88"/>
      <c r="M567" s="88"/>
      <c r="N567" s="88"/>
      <c r="O567" s="88"/>
      <c r="P567" s="88"/>
      <c r="Q567" s="88"/>
      <c r="R567" s="78">
        <f>MAX(S567:W567)</f>
        <v>0</v>
      </c>
      <c r="S567" s="88"/>
      <c r="T567" s="88"/>
      <c r="U567" s="88"/>
      <c r="V567" s="88"/>
      <c r="W567" s="88"/>
    </row>
    <row r="568" spans="2:23" s="0" customFormat="0" ht="15">
      <c r="B568" s="87" t="s">
        <v>1</v>
      </c>
      <c r="C568" s="88" t="s">
        <v>5259</v>
      </c>
      <c r="D568" s="88" t="s">
        <v>3536</v>
      </c>
      <c r="E568" s="88" t="s">
        <v>61</v>
      </c>
      <c r="F568" s="88">
        <v>0</v>
      </c>
      <c r="G568" s="78">
        <f>MAX(H568,I568,J568)</f>
        <v>0</v>
      </c>
      <c r="H568" s="88"/>
      <c r="I568" s="88"/>
      <c r="J568" s="78">
        <f>MAX(K568:Q568)</f>
        <v>0</v>
      </c>
      <c r="K568" s="88"/>
      <c r="L568" s="88"/>
      <c r="M568" s="88"/>
      <c r="N568" s="88"/>
      <c r="O568" s="88"/>
      <c r="P568" s="88"/>
      <c r="Q568" s="88"/>
      <c r="R568" s="78">
        <f>MAX(S568:W568)</f>
        <v>1</v>
      </c>
      <c r="S568" s="88"/>
      <c r="T568" s="88"/>
      <c r="U568" s="88">
        <v>1</v>
      </c>
      <c r="V568" s="88"/>
      <c r="W568" s="88"/>
    </row>
    <row r="569" spans="2:23" s="0" customFormat="0" ht="15">
      <c r="B569" s="87" t="s">
        <v>1</v>
      </c>
      <c r="C569" s="88" t="s">
        <v>5259</v>
      </c>
      <c r="D569" s="88">
        <v>23595944</v>
      </c>
      <c r="E569" s="88" t="s">
        <v>61</v>
      </c>
      <c r="F569" s="88">
        <v>0</v>
      </c>
      <c r="G569" s="78">
        <f>MAX(H569,I569,J569)</f>
        <v>1</v>
      </c>
      <c r="H569" s="88"/>
      <c r="I569" s="88"/>
      <c r="J569" s="78">
        <f>MAX(K569:Q569)</f>
        <v>1</v>
      </c>
      <c r="K569" s="88">
        <v>1</v>
      </c>
      <c r="L569" s="88"/>
      <c r="M569" s="88"/>
      <c r="N569" s="88"/>
      <c r="O569" s="88"/>
      <c r="P569" s="88"/>
      <c r="Q569" s="88"/>
      <c r="R569" s="78">
        <f>MAX(S569:W569)</f>
        <v>0</v>
      </c>
      <c r="S569" s="88"/>
      <c r="T569" s="88"/>
      <c r="U569" s="88"/>
      <c r="V569" s="88"/>
      <c r="W569" s="88"/>
    </row>
    <row r="570" spans="2:23" s="0" customFormat="0" ht="15">
      <c r="B570" s="87" t="s">
        <v>1</v>
      </c>
      <c r="C570" s="88" t="s">
        <v>5259</v>
      </c>
      <c r="D570" s="88" t="s">
        <v>610</v>
      </c>
      <c r="E570" s="88" t="s">
        <v>61</v>
      </c>
      <c r="F570" s="88">
        <v>0</v>
      </c>
      <c r="G570" s="78">
        <f>MAX(H570,I570,J570)</f>
        <v>1</v>
      </c>
      <c r="H570" s="88"/>
      <c r="I570" s="88"/>
      <c r="J570" s="78">
        <f>MAX(K570:Q570)</f>
        <v>1</v>
      </c>
      <c r="K570" s="88">
        <v>1</v>
      </c>
      <c r="L570" s="88"/>
      <c r="M570" s="88"/>
      <c r="N570" s="88"/>
      <c r="O570" s="88"/>
      <c r="P570" s="88"/>
      <c r="Q570" s="88"/>
      <c r="R570" s="78">
        <f>MAX(S570:W570)</f>
        <v>0</v>
      </c>
      <c r="S570" s="88"/>
      <c r="T570" s="88"/>
      <c r="U570" s="88"/>
      <c r="V570" s="88"/>
      <c r="W570" s="88"/>
    </row>
    <row r="571" spans="2:23" s="0" customFormat="0" ht="15">
      <c r="B571" s="87" t="s">
        <v>1</v>
      </c>
      <c r="C571" s="88" t="s">
        <v>5259</v>
      </c>
      <c r="D571" s="88">
        <v>19485210</v>
      </c>
      <c r="E571" s="88" t="s">
        <v>61</v>
      </c>
      <c r="F571" s="88">
        <v>0</v>
      </c>
      <c r="G571" s="78">
        <f>MAX(H571,I571,J571)</f>
        <v>1</v>
      </c>
      <c r="H571" s="88"/>
      <c r="I571" s="88"/>
      <c r="J571" s="78">
        <f>MAX(K571:Q571)</f>
        <v>1</v>
      </c>
      <c r="K571" s="88">
        <v>1</v>
      </c>
      <c r="L571" s="88"/>
      <c r="M571" s="88"/>
      <c r="N571" s="88"/>
      <c r="O571" s="88"/>
      <c r="P571" s="88"/>
      <c r="Q571" s="88"/>
      <c r="R571" s="78">
        <f>MAX(S571:W571)</f>
        <v>0</v>
      </c>
      <c r="S571" s="88"/>
      <c r="T571" s="88"/>
      <c r="U571" s="88"/>
      <c r="V571" s="88"/>
      <c r="W571" s="88"/>
    </row>
    <row r="572" spans="2:23" s="0" customFormat="0" ht="15">
      <c r="B572" s="87" t="s">
        <v>1</v>
      </c>
      <c r="C572" s="88" t="s">
        <v>5259</v>
      </c>
      <c r="D572" s="88">
        <v>13366879</v>
      </c>
      <c r="E572" s="88" t="s">
        <v>61</v>
      </c>
      <c r="F572" s="88">
        <v>0</v>
      </c>
      <c r="G572" s="78">
        <f>MAX(H572,I572,J572)</f>
        <v>1</v>
      </c>
      <c r="H572" s="88"/>
      <c r="I572" s="88"/>
      <c r="J572" s="78">
        <f>MAX(K572:Q572)</f>
        <v>1</v>
      </c>
      <c r="K572" s="88">
        <v>1</v>
      </c>
      <c r="L572" s="88"/>
      <c r="M572" s="88"/>
      <c r="N572" s="88"/>
      <c r="O572" s="88"/>
      <c r="P572" s="88"/>
      <c r="Q572" s="88"/>
      <c r="R572" s="78">
        <f>MAX(S572:W572)</f>
        <v>0</v>
      </c>
      <c r="S572" s="88"/>
      <c r="T572" s="88"/>
      <c r="U572" s="88"/>
      <c r="V572" s="88"/>
      <c r="W572" s="88"/>
    </row>
    <row r="573" spans="2:23" s="0" customFormat="0" ht="15">
      <c r="B573" s="87" t="s">
        <v>1</v>
      </c>
      <c r="C573" s="88" t="s">
        <v>5259</v>
      </c>
      <c r="D573" s="88">
        <v>14729825</v>
      </c>
      <c r="E573" s="88" t="s">
        <v>61</v>
      </c>
      <c r="F573" s="88">
        <v>0</v>
      </c>
      <c r="G573" s="78">
        <f>MAX(H573,I573,J573)</f>
        <v>1</v>
      </c>
      <c r="H573" s="88"/>
      <c r="I573" s="88"/>
      <c r="J573" s="78">
        <f>MAX(K573:Q573)</f>
        <v>1</v>
      </c>
      <c r="K573" s="88">
        <v>1</v>
      </c>
      <c r="L573" s="88"/>
      <c r="M573" s="88"/>
      <c r="N573" s="88"/>
      <c r="O573" s="88"/>
      <c r="P573" s="88"/>
      <c r="Q573" s="88"/>
      <c r="R573" s="78">
        <f>MAX(S573:W573)</f>
        <v>0</v>
      </c>
      <c r="S573" s="88"/>
      <c r="T573" s="88"/>
      <c r="U573" s="88"/>
      <c r="V573" s="88"/>
      <c r="W573" s="88"/>
    </row>
    <row r="574" spans="2:23" s="0" customFormat="0" ht="15">
      <c r="B574" s="87" t="s">
        <v>1</v>
      </c>
      <c r="C574" s="88" t="s">
        <v>5259</v>
      </c>
      <c r="D574" s="88">
        <v>17785897</v>
      </c>
      <c r="E574" s="88" t="s">
        <v>61</v>
      </c>
      <c r="F574" s="88">
        <v>0</v>
      </c>
      <c r="G574" s="78">
        <f>MAX(H574,I574,J574)</f>
        <v>1</v>
      </c>
      <c r="H574" s="88"/>
      <c r="I574" s="88"/>
      <c r="J574" s="78">
        <f>MAX(K574:Q574)</f>
        <v>1</v>
      </c>
      <c r="K574" s="88">
        <v>1</v>
      </c>
      <c r="L574" s="88"/>
      <c r="M574" s="88"/>
      <c r="N574" s="88"/>
      <c r="O574" s="88"/>
      <c r="P574" s="88"/>
      <c r="Q574" s="88"/>
      <c r="R574" s="78">
        <f>MAX(S574:W574)</f>
        <v>0</v>
      </c>
      <c r="S574" s="88"/>
      <c r="T574" s="88"/>
      <c r="U574" s="88"/>
      <c r="V574" s="88"/>
      <c r="W574" s="88"/>
    </row>
    <row r="575" spans="2:23" s="0" customFormat="0" ht="15">
      <c r="B575" s="87" t="s">
        <v>1</v>
      </c>
      <c r="C575" s="88" t="s">
        <v>5259</v>
      </c>
      <c r="D575" s="88">
        <v>16974062</v>
      </c>
      <c r="E575" s="88" t="s">
        <v>61</v>
      </c>
      <c r="F575" s="88">
        <v>0</v>
      </c>
      <c r="G575" s="78">
        <f>MAX(H575,I575,J575)</f>
        <v>0</v>
      </c>
      <c r="H575" s="88"/>
      <c r="I575" s="88"/>
      <c r="J575" s="78">
        <f>MAX(K575:Q575)</f>
        <v>0</v>
      </c>
      <c r="K575" s="88"/>
      <c r="L575" s="88"/>
      <c r="M575" s="88"/>
      <c r="N575" s="88"/>
      <c r="O575" s="88"/>
      <c r="P575" s="88"/>
      <c r="Q575" s="88"/>
      <c r="R575" s="78">
        <f>MAX(S575:W575)</f>
        <v>1</v>
      </c>
      <c r="S575" s="88"/>
      <c r="T575" s="88"/>
      <c r="U575" s="88">
        <v>1</v>
      </c>
      <c r="V575" s="88"/>
      <c r="W575" s="88"/>
    </row>
    <row r="576" spans="2:23" s="0" customFormat="0" ht="15">
      <c r="B576" s="87" t="s">
        <v>1</v>
      </c>
      <c r="C576" s="88" t="s">
        <v>5259</v>
      </c>
      <c r="D576" s="88">
        <v>13173876</v>
      </c>
      <c r="E576" s="88" t="s">
        <v>61</v>
      </c>
      <c r="F576" s="88">
        <v>0</v>
      </c>
      <c r="G576" s="78">
        <f>MAX(H576,I576,J576)</f>
        <v>1</v>
      </c>
      <c r="H576" s="88"/>
      <c r="I576" s="88"/>
      <c r="J576" s="78">
        <f>MAX(K576:Q576)</f>
        <v>1</v>
      </c>
      <c r="K576" s="88">
        <v>1</v>
      </c>
      <c r="L576" s="88"/>
      <c r="M576" s="88"/>
      <c r="N576" s="88"/>
      <c r="O576" s="88"/>
      <c r="P576" s="88"/>
      <c r="Q576" s="88"/>
      <c r="R576" s="78">
        <f>MAX(S576:W576)</f>
        <v>0</v>
      </c>
      <c r="S576" s="88"/>
      <c r="T576" s="88"/>
      <c r="U576" s="88"/>
      <c r="V576" s="88"/>
      <c r="W576" s="88"/>
    </row>
    <row r="577" spans="2:23" s="0" customFormat="0" ht="15">
      <c r="B577" s="87" t="s">
        <v>1</v>
      </c>
      <c r="C577" s="88" t="s">
        <v>5259</v>
      </c>
      <c r="D577" s="88">
        <v>20173185</v>
      </c>
      <c r="E577" s="88" t="s">
        <v>61</v>
      </c>
      <c r="F577" s="88">
        <v>0</v>
      </c>
      <c r="G577" s="78">
        <f>MAX(H577,I577,J577)</f>
        <v>1</v>
      </c>
      <c r="H577" s="88"/>
      <c r="I577" s="88"/>
      <c r="J577" s="78">
        <f>MAX(K577:Q577)</f>
        <v>1</v>
      </c>
      <c r="K577" s="88">
        <v>1</v>
      </c>
      <c r="L577" s="88"/>
      <c r="M577" s="88"/>
      <c r="N577" s="88"/>
      <c r="O577" s="88"/>
      <c r="P577" s="88"/>
      <c r="Q577" s="88"/>
      <c r="R577" s="78">
        <f>MAX(S577:W577)</f>
        <v>0</v>
      </c>
      <c r="S577" s="88"/>
      <c r="T577" s="88"/>
      <c r="U577" s="88"/>
      <c r="V577" s="88"/>
      <c r="W577" s="88"/>
    </row>
    <row r="578" spans="2:23" s="0" customFormat="0" ht="15">
      <c r="B578" s="87" t="s">
        <v>1</v>
      </c>
      <c r="C578" s="88" t="s">
        <v>5259</v>
      </c>
      <c r="D578" s="88">
        <v>22106684</v>
      </c>
      <c r="E578" s="88" t="s">
        <v>61</v>
      </c>
      <c r="F578" s="88">
        <v>0</v>
      </c>
      <c r="G578" s="78">
        <f>MAX(H578,I578,J578)</f>
        <v>1</v>
      </c>
      <c r="H578" s="88"/>
      <c r="I578" s="88"/>
      <c r="J578" s="78">
        <f>MAX(K578:Q578)</f>
        <v>1</v>
      </c>
      <c r="K578" s="88">
        <v>1</v>
      </c>
      <c r="L578" s="88"/>
      <c r="M578" s="88"/>
      <c r="N578" s="88"/>
      <c r="O578" s="88"/>
      <c r="P578" s="88"/>
      <c r="Q578" s="88"/>
      <c r="R578" s="78">
        <f>MAX(S578:W578)</f>
        <v>0</v>
      </c>
      <c r="S578" s="88"/>
      <c r="T578" s="88"/>
      <c r="U578" s="88"/>
      <c r="V578" s="88"/>
      <c r="W578" s="88"/>
    </row>
    <row r="579" spans="2:23" s="0" customFormat="0" ht="15">
      <c r="B579" s="87" t="s">
        <v>1</v>
      </c>
      <c r="C579" s="88" t="s">
        <v>5259</v>
      </c>
      <c r="D579" s="88" t="s">
        <v>3578</v>
      </c>
      <c r="E579" s="88" t="s">
        <v>61</v>
      </c>
      <c r="F579" s="88">
        <v>0</v>
      </c>
      <c r="G579" s="78">
        <f>MAX(H579,I579,J579)</f>
        <v>0</v>
      </c>
      <c r="H579" s="88"/>
      <c r="I579" s="88"/>
      <c r="J579" s="78">
        <f>MAX(K579:Q579)</f>
        <v>0</v>
      </c>
      <c r="K579" s="88"/>
      <c r="L579" s="88"/>
      <c r="M579" s="88"/>
      <c r="N579" s="88"/>
      <c r="O579" s="88"/>
      <c r="P579" s="88"/>
      <c r="Q579" s="88"/>
      <c r="R579" s="78">
        <f>MAX(S579:W579)</f>
        <v>1</v>
      </c>
      <c r="S579" s="88"/>
      <c r="T579" s="88"/>
      <c r="U579" s="88">
        <v>1</v>
      </c>
      <c r="V579" s="88"/>
      <c r="W579" s="88"/>
    </row>
    <row r="580" spans="2:23" s="0" customFormat="0" ht="15">
      <c r="B580" s="87" t="s">
        <v>1</v>
      </c>
      <c r="C580" s="88" t="s">
        <v>5259</v>
      </c>
      <c r="D580" s="88" t="s">
        <v>3580</v>
      </c>
      <c r="E580" s="88" t="s">
        <v>61</v>
      </c>
      <c r="F580" s="88">
        <v>0</v>
      </c>
      <c r="G580" s="78">
        <f>MAX(H580,I580,J580)</f>
        <v>0</v>
      </c>
      <c r="H580" s="88"/>
      <c r="I580" s="88"/>
      <c r="J580" s="78">
        <f>MAX(K580:Q580)</f>
        <v>0</v>
      </c>
      <c r="K580" s="88"/>
      <c r="L580" s="88"/>
      <c r="M580" s="88"/>
      <c r="N580" s="88"/>
      <c r="O580" s="88"/>
      <c r="P580" s="88"/>
      <c r="Q580" s="88"/>
      <c r="R580" s="78">
        <f>MAX(S580:W580)</f>
        <v>1</v>
      </c>
      <c r="S580" s="88"/>
      <c r="T580" s="88"/>
      <c r="U580" s="88">
        <v>1</v>
      </c>
      <c r="V580" s="88"/>
      <c r="W580" s="88"/>
    </row>
    <row r="581" spans="2:23" s="0" customFormat="0" ht="15">
      <c r="B581" s="87" t="s">
        <v>1</v>
      </c>
      <c r="C581" s="88" t="s">
        <v>5259</v>
      </c>
      <c r="D581" s="88" t="s">
        <v>619</v>
      </c>
      <c r="E581" s="88" t="s">
        <v>61</v>
      </c>
      <c r="F581" s="88">
        <v>0</v>
      </c>
      <c r="G581" s="78">
        <f>MAX(H581,I581,J581)</f>
        <v>1</v>
      </c>
      <c r="H581" s="88"/>
      <c r="I581" s="88"/>
      <c r="J581" s="78">
        <f>MAX(K581:Q581)</f>
        <v>1</v>
      </c>
      <c r="K581" s="88">
        <v>1</v>
      </c>
      <c r="L581" s="88"/>
      <c r="M581" s="88"/>
      <c r="N581" s="88"/>
      <c r="O581" s="88"/>
      <c r="P581" s="88"/>
      <c r="Q581" s="88"/>
      <c r="R581" s="78">
        <f>MAX(S581:W581)</f>
        <v>0</v>
      </c>
      <c r="S581" s="88"/>
      <c r="T581" s="88"/>
      <c r="U581" s="88"/>
      <c r="V581" s="88"/>
      <c r="W581" s="88"/>
    </row>
    <row r="582" spans="2:23" s="0" customFormat="0" ht="15">
      <c r="B582" s="87" t="s">
        <v>1</v>
      </c>
      <c r="C582" s="88" t="s">
        <v>5259</v>
      </c>
      <c r="D582" s="88">
        <v>2422615</v>
      </c>
      <c r="E582" s="88" t="s">
        <v>61</v>
      </c>
      <c r="F582" s="88">
        <v>0</v>
      </c>
      <c r="G582" s="78">
        <f>MAX(H582,I582,J582)</f>
        <v>1</v>
      </c>
      <c r="H582" s="88"/>
      <c r="I582" s="88"/>
      <c r="J582" s="78">
        <f>MAX(K582:Q582)</f>
        <v>1</v>
      </c>
      <c r="K582" s="88">
        <v>1</v>
      </c>
      <c r="L582" s="88"/>
      <c r="M582" s="88"/>
      <c r="N582" s="88"/>
      <c r="O582" s="88"/>
      <c r="P582" s="88"/>
      <c r="Q582" s="88"/>
      <c r="R582" s="78">
        <f>MAX(S582:W582)</f>
        <v>0</v>
      </c>
      <c r="S582" s="88"/>
      <c r="T582" s="88"/>
      <c r="U582" s="88"/>
      <c r="V582" s="88"/>
      <c r="W582" s="88"/>
    </row>
    <row r="583" spans="2:23" s="0" customFormat="0" ht="15">
      <c r="B583" s="87" t="s">
        <v>1</v>
      </c>
      <c r="C583" s="88" t="s">
        <v>5259</v>
      </c>
      <c r="D583" s="88" t="s">
        <v>622</v>
      </c>
      <c r="E583" s="88" t="s">
        <v>61</v>
      </c>
      <c r="F583" s="88">
        <v>0</v>
      </c>
      <c r="G583" s="78">
        <f>MAX(H583,I583,J583)</f>
        <v>1</v>
      </c>
      <c r="H583" s="88"/>
      <c r="I583" s="88"/>
      <c r="J583" s="78">
        <f>MAX(K583:Q583)</f>
        <v>1</v>
      </c>
      <c r="K583" s="88">
        <v>1</v>
      </c>
      <c r="L583" s="88"/>
      <c r="M583" s="88"/>
      <c r="N583" s="88"/>
      <c r="O583" s="88"/>
      <c r="P583" s="88"/>
      <c r="Q583" s="88"/>
      <c r="R583" s="78">
        <f>MAX(S583:W583)</f>
        <v>0</v>
      </c>
      <c r="S583" s="88"/>
      <c r="T583" s="88"/>
      <c r="U583" s="88"/>
      <c r="V583" s="88"/>
      <c r="W583" s="88"/>
    </row>
    <row r="584" spans="2:23" s="0" customFormat="0" ht="15">
      <c r="B584" s="87" t="s">
        <v>1</v>
      </c>
      <c r="C584" s="88" t="s">
        <v>5259</v>
      </c>
      <c r="D584" s="88">
        <v>21519218</v>
      </c>
      <c r="E584" s="88" t="s">
        <v>61</v>
      </c>
      <c r="F584" s="88">
        <v>0</v>
      </c>
      <c r="G584" s="78">
        <f>MAX(H584,I584,J584)</f>
        <v>1</v>
      </c>
      <c r="H584" s="88"/>
      <c r="I584" s="88"/>
      <c r="J584" s="78">
        <f>MAX(K584:Q584)</f>
        <v>1</v>
      </c>
      <c r="K584" s="88">
        <v>1</v>
      </c>
      <c r="L584" s="88"/>
      <c r="M584" s="88"/>
      <c r="N584" s="88"/>
      <c r="O584" s="88"/>
      <c r="P584" s="88"/>
      <c r="Q584" s="88"/>
      <c r="R584" s="78">
        <f>MAX(S584:W584)</f>
        <v>0</v>
      </c>
      <c r="S584" s="88"/>
      <c r="T584" s="88"/>
      <c r="U584" s="88"/>
      <c r="V584" s="88"/>
      <c r="W584" s="88"/>
    </row>
    <row r="585" spans="2:23" s="0" customFormat="0" ht="15">
      <c r="B585" s="87" t="s">
        <v>1</v>
      </c>
      <c r="C585" s="88" t="s">
        <v>5259</v>
      </c>
      <c r="D585" s="88" t="s">
        <v>3582</v>
      </c>
      <c r="E585" s="88" t="s">
        <v>61</v>
      </c>
      <c r="F585" s="88">
        <v>0</v>
      </c>
      <c r="G585" s="78">
        <f>MAX(H585,I585,J585)</f>
        <v>0</v>
      </c>
      <c r="H585" s="88"/>
      <c r="I585" s="88"/>
      <c r="J585" s="78">
        <f>MAX(K585:Q585)</f>
        <v>0</v>
      </c>
      <c r="K585" s="88"/>
      <c r="L585" s="88"/>
      <c r="M585" s="88"/>
      <c r="N585" s="88"/>
      <c r="O585" s="88"/>
      <c r="P585" s="88"/>
      <c r="Q585" s="88"/>
      <c r="R585" s="78">
        <f>MAX(S585:W585)</f>
        <v>1</v>
      </c>
      <c r="S585" s="88"/>
      <c r="T585" s="88"/>
      <c r="U585" s="88">
        <v>1</v>
      </c>
      <c r="V585" s="88"/>
      <c r="W585" s="88"/>
    </row>
    <row r="586" spans="2:23" s="0" customFormat="0" ht="15">
      <c r="B586" s="87" t="s">
        <v>1</v>
      </c>
      <c r="C586" s="88" t="s">
        <v>5259</v>
      </c>
      <c r="D586" s="88">
        <v>17394477</v>
      </c>
      <c r="E586" s="88" t="s">
        <v>61</v>
      </c>
      <c r="F586" s="88">
        <v>0</v>
      </c>
      <c r="G586" s="78">
        <f>MAX(H586,I586,J586)</f>
        <v>1</v>
      </c>
      <c r="H586" s="88"/>
      <c r="I586" s="88"/>
      <c r="J586" s="78">
        <f>MAX(K586:Q586)</f>
        <v>1</v>
      </c>
      <c r="K586" s="88">
        <v>1</v>
      </c>
      <c r="L586" s="88"/>
      <c r="M586" s="88"/>
      <c r="N586" s="88"/>
      <c r="O586" s="88"/>
      <c r="P586" s="88"/>
      <c r="Q586" s="88"/>
      <c r="R586" s="78">
        <f>MAX(S586:W586)</f>
        <v>0</v>
      </c>
      <c r="S586" s="88"/>
      <c r="T586" s="88"/>
      <c r="U586" s="88"/>
      <c r="V586" s="88"/>
      <c r="W586" s="88"/>
    </row>
    <row r="587" spans="2:23" s="0" customFormat="0" ht="15">
      <c r="B587" s="87" t="s">
        <v>1</v>
      </c>
      <c r="C587" s="88" t="s">
        <v>5259</v>
      </c>
      <c r="D587" s="88" t="s">
        <v>3160</v>
      </c>
      <c r="E587" s="88" t="s">
        <v>61</v>
      </c>
      <c r="F587" s="88">
        <v>0</v>
      </c>
      <c r="G587" s="78">
        <f>MAX(H587,I587,J587)</f>
        <v>1</v>
      </c>
      <c r="H587" s="88"/>
      <c r="I587" s="88"/>
      <c r="J587" s="78">
        <f>MAX(K587:Q587)</f>
        <v>1</v>
      </c>
      <c r="K587" s="88"/>
      <c r="L587" s="88"/>
      <c r="M587" s="88"/>
      <c r="N587" s="88"/>
      <c r="O587" s="88">
        <v>1</v>
      </c>
      <c r="P587" s="88"/>
      <c r="Q587" s="88"/>
      <c r="R587" s="78">
        <f>MAX(S587:W587)</f>
        <v>0</v>
      </c>
      <c r="S587" s="88"/>
      <c r="T587" s="88"/>
      <c r="U587" s="88"/>
      <c r="V587" s="88"/>
      <c r="W587" s="88"/>
    </row>
    <row r="588" spans="2:23" s="0" customFormat="0" ht="15">
      <c r="B588" s="87" t="s">
        <v>1</v>
      </c>
      <c r="C588" s="88" t="s">
        <v>5259</v>
      </c>
      <c r="D588" s="88">
        <v>21036981</v>
      </c>
      <c r="E588" s="88" t="s">
        <v>61</v>
      </c>
      <c r="F588" s="88">
        <v>0</v>
      </c>
      <c r="G588" s="78">
        <f>MAX(H588,I588,J588)</f>
        <v>1</v>
      </c>
      <c r="H588" s="88"/>
      <c r="I588" s="88"/>
      <c r="J588" s="78">
        <f>MAX(K588:Q588)</f>
        <v>1</v>
      </c>
      <c r="K588" s="88">
        <v>1</v>
      </c>
      <c r="L588" s="88"/>
      <c r="M588" s="88"/>
      <c r="N588" s="88"/>
      <c r="O588" s="88"/>
      <c r="P588" s="88"/>
      <c r="Q588" s="88"/>
      <c r="R588" s="78">
        <f>MAX(S588:W588)</f>
        <v>0</v>
      </c>
      <c r="S588" s="88"/>
      <c r="T588" s="88"/>
      <c r="U588" s="88"/>
      <c r="V588" s="88"/>
      <c r="W588" s="88"/>
    </row>
    <row r="589" spans="2:23" s="0" customFormat="0" ht="15">
      <c r="B589" s="87" t="s">
        <v>1</v>
      </c>
      <c r="C589" s="88" t="s">
        <v>5259</v>
      </c>
      <c r="D589" s="88">
        <v>21827992</v>
      </c>
      <c r="E589" s="88" t="s">
        <v>61</v>
      </c>
      <c r="F589" s="88">
        <v>0</v>
      </c>
      <c r="G589" s="78">
        <f>MAX(H589,I589,J589)</f>
        <v>1</v>
      </c>
      <c r="H589" s="88"/>
      <c r="I589" s="88"/>
      <c r="J589" s="78">
        <f>MAX(K589:Q589)</f>
        <v>1</v>
      </c>
      <c r="K589" s="88">
        <v>1</v>
      </c>
      <c r="L589" s="88"/>
      <c r="M589" s="88"/>
      <c r="N589" s="88"/>
      <c r="O589" s="88"/>
      <c r="P589" s="88"/>
      <c r="Q589" s="88"/>
      <c r="R589" s="78">
        <f>MAX(S589:W589)</f>
        <v>0</v>
      </c>
      <c r="S589" s="88"/>
      <c r="T589" s="88"/>
      <c r="U589" s="88"/>
      <c r="V589" s="88"/>
      <c r="W589" s="88"/>
    </row>
    <row r="590" spans="2:23" s="0" customFormat="0" ht="15">
      <c r="B590" s="87" t="s">
        <v>1</v>
      </c>
      <c r="C590" s="88" t="s">
        <v>5259</v>
      </c>
      <c r="D590" s="88" t="s">
        <v>628</v>
      </c>
      <c r="E590" s="88" t="s">
        <v>61</v>
      </c>
      <c r="F590" s="88">
        <v>0</v>
      </c>
      <c r="G590" s="78">
        <f>MAX(H590,I590,J590)</f>
        <v>1</v>
      </c>
      <c r="H590" s="88"/>
      <c r="I590" s="88"/>
      <c r="J590" s="78">
        <f>MAX(K590:Q590)</f>
        <v>1</v>
      </c>
      <c r="K590" s="88">
        <v>1</v>
      </c>
      <c r="L590" s="88"/>
      <c r="M590" s="88"/>
      <c r="N590" s="88"/>
      <c r="O590" s="88"/>
      <c r="P590" s="88"/>
      <c r="Q590" s="88"/>
      <c r="R590" s="78">
        <f>MAX(S590:W590)</f>
        <v>0</v>
      </c>
      <c r="S590" s="88"/>
      <c r="T590" s="88"/>
      <c r="U590" s="88"/>
      <c r="V590" s="88"/>
      <c r="W590" s="88"/>
    </row>
    <row r="591" spans="2:23" s="0" customFormat="0" ht="15">
      <c r="B591" s="87" t="s">
        <v>1</v>
      </c>
      <c r="C591" s="88" t="s">
        <v>5259</v>
      </c>
      <c r="D591" s="88">
        <v>20584521</v>
      </c>
      <c r="E591" s="88" t="s">
        <v>61</v>
      </c>
      <c r="F591" s="88">
        <v>0</v>
      </c>
      <c r="G591" s="78">
        <f>MAX(H591,I591,J591)</f>
        <v>1</v>
      </c>
      <c r="H591" s="88"/>
      <c r="I591" s="88"/>
      <c r="J591" s="78">
        <f>MAX(K591:Q591)</f>
        <v>1</v>
      </c>
      <c r="K591" s="88">
        <v>1</v>
      </c>
      <c r="L591" s="88"/>
      <c r="M591" s="88"/>
      <c r="N591" s="88"/>
      <c r="O591" s="88"/>
      <c r="P591" s="88"/>
      <c r="Q591" s="88"/>
      <c r="R591" s="78">
        <f>MAX(S591:W591)</f>
        <v>0</v>
      </c>
      <c r="S591" s="88"/>
      <c r="T591" s="88"/>
      <c r="U591" s="88"/>
      <c r="V591" s="88"/>
      <c r="W591" s="88"/>
    </row>
    <row r="592" spans="2:23" s="0" customFormat="0" ht="15">
      <c r="B592" s="87" t="s">
        <v>1</v>
      </c>
      <c r="C592" s="88" t="s">
        <v>5259</v>
      </c>
      <c r="D592" s="88" t="s">
        <v>3204</v>
      </c>
      <c r="E592" s="88" t="s">
        <v>61</v>
      </c>
      <c r="F592" s="88">
        <v>0</v>
      </c>
      <c r="G592" s="78">
        <f>MAX(H592,I592,J592)</f>
        <v>0</v>
      </c>
      <c r="H592" s="88"/>
      <c r="I592" s="88"/>
      <c r="J592" s="78">
        <f>MAX(K592:Q592)</f>
        <v>0</v>
      </c>
      <c r="K592" s="88"/>
      <c r="L592" s="88"/>
      <c r="M592" s="88"/>
      <c r="N592" s="88"/>
      <c r="O592" s="88"/>
      <c r="P592" s="88"/>
      <c r="Q592" s="88"/>
      <c r="R592" s="78">
        <f>MAX(S592:W592)</f>
        <v>1</v>
      </c>
      <c r="S592" s="88"/>
      <c r="T592" s="88"/>
      <c r="U592" s="88"/>
      <c r="V592" s="88">
        <v>1</v>
      </c>
      <c r="W592" s="88"/>
    </row>
    <row r="593" spans="2:23" s="0" customFormat="0" ht="15">
      <c r="B593" s="87" t="s">
        <v>1</v>
      </c>
      <c r="C593" s="88" t="s">
        <v>5259</v>
      </c>
      <c r="D593" s="88" t="s">
        <v>631</v>
      </c>
      <c r="E593" s="88" t="s">
        <v>61</v>
      </c>
      <c r="F593" s="88">
        <v>0</v>
      </c>
      <c r="G593" s="78">
        <f>MAX(H593,I593,J593)</f>
        <v>1</v>
      </c>
      <c r="H593" s="88"/>
      <c r="I593" s="88"/>
      <c r="J593" s="78">
        <f>MAX(K593:Q593)</f>
        <v>1</v>
      </c>
      <c r="K593" s="88">
        <v>1</v>
      </c>
      <c r="L593" s="88"/>
      <c r="M593" s="88"/>
      <c r="N593" s="88"/>
      <c r="O593" s="88"/>
      <c r="P593" s="88"/>
      <c r="Q593" s="88"/>
      <c r="R593" s="78">
        <f>MAX(S593:W593)</f>
        <v>0</v>
      </c>
      <c r="S593" s="88"/>
      <c r="T593" s="88"/>
      <c r="U593" s="88"/>
      <c r="V593" s="88"/>
      <c r="W593" s="88"/>
    </row>
    <row r="594" spans="2:23" s="0" customFormat="0" ht="15">
      <c r="B594" s="87" t="s">
        <v>1</v>
      </c>
      <c r="C594" s="88" t="s">
        <v>5259</v>
      </c>
      <c r="D594" s="88">
        <v>8383612</v>
      </c>
      <c r="E594" s="88" t="s">
        <v>61</v>
      </c>
      <c r="F594" s="88">
        <v>0</v>
      </c>
      <c r="G594" s="78">
        <f>MAX(H594,I594,J594)</f>
        <v>1</v>
      </c>
      <c r="H594" s="88"/>
      <c r="I594" s="88"/>
      <c r="J594" s="78">
        <f>MAX(K594:Q594)</f>
        <v>1</v>
      </c>
      <c r="K594" s="88">
        <v>1</v>
      </c>
      <c r="L594" s="88"/>
      <c r="M594" s="88"/>
      <c r="N594" s="88"/>
      <c r="O594" s="88"/>
      <c r="P594" s="88"/>
      <c r="Q594" s="88"/>
      <c r="R594" s="78">
        <f>MAX(S594:W594)</f>
        <v>0</v>
      </c>
      <c r="S594" s="88"/>
      <c r="T594" s="88"/>
      <c r="U594" s="88"/>
      <c r="V594" s="88"/>
      <c r="W594" s="88"/>
    </row>
    <row r="595" spans="2:23" s="0" customFormat="0" ht="15">
      <c r="B595" s="87" t="s">
        <v>1</v>
      </c>
      <c r="C595" s="88" t="s">
        <v>5259</v>
      </c>
      <c r="D595" s="88" t="s">
        <v>3584</v>
      </c>
      <c r="E595" s="88" t="s">
        <v>61</v>
      </c>
      <c r="F595" s="88">
        <v>0</v>
      </c>
      <c r="G595" s="78">
        <f>MAX(H595,I595,J595)</f>
        <v>0</v>
      </c>
      <c r="H595" s="88"/>
      <c r="I595" s="88"/>
      <c r="J595" s="78">
        <f>MAX(K595:Q595)</f>
        <v>0</v>
      </c>
      <c r="K595" s="88"/>
      <c r="L595" s="88"/>
      <c r="M595" s="88"/>
      <c r="N595" s="88"/>
      <c r="O595" s="88"/>
      <c r="P595" s="88"/>
      <c r="Q595" s="88"/>
      <c r="R595" s="78">
        <f>MAX(S595:W595)</f>
        <v>1</v>
      </c>
      <c r="S595" s="88"/>
      <c r="T595" s="88"/>
      <c r="U595" s="88">
        <v>1</v>
      </c>
      <c r="V595" s="88"/>
      <c r="W595" s="88"/>
    </row>
    <row r="596" spans="2:23" s="0" customFormat="0" ht="15">
      <c r="B596" s="87" t="s">
        <v>1</v>
      </c>
      <c r="C596" s="88" t="s">
        <v>5259</v>
      </c>
      <c r="D596" s="88">
        <v>24188545</v>
      </c>
      <c r="E596" s="88" t="s">
        <v>61</v>
      </c>
      <c r="F596" s="88">
        <v>0</v>
      </c>
      <c r="G596" s="78">
        <f>MAX(H596,I596,J596)</f>
        <v>1</v>
      </c>
      <c r="H596" s="88"/>
      <c r="I596" s="88"/>
      <c r="J596" s="78">
        <f>MAX(K596:Q596)</f>
        <v>1</v>
      </c>
      <c r="K596" s="88">
        <v>1</v>
      </c>
      <c r="L596" s="88"/>
      <c r="M596" s="88"/>
      <c r="N596" s="88"/>
      <c r="O596" s="88"/>
      <c r="P596" s="88"/>
      <c r="Q596" s="88"/>
      <c r="R596" s="78">
        <f>MAX(S596:W596)</f>
        <v>0</v>
      </c>
      <c r="S596" s="88"/>
      <c r="T596" s="88"/>
      <c r="U596" s="88"/>
      <c r="V596" s="88"/>
      <c r="W596" s="88"/>
    </row>
    <row r="597" spans="2:23" s="0" customFormat="0" ht="15">
      <c r="B597" s="87" t="s">
        <v>1</v>
      </c>
      <c r="C597" s="88" t="s">
        <v>5259</v>
      </c>
      <c r="D597" s="88">
        <v>22554179</v>
      </c>
      <c r="E597" s="88" t="s">
        <v>61</v>
      </c>
      <c r="F597" s="88">
        <v>0</v>
      </c>
      <c r="G597" s="78">
        <f>MAX(H597,I597,J597)</f>
        <v>0</v>
      </c>
      <c r="H597" s="88"/>
      <c r="I597" s="88"/>
      <c r="J597" s="78">
        <f>MAX(K597:Q597)</f>
        <v>0</v>
      </c>
      <c r="K597" s="88"/>
      <c r="L597" s="88"/>
      <c r="M597" s="88"/>
      <c r="N597" s="88"/>
      <c r="O597" s="88"/>
      <c r="P597" s="88"/>
      <c r="Q597" s="88"/>
      <c r="R597" s="78">
        <f>MAX(S597:W597)</f>
        <v>1</v>
      </c>
      <c r="S597" s="88"/>
      <c r="T597" s="88"/>
      <c r="U597" s="88">
        <v>1</v>
      </c>
      <c r="V597" s="88"/>
      <c r="W597" s="88"/>
    </row>
    <row r="598" spans="2:23" s="0" customFormat="0" ht="15">
      <c r="B598" s="87" t="s">
        <v>1</v>
      </c>
      <c r="C598" s="88" t="s">
        <v>5259</v>
      </c>
      <c r="D598" s="88">
        <v>17282284</v>
      </c>
      <c r="E598" s="88" t="s">
        <v>61</v>
      </c>
      <c r="F598" s="88">
        <v>0</v>
      </c>
      <c r="G598" s="78">
        <f>MAX(H598,I598,J598)</f>
        <v>1</v>
      </c>
      <c r="H598" s="88"/>
      <c r="I598" s="88"/>
      <c r="J598" s="78">
        <f>MAX(K598:Q598)</f>
        <v>1</v>
      </c>
      <c r="K598" s="88">
        <v>1</v>
      </c>
      <c r="L598" s="88"/>
      <c r="M598" s="88"/>
      <c r="N598" s="88"/>
      <c r="O598" s="88"/>
      <c r="P598" s="88"/>
      <c r="Q598" s="88"/>
      <c r="R598" s="78">
        <f>MAX(S598:W598)</f>
        <v>0</v>
      </c>
      <c r="S598" s="88"/>
      <c r="T598" s="88"/>
      <c r="U598" s="88"/>
      <c r="V598" s="88"/>
      <c r="W598" s="88"/>
    </row>
    <row r="599" spans="2:23" s="0" customFormat="0" ht="15">
      <c r="B599" s="87" t="s">
        <v>1</v>
      </c>
      <c r="C599" s="88" t="s">
        <v>5259</v>
      </c>
      <c r="D599" s="88" t="s">
        <v>3587</v>
      </c>
      <c r="E599" s="88" t="s">
        <v>61</v>
      </c>
      <c r="F599" s="88">
        <v>0</v>
      </c>
      <c r="G599" s="78">
        <f>MAX(H599,I599,J599)</f>
        <v>0</v>
      </c>
      <c r="H599" s="88"/>
      <c r="I599" s="88"/>
      <c r="J599" s="78">
        <f>MAX(K599:Q599)</f>
        <v>0</v>
      </c>
      <c r="K599" s="88"/>
      <c r="L599" s="88"/>
      <c r="M599" s="88"/>
      <c r="N599" s="88"/>
      <c r="O599" s="88"/>
      <c r="P599" s="88"/>
      <c r="Q599" s="88"/>
      <c r="R599" s="78">
        <f>MAX(S599:W599)</f>
        <v>1</v>
      </c>
      <c r="S599" s="88"/>
      <c r="T599" s="88"/>
      <c r="U599" s="88">
        <v>1</v>
      </c>
      <c r="V599" s="88"/>
      <c r="W599" s="88"/>
    </row>
    <row r="600" spans="2:23" s="0" customFormat="0" ht="15">
      <c r="B600" s="87" t="s">
        <v>1</v>
      </c>
      <c r="C600" s="88" t="s">
        <v>5259</v>
      </c>
      <c r="D600" s="88">
        <v>7135731</v>
      </c>
      <c r="E600" s="88" t="s">
        <v>61</v>
      </c>
      <c r="F600" s="88">
        <v>0</v>
      </c>
      <c r="G600" s="78">
        <f>MAX(H600,I600,J600)</f>
        <v>0</v>
      </c>
      <c r="H600" s="88"/>
      <c r="I600" s="88"/>
      <c r="J600" s="78">
        <f>MAX(K600:Q600)</f>
        <v>0</v>
      </c>
      <c r="K600" s="88"/>
      <c r="L600" s="88"/>
      <c r="M600" s="88"/>
      <c r="N600" s="88"/>
      <c r="O600" s="88"/>
      <c r="P600" s="88"/>
      <c r="Q600" s="88"/>
      <c r="R600" s="78">
        <f>MAX(S600:W600)</f>
        <v>1</v>
      </c>
      <c r="S600" s="88"/>
      <c r="T600" s="88"/>
      <c r="U600" s="88">
        <v>1</v>
      </c>
      <c r="V600" s="88"/>
      <c r="W600" s="88"/>
    </row>
    <row r="601" spans="2:23" s="0" customFormat="0" ht="15">
      <c r="B601" s="87" t="s">
        <v>1</v>
      </c>
      <c r="C601" s="88" t="s">
        <v>5259</v>
      </c>
      <c r="D601" s="88">
        <v>21743793</v>
      </c>
      <c r="E601" s="88" t="s">
        <v>61</v>
      </c>
      <c r="F601" s="88">
        <v>0</v>
      </c>
      <c r="G601" s="78">
        <f>MAX(H601,I601,J601)</f>
        <v>1</v>
      </c>
      <c r="H601" s="88"/>
      <c r="I601" s="88"/>
      <c r="J601" s="78">
        <f>MAX(K601:Q601)</f>
        <v>1</v>
      </c>
      <c r="K601" s="88">
        <v>1</v>
      </c>
      <c r="L601" s="88"/>
      <c r="M601" s="88"/>
      <c r="N601" s="88"/>
      <c r="O601" s="88"/>
      <c r="P601" s="88"/>
      <c r="Q601" s="88"/>
      <c r="R601" s="78">
        <f>MAX(S601:W601)</f>
        <v>0</v>
      </c>
      <c r="S601" s="88"/>
      <c r="T601" s="88"/>
      <c r="U601" s="88"/>
      <c r="V601" s="88"/>
      <c r="W601" s="88"/>
    </row>
    <row r="602" spans="2:23" s="0" customFormat="0" ht="15">
      <c r="B602" s="87" t="s">
        <v>1</v>
      </c>
      <c r="C602" s="88" t="s">
        <v>5259</v>
      </c>
      <c r="D602" s="88" t="s">
        <v>3590</v>
      </c>
      <c r="E602" s="88" t="s">
        <v>61</v>
      </c>
      <c r="F602" s="88">
        <v>0</v>
      </c>
      <c r="G602" s="78">
        <f>MAX(H602,I602,J602)</f>
        <v>0</v>
      </c>
      <c r="H602" s="88"/>
      <c r="I602" s="88"/>
      <c r="J602" s="78">
        <f>MAX(K602:Q602)</f>
        <v>0</v>
      </c>
      <c r="K602" s="88"/>
      <c r="L602" s="88"/>
      <c r="M602" s="88"/>
      <c r="N602" s="88"/>
      <c r="O602" s="88"/>
      <c r="P602" s="88"/>
      <c r="Q602" s="88"/>
      <c r="R602" s="78">
        <f>MAX(S602:W602)</f>
        <v>1</v>
      </c>
      <c r="S602" s="88"/>
      <c r="T602" s="88"/>
      <c r="U602" s="88">
        <v>1</v>
      </c>
      <c r="V602" s="88"/>
      <c r="W602" s="88"/>
    </row>
    <row r="603" spans="2:23" s="0" customFormat="0" ht="15">
      <c r="B603" s="87" t="s">
        <v>1</v>
      </c>
      <c r="C603" s="88" t="s">
        <v>5259</v>
      </c>
      <c r="D603" s="88">
        <v>20986643</v>
      </c>
      <c r="E603" s="88" t="s">
        <v>61</v>
      </c>
      <c r="F603" s="88">
        <v>0</v>
      </c>
      <c r="G603" s="78">
        <f>MAX(H603,I603,J603)</f>
        <v>1</v>
      </c>
      <c r="H603" s="88"/>
      <c r="I603" s="88"/>
      <c r="J603" s="78">
        <f>MAX(K603:Q603)</f>
        <v>1</v>
      </c>
      <c r="K603" s="88">
        <v>1</v>
      </c>
      <c r="L603" s="88"/>
      <c r="M603" s="88"/>
      <c r="N603" s="88"/>
      <c r="O603" s="88"/>
      <c r="P603" s="88"/>
      <c r="Q603" s="88"/>
      <c r="R603" s="78">
        <f>MAX(S603:W603)</f>
        <v>0</v>
      </c>
      <c r="S603" s="88"/>
      <c r="T603" s="88"/>
      <c r="U603" s="88"/>
      <c r="V603" s="88"/>
      <c r="W603" s="88"/>
    </row>
    <row r="604" spans="2:23" s="0" customFormat="0" ht="15">
      <c r="B604" s="87" t="s">
        <v>1</v>
      </c>
      <c r="C604" s="88" t="s">
        <v>5259</v>
      </c>
      <c r="D604" s="88" t="s">
        <v>638</v>
      </c>
      <c r="E604" s="88" t="s">
        <v>61</v>
      </c>
      <c r="F604" s="88">
        <v>0</v>
      </c>
      <c r="G604" s="78">
        <f>MAX(H604,I604,J604)</f>
        <v>1</v>
      </c>
      <c r="H604" s="88"/>
      <c r="I604" s="88"/>
      <c r="J604" s="78">
        <f>MAX(K604:Q604)</f>
        <v>1</v>
      </c>
      <c r="K604" s="88">
        <v>1</v>
      </c>
      <c r="L604" s="88"/>
      <c r="M604" s="88"/>
      <c r="N604" s="88"/>
      <c r="O604" s="88"/>
      <c r="P604" s="88"/>
      <c r="Q604" s="88"/>
      <c r="R604" s="78">
        <f>MAX(S604:W604)</f>
        <v>0</v>
      </c>
      <c r="S604" s="88"/>
      <c r="T604" s="88"/>
      <c r="U604" s="88"/>
      <c r="V604" s="88"/>
      <c r="W604" s="88"/>
    </row>
    <row r="605" spans="2:23" s="0" customFormat="0" ht="15">
      <c r="B605" s="87" t="s">
        <v>1</v>
      </c>
      <c r="C605" s="88" t="s">
        <v>5259</v>
      </c>
      <c r="D605" s="88">
        <v>16974742</v>
      </c>
      <c r="E605" s="88" t="s">
        <v>61</v>
      </c>
      <c r="F605" s="88">
        <v>0</v>
      </c>
      <c r="G605" s="78">
        <f>MAX(H605,I605,J605)</f>
        <v>0</v>
      </c>
      <c r="H605" s="88"/>
      <c r="I605" s="88"/>
      <c r="J605" s="78">
        <f>MAX(K605:Q605)</f>
        <v>0</v>
      </c>
      <c r="K605" s="88"/>
      <c r="L605" s="88"/>
      <c r="M605" s="88"/>
      <c r="N605" s="88"/>
      <c r="O605" s="88"/>
      <c r="P605" s="88"/>
      <c r="Q605" s="88"/>
      <c r="R605" s="78">
        <f>MAX(S605:W605)</f>
        <v>1</v>
      </c>
      <c r="S605" s="88"/>
      <c r="T605" s="88"/>
      <c r="U605" s="88">
        <v>1</v>
      </c>
      <c r="V605" s="88"/>
      <c r="W605" s="88"/>
    </row>
    <row r="606" spans="2:23" s="0" customFormat="0" ht="15">
      <c r="B606" s="87" t="s">
        <v>1</v>
      </c>
      <c r="C606" s="88" t="s">
        <v>5259</v>
      </c>
      <c r="D606" s="88">
        <v>14844837</v>
      </c>
      <c r="E606" s="88" t="s">
        <v>61</v>
      </c>
      <c r="F606" s="88">
        <v>0</v>
      </c>
      <c r="G606" s="78">
        <f>MAX(H606,I606,J606)</f>
        <v>1</v>
      </c>
      <c r="H606" s="88"/>
      <c r="I606" s="88"/>
      <c r="J606" s="78">
        <f>MAX(K606:Q606)</f>
        <v>1</v>
      </c>
      <c r="K606" s="88">
        <v>1</v>
      </c>
      <c r="L606" s="88"/>
      <c r="M606" s="88"/>
      <c r="N606" s="88"/>
      <c r="O606" s="88"/>
      <c r="P606" s="88"/>
      <c r="Q606" s="88"/>
      <c r="R606" s="78">
        <f>MAX(S606:W606)</f>
        <v>0</v>
      </c>
      <c r="S606" s="88"/>
      <c r="T606" s="88"/>
      <c r="U606" s="88"/>
      <c r="V606" s="88"/>
      <c r="W606" s="88"/>
    </row>
    <row r="607" spans="2:23" s="0" customFormat="0" ht="15">
      <c r="B607" s="87" t="s">
        <v>1</v>
      </c>
      <c r="C607" s="88" t="s">
        <v>5259</v>
      </c>
      <c r="D607" s="88" t="s">
        <v>3340</v>
      </c>
      <c r="E607" s="88" t="s">
        <v>61</v>
      </c>
      <c r="F607" s="88">
        <v>0</v>
      </c>
      <c r="G607" s="78">
        <f>MAX(H607,I607,J607)</f>
        <v>0</v>
      </c>
      <c r="H607" s="88"/>
      <c r="I607" s="88"/>
      <c r="J607" s="78">
        <f>MAX(K607:Q607)</f>
        <v>0</v>
      </c>
      <c r="K607" s="88"/>
      <c r="L607" s="88"/>
      <c r="M607" s="88"/>
      <c r="N607" s="88"/>
      <c r="O607" s="88"/>
      <c r="P607" s="88"/>
      <c r="Q607" s="88"/>
      <c r="R607" s="78">
        <f>MAX(S607:W607)</f>
        <v>1</v>
      </c>
      <c r="S607" s="88"/>
      <c r="T607" s="88"/>
      <c r="U607" s="88">
        <v>1</v>
      </c>
      <c r="V607" s="88"/>
      <c r="W607" s="88"/>
    </row>
    <row r="608" spans="2:23" s="0" customFormat="0" ht="15">
      <c r="B608" s="87" t="s">
        <v>1</v>
      </c>
      <c r="C608" s="88" t="s">
        <v>5259</v>
      </c>
      <c r="D608" s="88">
        <v>11002190</v>
      </c>
      <c r="E608" s="88" t="s">
        <v>61</v>
      </c>
      <c r="F608" s="88">
        <v>0</v>
      </c>
      <c r="G608" s="78">
        <f>MAX(H608,I608,J608)</f>
        <v>1</v>
      </c>
      <c r="H608" s="88"/>
      <c r="I608" s="88"/>
      <c r="J608" s="78">
        <f>MAX(K608:Q608)</f>
        <v>1</v>
      </c>
      <c r="K608" s="88">
        <v>1</v>
      </c>
      <c r="L608" s="88"/>
      <c r="M608" s="88"/>
      <c r="N608" s="88"/>
      <c r="O608" s="88"/>
      <c r="P608" s="88"/>
      <c r="Q608" s="88"/>
      <c r="R608" s="78">
        <f>MAX(S608:W608)</f>
        <v>0</v>
      </c>
      <c r="S608" s="88"/>
      <c r="T608" s="88"/>
      <c r="U608" s="88"/>
      <c r="V608" s="88"/>
      <c r="W608" s="88"/>
    </row>
    <row r="609" spans="2:23" s="0" customFormat="0" ht="15">
      <c r="B609" s="87" t="s">
        <v>1</v>
      </c>
      <c r="C609" s="88" t="s">
        <v>5259</v>
      </c>
      <c r="D609" s="88">
        <v>16988739</v>
      </c>
      <c r="E609" s="88" t="s">
        <v>61</v>
      </c>
      <c r="F609" s="88">
        <v>0</v>
      </c>
      <c r="G609" s="78">
        <f>MAX(H609,I609,J609)</f>
        <v>1</v>
      </c>
      <c r="H609" s="88"/>
      <c r="I609" s="88"/>
      <c r="J609" s="78">
        <f>MAX(K609:Q609)</f>
        <v>1</v>
      </c>
      <c r="K609" s="88">
        <v>1</v>
      </c>
      <c r="L609" s="88"/>
      <c r="M609" s="88"/>
      <c r="N609" s="88"/>
      <c r="O609" s="88"/>
      <c r="P609" s="88"/>
      <c r="Q609" s="88"/>
      <c r="R609" s="78">
        <f>MAX(S609:W609)</f>
        <v>0</v>
      </c>
      <c r="S609" s="88"/>
      <c r="T609" s="88"/>
      <c r="U609" s="88"/>
      <c r="V609" s="88"/>
      <c r="W609" s="88"/>
    </row>
    <row r="610" spans="2:23" s="0" customFormat="0" ht="15">
      <c r="B610" s="87" t="s">
        <v>1</v>
      </c>
      <c r="C610" s="88" t="s">
        <v>5259</v>
      </c>
      <c r="D610" s="88">
        <v>25105239</v>
      </c>
      <c r="E610" s="88" t="s">
        <v>61</v>
      </c>
      <c r="F610" s="88">
        <v>0</v>
      </c>
      <c r="G610" s="78">
        <f>MAX(H610,I610,J610)</f>
        <v>1</v>
      </c>
      <c r="H610" s="88"/>
      <c r="I610" s="88"/>
      <c r="J610" s="78">
        <f>MAX(K610:Q610)</f>
        <v>1</v>
      </c>
      <c r="K610" s="88">
        <v>1</v>
      </c>
      <c r="L610" s="88"/>
      <c r="M610" s="88"/>
      <c r="N610" s="88"/>
      <c r="O610" s="88"/>
      <c r="P610" s="88"/>
      <c r="Q610" s="88"/>
      <c r="R610" s="78">
        <f>MAX(S610:W610)</f>
        <v>0</v>
      </c>
      <c r="S610" s="88"/>
      <c r="T610" s="88"/>
      <c r="U610" s="88"/>
      <c r="V610" s="88"/>
      <c r="W610" s="88"/>
    </row>
    <row r="611" spans="2:23" s="0" customFormat="0" ht="15">
      <c r="B611" s="87" t="s">
        <v>1</v>
      </c>
      <c r="C611" s="88" t="s">
        <v>5259</v>
      </c>
      <c r="D611" s="88">
        <v>2290885</v>
      </c>
      <c r="E611" s="88" t="s">
        <v>61</v>
      </c>
      <c r="F611" s="88">
        <v>0</v>
      </c>
      <c r="G611" s="78">
        <f>MAX(H611,I611,J611)</f>
        <v>0</v>
      </c>
      <c r="H611" s="88"/>
      <c r="I611" s="88"/>
      <c r="J611" s="78">
        <f>MAX(K611:Q611)</f>
        <v>0</v>
      </c>
      <c r="K611" s="88"/>
      <c r="L611" s="88"/>
      <c r="M611" s="88"/>
      <c r="N611" s="88"/>
      <c r="O611" s="88"/>
      <c r="P611" s="88"/>
      <c r="Q611" s="88"/>
      <c r="R611" s="78">
        <f>MAX(S611:W611)</f>
        <v>1</v>
      </c>
      <c r="S611" s="88"/>
      <c r="T611" s="88"/>
      <c r="U611" s="88">
        <v>1</v>
      </c>
      <c r="V611" s="88"/>
      <c r="W611" s="88"/>
    </row>
    <row r="612" spans="2:23" s="0" customFormat="0" ht="15">
      <c r="B612" s="87" t="s">
        <v>1</v>
      </c>
      <c r="C612" s="88" t="s">
        <v>5259</v>
      </c>
      <c r="D612" s="88" t="s">
        <v>3594</v>
      </c>
      <c r="E612" s="88" t="s">
        <v>61</v>
      </c>
      <c r="F612" s="88">
        <v>0</v>
      </c>
      <c r="G612" s="78">
        <f>MAX(H612,I612,J612)</f>
        <v>0</v>
      </c>
      <c r="H612" s="88"/>
      <c r="I612" s="88"/>
      <c r="J612" s="78">
        <f>MAX(K612:Q612)</f>
        <v>0</v>
      </c>
      <c r="K612" s="88"/>
      <c r="L612" s="88"/>
      <c r="M612" s="88"/>
      <c r="N612" s="88"/>
      <c r="O612" s="88"/>
      <c r="P612" s="88"/>
      <c r="Q612" s="88"/>
      <c r="R612" s="78">
        <f>MAX(S612:W612)</f>
        <v>1</v>
      </c>
      <c r="S612" s="88"/>
      <c r="T612" s="88"/>
      <c r="U612" s="88">
        <v>1</v>
      </c>
      <c r="V612" s="88"/>
      <c r="W612" s="88"/>
    </row>
    <row r="613" spans="2:23" s="0" customFormat="0" ht="15">
      <c r="B613" s="87" t="s">
        <v>1</v>
      </c>
      <c r="C613" s="88" t="s">
        <v>5259</v>
      </c>
      <c r="D613" s="88">
        <v>17849961</v>
      </c>
      <c r="E613" s="88" t="s">
        <v>61</v>
      </c>
      <c r="F613" s="88">
        <v>0</v>
      </c>
      <c r="G613" s="78">
        <f>MAX(H613,I613,J613)</f>
        <v>0</v>
      </c>
      <c r="H613" s="88"/>
      <c r="I613" s="88"/>
      <c r="J613" s="78">
        <f>MAX(K613:Q613)</f>
        <v>0</v>
      </c>
      <c r="K613" s="88"/>
      <c r="L613" s="88"/>
      <c r="M613" s="88"/>
      <c r="N613" s="88"/>
      <c r="O613" s="88"/>
      <c r="P613" s="88"/>
      <c r="Q613" s="88"/>
      <c r="R613" s="78">
        <f>MAX(S613:W613)</f>
        <v>1</v>
      </c>
      <c r="S613" s="88"/>
      <c r="T613" s="88"/>
      <c r="U613" s="88">
        <v>1</v>
      </c>
      <c r="V613" s="88"/>
      <c r="W613" s="88"/>
    </row>
    <row r="614" spans="2:23" s="0" customFormat="0" ht="15">
      <c r="B614" s="87" t="s">
        <v>1</v>
      </c>
      <c r="C614" s="88" t="s">
        <v>5259</v>
      </c>
      <c r="D614" s="88" t="s">
        <v>3597</v>
      </c>
      <c r="E614" s="88" t="s">
        <v>61</v>
      </c>
      <c r="F614" s="88">
        <v>0</v>
      </c>
      <c r="G614" s="78">
        <f>MAX(H614,I614,J614)</f>
        <v>0</v>
      </c>
      <c r="H614" s="88"/>
      <c r="I614" s="88"/>
      <c r="J614" s="78">
        <f>MAX(K614:Q614)</f>
        <v>0</v>
      </c>
      <c r="K614" s="88"/>
      <c r="L614" s="88"/>
      <c r="M614" s="88"/>
      <c r="N614" s="88"/>
      <c r="O614" s="88"/>
      <c r="P614" s="88"/>
      <c r="Q614" s="88"/>
      <c r="R614" s="78">
        <f>MAX(S614:W614)</f>
        <v>1</v>
      </c>
      <c r="S614" s="88"/>
      <c r="T614" s="88"/>
      <c r="U614" s="88">
        <v>1</v>
      </c>
      <c r="V614" s="88"/>
      <c r="W614" s="88"/>
    </row>
    <row r="615" spans="2:23" s="0" customFormat="0" ht="15">
      <c r="B615" s="87" t="s">
        <v>1</v>
      </c>
      <c r="C615" s="88" t="s">
        <v>5259</v>
      </c>
      <c r="D615" s="88">
        <v>21729563</v>
      </c>
      <c r="E615" s="88" t="s">
        <v>61</v>
      </c>
      <c r="F615" s="88">
        <v>0</v>
      </c>
      <c r="G615" s="78">
        <f>MAX(H615,I615,J615)</f>
        <v>1</v>
      </c>
      <c r="H615" s="88"/>
      <c r="I615" s="88"/>
      <c r="J615" s="78">
        <f>MAX(K615:Q615)</f>
        <v>1</v>
      </c>
      <c r="K615" s="88">
        <v>1</v>
      </c>
      <c r="L615" s="88"/>
      <c r="M615" s="88"/>
      <c r="N615" s="88"/>
      <c r="O615" s="88"/>
      <c r="P615" s="88"/>
      <c r="Q615" s="88"/>
      <c r="R615" s="78">
        <f>MAX(S615:W615)</f>
        <v>0</v>
      </c>
      <c r="S615" s="88"/>
      <c r="T615" s="88"/>
      <c r="U615" s="88"/>
      <c r="V615" s="88"/>
      <c r="W615" s="88"/>
    </row>
    <row r="616" spans="2:23" s="0" customFormat="0" ht="15">
      <c r="B616" s="87" t="s">
        <v>1</v>
      </c>
      <c r="C616" s="88" t="s">
        <v>5259</v>
      </c>
      <c r="D616" s="88" t="s">
        <v>3599</v>
      </c>
      <c r="E616" s="88" t="s">
        <v>61</v>
      </c>
      <c r="F616" s="88">
        <v>0</v>
      </c>
      <c r="G616" s="78">
        <f>MAX(H616,I616,J616)</f>
        <v>0</v>
      </c>
      <c r="H616" s="88"/>
      <c r="I616" s="88"/>
      <c r="J616" s="78">
        <f>MAX(K616:Q616)</f>
        <v>0</v>
      </c>
      <c r="K616" s="88"/>
      <c r="L616" s="88"/>
      <c r="M616" s="88"/>
      <c r="N616" s="88"/>
      <c r="O616" s="88"/>
      <c r="P616" s="88"/>
      <c r="Q616" s="88"/>
      <c r="R616" s="78">
        <f>MAX(S616:W616)</f>
        <v>1</v>
      </c>
      <c r="S616" s="88"/>
      <c r="T616" s="88"/>
      <c r="U616" s="88">
        <v>1</v>
      </c>
      <c r="V616" s="88"/>
      <c r="W616" s="88"/>
    </row>
    <row r="617" spans="2:23" s="0" customFormat="0" ht="15">
      <c r="B617" s="87" t="s">
        <v>1</v>
      </c>
      <c r="C617" s="88" t="s">
        <v>5259</v>
      </c>
      <c r="D617" s="88">
        <v>20930579</v>
      </c>
      <c r="E617" s="88" t="s">
        <v>61</v>
      </c>
      <c r="F617" s="88">
        <v>0</v>
      </c>
      <c r="G617" s="78">
        <f>MAX(H617,I617,J617)</f>
        <v>1</v>
      </c>
      <c r="H617" s="88"/>
      <c r="I617" s="88"/>
      <c r="J617" s="78">
        <f>MAX(K617:Q617)</f>
        <v>1</v>
      </c>
      <c r="K617" s="88">
        <v>1</v>
      </c>
      <c r="L617" s="88"/>
      <c r="M617" s="88"/>
      <c r="N617" s="88"/>
      <c r="O617" s="88"/>
      <c r="P617" s="88"/>
      <c r="Q617" s="88"/>
      <c r="R617" s="78">
        <f>MAX(S617:W617)</f>
        <v>0</v>
      </c>
      <c r="S617" s="88"/>
      <c r="T617" s="88"/>
      <c r="U617" s="88"/>
      <c r="V617" s="88"/>
      <c r="W617" s="88"/>
    </row>
    <row r="618" spans="2:23" s="0" customFormat="0" ht="15">
      <c r="B618" s="87" t="s">
        <v>1</v>
      </c>
      <c r="C618" s="88" t="s">
        <v>5259</v>
      </c>
      <c r="D618" s="88">
        <v>870778</v>
      </c>
      <c r="E618" s="88" t="s">
        <v>61</v>
      </c>
      <c r="F618" s="88">
        <v>0</v>
      </c>
      <c r="G618" s="78">
        <f>MAX(H618,I618,J618)</f>
        <v>0</v>
      </c>
      <c r="H618" s="88"/>
      <c r="I618" s="88"/>
      <c r="J618" s="78">
        <f>MAX(K618:Q618)</f>
        <v>0</v>
      </c>
      <c r="K618" s="88"/>
      <c r="L618" s="88"/>
      <c r="M618" s="88"/>
      <c r="N618" s="88"/>
      <c r="O618" s="88"/>
      <c r="P618" s="88"/>
      <c r="Q618" s="88"/>
      <c r="R618" s="78">
        <f>MAX(S618:W618)</f>
        <v>1</v>
      </c>
      <c r="S618" s="88"/>
      <c r="T618" s="88"/>
      <c r="U618" s="88">
        <v>1</v>
      </c>
      <c r="V618" s="88"/>
      <c r="W618" s="88"/>
    </row>
    <row r="619" spans="2:23" s="0" customFormat="0" ht="15">
      <c r="B619" s="87" t="s">
        <v>1</v>
      </c>
      <c r="C619" s="88" t="s">
        <v>5259</v>
      </c>
      <c r="D619" s="88" t="s">
        <v>3602</v>
      </c>
      <c r="E619" s="88" t="s">
        <v>61</v>
      </c>
      <c r="F619" s="88">
        <v>0</v>
      </c>
      <c r="G619" s="78">
        <f>MAX(H619,I619,J619)</f>
        <v>0</v>
      </c>
      <c r="H619" s="88"/>
      <c r="I619" s="88"/>
      <c r="J619" s="78">
        <f>MAX(K619:Q619)</f>
        <v>0</v>
      </c>
      <c r="K619" s="88"/>
      <c r="L619" s="88"/>
      <c r="M619" s="88"/>
      <c r="N619" s="88"/>
      <c r="O619" s="88"/>
      <c r="P619" s="88"/>
      <c r="Q619" s="88"/>
      <c r="R619" s="78">
        <f>MAX(S619:W619)</f>
        <v>1</v>
      </c>
      <c r="S619" s="88"/>
      <c r="T619" s="88"/>
      <c r="U619" s="88">
        <v>1</v>
      </c>
      <c r="V619" s="88"/>
      <c r="W619" s="88"/>
    </row>
    <row r="620" spans="2:23" s="0" customFormat="0" ht="15">
      <c r="B620" s="87" t="s">
        <v>1</v>
      </c>
      <c r="C620" s="88" t="s">
        <v>5259</v>
      </c>
      <c r="D620" s="88">
        <v>17129704</v>
      </c>
      <c r="E620" s="88" t="s">
        <v>61</v>
      </c>
      <c r="F620" s="88">
        <v>0</v>
      </c>
      <c r="G620" s="78">
        <f>MAX(H620,I620,J620)</f>
        <v>1</v>
      </c>
      <c r="H620" s="88"/>
      <c r="I620" s="88"/>
      <c r="J620" s="78">
        <f>MAX(K620:Q620)</f>
        <v>1</v>
      </c>
      <c r="K620" s="88">
        <v>1</v>
      </c>
      <c r="L620" s="88"/>
      <c r="M620" s="88"/>
      <c r="N620" s="88"/>
      <c r="O620" s="88"/>
      <c r="P620" s="88"/>
      <c r="Q620" s="88"/>
      <c r="R620" s="78">
        <f>MAX(S620:W620)</f>
        <v>0</v>
      </c>
      <c r="S620" s="88"/>
      <c r="T620" s="88"/>
      <c r="U620" s="88"/>
      <c r="V620" s="88"/>
      <c r="W620" s="88"/>
    </row>
    <row r="621" spans="2:23" s="0" customFormat="0" ht="15">
      <c r="B621" s="87" t="s">
        <v>1</v>
      </c>
      <c r="C621" s="88" t="s">
        <v>5259</v>
      </c>
      <c r="D621" s="88">
        <v>1551570</v>
      </c>
      <c r="E621" s="88" t="s">
        <v>61</v>
      </c>
      <c r="F621" s="88">
        <v>0</v>
      </c>
      <c r="G621" s="78">
        <f>MAX(H621,I621,J621)</f>
        <v>0</v>
      </c>
      <c r="H621" s="88"/>
      <c r="I621" s="88"/>
      <c r="J621" s="78">
        <f>MAX(K621:Q621)</f>
        <v>0</v>
      </c>
      <c r="K621" s="88"/>
      <c r="L621" s="88"/>
      <c r="M621" s="88"/>
      <c r="N621" s="88"/>
      <c r="O621" s="88"/>
      <c r="P621" s="88"/>
      <c r="Q621" s="88"/>
      <c r="R621" s="78">
        <f>MAX(S621:W621)</f>
        <v>1</v>
      </c>
      <c r="S621" s="88"/>
      <c r="T621" s="88"/>
      <c r="U621" s="88">
        <v>1</v>
      </c>
      <c r="V621" s="88"/>
      <c r="W621" s="88"/>
    </row>
    <row r="622" spans="2:23" s="0" customFormat="0" ht="15">
      <c r="B622" s="87" t="s">
        <v>1</v>
      </c>
      <c r="C622" s="88" t="s">
        <v>5259</v>
      </c>
      <c r="D622" s="88">
        <v>15690041</v>
      </c>
      <c r="E622" s="88" t="s">
        <v>61</v>
      </c>
      <c r="F622" s="88">
        <v>0</v>
      </c>
      <c r="G622" s="78">
        <f>MAX(H622,I622,J622)</f>
        <v>1</v>
      </c>
      <c r="H622" s="88"/>
      <c r="I622" s="88"/>
      <c r="J622" s="78">
        <f>MAX(K622:Q622)</f>
        <v>1</v>
      </c>
      <c r="K622" s="88">
        <v>1</v>
      </c>
      <c r="L622" s="88"/>
      <c r="M622" s="88"/>
      <c r="N622" s="88"/>
      <c r="O622" s="88"/>
      <c r="P622" s="88"/>
      <c r="Q622" s="88"/>
      <c r="R622" s="78">
        <f>MAX(S622:W622)</f>
        <v>0</v>
      </c>
      <c r="S622" s="88"/>
      <c r="T622" s="88"/>
      <c r="U622" s="88"/>
      <c r="V622" s="88"/>
      <c r="W622" s="88"/>
    </row>
    <row r="623" spans="2:23" s="0" customFormat="0" ht="15">
      <c r="B623" s="87" t="s">
        <v>1</v>
      </c>
      <c r="C623" s="88" t="s">
        <v>5259</v>
      </c>
      <c r="D623" s="88" t="s">
        <v>3605</v>
      </c>
      <c r="E623" s="88" t="s">
        <v>61</v>
      </c>
      <c r="F623" s="88">
        <v>0</v>
      </c>
      <c r="G623" s="78">
        <f>MAX(H623,I623,J623)</f>
        <v>0</v>
      </c>
      <c r="H623" s="88"/>
      <c r="I623" s="88"/>
      <c r="J623" s="78">
        <f>MAX(K623:Q623)</f>
        <v>0</v>
      </c>
      <c r="K623" s="88"/>
      <c r="L623" s="88"/>
      <c r="M623" s="88"/>
      <c r="N623" s="88"/>
      <c r="O623" s="88"/>
      <c r="P623" s="88"/>
      <c r="Q623" s="88"/>
      <c r="R623" s="78">
        <f>MAX(S623:W623)</f>
        <v>1</v>
      </c>
      <c r="S623" s="88"/>
      <c r="T623" s="88"/>
      <c r="U623" s="88">
        <v>1</v>
      </c>
      <c r="V623" s="88"/>
      <c r="W623" s="88"/>
    </row>
    <row r="624" spans="2:23" s="0" customFormat="0" ht="15">
      <c r="B624" s="87" t="s">
        <v>1</v>
      </c>
      <c r="C624" s="88" t="s">
        <v>5259</v>
      </c>
      <c r="D624" s="88">
        <v>14559428</v>
      </c>
      <c r="E624" s="88" t="s">
        <v>61</v>
      </c>
      <c r="F624" s="88">
        <v>0</v>
      </c>
      <c r="G624" s="78">
        <f>MAX(H624,I624,J624)</f>
        <v>1</v>
      </c>
      <c r="H624" s="88"/>
      <c r="I624" s="88"/>
      <c r="J624" s="78">
        <f>MAX(K624:Q624)</f>
        <v>1</v>
      </c>
      <c r="K624" s="88">
        <v>1</v>
      </c>
      <c r="L624" s="88"/>
      <c r="M624" s="88"/>
      <c r="N624" s="88"/>
      <c r="O624" s="88"/>
      <c r="P624" s="88"/>
      <c r="Q624" s="88"/>
      <c r="R624" s="78">
        <f>MAX(S624:W624)</f>
        <v>0</v>
      </c>
      <c r="S624" s="88"/>
      <c r="T624" s="88"/>
      <c r="U624" s="88"/>
      <c r="V624" s="88"/>
      <c r="W624" s="88"/>
    </row>
    <row r="625" spans="2:23" s="0" customFormat="0" ht="15">
      <c r="B625" s="87" t="s">
        <v>1</v>
      </c>
      <c r="C625" s="88" t="s">
        <v>5259</v>
      </c>
      <c r="D625" s="88" t="s">
        <v>3607</v>
      </c>
      <c r="E625" s="88" t="s">
        <v>61</v>
      </c>
      <c r="F625" s="88">
        <v>0</v>
      </c>
      <c r="G625" s="78">
        <f>MAX(H625,I625,J625)</f>
        <v>0</v>
      </c>
      <c r="H625" s="88"/>
      <c r="I625" s="88"/>
      <c r="J625" s="78">
        <f>MAX(K625:Q625)</f>
        <v>0</v>
      </c>
      <c r="K625" s="88"/>
      <c r="L625" s="88"/>
      <c r="M625" s="88"/>
      <c r="N625" s="88"/>
      <c r="O625" s="88"/>
      <c r="P625" s="88"/>
      <c r="Q625" s="88"/>
      <c r="R625" s="78">
        <f>MAX(S625:W625)</f>
        <v>1</v>
      </c>
      <c r="S625" s="88"/>
      <c r="T625" s="88"/>
      <c r="U625" s="88">
        <v>1</v>
      </c>
      <c r="V625" s="88"/>
      <c r="W625" s="88"/>
    </row>
    <row r="626" spans="2:23" s="0" customFormat="0" ht="15">
      <c r="B626" s="87" t="s">
        <v>1</v>
      </c>
      <c r="C626" s="88" t="s">
        <v>5259</v>
      </c>
      <c r="D626" s="88" t="s">
        <v>3609</v>
      </c>
      <c r="E626" s="88" t="s">
        <v>61</v>
      </c>
      <c r="F626" s="88">
        <v>0</v>
      </c>
      <c r="G626" s="78">
        <f>MAX(H626,I626,J626)</f>
        <v>0</v>
      </c>
      <c r="H626" s="88"/>
      <c r="I626" s="88"/>
      <c r="J626" s="78">
        <f>MAX(K626:Q626)</f>
        <v>0</v>
      </c>
      <c r="K626" s="88"/>
      <c r="L626" s="88"/>
      <c r="M626" s="88"/>
      <c r="N626" s="88"/>
      <c r="O626" s="88"/>
      <c r="P626" s="88"/>
      <c r="Q626" s="88"/>
      <c r="R626" s="78">
        <f>MAX(S626:W626)</f>
        <v>1</v>
      </c>
      <c r="S626" s="88"/>
      <c r="T626" s="88"/>
      <c r="U626" s="88">
        <v>1</v>
      </c>
      <c r="V626" s="88"/>
      <c r="W626" s="88"/>
    </row>
    <row r="627" spans="2:23" s="0" customFormat="0" ht="15">
      <c r="B627" s="87" t="s">
        <v>1</v>
      </c>
      <c r="C627" s="88" t="s">
        <v>5259</v>
      </c>
      <c r="D627" s="88">
        <v>1551609</v>
      </c>
      <c r="E627" s="88" t="s">
        <v>61</v>
      </c>
      <c r="F627" s="88">
        <v>0</v>
      </c>
      <c r="G627" s="78">
        <f>MAX(H627,I627,J627)</f>
        <v>0</v>
      </c>
      <c r="H627" s="88"/>
      <c r="I627" s="88"/>
      <c r="J627" s="78">
        <f>MAX(K627:Q627)</f>
        <v>0</v>
      </c>
      <c r="K627" s="88"/>
      <c r="L627" s="88"/>
      <c r="M627" s="88"/>
      <c r="N627" s="88"/>
      <c r="O627" s="88"/>
      <c r="P627" s="88"/>
      <c r="Q627" s="88"/>
      <c r="R627" s="78">
        <f>MAX(S627:W627)</f>
        <v>1</v>
      </c>
      <c r="S627" s="88"/>
      <c r="T627" s="88"/>
      <c r="U627" s="88">
        <v>1</v>
      </c>
      <c r="V627" s="88"/>
      <c r="W627" s="88"/>
    </row>
    <row r="628" spans="2:23" s="0" customFormat="0" ht="15">
      <c r="B628" s="87" t="s">
        <v>1</v>
      </c>
      <c r="C628" s="88" t="s">
        <v>5259</v>
      </c>
      <c r="D628" s="88" t="s">
        <v>3612</v>
      </c>
      <c r="E628" s="88" t="s">
        <v>61</v>
      </c>
      <c r="F628" s="88">
        <v>0</v>
      </c>
      <c r="G628" s="78">
        <f>MAX(H628,I628,J628)</f>
        <v>0</v>
      </c>
      <c r="H628" s="88"/>
      <c r="I628" s="88"/>
      <c r="J628" s="78">
        <f>MAX(K628:Q628)</f>
        <v>0</v>
      </c>
      <c r="K628" s="88"/>
      <c r="L628" s="88"/>
      <c r="M628" s="88"/>
      <c r="N628" s="88"/>
      <c r="O628" s="88"/>
      <c r="P628" s="88"/>
      <c r="Q628" s="88"/>
      <c r="R628" s="78">
        <f>MAX(S628:W628)</f>
        <v>1</v>
      </c>
      <c r="S628" s="88"/>
      <c r="T628" s="88"/>
      <c r="U628" s="88">
        <v>1</v>
      </c>
      <c r="V628" s="88"/>
      <c r="W628" s="88"/>
    </row>
    <row r="629" spans="2:23" s="0" customFormat="0" ht="15">
      <c r="B629" s="87" t="s">
        <v>1</v>
      </c>
      <c r="C629" s="88" t="s">
        <v>5259</v>
      </c>
      <c r="D629" s="88" t="s">
        <v>648</v>
      </c>
      <c r="E629" s="88" t="s">
        <v>61</v>
      </c>
      <c r="F629" s="88">
        <v>0</v>
      </c>
      <c r="G629" s="78">
        <f>MAX(H629,I629,J629)</f>
        <v>1</v>
      </c>
      <c r="H629" s="88"/>
      <c r="I629" s="88"/>
      <c r="J629" s="78">
        <f>MAX(K629:Q629)</f>
        <v>1</v>
      </c>
      <c r="K629" s="88">
        <v>1</v>
      </c>
      <c r="L629" s="88"/>
      <c r="M629" s="88"/>
      <c r="N629" s="88"/>
      <c r="O629" s="88"/>
      <c r="P629" s="88"/>
      <c r="Q629" s="88"/>
      <c r="R629" s="78">
        <f>MAX(S629:W629)</f>
        <v>0</v>
      </c>
      <c r="S629" s="88"/>
      <c r="T629" s="88"/>
      <c r="U629" s="88"/>
      <c r="V629" s="88"/>
      <c r="W629" s="88"/>
    </row>
    <row r="630" spans="2:23" s="0" customFormat="0" ht="15">
      <c r="B630" s="87" t="s">
        <v>1</v>
      </c>
      <c r="C630" s="88" t="s">
        <v>5259</v>
      </c>
      <c r="D630" s="88" t="s">
        <v>650</v>
      </c>
      <c r="E630" s="88" t="s">
        <v>61</v>
      </c>
      <c r="F630" s="88">
        <v>0</v>
      </c>
      <c r="G630" s="78">
        <f>MAX(H630,I630,J630)</f>
        <v>1</v>
      </c>
      <c r="H630" s="88"/>
      <c r="I630" s="88"/>
      <c r="J630" s="78">
        <f>MAX(K630:Q630)</f>
        <v>1</v>
      </c>
      <c r="K630" s="88">
        <v>1</v>
      </c>
      <c r="L630" s="88"/>
      <c r="M630" s="88"/>
      <c r="N630" s="88"/>
      <c r="O630" s="88"/>
      <c r="P630" s="88"/>
      <c r="Q630" s="88"/>
      <c r="R630" s="78">
        <f>MAX(S630:W630)</f>
        <v>0</v>
      </c>
      <c r="S630" s="88"/>
      <c r="T630" s="88"/>
      <c r="U630" s="88"/>
      <c r="V630" s="88"/>
      <c r="W630" s="88"/>
    </row>
    <row r="631" spans="2:23" s="0" customFormat="0" ht="15">
      <c r="B631" s="87" t="s">
        <v>1</v>
      </c>
      <c r="C631" s="88" t="s">
        <v>5259</v>
      </c>
      <c r="D631" s="88">
        <v>17470938</v>
      </c>
      <c r="E631" s="88" t="s">
        <v>61</v>
      </c>
      <c r="F631" s="88">
        <v>0</v>
      </c>
      <c r="G631" s="78">
        <f>MAX(H631,I631,J631)</f>
        <v>1</v>
      </c>
      <c r="H631" s="88"/>
      <c r="I631" s="88"/>
      <c r="J631" s="78">
        <f>MAX(K631:Q631)</f>
        <v>1</v>
      </c>
      <c r="K631" s="88">
        <v>1</v>
      </c>
      <c r="L631" s="88"/>
      <c r="M631" s="88"/>
      <c r="N631" s="88"/>
      <c r="O631" s="88"/>
      <c r="P631" s="88"/>
      <c r="Q631" s="88"/>
      <c r="R631" s="78">
        <f>MAX(S631:W631)</f>
        <v>0</v>
      </c>
      <c r="S631" s="88"/>
      <c r="T631" s="88"/>
      <c r="U631" s="88"/>
      <c r="V631" s="88"/>
      <c r="W631" s="88"/>
    </row>
    <row r="632" spans="2:23" s="0" customFormat="0" ht="15">
      <c r="B632" s="87" t="s">
        <v>1</v>
      </c>
      <c r="C632" s="88" t="s">
        <v>5259</v>
      </c>
      <c r="D632" s="88" t="s">
        <v>3614</v>
      </c>
      <c r="E632" s="88" t="s">
        <v>61</v>
      </c>
      <c r="F632" s="88">
        <v>0</v>
      </c>
      <c r="G632" s="78">
        <f>MAX(H632,I632,J632)</f>
        <v>0</v>
      </c>
      <c r="H632" s="88"/>
      <c r="I632" s="88"/>
      <c r="J632" s="78">
        <f>MAX(K632:Q632)</f>
        <v>0</v>
      </c>
      <c r="K632" s="88"/>
      <c r="L632" s="88"/>
      <c r="M632" s="88"/>
      <c r="N632" s="88"/>
      <c r="O632" s="88"/>
      <c r="P632" s="88"/>
      <c r="Q632" s="88"/>
      <c r="R632" s="78">
        <f>MAX(S632:W632)</f>
        <v>1</v>
      </c>
      <c r="S632" s="88"/>
      <c r="T632" s="88"/>
      <c r="U632" s="88">
        <v>1</v>
      </c>
      <c r="V632" s="88"/>
      <c r="W632" s="88"/>
    </row>
    <row r="633" spans="2:23" s="0" customFormat="0" ht="15">
      <c r="B633" s="87" t="s">
        <v>1</v>
      </c>
      <c r="C633" s="88" t="s">
        <v>5259</v>
      </c>
      <c r="D633" s="88" t="s">
        <v>3616</v>
      </c>
      <c r="E633" s="88" t="s">
        <v>61</v>
      </c>
      <c r="F633" s="88">
        <v>0</v>
      </c>
      <c r="G633" s="78">
        <f>MAX(H633,I633,J633)</f>
        <v>0</v>
      </c>
      <c r="H633" s="88"/>
      <c r="I633" s="88"/>
      <c r="J633" s="78">
        <f>MAX(K633:Q633)</f>
        <v>0</v>
      </c>
      <c r="K633" s="88"/>
      <c r="L633" s="88"/>
      <c r="M633" s="88"/>
      <c r="N633" s="88"/>
      <c r="O633" s="88"/>
      <c r="P633" s="88"/>
      <c r="Q633" s="88"/>
      <c r="R633" s="78">
        <f>MAX(S633:W633)</f>
        <v>1</v>
      </c>
      <c r="S633" s="88"/>
      <c r="T633" s="88"/>
      <c r="U633" s="88">
        <v>1</v>
      </c>
      <c r="V633" s="88"/>
      <c r="W633" s="88"/>
    </row>
    <row r="634" spans="2:23" s="0" customFormat="0" ht="15">
      <c r="B634" s="87" t="s">
        <v>1</v>
      </c>
      <c r="C634" s="88" t="s">
        <v>5259</v>
      </c>
      <c r="D634" s="88" t="s">
        <v>3618</v>
      </c>
      <c r="E634" s="88" t="s">
        <v>61</v>
      </c>
      <c r="F634" s="88">
        <v>0</v>
      </c>
      <c r="G634" s="78">
        <f>MAX(H634,I634,J634)</f>
        <v>0</v>
      </c>
      <c r="H634" s="88"/>
      <c r="I634" s="88"/>
      <c r="J634" s="78">
        <f>MAX(K634:Q634)</f>
        <v>0</v>
      </c>
      <c r="K634" s="88"/>
      <c r="L634" s="88"/>
      <c r="M634" s="88"/>
      <c r="N634" s="88"/>
      <c r="O634" s="88"/>
      <c r="P634" s="88"/>
      <c r="Q634" s="88"/>
      <c r="R634" s="78">
        <f>MAX(S634:W634)</f>
        <v>1</v>
      </c>
      <c r="S634" s="88"/>
      <c r="T634" s="88"/>
      <c r="U634" s="88">
        <v>1</v>
      </c>
      <c r="V634" s="88"/>
      <c r="W634" s="88"/>
    </row>
    <row r="635" spans="2:23" s="0" customFormat="0" ht="15">
      <c r="B635" s="87" t="s">
        <v>1</v>
      </c>
      <c r="C635" s="88" t="s">
        <v>5259</v>
      </c>
      <c r="D635" s="88">
        <v>21618000</v>
      </c>
      <c r="E635" s="88" t="s">
        <v>61</v>
      </c>
      <c r="F635" s="88">
        <v>0</v>
      </c>
      <c r="G635" s="78">
        <f>MAX(H635,I635,J635)</f>
        <v>1</v>
      </c>
      <c r="H635" s="88"/>
      <c r="I635" s="88"/>
      <c r="J635" s="78">
        <f>MAX(K635:Q635)</f>
        <v>1</v>
      </c>
      <c r="K635" s="88">
        <v>1</v>
      </c>
      <c r="L635" s="88"/>
      <c r="M635" s="88"/>
      <c r="N635" s="88"/>
      <c r="O635" s="88"/>
      <c r="P635" s="88"/>
      <c r="Q635" s="88"/>
      <c r="R635" s="78">
        <f>MAX(S635:W635)</f>
        <v>0</v>
      </c>
      <c r="S635" s="88"/>
      <c r="T635" s="88"/>
      <c r="U635" s="88"/>
      <c r="V635" s="88"/>
      <c r="W635" s="88"/>
    </row>
    <row r="636" spans="2:23" s="0" customFormat="0" ht="15">
      <c r="B636" s="87" t="s">
        <v>1</v>
      </c>
      <c r="C636" s="88" t="s">
        <v>5259</v>
      </c>
      <c r="D636" s="88">
        <v>23162553</v>
      </c>
      <c r="E636" s="88" t="s">
        <v>61</v>
      </c>
      <c r="F636" s="88">
        <v>0</v>
      </c>
      <c r="G636" s="78">
        <f>MAX(H636,I636,J636)</f>
        <v>1</v>
      </c>
      <c r="H636" s="88"/>
      <c r="I636" s="88"/>
      <c r="J636" s="78">
        <f>MAX(K636:Q636)</f>
        <v>1</v>
      </c>
      <c r="K636" s="88">
        <v>1</v>
      </c>
      <c r="L636" s="88"/>
      <c r="M636" s="88"/>
      <c r="N636" s="88"/>
      <c r="O636" s="88"/>
      <c r="P636" s="88"/>
      <c r="Q636" s="88"/>
      <c r="R636" s="78">
        <f>MAX(S636:W636)</f>
        <v>0</v>
      </c>
      <c r="S636" s="88"/>
      <c r="T636" s="88"/>
      <c r="U636" s="88"/>
      <c r="V636" s="88"/>
      <c r="W636" s="88"/>
    </row>
    <row r="637" spans="2:23" s="0" customFormat="0" ht="15">
      <c r="B637" s="87" t="s">
        <v>1</v>
      </c>
      <c r="C637" s="88" t="s">
        <v>5259</v>
      </c>
      <c r="D637" s="88" t="s">
        <v>3620</v>
      </c>
      <c r="E637" s="88" t="s">
        <v>61</v>
      </c>
      <c r="F637" s="88">
        <v>0</v>
      </c>
      <c r="G637" s="78">
        <f>MAX(H637,I637,J637)</f>
        <v>0</v>
      </c>
      <c r="H637" s="88"/>
      <c r="I637" s="88"/>
      <c r="J637" s="78">
        <f>MAX(K637:Q637)</f>
        <v>0</v>
      </c>
      <c r="K637" s="88"/>
      <c r="L637" s="88"/>
      <c r="M637" s="88"/>
      <c r="N637" s="88"/>
      <c r="O637" s="88"/>
      <c r="P637" s="88"/>
      <c r="Q637" s="88"/>
      <c r="R637" s="78">
        <f>MAX(S637:W637)</f>
        <v>1</v>
      </c>
      <c r="S637" s="88"/>
      <c r="T637" s="88"/>
      <c r="U637" s="88">
        <v>1</v>
      </c>
      <c r="V637" s="88"/>
      <c r="W637" s="88"/>
    </row>
    <row r="638" spans="2:23" s="0" customFormat="0" ht="15">
      <c r="B638" s="87" t="s">
        <v>1</v>
      </c>
      <c r="C638" s="88" t="s">
        <v>5259</v>
      </c>
      <c r="D638" s="88" t="s">
        <v>655</v>
      </c>
      <c r="E638" s="88" t="s">
        <v>61</v>
      </c>
      <c r="F638" s="88">
        <v>0</v>
      </c>
      <c r="G638" s="78">
        <f>MAX(H638,I638,J638)</f>
        <v>1</v>
      </c>
      <c r="H638" s="88"/>
      <c r="I638" s="88"/>
      <c r="J638" s="78">
        <f>MAX(K638:Q638)</f>
        <v>1</v>
      </c>
      <c r="K638" s="88">
        <v>1</v>
      </c>
      <c r="L638" s="88"/>
      <c r="M638" s="88"/>
      <c r="N638" s="88"/>
      <c r="O638" s="88"/>
      <c r="P638" s="88"/>
      <c r="Q638" s="88"/>
      <c r="R638" s="78">
        <f>MAX(S638:W638)</f>
        <v>0</v>
      </c>
      <c r="S638" s="88"/>
      <c r="T638" s="88"/>
      <c r="U638" s="88"/>
      <c r="V638" s="88"/>
      <c r="W638" s="88"/>
    </row>
    <row r="639" spans="2:23" s="0" customFormat="0" ht="15">
      <c r="B639" s="87" t="s">
        <v>1</v>
      </c>
      <c r="C639" s="88" t="s">
        <v>5259</v>
      </c>
      <c r="D639" s="88">
        <v>12495001</v>
      </c>
      <c r="E639" s="88" t="s">
        <v>61</v>
      </c>
      <c r="F639" s="88">
        <v>0</v>
      </c>
      <c r="G639" s="78">
        <f>MAX(H639,I639,J639)</f>
        <v>1</v>
      </c>
      <c r="H639" s="88"/>
      <c r="I639" s="88"/>
      <c r="J639" s="78">
        <f>MAX(K639:Q639)</f>
        <v>1</v>
      </c>
      <c r="K639" s="88">
        <v>1</v>
      </c>
      <c r="L639" s="88"/>
      <c r="M639" s="88"/>
      <c r="N639" s="88"/>
      <c r="O639" s="88"/>
      <c r="P639" s="88"/>
      <c r="Q639" s="88"/>
      <c r="R639" s="78">
        <f>MAX(S639:W639)</f>
        <v>0</v>
      </c>
      <c r="S639" s="88"/>
      <c r="T639" s="88"/>
      <c r="U639" s="88"/>
      <c r="V639" s="88"/>
      <c r="W639" s="88"/>
    </row>
    <row r="640" spans="2:23" s="0" customFormat="0" ht="15">
      <c r="B640" s="87" t="s">
        <v>1</v>
      </c>
      <c r="C640" s="88" t="s">
        <v>5259</v>
      </c>
      <c r="D640" s="88">
        <v>21276264</v>
      </c>
      <c r="E640" s="88" t="s">
        <v>61</v>
      </c>
      <c r="F640" s="88">
        <v>0</v>
      </c>
      <c r="G640" s="78">
        <f>MAX(H640,I640,J640)</f>
        <v>1</v>
      </c>
      <c r="H640" s="88"/>
      <c r="I640" s="88"/>
      <c r="J640" s="78">
        <f>MAX(K640:Q640)</f>
        <v>1</v>
      </c>
      <c r="K640" s="88">
        <v>1</v>
      </c>
      <c r="L640" s="88"/>
      <c r="M640" s="88"/>
      <c r="N640" s="88"/>
      <c r="O640" s="88"/>
      <c r="P640" s="88"/>
      <c r="Q640" s="88"/>
      <c r="R640" s="78">
        <f>MAX(S640:W640)</f>
        <v>0</v>
      </c>
      <c r="S640" s="88"/>
      <c r="T640" s="88"/>
      <c r="U640" s="88"/>
      <c r="V640" s="88"/>
      <c r="W640" s="88"/>
    </row>
    <row r="641" spans="2:23" s="0" customFormat="0" ht="15">
      <c r="B641" s="87" t="s">
        <v>1</v>
      </c>
      <c r="C641" s="88" t="s">
        <v>5259</v>
      </c>
      <c r="D641" s="88">
        <v>22892551</v>
      </c>
      <c r="E641" s="88" t="s">
        <v>61</v>
      </c>
      <c r="F641" s="88">
        <v>0</v>
      </c>
      <c r="G641" s="78">
        <f>MAX(H641,I641,J641)</f>
        <v>1</v>
      </c>
      <c r="H641" s="88"/>
      <c r="I641" s="88"/>
      <c r="J641" s="78">
        <f>MAX(K641:Q641)</f>
        <v>1</v>
      </c>
      <c r="K641" s="88">
        <v>1</v>
      </c>
      <c r="L641" s="88"/>
      <c r="M641" s="88"/>
      <c r="N641" s="88"/>
      <c r="O641" s="88"/>
      <c r="P641" s="88"/>
      <c r="Q641" s="88"/>
      <c r="R641" s="78">
        <f>MAX(S641:W641)</f>
        <v>0</v>
      </c>
      <c r="S641" s="88"/>
      <c r="T641" s="88"/>
      <c r="U641" s="88"/>
      <c r="V641" s="88"/>
      <c r="W641" s="88"/>
    </row>
    <row r="642" spans="2:23" s="0" customFormat="0" ht="15">
      <c r="B642" s="87" t="s">
        <v>1</v>
      </c>
      <c r="C642" s="88" t="s">
        <v>5259</v>
      </c>
      <c r="D642" s="88">
        <v>19793892</v>
      </c>
      <c r="E642" s="88" t="s">
        <v>61</v>
      </c>
      <c r="F642" s="88">
        <v>0</v>
      </c>
      <c r="G642" s="78">
        <f>MAX(H642,I642,J642)</f>
        <v>1</v>
      </c>
      <c r="H642" s="88"/>
      <c r="I642" s="88"/>
      <c r="J642" s="78">
        <f>MAX(K642:Q642)</f>
        <v>1</v>
      </c>
      <c r="K642" s="88">
        <v>1</v>
      </c>
      <c r="L642" s="88"/>
      <c r="M642" s="88"/>
      <c r="N642" s="88"/>
      <c r="O642" s="88"/>
      <c r="P642" s="88"/>
      <c r="Q642" s="88"/>
      <c r="R642" s="78">
        <f>MAX(S642:W642)</f>
        <v>0</v>
      </c>
      <c r="S642" s="88"/>
      <c r="T642" s="88"/>
      <c r="U642" s="88"/>
      <c r="V642" s="88"/>
      <c r="W642" s="88"/>
    </row>
    <row r="643" spans="2:23" s="0" customFormat="0" ht="15">
      <c r="B643" s="87" t="s">
        <v>1</v>
      </c>
      <c r="C643" s="88" t="s">
        <v>5259</v>
      </c>
      <c r="D643" s="88" t="s">
        <v>661</v>
      </c>
      <c r="E643" s="88" t="s">
        <v>61</v>
      </c>
      <c r="F643" s="88">
        <v>0</v>
      </c>
      <c r="G643" s="78">
        <f>MAX(H643,I643,J643)</f>
        <v>1</v>
      </c>
      <c r="H643" s="88"/>
      <c r="I643" s="88"/>
      <c r="J643" s="78">
        <f>MAX(K643:Q643)</f>
        <v>1</v>
      </c>
      <c r="K643" s="88">
        <v>1</v>
      </c>
      <c r="L643" s="88"/>
      <c r="M643" s="88"/>
      <c r="N643" s="88"/>
      <c r="O643" s="88"/>
      <c r="P643" s="88"/>
      <c r="Q643" s="88"/>
      <c r="R643" s="78">
        <f>MAX(S643:W643)</f>
        <v>0</v>
      </c>
      <c r="S643" s="88"/>
      <c r="T643" s="88"/>
      <c r="U643" s="88"/>
      <c r="V643" s="88"/>
      <c r="W643" s="88"/>
    </row>
    <row r="644" spans="2:23" s="0" customFormat="0" ht="15">
      <c r="B644" s="87" t="s">
        <v>1</v>
      </c>
      <c r="C644" s="88" t="s">
        <v>5259</v>
      </c>
      <c r="D644" s="88">
        <v>20113237</v>
      </c>
      <c r="E644" s="88" t="s">
        <v>61</v>
      </c>
      <c r="F644" s="88">
        <v>0</v>
      </c>
      <c r="G644" s="78">
        <f>MAX(H644,I644,J644)</f>
        <v>0</v>
      </c>
      <c r="H644" s="88"/>
      <c r="I644" s="88"/>
      <c r="J644" s="78">
        <f>MAX(K644:Q644)</f>
        <v>0</v>
      </c>
      <c r="K644" s="88"/>
      <c r="L644" s="88"/>
      <c r="M644" s="88"/>
      <c r="N644" s="88"/>
      <c r="O644" s="88"/>
      <c r="P644" s="88"/>
      <c r="Q644" s="88"/>
      <c r="R644" s="78">
        <f>MAX(S644:W644)</f>
        <v>1</v>
      </c>
      <c r="S644" s="88"/>
      <c r="T644" s="88"/>
      <c r="U644" s="88">
        <v>1</v>
      </c>
      <c r="V644" s="88"/>
      <c r="W644" s="88"/>
    </row>
    <row r="645" spans="2:23" s="0" customFormat="0" ht="15">
      <c r="B645" s="87" t="s">
        <v>1</v>
      </c>
      <c r="C645" s="88" t="s">
        <v>5259</v>
      </c>
      <c r="D645" s="88" t="s">
        <v>3623</v>
      </c>
      <c r="E645" s="88" t="s">
        <v>61</v>
      </c>
      <c r="F645" s="88">
        <v>0</v>
      </c>
      <c r="G645" s="78">
        <f>MAX(H645,I645,J645)</f>
        <v>0</v>
      </c>
      <c r="H645" s="88"/>
      <c r="I645" s="88"/>
      <c r="J645" s="78">
        <f>MAX(K645:Q645)</f>
        <v>0</v>
      </c>
      <c r="K645" s="88"/>
      <c r="L645" s="88"/>
      <c r="M645" s="88"/>
      <c r="N645" s="88"/>
      <c r="O645" s="88"/>
      <c r="P645" s="88"/>
      <c r="Q645" s="88"/>
      <c r="R645" s="78">
        <f>MAX(S645:W645)</f>
        <v>1</v>
      </c>
      <c r="S645" s="88"/>
      <c r="T645" s="88"/>
      <c r="U645" s="88">
        <v>1</v>
      </c>
      <c r="V645" s="88"/>
      <c r="W645" s="88"/>
    </row>
    <row r="646" spans="2:23" s="0" customFormat="0" ht="15">
      <c r="B646" s="87" t="s">
        <v>1</v>
      </c>
      <c r="C646" s="88" t="s">
        <v>5259</v>
      </c>
      <c r="D646" s="88">
        <v>4482503</v>
      </c>
      <c r="E646" s="88" t="s">
        <v>61</v>
      </c>
      <c r="F646" s="88">
        <v>0</v>
      </c>
      <c r="G646" s="78">
        <f>MAX(H646,I646,J646)</f>
        <v>1</v>
      </c>
      <c r="H646" s="88"/>
      <c r="I646" s="88"/>
      <c r="J646" s="78">
        <f>MAX(K646:Q646)</f>
        <v>1</v>
      </c>
      <c r="K646" s="88">
        <v>1</v>
      </c>
      <c r="L646" s="88"/>
      <c r="M646" s="88"/>
      <c r="N646" s="88"/>
      <c r="O646" s="88"/>
      <c r="P646" s="88"/>
      <c r="Q646" s="88"/>
      <c r="R646" s="78">
        <f>MAX(S646:W646)</f>
        <v>0</v>
      </c>
      <c r="S646" s="88"/>
      <c r="T646" s="88"/>
      <c r="U646" s="88"/>
      <c r="V646" s="88"/>
      <c r="W646" s="88"/>
    </row>
    <row r="647" spans="2:23" s="0" customFormat="0" ht="15">
      <c r="B647" s="87" t="s">
        <v>1</v>
      </c>
      <c r="C647" s="88" t="s">
        <v>5259</v>
      </c>
      <c r="D647" s="88">
        <v>22055798</v>
      </c>
      <c r="E647" s="88" t="s">
        <v>61</v>
      </c>
      <c r="F647" s="88">
        <v>0</v>
      </c>
      <c r="G647" s="78">
        <f>MAX(H647,I647,J647)</f>
        <v>1</v>
      </c>
      <c r="H647" s="88"/>
      <c r="I647" s="88"/>
      <c r="J647" s="78">
        <f>MAX(K647:Q647)</f>
        <v>1</v>
      </c>
      <c r="K647" s="88">
        <v>1</v>
      </c>
      <c r="L647" s="88"/>
      <c r="M647" s="88"/>
      <c r="N647" s="88"/>
      <c r="O647" s="88"/>
      <c r="P647" s="88"/>
      <c r="Q647" s="88"/>
      <c r="R647" s="78">
        <f>MAX(S647:W647)</f>
        <v>0</v>
      </c>
      <c r="S647" s="88"/>
      <c r="T647" s="88"/>
      <c r="U647" s="88"/>
      <c r="V647" s="88"/>
      <c r="W647" s="88"/>
    </row>
    <row r="648" spans="2:23" s="0" customFormat="0" ht="15">
      <c r="B648" s="87" t="s">
        <v>1</v>
      </c>
      <c r="C648" s="88" t="s">
        <v>5259</v>
      </c>
      <c r="D648" s="88" t="s">
        <v>3625</v>
      </c>
      <c r="E648" s="88" t="s">
        <v>61</v>
      </c>
      <c r="F648" s="88">
        <v>0</v>
      </c>
      <c r="G648" s="78">
        <f>MAX(H648,I648,J648)</f>
        <v>0</v>
      </c>
      <c r="H648" s="88"/>
      <c r="I648" s="88"/>
      <c r="J648" s="78">
        <f>MAX(K648:Q648)</f>
        <v>0</v>
      </c>
      <c r="K648" s="88"/>
      <c r="L648" s="88"/>
      <c r="M648" s="88"/>
      <c r="N648" s="88"/>
      <c r="O648" s="88"/>
      <c r="P648" s="88"/>
      <c r="Q648" s="88"/>
      <c r="R648" s="78">
        <f>MAX(S648:W648)</f>
        <v>1</v>
      </c>
      <c r="S648" s="88"/>
      <c r="T648" s="88"/>
      <c r="U648" s="88">
        <v>1</v>
      </c>
      <c r="V648" s="88"/>
      <c r="W648" s="88"/>
    </row>
    <row r="649" spans="2:23" s="0" customFormat="0" ht="15">
      <c r="B649" s="87" t="s">
        <v>1</v>
      </c>
      <c r="C649" s="88" t="s">
        <v>5259</v>
      </c>
      <c r="D649" s="88" t="s">
        <v>3627</v>
      </c>
      <c r="E649" s="88" t="s">
        <v>61</v>
      </c>
      <c r="F649" s="88">
        <v>0</v>
      </c>
      <c r="G649" s="78">
        <f>MAX(H649,I649,J649)</f>
        <v>0</v>
      </c>
      <c r="H649" s="88"/>
      <c r="I649" s="88"/>
      <c r="J649" s="78">
        <f>MAX(K649:Q649)</f>
        <v>0</v>
      </c>
      <c r="K649" s="88"/>
      <c r="L649" s="88"/>
      <c r="M649" s="88"/>
      <c r="N649" s="88"/>
      <c r="O649" s="88"/>
      <c r="P649" s="88"/>
      <c r="Q649" s="88"/>
      <c r="R649" s="78">
        <f>MAX(S649:W649)</f>
        <v>1</v>
      </c>
      <c r="S649" s="88"/>
      <c r="T649" s="88"/>
      <c r="U649" s="88">
        <v>1</v>
      </c>
      <c r="V649" s="88"/>
      <c r="W649" s="88"/>
    </row>
    <row r="650" spans="2:23" s="0" customFormat="0" ht="15">
      <c r="B650" s="87" t="s">
        <v>1</v>
      </c>
      <c r="C650" s="88" t="s">
        <v>5259</v>
      </c>
      <c r="D650" s="88" t="s">
        <v>665</v>
      </c>
      <c r="E650" s="88" t="s">
        <v>61</v>
      </c>
      <c r="F650" s="88">
        <v>0</v>
      </c>
      <c r="G650" s="78">
        <f>MAX(H650,I650,J650)</f>
        <v>1</v>
      </c>
      <c r="H650" s="88"/>
      <c r="I650" s="88"/>
      <c r="J650" s="78">
        <f>MAX(K650:Q650)</f>
        <v>1</v>
      </c>
      <c r="K650" s="88">
        <v>1</v>
      </c>
      <c r="L650" s="88"/>
      <c r="M650" s="88"/>
      <c r="N650" s="88"/>
      <c r="O650" s="88"/>
      <c r="P650" s="88"/>
      <c r="Q650" s="88"/>
      <c r="R650" s="78">
        <f>MAX(S650:W650)</f>
        <v>0</v>
      </c>
      <c r="S650" s="88"/>
      <c r="T650" s="88"/>
      <c r="U650" s="88"/>
      <c r="V650" s="88"/>
      <c r="W650" s="88"/>
    </row>
    <row r="651" spans="2:23" s="0" customFormat="0" ht="15">
      <c r="B651" s="87" t="s">
        <v>1</v>
      </c>
      <c r="C651" s="88" t="s">
        <v>5259</v>
      </c>
      <c r="D651" s="88">
        <v>21150137</v>
      </c>
      <c r="E651" s="88" t="s">
        <v>61</v>
      </c>
      <c r="F651" s="88">
        <v>0</v>
      </c>
      <c r="G651" s="78">
        <f>MAX(H651,I651,J651)</f>
        <v>1</v>
      </c>
      <c r="H651" s="88"/>
      <c r="I651" s="88"/>
      <c r="J651" s="78">
        <f>MAX(K651:Q651)</f>
        <v>1</v>
      </c>
      <c r="K651" s="88">
        <v>1</v>
      </c>
      <c r="L651" s="88"/>
      <c r="M651" s="88"/>
      <c r="N651" s="88"/>
      <c r="O651" s="88"/>
      <c r="P651" s="88"/>
      <c r="Q651" s="88"/>
      <c r="R651" s="78">
        <f>MAX(S651:W651)</f>
        <v>0</v>
      </c>
      <c r="S651" s="88"/>
      <c r="T651" s="88"/>
      <c r="U651" s="88"/>
      <c r="V651" s="88"/>
      <c r="W651" s="88"/>
    </row>
    <row r="652" spans="2:23" s="0" customFormat="0" ht="15">
      <c r="B652" s="87" t="s">
        <v>1</v>
      </c>
      <c r="C652" s="88" t="s">
        <v>5259</v>
      </c>
      <c r="D652" s="88" t="s">
        <v>668</v>
      </c>
      <c r="E652" s="88" t="s">
        <v>61</v>
      </c>
      <c r="F652" s="88">
        <v>0</v>
      </c>
      <c r="G652" s="78">
        <f>MAX(H652,I652,J652)</f>
        <v>1</v>
      </c>
      <c r="H652" s="88"/>
      <c r="I652" s="88"/>
      <c r="J652" s="78">
        <f>MAX(K652:Q652)</f>
        <v>1</v>
      </c>
      <c r="K652" s="88">
        <v>1</v>
      </c>
      <c r="L652" s="88"/>
      <c r="M652" s="88"/>
      <c r="N652" s="88"/>
      <c r="O652" s="88"/>
      <c r="P652" s="88"/>
      <c r="Q652" s="88"/>
      <c r="R652" s="78">
        <f>MAX(S652:W652)</f>
        <v>0</v>
      </c>
      <c r="S652" s="88"/>
      <c r="T652" s="88"/>
      <c r="U652" s="88"/>
      <c r="V652" s="88"/>
      <c r="W652" s="88"/>
    </row>
    <row r="653" spans="2:23" s="0" customFormat="0" ht="15">
      <c r="B653" s="87" t="s">
        <v>1</v>
      </c>
      <c r="C653" s="88" t="s">
        <v>5259</v>
      </c>
      <c r="D653" s="88" t="s">
        <v>670</v>
      </c>
      <c r="E653" s="88" t="s">
        <v>61</v>
      </c>
      <c r="F653" s="88">
        <v>0</v>
      </c>
      <c r="G653" s="78">
        <f>MAX(H653,I653,J653)</f>
        <v>1</v>
      </c>
      <c r="H653" s="88"/>
      <c r="I653" s="88"/>
      <c r="J653" s="78">
        <f>MAX(K653:Q653)</f>
        <v>1</v>
      </c>
      <c r="K653" s="88">
        <v>1</v>
      </c>
      <c r="L653" s="88"/>
      <c r="M653" s="88"/>
      <c r="N653" s="88"/>
      <c r="O653" s="88"/>
      <c r="P653" s="88"/>
      <c r="Q653" s="88"/>
      <c r="R653" s="78">
        <f>MAX(S653:W653)</f>
        <v>0</v>
      </c>
      <c r="S653" s="88"/>
      <c r="T653" s="88"/>
      <c r="U653" s="88"/>
      <c r="V653" s="88"/>
      <c r="W653" s="88"/>
    </row>
    <row r="654" spans="2:23" s="0" customFormat="0" ht="15">
      <c r="B654" s="87" t="s">
        <v>1</v>
      </c>
      <c r="C654" s="88" t="s">
        <v>5259</v>
      </c>
      <c r="D654" s="88" t="s">
        <v>3556</v>
      </c>
      <c r="E654" s="88" t="s">
        <v>61</v>
      </c>
      <c r="F654" s="88">
        <v>0</v>
      </c>
      <c r="G654" s="78">
        <f>MAX(H654,I654,J654)</f>
        <v>0</v>
      </c>
      <c r="H654" s="88"/>
      <c r="I654" s="88"/>
      <c r="J654" s="78">
        <f>MAX(K654:Q654)</f>
        <v>0</v>
      </c>
      <c r="K654" s="88"/>
      <c r="L654" s="88"/>
      <c r="M654" s="88"/>
      <c r="N654" s="88"/>
      <c r="O654" s="88"/>
      <c r="P654" s="88"/>
      <c r="Q654" s="88"/>
      <c r="R654" s="78">
        <f>MAX(S654:W654)</f>
        <v>1</v>
      </c>
      <c r="S654" s="88"/>
      <c r="T654" s="88"/>
      <c r="U654" s="88">
        <v>1</v>
      </c>
      <c r="V654" s="88"/>
      <c r="W654" s="88"/>
    </row>
    <row r="655" spans="2:23" s="0" customFormat="0" ht="15">
      <c r="B655" s="87" t="s">
        <v>1</v>
      </c>
      <c r="C655" s="88" t="s">
        <v>5259</v>
      </c>
      <c r="D655" s="88" t="s">
        <v>3629</v>
      </c>
      <c r="E655" s="88" t="s">
        <v>61</v>
      </c>
      <c r="F655" s="88">
        <v>0</v>
      </c>
      <c r="G655" s="78">
        <f>MAX(H655,I655,J655)</f>
        <v>0</v>
      </c>
      <c r="H655" s="88"/>
      <c r="I655" s="88"/>
      <c r="J655" s="78">
        <f>MAX(K655:Q655)</f>
        <v>0</v>
      </c>
      <c r="K655" s="88"/>
      <c r="L655" s="88"/>
      <c r="M655" s="88"/>
      <c r="N655" s="88"/>
      <c r="O655" s="88"/>
      <c r="P655" s="88"/>
      <c r="Q655" s="88"/>
      <c r="R655" s="78">
        <f>MAX(S655:W655)</f>
        <v>1</v>
      </c>
      <c r="S655" s="88"/>
      <c r="T655" s="88"/>
      <c r="U655" s="88">
        <v>1</v>
      </c>
      <c r="V655" s="88"/>
      <c r="W655" s="88"/>
    </row>
    <row r="656" spans="2:23" s="0" customFormat="0" ht="15">
      <c r="B656" s="87" t="s">
        <v>1</v>
      </c>
      <c r="C656" s="88" t="s">
        <v>5259</v>
      </c>
      <c r="D656" s="88" t="s">
        <v>672</v>
      </c>
      <c r="E656" s="88" t="s">
        <v>61</v>
      </c>
      <c r="F656" s="88">
        <v>0</v>
      </c>
      <c r="G656" s="78">
        <f>MAX(H656,I656,J656)</f>
        <v>1</v>
      </c>
      <c r="H656" s="88"/>
      <c r="I656" s="88"/>
      <c r="J656" s="78">
        <f>MAX(K656:Q656)</f>
        <v>1</v>
      </c>
      <c r="K656" s="88">
        <v>1</v>
      </c>
      <c r="L656" s="88"/>
      <c r="M656" s="88"/>
      <c r="N656" s="88"/>
      <c r="O656" s="88"/>
      <c r="P656" s="88"/>
      <c r="Q656" s="88"/>
      <c r="R656" s="78">
        <f>MAX(S656:W656)</f>
        <v>0</v>
      </c>
      <c r="S656" s="88"/>
      <c r="T656" s="88"/>
      <c r="U656" s="88"/>
      <c r="V656" s="88"/>
      <c r="W656" s="88"/>
    </row>
    <row r="657" spans="2:23" s="0" customFormat="0" ht="15">
      <c r="B657" s="87" t="s">
        <v>1</v>
      </c>
      <c r="C657" s="88" t="s">
        <v>5259</v>
      </c>
      <c r="D657" s="88" t="s">
        <v>3631</v>
      </c>
      <c r="E657" s="88" t="s">
        <v>61</v>
      </c>
      <c r="F657" s="88">
        <v>0</v>
      </c>
      <c r="G657" s="78">
        <f>MAX(H657,I657,J657)</f>
        <v>0</v>
      </c>
      <c r="H657" s="88"/>
      <c r="I657" s="88"/>
      <c r="J657" s="78">
        <f>MAX(K657:Q657)</f>
        <v>0</v>
      </c>
      <c r="K657" s="88"/>
      <c r="L657" s="88"/>
      <c r="M657" s="88"/>
      <c r="N657" s="88"/>
      <c r="O657" s="88"/>
      <c r="P657" s="88"/>
      <c r="Q657" s="88"/>
      <c r="R657" s="78">
        <f>MAX(S657:W657)</f>
        <v>1</v>
      </c>
      <c r="S657" s="88"/>
      <c r="T657" s="88"/>
      <c r="U657" s="88">
        <v>1</v>
      </c>
      <c r="V657" s="88"/>
      <c r="W657" s="88"/>
    </row>
    <row r="658" spans="2:23" s="0" customFormat="0" ht="15">
      <c r="B658" s="87" t="s">
        <v>1</v>
      </c>
      <c r="C658" s="88" t="s">
        <v>5259</v>
      </c>
      <c r="D658" s="88">
        <v>7065945</v>
      </c>
      <c r="E658" s="88" t="s">
        <v>61</v>
      </c>
      <c r="F658" s="88">
        <v>0</v>
      </c>
      <c r="G658" s="78">
        <f>MAX(H658,I658,J658)</f>
        <v>0</v>
      </c>
      <c r="H658" s="88"/>
      <c r="I658" s="88"/>
      <c r="J658" s="78">
        <f>MAX(K658:Q658)</f>
        <v>0</v>
      </c>
      <c r="K658" s="88"/>
      <c r="L658" s="88"/>
      <c r="M658" s="88"/>
      <c r="N658" s="88"/>
      <c r="O658" s="88"/>
      <c r="P658" s="88"/>
      <c r="Q658" s="88"/>
      <c r="R658" s="78">
        <f>MAX(S658:W658)</f>
        <v>1</v>
      </c>
      <c r="S658" s="88"/>
      <c r="T658" s="88"/>
      <c r="U658" s="88">
        <v>1</v>
      </c>
      <c r="V658" s="88"/>
      <c r="W658" s="88"/>
    </row>
    <row r="659" spans="2:23" s="0" customFormat="0" ht="15">
      <c r="B659" s="87" t="s">
        <v>1</v>
      </c>
      <c r="C659" s="88" t="s">
        <v>5259</v>
      </c>
      <c r="D659" s="88">
        <v>15176542</v>
      </c>
      <c r="E659" s="88" t="s">
        <v>61</v>
      </c>
      <c r="F659" s="88">
        <v>0</v>
      </c>
      <c r="G659" s="78">
        <f>MAX(H659,I659,J659)</f>
        <v>0</v>
      </c>
      <c r="H659" s="88"/>
      <c r="I659" s="88"/>
      <c r="J659" s="78">
        <f>MAX(K659:Q659)</f>
        <v>0</v>
      </c>
      <c r="K659" s="88"/>
      <c r="L659" s="88"/>
      <c r="M659" s="88"/>
      <c r="N659" s="88"/>
      <c r="O659" s="88"/>
      <c r="P659" s="88"/>
      <c r="Q659" s="88"/>
      <c r="R659" s="78">
        <f>MAX(S659:W659)</f>
        <v>1</v>
      </c>
      <c r="S659" s="88"/>
      <c r="T659" s="88"/>
      <c r="U659" s="88">
        <v>1</v>
      </c>
      <c r="V659" s="88"/>
      <c r="W659" s="88"/>
    </row>
    <row r="660" spans="2:23" s="0" customFormat="0" ht="15">
      <c r="B660" s="87" t="s">
        <v>1</v>
      </c>
      <c r="C660" s="88" t="s">
        <v>5259</v>
      </c>
      <c r="D660" s="88" t="s">
        <v>3061</v>
      </c>
      <c r="E660" s="88" t="s">
        <v>61</v>
      </c>
      <c r="F660" s="88">
        <v>0</v>
      </c>
      <c r="G660" s="78">
        <f>MAX(H660,I660,J660)</f>
        <v>1</v>
      </c>
      <c r="H660" s="88"/>
      <c r="I660" s="88"/>
      <c r="J660" s="78">
        <f>MAX(K660:Q660)</f>
        <v>1</v>
      </c>
      <c r="K660" s="88"/>
      <c r="L660" s="88"/>
      <c r="M660" s="88">
        <v>1</v>
      </c>
      <c r="N660" s="88"/>
      <c r="O660" s="88"/>
      <c r="P660" s="88"/>
      <c r="Q660" s="88"/>
      <c r="R660" s="78">
        <f>MAX(S660:W660)</f>
        <v>0</v>
      </c>
      <c r="S660" s="88"/>
      <c r="T660" s="88"/>
      <c r="U660" s="88"/>
      <c r="V660" s="88"/>
      <c r="W660" s="88"/>
    </row>
    <row r="661" spans="2:23" s="0" customFormat="0" ht="15">
      <c r="B661" s="87" t="s">
        <v>1</v>
      </c>
      <c r="C661" s="88" t="s">
        <v>5259</v>
      </c>
      <c r="D661" s="88" t="s">
        <v>3635</v>
      </c>
      <c r="E661" s="88" t="s">
        <v>61</v>
      </c>
      <c r="F661" s="88">
        <v>0</v>
      </c>
      <c r="G661" s="78">
        <f>MAX(H661,I661,J661)</f>
        <v>0</v>
      </c>
      <c r="H661" s="88"/>
      <c r="I661" s="88"/>
      <c r="J661" s="78">
        <f>MAX(K661:Q661)</f>
        <v>0</v>
      </c>
      <c r="K661" s="88"/>
      <c r="L661" s="88"/>
      <c r="M661" s="88"/>
      <c r="N661" s="88"/>
      <c r="O661" s="88"/>
      <c r="P661" s="88"/>
      <c r="Q661" s="88"/>
      <c r="R661" s="78">
        <f>MAX(S661:W661)</f>
        <v>1</v>
      </c>
      <c r="S661" s="88"/>
      <c r="T661" s="88"/>
      <c r="U661" s="88">
        <v>1</v>
      </c>
      <c r="V661" s="88"/>
      <c r="W661" s="88"/>
    </row>
    <row r="662" spans="2:23" s="0" customFormat="0" ht="15">
      <c r="B662" s="87" t="s">
        <v>1</v>
      </c>
      <c r="C662" s="88" t="s">
        <v>5259</v>
      </c>
      <c r="D662" s="88">
        <v>1551572</v>
      </c>
      <c r="E662" s="88" t="s">
        <v>61</v>
      </c>
      <c r="F662" s="88">
        <v>0</v>
      </c>
      <c r="G662" s="78">
        <f>MAX(H662,I662,J662)</f>
        <v>0</v>
      </c>
      <c r="H662" s="88"/>
      <c r="I662" s="88"/>
      <c r="J662" s="78">
        <f>MAX(K662:Q662)</f>
        <v>0</v>
      </c>
      <c r="K662" s="88"/>
      <c r="L662" s="88"/>
      <c r="M662" s="88"/>
      <c r="N662" s="88"/>
      <c r="O662" s="88"/>
      <c r="P662" s="88"/>
      <c r="Q662" s="88"/>
      <c r="R662" s="78">
        <f>MAX(S662:W662)</f>
        <v>1</v>
      </c>
      <c r="S662" s="88"/>
      <c r="T662" s="88"/>
      <c r="U662" s="88">
        <v>1</v>
      </c>
      <c r="V662" s="88"/>
      <c r="W662" s="88"/>
    </row>
    <row r="663" spans="2:23" s="0" customFormat="0" ht="15">
      <c r="B663" s="87" t="s">
        <v>1</v>
      </c>
      <c r="C663" s="88" t="s">
        <v>5259</v>
      </c>
      <c r="D663" s="88">
        <v>22455331</v>
      </c>
      <c r="E663" s="88" t="s">
        <v>61</v>
      </c>
      <c r="F663" s="88">
        <v>0</v>
      </c>
      <c r="G663" s="78">
        <f>MAX(H663,I663,J663)</f>
        <v>1</v>
      </c>
      <c r="H663" s="88"/>
      <c r="I663" s="88"/>
      <c r="J663" s="78">
        <f>MAX(K663:Q663)</f>
        <v>1</v>
      </c>
      <c r="K663" s="88">
        <v>1</v>
      </c>
      <c r="L663" s="88"/>
      <c r="M663" s="88"/>
      <c r="N663" s="88"/>
      <c r="O663" s="88"/>
      <c r="P663" s="88"/>
      <c r="Q663" s="88"/>
      <c r="R663" s="78">
        <f>MAX(S663:W663)</f>
        <v>0</v>
      </c>
      <c r="S663" s="88"/>
      <c r="T663" s="88"/>
      <c r="U663" s="88"/>
      <c r="V663" s="88"/>
      <c r="W663" s="88"/>
    </row>
    <row r="664" spans="2:23" s="0" customFormat="0" ht="15">
      <c r="B664" s="87" t="s">
        <v>1</v>
      </c>
      <c r="C664" s="88" t="s">
        <v>5259</v>
      </c>
      <c r="D664" s="88">
        <v>18801403</v>
      </c>
      <c r="E664" s="88" t="s">
        <v>61</v>
      </c>
      <c r="F664" s="88">
        <v>0</v>
      </c>
      <c r="G664" s="78">
        <f>MAX(H664,I664,J664)</f>
        <v>1</v>
      </c>
      <c r="H664" s="88"/>
      <c r="I664" s="88"/>
      <c r="J664" s="78">
        <f>MAX(K664:Q664)</f>
        <v>1</v>
      </c>
      <c r="K664" s="88">
        <v>1</v>
      </c>
      <c r="L664" s="88"/>
      <c r="M664" s="88"/>
      <c r="N664" s="88"/>
      <c r="O664" s="88"/>
      <c r="P664" s="88"/>
      <c r="Q664" s="88"/>
      <c r="R664" s="78">
        <f>MAX(S664:W664)</f>
        <v>0</v>
      </c>
      <c r="S664" s="88"/>
      <c r="T664" s="88"/>
      <c r="U664" s="88"/>
      <c r="V664" s="88"/>
      <c r="W664" s="88"/>
    </row>
    <row r="665" spans="2:23" s="0" customFormat="0" ht="15">
      <c r="B665" s="87" t="s">
        <v>1</v>
      </c>
      <c r="C665" s="88" t="s">
        <v>5259</v>
      </c>
      <c r="D665" s="88">
        <v>14383862</v>
      </c>
      <c r="E665" s="88" t="s">
        <v>61</v>
      </c>
      <c r="F665" s="88">
        <v>0</v>
      </c>
      <c r="G665" s="78">
        <f>MAX(H665,I665,J665)</f>
        <v>1</v>
      </c>
      <c r="H665" s="88"/>
      <c r="I665" s="88"/>
      <c r="J665" s="78">
        <f>MAX(K665:Q665)</f>
        <v>1</v>
      </c>
      <c r="K665" s="88">
        <v>1</v>
      </c>
      <c r="L665" s="88"/>
      <c r="M665" s="88"/>
      <c r="N665" s="88"/>
      <c r="O665" s="88"/>
      <c r="P665" s="88"/>
      <c r="Q665" s="88"/>
      <c r="R665" s="78">
        <f>MAX(S665:W665)</f>
        <v>0</v>
      </c>
      <c r="S665" s="88"/>
      <c r="T665" s="88"/>
      <c r="U665" s="88"/>
      <c r="V665" s="88"/>
      <c r="W665" s="88"/>
    </row>
    <row r="666" spans="2:23" s="0" customFormat="0" ht="15">
      <c r="B666" s="87" t="s">
        <v>1</v>
      </c>
      <c r="C666" s="88" t="s">
        <v>5259</v>
      </c>
      <c r="D666" s="88">
        <v>15586195</v>
      </c>
      <c r="E666" s="88" t="s">
        <v>61</v>
      </c>
      <c r="F666" s="88">
        <v>0</v>
      </c>
      <c r="G666" s="78">
        <f>MAX(H666,I666,J666)</f>
        <v>1</v>
      </c>
      <c r="H666" s="88"/>
      <c r="I666" s="88"/>
      <c r="J666" s="78">
        <f>MAX(K666:Q666)</f>
        <v>1</v>
      </c>
      <c r="K666" s="88">
        <v>1</v>
      </c>
      <c r="L666" s="88"/>
      <c r="M666" s="88"/>
      <c r="N666" s="88"/>
      <c r="O666" s="88"/>
      <c r="P666" s="88"/>
      <c r="Q666" s="88"/>
      <c r="R666" s="78">
        <f>MAX(S666:W666)</f>
        <v>0</v>
      </c>
      <c r="S666" s="88"/>
      <c r="T666" s="88"/>
      <c r="U666" s="88"/>
      <c r="V666" s="88"/>
      <c r="W666" s="88"/>
    </row>
    <row r="667" spans="2:23" s="0" customFormat="0" ht="15">
      <c r="B667" s="87" t="s">
        <v>1</v>
      </c>
      <c r="C667" s="88" t="s">
        <v>5259</v>
      </c>
      <c r="D667" s="88">
        <v>24137384</v>
      </c>
      <c r="E667" s="88" t="s">
        <v>61</v>
      </c>
      <c r="F667" s="88">
        <v>0</v>
      </c>
      <c r="G667" s="78">
        <f>MAX(H667,I667,J667)</f>
        <v>1</v>
      </c>
      <c r="H667" s="88"/>
      <c r="I667" s="88"/>
      <c r="J667" s="78">
        <f>MAX(K667:Q667)</f>
        <v>1</v>
      </c>
      <c r="K667" s="88">
        <v>1</v>
      </c>
      <c r="L667" s="88"/>
      <c r="M667" s="88"/>
      <c r="N667" s="88"/>
      <c r="O667" s="88"/>
      <c r="P667" s="88"/>
      <c r="Q667" s="88"/>
      <c r="R667" s="78">
        <f>MAX(S667:W667)</f>
        <v>0</v>
      </c>
      <c r="S667" s="88"/>
      <c r="T667" s="88"/>
      <c r="U667" s="88"/>
      <c r="V667" s="88"/>
      <c r="W667" s="88"/>
    </row>
    <row r="668" spans="2:23" s="0" customFormat="0" ht="15">
      <c r="B668" s="87" t="s">
        <v>1</v>
      </c>
      <c r="C668" s="88" t="s">
        <v>5259</v>
      </c>
      <c r="D668" s="88">
        <v>1551579</v>
      </c>
      <c r="E668" s="88" t="s">
        <v>61</v>
      </c>
      <c r="F668" s="88">
        <v>0</v>
      </c>
      <c r="G668" s="78">
        <f>MAX(H668,I668,J668)</f>
        <v>0</v>
      </c>
      <c r="H668" s="88"/>
      <c r="I668" s="88"/>
      <c r="J668" s="78">
        <f>MAX(K668:Q668)</f>
        <v>0</v>
      </c>
      <c r="K668" s="88"/>
      <c r="L668" s="88"/>
      <c r="M668" s="88"/>
      <c r="N668" s="88"/>
      <c r="O668" s="88"/>
      <c r="P668" s="88"/>
      <c r="Q668" s="88"/>
      <c r="R668" s="78">
        <f>MAX(S668:W668)</f>
        <v>1</v>
      </c>
      <c r="S668" s="88"/>
      <c r="T668" s="88"/>
      <c r="U668" s="88">
        <v>1</v>
      </c>
      <c r="V668" s="88"/>
      <c r="W668" s="88"/>
    </row>
    <row r="669" spans="2:23" s="0" customFormat="0" ht="15">
      <c r="B669" s="87" t="s">
        <v>1</v>
      </c>
      <c r="C669" s="88" t="s">
        <v>5259</v>
      </c>
      <c r="D669" s="88" t="s">
        <v>3434</v>
      </c>
      <c r="E669" s="88" t="s">
        <v>61</v>
      </c>
      <c r="F669" s="88">
        <v>0</v>
      </c>
      <c r="G669" s="78">
        <f>MAX(H669,I669,J669)</f>
        <v>0</v>
      </c>
      <c r="H669" s="88"/>
      <c r="I669" s="88"/>
      <c r="J669" s="78">
        <f>MAX(K669:Q669)</f>
        <v>0</v>
      </c>
      <c r="K669" s="88"/>
      <c r="L669" s="88"/>
      <c r="M669" s="88"/>
      <c r="N669" s="88"/>
      <c r="O669" s="88"/>
      <c r="P669" s="88"/>
      <c r="Q669" s="88"/>
      <c r="R669" s="78">
        <f>MAX(S669:W669)</f>
        <v>1</v>
      </c>
      <c r="S669" s="88"/>
      <c r="T669" s="88"/>
      <c r="U669" s="88">
        <v>1</v>
      </c>
      <c r="V669" s="88"/>
      <c r="W669" s="88"/>
    </row>
    <row r="670" spans="2:23" s="0" customFormat="0" ht="15">
      <c r="B670" s="87" t="s">
        <v>1</v>
      </c>
      <c r="C670" s="88" t="s">
        <v>5259</v>
      </c>
      <c r="D670" s="88">
        <v>18026295</v>
      </c>
      <c r="E670" s="88" t="s">
        <v>61</v>
      </c>
      <c r="F670" s="88">
        <v>0</v>
      </c>
      <c r="G670" s="78">
        <f>MAX(H670,I670,J670)</f>
        <v>1</v>
      </c>
      <c r="H670" s="88"/>
      <c r="I670" s="88"/>
      <c r="J670" s="78">
        <f>MAX(K670:Q670)</f>
        <v>1</v>
      </c>
      <c r="K670" s="88">
        <v>1</v>
      </c>
      <c r="L670" s="88"/>
      <c r="M670" s="88"/>
      <c r="N670" s="88"/>
      <c r="O670" s="88"/>
      <c r="P670" s="88"/>
      <c r="Q670" s="88"/>
      <c r="R670" s="78">
        <f>MAX(S670:W670)</f>
        <v>0</v>
      </c>
      <c r="S670" s="88"/>
      <c r="T670" s="88"/>
      <c r="U670" s="88"/>
      <c r="V670" s="88"/>
      <c r="W670" s="88"/>
    </row>
    <row r="671" spans="2:23" s="0" customFormat="0" ht="15">
      <c r="B671" s="87" t="s">
        <v>1</v>
      </c>
      <c r="C671" s="88" t="s">
        <v>5259</v>
      </c>
      <c r="D671" s="88" t="s">
        <v>3028</v>
      </c>
      <c r="E671" s="88" t="s">
        <v>61</v>
      </c>
      <c r="F671" s="88">
        <v>0</v>
      </c>
      <c r="G671" s="78">
        <f>MAX(H671,I671,J671)</f>
        <v>1</v>
      </c>
      <c r="H671" s="88"/>
      <c r="I671" s="88"/>
      <c r="J671" s="78">
        <f>MAX(K671:Q671)</f>
        <v>1</v>
      </c>
      <c r="K671" s="88"/>
      <c r="L671" s="88">
        <v>1</v>
      </c>
      <c r="M671" s="88"/>
      <c r="N671" s="88"/>
      <c r="O671" s="88"/>
      <c r="P671" s="88"/>
      <c r="Q671" s="88"/>
      <c r="R671" s="78">
        <f>MAX(S671:W671)</f>
        <v>0</v>
      </c>
      <c r="S671" s="88"/>
      <c r="T671" s="88"/>
      <c r="U671" s="88"/>
      <c r="V671" s="88"/>
      <c r="W671" s="88"/>
    </row>
    <row r="672" spans="2:23" s="0" customFormat="0" ht="15">
      <c r="B672" s="87" t="s">
        <v>1</v>
      </c>
      <c r="C672" s="88" t="s">
        <v>5259</v>
      </c>
      <c r="D672" s="88">
        <v>21278021</v>
      </c>
      <c r="E672" s="88" t="s">
        <v>61</v>
      </c>
      <c r="F672" s="88">
        <v>0</v>
      </c>
      <c r="G672" s="78">
        <f>MAX(H672,I672,J672)</f>
        <v>1</v>
      </c>
      <c r="H672" s="88"/>
      <c r="I672" s="88"/>
      <c r="J672" s="78">
        <f>MAX(K672:Q672)</f>
        <v>1</v>
      </c>
      <c r="K672" s="88">
        <v>1</v>
      </c>
      <c r="L672" s="88"/>
      <c r="M672" s="88"/>
      <c r="N672" s="88"/>
      <c r="O672" s="88"/>
      <c r="P672" s="88"/>
      <c r="Q672" s="88"/>
      <c r="R672" s="78">
        <f>MAX(S672:W672)</f>
        <v>0</v>
      </c>
      <c r="S672" s="88"/>
      <c r="T672" s="88"/>
      <c r="U672" s="88"/>
      <c r="V672" s="88"/>
      <c r="W672" s="88"/>
    </row>
    <row r="673" spans="2:23" s="0" customFormat="0" ht="15">
      <c r="B673" s="87" t="s">
        <v>1</v>
      </c>
      <c r="C673" s="88" t="s">
        <v>5259</v>
      </c>
      <c r="D673" s="88">
        <v>19863502</v>
      </c>
      <c r="E673" s="88" t="s">
        <v>61</v>
      </c>
      <c r="F673" s="88">
        <v>0</v>
      </c>
      <c r="G673" s="78">
        <f>MAX(H673,I673,J673)</f>
        <v>0</v>
      </c>
      <c r="H673" s="88"/>
      <c r="I673" s="88"/>
      <c r="J673" s="78">
        <f>MAX(K673:Q673)</f>
        <v>0</v>
      </c>
      <c r="K673" s="88"/>
      <c r="L673" s="88"/>
      <c r="M673" s="88"/>
      <c r="N673" s="88"/>
      <c r="O673" s="88"/>
      <c r="P673" s="88"/>
      <c r="Q673" s="88"/>
      <c r="R673" s="78">
        <f>MAX(S673:W673)</f>
        <v>1</v>
      </c>
      <c r="S673" s="88"/>
      <c r="T673" s="88"/>
      <c r="U673" s="88">
        <v>1</v>
      </c>
      <c r="V673" s="88"/>
      <c r="W673" s="88"/>
    </row>
    <row r="674" spans="2:23" s="0" customFormat="0" ht="15">
      <c r="B674" s="87" t="s">
        <v>1</v>
      </c>
      <c r="C674" s="88" t="s">
        <v>5259</v>
      </c>
      <c r="D674" s="88" t="s">
        <v>3640</v>
      </c>
      <c r="E674" s="88" t="s">
        <v>61</v>
      </c>
      <c r="F674" s="88">
        <v>0</v>
      </c>
      <c r="G674" s="78">
        <f>MAX(H674,I674,J674)</f>
        <v>0</v>
      </c>
      <c r="H674" s="88"/>
      <c r="I674" s="88"/>
      <c r="J674" s="78">
        <f>MAX(K674:Q674)</f>
        <v>0</v>
      </c>
      <c r="K674" s="88"/>
      <c r="L674" s="88"/>
      <c r="M674" s="88"/>
      <c r="N674" s="88"/>
      <c r="O674" s="88"/>
      <c r="P674" s="88"/>
      <c r="Q674" s="88"/>
      <c r="R674" s="78">
        <f>MAX(S674:W674)</f>
        <v>1</v>
      </c>
      <c r="S674" s="88"/>
      <c r="T674" s="88"/>
      <c r="U674" s="88">
        <v>1</v>
      </c>
      <c r="V674" s="88"/>
      <c r="W674" s="88"/>
    </row>
    <row r="675" spans="2:23" s="0" customFormat="0" ht="15">
      <c r="B675" s="87" t="s">
        <v>1</v>
      </c>
      <c r="C675" s="88" t="s">
        <v>5259</v>
      </c>
      <c r="D675" s="88">
        <v>14826305</v>
      </c>
      <c r="E675" s="88" t="s">
        <v>61</v>
      </c>
      <c r="F675" s="88">
        <v>0</v>
      </c>
      <c r="G675" s="78">
        <f>MAX(H675,I675,J675)</f>
        <v>1</v>
      </c>
      <c r="H675" s="88"/>
      <c r="I675" s="88"/>
      <c r="J675" s="78">
        <f>MAX(K675:Q675)</f>
        <v>1</v>
      </c>
      <c r="K675" s="88">
        <v>1</v>
      </c>
      <c r="L675" s="88"/>
      <c r="M675" s="88"/>
      <c r="N675" s="88"/>
      <c r="O675" s="88"/>
      <c r="P675" s="88"/>
      <c r="Q675" s="88"/>
      <c r="R675" s="78">
        <f>MAX(S675:W675)</f>
        <v>0</v>
      </c>
      <c r="S675" s="88"/>
      <c r="T675" s="88"/>
      <c r="U675" s="88"/>
      <c r="V675" s="88"/>
      <c r="W675" s="88"/>
    </row>
    <row r="676" spans="2:23" s="0" customFormat="0" ht="15">
      <c r="B676" s="87" t="s">
        <v>1</v>
      </c>
      <c r="C676" s="88" t="s">
        <v>5259</v>
      </c>
      <c r="D676" s="88">
        <v>23595943</v>
      </c>
      <c r="E676" s="88" t="s">
        <v>61</v>
      </c>
      <c r="F676" s="88">
        <v>0</v>
      </c>
      <c r="G676" s="78">
        <f>MAX(H676,I676,J676)</f>
        <v>1</v>
      </c>
      <c r="H676" s="88"/>
      <c r="I676" s="88"/>
      <c r="J676" s="78">
        <f>MAX(K676:Q676)</f>
        <v>1</v>
      </c>
      <c r="K676" s="88">
        <v>1</v>
      </c>
      <c r="L676" s="88"/>
      <c r="M676" s="88"/>
      <c r="N676" s="88"/>
      <c r="O676" s="88"/>
      <c r="P676" s="88"/>
      <c r="Q676" s="88"/>
      <c r="R676" s="78">
        <f>MAX(S676:W676)</f>
        <v>0</v>
      </c>
      <c r="S676" s="88"/>
      <c r="T676" s="88"/>
      <c r="U676" s="88"/>
      <c r="V676" s="88"/>
      <c r="W676" s="88"/>
    </row>
    <row r="677" spans="2:23" s="0" customFormat="0" ht="15">
      <c r="B677" s="87" t="s">
        <v>1</v>
      </c>
      <c r="C677" s="88" t="s">
        <v>5259</v>
      </c>
      <c r="D677" s="88">
        <v>14428839</v>
      </c>
      <c r="E677" s="88" t="s">
        <v>61</v>
      </c>
      <c r="F677" s="88">
        <v>0</v>
      </c>
      <c r="G677" s="78">
        <f>MAX(H677,I677,J677)</f>
        <v>1</v>
      </c>
      <c r="H677" s="88"/>
      <c r="I677" s="88"/>
      <c r="J677" s="78">
        <f>MAX(K677:Q677)</f>
        <v>1</v>
      </c>
      <c r="K677" s="88">
        <v>1</v>
      </c>
      <c r="L677" s="88"/>
      <c r="M677" s="88"/>
      <c r="N677" s="88"/>
      <c r="O677" s="88"/>
      <c r="P677" s="88"/>
      <c r="Q677" s="88"/>
      <c r="R677" s="78">
        <f>MAX(S677:W677)</f>
        <v>0</v>
      </c>
      <c r="S677" s="88"/>
      <c r="T677" s="88"/>
      <c r="U677" s="88"/>
      <c r="V677" s="88"/>
      <c r="W677" s="88"/>
    </row>
    <row r="678" spans="2:23" s="0" customFormat="0" ht="15">
      <c r="B678" s="87" t="s">
        <v>1</v>
      </c>
      <c r="C678" s="88" t="s">
        <v>5259</v>
      </c>
      <c r="D678" s="88">
        <v>22482499</v>
      </c>
      <c r="E678" s="88" t="s">
        <v>61</v>
      </c>
      <c r="F678" s="88">
        <v>0</v>
      </c>
      <c r="G678" s="78">
        <f>MAX(H678,I678,J678)</f>
        <v>1</v>
      </c>
      <c r="H678" s="88"/>
      <c r="I678" s="88"/>
      <c r="J678" s="78">
        <f>MAX(K678:Q678)</f>
        <v>1</v>
      </c>
      <c r="K678" s="88">
        <v>1</v>
      </c>
      <c r="L678" s="88"/>
      <c r="M678" s="88"/>
      <c r="N678" s="88"/>
      <c r="O678" s="88"/>
      <c r="P678" s="88"/>
      <c r="Q678" s="88"/>
      <c r="R678" s="78">
        <f>MAX(S678:W678)</f>
        <v>0</v>
      </c>
      <c r="S678" s="88"/>
      <c r="T678" s="88"/>
      <c r="U678" s="88"/>
      <c r="V678" s="88"/>
      <c r="W678" s="88"/>
    </row>
    <row r="679" spans="2:23" s="0" customFormat="0" ht="15">
      <c r="B679" s="87" t="s">
        <v>1</v>
      </c>
      <c r="C679" s="88" t="s">
        <v>5259</v>
      </c>
      <c r="D679" s="88">
        <v>22913218</v>
      </c>
      <c r="E679" s="88" t="s">
        <v>61</v>
      </c>
      <c r="F679" s="88">
        <v>0</v>
      </c>
      <c r="G679" s="78">
        <f>MAX(H679,I679,J679)</f>
        <v>1</v>
      </c>
      <c r="H679" s="88"/>
      <c r="I679" s="88"/>
      <c r="J679" s="78">
        <f>MAX(K679:Q679)</f>
        <v>1</v>
      </c>
      <c r="K679" s="88">
        <v>1</v>
      </c>
      <c r="L679" s="88"/>
      <c r="M679" s="88"/>
      <c r="N679" s="88"/>
      <c r="O679" s="88"/>
      <c r="P679" s="88"/>
      <c r="Q679" s="88"/>
      <c r="R679" s="78">
        <f>MAX(S679:W679)</f>
        <v>0</v>
      </c>
      <c r="S679" s="88"/>
      <c r="T679" s="88"/>
      <c r="U679" s="88"/>
      <c r="V679" s="88"/>
      <c r="W679" s="88"/>
    </row>
    <row r="680" spans="2:23" s="0" customFormat="0" ht="15">
      <c r="B680" s="87" t="s">
        <v>1</v>
      </c>
      <c r="C680" s="88" t="s">
        <v>5259</v>
      </c>
      <c r="D680" s="88">
        <v>20942440</v>
      </c>
      <c r="E680" s="88" t="s">
        <v>61</v>
      </c>
      <c r="F680" s="88">
        <v>0</v>
      </c>
      <c r="G680" s="78">
        <f>MAX(H680,I680,J680)</f>
        <v>1</v>
      </c>
      <c r="H680" s="88"/>
      <c r="I680" s="88"/>
      <c r="J680" s="78">
        <f>MAX(K680:Q680)</f>
        <v>1</v>
      </c>
      <c r="K680" s="88">
        <v>1</v>
      </c>
      <c r="L680" s="88"/>
      <c r="M680" s="88"/>
      <c r="N680" s="88"/>
      <c r="O680" s="88"/>
      <c r="P680" s="88"/>
      <c r="Q680" s="88"/>
      <c r="R680" s="78">
        <f>MAX(S680:W680)</f>
        <v>0</v>
      </c>
      <c r="S680" s="88"/>
      <c r="T680" s="88"/>
      <c r="U680" s="88"/>
      <c r="V680" s="88"/>
      <c r="W680" s="88"/>
    </row>
    <row r="681" spans="2:23" s="0" customFormat="0" ht="15">
      <c r="B681" s="87" t="s">
        <v>1</v>
      </c>
      <c r="C681" s="88" t="s">
        <v>5259</v>
      </c>
      <c r="D681" s="88" t="s">
        <v>3642</v>
      </c>
      <c r="E681" s="88" t="s">
        <v>61</v>
      </c>
      <c r="F681" s="88">
        <v>0</v>
      </c>
      <c r="G681" s="78">
        <f>MAX(H681,I681,J681)</f>
        <v>0</v>
      </c>
      <c r="H681" s="88"/>
      <c r="I681" s="88"/>
      <c r="J681" s="78">
        <f>MAX(K681:Q681)</f>
        <v>0</v>
      </c>
      <c r="K681" s="88"/>
      <c r="L681" s="88"/>
      <c r="M681" s="88"/>
      <c r="N681" s="88"/>
      <c r="O681" s="88"/>
      <c r="P681" s="88"/>
      <c r="Q681" s="88"/>
      <c r="R681" s="78">
        <f>MAX(S681:W681)</f>
        <v>1</v>
      </c>
      <c r="S681" s="88"/>
      <c r="T681" s="88"/>
      <c r="U681" s="88">
        <v>1</v>
      </c>
      <c r="V681" s="88"/>
      <c r="W681" s="88"/>
    </row>
    <row r="682" spans="2:23" s="0" customFormat="0" ht="15">
      <c r="B682" s="87" t="s">
        <v>1</v>
      </c>
      <c r="C682" s="88" t="s">
        <v>5259</v>
      </c>
      <c r="D682" s="88" t="s">
        <v>3644</v>
      </c>
      <c r="E682" s="88" t="s">
        <v>61</v>
      </c>
      <c r="F682" s="88">
        <v>0</v>
      </c>
      <c r="G682" s="78">
        <f>MAX(H682,I682,J682)</f>
        <v>0</v>
      </c>
      <c r="H682" s="88"/>
      <c r="I682" s="88"/>
      <c r="J682" s="78">
        <f>MAX(K682:Q682)</f>
        <v>0</v>
      </c>
      <c r="K682" s="88"/>
      <c r="L682" s="88"/>
      <c r="M682" s="88"/>
      <c r="N682" s="88"/>
      <c r="O682" s="88"/>
      <c r="P682" s="88"/>
      <c r="Q682" s="88"/>
      <c r="R682" s="78">
        <f>MAX(S682:W682)</f>
        <v>1</v>
      </c>
      <c r="S682" s="88"/>
      <c r="T682" s="88"/>
      <c r="U682" s="88">
        <v>1</v>
      </c>
      <c r="V682" s="88"/>
      <c r="W682" s="88"/>
    </row>
    <row r="683" spans="2:23" s="0" customFormat="0" ht="15">
      <c r="B683" s="87" t="s">
        <v>1</v>
      </c>
      <c r="C683" s="88" t="s">
        <v>5259</v>
      </c>
      <c r="D683" s="88">
        <v>21237415</v>
      </c>
      <c r="E683" s="88" t="s">
        <v>61</v>
      </c>
      <c r="F683" s="88">
        <v>0</v>
      </c>
      <c r="G683" s="78">
        <f>MAX(H683,I683,J683)</f>
        <v>1</v>
      </c>
      <c r="H683" s="88"/>
      <c r="I683" s="88"/>
      <c r="J683" s="78">
        <f>MAX(K683:Q683)</f>
        <v>1</v>
      </c>
      <c r="K683" s="88">
        <v>1</v>
      </c>
      <c r="L683" s="88"/>
      <c r="M683" s="88"/>
      <c r="N683" s="88"/>
      <c r="O683" s="88"/>
      <c r="P683" s="88"/>
      <c r="Q683" s="88"/>
      <c r="R683" s="78">
        <f>MAX(S683:W683)</f>
        <v>0</v>
      </c>
      <c r="S683" s="88"/>
      <c r="T683" s="88"/>
      <c r="U683" s="88"/>
      <c r="V683" s="88"/>
      <c r="W683" s="88"/>
    </row>
    <row r="684" spans="2:23" s="0" customFormat="0" ht="15">
      <c r="B684" s="87" t="s">
        <v>1</v>
      </c>
      <c r="C684" s="88" t="s">
        <v>5259</v>
      </c>
      <c r="D684" s="88" t="s">
        <v>3206</v>
      </c>
      <c r="E684" s="88" t="s">
        <v>61</v>
      </c>
      <c r="F684" s="88">
        <v>0</v>
      </c>
      <c r="G684" s="78">
        <f>MAX(H684,I684,J684)</f>
        <v>0</v>
      </c>
      <c r="H684" s="88"/>
      <c r="I684" s="88"/>
      <c r="J684" s="78">
        <f>MAX(K684:Q684)</f>
        <v>0</v>
      </c>
      <c r="K684" s="88"/>
      <c r="L684" s="88"/>
      <c r="M684" s="88"/>
      <c r="N684" s="88"/>
      <c r="O684" s="88"/>
      <c r="P684" s="88"/>
      <c r="Q684" s="88"/>
      <c r="R684" s="78">
        <f>MAX(S684:W684)</f>
        <v>1</v>
      </c>
      <c r="S684" s="88"/>
      <c r="T684" s="88"/>
      <c r="U684" s="88"/>
      <c r="V684" s="88">
        <v>1</v>
      </c>
      <c r="W684" s="88"/>
    </row>
    <row r="685" spans="2:23" s="0" customFormat="0" ht="15">
      <c r="B685" s="87" t="s">
        <v>1</v>
      </c>
      <c r="C685" s="88" t="s">
        <v>5259</v>
      </c>
      <c r="D685" s="88" t="s">
        <v>3646</v>
      </c>
      <c r="E685" s="88" t="s">
        <v>61</v>
      </c>
      <c r="F685" s="88">
        <v>0</v>
      </c>
      <c r="G685" s="78">
        <f>MAX(H685,I685,J685)</f>
        <v>0</v>
      </c>
      <c r="H685" s="88"/>
      <c r="I685" s="88"/>
      <c r="J685" s="78">
        <f>MAX(K685:Q685)</f>
        <v>0</v>
      </c>
      <c r="K685" s="88"/>
      <c r="L685" s="88"/>
      <c r="M685" s="88"/>
      <c r="N685" s="88"/>
      <c r="O685" s="88"/>
      <c r="P685" s="88"/>
      <c r="Q685" s="88"/>
      <c r="R685" s="78">
        <f>MAX(S685:W685)</f>
        <v>1</v>
      </c>
      <c r="S685" s="88"/>
      <c r="T685" s="88"/>
      <c r="U685" s="88">
        <v>1</v>
      </c>
      <c r="V685" s="88"/>
      <c r="W685" s="88"/>
    </row>
    <row r="686" spans="2:23" s="0" customFormat="0" ht="15">
      <c r="B686" s="87" t="s">
        <v>1</v>
      </c>
      <c r="C686" s="88" t="s">
        <v>5259</v>
      </c>
      <c r="D686" s="88" t="s">
        <v>3648</v>
      </c>
      <c r="E686" s="88" t="s">
        <v>61</v>
      </c>
      <c r="F686" s="88">
        <v>0</v>
      </c>
      <c r="G686" s="78">
        <f>MAX(H686,I686,J686)</f>
        <v>0</v>
      </c>
      <c r="H686" s="88"/>
      <c r="I686" s="88"/>
      <c r="J686" s="78">
        <f>MAX(K686:Q686)</f>
        <v>0</v>
      </c>
      <c r="K686" s="88"/>
      <c r="L686" s="88"/>
      <c r="M686" s="88"/>
      <c r="N686" s="88"/>
      <c r="O686" s="88"/>
      <c r="P686" s="88"/>
      <c r="Q686" s="88"/>
      <c r="R686" s="78">
        <f>MAX(S686:W686)</f>
        <v>1</v>
      </c>
      <c r="S686" s="88"/>
      <c r="T686" s="88"/>
      <c r="U686" s="88">
        <v>1</v>
      </c>
      <c r="V686" s="88"/>
      <c r="W686" s="88"/>
    </row>
    <row r="687" spans="2:23" s="0" customFormat="0" ht="15">
      <c r="B687" s="87" t="s">
        <v>1</v>
      </c>
      <c r="C687" s="88" t="s">
        <v>5259</v>
      </c>
      <c r="D687" s="88" t="s">
        <v>3561</v>
      </c>
      <c r="E687" s="88" t="s">
        <v>61</v>
      </c>
      <c r="F687" s="88">
        <v>0</v>
      </c>
      <c r="G687" s="78">
        <f>MAX(H687,I687,J687)</f>
        <v>0</v>
      </c>
      <c r="H687" s="88"/>
      <c r="I687" s="88"/>
      <c r="J687" s="78">
        <f>MAX(K687:Q687)</f>
        <v>0</v>
      </c>
      <c r="K687" s="88"/>
      <c r="L687" s="88"/>
      <c r="M687" s="88"/>
      <c r="N687" s="88"/>
      <c r="O687" s="88"/>
      <c r="P687" s="88"/>
      <c r="Q687" s="88"/>
      <c r="R687" s="78">
        <f>MAX(S687:W687)</f>
        <v>1</v>
      </c>
      <c r="S687" s="88"/>
      <c r="T687" s="88"/>
      <c r="U687" s="88">
        <v>1</v>
      </c>
      <c r="V687" s="88"/>
      <c r="W687" s="88"/>
    </row>
    <row r="688" spans="2:23" s="0" customFormat="0" ht="15">
      <c r="B688" s="87" t="s">
        <v>1</v>
      </c>
      <c r="C688" s="88" t="s">
        <v>5259</v>
      </c>
      <c r="D688" s="88" t="s">
        <v>3650</v>
      </c>
      <c r="E688" s="88" t="s">
        <v>61</v>
      </c>
      <c r="F688" s="88">
        <v>0</v>
      </c>
      <c r="G688" s="78">
        <f>MAX(H688,I688,J688)</f>
        <v>0</v>
      </c>
      <c r="H688" s="88"/>
      <c r="I688" s="88"/>
      <c r="J688" s="78">
        <f>MAX(K688:Q688)</f>
        <v>0</v>
      </c>
      <c r="K688" s="88"/>
      <c r="L688" s="88"/>
      <c r="M688" s="88"/>
      <c r="N688" s="88"/>
      <c r="O688" s="88"/>
      <c r="P688" s="88"/>
      <c r="Q688" s="88"/>
      <c r="R688" s="78">
        <f>MAX(S688:W688)</f>
        <v>1</v>
      </c>
      <c r="S688" s="88"/>
      <c r="T688" s="88"/>
      <c r="U688" s="88">
        <v>1</v>
      </c>
      <c r="V688" s="88"/>
      <c r="W688" s="88"/>
    </row>
    <row r="689" spans="2:23" s="0" customFormat="0" ht="15">
      <c r="B689" s="87" t="s">
        <v>1</v>
      </c>
      <c r="C689" s="88" t="s">
        <v>5259</v>
      </c>
      <c r="D689" s="88" t="s">
        <v>3652</v>
      </c>
      <c r="E689" s="88" t="s">
        <v>61</v>
      </c>
      <c r="F689" s="88">
        <v>0</v>
      </c>
      <c r="G689" s="78">
        <f>MAX(H689,I689,J689)</f>
        <v>0</v>
      </c>
      <c r="H689" s="88"/>
      <c r="I689" s="88"/>
      <c r="J689" s="78">
        <f>MAX(K689:Q689)</f>
        <v>0</v>
      </c>
      <c r="K689" s="88"/>
      <c r="L689" s="88"/>
      <c r="M689" s="88"/>
      <c r="N689" s="88"/>
      <c r="O689" s="88"/>
      <c r="P689" s="88"/>
      <c r="Q689" s="88"/>
      <c r="R689" s="78">
        <f>MAX(S689:W689)</f>
        <v>1</v>
      </c>
      <c r="S689" s="88"/>
      <c r="T689" s="88"/>
      <c r="U689" s="88">
        <v>1</v>
      </c>
      <c r="V689" s="88"/>
      <c r="W689" s="88"/>
    </row>
    <row r="690" spans="2:23" s="0" customFormat="0" ht="15">
      <c r="B690" s="87" t="s">
        <v>1</v>
      </c>
      <c r="C690" s="88" t="s">
        <v>5259</v>
      </c>
      <c r="D690" s="88" t="s">
        <v>3366</v>
      </c>
      <c r="E690" s="88" t="s">
        <v>61</v>
      </c>
      <c r="F690" s="88">
        <v>0</v>
      </c>
      <c r="G690" s="78">
        <f>MAX(H690,I690,J690)</f>
        <v>0</v>
      </c>
      <c r="H690" s="88"/>
      <c r="I690" s="88"/>
      <c r="J690" s="78">
        <f>MAX(K690:Q690)</f>
        <v>0</v>
      </c>
      <c r="K690" s="88"/>
      <c r="L690" s="88"/>
      <c r="M690" s="88"/>
      <c r="N690" s="88"/>
      <c r="O690" s="88"/>
      <c r="P690" s="88"/>
      <c r="Q690" s="88"/>
      <c r="R690" s="78">
        <f>MAX(S690:W690)</f>
        <v>1</v>
      </c>
      <c r="S690" s="88"/>
      <c r="T690" s="88"/>
      <c r="U690" s="88">
        <v>1</v>
      </c>
      <c r="V690" s="88"/>
      <c r="W690" s="88"/>
    </row>
    <row r="691" spans="2:23" s="0" customFormat="0" ht="15">
      <c r="B691" s="87" t="s">
        <v>1</v>
      </c>
      <c r="C691" s="88" t="s">
        <v>5259</v>
      </c>
      <c r="D691" s="88">
        <v>741516</v>
      </c>
      <c r="E691" s="88" t="s">
        <v>61</v>
      </c>
      <c r="F691" s="88">
        <v>0</v>
      </c>
      <c r="G691" s="78">
        <f>MAX(H691,I691,J691)</f>
        <v>0</v>
      </c>
      <c r="H691" s="88"/>
      <c r="I691" s="88"/>
      <c r="J691" s="78">
        <f>MAX(K691:Q691)</f>
        <v>0</v>
      </c>
      <c r="K691" s="88"/>
      <c r="L691" s="88"/>
      <c r="M691" s="88"/>
      <c r="N691" s="88"/>
      <c r="O691" s="88"/>
      <c r="P691" s="88"/>
      <c r="Q691" s="88"/>
      <c r="R691" s="78">
        <f>MAX(S691:W691)</f>
        <v>1</v>
      </c>
      <c r="S691" s="88"/>
      <c r="T691" s="88"/>
      <c r="U691" s="88">
        <v>1</v>
      </c>
      <c r="V691" s="88"/>
      <c r="W691" s="88"/>
    </row>
    <row r="692" spans="2:23" s="0" customFormat="0" ht="15">
      <c r="B692" s="87" t="s">
        <v>1</v>
      </c>
      <c r="C692" s="88" t="s">
        <v>5259</v>
      </c>
      <c r="D692" s="88">
        <v>21007336</v>
      </c>
      <c r="E692" s="88" t="s">
        <v>61</v>
      </c>
      <c r="F692" s="88">
        <v>0</v>
      </c>
      <c r="G692" s="78">
        <f>MAX(H692,I692,J692)</f>
        <v>1</v>
      </c>
      <c r="H692" s="88"/>
      <c r="I692" s="88"/>
      <c r="J692" s="78">
        <f>MAX(K692:Q692)</f>
        <v>1</v>
      </c>
      <c r="K692" s="88">
        <v>1</v>
      </c>
      <c r="L692" s="88"/>
      <c r="M692" s="88"/>
      <c r="N692" s="88"/>
      <c r="O692" s="88"/>
      <c r="P692" s="88"/>
      <c r="Q692" s="88"/>
      <c r="R692" s="78">
        <f>MAX(S692:W692)</f>
        <v>0</v>
      </c>
      <c r="S692" s="88"/>
      <c r="T692" s="88"/>
      <c r="U692" s="88"/>
      <c r="V692" s="88"/>
      <c r="W692" s="88"/>
    </row>
    <row r="693" spans="2:23" s="0" customFormat="0" ht="15">
      <c r="B693" s="87" t="s">
        <v>1</v>
      </c>
      <c r="C693" s="88" t="s">
        <v>5259</v>
      </c>
      <c r="D693" s="88">
        <v>17849852</v>
      </c>
      <c r="E693" s="88" t="s">
        <v>61</v>
      </c>
      <c r="F693" s="88">
        <v>0</v>
      </c>
      <c r="G693" s="78">
        <f>MAX(H693,I693,J693)</f>
        <v>0</v>
      </c>
      <c r="H693" s="88"/>
      <c r="I693" s="88"/>
      <c r="J693" s="78">
        <f>MAX(K693:Q693)</f>
        <v>0</v>
      </c>
      <c r="K693" s="88"/>
      <c r="L693" s="88"/>
      <c r="M693" s="88"/>
      <c r="N693" s="88"/>
      <c r="O693" s="88"/>
      <c r="P693" s="88"/>
      <c r="Q693" s="88"/>
      <c r="R693" s="78">
        <f>MAX(S693:W693)</f>
        <v>1</v>
      </c>
      <c r="S693" s="88"/>
      <c r="T693" s="88"/>
      <c r="U693" s="88">
        <v>1</v>
      </c>
      <c r="V693" s="88"/>
      <c r="W693" s="88"/>
    </row>
    <row r="694" spans="2:23" s="0" customFormat="0" ht="15">
      <c r="B694" s="87" t="s">
        <v>1</v>
      </c>
      <c r="C694" s="88" t="s">
        <v>5259</v>
      </c>
      <c r="D694" s="88" t="s">
        <v>3656</v>
      </c>
      <c r="E694" s="88" t="s">
        <v>61</v>
      </c>
      <c r="F694" s="88">
        <v>0</v>
      </c>
      <c r="G694" s="78">
        <f>MAX(H694,I694,J694)</f>
        <v>0</v>
      </c>
      <c r="H694" s="88"/>
      <c r="I694" s="88"/>
      <c r="J694" s="78">
        <f>MAX(K694:Q694)</f>
        <v>0</v>
      </c>
      <c r="K694" s="88"/>
      <c r="L694" s="88"/>
      <c r="M694" s="88"/>
      <c r="N694" s="88"/>
      <c r="O694" s="88"/>
      <c r="P694" s="88"/>
      <c r="Q694" s="88"/>
      <c r="R694" s="78">
        <f>MAX(S694:W694)</f>
        <v>1</v>
      </c>
      <c r="S694" s="88"/>
      <c r="T694" s="88"/>
      <c r="U694" s="88">
        <v>1</v>
      </c>
      <c r="V694" s="88"/>
      <c r="W694" s="88"/>
    </row>
    <row r="695" spans="2:23" s="0" customFormat="0" ht="15">
      <c r="B695" s="87" t="s">
        <v>1</v>
      </c>
      <c r="C695" s="88" t="s">
        <v>5259</v>
      </c>
      <c r="D695" s="88" t="s">
        <v>3658</v>
      </c>
      <c r="E695" s="88" t="s">
        <v>61</v>
      </c>
      <c r="F695" s="88">
        <v>0</v>
      </c>
      <c r="G695" s="78">
        <f>MAX(H695,I695,J695)</f>
        <v>0</v>
      </c>
      <c r="H695" s="88"/>
      <c r="I695" s="88"/>
      <c r="J695" s="78">
        <f>MAX(K695:Q695)</f>
        <v>0</v>
      </c>
      <c r="K695" s="88"/>
      <c r="L695" s="88"/>
      <c r="M695" s="88"/>
      <c r="N695" s="88"/>
      <c r="O695" s="88"/>
      <c r="P695" s="88"/>
      <c r="Q695" s="88"/>
      <c r="R695" s="78">
        <f>MAX(S695:W695)</f>
        <v>1</v>
      </c>
      <c r="S695" s="88"/>
      <c r="T695" s="88"/>
      <c r="U695" s="88">
        <v>1</v>
      </c>
      <c r="V695" s="88"/>
      <c r="W695" s="88"/>
    </row>
    <row r="696" spans="2:23" s="0" customFormat="0" ht="15">
      <c r="B696" s="87" t="s">
        <v>1</v>
      </c>
      <c r="C696" s="88" t="s">
        <v>5259</v>
      </c>
      <c r="D696" s="88">
        <v>22251687</v>
      </c>
      <c r="E696" s="88" t="s">
        <v>61</v>
      </c>
      <c r="F696" s="88">
        <v>0</v>
      </c>
      <c r="G696" s="78">
        <f>MAX(H696,I696,J696)</f>
        <v>1</v>
      </c>
      <c r="H696" s="88"/>
      <c r="I696" s="88"/>
      <c r="J696" s="78">
        <f>MAX(K696:Q696)</f>
        <v>1</v>
      </c>
      <c r="K696" s="88">
        <v>1</v>
      </c>
      <c r="L696" s="88"/>
      <c r="M696" s="88"/>
      <c r="N696" s="88"/>
      <c r="O696" s="88"/>
      <c r="P696" s="88"/>
      <c r="Q696" s="88"/>
      <c r="R696" s="78">
        <f>MAX(S696:W696)</f>
        <v>0</v>
      </c>
      <c r="S696" s="88"/>
      <c r="T696" s="88"/>
      <c r="U696" s="88"/>
      <c r="V696" s="88"/>
      <c r="W696" s="88"/>
    </row>
    <row r="697" spans="2:23" s="0" customFormat="0" ht="15">
      <c r="B697" s="87" t="s">
        <v>1</v>
      </c>
      <c r="C697" s="88" t="s">
        <v>5259</v>
      </c>
      <c r="D697" s="88" t="s">
        <v>3660</v>
      </c>
      <c r="E697" s="88" t="s">
        <v>61</v>
      </c>
      <c r="F697" s="88">
        <v>0</v>
      </c>
      <c r="G697" s="78">
        <f>MAX(H697,I697,J697)</f>
        <v>0</v>
      </c>
      <c r="H697" s="88"/>
      <c r="I697" s="88"/>
      <c r="J697" s="78">
        <f>MAX(K697:Q697)</f>
        <v>0</v>
      </c>
      <c r="K697" s="88"/>
      <c r="L697" s="88"/>
      <c r="M697" s="88"/>
      <c r="N697" s="88"/>
      <c r="O697" s="88"/>
      <c r="P697" s="88"/>
      <c r="Q697" s="88"/>
      <c r="R697" s="78">
        <f>MAX(S697:W697)</f>
        <v>1</v>
      </c>
      <c r="S697" s="88"/>
      <c r="T697" s="88"/>
      <c r="U697" s="88">
        <v>1</v>
      </c>
      <c r="V697" s="88"/>
      <c r="W697" s="88"/>
    </row>
    <row r="698" spans="2:23" s="0" customFormat="0" ht="15">
      <c r="B698" s="87" t="s">
        <v>1</v>
      </c>
      <c r="C698" s="88" t="s">
        <v>5259</v>
      </c>
      <c r="D698" s="88" t="s">
        <v>690</v>
      </c>
      <c r="E698" s="88" t="s">
        <v>61</v>
      </c>
      <c r="F698" s="88">
        <v>0</v>
      </c>
      <c r="G698" s="78">
        <f>MAX(H698,I698,J698)</f>
        <v>1</v>
      </c>
      <c r="H698" s="88"/>
      <c r="I698" s="88"/>
      <c r="J698" s="78">
        <f>MAX(K698:Q698)</f>
        <v>1</v>
      </c>
      <c r="K698" s="88">
        <v>1</v>
      </c>
      <c r="L698" s="88"/>
      <c r="M698" s="88"/>
      <c r="N698" s="88"/>
      <c r="O698" s="88"/>
      <c r="P698" s="88"/>
      <c r="Q698" s="88"/>
      <c r="R698" s="78">
        <f>MAX(S698:W698)</f>
        <v>0</v>
      </c>
      <c r="S698" s="88"/>
      <c r="T698" s="88"/>
      <c r="U698" s="88"/>
      <c r="V698" s="88"/>
      <c r="W698" s="88"/>
    </row>
    <row r="699" spans="2:23" s="0" customFormat="0" ht="15">
      <c r="B699" s="87" t="s">
        <v>1</v>
      </c>
      <c r="C699" s="88" t="s">
        <v>5259</v>
      </c>
      <c r="D699" s="88">
        <v>17050704</v>
      </c>
      <c r="E699" s="88" t="s">
        <v>61</v>
      </c>
      <c r="F699" s="88">
        <v>0</v>
      </c>
      <c r="G699" s="78">
        <f>MAX(H699,I699,J699)</f>
        <v>1</v>
      </c>
      <c r="H699" s="88"/>
      <c r="I699" s="88"/>
      <c r="J699" s="78">
        <f>MAX(K699:Q699)</f>
        <v>1</v>
      </c>
      <c r="K699" s="88">
        <v>1</v>
      </c>
      <c r="L699" s="88"/>
      <c r="M699" s="88"/>
      <c r="N699" s="88"/>
      <c r="O699" s="88"/>
      <c r="P699" s="88"/>
      <c r="Q699" s="88"/>
      <c r="R699" s="78">
        <f>MAX(S699:W699)</f>
        <v>0</v>
      </c>
      <c r="S699" s="88"/>
      <c r="T699" s="88"/>
      <c r="U699" s="88"/>
      <c r="V699" s="88"/>
      <c r="W699" s="88"/>
    </row>
    <row r="700" spans="2:23" s="0" customFormat="0" ht="15">
      <c r="B700" s="87" t="s">
        <v>1</v>
      </c>
      <c r="C700" s="88" t="s">
        <v>5259</v>
      </c>
      <c r="D700" s="88">
        <v>25010321</v>
      </c>
      <c r="E700" s="88" t="s">
        <v>61</v>
      </c>
      <c r="F700" s="88">
        <v>0</v>
      </c>
      <c r="G700" s="78">
        <f>MAX(H700,I700,J700)</f>
        <v>1</v>
      </c>
      <c r="H700" s="88"/>
      <c r="I700" s="88"/>
      <c r="J700" s="78">
        <f>MAX(K700:Q700)</f>
        <v>1</v>
      </c>
      <c r="K700" s="88"/>
      <c r="L700" s="88"/>
      <c r="M700" s="88">
        <v>1</v>
      </c>
      <c r="N700" s="88"/>
      <c r="O700" s="88"/>
      <c r="P700" s="88"/>
      <c r="Q700" s="88"/>
      <c r="R700" s="78">
        <f>MAX(S700:W700)</f>
        <v>0</v>
      </c>
      <c r="S700" s="88"/>
      <c r="T700" s="88"/>
      <c r="U700" s="88"/>
      <c r="V700" s="88"/>
      <c r="W700" s="88"/>
    </row>
    <row r="701" spans="2:23" s="0" customFormat="0" ht="15">
      <c r="B701" s="87" t="s">
        <v>1</v>
      </c>
      <c r="C701" s="88" t="s">
        <v>5259</v>
      </c>
      <c r="D701" s="88" t="s">
        <v>3662</v>
      </c>
      <c r="E701" s="88" t="s">
        <v>61</v>
      </c>
      <c r="F701" s="88">
        <v>0</v>
      </c>
      <c r="G701" s="78">
        <f>MAX(H701,I701,J701)</f>
        <v>0</v>
      </c>
      <c r="H701" s="88"/>
      <c r="I701" s="88"/>
      <c r="J701" s="78">
        <f>MAX(K701:Q701)</f>
        <v>0</v>
      </c>
      <c r="K701" s="88"/>
      <c r="L701" s="88"/>
      <c r="M701" s="88"/>
      <c r="N701" s="88"/>
      <c r="O701" s="88"/>
      <c r="P701" s="88"/>
      <c r="Q701" s="88"/>
      <c r="R701" s="78">
        <f>MAX(S701:W701)</f>
        <v>1</v>
      </c>
      <c r="S701" s="88"/>
      <c r="T701" s="88"/>
      <c r="U701" s="88">
        <v>1</v>
      </c>
      <c r="V701" s="88"/>
      <c r="W701" s="88"/>
    </row>
    <row r="702" spans="2:23" s="0" customFormat="0" ht="15">
      <c r="B702" s="87" t="s">
        <v>1</v>
      </c>
      <c r="C702" s="88" t="s">
        <v>5259</v>
      </c>
      <c r="D702" s="88">
        <v>19639661</v>
      </c>
      <c r="E702" s="88" t="s">
        <v>61</v>
      </c>
      <c r="F702" s="88">
        <v>0</v>
      </c>
      <c r="G702" s="78">
        <f>MAX(H702,I702,J702)</f>
        <v>1</v>
      </c>
      <c r="H702" s="88"/>
      <c r="I702" s="88"/>
      <c r="J702" s="78">
        <f>MAX(K702:Q702)</f>
        <v>1</v>
      </c>
      <c r="K702" s="88">
        <v>1</v>
      </c>
      <c r="L702" s="88"/>
      <c r="M702" s="88"/>
      <c r="N702" s="88"/>
      <c r="O702" s="88"/>
      <c r="P702" s="88"/>
      <c r="Q702" s="88"/>
      <c r="R702" s="78">
        <f>MAX(S702:W702)</f>
        <v>0</v>
      </c>
      <c r="S702" s="88"/>
      <c r="T702" s="88"/>
      <c r="U702" s="88"/>
      <c r="V702" s="88"/>
      <c r="W702" s="88"/>
    </row>
    <row r="703" spans="2:23" s="0" customFormat="0" ht="15">
      <c r="B703" s="87" t="s">
        <v>1</v>
      </c>
      <c r="C703" s="88" t="s">
        <v>5259</v>
      </c>
      <c r="D703" s="88">
        <v>23552919</v>
      </c>
      <c r="E703" s="88" t="s">
        <v>61</v>
      </c>
      <c r="F703" s="88">
        <v>0</v>
      </c>
      <c r="G703" s="78">
        <f>MAX(H703,I703,J703)</f>
        <v>1</v>
      </c>
      <c r="H703" s="88"/>
      <c r="I703" s="88"/>
      <c r="J703" s="78">
        <f>MAX(K703:Q703)</f>
        <v>1</v>
      </c>
      <c r="K703" s="88"/>
      <c r="L703" s="88"/>
      <c r="M703" s="88">
        <v>1</v>
      </c>
      <c r="N703" s="88"/>
      <c r="O703" s="88"/>
      <c r="P703" s="88"/>
      <c r="Q703" s="88"/>
      <c r="R703" s="78">
        <f>MAX(S703:W703)</f>
        <v>0</v>
      </c>
      <c r="S703" s="88"/>
      <c r="T703" s="88"/>
      <c r="U703" s="88"/>
      <c r="V703" s="88"/>
      <c r="W703" s="88"/>
    </row>
    <row r="704" spans="2:23" s="0" customFormat="0" ht="15">
      <c r="B704" s="87" t="s">
        <v>1</v>
      </c>
      <c r="C704" s="88" t="s">
        <v>5259</v>
      </c>
      <c r="D704" s="88">
        <v>23732708</v>
      </c>
      <c r="E704" s="88" t="s">
        <v>61</v>
      </c>
      <c r="F704" s="88">
        <v>0</v>
      </c>
      <c r="G704" s="78">
        <f>MAX(H704,I704,J704)</f>
        <v>1</v>
      </c>
      <c r="H704" s="88"/>
      <c r="I704" s="88"/>
      <c r="J704" s="78">
        <f>MAX(K704:Q704)</f>
        <v>1</v>
      </c>
      <c r="K704" s="88">
        <v>1</v>
      </c>
      <c r="L704" s="88"/>
      <c r="M704" s="88"/>
      <c r="N704" s="88"/>
      <c r="O704" s="88"/>
      <c r="P704" s="88"/>
      <c r="Q704" s="88"/>
      <c r="R704" s="78">
        <f>MAX(S704:W704)</f>
        <v>0</v>
      </c>
      <c r="S704" s="88"/>
      <c r="T704" s="88"/>
      <c r="U704" s="88"/>
      <c r="V704" s="88"/>
      <c r="W704" s="88"/>
    </row>
    <row r="705" spans="2:23" s="0" customFormat="0" ht="15">
      <c r="B705" s="87" t="s">
        <v>1</v>
      </c>
      <c r="C705" s="88" t="s">
        <v>5259</v>
      </c>
      <c r="D705" s="88">
        <v>13321999</v>
      </c>
      <c r="E705" s="88" t="s">
        <v>61</v>
      </c>
      <c r="F705" s="88">
        <v>0</v>
      </c>
      <c r="G705" s="78">
        <f>MAX(H705,I705,J705)</f>
        <v>0</v>
      </c>
      <c r="H705" s="88"/>
      <c r="I705" s="88"/>
      <c r="J705" s="78">
        <f>MAX(K705:Q705)</f>
        <v>0</v>
      </c>
      <c r="K705" s="88"/>
      <c r="L705" s="88"/>
      <c r="M705" s="88"/>
      <c r="N705" s="88"/>
      <c r="O705" s="88"/>
      <c r="P705" s="88"/>
      <c r="Q705" s="88"/>
      <c r="R705" s="78">
        <f>MAX(S705:W705)</f>
        <v>1</v>
      </c>
      <c r="S705" s="88"/>
      <c r="T705" s="88"/>
      <c r="U705" s="88"/>
      <c r="V705" s="88">
        <v>1</v>
      </c>
      <c r="W705" s="88"/>
    </row>
    <row r="706" spans="2:23" s="0" customFormat="0" ht="15">
      <c r="B706" s="87" t="s">
        <v>1</v>
      </c>
      <c r="C706" s="88" t="s">
        <v>5259</v>
      </c>
      <c r="D706" s="88" t="s">
        <v>3664</v>
      </c>
      <c r="E706" s="88" t="s">
        <v>61</v>
      </c>
      <c r="F706" s="88">
        <v>0</v>
      </c>
      <c r="G706" s="78">
        <f>MAX(H706,I706,J706)</f>
        <v>0</v>
      </c>
      <c r="H706" s="88"/>
      <c r="I706" s="88"/>
      <c r="J706" s="78">
        <f>MAX(K706:Q706)</f>
        <v>0</v>
      </c>
      <c r="K706" s="88"/>
      <c r="L706" s="88"/>
      <c r="M706" s="88"/>
      <c r="N706" s="88"/>
      <c r="O706" s="88"/>
      <c r="P706" s="88"/>
      <c r="Q706" s="88"/>
      <c r="R706" s="78">
        <f>MAX(S706:W706)</f>
        <v>1</v>
      </c>
      <c r="S706" s="88"/>
      <c r="T706" s="88"/>
      <c r="U706" s="88">
        <v>1</v>
      </c>
      <c r="V706" s="88"/>
      <c r="W706" s="88"/>
    </row>
    <row r="707" spans="2:23" s="0" customFormat="0" ht="15">
      <c r="B707" s="87" t="s">
        <v>1</v>
      </c>
      <c r="C707" s="88" t="s">
        <v>5259</v>
      </c>
      <c r="D707" s="88">
        <v>3393246</v>
      </c>
      <c r="E707" s="88" t="s">
        <v>61</v>
      </c>
      <c r="F707" s="88">
        <v>0</v>
      </c>
      <c r="G707" s="78">
        <f>MAX(H707,I707,J707)</f>
        <v>1</v>
      </c>
      <c r="H707" s="88"/>
      <c r="I707" s="88"/>
      <c r="J707" s="78">
        <f>MAX(K707:Q707)</f>
        <v>1</v>
      </c>
      <c r="K707" s="88">
        <v>1</v>
      </c>
      <c r="L707" s="88"/>
      <c r="M707" s="88"/>
      <c r="N707" s="88"/>
      <c r="O707" s="88"/>
      <c r="P707" s="88"/>
      <c r="Q707" s="88"/>
      <c r="R707" s="78">
        <f>MAX(S707:W707)</f>
        <v>0</v>
      </c>
      <c r="S707" s="88"/>
      <c r="T707" s="88"/>
      <c r="U707" s="88"/>
      <c r="V707" s="88"/>
      <c r="W707" s="88"/>
    </row>
    <row r="708" spans="2:23" s="0" customFormat="0" ht="15">
      <c r="B708" s="87" t="s">
        <v>1</v>
      </c>
      <c r="C708" s="88" t="s">
        <v>5259</v>
      </c>
      <c r="D708" s="88">
        <v>11841708</v>
      </c>
      <c r="E708" s="88" t="s">
        <v>61</v>
      </c>
      <c r="F708" s="88">
        <v>0</v>
      </c>
      <c r="G708" s="78">
        <f>MAX(H708,I708,J708)</f>
        <v>1</v>
      </c>
      <c r="H708" s="88"/>
      <c r="I708" s="88"/>
      <c r="J708" s="78">
        <f>MAX(K708:Q708)</f>
        <v>1</v>
      </c>
      <c r="K708" s="88">
        <v>1</v>
      </c>
      <c r="L708" s="88"/>
      <c r="M708" s="88"/>
      <c r="N708" s="88"/>
      <c r="O708" s="88"/>
      <c r="P708" s="88"/>
      <c r="Q708" s="88"/>
      <c r="R708" s="78">
        <f>MAX(S708:W708)</f>
        <v>0</v>
      </c>
      <c r="S708" s="88"/>
      <c r="T708" s="88"/>
      <c r="U708" s="88"/>
      <c r="V708" s="88"/>
      <c r="W708" s="88"/>
    </row>
    <row r="709" spans="2:23" s="0" customFormat="0" ht="15">
      <c r="B709" s="87" t="s">
        <v>1</v>
      </c>
      <c r="C709" s="88" t="s">
        <v>5259</v>
      </c>
      <c r="D709" s="88" t="s">
        <v>697</v>
      </c>
      <c r="E709" s="88" t="s">
        <v>61</v>
      </c>
      <c r="F709" s="88">
        <v>0</v>
      </c>
      <c r="G709" s="78">
        <f>MAX(H709,I709,J709)</f>
        <v>1</v>
      </c>
      <c r="H709" s="88"/>
      <c r="I709" s="88"/>
      <c r="J709" s="78">
        <f>MAX(K709:Q709)</f>
        <v>1</v>
      </c>
      <c r="K709" s="88">
        <v>1</v>
      </c>
      <c r="L709" s="88"/>
      <c r="M709" s="88"/>
      <c r="N709" s="88"/>
      <c r="O709" s="88"/>
      <c r="P709" s="88"/>
      <c r="Q709" s="88"/>
      <c r="R709" s="78">
        <f>MAX(S709:W709)</f>
        <v>0</v>
      </c>
      <c r="S709" s="88"/>
      <c r="T709" s="88"/>
      <c r="U709" s="88"/>
      <c r="V709" s="88"/>
      <c r="W709" s="88"/>
    </row>
    <row r="710" spans="2:23" s="0" customFormat="0" ht="15">
      <c r="B710" s="87" t="s">
        <v>1</v>
      </c>
      <c r="C710" s="88" t="s">
        <v>5259</v>
      </c>
      <c r="D710" s="88">
        <v>22554582</v>
      </c>
      <c r="E710" s="88" t="s">
        <v>61</v>
      </c>
      <c r="F710" s="88">
        <v>0</v>
      </c>
      <c r="G710" s="78">
        <f>MAX(H710,I710,J710)</f>
        <v>0</v>
      </c>
      <c r="H710" s="88"/>
      <c r="I710" s="88"/>
      <c r="J710" s="78">
        <f>MAX(K710:Q710)</f>
        <v>0</v>
      </c>
      <c r="K710" s="88"/>
      <c r="L710" s="88"/>
      <c r="M710" s="88"/>
      <c r="N710" s="88"/>
      <c r="O710" s="88"/>
      <c r="P710" s="88"/>
      <c r="Q710" s="88"/>
      <c r="R710" s="78">
        <f>MAX(S710:W710)</f>
        <v>1</v>
      </c>
      <c r="S710" s="88"/>
      <c r="T710" s="88"/>
      <c r="U710" s="88">
        <v>1</v>
      </c>
      <c r="V710" s="88"/>
      <c r="W710" s="88"/>
    </row>
    <row r="711" spans="2:23" s="0" customFormat="0" ht="15">
      <c r="B711" s="87" t="s">
        <v>1</v>
      </c>
      <c r="C711" s="88" t="s">
        <v>5259</v>
      </c>
      <c r="D711" s="88">
        <v>4313837</v>
      </c>
      <c r="E711" s="88" t="s">
        <v>61</v>
      </c>
      <c r="F711" s="88">
        <v>0</v>
      </c>
      <c r="G711" s="78">
        <f>MAX(H711,I711,J711)</f>
        <v>0</v>
      </c>
      <c r="H711" s="88"/>
      <c r="I711" s="88"/>
      <c r="J711" s="78">
        <f>MAX(K711:Q711)</f>
        <v>0</v>
      </c>
      <c r="K711" s="88"/>
      <c r="L711" s="88"/>
      <c r="M711" s="88"/>
      <c r="N711" s="88"/>
      <c r="O711" s="88"/>
      <c r="P711" s="88"/>
      <c r="Q711" s="88"/>
      <c r="R711" s="78">
        <f>MAX(S711:W711)</f>
        <v>1</v>
      </c>
      <c r="S711" s="88"/>
      <c r="T711" s="88"/>
      <c r="U711" s="88">
        <v>1</v>
      </c>
      <c r="V711" s="88"/>
      <c r="W711" s="88"/>
    </row>
    <row r="712" spans="2:23" s="0" customFormat="0" ht="15">
      <c r="B712" s="87" t="s">
        <v>1</v>
      </c>
      <c r="C712" s="88" t="s">
        <v>5259</v>
      </c>
      <c r="D712" s="88">
        <v>11401432</v>
      </c>
      <c r="E712" s="88" t="s">
        <v>61</v>
      </c>
      <c r="F712" s="88">
        <v>0</v>
      </c>
      <c r="G712" s="78">
        <f>MAX(H712,I712,J712)</f>
        <v>1</v>
      </c>
      <c r="H712" s="88"/>
      <c r="I712" s="88"/>
      <c r="J712" s="78">
        <f>MAX(K712:Q712)</f>
        <v>1</v>
      </c>
      <c r="K712" s="88">
        <v>1</v>
      </c>
      <c r="L712" s="88"/>
      <c r="M712" s="88"/>
      <c r="N712" s="88"/>
      <c r="O712" s="88"/>
      <c r="P712" s="88"/>
      <c r="Q712" s="88"/>
      <c r="R712" s="78">
        <f>MAX(S712:W712)</f>
        <v>0</v>
      </c>
      <c r="S712" s="88"/>
      <c r="T712" s="88"/>
      <c r="U712" s="88"/>
      <c r="V712" s="88"/>
      <c r="W712" s="88"/>
    </row>
    <row r="713" spans="2:23" s="0" customFormat="0" ht="15">
      <c r="B713" s="87" t="s">
        <v>1</v>
      </c>
      <c r="C713" s="88" t="s">
        <v>5259</v>
      </c>
      <c r="D713" s="88">
        <v>22433332</v>
      </c>
      <c r="E713" s="88" t="s">
        <v>61</v>
      </c>
      <c r="F713" s="88">
        <v>0</v>
      </c>
      <c r="G713" s="78">
        <f>MAX(H713,I713,J713)</f>
        <v>1</v>
      </c>
      <c r="H713" s="88"/>
      <c r="I713" s="88"/>
      <c r="J713" s="78">
        <f>MAX(K713:Q713)</f>
        <v>1</v>
      </c>
      <c r="K713" s="88"/>
      <c r="L713" s="88"/>
      <c r="M713" s="88">
        <v>1</v>
      </c>
      <c r="N713" s="88"/>
      <c r="O713" s="88"/>
      <c r="P713" s="88"/>
      <c r="Q713" s="88"/>
      <c r="R713" s="78">
        <f>MAX(S713:W713)</f>
        <v>0</v>
      </c>
      <c r="S713" s="88"/>
      <c r="T713" s="88"/>
      <c r="U713" s="88"/>
      <c r="V713" s="88"/>
      <c r="W713" s="88"/>
    </row>
    <row r="714" spans="2:23" s="0" customFormat="0" ht="15">
      <c r="B714" s="87" t="s">
        <v>1</v>
      </c>
      <c r="C714" s="88" t="s">
        <v>5259</v>
      </c>
      <c r="D714" s="88" t="s">
        <v>3668</v>
      </c>
      <c r="E714" s="88" t="s">
        <v>61</v>
      </c>
      <c r="F714" s="88">
        <v>0</v>
      </c>
      <c r="G714" s="78">
        <f>MAX(H714,I714,J714)</f>
        <v>0</v>
      </c>
      <c r="H714" s="88"/>
      <c r="I714" s="88"/>
      <c r="J714" s="78">
        <f>MAX(K714:Q714)</f>
        <v>0</v>
      </c>
      <c r="K714" s="88"/>
      <c r="L714" s="88"/>
      <c r="M714" s="88"/>
      <c r="N714" s="88"/>
      <c r="O714" s="88"/>
      <c r="P714" s="88"/>
      <c r="Q714" s="88"/>
      <c r="R714" s="78">
        <f>MAX(S714:W714)</f>
        <v>1</v>
      </c>
      <c r="S714" s="88"/>
      <c r="T714" s="88"/>
      <c r="U714" s="88">
        <v>1</v>
      </c>
      <c r="V714" s="88"/>
      <c r="W714" s="88"/>
    </row>
    <row r="715" spans="2:23" s="0" customFormat="0" ht="15">
      <c r="B715" s="87" t="s">
        <v>1</v>
      </c>
      <c r="C715" s="88" t="s">
        <v>5259</v>
      </c>
      <c r="D715" s="88" t="s">
        <v>3670</v>
      </c>
      <c r="E715" s="88" t="s">
        <v>61</v>
      </c>
      <c r="F715" s="88">
        <v>0</v>
      </c>
      <c r="G715" s="78">
        <f>MAX(H715,I715,J715)</f>
        <v>0</v>
      </c>
      <c r="H715" s="88"/>
      <c r="I715" s="88"/>
      <c r="J715" s="78">
        <f>MAX(K715:Q715)</f>
        <v>0</v>
      </c>
      <c r="K715" s="88"/>
      <c r="L715" s="88"/>
      <c r="M715" s="88"/>
      <c r="N715" s="88"/>
      <c r="O715" s="88"/>
      <c r="P715" s="88"/>
      <c r="Q715" s="88"/>
      <c r="R715" s="78">
        <f>MAX(S715:W715)</f>
        <v>1</v>
      </c>
      <c r="S715" s="88"/>
      <c r="T715" s="88"/>
      <c r="U715" s="88">
        <v>1</v>
      </c>
      <c r="V715" s="88"/>
      <c r="W715" s="88"/>
    </row>
    <row r="716" spans="2:23" s="0" customFormat="0" ht="15">
      <c r="B716" s="87" t="s">
        <v>1</v>
      </c>
      <c r="C716" s="88" t="s">
        <v>5259</v>
      </c>
      <c r="D716" s="88" t="s">
        <v>3672</v>
      </c>
      <c r="E716" s="88" t="s">
        <v>61</v>
      </c>
      <c r="F716" s="88">
        <v>0</v>
      </c>
      <c r="G716" s="78">
        <f>MAX(H716,I716,J716)</f>
        <v>0</v>
      </c>
      <c r="H716" s="88"/>
      <c r="I716" s="88"/>
      <c r="J716" s="78">
        <f>MAX(K716:Q716)</f>
        <v>0</v>
      </c>
      <c r="K716" s="88"/>
      <c r="L716" s="88"/>
      <c r="M716" s="88"/>
      <c r="N716" s="88"/>
      <c r="O716" s="88"/>
      <c r="P716" s="88"/>
      <c r="Q716" s="88"/>
      <c r="R716" s="78">
        <f>MAX(S716:W716)</f>
        <v>1</v>
      </c>
      <c r="S716" s="88"/>
      <c r="T716" s="88"/>
      <c r="U716" s="88">
        <v>1</v>
      </c>
      <c r="V716" s="88"/>
      <c r="W716" s="88"/>
    </row>
    <row r="717" spans="2:23" s="0" customFormat="0" ht="15">
      <c r="B717" s="87" t="s">
        <v>1</v>
      </c>
      <c r="C717" s="88" t="s">
        <v>5259</v>
      </c>
      <c r="D717" s="88">
        <v>2687393</v>
      </c>
      <c r="E717" s="88" t="s">
        <v>61</v>
      </c>
      <c r="F717" s="88">
        <v>0</v>
      </c>
      <c r="G717" s="78">
        <f>MAX(H717,I717,J717)</f>
        <v>1</v>
      </c>
      <c r="H717" s="88"/>
      <c r="I717" s="88"/>
      <c r="J717" s="78">
        <f>MAX(K717:Q717)</f>
        <v>1</v>
      </c>
      <c r="K717" s="88">
        <v>1</v>
      </c>
      <c r="L717" s="88"/>
      <c r="M717" s="88"/>
      <c r="N717" s="88"/>
      <c r="O717" s="88"/>
      <c r="P717" s="88"/>
      <c r="Q717" s="88"/>
      <c r="R717" s="78">
        <f>MAX(S717:W717)</f>
        <v>0</v>
      </c>
      <c r="S717" s="88"/>
      <c r="T717" s="88"/>
      <c r="U717" s="88"/>
      <c r="V717" s="88"/>
      <c r="W717" s="88"/>
    </row>
    <row r="718" spans="2:23" s="0" customFormat="0" ht="15">
      <c r="B718" s="87" t="s">
        <v>1</v>
      </c>
      <c r="C718" s="88" t="s">
        <v>5259</v>
      </c>
      <c r="D718" s="88" t="s">
        <v>3674</v>
      </c>
      <c r="E718" s="88" t="s">
        <v>61</v>
      </c>
      <c r="F718" s="88">
        <v>0</v>
      </c>
      <c r="G718" s="78">
        <f>MAX(H718,I718,J718)</f>
        <v>0</v>
      </c>
      <c r="H718" s="88"/>
      <c r="I718" s="88"/>
      <c r="J718" s="78">
        <f>MAX(K718:Q718)</f>
        <v>0</v>
      </c>
      <c r="K718" s="88"/>
      <c r="L718" s="88"/>
      <c r="M718" s="88"/>
      <c r="N718" s="88"/>
      <c r="O718" s="88"/>
      <c r="P718" s="88"/>
      <c r="Q718" s="88"/>
      <c r="R718" s="78">
        <f>MAX(S718:W718)</f>
        <v>1</v>
      </c>
      <c r="S718" s="88"/>
      <c r="T718" s="88"/>
      <c r="U718" s="88">
        <v>1</v>
      </c>
      <c r="V718" s="88"/>
      <c r="W718" s="88"/>
    </row>
    <row r="719" spans="2:23" s="0" customFormat="0" ht="15">
      <c r="B719" s="87" t="s">
        <v>1</v>
      </c>
      <c r="C719" s="88" t="s">
        <v>5259</v>
      </c>
      <c r="D719" s="88" t="s">
        <v>3584</v>
      </c>
      <c r="E719" s="88" t="s">
        <v>61</v>
      </c>
      <c r="F719" s="88">
        <v>0</v>
      </c>
      <c r="G719" s="78">
        <f>MAX(H719,I719,J719)</f>
        <v>0</v>
      </c>
      <c r="H719" s="88"/>
      <c r="I719" s="88"/>
      <c r="J719" s="78">
        <f>MAX(K719:Q719)</f>
        <v>0</v>
      </c>
      <c r="K719" s="88"/>
      <c r="L719" s="88"/>
      <c r="M719" s="88"/>
      <c r="N719" s="88"/>
      <c r="O719" s="88"/>
      <c r="P719" s="88"/>
      <c r="Q719" s="88"/>
      <c r="R719" s="78">
        <f>MAX(S719:W719)</f>
        <v>1</v>
      </c>
      <c r="S719" s="88"/>
      <c r="T719" s="88"/>
      <c r="U719" s="88">
        <v>1</v>
      </c>
      <c r="V719" s="88"/>
      <c r="W719" s="88"/>
    </row>
    <row r="720" spans="2:23" s="0" customFormat="0" ht="15">
      <c r="B720" s="87" t="s">
        <v>1</v>
      </c>
      <c r="C720" s="88" t="s">
        <v>5259</v>
      </c>
      <c r="D720" s="88">
        <v>16974053</v>
      </c>
      <c r="E720" s="88" t="s">
        <v>61</v>
      </c>
      <c r="F720" s="88">
        <v>0</v>
      </c>
      <c r="G720" s="78">
        <f>MAX(H720,I720,J720)</f>
        <v>0</v>
      </c>
      <c r="H720" s="88"/>
      <c r="I720" s="88"/>
      <c r="J720" s="78">
        <f>MAX(K720:Q720)</f>
        <v>0</v>
      </c>
      <c r="K720" s="88"/>
      <c r="L720" s="88"/>
      <c r="M720" s="88"/>
      <c r="N720" s="88"/>
      <c r="O720" s="88"/>
      <c r="P720" s="88"/>
      <c r="Q720" s="88"/>
      <c r="R720" s="78">
        <f>MAX(S720:W720)</f>
        <v>1</v>
      </c>
      <c r="S720" s="88"/>
      <c r="T720" s="88"/>
      <c r="U720" s="88">
        <v>1</v>
      </c>
      <c r="V720" s="88"/>
      <c r="W720" s="88"/>
    </row>
    <row r="721" spans="2:23" s="0" customFormat="0" ht="15">
      <c r="B721" s="87" t="s">
        <v>1</v>
      </c>
      <c r="C721" s="88" t="s">
        <v>5259</v>
      </c>
      <c r="D721" s="88" t="s">
        <v>3677</v>
      </c>
      <c r="E721" s="88" t="s">
        <v>61</v>
      </c>
      <c r="F721" s="88">
        <v>0</v>
      </c>
      <c r="G721" s="78">
        <f>MAX(H721,I721,J721)</f>
        <v>0</v>
      </c>
      <c r="H721" s="88"/>
      <c r="I721" s="88"/>
      <c r="J721" s="78">
        <f>MAX(K721:Q721)</f>
        <v>0</v>
      </c>
      <c r="K721" s="88"/>
      <c r="L721" s="88"/>
      <c r="M721" s="88"/>
      <c r="N721" s="88"/>
      <c r="O721" s="88"/>
      <c r="P721" s="88"/>
      <c r="Q721" s="88"/>
      <c r="R721" s="78">
        <f>MAX(S721:W721)</f>
        <v>1</v>
      </c>
      <c r="S721" s="88"/>
      <c r="T721" s="88"/>
      <c r="U721" s="88">
        <v>1</v>
      </c>
      <c r="V721" s="88"/>
      <c r="W721" s="88"/>
    </row>
    <row r="722" spans="2:23" s="0" customFormat="0" ht="15">
      <c r="B722" s="87" t="s">
        <v>1</v>
      </c>
      <c r="C722" s="88" t="s">
        <v>5259</v>
      </c>
      <c r="D722" s="88" t="s">
        <v>700</v>
      </c>
      <c r="E722" s="88" t="s">
        <v>61</v>
      </c>
      <c r="F722" s="88">
        <v>0</v>
      </c>
      <c r="G722" s="78">
        <f>MAX(H722,I722,J722)</f>
        <v>1</v>
      </c>
      <c r="H722" s="88"/>
      <c r="I722" s="88"/>
      <c r="J722" s="78">
        <f>MAX(K722:Q722)</f>
        <v>1</v>
      </c>
      <c r="K722" s="88">
        <v>1</v>
      </c>
      <c r="L722" s="88"/>
      <c r="M722" s="88"/>
      <c r="N722" s="88"/>
      <c r="O722" s="88"/>
      <c r="P722" s="88"/>
      <c r="Q722" s="88"/>
      <c r="R722" s="78">
        <f>MAX(S722:W722)</f>
        <v>0</v>
      </c>
      <c r="S722" s="88"/>
      <c r="T722" s="88"/>
      <c r="U722" s="88"/>
      <c r="V722" s="88"/>
      <c r="W722" s="88"/>
    </row>
    <row r="723" spans="2:23" s="0" customFormat="0" ht="15">
      <c r="B723" s="87" t="s">
        <v>1</v>
      </c>
      <c r="C723" s="88" t="s">
        <v>5259</v>
      </c>
      <c r="D723" s="88">
        <v>24139330</v>
      </c>
      <c r="E723" s="88" t="s">
        <v>61</v>
      </c>
      <c r="F723" s="88">
        <v>0</v>
      </c>
      <c r="G723" s="78">
        <f>MAX(H723,I723,J723)</f>
        <v>0</v>
      </c>
      <c r="H723" s="88"/>
      <c r="I723" s="88"/>
      <c r="J723" s="78">
        <f>MAX(K723:Q723)</f>
        <v>0</v>
      </c>
      <c r="K723" s="88"/>
      <c r="L723" s="88"/>
      <c r="M723" s="88"/>
      <c r="N723" s="88"/>
      <c r="O723" s="88"/>
      <c r="P723" s="88"/>
      <c r="Q723" s="88"/>
      <c r="R723" s="78">
        <f>MAX(S723:W723)</f>
        <v>1</v>
      </c>
      <c r="S723" s="88"/>
      <c r="T723" s="88"/>
      <c r="U723" s="88">
        <v>1</v>
      </c>
      <c r="V723" s="88"/>
      <c r="W723" s="88"/>
    </row>
    <row r="724" spans="2:23" s="0" customFormat="0" ht="15">
      <c r="B724" s="87" t="s">
        <v>1</v>
      </c>
      <c r="C724" s="88" t="s">
        <v>5259</v>
      </c>
      <c r="D724" s="88">
        <v>11911959</v>
      </c>
      <c r="E724" s="88" t="s">
        <v>61</v>
      </c>
      <c r="F724" s="88">
        <v>0</v>
      </c>
      <c r="G724" s="78">
        <f>MAX(H724,I724,J724)</f>
        <v>1</v>
      </c>
      <c r="H724" s="88"/>
      <c r="I724" s="88"/>
      <c r="J724" s="78">
        <f>MAX(K724:Q724)</f>
        <v>1</v>
      </c>
      <c r="K724" s="88">
        <v>1</v>
      </c>
      <c r="L724" s="88"/>
      <c r="M724" s="88"/>
      <c r="N724" s="88"/>
      <c r="O724" s="88"/>
      <c r="P724" s="88"/>
      <c r="Q724" s="88"/>
      <c r="R724" s="78">
        <f>MAX(S724:W724)</f>
        <v>0</v>
      </c>
      <c r="S724" s="88"/>
      <c r="T724" s="88"/>
      <c r="U724" s="88"/>
      <c r="V724" s="88"/>
      <c r="W724" s="88"/>
    </row>
    <row r="725" spans="2:23" s="0" customFormat="0" ht="15">
      <c r="B725" s="87" t="s">
        <v>1</v>
      </c>
      <c r="C725" s="88" t="s">
        <v>5259</v>
      </c>
      <c r="D725" s="88">
        <v>23207363</v>
      </c>
      <c r="E725" s="88" t="s">
        <v>61</v>
      </c>
      <c r="F725" s="88">
        <v>0</v>
      </c>
      <c r="G725" s="78">
        <f>MAX(H725,I725,J725)</f>
        <v>1</v>
      </c>
      <c r="H725" s="88"/>
      <c r="I725" s="88"/>
      <c r="J725" s="78">
        <f>MAX(K725:Q725)</f>
        <v>1</v>
      </c>
      <c r="K725" s="88">
        <v>1</v>
      </c>
      <c r="L725" s="88"/>
      <c r="M725" s="88"/>
      <c r="N725" s="88"/>
      <c r="O725" s="88"/>
      <c r="P725" s="88"/>
      <c r="Q725" s="88"/>
      <c r="R725" s="78">
        <f>MAX(S725:W725)</f>
        <v>0</v>
      </c>
      <c r="S725" s="88"/>
      <c r="T725" s="88"/>
      <c r="U725" s="88"/>
      <c r="V725" s="88"/>
      <c r="W725" s="88"/>
    </row>
    <row r="726" spans="2:23" s="0" customFormat="0" ht="15">
      <c r="B726" s="87" t="s">
        <v>1</v>
      </c>
      <c r="C726" s="88" t="s">
        <v>5259</v>
      </c>
      <c r="D726" s="88">
        <v>11114722</v>
      </c>
      <c r="E726" s="88" t="s">
        <v>61</v>
      </c>
      <c r="F726" s="88">
        <v>0</v>
      </c>
      <c r="G726" s="78">
        <f>MAX(H726,I726,J726)</f>
        <v>1</v>
      </c>
      <c r="H726" s="88"/>
      <c r="I726" s="88"/>
      <c r="J726" s="78">
        <f>MAX(K726:Q726)</f>
        <v>1</v>
      </c>
      <c r="K726" s="88">
        <v>1</v>
      </c>
      <c r="L726" s="88"/>
      <c r="M726" s="88"/>
      <c r="N726" s="88"/>
      <c r="O726" s="88"/>
      <c r="P726" s="88"/>
      <c r="Q726" s="88"/>
      <c r="R726" s="78">
        <f>MAX(S726:W726)</f>
        <v>0</v>
      </c>
      <c r="S726" s="88"/>
      <c r="T726" s="88"/>
      <c r="U726" s="88"/>
      <c r="V726" s="88"/>
      <c r="W726" s="88"/>
    </row>
    <row r="727" spans="2:23" s="0" customFormat="0" ht="15">
      <c r="B727" s="87" t="s">
        <v>1</v>
      </c>
      <c r="C727" s="88" t="s">
        <v>5259</v>
      </c>
      <c r="D727" s="88" t="s">
        <v>705</v>
      </c>
      <c r="E727" s="88" t="s">
        <v>61</v>
      </c>
      <c r="F727" s="88">
        <v>0</v>
      </c>
      <c r="G727" s="78">
        <f>MAX(H727,I727,J727)</f>
        <v>1</v>
      </c>
      <c r="H727" s="88"/>
      <c r="I727" s="88"/>
      <c r="J727" s="78">
        <f>MAX(K727:Q727)</f>
        <v>1</v>
      </c>
      <c r="K727" s="88">
        <v>1</v>
      </c>
      <c r="L727" s="88"/>
      <c r="M727" s="88"/>
      <c r="N727" s="88"/>
      <c r="O727" s="88"/>
      <c r="P727" s="88"/>
      <c r="Q727" s="88"/>
      <c r="R727" s="78">
        <f>MAX(S727:W727)</f>
        <v>0</v>
      </c>
      <c r="S727" s="88"/>
      <c r="T727" s="88"/>
      <c r="U727" s="88"/>
      <c r="V727" s="88"/>
      <c r="W727" s="88"/>
    </row>
    <row r="728" spans="2:23" s="0" customFormat="0" ht="15">
      <c r="B728" s="87" t="s">
        <v>1</v>
      </c>
      <c r="C728" s="88" t="s">
        <v>5259</v>
      </c>
      <c r="D728" s="88" t="s">
        <v>3680</v>
      </c>
      <c r="E728" s="88" t="s">
        <v>61</v>
      </c>
      <c r="F728" s="88">
        <v>0</v>
      </c>
      <c r="G728" s="78">
        <f>MAX(H728,I728,J728)</f>
        <v>0</v>
      </c>
      <c r="H728" s="88"/>
      <c r="I728" s="88"/>
      <c r="J728" s="78">
        <f>MAX(K728:Q728)</f>
        <v>0</v>
      </c>
      <c r="K728" s="88"/>
      <c r="L728" s="88"/>
      <c r="M728" s="88"/>
      <c r="N728" s="88"/>
      <c r="O728" s="88"/>
      <c r="P728" s="88"/>
      <c r="Q728" s="88"/>
      <c r="R728" s="78">
        <f>MAX(S728:W728)</f>
        <v>1</v>
      </c>
      <c r="S728" s="88"/>
      <c r="T728" s="88"/>
      <c r="U728" s="88">
        <v>1</v>
      </c>
      <c r="V728" s="88"/>
      <c r="W728" s="88"/>
    </row>
    <row r="729" spans="2:23" s="0" customFormat="0" ht="15">
      <c r="B729" s="87" t="s">
        <v>1</v>
      </c>
      <c r="C729" s="88" t="s">
        <v>5259</v>
      </c>
      <c r="D729" s="88">
        <v>22063598</v>
      </c>
      <c r="E729" s="88" t="s">
        <v>61</v>
      </c>
      <c r="F729" s="88">
        <v>0</v>
      </c>
      <c r="G729" s="78">
        <f>MAX(H729,I729,J729)</f>
        <v>1</v>
      </c>
      <c r="H729" s="88"/>
      <c r="I729" s="88"/>
      <c r="J729" s="78">
        <f>MAX(K729:Q729)</f>
        <v>1</v>
      </c>
      <c r="K729" s="88">
        <v>1</v>
      </c>
      <c r="L729" s="88"/>
      <c r="M729" s="88"/>
      <c r="N729" s="88"/>
      <c r="O729" s="88"/>
      <c r="P729" s="88"/>
      <c r="Q729" s="88"/>
      <c r="R729" s="78">
        <f>MAX(S729:W729)</f>
        <v>0</v>
      </c>
      <c r="S729" s="88"/>
      <c r="T729" s="88"/>
      <c r="U729" s="88"/>
      <c r="V729" s="88"/>
      <c r="W729" s="88"/>
    </row>
    <row r="730" spans="2:23" s="0" customFormat="0" ht="15">
      <c r="B730" s="87" t="s">
        <v>1</v>
      </c>
      <c r="C730" s="88" t="s">
        <v>5259</v>
      </c>
      <c r="D730" s="88">
        <v>10504442</v>
      </c>
      <c r="E730" s="88" t="s">
        <v>61</v>
      </c>
      <c r="F730" s="88">
        <v>0</v>
      </c>
      <c r="G730" s="78">
        <f>MAX(H730,I730,J730)</f>
        <v>1</v>
      </c>
      <c r="H730" s="88"/>
      <c r="I730" s="88"/>
      <c r="J730" s="78">
        <f>MAX(K730:Q730)</f>
        <v>1</v>
      </c>
      <c r="K730" s="88">
        <v>1</v>
      </c>
      <c r="L730" s="88"/>
      <c r="M730" s="88"/>
      <c r="N730" s="88"/>
      <c r="O730" s="88"/>
      <c r="P730" s="88"/>
      <c r="Q730" s="88"/>
      <c r="R730" s="78">
        <f>MAX(S730:W730)</f>
        <v>0</v>
      </c>
      <c r="S730" s="88"/>
      <c r="T730" s="88"/>
      <c r="U730" s="88"/>
      <c r="V730" s="88"/>
      <c r="W730" s="88"/>
    </row>
    <row r="731" spans="2:23" s="0" customFormat="0" ht="15">
      <c r="B731" s="87" t="s">
        <v>1</v>
      </c>
      <c r="C731" s="88" t="s">
        <v>5259</v>
      </c>
      <c r="D731" s="88" t="s">
        <v>3682</v>
      </c>
      <c r="E731" s="88" t="s">
        <v>61</v>
      </c>
      <c r="F731" s="88">
        <v>0</v>
      </c>
      <c r="G731" s="78">
        <f>MAX(H731,I731,J731)</f>
        <v>0</v>
      </c>
      <c r="H731" s="88"/>
      <c r="I731" s="88"/>
      <c r="J731" s="78">
        <f>MAX(K731:Q731)</f>
        <v>0</v>
      </c>
      <c r="K731" s="88"/>
      <c r="L731" s="88"/>
      <c r="M731" s="88"/>
      <c r="N731" s="88"/>
      <c r="O731" s="88"/>
      <c r="P731" s="88"/>
      <c r="Q731" s="88"/>
      <c r="R731" s="78">
        <f>MAX(S731:W731)</f>
        <v>1</v>
      </c>
      <c r="S731" s="88"/>
      <c r="T731" s="88"/>
      <c r="U731" s="88">
        <v>1</v>
      </c>
      <c r="V731" s="88"/>
      <c r="W731" s="88"/>
    </row>
    <row r="732" spans="2:23" s="0" customFormat="0" ht="15">
      <c r="B732" s="87" t="s">
        <v>1</v>
      </c>
      <c r="C732" s="88" t="s">
        <v>5259</v>
      </c>
      <c r="D732" s="88">
        <v>15716650</v>
      </c>
      <c r="E732" s="88" t="s">
        <v>61</v>
      </c>
      <c r="F732" s="88">
        <v>0</v>
      </c>
      <c r="G732" s="78">
        <f>MAX(H732,I732,J732)</f>
        <v>1</v>
      </c>
      <c r="H732" s="88"/>
      <c r="I732" s="88"/>
      <c r="J732" s="78">
        <f>MAX(K732:Q732)</f>
        <v>1</v>
      </c>
      <c r="K732" s="88">
        <v>1</v>
      </c>
      <c r="L732" s="88"/>
      <c r="M732" s="88"/>
      <c r="N732" s="88"/>
      <c r="O732" s="88"/>
      <c r="P732" s="88"/>
      <c r="Q732" s="88"/>
      <c r="R732" s="78">
        <f>MAX(S732:W732)</f>
        <v>0</v>
      </c>
      <c r="S732" s="88"/>
      <c r="T732" s="88"/>
      <c r="U732" s="88"/>
      <c r="V732" s="88"/>
      <c r="W732" s="88"/>
    </row>
    <row r="733" spans="2:23" s="0" customFormat="0" ht="15">
      <c r="B733" s="87" t="s">
        <v>1</v>
      </c>
      <c r="C733" s="88" t="s">
        <v>5259</v>
      </c>
      <c r="D733" s="88" t="s">
        <v>3684</v>
      </c>
      <c r="E733" s="88" t="s">
        <v>61</v>
      </c>
      <c r="F733" s="88">
        <v>0</v>
      </c>
      <c r="G733" s="78">
        <f>MAX(H733,I733,J733)</f>
        <v>0</v>
      </c>
      <c r="H733" s="88"/>
      <c r="I733" s="88"/>
      <c r="J733" s="78">
        <f>MAX(K733:Q733)</f>
        <v>0</v>
      </c>
      <c r="K733" s="88"/>
      <c r="L733" s="88"/>
      <c r="M733" s="88"/>
      <c r="N733" s="88"/>
      <c r="O733" s="88"/>
      <c r="P733" s="88"/>
      <c r="Q733" s="88"/>
      <c r="R733" s="78">
        <f>MAX(S733:W733)</f>
        <v>1</v>
      </c>
      <c r="S733" s="88"/>
      <c r="T733" s="88"/>
      <c r="U733" s="88">
        <v>1</v>
      </c>
      <c r="V733" s="88"/>
      <c r="W733" s="88"/>
    </row>
    <row r="734" spans="2:23" s="0" customFormat="0" ht="15">
      <c r="B734" s="87" t="s">
        <v>1</v>
      </c>
      <c r="C734" s="88" t="s">
        <v>5259</v>
      </c>
      <c r="D734" s="88">
        <v>2656804</v>
      </c>
      <c r="E734" s="88" t="s">
        <v>61</v>
      </c>
      <c r="F734" s="88">
        <v>0</v>
      </c>
      <c r="G734" s="78">
        <f>MAX(H734,I734,J734)</f>
        <v>1</v>
      </c>
      <c r="H734" s="88"/>
      <c r="I734" s="88"/>
      <c r="J734" s="78">
        <f>MAX(K734:Q734)</f>
        <v>1</v>
      </c>
      <c r="K734" s="88">
        <v>1</v>
      </c>
      <c r="L734" s="88"/>
      <c r="M734" s="88"/>
      <c r="N734" s="88"/>
      <c r="O734" s="88"/>
      <c r="P734" s="88"/>
      <c r="Q734" s="88"/>
      <c r="R734" s="78">
        <f>MAX(S734:W734)</f>
        <v>0</v>
      </c>
      <c r="S734" s="88"/>
      <c r="T734" s="88"/>
      <c r="U734" s="88"/>
      <c r="V734" s="88"/>
      <c r="W734" s="88"/>
    </row>
    <row r="735" spans="2:23" s="0" customFormat="0" ht="15">
      <c r="B735" s="87" t="s">
        <v>1</v>
      </c>
      <c r="C735" s="88" t="s">
        <v>5259</v>
      </c>
      <c r="D735" s="88">
        <v>12782438</v>
      </c>
      <c r="E735" s="88" t="s">
        <v>61</v>
      </c>
      <c r="F735" s="88">
        <v>0</v>
      </c>
      <c r="G735" s="78">
        <f>MAX(H735,I735,J735)</f>
        <v>1</v>
      </c>
      <c r="H735" s="88"/>
      <c r="I735" s="88"/>
      <c r="J735" s="78">
        <f>MAX(K735:Q735)</f>
        <v>1</v>
      </c>
      <c r="K735" s="88">
        <v>1</v>
      </c>
      <c r="L735" s="88"/>
      <c r="M735" s="88"/>
      <c r="N735" s="88"/>
      <c r="O735" s="88"/>
      <c r="P735" s="88"/>
      <c r="Q735" s="88"/>
      <c r="R735" s="78">
        <f>MAX(S735:W735)</f>
        <v>0</v>
      </c>
      <c r="S735" s="88"/>
      <c r="T735" s="88"/>
      <c r="U735" s="88"/>
      <c r="V735" s="88"/>
      <c r="W735" s="88"/>
    </row>
    <row r="736" spans="2:23" s="0" customFormat="0" ht="15">
      <c r="B736" s="87" t="s">
        <v>1</v>
      </c>
      <c r="C736" s="88" t="s">
        <v>5259</v>
      </c>
      <c r="D736" s="88">
        <v>13173833</v>
      </c>
      <c r="E736" s="88" t="s">
        <v>61</v>
      </c>
      <c r="F736" s="88">
        <v>0</v>
      </c>
      <c r="G736" s="78">
        <f>MAX(H736,I736,J736)</f>
        <v>1</v>
      </c>
      <c r="H736" s="88"/>
      <c r="I736" s="88"/>
      <c r="J736" s="78">
        <f>MAX(K736:Q736)</f>
        <v>1</v>
      </c>
      <c r="K736" s="88">
        <v>1</v>
      </c>
      <c r="L736" s="88"/>
      <c r="M736" s="88"/>
      <c r="N736" s="88"/>
      <c r="O736" s="88"/>
      <c r="P736" s="88"/>
      <c r="Q736" s="88"/>
      <c r="R736" s="78">
        <f>MAX(S736:W736)</f>
        <v>0</v>
      </c>
      <c r="S736" s="88"/>
      <c r="T736" s="88"/>
      <c r="U736" s="88"/>
      <c r="V736" s="88"/>
      <c r="W736" s="88"/>
    </row>
    <row r="737" spans="2:23" s="0" customFormat="0" ht="15">
      <c r="B737" s="87" t="s">
        <v>1</v>
      </c>
      <c r="C737" s="88" t="s">
        <v>5259</v>
      </c>
      <c r="D737" s="88">
        <v>13158525</v>
      </c>
      <c r="E737" s="88" t="s">
        <v>61</v>
      </c>
      <c r="F737" s="88">
        <v>0</v>
      </c>
      <c r="G737" s="78">
        <f>MAX(H737,I737,J737)</f>
        <v>1</v>
      </c>
      <c r="H737" s="88"/>
      <c r="I737" s="88"/>
      <c r="J737" s="78">
        <f>MAX(K737:Q737)</f>
        <v>1</v>
      </c>
      <c r="K737" s="88">
        <v>1</v>
      </c>
      <c r="L737" s="88"/>
      <c r="M737" s="88"/>
      <c r="N737" s="88"/>
      <c r="O737" s="88"/>
      <c r="P737" s="88"/>
      <c r="Q737" s="88"/>
      <c r="R737" s="78">
        <f>MAX(S737:W737)</f>
        <v>0</v>
      </c>
      <c r="S737" s="88"/>
      <c r="T737" s="88"/>
      <c r="U737" s="88"/>
      <c r="V737" s="88"/>
      <c r="W737" s="88"/>
    </row>
    <row r="738" spans="2:23" s="0" customFormat="0" ht="15">
      <c r="B738" s="87" t="s">
        <v>1</v>
      </c>
      <c r="C738" s="88" t="s">
        <v>5259</v>
      </c>
      <c r="D738" s="88">
        <v>20784521</v>
      </c>
      <c r="E738" s="88" t="s">
        <v>61</v>
      </c>
      <c r="F738" s="88">
        <v>0</v>
      </c>
      <c r="G738" s="78">
        <f>MAX(H738,I738,J738)</f>
        <v>1</v>
      </c>
      <c r="H738" s="88"/>
      <c r="I738" s="88"/>
      <c r="J738" s="78">
        <f>MAX(K738:Q738)</f>
        <v>1</v>
      </c>
      <c r="K738" s="88">
        <v>1</v>
      </c>
      <c r="L738" s="88"/>
      <c r="M738" s="88"/>
      <c r="N738" s="88"/>
      <c r="O738" s="88"/>
      <c r="P738" s="88"/>
      <c r="Q738" s="88"/>
      <c r="R738" s="78">
        <f>MAX(S738:W738)</f>
        <v>0</v>
      </c>
      <c r="S738" s="88"/>
      <c r="T738" s="88"/>
      <c r="U738" s="88"/>
      <c r="V738" s="88"/>
      <c r="W738" s="88"/>
    </row>
    <row r="739" spans="2:23" s="0" customFormat="0" ht="15">
      <c r="B739" s="87" t="s">
        <v>1</v>
      </c>
      <c r="C739" s="88" t="s">
        <v>5259</v>
      </c>
      <c r="D739" s="88">
        <v>12412639</v>
      </c>
      <c r="E739" s="88" t="s">
        <v>61</v>
      </c>
      <c r="F739" s="88">
        <v>0</v>
      </c>
      <c r="G739" s="78">
        <f>MAX(H739,I739,J739)</f>
        <v>1</v>
      </c>
      <c r="H739" s="88"/>
      <c r="I739" s="88"/>
      <c r="J739" s="78">
        <f>MAX(K739:Q739)</f>
        <v>1</v>
      </c>
      <c r="K739" s="88">
        <v>1</v>
      </c>
      <c r="L739" s="88"/>
      <c r="M739" s="88"/>
      <c r="N739" s="88"/>
      <c r="O739" s="88"/>
      <c r="P739" s="88"/>
      <c r="Q739" s="88"/>
      <c r="R739" s="78">
        <f>MAX(S739:W739)</f>
        <v>0</v>
      </c>
      <c r="S739" s="88"/>
      <c r="T739" s="88"/>
      <c r="U739" s="88"/>
      <c r="V739" s="88"/>
      <c r="W739" s="88"/>
    </row>
    <row r="740" spans="2:23" s="0" customFormat="0" ht="15">
      <c r="B740" s="87" t="s">
        <v>1</v>
      </c>
      <c r="C740" s="88" t="s">
        <v>5259</v>
      </c>
      <c r="D740" s="88" t="s">
        <v>566</v>
      </c>
      <c r="E740" s="88" t="s">
        <v>61</v>
      </c>
      <c r="F740" s="88">
        <v>0</v>
      </c>
      <c r="G740" s="78">
        <f>MAX(H740,I740,J740)</f>
        <v>1</v>
      </c>
      <c r="H740" s="88"/>
      <c r="I740" s="88"/>
      <c r="J740" s="78">
        <f>MAX(K740:Q740)</f>
        <v>1</v>
      </c>
      <c r="K740" s="88">
        <v>1</v>
      </c>
      <c r="L740" s="88"/>
      <c r="M740" s="88"/>
      <c r="N740" s="88"/>
      <c r="O740" s="88"/>
      <c r="P740" s="88"/>
      <c r="Q740" s="88"/>
      <c r="R740" s="78">
        <f>MAX(S740:W740)</f>
        <v>0</v>
      </c>
      <c r="S740" s="88"/>
      <c r="T740" s="88"/>
      <c r="U740" s="88"/>
      <c r="V740" s="88"/>
      <c r="W740" s="88"/>
    </row>
    <row r="741" spans="2:23" s="0" customFormat="0" ht="15">
      <c r="B741" s="87" t="s">
        <v>1</v>
      </c>
      <c r="C741" s="88" t="s">
        <v>5259</v>
      </c>
      <c r="D741" s="88" t="s">
        <v>715</v>
      </c>
      <c r="E741" s="88" t="s">
        <v>61</v>
      </c>
      <c r="F741" s="88">
        <v>0</v>
      </c>
      <c r="G741" s="78">
        <f>MAX(H741,I741,J741)</f>
        <v>1</v>
      </c>
      <c r="H741" s="88"/>
      <c r="I741" s="88"/>
      <c r="J741" s="78">
        <f>MAX(K741:Q741)</f>
        <v>1</v>
      </c>
      <c r="K741" s="88">
        <v>1</v>
      </c>
      <c r="L741" s="88"/>
      <c r="M741" s="88"/>
      <c r="N741" s="88"/>
      <c r="O741" s="88"/>
      <c r="P741" s="88"/>
      <c r="Q741" s="88"/>
      <c r="R741" s="78">
        <f>MAX(S741:W741)</f>
        <v>0</v>
      </c>
      <c r="S741" s="88"/>
      <c r="T741" s="88"/>
      <c r="U741" s="88"/>
      <c r="V741" s="88"/>
      <c r="W741" s="88"/>
    </row>
    <row r="742" spans="2:23" s="0" customFormat="0" ht="15">
      <c r="B742" s="87" t="s">
        <v>1</v>
      </c>
      <c r="C742" s="88" t="s">
        <v>5259</v>
      </c>
      <c r="D742" s="88">
        <v>10497884</v>
      </c>
      <c r="E742" s="88" t="s">
        <v>61</v>
      </c>
      <c r="F742" s="88">
        <v>0</v>
      </c>
      <c r="G742" s="78">
        <f>MAX(H742,I742,J742)</f>
        <v>1</v>
      </c>
      <c r="H742" s="88"/>
      <c r="I742" s="88"/>
      <c r="J742" s="78">
        <f>MAX(K742:Q742)</f>
        <v>1</v>
      </c>
      <c r="K742" s="88">
        <v>1</v>
      </c>
      <c r="L742" s="88"/>
      <c r="M742" s="88"/>
      <c r="N742" s="88"/>
      <c r="O742" s="88"/>
      <c r="P742" s="88"/>
      <c r="Q742" s="88"/>
      <c r="R742" s="78">
        <f>MAX(S742:W742)</f>
        <v>0</v>
      </c>
      <c r="S742" s="88"/>
      <c r="T742" s="88"/>
      <c r="U742" s="88"/>
      <c r="V742" s="88"/>
      <c r="W742" s="88"/>
    </row>
    <row r="743" spans="2:23" s="0" customFormat="0" ht="15">
      <c r="B743" s="87" t="s">
        <v>1</v>
      </c>
      <c r="C743" s="88" t="s">
        <v>5259</v>
      </c>
      <c r="D743" s="88" t="s">
        <v>3686</v>
      </c>
      <c r="E743" s="88" t="s">
        <v>61</v>
      </c>
      <c r="F743" s="88">
        <v>0</v>
      </c>
      <c r="G743" s="78">
        <f>MAX(H743,I743,J743)</f>
        <v>0</v>
      </c>
      <c r="H743" s="88"/>
      <c r="I743" s="88"/>
      <c r="J743" s="78">
        <f>MAX(K743:Q743)</f>
        <v>0</v>
      </c>
      <c r="K743" s="88"/>
      <c r="L743" s="88"/>
      <c r="M743" s="88"/>
      <c r="N743" s="88"/>
      <c r="O743" s="88"/>
      <c r="P743" s="88"/>
      <c r="Q743" s="88"/>
      <c r="R743" s="78">
        <f>MAX(S743:W743)</f>
        <v>1</v>
      </c>
      <c r="S743" s="88"/>
      <c r="T743" s="88"/>
      <c r="U743" s="88">
        <v>1</v>
      </c>
      <c r="V743" s="88"/>
      <c r="W743" s="88"/>
    </row>
    <row r="744" spans="2:23" s="0" customFormat="0" ht="15">
      <c r="B744" s="87" t="s">
        <v>1</v>
      </c>
      <c r="C744" s="88" t="s">
        <v>5259</v>
      </c>
      <c r="D744" s="88">
        <v>19506407</v>
      </c>
      <c r="E744" s="88" t="s">
        <v>61</v>
      </c>
      <c r="F744" s="88">
        <v>0</v>
      </c>
      <c r="G744" s="78">
        <f>MAX(H744,I744,J744)</f>
        <v>1</v>
      </c>
      <c r="H744" s="88"/>
      <c r="I744" s="88"/>
      <c r="J744" s="78">
        <f>MAX(K744:Q744)</f>
        <v>1</v>
      </c>
      <c r="K744" s="88">
        <v>1</v>
      </c>
      <c r="L744" s="88"/>
      <c r="M744" s="88"/>
      <c r="N744" s="88"/>
      <c r="O744" s="88"/>
      <c r="P744" s="88"/>
      <c r="Q744" s="88"/>
      <c r="R744" s="78">
        <f>MAX(S744:W744)</f>
        <v>0</v>
      </c>
      <c r="S744" s="88"/>
      <c r="T744" s="88"/>
      <c r="U744" s="88"/>
      <c r="V744" s="88"/>
      <c r="W744" s="88"/>
    </row>
    <row r="745" spans="2:23" s="0" customFormat="0" ht="15">
      <c r="B745" s="87" t="s">
        <v>1</v>
      </c>
      <c r="C745" s="88" t="s">
        <v>5259</v>
      </c>
      <c r="D745" s="88" t="s">
        <v>3688</v>
      </c>
      <c r="E745" s="88" t="s">
        <v>61</v>
      </c>
      <c r="F745" s="88">
        <v>0</v>
      </c>
      <c r="G745" s="78">
        <f>MAX(H745,I745,J745)</f>
        <v>0</v>
      </c>
      <c r="H745" s="88"/>
      <c r="I745" s="88"/>
      <c r="J745" s="78">
        <f>MAX(K745:Q745)</f>
        <v>0</v>
      </c>
      <c r="K745" s="88"/>
      <c r="L745" s="88"/>
      <c r="M745" s="88"/>
      <c r="N745" s="88"/>
      <c r="O745" s="88"/>
      <c r="P745" s="88"/>
      <c r="Q745" s="88"/>
      <c r="R745" s="78">
        <f>MAX(S745:W745)</f>
        <v>1</v>
      </c>
      <c r="S745" s="88"/>
      <c r="T745" s="88"/>
      <c r="U745" s="88">
        <v>1</v>
      </c>
      <c r="V745" s="88"/>
      <c r="W745" s="88"/>
    </row>
    <row r="746" spans="2:23" s="0" customFormat="0" ht="15">
      <c r="B746" s="87" t="s">
        <v>1</v>
      </c>
      <c r="C746" s="88" t="s">
        <v>5259</v>
      </c>
      <c r="D746" s="88" t="s">
        <v>3690</v>
      </c>
      <c r="E746" s="88" t="s">
        <v>61</v>
      </c>
      <c r="F746" s="88">
        <v>0</v>
      </c>
      <c r="G746" s="78">
        <f>MAX(H746,I746,J746)</f>
        <v>0</v>
      </c>
      <c r="H746" s="88"/>
      <c r="I746" s="88"/>
      <c r="J746" s="78">
        <f>MAX(K746:Q746)</f>
        <v>0</v>
      </c>
      <c r="K746" s="88"/>
      <c r="L746" s="88"/>
      <c r="M746" s="88"/>
      <c r="N746" s="88"/>
      <c r="O746" s="88"/>
      <c r="P746" s="88"/>
      <c r="Q746" s="88"/>
      <c r="R746" s="78">
        <f>MAX(S746:W746)</f>
        <v>1</v>
      </c>
      <c r="S746" s="88"/>
      <c r="T746" s="88"/>
      <c r="U746" s="88">
        <v>1</v>
      </c>
      <c r="V746" s="88"/>
      <c r="W746" s="88"/>
    </row>
    <row r="747" spans="2:23" s="0" customFormat="0" ht="15">
      <c r="B747" s="87" t="s">
        <v>1</v>
      </c>
      <c r="C747" s="88" t="s">
        <v>5259</v>
      </c>
      <c r="D747" s="88">
        <v>17356653</v>
      </c>
      <c r="E747" s="88" t="s">
        <v>61</v>
      </c>
      <c r="F747" s="88">
        <v>0</v>
      </c>
      <c r="G747" s="78">
        <f>MAX(H747,I747,J747)</f>
        <v>1</v>
      </c>
      <c r="H747" s="88"/>
      <c r="I747" s="88"/>
      <c r="J747" s="78">
        <f>MAX(K747:Q747)</f>
        <v>1</v>
      </c>
      <c r="K747" s="88">
        <v>1</v>
      </c>
      <c r="L747" s="88"/>
      <c r="M747" s="88"/>
      <c r="N747" s="88"/>
      <c r="O747" s="88"/>
      <c r="P747" s="88"/>
      <c r="Q747" s="88"/>
      <c r="R747" s="78">
        <f>MAX(S747:W747)</f>
        <v>0</v>
      </c>
      <c r="S747" s="88"/>
      <c r="T747" s="88"/>
      <c r="U747" s="88"/>
      <c r="V747" s="88"/>
      <c r="W747" s="88"/>
    </row>
    <row r="748" spans="2:23" s="0" customFormat="0" ht="15">
      <c r="B748" s="87" t="s">
        <v>1</v>
      </c>
      <c r="C748" s="88" t="s">
        <v>5259</v>
      </c>
      <c r="D748" s="88" t="s">
        <v>3692</v>
      </c>
      <c r="E748" s="88" t="s">
        <v>61</v>
      </c>
      <c r="F748" s="88">
        <v>0</v>
      </c>
      <c r="G748" s="78">
        <f>MAX(H748,I748,J748)</f>
        <v>0</v>
      </c>
      <c r="H748" s="88"/>
      <c r="I748" s="88"/>
      <c r="J748" s="78">
        <f>MAX(K748:Q748)</f>
        <v>0</v>
      </c>
      <c r="K748" s="88"/>
      <c r="L748" s="88"/>
      <c r="M748" s="88"/>
      <c r="N748" s="88"/>
      <c r="O748" s="88"/>
      <c r="P748" s="88"/>
      <c r="Q748" s="88"/>
      <c r="R748" s="78">
        <f>MAX(S748:W748)</f>
        <v>1</v>
      </c>
      <c r="S748" s="88"/>
      <c r="T748" s="88"/>
      <c r="U748" s="88">
        <v>1</v>
      </c>
      <c r="V748" s="88"/>
      <c r="W748" s="88"/>
    </row>
    <row r="749" spans="2:23" s="0" customFormat="0" ht="15">
      <c r="B749" s="87" t="s">
        <v>1</v>
      </c>
      <c r="C749" s="88" t="s">
        <v>5259</v>
      </c>
      <c r="D749" s="88">
        <v>7676900</v>
      </c>
      <c r="E749" s="88" t="s">
        <v>61</v>
      </c>
      <c r="F749" s="88">
        <v>0</v>
      </c>
      <c r="G749" s="78">
        <f>MAX(H749,I749,J749)</f>
        <v>1</v>
      </c>
      <c r="H749" s="88"/>
      <c r="I749" s="88"/>
      <c r="J749" s="78">
        <f>MAX(K749:Q749)</f>
        <v>1</v>
      </c>
      <c r="K749" s="88">
        <v>1</v>
      </c>
      <c r="L749" s="88"/>
      <c r="M749" s="88"/>
      <c r="N749" s="88"/>
      <c r="O749" s="88"/>
      <c r="P749" s="88"/>
      <c r="Q749" s="88"/>
      <c r="R749" s="78">
        <f>MAX(S749:W749)</f>
        <v>0</v>
      </c>
      <c r="S749" s="88"/>
      <c r="T749" s="88"/>
      <c r="U749" s="88"/>
      <c r="V749" s="88"/>
      <c r="W749" s="88"/>
    </row>
    <row r="750" spans="2:23" s="0" customFormat="0" ht="15">
      <c r="B750" s="87" t="s">
        <v>1</v>
      </c>
      <c r="C750" s="88" t="s">
        <v>5259</v>
      </c>
      <c r="D750" s="88">
        <v>15422375</v>
      </c>
      <c r="E750" s="88" t="s">
        <v>61</v>
      </c>
      <c r="F750" s="88">
        <v>0</v>
      </c>
      <c r="G750" s="78">
        <f>MAX(H750,I750,J750)</f>
        <v>1</v>
      </c>
      <c r="H750" s="88"/>
      <c r="I750" s="88"/>
      <c r="J750" s="78">
        <f>MAX(K750:Q750)</f>
        <v>1</v>
      </c>
      <c r="K750" s="88">
        <v>1</v>
      </c>
      <c r="L750" s="88"/>
      <c r="M750" s="88"/>
      <c r="N750" s="88"/>
      <c r="O750" s="88"/>
      <c r="P750" s="88"/>
      <c r="Q750" s="88"/>
      <c r="R750" s="78">
        <f>MAX(S750:W750)</f>
        <v>0</v>
      </c>
      <c r="S750" s="88"/>
      <c r="T750" s="88"/>
      <c r="U750" s="88"/>
      <c r="V750" s="88"/>
      <c r="W750" s="88"/>
    </row>
    <row r="751" spans="2:23" s="0" customFormat="0" ht="15">
      <c r="B751" s="87" t="s">
        <v>1</v>
      </c>
      <c r="C751" s="88" t="s">
        <v>5259</v>
      </c>
      <c r="D751" s="88" t="s">
        <v>3694</v>
      </c>
      <c r="E751" s="88" t="s">
        <v>61</v>
      </c>
      <c r="F751" s="88">
        <v>0</v>
      </c>
      <c r="G751" s="78">
        <f>MAX(H751,I751,J751)</f>
        <v>0</v>
      </c>
      <c r="H751" s="88"/>
      <c r="I751" s="88"/>
      <c r="J751" s="78">
        <f>MAX(K751:Q751)</f>
        <v>0</v>
      </c>
      <c r="K751" s="88"/>
      <c r="L751" s="88"/>
      <c r="M751" s="88"/>
      <c r="N751" s="88"/>
      <c r="O751" s="88"/>
      <c r="P751" s="88"/>
      <c r="Q751" s="88"/>
      <c r="R751" s="78">
        <f>MAX(S751:W751)</f>
        <v>1</v>
      </c>
      <c r="S751" s="88"/>
      <c r="T751" s="88"/>
      <c r="U751" s="88">
        <v>1</v>
      </c>
      <c r="V751" s="88"/>
      <c r="W751" s="88"/>
    </row>
    <row r="752" spans="2:23" s="0" customFormat="0" ht="15">
      <c r="B752" s="87" t="s">
        <v>1</v>
      </c>
      <c r="C752" s="88" t="s">
        <v>5259</v>
      </c>
      <c r="D752" s="88">
        <v>2145309</v>
      </c>
      <c r="E752" s="88" t="s">
        <v>61</v>
      </c>
      <c r="F752" s="88">
        <v>0</v>
      </c>
      <c r="G752" s="78">
        <f>MAX(H752,I752,J752)</f>
        <v>1</v>
      </c>
      <c r="H752" s="88"/>
      <c r="I752" s="88"/>
      <c r="J752" s="78">
        <f>MAX(K752:Q752)</f>
        <v>1</v>
      </c>
      <c r="K752" s="88">
        <v>1</v>
      </c>
      <c r="L752" s="88"/>
      <c r="M752" s="88"/>
      <c r="N752" s="88"/>
      <c r="O752" s="88"/>
      <c r="P752" s="88"/>
      <c r="Q752" s="88"/>
      <c r="R752" s="78">
        <f>MAX(S752:W752)</f>
        <v>0</v>
      </c>
      <c r="S752" s="88"/>
      <c r="T752" s="88"/>
      <c r="U752" s="88"/>
      <c r="V752" s="88"/>
      <c r="W752" s="88"/>
    </row>
    <row r="753" spans="2:23" s="0" customFormat="0" ht="15">
      <c r="B753" s="87" t="s">
        <v>1</v>
      </c>
      <c r="C753" s="88" t="s">
        <v>5259</v>
      </c>
      <c r="D753" s="88" t="s">
        <v>3696</v>
      </c>
      <c r="E753" s="88" t="s">
        <v>61</v>
      </c>
      <c r="F753" s="88">
        <v>0</v>
      </c>
      <c r="G753" s="78">
        <f>MAX(H753,I753,J753)</f>
        <v>0</v>
      </c>
      <c r="H753" s="88"/>
      <c r="I753" s="88"/>
      <c r="J753" s="78">
        <f>MAX(K753:Q753)</f>
        <v>0</v>
      </c>
      <c r="K753" s="88"/>
      <c r="L753" s="88"/>
      <c r="M753" s="88"/>
      <c r="N753" s="88"/>
      <c r="O753" s="88"/>
      <c r="P753" s="88"/>
      <c r="Q753" s="88"/>
      <c r="R753" s="78">
        <f>MAX(S753:W753)</f>
        <v>1</v>
      </c>
      <c r="S753" s="88"/>
      <c r="T753" s="88"/>
      <c r="U753" s="88">
        <v>1</v>
      </c>
      <c r="V753" s="88"/>
      <c r="W753" s="88"/>
    </row>
    <row r="754" spans="2:23" s="0" customFormat="0" ht="15">
      <c r="B754" s="87" t="s">
        <v>1</v>
      </c>
      <c r="C754" s="88" t="s">
        <v>5259</v>
      </c>
      <c r="D754" s="88" t="s">
        <v>3698</v>
      </c>
      <c r="E754" s="88" t="s">
        <v>61</v>
      </c>
      <c r="F754" s="88">
        <v>0</v>
      </c>
      <c r="G754" s="78">
        <f>MAX(H754,I754,J754)</f>
        <v>0</v>
      </c>
      <c r="H754" s="88"/>
      <c r="I754" s="88"/>
      <c r="J754" s="78">
        <f>MAX(K754:Q754)</f>
        <v>0</v>
      </c>
      <c r="K754" s="88"/>
      <c r="L754" s="88"/>
      <c r="M754" s="88"/>
      <c r="N754" s="88"/>
      <c r="O754" s="88"/>
      <c r="P754" s="88"/>
      <c r="Q754" s="88"/>
      <c r="R754" s="78">
        <f>MAX(S754:W754)</f>
        <v>1</v>
      </c>
      <c r="S754" s="88"/>
      <c r="T754" s="88"/>
      <c r="U754" s="88">
        <v>1</v>
      </c>
      <c r="V754" s="88"/>
      <c r="W754" s="88"/>
    </row>
    <row r="755" spans="2:23" s="0" customFormat="0" ht="15">
      <c r="B755" s="87" t="s">
        <v>1</v>
      </c>
      <c r="C755" s="88" t="s">
        <v>5259</v>
      </c>
      <c r="D755" s="88" t="s">
        <v>723</v>
      </c>
      <c r="E755" s="88" t="s">
        <v>61</v>
      </c>
      <c r="F755" s="88">
        <v>0</v>
      </c>
      <c r="G755" s="78">
        <f>MAX(H755,I755,J755)</f>
        <v>1</v>
      </c>
      <c r="H755" s="88"/>
      <c r="I755" s="88"/>
      <c r="J755" s="78">
        <f>MAX(K755:Q755)</f>
        <v>1</v>
      </c>
      <c r="K755" s="88">
        <v>1</v>
      </c>
      <c r="L755" s="88"/>
      <c r="M755" s="88"/>
      <c r="N755" s="88"/>
      <c r="O755" s="88"/>
      <c r="P755" s="88"/>
      <c r="Q755" s="88"/>
      <c r="R755" s="78">
        <f>MAX(S755:W755)</f>
        <v>0</v>
      </c>
      <c r="S755" s="88"/>
      <c r="T755" s="88"/>
      <c r="U755" s="88"/>
      <c r="V755" s="88"/>
      <c r="W755" s="88"/>
    </row>
    <row r="756" spans="2:23" s="0" customFormat="0" ht="15">
      <c r="B756" s="87" t="s">
        <v>1</v>
      </c>
      <c r="C756" s="88" t="s">
        <v>5259</v>
      </c>
      <c r="D756" s="88" t="s">
        <v>725</v>
      </c>
      <c r="E756" s="88" t="s">
        <v>61</v>
      </c>
      <c r="F756" s="88">
        <v>0</v>
      </c>
      <c r="G756" s="78">
        <f>MAX(H756,I756,J756)</f>
        <v>1</v>
      </c>
      <c r="H756" s="88"/>
      <c r="I756" s="88"/>
      <c r="J756" s="78">
        <f>MAX(K756:Q756)</f>
        <v>1</v>
      </c>
      <c r="K756" s="88">
        <v>1</v>
      </c>
      <c r="L756" s="88"/>
      <c r="M756" s="88"/>
      <c r="N756" s="88"/>
      <c r="O756" s="88"/>
      <c r="P756" s="88"/>
      <c r="Q756" s="88"/>
      <c r="R756" s="78">
        <f>MAX(S756:W756)</f>
        <v>0</v>
      </c>
      <c r="S756" s="88"/>
      <c r="T756" s="88"/>
      <c r="U756" s="88"/>
      <c r="V756" s="88"/>
      <c r="W756" s="88"/>
    </row>
    <row r="757" spans="2:23" s="0" customFormat="0" ht="15">
      <c r="B757" s="87" t="s">
        <v>1</v>
      </c>
      <c r="C757" s="88" t="s">
        <v>5259</v>
      </c>
      <c r="D757" s="88">
        <v>19579226</v>
      </c>
      <c r="E757" s="88" t="s">
        <v>61</v>
      </c>
      <c r="F757" s="88">
        <v>0</v>
      </c>
      <c r="G757" s="78">
        <f>MAX(H757,I757,J757)</f>
        <v>1</v>
      </c>
      <c r="H757" s="88"/>
      <c r="I757" s="88"/>
      <c r="J757" s="78">
        <f>MAX(K757:Q757)</f>
        <v>1</v>
      </c>
      <c r="K757" s="88">
        <v>1</v>
      </c>
      <c r="L757" s="88"/>
      <c r="M757" s="88"/>
      <c r="N757" s="88"/>
      <c r="O757" s="88"/>
      <c r="P757" s="88"/>
      <c r="Q757" s="88"/>
      <c r="R757" s="78">
        <f>MAX(S757:W757)</f>
        <v>0</v>
      </c>
      <c r="S757" s="88"/>
      <c r="T757" s="88"/>
      <c r="U757" s="88"/>
      <c r="V757" s="88"/>
      <c r="W757" s="88"/>
    </row>
    <row r="758" spans="2:23" s="0" customFormat="0" ht="15">
      <c r="B758" s="87" t="s">
        <v>1</v>
      </c>
      <c r="C758" s="88" t="s">
        <v>5259</v>
      </c>
      <c r="D758" s="88">
        <v>24247290</v>
      </c>
      <c r="E758" s="88" t="s">
        <v>61</v>
      </c>
      <c r="F758" s="88">
        <v>0</v>
      </c>
      <c r="G758" s="78">
        <f>MAX(H758,I758,J758)</f>
        <v>1</v>
      </c>
      <c r="H758" s="88"/>
      <c r="I758" s="88"/>
      <c r="J758" s="78">
        <f>MAX(K758:Q758)</f>
        <v>1</v>
      </c>
      <c r="K758" s="88">
        <v>1</v>
      </c>
      <c r="L758" s="88"/>
      <c r="M758" s="88"/>
      <c r="N758" s="88"/>
      <c r="O758" s="88"/>
      <c r="P758" s="88"/>
      <c r="Q758" s="88"/>
      <c r="R758" s="78">
        <f>MAX(S758:W758)</f>
        <v>0</v>
      </c>
      <c r="S758" s="88"/>
      <c r="T758" s="88"/>
      <c r="U758" s="88"/>
      <c r="V758" s="88"/>
      <c r="W758" s="88"/>
    </row>
    <row r="759" spans="2:23" s="0" customFormat="0" ht="15">
      <c r="B759" s="87" t="s">
        <v>1</v>
      </c>
      <c r="C759" s="88" t="s">
        <v>5259</v>
      </c>
      <c r="D759" s="88">
        <v>13662077</v>
      </c>
      <c r="E759" s="88" t="s">
        <v>61</v>
      </c>
      <c r="F759" s="88">
        <v>0</v>
      </c>
      <c r="G759" s="78">
        <f>MAX(H759,I759,J759)</f>
        <v>1</v>
      </c>
      <c r="H759" s="88"/>
      <c r="I759" s="88"/>
      <c r="J759" s="78">
        <f>MAX(K759:Q759)</f>
        <v>1</v>
      </c>
      <c r="K759" s="88">
        <v>1</v>
      </c>
      <c r="L759" s="88"/>
      <c r="M759" s="88"/>
      <c r="N759" s="88"/>
      <c r="O759" s="88"/>
      <c r="P759" s="88"/>
      <c r="Q759" s="88"/>
      <c r="R759" s="78">
        <f>MAX(S759:W759)</f>
        <v>0</v>
      </c>
      <c r="S759" s="88"/>
      <c r="T759" s="88"/>
      <c r="U759" s="88"/>
      <c r="V759" s="88"/>
      <c r="W759" s="88"/>
    </row>
    <row r="760" spans="2:23" s="0" customFormat="0" ht="15">
      <c r="B760" s="87" t="s">
        <v>1</v>
      </c>
      <c r="C760" s="88" t="s">
        <v>5259</v>
      </c>
      <c r="D760" s="88" t="s">
        <v>730</v>
      </c>
      <c r="E760" s="88" t="s">
        <v>61</v>
      </c>
      <c r="F760" s="88">
        <v>0</v>
      </c>
      <c r="G760" s="78">
        <f>MAX(H760,I760,J760)</f>
        <v>1</v>
      </c>
      <c r="H760" s="88"/>
      <c r="I760" s="88"/>
      <c r="J760" s="78">
        <f>MAX(K760:Q760)</f>
        <v>1</v>
      </c>
      <c r="K760" s="88">
        <v>1</v>
      </c>
      <c r="L760" s="88"/>
      <c r="M760" s="88"/>
      <c r="N760" s="88"/>
      <c r="O760" s="88"/>
      <c r="P760" s="88"/>
      <c r="Q760" s="88"/>
      <c r="R760" s="78">
        <f>MAX(S760:W760)</f>
        <v>0</v>
      </c>
      <c r="S760" s="88"/>
      <c r="T760" s="88"/>
      <c r="U760" s="88"/>
      <c r="V760" s="88"/>
      <c r="W760" s="88"/>
    </row>
    <row r="761" spans="2:23" s="0" customFormat="0" ht="15">
      <c r="B761" s="87" t="s">
        <v>1</v>
      </c>
      <c r="C761" s="88" t="s">
        <v>5259</v>
      </c>
      <c r="D761" s="88" t="s">
        <v>3700</v>
      </c>
      <c r="E761" s="88" t="s">
        <v>61</v>
      </c>
      <c r="F761" s="88">
        <v>0</v>
      </c>
      <c r="G761" s="78">
        <f>MAX(H761,I761,J761)</f>
        <v>0</v>
      </c>
      <c r="H761" s="88"/>
      <c r="I761" s="88"/>
      <c r="J761" s="78">
        <f>MAX(K761:Q761)</f>
        <v>0</v>
      </c>
      <c r="K761" s="88"/>
      <c r="L761" s="88"/>
      <c r="M761" s="88"/>
      <c r="N761" s="88"/>
      <c r="O761" s="88"/>
      <c r="P761" s="88"/>
      <c r="Q761" s="88"/>
      <c r="R761" s="78">
        <f>MAX(S761:W761)</f>
        <v>1</v>
      </c>
      <c r="S761" s="88"/>
      <c r="T761" s="88"/>
      <c r="U761" s="88">
        <v>1</v>
      </c>
      <c r="V761" s="88"/>
      <c r="W761" s="88"/>
    </row>
    <row r="762" spans="2:23" s="0" customFormat="0" ht="15">
      <c r="B762" s="87" t="s">
        <v>1</v>
      </c>
      <c r="C762" s="88" t="s">
        <v>5259</v>
      </c>
      <c r="D762" s="88" t="s">
        <v>3157</v>
      </c>
      <c r="E762" s="88" t="s">
        <v>61</v>
      </c>
      <c r="F762" s="88">
        <v>0</v>
      </c>
      <c r="G762" s="78">
        <f>MAX(H762,I762,J762)</f>
        <v>1</v>
      </c>
      <c r="H762" s="88"/>
      <c r="I762" s="88"/>
      <c r="J762" s="78">
        <f>MAX(K762:Q762)</f>
        <v>1</v>
      </c>
      <c r="K762" s="88"/>
      <c r="L762" s="88"/>
      <c r="M762" s="88"/>
      <c r="N762" s="88"/>
      <c r="O762" s="88">
        <v>1</v>
      </c>
      <c r="P762" s="88"/>
      <c r="Q762" s="88"/>
      <c r="R762" s="78">
        <f>MAX(S762:W762)</f>
        <v>0</v>
      </c>
      <c r="S762" s="88"/>
      <c r="T762" s="88"/>
      <c r="U762" s="88"/>
      <c r="V762" s="88"/>
      <c r="W762" s="88"/>
    </row>
    <row r="763" spans="2:23" s="0" customFormat="0" ht="15">
      <c r="B763" s="87" t="s">
        <v>1</v>
      </c>
      <c r="C763" s="88" t="s">
        <v>5259</v>
      </c>
      <c r="D763" s="88" t="s">
        <v>732</v>
      </c>
      <c r="E763" s="88" t="s">
        <v>61</v>
      </c>
      <c r="F763" s="88">
        <v>0</v>
      </c>
      <c r="G763" s="78">
        <f>MAX(H763,I763,J763)</f>
        <v>1</v>
      </c>
      <c r="H763" s="88"/>
      <c r="I763" s="88"/>
      <c r="J763" s="78">
        <f>MAX(K763:Q763)</f>
        <v>1</v>
      </c>
      <c r="K763" s="88">
        <v>1</v>
      </c>
      <c r="L763" s="88"/>
      <c r="M763" s="88"/>
      <c r="N763" s="88"/>
      <c r="O763" s="88"/>
      <c r="P763" s="88"/>
      <c r="Q763" s="88"/>
      <c r="R763" s="78">
        <f>MAX(S763:W763)</f>
        <v>0</v>
      </c>
      <c r="S763" s="88"/>
      <c r="T763" s="88"/>
      <c r="U763" s="88"/>
      <c r="V763" s="88"/>
      <c r="W763" s="88"/>
    </row>
    <row r="764" spans="2:23" s="0" customFormat="0" ht="15">
      <c r="B764" s="87" t="s">
        <v>1</v>
      </c>
      <c r="C764" s="88" t="s">
        <v>5259</v>
      </c>
      <c r="D764" s="88" t="s">
        <v>734</v>
      </c>
      <c r="E764" s="88" t="s">
        <v>61</v>
      </c>
      <c r="F764" s="88">
        <v>0</v>
      </c>
      <c r="G764" s="78">
        <f>MAX(H764,I764,J764)</f>
        <v>1</v>
      </c>
      <c r="H764" s="88"/>
      <c r="I764" s="88"/>
      <c r="J764" s="78">
        <f>MAX(K764:Q764)</f>
        <v>1</v>
      </c>
      <c r="K764" s="88">
        <v>1</v>
      </c>
      <c r="L764" s="88"/>
      <c r="M764" s="88"/>
      <c r="N764" s="88"/>
      <c r="O764" s="88"/>
      <c r="P764" s="88"/>
      <c r="Q764" s="88"/>
      <c r="R764" s="78">
        <f>MAX(S764:W764)</f>
        <v>0</v>
      </c>
      <c r="S764" s="88"/>
      <c r="T764" s="88"/>
      <c r="U764" s="88"/>
      <c r="V764" s="88"/>
      <c r="W764" s="88"/>
    </row>
    <row r="765" spans="2:23" s="0" customFormat="0" ht="15">
      <c r="B765" s="87" t="s">
        <v>1</v>
      </c>
      <c r="C765" s="88" t="s">
        <v>5259</v>
      </c>
      <c r="D765" s="88">
        <v>22927469</v>
      </c>
      <c r="E765" s="88" t="s">
        <v>61</v>
      </c>
      <c r="F765" s="88">
        <v>0</v>
      </c>
      <c r="G765" s="78">
        <f>MAX(H765,I765,J765)</f>
        <v>1</v>
      </c>
      <c r="H765" s="88"/>
      <c r="I765" s="88"/>
      <c r="J765" s="78">
        <f>MAX(K765:Q765)</f>
        <v>1</v>
      </c>
      <c r="K765" s="88">
        <v>1</v>
      </c>
      <c r="L765" s="88"/>
      <c r="M765" s="88"/>
      <c r="N765" s="88"/>
      <c r="O765" s="88"/>
      <c r="P765" s="88"/>
      <c r="Q765" s="88"/>
      <c r="R765" s="78">
        <f>MAX(S765:W765)</f>
        <v>0</v>
      </c>
      <c r="S765" s="88"/>
      <c r="T765" s="88"/>
      <c r="U765" s="88"/>
      <c r="V765" s="88"/>
      <c r="W765" s="88"/>
    </row>
    <row r="766" spans="2:23" s="0" customFormat="0" ht="15">
      <c r="B766" s="87" t="s">
        <v>1</v>
      </c>
      <c r="C766" s="88" t="s">
        <v>5259</v>
      </c>
      <c r="D766" s="88">
        <v>12014225</v>
      </c>
      <c r="E766" s="88" t="s">
        <v>61</v>
      </c>
      <c r="F766" s="88">
        <v>0</v>
      </c>
      <c r="G766" s="78">
        <f>MAX(H766,I766,J766)</f>
        <v>1</v>
      </c>
      <c r="H766" s="88"/>
      <c r="I766" s="88"/>
      <c r="J766" s="78">
        <f>MAX(K766:Q766)</f>
        <v>1</v>
      </c>
      <c r="K766" s="88">
        <v>1</v>
      </c>
      <c r="L766" s="88"/>
      <c r="M766" s="88"/>
      <c r="N766" s="88"/>
      <c r="O766" s="88"/>
      <c r="P766" s="88"/>
      <c r="Q766" s="88"/>
      <c r="R766" s="78">
        <f>MAX(S766:W766)</f>
        <v>0</v>
      </c>
      <c r="S766" s="88"/>
      <c r="T766" s="88"/>
      <c r="U766" s="88"/>
      <c r="V766" s="88"/>
      <c r="W766" s="88"/>
    </row>
    <row r="767" spans="2:23" s="0" customFormat="0" ht="15">
      <c r="B767" s="87" t="s">
        <v>1</v>
      </c>
      <c r="C767" s="88" t="s">
        <v>5259</v>
      </c>
      <c r="D767" s="88" t="s">
        <v>3702</v>
      </c>
      <c r="E767" s="88" t="s">
        <v>61</v>
      </c>
      <c r="F767" s="88">
        <v>0</v>
      </c>
      <c r="G767" s="78">
        <f>MAX(H767,I767,J767)</f>
        <v>0</v>
      </c>
      <c r="H767" s="88"/>
      <c r="I767" s="88"/>
      <c r="J767" s="78">
        <f>MAX(K767:Q767)</f>
        <v>0</v>
      </c>
      <c r="K767" s="88"/>
      <c r="L767" s="88"/>
      <c r="M767" s="88"/>
      <c r="N767" s="88"/>
      <c r="O767" s="88"/>
      <c r="P767" s="88"/>
      <c r="Q767" s="88"/>
      <c r="R767" s="78">
        <f>MAX(S767:W767)</f>
        <v>1</v>
      </c>
      <c r="S767" s="88"/>
      <c r="T767" s="88"/>
      <c r="U767" s="88">
        <v>1</v>
      </c>
      <c r="V767" s="88"/>
      <c r="W767" s="88"/>
    </row>
    <row r="768" spans="2:23" s="0" customFormat="0" ht="15">
      <c r="B768" s="87" t="s">
        <v>1</v>
      </c>
      <c r="C768" s="88" t="s">
        <v>5259</v>
      </c>
      <c r="D768" s="88" t="s">
        <v>3179</v>
      </c>
      <c r="E768" s="88" t="s">
        <v>61</v>
      </c>
      <c r="F768" s="88">
        <v>0</v>
      </c>
      <c r="G768" s="78">
        <f>MAX(H768,I768,J768)</f>
        <v>1</v>
      </c>
      <c r="H768" s="88"/>
      <c r="I768" s="88"/>
      <c r="J768" s="78">
        <f>MAX(K768:Q768)</f>
        <v>1</v>
      </c>
      <c r="K768" s="88"/>
      <c r="L768" s="88"/>
      <c r="M768" s="88"/>
      <c r="N768" s="88"/>
      <c r="O768" s="88"/>
      <c r="P768" s="88">
        <v>1</v>
      </c>
      <c r="Q768" s="88"/>
      <c r="R768" s="78">
        <f>MAX(S768:W768)</f>
        <v>0</v>
      </c>
      <c r="S768" s="88"/>
      <c r="T768" s="88"/>
      <c r="U768" s="88"/>
      <c r="V768" s="88"/>
      <c r="W768" s="88"/>
    </row>
    <row r="769" spans="2:23" s="0" customFormat="0" ht="15">
      <c r="B769" s="87" t="s">
        <v>1</v>
      </c>
      <c r="C769" s="88" t="s">
        <v>5259</v>
      </c>
      <c r="D769" s="88" t="s">
        <v>738</v>
      </c>
      <c r="E769" s="88" t="s">
        <v>61</v>
      </c>
      <c r="F769" s="88">
        <v>0</v>
      </c>
      <c r="G769" s="78">
        <f>MAX(H769,I769,J769)</f>
        <v>1</v>
      </c>
      <c r="H769" s="88"/>
      <c r="I769" s="88"/>
      <c r="J769" s="78">
        <f>MAX(K769:Q769)</f>
        <v>1</v>
      </c>
      <c r="K769" s="88">
        <v>1</v>
      </c>
      <c r="L769" s="88"/>
      <c r="M769" s="88"/>
      <c r="N769" s="88"/>
      <c r="O769" s="88"/>
      <c r="P769" s="88"/>
      <c r="Q769" s="88"/>
      <c r="R769" s="78">
        <f>MAX(S769:W769)</f>
        <v>0</v>
      </c>
      <c r="S769" s="88"/>
      <c r="T769" s="88"/>
      <c r="U769" s="88"/>
      <c r="V769" s="88"/>
      <c r="W769" s="88"/>
    </row>
    <row r="770" spans="2:23" s="0" customFormat="0" ht="15">
      <c r="B770" s="87" t="s">
        <v>1</v>
      </c>
      <c r="C770" s="88" t="s">
        <v>5259</v>
      </c>
      <c r="D770" s="88">
        <v>2986441</v>
      </c>
      <c r="E770" s="88" t="s">
        <v>61</v>
      </c>
      <c r="F770" s="88">
        <v>0</v>
      </c>
      <c r="G770" s="78">
        <f>MAX(H770,I770,J770)</f>
        <v>0</v>
      </c>
      <c r="H770" s="88"/>
      <c r="I770" s="88"/>
      <c r="J770" s="78">
        <f>MAX(K770:Q770)</f>
        <v>0</v>
      </c>
      <c r="K770" s="88"/>
      <c r="L770" s="88"/>
      <c r="M770" s="88"/>
      <c r="N770" s="88"/>
      <c r="O770" s="88"/>
      <c r="P770" s="88"/>
      <c r="Q770" s="88"/>
      <c r="R770" s="78">
        <f>MAX(S770:W770)</f>
        <v>1</v>
      </c>
      <c r="S770" s="88"/>
      <c r="T770" s="88"/>
      <c r="U770" s="88">
        <v>1</v>
      </c>
      <c r="V770" s="88"/>
      <c r="W770" s="88"/>
    </row>
    <row r="771" spans="2:23" s="0" customFormat="0" ht="15">
      <c r="B771" s="87" t="s">
        <v>1</v>
      </c>
      <c r="C771" s="88" t="s">
        <v>5259</v>
      </c>
      <c r="D771" s="88">
        <v>4355169</v>
      </c>
      <c r="E771" s="88" t="s">
        <v>61</v>
      </c>
      <c r="F771" s="88">
        <v>0</v>
      </c>
      <c r="G771" s="78">
        <f>MAX(H771,I771,J771)</f>
        <v>1</v>
      </c>
      <c r="H771" s="88"/>
      <c r="I771" s="88"/>
      <c r="J771" s="78">
        <f>MAX(K771:Q771)</f>
        <v>1</v>
      </c>
      <c r="K771" s="88">
        <v>1</v>
      </c>
      <c r="L771" s="88"/>
      <c r="M771" s="88"/>
      <c r="N771" s="88"/>
      <c r="O771" s="88"/>
      <c r="P771" s="88"/>
      <c r="Q771" s="88"/>
      <c r="R771" s="78">
        <f>MAX(S771:W771)</f>
        <v>0</v>
      </c>
      <c r="S771" s="88"/>
      <c r="T771" s="88"/>
      <c r="U771" s="88"/>
      <c r="V771" s="88"/>
      <c r="W771" s="88"/>
    </row>
    <row r="772" spans="2:23" s="0" customFormat="0" ht="15">
      <c r="B772" s="87" t="s">
        <v>1</v>
      </c>
      <c r="C772" s="88" t="s">
        <v>5259</v>
      </c>
      <c r="D772" s="88">
        <v>18009033</v>
      </c>
      <c r="E772" s="88" t="s">
        <v>61</v>
      </c>
      <c r="F772" s="88">
        <v>0</v>
      </c>
      <c r="G772" s="78">
        <f>MAX(H772,I772,J772)</f>
        <v>1</v>
      </c>
      <c r="H772" s="88"/>
      <c r="I772" s="88"/>
      <c r="J772" s="78">
        <f>MAX(K772:Q772)</f>
        <v>1</v>
      </c>
      <c r="K772" s="88">
        <v>1</v>
      </c>
      <c r="L772" s="88"/>
      <c r="M772" s="88"/>
      <c r="N772" s="88"/>
      <c r="O772" s="88"/>
      <c r="P772" s="88"/>
      <c r="Q772" s="88"/>
      <c r="R772" s="78">
        <f>MAX(S772:W772)</f>
        <v>0</v>
      </c>
      <c r="S772" s="88"/>
      <c r="T772" s="88"/>
      <c r="U772" s="88"/>
      <c r="V772" s="88"/>
      <c r="W772" s="88"/>
    </row>
    <row r="773" spans="2:23" s="0" customFormat="0" ht="15">
      <c r="B773" s="87" t="s">
        <v>1</v>
      </c>
      <c r="C773" s="88" t="s">
        <v>5259</v>
      </c>
      <c r="D773" s="88">
        <v>23145105</v>
      </c>
      <c r="E773" s="88" t="s">
        <v>61</v>
      </c>
      <c r="F773" s="88">
        <v>0</v>
      </c>
      <c r="G773" s="78">
        <f>MAX(H773,I773,J773)</f>
        <v>1</v>
      </c>
      <c r="H773" s="88"/>
      <c r="I773" s="88"/>
      <c r="J773" s="78">
        <f>MAX(K773:Q773)</f>
        <v>1</v>
      </c>
      <c r="K773" s="88">
        <v>1</v>
      </c>
      <c r="L773" s="88"/>
      <c r="M773" s="88"/>
      <c r="N773" s="88"/>
      <c r="O773" s="88"/>
      <c r="P773" s="88"/>
      <c r="Q773" s="88"/>
      <c r="R773" s="78">
        <f>MAX(S773:W773)</f>
        <v>0</v>
      </c>
      <c r="S773" s="88"/>
      <c r="T773" s="88"/>
      <c r="U773" s="88"/>
      <c r="V773" s="88"/>
      <c r="W773" s="88"/>
    </row>
    <row r="774" spans="2:23" s="0" customFormat="0" ht="15">
      <c r="B774" s="87" t="s">
        <v>1</v>
      </c>
      <c r="C774" s="88" t="s">
        <v>5259</v>
      </c>
      <c r="D774" s="88">
        <v>23245610</v>
      </c>
      <c r="E774" s="88" t="s">
        <v>61</v>
      </c>
      <c r="F774" s="88">
        <v>0</v>
      </c>
      <c r="G774" s="78">
        <f>MAX(H774,I774,J774)</f>
        <v>1</v>
      </c>
      <c r="H774" s="88"/>
      <c r="I774" s="88"/>
      <c r="J774" s="78">
        <f>MAX(K774:Q774)</f>
        <v>1</v>
      </c>
      <c r="K774" s="88">
        <v>1</v>
      </c>
      <c r="L774" s="88"/>
      <c r="M774" s="88"/>
      <c r="N774" s="88"/>
      <c r="O774" s="88"/>
      <c r="P774" s="88"/>
      <c r="Q774" s="88"/>
      <c r="R774" s="78">
        <f>MAX(S774:W774)</f>
        <v>0</v>
      </c>
      <c r="S774" s="88"/>
      <c r="T774" s="88"/>
      <c r="U774" s="88"/>
      <c r="V774" s="88"/>
      <c r="W774" s="88"/>
    </row>
    <row r="775" spans="2:23" s="0" customFormat="0" ht="15">
      <c r="B775" s="87" t="s">
        <v>1</v>
      </c>
      <c r="C775" s="88" t="s">
        <v>5259</v>
      </c>
      <c r="D775" s="88">
        <v>23353978</v>
      </c>
      <c r="E775" s="88" t="s">
        <v>61</v>
      </c>
      <c r="F775" s="88">
        <v>0</v>
      </c>
      <c r="G775" s="78">
        <f>MAX(H775,I775,J775)</f>
        <v>1</v>
      </c>
      <c r="H775" s="88"/>
      <c r="I775" s="88"/>
      <c r="J775" s="78">
        <f>MAX(K775:Q775)</f>
        <v>1</v>
      </c>
      <c r="K775" s="88">
        <v>1</v>
      </c>
      <c r="L775" s="88"/>
      <c r="M775" s="88"/>
      <c r="N775" s="88"/>
      <c r="O775" s="88"/>
      <c r="P775" s="88"/>
      <c r="Q775" s="88"/>
      <c r="R775" s="78">
        <f>MAX(S775:W775)</f>
        <v>0</v>
      </c>
      <c r="S775" s="88"/>
      <c r="T775" s="88"/>
      <c r="U775" s="88"/>
      <c r="V775" s="88"/>
      <c r="W775" s="88"/>
    </row>
    <row r="776" spans="2:23" s="0" customFormat="0" ht="15">
      <c r="B776" s="87" t="s">
        <v>1</v>
      </c>
      <c r="C776" s="88" t="s">
        <v>5259</v>
      </c>
      <c r="D776" s="88">
        <v>22681321</v>
      </c>
      <c r="E776" s="88" t="s">
        <v>61</v>
      </c>
      <c r="F776" s="88">
        <v>0</v>
      </c>
      <c r="G776" s="78">
        <f>MAX(H776,I776,J776)</f>
        <v>1</v>
      </c>
      <c r="H776" s="88"/>
      <c r="I776" s="88"/>
      <c r="J776" s="78">
        <f>MAX(K776:Q776)</f>
        <v>1</v>
      </c>
      <c r="K776" s="88">
        <v>1</v>
      </c>
      <c r="L776" s="88"/>
      <c r="M776" s="88"/>
      <c r="N776" s="88"/>
      <c r="O776" s="88"/>
      <c r="P776" s="88"/>
      <c r="Q776" s="88"/>
      <c r="R776" s="78">
        <f>MAX(S776:W776)</f>
        <v>0</v>
      </c>
      <c r="S776" s="88"/>
      <c r="T776" s="88"/>
      <c r="U776" s="88"/>
      <c r="V776" s="88"/>
      <c r="W776" s="88"/>
    </row>
    <row r="777" spans="2:23" s="0" customFormat="0" ht="15">
      <c r="B777" s="87" t="s">
        <v>1</v>
      </c>
      <c r="C777" s="88" t="s">
        <v>5259</v>
      </c>
      <c r="D777" s="88" t="s">
        <v>376</v>
      </c>
      <c r="E777" s="88" t="s">
        <v>61</v>
      </c>
      <c r="F777" s="88">
        <v>0</v>
      </c>
      <c r="G777" s="78">
        <f>MAX(H777,I777,J777)</f>
        <v>1</v>
      </c>
      <c r="H777" s="88"/>
      <c r="I777" s="88"/>
      <c r="J777" s="78">
        <f>MAX(K777:Q777)</f>
        <v>1</v>
      </c>
      <c r="K777" s="88">
        <v>1</v>
      </c>
      <c r="L777" s="88"/>
      <c r="M777" s="88"/>
      <c r="N777" s="88"/>
      <c r="O777" s="88"/>
      <c r="P777" s="88"/>
      <c r="Q777" s="88"/>
      <c r="R777" s="78">
        <f>MAX(S777:W777)</f>
        <v>0</v>
      </c>
      <c r="S777" s="88"/>
      <c r="T777" s="88"/>
      <c r="U777" s="88"/>
      <c r="V777" s="88"/>
      <c r="W777" s="88"/>
    </row>
    <row r="778" spans="2:23" s="0" customFormat="0" ht="15">
      <c r="B778" s="87" t="s">
        <v>1</v>
      </c>
      <c r="C778" s="88" t="s">
        <v>5259</v>
      </c>
      <c r="D778" s="88" t="s">
        <v>3705</v>
      </c>
      <c r="E778" s="88" t="s">
        <v>61</v>
      </c>
      <c r="F778" s="88">
        <v>0</v>
      </c>
      <c r="G778" s="78">
        <f>MAX(H778,I778,J778)</f>
        <v>0</v>
      </c>
      <c r="H778" s="88"/>
      <c r="I778" s="88"/>
      <c r="J778" s="78">
        <f>MAX(K778:Q778)</f>
        <v>0</v>
      </c>
      <c r="K778" s="88"/>
      <c r="L778" s="88"/>
      <c r="M778" s="88"/>
      <c r="N778" s="88"/>
      <c r="O778" s="88"/>
      <c r="P778" s="88"/>
      <c r="Q778" s="88"/>
      <c r="R778" s="78">
        <f>MAX(S778:W778)</f>
        <v>1</v>
      </c>
      <c r="S778" s="88"/>
      <c r="T778" s="88"/>
      <c r="U778" s="88">
        <v>1</v>
      </c>
      <c r="V778" s="88"/>
      <c r="W778" s="88"/>
    </row>
    <row r="779" spans="2:23" s="0" customFormat="0" ht="15">
      <c r="B779" s="87" t="s">
        <v>1</v>
      </c>
      <c r="C779" s="88" t="s">
        <v>5259</v>
      </c>
      <c r="D779" s="88">
        <v>14725002</v>
      </c>
      <c r="E779" s="88" t="s">
        <v>61</v>
      </c>
      <c r="F779" s="88">
        <v>0</v>
      </c>
      <c r="G779" s="78">
        <f>MAX(H779,I779,J779)</f>
        <v>1</v>
      </c>
      <c r="H779" s="88"/>
      <c r="I779" s="88"/>
      <c r="J779" s="78">
        <f>MAX(K779:Q779)</f>
        <v>1</v>
      </c>
      <c r="K779" s="88">
        <v>1</v>
      </c>
      <c r="L779" s="88"/>
      <c r="M779" s="88"/>
      <c r="N779" s="88"/>
      <c r="O779" s="88"/>
      <c r="P779" s="88"/>
      <c r="Q779" s="88"/>
      <c r="R779" s="78">
        <f>MAX(S779:W779)</f>
        <v>0</v>
      </c>
      <c r="S779" s="88"/>
      <c r="T779" s="88"/>
      <c r="U779" s="88"/>
      <c r="V779" s="88"/>
      <c r="W779" s="88"/>
    </row>
    <row r="780" spans="2:23" s="0" customFormat="0" ht="15">
      <c r="B780" s="87" t="s">
        <v>1</v>
      </c>
      <c r="C780" s="88" t="s">
        <v>5259</v>
      </c>
      <c r="D780" s="88" t="s">
        <v>3209</v>
      </c>
      <c r="E780" s="88" t="s">
        <v>61</v>
      </c>
      <c r="F780" s="88">
        <v>0</v>
      </c>
      <c r="G780" s="78">
        <f>MAX(H780,I780,J780)</f>
        <v>0</v>
      </c>
      <c r="H780" s="88"/>
      <c r="I780" s="88"/>
      <c r="J780" s="78">
        <f>MAX(K780:Q780)</f>
        <v>0</v>
      </c>
      <c r="K780" s="88"/>
      <c r="L780" s="88"/>
      <c r="M780" s="88"/>
      <c r="N780" s="88"/>
      <c r="O780" s="88"/>
      <c r="P780" s="88"/>
      <c r="Q780" s="88"/>
      <c r="R780" s="78">
        <f>MAX(S780:W780)</f>
        <v>1</v>
      </c>
      <c r="S780" s="88"/>
      <c r="T780" s="88"/>
      <c r="U780" s="88"/>
      <c r="V780" s="88">
        <v>1</v>
      </c>
      <c r="W780" s="88"/>
    </row>
    <row r="781" spans="2:23" s="0" customFormat="0" ht="15">
      <c r="B781" s="87" t="s">
        <v>1</v>
      </c>
      <c r="C781" s="88" t="s">
        <v>5259</v>
      </c>
      <c r="D781" s="88" t="s">
        <v>3707</v>
      </c>
      <c r="E781" s="88" t="s">
        <v>61</v>
      </c>
      <c r="F781" s="88">
        <v>0</v>
      </c>
      <c r="G781" s="78">
        <f>MAX(H781,I781,J781)</f>
        <v>0</v>
      </c>
      <c r="H781" s="88"/>
      <c r="I781" s="88"/>
      <c r="J781" s="78">
        <f>MAX(K781:Q781)</f>
        <v>0</v>
      </c>
      <c r="K781" s="88"/>
      <c r="L781" s="88"/>
      <c r="M781" s="88"/>
      <c r="N781" s="88"/>
      <c r="O781" s="88"/>
      <c r="P781" s="88"/>
      <c r="Q781" s="88"/>
      <c r="R781" s="78">
        <f>MAX(S781:W781)</f>
        <v>1</v>
      </c>
      <c r="S781" s="88"/>
      <c r="T781" s="88"/>
      <c r="U781" s="88">
        <v>1</v>
      </c>
      <c r="V781" s="88"/>
      <c r="W781" s="88"/>
    </row>
    <row r="782" spans="2:23" s="0" customFormat="0" ht="15">
      <c r="B782" s="87" t="s">
        <v>1</v>
      </c>
      <c r="C782" s="88" t="s">
        <v>5259</v>
      </c>
      <c r="D782" s="88">
        <v>13726603</v>
      </c>
      <c r="E782" s="88" t="s">
        <v>61</v>
      </c>
      <c r="F782" s="88">
        <v>0</v>
      </c>
      <c r="G782" s="78">
        <f>MAX(H782,I782,J782)</f>
        <v>1</v>
      </c>
      <c r="H782" s="88"/>
      <c r="I782" s="88"/>
      <c r="J782" s="78">
        <f>MAX(K782:Q782)</f>
        <v>1</v>
      </c>
      <c r="K782" s="88">
        <v>1</v>
      </c>
      <c r="L782" s="88"/>
      <c r="M782" s="88"/>
      <c r="N782" s="88"/>
      <c r="O782" s="88"/>
      <c r="P782" s="88"/>
      <c r="Q782" s="88"/>
      <c r="R782" s="78">
        <f>MAX(S782:W782)</f>
        <v>0</v>
      </c>
      <c r="S782" s="88"/>
      <c r="T782" s="88"/>
      <c r="U782" s="88"/>
      <c r="V782" s="88"/>
      <c r="W782" s="88"/>
    </row>
    <row r="783" spans="2:23" s="0" customFormat="0" ht="15">
      <c r="B783" s="87" t="s">
        <v>1</v>
      </c>
      <c r="C783" s="88" t="s">
        <v>5259</v>
      </c>
      <c r="D783" s="88">
        <v>17251676</v>
      </c>
      <c r="E783" s="88" t="s">
        <v>61</v>
      </c>
      <c r="F783" s="88">
        <v>0</v>
      </c>
      <c r="G783" s="78">
        <f>MAX(H783,I783,J783)</f>
        <v>1</v>
      </c>
      <c r="H783" s="88"/>
      <c r="I783" s="88"/>
      <c r="J783" s="78">
        <f>MAX(K783:Q783)</f>
        <v>1</v>
      </c>
      <c r="K783" s="88">
        <v>1</v>
      </c>
      <c r="L783" s="88"/>
      <c r="M783" s="88"/>
      <c r="N783" s="88"/>
      <c r="O783" s="88"/>
      <c r="P783" s="88"/>
      <c r="Q783" s="88"/>
      <c r="R783" s="78">
        <f>MAX(S783:W783)</f>
        <v>0</v>
      </c>
      <c r="S783" s="88"/>
      <c r="T783" s="88"/>
      <c r="U783" s="88"/>
      <c r="V783" s="88"/>
      <c r="W783" s="88"/>
    </row>
    <row r="784" spans="2:23" s="0" customFormat="0" ht="15">
      <c r="B784" s="87" t="s">
        <v>1</v>
      </c>
      <c r="C784" s="88" t="s">
        <v>5259</v>
      </c>
      <c r="D784" s="88" t="s">
        <v>3709</v>
      </c>
      <c r="E784" s="88" t="s">
        <v>61</v>
      </c>
      <c r="F784" s="88">
        <v>0</v>
      </c>
      <c r="G784" s="78">
        <f>MAX(H784,I784,J784)</f>
        <v>0</v>
      </c>
      <c r="H784" s="88"/>
      <c r="I784" s="88"/>
      <c r="J784" s="78">
        <f>MAX(K784:Q784)</f>
        <v>0</v>
      </c>
      <c r="K784" s="88"/>
      <c r="L784" s="88"/>
      <c r="M784" s="88"/>
      <c r="N784" s="88"/>
      <c r="O784" s="88"/>
      <c r="P784" s="88"/>
      <c r="Q784" s="88"/>
      <c r="R784" s="78">
        <f>MAX(S784:W784)</f>
        <v>1</v>
      </c>
      <c r="S784" s="88"/>
      <c r="T784" s="88"/>
      <c r="U784" s="88">
        <v>1</v>
      </c>
      <c r="V784" s="88"/>
      <c r="W784" s="88"/>
    </row>
    <row r="785" spans="2:23" s="0" customFormat="0" ht="15">
      <c r="B785" s="87" t="s">
        <v>1</v>
      </c>
      <c r="C785" s="88" t="s">
        <v>5259</v>
      </c>
      <c r="D785" s="88">
        <v>7823379</v>
      </c>
      <c r="E785" s="88" t="s">
        <v>61</v>
      </c>
      <c r="F785" s="88">
        <v>0</v>
      </c>
      <c r="G785" s="78">
        <f>MAX(H785,I785,J785)</f>
        <v>1</v>
      </c>
      <c r="H785" s="88"/>
      <c r="I785" s="88"/>
      <c r="J785" s="78">
        <f>MAX(K785:Q785)</f>
        <v>1</v>
      </c>
      <c r="K785" s="88">
        <v>1</v>
      </c>
      <c r="L785" s="88"/>
      <c r="M785" s="88"/>
      <c r="N785" s="88"/>
      <c r="O785" s="88"/>
      <c r="P785" s="88"/>
      <c r="Q785" s="88"/>
      <c r="R785" s="78">
        <f>MAX(S785:W785)</f>
        <v>0</v>
      </c>
      <c r="S785" s="88"/>
      <c r="T785" s="88"/>
      <c r="U785" s="88"/>
      <c r="V785" s="88"/>
      <c r="W785" s="88"/>
    </row>
    <row r="786" spans="2:23" s="0" customFormat="0" ht="15">
      <c r="B786" s="87" t="s">
        <v>1</v>
      </c>
      <c r="C786" s="88" t="s">
        <v>5259</v>
      </c>
      <c r="D786" s="88">
        <v>14165699</v>
      </c>
      <c r="E786" s="88" t="s">
        <v>61</v>
      </c>
      <c r="F786" s="88">
        <v>0</v>
      </c>
      <c r="G786" s="78">
        <f>MAX(H786,I786,J786)</f>
        <v>1</v>
      </c>
      <c r="H786" s="88"/>
      <c r="I786" s="88"/>
      <c r="J786" s="78">
        <f>MAX(K786:Q786)</f>
        <v>1</v>
      </c>
      <c r="K786" s="88">
        <v>1</v>
      </c>
      <c r="L786" s="88"/>
      <c r="M786" s="88"/>
      <c r="N786" s="88"/>
      <c r="O786" s="88"/>
      <c r="P786" s="88"/>
      <c r="Q786" s="88"/>
      <c r="R786" s="78">
        <f>MAX(S786:W786)</f>
        <v>0</v>
      </c>
      <c r="S786" s="88"/>
      <c r="T786" s="88"/>
      <c r="U786" s="88"/>
      <c r="V786" s="88"/>
      <c r="W786" s="88"/>
    </row>
    <row r="787" spans="2:23" s="0" customFormat="0" ht="15">
      <c r="B787" s="87" t="s">
        <v>1</v>
      </c>
      <c r="C787" s="88" t="s">
        <v>5259</v>
      </c>
      <c r="D787" s="88" t="s">
        <v>3211</v>
      </c>
      <c r="E787" s="88" t="s">
        <v>61</v>
      </c>
      <c r="F787" s="88">
        <v>0</v>
      </c>
      <c r="G787" s="78">
        <f>MAX(H787,I787,J787)</f>
        <v>0</v>
      </c>
      <c r="H787" s="88"/>
      <c r="I787" s="88"/>
      <c r="J787" s="78">
        <f>MAX(K787:Q787)</f>
        <v>0</v>
      </c>
      <c r="K787" s="88"/>
      <c r="L787" s="88"/>
      <c r="M787" s="88"/>
      <c r="N787" s="88"/>
      <c r="O787" s="88"/>
      <c r="P787" s="88"/>
      <c r="Q787" s="88"/>
      <c r="R787" s="78">
        <f>MAX(S787:W787)</f>
        <v>1</v>
      </c>
      <c r="S787" s="88"/>
      <c r="T787" s="88"/>
      <c r="U787" s="88"/>
      <c r="V787" s="88">
        <v>1</v>
      </c>
      <c r="W787" s="88"/>
    </row>
    <row r="788" spans="2:23" s="0" customFormat="0" ht="15">
      <c r="B788" s="87" t="s">
        <v>1</v>
      </c>
      <c r="C788" s="88" t="s">
        <v>5259</v>
      </c>
      <c r="D788" s="88">
        <v>4530720</v>
      </c>
      <c r="E788" s="88" t="s">
        <v>61</v>
      </c>
      <c r="F788" s="88">
        <v>0</v>
      </c>
      <c r="G788" s="78">
        <f>MAX(H788,I788,J788)</f>
        <v>0</v>
      </c>
      <c r="H788" s="88"/>
      <c r="I788" s="88"/>
      <c r="J788" s="78">
        <f>MAX(K788:Q788)</f>
        <v>0</v>
      </c>
      <c r="K788" s="88"/>
      <c r="L788" s="88"/>
      <c r="M788" s="88"/>
      <c r="N788" s="88"/>
      <c r="O788" s="88"/>
      <c r="P788" s="88"/>
      <c r="Q788" s="88"/>
      <c r="R788" s="78">
        <f>MAX(S788:W788)</f>
        <v>1</v>
      </c>
      <c r="S788" s="88"/>
      <c r="T788" s="88"/>
      <c r="U788" s="88">
        <v>1</v>
      </c>
      <c r="V788" s="88"/>
      <c r="W788" s="88"/>
    </row>
    <row r="789" spans="2:23" s="0" customFormat="0" ht="15">
      <c r="B789" s="87" t="s">
        <v>1</v>
      </c>
      <c r="C789" s="88" t="s">
        <v>5259</v>
      </c>
      <c r="D789" s="88">
        <v>22623701</v>
      </c>
      <c r="E789" s="88" t="s">
        <v>61</v>
      </c>
      <c r="F789" s="88">
        <v>0</v>
      </c>
      <c r="G789" s="78">
        <f>MAX(H789,I789,J789)</f>
        <v>0</v>
      </c>
      <c r="H789" s="88"/>
      <c r="I789" s="88"/>
      <c r="J789" s="78">
        <f>MAX(K789:Q789)</f>
        <v>0</v>
      </c>
      <c r="K789" s="88"/>
      <c r="L789" s="88"/>
      <c r="M789" s="88"/>
      <c r="N789" s="88"/>
      <c r="O789" s="88"/>
      <c r="P789" s="88"/>
      <c r="Q789" s="88"/>
      <c r="R789" s="78">
        <f>MAX(S789:W789)</f>
        <v>1</v>
      </c>
      <c r="S789" s="88"/>
      <c r="T789" s="88"/>
      <c r="U789" s="88">
        <v>1</v>
      </c>
      <c r="V789" s="88"/>
      <c r="W789" s="88"/>
    </row>
    <row r="790" spans="2:23" s="0" customFormat="0" ht="15">
      <c r="B790" s="87" t="s">
        <v>1</v>
      </c>
      <c r="C790" s="88" t="s">
        <v>5259</v>
      </c>
      <c r="D790" s="88" t="s">
        <v>730</v>
      </c>
      <c r="E790" s="88" t="s">
        <v>61</v>
      </c>
      <c r="F790" s="88">
        <v>0</v>
      </c>
      <c r="G790" s="78">
        <f>MAX(H790,I790,J790)</f>
        <v>1</v>
      </c>
      <c r="H790" s="88"/>
      <c r="I790" s="88"/>
      <c r="J790" s="78">
        <f>MAX(K790:Q790)</f>
        <v>1</v>
      </c>
      <c r="K790" s="88">
        <v>1</v>
      </c>
      <c r="L790" s="88"/>
      <c r="M790" s="88"/>
      <c r="N790" s="88"/>
      <c r="O790" s="88"/>
      <c r="P790" s="88"/>
      <c r="Q790" s="88"/>
      <c r="R790" s="78">
        <f>MAX(S790:W790)</f>
        <v>0</v>
      </c>
      <c r="S790" s="88"/>
      <c r="T790" s="88"/>
      <c r="U790" s="88"/>
      <c r="V790" s="88"/>
      <c r="W790" s="88"/>
    </row>
    <row r="791" spans="2:23" s="0" customFormat="0" ht="15">
      <c r="B791" s="87" t="s">
        <v>1</v>
      </c>
      <c r="C791" s="88" t="s">
        <v>5259</v>
      </c>
      <c r="D791" s="88" t="s">
        <v>3713</v>
      </c>
      <c r="E791" s="88" t="s">
        <v>61</v>
      </c>
      <c r="F791" s="88">
        <v>0</v>
      </c>
      <c r="G791" s="78">
        <f>MAX(H791,I791,J791)</f>
        <v>0</v>
      </c>
      <c r="H791" s="88"/>
      <c r="I791" s="88"/>
      <c r="J791" s="78">
        <f>MAX(K791:Q791)</f>
        <v>0</v>
      </c>
      <c r="K791" s="88"/>
      <c r="L791" s="88"/>
      <c r="M791" s="88"/>
      <c r="N791" s="88"/>
      <c r="O791" s="88"/>
      <c r="P791" s="88"/>
      <c r="Q791" s="88"/>
      <c r="R791" s="78">
        <f>MAX(S791:W791)</f>
        <v>1</v>
      </c>
      <c r="S791" s="88"/>
      <c r="T791" s="88"/>
      <c r="U791" s="88">
        <v>1</v>
      </c>
      <c r="V791" s="88"/>
      <c r="W791" s="88"/>
    </row>
    <row r="792" spans="2:23" s="0" customFormat="0" ht="15">
      <c r="B792" s="87" t="s">
        <v>1</v>
      </c>
      <c r="C792" s="88" t="s">
        <v>5259</v>
      </c>
      <c r="D792" s="88" t="s">
        <v>3715</v>
      </c>
      <c r="E792" s="88" t="s">
        <v>61</v>
      </c>
      <c r="F792" s="88">
        <v>0</v>
      </c>
      <c r="G792" s="78">
        <f>MAX(H792,I792,J792)</f>
        <v>0</v>
      </c>
      <c r="H792" s="88"/>
      <c r="I792" s="88"/>
      <c r="J792" s="78">
        <f>MAX(K792:Q792)</f>
        <v>0</v>
      </c>
      <c r="K792" s="88"/>
      <c r="L792" s="88"/>
      <c r="M792" s="88"/>
      <c r="N792" s="88"/>
      <c r="O792" s="88"/>
      <c r="P792" s="88"/>
      <c r="Q792" s="88"/>
      <c r="R792" s="78">
        <f>MAX(S792:W792)</f>
        <v>1</v>
      </c>
      <c r="S792" s="88"/>
      <c r="T792" s="88"/>
      <c r="U792" s="88">
        <v>1</v>
      </c>
      <c r="V792" s="88"/>
      <c r="W792" s="88"/>
    </row>
    <row r="793" spans="2:23" s="0" customFormat="0" ht="15">
      <c r="B793" s="87" t="s">
        <v>1</v>
      </c>
      <c r="C793" s="88" t="s">
        <v>5259</v>
      </c>
      <c r="D793" s="88" t="s">
        <v>3717</v>
      </c>
      <c r="E793" s="88" t="s">
        <v>61</v>
      </c>
      <c r="F793" s="88">
        <v>0</v>
      </c>
      <c r="G793" s="78">
        <f>MAX(H793,I793,J793)</f>
        <v>0</v>
      </c>
      <c r="H793" s="88"/>
      <c r="I793" s="88"/>
      <c r="J793" s="78">
        <f>MAX(K793:Q793)</f>
        <v>0</v>
      </c>
      <c r="K793" s="88"/>
      <c r="L793" s="88"/>
      <c r="M793" s="88"/>
      <c r="N793" s="88"/>
      <c r="O793" s="88"/>
      <c r="P793" s="88"/>
      <c r="Q793" s="88"/>
      <c r="R793" s="78">
        <f>MAX(S793:W793)</f>
        <v>1</v>
      </c>
      <c r="S793" s="88"/>
      <c r="T793" s="88"/>
      <c r="U793" s="88">
        <v>1</v>
      </c>
      <c r="V793" s="88"/>
      <c r="W793" s="88"/>
    </row>
    <row r="794" spans="2:23" s="0" customFormat="0" ht="15">
      <c r="B794" s="87" t="s">
        <v>1</v>
      </c>
      <c r="C794" s="88" t="s">
        <v>5259</v>
      </c>
      <c r="D794" s="88">
        <v>14902956</v>
      </c>
      <c r="E794" s="88" t="s">
        <v>61</v>
      </c>
      <c r="F794" s="88">
        <v>0</v>
      </c>
      <c r="G794" s="78">
        <f>MAX(H794,I794,J794)</f>
        <v>0</v>
      </c>
      <c r="H794" s="88"/>
      <c r="I794" s="88"/>
      <c r="J794" s="78">
        <f>MAX(K794:Q794)</f>
        <v>0</v>
      </c>
      <c r="K794" s="88"/>
      <c r="L794" s="88"/>
      <c r="M794" s="88"/>
      <c r="N794" s="88"/>
      <c r="O794" s="88"/>
      <c r="P794" s="88"/>
      <c r="Q794" s="88"/>
      <c r="R794" s="78">
        <f>MAX(S794:W794)</f>
        <v>1</v>
      </c>
      <c r="S794" s="88"/>
      <c r="T794" s="88"/>
      <c r="U794" s="88">
        <v>1</v>
      </c>
      <c r="V794" s="88"/>
      <c r="W794" s="88"/>
    </row>
    <row r="795" spans="2:23" s="0" customFormat="0" ht="15">
      <c r="B795" s="87" t="s">
        <v>1</v>
      </c>
      <c r="C795" s="88" t="s">
        <v>5259</v>
      </c>
      <c r="D795" s="88" t="s">
        <v>3509</v>
      </c>
      <c r="E795" s="88" t="s">
        <v>61</v>
      </c>
      <c r="F795" s="88">
        <v>0</v>
      </c>
      <c r="G795" s="78">
        <f>MAX(H795,I795,J795)</f>
        <v>0</v>
      </c>
      <c r="H795" s="88"/>
      <c r="I795" s="88"/>
      <c r="J795" s="78">
        <f>MAX(K795:Q795)</f>
        <v>0</v>
      </c>
      <c r="K795" s="88"/>
      <c r="L795" s="88"/>
      <c r="M795" s="88"/>
      <c r="N795" s="88"/>
      <c r="O795" s="88"/>
      <c r="P795" s="88"/>
      <c r="Q795" s="88"/>
      <c r="R795" s="78">
        <f>MAX(S795:W795)</f>
        <v>1</v>
      </c>
      <c r="S795" s="88"/>
      <c r="T795" s="88"/>
      <c r="U795" s="88">
        <v>1</v>
      </c>
      <c r="V795" s="88"/>
      <c r="W795" s="88"/>
    </row>
    <row r="796" spans="2:23" s="0" customFormat="0" ht="15">
      <c r="B796" s="87" t="s">
        <v>1</v>
      </c>
      <c r="C796" s="88" t="s">
        <v>5259</v>
      </c>
      <c r="D796" s="88">
        <v>12295258</v>
      </c>
      <c r="E796" s="88" t="s">
        <v>61</v>
      </c>
      <c r="F796" s="88">
        <v>0</v>
      </c>
      <c r="G796" s="78">
        <f>MAX(H796,I796,J796)</f>
        <v>1</v>
      </c>
      <c r="H796" s="88"/>
      <c r="I796" s="88"/>
      <c r="J796" s="78">
        <f>MAX(K796:Q796)</f>
        <v>1</v>
      </c>
      <c r="K796" s="88">
        <v>1</v>
      </c>
      <c r="L796" s="88"/>
      <c r="M796" s="88"/>
      <c r="N796" s="88"/>
      <c r="O796" s="88"/>
      <c r="P796" s="88"/>
      <c r="Q796" s="88"/>
      <c r="R796" s="78">
        <f>MAX(S796:W796)</f>
        <v>0</v>
      </c>
      <c r="S796" s="88"/>
      <c r="T796" s="88"/>
      <c r="U796" s="88"/>
      <c r="V796" s="88"/>
      <c r="W796" s="88"/>
    </row>
    <row r="797" spans="2:23" s="0" customFormat="0" ht="15">
      <c r="B797" s="87" t="s">
        <v>1</v>
      </c>
      <c r="C797" s="88" t="s">
        <v>5259</v>
      </c>
      <c r="D797" s="88" t="s">
        <v>3492</v>
      </c>
      <c r="E797" s="88" t="s">
        <v>61</v>
      </c>
      <c r="F797" s="88">
        <v>0</v>
      </c>
      <c r="G797" s="78">
        <f>MAX(H797,I797,J797)</f>
        <v>0</v>
      </c>
      <c r="H797" s="88"/>
      <c r="I797" s="88"/>
      <c r="J797" s="78">
        <f>MAX(K797:Q797)</f>
        <v>0</v>
      </c>
      <c r="K797" s="88"/>
      <c r="L797" s="88"/>
      <c r="M797" s="88"/>
      <c r="N797" s="88"/>
      <c r="O797" s="88"/>
      <c r="P797" s="88"/>
      <c r="Q797" s="88"/>
      <c r="R797" s="78">
        <f>MAX(S797:W797)</f>
        <v>1</v>
      </c>
      <c r="S797" s="88"/>
      <c r="T797" s="88"/>
      <c r="U797" s="88">
        <v>1</v>
      </c>
      <c r="V797" s="88"/>
      <c r="W797" s="88"/>
    </row>
    <row r="798" spans="2:23" s="0" customFormat="0" ht="15">
      <c r="B798" s="87" t="s">
        <v>1</v>
      </c>
      <c r="C798" s="88" t="s">
        <v>5259</v>
      </c>
      <c r="D798" s="88">
        <v>12641067</v>
      </c>
      <c r="E798" s="88" t="s">
        <v>61</v>
      </c>
      <c r="F798" s="88">
        <v>0</v>
      </c>
      <c r="G798" s="78">
        <f>MAX(H798,I798,J798)</f>
        <v>1</v>
      </c>
      <c r="H798" s="88"/>
      <c r="I798" s="88"/>
      <c r="J798" s="78">
        <f>MAX(K798:Q798)</f>
        <v>1</v>
      </c>
      <c r="K798" s="88">
        <v>1</v>
      </c>
      <c r="L798" s="88"/>
      <c r="M798" s="88"/>
      <c r="N798" s="88"/>
      <c r="O798" s="88"/>
      <c r="P798" s="88"/>
      <c r="Q798" s="88"/>
      <c r="R798" s="78">
        <f>MAX(S798:W798)</f>
        <v>0</v>
      </c>
      <c r="S798" s="88"/>
      <c r="T798" s="88"/>
      <c r="U798" s="88"/>
      <c r="V798" s="88"/>
      <c r="W798" s="88"/>
    </row>
    <row r="799" spans="2:23" s="0" customFormat="0" ht="15">
      <c r="B799" s="87" t="s">
        <v>1</v>
      </c>
      <c r="C799" s="88" t="s">
        <v>5259</v>
      </c>
      <c r="D799" s="88" t="s">
        <v>752</v>
      </c>
      <c r="E799" s="88" t="s">
        <v>61</v>
      </c>
      <c r="F799" s="88">
        <v>0</v>
      </c>
      <c r="G799" s="78">
        <f>MAX(H799,I799,J799)</f>
        <v>1</v>
      </c>
      <c r="H799" s="88"/>
      <c r="I799" s="88"/>
      <c r="J799" s="78">
        <f>MAX(K799:Q799)</f>
        <v>1</v>
      </c>
      <c r="K799" s="88">
        <v>1</v>
      </c>
      <c r="L799" s="88"/>
      <c r="M799" s="88"/>
      <c r="N799" s="88"/>
      <c r="O799" s="88"/>
      <c r="P799" s="88"/>
      <c r="Q799" s="88"/>
      <c r="R799" s="78">
        <f>MAX(S799:W799)</f>
        <v>0</v>
      </c>
      <c r="S799" s="88"/>
      <c r="T799" s="88"/>
      <c r="U799" s="88"/>
      <c r="V799" s="88"/>
      <c r="W799" s="88"/>
    </row>
    <row r="800" spans="2:23" s="0" customFormat="0" ht="15">
      <c r="B800" s="87" t="s">
        <v>1</v>
      </c>
      <c r="C800" s="88" t="s">
        <v>5259</v>
      </c>
      <c r="D800" s="88" t="s">
        <v>3720</v>
      </c>
      <c r="E800" s="88" t="s">
        <v>61</v>
      </c>
      <c r="F800" s="88">
        <v>0</v>
      </c>
      <c r="G800" s="78">
        <f>MAX(H800,I800,J800)</f>
        <v>0</v>
      </c>
      <c r="H800" s="88"/>
      <c r="I800" s="88"/>
      <c r="J800" s="78">
        <f>MAX(K800:Q800)</f>
        <v>0</v>
      </c>
      <c r="K800" s="88"/>
      <c r="L800" s="88"/>
      <c r="M800" s="88"/>
      <c r="N800" s="88"/>
      <c r="O800" s="88"/>
      <c r="P800" s="88"/>
      <c r="Q800" s="88"/>
      <c r="R800" s="78">
        <f>MAX(S800:W800)</f>
        <v>1</v>
      </c>
      <c r="S800" s="88"/>
      <c r="T800" s="88"/>
      <c r="U800" s="88">
        <v>1</v>
      </c>
      <c r="V800" s="88"/>
      <c r="W800" s="88"/>
    </row>
    <row r="801" spans="2:23" s="0" customFormat="0" ht="15">
      <c r="B801" s="87" t="s">
        <v>1</v>
      </c>
      <c r="C801" s="88" t="s">
        <v>5259</v>
      </c>
      <c r="D801" s="88">
        <v>14504618</v>
      </c>
      <c r="E801" s="88" t="s">
        <v>61</v>
      </c>
      <c r="F801" s="88">
        <v>0</v>
      </c>
      <c r="G801" s="78">
        <f>MAX(H801,I801,J801)</f>
        <v>0</v>
      </c>
      <c r="H801" s="88"/>
      <c r="I801" s="88"/>
      <c r="J801" s="78">
        <f>MAX(K801:Q801)</f>
        <v>0</v>
      </c>
      <c r="K801" s="88"/>
      <c r="L801" s="88"/>
      <c r="M801" s="88"/>
      <c r="N801" s="88"/>
      <c r="O801" s="88"/>
      <c r="P801" s="88"/>
      <c r="Q801" s="88"/>
      <c r="R801" s="78">
        <f>MAX(S801:W801)</f>
        <v>1</v>
      </c>
      <c r="S801" s="88"/>
      <c r="T801" s="88"/>
      <c r="U801" s="88">
        <v>1</v>
      </c>
      <c r="V801" s="88"/>
      <c r="W801" s="88"/>
    </row>
    <row r="802" spans="2:23" s="0" customFormat="0" ht="15">
      <c r="B802" s="87" t="s">
        <v>1</v>
      </c>
      <c r="C802" s="88" t="s">
        <v>5259</v>
      </c>
      <c r="D802" s="88">
        <v>2807487</v>
      </c>
      <c r="E802" s="88" t="s">
        <v>61</v>
      </c>
      <c r="F802" s="88">
        <v>0</v>
      </c>
      <c r="G802" s="78">
        <f>MAX(H802,I802,J802)</f>
        <v>1</v>
      </c>
      <c r="H802" s="88"/>
      <c r="I802" s="88"/>
      <c r="J802" s="78">
        <f>MAX(K802:Q802)</f>
        <v>1</v>
      </c>
      <c r="K802" s="88">
        <v>1</v>
      </c>
      <c r="L802" s="88"/>
      <c r="M802" s="88"/>
      <c r="N802" s="88"/>
      <c r="O802" s="88"/>
      <c r="P802" s="88"/>
      <c r="Q802" s="88"/>
      <c r="R802" s="78">
        <f>MAX(S802:W802)</f>
        <v>0</v>
      </c>
      <c r="S802" s="88"/>
      <c r="T802" s="88"/>
      <c r="U802" s="88"/>
      <c r="V802" s="88"/>
      <c r="W802" s="88"/>
    </row>
    <row r="803" spans="2:23" s="0" customFormat="0" ht="15">
      <c r="B803" s="87" t="s">
        <v>1</v>
      </c>
      <c r="C803" s="88" t="s">
        <v>5259</v>
      </c>
      <c r="D803" s="88" t="s">
        <v>755</v>
      </c>
      <c r="E803" s="88" t="s">
        <v>61</v>
      </c>
      <c r="F803" s="88">
        <v>0</v>
      </c>
      <c r="G803" s="78">
        <f>MAX(H803,I803,J803)</f>
        <v>1</v>
      </c>
      <c r="H803" s="88"/>
      <c r="I803" s="88"/>
      <c r="J803" s="78">
        <f>MAX(K803:Q803)</f>
        <v>1</v>
      </c>
      <c r="K803" s="88">
        <v>1</v>
      </c>
      <c r="L803" s="88"/>
      <c r="M803" s="88"/>
      <c r="N803" s="88"/>
      <c r="O803" s="88"/>
      <c r="P803" s="88"/>
      <c r="Q803" s="88"/>
      <c r="R803" s="78">
        <f>MAX(S803:W803)</f>
        <v>0</v>
      </c>
      <c r="S803" s="88"/>
      <c r="T803" s="88"/>
      <c r="U803" s="88"/>
      <c r="V803" s="88"/>
      <c r="W803" s="88"/>
    </row>
    <row r="804" spans="2:23" s="0" customFormat="0" ht="15">
      <c r="B804" s="87" t="s">
        <v>1</v>
      </c>
      <c r="C804" s="88" t="s">
        <v>5259</v>
      </c>
      <c r="D804" s="88">
        <v>14542527</v>
      </c>
      <c r="E804" s="88" t="s">
        <v>61</v>
      </c>
      <c r="F804" s="88">
        <v>0</v>
      </c>
      <c r="G804" s="78">
        <f>MAX(H804,I804,J804)</f>
        <v>1</v>
      </c>
      <c r="H804" s="88"/>
      <c r="I804" s="88"/>
      <c r="J804" s="78">
        <f>MAX(K804:Q804)</f>
        <v>1</v>
      </c>
      <c r="K804" s="88">
        <v>1</v>
      </c>
      <c r="L804" s="88"/>
      <c r="M804" s="88"/>
      <c r="N804" s="88"/>
      <c r="O804" s="88"/>
      <c r="P804" s="88"/>
      <c r="Q804" s="88"/>
      <c r="R804" s="78">
        <f>MAX(S804:W804)</f>
        <v>0</v>
      </c>
      <c r="S804" s="88"/>
      <c r="T804" s="88"/>
      <c r="U804" s="88"/>
      <c r="V804" s="88"/>
      <c r="W804" s="88"/>
    </row>
    <row r="805" spans="2:23" s="0" customFormat="0" ht="15">
      <c r="B805" s="87" t="s">
        <v>1</v>
      </c>
      <c r="C805" s="88" t="s">
        <v>5259</v>
      </c>
      <c r="D805" s="88">
        <v>22444251</v>
      </c>
      <c r="E805" s="88" t="s">
        <v>61</v>
      </c>
      <c r="F805" s="88">
        <v>0</v>
      </c>
      <c r="G805" s="78">
        <f>MAX(H805,I805,J805)</f>
        <v>1</v>
      </c>
      <c r="H805" s="88"/>
      <c r="I805" s="88"/>
      <c r="J805" s="78">
        <f>MAX(K805:Q805)</f>
        <v>1</v>
      </c>
      <c r="K805" s="88">
        <v>1</v>
      </c>
      <c r="L805" s="88"/>
      <c r="M805" s="88"/>
      <c r="N805" s="88"/>
      <c r="O805" s="88"/>
      <c r="P805" s="88"/>
      <c r="Q805" s="88"/>
      <c r="R805" s="78">
        <f>MAX(S805:W805)</f>
        <v>0</v>
      </c>
      <c r="S805" s="88"/>
      <c r="T805" s="88"/>
      <c r="U805" s="88"/>
      <c r="V805" s="88"/>
      <c r="W805" s="88"/>
    </row>
    <row r="806" spans="2:23" s="0" customFormat="0" ht="15">
      <c r="B806" s="87" t="s">
        <v>1</v>
      </c>
      <c r="C806" s="88" t="s">
        <v>5259</v>
      </c>
      <c r="D806" s="88">
        <v>19646587</v>
      </c>
      <c r="E806" s="88" t="s">
        <v>61</v>
      </c>
      <c r="F806" s="88">
        <v>0</v>
      </c>
      <c r="G806" s="78">
        <f>MAX(H806,I806,J806)</f>
        <v>1</v>
      </c>
      <c r="H806" s="88"/>
      <c r="I806" s="88"/>
      <c r="J806" s="78">
        <f>MAX(K806:Q806)</f>
        <v>1</v>
      </c>
      <c r="K806" s="88">
        <v>1</v>
      </c>
      <c r="L806" s="88"/>
      <c r="M806" s="88"/>
      <c r="N806" s="88"/>
      <c r="O806" s="88"/>
      <c r="P806" s="88"/>
      <c r="Q806" s="88"/>
      <c r="R806" s="78">
        <f>MAX(S806:W806)</f>
        <v>0</v>
      </c>
      <c r="S806" s="88"/>
      <c r="T806" s="88"/>
      <c r="U806" s="88"/>
      <c r="V806" s="88"/>
      <c r="W806" s="88"/>
    </row>
    <row r="807" spans="2:23" s="0" customFormat="0" ht="15">
      <c r="B807" s="87" t="s">
        <v>1</v>
      </c>
      <c r="C807" s="88" t="s">
        <v>5259</v>
      </c>
      <c r="D807" s="88">
        <v>14121289</v>
      </c>
      <c r="E807" s="88" t="s">
        <v>61</v>
      </c>
      <c r="F807" s="88">
        <v>0</v>
      </c>
      <c r="G807" s="78">
        <f>MAX(H807,I807,J807)</f>
        <v>1</v>
      </c>
      <c r="H807" s="88"/>
      <c r="I807" s="88"/>
      <c r="J807" s="78">
        <f>MAX(K807:Q807)</f>
        <v>1</v>
      </c>
      <c r="K807" s="88"/>
      <c r="L807" s="88"/>
      <c r="M807" s="88"/>
      <c r="N807" s="88"/>
      <c r="O807" s="88">
        <v>1</v>
      </c>
      <c r="P807" s="88"/>
      <c r="Q807" s="88"/>
      <c r="R807" s="78">
        <f>MAX(S807:W807)</f>
        <v>0</v>
      </c>
      <c r="S807" s="88"/>
      <c r="T807" s="88"/>
      <c r="U807" s="88"/>
      <c r="V807" s="88"/>
      <c r="W807" s="88"/>
    </row>
    <row r="808" spans="2:23" s="0" customFormat="0" ht="15">
      <c r="B808" s="87" t="s">
        <v>1</v>
      </c>
      <c r="C808" s="88" t="s">
        <v>5259</v>
      </c>
      <c r="D808" s="88" t="s">
        <v>3723</v>
      </c>
      <c r="E808" s="88" t="s">
        <v>61</v>
      </c>
      <c r="F808" s="88">
        <v>0</v>
      </c>
      <c r="G808" s="78">
        <f>MAX(H808,I808,J808)</f>
        <v>0</v>
      </c>
      <c r="H808" s="88"/>
      <c r="I808" s="88"/>
      <c r="J808" s="78">
        <f>MAX(K808:Q808)</f>
        <v>0</v>
      </c>
      <c r="K808" s="88"/>
      <c r="L808" s="88"/>
      <c r="M808" s="88"/>
      <c r="N808" s="88"/>
      <c r="O808" s="88"/>
      <c r="P808" s="88"/>
      <c r="Q808" s="88"/>
      <c r="R808" s="78">
        <f>MAX(S808:W808)</f>
        <v>1</v>
      </c>
      <c r="S808" s="88"/>
      <c r="T808" s="88"/>
      <c r="U808" s="88">
        <v>1</v>
      </c>
      <c r="V808" s="88"/>
      <c r="W808" s="88"/>
    </row>
    <row r="809" spans="2:23" s="0" customFormat="0" ht="15">
      <c r="B809" s="87" t="s">
        <v>1</v>
      </c>
      <c r="C809" s="88" t="s">
        <v>5259</v>
      </c>
      <c r="D809" s="88">
        <v>20869206</v>
      </c>
      <c r="E809" s="88" t="s">
        <v>61</v>
      </c>
      <c r="F809" s="88">
        <v>0</v>
      </c>
      <c r="G809" s="78">
        <f>MAX(H809,I809,J809)</f>
        <v>1</v>
      </c>
      <c r="H809" s="88"/>
      <c r="I809" s="88"/>
      <c r="J809" s="78">
        <f>MAX(K809:Q809)</f>
        <v>1</v>
      </c>
      <c r="K809" s="88">
        <v>1</v>
      </c>
      <c r="L809" s="88"/>
      <c r="M809" s="88"/>
      <c r="N809" s="88"/>
      <c r="O809" s="88"/>
      <c r="P809" s="88"/>
      <c r="Q809" s="88"/>
      <c r="R809" s="78">
        <f>MAX(S809:W809)</f>
        <v>0</v>
      </c>
      <c r="S809" s="88"/>
      <c r="T809" s="88"/>
      <c r="U809" s="88"/>
      <c r="V809" s="88"/>
      <c r="W809" s="88"/>
    </row>
    <row r="810" spans="2:23" s="0" customFormat="0" ht="15">
      <c r="B810" s="87" t="s">
        <v>1</v>
      </c>
      <c r="C810" s="88" t="s">
        <v>5259</v>
      </c>
      <c r="D810" s="88">
        <v>16974680</v>
      </c>
      <c r="E810" s="88" t="s">
        <v>61</v>
      </c>
      <c r="F810" s="88">
        <v>0</v>
      </c>
      <c r="G810" s="78">
        <f>MAX(H810,I810,J810)</f>
        <v>0</v>
      </c>
      <c r="H810" s="88"/>
      <c r="I810" s="88"/>
      <c r="J810" s="78">
        <f>MAX(K810:Q810)</f>
        <v>0</v>
      </c>
      <c r="K810" s="88"/>
      <c r="L810" s="88"/>
      <c r="M810" s="88"/>
      <c r="N810" s="88"/>
      <c r="O810" s="88"/>
      <c r="P810" s="88"/>
      <c r="Q810" s="88"/>
      <c r="R810" s="78">
        <f>MAX(S810:W810)</f>
        <v>1</v>
      </c>
      <c r="S810" s="88"/>
      <c r="T810" s="88"/>
      <c r="U810" s="88">
        <v>1</v>
      </c>
      <c r="V810" s="88"/>
      <c r="W810" s="88"/>
    </row>
    <row r="811" spans="2:23" s="0" customFormat="0" ht="15">
      <c r="B811" s="87" t="s">
        <v>1</v>
      </c>
      <c r="C811" s="88" t="s">
        <v>5259</v>
      </c>
      <c r="D811" s="88" t="s">
        <v>3726</v>
      </c>
      <c r="E811" s="88" t="s">
        <v>61</v>
      </c>
      <c r="F811" s="88">
        <v>0</v>
      </c>
      <c r="G811" s="78">
        <f>MAX(H811,I811,J811)</f>
        <v>0</v>
      </c>
      <c r="H811" s="88"/>
      <c r="I811" s="88"/>
      <c r="J811" s="78">
        <f>MAX(K811:Q811)</f>
        <v>0</v>
      </c>
      <c r="K811" s="88"/>
      <c r="L811" s="88"/>
      <c r="M811" s="88"/>
      <c r="N811" s="88"/>
      <c r="O811" s="88"/>
      <c r="P811" s="88"/>
      <c r="Q811" s="88"/>
      <c r="R811" s="78">
        <f>MAX(S811:W811)</f>
        <v>1</v>
      </c>
      <c r="S811" s="88"/>
      <c r="T811" s="88"/>
      <c r="U811" s="88">
        <v>1</v>
      </c>
      <c r="V811" s="88"/>
      <c r="W811" s="88"/>
    </row>
    <row r="812" spans="2:23" s="0" customFormat="0" ht="15">
      <c r="B812" s="87" t="s">
        <v>1</v>
      </c>
      <c r="C812" s="88" t="s">
        <v>5259</v>
      </c>
      <c r="D812" s="88">
        <v>21874281</v>
      </c>
      <c r="E812" s="88" t="s">
        <v>61</v>
      </c>
      <c r="F812" s="88">
        <v>0</v>
      </c>
      <c r="G812" s="78">
        <f>MAX(H812,I812,J812)</f>
        <v>1</v>
      </c>
      <c r="H812" s="88"/>
      <c r="I812" s="88"/>
      <c r="J812" s="78">
        <f>MAX(K812:Q812)</f>
        <v>1</v>
      </c>
      <c r="K812" s="88">
        <v>1</v>
      </c>
      <c r="L812" s="88"/>
      <c r="M812" s="88"/>
      <c r="N812" s="88"/>
      <c r="O812" s="88"/>
      <c r="P812" s="88"/>
      <c r="Q812" s="88"/>
      <c r="R812" s="78">
        <f>MAX(S812:W812)</f>
        <v>0</v>
      </c>
      <c r="S812" s="88"/>
      <c r="T812" s="88"/>
      <c r="U812" s="88"/>
      <c r="V812" s="88"/>
      <c r="W812" s="88"/>
    </row>
    <row r="813" spans="2:23" s="0" customFormat="0" ht="15">
      <c r="B813" s="87" t="s">
        <v>1</v>
      </c>
      <c r="C813" s="88" t="s">
        <v>5259</v>
      </c>
      <c r="D813" s="88" t="s">
        <v>761</v>
      </c>
      <c r="E813" s="88" t="s">
        <v>61</v>
      </c>
      <c r="F813" s="88">
        <v>0</v>
      </c>
      <c r="G813" s="78">
        <f>MAX(H813,I813,J813)</f>
        <v>1</v>
      </c>
      <c r="H813" s="88"/>
      <c r="I813" s="88"/>
      <c r="J813" s="78">
        <f>MAX(K813:Q813)</f>
        <v>1</v>
      </c>
      <c r="K813" s="88">
        <v>1</v>
      </c>
      <c r="L813" s="88"/>
      <c r="M813" s="88"/>
      <c r="N813" s="88"/>
      <c r="O813" s="88"/>
      <c r="P813" s="88"/>
      <c r="Q813" s="88"/>
      <c r="R813" s="78">
        <f>MAX(S813:W813)</f>
        <v>0</v>
      </c>
      <c r="S813" s="88"/>
      <c r="T813" s="88"/>
      <c r="U813" s="88"/>
      <c r="V813" s="88"/>
      <c r="W813" s="88"/>
    </row>
    <row r="814" spans="2:23" s="0" customFormat="0" ht="15">
      <c r="B814" s="87" t="s">
        <v>1</v>
      </c>
      <c r="C814" s="88" t="s">
        <v>5259</v>
      </c>
      <c r="D814" s="88">
        <v>23954151</v>
      </c>
      <c r="E814" s="88" t="s">
        <v>61</v>
      </c>
      <c r="F814" s="88">
        <v>0</v>
      </c>
      <c r="G814" s="78">
        <f>MAX(H814,I814,J814)</f>
        <v>0</v>
      </c>
      <c r="H814" s="88"/>
      <c r="I814" s="88"/>
      <c r="J814" s="78">
        <f>MAX(K814:Q814)</f>
        <v>0</v>
      </c>
      <c r="K814" s="88"/>
      <c r="L814" s="88"/>
      <c r="M814" s="88"/>
      <c r="N814" s="88"/>
      <c r="O814" s="88"/>
      <c r="P814" s="88"/>
      <c r="Q814" s="88"/>
      <c r="R814" s="78">
        <f>MAX(S814:W814)</f>
        <v>1</v>
      </c>
      <c r="S814" s="88"/>
      <c r="T814" s="88"/>
      <c r="U814" s="88">
        <v>1</v>
      </c>
      <c r="V814" s="88"/>
      <c r="W814" s="88"/>
    </row>
    <row r="815" spans="2:23" s="0" customFormat="0" ht="15">
      <c r="B815" s="87" t="s">
        <v>1</v>
      </c>
      <c r="C815" s="88" t="s">
        <v>5259</v>
      </c>
      <c r="D815" s="88">
        <v>1993216</v>
      </c>
      <c r="E815" s="88" t="s">
        <v>61</v>
      </c>
      <c r="F815" s="88">
        <v>0</v>
      </c>
      <c r="G815" s="78">
        <f>MAX(H815,I815,J815)</f>
        <v>1</v>
      </c>
      <c r="H815" s="88"/>
      <c r="I815" s="88"/>
      <c r="J815" s="78">
        <f>MAX(K815:Q815)</f>
        <v>1</v>
      </c>
      <c r="K815" s="88">
        <v>1</v>
      </c>
      <c r="L815" s="88"/>
      <c r="M815" s="88"/>
      <c r="N815" s="88"/>
      <c r="O815" s="88"/>
      <c r="P815" s="88"/>
      <c r="Q815" s="88"/>
      <c r="R815" s="78">
        <f>MAX(S815:W815)</f>
        <v>0</v>
      </c>
      <c r="S815" s="88"/>
      <c r="T815" s="88"/>
      <c r="U815" s="88"/>
      <c r="V815" s="88"/>
      <c r="W815" s="88"/>
    </row>
    <row r="816" spans="2:23" s="0" customFormat="0" ht="15">
      <c r="B816" s="87" t="s">
        <v>1</v>
      </c>
      <c r="C816" s="88" t="s">
        <v>5259</v>
      </c>
      <c r="D816" s="88">
        <v>13442903</v>
      </c>
      <c r="E816" s="88" t="s">
        <v>61</v>
      </c>
      <c r="F816" s="88">
        <v>0</v>
      </c>
      <c r="G816" s="78">
        <f>MAX(H816,I816,J816)</f>
        <v>1</v>
      </c>
      <c r="H816" s="88"/>
      <c r="I816" s="88"/>
      <c r="J816" s="78">
        <f>MAX(K816:Q816)</f>
        <v>1</v>
      </c>
      <c r="K816" s="88">
        <v>1</v>
      </c>
      <c r="L816" s="88"/>
      <c r="M816" s="88"/>
      <c r="N816" s="88"/>
      <c r="O816" s="88"/>
      <c r="P816" s="88"/>
      <c r="Q816" s="88"/>
      <c r="R816" s="78">
        <f>MAX(S816:W816)</f>
        <v>0</v>
      </c>
      <c r="S816" s="88"/>
      <c r="T816" s="88"/>
      <c r="U816" s="88"/>
      <c r="V816" s="88"/>
      <c r="W816" s="88"/>
    </row>
    <row r="817" spans="2:23" s="0" customFormat="0" ht="15">
      <c r="B817" s="87" t="s">
        <v>1</v>
      </c>
      <c r="C817" s="88" t="s">
        <v>5259</v>
      </c>
      <c r="D817" s="88">
        <v>15118994</v>
      </c>
      <c r="E817" s="88" t="s">
        <v>61</v>
      </c>
      <c r="F817" s="88">
        <v>0</v>
      </c>
      <c r="G817" s="78">
        <f>MAX(H817,I817,J817)</f>
        <v>1</v>
      </c>
      <c r="H817" s="88"/>
      <c r="I817" s="88"/>
      <c r="J817" s="78">
        <f>MAX(K817:Q817)</f>
        <v>1</v>
      </c>
      <c r="K817" s="88">
        <v>1</v>
      </c>
      <c r="L817" s="88"/>
      <c r="M817" s="88"/>
      <c r="N817" s="88"/>
      <c r="O817" s="88"/>
      <c r="P817" s="88"/>
      <c r="Q817" s="88"/>
      <c r="R817" s="78">
        <f>MAX(S817:W817)</f>
        <v>0</v>
      </c>
      <c r="S817" s="88"/>
      <c r="T817" s="88"/>
      <c r="U817" s="88"/>
      <c r="V817" s="88"/>
      <c r="W817" s="88"/>
    </row>
    <row r="818" spans="2:23" s="0" customFormat="0" ht="15">
      <c r="B818" s="87" t="s">
        <v>1</v>
      </c>
      <c r="C818" s="88" t="s">
        <v>5259</v>
      </c>
      <c r="D818" s="88" t="s">
        <v>765</v>
      </c>
      <c r="E818" s="88" t="s">
        <v>61</v>
      </c>
      <c r="F818" s="88">
        <v>0</v>
      </c>
      <c r="G818" s="78">
        <f>MAX(H818,I818,J818)</f>
        <v>1</v>
      </c>
      <c r="H818" s="88"/>
      <c r="I818" s="88"/>
      <c r="J818" s="78">
        <f>MAX(K818:Q818)</f>
        <v>1</v>
      </c>
      <c r="K818" s="88">
        <v>1</v>
      </c>
      <c r="L818" s="88"/>
      <c r="M818" s="88"/>
      <c r="N818" s="88"/>
      <c r="O818" s="88"/>
      <c r="P818" s="88"/>
      <c r="Q818" s="88"/>
      <c r="R818" s="78">
        <f>MAX(S818:W818)</f>
        <v>0</v>
      </c>
      <c r="S818" s="88"/>
      <c r="T818" s="88"/>
      <c r="U818" s="88"/>
      <c r="V818" s="88"/>
      <c r="W818" s="88"/>
    </row>
    <row r="819" spans="2:23" s="0" customFormat="0" ht="15">
      <c r="B819" s="87" t="s">
        <v>1</v>
      </c>
      <c r="C819" s="88" t="s">
        <v>5259</v>
      </c>
      <c r="D819" s="88" t="s">
        <v>3729</v>
      </c>
      <c r="E819" s="88" t="s">
        <v>61</v>
      </c>
      <c r="F819" s="88">
        <v>0</v>
      </c>
      <c r="G819" s="78">
        <f>MAX(H819,I819,J819)</f>
        <v>0</v>
      </c>
      <c r="H819" s="88"/>
      <c r="I819" s="88"/>
      <c r="J819" s="78">
        <f>MAX(K819:Q819)</f>
        <v>0</v>
      </c>
      <c r="K819" s="88"/>
      <c r="L819" s="88"/>
      <c r="M819" s="88"/>
      <c r="N819" s="88"/>
      <c r="O819" s="88"/>
      <c r="P819" s="88"/>
      <c r="Q819" s="88"/>
      <c r="R819" s="78">
        <f>MAX(S819:W819)</f>
        <v>1</v>
      </c>
      <c r="S819" s="88"/>
      <c r="T819" s="88"/>
      <c r="U819" s="88">
        <v>1</v>
      </c>
      <c r="V819" s="88"/>
      <c r="W819" s="88"/>
    </row>
    <row r="820" spans="2:23" s="0" customFormat="0" ht="15">
      <c r="B820" s="87" t="s">
        <v>1</v>
      </c>
      <c r="C820" s="88" t="s">
        <v>5259</v>
      </c>
      <c r="D820" s="88" t="s">
        <v>3731</v>
      </c>
      <c r="E820" s="88" t="s">
        <v>61</v>
      </c>
      <c r="F820" s="88">
        <v>0</v>
      </c>
      <c r="G820" s="78">
        <f>MAX(H820,I820,J820)</f>
        <v>0</v>
      </c>
      <c r="H820" s="88"/>
      <c r="I820" s="88"/>
      <c r="J820" s="78">
        <f>MAX(K820:Q820)</f>
        <v>0</v>
      </c>
      <c r="K820" s="88"/>
      <c r="L820" s="88"/>
      <c r="M820" s="88"/>
      <c r="N820" s="88"/>
      <c r="O820" s="88"/>
      <c r="P820" s="88"/>
      <c r="Q820" s="88"/>
      <c r="R820" s="78">
        <f>MAX(S820:W820)</f>
        <v>1</v>
      </c>
      <c r="S820" s="88"/>
      <c r="T820" s="88"/>
      <c r="U820" s="88">
        <v>1</v>
      </c>
      <c r="V820" s="88"/>
      <c r="W820" s="88"/>
    </row>
    <row r="821" spans="2:23" s="0" customFormat="0" ht="15">
      <c r="B821" s="87" t="s">
        <v>1</v>
      </c>
      <c r="C821" s="88" t="s">
        <v>5259</v>
      </c>
      <c r="D821" s="88" t="s">
        <v>767</v>
      </c>
      <c r="E821" s="88" t="s">
        <v>61</v>
      </c>
      <c r="F821" s="88">
        <v>0</v>
      </c>
      <c r="G821" s="78">
        <f>MAX(H821,I821,J821)</f>
        <v>1</v>
      </c>
      <c r="H821" s="88"/>
      <c r="I821" s="88"/>
      <c r="J821" s="78">
        <f>MAX(K821:Q821)</f>
        <v>1</v>
      </c>
      <c r="K821" s="88">
        <v>1</v>
      </c>
      <c r="L821" s="88"/>
      <c r="M821" s="88"/>
      <c r="N821" s="88"/>
      <c r="O821" s="88"/>
      <c r="P821" s="88"/>
      <c r="Q821" s="88"/>
      <c r="R821" s="78">
        <f>MAX(S821:W821)</f>
        <v>0</v>
      </c>
      <c r="S821" s="88"/>
      <c r="T821" s="88"/>
      <c r="U821" s="88"/>
      <c r="V821" s="88"/>
      <c r="W821" s="88"/>
    </row>
    <row r="822" spans="2:23" s="0" customFormat="0" ht="15">
      <c r="B822" s="87" t="s">
        <v>1</v>
      </c>
      <c r="C822" s="88" t="s">
        <v>5259</v>
      </c>
      <c r="D822" s="88">
        <v>14504601</v>
      </c>
      <c r="E822" s="88" t="s">
        <v>61</v>
      </c>
      <c r="F822" s="88">
        <v>0</v>
      </c>
      <c r="G822" s="78">
        <f>MAX(H822,I822,J822)</f>
        <v>0</v>
      </c>
      <c r="H822" s="88"/>
      <c r="I822" s="88"/>
      <c r="J822" s="78">
        <f>MAX(K822:Q822)</f>
        <v>0</v>
      </c>
      <c r="K822" s="88"/>
      <c r="L822" s="88"/>
      <c r="M822" s="88"/>
      <c r="N822" s="88"/>
      <c r="O822" s="88"/>
      <c r="P822" s="88"/>
      <c r="Q822" s="88"/>
      <c r="R822" s="78">
        <f>MAX(S822:W822)</f>
        <v>1</v>
      </c>
      <c r="S822" s="88"/>
      <c r="T822" s="88"/>
      <c r="U822" s="88"/>
      <c r="V822" s="88">
        <v>1</v>
      </c>
      <c r="W822" s="88"/>
    </row>
    <row r="823" spans="2:23" s="0" customFormat="0" ht="15">
      <c r="B823" s="87" t="s">
        <v>1</v>
      </c>
      <c r="C823" s="88" t="s">
        <v>5259</v>
      </c>
      <c r="D823" s="88">
        <v>21226549</v>
      </c>
      <c r="E823" s="88" t="s">
        <v>61</v>
      </c>
      <c r="F823" s="88">
        <v>0</v>
      </c>
      <c r="G823" s="78">
        <f>MAX(H823,I823,J823)</f>
        <v>1</v>
      </c>
      <c r="H823" s="88"/>
      <c r="I823" s="88"/>
      <c r="J823" s="78">
        <f>MAX(K823:Q823)</f>
        <v>1</v>
      </c>
      <c r="K823" s="88">
        <v>1</v>
      </c>
      <c r="L823" s="88"/>
      <c r="M823" s="88"/>
      <c r="N823" s="88"/>
      <c r="O823" s="88"/>
      <c r="P823" s="88"/>
      <c r="Q823" s="88"/>
      <c r="R823" s="78">
        <f>MAX(S823:W823)</f>
        <v>0</v>
      </c>
      <c r="S823" s="88"/>
      <c r="T823" s="88"/>
      <c r="U823" s="88"/>
      <c r="V823" s="88"/>
      <c r="W823" s="88"/>
    </row>
    <row r="824" spans="2:23" s="0" customFormat="0" ht="15">
      <c r="B824" s="87" t="s">
        <v>1</v>
      </c>
      <c r="C824" s="88" t="s">
        <v>5259</v>
      </c>
      <c r="D824" s="88">
        <v>17241065</v>
      </c>
      <c r="E824" s="88" t="s">
        <v>61</v>
      </c>
      <c r="F824" s="88">
        <v>0</v>
      </c>
      <c r="G824" s="78">
        <f>MAX(H824,I824,J824)</f>
        <v>1</v>
      </c>
      <c r="H824" s="88"/>
      <c r="I824" s="88"/>
      <c r="J824" s="78">
        <f>MAX(K824:Q824)</f>
        <v>1</v>
      </c>
      <c r="K824" s="88">
        <v>1</v>
      </c>
      <c r="L824" s="88"/>
      <c r="M824" s="88"/>
      <c r="N824" s="88"/>
      <c r="O824" s="88"/>
      <c r="P824" s="88"/>
      <c r="Q824" s="88"/>
      <c r="R824" s="78">
        <f>MAX(S824:W824)</f>
        <v>0</v>
      </c>
      <c r="S824" s="88"/>
      <c r="T824" s="88"/>
      <c r="U824" s="88"/>
      <c r="V824" s="88"/>
      <c r="W824" s="88"/>
    </row>
    <row r="825" spans="2:23" s="0" customFormat="0" ht="15">
      <c r="B825" s="87" t="s">
        <v>1</v>
      </c>
      <c r="C825" s="88" t="s">
        <v>5259</v>
      </c>
      <c r="D825" s="88">
        <v>18929325</v>
      </c>
      <c r="E825" s="88" t="s">
        <v>61</v>
      </c>
      <c r="F825" s="88">
        <v>0</v>
      </c>
      <c r="G825" s="78">
        <f>MAX(H825,I825,J825)</f>
        <v>1</v>
      </c>
      <c r="H825" s="88"/>
      <c r="I825" s="88"/>
      <c r="J825" s="78">
        <f>MAX(K825:Q825)</f>
        <v>1</v>
      </c>
      <c r="K825" s="88">
        <v>1</v>
      </c>
      <c r="L825" s="88"/>
      <c r="M825" s="88"/>
      <c r="N825" s="88"/>
      <c r="O825" s="88"/>
      <c r="P825" s="88"/>
      <c r="Q825" s="88"/>
      <c r="R825" s="78">
        <f>MAX(S825:W825)</f>
        <v>0</v>
      </c>
      <c r="S825" s="88"/>
      <c r="T825" s="88"/>
      <c r="U825" s="88"/>
      <c r="V825" s="88"/>
      <c r="W825" s="88"/>
    </row>
    <row r="826" spans="2:23" s="0" customFormat="0" ht="15">
      <c r="B826" s="87" t="s">
        <v>1</v>
      </c>
      <c r="C826" s="88" t="s">
        <v>5259</v>
      </c>
      <c r="D826" s="88">
        <v>7242714</v>
      </c>
      <c r="E826" s="88" t="s">
        <v>61</v>
      </c>
      <c r="F826" s="88">
        <v>0</v>
      </c>
      <c r="G826" s="78">
        <f>MAX(H826,I826,J826)</f>
        <v>0</v>
      </c>
      <c r="H826" s="88"/>
      <c r="I826" s="88"/>
      <c r="J826" s="78">
        <f>MAX(K826:Q826)</f>
        <v>0</v>
      </c>
      <c r="K826" s="88"/>
      <c r="L826" s="88"/>
      <c r="M826" s="88"/>
      <c r="N826" s="88"/>
      <c r="O826" s="88"/>
      <c r="P826" s="88"/>
      <c r="Q826" s="88"/>
      <c r="R826" s="78">
        <f>MAX(S826:W826)</f>
        <v>1</v>
      </c>
      <c r="S826" s="88"/>
      <c r="T826" s="88"/>
      <c r="U826" s="88">
        <v>1</v>
      </c>
      <c r="V826" s="88"/>
      <c r="W826" s="88"/>
    </row>
    <row r="827" spans="2:23" s="0" customFormat="0" ht="15">
      <c r="B827" s="87" t="s">
        <v>1</v>
      </c>
      <c r="C827" s="88" t="s">
        <v>5259</v>
      </c>
      <c r="D827" s="88">
        <v>21238959</v>
      </c>
      <c r="E827" s="88" t="s">
        <v>61</v>
      </c>
      <c r="F827" s="88">
        <v>0</v>
      </c>
      <c r="G827" s="78">
        <f>MAX(H827,I827,J827)</f>
        <v>1</v>
      </c>
      <c r="H827" s="88"/>
      <c r="I827" s="88"/>
      <c r="J827" s="78">
        <f>MAX(K827:Q827)</f>
        <v>1</v>
      </c>
      <c r="K827" s="88">
        <v>1</v>
      </c>
      <c r="L827" s="88"/>
      <c r="M827" s="88"/>
      <c r="N827" s="88"/>
      <c r="O827" s="88"/>
      <c r="P827" s="88"/>
      <c r="Q827" s="88"/>
      <c r="R827" s="78">
        <f>MAX(S827:W827)</f>
        <v>0</v>
      </c>
      <c r="S827" s="88"/>
      <c r="T827" s="88"/>
      <c r="U827" s="88"/>
      <c r="V827" s="88"/>
      <c r="W827" s="88"/>
    </row>
    <row r="828" spans="2:23" s="0" customFormat="0" ht="15">
      <c r="B828" s="87" t="s">
        <v>1</v>
      </c>
      <c r="C828" s="88" t="s">
        <v>5259</v>
      </c>
      <c r="D828" s="88" t="s">
        <v>3734</v>
      </c>
      <c r="E828" s="88" t="s">
        <v>61</v>
      </c>
      <c r="F828" s="88">
        <v>0</v>
      </c>
      <c r="G828" s="78">
        <f>MAX(H828,I828,J828)</f>
        <v>0</v>
      </c>
      <c r="H828" s="88"/>
      <c r="I828" s="88"/>
      <c r="J828" s="78">
        <f>MAX(K828:Q828)</f>
        <v>0</v>
      </c>
      <c r="K828" s="88"/>
      <c r="L828" s="88"/>
      <c r="M828" s="88"/>
      <c r="N828" s="88"/>
      <c r="O828" s="88"/>
      <c r="P828" s="88"/>
      <c r="Q828" s="88"/>
      <c r="R828" s="78">
        <f>MAX(S828:W828)</f>
        <v>1</v>
      </c>
      <c r="S828" s="88"/>
      <c r="T828" s="88"/>
      <c r="U828" s="88">
        <v>1</v>
      </c>
      <c r="V828" s="88"/>
      <c r="W828" s="88"/>
    </row>
    <row r="829" spans="2:23" s="0" customFormat="0" ht="15">
      <c r="B829" s="87" t="s">
        <v>1</v>
      </c>
      <c r="C829" s="88" t="s">
        <v>5259</v>
      </c>
      <c r="D829" s="88" t="s">
        <v>3736</v>
      </c>
      <c r="E829" s="88" t="s">
        <v>61</v>
      </c>
      <c r="F829" s="88">
        <v>0</v>
      </c>
      <c r="G829" s="78">
        <f>MAX(H829,I829,J829)</f>
        <v>0</v>
      </c>
      <c r="H829" s="88"/>
      <c r="I829" s="88"/>
      <c r="J829" s="78">
        <f>MAX(K829:Q829)</f>
        <v>0</v>
      </c>
      <c r="K829" s="88"/>
      <c r="L829" s="88"/>
      <c r="M829" s="88"/>
      <c r="N829" s="88"/>
      <c r="O829" s="88"/>
      <c r="P829" s="88"/>
      <c r="Q829" s="88"/>
      <c r="R829" s="78">
        <f>MAX(S829:W829)</f>
        <v>1</v>
      </c>
      <c r="S829" s="88"/>
      <c r="T829" s="88"/>
      <c r="U829" s="88">
        <v>1</v>
      </c>
      <c r="V829" s="88"/>
      <c r="W829" s="88"/>
    </row>
    <row r="830" spans="2:23" s="0" customFormat="0" ht="15">
      <c r="B830" s="87" t="s">
        <v>1</v>
      </c>
      <c r="C830" s="88" t="s">
        <v>5259</v>
      </c>
      <c r="D830" s="88">
        <v>20113239</v>
      </c>
      <c r="E830" s="88" t="s">
        <v>61</v>
      </c>
      <c r="F830" s="88">
        <v>0</v>
      </c>
      <c r="G830" s="78">
        <f>MAX(H830,I830,J830)</f>
        <v>0</v>
      </c>
      <c r="H830" s="88"/>
      <c r="I830" s="88"/>
      <c r="J830" s="78">
        <f>MAX(K830:Q830)</f>
        <v>0</v>
      </c>
      <c r="K830" s="88"/>
      <c r="L830" s="88"/>
      <c r="M830" s="88"/>
      <c r="N830" s="88"/>
      <c r="O830" s="88"/>
      <c r="P830" s="88"/>
      <c r="Q830" s="88"/>
      <c r="R830" s="78">
        <f>MAX(S830:W830)</f>
        <v>1</v>
      </c>
      <c r="S830" s="88"/>
      <c r="T830" s="88"/>
      <c r="U830" s="88">
        <v>1</v>
      </c>
      <c r="V830" s="88"/>
      <c r="W830" s="88"/>
    </row>
    <row r="831" spans="2:23" s="0" customFormat="0" ht="15">
      <c r="B831" s="87" t="s">
        <v>1</v>
      </c>
      <c r="C831" s="88" t="s">
        <v>5259</v>
      </c>
      <c r="D831" s="88">
        <v>14845766</v>
      </c>
      <c r="E831" s="88" t="s">
        <v>61</v>
      </c>
      <c r="F831" s="88">
        <v>0</v>
      </c>
      <c r="G831" s="78">
        <f>MAX(H831,I831,J831)</f>
        <v>1</v>
      </c>
      <c r="H831" s="88"/>
      <c r="I831" s="88"/>
      <c r="J831" s="78">
        <f>MAX(K831:Q831)</f>
        <v>1</v>
      </c>
      <c r="K831" s="88">
        <v>1</v>
      </c>
      <c r="L831" s="88"/>
      <c r="M831" s="88"/>
      <c r="N831" s="88"/>
      <c r="O831" s="88"/>
      <c r="P831" s="88"/>
      <c r="Q831" s="88"/>
      <c r="R831" s="78">
        <f>MAX(S831:W831)</f>
        <v>0</v>
      </c>
      <c r="S831" s="88"/>
      <c r="T831" s="88"/>
      <c r="U831" s="88"/>
      <c r="V831" s="88"/>
      <c r="W831" s="88"/>
    </row>
    <row r="832" spans="2:23" s="0" customFormat="0" ht="15">
      <c r="B832" s="87" t="s">
        <v>1</v>
      </c>
      <c r="C832" s="88" t="s">
        <v>5259</v>
      </c>
      <c r="D832" s="88">
        <v>16192998</v>
      </c>
      <c r="E832" s="88" t="s">
        <v>61</v>
      </c>
      <c r="F832" s="88">
        <v>0</v>
      </c>
      <c r="G832" s="78">
        <f>MAX(H832,I832,J832)</f>
        <v>1</v>
      </c>
      <c r="H832" s="88"/>
      <c r="I832" s="88"/>
      <c r="J832" s="78">
        <f>MAX(K832:Q832)</f>
        <v>1</v>
      </c>
      <c r="K832" s="88">
        <v>1</v>
      </c>
      <c r="L832" s="88"/>
      <c r="M832" s="88"/>
      <c r="N832" s="88"/>
      <c r="O832" s="88"/>
      <c r="P832" s="88"/>
      <c r="Q832" s="88"/>
      <c r="R832" s="78">
        <f>MAX(S832:W832)</f>
        <v>0</v>
      </c>
      <c r="S832" s="88"/>
      <c r="T832" s="88"/>
      <c r="U832" s="88"/>
      <c r="V832" s="88"/>
      <c r="W832" s="88"/>
    </row>
    <row r="833" spans="2:23" s="0" customFormat="0" ht="15">
      <c r="B833" s="87" t="s">
        <v>1</v>
      </c>
      <c r="C833" s="88" t="s">
        <v>5259</v>
      </c>
      <c r="D833" s="88">
        <v>25216638</v>
      </c>
      <c r="E833" s="88" t="s">
        <v>61</v>
      </c>
      <c r="F833" s="88">
        <v>0</v>
      </c>
      <c r="G833" s="78">
        <f>MAX(H833,I833,J833)</f>
        <v>1</v>
      </c>
      <c r="H833" s="88"/>
      <c r="I833" s="88"/>
      <c r="J833" s="78">
        <f>MAX(K833:Q833)</f>
        <v>1</v>
      </c>
      <c r="K833" s="88">
        <v>1</v>
      </c>
      <c r="L833" s="88"/>
      <c r="M833" s="88"/>
      <c r="N833" s="88"/>
      <c r="O833" s="88"/>
      <c r="P833" s="88"/>
      <c r="Q833" s="88"/>
      <c r="R833" s="78">
        <f>MAX(S833:W833)</f>
        <v>0</v>
      </c>
      <c r="S833" s="88"/>
      <c r="T833" s="88"/>
      <c r="U833" s="88"/>
      <c r="V833" s="88"/>
      <c r="W833" s="88"/>
    </row>
    <row r="834" spans="2:23" s="0" customFormat="0" ht="15">
      <c r="B834" s="87" t="s">
        <v>1</v>
      </c>
      <c r="C834" s="88" t="s">
        <v>5259</v>
      </c>
      <c r="D834" s="88">
        <v>15586195</v>
      </c>
      <c r="E834" s="88" t="s">
        <v>61</v>
      </c>
      <c r="F834" s="88">
        <v>0</v>
      </c>
      <c r="G834" s="78">
        <f>MAX(H834,I834,J834)</f>
        <v>1</v>
      </c>
      <c r="H834" s="88"/>
      <c r="I834" s="88"/>
      <c r="J834" s="78">
        <f>MAX(K834:Q834)</f>
        <v>1</v>
      </c>
      <c r="K834" s="88">
        <v>1</v>
      </c>
      <c r="L834" s="88"/>
      <c r="M834" s="88"/>
      <c r="N834" s="88"/>
      <c r="O834" s="88"/>
      <c r="P834" s="88"/>
      <c r="Q834" s="88"/>
      <c r="R834" s="78">
        <f>MAX(S834:W834)</f>
        <v>0</v>
      </c>
      <c r="S834" s="88"/>
      <c r="T834" s="88"/>
      <c r="U834" s="88"/>
      <c r="V834" s="88"/>
      <c r="W834" s="88"/>
    </row>
    <row r="835" spans="2:23" s="0" customFormat="0" ht="15">
      <c r="B835" s="87" t="s">
        <v>1</v>
      </c>
      <c r="C835" s="88" t="s">
        <v>5259</v>
      </c>
      <c r="D835" s="88" t="s">
        <v>3739</v>
      </c>
      <c r="E835" s="88" t="s">
        <v>61</v>
      </c>
      <c r="F835" s="88">
        <v>0</v>
      </c>
      <c r="G835" s="78">
        <f>MAX(H835,I835,J835)</f>
        <v>0</v>
      </c>
      <c r="H835" s="88"/>
      <c r="I835" s="88"/>
      <c r="J835" s="78">
        <f>MAX(K835:Q835)</f>
        <v>0</v>
      </c>
      <c r="K835" s="88"/>
      <c r="L835" s="88"/>
      <c r="M835" s="88"/>
      <c r="N835" s="88"/>
      <c r="O835" s="88"/>
      <c r="P835" s="88"/>
      <c r="Q835" s="88"/>
      <c r="R835" s="78">
        <f>MAX(S835:W835)</f>
        <v>1</v>
      </c>
      <c r="S835" s="88"/>
      <c r="T835" s="88"/>
      <c r="U835" s="88">
        <v>1</v>
      </c>
      <c r="V835" s="88"/>
      <c r="W835" s="88"/>
    </row>
    <row r="836" spans="2:23" s="0" customFormat="0" ht="15">
      <c r="B836" s="87" t="s">
        <v>1</v>
      </c>
      <c r="C836" s="88" t="s">
        <v>5259</v>
      </c>
      <c r="D836" s="88">
        <v>17634083</v>
      </c>
      <c r="E836" s="88" t="s">
        <v>61</v>
      </c>
      <c r="F836" s="88">
        <v>0</v>
      </c>
      <c r="G836" s="78">
        <f>MAX(H836,I836,J836)</f>
        <v>1</v>
      </c>
      <c r="H836" s="88"/>
      <c r="I836" s="88"/>
      <c r="J836" s="78">
        <f>MAX(K836:Q836)</f>
        <v>1</v>
      </c>
      <c r="K836" s="88">
        <v>1</v>
      </c>
      <c r="L836" s="88"/>
      <c r="M836" s="88"/>
      <c r="N836" s="88"/>
      <c r="O836" s="88"/>
      <c r="P836" s="88"/>
      <c r="Q836" s="88"/>
      <c r="R836" s="78">
        <f>MAX(S836:W836)</f>
        <v>0</v>
      </c>
      <c r="S836" s="88"/>
      <c r="T836" s="88"/>
      <c r="U836" s="88"/>
      <c r="V836" s="88"/>
      <c r="W836" s="88"/>
    </row>
    <row r="837" spans="2:23" s="0" customFormat="0" ht="15">
      <c r="B837" s="87" t="s">
        <v>1</v>
      </c>
      <c r="C837" s="88" t="s">
        <v>5259</v>
      </c>
      <c r="D837" s="88">
        <v>3824606</v>
      </c>
      <c r="E837" s="88" t="s">
        <v>61</v>
      </c>
      <c r="F837" s="88">
        <v>0</v>
      </c>
      <c r="G837" s="78">
        <f>MAX(H837,I837,J837)</f>
        <v>1</v>
      </c>
      <c r="H837" s="88"/>
      <c r="I837" s="88"/>
      <c r="J837" s="78">
        <f>MAX(K837:Q837)</f>
        <v>1</v>
      </c>
      <c r="K837" s="88">
        <v>1</v>
      </c>
      <c r="L837" s="88"/>
      <c r="M837" s="88"/>
      <c r="N837" s="88"/>
      <c r="O837" s="88"/>
      <c r="P837" s="88"/>
      <c r="Q837" s="88"/>
      <c r="R837" s="78">
        <f>MAX(S837:W837)</f>
        <v>0</v>
      </c>
      <c r="S837" s="88"/>
      <c r="T837" s="88"/>
      <c r="U837" s="88"/>
      <c r="V837" s="88"/>
      <c r="W837" s="88"/>
    </row>
    <row r="838" spans="2:23" s="0" customFormat="0" ht="15">
      <c r="B838" s="87" t="s">
        <v>1</v>
      </c>
      <c r="C838" s="88" t="s">
        <v>5259</v>
      </c>
      <c r="D838" s="88">
        <v>13200186</v>
      </c>
      <c r="E838" s="88" t="s">
        <v>61</v>
      </c>
      <c r="F838" s="88">
        <v>0</v>
      </c>
      <c r="G838" s="78">
        <f>MAX(H838,I838,J838)</f>
        <v>1</v>
      </c>
      <c r="H838" s="88"/>
      <c r="I838" s="88"/>
      <c r="J838" s="78">
        <f>MAX(K838:Q838)</f>
        <v>1</v>
      </c>
      <c r="K838" s="88">
        <v>1</v>
      </c>
      <c r="L838" s="88"/>
      <c r="M838" s="88"/>
      <c r="N838" s="88"/>
      <c r="O838" s="88"/>
      <c r="P838" s="88"/>
      <c r="Q838" s="88"/>
      <c r="R838" s="78">
        <f>MAX(S838:W838)</f>
        <v>0</v>
      </c>
      <c r="S838" s="88"/>
      <c r="T838" s="88"/>
      <c r="U838" s="88"/>
      <c r="V838" s="88"/>
      <c r="W838" s="88"/>
    </row>
    <row r="839" spans="2:23" s="0" customFormat="0" ht="15">
      <c r="B839" s="87" t="s">
        <v>1</v>
      </c>
      <c r="C839" s="88" t="s">
        <v>5259</v>
      </c>
      <c r="D839" s="88">
        <v>13366879</v>
      </c>
      <c r="E839" s="88" t="s">
        <v>61</v>
      </c>
      <c r="F839" s="88">
        <v>0</v>
      </c>
      <c r="G839" s="78">
        <f>MAX(H839,I839,J839)</f>
        <v>1</v>
      </c>
      <c r="H839" s="88"/>
      <c r="I839" s="88"/>
      <c r="J839" s="78">
        <f>MAX(K839:Q839)</f>
        <v>1</v>
      </c>
      <c r="K839" s="88">
        <v>1</v>
      </c>
      <c r="L839" s="88"/>
      <c r="M839" s="88"/>
      <c r="N839" s="88"/>
      <c r="O839" s="88"/>
      <c r="P839" s="88"/>
      <c r="Q839" s="88"/>
      <c r="R839" s="78">
        <f>MAX(S839:W839)</f>
        <v>0</v>
      </c>
      <c r="S839" s="88"/>
      <c r="T839" s="88"/>
      <c r="U839" s="88"/>
      <c r="V839" s="88"/>
      <c r="W839" s="88"/>
    </row>
    <row r="840" spans="2:23" s="0" customFormat="0" ht="15">
      <c r="B840" s="87" t="s">
        <v>1</v>
      </c>
      <c r="C840" s="88" t="s">
        <v>5259</v>
      </c>
      <c r="D840" s="88" t="s">
        <v>3741</v>
      </c>
      <c r="E840" s="88" t="s">
        <v>61</v>
      </c>
      <c r="F840" s="88">
        <v>0</v>
      </c>
      <c r="G840" s="78">
        <f>MAX(H840,I840,J840)</f>
        <v>0</v>
      </c>
      <c r="H840" s="88"/>
      <c r="I840" s="88"/>
      <c r="J840" s="78">
        <f>MAX(K840:Q840)</f>
        <v>0</v>
      </c>
      <c r="K840" s="88"/>
      <c r="L840" s="88"/>
      <c r="M840" s="88"/>
      <c r="N840" s="88"/>
      <c r="O840" s="88"/>
      <c r="P840" s="88"/>
      <c r="Q840" s="88"/>
      <c r="R840" s="78">
        <f>MAX(S840:W840)</f>
        <v>1</v>
      </c>
      <c r="S840" s="88"/>
      <c r="T840" s="88"/>
      <c r="U840" s="88">
        <v>1</v>
      </c>
      <c r="V840" s="88"/>
      <c r="W840" s="88"/>
    </row>
    <row r="841" spans="2:23" s="0" customFormat="0" ht="15">
      <c r="B841" s="87" t="s">
        <v>1</v>
      </c>
      <c r="C841" s="88" t="s">
        <v>5259</v>
      </c>
      <c r="D841" s="88" t="s">
        <v>3743</v>
      </c>
      <c r="E841" s="88" t="s">
        <v>61</v>
      </c>
      <c r="F841" s="88">
        <v>0</v>
      </c>
      <c r="G841" s="78">
        <f>MAX(H841,I841,J841)</f>
        <v>0</v>
      </c>
      <c r="H841" s="88"/>
      <c r="I841" s="88"/>
      <c r="J841" s="78">
        <f>MAX(K841:Q841)</f>
        <v>0</v>
      </c>
      <c r="K841" s="88"/>
      <c r="L841" s="88"/>
      <c r="M841" s="88"/>
      <c r="N841" s="88"/>
      <c r="O841" s="88"/>
      <c r="P841" s="88"/>
      <c r="Q841" s="88"/>
      <c r="R841" s="78">
        <f>MAX(S841:W841)</f>
        <v>1</v>
      </c>
      <c r="S841" s="88"/>
      <c r="T841" s="88"/>
      <c r="U841" s="88">
        <v>1</v>
      </c>
      <c r="V841" s="88"/>
      <c r="W841" s="88"/>
    </row>
    <row r="842" spans="2:23" s="0" customFormat="0" ht="15">
      <c r="B842" s="87" t="s">
        <v>1</v>
      </c>
      <c r="C842" s="88" t="s">
        <v>5259</v>
      </c>
      <c r="D842" s="88" t="s">
        <v>3745</v>
      </c>
      <c r="E842" s="88" t="s">
        <v>61</v>
      </c>
      <c r="F842" s="88">
        <v>0</v>
      </c>
      <c r="G842" s="78">
        <f>MAX(H842,I842,J842)</f>
        <v>0</v>
      </c>
      <c r="H842" s="88"/>
      <c r="I842" s="88"/>
      <c r="J842" s="78">
        <f>MAX(K842:Q842)</f>
        <v>0</v>
      </c>
      <c r="K842" s="88"/>
      <c r="L842" s="88"/>
      <c r="M842" s="88"/>
      <c r="N842" s="88"/>
      <c r="O842" s="88"/>
      <c r="P842" s="88"/>
      <c r="Q842" s="88"/>
      <c r="R842" s="78">
        <f>MAX(S842:W842)</f>
        <v>1</v>
      </c>
      <c r="S842" s="88"/>
      <c r="T842" s="88"/>
      <c r="U842" s="88">
        <v>1</v>
      </c>
      <c r="V842" s="88"/>
      <c r="W842" s="88"/>
    </row>
    <row r="843" spans="2:23" s="0" customFormat="0" ht="15">
      <c r="B843" s="87" t="s">
        <v>1</v>
      </c>
      <c r="C843" s="88" t="s">
        <v>5259</v>
      </c>
      <c r="D843" s="88" t="s">
        <v>779</v>
      </c>
      <c r="E843" s="88" t="s">
        <v>61</v>
      </c>
      <c r="F843" s="88">
        <v>0</v>
      </c>
      <c r="G843" s="78">
        <f>MAX(H843,I843,J843)</f>
        <v>1</v>
      </c>
      <c r="H843" s="88"/>
      <c r="I843" s="88"/>
      <c r="J843" s="78">
        <f>MAX(K843:Q843)</f>
        <v>1</v>
      </c>
      <c r="K843" s="88">
        <v>1</v>
      </c>
      <c r="L843" s="88"/>
      <c r="M843" s="88"/>
      <c r="N843" s="88"/>
      <c r="O843" s="88"/>
      <c r="P843" s="88"/>
      <c r="Q843" s="88"/>
      <c r="R843" s="78">
        <f>MAX(S843:W843)</f>
        <v>0</v>
      </c>
      <c r="S843" s="88"/>
      <c r="T843" s="88"/>
      <c r="U843" s="88"/>
      <c r="V843" s="88"/>
      <c r="W843" s="88"/>
    </row>
    <row r="844" spans="2:23" s="0" customFormat="0" ht="15">
      <c r="B844" s="87" t="s">
        <v>1</v>
      </c>
      <c r="C844" s="88" t="s">
        <v>5259</v>
      </c>
      <c r="D844" s="88">
        <v>12130969</v>
      </c>
      <c r="E844" s="88" t="s">
        <v>61</v>
      </c>
      <c r="F844" s="88">
        <v>0</v>
      </c>
      <c r="G844" s="78">
        <f>MAX(H844,I844,J844)</f>
        <v>0</v>
      </c>
      <c r="H844" s="88"/>
      <c r="I844" s="88"/>
      <c r="J844" s="78">
        <f>MAX(K844:Q844)</f>
        <v>0</v>
      </c>
      <c r="K844" s="88"/>
      <c r="L844" s="88"/>
      <c r="M844" s="88"/>
      <c r="N844" s="88"/>
      <c r="O844" s="88"/>
      <c r="P844" s="88"/>
      <c r="Q844" s="88"/>
      <c r="R844" s="78">
        <f>MAX(S844:W844)</f>
        <v>1</v>
      </c>
      <c r="S844" s="88"/>
      <c r="T844" s="88"/>
      <c r="U844" s="88">
        <v>1</v>
      </c>
      <c r="V844" s="88"/>
      <c r="W844" s="88"/>
    </row>
    <row r="845" spans="2:23" s="0" customFormat="0" ht="15">
      <c r="B845" s="87" t="s">
        <v>1</v>
      </c>
      <c r="C845" s="88" t="s">
        <v>5259</v>
      </c>
      <c r="D845" s="88">
        <v>21005399</v>
      </c>
      <c r="E845" s="88" t="s">
        <v>61</v>
      </c>
      <c r="F845" s="88">
        <v>0</v>
      </c>
      <c r="G845" s="78">
        <f>MAX(H845,I845,J845)</f>
        <v>1</v>
      </c>
      <c r="H845" s="88"/>
      <c r="I845" s="88"/>
      <c r="J845" s="78">
        <f>MAX(K845:Q845)</f>
        <v>1</v>
      </c>
      <c r="K845" s="88">
        <v>1</v>
      </c>
      <c r="L845" s="88"/>
      <c r="M845" s="88"/>
      <c r="N845" s="88"/>
      <c r="O845" s="88"/>
      <c r="P845" s="88"/>
      <c r="Q845" s="88"/>
      <c r="R845" s="78">
        <f>MAX(S845:W845)</f>
        <v>0</v>
      </c>
      <c r="S845" s="88"/>
      <c r="T845" s="88"/>
      <c r="U845" s="88"/>
      <c r="V845" s="88"/>
      <c r="W845" s="88"/>
    </row>
    <row r="846" spans="2:23" s="0" customFormat="0" ht="15">
      <c r="B846" s="87" t="s">
        <v>1</v>
      </c>
      <c r="C846" s="88" t="s">
        <v>5259</v>
      </c>
      <c r="D846" s="88" t="s">
        <v>3748</v>
      </c>
      <c r="E846" s="88" t="s">
        <v>61</v>
      </c>
      <c r="F846" s="88">
        <v>0</v>
      </c>
      <c r="G846" s="78">
        <f>MAX(H846,I846,J846)</f>
        <v>0</v>
      </c>
      <c r="H846" s="88"/>
      <c r="I846" s="88"/>
      <c r="J846" s="78">
        <f>MAX(K846:Q846)</f>
        <v>0</v>
      </c>
      <c r="K846" s="88"/>
      <c r="L846" s="88"/>
      <c r="M846" s="88"/>
      <c r="N846" s="88"/>
      <c r="O846" s="88"/>
      <c r="P846" s="88"/>
      <c r="Q846" s="88"/>
      <c r="R846" s="78">
        <f>MAX(S846:W846)</f>
        <v>1</v>
      </c>
      <c r="S846" s="88"/>
      <c r="T846" s="88"/>
      <c r="U846" s="88">
        <v>1</v>
      </c>
      <c r="V846" s="88"/>
      <c r="W846" s="88"/>
    </row>
    <row r="847" spans="2:23" s="0" customFormat="0" ht="15">
      <c r="B847" s="87" t="s">
        <v>1</v>
      </c>
      <c r="C847" s="88" t="s">
        <v>5259</v>
      </c>
      <c r="D847" s="88">
        <v>21740948</v>
      </c>
      <c r="E847" s="88" t="s">
        <v>61</v>
      </c>
      <c r="F847" s="88">
        <v>0</v>
      </c>
      <c r="G847" s="78">
        <f>MAX(H847,I847,J847)</f>
        <v>1</v>
      </c>
      <c r="H847" s="88"/>
      <c r="I847" s="88"/>
      <c r="J847" s="78">
        <f>MAX(K847:Q847)</f>
        <v>1</v>
      </c>
      <c r="K847" s="88">
        <v>1</v>
      </c>
      <c r="L847" s="88"/>
      <c r="M847" s="88"/>
      <c r="N847" s="88"/>
      <c r="O847" s="88"/>
      <c r="P847" s="88"/>
      <c r="Q847" s="88"/>
      <c r="R847" s="78">
        <f>MAX(S847:W847)</f>
        <v>0</v>
      </c>
      <c r="S847" s="88"/>
      <c r="T847" s="88"/>
      <c r="U847" s="88"/>
      <c r="V847" s="88"/>
      <c r="W847" s="88"/>
    </row>
    <row r="848" spans="2:23" s="0" customFormat="0" ht="15">
      <c r="B848" s="87" t="s">
        <v>1</v>
      </c>
      <c r="C848" s="88" t="s">
        <v>5259</v>
      </c>
      <c r="D848" s="88">
        <v>10560235</v>
      </c>
      <c r="E848" s="88" t="s">
        <v>61</v>
      </c>
      <c r="F848" s="88">
        <v>0</v>
      </c>
      <c r="G848" s="78">
        <f>MAX(H848,I848,J848)</f>
        <v>1</v>
      </c>
      <c r="H848" s="88"/>
      <c r="I848" s="88"/>
      <c r="J848" s="78">
        <f>MAX(K848:Q848)</f>
        <v>1</v>
      </c>
      <c r="K848" s="88">
        <v>1</v>
      </c>
      <c r="L848" s="88"/>
      <c r="M848" s="88"/>
      <c r="N848" s="88"/>
      <c r="O848" s="88"/>
      <c r="P848" s="88"/>
      <c r="Q848" s="88"/>
      <c r="R848" s="78">
        <f>MAX(S848:W848)</f>
        <v>0</v>
      </c>
      <c r="S848" s="88"/>
      <c r="T848" s="88"/>
      <c r="U848" s="88"/>
      <c r="V848" s="88"/>
      <c r="W848" s="88"/>
    </row>
    <row r="849" spans="2:23" s="0" customFormat="0" ht="15">
      <c r="B849" s="87" t="s">
        <v>1</v>
      </c>
      <c r="C849" s="88" t="s">
        <v>5259</v>
      </c>
      <c r="D849" s="88" t="s">
        <v>784</v>
      </c>
      <c r="E849" s="88" t="s">
        <v>61</v>
      </c>
      <c r="F849" s="88">
        <v>0</v>
      </c>
      <c r="G849" s="78">
        <f>MAX(H849,I849,J849)</f>
        <v>1</v>
      </c>
      <c r="H849" s="88"/>
      <c r="I849" s="88"/>
      <c r="J849" s="78">
        <f>MAX(K849:Q849)</f>
        <v>1</v>
      </c>
      <c r="K849" s="88">
        <v>1</v>
      </c>
      <c r="L849" s="88"/>
      <c r="M849" s="88"/>
      <c r="N849" s="88"/>
      <c r="O849" s="88"/>
      <c r="P849" s="88"/>
      <c r="Q849" s="88"/>
      <c r="R849" s="78">
        <f>MAX(S849:W849)</f>
        <v>0</v>
      </c>
      <c r="S849" s="88"/>
      <c r="T849" s="88"/>
      <c r="U849" s="88"/>
      <c r="V849" s="88"/>
      <c r="W849" s="88"/>
    </row>
    <row r="850" spans="2:23" s="0" customFormat="0" ht="15">
      <c r="B850" s="87" t="s">
        <v>1</v>
      </c>
      <c r="C850" s="88" t="s">
        <v>5259</v>
      </c>
      <c r="D850" s="88" t="s">
        <v>3750</v>
      </c>
      <c r="E850" s="88" t="s">
        <v>61</v>
      </c>
      <c r="F850" s="88">
        <v>0</v>
      </c>
      <c r="G850" s="78">
        <f>MAX(H850,I850,J850)</f>
        <v>0</v>
      </c>
      <c r="H850" s="88"/>
      <c r="I850" s="88"/>
      <c r="J850" s="78">
        <f>MAX(K850:Q850)</f>
        <v>0</v>
      </c>
      <c r="K850" s="88"/>
      <c r="L850" s="88"/>
      <c r="M850" s="88"/>
      <c r="N850" s="88"/>
      <c r="O850" s="88"/>
      <c r="P850" s="88"/>
      <c r="Q850" s="88"/>
      <c r="R850" s="78">
        <f>MAX(S850:W850)</f>
        <v>1</v>
      </c>
      <c r="S850" s="88"/>
      <c r="T850" s="88"/>
      <c r="U850" s="88">
        <v>1</v>
      </c>
      <c r="V850" s="88"/>
      <c r="W850" s="88"/>
    </row>
    <row r="851" spans="2:23" s="0" customFormat="0" ht="15">
      <c r="B851" s="87" t="s">
        <v>1</v>
      </c>
      <c r="C851" s="88" t="s">
        <v>5259</v>
      </c>
      <c r="D851" s="88" t="s">
        <v>786</v>
      </c>
      <c r="E851" s="88" t="s">
        <v>61</v>
      </c>
      <c r="F851" s="88">
        <v>0</v>
      </c>
      <c r="G851" s="78">
        <f>MAX(H851,I851,J851)</f>
        <v>1</v>
      </c>
      <c r="H851" s="88"/>
      <c r="I851" s="88"/>
      <c r="J851" s="78">
        <f>MAX(K851:Q851)</f>
        <v>1</v>
      </c>
      <c r="K851" s="88">
        <v>1</v>
      </c>
      <c r="L851" s="88"/>
      <c r="M851" s="88"/>
      <c r="N851" s="88"/>
      <c r="O851" s="88"/>
      <c r="P851" s="88"/>
      <c r="Q851" s="88"/>
      <c r="R851" s="78">
        <f>MAX(S851:W851)</f>
        <v>0</v>
      </c>
      <c r="S851" s="88"/>
      <c r="T851" s="88"/>
      <c r="U851" s="88"/>
      <c r="V851" s="88"/>
      <c r="W851" s="88"/>
    </row>
    <row r="852" spans="2:23" s="0" customFormat="0" ht="15">
      <c r="B852" s="87" t="s">
        <v>1</v>
      </c>
      <c r="C852" s="88" t="s">
        <v>5259</v>
      </c>
      <c r="D852" s="88" t="s">
        <v>788</v>
      </c>
      <c r="E852" s="88" t="s">
        <v>61</v>
      </c>
      <c r="F852" s="88">
        <v>0</v>
      </c>
      <c r="G852" s="78">
        <f>MAX(H852,I852,J852)</f>
        <v>1</v>
      </c>
      <c r="H852" s="88"/>
      <c r="I852" s="88"/>
      <c r="J852" s="78">
        <f>MAX(K852:Q852)</f>
        <v>1</v>
      </c>
      <c r="K852" s="88">
        <v>1</v>
      </c>
      <c r="L852" s="88"/>
      <c r="M852" s="88"/>
      <c r="N852" s="88"/>
      <c r="O852" s="88"/>
      <c r="P852" s="88"/>
      <c r="Q852" s="88"/>
      <c r="R852" s="78">
        <f>MAX(S852:W852)</f>
        <v>0</v>
      </c>
      <c r="S852" s="88"/>
      <c r="T852" s="88"/>
      <c r="U852" s="88"/>
      <c r="V852" s="88"/>
      <c r="W852" s="88"/>
    </row>
    <row r="853" spans="2:23" s="0" customFormat="0" ht="15">
      <c r="B853" s="87" t="s">
        <v>1</v>
      </c>
      <c r="C853" s="88" t="s">
        <v>5259</v>
      </c>
      <c r="D853" s="88">
        <v>21722262</v>
      </c>
      <c r="E853" s="88" t="s">
        <v>61</v>
      </c>
      <c r="F853" s="88">
        <v>0</v>
      </c>
      <c r="G853" s="78">
        <f>MAX(H853,I853,J853)</f>
        <v>1</v>
      </c>
      <c r="H853" s="88"/>
      <c r="I853" s="88"/>
      <c r="J853" s="78">
        <f>MAX(K853:Q853)</f>
        <v>1</v>
      </c>
      <c r="K853" s="88">
        <v>1</v>
      </c>
      <c r="L853" s="88"/>
      <c r="M853" s="88"/>
      <c r="N853" s="88"/>
      <c r="O853" s="88"/>
      <c r="P853" s="88"/>
      <c r="Q853" s="88"/>
      <c r="R853" s="78">
        <f>MAX(S853:W853)</f>
        <v>0</v>
      </c>
      <c r="S853" s="88"/>
      <c r="T853" s="88"/>
      <c r="U853" s="88"/>
      <c r="V853" s="88"/>
      <c r="W853" s="88"/>
    </row>
    <row r="854" spans="2:23" s="0" customFormat="0" ht="15">
      <c r="B854" s="87" t="s">
        <v>1</v>
      </c>
      <c r="C854" s="88" t="s">
        <v>5259</v>
      </c>
      <c r="D854" s="88">
        <v>19481696</v>
      </c>
      <c r="E854" s="88" t="s">
        <v>61</v>
      </c>
      <c r="F854" s="88">
        <v>0</v>
      </c>
      <c r="G854" s="78">
        <f>MAX(H854,I854,J854)</f>
        <v>1</v>
      </c>
      <c r="H854" s="88"/>
      <c r="I854" s="88"/>
      <c r="J854" s="78">
        <f>MAX(K854:Q854)</f>
        <v>1</v>
      </c>
      <c r="K854" s="88">
        <v>1</v>
      </c>
      <c r="L854" s="88"/>
      <c r="M854" s="88"/>
      <c r="N854" s="88"/>
      <c r="O854" s="88"/>
      <c r="P854" s="88"/>
      <c r="Q854" s="88"/>
      <c r="R854" s="78">
        <f>MAX(S854:W854)</f>
        <v>0</v>
      </c>
      <c r="S854" s="88"/>
      <c r="T854" s="88"/>
      <c r="U854" s="88"/>
      <c r="V854" s="88"/>
      <c r="W854" s="88"/>
    </row>
    <row r="855" spans="2:23" s="0" customFormat="0" ht="15">
      <c r="B855" s="87" t="s">
        <v>1</v>
      </c>
      <c r="C855" s="88" t="s">
        <v>5259</v>
      </c>
      <c r="D855" s="88">
        <v>12308477</v>
      </c>
      <c r="E855" s="88" t="s">
        <v>61</v>
      </c>
      <c r="F855" s="88">
        <v>0</v>
      </c>
      <c r="G855" s="78">
        <f>MAX(H855,I855,J855)</f>
        <v>1</v>
      </c>
      <c r="H855" s="88"/>
      <c r="I855" s="88"/>
      <c r="J855" s="78">
        <f>MAX(K855:Q855)</f>
        <v>1</v>
      </c>
      <c r="K855" s="88">
        <v>1</v>
      </c>
      <c r="L855" s="88"/>
      <c r="M855" s="88"/>
      <c r="N855" s="88"/>
      <c r="O855" s="88"/>
      <c r="P855" s="88"/>
      <c r="Q855" s="88"/>
      <c r="R855" s="78">
        <f>MAX(S855:W855)</f>
        <v>0</v>
      </c>
      <c r="S855" s="88"/>
      <c r="T855" s="88"/>
      <c r="U855" s="88"/>
      <c r="V855" s="88"/>
      <c r="W855" s="88"/>
    </row>
    <row r="856" spans="2:23" s="0" customFormat="0" ht="15">
      <c r="B856" s="87" t="s">
        <v>1</v>
      </c>
      <c r="C856" s="88" t="s">
        <v>5259</v>
      </c>
      <c r="D856" s="88" t="s">
        <v>3752</v>
      </c>
      <c r="E856" s="88" t="s">
        <v>61</v>
      </c>
      <c r="F856" s="88">
        <v>0</v>
      </c>
      <c r="G856" s="78">
        <f>MAX(H856,I856,J856)</f>
        <v>0</v>
      </c>
      <c r="H856" s="88"/>
      <c r="I856" s="88"/>
      <c r="J856" s="78">
        <f>MAX(K856:Q856)</f>
        <v>0</v>
      </c>
      <c r="K856" s="88"/>
      <c r="L856" s="88"/>
      <c r="M856" s="88"/>
      <c r="N856" s="88"/>
      <c r="O856" s="88"/>
      <c r="P856" s="88"/>
      <c r="Q856" s="88"/>
      <c r="R856" s="78">
        <f>MAX(S856:W856)</f>
        <v>1</v>
      </c>
      <c r="S856" s="88"/>
      <c r="T856" s="88"/>
      <c r="U856" s="88">
        <v>1</v>
      </c>
      <c r="V856" s="88"/>
      <c r="W856" s="88"/>
    </row>
    <row r="857" spans="2:23" s="0" customFormat="0" ht="15">
      <c r="B857" s="87" t="s">
        <v>1</v>
      </c>
      <c r="C857" s="88" t="s">
        <v>5259</v>
      </c>
      <c r="D857" s="88">
        <v>15477150</v>
      </c>
      <c r="E857" s="88" t="s">
        <v>61</v>
      </c>
      <c r="F857" s="88">
        <v>0</v>
      </c>
      <c r="G857" s="78">
        <f>MAX(H857,I857,J857)</f>
        <v>1</v>
      </c>
      <c r="H857" s="88"/>
      <c r="I857" s="88"/>
      <c r="J857" s="78">
        <f>MAX(K857:Q857)</f>
        <v>1</v>
      </c>
      <c r="K857" s="88">
        <v>1</v>
      </c>
      <c r="L857" s="88"/>
      <c r="M857" s="88"/>
      <c r="N857" s="88"/>
      <c r="O857" s="88"/>
      <c r="P857" s="88"/>
      <c r="Q857" s="88"/>
      <c r="R857" s="78">
        <f>MAX(S857:W857)</f>
        <v>0</v>
      </c>
      <c r="S857" s="88"/>
      <c r="T857" s="88"/>
      <c r="U857" s="88"/>
      <c r="V857" s="88"/>
      <c r="W857" s="88"/>
    </row>
    <row r="858" spans="2:23" s="0" customFormat="0" ht="15">
      <c r="B858" s="87" t="s">
        <v>1</v>
      </c>
      <c r="C858" s="88" t="s">
        <v>5259</v>
      </c>
      <c r="D858" s="88">
        <v>12055728</v>
      </c>
      <c r="E858" s="88" t="s">
        <v>61</v>
      </c>
      <c r="F858" s="88">
        <v>0</v>
      </c>
      <c r="G858" s="78">
        <f>MAX(H858,I858,J858)</f>
        <v>1</v>
      </c>
      <c r="H858" s="88"/>
      <c r="I858" s="88"/>
      <c r="J858" s="78">
        <f>MAX(K858:Q858)</f>
        <v>1</v>
      </c>
      <c r="K858" s="88">
        <v>1</v>
      </c>
      <c r="L858" s="88"/>
      <c r="M858" s="88"/>
      <c r="N858" s="88"/>
      <c r="O858" s="88"/>
      <c r="P858" s="88"/>
      <c r="Q858" s="88"/>
      <c r="R858" s="78">
        <f>MAX(S858:W858)</f>
        <v>0</v>
      </c>
      <c r="S858" s="88"/>
      <c r="T858" s="88"/>
      <c r="U858" s="88"/>
      <c r="V858" s="88"/>
      <c r="W858" s="88"/>
    </row>
    <row r="859" spans="2:23" s="0" customFormat="0" ht="15">
      <c r="B859" s="87" t="s">
        <v>1</v>
      </c>
      <c r="C859" s="88" t="s">
        <v>5259</v>
      </c>
      <c r="D859" s="88">
        <v>18916353</v>
      </c>
      <c r="E859" s="88" t="s">
        <v>61</v>
      </c>
      <c r="F859" s="88">
        <v>0</v>
      </c>
      <c r="G859" s="78">
        <f>MAX(H859,I859,J859)</f>
        <v>1</v>
      </c>
      <c r="H859" s="88"/>
      <c r="I859" s="88"/>
      <c r="J859" s="78">
        <f>MAX(K859:Q859)</f>
        <v>1</v>
      </c>
      <c r="K859" s="88">
        <v>1</v>
      </c>
      <c r="L859" s="88"/>
      <c r="M859" s="88"/>
      <c r="N859" s="88"/>
      <c r="O859" s="88"/>
      <c r="P859" s="88"/>
      <c r="Q859" s="88"/>
      <c r="R859" s="78">
        <f>MAX(S859:W859)</f>
        <v>0</v>
      </c>
      <c r="S859" s="88"/>
      <c r="T859" s="88"/>
      <c r="U859" s="88"/>
      <c r="V859" s="88"/>
      <c r="W859" s="88"/>
    </row>
    <row r="860" spans="2:23" s="0" customFormat="0" ht="15">
      <c r="B860" s="87" t="s">
        <v>1</v>
      </c>
      <c r="C860" s="88" t="s">
        <v>5259</v>
      </c>
      <c r="D860" s="88" t="s">
        <v>3754</v>
      </c>
      <c r="E860" s="88" t="s">
        <v>61</v>
      </c>
      <c r="F860" s="88">
        <v>0</v>
      </c>
      <c r="G860" s="78">
        <f>MAX(H860,I860,J860)</f>
        <v>0</v>
      </c>
      <c r="H860" s="88"/>
      <c r="I860" s="88"/>
      <c r="J860" s="78">
        <f>MAX(K860:Q860)</f>
        <v>0</v>
      </c>
      <c r="K860" s="88"/>
      <c r="L860" s="88"/>
      <c r="M860" s="88"/>
      <c r="N860" s="88"/>
      <c r="O860" s="88"/>
      <c r="P860" s="88"/>
      <c r="Q860" s="88"/>
      <c r="R860" s="78">
        <f>MAX(S860:W860)</f>
        <v>1</v>
      </c>
      <c r="S860" s="88"/>
      <c r="T860" s="88"/>
      <c r="U860" s="88">
        <v>1</v>
      </c>
      <c r="V860" s="88"/>
      <c r="W860" s="88"/>
    </row>
    <row r="861" spans="2:23" s="0" customFormat="0" ht="15">
      <c r="B861" s="87" t="s">
        <v>1</v>
      </c>
      <c r="C861" s="88" t="s">
        <v>5259</v>
      </c>
      <c r="D861" s="88">
        <v>22410558</v>
      </c>
      <c r="E861" s="88" t="s">
        <v>61</v>
      </c>
      <c r="F861" s="88">
        <v>0</v>
      </c>
      <c r="G861" s="78">
        <f>MAX(H861,I861,J861)</f>
        <v>1</v>
      </c>
      <c r="H861" s="88"/>
      <c r="I861" s="88"/>
      <c r="J861" s="78">
        <f>MAX(K861:Q861)</f>
        <v>1</v>
      </c>
      <c r="K861" s="88">
        <v>1</v>
      </c>
      <c r="L861" s="88"/>
      <c r="M861" s="88"/>
      <c r="N861" s="88"/>
      <c r="O861" s="88"/>
      <c r="P861" s="88"/>
      <c r="Q861" s="88"/>
      <c r="R861" s="78">
        <f>MAX(S861:W861)</f>
        <v>0</v>
      </c>
      <c r="S861" s="88"/>
      <c r="T861" s="88"/>
      <c r="U861" s="88"/>
      <c r="V861" s="88"/>
      <c r="W861" s="88"/>
    </row>
    <row r="862" spans="2:23" s="0" customFormat="0" ht="15">
      <c r="B862" s="87" t="s">
        <v>1</v>
      </c>
      <c r="C862" s="88" t="s">
        <v>5259</v>
      </c>
      <c r="D862" s="88">
        <v>15642473</v>
      </c>
      <c r="E862" s="88" t="s">
        <v>61</v>
      </c>
      <c r="F862" s="88">
        <v>0</v>
      </c>
      <c r="G862" s="78">
        <f>MAX(H862,I862,J862)</f>
        <v>1</v>
      </c>
      <c r="H862" s="88"/>
      <c r="I862" s="88"/>
      <c r="J862" s="78">
        <f>MAX(K862:Q862)</f>
        <v>1</v>
      </c>
      <c r="K862" s="88">
        <v>1</v>
      </c>
      <c r="L862" s="88"/>
      <c r="M862" s="88"/>
      <c r="N862" s="88"/>
      <c r="O862" s="88"/>
      <c r="P862" s="88"/>
      <c r="Q862" s="88"/>
      <c r="R862" s="78">
        <f>MAX(S862:W862)</f>
        <v>0</v>
      </c>
      <c r="S862" s="88"/>
      <c r="T862" s="88"/>
      <c r="U862" s="88"/>
      <c r="V862" s="88"/>
      <c r="W862" s="88"/>
    </row>
    <row r="863" spans="2:23" s="0" customFormat="0" ht="15">
      <c r="B863" s="87" t="s">
        <v>1</v>
      </c>
      <c r="C863" s="88" t="s">
        <v>5259</v>
      </c>
      <c r="D863" s="88">
        <v>12077023</v>
      </c>
      <c r="E863" s="88" t="s">
        <v>61</v>
      </c>
      <c r="F863" s="88">
        <v>0</v>
      </c>
      <c r="G863" s="78">
        <f>MAX(H863,I863,J863)</f>
        <v>1</v>
      </c>
      <c r="H863" s="88"/>
      <c r="I863" s="88"/>
      <c r="J863" s="78">
        <f>MAX(K863:Q863)</f>
        <v>1</v>
      </c>
      <c r="K863" s="88"/>
      <c r="L863" s="88">
        <v>1</v>
      </c>
      <c r="M863" s="88"/>
      <c r="N863" s="88"/>
      <c r="O863" s="88"/>
      <c r="P863" s="88"/>
      <c r="Q863" s="88"/>
      <c r="R863" s="78">
        <f>MAX(S863:W863)</f>
        <v>0</v>
      </c>
      <c r="S863" s="88"/>
      <c r="T863" s="88"/>
      <c r="U863" s="88"/>
      <c r="V863" s="88"/>
      <c r="W863" s="88"/>
    </row>
    <row r="864" spans="2:23" s="0" customFormat="0" ht="15">
      <c r="B864" s="87" t="s">
        <v>1</v>
      </c>
      <c r="C864" s="88" t="s">
        <v>5259</v>
      </c>
      <c r="D864" s="88" t="s">
        <v>3518</v>
      </c>
      <c r="E864" s="88" t="s">
        <v>61</v>
      </c>
      <c r="F864" s="88">
        <v>0</v>
      </c>
      <c r="G864" s="78">
        <f>MAX(H864,I864,J864)</f>
        <v>0</v>
      </c>
      <c r="H864" s="88"/>
      <c r="I864" s="88"/>
      <c r="J864" s="78">
        <f>MAX(K864:Q864)</f>
        <v>0</v>
      </c>
      <c r="K864" s="88"/>
      <c r="L864" s="88"/>
      <c r="M864" s="88"/>
      <c r="N864" s="88"/>
      <c r="O864" s="88"/>
      <c r="P864" s="88"/>
      <c r="Q864" s="88"/>
      <c r="R864" s="78">
        <f>MAX(S864:W864)</f>
        <v>1</v>
      </c>
      <c r="S864" s="88"/>
      <c r="T864" s="88"/>
      <c r="U864" s="88">
        <v>1</v>
      </c>
      <c r="V864" s="88"/>
      <c r="W864" s="88"/>
    </row>
    <row r="865" spans="2:23" s="0" customFormat="0" ht="15">
      <c r="B865" s="87" t="s">
        <v>1</v>
      </c>
      <c r="C865" s="88" t="s">
        <v>5259</v>
      </c>
      <c r="D865" s="88">
        <v>17166420</v>
      </c>
      <c r="E865" s="88" t="s">
        <v>61</v>
      </c>
      <c r="F865" s="88">
        <v>0</v>
      </c>
      <c r="G865" s="78">
        <f>MAX(H865,I865,J865)</f>
        <v>1</v>
      </c>
      <c r="H865" s="88"/>
      <c r="I865" s="88"/>
      <c r="J865" s="78">
        <f>MAX(K865:Q865)</f>
        <v>1</v>
      </c>
      <c r="K865" s="88">
        <v>1</v>
      </c>
      <c r="L865" s="88"/>
      <c r="M865" s="88"/>
      <c r="N865" s="88"/>
      <c r="O865" s="88"/>
      <c r="P865" s="88"/>
      <c r="Q865" s="88"/>
      <c r="R865" s="78">
        <f>MAX(S865:W865)</f>
        <v>0</v>
      </c>
      <c r="S865" s="88"/>
      <c r="T865" s="88"/>
      <c r="U865" s="88"/>
      <c r="V865" s="88"/>
      <c r="W865" s="88"/>
    </row>
    <row r="866" spans="2:23" s="0" customFormat="0" ht="15">
      <c r="B866" s="87" t="s">
        <v>1</v>
      </c>
      <c r="C866" s="88" t="s">
        <v>5259</v>
      </c>
      <c r="D866" s="88" t="s">
        <v>3756</v>
      </c>
      <c r="E866" s="88" t="s">
        <v>61</v>
      </c>
      <c r="F866" s="88">
        <v>0</v>
      </c>
      <c r="G866" s="78">
        <f>MAX(H866,I866,J866)</f>
        <v>0</v>
      </c>
      <c r="H866" s="88"/>
      <c r="I866" s="88"/>
      <c r="J866" s="78">
        <f>MAX(K866:Q866)</f>
        <v>0</v>
      </c>
      <c r="K866" s="88"/>
      <c r="L866" s="88"/>
      <c r="M866" s="88"/>
      <c r="N866" s="88"/>
      <c r="O866" s="88"/>
      <c r="P866" s="88"/>
      <c r="Q866" s="88"/>
      <c r="R866" s="78">
        <f>MAX(S866:W866)</f>
        <v>1</v>
      </c>
      <c r="S866" s="88"/>
      <c r="T866" s="88"/>
      <c r="U866" s="88">
        <v>1</v>
      </c>
      <c r="V866" s="88"/>
      <c r="W866" s="88"/>
    </row>
    <row r="867" spans="2:23" s="0" customFormat="0" ht="15">
      <c r="B867" s="87" t="s">
        <v>1</v>
      </c>
      <c r="C867" s="88" t="s">
        <v>5259</v>
      </c>
      <c r="D867" s="88">
        <v>21473851</v>
      </c>
      <c r="E867" s="88" t="s">
        <v>61</v>
      </c>
      <c r="F867" s="88">
        <v>0</v>
      </c>
      <c r="G867" s="78">
        <f>MAX(H867,I867,J867)</f>
        <v>1</v>
      </c>
      <c r="H867" s="88"/>
      <c r="I867" s="88"/>
      <c r="J867" s="78">
        <f>MAX(K867:Q867)</f>
        <v>1</v>
      </c>
      <c r="K867" s="88">
        <v>1</v>
      </c>
      <c r="L867" s="88"/>
      <c r="M867" s="88"/>
      <c r="N867" s="88"/>
      <c r="O867" s="88"/>
      <c r="P867" s="88"/>
      <c r="Q867" s="88"/>
      <c r="R867" s="78">
        <f>MAX(S867:W867)</f>
        <v>0</v>
      </c>
      <c r="S867" s="88"/>
      <c r="T867" s="88"/>
      <c r="U867" s="88"/>
      <c r="V867" s="88"/>
      <c r="W867" s="88"/>
    </row>
    <row r="868" spans="2:23" s="0" customFormat="0" ht="15">
      <c r="B868" s="87" t="s">
        <v>1</v>
      </c>
      <c r="C868" s="88" t="s">
        <v>5259</v>
      </c>
      <c r="D868" s="88" t="s">
        <v>799</v>
      </c>
      <c r="E868" s="88" t="s">
        <v>61</v>
      </c>
      <c r="F868" s="88">
        <v>0</v>
      </c>
      <c r="G868" s="78">
        <f>MAX(H868,I868,J868)</f>
        <v>1</v>
      </c>
      <c r="H868" s="88"/>
      <c r="I868" s="88"/>
      <c r="J868" s="78">
        <f>MAX(K868:Q868)</f>
        <v>1</v>
      </c>
      <c r="K868" s="88">
        <v>1</v>
      </c>
      <c r="L868" s="88"/>
      <c r="M868" s="88"/>
      <c r="N868" s="88"/>
      <c r="O868" s="88"/>
      <c r="P868" s="88"/>
      <c r="Q868" s="88"/>
      <c r="R868" s="78">
        <f>MAX(S868:W868)</f>
        <v>0</v>
      </c>
      <c r="S868" s="88"/>
      <c r="T868" s="88"/>
      <c r="U868" s="88"/>
      <c r="V868" s="88"/>
      <c r="W868" s="88"/>
    </row>
    <row r="869" spans="2:23" s="0" customFormat="0" ht="15">
      <c r="B869" s="87" t="s">
        <v>1</v>
      </c>
      <c r="C869" s="88" t="s">
        <v>5259</v>
      </c>
      <c r="D869" s="88">
        <v>22554075</v>
      </c>
      <c r="E869" s="88" t="s">
        <v>61</v>
      </c>
      <c r="F869" s="88">
        <v>0</v>
      </c>
      <c r="G869" s="78">
        <f>MAX(H869,I869,J869)</f>
        <v>0</v>
      </c>
      <c r="H869" s="88"/>
      <c r="I869" s="88"/>
      <c r="J869" s="78">
        <f>MAX(K869:Q869)</f>
        <v>0</v>
      </c>
      <c r="K869" s="88"/>
      <c r="L869" s="88"/>
      <c r="M869" s="88"/>
      <c r="N869" s="88"/>
      <c r="O869" s="88"/>
      <c r="P869" s="88"/>
      <c r="Q869" s="88"/>
      <c r="R869" s="78">
        <f>MAX(S869:W869)</f>
        <v>1</v>
      </c>
      <c r="S869" s="88"/>
      <c r="T869" s="88"/>
      <c r="U869" s="88">
        <v>1</v>
      </c>
      <c r="V869" s="88"/>
      <c r="W869" s="88"/>
    </row>
    <row r="870" spans="2:23" s="0" customFormat="0" ht="15">
      <c r="B870" s="87" t="s">
        <v>1</v>
      </c>
      <c r="C870" s="88" t="s">
        <v>5259</v>
      </c>
      <c r="D870" s="88">
        <v>21906280</v>
      </c>
      <c r="E870" s="88" t="s">
        <v>61</v>
      </c>
      <c r="F870" s="88">
        <v>0</v>
      </c>
      <c r="G870" s="78">
        <f>MAX(H870,I870,J870)</f>
        <v>1</v>
      </c>
      <c r="H870" s="88"/>
      <c r="I870" s="88"/>
      <c r="J870" s="78">
        <f>MAX(K870:Q870)</f>
        <v>1</v>
      </c>
      <c r="K870" s="88">
        <v>1</v>
      </c>
      <c r="L870" s="88"/>
      <c r="M870" s="88"/>
      <c r="N870" s="88"/>
      <c r="O870" s="88"/>
      <c r="P870" s="88"/>
      <c r="Q870" s="88"/>
      <c r="R870" s="78">
        <f>MAX(S870:W870)</f>
        <v>0</v>
      </c>
      <c r="S870" s="88"/>
      <c r="T870" s="88"/>
      <c r="U870" s="88"/>
      <c r="V870" s="88"/>
      <c r="W870" s="88"/>
    </row>
    <row r="871" spans="2:23" s="0" customFormat="0" ht="15">
      <c r="B871" s="87" t="s">
        <v>1</v>
      </c>
      <c r="C871" s="88" t="s">
        <v>5259</v>
      </c>
      <c r="D871" s="88" t="s">
        <v>3759</v>
      </c>
      <c r="E871" s="88" t="s">
        <v>61</v>
      </c>
      <c r="F871" s="88">
        <v>0</v>
      </c>
      <c r="G871" s="78">
        <f>MAX(H871,I871,J871)</f>
        <v>0</v>
      </c>
      <c r="H871" s="88"/>
      <c r="I871" s="88"/>
      <c r="J871" s="78">
        <f>MAX(K871:Q871)</f>
        <v>0</v>
      </c>
      <c r="K871" s="88"/>
      <c r="L871" s="88"/>
      <c r="M871" s="88"/>
      <c r="N871" s="88"/>
      <c r="O871" s="88"/>
      <c r="P871" s="88"/>
      <c r="Q871" s="88"/>
      <c r="R871" s="78">
        <f>MAX(S871:W871)</f>
        <v>1</v>
      </c>
      <c r="S871" s="88"/>
      <c r="T871" s="88"/>
      <c r="U871" s="88">
        <v>1</v>
      </c>
      <c r="V871" s="88"/>
      <c r="W871" s="88"/>
    </row>
    <row r="872" spans="2:23" s="0" customFormat="0" ht="15">
      <c r="B872" s="87" t="s">
        <v>1</v>
      </c>
      <c r="C872" s="88" t="s">
        <v>5259</v>
      </c>
      <c r="D872" s="88">
        <v>6874148</v>
      </c>
      <c r="E872" s="88" t="s">
        <v>61</v>
      </c>
      <c r="F872" s="88">
        <v>0</v>
      </c>
      <c r="G872" s="78">
        <f>MAX(H872,I872,J872)</f>
        <v>1</v>
      </c>
      <c r="H872" s="88"/>
      <c r="I872" s="88"/>
      <c r="J872" s="78">
        <f>MAX(K872:Q872)</f>
        <v>1</v>
      </c>
      <c r="K872" s="88">
        <v>1</v>
      </c>
      <c r="L872" s="88"/>
      <c r="M872" s="88"/>
      <c r="N872" s="88"/>
      <c r="O872" s="88"/>
      <c r="P872" s="88"/>
      <c r="Q872" s="88"/>
      <c r="R872" s="78">
        <f>MAX(S872:W872)</f>
        <v>0</v>
      </c>
      <c r="S872" s="88"/>
      <c r="T872" s="88"/>
      <c r="U872" s="88"/>
      <c r="V872" s="88"/>
      <c r="W872" s="88"/>
    </row>
    <row r="873" spans="2:23" s="0" customFormat="0" ht="15">
      <c r="B873" s="87" t="s">
        <v>1</v>
      </c>
      <c r="C873" s="88" t="s">
        <v>5259</v>
      </c>
      <c r="D873" s="88" t="s">
        <v>803</v>
      </c>
      <c r="E873" s="88" t="s">
        <v>61</v>
      </c>
      <c r="F873" s="88">
        <v>0</v>
      </c>
      <c r="G873" s="78">
        <f>MAX(H873,I873,J873)</f>
        <v>1</v>
      </c>
      <c r="H873" s="88"/>
      <c r="I873" s="88"/>
      <c r="J873" s="78">
        <f>MAX(K873:Q873)</f>
        <v>1</v>
      </c>
      <c r="K873" s="88">
        <v>1</v>
      </c>
      <c r="L873" s="88"/>
      <c r="M873" s="88"/>
      <c r="N873" s="88"/>
      <c r="O873" s="88"/>
      <c r="P873" s="88"/>
      <c r="Q873" s="88"/>
      <c r="R873" s="78">
        <f>MAX(S873:W873)</f>
        <v>0</v>
      </c>
      <c r="S873" s="88"/>
      <c r="T873" s="88"/>
      <c r="U873" s="88"/>
      <c r="V873" s="88"/>
      <c r="W873" s="88"/>
    </row>
    <row r="874" spans="2:23" s="0" customFormat="0" ht="15">
      <c r="B874" s="87" t="s">
        <v>1</v>
      </c>
      <c r="C874" s="88" t="s">
        <v>5259</v>
      </c>
      <c r="D874" s="88" t="s">
        <v>3761</v>
      </c>
      <c r="E874" s="88" t="s">
        <v>61</v>
      </c>
      <c r="F874" s="88">
        <v>0</v>
      </c>
      <c r="G874" s="78">
        <f>MAX(H874,I874,J874)</f>
        <v>0</v>
      </c>
      <c r="H874" s="88"/>
      <c r="I874" s="88"/>
      <c r="J874" s="78">
        <f>MAX(K874:Q874)</f>
        <v>0</v>
      </c>
      <c r="K874" s="88"/>
      <c r="L874" s="88"/>
      <c r="M874" s="88"/>
      <c r="N874" s="88"/>
      <c r="O874" s="88"/>
      <c r="P874" s="88"/>
      <c r="Q874" s="88"/>
      <c r="R874" s="78">
        <f>MAX(S874:W874)</f>
        <v>1</v>
      </c>
      <c r="S874" s="88"/>
      <c r="T874" s="88"/>
      <c r="U874" s="88">
        <v>1</v>
      </c>
      <c r="V874" s="88"/>
      <c r="W874" s="88"/>
    </row>
    <row r="875" spans="2:23" s="0" customFormat="0" ht="15">
      <c r="B875" s="87" t="s">
        <v>1</v>
      </c>
      <c r="C875" s="88" t="s">
        <v>5259</v>
      </c>
      <c r="D875" s="88">
        <v>11025789</v>
      </c>
      <c r="E875" s="88" t="s">
        <v>61</v>
      </c>
      <c r="F875" s="88">
        <v>0</v>
      </c>
      <c r="G875" s="78">
        <f>MAX(H875,I875,J875)</f>
        <v>1</v>
      </c>
      <c r="H875" s="88"/>
      <c r="I875" s="88"/>
      <c r="J875" s="78">
        <f>MAX(K875:Q875)</f>
        <v>1</v>
      </c>
      <c r="K875" s="88">
        <v>1</v>
      </c>
      <c r="L875" s="88"/>
      <c r="M875" s="88"/>
      <c r="N875" s="88"/>
      <c r="O875" s="88"/>
      <c r="P875" s="88"/>
      <c r="Q875" s="88"/>
      <c r="R875" s="78">
        <f>MAX(S875:W875)</f>
        <v>0</v>
      </c>
      <c r="S875" s="88"/>
      <c r="T875" s="88"/>
      <c r="U875" s="88"/>
      <c r="V875" s="88"/>
      <c r="W875" s="88"/>
    </row>
    <row r="876" spans="2:23" s="0" customFormat="0" ht="15">
      <c r="B876" s="87" t="s">
        <v>1</v>
      </c>
      <c r="C876" s="88" t="s">
        <v>5259</v>
      </c>
      <c r="D876" s="88" t="s">
        <v>806</v>
      </c>
      <c r="E876" s="88" t="s">
        <v>61</v>
      </c>
      <c r="F876" s="88">
        <v>0</v>
      </c>
      <c r="G876" s="78">
        <f>MAX(H876,I876,J876)</f>
        <v>1</v>
      </c>
      <c r="H876" s="88"/>
      <c r="I876" s="88"/>
      <c r="J876" s="78">
        <f>MAX(K876:Q876)</f>
        <v>1</v>
      </c>
      <c r="K876" s="88">
        <v>1</v>
      </c>
      <c r="L876" s="88"/>
      <c r="M876" s="88"/>
      <c r="N876" s="88"/>
      <c r="O876" s="88"/>
      <c r="P876" s="88"/>
      <c r="Q876" s="88"/>
      <c r="R876" s="78">
        <f>MAX(S876:W876)</f>
        <v>0</v>
      </c>
      <c r="S876" s="88"/>
      <c r="T876" s="88"/>
      <c r="U876" s="88"/>
      <c r="V876" s="88"/>
      <c r="W876" s="88"/>
    </row>
    <row r="877" spans="2:23" s="0" customFormat="0" ht="15">
      <c r="B877" s="87" t="s">
        <v>1</v>
      </c>
      <c r="C877" s="88" t="s">
        <v>5259</v>
      </c>
      <c r="D877" s="88">
        <v>23422500</v>
      </c>
      <c r="E877" s="88" t="s">
        <v>61</v>
      </c>
      <c r="F877" s="88">
        <v>0</v>
      </c>
      <c r="G877" s="78">
        <f>MAX(H877,I877,J877)</f>
        <v>1</v>
      </c>
      <c r="H877" s="88"/>
      <c r="I877" s="88"/>
      <c r="J877" s="78">
        <f>MAX(K877:Q877)</f>
        <v>1</v>
      </c>
      <c r="K877" s="88">
        <v>1</v>
      </c>
      <c r="L877" s="88"/>
      <c r="M877" s="88"/>
      <c r="N877" s="88"/>
      <c r="O877" s="88"/>
      <c r="P877" s="88"/>
      <c r="Q877" s="88"/>
      <c r="R877" s="78">
        <f>MAX(S877:W877)</f>
        <v>0</v>
      </c>
      <c r="S877" s="88"/>
      <c r="T877" s="88"/>
      <c r="U877" s="88"/>
      <c r="V877" s="88"/>
      <c r="W877" s="88"/>
    </row>
    <row r="878" spans="2:23" s="0" customFormat="0" ht="15">
      <c r="B878" s="87" t="s">
        <v>1</v>
      </c>
      <c r="C878" s="88" t="s">
        <v>5259</v>
      </c>
      <c r="D878" s="88">
        <v>4187635</v>
      </c>
      <c r="E878" s="88" t="s">
        <v>61</v>
      </c>
      <c r="F878" s="88">
        <v>0</v>
      </c>
      <c r="G878" s="78">
        <f>MAX(H878,I878,J878)</f>
        <v>1</v>
      </c>
      <c r="H878" s="88"/>
      <c r="I878" s="88"/>
      <c r="J878" s="78">
        <f>MAX(K878:Q878)</f>
        <v>1</v>
      </c>
      <c r="K878" s="88">
        <v>1</v>
      </c>
      <c r="L878" s="88"/>
      <c r="M878" s="88"/>
      <c r="N878" s="88"/>
      <c r="O878" s="88"/>
      <c r="P878" s="88"/>
      <c r="Q878" s="88"/>
      <c r="R878" s="78">
        <f>MAX(S878:W878)</f>
        <v>0</v>
      </c>
      <c r="S878" s="88"/>
      <c r="T878" s="88"/>
      <c r="U878" s="88"/>
      <c r="V878" s="88"/>
      <c r="W878" s="88"/>
    </row>
    <row r="879" spans="2:23" s="0" customFormat="0" ht="15">
      <c r="B879" s="87" t="s">
        <v>1</v>
      </c>
      <c r="C879" s="88" t="s">
        <v>5259</v>
      </c>
      <c r="D879" s="88" t="s">
        <v>809</v>
      </c>
      <c r="E879" s="88" t="s">
        <v>61</v>
      </c>
      <c r="F879" s="88">
        <v>0</v>
      </c>
      <c r="G879" s="78">
        <f>MAX(H879,I879,J879)</f>
        <v>1</v>
      </c>
      <c r="H879" s="88"/>
      <c r="I879" s="88"/>
      <c r="J879" s="78">
        <f>MAX(K879:Q879)</f>
        <v>1</v>
      </c>
      <c r="K879" s="88">
        <v>1</v>
      </c>
      <c r="L879" s="88"/>
      <c r="M879" s="88"/>
      <c r="N879" s="88"/>
      <c r="O879" s="88"/>
      <c r="P879" s="88"/>
      <c r="Q879" s="88"/>
      <c r="R879" s="78">
        <f>MAX(S879:W879)</f>
        <v>0</v>
      </c>
      <c r="S879" s="88"/>
      <c r="T879" s="88"/>
      <c r="U879" s="88"/>
      <c r="V879" s="88"/>
      <c r="W879" s="88"/>
    </row>
    <row r="880" spans="2:23" s="0" customFormat="0" ht="15">
      <c r="B880" s="87" t="s">
        <v>1</v>
      </c>
      <c r="C880" s="88" t="s">
        <v>5259</v>
      </c>
      <c r="D880" s="88">
        <v>24449320</v>
      </c>
      <c r="E880" s="88" t="s">
        <v>61</v>
      </c>
      <c r="F880" s="88">
        <v>0</v>
      </c>
      <c r="G880" s="78">
        <f>MAX(H880,I880,J880)</f>
        <v>1</v>
      </c>
      <c r="H880" s="88"/>
      <c r="I880" s="88"/>
      <c r="J880" s="78">
        <f>MAX(K880:Q880)</f>
        <v>1</v>
      </c>
      <c r="K880" s="88">
        <v>1</v>
      </c>
      <c r="L880" s="88"/>
      <c r="M880" s="88"/>
      <c r="N880" s="88"/>
      <c r="O880" s="88"/>
      <c r="P880" s="88"/>
      <c r="Q880" s="88"/>
      <c r="R880" s="78">
        <f>MAX(S880:W880)</f>
        <v>0</v>
      </c>
      <c r="S880" s="88"/>
      <c r="T880" s="88"/>
      <c r="U880" s="88"/>
      <c r="V880" s="88"/>
      <c r="W880" s="88"/>
    </row>
    <row r="881" spans="2:23" s="0" customFormat="0" ht="15">
      <c r="B881" s="87" t="s">
        <v>1</v>
      </c>
      <c r="C881" s="88" t="s">
        <v>5259</v>
      </c>
      <c r="D881" s="88">
        <v>15086004</v>
      </c>
      <c r="E881" s="88" t="s">
        <v>61</v>
      </c>
      <c r="F881" s="88">
        <v>0</v>
      </c>
      <c r="G881" s="78">
        <f>MAX(H881,I881,J881)</f>
        <v>0</v>
      </c>
      <c r="H881" s="88"/>
      <c r="I881" s="88"/>
      <c r="J881" s="78">
        <f>MAX(K881:Q881)</f>
        <v>0</v>
      </c>
      <c r="K881" s="88"/>
      <c r="L881" s="88"/>
      <c r="M881" s="88"/>
      <c r="N881" s="88"/>
      <c r="O881" s="88"/>
      <c r="P881" s="88"/>
      <c r="Q881" s="88"/>
      <c r="R881" s="78">
        <f>MAX(S881:W881)</f>
        <v>1</v>
      </c>
      <c r="S881" s="88"/>
      <c r="T881" s="88"/>
      <c r="U881" s="88">
        <v>1</v>
      </c>
      <c r="V881" s="88"/>
      <c r="W881" s="88"/>
    </row>
    <row r="882" spans="2:23" s="0" customFormat="0" ht="15">
      <c r="B882" s="87" t="s">
        <v>1</v>
      </c>
      <c r="C882" s="88" t="s">
        <v>5259</v>
      </c>
      <c r="D882" s="88">
        <v>12040183</v>
      </c>
      <c r="E882" s="88" t="s">
        <v>61</v>
      </c>
      <c r="F882" s="88">
        <v>0</v>
      </c>
      <c r="G882" s="78">
        <f>MAX(H882,I882,J882)</f>
        <v>1</v>
      </c>
      <c r="H882" s="88"/>
      <c r="I882" s="88"/>
      <c r="J882" s="78">
        <f>MAX(K882:Q882)</f>
        <v>1</v>
      </c>
      <c r="K882" s="88">
        <v>1</v>
      </c>
      <c r="L882" s="88"/>
      <c r="M882" s="88"/>
      <c r="N882" s="88"/>
      <c r="O882" s="88"/>
      <c r="P882" s="88"/>
      <c r="Q882" s="88"/>
      <c r="R882" s="78">
        <f>MAX(S882:W882)</f>
        <v>0</v>
      </c>
      <c r="S882" s="88"/>
      <c r="T882" s="88"/>
      <c r="U882" s="88"/>
      <c r="V882" s="88"/>
      <c r="W882" s="88"/>
    </row>
    <row r="883" spans="2:23" s="0" customFormat="0" ht="15">
      <c r="B883" s="87" t="s">
        <v>1</v>
      </c>
      <c r="C883" s="88" t="s">
        <v>5259</v>
      </c>
      <c r="D883" s="88">
        <v>23513473</v>
      </c>
      <c r="E883" s="88" t="s">
        <v>61</v>
      </c>
      <c r="F883" s="88">
        <v>0</v>
      </c>
      <c r="G883" s="78">
        <f>MAX(H883,I883,J883)</f>
        <v>1</v>
      </c>
      <c r="H883" s="88"/>
      <c r="I883" s="88"/>
      <c r="J883" s="78">
        <f>MAX(K883:Q883)</f>
        <v>1</v>
      </c>
      <c r="K883" s="88">
        <v>1</v>
      </c>
      <c r="L883" s="88"/>
      <c r="M883" s="88"/>
      <c r="N883" s="88"/>
      <c r="O883" s="88"/>
      <c r="P883" s="88"/>
      <c r="Q883" s="88"/>
      <c r="R883" s="78">
        <f>MAX(S883:W883)</f>
        <v>0</v>
      </c>
      <c r="S883" s="88"/>
      <c r="T883" s="88"/>
      <c r="U883" s="88"/>
      <c r="V883" s="88"/>
      <c r="W883" s="88"/>
    </row>
    <row r="884" spans="2:23" s="0" customFormat="0" ht="15">
      <c r="B884" s="87" t="s">
        <v>1</v>
      </c>
      <c r="C884" s="88" t="s">
        <v>5259</v>
      </c>
      <c r="D884" s="88">
        <v>17328098</v>
      </c>
      <c r="E884" s="88" t="s">
        <v>61</v>
      </c>
      <c r="F884" s="88">
        <v>0</v>
      </c>
      <c r="G884" s="78">
        <f>MAX(H884,I884,J884)</f>
        <v>1</v>
      </c>
      <c r="H884" s="88"/>
      <c r="I884" s="88"/>
      <c r="J884" s="78">
        <f>MAX(K884:Q884)</f>
        <v>1</v>
      </c>
      <c r="K884" s="88">
        <v>1</v>
      </c>
      <c r="L884" s="88"/>
      <c r="M884" s="88"/>
      <c r="N884" s="88"/>
      <c r="O884" s="88"/>
      <c r="P884" s="88"/>
      <c r="Q884" s="88"/>
      <c r="R884" s="78">
        <f>MAX(S884:W884)</f>
        <v>0</v>
      </c>
      <c r="S884" s="88"/>
      <c r="T884" s="88"/>
      <c r="U884" s="88"/>
      <c r="V884" s="88"/>
      <c r="W884" s="88"/>
    </row>
    <row r="885" spans="2:23" s="0" customFormat="0" ht="15">
      <c r="B885" s="87" t="s">
        <v>1</v>
      </c>
      <c r="C885" s="88" t="s">
        <v>5259</v>
      </c>
      <c r="D885" s="88">
        <v>22318845</v>
      </c>
      <c r="E885" s="88" t="s">
        <v>61</v>
      </c>
      <c r="F885" s="88">
        <v>0</v>
      </c>
      <c r="G885" s="78">
        <f>MAX(H885,I885,J885)</f>
        <v>1</v>
      </c>
      <c r="H885" s="88"/>
      <c r="I885" s="88"/>
      <c r="J885" s="78">
        <f>MAX(K885:Q885)</f>
        <v>1</v>
      </c>
      <c r="K885" s="88">
        <v>1</v>
      </c>
      <c r="L885" s="88"/>
      <c r="M885" s="88"/>
      <c r="N885" s="88"/>
      <c r="O885" s="88"/>
      <c r="P885" s="88"/>
      <c r="Q885" s="88"/>
      <c r="R885" s="78">
        <f>MAX(S885:W885)</f>
        <v>0</v>
      </c>
      <c r="S885" s="88"/>
      <c r="T885" s="88"/>
      <c r="U885" s="88"/>
      <c r="V885" s="88"/>
      <c r="W885" s="88"/>
    </row>
    <row r="886" spans="2:23" s="0" customFormat="0" ht="15">
      <c r="B886" s="87" t="s">
        <v>1</v>
      </c>
      <c r="C886" s="88" t="s">
        <v>5259</v>
      </c>
      <c r="D886" s="88" t="s">
        <v>3764</v>
      </c>
      <c r="E886" s="88" t="s">
        <v>61</v>
      </c>
      <c r="F886" s="88">
        <v>0</v>
      </c>
      <c r="G886" s="78">
        <f>MAX(H886,I886,J886)</f>
        <v>0</v>
      </c>
      <c r="H886" s="88"/>
      <c r="I886" s="88"/>
      <c r="J886" s="78">
        <f>MAX(K886:Q886)</f>
        <v>0</v>
      </c>
      <c r="K886" s="88"/>
      <c r="L886" s="88"/>
      <c r="M886" s="88"/>
      <c r="N886" s="88"/>
      <c r="O886" s="88"/>
      <c r="P886" s="88"/>
      <c r="Q886" s="88"/>
      <c r="R886" s="78">
        <f>MAX(S886:W886)</f>
        <v>1</v>
      </c>
      <c r="S886" s="88"/>
      <c r="T886" s="88"/>
      <c r="U886" s="88">
        <v>1</v>
      </c>
      <c r="V886" s="88"/>
      <c r="W886" s="88"/>
    </row>
    <row r="887" spans="2:23" s="0" customFormat="0" ht="15">
      <c r="B887" s="87" t="s">
        <v>1</v>
      </c>
      <c r="C887" s="88" t="s">
        <v>5259</v>
      </c>
      <c r="D887" s="88">
        <v>11009289</v>
      </c>
      <c r="E887" s="88" t="s">
        <v>61</v>
      </c>
      <c r="F887" s="88">
        <v>0</v>
      </c>
      <c r="G887" s="78">
        <f>MAX(H887,I887,J887)</f>
        <v>1</v>
      </c>
      <c r="H887" s="88"/>
      <c r="I887" s="88"/>
      <c r="J887" s="78">
        <f>MAX(K887:Q887)</f>
        <v>1</v>
      </c>
      <c r="K887" s="88">
        <v>1</v>
      </c>
      <c r="L887" s="88"/>
      <c r="M887" s="88"/>
      <c r="N887" s="88"/>
      <c r="O887" s="88"/>
      <c r="P887" s="88"/>
      <c r="Q887" s="88"/>
      <c r="R887" s="78">
        <f>MAX(S887:W887)</f>
        <v>0</v>
      </c>
      <c r="S887" s="88"/>
      <c r="T887" s="88"/>
      <c r="U887" s="88"/>
      <c r="V887" s="88"/>
      <c r="W887" s="88"/>
    </row>
    <row r="888" spans="2:23" s="0" customFormat="0" ht="15">
      <c r="B888" s="87" t="s">
        <v>1</v>
      </c>
      <c r="C888" s="88" t="s">
        <v>5259</v>
      </c>
      <c r="D888" s="88">
        <v>23858823</v>
      </c>
      <c r="E888" s="88" t="s">
        <v>61</v>
      </c>
      <c r="F888" s="88">
        <v>0</v>
      </c>
      <c r="G888" s="78">
        <f>MAX(H888,I888,J888)</f>
        <v>1</v>
      </c>
      <c r="H888" s="88"/>
      <c r="I888" s="88"/>
      <c r="J888" s="78">
        <f>MAX(K888:Q888)</f>
        <v>1</v>
      </c>
      <c r="K888" s="88">
        <v>1</v>
      </c>
      <c r="L888" s="88"/>
      <c r="M888" s="88"/>
      <c r="N888" s="88"/>
      <c r="O888" s="88"/>
      <c r="P888" s="88"/>
      <c r="Q888" s="88"/>
      <c r="R888" s="78">
        <f>MAX(S888:W888)</f>
        <v>0</v>
      </c>
      <c r="S888" s="88"/>
      <c r="T888" s="88"/>
      <c r="U888" s="88"/>
      <c r="V888" s="88"/>
      <c r="W888" s="88"/>
    </row>
    <row r="889" spans="2:23" s="0" customFormat="0" ht="15">
      <c r="B889" s="87" t="s">
        <v>1</v>
      </c>
      <c r="C889" s="88" t="s">
        <v>5259</v>
      </c>
      <c r="D889" s="88">
        <v>11396651</v>
      </c>
      <c r="E889" s="88" t="s">
        <v>61</v>
      </c>
      <c r="F889" s="88">
        <v>0</v>
      </c>
      <c r="G889" s="78">
        <f>MAX(H889,I889,J889)</f>
        <v>1</v>
      </c>
      <c r="H889" s="88"/>
      <c r="I889" s="88"/>
      <c r="J889" s="78">
        <f>MAX(K889:Q889)</f>
        <v>1</v>
      </c>
      <c r="K889" s="88">
        <v>1</v>
      </c>
      <c r="L889" s="88"/>
      <c r="M889" s="88"/>
      <c r="N889" s="88"/>
      <c r="O889" s="88"/>
      <c r="P889" s="88"/>
      <c r="Q889" s="88"/>
      <c r="R889" s="78">
        <f>MAX(S889:W889)</f>
        <v>0</v>
      </c>
      <c r="S889" s="88"/>
      <c r="T889" s="88"/>
      <c r="U889" s="88"/>
      <c r="V889" s="88"/>
      <c r="W889" s="88"/>
    </row>
    <row r="890" spans="2:23" s="0" customFormat="0" ht="15">
      <c r="B890" s="87" t="s">
        <v>1</v>
      </c>
      <c r="C890" s="88" t="s">
        <v>5259</v>
      </c>
      <c r="D890" s="88">
        <v>15481640</v>
      </c>
      <c r="E890" s="88" t="s">
        <v>61</v>
      </c>
      <c r="F890" s="88">
        <v>0</v>
      </c>
      <c r="G890" s="78">
        <f>MAX(H890,I890,J890)</f>
        <v>1</v>
      </c>
      <c r="H890" s="88"/>
      <c r="I890" s="88"/>
      <c r="J890" s="78">
        <f>MAX(K890:Q890)</f>
        <v>1</v>
      </c>
      <c r="K890" s="88">
        <v>1</v>
      </c>
      <c r="L890" s="88"/>
      <c r="M890" s="88"/>
      <c r="N890" s="88"/>
      <c r="O890" s="88"/>
      <c r="P890" s="88"/>
      <c r="Q890" s="88"/>
      <c r="R890" s="78">
        <f>MAX(S890:W890)</f>
        <v>0</v>
      </c>
      <c r="S890" s="88"/>
      <c r="T890" s="88"/>
      <c r="U890" s="88"/>
      <c r="V890" s="88"/>
      <c r="W890" s="88"/>
    </row>
    <row r="891" spans="2:23" s="0" customFormat="0" ht="15">
      <c r="B891" s="87" t="s">
        <v>1</v>
      </c>
      <c r="C891" s="88" t="s">
        <v>5259</v>
      </c>
      <c r="D891" s="88" t="s">
        <v>820</v>
      </c>
      <c r="E891" s="88" t="s">
        <v>61</v>
      </c>
      <c r="F891" s="88">
        <v>0</v>
      </c>
      <c r="G891" s="78">
        <f>MAX(H891,I891,J891)</f>
        <v>1</v>
      </c>
      <c r="H891" s="88"/>
      <c r="I891" s="88"/>
      <c r="J891" s="78">
        <f>MAX(K891:Q891)</f>
        <v>1</v>
      </c>
      <c r="K891" s="88">
        <v>1</v>
      </c>
      <c r="L891" s="88"/>
      <c r="M891" s="88"/>
      <c r="N891" s="88"/>
      <c r="O891" s="88"/>
      <c r="P891" s="88"/>
      <c r="Q891" s="88"/>
      <c r="R891" s="78">
        <f>MAX(S891:W891)</f>
        <v>0</v>
      </c>
      <c r="S891" s="88"/>
      <c r="T891" s="88"/>
      <c r="U891" s="88"/>
      <c r="V891" s="88"/>
      <c r="W891" s="88"/>
    </row>
    <row r="892" spans="2:23" s="0" customFormat="0" ht="15">
      <c r="B892" s="87" t="s">
        <v>1</v>
      </c>
      <c r="C892" s="88" t="s">
        <v>5259</v>
      </c>
      <c r="D892" s="88">
        <v>22623670</v>
      </c>
      <c r="E892" s="88" t="s">
        <v>61</v>
      </c>
      <c r="F892" s="88">
        <v>0</v>
      </c>
      <c r="G892" s="78">
        <f>MAX(H892,I892,J892)</f>
        <v>0</v>
      </c>
      <c r="H892" s="88"/>
      <c r="I892" s="88"/>
      <c r="J892" s="78">
        <f>MAX(K892:Q892)</f>
        <v>0</v>
      </c>
      <c r="K892" s="88"/>
      <c r="L892" s="88"/>
      <c r="M892" s="88"/>
      <c r="N892" s="88"/>
      <c r="O892" s="88"/>
      <c r="P892" s="88"/>
      <c r="Q892" s="88"/>
      <c r="R892" s="78">
        <f>MAX(S892:W892)</f>
        <v>1</v>
      </c>
      <c r="S892" s="88"/>
      <c r="T892" s="88"/>
      <c r="U892" s="88">
        <v>1</v>
      </c>
      <c r="V892" s="88"/>
      <c r="W892" s="88"/>
    </row>
    <row r="893" spans="2:23" s="0" customFormat="0" ht="15">
      <c r="B893" s="87" t="s">
        <v>1</v>
      </c>
      <c r="C893" s="88" t="s">
        <v>5259</v>
      </c>
      <c r="D893" s="88">
        <v>884301</v>
      </c>
      <c r="E893" s="88" t="s">
        <v>61</v>
      </c>
      <c r="F893" s="88">
        <v>0</v>
      </c>
      <c r="G893" s="78">
        <f>MAX(H893,I893,J893)</f>
        <v>1</v>
      </c>
      <c r="H893" s="88"/>
      <c r="I893" s="88"/>
      <c r="J893" s="78">
        <f>MAX(K893:Q893)</f>
        <v>1</v>
      </c>
      <c r="K893" s="88">
        <v>1</v>
      </c>
      <c r="L893" s="88"/>
      <c r="M893" s="88"/>
      <c r="N893" s="88"/>
      <c r="O893" s="88"/>
      <c r="P893" s="88"/>
      <c r="Q893" s="88"/>
      <c r="R893" s="78">
        <f>MAX(S893:W893)</f>
        <v>0</v>
      </c>
      <c r="S893" s="88"/>
      <c r="T893" s="88"/>
      <c r="U893" s="88"/>
      <c r="V893" s="88"/>
      <c r="W893" s="88"/>
    </row>
    <row r="894" spans="2:23" s="0" customFormat="0" ht="15">
      <c r="B894" s="87" t="s">
        <v>1</v>
      </c>
      <c r="C894" s="88" t="s">
        <v>5259</v>
      </c>
      <c r="D894" s="88">
        <v>14591488</v>
      </c>
      <c r="E894" s="88" t="s">
        <v>61</v>
      </c>
      <c r="F894" s="88">
        <v>0</v>
      </c>
      <c r="G894" s="78">
        <f>MAX(H894,I894,J894)</f>
        <v>1</v>
      </c>
      <c r="H894" s="88"/>
      <c r="I894" s="88"/>
      <c r="J894" s="78">
        <f>MAX(K894:Q894)</f>
        <v>1</v>
      </c>
      <c r="K894" s="88">
        <v>1</v>
      </c>
      <c r="L894" s="88"/>
      <c r="M894" s="88"/>
      <c r="N894" s="88"/>
      <c r="O894" s="88"/>
      <c r="P894" s="88"/>
      <c r="Q894" s="88"/>
      <c r="R894" s="78">
        <f>MAX(S894:W894)</f>
        <v>0</v>
      </c>
      <c r="S894" s="88"/>
      <c r="T894" s="88"/>
      <c r="U894" s="88"/>
      <c r="V894" s="88"/>
      <c r="W894" s="88"/>
    </row>
    <row r="895" spans="2:23" s="0" customFormat="0" ht="15">
      <c r="B895" s="87" t="s">
        <v>1</v>
      </c>
      <c r="C895" s="88" t="s">
        <v>5259</v>
      </c>
      <c r="D895" s="88">
        <v>9513772</v>
      </c>
      <c r="E895" s="88" t="s">
        <v>61</v>
      </c>
      <c r="F895" s="88">
        <v>0</v>
      </c>
      <c r="G895" s="78">
        <f>MAX(H895,I895,J895)</f>
        <v>1</v>
      </c>
      <c r="H895" s="88"/>
      <c r="I895" s="88"/>
      <c r="J895" s="78">
        <f>MAX(K895:Q895)</f>
        <v>1</v>
      </c>
      <c r="K895" s="88">
        <v>1</v>
      </c>
      <c r="L895" s="88"/>
      <c r="M895" s="88"/>
      <c r="N895" s="88"/>
      <c r="O895" s="88"/>
      <c r="P895" s="88"/>
      <c r="Q895" s="88"/>
      <c r="R895" s="78">
        <f>MAX(S895:W895)</f>
        <v>0</v>
      </c>
      <c r="S895" s="88"/>
      <c r="T895" s="88"/>
      <c r="U895" s="88"/>
      <c r="V895" s="88"/>
      <c r="W895" s="88"/>
    </row>
    <row r="896" spans="2:23" s="0" customFormat="0" ht="15">
      <c r="B896" s="87" t="s">
        <v>1</v>
      </c>
      <c r="C896" s="88" t="s">
        <v>5259</v>
      </c>
      <c r="D896" s="88">
        <v>23488989</v>
      </c>
      <c r="E896" s="88" t="s">
        <v>61</v>
      </c>
      <c r="F896" s="88">
        <v>0</v>
      </c>
      <c r="G896" s="78">
        <f>MAX(H896,I896,J896)</f>
        <v>1</v>
      </c>
      <c r="H896" s="88"/>
      <c r="I896" s="88"/>
      <c r="J896" s="78">
        <f>MAX(K896:Q896)</f>
        <v>1</v>
      </c>
      <c r="K896" s="88">
        <v>1</v>
      </c>
      <c r="L896" s="88"/>
      <c r="M896" s="88"/>
      <c r="N896" s="88"/>
      <c r="O896" s="88"/>
      <c r="P896" s="88"/>
      <c r="Q896" s="88"/>
      <c r="R896" s="78">
        <f>MAX(S896:W896)</f>
        <v>0</v>
      </c>
      <c r="S896" s="88"/>
      <c r="T896" s="88"/>
      <c r="U896" s="88"/>
      <c r="V896" s="88"/>
      <c r="W896" s="88"/>
    </row>
    <row r="897" spans="2:23" s="0" customFormat="0" ht="15">
      <c r="B897" s="87" t="s">
        <v>1</v>
      </c>
      <c r="C897" s="88" t="s">
        <v>5259</v>
      </c>
      <c r="D897" s="88" t="s">
        <v>824</v>
      </c>
      <c r="E897" s="88" t="s">
        <v>61</v>
      </c>
      <c r="F897" s="88">
        <v>0</v>
      </c>
      <c r="G897" s="78">
        <f>MAX(H897,I897,J897)</f>
        <v>1</v>
      </c>
      <c r="H897" s="88"/>
      <c r="I897" s="88"/>
      <c r="J897" s="78">
        <f>MAX(K897:Q897)</f>
        <v>1</v>
      </c>
      <c r="K897" s="88">
        <v>1</v>
      </c>
      <c r="L897" s="88"/>
      <c r="M897" s="88"/>
      <c r="N897" s="88"/>
      <c r="O897" s="88"/>
      <c r="P897" s="88"/>
      <c r="Q897" s="88"/>
      <c r="R897" s="78">
        <f>MAX(S897:W897)</f>
        <v>0</v>
      </c>
      <c r="S897" s="88"/>
      <c r="T897" s="88"/>
      <c r="U897" s="88"/>
      <c r="V897" s="88"/>
      <c r="W897" s="88"/>
    </row>
    <row r="898" spans="2:23" s="0" customFormat="0" ht="15">
      <c r="B898" s="87" t="s">
        <v>1</v>
      </c>
      <c r="C898" s="88" t="s">
        <v>5259</v>
      </c>
      <c r="D898" s="88" t="s">
        <v>3767</v>
      </c>
      <c r="E898" s="88" t="s">
        <v>61</v>
      </c>
      <c r="F898" s="88">
        <v>0</v>
      </c>
      <c r="G898" s="78">
        <f>MAX(H898,I898,J898)</f>
        <v>0</v>
      </c>
      <c r="H898" s="88"/>
      <c r="I898" s="88"/>
      <c r="J898" s="78">
        <f>MAX(K898:Q898)</f>
        <v>0</v>
      </c>
      <c r="K898" s="88"/>
      <c r="L898" s="88"/>
      <c r="M898" s="88"/>
      <c r="N898" s="88"/>
      <c r="O898" s="88"/>
      <c r="P898" s="88"/>
      <c r="Q898" s="88"/>
      <c r="R898" s="78">
        <f>MAX(S898:W898)</f>
        <v>1</v>
      </c>
      <c r="S898" s="88"/>
      <c r="T898" s="88"/>
      <c r="U898" s="88">
        <v>1</v>
      </c>
      <c r="V898" s="88"/>
      <c r="W898" s="88"/>
    </row>
    <row r="899" spans="2:23" s="0" customFormat="0" ht="15">
      <c r="B899" s="87" t="s">
        <v>1</v>
      </c>
      <c r="C899" s="88" t="s">
        <v>5259</v>
      </c>
      <c r="D899" s="88">
        <v>17470938</v>
      </c>
      <c r="E899" s="88" t="s">
        <v>61</v>
      </c>
      <c r="F899" s="88">
        <v>0</v>
      </c>
      <c r="G899" s="78">
        <f>MAX(H899,I899,J899)</f>
        <v>1</v>
      </c>
      <c r="H899" s="88"/>
      <c r="I899" s="88"/>
      <c r="J899" s="78">
        <f>MAX(K899:Q899)</f>
        <v>1</v>
      </c>
      <c r="K899" s="88">
        <v>1</v>
      </c>
      <c r="L899" s="88"/>
      <c r="M899" s="88"/>
      <c r="N899" s="88"/>
      <c r="O899" s="88"/>
      <c r="P899" s="88"/>
      <c r="Q899" s="88"/>
      <c r="R899" s="78">
        <f>MAX(S899:W899)</f>
        <v>0</v>
      </c>
      <c r="S899" s="88"/>
      <c r="T899" s="88"/>
      <c r="U899" s="88"/>
      <c r="V899" s="88"/>
      <c r="W899" s="88"/>
    </row>
    <row r="900" spans="2:23" s="0" customFormat="0" ht="15">
      <c r="B900" s="87" t="s">
        <v>1</v>
      </c>
      <c r="C900" s="88" t="s">
        <v>5259</v>
      </c>
      <c r="D900" s="88" t="s">
        <v>3769</v>
      </c>
      <c r="E900" s="88" t="s">
        <v>61</v>
      </c>
      <c r="F900" s="88">
        <v>0</v>
      </c>
      <c r="G900" s="78">
        <f>MAX(H900,I900,J900)</f>
        <v>0</v>
      </c>
      <c r="H900" s="88"/>
      <c r="I900" s="88"/>
      <c r="J900" s="78">
        <f>MAX(K900:Q900)</f>
        <v>0</v>
      </c>
      <c r="K900" s="88"/>
      <c r="L900" s="88"/>
      <c r="M900" s="88"/>
      <c r="N900" s="88"/>
      <c r="O900" s="88"/>
      <c r="P900" s="88"/>
      <c r="Q900" s="88"/>
      <c r="R900" s="78">
        <f>MAX(S900:W900)</f>
        <v>1</v>
      </c>
      <c r="S900" s="88"/>
      <c r="T900" s="88"/>
      <c r="U900" s="88">
        <v>1</v>
      </c>
      <c r="V900" s="88"/>
      <c r="W900" s="88"/>
    </row>
    <row r="901" spans="2:23" s="0" customFormat="0" ht="15">
      <c r="B901" s="87" t="s">
        <v>1</v>
      </c>
      <c r="C901" s="88" t="s">
        <v>5259</v>
      </c>
      <c r="D901" s="88" t="s">
        <v>3771</v>
      </c>
      <c r="E901" s="88" t="s">
        <v>61</v>
      </c>
      <c r="F901" s="88">
        <v>0</v>
      </c>
      <c r="G901" s="78">
        <f>MAX(H901,I901,J901)</f>
        <v>0</v>
      </c>
      <c r="H901" s="88"/>
      <c r="I901" s="88"/>
      <c r="J901" s="78">
        <f>MAX(K901:Q901)</f>
        <v>0</v>
      </c>
      <c r="K901" s="88"/>
      <c r="L901" s="88"/>
      <c r="M901" s="88"/>
      <c r="N901" s="88"/>
      <c r="O901" s="88"/>
      <c r="P901" s="88"/>
      <c r="Q901" s="88"/>
      <c r="R901" s="78">
        <f>MAX(S901:W901)</f>
        <v>1</v>
      </c>
      <c r="S901" s="88"/>
      <c r="T901" s="88"/>
      <c r="U901" s="88">
        <v>1</v>
      </c>
      <c r="V901" s="88"/>
      <c r="W901" s="88"/>
    </row>
    <row r="902" spans="2:23" s="0" customFormat="0" ht="15">
      <c r="B902" s="87" t="s">
        <v>1</v>
      </c>
      <c r="C902" s="88" t="s">
        <v>5259</v>
      </c>
      <c r="D902" s="88">
        <v>15540822</v>
      </c>
      <c r="E902" s="88" t="s">
        <v>61</v>
      </c>
      <c r="F902" s="88">
        <v>0</v>
      </c>
      <c r="G902" s="78">
        <f>MAX(H902,I902,J902)</f>
        <v>1</v>
      </c>
      <c r="H902" s="88"/>
      <c r="I902" s="88"/>
      <c r="J902" s="78">
        <f>MAX(K902:Q902)</f>
        <v>1</v>
      </c>
      <c r="K902" s="88">
        <v>1</v>
      </c>
      <c r="L902" s="88"/>
      <c r="M902" s="88"/>
      <c r="N902" s="88"/>
      <c r="O902" s="88"/>
      <c r="P902" s="88"/>
      <c r="Q902" s="88"/>
      <c r="R902" s="78">
        <f>MAX(S902:W902)</f>
        <v>0</v>
      </c>
      <c r="S902" s="88"/>
      <c r="T902" s="88"/>
      <c r="U902" s="88"/>
      <c r="V902" s="88"/>
      <c r="W902" s="88"/>
    </row>
    <row r="903" spans="2:23" s="0" customFormat="0" ht="15">
      <c r="B903" s="87" t="s">
        <v>1</v>
      </c>
      <c r="C903" s="88" t="s">
        <v>5259</v>
      </c>
      <c r="D903" s="88" t="s">
        <v>3773</v>
      </c>
      <c r="E903" s="88" t="s">
        <v>61</v>
      </c>
      <c r="F903" s="88">
        <v>0</v>
      </c>
      <c r="G903" s="78">
        <f>MAX(H903,I903,J903)</f>
        <v>0</v>
      </c>
      <c r="H903" s="88"/>
      <c r="I903" s="88"/>
      <c r="J903" s="78">
        <f>MAX(K903:Q903)</f>
        <v>0</v>
      </c>
      <c r="K903" s="88"/>
      <c r="L903" s="88"/>
      <c r="M903" s="88"/>
      <c r="N903" s="88"/>
      <c r="O903" s="88"/>
      <c r="P903" s="88"/>
      <c r="Q903" s="88"/>
      <c r="R903" s="78">
        <f>MAX(S903:W903)</f>
        <v>1</v>
      </c>
      <c r="S903" s="88"/>
      <c r="T903" s="88"/>
      <c r="U903" s="88">
        <v>1</v>
      </c>
      <c r="V903" s="88"/>
      <c r="W903" s="88"/>
    </row>
    <row r="904" spans="2:23" s="0" customFormat="0" ht="15">
      <c r="B904" s="87" t="s">
        <v>1</v>
      </c>
      <c r="C904" s="88" t="s">
        <v>5259</v>
      </c>
      <c r="D904" s="88" t="s">
        <v>3775</v>
      </c>
      <c r="E904" s="88" t="s">
        <v>61</v>
      </c>
      <c r="F904" s="88">
        <v>0</v>
      </c>
      <c r="G904" s="78">
        <f>MAX(H904,I904,J904)</f>
        <v>0</v>
      </c>
      <c r="H904" s="88"/>
      <c r="I904" s="88"/>
      <c r="J904" s="78">
        <f>MAX(K904:Q904)</f>
        <v>0</v>
      </c>
      <c r="K904" s="88"/>
      <c r="L904" s="88"/>
      <c r="M904" s="88"/>
      <c r="N904" s="88"/>
      <c r="O904" s="88"/>
      <c r="P904" s="88"/>
      <c r="Q904" s="88"/>
      <c r="R904" s="78">
        <f>MAX(S904:W904)</f>
        <v>1</v>
      </c>
      <c r="S904" s="88"/>
      <c r="T904" s="88"/>
      <c r="U904" s="88">
        <v>1</v>
      </c>
      <c r="V904" s="88"/>
      <c r="W904" s="88"/>
    </row>
    <row r="905" spans="2:23" s="0" customFormat="0" ht="15">
      <c r="B905" s="87" t="s">
        <v>1</v>
      </c>
      <c r="C905" s="88" t="s">
        <v>5259</v>
      </c>
      <c r="D905" s="88">
        <v>21272376</v>
      </c>
      <c r="E905" s="88" t="s">
        <v>61</v>
      </c>
      <c r="F905" s="88">
        <v>0</v>
      </c>
      <c r="G905" s="78">
        <f>MAX(H905,I905,J905)</f>
        <v>1</v>
      </c>
      <c r="H905" s="88"/>
      <c r="I905" s="88"/>
      <c r="J905" s="78">
        <f>MAX(K905:Q905)</f>
        <v>1</v>
      </c>
      <c r="K905" s="88">
        <v>1</v>
      </c>
      <c r="L905" s="88"/>
      <c r="M905" s="88"/>
      <c r="N905" s="88"/>
      <c r="O905" s="88"/>
      <c r="P905" s="88"/>
      <c r="Q905" s="88"/>
      <c r="R905" s="78">
        <f>MAX(S905:W905)</f>
        <v>0</v>
      </c>
      <c r="S905" s="88"/>
      <c r="T905" s="88"/>
      <c r="U905" s="88"/>
      <c r="V905" s="88"/>
      <c r="W905" s="88"/>
    </row>
    <row r="906" spans="2:23" s="0" customFormat="0" ht="15">
      <c r="B906" s="87" t="s">
        <v>1</v>
      </c>
      <c r="C906" s="88" t="s">
        <v>5259</v>
      </c>
      <c r="D906" s="88" t="s">
        <v>827</v>
      </c>
      <c r="E906" s="88" t="s">
        <v>61</v>
      </c>
      <c r="F906" s="88">
        <v>0</v>
      </c>
      <c r="G906" s="78">
        <f>MAX(H906,I906,J906)</f>
        <v>1</v>
      </c>
      <c r="H906" s="88"/>
      <c r="I906" s="88"/>
      <c r="J906" s="78">
        <f>MAX(K906:Q906)</f>
        <v>1</v>
      </c>
      <c r="K906" s="88">
        <v>1</v>
      </c>
      <c r="L906" s="88"/>
      <c r="M906" s="88"/>
      <c r="N906" s="88"/>
      <c r="O906" s="88"/>
      <c r="P906" s="88"/>
      <c r="Q906" s="88"/>
      <c r="R906" s="78">
        <f>MAX(S906:W906)</f>
        <v>0</v>
      </c>
      <c r="S906" s="88"/>
      <c r="T906" s="88"/>
      <c r="U906" s="88"/>
      <c r="V906" s="88"/>
      <c r="W906" s="88"/>
    </row>
    <row r="907" spans="2:23" s="0" customFormat="0" ht="15">
      <c r="B907" s="87" t="s">
        <v>1</v>
      </c>
      <c r="C907" s="88" t="s">
        <v>5259</v>
      </c>
      <c r="D907" s="88" t="s">
        <v>829</v>
      </c>
      <c r="E907" s="88" t="s">
        <v>61</v>
      </c>
      <c r="F907" s="88">
        <v>0</v>
      </c>
      <c r="G907" s="78">
        <f>MAX(H907,I907,J907)</f>
        <v>1</v>
      </c>
      <c r="H907" s="88"/>
      <c r="I907" s="88"/>
      <c r="J907" s="78">
        <f>MAX(K907:Q907)</f>
        <v>1</v>
      </c>
      <c r="K907" s="88">
        <v>1</v>
      </c>
      <c r="L907" s="88"/>
      <c r="M907" s="88"/>
      <c r="N907" s="88"/>
      <c r="O907" s="88"/>
      <c r="P907" s="88"/>
      <c r="Q907" s="88"/>
      <c r="R907" s="78">
        <f>MAX(S907:W907)</f>
        <v>0</v>
      </c>
      <c r="S907" s="88"/>
      <c r="T907" s="88"/>
      <c r="U907" s="88"/>
      <c r="V907" s="88"/>
      <c r="W907" s="88"/>
    </row>
    <row r="908" spans="2:23" s="0" customFormat="0" ht="15">
      <c r="B908" s="87" t="s">
        <v>1</v>
      </c>
      <c r="C908" s="88" t="s">
        <v>5259</v>
      </c>
      <c r="D908" s="88">
        <v>22554573</v>
      </c>
      <c r="E908" s="88" t="s">
        <v>61</v>
      </c>
      <c r="F908" s="88">
        <v>0</v>
      </c>
      <c r="G908" s="78">
        <f>MAX(H908,I908,J908)</f>
        <v>0</v>
      </c>
      <c r="H908" s="88"/>
      <c r="I908" s="88"/>
      <c r="J908" s="78">
        <f>MAX(K908:Q908)</f>
        <v>0</v>
      </c>
      <c r="K908" s="88"/>
      <c r="L908" s="88"/>
      <c r="M908" s="88"/>
      <c r="N908" s="88"/>
      <c r="O908" s="88"/>
      <c r="P908" s="88"/>
      <c r="Q908" s="88"/>
      <c r="R908" s="78">
        <f>MAX(S908:W908)</f>
        <v>1</v>
      </c>
      <c r="S908" s="88"/>
      <c r="T908" s="88"/>
      <c r="U908" s="88">
        <v>1</v>
      </c>
      <c r="V908" s="88"/>
      <c r="W908" s="88"/>
    </row>
    <row r="909" spans="2:23" s="0" customFormat="0" ht="15">
      <c r="B909" s="87" t="s">
        <v>1</v>
      </c>
      <c r="C909" s="88" t="s">
        <v>5259</v>
      </c>
      <c r="D909" s="88">
        <v>24423129</v>
      </c>
      <c r="E909" s="88" t="s">
        <v>61</v>
      </c>
      <c r="F909" s="88">
        <v>0</v>
      </c>
      <c r="G909" s="78">
        <f>MAX(H909,I909,J909)</f>
        <v>1</v>
      </c>
      <c r="H909" s="88"/>
      <c r="I909" s="88"/>
      <c r="J909" s="78">
        <f>MAX(K909:Q909)</f>
        <v>1</v>
      </c>
      <c r="K909" s="88">
        <v>1</v>
      </c>
      <c r="L909" s="88"/>
      <c r="M909" s="88"/>
      <c r="N909" s="88"/>
      <c r="O909" s="88"/>
      <c r="P909" s="88"/>
      <c r="Q909" s="88"/>
      <c r="R909" s="78">
        <f>MAX(S909:W909)</f>
        <v>0</v>
      </c>
      <c r="S909" s="88"/>
      <c r="T909" s="88"/>
      <c r="U909" s="88"/>
      <c r="V909" s="88"/>
      <c r="W909" s="88"/>
    </row>
    <row r="910" spans="2:23" s="0" customFormat="0" ht="15">
      <c r="B910" s="87" t="s">
        <v>1</v>
      </c>
      <c r="C910" s="88" t="s">
        <v>5259</v>
      </c>
      <c r="D910" s="88">
        <v>12828179</v>
      </c>
      <c r="E910" s="88" t="s">
        <v>61</v>
      </c>
      <c r="F910" s="88">
        <v>0</v>
      </c>
      <c r="G910" s="78">
        <f>MAX(H910,I910,J910)</f>
        <v>1</v>
      </c>
      <c r="H910" s="88"/>
      <c r="I910" s="88"/>
      <c r="J910" s="78">
        <f>MAX(K910:Q910)</f>
        <v>1</v>
      </c>
      <c r="K910" s="88">
        <v>1</v>
      </c>
      <c r="L910" s="88"/>
      <c r="M910" s="88"/>
      <c r="N910" s="88"/>
      <c r="O910" s="88"/>
      <c r="P910" s="88"/>
      <c r="Q910" s="88"/>
      <c r="R910" s="78">
        <f>MAX(S910:W910)</f>
        <v>0</v>
      </c>
      <c r="S910" s="88"/>
      <c r="T910" s="88"/>
      <c r="U910" s="88"/>
      <c r="V910" s="88"/>
      <c r="W910" s="88"/>
    </row>
    <row r="911" spans="2:23" s="0" customFormat="0" ht="15">
      <c r="B911" s="87" t="s">
        <v>1</v>
      </c>
      <c r="C911" s="88" t="s">
        <v>5259</v>
      </c>
      <c r="D911" s="88">
        <v>12151037</v>
      </c>
      <c r="E911" s="88" t="s">
        <v>61</v>
      </c>
      <c r="F911" s="88">
        <v>0</v>
      </c>
      <c r="G911" s="78">
        <f>MAX(H911,I911,J911)</f>
        <v>1</v>
      </c>
      <c r="H911" s="88"/>
      <c r="I911" s="88"/>
      <c r="J911" s="78">
        <f>MAX(K911:Q911)</f>
        <v>1</v>
      </c>
      <c r="K911" s="88">
        <v>1</v>
      </c>
      <c r="L911" s="88"/>
      <c r="M911" s="88"/>
      <c r="N911" s="88"/>
      <c r="O911" s="88"/>
      <c r="P911" s="88"/>
      <c r="Q911" s="88"/>
      <c r="R911" s="78">
        <f>MAX(S911:W911)</f>
        <v>0</v>
      </c>
      <c r="S911" s="88"/>
      <c r="T911" s="88"/>
      <c r="U911" s="88"/>
      <c r="V911" s="88"/>
      <c r="W911" s="88"/>
    </row>
    <row r="912" spans="2:23" s="0" customFormat="0" ht="15">
      <c r="B912" s="87" t="s">
        <v>1</v>
      </c>
      <c r="C912" s="88" t="s">
        <v>5259</v>
      </c>
      <c r="D912" s="88">
        <v>12557692</v>
      </c>
      <c r="E912" s="88" t="s">
        <v>61</v>
      </c>
      <c r="F912" s="88">
        <v>0</v>
      </c>
      <c r="G912" s="78">
        <f>MAX(H912,I912,J912)</f>
        <v>1</v>
      </c>
      <c r="H912" s="88"/>
      <c r="I912" s="88"/>
      <c r="J912" s="78">
        <f>MAX(K912:Q912)</f>
        <v>1</v>
      </c>
      <c r="K912" s="88">
        <v>1</v>
      </c>
      <c r="L912" s="88"/>
      <c r="M912" s="88"/>
      <c r="N912" s="88"/>
      <c r="O912" s="88"/>
      <c r="P912" s="88"/>
      <c r="Q912" s="88"/>
      <c r="R912" s="78">
        <f>MAX(S912:W912)</f>
        <v>0</v>
      </c>
      <c r="S912" s="88"/>
      <c r="T912" s="88"/>
      <c r="U912" s="88"/>
      <c r="V912" s="88"/>
      <c r="W912" s="88"/>
    </row>
    <row r="913" spans="2:23" s="0" customFormat="0" ht="15">
      <c r="B913" s="87" t="s">
        <v>1</v>
      </c>
      <c r="C913" s="88" t="s">
        <v>5259</v>
      </c>
      <c r="D913" s="88" t="s">
        <v>3778</v>
      </c>
      <c r="E913" s="88" t="s">
        <v>61</v>
      </c>
      <c r="F913" s="88">
        <v>0</v>
      </c>
      <c r="G913" s="78">
        <f>MAX(H913,I913,J913)</f>
        <v>0</v>
      </c>
      <c r="H913" s="88"/>
      <c r="I913" s="88"/>
      <c r="J913" s="78">
        <f>MAX(K913:Q913)</f>
        <v>0</v>
      </c>
      <c r="K913" s="88"/>
      <c r="L913" s="88"/>
      <c r="M913" s="88"/>
      <c r="N913" s="88"/>
      <c r="O913" s="88"/>
      <c r="P913" s="88"/>
      <c r="Q913" s="88"/>
      <c r="R913" s="78">
        <f>MAX(S913:W913)</f>
        <v>1</v>
      </c>
      <c r="S913" s="88"/>
      <c r="T913" s="88"/>
      <c r="U913" s="88">
        <v>1</v>
      </c>
      <c r="V913" s="88"/>
      <c r="W913" s="88"/>
    </row>
    <row r="914" spans="2:23" s="0" customFormat="0" ht="15">
      <c r="B914" s="87" t="s">
        <v>1</v>
      </c>
      <c r="C914" s="88" t="s">
        <v>5259</v>
      </c>
      <c r="D914" s="88" t="s">
        <v>835</v>
      </c>
      <c r="E914" s="88" t="s">
        <v>61</v>
      </c>
      <c r="F914" s="88">
        <v>0</v>
      </c>
      <c r="G914" s="78">
        <f>MAX(H914,I914,J914)</f>
        <v>1</v>
      </c>
      <c r="H914" s="88"/>
      <c r="I914" s="88"/>
      <c r="J914" s="78">
        <f>MAX(K914:Q914)</f>
        <v>1</v>
      </c>
      <c r="K914" s="88">
        <v>1</v>
      </c>
      <c r="L914" s="88"/>
      <c r="M914" s="88"/>
      <c r="N914" s="88"/>
      <c r="O914" s="88"/>
      <c r="P914" s="88"/>
      <c r="Q914" s="88"/>
      <c r="R914" s="78">
        <f>MAX(S914:W914)</f>
        <v>0</v>
      </c>
      <c r="S914" s="88"/>
      <c r="T914" s="88"/>
      <c r="U914" s="88"/>
      <c r="V914" s="88"/>
      <c r="W914" s="88"/>
    </row>
    <row r="915" spans="2:23" s="0" customFormat="0" ht="15">
      <c r="B915" s="87" t="s">
        <v>1</v>
      </c>
      <c r="C915" s="88" t="s">
        <v>5259</v>
      </c>
      <c r="D915" s="88">
        <v>19695570</v>
      </c>
      <c r="E915" s="88" t="s">
        <v>61</v>
      </c>
      <c r="F915" s="88">
        <v>0</v>
      </c>
      <c r="G915" s="78">
        <f>MAX(H915,I915,J915)</f>
        <v>1</v>
      </c>
      <c r="H915" s="88"/>
      <c r="I915" s="88"/>
      <c r="J915" s="78">
        <f>MAX(K915:Q915)</f>
        <v>1</v>
      </c>
      <c r="K915" s="88">
        <v>1</v>
      </c>
      <c r="L915" s="88"/>
      <c r="M915" s="88"/>
      <c r="N915" s="88"/>
      <c r="O915" s="88"/>
      <c r="P915" s="88"/>
      <c r="Q915" s="88"/>
      <c r="R915" s="78">
        <f>MAX(S915:W915)</f>
        <v>0</v>
      </c>
      <c r="S915" s="88"/>
      <c r="T915" s="88"/>
      <c r="U915" s="88"/>
      <c r="V915" s="88"/>
      <c r="W915" s="88"/>
    </row>
    <row r="916" spans="2:23" s="0" customFormat="0" ht="15">
      <c r="B916" s="87" t="s">
        <v>1</v>
      </c>
      <c r="C916" s="88" t="s">
        <v>5259</v>
      </c>
      <c r="D916" s="88">
        <v>17619850</v>
      </c>
      <c r="E916" s="88" t="s">
        <v>61</v>
      </c>
      <c r="F916" s="88">
        <v>0</v>
      </c>
      <c r="G916" s="78">
        <f>MAX(H916,I916,J916)</f>
        <v>0</v>
      </c>
      <c r="H916" s="88"/>
      <c r="I916" s="88"/>
      <c r="J916" s="78">
        <f>MAX(K916:Q916)</f>
        <v>0</v>
      </c>
      <c r="K916" s="88"/>
      <c r="L916" s="88"/>
      <c r="M916" s="88"/>
      <c r="N916" s="88"/>
      <c r="O916" s="88"/>
      <c r="P916" s="88"/>
      <c r="Q916" s="88"/>
      <c r="R916" s="78">
        <f>MAX(S916:W916)</f>
        <v>1</v>
      </c>
      <c r="S916" s="88"/>
      <c r="T916" s="88"/>
      <c r="U916" s="88">
        <v>1</v>
      </c>
      <c r="V916" s="88"/>
      <c r="W916" s="88"/>
    </row>
    <row r="917" spans="2:23" s="0" customFormat="0" ht="15">
      <c r="B917" s="87" t="s">
        <v>1</v>
      </c>
      <c r="C917" s="88" t="s">
        <v>5259</v>
      </c>
      <c r="D917" s="88">
        <v>11248835</v>
      </c>
      <c r="E917" s="88" t="s">
        <v>61</v>
      </c>
      <c r="F917" s="88">
        <v>0</v>
      </c>
      <c r="G917" s="78">
        <f>MAX(H917,I917,J917)</f>
        <v>0</v>
      </c>
      <c r="H917" s="88"/>
      <c r="I917" s="88"/>
      <c r="J917" s="78">
        <f>MAX(K917:Q917)</f>
        <v>0</v>
      </c>
      <c r="K917" s="88"/>
      <c r="L917" s="88"/>
      <c r="M917" s="88"/>
      <c r="N917" s="88"/>
      <c r="O917" s="88"/>
      <c r="P917" s="88"/>
      <c r="Q917" s="88"/>
      <c r="R917" s="78">
        <f>MAX(S917:W917)</f>
        <v>1</v>
      </c>
      <c r="S917" s="88"/>
      <c r="T917" s="88"/>
      <c r="U917" s="88">
        <v>1</v>
      </c>
      <c r="V917" s="88"/>
      <c r="W917" s="88"/>
    </row>
    <row r="918" spans="2:23" s="0" customFormat="0" ht="15">
      <c r="B918" s="87" t="s">
        <v>1</v>
      </c>
      <c r="C918" s="88" t="s">
        <v>5259</v>
      </c>
      <c r="D918" s="88" t="s">
        <v>3782</v>
      </c>
      <c r="E918" s="88" t="s">
        <v>61</v>
      </c>
      <c r="F918" s="88">
        <v>0</v>
      </c>
      <c r="G918" s="78">
        <f>MAX(H918,I918,J918)</f>
        <v>0</v>
      </c>
      <c r="H918" s="88"/>
      <c r="I918" s="88"/>
      <c r="J918" s="78">
        <f>MAX(K918:Q918)</f>
        <v>0</v>
      </c>
      <c r="K918" s="88"/>
      <c r="L918" s="88"/>
      <c r="M918" s="88"/>
      <c r="N918" s="88"/>
      <c r="O918" s="88"/>
      <c r="P918" s="88"/>
      <c r="Q918" s="88"/>
      <c r="R918" s="78">
        <f>MAX(S918:W918)</f>
        <v>1</v>
      </c>
      <c r="S918" s="88"/>
      <c r="T918" s="88"/>
      <c r="U918" s="88">
        <v>1</v>
      </c>
      <c r="V918" s="88"/>
      <c r="W918" s="88"/>
    </row>
    <row r="919" spans="2:23" s="0" customFormat="0" ht="15">
      <c r="B919" s="87" t="s">
        <v>1</v>
      </c>
      <c r="C919" s="88" t="s">
        <v>5259</v>
      </c>
      <c r="D919" s="88" t="s">
        <v>3784</v>
      </c>
      <c r="E919" s="88" t="s">
        <v>61</v>
      </c>
      <c r="F919" s="88">
        <v>0</v>
      </c>
      <c r="G919" s="78">
        <f>MAX(H919,I919,J919)</f>
        <v>0</v>
      </c>
      <c r="H919" s="88"/>
      <c r="I919" s="88"/>
      <c r="J919" s="78">
        <f>MAX(K919:Q919)</f>
        <v>0</v>
      </c>
      <c r="K919" s="88"/>
      <c r="L919" s="88"/>
      <c r="M919" s="88"/>
      <c r="N919" s="88"/>
      <c r="O919" s="88"/>
      <c r="P919" s="88"/>
      <c r="Q919" s="88"/>
      <c r="R919" s="78">
        <f>MAX(S919:W919)</f>
        <v>1</v>
      </c>
      <c r="S919" s="88"/>
      <c r="T919" s="88"/>
      <c r="U919" s="88">
        <v>1</v>
      </c>
      <c r="V919" s="88"/>
      <c r="W919" s="88"/>
    </row>
    <row r="920" spans="2:23" s="0" customFormat="0" ht="15">
      <c r="B920" s="87" t="s">
        <v>1</v>
      </c>
      <c r="C920" s="88" t="s">
        <v>5259</v>
      </c>
      <c r="D920" s="88">
        <v>20892696</v>
      </c>
      <c r="E920" s="88" t="s">
        <v>55</v>
      </c>
      <c r="F920" s="88">
        <v>0</v>
      </c>
      <c r="G920" s="78">
        <f>MAX(H920,I920,J920)</f>
        <v>1</v>
      </c>
      <c r="H920" s="88"/>
      <c r="I920" s="88"/>
      <c r="J920" s="78">
        <f>MAX(K920:Q920)</f>
        <v>1</v>
      </c>
      <c r="K920" s="88">
        <v>1</v>
      </c>
      <c r="L920" s="88"/>
      <c r="M920" s="88"/>
      <c r="N920" s="88"/>
      <c r="O920" s="88"/>
      <c r="P920" s="88"/>
      <c r="Q920" s="88"/>
      <c r="R920" s="78">
        <f>MAX(S920:W920)</f>
        <v>0</v>
      </c>
      <c r="S920" s="88"/>
      <c r="T920" s="88"/>
      <c r="U920" s="88"/>
      <c r="V920" s="88"/>
      <c r="W920" s="88"/>
    </row>
    <row r="921" spans="2:23" s="0" customFormat="0" ht="15">
      <c r="B921" s="87" t="s">
        <v>1</v>
      </c>
      <c r="C921" s="88" t="s">
        <v>5259</v>
      </c>
      <c r="D921" s="88">
        <v>961384</v>
      </c>
      <c r="E921" s="88" t="s">
        <v>55</v>
      </c>
      <c r="F921" s="88">
        <v>0</v>
      </c>
      <c r="G921" s="78">
        <f>MAX(H921,I921,J921)</f>
        <v>1</v>
      </c>
      <c r="H921" s="88"/>
      <c r="I921" s="88"/>
      <c r="J921" s="78">
        <f>MAX(K921:Q921)</f>
        <v>1</v>
      </c>
      <c r="K921" s="88"/>
      <c r="L921" s="88"/>
      <c r="M921" s="88"/>
      <c r="N921" s="88">
        <v>1</v>
      </c>
      <c r="O921" s="88"/>
      <c r="P921" s="88"/>
      <c r="Q921" s="88"/>
      <c r="R921" s="78">
        <f>MAX(S921:W921)</f>
        <v>0</v>
      </c>
      <c r="S921" s="88"/>
      <c r="T921" s="88"/>
      <c r="U921" s="88"/>
      <c r="V921" s="88"/>
      <c r="W921" s="88"/>
    </row>
    <row r="922" spans="2:23" s="0" customFormat="0" ht="15">
      <c r="B922" s="87" t="s">
        <v>1</v>
      </c>
      <c r="C922" s="88" t="s">
        <v>5259</v>
      </c>
      <c r="D922" s="88">
        <v>9290119</v>
      </c>
      <c r="E922" s="88" t="s">
        <v>55</v>
      </c>
      <c r="F922" s="88">
        <v>0</v>
      </c>
      <c r="G922" s="78">
        <f>MAX(H922,I922,J922)</f>
        <v>1</v>
      </c>
      <c r="H922" s="88"/>
      <c r="I922" s="88"/>
      <c r="J922" s="78">
        <f>MAX(K922:Q922)</f>
        <v>1</v>
      </c>
      <c r="K922" s="88">
        <v>1</v>
      </c>
      <c r="L922" s="88"/>
      <c r="M922" s="88"/>
      <c r="N922" s="88"/>
      <c r="O922" s="88"/>
      <c r="P922" s="88"/>
      <c r="Q922" s="88"/>
      <c r="R922" s="78">
        <f>MAX(S922:W922)</f>
        <v>0</v>
      </c>
      <c r="S922" s="88"/>
      <c r="T922" s="88"/>
      <c r="U922" s="88"/>
      <c r="V922" s="88"/>
      <c r="W922" s="88"/>
    </row>
    <row r="923" spans="2:23" s="0" customFormat="0" ht="15">
      <c r="B923" s="87" t="s">
        <v>1</v>
      </c>
      <c r="C923" s="88" t="s">
        <v>5259</v>
      </c>
      <c r="D923" s="88">
        <v>404965</v>
      </c>
      <c r="E923" s="88" t="s">
        <v>55</v>
      </c>
      <c r="F923" s="88">
        <v>0</v>
      </c>
      <c r="G923" s="78">
        <f>MAX(H923,I923,J923)</f>
        <v>1</v>
      </c>
      <c r="H923" s="88"/>
      <c r="I923" s="88"/>
      <c r="J923" s="78">
        <f>MAX(K923:Q923)</f>
        <v>1</v>
      </c>
      <c r="K923" s="88"/>
      <c r="L923" s="88"/>
      <c r="M923" s="88"/>
      <c r="N923" s="88">
        <v>1</v>
      </c>
      <c r="O923" s="88"/>
      <c r="P923" s="88"/>
      <c r="Q923" s="88"/>
      <c r="R923" s="78">
        <f>MAX(S923:W923)</f>
        <v>0</v>
      </c>
      <c r="S923" s="88"/>
      <c r="T923" s="88"/>
      <c r="U923" s="88"/>
      <c r="V923" s="88"/>
      <c r="W923" s="88"/>
    </row>
    <row r="924" spans="2:23" s="0" customFormat="0" ht="15">
      <c r="B924" s="87" t="s">
        <v>1</v>
      </c>
      <c r="C924" s="88" t="s">
        <v>5259</v>
      </c>
      <c r="D924" s="88">
        <v>2402965</v>
      </c>
      <c r="E924" s="88" t="s">
        <v>55</v>
      </c>
      <c r="F924" s="88">
        <v>0</v>
      </c>
      <c r="G924" s="78">
        <f>MAX(H924,I924,J924)</f>
        <v>1</v>
      </c>
      <c r="H924" s="88"/>
      <c r="I924" s="88"/>
      <c r="J924" s="78">
        <f>MAX(K924:Q924)</f>
        <v>1</v>
      </c>
      <c r="K924" s="88"/>
      <c r="L924" s="88"/>
      <c r="M924" s="88"/>
      <c r="N924" s="88">
        <v>1</v>
      </c>
      <c r="O924" s="88"/>
      <c r="P924" s="88"/>
      <c r="Q924" s="88"/>
      <c r="R924" s="78">
        <f>MAX(S924:W924)</f>
        <v>0</v>
      </c>
      <c r="S924" s="88"/>
      <c r="T924" s="88"/>
      <c r="U924" s="88"/>
      <c r="V924" s="88"/>
      <c r="W924" s="88"/>
    </row>
    <row r="925" spans="2:23" s="0" customFormat="0" ht="15">
      <c r="B925" s="87" t="s">
        <v>1</v>
      </c>
      <c r="C925" s="88" t="s">
        <v>5259</v>
      </c>
      <c r="D925" s="88">
        <v>421102</v>
      </c>
      <c r="E925" s="88" t="s">
        <v>55</v>
      </c>
      <c r="F925" s="88">
        <v>0</v>
      </c>
      <c r="G925" s="78">
        <f>MAX(H925,I925,J925)</f>
        <v>1</v>
      </c>
      <c r="H925" s="88"/>
      <c r="I925" s="88"/>
      <c r="J925" s="78">
        <f>MAX(K925:Q925)</f>
        <v>1</v>
      </c>
      <c r="K925" s="88"/>
      <c r="L925" s="88"/>
      <c r="M925" s="88"/>
      <c r="N925" s="88">
        <v>1</v>
      </c>
      <c r="O925" s="88"/>
      <c r="P925" s="88"/>
      <c r="Q925" s="88"/>
      <c r="R925" s="78">
        <f>MAX(S925:W925)</f>
        <v>0</v>
      </c>
      <c r="S925" s="88"/>
      <c r="T925" s="88"/>
      <c r="U925" s="88"/>
      <c r="V925" s="88"/>
      <c r="W925" s="88"/>
    </row>
    <row r="926" spans="2:23" s="0" customFormat="0" ht="15">
      <c r="B926" s="87" t="s">
        <v>1</v>
      </c>
      <c r="C926" s="88" t="s">
        <v>5259</v>
      </c>
      <c r="D926" s="88">
        <v>357823</v>
      </c>
      <c r="E926" s="88" t="s">
        <v>55</v>
      </c>
      <c r="F926" s="88">
        <v>0</v>
      </c>
      <c r="G926" s="78">
        <f>MAX(H926,I926,J926)</f>
        <v>1</v>
      </c>
      <c r="H926" s="88"/>
      <c r="I926" s="88"/>
      <c r="J926" s="78">
        <f>MAX(K926:Q926)</f>
        <v>1</v>
      </c>
      <c r="K926" s="88"/>
      <c r="L926" s="88"/>
      <c r="M926" s="88"/>
      <c r="N926" s="88">
        <v>1</v>
      </c>
      <c r="O926" s="88"/>
      <c r="P926" s="88"/>
      <c r="Q926" s="88"/>
      <c r="R926" s="78">
        <f>MAX(S926:W926)</f>
        <v>0</v>
      </c>
      <c r="S926" s="88"/>
      <c r="T926" s="88"/>
      <c r="U926" s="88"/>
      <c r="V926" s="88"/>
      <c r="W926" s="88"/>
    </row>
    <row r="927" spans="2:23" s="0" customFormat="0" ht="15">
      <c r="B927" s="87" t="s">
        <v>1</v>
      </c>
      <c r="C927" s="88" t="s">
        <v>5259</v>
      </c>
      <c r="D927" s="88">
        <v>629102</v>
      </c>
      <c r="E927" s="88" t="s">
        <v>55</v>
      </c>
      <c r="F927" s="88">
        <v>0</v>
      </c>
      <c r="G927" s="78">
        <f>MAX(H927,I927,J927)</f>
        <v>1</v>
      </c>
      <c r="H927" s="88"/>
      <c r="I927" s="88"/>
      <c r="J927" s="78">
        <f>MAX(K927:Q927)</f>
        <v>1</v>
      </c>
      <c r="K927" s="88"/>
      <c r="L927" s="88"/>
      <c r="M927" s="88"/>
      <c r="N927" s="88">
        <v>1</v>
      </c>
      <c r="O927" s="88"/>
      <c r="P927" s="88"/>
      <c r="Q927" s="88"/>
      <c r="R927" s="78">
        <f>MAX(S927:W927)</f>
        <v>0</v>
      </c>
      <c r="S927" s="88"/>
      <c r="T927" s="88"/>
      <c r="U927" s="88"/>
      <c r="V927" s="88"/>
      <c r="W927" s="88"/>
    </row>
    <row r="928" spans="2:23" s="0" customFormat="0" ht="15">
      <c r="B928" s="87" t="s">
        <v>1</v>
      </c>
      <c r="C928" s="88" t="s">
        <v>5259</v>
      </c>
      <c r="D928" s="88">
        <v>20113398</v>
      </c>
      <c r="E928" s="88" t="s">
        <v>61</v>
      </c>
      <c r="F928" s="88">
        <v>0</v>
      </c>
      <c r="G928" s="78">
        <f>MAX(H928,I928,J928)</f>
        <v>1</v>
      </c>
      <c r="H928" s="88"/>
      <c r="I928" s="88"/>
      <c r="J928" s="78">
        <f>MAX(K928:Q928)</f>
        <v>1</v>
      </c>
      <c r="K928" s="88">
        <v>1</v>
      </c>
      <c r="L928" s="88"/>
      <c r="M928" s="88"/>
      <c r="N928" s="88"/>
      <c r="O928" s="88"/>
      <c r="P928" s="88"/>
      <c r="Q928" s="88"/>
      <c r="R928" s="78">
        <f>MAX(S928:W928)</f>
        <v>0</v>
      </c>
      <c r="S928" s="88"/>
      <c r="T928" s="88"/>
      <c r="U928" s="88"/>
      <c r="V928" s="88"/>
      <c r="W928" s="88"/>
    </row>
    <row r="929" spans="2:23" s="0" customFormat="0" ht="15">
      <c r="B929" s="87" t="s">
        <v>1</v>
      </c>
      <c r="C929" s="88" t="s">
        <v>5259</v>
      </c>
      <c r="D929" s="88">
        <v>421101</v>
      </c>
      <c r="E929" s="88" t="s">
        <v>55</v>
      </c>
      <c r="F929" s="88">
        <v>0</v>
      </c>
      <c r="G929" s="78">
        <f>MAX(H929,I929,J929)</f>
        <v>1</v>
      </c>
      <c r="H929" s="88"/>
      <c r="I929" s="88"/>
      <c r="J929" s="78">
        <f>MAX(K929:Q929)</f>
        <v>1</v>
      </c>
      <c r="K929" s="88"/>
      <c r="L929" s="88"/>
      <c r="M929" s="88"/>
      <c r="N929" s="88">
        <v>1</v>
      </c>
      <c r="O929" s="88"/>
      <c r="P929" s="88"/>
      <c r="Q929" s="88"/>
      <c r="R929" s="78">
        <f>MAX(S929:W929)</f>
        <v>0</v>
      </c>
      <c r="S929" s="88"/>
      <c r="T929" s="88"/>
      <c r="U929" s="88"/>
      <c r="V929" s="88"/>
      <c r="W929" s="88"/>
    </row>
    <row r="930" spans="2:23" s="0" customFormat="0" ht="15">
      <c r="B930" s="87" t="s">
        <v>1</v>
      </c>
      <c r="C930" s="88" t="s">
        <v>5259</v>
      </c>
      <c r="D930" s="88">
        <v>477552</v>
      </c>
      <c r="E930" s="88" t="s">
        <v>55</v>
      </c>
      <c r="F930" s="88">
        <v>0</v>
      </c>
      <c r="G930" s="78">
        <f>MAX(H930,I930,J930)</f>
        <v>1</v>
      </c>
      <c r="H930" s="88"/>
      <c r="I930" s="88"/>
      <c r="J930" s="78">
        <f>MAX(K930:Q930)</f>
        <v>1</v>
      </c>
      <c r="K930" s="88"/>
      <c r="L930" s="88"/>
      <c r="M930" s="88"/>
      <c r="N930" s="88">
        <v>1</v>
      </c>
      <c r="O930" s="88"/>
      <c r="P930" s="88"/>
      <c r="Q930" s="88"/>
      <c r="R930" s="78">
        <f>MAX(S930:W930)</f>
        <v>0</v>
      </c>
      <c r="S930" s="88"/>
      <c r="T930" s="88"/>
      <c r="U930" s="88"/>
      <c r="V930" s="88"/>
      <c r="W930" s="88"/>
    </row>
    <row r="931" spans="2:23" s="0" customFormat="0" ht="15">
      <c r="B931" s="87" t="s">
        <v>1</v>
      </c>
      <c r="C931" s="88" t="s">
        <v>5259</v>
      </c>
      <c r="D931" s="88">
        <v>2265534</v>
      </c>
      <c r="E931" s="88" t="s">
        <v>55</v>
      </c>
      <c r="F931" s="88">
        <v>0</v>
      </c>
      <c r="G931" s="78">
        <f>MAX(H931,I931,J931)</f>
        <v>1</v>
      </c>
      <c r="H931" s="88"/>
      <c r="I931" s="88"/>
      <c r="J931" s="78">
        <f>MAX(K931:Q931)</f>
        <v>1</v>
      </c>
      <c r="K931" s="88"/>
      <c r="L931" s="88"/>
      <c r="M931" s="88"/>
      <c r="N931" s="88">
        <v>1</v>
      </c>
      <c r="O931" s="88"/>
      <c r="P931" s="88"/>
      <c r="Q931" s="88"/>
      <c r="R931" s="78">
        <f>MAX(S931:W931)</f>
        <v>0</v>
      </c>
      <c r="S931" s="88"/>
      <c r="T931" s="88"/>
      <c r="U931" s="88"/>
      <c r="V931" s="88"/>
      <c r="W931" s="88"/>
    </row>
    <row r="932" spans="2:23" s="0" customFormat="0" ht="15">
      <c r="B932" s="87" t="s">
        <v>1</v>
      </c>
      <c r="C932" s="88" t="s">
        <v>5259</v>
      </c>
      <c r="D932" s="88">
        <v>2321380</v>
      </c>
      <c r="E932" s="88" t="s">
        <v>55</v>
      </c>
      <c r="F932" s="88">
        <v>0</v>
      </c>
      <c r="G932" s="78">
        <f>MAX(H932,I932,J932)</f>
        <v>1</v>
      </c>
      <c r="H932" s="88"/>
      <c r="I932" s="88"/>
      <c r="J932" s="78">
        <f>MAX(K932:Q932)</f>
        <v>1</v>
      </c>
      <c r="K932" s="88"/>
      <c r="L932" s="88"/>
      <c r="M932" s="88"/>
      <c r="N932" s="88">
        <v>1</v>
      </c>
      <c r="O932" s="88"/>
      <c r="P932" s="88"/>
      <c r="Q932" s="88"/>
      <c r="R932" s="78">
        <f>MAX(S932:W932)</f>
        <v>0</v>
      </c>
      <c r="S932" s="88"/>
      <c r="T932" s="88"/>
      <c r="U932" s="88"/>
      <c r="V932" s="88"/>
      <c r="W932" s="88"/>
    </row>
    <row r="933" spans="2:23" s="0" customFormat="0" ht="15">
      <c r="B933" s="87" t="s">
        <v>1</v>
      </c>
      <c r="C933" s="88" t="s">
        <v>5259</v>
      </c>
      <c r="D933" s="88">
        <v>155342</v>
      </c>
      <c r="E933" s="88" t="s">
        <v>55</v>
      </c>
      <c r="F933" s="88">
        <v>0</v>
      </c>
      <c r="G933" s="78">
        <f>MAX(H933,I933,J933)</f>
        <v>1</v>
      </c>
      <c r="H933" s="88"/>
      <c r="I933" s="88"/>
      <c r="J933" s="78">
        <f>MAX(K933:Q933)</f>
        <v>1</v>
      </c>
      <c r="K933" s="88"/>
      <c r="L933" s="88"/>
      <c r="M933" s="88"/>
      <c r="N933" s="88">
        <v>1</v>
      </c>
      <c r="O933" s="88"/>
      <c r="P933" s="88"/>
      <c r="Q933" s="88"/>
      <c r="R933" s="78">
        <f>MAX(S933:W933)</f>
        <v>0</v>
      </c>
      <c r="S933" s="88"/>
      <c r="T933" s="88"/>
      <c r="U933" s="88"/>
      <c r="V933" s="88"/>
      <c r="W933" s="88"/>
    </row>
    <row r="934" spans="2:23" s="0" customFormat="0" ht="15">
      <c r="B934" s="87" t="s">
        <v>1</v>
      </c>
      <c r="C934" s="88" t="s">
        <v>5259</v>
      </c>
      <c r="D934" s="88">
        <v>506717</v>
      </c>
      <c r="E934" s="88" t="s">
        <v>55</v>
      </c>
      <c r="F934" s="88">
        <v>0</v>
      </c>
      <c r="G934" s="78">
        <f>MAX(H934,I934,J934)</f>
        <v>1</v>
      </c>
      <c r="H934" s="88"/>
      <c r="I934" s="88"/>
      <c r="J934" s="78">
        <f>MAX(K934:Q934)</f>
        <v>1</v>
      </c>
      <c r="K934" s="88"/>
      <c r="L934" s="88">
        <v>1</v>
      </c>
      <c r="M934" s="88"/>
      <c r="N934" s="88"/>
      <c r="O934" s="88"/>
      <c r="P934" s="88"/>
      <c r="Q934" s="88"/>
      <c r="R934" s="78">
        <f>MAX(S934:W934)</f>
        <v>0</v>
      </c>
      <c r="S934" s="88"/>
      <c r="T934" s="88"/>
      <c r="U934" s="88"/>
      <c r="V934" s="88"/>
      <c r="W934" s="88"/>
    </row>
    <row r="935" spans="2:23" s="0" customFormat="0" ht="15">
      <c r="B935" s="87" t="s">
        <v>1</v>
      </c>
      <c r="C935" s="88" t="s">
        <v>5259</v>
      </c>
      <c r="D935" s="88">
        <v>3824603</v>
      </c>
      <c r="E935" s="88" t="s">
        <v>55</v>
      </c>
      <c r="F935" s="88">
        <v>0</v>
      </c>
      <c r="G935" s="78">
        <f>MAX(H935,I935,J935)</f>
        <v>1</v>
      </c>
      <c r="H935" s="88"/>
      <c r="I935" s="88"/>
      <c r="J935" s="78">
        <f>MAX(K935:Q935)</f>
        <v>1</v>
      </c>
      <c r="K935" s="88"/>
      <c r="L935" s="88"/>
      <c r="M935" s="88"/>
      <c r="N935" s="88">
        <v>1</v>
      </c>
      <c r="O935" s="88"/>
      <c r="P935" s="88"/>
      <c r="Q935" s="88"/>
      <c r="R935" s="78">
        <f>MAX(S935:W935)</f>
        <v>0</v>
      </c>
      <c r="S935" s="88"/>
      <c r="T935" s="88"/>
      <c r="U935" s="88"/>
      <c r="V935" s="88"/>
      <c r="W935" s="88"/>
    </row>
    <row r="936" spans="2:23" s="0" customFormat="0" ht="15">
      <c r="B936" s="87" t="s">
        <v>1</v>
      </c>
      <c r="C936" s="88" t="s">
        <v>5259</v>
      </c>
      <c r="D936" s="88">
        <v>147347</v>
      </c>
      <c r="E936" s="88" t="s">
        <v>55</v>
      </c>
      <c r="F936" s="88">
        <v>0</v>
      </c>
      <c r="G936" s="78">
        <f>MAX(H936,I936,J936)</f>
        <v>1</v>
      </c>
      <c r="H936" s="88"/>
      <c r="I936" s="88"/>
      <c r="J936" s="78">
        <f>MAX(K936:Q936)</f>
        <v>1</v>
      </c>
      <c r="K936" s="88"/>
      <c r="L936" s="88"/>
      <c r="M936" s="88"/>
      <c r="N936" s="88">
        <v>1</v>
      </c>
      <c r="O936" s="88"/>
      <c r="P936" s="88"/>
      <c r="Q936" s="88"/>
      <c r="R936" s="78">
        <f>MAX(S936:W936)</f>
        <v>0</v>
      </c>
      <c r="S936" s="88"/>
      <c r="T936" s="88"/>
      <c r="U936" s="88"/>
      <c r="V936" s="88"/>
      <c r="W936" s="88"/>
    </row>
    <row r="937" spans="2:23" s="0" customFormat="0" ht="15">
      <c r="B937" s="87" t="s">
        <v>1</v>
      </c>
      <c r="C937" s="88" t="s">
        <v>5259</v>
      </c>
      <c r="D937" s="88">
        <v>262358</v>
      </c>
      <c r="E937" s="88" t="s">
        <v>55</v>
      </c>
      <c r="F937" s="88">
        <v>0</v>
      </c>
      <c r="G937" s="78">
        <f>MAX(H937,I937,J937)</f>
        <v>1</v>
      </c>
      <c r="H937" s="88"/>
      <c r="I937" s="88"/>
      <c r="J937" s="78">
        <f>MAX(K937:Q937)</f>
        <v>1</v>
      </c>
      <c r="K937" s="88"/>
      <c r="L937" s="88"/>
      <c r="M937" s="88"/>
      <c r="N937" s="88">
        <v>1</v>
      </c>
      <c r="O937" s="88"/>
      <c r="P937" s="88"/>
      <c r="Q937" s="88"/>
      <c r="R937" s="78">
        <f>MAX(S937:W937)</f>
        <v>0</v>
      </c>
      <c r="S937" s="88"/>
      <c r="T937" s="88"/>
      <c r="U937" s="88"/>
      <c r="V937" s="88"/>
      <c r="W937" s="88"/>
    </row>
    <row r="938" spans="2:23" s="0" customFormat="0" ht="15">
      <c r="B938" s="87" t="s">
        <v>1</v>
      </c>
      <c r="C938" s="88" t="s">
        <v>5259</v>
      </c>
      <c r="D938" s="88">
        <v>517699</v>
      </c>
      <c r="E938" s="88" t="s">
        <v>55</v>
      </c>
      <c r="F938" s="88">
        <v>0</v>
      </c>
      <c r="G938" s="78">
        <f>MAX(H938,I938,J938)</f>
        <v>1</v>
      </c>
      <c r="H938" s="88"/>
      <c r="I938" s="88"/>
      <c r="J938" s="78">
        <f>MAX(K938:Q938)</f>
        <v>1</v>
      </c>
      <c r="K938" s="88"/>
      <c r="L938" s="88"/>
      <c r="M938" s="88"/>
      <c r="N938" s="88">
        <v>1</v>
      </c>
      <c r="O938" s="88"/>
      <c r="P938" s="88"/>
      <c r="Q938" s="88"/>
      <c r="R938" s="78">
        <f>MAX(S938:W938)</f>
        <v>0</v>
      </c>
      <c r="S938" s="88"/>
      <c r="T938" s="88"/>
      <c r="U938" s="88"/>
      <c r="V938" s="88"/>
      <c r="W938" s="88"/>
    </row>
    <row r="939" spans="2:23" s="0" customFormat="0" ht="15">
      <c r="B939" s="87" t="s">
        <v>1</v>
      </c>
      <c r="C939" s="88" t="s">
        <v>5259</v>
      </c>
      <c r="D939" s="88">
        <v>8452273</v>
      </c>
      <c r="E939" s="88" t="s">
        <v>55</v>
      </c>
      <c r="F939" s="88">
        <v>0</v>
      </c>
      <c r="G939" s="78">
        <f>MAX(H939,I939,J939)</f>
        <v>1</v>
      </c>
      <c r="H939" s="88"/>
      <c r="I939" s="88"/>
      <c r="J939" s="78">
        <f>MAX(K939:Q939)</f>
        <v>1</v>
      </c>
      <c r="K939" s="88"/>
      <c r="L939" s="88"/>
      <c r="M939" s="88"/>
      <c r="N939" s="88">
        <v>1</v>
      </c>
      <c r="O939" s="88"/>
      <c r="P939" s="88"/>
      <c r="Q939" s="88"/>
      <c r="R939" s="78">
        <f>MAX(S939:W939)</f>
        <v>0</v>
      </c>
      <c r="S939" s="88"/>
      <c r="T939" s="88"/>
      <c r="U939" s="88"/>
      <c r="V939" s="88"/>
      <c r="W939" s="88"/>
    </row>
    <row r="940" spans="2:23" s="0" customFormat="0" ht="15">
      <c r="B940" s="87" t="s">
        <v>1</v>
      </c>
      <c r="C940" s="88" t="s">
        <v>5259</v>
      </c>
      <c r="D940" s="88">
        <v>20435191</v>
      </c>
      <c r="E940" s="88" t="s">
        <v>55</v>
      </c>
      <c r="F940" s="88">
        <v>0</v>
      </c>
      <c r="G940" s="78">
        <f>MAX(H940,I940,J940)</f>
        <v>1</v>
      </c>
      <c r="H940" s="88"/>
      <c r="I940" s="88"/>
      <c r="J940" s="78">
        <f>MAX(K940:Q940)</f>
        <v>1</v>
      </c>
      <c r="K940" s="88">
        <v>1</v>
      </c>
      <c r="L940" s="88"/>
      <c r="M940" s="88"/>
      <c r="N940" s="88"/>
      <c r="O940" s="88"/>
      <c r="P940" s="88"/>
      <c r="Q940" s="88"/>
      <c r="R940" s="78">
        <f>MAX(S940:W940)</f>
        <v>0</v>
      </c>
      <c r="S940" s="88"/>
      <c r="T940" s="88"/>
      <c r="U940" s="88"/>
      <c r="V940" s="88"/>
      <c r="W940" s="88"/>
    </row>
    <row r="941" spans="2:23" s="0" customFormat="0" ht="15">
      <c r="B941" s="87" t="s">
        <v>1</v>
      </c>
      <c r="C941" s="88" t="s">
        <v>5259</v>
      </c>
      <c r="D941" s="88">
        <v>8452279</v>
      </c>
      <c r="E941" s="88" t="s">
        <v>55</v>
      </c>
      <c r="F941" s="88">
        <v>0</v>
      </c>
      <c r="G941" s="78">
        <f>MAX(H941,I941,J941)</f>
        <v>1</v>
      </c>
      <c r="H941" s="88"/>
      <c r="I941" s="88"/>
      <c r="J941" s="78">
        <f>MAX(K941:Q941)</f>
        <v>1</v>
      </c>
      <c r="K941" s="88"/>
      <c r="L941" s="88"/>
      <c r="M941" s="88"/>
      <c r="N941" s="88">
        <v>1</v>
      </c>
      <c r="O941" s="88"/>
      <c r="P941" s="88"/>
      <c r="Q941" s="88"/>
      <c r="R941" s="78">
        <f>MAX(S941:W941)</f>
        <v>0</v>
      </c>
      <c r="S941" s="88"/>
      <c r="T941" s="88"/>
      <c r="U941" s="88"/>
      <c r="V941" s="88"/>
      <c r="W941" s="88"/>
    </row>
    <row r="942" spans="2:23" s="0" customFormat="0" ht="15">
      <c r="B942" s="87" t="s">
        <v>1</v>
      </c>
      <c r="C942" s="88" t="s">
        <v>5259</v>
      </c>
      <c r="D942" s="88">
        <v>527870</v>
      </c>
      <c r="E942" s="88" t="s">
        <v>55</v>
      </c>
      <c r="F942" s="88">
        <v>0</v>
      </c>
      <c r="G942" s="78">
        <f>MAX(H942,I942,J942)</f>
        <v>1</v>
      </c>
      <c r="H942" s="88"/>
      <c r="I942" s="88"/>
      <c r="J942" s="78">
        <f>MAX(K942:Q942)</f>
        <v>1</v>
      </c>
      <c r="K942" s="88"/>
      <c r="L942" s="88"/>
      <c r="M942" s="88"/>
      <c r="N942" s="88">
        <v>1</v>
      </c>
      <c r="O942" s="88"/>
      <c r="P942" s="88"/>
      <c r="Q942" s="88"/>
      <c r="R942" s="78">
        <f>MAX(S942:W942)</f>
        <v>0</v>
      </c>
      <c r="S942" s="88"/>
      <c r="T942" s="88"/>
      <c r="U942" s="88"/>
      <c r="V942" s="88"/>
      <c r="W942" s="88"/>
    </row>
    <row r="943" spans="2:23" s="0" customFormat="0" ht="15">
      <c r="B943" s="87" t="s">
        <v>1</v>
      </c>
      <c r="C943" s="88" t="s">
        <v>5259</v>
      </c>
      <c r="D943" s="88">
        <v>422157</v>
      </c>
      <c r="E943" s="88" t="s">
        <v>55</v>
      </c>
      <c r="F943" s="88">
        <v>0</v>
      </c>
      <c r="G943" s="78">
        <f>MAX(H943,I943,J943)</f>
        <v>1</v>
      </c>
      <c r="H943" s="88"/>
      <c r="I943" s="88"/>
      <c r="J943" s="78">
        <f>MAX(K943:Q943)</f>
        <v>1</v>
      </c>
      <c r="K943" s="88"/>
      <c r="L943" s="88"/>
      <c r="M943" s="88"/>
      <c r="N943" s="88">
        <v>1</v>
      </c>
      <c r="O943" s="88"/>
      <c r="P943" s="88"/>
      <c r="Q943" s="88"/>
      <c r="R943" s="78">
        <f>MAX(S943:W943)</f>
        <v>0</v>
      </c>
      <c r="S943" s="88"/>
      <c r="T943" s="88"/>
      <c r="U943" s="88"/>
      <c r="V943" s="88"/>
      <c r="W943" s="88"/>
    </row>
    <row r="944" spans="2:23" s="0" customFormat="0" ht="15">
      <c r="B944" s="87" t="s">
        <v>1</v>
      </c>
      <c r="C944" s="88" t="s">
        <v>5259</v>
      </c>
      <c r="D944" s="88">
        <v>4513159</v>
      </c>
      <c r="E944" s="88" t="s">
        <v>55</v>
      </c>
      <c r="F944" s="88">
        <v>0</v>
      </c>
      <c r="G944" s="78">
        <f>MAX(H944,I944,J944)</f>
        <v>1</v>
      </c>
      <c r="H944" s="88"/>
      <c r="I944" s="88"/>
      <c r="J944" s="78">
        <f>MAX(K944:Q944)</f>
        <v>1</v>
      </c>
      <c r="K944" s="88"/>
      <c r="L944" s="88"/>
      <c r="M944" s="88"/>
      <c r="N944" s="88">
        <v>1</v>
      </c>
      <c r="O944" s="88"/>
      <c r="P944" s="88"/>
      <c r="Q944" s="88"/>
      <c r="R944" s="78">
        <f>MAX(S944:W944)</f>
        <v>0</v>
      </c>
      <c r="S944" s="88"/>
      <c r="T944" s="88"/>
      <c r="U944" s="88"/>
      <c r="V944" s="88"/>
      <c r="W944" s="88"/>
    </row>
    <row r="945" spans="2:23" s="0" customFormat="0" ht="15">
      <c r="B945" s="87" t="s">
        <v>1</v>
      </c>
      <c r="C945" s="88" t="s">
        <v>5259</v>
      </c>
      <c r="D945" s="88">
        <v>24430402</v>
      </c>
      <c r="E945" s="88" t="s">
        <v>61</v>
      </c>
      <c r="F945" s="88">
        <v>0</v>
      </c>
      <c r="G945" s="78">
        <f>MAX(H945,I945,J945)</f>
        <v>1</v>
      </c>
      <c r="H945" s="88"/>
      <c r="I945" s="88"/>
      <c r="J945" s="78">
        <f>MAX(K945:Q945)</f>
        <v>1</v>
      </c>
      <c r="K945" s="88">
        <v>1</v>
      </c>
      <c r="L945" s="88"/>
      <c r="M945" s="88"/>
      <c r="N945" s="88"/>
      <c r="O945" s="88"/>
      <c r="P945" s="88"/>
      <c r="Q945" s="88"/>
      <c r="R945" s="78">
        <f>MAX(S945:W945)</f>
        <v>0</v>
      </c>
      <c r="S945" s="88"/>
      <c r="T945" s="88"/>
      <c r="U945" s="88"/>
      <c r="V945" s="88"/>
      <c r="W945" s="88"/>
    </row>
    <row r="946" spans="2:23" s="0" customFormat="0" ht="15">
      <c r="B946" s="87" t="s">
        <v>1</v>
      </c>
      <c r="C946" s="88" t="s">
        <v>5259</v>
      </c>
      <c r="D946" s="88">
        <v>23182456</v>
      </c>
      <c r="E946" s="88" t="s">
        <v>61</v>
      </c>
      <c r="F946" s="88">
        <v>0</v>
      </c>
      <c r="G946" s="78">
        <f>MAX(H946,I946,J946)</f>
        <v>1</v>
      </c>
      <c r="H946" s="88"/>
      <c r="I946" s="88"/>
      <c r="J946" s="78">
        <f>MAX(K946:Q946)</f>
        <v>1</v>
      </c>
      <c r="K946" s="88">
        <v>1</v>
      </c>
      <c r="L946" s="88"/>
      <c r="M946" s="88"/>
      <c r="N946" s="88"/>
      <c r="O946" s="88"/>
      <c r="P946" s="88"/>
      <c r="Q946" s="88"/>
      <c r="R946" s="78">
        <f>MAX(S946:W946)</f>
        <v>0</v>
      </c>
      <c r="S946" s="88"/>
      <c r="T946" s="88"/>
      <c r="U946" s="88"/>
      <c r="V946" s="88"/>
      <c r="W946" s="88"/>
    </row>
    <row r="947" spans="2:23" s="0" customFormat="0" ht="15">
      <c r="B947" s="87" t="s">
        <v>1</v>
      </c>
      <c r="C947" s="88" t="s">
        <v>5259</v>
      </c>
      <c r="D947" s="88">
        <v>15874704</v>
      </c>
      <c r="E947" s="88" t="s">
        <v>61</v>
      </c>
      <c r="F947" s="88">
        <v>0</v>
      </c>
      <c r="G947" s="78">
        <f>MAX(H947,I947,J947)</f>
        <v>1</v>
      </c>
      <c r="H947" s="88"/>
      <c r="I947" s="88"/>
      <c r="J947" s="78">
        <f>MAX(K947:Q947)</f>
        <v>1</v>
      </c>
      <c r="K947" s="88">
        <v>1</v>
      </c>
      <c r="L947" s="88"/>
      <c r="M947" s="88"/>
      <c r="N947" s="88"/>
      <c r="O947" s="88"/>
      <c r="P947" s="88"/>
      <c r="Q947" s="88"/>
      <c r="R947" s="78">
        <f>MAX(S947:W947)</f>
        <v>0</v>
      </c>
      <c r="S947" s="88"/>
      <c r="T947" s="88"/>
      <c r="U947" s="88"/>
      <c r="V947" s="88"/>
      <c r="W947" s="88"/>
    </row>
    <row r="948" spans="2:23" s="0" customFormat="0" ht="15">
      <c r="B948" s="87" t="s">
        <v>1</v>
      </c>
      <c r="C948" s="88" t="s">
        <v>5259</v>
      </c>
      <c r="D948" s="88">
        <v>24408435</v>
      </c>
      <c r="E948" s="88" t="s">
        <v>61</v>
      </c>
      <c r="F948" s="88">
        <v>0</v>
      </c>
      <c r="G948" s="78">
        <f>MAX(H948,I948,J948)</f>
        <v>1</v>
      </c>
      <c r="H948" s="88"/>
      <c r="I948" s="88"/>
      <c r="J948" s="78">
        <f>MAX(K948:Q948)</f>
        <v>1</v>
      </c>
      <c r="K948" s="88">
        <v>1</v>
      </c>
      <c r="L948" s="88"/>
      <c r="M948" s="88"/>
      <c r="N948" s="88"/>
      <c r="O948" s="88"/>
      <c r="P948" s="88"/>
      <c r="Q948" s="88"/>
      <c r="R948" s="78">
        <f>MAX(S948:W948)</f>
        <v>0</v>
      </c>
      <c r="S948" s="88"/>
      <c r="T948" s="88"/>
      <c r="U948" s="88"/>
      <c r="V948" s="88"/>
      <c r="W948" s="88"/>
    </row>
    <row r="949" spans="2:23" s="0" customFormat="0" ht="15">
      <c r="B949" s="87" t="s">
        <v>1</v>
      </c>
      <c r="C949" s="88" t="s">
        <v>5259</v>
      </c>
      <c r="D949" s="88">
        <v>13181147</v>
      </c>
      <c r="E949" s="88" t="s">
        <v>61</v>
      </c>
      <c r="F949" s="88">
        <v>0</v>
      </c>
      <c r="G949" s="78">
        <f>MAX(H949,I949,J949)</f>
        <v>1</v>
      </c>
      <c r="H949" s="88"/>
      <c r="I949" s="88"/>
      <c r="J949" s="78">
        <f>MAX(K949:Q949)</f>
        <v>1</v>
      </c>
      <c r="K949" s="88">
        <v>1</v>
      </c>
      <c r="L949" s="88"/>
      <c r="M949" s="88"/>
      <c r="N949" s="88"/>
      <c r="O949" s="88"/>
      <c r="P949" s="88"/>
      <c r="Q949" s="88"/>
      <c r="R949" s="78">
        <f>MAX(S949:W949)</f>
        <v>0</v>
      </c>
      <c r="S949" s="88"/>
      <c r="T949" s="88"/>
      <c r="U949" s="88"/>
      <c r="V949" s="88"/>
      <c r="W949" s="88"/>
    </row>
    <row r="950" spans="2:23" s="0" customFormat="0" ht="15">
      <c r="B950" s="87" t="s">
        <v>1</v>
      </c>
      <c r="C950" s="88" t="s">
        <v>5259</v>
      </c>
      <c r="D950" s="88">
        <v>2672799</v>
      </c>
      <c r="E950" s="88" t="s">
        <v>61</v>
      </c>
      <c r="F950" s="88">
        <v>0</v>
      </c>
      <c r="G950" s="78">
        <f>MAX(H950,I950,J950)</f>
        <v>1</v>
      </c>
      <c r="H950" s="88"/>
      <c r="I950" s="88"/>
      <c r="J950" s="78">
        <f>MAX(K950:Q950)</f>
        <v>1</v>
      </c>
      <c r="K950" s="88">
        <v>1</v>
      </c>
      <c r="L950" s="88"/>
      <c r="M950" s="88"/>
      <c r="N950" s="88"/>
      <c r="O950" s="88"/>
      <c r="P950" s="88"/>
      <c r="Q950" s="88"/>
      <c r="R950" s="78">
        <f>MAX(S950:W950)</f>
        <v>0</v>
      </c>
      <c r="S950" s="88"/>
      <c r="T950" s="88"/>
      <c r="U950" s="88"/>
      <c r="V950" s="88"/>
      <c r="W950" s="88"/>
    </row>
    <row r="951" spans="2:23" s="0" customFormat="0" ht="15">
      <c r="B951" s="87" t="s">
        <v>1</v>
      </c>
      <c r="C951" s="88" t="s">
        <v>5259</v>
      </c>
      <c r="D951" s="88">
        <v>14271823</v>
      </c>
      <c r="E951" s="88" t="s">
        <v>61</v>
      </c>
      <c r="F951" s="88">
        <v>0</v>
      </c>
      <c r="G951" s="78">
        <f>MAX(H951,I951,J951)</f>
        <v>1</v>
      </c>
      <c r="H951" s="88"/>
      <c r="I951" s="88"/>
      <c r="J951" s="78">
        <f>MAX(K951:Q951)</f>
        <v>1</v>
      </c>
      <c r="K951" s="88">
        <v>1</v>
      </c>
      <c r="L951" s="88"/>
      <c r="M951" s="88"/>
      <c r="N951" s="88"/>
      <c r="O951" s="88"/>
      <c r="P951" s="88"/>
      <c r="Q951" s="88"/>
      <c r="R951" s="78">
        <f>MAX(S951:W951)</f>
        <v>0</v>
      </c>
      <c r="S951" s="88"/>
      <c r="T951" s="88"/>
      <c r="U951" s="88"/>
      <c r="V951" s="88"/>
      <c r="W951" s="88"/>
    </row>
    <row r="952" spans="2:23" s="0" customFormat="0" ht="15">
      <c r="B952" s="87" t="s">
        <v>1</v>
      </c>
      <c r="C952" s="88" t="s">
        <v>5259</v>
      </c>
      <c r="D952" s="88">
        <v>21027851</v>
      </c>
      <c r="E952" s="88" t="s">
        <v>61</v>
      </c>
      <c r="F952" s="88">
        <v>0</v>
      </c>
      <c r="G952" s="78">
        <f>MAX(H952,I952,J952)</f>
        <v>0</v>
      </c>
      <c r="H952" s="88"/>
      <c r="I952" s="88"/>
      <c r="J952" s="78">
        <f>MAX(K952:Q952)</f>
        <v>0</v>
      </c>
      <c r="K952" s="88"/>
      <c r="L952" s="88"/>
      <c r="M952" s="88"/>
      <c r="N952" s="88"/>
      <c r="O952" s="88"/>
      <c r="P952" s="88"/>
      <c r="Q952" s="88"/>
      <c r="R952" s="78">
        <f>MAX(S952:W952)</f>
        <v>1</v>
      </c>
      <c r="S952" s="88"/>
      <c r="T952" s="88"/>
      <c r="U952" s="88">
        <v>1</v>
      </c>
      <c r="V952" s="88"/>
      <c r="W952" s="88"/>
    </row>
    <row r="953" spans="2:23" s="0" customFormat="0" ht="15">
      <c r="B953" s="87" t="s">
        <v>1</v>
      </c>
      <c r="C953" s="88" t="s">
        <v>5259</v>
      </c>
      <c r="D953" s="88">
        <v>18931659</v>
      </c>
      <c r="E953" s="88" t="s">
        <v>61</v>
      </c>
      <c r="F953" s="88">
        <v>0</v>
      </c>
      <c r="G953" s="78">
        <f>MAX(H953,I953,J953)</f>
        <v>1</v>
      </c>
      <c r="H953" s="88"/>
      <c r="I953" s="88"/>
      <c r="J953" s="78">
        <f>MAX(K953:Q953)</f>
        <v>1</v>
      </c>
      <c r="K953" s="88">
        <v>1</v>
      </c>
      <c r="L953" s="88"/>
      <c r="M953" s="88"/>
      <c r="N953" s="88"/>
      <c r="O953" s="88"/>
      <c r="P953" s="88"/>
      <c r="Q953" s="88"/>
      <c r="R953" s="78">
        <f>MAX(S953:W953)</f>
        <v>0</v>
      </c>
      <c r="S953" s="88"/>
      <c r="T953" s="88"/>
      <c r="U953" s="88"/>
      <c r="V953" s="88"/>
      <c r="W953" s="88"/>
    </row>
    <row r="954" spans="2:23" s="0" customFormat="0" ht="15">
      <c r="B954" s="87" t="s">
        <v>1</v>
      </c>
      <c r="C954" s="88" t="s">
        <v>5259</v>
      </c>
      <c r="D954" s="88">
        <v>16058106</v>
      </c>
      <c r="E954" s="88" t="s">
        <v>61</v>
      </c>
      <c r="F954" s="88">
        <v>0</v>
      </c>
      <c r="G954" s="78">
        <f>MAX(H954,I954,J954)</f>
        <v>1</v>
      </c>
      <c r="H954" s="88"/>
      <c r="I954" s="88"/>
      <c r="J954" s="78">
        <f>MAX(K954:Q954)</f>
        <v>1</v>
      </c>
      <c r="K954" s="88">
        <v>1</v>
      </c>
      <c r="L954" s="88"/>
      <c r="M954" s="88"/>
      <c r="N954" s="88"/>
      <c r="O954" s="88"/>
      <c r="P954" s="88"/>
      <c r="Q954" s="88"/>
      <c r="R954" s="78">
        <f>MAX(S954:W954)</f>
        <v>0</v>
      </c>
      <c r="S954" s="88"/>
      <c r="T954" s="88"/>
      <c r="U954" s="88"/>
      <c r="V954" s="88"/>
      <c r="W954" s="88"/>
    </row>
    <row r="955" spans="2:23" s="0" customFormat="0" ht="15">
      <c r="B955" s="87" t="s">
        <v>1</v>
      </c>
      <c r="C955" s="88" t="s">
        <v>5259</v>
      </c>
      <c r="D955" s="88" t="s">
        <v>851</v>
      </c>
      <c r="E955" s="88" t="s">
        <v>61</v>
      </c>
      <c r="F955" s="88">
        <v>0</v>
      </c>
      <c r="G955" s="78">
        <f>MAX(H955,I955,J955)</f>
        <v>1</v>
      </c>
      <c r="H955" s="88"/>
      <c r="I955" s="88"/>
      <c r="J955" s="78">
        <f>MAX(K955:Q955)</f>
        <v>1</v>
      </c>
      <c r="K955" s="88">
        <v>1</v>
      </c>
      <c r="L955" s="88"/>
      <c r="M955" s="88"/>
      <c r="N955" s="88"/>
      <c r="O955" s="88"/>
      <c r="P955" s="88"/>
      <c r="Q955" s="88"/>
      <c r="R955" s="78">
        <f>MAX(S955:W955)</f>
        <v>0</v>
      </c>
      <c r="S955" s="88"/>
      <c r="T955" s="88"/>
      <c r="U955" s="88"/>
      <c r="V955" s="88"/>
      <c r="W955" s="88"/>
    </row>
    <row r="956" spans="2:23" s="0" customFormat="0" ht="15">
      <c r="B956" s="87" t="s">
        <v>1</v>
      </c>
      <c r="C956" s="88" t="s">
        <v>5259</v>
      </c>
      <c r="D956" s="88" t="s">
        <v>3787</v>
      </c>
      <c r="E956" s="88" t="s">
        <v>61</v>
      </c>
      <c r="F956" s="88">
        <v>0</v>
      </c>
      <c r="G956" s="78">
        <f>MAX(H956,I956,J956)</f>
        <v>0</v>
      </c>
      <c r="H956" s="88"/>
      <c r="I956" s="88"/>
      <c r="J956" s="78">
        <f>MAX(K956:Q956)</f>
        <v>0</v>
      </c>
      <c r="K956" s="88"/>
      <c r="L956" s="88"/>
      <c r="M956" s="88"/>
      <c r="N956" s="88"/>
      <c r="O956" s="88"/>
      <c r="P956" s="88"/>
      <c r="Q956" s="88"/>
      <c r="R956" s="78">
        <f>MAX(S956:W956)</f>
        <v>1</v>
      </c>
      <c r="S956" s="88"/>
      <c r="T956" s="88"/>
      <c r="U956" s="88">
        <v>1</v>
      </c>
      <c r="V956" s="88"/>
      <c r="W956" s="88"/>
    </row>
    <row r="957" spans="2:23" s="0" customFormat="0" ht="15">
      <c r="B957" s="87" t="s">
        <v>1</v>
      </c>
      <c r="C957" s="88" t="s">
        <v>5259</v>
      </c>
      <c r="D957" s="88">
        <v>11029611</v>
      </c>
      <c r="E957" s="88" t="s">
        <v>61</v>
      </c>
      <c r="F957" s="88">
        <v>0</v>
      </c>
      <c r="G957" s="78">
        <f>MAX(H957,I957,J957)</f>
        <v>1</v>
      </c>
      <c r="H957" s="88"/>
      <c r="I957" s="88"/>
      <c r="J957" s="78">
        <f>MAX(K957:Q957)</f>
        <v>1</v>
      </c>
      <c r="K957" s="88">
        <v>1</v>
      </c>
      <c r="L957" s="88"/>
      <c r="M957" s="88"/>
      <c r="N957" s="88"/>
      <c r="O957" s="88"/>
      <c r="P957" s="88"/>
      <c r="Q957" s="88"/>
      <c r="R957" s="78">
        <f>MAX(S957:W957)</f>
        <v>0</v>
      </c>
      <c r="S957" s="88"/>
      <c r="T957" s="88"/>
      <c r="U957" s="88"/>
      <c r="V957" s="88"/>
      <c r="W957" s="88"/>
    </row>
    <row r="958" spans="2:23" s="0" customFormat="0" ht="15">
      <c r="B958" s="87" t="s">
        <v>1</v>
      </c>
      <c r="C958" s="88" t="s">
        <v>5259</v>
      </c>
      <c r="D958" s="88">
        <v>22387309</v>
      </c>
      <c r="E958" s="88" t="s">
        <v>61</v>
      </c>
      <c r="F958" s="88">
        <v>0</v>
      </c>
      <c r="G958" s="78">
        <f>MAX(H958,I958,J958)</f>
        <v>1</v>
      </c>
      <c r="H958" s="88"/>
      <c r="I958" s="88"/>
      <c r="J958" s="78">
        <f>MAX(K958:Q958)</f>
        <v>1</v>
      </c>
      <c r="K958" s="88">
        <v>1</v>
      </c>
      <c r="L958" s="88"/>
      <c r="M958" s="88"/>
      <c r="N958" s="88"/>
      <c r="O958" s="88"/>
      <c r="P958" s="88"/>
      <c r="Q958" s="88"/>
      <c r="R958" s="78">
        <f>MAX(S958:W958)</f>
        <v>0</v>
      </c>
      <c r="S958" s="88"/>
      <c r="T958" s="88"/>
      <c r="U958" s="88"/>
      <c r="V958" s="88"/>
      <c r="W958" s="88"/>
    </row>
    <row r="959" spans="2:23" s="0" customFormat="0" ht="15">
      <c r="B959" s="87" t="s">
        <v>1</v>
      </c>
      <c r="C959" s="88" t="s">
        <v>5259</v>
      </c>
      <c r="D959" s="88" t="s">
        <v>3789</v>
      </c>
      <c r="E959" s="88" t="s">
        <v>61</v>
      </c>
      <c r="F959" s="88">
        <v>0</v>
      </c>
      <c r="G959" s="78">
        <f>MAX(H959,I959,J959)</f>
        <v>0</v>
      </c>
      <c r="H959" s="88"/>
      <c r="I959" s="88"/>
      <c r="J959" s="78">
        <f>MAX(K959:Q959)</f>
        <v>0</v>
      </c>
      <c r="K959" s="88"/>
      <c r="L959" s="88"/>
      <c r="M959" s="88"/>
      <c r="N959" s="88"/>
      <c r="O959" s="88"/>
      <c r="P959" s="88"/>
      <c r="Q959" s="88"/>
      <c r="R959" s="78">
        <f>MAX(S959:W959)</f>
        <v>1</v>
      </c>
      <c r="S959" s="88"/>
      <c r="T959" s="88"/>
      <c r="U959" s="88">
        <v>1</v>
      </c>
      <c r="V959" s="88"/>
      <c r="W959" s="88"/>
    </row>
    <row r="960" spans="2:23" s="0" customFormat="0" ht="15">
      <c r="B960" s="87" t="s">
        <v>1</v>
      </c>
      <c r="C960" s="88" t="s">
        <v>5259</v>
      </c>
      <c r="D960" s="88">
        <v>2008450</v>
      </c>
      <c r="E960" s="88" t="s">
        <v>61</v>
      </c>
      <c r="F960" s="88">
        <v>0</v>
      </c>
      <c r="G960" s="78">
        <f>MAX(H960,I960,J960)</f>
        <v>0</v>
      </c>
      <c r="H960" s="88"/>
      <c r="I960" s="88"/>
      <c r="J960" s="78">
        <f>MAX(K960:Q960)</f>
        <v>0</v>
      </c>
      <c r="K960" s="88"/>
      <c r="L960" s="88"/>
      <c r="M960" s="88"/>
      <c r="N960" s="88"/>
      <c r="O960" s="88"/>
      <c r="P960" s="88"/>
      <c r="Q960" s="88"/>
      <c r="R960" s="78">
        <f>MAX(S960:W960)</f>
        <v>1</v>
      </c>
      <c r="S960" s="88"/>
      <c r="T960" s="88"/>
      <c r="U960" s="88">
        <v>1</v>
      </c>
      <c r="V960" s="88"/>
      <c r="W960" s="88"/>
    </row>
    <row r="961" spans="2:23" s="0" customFormat="0" ht="15">
      <c r="B961" s="87" t="s">
        <v>1</v>
      </c>
      <c r="C961" s="88" t="s">
        <v>5259</v>
      </c>
      <c r="D961" s="88">
        <v>1921702</v>
      </c>
      <c r="E961" s="88" t="s">
        <v>61</v>
      </c>
      <c r="F961" s="88">
        <v>0</v>
      </c>
      <c r="G961" s="78">
        <f>MAX(H961,I961,J961)</f>
        <v>0</v>
      </c>
      <c r="H961" s="88"/>
      <c r="I961" s="88"/>
      <c r="J961" s="78">
        <f>MAX(K961:Q961)</f>
        <v>0</v>
      </c>
      <c r="K961" s="88"/>
      <c r="L961" s="88"/>
      <c r="M961" s="88"/>
      <c r="N961" s="88"/>
      <c r="O961" s="88"/>
      <c r="P961" s="88"/>
      <c r="Q961" s="88"/>
      <c r="R961" s="78">
        <f>MAX(S961:W961)</f>
        <v>1</v>
      </c>
      <c r="S961" s="88"/>
      <c r="T961" s="88"/>
      <c r="U961" s="88">
        <v>1</v>
      </c>
      <c r="V961" s="88"/>
      <c r="W961" s="88"/>
    </row>
    <row r="962" spans="2:23" s="0" customFormat="0" ht="15">
      <c r="B962" s="87" t="s">
        <v>1</v>
      </c>
      <c r="C962" s="88" t="s">
        <v>5259</v>
      </c>
      <c r="D962" s="88">
        <v>19013622</v>
      </c>
      <c r="E962" s="88" t="s">
        <v>61</v>
      </c>
      <c r="F962" s="88">
        <v>0</v>
      </c>
      <c r="G962" s="78">
        <f>MAX(H962,I962,J962)</f>
        <v>1</v>
      </c>
      <c r="H962" s="88"/>
      <c r="I962" s="88"/>
      <c r="J962" s="78">
        <f>MAX(K962:Q962)</f>
        <v>1</v>
      </c>
      <c r="K962" s="88">
        <v>1</v>
      </c>
      <c r="L962" s="88"/>
      <c r="M962" s="88"/>
      <c r="N962" s="88"/>
      <c r="O962" s="88"/>
      <c r="P962" s="88"/>
      <c r="Q962" s="88"/>
      <c r="R962" s="78">
        <f>MAX(S962:W962)</f>
        <v>0</v>
      </c>
      <c r="S962" s="88"/>
      <c r="T962" s="88"/>
      <c r="U962" s="88"/>
      <c r="V962" s="88"/>
      <c r="W962" s="88"/>
    </row>
    <row r="963" spans="2:23" s="0" customFormat="0" ht="15">
      <c r="B963" s="87" t="s">
        <v>1</v>
      </c>
      <c r="C963" s="88" t="s">
        <v>5259</v>
      </c>
      <c r="D963" s="88">
        <v>19013591</v>
      </c>
      <c r="E963" s="88" t="s">
        <v>61</v>
      </c>
      <c r="F963" s="88">
        <v>0</v>
      </c>
      <c r="G963" s="78">
        <f>MAX(H963,I963,J963)</f>
        <v>1</v>
      </c>
      <c r="H963" s="88"/>
      <c r="I963" s="88"/>
      <c r="J963" s="78">
        <f>MAX(K963:Q963)</f>
        <v>1</v>
      </c>
      <c r="K963" s="88">
        <v>1</v>
      </c>
      <c r="L963" s="88"/>
      <c r="M963" s="88"/>
      <c r="N963" s="88"/>
      <c r="O963" s="88"/>
      <c r="P963" s="88"/>
      <c r="Q963" s="88"/>
      <c r="R963" s="78">
        <f>MAX(S963:W963)</f>
        <v>0</v>
      </c>
      <c r="S963" s="88"/>
      <c r="T963" s="88"/>
      <c r="U963" s="88"/>
      <c r="V963" s="88"/>
      <c r="W963" s="88"/>
    </row>
    <row r="964" spans="2:23" s="0" customFormat="0" ht="15">
      <c r="B964" s="87" t="s">
        <v>1</v>
      </c>
      <c r="C964" s="88" t="s">
        <v>5259</v>
      </c>
      <c r="D964" s="88">
        <v>19178595</v>
      </c>
      <c r="E964" s="88" t="s">
        <v>61</v>
      </c>
      <c r="F964" s="88">
        <v>0</v>
      </c>
      <c r="G964" s="78">
        <f>MAX(H964,I964,J964)</f>
        <v>1</v>
      </c>
      <c r="H964" s="88"/>
      <c r="I964" s="88"/>
      <c r="J964" s="78">
        <f>MAX(K964:Q964)</f>
        <v>1</v>
      </c>
      <c r="K964" s="88">
        <v>1</v>
      </c>
      <c r="L964" s="88"/>
      <c r="M964" s="88"/>
      <c r="N964" s="88"/>
      <c r="O964" s="88"/>
      <c r="P964" s="88"/>
      <c r="Q964" s="88"/>
      <c r="R964" s="78">
        <f>MAX(S964:W964)</f>
        <v>0</v>
      </c>
      <c r="S964" s="88"/>
      <c r="T964" s="88"/>
      <c r="U964" s="88"/>
      <c r="V964" s="88"/>
      <c r="W964" s="88"/>
    </row>
    <row r="965" spans="2:23" s="0" customFormat="0" ht="15">
      <c r="B965" s="87" t="s">
        <v>1</v>
      </c>
      <c r="C965" s="88" t="s">
        <v>5259</v>
      </c>
      <c r="D965" s="88">
        <v>18189432</v>
      </c>
      <c r="E965" s="88" t="s">
        <v>61</v>
      </c>
      <c r="F965" s="88">
        <v>0</v>
      </c>
      <c r="G965" s="78">
        <f>MAX(H965,I965,J965)</f>
        <v>1</v>
      </c>
      <c r="H965" s="88"/>
      <c r="I965" s="88"/>
      <c r="J965" s="78">
        <f>MAX(K965:Q965)</f>
        <v>1</v>
      </c>
      <c r="K965" s="88">
        <v>1</v>
      </c>
      <c r="L965" s="88"/>
      <c r="M965" s="88"/>
      <c r="N965" s="88"/>
      <c r="O965" s="88"/>
      <c r="P965" s="88"/>
      <c r="Q965" s="88"/>
      <c r="R965" s="78">
        <f>MAX(S965:W965)</f>
        <v>0</v>
      </c>
      <c r="S965" s="88"/>
      <c r="T965" s="88"/>
      <c r="U965" s="88"/>
      <c r="V965" s="88"/>
      <c r="W965" s="88"/>
    </row>
    <row r="966" spans="2:23" s="0" customFormat="0" ht="15">
      <c r="B966" s="87" t="s">
        <v>1</v>
      </c>
      <c r="C966" s="88" t="s">
        <v>5259</v>
      </c>
      <c r="D966" s="88">
        <v>21036981</v>
      </c>
      <c r="E966" s="88" t="s">
        <v>61</v>
      </c>
      <c r="F966" s="88">
        <v>0</v>
      </c>
      <c r="G966" s="78">
        <f>MAX(H966,I966,J966)</f>
        <v>1</v>
      </c>
      <c r="H966" s="88"/>
      <c r="I966" s="88"/>
      <c r="J966" s="78">
        <f>MAX(K966:Q966)</f>
        <v>1</v>
      </c>
      <c r="K966" s="88">
        <v>1</v>
      </c>
      <c r="L966" s="88"/>
      <c r="M966" s="88"/>
      <c r="N966" s="88"/>
      <c r="O966" s="88"/>
      <c r="P966" s="88"/>
      <c r="Q966" s="88"/>
      <c r="R966" s="78">
        <f>MAX(S966:W966)</f>
        <v>0</v>
      </c>
      <c r="S966" s="88"/>
      <c r="T966" s="88"/>
      <c r="U966" s="88"/>
      <c r="V966" s="88"/>
      <c r="W966" s="88"/>
    </row>
    <row r="967" spans="2:23" s="0" customFormat="0" ht="15">
      <c r="B967" s="87" t="s">
        <v>1</v>
      </c>
      <c r="C967" s="88" t="s">
        <v>5259</v>
      </c>
      <c r="D967" s="88" t="s">
        <v>3792</v>
      </c>
      <c r="E967" s="88" t="s">
        <v>61</v>
      </c>
      <c r="F967" s="88">
        <v>0</v>
      </c>
      <c r="G967" s="78">
        <f>MAX(H967,I967,J967)</f>
        <v>0</v>
      </c>
      <c r="H967" s="88"/>
      <c r="I967" s="88"/>
      <c r="J967" s="78">
        <f>MAX(K967:Q967)</f>
        <v>0</v>
      </c>
      <c r="K967" s="88"/>
      <c r="L967" s="88"/>
      <c r="M967" s="88"/>
      <c r="N967" s="88"/>
      <c r="O967" s="88"/>
      <c r="P967" s="88"/>
      <c r="Q967" s="88"/>
      <c r="R967" s="78">
        <f>MAX(S967:W967)</f>
        <v>1</v>
      </c>
      <c r="S967" s="88"/>
      <c r="T967" s="88"/>
      <c r="U967" s="88">
        <v>1</v>
      </c>
      <c r="V967" s="88"/>
      <c r="W967" s="88"/>
    </row>
    <row r="968" spans="2:23" s="0" customFormat="0" ht="15">
      <c r="B968" s="87" t="s">
        <v>1</v>
      </c>
      <c r="C968" s="88" t="s">
        <v>5259</v>
      </c>
      <c r="D968" s="88">
        <v>17602723</v>
      </c>
      <c r="E968" s="88" t="s">
        <v>61</v>
      </c>
      <c r="F968" s="88">
        <v>0</v>
      </c>
      <c r="G968" s="78">
        <f>MAX(H968,I968,J968)</f>
        <v>1</v>
      </c>
      <c r="H968" s="88"/>
      <c r="I968" s="88"/>
      <c r="J968" s="78">
        <f>MAX(K968:Q968)</f>
        <v>1</v>
      </c>
      <c r="K968" s="88">
        <v>1</v>
      </c>
      <c r="L968" s="88"/>
      <c r="M968" s="88"/>
      <c r="N968" s="88"/>
      <c r="O968" s="88"/>
      <c r="P968" s="88"/>
      <c r="Q968" s="88"/>
      <c r="R968" s="78">
        <f>MAX(S968:W968)</f>
        <v>0</v>
      </c>
      <c r="S968" s="88"/>
      <c r="T968" s="88"/>
      <c r="U968" s="88"/>
      <c r="V968" s="88"/>
      <c r="W968" s="88"/>
    </row>
    <row r="969" spans="2:23" s="0" customFormat="0" ht="15">
      <c r="B969" s="87" t="s">
        <v>1</v>
      </c>
      <c r="C969" s="88" t="s">
        <v>5259</v>
      </c>
      <c r="D969" s="88">
        <v>21836613</v>
      </c>
      <c r="E969" s="88" t="s">
        <v>61</v>
      </c>
      <c r="F969" s="88">
        <v>0</v>
      </c>
      <c r="G969" s="78">
        <f>MAX(H969,I969,J969)</f>
        <v>1</v>
      </c>
      <c r="H969" s="88"/>
      <c r="I969" s="88"/>
      <c r="J969" s="78">
        <f>MAX(K969:Q969)</f>
        <v>1</v>
      </c>
      <c r="K969" s="88">
        <v>1</v>
      </c>
      <c r="L969" s="88"/>
      <c r="M969" s="88"/>
      <c r="N969" s="88"/>
      <c r="O969" s="88"/>
      <c r="P969" s="88"/>
      <c r="Q969" s="88"/>
      <c r="R969" s="78">
        <f>MAX(S969:W969)</f>
        <v>0</v>
      </c>
      <c r="S969" s="88"/>
      <c r="T969" s="88"/>
      <c r="U969" s="88"/>
      <c r="V969" s="88"/>
      <c r="W969" s="88"/>
    </row>
    <row r="970" spans="2:23" s="0" customFormat="0" ht="15">
      <c r="B970" s="87" t="s">
        <v>1</v>
      </c>
      <c r="C970" s="88" t="s">
        <v>5259</v>
      </c>
      <c r="D970" s="88" t="s">
        <v>3794</v>
      </c>
      <c r="E970" s="88" t="s">
        <v>61</v>
      </c>
      <c r="F970" s="88">
        <v>0</v>
      </c>
      <c r="G970" s="78">
        <f>MAX(H970,I970,J970)</f>
        <v>0</v>
      </c>
      <c r="H970" s="88"/>
      <c r="I970" s="88"/>
      <c r="J970" s="78">
        <f>MAX(K970:Q970)</f>
        <v>0</v>
      </c>
      <c r="K970" s="88"/>
      <c r="L970" s="88"/>
      <c r="M970" s="88"/>
      <c r="N970" s="88"/>
      <c r="O970" s="88"/>
      <c r="P970" s="88"/>
      <c r="Q970" s="88"/>
      <c r="R970" s="78">
        <f>MAX(S970:W970)</f>
        <v>1</v>
      </c>
      <c r="S970" s="88"/>
      <c r="T970" s="88"/>
      <c r="U970" s="88">
        <v>1</v>
      </c>
      <c r="V970" s="88"/>
      <c r="W970" s="88"/>
    </row>
    <row r="971" spans="2:23" s="0" customFormat="0" ht="15">
      <c r="B971" s="87" t="s">
        <v>1</v>
      </c>
      <c r="C971" s="88" t="s">
        <v>5259</v>
      </c>
      <c r="D971" s="88" t="s">
        <v>3796</v>
      </c>
      <c r="E971" s="88" t="s">
        <v>61</v>
      </c>
      <c r="F971" s="88">
        <v>0</v>
      </c>
      <c r="G971" s="78">
        <f>MAX(H971,I971,J971)</f>
        <v>0</v>
      </c>
      <c r="H971" s="88"/>
      <c r="I971" s="88"/>
      <c r="J971" s="78">
        <f>MAX(K971:Q971)</f>
        <v>0</v>
      </c>
      <c r="K971" s="88"/>
      <c r="L971" s="88"/>
      <c r="M971" s="88"/>
      <c r="N971" s="88"/>
      <c r="O971" s="88"/>
      <c r="P971" s="88"/>
      <c r="Q971" s="88"/>
      <c r="R971" s="78">
        <f>MAX(S971:W971)</f>
        <v>1</v>
      </c>
      <c r="S971" s="88"/>
      <c r="T971" s="88"/>
      <c r="U971" s="88">
        <v>1</v>
      </c>
      <c r="V971" s="88"/>
      <c r="W971" s="88"/>
    </row>
    <row r="972" spans="2:23" s="0" customFormat="0" ht="15">
      <c r="B972" s="87" t="s">
        <v>1</v>
      </c>
      <c r="C972" s="88" t="s">
        <v>5259</v>
      </c>
      <c r="D972" s="88" t="s">
        <v>3798</v>
      </c>
      <c r="E972" s="88" t="s">
        <v>61</v>
      </c>
      <c r="F972" s="88">
        <v>0</v>
      </c>
      <c r="G972" s="78">
        <f>MAX(H972,I972,J972)</f>
        <v>0</v>
      </c>
      <c r="H972" s="88"/>
      <c r="I972" s="88"/>
      <c r="J972" s="78">
        <f>MAX(K972:Q972)</f>
        <v>0</v>
      </c>
      <c r="K972" s="88"/>
      <c r="L972" s="88"/>
      <c r="M972" s="88"/>
      <c r="N972" s="88"/>
      <c r="O972" s="88"/>
      <c r="P972" s="88"/>
      <c r="Q972" s="88"/>
      <c r="R972" s="78">
        <f>MAX(S972:W972)</f>
        <v>1</v>
      </c>
      <c r="S972" s="88"/>
      <c r="T972" s="88"/>
      <c r="U972" s="88">
        <v>1</v>
      </c>
      <c r="V972" s="88"/>
      <c r="W972" s="88"/>
    </row>
    <row r="973" spans="2:23" s="0" customFormat="0" ht="15">
      <c r="B973" s="87" t="s">
        <v>1</v>
      </c>
      <c r="C973" s="88" t="s">
        <v>5259</v>
      </c>
      <c r="D973" s="88" t="s">
        <v>3800</v>
      </c>
      <c r="E973" s="88" t="s">
        <v>61</v>
      </c>
      <c r="F973" s="88">
        <v>0</v>
      </c>
      <c r="G973" s="78">
        <f>MAX(H973,I973,J973)</f>
        <v>0</v>
      </c>
      <c r="H973" s="88"/>
      <c r="I973" s="88"/>
      <c r="J973" s="78">
        <f>MAX(K973:Q973)</f>
        <v>0</v>
      </c>
      <c r="K973" s="88"/>
      <c r="L973" s="88"/>
      <c r="M973" s="88"/>
      <c r="N973" s="88"/>
      <c r="O973" s="88"/>
      <c r="P973" s="88"/>
      <c r="Q973" s="88"/>
      <c r="R973" s="78">
        <f>MAX(S973:W973)</f>
        <v>1</v>
      </c>
      <c r="S973" s="88"/>
      <c r="T973" s="88"/>
      <c r="U973" s="88">
        <v>1</v>
      </c>
      <c r="V973" s="88"/>
      <c r="W973" s="88"/>
    </row>
    <row r="974" spans="2:23" s="0" customFormat="0" ht="15">
      <c r="B974" s="87" t="s">
        <v>1</v>
      </c>
      <c r="C974" s="88" t="s">
        <v>5259</v>
      </c>
      <c r="D974" s="88" t="s">
        <v>860</v>
      </c>
      <c r="E974" s="88" t="s">
        <v>61</v>
      </c>
      <c r="F974" s="88">
        <v>0</v>
      </c>
      <c r="G974" s="78">
        <f>MAX(H974,I974,J974)</f>
        <v>1</v>
      </c>
      <c r="H974" s="88"/>
      <c r="I974" s="88"/>
      <c r="J974" s="78">
        <f>MAX(K974:Q974)</f>
        <v>1</v>
      </c>
      <c r="K974" s="88">
        <v>1</v>
      </c>
      <c r="L974" s="88"/>
      <c r="M974" s="88"/>
      <c r="N974" s="88"/>
      <c r="O974" s="88"/>
      <c r="P974" s="88"/>
      <c r="Q974" s="88"/>
      <c r="R974" s="78">
        <f>MAX(S974:W974)</f>
        <v>0</v>
      </c>
      <c r="S974" s="88"/>
      <c r="T974" s="88"/>
      <c r="U974" s="88"/>
      <c r="V974" s="88"/>
      <c r="W974" s="88"/>
    </row>
    <row r="975" spans="2:23" s="0" customFormat="0" ht="15">
      <c r="B975" s="87" t="s">
        <v>1</v>
      </c>
      <c r="C975" s="88" t="s">
        <v>5259</v>
      </c>
      <c r="D975" s="88">
        <v>9460743</v>
      </c>
      <c r="E975" s="88" t="s">
        <v>61</v>
      </c>
      <c r="F975" s="88">
        <v>0</v>
      </c>
      <c r="G975" s="78">
        <f>MAX(H975,I975,J975)</f>
        <v>0</v>
      </c>
      <c r="H975" s="88"/>
      <c r="I975" s="88"/>
      <c r="J975" s="78">
        <f>MAX(K975:Q975)</f>
        <v>0</v>
      </c>
      <c r="K975" s="88"/>
      <c r="L975" s="88"/>
      <c r="M975" s="88"/>
      <c r="N975" s="88"/>
      <c r="O975" s="88"/>
      <c r="P975" s="88"/>
      <c r="Q975" s="88"/>
      <c r="R975" s="78">
        <f>MAX(S975:W975)</f>
        <v>1</v>
      </c>
      <c r="S975" s="88"/>
      <c r="T975" s="88"/>
      <c r="U975" s="88">
        <v>1</v>
      </c>
      <c r="V975" s="88"/>
      <c r="W975" s="88"/>
    </row>
    <row r="976" spans="2:23" s="0" customFormat="0" ht="15">
      <c r="B976" s="87" t="s">
        <v>1</v>
      </c>
      <c r="C976" s="88" t="s">
        <v>5259</v>
      </c>
      <c r="D976" s="88" t="s">
        <v>3803</v>
      </c>
      <c r="E976" s="88" t="s">
        <v>61</v>
      </c>
      <c r="F976" s="88">
        <v>0</v>
      </c>
      <c r="G976" s="78">
        <f>MAX(H976,I976,J976)</f>
        <v>0</v>
      </c>
      <c r="H976" s="88"/>
      <c r="I976" s="88"/>
      <c r="J976" s="78">
        <f>MAX(K976:Q976)</f>
        <v>0</v>
      </c>
      <c r="K976" s="88"/>
      <c r="L976" s="88"/>
      <c r="M976" s="88"/>
      <c r="N976" s="88"/>
      <c r="O976" s="88"/>
      <c r="P976" s="88"/>
      <c r="Q976" s="88"/>
      <c r="R976" s="78">
        <f>MAX(S976:W976)</f>
        <v>1</v>
      </c>
      <c r="S976" s="88"/>
      <c r="T976" s="88"/>
      <c r="U976" s="88">
        <v>1</v>
      </c>
      <c r="V976" s="88"/>
      <c r="W976" s="88"/>
    </row>
    <row r="977" spans="2:23" s="0" customFormat="0" ht="15">
      <c r="B977" s="87" t="s">
        <v>1</v>
      </c>
      <c r="C977" s="88" t="s">
        <v>5259</v>
      </c>
      <c r="D977" s="88">
        <v>20647449</v>
      </c>
      <c r="E977" s="88" t="s">
        <v>61</v>
      </c>
      <c r="F977" s="88">
        <v>0</v>
      </c>
      <c r="G977" s="78">
        <f>MAX(H977,I977,J977)</f>
        <v>1</v>
      </c>
      <c r="H977" s="88"/>
      <c r="I977" s="88"/>
      <c r="J977" s="78">
        <f>MAX(K977:Q977)</f>
        <v>1</v>
      </c>
      <c r="K977" s="88">
        <v>1</v>
      </c>
      <c r="L977" s="88"/>
      <c r="M977" s="88"/>
      <c r="N977" s="88"/>
      <c r="O977" s="88"/>
      <c r="P977" s="88"/>
      <c r="Q977" s="88"/>
      <c r="R977" s="78">
        <f>MAX(S977:W977)</f>
        <v>0</v>
      </c>
      <c r="S977" s="88"/>
      <c r="T977" s="88"/>
      <c r="U977" s="88"/>
      <c r="V977" s="88"/>
      <c r="W977" s="88"/>
    </row>
    <row r="978" spans="2:23" s="0" customFormat="0" ht="15">
      <c r="B978" s="87" t="s">
        <v>1</v>
      </c>
      <c r="C978" s="88" t="s">
        <v>5259</v>
      </c>
      <c r="D978" s="88">
        <v>15709649</v>
      </c>
      <c r="E978" s="88" t="s">
        <v>61</v>
      </c>
      <c r="F978" s="88">
        <v>0</v>
      </c>
      <c r="G978" s="78">
        <f>MAX(H978,I978,J978)</f>
        <v>1</v>
      </c>
      <c r="H978" s="88"/>
      <c r="I978" s="88"/>
      <c r="J978" s="78">
        <f>MAX(K978:Q978)</f>
        <v>1</v>
      </c>
      <c r="K978" s="88">
        <v>1</v>
      </c>
      <c r="L978" s="88"/>
      <c r="M978" s="88"/>
      <c r="N978" s="88"/>
      <c r="O978" s="88"/>
      <c r="P978" s="88"/>
      <c r="Q978" s="88"/>
      <c r="R978" s="78">
        <f>MAX(S978:W978)</f>
        <v>0</v>
      </c>
      <c r="S978" s="88"/>
      <c r="T978" s="88"/>
      <c r="U978" s="88"/>
      <c r="V978" s="88"/>
      <c r="W978" s="88"/>
    </row>
    <row r="979" spans="2:23" s="0" customFormat="0" ht="15">
      <c r="B979" s="87" t="s">
        <v>1</v>
      </c>
      <c r="C979" s="88" t="s">
        <v>5259</v>
      </c>
      <c r="D979" s="88">
        <v>18728680</v>
      </c>
      <c r="E979" s="88" t="s">
        <v>61</v>
      </c>
      <c r="F979" s="88">
        <v>0</v>
      </c>
      <c r="G979" s="78">
        <f>MAX(H979,I979,J979)</f>
        <v>1</v>
      </c>
      <c r="H979" s="88"/>
      <c r="I979" s="88"/>
      <c r="J979" s="78">
        <f>MAX(K979:Q979)</f>
        <v>1</v>
      </c>
      <c r="K979" s="88">
        <v>1</v>
      </c>
      <c r="L979" s="88"/>
      <c r="M979" s="88"/>
      <c r="N979" s="88"/>
      <c r="O979" s="88"/>
      <c r="P979" s="88"/>
      <c r="Q979" s="88"/>
      <c r="R979" s="78">
        <f>MAX(S979:W979)</f>
        <v>0</v>
      </c>
      <c r="S979" s="88"/>
      <c r="T979" s="88"/>
      <c r="U979" s="88"/>
      <c r="V979" s="88"/>
      <c r="W979" s="88"/>
    </row>
    <row r="980" spans="2:23" s="0" customFormat="0" ht="15">
      <c r="B980" s="87" t="s">
        <v>1</v>
      </c>
      <c r="C980" s="88" t="s">
        <v>5259</v>
      </c>
      <c r="D980" s="88" t="s">
        <v>864</v>
      </c>
      <c r="E980" s="88" t="s">
        <v>61</v>
      </c>
      <c r="F980" s="88">
        <v>0</v>
      </c>
      <c r="G980" s="78">
        <f>MAX(H980,I980,J980)</f>
        <v>1</v>
      </c>
      <c r="H980" s="88"/>
      <c r="I980" s="88"/>
      <c r="J980" s="78">
        <f>MAX(K980:Q980)</f>
        <v>1</v>
      </c>
      <c r="K980" s="88">
        <v>1</v>
      </c>
      <c r="L980" s="88"/>
      <c r="M980" s="88"/>
      <c r="N980" s="88"/>
      <c r="O980" s="88"/>
      <c r="P980" s="88"/>
      <c r="Q980" s="88"/>
      <c r="R980" s="78">
        <f>MAX(S980:W980)</f>
        <v>0</v>
      </c>
      <c r="S980" s="88"/>
      <c r="T980" s="88"/>
      <c r="U980" s="88"/>
      <c r="V980" s="88"/>
      <c r="W980" s="88"/>
    </row>
    <row r="981" spans="2:23" s="0" customFormat="0" ht="15">
      <c r="B981" s="87" t="s">
        <v>1</v>
      </c>
      <c r="C981" s="88" t="s">
        <v>5259</v>
      </c>
      <c r="D981" s="88" t="s">
        <v>866</v>
      </c>
      <c r="E981" s="88" t="s">
        <v>61</v>
      </c>
      <c r="F981" s="88">
        <v>0</v>
      </c>
      <c r="G981" s="78">
        <f>MAX(H981,I981,J981)</f>
        <v>1</v>
      </c>
      <c r="H981" s="88"/>
      <c r="I981" s="88"/>
      <c r="J981" s="78">
        <f>MAX(K981:Q981)</f>
        <v>1</v>
      </c>
      <c r="K981" s="88">
        <v>1</v>
      </c>
      <c r="L981" s="88"/>
      <c r="M981" s="88"/>
      <c r="N981" s="88"/>
      <c r="O981" s="88"/>
      <c r="P981" s="88"/>
      <c r="Q981" s="88"/>
      <c r="R981" s="78">
        <f>MAX(S981:W981)</f>
        <v>0</v>
      </c>
      <c r="S981" s="88"/>
      <c r="T981" s="88"/>
      <c r="U981" s="88"/>
      <c r="V981" s="88"/>
      <c r="W981" s="88"/>
    </row>
    <row r="982" spans="2:23" s="0" customFormat="0" ht="15">
      <c r="B982" s="87" t="s">
        <v>1</v>
      </c>
      <c r="C982" s="88" t="s">
        <v>5259</v>
      </c>
      <c r="D982" s="88" t="s">
        <v>3805</v>
      </c>
      <c r="E982" s="88" t="s">
        <v>61</v>
      </c>
      <c r="F982" s="88">
        <v>0</v>
      </c>
      <c r="G982" s="78">
        <f>MAX(H982,I982,J982)</f>
        <v>0</v>
      </c>
      <c r="H982" s="88"/>
      <c r="I982" s="88"/>
      <c r="J982" s="78">
        <f>MAX(K982:Q982)</f>
        <v>0</v>
      </c>
      <c r="K982" s="88"/>
      <c r="L982" s="88"/>
      <c r="M982" s="88"/>
      <c r="N982" s="88"/>
      <c r="O982" s="88"/>
      <c r="P982" s="88"/>
      <c r="Q982" s="88"/>
      <c r="R982" s="78">
        <f>MAX(S982:W982)</f>
        <v>1</v>
      </c>
      <c r="S982" s="88"/>
      <c r="T982" s="88"/>
      <c r="U982" s="88">
        <v>1</v>
      </c>
      <c r="V982" s="88"/>
      <c r="W982" s="88"/>
    </row>
    <row r="983" spans="2:23" s="0" customFormat="0" ht="15">
      <c r="B983" s="87" t="s">
        <v>1</v>
      </c>
      <c r="C983" s="88" t="s">
        <v>5259</v>
      </c>
      <c r="D983" s="88" t="s">
        <v>868</v>
      </c>
      <c r="E983" s="88" t="s">
        <v>61</v>
      </c>
      <c r="F983" s="88">
        <v>0</v>
      </c>
      <c r="G983" s="78">
        <f>MAX(H983,I983,J983)</f>
        <v>1</v>
      </c>
      <c r="H983" s="88"/>
      <c r="I983" s="88"/>
      <c r="J983" s="78">
        <f>MAX(K983:Q983)</f>
        <v>1</v>
      </c>
      <c r="K983" s="88">
        <v>1</v>
      </c>
      <c r="L983" s="88"/>
      <c r="M983" s="88"/>
      <c r="N983" s="88"/>
      <c r="O983" s="88"/>
      <c r="P983" s="88"/>
      <c r="Q983" s="88"/>
      <c r="R983" s="78">
        <f>MAX(S983:W983)</f>
        <v>0</v>
      </c>
      <c r="S983" s="88"/>
      <c r="T983" s="88"/>
      <c r="U983" s="88"/>
      <c r="V983" s="88"/>
      <c r="W983" s="88"/>
    </row>
    <row r="984" spans="2:23" s="0" customFormat="0" ht="15">
      <c r="B984" s="87" t="s">
        <v>1</v>
      </c>
      <c r="C984" s="88" t="s">
        <v>5259</v>
      </c>
      <c r="D984" s="88">
        <v>24922384</v>
      </c>
      <c r="E984" s="88" t="s">
        <v>61</v>
      </c>
      <c r="F984" s="88">
        <v>0</v>
      </c>
      <c r="G984" s="78">
        <f>MAX(H984,I984,J984)</f>
        <v>1</v>
      </c>
      <c r="H984" s="88"/>
      <c r="I984" s="88"/>
      <c r="J984" s="78">
        <f>MAX(K984:Q984)</f>
        <v>1</v>
      </c>
      <c r="K984" s="88">
        <v>1</v>
      </c>
      <c r="L984" s="88"/>
      <c r="M984" s="88"/>
      <c r="N984" s="88"/>
      <c r="O984" s="88"/>
      <c r="P984" s="88"/>
      <c r="Q984" s="88"/>
      <c r="R984" s="78">
        <f>MAX(S984:W984)</f>
        <v>0</v>
      </c>
      <c r="S984" s="88"/>
      <c r="T984" s="88"/>
      <c r="U984" s="88"/>
      <c r="V984" s="88"/>
      <c r="W984" s="88"/>
    </row>
    <row r="985" spans="2:23" s="0" customFormat="0" ht="15">
      <c r="B985" s="87" t="s">
        <v>1</v>
      </c>
      <c r="C985" s="88" t="s">
        <v>5259</v>
      </c>
      <c r="D985" s="88" t="s">
        <v>3807</v>
      </c>
      <c r="E985" s="88" t="s">
        <v>61</v>
      </c>
      <c r="F985" s="88">
        <v>0</v>
      </c>
      <c r="G985" s="78">
        <f>MAX(H985,I985,J985)</f>
        <v>0</v>
      </c>
      <c r="H985" s="88"/>
      <c r="I985" s="88"/>
      <c r="J985" s="78">
        <f>MAX(K985:Q985)</f>
        <v>0</v>
      </c>
      <c r="K985" s="88"/>
      <c r="L985" s="88"/>
      <c r="M985" s="88"/>
      <c r="N985" s="88"/>
      <c r="O985" s="88"/>
      <c r="P985" s="88"/>
      <c r="Q985" s="88"/>
      <c r="R985" s="78">
        <f>MAX(S985:W985)</f>
        <v>1</v>
      </c>
      <c r="S985" s="88"/>
      <c r="T985" s="88"/>
      <c r="U985" s="88">
        <v>1</v>
      </c>
      <c r="V985" s="88"/>
      <c r="W985" s="88"/>
    </row>
    <row r="986" spans="2:23" s="0" customFormat="0" ht="15">
      <c r="B986" s="87" t="s">
        <v>1</v>
      </c>
      <c r="C986" s="88" t="s">
        <v>5259</v>
      </c>
      <c r="D986" s="88">
        <v>13337154</v>
      </c>
      <c r="E986" s="88" t="s">
        <v>61</v>
      </c>
      <c r="F986" s="88">
        <v>0</v>
      </c>
      <c r="G986" s="78">
        <f>MAX(H986,I986,J986)</f>
        <v>1</v>
      </c>
      <c r="H986" s="88"/>
      <c r="I986" s="88"/>
      <c r="J986" s="78">
        <f>MAX(K986:Q986)</f>
        <v>1</v>
      </c>
      <c r="K986" s="88">
        <v>1</v>
      </c>
      <c r="L986" s="88"/>
      <c r="M986" s="88"/>
      <c r="N986" s="88"/>
      <c r="O986" s="88"/>
      <c r="P986" s="88"/>
      <c r="Q986" s="88"/>
      <c r="R986" s="78">
        <f>MAX(S986:W986)</f>
        <v>0</v>
      </c>
      <c r="S986" s="88"/>
      <c r="T986" s="88"/>
      <c r="U986" s="88"/>
      <c r="V986" s="88"/>
      <c r="W986" s="88"/>
    </row>
    <row r="987" spans="2:23" s="0" customFormat="0" ht="15">
      <c r="B987" s="87" t="s">
        <v>1</v>
      </c>
      <c r="C987" s="88" t="s">
        <v>5259</v>
      </c>
      <c r="D987" s="88">
        <v>7512985</v>
      </c>
      <c r="E987" s="88" t="s">
        <v>61</v>
      </c>
      <c r="F987" s="88">
        <v>0</v>
      </c>
      <c r="G987" s="78">
        <f>MAX(H987,I987,J987)</f>
        <v>1</v>
      </c>
      <c r="H987" s="88"/>
      <c r="I987" s="88"/>
      <c r="J987" s="78">
        <f>MAX(K987:Q987)</f>
        <v>1</v>
      </c>
      <c r="K987" s="88">
        <v>1</v>
      </c>
      <c r="L987" s="88"/>
      <c r="M987" s="88"/>
      <c r="N987" s="88"/>
      <c r="O987" s="88"/>
      <c r="P987" s="88"/>
      <c r="Q987" s="88"/>
      <c r="R987" s="78">
        <f>MAX(S987:W987)</f>
        <v>0</v>
      </c>
      <c r="S987" s="88"/>
      <c r="T987" s="88"/>
      <c r="U987" s="88"/>
      <c r="V987" s="88"/>
      <c r="W987" s="88"/>
    </row>
    <row r="988" spans="2:23" s="0" customFormat="0" ht="15">
      <c r="B988" s="87" t="s">
        <v>1</v>
      </c>
      <c r="C988" s="88" t="s">
        <v>5259</v>
      </c>
      <c r="D988" s="88">
        <v>17795766</v>
      </c>
      <c r="E988" s="88" t="s">
        <v>61</v>
      </c>
      <c r="F988" s="88">
        <v>0</v>
      </c>
      <c r="G988" s="78">
        <f>MAX(H988,I988,J988)</f>
        <v>1</v>
      </c>
      <c r="H988" s="88"/>
      <c r="I988" s="88"/>
      <c r="J988" s="78">
        <f>MAX(K988:Q988)</f>
        <v>1</v>
      </c>
      <c r="K988" s="88">
        <v>1</v>
      </c>
      <c r="L988" s="88"/>
      <c r="M988" s="88"/>
      <c r="N988" s="88"/>
      <c r="O988" s="88"/>
      <c r="P988" s="88"/>
      <c r="Q988" s="88"/>
      <c r="R988" s="78">
        <f>MAX(S988:W988)</f>
        <v>0</v>
      </c>
      <c r="S988" s="88"/>
      <c r="T988" s="88"/>
      <c r="U988" s="88"/>
      <c r="V988" s="88"/>
      <c r="W988" s="88"/>
    </row>
    <row r="989" spans="2:23" s="0" customFormat="0" ht="15">
      <c r="B989" s="87" t="s">
        <v>1</v>
      </c>
      <c r="C989" s="88" t="s">
        <v>5259</v>
      </c>
      <c r="D989" s="88">
        <v>17619849</v>
      </c>
      <c r="E989" s="88" t="s">
        <v>61</v>
      </c>
      <c r="F989" s="88">
        <v>0</v>
      </c>
      <c r="G989" s="78">
        <f>MAX(H989,I989,J989)</f>
        <v>0</v>
      </c>
      <c r="H989" s="88"/>
      <c r="I989" s="88"/>
      <c r="J989" s="78">
        <f>MAX(K989:Q989)</f>
        <v>0</v>
      </c>
      <c r="K989" s="88"/>
      <c r="L989" s="88"/>
      <c r="M989" s="88"/>
      <c r="N989" s="88"/>
      <c r="O989" s="88"/>
      <c r="P989" s="88"/>
      <c r="Q989" s="88"/>
      <c r="R989" s="78">
        <f>MAX(S989:W989)</f>
        <v>1</v>
      </c>
      <c r="S989" s="88"/>
      <c r="T989" s="88"/>
      <c r="U989" s="88">
        <v>1</v>
      </c>
      <c r="V989" s="88"/>
      <c r="W989" s="88"/>
    </row>
    <row r="990" spans="2:23" s="0" customFormat="0" ht="15">
      <c r="B990" s="87" t="s">
        <v>1</v>
      </c>
      <c r="C990" s="88" t="s">
        <v>5259</v>
      </c>
      <c r="D990" s="88" t="s">
        <v>874</v>
      </c>
      <c r="E990" s="88" t="s">
        <v>61</v>
      </c>
      <c r="F990" s="88">
        <v>0</v>
      </c>
      <c r="G990" s="78">
        <f>MAX(H990,I990,J990)</f>
        <v>1</v>
      </c>
      <c r="H990" s="88"/>
      <c r="I990" s="88"/>
      <c r="J990" s="78">
        <f>MAX(K990:Q990)</f>
        <v>1</v>
      </c>
      <c r="K990" s="88">
        <v>1</v>
      </c>
      <c r="L990" s="88"/>
      <c r="M990" s="88"/>
      <c r="N990" s="88"/>
      <c r="O990" s="88"/>
      <c r="P990" s="88"/>
      <c r="Q990" s="88"/>
      <c r="R990" s="78">
        <f>MAX(S990:W990)</f>
        <v>0</v>
      </c>
      <c r="S990" s="88"/>
      <c r="T990" s="88"/>
      <c r="U990" s="88"/>
      <c r="V990" s="88"/>
      <c r="W990" s="88"/>
    </row>
    <row r="991" spans="2:23" s="0" customFormat="0" ht="15">
      <c r="B991" s="87" t="s">
        <v>1</v>
      </c>
      <c r="C991" s="88" t="s">
        <v>5259</v>
      </c>
      <c r="D991" s="88">
        <v>4797401</v>
      </c>
      <c r="E991" s="88" t="s">
        <v>61</v>
      </c>
      <c r="F991" s="88">
        <v>0</v>
      </c>
      <c r="G991" s="78">
        <f>MAX(H991,I991,J991)</f>
        <v>1</v>
      </c>
      <c r="H991" s="88"/>
      <c r="I991" s="88"/>
      <c r="J991" s="78">
        <f>MAX(K991:Q991)</f>
        <v>1</v>
      </c>
      <c r="K991" s="88">
        <v>1</v>
      </c>
      <c r="L991" s="88"/>
      <c r="M991" s="88"/>
      <c r="N991" s="88"/>
      <c r="O991" s="88"/>
      <c r="P991" s="88"/>
      <c r="Q991" s="88"/>
      <c r="R991" s="78">
        <f>MAX(S991:W991)</f>
        <v>0</v>
      </c>
      <c r="S991" s="88"/>
      <c r="T991" s="88"/>
      <c r="U991" s="88"/>
      <c r="V991" s="88"/>
      <c r="W991" s="88"/>
    </row>
    <row r="992" spans="2:23" s="0" customFormat="0" ht="15">
      <c r="B992" s="87" t="s">
        <v>1</v>
      </c>
      <c r="C992" s="88" t="s">
        <v>5259</v>
      </c>
      <c r="D992" s="88">
        <v>21753703</v>
      </c>
      <c r="E992" s="88" t="s">
        <v>61</v>
      </c>
      <c r="F992" s="88">
        <v>0</v>
      </c>
      <c r="G992" s="78">
        <f>MAX(H992,I992,J992)</f>
        <v>1</v>
      </c>
      <c r="H992" s="88"/>
      <c r="I992" s="88"/>
      <c r="J992" s="78">
        <f>MAX(K992:Q992)</f>
        <v>1</v>
      </c>
      <c r="K992" s="88">
        <v>1</v>
      </c>
      <c r="L992" s="88"/>
      <c r="M992" s="88"/>
      <c r="N992" s="88"/>
      <c r="O992" s="88"/>
      <c r="P992" s="88"/>
      <c r="Q992" s="88"/>
      <c r="R992" s="78">
        <f>MAX(S992:W992)</f>
        <v>0</v>
      </c>
      <c r="S992" s="88"/>
      <c r="T992" s="88"/>
      <c r="U992" s="88"/>
      <c r="V992" s="88"/>
      <c r="W992" s="88"/>
    </row>
    <row r="993" spans="2:23" s="0" customFormat="0" ht="15">
      <c r="B993" s="87" t="s">
        <v>1</v>
      </c>
      <c r="C993" s="88" t="s">
        <v>5259</v>
      </c>
      <c r="D993" s="88" t="s">
        <v>878</v>
      </c>
      <c r="E993" s="88" t="s">
        <v>61</v>
      </c>
      <c r="F993" s="88">
        <v>0</v>
      </c>
      <c r="G993" s="78">
        <f>MAX(H993,I993,J993)</f>
        <v>1</v>
      </c>
      <c r="H993" s="88"/>
      <c r="I993" s="88"/>
      <c r="J993" s="78">
        <f>MAX(K993:Q993)</f>
        <v>1</v>
      </c>
      <c r="K993" s="88">
        <v>1</v>
      </c>
      <c r="L993" s="88"/>
      <c r="M993" s="88"/>
      <c r="N993" s="88"/>
      <c r="O993" s="88"/>
      <c r="P993" s="88"/>
      <c r="Q993" s="88"/>
      <c r="R993" s="78">
        <f>MAX(S993:W993)</f>
        <v>0</v>
      </c>
      <c r="S993" s="88"/>
      <c r="T993" s="88"/>
      <c r="U993" s="88"/>
      <c r="V993" s="88"/>
      <c r="W993" s="88"/>
    </row>
    <row r="994" spans="2:23" s="0" customFormat="0" ht="15">
      <c r="B994" s="87" t="s">
        <v>1</v>
      </c>
      <c r="C994" s="88" t="s">
        <v>5259</v>
      </c>
      <c r="D994" s="88">
        <v>8062536</v>
      </c>
      <c r="E994" s="88" t="s">
        <v>61</v>
      </c>
      <c r="F994" s="88">
        <v>0</v>
      </c>
      <c r="G994" s="78">
        <f>MAX(H994,I994,J994)</f>
        <v>1</v>
      </c>
      <c r="H994" s="88"/>
      <c r="I994" s="88"/>
      <c r="J994" s="78">
        <f>MAX(K994:Q994)</f>
        <v>1</v>
      </c>
      <c r="K994" s="88">
        <v>1</v>
      </c>
      <c r="L994" s="88"/>
      <c r="M994" s="88"/>
      <c r="N994" s="88"/>
      <c r="O994" s="88"/>
      <c r="P994" s="88"/>
      <c r="Q994" s="88"/>
      <c r="R994" s="78">
        <f>MAX(S994:W994)</f>
        <v>0</v>
      </c>
      <c r="S994" s="88"/>
      <c r="T994" s="88"/>
      <c r="U994" s="88"/>
      <c r="V994" s="88"/>
      <c r="W994" s="88"/>
    </row>
    <row r="995" spans="2:23" s="0" customFormat="0" ht="15">
      <c r="B995" s="87" t="s">
        <v>1</v>
      </c>
      <c r="C995" s="88" t="s">
        <v>5259</v>
      </c>
      <c r="D995" s="88">
        <v>20993767</v>
      </c>
      <c r="E995" s="88" t="s">
        <v>61</v>
      </c>
      <c r="F995" s="88">
        <v>0</v>
      </c>
      <c r="G995" s="78">
        <f>MAX(H995,I995,J995)</f>
        <v>1</v>
      </c>
      <c r="H995" s="88"/>
      <c r="I995" s="88"/>
      <c r="J995" s="78">
        <f>MAX(K995:Q995)</f>
        <v>1</v>
      </c>
      <c r="K995" s="88">
        <v>1</v>
      </c>
      <c r="L995" s="88"/>
      <c r="M995" s="88"/>
      <c r="N995" s="88"/>
      <c r="O995" s="88"/>
      <c r="P995" s="88"/>
      <c r="Q995" s="88"/>
      <c r="R995" s="78">
        <f>MAX(S995:W995)</f>
        <v>0</v>
      </c>
      <c r="S995" s="88"/>
      <c r="T995" s="88"/>
      <c r="U995" s="88"/>
      <c r="V995" s="88"/>
      <c r="W995" s="88"/>
    </row>
    <row r="996" spans="2:23" s="0" customFormat="0" ht="15">
      <c r="B996" s="87" t="s">
        <v>1</v>
      </c>
      <c r="C996" s="88" t="s">
        <v>5259</v>
      </c>
      <c r="D996" s="88">
        <v>13111105</v>
      </c>
      <c r="E996" s="88" t="s">
        <v>61</v>
      </c>
      <c r="F996" s="88">
        <v>0</v>
      </c>
      <c r="G996" s="78">
        <f>MAX(H996,I996,J996)</f>
        <v>1</v>
      </c>
      <c r="H996" s="88"/>
      <c r="I996" s="88"/>
      <c r="J996" s="78">
        <f>MAX(K996:Q996)</f>
        <v>1</v>
      </c>
      <c r="K996" s="88">
        <v>1</v>
      </c>
      <c r="L996" s="88"/>
      <c r="M996" s="88"/>
      <c r="N996" s="88"/>
      <c r="O996" s="88"/>
      <c r="P996" s="88"/>
      <c r="Q996" s="88"/>
      <c r="R996" s="78">
        <f>MAX(S996:W996)</f>
        <v>0</v>
      </c>
      <c r="S996" s="88"/>
      <c r="T996" s="88"/>
      <c r="U996" s="88"/>
      <c r="V996" s="88"/>
      <c r="W996" s="88"/>
    </row>
    <row r="997" spans="2:23" s="0" customFormat="0" ht="15">
      <c r="B997" s="87" t="s">
        <v>1</v>
      </c>
      <c r="C997" s="88" t="s">
        <v>5259</v>
      </c>
      <c r="D997" s="88">
        <v>24964907</v>
      </c>
      <c r="E997" s="88" t="s">
        <v>61</v>
      </c>
      <c r="F997" s="88">
        <v>0</v>
      </c>
      <c r="G997" s="78">
        <f>MAX(H997,I997,J997)</f>
        <v>1</v>
      </c>
      <c r="H997" s="88"/>
      <c r="I997" s="88"/>
      <c r="J997" s="78">
        <f>MAX(K997:Q997)</f>
        <v>1</v>
      </c>
      <c r="K997" s="88"/>
      <c r="L997" s="88"/>
      <c r="M997" s="88">
        <v>1</v>
      </c>
      <c r="N997" s="88"/>
      <c r="O997" s="88"/>
      <c r="P997" s="88"/>
      <c r="Q997" s="88"/>
      <c r="R997" s="78">
        <f>MAX(S997:W997)</f>
        <v>0</v>
      </c>
      <c r="S997" s="88"/>
      <c r="T997" s="88"/>
      <c r="U997" s="88"/>
      <c r="V997" s="88"/>
      <c r="W997" s="88"/>
    </row>
    <row r="998" spans="2:23" s="0" customFormat="0" ht="15">
      <c r="B998" s="87" t="s">
        <v>1</v>
      </c>
      <c r="C998" s="88" t="s">
        <v>5259</v>
      </c>
      <c r="D998" s="88" t="s">
        <v>882</v>
      </c>
      <c r="E998" s="88" t="s">
        <v>61</v>
      </c>
      <c r="F998" s="88">
        <v>0</v>
      </c>
      <c r="G998" s="78">
        <f>MAX(H998,I998,J998)</f>
        <v>1</v>
      </c>
      <c r="H998" s="88"/>
      <c r="I998" s="88"/>
      <c r="J998" s="78">
        <f>MAX(K998:Q998)</f>
        <v>1</v>
      </c>
      <c r="K998" s="88">
        <v>1</v>
      </c>
      <c r="L998" s="88"/>
      <c r="M998" s="88"/>
      <c r="N998" s="88"/>
      <c r="O998" s="88"/>
      <c r="P998" s="88"/>
      <c r="Q998" s="88"/>
      <c r="R998" s="78">
        <f>MAX(S998:W998)</f>
        <v>0</v>
      </c>
      <c r="S998" s="88"/>
      <c r="T998" s="88"/>
      <c r="U998" s="88"/>
      <c r="V998" s="88"/>
      <c r="W998" s="88"/>
    </row>
    <row r="999" spans="2:23" s="0" customFormat="0" ht="15">
      <c r="B999" s="87" t="s">
        <v>1</v>
      </c>
      <c r="C999" s="88" t="s">
        <v>5259</v>
      </c>
      <c r="D999" s="88">
        <v>12894601</v>
      </c>
      <c r="E999" s="88" t="s">
        <v>61</v>
      </c>
      <c r="F999" s="88">
        <v>0</v>
      </c>
      <c r="G999" s="78">
        <f>MAX(H999,I999,J999)</f>
        <v>1</v>
      </c>
      <c r="H999" s="88"/>
      <c r="I999" s="88"/>
      <c r="J999" s="78">
        <f>MAX(K999:Q999)</f>
        <v>1</v>
      </c>
      <c r="K999" s="88">
        <v>1</v>
      </c>
      <c r="L999" s="88"/>
      <c r="M999" s="88"/>
      <c r="N999" s="88"/>
      <c r="O999" s="88"/>
      <c r="P999" s="88"/>
      <c r="Q999" s="88"/>
      <c r="R999" s="78">
        <f>MAX(S999:W999)</f>
        <v>0</v>
      </c>
      <c r="S999" s="88"/>
      <c r="T999" s="88"/>
      <c r="U999" s="88"/>
      <c r="V999" s="88"/>
      <c r="W999" s="88"/>
    </row>
    <row r="1000" spans="2:23" s="0" customFormat="0" ht="15">
      <c r="B1000" s="87" t="s">
        <v>1</v>
      </c>
      <c r="C1000" s="88" t="s">
        <v>5259</v>
      </c>
      <c r="D1000" s="88">
        <v>19647980</v>
      </c>
      <c r="E1000" s="88" t="s">
        <v>61</v>
      </c>
      <c r="F1000" s="88">
        <v>0</v>
      </c>
      <c r="G1000" s="78">
        <f>MAX(H1000,I1000,J1000)</f>
        <v>1</v>
      </c>
      <c r="H1000" s="88"/>
      <c r="I1000" s="88"/>
      <c r="J1000" s="78">
        <f>MAX(K1000:Q1000)</f>
        <v>1</v>
      </c>
      <c r="K1000" s="88">
        <v>1</v>
      </c>
      <c r="L1000" s="88"/>
      <c r="M1000" s="88"/>
      <c r="N1000" s="88"/>
      <c r="O1000" s="88"/>
      <c r="P1000" s="88"/>
      <c r="Q1000" s="88"/>
      <c r="R1000" s="78">
        <f>MAX(S1000:W1000)</f>
        <v>0</v>
      </c>
      <c r="S1000" s="88"/>
      <c r="T1000" s="88"/>
      <c r="U1000" s="88"/>
      <c r="V1000" s="88"/>
      <c r="W1000" s="88"/>
    </row>
    <row r="1001" spans="2:23" s="0" customFormat="0" ht="15">
      <c r="B1001" s="87" t="s">
        <v>1</v>
      </c>
      <c r="C1001" s="88" t="s">
        <v>5259</v>
      </c>
      <c r="D1001" s="88" t="s">
        <v>885</v>
      </c>
      <c r="E1001" s="88" t="s">
        <v>61</v>
      </c>
      <c r="F1001" s="88">
        <v>0</v>
      </c>
      <c r="G1001" s="78">
        <f>MAX(H1001,I1001,J1001)</f>
        <v>1</v>
      </c>
      <c r="H1001" s="88"/>
      <c r="I1001" s="88"/>
      <c r="J1001" s="78">
        <f>MAX(K1001:Q1001)</f>
        <v>1</v>
      </c>
      <c r="K1001" s="88">
        <v>1</v>
      </c>
      <c r="L1001" s="88"/>
      <c r="M1001" s="88"/>
      <c r="N1001" s="88"/>
      <c r="O1001" s="88"/>
      <c r="P1001" s="88"/>
      <c r="Q1001" s="88"/>
      <c r="R1001" s="78">
        <f>MAX(S1001:W1001)</f>
        <v>0</v>
      </c>
      <c r="S1001" s="88"/>
      <c r="T1001" s="88"/>
      <c r="U1001" s="88"/>
      <c r="V1001" s="88"/>
      <c r="W1001" s="88"/>
    </row>
    <row r="1002" spans="2:23" s="0" customFormat="0" ht="15">
      <c r="B1002" s="87" t="s">
        <v>1</v>
      </c>
      <c r="C1002" s="88" t="s">
        <v>5259</v>
      </c>
      <c r="D1002" s="88">
        <v>23069421</v>
      </c>
      <c r="E1002" s="88" t="s">
        <v>61</v>
      </c>
      <c r="F1002" s="88">
        <v>0</v>
      </c>
      <c r="G1002" s="78">
        <f>MAX(H1002,I1002,J1002)</f>
        <v>1</v>
      </c>
      <c r="H1002" s="88"/>
      <c r="I1002" s="88"/>
      <c r="J1002" s="78">
        <f>MAX(K1002:Q1002)</f>
        <v>1</v>
      </c>
      <c r="K1002" s="88">
        <v>1</v>
      </c>
      <c r="L1002" s="88"/>
      <c r="M1002" s="88"/>
      <c r="N1002" s="88"/>
      <c r="O1002" s="88"/>
      <c r="P1002" s="88"/>
      <c r="Q1002" s="88"/>
      <c r="R1002" s="78">
        <f>MAX(S1002:W1002)</f>
        <v>0</v>
      </c>
      <c r="S1002" s="88"/>
      <c r="T1002" s="88"/>
      <c r="U1002" s="88"/>
      <c r="V1002" s="88"/>
      <c r="W1002" s="88"/>
    </row>
    <row r="1003" spans="2:23" s="0" customFormat="0" ht="15">
      <c r="B1003" s="87" t="s">
        <v>1</v>
      </c>
      <c r="C1003" s="88" t="s">
        <v>5259</v>
      </c>
      <c r="D1003" s="88" t="s">
        <v>3810</v>
      </c>
      <c r="E1003" s="88" t="s">
        <v>61</v>
      </c>
      <c r="F1003" s="88">
        <v>0</v>
      </c>
      <c r="G1003" s="78">
        <f>MAX(H1003,I1003,J1003)</f>
        <v>0</v>
      </c>
      <c r="H1003" s="88"/>
      <c r="I1003" s="88"/>
      <c r="J1003" s="78">
        <f>MAX(K1003:Q1003)</f>
        <v>0</v>
      </c>
      <c r="K1003" s="88"/>
      <c r="L1003" s="88"/>
      <c r="M1003" s="88"/>
      <c r="N1003" s="88"/>
      <c r="O1003" s="88"/>
      <c r="P1003" s="88"/>
      <c r="Q1003" s="88"/>
      <c r="R1003" s="78">
        <f>MAX(S1003:W1003)</f>
        <v>1</v>
      </c>
      <c r="S1003" s="88"/>
      <c r="T1003" s="88"/>
      <c r="U1003" s="88">
        <v>1</v>
      </c>
      <c r="V1003" s="88"/>
      <c r="W1003" s="88"/>
    </row>
    <row r="1004" spans="2:23" s="0" customFormat="0" ht="15">
      <c r="B1004" s="87" t="s">
        <v>1</v>
      </c>
      <c r="C1004" s="88" t="s">
        <v>5259</v>
      </c>
      <c r="D1004" s="88">
        <v>10740749</v>
      </c>
      <c r="E1004" s="88" t="s">
        <v>61</v>
      </c>
      <c r="F1004" s="88">
        <v>0</v>
      </c>
      <c r="G1004" s="78">
        <f>MAX(H1004,I1004,J1004)</f>
        <v>1</v>
      </c>
      <c r="H1004" s="88"/>
      <c r="I1004" s="88"/>
      <c r="J1004" s="78">
        <f>MAX(K1004:Q1004)</f>
        <v>1</v>
      </c>
      <c r="K1004" s="88"/>
      <c r="L1004" s="88"/>
      <c r="M1004" s="88">
        <v>1</v>
      </c>
      <c r="N1004" s="88"/>
      <c r="O1004" s="88"/>
      <c r="P1004" s="88"/>
      <c r="Q1004" s="88"/>
      <c r="R1004" s="78">
        <f>MAX(S1004:W1004)</f>
        <v>0</v>
      </c>
      <c r="S1004" s="88"/>
      <c r="T1004" s="88"/>
      <c r="U1004" s="88"/>
      <c r="V1004" s="88"/>
      <c r="W1004" s="88"/>
    </row>
    <row r="1005" spans="2:23" s="0" customFormat="0" ht="15">
      <c r="B1005" s="87" t="s">
        <v>1</v>
      </c>
      <c r="C1005" s="88" t="s">
        <v>5259</v>
      </c>
      <c r="D1005" s="88">
        <v>12057777</v>
      </c>
      <c r="E1005" s="88" t="s">
        <v>61</v>
      </c>
      <c r="F1005" s="88">
        <v>0</v>
      </c>
      <c r="G1005" s="78">
        <f>MAX(H1005,I1005,J1005)</f>
        <v>1</v>
      </c>
      <c r="H1005" s="88"/>
      <c r="I1005" s="88"/>
      <c r="J1005" s="78">
        <f>MAX(K1005:Q1005)</f>
        <v>1</v>
      </c>
      <c r="K1005" s="88">
        <v>1</v>
      </c>
      <c r="L1005" s="88"/>
      <c r="M1005" s="88"/>
      <c r="N1005" s="88"/>
      <c r="O1005" s="88"/>
      <c r="P1005" s="88"/>
      <c r="Q1005" s="88"/>
      <c r="R1005" s="78">
        <f>MAX(S1005:W1005)</f>
        <v>0</v>
      </c>
      <c r="S1005" s="88"/>
      <c r="T1005" s="88"/>
      <c r="U1005" s="88"/>
      <c r="V1005" s="88"/>
      <c r="W1005" s="88"/>
    </row>
    <row r="1006" spans="2:23" s="0" customFormat="0" ht="15">
      <c r="B1006" s="87" t="s">
        <v>1</v>
      </c>
      <c r="C1006" s="88" t="s">
        <v>5259</v>
      </c>
      <c r="D1006" s="88">
        <v>23353706</v>
      </c>
      <c r="E1006" s="88" t="s">
        <v>61</v>
      </c>
      <c r="F1006" s="88">
        <v>0</v>
      </c>
      <c r="G1006" s="78">
        <f>MAX(H1006,I1006,J1006)</f>
        <v>1</v>
      </c>
      <c r="H1006" s="88"/>
      <c r="I1006" s="88"/>
      <c r="J1006" s="78">
        <f>MAX(K1006:Q1006)</f>
        <v>1</v>
      </c>
      <c r="K1006" s="88">
        <v>1</v>
      </c>
      <c r="L1006" s="88"/>
      <c r="M1006" s="88"/>
      <c r="N1006" s="88"/>
      <c r="O1006" s="88"/>
      <c r="P1006" s="88"/>
      <c r="Q1006" s="88"/>
      <c r="R1006" s="78">
        <f>MAX(S1006:W1006)</f>
        <v>0</v>
      </c>
      <c r="S1006" s="88"/>
      <c r="T1006" s="88"/>
      <c r="U1006" s="88"/>
      <c r="V1006" s="88"/>
      <c r="W1006" s="88"/>
    </row>
    <row r="1007" spans="2:23" s="0" customFormat="0" ht="15">
      <c r="B1007" s="87" t="s">
        <v>1</v>
      </c>
      <c r="C1007" s="88" t="s">
        <v>5259</v>
      </c>
      <c r="D1007" s="88">
        <v>24432571</v>
      </c>
      <c r="E1007" s="88" t="s">
        <v>61</v>
      </c>
      <c r="F1007" s="88">
        <v>0</v>
      </c>
      <c r="G1007" s="78">
        <f>MAX(H1007,I1007,J1007)</f>
        <v>1</v>
      </c>
      <c r="H1007" s="88"/>
      <c r="I1007" s="88"/>
      <c r="J1007" s="78">
        <f>MAX(K1007:Q1007)</f>
        <v>1</v>
      </c>
      <c r="K1007" s="88">
        <v>1</v>
      </c>
      <c r="L1007" s="88"/>
      <c r="M1007" s="88"/>
      <c r="N1007" s="88"/>
      <c r="O1007" s="88"/>
      <c r="P1007" s="88"/>
      <c r="Q1007" s="88"/>
      <c r="R1007" s="78">
        <f>MAX(S1007:W1007)</f>
        <v>0</v>
      </c>
      <c r="S1007" s="88"/>
      <c r="T1007" s="88"/>
      <c r="U1007" s="88"/>
      <c r="V1007" s="88"/>
      <c r="W1007" s="88"/>
    </row>
    <row r="1008" spans="2:23" s="0" customFormat="0" ht="15">
      <c r="B1008" s="87" t="s">
        <v>1</v>
      </c>
      <c r="C1008" s="88" t="s">
        <v>5259</v>
      </c>
      <c r="D1008" s="88">
        <v>21906268</v>
      </c>
      <c r="E1008" s="88" t="s">
        <v>61</v>
      </c>
      <c r="F1008" s="88">
        <v>0</v>
      </c>
      <c r="G1008" s="78">
        <f>MAX(H1008,I1008,J1008)</f>
        <v>1</v>
      </c>
      <c r="H1008" s="88"/>
      <c r="I1008" s="88"/>
      <c r="J1008" s="78">
        <f>MAX(K1008:Q1008)</f>
        <v>1</v>
      </c>
      <c r="K1008" s="88">
        <v>1</v>
      </c>
      <c r="L1008" s="88"/>
      <c r="M1008" s="88"/>
      <c r="N1008" s="88"/>
      <c r="O1008" s="88"/>
      <c r="P1008" s="88"/>
      <c r="Q1008" s="88"/>
      <c r="R1008" s="78">
        <f>MAX(S1008:W1008)</f>
        <v>0</v>
      </c>
      <c r="S1008" s="88"/>
      <c r="T1008" s="88"/>
      <c r="U1008" s="88"/>
      <c r="V1008" s="88"/>
      <c r="W1008" s="88"/>
    </row>
    <row r="1009" spans="2:23" s="0" customFormat="0" ht="15">
      <c r="B1009" s="87" t="s">
        <v>1</v>
      </c>
      <c r="C1009" s="88" t="s">
        <v>5259</v>
      </c>
      <c r="D1009" s="88">
        <v>3273888</v>
      </c>
      <c r="E1009" s="88" t="s">
        <v>61</v>
      </c>
      <c r="F1009" s="88">
        <v>0</v>
      </c>
      <c r="G1009" s="78">
        <f>MAX(H1009,I1009,J1009)</f>
        <v>1</v>
      </c>
      <c r="H1009" s="88"/>
      <c r="I1009" s="88"/>
      <c r="J1009" s="78">
        <f>MAX(K1009:Q1009)</f>
        <v>1</v>
      </c>
      <c r="K1009" s="88">
        <v>1</v>
      </c>
      <c r="L1009" s="88"/>
      <c r="M1009" s="88"/>
      <c r="N1009" s="88"/>
      <c r="O1009" s="88"/>
      <c r="P1009" s="88"/>
      <c r="Q1009" s="88"/>
      <c r="R1009" s="78">
        <f>MAX(S1009:W1009)</f>
        <v>0</v>
      </c>
      <c r="S1009" s="88"/>
      <c r="T1009" s="88"/>
      <c r="U1009" s="88"/>
      <c r="V1009" s="88"/>
      <c r="W1009" s="88"/>
    </row>
    <row r="1010" spans="2:23" s="0" customFormat="0" ht="15">
      <c r="B1010" s="87" t="s">
        <v>1</v>
      </c>
      <c r="C1010" s="88" t="s">
        <v>5259</v>
      </c>
      <c r="D1010" s="88">
        <v>16974606</v>
      </c>
      <c r="E1010" s="88" t="s">
        <v>61</v>
      </c>
      <c r="F1010" s="88">
        <v>0</v>
      </c>
      <c r="G1010" s="78">
        <f>MAX(H1010,I1010,J1010)</f>
        <v>0</v>
      </c>
      <c r="H1010" s="88"/>
      <c r="I1010" s="88"/>
      <c r="J1010" s="78">
        <f>MAX(K1010:Q1010)</f>
        <v>0</v>
      </c>
      <c r="K1010" s="88"/>
      <c r="L1010" s="88"/>
      <c r="M1010" s="88"/>
      <c r="N1010" s="88"/>
      <c r="O1010" s="88"/>
      <c r="P1010" s="88"/>
      <c r="Q1010" s="88"/>
      <c r="R1010" s="78">
        <f>MAX(S1010:W1010)</f>
        <v>1</v>
      </c>
      <c r="S1010" s="88"/>
      <c r="T1010" s="88"/>
      <c r="U1010" s="88">
        <v>1</v>
      </c>
      <c r="V1010" s="88"/>
      <c r="W1010" s="88"/>
    </row>
    <row r="1011" spans="2:23" s="0" customFormat="0" ht="15">
      <c r="B1011" s="87" t="s">
        <v>1</v>
      </c>
      <c r="C1011" s="88" t="s">
        <v>5259</v>
      </c>
      <c r="D1011" s="88">
        <v>20679265</v>
      </c>
      <c r="E1011" s="88" t="s">
        <v>61</v>
      </c>
      <c r="F1011" s="88">
        <v>0</v>
      </c>
      <c r="G1011" s="78">
        <f>MAX(H1011,I1011,J1011)</f>
        <v>1</v>
      </c>
      <c r="H1011" s="88"/>
      <c r="I1011" s="88"/>
      <c r="J1011" s="78">
        <f>MAX(K1011:Q1011)</f>
        <v>1</v>
      </c>
      <c r="K1011" s="88">
        <v>1</v>
      </c>
      <c r="L1011" s="88"/>
      <c r="M1011" s="88"/>
      <c r="N1011" s="88"/>
      <c r="O1011" s="88"/>
      <c r="P1011" s="88"/>
      <c r="Q1011" s="88"/>
      <c r="R1011" s="78">
        <f>MAX(S1011:W1011)</f>
        <v>0</v>
      </c>
      <c r="S1011" s="88"/>
      <c r="T1011" s="88"/>
      <c r="U1011" s="88"/>
      <c r="V1011" s="88"/>
      <c r="W1011" s="88"/>
    </row>
    <row r="1012" spans="2:23" s="0" customFormat="0" ht="15">
      <c r="B1012" s="87" t="s">
        <v>1</v>
      </c>
      <c r="C1012" s="88" t="s">
        <v>5259</v>
      </c>
      <c r="D1012" s="88">
        <v>20612943</v>
      </c>
      <c r="E1012" s="88" t="s">
        <v>61</v>
      </c>
      <c r="F1012" s="88">
        <v>0</v>
      </c>
      <c r="G1012" s="78">
        <f>MAX(H1012,I1012,J1012)</f>
        <v>1</v>
      </c>
      <c r="H1012" s="88"/>
      <c r="I1012" s="88"/>
      <c r="J1012" s="78">
        <f>MAX(K1012:Q1012)</f>
        <v>1</v>
      </c>
      <c r="K1012" s="88">
        <v>1</v>
      </c>
      <c r="L1012" s="88"/>
      <c r="M1012" s="88"/>
      <c r="N1012" s="88"/>
      <c r="O1012" s="88"/>
      <c r="P1012" s="88"/>
      <c r="Q1012" s="88"/>
      <c r="R1012" s="78">
        <f>MAX(S1012:W1012)</f>
        <v>0</v>
      </c>
      <c r="S1012" s="88"/>
      <c r="T1012" s="88"/>
      <c r="U1012" s="88"/>
      <c r="V1012" s="88"/>
      <c r="W1012" s="88"/>
    </row>
    <row r="1013" spans="2:23" s="0" customFormat="0" ht="15">
      <c r="B1013" s="87" t="s">
        <v>1</v>
      </c>
      <c r="C1013" s="88" t="s">
        <v>5259</v>
      </c>
      <c r="D1013" s="88" t="s">
        <v>3812</v>
      </c>
      <c r="E1013" s="88" t="s">
        <v>61</v>
      </c>
      <c r="F1013" s="88">
        <v>0</v>
      </c>
      <c r="G1013" s="78">
        <f>MAX(H1013,I1013,J1013)</f>
        <v>0</v>
      </c>
      <c r="H1013" s="88"/>
      <c r="I1013" s="88"/>
      <c r="J1013" s="78">
        <f>MAX(K1013:Q1013)</f>
        <v>0</v>
      </c>
      <c r="K1013" s="88"/>
      <c r="L1013" s="88"/>
      <c r="M1013" s="88"/>
      <c r="N1013" s="88"/>
      <c r="O1013" s="88"/>
      <c r="P1013" s="88"/>
      <c r="Q1013" s="88"/>
      <c r="R1013" s="78">
        <f>MAX(S1013:W1013)</f>
        <v>1</v>
      </c>
      <c r="S1013" s="88"/>
      <c r="T1013" s="88"/>
      <c r="U1013" s="88">
        <v>1</v>
      </c>
      <c r="V1013" s="88"/>
      <c r="W1013" s="88"/>
    </row>
    <row r="1014" spans="2:23" s="0" customFormat="0" ht="15">
      <c r="B1014" s="87" t="s">
        <v>1</v>
      </c>
      <c r="C1014" s="88" t="s">
        <v>5259</v>
      </c>
      <c r="D1014" s="88" t="s">
        <v>638</v>
      </c>
      <c r="E1014" s="88" t="s">
        <v>61</v>
      </c>
      <c r="F1014" s="88">
        <v>0</v>
      </c>
      <c r="G1014" s="78">
        <f>MAX(H1014,I1014,J1014)</f>
        <v>1</v>
      </c>
      <c r="H1014" s="88"/>
      <c r="I1014" s="88"/>
      <c r="J1014" s="78">
        <f>MAX(K1014:Q1014)</f>
        <v>1</v>
      </c>
      <c r="K1014" s="88">
        <v>1</v>
      </c>
      <c r="L1014" s="88"/>
      <c r="M1014" s="88"/>
      <c r="N1014" s="88"/>
      <c r="O1014" s="88"/>
      <c r="P1014" s="88"/>
      <c r="Q1014" s="88"/>
      <c r="R1014" s="78">
        <f>MAX(S1014:W1014)</f>
        <v>0</v>
      </c>
      <c r="S1014" s="88"/>
      <c r="T1014" s="88"/>
      <c r="U1014" s="88"/>
      <c r="V1014" s="88"/>
      <c r="W1014" s="88"/>
    </row>
    <row r="1015" spans="2:23" s="0" customFormat="0" ht="15">
      <c r="B1015" s="87" t="s">
        <v>1</v>
      </c>
      <c r="C1015" s="88" t="s">
        <v>5259</v>
      </c>
      <c r="D1015" s="88">
        <v>22554498</v>
      </c>
      <c r="E1015" s="88" t="s">
        <v>61</v>
      </c>
      <c r="F1015" s="88">
        <v>0</v>
      </c>
      <c r="G1015" s="78">
        <f>MAX(H1015,I1015,J1015)</f>
        <v>0</v>
      </c>
      <c r="H1015" s="88"/>
      <c r="I1015" s="88"/>
      <c r="J1015" s="78">
        <f>MAX(K1015:Q1015)</f>
        <v>0</v>
      </c>
      <c r="K1015" s="88"/>
      <c r="L1015" s="88"/>
      <c r="M1015" s="88"/>
      <c r="N1015" s="88"/>
      <c r="O1015" s="88"/>
      <c r="P1015" s="88"/>
      <c r="Q1015" s="88"/>
      <c r="R1015" s="78">
        <f>MAX(S1015:W1015)</f>
        <v>1</v>
      </c>
      <c r="S1015" s="88"/>
      <c r="T1015" s="88"/>
      <c r="U1015" s="88">
        <v>1</v>
      </c>
      <c r="V1015" s="88"/>
      <c r="W1015" s="88"/>
    </row>
    <row r="1016" spans="2:23" s="0" customFormat="0" ht="15">
      <c r="B1016" s="87" t="s">
        <v>1</v>
      </c>
      <c r="C1016" s="88" t="s">
        <v>5259</v>
      </c>
      <c r="D1016" s="88">
        <v>16729249</v>
      </c>
      <c r="E1016" s="88" t="s">
        <v>61</v>
      </c>
      <c r="F1016" s="88">
        <v>0</v>
      </c>
      <c r="G1016" s="78">
        <f>MAX(H1016,I1016,J1016)</f>
        <v>1</v>
      </c>
      <c r="H1016" s="88"/>
      <c r="I1016" s="88"/>
      <c r="J1016" s="78">
        <f>MAX(K1016:Q1016)</f>
        <v>1</v>
      </c>
      <c r="K1016" s="88">
        <v>1</v>
      </c>
      <c r="L1016" s="88"/>
      <c r="M1016" s="88"/>
      <c r="N1016" s="88"/>
      <c r="O1016" s="88"/>
      <c r="P1016" s="88"/>
      <c r="Q1016" s="88"/>
      <c r="R1016" s="78">
        <f>MAX(S1016:W1016)</f>
        <v>0</v>
      </c>
      <c r="S1016" s="88"/>
      <c r="T1016" s="88"/>
      <c r="U1016" s="88"/>
      <c r="V1016" s="88"/>
      <c r="W1016" s="88"/>
    </row>
    <row r="1017" spans="2:23" s="0" customFormat="0" ht="15">
      <c r="B1017" s="87" t="s">
        <v>1</v>
      </c>
      <c r="C1017" s="88" t="s">
        <v>5259</v>
      </c>
      <c r="D1017" s="88">
        <v>9530605</v>
      </c>
      <c r="E1017" s="88" t="s">
        <v>61</v>
      </c>
      <c r="F1017" s="88">
        <v>0</v>
      </c>
      <c r="G1017" s="78">
        <f>MAX(H1017,I1017,J1017)</f>
        <v>1</v>
      </c>
      <c r="H1017" s="88"/>
      <c r="I1017" s="88"/>
      <c r="J1017" s="78">
        <f>MAX(K1017:Q1017)</f>
        <v>1</v>
      </c>
      <c r="K1017" s="88">
        <v>1</v>
      </c>
      <c r="L1017" s="88"/>
      <c r="M1017" s="88"/>
      <c r="N1017" s="88"/>
      <c r="O1017" s="88"/>
      <c r="P1017" s="88"/>
      <c r="Q1017" s="88"/>
      <c r="R1017" s="78">
        <f>MAX(S1017:W1017)</f>
        <v>0</v>
      </c>
      <c r="S1017" s="88"/>
      <c r="T1017" s="88"/>
      <c r="U1017" s="88"/>
      <c r="V1017" s="88"/>
      <c r="W1017" s="88"/>
    </row>
    <row r="1018" spans="2:23" s="0" customFormat="0" ht="15">
      <c r="B1018" s="87" t="s">
        <v>1</v>
      </c>
      <c r="C1018" s="88" t="s">
        <v>5259</v>
      </c>
      <c r="D1018" s="88" t="s">
        <v>896</v>
      </c>
      <c r="E1018" s="88" t="s">
        <v>61</v>
      </c>
      <c r="F1018" s="88">
        <v>0</v>
      </c>
      <c r="G1018" s="78">
        <f>MAX(H1018,I1018,J1018)</f>
        <v>1</v>
      </c>
      <c r="H1018" s="88"/>
      <c r="I1018" s="88"/>
      <c r="J1018" s="78">
        <f>MAX(K1018:Q1018)</f>
        <v>1</v>
      </c>
      <c r="K1018" s="88">
        <v>1</v>
      </c>
      <c r="L1018" s="88"/>
      <c r="M1018" s="88"/>
      <c r="N1018" s="88"/>
      <c r="O1018" s="88"/>
      <c r="P1018" s="88"/>
      <c r="Q1018" s="88"/>
      <c r="R1018" s="78">
        <f>MAX(S1018:W1018)</f>
        <v>0</v>
      </c>
      <c r="S1018" s="88"/>
      <c r="T1018" s="88"/>
      <c r="U1018" s="88"/>
      <c r="V1018" s="88"/>
      <c r="W1018" s="88"/>
    </row>
    <row r="1019" spans="2:23" s="0" customFormat="0" ht="15">
      <c r="B1019" s="87" t="s">
        <v>1</v>
      </c>
      <c r="C1019" s="88" t="s">
        <v>5259</v>
      </c>
      <c r="D1019" s="88">
        <v>13531124</v>
      </c>
      <c r="E1019" s="88" t="s">
        <v>61</v>
      </c>
      <c r="F1019" s="88">
        <v>0</v>
      </c>
      <c r="G1019" s="78">
        <f>MAX(H1019,I1019,J1019)</f>
        <v>1</v>
      </c>
      <c r="H1019" s="88"/>
      <c r="I1019" s="88"/>
      <c r="J1019" s="78">
        <f>MAX(K1019:Q1019)</f>
        <v>1</v>
      </c>
      <c r="K1019" s="88">
        <v>1</v>
      </c>
      <c r="L1019" s="88"/>
      <c r="M1019" s="88"/>
      <c r="N1019" s="88"/>
      <c r="O1019" s="88"/>
      <c r="P1019" s="88"/>
      <c r="Q1019" s="88"/>
      <c r="R1019" s="78">
        <f>MAX(S1019:W1019)</f>
        <v>0</v>
      </c>
      <c r="S1019" s="88"/>
      <c r="T1019" s="88"/>
      <c r="U1019" s="88"/>
      <c r="V1019" s="88"/>
      <c r="W1019" s="88"/>
    </row>
    <row r="1020" spans="2:23" s="0" customFormat="0" ht="15">
      <c r="B1020" s="87" t="s">
        <v>1</v>
      </c>
      <c r="C1020" s="88" t="s">
        <v>5259</v>
      </c>
      <c r="D1020" s="88" t="s">
        <v>3815</v>
      </c>
      <c r="E1020" s="88" t="s">
        <v>61</v>
      </c>
      <c r="F1020" s="88">
        <v>0</v>
      </c>
      <c r="G1020" s="78">
        <f>MAX(H1020,I1020,J1020)</f>
        <v>0</v>
      </c>
      <c r="H1020" s="88"/>
      <c r="I1020" s="88"/>
      <c r="J1020" s="78">
        <f>MAX(K1020:Q1020)</f>
        <v>0</v>
      </c>
      <c r="K1020" s="88"/>
      <c r="L1020" s="88"/>
      <c r="M1020" s="88"/>
      <c r="N1020" s="88"/>
      <c r="O1020" s="88"/>
      <c r="P1020" s="88"/>
      <c r="Q1020" s="88"/>
      <c r="R1020" s="78">
        <f>MAX(S1020:W1020)</f>
        <v>1</v>
      </c>
      <c r="S1020" s="88"/>
      <c r="T1020" s="88"/>
      <c r="U1020" s="88">
        <v>1</v>
      </c>
      <c r="V1020" s="88"/>
      <c r="W1020" s="88"/>
    </row>
    <row r="1021" spans="2:23" s="0" customFormat="0" ht="15">
      <c r="B1021" s="87" t="s">
        <v>1</v>
      </c>
      <c r="C1021" s="88" t="s">
        <v>5259</v>
      </c>
      <c r="D1021" s="88">
        <v>20661511</v>
      </c>
      <c r="E1021" s="88" t="s">
        <v>61</v>
      </c>
      <c r="F1021" s="88">
        <v>0</v>
      </c>
      <c r="G1021" s="78">
        <f>MAX(H1021,I1021,J1021)</f>
        <v>1</v>
      </c>
      <c r="H1021" s="88"/>
      <c r="I1021" s="88"/>
      <c r="J1021" s="78">
        <f>MAX(K1021:Q1021)</f>
        <v>1</v>
      </c>
      <c r="K1021" s="88">
        <v>1</v>
      </c>
      <c r="L1021" s="88"/>
      <c r="M1021" s="88"/>
      <c r="N1021" s="88"/>
      <c r="O1021" s="88"/>
      <c r="P1021" s="88"/>
      <c r="Q1021" s="88"/>
      <c r="R1021" s="78">
        <f>MAX(S1021:W1021)</f>
        <v>0</v>
      </c>
      <c r="S1021" s="88"/>
      <c r="T1021" s="88"/>
      <c r="U1021" s="88"/>
      <c r="V1021" s="88"/>
      <c r="W1021" s="88"/>
    </row>
    <row r="1022" spans="2:23" s="0" customFormat="0" ht="15">
      <c r="B1022" s="87" t="s">
        <v>1</v>
      </c>
      <c r="C1022" s="88" t="s">
        <v>5259</v>
      </c>
      <c r="D1022" s="88">
        <v>19806895</v>
      </c>
      <c r="E1022" s="88" t="s">
        <v>61</v>
      </c>
      <c r="F1022" s="88">
        <v>0</v>
      </c>
      <c r="G1022" s="78">
        <f>MAX(H1022,I1022,J1022)</f>
        <v>1</v>
      </c>
      <c r="H1022" s="88"/>
      <c r="I1022" s="88"/>
      <c r="J1022" s="78">
        <f>MAX(K1022:Q1022)</f>
        <v>1</v>
      </c>
      <c r="K1022" s="88">
        <v>1</v>
      </c>
      <c r="L1022" s="88"/>
      <c r="M1022" s="88"/>
      <c r="N1022" s="88"/>
      <c r="O1022" s="88"/>
      <c r="P1022" s="88"/>
      <c r="Q1022" s="88"/>
      <c r="R1022" s="78">
        <f>MAX(S1022:W1022)</f>
        <v>0</v>
      </c>
      <c r="S1022" s="88"/>
      <c r="T1022" s="88"/>
      <c r="U1022" s="88"/>
      <c r="V1022" s="88"/>
      <c r="W1022" s="88"/>
    </row>
    <row r="1023" spans="2:23" s="0" customFormat="0" ht="15">
      <c r="B1023" s="87" t="s">
        <v>1</v>
      </c>
      <c r="C1023" s="88" t="s">
        <v>5259</v>
      </c>
      <c r="D1023" s="88" t="s">
        <v>901</v>
      </c>
      <c r="E1023" s="88" t="s">
        <v>61</v>
      </c>
      <c r="F1023" s="88">
        <v>0</v>
      </c>
      <c r="G1023" s="78">
        <f>MAX(H1023,I1023,J1023)</f>
        <v>1</v>
      </c>
      <c r="H1023" s="88"/>
      <c r="I1023" s="88"/>
      <c r="J1023" s="78">
        <f>MAX(K1023:Q1023)</f>
        <v>1</v>
      </c>
      <c r="K1023" s="88">
        <v>1</v>
      </c>
      <c r="L1023" s="88"/>
      <c r="M1023" s="88"/>
      <c r="N1023" s="88"/>
      <c r="O1023" s="88"/>
      <c r="P1023" s="88"/>
      <c r="Q1023" s="88"/>
      <c r="R1023" s="78">
        <f>MAX(S1023:W1023)</f>
        <v>0</v>
      </c>
      <c r="S1023" s="88"/>
      <c r="T1023" s="88"/>
      <c r="U1023" s="88"/>
      <c r="V1023" s="88"/>
      <c r="W1023" s="88"/>
    </row>
    <row r="1024" spans="2:23" s="0" customFormat="0" ht="15">
      <c r="B1024" s="87" t="s">
        <v>1</v>
      </c>
      <c r="C1024" s="88" t="s">
        <v>5259</v>
      </c>
      <c r="D1024" s="88">
        <v>19213177</v>
      </c>
      <c r="E1024" s="88" t="s">
        <v>61</v>
      </c>
      <c r="F1024" s="88">
        <v>0</v>
      </c>
      <c r="G1024" s="78">
        <f>MAX(H1024,I1024,J1024)</f>
        <v>1</v>
      </c>
      <c r="H1024" s="88"/>
      <c r="I1024" s="88"/>
      <c r="J1024" s="78">
        <f>MAX(K1024:Q1024)</f>
        <v>1</v>
      </c>
      <c r="K1024" s="88">
        <v>1</v>
      </c>
      <c r="L1024" s="88"/>
      <c r="M1024" s="88"/>
      <c r="N1024" s="88"/>
      <c r="O1024" s="88"/>
      <c r="P1024" s="88"/>
      <c r="Q1024" s="88"/>
      <c r="R1024" s="78">
        <f>MAX(S1024:W1024)</f>
        <v>0</v>
      </c>
      <c r="S1024" s="88"/>
      <c r="T1024" s="88"/>
      <c r="U1024" s="88"/>
      <c r="V1024" s="88"/>
      <c r="W1024" s="88"/>
    </row>
    <row r="1025" spans="2:23" s="0" customFormat="0" ht="15">
      <c r="B1025" s="87" t="s">
        <v>1</v>
      </c>
      <c r="C1025" s="88" t="s">
        <v>5259</v>
      </c>
      <c r="D1025" s="88">
        <v>17555097</v>
      </c>
      <c r="E1025" s="88" t="s">
        <v>61</v>
      </c>
      <c r="F1025" s="88">
        <v>0</v>
      </c>
      <c r="G1025" s="78">
        <f>MAX(H1025,I1025,J1025)</f>
        <v>1</v>
      </c>
      <c r="H1025" s="88"/>
      <c r="I1025" s="88"/>
      <c r="J1025" s="78">
        <f>MAX(K1025:Q1025)</f>
        <v>1</v>
      </c>
      <c r="K1025" s="88"/>
      <c r="L1025" s="88">
        <v>1</v>
      </c>
      <c r="M1025" s="88"/>
      <c r="N1025" s="88"/>
      <c r="O1025" s="88"/>
      <c r="P1025" s="88"/>
      <c r="Q1025" s="88"/>
      <c r="R1025" s="78">
        <f>MAX(S1025:W1025)</f>
        <v>0</v>
      </c>
      <c r="S1025" s="88"/>
      <c r="T1025" s="88"/>
      <c r="U1025" s="88"/>
      <c r="V1025" s="88"/>
      <c r="W1025" s="88"/>
    </row>
    <row r="1026" spans="2:23" s="0" customFormat="0" ht="15">
      <c r="B1026" s="87" t="s">
        <v>1</v>
      </c>
      <c r="C1026" s="88" t="s">
        <v>5259</v>
      </c>
      <c r="D1026" s="88">
        <v>17992744</v>
      </c>
      <c r="E1026" s="88" t="s">
        <v>61</v>
      </c>
      <c r="F1026" s="88">
        <v>0</v>
      </c>
      <c r="G1026" s="78">
        <f>MAX(H1026,I1026,J1026)</f>
        <v>1</v>
      </c>
      <c r="H1026" s="88"/>
      <c r="I1026" s="88"/>
      <c r="J1026" s="78">
        <f>MAX(K1026:Q1026)</f>
        <v>1</v>
      </c>
      <c r="K1026" s="88">
        <v>1</v>
      </c>
      <c r="L1026" s="88"/>
      <c r="M1026" s="88"/>
      <c r="N1026" s="88"/>
      <c r="O1026" s="88"/>
      <c r="P1026" s="88"/>
      <c r="Q1026" s="88"/>
      <c r="R1026" s="78">
        <f>MAX(S1026:W1026)</f>
        <v>0</v>
      </c>
      <c r="S1026" s="88"/>
      <c r="T1026" s="88"/>
      <c r="U1026" s="88"/>
      <c r="V1026" s="88"/>
      <c r="W1026" s="88"/>
    </row>
    <row r="1027" spans="2:23" s="0" customFormat="0" ht="15">
      <c r="B1027" s="87" t="s">
        <v>1</v>
      </c>
      <c r="C1027" s="88" t="s">
        <v>5259</v>
      </c>
      <c r="D1027" s="88" t="s">
        <v>3817</v>
      </c>
      <c r="E1027" s="88" t="s">
        <v>61</v>
      </c>
      <c r="F1027" s="88">
        <v>0</v>
      </c>
      <c r="G1027" s="78">
        <f>MAX(H1027,I1027,J1027)</f>
        <v>0</v>
      </c>
      <c r="H1027" s="88"/>
      <c r="I1027" s="88"/>
      <c r="J1027" s="78">
        <f>MAX(K1027:Q1027)</f>
        <v>0</v>
      </c>
      <c r="K1027" s="88"/>
      <c r="L1027" s="88"/>
      <c r="M1027" s="88"/>
      <c r="N1027" s="88"/>
      <c r="O1027" s="88"/>
      <c r="P1027" s="88"/>
      <c r="Q1027" s="88"/>
      <c r="R1027" s="78">
        <f>MAX(S1027:W1027)</f>
        <v>1</v>
      </c>
      <c r="S1027" s="88"/>
      <c r="T1027" s="88"/>
      <c r="U1027" s="88">
        <v>1</v>
      </c>
      <c r="V1027" s="88"/>
      <c r="W1027" s="88"/>
    </row>
    <row r="1028" spans="2:23" s="0" customFormat="0" ht="15">
      <c r="B1028" s="87" t="s">
        <v>1</v>
      </c>
      <c r="C1028" s="88" t="s">
        <v>5259</v>
      </c>
      <c r="D1028" s="88">
        <v>13302590</v>
      </c>
      <c r="E1028" s="88" t="s">
        <v>61</v>
      </c>
      <c r="F1028" s="88">
        <v>0</v>
      </c>
      <c r="G1028" s="78">
        <f>MAX(H1028,I1028,J1028)</f>
        <v>1</v>
      </c>
      <c r="H1028" s="88"/>
      <c r="I1028" s="88"/>
      <c r="J1028" s="78">
        <f>MAX(K1028:Q1028)</f>
        <v>1</v>
      </c>
      <c r="K1028" s="88">
        <v>1</v>
      </c>
      <c r="L1028" s="88"/>
      <c r="M1028" s="88"/>
      <c r="N1028" s="88"/>
      <c r="O1028" s="88"/>
      <c r="P1028" s="88"/>
      <c r="Q1028" s="88"/>
      <c r="R1028" s="78">
        <f>MAX(S1028:W1028)</f>
        <v>0</v>
      </c>
      <c r="S1028" s="88"/>
      <c r="T1028" s="88"/>
      <c r="U1028" s="88"/>
      <c r="V1028" s="88"/>
      <c r="W1028" s="88"/>
    </row>
    <row r="1029" spans="2:23" s="0" customFormat="0" ht="15">
      <c r="B1029" s="87" t="s">
        <v>1</v>
      </c>
      <c r="C1029" s="88" t="s">
        <v>5259</v>
      </c>
      <c r="D1029" s="88" t="s">
        <v>331</v>
      </c>
      <c r="E1029" s="88" t="s">
        <v>61</v>
      </c>
      <c r="F1029" s="88">
        <v>0</v>
      </c>
      <c r="G1029" s="78">
        <f>MAX(H1029,I1029,J1029)</f>
        <v>1</v>
      </c>
      <c r="H1029" s="88"/>
      <c r="I1029" s="88"/>
      <c r="J1029" s="78">
        <f>MAX(K1029:Q1029)</f>
        <v>1</v>
      </c>
      <c r="K1029" s="88">
        <v>1</v>
      </c>
      <c r="L1029" s="88"/>
      <c r="M1029" s="88"/>
      <c r="N1029" s="88"/>
      <c r="O1029" s="88"/>
      <c r="P1029" s="88"/>
      <c r="Q1029" s="88"/>
      <c r="R1029" s="78">
        <f>MAX(S1029:W1029)</f>
        <v>0</v>
      </c>
      <c r="S1029" s="88"/>
      <c r="T1029" s="88"/>
      <c r="U1029" s="88"/>
      <c r="V1029" s="88"/>
      <c r="W1029" s="88"/>
    </row>
    <row r="1030" spans="2:23" s="0" customFormat="0" ht="15">
      <c r="B1030" s="87" t="s">
        <v>1</v>
      </c>
      <c r="C1030" s="88" t="s">
        <v>5259</v>
      </c>
      <c r="D1030" s="88">
        <v>13718524</v>
      </c>
      <c r="E1030" s="88" t="s">
        <v>61</v>
      </c>
      <c r="F1030" s="88">
        <v>0</v>
      </c>
      <c r="G1030" s="78">
        <f>MAX(H1030,I1030,J1030)</f>
        <v>1</v>
      </c>
      <c r="H1030" s="88"/>
      <c r="I1030" s="88"/>
      <c r="J1030" s="78">
        <f>MAX(K1030:Q1030)</f>
        <v>1</v>
      </c>
      <c r="K1030" s="88">
        <v>1</v>
      </c>
      <c r="L1030" s="88"/>
      <c r="M1030" s="88"/>
      <c r="N1030" s="88"/>
      <c r="O1030" s="88"/>
      <c r="P1030" s="88"/>
      <c r="Q1030" s="88"/>
      <c r="R1030" s="78">
        <f>MAX(S1030:W1030)</f>
        <v>0</v>
      </c>
      <c r="S1030" s="88"/>
      <c r="T1030" s="88"/>
      <c r="U1030" s="88"/>
      <c r="V1030" s="88"/>
      <c r="W1030" s="88"/>
    </row>
    <row r="1031" spans="2:23" s="0" customFormat="0" ht="15">
      <c r="B1031" s="87" t="s">
        <v>1</v>
      </c>
      <c r="C1031" s="88" t="s">
        <v>5259</v>
      </c>
      <c r="D1031" s="88" t="s">
        <v>3163</v>
      </c>
      <c r="E1031" s="88" t="s">
        <v>61</v>
      </c>
      <c r="F1031" s="88">
        <v>0</v>
      </c>
      <c r="G1031" s="78">
        <f>MAX(H1031,I1031,J1031)</f>
        <v>1</v>
      </c>
      <c r="H1031" s="88"/>
      <c r="I1031" s="88"/>
      <c r="J1031" s="78">
        <f>MAX(K1031:Q1031)</f>
        <v>1</v>
      </c>
      <c r="K1031" s="88"/>
      <c r="L1031" s="88"/>
      <c r="M1031" s="88"/>
      <c r="N1031" s="88"/>
      <c r="O1031" s="88">
        <v>1</v>
      </c>
      <c r="P1031" s="88"/>
      <c r="Q1031" s="88"/>
      <c r="R1031" s="78">
        <f>MAX(S1031:W1031)</f>
        <v>0</v>
      </c>
      <c r="S1031" s="88"/>
      <c r="T1031" s="88"/>
      <c r="U1031" s="88"/>
      <c r="V1031" s="88"/>
      <c r="W1031" s="88"/>
    </row>
    <row r="1032" spans="2:23" s="0" customFormat="0" ht="15">
      <c r="B1032" s="87" t="s">
        <v>1</v>
      </c>
      <c r="C1032" s="88" t="s">
        <v>5259</v>
      </c>
      <c r="D1032" s="88">
        <v>17401113</v>
      </c>
      <c r="E1032" s="88" t="s">
        <v>61</v>
      </c>
      <c r="F1032" s="88">
        <v>0</v>
      </c>
      <c r="G1032" s="78">
        <f>MAX(H1032,I1032,J1032)</f>
        <v>1</v>
      </c>
      <c r="H1032" s="88"/>
      <c r="I1032" s="88"/>
      <c r="J1032" s="78">
        <f>MAX(K1032:Q1032)</f>
        <v>1</v>
      </c>
      <c r="K1032" s="88">
        <v>1</v>
      </c>
      <c r="L1032" s="88"/>
      <c r="M1032" s="88"/>
      <c r="N1032" s="88"/>
      <c r="O1032" s="88"/>
      <c r="P1032" s="88"/>
      <c r="Q1032" s="88"/>
      <c r="R1032" s="78">
        <f>MAX(S1032:W1032)</f>
        <v>0</v>
      </c>
      <c r="S1032" s="88"/>
      <c r="T1032" s="88"/>
      <c r="U1032" s="88"/>
      <c r="V1032" s="88"/>
      <c r="W1032" s="88"/>
    </row>
    <row r="1033" spans="2:23" s="0" customFormat="0" ht="15">
      <c r="B1033" s="87" t="s">
        <v>1</v>
      </c>
      <c r="C1033" s="88" t="s">
        <v>5259</v>
      </c>
      <c r="D1033" s="88">
        <v>21669715</v>
      </c>
      <c r="E1033" s="88" t="s">
        <v>61</v>
      </c>
      <c r="F1033" s="88">
        <v>0</v>
      </c>
      <c r="G1033" s="78">
        <f>MAX(H1033,I1033,J1033)</f>
        <v>1</v>
      </c>
      <c r="H1033" s="88"/>
      <c r="I1033" s="88"/>
      <c r="J1033" s="78">
        <f>MAX(K1033:Q1033)</f>
        <v>1</v>
      </c>
      <c r="K1033" s="88">
        <v>1</v>
      </c>
      <c r="L1033" s="88"/>
      <c r="M1033" s="88"/>
      <c r="N1033" s="88"/>
      <c r="O1033" s="88"/>
      <c r="P1033" s="88"/>
      <c r="Q1033" s="88"/>
      <c r="R1033" s="78">
        <f>MAX(S1033:W1033)</f>
        <v>0</v>
      </c>
      <c r="S1033" s="88"/>
      <c r="T1033" s="88"/>
      <c r="U1033" s="88"/>
      <c r="V1033" s="88"/>
      <c r="W1033" s="88"/>
    </row>
    <row r="1034" spans="2:23" s="0" customFormat="0" ht="15">
      <c r="B1034" s="87" t="s">
        <v>1</v>
      </c>
      <c r="C1034" s="88" t="s">
        <v>5259</v>
      </c>
      <c r="D1034" s="88" t="s">
        <v>909</v>
      </c>
      <c r="E1034" s="88" t="s">
        <v>61</v>
      </c>
      <c r="F1034" s="88">
        <v>0</v>
      </c>
      <c r="G1034" s="78">
        <f>MAX(H1034,I1034,J1034)</f>
        <v>1</v>
      </c>
      <c r="H1034" s="88"/>
      <c r="I1034" s="88"/>
      <c r="J1034" s="78">
        <f>MAX(K1034:Q1034)</f>
        <v>1</v>
      </c>
      <c r="K1034" s="88">
        <v>1</v>
      </c>
      <c r="L1034" s="88"/>
      <c r="M1034" s="88"/>
      <c r="N1034" s="88"/>
      <c r="O1034" s="88"/>
      <c r="P1034" s="88"/>
      <c r="Q1034" s="88"/>
      <c r="R1034" s="78">
        <f>MAX(S1034:W1034)</f>
        <v>0</v>
      </c>
      <c r="S1034" s="88"/>
      <c r="T1034" s="88"/>
      <c r="U1034" s="88"/>
      <c r="V1034" s="88"/>
      <c r="W1034" s="88"/>
    </row>
    <row r="1035" spans="2:23" s="0" customFormat="0" ht="15">
      <c r="B1035" s="87" t="s">
        <v>1</v>
      </c>
      <c r="C1035" s="88" t="s">
        <v>5259</v>
      </c>
      <c r="D1035" s="88" t="s">
        <v>3819</v>
      </c>
      <c r="E1035" s="88" t="s">
        <v>61</v>
      </c>
      <c r="F1035" s="88">
        <v>0</v>
      </c>
      <c r="G1035" s="78">
        <f>MAX(H1035,I1035,J1035)</f>
        <v>0</v>
      </c>
      <c r="H1035" s="88"/>
      <c r="I1035" s="88"/>
      <c r="J1035" s="78">
        <f>MAX(K1035:Q1035)</f>
        <v>0</v>
      </c>
      <c r="K1035" s="88"/>
      <c r="L1035" s="88"/>
      <c r="M1035" s="88"/>
      <c r="N1035" s="88"/>
      <c r="O1035" s="88"/>
      <c r="P1035" s="88"/>
      <c r="Q1035" s="88"/>
      <c r="R1035" s="78">
        <f>MAX(S1035:W1035)</f>
        <v>1</v>
      </c>
      <c r="S1035" s="88"/>
      <c r="T1035" s="88"/>
      <c r="U1035" s="88">
        <v>1</v>
      </c>
      <c r="V1035" s="88"/>
      <c r="W1035" s="88"/>
    </row>
    <row r="1036" spans="2:23" s="0" customFormat="0" ht="15">
      <c r="B1036" s="87" t="s">
        <v>1</v>
      </c>
      <c r="C1036" s="88" t="s">
        <v>5259</v>
      </c>
      <c r="D1036" s="88" t="s">
        <v>911</v>
      </c>
      <c r="E1036" s="88" t="s">
        <v>61</v>
      </c>
      <c r="F1036" s="88">
        <v>0</v>
      </c>
      <c r="G1036" s="78">
        <f>MAX(H1036,I1036,J1036)</f>
        <v>1</v>
      </c>
      <c r="H1036" s="88"/>
      <c r="I1036" s="88"/>
      <c r="J1036" s="78">
        <f>MAX(K1036:Q1036)</f>
        <v>1</v>
      </c>
      <c r="K1036" s="88">
        <v>1</v>
      </c>
      <c r="L1036" s="88"/>
      <c r="M1036" s="88"/>
      <c r="N1036" s="88"/>
      <c r="O1036" s="88"/>
      <c r="P1036" s="88"/>
      <c r="Q1036" s="88"/>
      <c r="R1036" s="78">
        <f>MAX(S1036:W1036)</f>
        <v>0</v>
      </c>
      <c r="S1036" s="88"/>
      <c r="T1036" s="88"/>
      <c r="U1036" s="88"/>
      <c r="V1036" s="88"/>
      <c r="W1036" s="88"/>
    </row>
    <row r="1037" spans="2:23" s="0" customFormat="0" ht="15">
      <c r="B1037" s="87" t="s">
        <v>1</v>
      </c>
      <c r="C1037" s="88" t="s">
        <v>5259</v>
      </c>
      <c r="D1037" s="88" t="s">
        <v>3821</v>
      </c>
      <c r="E1037" s="88" t="s">
        <v>61</v>
      </c>
      <c r="F1037" s="88">
        <v>0</v>
      </c>
      <c r="G1037" s="78">
        <f>MAX(H1037,I1037,J1037)</f>
        <v>0</v>
      </c>
      <c r="H1037" s="88"/>
      <c r="I1037" s="88"/>
      <c r="J1037" s="78">
        <f>MAX(K1037:Q1037)</f>
        <v>0</v>
      </c>
      <c r="K1037" s="88"/>
      <c r="L1037" s="88"/>
      <c r="M1037" s="88"/>
      <c r="N1037" s="88"/>
      <c r="O1037" s="88"/>
      <c r="P1037" s="88"/>
      <c r="Q1037" s="88"/>
      <c r="R1037" s="78">
        <f>MAX(S1037:W1037)</f>
        <v>1</v>
      </c>
      <c r="S1037" s="88"/>
      <c r="T1037" s="88"/>
      <c r="U1037" s="88">
        <v>1</v>
      </c>
      <c r="V1037" s="88"/>
      <c r="W1037" s="88"/>
    </row>
    <row r="1038" spans="2:23" s="0" customFormat="0" ht="15">
      <c r="B1038" s="87" t="s">
        <v>1</v>
      </c>
      <c r="C1038" s="88" t="s">
        <v>5259</v>
      </c>
      <c r="D1038" s="88" t="s">
        <v>913</v>
      </c>
      <c r="E1038" s="88" t="s">
        <v>61</v>
      </c>
      <c r="F1038" s="88">
        <v>0</v>
      </c>
      <c r="G1038" s="78">
        <f>MAX(H1038,I1038,J1038)</f>
        <v>1</v>
      </c>
      <c r="H1038" s="88"/>
      <c r="I1038" s="88"/>
      <c r="J1038" s="78">
        <f>MAX(K1038:Q1038)</f>
        <v>1</v>
      </c>
      <c r="K1038" s="88">
        <v>1</v>
      </c>
      <c r="L1038" s="88"/>
      <c r="M1038" s="88"/>
      <c r="N1038" s="88"/>
      <c r="O1038" s="88"/>
      <c r="P1038" s="88"/>
      <c r="Q1038" s="88"/>
      <c r="R1038" s="78">
        <f>MAX(S1038:W1038)</f>
        <v>0</v>
      </c>
      <c r="S1038" s="88"/>
      <c r="T1038" s="88"/>
      <c r="U1038" s="88"/>
      <c r="V1038" s="88"/>
      <c r="W1038" s="88"/>
    </row>
    <row r="1039" spans="2:23" s="0" customFormat="0" ht="15">
      <c r="B1039" s="87" t="s">
        <v>1</v>
      </c>
      <c r="C1039" s="88" t="s">
        <v>5259</v>
      </c>
      <c r="D1039" s="88">
        <v>4272787</v>
      </c>
      <c r="E1039" s="88" t="s">
        <v>61</v>
      </c>
      <c r="F1039" s="88">
        <v>0</v>
      </c>
      <c r="G1039" s="78">
        <f>MAX(H1039,I1039,J1039)</f>
        <v>1</v>
      </c>
      <c r="H1039" s="88"/>
      <c r="I1039" s="88"/>
      <c r="J1039" s="78">
        <f>MAX(K1039:Q1039)</f>
        <v>1</v>
      </c>
      <c r="K1039" s="88">
        <v>1</v>
      </c>
      <c r="L1039" s="88"/>
      <c r="M1039" s="88"/>
      <c r="N1039" s="88"/>
      <c r="O1039" s="88"/>
      <c r="P1039" s="88"/>
      <c r="Q1039" s="88"/>
      <c r="R1039" s="78">
        <f>MAX(S1039:W1039)</f>
        <v>0</v>
      </c>
      <c r="S1039" s="88"/>
      <c r="T1039" s="88"/>
      <c r="U1039" s="88"/>
      <c r="V1039" s="88"/>
      <c r="W1039" s="88"/>
    </row>
    <row r="1040" spans="2:23" s="0" customFormat="0" ht="15">
      <c r="B1040" s="87" t="s">
        <v>1</v>
      </c>
      <c r="C1040" s="88" t="s">
        <v>5259</v>
      </c>
      <c r="D1040" s="88" t="s">
        <v>3332</v>
      </c>
      <c r="E1040" s="88" t="s">
        <v>61</v>
      </c>
      <c r="F1040" s="88">
        <v>0</v>
      </c>
      <c r="G1040" s="78">
        <f>MAX(H1040,I1040,J1040)</f>
        <v>0</v>
      </c>
      <c r="H1040" s="88"/>
      <c r="I1040" s="88"/>
      <c r="J1040" s="78">
        <f>MAX(K1040:Q1040)</f>
        <v>0</v>
      </c>
      <c r="K1040" s="88"/>
      <c r="L1040" s="88"/>
      <c r="M1040" s="88"/>
      <c r="N1040" s="88"/>
      <c r="O1040" s="88"/>
      <c r="P1040" s="88"/>
      <c r="Q1040" s="88"/>
      <c r="R1040" s="78">
        <f>MAX(S1040:W1040)</f>
        <v>1</v>
      </c>
      <c r="S1040" s="88"/>
      <c r="T1040" s="88"/>
      <c r="U1040" s="88">
        <v>1</v>
      </c>
      <c r="V1040" s="88"/>
      <c r="W1040" s="88"/>
    </row>
    <row r="1041" spans="2:23" s="0" customFormat="0" ht="15">
      <c r="B1041" s="87" t="s">
        <v>1</v>
      </c>
      <c r="C1041" s="88" t="s">
        <v>5259</v>
      </c>
      <c r="D1041" s="88" t="s">
        <v>3823</v>
      </c>
      <c r="E1041" s="88" t="s">
        <v>61</v>
      </c>
      <c r="F1041" s="88">
        <v>0</v>
      </c>
      <c r="G1041" s="78">
        <f>MAX(H1041,I1041,J1041)</f>
        <v>0</v>
      </c>
      <c r="H1041" s="88"/>
      <c r="I1041" s="88"/>
      <c r="J1041" s="78">
        <f>MAX(K1041:Q1041)</f>
        <v>0</v>
      </c>
      <c r="K1041" s="88"/>
      <c r="L1041" s="88"/>
      <c r="M1041" s="88"/>
      <c r="N1041" s="88"/>
      <c r="O1041" s="88"/>
      <c r="P1041" s="88"/>
      <c r="Q1041" s="88"/>
      <c r="R1041" s="78">
        <f>MAX(S1041:W1041)</f>
        <v>1</v>
      </c>
      <c r="S1041" s="88"/>
      <c r="T1041" s="88"/>
      <c r="U1041" s="88">
        <v>1</v>
      </c>
      <c r="V1041" s="88"/>
      <c r="W1041" s="88"/>
    </row>
    <row r="1042" spans="2:23" s="0" customFormat="0" ht="15">
      <c r="B1042" s="87" t="s">
        <v>1</v>
      </c>
      <c r="C1042" s="88" t="s">
        <v>5259</v>
      </c>
      <c r="D1042" s="88" t="s">
        <v>3825</v>
      </c>
      <c r="E1042" s="88" t="s">
        <v>61</v>
      </c>
      <c r="F1042" s="88">
        <v>0</v>
      </c>
      <c r="G1042" s="78">
        <f>MAX(H1042,I1042,J1042)</f>
        <v>0</v>
      </c>
      <c r="H1042" s="88"/>
      <c r="I1042" s="88"/>
      <c r="J1042" s="78">
        <f>MAX(K1042:Q1042)</f>
        <v>0</v>
      </c>
      <c r="K1042" s="88"/>
      <c r="L1042" s="88"/>
      <c r="M1042" s="88"/>
      <c r="N1042" s="88"/>
      <c r="O1042" s="88"/>
      <c r="P1042" s="88"/>
      <c r="Q1042" s="88"/>
      <c r="R1042" s="78">
        <f>MAX(S1042:W1042)</f>
        <v>1</v>
      </c>
      <c r="S1042" s="88"/>
      <c r="T1042" s="88"/>
      <c r="U1042" s="88">
        <v>1</v>
      </c>
      <c r="V1042" s="88"/>
      <c r="W1042" s="88"/>
    </row>
    <row r="1043" spans="2:23" s="0" customFormat="0" ht="15">
      <c r="B1043" s="87" t="s">
        <v>1</v>
      </c>
      <c r="C1043" s="88" t="s">
        <v>5259</v>
      </c>
      <c r="D1043" s="88">
        <v>22554335</v>
      </c>
      <c r="E1043" s="88" t="s">
        <v>61</v>
      </c>
      <c r="F1043" s="88">
        <v>0</v>
      </c>
      <c r="G1043" s="78">
        <f>MAX(H1043,I1043,J1043)</f>
        <v>0</v>
      </c>
      <c r="H1043" s="88"/>
      <c r="I1043" s="88"/>
      <c r="J1043" s="78">
        <f>MAX(K1043:Q1043)</f>
        <v>0</v>
      </c>
      <c r="K1043" s="88"/>
      <c r="L1043" s="88"/>
      <c r="M1043" s="88"/>
      <c r="N1043" s="88"/>
      <c r="O1043" s="88"/>
      <c r="P1043" s="88"/>
      <c r="Q1043" s="88"/>
      <c r="R1043" s="78">
        <f>MAX(S1043:W1043)</f>
        <v>1</v>
      </c>
      <c r="S1043" s="88"/>
      <c r="T1043" s="88"/>
      <c r="U1043" s="88">
        <v>1</v>
      </c>
      <c r="V1043" s="88"/>
      <c r="W1043" s="88"/>
    </row>
    <row r="1044" spans="2:23" s="0" customFormat="0" ht="15">
      <c r="B1044" s="87" t="s">
        <v>1</v>
      </c>
      <c r="C1044" s="88" t="s">
        <v>5259</v>
      </c>
      <c r="D1044" s="88" t="s">
        <v>3828</v>
      </c>
      <c r="E1044" s="88" t="s">
        <v>61</v>
      </c>
      <c r="F1044" s="88">
        <v>0</v>
      </c>
      <c r="G1044" s="78">
        <f>MAX(H1044,I1044,J1044)</f>
        <v>0</v>
      </c>
      <c r="H1044" s="88"/>
      <c r="I1044" s="88"/>
      <c r="J1044" s="78">
        <f>MAX(K1044:Q1044)</f>
        <v>0</v>
      </c>
      <c r="K1044" s="88"/>
      <c r="L1044" s="88"/>
      <c r="M1044" s="88"/>
      <c r="N1044" s="88"/>
      <c r="O1044" s="88"/>
      <c r="P1044" s="88"/>
      <c r="Q1044" s="88"/>
      <c r="R1044" s="78">
        <f>MAX(S1044:W1044)</f>
        <v>1</v>
      </c>
      <c r="S1044" s="88"/>
      <c r="T1044" s="88"/>
      <c r="U1044" s="88">
        <v>1</v>
      </c>
      <c r="V1044" s="88"/>
      <c r="W1044" s="88"/>
    </row>
    <row r="1045" spans="2:23" s="0" customFormat="0" ht="15">
      <c r="B1045" s="87" t="s">
        <v>1</v>
      </c>
      <c r="C1045" s="88" t="s">
        <v>5259</v>
      </c>
      <c r="D1045" s="88" t="s">
        <v>3830</v>
      </c>
      <c r="E1045" s="88" t="s">
        <v>61</v>
      </c>
      <c r="F1045" s="88">
        <v>0</v>
      </c>
      <c r="G1045" s="78">
        <f>MAX(H1045,I1045,J1045)</f>
        <v>0</v>
      </c>
      <c r="H1045" s="88"/>
      <c r="I1045" s="88"/>
      <c r="J1045" s="78">
        <f>MAX(K1045:Q1045)</f>
        <v>0</v>
      </c>
      <c r="K1045" s="88"/>
      <c r="L1045" s="88"/>
      <c r="M1045" s="88"/>
      <c r="N1045" s="88"/>
      <c r="O1045" s="88"/>
      <c r="P1045" s="88"/>
      <c r="Q1045" s="88"/>
      <c r="R1045" s="78">
        <f>MAX(S1045:W1045)</f>
        <v>1</v>
      </c>
      <c r="S1045" s="88"/>
      <c r="T1045" s="88"/>
      <c r="U1045" s="88">
        <v>1</v>
      </c>
      <c r="V1045" s="88"/>
      <c r="W1045" s="88"/>
    </row>
    <row r="1046" spans="2:23" s="0" customFormat="0" ht="15">
      <c r="B1046" s="87" t="s">
        <v>1</v>
      </c>
      <c r="C1046" s="88" t="s">
        <v>5259</v>
      </c>
      <c r="D1046" s="88">
        <v>20679275</v>
      </c>
      <c r="E1046" s="88" t="s">
        <v>61</v>
      </c>
      <c r="F1046" s="88">
        <v>0</v>
      </c>
      <c r="G1046" s="78">
        <f>MAX(H1046,I1046,J1046)</f>
        <v>1</v>
      </c>
      <c r="H1046" s="88"/>
      <c r="I1046" s="88"/>
      <c r="J1046" s="78">
        <f>MAX(K1046:Q1046)</f>
        <v>1</v>
      </c>
      <c r="K1046" s="88">
        <v>1</v>
      </c>
      <c r="L1046" s="88"/>
      <c r="M1046" s="88"/>
      <c r="N1046" s="88"/>
      <c r="O1046" s="88"/>
      <c r="P1046" s="88"/>
      <c r="Q1046" s="88"/>
      <c r="R1046" s="78">
        <f>MAX(S1046:W1046)</f>
        <v>0</v>
      </c>
      <c r="S1046" s="88"/>
      <c r="T1046" s="88"/>
      <c r="U1046" s="88"/>
      <c r="V1046" s="88"/>
      <c r="W1046" s="88"/>
    </row>
    <row r="1047" spans="2:23" s="0" customFormat="0" ht="15">
      <c r="B1047" s="87" t="s">
        <v>1</v>
      </c>
      <c r="C1047" s="88" t="s">
        <v>5259</v>
      </c>
      <c r="D1047" s="88" t="s">
        <v>917</v>
      </c>
      <c r="E1047" s="88" t="s">
        <v>61</v>
      </c>
      <c r="F1047" s="88">
        <v>0</v>
      </c>
      <c r="G1047" s="78">
        <f>MAX(H1047,I1047,J1047)</f>
        <v>1</v>
      </c>
      <c r="H1047" s="88"/>
      <c r="I1047" s="88"/>
      <c r="J1047" s="78">
        <f>MAX(K1047:Q1047)</f>
        <v>1</v>
      </c>
      <c r="K1047" s="88">
        <v>1</v>
      </c>
      <c r="L1047" s="88"/>
      <c r="M1047" s="88"/>
      <c r="N1047" s="88"/>
      <c r="O1047" s="88"/>
      <c r="P1047" s="88"/>
      <c r="Q1047" s="88"/>
      <c r="R1047" s="78">
        <f>MAX(S1047:W1047)</f>
        <v>0</v>
      </c>
      <c r="S1047" s="88"/>
      <c r="T1047" s="88"/>
      <c r="U1047" s="88"/>
      <c r="V1047" s="88"/>
      <c r="W1047" s="88"/>
    </row>
    <row r="1048" spans="2:23" s="0" customFormat="0" ht="15">
      <c r="B1048" s="87" t="s">
        <v>1</v>
      </c>
      <c r="C1048" s="88" t="s">
        <v>5259</v>
      </c>
      <c r="D1048" s="88" t="s">
        <v>919</v>
      </c>
      <c r="E1048" s="88" t="s">
        <v>61</v>
      </c>
      <c r="F1048" s="88">
        <v>0</v>
      </c>
      <c r="G1048" s="78">
        <f>MAX(H1048,I1048,J1048)</f>
        <v>1</v>
      </c>
      <c r="H1048" s="88"/>
      <c r="I1048" s="88"/>
      <c r="J1048" s="78">
        <f>MAX(K1048:Q1048)</f>
        <v>1</v>
      </c>
      <c r="K1048" s="88">
        <v>1</v>
      </c>
      <c r="L1048" s="88"/>
      <c r="M1048" s="88"/>
      <c r="N1048" s="88"/>
      <c r="O1048" s="88"/>
      <c r="P1048" s="88"/>
      <c r="Q1048" s="88"/>
      <c r="R1048" s="78">
        <f>MAX(S1048:W1048)</f>
        <v>0</v>
      </c>
      <c r="S1048" s="88"/>
      <c r="T1048" s="88"/>
      <c r="U1048" s="88"/>
      <c r="V1048" s="88"/>
      <c r="W1048" s="88"/>
    </row>
    <row r="1049" spans="2:23" s="0" customFormat="0" ht="15">
      <c r="B1049" s="87" t="s">
        <v>1</v>
      </c>
      <c r="C1049" s="88" t="s">
        <v>5259</v>
      </c>
      <c r="D1049" s="88" t="s">
        <v>3832</v>
      </c>
      <c r="E1049" s="88" t="s">
        <v>61</v>
      </c>
      <c r="F1049" s="88">
        <v>0</v>
      </c>
      <c r="G1049" s="78">
        <f>MAX(H1049,I1049,J1049)</f>
        <v>0</v>
      </c>
      <c r="H1049" s="88"/>
      <c r="I1049" s="88"/>
      <c r="J1049" s="78">
        <f>MAX(K1049:Q1049)</f>
        <v>0</v>
      </c>
      <c r="K1049" s="88"/>
      <c r="L1049" s="88"/>
      <c r="M1049" s="88"/>
      <c r="N1049" s="88"/>
      <c r="O1049" s="88"/>
      <c r="P1049" s="88"/>
      <c r="Q1049" s="88"/>
      <c r="R1049" s="78">
        <f>MAX(S1049:W1049)</f>
        <v>1</v>
      </c>
      <c r="S1049" s="88"/>
      <c r="T1049" s="88"/>
      <c r="U1049" s="88">
        <v>1</v>
      </c>
      <c r="V1049" s="88"/>
      <c r="W1049" s="88"/>
    </row>
    <row r="1050" spans="2:23" s="0" customFormat="0" ht="15">
      <c r="B1050" s="87" t="s">
        <v>1</v>
      </c>
      <c r="C1050" s="88" t="s">
        <v>5259</v>
      </c>
      <c r="D1050" s="88" t="s">
        <v>921</v>
      </c>
      <c r="E1050" s="88" t="s">
        <v>61</v>
      </c>
      <c r="F1050" s="88">
        <v>0</v>
      </c>
      <c r="G1050" s="78">
        <f>MAX(H1050,I1050,J1050)</f>
        <v>1</v>
      </c>
      <c r="H1050" s="88"/>
      <c r="I1050" s="88"/>
      <c r="J1050" s="78">
        <f>MAX(K1050:Q1050)</f>
        <v>1</v>
      </c>
      <c r="K1050" s="88">
        <v>1</v>
      </c>
      <c r="L1050" s="88"/>
      <c r="M1050" s="88"/>
      <c r="N1050" s="88"/>
      <c r="O1050" s="88"/>
      <c r="P1050" s="88"/>
      <c r="Q1050" s="88"/>
      <c r="R1050" s="78">
        <f>MAX(S1050:W1050)</f>
        <v>0</v>
      </c>
      <c r="S1050" s="88"/>
      <c r="T1050" s="88"/>
      <c r="U1050" s="88"/>
      <c r="V1050" s="88"/>
      <c r="W1050" s="88"/>
    </row>
    <row r="1051" spans="2:23" s="0" customFormat="0" ht="15">
      <c r="B1051" s="87" t="s">
        <v>1</v>
      </c>
      <c r="C1051" s="88" t="s">
        <v>5259</v>
      </c>
      <c r="D1051" s="88" t="s">
        <v>3211</v>
      </c>
      <c r="E1051" s="88" t="s">
        <v>61</v>
      </c>
      <c r="F1051" s="88">
        <v>0</v>
      </c>
      <c r="G1051" s="78">
        <f>MAX(H1051,I1051,J1051)</f>
        <v>0</v>
      </c>
      <c r="H1051" s="88"/>
      <c r="I1051" s="88"/>
      <c r="J1051" s="78">
        <f>MAX(K1051:Q1051)</f>
        <v>0</v>
      </c>
      <c r="K1051" s="88"/>
      <c r="L1051" s="88"/>
      <c r="M1051" s="88"/>
      <c r="N1051" s="88"/>
      <c r="O1051" s="88"/>
      <c r="P1051" s="88"/>
      <c r="Q1051" s="88"/>
      <c r="R1051" s="78">
        <f>MAX(S1051:W1051)</f>
        <v>1</v>
      </c>
      <c r="S1051" s="88"/>
      <c r="T1051" s="88"/>
      <c r="U1051" s="88"/>
      <c r="V1051" s="88">
        <v>1</v>
      </c>
      <c r="W1051" s="88"/>
    </row>
    <row r="1052" spans="2:23" s="0" customFormat="0" ht="15">
      <c r="B1052" s="87" t="s">
        <v>1</v>
      </c>
      <c r="C1052" s="88" t="s">
        <v>5259</v>
      </c>
      <c r="D1052" s="88">
        <v>8842287</v>
      </c>
      <c r="E1052" s="88" t="s">
        <v>61</v>
      </c>
      <c r="F1052" s="88">
        <v>0</v>
      </c>
      <c r="G1052" s="78">
        <f>MAX(H1052,I1052,J1052)</f>
        <v>0</v>
      </c>
      <c r="H1052" s="88"/>
      <c r="I1052" s="88"/>
      <c r="J1052" s="78">
        <f>MAX(K1052:Q1052)</f>
        <v>0</v>
      </c>
      <c r="K1052" s="88"/>
      <c r="L1052" s="88"/>
      <c r="M1052" s="88"/>
      <c r="N1052" s="88"/>
      <c r="O1052" s="88"/>
      <c r="P1052" s="88"/>
      <c r="Q1052" s="88"/>
      <c r="R1052" s="78">
        <f>MAX(S1052:W1052)</f>
        <v>1</v>
      </c>
      <c r="S1052" s="88"/>
      <c r="T1052" s="88"/>
      <c r="U1052" s="88">
        <v>1</v>
      </c>
      <c r="V1052" s="88"/>
      <c r="W1052" s="88"/>
    </row>
    <row r="1053" spans="2:23" s="0" customFormat="0" ht="15">
      <c r="B1053" s="87" t="s">
        <v>1</v>
      </c>
      <c r="C1053" s="88" t="s">
        <v>5259</v>
      </c>
      <c r="D1053" s="88" t="s">
        <v>3835</v>
      </c>
      <c r="E1053" s="88" t="s">
        <v>61</v>
      </c>
      <c r="F1053" s="88">
        <v>0</v>
      </c>
      <c r="G1053" s="78">
        <f>MAX(H1053,I1053,J1053)</f>
        <v>0</v>
      </c>
      <c r="H1053" s="88"/>
      <c r="I1053" s="88"/>
      <c r="J1053" s="78">
        <f>MAX(K1053:Q1053)</f>
        <v>0</v>
      </c>
      <c r="K1053" s="88"/>
      <c r="L1053" s="88"/>
      <c r="M1053" s="88"/>
      <c r="N1053" s="88"/>
      <c r="O1053" s="88"/>
      <c r="P1053" s="88"/>
      <c r="Q1053" s="88"/>
      <c r="R1053" s="78">
        <f>MAX(S1053:W1053)</f>
        <v>1</v>
      </c>
      <c r="S1053" s="88"/>
      <c r="T1053" s="88"/>
      <c r="U1053" s="88">
        <v>1</v>
      </c>
      <c r="V1053" s="88"/>
      <c r="W1053" s="88"/>
    </row>
    <row r="1054" spans="2:23" s="0" customFormat="0" ht="15">
      <c r="B1054" s="87" t="s">
        <v>1</v>
      </c>
      <c r="C1054" s="88" t="s">
        <v>5259</v>
      </c>
      <c r="D1054" s="88" t="s">
        <v>923</v>
      </c>
      <c r="E1054" s="88" t="s">
        <v>61</v>
      </c>
      <c r="F1054" s="88">
        <v>0</v>
      </c>
      <c r="G1054" s="78">
        <f>MAX(H1054,I1054,J1054)</f>
        <v>1</v>
      </c>
      <c r="H1054" s="88"/>
      <c r="I1054" s="88"/>
      <c r="J1054" s="78">
        <f>MAX(K1054:Q1054)</f>
        <v>1</v>
      </c>
      <c r="K1054" s="88">
        <v>1</v>
      </c>
      <c r="L1054" s="88"/>
      <c r="M1054" s="88"/>
      <c r="N1054" s="88"/>
      <c r="O1054" s="88"/>
      <c r="P1054" s="88"/>
      <c r="Q1054" s="88"/>
      <c r="R1054" s="78">
        <f>MAX(S1054:W1054)</f>
        <v>0</v>
      </c>
      <c r="S1054" s="88"/>
      <c r="T1054" s="88"/>
      <c r="U1054" s="88"/>
      <c r="V1054" s="88"/>
      <c r="W1054" s="88"/>
    </row>
    <row r="1055" spans="2:23" s="0" customFormat="0" ht="15">
      <c r="B1055" s="87" t="s">
        <v>1</v>
      </c>
      <c r="C1055" s="88" t="s">
        <v>5259</v>
      </c>
      <c r="D1055" s="88">
        <v>14199789</v>
      </c>
      <c r="E1055" s="88" t="s">
        <v>61</v>
      </c>
      <c r="F1055" s="88">
        <v>0</v>
      </c>
      <c r="G1055" s="78">
        <f>MAX(H1055,I1055,J1055)</f>
        <v>1</v>
      </c>
      <c r="H1055" s="88"/>
      <c r="I1055" s="88"/>
      <c r="J1055" s="78">
        <f>MAX(K1055:Q1055)</f>
        <v>1</v>
      </c>
      <c r="K1055" s="88">
        <v>1</v>
      </c>
      <c r="L1055" s="88"/>
      <c r="M1055" s="88"/>
      <c r="N1055" s="88"/>
      <c r="O1055" s="88"/>
      <c r="P1055" s="88"/>
      <c r="Q1055" s="88"/>
      <c r="R1055" s="78">
        <f>MAX(S1055:W1055)</f>
        <v>0</v>
      </c>
      <c r="S1055" s="88"/>
      <c r="T1055" s="88"/>
      <c r="U1055" s="88"/>
      <c r="V1055" s="88"/>
      <c r="W1055" s="88"/>
    </row>
    <row r="1056" spans="2:23" s="0" customFormat="0" ht="15">
      <c r="B1056" s="87" t="s">
        <v>1</v>
      </c>
      <c r="C1056" s="88" t="s">
        <v>5259</v>
      </c>
      <c r="D1056" s="88" t="s">
        <v>926</v>
      </c>
      <c r="E1056" s="88" t="s">
        <v>61</v>
      </c>
      <c r="F1056" s="88">
        <v>0</v>
      </c>
      <c r="G1056" s="78">
        <f>MAX(H1056,I1056,J1056)</f>
        <v>1</v>
      </c>
      <c r="H1056" s="88"/>
      <c r="I1056" s="88"/>
      <c r="J1056" s="78">
        <f>MAX(K1056:Q1056)</f>
        <v>1</v>
      </c>
      <c r="K1056" s="88">
        <v>1</v>
      </c>
      <c r="L1056" s="88"/>
      <c r="M1056" s="88"/>
      <c r="N1056" s="88"/>
      <c r="O1056" s="88"/>
      <c r="P1056" s="88"/>
      <c r="Q1056" s="88"/>
      <c r="R1056" s="78">
        <f>MAX(S1056:W1056)</f>
        <v>0</v>
      </c>
      <c r="S1056" s="88"/>
      <c r="T1056" s="88"/>
      <c r="U1056" s="88"/>
      <c r="V1056" s="88"/>
      <c r="W1056" s="88"/>
    </row>
    <row r="1057" spans="2:23" s="0" customFormat="0" ht="15">
      <c r="B1057" s="87" t="s">
        <v>1</v>
      </c>
      <c r="C1057" s="88" t="s">
        <v>5259</v>
      </c>
      <c r="D1057" s="88" t="s">
        <v>3549</v>
      </c>
      <c r="E1057" s="88" t="s">
        <v>61</v>
      </c>
      <c r="F1057" s="88">
        <v>0</v>
      </c>
      <c r="G1057" s="78">
        <f>MAX(H1057,I1057,J1057)</f>
        <v>0</v>
      </c>
      <c r="H1057" s="88"/>
      <c r="I1057" s="88"/>
      <c r="J1057" s="78">
        <f>MAX(K1057:Q1057)</f>
        <v>0</v>
      </c>
      <c r="K1057" s="88"/>
      <c r="L1057" s="88"/>
      <c r="M1057" s="88"/>
      <c r="N1057" s="88"/>
      <c r="O1057" s="88"/>
      <c r="P1057" s="88"/>
      <c r="Q1057" s="88"/>
      <c r="R1057" s="78">
        <f>MAX(S1057:W1057)</f>
        <v>1</v>
      </c>
      <c r="S1057" s="88"/>
      <c r="T1057" s="88"/>
      <c r="U1057" s="88">
        <v>1</v>
      </c>
      <c r="V1057" s="88"/>
      <c r="W1057" s="88"/>
    </row>
    <row r="1058" spans="2:23" s="0" customFormat="0" ht="15">
      <c r="B1058" s="87" t="s">
        <v>1</v>
      </c>
      <c r="C1058" s="88" t="s">
        <v>5259</v>
      </c>
      <c r="D1058" s="88" t="s">
        <v>3837</v>
      </c>
      <c r="E1058" s="88" t="s">
        <v>61</v>
      </c>
      <c r="F1058" s="88">
        <v>0</v>
      </c>
      <c r="G1058" s="78">
        <f>MAX(H1058,I1058,J1058)</f>
        <v>0</v>
      </c>
      <c r="H1058" s="88"/>
      <c r="I1058" s="88"/>
      <c r="J1058" s="78">
        <f>MAX(K1058:Q1058)</f>
        <v>0</v>
      </c>
      <c r="K1058" s="88"/>
      <c r="L1058" s="88"/>
      <c r="M1058" s="88"/>
      <c r="N1058" s="88"/>
      <c r="O1058" s="88"/>
      <c r="P1058" s="88"/>
      <c r="Q1058" s="88"/>
      <c r="R1058" s="78">
        <f>MAX(S1058:W1058)</f>
        <v>1</v>
      </c>
      <c r="S1058" s="88"/>
      <c r="T1058" s="88"/>
      <c r="U1058" s="88">
        <v>1</v>
      </c>
      <c r="V1058" s="88"/>
      <c r="W1058" s="88"/>
    </row>
    <row r="1059" spans="2:23" s="0" customFormat="0" ht="15">
      <c r="B1059" s="87" t="s">
        <v>1</v>
      </c>
      <c r="C1059" s="88" t="s">
        <v>5259</v>
      </c>
      <c r="D1059" s="88" t="s">
        <v>928</v>
      </c>
      <c r="E1059" s="88" t="s">
        <v>61</v>
      </c>
      <c r="F1059" s="88">
        <v>0</v>
      </c>
      <c r="G1059" s="78">
        <f>MAX(H1059,I1059,J1059)</f>
        <v>1</v>
      </c>
      <c r="H1059" s="88"/>
      <c r="I1059" s="88"/>
      <c r="J1059" s="78">
        <f>MAX(K1059:Q1059)</f>
        <v>1</v>
      </c>
      <c r="K1059" s="88">
        <v>1</v>
      </c>
      <c r="L1059" s="88"/>
      <c r="M1059" s="88"/>
      <c r="N1059" s="88"/>
      <c r="O1059" s="88"/>
      <c r="P1059" s="88"/>
      <c r="Q1059" s="88"/>
      <c r="R1059" s="78">
        <f>MAX(S1059:W1059)</f>
        <v>0</v>
      </c>
      <c r="S1059" s="88"/>
      <c r="T1059" s="88"/>
      <c r="U1059" s="88"/>
      <c r="V1059" s="88"/>
      <c r="W1059" s="88"/>
    </row>
    <row r="1060" spans="2:23" s="0" customFormat="0" ht="15">
      <c r="B1060" s="87" t="s">
        <v>1</v>
      </c>
      <c r="C1060" s="88" t="s">
        <v>5259</v>
      </c>
      <c r="D1060" s="88">
        <v>21301590</v>
      </c>
      <c r="E1060" s="88" t="s">
        <v>61</v>
      </c>
      <c r="F1060" s="88">
        <v>0</v>
      </c>
      <c r="G1060" s="78">
        <f>MAX(H1060,I1060,J1060)</f>
        <v>0</v>
      </c>
      <c r="H1060" s="88"/>
      <c r="I1060" s="88"/>
      <c r="J1060" s="78">
        <f>MAX(K1060:Q1060)</f>
        <v>0</v>
      </c>
      <c r="K1060" s="88"/>
      <c r="L1060" s="88"/>
      <c r="M1060" s="88"/>
      <c r="N1060" s="88"/>
      <c r="O1060" s="88"/>
      <c r="P1060" s="88"/>
      <c r="Q1060" s="88"/>
      <c r="R1060" s="78">
        <f>MAX(S1060:W1060)</f>
        <v>1</v>
      </c>
      <c r="S1060" s="88"/>
      <c r="T1060" s="88"/>
      <c r="U1060" s="88">
        <v>1</v>
      </c>
      <c r="V1060" s="88"/>
      <c r="W1060" s="88"/>
    </row>
    <row r="1061" spans="2:23" s="0" customFormat="0" ht="15">
      <c r="B1061" s="87" t="s">
        <v>1</v>
      </c>
      <c r="C1061" s="88" t="s">
        <v>5259</v>
      </c>
      <c r="D1061" s="88" t="s">
        <v>3214</v>
      </c>
      <c r="E1061" s="88" t="s">
        <v>61</v>
      </c>
      <c r="F1061" s="88">
        <v>0</v>
      </c>
      <c r="G1061" s="78">
        <f>MAX(H1061,I1061,J1061)</f>
        <v>0</v>
      </c>
      <c r="H1061" s="88"/>
      <c r="I1061" s="88"/>
      <c r="J1061" s="78">
        <f>MAX(K1061:Q1061)</f>
        <v>0</v>
      </c>
      <c r="K1061" s="88"/>
      <c r="L1061" s="88"/>
      <c r="M1061" s="88"/>
      <c r="N1061" s="88"/>
      <c r="O1061" s="88"/>
      <c r="P1061" s="88"/>
      <c r="Q1061" s="88"/>
      <c r="R1061" s="78">
        <f>MAX(S1061:W1061)</f>
        <v>1</v>
      </c>
      <c r="S1061" s="88"/>
      <c r="T1061" s="88"/>
      <c r="U1061" s="88"/>
      <c r="V1061" s="88">
        <v>1</v>
      </c>
      <c r="W1061" s="88"/>
    </row>
    <row r="1062" spans="2:23" s="0" customFormat="0" ht="15">
      <c r="B1062" s="87" t="s">
        <v>1</v>
      </c>
      <c r="C1062" s="88" t="s">
        <v>5259</v>
      </c>
      <c r="D1062" s="88">
        <v>13181147</v>
      </c>
      <c r="E1062" s="88" t="s">
        <v>61</v>
      </c>
      <c r="F1062" s="88">
        <v>0</v>
      </c>
      <c r="G1062" s="78">
        <f>MAX(H1062,I1062,J1062)</f>
        <v>1</v>
      </c>
      <c r="H1062" s="88"/>
      <c r="I1062" s="88"/>
      <c r="J1062" s="78">
        <f>MAX(K1062:Q1062)</f>
        <v>1</v>
      </c>
      <c r="K1062" s="88">
        <v>1</v>
      </c>
      <c r="L1062" s="88"/>
      <c r="M1062" s="88"/>
      <c r="N1062" s="88"/>
      <c r="O1062" s="88"/>
      <c r="P1062" s="88"/>
      <c r="Q1062" s="88"/>
      <c r="R1062" s="78">
        <f>MAX(S1062:W1062)</f>
        <v>0</v>
      </c>
      <c r="S1062" s="88"/>
      <c r="T1062" s="88"/>
      <c r="U1062" s="88"/>
      <c r="V1062" s="88"/>
      <c r="W1062" s="88"/>
    </row>
    <row r="1063" spans="2:23" s="0" customFormat="0" ht="15">
      <c r="B1063" s="87" t="s">
        <v>1</v>
      </c>
      <c r="C1063" s="88" t="s">
        <v>5259</v>
      </c>
      <c r="D1063" s="88">
        <v>24477235</v>
      </c>
      <c r="E1063" s="88" t="s">
        <v>61</v>
      </c>
      <c r="F1063" s="88">
        <v>0</v>
      </c>
      <c r="G1063" s="78">
        <f>MAX(H1063,I1063,J1063)</f>
        <v>1</v>
      </c>
      <c r="H1063" s="88"/>
      <c r="I1063" s="88"/>
      <c r="J1063" s="78">
        <f>MAX(K1063:Q1063)</f>
        <v>1</v>
      </c>
      <c r="K1063" s="88">
        <v>1</v>
      </c>
      <c r="L1063" s="88"/>
      <c r="M1063" s="88"/>
      <c r="N1063" s="88"/>
      <c r="O1063" s="88"/>
      <c r="P1063" s="88"/>
      <c r="Q1063" s="88"/>
      <c r="R1063" s="78">
        <f>MAX(S1063:W1063)</f>
        <v>0</v>
      </c>
      <c r="S1063" s="88"/>
      <c r="T1063" s="88"/>
      <c r="U1063" s="88"/>
      <c r="V1063" s="88"/>
      <c r="W1063" s="88"/>
    </row>
    <row r="1064" spans="2:23" s="0" customFormat="0" ht="15">
      <c r="B1064" s="87" t="s">
        <v>1</v>
      </c>
      <c r="C1064" s="88" t="s">
        <v>5259</v>
      </c>
      <c r="D1064" s="88" t="s">
        <v>931</v>
      </c>
      <c r="E1064" s="88" t="s">
        <v>61</v>
      </c>
      <c r="F1064" s="88">
        <v>0</v>
      </c>
      <c r="G1064" s="78">
        <f>MAX(H1064,I1064,J1064)</f>
        <v>1</v>
      </c>
      <c r="H1064" s="88"/>
      <c r="I1064" s="88"/>
      <c r="J1064" s="78">
        <f>MAX(K1064:Q1064)</f>
        <v>1</v>
      </c>
      <c r="K1064" s="88">
        <v>1</v>
      </c>
      <c r="L1064" s="88"/>
      <c r="M1064" s="88"/>
      <c r="N1064" s="88"/>
      <c r="O1064" s="88"/>
      <c r="P1064" s="88"/>
      <c r="Q1064" s="88"/>
      <c r="R1064" s="78">
        <f>MAX(S1064:W1064)</f>
        <v>0</v>
      </c>
      <c r="S1064" s="88"/>
      <c r="T1064" s="88"/>
      <c r="U1064" s="88"/>
      <c r="V1064" s="88"/>
      <c r="W1064" s="88"/>
    </row>
    <row r="1065" spans="2:23" s="0" customFormat="0" ht="15">
      <c r="B1065" s="87" t="s">
        <v>1</v>
      </c>
      <c r="C1065" s="88" t="s">
        <v>5259</v>
      </c>
      <c r="D1065" s="88" t="s">
        <v>3216</v>
      </c>
      <c r="E1065" s="88" t="s">
        <v>61</v>
      </c>
      <c r="F1065" s="88">
        <v>0</v>
      </c>
      <c r="G1065" s="78">
        <f>MAX(H1065,I1065,J1065)</f>
        <v>0</v>
      </c>
      <c r="H1065" s="88"/>
      <c r="I1065" s="88"/>
      <c r="J1065" s="78">
        <f>MAX(K1065:Q1065)</f>
        <v>0</v>
      </c>
      <c r="K1065" s="88"/>
      <c r="L1065" s="88"/>
      <c r="M1065" s="88"/>
      <c r="N1065" s="88"/>
      <c r="O1065" s="88"/>
      <c r="P1065" s="88"/>
      <c r="Q1065" s="88"/>
      <c r="R1065" s="78">
        <f>MAX(S1065:W1065)</f>
        <v>1</v>
      </c>
      <c r="S1065" s="88"/>
      <c r="T1065" s="88"/>
      <c r="U1065" s="88"/>
      <c r="V1065" s="88">
        <v>1</v>
      </c>
      <c r="W1065" s="88"/>
    </row>
    <row r="1066" spans="2:23" s="0" customFormat="0" ht="15">
      <c r="B1066" s="87" t="s">
        <v>1</v>
      </c>
      <c r="C1066" s="88" t="s">
        <v>5259</v>
      </c>
      <c r="D1066" s="88">
        <v>12363288</v>
      </c>
      <c r="E1066" s="88" t="s">
        <v>61</v>
      </c>
      <c r="F1066" s="88">
        <v>0</v>
      </c>
      <c r="G1066" s="78">
        <f>MAX(H1066,I1066,J1066)</f>
        <v>1</v>
      </c>
      <c r="H1066" s="88"/>
      <c r="I1066" s="88"/>
      <c r="J1066" s="78">
        <f>MAX(K1066:Q1066)</f>
        <v>1</v>
      </c>
      <c r="K1066" s="88">
        <v>1</v>
      </c>
      <c r="L1066" s="88"/>
      <c r="M1066" s="88"/>
      <c r="N1066" s="88"/>
      <c r="O1066" s="88"/>
      <c r="P1066" s="88"/>
      <c r="Q1066" s="88"/>
      <c r="R1066" s="78">
        <f>MAX(S1066:W1066)</f>
        <v>0</v>
      </c>
      <c r="S1066" s="88"/>
      <c r="T1066" s="88"/>
      <c r="U1066" s="88"/>
      <c r="V1066" s="88"/>
      <c r="W1066" s="88"/>
    </row>
    <row r="1067" spans="2:23" s="0" customFormat="0" ht="15">
      <c r="B1067" s="87" t="s">
        <v>1</v>
      </c>
      <c r="C1067" s="88" t="s">
        <v>5259</v>
      </c>
      <c r="D1067" s="88" t="s">
        <v>3326</v>
      </c>
      <c r="E1067" s="88" t="s">
        <v>61</v>
      </c>
      <c r="F1067" s="88">
        <v>0</v>
      </c>
      <c r="G1067" s="78">
        <f>MAX(H1067,I1067,J1067)</f>
        <v>0</v>
      </c>
      <c r="H1067" s="88"/>
      <c r="I1067" s="88"/>
      <c r="J1067" s="78">
        <f>MAX(K1067:Q1067)</f>
        <v>0</v>
      </c>
      <c r="K1067" s="88"/>
      <c r="L1067" s="88"/>
      <c r="M1067" s="88"/>
      <c r="N1067" s="88"/>
      <c r="O1067" s="88"/>
      <c r="P1067" s="88"/>
      <c r="Q1067" s="88"/>
      <c r="R1067" s="78">
        <f>MAX(S1067:W1067)</f>
        <v>1</v>
      </c>
      <c r="S1067" s="88"/>
      <c r="T1067" s="88"/>
      <c r="U1067" s="88">
        <v>1</v>
      </c>
      <c r="V1067" s="88"/>
      <c r="W1067" s="88"/>
    </row>
    <row r="1068" spans="2:23" s="0" customFormat="0" ht="15">
      <c r="B1068" s="87" t="s">
        <v>1</v>
      </c>
      <c r="C1068" s="88" t="s">
        <v>5259</v>
      </c>
      <c r="D1068" s="88" t="s">
        <v>934</v>
      </c>
      <c r="E1068" s="88" t="s">
        <v>61</v>
      </c>
      <c r="F1068" s="88">
        <v>0</v>
      </c>
      <c r="G1068" s="78">
        <f>MAX(H1068,I1068,J1068)</f>
        <v>1</v>
      </c>
      <c r="H1068" s="88"/>
      <c r="I1068" s="88"/>
      <c r="J1068" s="78">
        <f>MAX(K1068:Q1068)</f>
        <v>1</v>
      </c>
      <c r="K1068" s="88">
        <v>1</v>
      </c>
      <c r="L1068" s="88"/>
      <c r="M1068" s="88"/>
      <c r="N1068" s="88"/>
      <c r="O1068" s="88"/>
      <c r="P1068" s="88"/>
      <c r="Q1068" s="88"/>
      <c r="R1068" s="78">
        <f>MAX(S1068:W1068)</f>
        <v>0</v>
      </c>
      <c r="S1068" s="88"/>
      <c r="T1068" s="88"/>
      <c r="U1068" s="88"/>
      <c r="V1068" s="88"/>
      <c r="W1068" s="88"/>
    </row>
    <row r="1069" spans="2:23" s="0" customFormat="0" ht="15">
      <c r="B1069" s="87" t="s">
        <v>1</v>
      </c>
      <c r="C1069" s="88" t="s">
        <v>5259</v>
      </c>
      <c r="D1069" s="88">
        <v>23264061</v>
      </c>
      <c r="E1069" s="88" t="s">
        <v>61</v>
      </c>
      <c r="F1069" s="88">
        <v>0</v>
      </c>
      <c r="G1069" s="78">
        <f>MAX(H1069,I1069,J1069)</f>
        <v>1</v>
      </c>
      <c r="H1069" s="88"/>
      <c r="I1069" s="88"/>
      <c r="J1069" s="78">
        <f>MAX(K1069:Q1069)</f>
        <v>1</v>
      </c>
      <c r="K1069" s="88">
        <v>1</v>
      </c>
      <c r="L1069" s="88"/>
      <c r="M1069" s="88"/>
      <c r="N1069" s="88"/>
      <c r="O1069" s="88"/>
      <c r="P1069" s="88"/>
      <c r="Q1069" s="88"/>
      <c r="R1069" s="78">
        <f>MAX(S1069:W1069)</f>
        <v>0</v>
      </c>
      <c r="S1069" s="88"/>
      <c r="T1069" s="88"/>
      <c r="U1069" s="88"/>
      <c r="V1069" s="88"/>
      <c r="W1069" s="88"/>
    </row>
    <row r="1070" spans="2:23" s="0" customFormat="0" ht="15">
      <c r="B1070" s="87" t="s">
        <v>1</v>
      </c>
      <c r="C1070" s="88" t="s">
        <v>5259</v>
      </c>
      <c r="D1070" s="88">
        <v>17830015</v>
      </c>
      <c r="E1070" s="88" t="s">
        <v>61</v>
      </c>
      <c r="F1070" s="88">
        <v>0</v>
      </c>
      <c r="G1070" s="78">
        <f>MAX(H1070,I1070,J1070)</f>
        <v>1</v>
      </c>
      <c r="H1070" s="88"/>
      <c r="I1070" s="88"/>
      <c r="J1070" s="78">
        <f>MAX(K1070:Q1070)</f>
        <v>1</v>
      </c>
      <c r="K1070" s="88">
        <v>1</v>
      </c>
      <c r="L1070" s="88"/>
      <c r="M1070" s="88"/>
      <c r="N1070" s="88"/>
      <c r="O1070" s="88"/>
      <c r="P1070" s="88"/>
      <c r="Q1070" s="88"/>
      <c r="R1070" s="78">
        <f>MAX(S1070:W1070)</f>
        <v>0</v>
      </c>
      <c r="S1070" s="88"/>
      <c r="T1070" s="88"/>
      <c r="U1070" s="88"/>
      <c r="V1070" s="88"/>
      <c r="W1070" s="88"/>
    </row>
    <row r="1071" spans="2:23" s="0" customFormat="0" ht="15">
      <c r="B1071" s="87" t="s">
        <v>1</v>
      </c>
      <c r="C1071" s="88" t="s">
        <v>5259</v>
      </c>
      <c r="D1071" s="88" t="s">
        <v>3840</v>
      </c>
      <c r="E1071" s="88" t="s">
        <v>61</v>
      </c>
      <c r="F1071" s="88">
        <v>0</v>
      </c>
      <c r="G1071" s="78">
        <f>MAX(H1071,I1071,J1071)</f>
        <v>0</v>
      </c>
      <c r="H1071" s="88"/>
      <c r="I1071" s="88"/>
      <c r="J1071" s="78">
        <f>MAX(K1071:Q1071)</f>
        <v>0</v>
      </c>
      <c r="K1071" s="88"/>
      <c r="L1071" s="88"/>
      <c r="M1071" s="88"/>
      <c r="N1071" s="88"/>
      <c r="O1071" s="88"/>
      <c r="P1071" s="88"/>
      <c r="Q1071" s="88"/>
      <c r="R1071" s="78">
        <f>MAX(S1071:W1071)</f>
        <v>1</v>
      </c>
      <c r="S1071" s="88"/>
      <c r="T1071" s="88"/>
      <c r="U1071" s="88">
        <v>1</v>
      </c>
      <c r="V1071" s="88"/>
      <c r="W1071" s="88"/>
    </row>
    <row r="1072" spans="2:23" s="0" customFormat="0" ht="15">
      <c r="B1072" s="87" t="s">
        <v>1</v>
      </c>
      <c r="C1072" s="88" t="s">
        <v>5259</v>
      </c>
      <c r="D1072" s="88" t="s">
        <v>3842</v>
      </c>
      <c r="E1072" s="88" t="s">
        <v>61</v>
      </c>
      <c r="F1072" s="88">
        <v>0</v>
      </c>
      <c r="G1072" s="78">
        <f>MAX(H1072,I1072,J1072)</f>
        <v>0</v>
      </c>
      <c r="H1072" s="88"/>
      <c r="I1072" s="88"/>
      <c r="J1072" s="78">
        <f>MAX(K1072:Q1072)</f>
        <v>0</v>
      </c>
      <c r="K1072" s="88"/>
      <c r="L1072" s="88"/>
      <c r="M1072" s="88"/>
      <c r="N1072" s="88"/>
      <c r="O1072" s="88"/>
      <c r="P1072" s="88"/>
      <c r="Q1072" s="88"/>
      <c r="R1072" s="78">
        <f>MAX(S1072:W1072)</f>
        <v>1</v>
      </c>
      <c r="S1072" s="88"/>
      <c r="T1072" s="88"/>
      <c r="U1072" s="88">
        <v>1</v>
      </c>
      <c r="V1072" s="88"/>
      <c r="W1072" s="88"/>
    </row>
    <row r="1073" spans="2:23" s="0" customFormat="0" ht="15">
      <c r="B1073" s="87" t="s">
        <v>1</v>
      </c>
      <c r="C1073" s="88" t="s">
        <v>5259</v>
      </c>
      <c r="D1073" s="88">
        <v>19216270</v>
      </c>
      <c r="E1073" s="88" t="s">
        <v>61</v>
      </c>
      <c r="F1073" s="88">
        <v>0</v>
      </c>
      <c r="G1073" s="78">
        <f>MAX(H1073,I1073,J1073)</f>
        <v>0</v>
      </c>
      <c r="H1073" s="88"/>
      <c r="I1073" s="88"/>
      <c r="J1073" s="78">
        <f>MAX(K1073:Q1073)</f>
        <v>0</v>
      </c>
      <c r="K1073" s="88"/>
      <c r="L1073" s="88"/>
      <c r="M1073" s="88"/>
      <c r="N1073" s="88"/>
      <c r="O1073" s="88"/>
      <c r="P1073" s="88"/>
      <c r="Q1073" s="88"/>
      <c r="R1073" s="78">
        <f>MAX(S1073:W1073)</f>
        <v>1</v>
      </c>
      <c r="S1073" s="88"/>
      <c r="T1073" s="88"/>
      <c r="U1073" s="88">
        <v>1</v>
      </c>
      <c r="V1073" s="88"/>
      <c r="W1073" s="88"/>
    </row>
    <row r="1074" spans="2:23" s="0" customFormat="0" ht="15">
      <c r="B1074" s="87" t="s">
        <v>1</v>
      </c>
      <c r="C1074" s="88" t="s">
        <v>5259</v>
      </c>
      <c r="D1074" s="88" t="s">
        <v>938</v>
      </c>
      <c r="E1074" s="88" t="s">
        <v>61</v>
      </c>
      <c r="F1074" s="88">
        <v>0</v>
      </c>
      <c r="G1074" s="78">
        <f>MAX(H1074,I1074,J1074)</f>
        <v>1</v>
      </c>
      <c r="H1074" s="88"/>
      <c r="I1074" s="88"/>
      <c r="J1074" s="78">
        <f>MAX(K1074:Q1074)</f>
        <v>1</v>
      </c>
      <c r="K1074" s="88">
        <v>1</v>
      </c>
      <c r="L1074" s="88"/>
      <c r="M1074" s="88"/>
      <c r="N1074" s="88"/>
      <c r="O1074" s="88"/>
      <c r="P1074" s="88"/>
      <c r="Q1074" s="88"/>
      <c r="R1074" s="78">
        <f>MAX(S1074:W1074)</f>
        <v>0</v>
      </c>
      <c r="S1074" s="88"/>
      <c r="T1074" s="88"/>
      <c r="U1074" s="88"/>
      <c r="V1074" s="88"/>
      <c r="W1074" s="88"/>
    </row>
    <row r="1075" spans="2:23" s="0" customFormat="0" ht="15">
      <c r="B1075" s="87" t="s">
        <v>1</v>
      </c>
      <c r="C1075" s="88" t="s">
        <v>5259</v>
      </c>
      <c r="D1075" s="88">
        <v>12553441</v>
      </c>
      <c r="E1075" s="88" t="s">
        <v>61</v>
      </c>
      <c r="F1075" s="88">
        <v>0</v>
      </c>
      <c r="G1075" s="78">
        <f>MAX(H1075,I1075,J1075)</f>
        <v>1</v>
      </c>
      <c r="H1075" s="88"/>
      <c r="I1075" s="88"/>
      <c r="J1075" s="78">
        <f>MAX(K1075:Q1075)</f>
        <v>1</v>
      </c>
      <c r="K1075" s="88">
        <v>1</v>
      </c>
      <c r="L1075" s="88"/>
      <c r="M1075" s="88"/>
      <c r="N1075" s="88"/>
      <c r="O1075" s="88"/>
      <c r="P1075" s="88"/>
      <c r="Q1075" s="88"/>
      <c r="R1075" s="78">
        <f>MAX(S1075:W1075)</f>
        <v>0</v>
      </c>
      <c r="S1075" s="88"/>
      <c r="T1075" s="88"/>
      <c r="U1075" s="88"/>
      <c r="V1075" s="88"/>
      <c r="W1075" s="88"/>
    </row>
    <row r="1076" spans="2:23" s="0" customFormat="0" ht="15">
      <c r="B1076" s="87" t="s">
        <v>1</v>
      </c>
      <c r="C1076" s="88" t="s">
        <v>5259</v>
      </c>
      <c r="D1076" s="88">
        <v>4082359</v>
      </c>
      <c r="E1076" s="88" t="s">
        <v>61</v>
      </c>
      <c r="F1076" s="88">
        <v>0</v>
      </c>
      <c r="G1076" s="78">
        <f>MAX(H1076,I1076,J1076)</f>
        <v>1</v>
      </c>
      <c r="H1076" s="88"/>
      <c r="I1076" s="88"/>
      <c r="J1076" s="78">
        <f>MAX(K1076:Q1076)</f>
        <v>1</v>
      </c>
      <c r="K1076" s="88">
        <v>1</v>
      </c>
      <c r="L1076" s="88"/>
      <c r="M1076" s="88"/>
      <c r="N1076" s="88"/>
      <c r="O1076" s="88"/>
      <c r="P1076" s="88"/>
      <c r="Q1076" s="88"/>
      <c r="R1076" s="78">
        <f>MAX(S1076:W1076)</f>
        <v>0</v>
      </c>
      <c r="S1076" s="88"/>
      <c r="T1076" s="88"/>
      <c r="U1076" s="88"/>
      <c r="V1076" s="88"/>
      <c r="W1076" s="88"/>
    </row>
    <row r="1077" spans="2:23" s="0" customFormat="0" ht="15">
      <c r="B1077" s="87" t="s">
        <v>1</v>
      </c>
      <c r="C1077" s="88" t="s">
        <v>5259</v>
      </c>
      <c r="D1077" s="88">
        <v>21917532</v>
      </c>
      <c r="E1077" s="88" t="s">
        <v>61</v>
      </c>
      <c r="F1077" s="88">
        <v>0</v>
      </c>
      <c r="G1077" s="78">
        <f>MAX(H1077,I1077,J1077)</f>
        <v>1</v>
      </c>
      <c r="H1077" s="88"/>
      <c r="I1077" s="88"/>
      <c r="J1077" s="78">
        <f>MAX(K1077:Q1077)</f>
        <v>1</v>
      </c>
      <c r="K1077" s="88">
        <v>1</v>
      </c>
      <c r="L1077" s="88"/>
      <c r="M1077" s="88"/>
      <c r="N1077" s="88"/>
      <c r="O1077" s="88"/>
      <c r="P1077" s="88"/>
      <c r="Q1077" s="88"/>
      <c r="R1077" s="78">
        <f>MAX(S1077:W1077)</f>
        <v>0</v>
      </c>
      <c r="S1077" s="88"/>
      <c r="T1077" s="88"/>
      <c r="U1077" s="88"/>
      <c r="V1077" s="88"/>
      <c r="W1077" s="88"/>
    </row>
    <row r="1078" spans="2:23" s="0" customFormat="0" ht="15">
      <c r="B1078" s="87" t="s">
        <v>1</v>
      </c>
      <c r="C1078" s="88" t="s">
        <v>5259</v>
      </c>
      <c r="D1078" s="88">
        <v>19697125</v>
      </c>
      <c r="E1078" s="88" t="s">
        <v>61</v>
      </c>
      <c r="F1078" s="88">
        <v>0</v>
      </c>
      <c r="G1078" s="78">
        <f>MAX(H1078,I1078,J1078)</f>
        <v>1</v>
      </c>
      <c r="H1078" s="88"/>
      <c r="I1078" s="88"/>
      <c r="J1078" s="78">
        <f>MAX(K1078:Q1078)</f>
        <v>1</v>
      </c>
      <c r="K1078" s="88">
        <v>1</v>
      </c>
      <c r="L1078" s="88"/>
      <c r="M1078" s="88"/>
      <c r="N1078" s="88"/>
      <c r="O1078" s="88"/>
      <c r="P1078" s="88"/>
      <c r="Q1078" s="88"/>
      <c r="R1078" s="78">
        <f>MAX(S1078:W1078)</f>
        <v>0</v>
      </c>
      <c r="S1078" s="88"/>
      <c r="T1078" s="88"/>
      <c r="U1078" s="88"/>
      <c r="V1078" s="88"/>
      <c r="W1078" s="88"/>
    </row>
    <row r="1079" spans="2:23" s="0" customFormat="0" ht="15">
      <c r="B1079" s="87" t="s">
        <v>1</v>
      </c>
      <c r="C1079" s="88" t="s">
        <v>5259</v>
      </c>
      <c r="D1079" s="88" t="s">
        <v>3828</v>
      </c>
      <c r="E1079" s="88" t="s">
        <v>61</v>
      </c>
      <c r="F1079" s="88">
        <v>0</v>
      </c>
      <c r="G1079" s="78">
        <f>MAX(H1079,I1079,J1079)</f>
        <v>0</v>
      </c>
      <c r="H1079" s="88"/>
      <c r="I1079" s="88"/>
      <c r="J1079" s="78">
        <f>MAX(K1079:Q1079)</f>
        <v>0</v>
      </c>
      <c r="K1079" s="88"/>
      <c r="L1079" s="88"/>
      <c r="M1079" s="88"/>
      <c r="N1079" s="88"/>
      <c r="O1079" s="88"/>
      <c r="P1079" s="88"/>
      <c r="Q1079" s="88"/>
      <c r="R1079" s="78">
        <f>MAX(S1079:W1079)</f>
        <v>1</v>
      </c>
      <c r="S1079" s="88"/>
      <c r="T1079" s="88"/>
      <c r="U1079" s="88">
        <v>1</v>
      </c>
      <c r="V1079" s="88"/>
      <c r="W1079" s="88"/>
    </row>
    <row r="1080" spans="2:23" s="0" customFormat="0" ht="15">
      <c r="B1080" s="87" t="s">
        <v>1</v>
      </c>
      <c r="C1080" s="88" t="s">
        <v>5259</v>
      </c>
      <c r="D1080" s="88">
        <v>22554255</v>
      </c>
      <c r="E1080" s="88" t="s">
        <v>61</v>
      </c>
      <c r="F1080" s="88">
        <v>0</v>
      </c>
      <c r="G1080" s="78">
        <f>MAX(H1080,I1080,J1080)</f>
        <v>1</v>
      </c>
      <c r="H1080" s="88"/>
      <c r="I1080" s="88"/>
      <c r="J1080" s="78">
        <f>MAX(K1080:Q1080)</f>
        <v>1</v>
      </c>
      <c r="K1080" s="88">
        <v>1</v>
      </c>
      <c r="L1080" s="88"/>
      <c r="M1080" s="88"/>
      <c r="N1080" s="88"/>
      <c r="O1080" s="88"/>
      <c r="P1080" s="88"/>
      <c r="Q1080" s="88"/>
      <c r="R1080" s="78">
        <f>MAX(S1080:W1080)</f>
        <v>0</v>
      </c>
      <c r="S1080" s="88"/>
      <c r="T1080" s="88"/>
      <c r="U1080" s="88"/>
      <c r="V1080" s="88"/>
      <c r="W1080" s="88"/>
    </row>
    <row r="1081" spans="2:23" s="0" customFormat="0" ht="15">
      <c r="B1081" s="87" t="s">
        <v>1</v>
      </c>
      <c r="C1081" s="88" t="s">
        <v>5259</v>
      </c>
      <c r="D1081" s="88">
        <v>12641065</v>
      </c>
      <c r="E1081" s="88" t="s">
        <v>61</v>
      </c>
      <c r="F1081" s="88">
        <v>0</v>
      </c>
      <c r="G1081" s="78">
        <f>MAX(H1081,I1081,J1081)</f>
        <v>1</v>
      </c>
      <c r="H1081" s="88"/>
      <c r="I1081" s="88"/>
      <c r="J1081" s="78">
        <f>MAX(K1081:Q1081)</f>
        <v>1</v>
      </c>
      <c r="K1081" s="88">
        <v>1</v>
      </c>
      <c r="L1081" s="88"/>
      <c r="M1081" s="88"/>
      <c r="N1081" s="88"/>
      <c r="O1081" s="88"/>
      <c r="P1081" s="88"/>
      <c r="Q1081" s="88"/>
      <c r="R1081" s="78">
        <f>MAX(S1081:W1081)</f>
        <v>0</v>
      </c>
      <c r="S1081" s="88"/>
      <c r="T1081" s="88"/>
      <c r="U1081" s="88"/>
      <c r="V1081" s="88"/>
      <c r="W1081" s="88"/>
    </row>
    <row r="1082" spans="2:23" s="0" customFormat="0" ht="15">
      <c r="B1082" s="87" t="s">
        <v>1</v>
      </c>
      <c r="C1082" s="88" t="s">
        <v>5259</v>
      </c>
      <c r="D1082" s="88" t="s">
        <v>945</v>
      </c>
      <c r="E1082" s="88" t="s">
        <v>61</v>
      </c>
      <c r="F1082" s="88">
        <v>0</v>
      </c>
      <c r="G1082" s="78">
        <f>MAX(H1082,I1082,J1082)</f>
        <v>1</v>
      </c>
      <c r="H1082" s="88"/>
      <c r="I1082" s="88"/>
      <c r="J1082" s="78">
        <f>MAX(K1082:Q1082)</f>
        <v>1</v>
      </c>
      <c r="K1082" s="88">
        <v>1</v>
      </c>
      <c r="L1082" s="88"/>
      <c r="M1082" s="88"/>
      <c r="N1082" s="88"/>
      <c r="O1082" s="88"/>
      <c r="P1082" s="88"/>
      <c r="Q1082" s="88"/>
      <c r="R1082" s="78">
        <f>MAX(S1082:W1082)</f>
        <v>0</v>
      </c>
      <c r="S1082" s="88"/>
      <c r="T1082" s="88"/>
      <c r="U1082" s="88"/>
      <c r="V1082" s="88"/>
      <c r="W1082" s="88"/>
    </row>
    <row r="1083" spans="2:23" s="0" customFormat="0" ht="15">
      <c r="B1083" s="87" t="s">
        <v>1</v>
      </c>
      <c r="C1083" s="88" t="s">
        <v>5259</v>
      </c>
      <c r="D1083" s="88" t="s">
        <v>947</v>
      </c>
      <c r="E1083" s="88" t="s">
        <v>61</v>
      </c>
      <c r="F1083" s="88">
        <v>0</v>
      </c>
      <c r="G1083" s="78">
        <f>MAX(H1083,I1083,J1083)</f>
        <v>1</v>
      </c>
      <c r="H1083" s="88"/>
      <c r="I1083" s="88"/>
      <c r="J1083" s="78">
        <f>MAX(K1083:Q1083)</f>
        <v>1</v>
      </c>
      <c r="K1083" s="88">
        <v>1</v>
      </c>
      <c r="L1083" s="88"/>
      <c r="M1083" s="88"/>
      <c r="N1083" s="88"/>
      <c r="O1083" s="88"/>
      <c r="P1083" s="88"/>
      <c r="Q1083" s="88"/>
      <c r="R1083" s="78">
        <f>MAX(S1083:W1083)</f>
        <v>0</v>
      </c>
      <c r="S1083" s="88"/>
      <c r="T1083" s="88"/>
      <c r="U1083" s="88"/>
      <c r="V1083" s="88"/>
      <c r="W1083" s="88"/>
    </row>
    <row r="1084" spans="2:23" s="0" customFormat="0" ht="15">
      <c r="B1084" s="87" t="s">
        <v>1</v>
      </c>
      <c r="C1084" s="88" t="s">
        <v>5259</v>
      </c>
      <c r="D1084" s="88">
        <v>5449277</v>
      </c>
      <c r="E1084" s="88" t="s">
        <v>61</v>
      </c>
      <c r="F1084" s="88">
        <v>0</v>
      </c>
      <c r="G1084" s="78">
        <f>MAX(H1084,I1084,J1084)</f>
        <v>1</v>
      </c>
      <c r="H1084" s="88"/>
      <c r="I1084" s="88"/>
      <c r="J1084" s="78">
        <f>MAX(K1084:Q1084)</f>
        <v>1</v>
      </c>
      <c r="K1084" s="88">
        <v>1</v>
      </c>
      <c r="L1084" s="88"/>
      <c r="M1084" s="88"/>
      <c r="N1084" s="88"/>
      <c r="O1084" s="88"/>
      <c r="P1084" s="88"/>
      <c r="Q1084" s="88"/>
      <c r="R1084" s="78">
        <f>MAX(S1084:W1084)</f>
        <v>0</v>
      </c>
      <c r="S1084" s="88"/>
      <c r="T1084" s="88"/>
      <c r="U1084" s="88"/>
      <c r="V1084" s="88"/>
      <c r="W1084" s="88"/>
    </row>
    <row r="1085" spans="2:23" s="0" customFormat="0" ht="15">
      <c r="B1085" s="87" t="s">
        <v>1</v>
      </c>
      <c r="C1085" s="88" t="s">
        <v>5259</v>
      </c>
      <c r="D1085" s="88" t="s">
        <v>539</v>
      </c>
      <c r="E1085" s="88" t="s">
        <v>61</v>
      </c>
      <c r="F1085" s="88">
        <v>0</v>
      </c>
      <c r="G1085" s="78">
        <f>MAX(H1085,I1085,J1085)</f>
        <v>1</v>
      </c>
      <c r="H1085" s="88"/>
      <c r="I1085" s="88"/>
      <c r="J1085" s="78">
        <f>MAX(K1085:Q1085)</f>
        <v>1</v>
      </c>
      <c r="K1085" s="88">
        <v>1</v>
      </c>
      <c r="L1085" s="88"/>
      <c r="M1085" s="88"/>
      <c r="N1085" s="88"/>
      <c r="O1085" s="88"/>
      <c r="P1085" s="88"/>
      <c r="Q1085" s="88"/>
      <c r="R1085" s="78">
        <f>MAX(S1085:W1085)</f>
        <v>0</v>
      </c>
      <c r="S1085" s="88"/>
      <c r="T1085" s="88"/>
      <c r="U1085" s="88"/>
      <c r="V1085" s="88"/>
      <c r="W1085" s="88"/>
    </row>
    <row r="1086" spans="2:23" s="0" customFormat="0" ht="15">
      <c r="B1086" s="87" t="s">
        <v>1</v>
      </c>
      <c r="C1086" s="88" t="s">
        <v>5259</v>
      </c>
      <c r="D1086" s="88" t="s">
        <v>949</v>
      </c>
      <c r="E1086" s="88" t="s">
        <v>61</v>
      </c>
      <c r="F1086" s="88">
        <v>0</v>
      </c>
      <c r="G1086" s="78">
        <f>MAX(H1086,I1086,J1086)</f>
        <v>1</v>
      </c>
      <c r="H1086" s="88"/>
      <c r="I1086" s="88"/>
      <c r="J1086" s="78">
        <f>MAX(K1086:Q1086)</f>
        <v>1</v>
      </c>
      <c r="K1086" s="88">
        <v>1</v>
      </c>
      <c r="L1086" s="88"/>
      <c r="M1086" s="88"/>
      <c r="N1086" s="88"/>
      <c r="O1086" s="88"/>
      <c r="P1086" s="88"/>
      <c r="Q1086" s="88"/>
      <c r="R1086" s="78">
        <f>MAX(S1086:W1086)</f>
        <v>0</v>
      </c>
      <c r="S1086" s="88"/>
      <c r="T1086" s="88"/>
      <c r="U1086" s="88"/>
      <c r="V1086" s="88"/>
      <c r="W1086" s="88"/>
    </row>
    <row r="1087" spans="2:23" s="0" customFormat="0" ht="15">
      <c r="B1087" s="87" t="s">
        <v>1</v>
      </c>
      <c r="C1087" s="88" t="s">
        <v>5259</v>
      </c>
      <c r="D1087" s="88">
        <v>12819849</v>
      </c>
      <c r="E1087" s="88" t="s">
        <v>61</v>
      </c>
      <c r="F1087" s="88">
        <v>0</v>
      </c>
      <c r="G1087" s="78">
        <f>MAX(H1087,I1087,J1087)</f>
        <v>1</v>
      </c>
      <c r="H1087" s="88"/>
      <c r="I1087" s="88"/>
      <c r="J1087" s="78">
        <f>MAX(K1087:Q1087)</f>
        <v>1</v>
      </c>
      <c r="K1087" s="88">
        <v>1</v>
      </c>
      <c r="L1087" s="88"/>
      <c r="M1087" s="88"/>
      <c r="N1087" s="88"/>
      <c r="O1087" s="88"/>
      <c r="P1087" s="88"/>
      <c r="Q1087" s="88"/>
      <c r="R1087" s="78">
        <f>MAX(S1087:W1087)</f>
        <v>0</v>
      </c>
      <c r="S1087" s="88"/>
      <c r="T1087" s="88"/>
      <c r="U1087" s="88"/>
      <c r="V1087" s="88"/>
      <c r="W1087" s="88"/>
    </row>
    <row r="1088" spans="2:23" s="0" customFormat="0" ht="15">
      <c r="B1088" s="87" t="s">
        <v>1</v>
      </c>
      <c r="C1088" s="88" t="s">
        <v>5259</v>
      </c>
      <c r="D1088" s="88" t="s">
        <v>3845</v>
      </c>
      <c r="E1088" s="88" t="s">
        <v>61</v>
      </c>
      <c r="F1088" s="88">
        <v>0</v>
      </c>
      <c r="G1088" s="78">
        <f>MAX(H1088,I1088,J1088)</f>
        <v>0</v>
      </c>
      <c r="H1088" s="88"/>
      <c r="I1088" s="88"/>
      <c r="J1088" s="78">
        <f>MAX(K1088:Q1088)</f>
        <v>0</v>
      </c>
      <c r="K1088" s="88"/>
      <c r="L1088" s="88"/>
      <c r="M1088" s="88"/>
      <c r="N1088" s="88"/>
      <c r="O1088" s="88"/>
      <c r="P1088" s="88"/>
      <c r="Q1088" s="88"/>
      <c r="R1088" s="78">
        <f>MAX(S1088:W1088)</f>
        <v>1</v>
      </c>
      <c r="S1088" s="88"/>
      <c r="T1088" s="88"/>
      <c r="U1088" s="88">
        <v>1</v>
      </c>
      <c r="V1088" s="88"/>
      <c r="W1088" s="88"/>
    </row>
    <row r="1089" spans="2:23" s="0" customFormat="0" ht="15">
      <c r="B1089" s="87" t="s">
        <v>1</v>
      </c>
      <c r="C1089" s="88" t="s">
        <v>5259</v>
      </c>
      <c r="D1089" s="88" t="s">
        <v>952</v>
      </c>
      <c r="E1089" s="88" t="s">
        <v>61</v>
      </c>
      <c r="F1089" s="88">
        <v>0</v>
      </c>
      <c r="G1089" s="78">
        <f>MAX(H1089,I1089,J1089)</f>
        <v>1</v>
      </c>
      <c r="H1089" s="88"/>
      <c r="I1089" s="88"/>
      <c r="J1089" s="78">
        <f>MAX(K1089:Q1089)</f>
        <v>1</v>
      </c>
      <c r="K1089" s="88">
        <v>1</v>
      </c>
      <c r="L1089" s="88"/>
      <c r="M1089" s="88"/>
      <c r="N1089" s="88"/>
      <c r="O1089" s="88"/>
      <c r="P1089" s="88"/>
      <c r="Q1089" s="88"/>
      <c r="R1089" s="78">
        <f>MAX(S1089:W1089)</f>
        <v>0</v>
      </c>
      <c r="S1089" s="88"/>
      <c r="T1089" s="88"/>
      <c r="U1089" s="88"/>
      <c r="V1089" s="88"/>
      <c r="W1089" s="88"/>
    </row>
    <row r="1090" spans="2:23" s="0" customFormat="0" ht="15">
      <c r="B1090" s="87" t="s">
        <v>1</v>
      </c>
      <c r="C1090" s="88" t="s">
        <v>5259</v>
      </c>
      <c r="D1090" s="88">
        <v>12488211</v>
      </c>
      <c r="E1090" s="88" t="s">
        <v>61</v>
      </c>
      <c r="F1090" s="88">
        <v>0</v>
      </c>
      <c r="G1090" s="78">
        <f>MAX(H1090,I1090,J1090)</f>
        <v>0</v>
      </c>
      <c r="H1090" s="88"/>
      <c r="I1090" s="88"/>
      <c r="J1090" s="78">
        <f>MAX(K1090:Q1090)</f>
        <v>0</v>
      </c>
      <c r="K1090" s="88"/>
      <c r="L1090" s="88"/>
      <c r="M1090" s="88"/>
      <c r="N1090" s="88"/>
      <c r="O1090" s="88"/>
      <c r="P1090" s="88"/>
      <c r="Q1090" s="88"/>
      <c r="R1090" s="78">
        <f>MAX(S1090:W1090)</f>
        <v>1</v>
      </c>
      <c r="S1090" s="88"/>
      <c r="T1090" s="88"/>
      <c r="U1090" s="88">
        <v>1</v>
      </c>
      <c r="V1090" s="88"/>
      <c r="W1090" s="88"/>
    </row>
    <row r="1091" spans="2:23" s="0" customFormat="0" ht="15">
      <c r="B1091" s="87" t="s">
        <v>1</v>
      </c>
      <c r="C1091" s="88" t="s">
        <v>5259</v>
      </c>
      <c r="D1091" s="88" t="s">
        <v>3602</v>
      </c>
      <c r="E1091" s="88" t="s">
        <v>61</v>
      </c>
      <c r="F1091" s="88">
        <v>0</v>
      </c>
      <c r="G1091" s="78">
        <f>MAX(H1091,I1091,J1091)</f>
        <v>0</v>
      </c>
      <c r="H1091" s="88"/>
      <c r="I1091" s="88"/>
      <c r="J1091" s="78">
        <f>MAX(K1091:Q1091)</f>
        <v>0</v>
      </c>
      <c r="K1091" s="88"/>
      <c r="L1091" s="88"/>
      <c r="M1091" s="88"/>
      <c r="N1091" s="88"/>
      <c r="O1091" s="88"/>
      <c r="P1091" s="88"/>
      <c r="Q1091" s="88"/>
      <c r="R1091" s="78">
        <f>MAX(S1091:W1091)</f>
        <v>1</v>
      </c>
      <c r="S1091" s="88"/>
      <c r="T1091" s="88"/>
      <c r="U1091" s="88">
        <v>1</v>
      </c>
      <c r="V1091" s="88"/>
      <c r="W1091" s="88"/>
    </row>
    <row r="1092" spans="2:23" s="0" customFormat="0" ht="15">
      <c r="B1092" s="87" t="s">
        <v>1</v>
      </c>
      <c r="C1092" s="88" t="s">
        <v>5259</v>
      </c>
      <c r="D1092" s="88" t="s">
        <v>3848</v>
      </c>
      <c r="E1092" s="88" t="s">
        <v>61</v>
      </c>
      <c r="F1092" s="88">
        <v>0</v>
      </c>
      <c r="G1092" s="78">
        <f>MAX(H1092,I1092,J1092)</f>
        <v>0</v>
      </c>
      <c r="H1092" s="88"/>
      <c r="I1092" s="88"/>
      <c r="J1092" s="78">
        <f>MAX(K1092:Q1092)</f>
        <v>0</v>
      </c>
      <c r="K1092" s="88"/>
      <c r="L1092" s="88"/>
      <c r="M1092" s="88"/>
      <c r="N1092" s="88"/>
      <c r="O1092" s="88"/>
      <c r="P1092" s="88"/>
      <c r="Q1092" s="88"/>
      <c r="R1092" s="78">
        <f>MAX(S1092:W1092)</f>
        <v>1</v>
      </c>
      <c r="S1092" s="88"/>
      <c r="T1092" s="88"/>
      <c r="U1092" s="88">
        <v>1</v>
      </c>
      <c r="V1092" s="88"/>
      <c r="W1092" s="88"/>
    </row>
    <row r="1093" spans="2:23" s="0" customFormat="0" ht="15">
      <c r="B1093" s="87" t="s">
        <v>1</v>
      </c>
      <c r="C1093" s="88" t="s">
        <v>5259</v>
      </c>
      <c r="D1093" s="88">
        <v>17164391</v>
      </c>
      <c r="E1093" s="88" t="s">
        <v>61</v>
      </c>
      <c r="F1093" s="88">
        <v>0</v>
      </c>
      <c r="G1093" s="78">
        <f>MAX(H1093,I1093,J1093)</f>
        <v>1</v>
      </c>
      <c r="H1093" s="88"/>
      <c r="I1093" s="88"/>
      <c r="J1093" s="78">
        <f>MAX(K1093:Q1093)</f>
        <v>1</v>
      </c>
      <c r="K1093" s="88">
        <v>1</v>
      </c>
      <c r="L1093" s="88"/>
      <c r="M1093" s="88"/>
      <c r="N1093" s="88"/>
      <c r="O1093" s="88"/>
      <c r="P1093" s="88"/>
      <c r="Q1093" s="88"/>
      <c r="R1093" s="78">
        <f>MAX(S1093:W1093)</f>
        <v>0</v>
      </c>
      <c r="S1093" s="88"/>
      <c r="T1093" s="88"/>
      <c r="U1093" s="88"/>
      <c r="V1093" s="88"/>
      <c r="W1093" s="88"/>
    </row>
    <row r="1094" spans="2:23" s="0" customFormat="0" ht="15">
      <c r="B1094" s="87" t="s">
        <v>1</v>
      </c>
      <c r="C1094" s="88" t="s">
        <v>5259</v>
      </c>
      <c r="D1094" s="88">
        <v>13155802</v>
      </c>
      <c r="E1094" s="88" t="s">
        <v>61</v>
      </c>
      <c r="F1094" s="88">
        <v>0</v>
      </c>
      <c r="G1094" s="78">
        <f>MAX(H1094,I1094,J1094)</f>
        <v>1</v>
      </c>
      <c r="H1094" s="88"/>
      <c r="I1094" s="88"/>
      <c r="J1094" s="78">
        <f>MAX(K1094:Q1094)</f>
        <v>1</v>
      </c>
      <c r="K1094" s="88">
        <v>1</v>
      </c>
      <c r="L1094" s="88"/>
      <c r="M1094" s="88"/>
      <c r="N1094" s="88"/>
      <c r="O1094" s="88"/>
      <c r="P1094" s="88"/>
      <c r="Q1094" s="88"/>
      <c r="R1094" s="78">
        <f>MAX(S1094:W1094)</f>
        <v>0</v>
      </c>
      <c r="S1094" s="88"/>
      <c r="T1094" s="88"/>
      <c r="U1094" s="88"/>
      <c r="V1094" s="88"/>
      <c r="W1094" s="88"/>
    </row>
    <row r="1095" spans="2:23" s="0" customFormat="0" ht="15">
      <c r="B1095" s="87" t="s">
        <v>1</v>
      </c>
      <c r="C1095" s="88" t="s">
        <v>5259</v>
      </c>
      <c r="D1095" s="88">
        <v>20986643</v>
      </c>
      <c r="E1095" s="88" t="s">
        <v>61</v>
      </c>
      <c r="F1095" s="88">
        <v>0</v>
      </c>
      <c r="G1095" s="78">
        <f>MAX(H1095,I1095,J1095)</f>
        <v>1</v>
      </c>
      <c r="H1095" s="88"/>
      <c r="I1095" s="88"/>
      <c r="J1095" s="78">
        <f>MAX(K1095:Q1095)</f>
        <v>1</v>
      </c>
      <c r="K1095" s="88">
        <v>1</v>
      </c>
      <c r="L1095" s="88"/>
      <c r="M1095" s="88"/>
      <c r="N1095" s="88"/>
      <c r="O1095" s="88"/>
      <c r="P1095" s="88"/>
      <c r="Q1095" s="88"/>
      <c r="R1095" s="78">
        <f>MAX(S1095:W1095)</f>
        <v>0</v>
      </c>
      <c r="S1095" s="88"/>
      <c r="T1095" s="88"/>
      <c r="U1095" s="88"/>
      <c r="V1095" s="88"/>
      <c r="W1095" s="88"/>
    </row>
    <row r="1096" spans="2:23" s="0" customFormat="0" ht="15">
      <c r="B1096" s="87" t="s">
        <v>1</v>
      </c>
      <c r="C1096" s="88" t="s">
        <v>5259</v>
      </c>
      <c r="D1096" s="88" t="s">
        <v>3672</v>
      </c>
      <c r="E1096" s="88" t="s">
        <v>61</v>
      </c>
      <c r="F1096" s="88">
        <v>0</v>
      </c>
      <c r="G1096" s="78">
        <f>MAX(H1096,I1096,J1096)</f>
        <v>0</v>
      </c>
      <c r="H1096" s="88"/>
      <c r="I1096" s="88"/>
      <c r="J1096" s="78">
        <f>MAX(K1096:Q1096)</f>
        <v>0</v>
      </c>
      <c r="K1096" s="88"/>
      <c r="L1096" s="88"/>
      <c r="M1096" s="88"/>
      <c r="N1096" s="88"/>
      <c r="O1096" s="88"/>
      <c r="P1096" s="88"/>
      <c r="Q1096" s="88"/>
      <c r="R1096" s="78">
        <f>MAX(S1096:W1096)</f>
        <v>1</v>
      </c>
      <c r="S1096" s="88"/>
      <c r="T1096" s="88"/>
      <c r="U1096" s="88">
        <v>1</v>
      </c>
      <c r="V1096" s="88"/>
      <c r="W1096" s="88"/>
    </row>
    <row r="1097" spans="2:23" s="0" customFormat="0" ht="15">
      <c r="B1097" s="87" t="s">
        <v>1</v>
      </c>
      <c r="C1097" s="88" t="s">
        <v>5259</v>
      </c>
      <c r="D1097" s="88">
        <v>16166347</v>
      </c>
      <c r="E1097" s="88" t="s">
        <v>61</v>
      </c>
      <c r="F1097" s="88">
        <v>0</v>
      </c>
      <c r="G1097" s="78">
        <f>MAX(H1097,I1097,J1097)</f>
        <v>1</v>
      </c>
      <c r="H1097" s="88"/>
      <c r="I1097" s="88"/>
      <c r="J1097" s="78">
        <f>MAX(K1097:Q1097)</f>
        <v>1</v>
      </c>
      <c r="K1097" s="88">
        <v>1</v>
      </c>
      <c r="L1097" s="88"/>
      <c r="M1097" s="88"/>
      <c r="N1097" s="88"/>
      <c r="O1097" s="88"/>
      <c r="P1097" s="88"/>
      <c r="Q1097" s="88"/>
      <c r="R1097" s="78">
        <f>MAX(S1097:W1097)</f>
        <v>0</v>
      </c>
      <c r="S1097" s="88"/>
      <c r="T1097" s="88"/>
      <c r="U1097" s="88"/>
      <c r="V1097" s="88"/>
      <c r="W1097" s="88"/>
    </row>
    <row r="1098" spans="2:23" s="0" customFormat="0" ht="15">
      <c r="B1098" s="87" t="s">
        <v>1</v>
      </c>
      <c r="C1098" s="88" t="s">
        <v>5259</v>
      </c>
      <c r="D1098" s="88" t="s">
        <v>957</v>
      </c>
      <c r="E1098" s="88" t="s">
        <v>61</v>
      </c>
      <c r="F1098" s="88">
        <v>0</v>
      </c>
      <c r="G1098" s="78">
        <f>MAX(H1098,I1098,J1098)</f>
        <v>1</v>
      </c>
      <c r="H1098" s="88"/>
      <c r="I1098" s="88"/>
      <c r="J1098" s="78">
        <f>MAX(K1098:Q1098)</f>
        <v>1</v>
      </c>
      <c r="K1098" s="88">
        <v>1</v>
      </c>
      <c r="L1098" s="88"/>
      <c r="M1098" s="88"/>
      <c r="N1098" s="88"/>
      <c r="O1098" s="88"/>
      <c r="P1098" s="88"/>
      <c r="Q1098" s="88"/>
      <c r="R1098" s="78">
        <f>MAX(S1098:W1098)</f>
        <v>0</v>
      </c>
      <c r="S1098" s="88"/>
      <c r="T1098" s="88"/>
      <c r="U1098" s="88"/>
      <c r="V1098" s="88"/>
      <c r="W1098" s="88"/>
    </row>
    <row r="1099" spans="2:23" s="0" customFormat="0" ht="15">
      <c r="B1099" s="87" t="s">
        <v>1</v>
      </c>
      <c r="C1099" s="88" t="s">
        <v>5259</v>
      </c>
      <c r="D1099" s="88">
        <v>19567738</v>
      </c>
      <c r="E1099" s="88" t="s">
        <v>61</v>
      </c>
      <c r="F1099" s="88">
        <v>0</v>
      </c>
      <c r="G1099" s="78">
        <f>MAX(H1099,I1099,J1099)</f>
        <v>1</v>
      </c>
      <c r="H1099" s="88"/>
      <c r="I1099" s="88"/>
      <c r="J1099" s="78">
        <f>MAX(K1099:Q1099)</f>
        <v>1</v>
      </c>
      <c r="K1099" s="88">
        <v>1</v>
      </c>
      <c r="L1099" s="88"/>
      <c r="M1099" s="88"/>
      <c r="N1099" s="88"/>
      <c r="O1099" s="88"/>
      <c r="P1099" s="88"/>
      <c r="Q1099" s="88"/>
      <c r="R1099" s="78">
        <f>MAX(S1099:W1099)</f>
        <v>0</v>
      </c>
      <c r="S1099" s="88"/>
      <c r="T1099" s="88"/>
      <c r="U1099" s="88"/>
      <c r="V1099" s="88"/>
      <c r="W1099" s="88"/>
    </row>
    <row r="1100" spans="2:23" s="0" customFormat="0" ht="15">
      <c r="B1100" s="87" t="s">
        <v>1</v>
      </c>
      <c r="C1100" s="88" t="s">
        <v>5259</v>
      </c>
      <c r="D1100" s="88">
        <v>8340264</v>
      </c>
      <c r="E1100" s="88" t="s">
        <v>61</v>
      </c>
      <c r="F1100" s="88">
        <v>0</v>
      </c>
      <c r="G1100" s="78">
        <f>MAX(H1100,I1100,J1100)</f>
        <v>1</v>
      </c>
      <c r="H1100" s="88"/>
      <c r="I1100" s="88"/>
      <c r="J1100" s="78">
        <f>MAX(K1100:Q1100)</f>
        <v>1</v>
      </c>
      <c r="K1100" s="88">
        <v>1</v>
      </c>
      <c r="L1100" s="88"/>
      <c r="M1100" s="88"/>
      <c r="N1100" s="88"/>
      <c r="O1100" s="88"/>
      <c r="P1100" s="88"/>
      <c r="Q1100" s="88"/>
      <c r="R1100" s="78">
        <f>MAX(S1100:W1100)</f>
        <v>0</v>
      </c>
      <c r="S1100" s="88"/>
      <c r="T1100" s="88"/>
      <c r="U1100" s="88"/>
      <c r="V1100" s="88"/>
      <c r="W1100" s="88"/>
    </row>
    <row r="1101" spans="2:23" s="0" customFormat="0" ht="15">
      <c r="B1101" s="87" t="s">
        <v>1</v>
      </c>
      <c r="C1101" s="88" t="s">
        <v>5259</v>
      </c>
      <c r="D1101" s="88" t="s">
        <v>555</v>
      </c>
      <c r="E1101" s="88" t="s">
        <v>61</v>
      </c>
      <c r="F1101" s="88">
        <v>0</v>
      </c>
      <c r="G1101" s="78">
        <f>MAX(H1101,I1101,J1101)</f>
        <v>1</v>
      </c>
      <c r="H1101" s="88"/>
      <c r="I1101" s="88"/>
      <c r="J1101" s="78">
        <f>MAX(K1101:Q1101)</f>
        <v>1</v>
      </c>
      <c r="K1101" s="88">
        <v>1</v>
      </c>
      <c r="L1101" s="88"/>
      <c r="M1101" s="88"/>
      <c r="N1101" s="88"/>
      <c r="O1101" s="88"/>
      <c r="P1101" s="88"/>
      <c r="Q1101" s="88"/>
      <c r="R1101" s="78">
        <f>MAX(S1101:W1101)</f>
        <v>0</v>
      </c>
      <c r="S1101" s="88"/>
      <c r="T1101" s="88"/>
      <c r="U1101" s="88"/>
      <c r="V1101" s="88"/>
      <c r="W1101" s="88"/>
    </row>
    <row r="1102" spans="2:23" s="0" customFormat="0" ht="15">
      <c r="B1102" s="87" t="s">
        <v>1</v>
      </c>
      <c r="C1102" s="88" t="s">
        <v>5259</v>
      </c>
      <c r="D1102" s="88">
        <v>16992081</v>
      </c>
      <c r="E1102" s="88" t="s">
        <v>61</v>
      </c>
      <c r="F1102" s="88">
        <v>0</v>
      </c>
      <c r="G1102" s="78">
        <f>MAX(H1102,I1102,J1102)</f>
        <v>1</v>
      </c>
      <c r="H1102" s="88"/>
      <c r="I1102" s="88"/>
      <c r="J1102" s="78">
        <f>MAX(K1102:Q1102)</f>
        <v>1</v>
      </c>
      <c r="K1102" s="88">
        <v>1</v>
      </c>
      <c r="L1102" s="88"/>
      <c r="M1102" s="88"/>
      <c r="N1102" s="88"/>
      <c r="O1102" s="88"/>
      <c r="P1102" s="88"/>
      <c r="Q1102" s="88"/>
      <c r="R1102" s="78">
        <f>MAX(S1102:W1102)</f>
        <v>0</v>
      </c>
      <c r="S1102" s="88"/>
      <c r="T1102" s="88"/>
      <c r="U1102" s="88"/>
      <c r="V1102" s="88"/>
      <c r="W1102" s="88"/>
    </row>
    <row r="1103" spans="2:23" s="0" customFormat="0" ht="15">
      <c r="B1103" s="87" t="s">
        <v>1</v>
      </c>
      <c r="C1103" s="88" t="s">
        <v>5259</v>
      </c>
      <c r="D1103" s="88">
        <v>12295257</v>
      </c>
      <c r="E1103" s="88" t="s">
        <v>61</v>
      </c>
      <c r="F1103" s="88">
        <v>0</v>
      </c>
      <c r="G1103" s="78">
        <f>MAX(H1103,I1103,J1103)</f>
        <v>1</v>
      </c>
      <c r="H1103" s="88"/>
      <c r="I1103" s="88"/>
      <c r="J1103" s="78">
        <f>MAX(K1103:Q1103)</f>
        <v>1</v>
      </c>
      <c r="K1103" s="88">
        <v>1</v>
      </c>
      <c r="L1103" s="88"/>
      <c r="M1103" s="88"/>
      <c r="N1103" s="88"/>
      <c r="O1103" s="88"/>
      <c r="P1103" s="88"/>
      <c r="Q1103" s="88"/>
      <c r="R1103" s="78">
        <f>MAX(S1103:W1103)</f>
        <v>0</v>
      </c>
      <c r="S1103" s="88"/>
      <c r="T1103" s="88"/>
      <c r="U1103" s="88"/>
      <c r="V1103" s="88"/>
      <c r="W1103" s="88"/>
    </row>
    <row r="1104" spans="2:23" s="0" customFormat="0" ht="15">
      <c r="B1104" s="87" t="s">
        <v>1</v>
      </c>
      <c r="C1104" s="88" t="s">
        <v>5259</v>
      </c>
      <c r="D1104" s="88">
        <v>21801477</v>
      </c>
      <c r="E1104" s="88" t="s">
        <v>61</v>
      </c>
      <c r="F1104" s="88">
        <v>0</v>
      </c>
      <c r="G1104" s="78">
        <f>MAX(H1104,I1104,J1104)</f>
        <v>1</v>
      </c>
      <c r="H1104" s="88"/>
      <c r="I1104" s="88"/>
      <c r="J1104" s="78">
        <f>MAX(K1104:Q1104)</f>
        <v>1</v>
      </c>
      <c r="K1104" s="88">
        <v>1</v>
      </c>
      <c r="L1104" s="88"/>
      <c r="M1104" s="88"/>
      <c r="N1104" s="88"/>
      <c r="O1104" s="88"/>
      <c r="P1104" s="88"/>
      <c r="Q1104" s="88"/>
      <c r="R1104" s="78">
        <f>MAX(S1104:W1104)</f>
        <v>0</v>
      </c>
      <c r="S1104" s="88"/>
      <c r="T1104" s="88"/>
      <c r="U1104" s="88"/>
      <c r="V1104" s="88"/>
      <c r="W1104" s="88"/>
    </row>
    <row r="1105" spans="2:23" s="0" customFormat="0" ht="15">
      <c r="B1105" s="87" t="s">
        <v>1</v>
      </c>
      <c r="C1105" s="88" t="s">
        <v>5259</v>
      </c>
      <c r="D1105" s="88">
        <v>13700564</v>
      </c>
      <c r="E1105" s="88" t="s">
        <v>61</v>
      </c>
      <c r="F1105" s="88">
        <v>0</v>
      </c>
      <c r="G1105" s="78">
        <f>MAX(H1105,I1105,J1105)</f>
        <v>1</v>
      </c>
      <c r="H1105" s="88"/>
      <c r="I1105" s="88"/>
      <c r="J1105" s="78">
        <f>MAX(K1105:Q1105)</f>
        <v>1</v>
      </c>
      <c r="K1105" s="88">
        <v>1</v>
      </c>
      <c r="L1105" s="88"/>
      <c r="M1105" s="88"/>
      <c r="N1105" s="88"/>
      <c r="O1105" s="88"/>
      <c r="P1105" s="88"/>
      <c r="Q1105" s="88"/>
      <c r="R1105" s="78">
        <f>MAX(S1105:W1105)</f>
        <v>0</v>
      </c>
      <c r="S1105" s="88"/>
      <c r="T1105" s="88"/>
      <c r="U1105" s="88"/>
      <c r="V1105" s="88"/>
      <c r="W1105" s="88"/>
    </row>
    <row r="1106" spans="2:23" s="0" customFormat="0" ht="15">
      <c r="B1106" s="87" t="s">
        <v>1</v>
      </c>
      <c r="C1106" s="88" t="s">
        <v>5259</v>
      </c>
      <c r="D1106" s="88" t="s">
        <v>3850</v>
      </c>
      <c r="E1106" s="88" t="s">
        <v>61</v>
      </c>
      <c r="F1106" s="88">
        <v>0</v>
      </c>
      <c r="G1106" s="78">
        <f>MAX(H1106,I1106,J1106)</f>
        <v>0</v>
      </c>
      <c r="H1106" s="88"/>
      <c r="I1106" s="88"/>
      <c r="J1106" s="78">
        <f>MAX(K1106:Q1106)</f>
        <v>0</v>
      </c>
      <c r="K1106" s="88"/>
      <c r="L1106" s="88"/>
      <c r="M1106" s="88"/>
      <c r="N1106" s="88"/>
      <c r="O1106" s="88"/>
      <c r="P1106" s="88"/>
      <c r="Q1106" s="88"/>
      <c r="R1106" s="78">
        <f>MAX(S1106:W1106)</f>
        <v>1</v>
      </c>
      <c r="S1106" s="88"/>
      <c r="T1106" s="88"/>
      <c r="U1106" s="88">
        <v>1</v>
      </c>
      <c r="V1106" s="88"/>
      <c r="W1106" s="88"/>
    </row>
    <row r="1107" spans="2:23" s="0" customFormat="0" ht="15">
      <c r="B1107" s="87" t="s">
        <v>1</v>
      </c>
      <c r="C1107" s="88" t="s">
        <v>5259</v>
      </c>
      <c r="D1107" s="88">
        <v>4104355</v>
      </c>
      <c r="E1107" s="88" t="s">
        <v>61</v>
      </c>
      <c r="F1107" s="88">
        <v>0</v>
      </c>
      <c r="G1107" s="78">
        <f>MAX(H1107,I1107,J1107)</f>
        <v>1</v>
      </c>
      <c r="H1107" s="88"/>
      <c r="I1107" s="88"/>
      <c r="J1107" s="78">
        <f>MAX(K1107:Q1107)</f>
        <v>1</v>
      </c>
      <c r="K1107" s="88">
        <v>1</v>
      </c>
      <c r="L1107" s="88"/>
      <c r="M1107" s="88"/>
      <c r="N1107" s="88"/>
      <c r="O1107" s="88"/>
      <c r="P1107" s="88"/>
      <c r="Q1107" s="88"/>
      <c r="R1107" s="78">
        <f>MAX(S1107:W1107)</f>
        <v>0</v>
      </c>
      <c r="S1107" s="88"/>
      <c r="T1107" s="88"/>
      <c r="U1107" s="88"/>
      <c r="V1107" s="88"/>
      <c r="W1107" s="88"/>
    </row>
    <row r="1108" spans="2:23" s="0" customFormat="0" ht="15">
      <c r="B1108" s="87" t="s">
        <v>1</v>
      </c>
      <c r="C1108" s="88" t="s">
        <v>5259</v>
      </c>
      <c r="D1108" s="88" t="s">
        <v>3852</v>
      </c>
      <c r="E1108" s="88" t="s">
        <v>61</v>
      </c>
      <c r="F1108" s="88">
        <v>0</v>
      </c>
      <c r="G1108" s="78">
        <f>MAX(H1108,I1108,J1108)</f>
        <v>0</v>
      </c>
      <c r="H1108" s="88"/>
      <c r="I1108" s="88"/>
      <c r="J1108" s="78">
        <f>MAX(K1108:Q1108)</f>
        <v>0</v>
      </c>
      <c r="K1108" s="88"/>
      <c r="L1108" s="88"/>
      <c r="M1108" s="88"/>
      <c r="N1108" s="88"/>
      <c r="O1108" s="88"/>
      <c r="P1108" s="88"/>
      <c r="Q1108" s="88"/>
      <c r="R1108" s="78">
        <f>MAX(S1108:W1108)</f>
        <v>1</v>
      </c>
      <c r="S1108" s="88"/>
      <c r="T1108" s="88"/>
      <c r="U1108" s="88">
        <v>1</v>
      </c>
      <c r="V1108" s="88"/>
      <c r="W1108" s="88"/>
    </row>
    <row r="1109" spans="2:23" s="0" customFormat="0" ht="15">
      <c r="B1109" s="87" t="s">
        <v>1</v>
      </c>
      <c r="C1109" s="88" t="s">
        <v>5259</v>
      </c>
      <c r="D1109" s="88">
        <v>11519512</v>
      </c>
      <c r="E1109" s="88" t="s">
        <v>61</v>
      </c>
      <c r="F1109" s="88">
        <v>0</v>
      </c>
      <c r="G1109" s="78">
        <f>MAX(H1109,I1109,J1109)</f>
        <v>1</v>
      </c>
      <c r="H1109" s="88"/>
      <c r="I1109" s="88"/>
      <c r="J1109" s="78">
        <f>MAX(K1109:Q1109)</f>
        <v>1</v>
      </c>
      <c r="K1109" s="88">
        <v>1</v>
      </c>
      <c r="L1109" s="88"/>
      <c r="M1109" s="88"/>
      <c r="N1109" s="88"/>
      <c r="O1109" s="88"/>
      <c r="P1109" s="88"/>
      <c r="Q1109" s="88"/>
      <c r="R1109" s="78">
        <f>MAX(S1109:W1109)</f>
        <v>0</v>
      </c>
      <c r="S1109" s="88"/>
      <c r="T1109" s="88"/>
      <c r="U1109" s="88"/>
      <c r="V1109" s="88"/>
      <c r="W1109" s="88"/>
    </row>
    <row r="1110" spans="2:23" s="0" customFormat="0" ht="15">
      <c r="B1110" s="87" t="s">
        <v>1</v>
      </c>
      <c r="C1110" s="88" t="s">
        <v>5259</v>
      </c>
      <c r="D1110" s="88">
        <v>4601775</v>
      </c>
      <c r="E1110" s="88" t="s">
        <v>61</v>
      </c>
      <c r="F1110" s="88">
        <v>0</v>
      </c>
      <c r="G1110" s="78">
        <f>MAX(H1110,I1110,J1110)</f>
        <v>1</v>
      </c>
      <c r="H1110" s="88"/>
      <c r="I1110" s="88"/>
      <c r="J1110" s="78">
        <f>MAX(K1110:Q1110)</f>
        <v>1</v>
      </c>
      <c r="K1110" s="88">
        <v>1</v>
      </c>
      <c r="L1110" s="88"/>
      <c r="M1110" s="88"/>
      <c r="N1110" s="88"/>
      <c r="O1110" s="88"/>
      <c r="P1110" s="88"/>
      <c r="Q1110" s="88"/>
      <c r="R1110" s="78">
        <f>MAX(S1110:W1110)</f>
        <v>0</v>
      </c>
      <c r="S1110" s="88"/>
      <c r="T1110" s="88"/>
      <c r="U1110" s="88"/>
      <c r="V1110" s="88"/>
      <c r="W1110" s="88"/>
    </row>
    <row r="1111" spans="2:23" s="0" customFormat="0" ht="15">
      <c r="B1111" s="87" t="s">
        <v>1</v>
      </c>
      <c r="C1111" s="88" t="s">
        <v>5259</v>
      </c>
      <c r="D1111" s="88">
        <v>9542984</v>
      </c>
      <c r="E1111" s="88" t="s">
        <v>61</v>
      </c>
      <c r="F1111" s="88">
        <v>0</v>
      </c>
      <c r="G1111" s="78">
        <f>MAX(H1111,I1111,J1111)</f>
        <v>1</v>
      </c>
      <c r="H1111" s="88"/>
      <c r="I1111" s="88"/>
      <c r="J1111" s="78">
        <f>MAX(K1111:Q1111)</f>
        <v>1</v>
      </c>
      <c r="K1111" s="88">
        <v>1</v>
      </c>
      <c r="L1111" s="88"/>
      <c r="M1111" s="88"/>
      <c r="N1111" s="88"/>
      <c r="O1111" s="88"/>
      <c r="P1111" s="88"/>
      <c r="Q1111" s="88"/>
      <c r="R1111" s="78">
        <f>MAX(S1111:W1111)</f>
        <v>0</v>
      </c>
      <c r="S1111" s="88"/>
      <c r="T1111" s="88"/>
      <c r="U1111" s="88"/>
      <c r="V1111" s="88"/>
      <c r="W1111" s="88"/>
    </row>
    <row r="1112" spans="2:23" s="0" customFormat="0" ht="15">
      <c r="B1112" s="87" t="s">
        <v>1</v>
      </c>
      <c r="C1112" s="88" t="s">
        <v>5259</v>
      </c>
      <c r="D1112" s="88" t="s">
        <v>969</v>
      </c>
      <c r="E1112" s="88" t="s">
        <v>61</v>
      </c>
      <c r="F1112" s="88">
        <v>0</v>
      </c>
      <c r="G1112" s="78">
        <f>MAX(H1112,I1112,J1112)</f>
        <v>1</v>
      </c>
      <c r="H1112" s="88"/>
      <c r="I1112" s="88"/>
      <c r="J1112" s="78">
        <f>MAX(K1112:Q1112)</f>
        <v>1</v>
      </c>
      <c r="K1112" s="88">
        <v>1</v>
      </c>
      <c r="L1112" s="88"/>
      <c r="M1112" s="88"/>
      <c r="N1112" s="88"/>
      <c r="O1112" s="88"/>
      <c r="P1112" s="88"/>
      <c r="Q1112" s="88"/>
      <c r="R1112" s="78">
        <f>MAX(S1112:W1112)</f>
        <v>0</v>
      </c>
      <c r="S1112" s="88"/>
      <c r="T1112" s="88"/>
      <c r="U1112" s="88"/>
      <c r="V1112" s="88"/>
      <c r="W1112" s="88"/>
    </row>
    <row r="1113" spans="2:23" s="0" customFormat="0" ht="15">
      <c r="B1113" s="87" t="s">
        <v>1</v>
      </c>
      <c r="C1113" s="88" t="s">
        <v>5259</v>
      </c>
      <c r="D1113" s="88">
        <v>24779556</v>
      </c>
      <c r="E1113" s="88" t="s">
        <v>61</v>
      </c>
      <c r="F1113" s="88">
        <v>0</v>
      </c>
      <c r="G1113" s="78">
        <f>MAX(H1113,I1113,J1113)</f>
        <v>1</v>
      </c>
      <c r="H1113" s="88"/>
      <c r="I1113" s="88"/>
      <c r="J1113" s="78">
        <f>MAX(K1113:Q1113)</f>
        <v>1</v>
      </c>
      <c r="K1113" s="88">
        <v>1</v>
      </c>
      <c r="L1113" s="88"/>
      <c r="M1113" s="88"/>
      <c r="N1113" s="88"/>
      <c r="O1113" s="88"/>
      <c r="P1113" s="88"/>
      <c r="Q1113" s="88"/>
      <c r="R1113" s="78">
        <f>MAX(S1113:W1113)</f>
        <v>0</v>
      </c>
      <c r="S1113" s="88"/>
      <c r="T1113" s="88"/>
      <c r="U1113" s="88"/>
      <c r="V1113" s="88"/>
      <c r="W1113" s="88"/>
    </row>
    <row r="1114" spans="2:23" s="0" customFormat="0" ht="15">
      <c r="B1114" s="87" t="s">
        <v>1</v>
      </c>
      <c r="C1114" s="88" t="s">
        <v>5259</v>
      </c>
      <c r="D1114" s="88">
        <v>18423591</v>
      </c>
      <c r="E1114" s="88" t="s">
        <v>61</v>
      </c>
      <c r="F1114" s="88">
        <v>0</v>
      </c>
      <c r="G1114" s="78">
        <f>MAX(H1114,I1114,J1114)</f>
        <v>0</v>
      </c>
      <c r="H1114" s="88"/>
      <c r="I1114" s="88"/>
      <c r="J1114" s="78">
        <f>MAX(K1114:Q1114)</f>
        <v>0</v>
      </c>
      <c r="K1114" s="88"/>
      <c r="L1114" s="88"/>
      <c r="M1114" s="88"/>
      <c r="N1114" s="88"/>
      <c r="O1114" s="88"/>
      <c r="P1114" s="88"/>
      <c r="Q1114" s="88"/>
      <c r="R1114" s="78">
        <f>MAX(S1114:W1114)</f>
        <v>1</v>
      </c>
      <c r="S1114" s="88"/>
      <c r="T1114" s="88"/>
      <c r="U1114" s="88">
        <v>1</v>
      </c>
      <c r="V1114" s="88"/>
      <c r="W1114" s="88"/>
    </row>
    <row r="1115" spans="2:23" s="0" customFormat="0" ht="15">
      <c r="B1115" s="87" t="s">
        <v>1</v>
      </c>
      <c r="C1115" s="88" t="s">
        <v>5259</v>
      </c>
      <c r="D1115" s="88" t="s">
        <v>972</v>
      </c>
      <c r="E1115" s="88" t="s">
        <v>61</v>
      </c>
      <c r="F1115" s="88">
        <v>0</v>
      </c>
      <c r="G1115" s="78">
        <f>MAX(H1115,I1115,J1115)</f>
        <v>1</v>
      </c>
      <c r="H1115" s="88"/>
      <c r="I1115" s="88"/>
      <c r="J1115" s="78">
        <f>MAX(K1115:Q1115)</f>
        <v>1</v>
      </c>
      <c r="K1115" s="88">
        <v>1</v>
      </c>
      <c r="L1115" s="88"/>
      <c r="M1115" s="88"/>
      <c r="N1115" s="88"/>
      <c r="O1115" s="88"/>
      <c r="P1115" s="88"/>
      <c r="Q1115" s="88"/>
      <c r="R1115" s="78">
        <f>MAX(S1115:W1115)</f>
        <v>0</v>
      </c>
      <c r="S1115" s="88"/>
      <c r="T1115" s="88"/>
      <c r="U1115" s="88"/>
      <c r="V1115" s="88"/>
      <c r="W1115" s="88"/>
    </row>
    <row r="1116" spans="2:23" s="0" customFormat="0" ht="15">
      <c r="B1116" s="87" t="s">
        <v>1</v>
      </c>
      <c r="C1116" s="88" t="s">
        <v>5259</v>
      </c>
      <c r="D1116" s="88" t="s">
        <v>3855</v>
      </c>
      <c r="E1116" s="88" t="s">
        <v>61</v>
      </c>
      <c r="F1116" s="88">
        <v>0</v>
      </c>
      <c r="G1116" s="78">
        <f>MAX(H1116,I1116,J1116)</f>
        <v>0</v>
      </c>
      <c r="H1116" s="88"/>
      <c r="I1116" s="88"/>
      <c r="J1116" s="78">
        <f>MAX(K1116:Q1116)</f>
        <v>0</v>
      </c>
      <c r="K1116" s="88"/>
      <c r="L1116" s="88"/>
      <c r="M1116" s="88"/>
      <c r="N1116" s="88"/>
      <c r="O1116" s="88"/>
      <c r="P1116" s="88"/>
      <c r="Q1116" s="88"/>
      <c r="R1116" s="78">
        <f>MAX(S1116:W1116)</f>
        <v>1</v>
      </c>
      <c r="S1116" s="88"/>
      <c r="T1116" s="88"/>
      <c r="U1116" s="88">
        <v>1</v>
      </c>
      <c r="V1116" s="88"/>
      <c r="W1116" s="88"/>
    </row>
    <row r="1117" spans="2:23" s="0" customFormat="0" ht="15">
      <c r="B1117" s="87" t="s">
        <v>1</v>
      </c>
      <c r="C1117" s="88" t="s">
        <v>5259</v>
      </c>
      <c r="D1117" s="88" t="s">
        <v>3857</v>
      </c>
      <c r="E1117" s="88" t="s">
        <v>61</v>
      </c>
      <c r="F1117" s="88">
        <v>0</v>
      </c>
      <c r="G1117" s="78">
        <f>MAX(H1117,I1117,J1117)</f>
        <v>0</v>
      </c>
      <c r="H1117" s="88"/>
      <c r="I1117" s="88"/>
      <c r="J1117" s="78">
        <f>MAX(K1117:Q1117)</f>
        <v>0</v>
      </c>
      <c r="K1117" s="88"/>
      <c r="L1117" s="88"/>
      <c r="M1117" s="88"/>
      <c r="N1117" s="88"/>
      <c r="O1117" s="88"/>
      <c r="P1117" s="88"/>
      <c r="Q1117" s="88"/>
      <c r="R1117" s="78">
        <f>MAX(S1117:W1117)</f>
        <v>1</v>
      </c>
      <c r="S1117" s="88"/>
      <c r="T1117" s="88"/>
      <c r="U1117" s="88">
        <v>1</v>
      </c>
      <c r="V1117" s="88"/>
      <c r="W1117" s="88"/>
    </row>
    <row r="1118" spans="2:23" s="0" customFormat="0" ht="15">
      <c r="B1118" s="87" t="s">
        <v>1</v>
      </c>
      <c r="C1118" s="88" t="s">
        <v>5259</v>
      </c>
      <c r="D1118" s="88" t="s">
        <v>705</v>
      </c>
      <c r="E1118" s="88" t="s">
        <v>61</v>
      </c>
      <c r="F1118" s="88">
        <v>0</v>
      </c>
      <c r="G1118" s="78">
        <f>MAX(H1118,I1118,J1118)</f>
        <v>1</v>
      </c>
      <c r="H1118" s="88"/>
      <c r="I1118" s="88"/>
      <c r="J1118" s="78">
        <f>MAX(K1118:Q1118)</f>
        <v>1</v>
      </c>
      <c r="K1118" s="88">
        <v>1</v>
      </c>
      <c r="L1118" s="88"/>
      <c r="M1118" s="88"/>
      <c r="N1118" s="88"/>
      <c r="O1118" s="88"/>
      <c r="P1118" s="88"/>
      <c r="Q1118" s="88"/>
      <c r="R1118" s="78">
        <f>MAX(S1118:W1118)</f>
        <v>0</v>
      </c>
      <c r="S1118" s="88"/>
      <c r="T1118" s="88"/>
      <c r="U1118" s="88"/>
      <c r="V1118" s="88"/>
      <c r="W1118" s="88"/>
    </row>
    <row r="1119" spans="2:23" s="0" customFormat="0" ht="15">
      <c r="B1119" s="87" t="s">
        <v>1</v>
      </c>
      <c r="C1119" s="88" t="s">
        <v>5259</v>
      </c>
      <c r="D1119" s="88">
        <v>13098149</v>
      </c>
      <c r="E1119" s="88" t="s">
        <v>61</v>
      </c>
      <c r="F1119" s="88">
        <v>0</v>
      </c>
      <c r="G1119" s="78">
        <f>MAX(H1119,I1119,J1119)</f>
        <v>1</v>
      </c>
      <c r="H1119" s="88"/>
      <c r="I1119" s="88"/>
      <c r="J1119" s="78">
        <f>MAX(K1119:Q1119)</f>
        <v>1</v>
      </c>
      <c r="K1119" s="88">
        <v>1</v>
      </c>
      <c r="L1119" s="88"/>
      <c r="M1119" s="88"/>
      <c r="N1119" s="88"/>
      <c r="O1119" s="88"/>
      <c r="P1119" s="88"/>
      <c r="Q1119" s="88"/>
      <c r="R1119" s="78">
        <f>MAX(S1119:W1119)</f>
        <v>0</v>
      </c>
      <c r="S1119" s="88"/>
      <c r="T1119" s="88"/>
      <c r="U1119" s="88"/>
      <c r="V1119" s="88"/>
      <c r="W1119" s="88"/>
    </row>
    <row r="1120" spans="2:23" s="0" customFormat="0" ht="15">
      <c r="B1120" s="87" t="s">
        <v>1</v>
      </c>
      <c r="C1120" s="88" t="s">
        <v>5259</v>
      </c>
      <c r="D1120" s="88">
        <v>18702634</v>
      </c>
      <c r="E1120" s="88" t="s">
        <v>61</v>
      </c>
      <c r="F1120" s="88">
        <v>0</v>
      </c>
      <c r="G1120" s="78">
        <f>MAX(H1120,I1120,J1120)</f>
        <v>1</v>
      </c>
      <c r="H1120" s="88"/>
      <c r="I1120" s="88"/>
      <c r="J1120" s="78">
        <f>MAX(K1120:Q1120)</f>
        <v>1</v>
      </c>
      <c r="K1120" s="88">
        <v>1</v>
      </c>
      <c r="L1120" s="88"/>
      <c r="M1120" s="88"/>
      <c r="N1120" s="88"/>
      <c r="O1120" s="88"/>
      <c r="P1120" s="88"/>
      <c r="Q1120" s="88"/>
      <c r="R1120" s="78">
        <f>MAX(S1120:W1120)</f>
        <v>0</v>
      </c>
      <c r="S1120" s="88"/>
      <c r="T1120" s="88"/>
      <c r="U1120" s="88"/>
      <c r="V1120" s="88"/>
      <c r="W1120" s="88"/>
    </row>
    <row r="1121" spans="2:23" s="0" customFormat="0" ht="15">
      <c r="B1121" s="87" t="s">
        <v>1</v>
      </c>
      <c r="C1121" s="88" t="s">
        <v>5259</v>
      </c>
      <c r="D1121" s="88" t="s">
        <v>3859</v>
      </c>
      <c r="E1121" s="88" t="s">
        <v>61</v>
      </c>
      <c r="F1121" s="88">
        <v>0</v>
      </c>
      <c r="G1121" s="78">
        <f>MAX(H1121,I1121,J1121)</f>
        <v>0</v>
      </c>
      <c r="H1121" s="88"/>
      <c r="I1121" s="88"/>
      <c r="J1121" s="78">
        <f>MAX(K1121:Q1121)</f>
        <v>0</v>
      </c>
      <c r="K1121" s="88"/>
      <c r="L1121" s="88"/>
      <c r="M1121" s="88"/>
      <c r="N1121" s="88"/>
      <c r="O1121" s="88"/>
      <c r="P1121" s="88"/>
      <c r="Q1121" s="88"/>
      <c r="R1121" s="78">
        <f>MAX(S1121:W1121)</f>
        <v>1</v>
      </c>
      <c r="S1121" s="88"/>
      <c r="T1121" s="88"/>
      <c r="U1121" s="88">
        <v>1</v>
      </c>
      <c r="V1121" s="88"/>
      <c r="W1121" s="88"/>
    </row>
    <row r="1122" spans="2:23" s="0" customFormat="0" ht="15">
      <c r="B1122" s="87" t="s">
        <v>1</v>
      </c>
      <c r="C1122" s="88" t="s">
        <v>5259</v>
      </c>
      <c r="D1122" s="88">
        <v>17798236</v>
      </c>
      <c r="E1122" s="88" t="s">
        <v>61</v>
      </c>
      <c r="F1122" s="88">
        <v>0</v>
      </c>
      <c r="G1122" s="78">
        <f>MAX(H1122,I1122,J1122)</f>
        <v>1</v>
      </c>
      <c r="H1122" s="88"/>
      <c r="I1122" s="88"/>
      <c r="J1122" s="78">
        <f>MAX(K1122:Q1122)</f>
        <v>1</v>
      </c>
      <c r="K1122" s="88">
        <v>1</v>
      </c>
      <c r="L1122" s="88"/>
      <c r="M1122" s="88"/>
      <c r="N1122" s="88"/>
      <c r="O1122" s="88"/>
      <c r="P1122" s="88"/>
      <c r="Q1122" s="88"/>
      <c r="R1122" s="78">
        <f>MAX(S1122:W1122)</f>
        <v>0</v>
      </c>
      <c r="S1122" s="88"/>
      <c r="T1122" s="88"/>
      <c r="U1122" s="88"/>
      <c r="V1122" s="88"/>
      <c r="W1122" s="88"/>
    </row>
    <row r="1123" spans="2:23" s="0" customFormat="0" ht="15">
      <c r="B1123" s="87" t="s">
        <v>1</v>
      </c>
      <c r="C1123" s="88" t="s">
        <v>5259</v>
      </c>
      <c r="D1123" s="88">
        <v>8779478</v>
      </c>
      <c r="E1123" s="88" t="s">
        <v>61</v>
      </c>
      <c r="F1123" s="88">
        <v>0</v>
      </c>
      <c r="G1123" s="78">
        <f>MAX(H1123,I1123,J1123)</f>
        <v>1</v>
      </c>
      <c r="H1123" s="88"/>
      <c r="I1123" s="88"/>
      <c r="J1123" s="78">
        <f>MAX(K1123:Q1123)</f>
        <v>1</v>
      </c>
      <c r="K1123" s="88">
        <v>1</v>
      </c>
      <c r="L1123" s="88"/>
      <c r="M1123" s="88"/>
      <c r="N1123" s="88"/>
      <c r="O1123" s="88"/>
      <c r="P1123" s="88"/>
      <c r="Q1123" s="88"/>
      <c r="R1123" s="78">
        <f>MAX(S1123:W1123)</f>
        <v>0</v>
      </c>
      <c r="S1123" s="88"/>
      <c r="T1123" s="88"/>
      <c r="U1123" s="88"/>
      <c r="V1123" s="88"/>
      <c r="W1123" s="88"/>
    </row>
    <row r="1124" spans="2:23" s="0" customFormat="0" ht="15">
      <c r="B1124" s="87" t="s">
        <v>1</v>
      </c>
      <c r="C1124" s="88" t="s">
        <v>5259</v>
      </c>
      <c r="D1124" s="88">
        <v>16080796</v>
      </c>
      <c r="E1124" s="88" t="s">
        <v>61</v>
      </c>
      <c r="F1124" s="88">
        <v>0</v>
      </c>
      <c r="G1124" s="78">
        <f>MAX(H1124,I1124,J1124)</f>
        <v>1</v>
      </c>
      <c r="H1124" s="88"/>
      <c r="I1124" s="88"/>
      <c r="J1124" s="78">
        <f>MAX(K1124:Q1124)</f>
        <v>1</v>
      </c>
      <c r="K1124" s="88">
        <v>1</v>
      </c>
      <c r="L1124" s="88"/>
      <c r="M1124" s="88"/>
      <c r="N1124" s="88"/>
      <c r="O1124" s="88"/>
      <c r="P1124" s="88"/>
      <c r="Q1124" s="88"/>
      <c r="R1124" s="78">
        <f>MAX(S1124:W1124)</f>
        <v>0</v>
      </c>
      <c r="S1124" s="88"/>
      <c r="T1124" s="88"/>
      <c r="U1124" s="88"/>
      <c r="V1124" s="88"/>
      <c r="W1124" s="88"/>
    </row>
    <row r="1125" spans="2:23" s="0" customFormat="0" ht="15">
      <c r="B1125" s="87" t="s">
        <v>1</v>
      </c>
      <c r="C1125" s="88" t="s">
        <v>5259</v>
      </c>
      <c r="D1125" s="88" t="s">
        <v>3861</v>
      </c>
      <c r="E1125" s="88" t="s">
        <v>61</v>
      </c>
      <c r="F1125" s="88">
        <v>0</v>
      </c>
      <c r="G1125" s="78">
        <f>MAX(H1125,I1125,J1125)</f>
        <v>0</v>
      </c>
      <c r="H1125" s="88"/>
      <c r="I1125" s="88"/>
      <c r="J1125" s="78">
        <f>MAX(K1125:Q1125)</f>
        <v>0</v>
      </c>
      <c r="K1125" s="88"/>
      <c r="L1125" s="88"/>
      <c r="M1125" s="88"/>
      <c r="N1125" s="88"/>
      <c r="O1125" s="88"/>
      <c r="P1125" s="88"/>
      <c r="Q1125" s="88"/>
      <c r="R1125" s="78">
        <f>MAX(S1125:W1125)</f>
        <v>1</v>
      </c>
      <c r="S1125" s="88"/>
      <c r="T1125" s="88"/>
      <c r="U1125" s="88">
        <v>1</v>
      </c>
      <c r="V1125" s="88"/>
      <c r="W1125" s="88"/>
    </row>
    <row r="1126" spans="2:23" s="0" customFormat="0" ht="15">
      <c r="B1126" s="87" t="s">
        <v>1</v>
      </c>
      <c r="C1126" s="88" t="s">
        <v>5259</v>
      </c>
      <c r="D1126" s="88">
        <v>17884638</v>
      </c>
      <c r="E1126" s="88" t="s">
        <v>61</v>
      </c>
      <c r="F1126" s="88">
        <v>0</v>
      </c>
      <c r="G1126" s="78">
        <f>MAX(H1126,I1126,J1126)</f>
        <v>1</v>
      </c>
      <c r="H1126" s="88"/>
      <c r="I1126" s="88"/>
      <c r="J1126" s="78">
        <f>MAX(K1126:Q1126)</f>
        <v>1</v>
      </c>
      <c r="K1126" s="88">
        <v>1</v>
      </c>
      <c r="L1126" s="88"/>
      <c r="M1126" s="88"/>
      <c r="N1126" s="88"/>
      <c r="O1126" s="88"/>
      <c r="P1126" s="88"/>
      <c r="Q1126" s="88"/>
      <c r="R1126" s="78">
        <f>MAX(S1126:W1126)</f>
        <v>0</v>
      </c>
      <c r="S1126" s="88"/>
      <c r="T1126" s="88"/>
      <c r="U1126" s="88"/>
      <c r="V1126" s="88"/>
      <c r="W1126" s="88"/>
    </row>
    <row r="1127" spans="2:23" s="0" customFormat="0" ht="15">
      <c r="B1127" s="87" t="s">
        <v>1</v>
      </c>
      <c r="C1127" s="88" t="s">
        <v>5259</v>
      </c>
      <c r="D1127" s="88">
        <v>22008395</v>
      </c>
      <c r="E1127" s="88" t="s">
        <v>61</v>
      </c>
      <c r="F1127" s="88">
        <v>0</v>
      </c>
      <c r="G1127" s="78">
        <f>MAX(H1127,I1127,J1127)</f>
        <v>1</v>
      </c>
      <c r="H1127" s="88"/>
      <c r="I1127" s="88"/>
      <c r="J1127" s="78">
        <f>MAX(K1127:Q1127)</f>
        <v>1</v>
      </c>
      <c r="K1127" s="88">
        <v>1</v>
      </c>
      <c r="L1127" s="88"/>
      <c r="M1127" s="88"/>
      <c r="N1127" s="88"/>
      <c r="O1127" s="88"/>
      <c r="P1127" s="88"/>
      <c r="Q1127" s="88"/>
      <c r="R1127" s="78">
        <f>MAX(S1127:W1127)</f>
        <v>0</v>
      </c>
      <c r="S1127" s="88"/>
      <c r="T1127" s="88"/>
      <c r="U1127" s="88"/>
      <c r="V1127" s="88"/>
      <c r="W1127" s="88"/>
    </row>
    <row r="1128" spans="2:23" s="0" customFormat="0" ht="15">
      <c r="B1128" s="87" t="s">
        <v>1</v>
      </c>
      <c r="C1128" s="88" t="s">
        <v>5259</v>
      </c>
      <c r="D1128" s="88" t="s">
        <v>981</v>
      </c>
      <c r="E1128" s="88" t="s">
        <v>61</v>
      </c>
      <c r="F1128" s="88">
        <v>0</v>
      </c>
      <c r="G1128" s="78">
        <f>MAX(H1128,I1128,J1128)</f>
        <v>1</v>
      </c>
      <c r="H1128" s="88"/>
      <c r="I1128" s="88"/>
      <c r="J1128" s="78">
        <f>MAX(K1128:Q1128)</f>
        <v>1</v>
      </c>
      <c r="K1128" s="88">
        <v>1</v>
      </c>
      <c r="L1128" s="88"/>
      <c r="M1128" s="88"/>
      <c r="N1128" s="88"/>
      <c r="O1128" s="88"/>
      <c r="P1128" s="88"/>
      <c r="Q1128" s="88"/>
      <c r="R1128" s="78">
        <f>MAX(S1128:W1128)</f>
        <v>0</v>
      </c>
      <c r="S1128" s="88"/>
      <c r="T1128" s="88"/>
      <c r="U1128" s="88"/>
      <c r="V1128" s="88"/>
      <c r="W1128" s="88"/>
    </row>
    <row r="1129" spans="2:23" s="0" customFormat="0" ht="15">
      <c r="B1129" s="87" t="s">
        <v>1</v>
      </c>
      <c r="C1129" s="88" t="s">
        <v>5259</v>
      </c>
      <c r="D1129" s="88">
        <v>22554089</v>
      </c>
      <c r="E1129" s="88" t="s">
        <v>61</v>
      </c>
      <c r="F1129" s="88">
        <v>0</v>
      </c>
      <c r="G1129" s="78">
        <f>MAX(H1129,I1129,J1129)</f>
        <v>0</v>
      </c>
      <c r="H1129" s="88"/>
      <c r="I1129" s="88"/>
      <c r="J1129" s="78">
        <f>MAX(K1129:Q1129)</f>
        <v>0</v>
      </c>
      <c r="K1129" s="88"/>
      <c r="L1129" s="88"/>
      <c r="M1129" s="88"/>
      <c r="N1129" s="88"/>
      <c r="O1129" s="88"/>
      <c r="P1129" s="88"/>
      <c r="Q1129" s="88"/>
      <c r="R1129" s="78">
        <f>MAX(S1129:W1129)</f>
        <v>1</v>
      </c>
      <c r="S1129" s="88"/>
      <c r="T1129" s="88"/>
      <c r="U1129" s="88">
        <v>1</v>
      </c>
      <c r="V1129" s="88"/>
      <c r="W1129" s="88"/>
    </row>
    <row r="1130" spans="2:23" s="0" customFormat="0" ht="15">
      <c r="B1130" s="87" t="s">
        <v>1</v>
      </c>
      <c r="C1130" s="88" t="s">
        <v>5259</v>
      </c>
      <c r="D1130" s="88">
        <v>15646987</v>
      </c>
      <c r="E1130" s="88" t="s">
        <v>61</v>
      </c>
      <c r="F1130" s="88">
        <v>0</v>
      </c>
      <c r="G1130" s="78">
        <f>MAX(H1130,I1130,J1130)</f>
        <v>1</v>
      </c>
      <c r="H1130" s="88"/>
      <c r="I1130" s="88"/>
      <c r="J1130" s="78">
        <f>MAX(K1130:Q1130)</f>
        <v>1</v>
      </c>
      <c r="K1130" s="88">
        <v>1</v>
      </c>
      <c r="L1130" s="88"/>
      <c r="M1130" s="88"/>
      <c r="N1130" s="88"/>
      <c r="O1130" s="88"/>
      <c r="P1130" s="88"/>
      <c r="Q1130" s="88"/>
      <c r="R1130" s="78">
        <f>MAX(S1130:W1130)</f>
        <v>0</v>
      </c>
      <c r="S1130" s="88"/>
      <c r="T1130" s="88"/>
      <c r="U1130" s="88"/>
      <c r="V1130" s="88"/>
      <c r="W1130" s="88"/>
    </row>
    <row r="1131" spans="2:23" s="0" customFormat="0" ht="15">
      <c r="B1131" s="87" t="s">
        <v>1</v>
      </c>
      <c r="C1131" s="88" t="s">
        <v>5259</v>
      </c>
      <c r="D1131" s="88">
        <v>17745733</v>
      </c>
      <c r="E1131" s="88" t="s">
        <v>61</v>
      </c>
      <c r="F1131" s="88">
        <v>0</v>
      </c>
      <c r="G1131" s="78">
        <f>MAX(H1131,I1131,J1131)</f>
        <v>1</v>
      </c>
      <c r="H1131" s="88"/>
      <c r="I1131" s="88"/>
      <c r="J1131" s="78">
        <f>MAX(K1131:Q1131)</f>
        <v>1</v>
      </c>
      <c r="K1131" s="88">
        <v>1</v>
      </c>
      <c r="L1131" s="88"/>
      <c r="M1131" s="88"/>
      <c r="N1131" s="88"/>
      <c r="O1131" s="88"/>
      <c r="P1131" s="88"/>
      <c r="Q1131" s="88"/>
      <c r="R1131" s="78">
        <f>MAX(S1131:W1131)</f>
        <v>0</v>
      </c>
      <c r="S1131" s="88"/>
      <c r="T1131" s="88"/>
      <c r="U1131" s="88"/>
      <c r="V1131" s="88"/>
      <c r="W1131" s="88"/>
    </row>
    <row r="1132" spans="2:23" s="0" customFormat="0" ht="15">
      <c r="B1132" s="87" t="s">
        <v>1</v>
      </c>
      <c r="C1132" s="88" t="s">
        <v>5259</v>
      </c>
      <c r="D1132" s="88">
        <v>12606277</v>
      </c>
      <c r="E1132" s="88" t="s">
        <v>61</v>
      </c>
      <c r="F1132" s="88">
        <v>0</v>
      </c>
      <c r="G1132" s="78">
        <f>MAX(H1132,I1132,J1132)</f>
        <v>1</v>
      </c>
      <c r="H1132" s="88"/>
      <c r="I1132" s="88"/>
      <c r="J1132" s="78">
        <f>MAX(K1132:Q1132)</f>
        <v>1</v>
      </c>
      <c r="K1132" s="88">
        <v>1</v>
      </c>
      <c r="L1132" s="88"/>
      <c r="M1132" s="88"/>
      <c r="N1132" s="88"/>
      <c r="O1132" s="88"/>
      <c r="P1132" s="88"/>
      <c r="Q1132" s="88"/>
      <c r="R1132" s="78">
        <f>MAX(S1132:W1132)</f>
        <v>0</v>
      </c>
      <c r="S1132" s="88"/>
      <c r="T1132" s="88"/>
      <c r="U1132" s="88"/>
      <c r="V1132" s="88"/>
      <c r="W1132" s="88"/>
    </row>
    <row r="1133" spans="2:23" s="0" customFormat="0" ht="15">
      <c r="B1133" s="87" t="s">
        <v>1</v>
      </c>
      <c r="C1133" s="88" t="s">
        <v>5259</v>
      </c>
      <c r="D1133" s="88" t="s">
        <v>3864</v>
      </c>
      <c r="E1133" s="88" t="s">
        <v>61</v>
      </c>
      <c r="F1133" s="88">
        <v>0</v>
      </c>
      <c r="G1133" s="78">
        <f>MAX(H1133,I1133,J1133)</f>
        <v>0</v>
      </c>
      <c r="H1133" s="88"/>
      <c r="I1133" s="88"/>
      <c r="J1133" s="78">
        <f>MAX(K1133:Q1133)</f>
        <v>0</v>
      </c>
      <c r="K1133" s="88"/>
      <c r="L1133" s="88"/>
      <c r="M1133" s="88"/>
      <c r="N1133" s="88"/>
      <c r="O1133" s="88"/>
      <c r="P1133" s="88"/>
      <c r="Q1133" s="88"/>
      <c r="R1133" s="78">
        <f>MAX(S1133:W1133)</f>
        <v>1</v>
      </c>
      <c r="S1133" s="88"/>
      <c r="T1133" s="88"/>
      <c r="U1133" s="88">
        <v>1</v>
      </c>
      <c r="V1133" s="88"/>
      <c r="W1133" s="88"/>
    </row>
    <row r="1134" spans="2:23" s="0" customFormat="0" ht="15">
      <c r="B1134" s="87" t="s">
        <v>1</v>
      </c>
      <c r="C1134" s="88" t="s">
        <v>5259</v>
      </c>
      <c r="D1134" s="88" t="s">
        <v>3315</v>
      </c>
      <c r="E1134" s="88" t="s">
        <v>61</v>
      </c>
      <c r="F1134" s="88">
        <v>0</v>
      </c>
      <c r="G1134" s="78">
        <f>MAX(H1134,I1134,J1134)</f>
        <v>0</v>
      </c>
      <c r="H1134" s="88"/>
      <c r="I1134" s="88"/>
      <c r="J1134" s="78">
        <f>MAX(K1134:Q1134)</f>
        <v>0</v>
      </c>
      <c r="K1134" s="88"/>
      <c r="L1134" s="88"/>
      <c r="M1134" s="88"/>
      <c r="N1134" s="88"/>
      <c r="O1134" s="88"/>
      <c r="P1134" s="88"/>
      <c r="Q1134" s="88"/>
      <c r="R1134" s="78">
        <f>MAX(S1134:W1134)</f>
        <v>1</v>
      </c>
      <c r="S1134" s="88"/>
      <c r="T1134" s="88"/>
      <c r="U1134" s="88">
        <v>1</v>
      </c>
      <c r="V1134" s="88"/>
      <c r="W1134" s="88"/>
    </row>
    <row r="1135" spans="2:23" s="0" customFormat="0" ht="15">
      <c r="B1135" s="87" t="s">
        <v>1</v>
      </c>
      <c r="C1135" s="88" t="s">
        <v>5259</v>
      </c>
      <c r="D1135" s="88">
        <v>22554130</v>
      </c>
      <c r="E1135" s="88" t="s">
        <v>61</v>
      </c>
      <c r="F1135" s="88">
        <v>0</v>
      </c>
      <c r="G1135" s="78">
        <f>MAX(H1135,I1135,J1135)</f>
        <v>1</v>
      </c>
      <c r="H1135" s="88"/>
      <c r="I1135" s="88"/>
      <c r="J1135" s="78">
        <f>MAX(K1135:Q1135)</f>
        <v>1</v>
      </c>
      <c r="K1135" s="88">
        <v>1</v>
      </c>
      <c r="L1135" s="88"/>
      <c r="M1135" s="88"/>
      <c r="N1135" s="88"/>
      <c r="O1135" s="88"/>
      <c r="P1135" s="88"/>
      <c r="Q1135" s="88"/>
      <c r="R1135" s="78">
        <f>MAX(S1135:W1135)</f>
        <v>0</v>
      </c>
      <c r="S1135" s="88"/>
      <c r="T1135" s="88"/>
      <c r="U1135" s="88"/>
      <c r="V1135" s="88"/>
      <c r="W1135" s="88"/>
    </row>
    <row r="1136" spans="2:23" s="0" customFormat="0" ht="15">
      <c r="B1136" s="87" t="s">
        <v>1</v>
      </c>
      <c r="C1136" s="88" t="s">
        <v>5259</v>
      </c>
      <c r="D1136" s="88">
        <v>5436128</v>
      </c>
      <c r="E1136" s="88" t="s">
        <v>61</v>
      </c>
      <c r="F1136" s="88">
        <v>0</v>
      </c>
      <c r="G1136" s="78">
        <f>MAX(H1136,I1136,J1136)</f>
        <v>1</v>
      </c>
      <c r="H1136" s="88"/>
      <c r="I1136" s="88"/>
      <c r="J1136" s="78">
        <f>MAX(K1136:Q1136)</f>
        <v>1</v>
      </c>
      <c r="K1136" s="88">
        <v>1</v>
      </c>
      <c r="L1136" s="88"/>
      <c r="M1136" s="88"/>
      <c r="N1136" s="88"/>
      <c r="O1136" s="88"/>
      <c r="P1136" s="88"/>
      <c r="Q1136" s="88"/>
      <c r="R1136" s="78">
        <f>MAX(S1136:W1136)</f>
        <v>0</v>
      </c>
      <c r="S1136" s="88"/>
      <c r="T1136" s="88"/>
      <c r="U1136" s="88"/>
      <c r="V1136" s="88"/>
      <c r="W1136" s="88"/>
    </row>
    <row r="1137" spans="2:23" s="0" customFormat="0" ht="15">
      <c r="B1137" s="87" t="s">
        <v>1</v>
      </c>
      <c r="C1137" s="88" t="s">
        <v>5259</v>
      </c>
      <c r="D1137" s="88">
        <v>14536858</v>
      </c>
      <c r="E1137" s="88" t="s">
        <v>61</v>
      </c>
      <c r="F1137" s="88">
        <v>0</v>
      </c>
      <c r="G1137" s="78">
        <f>MAX(H1137,I1137,J1137)</f>
        <v>1</v>
      </c>
      <c r="H1137" s="88"/>
      <c r="I1137" s="88"/>
      <c r="J1137" s="78">
        <f>MAX(K1137:Q1137)</f>
        <v>1</v>
      </c>
      <c r="K1137" s="88">
        <v>1</v>
      </c>
      <c r="L1137" s="88"/>
      <c r="M1137" s="88"/>
      <c r="N1137" s="88"/>
      <c r="O1137" s="88"/>
      <c r="P1137" s="88"/>
      <c r="Q1137" s="88"/>
      <c r="R1137" s="78">
        <f>MAX(S1137:W1137)</f>
        <v>0</v>
      </c>
      <c r="S1137" s="88"/>
      <c r="T1137" s="88"/>
      <c r="U1137" s="88"/>
      <c r="V1137" s="88"/>
      <c r="W1137" s="88"/>
    </row>
    <row r="1138" spans="2:23" s="0" customFormat="0" ht="15">
      <c r="B1138" s="87" t="s">
        <v>1</v>
      </c>
      <c r="C1138" s="88" t="s">
        <v>5259</v>
      </c>
      <c r="D1138" s="88">
        <v>24922384</v>
      </c>
      <c r="E1138" s="88" t="s">
        <v>61</v>
      </c>
      <c r="F1138" s="88">
        <v>0</v>
      </c>
      <c r="G1138" s="78">
        <f>MAX(H1138,I1138,J1138)</f>
        <v>1</v>
      </c>
      <c r="H1138" s="88"/>
      <c r="I1138" s="88"/>
      <c r="J1138" s="78">
        <f>MAX(K1138:Q1138)</f>
        <v>1</v>
      </c>
      <c r="K1138" s="88">
        <v>1</v>
      </c>
      <c r="L1138" s="88"/>
      <c r="M1138" s="88"/>
      <c r="N1138" s="88"/>
      <c r="O1138" s="88"/>
      <c r="P1138" s="88"/>
      <c r="Q1138" s="88"/>
      <c r="R1138" s="78">
        <f>MAX(S1138:W1138)</f>
        <v>0</v>
      </c>
      <c r="S1138" s="88"/>
      <c r="T1138" s="88"/>
      <c r="U1138" s="88"/>
      <c r="V1138" s="88"/>
      <c r="W1138" s="88"/>
    </row>
    <row r="1139" spans="2:23" s="0" customFormat="0" ht="15">
      <c r="B1139" s="87" t="s">
        <v>1</v>
      </c>
      <c r="C1139" s="88" t="s">
        <v>5259</v>
      </c>
      <c r="D1139" s="88">
        <v>19748440</v>
      </c>
      <c r="E1139" s="88" t="s">
        <v>61</v>
      </c>
      <c r="F1139" s="88">
        <v>0</v>
      </c>
      <c r="G1139" s="78">
        <f>MAX(H1139,I1139,J1139)</f>
        <v>1</v>
      </c>
      <c r="H1139" s="88"/>
      <c r="I1139" s="88"/>
      <c r="J1139" s="78">
        <f>MAX(K1139:Q1139)</f>
        <v>1</v>
      </c>
      <c r="K1139" s="88">
        <v>1</v>
      </c>
      <c r="L1139" s="88"/>
      <c r="M1139" s="88"/>
      <c r="N1139" s="88"/>
      <c r="O1139" s="88"/>
      <c r="P1139" s="88"/>
      <c r="Q1139" s="88"/>
      <c r="R1139" s="78">
        <f>MAX(S1139:W1139)</f>
        <v>0</v>
      </c>
      <c r="S1139" s="88"/>
      <c r="T1139" s="88"/>
      <c r="U1139" s="88"/>
      <c r="V1139" s="88"/>
      <c r="W1139" s="88"/>
    </row>
    <row r="1140" spans="2:23" s="0" customFormat="0" ht="15">
      <c r="B1140" s="87" t="s">
        <v>1</v>
      </c>
      <c r="C1140" s="88" t="s">
        <v>5259</v>
      </c>
      <c r="D1140" s="88" t="s">
        <v>990</v>
      </c>
      <c r="E1140" s="88" t="s">
        <v>61</v>
      </c>
      <c r="F1140" s="88">
        <v>0</v>
      </c>
      <c r="G1140" s="78">
        <f>MAX(H1140,I1140,J1140)</f>
        <v>1</v>
      </c>
      <c r="H1140" s="88"/>
      <c r="I1140" s="88"/>
      <c r="J1140" s="78">
        <f>MAX(K1140:Q1140)</f>
        <v>1</v>
      </c>
      <c r="K1140" s="88">
        <v>1</v>
      </c>
      <c r="L1140" s="88"/>
      <c r="M1140" s="88"/>
      <c r="N1140" s="88"/>
      <c r="O1140" s="88"/>
      <c r="P1140" s="88"/>
      <c r="Q1140" s="88"/>
      <c r="R1140" s="78">
        <f>MAX(S1140:W1140)</f>
        <v>0</v>
      </c>
      <c r="S1140" s="88"/>
      <c r="T1140" s="88"/>
      <c r="U1140" s="88"/>
      <c r="V1140" s="88"/>
      <c r="W1140" s="88"/>
    </row>
    <row r="1141" spans="2:23" s="0" customFormat="0" ht="15">
      <c r="B1141" s="87" t="s">
        <v>1</v>
      </c>
      <c r="C1141" s="88" t="s">
        <v>5259</v>
      </c>
      <c r="D1141" s="88" t="s">
        <v>3866</v>
      </c>
      <c r="E1141" s="88" t="s">
        <v>61</v>
      </c>
      <c r="F1141" s="88">
        <v>0</v>
      </c>
      <c r="G1141" s="78">
        <f>MAX(H1141,I1141,J1141)</f>
        <v>0</v>
      </c>
      <c r="H1141" s="88"/>
      <c r="I1141" s="88"/>
      <c r="J1141" s="78">
        <f>MAX(K1141:Q1141)</f>
        <v>0</v>
      </c>
      <c r="K1141" s="88"/>
      <c r="L1141" s="88"/>
      <c r="M1141" s="88"/>
      <c r="N1141" s="88"/>
      <c r="O1141" s="88"/>
      <c r="P1141" s="88"/>
      <c r="Q1141" s="88"/>
      <c r="R1141" s="78">
        <f>MAX(S1141:W1141)</f>
        <v>1</v>
      </c>
      <c r="S1141" s="88"/>
      <c r="T1141" s="88"/>
      <c r="U1141" s="88">
        <v>1</v>
      </c>
      <c r="V1141" s="88"/>
      <c r="W1141" s="88"/>
    </row>
    <row r="1142" spans="2:23" s="0" customFormat="0" ht="15">
      <c r="B1142" s="87" t="s">
        <v>1</v>
      </c>
      <c r="C1142" s="88" t="s">
        <v>5259</v>
      </c>
      <c r="D1142" s="88" t="s">
        <v>992</v>
      </c>
      <c r="E1142" s="88" t="s">
        <v>61</v>
      </c>
      <c r="F1142" s="88">
        <v>0</v>
      </c>
      <c r="G1142" s="78">
        <f>MAX(H1142,I1142,J1142)</f>
        <v>1</v>
      </c>
      <c r="H1142" s="88"/>
      <c r="I1142" s="88"/>
      <c r="J1142" s="78">
        <f>MAX(K1142:Q1142)</f>
        <v>1</v>
      </c>
      <c r="K1142" s="88">
        <v>1</v>
      </c>
      <c r="L1142" s="88"/>
      <c r="M1142" s="88"/>
      <c r="N1142" s="88"/>
      <c r="O1142" s="88"/>
      <c r="P1142" s="88"/>
      <c r="Q1142" s="88"/>
      <c r="R1142" s="78">
        <f>MAX(S1142:W1142)</f>
        <v>0</v>
      </c>
      <c r="S1142" s="88"/>
      <c r="T1142" s="88"/>
      <c r="U1142" s="88"/>
      <c r="V1142" s="88"/>
      <c r="W1142" s="88"/>
    </row>
    <row r="1143" spans="2:23" s="0" customFormat="0" ht="15">
      <c r="B1143" s="87" t="s">
        <v>1</v>
      </c>
      <c r="C1143" s="88" t="s">
        <v>5259</v>
      </c>
      <c r="D1143" s="88">
        <v>23170668</v>
      </c>
      <c r="E1143" s="88" t="s">
        <v>61</v>
      </c>
      <c r="F1143" s="88">
        <v>0</v>
      </c>
      <c r="G1143" s="78">
        <f>MAX(H1143,I1143,J1143)</f>
        <v>1</v>
      </c>
      <c r="H1143" s="88"/>
      <c r="I1143" s="88"/>
      <c r="J1143" s="78">
        <f>MAX(K1143:Q1143)</f>
        <v>1</v>
      </c>
      <c r="K1143" s="88">
        <v>1</v>
      </c>
      <c r="L1143" s="88"/>
      <c r="M1143" s="88"/>
      <c r="N1143" s="88"/>
      <c r="O1143" s="88"/>
      <c r="P1143" s="88"/>
      <c r="Q1143" s="88"/>
      <c r="R1143" s="78">
        <f>MAX(S1143:W1143)</f>
        <v>0</v>
      </c>
      <c r="S1143" s="88"/>
      <c r="T1143" s="88"/>
      <c r="U1143" s="88"/>
      <c r="V1143" s="88"/>
      <c r="W1143" s="88"/>
    </row>
    <row r="1144" spans="2:23" s="0" customFormat="0" ht="15">
      <c r="B1144" s="87" t="s">
        <v>1</v>
      </c>
      <c r="C1144" s="88" t="s">
        <v>5259</v>
      </c>
      <c r="D1144" s="88">
        <v>20982109</v>
      </c>
      <c r="E1144" s="88" t="s">
        <v>61</v>
      </c>
      <c r="F1144" s="88">
        <v>0</v>
      </c>
      <c r="G1144" s="78">
        <f>MAX(H1144,I1144,J1144)</f>
        <v>1</v>
      </c>
      <c r="H1144" s="88"/>
      <c r="I1144" s="88"/>
      <c r="J1144" s="78">
        <f>MAX(K1144:Q1144)</f>
        <v>1</v>
      </c>
      <c r="K1144" s="88">
        <v>1</v>
      </c>
      <c r="L1144" s="88"/>
      <c r="M1144" s="88"/>
      <c r="N1144" s="88"/>
      <c r="O1144" s="88"/>
      <c r="P1144" s="88"/>
      <c r="Q1144" s="88"/>
      <c r="R1144" s="78">
        <f>MAX(S1144:W1144)</f>
        <v>0</v>
      </c>
      <c r="S1144" s="88"/>
      <c r="T1144" s="88"/>
      <c r="U1144" s="88"/>
      <c r="V1144" s="88"/>
      <c r="W1144" s="88"/>
    </row>
    <row r="1145" spans="2:23" s="0" customFormat="0" ht="15">
      <c r="B1145" s="87" t="s">
        <v>1</v>
      </c>
      <c r="C1145" s="88" t="s">
        <v>5259</v>
      </c>
      <c r="D1145" s="88" t="s">
        <v>996</v>
      </c>
      <c r="E1145" s="88" t="s">
        <v>61</v>
      </c>
      <c r="F1145" s="88">
        <v>0</v>
      </c>
      <c r="G1145" s="78">
        <f>MAX(H1145,I1145,J1145)</f>
        <v>1</v>
      </c>
      <c r="H1145" s="88"/>
      <c r="I1145" s="88"/>
      <c r="J1145" s="78">
        <f>MAX(K1145:Q1145)</f>
        <v>1</v>
      </c>
      <c r="K1145" s="88">
        <v>1</v>
      </c>
      <c r="L1145" s="88"/>
      <c r="M1145" s="88"/>
      <c r="N1145" s="88"/>
      <c r="O1145" s="88"/>
      <c r="P1145" s="88"/>
      <c r="Q1145" s="88"/>
      <c r="R1145" s="78">
        <f>MAX(S1145:W1145)</f>
        <v>0</v>
      </c>
      <c r="S1145" s="88"/>
      <c r="T1145" s="88"/>
      <c r="U1145" s="88"/>
      <c r="V1145" s="88"/>
      <c r="W1145" s="88"/>
    </row>
    <row r="1146" spans="2:23" s="0" customFormat="0" ht="15">
      <c r="B1146" s="87" t="s">
        <v>1</v>
      </c>
      <c r="C1146" s="88" t="s">
        <v>5259</v>
      </c>
      <c r="D1146" s="88">
        <v>1551422</v>
      </c>
      <c r="E1146" s="88" t="s">
        <v>61</v>
      </c>
      <c r="F1146" s="88">
        <v>0</v>
      </c>
      <c r="G1146" s="78">
        <f>MAX(H1146,I1146,J1146)</f>
        <v>0</v>
      </c>
      <c r="H1146" s="88"/>
      <c r="I1146" s="88"/>
      <c r="J1146" s="78">
        <f>MAX(K1146:Q1146)</f>
        <v>0</v>
      </c>
      <c r="K1146" s="88"/>
      <c r="L1146" s="88"/>
      <c r="M1146" s="88"/>
      <c r="N1146" s="88"/>
      <c r="O1146" s="88"/>
      <c r="P1146" s="88"/>
      <c r="Q1146" s="88"/>
      <c r="R1146" s="78">
        <f>MAX(S1146:W1146)</f>
        <v>1</v>
      </c>
      <c r="S1146" s="88"/>
      <c r="T1146" s="88"/>
      <c r="U1146" s="88">
        <v>1</v>
      </c>
      <c r="V1146" s="88"/>
      <c r="W1146" s="88"/>
    </row>
    <row r="1147" spans="2:23" s="0" customFormat="0" ht="15">
      <c r="B1147" s="87" t="s">
        <v>1</v>
      </c>
      <c r="C1147" s="88" t="s">
        <v>5259</v>
      </c>
      <c r="D1147" s="88" t="s">
        <v>3869</v>
      </c>
      <c r="E1147" s="88" t="s">
        <v>61</v>
      </c>
      <c r="F1147" s="88">
        <v>0</v>
      </c>
      <c r="G1147" s="78">
        <f>MAX(H1147,I1147,J1147)</f>
        <v>0</v>
      </c>
      <c r="H1147" s="88"/>
      <c r="I1147" s="88"/>
      <c r="J1147" s="78">
        <f>MAX(K1147:Q1147)</f>
        <v>0</v>
      </c>
      <c r="K1147" s="88"/>
      <c r="L1147" s="88"/>
      <c r="M1147" s="88"/>
      <c r="N1147" s="88"/>
      <c r="O1147" s="88"/>
      <c r="P1147" s="88"/>
      <c r="Q1147" s="88"/>
      <c r="R1147" s="78">
        <f>MAX(S1147:W1147)</f>
        <v>1</v>
      </c>
      <c r="S1147" s="88"/>
      <c r="T1147" s="88"/>
      <c r="U1147" s="88">
        <v>1</v>
      </c>
      <c r="V1147" s="88"/>
      <c r="W1147" s="88"/>
    </row>
    <row r="1148" spans="2:23" s="0" customFormat="0" ht="15">
      <c r="B1148" s="87" t="s">
        <v>1</v>
      </c>
      <c r="C1148" s="88" t="s">
        <v>5259</v>
      </c>
      <c r="D1148" s="88" t="s">
        <v>998</v>
      </c>
      <c r="E1148" s="88" t="s">
        <v>61</v>
      </c>
      <c r="F1148" s="88">
        <v>0</v>
      </c>
      <c r="G1148" s="78">
        <f>MAX(H1148,I1148,J1148)</f>
        <v>1</v>
      </c>
      <c r="H1148" s="88"/>
      <c r="I1148" s="88"/>
      <c r="J1148" s="78">
        <f>MAX(K1148:Q1148)</f>
        <v>1</v>
      </c>
      <c r="K1148" s="88">
        <v>1</v>
      </c>
      <c r="L1148" s="88"/>
      <c r="M1148" s="88"/>
      <c r="N1148" s="88"/>
      <c r="O1148" s="88"/>
      <c r="P1148" s="88"/>
      <c r="Q1148" s="88"/>
      <c r="R1148" s="78">
        <f>MAX(S1148:W1148)</f>
        <v>0</v>
      </c>
      <c r="S1148" s="88"/>
      <c r="T1148" s="88"/>
      <c r="U1148" s="88"/>
      <c r="V1148" s="88"/>
      <c r="W1148" s="88"/>
    </row>
    <row r="1149" spans="2:23" s="0" customFormat="0" ht="15">
      <c r="B1149" s="87" t="s">
        <v>1</v>
      </c>
      <c r="C1149" s="88" t="s">
        <v>5259</v>
      </c>
      <c r="D1149" s="88" t="s">
        <v>3871</v>
      </c>
      <c r="E1149" s="88" t="s">
        <v>61</v>
      </c>
      <c r="F1149" s="88">
        <v>0</v>
      </c>
      <c r="G1149" s="78">
        <f>MAX(H1149,I1149,J1149)</f>
        <v>0</v>
      </c>
      <c r="H1149" s="88"/>
      <c r="I1149" s="88"/>
      <c r="J1149" s="78">
        <f>MAX(K1149:Q1149)</f>
        <v>0</v>
      </c>
      <c r="K1149" s="88"/>
      <c r="L1149" s="88"/>
      <c r="M1149" s="88"/>
      <c r="N1149" s="88"/>
      <c r="O1149" s="88"/>
      <c r="P1149" s="88"/>
      <c r="Q1149" s="88"/>
      <c r="R1149" s="78">
        <f>MAX(S1149:W1149)</f>
        <v>1</v>
      </c>
      <c r="S1149" s="88"/>
      <c r="T1149" s="88"/>
      <c r="U1149" s="88">
        <v>1</v>
      </c>
      <c r="V1149" s="88"/>
      <c r="W1149" s="88"/>
    </row>
    <row r="1150" spans="2:23" s="0" customFormat="0" ht="15">
      <c r="B1150" s="87" t="s">
        <v>1</v>
      </c>
      <c r="C1150" s="88" t="s">
        <v>5259</v>
      </c>
      <c r="D1150" s="88">
        <v>22956030</v>
      </c>
      <c r="E1150" s="88" t="s">
        <v>61</v>
      </c>
      <c r="F1150" s="88">
        <v>0</v>
      </c>
      <c r="G1150" s="78">
        <f>MAX(H1150,I1150,J1150)</f>
        <v>1</v>
      </c>
      <c r="H1150" s="88"/>
      <c r="I1150" s="88"/>
      <c r="J1150" s="78">
        <f>MAX(K1150:Q1150)</f>
        <v>1</v>
      </c>
      <c r="K1150" s="88">
        <v>1</v>
      </c>
      <c r="L1150" s="88"/>
      <c r="M1150" s="88"/>
      <c r="N1150" s="88"/>
      <c r="O1150" s="88"/>
      <c r="P1150" s="88"/>
      <c r="Q1150" s="88"/>
      <c r="R1150" s="78">
        <f>MAX(S1150:W1150)</f>
        <v>0</v>
      </c>
      <c r="S1150" s="88"/>
      <c r="T1150" s="88"/>
      <c r="U1150" s="88"/>
      <c r="V1150" s="88"/>
      <c r="W1150" s="88"/>
    </row>
    <row r="1151" spans="2:23" s="0" customFormat="0" ht="15">
      <c r="B1151" s="87" t="s">
        <v>1</v>
      </c>
      <c r="C1151" s="88" t="s">
        <v>5259</v>
      </c>
      <c r="D1151" s="88" t="s">
        <v>1000</v>
      </c>
      <c r="E1151" s="88" t="s">
        <v>61</v>
      </c>
      <c r="F1151" s="88">
        <v>0</v>
      </c>
      <c r="G1151" s="78">
        <f>MAX(H1151,I1151,J1151)</f>
        <v>1</v>
      </c>
      <c r="H1151" s="88"/>
      <c r="I1151" s="88"/>
      <c r="J1151" s="78">
        <f>MAX(K1151:Q1151)</f>
        <v>1</v>
      </c>
      <c r="K1151" s="88">
        <v>1</v>
      </c>
      <c r="L1151" s="88"/>
      <c r="M1151" s="88"/>
      <c r="N1151" s="88"/>
      <c r="O1151" s="88"/>
      <c r="P1151" s="88"/>
      <c r="Q1151" s="88"/>
      <c r="R1151" s="78">
        <f>MAX(S1151:W1151)</f>
        <v>0</v>
      </c>
      <c r="S1151" s="88"/>
      <c r="T1151" s="88"/>
      <c r="U1151" s="88"/>
      <c r="V1151" s="88"/>
      <c r="W1151" s="88"/>
    </row>
    <row r="1152" spans="2:23" s="0" customFormat="0" ht="15">
      <c r="B1152" s="87" t="s">
        <v>1</v>
      </c>
      <c r="C1152" s="88" t="s">
        <v>5259</v>
      </c>
      <c r="D1152" s="88" t="s">
        <v>3873</v>
      </c>
      <c r="E1152" s="88" t="s">
        <v>61</v>
      </c>
      <c r="F1152" s="88">
        <v>0</v>
      </c>
      <c r="G1152" s="78">
        <f>MAX(H1152,I1152,J1152)</f>
        <v>0</v>
      </c>
      <c r="H1152" s="88"/>
      <c r="I1152" s="88"/>
      <c r="J1152" s="78">
        <f>MAX(K1152:Q1152)</f>
        <v>0</v>
      </c>
      <c r="K1152" s="88"/>
      <c r="L1152" s="88"/>
      <c r="M1152" s="88"/>
      <c r="N1152" s="88"/>
      <c r="O1152" s="88"/>
      <c r="P1152" s="88"/>
      <c r="Q1152" s="88"/>
      <c r="R1152" s="78">
        <f>MAX(S1152:W1152)</f>
        <v>1</v>
      </c>
      <c r="S1152" s="88"/>
      <c r="T1152" s="88"/>
      <c r="U1152" s="88">
        <v>1</v>
      </c>
      <c r="V1152" s="88"/>
      <c r="W1152" s="88"/>
    </row>
    <row r="1153" spans="2:23" s="0" customFormat="0" ht="15">
      <c r="B1153" s="87" t="s">
        <v>1</v>
      </c>
      <c r="C1153" s="88" t="s">
        <v>5259</v>
      </c>
      <c r="D1153" s="88">
        <v>21005393</v>
      </c>
      <c r="E1153" s="88" t="s">
        <v>61</v>
      </c>
      <c r="F1153" s="88">
        <v>0</v>
      </c>
      <c r="G1153" s="78">
        <f>MAX(H1153,I1153,J1153)</f>
        <v>1</v>
      </c>
      <c r="H1153" s="88"/>
      <c r="I1153" s="88"/>
      <c r="J1153" s="78">
        <f>MAX(K1153:Q1153)</f>
        <v>1</v>
      </c>
      <c r="K1153" s="88">
        <v>1</v>
      </c>
      <c r="L1153" s="88"/>
      <c r="M1153" s="88"/>
      <c r="N1153" s="88"/>
      <c r="O1153" s="88"/>
      <c r="P1153" s="88"/>
      <c r="Q1153" s="88"/>
      <c r="R1153" s="78">
        <f>MAX(S1153:W1153)</f>
        <v>0</v>
      </c>
      <c r="S1153" s="88"/>
      <c r="T1153" s="88"/>
      <c r="U1153" s="88"/>
      <c r="V1153" s="88"/>
      <c r="W1153" s="88"/>
    </row>
    <row r="1154" spans="2:23" s="0" customFormat="0" ht="15">
      <c r="B1154" s="87" t="s">
        <v>1</v>
      </c>
      <c r="C1154" s="88" t="s">
        <v>5259</v>
      </c>
      <c r="D1154" s="88">
        <v>22465795</v>
      </c>
      <c r="E1154" s="88" t="s">
        <v>61</v>
      </c>
      <c r="F1154" s="88">
        <v>0</v>
      </c>
      <c r="G1154" s="78">
        <f>MAX(H1154,I1154,J1154)</f>
        <v>1</v>
      </c>
      <c r="H1154" s="88"/>
      <c r="I1154" s="88"/>
      <c r="J1154" s="78">
        <f>MAX(K1154:Q1154)</f>
        <v>1</v>
      </c>
      <c r="K1154" s="88">
        <v>1</v>
      </c>
      <c r="L1154" s="88"/>
      <c r="M1154" s="88"/>
      <c r="N1154" s="88"/>
      <c r="O1154" s="88"/>
      <c r="P1154" s="88"/>
      <c r="Q1154" s="88"/>
      <c r="R1154" s="78">
        <f>MAX(S1154:W1154)</f>
        <v>0</v>
      </c>
      <c r="S1154" s="88"/>
      <c r="T1154" s="88"/>
      <c r="U1154" s="88"/>
      <c r="V1154" s="88"/>
      <c r="W1154" s="88"/>
    </row>
    <row r="1155" spans="2:23" s="0" customFormat="0" ht="15">
      <c r="B1155" s="87" t="s">
        <v>1</v>
      </c>
      <c r="C1155" s="88" t="s">
        <v>5259</v>
      </c>
      <c r="D1155" s="88" t="s">
        <v>3875</v>
      </c>
      <c r="E1155" s="88" t="s">
        <v>61</v>
      </c>
      <c r="F1155" s="88">
        <v>0</v>
      </c>
      <c r="G1155" s="78">
        <f>MAX(H1155,I1155,J1155)</f>
        <v>0</v>
      </c>
      <c r="H1155" s="88"/>
      <c r="I1155" s="88"/>
      <c r="J1155" s="78">
        <f>MAX(K1155:Q1155)</f>
        <v>0</v>
      </c>
      <c r="K1155" s="88"/>
      <c r="L1155" s="88"/>
      <c r="M1155" s="88"/>
      <c r="N1155" s="88"/>
      <c r="O1155" s="88"/>
      <c r="P1155" s="88"/>
      <c r="Q1155" s="88"/>
      <c r="R1155" s="78">
        <f>MAX(S1155:W1155)</f>
        <v>1</v>
      </c>
      <c r="S1155" s="88"/>
      <c r="T1155" s="88"/>
      <c r="U1155" s="88">
        <v>1</v>
      </c>
      <c r="V1155" s="88"/>
      <c r="W1155" s="88"/>
    </row>
    <row r="1156" spans="2:23" s="0" customFormat="0" ht="15">
      <c r="B1156" s="87" t="s">
        <v>1</v>
      </c>
      <c r="C1156" s="88" t="s">
        <v>5259</v>
      </c>
      <c r="D1156" s="88">
        <v>18073286</v>
      </c>
      <c r="E1156" s="88" t="s">
        <v>61</v>
      </c>
      <c r="F1156" s="88">
        <v>0</v>
      </c>
      <c r="G1156" s="78">
        <f>MAX(H1156,I1156,J1156)</f>
        <v>1</v>
      </c>
      <c r="H1156" s="88"/>
      <c r="I1156" s="88"/>
      <c r="J1156" s="78">
        <f>MAX(K1156:Q1156)</f>
        <v>1</v>
      </c>
      <c r="K1156" s="88">
        <v>1</v>
      </c>
      <c r="L1156" s="88"/>
      <c r="M1156" s="88"/>
      <c r="N1156" s="88"/>
      <c r="O1156" s="88"/>
      <c r="P1156" s="88"/>
      <c r="Q1156" s="88"/>
      <c r="R1156" s="78">
        <f>MAX(S1156:W1156)</f>
        <v>0</v>
      </c>
      <c r="S1156" s="88"/>
      <c r="T1156" s="88"/>
      <c r="U1156" s="88"/>
      <c r="V1156" s="88"/>
      <c r="W1156" s="88"/>
    </row>
    <row r="1157" spans="2:23" s="0" customFormat="0" ht="15">
      <c r="B1157" s="87" t="s">
        <v>1</v>
      </c>
      <c r="C1157" s="88" t="s">
        <v>5259</v>
      </c>
      <c r="D1157" s="88" t="s">
        <v>1005</v>
      </c>
      <c r="E1157" s="88" t="s">
        <v>61</v>
      </c>
      <c r="F1157" s="88">
        <v>0</v>
      </c>
      <c r="G1157" s="78">
        <f>MAX(H1157,I1157,J1157)</f>
        <v>1</v>
      </c>
      <c r="H1157" s="88"/>
      <c r="I1157" s="88"/>
      <c r="J1157" s="78">
        <f>MAX(K1157:Q1157)</f>
        <v>1</v>
      </c>
      <c r="K1157" s="88">
        <v>1</v>
      </c>
      <c r="L1157" s="88"/>
      <c r="M1157" s="88"/>
      <c r="N1157" s="88"/>
      <c r="O1157" s="88"/>
      <c r="P1157" s="88"/>
      <c r="Q1157" s="88"/>
      <c r="R1157" s="78">
        <f>MAX(S1157:W1157)</f>
        <v>0</v>
      </c>
      <c r="S1157" s="88"/>
      <c r="T1157" s="88"/>
      <c r="U1157" s="88"/>
      <c r="V1157" s="88"/>
      <c r="W1157" s="88"/>
    </row>
    <row r="1158" spans="2:23" s="0" customFormat="0" ht="15">
      <c r="B1158" s="87" t="s">
        <v>1</v>
      </c>
      <c r="C1158" s="88" t="s">
        <v>5259</v>
      </c>
      <c r="D1158" s="88">
        <v>21610162</v>
      </c>
      <c r="E1158" s="88" t="s">
        <v>61</v>
      </c>
      <c r="F1158" s="88">
        <v>0</v>
      </c>
      <c r="G1158" s="78">
        <f>MAX(H1158,I1158,J1158)</f>
        <v>1</v>
      </c>
      <c r="H1158" s="88"/>
      <c r="I1158" s="88"/>
      <c r="J1158" s="78">
        <f>MAX(K1158:Q1158)</f>
        <v>1</v>
      </c>
      <c r="K1158" s="88">
        <v>1</v>
      </c>
      <c r="L1158" s="88"/>
      <c r="M1158" s="88"/>
      <c r="N1158" s="88"/>
      <c r="O1158" s="88"/>
      <c r="P1158" s="88"/>
      <c r="Q1158" s="88"/>
      <c r="R1158" s="78">
        <f>MAX(S1158:W1158)</f>
        <v>0</v>
      </c>
      <c r="S1158" s="88"/>
      <c r="T1158" s="88"/>
      <c r="U1158" s="88"/>
      <c r="V1158" s="88"/>
      <c r="W1158" s="88"/>
    </row>
    <row r="1159" spans="2:23" s="0" customFormat="0" ht="15">
      <c r="B1159" s="87" t="s">
        <v>1</v>
      </c>
      <c r="C1159" s="88" t="s">
        <v>5259</v>
      </c>
      <c r="D1159" s="88">
        <v>13637351</v>
      </c>
      <c r="E1159" s="88" t="s">
        <v>61</v>
      </c>
      <c r="F1159" s="88">
        <v>0</v>
      </c>
      <c r="G1159" s="78">
        <f>MAX(H1159,I1159,J1159)</f>
        <v>1</v>
      </c>
      <c r="H1159" s="88"/>
      <c r="I1159" s="88"/>
      <c r="J1159" s="78">
        <f>MAX(K1159:Q1159)</f>
        <v>1</v>
      </c>
      <c r="K1159" s="88">
        <v>1</v>
      </c>
      <c r="L1159" s="88"/>
      <c r="M1159" s="88"/>
      <c r="N1159" s="88"/>
      <c r="O1159" s="88"/>
      <c r="P1159" s="88"/>
      <c r="Q1159" s="88"/>
      <c r="R1159" s="78">
        <f>MAX(S1159:W1159)</f>
        <v>0</v>
      </c>
      <c r="S1159" s="88"/>
      <c r="T1159" s="88"/>
      <c r="U1159" s="88"/>
      <c r="V1159" s="88"/>
      <c r="W1159" s="88"/>
    </row>
    <row r="1160" spans="2:23" s="0" customFormat="0" ht="15">
      <c r="B1160" s="87" t="s">
        <v>1</v>
      </c>
      <c r="C1160" s="88" t="s">
        <v>5259</v>
      </c>
      <c r="D1160" s="88">
        <v>13112162</v>
      </c>
      <c r="E1160" s="88" t="s">
        <v>61</v>
      </c>
      <c r="F1160" s="88">
        <v>0</v>
      </c>
      <c r="G1160" s="78">
        <f>MAX(H1160,I1160,J1160)</f>
        <v>1</v>
      </c>
      <c r="H1160" s="88"/>
      <c r="I1160" s="88"/>
      <c r="J1160" s="78">
        <f>MAX(K1160:Q1160)</f>
        <v>1</v>
      </c>
      <c r="K1160" s="88">
        <v>1</v>
      </c>
      <c r="L1160" s="88"/>
      <c r="M1160" s="88"/>
      <c r="N1160" s="88"/>
      <c r="O1160" s="88"/>
      <c r="P1160" s="88"/>
      <c r="Q1160" s="88"/>
      <c r="R1160" s="78">
        <f>MAX(S1160:W1160)</f>
        <v>0</v>
      </c>
      <c r="S1160" s="88"/>
      <c r="T1160" s="88"/>
      <c r="U1160" s="88"/>
      <c r="V1160" s="88"/>
      <c r="W1160" s="88"/>
    </row>
    <row r="1161" spans="2:23" s="0" customFormat="0" ht="15">
      <c r="B1161" s="87" t="s">
        <v>1</v>
      </c>
      <c r="C1161" s="88" t="s">
        <v>5259</v>
      </c>
      <c r="D1161" s="88" t="s">
        <v>3694</v>
      </c>
      <c r="E1161" s="88" t="s">
        <v>61</v>
      </c>
      <c r="F1161" s="88">
        <v>0</v>
      </c>
      <c r="G1161" s="78">
        <f>MAX(H1161,I1161,J1161)</f>
        <v>0</v>
      </c>
      <c r="H1161" s="88"/>
      <c r="I1161" s="88"/>
      <c r="J1161" s="78">
        <f>MAX(K1161:Q1161)</f>
        <v>0</v>
      </c>
      <c r="K1161" s="88"/>
      <c r="L1161" s="88"/>
      <c r="M1161" s="88"/>
      <c r="N1161" s="88"/>
      <c r="O1161" s="88"/>
      <c r="P1161" s="88"/>
      <c r="Q1161" s="88"/>
      <c r="R1161" s="78">
        <f>MAX(S1161:W1161)</f>
        <v>1</v>
      </c>
      <c r="S1161" s="88"/>
      <c r="T1161" s="88"/>
      <c r="U1161" s="88">
        <v>1</v>
      </c>
      <c r="V1161" s="88"/>
      <c r="W1161" s="88"/>
    </row>
    <row r="1162" spans="2:23" s="0" customFormat="0" ht="15">
      <c r="B1162" s="87" t="s">
        <v>1</v>
      </c>
      <c r="C1162" s="88" t="s">
        <v>5259</v>
      </c>
      <c r="D1162" s="88">
        <v>22554528</v>
      </c>
      <c r="E1162" s="88" t="s">
        <v>61</v>
      </c>
      <c r="F1162" s="88">
        <v>0</v>
      </c>
      <c r="G1162" s="78">
        <f>MAX(H1162,I1162,J1162)</f>
        <v>0</v>
      </c>
      <c r="H1162" s="88"/>
      <c r="I1162" s="88"/>
      <c r="J1162" s="78">
        <f>MAX(K1162:Q1162)</f>
        <v>0</v>
      </c>
      <c r="K1162" s="88"/>
      <c r="L1162" s="88"/>
      <c r="M1162" s="88"/>
      <c r="N1162" s="88"/>
      <c r="O1162" s="88"/>
      <c r="P1162" s="88"/>
      <c r="Q1162" s="88"/>
      <c r="R1162" s="78">
        <f>MAX(S1162:W1162)</f>
        <v>1</v>
      </c>
      <c r="S1162" s="88"/>
      <c r="T1162" s="88"/>
      <c r="U1162" s="88">
        <v>1</v>
      </c>
      <c r="V1162" s="88"/>
      <c r="W1162" s="88"/>
    </row>
    <row r="1163" spans="2:23" s="0" customFormat="0" ht="15">
      <c r="B1163" s="87" t="s">
        <v>1</v>
      </c>
      <c r="C1163" s="88" t="s">
        <v>5259</v>
      </c>
      <c r="D1163" s="88">
        <v>13513713</v>
      </c>
      <c r="E1163" s="88" t="s">
        <v>61</v>
      </c>
      <c r="F1163" s="88">
        <v>0</v>
      </c>
      <c r="G1163" s="78">
        <f>MAX(H1163,I1163,J1163)</f>
        <v>1</v>
      </c>
      <c r="H1163" s="88"/>
      <c r="I1163" s="88"/>
      <c r="J1163" s="78">
        <f>MAX(K1163:Q1163)</f>
        <v>1</v>
      </c>
      <c r="K1163" s="88"/>
      <c r="L1163" s="88">
        <v>1</v>
      </c>
      <c r="M1163" s="88"/>
      <c r="N1163" s="88"/>
      <c r="O1163" s="88"/>
      <c r="P1163" s="88"/>
      <c r="Q1163" s="88"/>
      <c r="R1163" s="78">
        <f>MAX(S1163:W1163)</f>
        <v>0</v>
      </c>
      <c r="S1163" s="88"/>
      <c r="T1163" s="88"/>
      <c r="U1163" s="88"/>
      <c r="V1163" s="88"/>
      <c r="W1163" s="88"/>
    </row>
    <row r="1164" spans="2:23" s="0" customFormat="0" ht="15">
      <c r="B1164" s="87" t="s">
        <v>1</v>
      </c>
      <c r="C1164" s="88" t="s">
        <v>5259</v>
      </c>
      <c r="D1164" s="88">
        <v>22554357</v>
      </c>
      <c r="E1164" s="88" t="s">
        <v>61</v>
      </c>
      <c r="F1164" s="88">
        <v>0</v>
      </c>
      <c r="G1164" s="78">
        <f>MAX(H1164,I1164,J1164)</f>
        <v>0</v>
      </c>
      <c r="H1164" s="88"/>
      <c r="I1164" s="88"/>
      <c r="J1164" s="78">
        <f>MAX(K1164:Q1164)</f>
        <v>0</v>
      </c>
      <c r="K1164" s="88"/>
      <c r="L1164" s="88"/>
      <c r="M1164" s="88"/>
      <c r="N1164" s="88"/>
      <c r="O1164" s="88"/>
      <c r="P1164" s="88"/>
      <c r="Q1164" s="88"/>
      <c r="R1164" s="78">
        <f>MAX(S1164:W1164)</f>
        <v>1</v>
      </c>
      <c r="S1164" s="88"/>
      <c r="T1164" s="88"/>
      <c r="U1164" s="88">
        <v>1</v>
      </c>
      <c r="V1164" s="88"/>
      <c r="W1164" s="88"/>
    </row>
    <row r="1165" spans="2:23" s="0" customFormat="0" ht="15">
      <c r="B1165" s="87" t="s">
        <v>1</v>
      </c>
      <c r="C1165" s="88" t="s">
        <v>5259</v>
      </c>
      <c r="D1165" s="88">
        <v>14499833</v>
      </c>
      <c r="E1165" s="88" t="s">
        <v>61</v>
      </c>
      <c r="F1165" s="88">
        <v>0</v>
      </c>
      <c r="G1165" s="78">
        <f>MAX(H1165,I1165,J1165)</f>
        <v>1</v>
      </c>
      <c r="H1165" s="88"/>
      <c r="I1165" s="88"/>
      <c r="J1165" s="78">
        <f>MAX(K1165:Q1165)</f>
        <v>1</v>
      </c>
      <c r="K1165" s="88">
        <v>1</v>
      </c>
      <c r="L1165" s="88"/>
      <c r="M1165" s="88"/>
      <c r="N1165" s="88"/>
      <c r="O1165" s="88"/>
      <c r="P1165" s="88"/>
      <c r="Q1165" s="88"/>
      <c r="R1165" s="78">
        <f>MAX(S1165:W1165)</f>
        <v>0</v>
      </c>
      <c r="S1165" s="88"/>
      <c r="T1165" s="88"/>
      <c r="U1165" s="88"/>
      <c r="V1165" s="88"/>
      <c r="W1165" s="88"/>
    </row>
    <row r="1166" spans="2:23" s="0" customFormat="0" ht="15">
      <c r="B1166" s="87" t="s">
        <v>1</v>
      </c>
      <c r="C1166" s="88" t="s">
        <v>5259</v>
      </c>
      <c r="D1166" s="88">
        <v>8351094</v>
      </c>
      <c r="E1166" s="88" t="s">
        <v>61</v>
      </c>
      <c r="F1166" s="88">
        <v>0</v>
      </c>
      <c r="G1166" s="78">
        <f>MAX(H1166,I1166,J1166)</f>
        <v>1</v>
      </c>
      <c r="H1166" s="88"/>
      <c r="I1166" s="88"/>
      <c r="J1166" s="78">
        <f>MAX(K1166:Q1166)</f>
        <v>1</v>
      </c>
      <c r="K1166" s="88">
        <v>1</v>
      </c>
      <c r="L1166" s="88"/>
      <c r="M1166" s="88"/>
      <c r="N1166" s="88"/>
      <c r="O1166" s="88"/>
      <c r="P1166" s="88"/>
      <c r="Q1166" s="88"/>
      <c r="R1166" s="78">
        <f>MAX(S1166:W1166)</f>
        <v>0</v>
      </c>
      <c r="S1166" s="88"/>
      <c r="T1166" s="88"/>
      <c r="U1166" s="88"/>
      <c r="V1166" s="88"/>
      <c r="W1166" s="88"/>
    </row>
    <row r="1167" spans="2:23" s="0" customFormat="0" ht="15">
      <c r="B1167" s="87" t="s">
        <v>1</v>
      </c>
      <c r="C1167" s="88" t="s">
        <v>5259</v>
      </c>
      <c r="D1167" s="88" t="s">
        <v>3878</v>
      </c>
      <c r="E1167" s="88" t="s">
        <v>61</v>
      </c>
      <c r="F1167" s="88">
        <v>0</v>
      </c>
      <c r="G1167" s="78">
        <f>MAX(H1167,I1167,J1167)</f>
        <v>0</v>
      </c>
      <c r="H1167" s="88"/>
      <c r="I1167" s="88"/>
      <c r="J1167" s="78">
        <f>MAX(K1167:Q1167)</f>
        <v>0</v>
      </c>
      <c r="K1167" s="88"/>
      <c r="L1167" s="88"/>
      <c r="M1167" s="88"/>
      <c r="N1167" s="88"/>
      <c r="O1167" s="88"/>
      <c r="P1167" s="88"/>
      <c r="Q1167" s="88"/>
      <c r="R1167" s="78">
        <f>MAX(S1167:W1167)</f>
        <v>1</v>
      </c>
      <c r="S1167" s="88"/>
      <c r="T1167" s="88"/>
      <c r="U1167" s="88">
        <v>1</v>
      </c>
      <c r="V1167" s="88"/>
      <c r="W1167" s="88"/>
    </row>
    <row r="1168" spans="2:23" s="0" customFormat="0" ht="15">
      <c r="B1168" s="87" t="s">
        <v>1</v>
      </c>
      <c r="C1168" s="88" t="s">
        <v>5259</v>
      </c>
      <c r="D1168" s="88">
        <v>18980137</v>
      </c>
      <c r="E1168" s="88" t="s">
        <v>61</v>
      </c>
      <c r="F1168" s="88">
        <v>0</v>
      </c>
      <c r="G1168" s="78">
        <f>MAX(H1168,I1168,J1168)</f>
        <v>1</v>
      </c>
      <c r="H1168" s="88"/>
      <c r="I1168" s="88"/>
      <c r="J1168" s="78">
        <f>MAX(K1168:Q1168)</f>
        <v>1</v>
      </c>
      <c r="K1168" s="88">
        <v>1</v>
      </c>
      <c r="L1168" s="88"/>
      <c r="M1168" s="88"/>
      <c r="N1168" s="88"/>
      <c r="O1168" s="88"/>
      <c r="P1168" s="88"/>
      <c r="Q1168" s="88"/>
      <c r="R1168" s="78">
        <f>MAX(S1168:W1168)</f>
        <v>0</v>
      </c>
      <c r="S1168" s="88"/>
      <c r="T1168" s="88"/>
      <c r="U1168" s="88"/>
      <c r="V1168" s="88"/>
      <c r="W1168" s="88"/>
    </row>
    <row r="1169" spans="2:23" s="0" customFormat="0" ht="15">
      <c r="B1169" s="87" t="s">
        <v>1</v>
      </c>
      <c r="C1169" s="88" t="s">
        <v>5259</v>
      </c>
      <c r="D1169" s="88">
        <v>24203931</v>
      </c>
      <c r="E1169" s="88" t="s">
        <v>61</v>
      </c>
      <c r="F1169" s="88">
        <v>0</v>
      </c>
      <c r="G1169" s="78">
        <f>MAX(H1169,I1169,J1169)</f>
        <v>1</v>
      </c>
      <c r="H1169" s="88"/>
      <c r="I1169" s="88"/>
      <c r="J1169" s="78">
        <f>MAX(K1169:Q1169)</f>
        <v>1</v>
      </c>
      <c r="K1169" s="88">
        <v>1</v>
      </c>
      <c r="L1169" s="88"/>
      <c r="M1169" s="88"/>
      <c r="N1169" s="88"/>
      <c r="O1169" s="88"/>
      <c r="P1169" s="88"/>
      <c r="Q1169" s="88"/>
      <c r="R1169" s="78">
        <f>MAX(S1169:W1169)</f>
        <v>0</v>
      </c>
      <c r="S1169" s="88"/>
      <c r="T1169" s="88"/>
      <c r="U1169" s="88"/>
      <c r="V1169" s="88"/>
      <c r="W1169" s="88"/>
    </row>
    <row r="1170" spans="2:23" s="0" customFormat="0" ht="15">
      <c r="B1170" s="87" t="s">
        <v>1</v>
      </c>
      <c r="C1170" s="88" t="s">
        <v>5259</v>
      </c>
      <c r="D1170" s="88">
        <v>15874704</v>
      </c>
      <c r="E1170" s="88" t="s">
        <v>61</v>
      </c>
      <c r="F1170" s="88">
        <v>0</v>
      </c>
      <c r="G1170" s="78">
        <f>MAX(H1170,I1170,J1170)</f>
        <v>1</v>
      </c>
      <c r="H1170" s="88"/>
      <c r="I1170" s="88"/>
      <c r="J1170" s="78">
        <f>MAX(K1170:Q1170)</f>
        <v>1</v>
      </c>
      <c r="K1170" s="88">
        <v>1</v>
      </c>
      <c r="L1170" s="88"/>
      <c r="M1170" s="88"/>
      <c r="N1170" s="88"/>
      <c r="O1170" s="88"/>
      <c r="P1170" s="88"/>
      <c r="Q1170" s="88"/>
      <c r="R1170" s="78">
        <f>MAX(S1170:W1170)</f>
        <v>0</v>
      </c>
      <c r="S1170" s="88"/>
      <c r="T1170" s="88"/>
      <c r="U1170" s="88"/>
      <c r="V1170" s="88"/>
      <c r="W1170" s="88"/>
    </row>
    <row r="1171" spans="2:23" s="0" customFormat="0" ht="15">
      <c r="B1171" s="87" t="s">
        <v>1</v>
      </c>
      <c r="C1171" s="88" t="s">
        <v>5259</v>
      </c>
      <c r="D1171" s="88">
        <v>16974058</v>
      </c>
      <c r="E1171" s="88" t="s">
        <v>61</v>
      </c>
      <c r="F1171" s="88">
        <v>0</v>
      </c>
      <c r="G1171" s="78">
        <f>MAX(H1171,I1171,J1171)</f>
        <v>0</v>
      </c>
      <c r="H1171" s="88"/>
      <c r="I1171" s="88"/>
      <c r="J1171" s="78">
        <f>MAX(K1171:Q1171)</f>
        <v>0</v>
      </c>
      <c r="K1171" s="88"/>
      <c r="L1171" s="88"/>
      <c r="M1171" s="88"/>
      <c r="N1171" s="88"/>
      <c r="O1171" s="88"/>
      <c r="P1171" s="88"/>
      <c r="Q1171" s="88"/>
      <c r="R1171" s="78">
        <f>MAX(S1171:W1171)</f>
        <v>1</v>
      </c>
      <c r="S1171" s="88"/>
      <c r="T1171" s="88"/>
      <c r="U1171" s="88">
        <v>1</v>
      </c>
      <c r="V1171" s="88"/>
      <c r="W1171" s="88"/>
    </row>
    <row r="1172" spans="2:23" s="0" customFormat="0" ht="15">
      <c r="B1172" s="87" t="s">
        <v>1</v>
      </c>
      <c r="C1172" s="88" t="s">
        <v>5259</v>
      </c>
      <c r="D1172" s="88" t="s">
        <v>3881</v>
      </c>
      <c r="E1172" s="88" t="s">
        <v>61</v>
      </c>
      <c r="F1172" s="88">
        <v>0</v>
      </c>
      <c r="G1172" s="78">
        <f>MAX(H1172,I1172,J1172)</f>
        <v>0</v>
      </c>
      <c r="H1172" s="88"/>
      <c r="I1172" s="88"/>
      <c r="J1172" s="78">
        <f>MAX(K1172:Q1172)</f>
        <v>0</v>
      </c>
      <c r="K1172" s="88"/>
      <c r="L1172" s="88"/>
      <c r="M1172" s="88"/>
      <c r="N1172" s="88"/>
      <c r="O1172" s="88"/>
      <c r="P1172" s="88"/>
      <c r="Q1172" s="88"/>
      <c r="R1172" s="78">
        <f>MAX(S1172:W1172)</f>
        <v>1</v>
      </c>
      <c r="S1172" s="88"/>
      <c r="T1172" s="88"/>
      <c r="U1172" s="88">
        <v>1</v>
      </c>
      <c r="V1172" s="88"/>
      <c r="W1172" s="88"/>
    </row>
    <row r="1173" spans="2:23" s="0" customFormat="0" ht="15">
      <c r="B1173" s="87" t="s">
        <v>1</v>
      </c>
      <c r="C1173" s="88" t="s">
        <v>5259</v>
      </c>
      <c r="D1173" s="88" t="s">
        <v>3883</v>
      </c>
      <c r="E1173" s="88" t="s">
        <v>61</v>
      </c>
      <c r="F1173" s="88">
        <v>0</v>
      </c>
      <c r="G1173" s="78">
        <f>MAX(H1173,I1173,J1173)</f>
        <v>0</v>
      </c>
      <c r="H1173" s="88"/>
      <c r="I1173" s="88"/>
      <c r="J1173" s="78">
        <f>MAX(K1173:Q1173)</f>
        <v>0</v>
      </c>
      <c r="K1173" s="88"/>
      <c r="L1173" s="88"/>
      <c r="M1173" s="88"/>
      <c r="N1173" s="88"/>
      <c r="O1173" s="88"/>
      <c r="P1173" s="88"/>
      <c r="Q1173" s="88"/>
      <c r="R1173" s="78">
        <f>MAX(S1173:W1173)</f>
        <v>1</v>
      </c>
      <c r="S1173" s="88"/>
      <c r="T1173" s="88"/>
      <c r="U1173" s="88">
        <v>1</v>
      </c>
      <c r="V1173" s="88"/>
      <c r="W1173" s="88"/>
    </row>
    <row r="1174" spans="2:23" s="0" customFormat="0" ht="15">
      <c r="B1174" s="87" t="s">
        <v>1</v>
      </c>
      <c r="C1174" s="88" t="s">
        <v>5259</v>
      </c>
      <c r="D1174" s="88">
        <v>19475893</v>
      </c>
      <c r="E1174" s="88" t="s">
        <v>61</v>
      </c>
      <c r="F1174" s="88">
        <v>0</v>
      </c>
      <c r="G1174" s="78">
        <f>MAX(H1174,I1174,J1174)</f>
        <v>1</v>
      </c>
      <c r="H1174" s="88"/>
      <c r="I1174" s="88"/>
      <c r="J1174" s="78">
        <f>MAX(K1174:Q1174)</f>
        <v>1</v>
      </c>
      <c r="K1174" s="88">
        <v>1</v>
      </c>
      <c r="L1174" s="88"/>
      <c r="M1174" s="88"/>
      <c r="N1174" s="88"/>
      <c r="O1174" s="88"/>
      <c r="P1174" s="88"/>
      <c r="Q1174" s="88"/>
      <c r="R1174" s="78">
        <f>MAX(S1174:W1174)</f>
        <v>0</v>
      </c>
      <c r="S1174" s="88"/>
      <c r="T1174" s="88"/>
      <c r="U1174" s="88"/>
      <c r="V1174" s="88"/>
      <c r="W1174" s="88"/>
    </row>
    <row r="1175" spans="2:23" s="0" customFormat="0" ht="15">
      <c r="B1175" s="87" t="s">
        <v>1</v>
      </c>
      <c r="C1175" s="88" t="s">
        <v>5259</v>
      </c>
      <c r="D1175" s="88">
        <v>14543370</v>
      </c>
      <c r="E1175" s="88" t="s">
        <v>61</v>
      </c>
      <c r="F1175" s="88">
        <v>0</v>
      </c>
      <c r="G1175" s="78">
        <f>MAX(H1175,I1175,J1175)</f>
        <v>1</v>
      </c>
      <c r="H1175" s="88"/>
      <c r="I1175" s="88"/>
      <c r="J1175" s="78">
        <f>MAX(K1175:Q1175)</f>
        <v>1</v>
      </c>
      <c r="K1175" s="88">
        <v>1</v>
      </c>
      <c r="L1175" s="88"/>
      <c r="M1175" s="88"/>
      <c r="N1175" s="88"/>
      <c r="O1175" s="88"/>
      <c r="P1175" s="88"/>
      <c r="Q1175" s="88"/>
      <c r="R1175" s="78">
        <f>MAX(S1175:W1175)</f>
        <v>0</v>
      </c>
      <c r="S1175" s="88"/>
      <c r="T1175" s="88"/>
      <c r="U1175" s="88"/>
      <c r="V1175" s="88"/>
      <c r="W1175" s="88"/>
    </row>
    <row r="1176" spans="2:23" s="0" customFormat="0" ht="15">
      <c r="B1176" s="87" t="s">
        <v>1</v>
      </c>
      <c r="C1176" s="88" t="s">
        <v>5259</v>
      </c>
      <c r="D1176" s="88">
        <v>22623656</v>
      </c>
      <c r="E1176" s="88" t="s">
        <v>61</v>
      </c>
      <c r="F1176" s="88">
        <v>0</v>
      </c>
      <c r="G1176" s="78">
        <f>MAX(H1176,I1176,J1176)</f>
        <v>0</v>
      </c>
      <c r="H1176" s="88"/>
      <c r="I1176" s="88"/>
      <c r="J1176" s="78">
        <f>MAX(K1176:Q1176)</f>
        <v>0</v>
      </c>
      <c r="K1176" s="88"/>
      <c r="L1176" s="88"/>
      <c r="M1176" s="88"/>
      <c r="N1176" s="88"/>
      <c r="O1176" s="88"/>
      <c r="P1176" s="88"/>
      <c r="Q1176" s="88"/>
      <c r="R1176" s="78">
        <f>MAX(S1176:W1176)</f>
        <v>1</v>
      </c>
      <c r="S1176" s="88"/>
      <c r="T1176" s="88"/>
      <c r="U1176" s="88">
        <v>1</v>
      </c>
      <c r="V1176" s="88"/>
      <c r="W1176" s="88"/>
    </row>
    <row r="1177" spans="2:23" s="0" customFormat="0" ht="15">
      <c r="B1177" s="87" t="s">
        <v>1</v>
      </c>
      <c r="C1177" s="88" t="s">
        <v>5259</v>
      </c>
      <c r="D1177" s="88">
        <v>12187821</v>
      </c>
      <c r="E1177" s="88" t="s">
        <v>61</v>
      </c>
      <c r="F1177" s="88">
        <v>0</v>
      </c>
      <c r="G1177" s="78">
        <f>MAX(H1177,I1177,J1177)</f>
        <v>1</v>
      </c>
      <c r="H1177" s="88"/>
      <c r="I1177" s="88"/>
      <c r="J1177" s="78">
        <f>MAX(K1177:Q1177)</f>
        <v>1</v>
      </c>
      <c r="K1177" s="88">
        <v>1</v>
      </c>
      <c r="L1177" s="88"/>
      <c r="M1177" s="88"/>
      <c r="N1177" s="88"/>
      <c r="O1177" s="88"/>
      <c r="P1177" s="88"/>
      <c r="Q1177" s="88"/>
      <c r="R1177" s="78">
        <f>MAX(S1177:W1177)</f>
        <v>0</v>
      </c>
      <c r="S1177" s="88"/>
      <c r="T1177" s="88"/>
      <c r="U1177" s="88"/>
      <c r="V1177" s="88"/>
      <c r="W1177" s="88"/>
    </row>
    <row r="1178" spans="2:23" s="0" customFormat="0" ht="15">
      <c r="B1178" s="87" t="s">
        <v>1</v>
      </c>
      <c r="C1178" s="88" t="s">
        <v>5259</v>
      </c>
      <c r="D1178" s="88">
        <v>21802086</v>
      </c>
      <c r="E1178" s="88" t="s">
        <v>61</v>
      </c>
      <c r="F1178" s="88">
        <v>0</v>
      </c>
      <c r="G1178" s="78">
        <f>MAX(H1178,I1178,J1178)</f>
        <v>1</v>
      </c>
      <c r="H1178" s="88"/>
      <c r="I1178" s="88"/>
      <c r="J1178" s="78">
        <f>MAX(K1178:Q1178)</f>
        <v>1</v>
      </c>
      <c r="K1178" s="88">
        <v>1</v>
      </c>
      <c r="L1178" s="88"/>
      <c r="M1178" s="88"/>
      <c r="N1178" s="88"/>
      <c r="O1178" s="88"/>
      <c r="P1178" s="88"/>
      <c r="Q1178" s="88"/>
      <c r="R1178" s="78">
        <f>MAX(S1178:W1178)</f>
        <v>0</v>
      </c>
      <c r="S1178" s="88"/>
      <c r="T1178" s="88"/>
      <c r="U1178" s="88"/>
      <c r="V1178" s="88"/>
      <c r="W1178" s="88"/>
    </row>
    <row r="1179" spans="2:23" s="0" customFormat="0" ht="15">
      <c r="B1179" s="87" t="s">
        <v>1</v>
      </c>
      <c r="C1179" s="88" t="s">
        <v>5259</v>
      </c>
      <c r="D1179" s="88">
        <v>22554518</v>
      </c>
      <c r="E1179" s="88" t="s">
        <v>61</v>
      </c>
      <c r="F1179" s="88">
        <v>0</v>
      </c>
      <c r="G1179" s="78">
        <f>MAX(H1179,I1179,J1179)</f>
        <v>0</v>
      </c>
      <c r="H1179" s="88"/>
      <c r="I1179" s="88"/>
      <c r="J1179" s="78">
        <f>MAX(K1179:Q1179)</f>
        <v>0</v>
      </c>
      <c r="K1179" s="88"/>
      <c r="L1179" s="88"/>
      <c r="M1179" s="88"/>
      <c r="N1179" s="88"/>
      <c r="O1179" s="88"/>
      <c r="P1179" s="88"/>
      <c r="Q1179" s="88"/>
      <c r="R1179" s="78">
        <f>MAX(S1179:W1179)</f>
        <v>1</v>
      </c>
      <c r="S1179" s="88"/>
      <c r="T1179" s="88"/>
      <c r="U1179" s="88">
        <v>1</v>
      </c>
      <c r="V1179" s="88"/>
      <c r="W1179" s="88"/>
    </row>
    <row r="1180" spans="2:23" s="0" customFormat="0" ht="15">
      <c r="B1180" s="87" t="s">
        <v>1</v>
      </c>
      <c r="C1180" s="88" t="s">
        <v>5259</v>
      </c>
      <c r="D1180" s="88">
        <v>2986441</v>
      </c>
      <c r="E1180" s="88" t="s">
        <v>61</v>
      </c>
      <c r="F1180" s="88">
        <v>0</v>
      </c>
      <c r="G1180" s="78">
        <f>MAX(H1180,I1180,J1180)</f>
        <v>0</v>
      </c>
      <c r="H1180" s="88"/>
      <c r="I1180" s="88"/>
      <c r="J1180" s="78">
        <f>MAX(K1180:Q1180)</f>
        <v>0</v>
      </c>
      <c r="K1180" s="88"/>
      <c r="L1180" s="88"/>
      <c r="M1180" s="88"/>
      <c r="N1180" s="88"/>
      <c r="O1180" s="88"/>
      <c r="P1180" s="88"/>
      <c r="Q1180" s="88"/>
      <c r="R1180" s="78">
        <f>MAX(S1180:W1180)</f>
        <v>1</v>
      </c>
      <c r="S1180" s="88"/>
      <c r="T1180" s="88"/>
      <c r="U1180" s="88">
        <v>1</v>
      </c>
      <c r="V1180" s="88"/>
      <c r="W1180" s="88"/>
    </row>
    <row r="1181" spans="2:23" s="0" customFormat="0" ht="15">
      <c r="B1181" s="87" t="s">
        <v>1</v>
      </c>
      <c r="C1181" s="88" t="s">
        <v>5259</v>
      </c>
      <c r="D1181" s="88">
        <v>15774248</v>
      </c>
      <c r="E1181" s="88" t="s">
        <v>61</v>
      </c>
      <c r="F1181" s="88">
        <v>0</v>
      </c>
      <c r="G1181" s="78">
        <f>MAX(H1181,I1181,J1181)</f>
        <v>1</v>
      </c>
      <c r="H1181" s="88"/>
      <c r="I1181" s="88"/>
      <c r="J1181" s="78">
        <f>MAX(K1181:Q1181)</f>
        <v>1</v>
      </c>
      <c r="K1181" s="88">
        <v>1</v>
      </c>
      <c r="L1181" s="88"/>
      <c r="M1181" s="88"/>
      <c r="N1181" s="88"/>
      <c r="O1181" s="88"/>
      <c r="P1181" s="88"/>
      <c r="Q1181" s="88"/>
      <c r="R1181" s="78">
        <f>MAX(S1181:W1181)</f>
        <v>0</v>
      </c>
      <c r="S1181" s="88"/>
      <c r="T1181" s="88"/>
      <c r="U1181" s="88"/>
      <c r="V1181" s="88"/>
      <c r="W1181" s="88"/>
    </row>
    <row r="1182" spans="2:23" s="0" customFormat="0" ht="15">
      <c r="B1182" s="87" t="s">
        <v>1</v>
      </c>
      <c r="C1182" s="88" t="s">
        <v>5259</v>
      </c>
      <c r="D1182" s="88" t="s">
        <v>3886</v>
      </c>
      <c r="E1182" s="88" t="s">
        <v>61</v>
      </c>
      <c r="F1182" s="88">
        <v>0</v>
      </c>
      <c r="G1182" s="78">
        <f>MAX(H1182,I1182,J1182)</f>
        <v>0</v>
      </c>
      <c r="H1182" s="88"/>
      <c r="I1182" s="88"/>
      <c r="J1182" s="78">
        <f>MAX(K1182:Q1182)</f>
        <v>0</v>
      </c>
      <c r="K1182" s="88"/>
      <c r="L1182" s="88"/>
      <c r="M1182" s="88"/>
      <c r="N1182" s="88"/>
      <c r="O1182" s="88"/>
      <c r="P1182" s="88"/>
      <c r="Q1182" s="88"/>
      <c r="R1182" s="78">
        <f>MAX(S1182:W1182)</f>
        <v>1</v>
      </c>
      <c r="S1182" s="88"/>
      <c r="T1182" s="88"/>
      <c r="U1182" s="88">
        <v>1</v>
      </c>
      <c r="V1182" s="88"/>
      <c r="W1182" s="88"/>
    </row>
    <row r="1183" spans="2:23" s="0" customFormat="0" ht="15">
      <c r="B1183" s="87" t="s">
        <v>1</v>
      </c>
      <c r="C1183" s="88" t="s">
        <v>5259</v>
      </c>
      <c r="D1183" s="88" t="s">
        <v>3888</v>
      </c>
      <c r="E1183" s="88" t="s">
        <v>61</v>
      </c>
      <c r="F1183" s="88">
        <v>0</v>
      </c>
      <c r="G1183" s="78">
        <f>MAX(H1183,I1183,J1183)</f>
        <v>0</v>
      </c>
      <c r="H1183" s="88"/>
      <c r="I1183" s="88"/>
      <c r="J1183" s="78">
        <f>MAX(K1183:Q1183)</f>
        <v>0</v>
      </c>
      <c r="K1183" s="88"/>
      <c r="L1183" s="88"/>
      <c r="M1183" s="88"/>
      <c r="N1183" s="88"/>
      <c r="O1183" s="88"/>
      <c r="P1183" s="88"/>
      <c r="Q1183" s="88"/>
      <c r="R1183" s="78">
        <f>MAX(S1183:W1183)</f>
        <v>1</v>
      </c>
      <c r="S1183" s="88"/>
      <c r="T1183" s="88"/>
      <c r="U1183" s="88">
        <v>1</v>
      </c>
      <c r="V1183" s="88"/>
      <c r="W1183" s="88"/>
    </row>
    <row r="1184" spans="2:23" s="0" customFormat="0" ht="15">
      <c r="B1184" s="87" t="s">
        <v>1</v>
      </c>
      <c r="C1184" s="88" t="s">
        <v>5259</v>
      </c>
      <c r="D1184" s="88">
        <v>19785660</v>
      </c>
      <c r="E1184" s="88" t="s">
        <v>61</v>
      </c>
      <c r="F1184" s="88">
        <v>0</v>
      </c>
      <c r="G1184" s="78">
        <f>MAX(H1184,I1184,J1184)</f>
        <v>1</v>
      </c>
      <c r="H1184" s="88"/>
      <c r="I1184" s="88"/>
      <c r="J1184" s="78">
        <f>MAX(K1184:Q1184)</f>
        <v>1</v>
      </c>
      <c r="K1184" s="88">
        <v>1</v>
      </c>
      <c r="L1184" s="88"/>
      <c r="M1184" s="88"/>
      <c r="N1184" s="88"/>
      <c r="O1184" s="88"/>
      <c r="P1184" s="88"/>
      <c r="Q1184" s="88"/>
      <c r="R1184" s="78">
        <f>MAX(S1184:W1184)</f>
        <v>0</v>
      </c>
      <c r="S1184" s="88"/>
      <c r="T1184" s="88"/>
      <c r="U1184" s="88"/>
      <c r="V1184" s="88"/>
      <c r="W1184" s="88"/>
    </row>
    <row r="1185" spans="2:23" s="0" customFormat="0" ht="15">
      <c r="B1185" s="87" t="s">
        <v>1</v>
      </c>
      <c r="C1185" s="88" t="s">
        <v>5259</v>
      </c>
      <c r="D1185" s="88">
        <v>12402301</v>
      </c>
      <c r="E1185" s="88" t="s">
        <v>61</v>
      </c>
      <c r="F1185" s="88">
        <v>0</v>
      </c>
      <c r="G1185" s="78">
        <f>MAX(H1185,I1185,J1185)</f>
        <v>1</v>
      </c>
      <c r="H1185" s="88"/>
      <c r="I1185" s="88"/>
      <c r="J1185" s="78">
        <f>MAX(K1185:Q1185)</f>
        <v>1</v>
      </c>
      <c r="K1185" s="88">
        <v>1</v>
      </c>
      <c r="L1185" s="88"/>
      <c r="M1185" s="88"/>
      <c r="N1185" s="88"/>
      <c r="O1185" s="88"/>
      <c r="P1185" s="88"/>
      <c r="Q1185" s="88"/>
      <c r="R1185" s="78">
        <f>MAX(S1185:W1185)</f>
        <v>0</v>
      </c>
      <c r="S1185" s="88"/>
      <c r="T1185" s="88"/>
      <c r="U1185" s="88"/>
      <c r="V1185" s="88"/>
      <c r="W1185" s="88"/>
    </row>
    <row r="1186" spans="2:23" s="0" customFormat="0" ht="15">
      <c r="B1186" s="87" t="s">
        <v>1</v>
      </c>
      <c r="C1186" s="88" t="s">
        <v>5259</v>
      </c>
      <c r="D1186" s="88">
        <v>17147948</v>
      </c>
      <c r="E1186" s="88" t="s">
        <v>61</v>
      </c>
      <c r="F1186" s="88">
        <v>0</v>
      </c>
      <c r="G1186" s="78">
        <f>MAX(H1186,I1186,J1186)</f>
        <v>1</v>
      </c>
      <c r="H1186" s="88"/>
      <c r="I1186" s="88"/>
      <c r="J1186" s="78">
        <f>MAX(K1186:Q1186)</f>
        <v>1</v>
      </c>
      <c r="K1186" s="88">
        <v>1</v>
      </c>
      <c r="L1186" s="88"/>
      <c r="M1186" s="88"/>
      <c r="N1186" s="88"/>
      <c r="O1186" s="88"/>
      <c r="P1186" s="88"/>
      <c r="Q1186" s="88"/>
      <c r="R1186" s="78">
        <f>MAX(S1186:W1186)</f>
        <v>0</v>
      </c>
      <c r="S1186" s="88"/>
      <c r="T1186" s="88"/>
      <c r="U1186" s="88"/>
      <c r="V1186" s="88"/>
      <c r="W1186" s="88"/>
    </row>
    <row r="1187" spans="2:23" s="0" customFormat="0" ht="15">
      <c r="B1187" s="87" t="s">
        <v>1</v>
      </c>
      <c r="C1187" s="88" t="s">
        <v>5259</v>
      </c>
      <c r="D1187" s="88" t="s">
        <v>3745</v>
      </c>
      <c r="E1187" s="88" t="s">
        <v>61</v>
      </c>
      <c r="F1187" s="88">
        <v>0</v>
      </c>
      <c r="G1187" s="78">
        <f>MAX(H1187,I1187,J1187)</f>
        <v>0</v>
      </c>
      <c r="H1187" s="88"/>
      <c r="I1187" s="88"/>
      <c r="J1187" s="78">
        <f>MAX(K1187:Q1187)</f>
        <v>0</v>
      </c>
      <c r="K1187" s="88"/>
      <c r="L1187" s="88"/>
      <c r="M1187" s="88"/>
      <c r="N1187" s="88"/>
      <c r="O1187" s="88"/>
      <c r="P1187" s="88"/>
      <c r="Q1187" s="88"/>
      <c r="R1187" s="78">
        <f>MAX(S1187:W1187)</f>
        <v>1</v>
      </c>
      <c r="S1187" s="88"/>
      <c r="T1187" s="88"/>
      <c r="U1187" s="88">
        <v>1</v>
      </c>
      <c r="V1187" s="88"/>
      <c r="W1187" s="88"/>
    </row>
    <row r="1188" spans="2:23" s="0" customFormat="0" ht="15">
      <c r="B1188" s="87" t="s">
        <v>1</v>
      </c>
      <c r="C1188" s="88" t="s">
        <v>5259</v>
      </c>
      <c r="D1188" s="88">
        <v>18701432</v>
      </c>
      <c r="E1188" s="88" t="s">
        <v>61</v>
      </c>
      <c r="F1188" s="88">
        <v>0</v>
      </c>
      <c r="G1188" s="78">
        <f>MAX(H1188,I1188,J1188)</f>
        <v>1</v>
      </c>
      <c r="H1188" s="88"/>
      <c r="I1188" s="88"/>
      <c r="J1188" s="78">
        <f>MAX(K1188:Q1188)</f>
        <v>1</v>
      </c>
      <c r="K1188" s="88">
        <v>1</v>
      </c>
      <c r="L1188" s="88"/>
      <c r="M1188" s="88"/>
      <c r="N1188" s="88"/>
      <c r="O1188" s="88"/>
      <c r="P1188" s="88"/>
      <c r="Q1188" s="88"/>
      <c r="R1188" s="78">
        <f>MAX(S1188:W1188)</f>
        <v>0</v>
      </c>
      <c r="S1188" s="88"/>
      <c r="T1188" s="88"/>
      <c r="U1188" s="88"/>
      <c r="V1188" s="88"/>
      <c r="W1188" s="88"/>
    </row>
    <row r="1189" spans="2:23" s="0" customFormat="0" ht="15">
      <c r="B1189" s="87" t="s">
        <v>1</v>
      </c>
      <c r="C1189" s="88" t="s">
        <v>5259</v>
      </c>
      <c r="D1189" s="88">
        <v>1551609</v>
      </c>
      <c r="E1189" s="88" t="s">
        <v>61</v>
      </c>
      <c r="F1189" s="88">
        <v>0</v>
      </c>
      <c r="G1189" s="78">
        <f>MAX(H1189,I1189,J1189)</f>
        <v>0</v>
      </c>
      <c r="H1189" s="88"/>
      <c r="I1189" s="88"/>
      <c r="J1189" s="78">
        <f>MAX(K1189:Q1189)</f>
        <v>0</v>
      </c>
      <c r="K1189" s="88"/>
      <c r="L1189" s="88"/>
      <c r="M1189" s="88"/>
      <c r="N1189" s="88"/>
      <c r="O1189" s="88"/>
      <c r="P1189" s="88"/>
      <c r="Q1189" s="88"/>
      <c r="R1189" s="78">
        <f>MAX(S1189:W1189)</f>
        <v>1</v>
      </c>
      <c r="S1189" s="88"/>
      <c r="T1189" s="88"/>
      <c r="U1189" s="88">
        <v>1</v>
      </c>
      <c r="V1189" s="88"/>
      <c r="W1189" s="88"/>
    </row>
    <row r="1190" spans="2:23" s="0" customFormat="0" ht="15">
      <c r="B1190" s="87" t="s">
        <v>1</v>
      </c>
      <c r="C1190" s="88" t="s">
        <v>5259</v>
      </c>
      <c r="D1190" s="88" t="s">
        <v>3890</v>
      </c>
      <c r="E1190" s="88" t="s">
        <v>61</v>
      </c>
      <c r="F1190" s="88">
        <v>0</v>
      </c>
      <c r="G1190" s="78">
        <f>MAX(H1190,I1190,J1190)</f>
        <v>0</v>
      </c>
      <c r="H1190" s="88"/>
      <c r="I1190" s="88"/>
      <c r="J1190" s="78">
        <f>MAX(K1190:Q1190)</f>
        <v>0</v>
      </c>
      <c r="K1190" s="88"/>
      <c r="L1190" s="88"/>
      <c r="M1190" s="88"/>
      <c r="N1190" s="88"/>
      <c r="O1190" s="88"/>
      <c r="P1190" s="88"/>
      <c r="Q1190" s="88"/>
      <c r="R1190" s="78">
        <f>MAX(S1190:W1190)</f>
        <v>1</v>
      </c>
      <c r="S1190" s="88"/>
      <c r="T1190" s="88"/>
      <c r="U1190" s="88">
        <v>1</v>
      </c>
      <c r="V1190" s="88"/>
      <c r="W1190" s="88"/>
    </row>
    <row r="1191" spans="2:23" s="0" customFormat="0" ht="15">
      <c r="B1191" s="87" t="s">
        <v>1</v>
      </c>
      <c r="C1191" s="88" t="s">
        <v>5259</v>
      </c>
      <c r="D1191" s="88" t="s">
        <v>3892</v>
      </c>
      <c r="E1191" s="88" t="s">
        <v>61</v>
      </c>
      <c r="F1191" s="88">
        <v>0</v>
      </c>
      <c r="G1191" s="78">
        <f>MAX(H1191,I1191,J1191)</f>
        <v>0</v>
      </c>
      <c r="H1191" s="88"/>
      <c r="I1191" s="88"/>
      <c r="J1191" s="78">
        <f>MAX(K1191:Q1191)</f>
        <v>0</v>
      </c>
      <c r="K1191" s="88"/>
      <c r="L1191" s="88"/>
      <c r="M1191" s="88"/>
      <c r="N1191" s="88"/>
      <c r="O1191" s="88"/>
      <c r="P1191" s="88"/>
      <c r="Q1191" s="88"/>
      <c r="R1191" s="78">
        <f>MAX(S1191:W1191)</f>
        <v>1</v>
      </c>
      <c r="S1191" s="88"/>
      <c r="T1191" s="88"/>
      <c r="U1191" s="88">
        <v>1</v>
      </c>
      <c r="V1191" s="88"/>
      <c r="W1191" s="88"/>
    </row>
    <row r="1192" spans="2:23" s="0" customFormat="0" ht="15">
      <c r="B1192" s="87" t="s">
        <v>1</v>
      </c>
      <c r="C1192" s="88" t="s">
        <v>5259</v>
      </c>
      <c r="D1192" s="88">
        <v>6689630</v>
      </c>
      <c r="E1192" s="88" t="s">
        <v>61</v>
      </c>
      <c r="F1192" s="88">
        <v>0</v>
      </c>
      <c r="G1192" s="78">
        <f>MAX(H1192,I1192,J1192)</f>
        <v>0</v>
      </c>
      <c r="H1192" s="88"/>
      <c r="I1192" s="88"/>
      <c r="J1192" s="78">
        <f>MAX(K1192:Q1192)</f>
        <v>0</v>
      </c>
      <c r="K1192" s="88"/>
      <c r="L1192" s="88"/>
      <c r="M1192" s="88"/>
      <c r="N1192" s="88"/>
      <c r="O1192" s="88"/>
      <c r="P1192" s="88"/>
      <c r="Q1192" s="88"/>
      <c r="R1192" s="78">
        <f>MAX(S1192:W1192)</f>
        <v>1</v>
      </c>
      <c r="S1192" s="88"/>
      <c r="T1192" s="88"/>
      <c r="U1192" s="88">
        <v>1</v>
      </c>
      <c r="V1192" s="88"/>
      <c r="W1192" s="88"/>
    </row>
    <row r="1193" spans="2:23" s="0" customFormat="0" ht="15">
      <c r="B1193" s="87" t="s">
        <v>1</v>
      </c>
      <c r="C1193" s="88" t="s">
        <v>5259</v>
      </c>
      <c r="D1193" s="88">
        <v>20995748</v>
      </c>
      <c r="E1193" s="88" t="s">
        <v>61</v>
      </c>
      <c r="F1193" s="88">
        <v>0</v>
      </c>
      <c r="G1193" s="78">
        <f>MAX(H1193,I1193,J1193)</f>
        <v>1</v>
      </c>
      <c r="H1193" s="88"/>
      <c r="I1193" s="88"/>
      <c r="J1193" s="78">
        <f>MAX(K1193:Q1193)</f>
        <v>1</v>
      </c>
      <c r="K1193" s="88">
        <v>1</v>
      </c>
      <c r="L1193" s="88"/>
      <c r="M1193" s="88"/>
      <c r="N1193" s="88"/>
      <c r="O1193" s="88"/>
      <c r="P1193" s="88"/>
      <c r="Q1193" s="88"/>
      <c r="R1193" s="78">
        <f>MAX(S1193:W1193)</f>
        <v>0</v>
      </c>
      <c r="S1193" s="88"/>
      <c r="T1193" s="88"/>
      <c r="U1193" s="88"/>
      <c r="V1193" s="88"/>
      <c r="W1193" s="88"/>
    </row>
    <row r="1194" spans="2:23" s="0" customFormat="0" ht="15">
      <c r="B1194" s="87" t="s">
        <v>1</v>
      </c>
      <c r="C1194" s="88" t="s">
        <v>5259</v>
      </c>
      <c r="D1194" s="88">
        <v>7242714</v>
      </c>
      <c r="E1194" s="88" t="s">
        <v>61</v>
      </c>
      <c r="F1194" s="88">
        <v>0</v>
      </c>
      <c r="G1194" s="78">
        <f>MAX(H1194,I1194,J1194)</f>
        <v>0</v>
      </c>
      <c r="H1194" s="88"/>
      <c r="I1194" s="88"/>
      <c r="J1194" s="78">
        <f>MAX(K1194:Q1194)</f>
        <v>0</v>
      </c>
      <c r="K1194" s="88"/>
      <c r="L1194" s="88"/>
      <c r="M1194" s="88"/>
      <c r="N1194" s="88"/>
      <c r="O1194" s="88"/>
      <c r="P1194" s="88"/>
      <c r="Q1194" s="88"/>
      <c r="R1194" s="78">
        <f>MAX(S1194:W1194)</f>
        <v>1</v>
      </c>
      <c r="S1194" s="88"/>
      <c r="T1194" s="88"/>
      <c r="U1194" s="88">
        <v>1</v>
      </c>
      <c r="V1194" s="88"/>
      <c r="W1194" s="88"/>
    </row>
    <row r="1195" spans="2:23" s="0" customFormat="0" ht="15">
      <c r="B1195" s="87" t="s">
        <v>1</v>
      </c>
      <c r="C1195" s="88" t="s">
        <v>5259</v>
      </c>
      <c r="D1195" s="88">
        <v>951622</v>
      </c>
      <c r="E1195" s="88" t="s">
        <v>61</v>
      </c>
      <c r="F1195" s="88">
        <v>0</v>
      </c>
      <c r="G1195" s="78">
        <f>MAX(H1195,I1195,J1195)</f>
        <v>1</v>
      </c>
      <c r="H1195" s="88"/>
      <c r="I1195" s="88"/>
      <c r="J1195" s="78">
        <f>MAX(K1195:Q1195)</f>
        <v>1</v>
      </c>
      <c r="K1195" s="88">
        <v>1</v>
      </c>
      <c r="L1195" s="88"/>
      <c r="M1195" s="88"/>
      <c r="N1195" s="88"/>
      <c r="O1195" s="88"/>
      <c r="P1195" s="88"/>
      <c r="Q1195" s="88"/>
      <c r="R1195" s="78">
        <f>MAX(S1195:W1195)</f>
        <v>0</v>
      </c>
      <c r="S1195" s="88"/>
      <c r="T1195" s="88"/>
      <c r="U1195" s="88"/>
      <c r="V1195" s="88"/>
      <c r="W1195" s="88"/>
    </row>
    <row r="1196" spans="2:23" s="0" customFormat="0" ht="15">
      <c r="B1196" s="87" t="s">
        <v>1</v>
      </c>
      <c r="C1196" s="88" t="s">
        <v>5259</v>
      </c>
      <c r="D1196" s="88">
        <v>14256176</v>
      </c>
      <c r="E1196" s="88" t="s">
        <v>61</v>
      </c>
      <c r="F1196" s="88">
        <v>0</v>
      </c>
      <c r="G1196" s="78">
        <f>MAX(H1196,I1196,J1196)</f>
        <v>1</v>
      </c>
      <c r="H1196" s="88"/>
      <c r="I1196" s="88"/>
      <c r="J1196" s="78">
        <f>MAX(K1196:Q1196)</f>
        <v>1</v>
      </c>
      <c r="K1196" s="88">
        <v>1</v>
      </c>
      <c r="L1196" s="88"/>
      <c r="M1196" s="88"/>
      <c r="N1196" s="88"/>
      <c r="O1196" s="88"/>
      <c r="P1196" s="88"/>
      <c r="Q1196" s="88"/>
      <c r="R1196" s="78">
        <f>MAX(S1196:W1196)</f>
        <v>0</v>
      </c>
      <c r="S1196" s="88"/>
      <c r="T1196" s="88"/>
      <c r="U1196" s="88"/>
      <c r="V1196" s="88"/>
      <c r="W1196" s="88"/>
    </row>
    <row r="1197" spans="2:23" s="0" customFormat="0" ht="15">
      <c r="B1197" s="87" t="s">
        <v>1</v>
      </c>
      <c r="C1197" s="88" t="s">
        <v>5259</v>
      </c>
      <c r="D1197" s="88" t="s">
        <v>1025</v>
      </c>
      <c r="E1197" s="88" t="s">
        <v>61</v>
      </c>
      <c r="F1197" s="88">
        <v>0</v>
      </c>
      <c r="G1197" s="78">
        <f>MAX(H1197,I1197,J1197)</f>
        <v>1</v>
      </c>
      <c r="H1197" s="88"/>
      <c r="I1197" s="88"/>
      <c r="J1197" s="78">
        <f>MAX(K1197:Q1197)</f>
        <v>1</v>
      </c>
      <c r="K1197" s="88">
        <v>1</v>
      </c>
      <c r="L1197" s="88"/>
      <c r="M1197" s="88"/>
      <c r="N1197" s="88"/>
      <c r="O1197" s="88"/>
      <c r="P1197" s="88"/>
      <c r="Q1197" s="88"/>
      <c r="R1197" s="78">
        <f>MAX(S1197:W1197)</f>
        <v>0</v>
      </c>
      <c r="S1197" s="88"/>
      <c r="T1197" s="88"/>
      <c r="U1197" s="88"/>
      <c r="V1197" s="88"/>
      <c r="W1197" s="88"/>
    </row>
    <row r="1198" spans="2:23" s="0" customFormat="0" ht="15">
      <c r="B1198" s="87" t="s">
        <v>1</v>
      </c>
      <c r="C1198" s="88" t="s">
        <v>5259</v>
      </c>
      <c r="D1198" s="88">
        <v>22554176</v>
      </c>
      <c r="E1198" s="88" t="s">
        <v>61</v>
      </c>
      <c r="F1198" s="88">
        <v>0</v>
      </c>
      <c r="G1198" s="78">
        <f>MAX(H1198,I1198,J1198)</f>
        <v>0</v>
      </c>
      <c r="H1198" s="88"/>
      <c r="I1198" s="88"/>
      <c r="J1198" s="78">
        <f>MAX(K1198:Q1198)</f>
        <v>0</v>
      </c>
      <c r="K1198" s="88"/>
      <c r="L1198" s="88"/>
      <c r="M1198" s="88"/>
      <c r="N1198" s="88"/>
      <c r="O1198" s="88"/>
      <c r="P1198" s="88"/>
      <c r="Q1198" s="88"/>
      <c r="R1198" s="78">
        <f>MAX(S1198:W1198)</f>
        <v>1</v>
      </c>
      <c r="S1198" s="88"/>
      <c r="T1198" s="88"/>
      <c r="U1198" s="88">
        <v>1</v>
      </c>
      <c r="V1198" s="88"/>
      <c r="W1198" s="88"/>
    </row>
    <row r="1199" spans="2:23" s="0" customFormat="0" ht="15">
      <c r="B1199" s="87" t="s">
        <v>1</v>
      </c>
      <c r="C1199" s="88" t="s">
        <v>5259</v>
      </c>
      <c r="D1199" s="88">
        <v>22623669</v>
      </c>
      <c r="E1199" s="88" t="s">
        <v>61</v>
      </c>
      <c r="F1199" s="88">
        <v>0</v>
      </c>
      <c r="G1199" s="78">
        <f>MAX(H1199,I1199,J1199)</f>
        <v>0</v>
      </c>
      <c r="H1199" s="88"/>
      <c r="I1199" s="88"/>
      <c r="J1199" s="78">
        <f>MAX(K1199:Q1199)</f>
        <v>0</v>
      </c>
      <c r="K1199" s="88"/>
      <c r="L1199" s="88"/>
      <c r="M1199" s="88"/>
      <c r="N1199" s="88"/>
      <c r="O1199" s="88"/>
      <c r="P1199" s="88"/>
      <c r="Q1199" s="88"/>
      <c r="R1199" s="78">
        <f>MAX(S1199:W1199)</f>
        <v>1</v>
      </c>
      <c r="S1199" s="88"/>
      <c r="T1199" s="88"/>
      <c r="U1199" s="88">
        <v>1</v>
      </c>
      <c r="V1199" s="88"/>
      <c r="W1199" s="88"/>
    </row>
    <row r="1200" spans="2:23" s="0" customFormat="0" ht="15">
      <c r="B1200" s="87" t="s">
        <v>1</v>
      </c>
      <c r="C1200" s="88" t="s">
        <v>5259</v>
      </c>
      <c r="D1200" s="88" t="s">
        <v>3896</v>
      </c>
      <c r="E1200" s="88" t="s">
        <v>61</v>
      </c>
      <c r="F1200" s="88">
        <v>0</v>
      </c>
      <c r="G1200" s="78">
        <f>MAX(H1200,I1200,J1200)</f>
        <v>0</v>
      </c>
      <c r="H1200" s="88"/>
      <c r="I1200" s="88"/>
      <c r="J1200" s="78">
        <f>MAX(K1200:Q1200)</f>
        <v>0</v>
      </c>
      <c r="K1200" s="88"/>
      <c r="L1200" s="88"/>
      <c r="M1200" s="88"/>
      <c r="N1200" s="88"/>
      <c r="O1200" s="88"/>
      <c r="P1200" s="88"/>
      <c r="Q1200" s="88"/>
      <c r="R1200" s="78">
        <f>MAX(S1200:W1200)</f>
        <v>1</v>
      </c>
      <c r="S1200" s="88"/>
      <c r="T1200" s="88"/>
      <c r="U1200" s="88">
        <v>1</v>
      </c>
      <c r="V1200" s="88"/>
      <c r="W1200" s="88"/>
    </row>
    <row r="1201" spans="2:23" s="0" customFormat="0" ht="15">
      <c r="B1201" s="87" t="s">
        <v>1</v>
      </c>
      <c r="C1201" s="88" t="s">
        <v>5259</v>
      </c>
      <c r="D1201" s="88" t="s">
        <v>1027</v>
      </c>
      <c r="E1201" s="88" t="s">
        <v>61</v>
      </c>
      <c r="F1201" s="88">
        <v>0</v>
      </c>
      <c r="G1201" s="78">
        <f>MAX(H1201,I1201,J1201)</f>
        <v>1</v>
      </c>
      <c r="H1201" s="88"/>
      <c r="I1201" s="88"/>
      <c r="J1201" s="78">
        <f>MAX(K1201:Q1201)</f>
        <v>1</v>
      </c>
      <c r="K1201" s="88">
        <v>1</v>
      </c>
      <c r="L1201" s="88"/>
      <c r="M1201" s="88"/>
      <c r="N1201" s="88"/>
      <c r="O1201" s="88"/>
      <c r="P1201" s="88"/>
      <c r="Q1201" s="88"/>
      <c r="R1201" s="78">
        <f>MAX(S1201:W1201)</f>
        <v>0</v>
      </c>
      <c r="S1201" s="88"/>
      <c r="T1201" s="88"/>
      <c r="U1201" s="88"/>
      <c r="V1201" s="88"/>
      <c r="W1201" s="88"/>
    </row>
    <row r="1202" spans="2:23" s="0" customFormat="0" ht="15">
      <c r="B1202" s="87" t="s">
        <v>1</v>
      </c>
      <c r="C1202" s="88" t="s">
        <v>5259</v>
      </c>
      <c r="D1202" s="88">
        <v>11877040</v>
      </c>
      <c r="E1202" s="88" t="s">
        <v>61</v>
      </c>
      <c r="F1202" s="88">
        <v>0</v>
      </c>
      <c r="G1202" s="78">
        <f>MAX(H1202,I1202,J1202)</f>
        <v>1</v>
      </c>
      <c r="H1202" s="88"/>
      <c r="I1202" s="88"/>
      <c r="J1202" s="78">
        <f>MAX(K1202:Q1202)</f>
        <v>1</v>
      </c>
      <c r="K1202" s="88">
        <v>1</v>
      </c>
      <c r="L1202" s="88"/>
      <c r="M1202" s="88"/>
      <c r="N1202" s="88"/>
      <c r="O1202" s="88"/>
      <c r="P1202" s="88"/>
      <c r="Q1202" s="88"/>
      <c r="R1202" s="78">
        <f>MAX(S1202:W1202)</f>
        <v>0</v>
      </c>
      <c r="S1202" s="88"/>
      <c r="T1202" s="88"/>
      <c r="U1202" s="88"/>
      <c r="V1202" s="88"/>
      <c r="W1202" s="88"/>
    </row>
    <row r="1203" spans="2:23" s="0" customFormat="0" ht="15">
      <c r="B1203" s="87" t="s">
        <v>1</v>
      </c>
      <c r="C1203" s="88" t="s">
        <v>5259</v>
      </c>
      <c r="D1203" s="88">
        <v>18423592</v>
      </c>
      <c r="E1203" s="88" t="s">
        <v>61</v>
      </c>
      <c r="F1203" s="88">
        <v>0</v>
      </c>
      <c r="G1203" s="78">
        <f>MAX(H1203,I1203,J1203)</f>
        <v>0</v>
      </c>
      <c r="H1203" s="88"/>
      <c r="I1203" s="88"/>
      <c r="J1203" s="78">
        <f>MAX(K1203:Q1203)</f>
        <v>0</v>
      </c>
      <c r="K1203" s="88"/>
      <c r="L1203" s="88"/>
      <c r="M1203" s="88"/>
      <c r="N1203" s="88"/>
      <c r="O1203" s="88"/>
      <c r="P1203" s="88"/>
      <c r="Q1203" s="88"/>
      <c r="R1203" s="78">
        <f>MAX(S1203:W1203)</f>
        <v>1</v>
      </c>
      <c r="S1203" s="88"/>
      <c r="T1203" s="88"/>
      <c r="U1203" s="88">
        <v>1</v>
      </c>
      <c r="V1203" s="88"/>
      <c r="W1203" s="88"/>
    </row>
    <row r="1204" spans="2:23" s="0" customFormat="0" ht="15">
      <c r="B1204" s="87" t="s">
        <v>1</v>
      </c>
      <c r="C1204" s="88" t="s">
        <v>5259</v>
      </c>
      <c r="D1204" s="88">
        <v>20173120</v>
      </c>
      <c r="E1204" s="88" t="s">
        <v>61</v>
      </c>
      <c r="F1204" s="88">
        <v>0</v>
      </c>
      <c r="G1204" s="78">
        <f>MAX(H1204,I1204,J1204)</f>
        <v>1</v>
      </c>
      <c r="H1204" s="88"/>
      <c r="I1204" s="88"/>
      <c r="J1204" s="78">
        <f>MAX(K1204:Q1204)</f>
        <v>1</v>
      </c>
      <c r="K1204" s="88">
        <v>1</v>
      </c>
      <c r="L1204" s="88"/>
      <c r="M1204" s="88"/>
      <c r="N1204" s="88"/>
      <c r="O1204" s="88"/>
      <c r="P1204" s="88"/>
      <c r="Q1204" s="88"/>
      <c r="R1204" s="78">
        <f>MAX(S1204:W1204)</f>
        <v>0</v>
      </c>
      <c r="S1204" s="88"/>
      <c r="T1204" s="88"/>
      <c r="U1204" s="88"/>
      <c r="V1204" s="88"/>
      <c r="W1204" s="88"/>
    </row>
    <row r="1205" spans="2:23" s="0" customFormat="0" ht="15">
      <c r="B1205" s="87" t="s">
        <v>1</v>
      </c>
      <c r="C1205" s="88" t="s">
        <v>5259</v>
      </c>
      <c r="D1205" s="88">
        <v>13412749</v>
      </c>
      <c r="E1205" s="88" t="s">
        <v>61</v>
      </c>
      <c r="F1205" s="88">
        <v>0</v>
      </c>
      <c r="G1205" s="78">
        <f>MAX(H1205,I1205,J1205)</f>
        <v>1</v>
      </c>
      <c r="H1205" s="88"/>
      <c r="I1205" s="88"/>
      <c r="J1205" s="78">
        <f>MAX(K1205:Q1205)</f>
        <v>1</v>
      </c>
      <c r="K1205" s="88">
        <v>1</v>
      </c>
      <c r="L1205" s="88"/>
      <c r="M1205" s="88"/>
      <c r="N1205" s="88"/>
      <c r="O1205" s="88"/>
      <c r="P1205" s="88"/>
      <c r="Q1205" s="88"/>
      <c r="R1205" s="78">
        <f>MAX(S1205:W1205)</f>
        <v>0</v>
      </c>
      <c r="S1205" s="88"/>
      <c r="T1205" s="88"/>
      <c r="U1205" s="88"/>
      <c r="V1205" s="88"/>
      <c r="W1205" s="88"/>
    </row>
    <row r="1206" spans="2:23" s="0" customFormat="0" ht="15">
      <c r="B1206" s="87" t="s">
        <v>1</v>
      </c>
      <c r="C1206" s="88" t="s">
        <v>5259</v>
      </c>
      <c r="D1206" s="88">
        <v>18916366</v>
      </c>
      <c r="E1206" s="88" t="s">
        <v>61</v>
      </c>
      <c r="F1206" s="88">
        <v>0</v>
      </c>
      <c r="G1206" s="78">
        <f>MAX(H1206,I1206,J1206)</f>
        <v>1</v>
      </c>
      <c r="H1206" s="88"/>
      <c r="I1206" s="88"/>
      <c r="J1206" s="78">
        <f>MAX(K1206:Q1206)</f>
        <v>1</v>
      </c>
      <c r="K1206" s="88">
        <v>1</v>
      </c>
      <c r="L1206" s="88"/>
      <c r="M1206" s="88"/>
      <c r="N1206" s="88"/>
      <c r="O1206" s="88"/>
      <c r="P1206" s="88"/>
      <c r="Q1206" s="88"/>
      <c r="R1206" s="78">
        <f>MAX(S1206:W1206)</f>
        <v>0</v>
      </c>
      <c r="S1206" s="88"/>
      <c r="T1206" s="88"/>
      <c r="U1206" s="88"/>
      <c r="V1206" s="88"/>
      <c r="W1206" s="88"/>
    </row>
    <row r="1207" spans="2:23" s="0" customFormat="0" ht="15">
      <c r="B1207" s="87" t="s">
        <v>1</v>
      </c>
      <c r="C1207" s="88" t="s">
        <v>5259</v>
      </c>
      <c r="D1207" s="88">
        <v>12606189</v>
      </c>
      <c r="E1207" s="88" t="s">
        <v>61</v>
      </c>
      <c r="F1207" s="88">
        <v>0</v>
      </c>
      <c r="G1207" s="78">
        <f>MAX(H1207,I1207,J1207)</f>
        <v>1</v>
      </c>
      <c r="H1207" s="88"/>
      <c r="I1207" s="88"/>
      <c r="J1207" s="78">
        <f>MAX(K1207:Q1207)</f>
        <v>1</v>
      </c>
      <c r="K1207" s="88">
        <v>1</v>
      </c>
      <c r="L1207" s="88"/>
      <c r="M1207" s="88"/>
      <c r="N1207" s="88"/>
      <c r="O1207" s="88"/>
      <c r="P1207" s="88"/>
      <c r="Q1207" s="88"/>
      <c r="R1207" s="78">
        <f>MAX(S1207:W1207)</f>
        <v>0</v>
      </c>
      <c r="S1207" s="88"/>
      <c r="T1207" s="88"/>
      <c r="U1207" s="88"/>
      <c r="V1207" s="88"/>
      <c r="W1207" s="88"/>
    </row>
    <row r="1208" spans="2:23" s="0" customFormat="0" ht="15">
      <c r="B1208" s="87" t="s">
        <v>1</v>
      </c>
      <c r="C1208" s="88" t="s">
        <v>5259</v>
      </c>
      <c r="D1208" s="88">
        <v>6839913</v>
      </c>
      <c r="E1208" s="88" t="s">
        <v>61</v>
      </c>
      <c r="F1208" s="88">
        <v>0</v>
      </c>
      <c r="G1208" s="78">
        <f>MAX(H1208,I1208,J1208)</f>
        <v>1</v>
      </c>
      <c r="H1208" s="88"/>
      <c r="I1208" s="88"/>
      <c r="J1208" s="78">
        <f>MAX(K1208:Q1208)</f>
        <v>1</v>
      </c>
      <c r="K1208" s="88">
        <v>1</v>
      </c>
      <c r="L1208" s="88"/>
      <c r="M1208" s="88"/>
      <c r="N1208" s="88"/>
      <c r="O1208" s="88"/>
      <c r="P1208" s="88"/>
      <c r="Q1208" s="88"/>
      <c r="R1208" s="78">
        <f>MAX(S1208:W1208)</f>
        <v>0</v>
      </c>
      <c r="S1208" s="88"/>
      <c r="T1208" s="88"/>
      <c r="U1208" s="88"/>
      <c r="V1208" s="88"/>
      <c r="W1208" s="88"/>
    </row>
    <row r="1209" spans="2:23" s="0" customFormat="0" ht="15">
      <c r="B1209" s="87" t="s">
        <v>1</v>
      </c>
      <c r="C1209" s="88" t="s">
        <v>5259</v>
      </c>
      <c r="D1209" s="88" t="s">
        <v>3474</v>
      </c>
      <c r="E1209" s="88" t="s">
        <v>61</v>
      </c>
      <c r="F1209" s="88">
        <v>0</v>
      </c>
      <c r="G1209" s="78">
        <f>MAX(H1209,I1209,J1209)</f>
        <v>0</v>
      </c>
      <c r="H1209" s="88"/>
      <c r="I1209" s="88"/>
      <c r="J1209" s="78">
        <f>MAX(K1209:Q1209)</f>
        <v>0</v>
      </c>
      <c r="K1209" s="88"/>
      <c r="L1209" s="88"/>
      <c r="M1209" s="88"/>
      <c r="N1209" s="88"/>
      <c r="O1209" s="88"/>
      <c r="P1209" s="88"/>
      <c r="Q1209" s="88"/>
      <c r="R1209" s="78">
        <f>MAX(S1209:W1209)</f>
        <v>1</v>
      </c>
      <c r="S1209" s="88"/>
      <c r="T1209" s="88"/>
      <c r="U1209" s="88">
        <v>1</v>
      </c>
      <c r="V1209" s="88"/>
      <c r="W1209" s="88"/>
    </row>
    <row r="1210" spans="2:23" s="0" customFormat="0" ht="15">
      <c r="B1210" s="87" t="s">
        <v>1</v>
      </c>
      <c r="C1210" s="88" t="s">
        <v>5259</v>
      </c>
      <c r="D1210" s="88">
        <v>7323825</v>
      </c>
      <c r="E1210" s="88" t="s">
        <v>61</v>
      </c>
      <c r="F1210" s="88">
        <v>0</v>
      </c>
      <c r="G1210" s="78">
        <f>MAX(H1210,I1210,J1210)</f>
        <v>1</v>
      </c>
      <c r="H1210" s="88"/>
      <c r="I1210" s="88"/>
      <c r="J1210" s="78">
        <f>MAX(K1210:Q1210)</f>
        <v>1</v>
      </c>
      <c r="K1210" s="88">
        <v>1</v>
      </c>
      <c r="L1210" s="88"/>
      <c r="M1210" s="88"/>
      <c r="N1210" s="88"/>
      <c r="O1210" s="88"/>
      <c r="P1210" s="88"/>
      <c r="Q1210" s="88"/>
      <c r="R1210" s="78">
        <f>MAX(S1210:W1210)</f>
        <v>0</v>
      </c>
      <c r="S1210" s="88"/>
      <c r="T1210" s="88"/>
      <c r="U1210" s="88"/>
      <c r="V1210" s="88"/>
      <c r="W1210" s="88"/>
    </row>
    <row r="1211" spans="2:23" s="0" customFormat="0" ht="15">
      <c r="B1211" s="87" t="s">
        <v>1</v>
      </c>
      <c r="C1211" s="88" t="s">
        <v>5259</v>
      </c>
      <c r="D1211" s="88">
        <v>5422637</v>
      </c>
      <c r="E1211" s="88" t="s">
        <v>61</v>
      </c>
      <c r="F1211" s="88">
        <v>0</v>
      </c>
      <c r="G1211" s="78">
        <f>MAX(H1211,I1211,J1211)</f>
        <v>0</v>
      </c>
      <c r="H1211" s="88"/>
      <c r="I1211" s="88"/>
      <c r="J1211" s="78">
        <f>MAX(K1211:Q1211)</f>
        <v>0</v>
      </c>
      <c r="K1211" s="88"/>
      <c r="L1211" s="88"/>
      <c r="M1211" s="88"/>
      <c r="N1211" s="88"/>
      <c r="O1211" s="88"/>
      <c r="P1211" s="88"/>
      <c r="Q1211" s="88"/>
      <c r="R1211" s="78">
        <f>MAX(S1211:W1211)</f>
        <v>1</v>
      </c>
      <c r="S1211" s="88"/>
      <c r="T1211" s="88"/>
      <c r="U1211" s="88">
        <v>1</v>
      </c>
      <c r="V1211" s="88"/>
      <c r="W1211" s="88"/>
    </row>
    <row r="1212" spans="2:23" s="0" customFormat="0" ht="15">
      <c r="B1212" s="87" t="s">
        <v>1</v>
      </c>
      <c r="C1212" s="88" t="s">
        <v>5259</v>
      </c>
      <c r="D1212" s="88" t="s">
        <v>3900</v>
      </c>
      <c r="E1212" s="88" t="s">
        <v>61</v>
      </c>
      <c r="F1212" s="88">
        <v>0</v>
      </c>
      <c r="G1212" s="78">
        <f>MAX(H1212,I1212,J1212)</f>
        <v>0</v>
      </c>
      <c r="H1212" s="88"/>
      <c r="I1212" s="88"/>
      <c r="J1212" s="78">
        <f>MAX(K1212:Q1212)</f>
        <v>0</v>
      </c>
      <c r="K1212" s="88"/>
      <c r="L1212" s="88"/>
      <c r="M1212" s="88"/>
      <c r="N1212" s="88"/>
      <c r="O1212" s="88"/>
      <c r="P1212" s="88"/>
      <c r="Q1212" s="88"/>
      <c r="R1212" s="78">
        <f>MAX(S1212:W1212)</f>
        <v>1</v>
      </c>
      <c r="S1212" s="88"/>
      <c r="T1212" s="88"/>
      <c r="U1212" s="88">
        <v>1</v>
      </c>
      <c r="V1212" s="88"/>
      <c r="W1212" s="88"/>
    </row>
    <row r="1213" spans="2:23" s="0" customFormat="0" ht="15">
      <c r="B1213" s="87" t="s">
        <v>1</v>
      </c>
      <c r="C1213" s="88" t="s">
        <v>5259</v>
      </c>
      <c r="D1213" s="88">
        <v>14683362</v>
      </c>
      <c r="E1213" s="88" t="s">
        <v>61</v>
      </c>
      <c r="F1213" s="88">
        <v>0</v>
      </c>
      <c r="G1213" s="78">
        <f>MAX(H1213,I1213,J1213)</f>
        <v>1</v>
      </c>
      <c r="H1213" s="88"/>
      <c r="I1213" s="88"/>
      <c r="J1213" s="78">
        <f>MAX(K1213:Q1213)</f>
        <v>1</v>
      </c>
      <c r="K1213" s="88">
        <v>1</v>
      </c>
      <c r="L1213" s="88"/>
      <c r="M1213" s="88"/>
      <c r="N1213" s="88"/>
      <c r="O1213" s="88"/>
      <c r="P1213" s="88"/>
      <c r="Q1213" s="88"/>
      <c r="R1213" s="78">
        <f>MAX(S1213:W1213)</f>
        <v>0</v>
      </c>
      <c r="S1213" s="88"/>
      <c r="T1213" s="88"/>
      <c r="U1213" s="88"/>
      <c r="V1213" s="88"/>
      <c r="W1213" s="88"/>
    </row>
    <row r="1214" spans="2:23" s="0" customFormat="0" ht="15">
      <c r="B1214" s="87" t="s">
        <v>1</v>
      </c>
      <c r="C1214" s="88" t="s">
        <v>5259</v>
      </c>
      <c r="D1214" s="88">
        <v>21860320</v>
      </c>
      <c r="E1214" s="88" t="s">
        <v>61</v>
      </c>
      <c r="F1214" s="88">
        <v>0</v>
      </c>
      <c r="G1214" s="78">
        <f>MAX(H1214,I1214,J1214)</f>
        <v>1</v>
      </c>
      <c r="H1214" s="88"/>
      <c r="I1214" s="88"/>
      <c r="J1214" s="78">
        <f>MAX(K1214:Q1214)</f>
        <v>1</v>
      </c>
      <c r="K1214" s="88">
        <v>1</v>
      </c>
      <c r="L1214" s="88"/>
      <c r="M1214" s="88"/>
      <c r="N1214" s="88"/>
      <c r="O1214" s="88"/>
      <c r="P1214" s="88"/>
      <c r="Q1214" s="88"/>
      <c r="R1214" s="78">
        <f>MAX(S1214:W1214)</f>
        <v>0</v>
      </c>
      <c r="S1214" s="88"/>
      <c r="T1214" s="88"/>
      <c r="U1214" s="88"/>
      <c r="V1214" s="88"/>
      <c r="W1214" s="88"/>
    </row>
    <row r="1215" spans="2:23" s="0" customFormat="0" ht="15">
      <c r="B1215" s="87" t="s">
        <v>1</v>
      </c>
      <c r="C1215" s="88" t="s">
        <v>5259</v>
      </c>
      <c r="D1215" s="88">
        <v>18929325</v>
      </c>
      <c r="E1215" s="88" t="s">
        <v>61</v>
      </c>
      <c r="F1215" s="88">
        <v>0</v>
      </c>
      <c r="G1215" s="78">
        <f>MAX(H1215,I1215,J1215)</f>
        <v>1</v>
      </c>
      <c r="H1215" s="88"/>
      <c r="I1215" s="88"/>
      <c r="J1215" s="78">
        <f>MAX(K1215:Q1215)</f>
        <v>1</v>
      </c>
      <c r="K1215" s="88">
        <v>1</v>
      </c>
      <c r="L1215" s="88"/>
      <c r="M1215" s="88"/>
      <c r="N1215" s="88"/>
      <c r="O1215" s="88"/>
      <c r="P1215" s="88"/>
      <c r="Q1215" s="88"/>
      <c r="R1215" s="78">
        <f>MAX(S1215:W1215)</f>
        <v>0</v>
      </c>
      <c r="S1215" s="88"/>
      <c r="T1215" s="88"/>
      <c r="U1215" s="88"/>
      <c r="V1215" s="88"/>
      <c r="W1215" s="88"/>
    </row>
    <row r="1216" spans="2:23" s="0" customFormat="0" ht="15">
      <c r="B1216" s="87" t="s">
        <v>1</v>
      </c>
      <c r="C1216" s="88" t="s">
        <v>5259</v>
      </c>
      <c r="D1216" s="88">
        <v>21027849</v>
      </c>
      <c r="E1216" s="88" t="s">
        <v>61</v>
      </c>
      <c r="F1216" s="88">
        <v>0</v>
      </c>
      <c r="G1216" s="78">
        <f>MAX(H1216,I1216,J1216)</f>
        <v>0</v>
      </c>
      <c r="H1216" s="88"/>
      <c r="I1216" s="88"/>
      <c r="J1216" s="78">
        <f>MAX(K1216:Q1216)</f>
        <v>0</v>
      </c>
      <c r="K1216" s="88"/>
      <c r="L1216" s="88"/>
      <c r="M1216" s="88"/>
      <c r="N1216" s="88"/>
      <c r="O1216" s="88"/>
      <c r="P1216" s="88"/>
      <c r="Q1216" s="88"/>
      <c r="R1216" s="78">
        <f>MAX(S1216:W1216)</f>
        <v>1</v>
      </c>
      <c r="S1216" s="88"/>
      <c r="T1216" s="88"/>
      <c r="U1216" s="88">
        <v>1</v>
      </c>
      <c r="V1216" s="88"/>
      <c r="W1216" s="88"/>
    </row>
    <row r="1217" spans="2:23" s="0" customFormat="0" ht="15">
      <c r="B1217" s="87" t="s">
        <v>1</v>
      </c>
      <c r="C1217" s="88" t="s">
        <v>5259</v>
      </c>
      <c r="D1217" s="88">
        <v>22623684</v>
      </c>
      <c r="E1217" s="88" t="s">
        <v>61</v>
      </c>
      <c r="F1217" s="88">
        <v>0</v>
      </c>
      <c r="G1217" s="78">
        <f>MAX(H1217,I1217,J1217)</f>
        <v>0</v>
      </c>
      <c r="H1217" s="88"/>
      <c r="I1217" s="88"/>
      <c r="J1217" s="78">
        <f>MAX(K1217:Q1217)</f>
        <v>0</v>
      </c>
      <c r="K1217" s="88"/>
      <c r="L1217" s="88"/>
      <c r="M1217" s="88"/>
      <c r="N1217" s="88"/>
      <c r="O1217" s="88"/>
      <c r="P1217" s="88"/>
      <c r="Q1217" s="88"/>
      <c r="R1217" s="78">
        <f>MAX(S1217:W1217)</f>
        <v>1</v>
      </c>
      <c r="S1217" s="88"/>
      <c r="T1217" s="88"/>
      <c r="U1217" s="88">
        <v>1</v>
      </c>
      <c r="V1217" s="88"/>
      <c r="W1217" s="88"/>
    </row>
    <row r="1218" spans="2:23" s="0" customFormat="0" ht="15">
      <c r="B1218" s="87" t="s">
        <v>1</v>
      </c>
      <c r="C1218" s="88" t="s">
        <v>5259</v>
      </c>
      <c r="D1218" s="88">
        <v>23914483</v>
      </c>
      <c r="E1218" s="88" t="s">
        <v>61</v>
      </c>
      <c r="F1218" s="88">
        <v>0</v>
      </c>
      <c r="G1218" s="78">
        <f>MAX(H1218,I1218,J1218)</f>
        <v>0</v>
      </c>
      <c r="H1218" s="88"/>
      <c r="I1218" s="88"/>
      <c r="J1218" s="78">
        <f>MAX(K1218:Q1218)</f>
        <v>0</v>
      </c>
      <c r="K1218" s="88"/>
      <c r="L1218" s="88"/>
      <c r="M1218" s="88"/>
      <c r="N1218" s="88"/>
      <c r="O1218" s="88"/>
      <c r="P1218" s="88"/>
      <c r="Q1218" s="88"/>
      <c r="R1218" s="78">
        <f>MAX(S1218:W1218)</f>
        <v>1</v>
      </c>
      <c r="S1218" s="88"/>
      <c r="T1218" s="88"/>
      <c r="U1218" s="88">
        <v>1</v>
      </c>
      <c r="V1218" s="88"/>
      <c r="W1218" s="88"/>
    </row>
    <row r="1219" spans="2:23" s="0" customFormat="0" ht="15">
      <c r="B1219" s="87" t="s">
        <v>1</v>
      </c>
      <c r="C1219" s="88" t="s">
        <v>5259</v>
      </c>
      <c r="D1219" s="88" t="s">
        <v>1036</v>
      </c>
      <c r="E1219" s="88" t="s">
        <v>61</v>
      </c>
      <c r="F1219" s="88">
        <v>0</v>
      </c>
      <c r="G1219" s="78">
        <f>MAX(H1219,I1219,J1219)</f>
        <v>1</v>
      </c>
      <c r="H1219" s="88"/>
      <c r="I1219" s="88"/>
      <c r="J1219" s="78">
        <f>MAX(K1219:Q1219)</f>
        <v>1</v>
      </c>
      <c r="K1219" s="88">
        <v>1</v>
      </c>
      <c r="L1219" s="88"/>
      <c r="M1219" s="88"/>
      <c r="N1219" s="88"/>
      <c r="O1219" s="88"/>
      <c r="P1219" s="88"/>
      <c r="Q1219" s="88"/>
      <c r="R1219" s="78">
        <f>MAX(S1219:W1219)</f>
        <v>0</v>
      </c>
      <c r="S1219" s="88"/>
      <c r="T1219" s="88"/>
      <c r="U1219" s="88"/>
      <c r="V1219" s="88"/>
      <c r="W1219" s="88"/>
    </row>
    <row r="1220" spans="2:23" s="0" customFormat="0" ht="15">
      <c r="B1220" s="87" t="s">
        <v>1</v>
      </c>
      <c r="C1220" s="88" t="s">
        <v>5259</v>
      </c>
      <c r="D1220" s="88">
        <v>17134490</v>
      </c>
      <c r="E1220" s="88" t="s">
        <v>61</v>
      </c>
      <c r="F1220" s="88">
        <v>0</v>
      </c>
      <c r="G1220" s="78">
        <f>MAX(H1220,I1220,J1220)</f>
        <v>1</v>
      </c>
      <c r="H1220" s="88"/>
      <c r="I1220" s="88"/>
      <c r="J1220" s="78">
        <f>MAX(K1220:Q1220)</f>
        <v>1</v>
      </c>
      <c r="K1220" s="88">
        <v>1</v>
      </c>
      <c r="L1220" s="88"/>
      <c r="M1220" s="88"/>
      <c r="N1220" s="88"/>
      <c r="O1220" s="88"/>
      <c r="P1220" s="88"/>
      <c r="Q1220" s="88"/>
      <c r="R1220" s="78">
        <f>MAX(S1220:W1220)</f>
        <v>0</v>
      </c>
      <c r="S1220" s="88"/>
      <c r="T1220" s="88"/>
      <c r="U1220" s="88"/>
      <c r="V1220" s="88"/>
      <c r="W1220" s="88"/>
    </row>
    <row r="1221" spans="2:23" s="0" customFormat="0" ht="15">
      <c r="B1221" s="87" t="s">
        <v>1</v>
      </c>
      <c r="C1221" s="88" t="s">
        <v>5259</v>
      </c>
      <c r="D1221" s="88">
        <v>14618619</v>
      </c>
      <c r="E1221" s="88" t="s">
        <v>61</v>
      </c>
      <c r="F1221" s="88">
        <v>0</v>
      </c>
      <c r="G1221" s="78">
        <f>MAX(H1221,I1221,J1221)</f>
        <v>1</v>
      </c>
      <c r="H1221" s="88"/>
      <c r="I1221" s="88"/>
      <c r="J1221" s="78">
        <f>MAX(K1221:Q1221)</f>
        <v>1</v>
      </c>
      <c r="K1221" s="88">
        <v>1</v>
      </c>
      <c r="L1221" s="88"/>
      <c r="M1221" s="88"/>
      <c r="N1221" s="88"/>
      <c r="O1221" s="88"/>
      <c r="P1221" s="88"/>
      <c r="Q1221" s="88"/>
      <c r="R1221" s="78">
        <f>MAX(S1221:W1221)</f>
        <v>0</v>
      </c>
      <c r="S1221" s="88"/>
      <c r="T1221" s="88"/>
      <c r="U1221" s="88"/>
      <c r="V1221" s="88"/>
      <c r="W1221" s="88"/>
    </row>
    <row r="1222" spans="2:23" s="0" customFormat="0" ht="15">
      <c r="B1222" s="87" t="s">
        <v>1</v>
      </c>
      <c r="C1222" s="88" t="s">
        <v>5259</v>
      </c>
      <c r="D1222" s="88" t="s">
        <v>269</v>
      </c>
      <c r="E1222" s="88" t="s">
        <v>61</v>
      </c>
      <c r="F1222" s="88">
        <v>0</v>
      </c>
      <c r="G1222" s="78">
        <f>MAX(H1222,I1222,J1222)</f>
        <v>1</v>
      </c>
      <c r="H1222" s="88"/>
      <c r="I1222" s="88"/>
      <c r="J1222" s="78">
        <f>MAX(K1222:Q1222)</f>
        <v>1</v>
      </c>
      <c r="K1222" s="88">
        <v>1</v>
      </c>
      <c r="L1222" s="88"/>
      <c r="M1222" s="88"/>
      <c r="N1222" s="88"/>
      <c r="O1222" s="88"/>
      <c r="P1222" s="88"/>
      <c r="Q1222" s="88"/>
      <c r="R1222" s="78">
        <f>MAX(S1222:W1222)</f>
        <v>0</v>
      </c>
      <c r="S1222" s="88"/>
      <c r="T1222" s="88"/>
      <c r="U1222" s="88"/>
      <c r="V1222" s="88"/>
      <c r="W1222" s="88"/>
    </row>
    <row r="1223" spans="2:23" s="0" customFormat="0" ht="15">
      <c r="B1223" s="87" t="s">
        <v>1</v>
      </c>
      <c r="C1223" s="88" t="s">
        <v>5259</v>
      </c>
      <c r="D1223" s="88">
        <v>17737410</v>
      </c>
      <c r="E1223" s="88" t="s">
        <v>61</v>
      </c>
      <c r="F1223" s="88">
        <v>0</v>
      </c>
      <c r="G1223" s="78">
        <f>MAX(H1223,I1223,J1223)</f>
        <v>1</v>
      </c>
      <c r="H1223" s="88"/>
      <c r="I1223" s="88"/>
      <c r="J1223" s="78">
        <f>MAX(K1223:Q1223)</f>
        <v>1</v>
      </c>
      <c r="K1223" s="88"/>
      <c r="L1223" s="88"/>
      <c r="M1223" s="88">
        <v>1</v>
      </c>
      <c r="N1223" s="88"/>
      <c r="O1223" s="88"/>
      <c r="P1223" s="88"/>
      <c r="Q1223" s="88"/>
      <c r="R1223" s="78">
        <f>MAX(S1223:W1223)</f>
        <v>0</v>
      </c>
      <c r="S1223" s="88"/>
      <c r="T1223" s="88"/>
      <c r="U1223" s="88"/>
      <c r="V1223" s="88"/>
      <c r="W1223" s="88"/>
    </row>
    <row r="1224" spans="2:23" s="0" customFormat="0" ht="15">
      <c r="B1224" s="87" t="s">
        <v>1</v>
      </c>
      <c r="C1224" s="88" t="s">
        <v>5259</v>
      </c>
      <c r="D1224" s="88">
        <v>23207363</v>
      </c>
      <c r="E1224" s="88" t="s">
        <v>61</v>
      </c>
      <c r="F1224" s="88">
        <v>0</v>
      </c>
      <c r="G1224" s="78">
        <f>MAX(H1224,I1224,J1224)</f>
        <v>1</v>
      </c>
      <c r="H1224" s="88"/>
      <c r="I1224" s="88"/>
      <c r="J1224" s="78">
        <f>MAX(K1224:Q1224)</f>
        <v>1</v>
      </c>
      <c r="K1224" s="88">
        <v>1</v>
      </c>
      <c r="L1224" s="88"/>
      <c r="M1224" s="88"/>
      <c r="N1224" s="88"/>
      <c r="O1224" s="88"/>
      <c r="P1224" s="88"/>
      <c r="Q1224" s="88"/>
      <c r="R1224" s="78">
        <f>MAX(S1224:W1224)</f>
        <v>0</v>
      </c>
      <c r="S1224" s="88"/>
      <c r="T1224" s="88"/>
      <c r="U1224" s="88"/>
      <c r="V1224" s="88"/>
      <c r="W1224" s="88"/>
    </row>
    <row r="1225" spans="2:23" s="0" customFormat="0" ht="15">
      <c r="B1225" s="87" t="s">
        <v>1</v>
      </c>
      <c r="C1225" s="88" t="s">
        <v>5259</v>
      </c>
      <c r="D1225" s="88">
        <v>18978138</v>
      </c>
      <c r="E1225" s="88" t="s">
        <v>61</v>
      </c>
      <c r="F1225" s="88">
        <v>0</v>
      </c>
      <c r="G1225" s="78">
        <f>MAX(H1225,I1225,J1225)</f>
        <v>1</v>
      </c>
      <c r="H1225" s="88"/>
      <c r="I1225" s="88"/>
      <c r="J1225" s="78">
        <f>MAX(K1225:Q1225)</f>
        <v>1</v>
      </c>
      <c r="K1225" s="88">
        <v>1</v>
      </c>
      <c r="L1225" s="88"/>
      <c r="M1225" s="88"/>
      <c r="N1225" s="88"/>
      <c r="O1225" s="88"/>
      <c r="P1225" s="88"/>
      <c r="Q1225" s="88"/>
      <c r="R1225" s="78">
        <f>MAX(S1225:W1225)</f>
        <v>0</v>
      </c>
      <c r="S1225" s="88"/>
      <c r="T1225" s="88"/>
      <c r="U1225" s="88"/>
      <c r="V1225" s="88"/>
      <c r="W1225" s="88"/>
    </row>
    <row r="1226" spans="2:23" s="0" customFormat="0" ht="15">
      <c r="B1226" s="87" t="s">
        <v>1</v>
      </c>
      <c r="C1226" s="88" t="s">
        <v>5259</v>
      </c>
      <c r="D1226" s="88" t="s">
        <v>1041</v>
      </c>
      <c r="E1226" s="88" t="s">
        <v>61</v>
      </c>
      <c r="F1226" s="88">
        <v>0</v>
      </c>
      <c r="G1226" s="78">
        <f>MAX(H1226,I1226,J1226)</f>
        <v>1</v>
      </c>
      <c r="H1226" s="88"/>
      <c r="I1226" s="88"/>
      <c r="J1226" s="78">
        <f>MAX(K1226:Q1226)</f>
        <v>1</v>
      </c>
      <c r="K1226" s="88">
        <v>1</v>
      </c>
      <c r="L1226" s="88"/>
      <c r="M1226" s="88"/>
      <c r="N1226" s="88"/>
      <c r="O1226" s="88"/>
      <c r="P1226" s="88"/>
      <c r="Q1226" s="88"/>
      <c r="R1226" s="78">
        <f>MAX(S1226:W1226)</f>
        <v>0</v>
      </c>
      <c r="S1226" s="88"/>
      <c r="T1226" s="88"/>
      <c r="U1226" s="88"/>
      <c r="V1226" s="88"/>
      <c r="W1226" s="88"/>
    </row>
    <row r="1227" spans="2:23" s="0" customFormat="0" ht="15">
      <c r="B1227" s="87" t="s">
        <v>1</v>
      </c>
      <c r="C1227" s="88" t="s">
        <v>5259</v>
      </c>
      <c r="D1227" s="88" t="s">
        <v>3905</v>
      </c>
      <c r="E1227" s="88" t="s">
        <v>61</v>
      </c>
      <c r="F1227" s="88">
        <v>0</v>
      </c>
      <c r="G1227" s="78">
        <f>MAX(H1227,I1227,J1227)</f>
        <v>0</v>
      </c>
      <c r="H1227" s="88"/>
      <c r="I1227" s="88"/>
      <c r="J1227" s="78">
        <f>MAX(K1227:Q1227)</f>
        <v>0</v>
      </c>
      <c r="K1227" s="88"/>
      <c r="L1227" s="88"/>
      <c r="M1227" s="88"/>
      <c r="N1227" s="88"/>
      <c r="O1227" s="88"/>
      <c r="P1227" s="88"/>
      <c r="Q1227" s="88"/>
      <c r="R1227" s="78">
        <f>MAX(S1227:W1227)</f>
        <v>1</v>
      </c>
      <c r="S1227" s="88"/>
      <c r="T1227" s="88"/>
      <c r="U1227" s="88">
        <v>1</v>
      </c>
      <c r="V1227" s="88"/>
      <c r="W1227" s="88"/>
    </row>
    <row r="1228" spans="2:23" s="0" customFormat="0" ht="15">
      <c r="B1228" s="87" t="s">
        <v>1</v>
      </c>
      <c r="C1228" s="88" t="s">
        <v>5259</v>
      </c>
      <c r="D1228" s="88" t="s">
        <v>3907</v>
      </c>
      <c r="E1228" s="88" t="s">
        <v>61</v>
      </c>
      <c r="F1228" s="88">
        <v>0</v>
      </c>
      <c r="G1228" s="78">
        <f>MAX(H1228,I1228,J1228)</f>
        <v>0</v>
      </c>
      <c r="H1228" s="88"/>
      <c r="I1228" s="88"/>
      <c r="J1228" s="78">
        <f>MAX(K1228:Q1228)</f>
        <v>0</v>
      </c>
      <c r="K1228" s="88"/>
      <c r="L1228" s="88"/>
      <c r="M1228" s="88"/>
      <c r="N1228" s="88"/>
      <c r="O1228" s="88"/>
      <c r="P1228" s="88"/>
      <c r="Q1228" s="88"/>
      <c r="R1228" s="78">
        <f>MAX(S1228:W1228)</f>
        <v>1</v>
      </c>
      <c r="S1228" s="88"/>
      <c r="T1228" s="88"/>
      <c r="U1228" s="88">
        <v>1</v>
      </c>
      <c r="V1228" s="88"/>
      <c r="W1228" s="88"/>
    </row>
    <row r="1229" spans="2:23" s="0" customFormat="0" ht="15">
      <c r="B1229" s="87" t="s">
        <v>1</v>
      </c>
      <c r="C1229" s="88" t="s">
        <v>5259</v>
      </c>
      <c r="D1229" s="88" t="s">
        <v>3909</v>
      </c>
      <c r="E1229" s="88" t="s">
        <v>61</v>
      </c>
      <c r="F1229" s="88">
        <v>0</v>
      </c>
      <c r="G1229" s="78">
        <f>MAX(H1229,I1229,J1229)</f>
        <v>0</v>
      </c>
      <c r="H1229" s="88"/>
      <c r="I1229" s="88"/>
      <c r="J1229" s="78">
        <f>MAX(K1229:Q1229)</f>
        <v>0</v>
      </c>
      <c r="K1229" s="88"/>
      <c r="L1229" s="88"/>
      <c r="M1229" s="88"/>
      <c r="N1229" s="88"/>
      <c r="O1229" s="88"/>
      <c r="P1229" s="88"/>
      <c r="Q1229" s="88"/>
      <c r="R1229" s="78">
        <f>MAX(S1229:W1229)</f>
        <v>1</v>
      </c>
      <c r="S1229" s="88"/>
      <c r="T1229" s="88"/>
      <c r="U1229" s="88">
        <v>1</v>
      </c>
      <c r="V1229" s="88"/>
      <c r="W1229" s="88"/>
    </row>
    <row r="1230" spans="2:23" s="0" customFormat="0" ht="15">
      <c r="B1230" s="87" t="s">
        <v>1</v>
      </c>
      <c r="C1230" s="88" t="s">
        <v>5259</v>
      </c>
      <c r="D1230" s="88" t="s">
        <v>3911</v>
      </c>
      <c r="E1230" s="88" t="s">
        <v>61</v>
      </c>
      <c r="F1230" s="88">
        <v>0</v>
      </c>
      <c r="G1230" s="78">
        <f>MAX(H1230,I1230,J1230)</f>
        <v>0</v>
      </c>
      <c r="H1230" s="88"/>
      <c r="I1230" s="88"/>
      <c r="J1230" s="78">
        <f>MAX(K1230:Q1230)</f>
        <v>0</v>
      </c>
      <c r="K1230" s="88"/>
      <c r="L1230" s="88"/>
      <c r="M1230" s="88"/>
      <c r="N1230" s="88"/>
      <c r="O1230" s="88"/>
      <c r="P1230" s="88"/>
      <c r="Q1230" s="88"/>
      <c r="R1230" s="78">
        <f>MAX(S1230:W1230)</f>
        <v>1</v>
      </c>
      <c r="S1230" s="88"/>
      <c r="T1230" s="88"/>
      <c r="U1230" s="88">
        <v>1</v>
      </c>
      <c r="V1230" s="88"/>
      <c r="W1230" s="88"/>
    </row>
    <row r="1231" spans="2:23" s="0" customFormat="0" ht="15">
      <c r="B1231" s="87" t="s">
        <v>1</v>
      </c>
      <c r="C1231" s="88" t="s">
        <v>5259</v>
      </c>
      <c r="D1231" s="88">
        <v>20647448</v>
      </c>
      <c r="E1231" s="88" t="s">
        <v>61</v>
      </c>
      <c r="F1231" s="88">
        <v>0</v>
      </c>
      <c r="G1231" s="78">
        <f>MAX(H1231,I1231,J1231)</f>
        <v>1</v>
      </c>
      <c r="H1231" s="88"/>
      <c r="I1231" s="88"/>
      <c r="J1231" s="78">
        <f>MAX(K1231:Q1231)</f>
        <v>1</v>
      </c>
      <c r="K1231" s="88">
        <v>1</v>
      </c>
      <c r="L1231" s="88"/>
      <c r="M1231" s="88"/>
      <c r="N1231" s="88"/>
      <c r="O1231" s="88"/>
      <c r="P1231" s="88"/>
      <c r="Q1231" s="88"/>
      <c r="R1231" s="78">
        <f>MAX(S1231:W1231)</f>
        <v>0</v>
      </c>
      <c r="S1231" s="88"/>
      <c r="T1231" s="88"/>
      <c r="U1231" s="88"/>
      <c r="V1231" s="88"/>
      <c r="W1231" s="88"/>
    </row>
    <row r="1232" spans="2:23" s="0" customFormat="0" ht="15">
      <c r="B1232" s="87" t="s">
        <v>1</v>
      </c>
      <c r="C1232" s="88" t="s">
        <v>5259</v>
      </c>
      <c r="D1232" s="88" t="s">
        <v>1044</v>
      </c>
      <c r="E1232" s="88" t="s">
        <v>61</v>
      </c>
      <c r="F1232" s="88">
        <v>0</v>
      </c>
      <c r="G1232" s="78">
        <f>MAX(H1232,I1232,J1232)</f>
        <v>1</v>
      </c>
      <c r="H1232" s="88"/>
      <c r="I1232" s="88"/>
      <c r="J1232" s="78">
        <f>MAX(K1232:Q1232)</f>
        <v>1</v>
      </c>
      <c r="K1232" s="88">
        <v>1</v>
      </c>
      <c r="L1232" s="88"/>
      <c r="M1232" s="88"/>
      <c r="N1232" s="88"/>
      <c r="O1232" s="88"/>
      <c r="P1232" s="88"/>
      <c r="Q1232" s="88"/>
      <c r="R1232" s="78">
        <f>MAX(S1232:W1232)</f>
        <v>0</v>
      </c>
      <c r="S1232" s="88"/>
      <c r="T1232" s="88"/>
      <c r="U1232" s="88"/>
      <c r="V1232" s="88"/>
      <c r="W1232" s="88"/>
    </row>
    <row r="1233" spans="2:23" s="0" customFormat="0" ht="15">
      <c r="B1233" s="87" t="s">
        <v>1</v>
      </c>
      <c r="C1233" s="88" t="s">
        <v>5259</v>
      </c>
      <c r="D1233" s="88" t="s">
        <v>1046</v>
      </c>
      <c r="E1233" s="88" t="s">
        <v>61</v>
      </c>
      <c r="F1233" s="88">
        <v>0</v>
      </c>
      <c r="G1233" s="78">
        <f>MAX(H1233,I1233,J1233)</f>
        <v>1</v>
      </c>
      <c r="H1233" s="88"/>
      <c r="I1233" s="88"/>
      <c r="J1233" s="78">
        <f>MAX(K1233:Q1233)</f>
        <v>1</v>
      </c>
      <c r="K1233" s="88">
        <v>1</v>
      </c>
      <c r="L1233" s="88"/>
      <c r="M1233" s="88"/>
      <c r="N1233" s="88"/>
      <c r="O1233" s="88"/>
      <c r="P1233" s="88"/>
      <c r="Q1233" s="88"/>
      <c r="R1233" s="78">
        <f>MAX(S1233:W1233)</f>
        <v>0</v>
      </c>
      <c r="S1233" s="88"/>
      <c r="T1233" s="88"/>
      <c r="U1233" s="88"/>
      <c r="V1233" s="88"/>
      <c r="W1233" s="88"/>
    </row>
    <row r="1234" spans="2:23" s="0" customFormat="0" ht="15">
      <c r="B1234" s="87" t="s">
        <v>1</v>
      </c>
      <c r="C1234" s="88" t="s">
        <v>5259</v>
      </c>
      <c r="D1234" s="88">
        <v>4876677</v>
      </c>
      <c r="E1234" s="88" t="s">
        <v>61</v>
      </c>
      <c r="F1234" s="88">
        <v>0</v>
      </c>
      <c r="G1234" s="78">
        <f>MAX(H1234,I1234,J1234)</f>
        <v>1</v>
      </c>
      <c r="H1234" s="88"/>
      <c r="I1234" s="88"/>
      <c r="J1234" s="78">
        <f>MAX(K1234:Q1234)</f>
        <v>1</v>
      </c>
      <c r="K1234" s="88">
        <v>1</v>
      </c>
      <c r="L1234" s="88"/>
      <c r="M1234" s="88"/>
      <c r="N1234" s="88"/>
      <c r="O1234" s="88"/>
      <c r="P1234" s="88"/>
      <c r="Q1234" s="88"/>
      <c r="R1234" s="78">
        <f>MAX(S1234:W1234)</f>
        <v>0</v>
      </c>
      <c r="S1234" s="88"/>
      <c r="T1234" s="88"/>
      <c r="U1234" s="88"/>
      <c r="V1234" s="88"/>
      <c r="W1234" s="88"/>
    </row>
    <row r="1235" spans="2:23" s="0" customFormat="0" ht="15">
      <c r="B1235" s="87" t="s">
        <v>1</v>
      </c>
      <c r="C1235" s="88" t="s">
        <v>5259</v>
      </c>
      <c r="D1235" s="88">
        <v>19950418</v>
      </c>
      <c r="E1235" s="88" t="s">
        <v>61</v>
      </c>
      <c r="F1235" s="88">
        <v>0</v>
      </c>
      <c r="G1235" s="78">
        <f>MAX(H1235,I1235,J1235)</f>
        <v>1</v>
      </c>
      <c r="H1235" s="88"/>
      <c r="I1235" s="88"/>
      <c r="J1235" s="78">
        <f>MAX(K1235:Q1235)</f>
        <v>1</v>
      </c>
      <c r="K1235" s="88">
        <v>1</v>
      </c>
      <c r="L1235" s="88"/>
      <c r="M1235" s="88"/>
      <c r="N1235" s="88"/>
      <c r="O1235" s="88"/>
      <c r="P1235" s="88"/>
      <c r="Q1235" s="88"/>
      <c r="R1235" s="78">
        <f>MAX(S1235:W1235)</f>
        <v>0</v>
      </c>
      <c r="S1235" s="88"/>
      <c r="T1235" s="88"/>
      <c r="U1235" s="88"/>
      <c r="V1235" s="88"/>
      <c r="W1235" s="88"/>
    </row>
    <row r="1236" spans="2:23" s="0" customFormat="0" ht="15">
      <c r="B1236" s="87" t="s">
        <v>1</v>
      </c>
      <c r="C1236" s="88" t="s">
        <v>5259</v>
      </c>
      <c r="D1236" s="88" t="s">
        <v>292</v>
      </c>
      <c r="E1236" s="88" t="s">
        <v>61</v>
      </c>
      <c r="F1236" s="88">
        <v>0</v>
      </c>
      <c r="G1236" s="78">
        <f>MAX(H1236,I1236,J1236)</f>
        <v>1</v>
      </c>
      <c r="H1236" s="88"/>
      <c r="I1236" s="88"/>
      <c r="J1236" s="78">
        <f>MAX(K1236:Q1236)</f>
        <v>1</v>
      </c>
      <c r="K1236" s="88">
        <v>1</v>
      </c>
      <c r="L1236" s="88"/>
      <c r="M1236" s="88"/>
      <c r="N1236" s="88"/>
      <c r="O1236" s="88"/>
      <c r="P1236" s="88"/>
      <c r="Q1236" s="88"/>
      <c r="R1236" s="78">
        <f>MAX(S1236:W1236)</f>
        <v>0</v>
      </c>
      <c r="S1236" s="88"/>
      <c r="T1236" s="88"/>
      <c r="U1236" s="88"/>
      <c r="V1236" s="88"/>
      <c r="W1236" s="88"/>
    </row>
    <row r="1237" spans="2:23" s="0" customFormat="0" ht="15">
      <c r="B1237" s="87" t="s">
        <v>1</v>
      </c>
      <c r="C1237" s="88" t="s">
        <v>5259</v>
      </c>
      <c r="D1237" s="88">
        <v>12488211</v>
      </c>
      <c r="E1237" s="88" t="s">
        <v>61</v>
      </c>
      <c r="F1237" s="88">
        <v>0</v>
      </c>
      <c r="G1237" s="78">
        <f>MAX(H1237,I1237,J1237)</f>
        <v>0</v>
      </c>
      <c r="H1237" s="88"/>
      <c r="I1237" s="88"/>
      <c r="J1237" s="78">
        <f>MAX(K1237:Q1237)</f>
        <v>0</v>
      </c>
      <c r="K1237" s="88"/>
      <c r="L1237" s="88"/>
      <c r="M1237" s="88"/>
      <c r="N1237" s="88"/>
      <c r="O1237" s="88"/>
      <c r="P1237" s="88"/>
      <c r="Q1237" s="88"/>
      <c r="R1237" s="78">
        <f>MAX(S1237:W1237)</f>
        <v>1</v>
      </c>
      <c r="S1237" s="88"/>
      <c r="T1237" s="88"/>
      <c r="U1237" s="88">
        <v>1</v>
      </c>
      <c r="V1237" s="88"/>
      <c r="W1237" s="88"/>
    </row>
    <row r="1238" spans="2:23" s="0" customFormat="0" ht="15">
      <c r="B1238" s="87" t="s">
        <v>1</v>
      </c>
      <c r="C1238" s="88" t="s">
        <v>5259</v>
      </c>
      <c r="D1238" s="88" t="s">
        <v>3913</v>
      </c>
      <c r="E1238" s="88" t="s">
        <v>61</v>
      </c>
      <c r="F1238" s="88">
        <v>0</v>
      </c>
      <c r="G1238" s="78">
        <f>MAX(H1238,I1238,J1238)</f>
        <v>0</v>
      </c>
      <c r="H1238" s="88"/>
      <c r="I1238" s="88"/>
      <c r="J1238" s="78">
        <f>MAX(K1238:Q1238)</f>
        <v>0</v>
      </c>
      <c r="K1238" s="88"/>
      <c r="L1238" s="88"/>
      <c r="M1238" s="88"/>
      <c r="N1238" s="88"/>
      <c r="O1238" s="88"/>
      <c r="P1238" s="88"/>
      <c r="Q1238" s="88"/>
      <c r="R1238" s="78">
        <f>MAX(S1238:W1238)</f>
        <v>1</v>
      </c>
      <c r="S1238" s="88"/>
      <c r="T1238" s="88"/>
      <c r="U1238" s="88">
        <v>1</v>
      </c>
      <c r="V1238" s="88"/>
      <c r="W1238" s="88"/>
    </row>
    <row r="1239" spans="2:23" s="0" customFormat="0" ht="15">
      <c r="B1239" s="87" t="s">
        <v>1</v>
      </c>
      <c r="C1239" s="88" t="s">
        <v>5259</v>
      </c>
      <c r="D1239" s="88">
        <v>1551610</v>
      </c>
      <c r="E1239" s="88" t="s">
        <v>61</v>
      </c>
      <c r="F1239" s="88">
        <v>0</v>
      </c>
      <c r="G1239" s="78">
        <f>MAX(H1239,I1239,J1239)</f>
        <v>0</v>
      </c>
      <c r="H1239" s="88"/>
      <c r="I1239" s="88"/>
      <c r="J1239" s="78">
        <f>MAX(K1239:Q1239)</f>
        <v>0</v>
      </c>
      <c r="K1239" s="88"/>
      <c r="L1239" s="88"/>
      <c r="M1239" s="88"/>
      <c r="N1239" s="88"/>
      <c r="O1239" s="88"/>
      <c r="P1239" s="88"/>
      <c r="Q1239" s="88"/>
      <c r="R1239" s="78">
        <f>MAX(S1239:W1239)</f>
        <v>1</v>
      </c>
      <c r="S1239" s="88"/>
      <c r="T1239" s="88"/>
      <c r="U1239" s="88">
        <v>1</v>
      </c>
      <c r="V1239" s="88"/>
      <c r="W1239" s="88"/>
    </row>
    <row r="1240" spans="2:23" s="0" customFormat="0" ht="15">
      <c r="B1240" s="87" t="s">
        <v>1</v>
      </c>
      <c r="C1240" s="88" t="s">
        <v>5259</v>
      </c>
      <c r="D1240" s="88">
        <v>17220547</v>
      </c>
      <c r="E1240" s="88" t="s">
        <v>61</v>
      </c>
      <c r="F1240" s="88">
        <v>0</v>
      </c>
      <c r="G1240" s="78">
        <f>MAX(H1240,I1240,J1240)</f>
        <v>1</v>
      </c>
      <c r="H1240" s="88"/>
      <c r="I1240" s="88"/>
      <c r="J1240" s="78">
        <f>MAX(K1240:Q1240)</f>
        <v>1</v>
      </c>
      <c r="K1240" s="88">
        <v>1</v>
      </c>
      <c r="L1240" s="88"/>
      <c r="M1240" s="88"/>
      <c r="N1240" s="88"/>
      <c r="O1240" s="88"/>
      <c r="P1240" s="88"/>
      <c r="Q1240" s="88"/>
      <c r="R1240" s="78">
        <f>MAX(S1240:W1240)</f>
        <v>0</v>
      </c>
      <c r="S1240" s="88"/>
      <c r="T1240" s="88"/>
      <c r="U1240" s="88"/>
      <c r="V1240" s="88"/>
      <c r="W1240" s="88"/>
    </row>
    <row r="1241" spans="2:23" s="0" customFormat="0" ht="15">
      <c r="B1241" s="87" t="s">
        <v>1</v>
      </c>
      <c r="C1241" s="88" t="s">
        <v>5259</v>
      </c>
      <c r="D1241" s="88">
        <v>18686747</v>
      </c>
      <c r="E1241" s="88" t="s">
        <v>61</v>
      </c>
      <c r="F1241" s="88">
        <v>0</v>
      </c>
      <c r="G1241" s="78">
        <f>MAX(H1241,I1241,J1241)</f>
        <v>1</v>
      </c>
      <c r="H1241" s="88"/>
      <c r="I1241" s="88"/>
      <c r="J1241" s="78">
        <f>MAX(K1241:Q1241)</f>
        <v>1</v>
      </c>
      <c r="K1241" s="88">
        <v>1</v>
      </c>
      <c r="L1241" s="88"/>
      <c r="M1241" s="88"/>
      <c r="N1241" s="88"/>
      <c r="O1241" s="88"/>
      <c r="P1241" s="88"/>
      <c r="Q1241" s="88"/>
      <c r="R1241" s="78">
        <f>MAX(S1241:W1241)</f>
        <v>0</v>
      </c>
      <c r="S1241" s="88"/>
      <c r="T1241" s="88"/>
      <c r="U1241" s="88"/>
      <c r="V1241" s="88"/>
      <c r="W1241" s="88"/>
    </row>
    <row r="1242" spans="2:23" s="0" customFormat="0" ht="15">
      <c r="B1242" s="87" t="s">
        <v>1</v>
      </c>
      <c r="C1242" s="88" t="s">
        <v>5259</v>
      </c>
      <c r="D1242" s="88" t="s">
        <v>3680</v>
      </c>
      <c r="E1242" s="88" t="s">
        <v>61</v>
      </c>
      <c r="F1242" s="88">
        <v>0</v>
      </c>
      <c r="G1242" s="78">
        <f>MAX(H1242,I1242,J1242)</f>
        <v>0</v>
      </c>
      <c r="H1242" s="88"/>
      <c r="I1242" s="88"/>
      <c r="J1242" s="78">
        <f>MAX(K1242:Q1242)</f>
        <v>0</v>
      </c>
      <c r="K1242" s="88"/>
      <c r="L1242" s="88"/>
      <c r="M1242" s="88"/>
      <c r="N1242" s="88"/>
      <c r="O1242" s="88"/>
      <c r="P1242" s="88"/>
      <c r="Q1242" s="88"/>
      <c r="R1242" s="78">
        <f>MAX(S1242:W1242)</f>
        <v>1</v>
      </c>
      <c r="S1242" s="88"/>
      <c r="T1242" s="88"/>
      <c r="U1242" s="88">
        <v>1</v>
      </c>
      <c r="V1242" s="88"/>
      <c r="W1242" s="88"/>
    </row>
    <row r="1243" spans="2:23" s="0" customFormat="0" ht="15">
      <c r="B1243" s="87" t="s">
        <v>1</v>
      </c>
      <c r="C1243" s="88" t="s">
        <v>5259</v>
      </c>
      <c r="D1243" s="88">
        <v>8140507</v>
      </c>
      <c r="E1243" s="88" t="s">
        <v>61</v>
      </c>
      <c r="F1243" s="88">
        <v>0</v>
      </c>
      <c r="G1243" s="78">
        <f>MAX(H1243,I1243,J1243)</f>
        <v>1</v>
      </c>
      <c r="H1243" s="88"/>
      <c r="I1243" s="88"/>
      <c r="J1243" s="78">
        <f>MAX(K1243:Q1243)</f>
        <v>1</v>
      </c>
      <c r="K1243" s="88">
        <v>1</v>
      </c>
      <c r="L1243" s="88"/>
      <c r="M1243" s="88"/>
      <c r="N1243" s="88"/>
      <c r="O1243" s="88"/>
      <c r="P1243" s="88"/>
      <c r="Q1243" s="88"/>
      <c r="R1243" s="78">
        <f>MAX(S1243:W1243)</f>
        <v>0</v>
      </c>
      <c r="S1243" s="88"/>
      <c r="T1243" s="88"/>
      <c r="U1243" s="88"/>
      <c r="V1243" s="88"/>
      <c r="W1243" s="88"/>
    </row>
    <row r="1244" spans="2:23" s="0" customFormat="0" ht="15">
      <c r="B1244" s="87" t="s">
        <v>1</v>
      </c>
      <c r="C1244" s="88" t="s">
        <v>5259</v>
      </c>
      <c r="D1244" s="88" t="s">
        <v>3916</v>
      </c>
      <c r="E1244" s="88" t="s">
        <v>61</v>
      </c>
      <c r="F1244" s="88">
        <v>0</v>
      </c>
      <c r="G1244" s="78">
        <f>MAX(H1244,I1244,J1244)</f>
        <v>0</v>
      </c>
      <c r="H1244" s="88"/>
      <c r="I1244" s="88"/>
      <c r="J1244" s="78">
        <f>MAX(K1244:Q1244)</f>
        <v>0</v>
      </c>
      <c r="K1244" s="88"/>
      <c r="L1244" s="88"/>
      <c r="M1244" s="88"/>
      <c r="N1244" s="88"/>
      <c r="O1244" s="88"/>
      <c r="P1244" s="88"/>
      <c r="Q1244" s="88"/>
      <c r="R1244" s="78">
        <f>MAX(S1244:W1244)</f>
        <v>1</v>
      </c>
      <c r="S1244" s="88"/>
      <c r="T1244" s="88"/>
      <c r="U1244" s="88">
        <v>1</v>
      </c>
      <c r="V1244" s="88"/>
      <c r="W1244" s="88"/>
    </row>
    <row r="1245" spans="2:23" s="0" customFormat="0" ht="15">
      <c r="B1245" s="87" t="s">
        <v>1</v>
      </c>
      <c r="C1245" s="88" t="s">
        <v>5259</v>
      </c>
      <c r="D1245" s="88" t="s">
        <v>3918</v>
      </c>
      <c r="E1245" s="88" t="s">
        <v>61</v>
      </c>
      <c r="F1245" s="88">
        <v>0</v>
      </c>
      <c r="G1245" s="78">
        <f>MAX(H1245,I1245,J1245)</f>
        <v>0</v>
      </c>
      <c r="H1245" s="88"/>
      <c r="I1245" s="88"/>
      <c r="J1245" s="78">
        <f>MAX(K1245:Q1245)</f>
        <v>0</v>
      </c>
      <c r="K1245" s="88"/>
      <c r="L1245" s="88"/>
      <c r="M1245" s="88"/>
      <c r="N1245" s="88"/>
      <c r="O1245" s="88"/>
      <c r="P1245" s="88"/>
      <c r="Q1245" s="88"/>
      <c r="R1245" s="78">
        <f>MAX(S1245:W1245)</f>
        <v>1</v>
      </c>
      <c r="S1245" s="88"/>
      <c r="T1245" s="88"/>
      <c r="U1245" s="88">
        <v>1</v>
      </c>
      <c r="V1245" s="88"/>
      <c r="W1245" s="88"/>
    </row>
    <row r="1246" spans="2:23" s="0" customFormat="0" ht="15">
      <c r="B1246" s="87" t="s">
        <v>1</v>
      </c>
      <c r="C1246" s="88" t="s">
        <v>5259</v>
      </c>
      <c r="D1246" s="88">
        <v>14122089</v>
      </c>
      <c r="E1246" s="88" t="s">
        <v>61</v>
      </c>
      <c r="F1246" s="88">
        <v>0</v>
      </c>
      <c r="G1246" s="78">
        <f>MAX(H1246,I1246,J1246)</f>
        <v>1</v>
      </c>
      <c r="H1246" s="88"/>
      <c r="I1246" s="88"/>
      <c r="J1246" s="78">
        <f>MAX(K1246:Q1246)</f>
        <v>1</v>
      </c>
      <c r="K1246" s="88">
        <v>1</v>
      </c>
      <c r="L1246" s="88"/>
      <c r="M1246" s="88"/>
      <c r="N1246" s="88"/>
      <c r="O1246" s="88"/>
      <c r="P1246" s="88"/>
      <c r="Q1246" s="88"/>
      <c r="R1246" s="78">
        <f>MAX(S1246:W1246)</f>
        <v>0</v>
      </c>
      <c r="S1246" s="88"/>
      <c r="T1246" s="88"/>
      <c r="U1246" s="88"/>
      <c r="V1246" s="88"/>
      <c r="W1246" s="88"/>
    </row>
    <row r="1247" spans="2:23" s="0" customFormat="0" ht="15">
      <c r="B1247" s="87" t="s">
        <v>1</v>
      </c>
      <c r="C1247" s="88" t="s">
        <v>5259</v>
      </c>
      <c r="D1247" s="88">
        <v>13452757</v>
      </c>
      <c r="E1247" s="88" t="s">
        <v>61</v>
      </c>
      <c r="F1247" s="88">
        <v>0</v>
      </c>
      <c r="G1247" s="78">
        <f>MAX(H1247,I1247,J1247)</f>
        <v>1</v>
      </c>
      <c r="H1247" s="88"/>
      <c r="I1247" s="88"/>
      <c r="J1247" s="78">
        <f>MAX(K1247:Q1247)</f>
        <v>1</v>
      </c>
      <c r="K1247" s="88">
        <v>1</v>
      </c>
      <c r="L1247" s="88"/>
      <c r="M1247" s="88"/>
      <c r="N1247" s="88"/>
      <c r="O1247" s="88"/>
      <c r="P1247" s="88"/>
      <c r="Q1247" s="88"/>
      <c r="R1247" s="78">
        <f>MAX(S1247:W1247)</f>
        <v>0</v>
      </c>
      <c r="S1247" s="88"/>
      <c r="T1247" s="88"/>
      <c r="U1247" s="88"/>
      <c r="V1247" s="88"/>
      <c r="W1247" s="88"/>
    </row>
    <row r="1248" spans="2:23" s="0" customFormat="0" ht="15">
      <c r="B1248" s="87" t="s">
        <v>1</v>
      </c>
      <c r="C1248" s="88" t="s">
        <v>5259</v>
      </c>
      <c r="D1248" s="88" t="s">
        <v>3920</v>
      </c>
      <c r="E1248" s="88" t="s">
        <v>61</v>
      </c>
      <c r="F1248" s="88">
        <v>0</v>
      </c>
      <c r="G1248" s="78">
        <f>MAX(H1248,I1248,J1248)</f>
        <v>0</v>
      </c>
      <c r="H1248" s="88"/>
      <c r="I1248" s="88"/>
      <c r="J1248" s="78">
        <f>MAX(K1248:Q1248)</f>
        <v>0</v>
      </c>
      <c r="K1248" s="88"/>
      <c r="L1248" s="88"/>
      <c r="M1248" s="88"/>
      <c r="N1248" s="88"/>
      <c r="O1248" s="88"/>
      <c r="P1248" s="88"/>
      <c r="Q1248" s="88"/>
      <c r="R1248" s="78">
        <f>MAX(S1248:W1248)</f>
        <v>1</v>
      </c>
      <c r="S1248" s="88"/>
      <c r="T1248" s="88"/>
      <c r="U1248" s="88">
        <v>1</v>
      </c>
      <c r="V1248" s="88"/>
      <c r="W1248" s="88"/>
    </row>
    <row r="1249" spans="2:23" s="0" customFormat="0" ht="15">
      <c r="B1249" s="87" t="s">
        <v>1</v>
      </c>
      <c r="C1249" s="88" t="s">
        <v>5259</v>
      </c>
      <c r="D1249" s="88" t="s">
        <v>3922</v>
      </c>
      <c r="E1249" s="88" t="s">
        <v>61</v>
      </c>
      <c r="F1249" s="88">
        <v>0</v>
      </c>
      <c r="G1249" s="78">
        <f>MAX(H1249,I1249,J1249)</f>
        <v>0</v>
      </c>
      <c r="H1249" s="88"/>
      <c r="I1249" s="88"/>
      <c r="J1249" s="78">
        <f>MAX(K1249:Q1249)</f>
        <v>0</v>
      </c>
      <c r="K1249" s="88"/>
      <c r="L1249" s="88"/>
      <c r="M1249" s="88"/>
      <c r="N1249" s="88"/>
      <c r="O1249" s="88"/>
      <c r="P1249" s="88"/>
      <c r="Q1249" s="88"/>
      <c r="R1249" s="78">
        <f>MAX(S1249:W1249)</f>
        <v>1</v>
      </c>
      <c r="S1249" s="88"/>
      <c r="T1249" s="88"/>
      <c r="U1249" s="88">
        <v>1</v>
      </c>
      <c r="V1249" s="88"/>
      <c r="W1249" s="88"/>
    </row>
    <row r="1250" spans="2:23" s="0" customFormat="0" ht="15">
      <c r="B1250" s="87" t="s">
        <v>1</v>
      </c>
      <c r="C1250" s="88" t="s">
        <v>5259</v>
      </c>
      <c r="D1250" s="88">
        <v>21380829</v>
      </c>
      <c r="E1250" s="88" t="s">
        <v>61</v>
      </c>
      <c r="F1250" s="88">
        <v>0</v>
      </c>
      <c r="G1250" s="78">
        <f>MAX(H1250,I1250,J1250)</f>
        <v>1</v>
      </c>
      <c r="H1250" s="88"/>
      <c r="I1250" s="88"/>
      <c r="J1250" s="78">
        <f>MAX(K1250:Q1250)</f>
        <v>1</v>
      </c>
      <c r="K1250" s="88">
        <v>1</v>
      </c>
      <c r="L1250" s="88"/>
      <c r="M1250" s="88"/>
      <c r="N1250" s="88"/>
      <c r="O1250" s="88"/>
      <c r="P1250" s="88"/>
      <c r="Q1250" s="88"/>
      <c r="R1250" s="78">
        <f>MAX(S1250:W1250)</f>
        <v>0</v>
      </c>
      <c r="S1250" s="88"/>
      <c r="T1250" s="88"/>
      <c r="U1250" s="88"/>
      <c r="V1250" s="88"/>
      <c r="W1250" s="88"/>
    </row>
    <row r="1251" spans="2:23" s="0" customFormat="0" ht="15">
      <c r="B1251" s="87" t="s">
        <v>1</v>
      </c>
      <c r="C1251" s="88" t="s">
        <v>5259</v>
      </c>
      <c r="D1251" s="88">
        <v>19202938</v>
      </c>
      <c r="E1251" s="88" t="s">
        <v>61</v>
      </c>
      <c r="F1251" s="88">
        <v>0</v>
      </c>
      <c r="G1251" s="78">
        <f>MAX(H1251,I1251,J1251)</f>
        <v>1</v>
      </c>
      <c r="H1251" s="88"/>
      <c r="I1251" s="88"/>
      <c r="J1251" s="78">
        <f>MAX(K1251:Q1251)</f>
        <v>1</v>
      </c>
      <c r="K1251" s="88"/>
      <c r="L1251" s="88"/>
      <c r="M1251" s="88"/>
      <c r="N1251" s="88"/>
      <c r="O1251" s="88">
        <v>1</v>
      </c>
      <c r="P1251" s="88"/>
      <c r="Q1251" s="88"/>
      <c r="R1251" s="78">
        <f>MAX(S1251:W1251)</f>
        <v>0</v>
      </c>
      <c r="S1251" s="88"/>
      <c r="T1251" s="88"/>
      <c r="U1251" s="88"/>
      <c r="V1251" s="88"/>
      <c r="W1251" s="88"/>
    </row>
    <row r="1252" spans="2:23" s="0" customFormat="0" ht="15">
      <c r="B1252" s="87" t="s">
        <v>1</v>
      </c>
      <c r="C1252" s="88" t="s">
        <v>5259</v>
      </c>
      <c r="D1252" s="88">
        <v>10566104</v>
      </c>
      <c r="E1252" s="88" t="s">
        <v>61</v>
      </c>
      <c r="F1252" s="88">
        <v>0</v>
      </c>
      <c r="G1252" s="78">
        <f>MAX(H1252,I1252,J1252)</f>
        <v>1</v>
      </c>
      <c r="H1252" s="88"/>
      <c r="I1252" s="88"/>
      <c r="J1252" s="78">
        <f>MAX(K1252:Q1252)</f>
        <v>1</v>
      </c>
      <c r="K1252" s="88">
        <v>1</v>
      </c>
      <c r="L1252" s="88"/>
      <c r="M1252" s="88"/>
      <c r="N1252" s="88"/>
      <c r="O1252" s="88"/>
      <c r="P1252" s="88"/>
      <c r="Q1252" s="88"/>
      <c r="R1252" s="78">
        <f>MAX(S1252:W1252)</f>
        <v>0</v>
      </c>
      <c r="S1252" s="88"/>
      <c r="T1252" s="88"/>
      <c r="U1252" s="88"/>
      <c r="V1252" s="88"/>
      <c r="W1252" s="88"/>
    </row>
    <row r="1253" spans="2:23" s="0" customFormat="0" ht="15">
      <c r="B1253" s="87" t="s">
        <v>1</v>
      </c>
      <c r="C1253" s="88" t="s">
        <v>5259</v>
      </c>
      <c r="D1253" s="88">
        <v>12187816</v>
      </c>
      <c r="E1253" s="88" t="s">
        <v>61</v>
      </c>
      <c r="F1253" s="88">
        <v>0</v>
      </c>
      <c r="G1253" s="78">
        <f>MAX(H1253,I1253,J1253)</f>
        <v>1</v>
      </c>
      <c r="H1253" s="88"/>
      <c r="I1253" s="88"/>
      <c r="J1253" s="78">
        <f>MAX(K1253:Q1253)</f>
        <v>1</v>
      </c>
      <c r="K1253" s="88">
        <v>1</v>
      </c>
      <c r="L1253" s="88"/>
      <c r="M1253" s="88"/>
      <c r="N1253" s="88"/>
      <c r="O1253" s="88"/>
      <c r="P1253" s="88"/>
      <c r="Q1253" s="88"/>
      <c r="R1253" s="78">
        <f>MAX(S1253:W1253)</f>
        <v>0</v>
      </c>
      <c r="S1253" s="88"/>
      <c r="T1253" s="88"/>
      <c r="U1253" s="88"/>
      <c r="V1253" s="88"/>
      <c r="W1253" s="88"/>
    </row>
    <row r="1254" spans="2:23" s="0" customFormat="0" ht="15">
      <c r="B1254" s="87" t="s">
        <v>1</v>
      </c>
      <c r="C1254" s="88" t="s">
        <v>5259</v>
      </c>
      <c r="D1254" s="88">
        <v>14272069</v>
      </c>
      <c r="E1254" s="88" t="s">
        <v>61</v>
      </c>
      <c r="F1254" s="88">
        <v>0</v>
      </c>
      <c r="G1254" s="78">
        <f>MAX(H1254,I1254,J1254)</f>
        <v>1</v>
      </c>
      <c r="H1254" s="88"/>
      <c r="I1254" s="88"/>
      <c r="J1254" s="78">
        <f>MAX(K1254:Q1254)</f>
        <v>1</v>
      </c>
      <c r="K1254" s="88">
        <v>1</v>
      </c>
      <c r="L1254" s="88"/>
      <c r="M1254" s="88"/>
      <c r="N1254" s="88"/>
      <c r="O1254" s="88"/>
      <c r="P1254" s="88"/>
      <c r="Q1254" s="88"/>
      <c r="R1254" s="78">
        <f>MAX(S1254:W1254)</f>
        <v>0</v>
      </c>
      <c r="S1254" s="88"/>
      <c r="T1254" s="88"/>
      <c r="U1254" s="88"/>
      <c r="V1254" s="88"/>
      <c r="W1254" s="88"/>
    </row>
    <row r="1255" spans="2:23" s="0" customFormat="0" ht="15">
      <c r="B1255" s="87" t="s">
        <v>1</v>
      </c>
      <c r="C1255" s="88" t="s">
        <v>5259</v>
      </c>
      <c r="D1255" s="88">
        <v>12819849</v>
      </c>
      <c r="E1255" s="88" t="s">
        <v>61</v>
      </c>
      <c r="F1255" s="88">
        <v>0</v>
      </c>
      <c r="G1255" s="78">
        <f>MAX(H1255,I1255,J1255)</f>
        <v>1</v>
      </c>
      <c r="H1255" s="88"/>
      <c r="I1255" s="88"/>
      <c r="J1255" s="78">
        <f>MAX(K1255:Q1255)</f>
        <v>1</v>
      </c>
      <c r="K1255" s="88">
        <v>1</v>
      </c>
      <c r="L1255" s="88"/>
      <c r="M1255" s="88"/>
      <c r="N1255" s="88"/>
      <c r="O1255" s="88"/>
      <c r="P1255" s="88"/>
      <c r="Q1255" s="88"/>
      <c r="R1255" s="78">
        <f>MAX(S1255:W1255)</f>
        <v>0</v>
      </c>
      <c r="S1255" s="88"/>
      <c r="T1255" s="88"/>
      <c r="U1255" s="88"/>
      <c r="V1255" s="88"/>
      <c r="W1255" s="88"/>
    </row>
    <row r="1256" spans="2:23" s="0" customFormat="0" ht="15">
      <c r="B1256" s="87" t="s">
        <v>1</v>
      </c>
      <c r="C1256" s="88" t="s">
        <v>5259</v>
      </c>
      <c r="D1256" s="88">
        <v>14275608</v>
      </c>
      <c r="E1256" s="88" t="s">
        <v>61</v>
      </c>
      <c r="F1256" s="88">
        <v>0</v>
      </c>
      <c r="G1256" s="78">
        <f>MAX(H1256,I1256,J1256)</f>
        <v>1</v>
      </c>
      <c r="H1256" s="88"/>
      <c r="I1256" s="88"/>
      <c r="J1256" s="78">
        <f>MAX(K1256:Q1256)</f>
        <v>1</v>
      </c>
      <c r="K1256" s="88">
        <v>1</v>
      </c>
      <c r="L1256" s="88"/>
      <c r="M1256" s="88"/>
      <c r="N1256" s="88"/>
      <c r="O1256" s="88"/>
      <c r="P1256" s="88"/>
      <c r="Q1256" s="88"/>
      <c r="R1256" s="78">
        <f>MAX(S1256:W1256)</f>
        <v>0</v>
      </c>
      <c r="S1256" s="88"/>
      <c r="T1256" s="88"/>
      <c r="U1256" s="88"/>
      <c r="V1256" s="88"/>
      <c r="W1256" s="88"/>
    </row>
    <row r="1257" spans="2:23" s="0" customFormat="0" ht="15">
      <c r="B1257" s="87" t="s">
        <v>1</v>
      </c>
      <c r="C1257" s="88" t="s">
        <v>5259</v>
      </c>
      <c r="D1257" s="88">
        <v>22063603</v>
      </c>
      <c r="E1257" s="88" t="s">
        <v>61</v>
      </c>
      <c r="F1257" s="88">
        <v>0</v>
      </c>
      <c r="G1257" s="78">
        <f>MAX(H1257,I1257,J1257)</f>
        <v>1</v>
      </c>
      <c r="H1257" s="88"/>
      <c r="I1257" s="88"/>
      <c r="J1257" s="78">
        <f>MAX(K1257:Q1257)</f>
        <v>1</v>
      </c>
      <c r="K1257" s="88">
        <v>1</v>
      </c>
      <c r="L1257" s="88"/>
      <c r="M1257" s="88"/>
      <c r="N1257" s="88"/>
      <c r="O1257" s="88"/>
      <c r="P1257" s="88"/>
      <c r="Q1257" s="88"/>
      <c r="R1257" s="78">
        <f>MAX(S1257:W1257)</f>
        <v>0</v>
      </c>
      <c r="S1257" s="88"/>
      <c r="T1257" s="88"/>
      <c r="U1257" s="88"/>
      <c r="V1257" s="88"/>
      <c r="W1257" s="88"/>
    </row>
    <row r="1258" spans="2:23" s="0" customFormat="0" ht="15">
      <c r="B1258" s="87" t="s">
        <v>1</v>
      </c>
      <c r="C1258" s="88" t="s">
        <v>5259</v>
      </c>
      <c r="D1258" s="88" t="s">
        <v>3924</v>
      </c>
      <c r="E1258" s="88" t="s">
        <v>61</v>
      </c>
      <c r="F1258" s="88">
        <v>0</v>
      </c>
      <c r="G1258" s="78">
        <f>MAX(H1258,I1258,J1258)</f>
        <v>0</v>
      </c>
      <c r="H1258" s="88"/>
      <c r="I1258" s="88"/>
      <c r="J1258" s="78">
        <f>MAX(K1258:Q1258)</f>
        <v>0</v>
      </c>
      <c r="K1258" s="88"/>
      <c r="L1258" s="88"/>
      <c r="M1258" s="88"/>
      <c r="N1258" s="88"/>
      <c r="O1258" s="88"/>
      <c r="P1258" s="88"/>
      <c r="Q1258" s="88"/>
      <c r="R1258" s="78">
        <f>MAX(S1258:W1258)</f>
        <v>1</v>
      </c>
      <c r="S1258" s="88"/>
      <c r="T1258" s="88"/>
      <c r="U1258" s="88">
        <v>1</v>
      </c>
      <c r="V1258" s="88"/>
      <c r="W1258" s="88"/>
    </row>
    <row r="1259" spans="2:23" s="0" customFormat="0" ht="15">
      <c r="B1259" s="87" t="s">
        <v>1</v>
      </c>
      <c r="C1259" s="88" t="s">
        <v>5259</v>
      </c>
      <c r="D1259" s="88" t="s">
        <v>3726</v>
      </c>
      <c r="E1259" s="88" t="s">
        <v>61</v>
      </c>
      <c r="F1259" s="88">
        <v>0</v>
      </c>
      <c r="G1259" s="78">
        <f>MAX(H1259,I1259,J1259)</f>
        <v>0</v>
      </c>
      <c r="H1259" s="88"/>
      <c r="I1259" s="88"/>
      <c r="J1259" s="78">
        <f>MAX(K1259:Q1259)</f>
        <v>0</v>
      </c>
      <c r="K1259" s="88"/>
      <c r="L1259" s="88"/>
      <c r="M1259" s="88"/>
      <c r="N1259" s="88"/>
      <c r="O1259" s="88"/>
      <c r="P1259" s="88"/>
      <c r="Q1259" s="88"/>
      <c r="R1259" s="78">
        <f>MAX(S1259:W1259)</f>
        <v>1</v>
      </c>
      <c r="S1259" s="88"/>
      <c r="T1259" s="88"/>
      <c r="U1259" s="88">
        <v>1</v>
      </c>
      <c r="V1259" s="88"/>
      <c r="W1259" s="88"/>
    </row>
    <row r="1260" spans="2:23" s="0" customFormat="0" ht="15">
      <c r="B1260" s="87" t="s">
        <v>1</v>
      </c>
      <c r="C1260" s="88" t="s">
        <v>5259</v>
      </c>
      <c r="D1260" s="88" t="s">
        <v>3926</v>
      </c>
      <c r="E1260" s="88" t="s">
        <v>61</v>
      </c>
      <c r="F1260" s="88">
        <v>0</v>
      </c>
      <c r="G1260" s="78">
        <f>MAX(H1260,I1260,J1260)</f>
        <v>0</v>
      </c>
      <c r="H1260" s="88"/>
      <c r="I1260" s="88"/>
      <c r="J1260" s="78">
        <f>MAX(K1260:Q1260)</f>
        <v>0</v>
      </c>
      <c r="K1260" s="88"/>
      <c r="L1260" s="88"/>
      <c r="M1260" s="88"/>
      <c r="N1260" s="88"/>
      <c r="O1260" s="88"/>
      <c r="P1260" s="88"/>
      <c r="Q1260" s="88"/>
      <c r="R1260" s="78">
        <f>MAX(S1260:W1260)</f>
        <v>1</v>
      </c>
      <c r="S1260" s="88"/>
      <c r="T1260" s="88"/>
      <c r="U1260" s="88">
        <v>1</v>
      </c>
      <c r="V1260" s="88"/>
      <c r="W1260" s="88"/>
    </row>
    <row r="1261" spans="2:23" s="0" customFormat="0" ht="15">
      <c r="B1261" s="87" t="s">
        <v>1</v>
      </c>
      <c r="C1261" s="88" t="s">
        <v>5259</v>
      </c>
      <c r="D1261" s="88">
        <v>17240179</v>
      </c>
      <c r="E1261" s="88" t="s">
        <v>61</v>
      </c>
      <c r="F1261" s="88">
        <v>0</v>
      </c>
      <c r="G1261" s="78">
        <f>MAX(H1261,I1261,J1261)</f>
        <v>1</v>
      </c>
      <c r="H1261" s="88"/>
      <c r="I1261" s="88"/>
      <c r="J1261" s="78">
        <f>MAX(K1261:Q1261)</f>
        <v>1</v>
      </c>
      <c r="K1261" s="88">
        <v>1</v>
      </c>
      <c r="L1261" s="88"/>
      <c r="M1261" s="88"/>
      <c r="N1261" s="88"/>
      <c r="O1261" s="88"/>
      <c r="P1261" s="88"/>
      <c r="Q1261" s="88"/>
      <c r="R1261" s="78">
        <f>MAX(S1261:W1261)</f>
        <v>0</v>
      </c>
      <c r="S1261" s="88"/>
      <c r="T1261" s="88"/>
      <c r="U1261" s="88"/>
      <c r="V1261" s="88"/>
      <c r="W1261" s="88"/>
    </row>
    <row r="1262" spans="2:23" s="0" customFormat="0" ht="15">
      <c r="B1262" s="87" t="s">
        <v>1</v>
      </c>
      <c r="C1262" s="88" t="s">
        <v>5259</v>
      </c>
      <c r="D1262" s="88">
        <v>16974684</v>
      </c>
      <c r="E1262" s="88" t="s">
        <v>61</v>
      </c>
      <c r="F1262" s="88">
        <v>0</v>
      </c>
      <c r="G1262" s="78">
        <f>MAX(H1262,I1262,J1262)</f>
        <v>0</v>
      </c>
      <c r="H1262" s="88"/>
      <c r="I1262" s="88"/>
      <c r="J1262" s="78">
        <f>MAX(K1262:Q1262)</f>
        <v>0</v>
      </c>
      <c r="K1262" s="88"/>
      <c r="L1262" s="88"/>
      <c r="M1262" s="88"/>
      <c r="N1262" s="88"/>
      <c r="O1262" s="88"/>
      <c r="P1262" s="88"/>
      <c r="Q1262" s="88"/>
      <c r="R1262" s="78">
        <f>MAX(S1262:W1262)</f>
        <v>1</v>
      </c>
      <c r="S1262" s="88"/>
      <c r="T1262" s="88"/>
      <c r="U1262" s="88">
        <v>1</v>
      </c>
      <c r="V1262" s="88"/>
      <c r="W1262" s="88"/>
    </row>
    <row r="1263" spans="2:23" s="0" customFormat="0" ht="15">
      <c r="B1263" s="87" t="s">
        <v>1</v>
      </c>
      <c r="C1263" s="88" t="s">
        <v>5259</v>
      </c>
      <c r="D1263" s="88" t="s">
        <v>1061</v>
      </c>
      <c r="E1263" s="88" t="s">
        <v>61</v>
      </c>
      <c r="F1263" s="88">
        <v>0</v>
      </c>
      <c r="G1263" s="78">
        <f>MAX(H1263,I1263,J1263)</f>
        <v>1</v>
      </c>
      <c r="H1263" s="88"/>
      <c r="I1263" s="88"/>
      <c r="J1263" s="78">
        <f>MAX(K1263:Q1263)</f>
        <v>1</v>
      </c>
      <c r="K1263" s="88">
        <v>1</v>
      </c>
      <c r="L1263" s="88"/>
      <c r="M1263" s="88"/>
      <c r="N1263" s="88"/>
      <c r="O1263" s="88"/>
      <c r="P1263" s="88"/>
      <c r="Q1263" s="88"/>
      <c r="R1263" s="78">
        <f>MAX(S1263:W1263)</f>
        <v>0</v>
      </c>
      <c r="S1263" s="88"/>
      <c r="T1263" s="88"/>
      <c r="U1263" s="88"/>
      <c r="V1263" s="88"/>
      <c r="W1263" s="88"/>
    </row>
    <row r="1264" spans="2:23" s="0" customFormat="0" ht="15">
      <c r="B1264" s="87" t="s">
        <v>1</v>
      </c>
      <c r="C1264" s="88" t="s">
        <v>5259</v>
      </c>
      <c r="D1264" s="88">
        <v>11865468</v>
      </c>
      <c r="E1264" s="88" t="s">
        <v>61</v>
      </c>
      <c r="F1264" s="88">
        <v>0</v>
      </c>
      <c r="G1264" s="78">
        <f>MAX(H1264,I1264,J1264)</f>
        <v>0</v>
      </c>
      <c r="H1264" s="88"/>
      <c r="I1264" s="88"/>
      <c r="J1264" s="78">
        <f>MAX(K1264:Q1264)</f>
        <v>0</v>
      </c>
      <c r="K1264" s="88"/>
      <c r="L1264" s="88"/>
      <c r="M1264" s="88"/>
      <c r="N1264" s="88"/>
      <c r="O1264" s="88"/>
      <c r="P1264" s="88"/>
      <c r="Q1264" s="88"/>
      <c r="R1264" s="78">
        <f>MAX(S1264:W1264)</f>
        <v>1</v>
      </c>
      <c r="S1264" s="88"/>
      <c r="T1264" s="88"/>
      <c r="U1264" s="88">
        <v>1</v>
      </c>
      <c r="V1264" s="88"/>
      <c r="W1264" s="88"/>
    </row>
    <row r="1265" spans="2:23" s="0" customFormat="0" ht="15">
      <c r="B1265" s="87" t="s">
        <v>1</v>
      </c>
      <c r="C1265" s="88" t="s">
        <v>5259</v>
      </c>
      <c r="D1265" s="88">
        <v>8421530</v>
      </c>
      <c r="E1265" s="88" t="s">
        <v>61</v>
      </c>
      <c r="F1265" s="88">
        <v>0</v>
      </c>
      <c r="G1265" s="78">
        <f>MAX(H1265,I1265,J1265)</f>
        <v>1</v>
      </c>
      <c r="H1265" s="88"/>
      <c r="I1265" s="88"/>
      <c r="J1265" s="78">
        <f>MAX(K1265:Q1265)</f>
        <v>1</v>
      </c>
      <c r="K1265" s="88">
        <v>1</v>
      </c>
      <c r="L1265" s="88"/>
      <c r="M1265" s="88"/>
      <c r="N1265" s="88"/>
      <c r="O1265" s="88"/>
      <c r="P1265" s="88"/>
      <c r="Q1265" s="88"/>
      <c r="R1265" s="78">
        <f>MAX(S1265:W1265)</f>
        <v>0</v>
      </c>
      <c r="S1265" s="88"/>
      <c r="T1265" s="88"/>
      <c r="U1265" s="88"/>
      <c r="V1265" s="88"/>
      <c r="W1265" s="88"/>
    </row>
    <row r="1266" spans="2:23" s="0" customFormat="0" ht="15">
      <c r="B1266" s="87" t="s">
        <v>1</v>
      </c>
      <c r="C1266" s="88" t="s">
        <v>5259</v>
      </c>
      <c r="D1266" s="88">
        <v>22069575</v>
      </c>
      <c r="E1266" s="88" t="s">
        <v>61</v>
      </c>
      <c r="F1266" s="88">
        <v>0</v>
      </c>
      <c r="G1266" s="78">
        <f>MAX(H1266,I1266,J1266)</f>
        <v>1</v>
      </c>
      <c r="H1266" s="88"/>
      <c r="I1266" s="88"/>
      <c r="J1266" s="78">
        <f>MAX(K1266:Q1266)</f>
        <v>1</v>
      </c>
      <c r="K1266" s="88">
        <v>1</v>
      </c>
      <c r="L1266" s="88"/>
      <c r="M1266" s="88"/>
      <c r="N1266" s="88"/>
      <c r="O1266" s="88"/>
      <c r="P1266" s="88"/>
      <c r="Q1266" s="88"/>
      <c r="R1266" s="78">
        <f>MAX(S1266:W1266)</f>
        <v>0</v>
      </c>
      <c r="S1266" s="88"/>
      <c r="T1266" s="88"/>
      <c r="U1266" s="88"/>
      <c r="V1266" s="88"/>
      <c r="W1266" s="88"/>
    </row>
    <row r="1267" spans="2:23" s="0" customFormat="0" ht="15">
      <c r="B1267" s="87" t="s">
        <v>1</v>
      </c>
      <c r="C1267" s="88" t="s">
        <v>5259</v>
      </c>
      <c r="D1267" s="88" t="s">
        <v>1064</v>
      </c>
      <c r="E1267" s="88" t="s">
        <v>61</v>
      </c>
      <c r="F1267" s="88">
        <v>0</v>
      </c>
      <c r="G1267" s="78">
        <f>MAX(H1267,I1267,J1267)</f>
        <v>1</v>
      </c>
      <c r="H1267" s="88"/>
      <c r="I1267" s="88"/>
      <c r="J1267" s="78">
        <f>MAX(K1267:Q1267)</f>
        <v>1</v>
      </c>
      <c r="K1267" s="88">
        <v>1</v>
      </c>
      <c r="L1267" s="88"/>
      <c r="M1267" s="88"/>
      <c r="N1267" s="88"/>
      <c r="O1267" s="88"/>
      <c r="P1267" s="88"/>
      <c r="Q1267" s="88"/>
      <c r="R1267" s="78">
        <f>MAX(S1267:W1267)</f>
        <v>0</v>
      </c>
      <c r="S1267" s="88"/>
      <c r="T1267" s="88"/>
      <c r="U1267" s="88"/>
      <c r="V1267" s="88"/>
      <c r="W1267" s="88"/>
    </row>
    <row r="1268" spans="2:23" s="0" customFormat="0" ht="15">
      <c r="B1268" s="87" t="s">
        <v>1</v>
      </c>
      <c r="C1268" s="88" t="s">
        <v>5259</v>
      </c>
      <c r="D1268" s="88">
        <v>12412640</v>
      </c>
      <c r="E1268" s="88" t="s">
        <v>61</v>
      </c>
      <c r="F1268" s="88">
        <v>0</v>
      </c>
      <c r="G1268" s="78">
        <f>MAX(H1268,I1268,J1268)</f>
        <v>1</v>
      </c>
      <c r="H1268" s="88"/>
      <c r="I1268" s="88"/>
      <c r="J1268" s="78">
        <f>MAX(K1268:Q1268)</f>
        <v>1</v>
      </c>
      <c r="K1268" s="88">
        <v>1</v>
      </c>
      <c r="L1268" s="88"/>
      <c r="M1268" s="88"/>
      <c r="N1268" s="88"/>
      <c r="O1268" s="88"/>
      <c r="P1268" s="88"/>
      <c r="Q1268" s="88"/>
      <c r="R1268" s="78">
        <f>MAX(S1268:W1268)</f>
        <v>0</v>
      </c>
      <c r="S1268" s="88"/>
      <c r="T1268" s="88"/>
      <c r="U1268" s="88"/>
      <c r="V1268" s="88"/>
      <c r="W1268" s="88"/>
    </row>
    <row r="1269" spans="2:23" s="0" customFormat="0" ht="15">
      <c r="B1269" s="87" t="s">
        <v>1</v>
      </c>
      <c r="C1269" s="88" t="s">
        <v>5259</v>
      </c>
      <c r="D1269" s="88" t="s">
        <v>1067</v>
      </c>
      <c r="E1269" s="88" t="s">
        <v>61</v>
      </c>
      <c r="F1269" s="88">
        <v>0</v>
      </c>
      <c r="G1269" s="78">
        <f>MAX(H1269,I1269,J1269)</f>
        <v>1</v>
      </c>
      <c r="H1269" s="88"/>
      <c r="I1269" s="88"/>
      <c r="J1269" s="78">
        <f>MAX(K1269:Q1269)</f>
        <v>1</v>
      </c>
      <c r="K1269" s="88">
        <v>1</v>
      </c>
      <c r="L1269" s="88"/>
      <c r="M1269" s="88"/>
      <c r="N1269" s="88"/>
      <c r="O1269" s="88"/>
      <c r="P1269" s="88"/>
      <c r="Q1269" s="88"/>
      <c r="R1269" s="78">
        <f>MAX(S1269:W1269)</f>
        <v>0</v>
      </c>
      <c r="S1269" s="88"/>
      <c r="T1269" s="88"/>
      <c r="U1269" s="88"/>
      <c r="V1269" s="88"/>
      <c r="W1269" s="88"/>
    </row>
    <row r="1270" spans="2:23" s="0" customFormat="0" ht="15">
      <c r="B1270" s="87" t="s">
        <v>1</v>
      </c>
      <c r="C1270" s="88" t="s">
        <v>5259</v>
      </c>
      <c r="D1270" s="88">
        <v>19673877</v>
      </c>
      <c r="E1270" s="88" t="s">
        <v>61</v>
      </c>
      <c r="F1270" s="88">
        <v>0</v>
      </c>
      <c r="G1270" s="78">
        <f>MAX(H1270,I1270,J1270)</f>
        <v>1</v>
      </c>
      <c r="H1270" s="88"/>
      <c r="I1270" s="88"/>
      <c r="J1270" s="78">
        <f>MAX(K1270:Q1270)</f>
        <v>1</v>
      </c>
      <c r="K1270" s="88">
        <v>1</v>
      </c>
      <c r="L1270" s="88"/>
      <c r="M1270" s="88"/>
      <c r="N1270" s="88"/>
      <c r="O1270" s="88"/>
      <c r="P1270" s="88"/>
      <c r="Q1270" s="88"/>
      <c r="R1270" s="78">
        <f>MAX(S1270:W1270)</f>
        <v>0</v>
      </c>
      <c r="S1270" s="88"/>
      <c r="T1270" s="88"/>
      <c r="U1270" s="88"/>
      <c r="V1270" s="88"/>
      <c r="W1270" s="88"/>
    </row>
    <row r="1271" spans="2:23" s="0" customFormat="0" ht="15">
      <c r="B1271" s="87" t="s">
        <v>1</v>
      </c>
      <c r="C1271" s="88" t="s">
        <v>5259</v>
      </c>
      <c r="D1271" s="88" t="s">
        <v>3930</v>
      </c>
      <c r="E1271" s="88" t="s">
        <v>61</v>
      </c>
      <c r="F1271" s="88">
        <v>0</v>
      </c>
      <c r="G1271" s="78">
        <f>MAX(H1271,I1271,J1271)</f>
        <v>0</v>
      </c>
      <c r="H1271" s="88"/>
      <c r="I1271" s="88"/>
      <c r="J1271" s="78">
        <f>MAX(K1271:Q1271)</f>
        <v>0</v>
      </c>
      <c r="K1271" s="88"/>
      <c r="L1271" s="88"/>
      <c r="M1271" s="88"/>
      <c r="N1271" s="88"/>
      <c r="O1271" s="88"/>
      <c r="P1271" s="88"/>
      <c r="Q1271" s="88"/>
      <c r="R1271" s="78">
        <f>MAX(S1271:W1271)</f>
        <v>1</v>
      </c>
      <c r="S1271" s="88"/>
      <c r="T1271" s="88"/>
      <c r="U1271" s="88">
        <v>1</v>
      </c>
      <c r="V1271" s="88"/>
      <c r="W1271" s="88"/>
    </row>
    <row r="1272" spans="2:23" s="0" customFormat="0" ht="15">
      <c r="B1272" s="87" t="s">
        <v>1</v>
      </c>
      <c r="C1272" s="88" t="s">
        <v>5259</v>
      </c>
      <c r="D1272" s="88" t="s">
        <v>3932</v>
      </c>
      <c r="E1272" s="88" t="s">
        <v>61</v>
      </c>
      <c r="F1272" s="88">
        <v>0</v>
      </c>
      <c r="G1272" s="78">
        <f>MAX(H1272,I1272,J1272)</f>
        <v>0</v>
      </c>
      <c r="H1272" s="88"/>
      <c r="I1272" s="88"/>
      <c r="J1272" s="78">
        <f>MAX(K1272:Q1272)</f>
        <v>0</v>
      </c>
      <c r="K1272" s="88"/>
      <c r="L1272" s="88"/>
      <c r="M1272" s="88"/>
      <c r="N1272" s="88"/>
      <c r="O1272" s="88"/>
      <c r="P1272" s="88"/>
      <c r="Q1272" s="88"/>
      <c r="R1272" s="78">
        <f>MAX(S1272:W1272)</f>
        <v>1</v>
      </c>
      <c r="S1272" s="88"/>
      <c r="T1272" s="88"/>
      <c r="U1272" s="88">
        <v>1</v>
      </c>
      <c r="V1272" s="88"/>
      <c r="W1272" s="88"/>
    </row>
    <row r="1273" spans="2:23" s="0" customFormat="0" ht="15">
      <c r="B1273" s="87" t="s">
        <v>1</v>
      </c>
      <c r="C1273" s="88" t="s">
        <v>5259</v>
      </c>
      <c r="D1273" s="88">
        <v>16974741</v>
      </c>
      <c r="E1273" s="88" t="s">
        <v>61</v>
      </c>
      <c r="F1273" s="88">
        <v>0</v>
      </c>
      <c r="G1273" s="78">
        <f>MAX(H1273,I1273,J1273)</f>
        <v>0</v>
      </c>
      <c r="H1273" s="88"/>
      <c r="I1273" s="88"/>
      <c r="J1273" s="78">
        <f>MAX(K1273:Q1273)</f>
        <v>0</v>
      </c>
      <c r="K1273" s="88"/>
      <c r="L1273" s="88"/>
      <c r="M1273" s="88"/>
      <c r="N1273" s="88"/>
      <c r="O1273" s="88"/>
      <c r="P1273" s="88"/>
      <c r="Q1273" s="88"/>
      <c r="R1273" s="78">
        <f>MAX(S1273:W1273)</f>
        <v>1</v>
      </c>
      <c r="S1273" s="88"/>
      <c r="T1273" s="88"/>
      <c r="U1273" s="88">
        <v>1</v>
      </c>
      <c r="V1273" s="88"/>
      <c r="W1273" s="88"/>
    </row>
    <row r="1274" spans="2:23" s="0" customFormat="0" ht="15">
      <c r="B1274" s="87" t="s">
        <v>1</v>
      </c>
      <c r="C1274" s="88" t="s">
        <v>5259</v>
      </c>
      <c r="D1274" s="88" t="s">
        <v>3218</v>
      </c>
      <c r="E1274" s="88" t="s">
        <v>61</v>
      </c>
      <c r="F1274" s="88">
        <v>0</v>
      </c>
      <c r="G1274" s="78">
        <f>MAX(H1274,I1274,J1274)</f>
        <v>0</v>
      </c>
      <c r="H1274" s="88"/>
      <c r="I1274" s="88"/>
      <c r="J1274" s="78">
        <f>MAX(K1274:Q1274)</f>
        <v>0</v>
      </c>
      <c r="K1274" s="88"/>
      <c r="L1274" s="88"/>
      <c r="M1274" s="88"/>
      <c r="N1274" s="88"/>
      <c r="O1274" s="88"/>
      <c r="P1274" s="88"/>
      <c r="Q1274" s="88"/>
      <c r="R1274" s="78">
        <f>MAX(S1274:W1274)</f>
        <v>1</v>
      </c>
      <c r="S1274" s="88"/>
      <c r="T1274" s="88"/>
      <c r="U1274" s="88"/>
      <c r="V1274" s="88">
        <v>1</v>
      </c>
      <c r="W1274" s="88"/>
    </row>
    <row r="1275" spans="2:23" s="0" customFormat="0" ht="15">
      <c r="B1275" s="87" t="s">
        <v>1</v>
      </c>
      <c r="C1275" s="88" t="s">
        <v>5259</v>
      </c>
      <c r="D1275" s="88">
        <v>19771038</v>
      </c>
      <c r="E1275" s="88" t="s">
        <v>61</v>
      </c>
      <c r="F1275" s="88">
        <v>0</v>
      </c>
      <c r="G1275" s="78">
        <f>MAX(H1275,I1275,J1275)</f>
        <v>1</v>
      </c>
      <c r="H1275" s="88"/>
      <c r="I1275" s="88"/>
      <c r="J1275" s="78">
        <f>MAX(K1275:Q1275)</f>
        <v>1</v>
      </c>
      <c r="K1275" s="88">
        <v>1</v>
      </c>
      <c r="L1275" s="88"/>
      <c r="M1275" s="88"/>
      <c r="N1275" s="88"/>
      <c r="O1275" s="88"/>
      <c r="P1275" s="88"/>
      <c r="Q1275" s="88"/>
      <c r="R1275" s="78">
        <f>MAX(S1275:W1275)</f>
        <v>0</v>
      </c>
      <c r="S1275" s="88"/>
      <c r="T1275" s="88"/>
      <c r="U1275" s="88"/>
      <c r="V1275" s="88"/>
      <c r="W1275" s="88"/>
    </row>
    <row r="1276" spans="2:23" s="0" customFormat="0" ht="15">
      <c r="B1276" s="87" t="s">
        <v>1</v>
      </c>
      <c r="C1276" s="88" t="s">
        <v>5259</v>
      </c>
      <c r="D1276" s="88" t="s">
        <v>3935</v>
      </c>
      <c r="E1276" s="88" t="s">
        <v>61</v>
      </c>
      <c r="F1276" s="88">
        <v>0</v>
      </c>
      <c r="G1276" s="78">
        <f>MAX(H1276,I1276,J1276)</f>
        <v>0</v>
      </c>
      <c r="H1276" s="88"/>
      <c r="I1276" s="88"/>
      <c r="J1276" s="78">
        <f>MAX(K1276:Q1276)</f>
        <v>0</v>
      </c>
      <c r="K1276" s="88"/>
      <c r="L1276" s="88"/>
      <c r="M1276" s="88"/>
      <c r="N1276" s="88"/>
      <c r="O1276" s="88"/>
      <c r="P1276" s="88"/>
      <c r="Q1276" s="88"/>
      <c r="R1276" s="78">
        <f>MAX(S1276:W1276)</f>
        <v>1</v>
      </c>
      <c r="S1276" s="88"/>
      <c r="T1276" s="88"/>
      <c r="U1276" s="88">
        <v>1</v>
      </c>
      <c r="V1276" s="88"/>
      <c r="W1276" s="88"/>
    </row>
    <row r="1277" spans="2:23" s="0" customFormat="0" ht="15">
      <c r="B1277" s="87" t="s">
        <v>1</v>
      </c>
      <c r="C1277" s="88" t="s">
        <v>5259</v>
      </c>
      <c r="D1277" s="88" t="s">
        <v>1071</v>
      </c>
      <c r="E1277" s="88" t="s">
        <v>61</v>
      </c>
      <c r="F1277" s="88">
        <v>0</v>
      </c>
      <c r="G1277" s="78">
        <f>MAX(H1277,I1277,J1277)</f>
        <v>1</v>
      </c>
      <c r="H1277" s="88"/>
      <c r="I1277" s="88"/>
      <c r="J1277" s="78">
        <f>MAX(K1277:Q1277)</f>
        <v>1</v>
      </c>
      <c r="K1277" s="88">
        <v>1</v>
      </c>
      <c r="L1277" s="88"/>
      <c r="M1277" s="88"/>
      <c r="N1277" s="88"/>
      <c r="O1277" s="88"/>
      <c r="P1277" s="88"/>
      <c r="Q1277" s="88"/>
      <c r="R1277" s="78">
        <f>MAX(S1277:W1277)</f>
        <v>0</v>
      </c>
      <c r="S1277" s="88"/>
      <c r="T1277" s="88"/>
      <c r="U1277" s="88"/>
      <c r="V1277" s="88"/>
      <c r="W1277" s="88"/>
    </row>
    <row r="1278" spans="2:23" s="0" customFormat="0" ht="15">
      <c r="B1278" s="87" t="s">
        <v>1</v>
      </c>
      <c r="C1278" s="88" t="s">
        <v>5259</v>
      </c>
      <c r="D1278" s="88" t="s">
        <v>3873</v>
      </c>
      <c r="E1278" s="88" t="s">
        <v>61</v>
      </c>
      <c r="F1278" s="88">
        <v>0</v>
      </c>
      <c r="G1278" s="78">
        <f>MAX(H1278,I1278,J1278)</f>
        <v>0</v>
      </c>
      <c r="H1278" s="88"/>
      <c r="I1278" s="88"/>
      <c r="J1278" s="78">
        <f>MAX(K1278:Q1278)</f>
        <v>0</v>
      </c>
      <c r="K1278" s="88"/>
      <c r="L1278" s="88"/>
      <c r="M1278" s="88"/>
      <c r="N1278" s="88"/>
      <c r="O1278" s="88"/>
      <c r="P1278" s="88"/>
      <c r="Q1278" s="88"/>
      <c r="R1278" s="78">
        <f>MAX(S1278:W1278)</f>
        <v>1</v>
      </c>
      <c r="S1278" s="88"/>
      <c r="T1278" s="88"/>
      <c r="U1278" s="88">
        <v>1</v>
      </c>
      <c r="V1278" s="88"/>
      <c r="W1278" s="88"/>
    </row>
    <row r="1279" spans="2:23" s="0" customFormat="0" ht="15">
      <c r="B1279" s="87" t="s">
        <v>1</v>
      </c>
      <c r="C1279" s="88" t="s">
        <v>5259</v>
      </c>
      <c r="D1279" s="88">
        <v>12040183</v>
      </c>
      <c r="E1279" s="88" t="s">
        <v>61</v>
      </c>
      <c r="F1279" s="88">
        <v>0</v>
      </c>
      <c r="G1279" s="78">
        <f>MAX(H1279,I1279,J1279)</f>
        <v>1</v>
      </c>
      <c r="H1279" s="88"/>
      <c r="I1279" s="88"/>
      <c r="J1279" s="78">
        <f>MAX(K1279:Q1279)</f>
        <v>1</v>
      </c>
      <c r="K1279" s="88">
        <v>1</v>
      </c>
      <c r="L1279" s="88"/>
      <c r="M1279" s="88"/>
      <c r="N1279" s="88"/>
      <c r="O1279" s="88"/>
      <c r="P1279" s="88"/>
      <c r="Q1279" s="88"/>
      <c r="R1279" s="78">
        <f>MAX(S1279:W1279)</f>
        <v>0</v>
      </c>
      <c r="S1279" s="88"/>
      <c r="T1279" s="88"/>
      <c r="U1279" s="88"/>
      <c r="V1279" s="88"/>
      <c r="W1279" s="88"/>
    </row>
    <row r="1280" spans="2:23" s="0" customFormat="0" ht="15">
      <c r="B1280" s="87" t="s">
        <v>1</v>
      </c>
      <c r="C1280" s="88" t="s">
        <v>5259</v>
      </c>
      <c r="D1280" s="88" t="s">
        <v>3069</v>
      </c>
      <c r="E1280" s="88" t="s">
        <v>61</v>
      </c>
      <c r="F1280" s="88">
        <v>0</v>
      </c>
      <c r="G1280" s="78">
        <f>MAX(H1280,I1280,J1280)</f>
        <v>1</v>
      </c>
      <c r="H1280" s="88"/>
      <c r="I1280" s="88"/>
      <c r="J1280" s="78">
        <f>MAX(K1280:Q1280)</f>
        <v>1</v>
      </c>
      <c r="K1280" s="88"/>
      <c r="L1280" s="88"/>
      <c r="M1280" s="88">
        <v>1</v>
      </c>
      <c r="N1280" s="88"/>
      <c r="O1280" s="88"/>
      <c r="P1280" s="88"/>
      <c r="Q1280" s="88"/>
      <c r="R1280" s="78">
        <f>MAX(S1280:W1280)</f>
        <v>0</v>
      </c>
      <c r="S1280" s="88"/>
      <c r="T1280" s="88"/>
      <c r="U1280" s="88"/>
      <c r="V1280" s="88"/>
      <c r="W1280" s="88"/>
    </row>
    <row r="1281" spans="2:23" s="0" customFormat="0" ht="15">
      <c r="B1281" s="87" t="s">
        <v>1</v>
      </c>
      <c r="C1281" s="88" t="s">
        <v>5259</v>
      </c>
      <c r="D1281" s="88">
        <v>13044717</v>
      </c>
      <c r="E1281" s="88" t="s">
        <v>61</v>
      </c>
      <c r="F1281" s="88">
        <v>0</v>
      </c>
      <c r="G1281" s="78">
        <f>MAX(H1281,I1281,J1281)</f>
        <v>1</v>
      </c>
      <c r="H1281" s="88"/>
      <c r="I1281" s="88"/>
      <c r="J1281" s="78">
        <f>MAX(K1281:Q1281)</f>
        <v>1</v>
      </c>
      <c r="K1281" s="88">
        <v>1</v>
      </c>
      <c r="L1281" s="88"/>
      <c r="M1281" s="88"/>
      <c r="N1281" s="88"/>
      <c r="O1281" s="88"/>
      <c r="P1281" s="88"/>
      <c r="Q1281" s="88"/>
      <c r="R1281" s="78">
        <f>MAX(S1281:W1281)</f>
        <v>0</v>
      </c>
      <c r="S1281" s="88"/>
      <c r="T1281" s="88"/>
      <c r="U1281" s="88"/>
      <c r="V1281" s="88"/>
      <c r="W1281" s="88"/>
    </row>
    <row r="1282" spans="2:23" s="0" customFormat="0" ht="15">
      <c r="B1282" s="87" t="s">
        <v>1</v>
      </c>
      <c r="C1282" s="88" t="s">
        <v>5259</v>
      </c>
      <c r="D1282" s="88">
        <v>18964213</v>
      </c>
      <c r="E1282" s="88" t="s">
        <v>61</v>
      </c>
      <c r="F1282" s="88">
        <v>0</v>
      </c>
      <c r="G1282" s="78">
        <f>MAX(H1282,I1282,J1282)</f>
        <v>0</v>
      </c>
      <c r="H1282" s="88"/>
      <c r="I1282" s="88"/>
      <c r="J1282" s="78">
        <f>MAX(K1282:Q1282)</f>
        <v>0</v>
      </c>
      <c r="K1282" s="88"/>
      <c r="L1282" s="88"/>
      <c r="M1282" s="88"/>
      <c r="N1282" s="88"/>
      <c r="O1282" s="88"/>
      <c r="P1282" s="88"/>
      <c r="Q1282" s="88"/>
      <c r="R1282" s="78">
        <f>MAX(S1282:W1282)</f>
        <v>1</v>
      </c>
      <c r="S1282" s="88"/>
      <c r="T1282" s="88"/>
      <c r="U1282" s="88">
        <v>1</v>
      </c>
      <c r="V1282" s="88"/>
      <c r="W1282" s="88"/>
    </row>
    <row r="1283" spans="2:23" s="0" customFormat="0" ht="15">
      <c r="B1283" s="87" t="s">
        <v>1</v>
      </c>
      <c r="C1283" s="88" t="s">
        <v>5259</v>
      </c>
      <c r="D1283" s="88">
        <v>22902513</v>
      </c>
      <c r="E1283" s="88" t="s">
        <v>61</v>
      </c>
      <c r="F1283" s="88">
        <v>0</v>
      </c>
      <c r="G1283" s="78">
        <f>MAX(H1283,I1283,J1283)</f>
        <v>1</v>
      </c>
      <c r="H1283" s="88"/>
      <c r="I1283" s="88"/>
      <c r="J1283" s="78">
        <f>MAX(K1283:Q1283)</f>
        <v>1</v>
      </c>
      <c r="K1283" s="88">
        <v>1</v>
      </c>
      <c r="L1283" s="88"/>
      <c r="M1283" s="88"/>
      <c r="N1283" s="88"/>
      <c r="O1283" s="88"/>
      <c r="P1283" s="88"/>
      <c r="Q1283" s="88"/>
      <c r="R1283" s="78">
        <f>MAX(S1283:W1283)</f>
        <v>0</v>
      </c>
      <c r="S1283" s="88"/>
      <c r="T1283" s="88"/>
      <c r="U1283" s="88"/>
      <c r="V1283" s="88"/>
      <c r="W1283" s="88"/>
    </row>
    <row r="1284" spans="2:23" s="0" customFormat="0" ht="15">
      <c r="B1284" s="87" t="s">
        <v>1</v>
      </c>
      <c r="C1284" s="88" t="s">
        <v>5259</v>
      </c>
      <c r="D1284" s="88">
        <v>21774078</v>
      </c>
      <c r="E1284" s="88" t="s">
        <v>61</v>
      </c>
      <c r="F1284" s="88">
        <v>0</v>
      </c>
      <c r="G1284" s="78">
        <f>MAX(H1284,I1284,J1284)</f>
        <v>1</v>
      </c>
      <c r="H1284" s="88"/>
      <c r="I1284" s="88"/>
      <c r="J1284" s="78">
        <f>MAX(K1284:Q1284)</f>
        <v>1</v>
      </c>
      <c r="K1284" s="88">
        <v>1</v>
      </c>
      <c r="L1284" s="88"/>
      <c r="M1284" s="88"/>
      <c r="N1284" s="88"/>
      <c r="O1284" s="88"/>
      <c r="P1284" s="88"/>
      <c r="Q1284" s="88"/>
      <c r="R1284" s="78">
        <f>MAX(S1284:W1284)</f>
        <v>0</v>
      </c>
      <c r="S1284" s="88"/>
      <c r="T1284" s="88"/>
      <c r="U1284" s="88"/>
      <c r="V1284" s="88"/>
      <c r="W1284" s="88"/>
    </row>
    <row r="1285" spans="2:23" s="0" customFormat="0" ht="15">
      <c r="B1285" s="87" t="s">
        <v>1</v>
      </c>
      <c r="C1285" s="88" t="s">
        <v>5259</v>
      </c>
      <c r="D1285" s="88">
        <v>4329873</v>
      </c>
      <c r="E1285" s="88" t="s">
        <v>61</v>
      </c>
      <c r="F1285" s="88">
        <v>0</v>
      </c>
      <c r="G1285" s="78">
        <f>MAX(H1285,I1285,J1285)</f>
        <v>1</v>
      </c>
      <c r="H1285" s="88"/>
      <c r="I1285" s="88"/>
      <c r="J1285" s="78">
        <f>MAX(K1285:Q1285)</f>
        <v>1</v>
      </c>
      <c r="K1285" s="88">
        <v>1</v>
      </c>
      <c r="L1285" s="88"/>
      <c r="M1285" s="88"/>
      <c r="N1285" s="88"/>
      <c r="O1285" s="88"/>
      <c r="P1285" s="88"/>
      <c r="Q1285" s="88"/>
      <c r="R1285" s="78">
        <f>MAX(S1285:W1285)</f>
        <v>0</v>
      </c>
      <c r="S1285" s="88"/>
      <c r="T1285" s="88"/>
      <c r="U1285" s="88"/>
      <c r="V1285" s="88"/>
      <c r="W1285" s="88"/>
    </row>
    <row r="1286" spans="2:23" s="0" customFormat="0" ht="15">
      <c r="B1286" s="87" t="s">
        <v>1</v>
      </c>
      <c r="C1286" s="88" t="s">
        <v>5259</v>
      </c>
      <c r="D1286" s="88" t="s">
        <v>3938</v>
      </c>
      <c r="E1286" s="88" t="s">
        <v>61</v>
      </c>
      <c r="F1286" s="88">
        <v>0</v>
      </c>
      <c r="G1286" s="78">
        <f>MAX(H1286,I1286,J1286)</f>
        <v>0</v>
      </c>
      <c r="H1286" s="88"/>
      <c r="I1286" s="88"/>
      <c r="J1286" s="78">
        <f>MAX(K1286:Q1286)</f>
        <v>0</v>
      </c>
      <c r="K1286" s="88"/>
      <c r="L1286" s="88"/>
      <c r="M1286" s="88"/>
      <c r="N1286" s="88"/>
      <c r="O1286" s="88"/>
      <c r="P1286" s="88"/>
      <c r="Q1286" s="88"/>
      <c r="R1286" s="78">
        <f>MAX(S1286:W1286)</f>
        <v>1</v>
      </c>
      <c r="S1286" s="88"/>
      <c r="T1286" s="88"/>
      <c r="U1286" s="88">
        <v>1</v>
      </c>
      <c r="V1286" s="88"/>
      <c r="W1286" s="88"/>
    </row>
    <row r="1287" spans="2:23" s="0" customFormat="0" ht="15">
      <c r="B1287" s="87" t="s">
        <v>1</v>
      </c>
      <c r="C1287" s="88" t="s">
        <v>5259</v>
      </c>
      <c r="D1287" s="88" t="s">
        <v>3875</v>
      </c>
      <c r="E1287" s="88" t="s">
        <v>61</v>
      </c>
      <c r="F1287" s="88">
        <v>0</v>
      </c>
      <c r="G1287" s="78">
        <f>MAX(H1287,I1287,J1287)</f>
        <v>0</v>
      </c>
      <c r="H1287" s="88"/>
      <c r="I1287" s="88"/>
      <c r="J1287" s="78">
        <f>MAX(K1287:Q1287)</f>
        <v>0</v>
      </c>
      <c r="K1287" s="88"/>
      <c r="L1287" s="88"/>
      <c r="M1287" s="88"/>
      <c r="N1287" s="88"/>
      <c r="O1287" s="88"/>
      <c r="P1287" s="88"/>
      <c r="Q1287" s="88"/>
      <c r="R1287" s="78">
        <f>MAX(S1287:W1287)</f>
        <v>1</v>
      </c>
      <c r="S1287" s="88"/>
      <c r="T1287" s="88"/>
      <c r="U1287" s="88">
        <v>1</v>
      </c>
      <c r="V1287" s="88"/>
      <c r="W1287" s="88"/>
    </row>
    <row r="1288" spans="2:23" s="0" customFormat="0" ht="15">
      <c r="B1288" s="87" t="s">
        <v>1</v>
      </c>
      <c r="C1288" s="88" t="s">
        <v>5259</v>
      </c>
      <c r="D1288" s="88">
        <v>18152759</v>
      </c>
      <c r="E1288" s="88" t="s">
        <v>61</v>
      </c>
      <c r="F1288" s="88">
        <v>0</v>
      </c>
      <c r="G1288" s="78">
        <f>MAX(H1288,I1288,J1288)</f>
        <v>1</v>
      </c>
      <c r="H1288" s="88"/>
      <c r="I1288" s="88"/>
      <c r="J1288" s="78">
        <f>MAX(K1288:Q1288)</f>
        <v>1</v>
      </c>
      <c r="K1288" s="88">
        <v>1</v>
      </c>
      <c r="L1288" s="88"/>
      <c r="M1288" s="88"/>
      <c r="N1288" s="88"/>
      <c r="O1288" s="88"/>
      <c r="P1288" s="88"/>
      <c r="Q1288" s="88"/>
      <c r="R1288" s="78">
        <f>MAX(S1288:W1288)</f>
        <v>0</v>
      </c>
      <c r="S1288" s="88"/>
      <c r="T1288" s="88"/>
      <c r="U1288" s="88"/>
      <c r="V1288" s="88"/>
      <c r="W1288" s="88"/>
    </row>
    <row r="1289" spans="2:23" s="0" customFormat="0" ht="15">
      <c r="B1289" s="87" t="s">
        <v>1</v>
      </c>
      <c r="C1289" s="88" t="s">
        <v>5259</v>
      </c>
      <c r="D1289" s="88" t="s">
        <v>1078</v>
      </c>
      <c r="E1289" s="88" t="s">
        <v>61</v>
      </c>
      <c r="F1289" s="88">
        <v>0</v>
      </c>
      <c r="G1289" s="78">
        <f>MAX(H1289,I1289,J1289)</f>
        <v>1</v>
      </c>
      <c r="H1289" s="88"/>
      <c r="I1289" s="88"/>
      <c r="J1289" s="78">
        <f>MAX(K1289:Q1289)</f>
        <v>1</v>
      </c>
      <c r="K1289" s="88">
        <v>1</v>
      </c>
      <c r="L1289" s="88"/>
      <c r="M1289" s="88"/>
      <c r="N1289" s="88"/>
      <c r="O1289" s="88"/>
      <c r="P1289" s="88"/>
      <c r="Q1289" s="88"/>
      <c r="R1289" s="78">
        <f>MAX(S1289:W1289)</f>
        <v>0</v>
      </c>
      <c r="S1289" s="88"/>
      <c r="T1289" s="88"/>
      <c r="U1289" s="88"/>
      <c r="V1289" s="88"/>
      <c r="W1289" s="88"/>
    </row>
    <row r="1290" spans="2:23" s="0" customFormat="0" ht="15">
      <c r="B1290" s="87" t="s">
        <v>1</v>
      </c>
      <c r="C1290" s="88" t="s">
        <v>5259</v>
      </c>
      <c r="D1290" s="88">
        <v>24747314</v>
      </c>
      <c r="E1290" s="88" t="s">
        <v>61</v>
      </c>
      <c r="F1290" s="88">
        <v>0</v>
      </c>
      <c r="G1290" s="78">
        <f>MAX(H1290,I1290,J1290)</f>
        <v>1</v>
      </c>
      <c r="H1290" s="88"/>
      <c r="I1290" s="88"/>
      <c r="J1290" s="78">
        <f>MAX(K1290:Q1290)</f>
        <v>1</v>
      </c>
      <c r="K1290" s="88">
        <v>1</v>
      </c>
      <c r="L1290" s="88"/>
      <c r="M1290" s="88"/>
      <c r="N1290" s="88"/>
      <c r="O1290" s="88"/>
      <c r="P1290" s="88"/>
      <c r="Q1290" s="88"/>
      <c r="R1290" s="78">
        <f>MAX(S1290:W1290)</f>
        <v>0</v>
      </c>
      <c r="S1290" s="88"/>
      <c r="T1290" s="88"/>
      <c r="U1290" s="88"/>
      <c r="V1290" s="88"/>
      <c r="W1290" s="88"/>
    </row>
    <row r="1291" spans="2:23" s="0" customFormat="0" ht="15">
      <c r="B1291" s="87" t="s">
        <v>1</v>
      </c>
      <c r="C1291" s="88" t="s">
        <v>5259</v>
      </c>
      <c r="D1291" s="88">
        <v>12365026</v>
      </c>
      <c r="E1291" s="88" t="s">
        <v>61</v>
      </c>
      <c r="F1291" s="88">
        <v>0</v>
      </c>
      <c r="G1291" s="78">
        <f>MAX(H1291,I1291,J1291)</f>
        <v>1</v>
      </c>
      <c r="H1291" s="88"/>
      <c r="I1291" s="88"/>
      <c r="J1291" s="78">
        <f>MAX(K1291:Q1291)</f>
        <v>1</v>
      </c>
      <c r="K1291" s="88">
        <v>1</v>
      </c>
      <c r="L1291" s="88"/>
      <c r="M1291" s="88"/>
      <c r="N1291" s="88"/>
      <c r="O1291" s="88"/>
      <c r="P1291" s="88"/>
      <c r="Q1291" s="88"/>
      <c r="R1291" s="78">
        <f>MAX(S1291:W1291)</f>
        <v>0</v>
      </c>
      <c r="S1291" s="88"/>
      <c r="T1291" s="88"/>
      <c r="U1291" s="88"/>
      <c r="V1291" s="88"/>
      <c r="W1291" s="88"/>
    </row>
    <row r="1292" spans="2:23" s="0" customFormat="0" ht="15">
      <c r="B1292" s="87" t="s">
        <v>1</v>
      </c>
      <c r="C1292" s="88" t="s">
        <v>5259</v>
      </c>
      <c r="D1292" s="88">
        <v>22664656</v>
      </c>
      <c r="E1292" s="88" t="s">
        <v>61</v>
      </c>
      <c r="F1292" s="88">
        <v>0</v>
      </c>
      <c r="G1292" s="78">
        <f>MAX(H1292,I1292,J1292)</f>
        <v>1</v>
      </c>
      <c r="H1292" s="88"/>
      <c r="I1292" s="88"/>
      <c r="J1292" s="78">
        <f>MAX(K1292:Q1292)</f>
        <v>1</v>
      </c>
      <c r="K1292" s="88">
        <v>1</v>
      </c>
      <c r="L1292" s="88"/>
      <c r="M1292" s="88"/>
      <c r="N1292" s="88"/>
      <c r="O1292" s="88"/>
      <c r="P1292" s="88"/>
      <c r="Q1292" s="88"/>
      <c r="R1292" s="78">
        <f>MAX(S1292:W1292)</f>
        <v>0</v>
      </c>
      <c r="S1292" s="88"/>
      <c r="T1292" s="88"/>
      <c r="U1292" s="88"/>
      <c r="V1292" s="88"/>
      <c r="W1292" s="88"/>
    </row>
    <row r="1293" spans="2:23" s="0" customFormat="0" ht="15">
      <c r="B1293" s="87" t="s">
        <v>1</v>
      </c>
      <c r="C1293" s="88" t="s">
        <v>5259</v>
      </c>
      <c r="D1293" s="88" t="s">
        <v>765</v>
      </c>
      <c r="E1293" s="88" t="s">
        <v>61</v>
      </c>
      <c r="F1293" s="88">
        <v>0</v>
      </c>
      <c r="G1293" s="78">
        <f>MAX(H1293,I1293,J1293)</f>
        <v>1</v>
      </c>
      <c r="H1293" s="88"/>
      <c r="I1293" s="88"/>
      <c r="J1293" s="78">
        <f>MAX(K1293:Q1293)</f>
        <v>1</v>
      </c>
      <c r="K1293" s="88">
        <v>1</v>
      </c>
      <c r="L1293" s="88"/>
      <c r="M1293" s="88"/>
      <c r="N1293" s="88"/>
      <c r="O1293" s="88"/>
      <c r="P1293" s="88"/>
      <c r="Q1293" s="88"/>
      <c r="R1293" s="78">
        <f>MAX(S1293:W1293)</f>
        <v>0</v>
      </c>
      <c r="S1293" s="88"/>
      <c r="T1293" s="88"/>
      <c r="U1293" s="88"/>
      <c r="V1293" s="88"/>
      <c r="W1293" s="88"/>
    </row>
    <row r="1294" spans="2:23" s="0" customFormat="0" ht="15">
      <c r="B1294" s="87" t="s">
        <v>1</v>
      </c>
      <c r="C1294" s="88" t="s">
        <v>5259</v>
      </c>
      <c r="D1294" s="88">
        <v>20538925</v>
      </c>
      <c r="E1294" s="88" t="s">
        <v>61</v>
      </c>
      <c r="F1294" s="88">
        <v>0</v>
      </c>
      <c r="G1294" s="78">
        <f>MAX(H1294,I1294,J1294)</f>
        <v>1</v>
      </c>
      <c r="H1294" s="88"/>
      <c r="I1294" s="88"/>
      <c r="J1294" s="78">
        <f>MAX(K1294:Q1294)</f>
        <v>1</v>
      </c>
      <c r="K1294" s="88">
        <v>1</v>
      </c>
      <c r="L1294" s="88"/>
      <c r="M1294" s="88"/>
      <c r="N1294" s="88"/>
      <c r="O1294" s="88"/>
      <c r="P1294" s="88"/>
      <c r="Q1294" s="88"/>
      <c r="R1294" s="78">
        <f>MAX(S1294:W1294)</f>
        <v>0</v>
      </c>
      <c r="S1294" s="88"/>
      <c r="T1294" s="88"/>
      <c r="U1294" s="88"/>
      <c r="V1294" s="88"/>
      <c r="W1294" s="88"/>
    </row>
    <row r="1295" spans="2:23" s="0" customFormat="0" ht="15">
      <c r="B1295" s="87" t="s">
        <v>1</v>
      </c>
      <c r="C1295" s="88" t="s">
        <v>5259</v>
      </c>
      <c r="D1295" s="88">
        <v>21990923</v>
      </c>
      <c r="E1295" s="88" t="s">
        <v>61</v>
      </c>
      <c r="F1295" s="88">
        <v>0</v>
      </c>
      <c r="G1295" s="78">
        <f>MAX(H1295,I1295,J1295)</f>
        <v>1</v>
      </c>
      <c r="H1295" s="88"/>
      <c r="I1295" s="88"/>
      <c r="J1295" s="78">
        <f>MAX(K1295:Q1295)</f>
        <v>1</v>
      </c>
      <c r="K1295" s="88"/>
      <c r="L1295" s="88"/>
      <c r="M1295" s="88">
        <v>1</v>
      </c>
      <c r="N1295" s="88"/>
      <c r="O1295" s="88"/>
      <c r="P1295" s="88"/>
      <c r="Q1295" s="88"/>
      <c r="R1295" s="78">
        <f>MAX(S1295:W1295)</f>
        <v>0</v>
      </c>
      <c r="S1295" s="88"/>
      <c r="T1295" s="88"/>
      <c r="U1295" s="88"/>
      <c r="V1295" s="88"/>
      <c r="W1295" s="88"/>
    </row>
    <row r="1296" spans="2:23" s="0" customFormat="0" ht="15">
      <c r="B1296" s="87" t="s">
        <v>1</v>
      </c>
      <c r="C1296" s="88" t="s">
        <v>5259</v>
      </c>
      <c r="D1296" s="88">
        <v>19812482</v>
      </c>
      <c r="E1296" s="88" t="s">
        <v>61</v>
      </c>
      <c r="F1296" s="88">
        <v>0</v>
      </c>
      <c r="G1296" s="78">
        <f>MAX(H1296,I1296,J1296)</f>
        <v>1</v>
      </c>
      <c r="H1296" s="88"/>
      <c r="I1296" s="88"/>
      <c r="J1296" s="78">
        <f>MAX(K1296:Q1296)</f>
        <v>1</v>
      </c>
      <c r="K1296" s="88">
        <v>1</v>
      </c>
      <c r="L1296" s="88"/>
      <c r="M1296" s="88"/>
      <c r="N1296" s="88"/>
      <c r="O1296" s="88"/>
      <c r="P1296" s="88"/>
      <c r="Q1296" s="88"/>
      <c r="R1296" s="78">
        <f>MAX(S1296:W1296)</f>
        <v>0</v>
      </c>
      <c r="S1296" s="88"/>
      <c r="T1296" s="88"/>
      <c r="U1296" s="88"/>
      <c r="V1296" s="88"/>
      <c r="W1296" s="88"/>
    </row>
    <row r="1297" spans="2:23" s="0" customFormat="0" ht="15">
      <c r="B1297" s="87" t="s">
        <v>1</v>
      </c>
      <c r="C1297" s="88" t="s">
        <v>5259</v>
      </c>
      <c r="D1297" s="88" t="s">
        <v>1084</v>
      </c>
      <c r="E1297" s="88" t="s">
        <v>61</v>
      </c>
      <c r="F1297" s="88">
        <v>0</v>
      </c>
      <c r="G1297" s="78">
        <f>MAX(H1297,I1297,J1297)</f>
        <v>1</v>
      </c>
      <c r="H1297" s="88"/>
      <c r="I1297" s="88"/>
      <c r="J1297" s="78">
        <f>MAX(K1297:Q1297)</f>
        <v>1</v>
      </c>
      <c r="K1297" s="88">
        <v>1</v>
      </c>
      <c r="L1297" s="88"/>
      <c r="M1297" s="88"/>
      <c r="N1297" s="88"/>
      <c r="O1297" s="88"/>
      <c r="P1297" s="88"/>
      <c r="Q1297" s="88"/>
      <c r="R1297" s="78">
        <f>MAX(S1297:W1297)</f>
        <v>0</v>
      </c>
      <c r="S1297" s="88"/>
      <c r="T1297" s="88"/>
      <c r="U1297" s="88"/>
      <c r="V1297" s="88"/>
      <c r="W1297" s="88"/>
    </row>
    <row r="1298" spans="2:23" s="0" customFormat="0" ht="15">
      <c r="B1298" s="87" t="s">
        <v>1</v>
      </c>
      <c r="C1298" s="88" t="s">
        <v>5259</v>
      </c>
      <c r="D1298" s="88">
        <v>17356632</v>
      </c>
      <c r="E1298" s="88" t="s">
        <v>61</v>
      </c>
      <c r="F1298" s="88">
        <v>0</v>
      </c>
      <c r="G1298" s="78">
        <f>MAX(H1298,I1298,J1298)</f>
        <v>1</v>
      </c>
      <c r="H1298" s="88"/>
      <c r="I1298" s="88"/>
      <c r="J1298" s="78">
        <f>MAX(K1298:Q1298)</f>
        <v>1</v>
      </c>
      <c r="K1298" s="88">
        <v>1</v>
      </c>
      <c r="L1298" s="88"/>
      <c r="M1298" s="88"/>
      <c r="N1298" s="88"/>
      <c r="O1298" s="88"/>
      <c r="P1298" s="88"/>
      <c r="Q1298" s="88"/>
      <c r="R1298" s="78">
        <f>MAX(S1298:W1298)</f>
        <v>0</v>
      </c>
      <c r="S1298" s="88"/>
      <c r="T1298" s="88"/>
      <c r="U1298" s="88"/>
      <c r="V1298" s="88"/>
      <c r="W1298" s="88"/>
    </row>
    <row r="1299" spans="2:23" s="0" customFormat="0" ht="15">
      <c r="B1299" s="87" t="s">
        <v>1</v>
      </c>
      <c r="C1299" s="88" t="s">
        <v>5259</v>
      </c>
      <c r="D1299" s="88" t="s">
        <v>3072</v>
      </c>
      <c r="E1299" s="88" t="s">
        <v>61</v>
      </c>
      <c r="F1299" s="88">
        <v>0</v>
      </c>
      <c r="G1299" s="78">
        <f>MAX(H1299,I1299,J1299)</f>
        <v>1</v>
      </c>
      <c r="H1299" s="88"/>
      <c r="I1299" s="88"/>
      <c r="J1299" s="78">
        <f>MAX(K1299:Q1299)</f>
        <v>1</v>
      </c>
      <c r="K1299" s="88"/>
      <c r="L1299" s="88"/>
      <c r="M1299" s="88">
        <v>1</v>
      </c>
      <c r="N1299" s="88"/>
      <c r="O1299" s="88"/>
      <c r="P1299" s="88"/>
      <c r="Q1299" s="88"/>
      <c r="R1299" s="78">
        <f>MAX(S1299:W1299)</f>
        <v>0</v>
      </c>
      <c r="S1299" s="88"/>
      <c r="T1299" s="88"/>
      <c r="U1299" s="88"/>
      <c r="V1299" s="88"/>
      <c r="W1299" s="88"/>
    </row>
    <row r="1300" spans="2:23" s="0" customFormat="0" ht="15">
      <c r="B1300" s="87" t="s">
        <v>1</v>
      </c>
      <c r="C1300" s="88" t="s">
        <v>5259</v>
      </c>
      <c r="D1300" s="88" t="s">
        <v>3940</v>
      </c>
      <c r="E1300" s="88" t="s">
        <v>61</v>
      </c>
      <c r="F1300" s="88">
        <v>0</v>
      </c>
      <c r="G1300" s="78">
        <f>MAX(H1300,I1300,J1300)</f>
        <v>0</v>
      </c>
      <c r="H1300" s="88"/>
      <c r="I1300" s="88"/>
      <c r="J1300" s="78">
        <f>MAX(K1300:Q1300)</f>
        <v>0</v>
      </c>
      <c r="K1300" s="88"/>
      <c r="L1300" s="88"/>
      <c r="M1300" s="88"/>
      <c r="N1300" s="88"/>
      <c r="O1300" s="88"/>
      <c r="P1300" s="88"/>
      <c r="Q1300" s="88"/>
      <c r="R1300" s="78">
        <f>MAX(S1300:W1300)</f>
        <v>1</v>
      </c>
      <c r="S1300" s="88"/>
      <c r="T1300" s="88"/>
      <c r="U1300" s="88">
        <v>1</v>
      </c>
      <c r="V1300" s="88"/>
      <c r="W1300" s="88"/>
    </row>
    <row r="1301" spans="2:23" s="0" customFormat="0" ht="15">
      <c r="B1301" s="87" t="s">
        <v>1</v>
      </c>
      <c r="C1301" s="88" t="s">
        <v>5259</v>
      </c>
      <c r="D1301" s="88">
        <v>15479984</v>
      </c>
      <c r="E1301" s="88" t="s">
        <v>61</v>
      </c>
      <c r="F1301" s="88">
        <v>0</v>
      </c>
      <c r="G1301" s="78">
        <f>MAX(H1301,I1301,J1301)</f>
        <v>1</v>
      </c>
      <c r="H1301" s="88"/>
      <c r="I1301" s="88"/>
      <c r="J1301" s="78">
        <f>MAX(K1301:Q1301)</f>
        <v>1</v>
      </c>
      <c r="K1301" s="88">
        <v>1</v>
      </c>
      <c r="L1301" s="88"/>
      <c r="M1301" s="88"/>
      <c r="N1301" s="88"/>
      <c r="O1301" s="88"/>
      <c r="P1301" s="88"/>
      <c r="Q1301" s="88"/>
      <c r="R1301" s="78">
        <f>MAX(S1301:W1301)</f>
        <v>0</v>
      </c>
      <c r="S1301" s="88"/>
      <c r="T1301" s="88"/>
      <c r="U1301" s="88"/>
      <c r="V1301" s="88"/>
      <c r="W1301" s="88"/>
    </row>
    <row r="1302" spans="2:23" s="0" customFormat="0" ht="15">
      <c r="B1302" s="87" t="s">
        <v>1</v>
      </c>
      <c r="C1302" s="88" t="s">
        <v>5259</v>
      </c>
      <c r="D1302" s="88" t="s">
        <v>3942</v>
      </c>
      <c r="E1302" s="88" t="s">
        <v>61</v>
      </c>
      <c r="F1302" s="88">
        <v>0</v>
      </c>
      <c r="G1302" s="78">
        <f>MAX(H1302,I1302,J1302)</f>
        <v>0</v>
      </c>
      <c r="H1302" s="88"/>
      <c r="I1302" s="88"/>
      <c r="J1302" s="78">
        <f>MAX(K1302:Q1302)</f>
        <v>0</v>
      </c>
      <c r="K1302" s="88"/>
      <c r="L1302" s="88"/>
      <c r="M1302" s="88"/>
      <c r="N1302" s="88"/>
      <c r="O1302" s="88"/>
      <c r="P1302" s="88"/>
      <c r="Q1302" s="88"/>
      <c r="R1302" s="78">
        <f>MAX(S1302:W1302)</f>
        <v>1</v>
      </c>
      <c r="S1302" s="88"/>
      <c r="T1302" s="88"/>
      <c r="U1302" s="88">
        <v>1</v>
      </c>
      <c r="V1302" s="88"/>
      <c r="W1302" s="88"/>
    </row>
    <row r="1303" spans="2:23" s="0" customFormat="0" ht="15">
      <c r="B1303" s="87" t="s">
        <v>1</v>
      </c>
      <c r="C1303" s="88" t="s">
        <v>5259</v>
      </c>
      <c r="D1303" s="88">
        <v>12200132</v>
      </c>
      <c r="E1303" s="88" t="s">
        <v>61</v>
      </c>
      <c r="F1303" s="88">
        <v>0</v>
      </c>
      <c r="G1303" s="78">
        <f>MAX(H1303,I1303,J1303)</f>
        <v>1</v>
      </c>
      <c r="H1303" s="88"/>
      <c r="I1303" s="88"/>
      <c r="J1303" s="78">
        <f>MAX(K1303:Q1303)</f>
        <v>1</v>
      </c>
      <c r="K1303" s="88">
        <v>1</v>
      </c>
      <c r="L1303" s="88"/>
      <c r="M1303" s="88"/>
      <c r="N1303" s="88"/>
      <c r="O1303" s="88"/>
      <c r="P1303" s="88"/>
      <c r="Q1303" s="88"/>
      <c r="R1303" s="78">
        <f>MAX(S1303:W1303)</f>
        <v>0</v>
      </c>
      <c r="S1303" s="88"/>
      <c r="T1303" s="88"/>
      <c r="U1303" s="88"/>
      <c r="V1303" s="88"/>
      <c r="W1303" s="88"/>
    </row>
    <row r="1304" spans="2:23" s="0" customFormat="0" ht="15">
      <c r="B1304" s="87" t="s">
        <v>1</v>
      </c>
      <c r="C1304" s="88" t="s">
        <v>5259</v>
      </c>
      <c r="D1304" s="88">
        <v>24190431</v>
      </c>
      <c r="E1304" s="88" t="s">
        <v>61</v>
      </c>
      <c r="F1304" s="88">
        <v>0</v>
      </c>
      <c r="G1304" s="78">
        <f>MAX(H1304,I1304,J1304)</f>
        <v>1</v>
      </c>
      <c r="H1304" s="88"/>
      <c r="I1304" s="88"/>
      <c r="J1304" s="78">
        <f>MAX(K1304:Q1304)</f>
        <v>1</v>
      </c>
      <c r="K1304" s="88"/>
      <c r="L1304" s="88"/>
      <c r="M1304" s="88">
        <v>1</v>
      </c>
      <c r="N1304" s="88"/>
      <c r="O1304" s="88"/>
      <c r="P1304" s="88"/>
      <c r="Q1304" s="88"/>
      <c r="R1304" s="78">
        <f>MAX(S1304:W1304)</f>
        <v>0</v>
      </c>
      <c r="S1304" s="88"/>
      <c r="T1304" s="88"/>
      <c r="U1304" s="88"/>
      <c r="V1304" s="88"/>
      <c r="W1304" s="88"/>
    </row>
    <row r="1305" spans="2:23" s="0" customFormat="0" ht="15">
      <c r="B1305" s="87" t="s">
        <v>1</v>
      </c>
      <c r="C1305" s="88" t="s">
        <v>5259</v>
      </c>
      <c r="D1305" s="88">
        <v>20788619</v>
      </c>
      <c r="E1305" s="88" t="s">
        <v>61</v>
      </c>
      <c r="F1305" s="88">
        <v>0</v>
      </c>
      <c r="G1305" s="78">
        <f>MAX(H1305,I1305,J1305)</f>
        <v>1</v>
      </c>
      <c r="H1305" s="88"/>
      <c r="I1305" s="88"/>
      <c r="J1305" s="78">
        <f>MAX(K1305:Q1305)</f>
        <v>1</v>
      </c>
      <c r="K1305" s="88">
        <v>1</v>
      </c>
      <c r="L1305" s="88"/>
      <c r="M1305" s="88"/>
      <c r="N1305" s="88"/>
      <c r="O1305" s="88"/>
      <c r="P1305" s="88"/>
      <c r="Q1305" s="88"/>
      <c r="R1305" s="78">
        <f>MAX(S1305:W1305)</f>
        <v>0</v>
      </c>
      <c r="S1305" s="88"/>
      <c r="T1305" s="88"/>
      <c r="U1305" s="88"/>
      <c r="V1305" s="88"/>
      <c r="W1305" s="88"/>
    </row>
    <row r="1306" spans="2:23" s="0" customFormat="0" ht="15">
      <c r="B1306" s="87" t="s">
        <v>1</v>
      </c>
      <c r="C1306" s="88" t="s">
        <v>5259</v>
      </c>
      <c r="D1306" s="88" t="s">
        <v>1090</v>
      </c>
      <c r="E1306" s="88" t="s">
        <v>61</v>
      </c>
      <c r="F1306" s="88">
        <v>0</v>
      </c>
      <c r="G1306" s="78">
        <f>MAX(H1306,I1306,J1306)</f>
        <v>1</v>
      </c>
      <c r="H1306" s="88"/>
      <c r="I1306" s="88"/>
      <c r="J1306" s="78">
        <f>MAX(K1306:Q1306)</f>
        <v>1</v>
      </c>
      <c r="K1306" s="88">
        <v>1</v>
      </c>
      <c r="L1306" s="88"/>
      <c r="M1306" s="88"/>
      <c r="N1306" s="88"/>
      <c r="O1306" s="88"/>
      <c r="P1306" s="88"/>
      <c r="Q1306" s="88"/>
      <c r="R1306" s="78">
        <f>MAX(S1306:W1306)</f>
        <v>0</v>
      </c>
      <c r="S1306" s="88"/>
      <c r="T1306" s="88"/>
      <c r="U1306" s="88"/>
      <c r="V1306" s="88"/>
      <c r="W1306" s="88"/>
    </row>
    <row r="1307" spans="2:23" s="0" customFormat="0" ht="15">
      <c r="B1307" s="87" t="s">
        <v>1</v>
      </c>
      <c r="C1307" s="88" t="s">
        <v>5259</v>
      </c>
      <c r="D1307" s="88" t="s">
        <v>3526</v>
      </c>
      <c r="E1307" s="88" t="s">
        <v>61</v>
      </c>
      <c r="F1307" s="88">
        <v>0</v>
      </c>
      <c r="G1307" s="78">
        <f>MAX(H1307,I1307,J1307)</f>
        <v>0</v>
      </c>
      <c r="H1307" s="88"/>
      <c r="I1307" s="88"/>
      <c r="J1307" s="78">
        <f>MAX(K1307:Q1307)</f>
        <v>0</v>
      </c>
      <c r="K1307" s="88"/>
      <c r="L1307" s="88"/>
      <c r="M1307" s="88"/>
      <c r="N1307" s="88"/>
      <c r="O1307" s="88"/>
      <c r="P1307" s="88"/>
      <c r="Q1307" s="88"/>
      <c r="R1307" s="78">
        <f>MAX(S1307:W1307)</f>
        <v>1</v>
      </c>
      <c r="S1307" s="88"/>
      <c r="T1307" s="88"/>
      <c r="U1307" s="88">
        <v>1</v>
      </c>
      <c r="V1307" s="88"/>
      <c r="W1307" s="88"/>
    </row>
    <row r="1308" spans="2:23" s="0" customFormat="0" ht="15">
      <c r="B1308" s="87" t="s">
        <v>1</v>
      </c>
      <c r="C1308" s="88" t="s">
        <v>5259</v>
      </c>
      <c r="D1308" s="88">
        <v>18724774</v>
      </c>
      <c r="E1308" s="88" t="s">
        <v>61</v>
      </c>
      <c r="F1308" s="88">
        <v>0</v>
      </c>
      <c r="G1308" s="78">
        <f>MAX(H1308,I1308,J1308)</f>
        <v>1</v>
      </c>
      <c r="H1308" s="88"/>
      <c r="I1308" s="88"/>
      <c r="J1308" s="78">
        <f>MAX(K1308:Q1308)</f>
        <v>1</v>
      </c>
      <c r="K1308" s="88">
        <v>1</v>
      </c>
      <c r="L1308" s="88"/>
      <c r="M1308" s="88"/>
      <c r="N1308" s="88"/>
      <c r="O1308" s="88"/>
      <c r="P1308" s="88"/>
      <c r="Q1308" s="88"/>
      <c r="R1308" s="78">
        <f>MAX(S1308:W1308)</f>
        <v>0</v>
      </c>
      <c r="S1308" s="88"/>
      <c r="T1308" s="88"/>
      <c r="U1308" s="88"/>
      <c r="V1308" s="88"/>
      <c r="W1308" s="88"/>
    </row>
    <row r="1309" spans="2:23" s="0" customFormat="0" ht="15">
      <c r="B1309" s="87" t="s">
        <v>1</v>
      </c>
      <c r="C1309" s="88" t="s">
        <v>5259</v>
      </c>
      <c r="D1309" s="88" t="s">
        <v>1093</v>
      </c>
      <c r="E1309" s="88" t="s">
        <v>61</v>
      </c>
      <c r="F1309" s="88">
        <v>0</v>
      </c>
      <c r="G1309" s="78">
        <f>MAX(H1309,I1309,J1309)</f>
        <v>1</v>
      </c>
      <c r="H1309" s="88"/>
      <c r="I1309" s="88"/>
      <c r="J1309" s="78">
        <f>MAX(K1309:Q1309)</f>
        <v>1</v>
      </c>
      <c r="K1309" s="88">
        <v>1</v>
      </c>
      <c r="L1309" s="88"/>
      <c r="M1309" s="88"/>
      <c r="N1309" s="88"/>
      <c r="O1309" s="88"/>
      <c r="P1309" s="88"/>
      <c r="Q1309" s="88"/>
      <c r="R1309" s="78">
        <f>MAX(S1309:W1309)</f>
        <v>0</v>
      </c>
      <c r="S1309" s="88"/>
      <c r="T1309" s="88"/>
      <c r="U1309" s="88"/>
      <c r="V1309" s="88"/>
      <c r="W1309" s="88"/>
    </row>
    <row r="1310" spans="2:23" s="0" customFormat="0" ht="15">
      <c r="B1310" s="87" t="s">
        <v>1</v>
      </c>
      <c r="C1310" s="88" t="s">
        <v>5259</v>
      </c>
      <c r="D1310" s="88" t="s">
        <v>1095</v>
      </c>
      <c r="E1310" s="88" t="s">
        <v>61</v>
      </c>
      <c r="F1310" s="88">
        <v>0</v>
      </c>
      <c r="G1310" s="78">
        <f>MAX(H1310,I1310,J1310)</f>
        <v>1</v>
      </c>
      <c r="H1310" s="88"/>
      <c r="I1310" s="88"/>
      <c r="J1310" s="78">
        <f>MAX(K1310:Q1310)</f>
        <v>1</v>
      </c>
      <c r="K1310" s="88">
        <v>1</v>
      </c>
      <c r="L1310" s="88"/>
      <c r="M1310" s="88"/>
      <c r="N1310" s="88"/>
      <c r="O1310" s="88"/>
      <c r="P1310" s="88"/>
      <c r="Q1310" s="88"/>
      <c r="R1310" s="78">
        <f>MAX(S1310:W1310)</f>
        <v>0</v>
      </c>
      <c r="S1310" s="88"/>
      <c r="T1310" s="88"/>
      <c r="U1310" s="88"/>
      <c r="V1310" s="88"/>
      <c r="W1310" s="88"/>
    </row>
    <row r="1311" spans="2:23" s="0" customFormat="0" ht="15">
      <c r="B1311" s="87" t="s">
        <v>1</v>
      </c>
      <c r="C1311" s="88" t="s">
        <v>5259</v>
      </c>
      <c r="D1311" s="88" t="s">
        <v>3944</v>
      </c>
      <c r="E1311" s="88" t="s">
        <v>61</v>
      </c>
      <c r="F1311" s="88">
        <v>0</v>
      </c>
      <c r="G1311" s="78">
        <f>MAX(H1311,I1311,J1311)</f>
        <v>0</v>
      </c>
      <c r="H1311" s="88"/>
      <c r="I1311" s="88"/>
      <c r="J1311" s="78">
        <f>MAX(K1311:Q1311)</f>
        <v>0</v>
      </c>
      <c r="K1311" s="88"/>
      <c r="L1311" s="88"/>
      <c r="M1311" s="88"/>
      <c r="N1311" s="88"/>
      <c r="O1311" s="88"/>
      <c r="P1311" s="88"/>
      <c r="Q1311" s="88"/>
      <c r="R1311" s="78">
        <f>MAX(S1311:W1311)</f>
        <v>1</v>
      </c>
      <c r="S1311" s="88"/>
      <c r="T1311" s="88"/>
      <c r="U1311" s="88">
        <v>1</v>
      </c>
      <c r="V1311" s="88"/>
      <c r="W1311" s="88"/>
    </row>
    <row r="1312" spans="2:23" s="0" customFormat="0" ht="15">
      <c r="B1312" s="87" t="s">
        <v>1</v>
      </c>
      <c r="C1312" s="88" t="s">
        <v>5259</v>
      </c>
      <c r="D1312" s="88">
        <v>20113240</v>
      </c>
      <c r="E1312" s="88" t="s">
        <v>61</v>
      </c>
      <c r="F1312" s="88">
        <v>0</v>
      </c>
      <c r="G1312" s="78">
        <f>MAX(H1312,I1312,J1312)</f>
        <v>0</v>
      </c>
      <c r="H1312" s="88"/>
      <c r="I1312" s="88"/>
      <c r="J1312" s="78">
        <f>MAX(K1312:Q1312)</f>
        <v>0</v>
      </c>
      <c r="K1312" s="88"/>
      <c r="L1312" s="88"/>
      <c r="M1312" s="88"/>
      <c r="N1312" s="88"/>
      <c r="O1312" s="88"/>
      <c r="P1312" s="88"/>
      <c r="Q1312" s="88"/>
      <c r="R1312" s="78">
        <f>MAX(S1312:W1312)</f>
        <v>1</v>
      </c>
      <c r="S1312" s="88"/>
      <c r="T1312" s="88"/>
      <c r="U1312" s="88">
        <v>1</v>
      </c>
      <c r="V1312" s="88"/>
      <c r="W1312" s="88"/>
    </row>
    <row r="1313" spans="2:23" s="0" customFormat="0" ht="15">
      <c r="B1313" s="87" t="s">
        <v>1</v>
      </c>
      <c r="C1313" s="88" t="s">
        <v>5259</v>
      </c>
      <c r="D1313" s="88">
        <v>9443127</v>
      </c>
      <c r="E1313" s="88" t="s">
        <v>61</v>
      </c>
      <c r="F1313" s="88">
        <v>0</v>
      </c>
      <c r="G1313" s="78">
        <f>MAX(H1313,I1313,J1313)</f>
        <v>1</v>
      </c>
      <c r="H1313" s="88"/>
      <c r="I1313" s="88"/>
      <c r="J1313" s="78">
        <f>MAX(K1313:Q1313)</f>
        <v>1</v>
      </c>
      <c r="K1313" s="88"/>
      <c r="L1313" s="88">
        <v>1</v>
      </c>
      <c r="M1313" s="88"/>
      <c r="N1313" s="88"/>
      <c r="O1313" s="88"/>
      <c r="P1313" s="88"/>
      <c r="Q1313" s="88"/>
      <c r="R1313" s="78">
        <f>MAX(S1313:W1313)</f>
        <v>0</v>
      </c>
      <c r="S1313" s="88"/>
      <c r="T1313" s="88"/>
      <c r="U1313" s="88"/>
      <c r="V1313" s="88"/>
      <c r="W1313" s="88"/>
    </row>
    <row r="1314" spans="2:23" s="0" customFormat="0" ht="15">
      <c r="B1314" s="87" t="s">
        <v>1</v>
      </c>
      <c r="C1314" s="88" t="s">
        <v>5259</v>
      </c>
      <c r="D1314" s="88" t="s">
        <v>3946</v>
      </c>
      <c r="E1314" s="88" t="s">
        <v>61</v>
      </c>
      <c r="F1314" s="88">
        <v>0</v>
      </c>
      <c r="G1314" s="78">
        <f>MAX(H1314,I1314,J1314)</f>
        <v>0</v>
      </c>
      <c r="H1314" s="88"/>
      <c r="I1314" s="88"/>
      <c r="J1314" s="78">
        <f>MAX(K1314:Q1314)</f>
        <v>0</v>
      </c>
      <c r="K1314" s="88"/>
      <c r="L1314" s="88"/>
      <c r="M1314" s="88"/>
      <c r="N1314" s="88"/>
      <c r="O1314" s="88"/>
      <c r="P1314" s="88"/>
      <c r="Q1314" s="88"/>
      <c r="R1314" s="78">
        <f>MAX(S1314:W1314)</f>
        <v>1</v>
      </c>
      <c r="S1314" s="88"/>
      <c r="T1314" s="88"/>
      <c r="U1314" s="88">
        <v>1</v>
      </c>
      <c r="V1314" s="88"/>
      <c r="W1314" s="88"/>
    </row>
    <row r="1315" spans="2:23" s="0" customFormat="0" ht="15">
      <c r="B1315" s="87" t="s">
        <v>1</v>
      </c>
      <c r="C1315" s="88" t="s">
        <v>5259</v>
      </c>
      <c r="D1315" s="88">
        <v>7778058</v>
      </c>
      <c r="E1315" s="88" t="s">
        <v>61</v>
      </c>
      <c r="F1315" s="88">
        <v>0</v>
      </c>
      <c r="G1315" s="78">
        <f>MAX(H1315,I1315,J1315)</f>
        <v>1</v>
      </c>
      <c r="H1315" s="88"/>
      <c r="I1315" s="88"/>
      <c r="J1315" s="78">
        <f>MAX(K1315:Q1315)</f>
        <v>1</v>
      </c>
      <c r="K1315" s="88">
        <v>1</v>
      </c>
      <c r="L1315" s="88"/>
      <c r="M1315" s="88"/>
      <c r="N1315" s="88"/>
      <c r="O1315" s="88"/>
      <c r="P1315" s="88"/>
      <c r="Q1315" s="88"/>
      <c r="R1315" s="78">
        <f>MAX(S1315:W1315)</f>
        <v>0</v>
      </c>
      <c r="S1315" s="88"/>
      <c r="T1315" s="88"/>
      <c r="U1315" s="88"/>
      <c r="V1315" s="88"/>
      <c r="W1315" s="88"/>
    </row>
    <row r="1316" spans="2:23" s="0" customFormat="0" ht="15">
      <c r="B1316" s="87" t="s">
        <v>1</v>
      </c>
      <c r="C1316" s="88" t="s">
        <v>5259</v>
      </c>
      <c r="D1316" s="88" t="s">
        <v>3948</v>
      </c>
      <c r="E1316" s="88" t="s">
        <v>61</v>
      </c>
      <c r="F1316" s="88">
        <v>0</v>
      </c>
      <c r="G1316" s="78">
        <f>MAX(H1316,I1316,J1316)</f>
        <v>0</v>
      </c>
      <c r="H1316" s="88"/>
      <c r="I1316" s="88"/>
      <c r="J1316" s="78">
        <f>MAX(K1316:Q1316)</f>
        <v>0</v>
      </c>
      <c r="K1316" s="88"/>
      <c r="L1316" s="88"/>
      <c r="M1316" s="88"/>
      <c r="N1316" s="88"/>
      <c r="O1316" s="88"/>
      <c r="P1316" s="88"/>
      <c r="Q1316" s="88"/>
      <c r="R1316" s="78">
        <f>MAX(S1316:W1316)</f>
        <v>1</v>
      </c>
      <c r="S1316" s="88"/>
      <c r="T1316" s="88"/>
      <c r="U1316" s="88">
        <v>1</v>
      </c>
      <c r="V1316" s="88"/>
      <c r="W1316" s="88"/>
    </row>
    <row r="1317" spans="2:23" s="0" customFormat="0" ht="15">
      <c r="B1317" s="87" t="s">
        <v>1</v>
      </c>
      <c r="C1317" s="88" t="s">
        <v>5259</v>
      </c>
      <c r="D1317" s="88">
        <v>11854063</v>
      </c>
      <c r="E1317" s="88" t="s">
        <v>61</v>
      </c>
      <c r="F1317" s="88">
        <v>0</v>
      </c>
      <c r="G1317" s="78">
        <f>MAX(H1317,I1317,J1317)</f>
        <v>1</v>
      </c>
      <c r="H1317" s="88"/>
      <c r="I1317" s="88"/>
      <c r="J1317" s="78">
        <f>MAX(K1317:Q1317)</f>
        <v>1</v>
      </c>
      <c r="K1317" s="88">
        <v>1</v>
      </c>
      <c r="L1317" s="88"/>
      <c r="M1317" s="88"/>
      <c r="N1317" s="88"/>
      <c r="O1317" s="88"/>
      <c r="P1317" s="88"/>
      <c r="Q1317" s="88"/>
      <c r="R1317" s="78">
        <f>MAX(S1317:W1317)</f>
        <v>0</v>
      </c>
      <c r="S1317" s="88"/>
      <c r="T1317" s="88"/>
      <c r="U1317" s="88"/>
      <c r="V1317" s="88"/>
      <c r="W1317" s="88"/>
    </row>
    <row r="1318" spans="2:23" s="0" customFormat="0" ht="15">
      <c r="B1318" s="87" t="s">
        <v>1</v>
      </c>
      <c r="C1318" s="88" t="s">
        <v>5259</v>
      </c>
      <c r="D1318" s="88" t="s">
        <v>3950</v>
      </c>
      <c r="E1318" s="88" t="s">
        <v>61</v>
      </c>
      <c r="F1318" s="88">
        <v>0</v>
      </c>
      <c r="G1318" s="78">
        <f>MAX(H1318,I1318,J1318)</f>
        <v>0</v>
      </c>
      <c r="H1318" s="88"/>
      <c r="I1318" s="88"/>
      <c r="J1318" s="78">
        <f>MAX(K1318:Q1318)</f>
        <v>0</v>
      </c>
      <c r="K1318" s="88"/>
      <c r="L1318" s="88"/>
      <c r="M1318" s="88"/>
      <c r="N1318" s="88"/>
      <c r="O1318" s="88"/>
      <c r="P1318" s="88"/>
      <c r="Q1318" s="88"/>
      <c r="R1318" s="78">
        <f>MAX(S1318:W1318)</f>
        <v>1</v>
      </c>
      <c r="S1318" s="88"/>
      <c r="T1318" s="88"/>
      <c r="U1318" s="88">
        <v>1</v>
      </c>
      <c r="V1318" s="88"/>
      <c r="W1318" s="88"/>
    </row>
    <row r="1319" spans="2:23" s="0" customFormat="0" ht="15">
      <c r="B1319" s="87" t="s">
        <v>1</v>
      </c>
      <c r="C1319" s="88" t="s">
        <v>5259</v>
      </c>
      <c r="D1319" s="88">
        <v>10489625</v>
      </c>
      <c r="E1319" s="88" t="s">
        <v>61</v>
      </c>
      <c r="F1319" s="88">
        <v>0</v>
      </c>
      <c r="G1319" s="78">
        <f>MAX(H1319,I1319,J1319)</f>
        <v>1</v>
      </c>
      <c r="H1319" s="88"/>
      <c r="I1319" s="88"/>
      <c r="J1319" s="78">
        <f>MAX(K1319:Q1319)</f>
        <v>1</v>
      </c>
      <c r="K1319" s="88">
        <v>1</v>
      </c>
      <c r="L1319" s="88"/>
      <c r="M1319" s="88"/>
      <c r="N1319" s="88"/>
      <c r="O1319" s="88"/>
      <c r="P1319" s="88"/>
      <c r="Q1319" s="88"/>
      <c r="R1319" s="78">
        <f>MAX(S1319:W1319)</f>
        <v>0</v>
      </c>
      <c r="S1319" s="88"/>
      <c r="T1319" s="88"/>
      <c r="U1319" s="88"/>
      <c r="V1319" s="88"/>
      <c r="W1319" s="88"/>
    </row>
    <row r="1320" spans="2:23" s="0" customFormat="0" ht="15">
      <c r="B1320" s="87" t="s">
        <v>1</v>
      </c>
      <c r="C1320" s="88" t="s">
        <v>5259</v>
      </c>
      <c r="D1320" s="88" t="s">
        <v>3220</v>
      </c>
      <c r="E1320" s="88" t="s">
        <v>61</v>
      </c>
      <c r="F1320" s="88">
        <v>0</v>
      </c>
      <c r="G1320" s="78">
        <f>MAX(H1320,I1320,J1320)</f>
        <v>0</v>
      </c>
      <c r="H1320" s="88"/>
      <c r="I1320" s="88"/>
      <c r="J1320" s="78">
        <f>MAX(K1320:Q1320)</f>
        <v>0</v>
      </c>
      <c r="K1320" s="88"/>
      <c r="L1320" s="88"/>
      <c r="M1320" s="88"/>
      <c r="N1320" s="88"/>
      <c r="O1320" s="88"/>
      <c r="P1320" s="88"/>
      <c r="Q1320" s="88"/>
      <c r="R1320" s="78">
        <f>MAX(S1320:W1320)</f>
        <v>1</v>
      </c>
      <c r="S1320" s="88"/>
      <c r="T1320" s="88"/>
      <c r="U1320" s="88"/>
      <c r="V1320" s="88">
        <v>1</v>
      </c>
      <c r="W1320" s="88"/>
    </row>
    <row r="1321" spans="2:23" s="0" customFormat="0" ht="15">
      <c r="B1321" s="87" t="s">
        <v>1</v>
      </c>
      <c r="C1321" s="88" t="s">
        <v>5259</v>
      </c>
      <c r="D1321" s="88" t="s">
        <v>3952</v>
      </c>
      <c r="E1321" s="88" t="s">
        <v>61</v>
      </c>
      <c r="F1321" s="88">
        <v>0</v>
      </c>
      <c r="G1321" s="78">
        <f>MAX(H1321,I1321,J1321)</f>
        <v>0</v>
      </c>
      <c r="H1321" s="88"/>
      <c r="I1321" s="88"/>
      <c r="J1321" s="78">
        <f>MAX(K1321:Q1321)</f>
        <v>0</v>
      </c>
      <c r="K1321" s="88"/>
      <c r="L1321" s="88"/>
      <c r="M1321" s="88"/>
      <c r="N1321" s="88"/>
      <c r="O1321" s="88"/>
      <c r="P1321" s="88"/>
      <c r="Q1321" s="88"/>
      <c r="R1321" s="78">
        <f>MAX(S1321:W1321)</f>
        <v>1</v>
      </c>
      <c r="S1321" s="88"/>
      <c r="T1321" s="88"/>
      <c r="U1321" s="88">
        <v>1</v>
      </c>
      <c r="V1321" s="88"/>
      <c r="W1321" s="88"/>
    </row>
    <row r="1322" spans="2:23" s="0" customFormat="0" ht="15">
      <c r="B1322" s="87" t="s">
        <v>1</v>
      </c>
      <c r="C1322" s="88" t="s">
        <v>5259</v>
      </c>
      <c r="D1322" s="88" t="s">
        <v>1099</v>
      </c>
      <c r="E1322" s="88" t="s">
        <v>61</v>
      </c>
      <c r="F1322" s="88">
        <v>0</v>
      </c>
      <c r="G1322" s="78">
        <f>MAX(H1322,I1322,J1322)</f>
        <v>1</v>
      </c>
      <c r="H1322" s="88"/>
      <c r="I1322" s="88"/>
      <c r="J1322" s="78">
        <f>MAX(K1322:Q1322)</f>
        <v>1</v>
      </c>
      <c r="K1322" s="88">
        <v>1</v>
      </c>
      <c r="L1322" s="88"/>
      <c r="M1322" s="88"/>
      <c r="N1322" s="88"/>
      <c r="O1322" s="88"/>
      <c r="P1322" s="88"/>
      <c r="Q1322" s="88"/>
      <c r="R1322" s="78">
        <f>MAX(S1322:W1322)</f>
        <v>0</v>
      </c>
      <c r="S1322" s="88"/>
      <c r="T1322" s="88"/>
      <c r="U1322" s="88"/>
      <c r="V1322" s="88"/>
      <c r="W1322" s="88"/>
    </row>
    <row r="1323" spans="2:23" s="0" customFormat="0" ht="15">
      <c r="B1323" s="87" t="s">
        <v>1</v>
      </c>
      <c r="C1323" s="88" t="s">
        <v>5259</v>
      </c>
      <c r="D1323" s="88" t="s">
        <v>3954</v>
      </c>
      <c r="E1323" s="88" t="s">
        <v>61</v>
      </c>
      <c r="F1323" s="88">
        <v>0</v>
      </c>
      <c r="G1323" s="78">
        <f>MAX(H1323,I1323,J1323)</f>
        <v>0</v>
      </c>
      <c r="H1323" s="88"/>
      <c r="I1323" s="88"/>
      <c r="J1323" s="78">
        <f>MAX(K1323:Q1323)</f>
        <v>0</v>
      </c>
      <c r="K1323" s="88"/>
      <c r="L1323" s="88"/>
      <c r="M1323" s="88"/>
      <c r="N1323" s="88"/>
      <c r="O1323" s="88"/>
      <c r="P1323" s="88"/>
      <c r="Q1323" s="88"/>
      <c r="R1323" s="78">
        <f>MAX(S1323:W1323)</f>
        <v>1</v>
      </c>
      <c r="S1323" s="88"/>
      <c r="T1323" s="88"/>
      <c r="U1323" s="88">
        <v>1</v>
      </c>
      <c r="V1323" s="88"/>
      <c r="W1323" s="88"/>
    </row>
    <row r="1324" spans="2:23" s="0" customFormat="0" ht="15">
      <c r="B1324" s="87" t="s">
        <v>1</v>
      </c>
      <c r="C1324" s="88" t="s">
        <v>5259</v>
      </c>
      <c r="D1324" s="88">
        <v>20466086</v>
      </c>
      <c r="E1324" s="88" t="s">
        <v>61</v>
      </c>
      <c r="F1324" s="88">
        <v>0</v>
      </c>
      <c r="G1324" s="78">
        <f>MAX(H1324,I1324,J1324)</f>
        <v>1</v>
      </c>
      <c r="H1324" s="88"/>
      <c r="I1324" s="88"/>
      <c r="J1324" s="78">
        <f>MAX(K1324:Q1324)</f>
        <v>1</v>
      </c>
      <c r="K1324" s="88">
        <v>1</v>
      </c>
      <c r="L1324" s="88"/>
      <c r="M1324" s="88"/>
      <c r="N1324" s="88"/>
      <c r="O1324" s="88"/>
      <c r="P1324" s="88"/>
      <c r="Q1324" s="88"/>
      <c r="R1324" s="78">
        <f>MAX(S1324:W1324)</f>
        <v>0</v>
      </c>
      <c r="S1324" s="88"/>
      <c r="T1324" s="88"/>
      <c r="U1324" s="88"/>
      <c r="V1324" s="88"/>
      <c r="W1324" s="88"/>
    </row>
    <row r="1325" spans="2:23" s="0" customFormat="0" ht="15">
      <c r="B1325" s="87" t="s">
        <v>1</v>
      </c>
      <c r="C1325" s="88" t="s">
        <v>5259</v>
      </c>
      <c r="D1325" s="88" t="s">
        <v>1102</v>
      </c>
      <c r="E1325" s="88" t="s">
        <v>61</v>
      </c>
      <c r="F1325" s="88">
        <v>0</v>
      </c>
      <c r="G1325" s="78">
        <f>MAX(H1325,I1325,J1325)</f>
        <v>1</v>
      </c>
      <c r="H1325" s="88"/>
      <c r="I1325" s="88"/>
      <c r="J1325" s="78">
        <f>MAX(K1325:Q1325)</f>
        <v>1</v>
      </c>
      <c r="K1325" s="88">
        <v>1</v>
      </c>
      <c r="L1325" s="88"/>
      <c r="M1325" s="88"/>
      <c r="N1325" s="88"/>
      <c r="O1325" s="88"/>
      <c r="P1325" s="88"/>
      <c r="Q1325" s="88"/>
      <c r="R1325" s="78">
        <f>MAX(S1325:W1325)</f>
        <v>0</v>
      </c>
      <c r="S1325" s="88"/>
      <c r="T1325" s="88"/>
      <c r="U1325" s="88"/>
      <c r="V1325" s="88"/>
      <c r="W1325" s="88"/>
    </row>
    <row r="1326" spans="2:23" s="0" customFormat="0" ht="15">
      <c r="B1326" s="87" t="s">
        <v>1</v>
      </c>
      <c r="C1326" s="88" t="s">
        <v>5259</v>
      </c>
      <c r="D1326" s="88" t="s">
        <v>1104</v>
      </c>
      <c r="E1326" s="88" t="s">
        <v>61</v>
      </c>
      <c r="F1326" s="88">
        <v>0</v>
      </c>
      <c r="G1326" s="78">
        <f>MAX(H1326,I1326,J1326)</f>
        <v>1</v>
      </c>
      <c r="H1326" s="88"/>
      <c r="I1326" s="88"/>
      <c r="J1326" s="78">
        <f>MAX(K1326:Q1326)</f>
        <v>1</v>
      </c>
      <c r="K1326" s="88">
        <v>1</v>
      </c>
      <c r="L1326" s="88"/>
      <c r="M1326" s="88"/>
      <c r="N1326" s="88"/>
      <c r="O1326" s="88"/>
      <c r="P1326" s="88"/>
      <c r="Q1326" s="88"/>
      <c r="R1326" s="78">
        <f>MAX(S1326:W1326)</f>
        <v>0</v>
      </c>
      <c r="S1326" s="88"/>
      <c r="T1326" s="88"/>
      <c r="U1326" s="88"/>
      <c r="V1326" s="88"/>
      <c r="W1326" s="88"/>
    </row>
    <row r="1327" spans="2:23" s="0" customFormat="0" ht="15">
      <c r="B1327" s="87" t="s">
        <v>1</v>
      </c>
      <c r="C1327" s="88" t="s">
        <v>5259</v>
      </c>
      <c r="D1327" s="88" t="s">
        <v>1106</v>
      </c>
      <c r="E1327" s="88" t="s">
        <v>61</v>
      </c>
      <c r="F1327" s="88">
        <v>0</v>
      </c>
      <c r="G1327" s="78">
        <f>MAX(H1327,I1327,J1327)</f>
        <v>1</v>
      </c>
      <c r="H1327" s="88"/>
      <c r="I1327" s="88"/>
      <c r="J1327" s="78">
        <f>MAX(K1327:Q1327)</f>
        <v>1</v>
      </c>
      <c r="K1327" s="88">
        <v>1</v>
      </c>
      <c r="L1327" s="88"/>
      <c r="M1327" s="88"/>
      <c r="N1327" s="88"/>
      <c r="O1327" s="88"/>
      <c r="P1327" s="88"/>
      <c r="Q1327" s="88"/>
      <c r="R1327" s="78">
        <f>MAX(S1327:W1327)</f>
        <v>0</v>
      </c>
      <c r="S1327" s="88"/>
      <c r="T1327" s="88"/>
      <c r="U1327" s="88"/>
      <c r="V1327" s="88"/>
      <c r="W1327" s="88"/>
    </row>
    <row r="1328" spans="2:23" s="0" customFormat="0" ht="15">
      <c r="B1328" s="87" t="s">
        <v>1</v>
      </c>
      <c r="C1328" s="88" t="s">
        <v>5259</v>
      </c>
      <c r="D1328" s="88">
        <v>21834590</v>
      </c>
      <c r="E1328" s="88" t="s">
        <v>61</v>
      </c>
      <c r="F1328" s="88">
        <v>0</v>
      </c>
      <c r="G1328" s="78">
        <f>MAX(H1328,I1328,J1328)</f>
        <v>1</v>
      </c>
      <c r="H1328" s="88"/>
      <c r="I1328" s="88"/>
      <c r="J1328" s="78">
        <f>MAX(K1328:Q1328)</f>
        <v>1</v>
      </c>
      <c r="K1328" s="88">
        <v>1</v>
      </c>
      <c r="L1328" s="88"/>
      <c r="M1328" s="88"/>
      <c r="N1328" s="88"/>
      <c r="O1328" s="88"/>
      <c r="P1328" s="88"/>
      <c r="Q1328" s="88"/>
      <c r="R1328" s="78">
        <f>MAX(S1328:W1328)</f>
        <v>0</v>
      </c>
      <c r="S1328" s="88"/>
      <c r="T1328" s="88"/>
      <c r="U1328" s="88"/>
      <c r="V1328" s="88"/>
      <c r="W1328" s="88"/>
    </row>
    <row r="1329" spans="2:23" s="0" customFormat="0" ht="15">
      <c r="B1329" s="87" t="s">
        <v>1</v>
      </c>
      <c r="C1329" s="88" t="s">
        <v>5259</v>
      </c>
      <c r="D1329" s="88">
        <v>20591970</v>
      </c>
      <c r="E1329" s="88" t="s">
        <v>61</v>
      </c>
      <c r="F1329" s="88">
        <v>0</v>
      </c>
      <c r="G1329" s="78">
        <f>MAX(H1329,I1329,J1329)</f>
        <v>1</v>
      </c>
      <c r="H1329" s="88"/>
      <c r="I1329" s="88"/>
      <c r="J1329" s="78">
        <f>MAX(K1329:Q1329)</f>
        <v>1</v>
      </c>
      <c r="K1329" s="88">
        <v>1</v>
      </c>
      <c r="L1329" s="88"/>
      <c r="M1329" s="88"/>
      <c r="N1329" s="88"/>
      <c r="O1329" s="88"/>
      <c r="P1329" s="88"/>
      <c r="Q1329" s="88"/>
      <c r="R1329" s="78">
        <f>MAX(S1329:W1329)</f>
        <v>0</v>
      </c>
      <c r="S1329" s="88"/>
      <c r="T1329" s="88"/>
      <c r="U1329" s="88"/>
      <c r="V1329" s="88"/>
      <c r="W1329" s="88"/>
    </row>
    <row r="1330" spans="2:23" s="0" customFormat="0" ht="15">
      <c r="B1330" s="87" t="s">
        <v>1</v>
      </c>
      <c r="C1330" s="88" t="s">
        <v>5259</v>
      </c>
      <c r="D1330" s="88">
        <v>22099281</v>
      </c>
      <c r="E1330" s="88" t="s">
        <v>61</v>
      </c>
      <c r="F1330" s="88">
        <v>0</v>
      </c>
      <c r="G1330" s="78">
        <f>MAX(H1330,I1330,J1330)</f>
        <v>1</v>
      </c>
      <c r="H1330" s="88"/>
      <c r="I1330" s="88"/>
      <c r="J1330" s="78">
        <f>MAX(K1330:Q1330)</f>
        <v>1</v>
      </c>
      <c r="K1330" s="88">
        <v>1</v>
      </c>
      <c r="L1330" s="88"/>
      <c r="M1330" s="88"/>
      <c r="N1330" s="88"/>
      <c r="O1330" s="88"/>
      <c r="P1330" s="88"/>
      <c r="Q1330" s="88"/>
      <c r="R1330" s="78">
        <f>MAX(S1330:W1330)</f>
        <v>0</v>
      </c>
      <c r="S1330" s="88"/>
      <c r="T1330" s="88"/>
      <c r="U1330" s="88"/>
      <c r="V1330" s="88"/>
      <c r="W1330" s="88"/>
    </row>
    <row r="1331" spans="2:23" s="0" customFormat="0" ht="15">
      <c r="B1331" s="87" t="s">
        <v>1</v>
      </c>
      <c r="C1331" s="88" t="s">
        <v>5259</v>
      </c>
      <c r="D1331" s="88" t="s">
        <v>3956</v>
      </c>
      <c r="E1331" s="88" t="s">
        <v>61</v>
      </c>
      <c r="F1331" s="88">
        <v>0</v>
      </c>
      <c r="G1331" s="78">
        <f>MAX(H1331,I1331,J1331)</f>
        <v>0</v>
      </c>
      <c r="H1331" s="88"/>
      <c r="I1331" s="88"/>
      <c r="J1331" s="78">
        <f>MAX(K1331:Q1331)</f>
        <v>0</v>
      </c>
      <c r="K1331" s="88"/>
      <c r="L1331" s="88"/>
      <c r="M1331" s="88"/>
      <c r="N1331" s="88"/>
      <c r="O1331" s="88"/>
      <c r="P1331" s="88"/>
      <c r="Q1331" s="88"/>
      <c r="R1331" s="78">
        <f>MAX(S1331:W1331)</f>
        <v>1</v>
      </c>
      <c r="S1331" s="88"/>
      <c r="T1331" s="88"/>
      <c r="U1331" s="88">
        <v>1</v>
      </c>
      <c r="V1331" s="88"/>
      <c r="W1331" s="88"/>
    </row>
    <row r="1332" spans="2:23" s="0" customFormat="0" ht="15">
      <c r="B1332" s="87" t="s">
        <v>1</v>
      </c>
      <c r="C1332" s="88" t="s">
        <v>5259</v>
      </c>
      <c r="D1332" s="88">
        <v>19567681</v>
      </c>
      <c r="E1332" s="88" t="s">
        <v>61</v>
      </c>
      <c r="F1332" s="88">
        <v>0</v>
      </c>
      <c r="G1332" s="78">
        <f>MAX(H1332,I1332,J1332)</f>
        <v>1</v>
      </c>
      <c r="H1332" s="88"/>
      <c r="I1332" s="88"/>
      <c r="J1332" s="78">
        <f>MAX(K1332:Q1332)</f>
        <v>1</v>
      </c>
      <c r="K1332" s="88">
        <v>1</v>
      </c>
      <c r="L1332" s="88"/>
      <c r="M1332" s="88"/>
      <c r="N1332" s="88"/>
      <c r="O1332" s="88"/>
      <c r="P1332" s="88"/>
      <c r="Q1332" s="88"/>
      <c r="R1332" s="78">
        <f>MAX(S1332:W1332)</f>
        <v>0</v>
      </c>
      <c r="S1332" s="88"/>
      <c r="T1332" s="88"/>
      <c r="U1332" s="88"/>
      <c r="V1332" s="88"/>
      <c r="W1332" s="88"/>
    </row>
    <row r="1333" spans="2:23" s="0" customFormat="0" ht="15">
      <c r="B1333" s="87" t="s">
        <v>1</v>
      </c>
      <c r="C1333" s="88" t="s">
        <v>5259</v>
      </c>
      <c r="D1333" s="88" t="s">
        <v>1112</v>
      </c>
      <c r="E1333" s="88" t="s">
        <v>61</v>
      </c>
      <c r="F1333" s="88">
        <v>0</v>
      </c>
      <c r="G1333" s="78">
        <f>MAX(H1333,I1333,J1333)</f>
        <v>1</v>
      </c>
      <c r="H1333" s="88"/>
      <c r="I1333" s="88"/>
      <c r="J1333" s="78">
        <f>MAX(K1333:Q1333)</f>
        <v>1</v>
      </c>
      <c r="K1333" s="88">
        <v>1</v>
      </c>
      <c r="L1333" s="88"/>
      <c r="M1333" s="88"/>
      <c r="N1333" s="88"/>
      <c r="O1333" s="88"/>
      <c r="P1333" s="88"/>
      <c r="Q1333" s="88"/>
      <c r="R1333" s="78">
        <f>MAX(S1333:W1333)</f>
        <v>0</v>
      </c>
      <c r="S1333" s="88"/>
      <c r="T1333" s="88"/>
      <c r="U1333" s="88"/>
      <c r="V1333" s="88"/>
      <c r="W1333" s="88"/>
    </row>
    <row r="1334" spans="2:23" s="0" customFormat="0" ht="15">
      <c r="B1334" s="87" t="s">
        <v>1</v>
      </c>
      <c r="C1334" s="88" t="s">
        <v>5259</v>
      </c>
      <c r="D1334" s="88">
        <v>16975009</v>
      </c>
      <c r="E1334" s="88" t="s">
        <v>61</v>
      </c>
      <c r="F1334" s="88">
        <v>0</v>
      </c>
      <c r="G1334" s="78">
        <f>MAX(H1334,I1334,J1334)</f>
        <v>1</v>
      </c>
      <c r="H1334" s="88"/>
      <c r="I1334" s="88"/>
      <c r="J1334" s="78">
        <f>MAX(K1334:Q1334)</f>
        <v>1</v>
      </c>
      <c r="K1334" s="88">
        <v>1</v>
      </c>
      <c r="L1334" s="88"/>
      <c r="M1334" s="88"/>
      <c r="N1334" s="88"/>
      <c r="O1334" s="88"/>
      <c r="P1334" s="88"/>
      <c r="Q1334" s="88"/>
      <c r="R1334" s="78">
        <f>MAX(S1334:W1334)</f>
        <v>0</v>
      </c>
      <c r="S1334" s="88"/>
      <c r="T1334" s="88"/>
      <c r="U1334" s="88"/>
      <c r="V1334" s="88"/>
      <c r="W1334" s="88"/>
    </row>
    <row r="1335" spans="2:23" s="0" customFormat="0" ht="15">
      <c r="B1335" s="87" t="s">
        <v>1</v>
      </c>
      <c r="C1335" s="88" t="s">
        <v>5259</v>
      </c>
      <c r="D1335" s="88" t="s">
        <v>3958</v>
      </c>
      <c r="E1335" s="88" t="s">
        <v>61</v>
      </c>
      <c r="F1335" s="88">
        <v>0</v>
      </c>
      <c r="G1335" s="78">
        <f>MAX(H1335,I1335,J1335)</f>
        <v>0</v>
      </c>
      <c r="H1335" s="88"/>
      <c r="I1335" s="88"/>
      <c r="J1335" s="78">
        <f>MAX(K1335:Q1335)</f>
        <v>0</v>
      </c>
      <c r="K1335" s="88"/>
      <c r="L1335" s="88"/>
      <c r="M1335" s="88"/>
      <c r="N1335" s="88"/>
      <c r="O1335" s="88"/>
      <c r="P1335" s="88"/>
      <c r="Q1335" s="88"/>
      <c r="R1335" s="78">
        <f>MAX(S1335:W1335)</f>
        <v>1</v>
      </c>
      <c r="S1335" s="88"/>
      <c r="T1335" s="88"/>
      <c r="U1335" s="88">
        <v>1</v>
      </c>
      <c r="V1335" s="88"/>
      <c r="W1335" s="88"/>
    </row>
    <row r="1336" spans="2:23" s="0" customFormat="0" ht="15">
      <c r="B1336" s="87" t="s">
        <v>1</v>
      </c>
      <c r="C1336" s="88" t="s">
        <v>5259</v>
      </c>
      <c r="D1336" s="88">
        <v>12598390</v>
      </c>
      <c r="E1336" s="88" t="s">
        <v>61</v>
      </c>
      <c r="F1336" s="88">
        <v>0</v>
      </c>
      <c r="G1336" s="78">
        <f>MAX(H1336,I1336,J1336)</f>
        <v>1</v>
      </c>
      <c r="H1336" s="88"/>
      <c r="I1336" s="88"/>
      <c r="J1336" s="78">
        <f>MAX(K1336:Q1336)</f>
        <v>1</v>
      </c>
      <c r="K1336" s="88">
        <v>1</v>
      </c>
      <c r="L1336" s="88"/>
      <c r="M1336" s="88"/>
      <c r="N1336" s="88"/>
      <c r="O1336" s="88"/>
      <c r="P1336" s="88"/>
      <c r="Q1336" s="88"/>
      <c r="R1336" s="78">
        <f>MAX(S1336:W1336)</f>
        <v>0</v>
      </c>
      <c r="S1336" s="88"/>
      <c r="T1336" s="88"/>
      <c r="U1336" s="88"/>
      <c r="V1336" s="88"/>
      <c r="W1336" s="88"/>
    </row>
    <row r="1337" spans="2:23" s="0" customFormat="0" ht="15">
      <c r="B1337" s="87" t="s">
        <v>1</v>
      </c>
      <c r="C1337" s="88" t="s">
        <v>5259</v>
      </c>
      <c r="D1337" s="88">
        <v>1693856</v>
      </c>
      <c r="E1337" s="88" t="s">
        <v>61</v>
      </c>
      <c r="F1337" s="88">
        <v>0</v>
      </c>
      <c r="G1337" s="78">
        <f>MAX(H1337,I1337,J1337)</f>
        <v>1</v>
      </c>
      <c r="H1337" s="88"/>
      <c r="I1337" s="88"/>
      <c r="J1337" s="78">
        <f>MAX(K1337:Q1337)</f>
        <v>1</v>
      </c>
      <c r="K1337" s="88">
        <v>1</v>
      </c>
      <c r="L1337" s="88"/>
      <c r="M1337" s="88"/>
      <c r="N1337" s="88"/>
      <c r="O1337" s="88"/>
      <c r="P1337" s="88"/>
      <c r="Q1337" s="88"/>
      <c r="R1337" s="78">
        <f>MAX(S1337:W1337)</f>
        <v>0</v>
      </c>
      <c r="S1337" s="88"/>
      <c r="T1337" s="88"/>
      <c r="U1337" s="88"/>
      <c r="V1337" s="88"/>
      <c r="W1337" s="88"/>
    </row>
    <row r="1338" spans="2:23" s="0" customFormat="0" ht="15">
      <c r="B1338" s="87" t="s">
        <v>1</v>
      </c>
      <c r="C1338" s="88" t="s">
        <v>5259</v>
      </c>
      <c r="D1338" s="88">
        <v>21555127</v>
      </c>
      <c r="E1338" s="88" t="s">
        <v>61</v>
      </c>
      <c r="F1338" s="88">
        <v>0</v>
      </c>
      <c r="G1338" s="78">
        <f>MAX(H1338,I1338,J1338)</f>
        <v>1</v>
      </c>
      <c r="H1338" s="88"/>
      <c r="I1338" s="88"/>
      <c r="J1338" s="78">
        <f>MAX(K1338:Q1338)</f>
        <v>1</v>
      </c>
      <c r="K1338" s="88">
        <v>1</v>
      </c>
      <c r="L1338" s="88"/>
      <c r="M1338" s="88"/>
      <c r="N1338" s="88"/>
      <c r="O1338" s="88"/>
      <c r="P1338" s="88"/>
      <c r="Q1338" s="88"/>
      <c r="R1338" s="78">
        <f>MAX(S1338:W1338)</f>
        <v>0</v>
      </c>
      <c r="S1338" s="88"/>
      <c r="T1338" s="88"/>
      <c r="U1338" s="88"/>
      <c r="V1338" s="88"/>
      <c r="W1338" s="88"/>
    </row>
    <row r="1339" spans="2:23" s="0" customFormat="0" ht="15">
      <c r="B1339" s="87" t="s">
        <v>1</v>
      </c>
      <c r="C1339" s="88" t="s">
        <v>5259</v>
      </c>
      <c r="D1339" s="88">
        <v>12561864</v>
      </c>
      <c r="E1339" s="88" t="s">
        <v>61</v>
      </c>
      <c r="F1339" s="88">
        <v>0</v>
      </c>
      <c r="G1339" s="78">
        <f>MAX(H1339,I1339,J1339)</f>
        <v>1</v>
      </c>
      <c r="H1339" s="88"/>
      <c r="I1339" s="88"/>
      <c r="J1339" s="78">
        <f>MAX(K1339:Q1339)</f>
        <v>1</v>
      </c>
      <c r="K1339" s="88">
        <v>1</v>
      </c>
      <c r="L1339" s="88"/>
      <c r="M1339" s="88"/>
      <c r="N1339" s="88"/>
      <c r="O1339" s="88"/>
      <c r="P1339" s="88"/>
      <c r="Q1339" s="88"/>
      <c r="R1339" s="78">
        <f>MAX(S1339:W1339)</f>
        <v>0</v>
      </c>
      <c r="S1339" s="88"/>
      <c r="T1339" s="88"/>
      <c r="U1339" s="88"/>
      <c r="V1339" s="88"/>
      <c r="W1339" s="88"/>
    </row>
    <row r="1340" spans="2:23" s="0" customFormat="0" ht="15">
      <c r="B1340" s="87" t="s">
        <v>1</v>
      </c>
      <c r="C1340" s="88" t="s">
        <v>5259</v>
      </c>
      <c r="D1340" s="88" t="s">
        <v>1119</v>
      </c>
      <c r="E1340" s="88" t="s">
        <v>61</v>
      </c>
      <c r="F1340" s="88">
        <v>0</v>
      </c>
      <c r="G1340" s="78">
        <f>MAX(H1340,I1340,J1340)</f>
        <v>1</v>
      </c>
      <c r="H1340" s="88"/>
      <c r="I1340" s="88"/>
      <c r="J1340" s="78">
        <f>MAX(K1340:Q1340)</f>
        <v>1</v>
      </c>
      <c r="K1340" s="88">
        <v>1</v>
      </c>
      <c r="L1340" s="88"/>
      <c r="M1340" s="88"/>
      <c r="N1340" s="88"/>
      <c r="O1340" s="88"/>
      <c r="P1340" s="88"/>
      <c r="Q1340" s="88"/>
      <c r="R1340" s="78">
        <f>MAX(S1340:W1340)</f>
        <v>0</v>
      </c>
      <c r="S1340" s="88"/>
      <c r="T1340" s="88"/>
      <c r="U1340" s="88"/>
      <c r="V1340" s="88"/>
      <c r="W1340" s="88"/>
    </row>
    <row r="1341" spans="2:23" s="0" customFormat="0" ht="15">
      <c r="B1341" s="87" t="s">
        <v>1</v>
      </c>
      <c r="C1341" s="88" t="s">
        <v>5259</v>
      </c>
      <c r="D1341" s="88">
        <v>13155802</v>
      </c>
      <c r="E1341" s="88" t="s">
        <v>61</v>
      </c>
      <c r="F1341" s="88">
        <v>0</v>
      </c>
      <c r="G1341" s="78">
        <f>MAX(H1341,I1341,J1341)</f>
        <v>1</v>
      </c>
      <c r="H1341" s="88"/>
      <c r="I1341" s="88"/>
      <c r="J1341" s="78">
        <f>MAX(K1341:Q1341)</f>
        <v>1</v>
      </c>
      <c r="K1341" s="88">
        <v>1</v>
      </c>
      <c r="L1341" s="88"/>
      <c r="M1341" s="88"/>
      <c r="N1341" s="88"/>
      <c r="O1341" s="88"/>
      <c r="P1341" s="88"/>
      <c r="Q1341" s="88"/>
      <c r="R1341" s="78">
        <f>MAX(S1341:W1341)</f>
        <v>0</v>
      </c>
      <c r="S1341" s="88"/>
      <c r="T1341" s="88"/>
      <c r="U1341" s="88"/>
      <c r="V1341" s="88"/>
      <c r="W1341" s="88"/>
    </row>
    <row r="1342" spans="2:23" s="0" customFormat="0" ht="15">
      <c r="B1342" s="87" t="s">
        <v>1</v>
      </c>
      <c r="C1342" s="88" t="s">
        <v>5259</v>
      </c>
      <c r="D1342" s="88">
        <v>20993773</v>
      </c>
      <c r="E1342" s="88" t="s">
        <v>61</v>
      </c>
      <c r="F1342" s="88">
        <v>0</v>
      </c>
      <c r="G1342" s="78">
        <f>MAX(H1342,I1342,J1342)</f>
        <v>1</v>
      </c>
      <c r="H1342" s="88"/>
      <c r="I1342" s="88"/>
      <c r="J1342" s="78">
        <f>MAX(K1342:Q1342)</f>
        <v>1</v>
      </c>
      <c r="K1342" s="88">
        <v>1</v>
      </c>
      <c r="L1342" s="88"/>
      <c r="M1342" s="88"/>
      <c r="N1342" s="88"/>
      <c r="O1342" s="88"/>
      <c r="P1342" s="88"/>
      <c r="Q1342" s="88"/>
      <c r="R1342" s="78">
        <f>MAX(S1342:W1342)</f>
        <v>0</v>
      </c>
      <c r="S1342" s="88"/>
      <c r="T1342" s="88"/>
      <c r="U1342" s="88"/>
      <c r="V1342" s="88"/>
      <c r="W1342" s="88"/>
    </row>
    <row r="1343" spans="2:23" s="0" customFormat="0" ht="15">
      <c r="B1343" s="87" t="s">
        <v>1</v>
      </c>
      <c r="C1343" s="88" t="s">
        <v>5259</v>
      </c>
      <c r="D1343" s="88">
        <v>19647980</v>
      </c>
      <c r="E1343" s="88" t="s">
        <v>61</v>
      </c>
      <c r="F1343" s="88">
        <v>0</v>
      </c>
      <c r="G1343" s="78">
        <f>MAX(H1343,I1343,J1343)</f>
        <v>1</v>
      </c>
      <c r="H1343" s="88"/>
      <c r="I1343" s="88"/>
      <c r="J1343" s="78">
        <f>MAX(K1343:Q1343)</f>
        <v>1</v>
      </c>
      <c r="K1343" s="88">
        <v>1</v>
      </c>
      <c r="L1343" s="88"/>
      <c r="M1343" s="88"/>
      <c r="N1343" s="88"/>
      <c r="O1343" s="88"/>
      <c r="P1343" s="88"/>
      <c r="Q1343" s="88"/>
      <c r="R1343" s="78">
        <f>MAX(S1343:W1343)</f>
        <v>0</v>
      </c>
      <c r="S1343" s="88"/>
      <c r="T1343" s="88"/>
      <c r="U1343" s="88"/>
      <c r="V1343" s="88"/>
      <c r="W1343" s="88"/>
    </row>
    <row r="1344" spans="2:23" s="0" customFormat="0" ht="15">
      <c r="B1344" s="87" t="s">
        <v>1</v>
      </c>
      <c r="C1344" s="88" t="s">
        <v>5259</v>
      </c>
      <c r="D1344" s="88" t="s">
        <v>3960</v>
      </c>
      <c r="E1344" s="88" t="s">
        <v>61</v>
      </c>
      <c r="F1344" s="88">
        <v>0</v>
      </c>
      <c r="G1344" s="78">
        <f>MAX(H1344,I1344,J1344)</f>
        <v>0</v>
      </c>
      <c r="H1344" s="88"/>
      <c r="I1344" s="88"/>
      <c r="J1344" s="78">
        <f>MAX(K1344:Q1344)</f>
        <v>0</v>
      </c>
      <c r="K1344" s="88"/>
      <c r="L1344" s="88"/>
      <c r="M1344" s="88"/>
      <c r="N1344" s="88"/>
      <c r="O1344" s="88"/>
      <c r="P1344" s="88"/>
      <c r="Q1344" s="88"/>
      <c r="R1344" s="78">
        <f>MAX(S1344:W1344)</f>
        <v>1</v>
      </c>
      <c r="S1344" s="88"/>
      <c r="T1344" s="88"/>
      <c r="U1344" s="88">
        <v>1</v>
      </c>
      <c r="V1344" s="88"/>
      <c r="W1344" s="88"/>
    </row>
    <row r="1345" spans="2:23" s="0" customFormat="0" ht="15">
      <c r="B1345" s="87" t="s">
        <v>1</v>
      </c>
      <c r="C1345" s="88" t="s">
        <v>5259</v>
      </c>
      <c r="D1345" s="88">
        <v>21563202</v>
      </c>
      <c r="E1345" s="88" t="s">
        <v>61</v>
      </c>
      <c r="F1345" s="88">
        <v>0</v>
      </c>
      <c r="G1345" s="78">
        <f>MAX(H1345,I1345,J1345)</f>
        <v>1</v>
      </c>
      <c r="H1345" s="88"/>
      <c r="I1345" s="88"/>
      <c r="J1345" s="78">
        <f>MAX(K1345:Q1345)</f>
        <v>1</v>
      </c>
      <c r="K1345" s="88">
        <v>1</v>
      </c>
      <c r="L1345" s="88"/>
      <c r="M1345" s="88"/>
      <c r="N1345" s="88"/>
      <c r="O1345" s="88"/>
      <c r="P1345" s="88"/>
      <c r="Q1345" s="88"/>
      <c r="R1345" s="78">
        <f>MAX(S1345:W1345)</f>
        <v>0</v>
      </c>
      <c r="S1345" s="88"/>
      <c r="T1345" s="88"/>
      <c r="U1345" s="88"/>
      <c r="V1345" s="88"/>
      <c r="W1345" s="88"/>
    </row>
    <row r="1346" spans="2:23" s="0" customFormat="0" ht="15">
      <c r="B1346" s="87" t="s">
        <v>1</v>
      </c>
      <c r="C1346" s="88" t="s">
        <v>5259</v>
      </c>
      <c r="D1346" s="88">
        <v>22623684</v>
      </c>
      <c r="E1346" s="88" t="s">
        <v>61</v>
      </c>
      <c r="F1346" s="88">
        <v>0</v>
      </c>
      <c r="G1346" s="78">
        <f>MAX(H1346,I1346,J1346)</f>
        <v>0</v>
      </c>
      <c r="H1346" s="88"/>
      <c r="I1346" s="88"/>
      <c r="J1346" s="78">
        <f>MAX(K1346:Q1346)</f>
        <v>0</v>
      </c>
      <c r="K1346" s="88"/>
      <c r="L1346" s="88"/>
      <c r="M1346" s="88"/>
      <c r="N1346" s="88"/>
      <c r="O1346" s="88"/>
      <c r="P1346" s="88"/>
      <c r="Q1346" s="88"/>
      <c r="R1346" s="78">
        <f>MAX(S1346:W1346)</f>
        <v>1</v>
      </c>
      <c r="S1346" s="88"/>
      <c r="T1346" s="88"/>
      <c r="U1346" s="88">
        <v>1</v>
      </c>
      <c r="V1346" s="88"/>
      <c r="W1346" s="88"/>
    </row>
    <row r="1347" spans="2:23" s="0" customFormat="0" ht="15">
      <c r="B1347" s="87" t="s">
        <v>1</v>
      </c>
      <c r="C1347" s="88" t="s">
        <v>5259</v>
      </c>
      <c r="D1347" s="88">
        <v>3515501</v>
      </c>
      <c r="E1347" s="88" t="s">
        <v>61</v>
      </c>
      <c r="F1347" s="88">
        <v>0</v>
      </c>
      <c r="G1347" s="78">
        <f>MAX(H1347,I1347,J1347)</f>
        <v>1</v>
      </c>
      <c r="H1347" s="88"/>
      <c r="I1347" s="88"/>
      <c r="J1347" s="78">
        <f>MAX(K1347:Q1347)</f>
        <v>1</v>
      </c>
      <c r="K1347" s="88">
        <v>1</v>
      </c>
      <c r="L1347" s="88"/>
      <c r="M1347" s="88"/>
      <c r="N1347" s="88"/>
      <c r="O1347" s="88"/>
      <c r="P1347" s="88"/>
      <c r="Q1347" s="88"/>
      <c r="R1347" s="78">
        <f>MAX(S1347:W1347)</f>
        <v>0</v>
      </c>
      <c r="S1347" s="88"/>
      <c r="T1347" s="88"/>
      <c r="U1347" s="88"/>
      <c r="V1347" s="88"/>
      <c r="W1347" s="88"/>
    </row>
    <row r="1348" spans="2:23" s="0" customFormat="0" ht="15">
      <c r="B1348" s="87" t="s">
        <v>1</v>
      </c>
      <c r="C1348" s="88" t="s">
        <v>5259</v>
      </c>
      <c r="D1348" s="88">
        <v>16974693</v>
      </c>
      <c r="E1348" s="88" t="s">
        <v>61</v>
      </c>
      <c r="F1348" s="88">
        <v>0</v>
      </c>
      <c r="G1348" s="78">
        <f>MAX(H1348,I1348,J1348)</f>
        <v>0</v>
      </c>
      <c r="H1348" s="88"/>
      <c r="I1348" s="88"/>
      <c r="J1348" s="78">
        <f>MAX(K1348:Q1348)</f>
        <v>0</v>
      </c>
      <c r="K1348" s="88"/>
      <c r="L1348" s="88"/>
      <c r="M1348" s="88"/>
      <c r="N1348" s="88"/>
      <c r="O1348" s="88"/>
      <c r="P1348" s="88"/>
      <c r="Q1348" s="88"/>
      <c r="R1348" s="78">
        <f>MAX(S1348:W1348)</f>
        <v>1</v>
      </c>
      <c r="S1348" s="88"/>
      <c r="T1348" s="88"/>
      <c r="U1348" s="88">
        <v>1</v>
      </c>
      <c r="V1348" s="88"/>
      <c r="W1348" s="88"/>
    </row>
    <row r="1349" spans="2:23" s="0" customFormat="0" ht="15">
      <c r="B1349" s="87" t="s">
        <v>1</v>
      </c>
      <c r="C1349" s="88" t="s">
        <v>5259</v>
      </c>
      <c r="D1349" s="88">
        <v>18923344</v>
      </c>
      <c r="E1349" s="88" t="s">
        <v>61</v>
      </c>
      <c r="F1349" s="88">
        <v>0</v>
      </c>
      <c r="G1349" s="78">
        <f>MAX(H1349,I1349,J1349)</f>
        <v>1</v>
      </c>
      <c r="H1349" s="88"/>
      <c r="I1349" s="88"/>
      <c r="J1349" s="78">
        <f>MAX(K1349:Q1349)</f>
        <v>1</v>
      </c>
      <c r="K1349" s="88">
        <v>1</v>
      </c>
      <c r="L1349" s="88"/>
      <c r="M1349" s="88"/>
      <c r="N1349" s="88"/>
      <c r="O1349" s="88"/>
      <c r="P1349" s="88"/>
      <c r="Q1349" s="88"/>
      <c r="R1349" s="78">
        <f>MAX(S1349:W1349)</f>
        <v>0</v>
      </c>
      <c r="S1349" s="88"/>
      <c r="T1349" s="88"/>
      <c r="U1349" s="88"/>
      <c r="V1349" s="88"/>
      <c r="W1349" s="88"/>
    </row>
    <row r="1350" spans="2:23" s="0" customFormat="0" ht="15">
      <c r="B1350" s="87" t="s">
        <v>1</v>
      </c>
      <c r="C1350" s="88" t="s">
        <v>5259</v>
      </c>
      <c r="D1350" s="88" t="s">
        <v>3963</v>
      </c>
      <c r="E1350" s="88" t="s">
        <v>61</v>
      </c>
      <c r="F1350" s="88">
        <v>0</v>
      </c>
      <c r="G1350" s="78">
        <f>MAX(H1350,I1350,J1350)</f>
        <v>0</v>
      </c>
      <c r="H1350" s="88"/>
      <c r="I1350" s="88"/>
      <c r="J1350" s="78">
        <f>MAX(K1350:Q1350)</f>
        <v>0</v>
      </c>
      <c r="K1350" s="88"/>
      <c r="L1350" s="88"/>
      <c r="M1350" s="88"/>
      <c r="N1350" s="88"/>
      <c r="O1350" s="88"/>
      <c r="P1350" s="88"/>
      <c r="Q1350" s="88"/>
      <c r="R1350" s="78">
        <f>MAX(S1350:W1350)</f>
        <v>1</v>
      </c>
      <c r="S1350" s="88"/>
      <c r="T1350" s="88"/>
      <c r="U1350" s="88">
        <v>1</v>
      </c>
      <c r="V1350" s="88"/>
      <c r="W1350" s="88"/>
    </row>
    <row r="1351" spans="2:23" s="0" customFormat="0" ht="15">
      <c r="B1351" s="87" t="s">
        <v>1</v>
      </c>
      <c r="C1351" s="88" t="s">
        <v>5259</v>
      </c>
      <c r="D1351" s="88" t="s">
        <v>3965</v>
      </c>
      <c r="E1351" s="88" t="s">
        <v>61</v>
      </c>
      <c r="F1351" s="88">
        <v>0</v>
      </c>
      <c r="G1351" s="78">
        <f>MAX(H1351,I1351,J1351)</f>
        <v>0</v>
      </c>
      <c r="H1351" s="88"/>
      <c r="I1351" s="88"/>
      <c r="J1351" s="78">
        <f>MAX(K1351:Q1351)</f>
        <v>0</v>
      </c>
      <c r="K1351" s="88"/>
      <c r="L1351" s="88"/>
      <c r="M1351" s="88"/>
      <c r="N1351" s="88"/>
      <c r="O1351" s="88"/>
      <c r="P1351" s="88"/>
      <c r="Q1351" s="88"/>
      <c r="R1351" s="78">
        <f>MAX(S1351:W1351)</f>
        <v>1</v>
      </c>
      <c r="S1351" s="88"/>
      <c r="T1351" s="88"/>
      <c r="U1351" s="88">
        <v>1</v>
      </c>
      <c r="V1351" s="88"/>
      <c r="W1351" s="88"/>
    </row>
    <row r="1352" spans="2:23" s="0" customFormat="0" ht="15">
      <c r="B1352" s="87" t="s">
        <v>1</v>
      </c>
      <c r="C1352" s="88" t="s">
        <v>5259</v>
      </c>
      <c r="D1352" s="88">
        <v>22623679</v>
      </c>
      <c r="E1352" s="88" t="s">
        <v>61</v>
      </c>
      <c r="F1352" s="88">
        <v>0</v>
      </c>
      <c r="G1352" s="78">
        <f>MAX(H1352,I1352,J1352)</f>
        <v>0</v>
      </c>
      <c r="H1352" s="88"/>
      <c r="I1352" s="88"/>
      <c r="J1352" s="78">
        <f>MAX(K1352:Q1352)</f>
        <v>0</v>
      </c>
      <c r="K1352" s="88"/>
      <c r="L1352" s="88"/>
      <c r="M1352" s="88"/>
      <c r="N1352" s="88"/>
      <c r="O1352" s="88"/>
      <c r="P1352" s="88"/>
      <c r="Q1352" s="88"/>
      <c r="R1352" s="78">
        <f>MAX(S1352:W1352)</f>
        <v>1</v>
      </c>
      <c r="S1352" s="88"/>
      <c r="T1352" s="88"/>
      <c r="U1352" s="88">
        <v>1</v>
      </c>
      <c r="V1352" s="88"/>
      <c r="W1352" s="88"/>
    </row>
    <row r="1353" spans="2:23" s="0" customFormat="0" ht="15">
      <c r="B1353" s="87" t="s">
        <v>1</v>
      </c>
      <c r="C1353" s="88" t="s">
        <v>5259</v>
      </c>
      <c r="D1353" s="88" t="s">
        <v>1125</v>
      </c>
      <c r="E1353" s="88" t="s">
        <v>61</v>
      </c>
      <c r="F1353" s="88">
        <v>0</v>
      </c>
      <c r="G1353" s="78">
        <f>MAX(H1353,I1353,J1353)</f>
        <v>1</v>
      </c>
      <c r="H1353" s="88"/>
      <c r="I1353" s="88"/>
      <c r="J1353" s="78">
        <f>MAX(K1353:Q1353)</f>
        <v>1</v>
      </c>
      <c r="K1353" s="88">
        <v>1</v>
      </c>
      <c r="L1353" s="88"/>
      <c r="M1353" s="88"/>
      <c r="N1353" s="88"/>
      <c r="O1353" s="88"/>
      <c r="P1353" s="88"/>
      <c r="Q1353" s="88"/>
      <c r="R1353" s="78">
        <f>MAX(S1353:W1353)</f>
        <v>0</v>
      </c>
      <c r="S1353" s="88"/>
      <c r="T1353" s="88"/>
      <c r="U1353" s="88"/>
      <c r="V1353" s="88"/>
      <c r="W1353" s="88"/>
    </row>
    <row r="1354" spans="2:23" s="0" customFormat="0" ht="15">
      <c r="B1354" s="87" t="s">
        <v>1</v>
      </c>
      <c r="C1354" s="88" t="s">
        <v>5259</v>
      </c>
      <c r="D1354" s="88">
        <v>5149490</v>
      </c>
      <c r="E1354" s="88" t="s">
        <v>61</v>
      </c>
      <c r="F1354" s="88">
        <v>0</v>
      </c>
      <c r="G1354" s="78">
        <f>MAX(H1354,I1354,J1354)</f>
        <v>1</v>
      </c>
      <c r="H1354" s="88"/>
      <c r="I1354" s="88"/>
      <c r="J1354" s="78">
        <f>MAX(K1354:Q1354)</f>
        <v>1</v>
      </c>
      <c r="K1354" s="88">
        <v>1</v>
      </c>
      <c r="L1354" s="88"/>
      <c r="M1354" s="88"/>
      <c r="N1354" s="88"/>
      <c r="O1354" s="88"/>
      <c r="P1354" s="88"/>
      <c r="Q1354" s="88"/>
      <c r="R1354" s="78">
        <f>MAX(S1354:W1354)</f>
        <v>0</v>
      </c>
      <c r="S1354" s="88"/>
      <c r="T1354" s="88"/>
      <c r="U1354" s="88"/>
      <c r="V1354" s="88"/>
      <c r="W1354" s="88"/>
    </row>
    <row r="1355" spans="2:23" s="0" customFormat="0" ht="15">
      <c r="B1355" s="87" t="s">
        <v>1</v>
      </c>
      <c r="C1355" s="88" t="s">
        <v>5259</v>
      </c>
      <c r="D1355" s="88" t="s">
        <v>3968</v>
      </c>
      <c r="E1355" s="88" t="s">
        <v>61</v>
      </c>
      <c r="F1355" s="88">
        <v>0</v>
      </c>
      <c r="G1355" s="78">
        <f>MAX(H1355,I1355,J1355)</f>
        <v>0</v>
      </c>
      <c r="H1355" s="88"/>
      <c r="I1355" s="88"/>
      <c r="J1355" s="78">
        <f>MAX(K1355:Q1355)</f>
        <v>0</v>
      </c>
      <c r="K1355" s="88"/>
      <c r="L1355" s="88"/>
      <c r="M1355" s="88"/>
      <c r="N1355" s="88"/>
      <c r="O1355" s="88"/>
      <c r="P1355" s="88"/>
      <c r="Q1355" s="88"/>
      <c r="R1355" s="78">
        <f>MAX(S1355:W1355)</f>
        <v>1</v>
      </c>
      <c r="S1355" s="88"/>
      <c r="T1355" s="88"/>
      <c r="U1355" s="88">
        <v>1</v>
      </c>
      <c r="V1355" s="88"/>
      <c r="W1355" s="88"/>
    </row>
    <row r="1356" spans="2:23" s="0" customFormat="0" ht="15">
      <c r="B1356" s="87" t="s">
        <v>1</v>
      </c>
      <c r="C1356" s="88" t="s">
        <v>5259</v>
      </c>
      <c r="D1356" s="88">
        <v>24892936</v>
      </c>
      <c r="E1356" s="88" t="s">
        <v>61</v>
      </c>
      <c r="F1356" s="88">
        <v>0</v>
      </c>
      <c r="G1356" s="78">
        <f>MAX(H1356,I1356,J1356)</f>
        <v>1</v>
      </c>
      <c r="H1356" s="88"/>
      <c r="I1356" s="88"/>
      <c r="J1356" s="78">
        <f>MAX(K1356:Q1356)</f>
        <v>1</v>
      </c>
      <c r="K1356" s="88">
        <v>1</v>
      </c>
      <c r="L1356" s="88"/>
      <c r="M1356" s="88"/>
      <c r="N1356" s="88"/>
      <c r="O1356" s="88"/>
      <c r="P1356" s="88"/>
      <c r="Q1356" s="88"/>
      <c r="R1356" s="78">
        <f>MAX(S1356:W1356)</f>
        <v>0</v>
      </c>
      <c r="S1356" s="88"/>
      <c r="T1356" s="88"/>
      <c r="U1356" s="88"/>
      <c r="V1356" s="88"/>
      <c r="W1356" s="88"/>
    </row>
    <row r="1357" spans="2:23" s="0" customFormat="0" ht="15">
      <c r="B1357" s="87" t="s">
        <v>1</v>
      </c>
      <c r="C1357" s="88" t="s">
        <v>5259</v>
      </c>
      <c r="D1357" s="88">
        <v>23457590</v>
      </c>
      <c r="E1357" s="88" t="s">
        <v>61</v>
      </c>
      <c r="F1357" s="88">
        <v>0</v>
      </c>
      <c r="G1357" s="78">
        <f>MAX(H1357,I1357,J1357)</f>
        <v>1</v>
      </c>
      <c r="H1357" s="88"/>
      <c r="I1357" s="88"/>
      <c r="J1357" s="78">
        <f>MAX(K1357:Q1357)</f>
        <v>1</v>
      </c>
      <c r="K1357" s="88">
        <v>1</v>
      </c>
      <c r="L1357" s="88"/>
      <c r="M1357" s="88"/>
      <c r="N1357" s="88"/>
      <c r="O1357" s="88"/>
      <c r="P1357" s="88"/>
      <c r="Q1357" s="88"/>
      <c r="R1357" s="78">
        <f>MAX(S1357:W1357)</f>
        <v>0</v>
      </c>
      <c r="S1357" s="88"/>
      <c r="T1357" s="88"/>
      <c r="U1357" s="88"/>
      <c r="V1357" s="88"/>
      <c r="W1357" s="88"/>
    </row>
    <row r="1358" spans="2:23" s="0" customFormat="0" ht="15">
      <c r="B1358" s="87" t="s">
        <v>1</v>
      </c>
      <c r="C1358" s="88" t="s">
        <v>5259</v>
      </c>
      <c r="D1358" s="88">
        <v>11899224</v>
      </c>
      <c r="E1358" s="88" t="s">
        <v>61</v>
      </c>
      <c r="F1358" s="88">
        <v>0</v>
      </c>
      <c r="G1358" s="78">
        <f>MAX(H1358,I1358,J1358)</f>
        <v>1</v>
      </c>
      <c r="H1358" s="88"/>
      <c r="I1358" s="88"/>
      <c r="J1358" s="78">
        <f>MAX(K1358:Q1358)</f>
        <v>1</v>
      </c>
      <c r="K1358" s="88">
        <v>1</v>
      </c>
      <c r="L1358" s="88"/>
      <c r="M1358" s="88"/>
      <c r="N1358" s="88"/>
      <c r="O1358" s="88"/>
      <c r="P1358" s="88"/>
      <c r="Q1358" s="88"/>
      <c r="R1358" s="78">
        <f>MAX(S1358:W1358)</f>
        <v>0</v>
      </c>
      <c r="S1358" s="88"/>
      <c r="T1358" s="88"/>
      <c r="U1358" s="88"/>
      <c r="V1358" s="88"/>
      <c r="W1358" s="88"/>
    </row>
    <row r="1359" spans="2:23" s="0" customFormat="0" ht="15">
      <c r="B1359" s="87" t="s">
        <v>1</v>
      </c>
      <c r="C1359" s="88" t="s">
        <v>5259</v>
      </c>
      <c r="D1359" s="88">
        <v>22554523</v>
      </c>
      <c r="E1359" s="88" t="s">
        <v>61</v>
      </c>
      <c r="F1359" s="88">
        <v>0</v>
      </c>
      <c r="G1359" s="78">
        <f>MAX(H1359,I1359,J1359)</f>
        <v>0</v>
      </c>
      <c r="H1359" s="88"/>
      <c r="I1359" s="88"/>
      <c r="J1359" s="78">
        <f>MAX(K1359:Q1359)</f>
        <v>0</v>
      </c>
      <c r="K1359" s="88"/>
      <c r="L1359" s="88"/>
      <c r="M1359" s="88"/>
      <c r="N1359" s="88"/>
      <c r="O1359" s="88"/>
      <c r="P1359" s="88"/>
      <c r="Q1359" s="88"/>
      <c r="R1359" s="78">
        <f>MAX(S1359:W1359)</f>
        <v>1</v>
      </c>
      <c r="S1359" s="88"/>
      <c r="T1359" s="88"/>
      <c r="U1359" s="88">
        <v>1</v>
      </c>
      <c r="V1359" s="88"/>
      <c r="W1359" s="88"/>
    </row>
    <row r="1360" spans="2:23" s="0" customFormat="0" ht="15">
      <c r="B1360" s="87" t="s">
        <v>1</v>
      </c>
      <c r="C1360" s="88" t="s">
        <v>5259</v>
      </c>
      <c r="D1360" s="88">
        <v>16168539</v>
      </c>
      <c r="E1360" s="88" t="s">
        <v>61</v>
      </c>
      <c r="F1360" s="88">
        <v>0</v>
      </c>
      <c r="G1360" s="78">
        <f>MAX(H1360,I1360,J1360)</f>
        <v>1</v>
      </c>
      <c r="H1360" s="88"/>
      <c r="I1360" s="88"/>
      <c r="J1360" s="78">
        <f>MAX(K1360:Q1360)</f>
        <v>1</v>
      </c>
      <c r="K1360" s="88"/>
      <c r="L1360" s="88">
        <v>1</v>
      </c>
      <c r="M1360" s="88"/>
      <c r="N1360" s="88"/>
      <c r="O1360" s="88"/>
      <c r="P1360" s="88"/>
      <c r="Q1360" s="88"/>
      <c r="R1360" s="78">
        <f>MAX(S1360:W1360)</f>
        <v>0</v>
      </c>
      <c r="S1360" s="88"/>
      <c r="T1360" s="88"/>
      <c r="U1360" s="88"/>
      <c r="V1360" s="88"/>
      <c r="W1360" s="88"/>
    </row>
    <row r="1361" spans="2:23" s="0" customFormat="0" ht="15">
      <c r="B1361" s="87" t="s">
        <v>1</v>
      </c>
      <c r="C1361" s="88" t="s">
        <v>5259</v>
      </c>
      <c r="D1361" s="88" t="s">
        <v>1131</v>
      </c>
      <c r="E1361" s="88" t="s">
        <v>61</v>
      </c>
      <c r="F1361" s="88">
        <v>0</v>
      </c>
      <c r="G1361" s="78">
        <f>MAX(H1361,I1361,J1361)</f>
        <v>1</v>
      </c>
      <c r="H1361" s="88"/>
      <c r="I1361" s="88"/>
      <c r="J1361" s="78">
        <f>MAX(K1361:Q1361)</f>
        <v>1</v>
      </c>
      <c r="K1361" s="88">
        <v>1</v>
      </c>
      <c r="L1361" s="88"/>
      <c r="M1361" s="88"/>
      <c r="N1361" s="88"/>
      <c r="O1361" s="88"/>
      <c r="P1361" s="88"/>
      <c r="Q1361" s="88"/>
      <c r="R1361" s="78">
        <f>MAX(S1361:W1361)</f>
        <v>0</v>
      </c>
      <c r="S1361" s="88"/>
      <c r="T1361" s="88"/>
      <c r="U1361" s="88"/>
      <c r="V1361" s="88"/>
      <c r="W1361" s="88"/>
    </row>
    <row r="1362" spans="2:23" s="0" customFormat="0" ht="15">
      <c r="B1362" s="87" t="s">
        <v>1</v>
      </c>
      <c r="C1362" s="88" t="s">
        <v>5259</v>
      </c>
      <c r="D1362" s="88">
        <v>4121875</v>
      </c>
      <c r="E1362" s="88" t="s">
        <v>61</v>
      </c>
      <c r="F1362" s="88">
        <v>0</v>
      </c>
      <c r="G1362" s="78">
        <f>MAX(H1362,I1362,J1362)</f>
        <v>1</v>
      </c>
      <c r="H1362" s="88"/>
      <c r="I1362" s="88"/>
      <c r="J1362" s="78">
        <f>MAX(K1362:Q1362)</f>
        <v>1</v>
      </c>
      <c r="K1362" s="88">
        <v>1</v>
      </c>
      <c r="L1362" s="88"/>
      <c r="M1362" s="88"/>
      <c r="N1362" s="88"/>
      <c r="O1362" s="88"/>
      <c r="P1362" s="88"/>
      <c r="Q1362" s="88"/>
      <c r="R1362" s="78">
        <f>MAX(S1362:W1362)</f>
        <v>0</v>
      </c>
      <c r="S1362" s="88"/>
      <c r="T1362" s="88"/>
      <c r="U1362" s="88"/>
      <c r="V1362" s="88"/>
      <c r="W1362" s="88"/>
    </row>
    <row r="1363" spans="2:23" s="0" customFormat="0" ht="15">
      <c r="B1363" s="87" t="s">
        <v>1</v>
      </c>
      <c r="C1363" s="88" t="s">
        <v>5259</v>
      </c>
      <c r="D1363" s="88">
        <v>8939457</v>
      </c>
      <c r="E1363" s="88" t="s">
        <v>61</v>
      </c>
      <c r="F1363" s="88">
        <v>0</v>
      </c>
      <c r="G1363" s="78">
        <f>MAX(H1363,I1363,J1363)</f>
        <v>1</v>
      </c>
      <c r="H1363" s="88"/>
      <c r="I1363" s="88"/>
      <c r="J1363" s="78">
        <f>MAX(K1363:Q1363)</f>
        <v>1</v>
      </c>
      <c r="K1363" s="88">
        <v>1</v>
      </c>
      <c r="L1363" s="88"/>
      <c r="M1363" s="88"/>
      <c r="N1363" s="88"/>
      <c r="O1363" s="88"/>
      <c r="P1363" s="88"/>
      <c r="Q1363" s="88"/>
      <c r="R1363" s="78">
        <f>MAX(S1363:W1363)</f>
        <v>0</v>
      </c>
      <c r="S1363" s="88"/>
      <c r="T1363" s="88"/>
      <c r="U1363" s="88"/>
      <c r="V1363" s="88"/>
      <c r="W1363" s="88"/>
    </row>
    <row r="1364" spans="2:23" s="0" customFormat="0" ht="15">
      <c r="B1364" s="87" t="s">
        <v>1</v>
      </c>
      <c r="C1364" s="88" t="s">
        <v>5259</v>
      </c>
      <c r="D1364" s="88">
        <v>9073220</v>
      </c>
      <c r="E1364" s="88" t="s">
        <v>61</v>
      </c>
      <c r="F1364" s="88">
        <v>0</v>
      </c>
      <c r="G1364" s="78">
        <f>MAX(H1364,I1364,J1364)</f>
        <v>1</v>
      </c>
      <c r="H1364" s="88"/>
      <c r="I1364" s="88"/>
      <c r="J1364" s="78">
        <f>MAX(K1364:Q1364)</f>
        <v>1</v>
      </c>
      <c r="K1364" s="88">
        <v>1</v>
      </c>
      <c r="L1364" s="88"/>
      <c r="M1364" s="88"/>
      <c r="N1364" s="88"/>
      <c r="O1364" s="88"/>
      <c r="P1364" s="88"/>
      <c r="Q1364" s="88"/>
      <c r="R1364" s="78">
        <f>MAX(S1364:W1364)</f>
        <v>0</v>
      </c>
      <c r="S1364" s="88"/>
      <c r="T1364" s="88"/>
      <c r="U1364" s="88"/>
      <c r="V1364" s="88"/>
      <c r="W1364" s="88"/>
    </row>
    <row r="1365" spans="2:23" s="0" customFormat="0" ht="15">
      <c r="B1365" s="87" t="s">
        <v>1</v>
      </c>
      <c r="C1365" s="88" t="s">
        <v>5259</v>
      </c>
      <c r="D1365" s="88">
        <v>24828803</v>
      </c>
      <c r="E1365" s="88" t="s">
        <v>61</v>
      </c>
      <c r="F1365" s="88">
        <v>0</v>
      </c>
      <c r="G1365" s="78">
        <f>MAX(H1365,I1365,J1365)</f>
        <v>1</v>
      </c>
      <c r="H1365" s="88"/>
      <c r="I1365" s="88"/>
      <c r="J1365" s="78">
        <f>MAX(K1365:Q1365)</f>
        <v>1</v>
      </c>
      <c r="K1365" s="88">
        <v>1</v>
      </c>
      <c r="L1365" s="88"/>
      <c r="M1365" s="88"/>
      <c r="N1365" s="88"/>
      <c r="O1365" s="88"/>
      <c r="P1365" s="88"/>
      <c r="Q1365" s="88"/>
      <c r="R1365" s="78">
        <f>MAX(S1365:W1365)</f>
        <v>0</v>
      </c>
      <c r="S1365" s="88"/>
      <c r="T1365" s="88"/>
      <c r="U1365" s="88"/>
      <c r="V1365" s="88"/>
      <c r="W1365" s="88"/>
    </row>
    <row r="1366" spans="2:23" s="0" customFormat="0" ht="15">
      <c r="B1366" s="87" t="s">
        <v>1</v>
      </c>
      <c r="C1366" s="88" t="s">
        <v>5259</v>
      </c>
      <c r="D1366" s="88" t="s">
        <v>3971</v>
      </c>
      <c r="E1366" s="88" t="s">
        <v>61</v>
      </c>
      <c r="F1366" s="88">
        <v>0</v>
      </c>
      <c r="G1366" s="78">
        <f>MAX(H1366,I1366,J1366)</f>
        <v>0</v>
      </c>
      <c r="H1366" s="88"/>
      <c r="I1366" s="88"/>
      <c r="J1366" s="78">
        <f>MAX(K1366:Q1366)</f>
        <v>0</v>
      </c>
      <c r="K1366" s="88"/>
      <c r="L1366" s="88"/>
      <c r="M1366" s="88"/>
      <c r="N1366" s="88"/>
      <c r="O1366" s="88"/>
      <c r="P1366" s="88"/>
      <c r="Q1366" s="88"/>
      <c r="R1366" s="78">
        <f>MAX(S1366:W1366)</f>
        <v>1</v>
      </c>
      <c r="S1366" s="88"/>
      <c r="T1366" s="88"/>
      <c r="U1366" s="88">
        <v>1</v>
      </c>
      <c r="V1366" s="88"/>
      <c r="W1366" s="88"/>
    </row>
    <row r="1367" spans="2:23" s="0" customFormat="0" ht="15">
      <c r="B1367" s="87" t="s">
        <v>1</v>
      </c>
      <c r="C1367" s="88" t="s">
        <v>5259</v>
      </c>
      <c r="D1367" s="88" t="s">
        <v>3415</v>
      </c>
      <c r="E1367" s="88" t="s">
        <v>61</v>
      </c>
      <c r="F1367" s="88">
        <v>0</v>
      </c>
      <c r="G1367" s="78">
        <f>MAX(H1367,I1367,J1367)</f>
        <v>0</v>
      </c>
      <c r="H1367" s="88"/>
      <c r="I1367" s="88"/>
      <c r="J1367" s="78">
        <f>MAX(K1367:Q1367)</f>
        <v>0</v>
      </c>
      <c r="K1367" s="88"/>
      <c r="L1367" s="88"/>
      <c r="M1367" s="88"/>
      <c r="N1367" s="88"/>
      <c r="O1367" s="88"/>
      <c r="P1367" s="88"/>
      <c r="Q1367" s="88"/>
      <c r="R1367" s="78">
        <f>MAX(S1367:W1367)</f>
        <v>1</v>
      </c>
      <c r="S1367" s="88"/>
      <c r="T1367" s="88"/>
      <c r="U1367" s="88">
        <v>1</v>
      </c>
      <c r="V1367" s="88"/>
      <c r="W1367" s="88"/>
    </row>
    <row r="1368" spans="2:23" s="0" customFormat="0" ht="15">
      <c r="B1368" s="87" t="s">
        <v>1</v>
      </c>
      <c r="C1368" s="88" t="s">
        <v>5259</v>
      </c>
      <c r="D1368" s="88" t="s">
        <v>1137</v>
      </c>
      <c r="E1368" s="88" t="s">
        <v>61</v>
      </c>
      <c r="F1368" s="88">
        <v>0</v>
      </c>
      <c r="G1368" s="78">
        <f>MAX(H1368,I1368,J1368)</f>
        <v>1</v>
      </c>
      <c r="H1368" s="88"/>
      <c r="I1368" s="88"/>
      <c r="J1368" s="78">
        <f>MAX(K1368:Q1368)</f>
        <v>1</v>
      </c>
      <c r="K1368" s="88">
        <v>1</v>
      </c>
      <c r="L1368" s="88"/>
      <c r="M1368" s="88"/>
      <c r="N1368" s="88"/>
      <c r="O1368" s="88"/>
      <c r="P1368" s="88"/>
      <c r="Q1368" s="88"/>
      <c r="R1368" s="78">
        <f>MAX(S1368:W1368)</f>
        <v>0</v>
      </c>
      <c r="S1368" s="88"/>
      <c r="T1368" s="88"/>
      <c r="U1368" s="88"/>
      <c r="V1368" s="88"/>
      <c r="W1368" s="88"/>
    </row>
    <row r="1369" spans="2:23" s="0" customFormat="0" ht="15">
      <c r="B1369" s="87" t="s">
        <v>1</v>
      </c>
      <c r="C1369" s="88" t="s">
        <v>5259</v>
      </c>
      <c r="D1369" s="88">
        <v>7512985</v>
      </c>
      <c r="E1369" s="88" t="s">
        <v>61</v>
      </c>
      <c r="F1369" s="88">
        <v>0</v>
      </c>
      <c r="G1369" s="78">
        <f>MAX(H1369,I1369,J1369)</f>
        <v>1</v>
      </c>
      <c r="H1369" s="88"/>
      <c r="I1369" s="88"/>
      <c r="J1369" s="78">
        <f>MAX(K1369:Q1369)</f>
        <v>1</v>
      </c>
      <c r="K1369" s="88">
        <v>1</v>
      </c>
      <c r="L1369" s="88"/>
      <c r="M1369" s="88"/>
      <c r="N1369" s="88"/>
      <c r="O1369" s="88"/>
      <c r="P1369" s="88"/>
      <c r="Q1369" s="88"/>
      <c r="R1369" s="78">
        <f>MAX(S1369:W1369)</f>
        <v>0</v>
      </c>
      <c r="S1369" s="88"/>
      <c r="T1369" s="88"/>
      <c r="U1369" s="88"/>
      <c r="V1369" s="88"/>
      <c r="W1369" s="88"/>
    </row>
    <row r="1370" spans="2:23" s="0" customFormat="0" ht="15">
      <c r="B1370" s="87" t="s">
        <v>1</v>
      </c>
      <c r="C1370" s="88" t="s">
        <v>5259</v>
      </c>
      <c r="D1370" s="88">
        <v>2511127</v>
      </c>
      <c r="E1370" s="88" t="s">
        <v>61</v>
      </c>
      <c r="F1370" s="88">
        <v>0</v>
      </c>
      <c r="G1370" s="78">
        <f>MAX(H1370,I1370,J1370)</f>
        <v>1</v>
      </c>
      <c r="H1370" s="88"/>
      <c r="I1370" s="88"/>
      <c r="J1370" s="78">
        <f>MAX(K1370:Q1370)</f>
        <v>1</v>
      </c>
      <c r="K1370" s="88"/>
      <c r="L1370" s="88">
        <v>1</v>
      </c>
      <c r="M1370" s="88"/>
      <c r="N1370" s="88"/>
      <c r="O1370" s="88"/>
      <c r="P1370" s="88"/>
      <c r="Q1370" s="88"/>
      <c r="R1370" s="78">
        <f>MAX(S1370:W1370)</f>
        <v>0</v>
      </c>
      <c r="S1370" s="88"/>
      <c r="T1370" s="88"/>
      <c r="U1370" s="88"/>
      <c r="V1370" s="88"/>
      <c r="W1370" s="88"/>
    </row>
    <row r="1371" spans="2:23" s="0" customFormat="0" ht="15">
      <c r="B1371" s="87" t="s">
        <v>1</v>
      </c>
      <c r="C1371" s="88" t="s">
        <v>5259</v>
      </c>
      <c r="D1371" s="88">
        <v>21237289</v>
      </c>
      <c r="E1371" s="88" t="s">
        <v>61</v>
      </c>
      <c r="F1371" s="88">
        <v>0</v>
      </c>
      <c r="G1371" s="78">
        <f>MAX(H1371,I1371,J1371)</f>
        <v>1</v>
      </c>
      <c r="H1371" s="88"/>
      <c r="I1371" s="88"/>
      <c r="J1371" s="78">
        <f>MAX(K1371:Q1371)</f>
        <v>1</v>
      </c>
      <c r="K1371" s="88">
        <v>1</v>
      </c>
      <c r="L1371" s="88"/>
      <c r="M1371" s="88"/>
      <c r="N1371" s="88"/>
      <c r="O1371" s="88"/>
      <c r="P1371" s="88"/>
      <c r="Q1371" s="88"/>
      <c r="R1371" s="78">
        <f>MAX(S1371:W1371)</f>
        <v>0</v>
      </c>
      <c r="S1371" s="88"/>
      <c r="T1371" s="88"/>
      <c r="U1371" s="88"/>
      <c r="V1371" s="88"/>
      <c r="W1371" s="88"/>
    </row>
    <row r="1372" spans="2:23" s="0" customFormat="0" ht="15">
      <c r="B1372" s="87" t="s">
        <v>1</v>
      </c>
      <c r="C1372" s="88" t="s">
        <v>5259</v>
      </c>
      <c r="D1372" s="88" t="s">
        <v>3973</v>
      </c>
      <c r="E1372" s="88" t="s">
        <v>61</v>
      </c>
      <c r="F1372" s="88">
        <v>0</v>
      </c>
      <c r="G1372" s="78">
        <f>MAX(H1372,I1372,J1372)</f>
        <v>0</v>
      </c>
      <c r="H1372" s="88"/>
      <c r="I1372" s="88"/>
      <c r="J1372" s="78">
        <f>MAX(K1372:Q1372)</f>
        <v>0</v>
      </c>
      <c r="K1372" s="88"/>
      <c r="L1372" s="88"/>
      <c r="M1372" s="88"/>
      <c r="N1372" s="88"/>
      <c r="O1372" s="88"/>
      <c r="P1372" s="88"/>
      <c r="Q1372" s="88"/>
      <c r="R1372" s="78">
        <f>MAX(S1372:W1372)</f>
        <v>1</v>
      </c>
      <c r="S1372" s="88"/>
      <c r="T1372" s="88"/>
      <c r="U1372" s="88">
        <v>1</v>
      </c>
      <c r="V1372" s="88"/>
      <c r="W1372" s="88"/>
    </row>
    <row r="1373" spans="2:23" s="0" customFormat="0" ht="15">
      <c r="B1373" s="87" t="s">
        <v>1</v>
      </c>
      <c r="C1373" s="88" t="s">
        <v>5259</v>
      </c>
      <c r="D1373" s="88">
        <v>12775392</v>
      </c>
      <c r="E1373" s="88" t="s">
        <v>61</v>
      </c>
      <c r="F1373" s="88">
        <v>0</v>
      </c>
      <c r="G1373" s="78">
        <f>MAX(H1373,I1373,J1373)</f>
        <v>1</v>
      </c>
      <c r="H1373" s="88"/>
      <c r="I1373" s="88"/>
      <c r="J1373" s="78">
        <f>MAX(K1373:Q1373)</f>
        <v>1</v>
      </c>
      <c r="K1373" s="88">
        <v>1</v>
      </c>
      <c r="L1373" s="88"/>
      <c r="M1373" s="88"/>
      <c r="N1373" s="88"/>
      <c r="O1373" s="88"/>
      <c r="P1373" s="88"/>
      <c r="Q1373" s="88"/>
      <c r="R1373" s="78">
        <f>MAX(S1373:W1373)</f>
        <v>0</v>
      </c>
      <c r="S1373" s="88"/>
      <c r="T1373" s="88"/>
      <c r="U1373" s="88"/>
      <c r="V1373" s="88"/>
      <c r="W1373" s="88"/>
    </row>
    <row r="1374" spans="2:23" s="0" customFormat="0" ht="15">
      <c r="B1374" s="87" t="s">
        <v>1</v>
      </c>
      <c r="C1374" s="88" t="s">
        <v>5259</v>
      </c>
      <c r="D1374" s="88" t="s">
        <v>3975</v>
      </c>
      <c r="E1374" s="88" t="s">
        <v>61</v>
      </c>
      <c r="F1374" s="88">
        <v>0</v>
      </c>
      <c r="G1374" s="78">
        <f>MAX(H1374,I1374,J1374)</f>
        <v>0</v>
      </c>
      <c r="H1374" s="88"/>
      <c r="I1374" s="88"/>
      <c r="J1374" s="78">
        <f>MAX(K1374:Q1374)</f>
        <v>0</v>
      </c>
      <c r="K1374" s="88"/>
      <c r="L1374" s="88"/>
      <c r="M1374" s="88"/>
      <c r="N1374" s="88"/>
      <c r="O1374" s="88"/>
      <c r="P1374" s="88"/>
      <c r="Q1374" s="88"/>
      <c r="R1374" s="78">
        <f>MAX(S1374:W1374)</f>
        <v>1</v>
      </c>
      <c r="S1374" s="88"/>
      <c r="T1374" s="88"/>
      <c r="U1374" s="88">
        <v>1</v>
      </c>
      <c r="V1374" s="88"/>
      <c r="W1374" s="88"/>
    </row>
    <row r="1375" spans="2:23" s="0" customFormat="0" ht="15">
      <c r="B1375" s="87" t="s">
        <v>1</v>
      </c>
      <c r="C1375" s="88" t="s">
        <v>5259</v>
      </c>
      <c r="D1375" s="88">
        <v>20925610</v>
      </c>
      <c r="E1375" s="88" t="s">
        <v>61</v>
      </c>
      <c r="F1375" s="88">
        <v>0</v>
      </c>
      <c r="G1375" s="78">
        <f>MAX(H1375,I1375,J1375)</f>
        <v>1</v>
      </c>
      <c r="H1375" s="88"/>
      <c r="I1375" s="88"/>
      <c r="J1375" s="78">
        <f>MAX(K1375:Q1375)</f>
        <v>1</v>
      </c>
      <c r="K1375" s="88">
        <v>1</v>
      </c>
      <c r="L1375" s="88"/>
      <c r="M1375" s="88"/>
      <c r="N1375" s="88"/>
      <c r="O1375" s="88"/>
      <c r="P1375" s="88"/>
      <c r="Q1375" s="88"/>
      <c r="R1375" s="78">
        <f>MAX(S1375:W1375)</f>
        <v>0</v>
      </c>
      <c r="S1375" s="88"/>
      <c r="T1375" s="88"/>
      <c r="U1375" s="88"/>
      <c r="V1375" s="88"/>
      <c r="W1375" s="88"/>
    </row>
    <row r="1376" spans="2:23" s="0" customFormat="0" ht="15">
      <c r="B1376" s="87" t="s">
        <v>1</v>
      </c>
      <c r="C1376" s="88" t="s">
        <v>5259</v>
      </c>
      <c r="D1376" s="88">
        <v>11804267</v>
      </c>
      <c r="E1376" s="88" t="s">
        <v>61</v>
      </c>
      <c r="F1376" s="88">
        <v>0</v>
      </c>
      <c r="G1376" s="78">
        <f>MAX(H1376,I1376,J1376)</f>
        <v>1</v>
      </c>
      <c r="H1376" s="88"/>
      <c r="I1376" s="88"/>
      <c r="J1376" s="78">
        <f>MAX(K1376:Q1376)</f>
        <v>1</v>
      </c>
      <c r="K1376" s="88">
        <v>1</v>
      </c>
      <c r="L1376" s="88"/>
      <c r="M1376" s="88"/>
      <c r="N1376" s="88"/>
      <c r="O1376" s="88"/>
      <c r="P1376" s="88"/>
      <c r="Q1376" s="88"/>
      <c r="R1376" s="78">
        <f>MAX(S1376:W1376)</f>
        <v>0</v>
      </c>
      <c r="S1376" s="88"/>
      <c r="T1376" s="88"/>
      <c r="U1376" s="88"/>
      <c r="V1376" s="88"/>
      <c r="W1376" s="88"/>
    </row>
    <row r="1377" spans="2:23" s="0" customFormat="0" ht="15">
      <c r="B1377" s="87" t="s">
        <v>1</v>
      </c>
      <c r="C1377" s="88" t="s">
        <v>5259</v>
      </c>
      <c r="D1377" s="88">
        <v>13658441</v>
      </c>
      <c r="E1377" s="88" t="s">
        <v>61</v>
      </c>
      <c r="F1377" s="88">
        <v>0</v>
      </c>
      <c r="G1377" s="78">
        <f>MAX(H1377,I1377,J1377)</f>
        <v>1</v>
      </c>
      <c r="H1377" s="88"/>
      <c r="I1377" s="88"/>
      <c r="J1377" s="78">
        <f>MAX(K1377:Q1377)</f>
        <v>1</v>
      </c>
      <c r="K1377" s="88">
        <v>1</v>
      </c>
      <c r="L1377" s="88"/>
      <c r="M1377" s="88"/>
      <c r="N1377" s="88"/>
      <c r="O1377" s="88"/>
      <c r="P1377" s="88"/>
      <c r="Q1377" s="88"/>
      <c r="R1377" s="78">
        <f>MAX(S1377:W1377)</f>
        <v>0</v>
      </c>
      <c r="S1377" s="88"/>
      <c r="T1377" s="88"/>
      <c r="U1377" s="88"/>
      <c r="V1377" s="88"/>
      <c r="W1377" s="88"/>
    </row>
    <row r="1378" spans="2:23" s="0" customFormat="0" ht="15">
      <c r="B1378" s="87" t="s">
        <v>1</v>
      </c>
      <c r="C1378" s="88" t="s">
        <v>5259</v>
      </c>
      <c r="D1378" s="88">
        <v>22681324</v>
      </c>
      <c r="E1378" s="88" t="s">
        <v>61</v>
      </c>
      <c r="F1378" s="88">
        <v>0</v>
      </c>
      <c r="G1378" s="78">
        <f>MAX(H1378,I1378,J1378)</f>
        <v>1</v>
      </c>
      <c r="H1378" s="88"/>
      <c r="I1378" s="88"/>
      <c r="J1378" s="78">
        <f>MAX(K1378:Q1378)</f>
        <v>1</v>
      </c>
      <c r="K1378" s="88">
        <v>1</v>
      </c>
      <c r="L1378" s="88"/>
      <c r="M1378" s="88"/>
      <c r="N1378" s="88"/>
      <c r="O1378" s="88"/>
      <c r="P1378" s="88"/>
      <c r="Q1378" s="88"/>
      <c r="R1378" s="78">
        <f>MAX(S1378:W1378)</f>
        <v>0</v>
      </c>
      <c r="S1378" s="88"/>
      <c r="T1378" s="88"/>
      <c r="U1378" s="88"/>
      <c r="V1378" s="88"/>
      <c r="W1378" s="88"/>
    </row>
    <row r="1379" spans="2:23" s="0" customFormat="0" ht="15">
      <c r="B1379" s="87" t="s">
        <v>1</v>
      </c>
      <c r="C1379" s="88" t="s">
        <v>5259</v>
      </c>
      <c r="D1379" s="88">
        <v>4104355</v>
      </c>
      <c r="E1379" s="88" t="s">
        <v>61</v>
      </c>
      <c r="F1379" s="88">
        <v>0</v>
      </c>
      <c r="G1379" s="78">
        <f>MAX(H1379,I1379,J1379)</f>
        <v>1</v>
      </c>
      <c r="H1379" s="88"/>
      <c r="I1379" s="88"/>
      <c r="J1379" s="78">
        <f>MAX(K1379:Q1379)</f>
        <v>1</v>
      </c>
      <c r="K1379" s="88">
        <v>1</v>
      </c>
      <c r="L1379" s="88"/>
      <c r="M1379" s="88"/>
      <c r="N1379" s="88"/>
      <c r="O1379" s="88"/>
      <c r="P1379" s="88"/>
      <c r="Q1379" s="88"/>
      <c r="R1379" s="78">
        <f>MAX(S1379:W1379)</f>
        <v>0</v>
      </c>
      <c r="S1379" s="88"/>
      <c r="T1379" s="88"/>
      <c r="U1379" s="88"/>
      <c r="V1379" s="88"/>
      <c r="W1379" s="88"/>
    </row>
    <row r="1380" spans="2:23" s="0" customFormat="0" ht="15">
      <c r="B1380" s="87" t="s">
        <v>1</v>
      </c>
      <c r="C1380" s="88" t="s">
        <v>5259</v>
      </c>
      <c r="D1380" s="88" t="s">
        <v>3977</v>
      </c>
      <c r="E1380" s="88" t="s">
        <v>61</v>
      </c>
      <c r="F1380" s="88">
        <v>0</v>
      </c>
      <c r="G1380" s="78">
        <f>MAX(H1380,I1380,J1380)</f>
        <v>0</v>
      </c>
      <c r="H1380" s="88"/>
      <c r="I1380" s="88"/>
      <c r="J1380" s="78">
        <f>MAX(K1380:Q1380)</f>
        <v>0</v>
      </c>
      <c r="K1380" s="88"/>
      <c r="L1380" s="88"/>
      <c r="M1380" s="88"/>
      <c r="N1380" s="88"/>
      <c r="O1380" s="88"/>
      <c r="P1380" s="88"/>
      <c r="Q1380" s="88"/>
      <c r="R1380" s="78">
        <f>MAX(S1380:W1380)</f>
        <v>1</v>
      </c>
      <c r="S1380" s="88"/>
      <c r="T1380" s="88"/>
      <c r="U1380" s="88">
        <v>1</v>
      </c>
      <c r="V1380" s="88"/>
      <c r="W1380" s="88"/>
    </row>
    <row r="1381" spans="2:23" s="0" customFormat="0" ht="15">
      <c r="B1381" s="87" t="s">
        <v>1</v>
      </c>
      <c r="C1381" s="88" t="s">
        <v>5259</v>
      </c>
      <c r="D1381" s="88">
        <v>22554398</v>
      </c>
      <c r="E1381" s="88" t="s">
        <v>61</v>
      </c>
      <c r="F1381" s="88">
        <v>0</v>
      </c>
      <c r="G1381" s="78">
        <f>MAX(H1381,I1381,J1381)</f>
        <v>0</v>
      </c>
      <c r="H1381" s="88"/>
      <c r="I1381" s="88"/>
      <c r="J1381" s="78">
        <f>MAX(K1381:Q1381)</f>
        <v>0</v>
      </c>
      <c r="K1381" s="88"/>
      <c r="L1381" s="88"/>
      <c r="M1381" s="88"/>
      <c r="N1381" s="88"/>
      <c r="O1381" s="88"/>
      <c r="P1381" s="88"/>
      <c r="Q1381" s="88"/>
      <c r="R1381" s="78">
        <f>MAX(S1381:W1381)</f>
        <v>1</v>
      </c>
      <c r="S1381" s="88"/>
      <c r="T1381" s="88"/>
      <c r="U1381" s="88">
        <v>1</v>
      </c>
      <c r="V1381" s="88"/>
      <c r="W1381" s="88"/>
    </row>
    <row r="1382" spans="2:23" s="0" customFormat="0" ht="15">
      <c r="B1382" s="87" t="s">
        <v>1</v>
      </c>
      <c r="C1382" s="88" t="s">
        <v>5259</v>
      </c>
      <c r="D1382" s="88" t="s">
        <v>3794</v>
      </c>
      <c r="E1382" s="88" t="s">
        <v>61</v>
      </c>
      <c r="F1382" s="88">
        <v>0</v>
      </c>
      <c r="G1382" s="78">
        <f>MAX(H1382,I1382,J1382)</f>
        <v>0</v>
      </c>
      <c r="H1382" s="88"/>
      <c r="I1382" s="88"/>
      <c r="J1382" s="78">
        <f>MAX(K1382:Q1382)</f>
        <v>0</v>
      </c>
      <c r="K1382" s="88"/>
      <c r="L1382" s="88"/>
      <c r="M1382" s="88"/>
      <c r="N1382" s="88"/>
      <c r="O1382" s="88"/>
      <c r="P1382" s="88"/>
      <c r="Q1382" s="88"/>
      <c r="R1382" s="78">
        <f>MAX(S1382:W1382)</f>
        <v>1</v>
      </c>
      <c r="S1382" s="88"/>
      <c r="T1382" s="88"/>
      <c r="U1382" s="88">
        <v>1</v>
      </c>
      <c r="V1382" s="88"/>
      <c r="W1382" s="88"/>
    </row>
    <row r="1383" spans="2:23" s="0" customFormat="0" ht="15">
      <c r="B1383" s="87" t="s">
        <v>1</v>
      </c>
      <c r="C1383" s="88" t="s">
        <v>5259</v>
      </c>
      <c r="D1383" s="88">
        <v>20231386</v>
      </c>
      <c r="E1383" s="88" t="s">
        <v>61</v>
      </c>
      <c r="F1383" s="88">
        <v>0</v>
      </c>
      <c r="G1383" s="78">
        <f>MAX(H1383,I1383,J1383)</f>
        <v>1</v>
      </c>
      <c r="H1383" s="88"/>
      <c r="I1383" s="88"/>
      <c r="J1383" s="78">
        <f>MAX(K1383:Q1383)</f>
        <v>1</v>
      </c>
      <c r="K1383" s="88">
        <v>1</v>
      </c>
      <c r="L1383" s="88"/>
      <c r="M1383" s="88"/>
      <c r="N1383" s="88"/>
      <c r="O1383" s="88"/>
      <c r="P1383" s="88"/>
      <c r="Q1383" s="88"/>
      <c r="R1383" s="78">
        <f>MAX(S1383:W1383)</f>
        <v>0</v>
      </c>
      <c r="S1383" s="88"/>
      <c r="T1383" s="88"/>
      <c r="U1383" s="88"/>
      <c r="V1383" s="88"/>
      <c r="W1383" s="88"/>
    </row>
    <row r="1384" spans="2:23" s="0" customFormat="0" ht="15">
      <c r="B1384" s="87" t="s">
        <v>1</v>
      </c>
      <c r="C1384" s="88" t="s">
        <v>5259</v>
      </c>
      <c r="D1384" s="88">
        <v>23298166</v>
      </c>
      <c r="E1384" s="88" t="s">
        <v>61</v>
      </c>
      <c r="F1384" s="88">
        <v>0</v>
      </c>
      <c r="G1384" s="78">
        <f>MAX(H1384,I1384,J1384)</f>
        <v>1</v>
      </c>
      <c r="H1384" s="88"/>
      <c r="I1384" s="88"/>
      <c r="J1384" s="78">
        <f>MAX(K1384:Q1384)</f>
        <v>1</v>
      </c>
      <c r="K1384" s="88">
        <v>1</v>
      </c>
      <c r="L1384" s="88"/>
      <c r="M1384" s="88"/>
      <c r="N1384" s="88"/>
      <c r="O1384" s="88"/>
      <c r="P1384" s="88"/>
      <c r="Q1384" s="88"/>
      <c r="R1384" s="78">
        <f>MAX(S1384:W1384)</f>
        <v>0</v>
      </c>
      <c r="S1384" s="88"/>
      <c r="T1384" s="88"/>
      <c r="U1384" s="88"/>
      <c r="V1384" s="88"/>
      <c r="W1384" s="88"/>
    </row>
    <row r="1385" spans="2:23" s="0" customFormat="0" ht="15">
      <c r="B1385" s="87" t="s">
        <v>1</v>
      </c>
      <c r="C1385" s="88" t="s">
        <v>5259</v>
      </c>
      <c r="D1385" s="88" t="s">
        <v>1147</v>
      </c>
      <c r="E1385" s="88" t="s">
        <v>61</v>
      </c>
      <c r="F1385" s="88">
        <v>0</v>
      </c>
      <c r="G1385" s="78">
        <f>MAX(H1385,I1385,J1385)</f>
        <v>1</v>
      </c>
      <c r="H1385" s="88"/>
      <c r="I1385" s="88"/>
      <c r="J1385" s="78">
        <f>MAX(K1385:Q1385)</f>
        <v>1</v>
      </c>
      <c r="K1385" s="88">
        <v>1</v>
      </c>
      <c r="L1385" s="88"/>
      <c r="M1385" s="88"/>
      <c r="N1385" s="88"/>
      <c r="O1385" s="88"/>
      <c r="P1385" s="88"/>
      <c r="Q1385" s="88"/>
      <c r="R1385" s="78">
        <f>MAX(S1385:W1385)</f>
        <v>0</v>
      </c>
      <c r="S1385" s="88"/>
      <c r="T1385" s="88"/>
      <c r="U1385" s="88"/>
      <c r="V1385" s="88"/>
      <c r="W1385" s="88"/>
    </row>
    <row r="1386" spans="2:23" s="0" customFormat="0" ht="15">
      <c r="B1386" s="87" t="s">
        <v>1</v>
      </c>
      <c r="C1386" s="88" t="s">
        <v>5259</v>
      </c>
      <c r="D1386" s="88">
        <v>7514613</v>
      </c>
      <c r="E1386" s="88" t="s">
        <v>61</v>
      </c>
      <c r="F1386" s="88">
        <v>0</v>
      </c>
      <c r="G1386" s="78">
        <f>MAX(H1386,I1386,J1386)</f>
        <v>1</v>
      </c>
      <c r="H1386" s="88"/>
      <c r="I1386" s="88"/>
      <c r="J1386" s="78">
        <f>MAX(K1386:Q1386)</f>
        <v>1</v>
      </c>
      <c r="K1386" s="88">
        <v>1</v>
      </c>
      <c r="L1386" s="88"/>
      <c r="M1386" s="88"/>
      <c r="N1386" s="88"/>
      <c r="O1386" s="88"/>
      <c r="P1386" s="88"/>
      <c r="Q1386" s="88"/>
      <c r="R1386" s="78">
        <f>MAX(S1386:W1386)</f>
        <v>0</v>
      </c>
      <c r="S1386" s="88"/>
      <c r="T1386" s="88"/>
      <c r="U1386" s="88"/>
      <c r="V1386" s="88"/>
      <c r="W1386" s="88"/>
    </row>
    <row r="1387" spans="2:23" s="0" customFormat="0" ht="15">
      <c r="B1387" s="87" t="s">
        <v>1</v>
      </c>
      <c r="C1387" s="88" t="s">
        <v>5259</v>
      </c>
      <c r="D1387" s="88">
        <v>11911985</v>
      </c>
      <c r="E1387" s="88" t="s">
        <v>61</v>
      </c>
      <c r="F1387" s="88">
        <v>0</v>
      </c>
      <c r="G1387" s="78">
        <f>MAX(H1387,I1387,J1387)</f>
        <v>1</v>
      </c>
      <c r="H1387" s="88"/>
      <c r="I1387" s="88"/>
      <c r="J1387" s="78">
        <f>MAX(K1387:Q1387)</f>
        <v>1</v>
      </c>
      <c r="K1387" s="88">
        <v>1</v>
      </c>
      <c r="L1387" s="88"/>
      <c r="M1387" s="88"/>
      <c r="N1387" s="88"/>
      <c r="O1387" s="88"/>
      <c r="P1387" s="88"/>
      <c r="Q1387" s="88"/>
      <c r="R1387" s="78">
        <f>MAX(S1387:W1387)</f>
        <v>0</v>
      </c>
      <c r="S1387" s="88"/>
      <c r="T1387" s="88"/>
      <c r="U1387" s="88"/>
      <c r="V1387" s="88"/>
      <c r="W1387" s="88"/>
    </row>
    <row r="1388" spans="2:23" s="0" customFormat="0" ht="15">
      <c r="B1388" s="87" t="s">
        <v>1</v>
      </c>
      <c r="C1388" s="88" t="s">
        <v>5259</v>
      </c>
      <c r="D1388" s="88">
        <v>20113248</v>
      </c>
      <c r="E1388" s="88" t="s">
        <v>61</v>
      </c>
      <c r="F1388" s="88">
        <v>0</v>
      </c>
      <c r="G1388" s="78">
        <f>MAX(H1388,I1388,J1388)</f>
        <v>0</v>
      </c>
      <c r="H1388" s="88"/>
      <c r="I1388" s="88"/>
      <c r="J1388" s="78">
        <f>MAX(K1388:Q1388)</f>
        <v>0</v>
      </c>
      <c r="K1388" s="88"/>
      <c r="L1388" s="88"/>
      <c r="M1388" s="88"/>
      <c r="N1388" s="88"/>
      <c r="O1388" s="88"/>
      <c r="P1388" s="88"/>
      <c r="Q1388" s="88"/>
      <c r="R1388" s="78">
        <f>MAX(S1388:W1388)</f>
        <v>1</v>
      </c>
      <c r="S1388" s="88"/>
      <c r="T1388" s="88"/>
      <c r="U1388" s="88">
        <v>1</v>
      </c>
      <c r="V1388" s="88"/>
      <c r="W1388" s="88"/>
    </row>
    <row r="1389" spans="2:23" s="0" customFormat="0" ht="15">
      <c r="B1389" s="87" t="s">
        <v>1</v>
      </c>
      <c r="C1389" s="88" t="s">
        <v>5259</v>
      </c>
      <c r="D1389" s="88" t="s">
        <v>250</v>
      </c>
      <c r="E1389" s="88" t="s">
        <v>61</v>
      </c>
      <c r="F1389" s="88">
        <v>0</v>
      </c>
      <c r="G1389" s="78">
        <f>MAX(H1389,I1389,J1389)</f>
        <v>1</v>
      </c>
      <c r="H1389" s="88"/>
      <c r="I1389" s="88"/>
      <c r="J1389" s="78">
        <f>MAX(K1389:Q1389)</f>
        <v>1</v>
      </c>
      <c r="K1389" s="88">
        <v>1</v>
      </c>
      <c r="L1389" s="88"/>
      <c r="M1389" s="88"/>
      <c r="N1389" s="88"/>
      <c r="O1389" s="88"/>
      <c r="P1389" s="88"/>
      <c r="Q1389" s="88"/>
      <c r="R1389" s="78">
        <f>MAX(S1389:W1389)</f>
        <v>0</v>
      </c>
      <c r="S1389" s="88"/>
      <c r="T1389" s="88"/>
      <c r="U1389" s="88"/>
      <c r="V1389" s="88"/>
      <c r="W1389" s="88"/>
    </row>
    <row r="1390" spans="2:23" s="0" customFormat="0" ht="15">
      <c r="B1390" s="87" t="s">
        <v>1</v>
      </c>
      <c r="C1390" s="88" t="s">
        <v>5259</v>
      </c>
      <c r="D1390" s="88">
        <v>24867329</v>
      </c>
      <c r="E1390" s="88" t="s">
        <v>61</v>
      </c>
      <c r="F1390" s="88">
        <v>0</v>
      </c>
      <c r="G1390" s="78">
        <f>MAX(H1390,I1390,J1390)</f>
        <v>1</v>
      </c>
      <c r="H1390" s="88"/>
      <c r="I1390" s="88"/>
      <c r="J1390" s="78">
        <f>MAX(K1390:Q1390)</f>
        <v>1</v>
      </c>
      <c r="K1390" s="88">
        <v>1</v>
      </c>
      <c r="L1390" s="88"/>
      <c r="M1390" s="88"/>
      <c r="N1390" s="88"/>
      <c r="O1390" s="88"/>
      <c r="P1390" s="88"/>
      <c r="Q1390" s="88"/>
      <c r="R1390" s="78">
        <f>MAX(S1390:W1390)</f>
        <v>0</v>
      </c>
      <c r="S1390" s="88"/>
      <c r="T1390" s="88"/>
      <c r="U1390" s="88"/>
      <c r="V1390" s="88"/>
      <c r="W1390" s="88"/>
    </row>
    <row r="1391" spans="2:23" s="0" customFormat="0" ht="15">
      <c r="B1391" s="87" t="s">
        <v>1</v>
      </c>
      <c r="C1391" s="88" t="s">
        <v>5259</v>
      </c>
      <c r="D1391" s="88">
        <v>16139755</v>
      </c>
      <c r="E1391" s="88" t="s">
        <v>61</v>
      </c>
      <c r="F1391" s="88">
        <v>0</v>
      </c>
      <c r="G1391" s="78">
        <f>MAX(H1391,I1391,J1391)</f>
        <v>1</v>
      </c>
      <c r="H1391" s="88"/>
      <c r="I1391" s="88"/>
      <c r="J1391" s="78">
        <f>MAX(K1391:Q1391)</f>
        <v>1</v>
      </c>
      <c r="K1391" s="88">
        <v>1</v>
      </c>
      <c r="L1391" s="88"/>
      <c r="M1391" s="88"/>
      <c r="N1391" s="88"/>
      <c r="O1391" s="88"/>
      <c r="P1391" s="88"/>
      <c r="Q1391" s="88"/>
      <c r="R1391" s="78">
        <f>MAX(S1391:W1391)</f>
        <v>0</v>
      </c>
      <c r="S1391" s="88"/>
      <c r="T1391" s="88"/>
      <c r="U1391" s="88"/>
      <c r="V1391" s="88"/>
      <c r="W1391" s="88"/>
    </row>
    <row r="1392" spans="2:23" s="0" customFormat="0" ht="15">
      <c r="B1392" s="87" t="s">
        <v>1</v>
      </c>
      <c r="C1392" s="88" t="s">
        <v>5259</v>
      </c>
      <c r="D1392" s="88">
        <v>21550423</v>
      </c>
      <c r="E1392" s="88" t="s">
        <v>61</v>
      </c>
      <c r="F1392" s="88">
        <v>0</v>
      </c>
      <c r="G1392" s="78">
        <f>MAX(H1392,I1392,J1392)</f>
        <v>1</v>
      </c>
      <c r="H1392" s="88"/>
      <c r="I1392" s="88"/>
      <c r="J1392" s="78">
        <f>MAX(K1392:Q1392)</f>
        <v>1</v>
      </c>
      <c r="K1392" s="88">
        <v>1</v>
      </c>
      <c r="L1392" s="88"/>
      <c r="M1392" s="88"/>
      <c r="N1392" s="88"/>
      <c r="O1392" s="88"/>
      <c r="P1392" s="88"/>
      <c r="Q1392" s="88"/>
      <c r="R1392" s="78">
        <f>MAX(S1392:W1392)</f>
        <v>0</v>
      </c>
      <c r="S1392" s="88"/>
      <c r="T1392" s="88"/>
      <c r="U1392" s="88"/>
      <c r="V1392" s="88"/>
      <c r="W1392" s="88"/>
    </row>
    <row r="1393" spans="2:23" s="0" customFormat="0" ht="15">
      <c r="B1393" s="87" t="s">
        <v>1</v>
      </c>
      <c r="C1393" s="88" t="s">
        <v>5259</v>
      </c>
      <c r="D1393" s="88" t="s">
        <v>1153</v>
      </c>
      <c r="E1393" s="88" t="s">
        <v>61</v>
      </c>
      <c r="F1393" s="88">
        <v>0</v>
      </c>
      <c r="G1393" s="78">
        <f>MAX(H1393,I1393,J1393)</f>
        <v>1</v>
      </c>
      <c r="H1393" s="88"/>
      <c r="I1393" s="88"/>
      <c r="J1393" s="78">
        <f>MAX(K1393:Q1393)</f>
        <v>1</v>
      </c>
      <c r="K1393" s="88">
        <v>1</v>
      </c>
      <c r="L1393" s="88"/>
      <c r="M1393" s="88"/>
      <c r="N1393" s="88"/>
      <c r="O1393" s="88"/>
      <c r="P1393" s="88"/>
      <c r="Q1393" s="88"/>
      <c r="R1393" s="78">
        <f>MAX(S1393:W1393)</f>
        <v>0</v>
      </c>
      <c r="S1393" s="88"/>
      <c r="T1393" s="88"/>
      <c r="U1393" s="88"/>
      <c r="V1393" s="88"/>
      <c r="W1393" s="88"/>
    </row>
    <row r="1394" spans="2:23" s="0" customFormat="0" ht="15">
      <c r="B1394" s="87" t="s">
        <v>1</v>
      </c>
      <c r="C1394" s="88" t="s">
        <v>5259</v>
      </c>
      <c r="D1394" s="88" t="s">
        <v>1155</v>
      </c>
      <c r="E1394" s="88" t="s">
        <v>61</v>
      </c>
      <c r="F1394" s="88">
        <v>0</v>
      </c>
      <c r="G1394" s="78">
        <f>MAX(H1394,I1394,J1394)</f>
        <v>1</v>
      </c>
      <c r="H1394" s="88"/>
      <c r="I1394" s="88"/>
      <c r="J1394" s="78">
        <f>MAX(K1394:Q1394)</f>
        <v>1</v>
      </c>
      <c r="K1394" s="88">
        <v>1</v>
      </c>
      <c r="L1394" s="88"/>
      <c r="M1394" s="88"/>
      <c r="N1394" s="88"/>
      <c r="O1394" s="88"/>
      <c r="P1394" s="88"/>
      <c r="Q1394" s="88"/>
      <c r="R1394" s="78">
        <f>MAX(S1394:W1394)</f>
        <v>0</v>
      </c>
      <c r="S1394" s="88"/>
      <c r="T1394" s="88"/>
      <c r="U1394" s="88"/>
      <c r="V1394" s="88"/>
      <c r="W1394" s="88"/>
    </row>
    <row r="1395" spans="2:23" s="0" customFormat="0" ht="15">
      <c r="B1395" s="87" t="s">
        <v>1</v>
      </c>
      <c r="C1395" s="88" t="s">
        <v>5259</v>
      </c>
      <c r="D1395" s="88" t="s">
        <v>1157</v>
      </c>
      <c r="E1395" s="88" t="s">
        <v>61</v>
      </c>
      <c r="F1395" s="88">
        <v>0</v>
      </c>
      <c r="G1395" s="78">
        <f>MAX(H1395,I1395,J1395)</f>
        <v>1</v>
      </c>
      <c r="H1395" s="88"/>
      <c r="I1395" s="88"/>
      <c r="J1395" s="78">
        <f>MAX(K1395:Q1395)</f>
        <v>1</v>
      </c>
      <c r="K1395" s="88">
        <v>1</v>
      </c>
      <c r="L1395" s="88"/>
      <c r="M1395" s="88"/>
      <c r="N1395" s="88"/>
      <c r="O1395" s="88"/>
      <c r="P1395" s="88"/>
      <c r="Q1395" s="88"/>
      <c r="R1395" s="78">
        <f>MAX(S1395:W1395)</f>
        <v>0</v>
      </c>
      <c r="S1395" s="88"/>
      <c r="T1395" s="88"/>
      <c r="U1395" s="88"/>
      <c r="V1395" s="88"/>
      <c r="W1395" s="88"/>
    </row>
    <row r="1396" spans="2:23" s="0" customFormat="0" ht="15">
      <c r="B1396" s="87" t="s">
        <v>1</v>
      </c>
      <c r="C1396" s="88" t="s">
        <v>5259</v>
      </c>
      <c r="D1396" s="88">
        <v>12512024</v>
      </c>
      <c r="E1396" s="88" t="s">
        <v>61</v>
      </c>
      <c r="F1396" s="88">
        <v>0</v>
      </c>
      <c r="G1396" s="78">
        <f>MAX(H1396,I1396,J1396)</f>
        <v>1</v>
      </c>
      <c r="H1396" s="88"/>
      <c r="I1396" s="88"/>
      <c r="J1396" s="78">
        <f>MAX(K1396:Q1396)</f>
        <v>1</v>
      </c>
      <c r="K1396" s="88">
        <v>1</v>
      </c>
      <c r="L1396" s="88"/>
      <c r="M1396" s="88"/>
      <c r="N1396" s="88"/>
      <c r="O1396" s="88"/>
      <c r="P1396" s="88"/>
      <c r="Q1396" s="88"/>
      <c r="R1396" s="78">
        <f>MAX(S1396:W1396)</f>
        <v>0</v>
      </c>
      <c r="S1396" s="88"/>
      <c r="T1396" s="88"/>
      <c r="U1396" s="88"/>
      <c r="V1396" s="88"/>
      <c r="W1396" s="88"/>
    </row>
    <row r="1397" spans="2:23" s="0" customFormat="0" ht="15">
      <c r="B1397" s="87" t="s">
        <v>1</v>
      </c>
      <c r="C1397" s="88" t="s">
        <v>5259</v>
      </c>
      <c r="D1397" s="88" t="s">
        <v>1160</v>
      </c>
      <c r="E1397" s="88" t="s">
        <v>61</v>
      </c>
      <c r="F1397" s="88">
        <v>0</v>
      </c>
      <c r="G1397" s="78">
        <f>MAX(H1397,I1397,J1397)</f>
        <v>1</v>
      </c>
      <c r="H1397" s="88"/>
      <c r="I1397" s="88"/>
      <c r="J1397" s="78">
        <f>MAX(K1397:Q1397)</f>
        <v>1</v>
      </c>
      <c r="K1397" s="88">
        <v>1</v>
      </c>
      <c r="L1397" s="88"/>
      <c r="M1397" s="88"/>
      <c r="N1397" s="88"/>
      <c r="O1397" s="88"/>
      <c r="P1397" s="88"/>
      <c r="Q1397" s="88"/>
      <c r="R1397" s="78">
        <f>MAX(S1397:W1397)</f>
        <v>0</v>
      </c>
      <c r="S1397" s="88"/>
      <c r="T1397" s="88"/>
      <c r="U1397" s="88"/>
      <c r="V1397" s="88"/>
      <c r="W1397" s="88"/>
    </row>
    <row r="1398" spans="2:23" s="0" customFormat="0" ht="15">
      <c r="B1398" s="87" t="s">
        <v>1</v>
      </c>
      <c r="C1398" s="88" t="s">
        <v>5259</v>
      </c>
      <c r="D1398" s="88">
        <v>18037285</v>
      </c>
      <c r="E1398" s="88" t="s">
        <v>61</v>
      </c>
      <c r="F1398" s="88">
        <v>0</v>
      </c>
      <c r="G1398" s="78">
        <f>MAX(H1398,I1398,J1398)</f>
        <v>0</v>
      </c>
      <c r="H1398" s="88"/>
      <c r="I1398" s="88"/>
      <c r="J1398" s="78">
        <f>MAX(K1398:Q1398)</f>
        <v>0</v>
      </c>
      <c r="K1398" s="88"/>
      <c r="L1398" s="88"/>
      <c r="M1398" s="88"/>
      <c r="N1398" s="88"/>
      <c r="O1398" s="88"/>
      <c r="P1398" s="88"/>
      <c r="Q1398" s="88"/>
      <c r="R1398" s="78">
        <f>MAX(S1398:W1398)</f>
        <v>1</v>
      </c>
      <c r="S1398" s="88"/>
      <c r="T1398" s="88"/>
      <c r="U1398" s="88">
        <v>1</v>
      </c>
      <c r="V1398" s="88"/>
      <c r="W1398" s="88"/>
    </row>
    <row r="1399" spans="2:23" s="0" customFormat="0" ht="15">
      <c r="B1399" s="87" t="s">
        <v>1</v>
      </c>
      <c r="C1399" s="88" t="s">
        <v>5259</v>
      </c>
      <c r="D1399" s="88">
        <v>15869428</v>
      </c>
      <c r="E1399" s="88" t="s">
        <v>61</v>
      </c>
      <c r="F1399" s="88">
        <v>0</v>
      </c>
      <c r="G1399" s="78">
        <f>MAX(H1399,I1399,J1399)</f>
        <v>1</v>
      </c>
      <c r="H1399" s="88"/>
      <c r="I1399" s="88"/>
      <c r="J1399" s="78">
        <f>MAX(K1399:Q1399)</f>
        <v>1</v>
      </c>
      <c r="K1399" s="88">
        <v>1</v>
      </c>
      <c r="L1399" s="88"/>
      <c r="M1399" s="88"/>
      <c r="N1399" s="88"/>
      <c r="O1399" s="88"/>
      <c r="P1399" s="88"/>
      <c r="Q1399" s="88"/>
      <c r="R1399" s="78">
        <f>MAX(S1399:W1399)</f>
        <v>0</v>
      </c>
      <c r="S1399" s="88"/>
      <c r="T1399" s="88"/>
      <c r="U1399" s="88"/>
      <c r="V1399" s="88"/>
      <c r="W1399" s="88"/>
    </row>
    <row r="1400" spans="2:23" s="0" customFormat="0" ht="15">
      <c r="B1400" s="87" t="s">
        <v>1</v>
      </c>
      <c r="C1400" s="88" t="s">
        <v>5259</v>
      </c>
      <c r="D1400" s="88" t="s">
        <v>3982</v>
      </c>
      <c r="E1400" s="88" t="s">
        <v>61</v>
      </c>
      <c r="F1400" s="88">
        <v>0</v>
      </c>
      <c r="G1400" s="78">
        <f>MAX(H1400,I1400,J1400)</f>
        <v>0</v>
      </c>
      <c r="H1400" s="88"/>
      <c r="I1400" s="88"/>
      <c r="J1400" s="78">
        <f>MAX(K1400:Q1400)</f>
        <v>0</v>
      </c>
      <c r="K1400" s="88"/>
      <c r="L1400" s="88"/>
      <c r="M1400" s="88"/>
      <c r="N1400" s="88"/>
      <c r="O1400" s="88"/>
      <c r="P1400" s="88"/>
      <c r="Q1400" s="88"/>
      <c r="R1400" s="78">
        <f>MAX(S1400:W1400)</f>
        <v>1</v>
      </c>
      <c r="S1400" s="88"/>
      <c r="T1400" s="88"/>
      <c r="U1400" s="88">
        <v>1</v>
      </c>
      <c r="V1400" s="88"/>
      <c r="W1400" s="88"/>
    </row>
    <row r="1401" spans="2:23" s="0" customFormat="0" ht="15">
      <c r="B1401" s="87" t="s">
        <v>1</v>
      </c>
      <c r="C1401" s="88" t="s">
        <v>5259</v>
      </c>
      <c r="D1401" s="88" t="s">
        <v>1162</v>
      </c>
      <c r="E1401" s="88" t="s">
        <v>61</v>
      </c>
      <c r="F1401" s="88">
        <v>0</v>
      </c>
      <c r="G1401" s="78">
        <f>MAX(H1401,I1401,J1401)</f>
        <v>1</v>
      </c>
      <c r="H1401" s="88"/>
      <c r="I1401" s="88"/>
      <c r="J1401" s="78">
        <f>MAX(K1401:Q1401)</f>
        <v>1</v>
      </c>
      <c r="K1401" s="88">
        <v>1</v>
      </c>
      <c r="L1401" s="88"/>
      <c r="M1401" s="88"/>
      <c r="N1401" s="88"/>
      <c r="O1401" s="88"/>
      <c r="P1401" s="88"/>
      <c r="Q1401" s="88"/>
      <c r="R1401" s="78">
        <f>MAX(S1401:W1401)</f>
        <v>0</v>
      </c>
      <c r="S1401" s="88"/>
      <c r="T1401" s="88"/>
      <c r="U1401" s="88"/>
      <c r="V1401" s="88"/>
      <c r="W1401" s="88"/>
    </row>
    <row r="1402" spans="2:23" s="0" customFormat="0" ht="15">
      <c r="B1402" s="87" t="s">
        <v>1</v>
      </c>
      <c r="C1402" s="88" t="s">
        <v>5259</v>
      </c>
      <c r="D1402" s="88">
        <v>10318069</v>
      </c>
      <c r="E1402" s="88" t="s">
        <v>61</v>
      </c>
      <c r="F1402" s="88">
        <v>0</v>
      </c>
      <c r="G1402" s="78">
        <f>MAX(H1402,I1402,J1402)</f>
        <v>1</v>
      </c>
      <c r="H1402" s="88"/>
      <c r="I1402" s="88"/>
      <c r="J1402" s="78">
        <f>MAX(K1402:Q1402)</f>
        <v>1</v>
      </c>
      <c r="K1402" s="88">
        <v>1</v>
      </c>
      <c r="L1402" s="88"/>
      <c r="M1402" s="88"/>
      <c r="N1402" s="88"/>
      <c r="O1402" s="88"/>
      <c r="P1402" s="88"/>
      <c r="Q1402" s="88"/>
      <c r="R1402" s="78">
        <f>MAX(S1402:W1402)</f>
        <v>0</v>
      </c>
      <c r="S1402" s="88"/>
      <c r="T1402" s="88"/>
      <c r="U1402" s="88"/>
      <c r="V1402" s="88"/>
      <c r="W1402" s="88"/>
    </row>
    <row r="1403" spans="2:23" s="0" customFormat="0" ht="15">
      <c r="B1403" s="87" t="s">
        <v>1</v>
      </c>
      <c r="C1403" s="88" t="s">
        <v>5259</v>
      </c>
      <c r="D1403" s="88" t="s">
        <v>3075</v>
      </c>
      <c r="E1403" s="88" t="s">
        <v>61</v>
      </c>
      <c r="F1403" s="88">
        <v>0</v>
      </c>
      <c r="G1403" s="78">
        <f>MAX(H1403,I1403,J1403)</f>
        <v>1</v>
      </c>
      <c r="H1403" s="88"/>
      <c r="I1403" s="88"/>
      <c r="J1403" s="78">
        <f>MAX(K1403:Q1403)</f>
        <v>1</v>
      </c>
      <c r="K1403" s="88"/>
      <c r="L1403" s="88"/>
      <c r="M1403" s="88">
        <v>1</v>
      </c>
      <c r="N1403" s="88"/>
      <c r="O1403" s="88"/>
      <c r="P1403" s="88"/>
      <c r="Q1403" s="88"/>
      <c r="R1403" s="78">
        <f>MAX(S1403:W1403)</f>
        <v>0</v>
      </c>
      <c r="S1403" s="88"/>
      <c r="T1403" s="88"/>
      <c r="U1403" s="88"/>
      <c r="V1403" s="88"/>
      <c r="W1403" s="88"/>
    </row>
    <row r="1404" spans="2:23" s="0" customFormat="0" ht="15">
      <c r="B1404" s="87" t="s">
        <v>1</v>
      </c>
      <c r="C1404" s="88" t="s">
        <v>5259</v>
      </c>
      <c r="D1404" s="88" t="s">
        <v>3984</v>
      </c>
      <c r="E1404" s="88" t="s">
        <v>61</v>
      </c>
      <c r="F1404" s="88">
        <v>0</v>
      </c>
      <c r="G1404" s="78">
        <f>MAX(H1404,I1404,J1404)</f>
        <v>0</v>
      </c>
      <c r="H1404" s="88"/>
      <c r="I1404" s="88"/>
      <c r="J1404" s="78">
        <f>MAX(K1404:Q1404)</f>
        <v>0</v>
      </c>
      <c r="K1404" s="88"/>
      <c r="L1404" s="88"/>
      <c r="M1404" s="88"/>
      <c r="N1404" s="88"/>
      <c r="O1404" s="88"/>
      <c r="P1404" s="88"/>
      <c r="Q1404" s="88"/>
      <c r="R1404" s="78">
        <f>MAX(S1404:W1404)</f>
        <v>1</v>
      </c>
      <c r="S1404" s="88"/>
      <c r="T1404" s="88"/>
      <c r="U1404" s="88">
        <v>1</v>
      </c>
      <c r="V1404" s="88"/>
      <c r="W1404" s="88"/>
    </row>
    <row r="1405" spans="2:23" s="0" customFormat="0" ht="15">
      <c r="B1405" s="87" t="s">
        <v>1</v>
      </c>
      <c r="C1405" s="88" t="s">
        <v>5259</v>
      </c>
      <c r="D1405" s="88">
        <v>21817247</v>
      </c>
      <c r="E1405" s="88" t="s">
        <v>61</v>
      </c>
      <c r="F1405" s="88">
        <v>0</v>
      </c>
      <c r="G1405" s="78">
        <f>MAX(H1405,I1405,J1405)</f>
        <v>1</v>
      </c>
      <c r="H1405" s="88"/>
      <c r="I1405" s="88"/>
      <c r="J1405" s="78">
        <f>MAX(K1405:Q1405)</f>
        <v>1</v>
      </c>
      <c r="K1405" s="88">
        <v>1</v>
      </c>
      <c r="L1405" s="88"/>
      <c r="M1405" s="88"/>
      <c r="N1405" s="88"/>
      <c r="O1405" s="88"/>
      <c r="P1405" s="88"/>
      <c r="Q1405" s="88"/>
      <c r="R1405" s="78">
        <f>MAX(S1405:W1405)</f>
        <v>0</v>
      </c>
      <c r="S1405" s="88"/>
      <c r="T1405" s="88"/>
      <c r="U1405" s="88"/>
      <c r="V1405" s="88"/>
      <c r="W1405" s="88"/>
    </row>
    <row r="1406" spans="2:23" s="0" customFormat="0" ht="15">
      <c r="B1406" s="87" t="s">
        <v>1</v>
      </c>
      <c r="C1406" s="88" t="s">
        <v>5259</v>
      </c>
      <c r="D1406" s="88">
        <v>7936200</v>
      </c>
      <c r="E1406" s="88" t="s">
        <v>61</v>
      </c>
      <c r="F1406" s="88">
        <v>0</v>
      </c>
      <c r="G1406" s="78">
        <f>MAX(H1406,I1406,J1406)</f>
        <v>1</v>
      </c>
      <c r="H1406" s="88"/>
      <c r="I1406" s="88"/>
      <c r="J1406" s="78">
        <f>MAX(K1406:Q1406)</f>
        <v>1</v>
      </c>
      <c r="K1406" s="88">
        <v>1</v>
      </c>
      <c r="L1406" s="88"/>
      <c r="M1406" s="88"/>
      <c r="N1406" s="88"/>
      <c r="O1406" s="88"/>
      <c r="P1406" s="88"/>
      <c r="Q1406" s="88"/>
      <c r="R1406" s="78">
        <f>MAX(S1406:W1406)</f>
        <v>0</v>
      </c>
      <c r="S1406" s="88"/>
      <c r="T1406" s="88"/>
      <c r="U1406" s="88"/>
      <c r="V1406" s="88"/>
      <c r="W1406" s="88"/>
    </row>
    <row r="1407" spans="2:23" s="0" customFormat="0" ht="15">
      <c r="B1407" s="87" t="s">
        <v>1</v>
      </c>
      <c r="C1407" s="88" t="s">
        <v>5259</v>
      </c>
      <c r="D1407" s="88">
        <v>24735912</v>
      </c>
      <c r="E1407" s="88" t="s">
        <v>61</v>
      </c>
      <c r="F1407" s="88">
        <v>0</v>
      </c>
      <c r="G1407" s="78">
        <f>MAX(H1407,I1407,J1407)</f>
        <v>1</v>
      </c>
      <c r="H1407" s="88"/>
      <c r="I1407" s="88"/>
      <c r="J1407" s="78">
        <f>MAX(K1407:Q1407)</f>
        <v>1</v>
      </c>
      <c r="K1407" s="88">
        <v>1</v>
      </c>
      <c r="L1407" s="88"/>
      <c r="M1407" s="88"/>
      <c r="N1407" s="88"/>
      <c r="O1407" s="88"/>
      <c r="P1407" s="88"/>
      <c r="Q1407" s="88"/>
      <c r="R1407" s="78">
        <f>MAX(S1407:W1407)</f>
        <v>0</v>
      </c>
      <c r="S1407" s="88"/>
      <c r="T1407" s="88"/>
      <c r="U1407" s="88"/>
      <c r="V1407" s="88"/>
      <c r="W1407" s="88"/>
    </row>
    <row r="1408" spans="2:23" s="0" customFormat="0" ht="15">
      <c r="B1408" s="87" t="s">
        <v>1</v>
      </c>
      <c r="C1408" s="88" t="s">
        <v>5259</v>
      </c>
      <c r="D1408" s="88">
        <v>19240912</v>
      </c>
      <c r="E1408" s="88" t="s">
        <v>61</v>
      </c>
      <c r="F1408" s="88">
        <v>0</v>
      </c>
      <c r="G1408" s="78">
        <f>MAX(H1408,I1408,J1408)</f>
        <v>1</v>
      </c>
      <c r="H1408" s="88"/>
      <c r="I1408" s="88"/>
      <c r="J1408" s="78">
        <f>MAX(K1408:Q1408)</f>
        <v>1</v>
      </c>
      <c r="K1408" s="88">
        <v>1</v>
      </c>
      <c r="L1408" s="88"/>
      <c r="M1408" s="88"/>
      <c r="N1408" s="88"/>
      <c r="O1408" s="88"/>
      <c r="P1408" s="88"/>
      <c r="Q1408" s="88"/>
      <c r="R1408" s="78">
        <f>MAX(S1408:W1408)</f>
        <v>0</v>
      </c>
      <c r="S1408" s="88"/>
      <c r="T1408" s="88"/>
      <c r="U1408" s="88"/>
      <c r="V1408" s="88"/>
      <c r="W1408" s="88"/>
    </row>
    <row r="1409" spans="2:23" s="0" customFormat="0" ht="15">
      <c r="B1409" s="87" t="s">
        <v>1</v>
      </c>
      <c r="C1409" s="88" t="s">
        <v>5259</v>
      </c>
      <c r="D1409" s="88" t="s">
        <v>938</v>
      </c>
      <c r="E1409" s="88" t="s">
        <v>61</v>
      </c>
      <c r="F1409" s="88">
        <v>0</v>
      </c>
      <c r="G1409" s="78">
        <f>MAX(H1409,I1409,J1409)</f>
        <v>1</v>
      </c>
      <c r="H1409" s="88"/>
      <c r="I1409" s="88"/>
      <c r="J1409" s="78">
        <f>MAX(K1409:Q1409)</f>
        <v>1</v>
      </c>
      <c r="K1409" s="88">
        <v>1</v>
      </c>
      <c r="L1409" s="88"/>
      <c r="M1409" s="88"/>
      <c r="N1409" s="88"/>
      <c r="O1409" s="88"/>
      <c r="P1409" s="88"/>
      <c r="Q1409" s="88"/>
      <c r="R1409" s="78">
        <f>MAX(S1409:W1409)</f>
        <v>0</v>
      </c>
      <c r="S1409" s="88"/>
      <c r="T1409" s="88"/>
      <c r="U1409" s="88"/>
      <c r="V1409" s="88"/>
      <c r="W1409" s="88"/>
    </row>
    <row r="1410" spans="2:23" s="0" customFormat="0" ht="15">
      <c r="B1410" s="87" t="s">
        <v>1</v>
      </c>
      <c r="C1410" s="88" t="s">
        <v>5259</v>
      </c>
      <c r="D1410" s="88">
        <v>8606912</v>
      </c>
      <c r="E1410" s="88" t="s">
        <v>61</v>
      </c>
      <c r="F1410" s="88">
        <v>0</v>
      </c>
      <c r="G1410" s="78">
        <f>MAX(H1410,I1410,J1410)</f>
        <v>1</v>
      </c>
      <c r="H1410" s="88"/>
      <c r="I1410" s="88"/>
      <c r="J1410" s="78">
        <f>MAX(K1410:Q1410)</f>
        <v>1</v>
      </c>
      <c r="K1410" s="88">
        <v>1</v>
      </c>
      <c r="L1410" s="88"/>
      <c r="M1410" s="88"/>
      <c r="N1410" s="88"/>
      <c r="O1410" s="88"/>
      <c r="P1410" s="88"/>
      <c r="Q1410" s="88"/>
      <c r="R1410" s="78">
        <f>MAX(S1410:W1410)</f>
        <v>0</v>
      </c>
      <c r="S1410" s="88"/>
      <c r="T1410" s="88"/>
      <c r="U1410" s="88"/>
      <c r="V1410" s="88"/>
      <c r="W1410" s="88"/>
    </row>
    <row r="1411" spans="2:23" s="0" customFormat="0" ht="15">
      <c r="B1411" s="87" t="s">
        <v>1</v>
      </c>
      <c r="C1411" s="88" t="s">
        <v>5259</v>
      </c>
      <c r="D1411" s="88">
        <v>17782763</v>
      </c>
      <c r="E1411" s="88" t="s">
        <v>61</v>
      </c>
      <c r="F1411" s="88">
        <v>0</v>
      </c>
      <c r="G1411" s="78">
        <f>MAX(H1411,I1411,J1411)</f>
        <v>1</v>
      </c>
      <c r="H1411" s="88"/>
      <c r="I1411" s="88"/>
      <c r="J1411" s="78">
        <f>MAX(K1411:Q1411)</f>
        <v>1</v>
      </c>
      <c r="K1411" s="88">
        <v>1</v>
      </c>
      <c r="L1411" s="88"/>
      <c r="M1411" s="88"/>
      <c r="N1411" s="88"/>
      <c r="O1411" s="88"/>
      <c r="P1411" s="88"/>
      <c r="Q1411" s="88"/>
      <c r="R1411" s="78">
        <f>MAX(S1411:W1411)</f>
        <v>0</v>
      </c>
      <c r="S1411" s="88"/>
      <c r="T1411" s="88"/>
      <c r="U1411" s="88"/>
      <c r="V1411" s="88"/>
      <c r="W1411" s="88"/>
    </row>
    <row r="1412" spans="2:23" s="0" customFormat="0" ht="15">
      <c r="B1412" s="87" t="s">
        <v>1</v>
      </c>
      <c r="C1412" s="88" t="s">
        <v>5259</v>
      </c>
      <c r="D1412" s="88">
        <v>24324810</v>
      </c>
      <c r="E1412" s="88" t="s">
        <v>61</v>
      </c>
      <c r="F1412" s="88">
        <v>0</v>
      </c>
      <c r="G1412" s="78">
        <f>MAX(H1412,I1412,J1412)</f>
        <v>1</v>
      </c>
      <c r="H1412" s="88"/>
      <c r="I1412" s="88"/>
      <c r="J1412" s="78">
        <f>MAX(K1412:Q1412)</f>
        <v>1</v>
      </c>
      <c r="K1412" s="88">
        <v>1</v>
      </c>
      <c r="L1412" s="88"/>
      <c r="M1412" s="88"/>
      <c r="N1412" s="88"/>
      <c r="O1412" s="88"/>
      <c r="P1412" s="88"/>
      <c r="Q1412" s="88"/>
      <c r="R1412" s="78">
        <f>MAX(S1412:W1412)</f>
        <v>0</v>
      </c>
      <c r="S1412" s="88"/>
      <c r="T1412" s="88"/>
      <c r="U1412" s="88"/>
      <c r="V1412" s="88"/>
      <c r="W1412" s="88"/>
    </row>
    <row r="1413" spans="2:23" s="0" customFormat="0" ht="15">
      <c r="B1413" s="87" t="s">
        <v>1</v>
      </c>
      <c r="C1413" s="88" t="s">
        <v>5259</v>
      </c>
      <c r="D1413" s="88">
        <v>18676480</v>
      </c>
      <c r="E1413" s="88" t="s">
        <v>61</v>
      </c>
      <c r="F1413" s="88">
        <v>0</v>
      </c>
      <c r="G1413" s="78">
        <f>MAX(H1413,I1413,J1413)</f>
        <v>1</v>
      </c>
      <c r="H1413" s="88"/>
      <c r="I1413" s="88"/>
      <c r="J1413" s="78">
        <f>MAX(K1413:Q1413)</f>
        <v>1</v>
      </c>
      <c r="K1413" s="88">
        <v>1</v>
      </c>
      <c r="L1413" s="88"/>
      <c r="M1413" s="88"/>
      <c r="N1413" s="88"/>
      <c r="O1413" s="88"/>
      <c r="P1413" s="88"/>
      <c r="Q1413" s="88"/>
      <c r="R1413" s="78">
        <f>MAX(S1413:W1413)</f>
        <v>0</v>
      </c>
      <c r="S1413" s="88"/>
      <c r="T1413" s="88"/>
      <c r="U1413" s="88"/>
      <c r="V1413" s="88"/>
      <c r="W1413" s="88"/>
    </row>
    <row r="1414" spans="2:23" s="0" customFormat="0" ht="15">
      <c r="B1414" s="87" t="s">
        <v>1</v>
      </c>
      <c r="C1414" s="88" t="s">
        <v>5259</v>
      </c>
      <c r="D1414" s="88" t="s">
        <v>1171</v>
      </c>
      <c r="E1414" s="88" t="s">
        <v>61</v>
      </c>
      <c r="F1414" s="88">
        <v>0</v>
      </c>
      <c r="G1414" s="78">
        <f>MAX(H1414,I1414,J1414)</f>
        <v>1</v>
      </c>
      <c r="H1414" s="88"/>
      <c r="I1414" s="88"/>
      <c r="J1414" s="78">
        <f>MAX(K1414:Q1414)</f>
        <v>1</v>
      </c>
      <c r="K1414" s="88">
        <v>1</v>
      </c>
      <c r="L1414" s="88"/>
      <c r="M1414" s="88"/>
      <c r="N1414" s="88"/>
      <c r="O1414" s="88"/>
      <c r="P1414" s="88"/>
      <c r="Q1414" s="88"/>
      <c r="R1414" s="78">
        <f>MAX(S1414:W1414)</f>
        <v>0</v>
      </c>
      <c r="S1414" s="88"/>
      <c r="T1414" s="88"/>
      <c r="U1414" s="88"/>
      <c r="V1414" s="88"/>
      <c r="W1414" s="88"/>
    </row>
    <row r="1415" spans="2:23" s="0" customFormat="0" ht="15">
      <c r="B1415" s="87" t="s">
        <v>1</v>
      </c>
      <c r="C1415" s="88" t="s">
        <v>5259</v>
      </c>
      <c r="D1415" s="88" t="s">
        <v>1173</v>
      </c>
      <c r="E1415" s="88" t="s">
        <v>61</v>
      </c>
      <c r="F1415" s="88">
        <v>0</v>
      </c>
      <c r="G1415" s="78">
        <f>MAX(H1415,I1415,J1415)</f>
        <v>1</v>
      </c>
      <c r="H1415" s="88"/>
      <c r="I1415" s="88"/>
      <c r="J1415" s="78">
        <f>MAX(K1415:Q1415)</f>
        <v>1</v>
      </c>
      <c r="K1415" s="88">
        <v>1</v>
      </c>
      <c r="L1415" s="88"/>
      <c r="M1415" s="88"/>
      <c r="N1415" s="88"/>
      <c r="O1415" s="88"/>
      <c r="P1415" s="88"/>
      <c r="Q1415" s="88"/>
      <c r="R1415" s="78">
        <f>MAX(S1415:W1415)</f>
        <v>0</v>
      </c>
      <c r="S1415" s="88"/>
      <c r="T1415" s="88"/>
      <c r="U1415" s="88"/>
      <c r="V1415" s="88"/>
      <c r="W1415" s="88"/>
    </row>
    <row r="1416" spans="2:23" s="0" customFormat="0" ht="15">
      <c r="B1416" s="87" t="s">
        <v>1</v>
      </c>
      <c r="C1416" s="88" t="s">
        <v>5259</v>
      </c>
      <c r="D1416" s="88" t="s">
        <v>3222</v>
      </c>
      <c r="E1416" s="88" t="s">
        <v>61</v>
      </c>
      <c r="F1416" s="88">
        <v>0</v>
      </c>
      <c r="G1416" s="78">
        <f>MAX(H1416,I1416,J1416)</f>
        <v>0</v>
      </c>
      <c r="H1416" s="88"/>
      <c r="I1416" s="88"/>
      <c r="J1416" s="78">
        <f>MAX(K1416:Q1416)</f>
        <v>0</v>
      </c>
      <c r="K1416" s="88"/>
      <c r="L1416" s="88"/>
      <c r="M1416" s="88"/>
      <c r="N1416" s="88"/>
      <c r="O1416" s="88"/>
      <c r="P1416" s="88"/>
      <c r="Q1416" s="88"/>
      <c r="R1416" s="78">
        <f>MAX(S1416:W1416)</f>
        <v>1</v>
      </c>
      <c r="S1416" s="88"/>
      <c r="T1416" s="88"/>
      <c r="U1416" s="88"/>
      <c r="V1416" s="88">
        <v>1</v>
      </c>
      <c r="W1416" s="88"/>
    </row>
    <row r="1417" spans="2:23" s="0" customFormat="0" ht="15">
      <c r="B1417" s="87" t="s">
        <v>1</v>
      </c>
      <c r="C1417" s="88" t="s">
        <v>5259</v>
      </c>
      <c r="D1417" s="88">
        <v>17616141</v>
      </c>
      <c r="E1417" s="88" t="s">
        <v>61</v>
      </c>
      <c r="F1417" s="88">
        <v>0</v>
      </c>
      <c r="G1417" s="78">
        <f>MAX(H1417,I1417,J1417)</f>
        <v>1</v>
      </c>
      <c r="H1417" s="88"/>
      <c r="I1417" s="88"/>
      <c r="J1417" s="78">
        <f>MAX(K1417:Q1417)</f>
        <v>1</v>
      </c>
      <c r="K1417" s="88">
        <v>1</v>
      </c>
      <c r="L1417" s="88"/>
      <c r="M1417" s="88"/>
      <c r="N1417" s="88"/>
      <c r="O1417" s="88"/>
      <c r="P1417" s="88"/>
      <c r="Q1417" s="88"/>
      <c r="R1417" s="78">
        <f>MAX(S1417:W1417)</f>
        <v>0</v>
      </c>
      <c r="S1417" s="88"/>
      <c r="T1417" s="88"/>
      <c r="U1417" s="88"/>
      <c r="V1417" s="88"/>
      <c r="W1417" s="88"/>
    </row>
    <row r="1418" spans="2:23" s="0" customFormat="0" ht="15">
      <c r="B1418" s="87" t="s">
        <v>1</v>
      </c>
      <c r="C1418" s="88" t="s">
        <v>5259</v>
      </c>
      <c r="D1418" s="88">
        <v>14504602</v>
      </c>
      <c r="E1418" s="88" t="s">
        <v>61</v>
      </c>
      <c r="F1418" s="88">
        <v>0</v>
      </c>
      <c r="G1418" s="78">
        <f>MAX(H1418,I1418,J1418)</f>
        <v>1</v>
      </c>
      <c r="H1418" s="88"/>
      <c r="I1418" s="88"/>
      <c r="J1418" s="78">
        <f>MAX(K1418:Q1418)</f>
        <v>1</v>
      </c>
      <c r="K1418" s="88">
        <v>1</v>
      </c>
      <c r="L1418" s="88"/>
      <c r="M1418" s="88"/>
      <c r="N1418" s="88"/>
      <c r="O1418" s="88"/>
      <c r="P1418" s="88"/>
      <c r="Q1418" s="88"/>
      <c r="R1418" s="78">
        <f>MAX(S1418:W1418)</f>
        <v>0</v>
      </c>
      <c r="S1418" s="88"/>
      <c r="T1418" s="88"/>
      <c r="U1418" s="88"/>
      <c r="V1418" s="88"/>
      <c r="W1418" s="88"/>
    </row>
    <row r="1419" spans="2:23" s="0" customFormat="0" ht="15">
      <c r="B1419" s="87" t="s">
        <v>1</v>
      </c>
      <c r="C1419" s="88" t="s">
        <v>5259</v>
      </c>
      <c r="D1419" s="88" t="s">
        <v>3986</v>
      </c>
      <c r="E1419" s="88" t="s">
        <v>61</v>
      </c>
      <c r="F1419" s="88">
        <v>0</v>
      </c>
      <c r="G1419" s="78">
        <f>MAX(H1419,I1419,J1419)</f>
        <v>0</v>
      </c>
      <c r="H1419" s="88"/>
      <c r="I1419" s="88"/>
      <c r="J1419" s="78">
        <f>MAX(K1419:Q1419)</f>
        <v>0</v>
      </c>
      <c r="K1419" s="88"/>
      <c r="L1419" s="88"/>
      <c r="M1419" s="88"/>
      <c r="N1419" s="88"/>
      <c r="O1419" s="88"/>
      <c r="P1419" s="88"/>
      <c r="Q1419" s="88"/>
      <c r="R1419" s="78">
        <f>MAX(S1419:W1419)</f>
        <v>1</v>
      </c>
      <c r="S1419" s="88"/>
      <c r="T1419" s="88"/>
      <c r="U1419" s="88">
        <v>1</v>
      </c>
      <c r="V1419" s="88"/>
      <c r="W1419" s="88"/>
    </row>
    <row r="1420" spans="2:23" s="0" customFormat="0" ht="15">
      <c r="B1420" s="87" t="s">
        <v>1</v>
      </c>
      <c r="C1420" s="88" t="s">
        <v>5259</v>
      </c>
      <c r="D1420" s="88">
        <v>18762283</v>
      </c>
      <c r="E1420" s="88" t="s">
        <v>61</v>
      </c>
      <c r="F1420" s="88">
        <v>0</v>
      </c>
      <c r="G1420" s="78">
        <f>MAX(H1420,I1420,J1420)</f>
        <v>1</v>
      </c>
      <c r="H1420" s="88"/>
      <c r="I1420" s="88"/>
      <c r="J1420" s="78">
        <f>MAX(K1420:Q1420)</f>
        <v>1</v>
      </c>
      <c r="K1420" s="88">
        <v>1</v>
      </c>
      <c r="L1420" s="88"/>
      <c r="M1420" s="88"/>
      <c r="N1420" s="88"/>
      <c r="O1420" s="88"/>
      <c r="P1420" s="88"/>
      <c r="Q1420" s="88"/>
      <c r="R1420" s="78">
        <f>MAX(S1420:W1420)</f>
        <v>0</v>
      </c>
      <c r="S1420" s="88"/>
      <c r="T1420" s="88"/>
      <c r="U1420" s="88"/>
      <c r="V1420" s="88"/>
      <c r="W1420" s="88"/>
    </row>
    <row r="1421" spans="2:23" s="0" customFormat="0" ht="15">
      <c r="B1421" s="87" t="s">
        <v>1</v>
      </c>
      <c r="C1421" s="88" t="s">
        <v>5259</v>
      </c>
      <c r="D1421" s="88">
        <v>17849964</v>
      </c>
      <c r="E1421" s="88" t="s">
        <v>61</v>
      </c>
      <c r="F1421" s="88">
        <v>0</v>
      </c>
      <c r="G1421" s="78">
        <f>MAX(H1421,I1421,J1421)</f>
        <v>0</v>
      </c>
      <c r="H1421" s="88"/>
      <c r="I1421" s="88"/>
      <c r="J1421" s="78">
        <f>MAX(K1421:Q1421)</f>
        <v>0</v>
      </c>
      <c r="K1421" s="88"/>
      <c r="L1421" s="88"/>
      <c r="M1421" s="88"/>
      <c r="N1421" s="88"/>
      <c r="O1421" s="88"/>
      <c r="P1421" s="88"/>
      <c r="Q1421" s="88"/>
      <c r="R1421" s="78">
        <f>MAX(S1421:W1421)</f>
        <v>1</v>
      </c>
      <c r="S1421" s="88"/>
      <c r="T1421" s="88"/>
      <c r="U1421" s="88">
        <v>1</v>
      </c>
      <c r="V1421" s="88"/>
      <c r="W1421" s="88"/>
    </row>
    <row r="1422" spans="2:23" s="0" customFormat="0" ht="15">
      <c r="B1422" s="87" t="s">
        <v>1</v>
      </c>
      <c r="C1422" s="88" t="s">
        <v>5259</v>
      </c>
      <c r="D1422" s="88">
        <v>15645627</v>
      </c>
      <c r="E1422" s="88" t="s">
        <v>61</v>
      </c>
      <c r="F1422" s="88">
        <v>0</v>
      </c>
      <c r="G1422" s="78">
        <f>MAX(H1422,I1422,J1422)</f>
        <v>1</v>
      </c>
      <c r="H1422" s="88"/>
      <c r="I1422" s="88"/>
      <c r="J1422" s="78">
        <f>MAX(K1422:Q1422)</f>
        <v>1</v>
      </c>
      <c r="K1422" s="88">
        <v>1</v>
      </c>
      <c r="L1422" s="88"/>
      <c r="M1422" s="88"/>
      <c r="N1422" s="88"/>
      <c r="O1422" s="88"/>
      <c r="P1422" s="88"/>
      <c r="Q1422" s="88"/>
      <c r="R1422" s="78">
        <f>MAX(S1422:W1422)</f>
        <v>0</v>
      </c>
      <c r="S1422" s="88"/>
      <c r="T1422" s="88"/>
      <c r="U1422" s="88"/>
      <c r="V1422" s="88"/>
      <c r="W1422" s="88"/>
    </row>
    <row r="1423" spans="2:23" s="0" customFormat="0" ht="15">
      <c r="B1423" s="87" t="s">
        <v>1</v>
      </c>
      <c r="C1423" s="88" t="s">
        <v>5259</v>
      </c>
      <c r="D1423" s="88" t="s">
        <v>1179</v>
      </c>
      <c r="E1423" s="88" t="s">
        <v>61</v>
      </c>
      <c r="F1423" s="88">
        <v>0</v>
      </c>
      <c r="G1423" s="78">
        <f>MAX(H1423,I1423,J1423)</f>
        <v>1</v>
      </c>
      <c r="H1423" s="88"/>
      <c r="I1423" s="88"/>
      <c r="J1423" s="78">
        <f>MAX(K1423:Q1423)</f>
        <v>1</v>
      </c>
      <c r="K1423" s="88">
        <v>1</v>
      </c>
      <c r="L1423" s="88"/>
      <c r="M1423" s="88"/>
      <c r="N1423" s="88"/>
      <c r="O1423" s="88"/>
      <c r="P1423" s="88"/>
      <c r="Q1423" s="88"/>
      <c r="R1423" s="78">
        <f>MAX(S1423:W1423)</f>
        <v>0</v>
      </c>
      <c r="S1423" s="88"/>
      <c r="T1423" s="88"/>
      <c r="U1423" s="88"/>
      <c r="V1423" s="88"/>
      <c r="W1423" s="88"/>
    </row>
    <row r="1424" spans="2:23" s="0" customFormat="0" ht="15">
      <c r="B1424" s="87" t="s">
        <v>1</v>
      </c>
      <c r="C1424" s="88" t="s">
        <v>5259</v>
      </c>
      <c r="D1424" s="88" t="s">
        <v>1181</v>
      </c>
      <c r="E1424" s="88" t="s">
        <v>61</v>
      </c>
      <c r="F1424" s="88">
        <v>0</v>
      </c>
      <c r="G1424" s="78">
        <f>MAX(H1424,I1424,J1424)</f>
        <v>1</v>
      </c>
      <c r="H1424" s="88"/>
      <c r="I1424" s="88"/>
      <c r="J1424" s="78">
        <f>MAX(K1424:Q1424)</f>
        <v>1</v>
      </c>
      <c r="K1424" s="88">
        <v>1</v>
      </c>
      <c r="L1424" s="88"/>
      <c r="M1424" s="88"/>
      <c r="N1424" s="88"/>
      <c r="O1424" s="88"/>
      <c r="P1424" s="88"/>
      <c r="Q1424" s="88"/>
      <c r="R1424" s="78">
        <f>MAX(S1424:W1424)</f>
        <v>0</v>
      </c>
      <c r="S1424" s="88"/>
      <c r="T1424" s="88"/>
      <c r="U1424" s="88"/>
      <c r="V1424" s="88"/>
      <c r="W1424" s="88"/>
    </row>
    <row r="1425" spans="2:23" s="0" customFormat="0" ht="15">
      <c r="B1425" s="87" t="s">
        <v>1</v>
      </c>
      <c r="C1425" s="88" t="s">
        <v>5259</v>
      </c>
      <c r="D1425" s="88">
        <v>25216638</v>
      </c>
      <c r="E1425" s="88" t="s">
        <v>61</v>
      </c>
      <c r="F1425" s="88">
        <v>0</v>
      </c>
      <c r="G1425" s="78">
        <f>MAX(H1425,I1425,J1425)</f>
        <v>1</v>
      </c>
      <c r="H1425" s="88"/>
      <c r="I1425" s="88"/>
      <c r="J1425" s="78">
        <f>MAX(K1425:Q1425)</f>
        <v>1</v>
      </c>
      <c r="K1425" s="88">
        <v>1</v>
      </c>
      <c r="L1425" s="88"/>
      <c r="M1425" s="88"/>
      <c r="N1425" s="88"/>
      <c r="O1425" s="88"/>
      <c r="P1425" s="88"/>
      <c r="Q1425" s="88"/>
      <c r="R1425" s="78">
        <f>MAX(S1425:W1425)</f>
        <v>0</v>
      </c>
      <c r="S1425" s="88"/>
      <c r="T1425" s="88"/>
      <c r="U1425" s="88"/>
      <c r="V1425" s="88"/>
      <c r="W1425" s="88"/>
    </row>
    <row r="1426" spans="2:23" s="0" customFormat="0" ht="15">
      <c r="B1426" s="87" t="s">
        <v>1</v>
      </c>
      <c r="C1426" s="88" t="s">
        <v>5259</v>
      </c>
      <c r="D1426" s="88">
        <v>12994210</v>
      </c>
      <c r="E1426" s="88" t="s">
        <v>61</v>
      </c>
      <c r="F1426" s="88">
        <v>0</v>
      </c>
      <c r="G1426" s="78">
        <f>MAX(H1426,I1426,J1426)</f>
        <v>0</v>
      </c>
      <c r="H1426" s="88"/>
      <c r="I1426" s="88"/>
      <c r="J1426" s="78">
        <f>MAX(K1426:Q1426)</f>
        <v>0</v>
      </c>
      <c r="K1426" s="88"/>
      <c r="L1426" s="88"/>
      <c r="M1426" s="88"/>
      <c r="N1426" s="88"/>
      <c r="O1426" s="88"/>
      <c r="P1426" s="88"/>
      <c r="Q1426" s="88"/>
      <c r="R1426" s="78">
        <f>MAX(S1426:W1426)</f>
        <v>1</v>
      </c>
      <c r="S1426" s="88"/>
      <c r="T1426" s="88"/>
      <c r="U1426" s="88">
        <v>1</v>
      </c>
      <c r="V1426" s="88"/>
      <c r="W1426" s="88"/>
    </row>
    <row r="1427" spans="2:23" s="0" customFormat="0" ht="15">
      <c r="B1427" s="87" t="s">
        <v>1</v>
      </c>
      <c r="C1427" s="88" t="s">
        <v>5259</v>
      </c>
      <c r="D1427" s="88" t="s">
        <v>3989</v>
      </c>
      <c r="E1427" s="88" t="s">
        <v>61</v>
      </c>
      <c r="F1427" s="88">
        <v>0</v>
      </c>
      <c r="G1427" s="78">
        <f>MAX(H1427,I1427,J1427)</f>
        <v>0</v>
      </c>
      <c r="H1427" s="88"/>
      <c r="I1427" s="88"/>
      <c r="J1427" s="78">
        <f>MAX(K1427:Q1427)</f>
        <v>0</v>
      </c>
      <c r="K1427" s="88"/>
      <c r="L1427" s="88"/>
      <c r="M1427" s="88"/>
      <c r="N1427" s="88"/>
      <c r="O1427" s="88"/>
      <c r="P1427" s="88"/>
      <c r="Q1427" s="88"/>
      <c r="R1427" s="78">
        <f>MAX(S1427:W1427)</f>
        <v>1</v>
      </c>
      <c r="S1427" s="88"/>
      <c r="T1427" s="88"/>
      <c r="U1427" s="88">
        <v>1</v>
      </c>
      <c r="V1427" s="88"/>
      <c r="W1427" s="88"/>
    </row>
    <row r="1428" spans="2:23" s="0" customFormat="0" ht="15">
      <c r="B1428" s="87" t="s">
        <v>1</v>
      </c>
      <c r="C1428" s="88" t="s">
        <v>5259</v>
      </c>
      <c r="D1428" s="88">
        <v>21736822</v>
      </c>
      <c r="E1428" s="88" t="s">
        <v>61</v>
      </c>
      <c r="F1428" s="88">
        <v>0</v>
      </c>
      <c r="G1428" s="78">
        <f>MAX(H1428,I1428,J1428)</f>
        <v>1</v>
      </c>
      <c r="H1428" s="88"/>
      <c r="I1428" s="88"/>
      <c r="J1428" s="78">
        <f>MAX(K1428:Q1428)</f>
        <v>1</v>
      </c>
      <c r="K1428" s="88">
        <v>1</v>
      </c>
      <c r="L1428" s="88"/>
      <c r="M1428" s="88"/>
      <c r="N1428" s="88"/>
      <c r="O1428" s="88"/>
      <c r="P1428" s="88"/>
      <c r="Q1428" s="88"/>
      <c r="R1428" s="78">
        <f>MAX(S1428:W1428)</f>
        <v>0</v>
      </c>
      <c r="S1428" s="88"/>
      <c r="T1428" s="88"/>
      <c r="U1428" s="88"/>
      <c r="V1428" s="88"/>
      <c r="W1428" s="88"/>
    </row>
    <row r="1429" spans="2:23" s="0" customFormat="0" ht="15">
      <c r="B1429" s="87" t="s">
        <v>1</v>
      </c>
      <c r="C1429" s="88" t="s">
        <v>5259</v>
      </c>
      <c r="D1429" s="88">
        <v>15217220</v>
      </c>
      <c r="E1429" s="88" t="s">
        <v>61</v>
      </c>
      <c r="F1429" s="88">
        <v>0</v>
      </c>
      <c r="G1429" s="78">
        <f>MAX(H1429,I1429,J1429)</f>
        <v>1</v>
      </c>
      <c r="H1429" s="88"/>
      <c r="I1429" s="88"/>
      <c r="J1429" s="78">
        <f>MAX(K1429:Q1429)</f>
        <v>1</v>
      </c>
      <c r="K1429" s="88">
        <v>1</v>
      </c>
      <c r="L1429" s="88"/>
      <c r="M1429" s="88"/>
      <c r="N1429" s="88"/>
      <c r="O1429" s="88"/>
      <c r="P1429" s="88"/>
      <c r="Q1429" s="88"/>
      <c r="R1429" s="78">
        <f>MAX(S1429:W1429)</f>
        <v>0</v>
      </c>
      <c r="S1429" s="88"/>
      <c r="T1429" s="88"/>
      <c r="U1429" s="88"/>
      <c r="V1429" s="88"/>
      <c r="W1429" s="88"/>
    </row>
    <row r="1430" spans="2:23" s="0" customFormat="0" ht="15">
      <c r="B1430" s="87" t="s">
        <v>1</v>
      </c>
      <c r="C1430" s="88" t="s">
        <v>5259</v>
      </c>
      <c r="D1430" s="88">
        <v>23545374</v>
      </c>
      <c r="E1430" s="88" t="s">
        <v>61</v>
      </c>
      <c r="F1430" s="88">
        <v>0</v>
      </c>
      <c r="G1430" s="78">
        <f>MAX(H1430,I1430,J1430)</f>
        <v>1</v>
      </c>
      <c r="H1430" s="88"/>
      <c r="I1430" s="88"/>
      <c r="J1430" s="78">
        <f>MAX(K1430:Q1430)</f>
        <v>1</v>
      </c>
      <c r="K1430" s="88">
        <v>1</v>
      </c>
      <c r="L1430" s="88"/>
      <c r="M1430" s="88"/>
      <c r="N1430" s="88"/>
      <c r="O1430" s="88"/>
      <c r="P1430" s="88"/>
      <c r="Q1430" s="88"/>
      <c r="R1430" s="78">
        <f>MAX(S1430:W1430)</f>
        <v>0</v>
      </c>
      <c r="S1430" s="88"/>
      <c r="T1430" s="88"/>
      <c r="U1430" s="88"/>
      <c r="V1430" s="88"/>
      <c r="W1430" s="88"/>
    </row>
    <row r="1431" spans="2:23" s="0" customFormat="0" ht="15">
      <c r="B1431" s="87" t="s">
        <v>1</v>
      </c>
      <c r="C1431" s="88" t="s">
        <v>5259</v>
      </c>
      <c r="D1431" s="88">
        <v>260991</v>
      </c>
      <c r="E1431" s="88" t="s">
        <v>61</v>
      </c>
      <c r="F1431" s="88">
        <v>0</v>
      </c>
      <c r="G1431" s="78">
        <f>MAX(H1431,I1431,J1431)</f>
        <v>1</v>
      </c>
      <c r="H1431" s="88"/>
      <c r="I1431" s="88"/>
      <c r="J1431" s="78">
        <f>MAX(K1431:Q1431)</f>
        <v>1</v>
      </c>
      <c r="K1431" s="88">
        <v>1</v>
      </c>
      <c r="L1431" s="88"/>
      <c r="M1431" s="88"/>
      <c r="N1431" s="88"/>
      <c r="O1431" s="88"/>
      <c r="P1431" s="88"/>
      <c r="Q1431" s="88"/>
      <c r="R1431" s="78">
        <f>MAX(S1431:W1431)</f>
        <v>0</v>
      </c>
      <c r="S1431" s="88"/>
      <c r="T1431" s="88"/>
      <c r="U1431" s="88"/>
      <c r="V1431" s="88"/>
      <c r="W1431" s="88"/>
    </row>
    <row r="1432" spans="2:23" s="0" customFormat="0" ht="15">
      <c r="B1432" s="87" t="s">
        <v>1</v>
      </c>
      <c r="C1432" s="88" t="s">
        <v>5259</v>
      </c>
      <c r="D1432" s="88">
        <v>20993775</v>
      </c>
      <c r="E1432" s="88" t="s">
        <v>61</v>
      </c>
      <c r="F1432" s="88">
        <v>0</v>
      </c>
      <c r="G1432" s="78">
        <f>MAX(H1432,I1432,J1432)</f>
        <v>1</v>
      </c>
      <c r="H1432" s="88"/>
      <c r="I1432" s="88"/>
      <c r="J1432" s="78">
        <f>MAX(K1432:Q1432)</f>
        <v>1</v>
      </c>
      <c r="K1432" s="88">
        <v>1</v>
      </c>
      <c r="L1432" s="88"/>
      <c r="M1432" s="88"/>
      <c r="N1432" s="88"/>
      <c r="O1432" s="88"/>
      <c r="P1432" s="88"/>
      <c r="Q1432" s="88"/>
      <c r="R1432" s="78">
        <f>MAX(S1432:W1432)</f>
        <v>0</v>
      </c>
      <c r="S1432" s="88"/>
      <c r="T1432" s="88"/>
      <c r="U1432" s="88"/>
      <c r="V1432" s="88"/>
      <c r="W1432" s="88"/>
    </row>
    <row r="1433" spans="2:23" s="0" customFormat="0" ht="15">
      <c r="B1433" s="87" t="s">
        <v>1</v>
      </c>
      <c r="C1433" s="88" t="s">
        <v>5259</v>
      </c>
      <c r="D1433" s="88" t="s">
        <v>619</v>
      </c>
      <c r="E1433" s="88" t="s">
        <v>61</v>
      </c>
      <c r="F1433" s="88">
        <v>0</v>
      </c>
      <c r="G1433" s="78">
        <f>MAX(H1433,I1433,J1433)</f>
        <v>1</v>
      </c>
      <c r="H1433" s="88"/>
      <c r="I1433" s="88"/>
      <c r="J1433" s="78">
        <f>MAX(K1433:Q1433)</f>
        <v>1</v>
      </c>
      <c r="K1433" s="88">
        <v>1</v>
      </c>
      <c r="L1433" s="88"/>
      <c r="M1433" s="88"/>
      <c r="N1433" s="88"/>
      <c r="O1433" s="88"/>
      <c r="P1433" s="88"/>
      <c r="Q1433" s="88"/>
      <c r="R1433" s="78">
        <f>MAX(S1433:W1433)</f>
        <v>0</v>
      </c>
      <c r="S1433" s="88"/>
      <c r="T1433" s="88"/>
      <c r="U1433" s="88"/>
      <c r="V1433" s="88"/>
      <c r="W1433" s="88"/>
    </row>
    <row r="1434" spans="2:23" s="0" customFormat="0" ht="15">
      <c r="B1434" s="87" t="s">
        <v>1</v>
      </c>
      <c r="C1434" s="88" t="s">
        <v>5259</v>
      </c>
      <c r="D1434" s="88" t="s">
        <v>1188</v>
      </c>
      <c r="E1434" s="88" t="s">
        <v>61</v>
      </c>
      <c r="F1434" s="88">
        <v>0</v>
      </c>
      <c r="G1434" s="78">
        <f>MAX(H1434,I1434,J1434)</f>
        <v>1</v>
      </c>
      <c r="H1434" s="88"/>
      <c r="I1434" s="88"/>
      <c r="J1434" s="78">
        <f>MAX(K1434:Q1434)</f>
        <v>1</v>
      </c>
      <c r="K1434" s="88">
        <v>1</v>
      </c>
      <c r="L1434" s="88"/>
      <c r="M1434" s="88"/>
      <c r="N1434" s="88"/>
      <c r="O1434" s="88"/>
      <c r="P1434" s="88"/>
      <c r="Q1434" s="88"/>
      <c r="R1434" s="78">
        <f>MAX(S1434:W1434)</f>
        <v>0</v>
      </c>
      <c r="S1434" s="88"/>
      <c r="T1434" s="88"/>
      <c r="U1434" s="88"/>
      <c r="V1434" s="88"/>
      <c r="W1434" s="88"/>
    </row>
    <row r="1435" spans="2:23" s="0" customFormat="0" ht="15">
      <c r="B1435" s="87" t="s">
        <v>1</v>
      </c>
      <c r="C1435" s="88" t="s">
        <v>5259</v>
      </c>
      <c r="D1435" s="88">
        <v>15774249</v>
      </c>
      <c r="E1435" s="88" t="s">
        <v>61</v>
      </c>
      <c r="F1435" s="88">
        <v>0</v>
      </c>
      <c r="G1435" s="78">
        <f>MAX(H1435,I1435,J1435)</f>
        <v>1</v>
      </c>
      <c r="H1435" s="88"/>
      <c r="I1435" s="88"/>
      <c r="J1435" s="78">
        <f>MAX(K1435:Q1435)</f>
        <v>1</v>
      </c>
      <c r="K1435" s="88">
        <v>1</v>
      </c>
      <c r="L1435" s="88"/>
      <c r="M1435" s="88"/>
      <c r="N1435" s="88"/>
      <c r="O1435" s="88"/>
      <c r="P1435" s="88"/>
      <c r="Q1435" s="88"/>
      <c r="R1435" s="78">
        <f>MAX(S1435:W1435)</f>
        <v>0</v>
      </c>
      <c r="S1435" s="88"/>
      <c r="T1435" s="88"/>
      <c r="U1435" s="88"/>
      <c r="V1435" s="88"/>
      <c r="W1435" s="88"/>
    </row>
    <row r="1436" spans="2:23" s="0" customFormat="0" ht="15">
      <c r="B1436" s="87" t="s">
        <v>1</v>
      </c>
      <c r="C1436" s="88" t="s">
        <v>5259</v>
      </c>
      <c r="D1436" s="88">
        <v>778660</v>
      </c>
      <c r="E1436" s="88" t="s">
        <v>61</v>
      </c>
      <c r="F1436" s="88">
        <v>0</v>
      </c>
      <c r="G1436" s="78">
        <f>MAX(H1436,I1436,J1436)</f>
        <v>0</v>
      </c>
      <c r="H1436" s="88"/>
      <c r="I1436" s="88"/>
      <c r="J1436" s="78">
        <f>MAX(K1436:Q1436)</f>
        <v>0</v>
      </c>
      <c r="K1436" s="88"/>
      <c r="L1436" s="88"/>
      <c r="M1436" s="88"/>
      <c r="N1436" s="88"/>
      <c r="O1436" s="88"/>
      <c r="P1436" s="88"/>
      <c r="Q1436" s="88"/>
      <c r="R1436" s="78">
        <f>MAX(S1436:W1436)</f>
        <v>1</v>
      </c>
      <c r="S1436" s="88"/>
      <c r="T1436" s="88"/>
      <c r="U1436" s="88">
        <v>1</v>
      </c>
      <c r="V1436" s="88"/>
      <c r="W1436" s="88"/>
    </row>
    <row r="1437" spans="2:23" s="0" customFormat="0" ht="15">
      <c r="B1437" s="87" t="s">
        <v>1</v>
      </c>
      <c r="C1437" s="88" t="s">
        <v>5259</v>
      </c>
      <c r="D1437" s="88">
        <v>22466874</v>
      </c>
      <c r="E1437" s="88" t="s">
        <v>61</v>
      </c>
      <c r="F1437" s="88">
        <v>0</v>
      </c>
      <c r="G1437" s="78">
        <f>MAX(H1437,I1437,J1437)</f>
        <v>1</v>
      </c>
      <c r="H1437" s="88"/>
      <c r="I1437" s="88"/>
      <c r="J1437" s="78">
        <f>MAX(K1437:Q1437)</f>
        <v>1</v>
      </c>
      <c r="K1437" s="88">
        <v>1</v>
      </c>
      <c r="L1437" s="88"/>
      <c r="M1437" s="88"/>
      <c r="N1437" s="88"/>
      <c r="O1437" s="88"/>
      <c r="P1437" s="88"/>
      <c r="Q1437" s="88"/>
      <c r="R1437" s="78">
        <f>MAX(S1437:W1437)</f>
        <v>0</v>
      </c>
      <c r="S1437" s="88"/>
      <c r="T1437" s="88"/>
      <c r="U1437" s="88"/>
      <c r="V1437" s="88"/>
      <c r="W1437" s="88"/>
    </row>
    <row r="1438" spans="2:23" s="0" customFormat="0" ht="15">
      <c r="B1438" s="87" t="s">
        <v>1</v>
      </c>
      <c r="C1438" s="88" t="s">
        <v>5259</v>
      </c>
      <c r="D1438" s="88">
        <v>17621838</v>
      </c>
      <c r="E1438" s="88" t="s">
        <v>61</v>
      </c>
      <c r="F1438" s="88">
        <v>0</v>
      </c>
      <c r="G1438" s="78">
        <f>MAX(H1438,I1438,J1438)</f>
        <v>1</v>
      </c>
      <c r="H1438" s="88"/>
      <c r="I1438" s="88"/>
      <c r="J1438" s="78">
        <f>MAX(K1438:Q1438)</f>
        <v>1</v>
      </c>
      <c r="K1438" s="88">
        <v>1</v>
      </c>
      <c r="L1438" s="88"/>
      <c r="M1438" s="88"/>
      <c r="N1438" s="88"/>
      <c r="O1438" s="88"/>
      <c r="P1438" s="88"/>
      <c r="Q1438" s="88"/>
      <c r="R1438" s="78">
        <f>MAX(S1438:W1438)</f>
        <v>0</v>
      </c>
      <c r="S1438" s="88"/>
      <c r="T1438" s="88"/>
      <c r="U1438" s="88"/>
      <c r="V1438" s="88"/>
      <c r="W1438" s="88"/>
    </row>
    <row r="1439" spans="2:23" s="0" customFormat="0" ht="15">
      <c r="B1439" s="87" t="s">
        <v>1</v>
      </c>
      <c r="C1439" s="88" t="s">
        <v>5259</v>
      </c>
      <c r="D1439" s="88">
        <v>22214086</v>
      </c>
      <c r="E1439" s="88" t="s">
        <v>61</v>
      </c>
      <c r="F1439" s="88">
        <v>0</v>
      </c>
      <c r="G1439" s="78">
        <f>MAX(H1439,I1439,J1439)</f>
        <v>1</v>
      </c>
      <c r="H1439" s="88"/>
      <c r="I1439" s="88"/>
      <c r="J1439" s="78">
        <f>MAX(K1439:Q1439)</f>
        <v>1</v>
      </c>
      <c r="K1439" s="88">
        <v>1</v>
      </c>
      <c r="L1439" s="88"/>
      <c r="M1439" s="88"/>
      <c r="N1439" s="88"/>
      <c r="O1439" s="88"/>
      <c r="P1439" s="88"/>
      <c r="Q1439" s="88"/>
      <c r="R1439" s="78">
        <f>MAX(S1439:W1439)</f>
        <v>0</v>
      </c>
      <c r="S1439" s="88"/>
      <c r="T1439" s="88"/>
      <c r="U1439" s="88"/>
      <c r="V1439" s="88"/>
      <c r="W1439" s="88"/>
    </row>
    <row r="1440" spans="2:23" s="0" customFormat="0" ht="15">
      <c r="B1440" s="87" t="s">
        <v>1</v>
      </c>
      <c r="C1440" s="88" t="s">
        <v>5259</v>
      </c>
      <c r="D1440" s="88">
        <v>14731422</v>
      </c>
      <c r="E1440" s="88" t="s">
        <v>61</v>
      </c>
      <c r="F1440" s="88">
        <v>0</v>
      </c>
      <c r="G1440" s="78">
        <f>MAX(H1440,I1440,J1440)</f>
        <v>1</v>
      </c>
      <c r="H1440" s="88"/>
      <c r="I1440" s="88"/>
      <c r="J1440" s="78">
        <f>MAX(K1440:Q1440)</f>
        <v>1</v>
      </c>
      <c r="K1440" s="88">
        <v>1</v>
      </c>
      <c r="L1440" s="88"/>
      <c r="M1440" s="88"/>
      <c r="N1440" s="88"/>
      <c r="O1440" s="88"/>
      <c r="P1440" s="88"/>
      <c r="Q1440" s="88"/>
      <c r="R1440" s="78">
        <f>MAX(S1440:W1440)</f>
        <v>0</v>
      </c>
      <c r="S1440" s="88"/>
      <c r="T1440" s="88"/>
      <c r="U1440" s="88"/>
      <c r="V1440" s="88"/>
      <c r="W1440" s="88"/>
    </row>
    <row r="1441" spans="2:23" s="0" customFormat="0" ht="15">
      <c r="B1441" s="87" t="s">
        <v>1</v>
      </c>
      <c r="C1441" s="88" t="s">
        <v>5259</v>
      </c>
      <c r="D1441" s="88">
        <v>23469260</v>
      </c>
      <c r="E1441" s="88" t="s">
        <v>61</v>
      </c>
      <c r="F1441" s="88">
        <v>0</v>
      </c>
      <c r="G1441" s="78">
        <f>MAX(H1441,I1441,J1441)</f>
        <v>1</v>
      </c>
      <c r="H1441" s="88"/>
      <c r="I1441" s="88"/>
      <c r="J1441" s="78">
        <f>MAX(K1441:Q1441)</f>
        <v>1</v>
      </c>
      <c r="K1441" s="88">
        <v>1</v>
      </c>
      <c r="L1441" s="88"/>
      <c r="M1441" s="88"/>
      <c r="N1441" s="88"/>
      <c r="O1441" s="88"/>
      <c r="P1441" s="88"/>
      <c r="Q1441" s="88"/>
      <c r="R1441" s="78">
        <f>MAX(S1441:W1441)</f>
        <v>0</v>
      </c>
      <c r="S1441" s="88"/>
      <c r="T1441" s="88"/>
      <c r="U1441" s="88"/>
      <c r="V1441" s="88"/>
      <c r="W1441" s="88"/>
    </row>
    <row r="1442" spans="2:23" s="0" customFormat="0" ht="15">
      <c r="B1442" s="87" t="s">
        <v>1</v>
      </c>
      <c r="C1442" s="88" t="s">
        <v>5259</v>
      </c>
      <c r="D1442" s="88">
        <v>12339029</v>
      </c>
      <c r="E1442" s="88" t="s">
        <v>61</v>
      </c>
      <c r="F1442" s="88">
        <v>0</v>
      </c>
      <c r="G1442" s="78">
        <f>MAX(H1442,I1442,J1442)</f>
        <v>1</v>
      </c>
      <c r="H1442" s="88"/>
      <c r="I1442" s="88"/>
      <c r="J1442" s="78">
        <f>MAX(K1442:Q1442)</f>
        <v>1</v>
      </c>
      <c r="K1442" s="88">
        <v>1</v>
      </c>
      <c r="L1442" s="88"/>
      <c r="M1442" s="88"/>
      <c r="N1442" s="88"/>
      <c r="O1442" s="88"/>
      <c r="P1442" s="88"/>
      <c r="Q1442" s="88"/>
      <c r="R1442" s="78">
        <f>MAX(S1442:W1442)</f>
        <v>0</v>
      </c>
      <c r="S1442" s="88"/>
      <c r="T1442" s="88"/>
      <c r="U1442" s="88"/>
      <c r="V1442" s="88"/>
      <c r="W1442" s="88"/>
    </row>
    <row r="1443" spans="2:23" s="0" customFormat="0" ht="15">
      <c r="B1443" s="87" t="s">
        <v>1</v>
      </c>
      <c r="C1443" s="88" t="s">
        <v>5259</v>
      </c>
      <c r="D1443" s="88">
        <v>20612943</v>
      </c>
      <c r="E1443" s="88" t="s">
        <v>61</v>
      </c>
      <c r="F1443" s="88">
        <v>0</v>
      </c>
      <c r="G1443" s="78">
        <f>MAX(H1443,I1443,J1443)</f>
        <v>1</v>
      </c>
      <c r="H1443" s="88"/>
      <c r="I1443" s="88"/>
      <c r="J1443" s="78">
        <f>MAX(K1443:Q1443)</f>
        <v>1</v>
      </c>
      <c r="K1443" s="88">
        <v>1</v>
      </c>
      <c r="L1443" s="88"/>
      <c r="M1443" s="88"/>
      <c r="N1443" s="88"/>
      <c r="O1443" s="88"/>
      <c r="P1443" s="88"/>
      <c r="Q1443" s="88"/>
      <c r="R1443" s="78">
        <f>MAX(S1443:W1443)</f>
        <v>0</v>
      </c>
      <c r="S1443" s="88"/>
      <c r="T1443" s="88"/>
      <c r="U1443" s="88"/>
      <c r="V1443" s="88"/>
      <c r="W1443" s="88"/>
    </row>
    <row r="1444" spans="2:23" s="0" customFormat="0" ht="15">
      <c r="B1444" s="87" t="s">
        <v>1</v>
      </c>
      <c r="C1444" s="88" t="s">
        <v>5259</v>
      </c>
      <c r="D1444" s="88">
        <v>7379418</v>
      </c>
      <c r="E1444" s="88" t="s">
        <v>61</v>
      </c>
      <c r="F1444" s="88">
        <v>0</v>
      </c>
      <c r="G1444" s="78">
        <f>MAX(H1444,I1444,J1444)</f>
        <v>1</v>
      </c>
      <c r="H1444" s="88"/>
      <c r="I1444" s="88"/>
      <c r="J1444" s="78">
        <f>MAX(K1444:Q1444)</f>
        <v>1</v>
      </c>
      <c r="K1444" s="88">
        <v>1</v>
      </c>
      <c r="L1444" s="88"/>
      <c r="M1444" s="88"/>
      <c r="N1444" s="88"/>
      <c r="O1444" s="88"/>
      <c r="P1444" s="88"/>
      <c r="Q1444" s="88"/>
      <c r="R1444" s="78">
        <f>MAX(S1444:W1444)</f>
        <v>0</v>
      </c>
      <c r="S1444" s="88"/>
      <c r="T1444" s="88"/>
      <c r="U1444" s="88"/>
      <c r="V1444" s="88"/>
      <c r="W1444" s="88"/>
    </row>
    <row r="1445" spans="2:23" s="0" customFormat="0" ht="15">
      <c r="B1445" s="87" t="s">
        <v>1</v>
      </c>
      <c r="C1445" s="88" t="s">
        <v>5259</v>
      </c>
      <c r="D1445" s="88">
        <v>11984772</v>
      </c>
      <c r="E1445" s="88" t="s">
        <v>61</v>
      </c>
      <c r="F1445" s="88">
        <v>0</v>
      </c>
      <c r="G1445" s="78">
        <f>MAX(H1445,I1445,J1445)</f>
        <v>1</v>
      </c>
      <c r="H1445" s="88"/>
      <c r="I1445" s="88"/>
      <c r="J1445" s="78">
        <f>MAX(K1445:Q1445)</f>
        <v>1</v>
      </c>
      <c r="K1445" s="88">
        <v>1</v>
      </c>
      <c r="L1445" s="88"/>
      <c r="M1445" s="88"/>
      <c r="N1445" s="88"/>
      <c r="O1445" s="88"/>
      <c r="P1445" s="88"/>
      <c r="Q1445" s="88"/>
      <c r="R1445" s="78">
        <f>MAX(S1445:W1445)</f>
        <v>0</v>
      </c>
      <c r="S1445" s="88"/>
      <c r="T1445" s="88"/>
      <c r="U1445" s="88"/>
      <c r="V1445" s="88"/>
      <c r="W1445" s="88"/>
    </row>
    <row r="1446" spans="2:23" s="0" customFormat="0" ht="15">
      <c r="B1446" s="87" t="s">
        <v>1</v>
      </c>
      <c r="C1446" s="88" t="s">
        <v>5259</v>
      </c>
      <c r="D1446" s="88">
        <v>6542693</v>
      </c>
      <c r="E1446" s="88" t="s">
        <v>61</v>
      </c>
      <c r="F1446" s="88">
        <v>0</v>
      </c>
      <c r="G1446" s="78">
        <f>MAX(H1446,I1446,J1446)</f>
        <v>1</v>
      </c>
      <c r="H1446" s="88"/>
      <c r="I1446" s="88"/>
      <c r="J1446" s="78">
        <f>MAX(K1446:Q1446)</f>
        <v>1</v>
      </c>
      <c r="K1446" s="88">
        <v>1</v>
      </c>
      <c r="L1446" s="88"/>
      <c r="M1446" s="88"/>
      <c r="N1446" s="88"/>
      <c r="O1446" s="88"/>
      <c r="P1446" s="88"/>
      <c r="Q1446" s="88"/>
      <c r="R1446" s="78">
        <f>MAX(S1446:W1446)</f>
        <v>0</v>
      </c>
      <c r="S1446" s="88"/>
      <c r="T1446" s="88"/>
      <c r="U1446" s="88"/>
      <c r="V1446" s="88"/>
      <c r="W1446" s="88"/>
    </row>
    <row r="1447" spans="2:23" s="0" customFormat="0" ht="15">
      <c r="B1447" s="87" t="s">
        <v>1</v>
      </c>
      <c r="C1447" s="88" t="s">
        <v>5259</v>
      </c>
      <c r="D1447" s="88">
        <v>23353567</v>
      </c>
      <c r="E1447" s="88" t="s">
        <v>61</v>
      </c>
      <c r="F1447" s="88">
        <v>0</v>
      </c>
      <c r="G1447" s="78">
        <f>MAX(H1447,I1447,J1447)</f>
        <v>1</v>
      </c>
      <c r="H1447" s="88"/>
      <c r="I1447" s="88"/>
      <c r="J1447" s="78">
        <f>MAX(K1447:Q1447)</f>
        <v>1</v>
      </c>
      <c r="K1447" s="88">
        <v>1</v>
      </c>
      <c r="L1447" s="88"/>
      <c r="M1447" s="88"/>
      <c r="N1447" s="88"/>
      <c r="O1447" s="88"/>
      <c r="P1447" s="88"/>
      <c r="Q1447" s="88"/>
      <c r="R1447" s="78">
        <f>MAX(S1447:W1447)</f>
        <v>0</v>
      </c>
      <c r="S1447" s="88"/>
      <c r="T1447" s="88"/>
      <c r="U1447" s="88"/>
      <c r="V1447" s="88"/>
      <c r="W1447" s="88"/>
    </row>
    <row r="1448" spans="2:23" s="0" customFormat="0" ht="15">
      <c r="B1448" s="87" t="s">
        <v>1</v>
      </c>
      <c r="C1448" s="88" t="s">
        <v>5259</v>
      </c>
      <c r="D1448" s="88">
        <v>24738794</v>
      </c>
      <c r="E1448" s="88" t="s">
        <v>61</v>
      </c>
      <c r="F1448" s="88">
        <v>0</v>
      </c>
      <c r="G1448" s="78">
        <f>MAX(H1448,I1448,J1448)</f>
        <v>1</v>
      </c>
      <c r="H1448" s="88"/>
      <c r="I1448" s="88"/>
      <c r="J1448" s="78">
        <f>MAX(K1448:Q1448)</f>
        <v>1</v>
      </c>
      <c r="K1448" s="88"/>
      <c r="L1448" s="88"/>
      <c r="M1448" s="88">
        <v>1</v>
      </c>
      <c r="N1448" s="88"/>
      <c r="O1448" s="88"/>
      <c r="P1448" s="88"/>
      <c r="Q1448" s="88"/>
      <c r="R1448" s="78">
        <f>MAX(S1448:W1448)</f>
        <v>0</v>
      </c>
      <c r="S1448" s="88"/>
      <c r="T1448" s="88"/>
      <c r="U1448" s="88"/>
      <c r="V1448" s="88"/>
      <c r="W1448" s="88"/>
    </row>
    <row r="1449" spans="2:23" s="0" customFormat="0" ht="15">
      <c r="B1449" s="87" t="s">
        <v>1</v>
      </c>
      <c r="C1449" s="88" t="s">
        <v>5259</v>
      </c>
      <c r="D1449" s="88">
        <v>14060700</v>
      </c>
      <c r="E1449" s="88" t="s">
        <v>61</v>
      </c>
      <c r="F1449" s="88">
        <v>0</v>
      </c>
      <c r="G1449" s="78">
        <f>MAX(H1449,I1449,J1449)</f>
        <v>1</v>
      </c>
      <c r="H1449" s="88"/>
      <c r="I1449" s="88"/>
      <c r="J1449" s="78">
        <f>MAX(K1449:Q1449)</f>
        <v>1</v>
      </c>
      <c r="K1449" s="88">
        <v>1</v>
      </c>
      <c r="L1449" s="88"/>
      <c r="M1449" s="88"/>
      <c r="N1449" s="88"/>
      <c r="O1449" s="88"/>
      <c r="P1449" s="88"/>
      <c r="Q1449" s="88"/>
      <c r="R1449" s="78">
        <f>MAX(S1449:W1449)</f>
        <v>0</v>
      </c>
      <c r="S1449" s="88"/>
      <c r="T1449" s="88"/>
      <c r="U1449" s="88"/>
      <c r="V1449" s="88"/>
      <c r="W1449" s="88"/>
    </row>
    <row r="1450" spans="2:23" s="0" customFormat="0" ht="15">
      <c r="B1450" s="87" t="s">
        <v>1</v>
      </c>
      <c r="C1450" s="88" t="s">
        <v>5259</v>
      </c>
      <c r="D1450" s="88" t="s">
        <v>3992</v>
      </c>
      <c r="E1450" s="88" t="s">
        <v>61</v>
      </c>
      <c r="F1450" s="88">
        <v>0</v>
      </c>
      <c r="G1450" s="78">
        <f>MAX(H1450,I1450,J1450)</f>
        <v>0</v>
      </c>
      <c r="H1450" s="88"/>
      <c r="I1450" s="88"/>
      <c r="J1450" s="78">
        <f>MAX(K1450:Q1450)</f>
        <v>0</v>
      </c>
      <c r="K1450" s="88"/>
      <c r="L1450" s="88"/>
      <c r="M1450" s="88"/>
      <c r="N1450" s="88"/>
      <c r="O1450" s="88"/>
      <c r="P1450" s="88"/>
      <c r="Q1450" s="88"/>
      <c r="R1450" s="78">
        <f>MAX(S1450:W1450)</f>
        <v>1</v>
      </c>
      <c r="S1450" s="88"/>
      <c r="T1450" s="88"/>
      <c r="U1450" s="88">
        <v>1</v>
      </c>
      <c r="V1450" s="88"/>
      <c r="W1450" s="88"/>
    </row>
    <row r="1451" spans="2:23" s="0" customFormat="0" ht="15">
      <c r="B1451" s="87" t="s">
        <v>1</v>
      </c>
      <c r="C1451" s="88" t="s">
        <v>5259</v>
      </c>
      <c r="D1451" s="88" t="s">
        <v>3319</v>
      </c>
      <c r="E1451" s="88" t="s">
        <v>61</v>
      </c>
      <c r="F1451" s="88">
        <v>0</v>
      </c>
      <c r="G1451" s="78">
        <f>MAX(H1451,I1451,J1451)</f>
        <v>0</v>
      </c>
      <c r="H1451" s="88"/>
      <c r="I1451" s="88"/>
      <c r="J1451" s="78">
        <f>MAX(K1451:Q1451)</f>
        <v>0</v>
      </c>
      <c r="K1451" s="88"/>
      <c r="L1451" s="88"/>
      <c r="M1451" s="88"/>
      <c r="N1451" s="88"/>
      <c r="O1451" s="88"/>
      <c r="P1451" s="88"/>
      <c r="Q1451" s="88"/>
      <c r="R1451" s="78">
        <f>MAX(S1451:W1451)</f>
        <v>1</v>
      </c>
      <c r="S1451" s="88"/>
      <c r="T1451" s="88"/>
      <c r="U1451" s="88">
        <v>1</v>
      </c>
      <c r="V1451" s="88"/>
      <c r="W1451" s="88"/>
    </row>
    <row r="1452" spans="2:23" s="0" customFormat="0" ht="15">
      <c r="B1452" s="87" t="s">
        <v>1</v>
      </c>
      <c r="C1452" s="88" t="s">
        <v>5259</v>
      </c>
      <c r="D1452" s="88">
        <v>12294996</v>
      </c>
      <c r="E1452" s="88" t="s">
        <v>61</v>
      </c>
      <c r="F1452" s="88">
        <v>0</v>
      </c>
      <c r="G1452" s="78">
        <f>MAX(H1452,I1452,J1452)</f>
        <v>1</v>
      </c>
      <c r="H1452" s="88"/>
      <c r="I1452" s="88"/>
      <c r="J1452" s="78">
        <f>MAX(K1452:Q1452)</f>
        <v>1</v>
      </c>
      <c r="K1452" s="88">
        <v>1</v>
      </c>
      <c r="L1452" s="88"/>
      <c r="M1452" s="88"/>
      <c r="N1452" s="88"/>
      <c r="O1452" s="88"/>
      <c r="P1452" s="88"/>
      <c r="Q1452" s="88"/>
      <c r="R1452" s="78">
        <f>MAX(S1452:W1452)</f>
        <v>0</v>
      </c>
      <c r="S1452" s="88"/>
      <c r="T1452" s="88"/>
      <c r="U1452" s="88"/>
      <c r="V1452" s="88"/>
      <c r="W1452" s="88"/>
    </row>
    <row r="1453" spans="2:23" s="0" customFormat="0" ht="15">
      <c r="B1453" s="87" t="s">
        <v>1</v>
      </c>
      <c r="C1453" s="88" t="s">
        <v>5259</v>
      </c>
      <c r="D1453" s="88" t="s">
        <v>1202</v>
      </c>
      <c r="E1453" s="88" t="s">
        <v>61</v>
      </c>
      <c r="F1453" s="88">
        <v>0</v>
      </c>
      <c r="G1453" s="78">
        <f>MAX(H1453,I1453,J1453)</f>
        <v>1</v>
      </c>
      <c r="H1453" s="88"/>
      <c r="I1453" s="88"/>
      <c r="J1453" s="78">
        <f>MAX(K1453:Q1453)</f>
        <v>1</v>
      </c>
      <c r="K1453" s="88">
        <v>1</v>
      </c>
      <c r="L1453" s="88"/>
      <c r="M1453" s="88"/>
      <c r="N1453" s="88"/>
      <c r="O1453" s="88"/>
      <c r="P1453" s="88"/>
      <c r="Q1453" s="88"/>
      <c r="R1453" s="78">
        <f>MAX(S1453:W1453)</f>
        <v>0</v>
      </c>
      <c r="S1453" s="88"/>
      <c r="T1453" s="88"/>
      <c r="U1453" s="88"/>
      <c r="V1453" s="88"/>
      <c r="W1453" s="88"/>
    </row>
    <row r="1454" spans="2:23" s="0" customFormat="0" ht="15">
      <c r="B1454" s="87" t="s">
        <v>1</v>
      </c>
      <c r="C1454" s="88" t="s">
        <v>5259</v>
      </c>
      <c r="D1454" s="88" t="s">
        <v>1204</v>
      </c>
      <c r="E1454" s="88" t="s">
        <v>61</v>
      </c>
      <c r="F1454" s="88">
        <v>0</v>
      </c>
      <c r="G1454" s="78">
        <f>MAX(H1454,I1454,J1454)</f>
        <v>1</v>
      </c>
      <c r="H1454" s="88"/>
      <c r="I1454" s="88"/>
      <c r="J1454" s="78">
        <f>MAX(K1454:Q1454)</f>
        <v>1</v>
      </c>
      <c r="K1454" s="88">
        <v>1</v>
      </c>
      <c r="L1454" s="88"/>
      <c r="M1454" s="88"/>
      <c r="N1454" s="88"/>
      <c r="O1454" s="88"/>
      <c r="P1454" s="88"/>
      <c r="Q1454" s="88"/>
      <c r="R1454" s="78">
        <f>MAX(S1454:W1454)</f>
        <v>0</v>
      </c>
      <c r="S1454" s="88"/>
      <c r="T1454" s="88"/>
      <c r="U1454" s="88"/>
      <c r="V1454" s="88"/>
      <c r="W1454" s="88"/>
    </row>
    <row r="1455" spans="2:23" s="0" customFormat="0" ht="15">
      <c r="B1455" s="87" t="s">
        <v>1</v>
      </c>
      <c r="C1455" s="88" t="s">
        <v>5259</v>
      </c>
      <c r="D1455" s="88">
        <v>22323049</v>
      </c>
      <c r="E1455" s="88" t="s">
        <v>61</v>
      </c>
      <c r="F1455" s="88">
        <v>0</v>
      </c>
      <c r="G1455" s="78">
        <f>MAX(H1455,I1455,J1455)</f>
        <v>1</v>
      </c>
      <c r="H1455" s="88"/>
      <c r="I1455" s="88"/>
      <c r="J1455" s="78">
        <f>MAX(K1455:Q1455)</f>
        <v>1</v>
      </c>
      <c r="K1455" s="88">
        <v>1</v>
      </c>
      <c r="L1455" s="88"/>
      <c r="M1455" s="88"/>
      <c r="N1455" s="88"/>
      <c r="O1455" s="88"/>
      <c r="P1455" s="88"/>
      <c r="Q1455" s="88"/>
      <c r="R1455" s="78">
        <f>MAX(S1455:W1455)</f>
        <v>0</v>
      </c>
      <c r="S1455" s="88"/>
      <c r="T1455" s="88"/>
      <c r="U1455" s="88"/>
      <c r="V1455" s="88"/>
      <c r="W1455" s="88"/>
    </row>
    <row r="1456" spans="2:23" s="0" customFormat="0" ht="15">
      <c r="B1456" s="87" t="s">
        <v>1</v>
      </c>
      <c r="C1456" s="88" t="s">
        <v>5259</v>
      </c>
      <c r="D1456" s="88" t="s">
        <v>1207</v>
      </c>
      <c r="E1456" s="88" t="s">
        <v>61</v>
      </c>
      <c r="F1456" s="88">
        <v>0</v>
      </c>
      <c r="G1456" s="78">
        <f>MAX(H1456,I1456,J1456)</f>
        <v>1</v>
      </c>
      <c r="H1456" s="88"/>
      <c r="I1456" s="88"/>
      <c r="J1456" s="78">
        <f>MAX(K1456:Q1456)</f>
        <v>1</v>
      </c>
      <c r="K1456" s="88">
        <v>1</v>
      </c>
      <c r="L1456" s="88"/>
      <c r="M1456" s="88"/>
      <c r="N1456" s="88"/>
      <c r="O1456" s="88"/>
      <c r="P1456" s="88"/>
      <c r="Q1456" s="88"/>
      <c r="R1456" s="78">
        <f>MAX(S1456:W1456)</f>
        <v>0</v>
      </c>
      <c r="S1456" s="88"/>
      <c r="T1456" s="88"/>
      <c r="U1456" s="88"/>
      <c r="V1456" s="88"/>
      <c r="W1456" s="88"/>
    </row>
    <row r="1457" spans="2:23" s="0" customFormat="0" ht="15">
      <c r="B1457" s="87" t="s">
        <v>1</v>
      </c>
      <c r="C1457" s="88" t="s">
        <v>5259</v>
      </c>
      <c r="D1457" s="88">
        <v>24176486</v>
      </c>
      <c r="E1457" s="88" t="s">
        <v>61</v>
      </c>
      <c r="F1457" s="88">
        <v>0</v>
      </c>
      <c r="G1457" s="78">
        <f>MAX(H1457,I1457,J1457)</f>
        <v>1</v>
      </c>
      <c r="H1457" s="88"/>
      <c r="I1457" s="88"/>
      <c r="J1457" s="78">
        <f>MAX(K1457:Q1457)</f>
        <v>1</v>
      </c>
      <c r="K1457" s="88">
        <v>1</v>
      </c>
      <c r="L1457" s="88"/>
      <c r="M1457" s="88"/>
      <c r="N1457" s="88"/>
      <c r="O1457" s="88"/>
      <c r="P1457" s="88"/>
      <c r="Q1457" s="88"/>
      <c r="R1457" s="78">
        <f>MAX(S1457:W1457)</f>
        <v>0</v>
      </c>
      <c r="S1457" s="88"/>
      <c r="T1457" s="88"/>
      <c r="U1457" s="88"/>
      <c r="V1457" s="88"/>
      <c r="W1457" s="88"/>
    </row>
    <row r="1458" spans="2:23" s="0" customFormat="0" ht="15">
      <c r="B1458" s="87" t="s">
        <v>1</v>
      </c>
      <c r="C1458" s="88" t="s">
        <v>5259</v>
      </c>
      <c r="D1458" s="88">
        <v>22554106</v>
      </c>
      <c r="E1458" s="88" t="s">
        <v>61</v>
      </c>
      <c r="F1458" s="88">
        <v>0</v>
      </c>
      <c r="G1458" s="78">
        <f>MAX(H1458,I1458,J1458)</f>
        <v>0</v>
      </c>
      <c r="H1458" s="88"/>
      <c r="I1458" s="88"/>
      <c r="J1458" s="78">
        <f>MAX(K1458:Q1458)</f>
        <v>0</v>
      </c>
      <c r="K1458" s="88"/>
      <c r="L1458" s="88"/>
      <c r="M1458" s="88"/>
      <c r="N1458" s="88"/>
      <c r="O1458" s="88"/>
      <c r="P1458" s="88"/>
      <c r="Q1458" s="88"/>
      <c r="R1458" s="78">
        <f>MAX(S1458:W1458)</f>
        <v>1</v>
      </c>
      <c r="S1458" s="88"/>
      <c r="T1458" s="88"/>
      <c r="U1458" s="88">
        <v>1</v>
      </c>
      <c r="V1458" s="88"/>
      <c r="W1458" s="88"/>
    </row>
    <row r="1459" spans="2:23" s="0" customFormat="0" ht="15">
      <c r="B1459" s="87" t="s">
        <v>1</v>
      </c>
      <c r="C1459" s="88" t="s">
        <v>5259</v>
      </c>
      <c r="D1459" s="88">
        <v>18173009</v>
      </c>
      <c r="E1459" s="88" t="s">
        <v>61</v>
      </c>
      <c r="F1459" s="88">
        <v>0</v>
      </c>
      <c r="G1459" s="78">
        <f>MAX(H1459,I1459,J1459)</f>
        <v>1</v>
      </c>
      <c r="H1459" s="88"/>
      <c r="I1459" s="88"/>
      <c r="J1459" s="78">
        <f>MAX(K1459:Q1459)</f>
        <v>1</v>
      </c>
      <c r="K1459" s="88">
        <v>1</v>
      </c>
      <c r="L1459" s="88"/>
      <c r="M1459" s="88"/>
      <c r="N1459" s="88"/>
      <c r="O1459" s="88"/>
      <c r="P1459" s="88"/>
      <c r="Q1459" s="88"/>
      <c r="R1459" s="78">
        <f>MAX(S1459:W1459)</f>
        <v>0</v>
      </c>
      <c r="S1459" s="88"/>
      <c r="T1459" s="88"/>
      <c r="U1459" s="88"/>
      <c r="V1459" s="88"/>
      <c r="W1459" s="88"/>
    </row>
    <row r="1460" spans="2:23" s="0" customFormat="0" ht="15">
      <c r="B1460" s="87" t="s">
        <v>1</v>
      </c>
      <c r="C1460" s="88" t="s">
        <v>5259</v>
      </c>
      <c r="D1460" s="88">
        <v>11384399</v>
      </c>
      <c r="E1460" s="88" t="s">
        <v>61</v>
      </c>
      <c r="F1460" s="88">
        <v>0</v>
      </c>
      <c r="G1460" s="78">
        <f>MAX(H1460,I1460,J1460)</f>
        <v>1</v>
      </c>
      <c r="H1460" s="88"/>
      <c r="I1460" s="88"/>
      <c r="J1460" s="78">
        <f>MAX(K1460:Q1460)</f>
        <v>1</v>
      </c>
      <c r="K1460" s="88">
        <v>1</v>
      </c>
      <c r="L1460" s="88"/>
      <c r="M1460" s="88"/>
      <c r="N1460" s="88"/>
      <c r="O1460" s="88"/>
      <c r="P1460" s="88"/>
      <c r="Q1460" s="88"/>
      <c r="R1460" s="78">
        <f>MAX(S1460:W1460)</f>
        <v>0</v>
      </c>
      <c r="S1460" s="88"/>
      <c r="T1460" s="88"/>
      <c r="U1460" s="88"/>
      <c r="V1460" s="88"/>
      <c r="W1460" s="88"/>
    </row>
    <row r="1461" spans="2:23" s="0" customFormat="0" ht="15">
      <c r="B1461" s="87" t="s">
        <v>1</v>
      </c>
      <c r="C1461" s="88" t="s">
        <v>5259</v>
      </c>
      <c r="D1461" s="88">
        <v>23039281</v>
      </c>
      <c r="E1461" s="88" t="s">
        <v>61</v>
      </c>
      <c r="F1461" s="88">
        <v>0</v>
      </c>
      <c r="G1461" s="78">
        <f>MAX(H1461,I1461,J1461)</f>
        <v>1</v>
      </c>
      <c r="H1461" s="88"/>
      <c r="I1461" s="88"/>
      <c r="J1461" s="78">
        <f>MAX(K1461:Q1461)</f>
        <v>1</v>
      </c>
      <c r="K1461" s="88">
        <v>1</v>
      </c>
      <c r="L1461" s="88"/>
      <c r="M1461" s="88"/>
      <c r="N1461" s="88"/>
      <c r="O1461" s="88"/>
      <c r="P1461" s="88"/>
      <c r="Q1461" s="88"/>
      <c r="R1461" s="78">
        <f>MAX(S1461:W1461)</f>
        <v>0</v>
      </c>
      <c r="S1461" s="88"/>
      <c r="T1461" s="88"/>
      <c r="U1461" s="88"/>
      <c r="V1461" s="88"/>
      <c r="W1461" s="88"/>
    </row>
    <row r="1462" spans="2:23" s="0" customFormat="0" ht="15">
      <c r="B1462" s="87" t="s">
        <v>1</v>
      </c>
      <c r="C1462" s="88" t="s">
        <v>5259</v>
      </c>
      <c r="D1462" s="88">
        <v>4992247</v>
      </c>
      <c r="E1462" s="88" t="s">
        <v>61</v>
      </c>
      <c r="F1462" s="88">
        <v>0</v>
      </c>
      <c r="G1462" s="78">
        <f>MAX(H1462,I1462,J1462)</f>
        <v>1</v>
      </c>
      <c r="H1462" s="88"/>
      <c r="I1462" s="88"/>
      <c r="J1462" s="78">
        <f>MAX(K1462:Q1462)</f>
        <v>1</v>
      </c>
      <c r="K1462" s="88">
        <v>1</v>
      </c>
      <c r="L1462" s="88"/>
      <c r="M1462" s="88"/>
      <c r="N1462" s="88"/>
      <c r="O1462" s="88"/>
      <c r="P1462" s="88"/>
      <c r="Q1462" s="88"/>
      <c r="R1462" s="78">
        <f>MAX(S1462:W1462)</f>
        <v>0</v>
      </c>
      <c r="S1462" s="88"/>
      <c r="T1462" s="88"/>
      <c r="U1462" s="88"/>
      <c r="V1462" s="88"/>
      <c r="W1462" s="88"/>
    </row>
    <row r="1463" spans="2:23" s="0" customFormat="0" ht="15">
      <c r="B1463" s="87" t="s">
        <v>1</v>
      </c>
      <c r="C1463" s="88" t="s">
        <v>5259</v>
      </c>
      <c r="D1463" s="88">
        <v>17020265</v>
      </c>
      <c r="E1463" s="88" t="s">
        <v>61</v>
      </c>
      <c r="F1463" s="88">
        <v>0</v>
      </c>
      <c r="G1463" s="78">
        <f>MAX(H1463,I1463,J1463)</f>
        <v>1</v>
      </c>
      <c r="H1463" s="88"/>
      <c r="I1463" s="88"/>
      <c r="J1463" s="78">
        <f>MAX(K1463:Q1463)</f>
        <v>1</v>
      </c>
      <c r="K1463" s="88">
        <v>1</v>
      </c>
      <c r="L1463" s="88"/>
      <c r="M1463" s="88"/>
      <c r="N1463" s="88"/>
      <c r="O1463" s="88"/>
      <c r="P1463" s="88"/>
      <c r="Q1463" s="88"/>
      <c r="R1463" s="78">
        <f>MAX(S1463:W1463)</f>
        <v>0</v>
      </c>
      <c r="S1463" s="88"/>
      <c r="T1463" s="88"/>
      <c r="U1463" s="88"/>
      <c r="V1463" s="88"/>
      <c r="W1463" s="88"/>
    </row>
    <row r="1464" spans="2:23" s="0" customFormat="0" ht="15">
      <c r="B1464" s="87" t="s">
        <v>1</v>
      </c>
      <c r="C1464" s="88" t="s">
        <v>5259</v>
      </c>
      <c r="D1464" s="88">
        <v>14236674</v>
      </c>
      <c r="E1464" s="88" t="s">
        <v>61</v>
      </c>
      <c r="F1464" s="88">
        <v>0</v>
      </c>
      <c r="G1464" s="78">
        <f>MAX(H1464,I1464,J1464)</f>
        <v>0</v>
      </c>
      <c r="H1464" s="88"/>
      <c r="I1464" s="88"/>
      <c r="J1464" s="78">
        <f>MAX(K1464:Q1464)</f>
        <v>0</v>
      </c>
      <c r="K1464" s="88"/>
      <c r="L1464" s="88"/>
      <c r="M1464" s="88"/>
      <c r="N1464" s="88"/>
      <c r="O1464" s="88"/>
      <c r="P1464" s="88"/>
      <c r="Q1464" s="88"/>
      <c r="R1464" s="78">
        <f>MAX(S1464:W1464)</f>
        <v>1</v>
      </c>
      <c r="S1464" s="88"/>
      <c r="T1464" s="88"/>
      <c r="U1464" s="88">
        <v>1</v>
      </c>
      <c r="V1464" s="88"/>
      <c r="W1464" s="88"/>
    </row>
    <row r="1465" spans="2:23" s="0" customFormat="0" ht="15">
      <c r="B1465" s="87" t="s">
        <v>1</v>
      </c>
      <c r="C1465" s="88" t="s">
        <v>5259</v>
      </c>
      <c r="D1465" s="88">
        <v>21026165</v>
      </c>
      <c r="E1465" s="88" t="s">
        <v>61</v>
      </c>
      <c r="F1465" s="88">
        <v>0</v>
      </c>
      <c r="G1465" s="78">
        <f>MAX(H1465,I1465,J1465)</f>
        <v>1</v>
      </c>
      <c r="H1465" s="88"/>
      <c r="I1465" s="88"/>
      <c r="J1465" s="78">
        <f>MAX(K1465:Q1465)</f>
        <v>1</v>
      </c>
      <c r="K1465" s="88">
        <v>1</v>
      </c>
      <c r="L1465" s="88"/>
      <c r="M1465" s="88"/>
      <c r="N1465" s="88"/>
      <c r="O1465" s="88"/>
      <c r="P1465" s="88"/>
      <c r="Q1465" s="88"/>
      <c r="R1465" s="78">
        <f>MAX(S1465:W1465)</f>
        <v>0</v>
      </c>
      <c r="S1465" s="88"/>
      <c r="T1465" s="88"/>
      <c r="U1465" s="88"/>
      <c r="V1465" s="88"/>
      <c r="W1465" s="88"/>
    </row>
    <row r="1466" spans="2:23" s="0" customFormat="0" ht="15">
      <c r="B1466" s="87" t="s">
        <v>1</v>
      </c>
      <c r="C1466" s="88" t="s">
        <v>5259</v>
      </c>
      <c r="D1466" s="88">
        <v>17876603</v>
      </c>
      <c r="E1466" s="88" t="s">
        <v>61</v>
      </c>
      <c r="F1466" s="88">
        <v>0</v>
      </c>
      <c r="G1466" s="78">
        <f>MAX(H1466,I1466,J1466)</f>
        <v>1</v>
      </c>
      <c r="H1466" s="88"/>
      <c r="I1466" s="88"/>
      <c r="J1466" s="78">
        <f>MAX(K1466:Q1466)</f>
        <v>1</v>
      </c>
      <c r="K1466" s="88">
        <v>1</v>
      </c>
      <c r="L1466" s="88"/>
      <c r="M1466" s="88"/>
      <c r="N1466" s="88"/>
      <c r="O1466" s="88"/>
      <c r="P1466" s="88"/>
      <c r="Q1466" s="88"/>
      <c r="R1466" s="78">
        <f>MAX(S1466:W1466)</f>
        <v>0</v>
      </c>
      <c r="S1466" s="88"/>
      <c r="T1466" s="88"/>
      <c r="U1466" s="88"/>
      <c r="V1466" s="88"/>
      <c r="W1466" s="88"/>
    </row>
    <row r="1467" spans="2:23" s="0" customFormat="0" ht="15">
      <c r="B1467" s="87" t="s">
        <v>1</v>
      </c>
      <c r="C1467" s="88" t="s">
        <v>5259</v>
      </c>
      <c r="D1467" s="88" t="s">
        <v>3995</v>
      </c>
      <c r="E1467" s="88" t="s">
        <v>61</v>
      </c>
      <c r="F1467" s="88">
        <v>0</v>
      </c>
      <c r="G1467" s="78">
        <f>MAX(H1467,I1467,J1467)</f>
        <v>0</v>
      </c>
      <c r="H1467" s="88"/>
      <c r="I1467" s="88"/>
      <c r="J1467" s="78">
        <f>MAX(K1467:Q1467)</f>
        <v>0</v>
      </c>
      <c r="K1467" s="88"/>
      <c r="L1467" s="88"/>
      <c r="M1467" s="88"/>
      <c r="N1467" s="88"/>
      <c r="O1467" s="88"/>
      <c r="P1467" s="88"/>
      <c r="Q1467" s="88"/>
      <c r="R1467" s="78">
        <f>MAX(S1467:W1467)</f>
        <v>1</v>
      </c>
      <c r="S1467" s="88"/>
      <c r="T1467" s="88"/>
      <c r="U1467" s="88">
        <v>1</v>
      </c>
      <c r="V1467" s="88"/>
      <c r="W1467" s="88"/>
    </row>
    <row r="1468" spans="2:23" s="0" customFormat="0" ht="15">
      <c r="B1468" s="87" t="s">
        <v>1</v>
      </c>
      <c r="C1468" s="88" t="s">
        <v>5259</v>
      </c>
      <c r="D1468" s="88" t="s">
        <v>1027</v>
      </c>
      <c r="E1468" s="88" t="s">
        <v>61</v>
      </c>
      <c r="F1468" s="88">
        <v>0</v>
      </c>
      <c r="G1468" s="78">
        <f>MAX(H1468,I1468,J1468)</f>
        <v>1</v>
      </c>
      <c r="H1468" s="88"/>
      <c r="I1468" s="88"/>
      <c r="J1468" s="78">
        <f>MAX(K1468:Q1468)</f>
        <v>1</v>
      </c>
      <c r="K1468" s="88">
        <v>1</v>
      </c>
      <c r="L1468" s="88"/>
      <c r="M1468" s="88"/>
      <c r="N1468" s="88"/>
      <c r="O1468" s="88"/>
      <c r="P1468" s="88"/>
      <c r="Q1468" s="88"/>
      <c r="R1468" s="78">
        <f>MAX(S1468:W1468)</f>
        <v>0</v>
      </c>
      <c r="S1468" s="88"/>
      <c r="T1468" s="88"/>
      <c r="U1468" s="88"/>
      <c r="V1468" s="88"/>
      <c r="W1468" s="88"/>
    </row>
    <row r="1469" spans="2:23" s="0" customFormat="0" ht="15">
      <c r="B1469" s="87" t="s">
        <v>1</v>
      </c>
      <c r="C1469" s="88" t="s">
        <v>5259</v>
      </c>
      <c r="D1469" s="88">
        <v>8657585</v>
      </c>
      <c r="E1469" s="88" t="s">
        <v>61</v>
      </c>
      <c r="F1469" s="88">
        <v>0</v>
      </c>
      <c r="G1469" s="78">
        <f>MAX(H1469,I1469,J1469)</f>
        <v>1</v>
      </c>
      <c r="H1469" s="88"/>
      <c r="I1469" s="88"/>
      <c r="J1469" s="78">
        <f>MAX(K1469:Q1469)</f>
        <v>1</v>
      </c>
      <c r="K1469" s="88">
        <v>1</v>
      </c>
      <c r="L1469" s="88"/>
      <c r="M1469" s="88"/>
      <c r="N1469" s="88"/>
      <c r="O1469" s="88"/>
      <c r="P1469" s="88"/>
      <c r="Q1469" s="88"/>
      <c r="R1469" s="78">
        <f>MAX(S1469:W1469)</f>
        <v>0</v>
      </c>
      <c r="S1469" s="88"/>
      <c r="T1469" s="88"/>
      <c r="U1469" s="88"/>
      <c r="V1469" s="88"/>
      <c r="W1469" s="88"/>
    </row>
    <row r="1470" spans="2:23" s="0" customFormat="0" ht="15">
      <c r="B1470" s="87" t="s">
        <v>1</v>
      </c>
      <c r="C1470" s="88" t="s">
        <v>5259</v>
      </c>
      <c r="D1470" s="88">
        <v>19612064</v>
      </c>
      <c r="E1470" s="88" t="s">
        <v>61</v>
      </c>
      <c r="F1470" s="88">
        <v>0</v>
      </c>
      <c r="G1470" s="78">
        <f>MAX(H1470,I1470,J1470)</f>
        <v>1</v>
      </c>
      <c r="H1470" s="88"/>
      <c r="I1470" s="88"/>
      <c r="J1470" s="78">
        <f>MAX(K1470:Q1470)</f>
        <v>1</v>
      </c>
      <c r="K1470" s="88">
        <v>1</v>
      </c>
      <c r="L1470" s="88"/>
      <c r="M1470" s="88"/>
      <c r="N1470" s="88"/>
      <c r="O1470" s="88"/>
      <c r="P1470" s="88"/>
      <c r="Q1470" s="88"/>
      <c r="R1470" s="78">
        <f>MAX(S1470:W1470)</f>
        <v>0</v>
      </c>
      <c r="S1470" s="88"/>
      <c r="T1470" s="88"/>
      <c r="U1470" s="88"/>
      <c r="V1470" s="88"/>
      <c r="W1470" s="88"/>
    </row>
    <row r="1471" spans="2:23" s="0" customFormat="0" ht="15">
      <c r="B1471" s="87" t="s">
        <v>1</v>
      </c>
      <c r="C1471" s="88" t="s">
        <v>5259</v>
      </c>
      <c r="D1471" s="88" t="s">
        <v>3078</v>
      </c>
      <c r="E1471" s="88" t="s">
        <v>61</v>
      </c>
      <c r="F1471" s="88">
        <v>0</v>
      </c>
      <c r="G1471" s="78">
        <f>MAX(H1471,I1471,J1471)</f>
        <v>1</v>
      </c>
      <c r="H1471" s="88"/>
      <c r="I1471" s="88"/>
      <c r="J1471" s="78">
        <f>MAX(K1471:Q1471)</f>
        <v>1</v>
      </c>
      <c r="K1471" s="88"/>
      <c r="L1471" s="88"/>
      <c r="M1471" s="88">
        <v>1</v>
      </c>
      <c r="N1471" s="88"/>
      <c r="O1471" s="88"/>
      <c r="P1471" s="88"/>
      <c r="Q1471" s="88"/>
      <c r="R1471" s="78">
        <f>MAX(S1471:W1471)</f>
        <v>0</v>
      </c>
      <c r="S1471" s="88"/>
      <c r="T1471" s="88"/>
      <c r="U1471" s="88"/>
      <c r="V1471" s="88"/>
      <c r="W1471" s="88"/>
    </row>
    <row r="1472" spans="2:23" s="0" customFormat="0" ht="15">
      <c r="B1472" s="87" t="s">
        <v>1</v>
      </c>
      <c r="C1472" s="88" t="s">
        <v>5259</v>
      </c>
      <c r="D1472" s="88">
        <v>16974253</v>
      </c>
      <c r="E1472" s="88" t="s">
        <v>61</v>
      </c>
      <c r="F1472" s="88">
        <v>0</v>
      </c>
      <c r="G1472" s="78">
        <f>MAX(H1472,I1472,J1472)</f>
        <v>1</v>
      </c>
      <c r="H1472" s="88"/>
      <c r="I1472" s="88"/>
      <c r="J1472" s="78">
        <f>MAX(K1472:Q1472)</f>
        <v>1</v>
      </c>
      <c r="K1472" s="88">
        <v>1</v>
      </c>
      <c r="L1472" s="88"/>
      <c r="M1472" s="88"/>
      <c r="N1472" s="88"/>
      <c r="O1472" s="88"/>
      <c r="P1472" s="88"/>
      <c r="Q1472" s="88"/>
      <c r="R1472" s="78">
        <f>MAX(S1472:W1472)</f>
        <v>0</v>
      </c>
      <c r="S1472" s="88"/>
      <c r="T1472" s="88"/>
      <c r="U1472" s="88"/>
      <c r="V1472" s="88"/>
      <c r="W1472" s="88"/>
    </row>
    <row r="1473" spans="2:23" s="0" customFormat="0" ht="15">
      <c r="B1473" s="87" t="s">
        <v>1</v>
      </c>
      <c r="C1473" s="88" t="s">
        <v>5259</v>
      </c>
      <c r="D1473" s="88" t="s">
        <v>3997</v>
      </c>
      <c r="E1473" s="88" t="s">
        <v>61</v>
      </c>
      <c r="F1473" s="88">
        <v>0</v>
      </c>
      <c r="G1473" s="78">
        <f>MAX(H1473,I1473,J1473)</f>
        <v>0</v>
      </c>
      <c r="H1473" s="88"/>
      <c r="I1473" s="88"/>
      <c r="J1473" s="78">
        <f>MAX(K1473:Q1473)</f>
        <v>0</v>
      </c>
      <c r="K1473" s="88"/>
      <c r="L1473" s="88"/>
      <c r="M1473" s="88"/>
      <c r="N1473" s="88"/>
      <c r="O1473" s="88"/>
      <c r="P1473" s="88"/>
      <c r="Q1473" s="88"/>
      <c r="R1473" s="78">
        <f>MAX(S1473:W1473)</f>
        <v>1</v>
      </c>
      <c r="S1473" s="88"/>
      <c r="T1473" s="88"/>
      <c r="U1473" s="88">
        <v>1</v>
      </c>
      <c r="V1473" s="88"/>
      <c r="W1473" s="88"/>
    </row>
    <row r="1474" spans="2:23" s="0" customFormat="0" ht="15">
      <c r="B1474" s="87" t="s">
        <v>1</v>
      </c>
      <c r="C1474" s="88" t="s">
        <v>5259</v>
      </c>
      <c r="D1474" s="88" t="s">
        <v>1119</v>
      </c>
      <c r="E1474" s="88" t="s">
        <v>61</v>
      </c>
      <c r="F1474" s="88">
        <v>0</v>
      </c>
      <c r="G1474" s="78">
        <f>MAX(H1474,I1474,J1474)</f>
        <v>1</v>
      </c>
      <c r="H1474" s="88"/>
      <c r="I1474" s="88"/>
      <c r="J1474" s="78">
        <f>MAX(K1474:Q1474)</f>
        <v>1</v>
      </c>
      <c r="K1474" s="88">
        <v>1</v>
      </c>
      <c r="L1474" s="88"/>
      <c r="M1474" s="88"/>
      <c r="N1474" s="88"/>
      <c r="O1474" s="88"/>
      <c r="P1474" s="88"/>
      <c r="Q1474" s="88"/>
      <c r="R1474" s="78">
        <f>MAX(S1474:W1474)</f>
        <v>0</v>
      </c>
      <c r="S1474" s="88"/>
      <c r="T1474" s="88"/>
      <c r="U1474" s="88"/>
      <c r="V1474" s="88"/>
      <c r="W1474" s="88"/>
    </row>
    <row r="1475" spans="2:23" s="0" customFormat="0" ht="15">
      <c r="B1475" s="87" t="s">
        <v>1</v>
      </c>
      <c r="C1475" s="88" t="s">
        <v>5259</v>
      </c>
      <c r="D1475" s="88">
        <v>12610741</v>
      </c>
      <c r="E1475" s="88" t="s">
        <v>61</v>
      </c>
      <c r="F1475" s="88">
        <v>0</v>
      </c>
      <c r="G1475" s="78">
        <f>MAX(H1475,I1475,J1475)</f>
        <v>1</v>
      </c>
      <c r="H1475" s="88"/>
      <c r="I1475" s="88"/>
      <c r="J1475" s="78">
        <f>MAX(K1475:Q1475)</f>
        <v>1</v>
      </c>
      <c r="K1475" s="88">
        <v>1</v>
      </c>
      <c r="L1475" s="88"/>
      <c r="M1475" s="88"/>
      <c r="N1475" s="88"/>
      <c r="O1475" s="88"/>
      <c r="P1475" s="88"/>
      <c r="Q1475" s="88"/>
      <c r="R1475" s="78">
        <f>MAX(S1475:W1475)</f>
        <v>0</v>
      </c>
      <c r="S1475" s="88"/>
      <c r="T1475" s="88"/>
      <c r="U1475" s="88"/>
      <c r="V1475" s="88"/>
      <c r="W1475" s="88"/>
    </row>
    <row r="1476" spans="2:23" s="0" customFormat="0" ht="15">
      <c r="B1476" s="87" t="s">
        <v>1</v>
      </c>
      <c r="C1476" s="88" t="s">
        <v>5259</v>
      </c>
      <c r="D1476" s="88" t="s">
        <v>3428</v>
      </c>
      <c r="E1476" s="88" t="s">
        <v>61</v>
      </c>
      <c r="F1476" s="88">
        <v>0</v>
      </c>
      <c r="G1476" s="78">
        <f>MAX(H1476,I1476,J1476)</f>
        <v>0</v>
      </c>
      <c r="H1476" s="88"/>
      <c r="I1476" s="88"/>
      <c r="J1476" s="78">
        <f>MAX(K1476:Q1476)</f>
        <v>0</v>
      </c>
      <c r="K1476" s="88"/>
      <c r="L1476" s="88"/>
      <c r="M1476" s="88"/>
      <c r="N1476" s="88"/>
      <c r="O1476" s="88"/>
      <c r="P1476" s="88"/>
      <c r="Q1476" s="88"/>
      <c r="R1476" s="78">
        <f>MAX(S1476:W1476)</f>
        <v>1</v>
      </c>
      <c r="S1476" s="88"/>
      <c r="T1476" s="88"/>
      <c r="U1476" s="88">
        <v>1</v>
      </c>
      <c r="V1476" s="88"/>
      <c r="W1476" s="88"/>
    </row>
    <row r="1477" spans="2:23" s="0" customFormat="0" ht="15">
      <c r="B1477" s="87" t="s">
        <v>1</v>
      </c>
      <c r="C1477" s="88" t="s">
        <v>5259</v>
      </c>
      <c r="D1477" s="88">
        <v>2106487</v>
      </c>
      <c r="E1477" s="88" t="s">
        <v>61</v>
      </c>
      <c r="F1477" s="88">
        <v>0</v>
      </c>
      <c r="G1477" s="78">
        <f>MAX(H1477,I1477,J1477)</f>
        <v>1</v>
      </c>
      <c r="H1477" s="88"/>
      <c r="I1477" s="88"/>
      <c r="J1477" s="78">
        <f>MAX(K1477:Q1477)</f>
        <v>1</v>
      </c>
      <c r="K1477" s="88">
        <v>1</v>
      </c>
      <c r="L1477" s="88"/>
      <c r="M1477" s="88"/>
      <c r="N1477" s="88"/>
      <c r="O1477" s="88"/>
      <c r="P1477" s="88"/>
      <c r="Q1477" s="88"/>
      <c r="R1477" s="78">
        <f>MAX(S1477:W1477)</f>
        <v>0</v>
      </c>
      <c r="S1477" s="88"/>
      <c r="T1477" s="88"/>
      <c r="U1477" s="88"/>
      <c r="V1477" s="88"/>
      <c r="W1477" s="88"/>
    </row>
    <row r="1478" spans="2:23" s="0" customFormat="0" ht="15">
      <c r="B1478" s="87" t="s">
        <v>1</v>
      </c>
      <c r="C1478" s="88" t="s">
        <v>5259</v>
      </c>
      <c r="D1478" s="88">
        <v>14073575</v>
      </c>
      <c r="E1478" s="88" t="s">
        <v>61</v>
      </c>
      <c r="F1478" s="88">
        <v>0</v>
      </c>
      <c r="G1478" s="78">
        <f>MAX(H1478,I1478,J1478)</f>
        <v>1</v>
      </c>
      <c r="H1478" s="88"/>
      <c r="I1478" s="88"/>
      <c r="J1478" s="78">
        <f>MAX(K1478:Q1478)</f>
        <v>1</v>
      </c>
      <c r="K1478" s="88">
        <v>1</v>
      </c>
      <c r="L1478" s="88"/>
      <c r="M1478" s="88"/>
      <c r="N1478" s="88"/>
      <c r="O1478" s="88"/>
      <c r="P1478" s="88"/>
      <c r="Q1478" s="88"/>
      <c r="R1478" s="78">
        <f>MAX(S1478:W1478)</f>
        <v>0</v>
      </c>
      <c r="S1478" s="88"/>
      <c r="T1478" s="88"/>
      <c r="U1478" s="88"/>
      <c r="V1478" s="88"/>
      <c r="W1478" s="88"/>
    </row>
    <row r="1479" spans="2:23" s="0" customFormat="0" ht="15">
      <c r="B1479" s="87" t="s">
        <v>1</v>
      </c>
      <c r="C1479" s="88" t="s">
        <v>5259</v>
      </c>
      <c r="D1479" s="88">
        <v>22281224</v>
      </c>
      <c r="E1479" s="88" t="s">
        <v>61</v>
      </c>
      <c r="F1479" s="88">
        <v>0</v>
      </c>
      <c r="G1479" s="78">
        <f>MAX(H1479,I1479,J1479)</f>
        <v>1</v>
      </c>
      <c r="H1479" s="88"/>
      <c r="I1479" s="88"/>
      <c r="J1479" s="78">
        <f>MAX(K1479:Q1479)</f>
        <v>1</v>
      </c>
      <c r="K1479" s="88">
        <v>1</v>
      </c>
      <c r="L1479" s="88"/>
      <c r="M1479" s="88"/>
      <c r="N1479" s="88"/>
      <c r="O1479" s="88"/>
      <c r="P1479" s="88"/>
      <c r="Q1479" s="88"/>
      <c r="R1479" s="78">
        <f>MAX(S1479:W1479)</f>
        <v>0</v>
      </c>
      <c r="S1479" s="88"/>
      <c r="T1479" s="88"/>
      <c r="U1479" s="88"/>
      <c r="V1479" s="88"/>
      <c r="W1479" s="88"/>
    </row>
    <row r="1480" spans="2:23" s="0" customFormat="0" ht="15">
      <c r="B1480" s="87" t="s">
        <v>1</v>
      </c>
      <c r="C1480" s="88" t="s">
        <v>5259</v>
      </c>
      <c r="D1480" s="88">
        <v>19149584</v>
      </c>
      <c r="E1480" s="88" t="s">
        <v>61</v>
      </c>
      <c r="F1480" s="88">
        <v>0</v>
      </c>
      <c r="G1480" s="78">
        <f>MAX(H1480,I1480,J1480)</f>
        <v>1</v>
      </c>
      <c r="H1480" s="88"/>
      <c r="I1480" s="88"/>
      <c r="J1480" s="78">
        <f>MAX(K1480:Q1480)</f>
        <v>1</v>
      </c>
      <c r="K1480" s="88">
        <v>1</v>
      </c>
      <c r="L1480" s="88"/>
      <c r="M1480" s="88"/>
      <c r="N1480" s="88"/>
      <c r="O1480" s="88"/>
      <c r="P1480" s="88"/>
      <c r="Q1480" s="88"/>
      <c r="R1480" s="78">
        <f>MAX(S1480:W1480)</f>
        <v>0</v>
      </c>
      <c r="S1480" s="88"/>
      <c r="T1480" s="88"/>
      <c r="U1480" s="88"/>
      <c r="V1480" s="88"/>
      <c r="W1480" s="88"/>
    </row>
    <row r="1481" spans="2:23" s="0" customFormat="0" ht="15">
      <c r="B1481" s="87" t="s">
        <v>1</v>
      </c>
      <c r="C1481" s="88" t="s">
        <v>5259</v>
      </c>
      <c r="D1481" s="88">
        <v>21990809</v>
      </c>
      <c r="E1481" s="88" t="s">
        <v>61</v>
      </c>
      <c r="F1481" s="88">
        <v>0</v>
      </c>
      <c r="G1481" s="78">
        <f>MAX(H1481,I1481,J1481)</f>
        <v>1</v>
      </c>
      <c r="H1481" s="88"/>
      <c r="I1481" s="88"/>
      <c r="J1481" s="78">
        <f>MAX(K1481:Q1481)</f>
        <v>1</v>
      </c>
      <c r="K1481" s="88">
        <v>1</v>
      </c>
      <c r="L1481" s="88"/>
      <c r="M1481" s="88"/>
      <c r="N1481" s="88"/>
      <c r="O1481" s="88"/>
      <c r="P1481" s="88"/>
      <c r="Q1481" s="88"/>
      <c r="R1481" s="78">
        <f>MAX(S1481:W1481)</f>
        <v>0</v>
      </c>
      <c r="S1481" s="88"/>
      <c r="T1481" s="88"/>
      <c r="U1481" s="88"/>
      <c r="V1481" s="88"/>
      <c r="W1481" s="88"/>
    </row>
    <row r="1482" spans="2:23" s="0" customFormat="0" ht="15">
      <c r="B1482" s="87" t="s">
        <v>1</v>
      </c>
      <c r="C1482" s="88" t="s">
        <v>5259</v>
      </c>
      <c r="D1482" s="88">
        <v>21020084</v>
      </c>
      <c r="E1482" s="88" t="s">
        <v>61</v>
      </c>
      <c r="F1482" s="88">
        <v>0</v>
      </c>
      <c r="G1482" s="78">
        <f>MAX(H1482,I1482,J1482)</f>
        <v>1</v>
      </c>
      <c r="H1482" s="88"/>
      <c r="I1482" s="88"/>
      <c r="J1482" s="78">
        <f>MAX(K1482:Q1482)</f>
        <v>1</v>
      </c>
      <c r="K1482" s="88">
        <v>1</v>
      </c>
      <c r="L1482" s="88"/>
      <c r="M1482" s="88"/>
      <c r="N1482" s="88"/>
      <c r="O1482" s="88"/>
      <c r="P1482" s="88"/>
      <c r="Q1482" s="88"/>
      <c r="R1482" s="78">
        <f>MAX(S1482:W1482)</f>
        <v>0</v>
      </c>
      <c r="S1482" s="88"/>
      <c r="T1482" s="88"/>
      <c r="U1482" s="88"/>
      <c r="V1482" s="88"/>
      <c r="W1482" s="88"/>
    </row>
    <row r="1483" spans="2:23" s="0" customFormat="0" ht="15">
      <c r="B1483" s="87" t="s">
        <v>1</v>
      </c>
      <c r="C1483" s="88" t="s">
        <v>5259</v>
      </c>
      <c r="D1483" s="88">
        <v>21736771</v>
      </c>
      <c r="E1483" s="88" t="s">
        <v>61</v>
      </c>
      <c r="F1483" s="88">
        <v>0</v>
      </c>
      <c r="G1483" s="78">
        <f>MAX(H1483,I1483,J1483)</f>
        <v>1</v>
      </c>
      <c r="H1483" s="88"/>
      <c r="I1483" s="88"/>
      <c r="J1483" s="78">
        <f>MAX(K1483:Q1483)</f>
        <v>1</v>
      </c>
      <c r="K1483" s="88">
        <v>1</v>
      </c>
      <c r="L1483" s="88"/>
      <c r="M1483" s="88"/>
      <c r="N1483" s="88"/>
      <c r="O1483" s="88"/>
      <c r="P1483" s="88"/>
      <c r="Q1483" s="88"/>
      <c r="R1483" s="78">
        <f>MAX(S1483:W1483)</f>
        <v>0</v>
      </c>
      <c r="S1483" s="88"/>
      <c r="T1483" s="88"/>
      <c r="U1483" s="88"/>
      <c r="V1483" s="88"/>
      <c r="W1483" s="88"/>
    </row>
    <row r="1484" spans="2:23" s="0" customFormat="0" ht="15">
      <c r="B1484" s="87" t="s">
        <v>1</v>
      </c>
      <c r="C1484" s="88" t="s">
        <v>5259</v>
      </c>
      <c r="D1484" s="88" t="s">
        <v>1226</v>
      </c>
      <c r="E1484" s="88" t="s">
        <v>61</v>
      </c>
      <c r="F1484" s="88">
        <v>0</v>
      </c>
      <c r="G1484" s="78">
        <f>MAX(H1484,I1484,J1484)</f>
        <v>1</v>
      </c>
      <c r="H1484" s="88"/>
      <c r="I1484" s="88"/>
      <c r="J1484" s="78">
        <f>MAX(K1484:Q1484)</f>
        <v>1</v>
      </c>
      <c r="K1484" s="88">
        <v>1</v>
      </c>
      <c r="L1484" s="88"/>
      <c r="M1484" s="88"/>
      <c r="N1484" s="88"/>
      <c r="O1484" s="88"/>
      <c r="P1484" s="88"/>
      <c r="Q1484" s="88"/>
      <c r="R1484" s="78">
        <f>MAX(S1484:W1484)</f>
        <v>0</v>
      </c>
      <c r="S1484" s="88"/>
      <c r="T1484" s="88"/>
      <c r="U1484" s="88"/>
      <c r="V1484" s="88"/>
      <c r="W1484" s="88"/>
    </row>
    <row r="1485" spans="2:23" s="0" customFormat="0" ht="15">
      <c r="B1485" s="87" t="s">
        <v>1</v>
      </c>
      <c r="C1485" s="88" t="s">
        <v>5259</v>
      </c>
      <c r="D1485" s="88">
        <v>15479984</v>
      </c>
      <c r="E1485" s="88" t="s">
        <v>61</v>
      </c>
      <c r="F1485" s="88">
        <v>0</v>
      </c>
      <c r="G1485" s="78">
        <f>MAX(H1485,I1485,J1485)</f>
        <v>1</v>
      </c>
      <c r="H1485" s="88"/>
      <c r="I1485" s="88"/>
      <c r="J1485" s="78">
        <f>MAX(K1485:Q1485)</f>
        <v>1</v>
      </c>
      <c r="K1485" s="88">
        <v>1</v>
      </c>
      <c r="L1485" s="88"/>
      <c r="M1485" s="88"/>
      <c r="N1485" s="88"/>
      <c r="O1485" s="88"/>
      <c r="P1485" s="88"/>
      <c r="Q1485" s="88"/>
      <c r="R1485" s="78">
        <f>MAX(S1485:W1485)</f>
        <v>0</v>
      </c>
      <c r="S1485" s="88"/>
      <c r="T1485" s="88"/>
      <c r="U1485" s="88"/>
      <c r="V1485" s="88"/>
      <c r="W1485" s="88"/>
    </row>
    <row r="1486" spans="2:23" s="0" customFormat="0" ht="15">
      <c r="B1486" s="87" t="s">
        <v>1</v>
      </c>
      <c r="C1486" s="88" t="s">
        <v>5259</v>
      </c>
      <c r="D1486" s="88">
        <v>23264059</v>
      </c>
      <c r="E1486" s="88" t="s">
        <v>61</v>
      </c>
      <c r="F1486" s="88">
        <v>0</v>
      </c>
      <c r="G1486" s="78">
        <f>MAX(H1486,I1486,J1486)</f>
        <v>1</v>
      </c>
      <c r="H1486" s="88"/>
      <c r="I1486" s="88"/>
      <c r="J1486" s="78">
        <f>MAX(K1486:Q1486)</f>
        <v>1</v>
      </c>
      <c r="K1486" s="88">
        <v>1</v>
      </c>
      <c r="L1486" s="88"/>
      <c r="M1486" s="88"/>
      <c r="N1486" s="88"/>
      <c r="O1486" s="88"/>
      <c r="P1486" s="88"/>
      <c r="Q1486" s="88"/>
      <c r="R1486" s="78">
        <f>MAX(S1486:W1486)</f>
        <v>0</v>
      </c>
      <c r="S1486" s="88"/>
      <c r="T1486" s="88"/>
      <c r="U1486" s="88"/>
      <c r="V1486" s="88"/>
      <c r="W1486" s="88"/>
    </row>
    <row r="1487" spans="2:23" s="0" customFormat="0" ht="15">
      <c r="B1487" s="87" t="s">
        <v>1</v>
      </c>
      <c r="C1487" s="88" t="s">
        <v>5259</v>
      </c>
      <c r="D1487" s="88">
        <v>12299582</v>
      </c>
      <c r="E1487" s="88" t="s">
        <v>61</v>
      </c>
      <c r="F1487" s="88">
        <v>0</v>
      </c>
      <c r="G1487" s="78">
        <f>MAX(H1487,I1487,J1487)</f>
        <v>1</v>
      </c>
      <c r="H1487" s="88"/>
      <c r="I1487" s="88"/>
      <c r="J1487" s="78">
        <f>MAX(K1487:Q1487)</f>
        <v>1</v>
      </c>
      <c r="K1487" s="88">
        <v>1</v>
      </c>
      <c r="L1487" s="88"/>
      <c r="M1487" s="88"/>
      <c r="N1487" s="88"/>
      <c r="O1487" s="88"/>
      <c r="P1487" s="88"/>
      <c r="Q1487" s="88"/>
      <c r="R1487" s="78">
        <f>MAX(S1487:W1487)</f>
        <v>0</v>
      </c>
      <c r="S1487" s="88"/>
      <c r="T1487" s="88"/>
      <c r="U1487" s="88"/>
      <c r="V1487" s="88"/>
      <c r="W1487" s="88"/>
    </row>
    <row r="1488" spans="2:23" s="0" customFormat="0" ht="15">
      <c r="B1488" s="87" t="s">
        <v>1</v>
      </c>
      <c r="C1488" s="88" t="s">
        <v>5259</v>
      </c>
      <c r="D1488" s="88" t="s">
        <v>1230</v>
      </c>
      <c r="E1488" s="88" t="s">
        <v>61</v>
      </c>
      <c r="F1488" s="88">
        <v>0</v>
      </c>
      <c r="G1488" s="78">
        <f>MAX(H1488,I1488,J1488)</f>
        <v>1</v>
      </c>
      <c r="H1488" s="88"/>
      <c r="I1488" s="88"/>
      <c r="J1488" s="78">
        <f>MAX(K1488:Q1488)</f>
        <v>1</v>
      </c>
      <c r="K1488" s="88">
        <v>1</v>
      </c>
      <c r="L1488" s="88"/>
      <c r="M1488" s="88"/>
      <c r="N1488" s="88"/>
      <c r="O1488" s="88"/>
      <c r="P1488" s="88"/>
      <c r="Q1488" s="88"/>
      <c r="R1488" s="78">
        <f>MAX(S1488:W1488)</f>
        <v>0</v>
      </c>
      <c r="S1488" s="88"/>
      <c r="T1488" s="88"/>
      <c r="U1488" s="88"/>
      <c r="V1488" s="88"/>
      <c r="W1488" s="88"/>
    </row>
    <row r="1489" spans="2:23" s="0" customFormat="0" ht="15">
      <c r="B1489" s="87" t="s">
        <v>1</v>
      </c>
      <c r="C1489" s="88" t="s">
        <v>5259</v>
      </c>
      <c r="D1489" s="88">
        <v>24674941</v>
      </c>
      <c r="E1489" s="88" t="s">
        <v>61</v>
      </c>
      <c r="F1489" s="88">
        <v>0</v>
      </c>
      <c r="G1489" s="78">
        <f>MAX(H1489,I1489,J1489)</f>
        <v>1</v>
      </c>
      <c r="H1489" s="88"/>
      <c r="I1489" s="88"/>
      <c r="J1489" s="78">
        <f>MAX(K1489:Q1489)</f>
        <v>1</v>
      </c>
      <c r="K1489" s="88"/>
      <c r="L1489" s="88"/>
      <c r="M1489" s="88">
        <v>1</v>
      </c>
      <c r="N1489" s="88"/>
      <c r="O1489" s="88"/>
      <c r="P1489" s="88"/>
      <c r="Q1489" s="88"/>
      <c r="R1489" s="78">
        <f>MAX(S1489:W1489)</f>
        <v>0</v>
      </c>
      <c r="S1489" s="88"/>
      <c r="T1489" s="88"/>
      <c r="U1489" s="88"/>
      <c r="V1489" s="88"/>
      <c r="W1489" s="88"/>
    </row>
    <row r="1490" spans="2:23" s="0" customFormat="0" ht="15">
      <c r="B1490" s="87" t="s">
        <v>1</v>
      </c>
      <c r="C1490" s="88" t="s">
        <v>5259</v>
      </c>
      <c r="D1490" s="88">
        <v>22554110</v>
      </c>
      <c r="E1490" s="88" t="s">
        <v>61</v>
      </c>
      <c r="F1490" s="88">
        <v>0</v>
      </c>
      <c r="G1490" s="78">
        <f>MAX(H1490,I1490,J1490)</f>
        <v>0</v>
      </c>
      <c r="H1490" s="88"/>
      <c r="I1490" s="88"/>
      <c r="J1490" s="78">
        <f>MAX(K1490:Q1490)</f>
        <v>0</v>
      </c>
      <c r="K1490" s="88"/>
      <c r="L1490" s="88"/>
      <c r="M1490" s="88"/>
      <c r="N1490" s="88"/>
      <c r="O1490" s="88"/>
      <c r="P1490" s="88"/>
      <c r="Q1490" s="88"/>
      <c r="R1490" s="78">
        <f>MAX(S1490:W1490)</f>
        <v>1</v>
      </c>
      <c r="S1490" s="88"/>
      <c r="T1490" s="88"/>
      <c r="U1490" s="88">
        <v>1</v>
      </c>
      <c r="V1490" s="88"/>
      <c r="W1490" s="88"/>
    </row>
    <row r="1491" spans="2:23" s="0" customFormat="0" ht="15">
      <c r="B1491" s="87" t="s">
        <v>1</v>
      </c>
      <c r="C1491" s="88" t="s">
        <v>5259</v>
      </c>
      <c r="D1491" s="88" t="s">
        <v>3417</v>
      </c>
      <c r="E1491" s="88" t="s">
        <v>61</v>
      </c>
      <c r="F1491" s="88">
        <v>0</v>
      </c>
      <c r="G1491" s="78">
        <f>MAX(H1491,I1491,J1491)</f>
        <v>0</v>
      </c>
      <c r="H1491" s="88"/>
      <c r="I1491" s="88"/>
      <c r="J1491" s="78">
        <f>MAX(K1491:Q1491)</f>
        <v>0</v>
      </c>
      <c r="K1491" s="88"/>
      <c r="L1491" s="88"/>
      <c r="M1491" s="88"/>
      <c r="N1491" s="88"/>
      <c r="O1491" s="88"/>
      <c r="P1491" s="88"/>
      <c r="Q1491" s="88"/>
      <c r="R1491" s="78">
        <f>MAX(S1491:W1491)</f>
        <v>1</v>
      </c>
      <c r="S1491" s="88"/>
      <c r="T1491" s="88"/>
      <c r="U1491" s="88">
        <v>1</v>
      </c>
      <c r="V1491" s="88"/>
      <c r="W1491" s="88"/>
    </row>
    <row r="1492" spans="2:23" s="0" customFormat="0" ht="15">
      <c r="B1492" s="87" t="s">
        <v>1</v>
      </c>
      <c r="C1492" s="88" t="s">
        <v>5259</v>
      </c>
      <c r="D1492" s="88" t="s">
        <v>4000</v>
      </c>
      <c r="E1492" s="88" t="s">
        <v>61</v>
      </c>
      <c r="F1492" s="88">
        <v>0</v>
      </c>
      <c r="G1492" s="78">
        <f>MAX(H1492,I1492,J1492)</f>
        <v>0</v>
      </c>
      <c r="H1492" s="88"/>
      <c r="I1492" s="88"/>
      <c r="J1492" s="78">
        <f>MAX(K1492:Q1492)</f>
        <v>0</v>
      </c>
      <c r="K1492" s="88"/>
      <c r="L1492" s="88"/>
      <c r="M1492" s="88"/>
      <c r="N1492" s="88"/>
      <c r="O1492" s="88"/>
      <c r="P1492" s="88"/>
      <c r="Q1492" s="88"/>
      <c r="R1492" s="78">
        <f>MAX(S1492:W1492)</f>
        <v>1</v>
      </c>
      <c r="S1492" s="88"/>
      <c r="T1492" s="88"/>
      <c r="U1492" s="88">
        <v>1</v>
      </c>
      <c r="V1492" s="88"/>
      <c r="W1492" s="88"/>
    </row>
    <row r="1493" spans="2:23" s="0" customFormat="0" ht="15">
      <c r="B1493" s="87" t="s">
        <v>1</v>
      </c>
      <c r="C1493" s="88" t="s">
        <v>5259</v>
      </c>
      <c r="D1493" s="88">
        <v>14579747</v>
      </c>
      <c r="E1493" s="88" t="s">
        <v>61</v>
      </c>
      <c r="F1493" s="88">
        <v>0</v>
      </c>
      <c r="G1493" s="78">
        <f>MAX(H1493,I1493,J1493)</f>
        <v>1</v>
      </c>
      <c r="H1493" s="88"/>
      <c r="I1493" s="88"/>
      <c r="J1493" s="78">
        <f>MAX(K1493:Q1493)</f>
        <v>1</v>
      </c>
      <c r="K1493" s="88">
        <v>1</v>
      </c>
      <c r="L1493" s="88"/>
      <c r="M1493" s="88"/>
      <c r="N1493" s="88"/>
      <c r="O1493" s="88"/>
      <c r="P1493" s="88"/>
      <c r="Q1493" s="88"/>
      <c r="R1493" s="78">
        <f>MAX(S1493:W1493)</f>
        <v>0</v>
      </c>
      <c r="S1493" s="88"/>
      <c r="T1493" s="88"/>
      <c r="U1493" s="88"/>
      <c r="V1493" s="88"/>
      <c r="W1493" s="88"/>
    </row>
    <row r="1494" spans="2:23" s="0" customFormat="0" ht="15">
      <c r="B1494" s="87" t="s">
        <v>1</v>
      </c>
      <c r="C1494" s="88" t="s">
        <v>5259</v>
      </c>
      <c r="D1494" s="88">
        <v>22623662</v>
      </c>
      <c r="E1494" s="88" t="s">
        <v>61</v>
      </c>
      <c r="F1494" s="88">
        <v>0</v>
      </c>
      <c r="G1494" s="78">
        <f>MAX(H1494,I1494,J1494)</f>
        <v>0</v>
      </c>
      <c r="H1494" s="88"/>
      <c r="I1494" s="88"/>
      <c r="J1494" s="78">
        <f>MAX(K1494:Q1494)</f>
        <v>0</v>
      </c>
      <c r="K1494" s="88"/>
      <c r="L1494" s="88"/>
      <c r="M1494" s="88"/>
      <c r="N1494" s="88"/>
      <c r="O1494" s="88"/>
      <c r="P1494" s="88"/>
      <c r="Q1494" s="88"/>
      <c r="R1494" s="78">
        <f>MAX(S1494:W1494)</f>
        <v>1</v>
      </c>
      <c r="S1494" s="88"/>
      <c r="T1494" s="88"/>
      <c r="U1494" s="88">
        <v>1</v>
      </c>
      <c r="V1494" s="88"/>
      <c r="W1494" s="88"/>
    </row>
    <row r="1495" spans="2:23" s="0" customFormat="0" ht="15">
      <c r="B1495" s="87" t="s">
        <v>1</v>
      </c>
      <c r="C1495" s="88" t="s">
        <v>5259</v>
      </c>
      <c r="D1495" s="88">
        <v>21743758</v>
      </c>
      <c r="E1495" s="88" t="s">
        <v>61</v>
      </c>
      <c r="F1495" s="88">
        <v>0</v>
      </c>
      <c r="G1495" s="78">
        <f>MAX(H1495,I1495,J1495)</f>
        <v>1</v>
      </c>
      <c r="H1495" s="88"/>
      <c r="I1495" s="88"/>
      <c r="J1495" s="78">
        <f>MAX(K1495:Q1495)</f>
        <v>1</v>
      </c>
      <c r="K1495" s="88">
        <v>1</v>
      </c>
      <c r="L1495" s="88"/>
      <c r="M1495" s="88"/>
      <c r="N1495" s="88"/>
      <c r="O1495" s="88"/>
      <c r="P1495" s="88"/>
      <c r="Q1495" s="88"/>
      <c r="R1495" s="78">
        <f>MAX(S1495:W1495)</f>
        <v>0</v>
      </c>
      <c r="S1495" s="88"/>
      <c r="T1495" s="88"/>
      <c r="U1495" s="88"/>
      <c r="V1495" s="88"/>
      <c r="W1495" s="88"/>
    </row>
    <row r="1496" spans="2:23" s="0" customFormat="0" ht="15">
      <c r="B1496" s="87" t="s">
        <v>1</v>
      </c>
      <c r="C1496" s="88" t="s">
        <v>5259</v>
      </c>
      <c r="D1496" s="88" t="s">
        <v>4003</v>
      </c>
      <c r="E1496" s="88" t="s">
        <v>61</v>
      </c>
      <c r="F1496" s="88">
        <v>0</v>
      </c>
      <c r="G1496" s="78">
        <f>MAX(H1496,I1496,J1496)</f>
        <v>0</v>
      </c>
      <c r="H1496" s="88"/>
      <c r="I1496" s="88"/>
      <c r="J1496" s="78">
        <f>MAX(K1496:Q1496)</f>
        <v>0</v>
      </c>
      <c r="K1496" s="88"/>
      <c r="L1496" s="88"/>
      <c r="M1496" s="88"/>
      <c r="N1496" s="88"/>
      <c r="O1496" s="88"/>
      <c r="P1496" s="88"/>
      <c r="Q1496" s="88"/>
      <c r="R1496" s="78">
        <f>MAX(S1496:W1496)</f>
        <v>1</v>
      </c>
      <c r="S1496" s="88"/>
      <c r="T1496" s="88"/>
      <c r="U1496" s="88">
        <v>1</v>
      </c>
      <c r="V1496" s="88"/>
      <c r="W1496" s="88"/>
    </row>
    <row r="1497" spans="2:23" s="0" customFormat="0" ht="15">
      <c r="B1497" s="87" t="s">
        <v>1</v>
      </c>
      <c r="C1497" s="88" t="s">
        <v>5259</v>
      </c>
      <c r="D1497" s="88">
        <v>14542527</v>
      </c>
      <c r="E1497" s="88" t="s">
        <v>61</v>
      </c>
      <c r="F1497" s="88">
        <v>0</v>
      </c>
      <c r="G1497" s="78">
        <f>MAX(H1497,I1497,J1497)</f>
        <v>1</v>
      </c>
      <c r="H1497" s="88"/>
      <c r="I1497" s="88"/>
      <c r="J1497" s="78">
        <f>MAX(K1497:Q1497)</f>
        <v>1</v>
      </c>
      <c r="K1497" s="88">
        <v>1</v>
      </c>
      <c r="L1497" s="88"/>
      <c r="M1497" s="88"/>
      <c r="N1497" s="88"/>
      <c r="O1497" s="88"/>
      <c r="P1497" s="88"/>
      <c r="Q1497" s="88"/>
      <c r="R1497" s="78">
        <f>MAX(S1497:W1497)</f>
        <v>0</v>
      </c>
      <c r="S1497" s="88"/>
      <c r="T1497" s="88"/>
      <c r="U1497" s="88"/>
      <c r="V1497" s="88"/>
      <c r="W1497" s="88"/>
    </row>
    <row r="1498" spans="2:23" s="0" customFormat="0" ht="15">
      <c r="B1498" s="87" t="s">
        <v>1</v>
      </c>
      <c r="C1498" s="88" t="s">
        <v>5259</v>
      </c>
      <c r="D1498" s="88">
        <v>21365024</v>
      </c>
      <c r="E1498" s="88" t="s">
        <v>61</v>
      </c>
      <c r="F1498" s="88">
        <v>0</v>
      </c>
      <c r="G1498" s="78">
        <f>MAX(H1498,I1498,J1498)</f>
        <v>1</v>
      </c>
      <c r="H1498" s="88"/>
      <c r="I1498" s="88"/>
      <c r="J1498" s="78">
        <f>MAX(K1498:Q1498)</f>
        <v>1</v>
      </c>
      <c r="K1498" s="88">
        <v>1</v>
      </c>
      <c r="L1498" s="88"/>
      <c r="M1498" s="88"/>
      <c r="N1498" s="88"/>
      <c r="O1498" s="88"/>
      <c r="P1498" s="88"/>
      <c r="Q1498" s="88"/>
      <c r="R1498" s="78">
        <f>MAX(S1498:W1498)</f>
        <v>0</v>
      </c>
      <c r="S1498" s="88"/>
      <c r="T1498" s="88"/>
      <c r="U1498" s="88"/>
      <c r="V1498" s="88"/>
      <c r="W1498" s="88"/>
    </row>
    <row r="1499" spans="2:23" s="0" customFormat="0" ht="15">
      <c r="B1499" s="87" t="s">
        <v>1</v>
      </c>
      <c r="C1499" s="88" t="s">
        <v>5259</v>
      </c>
      <c r="D1499" s="88">
        <v>20081374</v>
      </c>
      <c r="E1499" s="88" t="s">
        <v>61</v>
      </c>
      <c r="F1499" s="88">
        <v>0</v>
      </c>
      <c r="G1499" s="78">
        <f>MAX(H1499,I1499,J1499)</f>
        <v>1</v>
      </c>
      <c r="H1499" s="88"/>
      <c r="I1499" s="88"/>
      <c r="J1499" s="78">
        <f>MAX(K1499:Q1499)</f>
        <v>1</v>
      </c>
      <c r="K1499" s="88"/>
      <c r="L1499" s="88"/>
      <c r="M1499" s="88">
        <v>1</v>
      </c>
      <c r="N1499" s="88"/>
      <c r="O1499" s="88"/>
      <c r="P1499" s="88"/>
      <c r="Q1499" s="88"/>
      <c r="R1499" s="78">
        <f>MAX(S1499:W1499)</f>
        <v>0</v>
      </c>
      <c r="S1499" s="88"/>
      <c r="T1499" s="88"/>
      <c r="U1499" s="88"/>
      <c r="V1499" s="88"/>
      <c r="W1499" s="88"/>
    </row>
    <row r="1500" spans="2:23" s="0" customFormat="0" ht="15">
      <c r="B1500" s="87" t="s">
        <v>1</v>
      </c>
      <c r="C1500" s="88" t="s">
        <v>5259</v>
      </c>
      <c r="D1500" s="88" t="s">
        <v>4005</v>
      </c>
      <c r="E1500" s="88" t="s">
        <v>61</v>
      </c>
      <c r="F1500" s="88">
        <v>0</v>
      </c>
      <c r="G1500" s="78">
        <f>MAX(H1500,I1500,J1500)</f>
        <v>0</v>
      </c>
      <c r="H1500" s="88"/>
      <c r="I1500" s="88"/>
      <c r="J1500" s="78">
        <f>MAX(K1500:Q1500)</f>
        <v>0</v>
      </c>
      <c r="K1500" s="88"/>
      <c r="L1500" s="88"/>
      <c r="M1500" s="88"/>
      <c r="N1500" s="88"/>
      <c r="O1500" s="88"/>
      <c r="P1500" s="88"/>
      <c r="Q1500" s="88"/>
      <c r="R1500" s="78">
        <f>MAX(S1500:W1500)</f>
        <v>1</v>
      </c>
      <c r="S1500" s="88"/>
      <c r="T1500" s="88"/>
      <c r="U1500" s="88">
        <v>1</v>
      </c>
      <c r="V1500" s="88"/>
      <c r="W1500" s="88"/>
    </row>
    <row r="1501" spans="2:23" s="0" customFormat="0" ht="15">
      <c r="B1501" s="87" t="s">
        <v>1</v>
      </c>
      <c r="C1501" s="88" t="s">
        <v>5259</v>
      </c>
      <c r="D1501" s="88" t="s">
        <v>4007</v>
      </c>
      <c r="E1501" s="88" t="s">
        <v>61</v>
      </c>
      <c r="F1501" s="88">
        <v>0</v>
      </c>
      <c r="G1501" s="78">
        <f>MAX(H1501,I1501,J1501)</f>
        <v>0</v>
      </c>
      <c r="H1501" s="88"/>
      <c r="I1501" s="88"/>
      <c r="J1501" s="78">
        <f>MAX(K1501:Q1501)</f>
        <v>0</v>
      </c>
      <c r="K1501" s="88"/>
      <c r="L1501" s="88"/>
      <c r="M1501" s="88"/>
      <c r="N1501" s="88"/>
      <c r="O1501" s="88"/>
      <c r="P1501" s="88"/>
      <c r="Q1501" s="88"/>
      <c r="R1501" s="78">
        <f>MAX(S1501:W1501)</f>
        <v>1</v>
      </c>
      <c r="S1501" s="88"/>
      <c r="T1501" s="88"/>
      <c r="U1501" s="88">
        <v>1</v>
      </c>
      <c r="V1501" s="88"/>
      <c r="W1501" s="88"/>
    </row>
    <row r="1502" spans="2:23" s="0" customFormat="0" ht="15">
      <c r="B1502" s="87" t="s">
        <v>1</v>
      </c>
      <c r="C1502" s="88" t="s">
        <v>5259</v>
      </c>
      <c r="D1502" s="88">
        <v>17357779</v>
      </c>
      <c r="E1502" s="88" t="s">
        <v>61</v>
      </c>
      <c r="F1502" s="88">
        <v>0</v>
      </c>
      <c r="G1502" s="78">
        <f>MAX(H1502,I1502,J1502)</f>
        <v>1</v>
      </c>
      <c r="H1502" s="88"/>
      <c r="I1502" s="88"/>
      <c r="J1502" s="78">
        <f>MAX(K1502:Q1502)</f>
        <v>1</v>
      </c>
      <c r="K1502" s="88">
        <v>1</v>
      </c>
      <c r="L1502" s="88"/>
      <c r="M1502" s="88"/>
      <c r="N1502" s="88"/>
      <c r="O1502" s="88"/>
      <c r="P1502" s="88"/>
      <c r="Q1502" s="88"/>
      <c r="R1502" s="78">
        <f>MAX(S1502:W1502)</f>
        <v>0</v>
      </c>
      <c r="S1502" s="88"/>
      <c r="T1502" s="88"/>
      <c r="U1502" s="88"/>
      <c r="V1502" s="88"/>
      <c r="W1502" s="88"/>
    </row>
    <row r="1503" spans="2:23" s="0" customFormat="0" ht="15">
      <c r="B1503" s="87" t="s">
        <v>1</v>
      </c>
      <c r="C1503" s="88" t="s">
        <v>5259</v>
      </c>
      <c r="D1503" s="88">
        <v>2422615</v>
      </c>
      <c r="E1503" s="88" t="s">
        <v>61</v>
      </c>
      <c r="F1503" s="88">
        <v>0</v>
      </c>
      <c r="G1503" s="78">
        <f>MAX(H1503,I1503,J1503)</f>
        <v>1</v>
      </c>
      <c r="H1503" s="88"/>
      <c r="I1503" s="88"/>
      <c r="J1503" s="78">
        <f>MAX(K1503:Q1503)</f>
        <v>1</v>
      </c>
      <c r="K1503" s="88">
        <v>1</v>
      </c>
      <c r="L1503" s="88"/>
      <c r="M1503" s="88"/>
      <c r="N1503" s="88"/>
      <c r="O1503" s="88"/>
      <c r="P1503" s="88"/>
      <c r="Q1503" s="88"/>
      <c r="R1503" s="78">
        <f>MAX(S1503:W1503)</f>
        <v>0</v>
      </c>
      <c r="S1503" s="88"/>
      <c r="T1503" s="88"/>
      <c r="U1503" s="88"/>
      <c r="V1503" s="88"/>
      <c r="W1503" s="88"/>
    </row>
    <row r="1504" spans="2:23" s="0" customFormat="0" ht="15">
      <c r="B1504" s="87" t="s">
        <v>1</v>
      </c>
      <c r="C1504" s="88" t="s">
        <v>5259</v>
      </c>
      <c r="D1504" s="88">
        <v>12115855</v>
      </c>
      <c r="E1504" s="88" t="s">
        <v>61</v>
      </c>
      <c r="F1504" s="88">
        <v>0</v>
      </c>
      <c r="G1504" s="78">
        <f>MAX(H1504,I1504,J1504)</f>
        <v>1</v>
      </c>
      <c r="H1504" s="88"/>
      <c r="I1504" s="88"/>
      <c r="J1504" s="78">
        <f>MAX(K1504:Q1504)</f>
        <v>1</v>
      </c>
      <c r="K1504" s="88">
        <v>1</v>
      </c>
      <c r="L1504" s="88"/>
      <c r="M1504" s="88"/>
      <c r="N1504" s="88"/>
      <c r="O1504" s="88"/>
      <c r="P1504" s="88"/>
      <c r="Q1504" s="88"/>
      <c r="R1504" s="78">
        <f>MAX(S1504:W1504)</f>
        <v>0</v>
      </c>
      <c r="S1504" s="88"/>
      <c r="T1504" s="88"/>
      <c r="U1504" s="88"/>
      <c r="V1504" s="88"/>
      <c r="W1504" s="88"/>
    </row>
    <row r="1505" spans="2:23" s="0" customFormat="0" ht="15">
      <c r="B1505" s="87" t="s">
        <v>1</v>
      </c>
      <c r="C1505" s="88" t="s">
        <v>5259</v>
      </c>
      <c r="D1505" s="88">
        <v>7323825</v>
      </c>
      <c r="E1505" s="88" t="s">
        <v>61</v>
      </c>
      <c r="F1505" s="88">
        <v>0</v>
      </c>
      <c r="G1505" s="78">
        <f>MAX(H1505,I1505,J1505)</f>
        <v>1</v>
      </c>
      <c r="H1505" s="88"/>
      <c r="I1505" s="88"/>
      <c r="J1505" s="78">
        <f>MAX(K1505:Q1505)</f>
        <v>1</v>
      </c>
      <c r="K1505" s="88">
        <v>1</v>
      </c>
      <c r="L1505" s="88"/>
      <c r="M1505" s="88"/>
      <c r="N1505" s="88"/>
      <c r="O1505" s="88"/>
      <c r="P1505" s="88"/>
      <c r="Q1505" s="88"/>
      <c r="R1505" s="78">
        <f>MAX(S1505:W1505)</f>
        <v>0</v>
      </c>
      <c r="S1505" s="88"/>
      <c r="T1505" s="88"/>
      <c r="U1505" s="88"/>
      <c r="V1505" s="88"/>
      <c r="W1505" s="88"/>
    </row>
    <row r="1506" spans="2:23" s="0" customFormat="0" ht="15">
      <c r="B1506" s="87" t="s">
        <v>1</v>
      </c>
      <c r="C1506" s="88" t="s">
        <v>5259</v>
      </c>
      <c r="D1506" s="88" t="s">
        <v>4009</v>
      </c>
      <c r="E1506" s="88" t="s">
        <v>61</v>
      </c>
      <c r="F1506" s="88">
        <v>0</v>
      </c>
      <c r="G1506" s="78">
        <f>MAX(H1506,I1506,J1506)</f>
        <v>0</v>
      </c>
      <c r="H1506" s="88"/>
      <c r="I1506" s="88"/>
      <c r="J1506" s="78">
        <f>MAX(K1506:Q1506)</f>
        <v>0</v>
      </c>
      <c r="K1506" s="88"/>
      <c r="L1506" s="88"/>
      <c r="M1506" s="88"/>
      <c r="N1506" s="88"/>
      <c r="O1506" s="88"/>
      <c r="P1506" s="88"/>
      <c r="Q1506" s="88"/>
      <c r="R1506" s="78">
        <f>MAX(S1506:W1506)</f>
        <v>1</v>
      </c>
      <c r="S1506" s="88"/>
      <c r="T1506" s="88"/>
      <c r="U1506" s="88">
        <v>1</v>
      </c>
      <c r="V1506" s="88"/>
      <c r="W1506" s="88"/>
    </row>
    <row r="1507" spans="2:23" s="0" customFormat="0" ht="15">
      <c r="B1507" s="87" t="s">
        <v>1</v>
      </c>
      <c r="C1507" s="88" t="s">
        <v>5259</v>
      </c>
      <c r="D1507" s="88">
        <v>7920661</v>
      </c>
      <c r="E1507" s="88" t="s">
        <v>61</v>
      </c>
      <c r="F1507" s="88">
        <v>0</v>
      </c>
      <c r="G1507" s="78">
        <f>MAX(H1507,I1507,J1507)</f>
        <v>1</v>
      </c>
      <c r="H1507" s="88"/>
      <c r="I1507" s="88"/>
      <c r="J1507" s="78">
        <f>MAX(K1507:Q1507)</f>
        <v>1</v>
      </c>
      <c r="K1507" s="88">
        <v>1</v>
      </c>
      <c r="L1507" s="88"/>
      <c r="M1507" s="88"/>
      <c r="N1507" s="88"/>
      <c r="O1507" s="88"/>
      <c r="P1507" s="88"/>
      <c r="Q1507" s="88"/>
      <c r="R1507" s="78">
        <f>MAX(S1507:W1507)</f>
        <v>0</v>
      </c>
      <c r="S1507" s="88"/>
      <c r="T1507" s="88"/>
      <c r="U1507" s="88"/>
      <c r="V1507" s="88"/>
      <c r="W1507" s="88"/>
    </row>
    <row r="1508" spans="2:23" s="0" customFormat="0" ht="15">
      <c r="B1508" s="87" t="s">
        <v>1</v>
      </c>
      <c r="C1508" s="88" t="s">
        <v>5259</v>
      </c>
      <c r="D1508" s="88">
        <v>22125349</v>
      </c>
      <c r="E1508" s="88" t="s">
        <v>61</v>
      </c>
      <c r="F1508" s="88">
        <v>0</v>
      </c>
      <c r="G1508" s="78">
        <f>MAX(H1508,I1508,J1508)</f>
        <v>1</v>
      </c>
      <c r="H1508" s="88"/>
      <c r="I1508" s="88"/>
      <c r="J1508" s="78">
        <f>MAX(K1508:Q1508)</f>
        <v>1</v>
      </c>
      <c r="K1508" s="88">
        <v>1</v>
      </c>
      <c r="L1508" s="88"/>
      <c r="M1508" s="88"/>
      <c r="N1508" s="88"/>
      <c r="O1508" s="88"/>
      <c r="P1508" s="88"/>
      <c r="Q1508" s="88"/>
      <c r="R1508" s="78">
        <f>MAX(S1508:W1508)</f>
        <v>0</v>
      </c>
      <c r="S1508" s="88"/>
      <c r="T1508" s="88"/>
      <c r="U1508" s="88"/>
      <c r="V1508" s="88"/>
      <c r="W1508" s="88"/>
    </row>
    <row r="1509" spans="2:23" s="0" customFormat="0" ht="15">
      <c r="B1509" s="87" t="s">
        <v>1</v>
      </c>
      <c r="C1509" s="88" t="s">
        <v>5259</v>
      </c>
      <c r="D1509" s="88">
        <v>11082668</v>
      </c>
      <c r="E1509" s="88" t="s">
        <v>61</v>
      </c>
      <c r="F1509" s="88">
        <v>0</v>
      </c>
      <c r="G1509" s="78">
        <f>MAX(H1509,I1509,J1509)</f>
        <v>1</v>
      </c>
      <c r="H1509" s="88"/>
      <c r="I1509" s="88"/>
      <c r="J1509" s="78">
        <f>MAX(K1509:Q1509)</f>
        <v>1</v>
      </c>
      <c r="K1509" s="88">
        <v>1</v>
      </c>
      <c r="L1509" s="88"/>
      <c r="M1509" s="88"/>
      <c r="N1509" s="88"/>
      <c r="O1509" s="88"/>
      <c r="P1509" s="88"/>
      <c r="Q1509" s="88"/>
      <c r="R1509" s="78">
        <f>MAX(S1509:W1509)</f>
        <v>0</v>
      </c>
      <c r="S1509" s="88"/>
      <c r="T1509" s="88"/>
      <c r="U1509" s="88"/>
      <c r="V1509" s="88"/>
      <c r="W1509" s="88"/>
    </row>
    <row r="1510" spans="2:23" s="0" customFormat="0" ht="15">
      <c r="B1510" s="87" t="s">
        <v>1</v>
      </c>
      <c r="C1510" s="88" t="s">
        <v>5259</v>
      </c>
      <c r="D1510" s="88">
        <v>22554418</v>
      </c>
      <c r="E1510" s="88" t="s">
        <v>61</v>
      </c>
      <c r="F1510" s="88">
        <v>0</v>
      </c>
      <c r="G1510" s="78">
        <f>MAX(H1510,I1510,J1510)</f>
        <v>0</v>
      </c>
      <c r="H1510" s="88"/>
      <c r="I1510" s="88"/>
      <c r="J1510" s="78">
        <f>MAX(K1510:Q1510)</f>
        <v>0</v>
      </c>
      <c r="K1510" s="88"/>
      <c r="L1510" s="88"/>
      <c r="M1510" s="88"/>
      <c r="N1510" s="88"/>
      <c r="O1510" s="88"/>
      <c r="P1510" s="88"/>
      <c r="Q1510" s="88"/>
      <c r="R1510" s="78">
        <f>MAX(S1510:W1510)</f>
        <v>1</v>
      </c>
      <c r="S1510" s="88"/>
      <c r="T1510" s="88"/>
      <c r="U1510" s="88">
        <v>1</v>
      </c>
      <c r="V1510" s="88"/>
      <c r="W1510" s="88"/>
    </row>
    <row r="1511" spans="2:23" s="0" customFormat="0" ht="15">
      <c r="B1511" s="87" t="s">
        <v>1</v>
      </c>
      <c r="C1511" s="88" t="s">
        <v>5259</v>
      </c>
      <c r="D1511" s="88">
        <v>1928022</v>
      </c>
      <c r="E1511" s="88" t="s">
        <v>61</v>
      </c>
      <c r="F1511" s="88">
        <v>0</v>
      </c>
      <c r="G1511" s="78">
        <f>MAX(H1511,I1511,J1511)</f>
        <v>0</v>
      </c>
      <c r="H1511" s="88"/>
      <c r="I1511" s="88"/>
      <c r="J1511" s="78">
        <f>MAX(K1511:Q1511)</f>
        <v>0</v>
      </c>
      <c r="K1511" s="88"/>
      <c r="L1511" s="88"/>
      <c r="M1511" s="88"/>
      <c r="N1511" s="88"/>
      <c r="O1511" s="88"/>
      <c r="P1511" s="88"/>
      <c r="Q1511" s="88"/>
      <c r="R1511" s="78">
        <f>MAX(S1511:W1511)</f>
        <v>1</v>
      </c>
      <c r="S1511" s="88"/>
      <c r="T1511" s="88"/>
      <c r="U1511" s="88">
        <v>1</v>
      </c>
      <c r="V1511" s="88"/>
      <c r="W1511" s="88"/>
    </row>
    <row r="1512" spans="2:23" s="0" customFormat="0" ht="15">
      <c r="B1512" s="87" t="s">
        <v>1</v>
      </c>
      <c r="C1512" s="88" t="s">
        <v>5259</v>
      </c>
      <c r="D1512" s="88">
        <v>17619874</v>
      </c>
      <c r="E1512" s="88" t="s">
        <v>61</v>
      </c>
      <c r="F1512" s="88">
        <v>0</v>
      </c>
      <c r="G1512" s="78">
        <f>MAX(H1512,I1512,J1512)</f>
        <v>0</v>
      </c>
      <c r="H1512" s="88"/>
      <c r="I1512" s="88"/>
      <c r="J1512" s="78">
        <f>MAX(K1512:Q1512)</f>
        <v>0</v>
      </c>
      <c r="K1512" s="88"/>
      <c r="L1512" s="88"/>
      <c r="M1512" s="88"/>
      <c r="N1512" s="88"/>
      <c r="O1512" s="88"/>
      <c r="P1512" s="88"/>
      <c r="Q1512" s="88"/>
      <c r="R1512" s="78">
        <f>MAX(S1512:W1512)</f>
        <v>1</v>
      </c>
      <c r="S1512" s="88"/>
      <c r="T1512" s="88"/>
      <c r="U1512" s="88">
        <v>1</v>
      </c>
      <c r="V1512" s="88"/>
      <c r="W1512" s="88"/>
    </row>
    <row r="1513" spans="2:23" s="0" customFormat="0" ht="15">
      <c r="B1513" s="87" t="s">
        <v>1</v>
      </c>
      <c r="C1513" s="88" t="s">
        <v>5259</v>
      </c>
      <c r="D1513" s="88" t="s">
        <v>1239</v>
      </c>
      <c r="E1513" s="88" t="s">
        <v>61</v>
      </c>
      <c r="F1513" s="88">
        <v>0</v>
      </c>
      <c r="G1513" s="78">
        <f>MAX(H1513,I1513,J1513)</f>
        <v>1</v>
      </c>
      <c r="H1513" s="88"/>
      <c r="I1513" s="88"/>
      <c r="J1513" s="78">
        <f>MAX(K1513:Q1513)</f>
        <v>1</v>
      </c>
      <c r="K1513" s="88">
        <v>1</v>
      </c>
      <c r="L1513" s="88"/>
      <c r="M1513" s="88"/>
      <c r="N1513" s="88"/>
      <c r="O1513" s="88"/>
      <c r="P1513" s="88"/>
      <c r="Q1513" s="88"/>
      <c r="R1513" s="78">
        <f>MAX(S1513:W1513)</f>
        <v>0</v>
      </c>
      <c r="S1513" s="88"/>
      <c r="T1513" s="88"/>
      <c r="U1513" s="88"/>
      <c r="V1513" s="88"/>
      <c r="W1513" s="88"/>
    </row>
    <row r="1514" spans="2:23" s="0" customFormat="0" ht="15">
      <c r="B1514" s="87" t="s">
        <v>1</v>
      </c>
      <c r="C1514" s="88" t="s">
        <v>5259</v>
      </c>
      <c r="D1514" s="88" t="s">
        <v>835</v>
      </c>
      <c r="E1514" s="88" t="s">
        <v>61</v>
      </c>
      <c r="F1514" s="88">
        <v>0</v>
      </c>
      <c r="G1514" s="78">
        <f>MAX(H1514,I1514,J1514)</f>
        <v>1</v>
      </c>
      <c r="H1514" s="88"/>
      <c r="I1514" s="88"/>
      <c r="J1514" s="78">
        <f>MAX(K1514:Q1514)</f>
        <v>1</v>
      </c>
      <c r="K1514" s="88">
        <v>1</v>
      </c>
      <c r="L1514" s="88"/>
      <c r="M1514" s="88"/>
      <c r="N1514" s="88"/>
      <c r="O1514" s="88"/>
      <c r="P1514" s="88"/>
      <c r="Q1514" s="88"/>
      <c r="R1514" s="78">
        <f>MAX(S1514:W1514)</f>
        <v>0</v>
      </c>
      <c r="S1514" s="88"/>
      <c r="T1514" s="88"/>
      <c r="U1514" s="88"/>
      <c r="V1514" s="88"/>
      <c r="W1514" s="88"/>
    </row>
    <row r="1515" spans="2:23" s="0" customFormat="0" ht="15">
      <c r="B1515" s="87" t="s">
        <v>1</v>
      </c>
      <c r="C1515" s="88" t="s">
        <v>5259</v>
      </c>
      <c r="D1515" s="88">
        <v>24696645</v>
      </c>
      <c r="E1515" s="88" t="s">
        <v>61</v>
      </c>
      <c r="F1515" s="88">
        <v>0</v>
      </c>
      <c r="G1515" s="78">
        <f>MAX(H1515,I1515,J1515)</f>
        <v>1</v>
      </c>
      <c r="H1515" s="88"/>
      <c r="I1515" s="88"/>
      <c r="J1515" s="78">
        <f>MAX(K1515:Q1515)</f>
        <v>1</v>
      </c>
      <c r="K1515" s="88">
        <v>1</v>
      </c>
      <c r="L1515" s="88"/>
      <c r="M1515" s="88"/>
      <c r="N1515" s="88"/>
      <c r="O1515" s="88"/>
      <c r="P1515" s="88"/>
      <c r="Q1515" s="88"/>
      <c r="R1515" s="78">
        <f>MAX(S1515:W1515)</f>
        <v>0</v>
      </c>
      <c r="S1515" s="88"/>
      <c r="T1515" s="88"/>
      <c r="U1515" s="88"/>
      <c r="V1515" s="88"/>
      <c r="W1515" s="88"/>
    </row>
    <row r="1516" spans="2:23" s="0" customFormat="0" ht="15">
      <c r="B1516" s="87" t="s">
        <v>1</v>
      </c>
      <c r="C1516" s="88" t="s">
        <v>5259</v>
      </c>
      <c r="D1516" s="88" t="s">
        <v>1241</v>
      </c>
      <c r="E1516" s="88" t="s">
        <v>61</v>
      </c>
      <c r="F1516" s="88">
        <v>0</v>
      </c>
      <c r="G1516" s="78">
        <f>MAX(H1516,I1516,J1516)</f>
        <v>1</v>
      </c>
      <c r="H1516" s="88"/>
      <c r="I1516" s="88"/>
      <c r="J1516" s="78">
        <f>MAX(K1516:Q1516)</f>
        <v>1</v>
      </c>
      <c r="K1516" s="88">
        <v>1</v>
      </c>
      <c r="L1516" s="88"/>
      <c r="M1516" s="88"/>
      <c r="N1516" s="88"/>
      <c r="O1516" s="88"/>
      <c r="P1516" s="88"/>
      <c r="Q1516" s="88"/>
      <c r="R1516" s="78">
        <f>MAX(S1516:W1516)</f>
        <v>0</v>
      </c>
      <c r="S1516" s="88"/>
      <c r="T1516" s="88"/>
      <c r="U1516" s="88"/>
      <c r="V1516" s="88"/>
      <c r="W1516" s="88"/>
    </row>
    <row r="1517" spans="2:23" s="0" customFormat="0" ht="15">
      <c r="B1517" s="87" t="s">
        <v>1</v>
      </c>
      <c r="C1517" s="88" t="s">
        <v>5259</v>
      </c>
      <c r="D1517" s="88">
        <v>16974678</v>
      </c>
      <c r="E1517" s="88" t="s">
        <v>61</v>
      </c>
      <c r="F1517" s="88">
        <v>0</v>
      </c>
      <c r="G1517" s="78">
        <f>MAX(H1517,I1517,J1517)</f>
        <v>0</v>
      </c>
      <c r="H1517" s="88"/>
      <c r="I1517" s="88"/>
      <c r="J1517" s="78">
        <f>MAX(K1517:Q1517)</f>
        <v>0</v>
      </c>
      <c r="K1517" s="88"/>
      <c r="L1517" s="88"/>
      <c r="M1517" s="88"/>
      <c r="N1517" s="88"/>
      <c r="O1517" s="88"/>
      <c r="P1517" s="88"/>
      <c r="Q1517" s="88"/>
      <c r="R1517" s="78">
        <f>MAX(S1517:W1517)</f>
        <v>1</v>
      </c>
      <c r="S1517" s="88"/>
      <c r="T1517" s="88"/>
      <c r="U1517" s="88">
        <v>1</v>
      </c>
      <c r="V1517" s="88"/>
      <c r="W1517" s="88"/>
    </row>
    <row r="1518" spans="2:23" s="0" customFormat="0" ht="15">
      <c r="B1518" s="87" t="s">
        <v>1</v>
      </c>
      <c r="C1518" s="88" t="s">
        <v>5259</v>
      </c>
      <c r="D1518" s="88" t="s">
        <v>1243</v>
      </c>
      <c r="E1518" s="88" t="s">
        <v>61</v>
      </c>
      <c r="F1518" s="88">
        <v>0</v>
      </c>
      <c r="G1518" s="78">
        <f>MAX(H1518,I1518,J1518)</f>
        <v>1</v>
      </c>
      <c r="H1518" s="88"/>
      <c r="I1518" s="88"/>
      <c r="J1518" s="78">
        <f>MAX(K1518:Q1518)</f>
        <v>1</v>
      </c>
      <c r="K1518" s="88">
        <v>1</v>
      </c>
      <c r="L1518" s="88"/>
      <c r="M1518" s="88"/>
      <c r="N1518" s="88"/>
      <c r="O1518" s="88"/>
      <c r="P1518" s="88"/>
      <c r="Q1518" s="88"/>
      <c r="R1518" s="78">
        <f>MAX(S1518:W1518)</f>
        <v>0</v>
      </c>
      <c r="S1518" s="88"/>
      <c r="T1518" s="88"/>
      <c r="U1518" s="88"/>
      <c r="V1518" s="88"/>
      <c r="W1518" s="88"/>
    </row>
    <row r="1519" spans="2:23" s="0" customFormat="0" ht="15">
      <c r="B1519" s="87" t="s">
        <v>1</v>
      </c>
      <c r="C1519" s="88" t="s">
        <v>5259</v>
      </c>
      <c r="D1519" s="88" t="s">
        <v>4015</v>
      </c>
      <c r="E1519" s="88" t="s">
        <v>61</v>
      </c>
      <c r="F1519" s="88">
        <v>0</v>
      </c>
      <c r="G1519" s="78">
        <f>MAX(H1519,I1519,J1519)</f>
        <v>0</v>
      </c>
      <c r="H1519" s="88"/>
      <c r="I1519" s="88"/>
      <c r="J1519" s="78">
        <f>MAX(K1519:Q1519)</f>
        <v>0</v>
      </c>
      <c r="K1519" s="88"/>
      <c r="L1519" s="88"/>
      <c r="M1519" s="88"/>
      <c r="N1519" s="88"/>
      <c r="O1519" s="88"/>
      <c r="P1519" s="88"/>
      <c r="Q1519" s="88"/>
      <c r="R1519" s="78">
        <f>MAX(S1519:W1519)</f>
        <v>1</v>
      </c>
      <c r="S1519" s="88"/>
      <c r="T1519" s="88"/>
      <c r="U1519" s="88">
        <v>1</v>
      </c>
      <c r="V1519" s="88"/>
      <c r="W1519" s="88"/>
    </row>
    <row r="1520" spans="2:23" s="0" customFormat="0" ht="15">
      <c r="B1520" s="87" t="s">
        <v>1</v>
      </c>
      <c r="C1520" s="88" t="s">
        <v>5259</v>
      </c>
      <c r="D1520" s="88">
        <v>11812756</v>
      </c>
      <c r="E1520" s="88" t="s">
        <v>61</v>
      </c>
      <c r="F1520" s="88">
        <v>0</v>
      </c>
      <c r="G1520" s="78">
        <f>MAX(H1520,I1520,J1520)</f>
        <v>1</v>
      </c>
      <c r="H1520" s="88"/>
      <c r="I1520" s="88"/>
      <c r="J1520" s="78">
        <f>MAX(K1520:Q1520)</f>
        <v>1</v>
      </c>
      <c r="K1520" s="88">
        <v>1</v>
      </c>
      <c r="L1520" s="88"/>
      <c r="M1520" s="88"/>
      <c r="N1520" s="88"/>
      <c r="O1520" s="88"/>
      <c r="P1520" s="88"/>
      <c r="Q1520" s="88"/>
      <c r="R1520" s="78">
        <f>MAX(S1520:W1520)</f>
        <v>0</v>
      </c>
      <c r="S1520" s="88"/>
      <c r="T1520" s="88"/>
      <c r="U1520" s="88"/>
      <c r="V1520" s="88"/>
      <c r="W1520" s="88"/>
    </row>
    <row r="1521" spans="2:23" s="0" customFormat="0" ht="15">
      <c r="B1521" s="87" t="s">
        <v>1</v>
      </c>
      <c r="C1521" s="88" t="s">
        <v>5259</v>
      </c>
      <c r="D1521" s="88" t="s">
        <v>4017</v>
      </c>
      <c r="E1521" s="88" t="s">
        <v>61</v>
      </c>
      <c r="F1521" s="88">
        <v>0</v>
      </c>
      <c r="G1521" s="78">
        <f>MAX(H1521,I1521,J1521)</f>
        <v>0</v>
      </c>
      <c r="H1521" s="88"/>
      <c r="I1521" s="88"/>
      <c r="J1521" s="78">
        <f>MAX(K1521:Q1521)</f>
        <v>0</v>
      </c>
      <c r="K1521" s="88"/>
      <c r="L1521" s="88"/>
      <c r="M1521" s="88"/>
      <c r="N1521" s="88"/>
      <c r="O1521" s="88"/>
      <c r="P1521" s="88"/>
      <c r="Q1521" s="88"/>
      <c r="R1521" s="78">
        <f>MAX(S1521:W1521)</f>
        <v>1</v>
      </c>
      <c r="S1521" s="88"/>
      <c r="T1521" s="88"/>
      <c r="U1521" s="88">
        <v>1</v>
      </c>
      <c r="V1521" s="88"/>
      <c r="W1521" s="88"/>
    </row>
    <row r="1522" spans="2:23" s="0" customFormat="0" ht="15">
      <c r="B1522" s="87" t="s">
        <v>1</v>
      </c>
      <c r="C1522" s="88" t="s">
        <v>5259</v>
      </c>
      <c r="D1522" s="88">
        <v>21761408</v>
      </c>
      <c r="E1522" s="88" t="s">
        <v>61</v>
      </c>
      <c r="F1522" s="88">
        <v>0</v>
      </c>
      <c r="G1522" s="78">
        <f>MAX(H1522,I1522,J1522)</f>
        <v>1</v>
      </c>
      <c r="H1522" s="88"/>
      <c r="I1522" s="88"/>
      <c r="J1522" s="78">
        <f>MAX(K1522:Q1522)</f>
        <v>1</v>
      </c>
      <c r="K1522" s="88">
        <v>1</v>
      </c>
      <c r="L1522" s="88"/>
      <c r="M1522" s="88"/>
      <c r="N1522" s="88"/>
      <c r="O1522" s="88"/>
      <c r="P1522" s="88"/>
      <c r="Q1522" s="88"/>
      <c r="R1522" s="78">
        <f>MAX(S1522:W1522)</f>
        <v>0</v>
      </c>
      <c r="S1522" s="88"/>
      <c r="T1522" s="88"/>
      <c r="U1522" s="88"/>
      <c r="V1522" s="88"/>
      <c r="W1522" s="88"/>
    </row>
    <row r="1523" spans="2:23" s="0" customFormat="0" ht="15">
      <c r="B1523" s="87" t="s">
        <v>1</v>
      </c>
      <c r="C1523" s="88" t="s">
        <v>5259</v>
      </c>
      <c r="D1523" s="88" t="s">
        <v>4019</v>
      </c>
      <c r="E1523" s="88" t="s">
        <v>61</v>
      </c>
      <c r="F1523" s="88">
        <v>0</v>
      </c>
      <c r="G1523" s="78">
        <f>MAX(H1523,I1523,J1523)</f>
        <v>0</v>
      </c>
      <c r="H1523" s="88"/>
      <c r="I1523" s="88"/>
      <c r="J1523" s="78">
        <f>MAX(K1523:Q1523)</f>
        <v>0</v>
      </c>
      <c r="K1523" s="88"/>
      <c r="L1523" s="88"/>
      <c r="M1523" s="88"/>
      <c r="N1523" s="88"/>
      <c r="O1523" s="88"/>
      <c r="P1523" s="88"/>
      <c r="Q1523" s="88"/>
      <c r="R1523" s="78">
        <f>MAX(S1523:W1523)</f>
        <v>1</v>
      </c>
      <c r="S1523" s="88"/>
      <c r="T1523" s="88"/>
      <c r="U1523" s="88">
        <v>1</v>
      </c>
      <c r="V1523" s="88"/>
      <c r="W1523" s="88"/>
    </row>
    <row r="1524" spans="2:23" s="0" customFormat="0" ht="15">
      <c r="B1524" s="87" t="s">
        <v>1</v>
      </c>
      <c r="C1524" s="88" t="s">
        <v>5259</v>
      </c>
      <c r="D1524" s="88">
        <v>7031047</v>
      </c>
      <c r="E1524" s="88" t="s">
        <v>61</v>
      </c>
      <c r="F1524" s="88">
        <v>0</v>
      </c>
      <c r="G1524" s="78">
        <f>MAX(H1524,I1524,J1524)</f>
        <v>0</v>
      </c>
      <c r="H1524" s="88"/>
      <c r="I1524" s="88"/>
      <c r="J1524" s="78">
        <f>MAX(K1524:Q1524)</f>
        <v>0</v>
      </c>
      <c r="K1524" s="88"/>
      <c r="L1524" s="88"/>
      <c r="M1524" s="88"/>
      <c r="N1524" s="88"/>
      <c r="O1524" s="88"/>
      <c r="P1524" s="88"/>
      <c r="Q1524" s="88"/>
      <c r="R1524" s="78">
        <f>MAX(S1524:W1524)</f>
        <v>1</v>
      </c>
      <c r="S1524" s="88"/>
      <c r="T1524" s="88"/>
      <c r="U1524" s="88">
        <v>1</v>
      </c>
      <c r="V1524" s="88"/>
      <c r="W1524" s="88"/>
    </row>
    <row r="1525" spans="2:23" s="0" customFormat="0" ht="15">
      <c r="B1525" s="87" t="s">
        <v>1</v>
      </c>
      <c r="C1525" s="88" t="s">
        <v>5259</v>
      </c>
      <c r="D1525" s="88">
        <v>17388192</v>
      </c>
      <c r="E1525" s="88" t="s">
        <v>61</v>
      </c>
      <c r="F1525" s="88">
        <v>0</v>
      </c>
      <c r="G1525" s="78">
        <f>MAX(H1525,I1525,J1525)</f>
        <v>1</v>
      </c>
      <c r="H1525" s="88"/>
      <c r="I1525" s="88"/>
      <c r="J1525" s="78">
        <f>MAX(K1525:Q1525)</f>
        <v>1</v>
      </c>
      <c r="K1525" s="88">
        <v>1</v>
      </c>
      <c r="L1525" s="88"/>
      <c r="M1525" s="88"/>
      <c r="N1525" s="88"/>
      <c r="O1525" s="88"/>
      <c r="P1525" s="88"/>
      <c r="Q1525" s="88"/>
      <c r="R1525" s="78">
        <f>MAX(S1525:W1525)</f>
        <v>0</v>
      </c>
      <c r="S1525" s="88"/>
      <c r="T1525" s="88"/>
      <c r="U1525" s="88"/>
      <c r="V1525" s="88"/>
      <c r="W1525" s="88"/>
    </row>
    <row r="1526" spans="2:23" s="0" customFormat="0" ht="15">
      <c r="B1526" s="87" t="s">
        <v>1</v>
      </c>
      <c r="C1526" s="88" t="s">
        <v>5259</v>
      </c>
      <c r="D1526" s="88">
        <v>22270574</v>
      </c>
      <c r="E1526" s="88" t="s">
        <v>61</v>
      </c>
      <c r="F1526" s="88">
        <v>0</v>
      </c>
      <c r="G1526" s="78">
        <f>MAX(H1526,I1526,J1526)</f>
        <v>1</v>
      </c>
      <c r="H1526" s="88"/>
      <c r="I1526" s="88"/>
      <c r="J1526" s="78">
        <f>MAX(K1526:Q1526)</f>
        <v>1</v>
      </c>
      <c r="K1526" s="88">
        <v>1</v>
      </c>
      <c r="L1526" s="88"/>
      <c r="M1526" s="88"/>
      <c r="N1526" s="88"/>
      <c r="O1526" s="88"/>
      <c r="P1526" s="88"/>
      <c r="Q1526" s="88"/>
      <c r="R1526" s="78">
        <f>MAX(S1526:W1526)</f>
        <v>0</v>
      </c>
      <c r="S1526" s="88"/>
      <c r="T1526" s="88"/>
      <c r="U1526" s="88"/>
      <c r="V1526" s="88"/>
      <c r="W1526" s="88"/>
    </row>
    <row r="1527" spans="2:23" s="0" customFormat="0" ht="15">
      <c r="B1527" s="87" t="s">
        <v>1</v>
      </c>
      <c r="C1527" s="88" t="s">
        <v>5259</v>
      </c>
      <c r="D1527" s="88" t="s">
        <v>4022</v>
      </c>
      <c r="E1527" s="88" t="s">
        <v>61</v>
      </c>
      <c r="F1527" s="88">
        <v>0</v>
      </c>
      <c r="G1527" s="78">
        <f>MAX(H1527,I1527,J1527)</f>
        <v>0</v>
      </c>
      <c r="H1527" s="88"/>
      <c r="I1527" s="88"/>
      <c r="J1527" s="78">
        <f>MAX(K1527:Q1527)</f>
        <v>0</v>
      </c>
      <c r="K1527" s="88"/>
      <c r="L1527" s="88"/>
      <c r="M1527" s="88"/>
      <c r="N1527" s="88"/>
      <c r="O1527" s="88"/>
      <c r="P1527" s="88"/>
      <c r="Q1527" s="88"/>
      <c r="R1527" s="78">
        <f>MAX(S1527:W1527)</f>
        <v>1</v>
      </c>
      <c r="S1527" s="88"/>
      <c r="T1527" s="88"/>
      <c r="U1527" s="88">
        <v>1</v>
      </c>
      <c r="V1527" s="88"/>
      <c r="W1527" s="88"/>
    </row>
    <row r="1528" spans="2:23" s="0" customFormat="0" ht="15">
      <c r="B1528" s="87" t="s">
        <v>1</v>
      </c>
      <c r="C1528" s="88" t="s">
        <v>5259</v>
      </c>
      <c r="D1528" s="88">
        <v>278397</v>
      </c>
      <c r="E1528" s="88" t="s">
        <v>61</v>
      </c>
      <c r="F1528" s="88">
        <v>0</v>
      </c>
      <c r="G1528" s="78">
        <f>MAX(H1528,I1528,J1528)</f>
        <v>0</v>
      </c>
      <c r="H1528" s="88"/>
      <c r="I1528" s="88"/>
      <c r="J1528" s="78">
        <f>MAX(K1528:Q1528)</f>
        <v>0</v>
      </c>
      <c r="K1528" s="88"/>
      <c r="L1528" s="88"/>
      <c r="M1528" s="88"/>
      <c r="N1528" s="88"/>
      <c r="O1528" s="88"/>
      <c r="P1528" s="88"/>
      <c r="Q1528" s="88"/>
      <c r="R1528" s="78">
        <f>MAX(S1528:W1528)</f>
        <v>1</v>
      </c>
      <c r="S1528" s="88"/>
      <c r="T1528" s="88"/>
      <c r="U1528" s="88">
        <v>1</v>
      </c>
      <c r="V1528" s="88"/>
      <c r="W1528" s="88"/>
    </row>
    <row r="1529" spans="2:23" s="0" customFormat="0" ht="15">
      <c r="B1529" s="87" t="s">
        <v>1</v>
      </c>
      <c r="C1529" s="88" t="s">
        <v>5259</v>
      </c>
      <c r="D1529" s="88">
        <v>11911959</v>
      </c>
      <c r="E1529" s="88" t="s">
        <v>61</v>
      </c>
      <c r="F1529" s="88">
        <v>0</v>
      </c>
      <c r="G1529" s="78">
        <f>MAX(H1529,I1529,J1529)</f>
        <v>1</v>
      </c>
      <c r="H1529" s="88"/>
      <c r="I1529" s="88"/>
      <c r="J1529" s="78">
        <f>MAX(K1529:Q1529)</f>
        <v>1</v>
      </c>
      <c r="K1529" s="88">
        <v>1</v>
      </c>
      <c r="L1529" s="88"/>
      <c r="M1529" s="88"/>
      <c r="N1529" s="88"/>
      <c r="O1529" s="88"/>
      <c r="P1529" s="88"/>
      <c r="Q1529" s="88"/>
      <c r="R1529" s="78">
        <f>MAX(S1529:W1529)</f>
        <v>0</v>
      </c>
      <c r="S1529" s="88"/>
      <c r="T1529" s="88"/>
      <c r="U1529" s="88"/>
      <c r="V1529" s="88"/>
      <c r="W1529" s="88"/>
    </row>
    <row r="1530" spans="2:23" s="0" customFormat="0" ht="15">
      <c r="B1530" s="87" t="s">
        <v>1</v>
      </c>
      <c r="C1530" s="88" t="s">
        <v>5259</v>
      </c>
      <c r="D1530" s="88">
        <v>20113247</v>
      </c>
      <c r="E1530" s="88" t="s">
        <v>61</v>
      </c>
      <c r="F1530" s="88">
        <v>0</v>
      </c>
      <c r="G1530" s="78">
        <f>MAX(H1530,I1530,J1530)</f>
        <v>0</v>
      </c>
      <c r="H1530" s="88"/>
      <c r="I1530" s="88"/>
      <c r="J1530" s="78">
        <f>MAX(K1530:Q1530)</f>
        <v>0</v>
      </c>
      <c r="K1530" s="88"/>
      <c r="L1530" s="88"/>
      <c r="M1530" s="88"/>
      <c r="N1530" s="88"/>
      <c r="O1530" s="88"/>
      <c r="P1530" s="88"/>
      <c r="Q1530" s="88"/>
      <c r="R1530" s="78">
        <f>MAX(S1530:W1530)</f>
        <v>1</v>
      </c>
      <c r="S1530" s="88"/>
      <c r="T1530" s="88"/>
      <c r="U1530" s="88">
        <v>1</v>
      </c>
      <c r="V1530" s="88"/>
      <c r="W1530" s="88"/>
    </row>
    <row r="1531" spans="2:23" s="0" customFormat="0" ht="15">
      <c r="B1531" s="87" t="s">
        <v>1</v>
      </c>
      <c r="C1531" s="88" t="s">
        <v>5259</v>
      </c>
      <c r="D1531" s="88" t="s">
        <v>4026</v>
      </c>
      <c r="E1531" s="88" t="s">
        <v>61</v>
      </c>
      <c r="F1531" s="88">
        <v>0</v>
      </c>
      <c r="G1531" s="78">
        <f>MAX(H1531,I1531,J1531)</f>
        <v>0</v>
      </c>
      <c r="H1531" s="88"/>
      <c r="I1531" s="88"/>
      <c r="J1531" s="78">
        <f>MAX(K1531:Q1531)</f>
        <v>0</v>
      </c>
      <c r="K1531" s="88"/>
      <c r="L1531" s="88"/>
      <c r="M1531" s="88"/>
      <c r="N1531" s="88"/>
      <c r="O1531" s="88"/>
      <c r="P1531" s="88"/>
      <c r="Q1531" s="88"/>
      <c r="R1531" s="78">
        <f>MAX(S1531:W1531)</f>
        <v>1</v>
      </c>
      <c r="S1531" s="88"/>
      <c r="T1531" s="88"/>
      <c r="U1531" s="88">
        <v>1</v>
      </c>
      <c r="V1531" s="88"/>
      <c r="W1531" s="88"/>
    </row>
    <row r="1532" spans="2:23" s="0" customFormat="0" ht="15">
      <c r="B1532" s="87" t="s">
        <v>1</v>
      </c>
      <c r="C1532" s="88" t="s">
        <v>5259</v>
      </c>
      <c r="D1532" s="88">
        <v>21322748</v>
      </c>
      <c r="E1532" s="88" t="s">
        <v>61</v>
      </c>
      <c r="F1532" s="88">
        <v>0</v>
      </c>
      <c r="G1532" s="78">
        <f>MAX(H1532,I1532,J1532)</f>
        <v>1</v>
      </c>
      <c r="H1532" s="88"/>
      <c r="I1532" s="88"/>
      <c r="J1532" s="78">
        <f>MAX(K1532:Q1532)</f>
        <v>1</v>
      </c>
      <c r="K1532" s="88">
        <v>1</v>
      </c>
      <c r="L1532" s="88"/>
      <c r="M1532" s="88"/>
      <c r="N1532" s="88"/>
      <c r="O1532" s="88"/>
      <c r="P1532" s="88"/>
      <c r="Q1532" s="88"/>
      <c r="R1532" s="78">
        <f>MAX(S1532:W1532)</f>
        <v>0</v>
      </c>
      <c r="S1532" s="88"/>
      <c r="T1532" s="88"/>
      <c r="U1532" s="88"/>
      <c r="V1532" s="88"/>
      <c r="W1532" s="88"/>
    </row>
    <row r="1533" spans="2:23" s="0" customFormat="0" ht="15">
      <c r="B1533" s="87" t="s">
        <v>1</v>
      </c>
      <c r="C1533" s="88" t="s">
        <v>5259</v>
      </c>
      <c r="D1533" s="88" t="s">
        <v>1249</v>
      </c>
      <c r="E1533" s="88" t="s">
        <v>61</v>
      </c>
      <c r="F1533" s="88">
        <v>0</v>
      </c>
      <c r="G1533" s="78">
        <f>MAX(H1533,I1533,J1533)</f>
        <v>1</v>
      </c>
      <c r="H1533" s="88"/>
      <c r="I1533" s="88"/>
      <c r="J1533" s="78">
        <f>MAX(K1533:Q1533)</f>
        <v>1</v>
      </c>
      <c r="K1533" s="88">
        <v>1</v>
      </c>
      <c r="L1533" s="88"/>
      <c r="M1533" s="88"/>
      <c r="N1533" s="88"/>
      <c r="O1533" s="88"/>
      <c r="P1533" s="88"/>
      <c r="Q1533" s="88"/>
      <c r="R1533" s="78">
        <f>MAX(S1533:W1533)</f>
        <v>0</v>
      </c>
      <c r="S1533" s="88"/>
      <c r="T1533" s="88"/>
      <c r="U1533" s="88"/>
      <c r="V1533" s="88"/>
      <c r="W1533" s="88"/>
    </row>
    <row r="1534" spans="2:23" s="0" customFormat="0" ht="15">
      <c r="B1534" s="87" t="s">
        <v>1</v>
      </c>
      <c r="C1534" s="88" t="s">
        <v>5259</v>
      </c>
      <c r="D1534" s="88">
        <v>18093606</v>
      </c>
      <c r="E1534" s="88" t="s">
        <v>61</v>
      </c>
      <c r="F1534" s="88">
        <v>0</v>
      </c>
      <c r="G1534" s="78">
        <f>MAX(H1534,I1534,J1534)</f>
        <v>1</v>
      </c>
      <c r="H1534" s="88"/>
      <c r="I1534" s="88"/>
      <c r="J1534" s="78">
        <f>MAX(K1534:Q1534)</f>
        <v>1</v>
      </c>
      <c r="K1534" s="88">
        <v>1</v>
      </c>
      <c r="L1534" s="88"/>
      <c r="M1534" s="88"/>
      <c r="N1534" s="88"/>
      <c r="O1534" s="88"/>
      <c r="P1534" s="88"/>
      <c r="Q1534" s="88"/>
      <c r="R1534" s="78">
        <f>MAX(S1534:W1534)</f>
        <v>0</v>
      </c>
      <c r="S1534" s="88"/>
      <c r="T1534" s="88"/>
      <c r="U1534" s="88"/>
      <c r="V1534" s="88"/>
      <c r="W1534" s="88"/>
    </row>
    <row r="1535" spans="2:23" s="0" customFormat="0" ht="15">
      <c r="B1535" s="87" t="s">
        <v>1</v>
      </c>
      <c r="C1535" s="88" t="s">
        <v>5259</v>
      </c>
      <c r="D1535" s="88">
        <v>20435362</v>
      </c>
      <c r="E1535" s="88" t="s">
        <v>61</v>
      </c>
      <c r="F1535" s="88">
        <v>0</v>
      </c>
      <c r="G1535" s="78">
        <f>MAX(H1535,I1535,J1535)</f>
        <v>1</v>
      </c>
      <c r="H1535" s="88"/>
      <c r="I1535" s="88"/>
      <c r="J1535" s="78">
        <f>MAX(K1535:Q1535)</f>
        <v>1</v>
      </c>
      <c r="K1535" s="88">
        <v>1</v>
      </c>
      <c r="L1535" s="88"/>
      <c r="M1535" s="88"/>
      <c r="N1535" s="88"/>
      <c r="O1535" s="88"/>
      <c r="P1535" s="88"/>
      <c r="Q1535" s="88"/>
      <c r="R1535" s="78">
        <f>MAX(S1535:W1535)</f>
        <v>0</v>
      </c>
      <c r="S1535" s="88"/>
      <c r="T1535" s="88"/>
      <c r="U1535" s="88"/>
      <c r="V1535" s="88"/>
      <c r="W1535" s="88"/>
    </row>
    <row r="1536" spans="2:23" s="0" customFormat="0" ht="15">
      <c r="B1536" s="87" t="s">
        <v>1</v>
      </c>
      <c r="C1536" s="88" t="s">
        <v>5259</v>
      </c>
      <c r="D1536" s="88">
        <v>17468382</v>
      </c>
      <c r="E1536" s="88" t="s">
        <v>61</v>
      </c>
      <c r="F1536" s="88">
        <v>0</v>
      </c>
      <c r="G1536" s="78">
        <f>MAX(H1536,I1536,J1536)</f>
        <v>1</v>
      </c>
      <c r="H1536" s="88"/>
      <c r="I1536" s="88"/>
      <c r="J1536" s="78">
        <f>MAX(K1536:Q1536)</f>
        <v>1</v>
      </c>
      <c r="K1536" s="88">
        <v>1</v>
      </c>
      <c r="L1536" s="88"/>
      <c r="M1536" s="88"/>
      <c r="N1536" s="88"/>
      <c r="O1536" s="88"/>
      <c r="P1536" s="88"/>
      <c r="Q1536" s="88"/>
      <c r="R1536" s="78">
        <f>MAX(S1536:W1536)</f>
        <v>0</v>
      </c>
      <c r="S1536" s="88"/>
      <c r="T1536" s="88"/>
      <c r="U1536" s="88"/>
      <c r="V1536" s="88"/>
      <c r="W1536" s="88"/>
    </row>
    <row r="1537" spans="2:23" s="0" customFormat="0" ht="15">
      <c r="B1537" s="87" t="s">
        <v>1</v>
      </c>
      <c r="C1537" s="88" t="s">
        <v>5259</v>
      </c>
      <c r="D1537" s="88">
        <v>20928675</v>
      </c>
      <c r="E1537" s="88" t="s">
        <v>61</v>
      </c>
      <c r="F1537" s="88">
        <v>0</v>
      </c>
      <c r="G1537" s="78">
        <f>MAX(H1537,I1537,J1537)</f>
        <v>1</v>
      </c>
      <c r="H1537" s="88"/>
      <c r="I1537" s="88"/>
      <c r="J1537" s="78">
        <f>MAX(K1537:Q1537)</f>
        <v>1</v>
      </c>
      <c r="K1537" s="88">
        <v>1</v>
      </c>
      <c r="L1537" s="88"/>
      <c r="M1537" s="88"/>
      <c r="N1537" s="88"/>
      <c r="O1537" s="88"/>
      <c r="P1537" s="88"/>
      <c r="Q1537" s="88"/>
      <c r="R1537" s="78">
        <f>MAX(S1537:W1537)</f>
        <v>0</v>
      </c>
      <c r="S1537" s="88"/>
      <c r="T1537" s="88"/>
      <c r="U1537" s="88"/>
      <c r="V1537" s="88"/>
      <c r="W1537" s="88"/>
    </row>
    <row r="1538" spans="2:23" s="0" customFormat="0" ht="15">
      <c r="B1538" s="87" t="s">
        <v>1</v>
      </c>
      <c r="C1538" s="88" t="s">
        <v>5259</v>
      </c>
      <c r="D1538" s="88">
        <v>18126165</v>
      </c>
      <c r="E1538" s="88" t="s">
        <v>61</v>
      </c>
      <c r="F1538" s="88">
        <v>0</v>
      </c>
      <c r="G1538" s="78">
        <f>MAX(H1538,I1538,J1538)</f>
        <v>1</v>
      </c>
      <c r="H1538" s="88"/>
      <c r="I1538" s="88"/>
      <c r="J1538" s="78">
        <f>MAX(K1538:Q1538)</f>
        <v>1</v>
      </c>
      <c r="K1538" s="88">
        <v>1</v>
      </c>
      <c r="L1538" s="88"/>
      <c r="M1538" s="88"/>
      <c r="N1538" s="88"/>
      <c r="O1538" s="88"/>
      <c r="P1538" s="88"/>
      <c r="Q1538" s="88"/>
      <c r="R1538" s="78">
        <f>MAX(S1538:W1538)</f>
        <v>0</v>
      </c>
      <c r="S1538" s="88"/>
      <c r="T1538" s="88"/>
      <c r="U1538" s="88"/>
      <c r="V1538" s="88"/>
      <c r="W1538" s="88"/>
    </row>
    <row r="1539" spans="2:23" s="0" customFormat="0" ht="15">
      <c r="B1539" s="87" t="s">
        <v>1</v>
      </c>
      <c r="C1539" s="88" t="s">
        <v>5259</v>
      </c>
      <c r="D1539" s="88">
        <v>22554147</v>
      </c>
      <c r="E1539" s="88" t="s">
        <v>61</v>
      </c>
      <c r="F1539" s="88">
        <v>0</v>
      </c>
      <c r="G1539" s="78">
        <f>MAX(H1539,I1539,J1539)</f>
        <v>0</v>
      </c>
      <c r="H1539" s="88"/>
      <c r="I1539" s="88"/>
      <c r="J1539" s="78">
        <f>MAX(K1539:Q1539)</f>
        <v>0</v>
      </c>
      <c r="K1539" s="88"/>
      <c r="L1539" s="88"/>
      <c r="M1539" s="88"/>
      <c r="N1539" s="88"/>
      <c r="O1539" s="88"/>
      <c r="P1539" s="88"/>
      <c r="Q1539" s="88"/>
      <c r="R1539" s="78">
        <f>MAX(S1539:W1539)</f>
        <v>1</v>
      </c>
      <c r="S1539" s="88"/>
      <c r="T1539" s="88"/>
      <c r="U1539" s="88">
        <v>1</v>
      </c>
      <c r="V1539" s="88"/>
      <c r="W1539" s="88"/>
    </row>
    <row r="1540" spans="2:23" s="0" customFormat="0" ht="15">
      <c r="B1540" s="87" t="s">
        <v>1</v>
      </c>
      <c r="C1540" s="88" t="s">
        <v>5259</v>
      </c>
      <c r="D1540" s="88">
        <v>7333092</v>
      </c>
      <c r="E1540" s="88" t="s">
        <v>61</v>
      </c>
      <c r="F1540" s="88">
        <v>0</v>
      </c>
      <c r="G1540" s="78">
        <f>MAX(H1540,I1540,J1540)</f>
        <v>1</v>
      </c>
      <c r="H1540" s="88"/>
      <c r="I1540" s="88"/>
      <c r="J1540" s="78">
        <f>MAX(K1540:Q1540)</f>
        <v>1</v>
      </c>
      <c r="K1540" s="88">
        <v>1</v>
      </c>
      <c r="L1540" s="88"/>
      <c r="M1540" s="88"/>
      <c r="N1540" s="88"/>
      <c r="O1540" s="88"/>
      <c r="P1540" s="88"/>
      <c r="Q1540" s="88"/>
      <c r="R1540" s="78">
        <f>MAX(S1540:W1540)</f>
        <v>0</v>
      </c>
      <c r="S1540" s="88"/>
      <c r="T1540" s="88"/>
      <c r="U1540" s="88"/>
      <c r="V1540" s="88"/>
      <c r="W1540" s="88"/>
    </row>
    <row r="1541" spans="2:23" s="0" customFormat="0" ht="15">
      <c r="B1541" s="87" t="s">
        <v>1</v>
      </c>
      <c r="C1541" s="88" t="s">
        <v>5259</v>
      </c>
      <c r="D1541" s="88">
        <v>17327708</v>
      </c>
      <c r="E1541" s="88" t="s">
        <v>61</v>
      </c>
      <c r="F1541" s="88">
        <v>0</v>
      </c>
      <c r="G1541" s="78">
        <f>MAX(H1541,I1541,J1541)</f>
        <v>1</v>
      </c>
      <c r="H1541" s="88"/>
      <c r="I1541" s="88"/>
      <c r="J1541" s="78">
        <f>MAX(K1541:Q1541)</f>
        <v>1</v>
      </c>
      <c r="K1541" s="88">
        <v>1</v>
      </c>
      <c r="L1541" s="88"/>
      <c r="M1541" s="88"/>
      <c r="N1541" s="88"/>
      <c r="O1541" s="88"/>
      <c r="P1541" s="88"/>
      <c r="Q1541" s="88"/>
      <c r="R1541" s="78">
        <f>MAX(S1541:W1541)</f>
        <v>0</v>
      </c>
      <c r="S1541" s="88"/>
      <c r="T1541" s="88"/>
      <c r="U1541" s="88"/>
      <c r="V1541" s="88"/>
      <c r="W1541" s="88"/>
    </row>
    <row r="1542" spans="2:23" s="0" customFormat="0" ht="15">
      <c r="B1542" s="87" t="s">
        <v>1</v>
      </c>
      <c r="C1542" s="88" t="s">
        <v>5259</v>
      </c>
      <c r="D1542" s="88" t="s">
        <v>1005</v>
      </c>
      <c r="E1542" s="88" t="s">
        <v>61</v>
      </c>
      <c r="F1542" s="88">
        <v>0</v>
      </c>
      <c r="G1542" s="78">
        <f>MAX(H1542,I1542,J1542)</f>
        <v>1</v>
      </c>
      <c r="H1542" s="88"/>
      <c r="I1542" s="88"/>
      <c r="J1542" s="78">
        <f>MAX(K1542:Q1542)</f>
        <v>1</v>
      </c>
      <c r="K1542" s="88">
        <v>1</v>
      </c>
      <c r="L1542" s="88"/>
      <c r="M1542" s="88"/>
      <c r="N1542" s="88"/>
      <c r="O1542" s="88"/>
      <c r="P1542" s="88"/>
      <c r="Q1542" s="88"/>
      <c r="R1542" s="78">
        <f>MAX(S1542:W1542)</f>
        <v>0</v>
      </c>
      <c r="S1542" s="88"/>
      <c r="T1542" s="88"/>
      <c r="U1542" s="88"/>
      <c r="V1542" s="88"/>
      <c r="W1542" s="88"/>
    </row>
    <row r="1543" spans="2:23" s="0" customFormat="0" ht="15">
      <c r="B1543" s="87" t="s">
        <v>1</v>
      </c>
      <c r="C1543" s="88" t="s">
        <v>5259</v>
      </c>
      <c r="D1543" s="88">
        <v>9828810</v>
      </c>
      <c r="E1543" s="88" t="s">
        <v>61</v>
      </c>
      <c r="F1543" s="88">
        <v>0</v>
      </c>
      <c r="G1543" s="78">
        <f>MAX(H1543,I1543,J1543)</f>
        <v>1</v>
      </c>
      <c r="H1543" s="88"/>
      <c r="I1543" s="88"/>
      <c r="J1543" s="78">
        <f>MAX(K1543:Q1543)</f>
        <v>1</v>
      </c>
      <c r="K1543" s="88">
        <v>1</v>
      </c>
      <c r="L1543" s="88"/>
      <c r="M1543" s="88"/>
      <c r="N1543" s="88"/>
      <c r="O1543" s="88"/>
      <c r="P1543" s="88"/>
      <c r="Q1543" s="88"/>
      <c r="R1543" s="78">
        <f>MAX(S1543:W1543)</f>
        <v>0</v>
      </c>
      <c r="S1543" s="88"/>
      <c r="T1543" s="88"/>
      <c r="U1543" s="88"/>
      <c r="V1543" s="88"/>
      <c r="W1543" s="88"/>
    </row>
    <row r="1544" spans="2:23" s="0" customFormat="0" ht="15">
      <c r="B1544" s="87" t="s">
        <v>1</v>
      </c>
      <c r="C1544" s="88" t="s">
        <v>5259</v>
      </c>
      <c r="D1544" s="88">
        <v>17394477</v>
      </c>
      <c r="E1544" s="88" t="s">
        <v>61</v>
      </c>
      <c r="F1544" s="88">
        <v>0</v>
      </c>
      <c r="G1544" s="78">
        <f>MAX(H1544,I1544,J1544)</f>
        <v>1</v>
      </c>
      <c r="H1544" s="88"/>
      <c r="I1544" s="88"/>
      <c r="J1544" s="78">
        <f>MAX(K1544:Q1544)</f>
        <v>1</v>
      </c>
      <c r="K1544" s="88">
        <v>1</v>
      </c>
      <c r="L1544" s="88"/>
      <c r="M1544" s="88"/>
      <c r="N1544" s="88"/>
      <c r="O1544" s="88"/>
      <c r="P1544" s="88"/>
      <c r="Q1544" s="88"/>
      <c r="R1544" s="78">
        <f>MAX(S1544:W1544)</f>
        <v>0</v>
      </c>
      <c r="S1544" s="88"/>
      <c r="T1544" s="88"/>
      <c r="U1544" s="88"/>
      <c r="V1544" s="88"/>
      <c r="W1544" s="88"/>
    </row>
    <row r="1545" spans="2:23" s="0" customFormat="0" ht="15">
      <c r="B1545" s="87" t="s">
        <v>1</v>
      </c>
      <c r="C1545" s="88" t="s">
        <v>5259</v>
      </c>
      <c r="D1545" s="88">
        <v>1551571</v>
      </c>
      <c r="E1545" s="88" t="s">
        <v>61</v>
      </c>
      <c r="F1545" s="88">
        <v>0</v>
      </c>
      <c r="G1545" s="78">
        <f>MAX(H1545,I1545,J1545)</f>
        <v>0</v>
      </c>
      <c r="H1545" s="88"/>
      <c r="I1545" s="88"/>
      <c r="J1545" s="78">
        <f>MAX(K1545:Q1545)</f>
        <v>0</v>
      </c>
      <c r="K1545" s="88"/>
      <c r="L1545" s="88"/>
      <c r="M1545" s="88"/>
      <c r="N1545" s="88"/>
      <c r="O1545" s="88"/>
      <c r="P1545" s="88"/>
      <c r="Q1545" s="88"/>
      <c r="R1545" s="78">
        <f>MAX(S1545:W1545)</f>
        <v>1</v>
      </c>
      <c r="S1545" s="88"/>
      <c r="T1545" s="88"/>
      <c r="U1545" s="88">
        <v>1</v>
      </c>
      <c r="V1545" s="88"/>
      <c r="W1545" s="88"/>
    </row>
    <row r="1546" spans="2:23" s="0" customFormat="0" ht="15">
      <c r="B1546" s="87" t="s">
        <v>1</v>
      </c>
      <c r="C1546" s="88" t="s">
        <v>5259</v>
      </c>
      <c r="D1546" s="88">
        <v>21282228</v>
      </c>
      <c r="E1546" s="88" t="s">
        <v>61</v>
      </c>
      <c r="F1546" s="88">
        <v>0</v>
      </c>
      <c r="G1546" s="78">
        <f>MAX(H1546,I1546,J1546)</f>
        <v>1</v>
      </c>
      <c r="H1546" s="88"/>
      <c r="I1546" s="88"/>
      <c r="J1546" s="78">
        <f>MAX(K1546:Q1546)</f>
        <v>1</v>
      </c>
      <c r="K1546" s="88">
        <v>1</v>
      </c>
      <c r="L1546" s="88"/>
      <c r="M1546" s="88"/>
      <c r="N1546" s="88"/>
      <c r="O1546" s="88"/>
      <c r="P1546" s="88"/>
      <c r="Q1546" s="88"/>
      <c r="R1546" s="78">
        <f>MAX(S1546:W1546)</f>
        <v>0</v>
      </c>
      <c r="S1546" s="88"/>
      <c r="T1546" s="88"/>
      <c r="U1546" s="88"/>
      <c r="V1546" s="88"/>
      <c r="W1546" s="88"/>
    </row>
    <row r="1547" spans="2:23" s="0" customFormat="0" ht="15">
      <c r="B1547" s="87" t="s">
        <v>1</v>
      </c>
      <c r="C1547" s="88" t="s">
        <v>5259</v>
      </c>
      <c r="D1547" s="88" t="s">
        <v>1258</v>
      </c>
      <c r="E1547" s="88" t="s">
        <v>61</v>
      </c>
      <c r="F1547" s="88">
        <v>0</v>
      </c>
      <c r="G1547" s="78">
        <f>MAX(H1547,I1547,J1547)</f>
        <v>1</v>
      </c>
      <c r="H1547" s="88"/>
      <c r="I1547" s="88"/>
      <c r="J1547" s="78">
        <f>MAX(K1547:Q1547)</f>
        <v>1</v>
      </c>
      <c r="K1547" s="88">
        <v>1</v>
      </c>
      <c r="L1547" s="88"/>
      <c r="M1547" s="88"/>
      <c r="N1547" s="88"/>
      <c r="O1547" s="88"/>
      <c r="P1547" s="88"/>
      <c r="Q1547" s="88"/>
      <c r="R1547" s="78">
        <f>MAX(S1547:W1547)</f>
        <v>0</v>
      </c>
      <c r="S1547" s="88"/>
      <c r="T1547" s="88"/>
      <c r="U1547" s="88"/>
      <c r="V1547" s="88"/>
      <c r="W1547" s="88"/>
    </row>
    <row r="1548" spans="2:23" s="0" customFormat="0" ht="15">
      <c r="B1548" s="87" t="s">
        <v>1</v>
      </c>
      <c r="C1548" s="88" t="s">
        <v>5259</v>
      </c>
      <c r="D1548" s="88">
        <v>8779478</v>
      </c>
      <c r="E1548" s="88" t="s">
        <v>61</v>
      </c>
      <c r="F1548" s="88">
        <v>0</v>
      </c>
      <c r="G1548" s="78">
        <f>MAX(H1548,I1548,J1548)</f>
        <v>1</v>
      </c>
      <c r="H1548" s="88"/>
      <c r="I1548" s="88"/>
      <c r="J1548" s="78">
        <f>MAX(K1548:Q1548)</f>
        <v>1</v>
      </c>
      <c r="K1548" s="88">
        <v>1</v>
      </c>
      <c r="L1548" s="88"/>
      <c r="M1548" s="88"/>
      <c r="N1548" s="88"/>
      <c r="O1548" s="88"/>
      <c r="P1548" s="88"/>
      <c r="Q1548" s="88"/>
      <c r="R1548" s="78">
        <f>MAX(S1548:W1548)</f>
        <v>0</v>
      </c>
      <c r="S1548" s="88"/>
      <c r="T1548" s="88"/>
      <c r="U1548" s="88"/>
      <c r="V1548" s="88"/>
      <c r="W1548" s="88"/>
    </row>
    <row r="1549" spans="2:23" s="0" customFormat="0" ht="15">
      <c r="B1549" s="87" t="s">
        <v>1</v>
      </c>
      <c r="C1549" s="88" t="s">
        <v>5259</v>
      </c>
      <c r="D1549" s="88">
        <v>18055745</v>
      </c>
      <c r="E1549" s="88" t="s">
        <v>61</v>
      </c>
      <c r="F1549" s="88">
        <v>0</v>
      </c>
      <c r="G1549" s="78">
        <f>MAX(H1549,I1549,J1549)</f>
        <v>1</v>
      </c>
      <c r="H1549" s="88"/>
      <c r="I1549" s="88"/>
      <c r="J1549" s="78">
        <f>MAX(K1549:Q1549)</f>
        <v>1</v>
      </c>
      <c r="K1549" s="88">
        <v>1</v>
      </c>
      <c r="L1549" s="88"/>
      <c r="M1549" s="88"/>
      <c r="N1549" s="88"/>
      <c r="O1549" s="88"/>
      <c r="P1549" s="88"/>
      <c r="Q1549" s="88"/>
      <c r="R1549" s="78">
        <f>MAX(S1549:W1549)</f>
        <v>0</v>
      </c>
      <c r="S1549" s="88"/>
      <c r="T1549" s="88"/>
      <c r="U1549" s="88"/>
      <c r="V1549" s="88"/>
      <c r="W1549" s="88"/>
    </row>
    <row r="1550" spans="2:23" s="0" customFormat="0" ht="15">
      <c r="B1550" s="87" t="s">
        <v>1</v>
      </c>
      <c r="C1550" s="88" t="s">
        <v>5259</v>
      </c>
      <c r="D1550" s="88">
        <v>22623648</v>
      </c>
      <c r="E1550" s="88" t="s">
        <v>61</v>
      </c>
      <c r="F1550" s="88">
        <v>0</v>
      </c>
      <c r="G1550" s="78">
        <f>MAX(H1550,I1550,J1550)</f>
        <v>0</v>
      </c>
      <c r="H1550" s="88"/>
      <c r="I1550" s="88"/>
      <c r="J1550" s="78">
        <f>MAX(K1550:Q1550)</f>
        <v>0</v>
      </c>
      <c r="K1550" s="88"/>
      <c r="L1550" s="88"/>
      <c r="M1550" s="88"/>
      <c r="N1550" s="88"/>
      <c r="O1550" s="88"/>
      <c r="P1550" s="88"/>
      <c r="Q1550" s="88"/>
      <c r="R1550" s="78">
        <f>MAX(S1550:W1550)</f>
        <v>1</v>
      </c>
      <c r="S1550" s="88"/>
      <c r="T1550" s="88"/>
      <c r="U1550" s="88">
        <v>1</v>
      </c>
      <c r="V1550" s="88"/>
      <c r="W1550" s="88"/>
    </row>
    <row r="1551" spans="2:23" s="0" customFormat="0" ht="15">
      <c r="B1551" s="87" t="s">
        <v>1</v>
      </c>
      <c r="C1551" s="88" t="s">
        <v>5259</v>
      </c>
      <c r="D1551" s="88">
        <v>23893620</v>
      </c>
      <c r="E1551" s="88" t="s">
        <v>61</v>
      </c>
      <c r="F1551" s="88">
        <v>0</v>
      </c>
      <c r="G1551" s="78">
        <f>MAX(H1551,I1551,J1551)</f>
        <v>1</v>
      </c>
      <c r="H1551" s="88"/>
      <c r="I1551" s="88"/>
      <c r="J1551" s="78">
        <f>MAX(K1551:Q1551)</f>
        <v>1</v>
      </c>
      <c r="K1551" s="88">
        <v>1</v>
      </c>
      <c r="L1551" s="88"/>
      <c r="M1551" s="88"/>
      <c r="N1551" s="88"/>
      <c r="O1551" s="88"/>
      <c r="P1551" s="88"/>
      <c r="Q1551" s="88"/>
      <c r="R1551" s="78">
        <f>MAX(S1551:W1551)</f>
        <v>0</v>
      </c>
      <c r="S1551" s="88"/>
      <c r="T1551" s="88"/>
      <c r="U1551" s="88"/>
      <c r="V1551" s="88"/>
      <c r="W1551" s="88"/>
    </row>
    <row r="1552" spans="2:23" s="0" customFormat="0" ht="15">
      <c r="B1552" s="87" t="s">
        <v>1</v>
      </c>
      <c r="C1552" s="88" t="s">
        <v>5259</v>
      </c>
      <c r="D1552" s="88" t="s">
        <v>1261</v>
      </c>
      <c r="E1552" s="88" t="s">
        <v>61</v>
      </c>
      <c r="F1552" s="88">
        <v>0</v>
      </c>
      <c r="G1552" s="78">
        <f>MAX(H1552,I1552,J1552)</f>
        <v>1</v>
      </c>
      <c r="H1552" s="88"/>
      <c r="I1552" s="88"/>
      <c r="J1552" s="78">
        <f>MAX(K1552:Q1552)</f>
        <v>1</v>
      </c>
      <c r="K1552" s="88">
        <v>1</v>
      </c>
      <c r="L1552" s="88"/>
      <c r="M1552" s="88"/>
      <c r="N1552" s="88"/>
      <c r="O1552" s="88"/>
      <c r="P1552" s="88"/>
      <c r="Q1552" s="88"/>
      <c r="R1552" s="78">
        <f>MAX(S1552:W1552)</f>
        <v>0</v>
      </c>
      <c r="S1552" s="88"/>
      <c r="T1552" s="88"/>
      <c r="U1552" s="88"/>
      <c r="V1552" s="88"/>
      <c r="W1552" s="88"/>
    </row>
    <row r="1553" spans="2:23" s="0" customFormat="0" ht="15">
      <c r="B1553" s="87" t="s">
        <v>1</v>
      </c>
      <c r="C1553" s="88" t="s">
        <v>5259</v>
      </c>
      <c r="D1553" s="88">
        <v>5325710</v>
      </c>
      <c r="E1553" s="88" t="s">
        <v>61</v>
      </c>
      <c r="F1553" s="88">
        <v>0</v>
      </c>
      <c r="G1553" s="78">
        <f>MAX(H1553,I1553,J1553)</f>
        <v>1</v>
      </c>
      <c r="H1553" s="88"/>
      <c r="I1553" s="88"/>
      <c r="J1553" s="78">
        <f>MAX(K1553:Q1553)</f>
        <v>1</v>
      </c>
      <c r="K1553" s="88">
        <v>1</v>
      </c>
      <c r="L1553" s="88"/>
      <c r="M1553" s="88"/>
      <c r="N1553" s="88"/>
      <c r="O1553" s="88"/>
      <c r="P1553" s="88"/>
      <c r="Q1553" s="88"/>
      <c r="R1553" s="78">
        <f>MAX(S1553:W1553)</f>
        <v>0</v>
      </c>
      <c r="S1553" s="88"/>
      <c r="T1553" s="88"/>
      <c r="U1553" s="88"/>
      <c r="V1553" s="88"/>
      <c r="W1553" s="88"/>
    </row>
    <row r="1554" spans="2:23" s="0" customFormat="0" ht="15">
      <c r="B1554" s="87" t="s">
        <v>1</v>
      </c>
      <c r="C1554" s="88" t="s">
        <v>5259</v>
      </c>
      <c r="D1554" s="88" t="s">
        <v>4030</v>
      </c>
      <c r="E1554" s="88" t="s">
        <v>61</v>
      </c>
      <c r="F1554" s="88">
        <v>0</v>
      </c>
      <c r="G1554" s="78">
        <f>MAX(H1554,I1554,J1554)</f>
        <v>0</v>
      </c>
      <c r="H1554" s="88"/>
      <c r="I1554" s="88"/>
      <c r="J1554" s="78">
        <f>MAX(K1554:Q1554)</f>
        <v>0</v>
      </c>
      <c r="K1554" s="88"/>
      <c r="L1554" s="88"/>
      <c r="M1554" s="88"/>
      <c r="N1554" s="88"/>
      <c r="O1554" s="88"/>
      <c r="P1554" s="88"/>
      <c r="Q1554" s="88"/>
      <c r="R1554" s="78">
        <f>MAX(S1554:W1554)</f>
        <v>1</v>
      </c>
      <c r="S1554" s="88"/>
      <c r="T1554" s="88"/>
      <c r="U1554" s="88">
        <v>1</v>
      </c>
      <c r="V1554" s="88"/>
      <c r="W1554" s="88"/>
    </row>
    <row r="1555" spans="2:23" s="0" customFormat="0" ht="15">
      <c r="B1555" s="87" t="s">
        <v>1</v>
      </c>
      <c r="C1555" s="88" t="s">
        <v>5259</v>
      </c>
      <c r="D1555" s="88">
        <v>19854529</v>
      </c>
      <c r="E1555" s="88" t="s">
        <v>61</v>
      </c>
      <c r="F1555" s="88">
        <v>0</v>
      </c>
      <c r="G1555" s="78">
        <f>MAX(H1555,I1555,J1555)</f>
        <v>1</v>
      </c>
      <c r="H1555" s="88"/>
      <c r="I1555" s="88"/>
      <c r="J1555" s="78">
        <f>MAX(K1555:Q1555)</f>
        <v>1</v>
      </c>
      <c r="K1555" s="88">
        <v>1</v>
      </c>
      <c r="L1555" s="88"/>
      <c r="M1555" s="88"/>
      <c r="N1555" s="88"/>
      <c r="O1555" s="88"/>
      <c r="P1555" s="88"/>
      <c r="Q1555" s="88"/>
      <c r="R1555" s="78">
        <f>MAX(S1555:W1555)</f>
        <v>0</v>
      </c>
      <c r="S1555" s="88"/>
      <c r="T1555" s="88"/>
      <c r="U1555" s="88"/>
      <c r="V1555" s="88"/>
      <c r="W1555" s="88"/>
    </row>
    <row r="1556" spans="2:23" s="0" customFormat="0" ht="15">
      <c r="B1556" s="87" t="s">
        <v>1</v>
      </c>
      <c r="C1556" s="88" t="s">
        <v>5259</v>
      </c>
      <c r="D1556" s="88" t="s">
        <v>4032</v>
      </c>
      <c r="E1556" s="88" t="s">
        <v>61</v>
      </c>
      <c r="F1556" s="88">
        <v>0</v>
      </c>
      <c r="G1556" s="78">
        <f>MAX(H1556,I1556,J1556)</f>
        <v>0</v>
      </c>
      <c r="H1556" s="88"/>
      <c r="I1556" s="88"/>
      <c r="J1556" s="78">
        <f>MAX(K1556:Q1556)</f>
        <v>0</v>
      </c>
      <c r="K1556" s="88"/>
      <c r="L1556" s="88"/>
      <c r="M1556" s="88"/>
      <c r="N1556" s="88"/>
      <c r="O1556" s="88"/>
      <c r="P1556" s="88"/>
      <c r="Q1556" s="88"/>
      <c r="R1556" s="78">
        <f>MAX(S1556:W1556)</f>
        <v>1</v>
      </c>
      <c r="S1556" s="88"/>
      <c r="T1556" s="88"/>
      <c r="U1556" s="88">
        <v>1</v>
      </c>
      <c r="V1556" s="88"/>
      <c r="W1556" s="88"/>
    </row>
    <row r="1557" spans="2:23" s="0" customFormat="0" ht="15">
      <c r="B1557" s="87" t="s">
        <v>1</v>
      </c>
      <c r="C1557" s="88" t="s">
        <v>5259</v>
      </c>
      <c r="D1557" s="88">
        <v>948883</v>
      </c>
      <c r="E1557" s="88" t="s">
        <v>61</v>
      </c>
      <c r="F1557" s="88">
        <v>0</v>
      </c>
      <c r="G1557" s="78">
        <f>MAX(H1557,I1557,J1557)</f>
        <v>0</v>
      </c>
      <c r="H1557" s="88"/>
      <c r="I1557" s="88"/>
      <c r="J1557" s="78">
        <f>MAX(K1557:Q1557)</f>
        <v>0</v>
      </c>
      <c r="K1557" s="88"/>
      <c r="L1557" s="88"/>
      <c r="M1557" s="88"/>
      <c r="N1557" s="88"/>
      <c r="O1557" s="88"/>
      <c r="P1557" s="88"/>
      <c r="Q1557" s="88"/>
      <c r="R1557" s="78">
        <f>MAX(S1557:W1557)</f>
        <v>1</v>
      </c>
      <c r="S1557" s="88"/>
      <c r="T1557" s="88"/>
      <c r="U1557" s="88">
        <v>1</v>
      </c>
      <c r="V1557" s="88"/>
      <c r="W1557" s="88"/>
    </row>
    <row r="1558" spans="2:23" s="0" customFormat="0" ht="15">
      <c r="B1558" s="87" t="s">
        <v>1</v>
      </c>
      <c r="C1558" s="88" t="s">
        <v>5259</v>
      </c>
      <c r="D1558" s="88">
        <v>22281235</v>
      </c>
      <c r="E1558" s="88" t="s">
        <v>61</v>
      </c>
      <c r="F1558" s="88">
        <v>0</v>
      </c>
      <c r="G1558" s="78">
        <f>MAX(H1558,I1558,J1558)</f>
        <v>0</v>
      </c>
      <c r="H1558" s="88"/>
      <c r="I1558" s="88"/>
      <c r="J1558" s="78">
        <f>MAX(K1558:Q1558)</f>
        <v>0</v>
      </c>
      <c r="K1558" s="88"/>
      <c r="L1558" s="88"/>
      <c r="M1558" s="88"/>
      <c r="N1558" s="88"/>
      <c r="O1558" s="88"/>
      <c r="P1558" s="88"/>
      <c r="Q1558" s="88"/>
      <c r="R1558" s="78">
        <f>MAX(S1558:W1558)</f>
        <v>1</v>
      </c>
      <c r="S1558" s="88"/>
      <c r="T1558" s="88"/>
      <c r="U1558" s="88">
        <v>1</v>
      </c>
      <c r="V1558" s="88"/>
      <c r="W1558" s="88"/>
    </row>
    <row r="1559" spans="2:23" s="0" customFormat="0" ht="15">
      <c r="B1559" s="87" t="s">
        <v>1</v>
      </c>
      <c r="C1559" s="88" t="s">
        <v>5259</v>
      </c>
      <c r="D1559" s="88" t="s">
        <v>4035</v>
      </c>
      <c r="E1559" s="88" t="s">
        <v>61</v>
      </c>
      <c r="F1559" s="88">
        <v>0</v>
      </c>
      <c r="G1559" s="78">
        <f>MAX(H1559,I1559,J1559)</f>
        <v>0</v>
      </c>
      <c r="H1559" s="88"/>
      <c r="I1559" s="88"/>
      <c r="J1559" s="78">
        <f>MAX(K1559:Q1559)</f>
        <v>0</v>
      </c>
      <c r="K1559" s="88"/>
      <c r="L1559" s="88"/>
      <c r="M1559" s="88"/>
      <c r="N1559" s="88"/>
      <c r="O1559" s="88"/>
      <c r="P1559" s="88"/>
      <c r="Q1559" s="88"/>
      <c r="R1559" s="78">
        <f>MAX(S1559:W1559)</f>
        <v>1</v>
      </c>
      <c r="S1559" s="88"/>
      <c r="T1559" s="88"/>
      <c r="U1559" s="88">
        <v>1</v>
      </c>
      <c r="V1559" s="88"/>
      <c r="W1559" s="88"/>
    </row>
    <row r="1560" spans="2:23" s="0" customFormat="0" ht="15">
      <c r="B1560" s="87" t="s">
        <v>1</v>
      </c>
      <c r="C1560" s="88" t="s">
        <v>5259</v>
      </c>
      <c r="D1560" s="88">
        <v>11218526</v>
      </c>
      <c r="E1560" s="88" t="s">
        <v>61</v>
      </c>
      <c r="F1560" s="88">
        <v>0</v>
      </c>
      <c r="G1560" s="78">
        <f>MAX(H1560,I1560,J1560)</f>
        <v>1</v>
      </c>
      <c r="H1560" s="88"/>
      <c r="I1560" s="88"/>
      <c r="J1560" s="78">
        <f>MAX(K1560:Q1560)</f>
        <v>1</v>
      </c>
      <c r="K1560" s="88">
        <v>1</v>
      </c>
      <c r="L1560" s="88"/>
      <c r="M1560" s="88"/>
      <c r="N1560" s="88"/>
      <c r="O1560" s="88"/>
      <c r="P1560" s="88"/>
      <c r="Q1560" s="88"/>
      <c r="R1560" s="78">
        <f>MAX(S1560:W1560)</f>
        <v>0</v>
      </c>
      <c r="S1560" s="88"/>
      <c r="T1560" s="88"/>
      <c r="U1560" s="88"/>
      <c r="V1560" s="88"/>
      <c r="W1560" s="88"/>
    </row>
    <row r="1561" spans="2:23" s="0" customFormat="0" ht="15">
      <c r="B1561" s="87" t="s">
        <v>1</v>
      </c>
      <c r="C1561" s="88" t="s">
        <v>5259</v>
      </c>
      <c r="D1561" s="88">
        <v>23595943</v>
      </c>
      <c r="E1561" s="88" t="s">
        <v>61</v>
      </c>
      <c r="F1561" s="88">
        <v>0</v>
      </c>
      <c r="G1561" s="78">
        <f>MAX(H1561,I1561,J1561)</f>
        <v>1</v>
      </c>
      <c r="H1561" s="88"/>
      <c r="I1561" s="88"/>
      <c r="J1561" s="78">
        <f>MAX(K1561:Q1561)</f>
        <v>1</v>
      </c>
      <c r="K1561" s="88">
        <v>1</v>
      </c>
      <c r="L1561" s="88"/>
      <c r="M1561" s="88"/>
      <c r="N1561" s="88"/>
      <c r="O1561" s="88"/>
      <c r="P1561" s="88"/>
      <c r="Q1561" s="88"/>
      <c r="R1561" s="78">
        <f>MAX(S1561:W1561)</f>
        <v>0</v>
      </c>
      <c r="S1561" s="88"/>
      <c r="T1561" s="88"/>
      <c r="U1561" s="88"/>
      <c r="V1561" s="88"/>
      <c r="W1561" s="88"/>
    </row>
    <row r="1562" spans="2:23" s="0" customFormat="0" ht="15">
      <c r="B1562" s="87" t="s">
        <v>1</v>
      </c>
      <c r="C1562" s="88" t="s">
        <v>5259</v>
      </c>
      <c r="D1562" s="88">
        <v>23431288</v>
      </c>
      <c r="E1562" s="88" t="s">
        <v>61</v>
      </c>
      <c r="F1562" s="88">
        <v>0</v>
      </c>
      <c r="G1562" s="78">
        <f>MAX(H1562,I1562,J1562)</f>
        <v>1</v>
      </c>
      <c r="H1562" s="88"/>
      <c r="I1562" s="88"/>
      <c r="J1562" s="78">
        <f>MAX(K1562:Q1562)</f>
        <v>1</v>
      </c>
      <c r="K1562" s="88">
        <v>1</v>
      </c>
      <c r="L1562" s="88"/>
      <c r="M1562" s="88"/>
      <c r="N1562" s="88"/>
      <c r="O1562" s="88"/>
      <c r="P1562" s="88"/>
      <c r="Q1562" s="88"/>
      <c r="R1562" s="78">
        <f>MAX(S1562:W1562)</f>
        <v>0</v>
      </c>
      <c r="S1562" s="88"/>
      <c r="T1562" s="88"/>
      <c r="U1562" s="88"/>
      <c r="V1562" s="88"/>
      <c r="W1562" s="88"/>
    </row>
    <row r="1563" spans="2:23" s="0" customFormat="0" ht="15">
      <c r="B1563" s="87" t="s">
        <v>1</v>
      </c>
      <c r="C1563" s="88" t="s">
        <v>5259</v>
      </c>
      <c r="D1563" s="88">
        <v>22554568</v>
      </c>
      <c r="E1563" s="88" t="s">
        <v>61</v>
      </c>
      <c r="F1563" s="88">
        <v>0</v>
      </c>
      <c r="G1563" s="78">
        <f>MAX(H1563,I1563,J1563)</f>
        <v>0</v>
      </c>
      <c r="H1563" s="88"/>
      <c r="I1563" s="88"/>
      <c r="J1563" s="78">
        <f>MAX(K1563:Q1563)</f>
        <v>0</v>
      </c>
      <c r="K1563" s="88"/>
      <c r="L1563" s="88"/>
      <c r="M1563" s="88"/>
      <c r="N1563" s="88"/>
      <c r="O1563" s="88"/>
      <c r="P1563" s="88"/>
      <c r="Q1563" s="88"/>
      <c r="R1563" s="78">
        <f>MAX(S1563:W1563)</f>
        <v>1</v>
      </c>
      <c r="S1563" s="88"/>
      <c r="T1563" s="88"/>
      <c r="U1563" s="88"/>
      <c r="V1563" s="88">
        <v>1</v>
      </c>
      <c r="W1563" s="88"/>
    </row>
    <row r="1564" spans="2:23" s="0" customFormat="0" ht="15">
      <c r="B1564" s="87" t="s">
        <v>1</v>
      </c>
      <c r="C1564" s="88" t="s">
        <v>5259</v>
      </c>
      <c r="D1564" s="88">
        <v>11163655</v>
      </c>
      <c r="E1564" s="88" t="s">
        <v>61</v>
      </c>
      <c r="F1564" s="88">
        <v>0</v>
      </c>
      <c r="G1564" s="78">
        <f>MAX(H1564,I1564,J1564)</f>
        <v>1</v>
      </c>
      <c r="H1564" s="88"/>
      <c r="I1564" s="88"/>
      <c r="J1564" s="78">
        <f>MAX(K1564:Q1564)</f>
        <v>1</v>
      </c>
      <c r="K1564" s="88">
        <v>1</v>
      </c>
      <c r="L1564" s="88"/>
      <c r="M1564" s="88"/>
      <c r="N1564" s="88"/>
      <c r="O1564" s="88"/>
      <c r="P1564" s="88"/>
      <c r="Q1564" s="88"/>
      <c r="R1564" s="78">
        <f>MAX(S1564:W1564)</f>
        <v>0</v>
      </c>
      <c r="S1564" s="88"/>
      <c r="T1564" s="88"/>
      <c r="U1564" s="88"/>
      <c r="V1564" s="88"/>
      <c r="W1564" s="88"/>
    </row>
    <row r="1565" spans="2:23" s="0" customFormat="0" ht="15">
      <c r="B1565" s="87" t="s">
        <v>1</v>
      </c>
      <c r="C1565" s="88" t="s">
        <v>5259</v>
      </c>
      <c r="D1565" s="88">
        <v>14455836</v>
      </c>
      <c r="E1565" s="88" t="s">
        <v>61</v>
      </c>
      <c r="F1565" s="88">
        <v>0</v>
      </c>
      <c r="G1565" s="78">
        <f>MAX(H1565,I1565,J1565)</f>
        <v>1</v>
      </c>
      <c r="H1565" s="88"/>
      <c r="I1565" s="88"/>
      <c r="J1565" s="78">
        <f>MAX(K1565:Q1565)</f>
        <v>1</v>
      </c>
      <c r="K1565" s="88">
        <v>1</v>
      </c>
      <c r="L1565" s="88"/>
      <c r="M1565" s="88"/>
      <c r="N1565" s="88"/>
      <c r="O1565" s="88"/>
      <c r="P1565" s="88"/>
      <c r="Q1565" s="88"/>
      <c r="R1565" s="78">
        <f>MAX(S1565:W1565)</f>
        <v>0</v>
      </c>
      <c r="S1565" s="88"/>
      <c r="T1565" s="88"/>
      <c r="U1565" s="88"/>
      <c r="V1565" s="88"/>
      <c r="W1565" s="88"/>
    </row>
    <row r="1566" spans="2:23" s="0" customFormat="0" ht="15">
      <c r="B1566" s="87" t="s">
        <v>1</v>
      </c>
      <c r="C1566" s="88" t="s">
        <v>5259</v>
      </c>
      <c r="D1566" s="88" t="s">
        <v>4037</v>
      </c>
      <c r="E1566" s="88" t="s">
        <v>61</v>
      </c>
      <c r="F1566" s="88">
        <v>0</v>
      </c>
      <c r="G1566" s="78">
        <f>MAX(H1566,I1566,J1566)</f>
        <v>0</v>
      </c>
      <c r="H1566" s="88"/>
      <c r="I1566" s="88"/>
      <c r="J1566" s="78">
        <f>MAX(K1566:Q1566)</f>
        <v>0</v>
      </c>
      <c r="K1566" s="88"/>
      <c r="L1566" s="88"/>
      <c r="M1566" s="88"/>
      <c r="N1566" s="88"/>
      <c r="O1566" s="88"/>
      <c r="P1566" s="88"/>
      <c r="Q1566" s="88"/>
      <c r="R1566" s="78">
        <f>MAX(S1566:W1566)</f>
        <v>1</v>
      </c>
      <c r="S1566" s="88"/>
      <c r="T1566" s="88"/>
      <c r="U1566" s="88">
        <v>1</v>
      </c>
      <c r="V1566" s="88"/>
      <c r="W1566" s="88"/>
    </row>
    <row r="1567" spans="2:23" s="0" customFormat="0" ht="15">
      <c r="B1567" s="87" t="s">
        <v>1</v>
      </c>
      <c r="C1567" s="88" t="s">
        <v>5259</v>
      </c>
      <c r="D1567" s="88" t="s">
        <v>4039</v>
      </c>
      <c r="E1567" s="88" t="s">
        <v>61</v>
      </c>
      <c r="F1567" s="88">
        <v>0</v>
      </c>
      <c r="G1567" s="78">
        <f>MAX(H1567,I1567,J1567)</f>
        <v>0</v>
      </c>
      <c r="H1567" s="88"/>
      <c r="I1567" s="88"/>
      <c r="J1567" s="78">
        <f>MAX(K1567:Q1567)</f>
        <v>0</v>
      </c>
      <c r="K1567" s="88"/>
      <c r="L1567" s="88"/>
      <c r="M1567" s="88"/>
      <c r="N1567" s="88"/>
      <c r="O1567" s="88"/>
      <c r="P1567" s="88"/>
      <c r="Q1567" s="88"/>
      <c r="R1567" s="78">
        <f>MAX(S1567:W1567)</f>
        <v>1</v>
      </c>
      <c r="S1567" s="88"/>
      <c r="T1567" s="88"/>
      <c r="U1567" s="88">
        <v>1</v>
      </c>
      <c r="V1567" s="88"/>
      <c r="W1567" s="88"/>
    </row>
    <row r="1568" spans="2:23" s="0" customFormat="0" ht="15">
      <c r="B1568" s="87" t="s">
        <v>1</v>
      </c>
      <c r="C1568" s="88" t="s">
        <v>5259</v>
      </c>
      <c r="D1568" s="88">
        <v>18782691</v>
      </c>
      <c r="E1568" s="88" t="s">
        <v>61</v>
      </c>
      <c r="F1568" s="88">
        <v>0</v>
      </c>
      <c r="G1568" s="78">
        <f>MAX(H1568,I1568,J1568)</f>
        <v>1</v>
      </c>
      <c r="H1568" s="88"/>
      <c r="I1568" s="88"/>
      <c r="J1568" s="78">
        <f>MAX(K1568:Q1568)</f>
        <v>1</v>
      </c>
      <c r="K1568" s="88">
        <v>1</v>
      </c>
      <c r="L1568" s="88"/>
      <c r="M1568" s="88"/>
      <c r="N1568" s="88"/>
      <c r="O1568" s="88"/>
      <c r="P1568" s="88"/>
      <c r="Q1568" s="88"/>
      <c r="R1568" s="78">
        <f>MAX(S1568:W1568)</f>
        <v>0</v>
      </c>
      <c r="S1568" s="88"/>
      <c r="T1568" s="88"/>
      <c r="U1568" s="88"/>
      <c r="V1568" s="88"/>
      <c r="W1568" s="88"/>
    </row>
    <row r="1569" spans="2:23" s="0" customFormat="0" ht="15">
      <c r="B1569" s="87" t="s">
        <v>1</v>
      </c>
      <c r="C1569" s="88" t="s">
        <v>5259</v>
      </c>
      <c r="D1569" s="88">
        <v>18154854</v>
      </c>
      <c r="E1569" s="88" t="s">
        <v>61</v>
      </c>
      <c r="F1569" s="88">
        <v>0</v>
      </c>
      <c r="G1569" s="78">
        <f>MAX(H1569,I1569,J1569)</f>
        <v>1</v>
      </c>
      <c r="H1569" s="88"/>
      <c r="I1569" s="88"/>
      <c r="J1569" s="78">
        <f>MAX(K1569:Q1569)</f>
        <v>1</v>
      </c>
      <c r="K1569" s="88">
        <v>1</v>
      </c>
      <c r="L1569" s="88"/>
      <c r="M1569" s="88"/>
      <c r="N1569" s="88"/>
      <c r="O1569" s="88"/>
      <c r="P1569" s="88"/>
      <c r="Q1569" s="88"/>
      <c r="R1569" s="78">
        <f>MAX(S1569:W1569)</f>
        <v>0</v>
      </c>
      <c r="S1569" s="88"/>
      <c r="T1569" s="88"/>
      <c r="U1569" s="88"/>
      <c r="V1569" s="88"/>
      <c r="W1569" s="88"/>
    </row>
    <row r="1570" spans="2:23" s="0" customFormat="0" ht="15">
      <c r="B1570" s="87" t="s">
        <v>1</v>
      </c>
      <c r="C1570" s="88" t="s">
        <v>5259</v>
      </c>
      <c r="D1570" s="88">
        <v>24748844</v>
      </c>
      <c r="E1570" s="88" t="s">
        <v>61</v>
      </c>
      <c r="F1570" s="88">
        <v>0</v>
      </c>
      <c r="G1570" s="78">
        <f>MAX(H1570,I1570,J1570)</f>
        <v>0</v>
      </c>
      <c r="H1570" s="88"/>
      <c r="I1570" s="88"/>
      <c r="J1570" s="78">
        <f>MAX(K1570:Q1570)</f>
        <v>0</v>
      </c>
      <c r="K1570" s="88"/>
      <c r="L1570" s="88"/>
      <c r="M1570" s="88"/>
      <c r="N1570" s="88"/>
      <c r="O1570" s="88"/>
      <c r="P1570" s="88"/>
      <c r="Q1570" s="88"/>
      <c r="R1570" s="78">
        <f>MAX(S1570:W1570)</f>
        <v>1</v>
      </c>
      <c r="S1570" s="88"/>
      <c r="T1570" s="88"/>
      <c r="U1570" s="88">
        <v>1</v>
      </c>
      <c r="V1570" s="88"/>
      <c r="W1570" s="88"/>
    </row>
    <row r="1571" spans="2:23" s="0" customFormat="0" ht="15">
      <c r="B1571" s="87" t="s">
        <v>1</v>
      </c>
      <c r="C1571" s="88" t="s">
        <v>5259</v>
      </c>
      <c r="D1571" s="88">
        <v>6429885</v>
      </c>
      <c r="E1571" s="88" t="s">
        <v>61</v>
      </c>
      <c r="F1571" s="88">
        <v>0</v>
      </c>
      <c r="G1571" s="78">
        <f>MAX(H1571,I1571,J1571)</f>
        <v>0</v>
      </c>
      <c r="H1571" s="88"/>
      <c r="I1571" s="88"/>
      <c r="J1571" s="78">
        <f>MAX(K1571:Q1571)</f>
        <v>0</v>
      </c>
      <c r="K1571" s="88"/>
      <c r="L1571" s="88"/>
      <c r="M1571" s="88"/>
      <c r="N1571" s="88"/>
      <c r="O1571" s="88"/>
      <c r="P1571" s="88"/>
      <c r="Q1571" s="88"/>
      <c r="R1571" s="78">
        <f>MAX(S1571:W1571)</f>
        <v>1</v>
      </c>
      <c r="S1571" s="88"/>
      <c r="T1571" s="88"/>
      <c r="U1571" s="88">
        <v>1</v>
      </c>
      <c r="V1571" s="88"/>
      <c r="W1571" s="88"/>
    </row>
    <row r="1572" spans="2:23" s="0" customFormat="0" ht="15">
      <c r="B1572" s="87" t="s">
        <v>1</v>
      </c>
      <c r="C1572" s="88" t="s">
        <v>5259</v>
      </c>
      <c r="D1572" s="88">
        <v>11578832</v>
      </c>
      <c r="E1572" s="88" t="s">
        <v>61</v>
      </c>
      <c r="F1572" s="88">
        <v>0</v>
      </c>
      <c r="G1572" s="78">
        <f>MAX(H1572,I1572,J1572)</f>
        <v>0</v>
      </c>
      <c r="H1572" s="88"/>
      <c r="I1572" s="88"/>
      <c r="J1572" s="78">
        <f>MAX(K1572:Q1572)</f>
        <v>0</v>
      </c>
      <c r="K1572" s="88"/>
      <c r="L1572" s="88"/>
      <c r="M1572" s="88"/>
      <c r="N1572" s="88"/>
      <c r="O1572" s="88"/>
      <c r="P1572" s="88"/>
      <c r="Q1572" s="88"/>
      <c r="R1572" s="78">
        <f>MAX(S1572:W1572)</f>
        <v>1</v>
      </c>
      <c r="S1572" s="88"/>
      <c r="T1572" s="88"/>
      <c r="U1572" s="88">
        <v>1</v>
      </c>
      <c r="V1572" s="88"/>
      <c r="W1572" s="88"/>
    </row>
    <row r="1573" spans="2:23" s="0" customFormat="0" ht="15">
      <c r="B1573" s="87" t="s">
        <v>1</v>
      </c>
      <c r="C1573" s="88" t="s">
        <v>5259</v>
      </c>
      <c r="D1573" s="88">
        <v>22008395</v>
      </c>
      <c r="E1573" s="88" t="s">
        <v>61</v>
      </c>
      <c r="F1573" s="88">
        <v>0</v>
      </c>
      <c r="G1573" s="78">
        <f>MAX(H1573,I1573,J1573)</f>
        <v>1</v>
      </c>
      <c r="H1573" s="88"/>
      <c r="I1573" s="88"/>
      <c r="J1573" s="78">
        <f>MAX(K1573:Q1573)</f>
        <v>1</v>
      </c>
      <c r="K1573" s="88">
        <v>1</v>
      </c>
      <c r="L1573" s="88"/>
      <c r="M1573" s="88"/>
      <c r="N1573" s="88"/>
      <c r="O1573" s="88"/>
      <c r="P1573" s="88"/>
      <c r="Q1573" s="88"/>
      <c r="R1573" s="78">
        <f>MAX(S1573:W1573)</f>
        <v>0</v>
      </c>
      <c r="S1573" s="88"/>
      <c r="T1573" s="88"/>
      <c r="U1573" s="88"/>
      <c r="V1573" s="88"/>
      <c r="W1573" s="88"/>
    </row>
    <row r="1574" spans="2:23" s="0" customFormat="0" ht="15">
      <c r="B1574" s="87" t="s">
        <v>1</v>
      </c>
      <c r="C1574" s="88" t="s">
        <v>5259</v>
      </c>
      <c r="D1574" s="88">
        <v>18423530</v>
      </c>
      <c r="E1574" s="88" t="s">
        <v>61</v>
      </c>
      <c r="F1574" s="88">
        <v>0</v>
      </c>
      <c r="G1574" s="78">
        <f>MAX(H1574,I1574,J1574)</f>
        <v>0</v>
      </c>
      <c r="H1574" s="88"/>
      <c r="I1574" s="88"/>
      <c r="J1574" s="78">
        <f>MAX(K1574:Q1574)</f>
        <v>0</v>
      </c>
      <c r="K1574" s="88"/>
      <c r="L1574" s="88"/>
      <c r="M1574" s="88"/>
      <c r="N1574" s="88"/>
      <c r="O1574" s="88"/>
      <c r="P1574" s="88"/>
      <c r="Q1574" s="88"/>
      <c r="R1574" s="78">
        <f>MAX(S1574:W1574)</f>
        <v>1</v>
      </c>
      <c r="S1574" s="88"/>
      <c r="T1574" s="88"/>
      <c r="U1574" s="88">
        <v>1</v>
      </c>
      <c r="V1574" s="88"/>
      <c r="W1574" s="88"/>
    </row>
    <row r="1575" spans="2:23" s="0" customFormat="0" ht="15">
      <c r="B1575" s="87" t="s">
        <v>1</v>
      </c>
      <c r="C1575" s="88" t="s">
        <v>5259</v>
      </c>
      <c r="D1575" s="88">
        <v>21644217</v>
      </c>
      <c r="E1575" s="88" t="s">
        <v>61</v>
      </c>
      <c r="F1575" s="88">
        <v>0</v>
      </c>
      <c r="G1575" s="78">
        <f>MAX(H1575,I1575,J1575)</f>
        <v>1</v>
      </c>
      <c r="H1575" s="88"/>
      <c r="I1575" s="88"/>
      <c r="J1575" s="78">
        <f>MAX(K1575:Q1575)</f>
        <v>1</v>
      </c>
      <c r="K1575" s="88">
        <v>1</v>
      </c>
      <c r="L1575" s="88"/>
      <c r="M1575" s="88"/>
      <c r="N1575" s="88"/>
      <c r="O1575" s="88"/>
      <c r="P1575" s="88"/>
      <c r="Q1575" s="88"/>
      <c r="R1575" s="78">
        <f>MAX(S1575:W1575)</f>
        <v>0</v>
      </c>
      <c r="S1575" s="88"/>
      <c r="T1575" s="88"/>
      <c r="U1575" s="88"/>
      <c r="V1575" s="88"/>
      <c r="W1575" s="88"/>
    </row>
    <row r="1576" spans="2:23" s="0" customFormat="0" ht="15">
      <c r="B1576" s="87" t="s">
        <v>1</v>
      </c>
      <c r="C1576" s="88" t="s">
        <v>5259</v>
      </c>
      <c r="D1576" s="88" t="s">
        <v>4045</v>
      </c>
      <c r="E1576" s="88" t="s">
        <v>61</v>
      </c>
      <c r="F1576" s="88">
        <v>0</v>
      </c>
      <c r="G1576" s="78">
        <f>MAX(H1576,I1576,J1576)</f>
        <v>0</v>
      </c>
      <c r="H1576" s="88"/>
      <c r="I1576" s="88"/>
      <c r="J1576" s="78">
        <f>MAX(K1576:Q1576)</f>
        <v>0</v>
      </c>
      <c r="K1576" s="88"/>
      <c r="L1576" s="88"/>
      <c r="M1576" s="88"/>
      <c r="N1576" s="88"/>
      <c r="O1576" s="88"/>
      <c r="P1576" s="88"/>
      <c r="Q1576" s="88"/>
      <c r="R1576" s="78">
        <f>MAX(S1576:W1576)</f>
        <v>1</v>
      </c>
      <c r="S1576" s="88"/>
      <c r="T1576" s="88"/>
      <c r="U1576" s="88">
        <v>1</v>
      </c>
      <c r="V1576" s="88"/>
      <c r="W1576" s="88"/>
    </row>
    <row r="1577" spans="2:23" s="0" customFormat="0" ht="15">
      <c r="B1577" s="87" t="s">
        <v>1</v>
      </c>
      <c r="C1577" s="88" t="s">
        <v>5259</v>
      </c>
      <c r="D1577" s="88" t="s">
        <v>4047</v>
      </c>
      <c r="E1577" s="88" t="s">
        <v>61</v>
      </c>
      <c r="F1577" s="88">
        <v>0</v>
      </c>
      <c r="G1577" s="78">
        <f>MAX(H1577,I1577,J1577)</f>
        <v>0</v>
      </c>
      <c r="H1577" s="88"/>
      <c r="I1577" s="88"/>
      <c r="J1577" s="78">
        <f>MAX(K1577:Q1577)</f>
        <v>0</v>
      </c>
      <c r="K1577" s="88"/>
      <c r="L1577" s="88"/>
      <c r="M1577" s="88"/>
      <c r="N1577" s="88"/>
      <c r="O1577" s="88"/>
      <c r="P1577" s="88"/>
      <c r="Q1577" s="88"/>
      <c r="R1577" s="78">
        <f>MAX(S1577:W1577)</f>
        <v>1</v>
      </c>
      <c r="S1577" s="88"/>
      <c r="T1577" s="88"/>
      <c r="U1577" s="88">
        <v>1</v>
      </c>
      <c r="V1577" s="88"/>
      <c r="W1577" s="88"/>
    </row>
    <row r="1578" spans="2:23" s="0" customFormat="0" ht="15">
      <c r="B1578" s="87" t="s">
        <v>1</v>
      </c>
      <c r="C1578" s="88" t="s">
        <v>5259</v>
      </c>
      <c r="D1578" s="88">
        <v>21007337</v>
      </c>
      <c r="E1578" s="88" t="s">
        <v>61</v>
      </c>
      <c r="F1578" s="88">
        <v>0</v>
      </c>
      <c r="G1578" s="78">
        <f>MAX(H1578,I1578,J1578)</f>
        <v>1</v>
      </c>
      <c r="H1578" s="88"/>
      <c r="I1578" s="88"/>
      <c r="J1578" s="78">
        <f>MAX(K1578:Q1578)</f>
        <v>1</v>
      </c>
      <c r="K1578" s="88">
        <v>1</v>
      </c>
      <c r="L1578" s="88"/>
      <c r="M1578" s="88"/>
      <c r="N1578" s="88"/>
      <c r="O1578" s="88"/>
      <c r="P1578" s="88"/>
      <c r="Q1578" s="88"/>
      <c r="R1578" s="78">
        <f>MAX(S1578:W1578)</f>
        <v>0</v>
      </c>
      <c r="S1578" s="88"/>
      <c r="T1578" s="88"/>
      <c r="U1578" s="88"/>
      <c r="V1578" s="88"/>
      <c r="W1578" s="88"/>
    </row>
    <row r="1579" spans="2:23" s="0" customFormat="0" ht="15">
      <c r="B1579" s="87" t="s">
        <v>1</v>
      </c>
      <c r="C1579" s="88" t="s">
        <v>5259</v>
      </c>
      <c r="D1579" s="88">
        <v>18946108</v>
      </c>
      <c r="E1579" s="88" t="s">
        <v>61</v>
      </c>
      <c r="F1579" s="88">
        <v>0</v>
      </c>
      <c r="G1579" s="78">
        <f>MAX(H1579,I1579,J1579)</f>
        <v>1</v>
      </c>
      <c r="H1579" s="88"/>
      <c r="I1579" s="88"/>
      <c r="J1579" s="78">
        <f>MAX(K1579:Q1579)</f>
        <v>1</v>
      </c>
      <c r="K1579" s="88"/>
      <c r="L1579" s="88">
        <v>1</v>
      </c>
      <c r="M1579" s="88"/>
      <c r="N1579" s="88"/>
      <c r="O1579" s="88"/>
      <c r="P1579" s="88"/>
      <c r="Q1579" s="88"/>
      <c r="R1579" s="78">
        <f>MAX(S1579:W1579)</f>
        <v>0</v>
      </c>
      <c r="S1579" s="88"/>
      <c r="T1579" s="88"/>
      <c r="U1579" s="88"/>
      <c r="V1579" s="88"/>
      <c r="W1579" s="88"/>
    </row>
    <row r="1580" spans="2:23" s="0" customFormat="0" ht="15">
      <c r="B1580" s="87" t="s">
        <v>1</v>
      </c>
      <c r="C1580" s="88" t="s">
        <v>5259</v>
      </c>
      <c r="D1580" s="88">
        <v>3625199</v>
      </c>
      <c r="E1580" s="88" t="s">
        <v>61</v>
      </c>
      <c r="F1580" s="88">
        <v>0</v>
      </c>
      <c r="G1580" s="78">
        <f>MAX(H1580,I1580,J1580)</f>
        <v>0</v>
      </c>
      <c r="H1580" s="88"/>
      <c r="I1580" s="88"/>
      <c r="J1580" s="78">
        <f>MAX(K1580:Q1580)</f>
        <v>0</v>
      </c>
      <c r="K1580" s="88"/>
      <c r="L1580" s="88"/>
      <c r="M1580" s="88"/>
      <c r="N1580" s="88"/>
      <c r="O1580" s="88"/>
      <c r="P1580" s="88"/>
      <c r="Q1580" s="88"/>
      <c r="R1580" s="78">
        <f>MAX(S1580:W1580)</f>
        <v>1</v>
      </c>
      <c r="S1580" s="88"/>
      <c r="T1580" s="88"/>
      <c r="U1580" s="88">
        <v>1</v>
      </c>
      <c r="V1580" s="88"/>
      <c r="W1580" s="88"/>
    </row>
    <row r="1581" spans="2:23" s="0" customFormat="0" ht="15">
      <c r="B1581" s="87" t="s">
        <v>1</v>
      </c>
      <c r="C1581" s="88" t="s">
        <v>5259</v>
      </c>
      <c r="D1581" s="88">
        <v>21473846</v>
      </c>
      <c r="E1581" s="88" t="s">
        <v>61</v>
      </c>
      <c r="F1581" s="88">
        <v>0</v>
      </c>
      <c r="G1581" s="78">
        <f>MAX(H1581,I1581,J1581)</f>
        <v>1</v>
      </c>
      <c r="H1581" s="88"/>
      <c r="I1581" s="88"/>
      <c r="J1581" s="78">
        <f>MAX(K1581:Q1581)</f>
        <v>1</v>
      </c>
      <c r="K1581" s="88">
        <v>1</v>
      </c>
      <c r="L1581" s="88"/>
      <c r="M1581" s="88"/>
      <c r="N1581" s="88"/>
      <c r="O1581" s="88"/>
      <c r="P1581" s="88"/>
      <c r="Q1581" s="88"/>
      <c r="R1581" s="78">
        <f>MAX(S1581:W1581)</f>
        <v>0</v>
      </c>
      <c r="S1581" s="88"/>
      <c r="T1581" s="88"/>
      <c r="U1581" s="88"/>
      <c r="V1581" s="88"/>
      <c r="W1581" s="88"/>
    </row>
    <row r="1582" spans="2:23" s="0" customFormat="0" ht="15">
      <c r="B1582" s="87" t="s">
        <v>1</v>
      </c>
      <c r="C1582" s="88" t="s">
        <v>5259</v>
      </c>
      <c r="D1582" s="88">
        <v>21380829</v>
      </c>
      <c r="E1582" s="88" t="s">
        <v>61</v>
      </c>
      <c r="F1582" s="88">
        <v>0</v>
      </c>
      <c r="G1582" s="78">
        <f>MAX(H1582,I1582,J1582)</f>
        <v>1</v>
      </c>
      <c r="H1582" s="88"/>
      <c r="I1582" s="88"/>
      <c r="J1582" s="78">
        <f>MAX(K1582:Q1582)</f>
        <v>1</v>
      </c>
      <c r="K1582" s="88">
        <v>1</v>
      </c>
      <c r="L1582" s="88"/>
      <c r="M1582" s="88"/>
      <c r="N1582" s="88"/>
      <c r="O1582" s="88"/>
      <c r="P1582" s="88"/>
      <c r="Q1582" s="88"/>
      <c r="R1582" s="78">
        <f>MAX(S1582:W1582)</f>
        <v>0</v>
      </c>
      <c r="S1582" s="88"/>
      <c r="T1582" s="88"/>
      <c r="U1582" s="88"/>
      <c r="V1582" s="88"/>
      <c r="W1582" s="88"/>
    </row>
    <row r="1583" spans="2:23" s="0" customFormat="0" ht="15">
      <c r="B1583" s="87" t="s">
        <v>1</v>
      </c>
      <c r="C1583" s="88" t="s">
        <v>5259</v>
      </c>
      <c r="D1583" s="88">
        <v>2264351</v>
      </c>
      <c r="E1583" s="88" t="s">
        <v>61</v>
      </c>
      <c r="F1583" s="88">
        <v>0</v>
      </c>
      <c r="G1583" s="78">
        <f>MAX(H1583,I1583,J1583)</f>
        <v>0</v>
      </c>
      <c r="H1583" s="88"/>
      <c r="I1583" s="88"/>
      <c r="J1583" s="78">
        <f>MAX(K1583:Q1583)</f>
        <v>0</v>
      </c>
      <c r="K1583" s="88"/>
      <c r="L1583" s="88"/>
      <c r="M1583" s="88"/>
      <c r="N1583" s="88"/>
      <c r="O1583" s="88"/>
      <c r="P1583" s="88"/>
      <c r="Q1583" s="88"/>
      <c r="R1583" s="78">
        <f>MAX(S1583:W1583)</f>
        <v>1</v>
      </c>
      <c r="S1583" s="88"/>
      <c r="T1583" s="88"/>
      <c r="U1583" s="88">
        <v>1</v>
      </c>
      <c r="V1583" s="88"/>
      <c r="W1583" s="88"/>
    </row>
    <row r="1584" spans="2:23" s="0" customFormat="0" ht="15">
      <c r="B1584" s="87" t="s">
        <v>1</v>
      </c>
      <c r="C1584" s="88" t="s">
        <v>5259</v>
      </c>
      <c r="D1584" s="88" t="s">
        <v>1274</v>
      </c>
      <c r="E1584" s="88" t="s">
        <v>61</v>
      </c>
      <c r="F1584" s="88">
        <v>0</v>
      </c>
      <c r="G1584" s="78">
        <f>MAX(H1584,I1584,J1584)</f>
        <v>1</v>
      </c>
      <c r="H1584" s="88"/>
      <c r="I1584" s="88"/>
      <c r="J1584" s="78">
        <f>MAX(K1584:Q1584)</f>
        <v>1</v>
      </c>
      <c r="K1584" s="88">
        <v>1</v>
      </c>
      <c r="L1584" s="88"/>
      <c r="M1584" s="88"/>
      <c r="N1584" s="88"/>
      <c r="O1584" s="88"/>
      <c r="P1584" s="88"/>
      <c r="Q1584" s="88"/>
      <c r="R1584" s="78">
        <f>MAX(S1584:W1584)</f>
        <v>0</v>
      </c>
      <c r="S1584" s="88"/>
      <c r="T1584" s="88"/>
      <c r="U1584" s="88"/>
      <c r="V1584" s="88"/>
      <c r="W1584" s="88"/>
    </row>
    <row r="1585" spans="2:23" s="0" customFormat="0" ht="15">
      <c r="B1585" s="87" t="s">
        <v>1</v>
      </c>
      <c r="C1585" s="88" t="s">
        <v>5259</v>
      </c>
      <c r="D1585" s="88" t="s">
        <v>4051</v>
      </c>
      <c r="E1585" s="88" t="s">
        <v>61</v>
      </c>
      <c r="F1585" s="88">
        <v>0</v>
      </c>
      <c r="G1585" s="78">
        <f>MAX(H1585,I1585,J1585)</f>
        <v>0</v>
      </c>
      <c r="H1585" s="88"/>
      <c r="I1585" s="88"/>
      <c r="J1585" s="78">
        <f>MAX(K1585:Q1585)</f>
        <v>0</v>
      </c>
      <c r="K1585" s="88"/>
      <c r="L1585" s="88"/>
      <c r="M1585" s="88"/>
      <c r="N1585" s="88"/>
      <c r="O1585" s="88"/>
      <c r="P1585" s="88"/>
      <c r="Q1585" s="88"/>
      <c r="R1585" s="78">
        <f>MAX(S1585:W1585)</f>
        <v>1</v>
      </c>
      <c r="S1585" s="88"/>
      <c r="T1585" s="88"/>
      <c r="U1585" s="88">
        <v>1</v>
      </c>
      <c r="V1585" s="88"/>
      <c r="W1585" s="88"/>
    </row>
    <row r="1586" spans="2:23" s="0" customFormat="0" ht="15">
      <c r="B1586" s="87" t="s">
        <v>1</v>
      </c>
      <c r="C1586" s="88" t="s">
        <v>5259</v>
      </c>
      <c r="D1586" s="88" t="s">
        <v>1276</v>
      </c>
      <c r="E1586" s="88" t="s">
        <v>61</v>
      </c>
      <c r="F1586" s="88">
        <v>0</v>
      </c>
      <c r="G1586" s="78">
        <f>MAX(H1586,I1586,J1586)</f>
        <v>1</v>
      </c>
      <c r="H1586" s="88"/>
      <c r="I1586" s="88"/>
      <c r="J1586" s="78">
        <f>MAX(K1586:Q1586)</f>
        <v>1</v>
      </c>
      <c r="K1586" s="88">
        <v>1</v>
      </c>
      <c r="L1586" s="88"/>
      <c r="M1586" s="88"/>
      <c r="N1586" s="88"/>
      <c r="O1586" s="88"/>
      <c r="P1586" s="88"/>
      <c r="Q1586" s="88"/>
      <c r="R1586" s="78">
        <f>MAX(S1586:W1586)</f>
        <v>0</v>
      </c>
      <c r="S1586" s="88"/>
      <c r="T1586" s="88"/>
      <c r="U1586" s="88"/>
      <c r="V1586" s="88"/>
      <c r="W1586" s="88"/>
    </row>
    <row r="1587" spans="2:23" s="0" customFormat="0" ht="15">
      <c r="B1587" s="87" t="s">
        <v>1</v>
      </c>
      <c r="C1587" s="88" t="s">
        <v>5259</v>
      </c>
      <c r="D1587" s="88">
        <v>16113933</v>
      </c>
      <c r="E1587" s="88" t="s">
        <v>61</v>
      </c>
      <c r="F1587" s="88">
        <v>0</v>
      </c>
      <c r="G1587" s="78">
        <f>MAX(H1587,I1587,J1587)</f>
        <v>1</v>
      </c>
      <c r="H1587" s="88"/>
      <c r="I1587" s="88"/>
      <c r="J1587" s="78">
        <f>MAX(K1587:Q1587)</f>
        <v>1</v>
      </c>
      <c r="K1587" s="88">
        <v>1</v>
      </c>
      <c r="L1587" s="88"/>
      <c r="M1587" s="88"/>
      <c r="N1587" s="88"/>
      <c r="O1587" s="88"/>
      <c r="P1587" s="88"/>
      <c r="Q1587" s="88"/>
      <c r="R1587" s="78">
        <f>MAX(S1587:W1587)</f>
        <v>0</v>
      </c>
      <c r="S1587" s="88"/>
      <c r="T1587" s="88"/>
      <c r="U1587" s="88"/>
      <c r="V1587" s="88"/>
      <c r="W1587" s="88"/>
    </row>
    <row r="1588" spans="2:23" s="0" customFormat="0" ht="15">
      <c r="B1588" s="87" t="s">
        <v>1</v>
      </c>
      <c r="C1588" s="88" t="s">
        <v>5259</v>
      </c>
      <c r="D1588" s="88">
        <v>22317447</v>
      </c>
      <c r="E1588" s="88" t="s">
        <v>61</v>
      </c>
      <c r="F1588" s="88">
        <v>0</v>
      </c>
      <c r="G1588" s="78">
        <f>MAX(H1588,I1588,J1588)</f>
        <v>1</v>
      </c>
      <c r="H1588" s="88"/>
      <c r="I1588" s="88"/>
      <c r="J1588" s="78">
        <f>MAX(K1588:Q1588)</f>
        <v>1</v>
      </c>
      <c r="K1588" s="88">
        <v>1</v>
      </c>
      <c r="L1588" s="88"/>
      <c r="M1588" s="88"/>
      <c r="N1588" s="88"/>
      <c r="O1588" s="88"/>
      <c r="P1588" s="88"/>
      <c r="Q1588" s="88"/>
      <c r="R1588" s="78">
        <f>MAX(S1588:W1588)</f>
        <v>0</v>
      </c>
      <c r="S1588" s="88"/>
      <c r="T1588" s="88"/>
      <c r="U1588" s="88"/>
      <c r="V1588" s="88"/>
      <c r="W1588" s="88"/>
    </row>
    <row r="1589" spans="2:23" s="0" customFormat="0" ht="15">
      <c r="B1589" s="87" t="s">
        <v>1</v>
      </c>
      <c r="C1589" s="88" t="s">
        <v>5259</v>
      </c>
      <c r="D1589" s="88" t="s">
        <v>820</v>
      </c>
      <c r="E1589" s="88" t="s">
        <v>61</v>
      </c>
      <c r="F1589" s="88">
        <v>0</v>
      </c>
      <c r="G1589" s="78">
        <f>MAX(H1589,I1589,J1589)</f>
        <v>1</v>
      </c>
      <c r="H1589" s="88"/>
      <c r="I1589" s="88"/>
      <c r="J1589" s="78">
        <f>MAX(K1589:Q1589)</f>
        <v>1</v>
      </c>
      <c r="K1589" s="88">
        <v>1</v>
      </c>
      <c r="L1589" s="88"/>
      <c r="M1589" s="88"/>
      <c r="N1589" s="88"/>
      <c r="O1589" s="88"/>
      <c r="P1589" s="88"/>
      <c r="Q1589" s="88"/>
      <c r="R1589" s="78">
        <f>MAX(S1589:W1589)</f>
        <v>0</v>
      </c>
      <c r="S1589" s="88"/>
      <c r="T1589" s="88"/>
      <c r="U1589" s="88"/>
      <c r="V1589" s="88"/>
      <c r="W1589" s="88"/>
    </row>
    <row r="1590" spans="2:23" s="0" customFormat="0" ht="15">
      <c r="B1590" s="87" t="s">
        <v>1</v>
      </c>
      <c r="C1590" s="88" t="s">
        <v>5259</v>
      </c>
      <c r="D1590" s="88" t="s">
        <v>4053</v>
      </c>
      <c r="E1590" s="88" t="s">
        <v>61</v>
      </c>
      <c r="F1590" s="88">
        <v>0</v>
      </c>
      <c r="G1590" s="78">
        <f>MAX(H1590,I1590,J1590)</f>
        <v>0</v>
      </c>
      <c r="H1590" s="88"/>
      <c r="I1590" s="88"/>
      <c r="J1590" s="78">
        <f>MAX(K1590:Q1590)</f>
        <v>0</v>
      </c>
      <c r="K1590" s="88"/>
      <c r="L1590" s="88"/>
      <c r="M1590" s="88"/>
      <c r="N1590" s="88"/>
      <c r="O1590" s="88"/>
      <c r="P1590" s="88"/>
      <c r="Q1590" s="88"/>
      <c r="R1590" s="78">
        <f>MAX(S1590:W1590)</f>
        <v>1</v>
      </c>
      <c r="S1590" s="88"/>
      <c r="T1590" s="88"/>
      <c r="U1590" s="88">
        <v>1</v>
      </c>
      <c r="V1590" s="88"/>
      <c r="W1590" s="88"/>
    </row>
    <row r="1591" spans="2:23" s="0" customFormat="0" ht="15">
      <c r="B1591" s="87" t="s">
        <v>1</v>
      </c>
      <c r="C1591" s="88" t="s">
        <v>5259</v>
      </c>
      <c r="D1591" s="88">
        <v>21042940</v>
      </c>
      <c r="E1591" s="88" t="s">
        <v>61</v>
      </c>
      <c r="F1591" s="88">
        <v>0</v>
      </c>
      <c r="G1591" s="78">
        <f>MAX(H1591,I1591,J1591)</f>
        <v>1</v>
      </c>
      <c r="H1591" s="88"/>
      <c r="I1591" s="88"/>
      <c r="J1591" s="78">
        <f>MAX(K1591:Q1591)</f>
        <v>1</v>
      </c>
      <c r="K1591" s="88">
        <v>1</v>
      </c>
      <c r="L1591" s="88"/>
      <c r="M1591" s="88"/>
      <c r="N1591" s="88"/>
      <c r="O1591" s="88"/>
      <c r="P1591" s="88"/>
      <c r="Q1591" s="88"/>
      <c r="R1591" s="78">
        <f>MAX(S1591:W1591)</f>
        <v>0</v>
      </c>
      <c r="S1591" s="88"/>
      <c r="T1591" s="88"/>
      <c r="U1591" s="88"/>
      <c r="V1591" s="88"/>
      <c r="W1591" s="88"/>
    </row>
    <row r="1592" spans="2:23" s="0" customFormat="0" ht="15">
      <c r="B1592" s="87" t="s">
        <v>1</v>
      </c>
      <c r="C1592" s="88" t="s">
        <v>5259</v>
      </c>
      <c r="D1592" s="88">
        <v>23722534</v>
      </c>
      <c r="E1592" s="88" t="s">
        <v>61</v>
      </c>
      <c r="F1592" s="88">
        <v>0</v>
      </c>
      <c r="G1592" s="78">
        <f>MAX(H1592,I1592,J1592)</f>
        <v>1</v>
      </c>
      <c r="H1592" s="88"/>
      <c r="I1592" s="88"/>
      <c r="J1592" s="78">
        <f>MAX(K1592:Q1592)</f>
        <v>1</v>
      </c>
      <c r="K1592" s="88">
        <v>1</v>
      </c>
      <c r="L1592" s="88"/>
      <c r="M1592" s="88"/>
      <c r="N1592" s="88"/>
      <c r="O1592" s="88"/>
      <c r="P1592" s="88"/>
      <c r="Q1592" s="88"/>
      <c r="R1592" s="78">
        <f>MAX(S1592:W1592)</f>
        <v>0</v>
      </c>
      <c r="S1592" s="88"/>
      <c r="T1592" s="88"/>
      <c r="U1592" s="88"/>
      <c r="V1592" s="88"/>
      <c r="W1592" s="88"/>
    </row>
    <row r="1593" spans="2:23" s="0" customFormat="0" ht="15">
      <c r="B1593" s="87" t="s">
        <v>1</v>
      </c>
      <c r="C1593" s="88" t="s">
        <v>5259</v>
      </c>
      <c r="D1593" s="88">
        <v>14256170</v>
      </c>
      <c r="E1593" s="88" t="s">
        <v>61</v>
      </c>
      <c r="F1593" s="88">
        <v>0</v>
      </c>
      <c r="G1593" s="78">
        <f>MAX(H1593,I1593,J1593)</f>
        <v>1</v>
      </c>
      <c r="H1593" s="88"/>
      <c r="I1593" s="88"/>
      <c r="J1593" s="78">
        <f>MAX(K1593:Q1593)</f>
        <v>1</v>
      </c>
      <c r="K1593" s="88">
        <v>1</v>
      </c>
      <c r="L1593" s="88"/>
      <c r="M1593" s="88"/>
      <c r="N1593" s="88"/>
      <c r="O1593" s="88"/>
      <c r="P1593" s="88"/>
      <c r="Q1593" s="88"/>
      <c r="R1593" s="78">
        <f>MAX(S1593:W1593)</f>
        <v>0</v>
      </c>
      <c r="S1593" s="88"/>
      <c r="T1593" s="88"/>
      <c r="U1593" s="88"/>
      <c r="V1593" s="88"/>
      <c r="W1593" s="88"/>
    </row>
    <row r="1594" spans="2:23" s="0" customFormat="0" ht="15">
      <c r="B1594" s="87" t="s">
        <v>1</v>
      </c>
      <c r="C1594" s="88" t="s">
        <v>5259</v>
      </c>
      <c r="D1594" s="88" t="s">
        <v>4055</v>
      </c>
      <c r="E1594" s="88" t="s">
        <v>61</v>
      </c>
      <c r="F1594" s="88">
        <v>0</v>
      </c>
      <c r="G1594" s="78">
        <f>MAX(H1594,I1594,J1594)</f>
        <v>0</v>
      </c>
      <c r="H1594" s="88"/>
      <c r="I1594" s="88"/>
      <c r="J1594" s="78">
        <f>MAX(K1594:Q1594)</f>
        <v>0</v>
      </c>
      <c r="K1594" s="88"/>
      <c r="L1594" s="88"/>
      <c r="M1594" s="88"/>
      <c r="N1594" s="88"/>
      <c r="O1594" s="88"/>
      <c r="P1594" s="88"/>
      <c r="Q1594" s="88"/>
      <c r="R1594" s="78">
        <f>MAX(S1594:W1594)</f>
        <v>1</v>
      </c>
      <c r="S1594" s="88"/>
      <c r="T1594" s="88"/>
      <c r="U1594" s="88">
        <v>1</v>
      </c>
      <c r="V1594" s="88"/>
      <c r="W1594" s="88"/>
    </row>
    <row r="1595" spans="2:23" s="0" customFormat="0" ht="15">
      <c r="B1595" s="87" t="s">
        <v>1</v>
      </c>
      <c r="C1595" s="88" t="s">
        <v>5259</v>
      </c>
      <c r="D1595" s="88">
        <v>994090</v>
      </c>
      <c r="E1595" s="88" t="s">
        <v>61</v>
      </c>
      <c r="F1595" s="88">
        <v>0</v>
      </c>
      <c r="G1595" s="78">
        <f>MAX(H1595,I1595,J1595)</f>
        <v>0</v>
      </c>
      <c r="H1595" s="88"/>
      <c r="I1595" s="88"/>
      <c r="J1595" s="78">
        <f>MAX(K1595:Q1595)</f>
        <v>0</v>
      </c>
      <c r="K1595" s="88"/>
      <c r="L1595" s="88"/>
      <c r="M1595" s="88"/>
      <c r="N1595" s="88"/>
      <c r="O1595" s="88"/>
      <c r="P1595" s="88"/>
      <c r="Q1595" s="88"/>
      <c r="R1595" s="78">
        <f>MAX(S1595:W1595)</f>
        <v>1</v>
      </c>
      <c r="S1595" s="88"/>
      <c r="T1595" s="88"/>
      <c r="U1595" s="88">
        <v>1</v>
      </c>
      <c r="V1595" s="88"/>
      <c r="W1595" s="88"/>
    </row>
    <row r="1596" spans="2:23" s="0" customFormat="0" ht="15">
      <c r="B1596" s="87" t="s">
        <v>1</v>
      </c>
      <c r="C1596" s="88" t="s">
        <v>5259</v>
      </c>
      <c r="D1596" s="88">
        <v>22927450</v>
      </c>
      <c r="E1596" s="88" t="s">
        <v>61</v>
      </c>
      <c r="F1596" s="88">
        <v>0</v>
      </c>
      <c r="G1596" s="78">
        <f>MAX(H1596,I1596,J1596)</f>
        <v>0</v>
      </c>
      <c r="H1596" s="88"/>
      <c r="I1596" s="88"/>
      <c r="J1596" s="78">
        <f>MAX(K1596:Q1596)</f>
        <v>0</v>
      </c>
      <c r="K1596" s="88"/>
      <c r="L1596" s="88"/>
      <c r="M1596" s="88"/>
      <c r="N1596" s="88"/>
      <c r="O1596" s="88"/>
      <c r="P1596" s="88"/>
      <c r="Q1596" s="88"/>
      <c r="R1596" s="78">
        <f>MAX(S1596:W1596)</f>
        <v>1</v>
      </c>
      <c r="S1596" s="88"/>
      <c r="T1596" s="88"/>
      <c r="U1596" s="88">
        <v>1</v>
      </c>
      <c r="V1596" s="88"/>
      <c r="W1596" s="88"/>
    </row>
    <row r="1597" spans="2:23" s="0" customFormat="0" ht="15">
      <c r="B1597" s="87" t="s">
        <v>1</v>
      </c>
      <c r="C1597" s="88" t="s">
        <v>5259</v>
      </c>
      <c r="D1597" s="88">
        <v>19612059</v>
      </c>
      <c r="E1597" s="88" t="s">
        <v>61</v>
      </c>
      <c r="F1597" s="88">
        <v>0</v>
      </c>
      <c r="G1597" s="78">
        <f>MAX(H1597,I1597,J1597)</f>
        <v>1</v>
      </c>
      <c r="H1597" s="88"/>
      <c r="I1597" s="88"/>
      <c r="J1597" s="78">
        <f>MAX(K1597:Q1597)</f>
        <v>1</v>
      </c>
      <c r="K1597" s="88">
        <v>1</v>
      </c>
      <c r="L1597" s="88"/>
      <c r="M1597" s="88"/>
      <c r="N1597" s="88"/>
      <c r="O1597" s="88"/>
      <c r="P1597" s="88"/>
      <c r="Q1597" s="88"/>
      <c r="R1597" s="78">
        <f>MAX(S1597:W1597)</f>
        <v>0</v>
      </c>
      <c r="S1597" s="88"/>
      <c r="T1597" s="88"/>
      <c r="U1597" s="88"/>
      <c r="V1597" s="88"/>
      <c r="W1597" s="88"/>
    </row>
    <row r="1598" spans="2:23" s="0" customFormat="0" ht="15">
      <c r="B1598" s="87" t="s">
        <v>1</v>
      </c>
      <c r="C1598" s="88" t="s">
        <v>5259</v>
      </c>
      <c r="D1598" s="88" t="s">
        <v>4059</v>
      </c>
      <c r="E1598" s="88" t="s">
        <v>61</v>
      </c>
      <c r="F1598" s="88">
        <v>0</v>
      </c>
      <c r="G1598" s="78">
        <f>MAX(H1598,I1598,J1598)</f>
        <v>0</v>
      </c>
      <c r="H1598" s="88"/>
      <c r="I1598" s="88"/>
      <c r="J1598" s="78">
        <f>MAX(K1598:Q1598)</f>
        <v>0</v>
      </c>
      <c r="K1598" s="88"/>
      <c r="L1598" s="88"/>
      <c r="M1598" s="88"/>
      <c r="N1598" s="88"/>
      <c r="O1598" s="88"/>
      <c r="P1598" s="88"/>
      <c r="Q1598" s="88"/>
      <c r="R1598" s="78">
        <f>MAX(S1598:W1598)</f>
        <v>1</v>
      </c>
      <c r="S1598" s="88"/>
      <c r="T1598" s="88"/>
      <c r="U1598" s="88">
        <v>1</v>
      </c>
      <c r="V1598" s="88"/>
      <c r="W1598" s="88"/>
    </row>
    <row r="1599" spans="2:23" s="0" customFormat="0" ht="15">
      <c r="B1599" s="87" t="s">
        <v>1</v>
      </c>
      <c r="C1599" s="88" t="s">
        <v>5259</v>
      </c>
      <c r="D1599" s="88">
        <v>21015446</v>
      </c>
      <c r="E1599" s="88" t="s">
        <v>61</v>
      </c>
      <c r="F1599" s="88">
        <v>0</v>
      </c>
      <c r="G1599" s="78">
        <f>MAX(H1599,I1599,J1599)</f>
        <v>1</v>
      </c>
      <c r="H1599" s="88"/>
      <c r="I1599" s="88"/>
      <c r="J1599" s="78">
        <f>MAX(K1599:Q1599)</f>
        <v>1</v>
      </c>
      <c r="K1599" s="88">
        <v>1</v>
      </c>
      <c r="L1599" s="88"/>
      <c r="M1599" s="88"/>
      <c r="N1599" s="88"/>
      <c r="O1599" s="88"/>
      <c r="P1599" s="88"/>
      <c r="Q1599" s="88"/>
      <c r="R1599" s="78">
        <f>MAX(S1599:W1599)</f>
        <v>0</v>
      </c>
      <c r="S1599" s="88"/>
      <c r="T1599" s="88"/>
      <c r="U1599" s="88"/>
      <c r="V1599" s="88"/>
      <c r="W1599" s="88"/>
    </row>
    <row r="1600" spans="2:23" s="0" customFormat="0" ht="15">
      <c r="B1600" s="87" t="s">
        <v>1</v>
      </c>
      <c r="C1600" s="88" t="s">
        <v>5259</v>
      </c>
      <c r="D1600" s="88">
        <v>17745733</v>
      </c>
      <c r="E1600" s="88" t="s">
        <v>61</v>
      </c>
      <c r="F1600" s="88">
        <v>0</v>
      </c>
      <c r="G1600" s="78">
        <f>MAX(H1600,I1600,J1600)</f>
        <v>1</v>
      </c>
      <c r="H1600" s="88"/>
      <c r="I1600" s="88"/>
      <c r="J1600" s="78">
        <f>MAX(K1600:Q1600)</f>
        <v>1</v>
      </c>
      <c r="K1600" s="88">
        <v>1</v>
      </c>
      <c r="L1600" s="88"/>
      <c r="M1600" s="88"/>
      <c r="N1600" s="88"/>
      <c r="O1600" s="88"/>
      <c r="P1600" s="88"/>
      <c r="Q1600" s="88"/>
      <c r="R1600" s="78">
        <f>MAX(S1600:W1600)</f>
        <v>0</v>
      </c>
      <c r="S1600" s="88"/>
      <c r="T1600" s="88"/>
      <c r="U1600" s="88"/>
      <c r="V1600" s="88"/>
      <c r="W1600" s="88"/>
    </row>
    <row r="1601" spans="2:23" s="0" customFormat="0" ht="15">
      <c r="B1601" s="87" t="s">
        <v>1</v>
      </c>
      <c r="C1601" s="88" t="s">
        <v>5259</v>
      </c>
      <c r="D1601" s="88">
        <v>22623659</v>
      </c>
      <c r="E1601" s="88" t="s">
        <v>61</v>
      </c>
      <c r="F1601" s="88">
        <v>0</v>
      </c>
      <c r="G1601" s="78">
        <f>MAX(H1601,I1601,J1601)</f>
        <v>0</v>
      </c>
      <c r="H1601" s="88"/>
      <c r="I1601" s="88"/>
      <c r="J1601" s="78">
        <f>MAX(K1601:Q1601)</f>
        <v>0</v>
      </c>
      <c r="K1601" s="88"/>
      <c r="L1601" s="88"/>
      <c r="M1601" s="88"/>
      <c r="N1601" s="88"/>
      <c r="O1601" s="88"/>
      <c r="P1601" s="88"/>
      <c r="Q1601" s="88"/>
      <c r="R1601" s="78">
        <f>MAX(S1601:W1601)</f>
        <v>1</v>
      </c>
      <c r="S1601" s="88"/>
      <c r="T1601" s="88"/>
      <c r="U1601" s="88">
        <v>1</v>
      </c>
      <c r="V1601" s="88"/>
      <c r="W1601" s="88"/>
    </row>
    <row r="1602" spans="2:23" s="0" customFormat="0" ht="15">
      <c r="B1602" s="87" t="s">
        <v>1</v>
      </c>
      <c r="C1602" s="88" t="s">
        <v>5259</v>
      </c>
      <c r="D1602" s="88">
        <v>13102389</v>
      </c>
      <c r="E1602" s="88" t="s">
        <v>61</v>
      </c>
      <c r="F1602" s="88">
        <v>0</v>
      </c>
      <c r="G1602" s="78">
        <f>MAX(H1602,I1602,J1602)</f>
        <v>1</v>
      </c>
      <c r="H1602" s="88"/>
      <c r="I1602" s="88"/>
      <c r="J1602" s="78">
        <f>MAX(K1602:Q1602)</f>
        <v>1</v>
      </c>
      <c r="K1602" s="88">
        <v>1</v>
      </c>
      <c r="L1602" s="88"/>
      <c r="M1602" s="88"/>
      <c r="N1602" s="88"/>
      <c r="O1602" s="88"/>
      <c r="P1602" s="88"/>
      <c r="Q1602" s="88"/>
      <c r="R1602" s="78">
        <f>MAX(S1602:W1602)</f>
        <v>0</v>
      </c>
      <c r="S1602" s="88"/>
      <c r="T1602" s="88"/>
      <c r="U1602" s="88"/>
      <c r="V1602" s="88"/>
      <c r="W1602" s="88"/>
    </row>
    <row r="1603" spans="2:23" s="0" customFormat="0" ht="15">
      <c r="B1603" s="87" t="s">
        <v>1</v>
      </c>
      <c r="C1603" s="88" t="s">
        <v>5259</v>
      </c>
      <c r="D1603" s="88">
        <v>11773262</v>
      </c>
      <c r="E1603" s="88" t="s">
        <v>61</v>
      </c>
      <c r="F1603" s="88">
        <v>0</v>
      </c>
      <c r="G1603" s="78">
        <f>MAX(H1603,I1603,J1603)</f>
        <v>1</v>
      </c>
      <c r="H1603" s="88"/>
      <c r="I1603" s="88"/>
      <c r="J1603" s="78">
        <f>MAX(K1603:Q1603)</f>
        <v>1</v>
      </c>
      <c r="K1603" s="88">
        <v>1</v>
      </c>
      <c r="L1603" s="88"/>
      <c r="M1603" s="88"/>
      <c r="N1603" s="88"/>
      <c r="O1603" s="88"/>
      <c r="P1603" s="88"/>
      <c r="Q1603" s="88"/>
      <c r="R1603" s="78">
        <f>MAX(S1603:W1603)</f>
        <v>0</v>
      </c>
      <c r="S1603" s="88"/>
      <c r="T1603" s="88"/>
      <c r="U1603" s="88"/>
      <c r="V1603" s="88"/>
      <c r="W1603" s="88"/>
    </row>
    <row r="1604" spans="2:23" s="0" customFormat="0" ht="15">
      <c r="B1604" s="87" t="s">
        <v>1</v>
      </c>
      <c r="C1604" s="88" t="s">
        <v>5259</v>
      </c>
      <c r="D1604" s="88">
        <v>12308376</v>
      </c>
      <c r="E1604" s="88" t="s">
        <v>61</v>
      </c>
      <c r="F1604" s="88">
        <v>0</v>
      </c>
      <c r="G1604" s="78">
        <f>MAX(H1604,I1604,J1604)</f>
        <v>1</v>
      </c>
      <c r="H1604" s="88"/>
      <c r="I1604" s="88"/>
      <c r="J1604" s="78">
        <f>MAX(K1604:Q1604)</f>
        <v>1</v>
      </c>
      <c r="K1604" s="88">
        <v>1</v>
      </c>
      <c r="L1604" s="88"/>
      <c r="M1604" s="88"/>
      <c r="N1604" s="88"/>
      <c r="O1604" s="88"/>
      <c r="P1604" s="88"/>
      <c r="Q1604" s="88"/>
      <c r="R1604" s="78">
        <f>MAX(S1604:W1604)</f>
        <v>0</v>
      </c>
      <c r="S1604" s="88"/>
      <c r="T1604" s="88"/>
      <c r="U1604" s="88"/>
      <c r="V1604" s="88"/>
      <c r="W1604" s="88"/>
    </row>
    <row r="1605" spans="2:23" s="0" customFormat="0" ht="15">
      <c r="B1605" s="87" t="s">
        <v>1</v>
      </c>
      <c r="C1605" s="88" t="s">
        <v>5259</v>
      </c>
      <c r="D1605" s="88" t="s">
        <v>4062</v>
      </c>
      <c r="E1605" s="88" t="s">
        <v>61</v>
      </c>
      <c r="F1605" s="88">
        <v>0</v>
      </c>
      <c r="G1605" s="78">
        <f>MAX(H1605,I1605,J1605)</f>
        <v>0</v>
      </c>
      <c r="H1605" s="88"/>
      <c r="I1605" s="88"/>
      <c r="J1605" s="78">
        <f>MAX(K1605:Q1605)</f>
        <v>0</v>
      </c>
      <c r="K1605" s="88"/>
      <c r="L1605" s="88"/>
      <c r="M1605" s="88"/>
      <c r="N1605" s="88"/>
      <c r="O1605" s="88"/>
      <c r="P1605" s="88"/>
      <c r="Q1605" s="88"/>
      <c r="R1605" s="78">
        <f>MAX(S1605:W1605)</f>
        <v>1</v>
      </c>
      <c r="S1605" s="88"/>
      <c r="T1605" s="88"/>
      <c r="U1605" s="88">
        <v>1</v>
      </c>
      <c r="V1605" s="88"/>
      <c r="W1605" s="88"/>
    </row>
    <row r="1606" spans="2:23" s="0" customFormat="0" ht="15">
      <c r="B1606" s="87" t="s">
        <v>1</v>
      </c>
      <c r="C1606" s="88" t="s">
        <v>5259</v>
      </c>
      <c r="D1606" s="88">
        <v>20374651</v>
      </c>
      <c r="E1606" s="88" t="s">
        <v>61</v>
      </c>
      <c r="F1606" s="88">
        <v>0</v>
      </c>
      <c r="G1606" s="78">
        <f>MAX(H1606,I1606,J1606)</f>
        <v>1</v>
      </c>
      <c r="H1606" s="88"/>
      <c r="I1606" s="88"/>
      <c r="J1606" s="78">
        <f>MAX(K1606:Q1606)</f>
        <v>1</v>
      </c>
      <c r="K1606" s="88">
        <v>1</v>
      </c>
      <c r="L1606" s="88"/>
      <c r="M1606" s="88"/>
      <c r="N1606" s="88"/>
      <c r="O1606" s="88"/>
      <c r="P1606" s="88"/>
      <c r="Q1606" s="88"/>
      <c r="R1606" s="78">
        <f>MAX(S1606:W1606)</f>
        <v>0</v>
      </c>
      <c r="S1606" s="88"/>
      <c r="T1606" s="88"/>
      <c r="U1606" s="88"/>
      <c r="V1606" s="88"/>
      <c r="W1606" s="88"/>
    </row>
    <row r="1607" spans="2:23" s="0" customFormat="0" ht="15">
      <c r="B1607" s="87" t="s">
        <v>1</v>
      </c>
      <c r="C1607" s="88" t="s">
        <v>5259</v>
      </c>
      <c r="D1607" s="88">
        <v>8364977</v>
      </c>
      <c r="E1607" s="88" t="s">
        <v>61</v>
      </c>
      <c r="F1607" s="88">
        <v>0</v>
      </c>
      <c r="G1607" s="78">
        <f>MAX(H1607,I1607,J1607)</f>
        <v>0</v>
      </c>
      <c r="H1607" s="88"/>
      <c r="I1607" s="88"/>
      <c r="J1607" s="78">
        <f>MAX(K1607:Q1607)</f>
        <v>0</v>
      </c>
      <c r="K1607" s="88"/>
      <c r="L1607" s="88"/>
      <c r="M1607" s="88"/>
      <c r="N1607" s="88"/>
      <c r="O1607" s="88"/>
      <c r="P1607" s="88"/>
      <c r="Q1607" s="88"/>
      <c r="R1607" s="78">
        <f>MAX(S1607:W1607)</f>
        <v>1</v>
      </c>
      <c r="S1607" s="88"/>
      <c r="T1607" s="88"/>
      <c r="U1607" s="88">
        <v>1</v>
      </c>
      <c r="V1607" s="88"/>
      <c r="W1607" s="88"/>
    </row>
    <row r="1608" spans="2:23" s="0" customFormat="0" ht="15">
      <c r="B1608" s="87" t="s">
        <v>1</v>
      </c>
      <c r="C1608" s="88" t="s">
        <v>5259</v>
      </c>
      <c r="D1608" s="88">
        <v>9277884</v>
      </c>
      <c r="E1608" s="88" t="s">
        <v>61</v>
      </c>
      <c r="F1608" s="88">
        <v>0</v>
      </c>
      <c r="G1608" s="78">
        <f>MAX(H1608,I1608,J1608)</f>
        <v>1</v>
      </c>
      <c r="H1608" s="88"/>
      <c r="I1608" s="88"/>
      <c r="J1608" s="78">
        <f>MAX(K1608:Q1608)</f>
        <v>1</v>
      </c>
      <c r="K1608" s="88">
        <v>1</v>
      </c>
      <c r="L1608" s="88"/>
      <c r="M1608" s="88"/>
      <c r="N1608" s="88"/>
      <c r="O1608" s="88"/>
      <c r="P1608" s="88"/>
      <c r="Q1608" s="88"/>
      <c r="R1608" s="78">
        <f>MAX(S1608:W1608)</f>
        <v>0</v>
      </c>
      <c r="S1608" s="88"/>
      <c r="T1608" s="88"/>
      <c r="U1608" s="88"/>
      <c r="V1608" s="88"/>
      <c r="W1608" s="88"/>
    </row>
    <row r="1609" spans="2:23" s="0" customFormat="0" ht="15">
      <c r="B1609" s="87" t="s">
        <v>1</v>
      </c>
      <c r="C1609" s="88" t="s">
        <v>5259</v>
      </c>
      <c r="D1609" s="88">
        <v>12077048</v>
      </c>
      <c r="E1609" s="88" t="s">
        <v>61</v>
      </c>
      <c r="F1609" s="88">
        <v>0</v>
      </c>
      <c r="G1609" s="78">
        <f>MAX(H1609,I1609,J1609)</f>
        <v>1</v>
      </c>
      <c r="H1609" s="88"/>
      <c r="I1609" s="88"/>
      <c r="J1609" s="78">
        <f>MAX(K1609:Q1609)</f>
        <v>1</v>
      </c>
      <c r="K1609" s="88">
        <v>1</v>
      </c>
      <c r="L1609" s="88"/>
      <c r="M1609" s="88"/>
      <c r="N1609" s="88"/>
      <c r="O1609" s="88"/>
      <c r="P1609" s="88"/>
      <c r="Q1609" s="88"/>
      <c r="R1609" s="78">
        <f>MAX(S1609:W1609)</f>
        <v>0</v>
      </c>
      <c r="S1609" s="88"/>
      <c r="T1609" s="88"/>
      <c r="U1609" s="88"/>
      <c r="V1609" s="88"/>
      <c r="W1609" s="88"/>
    </row>
    <row r="1610" spans="2:23" s="0" customFormat="0" ht="15">
      <c r="B1610" s="87" t="s">
        <v>1</v>
      </c>
      <c r="C1610" s="88" t="s">
        <v>5259</v>
      </c>
      <c r="D1610" s="88" t="s">
        <v>4065</v>
      </c>
      <c r="E1610" s="88" t="s">
        <v>61</v>
      </c>
      <c r="F1610" s="88">
        <v>0</v>
      </c>
      <c r="G1610" s="78">
        <f>MAX(H1610,I1610,J1610)</f>
        <v>0</v>
      </c>
      <c r="H1610" s="88"/>
      <c r="I1610" s="88"/>
      <c r="J1610" s="78">
        <f>MAX(K1610:Q1610)</f>
        <v>0</v>
      </c>
      <c r="K1610" s="88"/>
      <c r="L1610" s="88"/>
      <c r="M1610" s="88"/>
      <c r="N1610" s="88"/>
      <c r="O1610" s="88"/>
      <c r="P1610" s="88"/>
      <c r="Q1610" s="88"/>
      <c r="R1610" s="78">
        <f>MAX(S1610:W1610)</f>
        <v>1</v>
      </c>
      <c r="S1610" s="88"/>
      <c r="T1610" s="88"/>
      <c r="U1610" s="88">
        <v>1</v>
      </c>
      <c r="V1610" s="88"/>
      <c r="W1610" s="88"/>
    </row>
    <row r="1611" spans="2:23" s="0" customFormat="0" ht="15">
      <c r="B1611" s="87" t="s">
        <v>1</v>
      </c>
      <c r="C1611" s="88" t="s">
        <v>5259</v>
      </c>
      <c r="D1611" s="88">
        <v>17634084</v>
      </c>
      <c r="E1611" s="88" t="s">
        <v>61</v>
      </c>
      <c r="F1611" s="88">
        <v>0</v>
      </c>
      <c r="G1611" s="78">
        <f>MAX(H1611,I1611,J1611)</f>
        <v>1</v>
      </c>
      <c r="H1611" s="88"/>
      <c r="I1611" s="88"/>
      <c r="J1611" s="78">
        <f>MAX(K1611:Q1611)</f>
        <v>1</v>
      </c>
      <c r="K1611" s="88">
        <v>1</v>
      </c>
      <c r="L1611" s="88"/>
      <c r="M1611" s="88"/>
      <c r="N1611" s="88"/>
      <c r="O1611" s="88"/>
      <c r="P1611" s="88"/>
      <c r="Q1611" s="88"/>
      <c r="R1611" s="78">
        <f>MAX(S1611:W1611)</f>
        <v>0</v>
      </c>
      <c r="S1611" s="88"/>
      <c r="T1611" s="88"/>
      <c r="U1611" s="88"/>
      <c r="V1611" s="88"/>
      <c r="W1611" s="88"/>
    </row>
    <row r="1612" spans="2:23" s="0" customFormat="0" ht="15">
      <c r="B1612" s="87" t="s">
        <v>1</v>
      </c>
      <c r="C1612" s="88" t="s">
        <v>5259</v>
      </c>
      <c r="D1612" s="88">
        <v>24395138</v>
      </c>
      <c r="E1612" s="88" t="s">
        <v>61</v>
      </c>
      <c r="F1612" s="88">
        <v>0</v>
      </c>
      <c r="G1612" s="78">
        <f>MAX(H1612,I1612,J1612)</f>
        <v>1</v>
      </c>
      <c r="H1612" s="88"/>
      <c r="I1612" s="88"/>
      <c r="J1612" s="78">
        <f>MAX(K1612:Q1612)</f>
        <v>1</v>
      </c>
      <c r="K1612" s="88">
        <v>1</v>
      </c>
      <c r="L1612" s="88"/>
      <c r="M1612" s="88"/>
      <c r="N1612" s="88"/>
      <c r="O1612" s="88"/>
      <c r="P1612" s="88"/>
      <c r="Q1612" s="88"/>
      <c r="R1612" s="78">
        <f>MAX(S1612:W1612)</f>
        <v>0</v>
      </c>
      <c r="S1612" s="88"/>
      <c r="T1612" s="88"/>
      <c r="U1612" s="88"/>
      <c r="V1612" s="88"/>
      <c r="W1612" s="88"/>
    </row>
    <row r="1613" spans="2:23" s="0" customFormat="0" ht="15">
      <c r="B1613" s="87" t="s">
        <v>1</v>
      </c>
      <c r="C1613" s="88" t="s">
        <v>5259</v>
      </c>
      <c r="D1613" s="88" t="s">
        <v>3144</v>
      </c>
      <c r="E1613" s="88" t="s">
        <v>61</v>
      </c>
      <c r="F1613" s="88">
        <v>0</v>
      </c>
      <c r="G1613" s="78">
        <f>MAX(H1613,I1613,J1613)</f>
        <v>1</v>
      </c>
      <c r="H1613" s="88"/>
      <c r="I1613" s="88"/>
      <c r="J1613" s="78">
        <f>MAX(K1613:Q1613)</f>
        <v>1</v>
      </c>
      <c r="K1613" s="88"/>
      <c r="L1613" s="88"/>
      <c r="M1613" s="88"/>
      <c r="N1613" s="88">
        <v>1</v>
      </c>
      <c r="O1613" s="88"/>
      <c r="P1613" s="88"/>
      <c r="Q1613" s="88"/>
      <c r="R1613" s="78">
        <f>MAX(S1613:W1613)</f>
        <v>0</v>
      </c>
      <c r="S1613" s="88"/>
      <c r="T1613" s="88"/>
      <c r="U1613" s="88"/>
      <c r="V1613" s="88"/>
      <c r="W1613" s="88"/>
    </row>
    <row r="1614" spans="2:23" s="0" customFormat="0" ht="15">
      <c r="B1614" s="87" t="s">
        <v>1</v>
      </c>
      <c r="C1614" s="88" t="s">
        <v>5259</v>
      </c>
      <c r="D1614" s="88" t="s">
        <v>3930</v>
      </c>
      <c r="E1614" s="88" t="s">
        <v>61</v>
      </c>
      <c r="F1614" s="88">
        <v>0</v>
      </c>
      <c r="G1614" s="78">
        <f>MAX(H1614,I1614,J1614)</f>
        <v>0</v>
      </c>
      <c r="H1614" s="88"/>
      <c r="I1614" s="88"/>
      <c r="J1614" s="78">
        <f>MAX(K1614:Q1614)</f>
        <v>0</v>
      </c>
      <c r="K1614" s="88"/>
      <c r="L1614" s="88"/>
      <c r="M1614" s="88"/>
      <c r="N1614" s="88"/>
      <c r="O1614" s="88"/>
      <c r="P1614" s="88"/>
      <c r="Q1614" s="88"/>
      <c r="R1614" s="78">
        <f>MAX(S1614:W1614)</f>
        <v>1</v>
      </c>
      <c r="S1614" s="88"/>
      <c r="T1614" s="88"/>
      <c r="U1614" s="88">
        <v>1</v>
      </c>
      <c r="V1614" s="88"/>
      <c r="W1614" s="88"/>
    </row>
    <row r="1615" spans="2:23" s="0" customFormat="0" ht="15">
      <c r="B1615" s="87" t="s">
        <v>1</v>
      </c>
      <c r="C1615" s="88" t="s">
        <v>5259</v>
      </c>
      <c r="D1615" s="88">
        <v>24123126</v>
      </c>
      <c r="E1615" s="88" t="s">
        <v>61</v>
      </c>
      <c r="F1615" s="88">
        <v>0</v>
      </c>
      <c r="G1615" s="78">
        <f>MAX(H1615,I1615,J1615)</f>
        <v>1</v>
      </c>
      <c r="H1615" s="88"/>
      <c r="I1615" s="88"/>
      <c r="J1615" s="78">
        <f>MAX(K1615:Q1615)</f>
        <v>1</v>
      </c>
      <c r="K1615" s="88">
        <v>1</v>
      </c>
      <c r="L1615" s="88"/>
      <c r="M1615" s="88"/>
      <c r="N1615" s="88"/>
      <c r="O1615" s="88"/>
      <c r="P1615" s="88"/>
      <c r="Q1615" s="88"/>
      <c r="R1615" s="78">
        <f>MAX(S1615:W1615)</f>
        <v>0</v>
      </c>
      <c r="S1615" s="88"/>
      <c r="T1615" s="88"/>
      <c r="U1615" s="88"/>
      <c r="V1615" s="88"/>
      <c r="W1615" s="88"/>
    </row>
    <row r="1616" spans="2:23" s="0" customFormat="0" ht="15">
      <c r="B1616" s="87" t="s">
        <v>1</v>
      </c>
      <c r="C1616" s="88" t="s">
        <v>5259</v>
      </c>
      <c r="D1616" s="88">
        <v>11583648</v>
      </c>
      <c r="E1616" s="88" t="s">
        <v>61</v>
      </c>
      <c r="F1616" s="88">
        <v>0</v>
      </c>
      <c r="G1616" s="78">
        <f>MAX(H1616,I1616,J1616)</f>
        <v>1</v>
      </c>
      <c r="H1616" s="88"/>
      <c r="I1616" s="88"/>
      <c r="J1616" s="78">
        <f>MAX(K1616:Q1616)</f>
        <v>1</v>
      </c>
      <c r="K1616" s="88">
        <v>1</v>
      </c>
      <c r="L1616" s="88"/>
      <c r="M1616" s="88"/>
      <c r="N1616" s="88"/>
      <c r="O1616" s="88"/>
      <c r="P1616" s="88"/>
      <c r="Q1616" s="88"/>
      <c r="R1616" s="78">
        <f>MAX(S1616:W1616)</f>
        <v>0</v>
      </c>
      <c r="S1616" s="88"/>
      <c r="T1616" s="88"/>
      <c r="U1616" s="88"/>
      <c r="V1616" s="88"/>
      <c r="W1616" s="88"/>
    </row>
    <row r="1617" spans="2:23" s="0" customFormat="0" ht="15">
      <c r="B1617" s="87" t="s">
        <v>1</v>
      </c>
      <c r="C1617" s="88" t="s">
        <v>5259</v>
      </c>
      <c r="D1617" s="88" t="s">
        <v>4067</v>
      </c>
      <c r="E1617" s="88" t="s">
        <v>61</v>
      </c>
      <c r="F1617" s="88">
        <v>0</v>
      </c>
      <c r="G1617" s="78">
        <f>MAX(H1617,I1617,J1617)</f>
        <v>0</v>
      </c>
      <c r="H1617" s="88"/>
      <c r="I1617" s="88"/>
      <c r="J1617" s="78">
        <f>MAX(K1617:Q1617)</f>
        <v>0</v>
      </c>
      <c r="K1617" s="88"/>
      <c r="L1617" s="88"/>
      <c r="M1617" s="88"/>
      <c r="N1617" s="88"/>
      <c r="O1617" s="88"/>
      <c r="P1617" s="88"/>
      <c r="Q1617" s="88"/>
      <c r="R1617" s="78">
        <f>MAX(S1617:W1617)</f>
        <v>1</v>
      </c>
      <c r="S1617" s="88"/>
      <c r="T1617" s="88"/>
      <c r="U1617" s="88">
        <v>1</v>
      </c>
      <c r="V1617" s="88"/>
      <c r="W1617" s="88"/>
    </row>
    <row r="1618" spans="2:23" s="0" customFormat="0" ht="15">
      <c r="B1618" s="87" t="s">
        <v>1</v>
      </c>
      <c r="C1618" s="88" t="s">
        <v>5259</v>
      </c>
      <c r="D1618" s="88">
        <v>22554422</v>
      </c>
      <c r="E1618" s="88" t="s">
        <v>61</v>
      </c>
      <c r="F1618" s="88">
        <v>0</v>
      </c>
      <c r="G1618" s="78">
        <f>MAX(H1618,I1618,J1618)</f>
        <v>0</v>
      </c>
      <c r="H1618" s="88"/>
      <c r="I1618" s="88"/>
      <c r="J1618" s="78">
        <f>MAX(K1618:Q1618)</f>
        <v>0</v>
      </c>
      <c r="K1618" s="88"/>
      <c r="L1618" s="88"/>
      <c r="M1618" s="88"/>
      <c r="N1618" s="88"/>
      <c r="O1618" s="88"/>
      <c r="P1618" s="88"/>
      <c r="Q1618" s="88"/>
      <c r="R1618" s="78">
        <f>MAX(S1618:W1618)</f>
        <v>1</v>
      </c>
      <c r="S1618" s="88"/>
      <c r="T1618" s="88"/>
      <c r="U1618" s="88">
        <v>1</v>
      </c>
      <c r="V1618" s="88"/>
      <c r="W1618" s="88"/>
    </row>
    <row r="1619" spans="2:23" s="0" customFormat="0" ht="15">
      <c r="B1619" s="87" t="s">
        <v>1</v>
      </c>
      <c r="C1619" s="88" t="s">
        <v>5259</v>
      </c>
      <c r="D1619" s="88" t="s">
        <v>3225</v>
      </c>
      <c r="E1619" s="88" t="s">
        <v>61</v>
      </c>
      <c r="F1619" s="88">
        <v>0</v>
      </c>
      <c r="G1619" s="78">
        <f>MAX(H1619,I1619,J1619)</f>
        <v>0</v>
      </c>
      <c r="H1619" s="88"/>
      <c r="I1619" s="88"/>
      <c r="J1619" s="78">
        <f>MAX(K1619:Q1619)</f>
        <v>0</v>
      </c>
      <c r="K1619" s="88"/>
      <c r="L1619" s="88"/>
      <c r="M1619" s="88"/>
      <c r="N1619" s="88"/>
      <c r="O1619" s="88"/>
      <c r="P1619" s="88"/>
      <c r="Q1619" s="88"/>
      <c r="R1619" s="78">
        <f>MAX(S1619:W1619)</f>
        <v>1</v>
      </c>
      <c r="S1619" s="88"/>
      <c r="T1619" s="88"/>
      <c r="U1619" s="88"/>
      <c r="V1619" s="88">
        <v>1</v>
      </c>
      <c r="W1619" s="88"/>
    </row>
    <row r="1620" spans="2:23" s="0" customFormat="0" ht="15">
      <c r="B1620" s="87" t="s">
        <v>1</v>
      </c>
      <c r="C1620" s="88" t="s">
        <v>5259</v>
      </c>
      <c r="D1620" s="88" t="s">
        <v>1292</v>
      </c>
      <c r="E1620" s="88" t="s">
        <v>61</v>
      </c>
      <c r="F1620" s="88">
        <v>0</v>
      </c>
      <c r="G1620" s="78">
        <f>MAX(H1620,I1620,J1620)</f>
        <v>1</v>
      </c>
      <c r="H1620" s="88"/>
      <c r="I1620" s="88"/>
      <c r="J1620" s="78">
        <f>MAX(K1620:Q1620)</f>
        <v>1</v>
      </c>
      <c r="K1620" s="88">
        <v>1</v>
      </c>
      <c r="L1620" s="88"/>
      <c r="M1620" s="88"/>
      <c r="N1620" s="88"/>
      <c r="O1620" s="88"/>
      <c r="P1620" s="88"/>
      <c r="Q1620" s="88"/>
      <c r="R1620" s="78">
        <f>MAX(S1620:W1620)</f>
        <v>0</v>
      </c>
      <c r="S1620" s="88"/>
      <c r="T1620" s="88"/>
      <c r="U1620" s="88"/>
      <c r="V1620" s="88"/>
      <c r="W1620" s="88"/>
    </row>
    <row r="1621" spans="2:23" s="0" customFormat="0" ht="15">
      <c r="B1621" s="87" t="s">
        <v>1</v>
      </c>
      <c r="C1621" s="88" t="s">
        <v>5259</v>
      </c>
      <c r="D1621" s="88">
        <v>12077015</v>
      </c>
      <c r="E1621" s="88" t="s">
        <v>61</v>
      </c>
      <c r="F1621" s="88">
        <v>0</v>
      </c>
      <c r="G1621" s="78">
        <f>MAX(H1621,I1621,J1621)</f>
        <v>1</v>
      </c>
      <c r="H1621" s="88"/>
      <c r="I1621" s="88"/>
      <c r="J1621" s="78">
        <f>MAX(K1621:Q1621)</f>
        <v>1</v>
      </c>
      <c r="K1621" s="88">
        <v>1</v>
      </c>
      <c r="L1621" s="88"/>
      <c r="M1621" s="88"/>
      <c r="N1621" s="88"/>
      <c r="O1621" s="88"/>
      <c r="P1621" s="88"/>
      <c r="Q1621" s="88"/>
      <c r="R1621" s="78">
        <f>MAX(S1621:W1621)</f>
        <v>0</v>
      </c>
      <c r="S1621" s="88"/>
      <c r="T1621" s="88"/>
      <c r="U1621" s="88"/>
      <c r="V1621" s="88"/>
      <c r="W1621" s="88"/>
    </row>
    <row r="1622" spans="2:23" s="0" customFormat="0" ht="15">
      <c r="B1622" s="87" t="s">
        <v>1</v>
      </c>
      <c r="C1622" s="88" t="s">
        <v>5259</v>
      </c>
      <c r="D1622" s="88">
        <v>8904920</v>
      </c>
      <c r="E1622" s="88" t="s">
        <v>61</v>
      </c>
      <c r="F1622" s="88">
        <v>0</v>
      </c>
      <c r="G1622" s="78">
        <f>MAX(H1622,I1622,J1622)</f>
        <v>1</v>
      </c>
      <c r="H1622" s="88"/>
      <c r="I1622" s="88"/>
      <c r="J1622" s="78">
        <f>MAX(K1622:Q1622)</f>
        <v>1</v>
      </c>
      <c r="K1622" s="88">
        <v>1</v>
      </c>
      <c r="L1622" s="88"/>
      <c r="M1622" s="88"/>
      <c r="N1622" s="88"/>
      <c r="O1622" s="88"/>
      <c r="P1622" s="88"/>
      <c r="Q1622" s="88"/>
      <c r="R1622" s="78">
        <f>MAX(S1622:W1622)</f>
        <v>0</v>
      </c>
      <c r="S1622" s="88"/>
      <c r="T1622" s="88"/>
      <c r="U1622" s="88"/>
      <c r="V1622" s="88"/>
      <c r="W1622" s="88"/>
    </row>
    <row r="1623" spans="2:23" s="0" customFormat="0" ht="15">
      <c r="B1623" s="87" t="s">
        <v>1</v>
      </c>
      <c r="C1623" s="88" t="s">
        <v>5259</v>
      </c>
      <c r="D1623" s="88">
        <v>20788619</v>
      </c>
      <c r="E1623" s="88" t="s">
        <v>61</v>
      </c>
      <c r="F1623" s="88">
        <v>0</v>
      </c>
      <c r="G1623" s="78">
        <f>MAX(H1623,I1623,J1623)</f>
        <v>1</v>
      </c>
      <c r="H1623" s="88"/>
      <c r="I1623" s="88"/>
      <c r="J1623" s="78">
        <f>MAX(K1623:Q1623)</f>
        <v>1</v>
      </c>
      <c r="K1623" s="88">
        <v>1</v>
      </c>
      <c r="L1623" s="88"/>
      <c r="M1623" s="88"/>
      <c r="N1623" s="88"/>
      <c r="O1623" s="88"/>
      <c r="P1623" s="88"/>
      <c r="Q1623" s="88"/>
      <c r="R1623" s="78">
        <f>MAX(S1623:W1623)</f>
        <v>0</v>
      </c>
      <c r="S1623" s="88"/>
      <c r="T1623" s="88"/>
      <c r="U1623" s="88"/>
      <c r="V1623" s="88"/>
      <c r="W1623" s="88"/>
    </row>
    <row r="1624" spans="2:23" s="0" customFormat="0" ht="15">
      <c r="B1624" s="87" t="s">
        <v>1</v>
      </c>
      <c r="C1624" s="88" t="s">
        <v>5259</v>
      </c>
      <c r="D1624" s="88" t="s">
        <v>1296</v>
      </c>
      <c r="E1624" s="88" t="s">
        <v>61</v>
      </c>
      <c r="F1624" s="88">
        <v>0</v>
      </c>
      <c r="G1624" s="78">
        <f>MAX(H1624,I1624,J1624)</f>
        <v>1</v>
      </c>
      <c r="H1624" s="88"/>
      <c r="I1624" s="88"/>
      <c r="J1624" s="78">
        <f>MAX(K1624:Q1624)</f>
        <v>1</v>
      </c>
      <c r="K1624" s="88">
        <v>1</v>
      </c>
      <c r="L1624" s="88"/>
      <c r="M1624" s="88"/>
      <c r="N1624" s="88"/>
      <c r="O1624" s="88"/>
      <c r="P1624" s="88"/>
      <c r="Q1624" s="88"/>
      <c r="R1624" s="78">
        <f>MAX(S1624:W1624)</f>
        <v>0</v>
      </c>
      <c r="S1624" s="88"/>
      <c r="T1624" s="88"/>
      <c r="U1624" s="88"/>
      <c r="V1624" s="88"/>
      <c r="W1624" s="88"/>
    </row>
    <row r="1625" spans="2:23" s="0" customFormat="0" ht="15">
      <c r="B1625" s="87" t="s">
        <v>1</v>
      </c>
      <c r="C1625" s="88" t="s">
        <v>5259</v>
      </c>
      <c r="D1625" s="88" t="s">
        <v>1298</v>
      </c>
      <c r="E1625" s="88" t="s">
        <v>61</v>
      </c>
      <c r="F1625" s="88">
        <v>0</v>
      </c>
      <c r="G1625" s="78">
        <f>MAX(H1625,I1625,J1625)</f>
        <v>1</v>
      </c>
      <c r="H1625" s="88"/>
      <c r="I1625" s="88"/>
      <c r="J1625" s="78">
        <f>MAX(K1625:Q1625)</f>
        <v>1</v>
      </c>
      <c r="K1625" s="88">
        <v>1</v>
      </c>
      <c r="L1625" s="88"/>
      <c r="M1625" s="88"/>
      <c r="N1625" s="88"/>
      <c r="O1625" s="88"/>
      <c r="P1625" s="88"/>
      <c r="Q1625" s="88"/>
      <c r="R1625" s="78">
        <f>MAX(S1625:W1625)</f>
        <v>0</v>
      </c>
      <c r="S1625" s="88"/>
      <c r="T1625" s="88"/>
      <c r="U1625" s="88"/>
      <c r="V1625" s="88"/>
      <c r="W1625" s="88"/>
    </row>
    <row r="1626" spans="2:23" s="0" customFormat="0" ht="15">
      <c r="B1626" s="87" t="s">
        <v>1</v>
      </c>
      <c r="C1626" s="88" t="s">
        <v>5259</v>
      </c>
      <c r="D1626" s="88">
        <v>21020084</v>
      </c>
      <c r="E1626" s="88" t="s">
        <v>61</v>
      </c>
      <c r="F1626" s="88">
        <v>0</v>
      </c>
      <c r="G1626" s="78">
        <f>MAX(H1626,I1626,J1626)</f>
        <v>1</v>
      </c>
      <c r="H1626" s="88"/>
      <c r="I1626" s="88"/>
      <c r="J1626" s="78">
        <f>MAX(K1626:Q1626)</f>
        <v>1</v>
      </c>
      <c r="K1626" s="88">
        <v>1</v>
      </c>
      <c r="L1626" s="88"/>
      <c r="M1626" s="88"/>
      <c r="N1626" s="88"/>
      <c r="O1626" s="88"/>
      <c r="P1626" s="88"/>
      <c r="Q1626" s="88"/>
      <c r="R1626" s="78">
        <f>MAX(S1626:W1626)</f>
        <v>0</v>
      </c>
      <c r="S1626" s="88"/>
      <c r="T1626" s="88"/>
      <c r="U1626" s="88"/>
      <c r="V1626" s="88"/>
      <c r="W1626" s="88"/>
    </row>
    <row r="1627" spans="2:23" s="0" customFormat="0" ht="15">
      <c r="B1627" s="87" t="s">
        <v>1</v>
      </c>
      <c r="C1627" s="88" t="s">
        <v>5259</v>
      </c>
      <c r="D1627" s="88" t="s">
        <v>1067</v>
      </c>
      <c r="E1627" s="88" t="s">
        <v>61</v>
      </c>
      <c r="F1627" s="88">
        <v>0</v>
      </c>
      <c r="G1627" s="78">
        <f>MAX(H1627,I1627,J1627)</f>
        <v>1</v>
      </c>
      <c r="H1627" s="88"/>
      <c r="I1627" s="88"/>
      <c r="J1627" s="78">
        <f>MAX(K1627:Q1627)</f>
        <v>1</v>
      </c>
      <c r="K1627" s="88">
        <v>1</v>
      </c>
      <c r="L1627" s="88"/>
      <c r="M1627" s="88"/>
      <c r="N1627" s="88"/>
      <c r="O1627" s="88"/>
      <c r="P1627" s="88"/>
      <c r="Q1627" s="88"/>
      <c r="R1627" s="78">
        <f>MAX(S1627:W1627)</f>
        <v>0</v>
      </c>
      <c r="S1627" s="88"/>
      <c r="T1627" s="88"/>
      <c r="U1627" s="88"/>
      <c r="V1627" s="88"/>
      <c r="W1627" s="88"/>
    </row>
    <row r="1628" spans="2:23" s="0" customFormat="0" ht="15">
      <c r="B1628" s="87" t="s">
        <v>1</v>
      </c>
      <c r="C1628" s="88" t="s">
        <v>5259</v>
      </c>
      <c r="D1628" s="88">
        <v>20244104</v>
      </c>
      <c r="E1628" s="88" t="s">
        <v>61</v>
      </c>
      <c r="F1628" s="88">
        <v>0</v>
      </c>
      <c r="G1628" s="78">
        <f>MAX(H1628,I1628,J1628)</f>
        <v>1</v>
      </c>
      <c r="H1628" s="88"/>
      <c r="I1628" s="88"/>
      <c r="J1628" s="78">
        <f>MAX(K1628:Q1628)</f>
        <v>1</v>
      </c>
      <c r="K1628" s="88">
        <v>1</v>
      </c>
      <c r="L1628" s="88"/>
      <c r="M1628" s="88"/>
      <c r="N1628" s="88"/>
      <c r="O1628" s="88"/>
      <c r="P1628" s="88"/>
      <c r="Q1628" s="88"/>
      <c r="R1628" s="78">
        <f>MAX(S1628:W1628)</f>
        <v>0</v>
      </c>
      <c r="S1628" s="88"/>
      <c r="T1628" s="88"/>
      <c r="U1628" s="88"/>
      <c r="V1628" s="88"/>
      <c r="W1628" s="88"/>
    </row>
    <row r="1629" spans="2:23" s="0" customFormat="0" ht="15">
      <c r="B1629" s="87" t="s">
        <v>1</v>
      </c>
      <c r="C1629" s="88" t="s">
        <v>5259</v>
      </c>
      <c r="D1629" s="88" t="s">
        <v>4070</v>
      </c>
      <c r="E1629" s="88" t="s">
        <v>61</v>
      </c>
      <c r="F1629" s="88">
        <v>0</v>
      </c>
      <c r="G1629" s="78">
        <f>MAX(H1629,I1629,J1629)</f>
        <v>0</v>
      </c>
      <c r="H1629" s="88"/>
      <c r="I1629" s="88"/>
      <c r="J1629" s="78">
        <f>MAX(K1629:Q1629)</f>
        <v>0</v>
      </c>
      <c r="K1629" s="88"/>
      <c r="L1629" s="88"/>
      <c r="M1629" s="88"/>
      <c r="N1629" s="88"/>
      <c r="O1629" s="88"/>
      <c r="P1629" s="88"/>
      <c r="Q1629" s="88"/>
      <c r="R1629" s="78">
        <f>MAX(S1629:W1629)</f>
        <v>1</v>
      </c>
      <c r="S1629" s="88"/>
      <c r="T1629" s="88"/>
      <c r="U1629" s="88">
        <v>1</v>
      </c>
      <c r="V1629" s="88"/>
      <c r="W1629" s="88"/>
    </row>
    <row r="1630" spans="2:23" s="0" customFormat="0" ht="15">
      <c r="B1630" s="87" t="s">
        <v>1</v>
      </c>
      <c r="C1630" s="88" t="s">
        <v>5259</v>
      </c>
      <c r="D1630" s="88">
        <v>17351106</v>
      </c>
      <c r="E1630" s="88" t="s">
        <v>61</v>
      </c>
      <c r="F1630" s="88">
        <v>0</v>
      </c>
      <c r="G1630" s="78">
        <f>MAX(H1630,I1630,J1630)</f>
        <v>1</v>
      </c>
      <c r="H1630" s="88"/>
      <c r="I1630" s="88"/>
      <c r="J1630" s="78">
        <f>MAX(K1630:Q1630)</f>
        <v>1</v>
      </c>
      <c r="K1630" s="88">
        <v>1</v>
      </c>
      <c r="L1630" s="88"/>
      <c r="M1630" s="88"/>
      <c r="N1630" s="88"/>
      <c r="O1630" s="88"/>
      <c r="P1630" s="88"/>
      <c r="Q1630" s="88"/>
      <c r="R1630" s="78">
        <f>MAX(S1630:W1630)</f>
        <v>0</v>
      </c>
      <c r="S1630" s="88"/>
      <c r="T1630" s="88"/>
      <c r="U1630" s="88"/>
      <c r="V1630" s="88"/>
      <c r="W1630" s="88"/>
    </row>
    <row r="1631" spans="2:23" s="0" customFormat="0" ht="15">
      <c r="B1631" s="87" t="s">
        <v>1</v>
      </c>
      <c r="C1631" s="88" t="s">
        <v>5259</v>
      </c>
      <c r="D1631" s="88" t="s">
        <v>4047</v>
      </c>
      <c r="E1631" s="88" t="s">
        <v>61</v>
      </c>
      <c r="F1631" s="88">
        <v>0</v>
      </c>
      <c r="G1631" s="78">
        <f>MAX(H1631,I1631,J1631)</f>
        <v>0</v>
      </c>
      <c r="H1631" s="88"/>
      <c r="I1631" s="88"/>
      <c r="J1631" s="78">
        <f>MAX(K1631:Q1631)</f>
        <v>0</v>
      </c>
      <c r="K1631" s="88"/>
      <c r="L1631" s="88"/>
      <c r="M1631" s="88"/>
      <c r="N1631" s="88"/>
      <c r="O1631" s="88"/>
      <c r="P1631" s="88"/>
      <c r="Q1631" s="88"/>
      <c r="R1631" s="78">
        <f>MAX(S1631:W1631)</f>
        <v>1</v>
      </c>
      <c r="S1631" s="88"/>
      <c r="T1631" s="88"/>
      <c r="U1631" s="88">
        <v>1</v>
      </c>
      <c r="V1631" s="88"/>
      <c r="W1631" s="88"/>
    </row>
    <row r="1632" spans="2:23" s="0" customFormat="0" ht="15">
      <c r="B1632" s="87" t="s">
        <v>1</v>
      </c>
      <c r="C1632" s="88" t="s">
        <v>5259</v>
      </c>
      <c r="D1632" s="88" t="s">
        <v>3566</v>
      </c>
      <c r="E1632" s="88" t="s">
        <v>61</v>
      </c>
      <c r="F1632" s="88">
        <v>0</v>
      </c>
      <c r="G1632" s="78">
        <f>MAX(H1632,I1632,J1632)</f>
        <v>0</v>
      </c>
      <c r="H1632" s="88"/>
      <c r="I1632" s="88"/>
      <c r="J1632" s="78">
        <f>MAX(K1632:Q1632)</f>
        <v>0</v>
      </c>
      <c r="K1632" s="88"/>
      <c r="L1632" s="88"/>
      <c r="M1632" s="88"/>
      <c r="N1632" s="88"/>
      <c r="O1632" s="88"/>
      <c r="P1632" s="88"/>
      <c r="Q1632" s="88"/>
      <c r="R1632" s="78">
        <f>MAX(S1632:W1632)</f>
        <v>1</v>
      </c>
      <c r="S1632" s="88"/>
      <c r="T1632" s="88"/>
      <c r="U1632" s="88">
        <v>1</v>
      </c>
      <c r="V1632" s="88"/>
      <c r="W1632" s="88"/>
    </row>
    <row r="1633" spans="2:23" s="0" customFormat="0" ht="15">
      <c r="B1633" s="87" t="s">
        <v>1</v>
      </c>
      <c r="C1633" s="88" t="s">
        <v>5259</v>
      </c>
      <c r="D1633" s="88">
        <v>21771067</v>
      </c>
      <c r="E1633" s="88" t="s">
        <v>61</v>
      </c>
      <c r="F1633" s="88">
        <v>0</v>
      </c>
      <c r="G1633" s="78">
        <f>MAX(H1633,I1633,J1633)</f>
        <v>1</v>
      </c>
      <c r="H1633" s="88"/>
      <c r="I1633" s="88"/>
      <c r="J1633" s="78">
        <f>MAX(K1633:Q1633)</f>
        <v>1</v>
      </c>
      <c r="K1633" s="88">
        <v>1</v>
      </c>
      <c r="L1633" s="88"/>
      <c r="M1633" s="88"/>
      <c r="N1633" s="88"/>
      <c r="O1633" s="88"/>
      <c r="P1633" s="88"/>
      <c r="Q1633" s="88"/>
      <c r="R1633" s="78">
        <f>MAX(S1633:W1633)</f>
        <v>0</v>
      </c>
      <c r="S1633" s="88"/>
      <c r="T1633" s="88"/>
      <c r="U1633" s="88"/>
      <c r="V1633" s="88"/>
      <c r="W1633" s="88"/>
    </row>
    <row r="1634" spans="2:23" s="0" customFormat="0" ht="15">
      <c r="B1634" s="87" t="s">
        <v>1</v>
      </c>
      <c r="C1634" s="88" t="s">
        <v>5259</v>
      </c>
      <c r="D1634" s="88" t="s">
        <v>1303</v>
      </c>
      <c r="E1634" s="88" t="s">
        <v>61</v>
      </c>
      <c r="F1634" s="88">
        <v>0</v>
      </c>
      <c r="G1634" s="78">
        <f>MAX(H1634,I1634,J1634)</f>
        <v>1</v>
      </c>
      <c r="H1634" s="88"/>
      <c r="I1634" s="88"/>
      <c r="J1634" s="78">
        <f>MAX(K1634:Q1634)</f>
        <v>1</v>
      </c>
      <c r="K1634" s="88">
        <v>1</v>
      </c>
      <c r="L1634" s="88"/>
      <c r="M1634" s="88"/>
      <c r="N1634" s="88"/>
      <c r="O1634" s="88"/>
      <c r="P1634" s="88"/>
      <c r="Q1634" s="88"/>
      <c r="R1634" s="78">
        <f>MAX(S1634:W1634)</f>
        <v>0</v>
      </c>
      <c r="S1634" s="88"/>
      <c r="T1634" s="88"/>
      <c r="U1634" s="88"/>
      <c r="V1634" s="88"/>
      <c r="W1634" s="88"/>
    </row>
    <row r="1635" spans="2:23" s="0" customFormat="0" ht="15">
      <c r="B1635" s="87" t="s">
        <v>1</v>
      </c>
      <c r="C1635" s="88" t="s">
        <v>5259</v>
      </c>
      <c r="D1635" s="88">
        <v>20811032</v>
      </c>
      <c r="E1635" s="88" t="s">
        <v>61</v>
      </c>
      <c r="F1635" s="88">
        <v>0</v>
      </c>
      <c r="G1635" s="78">
        <f>MAX(H1635,I1635,J1635)</f>
        <v>1</v>
      </c>
      <c r="H1635" s="88"/>
      <c r="I1635" s="88"/>
      <c r="J1635" s="78">
        <f>MAX(K1635:Q1635)</f>
        <v>1</v>
      </c>
      <c r="K1635" s="88">
        <v>1</v>
      </c>
      <c r="L1635" s="88"/>
      <c r="M1635" s="88"/>
      <c r="N1635" s="88"/>
      <c r="O1635" s="88"/>
      <c r="P1635" s="88"/>
      <c r="Q1635" s="88"/>
      <c r="R1635" s="78">
        <f>MAX(S1635:W1635)</f>
        <v>0</v>
      </c>
      <c r="S1635" s="88"/>
      <c r="T1635" s="88"/>
      <c r="U1635" s="88"/>
      <c r="V1635" s="88"/>
      <c r="W1635" s="88"/>
    </row>
    <row r="1636" spans="2:23" s="0" customFormat="0" ht="15">
      <c r="B1636" s="87" t="s">
        <v>1</v>
      </c>
      <c r="C1636" s="88" t="s">
        <v>5259</v>
      </c>
      <c r="D1636" s="88">
        <v>8432966</v>
      </c>
      <c r="E1636" s="88" t="s">
        <v>61</v>
      </c>
      <c r="F1636" s="88">
        <v>0</v>
      </c>
      <c r="G1636" s="78">
        <f>MAX(H1636,I1636,J1636)</f>
        <v>1</v>
      </c>
      <c r="H1636" s="88"/>
      <c r="I1636" s="88"/>
      <c r="J1636" s="78">
        <f>MAX(K1636:Q1636)</f>
        <v>1</v>
      </c>
      <c r="K1636" s="88">
        <v>1</v>
      </c>
      <c r="L1636" s="88"/>
      <c r="M1636" s="88"/>
      <c r="N1636" s="88"/>
      <c r="O1636" s="88"/>
      <c r="P1636" s="88"/>
      <c r="Q1636" s="88"/>
      <c r="R1636" s="78">
        <f>MAX(S1636:W1636)</f>
        <v>0</v>
      </c>
      <c r="S1636" s="88"/>
      <c r="T1636" s="88"/>
      <c r="U1636" s="88"/>
      <c r="V1636" s="88"/>
      <c r="W1636" s="88"/>
    </row>
    <row r="1637" spans="2:23" s="0" customFormat="0" ht="15">
      <c r="B1637" s="87" t="s">
        <v>1</v>
      </c>
      <c r="C1637" s="88" t="s">
        <v>5259</v>
      </c>
      <c r="D1637" s="88">
        <v>22896289</v>
      </c>
      <c r="E1637" s="88" t="s">
        <v>61</v>
      </c>
      <c r="F1637" s="88">
        <v>0</v>
      </c>
      <c r="G1637" s="78">
        <f>MAX(H1637,I1637,J1637)</f>
        <v>1</v>
      </c>
      <c r="H1637" s="88"/>
      <c r="I1637" s="88"/>
      <c r="J1637" s="78">
        <f>MAX(K1637:Q1637)</f>
        <v>1</v>
      </c>
      <c r="K1637" s="88">
        <v>1</v>
      </c>
      <c r="L1637" s="88"/>
      <c r="M1637" s="88"/>
      <c r="N1637" s="88"/>
      <c r="O1637" s="88"/>
      <c r="P1637" s="88"/>
      <c r="Q1637" s="88"/>
      <c r="R1637" s="78">
        <f>MAX(S1637:W1637)</f>
        <v>0</v>
      </c>
      <c r="S1637" s="88"/>
      <c r="T1637" s="88"/>
      <c r="U1637" s="88"/>
      <c r="V1637" s="88"/>
      <c r="W1637" s="88"/>
    </row>
    <row r="1638" spans="2:23" s="0" customFormat="0" ht="15">
      <c r="B1638" s="87" t="s">
        <v>1</v>
      </c>
      <c r="C1638" s="88" t="s">
        <v>5259</v>
      </c>
      <c r="D1638" s="88">
        <v>20447790</v>
      </c>
      <c r="E1638" s="88" t="s">
        <v>61</v>
      </c>
      <c r="F1638" s="88">
        <v>0</v>
      </c>
      <c r="G1638" s="78">
        <f>MAX(H1638,I1638,J1638)</f>
        <v>1</v>
      </c>
      <c r="H1638" s="88"/>
      <c r="I1638" s="88"/>
      <c r="J1638" s="78">
        <f>MAX(K1638:Q1638)</f>
        <v>1</v>
      </c>
      <c r="K1638" s="88">
        <v>1</v>
      </c>
      <c r="L1638" s="88"/>
      <c r="M1638" s="88"/>
      <c r="N1638" s="88"/>
      <c r="O1638" s="88"/>
      <c r="P1638" s="88"/>
      <c r="Q1638" s="88"/>
      <c r="R1638" s="78">
        <f>MAX(S1638:W1638)</f>
        <v>0</v>
      </c>
      <c r="S1638" s="88"/>
      <c r="T1638" s="88"/>
      <c r="U1638" s="88"/>
      <c r="V1638" s="88"/>
      <c r="W1638" s="88"/>
    </row>
    <row r="1639" spans="2:23" s="0" customFormat="0" ht="15">
      <c r="B1639" s="87" t="s">
        <v>1</v>
      </c>
      <c r="C1639" s="88" t="s">
        <v>5259</v>
      </c>
      <c r="D1639" s="88" t="s">
        <v>1308</v>
      </c>
      <c r="E1639" s="88" t="s">
        <v>61</v>
      </c>
      <c r="F1639" s="88">
        <v>0</v>
      </c>
      <c r="G1639" s="78">
        <f>MAX(H1639,I1639,J1639)</f>
        <v>1</v>
      </c>
      <c r="H1639" s="88"/>
      <c r="I1639" s="88"/>
      <c r="J1639" s="78">
        <f>MAX(K1639:Q1639)</f>
        <v>1</v>
      </c>
      <c r="K1639" s="88">
        <v>1</v>
      </c>
      <c r="L1639" s="88"/>
      <c r="M1639" s="88"/>
      <c r="N1639" s="88"/>
      <c r="O1639" s="88"/>
      <c r="P1639" s="88"/>
      <c r="Q1639" s="88"/>
      <c r="R1639" s="78">
        <f>MAX(S1639:W1639)</f>
        <v>0</v>
      </c>
      <c r="S1639" s="88"/>
      <c r="T1639" s="88"/>
      <c r="U1639" s="88"/>
      <c r="V1639" s="88"/>
      <c r="W1639" s="88"/>
    </row>
    <row r="1640" spans="2:23" s="0" customFormat="0" ht="15">
      <c r="B1640" s="87" t="s">
        <v>1</v>
      </c>
      <c r="C1640" s="88" t="s">
        <v>5259</v>
      </c>
      <c r="D1640" s="88" t="s">
        <v>917</v>
      </c>
      <c r="E1640" s="88" t="s">
        <v>61</v>
      </c>
      <c r="F1640" s="88">
        <v>0</v>
      </c>
      <c r="G1640" s="78">
        <f>MAX(H1640,I1640,J1640)</f>
        <v>1</v>
      </c>
      <c r="H1640" s="88"/>
      <c r="I1640" s="88"/>
      <c r="J1640" s="78">
        <f>MAX(K1640:Q1640)</f>
        <v>1</v>
      </c>
      <c r="K1640" s="88">
        <v>1</v>
      </c>
      <c r="L1640" s="88"/>
      <c r="M1640" s="88"/>
      <c r="N1640" s="88"/>
      <c r="O1640" s="88"/>
      <c r="P1640" s="88"/>
      <c r="Q1640" s="88"/>
      <c r="R1640" s="78">
        <f>MAX(S1640:W1640)</f>
        <v>0</v>
      </c>
      <c r="S1640" s="88"/>
      <c r="T1640" s="88"/>
      <c r="U1640" s="88"/>
      <c r="V1640" s="88"/>
      <c r="W1640" s="88"/>
    </row>
    <row r="1641" spans="2:23" s="0" customFormat="0" ht="15">
      <c r="B1641" s="87" t="s">
        <v>1</v>
      </c>
      <c r="C1641" s="88" t="s">
        <v>5259</v>
      </c>
      <c r="D1641" s="88">
        <v>19494625</v>
      </c>
      <c r="E1641" s="88" t="s">
        <v>61</v>
      </c>
      <c r="F1641" s="88">
        <v>0</v>
      </c>
      <c r="G1641" s="78">
        <f>MAX(H1641,I1641,J1641)</f>
        <v>1</v>
      </c>
      <c r="H1641" s="88"/>
      <c r="I1641" s="88"/>
      <c r="J1641" s="78">
        <f>MAX(K1641:Q1641)</f>
        <v>1</v>
      </c>
      <c r="K1641" s="88">
        <v>1</v>
      </c>
      <c r="L1641" s="88"/>
      <c r="M1641" s="88"/>
      <c r="N1641" s="88"/>
      <c r="O1641" s="88"/>
      <c r="P1641" s="88"/>
      <c r="Q1641" s="88"/>
      <c r="R1641" s="78">
        <f>MAX(S1641:W1641)</f>
        <v>0</v>
      </c>
      <c r="S1641" s="88"/>
      <c r="T1641" s="88"/>
      <c r="U1641" s="88"/>
      <c r="V1641" s="88"/>
      <c r="W1641" s="88"/>
    </row>
    <row r="1642" spans="2:23" s="0" customFormat="0" ht="15">
      <c r="B1642" s="87" t="s">
        <v>1</v>
      </c>
      <c r="C1642" s="88" t="s">
        <v>5259</v>
      </c>
      <c r="D1642" s="88">
        <v>21417310</v>
      </c>
      <c r="E1642" s="88" t="s">
        <v>61</v>
      </c>
      <c r="F1642" s="88">
        <v>0</v>
      </c>
      <c r="G1642" s="78">
        <f>MAX(H1642,I1642,J1642)</f>
        <v>1</v>
      </c>
      <c r="H1642" s="88"/>
      <c r="I1642" s="88"/>
      <c r="J1642" s="78">
        <f>MAX(K1642:Q1642)</f>
        <v>1</v>
      </c>
      <c r="K1642" s="88">
        <v>1</v>
      </c>
      <c r="L1642" s="88"/>
      <c r="M1642" s="88"/>
      <c r="N1642" s="88"/>
      <c r="O1642" s="88"/>
      <c r="P1642" s="88"/>
      <c r="Q1642" s="88"/>
      <c r="R1642" s="78">
        <f>MAX(S1642:W1642)</f>
        <v>0</v>
      </c>
      <c r="S1642" s="88"/>
      <c r="T1642" s="88"/>
      <c r="U1642" s="88"/>
      <c r="V1642" s="88"/>
      <c r="W1642" s="88"/>
    </row>
    <row r="1643" spans="2:23" s="0" customFormat="0" ht="15">
      <c r="B1643" s="87" t="s">
        <v>1</v>
      </c>
      <c r="C1643" s="88" t="s">
        <v>5259</v>
      </c>
      <c r="D1643" s="88">
        <v>13662077</v>
      </c>
      <c r="E1643" s="88" t="s">
        <v>61</v>
      </c>
      <c r="F1643" s="88">
        <v>0</v>
      </c>
      <c r="G1643" s="78">
        <f>MAX(H1643,I1643,J1643)</f>
        <v>1</v>
      </c>
      <c r="H1643" s="88"/>
      <c r="I1643" s="88"/>
      <c r="J1643" s="78">
        <f>MAX(K1643:Q1643)</f>
        <v>1</v>
      </c>
      <c r="K1643" s="88">
        <v>1</v>
      </c>
      <c r="L1643" s="88"/>
      <c r="M1643" s="88"/>
      <c r="N1643" s="88"/>
      <c r="O1643" s="88"/>
      <c r="P1643" s="88"/>
      <c r="Q1643" s="88"/>
      <c r="R1643" s="78">
        <f>MAX(S1643:W1643)</f>
        <v>0</v>
      </c>
      <c r="S1643" s="88"/>
      <c r="T1643" s="88"/>
      <c r="U1643" s="88"/>
      <c r="V1643" s="88"/>
      <c r="W1643" s="88"/>
    </row>
    <row r="1644" spans="2:23" s="0" customFormat="0" ht="15">
      <c r="B1644" s="87" t="s">
        <v>1</v>
      </c>
      <c r="C1644" s="88" t="s">
        <v>5259</v>
      </c>
      <c r="D1644" s="88">
        <v>5043377</v>
      </c>
      <c r="E1644" s="88" t="s">
        <v>61</v>
      </c>
      <c r="F1644" s="88">
        <v>0</v>
      </c>
      <c r="G1644" s="78">
        <f>MAX(H1644,I1644,J1644)</f>
        <v>1</v>
      </c>
      <c r="H1644" s="88"/>
      <c r="I1644" s="88"/>
      <c r="J1644" s="78">
        <f>MAX(K1644:Q1644)</f>
        <v>1</v>
      </c>
      <c r="K1644" s="88">
        <v>1</v>
      </c>
      <c r="L1644" s="88"/>
      <c r="M1644" s="88"/>
      <c r="N1644" s="88"/>
      <c r="O1644" s="88"/>
      <c r="P1644" s="88"/>
      <c r="Q1644" s="88"/>
      <c r="R1644" s="78">
        <f>MAX(S1644:W1644)</f>
        <v>0</v>
      </c>
      <c r="S1644" s="88"/>
      <c r="T1644" s="88"/>
      <c r="U1644" s="88"/>
      <c r="V1644" s="88"/>
      <c r="W1644" s="88"/>
    </row>
    <row r="1645" spans="2:23" s="0" customFormat="0" ht="15">
      <c r="B1645" s="87" t="s">
        <v>1</v>
      </c>
      <c r="C1645" s="88" t="s">
        <v>5259</v>
      </c>
      <c r="D1645" s="88" t="s">
        <v>1312</v>
      </c>
      <c r="E1645" s="88" t="s">
        <v>61</v>
      </c>
      <c r="F1645" s="88">
        <v>0</v>
      </c>
      <c r="G1645" s="78">
        <f>MAX(H1645,I1645,J1645)</f>
        <v>1</v>
      </c>
      <c r="H1645" s="88"/>
      <c r="I1645" s="88"/>
      <c r="J1645" s="78">
        <f>MAX(K1645:Q1645)</f>
        <v>1</v>
      </c>
      <c r="K1645" s="88">
        <v>1</v>
      </c>
      <c r="L1645" s="88"/>
      <c r="M1645" s="88"/>
      <c r="N1645" s="88"/>
      <c r="O1645" s="88"/>
      <c r="P1645" s="88"/>
      <c r="Q1645" s="88"/>
      <c r="R1645" s="78">
        <f>MAX(S1645:W1645)</f>
        <v>0</v>
      </c>
      <c r="S1645" s="88"/>
      <c r="T1645" s="88"/>
      <c r="U1645" s="88"/>
      <c r="V1645" s="88"/>
      <c r="W1645" s="88"/>
    </row>
    <row r="1646" spans="2:23" s="0" customFormat="0" ht="15">
      <c r="B1646" s="87" t="s">
        <v>1</v>
      </c>
      <c r="C1646" s="88" t="s">
        <v>5259</v>
      </c>
      <c r="D1646" s="88" t="s">
        <v>4072</v>
      </c>
      <c r="E1646" s="88" t="s">
        <v>61</v>
      </c>
      <c r="F1646" s="88">
        <v>0</v>
      </c>
      <c r="G1646" s="78">
        <f>MAX(H1646,I1646,J1646)</f>
        <v>0</v>
      </c>
      <c r="H1646" s="88"/>
      <c r="I1646" s="88"/>
      <c r="J1646" s="78">
        <f>MAX(K1646:Q1646)</f>
        <v>0</v>
      </c>
      <c r="K1646" s="88"/>
      <c r="L1646" s="88"/>
      <c r="M1646" s="88"/>
      <c r="N1646" s="88"/>
      <c r="O1646" s="88"/>
      <c r="P1646" s="88"/>
      <c r="Q1646" s="88"/>
      <c r="R1646" s="78">
        <f>MAX(S1646:W1646)</f>
        <v>1</v>
      </c>
      <c r="S1646" s="88"/>
      <c r="T1646" s="88"/>
      <c r="U1646" s="88">
        <v>1</v>
      </c>
      <c r="V1646" s="88"/>
      <c r="W1646" s="88"/>
    </row>
    <row r="1647" spans="2:23" s="0" customFormat="0" ht="15">
      <c r="B1647" s="87" t="s">
        <v>1</v>
      </c>
      <c r="C1647" s="88" t="s">
        <v>5259</v>
      </c>
      <c r="D1647" s="88">
        <v>22698144</v>
      </c>
      <c r="E1647" s="88" t="s">
        <v>61</v>
      </c>
      <c r="F1647" s="88">
        <v>0</v>
      </c>
      <c r="G1647" s="78">
        <f>MAX(H1647,I1647,J1647)</f>
        <v>1</v>
      </c>
      <c r="H1647" s="88"/>
      <c r="I1647" s="88"/>
      <c r="J1647" s="78">
        <f>MAX(K1647:Q1647)</f>
        <v>1</v>
      </c>
      <c r="K1647" s="88">
        <v>1</v>
      </c>
      <c r="L1647" s="88"/>
      <c r="M1647" s="88"/>
      <c r="N1647" s="88"/>
      <c r="O1647" s="88"/>
      <c r="P1647" s="88"/>
      <c r="Q1647" s="88"/>
      <c r="R1647" s="78">
        <f>MAX(S1647:W1647)</f>
        <v>0</v>
      </c>
      <c r="S1647" s="88"/>
      <c r="T1647" s="88"/>
      <c r="U1647" s="88"/>
      <c r="V1647" s="88"/>
      <c r="W1647" s="88"/>
    </row>
    <row r="1648" spans="2:23" s="0" customFormat="0" ht="15">
      <c r="B1648" s="87" t="s">
        <v>1</v>
      </c>
      <c r="C1648" s="88" t="s">
        <v>5259</v>
      </c>
      <c r="D1648" s="88" t="s">
        <v>541</v>
      </c>
      <c r="E1648" s="88" t="s">
        <v>61</v>
      </c>
      <c r="F1648" s="88">
        <v>0</v>
      </c>
      <c r="G1648" s="78">
        <f>MAX(H1648,I1648,J1648)</f>
        <v>1</v>
      </c>
      <c r="H1648" s="88"/>
      <c r="I1648" s="88"/>
      <c r="J1648" s="78">
        <f>MAX(K1648:Q1648)</f>
        <v>1</v>
      </c>
      <c r="K1648" s="88">
        <v>1</v>
      </c>
      <c r="L1648" s="88"/>
      <c r="M1648" s="88"/>
      <c r="N1648" s="88"/>
      <c r="O1648" s="88"/>
      <c r="P1648" s="88"/>
      <c r="Q1648" s="88"/>
      <c r="R1648" s="78">
        <f>MAX(S1648:W1648)</f>
        <v>0</v>
      </c>
      <c r="S1648" s="88"/>
      <c r="T1648" s="88"/>
      <c r="U1648" s="88"/>
      <c r="V1648" s="88"/>
      <c r="W1648" s="88"/>
    </row>
    <row r="1649" spans="2:23" s="0" customFormat="0" ht="15">
      <c r="B1649" s="87" t="s">
        <v>1</v>
      </c>
      <c r="C1649" s="88" t="s">
        <v>5259</v>
      </c>
      <c r="D1649" s="88">
        <v>21834546</v>
      </c>
      <c r="E1649" s="88" t="s">
        <v>61</v>
      </c>
      <c r="F1649" s="88">
        <v>0</v>
      </c>
      <c r="G1649" s="78">
        <f>MAX(H1649,I1649,J1649)</f>
        <v>1</v>
      </c>
      <c r="H1649" s="88"/>
      <c r="I1649" s="88"/>
      <c r="J1649" s="78">
        <f>MAX(K1649:Q1649)</f>
        <v>1</v>
      </c>
      <c r="K1649" s="88">
        <v>1</v>
      </c>
      <c r="L1649" s="88"/>
      <c r="M1649" s="88"/>
      <c r="N1649" s="88"/>
      <c r="O1649" s="88"/>
      <c r="P1649" s="88"/>
      <c r="Q1649" s="88"/>
      <c r="R1649" s="78">
        <f>MAX(S1649:W1649)</f>
        <v>0</v>
      </c>
      <c r="S1649" s="88"/>
      <c r="T1649" s="88"/>
      <c r="U1649" s="88"/>
      <c r="V1649" s="88"/>
      <c r="W1649" s="88"/>
    </row>
    <row r="1650" spans="2:23" s="0" customFormat="0" ht="15">
      <c r="B1650" s="87" t="s">
        <v>1</v>
      </c>
      <c r="C1650" s="88" t="s">
        <v>5259</v>
      </c>
      <c r="D1650" s="88">
        <v>20269102</v>
      </c>
      <c r="E1650" s="88" t="s">
        <v>61</v>
      </c>
      <c r="F1650" s="88">
        <v>0</v>
      </c>
      <c r="G1650" s="78">
        <f>MAX(H1650,I1650,J1650)</f>
        <v>1</v>
      </c>
      <c r="H1650" s="88"/>
      <c r="I1650" s="88"/>
      <c r="J1650" s="78">
        <f>MAX(K1650:Q1650)</f>
        <v>1</v>
      </c>
      <c r="K1650" s="88">
        <v>1</v>
      </c>
      <c r="L1650" s="88"/>
      <c r="M1650" s="88"/>
      <c r="N1650" s="88"/>
      <c r="O1650" s="88"/>
      <c r="P1650" s="88"/>
      <c r="Q1650" s="88"/>
      <c r="R1650" s="78">
        <f>MAX(S1650:W1650)</f>
        <v>0</v>
      </c>
      <c r="S1650" s="88"/>
      <c r="T1650" s="88"/>
      <c r="U1650" s="88"/>
      <c r="V1650" s="88"/>
      <c r="W1650" s="88"/>
    </row>
    <row r="1651" spans="2:23" s="0" customFormat="0" ht="15">
      <c r="B1651" s="87" t="s">
        <v>1</v>
      </c>
      <c r="C1651" s="88" t="s">
        <v>5259</v>
      </c>
      <c r="D1651" s="88" t="s">
        <v>3819</v>
      </c>
      <c r="E1651" s="88" t="s">
        <v>61</v>
      </c>
      <c r="F1651" s="88">
        <v>0</v>
      </c>
      <c r="G1651" s="78">
        <f>MAX(H1651,I1651,J1651)</f>
        <v>0</v>
      </c>
      <c r="H1651" s="88"/>
      <c r="I1651" s="88"/>
      <c r="J1651" s="78">
        <f>MAX(K1651:Q1651)</f>
        <v>0</v>
      </c>
      <c r="K1651" s="88"/>
      <c r="L1651" s="88"/>
      <c r="M1651" s="88"/>
      <c r="N1651" s="88"/>
      <c r="O1651" s="88"/>
      <c r="P1651" s="88"/>
      <c r="Q1651" s="88"/>
      <c r="R1651" s="78">
        <f>MAX(S1651:W1651)</f>
        <v>1</v>
      </c>
      <c r="S1651" s="88"/>
      <c r="T1651" s="88"/>
      <c r="U1651" s="88">
        <v>1</v>
      </c>
      <c r="V1651" s="88"/>
      <c r="W1651" s="88"/>
    </row>
    <row r="1652" spans="2:23" s="0" customFormat="0" ht="15">
      <c r="B1652" s="87" t="s">
        <v>1</v>
      </c>
      <c r="C1652" s="88" t="s">
        <v>5259</v>
      </c>
      <c r="D1652" s="88">
        <v>16192340</v>
      </c>
      <c r="E1652" s="88" t="s">
        <v>61</v>
      </c>
      <c r="F1652" s="88">
        <v>0</v>
      </c>
      <c r="G1652" s="78">
        <f>MAX(H1652,I1652,J1652)</f>
        <v>1</v>
      </c>
      <c r="H1652" s="88"/>
      <c r="I1652" s="88"/>
      <c r="J1652" s="78">
        <f>MAX(K1652:Q1652)</f>
        <v>1</v>
      </c>
      <c r="K1652" s="88">
        <v>1</v>
      </c>
      <c r="L1652" s="88"/>
      <c r="M1652" s="88"/>
      <c r="N1652" s="88"/>
      <c r="O1652" s="88"/>
      <c r="P1652" s="88"/>
      <c r="Q1652" s="88"/>
      <c r="R1652" s="78">
        <f>MAX(S1652:W1652)</f>
        <v>0</v>
      </c>
      <c r="S1652" s="88"/>
      <c r="T1652" s="88"/>
      <c r="U1652" s="88"/>
      <c r="V1652" s="88"/>
      <c r="W1652" s="88"/>
    </row>
    <row r="1653" spans="2:23" s="0" customFormat="0" ht="15">
      <c r="B1653" s="87" t="s">
        <v>1</v>
      </c>
      <c r="C1653" s="88" t="s">
        <v>5259</v>
      </c>
      <c r="D1653" s="88">
        <v>11479489</v>
      </c>
      <c r="E1653" s="88" t="s">
        <v>61</v>
      </c>
      <c r="F1653" s="88">
        <v>0</v>
      </c>
      <c r="G1653" s="78">
        <f>MAX(H1653,I1653,J1653)</f>
        <v>1</v>
      </c>
      <c r="H1653" s="88"/>
      <c r="I1653" s="88"/>
      <c r="J1653" s="78">
        <f>MAX(K1653:Q1653)</f>
        <v>1</v>
      </c>
      <c r="K1653" s="88">
        <v>1</v>
      </c>
      <c r="L1653" s="88"/>
      <c r="M1653" s="88"/>
      <c r="N1653" s="88"/>
      <c r="O1653" s="88"/>
      <c r="P1653" s="88"/>
      <c r="Q1653" s="88"/>
      <c r="R1653" s="78">
        <f>MAX(S1653:W1653)</f>
        <v>0</v>
      </c>
      <c r="S1653" s="88"/>
      <c r="T1653" s="88"/>
      <c r="U1653" s="88"/>
      <c r="V1653" s="88"/>
      <c r="W1653" s="88"/>
    </row>
    <row r="1654" spans="2:23" s="0" customFormat="0" ht="15">
      <c r="B1654" s="87" t="s">
        <v>1</v>
      </c>
      <c r="C1654" s="88" t="s">
        <v>5259</v>
      </c>
      <c r="D1654" s="88">
        <v>13111105</v>
      </c>
      <c r="E1654" s="88" t="s">
        <v>61</v>
      </c>
      <c r="F1654" s="88">
        <v>0</v>
      </c>
      <c r="G1654" s="78">
        <f>MAX(H1654,I1654,J1654)</f>
        <v>1</v>
      </c>
      <c r="H1654" s="88"/>
      <c r="I1654" s="88"/>
      <c r="J1654" s="78">
        <f>MAX(K1654:Q1654)</f>
        <v>1</v>
      </c>
      <c r="K1654" s="88">
        <v>1</v>
      </c>
      <c r="L1654" s="88"/>
      <c r="M1654" s="88"/>
      <c r="N1654" s="88"/>
      <c r="O1654" s="88"/>
      <c r="P1654" s="88"/>
      <c r="Q1654" s="88"/>
      <c r="R1654" s="78">
        <f>MAX(S1654:W1654)</f>
        <v>0</v>
      </c>
      <c r="S1654" s="88"/>
      <c r="T1654" s="88"/>
      <c r="U1654" s="88"/>
      <c r="V1654" s="88"/>
      <c r="W1654" s="88"/>
    </row>
    <row r="1655" spans="2:23" s="0" customFormat="0" ht="15">
      <c r="B1655" s="87" t="s">
        <v>1</v>
      </c>
      <c r="C1655" s="88" t="s">
        <v>5259</v>
      </c>
      <c r="D1655" s="88" t="s">
        <v>4074</v>
      </c>
      <c r="E1655" s="88" t="s">
        <v>61</v>
      </c>
      <c r="F1655" s="88">
        <v>0</v>
      </c>
      <c r="G1655" s="78">
        <f>MAX(H1655,I1655,J1655)</f>
        <v>0</v>
      </c>
      <c r="H1655" s="88"/>
      <c r="I1655" s="88"/>
      <c r="J1655" s="78">
        <f>MAX(K1655:Q1655)</f>
        <v>0</v>
      </c>
      <c r="K1655" s="88"/>
      <c r="L1655" s="88"/>
      <c r="M1655" s="88"/>
      <c r="N1655" s="88"/>
      <c r="O1655" s="88"/>
      <c r="P1655" s="88"/>
      <c r="Q1655" s="88"/>
      <c r="R1655" s="78">
        <f>MAX(S1655:W1655)</f>
        <v>1</v>
      </c>
      <c r="S1655" s="88"/>
      <c r="T1655" s="88"/>
      <c r="U1655" s="88">
        <v>1</v>
      </c>
      <c r="V1655" s="88"/>
      <c r="W1655" s="88"/>
    </row>
    <row r="1656" spans="2:23" s="0" customFormat="0" ht="15">
      <c r="B1656" s="87" t="s">
        <v>1</v>
      </c>
      <c r="C1656" s="88" t="s">
        <v>5259</v>
      </c>
      <c r="D1656" s="88">
        <v>7631442</v>
      </c>
      <c r="E1656" s="88" t="s">
        <v>61</v>
      </c>
      <c r="F1656" s="88">
        <v>0</v>
      </c>
      <c r="G1656" s="78">
        <f>MAX(H1656,I1656,J1656)</f>
        <v>1</v>
      </c>
      <c r="H1656" s="88"/>
      <c r="I1656" s="88"/>
      <c r="J1656" s="78">
        <f>MAX(K1656:Q1656)</f>
        <v>1</v>
      </c>
      <c r="K1656" s="88">
        <v>1</v>
      </c>
      <c r="L1656" s="88"/>
      <c r="M1656" s="88"/>
      <c r="N1656" s="88"/>
      <c r="O1656" s="88"/>
      <c r="P1656" s="88"/>
      <c r="Q1656" s="88"/>
      <c r="R1656" s="78">
        <f>MAX(S1656:W1656)</f>
        <v>0</v>
      </c>
      <c r="S1656" s="88"/>
      <c r="T1656" s="88"/>
      <c r="U1656" s="88"/>
      <c r="V1656" s="88"/>
      <c r="W1656" s="88"/>
    </row>
    <row r="1657" spans="2:23" s="0" customFormat="0" ht="15">
      <c r="B1657" s="87" t="s">
        <v>1</v>
      </c>
      <c r="C1657" s="88" t="s">
        <v>5259</v>
      </c>
      <c r="D1657" s="88">
        <v>12193679</v>
      </c>
      <c r="E1657" s="88" t="s">
        <v>61</v>
      </c>
      <c r="F1657" s="88">
        <v>0</v>
      </c>
      <c r="G1657" s="78">
        <f>MAX(H1657,I1657,J1657)</f>
        <v>1</v>
      </c>
      <c r="H1657" s="88"/>
      <c r="I1657" s="88"/>
      <c r="J1657" s="78">
        <f>MAX(K1657:Q1657)</f>
        <v>1</v>
      </c>
      <c r="K1657" s="88">
        <v>1</v>
      </c>
      <c r="L1657" s="88"/>
      <c r="M1657" s="88"/>
      <c r="N1657" s="88"/>
      <c r="O1657" s="88"/>
      <c r="P1657" s="88"/>
      <c r="Q1657" s="88"/>
      <c r="R1657" s="78">
        <f>MAX(S1657:W1657)</f>
        <v>0</v>
      </c>
      <c r="S1657" s="88"/>
      <c r="T1657" s="88"/>
      <c r="U1657" s="88"/>
      <c r="V1657" s="88"/>
      <c r="W1657" s="88"/>
    </row>
    <row r="1658" spans="2:23" s="0" customFormat="0" ht="15">
      <c r="B1658" s="87" t="s">
        <v>1</v>
      </c>
      <c r="C1658" s="88" t="s">
        <v>5259</v>
      </c>
      <c r="D1658" s="88">
        <v>20928675</v>
      </c>
      <c r="E1658" s="88" t="s">
        <v>61</v>
      </c>
      <c r="F1658" s="88">
        <v>0</v>
      </c>
      <c r="G1658" s="78">
        <f>MAX(H1658,I1658,J1658)</f>
        <v>1</v>
      </c>
      <c r="H1658" s="88"/>
      <c r="I1658" s="88"/>
      <c r="J1658" s="78">
        <f>MAX(K1658:Q1658)</f>
        <v>1</v>
      </c>
      <c r="K1658" s="88">
        <v>1</v>
      </c>
      <c r="L1658" s="88"/>
      <c r="M1658" s="88"/>
      <c r="N1658" s="88"/>
      <c r="O1658" s="88"/>
      <c r="P1658" s="88"/>
      <c r="Q1658" s="88"/>
      <c r="R1658" s="78">
        <f>MAX(S1658:W1658)</f>
        <v>0</v>
      </c>
      <c r="S1658" s="88"/>
      <c r="T1658" s="88"/>
      <c r="U1658" s="88"/>
      <c r="V1658" s="88"/>
      <c r="W1658" s="88"/>
    </row>
    <row r="1659" spans="2:23" s="0" customFormat="0" ht="15">
      <c r="B1659" s="87" t="s">
        <v>1</v>
      </c>
      <c r="C1659" s="88" t="s">
        <v>5259</v>
      </c>
      <c r="D1659" s="88">
        <v>13394878</v>
      </c>
      <c r="E1659" s="88" t="s">
        <v>61</v>
      </c>
      <c r="F1659" s="88">
        <v>0</v>
      </c>
      <c r="G1659" s="78">
        <f>MAX(H1659,I1659,J1659)</f>
        <v>1</v>
      </c>
      <c r="H1659" s="88"/>
      <c r="I1659" s="88"/>
      <c r="J1659" s="78">
        <f>MAX(K1659:Q1659)</f>
        <v>1</v>
      </c>
      <c r="K1659" s="88">
        <v>1</v>
      </c>
      <c r="L1659" s="88"/>
      <c r="M1659" s="88"/>
      <c r="N1659" s="88"/>
      <c r="O1659" s="88"/>
      <c r="P1659" s="88"/>
      <c r="Q1659" s="88"/>
      <c r="R1659" s="78">
        <f>MAX(S1659:W1659)</f>
        <v>0</v>
      </c>
      <c r="S1659" s="88"/>
      <c r="T1659" s="88"/>
      <c r="U1659" s="88"/>
      <c r="V1659" s="88"/>
      <c r="W1659" s="88"/>
    </row>
    <row r="1660" spans="2:23" s="0" customFormat="0" ht="15">
      <c r="B1660" s="87" t="s">
        <v>1</v>
      </c>
      <c r="C1660" s="88" t="s">
        <v>5259</v>
      </c>
      <c r="D1660" s="88">
        <v>12308376</v>
      </c>
      <c r="E1660" s="88" t="s">
        <v>61</v>
      </c>
      <c r="F1660" s="88">
        <v>0</v>
      </c>
      <c r="G1660" s="78">
        <f>MAX(H1660,I1660,J1660)</f>
        <v>1</v>
      </c>
      <c r="H1660" s="88"/>
      <c r="I1660" s="88"/>
      <c r="J1660" s="78">
        <f>MAX(K1660:Q1660)</f>
        <v>1</v>
      </c>
      <c r="K1660" s="88">
        <v>1</v>
      </c>
      <c r="L1660" s="88"/>
      <c r="M1660" s="88"/>
      <c r="N1660" s="88"/>
      <c r="O1660" s="88"/>
      <c r="P1660" s="88"/>
      <c r="Q1660" s="88"/>
      <c r="R1660" s="78">
        <f>MAX(S1660:W1660)</f>
        <v>0</v>
      </c>
      <c r="S1660" s="88"/>
      <c r="T1660" s="88"/>
      <c r="U1660" s="88"/>
      <c r="V1660" s="88"/>
      <c r="W1660" s="88"/>
    </row>
    <row r="1661" spans="2:23" s="0" customFormat="0" ht="15">
      <c r="B1661" s="87" t="s">
        <v>1</v>
      </c>
      <c r="C1661" s="88" t="s">
        <v>5259</v>
      </c>
      <c r="D1661" s="88">
        <v>17020309</v>
      </c>
      <c r="E1661" s="88" t="s">
        <v>61</v>
      </c>
      <c r="F1661" s="88">
        <v>0</v>
      </c>
      <c r="G1661" s="78">
        <f>MAX(H1661,I1661,J1661)</f>
        <v>1</v>
      </c>
      <c r="H1661" s="88"/>
      <c r="I1661" s="88"/>
      <c r="J1661" s="78">
        <f>MAX(K1661:Q1661)</f>
        <v>1</v>
      </c>
      <c r="K1661" s="88">
        <v>1</v>
      </c>
      <c r="L1661" s="88"/>
      <c r="M1661" s="88"/>
      <c r="N1661" s="88"/>
      <c r="O1661" s="88"/>
      <c r="P1661" s="88"/>
      <c r="Q1661" s="88"/>
      <c r="R1661" s="78">
        <f>MAX(S1661:W1661)</f>
        <v>0</v>
      </c>
      <c r="S1661" s="88"/>
      <c r="T1661" s="88"/>
      <c r="U1661" s="88"/>
      <c r="V1661" s="88"/>
      <c r="W1661" s="88"/>
    </row>
    <row r="1662" spans="2:23" s="0" customFormat="0" ht="15">
      <c r="B1662" s="87" t="s">
        <v>1</v>
      </c>
      <c r="C1662" s="88" t="s">
        <v>5259</v>
      </c>
      <c r="D1662" s="88">
        <v>18025250</v>
      </c>
      <c r="E1662" s="88" t="s">
        <v>61</v>
      </c>
      <c r="F1662" s="88">
        <v>0</v>
      </c>
      <c r="G1662" s="78">
        <f>MAX(H1662,I1662,J1662)</f>
        <v>1</v>
      </c>
      <c r="H1662" s="88"/>
      <c r="I1662" s="88"/>
      <c r="J1662" s="78">
        <f>MAX(K1662:Q1662)</f>
        <v>1</v>
      </c>
      <c r="K1662" s="88">
        <v>1</v>
      </c>
      <c r="L1662" s="88"/>
      <c r="M1662" s="88"/>
      <c r="N1662" s="88"/>
      <c r="O1662" s="88"/>
      <c r="P1662" s="88"/>
      <c r="Q1662" s="88"/>
      <c r="R1662" s="78">
        <f>MAX(S1662:W1662)</f>
        <v>0</v>
      </c>
      <c r="S1662" s="88"/>
      <c r="T1662" s="88"/>
      <c r="U1662" s="88"/>
      <c r="V1662" s="88"/>
      <c r="W1662" s="88"/>
    </row>
    <row r="1663" spans="2:23" s="0" customFormat="0" ht="15">
      <c r="B1663" s="87" t="s">
        <v>1</v>
      </c>
      <c r="C1663" s="88" t="s">
        <v>5259</v>
      </c>
      <c r="D1663" s="88">
        <v>24176486</v>
      </c>
      <c r="E1663" s="88" t="s">
        <v>61</v>
      </c>
      <c r="F1663" s="88">
        <v>0</v>
      </c>
      <c r="G1663" s="78">
        <f>MAX(H1663,I1663,J1663)</f>
        <v>1</v>
      </c>
      <c r="H1663" s="88"/>
      <c r="I1663" s="88"/>
      <c r="J1663" s="78">
        <f>MAX(K1663:Q1663)</f>
        <v>1</v>
      </c>
      <c r="K1663" s="88">
        <v>1</v>
      </c>
      <c r="L1663" s="88"/>
      <c r="M1663" s="88"/>
      <c r="N1663" s="88"/>
      <c r="O1663" s="88"/>
      <c r="P1663" s="88"/>
      <c r="Q1663" s="88"/>
      <c r="R1663" s="78">
        <f>MAX(S1663:W1663)</f>
        <v>0</v>
      </c>
      <c r="S1663" s="88"/>
      <c r="T1663" s="88"/>
      <c r="U1663" s="88"/>
      <c r="V1663" s="88"/>
      <c r="W1663" s="88"/>
    </row>
    <row r="1664" spans="2:23" s="0" customFormat="0" ht="15">
      <c r="B1664" s="87" t="s">
        <v>1</v>
      </c>
      <c r="C1664" s="88" t="s">
        <v>5259</v>
      </c>
      <c r="D1664" s="88" t="s">
        <v>3590</v>
      </c>
      <c r="E1664" s="88" t="s">
        <v>61</v>
      </c>
      <c r="F1664" s="88">
        <v>0</v>
      </c>
      <c r="G1664" s="78">
        <f>MAX(H1664,I1664,J1664)</f>
        <v>0</v>
      </c>
      <c r="H1664" s="88"/>
      <c r="I1664" s="88"/>
      <c r="J1664" s="78">
        <f>MAX(K1664:Q1664)</f>
        <v>0</v>
      </c>
      <c r="K1664" s="88"/>
      <c r="L1664" s="88"/>
      <c r="M1664" s="88"/>
      <c r="N1664" s="88"/>
      <c r="O1664" s="88"/>
      <c r="P1664" s="88"/>
      <c r="Q1664" s="88"/>
      <c r="R1664" s="78">
        <f>MAX(S1664:W1664)</f>
        <v>1</v>
      </c>
      <c r="S1664" s="88"/>
      <c r="T1664" s="88"/>
      <c r="U1664" s="88">
        <v>1</v>
      </c>
      <c r="V1664" s="88"/>
      <c r="W1664" s="88"/>
    </row>
    <row r="1665" spans="2:23" s="0" customFormat="0" ht="15">
      <c r="B1665" s="87" t="s">
        <v>1</v>
      </c>
      <c r="C1665" s="88" t="s">
        <v>5259</v>
      </c>
      <c r="D1665" s="88">
        <v>18690554</v>
      </c>
      <c r="E1665" s="88" t="s">
        <v>61</v>
      </c>
      <c r="F1665" s="88">
        <v>0</v>
      </c>
      <c r="G1665" s="78">
        <f>MAX(H1665,I1665,J1665)</f>
        <v>1</v>
      </c>
      <c r="H1665" s="88"/>
      <c r="I1665" s="88"/>
      <c r="J1665" s="78">
        <f>MAX(K1665:Q1665)</f>
        <v>1</v>
      </c>
      <c r="K1665" s="88">
        <v>1</v>
      </c>
      <c r="L1665" s="88"/>
      <c r="M1665" s="88"/>
      <c r="N1665" s="88"/>
      <c r="O1665" s="88"/>
      <c r="P1665" s="88"/>
      <c r="Q1665" s="88"/>
      <c r="R1665" s="78">
        <f>MAX(S1665:W1665)</f>
        <v>0</v>
      </c>
      <c r="S1665" s="88"/>
      <c r="T1665" s="88"/>
      <c r="U1665" s="88"/>
      <c r="V1665" s="88"/>
      <c r="W1665" s="88"/>
    </row>
    <row r="1666" spans="2:23" s="0" customFormat="0" ht="15">
      <c r="B1666" s="87" t="s">
        <v>1</v>
      </c>
      <c r="C1666" s="88" t="s">
        <v>5259</v>
      </c>
      <c r="D1666" s="88" t="s">
        <v>4076</v>
      </c>
      <c r="E1666" s="88" t="s">
        <v>61</v>
      </c>
      <c r="F1666" s="88">
        <v>0</v>
      </c>
      <c r="G1666" s="78">
        <f>MAX(H1666,I1666,J1666)</f>
        <v>0</v>
      </c>
      <c r="H1666" s="88"/>
      <c r="I1666" s="88"/>
      <c r="J1666" s="78">
        <f>MAX(K1666:Q1666)</f>
        <v>0</v>
      </c>
      <c r="K1666" s="88"/>
      <c r="L1666" s="88"/>
      <c r="M1666" s="88"/>
      <c r="N1666" s="88"/>
      <c r="O1666" s="88"/>
      <c r="P1666" s="88"/>
      <c r="Q1666" s="88"/>
      <c r="R1666" s="78">
        <f>MAX(S1666:W1666)</f>
        <v>1</v>
      </c>
      <c r="S1666" s="88"/>
      <c r="T1666" s="88"/>
      <c r="U1666" s="88">
        <v>1</v>
      </c>
      <c r="V1666" s="88"/>
      <c r="W1666" s="88"/>
    </row>
    <row r="1667" spans="2:23" s="0" customFormat="0" ht="15">
      <c r="B1667" s="87" t="s">
        <v>1</v>
      </c>
      <c r="C1667" s="88" t="s">
        <v>5259</v>
      </c>
      <c r="D1667" s="88">
        <v>17129704</v>
      </c>
      <c r="E1667" s="88" t="s">
        <v>61</v>
      </c>
      <c r="F1667" s="88">
        <v>0</v>
      </c>
      <c r="G1667" s="78">
        <f>MAX(H1667,I1667,J1667)</f>
        <v>1</v>
      </c>
      <c r="H1667" s="88"/>
      <c r="I1667" s="88"/>
      <c r="J1667" s="78">
        <f>MAX(K1667:Q1667)</f>
        <v>1</v>
      </c>
      <c r="K1667" s="88">
        <v>1</v>
      </c>
      <c r="L1667" s="88"/>
      <c r="M1667" s="88"/>
      <c r="N1667" s="88"/>
      <c r="O1667" s="88"/>
      <c r="P1667" s="88"/>
      <c r="Q1667" s="88"/>
      <c r="R1667" s="78">
        <f>MAX(S1667:W1667)</f>
        <v>0</v>
      </c>
      <c r="S1667" s="88"/>
      <c r="T1667" s="88"/>
      <c r="U1667" s="88"/>
      <c r="V1667" s="88"/>
      <c r="W1667" s="88"/>
    </row>
    <row r="1668" spans="2:23" s="0" customFormat="0" ht="15">
      <c r="B1668" s="87" t="s">
        <v>1</v>
      </c>
      <c r="C1668" s="88" t="s">
        <v>5259</v>
      </c>
      <c r="D1668" s="88">
        <v>13700564</v>
      </c>
      <c r="E1668" s="88" t="s">
        <v>61</v>
      </c>
      <c r="F1668" s="88">
        <v>0</v>
      </c>
      <c r="G1668" s="78">
        <f>MAX(H1668,I1668,J1668)</f>
        <v>1</v>
      </c>
      <c r="H1668" s="88"/>
      <c r="I1668" s="88"/>
      <c r="J1668" s="78">
        <f>MAX(K1668:Q1668)</f>
        <v>1</v>
      </c>
      <c r="K1668" s="88">
        <v>1</v>
      </c>
      <c r="L1668" s="88"/>
      <c r="M1668" s="88"/>
      <c r="N1668" s="88"/>
      <c r="O1668" s="88"/>
      <c r="P1668" s="88"/>
      <c r="Q1668" s="88"/>
      <c r="R1668" s="78">
        <f>MAX(S1668:W1668)</f>
        <v>0</v>
      </c>
      <c r="S1668" s="88"/>
      <c r="T1668" s="88"/>
      <c r="U1668" s="88"/>
      <c r="V1668" s="88"/>
      <c r="W1668" s="88"/>
    </row>
    <row r="1669" spans="2:23" s="0" customFormat="0" ht="15">
      <c r="B1669" s="87" t="s">
        <v>1</v>
      </c>
      <c r="C1669" s="88" t="s">
        <v>5259</v>
      </c>
      <c r="D1669" s="88">
        <v>18913651</v>
      </c>
      <c r="E1669" s="88" t="s">
        <v>61</v>
      </c>
      <c r="F1669" s="88">
        <v>0</v>
      </c>
      <c r="G1669" s="78">
        <f>MAX(H1669,I1669,J1669)</f>
        <v>1</v>
      </c>
      <c r="H1669" s="88"/>
      <c r="I1669" s="88"/>
      <c r="J1669" s="78">
        <f>MAX(K1669:Q1669)</f>
        <v>1</v>
      </c>
      <c r="K1669" s="88">
        <v>1</v>
      </c>
      <c r="L1669" s="88"/>
      <c r="M1669" s="88"/>
      <c r="N1669" s="88"/>
      <c r="O1669" s="88"/>
      <c r="P1669" s="88"/>
      <c r="Q1669" s="88"/>
      <c r="R1669" s="78">
        <f>MAX(S1669:W1669)</f>
        <v>0</v>
      </c>
      <c r="S1669" s="88"/>
      <c r="T1669" s="88"/>
      <c r="U1669" s="88"/>
      <c r="V1669" s="88"/>
      <c r="W1669" s="88"/>
    </row>
    <row r="1670" spans="2:23" s="0" customFormat="0" ht="15">
      <c r="B1670" s="87" t="s">
        <v>1</v>
      </c>
      <c r="C1670" s="88" t="s">
        <v>5259</v>
      </c>
      <c r="D1670" s="88">
        <v>21781334</v>
      </c>
      <c r="E1670" s="88" t="s">
        <v>61</v>
      </c>
      <c r="F1670" s="88">
        <v>0</v>
      </c>
      <c r="G1670" s="78">
        <f>MAX(H1670,I1670,J1670)</f>
        <v>1</v>
      </c>
      <c r="H1670" s="88"/>
      <c r="I1670" s="88"/>
      <c r="J1670" s="78">
        <f>MAX(K1670:Q1670)</f>
        <v>1</v>
      </c>
      <c r="K1670" s="88">
        <v>1</v>
      </c>
      <c r="L1670" s="88"/>
      <c r="M1670" s="88"/>
      <c r="N1670" s="88"/>
      <c r="O1670" s="88"/>
      <c r="P1670" s="88"/>
      <c r="Q1670" s="88"/>
      <c r="R1670" s="78">
        <f>MAX(S1670:W1670)</f>
        <v>0</v>
      </c>
      <c r="S1670" s="88"/>
      <c r="T1670" s="88"/>
      <c r="U1670" s="88"/>
      <c r="V1670" s="88"/>
      <c r="W1670" s="88"/>
    </row>
    <row r="1671" spans="2:23" s="0" customFormat="0" ht="15">
      <c r="B1671" s="87" t="s">
        <v>1</v>
      </c>
      <c r="C1671" s="88" t="s">
        <v>5259</v>
      </c>
      <c r="D1671" s="88">
        <v>22554337</v>
      </c>
      <c r="E1671" s="88" t="s">
        <v>61</v>
      </c>
      <c r="F1671" s="88">
        <v>0</v>
      </c>
      <c r="G1671" s="78">
        <f>MAX(H1671,I1671,J1671)</f>
        <v>0</v>
      </c>
      <c r="H1671" s="88"/>
      <c r="I1671" s="88"/>
      <c r="J1671" s="78">
        <f>MAX(K1671:Q1671)</f>
        <v>0</v>
      </c>
      <c r="K1671" s="88"/>
      <c r="L1671" s="88"/>
      <c r="M1671" s="88"/>
      <c r="N1671" s="88"/>
      <c r="O1671" s="88"/>
      <c r="P1671" s="88"/>
      <c r="Q1671" s="88"/>
      <c r="R1671" s="78">
        <f>MAX(S1671:W1671)</f>
        <v>1</v>
      </c>
      <c r="S1671" s="88"/>
      <c r="T1671" s="88"/>
      <c r="U1671" s="88">
        <v>1</v>
      </c>
      <c r="V1671" s="88"/>
      <c r="W1671" s="88"/>
    </row>
    <row r="1672" spans="2:23" s="0" customFormat="0" ht="15">
      <c r="B1672" s="87" t="s">
        <v>1</v>
      </c>
      <c r="C1672" s="88" t="s">
        <v>5259</v>
      </c>
      <c r="D1672" s="88">
        <v>20693891</v>
      </c>
      <c r="E1672" s="88" t="s">
        <v>61</v>
      </c>
      <c r="F1672" s="88">
        <v>0</v>
      </c>
      <c r="G1672" s="78">
        <f>MAX(H1672,I1672,J1672)</f>
        <v>1</v>
      </c>
      <c r="H1672" s="88"/>
      <c r="I1672" s="88"/>
      <c r="J1672" s="78">
        <f>MAX(K1672:Q1672)</f>
        <v>1</v>
      </c>
      <c r="K1672" s="88">
        <v>1</v>
      </c>
      <c r="L1672" s="88"/>
      <c r="M1672" s="88"/>
      <c r="N1672" s="88"/>
      <c r="O1672" s="88"/>
      <c r="P1672" s="88"/>
      <c r="Q1672" s="88"/>
      <c r="R1672" s="78">
        <f>MAX(S1672:W1672)</f>
        <v>0</v>
      </c>
      <c r="S1672" s="88"/>
      <c r="T1672" s="88"/>
      <c r="U1672" s="88"/>
      <c r="V1672" s="88"/>
      <c r="W1672" s="88"/>
    </row>
    <row r="1673" spans="2:23" s="0" customFormat="0" ht="15">
      <c r="B1673" s="87" t="s">
        <v>1</v>
      </c>
      <c r="C1673" s="88" t="s">
        <v>5259</v>
      </c>
      <c r="D1673" s="88" t="s">
        <v>1326</v>
      </c>
      <c r="E1673" s="88" t="s">
        <v>61</v>
      </c>
      <c r="F1673" s="88">
        <v>0</v>
      </c>
      <c r="G1673" s="78">
        <f>MAX(H1673,I1673,J1673)</f>
        <v>1</v>
      </c>
      <c r="H1673" s="88"/>
      <c r="I1673" s="88"/>
      <c r="J1673" s="78">
        <f>MAX(K1673:Q1673)</f>
        <v>1</v>
      </c>
      <c r="K1673" s="88">
        <v>1</v>
      </c>
      <c r="L1673" s="88"/>
      <c r="M1673" s="88"/>
      <c r="N1673" s="88"/>
      <c r="O1673" s="88"/>
      <c r="P1673" s="88"/>
      <c r="Q1673" s="88"/>
      <c r="R1673" s="78">
        <f>MAX(S1673:W1673)</f>
        <v>0</v>
      </c>
      <c r="S1673" s="88"/>
      <c r="T1673" s="88"/>
      <c r="U1673" s="88"/>
      <c r="V1673" s="88"/>
      <c r="W1673" s="88"/>
    </row>
    <row r="1674" spans="2:23" s="0" customFormat="0" ht="15">
      <c r="B1674" s="87" t="s">
        <v>1</v>
      </c>
      <c r="C1674" s="88" t="s">
        <v>5259</v>
      </c>
      <c r="D1674" s="88" t="s">
        <v>3946</v>
      </c>
      <c r="E1674" s="88" t="s">
        <v>61</v>
      </c>
      <c r="F1674" s="88">
        <v>0</v>
      </c>
      <c r="G1674" s="78">
        <f>MAX(H1674,I1674,J1674)</f>
        <v>0</v>
      </c>
      <c r="H1674" s="88"/>
      <c r="I1674" s="88"/>
      <c r="J1674" s="78">
        <f>MAX(K1674:Q1674)</f>
        <v>0</v>
      </c>
      <c r="K1674" s="88"/>
      <c r="L1674" s="88"/>
      <c r="M1674" s="88"/>
      <c r="N1674" s="88"/>
      <c r="O1674" s="88"/>
      <c r="P1674" s="88"/>
      <c r="Q1674" s="88"/>
      <c r="R1674" s="78">
        <f>MAX(S1674:W1674)</f>
        <v>1</v>
      </c>
      <c r="S1674" s="88"/>
      <c r="T1674" s="88"/>
      <c r="U1674" s="88">
        <v>1</v>
      </c>
      <c r="V1674" s="88"/>
      <c r="W1674" s="88"/>
    </row>
    <row r="1675" spans="2:23" s="0" customFormat="0" ht="15">
      <c r="B1675" s="87" t="s">
        <v>1</v>
      </c>
      <c r="C1675" s="88" t="s">
        <v>5259</v>
      </c>
      <c r="D1675" s="88" t="s">
        <v>4078</v>
      </c>
      <c r="E1675" s="88" t="s">
        <v>61</v>
      </c>
      <c r="F1675" s="88">
        <v>0</v>
      </c>
      <c r="G1675" s="78">
        <f>MAX(H1675,I1675,J1675)</f>
        <v>0</v>
      </c>
      <c r="H1675" s="88"/>
      <c r="I1675" s="88"/>
      <c r="J1675" s="78">
        <f>MAX(K1675:Q1675)</f>
        <v>0</v>
      </c>
      <c r="K1675" s="88"/>
      <c r="L1675" s="88"/>
      <c r="M1675" s="88"/>
      <c r="N1675" s="88"/>
      <c r="O1675" s="88"/>
      <c r="P1675" s="88"/>
      <c r="Q1675" s="88"/>
      <c r="R1675" s="78">
        <f>MAX(S1675:W1675)</f>
        <v>1</v>
      </c>
      <c r="S1675" s="88"/>
      <c r="T1675" s="88"/>
      <c r="U1675" s="88">
        <v>1</v>
      </c>
      <c r="V1675" s="88"/>
      <c r="W1675" s="88"/>
    </row>
    <row r="1676" spans="2:23" s="0" customFormat="0" ht="15">
      <c r="B1676" s="87" t="s">
        <v>1</v>
      </c>
      <c r="C1676" s="88" t="s">
        <v>5259</v>
      </c>
      <c r="D1676" s="88" t="s">
        <v>4080</v>
      </c>
      <c r="E1676" s="88" t="s">
        <v>61</v>
      </c>
      <c r="F1676" s="88">
        <v>0</v>
      </c>
      <c r="G1676" s="78">
        <f>MAX(H1676,I1676,J1676)</f>
        <v>0</v>
      </c>
      <c r="H1676" s="88"/>
      <c r="I1676" s="88"/>
      <c r="J1676" s="78">
        <f>MAX(K1676:Q1676)</f>
        <v>0</v>
      </c>
      <c r="K1676" s="88"/>
      <c r="L1676" s="88"/>
      <c r="M1676" s="88"/>
      <c r="N1676" s="88"/>
      <c r="O1676" s="88"/>
      <c r="P1676" s="88"/>
      <c r="Q1676" s="88"/>
      <c r="R1676" s="78">
        <f>MAX(S1676:W1676)</f>
        <v>1</v>
      </c>
      <c r="S1676" s="88"/>
      <c r="T1676" s="88"/>
      <c r="U1676" s="88">
        <v>1</v>
      </c>
      <c r="V1676" s="88"/>
      <c r="W1676" s="88"/>
    </row>
    <row r="1677" spans="2:23" s="0" customFormat="0" ht="15">
      <c r="B1677" s="87" t="s">
        <v>1</v>
      </c>
      <c r="C1677" s="88" t="s">
        <v>5259</v>
      </c>
      <c r="D1677" s="88">
        <v>16974966</v>
      </c>
      <c r="E1677" s="88" t="s">
        <v>61</v>
      </c>
      <c r="F1677" s="88">
        <v>0</v>
      </c>
      <c r="G1677" s="78">
        <f>MAX(H1677,I1677,J1677)</f>
        <v>0</v>
      </c>
      <c r="H1677" s="88"/>
      <c r="I1677" s="88"/>
      <c r="J1677" s="78">
        <f>MAX(K1677:Q1677)</f>
        <v>0</v>
      </c>
      <c r="K1677" s="88"/>
      <c r="L1677" s="88"/>
      <c r="M1677" s="88"/>
      <c r="N1677" s="88"/>
      <c r="O1677" s="88"/>
      <c r="P1677" s="88"/>
      <c r="Q1677" s="88"/>
      <c r="R1677" s="78">
        <f>MAX(S1677:W1677)</f>
        <v>1</v>
      </c>
      <c r="S1677" s="88"/>
      <c r="T1677" s="88"/>
      <c r="U1677" s="88">
        <v>1</v>
      </c>
      <c r="V1677" s="88"/>
      <c r="W1677" s="88"/>
    </row>
    <row r="1678" spans="2:23" s="0" customFormat="0" ht="15">
      <c r="B1678" s="87" t="s">
        <v>1</v>
      </c>
      <c r="C1678" s="88" t="s">
        <v>5259</v>
      </c>
      <c r="D1678" s="88">
        <v>22554089</v>
      </c>
      <c r="E1678" s="88" t="s">
        <v>61</v>
      </c>
      <c r="F1678" s="88">
        <v>0</v>
      </c>
      <c r="G1678" s="78">
        <f>MAX(H1678,I1678,J1678)</f>
        <v>0</v>
      </c>
      <c r="H1678" s="88"/>
      <c r="I1678" s="88"/>
      <c r="J1678" s="78">
        <f>MAX(K1678:Q1678)</f>
        <v>0</v>
      </c>
      <c r="K1678" s="88"/>
      <c r="L1678" s="88"/>
      <c r="M1678" s="88"/>
      <c r="N1678" s="88"/>
      <c r="O1678" s="88"/>
      <c r="P1678" s="88"/>
      <c r="Q1678" s="88"/>
      <c r="R1678" s="78">
        <f>MAX(S1678:W1678)</f>
        <v>1</v>
      </c>
      <c r="S1678" s="88"/>
      <c r="T1678" s="88"/>
      <c r="U1678" s="88">
        <v>1</v>
      </c>
      <c r="V1678" s="88"/>
      <c r="W1678" s="88"/>
    </row>
    <row r="1679" spans="2:23" s="0" customFormat="0" ht="15">
      <c r="B1679" s="87" t="s">
        <v>1</v>
      </c>
      <c r="C1679" s="88" t="s">
        <v>5259</v>
      </c>
      <c r="D1679" s="88" t="s">
        <v>4082</v>
      </c>
      <c r="E1679" s="88" t="s">
        <v>61</v>
      </c>
      <c r="F1679" s="88">
        <v>0</v>
      </c>
      <c r="G1679" s="78">
        <f>MAX(H1679,I1679,J1679)</f>
        <v>0</v>
      </c>
      <c r="H1679" s="88"/>
      <c r="I1679" s="88"/>
      <c r="J1679" s="78">
        <f>MAX(K1679:Q1679)</f>
        <v>0</v>
      </c>
      <c r="K1679" s="88"/>
      <c r="L1679" s="88"/>
      <c r="M1679" s="88"/>
      <c r="N1679" s="88"/>
      <c r="O1679" s="88"/>
      <c r="P1679" s="88"/>
      <c r="Q1679" s="88"/>
      <c r="R1679" s="78">
        <f>MAX(S1679:W1679)</f>
        <v>1</v>
      </c>
      <c r="S1679" s="88"/>
      <c r="T1679" s="88"/>
      <c r="U1679" s="88">
        <v>1</v>
      </c>
      <c r="V1679" s="88"/>
      <c r="W1679" s="88"/>
    </row>
    <row r="1680" spans="2:23" s="0" customFormat="0" ht="15">
      <c r="B1680" s="87" t="s">
        <v>1</v>
      </c>
      <c r="C1680" s="88" t="s">
        <v>5259</v>
      </c>
      <c r="D1680" s="88">
        <v>21027852</v>
      </c>
      <c r="E1680" s="88" t="s">
        <v>61</v>
      </c>
      <c r="F1680" s="88">
        <v>0</v>
      </c>
      <c r="G1680" s="78">
        <f>MAX(H1680,I1680,J1680)</f>
        <v>0</v>
      </c>
      <c r="H1680" s="88"/>
      <c r="I1680" s="88"/>
      <c r="J1680" s="78">
        <f>MAX(K1680:Q1680)</f>
        <v>0</v>
      </c>
      <c r="K1680" s="88"/>
      <c r="L1680" s="88"/>
      <c r="M1680" s="88"/>
      <c r="N1680" s="88"/>
      <c r="O1680" s="88"/>
      <c r="P1680" s="88"/>
      <c r="Q1680" s="88"/>
      <c r="R1680" s="78">
        <f>MAX(S1680:W1680)</f>
        <v>1</v>
      </c>
      <c r="S1680" s="88"/>
      <c r="T1680" s="88"/>
      <c r="U1680" s="88">
        <v>1</v>
      </c>
      <c r="V1680" s="88"/>
      <c r="W1680" s="88"/>
    </row>
    <row r="1681" spans="2:23" s="0" customFormat="0" ht="15">
      <c r="B1681" s="87" t="s">
        <v>1</v>
      </c>
      <c r="C1681" s="88" t="s">
        <v>5259</v>
      </c>
      <c r="D1681" s="88" t="s">
        <v>4085</v>
      </c>
      <c r="E1681" s="88" t="s">
        <v>61</v>
      </c>
      <c r="F1681" s="88">
        <v>0</v>
      </c>
      <c r="G1681" s="78">
        <f>MAX(H1681,I1681,J1681)</f>
        <v>0</v>
      </c>
      <c r="H1681" s="88"/>
      <c r="I1681" s="88"/>
      <c r="J1681" s="78">
        <f>MAX(K1681:Q1681)</f>
        <v>0</v>
      </c>
      <c r="K1681" s="88"/>
      <c r="L1681" s="88"/>
      <c r="M1681" s="88"/>
      <c r="N1681" s="88"/>
      <c r="O1681" s="88"/>
      <c r="P1681" s="88"/>
      <c r="Q1681" s="88"/>
      <c r="R1681" s="78">
        <f>MAX(S1681:W1681)</f>
        <v>1</v>
      </c>
      <c r="S1681" s="88"/>
      <c r="T1681" s="88"/>
      <c r="U1681" s="88">
        <v>1</v>
      </c>
      <c r="V1681" s="88"/>
      <c r="W1681" s="88"/>
    </row>
    <row r="1682" spans="2:23" s="0" customFormat="0" ht="15">
      <c r="B1682" s="87" t="s">
        <v>1</v>
      </c>
      <c r="C1682" s="88" t="s">
        <v>5259</v>
      </c>
      <c r="D1682" s="88" t="s">
        <v>4087</v>
      </c>
      <c r="E1682" s="88" t="s">
        <v>61</v>
      </c>
      <c r="F1682" s="88">
        <v>0</v>
      </c>
      <c r="G1682" s="78">
        <f>MAX(H1682,I1682,J1682)</f>
        <v>0</v>
      </c>
      <c r="H1682" s="88"/>
      <c r="I1682" s="88"/>
      <c r="J1682" s="78">
        <f>MAX(K1682:Q1682)</f>
        <v>0</v>
      </c>
      <c r="K1682" s="88"/>
      <c r="L1682" s="88"/>
      <c r="M1682" s="88"/>
      <c r="N1682" s="88"/>
      <c r="O1682" s="88"/>
      <c r="P1682" s="88"/>
      <c r="Q1682" s="88"/>
      <c r="R1682" s="78">
        <f>MAX(S1682:W1682)</f>
        <v>1</v>
      </c>
      <c r="S1682" s="88"/>
      <c r="T1682" s="88"/>
      <c r="U1682" s="88">
        <v>1</v>
      </c>
      <c r="V1682" s="88"/>
      <c r="W1682" s="88"/>
    </row>
    <row r="1683" spans="2:23" s="0" customFormat="0" ht="15">
      <c r="B1683" s="87" t="s">
        <v>1</v>
      </c>
      <c r="C1683" s="88" t="s">
        <v>5259</v>
      </c>
      <c r="D1683" s="88">
        <v>22042367</v>
      </c>
      <c r="E1683" s="88" t="s">
        <v>61</v>
      </c>
      <c r="F1683" s="88">
        <v>0</v>
      </c>
      <c r="G1683" s="78">
        <f>MAX(H1683,I1683,J1683)</f>
        <v>1</v>
      </c>
      <c r="H1683" s="88"/>
      <c r="I1683" s="88"/>
      <c r="J1683" s="78">
        <f>MAX(K1683:Q1683)</f>
        <v>1</v>
      </c>
      <c r="K1683" s="88">
        <v>1</v>
      </c>
      <c r="L1683" s="88"/>
      <c r="M1683" s="88"/>
      <c r="N1683" s="88"/>
      <c r="O1683" s="88"/>
      <c r="P1683" s="88"/>
      <c r="Q1683" s="88"/>
      <c r="R1683" s="78">
        <f>MAX(S1683:W1683)</f>
        <v>0</v>
      </c>
      <c r="S1683" s="88"/>
      <c r="T1683" s="88"/>
      <c r="U1683" s="88"/>
      <c r="V1683" s="88"/>
      <c r="W1683" s="88"/>
    </row>
    <row r="1684" spans="2:23" s="0" customFormat="0" ht="15">
      <c r="B1684" s="87" t="s">
        <v>1</v>
      </c>
      <c r="C1684" s="88" t="s">
        <v>5259</v>
      </c>
      <c r="D1684" s="88">
        <v>19162906</v>
      </c>
      <c r="E1684" s="88" t="s">
        <v>61</v>
      </c>
      <c r="F1684" s="88">
        <v>0</v>
      </c>
      <c r="G1684" s="78">
        <f>MAX(H1684,I1684,J1684)</f>
        <v>1</v>
      </c>
      <c r="H1684" s="88"/>
      <c r="I1684" s="88"/>
      <c r="J1684" s="78">
        <f>MAX(K1684:Q1684)</f>
        <v>1</v>
      </c>
      <c r="K1684" s="88">
        <v>1</v>
      </c>
      <c r="L1684" s="88"/>
      <c r="M1684" s="88"/>
      <c r="N1684" s="88"/>
      <c r="O1684" s="88"/>
      <c r="P1684" s="88"/>
      <c r="Q1684" s="88"/>
      <c r="R1684" s="78">
        <f>MAX(S1684:W1684)</f>
        <v>0</v>
      </c>
      <c r="S1684" s="88"/>
      <c r="T1684" s="88"/>
      <c r="U1684" s="88"/>
      <c r="V1684" s="88"/>
      <c r="W1684" s="88"/>
    </row>
    <row r="1685" spans="2:23" s="0" customFormat="0" ht="15">
      <c r="B1685" s="87" t="s">
        <v>1</v>
      </c>
      <c r="C1685" s="88" t="s">
        <v>5259</v>
      </c>
      <c r="D1685" s="88" t="s">
        <v>3558</v>
      </c>
      <c r="E1685" s="88" t="s">
        <v>61</v>
      </c>
      <c r="F1685" s="88">
        <v>0</v>
      </c>
      <c r="G1685" s="78">
        <f>MAX(H1685,I1685,J1685)</f>
        <v>0</v>
      </c>
      <c r="H1685" s="88"/>
      <c r="I1685" s="88"/>
      <c r="J1685" s="78">
        <f>MAX(K1685:Q1685)</f>
        <v>0</v>
      </c>
      <c r="K1685" s="88"/>
      <c r="L1685" s="88"/>
      <c r="M1685" s="88"/>
      <c r="N1685" s="88"/>
      <c r="O1685" s="88"/>
      <c r="P1685" s="88"/>
      <c r="Q1685" s="88"/>
      <c r="R1685" s="78">
        <f>MAX(S1685:W1685)</f>
        <v>1</v>
      </c>
      <c r="S1685" s="88"/>
      <c r="T1685" s="88"/>
      <c r="U1685" s="88">
        <v>1</v>
      </c>
      <c r="V1685" s="88"/>
      <c r="W1685" s="88"/>
    </row>
    <row r="1686" spans="2:23" s="0" customFormat="0" ht="15">
      <c r="B1686" s="87" t="s">
        <v>1</v>
      </c>
      <c r="C1686" s="88" t="s">
        <v>5259</v>
      </c>
      <c r="D1686" s="88" t="s">
        <v>4089</v>
      </c>
      <c r="E1686" s="88" t="s">
        <v>61</v>
      </c>
      <c r="F1686" s="88">
        <v>0</v>
      </c>
      <c r="G1686" s="78">
        <f>MAX(H1686,I1686,J1686)</f>
        <v>0</v>
      </c>
      <c r="H1686" s="88"/>
      <c r="I1686" s="88"/>
      <c r="J1686" s="78">
        <f>MAX(K1686:Q1686)</f>
        <v>0</v>
      </c>
      <c r="K1686" s="88"/>
      <c r="L1686" s="88"/>
      <c r="M1686" s="88"/>
      <c r="N1686" s="88"/>
      <c r="O1686" s="88"/>
      <c r="P1686" s="88"/>
      <c r="Q1686" s="88"/>
      <c r="R1686" s="78">
        <f>MAX(S1686:W1686)</f>
        <v>1</v>
      </c>
      <c r="S1686" s="88"/>
      <c r="T1686" s="88"/>
      <c r="U1686" s="88">
        <v>1</v>
      </c>
      <c r="V1686" s="88"/>
      <c r="W1686" s="88"/>
    </row>
    <row r="1687" spans="2:23" s="0" customFormat="0" ht="15">
      <c r="B1687" s="87" t="s">
        <v>1</v>
      </c>
      <c r="C1687" s="88" t="s">
        <v>5259</v>
      </c>
      <c r="D1687" s="88">
        <v>21299666</v>
      </c>
      <c r="E1687" s="88" t="s">
        <v>61</v>
      </c>
      <c r="F1687" s="88">
        <v>0</v>
      </c>
      <c r="G1687" s="78">
        <f>MAX(H1687,I1687,J1687)</f>
        <v>1</v>
      </c>
      <c r="H1687" s="88"/>
      <c r="I1687" s="88"/>
      <c r="J1687" s="78">
        <f>MAX(K1687:Q1687)</f>
        <v>1</v>
      </c>
      <c r="K1687" s="88">
        <v>1</v>
      </c>
      <c r="L1687" s="88"/>
      <c r="M1687" s="88"/>
      <c r="N1687" s="88"/>
      <c r="O1687" s="88"/>
      <c r="P1687" s="88"/>
      <c r="Q1687" s="88"/>
      <c r="R1687" s="78">
        <f>MAX(S1687:W1687)</f>
        <v>0</v>
      </c>
      <c r="S1687" s="88"/>
      <c r="T1687" s="88"/>
      <c r="U1687" s="88"/>
      <c r="V1687" s="88"/>
      <c r="W1687" s="88"/>
    </row>
    <row r="1688" spans="2:23" s="0" customFormat="0" ht="15">
      <c r="B1688" s="87" t="s">
        <v>1</v>
      </c>
      <c r="C1688" s="88" t="s">
        <v>5259</v>
      </c>
      <c r="D1688" s="88" t="s">
        <v>4091</v>
      </c>
      <c r="E1688" s="88" t="s">
        <v>61</v>
      </c>
      <c r="F1688" s="88">
        <v>0</v>
      </c>
      <c r="G1688" s="78">
        <f>MAX(H1688,I1688,J1688)</f>
        <v>0</v>
      </c>
      <c r="H1688" s="88"/>
      <c r="I1688" s="88"/>
      <c r="J1688" s="78">
        <f>MAX(K1688:Q1688)</f>
        <v>0</v>
      </c>
      <c r="K1688" s="88"/>
      <c r="L1688" s="88"/>
      <c r="M1688" s="88"/>
      <c r="N1688" s="88"/>
      <c r="O1688" s="88"/>
      <c r="P1688" s="88"/>
      <c r="Q1688" s="88"/>
      <c r="R1688" s="78">
        <f>MAX(S1688:W1688)</f>
        <v>1</v>
      </c>
      <c r="S1688" s="88"/>
      <c r="T1688" s="88"/>
      <c r="U1688" s="88">
        <v>1</v>
      </c>
      <c r="V1688" s="88"/>
      <c r="W1688" s="88"/>
    </row>
    <row r="1689" spans="2:23" s="0" customFormat="0" ht="15">
      <c r="B1689" s="87" t="s">
        <v>1</v>
      </c>
      <c r="C1689" s="88" t="s">
        <v>5259</v>
      </c>
      <c r="D1689" s="88">
        <v>20113398</v>
      </c>
      <c r="E1689" s="88" t="s">
        <v>61</v>
      </c>
      <c r="F1689" s="88">
        <v>0</v>
      </c>
      <c r="G1689" s="78">
        <f>MAX(H1689,I1689,J1689)</f>
        <v>1</v>
      </c>
      <c r="H1689" s="88"/>
      <c r="I1689" s="88"/>
      <c r="J1689" s="78">
        <f>MAX(K1689:Q1689)</f>
        <v>1</v>
      </c>
      <c r="K1689" s="88">
        <v>1</v>
      </c>
      <c r="L1689" s="88"/>
      <c r="M1689" s="88"/>
      <c r="N1689" s="88"/>
      <c r="O1689" s="88"/>
      <c r="P1689" s="88"/>
      <c r="Q1689" s="88"/>
      <c r="R1689" s="78">
        <f>MAX(S1689:W1689)</f>
        <v>0</v>
      </c>
      <c r="S1689" s="88"/>
      <c r="T1689" s="88"/>
      <c r="U1689" s="88"/>
      <c r="V1689" s="88"/>
      <c r="W1689" s="88"/>
    </row>
    <row r="1690" spans="2:23" s="0" customFormat="0" ht="15">
      <c r="B1690" s="87" t="s">
        <v>1</v>
      </c>
      <c r="C1690" s="88" t="s">
        <v>5259</v>
      </c>
      <c r="D1690" s="88">
        <v>24188547</v>
      </c>
      <c r="E1690" s="88" t="s">
        <v>61</v>
      </c>
      <c r="F1690" s="88">
        <v>0</v>
      </c>
      <c r="G1690" s="78">
        <f>MAX(H1690,I1690,J1690)</f>
        <v>1</v>
      </c>
      <c r="H1690" s="88"/>
      <c r="I1690" s="88"/>
      <c r="J1690" s="78">
        <f>MAX(K1690:Q1690)</f>
        <v>1</v>
      </c>
      <c r="K1690" s="88">
        <v>1</v>
      </c>
      <c r="L1690" s="88"/>
      <c r="M1690" s="88"/>
      <c r="N1690" s="88"/>
      <c r="O1690" s="88"/>
      <c r="P1690" s="88"/>
      <c r="Q1690" s="88"/>
      <c r="R1690" s="78">
        <f>MAX(S1690:W1690)</f>
        <v>0</v>
      </c>
      <c r="S1690" s="88"/>
      <c r="T1690" s="88"/>
      <c r="U1690" s="88"/>
      <c r="V1690" s="88"/>
      <c r="W1690" s="88"/>
    </row>
    <row r="1691" spans="2:23" s="0" customFormat="0" ht="15">
      <c r="B1691" s="87" t="s">
        <v>1</v>
      </c>
      <c r="C1691" s="88" t="s">
        <v>5259</v>
      </c>
      <c r="D1691" s="88">
        <v>17251676</v>
      </c>
      <c r="E1691" s="88" t="s">
        <v>61</v>
      </c>
      <c r="F1691" s="88">
        <v>0</v>
      </c>
      <c r="G1691" s="78">
        <f>MAX(H1691,I1691,J1691)</f>
        <v>1</v>
      </c>
      <c r="H1691" s="88"/>
      <c r="I1691" s="88"/>
      <c r="J1691" s="78">
        <f>MAX(K1691:Q1691)</f>
        <v>1</v>
      </c>
      <c r="K1691" s="88">
        <v>1</v>
      </c>
      <c r="L1691" s="88"/>
      <c r="M1691" s="88"/>
      <c r="N1691" s="88"/>
      <c r="O1691" s="88"/>
      <c r="P1691" s="88"/>
      <c r="Q1691" s="88"/>
      <c r="R1691" s="78">
        <f>MAX(S1691:W1691)</f>
        <v>0</v>
      </c>
      <c r="S1691" s="88"/>
      <c r="T1691" s="88"/>
      <c r="U1691" s="88"/>
      <c r="V1691" s="88"/>
      <c r="W1691" s="88"/>
    </row>
    <row r="1692" spans="2:23" s="0" customFormat="0" ht="15">
      <c r="B1692" s="87" t="s">
        <v>1</v>
      </c>
      <c r="C1692" s="88" t="s">
        <v>5259</v>
      </c>
      <c r="D1692" s="88">
        <v>17600993</v>
      </c>
      <c r="E1692" s="88" t="s">
        <v>61</v>
      </c>
      <c r="F1692" s="88">
        <v>0</v>
      </c>
      <c r="G1692" s="78">
        <f>MAX(H1692,I1692,J1692)</f>
        <v>1</v>
      </c>
      <c r="H1692" s="88"/>
      <c r="I1692" s="88"/>
      <c r="J1692" s="78">
        <f>MAX(K1692:Q1692)</f>
        <v>1</v>
      </c>
      <c r="K1692" s="88">
        <v>1</v>
      </c>
      <c r="L1692" s="88"/>
      <c r="M1692" s="88"/>
      <c r="N1692" s="88"/>
      <c r="O1692" s="88"/>
      <c r="P1692" s="88"/>
      <c r="Q1692" s="88"/>
      <c r="R1692" s="78">
        <f>MAX(S1692:W1692)</f>
        <v>0</v>
      </c>
      <c r="S1692" s="88"/>
      <c r="T1692" s="88"/>
      <c r="U1692" s="88"/>
      <c r="V1692" s="88"/>
      <c r="W1692" s="88"/>
    </row>
    <row r="1693" spans="2:23" s="0" customFormat="0" ht="15">
      <c r="B1693" s="87" t="s">
        <v>1</v>
      </c>
      <c r="C1693" s="88" t="s">
        <v>5259</v>
      </c>
      <c r="D1693" s="88">
        <v>19503566</v>
      </c>
      <c r="E1693" s="88" t="s">
        <v>61</v>
      </c>
      <c r="F1693" s="88">
        <v>0</v>
      </c>
      <c r="G1693" s="78">
        <f>MAX(H1693,I1693,J1693)</f>
        <v>1</v>
      </c>
      <c r="H1693" s="88"/>
      <c r="I1693" s="88"/>
      <c r="J1693" s="78">
        <f>MAX(K1693:Q1693)</f>
        <v>1</v>
      </c>
      <c r="K1693" s="88">
        <v>1</v>
      </c>
      <c r="L1693" s="88"/>
      <c r="M1693" s="88"/>
      <c r="N1693" s="88"/>
      <c r="O1693" s="88"/>
      <c r="P1693" s="88"/>
      <c r="Q1693" s="88"/>
      <c r="R1693" s="78">
        <f>MAX(S1693:W1693)</f>
        <v>0</v>
      </c>
      <c r="S1693" s="88"/>
      <c r="T1693" s="88"/>
      <c r="U1693" s="88"/>
      <c r="V1693" s="88"/>
      <c r="W1693" s="88"/>
    </row>
    <row r="1694" spans="2:23" s="0" customFormat="0" ht="15">
      <c r="B1694" s="87" t="s">
        <v>1</v>
      </c>
      <c r="C1694" s="88" t="s">
        <v>5259</v>
      </c>
      <c r="D1694" s="88">
        <v>13337154</v>
      </c>
      <c r="E1694" s="88" t="s">
        <v>61</v>
      </c>
      <c r="F1694" s="88">
        <v>0</v>
      </c>
      <c r="G1694" s="78">
        <f>MAX(H1694,I1694,J1694)</f>
        <v>1</v>
      </c>
      <c r="H1694" s="88"/>
      <c r="I1694" s="88"/>
      <c r="J1694" s="78">
        <f>MAX(K1694:Q1694)</f>
        <v>1</v>
      </c>
      <c r="K1694" s="88">
        <v>1</v>
      </c>
      <c r="L1694" s="88"/>
      <c r="M1694" s="88"/>
      <c r="N1694" s="88"/>
      <c r="O1694" s="88"/>
      <c r="P1694" s="88"/>
      <c r="Q1694" s="88"/>
      <c r="R1694" s="78">
        <f>MAX(S1694:W1694)</f>
        <v>0</v>
      </c>
      <c r="S1694" s="88"/>
      <c r="T1694" s="88"/>
      <c r="U1694" s="88"/>
      <c r="V1694" s="88"/>
      <c r="W1694" s="88"/>
    </row>
    <row r="1695" spans="2:23" s="0" customFormat="0" ht="15">
      <c r="B1695" s="87" t="s">
        <v>1</v>
      </c>
      <c r="C1695" s="88" t="s">
        <v>5259</v>
      </c>
      <c r="D1695" s="88">
        <v>20861079</v>
      </c>
      <c r="E1695" s="88" t="s">
        <v>61</v>
      </c>
      <c r="F1695" s="88">
        <v>0</v>
      </c>
      <c r="G1695" s="78">
        <f>MAX(H1695,I1695,J1695)</f>
        <v>1</v>
      </c>
      <c r="H1695" s="88"/>
      <c r="I1695" s="88"/>
      <c r="J1695" s="78">
        <f>MAX(K1695:Q1695)</f>
        <v>1</v>
      </c>
      <c r="K1695" s="88">
        <v>1</v>
      </c>
      <c r="L1695" s="88"/>
      <c r="M1695" s="88"/>
      <c r="N1695" s="88"/>
      <c r="O1695" s="88"/>
      <c r="P1695" s="88"/>
      <c r="Q1695" s="88"/>
      <c r="R1695" s="78">
        <f>MAX(S1695:W1695)</f>
        <v>0</v>
      </c>
      <c r="S1695" s="88"/>
      <c r="T1695" s="88"/>
      <c r="U1695" s="88"/>
      <c r="V1695" s="88"/>
      <c r="W1695" s="88"/>
    </row>
    <row r="1696" spans="2:23" s="0" customFormat="0" ht="15">
      <c r="B1696" s="87" t="s">
        <v>1</v>
      </c>
      <c r="C1696" s="88" t="s">
        <v>5259</v>
      </c>
      <c r="D1696" s="88">
        <v>24738981</v>
      </c>
      <c r="E1696" s="88" t="s">
        <v>61</v>
      </c>
      <c r="F1696" s="88">
        <v>0</v>
      </c>
      <c r="G1696" s="78">
        <f>MAX(H1696,I1696,J1696)</f>
        <v>1</v>
      </c>
      <c r="H1696" s="88"/>
      <c r="I1696" s="88"/>
      <c r="J1696" s="78">
        <f>MAX(K1696:Q1696)</f>
        <v>1</v>
      </c>
      <c r="K1696" s="88">
        <v>1</v>
      </c>
      <c r="L1696" s="88"/>
      <c r="M1696" s="88"/>
      <c r="N1696" s="88"/>
      <c r="O1696" s="88"/>
      <c r="P1696" s="88"/>
      <c r="Q1696" s="88"/>
      <c r="R1696" s="78">
        <f>MAX(S1696:W1696)</f>
        <v>0</v>
      </c>
      <c r="S1696" s="88"/>
      <c r="T1696" s="88"/>
      <c r="U1696" s="88"/>
      <c r="V1696" s="88"/>
      <c r="W1696" s="88"/>
    </row>
    <row r="1697" spans="2:23" s="0" customFormat="0" ht="15">
      <c r="B1697" s="87" t="s">
        <v>1</v>
      </c>
      <c r="C1697" s="88" t="s">
        <v>5259</v>
      </c>
      <c r="D1697" s="88">
        <v>17901009</v>
      </c>
      <c r="E1697" s="88" t="s">
        <v>61</v>
      </c>
      <c r="F1697" s="88">
        <v>0</v>
      </c>
      <c r="G1697" s="78">
        <f>MAX(H1697,I1697,J1697)</f>
        <v>1</v>
      </c>
      <c r="H1697" s="88"/>
      <c r="I1697" s="88"/>
      <c r="J1697" s="78">
        <f>MAX(K1697:Q1697)</f>
        <v>1</v>
      </c>
      <c r="K1697" s="88">
        <v>1</v>
      </c>
      <c r="L1697" s="88"/>
      <c r="M1697" s="88"/>
      <c r="N1697" s="88"/>
      <c r="O1697" s="88"/>
      <c r="P1697" s="88"/>
      <c r="Q1697" s="88"/>
      <c r="R1697" s="78">
        <f>MAX(S1697:W1697)</f>
        <v>0</v>
      </c>
      <c r="S1697" s="88"/>
      <c r="T1697" s="88"/>
      <c r="U1697" s="88"/>
      <c r="V1697" s="88"/>
      <c r="W1697" s="88"/>
    </row>
    <row r="1698" spans="2:23" s="0" customFormat="0" ht="15">
      <c r="B1698" s="87" t="s">
        <v>1</v>
      </c>
      <c r="C1698" s="88" t="s">
        <v>5259</v>
      </c>
      <c r="D1698" s="88">
        <v>18980137</v>
      </c>
      <c r="E1698" s="88" t="s">
        <v>61</v>
      </c>
      <c r="F1698" s="88">
        <v>0</v>
      </c>
      <c r="G1698" s="78">
        <f>MAX(H1698,I1698,J1698)</f>
        <v>1</v>
      </c>
      <c r="H1698" s="88"/>
      <c r="I1698" s="88"/>
      <c r="J1698" s="78">
        <f>MAX(K1698:Q1698)</f>
        <v>1</v>
      </c>
      <c r="K1698" s="88">
        <v>1</v>
      </c>
      <c r="L1698" s="88"/>
      <c r="M1698" s="88"/>
      <c r="N1698" s="88"/>
      <c r="O1698" s="88"/>
      <c r="P1698" s="88"/>
      <c r="Q1698" s="88"/>
      <c r="R1698" s="78">
        <f>MAX(S1698:W1698)</f>
        <v>0</v>
      </c>
      <c r="S1698" s="88"/>
      <c r="T1698" s="88"/>
      <c r="U1698" s="88"/>
      <c r="V1698" s="88"/>
      <c r="W1698" s="88"/>
    </row>
    <row r="1699" spans="2:23" s="0" customFormat="0" ht="15">
      <c r="B1699" s="87" t="s">
        <v>1</v>
      </c>
      <c r="C1699" s="88" t="s">
        <v>5259</v>
      </c>
      <c r="D1699" s="88">
        <v>17447587</v>
      </c>
      <c r="E1699" s="88" t="s">
        <v>61</v>
      </c>
      <c r="F1699" s="88">
        <v>0</v>
      </c>
      <c r="G1699" s="78">
        <f>MAX(H1699,I1699,J1699)</f>
        <v>1</v>
      </c>
      <c r="H1699" s="88"/>
      <c r="I1699" s="88"/>
      <c r="J1699" s="78">
        <f>MAX(K1699:Q1699)</f>
        <v>1</v>
      </c>
      <c r="K1699" s="88">
        <v>1</v>
      </c>
      <c r="L1699" s="88"/>
      <c r="M1699" s="88"/>
      <c r="N1699" s="88"/>
      <c r="O1699" s="88"/>
      <c r="P1699" s="88"/>
      <c r="Q1699" s="88"/>
      <c r="R1699" s="78">
        <f>MAX(S1699:W1699)</f>
        <v>0</v>
      </c>
      <c r="S1699" s="88"/>
      <c r="T1699" s="88"/>
      <c r="U1699" s="88"/>
      <c r="V1699" s="88"/>
      <c r="W1699" s="88"/>
    </row>
    <row r="1700" spans="2:23" s="0" customFormat="0" ht="15">
      <c r="B1700" s="87" t="s">
        <v>1</v>
      </c>
      <c r="C1700" s="88" t="s">
        <v>5259</v>
      </c>
      <c r="D1700" s="88" t="s">
        <v>1338</v>
      </c>
      <c r="E1700" s="88" t="s">
        <v>61</v>
      </c>
      <c r="F1700" s="88">
        <v>0</v>
      </c>
      <c r="G1700" s="78">
        <f>MAX(H1700,I1700,J1700)</f>
        <v>1</v>
      </c>
      <c r="H1700" s="88"/>
      <c r="I1700" s="88"/>
      <c r="J1700" s="78">
        <f>MAX(K1700:Q1700)</f>
        <v>1</v>
      </c>
      <c r="K1700" s="88">
        <v>1</v>
      </c>
      <c r="L1700" s="88"/>
      <c r="M1700" s="88"/>
      <c r="N1700" s="88"/>
      <c r="O1700" s="88"/>
      <c r="P1700" s="88"/>
      <c r="Q1700" s="88"/>
      <c r="R1700" s="78">
        <f>MAX(S1700:W1700)</f>
        <v>0</v>
      </c>
      <c r="S1700" s="88"/>
      <c r="T1700" s="88"/>
      <c r="U1700" s="88"/>
      <c r="V1700" s="88"/>
      <c r="W1700" s="88"/>
    </row>
    <row r="1701" spans="2:23" s="0" customFormat="0" ht="15">
      <c r="B1701" s="87" t="s">
        <v>1</v>
      </c>
      <c r="C1701" s="88" t="s">
        <v>5259</v>
      </c>
      <c r="D1701" s="88">
        <v>12308477</v>
      </c>
      <c r="E1701" s="88" t="s">
        <v>61</v>
      </c>
      <c r="F1701" s="88">
        <v>0</v>
      </c>
      <c r="G1701" s="78">
        <f>MAX(H1701,I1701,J1701)</f>
        <v>1</v>
      </c>
      <c r="H1701" s="88"/>
      <c r="I1701" s="88"/>
      <c r="J1701" s="78">
        <f>MAX(K1701:Q1701)</f>
        <v>1</v>
      </c>
      <c r="K1701" s="88">
        <v>1</v>
      </c>
      <c r="L1701" s="88"/>
      <c r="M1701" s="88"/>
      <c r="N1701" s="88"/>
      <c r="O1701" s="88"/>
      <c r="P1701" s="88"/>
      <c r="Q1701" s="88"/>
      <c r="R1701" s="78">
        <f>MAX(S1701:W1701)</f>
        <v>0</v>
      </c>
      <c r="S1701" s="88"/>
      <c r="T1701" s="88"/>
      <c r="U1701" s="88"/>
      <c r="V1701" s="88"/>
      <c r="W1701" s="88"/>
    </row>
    <row r="1702" spans="2:23" s="0" customFormat="0" ht="15">
      <c r="B1702" s="87" t="s">
        <v>1</v>
      </c>
      <c r="C1702" s="88" t="s">
        <v>5259</v>
      </c>
      <c r="D1702" s="88" t="s">
        <v>1340</v>
      </c>
      <c r="E1702" s="88" t="s">
        <v>61</v>
      </c>
      <c r="F1702" s="88">
        <v>0</v>
      </c>
      <c r="G1702" s="78">
        <f>MAX(H1702,I1702,J1702)</f>
        <v>1</v>
      </c>
      <c r="H1702" s="88"/>
      <c r="I1702" s="88"/>
      <c r="J1702" s="78">
        <f>MAX(K1702:Q1702)</f>
        <v>1</v>
      </c>
      <c r="K1702" s="88">
        <v>1</v>
      </c>
      <c r="L1702" s="88"/>
      <c r="M1702" s="88"/>
      <c r="N1702" s="88"/>
      <c r="O1702" s="88"/>
      <c r="P1702" s="88"/>
      <c r="Q1702" s="88"/>
      <c r="R1702" s="78">
        <f>MAX(S1702:W1702)</f>
        <v>0</v>
      </c>
      <c r="S1702" s="88"/>
      <c r="T1702" s="88"/>
      <c r="U1702" s="88"/>
      <c r="V1702" s="88"/>
      <c r="W1702" s="88"/>
    </row>
    <row r="1703" spans="2:23" s="0" customFormat="0" ht="15">
      <c r="B1703" s="87" t="s">
        <v>1</v>
      </c>
      <c r="C1703" s="88" t="s">
        <v>5259</v>
      </c>
      <c r="D1703" s="88">
        <v>11426623</v>
      </c>
      <c r="E1703" s="88" t="s">
        <v>61</v>
      </c>
      <c r="F1703" s="88">
        <v>0</v>
      </c>
      <c r="G1703" s="78">
        <f>MAX(H1703,I1703,J1703)</f>
        <v>1</v>
      </c>
      <c r="H1703" s="88"/>
      <c r="I1703" s="88"/>
      <c r="J1703" s="78">
        <f>MAX(K1703:Q1703)</f>
        <v>1</v>
      </c>
      <c r="K1703" s="88">
        <v>1</v>
      </c>
      <c r="L1703" s="88"/>
      <c r="M1703" s="88"/>
      <c r="N1703" s="88"/>
      <c r="O1703" s="88"/>
      <c r="P1703" s="88"/>
      <c r="Q1703" s="88"/>
      <c r="R1703" s="78">
        <f>MAX(S1703:W1703)</f>
        <v>0</v>
      </c>
      <c r="S1703" s="88"/>
      <c r="T1703" s="88"/>
      <c r="U1703" s="88"/>
      <c r="V1703" s="88"/>
      <c r="W1703" s="88"/>
    </row>
    <row r="1704" spans="2:23" s="0" customFormat="0" ht="15">
      <c r="B1704" s="87" t="s">
        <v>1</v>
      </c>
      <c r="C1704" s="88" t="s">
        <v>5259</v>
      </c>
      <c r="D1704" s="88" t="s">
        <v>3227</v>
      </c>
      <c r="E1704" s="88" t="s">
        <v>61</v>
      </c>
      <c r="F1704" s="88">
        <v>0</v>
      </c>
      <c r="G1704" s="78">
        <f>MAX(H1704,I1704,J1704)</f>
        <v>0</v>
      </c>
      <c r="H1704" s="88"/>
      <c r="I1704" s="88"/>
      <c r="J1704" s="78">
        <f>MAX(K1704:Q1704)</f>
        <v>0</v>
      </c>
      <c r="K1704" s="88"/>
      <c r="L1704" s="88"/>
      <c r="M1704" s="88"/>
      <c r="N1704" s="88"/>
      <c r="O1704" s="88"/>
      <c r="P1704" s="88"/>
      <c r="Q1704" s="88"/>
      <c r="R1704" s="78">
        <f>MAX(S1704:W1704)</f>
        <v>1</v>
      </c>
      <c r="S1704" s="88"/>
      <c r="T1704" s="88"/>
      <c r="U1704" s="88"/>
      <c r="V1704" s="88">
        <v>1</v>
      </c>
      <c r="W1704" s="88"/>
    </row>
    <row r="1705" spans="2:23" s="0" customFormat="0" ht="15">
      <c r="B1705" s="87" t="s">
        <v>1</v>
      </c>
      <c r="C1705" s="88" t="s">
        <v>5259</v>
      </c>
      <c r="D1705" s="88">
        <v>5276844</v>
      </c>
      <c r="E1705" s="88" t="s">
        <v>61</v>
      </c>
      <c r="F1705" s="88">
        <v>0</v>
      </c>
      <c r="G1705" s="78">
        <f>MAX(H1705,I1705,J1705)</f>
        <v>1</v>
      </c>
      <c r="H1705" s="88"/>
      <c r="I1705" s="88"/>
      <c r="J1705" s="78">
        <f>MAX(K1705:Q1705)</f>
        <v>1</v>
      </c>
      <c r="K1705" s="88">
        <v>1</v>
      </c>
      <c r="L1705" s="88"/>
      <c r="M1705" s="88"/>
      <c r="N1705" s="88"/>
      <c r="O1705" s="88"/>
      <c r="P1705" s="88"/>
      <c r="Q1705" s="88"/>
      <c r="R1705" s="78">
        <f>MAX(S1705:W1705)</f>
        <v>0</v>
      </c>
      <c r="S1705" s="88"/>
      <c r="T1705" s="88"/>
      <c r="U1705" s="88"/>
      <c r="V1705" s="88"/>
      <c r="W1705" s="88"/>
    </row>
    <row r="1706" spans="2:23" s="0" customFormat="0" ht="15">
      <c r="B1706" s="87" t="s">
        <v>1</v>
      </c>
      <c r="C1706" s="88" t="s">
        <v>5259</v>
      </c>
      <c r="D1706" s="88" t="s">
        <v>1344</v>
      </c>
      <c r="E1706" s="88" t="s">
        <v>61</v>
      </c>
      <c r="F1706" s="88">
        <v>0</v>
      </c>
      <c r="G1706" s="78">
        <f>MAX(H1706,I1706,J1706)</f>
        <v>1</v>
      </c>
      <c r="H1706" s="88"/>
      <c r="I1706" s="88"/>
      <c r="J1706" s="78">
        <f>MAX(K1706:Q1706)</f>
        <v>1</v>
      </c>
      <c r="K1706" s="88">
        <v>1</v>
      </c>
      <c r="L1706" s="88"/>
      <c r="M1706" s="88"/>
      <c r="N1706" s="88"/>
      <c r="O1706" s="88"/>
      <c r="P1706" s="88"/>
      <c r="Q1706" s="88"/>
      <c r="R1706" s="78">
        <f>MAX(S1706:W1706)</f>
        <v>0</v>
      </c>
      <c r="S1706" s="88"/>
      <c r="T1706" s="88"/>
      <c r="U1706" s="88"/>
      <c r="V1706" s="88"/>
      <c r="W1706" s="88"/>
    </row>
    <row r="1707" spans="2:23" s="0" customFormat="0" ht="15">
      <c r="B1707" s="87" t="s">
        <v>1</v>
      </c>
      <c r="C1707" s="88" t="s">
        <v>5259</v>
      </c>
      <c r="D1707" s="88">
        <v>22033217</v>
      </c>
      <c r="E1707" s="88" t="s">
        <v>61</v>
      </c>
      <c r="F1707" s="88">
        <v>0</v>
      </c>
      <c r="G1707" s="78">
        <f>MAX(H1707,I1707,J1707)</f>
        <v>1</v>
      </c>
      <c r="H1707" s="88"/>
      <c r="I1707" s="88"/>
      <c r="J1707" s="78">
        <f>MAX(K1707:Q1707)</f>
        <v>1</v>
      </c>
      <c r="K1707" s="88">
        <v>1</v>
      </c>
      <c r="L1707" s="88"/>
      <c r="M1707" s="88"/>
      <c r="N1707" s="88"/>
      <c r="O1707" s="88"/>
      <c r="P1707" s="88"/>
      <c r="Q1707" s="88"/>
      <c r="R1707" s="78">
        <f>MAX(S1707:W1707)</f>
        <v>0</v>
      </c>
      <c r="S1707" s="88"/>
      <c r="T1707" s="88"/>
      <c r="U1707" s="88"/>
      <c r="V1707" s="88"/>
      <c r="W1707" s="88"/>
    </row>
    <row r="1708" spans="2:23" s="0" customFormat="0" ht="15">
      <c r="B1708" s="87" t="s">
        <v>1</v>
      </c>
      <c r="C1708" s="88" t="s">
        <v>5259</v>
      </c>
      <c r="D1708" s="88" t="s">
        <v>3743</v>
      </c>
      <c r="E1708" s="88" t="s">
        <v>61</v>
      </c>
      <c r="F1708" s="88">
        <v>0</v>
      </c>
      <c r="G1708" s="78">
        <f>MAX(H1708,I1708,J1708)</f>
        <v>0</v>
      </c>
      <c r="H1708" s="88"/>
      <c r="I1708" s="88"/>
      <c r="J1708" s="78">
        <f>MAX(K1708:Q1708)</f>
        <v>0</v>
      </c>
      <c r="K1708" s="88"/>
      <c r="L1708" s="88"/>
      <c r="M1708" s="88"/>
      <c r="N1708" s="88"/>
      <c r="O1708" s="88"/>
      <c r="P1708" s="88"/>
      <c r="Q1708" s="88"/>
      <c r="R1708" s="78">
        <f>MAX(S1708:W1708)</f>
        <v>1</v>
      </c>
      <c r="S1708" s="88"/>
      <c r="T1708" s="88"/>
      <c r="U1708" s="88">
        <v>1</v>
      </c>
      <c r="V1708" s="88"/>
      <c r="W1708" s="88"/>
    </row>
    <row r="1709" spans="2:23" s="0" customFormat="0" ht="15">
      <c r="B1709" s="87" t="s">
        <v>1</v>
      </c>
      <c r="C1709" s="88" t="s">
        <v>5259</v>
      </c>
      <c r="D1709" s="88" t="s">
        <v>4093</v>
      </c>
      <c r="E1709" s="88" t="s">
        <v>61</v>
      </c>
      <c r="F1709" s="88">
        <v>0</v>
      </c>
      <c r="G1709" s="78">
        <f>MAX(H1709,I1709,J1709)</f>
        <v>0</v>
      </c>
      <c r="H1709" s="88"/>
      <c r="I1709" s="88"/>
      <c r="J1709" s="78">
        <f>MAX(K1709:Q1709)</f>
        <v>0</v>
      </c>
      <c r="K1709" s="88"/>
      <c r="L1709" s="88"/>
      <c r="M1709" s="88"/>
      <c r="N1709" s="88"/>
      <c r="O1709" s="88"/>
      <c r="P1709" s="88"/>
      <c r="Q1709" s="88"/>
      <c r="R1709" s="78">
        <f>MAX(S1709:W1709)</f>
        <v>1</v>
      </c>
      <c r="S1709" s="88"/>
      <c r="T1709" s="88"/>
      <c r="U1709" s="88">
        <v>1</v>
      </c>
      <c r="V1709" s="88"/>
      <c r="W1709" s="88"/>
    </row>
    <row r="1710" spans="2:23" s="0" customFormat="0" ht="15">
      <c r="B1710" s="87" t="s">
        <v>1</v>
      </c>
      <c r="C1710" s="88" t="s">
        <v>5259</v>
      </c>
      <c r="D1710" s="88">
        <v>16140030</v>
      </c>
      <c r="E1710" s="88" t="s">
        <v>61</v>
      </c>
      <c r="F1710" s="88">
        <v>0</v>
      </c>
      <c r="G1710" s="78">
        <f>MAX(H1710,I1710,J1710)</f>
        <v>1</v>
      </c>
      <c r="H1710" s="88"/>
      <c r="I1710" s="88"/>
      <c r="J1710" s="78">
        <f>MAX(K1710:Q1710)</f>
        <v>1</v>
      </c>
      <c r="K1710" s="88">
        <v>1</v>
      </c>
      <c r="L1710" s="88"/>
      <c r="M1710" s="88"/>
      <c r="N1710" s="88"/>
      <c r="O1710" s="88"/>
      <c r="P1710" s="88"/>
      <c r="Q1710" s="88"/>
      <c r="R1710" s="78">
        <f>MAX(S1710:W1710)</f>
        <v>0</v>
      </c>
      <c r="S1710" s="88"/>
      <c r="T1710" s="88"/>
      <c r="U1710" s="88"/>
      <c r="V1710" s="88"/>
      <c r="W1710" s="88"/>
    </row>
    <row r="1711" spans="2:23" s="0" customFormat="0" ht="15">
      <c r="B1711" s="87" t="s">
        <v>1</v>
      </c>
      <c r="C1711" s="88" t="s">
        <v>5259</v>
      </c>
      <c r="D1711" s="88" t="s">
        <v>3229</v>
      </c>
      <c r="E1711" s="88" t="s">
        <v>61</v>
      </c>
      <c r="F1711" s="88">
        <v>0</v>
      </c>
      <c r="G1711" s="78">
        <f>MAX(H1711,I1711,J1711)</f>
        <v>0</v>
      </c>
      <c r="H1711" s="88"/>
      <c r="I1711" s="88"/>
      <c r="J1711" s="78">
        <f>MAX(K1711:Q1711)</f>
        <v>0</v>
      </c>
      <c r="K1711" s="88"/>
      <c r="L1711" s="88"/>
      <c r="M1711" s="88"/>
      <c r="N1711" s="88"/>
      <c r="O1711" s="88"/>
      <c r="P1711" s="88"/>
      <c r="Q1711" s="88"/>
      <c r="R1711" s="78">
        <f>MAX(S1711:W1711)</f>
        <v>1</v>
      </c>
      <c r="S1711" s="88"/>
      <c r="T1711" s="88"/>
      <c r="U1711" s="88"/>
      <c r="V1711" s="88">
        <v>1</v>
      </c>
      <c r="W1711" s="88"/>
    </row>
    <row r="1712" spans="2:23" s="0" customFormat="0" ht="15">
      <c r="B1712" s="87" t="s">
        <v>1</v>
      </c>
      <c r="C1712" s="88" t="s">
        <v>5259</v>
      </c>
      <c r="D1712" s="88">
        <v>21380827</v>
      </c>
      <c r="E1712" s="88" t="s">
        <v>61</v>
      </c>
      <c r="F1712" s="88">
        <v>0</v>
      </c>
      <c r="G1712" s="78">
        <f>MAX(H1712,I1712,J1712)</f>
        <v>1</v>
      </c>
      <c r="H1712" s="88"/>
      <c r="I1712" s="88"/>
      <c r="J1712" s="78">
        <f>MAX(K1712:Q1712)</f>
        <v>1</v>
      </c>
      <c r="K1712" s="88">
        <v>1</v>
      </c>
      <c r="L1712" s="88"/>
      <c r="M1712" s="88"/>
      <c r="N1712" s="88"/>
      <c r="O1712" s="88"/>
      <c r="P1712" s="88"/>
      <c r="Q1712" s="88"/>
      <c r="R1712" s="78">
        <f>MAX(S1712:W1712)</f>
        <v>0</v>
      </c>
      <c r="S1712" s="88"/>
      <c r="T1712" s="88"/>
      <c r="U1712" s="88"/>
      <c r="V1712" s="88"/>
      <c r="W1712" s="88"/>
    </row>
    <row r="1713" spans="2:23" s="0" customFormat="0" ht="15">
      <c r="B1713" s="87" t="s">
        <v>1</v>
      </c>
      <c r="C1713" s="88" t="s">
        <v>5259</v>
      </c>
      <c r="D1713" s="88">
        <v>16974688</v>
      </c>
      <c r="E1713" s="88" t="s">
        <v>61</v>
      </c>
      <c r="F1713" s="88">
        <v>0</v>
      </c>
      <c r="G1713" s="78">
        <f>MAX(H1713,I1713,J1713)</f>
        <v>0</v>
      </c>
      <c r="H1713" s="88"/>
      <c r="I1713" s="88"/>
      <c r="J1713" s="78">
        <f>MAX(K1713:Q1713)</f>
        <v>0</v>
      </c>
      <c r="K1713" s="88"/>
      <c r="L1713" s="88"/>
      <c r="M1713" s="88"/>
      <c r="N1713" s="88"/>
      <c r="O1713" s="88"/>
      <c r="P1713" s="88"/>
      <c r="Q1713" s="88"/>
      <c r="R1713" s="78">
        <f>MAX(S1713:W1713)</f>
        <v>1</v>
      </c>
      <c r="S1713" s="88"/>
      <c r="T1713" s="88"/>
      <c r="U1713" s="88">
        <v>1</v>
      </c>
      <c r="V1713" s="88"/>
      <c r="W1713" s="88"/>
    </row>
    <row r="1714" spans="2:23" s="0" customFormat="0" ht="15">
      <c r="B1714" s="87" t="s">
        <v>1</v>
      </c>
      <c r="C1714" s="88" t="s">
        <v>5259</v>
      </c>
      <c r="D1714" s="88">
        <v>13428954</v>
      </c>
      <c r="E1714" s="88" t="s">
        <v>61</v>
      </c>
      <c r="F1714" s="88">
        <v>0</v>
      </c>
      <c r="G1714" s="78">
        <f>MAX(H1714,I1714,J1714)</f>
        <v>1</v>
      </c>
      <c r="H1714" s="88"/>
      <c r="I1714" s="88"/>
      <c r="J1714" s="78">
        <f>MAX(K1714:Q1714)</f>
        <v>1</v>
      </c>
      <c r="K1714" s="88">
        <v>1</v>
      </c>
      <c r="L1714" s="88"/>
      <c r="M1714" s="88"/>
      <c r="N1714" s="88"/>
      <c r="O1714" s="88"/>
      <c r="P1714" s="88"/>
      <c r="Q1714" s="88"/>
      <c r="R1714" s="78">
        <f>MAX(S1714:W1714)</f>
        <v>0</v>
      </c>
      <c r="S1714" s="88"/>
      <c r="T1714" s="88"/>
      <c r="U1714" s="88"/>
      <c r="V1714" s="88"/>
      <c r="W1714" s="88"/>
    </row>
    <row r="1715" spans="2:23" s="0" customFormat="0" ht="15">
      <c r="B1715" s="87" t="s">
        <v>1</v>
      </c>
      <c r="C1715" s="88" t="s">
        <v>5259</v>
      </c>
      <c r="D1715" s="88">
        <v>22526410</v>
      </c>
      <c r="E1715" s="88" t="s">
        <v>61</v>
      </c>
      <c r="F1715" s="88">
        <v>0</v>
      </c>
      <c r="G1715" s="78">
        <f>MAX(H1715,I1715,J1715)</f>
        <v>1</v>
      </c>
      <c r="H1715" s="88"/>
      <c r="I1715" s="88"/>
      <c r="J1715" s="78">
        <f>MAX(K1715:Q1715)</f>
        <v>1</v>
      </c>
      <c r="K1715" s="88">
        <v>1</v>
      </c>
      <c r="L1715" s="88"/>
      <c r="M1715" s="88"/>
      <c r="N1715" s="88"/>
      <c r="O1715" s="88"/>
      <c r="P1715" s="88"/>
      <c r="Q1715" s="88"/>
      <c r="R1715" s="78">
        <f>MAX(S1715:W1715)</f>
        <v>0</v>
      </c>
      <c r="S1715" s="88"/>
      <c r="T1715" s="88"/>
      <c r="U1715" s="88"/>
      <c r="V1715" s="88"/>
      <c r="W1715" s="88"/>
    </row>
    <row r="1716" spans="2:23" s="0" customFormat="0" ht="15">
      <c r="B1716" s="87" t="s">
        <v>1</v>
      </c>
      <c r="C1716" s="88" t="s">
        <v>5259</v>
      </c>
      <c r="D1716" s="88" t="s">
        <v>4096</v>
      </c>
      <c r="E1716" s="88" t="s">
        <v>61</v>
      </c>
      <c r="F1716" s="88">
        <v>0</v>
      </c>
      <c r="G1716" s="78">
        <f>MAX(H1716,I1716,J1716)</f>
        <v>0</v>
      </c>
      <c r="H1716" s="88"/>
      <c r="I1716" s="88"/>
      <c r="J1716" s="78">
        <f>MAX(K1716:Q1716)</f>
        <v>0</v>
      </c>
      <c r="K1716" s="88"/>
      <c r="L1716" s="88"/>
      <c r="M1716" s="88"/>
      <c r="N1716" s="88"/>
      <c r="O1716" s="88"/>
      <c r="P1716" s="88"/>
      <c r="Q1716" s="88"/>
      <c r="R1716" s="78">
        <f>MAX(S1716:W1716)</f>
        <v>1</v>
      </c>
      <c r="S1716" s="88"/>
      <c r="T1716" s="88"/>
      <c r="U1716" s="88">
        <v>1</v>
      </c>
      <c r="V1716" s="88"/>
      <c r="W1716" s="88"/>
    </row>
    <row r="1717" spans="2:23" s="0" customFormat="0" ht="15">
      <c r="B1717" s="87" t="s">
        <v>1</v>
      </c>
      <c r="C1717" s="88" t="s">
        <v>5259</v>
      </c>
      <c r="D1717" s="88">
        <v>7169615</v>
      </c>
      <c r="E1717" s="88" t="s">
        <v>61</v>
      </c>
      <c r="F1717" s="88">
        <v>0</v>
      </c>
      <c r="G1717" s="78">
        <f>MAX(H1717,I1717,J1717)</f>
        <v>1</v>
      </c>
      <c r="H1717" s="88"/>
      <c r="I1717" s="88"/>
      <c r="J1717" s="78">
        <f>MAX(K1717:Q1717)</f>
        <v>1</v>
      </c>
      <c r="K1717" s="88">
        <v>1</v>
      </c>
      <c r="L1717" s="88"/>
      <c r="M1717" s="88"/>
      <c r="N1717" s="88"/>
      <c r="O1717" s="88"/>
      <c r="P1717" s="88"/>
      <c r="Q1717" s="88"/>
      <c r="R1717" s="78">
        <f>MAX(S1717:W1717)</f>
        <v>0</v>
      </c>
      <c r="S1717" s="88"/>
      <c r="T1717" s="88"/>
      <c r="U1717" s="88"/>
      <c r="V1717" s="88"/>
      <c r="W1717" s="88"/>
    </row>
    <row r="1718" spans="2:23" s="0" customFormat="0" ht="15">
      <c r="B1718" s="87" t="s">
        <v>1</v>
      </c>
      <c r="C1718" s="88" t="s">
        <v>5259</v>
      </c>
      <c r="D1718" s="88">
        <v>19503866</v>
      </c>
      <c r="E1718" s="88" t="s">
        <v>61</v>
      </c>
      <c r="F1718" s="88">
        <v>0</v>
      </c>
      <c r="G1718" s="78">
        <f>MAX(H1718,I1718,J1718)</f>
        <v>1</v>
      </c>
      <c r="H1718" s="88"/>
      <c r="I1718" s="88"/>
      <c r="J1718" s="78">
        <f>MAX(K1718:Q1718)</f>
        <v>1</v>
      </c>
      <c r="K1718" s="88">
        <v>1</v>
      </c>
      <c r="L1718" s="88"/>
      <c r="M1718" s="88"/>
      <c r="N1718" s="88"/>
      <c r="O1718" s="88"/>
      <c r="P1718" s="88"/>
      <c r="Q1718" s="88"/>
      <c r="R1718" s="78">
        <f>MAX(S1718:W1718)</f>
        <v>0</v>
      </c>
      <c r="S1718" s="88"/>
      <c r="T1718" s="88"/>
      <c r="U1718" s="88"/>
      <c r="V1718" s="88"/>
      <c r="W1718" s="88"/>
    </row>
    <row r="1719" spans="2:23" s="0" customFormat="0" ht="15">
      <c r="B1719" s="87" t="s">
        <v>1</v>
      </c>
      <c r="C1719" s="88" t="s">
        <v>5259</v>
      </c>
      <c r="D1719" s="88" t="s">
        <v>4098</v>
      </c>
      <c r="E1719" s="88" t="s">
        <v>61</v>
      </c>
      <c r="F1719" s="88">
        <v>0</v>
      </c>
      <c r="G1719" s="78">
        <f>MAX(H1719,I1719,J1719)</f>
        <v>0</v>
      </c>
      <c r="H1719" s="88"/>
      <c r="I1719" s="88"/>
      <c r="J1719" s="78">
        <f>MAX(K1719:Q1719)</f>
        <v>0</v>
      </c>
      <c r="K1719" s="88"/>
      <c r="L1719" s="88"/>
      <c r="M1719" s="88"/>
      <c r="N1719" s="88"/>
      <c r="O1719" s="88"/>
      <c r="P1719" s="88"/>
      <c r="Q1719" s="88"/>
      <c r="R1719" s="78">
        <f>MAX(S1719:W1719)</f>
        <v>1</v>
      </c>
      <c r="S1719" s="88"/>
      <c r="T1719" s="88"/>
      <c r="U1719" s="88">
        <v>1</v>
      </c>
      <c r="V1719" s="88"/>
      <c r="W1719" s="88"/>
    </row>
    <row r="1720" spans="2:23" s="0" customFormat="0" ht="15">
      <c r="B1720" s="87" t="s">
        <v>1</v>
      </c>
      <c r="C1720" s="88" t="s">
        <v>5259</v>
      </c>
      <c r="D1720" s="88" t="s">
        <v>3361</v>
      </c>
      <c r="E1720" s="88" t="s">
        <v>61</v>
      </c>
      <c r="F1720" s="88">
        <v>0</v>
      </c>
      <c r="G1720" s="78">
        <f>MAX(H1720,I1720,J1720)</f>
        <v>0</v>
      </c>
      <c r="H1720" s="88"/>
      <c r="I1720" s="88"/>
      <c r="J1720" s="78">
        <f>MAX(K1720:Q1720)</f>
        <v>0</v>
      </c>
      <c r="K1720" s="88"/>
      <c r="L1720" s="88"/>
      <c r="M1720" s="88"/>
      <c r="N1720" s="88"/>
      <c r="O1720" s="88"/>
      <c r="P1720" s="88"/>
      <c r="Q1720" s="88"/>
      <c r="R1720" s="78">
        <f>MAX(S1720:W1720)</f>
        <v>1</v>
      </c>
      <c r="S1720" s="88"/>
      <c r="T1720" s="88"/>
      <c r="U1720" s="88">
        <v>1</v>
      </c>
      <c r="V1720" s="88"/>
      <c r="W1720" s="88"/>
    </row>
    <row r="1721" spans="2:23" s="0" customFormat="0" ht="15">
      <c r="B1721" s="87" t="s">
        <v>1</v>
      </c>
      <c r="C1721" s="88" t="s">
        <v>5259</v>
      </c>
      <c r="D1721" s="88">
        <v>12833954</v>
      </c>
      <c r="E1721" s="88" t="s">
        <v>61</v>
      </c>
      <c r="F1721" s="88">
        <v>0</v>
      </c>
      <c r="G1721" s="78">
        <f>MAX(H1721,I1721,J1721)</f>
        <v>1</v>
      </c>
      <c r="H1721" s="88"/>
      <c r="I1721" s="88"/>
      <c r="J1721" s="78">
        <f>MAX(K1721:Q1721)</f>
        <v>1</v>
      </c>
      <c r="K1721" s="88">
        <v>1</v>
      </c>
      <c r="L1721" s="88"/>
      <c r="M1721" s="88"/>
      <c r="N1721" s="88"/>
      <c r="O1721" s="88"/>
      <c r="P1721" s="88"/>
      <c r="Q1721" s="88"/>
      <c r="R1721" s="78">
        <f>MAX(S1721:W1721)</f>
        <v>0</v>
      </c>
      <c r="S1721" s="88"/>
      <c r="T1721" s="88"/>
      <c r="U1721" s="88"/>
      <c r="V1721" s="88"/>
      <c r="W1721" s="88"/>
    </row>
    <row r="1722" spans="2:23" s="0" customFormat="0" ht="15">
      <c r="B1722" s="87" t="s">
        <v>1</v>
      </c>
      <c r="C1722" s="88" t="s">
        <v>5259</v>
      </c>
      <c r="D1722" s="88">
        <v>12406019</v>
      </c>
      <c r="E1722" s="88" t="s">
        <v>61</v>
      </c>
      <c r="F1722" s="88">
        <v>0</v>
      </c>
      <c r="G1722" s="78">
        <f>MAX(H1722,I1722,J1722)</f>
        <v>1</v>
      </c>
      <c r="H1722" s="88"/>
      <c r="I1722" s="88"/>
      <c r="J1722" s="78">
        <f>MAX(K1722:Q1722)</f>
        <v>1</v>
      </c>
      <c r="K1722" s="88">
        <v>1</v>
      </c>
      <c r="L1722" s="88"/>
      <c r="M1722" s="88"/>
      <c r="N1722" s="88"/>
      <c r="O1722" s="88"/>
      <c r="P1722" s="88"/>
      <c r="Q1722" s="88"/>
      <c r="R1722" s="78">
        <f>MAX(S1722:W1722)</f>
        <v>0</v>
      </c>
      <c r="S1722" s="88"/>
      <c r="T1722" s="88"/>
      <c r="U1722" s="88"/>
      <c r="V1722" s="88"/>
      <c r="W1722" s="88"/>
    </row>
    <row r="1723" spans="2:23" s="0" customFormat="0" ht="15">
      <c r="B1723" s="87" t="s">
        <v>1</v>
      </c>
      <c r="C1723" s="88" t="s">
        <v>5259</v>
      </c>
      <c r="D1723" s="88">
        <v>14185572</v>
      </c>
      <c r="E1723" s="88" t="s">
        <v>61</v>
      </c>
      <c r="F1723" s="88">
        <v>0</v>
      </c>
      <c r="G1723" s="78">
        <f>MAX(H1723,I1723,J1723)</f>
        <v>1</v>
      </c>
      <c r="H1723" s="88"/>
      <c r="I1723" s="88"/>
      <c r="J1723" s="78">
        <f>MAX(K1723:Q1723)</f>
        <v>1</v>
      </c>
      <c r="K1723" s="88">
        <v>1</v>
      </c>
      <c r="L1723" s="88"/>
      <c r="M1723" s="88"/>
      <c r="N1723" s="88"/>
      <c r="O1723" s="88"/>
      <c r="P1723" s="88"/>
      <c r="Q1723" s="88"/>
      <c r="R1723" s="78">
        <f>MAX(S1723:W1723)</f>
        <v>0</v>
      </c>
      <c r="S1723" s="88"/>
      <c r="T1723" s="88"/>
      <c r="U1723" s="88"/>
      <c r="V1723" s="88"/>
      <c r="W1723" s="88"/>
    </row>
    <row r="1724" spans="2:23" s="0" customFormat="0" ht="15">
      <c r="B1724" s="87" t="s">
        <v>1</v>
      </c>
      <c r="C1724" s="88" t="s">
        <v>5259</v>
      </c>
      <c r="D1724" s="88">
        <v>22554444</v>
      </c>
      <c r="E1724" s="88" t="s">
        <v>61</v>
      </c>
      <c r="F1724" s="88">
        <v>0</v>
      </c>
      <c r="G1724" s="78">
        <f>MAX(H1724,I1724,J1724)</f>
        <v>0</v>
      </c>
      <c r="H1724" s="88"/>
      <c r="I1724" s="88"/>
      <c r="J1724" s="78">
        <f>MAX(K1724:Q1724)</f>
        <v>0</v>
      </c>
      <c r="K1724" s="88"/>
      <c r="L1724" s="88"/>
      <c r="M1724" s="88"/>
      <c r="N1724" s="88"/>
      <c r="O1724" s="88"/>
      <c r="P1724" s="88"/>
      <c r="Q1724" s="88"/>
      <c r="R1724" s="78">
        <f>MAX(S1724:W1724)</f>
        <v>1</v>
      </c>
      <c r="S1724" s="88"/>
      <c r="T1724" s="88"/>
      <c r="U1724" s="88">
        <v>1</v>
      </c>
      <c r="V1724" s="88"/>
      <c r="W1724" s="88"/>
    </row>
    <row r="1725" spans="2:23" s="0" customFormat="0" ht="15">
      <c r="B1725" s="87" t="s">
        <v>1</v>
      </c>
      <c r="C1725" s="88" t="s">
        <v>5259</v>
      </c>
      <c r="D1725" s="88">
        <v>17172496</v>
      </c>
      <c r="E1725" s="88" t="s">
        <v>61</v>
      </c>
      <c r="F1725" s="88">
        <v>0</v>
      </c>
      <c r="G1725" s="78">
        <f>MAX(H1725,I1725,J1725)</f>
        <v>1</v>
      </c>
      <c r="H1725" s="88"/>
      <c r="I1725" s="88"/>
      <c r="J1725" s="78">
        <f>MAX(K1725:Q1725)</f>
        <v>1</v>
      </c>
      <c r="K1725" s="88">
        <v>1</v>
      </c>
      <c r="L1725" s="88"/>
      <c r="M1725" s="88"/>
      <c r="N1725" s="88"/>
      <c r="O1725" s="88"/>
      <c r="P1725" s="88"/>
      <c r="Q1725" s="88"/>
      <c r="R1725" s="78">
        <f>MAX(S1725:W1725)</f>
        <v>0</v>
      </c>
      <c r="S1725" s="88"/>
      <c r="T1725" s="88"/>
      <c r="U1725" s="88"/>
      <c r="V1725" s="88"/>
      <c r="W1725" s="88"/>
    </row>
    <row r="1726" spans="2:23" s="0" customFormat="0" ht="15">
      <c r="B1726" s="87" t="s">
        <v>1</v>
      </c>
      <c r="C1726" s="88" t="s">
        <v>5259</v>
      </c>
      <c r="D1726" s="88">
        <v>222886</v>
      </c>
      <c r="E1726" s="88" t="s">
        <v>61</v>
      </c>
      <c r="F1726" s="88">
        <v>0</v>
      </c>
      <c r="G1726" s="78">
        <f>MAX(H1726,I1726,J1726)</f>
        <v>1</v>
      </c>
      <c r="H1726" s="88"/>
      <c r="I1726" s="88"/>
      <c r="J1726" s="78">
        <f>MAX(K1726:Q1726)</f>
        <v>1</v>
      </c>
      <c r="K1726" s="88">
        <v>1</v>
      </c>
      <c r="L1726" s="88"/>
      <c r="M1726" s="88"/>
      <c r="N1726" s="88"/>
      <c r="O1726" s="88"/>
      <c r="P1726" s="88"/>
      <c r="Q1726" s="88"/>
      <c r="R1726" s="78">
        <f>MAX(S1726:W1726)</f>
        <v>0</v>
      </c>
      <c r="S1726" s="88"/>
      <c r="T1726" s="88"/>
      <c r="U1726" s="88"/>
      <c r="V1726" s="88"/>
      <c r="W1726" s="88"/>
    </row>
    <row r="1727" spans="2:23" s="0" customFormat="0" ht="15">
      <c r="B1727" s="87" t="s">
        <v>1</v>
      </c>
      <c r="C1727" s="88" t="s">
        <v>5259</v>
      </c>
      <c r="D1727" s="88">
        <v>22554296</v>
      </c>
      <c r="E1727" s="88" t="s">
        <v>61</v>
      </c>
      <c r="F1727" s="88">
        <v>0</v>
      </c>
      <c r="G1727" s="78">
        <f>MAX(H1727,I1727,J1727)</f>
        <v>0</v>
      </c>
      <c r="H1727" s="88"/>
      <c r="I1727" s="88"/>
      <c r="J1727" s="78">
        <f>MAX(K1727:Q1727)</f>
        <v>0</v>
      </c>
      <c r="K1727" s="88"/>
      <c r="L1727" s="88"/>
      <c r="M1727" s="88"/>
      <c r="N1727" s="88"/>
      <c r="O1727" s="88"/>
      <c r="P1727" s="88"/>
      <c r="Q1727" s="88"/>
      <c r="R1727" s="78">
        <f>MAX(S1727:W1727)</f>
        <v>1</v>
      </c>
      <c r="S1727" s="88"/>
      <c r="T1727" s="88"/>
      <c r="U1727" s="88">
        <v>1</v>
      </c>
      <c r="V1727" s="88"/>
      <c r="W1727" s="88"/>
    </row>
    <row r="1728" spans="2:23" s="0" customFormat="0" ht="15">
      <c r="B1728" s="87" t="s">
        <v>1</v>
      </c>
      <c r="C1728" s="88" t="s">
        <v>5259</v>
      </c>
      <c r="D1728" s="88">
        <v>22469147</v>
      </c>
      <c r="E1728" s="88" t="s">
        <v>61</v>
      </c>
      <c r="F1728" s="88">
        <v>0</v>
      </c>
      <c r="G1728" s="78">
        <f>MAX(H1728,I1728,J1728)</f>
        <v>1</v>
      </c>
      <c r="H1728" s="88"/>
      <c r="I1728" s="88"/>
      <c r="J1728" s="78">
        <f>MAX(K1728:Q1728)</f>
        <v>1</v>
      </c>
      <c r="K1728" s="88">
        <v>1</v>
      </c>
      <c r="L1728" s="88"/>
      <c r="M1728" s="88"/>
      <c r="N1728" s="88"/>
      <c r="O1728" s="88"/>
      <c r="P1728" s="88"/>
      <c r="Q1728" s="88"/>
      <c r="R1728" s="78">
        <f>MAX(S1728:W1728)</f>
        <v>0</v>
      </c>
      <c r="S1728" s="88"/>
      <c r="T1728" s="88"/>
      <c r="U1728" s="88"/>
      <c r="V1728" s="88"/>
      <c r="W1728" s="88"/>
    </row>
    <row r="1729" spans="2:23" s="0" customFormat="0" ht="15">
      <c r="B1729" s="87" t="s">
        <v>1</v>
      </c>
      <c r="C1729" s="88" t="s">
        <v>5259</v>
      </c>
      <c r="D1729" s="88">
        <v>11386214</v>
      </c>
      <c r="E1729" s="88" t="s">
        <v>61</v>
      </c>
      <c r="F1729" s="88">
        <v>0</v>
      </c>
      <c r="G1729" s="78">
        <f>MAX(H1729,I1729,J1729)</f>
        <v>1</v>
      </c>
      <c r="H1729" s="88"/>
      <c r="I1729" s="88"/>
      <c r="J1729" s="78">
        <f>MAX(K1729:Q1729)</f>
        <v>1</v>
      </c>
      <c r="K1729" s="88">
        <v>1</v>
      </c>
      <c r="L1729" s="88"/>
      <c r="M1729" s="88"/>
      <c r="N1729" s="88"/>
      <c r="O1729" s="88"/>
      <c r="P1729" s="88"/>
      <c r="Q1729" s="88"/>
      <c r="R1729" s="78">
        <f>MAX(S1729:W1729)</f>
        <v>0</v>
      </c>
      <c r="S1729" s="88"/>
      <c r="T1729" s="88"/>
      <c r="U1729" s="88"/>
      <c r="V1729" s="88"/>
      <c r="W1729" s="88"/>
    </row>
    <row r="1730" spans="2:23" s="0" customFormat="0" ht="15">
      <c r="B1730" s="87" t="s">
        <v>1</v>
      </c>
      <c r="C1730" s="88" t="s">
        <v>5259</v>
      </c>
      <c r="D1730" s="88">
        <v>21644219</v>
      </c>
      <c r="E1730" s="88" t="s">
        <v>61</v>
      </c>
      <c r="F1730" s="88">
        <v>0</v>
      </c>
      <c r="G1730" s="78">
        <f>MAX(H1730,I1730,J1730)</f>
        <v>1</v>
      </c>
      <c r="H1730" s="88"/>
      <c r="I1730" s="88"/>
      <c r="J1730" s="78">
        <f>MAX(K1730:Q1730)</f>
        <v>1</v>
      </c>
      <c r="K1730" s="88">
        <v>1</v>
      </c>
      <c r="L1730" s="88"/>
      <c r="M1730" s="88"/>
      <c r="N1730" s="88"/>
      <c r="O1730" s="88"/>
      <c r="P1730" s="88"/>
      <c r="Q1730" s="88"/>
      <c r="R1730" s="78">
        <f>MAX(S1730:W1730)</f>
        <v>0</v>
      </c>
      <c r="S1730" s="88"/>
      <c r="T1730" s="88"/>
      <c r="U1730" s="88"/>
      <c r="V1730" s="88"/>
      <c r="W1730" s="88"/>
    </row>
    <row r="1731" spans="2:23" s="0" customFormat="0" ht="15">
      <c r="B1731" s="87" t="s">
        <v>1</v>
      </c>
      <c r="C1731" s="88" t="s">
        <v>5259</v>
      </c>
      <c r="D1731" s="88">
        <v>13158525</v>
      </c>
      <c r="E1731" s="88" t="s">
        <v>61</v>
      </c>
      <c r="F1731" s="88">
        <v>0</v>
      </c>
      <c r="G1731" s="78">
        <f>MAX(H1731,I1731,J1731)</f>
        <v>1</v>
      </c>
      <c r="H1731" s="88"/>
      <c r="I1731" s="88"/>
      <c r="J1731" s="78">
        <f>MAX(K1731:Q1731)</f>
        <v>1</v>
      </c>
      <c r="K1731" s="88">
        <v>1</v>
      </c>
      <c r="L1731" s="88"/>
      <c r="M1731" s="88"/>
      <c r="N1731" s="88"/>
      <c r="O1731" s="88"/>
      <c r="P1731" s="88"/>
      <c r="Q1731" s="88"/>
      <c r="R1731" s="78">
        <f>MAX(S1731:W1731)</f>
        <v>0</v>
      </c>
      <c r="S1731" s="88"/>
      <c r="T1731" s="88"/>
      <c r="U1731" s="88"/>
      <c r="V1731" s="88"/>
      <c r="W1731" s="88"/>
    </row>
    <row r="1732" spans="2:23" s="0" customFormat="0" ht="15">
      <c r="B1732" s="87" t="s">
        <v>1</v>
      </c>
      <c r="C1732" s="88" t="s">
        <v>5259</v>
      </c>
      <c r="D1732" s="88" t="s">
        <v>4102</v>
      </c>
      <c r="E1732" s="88" t="s">
        <v>61</v>
      </c>
      <c r="F1732" s="88">
        <v>0</v>
      </c>
      <c r="G1732" s="78">
        <f>MAX(H1732,I1732,J1732)</f>
        <v>0</v>
      </c>
      <c r="H1732" s="88"/>
      <c r="I1732" s="88"/>
      <c r="J1732" s="78">
        <f>MAX(K1732:Q1732)</f>
        <v>0</v>
      </c>
      <c r="K1732" s="88"/>
      <c r="L1732" s="88"/>
      <c r="M1732" s="88"/>
      <c r="N1732" s="88"/>
      <c r="O1732" s="88"/>
      <c r="P1732" s="88"/>
      <c r="Q1732" s="88"/>
      <c r="R1732" s="78">
        <f>MAX(S1732:W1732)</f>
        <v>1</v>
      </c>
      <c r="S1732" s="88"/>
      <c r="T1732" s="88"/>
      <c r="U1732" s="88">
        <v>1</v>
      </c>
      <c r="V1732" s="88"/>
      <c r="W1732" s="88"/>
    </row>
    <row r="1733" spans="2:23" s="0" customFormat="0" ht="15">
      <c r="B1733" s="87" t="s">
        <v>1</v>
      </c>
      <c r="C1733" s="88" t="s">
        <v>5259</v>
      </c>
      <c r="D1733" s="88">
        <v>20930569</v>
      </c>
      <c r="E1733" s="88" t="s">
        <v>61</v>
      </c>
      <c r="F1733" s="88">
        <v>0</v>
      </c>
      <c r="G1733" s="78">
        <f>MAX(H1733,I1733,J1733)</f>
        <v>1</v>
      </c>
      <c r="H1733" s="88"/>
      <c r="I1733" s="88"/>
      <c r="J1733" s="78">
        <f>MAX(K1733:Q1733)</f>
        <v>1</v>
      </c>
      <c r="K1733" s="88">
        <v>1</v>
      </c>
      <c r="L1733" s="88"/>
      <c r="M1733" s="88"/>
      <c r="N1733" s="88"/>
      <c r="O1733" s="88"/>
      <c r="P1733" s="88"/>
      <c r="Q1733" s="88"/>
      <c r="R1733" s="78">
        <f>MAX(S1733:W1733)</f>
        <v>0</v>
      </c>
      <c r="S1733" s="88"/>
      <c r="T1733" s="88"/>
      <c r="U1733" s="88"/>
      <c r="V1733" s="88"/>
      <c r="W1733" s="88"/>
    </row>
    <row r="1734" spans="2:23" s="0" customFormat="0" ht="15">
      <c r="B1734" s="87" t="s">
        <v>1</v>
      </c>
      <c r="C1734" s="88" t="s">
        <v>5259</v>
      </c>
      <c r="D1734" s="88" t="s">
        <v>4104</v>
      </c>
      <c r="E1734" s="88" t="s">
        <v>61</v>
      </c>
      <c r="F1734" s="88">
        <v>0</v>
      </c>
      <c r="G1734" s="78">
        <f>MAX(H1734,I1734,J1734)</f>
        <v>0</v>
      </c>
      <c r="H1734" s="88"/>
      <c r="I1734" s="88"/>
      <c r="J1734" s="78">
        <f>MAX(K1734:Q1734)</f>
        <v>0</v>
      </c>
      <c r="K1734" s="88"/>
      <c r="L1734" s="88"/>
      <c r="M1734" s="88"/>
      <c r="N1734" s="88"/>
      <c r="O1734" s="88"/>
      <c r="P1734" s="88"/>
      <c r="Q1734" s="88"/>
      <c r="R1734" s="78">
        <f>MAX(S1734:W1734)</f>
        <v>1</v>
      </c>
      <c r="S1734" s="88"/>
      <c r="T1734" s="88"/>
      <c r="U1734" s="88">
        <v>1</v>
      </c>
      <c r="V1734" s="88"/>
      <c r="W1734" s="88"/>
    </row>
    <row r="1735" spans="2:23" s="0" customFormat="0" ht="15">
      <c r="B1735" s="87" t="s">
        <v>1</v>
      </c>
      <c r="C1735" s="88" t="s">
        <v>5259</v>
      </c>
      <c r="D1735" s="88" t="s">
        <v>4106</v>
      </c>
      <c r="E1735" s="88" t="s">
        <v>61</v>
      </c>
      <c r="F1735" s="88">
        <v>0</v>
      </c>
      <c r="G1735" s="78">
        <f>MAX(H1735,I1735,J1735)</f>
        <v>0</v>
      </c>
      <c r="H1735" s="88"/>
      <c r="I1735" s="88"/>
      <c r="J1735" s="78">
        <f>MAX(K1735:Q1735)</f>
        <v>0</v>
      </c>
      <c r="K1735" s="88"/>
      <c r="L1735" s="88"/>
      <c r="M1735" s="88"/>
      <c r="N1735" s="88"/>
      <c r="O1735" s="88"/>
      <c r="P1735" s="88"/>
      <c r="Q1735" s="88"/>
      <c r="R1735" s="78">
        <f>MAX(S1735:W1735)</f>
        <v>1</v>
      </c>
      <c r="S1735" s="88"/>
      <c r="T1735" s="88"/>
      <c r="U1735" s="88">
        <v>1</v>
      </c>
      <c r="V1735" s="88"/>
      <c r="W1735" s="88"/>
    </row>
    <row r="1736" spans="2:23" s="0" customFormat="0" ht="15">
      <c r="B1736" s="87" t="s">
        <v>1</v>
      </c>
      <c r="C1736" s="88" t="s">
        <v>5259</v>
      </c>
      <c r="D1736" s="88">
        <v>23170669</v>
      </c>
      <c r="E1736" s="88" t="s">
        <v>61</v>
      </c>
      <c r="F1736" s="88">
        <v>0</v>
      </c>
      <c r="G1736" s="78">
        <f>MAX(H1736,I1736,J1736)</f>
        <v>1</v>
      </c>
      <c r="H1736" s="88"/>
      <c r="I1736" s="88"/>
      <c r="J1736" s="78">
        <f>MAX(K1736:Q1736)</f>
        <v>1</v>
      </c>
      <c r="K1736" s="88">
        <v>1</v>
      </c>
      <c r="L1736" s="88"/>
      <c r="M1736" s="88"/>
      <c r="N1736" s="88"/>
      <c r="O1736" s="88"/>
      <c r="P1736" s="88"/>
      <c r="Q1736" s="88"/>
      <c r="R1736" s="78">
        <f>MAX(S1736:W1736)</f>
        <v>0</v>
      </c>
      <c r="S1736" s="88"/>
      <c r="T1736" s="88"/>
      <c r="U1736" s="88"/>
      <c r="V1736" s="88"/>
      <c r="W1736" s="88"/>
    </row>
    <row r="1737" spans="2:23" s="0" customFormat="0" ht="15">
      <c r="B1737" s="87" t="s">
        <v>1</v>
      </c>
      <c r="C1737" s="88" t="s">
        <v>5259</v>
      </c>
      <c r="D1737" s="88">
        <v>23421001</v>
      </c>
      <c r="E1737" s="88" t="s">
        <v>61</v>
      </c>
      <c r="F1737" s="88">
        <v>0</v>
      </c>
      <c r="G1737" s="78">
        <f>MAX(H1737,I1737,J1737)</f>
        <v>1</v>
      </c>
      <c r="H1737" s="88"/>
      <c r="I1737" s="88"/>
      <c r="J1737" s="78">
        <f>MAX(K1737:Q1737)</f>
        <v>1</v>
      </c>
      <c r="K1737" s="88">
        <v>1</v>
      </c>
      <c r="L1737" s="88"/>
      <c r="M1737" s="88"/>
      <c r="N1737" s="88"/>
      <c r="O1737" s="88"/>
      <c r="P1737" s="88"/>
      <c r="Q1737" s="88"/>
      <c r="R1737" s="78">
        <f>MAX(S1737:W1737)</f>
        <v>0</v>
      </c>
      <c r="S1737" s="88"/>
      <c r="T1737" s="88"/>
      <c r="U1737" s="88"/>
      <c r="V1737" s="88"/>
      <c r="W1737" s="88"/>
    </row>
    <row r="1738" spans="2:23" s="0" customFormat="0" ht="15">
      <c r="B1738" s="87" t="s">
        <v>1</v>
      </c>
      <c r="C1738" s="88" t="s">
        <v>5259</v>
      </c>
      <c r="D1738" s="88">
        <v>7823360</v>
      </c>
      <c r="E1738" s="88" t="s">
        <v>61</v>
      </c>
      <c r="F1738" s="88">
        <v>0</v>
      </c>
      <c r="G1738" s="78">
        <f>MAX(H1738,I1738,J1738)</f>
        <v>1</v>
      </c>
      <c r="H1738" s="88"/>
      <c r="I1738" s="88"/>
      <c r="J1738" s="78">
        <f>MAX(K1738:Q1738)</f>
        <v>1</v>
      </c>
      <c r="K1738" s="88">
        <v>1</v>
      </c>
      <c r="L1738" s="88"/>
      <c r="M1738" s="88"/>
      <c r="N1738" s="88"/>
      <c r="O1738" s="88"/>
      <c r="P1738" s="88"/>
      <c r="Q1738" s="88"/>
      <c r="R1738" s="78">
        <f>MAX(S1738:W1738)</f>
        <v>0</v>
      </c>
      <c r="S1738" s="88"/>
      <c r="T1738" s="88"/>
      <c r="U1738" s="88"/>
      <c r="V1738" s="88"/>
      <c r="W1738" s="88"/>
    </row>
    <row r="1739" spans="2:23" s="0" customFormat="0" ht="15">
      <c r="B1739" s="87" t="s">
        <v>1</v>
      </c>
      <c r="C1739" s="88" t="s">
        <v>5259</v>
      </c>
      <c r="D1739" s="88" t="s">
        <v>1361</v>
      </c>
      <c r="E1739" s="88" t="s">
        <v>61</v>
      </c>
      <c r="F1739" s="88">
        <v>0</v>
      </c>
      <c r="G1739" s="78">
        <f>MAX(H1739,I1739,J1739)</f>
        <v>1</v>
      </c>
      <c r="H1739" s="88"/>
      <c r="I1739" s="88"/>
      <c r="J1739" s="78">
        <f>MAX(K1739:Q1739)</f>
        <v>1</v>
      </c>
      <c r="K1739" s="88">
        <v>1</v>
      </c>
      <c r="L1739" s="88"/>
      <c r="M1739" s="88"/>
      <c r="N1739" s="88"/>
      <c r="O1739" s="88"/>
      <c r="P1739" s="88"/>
      <c r="Q1739" s="88"/>
      <c r="R1739" s="78">
        <f>MAX(S1739:W1739)</f>
        <v>0</v>
      </c>
      <c r="S1739" s="88"/>
      <c r="T1739" s="88"/>
      <c r="U1739" s="88"/>
      <c r="V1739" s="88"/>
      <c r="W1739" s="88"/>
    </row>
    <row r="1740" spans="2:23" s="0" customFormat="0" ht="15">
      <c r="B1740" s="87" t="s">
        <v>1</v>
      </c>
      <c r="C1740" s="88" t="s">
        <v>5259</v>
      </c>
      <c r="D1740" s="88">
        <v>24083947</v>
      </c>
      <c r="E1740" s="88" t="s">
        <v>61</v>
      </c>
      <c r="F1740" s="88">
        <v>0</v>
      </c>
      <c r="G1740" s="78">
        <f>MAX(H1740,I1740,J1740)</f>
        <v>1</v>
      </c>
      <c r="H1740" s="88"/>
      <c r="I1740" s="88"/>
      <c r="J1740" s="78">
        <f>MAX(K1740:Q1740)</f>
        <v>1</v>
      </c>
      <c r="K1740" s="88">
        <v>1</v>
      </c>
      <c r="L1740" s="88"/>
      <c r="M1740" s="88"/>
      <c r="N1740" s="88"/>
      <c r="O1740" s="88"/>
      <c r="P1740" s="88"/>
      <c r="Q1740" s="88"/>
      <c r="R1740" s="78">
        <f>MAX(S1740:W1740)</f>
        <v>0</v>
      </c>
      <c r="S1740" s="88"/>
      <c r="T1740" s="88"/>
      <c r="U1740" s="88"/>
      <c r="V1740" s="88"/>
      <c r="W1740" s="88"/>
    </row>
    <row r="1741" spans="2:23" s="0" customFormat="0" ht="15">
      <c r="B1741" s="87" t="s">
        <v>1</v>
      </c>
      <c r="C1741" s="88" t="s">
        <v>5259</v>
      </c>
      <c r="D1741" s="88">
        <v>15638340</v>
      </c>
      <c r="E1741" s="88" t="s">
        <v>61</v>
      </c>
      <c r="F1741" s="88">
        <v>0</v>
      </c>
      <c r="G1741" s="78">
        <f>MAX(H1741,I1741,J1741)</f>
        <v>1</v>
      </c>
      <c r="H1741" s="88"/>
      <c r="I1741" s="88"/>
      <c r="J1741" s="78">
        <f>MAX(K1741:Q1741)</f>
        <v>1</v>
      </c>
      <c r="K1741" s="88"/>
      <c r="L1741" s="88">
        <v>1</v>
      </c>
      <c r="M1741" s="88"/>
      <c r="N1741" s="88"/>
      <c r="O1741" s="88"/>
      <c r="P1741" s="88"/>
      <c r="Q1741" s="88"/>
      <c r="R1741" s="78">
        <f>MAX(S1741:W1741)</f>
        <v>0</v>
      </c>
      <c r="S1741" s="88"/>
      <c r="T1741" s="88"/>
      <c r="U1741" s="88"/>
      <c r="V1741" s="88"/>
      <c r="W1741" s="88"/>
    </row>
    <row r="1742" spans="2:23" s="0" customFormat="0" ht="15">
      <c r="B1742" s="87" t="s">
        <v>1</v>
      </c>
      <c r="C1742" s="88" t="s">
        <v>5259</v>
      </c>
      <c r="D1742" s="88">
        <v>20942445</v>
      </c>
      <c r="E1742" s="88" t="s">
        <v>61</v>
      </c>
      <c r="F1742" s="88">
        <v>0</v>
      </c>
      <c r="G1742" s="78">
        <f>MAX(H1742,I1742,J1742)</f>
        <v>1</v>
      </c>
      <c r="H1742" s="88"/>
      <c r="I1742" s="88"/>
      <c r="J1742" s="78">
        <f>MAX(K1742:Q1742)</f>
        <v>1</v>
      </c>
      <c r="K1742" s="88">
        <v>1</v>
      </c>
      <c r="L1742" s="88"/>
      <c r="M1742" s="88"/>
      <c r="N1742" s="88"/>
      <c r="O1742" s="88"/>
      <c r="P1742" s="88"/>
      <c r="Q1742" s="88"/>
      <c r="R1742" s="78">
        <f>MAX(S1742:W1742)</f>
        <v>0</v>
      </c>
      <c r="S1742" s="88"/>
      <c r="T1742" s="88"/>
      <c r="U1742" s="88"/>
      <c r="V1742" s="88"/>
      <c r="W1742" s="88"/>
    </row>
    <row r="1743" spans="2:23" s="0" customFormat="0" ht="15">
      <c r="B1743" s="87" t="s">
        <v>1</v>
      </c>
      <c r="C1743" s="88" t="s">
        <v>5259</v>
      </c>
      <c r="D1743" s="88" t="s">
        <v>1365</v>
      </c>
      <c r="E1743" s="88" t="s">
        <v>61</v>
      </c>
      <c r="F1743" s="88">
        <v>0</v>
      </c>
      <c r="G1743" s="78">
        <f>MAX(H1743,I1743,J1743)</f>
        <v>1</v>
      </c>
      <c r="H1743" s="88"/>
      <c r="I1743" s="88"/>
      <c r="J1743" s="78">
        <f>MAX(K1743:Q1743)</f>
        <v>1</v>
      </c>
      <c r="K1743" s="88">
        <v>1</v>
      </c>
      <c r="L1743" s="88"/>
      <c r="M1743" s="88"/>
      <c r="N1743" s="88"/>
      <c r="O1743" s="88"/>
      <c r="P1743" s="88"/>
      <c r="Q1743" s="88"/>
      <c r="R1743" s="78">
        <f>MAX(S1743:W1743)</f>
        <v>0</v>
      </c>
      <c r="S1743" s="88"/>
      <c r="T1743" s="88"/>
      <c r="U1743" s="88"/>
      <c r="V1743" s="88"/>
      <c r="W1743" s="88"/>
    </row>
    <row r="1744" spans="2:23" s="0" customFormat="0" ht="15">
      <c r="B1744" s="87" t="s">
        <v>1</v>
      </c>
      <c r="C1744" s="88" t="s">
        <v>5259</v>
      </c>
      <c r="D1744" s="88" t="s">
        <v>4108</v>
      </c>
      <c r="E1744" s="88" t="s">
        <v>61</v>
      </c>
      <c r="F1744" s="88">
        <v>0</v>
      </c>
      <c r="G1744" s="78">
        <f>MAX(H1744,I1744,J1744)</f>
        <v>0</v>
      </c>
      <c r="H1744" s="88"/>
      <c r="I1744" s="88"/>
      <c r="J1744" s="78">
        <f>MAX(K1744:Q1744)</f>
        <v>0</v>
      </c>
      <c r="K1744" s="88"/>
      <c r="L1744" s="88"/>
      <c r="M1744" s="88"/>
      <c r="N1744" s="88"/>
      <c r="O1744" s="88"/>
      <c r="P1744" s="88"/>
      <c r="Q1744" s="88"/>
      <c r="R1744" s="78">
        <f>MAX(S1744:W1744)</f>
        <v>1</v>
      </c>
      <c r="S1744" s="88"/>
      <c r="T1744" s="88"/>
      <c r="U1744" s="88">
        <v>1</v>
      </c>
      <c r="V1744" s="88"/>
      <c r="W1744" s="88"/>
    </row>
    <row r="1745" spans="2:23" s="0" customFormat="0" ht="15">
      <c r="B1745" s="87" t="s">
        <v>1</v>
      </c>
      <c r="C1745" s="88" t="s">
        <v>5259</v>
      </c>
      <c r="D1745" s="88">
        <v>13123509</v>
      </c>
      <c r="E1745" s="88" t="s">
        <v>61</v>
      </c>
      <c r="F1745" s="88">
        <v>0</v>
      </c>
      <c r="G1745" s="78">
        <f>MAX(H1745,I1745,J1745)</f>
        <v>1</v>
      </c>
      <c r="H1745" s="88"/>
      <c r="I1745" s="88"/>
      <c r="J1745" s="78">
        <f>MAX(K1745:Q1745)</f>
        <v>1</v>
      </c>
      <c r="K1745" s="88">
        <v>1</v>
      </c>
      <c r="L1745" s="88"/>
      <c r="M1745" s="88"/>
      <c r="N1745" s="88"/>
      <c r="O1745" s="88"/>
      <c r="P1745" s="88"/>
      <c r="Q1745" s="88"/>
      <c r="R1745" s="78">
        <f>MAX(S1745:W1745)</f>
        <v>0</v>
      </c>
      <c r="S1745" s="88"/>
      <c r="T1745" s="88"/>
      <c r="U1745" s="88"/>
      <c r="V1745" s="88"/>
      <c r="W1745" s="88"/>
    </row>
    <row r="1746" spans="2:23" s="0" customFormat="0" ht="15">
      <c r="B1746" s="87" t="s">
        <v>1</v>
      </c>
      <c r="C1746" s="88" t="s">
        <v>5259</v>
      </c>
      <c r="D1746" s="88">
        <v>14504625</v>
      </c>
      <c r="E1746" s="88" t="s">
        <v>61</v>
      </c>
      <c r="F1746" s="88">
        <v>0</v>
      </c>
      <c r="G1746" s="78">
        <f>MAX(H1746,I1746,J1746)</f>
        <v>0</v>
      </c>
      <c r="H1746" s="88"/>
      <c r="I1746" s="88"/>
      <c r="J1746" s="78">
        <f>MAX(K1746:Q1746)</f>
        <v>0</v>
      </c>
      <c r="K1746" s="88"/>
      <c r="L1746" s="88"/>
      <c r="M1746" s="88"/>
      <c r="N1746" s="88"/>
      <c r="O1746" s="88"/>
      <c r="P1746" s="88"/>
      <c r="Q1746" s="88"/>
      <c r="R1746" s="78">
        <f>MAX(S1746:W1746)</f>
        <v>1</v>
      </c>
      <c r="S1746" s="88"/>
      <c r="T1746" s="88"/>
      <c r="U1746" s="88">
        <v>1</v>
      </c>
      <c r="V1746" s="88"/>
      <c r="W1746" s="88"/>
    </row>
    <row r="1747" spans="2:23" s="0" customFormat="0" ht="15">
      <c r="B1747" s="87" t="s">
        <v>1</v>
      </c>
      <c r="C1747" s="88" t="s">
        <v>5259</v>
      </c>
      <c r="D1747" s="88">
        <v>21714881</v>
      </c>
      <c r="E1747" s="88" t="s">
        <v>61</v>
      </c>
      <c r="F1747" s="88">
        <v>0</v>
      </c>
      <c r="G1747" s="78">
        <f>MAX(H1747,I1747,J1747)</f>
        <v>1</v>
      </c>
      <c r="H1747" s="88"/>
      <c r="I1747" s="88"/>
      <c r="J1747" s="78">
        <f>MAX(K1747:Q1747)</f>
        <v>1</v>
      </c>
      <c r="K1747" s="88">
        <v>1</v>
      </c>
      <c r="L1747" s="88"/>
      <c r="M1747" s="88"/>
      <c r="N1747" s="88"/>
      <c r="O1747" s="88"/>
      <c r="P1747" s="88"/>
      <c r="Q1747" s="88"/>
      <c r="R1747" s="78">
        <f>MAX(S1747:W1747)</f>
        <v>0</v>
      </c>
      <c r="S1747" s="88"/>
      <c r="T1747" s="88"/>
      <c r="U1747" s="88"/>
      <c r="V1747" s="88"/>
      <c r="W1747" s="88"/>
    </row>
    <row r="1748" spans="2:23" s="0" customFormat="0" ht="15">
      <c r="B1748" s="87" t="s">
        <v>1</v>
      </c>
      <c r="C1748" s="88" t="s">
        <v>5259</v>
      </c>
      <c r="D1748" s="88">
        <v>17095257</v>
      </c>
      <c r="E1748" s="88" t="s">
        <v>61</v>
      </c>
      <c r="F1748" s="88">
        <v>0</v>
      </c>
      <c r="G1748" s="78">
        <f>MAX(H1748,I1748,J1748)</f>
        <v>1</v>
      </c>
      <c r="H1748" s="88"/>
      <c r="I1748" s="88"/>
      <c r="J1748" s="78">
        <f>MAX(K1748:Q1748)</f>
        <v>1</v>
      </c>
      <c r="K1748" s="88">
        <v>1</v>
      </c>
      <c r="L1748" s="88"/>
      <c r="M1748" s="88"/>
      <c r="N1748" s="88"/>
      <c r="O1748" s="88"/>
      <c r="P1748" s="88"/>
      <c r="Q1748" s="88"/>
      <c r="R1748" s="78">
        <f>MAX(S1748:W1748)</f>
        <v>0</v>
      </c>
      <c r="S1748" s="88"/>
      <c r="T1748" s="88"/>
      <c r="U1748" s="88"/>
      <c r="V1748" s="88"/>
      <c r="W1748" s="88"/>
    </row>
    <row r="1749" spans="2:23" s="0" customFormat="0" ht="15">
      <c r="B1749" s="87" t="s">
        <v>1</v>
      </c>
      <c r="C1749" s="88" t="s">
        <v>5259</v>
      </c>
      <c r="D1749" s="88" t="s">
        <v>4111</v>
      </c>
      <c r="E1749" s="88" t="s">
        <v>61</v>
      </c>
      <c r="F1749" s="88">
        <v>0</v>
      </c>
      <c r="G1749" s="78">
        <f>MAX(H1749,I1749,J1749)</f>
        <v>0</v>
      </c>
      <c r="H1749" s="88"/>
      <c r="I1749" s="88"/>
      <c r="J1749" s="78">
        <f>MAX(K1749:Q1749)</f>
        <v>0</v>
      </c>
      <c r="K1749" s="88"/>
      <c r="L1749" s="88"/>
      <c r="M1749" s="88"/>
      <c r="N1749" s="88"/>
      <c r="O1749" s="88"/>
      <c r="P1749" s="88"/>
      <c r="Q1749" s="88"/>
      <c r="R1749" s="78">
        <f>MAX(S1749:W1749)</f>
        <v>1</v>
      </c>
      <c r="S1749" s="88"/>
      <c r="T1749" s="88"/>
      <c r="U1749" s="88">
        <v>1</v>
      </c>
      <c r="V1749" s="88"/>
      <c r="W1749" s="88"/>
    </row>
    <row r="1750" spans="2:23" s="0" customFormat="0" ht="15">
      <c r="B1750" s="87" t="s">
        <v>1</v>
      </c>
      <c r="C1750" s="88" t="s">
        <v>5259</v>
      </c>
      <c r="D1750" s="88" t="s">
        <v>1369</v>
      </c>
      <c r="E1750" s="88" t="s">
        <v>61</v>
      </c>
      <c r="F1750" s="88">
        <v>0</v>
      </c>
      <c r="G1750" s="78">
        <f>MAX(H1750,I1750,J1750)</f>
        <v>1</v>
      </c>
      <c r="H1750" s="88"/>
      <c r="I1750" s="88"/>
      <c r="J1750" s="78">
        <f>MAX(K1750:Q1750)</f>
        <v>1</v>
      </c>
      <c r="K1750" s="88">
        <v>1</v>
      </c>
      <c r="L1750" s="88"/>
      <c r="M1750" s="88"/>
      <c r="N1750" s="88"/>
      <c r="O1750" s="88"/>
      <c r="P1750" s="88"/>
      <c r="Q1750" s="88"/>
      <c r="R1750" s="78">
        <f>MAX(S1750:W1750)</f>
        <v>0</v>
      </c>
      <c r="S1750" s="88"/>
      <c r="T1750" s="88"/>
      <c r="U1750" s="88"/>
      <c r="V1750" s="88"/>
      <c r="W1750" s="88"/>
    </row>
    <row r="1751" spans="2:23" s="0" customFormat="0" ht="15">
      <c r="B1751" s="87" t="s">
        <v>1</v>
      </c>
      <c r="C1751" s="88" t="s">
        <v>5259</v>
      </c>
      <c r="D1751" s="88">
        <v>20229861</v>
      </c>
      <c r="E1751" s="88" t="s">
        <v>61</v>
      </c>
      <c r="F1751" s="88">
        <v>0</v>
      </c>
      <c r="G1751" s="78">
        <f>MAX(H1751,I1751,J1751)</f>
        <v>1</v>
      </c>
      <c r="H1751" s="88"/>
      <c r="I1751" s="88"/>
      <c r="J1751" s="78">
        <f>MAX(K1751:Q1751)</f>
        <v>1</v>
      </c>
      <c r="K1751" s="88">
        <v>1</v>
      </c>
      <c r="L1751" s="88"/>
      <c r="M1751" s="88"/>
      <c r="N1751" s="88"/>
      <c r="O1751" s="88"/>
      <c r="P1751" s="88"/>
      <c r="Q1751" s="88"/>
      <c r="R1751" s="78">
        <f>MAX(S1751:W1751)</f>
        <v>0</v>
      </c>
      <c r="S1751" s="88"/>
      <c r="T1751" s="88"/>
      <c r="U1751" s="88"/>
      <c r="V1751" s="88"/>
      <c r="W1751" s="88"/>
    </row>
    <row r="1752" spans="2:23" s="0" customFormat="0" ht="15">
      <c r="B1752" s="87" t="s">
        <v>1</v>
      </c>
      <c r="C1752" s="88" t="s">
        <v>5259</v>
      </c>
      <c r="D1752" s="88" t="s">
        <v>4113</v>
      </c>
      <c r="E1752" s="88" t="s">
        <v>61</v>
      </c>
      <c r="F1752" s="88">
        <v>0</v>
      </c>
      <c r="G1752" s="78">
        <f>MAX(H1752,I1752,J1752)</f>
        <v>0</v>
      </c>
      <c r="H1752" s="88"/>
      <c r="I1752" s="88"/>
      <c r="J1752" s="78">
        <f>MAX(K1752:Q1752)</f>
        <v>0</v>
      </c>
      <c r="K1752" s="88"/>
      <c r="L1752" s="88"/>
      <c r="M1752" s="88"/>
      <c r="N1752" s="88"/>
      <c r="O1752" s="88"/>
      <c r="P1752" s="88"/>
      <c r="Q1752" s="88"/>
      <c r="R1752" s="78">
        <f>MAX(S1752:W1752)</f>
        <v>1</v>
      </c>
      <c r="S1752" s="88"/>
      <c r="T1752" s="88"/>
      <c r="U1752" s="88">
        <v>1</v>
      </c>
      <c r="V1752" s="88"/>
      <c r="W1752" s="88"/>
    </row>
    <row r="1753" spans="2:23" s="0" customFormat="0" ht="15">
      <c r="B1753" s="87" t="s">
        <v>1</v>
      </c>
      <c r="C1753" s="88" t="s">
        <v>5259</v>
      </c>
      <c r="D1753" s="88">
        <v>6338134</v>
      </c>
      <c r="E1753" s="88" t="s">
        <v>61</v>
      </c>
      <c r="F1753" s="88">
        <v>0</v>
      </c>
      <c r="G1753" s="78">
        <f>MAX(H1753,I1753,J1753)</f>
        <v>1</v>
      </c>
      <c r="H1753" s="88"/>
      <c r="I1753" s="88"/>
      <c r="J1753" s="78">
        <f>MAX(K1753:Q1753)</f>
        <v>1</v>
      </c>
      <c r="K1753" s="88">
        <v>1</v>
      </c>
      <c r="L1753" s="88"/>
      <c r="M1753" s="88"/>
      <c r="N1753" s="88"/>
      <c r="O1753" s="88"/>
      <c r="P1753" s="88"/>
      <c r="Q1753" s="88"/>
      <c r="R1753" s="78">
        <f>MAX(S1753:W1753)</f>
        <v>0</v>
      </c>
      <c r="S1753" s="88"/>
      <c r="T1753" s="88"/>
      <c r="U1753" s="88"/>
      <c r="V1753" s="88"/>
      <c r="W1753" s="88"/>
    </row>
    <row r="1754" spans="2:23" s="0" customFormat="0" ht="15">
      <c r="B1754" s="87" t="s">
        <v>1</v>
      </c>
      <c r="C1754" s="88" t="s">
        <v>5259</v>
      </c>
      <c r="D1754" s="88" t="s">
        <v>1137</v>
      </c>
      <c r="E1754" s="88" t="s">
        <v>61</v>
      </c>
      <c r="F1754" s="88">
        <v>0</v>
      </c>
      <c r="G1754" s="78">
        <f>MAX(H1754,I1754,J1754)</f>
        <v>1</v>
      </c>
      <c r="H1754" s="88"/>
      <c r="I1754" s="88"/>
      <c r="J1754" s="78">
        <f>MAX(K1754:Q1754)</f>
        <v>1</v>
      </c>
      <c r="K1754" s="88">
        <v>1</v>
      </c>
      <c r="L1754" s="88"/>
      <c r="M1754" s="88"/>
      <c r="N1754" s="88"/>
      <c r="O1754" s="88"/>
      <c r="P1754" s="88"/>
      <c r="Q1754" s="88"/>
      <c r="R1754" s="78">
        <f>MAX(S1754:W1754)</f>
        <v>0</v>
      </c>
      <c r="S1754" s="88"/>
      <c r="T1754" s="88"/>
      <c r="U1754" s="88"/>
      <c r="V1754" s="88"/>
      <c r="W1754" s="88"/>
    </row>
    <row r="1755" spans="2:23" s="0" customFormat="0" ht="15">
      <c r="B1755" s="87" t="s">
        <v>1</v>
      </c>
      <c r="C1755" s="88" t="s">
        <v>5259</v>
      </c>
      <c r="D1755" s="88">
        <v>22827428</v>
      </c>
      <c r="E1755" s="88" t="s">
        <v>61</v>
      </c>
      <c r="F1755" s="88">
        <v>0</v>
      </c>
      <c r="G1755" s="78">
        <f>MAX(H1755,I1755,J1755)</f>
        <v>1</v>
      </c>
      <c r="H1755" s="88"/>
      <c r="I1755" s="88"/>
      <c r="J1755" s="78">
        <f>MAX(K1755:Q1755)</f>
        <v>1</v>
      </c>
      <c r="K1755" s="88">
        <v>1</v>
      </c>
      <c r="L1755" s="88"/>
      <c r="M1755" s="88"/>
      <c r="N1755" s="88"/>
      <c r="O1755" s="88"/>
      <c r="P1755" s="88"/>
      <c r="Q1755" s="88"/>
      <c r="R1755" s="78">
        <f>MAX(S1755:W1755)</f>
        <v>0</v>
      </c>
      <c r="S1755" s="88"/>
      <c r="T1755" s="88"/>
      <c r="U1755" s="88"/>
      <c r="V1755" s="88"/>
      <c r="W1755" s="88"/>
    </row>
    <row r="1756" spans="2:23" s="0" customFormat="0" ht="15">
      <c r="B1756" s="87" t="s">
        <v>1</v>
      </c>
      <c r="C1756" s="88" t="s">
        <v>5259</v>
      </c>
      <c r="D1756" s="88" t="s">
        <v>1374</v>
      </c>
      <c r="E1756" s="88" t="s">
        <v>61</v>
      </c>
      <c r="F1756" s="88">
        <v>0</v>
      </c>
      <c r="G1756" s="78">
        <f>MAX(H1756,I1756,J1756)</f>
        <v>1</v>
      </c>
      <c r="H1756" s="88"/>
      <c r="I1756" s="88"/>
      <c r="J1756" s="78">
        <f>MAX(K1756:Q1756)</f>
        <v>1</v>
      </c>
      <c r="K1756" s="88">
        <v>1</v>
      </c>
      <c r="L1756" s="88"/>
      <c r="M1756" s="88"/>
      <c r="N1756" s="88"/>
      <c r="O1756" s="88"/>
      <c r="P1756" s="88"/>
      <c r="Q1756" s="88"/>
      <c r="R1756" s="78">
        <f>MAX(S1756:W1756)</f>
        <v>0</v>
      </c>
      <c r="S1756" s="88"/>
      <c r="T1756" s="88"/>
      <c r="U1756" s="88"/>
      <c r="V1756" s="88"/>
      <c r="W1756" s="88"/>
    </row>
    <row r="1757" spans="2:23" s="0" customFormat="0" ht="15">
      <c r="B1757" s="87" t="s">
        <v>1</v>
      </c>
      <c r="C1757" s="88" t="s">
        <v>5259</v>
      </c>
      <c r="D1757" s="88">
        <v>17355614</v>
      </c>
      <c r="E1757" s="88" t="s">
        <v>61</v>
      </c>
      <c r="F1757" s="88">
        <v>0</v>
      </c>
      <c r="G1757" s="78">
        <f>MAX(H1757,I1757,J1757)</f>
        <v>1</v>
      </c>
      <c r="H1757" s="88"/>
      <c r="I1757" s="88"/>
      <c r="J1757" s="78">
        <f>MAX(K1757:Q1757)</f>
        <v>1</v>
      </c>
      <c r="K1757" s="88">
        <v>1</v>
      </c>
      <c r="L1757" s="88"/>
      <c r="M1757" s="88"/>
      <c r="N1757" s="88"/>
      <c r="O1757" s="88"/>
      <c r="P1757" s="88"/>
      <c r="Q1757" s="88"/>
      <c r="R1757" s="78">
        <f>MAX(S1757:W1757)</f>
        <v>0</v>
      </c>
      <c r="S1757" s="88"/>
      <c r="T1757" s="88"/>
      <c r="U1757" s="88"/>
      <c r="V1757" s="88"/>
      <c r="W1757" s="88"/>
    </row>
    <row r="1758" spans="2:23" s="0" customFormat="0" ht="15">
      <c r="B1758" s="87" t="s">
        <v>1</v>
      </c>
      <c r="C1758" s="88" t="s">
        <v>5259</v>
      </c>
      <c r="D1758" s="88" t="s">
        <v>1377</v>
      </c>
      <c r="E1758" s="88" t="s">
        <v>61</v>
      </c>
      <c r="F1758" s="88">
        <v>0</v>
      </c>
      <c r="G1758" s="78">
        <f>MAX(H1758,I1758,J1758)</f>
        <v>1</v>
      </c>
      <c r="H1758" s="88"/>
      <c r="I1758" s="88"/>
      <c r="J1758" s="78">
        <f>MAX(K1758:Q1758)</f>
        <v>1</v>
      </c>
      <c r="K1758" s="88">
        <v>1</v>
      </c>
      <c r="L1758" s="88"/>
      <c r="M1758" s="88"/>
      <c r="N1758" s="88"/>
      <c r="O1758" s="88"/>
      <c r="P1758" s="88"/>
      <c r="Q1758" s="88"/>
      <c r="R1758" s="78">
        <f>MAX(S1758:W1758)</f>
        <v>0</v>
      </c>
      <c r="S1758" s="88"/>
      <c r="T1758" s="88"/>
      <c r="U1758" s="88"/>
      <c r="V1758" s="88"/>
      <c r="W1758" s="88"/>
    </row>
    <row r="1759" spans="2:23" s="0" customFormat="0" ht="15">
      <c r="B1759" s="87" t="s">
        <v>1</v>
      </c>
      <c r="C1759" s="88" t="s">
        <v>5259</v>
      </c>
      <c r="D1759" s="88" t="s">
        <v>3784</v>
      </c>
      <c r="E1759" s="88" t="s">
        <v>61</v>
      </c>
      <c r="F1759" s="88">
        <v>0</v>
      </c>
      <c r="G1759" s="78">
        <f>MAX(H1759,I1759,J1759)</f>
        <v>0</v>
      </c>
      <c r="H1759" s="88"/>
      <c r="I1759" s="88"/>
      <c r="J1759" s="78">
        <f>MAX(K1759:Q1759)</f>
        <v>0</v>
      </c>
      <c r="K1759" s="88"/>
      <c r="L1759" s="88"/>
      <c r="M1759" s="88"/>
      <c r="N1759" s="88"/>
      <c r="O1759" s="88"/>
      <c r="P1759" s="88"/>
      <c r="Q1759" s="88"/>
      <c r="R1759" s="78">
        <f>MAX(S1759:W1759)</f>
        <v>1</v>
      </c>
      <c r="S1759" s="88"/>
      <c r="T1759" s="88"/>
      <c r="U1759" s="88">
        <v>1</v>
      </c>
      <c r="V1759" s="88"/>
      <c r="W1759" s="88"/>
    </row>
    <row r="1760" spans="2:23" s="0" customFormat="0" ht="15">
      <c r="B1760" s="87" t="s">
        <v>1</v>
      </c>
      <c r="C1760" s="88" t="s">
        <v>5259</v>
      </c>
      <c r="D1760" s="88">
        <v>9159514</v>
      </c>
      <c r="E1760" s="88" t="s">
        <v>61</v>
      </c>
      <c r="F1760" s="88">
        <v>0</v>
      </c>
      <c r="G1760" s="78">
        <f>MAX(H1760,I1760,J1760)</f>
        <v>1</v>
      </c>
      <c r="H1760" s="88"/>
      <c r="I1760" s="88"/>
      <c r="J1760" s="78">
        <f>MAX(K1760:Q1760)</f>
        <v>1</v>
      </c>
      <c r="K1760" s="88">
        <v>1</v>
      </c>
      <c r="L1760" s="88"/>
      <c r="M1760" s="88"/>
      <c r="N1760" s="88"/>
      <c r="O1760" s="88"/>
      <c r="P1760" s="88"/>
      <c r="Q1760" s="88"/>
      <c r="R1760" s="78">
        <f>MAX(S1760:W1760)</f>
        <v>0</v>
      </c>
      <c r="S1760" s="88"/>
      <c r="T1760" s="88"/>
      <c r="U1760" s="88"/>
      <c r="V1760" s="88"/>
      <c r="W1760" s="88"/>
    </row>
    <row r="1761" spans="2:23" s="0" customFormat="0" ht="15">
      <c r="B1761" s="87" t="s">
        <v>1</v>
      </c>
      <c r="C1761" s="88" t="s">
        <v>5259</v>
      </c>
      <c r="D1761" s="88" t="s">
        <v>4115</v>
      </c>
      <c r="E1761" s="88" t="s">
        <v>61</v>
      </c>
      <c r="F1761" s="88">
        <v>0</v>
      </c>
      <c r="G1761" s="78">
        <f>MAX(H1761,I1761,J1761)</f>
        <v>0</v>
      </c>
      <c r="H1761" s="88"/>
      <c r="I1761" s="88"/>
      <c r="J1761" s="78">
        <f>MAX(K1761:Q1761)</f>
        <v>0</v>
      </c>
      <c r="K1761" s="88"/>
      <c r="L1761" s="88"/>
      <c r="M1761" s="88"/>
      <c r="N1761" s="88"/>
      <c r="O1761" s="88"/>
      <c r="P1761" s="88"/>
      <c r="Q1761" s="88"/>
      <c r="R1761" s="78">
        <f>MAX(S1761:W1761)</f>
        <v>1</v>
      </c>
      <c r="S1761" s="88"/>
      <c r="T1761" s="88"/>
      <c r="U1761" s="88">
        <v>1</v>
      </c>
      <c r="V1761" s="88"/>
      <c r="W1761" s="88"/>
    </row>
    <row r="1762" spans="2:23" s="0" customFormat="0" ht="15">
      <c r="B1762" s="87" t="s">
        <v>1</v>
      </c>
      <c r="C1762" s="88" t="s">
        <v>5259</v>
      </c>
      <c r="D1762" s="88">
        <v>15647467</v>
      </c>
      <c r="E1762" s="88" t="s">
        <v>61</v>
      </c>
      <c r="F1762" s="88">
        <v>0</v>
      </c>
      <c r="G1762" s="78">
        <f>MAX(H1762,I1762,J1762)</f>
        <v>1</v>
      </c>
      <c r="H1762" s="88"/>
      <c r="I1762" s="88"/>
      <c r="J1762" s="78">
        <f>MAX(K1762:Q1762)</f>
        <v>1</v>
      </c>
      <c r="K1762" s="88">
        <v>1</v>
      </c>
      <c r="L1762" s="88"/>
      <c r="M1762" s="88"/>
      <c r="N1762" s="88"/>
      <c r="O1762" s="88"/>
      <c r="P1762" s="88"/>
      <c r="Q1762" s="88"/>
      <c r="R1762" s="78">
        <f>MAX(S1762:W1762)</f>
        <v>0</v>
      </c>
      <c r="S1762" s="88"/>
      <c r="T1762" s="88"/>
      <c r="U1762" s="88"/>
      <c r="V1762" s="88"/>
      <c r="W1762" s="88"/>
    </row>
    <row r="1763" spans="2:23" s="0" customFormat="0" ht="15">
      <c r="B1763" s="87" t="s">
        <v>1</v>
      </c>
      <c r="C1763" s="88" t="s">
        <v>5259</v>
      </c>
      <c r="D1763" s="88" t="s">
        <v>1381</v>
      </c>
      <c r="E1763" s="88" t="s">
        <v>61</v>
      </c>
      <c r="F1763" s="88">
        <v>0</v>
      </c>
      <c r="G1763" s="78">
        <f>MAX(H1763,I1763,J1763)</f>
        <v>1</v>
      </c>
      <c r="H1763" s="88"/>
      <c r="I1763" s="88"/>
      <c r="J1763" s="78">
        <f>MAX(K1763:Q1763)</f>
        <v>1</v>
      </c>
      <c r="K1763" s="88">
        <v>1</v>
      </c>
      <c r="L1763" s="88"/>
      <c r="M1763" s="88"/>
      <c r="N1763" s="88"/>
      <c r="O1763" s="88"/>
      <c r="P1763" s="88"/>
      <c r="Q1763" s="88"/>
      <c r="R1763" s="78">
        <f>MAX(S1763:W1763)</f>
        <v>0</v>
      </c>
      <c r="S1763" s="88"/>
      <c r="T1763" s="88"/>
      <c r="U1763" s="88"/>
      <c r="V1763" s="88"/>
      <c r="W1763" s="88"/>
    </row>
    <row r="1764" spans="2:23" s="0" customFormat="0" ht="15">
      <c r="B1764" s="87" t="s">
        <v>1</v>
      </c>
      <c r="C1764" s="88" t="s">
        <v>5259</v>
      </c>
      <c r="D1764" s="88">
        <v>3196426</v>
      </c>
      <c r="E1764" s="88" t="s">
        <v>61</v>
      </c>
      <c r="F1764" s="88">
        <v>0</v>
      </c>
      <c r="G1764" s="78">
        <f>MAX(H1764,I1764,J1764)</f>
        <v>1</v>
      </c>
      <c r="H1764" s="88"/>
      <c r="I1764" s="88"/>
      <c r="J1764" s="78">
        <f>MAX(K1764:Q1764)</f>
        <v>1</v>
      </c>
      <c r="K1764" s="88">
        <v>1</v>
      </c>
      <c r="L1764" s="88"/>
      <c r="M1764" s="88"/>
      <c r="N1764" s="88"/>
      <c r="O1764" s="88"/>
      <c r="P1764" s="88"/>
      <c r="Q1764" s="88"/>
      <c r="R1764" s="78">
        <f>MAX(S1764:W1764)</f>
        <v>0</v>
      </c>
      <c r="S1764" s="88"/>
      <c r="T1764" s="88"/>
      <c r="U1764" s="88"/>
      <c r="V1764" s="88"/>
      <c r="W1764" s="88"/>
    </row>
    <row r="1765" spans="2:23" s="0" customFormat="0" ht="15">
      <c r="B1765" s="87" t="s">
        <v>1</v>
      </c>
      <c r="C1765" s="88" t="s">
        <v>5259</v>
      </c>
      <c r="D1765" s="88" t="s">
        <v>4117</v>
      </c>
      <c r="E1765" s="88" t="s">
        <v>61</v>
      </c>
      <c r="F1765" s="88">
        <v>0</v>
      </c>
      <c r="G1765" s="78">
        <f>MAX(H1765,I1765,J1765)</f>
        <v>0</v>
      </c>
      <c r="H1765" s="88"/>
      <c r="I1765" s="88"/>
      <c r="J1765" s="78">
        <f>MAX(K1765:Q1765)</f>
        <v>0</v>
      </c>
      <c r="K1765" s="88"/>
      <c r="L1765" s="88"/>
      <c r="M1765" s="88"/>
      <c r="N1765" s="88"/>
      <c r="O1765" s="88"/>
      <c r="P1765" s="88"/>
      <c r="Q1765" s="88"/>
      <c r="R1765" s="78">
        <f>MAX(S1765:W1765)</f>
        <v>1</v>
      </c>
      <c r="S1765" s="88"/>
      <c r="T1765" s="88"/>
      <c r="U1765" s="88">
        <v>1</v>
      </c>
      <c r="V1765" s="88"/>
      <c r="W1765" s="88"/>
    </row>
    <row r="1766" spans="2:23" s="0" customFormat="0" ht="15">
      <c r="B1766" s="87" t="s">
        <v>1</v>
      </c>
      <c r="C1766" s="88" t="s">
        <v>5259</v>
      </c>
      <c r="D1766" s="88">
        <v>22554149</v>
      </c>
      <c r="E1766" s="88" t="s">
        <v>61</v>
      </c>
      <c r="F1766" s="88">
        <v>0</v>
      </c>
      <c r="G1766" s="78">
        <f>MAX(H1766,I1766,J1766)</f>
        <v>0</v>
      </c>
      <c r="H1766" s="88"/>
      <c r="I1766" s="88"/>
      <c r="J1766" s="78">
        <f>MAX(K1766:Q1766)</f>
        <v>0</v>
      </c>
      <c r="K1766" s="88"/>
      <c r="L1766" s="88"/>
      <c r="M1766" s="88"/>
      <c r="N1766" s="88"/>
      <c r="O1766" s="88"/>
      <c r="P1766" s="88"/>
      <c r="Q1766" s="88"/>
      <c r="R1766" s="78">
        <f>MAX(S1766:W1766)</f>
        <v>1</v>
      </c>
      <c r="S1766" s="88"/>
      <c r="T1766" s="88"/>
      <c r="U1766" s="88"/>
      <c r="V1766" s="88">
        <v>1</v>
      </c>
      <c r="W1766" s="88"/>
    </row>
    <row r="1767" spans="2:23" s="0" customFormat="0" ht="15">
      <c r="B1767" s="87" t="s">
        <v>1</v>
      </c>
      <c r="C1767" s="88" t="s">
        <v>5259</v>
      </c>
      <c r="D1767" s="88">
        <v>22554242</v>
      </c>
      <c r="E1767" s="88" t="s">
        <v>61</v>
      </c>
      <c r="F1767" s="88">
        <v>0</v>
      </c>
      <c r="G1767" s="78">
        <f>MAX(H1767,I1767,J1767)</f>
        <v>0</v>
      </c>
      <c r="H1767" s="88"/>
      <c r="I1767" s="88"/>
      <c r="J1767" s="78">
        <f>MAX(K1767:Q1767)</f>
        <v>0</v>
      </c>
      <c r="K1767" s="88"/>
      <c r="L1767" s="88"/>
      <c r="M1767" s="88"/>
      <c r="N1767" s="88"/>
      <c r="O1767" s="88"/>
      <c r="P1767" s="88"/>
      <c r="Q1767" s="88"/>
      <c r="R1767" s="78">
        <f>MAX(S1767:W1767)</f>
        <v>1</v>
      </c>
      <c r="S1767" s="88"/>
      <c r="T1767" s="88"/>
      <c r="U1767" s="88">
        <v>1</v>
      </c>
      <c r="V1767" s="88"/>
      <c r="W1767" s="88"/>
    </row>
    <row r="1768" spans="2:23" s="0" customFormat="0" ht="15">
      <c r="B1768" s="87" t="s">
        <v>1</v>
      </c>
      <c r="C1768" s="88" t="s">
        <v>5259</v>
      </c>
      <c r="D1768" s="88">
        <v>5168869</v>
      </c>
      <c r="E1768" s="88" t="s">
        <v>61</v>
      </c>
      <c r="F1768" s="88">
        <v>0</v>
      </c>
      <c r="G1768" s="78">
        <f>MAX(H1768,I1768,J1768)</f>
        <v>1</v>
      </c>
      <c r="H1768" s="88"/>
      <c r="I1768" s="88"/>
      <c r="J1768" s="78">
        <f>MAX(K1768:Q1768)</f>
        <v>1</v>
      </c>
      <c r="K1768" s="88">
        <v>1</v>
      </c>
      <c r="L1768" s="88"/>
      <c r="M1768" s="88"/>
      <c r="N1768" s="88"/>
      <c r="O1768" s="88"/>
      <c r="P1768" s="88"/>
      <c r="Q1768" s="88"/>
      <c r="R1768" s="78">
        <f>MAX(S1768:W1768)</f>
        <v>0</v>
      </c>
      <c r="S1768" s="88"/>
      <c r="T1768" s="88"/>
      <c r="U1768" s="88"/>
      <c r="V1768" s="88"/>
      <c r="W1768" s="88"/>
    </row>
    <row r="1769" spans="2:23" s="0" customFormat="0" ht="15">
      <c r="B1769" s="87" t="s">
        <v>1</v>
      </c>
      <c r="C1769" s="88" t="s">
        <v>5259</v>
      </c>
      <c r="D1769" s="88" t="s">
        <v>4120</v>
      </c>
      <c r="E1769" s="88" t="s">
        <v>61</v>
      </c>
      <c r="F1769" s="88">
        <v>0</v>
      </c>
      <c r="G1769" s="78">
        <f>MAX(H1769,I1769,J1769)</f>
        <v>0</v>
      </c>
      <c r="H1769" s="88"/>
      <c r="I1769" s="88"/>
      <c r="J1769" s="78">
        <f>MAX(K1769:Q1769)</f>
        <v>0</v>
      </c>
      <c r="K1769" s="88"/>
      <c r="L1769" s="88"/>
      <c r="M1769" s="88"/>
      <c r="N1769" s="88"/>
      <c r="O1769" s="88"/>
      <c r="P1769" s="88"/>
      <c r="Q1769" s="88"/>
      <c r="R1769" s="78">
        <f>MAX(S1769:W1769)</f>
        <v>1</v>
      </c>
      <c r="S1769" s="88"/>
      <c r="T1769" s="88"/>
      <c r="U1769" s="88">
        <v>1</v>
      </c>
      <c r="V1769" s="88"/>
      <c r="W1769" s="88"/>
    </row>
    <row r="1770" spans="2:23" s="0" customFormat="0" ht="15">
      <c r="B1770" s="87" t="s">
        <v>1</v>
      </c>
      <c r="C1770" s="88" t="s">
        <v>5259</v>
      </c>
      <c r="D1770" s="88">
        <v>19474497</v>
      </c>
      <c r="E1770" s="88" t="s">
        <v>61</v>
      </c>
      <c r="F1770" s="88">
        <v>0</v>
      </c>
      <c r="G1770" s="78">
        <f>MAX(H1770,I1770,J1770)</f>
        <v>1</v>
      </c>
      <c r="H1770" s="88"/>
      <c r="I1770" s="88"/>
      <c r="J1770" s="78">
        <f>MAX(K1770:Q1770)</f>
        <v>1</v>
      </c>
      <c r="K1770" s="88">
        <v>1</v>
      </c>
      <c r="L1770" s="88"/>
      <c r="M1770" s="88"/>
      <c r="N1770" s="88"/>
      <c r="O1770" s="88"/>
      <c r="P1770" s="88"/>
      <c r="Q1770" s="88"/>
      <c r="R1770" s="78">
        <f>MAX(S1770:W1770)</f>
        <v>0</v>
      </c>
      <c r="S1770" s="88"/>
      <c r="T1770" s="88"/>
      <c r="U1770" s="88"/>
      <c r="V1770" s="88"/>
      <c r="W1770" s="88"/>
    </row>
    <row r="1771" spans="2:23" s="0" customFormat="0" ht="15">
      <c r="B1771" s="87" t="s">
        <v>1</v>
      </c>
      <c r="C1771" s="88" t="s">
        <v>5259</v>
      </c>
      <c r="D1771" s="88">
        <v>24426174</v>
      </c>
      <c r="E1771" s="88" t="s">
        <v>61</v>
      </c>
      <c r="F1771" s="88">
        <v>0</v>
      </c>
      <c r="G1771" s="78">
        <f>MAX(H1771,I1771,J1771)</f>
        <v>1</v>
      </c>
      <c r="H1771" s="88"/>
      <c r="I1771" s="88"/>
      <c r="J1771" s="78">
        <f>MAX(K1771:Q1771)</f>
        <v>1</v>
      </c>
      <c r="K1771" s="88">
        <v>1</v>
      </c>
      <c r="L1771" s="88"/>
      <c r="M1771" s="88"/>
      <c r="N1771" s="88"/>
      <c r="O1771" s="88"/>
      <c r="P1771" s="88"/>
      <c r="Q1771" s="88"/>
      <c r="R1771" s="78">
        <f>MAX(S1771:W1771)</f>
        <v>0</v>
      </c>
      <c r="S1771" s="88"/>
      <c r="T1771" s="88"/>
      <c r="U1771" s="88"/>
      <c r="V1771" s="88"/>
      <c r="W1771" s="88"/>
    </row>
    <row r="1772" spans="2:23" s="0" customFormat="0" ht="15">
      <c r="B1772" s="87" t="s">
        <v>1</v>
      </c>
      <c r="C1772" s="88" t="s">
        <v>5259</v>
      </c>
      <c r="D1772" s="88">
        <v>15861122</v>
      </c>
      <c r="E1772" s="88" t="s">
        <v>61</v>
      </c>
      <c r="F1772" s="88">
        <v>0</v>
      </c>
      <c r="G1772" s="78">
        <f>MAX(H1772,I1772,J1772)</f>
        <v>1</v>
      </c>
      <c r="H1772" s="88"/>
      <c r="I1772" s="88"/>
      <c r="J1772" s="78">
        <f>MAX(K1772:Q1772)</f>
        <v>1</v>
      </c>
      <c r="K1772" s="88">
        <v>1</v>
      </c>
      <c r="L1772" s="88"/>
      <c r="M1772" s="88"/>
      <c r="N1772" s="88"/>
      <c r="O1772" s="88"/>
      <c r="P1772" s="88"/>
      <c r="Q1772" s="88"/>
      <c r="R1772" s="78">
        <f>MAX(S1772:W1772)</f>
        <v>0</v>
      </c>
      <c r="S1772" s="88"/>
      <c r="T1772" s="88"/>
      <c r="U1772" s="88"/>
      <c r="V1772" s="88"/>
      <c r="W1772" s="88"/>
    </row>
    <row r="1773" spans="2:23" s="0" customFormat="0" ht="15">
      <c r="B1773" s="87" t="s">
        <v>1</v>
      </c>
      <c r="C1773" s="88" t="s">
        <v>5259</v>
      </c>
      <c r="D1773" s="88" t="s">
        <v>4122</v>
      </c>
      <c r="E1773" s="88" t="s">
        <v>61</v>
      </c>
      <c r="F1773" s="88">
        <v>0</v>
      </c>
      <c r="G1773" s="78">
        <f>MAX(H1773,I1773,J1773)</f>
        <v>0</v>
      </c>
      <c r="H1773" s="88"/>
      <c r="I1773" s="88"/>
      <c r="J1773" s="78">
        <f>MAX(K1773:Q1773)</f>
        <v>0</v>
      </c>
      <c r="K1773" s="88"/>
      <c r="L1773" s="88"/>
      <c r="M1773" s="88"/>
      <c r="N1773" s="88"/>
      <c r="O1773" s="88"/>
      <c r="P1773" s="88"/>
      <c r="Q1773" s="88"/>
      <c r="R1773" s="78">
        <f>MAX(S1773:W1773)</f>
        <v>1</v>
      </c>
      <c r="S1773" s="88"/>
      <c r="T1773" s="88"/>
      <c r="U1773" s="88">
        <v>1</v>
      </c>
      <c r="V1773" s="88"/>
      <c r="W1773" s="88"/>
    </row>
    <row r="1774" spans="2:23" s="0" customFormat="0" ht="15">
      <c r="B1774" s="87" t="s">
        <v>1</v>
      </c>
      <c r="C1774" s="88" t="s">
        <v>5259</v>
      </c>
      <c r="D1774" s="88">
        <v>22554243</v>
      </c>
      <c r="E1774" s="88" t="s">
        <v>61</v>
      </c>
      <c r="F1774" s="88">
        <v>0</v>
      </c>
      <c r="G1774" s="78">
        <f>MAX(H1774,I1774,J1774)</f>
        <v>0</v>
      </c>
      <c r="H1774" s="88"/>
      <c r="I1774" s="88"/>
      <c r="J1774" s="78">
        <f>MAX(K1774:Q1774)</f>
        <v>0</v>
      </c>
      <c r="K1774" s="88"/>
      <c r="L1774" s="88"/>
      <c r="M1774" s="88"/>
      <c r="N1774" s="88"/>
      <c r="O1774" s="88"/>
      <c r="P1774" s="88"/>
      <c r="Q1774" s="88"/>
      <c r="R1774" s="78">
        <f>MAX(S1774:W1774)</f>
        <v>1</v>
      </c>
      <c r="S1774" s="88"/>
      <c r="T1774" s="88"/>
      <c r="U1774" s="88"/>
      <c r="V1774" s="88">
        <v>1</v>
      </c>
      <c r="W1774" s="88"/>
    </row>
    <row r="1775" spans="2:23" s="0" customFormat="0" ht="15">
      <c r="B1775" s="87" t="s">
        <v>1</v>
      </c>
      <c r="C1775" s="88" t="s">
        <v>5259</v>
      </c>
      <c r="D1775" s="88">
        <v>19494625</v>
      </c>
      <c r="E1775" s="88" t="s">
        <v>61</v>
      </c>
      <c r="F1775" s="88">
        <v>0</v>
      </c>
      <c r="G1775" s="78">
        <f>MAX(H1775,I1775,J1775)</f>
        <v>1</v>
      </c>
      <c r="H1775" s="88"/>
      <c r="I1775" s="88"/>
      <c r="J1775" s="78">
        <f>MAX(K1775:Q1775)</f>
        <v>1</v>
      </c>
      <c r="K1775" s="88">
        <v>1</v>
      </c>
      <c r="L1775" s="88"/>
      <c r="M1775" s="88"/>
      <c r="N1775" s="88"/>
      <c r="O1775" s="88"/>
      <c r="P1775" s="88"/>
      <c r="Q1775" s="88"/>
      <c r="R1775" s="78">
        <f>MAX(S1775:W1775)</f>
        <v>0</v>
      </c>
      <c r="S1775" s="88"/>
      <c r="T1775" s="88"/>
      <c r="U1775" s="88"/>
      <c r="V1775" s="88"/>
      <c r="W1775" s="88"/>
    </row>
    <row r="1776" spans="2:23" s="0" customFormat="0" ht="15">
      <c r="B1776" s="87" t="s">
        <v>1</v>
      </c>
      <c r="C1776" s="88" t="s">
        <v>5259</v>
      </c>
      <c r="D1776" s="88" t="s">
        <v>1387</v>
      </c>
      <c r="E1776" s="88" t="s">
        <v>61</v>
      </c>
      <c r="F1776" s="88">
        <v>0</v>
      </c>
      <c r="G1776" s="78">
        <f>MAX(H1776,I1776,J1776)</f>
        <v>1</v>
      </c>
      <c r="H1776" s="88"/>
      <c r="I1776" s="88"/>
      <c r="J1776" s="78">
        <f>MAX(K1776:Q1776)</f>
        <v>1</v>
      </c>
      <c r="K1776" s="88">
        <v>1</v>
      </c>
      <c r="L1776" s="88"/>
      <c r="M1776" s="88"/>
      <c r="N1776" s="88"/>
      <c r="O1776" s="88"/>
      <c r="P1776" s="88"/>
      <c r="Q1776" s="88"/>
      <c r="R1776" s="78">
        <f>MAX(S1776:W1776)</f>
        <v>0</v>
      </c>
      <c r="S1776" s="88"/>
      <c r="T1776" s="88"/>
      <c r="U1776" s="88"/>
      <c r="V1776" s="88"/>
      <c r="W1776" s="88"/>
    </row>
    <row r="1777" spans="2:23" s="0" customFormat="0" ht="15">
      <c r="B1777" s="87" t="s">
        <v>1</v>
      </c>
      <c r="C1777" s="88" t="s">
        <v>5259</v>
      </c>
      <c r="D1777" s="88" t="s">
        <v>4087</v>
      </c>
      <c r="E1777" s="88" t="s">
        <v>61</v>
      </c>
      <c r="F1777" s="88">
        <v>0</v>
      </c>
      <c r="G1777" s="78">
        <f>MAX(H1777,I1777,J1777)</f>
        <v>0</v>
      </c>
      <c r="H1777" s="88"/>
      <c r="I1777" s="88"/>
      <c r="J1777" s="78">
        <f>MAX(K1777:Q1777)</f>
        <v>0</v>
      </c>
      <c r="K1777" s="88"/>
      <c r="L1777" s="88"/>
      <c r="M1777" s="88"/>
      <c r="N1777" s="88"/>
      <c r="O1777" s="88"/>
      <c r="P1777" s="88"/>
      <c r="Q1777" s="88"/>
      <c r="R1777" s="78">
        <f>MAX(S1777:W1777)</f>
        <v>1</v>
      </c>
      <c r="S1777" s="88"/>
      <c r="T1777" s="88"/>
      <c r="U1777" s="88">
        <v>1</v>
      </c>
      <c r="V1777" s="88"/>
      <c r="W1777" s="88"/>
    </row>
    <row r="1778" spans="2:23" s="0" customFormat="0" ht="15">
      <c r="B1778" s="87" t="s">
        <v>1</v>
      </c>
      <c r="C1778" s="88" t="s">
        <v>5259</v>
      </c>
      <c r="D1778" s="88">
        <v>22623678</v>
      </c>
      <c r="E1778" s="88" t="s">
        <v>61</v>
      </c>
      <c r="F1778" s="88">
        <v>0</v>
      </c>
      <c r="G1778" s="78">
        <f>MAX(H1778,I1778,J1778)</f>
        <v>0</v>
      </c>
      <c r="H1778" s="88"/>
      <c r="I1778" s="88"/>
      <c r="J1778" s="78">
        <f>MAX(K1778:Q1778)</f>
        <v>0</v>
      </c>
      <c r="K1778" s="88"/>
      <c r="L1778" s="88"/>
      <c r="M1778" s="88"/>
      <c r="N1778" s="88"/>
      <c r="O1778" s="88"/>
      <c r="P1778" s="88"/>
      <c r="Q1778" s="88"/>
      <c r="R1778" s="78">
        <f>MAX(S1778:W1778)</f>
        <v>1</v>
      </c>
      <c r="S1778" s="88"/>
      <c r="T1778" s="88"/>
      <c r="U1778" s="88">
        <v>1</v>
      </c>
      <c r="V1778" s="88"/>
      <c r="W1778" s="88"/>
    </row>
    <row r="1779" spans="2:23" s="0" customFormat="0" ht="15">
      <c r="B1779" s="87" t="s">
        <v>1</v>
      </c>
      <c r="C1779" s="88" t="s">
        <v>5259</v>
      </c>
      <c r="D1779" s="88">
        <v>13321999</v>
      </c>
      <c r="E1779" s="88" t="s">
        <v>61</v>
      </c>
      <c r="F1779" s="88">
        <v>0</v>
      </c>
      <c r="G1779" s="78">
        <f>MAX(H1779,I1779,J1779)</f>
        <v>0</v>
      </c>
      <c r="H1779" s="88"/>
      <c r="I1779" s="88"/>
      <c r="J1779" s="78">
        <f>MAX(K1779:Q1779)</f>
        <v>0</v>
      </c>
      <c r="K1779" s="88"/>
      <c r="L1779" s="88"/>
      <c r="M1779" s="88"/>
      <c r="N1779" s="88"/>
      <c r="O1779" s="88"/>
      <c r="P1779" s="88"/>
      <c r="Q1779" s="88"/>
      <c r="R1779" s="78">
        <f>MAX(S1779:W1779)</f>
        <v>1</v>
      </c>
      <c r="S1779" s="88"/>
      <c r="T1779" s="88"/>
      <c r="U1779" s="88"/>
      <c r="V1779" s="88">
        <v>1</v>
      </c>
      <c r="W1779" s="88"/>
    </row>
    <row r="1780" spans="2:23" s="0" customFormat="0" ht="15">
      <c r="B1780" s="87" t="s">
        <v>1</v>
      </c>
      <c r="C1780" s="88" t="s">
        <v>5259</v>
      </c>
      <c r="D1780" s="88" t="s">
        <v>1389</v>
      </c>
      <c r="E1780" s="88" t="s">
        <v>61</v>
      </c>
      <c r="F1780" s="88">
        <v>0</v>
      </c>
      <c r="G1780" s="78">
        <f>MAX(H1780,I1780,J1780)</f>
        <v>1</v>
      </c>
      <c r="H1780" s="88"/>
      <c r="I1780" s="88"/>
      <c r="J1780" s="78">
        <f>MAX(K1780:Q1780)</f>
        <v>1</v>
      </c>
      <c r="K1780" s="88">
        <v>1</v>
      </c>
      <c r="L1780" s="88"/>
      <c r="M1780" s="88"/>
      <c r="N1780" s="88"/>
      <c r="O1780" s="88"/>
      <c r="P1780" s="88"/>
      <c r="Q1780" s="88"/>
      <c r="R1780" s="78">
        <f>MAX(S1780:W1780)</f>
        <v>0</v>
      </c>
      <c r="S1780" s="88"/>
      <c r="T1780" s="88"/>
      <c r="U1780" s="88"/>
      <c r="V1780" s="88"/>
      <c r="W1780" s="88"/>
    </row>
    <row r="1781" spans="2:23" s="0" customFormat="0" ht="15">
      <c r="B1781" s="87" t="s">
        <v>1</v>
      </c>
      <c r="C1781" s="88" t="s">
        <v>5259</v>
      </c>
      <c r="D1781" s="88">
        <v>15454220</v>
      </c>
      <c r="E1781" s="88" t="s">
        <v>61</v>
      </c>
      <c r="F1781" s="88">
        <v>0</v>
      </c>
      <c r="G1781" s="78">
        <f>MAX(H1781,I1781,J1781)</f>
        <v>0</v>
      </c>
      <c r="H1781" s="88"/>
      <c r="I1781" s="88"/>
      <c r="J1781" s="78">
        <f>MAX(K1781:Q1781)</f>
        <v>0</v>
      </c>
      <c r="K1781" s="88"/>
      <c r="L1781" s="88"/>
      <c r="M1781" s="88"/>
      <c r="N1781" s="88"/>
      <c r="O1781" s="88"/>
      <c r="P1781" s="88"/>
      <c r="Q1781" s="88"/>
      <c r="R1781" s="78">
        <f>MAX(S1781:W1781)</f>
        <v>1</v>
      </c>
      <c r="S1781" s="88"/>
      <c r="T1781" s="88"/>
      <c r="U1781" s="88">
        <v>1</v>
      </c>
      <c r="V1781" s="88"/>
      <c r="W1781" s="88"/>
    </row>
    <row r="1782" spans="2:23" s="0" customFormat="0" ht="15">
      <c r="B1782" s="87" t="s">
        <v>1</v>
      </c>
      <c r="C1782" s="88" t="s">
        <v>5259</v>
      </c>
      <c r="D1782" s="88" t="s">
        <v>3324</v>
      </c>
      <c r="E1782" s="88" t="s">
        <v>61</v>
      </c>
      <c r="F1782" s="88">
        <v>0</v>
      </c>
      <c r="G1782" s="78">
        <f>MAX(H1782,I1782,J1782)</f>
        <v>0</v>
      </c>
      <c r="H1782" s="88"/>
      <c r="I1782" s="88"/>
      <c r="J1782" s="78">
        <f>MAX(K1782:Q1782)</f>
        <v>0</v>
      </c>
      <c r="K1782" s="88"/>
      <c r="L1782" s="88"/>
      <c r="M1782" s="88"/>
      <c r="N1782" s="88"/>
      <c r="O1782" s="88"/>
      <c r="P1782" s="88"/>
      <c r="Q1782" s="88"/>
      <c r="R1782" s="78">
        <f>MAX(S1782:W1782)</f>
        <v>1</v>
      </c>
      <c r="S1782" s="88"/>
      <c r="T1782" s="88"/>
      <c r="U1782" s="88">
        <v>1</v>
      </c>
      <c r="V1782" s="88"/>
      <c r="W1782" s="88"/>
    </row>
    <row r="1783" spans="2:23" s="0" customFormat="0" ht="15">
      <c r="B1783" s="87" t="s">
        <v>1</v>
      </c>
      <c r="C1783" s="88" t="s">
        <v>5259</v>
      </c>
      <c r="D1783" s="88">
        <v>18066183</v>
      </c>
      <c r="E1783" s="88" t="s">
        <v>61</v>
      </c>
      <c r="F1783" s="88">
        <v>0</v>
      </c>
      <c r="G1783" s="78">
        <f>MAX(H1783,I1783,J1783)</f>
        <v>1</v>
      </c>
      <c r="H1783" s="88"/>
      <c r="I1783" s="88"/>
      <c r="J1783" s="78">
        <f>MAX(K1783:Q1783)</f>
        <v>1</v>
      </c>
      <c r="K1783" s="88">
        <v>1</v>
      </c>
      <c r="L1783" s="88"/>
      <c r="M1783" s="88"/>
      <c r="N1783" s="88"/>
      <c r="O1783" s="88"/>
      <c r="P1783" s="88"/>
      <c r="Q1783" s="88"/>
      <c r="R1783" s="78">
        <f>MAX(S1783:W1783)</f>
        <v>0</v>
      </c>
      <c r="S1783" s="88"/>
      <c r="T1783" s="88"/>
      <c r="U1783" s="88"/>
      <c r="V1783" s="88"/>
      <c r="W1783" s="88"/>
    </row>
    <row r="1784" spans="2:23" s="0" customFormat="0" ht="15">
      <c r="B1784" s="87" t="s">
        <v>1</v>
      </c>
      <c r="C1784" s="88" t="s">
        <v>5259</v>
      </c>
      <c r="D1784" s="88" t="s">
        <v>1392</v>
      </c>
      <c r="E1784" s="88" t="s">
        <v>61</v>
      </c>
      <c r="F1784" s="88">
        <v>0</v>
      </c>
      <c r="G1784" s="78">
        <f>MAX(H1784,I1784,J1784)</f>
        <v>1</v>
      </c>
      <c r="H1784" s="88"/>
      <c r="I1784" s="88"/>
      <c r="J1784" s="78">
        <f>MAX(K1784:Q1784)</f>
        <v>1</v>
      </c>
      <c r="K1784" s="88">
        <v>1</v>
      </c>
      <c r="L1784" s="88"/>
      <c r="M1784" s="88"/>
      <c r="N1784" s="88"/>
      <c r="O1784" s="88"/>
      <c r="P1784" s="88"/>
      <c r="Q1784" s="88"/>
      <c r="R1784" s="78">
        <f>MAX(S1784:W1784)</f>
        <v>0</v>
      </c>
      <c r="S1784" s="88"/>
      <c r="T1784" s="88"/>
      <c r="U1784" s="88"/>
      <c r="V1784" s="88"/>
      <c r="W1784" s="88"/>
    </row>
    <row r="1785" spans="2:23" s="0" customFormat="0" ht="15">
      <c r="B1785" s="87" t="s">
        <v>1</v>
      </c>
      <c r="C1785" s="88" t="s">
        <v>5259</v>
      </c>
      <c r="D1785" s="88">
        <v>7860309</v>
      </c>
      <c r="E1785" s="88" t="s">
        <v>61</v>
      </c>
      <c r="F1785" s="88">
        <v>0</v>
      </c>
      <c r="G1785" s="78">
        <f>MAX(H1785,I1785,J1785)</f>
        <v>1</v>
      </c>
      <c r="H1785" s="88"/>
      <c r="I1785" s="88"/>
      <c r="J1785" s="78">
        <f>MAX(K1785:Q1785)</f>
        <v>1</v>
      </c>
      <c r="K1785" s="88">
        <v>1</v>
      </c>
      <c r="L1785" s="88"/>
      <c r="M1785" s="88"/>
      <c r="N1785" s="88"/>
      <c r="O1785" s="88"/>
      <c r="P1785" s="88"/>
      <c r="Q1785" s="88"/>
      <c r="R1785" s="78">
        <f>MAX(S1785:W1785)</f>
        <v>0</v>
      </c>
      <c r="S1785" s="88"/>
      <c r="T1785" s="88"/>
      <c r="U1785" s="88"/>
      <c r="V1785" s="88"/>
      <c r="W1785" s="88"/>
    </row>
    <row r="1786" spans="2:23" s="0" customFormat="0" ht="15">
      <c r="B1786" s="87" t="s">
        <v>1</v>
      </c>
      <c r="C1786" s="88" t="s">
        <v>5259</v>
      </c>
      <c r="D1786" s="88">
        <v>13328830</v>
      </c>
      <c r="E1786" s="88" t="s">
        <v>61</v>
      </c>
      <c r="F1786" s="88">
        <v>0</v>
      </c>
      <c r="G1786" s="78">
        <f>MAX(H1786,I1786,J1786)</f>
        <v>1</v>
      </c>
      <c r="H1786" s="88"/>
      <c r="I1786" s="88"/>
      <c r="J1786" s="78">
        <f>MAX(K1786:Q1786)</f>
        <v>1</v>
      </c>
      <c r="K1786" s="88">
        <v>1</v>
      </c>
      <c r="L1786" s="88"/>
      <c r="M1786" s="88"/>
      <c r="N1786" s="88"/>
      <c r="O1786" s="88"/>
      <c r="P1786" s="88"/>
      <c r="Q1786" s="88"/>
      <c r="R1786" s="78">
        <f>MAX(S1786:W1786)</f>
        <v>0</v>
      </c>
      <c r="S1786" s="88"/>
      <c r="T1786" s="88"/>
      <c r="U1786" s="88"/>
      <c r="V1786" s="88"/>
      <c r="W1786" s="88"/>
    </row>
    <row r="1787" spans="2:23" s="0" customFormat="0" ht="15">
      <c r="B1787" s="87" t="s">
        <v>1</v>
      </c>
      <c r="C1787" s="88" t="s">
        <v>5259</v>
      </c>
      <c r="D1787" s="88">
        <v>13412742</v>
      </c>
      <c r="E1787" s="88" t="s">
        <v>61</v>
      </c>
      <c r="F1787" s="88">
        <v>0</v>
      </c>
      <c r="G1787" s="78">
        <f>MAX(H1787,I1787,J1787)</f>
        <v>1</v>
      </c>
      <c r="H1787" s="88"/>
      <c r="I1787" s="88"/>
      <c r="J1787" s="78">
        <f>MAX(K1787:Q1787)</f>
        <v>1</v>
      </c>
      <c r="K1787" s="88">
        <v>1</v>
      </c>
      <c r="L1787" s="88"/>
      <c r="M1787" s="88"/>
      <c r="N1787" s="88"/>
      <c r="O1787" s="88"/>
      <c r="P1787" s="88"/>
      <c r="Q1787" s="88"/>
      <c r="R1787" s="78">
        <f>MAX(S1787:W1787)</f>
        <v>0</v>
      </c>
      <c r="S1787" s="88"/>
      <c r="T1787" s="88"/>
      <c r="U1787" s="88"/>
      <c r="V1787" s="88"/>
      <c r="W1787" s="88"/>
    </row>
    <row r="1788" spans="2:23" s="0" customFormat="0" ht="15">
      <c r="B1788" s="87" t="s">
        <v>1</v>
      </c>
      <c r="C1788" s="88" t="s">
        <v>5259</v>
      </c>
      <c r="D1788" s="88">
        <v>22554211</v>
      </c>
      <c r="E1788" s="88" t="s">
        <v>61</v>
      </c>
      <c r="F1788" s="88">
        <v>0</v>
      </c>
      <c r="G1788" s="78">
        <f>MAX(H1788,I1788,J1788)</f>
        <v>0</v>
      </c>
      <c r="H1788" s="88"/>
      <c r="I1788" s="88"/>
      <c r="J1788" s="78">
        <f>MAX(K1788:Q1788)</f>
        <v>0</v>
      </c>
      <c r="K1788" s="88"/>
      <c r="L1788" s="88"/>
      <c r="M1788" s="88"/>
      <c r="N1788" s="88"/>
      <c r="O1788" s="88"/>
      <c r="P1788" s="88"/>
      <c r="Q1788" s="88"/>
      <c r="R1788" s="78">
        <f>MAX(S1788:W1788)</f>
        <v>1</v>
      </c>
      <c r="S1788" s="88"/>
      <c r="T1788" s="88"/>
      <c r="U1788" s="88">
        <v>1</v>
      </c>
      <c r="V1788" s="88"/>
      <c r="W1788" s="88"/>
    </row>
    <row r="1789" spans="2:23" s="0" customFormat="0" ht="15">
      <c r="B1789" s="87" t="s">
        <v>1</v>
      </c>
      <c r="C1789" s="88" t="s">
        <v>5259</v>
      </c>
      <c r="D1789" s="88">
        <v>9257049</v>
      </c>
      <c r="E1789" s="88" t="s">
        <v>61</v>
      </c>
      <c r="F1789" s="88">
        <v>0</v>
      </c>
      <c r="G1789" s="78">
        <f>MAX(H1789,I1789,J1789)</f>
        <v>0</v>
      </c>
      <c r="H1789" s="88"/>
      <c r="I1789" s="88"/>
      <c r="J1789" s="78">
        <f>MAX(K1789:Q1789)</f>
        <v>0</v>
      </c>
      <c r="K1789" s="88"/>
      <c r="L1789" s="88"/>
      <c r="M1789" s="88"/>
      <c r="N1789" s="88"/>
      <c r="O1789" s="88"/>
      <c r="P1789" s="88"/>
      <c r="Q1789" s="88"/>
      <c r="R1789" s="78">
        <f>MAX(S1789:W1789)</f>
        <v>1</v>
      </c>
      <c r="S1789" s="88"/>
      <c r="T1789" s="88"/>
      <c r="U1789" s="88">
        <v>1</v>
      </c>
      <c r="V1789" s="88"/>
      <c r="W1789" s="88"/>
    </row>
    <row r="1790" spans="2:23" s="0" customFormat="0" ht="15">
      <c r="B1790" s="87" t="s">
        <v>1</v>
      </c>
      <c r="C1790" s="88" t="s">
        <v>5259</v>
      </c>
      <c r="D1790" s="88">
        <v>22554523</v>
      </c>
      <c r="E1790" s="88" t="s">
        <v>61</v>
      </c>
      <c r="F1790" s="88">
        <v>0</v>
      </c>
      <c r="G1790" s="78">
        <f>MAX(H1790,I1790,J1790)</f>
        <v>0</v>
      </c>
      <c r="H1790" s="88"/>
      <c r="I1790" s="88"/>
      <c r="J1790" s="78">
        <f>MAX(K1790:Q1790)</f>
        <v>0</v>
      </c>
      <c r="K1790" s="88"/>
      <c r="L1790" s="88"/>
      <c r="M1790" s="88"/>
      <c r="N1790" s="88"/>
      <c r="O1790" s="88"/>
      <c r="P1790" s="88"/>
      <c r="Q1790" s="88"/>
      <c r="R1790" s="78">
        <f>MAX(S1790:W1790)</f>
        <v>1</v>
      </c>
      <c r="S1790" s="88"/>
      <c r="T1790" s="88"/>
      <c r="U1790" s="88">
        <v>1</v>
      </c>
      <c r="V1790" s="88"/>
      <c r="W1790" s="88"/>
    </row>
    <row r="1791" spans="2:23" s="0" customFormat="0" ht="15">
      <c r="B1791" s="87" t="s">
        <v>1</v>
      </c>
      <c r="C1791" s="88" t="s">
        <v>5259</v>
      </c>
      <c r="D1791" s="88" t="s">
        <v>1397</v>
      </c>
      <c r="E1791" s="88" t="s">
        <v>61</v>
      </c>
      <c r="F1791" s="88">
        <v>0</v>
      </c>
      <c r="G1791" s="78">
        <f>MAX(H1791,I1791,J1791)</f>
        <v>1</v>
      </c>
      <c r="H1791" s="88"/>
      <c r="I1791" s="88"/>
      <c r="J1791" s="78">
        <f>MAX(K1791:Q1791)</f>
        <v>1</v>
      </c>
      <c r="K1791" s="88">
        <v>1</v>
      </c>
      <c r="L1791" s="88"/>
      <c r="M1791" s="88"/>
      <c r="N1791" s="88"/>
      <c r="O1791" s="88"/>
      <c r="P1791" s="88"/>
      <c r="Q1791" s="88"/>
      <c r="R1791" s="78">
        <f>MAX(S1791:W1791)</f>
        <v>0</v>
      </c>
      <c r="S1791" s="88"/>
      <c r="T1791" s="88"/>
      <c r="U1791" s="88"/>
      <c r="V1791" s="88"/>
      <c r="W1791" s="88"/>
    </row>
    <row r="1792" spans="2:23" s="0" customFormat="0" ht="15">
      <c r="B1792" s="87" t="s">
        <v>1</v>
      </c>
      <c r="C1792" s="88" t="s">
        <v>5259</v>
      </c>
      <c r="D1792" s="88">
        <v>12641067</v>
      </c>
      <c r="E1792" s="88" t="s">
        <v>61</v>
      </c>
      <c r="F1792" s="88">
        <v>0</v>
      </c>
      <c r="G1792" s="78">
        <f>MAX(H1792,I1792,J1792)</f>
        <v>1</v>
      </c>
      <c r="H1792" s="88"/>
      <c r="I1792" s="88"/>
      <c r="J1792" s="78">
        <f>MAX(K1792:Q1792)</f>
        <v>1</v>
      </c>
      <c r="K1792" s="88">
        <v>1</v>
      </c>
      <c r="L1792" s="88"/>
      <c r="M1792" s="88"/>
      <c r="N1792" s="88"/>
      <c r="O1792" s="88"/>
      <c r="P1792" s="88"/>
      <c r="Q1792" s="88"/>
      <c r="R1792" s="78">
        <f>MAX(S1792:W1792)</f>
        <v>0</v>
      </c>
      <c r="S1792" s="88"/>
      <c r="T1792" s="88"/>
      <c r="U1792" s="88"/>
      <c r="V1792" s="88"/>
      <c r="W1792" s="88"/>
    </row>
    <row r="1793" spans="2:23" s="0" customFormat="0" ht="15">
      <c r="B1793" s="87" t="s">
        <v>1</v>
      </c>
      <c r="C1793" s="88" t="s">
        <v>5259</v>
      </c>
      <c r="D1793" s="88" t="s">
        <v>1399</v>
      </c>
      <c r="E1793" s="88" t="s">
        <v>61</v>
      </c>
      <c r="F1793" s="88">
        <v>0</v>
      </c>
      <c r="G1793" s="78">
        <f>MAX(H1793,I1793,J1793)</f>
        <v>1</v>
      </c>
      <c r="H1793" s="88"/>
      <c r="I1793" s="88"/>
      <c r="J1793" s="78">
        <f>MAX(K1793:Q1793)</f>
        <v>1</v>
      </c>
      <c r="K1793" s="88">
        <v>1</v>
      </c>
      <c r="L1793" s="88"/>
      <c r="M1793" s="88"/>
      <c r="N1793" s="88"/>
      <c r="O1793" s="88"/>
      <c r="P1793" s="88"/>
      <c r="Q1793" s="88"/>
      <c r="R1793" s="78">
        <f>MAX(S1793:W1793)</f>
        <v>0</v>
      </c>
      <c r="S1793" s="88"/>
      <c r="T1793" s="88"/>
      <c r="U1793" s="88"/>
      <c r="V1793" s="88"/>
      <c r="W1793" s="88"/>
    </row>
    <row r="1794" spans="2:23" s="0" customFormat="0" ht="15">
      <c r="B1794" s="87" t="s">
        <v>1</v>
      </c>
      <c r="C1794" s="88" t="s">
        <v>5259</v>
      </c>
      <c r="D1794" s="88">
        <v>4082454</v>
      </c>
      <c r="E1794" s="88" t="s">
        <v>61</v>
      </c>
      <c r="F1794" s="88">
        <v>0</v>
      </c>
      <c r="G1794" s="78">
        <f>MAX(H1794,I1794,J1794)</f>
        <v>1</v>
      </c>
      <c r="H1794" s="88"/>
      <c r="I1794" s="88"/>
      <c r="J1794" s="78">
        <f>MAX(K1794:Q1794)</f>
        <v>1</v>
      </c>
      <c r="K1794" s="88">
        <v>1</v>
      </c>
      <c r="L1794" s="88"/>
      <c r="M1794" s="88"/>
      <c r="N1794" s="88"/>
      <c r="O1794" s="88"/>
      <c r="P1794" s="88"/>
      <c r="Q1794" s="88"/>
      <c r="R1794" s="78">
        <f>MAX(S1794:W1794)</f>
        <v>0</v>
      </c>
      <c r="S1794" s="88"/>
      <c r="T1794" s="88"/>
      <c r="U1794" s="88"/>
      <c r="V1794" s="88"/>
      <c r="W1794" s="88"/>
    </row>
    <row r="1795" spans="2:23" s="0" customFormat="0" ht="15">
      <c r="B1795" s="87" t="s">
        <v>1</v>
      </c>
      <c r="C1795" s="88" t="s">
        <v>5259</v>
      </c>
      <c r="D1795" s="88">
        <v>22062096</v>
      </c>
      <c r="E1795" s="88" t="s">
        <v>61</v>
      </c>
      <c r="F1795" s="88">
        <v>0</v>
      </c>
      <c r="G1795" s="78">
        <f>MAX(H1795,I1795,J1795)</f>
        <v>1</v>
      </c>
      <c r="H1795" s="88"/>
      <c r="I1795" s="88"/>
      <c r="J1795" s="78">
        <f>MAX(K1795:Q1795)</f>
        <v>1</v>
      </c>
      <c r="K1795" s="88">
        <v>1</v>
      </c>
      <c r="L1795" s="88"/>
      <c r="M1795" s="88"/>
      <c r="N1795" s="88"/>
      <c r="O1795" s="88"/>
      <c r="P1795" s="88"/>
      <c r="Q1795" s="88"/>
      <c r="R1795" s="78">
        <f>MAX(S1795:W1795)</f>
        <v>0</v>
      </c>
      <c r="S1795" s="88"/>
      <c r="T1795" s="88"/>
      <c r="U1795" s="88"/>
      <c r="V1795" s="88"/>
      <c r="W1795" s="88"/>
    </row>
    <row r="1796" spans="2:23" s="0" customFormat="0" ht="15">
      <c r="B1796" s="87" t="s">
        <v>1</v>
      </c>
      <c r="C1796" s="88" t="s">
        <v>5259</v>
      </c>
      <c r="D1796" s="88">
        <v>942518</v>
      </c>
      <c r="E1796" s="88" t="s">
        <v>61</v>
      </c>
      <c r="F1796" s="88">
        <v>0</v>
      </c>
      <c r="G1796" s="78">
        <f>MAX(H1796,I1796,J1796)</f>
        <v>0</v>
      </c>
      <c r="H1796" s="88"/>
      <c r="I1796" s="88"/>
      <c r="J1796" s="78">
        <f>MAX(K1796:Q1796)</f>
        <v>0</v>
      </c>
      <c r="K1796" s="88"/>
      <c r="L1796" s="88"/>
      <c r="M1796" s="88"/>
      <c r="N1796" s="88"/>
      <c r="O1796" s="88"/>
      <c r="P1796" s="88"/>
      <c r="Q1796" s="88"/>
      <c r="R1796" s="78">
        <f>MAX(S1796:W1796)</f>
        <v>1</v>
      </c>
      <c r="S1796" s="88"/>
      <c r="T1796" s="88"/>
      <c r="U1796" s="88">
        <v>1</v>
      </c>
      <c r="V1796" s="88"/>
      <c r="W1796" s="88"/>
    </row>
    <row r="1797" spans="2:23" s="0" customFormat="0" ht="15">
      <c r="B1797" s="87" t="s">
        <v>1</v>
      </c>
      <c r="C1797" s="88" t="s">
        <v>5259</v>
      </c>
      <c r="D1797" s="88">
        <v>22554179</v>
      </c>
      <c r="E1797" s="88" t="s">
        <v>61</v>
      </c>
      <c r="F1797" s="88">
        <v>0</v>
      </c>
      <c r="G1797" s="78">
        <f>MAX(H1797,I1797,J1797)</f>
        <v>0</v>
      </c>
      <c r="H1797" s="88"/>
      <c r="I1797" s="88"/>
      <c r="J1797" s="78">
        <f>MAX(K1797:Q1797)</f>
        <v>0</v>
      </c>
      <c r="K1797" s="88"/>
      <c r="L1797" s="88"/>
      <c r="M1797" s="88"/>
      <c r="N1797" s="88"/>
      <c r="O1797" s="88"/>
      <c r="P1797" s="88"/>
      <c r="Q1797" s="88"/>
      <c r="R1797" s="78">
        <f>MAX(S1797:W1797)</f>
        <v>1</v>
      </c>
      <c r="S1797" s="88"/>
      <c r="T1797" s="88"/>
      <c r="U1797" s="88">
        <v>1</v>
      </c>
      <c r="V1797" s="88"/>
      <c r="W1797" s="88"/>
    </row>
    <row r="1798" spans="2:23" s="0" customFormat="0" ht="15">
      <c r="B1798" s="87" t="s">
        <v>1</v>
      </c>
      <c r="C1798" s="88" t="s">
        <v>5259</v>
      </c>
      <c r="D1798" s="88">
        <v>21301590</v>
      </c>
      <c r="E1798" s="88" t="s">
        <v>61</v>
      </c>
      <c r="F1798" s="88">
        <v>0</v>
      </c>
      <c r="G1798" s="78">
        <f>MAX(H1798,I1798,J1798)</f>
        <v>0</v>
      </c>
      <c r="H1798" s="88"/>
      <c r="I1798" s="88"/>
      <c r="J1798" s="78">
        <f>MAX(K1798:Q1798)</f>
        <v>0</v>
      </c>
      <c r="K1798" s="88"/>
      <c r="L1798" s="88"/>
      <c r="M1798" s="88"/>
      <c r="N1798" s="88"/>
      <c r="O1798" s="88"/>
      <c r="P1798" s="88"/>
      <c r="Q1798" s="88"/>
      <c r="R1798" s="78">
        <f>MAX(S1798:W1798)</f>
        <v>1</v>
      </c>
      <c r="S1798" s="88"/>
      <c r="T1798" s="88"/>
      <c r="U1798" s="88">
        <v>1</v>
      </c>
      <c r="V1798" s="88"/>
      <c r="W1798" s="88"/>
    </row>
    <row r="1799" spans="2:23" s="0" customFormat="0" ht="15">
      <c r="B1799" s="87" t="s">
        <v>1</v>
      </c>
      <c r="C1799" s="88" t="s">
        <v>5259</v>
      </c>
      <c r="D1799" s="88">
        <v>7836586</v>
      </c>
      <c r="E1799" s="88" t="s">
        <v>61</v>
      </c>
      <c r="F1799" s="88">
        <v>0</v>
      </c>
      <c r="G1799" s="78">
        <f>MAX(H1799,I1799,J1799)</f>
        <v>1</v>
      </c>
      <c r="H1799" s="88"/>
      <c r="I1799" s="88"/>
      <c r="J1799" s="78">
        <f>MAX(K1799:Q1799)</f>
        <v>1</v>
      </c>
      <c r="K1799" s="88">
        <v>1</v>
      </c>
      <c r="L1799" s="88"/>
      <c r="M1799" s="88"/>
      <c r="N1799" s="88"/>
      <c r="O1799" s="88"/>
      <c r="P1799" s="88"/>
      <c r="Q1799" s="88"/>
      <c r="R1799" s="78">
        <f>MAX(S1799:W1799)</f>
        <v>0</v>
      </c>
      <c r="S1799" s="88"/>
      <c r="T1799" s="88"/>
      <c r="U1799" s="88"/>
      <c r="V1799" s="88"/>
      <c r="W1799" s="88"/>
    </row>
    <row r="1800" spans="2:23" s="0" customFormat="0" ht="15">
      <c r="B1800" s="87" t="s">
        <v>1</v>
      </c>
      <c r="C1800" s="88" t="s">
        <v>5259</v>
      </c>
      <c r="D1800" s="88">
        <v>18941272</v>
      </c>
      <c r="E1800" s="88" t="s">
        <v>61</v>
      </c>
      <c r="F1800" s="88">
        <v>0</v>
      </c>
      <c r="G1800" s="78">
        <f>MAX(H1800,I1800,J1800)</f>
        <v>1</v>
      </c>
      <c r="H1800" s="88"/>
      <c r="I1800" s="88"/>
      <c r="J1800" s="78">
        <f>MAX(K1800:Q1800)</f>
        <v>1</v>
      </c>
      <c r="K1800" s="88">
        <v>1</v>
      </c>
      <c r="L1800" s="88"/>
      <c r="M1800" s="88"/>
      <c r="N1800" s="88"/>
      <c r="O1800" s="88"/>
      <c r="P1800" s="88"/>
      <c r="Q1800" s="88"/>
      <c r="R1800" s="78">
        <f>MAX(S1800:W1800)</f>
        <v>0</v>
      </c>
      <c r="S1800" s="88"/>
      <c r="T1800" s="88"/>
      <c r="U1800" s="88"/>
      <c r="V1800" s="88"/>
      <c r="W1800" s="88"/>
    </row>
    <row r="1801" spans="2:23" s="0" customFormat="0" ht="15">
      <c r="B1801" s="87" t="s">
        <v>1</v>
      </c>
      <c r="C1801" s="88" t="s">
        <v>5259</v>
      </c>
      <c r="D1801" s="88">
        <v>24432571</v>
      </c>
      <c r="E1801" s="88" t="s">
        <v>61</v>
      </c>
      <c r="F1801" s="88">
        <v>0</v>
      </c>
      <c r="G1801" s="78">
        <f>MAX(H1801,I1801,J1801)</f>
        <v>1</v>
      </c>
      <c r="H1801" s="88"/>
      <c r="I1801" s="88"/>
      <c r="J1801" s="78">
        <f>MAX(K1801:Q1801)</f>
        <v>1</v>
      </c>
      <c r="K1801" s="88">
        <v>1</v>
      </c>
      <c r="L1801" s="88"/>
      <c r="M1801" s="88"/>
      <c r="N1801" s="88"/>
      <c r="O1801" s="88"/>
      <c r="P1801" s="88"/>
      <c r="Q1801" s="88"/>
      <c r="R1801" s="78">
        <f>MAX(S1801:W1801)</f>
        <v>0</v>
      </c>
      <c r="S1801" s="88"/>
      <c r="T1801" s="88"/>
      <c r="U1801" s="88"/>
      <c r="V1801" s="88"/>
      <c r="W1801" s="88"/>
    </row>
    <row r="1802" spans="2:23" s="0" customFormat="0" ht="15">
      <c r="B1802" s="87" t="s">
        <v>1</v>
      </c>
      <c r="C1802" s="88" t="s">
        <v>5259</v>
      </c>
      <c r="D1802" s="88" t="s">
        <v>4128</v>
      </c>
      <c r="E1802" s="88" t="s">
        <v>61</v>
      </c>
      <c r="F1802" s="88">
        <v>0</v>
      </c>
      <c r="G1802" s="78">
        <f>MAX(H1802,I1802,J1802)</f>
        <v>0</v>
      </c>
      <c r="H1802" s="88"/>
      <c r="I1802" s="88"/>
      <c r="J1802" s="78">
        <f>MAX(K1802:Q1802)</f>
        <v>0</v>
      </c>
      <c r="K1802" s="88"/>
      <c r="L1802" s="88"/>
      <c r="M1802" s="88"/>
      <c r="N1802" s="88"/>
      <c r="O1802" s="88"/>
      <c r="P1802" s="88"/>
      <c r="Q1802" s="88"/>
      <c r="R1802" s="78">
        <f>MAX(S1802:W1802)</f>
        <v>1</v>
      </c>
      <c r="S1802" s="88"/>
      <c r="T1802" s="88"/>
      <c r="U1802" s="88">
        <v>1</v>
      </c>
      <c r="V1802" s="88"/>
      <c r="W1802" s="88"/>
    </row>
    <row r="1803" spans="2:23" s="0" customFormat="0" ht="15">
      <c r="B1803" s="87" t="s">
        <v>1</v>
      </c>
      <c r="C1803" s="88" t="s">
        <v>5259</v>
      </c>
      <c r="D1803" s="88" t="s">
        <v>4130</v>
      </c>
      <c r="E1803" s="88" t="s">
        <v>61</v>
      </c>
      <c r="F1803" s="88">
        <v>0</v>
      </c>
      <c r="G1803" s="78">
        <f>MAX(H1803,I1803,J1803)</f>
        <v>0</v>
      </c>
      <c r="H1803" s="88"/>
      <c r="I1803" s="88"/>
      <c r="J1803" s="78">
        <f>MAX(K1803:Q1803)</f>
        <v>0</v>
      </c>
      <c r="K1803" s="88"/>
      <c r="L1803" s="88"/>
      <c r="M1803" s="88"/>
      <c r="N1803" s="88"/>
      <c r="O1803" s="88"/>
      <c r="P1803" s="88"/>
      <c r="Q1803" s="88"/>
      <c r="R1803" s="78">
        <f>MAX(S1803:W1803)</f>
        <v>1</v>
      </c>
      <c r="S1803" s="88"/>
      <c r="T1803" s="88"/>
      <c r="U1803" s="88">
        <v>1</v>
      </c>
      <c r="V1803" s="88"/>
      <c r="W1803" s="88"/>
    </row>
    <row r="1804" spans="2:23" s="0" customFormat="0" ht="15">
      <c r="B1804" s="87" t="s">
        <v>1</v>
      </c>
      <c r="C1804" s="88" t="s">
        <v>5259</v>
      </c>
      <c r="D1804" s="88">
        <v>19178595</v>
      </c>
      <c r="E1804" s="88" t="s">
        <v>61</v>
      </c>
      <c r="F1804" s="88">
        <v>0</v>
      </c>
      <c r="G1804" s="78">
        <f>MAX(H1804,I1804,J1804)</f>
        <v>1</v>
      </c>
      <c r="H1804" s="88"/>
      <c r="I1804" s="88"/>
      <c r="J1804" s="78">
        <f>MAX(K1804:Q1804)</f>
        <v>1</v>
      </c>
      <c r="K1804" s="88">
        <v>1</v>
      </c>
      <c r="L1804" s="88"/>
      <c r="M1804" s="88"/>
      <c r="N1804" s="88"/>
      <c r="O1804" s="88"/>
      <c r="P1804" s="88"/>
      <c r="Q1804" s="88"/>
      <c r="R1804" s="78">
        <f>MAX(S1804:W1804)</f>
        <v>0</v>
      </c>
      <c r="S1804" s="88"/>
      <c r="T1804" s="88"/>
      <c r="U1804" s="88"/>
      <c r="V1804" s="88"/>
      <c r="W1804" s="88"/>
    </row>
    <row r="1805" spans="2:23" s="0" customFormat="0" ht="15">
      <c r="B1805" s="87" t="s">
        <v>1</v>
      </c>
      <c r="C1805" s="88" t="s">
        <v>5259</v>
      </c>
      <c r="D1805" s="88">
        <v>18782691</v>
      </c>
      <c r="E1805" s="88" t="s">
        <v>61</v>
      </c>
      <c r="F1805" s="88">
        <v>0</v>
      </c>
      <c r="G1805" s="78">
        <f>MAX(H1805,I1805,J1805)</f>
        <v>1</v>
      </c>
      <c r="H1805" s="88"/>
      <c r="I1805" s="88"/>
      <c r="J1805" s="78">
        <f>MAX(K1805:Q1805)</f>
        <v>1</v>
      </c>
      <c r="K1805" s="88">
        <v>1</v>
      </c>
      <c r="L1805" s="88"/>
      <c r="M1805" s="88"/>
      <c r="N1805" s="88"/>
      <c r="O1805" s="88"/>
      <c r="P1805" s="88"/>
      <c r="Q1805" s="88"/>
      <c r="R1805" s="78">
        <f>MAX(S1805:W1805)</f>
        <v>0</v>
      </c>
      <c r="S1805" s="88"/>
      <c r="T1805" s="88"/>
      <c r="U1805" s="88"/>
      <c r="V1805" s="88"/>
      <c r="W1805" s="88"/>
    </row>
    <row r="1806" spans="2:23" s="0" customFormat="0" ht="15">
      <c r="B1806" s="87" t="s">
        <v>1</v>
      </c>
      <c r="C1806" s="88" t="s">
        <v>5259</v>
      </c>
      <c r="D1806" s="88">
        <v>22554475</v>
      </c>
      <c r="E1806" s="88" t="s">
        <v>61</v>
      </c>
      <c r="F1806" s="88">
        <v>0</v>
      </c>
      <c r="G1806" s="78">
        <f>MAX(H1806,I1806,J1806)</f>
        <v>0</v>
      </c>
      <c r="H1806" s="88"/>
      <c r="I1806" s="88"/>
      <c r="J1806" s="78">
        <f>MAX(K1806:Q1806)</f>
        <v>0</v>
      </c>
      <c r="K1806" s="88"/>
      <c r="L1806" s="88"/>
      <c r="M1806" s="88"/>
      <c r="N1806" s="88"/>
      <c r="O1806" s="88"/>
      <c r="P1806" s="88"/>
      <c r="Q1806" s="88"/>
      <c r="R1806" s="78">
        <f>MAX(S1806:W1806)</f>
        <v>1</v>
      </c>
      <c r="S1806" s="88"/>
      <c r="T1806" s="88"/>
      <c r="U1806" s="88">
        <v>1</v>
      </c>
      <c r="V1806" s="88"/>
      <c r="W1806" s="88"/>
    </row>
    <row r="1807" spans="2:23" s="0" customFormat="0" ht="15">
      <c r="B1807" s="87" t="s">
        <v>1</v>
      </c>
      <c r="C1807" s="88" t="s">
        <v>5259</v>
      </c>
      <c r="D1807" s="88">
        <v>24426295</v>
      </c>
      <c r="E1807" s="88" t="s">
        <v>61</v>
      </c>
      <c r="F1807" s="88">
        <v>0</v>
      </c>
      <c r="G1807" s="78">
        <f>MAX(H1807,I1807,J1807)</f>
        <v>1</v>
      </c>
      <c r="H1807" s="88"/>
      <c r="I1807" s="88"/>
      <c r="J1807" s="78">
        <f>MAX(K1807:Q1807)</f>
        <v>1</v>
      </c>
      <c r="K1807" s="88">
        <v>1</v>
      </c>
      <c r="L1807" s="88"/>
      <c r="M1807" s="88"/>
      <c r="N1807" s="88"/>
      <c r="O1807" s="88"/>
      <c r="P1807" s="88"/>
      <c r="Q1807" s="88"/>
      <c r="R1807" s="78">
        <f>MAX(S1807:W1807)</f>
        <v>0</v>
      </c>
      <c r="S1807" s="88"/>
      <c r="T1807" s="88"/>
      <c r="U1807" s="88"/>
      <c r="V1807" s="88"/>
      <c r="W1807" s="88"/>
    </row>
    <row r="1808" spans="2:23" s="0" customFormat="0" ht="15">
      <c r="B1808" s="87" t="s">
        <v>1</v>
      </c>
      <c r="C1808" s="88" t="s">
        <v>5259</v>
      </c>
      <c r="D1808" s="88">
        <v>24430402</v>
      </c>
      <c r="E1808" s="88" t="s">
        <v>61</v>
      </c>
      <c r="F1808" s="88">
        <v>0</v>
      </c>
      <c r="G1808" s="78">
        <f>MAX(H1808,I1808,J1808)</f>
        <v>1</v>
      </c>
      <c r="H1808" s="88"/>
      <c r="I1808" s="88"/>
      <c r="J1808" s="78">
        <f>MAX(K1808:Q1808)</f>
        <v>1</v>
      </c>
      <c r="K1808" s="88">
        <v>1</v>
      </c>
      <c r="L1808" s="88"/>
      <c r="M1808" s="88"/>
      <c r="N1808" s="88"/>
      <c r="O1808" s="88"/>
      <c r="P1808" s="88"/>
      <c r="Q1808" s="88"/>
      <c r="R1808" s="78">
        <f>MAX(S1808:W1808)</f>
        <v>0</v>
      </c>
      <c r="S1808" s="88"/>
      <c r="T1808" s="88"/>
      <c r="U1808" s="88"/>
      <c r="V1808" s="88"/>
      <c r="W1808" s="88"/>
    </row>
    <row r="1809" spans="2:23" s="0" customFormat="0" ht="15">
      <c r="B1809" s="87" t="s">
        <v>1</v>
      </c>
      <c r="C1809" s="88" t="s">
        <v>5259</v>
      </c>
      <c r="D1809" s="88">
        <v>22554127</v>
      </c>
      <c r="E1809" s="88" t="s">
        <v>61</v>
      </c>
      <c r="F1809" s="88">
        <v>0</v>
      </c>
      <c r="G1809" s="78">
        <f>MAX(H1809,I1809,J1809)</f>
        <v>1</v>
      </c>
      <c r="H1809" s="88"/>
      <c r="I1809" s="88"/>
      <c r="J1809" s="78">
        <f>MAX(K1809:Q1809)</f>
        <v>1</v>
      </c>
      <c r="K1809" s="88">
        <v>1</v>
      </c>
      <c r="L1809" s="88"/>
      <c r="M1809" s="88"/>
      <c r="N1809" s="88"/>
      <c r="O1809" s="88"/>
      <c r="P1809" s="88"/>
      <c r="Q1809" s="88"/>
      <c r="R1809" s="78">
        <f>MAX(S1809:W1809)</f>
        <v>0</v>
      </c>
      <c r="S1809" s="88"/>
      <c r="T1809" s="88"/>
      <c r="U1809" s="88"/>
      <c r="V1809" s="88"/>
      <c r="W1809" s="88"/>
    </row>
    <row r="1810" spans="2:23" s="0" customFormat="0" ht="15">
      <c r="B1810" s="87" t="s">
        <v>1</v>
      </c>
      <c r="C1810" s="88" t="s">
        <v>5259</v>
      </c>
      <c r="D1810" s="88">
        <v>19793892</v>
      </c>
      <c r="E1810" s="88" t="s">
        <v>61</v>
      </c>
      <c r="F1810" s="88">
        <v>0</v>
      </c>
      <c r="G1810" s="78">
        <f>MAX(H1810,I1810,J1810)</f>
        <v>1</v>
      </c>
      <c r="H1810" s="88"/>
      <c r="I1810" s="88"/>
      <c r="J1810" s="78">
        <f>MAX(K1810:Q1810)</f>
        <v>1</v>
      </c>
      <c r="K1810" s="88">
        <v>1</v>
      </c>
      <c r="L1810" s="88"/>
      <c r="M1810" s="88"/>
      <c r="N1810" s="88"/>
      <c r="O1810" s="88"/>
      <c r="P1810" s="88"/>
      <c r="Q1810" s="88"/>
      <c r="R1810" s="78">
        <f>MAX(S1810:W1810)</f>
        <v>0</v>
      </c>
      <c r="S1810" s="88"/>
      <c r="T1810" s="88"/>
      <c r="U1810" s="88"/>
      <c r="V1810" s="88"/>
      <c r="W1810" s="88"/>
    </row>
    <row r="1811" spans="2:23" s="0" customFormat="0" ht="15">
      <c r="B1811" s="87" t="s">
        <v>1</v>
      </c>
      <c r="C1811" s="88" t="s">
        <v>5259</v>
      </c>
      <c r="D1811" s="88">
        <v>16117364</v>
      </c>
      <c r="E1811" s="88" t="s">
        <v>61</v>
      </c>
      <c r="F1811" s="88">
        <v>0</v>
      </c>
      <c r="G1811" s="78">
        <f>MAX(H1811,I1811,J1811)</f>
        <v>1</v>
      </c>
      <c r="H1811" s="88"/>
      <c r="I1811" s="88"/>
      <c r="J1811" s="78">
        <f>MAX(K1811:Q1811)</f>
        <v>1</v>
      </c>
      <c r="K1811" s="88">
        <v>1</v>
      </c>
      <c r="L1811" s="88"/>
      <c r="M1811" s="88"/>
      <c r="N1811" s="88"/>
      <c r="O1811" s="88"/>
      <c r="P1811" s="88"/>
      <c r="Q1811" s="88"/>
      <c r="R1811" s="78">
        <f>MAX(S1811:W1811)</f>
        <v>0</v>
      </c>
      <c r="S1811" s="88"/>
      <c r="T1811" s="88"/>
      <c r="U1811" s="88"/>
      <c r="V1811" s="88"/>
      <c r="W1811" s="88"/>
    </row>
    <row r="1812" spans="2:23" s="0" customFormat="0" ht="15">
      <c r="B1812" s="87" t="s">
        <v>1</v>
      </c>
      <c r="C1812" s="88" t="s">
        <v>5259</v>
      </c>
      <c r="D1812" s="88">
        <v>17418008</v>
      </c>
      <c r="E1812" s="88" t="s">
        <v>61</v>
      </c>
      <c r="F1812" s="88">
        <v>0</v>
      </c>
      <c r="G1812" s="78">
        <f>MAX(H1812,I1812,J1812)</f>
        <v>1</v>
      </c>
      <c r="H1812" s="88"/>
      <c r="I1812" s="88"/>
      <c r="J1812" s="78">
        <f>MAX(K1812:Q1812)</f>
        <v>1</v>
      </c>
      <c r="K1812" s="88">
        <v>1</v>
      </c>
      <c r="L1812" s="88"/>
      <c r="M1812" s="88"/>
      <c r="N1812" s="88"/>
      <c r="O1812" s="88"/>
      <c r="P1812" s="88"/>
      <c r="Q1812" s="88"/>
      <c r="R1812" s="78">
        <f>MAX(S1812:W1812)</f>
        <v>0</v>
      </c>
      <c r="S1812" s="88"/>
      <c r="T1812" s="88"/>
      <c r="U1812" s="88"/>
      <c r="V1812" s="88"/>
      <c r="W1812" s="88"/>
    </row>
    <row r="1813" spans="2:23" s="0" customFormat="0" ht="15">
      <c r="B1813" s="87" t="s">
        <v>1</v>
      </c>
      <c r="C1813" s="88" t="s">
        <v>5259</v>
      </c>
      <c r="D1813" s="88">
        <v>24923220</v>
      </c>
      <c r="E1813" s="88" t="s">
        <v>61</v>
      </c>
      <c r="F1813" s="88">
        <v>0</v>
      </c>
      <c r="G1813" s="78">
        <f>MAX(H1813,I1813,J1813)</f>
        <v>1</v>
      </c>
      <c r="H1813" s="88"/>
      <c r="I1813" s="88"/>
      <c r="J1813" s="78">
        <f>MAX(K1813:Q1813)</f>
        <v>1</v>
      </c>
      <c r="K1813" s="88">
        <v>1</v>
      </c>
      <c r="L1813" s="88"/>
      <c r="M1813" s="88"/>
      <c r="N1813" s="88"/>
      <c r="O1813" s="88"/>
      <c r="P1813" s="88"/>
      <c r="Q1813" s="88"/>
      <c r="R1813" s="78">
        <f>MAX(S1813:W1813)</f>
        <v>0</v>
      </c>
      <c r="S1813" s="88"/>
      <c r="T1813" s="88"/>
      <c r="U1813" s="88"/>
      <c r="V1813" s="88"/>
      <c r="W1813" s="88"/>
    </row>
    <row r="1814" spans="2:23" s="0" customFormat="0" ht="15">
      <c r="B1814" s="87" t="s">
        <v>1</v>
      </c>
      <c r="C1814" s="88" t="s">
        <v>5259</v>
      </c>
      <c r="D1814" s="88">
        <v>21771039</v>
      </c>
      <c r="E1814" s="88" t="s">
        <v>61</v>
      </c>
      <c r="F1814" s="88">
        <v>0</v>
      </c>
      <c r="G1814" s="78">
        <f>MAX(H1814,I1814,J1814)</f>
        <v>1</v>
      </c>
      <c r="H1814" s="88"/>
      <c r="I1814" s="88"/>
      <c r="J1814" s="78">
        <f>MAX(K1814:Q1814)</f>
        <v>1</v>
      </c>
      <c r="K1814" s="88">
        <v>1</v>
      </c>
      <c r="L1814" s="88"/>
      <c r="M1814" s="88"/>
      <c r="N1814" s="88"/>
      <c r="O1814" s="88"/>
      <c r="P1814" s="88"/>
      <c r="Q1814" s="88"/>
      <c r="R1814" s="78">
        <f>MAX(S1814:W1814)</f>
        <v>0</v>
      </c>
      <c r="S1814" s="88"/>
      <c r="T1814" s="88"/>
      <c r="U1814" s="88"/>
      <c r="V1814" s="88"/>
      <c r="W1814" s="88"/>
    </row>
    <row r="1815" spans="2:23" s="0" customFormat="0" ht="15">
      <c r="B1815" s="87" t="s">
        <v>1</v>
      </c>
      <c r="C1815" s="88" t="s">
        <v>5259</v>
      </c>
      <c r="D1815" s="88">
        <v>15524804</v>
      </c>
      <c r="E1815" s="88" t="s">
        <v>61</v>
      </c>
      <c r="F1815" s="88">
        <v>0</v>
      </c>
      <c r="G1815" s="78">
        <f>MAX(H1815,I1815,J1815)</f>
        <v>1</v>
      </c>
      <c r="H1815" s="88"/>
      <c r="I1815" s="88"/>
      <c r="J1815" s="78">
        <f>MAX(K1815:Q1815)</f>
        <v>1</v>
      </c>
      <c r="K1815" s="88">
        <v>1</v>
      </c>
      <c r="L1815" s="88"/>
      <c r="M1815" s="88"/>
      <c r="N1815" s="88"/>
      <c r="O1815" s="88"/>
      <c r="P1815" s="88"/>
      <c r="Q1815" s="88"/>
      <c r="R1815" s="78">
        <f>MAX(S1815:W1815)</f>
        <v>0</v>
      </c>
      <c r="S1815" s="88"/>
      <c r="T1815" s="88"/>
      <c r="U1815" s="88"/>
      <c r="V1815" s="88"/>
      <c r="W1815" s="88"/>
    </row>
    <row r="1816" spans="2:23" s="0" customFormat="0" ht="15">
      <c r="B1816" s="87" t="s">
        <v>1</v>
      </c>
      <c r="C1816" s="88" t="s">
        <v>5259</v>
      </c>
      <c r="D1816" s="88" t="s">
        <v>4133</v>
      </c>
      <c r="E1816" s="88" t="s">
        <v>61</v>
      </c>
      <c r="F1816" s="88">
        <v>0</v>
      </c>
      <c r="G1816" s="78">
        <f>MAX(H1816,I1816,J1816)</f>
        <v>0</v>
      </c>
      <c r="H1816" s="88"/>
      <c r="I1816" s="88"/>
      <c r="J1816" s="78">
        <f>MAX(K1816:Q1816)</f>
        <v>0</v>
      </c>
      <c r="K1816" s="88"/>
      <c r="L1816" s="88"/>
      <c r="M1816" s="88"/>
      <c r="N1816" s="88"/>
      <c r="O1816" s="88"/>
      <c r="P1816" s="88"/>
      <c r="Q1816" s="88"/>
      <c r="R1816" s="78">
        <f>MAX(S1816:W1816)</f>
        <v>1</v>
      </c>
      <c r="S1816" s="88"/>
      <c r="T1816" s="88"/>
      <c r="U1816" s="88">
        <v>1</v>
      </c>
      <c r="V1816" s="88"/>
      <c r="W1816" s="88"/>
    </row>
    <row r="1817" spans="2:23" s="0" customFormat="0" ht="15">
      <c r="B1817" s="87" t="s">
        <v>1</v>
      </c>
      <c r="C1817" s="88" t="s">
        <v>5259</v>
      </c>
      <c r="D1817" s="88" t="s">
        <v>4135</v>
      </c>
      <c r="E1817" s="88" t="s">
        <v>61</v>
      </c>
      <c r="F1817" s="88">
        <v>0</v>
      </c>
      <c r="G1817" s="78">
        <f>MAX(H1817,I1817,J1817)</f>
        <v>0</v>
      </c>
      <c r="H1817" s="88"/>
      <c r="I1817" s="88"/>
      <c r="J1817" s="78">
        <f>MAX(K1817:Q1817)</f>
        <v>0</v>
      </c>
      <c r="K1817" s="88"/>
      <c r="L1817" s="88"/>
      <c r="M1817" s="88"/>
      <c r="N1817" s="88"/>
      <c r="O1817" s="88"/>
      <c r="P1817" s="88"/>
      <c r="Q1817" s="88"/>
      <c r="R1817" s="78">
        <f>MAX(S1817:W1817)</f>
        <v>1</v>
      </c>
      <c r="S1817" s="88"/>
      <c r="T1817" s="88"/>
      <c r="U1817" s="88">
        <v>1</v>
      </c>
      <c r="V1817" s="88"/>
      <c r="W1817" s="88"/>
    </row>
    <row r="1818" spans="2:23" s="0" customFormat="0" ht="15">
      <c r="B1818" s="87" t="s">
        <v>1</v>
      </c>
      <c r="C1818" s="88" t="s">
        <v>5259</v>
      </c>
      <c r="D1818" s="88">
        <v>12363288</v>
      </c>
      <c r="E1818" s="88" t="s">
        <v>61</v>
      </c>
      <c r="F1818" s="88">
        <v>0</v>
      </c>
      <c r="G1818" s="78">
        <f>MAX(H1818,I1818,J1818)</f>
        <v>1</v>
      </c>
      <c r="H1818" s="88"/>
      <c r="I1818" s="88"/>
      <c r="J1818" s="78">
        <f>MAX(K1818:Q1818)</f>
        <v>1</v>
      </c>
      <c r="K1818" s="88">
        <v>1</v>
      </c>
      <c r="L1818" s="88"/>
      <c r="M1818" s="88"/>
      <c r="N1818" s="88"/>
      <c r="O1818" s="88"/>
      <c r="P1818" s="88"/>
      <c r="Q1818" s="88"/>
      <c r="R1818" s="78">
        <f>MAX(S1818:W1818)</f>
        <v>0</v>
      </c>
      <c r="S1818" s="88"/>
      <c r="T1818" s="88"/>
      <c r="U1818" s="88"/>
      <c r="V1818" s="88"/>
      <c r="W1818" s="88"/>
    </row>
    <row r="1819" spans="2:23" s="0" customFormat="0" ht="15">
      <c r="B1819" s="87" t="s">
        <v>1</v>
      </c>
      <c r="C1819" s="88" t="s">
        <v>5259</v>
      </c>
      <c r="D1819" s="88" t="s">
        <v>3233</v>
      </c>
      <c r="E1819" s="88" t="s">
        <v>61</v>
      </c>
      <c r="F1819" s="88">
        <v>0</v>
      </c>
      <c r="G1819" s="78">
        <f>MAX(H1819,I1819,J1819)</f>
        <v>0</v>
      </c>
      <c r="H1819" s="88"/>
      <c r="I1819" s="88"/>
      <c r="J1819" s="78">
        <f>MAX(K1819:Q1819)</f>
        <v>0</v>
      </c>
      <c r="K1819" s="88"/>
      <c r="L1819" s="88"/>
      <c r="M1819" s="88"/>
      <c r="N1819" s="88"/>
      <c r="O1819" s="88"/>
      <c r="P1819" s="88"/>
      <c r="Q1819" s="88"/>
      <c r="R1819" s="78">
        <f>MAX(S1819:W1819)</f>
        <v>1</v>
      </c>
      <c r="S1819" s="88"/>
      <c r="T1819" s="88"/>
      <c r="U1819" s="88"/>
      <c r="V1819" s="88">
        <v>1</v>
      </c>
      <c r="W1819" s="88"/>
    </row>
    <row r="1820" spans="2:23" s="0" customFormat="0" ht="15">
      <c r="B1820" s="87" t="s">
        <v>1</v>
      </c>
      <c r="C1820" s="88" t="s">
        <v>5259</v>
      </c>
      <c r="D1820" s="88">
        <v>11773262</v>
      </c>
      <c r="E1820" s="88" t="s">
        <v>61</v>
      </c>
      <c r="F1820" s="88">
        <v>0</v>
      </c>
      <c r="G1820" s="78">
        <f>MAX(H1820,I1820,J1820)</f>
        <v>1</v>
      </c>
      <c r="H1820" s="88"/>
      <c r="I1820" s="88"/>
      <c r="J1820" s="78">
        <f>MAX(K1820:Q1820)</f>
        <v>1</v>
      </c>
      <c r="K1820" s="88">
        <v>1</v>
      </c>
      <c r="L1820" s="88"/>
      <c r="M1820" s="88"/>
      <c r="N1820" s="88"/>
      <c r="O1820" s="88"/>
      <c r="P1820" s="88"/>
      <c r="Q1820" s="88"/>
      <c r="R1820" s="78">
        <f>MAX(S1820:W1820)</f>
        <v>0</v>
      </c>
      <c r="S1820" s="88"/>
      <c r="T1820" s="88"/>
      <c r="U1820" s="88"/>
      <c r="V1820" s="88"/>
      <c r="W1820" s="88"/>
    </row>
    <row r="1821" spans="2:23" s="0" customFormat="0" ht="15">
      <c r="B1821" s="87" t="s">
        <v>1</v>
      </c>
      <c r="C1821" s="88" t="s">
        <v>5259</v>
      </c>
      <c r="D1821" s="88" t="s">
        <v>4005</v>
      </c>
      <c r="E1821" s="88" t="s">
        <v>61</v>
      </c>
      <c r="F1821" s="88">
        <v>0</v>
      </c>
      <c r="G1821" s="78">
        <f>MAX(H1821,I1821,J1821)</f>
        <v>0</v>
      </c>
      <c r="H1821" s="88"/>
      <c r="I1821" s="88"/>
      <c r="J1821" s="78">
        <f>MAX(K1821:Q1821)</f>
        <v>0</v>
      </c>
      <c r="K1821" s="88"/>
      <c r="L1821" s="88"/>
      <c r="M1821" s="88"/>
      <c r="N1821" s="88"/>
      <c r="O1821" s="88"/>
      <c r="P1821" s="88"/>
      <c r="Q1821" s="88"/>
      <c r="R1821" s="78">
        <f>MAX(S1821:W1821)</f>
        <v>1</v>
      </c>
      <c r="S1821" s="88"/>
      <c r="T1821" s="88"/>
      <c r="U1821" s="88">
        <v>1</v>
      </c>
      <c r="V1821" s="88"/>
      <c r="W1821" s="88"/>
    </row>
    <row r="1822" spans="2:23" s="0" customFormat="0" ht="15">
      <c r="B1822" s="87" t="s">
        <v>1</v>
      </c>
      <c r="C1822" s="88" t="s">
        <v>5259</v>
      </c>
      <c r="D1822" s="88">
        <v>8416920</v>
      </c>
      <c r="E1822" s="88" t="s">
        <v>61</v>
      </c>
      <c r="F1822" s="88">
        <v>0</v>
      </c>
      <c r="G1822" s="78">
        <f>MAX(H1822,I1822,J1822)</f>
        <v>1</v>
      </c>
      <c r="H1822" s="88"/>
      <c r="I1822" s="88"/>
      <c r="J1822" s="78">
        <f>MAX(K1822:Q1822)</f>
        <v>1</v>
      </c>
      <c r="K1822" s="88">
        <v>1</v>
      </c>
      <c r="L1822" s="88"/>
      <c r="M1822" s="88"/>
      <c r="N1822" s="88"/>
      <c r="O1822" s="88"/>
      <c r="P1822" s="88"/>
      <c r="Q1822" s="88"/>
      <c r="R1822" s="78">
        <f>MAX(S1822:W1822)</f>
        <v>0</v>
      </c>
      <c r="S1822" s="88"/>
      <c r="T1822" s="88"/>
      <c r="U1822" s="88"/>
      <c r="V1822" s="88"/>
      <c r="W1822" s="88"/>
    </row>
    <row r="1823" spans="2:23" s="0" customFormat="0" ht="15">
      <c r="B1823" s="87" t="s">
        <v>1</v>
      </c>
      <c r="C1823" s="88" t="s">
        <v>5259</v>
      </c>
      <c r="D1823" s="88">
        <v>14504618</v>
      </c>
      <c r="E1823" s="88" t="s">
        <v>61</v>
      </c>
      <c r="F1823" s="88">
        <v>0</v>
      </c>
      <c r="G1823" s="78">
        <f>MAX(H1823,I1823,J1823)</f>
        <v>0</v>
      </c>
      <c r="H1823" s="88"/>
      <c r="I1823" s="88"/>
      <c r="J1823" s="78">
        <f>MAX(K1823:Q1823)</f>
        <v>0</v>
      </c>
      <c r="K1823" s="88"/>
      <c r="L1823" s="88"/>
      <c r="M1823" s="88"/>
      <c r="N1823" s="88"/>
      <c r="O1823" s="88"/>
      <c r="P1823" s="88"/>
      <c r="Q1823" s="88"/>
      <c r="R1823" s="78">
        <f>MAX(S1823:W1823)</f>
        <v>1</v>
      </c>
      <c r="S1823" s="88"/>
      <c r="T1823" s="88"/>
      <c r="U1823" s="88">
        <v>1</v>
      </c>
      <c r="V1823" s="88"/>
      <c r="W1823" s="88"/>
    </row>
    <row r="1824" spans="2:23" s="0" customFormat="0" ht="15">
      <c r="B1824" s="87" t="s">
        <v>1</v>
      </c>
      <c r="C1824" s="88" t="s">
        <v>5259</v>
      </c>
      <c r="D1824" s="88">
        <v>13315410</v>
      </c>
      <c r="E1824" s="88" t="s">
        <v>61</v>
      </c>
      <c r="F1824" s="88">
        <v>0</v>
      </c>
      <c r="G1824" s="78">
        <f>MAX(H1824,I1824,J1824)</f>
        <v>1</v>
      </c>
      <c r="H1824" s="88"/>
      <c r="I1824" s="88"/>
      <c r="J1824" s="78">
        <f>MAX(K1824:Q1824)</f>
        <v>1</v>
      </c>
      <c r="K1824" s="88">
        <v>1</v>
      </c>
      <c r="L1824" s="88"/>
      <c r="M1824" s="88"/>
      <c r="N1824" s="88"/>
      <c r="O1824" s="88"/>
      <c r="P1824" s="88"/>
      <c r="Q1824" s="88"/>
      <c r="R1824" s="78">
        <f>MAX(S1824:W1824)</f>
        <v>0</v>
      </c>
      <c r="S1824" s="88"/>
      <c r="T1824" s="88"/>
      <c r="U1824" s="88"/>
      <c r="V1824" s="88"/>
      <c r="W1824" s="88"/>
    </row>
    <row r="1825" spans="2:23" s="0" customFormat="0" ht="15">
      <c r="B1825" s="87" t="s">
        <v>1</v>
      </c>
      <c r="C1825" s="88" t="s">
        <v>5259</v>
      </c>
      <c r="D1825" s="88">
        <v>16974601</v>
      </c>
      <c r="E1825" s="88" t="s">
        <v>61</v>
      </c>
      <c r="F1825" s="88">
        <v>0</v>
      </c>
      <c r="G1825" s="78">
        <f>MAX(H1825,I1825,J1825)</f>
        <v>0</v>
      </c>
      <c r="H1825" s="88"/>
      <c r="I1825" s="88"/>
      <c r="J1825" s="78">
        <f>MAX(K1825:Q1825)</f>
        <v>0</v>
      </c>
      <c r="K1825" s="88"/>
      <c r="L1825" s="88"/>
      <c r="M1825" s="88"/>
      <c r="N1825" s="88"/>
      <c r="O1825" s="88"/>
      <c r="P1825" s="88"/>
      <c r="Q1825" s="88"/>
      <c r="R1825" s="78">
        <f>MAX(S1825:W1825)</f>
        <v>1</v>
      </c>
      <c r="S1825" s="88"/>
      <c r="T1825" s="88"/>
      <c r="U1825" s="88">
        <v>1</v>
      </c>
      <c r="V1825" s="88"/>
      <c r="W1825" s="88"/>
    </row>
    <row r="1826" spans="2:23" s="0" customFormat="0" ht="15">
      <c r="B1826" s="87" t="s">
        <v>1</v>
      </c>
      <c r="C1826" s="88" t="s">
        <v>5259</v>
      </c>
      <c r="D1826" s="88" t="s">
        <v>628</v>
      </c>
      <c r="E1826" s="88" t="s">
        <v>61</v>
      </c>
      <c r="F1826" s="88">
        <v>0</v>
      </c>
      <c r="G1826" s="78">
        <f>MAX(H1826,I1826,J1826)</f>
        <v>1</v>
      </c>
      <c r="H1826" s="88"/>
      <c r="I1826" s="88"/>
      <c r="J1826" s="78">
        <f>MAX(K1826:Q1826)</f>
        <v>1</v>
      </c>
      <c r="K1826" s="88">
        <v>1</v>
      </c>
      <c r="L1826" s="88"/>
      <c r="M1826" s="88"/>
      <c r="N1826" s="88"/>
      <c r="O1826" s="88"/>
      <c r="P1826" s="88"/>
      <c r="Q1826" s="88"/>
      <c r="R1826" s="78">
        <f>MAX(S1826:W1826)</f>
        <v>0</v>
      </c>
      <c r="S1826" s="88"/>
      <c r="T1826" s="88"/>
      <c r="U1826" s="88"/>
      <c r="V1826" s="88"/>
      <c r="W1826" s="88"/>
    </row>
    <row r="1827" spans="2:23" s="0" customFormat="0" ht="15">
      <c r="B1827" s="87" t="s">
        <v>1</v>
      </c>
      <c r="C1827" s="88" t="s">
        <v>5259</v>
      </c>
      <c r="D1827" s="88">
        <v>18423592</v>
      </c>
      <c r="E1827" s="88" t="s">
        <v>61</v>
      </c>
      <c r="F1827" s="88">
        <v>0</v>
      </c>
      <c r="G1827" s="78">
        <f>MAX(H1827,I1827,J1827)</f>
        <v>0</v>
      </c>
      <c r="H1827" s="88"/>
      <c r="I1827" s="88"/>
      <c r="J1827" s="78">
        <f>MAX(K1827:Q1827)</f>
        <v>0</v>
      </c>
      <c r="K1827" s="88"/>
      <c r="L1827" s="88"/>
      <c r="M1827" s="88"/>
      <c r="N1827" s="88"/>
      <c r="O1827" s="88"/>
      <c r="P1827" s="88"/>
      <c r="Q1827" s="88"/>
      <c r="R1827" s="78">
        <f>MAX(S1827:W1827)</f>
        <v>1</v>
      </c>
      <c r="S1827" s="88"/>
      <c r="T1827" s="88"/>
      <c r="U1827" s="88">
        <v>1</v>
      </c>
      <c r="V1827" s="88"/>
      <c r="W1827" s="88"/>
    </row>
    <row r="1828" spans="2:23" s="0" customFormat="0" ht="15">
      <c r="B1828" s="87" t="s">
        <v>1</v>
      </c>
      <c r="C1828" s="88" t="s">
        <v>5259</v>
      </c>
      <c r="D1828" s="88">
        <v>20902600</v>
      </c>
      <c r="E1828" s="88" t="s">
        <v>61</v>
      </c>
      <c r="F1828" s="88">
        <v>0</v>
      </c>
      <c r="G1828" s="78">
        <f>MAX(H1828,I1828,J1828)</f>
        <v>1</v>
      </c>
      <c r="H1828" s="88"/>
      <c r="I1828" s="88"/>
      <c r="J1828" s="78">
        <f>MAX(K1828:Q1828)</f>
        <v>1</v>
      </c>
      <c r="K1828" s="88">
        <v>1</v>
      </c>
      <c r="L1828" s="88"/>
      <c r="M1828" s="88"/>
      <c r="N1828" s="88"/>
      <c r="O1828" s="88"/>
      <c r="P1828" s="88"/>
      <c r="Q1828" s="88"/>
      <c r="R1828" s="78">
        <f>MAX(S1828:W1828)</f>
        <v>0</v>
      </c>
      <c r="S1828" s="88"/>
      <c r="T1828" s="88"/>
      <c r="U1828" s="88"/>
      <c r="V1828" s="88"/>
      <c r="W1828" s="88"/>
    </row>
    <row r="1829" spans="2:23" s="0" customFormat="0" ht="15">
      <c r="B1829" s="87" t="s">
        <v>1</v>
      </c>
      <c r="C1829" s="88" t="s">
        <v>5259</v>
      </c>
      <c r="D1829" s="88" t="s">
        <v>1392</v>
      </c>
      <c r="E1829" s="88" t="s">
        <v>61</v>
      </c>
      <c r="F1829" s="88">
        <v>0</v>
      </c>
      <c r="G1829" s="78">
        <f>MAX(H1829,I1829,J1829)</f>
        <v>1</v>
      </c>
      <c r="H1829" s="88"/>
      <c r="I1829" s="88"/>
      <c r="J1829" s="78">
        <f>MAX(K1829:Q1829)</f>
        <v>1</v>
      </c>
      <c r="K1829" s="88">
        <v>1</v>
      </c>
      <c r="L1829" s="88"/>
      <c r="M1829" s="88"/>
      <c r="N1829" s="88"/>
      <c r="O1829" s="88"/>
      <c r="P1829" s="88"/>
      <c r="Q1829" s="88"/>
      <c r="R1829" s="78">
        <f>MAX(S1829:W1829)</f>
        <v>0</v>
      </c>
      <c r="S1829" s="88"/>
      <c r="T1829" s="88"/>
      <c r="U1829" s="88"/>
      <c r="V1829" s="88"/>
      <c r="W1829" s="88"/>
    </row>
    <row r="1830" spans="2:23" s="0" customFormat="0" ht="15">
      <c r="B1830" s="87" t="s">
        <v>1</v>
      </c>
      <c r="C1830" s="88" t="s">
        <v>5259</v>
      </c>
      <c r="D1830" s="88">
        <v>16627755</v>
      </c>
      <c r="E1830" s="88" t="s">
        <v>61</v>
      </c>
      <c r="F1830" s="88">
        <v>0</v>
      </c>
      <c r="G1830" s="78">
        <f>MAX(H1830,I1830,J1830)</f>
        <v>1</v>
      </c>
      <c r="H1830" s="88"/>
      <c r="I1830" s="88"/>
      <c r="J1830" s="78">
        <f>MAX(K1830:Q1830)</f>
        <v>1</v>
      </c>
      <c r="K1830" s="88"/>
      <c r="L1830" s="88"/>
      <c r="M1830" s="88">
        <v>1</v>
      </c>
      <c r="N1830" s="88"/>
      <c r="O1830" s="88"/>
      <c r="P1830" s="88"/>
      <c r="Q1830" s="88"/>
      <c r="R1830" s="78">
        <f>MAX(S1830:W1830)</f>
        <v>0</v>
      </c>
      <c r="S1830" s="88"/>
      <c r="T1830" s="88"/>
      <c r="U1830" s="88"/>
      <c r="V1830" s="88"/>
      <c r="W1830" s="88"/>
    </row>
    <row r="1831" spans="2:23" s="0" customFormat="0" ht="15">
      <c r="B1831" s="87" t="s">
        <v>1</v>
      </c>
      <c r="C1831" s="88" t="s">
        <v>5259</v>
      </c>
      <c r="D1831" s="88">
        <v>21521373</v>
      </c>
      <c r="E1831" s="88" t="s">
        <v>61</v>
      </c>
      <c r="F1831" s="88">
        <v>0</v>
      </c>
      <c r="G1831" s="78">
        <f>MAX(H1831,I1831,J1831)</f>
        <v>1</v>
      </c>
      <c r="H1831" s="88"/>
      <c r="I1831" s="88"/>
      <c r="J1831" s="78">
        <f>MAX(K1831:Q1831)</f>
        <v>1</v>
      </c>
      <c r="K1831" s="88">
        <v>1</v>
      </c>
      <c r="L1831" s="88"/>
      <c r="M1831" s="88"/>
      <c r="N1831" s="88"/>
      <c r="O1831" s="88"/>
      <c r="P1831" s="88"/>
      <c r="Q1831" s="88"/>
      <c r="R1831" s="78">
        <f>MAX(S1831:W1831)</f>
        <v>0</v>
      </c>
      <c r="S1831" s="88"/>
      <c r="T1831" s="88"/>
      <c r="U1831" s="88"/>
      <c r="V1831" s="88"/>
      <c r="W1831" s="88"/>
    </row>
    <row r="1832" spans="2:23" s="0" customFormat="0" ht="15">
      <c r="B1832" s="87" t="s">
        <v>1</v>
      </c>
      <c r="C1832" s="88" t="s">
        <v>5259</v>
      </c>
      <c r="D1832" s="88" t="s">
        <v>1414</v>
      </c>
      <c r="E1832" s="88" t="s">
        <v>61</v>
      </c>
      <c r="F1832" s="88">
        <v>0</v>
      </c>
      <c r="G1832" s="78">
        <f>MAX(H1832,I1832,J1832)</f>
        <v>1</v>
      </c>
      <c r="H1832" s="88"/>
      <c r="I1832" s="88"/>
      <c r="J1832" s="78">
        <f>MAX(K1832:Q1832)</f>
        <v>1</v>
      </c>
      <c r="K1832" s="88">
        <v>1</v>
      </c>
      <c r="L1832" s="88"/>
      <c r="M1832" s="88"/>
      <c r="N1832" s="88"/>
      <c r="O1832" s="88"/>
      <c r="P1832" s="88"/>
      <c r="Q1832" s="88"/>
      <c r="R1832" s="78">
        <f>MAX(S1832:W1832)</f>
        <v>0</v>
      </c>
      <c r="S1832" s="88"/>
      <c r="T1832" s="88"/>
      <c r="U1832" s="88"/>
      <c r="V1832" s="88"/>
      <c r="W1832" s="88"/>
    </row>
    <row r="1833" spans="2:23" s="0" customFormat="0" ht="15">
      <c r="B1833" s="87" t="s">
        <v>1</v>
      </c>
      <c r="C1833" s="88" t="s">
        <v>5259</v>
      </c>
      <c r="D1833" s="88">
        <v>14731185</v>
      </c>
      <c r="E1833" s="88" t="s">
        <v>61</v>
      </c>
      <c r="F1833" s="88">
        <v>0</v>
      </c>
      <c r="G1833" s="78">
        <f>MAX(H1833,I1833,J1833)</f>
        <v>1</v>
      </c>
      <c r="H1833" s="88"/>
      <c r="I1833" s="88"/>
      <c r="J1833" s="78">
        <f>MAX(K1833:Q1833)</f>
        <v>1</v>
      </c>
      <c r="K1833" s="88">
        <v>1</v>
      </c>
      <c r="L1833" s="88"/>
      <c r="M1833" s="88"/>
      <c r="N1833" s="88"/>
      <c r="O1833" s="88"/>
      <c r="P1833" s="88"/>
      <c r="Q1833" s="88"/>
      <c r="R1833" s="78">
        <f>MAX(S1833:W1833)</f>
        <v>0</v>
      </c>
      <c r="S1833" s="88"/>
      <c r="T1833" s="88"/>
      <c r="U1833" s="88"/>
      <c r="V1833" s="88"/>
      <c r="W1833" s="88"/>
    </row>
    <row r="1834" spans="2:23" s="0" customFormat="0" ht="15">
      <c r="B1834" s="87" t="s">
        <v>1</v>
      </c>
      <c r="C1834" s="88" t="s">
        <v>5259</v>
      </c>
      <c r="D1834" s="88" t="s">
        <v>4138</v>
      </c>
      <c r="E1834" s="88" t="s">
        <v>61</v>
      </c>
      <c r="F1834" s="88">
        <v>0</v>
      </c>
      <c r="G1834" s="78">
        <f>MAX(H1834,I1834,J1834)</f>
        <v>0</v>
      </c>
      <c r="H1834" s="88"/>
      <c r="I1834" s="88"/>
      <c r="J1834" s="78">
        <f>MAX(K1834:Q1834)</f>
        <v>0</v>
      </c>
      <c r="K1834" s="88"/>
      <c r="L1834" s="88"/>
      <c r="M1834" s="88"/>
      <c r="N1834" s="88"/>
      <c r="O1834" s="88"/>
      <c r="P1834" s="88"/>
      <c r="Q1834" s="88"/>
      <c r="R1834" s="78">
        <f>MAX(S1834:W1834)</f>
        <v>1</v>
      </c>
      <c r="S1834" s="88"/>
      <c r="T1834" s="88"/>
      <c r="U1834" s="88">
        <v>1</v>
      </c>
      <c r="V1834" s="88"/>
      <c r="W1834" s="88"/>
    </row>
    <row r="1835" spans="2:23" s="0" customFormat="0" ht="15">
      <c r="B1835" s="87" t="s">
        <v>1</v>
      </c>
      <c r="C1835" s="88" t="s">
        <v>5259</v>
      </c>
      <c r="D1835" s="88" t="s">
        <v>4140</v>
      </c>
      <c r="E1835" s="88" t="s">
        <v>61</v>
      </c>
      <c r="F1835" s="88">
        <v>0</v>
      </c>
      <c r="G1835" s="78">
        <f>MAX(H1835,I1835,J1835)</f>
        <v>0</v>
      </c>
      <c r="H1835" s="88"/>
      <c r="I1835" s="88"/>
      <c r="J1835" s="78">
        <f>MAX(K1835:Q1835)</f>
        <v>0</v>
      </c>
      <c r="K1835" s="88"/>
      <c r="L1835" s="88"/>
      <c r="M1835" s="88"/>
      <c r="N1835" s="88"/>
      <c r="O1835" s="88"/>
      <c r="P1835" s="88"/>
      <c r="Q1835" s="88"/>
      <c r="R1835" s="78">
        <f>MAX(S1835:W1835)</f>
        <v>1</v>
      </c>
      <c r="S1835" s="88"/>
      <c r="T1835" s="88"/>
      <c r="U1835" s="88">
        <v>1</v>
      </c>
      <c r="V1835" s="88"/>
      <c r="W1835" s="88"/>
    </row>
    <row r="1836" spans="2:23" s="0" customFormat="0" ht="15">
      <c r="B1836" s="87" t="s">
        <v>1</v>
      </c>
      <c r="C1836" s="88" t="s">
        <v>5259</v>
      </c>
      <c r="D1836" s="88">
        <v>8590153</v>
      </c>
      <c r="E1836" s="88" t="s">
        <v>61</v>
      </c>
      <c r="F1836" s="88">
        <v>0</v>
      </c>
      <c r="G1836" s="78">
        <f>MAX(H1836,I1836,J1836)</f>
        <v>1</v>
      </c>
      <c r="H1836" s="88"/>
      <c r="I1836" s="88"/>
      <c r="J1836" s="78">
        <f>MAX(K1836:Q1836)</f>
        <v>1</v>
      </c>
      <c r="K1836" s="88">
        <v>1</v>
      </c>
      <c r="L1836" s="88"/>
      <c r="M1836" s="88"/>
      <c r="N1836" s="88"/>
      <c r="O1836" s="88"/>
      <c r="P1836" s="88"/>
      <c r="Q1836" s="88"/>
      <c r="R1836" s="78">
        <f>MAX(S1836:W1836)</f>
        <v>0</v>
      </c>
      <c r="S1836" s="88"/>
      <c r="T1836" s="88"/>
      <c r="U1836" s="88"/>
      <c r="V1836" s="88"/>
      <c r="W1836" s="88"/>
    </row>
    <row r="1837" spans="2:23" s="0" customFormat="0" ht="15">
      <c r="B1837" s="87" t="s">
        <v>1</v>
      </c>
      <c r="C1837" s="88" t="s">
        <v>5259</v>
      </c>
      <c r="D1837" s="88" t="s">
        <v>1418</v>
      </c>
      <c r="E1837" s="88" t="s">
        <v>61</v>
      </c>
      <c r="F1837" s="88">
        <v>0</v>
      </c>
      <c r="G1837" s="78">
        <f>MAX(H1837,I1837,J1837)</f>
        <v>1</v>
      </c>
      <c r="H1837" s="88"/>
      <c r="I1837" s="88"/>
      <c r="J1837" s="78">
        <f>MAX(K1837:Q1837)</f>
        <v>1</v>
      </c>
      <c r="K1837" s="88">
        <v>1</v>
      </c>
      <c r="L1837" s="88"/>
      <c r="M1837" s="88"/>
      <c r="N1837" s="88"/>
      <c r="O1837" s="88"/>
      <c r="P1837" s="88"/>
      <c r="Q1837" s="88"/>
      <c r="R1837" s="78">
        <f>MAX(S1837:W1837)</f>
        <v>0</v>
      </c>
      <c r="S1837" s="88"/>
      <c r="T1837" s="88"/>
      <c r="U1837" s="88"/>
      <c r="V1837" s="88"/>
      <c r="W1837" s="88"/>
    </row>
    <row r="1838" spans="2:23" s="0" customFormat="0" ht="15">
      <c r="B1838" s="87" t="s">
        <v>1</v>
      </c>
      <c r="C1838" s="88" t="s">
        <v>5259</v>
      </c>
      <c r="D1838" s="88" t="s">
        <v>3286</v>
      </c>
      <c r="E1838" s="88" t="s">
        <v>61</v>
      </c>
      <c r="F1838" s="88">
        <v>0</v>
      </c>
      <c r="G1838" s="78">
        <f>MAX(H1838,I1838,J1838)</f>
        <v>0</v>
      </c>
      <c r="H1838" s="88"/>
      <c r="I1838" s="88"/>
      <c r="J1838" s="78">
        <f>MAX(K1838:Q1838)</f>
        <v>0</v>
      </c>
      <c r="K1838" s="88"/>
      <c r="L1838" s="88"/>
      <c r="M1838" s="88"/>
      <c r="N1838" s="88"/>
      <c r="O1838" s="88"/>
      <c r="P1838" s="88"/>
      <c r="Q1838" s="88"/>
      <c r="R1838" s="78">
        <f>MAX(S1838:W1838)</f>
        <v>1</v>
      </c>
      <c r="S1838" s="88"/>
      <c r="T1838" s="88"/>
      <c r="U1838" s="88">
        <v>1</v>
      </c>
      <c r="V1838" s="88"/>
      <c r="W1838" s="88"/>
    </row>
    <row r="1839" spans="2:23" s="0" customFormat="0" ht="15">
      <c r="B1839" s="87" t="s">
        <v>1</v>
      </c>
      <c r="C1839" s="88" t="s">
        <v>5259</v>
      </c>
      <c r="D1839" s="88">
        <v>24083947</v>
      </c>
      <c r="E1839" s="88" t="s">
        <v>61</v>
      </c>
      <c r="F1839" s="88">
        <v>0</v>
      </c>
      <c r="G1839" s="78">
        <f>MAX(H1839,I1839,J1839)</f>
        <v>1</v>
      </c>
      <c r="H1839" s="88"/>
      <c r="I1839" s="88"/>
      <c r="J1839" s="78">
        <f>MAX(K1839:Q1839)</f>
        <v>1</v>
      </c>
      <c r="K1839" s="88">
        <v>1</v>
      </c>
      <c r="L1839" s="88"/>
      <c r="M1839" s="88"/>
      <c r="N1839" s="88"/>
      <c r="O1839" s="88"/>
      <c r="P1839" s="88"/>
      <c r="Q1839" s="88"/>
      <c r="R1839" s="78">
        <f>MAX(S1839:W1839)</f>
        <v>0</v>
      </c>
      <c r="S1839" s="88"/>
      <c r="T1839" s="88"/>
      <c r="U1839" s="88"/>
      <c r="V1839" s="88"/>
      <c r="W1839" s="88"/>
    </row>
    <row r="1840" spans="2:23" s="0" customFormat="0" ht="15">
      <c r="B1840" s="87" t="s">
        <v>1</v>
      </c>
      <c r="C1840" s="88" t="s">
        <v>5259</v>
      </c>
      <c r="D1840" s="88" t="s">
        <v>3748</v>
      </c>
      <c r="E1840" s="88" t="s">
        <v>61</v>
      </c>
      <c r="F1840" s="88">
        <v>0</v>
      </c>
      <c r="G1840" s="78">
        <f>MAX(H1840,I1840,J1840)</f>
        <v>0</v>
      </c>
      <c r="H1840" s="88"/>
      <c r="I1840" s="88"/>
      <c r="J1840" s="78">
        <f>MAX(K1840:Q1840)</f>
        <v>0</v>
      </c>
      <c r="K1840" s="88"/>
      <c r="L1840" s="88"/>
      <c r="M1840" s="88"/>
      <c r="N1840" s="88"/>
      <c r="O1840" s="88"/>
      <c r="P1840" s="88"/>
      <c r="Q1840" s="88"/>
      <c r="R1840" s="78">
        <f>MAX(S1840:W1840)</f>
        <v>1</v>
      </c>
      <c r="S1840" s="88"/>
      <c r="T1840" s="88"/>
      <c r="U1840" s="88">
        <v>1</v>
      </c>
      <c r="V1840" s="88"/>
      <c r="W1840" s="88"/>
    </row>
    <row r="1841" spans="2:23" s="0" customFormat="0" ht="15">
      <c r="B1841" s="87" t="s">
        <v>1</v>
      </c>
      <c r="C1841" s="88" t="s">
        <v>5259</v>
      </c>
      <c r="D1841" s="88" t="s">
        <v>1420</v>
      </c>
      <c r="E1841" s="88" t="s">
        <v>61</v>
      </c>
      <c r="F1841" s="88">
        <v>0</v>
      </c>
      <c r="G1841" s="78">
        <f>MAX(H1841,I1841,J1841)</f>
        <v>1</v>
      </c>
      <c r="H1841" s="88"/>
      <c r="I1841" s="88"/>
      <c r="J1841" s="78">
        <f>MAX(K1841:Q1841)</f>
        <v>1</v>
      </c>
      <c r="K1841" s="88">
        <v>1</v>
      </c>
      <c r="L1841" s="88"/>
      <c r="M1841" s="88"/>
      <c r="N1841" s="88"/>
      <c r="O1841" s="88"/>
      <c r="P1841" s="88"/>
      <c r="Q1841" s="88"/>
      <c r="R1841" s="78">
        <f>MAX(S1841:W1841)</f>
        <v>0</v>
      </c>
      <c r="S1841" s="88"/>
      <c r="T1841" s="88"/>
      <c r="U1841" s="88"/>
      <c r="V1841" s="88"/>
      <c r="W1841" s="88"/>
    </row>
    <row r="1842" spans="2:23" s="0" customFormat="0" ht="15">
      <c r="B1842" s="87" t="s">
        <v>1</v>
      </c>
      <c r="C1842" s="88" t="s">
        <v>5259</v>
      </c>
      <c r="D1842" s="88" t="s">
        <v>4142</v>
      </c>
      <c r="E1842" s="88" t="s">
        <v>61</v>
      </c>
      <c r="F1842" s="88">
        <v>0</v>
      </c>
      <c r="G1842" s="78">
        <f>MAX(H1842,I1842,J1842)</f>
        <v>0</v>
      </c>
      <c r="H1842" s="88"/>
      <c r="I1842" s="88"/>
      <c r="J1842" s="78">
        <f>MAX(K1842:Q1842)</f>
        <v>0</v>
      </c>
      <c r="K1842" s="88"/>
      <c r="L1842" s="88"/>
      <c r="M1842" s="88"/>
      <c r="N1842" s="88"/>
      <c r="O1842" s="88"/>
      <c r="P1842" s="88"/>
      <c r="Q1842" s="88"/>
      <c r="R1842" s="78">
        <f>MAX(S1842:W1842)</f>
        <v>1</v>
      </c>
      <c r="S1842" s="88"/>
      <c r="T1842" s="88"/>
      <c r="U1842" s="88">
        <v>1</v>
      </c>
      <c r="V1842" s="88"/>
      <c r="W1842" s="88"/>
    </row>
    <row r="1843" spans="2:23" s="0" customFormat="0" ht="15">
      <c r="B1843" s="87" t="s">
        <v>1</v>
      </c>
      <c r="C1843" s="88" t="s">
        <v>5259</v>
      </c>
      <c r="D1843" s="88">
        <v>22623681</v>
      </c>
      <c r="E1843" s="88" t="s">
        <v>61</v>
      </c>
      <c r="F1843" s="88">
        <v>0</v>
      </c>
      <c r="G1843" s="78">
        <f>MAX(H1843,I1843,J1843)</f>
        <v>0</v>
      </c>
      <c r="H1843" s="88"/>
      <c r="I1843" s="88"/>
      <c r="J1843" s="78">
        <f>MAX(K1843:Q1843)</f>
        <v>0</v>
      </c>
      <c r="K1843" s="88"/>
      <c r="L1843" s="88"/>
      <c r="M1843" s="88"/>
      <c r="N1843" s="88"/>
      <c r="O1843" s="88"/>
      <c r="P1843" s="88"/>
      <c r="Q1843" s="88"/>
      <c r="R1843" s="78">
        <f>MAX(S1843:W1843)</f>
        <v>1</v>
      </c>
      <c r="S1843" s="88"/>
      <c r="T1843" s="88"/>
      <c r="U1843" s="88">
        <v>1</v>
      </c>
      <c r="V1843" s="88"/>
      <c r="W1843" s="88"/>
    </row>
    <row r="1844" spans="2:23" s="0" customFormat="0" ht="15">
      <c r="B1844" s="87" t="s">
        <v>1</v>
      </c>
      <c r="C1844" s="88" t="s">
        <v>5259</v>
      </c>
      <c r="D1844" s="88">
        <v>19475893</v>
      </c>
      <c r="E1844" s="88" t="s">
        <v>61</v>
      </c>
      <c r="F1844" s="88">
        <v>0</v>
      </c>
      <c r="G1844" s="78">
        <f>MAX(H1844,I1844,J1844)</f>
        <v>1</v>
      </c>
      <c r="H1844" s="88"/>
      <c r="I1844" s="88"/>
      <c r="J1844" s="78">
        <f>MAX(K1844:Q1844)</f>
        <v>1</v>
      </c>
      <c r="K1844" s="88">
        <v>1</v>
      </c>
      <c r="L1844" s="88"/>
      <c r="M1844" s="88"/>
      <c r="N1844" s="88"/>
      <c r="O1844" s="88"/>
      <c r="P1844" s="88"/>
      <c r="Q1844" s="88"/>
      <c r="R1844" s="78">
        <f>MAX(S1844:W1844)</f>
        <v>0</v>
      </c>
      <c r="S1844" s="88"/>
      <c r="T1844" s="88"/>
      <c r="U1844" s="88"/>
      <c r="V1844" s="88"/>
      <c r="W1844" s="88"/>
    </row>
    <row r="1845" spans="2:23" s="0" customFormat="0" ht="15">
      <c r="B1845" s="87" t="s">
        <v>1</v>
      </c>
      <c r="C1845" s="88" t="s">
        <v>5259</v>
      </c>
      <c r="D1845" s="88">
        <v>20993772</v>
      </c>
      <c r="E1845" s="88" t="s">
        <v>61</v>
      </c>
      <c r="F1845" s="88">
        <v>0</v>
      </c>
      <c r="G1845" s="78">
        <f>MAX(H1845,I1845,J1845)</f>
        <v>1</v>
      </c>
      <c r="H1845" s="88"/>
      <c r="I1845" s="88"/>
      <c r="J1845" s="78">
        <f>MAX(K1845:Q1845)</f>
        <v>1</v>
      </c>
      <c r="K1845" s="88">
        <v>1</v>
      </c>
      <c r="L1845" s="88"/>
      <c r="M1845" s="88"/>
      <c r="N1845" s="88"/>
      <c r="O1845" s="88"/>
      <c r="P1845" s="88"/>
      <c r="Q1845" s="88"/>
      <c r="R1845" s="78">
        <f>MAX(S1845:W1845)</f>
        <v>0</v>
      </c>
      <c r="S1845" s="88"/>
      <c r="T1845" s="88"/>
      <c r="U1845" s="88"/>
      <c r="V1845" s="88"/>
      <c r="W1845" s="88"/>
    </row>
    <row r="1846" spans="2:23" s="0" customFormat="0" ht="15">
      <c r="B1846" s="87" t="s">
        <v>1</v>
      </c>
      <c r="C1846" s="88" t="s">
        <v>5259</v>
      </c>
      <c r="D1846" s="88">
        <v>21644219</v>
      </c>
      <c r="E1846" s="88" t="s">
        <v>61</v>
      </c>
      <c r="F1846" s="88">
        <v>0</v>
      </c>
      <c r="G1846" s="78">
        <f>MAX(H1846,I1846,J1846)</f>
        <v>1</v>
      </c>
      <c r="H1846" s="88"/>
      <c r="I1846" s="88"/>
      <c r="J1846" s="78">
        <f>MAX(K1846:Q1846)</f>
        <v>1</v>
      </c>
      <c r="K1846" s="88">
        <v>1</v>
      </c>
      <c r="L1846" s="88"/>
      <c r="M1846" s="88"/>
      <c r="N1846" s="88"/>
      <c r="O1846" s="88"/>
      <c r="P1846" s="88"/>
      <c r="Q1846" s="88"/>
      <c r="R1846" s="78">
        <f>MAX(S1846:W1846)</f>
        <v>0</v>
      </c>
      <c r="S1846" s="88"/>
      <c r="T1846" s="88"/>
      <c r="U1846" s="88"/>
      <c r="V1846" s="88"/>
      <c r="W1846" s="88"/>
    </row>
    <row r="1847" spans="2:23" s="0" customFormat="0" ht="15">
      <c r="B1847" s="87" t="s">
        <v>1</v>
      </c>
      <c r="C1847" s="88" t="s">
        <v>5259</v>
      </c>
      <c r="D1847" s="88" t="s">
        <v>4145</v>
      </c>
      <c r="E1847" s="88" t="s">
        <v>61</v>
      </c>
      <c r="F1847" s="88">
        <v>0</v>
      </c>
      <c r="G1847" s="78">
        <f>MAX(H1847,I1847,J1847)</f>
        <v>0</v>
      </c>
      <c r="H1847" s="88"/>
      <c r="I1847" s="88"/>
      <c r="J1847" s="78">
        <f>MAX(K1847:Q1847)</f>
        <v>0</v>
      </c>
      <c r="K1847" s="88"/>
      <c r="L1847" s="88"/>
      <c r="M1847" s="88"/>
      <c r="N1847" s="88"/>
      <c r="O1847" s="88"/>
      <c r="P1847" s="88"/>
      <c r="Q1847" s="88"/>
      <c r="R1847" s="78">
        <f>MAX(S1847:W1847)</f>
        <v>1</v>
      </c>
      <c r="S1847" s="88"/>
      <c r="T1847" s="88"/>
      <c r="U1847" s="88">
        <v>1</v>
      </c>
      <c r="V1847" s="88"/>
      <c r="W1847" s="88"/>
    </row>
    <row r="1848" spans="2:23" s="0" customFormat="0" ht="15">
      <c r="B1848" s="87" t="s">
        <v>1</v>
      </c>
      <c r="C1848" s="88" t="s">
        <v>5259</v>
      </c>
      <c r="D1848" s="88">
        <v>12994167</v>
      </c>
      <c r="E1848" s="88" t="s">
        <v>61</v>
      </c>
      <c r="F1848" s="88">
        <v>0</v>
      </c>
      <c r="G1848" s="78">
        <f>MAX(H1848,I1848,J1848)</f>
        <v>1</v>
      </c>
      <c r="H1848" s="88"/>
      <c r="I1848" s="88"/>
      <c r="J1848" s="78">
        <f>MAX(K1848:Q1848)</f>
        <v>1</v>
      </c>
      <c r="K1848" s="88">
        <v>1</v>
      </c>
      <c r="L1848" s="88"/>
      <c r="M1848" s="88"/>
      <c r="N1848" s="88"/>
      <c r="O1848" s="88"/>
      <c r="P1848" s="88"/>
      <c r="Q1848" s="88"/>
      <c r="R1848" s="78">
        <f>MAX(S1848:W1848)</f>
        <v>0</v>
      </c>
      <c r="S1848" s="88"/>
      <c r="T1848" s="88"/>
      <c r="U1848" s="88"/>
      <c r="V1848" s="88"/>
      <c r="W1848" s="88"/>
    </row>
    <row r="1849" spans="2:23" s="0" customFormat="0" ht="15">
      <c r="B1849" s="87" t="s">
        <v>1</v>
      </c>
      <c r="C1849" s="88" t="s">
        <v>5259</v>
      </c>
      <c r="D1849" s="88">
        <v>22623645</v>
      </c>
      <c r="E1849" s="88" t="s">
        <v>61</v>
      </c>
      <c r="F1849" s="88">
        <v>0</v>
      </c>
      <c r="G1849" s="78">
        <f>MAX(H1849,I1849,J1849)</f>
        <v>0</v>
      </c>
      <c r="H1849" s="88"/>
      <c r="I1849" s="88"/>
      <c r="J1849" s="78">
        <f>MAX(K1849:Q1849)</f>
        <v>0</v>
      </c>
      <c r="K1849" s="88"/>
      <c r="L1849" s="88"/>
      <c r="M1849" s="88"/>
      <c r="N1849" s="88"/>
      <c r="O1849" s="88"/>
      <c r="P1849" s="88"/>
      <c r="Q1849" s="88"/>
      <c r="R1849" s="78">
        <f>MAX(S1849:W1849)</f>
        <v>1</v>
      </c>
      <c r="S1849" s="88"/>
      <c r="T1849" s="88"/>
      <c r="U1849" s="88">
        <v>1</v>
      </c>
      <c r="V1849" s="88"/>
      <c r="W1849" s="88"/>
    </row>
    <row r="1850" spans="2:23" s="0" customFormat="0" ht="15">
      <c r="B1850" s="87" t="s">
        <v>1</v>
      </c>
      <c r="C1850" s="88" t="s">
        <v>5259</v>
      </c>
      <c r="D1850" s="88">
        <v>16168537</v>
      </c>
      <c r="E1850" s="88" t="s">
        <v>61</v>
      </c>
      <c r="F1850" s="88">
        <v>0</v>
      </c>
      <c r="G1850" s="78">
        <f>MAX(H1850,I1850,J1850)</f>
        <v>1</v>
      </c>
      <c r="H1850" s="88"/>
      <c r="I1850" s="88"/>
      <c r="J1850" s="78">
        <f>MAX(K1850:Q1850)</f>
        <v>1</v>
      </c>
      <c r="K1850" s="88">
        <v>1</v>
      </c>
      <c r="L1850" s="88"/>
      <c r="M1850" s="88"/>
      <c r="N1850" s="88"/>
      <c r="O1850" s="88"/>
      <c r="P1850" s="88"/>
      <c r="Q1850" s="88"/>
      <c r="R1850" s="78">
        <f>MAX(S1850:W1850)</f>
        <v>0</v>
      </c>
      <c r="S1850" s="88"/>
      <c r="T1850" s="88"/>
      <c r="U1850" s="88"/>
      <c r="V1850" s="88"/>
      <c r="W1850" s="88"/>
    </row>
    <row r="1851" spans="2:23" s="0" customFormat="0" ht="15">
      <c r="B1851" s="87" t="s">
        <v>1</v>
      </c>
      <c r="C1851" s="88" t="s">
        <v>5259</v>
      </c>
      <c r="D1851" s="88">
        <v>17164668</v>
      </c>
      <c r="E1851" s="88" t="s">
        <v>61</v>
      </c>
      <c r="F1851" s="88">
        <v>0</v>
      </c>
      <c r="G1851" s="78">
        <f>MAX(H1851,I1851,J1851)</f>
        <v>1</v>
      </c>
      <c r="H1851" s="88"/>
      <c r="I1851" s="88"/>
      <c r="J1851" s="78">
        <f>MAX(K1851:Q1851)</f>
        <v>1</v>
      </c>
      <c r="K1851" s="88">
        <v>1</v>
      </c>
      <c r="L1851" s="88"/>
      <c r="M1851" s="88"/>
      <c r="N1851" s="88"/>
      <c r="O1851" s="88"/>
      <c r="P1851" s="88"/>
      <c r="Q1851" s="88"/>
      <c r="R1851" s="78">
        <f>MAX(S1851:W1851)</f>
        <v>0</v>
      </c>
      <c r="S1851" s="88"/>
      <c r="T1851" s="88"/>
      <c r="U1851" s="88"/>
      <c r="V1851" s="88"/>
      <c r="W1851" s="88"/>
    </row>
    <row r="1852" spans="2:23" s="0" customFormat="0" ht="15">
      <c r="B1852" s="87" t="s">
        <v>1</v>
      </c>
      <c r="C1852" s="88" t="s">
        <v>5259</v>
      </c>
      <c r="D1852" s="88">
        <v>18946098</v>
      </c>
      <c r="E1852" s="88" t="s">
        <v>61</v>
      </c>
      <c r="F1852" s="88">
        <v>0</v>
      </c>
      <c r="G1852" s="78">
        <f>MAX(H1852,I1852,J1852)</f>
        <v>1</v>
      </c>
      <c r="H1852" s="88"/>
      <c r="I1852" s="88"/>
      <c r="J1852" s="78">
        <f>MAX(K1852:Q1852)</f>
        <v>1</v>
      </c>
      <c r="K1852" s="88">
        <v>1</v>
      </c>
      <c r="L1852" s="88"/>
      <c r="M1852" s="88"/>
      <c r="N1852" s="88"/>
      <c r="O1852" s="88"/>
      <c r="P1852" s="88"/>
      <c r="Q1852" s="88"/>
      <c r="R1852" s="78">
        <f>MAX(S1852:W1852)</f>
        <v>0</v>
      </c>
      <c r="S1852" s="88"/>
      <c r="T1852" s="88"/>
      <c r="U1852" s="88"/>
      <c r="V1852" s="88"/>
      <c r="W1852" s="88"/>
    </row>
    <row r="1853" spans="2:23" s="0" customFormat="0" ht="15">
      <c r="B1853" s="87" t="s">
        <v>1</v>
      </c>
      <c r="C1853" s="88" t="s">
        <v>5259</v>
      </c>
      <c r="D1853" s="88" t="s">
        <v>4148</v>
      </c>
      <c r="E1853" s="88" t="s">
        <v>61</v>
      </c>
      <c r="F1853" s="88">
        <v>0</v>
      </c>
      <c r="G1853" s="78">
        <f>MAX(H1853,I1853,J1853)</f>
        <v>0</v>
      </c>
      <c r="H1853" s="88"/>
      <c r="I1853" s="88"/>
      <c r="J1853" s="78">
        <f>MAX(K1853:Q1853)</f>
        <v>0</v>
      </c>
      <c r="K1853" s="88"/>
      <c r="L1853" s="88"/>
      <c r="M1853" s="88"/>
      <c r="N1853" s="88"/>
      <c r="O1853" s="88"/>
      <c r="P1853" s="88"/>
      <c r="Q1853" s="88"/>
      <c r="R1853" s="78">
        <f>MAX(S1853:W1853)</f>
        <v>1</v>
      </c>
      <c r="S1853" s="88"/>
      <c r="T1853" s="88"/>
      <c r="U1853" s="88">
        <v>1</v>
      </c>
      <c r="V1853" s="88"/>
      <c r="W1853" s="88"/>
    </row>
    <row r="1854" spans="2:23" s="0" customFormat="0" ht="15">
      <c r="B1854" s="87" t="s">
        <v>1</v>
      </c>
      <c r="C1854" s="88" t="s">
        <v>5259</v>
      </c>
      <c r="D1854" s="88" t="s">
        <v>4150</v>
      </c>
      <c r="E1854" s="88" t="s">
        <v>61</v>
      </c>
      <c r="F1854" s="88">
        <v>0</v>
      </c>
      <c r="G1854" s="78">
        <f>MAX(H1854,I1854,J1854)</f>
        <v>0</v>
      </c>
      <c r="H1854" s="88"/>
      <c r="I1854" s="88"/>
      <c r="J1854" s="78">
        <f>MAX(K1854:Q1854)</f>
        <v>0</v>
      </c>
      <c r="K1854" s="88"/>
      <c r="L1854" s="88"/>
      <c r="M1854" s="88"/>
      <c r="N1854" s="88"/>
      <c r="O1854" s="88"/>
      <c r="P1854" s="88"/>
      <c r="Q1854" s="88"/>
      <c r="R1854" s="78">
        <f>MAX(S1854:W1854)</f>
        <v>1</v>
      </c>
      <c r="S1854" s="88"/>
      <c r="T1854" s="88"/>
      <c r="U1854" s="88">
        <v>1</v>
      </c>
      <c r="V1854" s="88"/>
      <c r="W1854" s="88"/>
    </row>
    <row r="1855" spans="2:23" s="0" customFormat="0" ht="15">
      <c r="B1855" s="87" t="s">
        <v>1</v>
      </c>
      <c r="C1855" s="88" t="s">
        <v>5259</v>
      </c>
      <c r="D1855" s="88">
        <v>10578240</v>
      </c>
      <c r="E1855" s="88" t="s">
        <v>61</v>
      </c>
      <c r="F1855" s="88">
        <v>0</v>
      </c>
      <c r="G1855" s="78">
        <f>MAX(H1855,I1855,J1855)</f>
        <v>1</v>
      </c>
      <c r="H1855" s="88"/>
      <c r="I1855" s="88"/>
      <c r="J1855" s="78">
        <f>MAX(K1855:Q1855)</f>
        <v>1</v>
      </c>
      <c r="K1855" s="88">
        <v>1</v>
      </c>
      <c r="L1855" s="88"/>
      <c r="M1855" s="88"/>
      <c r="N1855" s="88"/>
      <c r="O1855" s="88"/>
      <c r="P1855" s="88"/>
      <c r="Q1855" s="88"/>
      <c r="R1855" s="78">
        <f>MAX(S1855:W1855)</f>
        <v>0</v>
      </c>
      <c r="S1855" s="88"/>
      <c r="T1855" s="88"/>
      <c r="U1855" s="88"/>
      <c r="V1855" s="88"/>
      <c r="W1855" s="88"/>
    </row>
    <row r="1856" spans="2:23" s="0" customFormat="0" ht="15">
      <c r="B1856" s="87" t="s">
        <v>1</v>
      </c>
      <c r="C1856" s="88" t="s">
        <v>5259</v>
      </c>
      <c r="D1856" s="88">
        <v>20285513</v>
      </c>
      <c r="E1856" s="88" t="s">
        <v>61</v>
      </c>
      <c r="F1856" s="88">
        <v>0</v>
      </c>
      <c r="G1856" s="78">
        <f>MAX(H1856,I1856,J1856)</f>
        <v>1</v>
      </c>
      <c r="H1856" s="88"/>
      <c r="I1856" s="88"/>
      <c r="J1856" s="78">
        <f>MAX(K1856:Q1856)</f>
        <v>1</v>
      </c>
      <c r="K1856" s="88">
        <v>1</v>
      </c>
      <c r="L1856" s="88"/>
      <c r="M1856" s="88"/>
      <c r="N1856" s="88"/>
      <c r="O1856" s="88"/>
      <c r="P1856" s="88"/>
      <c r="Q1856" s="88"/>
      <c r="R1856" s="78">
        <f>MAX(S1856:W1856)</f>
        <v>0</v>
      </c>
      <c r="S1856" s="88"/>
      <c r="T1856" s="88"/>
      <c r="U1856" s="88"/>
      <c r="V1856" s="88"/>
      <c r="W1856" s="88"/>
    </row>
    <row r="1857" spans="2:23" s="0" customFormat="0" ht="15">
      <c r="B1857" s="87" t="s">
        <v>1</v>
      </c>
      <c r="C1857" s="88" t="s">
        <v>5259</v>
      </c>
      <c r="D1857" s="88">
        <v>22554242</v>
      </c>
      <c r="E1857" s="88" t="s">
        <v>61</v>
      </c>
      <c r="F1857" s="88">
        <v>0</v>
      </c>
      <c r="G1857" s="78">
        <f>MAX(H1857,I1857,J1857)</f>
        <v>0</v>
      </c>
      <c r="H1857" s="88"/>
      <c r="I1857" s="88"/>
      <c r="J1857" s="78">
        <f>MAX(K1857:Q1857)</f>
        <v>0</v>
      </c>
      <c r="K1857" s="88"/>
      <c r="L1857" s="88"/>
      <c r="M1857" s="88"/>
      <c r="N1857" s="88"/>
      <c r="O1857" s="88"/>
      <c r="P1857" s="88"/>
      <c r="Q1857" s="88"/>
      <c r="R1857" s="78">
        <f>MAX(S1857:W1857)</f>
        <v>1</v>
      </c>
      <c r="S1857" s="88"/>
      <c r="T1857" s="88"/>
      <c r="U1857" s="88">
        <v>1</v>
      </c>
      <c r="V1857" s="88"/>
      <c r="W1857" s="88"/>
    </row>
    <row r="1858" spans="2:23" s="0" customFormat="0" ht="15">
      <c r="B1858" s="87" t="s">
        <v>1</v>
      </c>
      <c r="C1858" s="88" t="s">
        <v>5259</v>
      </c>
      <c r="D1858" s="88">
        <v>21107453</v>
      </c>
      <c r="E1858" s="88" t="s">
        <v>61</v>
      </c>
      <c r="F1858" s="88">
        <v>0</v>
      </c>
      <c r="G1858" s="78">
        <f>MAX(H1858,I1858,J1858)</f>
        <v>1</v>
      </c>
      <c r="H1858" s="88"/>
      <c r="I1858" s="88"/>
      <c r="J1858" s="78">
        <f>MAX(K1858:Q1858)</f>
        <v>1</v>
      </c>
      <c r="K1858" s="88">
        <v>1</v>
      </c>
      <c r="L1858" s="88"/>
      <c r="M1858" s="88"/>
      <c r="N1858" s="88"/>
      <c r="O1858" s="88"/>
      <c r="P1858" s="88"/>
      <c r="Q1858" s="88"/>
      <c r="R1858" s="78">
        <f>MAX(S1858:W1858)</f>
        <v>0</v>
      </c>
      <c r="S1858" s="88"/>
      <c r="T1858" s="88"/>
      <c r="U1858" s="88"/>
      <c r="V1858" s="88"/>
      <c r="W1858" s="88"/>
    </row>
    <row r="1859" spans="2:23" s="0" customFormat="0" ht="15">
      <c r="B1859" s="87" t="s">
        <v>1</v>
      </c>
      <c r="C1859" s="88" t="s">
        <v>5259</v>
      </c>
      <c r="D1859" s="88" t="s">
        <v>4152</v>
      </c>
      <c r="E1859" s="88" t="s">
        <v>61</v>
      </c>
      <c r="F1859" s="88">
        <v>0</v>
      </c>
      <c r="G1859" s="78">
        <f>MAX(H1859,I1859,J1859)</f>
        <v>0</v>
      </c>
      <c r="H1859" s="88"/>
      <c r="I1859" s="88"/>
      <c r="J1859" s="78">
        <f>MAX(K1859:Q1859)</f>
        <v>0</v>
      </c>
      <c r="K1859" s="88"/>
      <c r="L1859" s="88"/>
      <c r="M1859" s="88"/>
      <c r="N1859" s="88"/>
      <c r="O1859" s="88"/>
      <c r="P1859" s="88"/>
      <c r="Q1859" s="88"/>
      <c r="R1859" s="78">
        <f>MAX(S1859:W1859)</f>
        <v>1</v>
      </c>
      <c r="S1859" s="88"/>
      <c r="T1859" s="88"/>
      <c r="U1859" s="88">
        <v>1</v>
      </c>
      <c r="V1859" s="88"/>
      <c r="W1859" s="88"/>
    </row>
    <row r="1860" spans="2:23" s="0" customFormat="0" ht="15">
      <c r="B1860" s="87" t="s">
        <v>1</v>
      </c>
      <c r="C1860" s="88" t="s">
        <v>5259</v>
      </c>
      <c r="D1860" s="88">
        <v>16989337</v>
      </c>
      <c r="E1860" s="88" t="s">
        <v>61</v>
      </c>
      <c r="F1860" s="88">
        <v>0</v>
      </c>
      <c r="G1860" s="78">
        <f>MAX(H1860,I1860,J1860)</f>
        <v>1</v>
      </c>
      <c r="H1860" s="88"/>
      <c r="I1860" s="88"/>
      <c r="J1860" s="78">
        <f>MAX(K1860:Q1860)</f>
        <v>1</v>
      </c>
      <c r="K1860" s="88">
        <v>1</v>
      </c>
      <c r="L1860" s="88"/>
      <c r="M1860" s="88"/>
      <c r="N1860" s="88"/>
      <c r="O1860" s="88"/>
      <c r="P1860" s="88"/>
      <c r="Q1860" s="88"/>
      <c r="R1860" s="78">
        <f>MAX(S1860:W1860)</f>
        <v>0</v>
      </c>
      <c r="S1860" s="88"/>
      <c r="T1860" s="88"/>
      <c r="U1860" s="88"/>
      <c r="V1860" s="88"/>
      <c r="W1860" s="88"/>
    </row>
    <row r="1861" spans="2:23" s="0" customFormat="0" ht="15">
      <c r="B1861" s="87" t="s">
        <v>1</v>
      </c>
      <c r="C1861" s="88" t="s">
        <v>5259</v>
      </c>
      <c r="D1861" s="88">
        <v>4373134</v>
      </c>
      <c r="E1861" s="88" t="s">
        <v>61</v>
      </c>
      <c r="F1861" s="88">
        <v>0</v>
      </c>
      <c r="G1861" s="78">
        <f>MAX(H1861,I1861,J1861)</f>
        <v>1</v>
      </c>
      <c r="H1861" s="88"/>
      <c r="I1861" s="88"/>
      <c r="J1861" s="78">
        <f>MAX(K1861:Q1861)</f>
        <v>1</v>
      </c>
      <c r="K1861" s="88">
        <v>1</v>
      </c>
      <c r="L1861" s="88"/>
      <c r="M1861" s="88"/>
      <c r="N1861" s="88"/>
      <c r="O1861" s="88"/>
      <c r="P1861" s="88"/>
      <c r="Q1861" s="88"/>
      <c r="R1861" s="78">
        <f>MAX(S1861:W1861)</f>
        <v>0</v>
      </c>
      <c r="S1861" s="88"/>
      <c r="T1861" s="88"/>
      <c r="U1861" s="88"/>
      <c r="V1861" s="88"/>
      <c r="W1861" s="88"/>
    </row>
    <row r="1862" spans="2:23" s="0" customFormat="0" ht="15">
      <c r="B1862" s="87" t="s">
        <v>1</v>
      </c>
      <c r="C1862" s="88" t="s">
        <v>5259</v>
      </c>
      <c r="D1862" s="88" t="s">
        <v>4154</v>
      </c>
      <c r="E1862" s="88" t="s">
        <v>61</v>
      </c>
      <c r="F1862" s="88">
        <v>0</v>
      </c>
      <c r="G1862" s="78">
        <f>MAX(H1862,I1862,J1862)</f>
        <v>0</v>
      </c>
      <c r="H1862" s="88"/>
      <c r="I1862" s="88"/>
      <c r="J1862" s="78">
        <f>MAX(K1862:Q1862)</f>
        <v>0</v>
      </c>
      <c r="K1862" s="88"/>
      <c r="L1862" s="88"/>
      <c r="M1862" s="88"/>
      <c r="N1862" s="88"/>
      <c r="O1862" s="88"/>
      <c r="P1862" s="88"/>
      <c r="Q1862" s="88"/>
      <c r="R1862" s="78">
        <f>MAX(S1862:W1862)</f>
        <v>1</v>
      </c>
      <c r="S1862" s="88"/>
      <c r="T1862" s="88"/>
      <c r="U1862" s="88">
        <v>1</v>
      </c>
      <c r="V1862" s="88"/>
      <c r="W1862" s="88"/>
    </row>
    <row r="1863" spans="2:23" s="0" customFormat="0" ht="15">
      <c r="B1863" s="87" t="s">
        <v>1</v>
      </c>
      <c r="C1863" s="88" t="s">
        <v>5259</v>
      </c>
      <c r="D1863" s="88">
        <v>14691120</v>
      </c>
      <c r="E1863" s="88" t="s">
        <v>61</v>
      </c>
      <c r="F1863" s="88">
        <v>0</v>
      </c>
      <c r="G1863" s="78">
        <f>MAX(H1863,I1863,J1863)</f>
        <v>1</v>
      </c>
      <c r="H1863" s="88"/>
      <c r="I1863" s="88"/>
      <c r="J1863" s="78">
        <f>MAX(K1863:Q1863)</f>
        <v>1</v>
      </c>
      <c r="K1863" s="88">
        <v>1</v>
      </c>
      <c r="L1863" s="88"/>
      <c r="M1863" s="88"/>
      <c r="N1863" s="88"/>
      <c r="O1863" s="88"/>
      <c r="P1863" s="88"/>
      <c r="Q1863" s="88"/>
      <c r="R1863" s="78">
        <f>MAX(S1863:W1863)</f>
        <v>0</v>
      </c>
      <c r="S1863" s="88"/>
      <c r="T1863" s="88"/>
      <c r="U1863" s="88"/>
      <c r="V1863" s="88"/>
      <c r="W1863" s="88"/>
    </row>
    <row r="1864" spans="2:23" s="0" customFormat="0" ht="15">
      <c r="B1864" s="87" t="s">
        <v>1</v>
      </c>
      <c r="C1864" s="88" t="s">
        <v>5259</v>
      </c>
      <c r="D1864" s="88">
        <v>14496882</v>
      </c>
      <c r="E1864" s="88" t="s">
        <v>61</v>
      </c>
      <c r="F1864" s="88">
        <v>0</v>
      </c>
      <c r="G1864" s="78">
        <f>MAX(H1864,I1864,J1864)</f>
        <v>1</v>
      </c>
      <c r="H1864" s="88"/>
      <c r="I1864" s="88"/>
      <c r="J1864" s="78">
        <f>MAX(K1864:Q1864)</f>
        <v>1</v>
      </c>
      <c r="K1864" s="88">
        <v>1</v>
      </c>
      <c r="L1864" s="88"/>
      <c r="M1864" s="88"/>
      <c r="N1864" s="88"/>
      <c r="O1864" s="88"/>
      <c r="P1864" s="88"/>
      <c r="Q1864" s="88"/>
      <c r="R1864" s="78">
        <f>MAX(S1864:W1864)</f>
        <v>0</v>
      </c>
      <c r="S1864" s="88"/>
      <c r="T1864" s="88"/>
      <c r="U1864" s="88"/>
      <c r="V1864" s="88"/>
      <c r="W1864" s="88"/>
    </row>
    <row r="1865" spans="2:23" s="0" customFormat="0" ht="15">
      <c r="B1865" s="87" t="s">
        <v>1</v>
      </c>
      <c r="C1865" s="88" t="s">
        <v>5259</v>
      </c>
      <c r="D1865" s="88" t="s">
        <v>4156</v>
      </c>
      <c r="E1865" s="88" t="s">
        <v>61</v>
      </c>
      <c r="F1865" s="88">
        <v>0</v>
      </c>
      <c r="G1865" s="78">
        <f>MAX(H1865,I1865,J1865)</f>
        <v>0</v>
      </c>
      <c r="H1865" s="88"/>
      <c r="I1865" s="88"/>
      <c r="J1865" s="78">
        <f>MAX(K1865:Q1865)</f>
        <v>0</v>
      </c>
      <c r="K1865" s="88"/>
      <c r="L1865" s="88"/>
      <c r="M1865" s="88"/>
      <c r="N1865" s="88"/>
      <c r="O1865" s="88"/>
      <c r="P1865" s="88"/>
      <c r="Q1865" s="88"/>
      <c r="R1865" s="78">
        <f>MAX(S1865:W1865)</f>
        <v>1</v>
      </c>
      <c r="S1865" s="88"/>
      <c r="T1865" s="88"/>
      <c r="U1865" s="88">
        <v>1</v>
      </c>
      <c r="V1865" s="88"/>
      <c r="W1865" s="88"/>
    </row>
    <row r="1866" spans="2:23" s="0" customFormat="0" ht="15">
      <c r="B1866" s="87" t="s">
        <v>1</v>
      </c>
      <c r="C1866" s="88" t="s">
        <v>5259</v>
      </c>
      <c r="D1866" s="88">
        <v>15769826</v>
      </c>
      <c r="E1866" s="88" t="s">
        <v>61</v>
      </c>
      <c r="F1866" s="88">
        <v>0</v>
      </c>
      <c r="G1866" s="78">
        <f>MAX(H1866,I1866,J1866)</f>
        <v>1</v>
      </c>
      <c r="H1866" s="88"/>
      <c r="I1866" s="88"/>
      <c r="J1866" s="78">
        <f>MAX(K1866:Q1866)</f>
        <v>1</v>
      </c>
      <c r="K1866" s="88">
        <v>1</v>
      </c>
      <c r="L1866" s="88"/>
      <c r="M1866" s="88"/>
      <c r="N1866" s="88"/>
      <c r="O1866" s="88"/>
      <c r="P1866" s="88"/>
      <c r="Q1866" s="88"/>
      <c r="R1866" s="78">
        <f>MAX(S1866:W1866)</f>
        <v>0</v>
      </c>
      <c r="S1866" s="88"/>
      <c r="T1866" s="88"/>
      <c r="U1866" s="88"/>
      <c r="V1866" s="88"/>
      <c r="W1866" s="88"/>
    </row>
    <row r="1867" spans="2:23" s="0" customFormat="0" ht="15">
      <c r="B1867" s="87" t="s">
        <v>1</v>
      </c>
      <c r="C1867" s="88" t="s">
        <v>5259</v>
      </c>
      <c r="D1867" s="88" t="s">
        <v>4158</v>
      </c>
      <c r="E1867" s="88" t="s">
        <v>61</v>
      </c>
      <c r="F1867" s="88">
        <v>0</v>
      </c>
      <c r="G1867" s="78">
        <f>MAX(H1867,I1867,J1867)</f>
        <v>0</v>
      </c>
      <c r="H1867" s="88"/>
      <c r="I1867" s="88"/>
      <c r="J1867" s="78">
        <f>MAX(K1867:Q1867)</f>
        <v>0</v>
      </c>
      <c r="K1867" s="88"/>
      <c r="L1867" s="88"/>
      <c r="M1867" s="88"/>
      <c r="N1867" s="88"/>
      <c r="O1867" s="88"/>
      <c r="P1867" s="88"/>
      <c r="Q1867" s="88"/>
      <c r="R1867" s="78">
        <f>MAX(S1867:W1867)</f>
        <v>1</v>
      </c>
      <c r="S1867" s="88"/>
      <c r="T1867" s="88"/>
      <c r="U1867" s="88">
        <v>1</v>
      </c>
      <c r="V1867" s="88"/>
      <c r="W1867" s="88"/>
    </row>
    <row r="1868" spans="2:23" s="0" customFormat="0" ht="15">
      <c r="B1868" s="87" t="s">
        <v>1</v>
      </c>
      <c r="C1868" s="88" t="s">
        <v>5259</v>
      </c>
      <c r="D1868" s="88" t="s">
        <v>4160</v>
      </c>
      <c r="E1868" s="88" t="s">
        <v>61</v>
      </c>
      <c r="F1868" s="88">
        <v>0</v>
      </c>
      <c r="G1868" s="78">
        <f>MAX(H1868,I1868,J1868)</f>
        <v>0</v>
      </c>
      <c r="H1868" s="88"/>
      <c r="I1868" s="88"/>
      <c r="J1868" s="78">
        <f>MAX(K1868:Q1868)</f>
        <v>0</v>
      </c>
      <c r="K1868" s="88"/>
      <c r="L1868" s="88"/>
      <c r="M1868" s="88"/>
      <c r="N1868" s="88"/>
      <c r="O1868" s="88"/>
      <c r="P1868" s="88"/>
      <c r="Q1868" s="88"/>
      <c r="R1868" s="78">
        <f>MAX(S1868:W1868)</f>
        <v>1</v>
      </c>
      <c r="S1868" s="88"/>
      <c r="T1868" s="88"/>
      <c r="U1868" s="88">
        <v>1</v>
      </c>
      <c r="V1868" s="88"/>
      <c r="W1868" s="88"/>
    </row>
    <row r="1869" spans="2:23" s="0" customFormat="0" ht="15">
      <c r="B1869" s="87" t="s">
        <v>1</v>
      </c>
      <c r="C1869" s="88" t="s">
        <v>5259</v>
      </c>
      <c r="D1869" s="88">
        <v>24188545</v>
      </c>
      <c r="E1869" s="88" t="s">
        <v>61</v>
      </c>
      <c r="F1869" s="88">
        <v>0</v>
      </c>
      <c r="G1869" s="78">
        <f>MAX(H1869,I1869,J1869)</f>
        <v>1</v>
      </c>
      <c r="H1869" s="88"/>
      <c r="I1869" s="88"/>
      <c r="J1869" s="78">
        <f>MAX(K1869:Q1869)</f>
        <v>1</v>
      </c>
      <c r="K1869" s="88">
        <v>1</v>
      </c>
      <c r="L1869" s="88"/>
      <c r="M1869" s="88"/>
      <c r="N1869" s="88"/>
      <c r="O1869" s="88"/>
      <c r="P1869" s="88"/>
      <c r="Q1869" s="88"/>
      <c r="R1869" s="78">
        <f>MAX(S1869:W1869)</f>
        <v>0</v>
      </c>
      <c r="S1869" s="88"/>
      <c r="T1869" s="88"/>
      <c r="U1869" s="88"/>
      <c r="V1869" s="88"/>
      <c r="W1869" s="88"/>
    </row>
    <row r="1870" spans="2:23" s="0" customFormat="0" ht="15">
      <c r="B1870" s="87" t="s">
        <v>1</v>
      </c>
      <c r="C1870" s="88" t="s">
        <v>5259</v>
      </c>
      <c r="D1870" s="88" t="s">
        <v>4162</v>
      </c>
      <c r="E1870" s="88" t="s">
        <v>61</v>
      </c>
      <c r="F1870" s="88">
        <v>0</v>
      </c>
      <c r="G1870" s="78">
        <f>MAX(H1870,I1870,J1870)</f>
        <v>0</v>
      </c>
      <c r="H1870" s="88"/>
      <c r="I1870" s="88"/>
      <c r="J1870" s="78">
        <f>MAX(K1870:Q1870)</f>
        <v>0</v>
      </c>
      <c r="K1870" s="88"/>
      <c r="L1870" s="88"/>
      <c r="M1870" s="88"/>
      <c r="N1870" s="88"/>
      <c r="O1870" s="88"/>
      <c r="P1870" s="88"/>
      <c r="Q1870" s="88"/>
      <c r="R1870" s="78">
        <f>MAX(S1870:W1870)</f>
        <v>1</v>
      </c>
      <c r="S1870" s="88"/>
      <c r="T1870" s="88"/>
      <c r="U1870" s="88">
        <v>1</v>
      </c>
      <c r="V1870" s="88"/>
      <c r="W1870" s="88"/>
    </row>
    <row r="1871" spans="2:23" s="0" customFormat="0" ht="15">
      <c r="B1871" s="87" t="s">
        <v>1</v>
      </c>
      <c r="C1871" s="88" t="s">
        <v>5259</v>
      </c>
      <c r="D1871" s="88" t="s">
        <v>3631</v>
      </c>
      <c r="E1871" s="88" t="s">
        <v>61</v>
      </c>
      <c r="F1871" s="88">
        <v>0</v>
      </c>
      <c r="G1871" s="78">
        <f>MAX(H1871,I1871,J1871)</f>
        <v>0</v>
      </c>
      <c r="H1871" s="88"/>
      <c r="I1871" s="88"/>
      <c r="J1871" s="78">
        <f>MAX(K1871:Q1871)</f>
        <v>0</v>
      </c>
      <c r="K1871" s="88"/>
      <c r="L1871" s="88"/>
      <c r="M1871" s="88"/>
      <c r="N1871" s="88"/>
      <c r="O1871" s="88"/>
      <c r="P1871" s="88"/>
      <c r="Q1871" s="88"/>
      <c r="R1871" s="78">
        <f>MAX(S1871:W1871)</f>
        <v>1</v>
      </c>
      <c r="S1871" s="88"/>
      <c r="T1871" s="88"/>
      <c r="U1871" s="88">
        <v>1</v>
      </c>
      <c r="V1871" s="88"/>
      <c r="W1871" s="88"/>
    </row>
    <row r="1872" spans="2:23" s="0" customFormat="0" ht="15">
      <c r="B1872" s="87" t="s">
        <v>1</v>
      </c>
      <c r="C1872" s="88" t="s">
        <v>5259</v>
      </c>
      <c r="D1872" s="88" t="s">
        <v>1435</v>
      </c>
      <c r="E1872" s="88" t="s">
        <v>61</v>
      </c>
      <c r="F1872" s="88">
        <v>0</v>
      </c>
      <c r="G1872" s="78">
        <f>MAX(H1872,I1872,J1872)</f>
        <v>1</v>
      </c>
      <c r="H1872" s="88"/>
      <c r="I1872" s="88"/>
      <c r="J1872" s="78">
        <f>MAX(K1872:Q1872)</f>
        <v>1</v>
      </c>
      <c r="K1872" s="88">
        <v>1</v>
      </c>
      <c r="L1872" s="88"/>
      <c r="M1872" s="88"/>
      <c r="N1872" s="88"/>
      <c r="O1872" s="88"/>
      <c r="P1872" s="88"/>
      <c r="Q1872" s="88"/>
      <c r="R1872" s="78">
        <f>MAX(S1872:W1872)</f>
        <v>0</v>
      </c>
      <c r="S1872" s="88"/>
      <c r="T1872" s="88"/>
      <c r="U1872" s="88"/>
      <c r="V1872" s="88"/>
      <c r="W1872" s="88"/>
    </row>
    <row r="1873" spans="2:23" s="0" customFormat="0" ht="15">
      <c r="B1873" s="87" t="s">
        <v>1</v>
      </c>
      <c r="C1873" s="88" t="s">
        <v>5259</v>
      </c>
      <c r="D1873" s="88" t="s">
        <v>3705</v>
      </c>
      <c r="E1873" s="88" t="s">
        <v>61</v>
      </c>
      <c r="F1873" s="88">
        <v>0</v>
      </c>
      <c r="G1873" s="78">
        <f>MAX(H1873,I1873,J1873)</f>
        <v>0</v>
      </c>
      <c r="H1873" s="88"/>
      <c r="I1873" s="88"/>
      <c r="J1873" s="78">
        <f>MAX(K1873:Q1873)</f>
        <v>0</v>
      </c>
      <c r="K1873" s="88"/>
      <c r="L1873" s="88"/>
      <c r="M1873" s="88"/>
      <c r="N1873" s="88"/>
      <c r="O1873" s="88"/>
      <c r="P1873" s="88"/>
      <c r="Q1873" s="88"/>
      <c r="R1873" s="78">
        <f>MAX(S1873:W1873)</f>
        <v>1</v>
      </c>
      <c r="S1873" s="88"/>
      <c r="T1873" s="88"/>
      <c r="U1873" s="88">
        <v>1</v>
      </c>
      <c r="V1873" s="88"/>
      <c r="W1873" s="88"/>
    </row>
    <row r="1874" spans="2:23" s="0" customFormat="0" ht="15">
      <c r="B1874" s="87" t="s">
        <v>1</v>
      </c>
      <c r="C1874" s="88" t="s">
        <v>5259</v>
      </c>
      <c r="D1874" s="88" t="s">
        <v>4164</v>
      </c>
      <c r="E1874" s="88" t="s">
        <v>61</v>
      </c>
      <c r="F1874" s="88">
        <v>0</v>
      </c>
      <c r="G1874" s="78">
        <f>MAX(H1874,I1874,J1874)</f>
        <v>0</v>
      </c>
      <c r="H1874" s="88"/>
      <c r="I1874" s="88"/>
      <c r="J1874" s="78">
        <f>MAX(K1874:Q1874)</f>
        <v>0</v>
      </c>
      <c r="K1874" s="88"/>
      <c r="L1874" s="88"/>
      <c r="M1874" s="88"/>
      <c r="N1874" s="88"/>
      <c r="O1874" s="88"/>
      <c r="P1874" s="88"/>
      <c r="Q1874" s="88"/>
      <c r="R1874" s="78">
        <f>MAX(S1874:W1874)</f>
        <v>1</v>
      </c>
      <c r="S1874" s="88"/>
      <c r="T1874" s="88"/>
      <c r="U1874" s="88">
        <v>1</v>
      </c>
      <c r="V1874" s="88"/>
      <c r="W1874" s="88"/>
    </row>
    <row r="1875" spans="2:23" s="0" customFormat="0" ht="15">
      <c r="B1875" s="87" t="s">
        <v>1</v>
      </c>
      <c r="C1875" s="88" t="s">
        <v>5259</v>
      </c>
      <c r="D1875" s="88" t="s">
        <v>1437</v>
      </c>
      <c r="E1875" s="88" t="s">
        <v>61</v>
      </c>
      <c r="F1875" s="88">
        <v>0</v>
      </c>
      <c r="G1875" s="78">
        <f>MAX(H1875,I1875,J1875)</f>
        <v>1</v>
      </c>
      <c r="H1875" s="88"/>
      <c r="I1875" s="88"/>
      <c r="J1875" s="78">
        <f>MAX(K1875:Q1875)</f>
        <v>1</v>
      </c>
      <c r="K1875" s="88">
        <v>1</v>
      </c>
      <c r="L1875" s="88"/>
      <c r="M1875" s="88"/>
      <c r="N1875" s="88"/>
      <c r="O1875" s="88"/>
      <c r="P1875" s="88"/>
      <c r="Q1875" s="88"/>
      <c r="R1875" s="78">
        <f>MAX(S1875:W1875)</f>
        <v>0</v>
      </c>
      <c r="S1875" s="88"/>
      <c r="T1875" s="88"/>
      <c r="U1875" s="88"/>
      <c r="V1875" s="88"/>
      <c r="W1875" s="88"/>
    </row>
    <row r="1876" spans="2:23" s="0" customFormat="0" ht="15">
      <c r="B1876" s="87" t="s">
        <v>1</v>
      </c>
      <c r="C1876" s="88" t="s">
        <v>5259</v>
      </c>
      <c r="D1876" s="88" t="s">
        <v>4166</v>
      </c>
      <c r="E1876" s="88" t="s">
        <v>61</v>
      </c>
      <c r="F1876" s="88">
        <v>0</v>
      </c>
      <c r="G1876" s="78">
        <f>MAX(H1876,I1876,J1876)</f>
        <v>0</v>
      </c>
      <c r="H1876" s="88"/>
      <c r="I1876" s="88"/>
      <c r="J1876" s="78">
        <f>MAX(K1876:Q1876)</f>
        <v>0</v>
      </c>
      <c r="K1876" s="88"/>
      <c r="L1876" s="88"/>
      <c r="M1876" s="88"/>
      <c r="N1876" s="88"/>
      <c r="O1876" s="88"/>
      <c r="P1876" s="88"/>
      <c r="Q1876" s="88"/>
      <c r="R1876" s="78">
        <f>MAX(S1876:W1876)</f>
        <v>1</v>
      </c>
      <c r="S1876" s="88"/>
      <c r="T1876" s="88"/>
      <c r="U1876" s="88">
        <v>1</v>
      </c>
      <c r="V1876" s="88"/>
      <c r="W1876" s="88"/>
    </row>
    <row r="1877" spans="2:23" s="0" customFormat="0" ht="15">
      <c r="B1877" s="87" t="s">
        <v>1</v>
      </c>
      <c r="C1877" s="88" t="s">
        <v>5259</v>
      </c>
      <c r="D1877" s="88">
        <v>13166841</v>
      </c>
      <c r="E1877" s="88" t="s">
        <v>61</v>
      </c>
      <c r="F1877" s="88">
        <v>0</v>
      </c>
      <c r="G1877" s="78">
        <f>MAX(H1877,I1877,J1877)</f>
        <v>0</v>
      </c>
      <c r="H1877" s="88"/>
      <c r="I1877" s="88"/>
      <c r="J1877" s="78">
        <f>MAX(K1877:Q1877)</f>
        <v>0</v>
      </c>
      <c r="K1877" s="88"/>
      <c r="L1877" s="88"/>
      <c r="M1877" s="88"/>
      <c r="N1877" s="88"/>
      <c r="O1877" s="88"/>
      <c r="P1877" s="88"/>
      <c r="Q1877" s="88"/>
      <c r="R1877" s="78">
        <f>MAX(S1877:W1877)</f>
        <v>1</v>
      </c>
      <c r="S1877" s="88"/>
      <c r="T1877" s="88"/>
      <c r="U1877" s="88">
        <v>1</v>
      </c>
      <c r="V1877" s="88"/>
      <c r="W1877" s="88"/>
    </row>
    <row r="1878" spans="2:23" s="0" customFormat="0" ht="15">
      <c r="B1878" s="87" t="s">
        <v>1</v>
      </c>
      <c r="C1878" s="88" t="s">
        <v>5259</v>
      </c>
      <c r="D1878" s="88">
        <v>20658179</v>
      </c>
      <c r="E1878" s="88" t="s">
        <v>61</v>
      </c>
      <c r="F1878" s="88">
        <v>0</v>
      </c>
      <c r="G1878" s="78">
        <f>MAX(H1878,I1878,J1878)</f>
        <v>1</v>
      </c>
      <c r="H1878" s="88"/>
      <c r="I1878" s="88"/>
      <c r="J1878" s="78">
        <f>MAX(K1878:Q1878)</f>
        <v>1</v>
      </c>
      <c r="K1878" s="88">
        <v>1</v>
      </c>
      <c r="L1878" s="88"/>
      <c r="M1878" s="88"/>
      <c r="N1878" s="88"/>
      <c r="O1878" s="88"/>
      <c r="P1878" s="88"/>
      <c r="Q1878" s="88"/>
      <c r="R1878" s="78">
        <f>MAX(S1878:W1878)</f>
        <v>0</v>
      </c>
      <c r="S1878" s="88"/>
      <c r="T1878" s="88"/>
      <c r="U1878" s="88"/>
      <c r="V1878" s="88"/>
      <c r="W1878" s="88"/>
    </row>
    <row r="1879" spans="2:23" s="0" customFormat="0" ht="15">
      <c r="B1879" s="87" t="s">
        <v>1</v>
      </c>
      <c r="C1879" s="88" t="s">
        <v>5259</v>
      </c>
      <c r="D1879" s="88">
        <v>22554319</v>
      </c>
      <c r="E1879" s="88" t="s">
        <v>61</v>
      </c>
      <c r="F1879" s="88">
        <v>0</v>
      </c>
      <c r="G1879" s="78">
        <f>MAX(H1879,I1879,J1879)</f>
        <v>0</v>
      </c>
      <c r="H1879" s="88"/>
      <c r="I1879" s="88"/>
      <c r="J1879" s="78">
        <f>MAX(K1879:Q1879)</f>
        <v>0</v>
      </c>
      <c r="K1879" s="88"/>
      <c r="L1879" s="88"/>
      <c r="M1879" s="88"/>
      <c r="N1879" s="88"/>
      <c r="O1879" s="88"/>
      <c r="P1879" s="88"/>
      <c r="Q1879" s="88"/>
      <c r="R1879" s="78">
        <f>MAX(S1879:W1879)</f>
        <v>1</v>
      </c>
      <c r="S1879" s="88"/>
      <c r="T1879" s="88"/>
      <c r="U1879" s="88">
        <v>1</v>
      </c>
      <c r="V1879" s="88"/>
      <c r="W1879" s="88"/>
    </row>
    <row r="1880" spans="2:23" s="0" customFormat="0" ht="15">
      <c r="B1880" s="87" t="s">
        <v>1</v>
      </c>
      <c r="C1880" s="88" t="s">
        <v>5259</v>
      </c>
      <c r="D1880" s="88" t="s">
        <v>4169</v>
      </c>
      <c r="E1880" s="88" t="s">
        <v>61</v>
      </c>
      <c r="F1880" s="88">
        <v>0</v>
      </c>
      <c r="G1880" s="78">
        <f>MAX(H1880,I1880,J1880)</f>
        <v>0</v>
      </c>
      <c r="H1880" s="88"/>
      <c r="I1880" s="88"/>
      <c r="J1880" s="78">
        <f>MAX(K1880:Q1880)</f>
        <v>0</v>
      </c>
      <c r="K1880" s="88"/>
      <c r="L1880" s="88"/>
      <c r="M1880" s="88"/>
      <c r="N1880" s="88"/>
      <c r="O1880" s="88"/>
      <c r="P1880" s="88"/>
      <c r="Q1880" s="88"/>
      <c r="R1880" s="78">
        <f>MAX(S1880:W1880)</f>
        <v>1</v>
      </c>
      <c r="S1880" s="88"/>
      <c r="T1880" s="88"/>
      <c r="U1880" s="88">
        <v>1</v>
      </c>
      <c r="V1880" s="88"/>
      <c r="W1880" s="88"/>
    </row>
    <row r="1881" spans="2:23" s="0" customFormat="0" ht="15">
      <c r="B1881" s="87" t="s">
        <v>1</v>
      </c>
      <c r="C1881" s="88" t="s">
        <v>5259</v>
      </c>
      <c r="D1881" s="88">
        <v>21092295</v>
      </c>
      <c r="E1881" s="88" t="s">
        <v>61</v>
      </c>
      <c r="F1881" s="88">
        <v>0</v>
      </c>
      <c r="G1881" s="78">
        <f>MAX(H1881,I1881,J1881)</f>
        <v>1</v>
      </c>
      <c r="H1881" s="88"/>
      <c r="I1881" s="88"/>
      <c r="J1881" s="78">
        <f>MAX(K1881:Q1881)</f>
        <v>1</v>
      </c>
      <c r="K1881" s="88">
        <v>1</v>
      </c>
      <c r="L1881" s="88"/>
      <c r="M1881" s="88"/>
      <c r="N1881" s="88"/>
      <c r="O1881" s="88"/>
      <c r="P1881" s="88"/>
      <c r="Q1881" s="88"/>
      <c r="R1881" s="78">
        <f>MAX(S1881:W1881)</f>
        <v>0</v>
      </c>
      <c r="S1881" s="88"/>
      <c r="T1881" s="88"/>
      <c r="U1881" s="88"/>
      <c r="V1881" s="88"/>
      <c r="W1881" s="88"/>
    </row>
    <row r="1882" spans="2:23" s="0" customFormat="0" ht="15">
      <c r="B1882" s="87" t="s">
        <v>1</v>
      </c>
      <c r="C1882" s="88" t="s">
        <v>5259</v>
      </c>
      <c r="D1882" s="88">
        <v>22301296</v>
      </c>
      <c r="E1882" s="88" t="s">
        <v>61</v>
      </c>
      <c r="F1882" s="88">
        <v>0</v>
      </c>
      <c r="G1882" s="78">
        <f>MAX(H1882,I1882,J1882)</f>
        <v>1</v>
      </c>
      <c r="H1882" s="88"/>
      <c r="I1882" s="88"/>
      <c r="J1882" s="78">
        <f>MAX(K1882:Q1882)</f>
        <v>1</v>
      </c>
      <c r="K1882" s="88">
        <v>1</v>
      </c>
      <c r="L1882" s="88"/>
      <c r="M1882" s="88"/>
      <c r="N1882" s="88"/>
      <c r="O1882" s="88"/>
      <c r="P1882" s="88"/>
      <c r="Q1882" s="88"/>
      <c r="R1882" s="78">
        <f>MAX(S1882:W1882)</f>
        <v>0</v>
      </c>
      <c r="S1882" s="88"/>
      <c r="T1882" s="88"/>
      <c r="U1882" s="88"/>
      <c r="V1882" s="88"/>
      <c r="W1882" s="88"/>
    </row>
    <row r="1883" spans="2:23" s="0" customFormat="0" ht="15">
      <c r="B1883" s="87" t="s">
        <v>1</v>
      </c>
      <c r="C1883" s="88" t="s">
        <v>5259</v>
      </c>
      <c r="D1883" s="88" t="s">
        <v>4171</v>
      </c>
      <c r="E1883" s="88" t="s">
        <v>61</v>
      </c>
      <c r="F1883" s="88">
        <v>0</v>
      </c>
      <c r="G1883" s="78">
        <f>MAX(H1883,I1883,J1883)</f>
        <v>0</v>
      </c>
      <c r="H1883" s="88"/>
      <c r="I1883" s="88"/>
      <c r="J1883" s="78">
        <f>MAX(K1883:Q1883)</f>
        <v>0</v>
      </c>
      <c r="K1883" s="88"/>
      <c r="L1883" s="88"/>
      <c r="M1883" s="88"/>
      <c r="N1883" s="88"/>
      <c r="O1883" s="88"/>
      <c r="P1883" s="88"/>
      <c r="Q1883" s="88"/>
      <c r="R1883" s="78">
        <f>MAX(S1883:W1883)</f>
        <v>1</v>
      </c>
      <c r="S1883" s="88"/>
      <c r="T1883" s="88"/>
      <c r="U1883" s="88">
        <v>1</v>
      </c>
      <c r="V1883" s="88"/>
      <c r="W1883" s="88"/>
    </row>
    <row r="1884" spans="2:23" s="0" customFormat="0" ht="15">
      <c r="B1884" s="87" t="s">
        <v>1</v>
      </c>
      <c r="C1884" s="88" t="s">
        <v>5259</v>
      </c>
      <c r="D1884" s="88">
        <v>24306016</v>
      </c>
      <c r="E1884" s="88" t="s">
        <v>61</v>
      </c>
      <c r="F1884" s="88">
        <v>0</v>
      </c>
      <c r="G1884" s="78">
        <f>MAX(H1884,I1884,J1884)</f>
        <v>1</v>
      </c>
      <c r="H1884" s="88"/>
      <c r="I1884" s="88"/>
      <c r="J1884" s="78">
        <f>MAX(K1884:Q1884)</f>
        <v>1</v>
      </c>
      <c r="K1884" s="88"/>
      <c r="L1884" s="88"/>
      <c r="M1884" s="88">
        <v>1</v>
      </c>
      <c r="N1884" s="88"/>
      <c r="O1884" s="88"/>
      <c r="P1884" s="88"/>
      <c r="Q1884" s="88"/>
      <c r="R1884" s="78">
        <f>MAX(S1884:W1884)</f>
        <v>0</v>
      </c>
      <c r="S1884" s="88"/>
      <c r="T1884" s="88"/>
      <c r="U1884" s="88"/>
      <c r="V1884" s="88"/>
      <c r="W1884" s="88"/>
    </row>
    <row r="1885" spans="2:23" s="0" customFormat="0" ht="15">
      <c r="B1885" s="87" t="s">
        <v>1</v>
      </c>
      <c r="C1885" s="88" t="s">
        <v>5259</v>
      </c>
      <c r="D1885" s="88">
        <v>20594292</v>
      </c>
      <c r="E1885" s="88" t="s">
        <v>61</v>
      </c>
      <c r="F1885" s="88">
        <v>0</v>
      </c>
      <c r="G1885" s="78">
        <f>MAX(H1885,I1885,J1885)</f>
        <v>1</v>
      </c>
      <c r="H1885" s="88"/>
      <c r="I1885" s="88"/>
      <c r="J1885" s="78">
        <f>MAX(K1885:Q1885)</f>
        <v>1</v>
      </c>
      <c r="K1885" s="88">
        <v>1</v>
      </c>
      <c r="L1885" s="88"/>
      <c r="M1885" s="88"/>
      <c r="N1885" s="88"/>
      <c r="O1885" s="88"/>
      <c r="P1885" s="88"/>
      <c r="Q1885" s="88"/>
      <c r="R1885" s="78">
        <f>MAX(S1885:W1885)</f>
        <v>0</v>
      </c>
      <c r="S1885" s="88"/>
      <c r="T1885" s="88"/>
      <c r="U1885" s="88"/>
      <c r="V1885" s="88"/>
      <c r="W1885" s="88"/>
    </row>
    <row r="1886" spans="2:23" s="0" customFormat="0" ht="15">
      <c r="B1886" s="87" t="s">
        <v>1</v>
      </c>
      <c r="C1886" s="88" t="s">
        <v>5259</v>
      </c>
      <c r="D1886" s="88">
        <v>10497884</v>
      </c>
      <c r="E1886" s="88" t="s">
        <v>61</v>
      </c>
      <c r="F1886" s="88">
        <v>0</v>
      </c>
      <c r="G1886" s="78">
        <f>MAX(H1886,I1886,J1886)</f>
        <v>1</v>
      </c>
      <c r="H1886" s="88"/>
      <c r="I1886" s="88"/>
      <c r="J1886" s="78">
        <f>MAX(K1886:Q1886)</f>
        <v>1</v>
      </c>
      <c r="K1886" s="88">
        <v>1</v>
      </c>
      <c r="L1886" s="88"/>
      <c r="M1886" s="88"/>
      <c r="N1886" s="88"/>
      <c r="O1886" s="88"/>
      <c r="P1886" s="88"/>
      <c r="Q1886" s="88"/>
      <c r="R1886" s="78">
        <f>MAX(S1886:W1886)</f>
        <v>0</v>
      </c>
      <c r="S1886" s="88"/>
      <c r="T1886" s="88"/>
      <c r="U1886" s="88"/>
      <c r="V1886" s="88"/>
      <c r="W1886" s="88"/>
    </row>
    <row r="1887" spans="2:23" s="0" customFormat="0" ht="15">
      <c r="B1887" s="87" t="s">
        <v>1</v>
      </c>
      <c r="C1887" s="88" t="s">
        <v>5259</v>
      </c>
      <c r="D1887" s="88" t="s">
        <v>3866</v>
      </c>
      <c r="E1887" s="88" t="s">
        <v>61</v>
      </c>
      <c r="F1887" s="88">
        <v>0</v>
      </c>
      <c r="G1887" s="78">
        <f>MAX(H1887,I1887,J1887)</f>
        <v>0</v>
      </c>
      <c r="H1887" s="88"/>
      <c r="I1887" s="88"/>
      <c r="J1887" s="78">
        <f>MAX(K1887:Q1887)</f>
        <v>0</v>
      </c>
      <c r="K1887" s="88"/>
      <c r="L1887" s="88"/>
      <c r="M1887" s="88"/>
      <c r="N1887" s="88"/>
      <c r="O1887" s="88"/>
      <c r="P1887" s="88"/>
      <c r="Q1887" s="88"/>
      <c r="R1887" s="78">
        <f>MAX(S1887:W1887)</f>
        <v>1</v>
      </c>
      <c r="S1887" s="88"/>
      <c r="T1887" s="88"/>
      <c r="U1887" s="88">
        <v>1</v>
      </c>
      <c r="V1887" s="88"/>
      <c r="W1887" s="88"/>
    </row>
    <row r="1888" spans="2:23" s="0" customFormat="0" ht="15">
      <c r="B1888" s="87" t="s">
        <v>1</v>
      </c>
      <c r="C1888" s="88" t="s">
        <v>5259</v>
      </c>
      <c r="D1888" s="88">
        <v>19666398</v>
      </c>
      <c r="E1888" s="88" t="s">
        <v>61</v>
      </c>
      <c r="F1888" s="88">
        <v>0</v>
      </c>
      <c r="G1888" s="78">
        <f>MAX(H1888,I1888,J1888)</f>
        <v>1</v>
      </c>
      <c r="H1888" s="88"/>
      <c r="I1888" s="88"/>
      <c r="J1888" s="78">
        <f>MAX(K1888:Q1888)</f>
        <v>1</v>
      </c>
      <c r="K1888" s="88">
        <v>1</v>
      </c>
      <c r="L1888" s="88"/>
      <c r="M1888" s="88"/>
      <c r="N1888" s="88"/>
      <c r="O1888" s="88"/>
      <c r="P1888" s="88"/>
      <c r="Q1888" s="88"/>
      <c r="R1888" s="78">
        <f>MAX(S1888:W1888)</f>
        <v>0</v>
      </c>
      <c r="S1888" s="88"/>
      <c r="T1888" s="88"/>
      <c r="U1888" s="88"/>
      <c r="V1888" s="88"/>
      <c r="W1888" s="88"/>
    </row>
    <row r="1889" spans="2:23" s="0" customFormat="0" ht="15">
      <c r="B1889" s="87" t="s">
        <v>1</v>
      </c>
      <c r="C1889" s="88" t="s">
        <v>5259</v>
      </c>
      <c r="D1889" s="88" t="s">
        <v>1444</v>
      </c>
      <c r="E1889" s="88" t="s">
        <v>61</v>
      </c>
      <c r="F1889" s="88">
        <v>0</v>
      </c>
      <c r="G1889" s="78">
        <f>MAX(H1889,I1889,J1889)</f>
        <v>1</v>
      </c>
      <c r="H1889" s="88"/>
      <c r="I1889" s="88"/>
      <c r="J1889" s="78">
        <f>MAX(K1889:Q1889)</f>
        <v>1</v>
      </c>
      <c r="K1889" s="88">
        <v>1</v>
      </c>
      <c r="L1889" s="88"/>
      <c r="M1889" s="88"/>
      <c r="N1889" s="88"/>
      <c r="O1889" s="88"/>
      <c r="P1889" s="88"/>
      <c r="Q1889" s="88"/>
      <c r="R1889" s="78">
        <f>MAX(S1889:W1889)</f>
        <v>0</v>
      </c>
      <c r="S1889" s="88"/>
      <c r="T1889" s="88"/>
      <c r="U1889" s="88"/>
      <c r="V1889" s="88"/>
      <c r="W1889" s="88"/>
    </row>
    <row r="1890" spans="2:23" s="0" customFormat="0" ht="15">
      <c r="B1890" s="87" t="s">
        <v>1</v>
      </c>
      <c r="C1890" s="88" t="s">
        <v>5259</v>
      </c>
      <c r="D1890" s="88">
        <v>18189432</v>
      </c>
      <c r="E1890" s="88" t="s">
        <v>61</v>
      </c>
      <c r="F1890" s="88">
        <v>0</v>
      </c>
      <c r="G1890" s="78">
        <f>MAX(H1890,I1890,J1890)</f>
        <v>1</v>
      </c>
      <c r="H1890" s="88"/>
      <c r="I1890" s="88"/>
      <c r="J1890" s="78">
        <f>MAX(K1890:Q1890)</f>
        <v>1</v>
      </c>
      <c r="K1890" s="88">
        <v>1</v>
      </c>
      <c r="L1890" s="88"/>
      <c r="M1890" s="88"/>
      <c r="N1890" s="88"/>
      <c r="O1890" s="88"/>
      <c r="P1890" s="88"/>
      <c r="Q1890" s="88"/>
      <c r="R1890" s="78">
        <f>MAX(S1890:W1890)</f>
        <v>0</v>
      </c>
      <c r="S1890" s="88"/>
      <c r="T1890" s="88"/>
      <c r="U1890" s="88"/>
      <c r="V1890" s="88"/>
      <c r="W1890" s="88"/>
    </row>
    <row r="1891" spans="2:23" s="0" customFormat="0" ht="15">
      <c r="B1891" s="87" t="s">
        <v>1</v>
      </c>
      <c r="C1891" s="88" t="s">
        <v>5259</v>
      </c>
      <c r="D1891" s="88" t="s">
        <v>4173</v>
      </c>
      <c r="E1891" s="88" t="s">
        <v>61</v>
      </c>
      <c r="F1891" s="88">
        <v>0</v>
      </c>
      <c r="G1891" s="78">
        <f>MAX(H1891,I1891,J1891)</f>
        <v>0</v>
      </c>
      <c r="H1891" s="88"/>
      <c r="I1891" s="88"/>
      <c r="J1891" s="78">
        <f>MAX(K1891:Q1891)</f>
        <v>0</v>
      </c>
      <c r="K1891" s="88"/>
      <c r="L1891" s="88"/>
      <c r="M1891" s="88"/>
      <c r="N1891" s="88"/>
      <c r="O1891" s="88"/>
      <c r="P1891" s="88"/>
      <c r="Q1891" s="88"/>
      <c r="R1891" s="78">
        <f>MAX(S1891:W1891)</f>
        <v>1</v>
      </c>
      <c r="S1891" s="88"/>
      <c r="T1891" s="88"/>
      <c r="U1891" s="88">
        <v>1</v>
      </c>
      <c r="V1891" s="88"/>
      <c r="W1891" s="88"/>
    </row>
    <row r="1892" spans="2:23" s="0" customFormat="0" ht="15">
      <c r="B1892" s="87" t="s">
        <v>1</v>
      </c>
      <c r="C1892" s="88" t="s">
        <v>5259</v>
      </c>
      <c r="D1892" s="88">
        <v>22390625</v>
      </c>
      <c r="E1892" s="88" t="s">
        <v>61</v>
      </c>
      <c r="F1892" s="88">
        <v>0</v>
      </c>
      <c r="G1892" s="78">
        <f>MAX(H1892,I1892,J1892)</f>
        <v>1</v>
      </c>
      <c r="H1892" s="88"/>
      <c r="I1892" s="88"/>
      <c r="J1892" s="78">
        <f>MAX(K1892:Q1892)</f>
        <v>1</v>
      </c>
      <c r="K1892" s="88"/>
      <c r="L1892" s="88">
        <v>1</v>
      </c>
      <c r="M1892" s="88"/>
      <c r="N1892" s="88"/>
      <c r="O1892" s="88"/>
      <c r="P1892" s="88"/>
      <c r="Q1892" s="88"/>
      <c r="R1892" s="78">
        <f>MAX(S1892:W1892)</f>
        <v>0</v>
      </c>
      <c r="S1892" s="88"/>
      <c r="T1892" s="88"/>
      <c r="U1892" s="88"/>
      <c r="V1892" s="88"/>
      <c r="W1892" s="88"/>
    </row>
    <row r="1893" spans="2:23" s="0" customFormat="0" ht="15">
      <c r="B1893" s="87" t="s">
        <v>1</v>
      </c>
      <c r="C1893" s="88" t="s">
        <v>5259</v>
      </c>
      <c r="D1893" s="88" t="s">
        <v>4175</v>
      </c>
      <c r="E1893" s="88" t="s">
        <v>61</v>
      </c>
      <c r="F1893" s="88">
        <v>0</v>
      </c>
      <c r="G1893" s="78">
        <f>MAX(H1893,I1893,J1893)</f>
        <v>0</v>
      </c>
      <c r="H1893" s="88"/>
      <c r="I1893" s="88"/>
      <c r="J1893" s="78">
        <f>MAX(K1893:Q1893)</f>
        <v>0</v>
      </c>
      <c r="K1893" s="88"/>
      <c r="L1893" s="88"/>
      <c r="M1893" s="88"/>
      <c r="N1893" s="88"/>
      <c r="O1893" s="88"/>
      <c r="P1893" s="88"/>
      <c r="Q1893" s="88"/>
      <c r="R1893" s="78">
        <f>MAX(S1893:W1893)</f>
        <v>1</v>
      </c>
      <c r="S1893" s="88"/>
      <c r="T1893" s="88"/>
      <c r="U1893" s="88">
        <v>1</v>
      </c>
      <c r="V1893" s="88"/>
      <c r="W1893" s="88"/>
    </row>
    <row r="1894" spans="2:23" s="0" customFormat="0" ht="15">
      <c r="B1894" s="87" t="s">
        <v>1</v>
      </c>
      <c r="C1894" s="88" t="s">
        <v>5259</v>
      </c>
      <c r="D1894" s="88" t="s">
        <v>3235</v>
      </c>
      <c r="E1894" s="88" t="s">
        <v>61</v>
      </c>
      <c r="F1894" s="88">
        <v>0</v>
      </c>
      <c r="G1894" s="78">
        <f>MAX(H1894,I1894,J1894)</f>
        <v>0</v>
      </c>
      <c r="H1894" s="88"/>
      <c r="I1894" s="88"/>
      <c r="J1894" s="78">
        <f>MAX(K1894:Q1894)</f>
        <v>0</v>
      </c>
      <c r="K1894" s="88"/>
      <c r="L1894" s="88"/>
      <c r="M1894" s="88"/>
      <c r="N1894" s="88"/>
      <c r="O1894" s="88"/>
      <c r="P1894" s="88"/>
      <c r="Q1894" s="88"/>
      <c r="R1894" s="78">
        <f>MAX(S1894:W1894)</f>
        <v>1</v>
      </c>
      <c r="S1894" s="88"/>
      <c r="T1894" s="88"/>
      <c r="U1894" s="88"/>
      <c r="V1894" s="88">
        <v>1</v>
      </c>
      <c r="W1894" s="88"/>
    </row>
    <row r="1895" spans="2:23" s="0" customFormat="0" ht="15">
      <c r="B1895" s="87" t="s">
        <v>1</v>
      </c>
      <c r="C1895" s="88" t="s">
        <v>5259</v>
      </c>
      <c r="D1895" s="88">
        <v>20774628</v>
      </c>
      <c r="E1895" s="88" t="s">
        <v>61</v>
      </c>
      <c r="F1895" s="88">
        <v>0</v>
      </c>
      <c r="G1895" s="78">
        <f>MAX(H1895,I1895,J1895)</f>
        <v>1</v>
      </c>
      <c r="H1895" s="88"/>
      <c r="I1895" s="88"/>
      <c r="J1895" s="78">
        <f>MAX(K1895:Q1895)</f>
        <v>1</v>
      </c>
      <c r="K1895" s="88">
        <v>1</v>
      </c>
      <c r="L1895" s="88"/>
      <c r="M1895" s="88"/>
      <c r="N1895" s="88"/>
      <c r="O1895" s="88"/>
      <c r="P1895" s="88"/>
      <c r="Q1895" s="88"/>
      <c r="R1895" s="78">
        <f>MAX(S1895:W1895)</f>
        <v>0</v>
      </c>
      <c r="S1895" s="88"/>
      <c r="T1895" s="88"/>
      <c r="U1895" s="88"/>
      <c r="V1895" s="88"/>
      <c r="W1895" s="88"/>
    </row>
    <row r="1896" spans="2:23" s="0" customFormat="0" ht="15">
      <c r="B1896" s="87" t="s">
        <v>1</v>
      </c>
      <c r="C1896" s="88" t="s">
        <v>5259</v>
      </c>
      <c r="D1896" s="88">
        <v>1929203</v>
      </c>
      <c r="E1896" s="88" t="s">
        <v>61</v>
      </c>
      <c r="F1896" s="88">
        <v>0</v>
      </c>
      <c r="G1896" s="78">
        <f>MAX(H1896,I1896,J1896)</f>
        <v>0</v>
      </c>
      <c r="H1896" s="88"/>
      <c r="I1896" s="88"/>
      <c r="J1896" s="78">
        <f>MAX(K1896:Q1896)</f>
        <v>0</v>
      </c>
      <c r="K1896" s="88"/>
      <c r="L1896" s="88"/>
      <c r="M1896" s="88"/>
      <c r="N1896" s="88"/>
      <c r="O1896" s="88"/>
      <c r="P1896" s="88"/>
      <c r="Q1896" s="88"/>
      <c r="R1896" s="78">
        <f>MAX(S1896:W1896)</f>
        <v>1</v>
      </c>
      <c r="S1896" s="88"/>
      <c r="T1896" s="88"/>
      <c r="U1896" s="88">
        <v>1</v>
      </c>
      <c r="V1896" s="88"/>
      <c r="W1896" s="88"/>
    </row>
    <row r="1897" spans="2:23" s="0" customFormat="0" ht="15">
      <c r="B1897" s="87" t="s">
        <v>1</v>
      </c>
      <c r="C1897" s="88" t="s">
        <v>5259</v>
      </c>
      <c r="D1897" s="88" t="s">
        <v>4178</v>
      </c>
      <c r="E1897" s="88" t="s">
        <v>61</v>
      </c>
      <c r="F1897" s="88">
        <v>0</v>
      </c>
      <c r="G1897" s="78">
        <f>MAX(H1897,I1897,J1897)</f>
        <v>0</v>
      </c>
      <c r="H1897" s="88"/>
      <c r="I1897" s="88"/>
      <c r="J1897" s="78">
        <f>MAX(K1897:Q1897)</f>
        <v>0</v>
      </c>
      <c r="K1897" s="88"/>
      <c r="L1897" s="88"/>
      <c r="M1897" s="88"/>
      <c r="N1897" s="88"/>
      <c r="O1897" s="88"/>
      <c r="P1897" s="88"/>
      <c r="Q1897" s="88"/>
      <c r="R1897" s="78">
        <f>MAX(S1897:W1897)</f>
        <v>1</v>
      </c>
      <c r="S1897" s="88"/>
      <c r="T1897" s="88"/>
      <c r="U1897" s="88">
        <v>1</v>
      </c>
      <c r="V1897" s="88"/>
      <c r="W1897" s="88"/>
    </row>
    <row r="1898" spans="2:23" s="0" customFormat="0" ht="15">
      <c r="B1898" s="87" t="s">
        <v>1</v>
      </c>
      <c r="C1898" s="88" t="s">
        <v>5259</v>
      </c>
      <c r="D1898" s="88">
        <v>23394686</v>
      </c>
      <c r="E1898" s="88" t="s">
        <v>61</v>
      </c>
      <c r="F1898" s="88">
        <v>0</v>
      </c>
      <c r="G1898" s="78">
        <f>MAX(H1898,I1898,J1898)</f>
        <v>1</v>
      </c>
      <c r="H1898" s="88"/>
      <c r="I1898" s="88"/>
      <c r="J1898" s="78">
        <f>MAX(K1898:Q1898)</f>
        <v>1</v>
      </c>
      <c r="K1898" s="88">
        <v>1</v>
      </c>
      <c r="L1898" s="88"/>
      <c r="M1898" s="88"/>
      <c r="N1898" s="88"/>
      <c r="O1898" s="88"/>
      <c r="P1898" s="88"/>
      <c r="Q1898" s="88"/>
      <c r="R1898" s="78">
        <f>MAX(S1898:W1898)</f>
        <v>0</v>
      </c>
      <c r="S1898" s="88"/>
      <c r="T1898" s="88"/>
      <c r="U1898" s="88"/>
      <c r="V1898" s="88"/>
      <c r="W1898" s="88"/>
    </row>
    <row r="1899" spans="2:23" s="0" customFormat="0" ht="15">
      <c r="B1899" s="87" t="s">
        <v>1</v>
      </c>
      <c r="C1899" s="88" t="s">
        <v>5259</v>
      </c>
      <c r="D1899" s="88" t="s">
        <v>1204</v>
      </c>
      <c r="E1899" s="88" t="s">
        <v>61</v>
      </c>
      <c r="F1899" s="88">
        <v>0</v>
      </c>
      <c r="G1899" s="78">
        <f>MAX(H1899,I1899,J1899)</f>
        <v>1</v>
      </c>
      <c r="H1899" s="88"/>
      <c r="I1899" s="88"/>
      <c r="J1899" s="78">
        <f>MAX(K1899:Q1899)</f>
        <v>1</v>
      </c>
      <c r="K1899" s="88">
        <v>1</v>
      </c>
      <c r="L1899" s="88"/>
      <c r="M1899" s="88"/>
      <c r="N1899" s="88"/>
      <c r="O1899" s="88"/>
      <c r="P1899" s="88"/>
      <c r="Q1899" s="88"/>
      <c r="R1899" s="78">
        <f>MAX(S1899:W1899)</f>
        <v>0</v>
      </c>
      <c r="S1899" s="88"/>
      <c r="T1899" s="88"/>
      <c r="U1899" s="88"/>
      <c r="V1899" s="88"/>
      <c r="W1899" s="88"/>
    </row>
    <row r="1900" spans="2:23" s="0" customFormat="0" ht="15">
      <c r="B1900" s="87" t="s">
        <v>1</v>
      </c>
      <c r="C1900" s="88" t="s">
        <v>5259</v>
      </c>
      <c r="D1900" s="88">
        <v>14230544</v>
      </c>
      <c r="E1900" s="88" t="s">
        <v>61</v>
      </c>
      <c r="F1900" s="88">
        <v>0</v>
      </c>
      <c r="G1900" s="78">
        <f>MAX(H1900,I1900,J1900)</f>
        <v>1</v>
      </c>
      <c r="H1900" s="88"/>
      <c r="I1900" s="88"/>
      <c r="J1900" s="78">
        <f>MAX(K1900:Q1900)</f>
        <v>1</v>
      </c>
      <c r="K1900" s="88">
        <v>1</v>
      </c>
      <c r="L1900" s="88"/>
      <c r="M1900" s="88"/>
      <c r="N1900" s="88"/>
      <c r="O1900" s="88"/>
      <c r="P1900" s="88"/>
      <c r="Q1900" s="88"/>
      <c r="R1900" s="78">
        <f>MAX(S1900:W1900)</f>
        <v>0</v>
      </c>
      <c r="S1900" s="88"/>
      <c r="T1900" s="88"/>
      <c r="U1900" s="88"/>
      <c r="V1900" s="88"/>
      <c r="W1900" s="88"/>
    </row>
    <row r="1901" spans="2:23" s="0" customFormat="0" ht="15">
      <c r="B1901" s="87" t="s">
        <v>1</v>
      </c>
      <c r="C1901" s="88" t="s">
        <v>5259</v>
      </c>
      <c r="D1901" s="88" t="s">
        <v>4180</v>
      </c>
      <c r="E1901" s="88" t="s">
        <v>61</v>
      </c>
      <c r="F1901" s="88">
        <v>0</v>
      </c>
      <c r="G1901" s="78">
        <f>MAX(H1901,I1901,J1901)</f>
        <v>0</v>
      </c>
      <c r="H1901" s="88"/>
      <c r="I1901" s="88"/>
      <c r="J1901" s="78">
        <f>MAX(K1901:Q1901)</f>
        <v>0</v>
      </c>
      <c r="K1901" s="88"/>
      <c r="L1901" s="88"/>
      <c r="M1901" s="88"/>
      <c r="N1901" s="88"/>
      <c r="O1901" s="88"/>
      <c r="P1901" s="88"/>
      <c r="Q1901" s="88"/>
      <c r="R1901" s="78">
        <f>MAX(S1901:W1901)</f>
        <v>1</v>
      </c>
      <c r="S1901" s="88"/>
      <c r="T1901" s="88"/>
      <c r="U1901" s="88">
        <v>1</v>
      </c>
      <c r="V1901" s="88"/>
      <c r="W1901" s="88"/>
    </row>
    <row r="1902" spans="2:23" s="0" customFormat="0" ht="15">
      <c r="B1902" s="87" t="s">
        <v>1</v>
      </c>
      <c r="C1902" s="88" t="s">
        <v>5259</v>
      </c>
      <c r="D1902" s="88">
        <v>15176542</v>
      </c>
      <c r="E1902" s="88" t="s">
        <v>61</v>
      </c>
      <c r="F1902" s="88">
        <v>0</v>
      </c>
      <c r="G1902" s="78">
        <f>MAX(H1902,I1902,J1902)</f>
        <v>0</v>
      </c>
      <c r="H1902" s="88"/>
      <c r="I1902" s="88"/>
      <c r="J1902" s="78">
        <f>MAX(K1902:Q1902)</f>
        <v>0</v>
      </c>
      <c r="K1902" s="88"/>
      <c r="L1902" s="88"/>
      <c r="M1902" s="88"/>
      <c r="N1902" s="88"/>
      <c r="O1902" s="88"/>
      <c r="P1902" s="88"/>
      <c r="Q1902" s="88"/>
      <c r="R1902" s="78">
        <f>MAX(S1902:W1902)</f>
        <v>1</v>
      </c>
      <c r="S1902" s="88"/>
      <c r="T1902" s="88"/>
      <c r="U1902" s="88">
        <v>1</v>
      </c>
      <c r="V1902" s="88"/>
      <c r="W1902" s="88"/>
    </row>
    <row r="1903" spans="2:23" s="0" customFormat="0" ht="15">
      <c r="B1903" s="87" t="s">
        <v>1</v>
      </c>
      <c r="C1903" s="88" t="s">
        <v>5259</v>
      </c>
      <c r="D1903" s="88" t="s">
        <v>4182</v>
      </c>
      <c r="E1903" s="88" t="s">
        <v>61</v>
      </c>
      <c r="F1903" s="88">
        <v>0</v>
      </c>
      <c r="G1903" s="78">
        <f>MAX(H1903,I1903,J1903)</f>
        <v>0</v>
      </c>
      <c r="H1903" s="88"/>
      <c r="I1903" s="88"/>
      <c r="J1903" s="78">
        <f>MAX(K1903:Q1903)</f>
        <v>0</v>
      </c>
      <c r="K1903" s="88"/>
      <c r="L1903" s="88"/>
      <c r="M1903" s="88"/>
      <c r="N1903" s="88"/>
      <c r="O1903" s="88"/>
      <c r="P1903" s="88"/>
      <c r="Q1903" s="88"/>
      <c r="R1903" s="78">
        <f>MAX(S1903:W1903)</f>
        <v>1</v>
      </c>
      <c r="S1903" s="88"/>
      <c r="T1903" s="88"/>
      <c r="U1903" s="88">
        <v>1</v>
      </c>
      <c r="V1903" s="88"/>
      <c r="W1903" s="88"/>
    </row>
    <row r="1904" spans="2:23" s="0" customFormat="0" ht="15">
      <c r="B1904" s="87" t="s">
        <v>1</v>
      </c>
      <c r="C1904" s="88" t="s">
        <v>5259</v>
      </c>
      <c r="D1904" s="88" t="s">
        <v>4184</v>
      </c>
      <c r="E1904" s="88" t="s">
        <v>61</v>
      </c>
      <c r="F1904" s="88">
        <v>0</v>
      </c>
      <c r="G1904" s="78">
        <f>MAX(H1904,I1904,J1904)</f>
        <v>0</v>
      </c>
      <c r="H1904" s="88"/>
      <c r="I1904" s="88"/>
      <c r="J1904" s="78">
        <f>MAX(K1904:Q1904)</f>
        <v>0</v>
      </c>
      <c r="K1904" s="88"/>
      <c r="L1904" s="88"/>
      <c r="M1904" s="88"/>
      <c r="N1904" s="88"/>
      <c r="O1904" s="88"/>
      <c r="P1904" s="88"/>
      <c r="Q1904" s="88"/>
      <c r="R1904" s="78">
        <f>MAX(S1904:W1904)</f>
        <v>1</v>
      </c>
      <c r="S1904" s="88"/>
      <c r="T1904" s="88"/>
      <c r="U1904" s="88">
        <v>1</v>
      </c>
      <c r="V1904" s="88"/>
      <c r="W1904" s="88"/>
    </row>
    <row r="1905" spans="2:23" s="0" customFormat="0" ht="15">
      <c r="B1905" s="87" t="s">
        <v>1</v>
      </c>
      <c r="C1905" s="88" t="s">
        <v>5259</v>
      </c>
      <c r="D1905" s="88">
        <v>18717023</v>
      </c>
      <c r="E1905" s="88" t="s">
        <v>61</v>
      </c>
      <c r="F1905" s="88">
        <v>0</v>
      </c>
      <c r="G1905" s="78">
        <f>MAX(H1905,I1905,J1905)</f>
        <v>1</v>
      </c>
      <c r="H1905" s="88"/>
      <c r="I1905" s="88"/>
      <c r="J1905" s="78">
        <f>MAX(K1905:Q1905)</f>
        <v>1</v>
      </c>
      <c r="K1905" s="88">
        <v>1</v>
      </c>
      <c r="L1905" s="88"/>
      <c r="M1905" s="88"/>
      <c r="N1905" s="88"/>
      <c r="O1905" s="88"/>
      <c r="P1905" s="88"/>
      <c r="Q1905" s="88"/>
      <c r="R1905" s="78">
        <f>MAX(S1905:W1905)</f>
        <v>0</v>
      </c>
      <c r="S1905" s="88"/>
      <c r="T1905" s="88"/>
      <c r="U1905" s="88"/>
      <c r="V1905" s="88"/>
      <c r="W1905" s="88"/>
    </row>
    <row r="1906" spans="2:23" s="0" customFormat="0" ht="15">
      <c r="B1906" s="87" t="s">
        <v>1</v>
      </c>
      <c r="C1906" s="88" t="s">
        <v>5259</v>
      </c>
      <c r="D1906" s="88">
        <v>23545454</v>
      </c>
      <c r="E1906" s="88" t="s">
        <v>61</v>
      </c>
      <c r="F1906" s="88">
        <v>0</v>
      </c>
      <c r="G1906" s="78">
        <f>MAX(H1906,I1906,J1906)</f>
        <v>1</v>
      </c>
      <c r="H1906" s="88"/>
      <c r="I1906" s="88"/>
      <c r="J1906" s="78">
        <f>MAX(K1906:Q1906)</f>
        <v>1</v>
      </c>
      <c r="K1906" s="88">
        <v>1</v>
      </c>
      <c r="L1906" s="88"/>
      <c r="M1906" s="88"/>
      <c r="N1906" s="88"/>
      <c r="O1906" s="88"/>
      <c r="P1906" s="88"/>
      <c r="Q1906" s="88"/>
      <c r="R1906" s="78">
        <f>MAX(S1906:W1906)</f>
        <v>0</v>
      </c>
      <c r="S1906" s="88"/>
      <c r="T1906" s="88"/>
      <c r="U1906" s="88"/>
      <c r="V1906" s="88"/>
      <c r="W1906" s="88"/>
    </row>
    <row r="1907" spans="2:23" s="0" customFormat="0" ht="15">
      <c r="B1907" s="87" t="s">
        <v>1</v>
      </c>
      <c r="C1907" s="88" t="s">
        <v>5259</v>
      </c>
      <c r="D1907" s="88">
        <v>20755409</v>
      </c>
      <c r="E1907" s="88" t="s">
        <v>61</v>
      </c>
      <c r="F1907" s="88">
        <v>0</v>
      </c>
      <c r="G1907" s="78">
        <f>MAX(H1907,I1907,J1907)</f>
        <v>1</v>
      </c>
      <c r="H1907" s="88"/>
      <c r="I1907" s="88"/>
      <c r="J1907" s="78">
        <f>MAX(K1907:Q1907)</f>
        <v>1</v>
      </c>
      <c r="K1907" s="88">
        <v>1</v>
      </c>
      <c r="L1907" s="88"/>
      <c r="M1907" s="88"/>
      <c r="N1907" s="88"/>
      <c r="O1907" s="88"/>
      <c r="P1907" s="88"/>
      <c r="Q1907" s="88"/>
      <c r="R1907" s="78">
        <f>MAX(S1907:W1907)</f>
        <v>0</v>
      </c>
      <c r="S1907" s="88"/>
      <c r="T1907" s="88"/>
      <c r="U1907" s="88"/>
      <c r="V1907" s="88"/>
      <c r="W1907" s="88"/>
    </row>
    <row r="1908" spans="2:23" s="0" customFormat="0" ht="15">
      <c r="B1908" s="87" t="s">
        <v>1</v>
      </c>
      <c r="C1908" s="88" t="s">
        <v>5259</v>
      </c>
      <c r="D1908" s="88">
        <v>22554288</v>
      </c>
      <c r="E1908" s="88" t="s">
        <v>61</v>
      </c>
      <c r="F1908" s="88">
        <v>0</v>
      </c>
      <c r="G1908" s="78">
        <f>MAX(H1908,I1908,J1908)</f>
        <v>0</v>
      </c>
      <c r="H1908" s="88"/>
      <c r="I1908" s="88"/>
      <c r="J1908" s="78">
        <f>MAX(K1908:Q1908)</f>
        <v>0</v>
      </c>
      <c r="K1908" s="88"/>
      <c r="L1908" s="88"/>
      <c r="M1908" s="88"/>
      <c r="N1908" s="88"/>
      <c r="O1908" s="88"/>
      <c r="P1908" s="88"/>
      <c r="Q1908" s="88"/>
      <c r="R1908" s="78">
        <f>MAX(S1908:W1908)</f>
        <v>1</v>
      </c>
      <c r="S1908" s="88"/>
      <c r="T1908" s="88"/>
      <c r="U1908" s="88"/>
      <c r="V1908" s="88">
        <v>1</v>
      </c>
      <c r="W1908" s="88"/>
    </row>
    <row r="1909" spans="2:23" s="0" customFormat="0" ht="15">
      <c r="B1909" s="87" t="s">
        <v>1</v>
      </c>
      <c r="C1909" s="88" t="s">
        <v>5259</v>
      </c>
      <c r="D1909" s="88">
        <v>24176488</v>
      </c>
      <c r="E1909" s="88" t="s">
        <v>61</v>
      </c>
      <c r="F1909" s="88">
        <v>0</v>
      </c>
      <c r="G1909" s="78">
        <f>MAX(H1909,I1909,J1909)</f>
        <v>1</v>
      </c>
      <c r="H1909" s="88"/>
      <c r="I1909" s="88"/>
      <c r="J1909" s="78">
        <f>MAX(K1909:Q1909)</f>
        <v>1</v>
      </c>
      <c r="K1909" s="88">
        <v>1</v>
      </c>
      <c r="L1909" s="88"/>
      <c r="M1909" s="88"/>
      <c r="N1909" s="88"/>
      <c r="O1909" s="88"/>
      <c r="P1909" s="88"/>
      <c r="Q1909" s="88"/>
      <c r="R1909" s="78">
        <f>MAX(S1909:W1909)</f>
        <v>0</v>
      </c>
      <c r="S1909" s="88"/>
      <c r="T1909" s="88"/>
      <c r="U1909" s="88"/>
      <c r="V1909" s="88"/>
      <c r="W1909" s="88"/>
    </row>
    <row r="1910" spans="2:23" s="0" customFormat="0" ht="15">
      <c r="B1910" s="87" t="s">
        <v>1</v>
      </c>
      <c r="C1910" s="88" t="s">
        <v>5259</v>
      </c>
      <c r="D1910" s="88">
        <v>22185637</v>
      </c>
      <c r="E1910" s="88" t="s">
        <v>61</v>
      </c>
      <c r="F1910" s="88">
        <v>0</v>
      </c>
      <c r="G1910" s="78">
        <f>MAX(H1910,I1910,J1910)</f>
        <v>1</v>
      </c>
      <c r="H1910" s="88"/>
      <c r="I1910" s="88"/>
      <c r="J1910" s="78">
        <f>MAX(K1910:Q1910)</f>
        <v>1</v>
      </c>
      <c r="K1910" s="88"/>
      <c r="L1910" s="88"/>
      <c r="M1910" s="88">
        <v>1</v>
      </c>
      <c r="N1910" s="88"/>
      <c r="O1910" s="88"/>
      <c r="P1910" s="88"/>
      <c r="Q1910" s="88"/>
      <c r="R1910" s="78">
        <f>MAX(S1910:W1910)</f>
        <v>0</v>
      </c>
      <c r="S1910" s="88"/>
      <c r="T1910" s="88"/>
      <c r="U1910" s="88"/>
      <c r="V1910" s="88"/>
      <c r="W1910" s="88"/>
    </row>
    <row r="1911" spans="2:23" s="0" customFormat="0" ht="15">
      <c r="B1911" s="87" t="s">
        <v>1</v>
      </c>
      <c r="C1911" s="88" t="s">
        <v>5259</v>
      </c>
      <c r="D1911" s="88" t="s">
        <v>4186</v>
      </c>
      <c r="E1911" s="88" t="s">
        <v>61</v>
      </c>
      <c r="F1911" s="88">
        <v>0</v>
      </c>
      <c r="G1911" s="78">
        <f>MAX(H1911,I1911,J1911)</f>
        <v>0</v>
      </c>
      <c r="H1911" s="88"/>
      <c r="I1911" s="88"/>
      <c r="J1911" s="78">
        <f>MAX(K1911:Q1911)</f>
        <v>0</v>
      </c>
      <c r="K1911" s="88"/>
      <c r="L1911" s="88"/>
      <c r="M1911" s="88"/>
      <c r="N1911" s="88"/>
      <c r="O1911" s="88"/>
      <c r="P1911" s="88"/>
      <c r="Q1911" s="88"/>
      <c r="R1911" s="78">
        <f>MAX(S1911:W1911)</f>
        <v>1</v>
      </c>
      <c r="S1911" s="88"/>
      <c r="T1911" s="88"/>
      <c r="U1911" s="88">
        <v>1</v>
      </c>
      <c r="V1911" s="88"/>
      <c r="W1911" s="88"/>
    </row>
    <row r="1912" spans="2:23" s="0" customFormat="0" ht="15">
      <c r="B1912" s="87" t="s">
        <v>1</v>
      </c>
      <c r="C1912" s="88" t="s">
        <v>5259</v>
      </c>
      <c r="D1912" s="88">
        <v>14211371</v>
      </c>
      <c r="E1912" s="88" t="s">
        <v>61</v>
      </c>
      <c r="F1912" s="88">
        <v>0</v>
      </c>
      <c r="G1912" s="78">
        <f>MAX(H1912,I1912,J1912)</f>
        <v>1</v>
      </c>
      <c r="H1912" s="88"/>
      <c r="I1912" s="88"/>
      <c r="J1912" s="78">
        <f>MAX(K1912:Q1912)</f>
        <v>1</v>
      </c>
      <c r="K1912" s="88">
        <v>1</v>
      </c>
      <c r="L1912" s="88"/>
      <c r="M1912" s="88"/>
      <c r="N1912" s="88"/>
      <c r="O1912" s="88"/>
      <c r="P1912" s="88"/>
      <c r="Q1912" s="88"/>
      <c r="R1912" s="78">
        <f>MAX(S1912:W1912)</f>
        <v>0</v>
      </c>
      <c r="S1912" s="88"/>
      <c r="T1912" s="88"/>
      <c r="U1912" s="88"/>
      <c r="V1912" s="88"/>
      <c r="W1912" s="88"/>
    </row>
    <row r="1913" spans="2:23" s="0" customFormat="0" ht="15">
      <c r="B1913" s="87" t="s">
        <v>1</v>
      </c>
      <c r="C1913" s="88" t="s">
        <v>5259</v>
      </c>
      <c r="D1913" s="88" t="s">
        <v>3920</v>
      </c>
      <c r="E1913" s="88" t="s">
        <v>61</v>
      </c>
      <c r="F1913" s="88">
        <v>0</v>
      </c>
      <c r="G1913" s="78">
        <f>MAX(H1913,I1913,J1913)</f>
        <v>0</v>
      </c>
      <c r="H1913" s="88"/>
      <c r="I1913" s="88"/>
      <c r="J1913" s="78">
        <f>MAX(K1913:Q1913)</f>
        <v>0</v>
      </c>
      <c r="K1913" s="88"/>
      <c r="L1913" s="88"/>
      <c r="M1913" s="88"/>
      <c r="N1913" s="88"/>
      <c r="O1913" s="88"/>
      <c r="P1913" s="88"/>
      <c r="Q1913" s="88"/>
      <c r="R1913" s="78">
        <f>MAX(S1913:W1913)</f>
        <v>1</v>
      </c>
      <c r="S1913" s="88"/>
      <c r="T1913" s="88"/>
      <c r="U1913" s="88">
        <v>1</v>
      </c>
      <c r="V1913" s="88"/>
      <c r="W1913" s="88"/>
    </row>
    <row r="1914" spans="2:23" s="0" customFormat="0" ht="15">
      <c r="B1914" s="87" t="s">
        <v>1</v>
      </c>
      <c r="C1914" s="88" t="s">
        <v>5259</v>
      </c>
      <c r="D1914" s="88" t="s">
        <v>4188</v>
      </c>
      <c r="E1914" s="88" t="s">
        <v>61</v>
      </c>
      <c r="F1914" s="88">
        <v>0</v>
      </c>
      <c r="G1914" s="78">
        <f>MAX(H1914,I1914,J1914)</f>
        <v>0</v>
      </c>
      <c r="H1914" s="88"/>
      <c r="I1914" s="88"/>
      <c r="J1914" s="78">
        <f>MAX(K1914:Q1914)</f>
        <v>0</v>
      </c>
      <c r="K1914" s="88"/>
      <c r="L1914" s="88"/>
      <c r="M1914" s="88"/>
      <c r="N1914" s="88"/>
      <c r="O1914" s="88"/>
      <c r="P1914" s="88"/>
      <c r="Q1914" s="88"/>
      <c r="R1914" s="78">
        <f>MAX(S1914:W1914)</f>
        <v>1</v>
      </c>
      <c r="S1914" s="88"/>
      <c r="T1914" s="88"/>
      <c r="U1914" s="88">
        <v>1</v>
      </c>
      <c r="V1914" s="88"/>
      <c r="W1914" s="88"/>
    </row>
    <row r="1915" spans="2:23" s="0" customFormat="0" ht="15">
      <c r="B1915" s="87" t="s">
        <v>1</v>
      </c>
      <c r="C1915" s="88" t="s">
        <v>5259</v>
      </c>
      <c r="D1915" s="88">
        <v>2008450</v>
      </c>
      <c r="E1915" s="88" t="s">
        <v>61</v>
      </c>
      <c r="F1915" s="88">
        <v>0</v>
      </c>
      <c r="G1915" s="78">
        <f>MAX(H1915,I1915,J1915)</f>
        <v>0</v>
      </c>
      <c r="H1915" s="88"/>
      <c r="I1915" s="88"/>
      <c r="J1915" s="78">
        <f>MAX(K1915:Q1915)</f>
        <v>0</v>
      </c>
      <c r="K1915" s="88"/>
      <c r="L1915" s="88"/>
      <c r="M1915" s="88"/>
      <c r="N1915" s="88"/>
      <c r="O1915" s="88"/>
      <c r="P1915" s="88"/>
      <c r="Q1915" s="88"/>
      <c r="R1915" s="78">
        <f>MAX(S1915:W1915)</f>
        <v>1</v>
      </c>
      <c r="S1915" s="88"/>
      <c r="T1915" s="88"/>
      <c r="U1915" s="88">
        <v>1</v>
      </c>
      <c r="V1915" s="88"/>
      <c r="W1915" s="88"/>
    </row>
    <row r="1916" spans="2:23" s="0" customFormat="0" ht="15">
      <c r="B1916" s="87" t="s">
        <v>1</v>
      </c>
      <c r="C1916" s="88" t="s">
        <v>5259</v>
      </c>
      <c r="D1916" s="88" t="s">
        <v>4190</v>
      </c>
      <c r="E1916" s="88" t="s">
        <v>61</v>
      </c>
      <c r="F1916" s="88">
        <v>0</v>
      </c>
      <c r="G1916" s="78">
        <f>MAX(H1916,I1916,J1916)</f>
        <v>0</v>
      </c>
      <c r="H1916" s="88"/>
      <c r="I1916" s="88"/>
      <c r="J1916" s="78">
        <f>MAX(K1916:Q1916)</f>
        <v>0</v>
      </c>
      <c r="K1916" s="88"/>
      <c r="L1916" s="88"/>
      <c r="M1916" s="88"/>
      <c r="N1916" s="88"/>
      <c r="O1916" s="88"/>
      <c r="P1916" s="88"/>
      <c r="Q1916" s="88"/>
      <c r="R1916" s="78">
        <f>MAX(S1916:W1916)</f>
        <v>1</v>
      </c>
      <c r="S1916" s="88"/>
      <c r="T1916" s="88"/>
      <c r="U1916" s="88">
        <v>1</v>
      </c>
      <c r="V1916" s="88"/>
      <c r="W1916" s="88"/>
    </row>
    <row r="1917" spans="2:23" s="0" customFormat="0" ht="15">
      <c r="B1917" s="87" t="s">
        <v>1</v>
      </c>
      <c r="C1917" s="88" t="s">
        <v>5259</v>
      </c>
      <c r="D1917" s="88" t="s">
        <v>3668</v>
      </c>
      <c r="E1917" s="88" t="s">
        <v>61</v>
      </c>
      <c r="F1917" s="88">
        <v>0</v>
      </c>
      <c r="G1917" s="78">
        <f>MAX(H1917,I1917,J1917)</f>
        <v>0</v>
      </c>
      <c r="H1917" s="88"/>
      <c r="I1917" s="88"/>
      <c r="J1917" s="78">
        <f>MAX(K1917:Q1917)</f>
        <v>0</v>
      </c>
      <c r="K1917" s="88"/>
      <c r="L1917" s="88"/>
      <c r="M1917" s="88"/>
      <c r="N1917" s="88"/>
      <c r="O1917" s="88"/>
      <c r="P1917" s="88"/>
      <c r="Q1917" s="88"/>
      <c r="R1917" s="78">
        <f>MAX(S1917:W1917)</f>
        <v>1</v>
      </c>
      <c r="S1917" s="88"/>
      <c r="T1917" s="88"/>
      <c r="U1917" s="88">
        <v>1</v>
      </c>
      <c r="V1917" s="88"/>
      <c r="W1917" s="88"/>
    </row>
    <row r="1918" spans="2:23" s="0" customFormat="0" ht="15">
      <c r="B1918" s="87" t="s">
        <v>1</v>
      </c>
      <c r="C1918" s="88" t="s">
        <v>5259</v>
      </c>
      <c r="D1918" s="88" t="s">
        <v>4192</v>
      </c>
      <c r="E1918" s="88" t="s">
        <v>61</v>
      </c>
      <c r="F1918" s="88">
        <v>0</v>
      </c>
      <c r="G1918" s="78">
        <f>MAX(H1918,I1918,J1918)</f>
        <v>0</v>
      </c>
      <c r="H1918" s="88"/>
      <c r="I1918" s="88"/>
      <c r="J1918" s="78">
        <f>MAX(K1918:Q1918)</f>
        <v>0</v>
      </c>
      <c r="K1918" s="88"/>
      <c r="L1918" s="88"/>
      <c r="M1918" s="88"/>
      <c r="N1918" s="88"/>
      <c r="O1918" s="88"/>
      <c r="P1918" s="88"/>
      <c r="Q1918" s="88"/>
      <c r="R1918" s="78">
        <f>MAX(S1918:W1918)</f>
        <v>1</v>
      </c>
      <c r="S1918" s="88"/>
      <c r="T1918" s="88"/>
      <c r="U1918" s="88">
        <v>1</v>
      </c>
      <c r="V1918" s="88"/>
      <c r="W1918" s="88"/>
    </row>
    <row r="1919" spans="2:23" s="0" customFormat="0" ht="15">
      <c r="B1919" s="87" t="s">
        <v>1</v>
      </c>
      <c r="C1919" s="88" t="s">
        <v>5259</v>
      </c>
      <c r="D1919" s="88">
        <v>17542240</v>
      </c>
      <c r="E1919" s="88" t="s">
        <v>61</v>
      </c>
      <c r="F1919" s="88">
        <v>0</v>
      </c>
      <c r="G1919" s="78">
        <f>MAX(H1919,I1919,J1919)</f>
        <v>1</v>
      </c>
      <c r="H1919" s="88"/>
      <c r="I1919" s="88"/>
      <c r="J1919" s="78">
        <f>MAX(K1919:Q1919)</f>
        <v>1</v>
      </c>
      <c r="K1919" s="88">
        <v>1</v>
      </c>
      <c r="L1919" s="88"/>
      <c r="M1919" s="88"/>
      <c r="N1919" s="88"/>
      <c r="O1919" s="88"/>
      <c r="P1919" s="88"/>
      <c r="Q1919" s="88"/>
      <c r="R1919" s="78">
        <f>MAX(S1919:W1919)</f>
        <v>0</v>
      </c>
      <c r="S1919" s="88"/>
      <c r="T1919" s="88"/>
      <c r="U1919" s="88"/>
      <c r="V1919" s="88"/>
      <c r="W1919" s="88"/>
    </row>
    <row r="1920" spans="2:23" s="0" customFormat="0" ht="15">
      <c r="B1920" s="87" t="s">
        <v>1</v>
      </c>
      <c r="C1920" s="88" t="s">
        <v>5259</v>
      </c>
      <c r="D1920" s="88">
        <v>13298084</v>
      </c>
      <c r="E1920" s="88" t="s">
        <v>61</v>
      </c>
      <c r="F1920" s="88">
        <v>0</v>
      </c>
      <c r="G1920" s="78">
        <f>MAX(H1920,I1920,J1920)</f>
        <v>1</v>
      </c>
      <c r="H1920" s="88"/>
      <c r="I1920" s="88"/>
      <c r="J1920" s="78">
        <f>MAX(K1920:Q1920)</f>
        <v>1</v>
      </c>
      <c r="K1920" s="88">
        <v>1</v>
      </c>
      <c r="L1920" s="88"/>
      <c r="M1920" s="88"/>
      <c r="N1920" s="88"/>
      <c r="O1920" s="88"/>
      <c r="P1920" s="88"/>
      <c r="Q1920" s="88"/>
      <c r="R1920" s="78">
        <f>MAX(S1920:W1920)</f>
        <v>0</v>
      </c>
      <c r="S1920" s="88"/>
      <c r="T1920" s="88"/>
      <c r="U1920" s="88"/>
      <c r="V1920" s="88"/>
      <c r="W1920" s="88"/>
    </row>
    <row r="1921" spans="2:23" s="0" customFormat="0" ht="15">
      <c r="B1921" s="87" t="s">
        <v>1</v>
      </c>
      <c r="C1921" s="88" t="s">
        <v>5259</v>
      </c>
      <c r="D1921" s="88" t="s">
        <v>1456</v>
      </c>
      <c r="E1921" s="88" t="s">
        <v>61</v>
      </c>
      <c r="F1921" s="88">
        <v>0</v>
      </c>
      <c r="G1921" s="78">
        <f>MAX(H1921,I1921,J1921)</f>
        <v>1</v>
      </c>
      <c r="H1921" s="88"/>
      <c r="I1921" s="88"/>
      <c r="J1921" s="78">
        <f>MAX(K1921:Q1921)</f>
        <v>1</v>
      </c>
      <c r="K1921" s="88">
        <v>1</v>
      </c>
      <c r="L1921" s="88"/>
      <c r="M1921" s="88"/>
      <c r="N1921" s="88"/>
      <c r="O1921" s="88"/>
      <c r="P1921" s="88"/>
      <c r="Q1921" s="88"/>
      <c r="R1921" s="78">
        <f>MAX(S1921:W1921)</f>
        <v>0</v>
      </c>
      <c r="S1921" s="88"/>
      <c r="T1921" s="88"/>
      <c r="U1921" s="88"/>
      <c r="V1921" s="88"/>
      <c r="W1921" s="88"/>
    </row>
    <row r="1922" spans="2:23" s="0" customFormat="0" ht="15">
      <c r="B1922" s="87" t="s">
        <v>1</v>
      </c>
      <c r="C1922" s="88" t="s">
        <v>5259</v>
      </c>
      <c r="D1922" s="88" t="s">
        <v>4194</v>
      </c>
      <c r="E1922" s="88" t="s">
        <v>61</v>
      </c>
      <c r="F1922" s="88">
        <v>0</v>
      </c>
      <c r="G1922" s="78">
        <f>MAX(H1922,I1922,J1922)</f>
        <v>0</v>
      </c>
      <c r="H1922" s="88"/>
      <c r="I1922" s="88"/>
      <c r="J1922" s="78">
        <f>MAX(K1922:Q1922)</f>
        <v>0</v>
      </c>
      <c r="K1922" s="88"/>
      <c r="L1922" s="88"/>
      <c r="M1922" s="88"/>
      <c r="N1922" s="88"/>
      <c r="O1922" s="88"/>
      <c r="P1922" s="88"/>
      <c r="Q1922" s="88"/>
      <c r="R1922" s="78">
        <f>MAX(S1922:W1922)</f>
        <v>1</v>
      </c>
      <c r="S1922" s="88"/>
      <c r="T1922" s="88"/>
      <c r="U1922" s="88">
        <v>1</v>
      </c>
      <c r="V1922" s="88"/>
      <c r="W1922" s="88"/>
    </row>
    <row r="1923" spans="2:23" s="0" customFormat="0" ht="15">
      <c r="B1923" s="87" t="s">
        <v>1</v>
      </c>
      <c r="C1923" s="88" t="s">
        <v>5259</v>
      </c>
      <c r="D1923" s="88">
        <v>22554254</v>
      </c>
      <c r="E1923" s="88" t="s">
        <v>61</v>
      </c>
      <c r="F1923" s="88">
        <v>0</v>
      </c>
      <c r="G1923" s="78">
        <f>MAX(H1923,I1923,J1923)</f>
        <v>0</v>
      </c>
      <c r="H1923" s="88"/>
      <c r="I1923" s="88"/>
      <c r="J1923" s="78">
        <f>MAX(K1923:Q1923)</f>
        <v>0</v>
      </c>
      <c r="K1923" s="88"/>
      <c r="L1923" s="88"/>
      <c r="M1923" s="88"/>
      <c r="N1923" s="88"/>
      <c r="O1923" s="88"/>
      <c r="P1923" s="88"/>
      <c r="Q1923" s="88"/>
      <c r="R1923" s="78">
        <f>MAX(S1923:W1923)</f>
        <v>1</v>
      </c>
      <c r="S1923" s="88"/>
      <c r="T1923" s="88"/>
      <c r="U1923" s="88">
        <v>1</v>
      </c>
      <c r="V1923" s="88"/>
      <c r="W1923" s="88"/>
    </row>
    <row r="1924" spans="2:23" s="0" customFormat="0" ht="15">
      <c r="B1924" s="87" t="s">
        <v>1</v>
      </c>
      <c r="C1924" s="88" t="s">
        <v>5259</v>
      </c>
      <c r="D1924" s="88">
        <v>12894599</v>
      </c>
      <c r="E1924" s="88" t="s">
        <v>61</v>
      </c>
      <c r="F1924" s="88">
        <v>0</v>
      </c>
      <c r="G1924" s="78">
        <f>MAX(H1924,I1924,J1924)</f>
        <v>1</v>
      </c>
      <c r="H1924" s="88"/>
      <c r="I1924" s="88"/>
      <c r="J1924" s="78">
        <f>MAX(K1924:Q1924)</f>
        <v>1</v>
      </c>
      <c r="K1924" s="88">
        <v>1</v>
      </c>
      <c r="L1924" s="88"/>
      <c r="M1924" s="88"/>
      <c r="N1924" s="88"/>
      <c r="O1924" s="88"/>
      <c r="P1924" s="88"/>
      <c r="Q1924" s="88"/>
      <c r="R1924" s="78">
        <f>MAX(S1924:W1924)</f>
        <v>0</v>
      </c>
      <c r="S1924" s="88"/>
      <c r="T1924" s="88"/>
      <c r="U1924" s="88"/>
      <c r="V1924" s="88"/>
      <c r="W1924" s="88"/>
    </row>
    <row r="1925" spans="2:23" s="0" customFormat="0" ht="15">
      <c r="B1925" s="87" t="s">
        <v>1</v>
      </c>
      <c r="C1925" s="88" t="s">
        <v>5259</v>
      </c>
      <c r="D1925" s="88">
        <v>11998306</v>
      </c>
      <c r="E1925" s="88" t="s">
        <v>61</v>
      </c>
      <c r="F1925" s="88">
        <v>0</v>
      </c>
      <c r="G1925" s="78">
        <f>MAX(H1925,I1925,J1925)</f>
        <v>1</v>
      </c>
      <c r="H1925" s="88"/>
      <c r="I1925" s="88"/>
      <c r="J1925" s="78">
        <f>MAX(K1925:Q1925)</f>
        <v>1</v>
      </c>
      <c r="K1925" s="88">
        <v>1</v>
      </c>
      <c r="L1925" s="88"/>
      <c r="M1925" s="88"/>
      <c r="N1925" s="88"/>
      <c r="O1925" s="88"/>
      <c r="P1925" s="88"/>
      <c r="Q1925" s="88"/>
      <c r="R1925" s="78">
        <f>MAX(S1925:W1925)</f>
        <v>0</v>
      </c>
      <c r="S1925" s="88"/>
      <c r="T1925" s="88"/>
      <c r="U1925" s="88"/>
      <c r="V1925" s="88"/>
      <c r="W1925" s="88"/>
    </row>
    <row r="1926" spans="2:23" s="0" customFormat="0" ht="15">
      <c r="B1926" s="87" t="s">
        <v>1</v>
      </c>
      <c r="C1926" s="88" t="s">
        <v>5259</v>
      </c>
      <c r="D1926" s="88" t="s">
        <v>4196</v>
      </c>
      <c r="E1926" s="88" t="s">
        <v>61</v>
      </c>
      <c r="F1926" s="88">
        <v>0</v>
      </c>
      <c r="G1926" s="78">
        <f>MAX(H1926,I1926,J1926)</f>
        <v>0</v>
      </c>
      <c r="H1926" s="88"/>
      <c r="I1926" s="88"/>
      <c r="J1926" s="78">
        <f>MAX(K1926:Q1926)</f>
        <v>0</v>
      </c>
      <c r="K1926" s="88"/>
      <c r="L1926" s="88"/>
      <c r="M1926" s="88"/>
      <c r="N1926" s="88"/>
      <c r="O1926" s="88"/>
      <c r="P1926" s="88"/>
      <c r="Q1926" s="88"/>
      <c r="R1926" s="78">
        <f>MAX(S1926:W1926)</f>
        <v>1</v>
      </c>
      <c r="S1926" s="88"/>
      <c r="T1926" s="88"/>
      <c r="U1926" s="88">
        <v>1</v>
      </c>
      <c r="V1926" s="88"/>
      <c r="W1926" s="88"/>
    </row>
    <row r="1927" spans="2:23" s="0" customFormat="0" ht="15">
      <c r="B1927" s="87" t="s">
        <v>1</v>
      </c>
      <c r="C1927" s="88" t="s">
        <v>5259</v>
      </c>
      <c r="D1927" s="88">
        <v>24410842</v>
      </c>
      <c r="E1927" s="88" t="s">
        <v>61</v>
      </c>
      <c r="F1927" s="88">
        <v>0</v>
      </c>
      <c r="G1927" s="78">
        <f>MAX(H1927,I1927,J1927)</f>
        <v>1</v>
      </c>
      <c r="H1927" s="88"/>
      <c r="I1927" s="88"/>
      <c r="J1927" s="78">
        <f>MAX(K1927:Q1927)</f>
        <v>1</v>
      </c>
      <c r="K1927" s="88">
        <v>1</v>
      </c>
      <c r="L1927" s="88"/>
      <c r="M1927" s="88"/>
      <c r="N1927" s="88"/>
      <c r="O1927" s="88"/>
      <c r="P1927" s="88"/>
      <c r="Q1927" s="88"/>
      <c r="R1927" s="78">
        <f>MAX(S1927:W1927)</f>
        <v>0</v>
      </c>
      <c r="S1927" s="88"/>
      <c r="T1927" s="88"/>
      <c r="U1927" s="88"/>
      <c r="V1927" s="88"/>
      <c r="W1927" s="88"/>
    </row>
    <row r="1928" spans="2:23" s="0" customFormat="0" ht="15">
      <c r="B1928" s="87" t="s">
        <v>1</v>
      </c>
      <c r="C1928" s="88" t="s">
        <v>5259</v>
      </c>
      <c r="D1928" s="88">
        <v>24137384</v>
      </c>
      <c r="E1928" s="88" t="s">
        <v>61</v>
      </c>
      <c r="F1928" s="88">
        <v>0</v>
      </c>
      <c r="G1928" s="78">
        <f>MAX(H1928,I1928,J1928)</f>
        <v>1</v>
      </c>
      <c r="H1928" s="88"/>
      <c r="I1928" s="88"/>
      <c r="J1928" s="78">
        <f>MAX(K1928:Q1928)</f>
        <v>1</v>
      </c>
      <c r="K1928" s="88">
        <v>1</v>
      </c>
      <c r="L1928" s="88"/>
      <c r="M1928" s="88"/>
      <c r="N1928" s="88"/>
      <c r="O1928" s="88"/>
      <c r="P1928" s="88"/>
      <c r="Q1928" s="88"/>
      <c r="R1928" s="78">
        <f>MAX(S1928:W1928)</f>
        <v>0</v>
      </c>
      <c r="S1928" s="88"/>
      <c r="T1928" s="88"/>
      <c r="U1928" s="88"/>
      <c r="V1928" s="88"/>
      <c r="W1928" s="88"/>
    </row>
    <row r="1929" spans="2:23" s="0" customFormat="0" ht="15">
      <c r="B1929" s="87" t="s">
        <v>1</v>
      </c>
      <c r="C1929" s="88" t="s">
        <v>5259</v>
      </c>
      <c r="D1929" s="88">
        <v>21729563</v>
      </c>
      <c r="E1929" s="88" t="s">
        <v>61</v>
      </c>
      <c r="F1929" s="88">
        <v>0</v>
      </c>
      <c r="G1929" s="78">
        <f>MAX(H1929,I1929,J1929)</f>
        <v>1</v>
      </c>
      <c r="H1929" s="88"/>
      <c r="I1929" s="88"/>
      <c r="J1929" s="78">
        <f>MAX(K1929:Q1929)</f>
        <v>1</v>
      </c>
      <c r="K1929" s="88">
        <v>1</v>
      </c>
      <c r="L1929" s="88"/>
      <c r="M1929" s="88"/>
      <c r="N1929" s="88"/>
      <c r="O1929" s="88"/>
      <c r="P1929" s="88"/>
      <c r="Q1929" s="88"/>
      <c r="R1929" s="78">
        <f>MAX(S1929:W1929)</f>
        <v>0</v>
      </c>
      <c r="S1929" s="88"/>
      <c r="T1929" s="88"/>
      <c r="U1929" s="88"/>
      <c r="V1929" s="88"/>
      <c r="W1929" s="88"/>
    </row>
    <row r="1930" spans="2:23" s="0" customFormat="0" ht="15">
      <c r="B1930" s="87" t="s">
        <v>1</v>
      </c>
      <c r="C1930" s="88" t="s">
        <v>5259</v>
      </c>
      <c r="D1930" s="88">
        <v>16974005</v>
      </c>
      <c r="E1930" s="88" t="s">
        <v>61</v>
      </c>
      <c r="F1930" s="88">
        <v>0</v>
      </c>
      <c r="G1930" s="78">
        <f>MAX(H1930,I1930,J1930)</f>
        <v>1</v>
      </c>
      <c r="H1930" s="88"/>
      <c r="I1930" s="88"/>
      <c r="J1930" s="78">
        <f>MAX(K1930:Q1930)</f>
        <v>1</v>
      </c>
      <c r="K1930" s="88">
        <v>1</v>
      </c>
      <c r="L1930" s="88"/>
      <c r="M1930" s="88"/>
      <c r="N1930" s="88"/>
      <c r="O1930" s="88"/>
      <c r="P1930" s="88"/>
      <c r="Q1930" s="88"/>
      <c r="R1930" s="78">
        <f>MAX(S1930:W1930)</f>
        <v>0</v>
      </c>
      <c r="S1930" s="88"/>
      <c r="T1930" s="88"/>
      <c r="U1930" s="88"/>
      <c r="V1930" s="88"/>
      <c r="W1930" s="88"/>
    </row>
    <row r="1931" spans="2:23" s="0" customFormat="0" ht="15">
      <c r="B1931" s="87" t="s">
        <v>1</v>
      </c>
      <c r="C1931" s="88" t="s">
        <v>5259</v>
      </c>
      <c r="D1931" s="88" t="s">
        <v>4198</v>
      </c>
      <c r="E1931" s="88" t="s">
        <v>61</v>
      </c>
      <c r="F1931" s="88">
        <v>0</v>
      </c>
      <c r="G1931" s="78">
        <f>MAX(H1931,I1931,J1931)</f>
        <v>0</v>
      </c>
      <c r="H1931" s="88"/>
      <c r="I1931" s="88"/>
      <c r="J1931" s="78">
        <f>MAX(K1931:Q1931)</f>
        <v>0</v>
      </c>
      <c r="K1931" s="88"/>
      <c r="L1931" s="88"/>
      <c r="M1931" s="88"/>
      <c r="N1931" s="88"/>
      <c r="O1931" s="88"/>
      <c r="P1931" s="88"/>
      <c r="Q1931" s="88"/>
      <c r="R1931" s="78">
        <f>MAX(S1931:W1931)</f>
        <v>1</v>
      </c>
      <c r="S1931" s="88"/>
      <c r="T1931" s="88"/>
      <c r="U1931" s="88">
        <v>1</v>
      </c>
      <c r="V1931" s="88"/>
      <c r="W1931" s="88"/>
    </row>
    <row r="1932" spans="2:23" s="0" customFormat="0" ht="15">
      <c r="B1932" s="87" t="s">
        <v>1</v>
      </c>
      <c r="C1932" s="88" t="s">
        <v>5259</v>
      </c>
      <c r="D1932" s="88" t="s">
        <v>4200</v>
      </c>
      <c r="E1932" s="88" t="s">
        <v>61</v>
      </c>
      <c r="F1932" s="88">
        <v>0</v>
      </c>
      <c r="G1932" s="78">
        <f>MAX(H1932,I1932,J1932)</f>
        <v>0</v>
      </c>
      <c r="H1932" s="88"/>
      <c r="I1932" s="88"/>
      <c r="J1932" s="78">
        <f>MAX(K1932:Q1932)</f>
        <v>0</v>
      </c>
      <c r="K1932" s="88"/>
      <c r="L1932" s="88"/>
      <c r="M1932" s="88"/>
      <c r="N1932" s="88"/>
      <c r="O1932" s="88"/>
      <c r="P1932" s="88"/>
      <c r="Q1932" s="88"/>
      <c r="R1932" s="78">
        <f>MAX(S1932:W1932)</f>
        <v>1</v>
      </c>
      <c r="S1932" s="88"/>
      <c r="T1932" s="88"/>
      <c r="U1932" s="88">
        <v>1</v>
      </c>
      <c r="V1932" s="88"/>
      <c r="W1932" s="88"/>
    </row>
    <row r="1933" spans="2:23" s="0" customFormat="0" ht="15">
      <c r="B1933" s="87" t="s">
        <v>1</v>
      </c>
      <c r="C1933" s="88" t="s">
        <v>5259</v>
      </c>
      <c r="D1933" s="88" t="s">
        <v>1462</v>
      </c>
      <c r="E1933" s="88" t="s">
        <v>61</v>
      </c>
      <c r="F1933" s="88">
        <v>0</v>
      </c>
      <c r="G1933" s="78">
        <f>MAX(H1933,I1933,J1933)</f>
        <v>1</v>
      </c>
      <c r="H1933" s="88"/>
      <c r="I1933" s="88"/>
      <c r="J1933" s="78">
        <f>MAX(K1933:Q1933)</f>
        <v>1</v>
      </c>
      <c r="K1933" s="88">
        <v>1</v>
      </c>
      <c r="L1933" s="88"/>
      <c r="M1933" s="88"/>
      <c r="N1933" s="88"/>
      <c r="O1933" s="88"/>
      <c r="P1933" s="88"/>
      <c r="Q1933" s="88"/>
      <c r="R1933" s="78">
        <f>MAX(S1933:W1933)</f>
        <v>0</v>
      </c>
      <c r="S1933" s="88"/>
      <c r="T1933" s="88"/>
      <c r="U1933" s="88"/>
      <c r="V1933" s="88"/>
      <c r="W1933" s="88"/>
    </row>
    <row r="1934" spans="2:23" s="0" customFormat="0" ht="15">
      <c r="B1934" s="87" t="s">
        <v>1</v>
      </c>
      <c r="C1934" s="88" t="s">
        <v>5259</v>
      </c>
      <c r="D1934" s="88" t="s">
        <v>1464</v>
      </c>
      <c r="E1934" s="88" t="s">
        <v>61</v>
      </c>
      <c r="F1934" s="88">
        <v>0</v>
      </c>
      <c r="G1934" s="78">
        <f>MAX(H1934,I1934,J1934)</f>
        <v>1</v>
      </c>
      <c r="H1934" s="88"/>
      <c r="I1934" s="88"/>
      <c r="J1934" s="78">
        <f>MAX(K1934:Q1934)</f>
        <v>1</v>
      </c>
      <c r="K1934" s="88">
        <v>1</v>
      </c>
      <c r="L1934" s="88"/>
      <c r="M1934" s="88"/>
      <c r="N1934" s="88"/>
      <c r="O1934" s="88"/>
      <c r="P1934" s="88"/>
      <c r="Q1934" s="88"/>
      <c r="R1934" s="78">
        <f>MAX(S1934:W1934)</f>
        <v>0</v>
      </c>
      <c r="S1934" s="88"/>
      <c r="T1934" s="88"/>
      <c r="U1934" s="88"/>
      <c r="V1934" s="88"/>
      <c r="W1934" s="88"/>
    </row>
    <row r="1935" spans="2:23" s="0" customFormat="0" ht="15">
      <c r="B1935" s="87" t="s">
        <v>1</v>
      </c>
      <c r="C1935" s="88" t="s">
        <v>5259</v>
      </c>
      <c r="D1935" s="88">
        <v>20668560</v>
      </c>
      <c r="E1935" s="88" t="s">
        <v>61</v>
      </c>
      <c r="F1935" s="88">
        <v>0</v>
      </c>
      <c r="G1935" s="78">
        <f>MAX(H1935,I1935,J1935)</f>
        <v>1</v>
      </c>
      <c r="H1935" s="88"/>
      <c r="I1935" s="88"/>
      <c r="J1935" s="78">
        <f>MAX(K1935:Q1935)</f>
        <v>1</v>
      </c>
      <c r="K1935" s="88">
        <v>1</v>
      </c>
      <c r="L1935" s="88"/>
      <c r="M1935" s="88"/>
      <c r="N1935" s="88"/>
      <c r="O1935" s="88"/>
      <c r="P1935" s="88"/>
      <c r="Q1935" s="88"/>
      <c r="R1935" s="78">
        <f>MAX(S1935:W1935)</f>
        <v>0</v>
      </c>
      <c r="S1935" s="88"/>
      <c r="T1935" s="88"/>
      <c r="U1935" s="88"/>
      <c r="V1935" s="88"/>
      <c r="W1935" s="88"/>
    </row>
    <row r="1936" spans="2:23" s="0" customFormat="0" ht="15">
      <c r="B1936" s="87" t="s">
        <v>1</v>
      </c>
      <c r="C1936" s="88" t="s">
        <v>5259</v>
      </c>
      <c r="D1936" s="88">
        <v>12505494</v>
      </c>
      <c r="E1936" s="88" t="s">
        <v>61</v>
      </c>
      <c r="F1936" s="88">
        <v>0</v>
      </c>
      <c r="G1936" s="78">
        <f>MAX(H1936,I1936,J1936)</f>
        <v>1</v>
      </c>
      <c r="H1936" s="88"/>
      <c r="I1936" s="88"/>
      <c r="J1936" s="78">
        <f>MAX(K1936:Q1936)</f>
        <v>1</v>
      </c>
      <c r="K1936" s="88">
        <v>1</v>
      </c>
      <c r="L1936" s="88"/>
      <c r="M1936" s="88"/>
      <c r="N1936" s="88"/>
      <c r="O1936" s="88"/>
      <c r="P1936" s="88"/>
      <c r="Q1936" s="88"/>
      <c r="R1936" s="78">
        <f>MAX(S1936:W1936)</f>
        <v>0</v>
      </c>
      <c r="S1936" s="88"/>
      <c r="T1936" s="88"/>
      <c r="U1936" s="88"/>
      <c r="V1936" s="88"/>
      <c r="W1936" s="88"/>
    </row>
    <row r="1937" spans="2:23" s="0" customFormat="0" ht="15">
      <c r="B1937" s="87" t="s">
        <v>1</v>
      </c>
      <c r="C1937" s="88" t="s">
        <v>5259</v>
      </c>
      <c r="D1937" s="88">
        <v>19216270</v>
      </c>
      <c r="E1937" s="88" t="s">
        <v>61</v>
      </c>
      <c r="F1937" s="88">
        <v>0</v>
      </c>
      <c r="G1937" s="78">
        <f>MAX(H1937,I1937,J1937)</f>
        <v>0</v>
      </c>
      <c r="H1937" s="88"/>
      <c r="I1937" s="88"/>
      <c r="J1937" s="78">
        <f>MAX(K1937:Q1937)</f>
        <v>0</v>
      </c>
      <c r="K1937" s="88"/>
      <c r="L1937" s="88"/>
      <c r="M1937" s="88"/>
      <c r="N1937" s="88"/>
      <c r="O1937" s="88"/>
      <c r="P1937" s="88"/>
      <c r="Q1937" s="88"/>
      <c r="R1937" s="78">
        <f>MAX(S1937:W1937)</f>
        <v>1</v>
      </c>
      <c r="S1937" s="88"/>
      <c r="T1937" s="88"/>
      <c r="U1937" s="88">
        <v>1</v>
      </c>
      <c r="V1937" s="88"/>
      <c r="W1937" s="88"/>
    </row>
    <row r="1938" spans="2:23" s="0" customFormat="0" ht="15">
      <c r="B1938" s="87" t="s">
        <v>1</v>
      </c>
      <c r="C1938" s="88" t="s">
        <v>5259</v>
      </c>
      <c r="D1938" s="88">
        <v>12398504</v>
      </c>
      <c r="E1938" s="88" t="s">
        <v>61</v>
      </c>
      <c r="F1938" s="88">
        <v>0</v>
      </c>
      <c r="G1938" s="78">
        <f>MAX(H1938,I1938,J1938)</f>
        <v>1</v>
      </c>
      <c r="H1938" s="88"/>
      <c r="I1938" s="88"/>
      <c r="J1938" s="78">
        <f>MAX(K1938:Q1938)</f>
        <v>1</v>
      </c>
      <c r="K1938" s="88">
        <v>1</v>
      </c>
      <c r="L1938" s="88"/>
      <c r="M1938" s="88"/>
      <c r="N1938" s="88"/>
      <c r="O1938" s="88"/>
      <c r="P1938" s="88"/>
      <c r="Q1938" s="88"/>
      <c r="R1938" s="78">
        <f>MAX(S1938:W1938)</f>
        <v>0</v>
      </c>
      <c r="S1938" s="88"/>
      <c r="T1938" s="88"/>
      <c r="U1938" s="88"/>
      <c r="V1938" s="88"/>
      <c r="W1938" s="88"/>
    </row>
    <row r="1939" spans="2:23" s="0" customFormat="0" ht="15">
      <c r="B1939" s="87" t="s">
        <v>1</v>
      </c>
      <c r="C1939" s="88" t="s">
        <v>5259</v>
      </c>
      <c r="D1939" s="88">
        <v>19566679</v>
      </c>
      <c r="E1939" s="88" t="s">
        <v>61</v>
      </c>
      <c r="F1939" s="88">
        <v>0</v>
      </c>
      <c r="G1939" s="78">
        <f>MAX(H1939,I1939,J1939)</f>
        <v>1</v>
      </c>
      <c r="H1939" s="88"/>
      <c r="I1939" s="88"/>
      <c r="J1939" s="78">
        <f>MAX(K1939:Q1939)</f>
        <v>1</v>
      </c>
      <c r="K1939" s="88">
        <v>1</v>
      </c>
      <c r="L1939" s="88"/>
      <c r="M1939" s="88"/>
      <c r="N1939" s="88"/>
      <c r="O1939" s="88"/>
      <c r="P1939" s="88"/>
      <c r="Q1939" s="88"/>
      <c r="R1939" s="78">
        <f>MAX(S1939:W1939)</f>
        <v>0</v>
      </c>
      <c r="S1939" s="88"/>
      <c r="T1939" s="88"/>
      <c r="U1939" s="88"/>
      <c r="V1939" s="88"/>
      <c r="W1939" s="88"/>
    </row>
    <row r="1940" spans="2:23" s="0" customFormat="0" ht="15">
      <c r="B1940" s="87" t="s">
        <v>1</v>
      </c>
      <c r="C1940" s="88" t="s">
        <v>5259</v>
      </c>
      <c r="D1940" s="88" t="s">
        <v>1188</v>
      </c>
      <c r="E1940" s="88" t="s">
        <v>61</v>
      </c>
      <c r="F1940" s="88">
        <v>0</v>
      </c>
      <c r="G1940" s="78">
        <f>MAX(H1940,I1940,J1940)</f>
        <v>1</v>
      </c>
      <c r="H1940" s="88"/>
      <c r="I1940" s="88"/>
      <c r="J1940" s="78">
        <f>MAX(K1940:Q1940)</f>
        <v>1</v>
      </c>
      <c r="K1940" s="88">
        <v>1</v>
      </c>
      <c r="L1940" s="88"/>
      <c r="M1940" s="88"/>
      <c r="N1940" s="88"/>
      <c r="O1940" s="88"/>
      <c r="P1940" s="88"/>
      <c r="Q1940" s="88"/>
      <c r="R1940" s="78">
        <f>MAX(S1940:W1940)</f>
        <v>0</v>
      </c>
      <c r="S1940" s="88"/>
      <c r="T1940" s="88"/>
      <c r="U1940" s="88"/>
      <c r="V1940" s="88"/>
      <c r="W1940" s="88"/>
    </row>
    <row r="1941" spans="2:23" s="0" customFormat="0" ht="15">
      <c r="B1941" s="87" t="s">
        <v>1</v>
      </c>
      <c r="C1941" s="88" t="s">
        <v>5259</v>
      </c>
      <c r="D1941" s="88">
        <v>15774240</v>
      </c>
      <c r="E1941" s="88" t="s">
        <v>61</v>
      </c>
      <c r="F1941" s="88">
        <v>0</v>
      </c>
      <c r="G1941" s="78">
        <f>MAX(H1941,I1941,J1941)</f>
        <v>1</v>
      </c>
      <c r="H1941" s="88"/>
      <c r="I1941" s="88"/>
      <c r="J1941" s="78">
        <f>MAX(K1941:Q1941)</f>
        <v>1</v>
      </c>
      <c r="K1941" s="88">
        <v>1</v>
      </c>
      <c r="L1941" s="88"/>
      <c r="M1941" s="88"/>
      <c r="N1941" s="88"/>
      <c r="O1941" s="88"/>
      <c r="P1941" s="88"/>
      <c r="Q1941" s="88"/>
      <c r="R1941" s="78">
        <f>MAX(S1941:W1941)</f>
        <v>0</v>
      </c>
      <c r="S1941" s="88"/>
      <c r="T1941" s="88"/>
      <c r="U1941" s="88"/>
      <c r="V1941" s="88"/>
      <c r="W1941" s="88"/>
    </row>
    <row r="1942" spans="2:23" s="0" customFormat="0" ht="15">
      <c r="B1942" s="87" t="s">
        <v>1</v>
      </c>
      <c r="C1942" s="88" t="s">
        <v>5259</v>
      </c>
      <c r="D1942" s="88" t="s">
        <v>1471</v>
      </c>
      <c r="E1942" s="88" t="s">
        <v>61</v>
      </c>
      <c r="F1942" s="88">
        <v>0</v>
      </c>
      <c r="G1942" s="78">
        <f>MAX(H1942,I1942,J1942)</f>
        <v>1</v>
      </c>
      <c r="H1942" s="88"/>
      <c r="I1942" s="88"/>
      <c r="J1942" s="78">
        <f>MAX(K1942:Q1942)</f>
        <v>1</v>
      </c>
      <c r="K1942" s="88">
        <v>1</v>
      </c>
      <c r="L1942" s="88"/>
      <c r="M1942" s="88"/>
      <c r="N1942" s="88"/>
      <c r="O1942" s="88"/>
      <c r="P1942" s="88"/>
      <c r="Q1942" s="88"/>
      <c r="R1942" s="78">
        <f>MAX(S1942:W1942)</f>
        <v>0</v>
      </c>
      <c r="S1942" s="88"/>
      <c r="T1942" s="88"/>
      <c r="U1942" s="88"/>
      <c r="V1942" s="88"/>
      <c r="W1942" s="88"/>
    </row>
    <row r="1943" spans="2:23" s="0" customFormat="0" ht="15">
      <c r="B1943" s="87" t="s">
        <v>1</v>
      </c>
      <c r="C1943" s="88" t="s">
        <v>5259</v>
      </c>
      <c r="D1943" s="88">
        <v>24964661</v>
      </c>
      <c r="E1943" s="88" t="s">
        <v>61</v>
      </c>
      <c r="F1943" s="88">
        <v>0</v>
      </c>
      <c r="G1943" s="78">
        <f>MAX(H1943,I1943,J1943)</f>
        <v>1</v>
      </c>
      <c r="H1943" s="88"/>
      <c r="I1943" s="88"/>
      <c r="J1943" s="78">
        <f>MAX(K1943:Q1943)</f>
        <v>1</v>
      </c>
      <c r="K1943" s="88">
        <v>1</v>
      </c>
      <c r="L1943" s="88"/>
      <c r="M1943" s="88"/>
      <c r="N1943" s="88"/>
      <c r="O1943" s="88"/>
      <c r="P1943" s="88"/>
      <c r="Q1943" s="88"/>
      <c r="R1943" s="78">
        <f>MAX(S1943:W1943)</f>
        <v>0</v>
      </c>
      <c r="S1943" s="88"/>
      <c r="T1943" s="88"/>
      <c r="U1943" s="88"/>
      <c r="V1943" s="88"/>
      <c r="W1943" s="88"/>
    </row>
    <row r="1944" spans="2:23" s="0" customFormat="0" ht="15">
      <c r="B1944" s="87" t="s">
        <v>1</v>
      </c>
      <c r="C1944" s="88" t="s">
        <v>5259</v>
      </c>
      <c r="D1944" s="88">
        <v>9791305</v>
      </c>
      <c r="E1944" s="88" t="s">
        <v>61</v>
      </c>
      <c r="F1944" s="88">
        <v>0</v>
      </c>
      <c r="G1944" s="78">
        <f>MAX(H1944,I1944,J1944)</f>
        <v>1</v>
      </c>
      <c r="H1944" s="88"/>
      <c r="I1944" s="88"/>
      <c r="J1944" s="78">
        <f>MAX(K1944:Q1944)</f>
        <v>1</v>
      </c>
      <c r="K1944" s="88">
        <v>1</v>
      </c>
      <c r="L1944" s="88"/>
      <c r="M1944" s="88"/>
      <c r="N1944" s="88"/>
      <c r="O1944" s="88"/>
      <c r="P1944" s="88"/>
      <c r="Q1944" s="88"/>
      <c r="R1944" s="78">
        <f>MAX(S1944:W1944)</f>
        <v>0</v>
      </c>
      <c r="S1944" s="88"/>
      <c r="T1944" s="88"/>
      <c r="U1944" s="88"/>
      <c r="V1944" s="88"/>
      <c r="W1944" s="88"/>
    </row>
    <row r="1945" spans="2:23" s="0" customFormat="0" ht="15">
      <c r="B1945" s="87" t="s">
        <v>1</v>
      </c>
      <c r="C1945" s="88" t="s">
        <v>5259</v>
      </c>
      <c r="D1945" s="88">
        <v>4138940</v>
      </c>
      <c r="E1945" s="88" t="s">
        <v>61</v>
      </c>
      <c r="F1945" s="88">
        <v>0</v>
      </c>
      <c r="G1945" s="78">
        <f>MAX(H1945,I1945,J1945)</f>
        <v>0</v>
      </c>
      <c r="H1945" s="88"/>
      <c r="I1945" s="88"/>
      <c r="J1945" s="78">
        <f>MAX(K1945:Q1945)</f>
        <v>0</v>
      </c>
      <c r="K1945" s="88"/>
      <c r="L1945" s="88"/>
      <c r="M1945" s="88"/>
      <c r="N1945" s="88"/>
      <c r="O1945" s="88"/>
      <c r="P1945" s="88"/>
      <c r="Q1945" s="88"/>
      <c r="R1945" s="78">
        <f>MAX(S1945:W1945)</f>
        <v>1</v>
      </c>
      <c r="S1945" s="88"/>
      <c r="T1945" s="88"/>
      <c r="U1945" s="88">
        <v>1</v>
      </c>
      <c r="V1945" s="88"/>
      <c r="W1945" s="88"/>
    </row>
    <row r="1946" spans="2:23" s="0" customFormat="0" ht="15">
      <c r="B1946" s="87" t="s">
        <v>1</v>
      </c>
      <c r="C1946" s="88" t="s">
        <v>5259</v>
      </c>
      <c r="D1946" s="88">
        <v>6827074</v>
      </c>
      <c r="E1946" s="88" t="s">
        <v>61</v>
      </c>
      <c r="F1946" s="88">
        <v>0</v>
      </c>
      <c r="G1946" s="78">
        <f>MAX(H1946,I1946,J1946)</f>
        <v>1</v>
      </c>
      <c r="H1946" s="88"/>
      <c r="I1946" s="88"/>
      <c r="J1946" s="78">
        <f>MAX(K1946:Q1946)</f>
        <v>1</v>
      </c>
      <c r="K1946" s="88">
        <v>1</v>
      </c>
      <c r="L1946" s="88"/>
      <c r="M1946" s="88"/>
      <c r="N1946" s="88"/>
      <c r="O1946" s="88"/>
      <c r="P1946" s="88"/>
      <c r="Q1946" s="88"/>
      <c r="R1946" s="78">
        <f>MAX(S1946:W1946)</f>
        <v>0</v>
      </c>
      <c r="S1946" s="88"/>
      <c r="T1946" s="88"/>
      <c r="U1946" s="88"/>
      <c r="V1946" s="88"/>
      <c r="W1946" s="88"/>
    </row>
    <row r="1947" spans="2:23" s="0" customFormat="0" ht="15">
      <c r="B1947" s="87" t="s">
        <v>1</v>
      </c>
      <c r="C1947" s="88" t="s">
        <v>5259</v>
      </c>
      <c r="D1947" s="88">
        <v>11009289</v>
      </c>
      <c r="E1947" s="88" t="s">
        <v>61</v>
      </c>
      <c r="F1947" s="88">
        <v>0</v>
      </c>
      <c r="G1947" s="78">
        <f>MAX(H1947,I1947,J1947)</f>
        <v>1</v>
      </c>
      <c r="H1947" s="88"/>
      <c r="I1947" s="88"/>
      <c r="J1947" s="78">
        <f>MAX(K1947:Q1947)</f>
        <v>1</v>
      </c>
      <c r="K1947" s="88">
        <v>1</v>
      </c>
      <c r="L1947" s="88"/>
      <c r="M1947" s="88"/>
      <c r="N1947" s="88"/>
      <c r="O1947" s="88"/>
      <c r="P1947" s="88"/>
      <c r="Q1947" s="88"/>
      <c r="R1947" s="78">
        <f>MAX(S1947:W1947)</f>
        <v>0</v>
      </c>
      <c r="S1947" s="88"/>
      <c r="T1947" s="88"/>
      <c r="U1947" s="88"/>
      <c r="V1947" s="88"/>
      <c r="W1947" s="88"/>
    </row>
    <row r="1948" spans="2:23" s="0" customFormat="0" ht="15">
      <c r="B1948" s="87" t="s">
        <v>1</v>
      </c>
      <c r="C1948" s="88" t="s">
        <v>5259</v>
      </c>
      <c r="D1948" s="88">
        <v>19616285</v>
      </c>
      <c r="E1948" s="88" t="s">
        <v>61</v>
      </c>
      <c r="F1948" s="88">
        <v>0</v>
      </c>
      <c r="G1948" s="78">
        <f>MAX(H1948,I1948,J1948)</f>
        <v>1</v>
      </c>
      <c r="H1948" s="88"/>
      <c r="I1948" s="88"/>
      <c r="J1948" s="78">
        <f>MAX(K1948:Q1948)</f>
        <v>1</v>
      </c>
      <c r="K1948" s="88">
        <v>1</v>
      </c>
      <c r="L1948" s="88"/>
      <c r="M1948" s="88"/>
      <c r="N1948" s="88"/>
      <c r="O1948" s="88"/>
      <c r="P1948" s="88"/>
      <c r="Q1948" s="88"/>
      <c r="R1948" s="78">
        <f>MAX(S1948:W1948)</f>
        <v>0</v>
      </c>
      <c r="S1948" s="88"/>
      <c r="T1948" s="88"/>
      <c r="U1948" s="88"/>
      <c r="V1948" s="88"/>
      <c r="W1948" s="88"/>
    </row>
    <row r="1949" spans="2:23" s="0" customFormat="0" ht="15">
      <c r="B1949" s="87" t="s">
        <v>1</v>
      </c>
      <c r="C1949" s="88" t="s">
        <v>5259</v>
      </c>
      <c r="D1949" s="88">
        <v>22964845</v>
      </c>
      <c r="E1949" s="88" t="s">
        <v>61</v>
      </c>
      <c r="F1949" s="88">
        <v>0</v>
      </c>
      <c r="G1949" s="78">
        <f>MAX(H1949,I1949,J1949)</f>
        <v>1</v>
      </c>
      <c r="H1949" s="88"/>
      <c r="I1949" s="88"/>
      <c r="J1949" s="78">
        <f>MAX(K1949:Q1949)</f>
        <v>1</v>
      </c>
      <c r="K1949" s="88">
        <v>1</v>
      </c>
      <c r="L1949" s="88"/>
      <c r="M1949" s="88"/>
      <c r="N1949" s="88"/>
      <c r="O1949" s="88"/>
      <c r="P1949" s="88"/>
      <c r="Q1949" s="88"/>
      <c r="R1949" s="78">
        <f>MAX(S1949:W1949)</f>
        <v>0</v>
      </c>
      <c r="S1949" s="88"/>
      <c r="T1949" s="88"/>
      <c r="U1949" s="88"/>
      <c r="V1949" s="88"/>
      <c r="W1949" s="88"/>
    </row>
    <row r="1950" spans="2:23" s="0" customFormat="0" ht="15">
      <c r="B1950" s="87" t="s">
        <v>1</v>
      </c>
      <c r="C1950" s="88" t="s">
        <v>5259</v>
      </c>
      <c r="D1950" s="88">
        <v>2807487</v>
      </c>
      <c r="E1950" s="88" t="s">
        <v>61</v>
      </c>
      <c r="F1950" s="88">
        <v>0</v>
      </c>
      <c r="G1950" s="78">
        <f>MAX(H1950,I1950,J1950)</f>
        <v>1</v>
      </c>
      <c r="H1950" s="88"/>
      <c r="I1950" s="88"/>
      <c r="J1950" s="78">
        <f>MAX(K1950:Q1950)</f>
        <v>1</v>
      </c>
      <c r="K1950" s="88">
        <v>1</v>
      </c>
      <c r="L1950" s="88"/>
      <c r="M1950" s="88"/>
      <c r="N1950" s="88"/>
      <c r="O1950" s="88"/>
      <c r="P1950" s="88"/>
      <c r="Q1950" s="88"/>
      <c r="R1950" s="78">
        <f>MAX(S1950:W1950)</f>
        <v>0</v>
      </c>
      <c r="S1950" s="88"/>
      <c r="T1950" s="88"/>
      <c r="U1950" s="88"/>
      <c r="V1950" s="88"/>
      <c r="W1950" s="88"/>
    </row>
    <row r="1951" spans="2:23" s="0" customFormat="0" ht="15">
      <c r="B1951" s="87" t="s">
        <v>1</v>
      </c>
      <c r="C1951" s="88" t="s">
        <v>5259</v>
      </c>
      <c r="D1951" s="88" t="s">
        <v>4203</v>
      </c>
      <c r="E1951" s="88" t="s">
        <v>61</v>
      </c>
      <c r="F1951" s="88">
        <v>0</v>
      </c>
      <c r="G1951" s="78">
        <f>MAX(H1951,I1951,J1951)</f>
        <v>0</v>
      </c>
      <c r="H1951" s="88"/>
      <c r="I1951" s="88"/>
      <c r="J1951" s="78">
        <f>MAX(K1951:Q1951)</f>
        <v>0</v>
      </c>
      <c r="K1951" s="88"/>
      <c r="L1951" s="88"/>
      <c r="M1951" s="88"/>
      <c r="N1951" s="88"/>
      <c r="O1951" s="88"/>
      <c r="P1951" s="88"/>
      <c r="Q1951" s="88"/>
      <c r="R1951" s="78">
        <f>MAX(S1951:W1951)</f>
        <v>1</v>
      </c>
      <c r="S1951" s="88"/>
      <c r="T1951" s="88"/>
      <c r="U1951" s="88">
        <v>1</v>
      </c>
      <c r="V1951" s="88"/>
      <c r="W1951" s="88"/>
    </row>
    <row r="1952" spans="2:23" s="0" customFormat="0" ht="15">
      <c r="B1952" s="87" t="s">
        <v>1</v>
      </c>
      <c r="C1952" s="88" t="s">
        <v>5259</v>
      </c>
      <c r="D1952" s="88" t="s">
        <v>4205</v>
      </c>
      <c r="E1952" s="88" t="s">
        <v>61</v>
      </c>
      <c r="F1952" s="88">
        <v>0</v>
      </c>
      <c r="G1952" s="78">
        <f>MAX(H1952,I1952,J1952)</f>
        <v>0</v>
      </c>
      <c r="H1952" s="88"/>
      <c r="I1952" s="88"/>
      <c r="J1952" s="78">
        <f>MAX(K1952:Q1952)</f>
        <v>0</v>
      </c>
      <c r="K1952" s="88"/>
      <c r="L1952" s="88"/>
      <c r="M1952" s="88"/>
      <c r="N1952" s="88"/>
      <c r="O1952" s="88"/>
      <c r="P1952" s="88"/>
      <c r="Q1952" s="88"/>
      <c r="R1952" s="78">
        <f>MAX(S1952:W1952)</f>
        <v>1</v>
      </c>
      <c r="S1952" s="88"/>
      <c r="T1952" s="88"/>
      <c r="U1952" s="88">
        <v>1</v>
      </c>
      <c r="V1952" s="88"/>
      <c r="W1952" s="88"/>
    </row>
    <row r="1953" spans="2:23" s="0" customFormat="0" ht="15">
      <c r="B1953" s="87" t="s">
        <v>1</v>
      </c>
      <c r="C1953" s="88" t="s">
        <v>5259</v>
      </c>
      <c r="D1953" s="88">
        <v>18041120</v>
      </c>
      <c r="E1953" s="88" t="s">
        <v>61</v>
      </c>
      <c r="F1953" s="88">
        <v>0</v>
      </c>
      <c r="G1953" s="78">
        <f>MAX(H1953,I1953,J1953)</f>
        <v>1</v>
      </c>
      <c r="H1953" s="88"/>
      <c r="I1953" s="88"/>
      <c r="J1953" s="78">
        <f>MAX(K1953:Q1953)</f>
        <v>1</v>
      </c>
      <c r="K1953" s="88"/>
      <c r="L1953" s="88"/>
      <c r="M1953" s="88">
        <v>1</v>
      </c>
      <c r="N1953" s="88"/>
      <c r="O1953" s="88"/>
      <c r="P1953" s="88"/>
      <c r="Q1953" s="88"/>
      <c r="R1953" s="78">
        <f>MAX(S1953:W1953)</f>
        <v>0</v>
      </c>
      <c r="S1953" s="88"/>
      <c r="T1953" s="88"/>
      <c r="U1953" s="88"/>
      <c r="V1953" s="88"/>
      <c r="W1953" s="88"/>
    </row>
    <row r="1954" spans="2:23" s="0" customFormat="0" ht="15">
      <c r="B1954" s="87" t="s">
        <v>1</v>
      </c>
      <c r="C1954" s="88" t="s">
        <v>5259</v>
      </c>
      <c r="D1954" s="88" t="s">
        <v>1474</v>
      </c>
      <c r="E1954" s="88" t="s">
        <v>61</v>
      </c>
      <c r="F1954" s="88">
        <v>0</v>
      </c>
      <c r="G1954" s="78">
        <f>MAX(H1954,I1954,J1954)</f>
        <v>1</v>
      </c>
      <c r="H1954" s="88"/>
      <c r="I1954" s="88"/>
      <c r="J1954" s="78">
        <f>MAX(K1954:Q1954)</f>
        <v>1</v>
      </c>
      <c r="K1954" s="88">
        <v>1</v>
      </c>
      <c r="L1954" s="88"/>
      <c r="M1954" s="88"/>
      <c r="N1954" s="88"/>
      <c r="O1954" s="88"/>
      <c r="P1954" s="88"/>
      <c r="Q1954" s="88"/>
      <c r="R1954" s="78">
        <f>MAX(S1954:W1954)</f>
        <v>0</v>
      </c>
      <c r="S1954" s="88"/>
      <c r="T1954" s="88"/>
      <c r="U1954" s="88"/>
      <c r="V1954" s="88"/>
      <c r="W1954" s="88"/>
    </row>
    <row r="1955" spans="2:23" s="0" customFormat="0" ht="15">
      <c r="B1955" s="87" t="s">
        <v>1</v>
      </c>
      <c r="C1955" s="88" t="s">
        <v>5259</v>
      </c>
      <c r="D1955" s="88">
        <v>17568070</v>
      </c>
      <c r="E1955" s="88" t="s">
        <v>61</v>
      </c>
      <c r="F1955" s="88">
        <v>0</v>
      </c>
      <c r="G1955" s="78">
        <f>MAX(H1955,I1955,J1955)</f>
        <v>1</v>
      </c>
      <c r="H1955" s="88"/>
      <c r="I1955" s="88"/>
      <c r="J1955" s="78">
        <f>MAX(K1955:Q1955)</f>
        <v>1</v>
      </c>
      <c r="K1955" s="88">
        <v>1</v>
      </c>
      <c r="L1955" s="88"/>
      <c r="M1955" s="88"/>
      <c r="N1955" s="88"/>
      <c r="O1955" s="88"/>
      <c r="P1955" s="88"/>
      <c r="Q1955" s="88"/>
      <c r="R1955" s="78">
        <f>MAX(S1955:W1955)</f>
        <v>0</v>
      </c>
      <c r="S1955" s="88"/>
      <c r="T1955" s="88"/>
      <c r="U1955" s="88"/>
      <c r="V1955" s="88"/>
      <c r="W1955" s="88"/>
    </row>
    <row r="1956" spans="2:23" s="0" customFormat="0" ht="15">
      <c r="B1956" s="87" t="s">
        <v>1</v>
      </c>
      <c r="C1956" s="88" t="s">
        <v>5259</v>
      </c>
      <c r="D1956" s="88">
        <v>14504636</v>
      </c>
      <c r="E1956" s="88" t="s">
        <v>61</v>
      </c>
      <c r="F1956" s="88">
        <v>0</v>
      </c>
      <c r="G1956" s="78">
        <f>MAX(H1956,I1956,J1956)</f>
        <v>0</v>
      </c>
      <c r="H1956" s="88"/>
      <c r="I1956" s="88"/>
      <c r="J1956" s="78">
        <f>MAX(K1956:Q1956)</f>
        <v>0</v>
      </c>
      <c r="K1956" s="88"/>
      <c r="L1956" s="88"/>
      <c r="M1956" s="88"/>
      <c r="N1956" s="88"/>
      <c r="O1956" s="88"/>
      <c r="P1956" s="88"/>
      <c r="Q1956" s="88"/>
      <c r="R1956" s="78">
        <f>MAX(S1956:W1956)</f>
        <v>1</v>
      </c>
      <c r="S1956" s="88"/>
      <c r="T1956" s="88"/>
      <c r="U1956" s="88">
        <v>1</v>
      </c>
      <c r="V1956" s="88"/>
      <c r="W1956" s="88"/>
    </row>
    <row r="1957" spans="2:23" s="0" customFormat="0" ht="15">
      <c r="B1957" s="87" t="s">
        <v>1</v>
      </c>
      <c r="C1957" s="88" t="s">
        <v>5259</v>
      </c>
      <c r="D1957" s="88">
        <v>994430</v>
      </c>
      <c r="E1957" s="88" t="s">
        <v>61</v>
      </c>
      <c r="F1957" s="88">
        <v>0</v>
      </c>
      <c r="G1957" s="78">
        <f>MAX(H1957,I1957,J1957)</f>
        <v>0</v>
      </c>
      <c r="H1957" s="88"/>
      <c r="I1957" s="88"/>
      <c r="J1957" s="78">
        <f>MAX(K1957:Q1957)</f>
        <v>0</v>
      </c>
      <c r="K1957" s="88"/>
      <c r="L1957" s="88"/>
      <c r="M1957" s="88"/>
      <c r="N1957" s="88"/>
      <c r="O1957" s="88"/>
      <c r="P1957" s="88"/>
      <c r="Q1957" s="88"/>
      <c r="R1957" s="78">
        <f>MAX(S1957:W1957)</f>
        <v>1</v>
      </c>
      <c r="S1957" s="88"/>
      <c r="T1957" s="88"/>
      <c r="U1957" s="88">
        <v>1</v>
      </c>
      <c r="V1957" s="88"/>
      <c r="W1957" s="88"/>
    </row>
    <row r="1958" spans="2:23" s="0" customFormat="0" ht="15">
      <c r="B1958" s="87" t="s">
        <v>1</v>
      </c>
      <c r="C1958" s="88" t="s">
        <v>5259</v>
      </c>
      <c r="D1958" s="88">
        <v>24247290</v>
      </c>
      <c r="E1958" s="88" t="s">
        <v>61</v>
      </c>
      <c r="F1958" s="88">
        <v>0</v>
      </c>
      <c r="G1958" s="78">
        <f>MAX(H1958,I1958,J1958)</f>
        <v>1</v>
      </c>
      <c r="H1958" s="88"/>
      <c r="I1958" s="88"/>
      <c r="J1958" s="78">
        <f>MAX(K1958:Q1958)</f>
        <v>1</v>
      </c>
      <c r="K1958" s="88">
        <v>1</v>
      </c>
      <c r="L1958" s="88"/>
      <c r="M1958" s="88"/>
      <c r="N1958" s="88"/>
      <c r="O1958" s="88"/>
      <c r="P1958" s="88"/>
      <c r="Q1958" s="88"/>
      <c r="R1958" s="78">
        <f>MAX(S1958:W1958)</f>
        <v>0</v>
      </c>
      <c r="S1958" s="88"/>
      <c r="T1958" s="88"/>
      <c r="U1958" s="88"/>
      <c r="V1958" s="88"/>
      <c r="W1958" s="88"/>
    </row>
    <row r="1959" spans="2:23" s="0" customFormat="0" ht="15">
      <c r="B1959" s="87" t="s">
        <v>1</v>
      </c>
      <c r="C1959" s="88" t="s">
        <v>5259</v>
      </c>
      <c r="D1959" s="88" t="s">
        <v>4209</v>
      </c>
      <c r="E1959" s="88" t="s">
        <v>61</v>
      </c>
      <c r="F1959" s="88">
        <v>0</v>
      </c>
      <c r="G1959" s="78">
        <f>MAX(H1959,I1959,J1959)</f>
        <v>0</v>
      </c>
      <c r="H1959" s="88"/>
      <c r="I1959" s="88"/>
      <c r="J1959" s="78">
        <f>MAX(K1959:Q1959)</f>
        <v>0</v>
      </c>
      <c r="K1959" s="88"/>
      <c r="L1959" s="88"/>
      <c r="M1959" s="88"/>
      <c r="N1959" s="88"/>
      <c r="O1959" s="88"/>
      <c r="P1959" s="88"/>
      <c r="Q1959" s="88"/>
      <c r="R1959" s="78">
        <f>MAX(S1959:W1959)</f>
        <v>1</v>
      </c>
      <c r="S1959" s="88"/>
      <c r="T1959" s="88"/>
      <c r="U1959" s="88">
        <v>1</v>
      </c>
      <c r="V1959" s="88"/>
      <c r="W1959" s="88"/>
    </row>
    <row r="1960" spans="2:23" s="0" customFormat="0" ht="15">
      <c r="B1960" s="87" t="s">
        <v>1</v>
      </c>
      <c r="C1960" s="88" t="s">
        <v>5259</v>
      </c>
      <c r="D1960" s="88" t="s">
        <v>4211</v>
      </c>
      <c r="E1960" s="88" t="s">
        <v>61</v>
      </c>
      <c r="F1960" s="88">
        <v>0</v>
      </c>
      <c r="G1960" s="78">
        <f>MAX(H1960,I1960,J1960)</f>
        <v>0</v>
      </c>
      <c r="H1960" s="88"/>
      <c r="I1960" s="88"/>
      <c r="J1960" s="78">
        <f>MAX(K1960:Q1960)</f>
        <v>0</v>
      </c>
      <c r="K1960" s="88"/>
      <c r="L1960" s="88"/>
      <c r="M1960" s="88"/>
      <c r="N1960" s="88"/>
      <c r="O1960" s="88"/>
      <c r="P1960" s="88"/>
      <c r="Q1960" s="88"/>
      <c r="R1960" s="78">
        <f>MAX(S1960:W1960)</f>
        <v>1</v>
      </c>
      <c r="S1960" s="88"/>
      <c r="T1960" s="88"/>
      <c r="U1960" s="88">
        <v>1</v>
      </c>
      <c r="V1960" s="88"/>
      <c r="W1960" s="88"/>
    </row>
    <row r="1961" spans="2:23" s="0" customFormat="0" ht="15">
      <c r="B1961" s="87" t="s">
        <v>1</v>
      </c>
      <c r="C1961" s="88" t="s">
        <v>5259</v>
      </c>
      <c r="D1961" s="88">
        <v>16711402</v>
      </c>
      <c r="E1961" s="88" t="s">
        <v>61</v>
      </c>
      <c r="F1961" s="88">
        <v>0</v>
      </c>
      <c r="G1961" s="78">
        <f>MAX(H1961,I1961,J1961)</f>
        <v>1</v>
      </c>
      <c r="H1961" s="88"/>
      <c r="I1961" s="88"/>
      <c r="J1961" s="78">
        <f>MAX(K1961:Q1961)</f>
        <v>1</v>
      </c>
      <c r="K1961" s="88">
        <v>1</v>
      </c>
      <c r="L1961" s="88"/>
      <c r="M1961" s="88"/>
      <c r="N1961" s="88"/>
      <c r="O1961" s="88"/>
      <c r="P1961" s="88"/>
      <c r="Q1961" s="88"/>
      <c r="R1961" s="78">
        <f>MAX(S1961:W1961)</f>
        <v>0</v>
      </c>
      <c r="S1961" s="88"/>
      <c r="T1961" s="88"/>
      <c r="U1961" s="88"/>
      <c r="V1961" s="88"/>
      <c r="W1961" s="88"/>
    </row>
    <row r="1962" spans="2:23" s="0" customFormat="0" ht="15">
      <c r="B1962" s="87" t="s">
        <v>1</v>
      </c>
      <c r="C1962" s="88" t="s">
        <v>5259</v>
      </c>
      <c r="D1962" s="88" t="s">
        <v>1478</v>
      </c>
      <c r="E1962" s="88" t="s">
        <v>61</v>
      </c>
      <c r="F1962" s="88">
        <v>0</v>
      </c>
      <c r="G1962" s="78">
        <f>MAX(H1962,I1962,J1962)</f>
        <v>1</v>
      </c>
      <c r="H1962" s="88"/>
      <c r="I1962" s="88"/>
      <c r="J1962" s="78">
        <f>MAX(K1962:Q1962)</f>
        <v>1</v>
      </c>
      <c r="K1962" s="88">
        <v>1</v>
      </c>
      <c r="L1962" s="88"/>
      <c r="M1962" s="88"/>
      <c r="N1962" s="88"/>
      <c r="O1962" s="88"/>
      <c r="P1962" s="88"/>
      <c r="Q1962" s="88"/>
      <c r="R1962" s="78">
        <f>MAX(S1962:W1962)</f>
        <v>0</v>
      </c>
      <c r="S1962" s="88"/>
      <c r="T1962" s="88"/>
      <c r="U1962" s="88"/>
      <c r="V1962" s="88"/>
      <c r="W1962" s="88"/>
    </row>
    <row r="1963" spans="2:23" s="0" customFormat="0" ht="15">
      <c r="B1963" s="87" t="s">
        <v>1</v>
      </c>
      <c r="C1963" s="88" t="s">
        <v>5259</v>
      </c>
      <c r="D1963" s="88">
        <v>19834668</v>
      </c>
      <c r="E1963" s="88" t="s">
        <v>61</v>
      </c>
      <c r="F1963" s="88">
        <v>0</v>
      </c>
      <c r="G1963" s="78">
        <f>MAX(H1963,I1963,J1963)</f>
        <v>1</v>
      </c>
      <c r="H1963" s="88"/>
      <c r="I1963" s="88"/>
      <c r="J1963" s="78">
        <f>MAX(K1963:Q1963)</f>
        <v>1</v>
      </c>
      <c r="K1963" s="88">
        <v>1</v>
      </c>
      <c r="L1963" s="88"/>
      <c r="M1963" s="88"/>
      <c r="N1963" s="88"/>
      <c r="O1963" s="88"/>
      <c r="P1963" s="88"/>
      <c r="Q1963" s="88"/>
      <c r="R1963" s="78">
        <f>MAX(S1963:W1963)</f>
        <v>0</v>
      </c>
      <c r="S1963" s="88"/>
      <c r="T1963" s="88"/>
      <c r="U1963" s="88"/>
      <c r="V1963" s="88"/>
      <c r="W1963" s="88"/>
    </row>
    <row r="1964" spans="2:23" s="0" customFormat="0" ht="15">
      <c r="B1964" s="87" t="s">
        <v>1</v>
      </c>
      <c r="C1964" s="88" t="s">
        <v>5259</v>
      </c>
      <c r="D1964" s="88">
        <v>22954813</v>
      </c>
      <c r="E1964" s="88" t="s">
        <v>61</v>
      </c>
      <c r="F1964" s="88">
        <v>0</v>
      </c>
      <c r="G1964" s="78">
        <f>MAX(H1964,I1964,J1964)</f>
        <v>1</v>
      </c>
      <c r="H1964" s="88"/>
      <c r="I1964" s="88"/>
      <c r="J1964" s="78">
        <f>MAX(K1964:Q1964)</f>
        <v>1</v>
      </c>
      <c r="K1964" s="88">
        <v>1</v>
      </c>
      <c r="L1964" s="88"/>
      <c r="M1964" s="88"/>
      <c r="N1964" s="88"/>
      <c r="O1964" s="88"/>
      <c r="P1964" s="88"/>
      <c r="Q1964" s="88"/>
      <c r="R1964" s="78">
        <f>MAX(S1964:W1964)</f>
        <v>0</v>
      </c>
      <c r="S1964" s="88"/>
      <c r="T1964" s="88"/>
      <c r="U1964" s="88"/>
      <c r="V1964" s="88"/>
      <c r="W1964" s="88"/>
    </row>
    <row r="1965" spans="2:23" s="0" customFormat="0" ht="15">
      <c r="B1965" s="87" t="s">
        <v>1</v>
      </c>
      <c r="C1965" s="88" t="s">
        <v>5259</v>
      </c>
      <c r="D1965" s="88" t="s">
        <v>1420</v>
      </c>
      <c r="E1965" s="88" t="s">
        <v>61</v>
      </c>
      <c r="F1965" s="88">
        <v>0</v>
      </c>
      <c r="G1965" s="78">
        <f>MAX(H1965,I1965,J1965)</f>
        <v>1</v>
      </c>
      <c r="H1965" s="88"/>
      <c r="I1965" s="88"/>
      <c r="J1965" s="78">
        <f>MAX(K1965:Q1965)</f>
        <v>1</v>
      </c>
      <c r="K1965" s="88">
        <v>1</v>
      </c>
      <c r="L1965" s="88"/>
      <c r="M1965" s="88"/>
      <c r="N1965" s="88"/>
      <c r="O1965" s="88"/>
      <c r="P1965" s="88"/>
      <c r="Q1965" s="88"/>
      <c r="R1965" s="78">
        <f>MAX(S1965:W1965)</f>
        <v>0</v>
      </c>
      <c r="S1965" s="88"/>
      <c r="T1965" s="88"/>
      <c r="U1965" s="88"/>
      <c r="V1965" s="88"/>
      <c r="W1965" s="88"/>
    </row>
    <row r="1966" spans="2:23" s="0" customFormat="0" ht="15">
      <c r="B1966" s="87" t="s">
        <v>1</v>
      </c>
      <c r="C1966" s="88" t="s">
        <v>5259</v>
      </c>
      <c r="D1966" s="88" t="s">
        <v>1482</v>
      </c>
      <c r="E1966" s="88" t="s">
        <v>61</v>
      </c>
      <c r="F1966" s="88">
        <v>0</v>
      </c>
      <c r="G1966" s="78">
        <f>MAX(H1966,I1966,J1966)</f>
        <v>1</v>
      </c>
      <c r="H1966" s="88"/>
      <c r="I1966" s="88"/>
      <c r="J1966" s="78">
        <f>MAX(K1966:Q1966)</f>
        <v>1</v>
      </c>
      <c r="K1966" s="88">
        <v>1</v>
      </c>
      <c r="L1966" s="88"/>
      <c r="M1966" s="88"/>
      <c r="N1966" s="88"/>
      <c r="O1966" s="88"/>
      <c r="P1966" s="88"/>
      <c r="Q1966" s="88"/>
      <c r="R1966" s="78">
        <f>MAX(S1966:W1966)</f>
        <v>0</v>
      </c>
      <c r="S1966" s="88"/>
      <c r="T1966" s="88"/>
      <c r="U1966" s="88"/>
      <c r="V1966" s="88"/>
      <c r="W1966" s="88"/>
    </row>
    <row r="1967" spans="2:23" s="0" customFormat="0" ht="15">
      <c r="B1967" s="87" t="s">
        <v>1</v>
      </c>
      <c r="C1967" s="88" t="s">
        <v>5259</v>
      </c>
      <c r="D1967" s="88" t="s">
        <v>4213</v>
      </c>
      <c r="E1967" s="88" t="s">
        <v>61</v>
      </c>
      <c r="F1967" s="88">
        <v>0</v>
      </c>
      <c r="G1967" s="78">
        <f>MAX(H1967,I1967,J1967)</f>
        <v>0</v>
      </c>
      <c r="H1967" s="88"/>
      <c r="I1967" s="88"/>
      <c r="J1967" s="78">
        <f>MAX(K1967:Q1967)</f>
        <v>0</v>
      </c>
      <c r="K1967" s="88"/>
      <c r="L1967" s="88"/>
      <c r="M1967" s="88"/>
      <c r="N1967" s="88"/>
      <c r="O1967" s="88"/>
      <c r="P1967" s="88"/>
      <c r="Q1967" s="88"/>
      <c r="R1967" s="78">
        <f>MAX(S1967:W1967)</f>
        <v>1</v>
      </c>
      <c r="S1967" s="88"/>
      <c r="T1967" s="88"/>
      <c r="U1967" s="88">
        <v>1</v>
      </c>
      <c r="V1967" s="88"/>
      <c r="W1967" s="88"/>
    </row>
    <row r="1968" spans="2:23" s="0" customFormat="0" ht="15">
      <c r="B1968" s="87" t="s">
        <v>1</v>
      </c>
      <c r="C1968" s="88" t="s">
        <v>5259</v>
      </c>
      <c r="D1968" s="88">
        <v>6463543</v>
      </c>
      <c r="E1968" s="88" t="s">
        <v>61</v>
      </c>
      <c r="F1968" s="88">
        <v>0</v>
      </c>
      <c r="G1968" s="78">
        <f>MAX(H1968,I1968,J1968)</f>
        <v>1</v>
      </c>
      <c r="H1968" s="88"/>
      <c r="I1968" s="88"/>
      <c r="J1968" s="78">
        <f>MAX(K1968:Q1968)</f>
        <v>1</v>
      </c>
      <c r="K1968" s="88">
        <v>1</v>
      </c>
      <c r="L1968" s="88"/>
      <c r="M1968" s="88"/>
      <c r="N1968" s="88"/>
      <c r="O1968" s="88"/>
      <c r="P1968" s="88"/>
      <c r="Q1968" s="88"/>
      <c r="R1968" s="78">
        <f>MAX(S1968:W1968)</f>
        <v>0</v>
      </c>
      <c r="S1968" s="88"/>
      <c r="T1968" s="88"/>
      <c r="U1968" s="88"/>
      <c r="V1968" s="88"/>
      <c r="W1968" s="88"/>
    </row>
    <row r="1969" spans="2:23" s="0" customFormat="0" ht="15">
      <c r="B1969" s="87" t="s">
        <v>1</v>
      </c>
      <c r="C1969" s="88" t="s">
        <v>5259</v>
      </c>
      <c r="D1969" s="88" t="s">
        <v>3061</v>
      </c>
      <c r="E1969" s="88" t="s">
        <v>61</v>
      </c>
      <c r="F1969" s="88">
        <v>0</v>
      </c>
      <c r="G1969" s="78">
        <f>MAX(H1969,I1969,J1969)</f>
        <v>1</v>
      </c>
      <c r="H1969" s="88"/>
      <c r="I1969" s="88"/>
      <c r="J1969" s="78">
        <f>MAX(K1969:Q1969)</f>
        <v>1</v>
      </c>
      <c r="K1969" s="88"/>
      <c r="L1969" s="88"/>
      <c r="M1969" s="88">
        <v>1</v>
      </c>
      <c r="N1969" s="88"/>
      <c r="O1969" s="88"/>
      <c r="P1969" s="88"/>
      <c r="Q1969" s="88"/>
      <c r="R1969" s="78">
        <f>MAX(S1969:W1969)</f>
        <v>0</v>
      </c>
      <c r="S1969" s="88"/>
      <c r="T1969" s="88"/>
      <c r="U1969" s="88"/>
      <c r="V1969" s="88"/>
      <c r="W1969" s="88"/>
    </row>
    <row r="1970" spans="2:23" s="0" customFormat="0" ht="15">
      <c r="B1970" s="87" t="s">
        <v>1</v>
      </c>
      <c r="C1970" s="88" t="s">
        <v>5259</v>
      </c>
      <c r="D1970" s="88" t="s">
        <v>3859</v>
      </c>
      <c r="E1970" s="88" t="s">
        <v>61</v>
      </c>
      <c r="F1970" s="88">
        <v>0</v>
      </c>
      <c r="G1970" s="78">
        <f>MAX(H1970,I1970,J1970)</f>
        <v>0</v>
      </c>
      <c r="H1970" s="88"/>
      <c r="I1970" s="88"/>
      <c r="J1970" s="78">
        <f>MAX(K1970:Q1970)</f>
        <v>0</v>
      </c>
      <c r="K1970" s="88"/>
      <c r="L1970" s="88"/>
      <c r="M1970" s="88"/>
      <c r="N1970" s="88"/>
      <c r="O1970" s="88"/>
      <c r="P1970" s="88"/>
      <c r="Q1970" s="88"/>
      <c r="R1970" s="78">
        <f>MAX(S1970:W1970)</f>
        <v>1</v>
      </c>
      <c r="S1970" s="88"/>
      <c r="T1970" s="88"/>
      <c r="U1970" s="88">
        <v>1</v>
      </c>
      <c r="V1970" s="88"/>
      <c r="W1970" s="88"/>
    </row>
    <row r="1971" spans="2:23" s="0" customFormat="0" ht="15">
      <c r="B1971" s="87" t="s">
        <v>1</v>
      </c>
      <c r="C1971" s="88" t="s">
        <v>5259</v>
      </c>
      <c r="D1971" s="88" t="s">
        <v>4215</v>
      </c>
      <c r="E1971" s="88" t="s">
        <v>61</v>
      </c>
      <c r="F1971" s="88">
        <v>0</v>
      </c>
      <c r="G1971" s="78">
        <f>MAX(H1971,I1971,J1971)</f>
        <v>0</v>
      </c>
      <c r="H1971" s="88"/>
      <c r="I1971" s="88"/>
      <c r="J1971" s="78">
        <f>MAX(K1971:Q1971)</f>
        <v>0</v>
      </c>
      <c r="K1971" s="88"/>
      <c r="L1971" s="88"/>
      <c r="M1971" s="88"/>
      <c r="N1971" s="88"/>
      <c r="O1971" s="88"/>
      <c r="P1971" s="88"/>
      <c r="Q1971" s="88"/>
      <c r="R1971" s="78">
        <f>MAX(S1971:W1971)</f>
        <v>1</v>
      </c>
      <c r="S1971" s="88"/>
      <c r="T1971" s="88"/>
      <c r="U1971" s="88">
        <v>1</v>
      </c>
      <c r="V1971" s="88"/>
      <c r="W1971" s="88"/>
    </row>
    <row r="1972" spans="2:23" s="0" customFormat="0" ht="15">
      <c r="B1972" s="87" t="s">
        <v>1</v>
      </c>
      <c r="C1972" s="88" t="s">
        <v>5259</v>
      </c>
      <c r="D1972" s="88" t="s">
        <v>1485</v>
      </c>
      <c r="E1972" s="88" t="s">
        <v>61</v>
      </c>
      <c r="F1972" s="88">
        <v>0</v>
      </c>
      <c r="G1972" s="78">
        <f>MAX(H1972,I1972,J1972)</f>
        <v>1</v>
      </c>
      <c r="H1972" s="88"/>
      <c r="I1972" s="88"/>
      <c r="J1972" s="78">
        <f>MAX(K1972:Q1972)</f>
        <v>1</v>
      </c>
      <c r="K1972" s="88">
        <v>1</v>
      </c>
      <c r="L1972" s="88"/>
      <c r="M1972" s="88"/>
      <c r="N1972" s="88"/>
      <c r="O1972" s="88"/>
      <c r="P1972" s="88"/>
      <c r="Q1972" s="88"/>
      <c r="R1972" s="78">
        <f>MAX(S1972:W1972)</f>
        <v>0</v>
      </c>
      <c r="S1972" s="88"/>
      <c r="T1972" s="88"/>
      <c r="U1972" s="88"/>
      <c r="V1972" s="88"/>
      <c r="W1972" s="88"/>
    </row>
    <row r="1973" spans="2:23" s="0" customFormat="0" ht="15">
      <c r="B1973" s="87" t="s">
        <v>1</v>
      </c>
      <c r="C1973" s="88" t="s">
        <v>5259</v>
      </c>
      <c r="D1973" s="88" t="s">
        <v>4217</v>
      </c>
      <c r="E1973" s="88" t="s">
        <v>61</v>
      </c>
      <c r="F1973" s="88">
        <v>0</v>
      </c>
      <c r="G1973" s="78">
        <f>MAX(H1973,I1973,J1973)</f>
        <v>0</v>
      </c>
      <c r="H1973" s="88"/>
      <c r="I1973" s="88"/>
      <c r="J1973" s="78">
        <f>MAX(K1973:Q1973)</f>
        <v>0</v>
      </c>
      <c r="K1973" s="88"/>
      <c r="L1973" s="88"/>
      <c r="M1973" s="88"/>
      <c r="N1973" s="88"/>
      <c r="O1973" s="88"/>
      <c r="P1973" s="88"/>
      <c r="Q1973" s="88"/>
      <c r="R1973" s="78">
        <f>MAX(S1973:W1973)</f>
        <v>1</v>
      </c>
      <c r="S1973" s="88"/>
      <c r="T1973" s="88"/>
      <c r="U1973" s="88">
        <v>1</v>
      </c>
      <c r="V1973" s="88"/>
      <c r="W1973" s="88"/>
    </row>
    <row r="1974" spans="2:23" s="0" customFormat="0" ht="15">
      <c r="B1974" s="87" t="s">
        <v>1</v>
      </c>
      <c r="C1974" s="88" t="s">
        <v>5259</v>
      </c>
      <c r="D1974" s="88" t="s">
        <v>1487</v>
      </c>
      <c r="E1974" s="88" t="s">
        <v>61</v>
      </c>
      <c r="F1974" s="88">
        <v>0</v>
      </c>
      <c r="G1974" s="78">
        <f>MAX(H1974,I1974,J1974)</f>
        <v>1</v>
      </c>
      <c r="H1974" s="88"/>
      <c r="I1974" s="88"/>
      <c r="J1974" s="78">
        <f>MAX(K1974:Q1974)</f>
        <v>1</v>
      </c>
      <c r="K1974" s="88">
        <v>1</v>
      </c>
      <c r="L1974" s="88"/>
      <c r="M1974" s="88"/>
      <c r="N1974" s="88"/>
      <c r="O1974" s="88"/>
      <c r="P1974" s="88"/>
      <c r="Q1974" s="88"/>
      <c r="R1974" s="78">
        <f>MAX(S1974:W1974)</f>
        <v>0</v>
      </c>
      <c r="S1974" s="88"/>
      <c r="T1974" s="88"/>
      <c r="U1974" s="88"/>
      <c r="V1974" s="88"/>
      <c r="W1974" s="88"/>
    </row>
    <row r="1975" spans="2:23" s="0" customFormat="0" ht="15">
      <c r="B1975" s="87" t="s">
        <v>1</v>
      </c>
      <c r="C1975" s="88" t="s">
        <v>5259</v>
      </c>
      <c r="D1975" s="88" t="s">
        <v>3145</v>
      </c>
      <c r="E1975" s="88" t="s">
        <v>61</v>
      </c>
      <c r="F1975" s="88">
        <v>0</v>
      </c>
      <c r="G1975" s="78">
        <f>MAX(H1975,I1975,J1975)</f>
        <v>1</v>
      </c>
      <c r="H1975" s="88"/>
      <c r="I1975" s="88"/>
      <c r="J1975" s="78">
        <f>MAX(K1975:Q1975)</f>
        <v>1</v>
      </c>
      <c r="K1975" s="88"/>
      <c r="L1975" s="88"/>
      <c r="M1975" s="88"/>
      <c r="N1975" s="88">
        <v>1</v>
      </c>
      <c r="O1975" s="88"/>
      <c r="P1975" s="88"/>
      <c r="Q1975" s="88"/>
      <c r="R1975" s="78">
        <f>MAX(S1975:W1975)</f>
        <v>0</v>
      </c>
      <c r="S1975" s="88"/>
      <c r="T1975" s="88"/>
      <c r="U1975" s="88"/>
      <c r="V1975" s="88"/>
      <c r="W1975" s="88"/>
    </row>
    <row r="1976" spans="2:23" s="0" customFormat="0" ht="15">
      <c r="B1976" s="87" t="s">
        <v>1</v>
      </c>
      <c r="C1976" s="88" t="s">
        <v>5259</v>
      </c>
      <c r="D1976" s="88">
        <v>478090</v>
      </c>
      <c r="E1976" s="88" t="s">
        <v>61</v>
      </c>
      <c r="F1976" s="88">
        <v>0</v>
      </c>
      <c r="G1976" s="78">
        <f>MAX(H1976,I1976,J1976)</f>
        <v>1</v>
      </c>
      <c r="H1976" s="88"/>
      <c r="I1976" s="88"/>
      <c r="J1976" s="78">
        <f>MAX(K1976:Q1976)</f>
        <v>1</v>
      </c>
      <c r="K1976" s="88">
        <v>1</v>
      </c>
      <c r="L1976" s="88"/>
      <c r="M1976" s="88"/>
      <c r="N1976" s="88"/>
      <c r="O1976" s="88"/>
      <c r="P1976" s="88"/>
      <c r="Q1976" s="88"/>
      <c r="R1976" s="78">
        <f>MAX(S1976:W1976)</f>
        <v>0</v>
      </c>
      <c r="S1976" s="88"/>
      <c r="T1976" s="88"/>
      <c r="U1976" s="88"/>
      <c r="V1976" s="88"/>
      <c r="W1976" s="88"/>
    </row>
    <row r="1977" spans="2:23" s="0" customFormat="0" ht="15">
      <c r="B1977" s="87" t="s">
        <v>1</v>
      </c>
      <c r="C1977" s="88" t="s">
        <v>5259</v>
      </c>
      <c r="D1977" s="88">
        <v>6463543</v>
      </c>
      <c r="E1977" s="88" t="s">
        <v>61</v>
      </c>
      <c r="F1977" s="88">
        <v>0</v>
      </c>
      <c r="G1977" s="78">
        <f>MAX(H1977,I1977,J1977)</f>
        <v>1</v>
      </c>
      <c r="H1977" s="88"/>
      <c r="I1977" s="88"/>
      <c r="J1977" s="78">
        <f>MAX(K1977:Q1977)</f>
        <v>1</v>
      </c>
      <c r="K1977" s="88">
        <v>1</v>
      </c>
      <c r="L1977" s="88"/>
      <c r="M1977" s="88"/>
      <c r="N1977" s="88"/>
      <c r="O1977" s="88"/>
      <c r="P1977" s="88"/>
      <c r="Q1977" s="88"/>
      <c r="R1977" s="78">
        <f>MAX(S1977:W1977)</f>
        <v>0</v>
      </c>
      <c r="S1977" s="88"/>
      <c r="T1977" s="88"/>
      <c r="U1977" s="88"/>
      <c r="V1977" s="88"/>
      <c r="W1977" s="88"/>
    </row>
    <row r="1978" spans="2:23" s="0" customFormat="0" ht="15">
      <c r="B1978" s="87" t="s">
        <v>1</v>
      </c>
      <c r="C1978" s="88" t="s">
        <v>5259</v>
      </c>
      <c r="D1978" s="88">
        <v>19603895</v>
      </c>
      <c r="E1978" s="88" t="s">
        <v>61</v>
      </c>
      <c r="F1978" s="88">
        <v>0</v>
      </c>
      <c r="G1978" s="78">
        <f>MAX(H1978,I1978,J1978)</f>
        <v>1</v>
      </c>
      <c r="H1978" s="88"/>
      <c r="I1978" s="88"/>
      <c r="J1978" s="78">
        <f>MAX(K1978:Q1978)</f>
        <v>1</v>
      </c>
      <c r="K1978" s="88">
        <v>1</v>
      </c>
      <c r="L1978" s="88"/>
      <c r="M1978" s="88"/>
      <c r="N1978" s="88"/>
      <c r="O1978" s="88"/>
      <c r="P1978" s="88"/>
      <c r="Q1978" s="88"/>
      <c r="R1978" s="78">
        <f>MAX(S1978:W1978)</f>
        <v>0</v>
      </c>
      <c r="S1978" s="88"/>
      <c r="T1978" s="88"/>
      <c r="U1978" s="88"/>
      <c r="V1978" s="88"/>
      <c r="W1978" s="88"/>
    </row>
    <row r="1979" spans="2:23" s="0" customFormat="0" ht="15">
      <c r="B1979" s="87" t="s">
        <v>1</v>
      </c>
      <c r="C1979" s="88" t="s">
        <v>5259</v>
      </c>
      <c r="D1979" s="88" t="s">
        <v>1369</v>
      </c>
      <c r="E1979" s="88" t="s">
        <v>61</v>
      </c>
      <c r="F1979" s="88">
        <v>0</v>
      </c>
      <c r="G1979" s="78">
        <f>MAX(H1979,I1979,J1979)</f>
        <v>1</v>
      </c>
      <c r="H1979" s="88"/>
      <c r="I1979" s="88"/>
      <c r="J1979" s="78">
        <f>MAX(K1979:Q1979)</f>
        <v>1</v>
      </c>
      <c r="K1979" s="88">
        <v>1</v>
      </c>
      <c r="L1979" s="88"/>
      <c r="M1979" s="88"/>
      <c r="N1979" s="88"/>
      <c r="O1979" s="88"/>
      <c r="P1979" s="88"/>
      <c r="Q1979" s="88"/>
      <c r="R1979" s="78">
        <f>MAX(S1979:W1979)</f>
        <v>0</v>
      </c>
      <c r="S1979" s="88"/>
      <c r="T1979" s="88"/>
      <c r="U1979" s="88"/>
      <c r="V1979" s="88"/>
      <c r="W1979" s="88"/>
    </row>
    <row r="1980" spans="2:23" s="0" customFormat="0" ht="15">
      <c r="B1980" s="87" t="s">
        <v>1</v>
      </c>
      <c r="C1980" s="88" t="s">
        <v>5259</v>
      </c>
      <c r="D1980" s="88">
        <v>14272069</v>
      </c>
      <c r="E1980" s="88" t="s">
        <v>61</v>
      </c>
      <c r="F1980" s="88">
        <v>0</v>
      </c>
      <c r="G1980" s="78">
        <f>MAX(H1980,I1980,J1980)</f>
        <v>1</v>
      </c>
      <c r="H1980" s="88"/>
      <c r="I1980" s="88"/>
      <c r="J1980" s="78">
        <f>MAX(K1980:Q1980)</f>
        <v>1</v>
      </c>
      <c r="K1980" s="88">
        <v>1</v>
      </c>
      <c r="L1980" s="88"/>
      <c r="M1980" s="88"/>
      <c r="N1980" s="88"/>
      <c r="O1980" s="88"/>
      <c r="P1980" s="88"/>
      <c r="Q1980" s="88"/>
      <c r="R1980" s="78">
        <f>MAX(S1980:W1980)</f>
        <v>0</v>
      </c>
      <c r="S1980" s="88"/>
      <c r="T1980" s="88"/>
      <c r="U1980" s="88"/>
      <c r="V1980" s="88"/>
      <c r="W1980" s="88"/>
    </row>
    <row r="1981" spans="2:23" s="0" customFormat="0" ht="15">
      <c r="B1981" s="87" t="s">
        <v>1</v>
      </c>
      <c r="C1981" s="88" t="s">
        <v>5259</v>
      </c>
      <c r="D1981" s="88" t="s">
        <v>4003</v>
      </c>
      <c r="E1981" s="88" t="s">
        <v>61</v>
      </c>
      <c r="F1981" s="88">
        <v>0</v>
      </c>
      <c r="G1981" s="78">
        <f>MAX(H1981,I1981,J1981)</f>
        <v>0</v>
      </c>
      <c r="H1981" s="88"/>
      <c r="I1981" s="88"/>
      <c r="J1981" s="78">
        <f>MAX(K1981:Q1981)</f>
        <v>0</v>
      </c>
      <c r="K1981" s="88"/>
      <c r="L1981" s="88"/>
      <c r="M1981" s="88"/>
      <c r="N1981" s="88"/>
      <c r="O1981" s="88"/>
      <c r="P1981" s="88"/>
      <c r="Q1981" s="88"/>
      <c r="R1981" s="78">
        <f>MAX(S1981:W1981)</f>
        <v>1</v>
      </c>
      <c r="S1981" s="88"/>
      <c r="T1981" s="88"/>
      <c r="U1981" s="88">
        <v>1</v>
      </c>
      <c r="V1981" s="88"/>
      <c r="W1981" s="88"/>
    </row>
    <row r="1982" spans="2:23" s="0" customFormat="0" ht="15">
      <c r="B1982" s="87" t="s">
        <v>1</v>
      </c>
      <c r="C1982" s="88" t="s">
        <v>5259</v>
      </c>
      <c r="D1982" s="88">
        <v>12399821</v>
      </c>
      <c r="E1982" s="88" t="s">
        <v>61</v>
      </c>
      <c r="F1982" s="88">
        <v>0</v>
      </c>
      <c r="G1982" s="78">
        <f>MAX(H1982,I1982,J1982)</f>
        <v>1</v>
      </c>
      <c r="H1982" s="88"/>
      <c r="I1982" s="88"/>
      <c r="J1982" s="78">
        <f>MAX(K1982:Q1982)</f>
        <v>1</v>
      </c>
      <c r="K1982" s="88">
        <v>1</v>
      </c>
      <c r="L1982" s="88"/>
      <c r="M1982" s="88"/>
      <c r="N1982" s="88"/>
      <c r="O1982" s="88"/>
      <c r="P1982" s="88"/>
      <c r="Q1982" s="88"/>
      <c r="R1982" s="78">
        <f>MAX(S1982:W1982)</f>
        <v>0</v>
      </c>
      <c r="S1982" s="88"/>
      <c r="T1982" s="88"/>
      <c r="U1982" s="88"/>
      <c r="V1982" s="88"/>
      <c r="W1982" s="88"/>
    </row>
    <row r="1983" spans="2:23" s="0" customFormat="0" ht="15">
      <c r="B1983" s="87" t="s">
        <v>1</v>
      </c>
      <c r="C1983" s="88" t="s">
        <v>5259</v>
      </c>
      <c r="D1983" s="88" t="s">
        <v>4219</v>
      </c>
      <c r="E1983" s="88" t="s">
        <v>61</v>
      </c>
      <c r="F1983" s="88">
        <v>0</v>
      </c>
      <c r="G1983" s="78">
        <f>MAX(H1983,I1983,J1983)</f>
        <v>0</v>
      </c>
      <c r="H1983" s="88"/>
      <c r="I1983" s="88"/>
      <c r="J1983" s="78">
        <f>MAX(K1983:Q1983)</f>
        <v>0</v>
      </c>
      <c r="K1983" s="88"/>
      <c r="L1983" s="88"/>
      <c r="M1983" s="88"/>
      <c r="N1983" s="88"/>
      <c r="O1983" s="88"/>
      <c r="P1983" s="88"/>
      <c r="Q1983" s="88"/>
      <c r="R1983" s="78">
        <f>MAX(S1983:W1983)</f>
        <v>1</v>
      </c>
      <c r="S1983" s="88"/>
      <c r="T1983" s="88"/>
      <c r="U1983" s="88">
        <v>1</v>
      </c>
      <c r="V1983" s="88"/>
      <c r="W1983" s="88"/>
    </row>
    <row r="1984" spans="2:23" s="0" customFormat="0" ht="15">
      <c r="B1984" s="87" t="s">
        <v>1</v>
      </c>
      <c r="C1984" s="88" t="s">
        <v>5259</v>
      </c>
      <c r="D1984" s="88">
        <v>16974689</v>
      </c>
      <c r="E1984" s="88" t="s">
        <v>61</v>
      </c>
      <c r="F1984" s="88">
        <v>0</v>
      </c>
      <c r="G1984" s="78">
        <f>MAX(H1984,I1984,J1984)</f>
        <v>0</v>
      </c>
      <c r="H1984" s="88"/>
      <c r="I1984" s="88"/>
      <c r="J1984" s="78">
        <f>MAX(K1984:Q1984)</f>
        <v>0</v>
      </c>
      <c r="K1984" s="88"/>
      <c r="L1984" s="88"/>
      <c r="M1984" s="88"/>
      <c r="N1984" s="88"/>
      <c r="O1984" s="88"/>
      <c r="P1984" s="88"/>
      <c r="Q1984" s="88"/>
      <c r="R1984" s="78">
        <f>MAX(S1984:W1984)</f>
        <v>1</v>
      </c>
      <c r="S1984" s="88"/>
      <c r="T1984" s="88"/>
      <c r="U1984" s="88">
        <v>1</v>
      </c>
      <c r="V1984" s="88"/>
      <c r="W1984" s="88"/>
    </row>
    <row r="1985" spans="2:23" s="0" customFormat="0" ht="15">
      <c r="B1985" s="87" t="s">
        <v>1</v>
      </c>
      <c r="C1985" s="88" t="s">
        <v>5259</v>
      </c>
      <c r="D1985" s="88" t="s">
        <v>4222</v>
      </c>
      <c r="E1985" s="88" t="s">
        <v>61</v>
      </c>
      <c r="F1985" s="88">
        <v>0</v>
      </c>
      <c r="G1985" s="78">
        <f>MAX(H1985,I1985,J1985)</f>
        <v>0</v>
      </c>
      <c r="H1985" s="88"/>
      <c r="I1985" s="88"/>
      <c r="J1985" s="78">
        <f>MAX(K1985:Q1985)</f>
        <v>0</v>
      </c>
      <c r="K1985" s="88"/>
      <c r="L1985" s="88"/>
      <c r="M1985" s="88"/>
      <c r="N1985" s="88"/>
      <c r="O1985" s="88"/>
      <c r="P1985" s="88"/>
      <c r="Q1985" s="88"/>
      <c r="R1985" s="78">
        <f>MAX(S1985:W1985)</f>
        <v>1</v>
      </c>
      <c r="S1985" s="88"/>
      <c r="T1985" s="88"/>
      <c r="U1985" s="88">
        <v>1</v>
      </c>
      <c r="V1985" s="88"/>
      <c r="W1985" s="88"/>
    </row>
    <row r="1986" spans="2:23" s="0" customFormat="0" ht="15">
      <c r="B1986" s="87" t="s">
        <v>1</v>
      </c>
      <c r="C1986" s="88" t="s">
        <v>5259</v>
      </c>
      <c r="D1986" s="88">
        <v>9189714</v>
      </c>
      <c r="E1986" s="88" t="s">
        <v>61</v>
      </c>
      <c r="F1986" s="88">
        <v>0</v>
      </c>
      <c r="G1986" s="78">
        <f>MAX(H1986,I1986,J1986)</f>
        <v>1</v>
      </c>
      <c r="H1986" s="88"/>
      <c r="I1986" s="88"/>
      <c r="J1986" s="78">
        <f>MAX(K1986:Q1986)</f>
        <v>1</v>
      </c>
      <c r="K1986" s="88">
        <v>1</v>
      </c>
      <c r="L1986" s="88"/>
      <c r="M1986" s="88"/>
      <c r="N1986" s="88"/>
      <c r="O1986" s="88"/>
      <c r="P1986" s="88"/>
      <c r="Q1986" s="88"/>
      <c r="R1986" s="78">
        <f>MAX(S1986:W1986)</f>
        <v>0</v>
      </c>
      <c r="S1986" s="88"/>
      <c r="T1986" s="88"/>
      <c r="U1986" s="88"/>
      <c r="V1986" s="88"/>
      <c r="W1986" s="88"/>
    </row>
    <row r="1987" spans="2:23" s="0" customFormat="0" ht="15">
      <c r="B1987" s="87" t="s">
        <v>1</v>
      </c>
      <c r="C1987" s="88" t="s">
        <v>5259</v>
      </c>
      <c r="D1987" s="88" t="s">
        <v>4224</v>
      </c>
      <c r="E1987" s="88" t="s">
        <v>61</v>
      </c>
      <c r="F1987" s="88">
        <v>0</v>
      </c>
      <c r="G1987" s="78">
        <f>MAX(H1987,I1987,J1987)</f>
        <v>0</v>
      </c>
      <c r="H1987" s="88"/>
      <c r="I1987" s="88"/>
      <c r="J1987" s="78">
        <f>MAX(K1987:Q1987)</f>
        <v>0</v>
      </c>
      <c r="K1987" s="88"/>
      <c r="L1987" s="88"/>
      <c r="M1987" s="88"/>
      <c r="N1987" s="88"/>
      <c r="O1987" s="88"/>
      <c r="P1987" s="88"/>
      <c r="Q1987" s="88"/>
      <c r="R1987" s="78">
        <f>MAX(S1987:W1987)</f>
        <v>1</v>
      </c>
      <c r="S1987" s="88"/>
      <c r="T1987" s="88"/>
      <c r="U1987" s="88">
        <v>1</v>
      </c>
      <c r="V1987" s="88"/>
      <c r="W1987" s="88"/>
    </row>
    <row r="1988" spans="2:23" s="0" customFormat="0" ht="15">
      <c r="B1988" s="87" t="s">
        <v>1</v>
      </c>
      <c r="C1988" s="88" t="s">
        <v>5259</v>
      </c>
      <c r="D1988" s="88">
        <v>17056008</v>
      </c>
      <c r="E1988" s="88" t="s">
        <v>61</v>
      </c>
      <c r="F1988" s="88">
        <v>0</v>
      </c>
      <c r="G1988" s="78">
        <f>MAX(H1988,I1988,J1988)</f>
        <v>1</v>
      </c>
      <c r="H1988" s="88"/>
      <c r="I1988" s="88"/>
      <c r="J1988" s="78">
        <f>MAX(K1988:Q1988)</f>
        <v>1</v>
      </c>
      <c r="K1988" s="88">
        <v>1</v>
      </c>
      <c r="L1988" s="88"/>
      <c r="M1988" s="88"/>
      <c r="N1988" s="88"/>
      <c r="O1988" s="88"/>
      <c r="P1988" s="88"/>
      <c r="Q1988" s="88"/>
      <c r="R1988" s="78">
        <f>MAX(S1988:W1988)</f>
        <v>0</v>
      </c>
      <c r="S1988" s="88"/>
      <c r="T1988" s="88"/>
      <c r="U1988" s="88"/>
      <c r="V1988" s="88"/>
      <c r="W1988" s="88"/>
    </row>
    <row r="1989" spans="2:23" s="0" customFormat="0" ht="15">
      <c r="B1989" s="87" t="s">
        <v>1</v>
      </c>
      <c r="C1989" s="88" t="s">
        <v>5259</v>
      </c>
      <c r="D1989" s="88" t="s">
        <v>1493</v>
      </c>
      <c r="E1989" s="88" t="s">
        <v>61</v>
      </c>
      <c r="F1989" s="88">
        <v>0</v>
      </c>
      <c r="G1989" s="78">
        <f>MAX(H1989,I1989,J1989)</f>
        <v>1</v>
      </c>
      <c r="H1989" s="88"/>
      <c r="I1989" s="88"/>
      <c r="J1989" s="78">
        <f>MAX(K1989:Q1989)</f>
        <v>1</v>
      </c>
      <c r="K1989" s="88">
        <v>1</v>
      </c>
      <c r="L1989" s="88"/>
      <c r="M1989" s="88"/>
      <c r="N1989" s="88"/>
      <c r="O1989" s="88"/>
      <c r="P1989" s="88"/>
      <c r="Q1989" s="88"/>
      <c r="R1989" s="78">
        <f>MAX(S1989:W1989)</f>
        <v>0</v>
      </c>
      <c r="S1989" s="88"/>
      <c r="T1989" s="88"/>
      <c r="U1989" s="88"/>
      <c r="V1989" s="88"/>
      <c r="W1989" s="88"/>
    </row>
    <row r="1990" spans="2:23" s="0" customFormat="0" ht="15">
      <c r="B1990" s="87" t="s">
        <v>1</v>
      </c>
      <c r="C1990" s="88" t="s">
        <v>5259</v>
      </c>
      <c r="D1990" s="88">
        <v>5036274</v>
      </c>
      <c r="E1990" s="88" t="s">
        <v>61</v>
      </c>
      <c r="F1990" s="88">
        <v>0</v>
      </c>
      <c r="G1990" s="78">
        <f>MAX(H1990,I1990,J1990)</f>
        <v>0</v>
      </c>
      <c r="H1990" s="88"/>
      <c r="I1990" s="88"/>
      <c r="J1990" s="78">
        <f>MAX(K1990:Q1990)</f>
        <v>0</v>
      </c>
      <c r="K1990" s="88"/>
      <c r="L1990" s="88"/>
      <c r="M1990" s="88"/>
      <c r="N1990" s="88"/>
      <c r="O1990" s="88"/>
      <c r="P1990" s="88"/>
      <c r="Q1990" s="88"/>
      <c r="R1990" s="78">
        <f>MAX(S1990:W1990)</f>
        <v>1</v>
      </c>
      <c r="S1990" s="88"/>
      <c r="T1990" s="88"/>
      <c r="U1990" s="88">
        <v>1</v>
      </c>
      <c r="V1990" s="88"/>
      <c r="W1990" s="88"/>
    </row>
    <row r="1991" spans="2:23" s="0" customFormat="0" ht="15">
      <c r="B1991" s="87" t="s">
        <v>1</v>
      </c>
      <c r="C1991" s="88" t="s">
        <v>5259</v>
      </c>
      <c r="D1991" s="88" t="s">
        <v>3692</v>
      </c>
      <c r="E1991" s="88" t="s">
        <v>61</v>
      </c>
      <c r="F1991" s="88">
        <v>0</v>
      </c>
      <c r="G1991" s="78">
        <f>MAX(H1991,I1991,J1991)</f>
        <v>0</v>
      </c>
      <c r="H1991" s="88"/>
      <c r="I1991" s="88"/>
      <c r="J1991" s="78">
        <f>MAX(K1991:Q1991)</f>
        <v>0</v>
      </c>
      <c r="K1991" s="88"/>
      <c r="L1991" s="88"/>
      <c r="M1991" s="88"/>
      <c r="N1991" s="88"/>
      <c r="O1991" s="88"/>
      <c r="P1991" s="88"/>
      <c r="Q1991" s="88"/>
      <c r="R1991" s="78">
        <f>MAX(S1991:W1991)</f>
        <v>1</v>
      </c>
      <c r="S1991" s="88"/>
      <c r="T1991" s="88"/>
      <c r="U1991" s="88">
        <v>1</v>
      </c>
      <c r="V1991" s="88"/>
      <c r="W1991" s="88"/>
    </row>
    <row r="1992" spans="2:23" s="0" customFormat="0" ht="15">
      <c r="B1992" s="87" t="s">
        <v>1</v>
      </c>
      <c r="C1992" s="88" t="s">
        <v>5259</v>
      </c>
      <c r="D1992" s="88" t="s">
        <v>4227</v>
      </c>
      <c r="E1992" s="88" t="s">
        <v>61</v>
      </c>
      <c r="F1992" s="88">
        <v>0</v>
      </c>
      <c r="G1992" s="78">
        <f>MAX(H1992,I1992,J1992)</f>
        <v>0</v>
      </c>
      <c r="H1992" s="88"/>
      <c r="I1992" s="88"/>
      <c r="J1992" s="78">
        <f>MAX(K1992:Q1992)</f>
        <v>0</v>
      </c>
      <c r="K1992" s="88"/>
      <c r="L1992" s="88"/>
      <c r="M1992" s="88"/>
      <c r="N1992" s="88"/>
      <c r="O1992" s="88"/>
      <c r="P1992" s="88"/>
      <c r="Q1992" s="88"/>
      <c r="R1992" s="78">
        <f>MAX(S1992:W1992)</f>
        <v>1</v>
      </c>
      <c r="S1992" s="88"/>
      <c r="T1992" s="88"/>
      <c r="U1992" s="88">
        <v>1</v>
      </c>
      <c r="V1992" s="88"/>
      <c r="W1992" s="88"/>
    </row>
    <row r="1993" spans="2:23" s="0" customFormat="0" ht="15">
      <c r="B1993" s="87" t="s">
        <v>1</v>
      </c>
      <c r="C1993" s="88" t="s">
        <v>5259</v>
      </c>
      <c r="D1993" s="88">
        <v>13093830</v>
      </c>
      <c r="E1993" s="88" t="s">
        <v>61</v>
      </c>
      <c r="F1993" s="88">
        <v>0</v>
      </c>
      <c r="G1993" s="78">
        <f>MAX(H1993,I1993,J1993)</f>
        <v>1</v>
      </c>
      <c r="H1993" s="88"/>
      <c r="I1993" s="88"/>
      <c r="J1993" s="78">
        <f>MAX(K1993:Q1993)</f>
        <v>1</v>
      </c>
      <c r="K1993" s="88">
        <v>1</v>
      </c>
      <c r="L1993" s="88"/>
      <c r="M1993" s="88"/>
      <c r="N1993" s="88"/>
      <c r="O1993" s="88"/>
      <c r="P1993" s="88"/>
      <c r="Q1993" s="88"/>
      <c r="R1993" s="78">
        <f>MAX(S1993:W1993)</f>
        <v>0</v>
      </c>
      <c r="S1993" s="88"/>
      <c r="T1993" s="88"/>
      <c r="U1993" s="88"/>
      <c r="V1993" s="88"/>
      <c r="W1993" s="88"/>
    </row>
    <row r="1994" spans="2:23" s="0" customFormat="0" ht="15">
      <c r="B1994" s="87" t="s">
        <v>1</v>
      </c>
      <c r="C1994" s="88" t="s">
        <v>5259</v>
      </c>
      <c r="D1994" s="88" t="s">
        <v>3147</v>
      </c>
      <c r="E1994" s="88" t="s">
        <v>61</v>
      </c>
      <c r="F1994" s="88">
        <v>0</v>
      </c>
      <c r="G1994" s="78">
        <f>MAX(H1994,I1994,J1994)</f>
        <v>1</v>
      </c>
      <c r="H1994" s="88"/>
      <c r="I1994" s="88"/>
      <c r="J1994" s="78">
        <f>MAX(K1994:Q1994)</f>
        <v>1</v>
      </c>
      <c r="K1994" s="88"/>
      <c r="L1994" s="88"/>
      <c r="M1994" s="88"/>
      <c r="N1994" s="88">
        <v>1</v>
      </c>
      <c r="O1994" s="88"/>
      <c r="P1994" s="88"/>
      <c r="Q1994" s="88"/>
      <c r="R1994" s="78">
        <f>MAX(S1994:W1994)</f>
        <v>0</v>
      </c>
      <c r="S1994" s="88"/>
      <c r="T1994" s="88"/>
      <c r="U1994" s="88"/>
      <c r="V1994" s="88"/>
      <c r="W1994" s="88"/>
    </row>
    <row r="1995" spans="2:23" s="0" customFormat="0" ht="15">
      <c r="B1995" s="87" t="s">
        <v>1</v>
      </c>
      <c r="C1995" s="88" t="s">
        <v>5259</v>
      </c>
      <c r="D1995" s="88" t="s">
        <v>1496</v>
      </c>
      <c r="E1995" s="88" t="s">
        <v>61</v>
      </c>
      <c r="F1995" s="88">
        <v>0</v>
      </c>
      <c r="G1995" s="78">
        <f>MAX(H1995,I1995,J1995)</f>
        <v>1</v>
      </c>
      <c r="H1995" s="88"/>
      <c r="I1995" s="88"/>
      <c r="J1995" s="78">
        <f>MAX(K1995:Q1995)</f>
        <v>1</v>
      </c>
      <c r="K1995" s="88">
        <v>1</v>
      </c>
      <c r="L1995" s="88"/>
      <c r="M1995" s="88"/>
      <c r="N1995" s="88"/>
      <c r="O1995" s="88"/>
      <c r="P1995" s="88"/>
      <c r="Q1995" s="88"/>
      <c r="R1995" s="78">
        <f>MAX(S1995:W1995)</f>
        <v>0</v>
      </c>
      <c r="S1995" s="88"/>
      <c r="T1995" s="88"/>
      <c r="U1995" s="88"/>
      <c r="V1995" s="88"/>
      <c r="W1995" s="88"/>
    </row>
    <row r="1996" spans="2:23" s="0" customFormat="0" ht="15">
      <c r="B1996" s="87" t="s">
        <v>1</v>
      </c>
      <c r="C1996" s="88" t="s">
        <v>5259</v>
      </c>
      <c r="D1996" s="88" t="s">
        <v>4229</v>
      </c>
      <c r="E1996" s="88" t="s">
        <v>61</v>
      </c>
      <c r="F1996" s="88">
        <v>0</v>
      </c>
      <c r="G1996" s="78">
        <f>MAX(H1996,I1996,J1996)</f>
        <v>0</v>
      </c>
      <c r="H1996" s="88"/>
      <c r="I1996" s="88"/>
      <c r="J1996" s="78">
        <f>MAX(K1996:Q1996)</f>
        <v>0</v>
      </c>
      <c r="K1996" s="88"/>
      <c r="L1996" s="88"/>
      <c r="M1996" s="88"/>
      <c r="N1996" s="88"/>
      <c r="O1996" s="88"/>
      <c r="P1996" s="88"/>
      <c r="Q1996" s="88"/>
      <c r="R1996" s="78">
        <f>MAX(S1996:W1996)</f>
        <v>1</v>
      </c>
      <c r="S1996" s="88"/>
      <c r="T1996" s="88"/>
      <c r="U1996" s="88">
        <v>1</v>
      </c>
      <c r="V1996" s="88"/>
      <c r="W1996" s="88"/>
    </row>
    <row r="1997" spans="2:23" s="0" customFormat="0" ht="15">
      <c r="B1997" s="87" t="s">
        <v>1</v>
      </c>
      <c r="C1997" s="88" t="s">
        <v>5259</v>
      </c>
      <c r="D1997" s="88">
        <v>17087433</v>
      </c>
      <c r="E1997" s="88" t="s">
        <v>61</v>
      </c>
      <c r="F1997" s="88">
        <v>0</v>
      </c>
      <c r="G1997" s="78">
        <f>MAX(H1997,I1997,J1997)</f>
        <v>1</v>
      </c>
      <c r="H1997" s="88"/>
      <c r="I1997" s="88"/>
      <c r="J1997" s="78">
        <f>MAX(K1997:Q1997)</f>
        <v>1</v>
      </c>
      <c r="K1997" s="88">
        <v>1</v>
      </c>
      <c r="L1997" s="88"/>
      <c r="M1997" s="88"/>
      <c r="N1997" s="88"/>
      <c r="O1997" s="88"/>
      <c r="P1997" s="88"/>
      <c r="Q1997" s="88"/>
      <c r="R1997" s="78">
        <f>MAX(S1997:W1997)</f>
        <v>0</v>
      </c>
      <c r="S1997" s="88"/>
      <c r="T1997" s="88"/>
      <c r="U1997" s="88"/>
      <c r="V1997" s="88"/>
      <c r="W1997" s="88"/>
    </row>
    <row r="1998" spans="2:23" s="0" customFormat="0" ht="15">
      <c r="B1998" s="87" t="s">
        <v>1</v>
      </c>
      <c r="C1998" s="88" t="s">
        <v>5259</v>
      </c>
      <c r="D1998" s="88">
        <v>21238745</v>
      </c>
      <c r="E1998" s="88" t="s">
        <v>61</v>
      </c>
      <c r="F1998" s="88">
        <v>0</v>
      </c>
      <c r="G1998" s="78">
        <f>MAX(H1998,I1998,J1998)</f>
        <v>1</v>
      </c>
      <c r="H1998" s="88"/>
      <c r="I1998" s="88"/>
      <c r="J1998" s="78">
        <f>MAX(K1998:Q1998)</f>
        <v>1</v>
      </c>
      <c r="K1998" s="88">
        <v>1</v>
      </c>
      <c r="L1998" s="88"/>
      <c r="M1998" s="88"/>
      <c r="N1998" s="88"/>
      <c r="O1998" s="88"/>
      <c r="P1998" s="88"/>
      <c r="Q1998" s="88"/>
      <c r="R1998" s="78">
        <f>MAX(S1998:W1998)</f>
        <v>0</v>
      </c>
      <c r="S1998" s="88"/>
      <c r="T1998" s="88"/>
      <c r="U1998" s="88"/>
      <c r="V1998" s="88"/>
      <c r="W1998" s="88"/>
    </row>
    <row r="1999" spans="2:23" s="0" customFormat="0" ht="15">
      <c r="B1999" s="87" t="s">
        <v>1</v>
      </c>
      <c r="C1999" s="88" t="s">
        <v>5259</v>
      </c>
      <c r="D1999" s="88" t="s">
        <v>4231</v>
      </c>
      <c r="E1999" s="88" t="s">
        <v>61</v>
      </c>
      <c r="F1999" s="88">
        <v>0</v>
      </c>
      <c r="G1999" s="78">
        <f>MAX(H1999,I1999,J1999)</f>
        <v>0</v>
      </c>
      <c r="H1999" s="88"/>
      <c r="I1999" s="88"/>
      <c r="J1999" s="78">
        <f>MAX(K1999:Q1999)</f>
        <v>0</v>
      </c>
      <c r="K1999" s="88"/>
      <c r="L1999" s="88"/>
      <c r="M1999" s="88"/>
      <c r="N1999" s="88"/>
      <c r="O1999" s="88"/>
      <c r="P1999" s="88"/>
      <c r="Q1999" s="88"/>
      <c r="R1999" s="78">
        <f>MAX(S1999:W1999)</f>
        <v>1</v>
      </c>
      <c r="S1999" s="88"/>
      <c r="T1999" s="88"/>
      <c r="U1999" s="88">
        <v>1</v>
      </c>
      <c r="V1999" s="88"/>
      <c r="W1999" s="88"/>
    </row>
    <row r="2000" spans="2:23" s="0" customFormat="0" ht="15">
      <c r="B2000" s="87" t="s">
        <v>1</v>
      </c>
      <c r="C2000" s="88" t="s">
        <v>5259</v>
      </c>
      <c r="D2000" s="88" t="s">
        <v>1500</v>
      </c>
      <c r="E2000" s="88" t="s">
        <v>61</v>
      </c>
      <c r="F2000" s="88">
        <v>0</v>
      </c>
      <c r="G2000" s="78">
        <f>MAX(H2000,I2000,J2000)</f>
        <v>1</v>
      </c>
      <c r="H2000" s="88"/>
      <c r="I2000" s="88"/>
      <c r="J2000" s="78">
        <f>MAX(K2000:Q2000)</f>
        <v>1</v>
      </c>
      <c r="K2000" s="88">
        <v>1</v>
      </c>
      <c r="L2000" s="88"/>
      <c r="M2000" s="88"/>
      <c r="N2000" s="88"/>
      <c r="O2000" s="88"/>
      <c r="P2000" s="88"/>
      <c r="Q2000" s="88"/>
      <c r="R2000" s="78">
        <f>MAX(S2000:W2000)</f>
        <v>0</v>
      </c>
      <c r="S2000" s="88"/>
      <c r="T2000" s="88"/>
      <c r="U2000" s="88"/>
      <c r="V2000" s="88"/>
      <c r="W2000" s="88"/>
    </row>
    <row r="2001" spans="2:23" s="0" customFormat="0" ht="15">
      <c r="B2001" s="87" t="s">
        <v>1</v>
      </c>
      <c r="C2001" s="88" t="s">
        <v>5259</v>
      </c>
      <c r="D2001" s="88">
        <v>21005401</v>
      </c>
      <c r="E2001" s="88" t="s">
        <v>61</v>
      </c>
      <c r="F2001" s="88">
        <v>0</v>
      </c>
      <c r="G2001" s="78">
        <f>MAX(H2001,I2001,J2001)</f>
        <v>1</v>
      </c>
      <c r="H2001" s="88"/>
      <c r="I2001" s="88"/>
      <c r="J2001" s="78">
        <f>MAX(K2001:Q2001)</f>
        <v>1</v>
      </c>
      <c r="K2001" s="88">
        <v>1</v>
      </c>
      <c r="L2001" s="88"/>
      <c r="M2001" s="88"/>
      <c r="N2001" s="88"/>
      <c r="O2001" s="88"/>
      <c r="P2001" s="88"/>
      <c r="Q2001" s="88"/>
      <c r="R2001" s="78">
        <f>MAX(S2001:W2001)</f>
        <v>0</v>
      </c>
      <c r="S2001" s="88"/>
      <c r="T2001" s="88"/>
      <c r="U2001" s="88"/>
      <c r="V2001" s="88"/>
      <c r="W2001" s="88"/>
    </row>
    <row r="2002" spans="2:23" s="0" customFormat="0" ht="15">
      <c r="B2002" s="87" t="s">
        <v>1</v>
      </c>
      <c r="C2002" s="88" t="s">
        <v>5259</v>
      </c>
      <c r="D2002" s="88">
        <v>15462936</v>
      </c>
      <c r="E2002" s="88" t="s">
        <v>61</v>
      </c>
      <c r="F2002" s="88">
        <v>0</v>
      </c>
      <c r="G2002" s="78">
        <f>MAX(H2002,I2002,J2002)</f>
        <v>1</v>
      </c>
      <c r="H2002" s="88"/>
      <c r="I2002" s="88"/>
      <c r="J2002" s="78">
        <f>MAX(K2002:Q2002)</f>
        <v>1</v>
      </c>
      <c r="K2002" s="88">
        <v>1</v>
      </c>
      <c r="L2002" s="88"/>
      <c r="M2002" s="88"/>
      <c r="N2002" s="88"/>
      <c r="O2002" s="88"/>
      <c r="P2002" s="88"/>
      <c r="Q2002" s="88"/>
      <c r="R2002" s="78">
        <f>MAX(S2002:W2002)</f>
        <v>0</v>
      </c>
      <c r="S2002" s="88"/>
      <c r="T2002" s="88"/>
      <c r="U2002" s="88"/>
      <c r="V2002" s="88"/>
      <c r="W2002" s="88"/>
    </row>
    <row r="2003" spans="2:23" s="0" customFormat="0" ht="15">
      <c r="B2003" s="87" t="s">
        <v>1</v>
      </c>
      <c r="C2003" s="88" t="s">
        <v>5259</v>
      </c>
      <c r="D2003" s="88">
        <v>1921758</v>
      </c>
      <c r="E2003" s="88" t="s">
        <v>61</v>
      </c>
      <c r="F2003" s="88">
        <v>0</v>
      </c>
      <c r="G2003" s="78">
        <f>MAX(H2003,I2003,J2003)</f>
        <v>0</v>
      </c>
      <c r="H2003" s="88"/>
      <c r="I2003" s="88"/>
      <c r="J2003" s="78">
        <f>MAX(K2003:Q2003)</f>
        <v>0</v>
      </c>
      <c r="K2003" s="88"/>
      <c r="L2003" s="88"/>
      <c r="M2003" s="88"/>
      <c r="N2003" s="88"/>
      <c r="O2003" s="88"/>
      <c r="P2003" s="88"/>
      <c r="Q2003" s="88"/>
      <c r="R2003" s="78">
        <f>MAX(S2003:W2003)</f>
        <v>1</v>
      </c>
      <c r="S2003" s="88"/>
      <c r="T2003" s="88"/>
      <c r="U2003" s="88">
        <v>1</v>
      </c>
      <c r="V2003" s="88"/>
      <c r="W2003" s="88"/>
    </row>
    <row r="2004" spans="2:23" s="0" customFormat="0" ht="15">
      <c r="B2004" s="87" t="s">
        <v>1</v>
      </c>
      <c r="C2004" s="88" t="s">
        <v>5259</v>
      </c>
      <c r="D2004" s="88" t="s">
        <v>3787</v>
      </c>
      <c r="E2004" s="88" t="s">
        <v>61</v>
      </c>
      <c r="F2004" s="88">
        <v>0</v>
      </c>
      <c r="G2004" s="78">
        <f>MAX(H2004,I2004,J2004)</f>
        <v>0</v>
      </c>
      <c r="H2004" s="88"/>
      <c r="I2004" s="88"/>
      <c r="J2004" s="78">
        <f>MAX(K2004:Q2004)</f>
        <v>0</v>
      </c>
      <c r="K2004" s="88"/>
      <c r="L2004" s="88"/>
      <c r="M2004" s="88"/>
      <c r="N2004" s="88"/>
      <c r="O2004" s="88"/>
      <c r="P2004" s="88"/>
      <c r="Q2004" s="88"/>
      <c r="R2004" s="78">
        <f>MAX(S2004:W2004)</f>
        <v>1</v>
      </c>
      <c r="S2004" s="88"/>
      <c r="T2004" s="88"/>
      <c r="U2004" s="88">
        <v>1</v>
      </c>
      <c r="V2004" s="88"/>
      <c r="W2004" s="88"/>
    </row>
    <row r="2005" spans="2:23" s="0" customFormat="0" ht="15">
      <c r="B2005" s="87" t="s">
        <v>1</v>
      </c>
      <c r="C2005" s="88" t="s">
        <v>5259</v>
      </c>
      <c r="D2005" s="88" t="s">
        <v>1504</v>
      </c>
      <c r="E2005" s="88" t="s">
        <v>61</v>
      </c>
      <c r="F2005" s="88">
        <v>0</v>
      </c>
      <c r="G2005" s="78">
        <f>MAX(H2005,I2005,J2005)</f>
        <v>1</v>
      </c>
      <c r="H2005" s="88"/>
      <c r="I2005" s="88"/>
      <c r="J2005" s="78">
        <f>MAX(K2005:Q2005)</f>
        <v>1</v>
      </c>
      <c r="K2005" s="88">
        <v>1</v>
      </c>
      <c r="L2005" s="88"/>
      <c r="M2005" s="88"/>
      <c r="N2005" s="88"/>
      <c r="O2005" s="88"/>
      <c r="P2005" s="88"/>
      <c r="Q2005" s="88"/>
      <c r="R2005" s="78">
        <f>MAX(S2005:W2005)</f>
        <v>0</v>
      </c>
      <c r="S2005" s="88"/>
      <c r="T2005" s="88"/>
      <c r="U2005" s="88"/>
      <c r="V2005" s="88"/>
      <c r="W2005" s="88"/>
    </row>
    <row r="2006" spans="2:23" s="0" customFormat="0" ht="15">
      <c r="B2006" s="87" t="s">
        <v>1</v>
      </c>
      <c r="C2006" s="88" t="s">
        <v>5259</v>
      </c>
      <c r="D2006" s="88" t="s">
        <v>4234</v>
      </c>
      <c r="E2006" s="88" t="s">
        <v>61</v>
      </c>
      <c r="F2006" s="88">
        <v>0</v>
      </c>
      <c r="G2006" s="78">
        <f>MAX(H2006,I2006,J2006)</f>
        <v>0</v>
      </c>
      <c r="H2006" s="88"/>
      <c r="I2006" s="88"/>
      <c r="J2006" s="78">
        <f>MAX(K2006:Q2006)</f>
        <v>0</v>
      </c>
      <c r="K2006" s="88"/>
      <c r="L2006" s="88"/>
      <c r="M2006" s="88"/>
      <c r="N2006" s="88"/>
      <c r="O2006" s="88"/>
      <c r="P2006" s="88"/>
      <c r="Q2006" s="88"/>
      <c r="R2006" s="78">
        <f>MAX(S2006:W2006)</f>
        <v>1</v>
      </c>
      <c r="S2006" s="88"/>
      <c r="T2006" s="88"/>
      <c r="U2006" s="88">
        <v>1</v>
      </c>
      <c r="V2006" s="88"/>
      <c r="W2006" s="88"/>
    </row>
    <row r="2007" spans="2:23" s="0" customFormat="0" ht="15">
      <c r="B2007" s="87" t="s">
        <v>1</v>
      </c>
      <c r="C2007" s="88" t="s">
        <v>5259</v>
      </c>
      <c r="D2007" s="88">
        <v>4337950</v>
      </c>
      <c r="E2007" s="88" t="s">
        <v>61</v>
      </c>
      <c r="F2007" s="88">
        <v>0</v>
      </c>
      <c r="G2007" s="78">
        <f>MAX(H2007,I2007,J2007)</f>
        <v>1</v>
      </c>
      <c r="H2007" s="88"/>
      <c r="I2007" s="88"/>
      <c r="J2007" s="78">
        <f>MAX(K2007:Q2007)</f>
        <v>1</v>
      </c>
      <c r="K2007" s="88">
        <v>1</v>
      </c>
      <c r="L2007" s="88"/>
      <c r="M2007" s="88"/>
      <c r="N2007" s="88"/>
      <c r="O2007" s="88"/>
      <c r="P2007" s="88"/>
      <c r="Q2007" s="88"/>
      <c r="R2007" s="78">
        <f>MAX(S2007:W2007)</f>
        <v>0</v>
      </c>
      <c r="S2007" s="88"/>
      <c r="T2007" s="88"/>
      <c r="U2007" s="88"/>
      <c r="V2007" s="88"/>
      <c r="W2007" s="88"/>
    </row>
    <row r="2008" spans="2:23" s="0" customFormat="0" ht="15">
      <c r="B2008" s="87" t="s">
        <v>1</v>
      </c>
      <c r="C2008" s="88" t="s">
        <v>5259</v>
      </c>
      <c r="D2008" s="88">
        <v>15223787</v>
      </c>
      <c r="E2008" s="88" t="s">
        <v>61</v>
      </c>
      <c r="F2008" s="88">
        <v>0</v>
      </c>
      <c r="G2008" s="78">
        <f>MAX(H2008,I2008,J2008)</f>
        <v>1</v>
      </c>
      <c r="H2008" s="88"/>
      <c r="I2008" s="88"/>
      <c r="J2008" s="78">
        <f>MAX(K2008:Q2008)</f>
        <v>1</v>
      </c>
      <c r="K2008" s="88">
        <v>1</v>
      </c>
      <c r="L2008" s="88"/>
      <c r="M2008" s="88"/>
      <c r="N2008" s="88"/>
      <c r="O2008" s="88"/>
      <c r="P2008" s="88"/>
      <c r="Q2008" s="88"/>
      <c r="R2008" s="78">
        <f>MAX(S2008:W2008)</f>
        <v>0</v>
      </c>
      <c r="S2008" s="88"/>
      <c r="T2008" s="88"/>
      <c r="U2008" s="88"/>
      <c r="V2008" s="88"/>
      <c r="W2008" s="88"/>
    </row>
    <row r="2009" spans="2:23" s="0" customFormat="0" ht="15">
      <c r="B2009" s="87" t="s">
        <v>1</v>
      </c>
      <c r="C2009" s="88" t="s">
        <v>5259</v>
      </c>
      <c r="D2009" s="88" t="s">
        <v>1508</v>
      </c>
      <c r="E2009" s="88" t="s">
        <v>61</v>
      </c>
      <c r="F2009" s="88">
        <v>0</v>
      </c>
      <c r="G2009" s="78">
        <f>MAX(H2009,I2009,J2009)</f>
        <v>1</v>
      </c>
      <c r="H2009" s="88"/>
      <c r="I2009" s="88"/>
      <c r="J2009" s="78">
        <f>MAX(K2009:Q2009)</f>
        <v>1</v>
      </c>
      <c r="K2009" s="88">
        <v>1</v>
      </c>
      <c r="L2009" s="88"/>
      <c r="M2009" s="88"/>
      <c r="N2009" s="88"/>
      <c r="O2009" s="88"/>
      <c r="P2009" s="88"/>
      <c r="Q2009" s="88"/>
      <c r="R2009" s="78">
        <f>MAX(S2009:W2009)</f>
        <v>0</v>
      </c>
      <c r="S2009" s="88"/>
      <c r="T2009" s="88"/>
      <c r="U2009" s="88"/>
      <c r="V2009" s="88"/>
      <c r="W2009" s="88"/>
    </row>
    <row r="2010" spans="2:23" s="0" customFormat="0" ht="15">
      <c r="B2010" s="87" t="s">
        <v>1</v>
      </c>
      <c r="C2010" s="88" t="s">
        <v>5259</v>
      </c>
      <c r="D2010" s="88" t="s">
        <v>3916</v>
      </c>
      <c r="E2010" s="88" t="s">
        <v>61</v>
      </c>
      <c r="F2010" s="88">
        <v>0</v>
      </c>
      <c r="G2010" s="78">
        <f>MAX(H2010,I2010,J2010)</f>
        <v>0</v>
      </c>
      <c r="H2010" s="88"/>
      <c r="I2010" s="88"/>
      <c r="J2010" s="78">
        <f>MAX(K2010:Q2010)</f>
        <v>0</v>
      </c>
      <c r="K2010" s="88"/>
      <c r="L2010" s="88"/>
      <c r="M2010" s="88"/>
      <c r="N2010" s="88"/>
      <c r="O2010" s="88"/>
      <c r="P2010" s="88"/>
      <c r="Q2010" s="88"/>
      <c r="R2010" s="78">
        <f>MAX(S2010:W2010)</f>
        <v>1</v>
      </c>
      <c r="S2010" s="88"/>
      <c r="T2010" s="88"/>
      <c r="U2010" s="88">
        <v>1</v>
      </c>
      <c r="V2010" s="88"/>
      <c r="W2010" s="88"/>
    </row>
    <row r="2011" spans="2:23" s="0" customFormat="0" ht="15">
      <c r="B2011" s="87" t="s">
        <v>1</v>
      </c>
      <c r="C2011" s="88" t="s">
        <v>5259</v>
      </c>
      <c r="D2011" s="88">
        <v>7499016</v>
      </c>
      <c r="E2011" s="88" t="s">
        <v>61</v>
      </c>
      <c r="F2011" s="88">
        <v>0</v>
      </c>
      <c r="G2011" s="78">
        <f>MAX(H2011,I2011,J2011)</f>
        <v>1</v>
      </c>
      <c r="H2011" s="88"/>
      <c r="I2011" s="88"/>
      <c r="J2011" s="78">
        <f>MAX(K2011:Q2011)</f>
        <v>1</v>
      </c>
      <c r="K2011" s="88">
        <v>1</v>
      </c>
      <c r="L2011" s="88"/>
      <c r="M2011" s="88"/>
      <c r="N2011" s="88"/>
      <c r="O2011" s="88"/>
      <c r="P2011" s="88"/>
      <c r="Q2011" s="88"/>
      <c r="R2011" s="78">
        <f>MAX(S2011:W2011)</f>
        <v>0</v>
      </c>
      <c r="S2011" s="88"/>
      <c r="T2011" s="88"/>
      <c r="U2011" s="88"/>
      <c r="V2011" s="88"/>
      <c r="W2011" s="88"/>
    </row>
    <row r="2012" spans="2:23" s="0" customFormat="0" ht="15">
      <c r="B2012" s="87" t="s">
        <v>1</v>
      </c>
      <c r="C2012" s="88" t="s">
        <v>5259</v>
      </c>
      <c r="D2012" s="88" t="s">
        <v>1511</v>
      </c>
      <c r="E2012" s="88" t="s">
        <v>61</v>
      </c>
      <c r="F2012" s="88">
        <v>0</v>
      </c>
      <c r="G2012" s="78">
        <f>MAX(H2012,I2012,J2012)</f>
        <v>1</v>
      </c>
      <c r="H2012" s="88"/>
      <c r="I2012" s="88"/>
      <c r="J2012" s="78">
        <f>MAX(K2012:Q2012)</f>
        <v>1</v>
      </c>
      <c r="K2012" s="88">
        <v>1</v>
      </c>
      <c r="L2012" s="88"/>
      <c r="M2012" s="88"/>
      <c r="N2012" s="88"/>
      <c r="O2012" s="88"/>
      <c r="P2012" s="88"/>
      <c r="Q2012" s="88"/>
      <c r="R2012" s="78">
        <f>MAX(S2012:W2012)</f>
        <v>0</v>
      </c>
      <c r="S2012" s="88"/>
      <c r="T2012" s="88"/>
      <c r="U2012" s="88"/>
      <c r="V2012" s="88"/>
      <c r="W2012" s="88"/>
    </row>
    <row r="2013" spans="2:23" s="0" customFormat="0" ht="15">
      <c r="B2013" s="87" t="s">
        <v>1</v>
      </c>
      <c r="C2013" s="88" t="s">
        <v>5259</v>
      </c>
      <c r="D2013" s="88">
        <v>22289604</v>
      </c>
      <c r="E2013" s="88" t="s">
        <v>61</v>
      </c>
      <c r="F2013" s="88">
        <v>0</v>
      </c>
      <c r="G2013" s="78">
        <f>MAX(H2013,I2013,J2013)</f>
        <v>1</v>
      </c>
      <c r="H2013" s="88"/>
      <c r="I2013" s="88"/>
      <c r="J2013" s="78">
        <f>MAX(K2013:Q2013)</f>
        <v>1</v>
      </c>
      <c r="K2013" s="88">
        <v>1</v>
      </c>
      <c r="L2013" s="88"/>
      <c r="M2013" s="88"/>
      <c r="N2013" s="88"/>
      <c r="O2013" s="88"/>
      <c r="P2013" s="88"/>
      <c r="Q2013" s="88"/>
      <c r="R2013" s="78">
        <f>MAX(S2013:W2013)</f>
        <v>0</v>
      </c>
      <c r="S2013" s="88"/>
      <c r="T2013" s="88"/>
      <c r="U2013" s="88"/>
      <c r="V2013" s="88"/>
      <c r="W2013" s="88"/>
    </row>
    <row r="2014" spans="2:23" s="0" customFormat="0" ht="15">
      <c r="B2014" s="87" t="s">
        <v>1</v>
      </c>
      <c r="C2014" s="88" t="s">
        <v>5259</v>
      </c>
      <c r="D2014" s="88" t="s">
        <v>4236</v>
      </c>
      <c r="E2014" s="88" t="s">
        <v>61</v>
      </c>
      <c r="F2014" s="88">
        <v>0</v>
      </c>
      <c r="G2014" s="78">
        <f>MAX(H2014,I2014,J2014)</f>
        <v>0</v>
      </c>
      <c r="H2014" s="88"/>
      <c r="I2014" s="88"/>
      <c r="J2014" s="78">
        <f>MAX(K2014:Q2014)</f>
        <v>0</v>
      </c>
      <c r="K2014" s="88"/>
      <c r="L2014" s="88"/>
      <c r="M2014" s="88"/>
      <c r="N2014" s="88"/>
      <c r="O2014" s="88"/>
      <c r="P2014" s="88"/>
      <c r="Q2014" s="88"/>
      <c r="R2014" s="78">
        <f>MAX(S2014:W2014)</f>
        <v>1</v>
      </c>
      <c r="S2014" s="88"/>
      <c r="T2014" s="88"/>
      <c r="U2014" s="88">
        <v>1</v>
      </c>
      <c r="V2014" s="88"/>
      <c r="W2014" s="88"/>
    </row>
    <row r="2015" spans="2:23" s="0" customFormat="0" ht="15">
      <c r="B2015" s="87" t="s">
        <v>1</v>
      </c>
      <c r="C2015" s="88" t="s">
        <v>5259</v>
      </c>
      <c r="D2015" s="88" t="s">
        <v>4238</v>
      </c>
      <c r="E2015" s="88" t="s">
        <v>61</v>
      </c>
      <c r="F2015" s="88">
        <v>0</v>
      </c>
      <c r="G2015" s="78">
        <f>MAX(H2015,I2015,J2015)</f>
        <v>0</v>
      </c>
      <c r="H2015" s="88"/>
      <c r="I2015" s="88"/>
      <c r="J2015" s="78">
        <f>MAX(K2015:Q2015)</f>
        <v>0</v>
      </c>
      <c r="K2015" s="88"/>
      <c r="L2015" s="88"/>
      <c r="M2015" s="88"/>
      <c r="N2015" s="88"/>
      <c r="O2015" s="88"/>
      <c r="P2015" s="88"/>
      <c r="Q2015" s="88"/>
      <c r="R2015" s="78">
        <f>MAX(S2015:W2015)</f>
        <v>1</v>
      </c>
      <c r="S2015" s="88"/>
      <c r="T2015" s="88"/>
      <c r="U2015" s="88">
        <v>1</v>
      </c>
      <c r="V2015" s="88"/>
      <c r="W2015" s="88"/>
    </row>
    <row r="2016" spans="2:23" s="0" customFormat="0" ht="15">
      <c r="B2016" s="87" t="s">
        <v>1</v>
      </c>
      <c r="C2016" s="88" t="s">
        <v>5259</v>
      </c>
      <c r="D2016" s="88" t="s">
        <v>4240</v>
      </c>
      <c r="E2016" s="88" t="s">
        <v>61</v>
      </c>
      <c r="F2016" s="88">
        <v>0</v>
      </c>
      <c r="G2016" s="78">
        <f>MAX(H2016,I2016,J2016)</f>
        <v>0</v>
      </c>
      <c r="H2016" s="88"/>
      <c r="I2016" s="88"/>
      <c r="J2016" s="78">
        <f>MAX(K2016:Q2016)</f>
        <v>0</v>
      </c>
      <c r="K2016" s="88"/>
      <c r="L2016" s="88"/>
      <c r="M2016" s="88"/>
      <c r="N2016" s="88"/>
      <c r="O2016" s="88"/>
      <c r="P2016" s="88"/>
      <c r="Q2016" s="88"/>
      <c r="R2016" s="78">
        <f>MAX(S2016:W2016)</f>
        <v>1</v>
      </c>
      <c r="S2016" s="88"/>
      <c r="T2016" s="88"/>
      <c r="U2016" s="88">
        <v>1</v>
      </c>
      <c r="V2016" s="88"/>
      <c r="W2016" s="88"/>
    </row>
    <row r="2017" spans="2:23" s="0" customFormat="0" ht="15">
      <c r="B2017" s="87" t="s">
        <v>1</v>
      </c>
      <c r="C2017" s="88" t="s">
        <v>5259</v>
      </c>
      <c r="D2017" s="88" t="s">
        <v>1435</v>
      </c>
      <c r="E2017" s="88" t="s">
        <v>61</v>
      </c>
      <c r="F2017" s="88">
        <v>0</v>
      </c>
      <c r="G2017" s="78">
        <f>MAX(H2017,I2017,J2017)</f>
        <v>1</v>
      </c>
      <c r="H2017" s="88"/>
      <c r="I2017" s="88"/>
      <c r="J2017" s="78">
        <f>MAX(K2017:Q2017)</f>
        <v>1</v>
      </c>
      <c r="K2017" s="88">
        <v>1</v>
      </c>
      <c r="L2017" s="88"/>
      <c r="M2017" s="88"/>
      <c r="N2017" s="88"/>
      <c r="O2017" s="88"/>
      <c r="P2017" s="88"/>
      <c r="Q2017" s="88"/>
      <c r="R2017" s="78">
        <f>MAX(S2017:W2017)</f>
        <v>0</v>
      </c>
      <c r="S2017" s="88"/>
      <c r="T2017" s="88"/>
      <c r="U2017" s="88"/>
      <c r="V2017" s="88"/>
      <c r="W2017" s="88"/>
    </row>
    <row r="2018" spans="2:23" s="0" customFormat="0" ht="15">
      <c r="B2018" s="87" t="s">
        <v>1</v>
      </c>
      <c r="C2018" s="88" t="s">
        <v>5259</v>
      </c>
      <c r="D2018" s="88">
        <v>20423716</v>
      </c>
      <c r="E2018" s="88" t="s">
        <v>61</v>
      </c>
      <c r="F2018" s="88">
        <v>0</v>
      </c>
      <c r="G2018" s="78">
        <f>MAX(H2018,I2018,J2018)</f>
        <v>1</v>
      </c>
      <c r="H2018" s="88"/>
      <c r="I2018" s="88"/>
      <c r="J2018" s="78">
        <f>MAX(K2018:Q2018)</f>
        <v>1</v>
      </c>
      <c r="K2018" s="88">
        <v>1</v>
      </c>
      <c r="L2018" s="88"/>
      <c r="M2018" s="88"/>
      <c r="N2018" s="88"/>
      <c r="O2018" s="88"/>
      <c r="P2018" s="88"/>
      <c r="Q2018" s="88"/>
      <c r="R2018" s="78">
        <f>MAX(S2018:W2018)</f>
        <v>0</v>
      </c>
      <c r="S2018" s="88"/>
      <c r="T2018" s="88"/>
      <c r="U2018" s="88"/>
      <c r="V2018" s="88"/>
      <c r="W2018" s="88"/>
    </row>
    <row r="2019" spans="2:23" s="0" customFormat="0" ht="15">
      <c r="B2019" s="87" t="s">
        <v>1</v>
      </c>
      <c r="C2019" s="88" t="s">
        <v>5259</v>
      </c>
      <c r="D2019" s="88">
        <v>12051925</v>
      </c>
      <c r="E2019" s="88" t="s">
        <v>61</v>
      </c>
      <c r="F2019" s="88">
        <v>0</v>
      </c>
      <c r="G2019" s="78">
        <f>MAX(H2019,I2019,J2019)</f>
        <v>1</v>
      </c>
      <c r="H2019" s="88"/>
      <c r="I2019" s="88"/>
      <c r="J2019" s="78">
        <f>MAX(K2019:Q2019)</f>
        <v>1</v>
      </c>
      <c r="K2019" s="88">
        <v>1</v>
      </c>
      <c r="L2019" s="88"/>
      <c r="M2019" s="88"/>
      <c r="N2019" s="88"/>
      <c r="O2019" s="88"/>
      <c r="P2019" s="88"/>
      <c r="Q2019" s="88"/>
      <c r="R2019" s="78">
        <f>MAX(S2019:W2019)</f>
        <v>0</v>
      </c>
      <c r="S2019" s="88"/>
      <c r="T2019" s="88"/>
      <c r="U2019" s="88"/>
      <c r="V2019" s="88"/>
      <c r="W2019" s="88"/>
    </row>
    <row r="2020" spans="2:23" s="0" customFormat="0" ht="15">
      <c r="B2020" s="87" t="s">
        <v>1</v>
      </c>
      <c r="C2020" s="88" t="s">
        <v>5259</v>
      </c>
      <c r="D2020" s="88" t="s">
        <v>4242</v>
      </c>
      <c r="E2020" s="88" t="s">
        <v>61</v>
      </c>
      <c r="F2020" s="88">
        <v>0</v>
      </c>
      <c r="G2020" s="78">
        <f>MAX(H2020,I2020,J2020)</f>
        <v>0</v>
      </c>
      <c r="H2020" s="88"/>
      <c r="I2020" s="88"/>
      <c r="J2020" s="78">
        <f>MAX(K2020:Q2020)</f>
        <v>0</v>
      </c>
      <c r="K2020" s="88"/>
      <c r="L2020" s="88"/>
      <c r="M2020" s="88"/>
      <c r="N2020" s="88"/>
      <c r="O2020" s="88"/>
      <c r="P2020" s="88"/>
      <c r="Q2020" s="88"/>
      <c r="R2020" s="78">
        <f>MAX(S2020:W2020)</f>
        <v>1</v>
      </c>
      <c r="S2020" s="88"/>
      <c r="T2020" s="88"/>
      <c r="U2020" s="88">
        <v>1</v>
      </c>
      <c r="V2020" s="88"/>
      <c r="W2020" s="88"/>
    </row>
    <row r="2021" spans="2:23" s="0" customFormat="0" ht="15">
      <c r="B2021" s="87" t="s">
        <v>1</v>
      </c>
      <c r="C2021" s="88" t="s">
        <v>5259</v>
      </c>
      <c r="D2021" s="88">
        <v>11821205</v>
      </c>
      <c r="E2021" s="88" t="s">
        <v>61</v>
      </c>
      <c r="F2021" s="88">
        <v>0</v>
      </c>
      <c r="G2021" s="78">
        <f>MAX(H2021,I2021,J2021)</f>
        <v>1</v>
      </c>
      <c r="H2021" s="88"/>
      <c r="I2021" s="88"/>
      <c r="J2021" s="78">
        <f>MAX(K2021:Q2021)</f>
        <v>1</v>
      </c>
      <c r="K2021" s="88">
        <v>1</v>
      </c>
      <c r="L2021" s="88"/>
      <c r="M2021" s="88"/>
      <c r="N2021" s="88"/>
      <c r="O2021" s="88"/>
      <c r="P2021" s="88"/>
      <c r="Q2021" s="88"/>
      <c r="R2021" s="78">
        <f>MAX(S2021:W2021)</f>
        <v>0</v>
      </c>
      <c r="S2021" s="88"/>
      <c r="T2021" s="88"/>
      <c r="U2021" s="88"/>
      <c r="V2021" s="88"/>
      <c r="W2021" s="88"/>
    </row>
    <row r="2022" spans="2:23" s="0" customFormat="0" ht="15">
      <c r="B2022" s="87" t="s">
        <v>1</v>
      </c>
      <c r="C2022" s="88" t="s">
        <v>5259</v>
      </c>
      <c r="D2022" s="88" t="s">
        <v>4244</v>
      </c>
      <c r="E2022" s="88" t="s">
        <v>61</v>
      </c>
      <c r="F2022" s="88">
        <v>0</v>
      </c>
      <c r="G2022" s="78">
        <f>MAX(H2022,I2022,J2022)</f>
        <v>0</v>
      </c>
      <c r="H2022" s="88"/>
      <c r="I2022" s="88"/>
      <c r="J2022" s="78">
        <f>MAX(K2022:Q2022)</f>
        <v>0</v>
      </c>
      <c r="K2022" s="88"/>
      <c r="L2022" s="88"/>
      <c r="M2022" s="88"/>
      <c r="N2022" s="88"/>
      <c r="O2022" s="88"/>
      <c r="P2022" s="88"/>
      <c r="Q2022" s="88"/>
      <c r="R2022" s="78">
        <f>MAX(S2022:W2022)</f>
        <v>1</v>
      </c>
      <c r="S2022" s="88"/>
      <c r="T2022" s="88"/>
      <c r="U2022" s="88">
        <v>1</v>
      </c>
      <c r="V2022" s="88"/>
      <c r="W2022" s="88"/>
    </row>
    <row r="2023" spans="2:23" s="0" customFormat="0" ht="15">
      <c r="B2023" s="87" t="s">
        <v>1</v>
      </c>
      <c r="C2023" s="88" t="s">
        <v>5259</v>
      </c>
      <c r="D2023" s="88" t="s">
        <v>4246</v>
      </c>
      <c r="E2023" s="88" t="s">
        <v>61</v>
      </c>
      <c r="F2023" s="88">
        <v>0</v>
      </c>
      <c r="G2023" s="78">
        <f>MAX(H2023,I2023,J2023)</f>
        <v>0</v>
      </c>
      <c r="H2023" s="88"/>
      <c r="I2023" s="88"/>
      <c r="J2023" s="78">
        <f>MAX(K2023:Q2023)</f>
        <v>0</v>
      </c>
      <c r="K2023" s="88"/>
      <c r="L2023" s="88"/>
      <c r="M2023" s="88"/>
      <c r="N2023" s="88"/>
      <c r="O2023" s="88"/>
      <c r="P2023" s="88"/>
      <c r="Q2023" s="88"/>
      <c r="R2023" s="78">
        <f>MAX(S2023:W2023)</f>
        <v>1</v>
      </c>
      <c r="S2023" s="88"/>
      <c r="T2023" s="88"/>
      <c r="U2023" s="88">
        <v>1</v>
      </c>
      <c r="V2023" s="88"/>
      <c r="W2023" s="88"/>
    </row>
    <row r="2024" spans="2:23" s="0" customFormat="0" ht="15">
      <c r="B2024" s="87" t="s">
        <v>1</v>
      </c>
      <c r="C2024" s="88" t="s">
        <v>5259</v>
      </c>
      <c r="D2024" s="88">
        <v>13105590</v>
      </c>
      <c r="E2024" s="88" t="s">
        <v>61</v>
      </c>
      <c r="F2024" s="88">
        <v>0</v>
      </c>
      <c r="G2024" s="78">
        <f>MAX(H2024,I2024,J2024)</f>
        <v>1</v>
      </c>
      <c r="H2024" s="88"/>
      <c r="I2024" s="88"/>
      <c r="J2024" s="78">
        <f>MAX(K2024:Q2024)</f>
        <v>1</v>
      </c>
      <c r="K2024" s="88">
        <v>1</v>
      </c>
      <c r="L2024" s="88"/>
      <c r="M2024" s="88"/>
      <c r="N2024" s="88"/>
      <c r="O2024" s="88"/>
      <c r="P2024" s="88"/>
      <c r="Q2024" s="88"/>
      <c r="R2024" s="78">
        <f>MAX(S2024:W2024)</f>
        <v>0</v>
      </c>
      <c r="S2024" s="88"/>
      <c r="T2024" s="88"/>
      <c r="U2024" s="88"/>
      <c r="V2024" s="88"/>
      <c r="W2024" s="88"/>
    </row>
    <row r="2025" spans="2:23" s="0" customFormat="0" ht="15">
      <c r="B2025" s="87" t="s">
        <v>1</v>
      </c>
      <c r="C2025" s="88" t="s">
        <v>5259</v>
      </c>
      <c r="D2025" s="88" t="s">
        <v>525</v>
      </c>
      <c r="E2025" s="88" t="s">
        <v>61</v>
      </c>
      <c r="F2025" s="88">
        <v>0</v>
      </c>
      <c r="G2025" s="78">
        <f>MAX(H2025,I2025,J2025)</f>
        <v>1</v>
      </c>
      <c r="H2025" s="88"/>
      <c r="I2025" s="88"/>
      <c r="J2025" s="78">
        <f>MAX(K2025:Q2025)</f>
        <v>1</v>
      </c>
      <c r="K2025" s="88">
        <v>1</v>
      </c>
      <c r="L2025" s="88"/>
      <c r="M2025" s="88"/>
      <c r="N2025" s="88"/>
      <c r="O2025" s="88"/>
      <c r="P2025" s="88"/>
      <c r="Q2025" s="88"/>
      <c r="R2025" s="78">
        <f>MAX(S2025:W2025)</f>
        <v>0</v>
      </c>
      <c r="S2025" s="88"/>
      <c r="T2025" s="88"/>
      <c r="U2025" s="88"/>
      <c r="V2025" s="88"/>
      <c r="W2025" s="88"/>
    </row>
    <row r="2026" spans="2:23" s="0" customFormat="0" ht="15">
      <c r="B2026" s="87" t="s">
        <v>1</v>
      </c>
      <c r="C2026" s="88" t="s">
        <v>5259</v>
      </c>
      <c r="D2026" s="88">
        <v>22106685</v>
      </c>
      <c r="E2026" s="88" t="s">
        <v>61</v>
      </c>
      <c r="F2026" s="88">
        <v>0</v>
      </c>
      <c r="G2026" s="78">
        <f>MAX(H2026,I2026,J2026)</f>
        <v>1</v>
      </c>
      <c r="H2026" s="88"/>
      <c r="I2026" s="88"/>
      <c r="J2026" s="78">
        <f>MAX(K2026:Q2026)</f>
        <v>1</v>
      </c>
      <c r="K2026" s="88">
        <v>1</v>
      </c>
      <c r="L2026" s="88"/>
      <c r="M2026" s="88"/>
      <c r="N2026" s="88"/>
      <c r="O2026" s="88"/>
      <c r="P2026" s="88"/>
      <c r="Q2026" s="88"/>
      <c r="R2026" s="78">
        <f>MAX(S2026:W2026)</f>
        <v>0</v>
      </c>
      <c r="S2026" s="88"/>
      <c r="T2026" s="88"/>
      <c r="U2026" s="88"/>
      <c r="V2026" s="88"/>
      <c r="W2026" s="88"/>
    </row>
    <row r="2027" spans="2:23" s="0" customFormat="0" ht="15">
      <c r="B2027" s="87" t="s">
        <v>1</v>
      </c>
      <c r="C2027" s="88" t="s">
        <v>5259</v>
      </c>
      <c r="D2027" s="88">
        <v>16588743</v>
      </c>
      <c r="E2027" s="88" t="s">
        <v>61</v>
      </c>
      <c r="F2027" s="88">
        <v>0</v>
      </c>
      <c r="G2027" s="78">
        <f>MAX(H2027,I2027,J2027)</f>
        <v>1</v>
      </c>
      <c r="H2027" s="88"/>
      <c r="I2027" s="88"/>
      <c r="J2027" s="78">
        <f>MAX(K2027:Q2027)</f>
        <v>1</v>
      </c>
      <c r="K2027" s="88">
        <v>1</v>
      </c>
      <c r="L2027" s="88"/>
      <c r="M2027" s="88"/>
      <c r="N2027" s="88"/>
      <c r="O2027" s="88"/>
      <c r="P2027" s="88"/>
      <c r="Q2027" s="88"/>
      <c r="R2027" s="78">
        <f>MAX(S2027:W2027)</f>
        <v>0</v>
      </c>
      <c r="S2027" s="88"/>
      <c r="T2027" s="88"/>
      <c r="U2027" s="88"/>
      <c r="V2027" s="88"/>
      <c r="W2027" s="88"/>
    </row>
    <row r="2028" spans="2:23" s="0" customFormat="0" ht="15">
      <c r="B2028" s="87" t="s">
        <v>1</v>
      </c>
      <c r="C2028" s="88" t="s">
        <v>5259</v>
      </c>
      <c r="D2028" s="88" t="s">
        <v>4248</v>
      </c>
      <c r="E2028" s="88" t="s">
        <v>61</v>
      </c>
      <c r="F2028" s="88">
        <v>0</v>
      </c>
      <c r="G2028" s="78">
        <f>MAX(H2028,I2028,J2028)</f>
        <v>0</v>
      </c>
      <c r="H2028" s="88"/>
      <c r="I2028" s="88"/>
      <c r="J2028" s="78">
        <f>MAX(K2028:Q2028)</f>
        <v>0</v>
      </c>
      <c r="K2028" s="88"/>
      <c r="L2028" s="88"/>
      <c r="M2028" s="88"/>
      <c r="N2028" s="88"/>
      <c r="O2028" s="88"/>
      <c r="P2028" s="88"/>
      <c r="Q2028" s="88"/>
      <c r="R2028" s="78">
        <f>MAX(S2028:W2028)</f>
        <v>1</v>
      </c>
      <c r="S2028" s="88"/>
      <c r="T2028" s="88"/>
      <c r="U2028" s="88">
        <v>1</v>
      </c>
      <c r="V2028" s="88"/>
      <c r="W2028" s="88"/>
    </row>
    <row r="2029" spans="2:23" s="0" customFormat="0" ht="15">
      <c r="B2029" s="87" t="s">
        <v>1</v>
      </c>
      <c r="C2029" s="88" t="s">
        <v>5259</v>
      </c>
      <c r="D2029" s="88" t="s">
        <v>384</v>
      </c>
      <c r="E2029" s="88" t="s">
        <v>61</v>
      </c>
      <c r="F2029" s="88">
        <v>0</v>
      </c>
      <c r="G2029" s="78">
        <f>MAX(H2029,I2029,J2029)</f>
        <v>1</v>
      </c>
      <c r="H2029" s="88"/>
      <c r="I2029" s="88"/>
      <c r="J2029" s="78">
        <f>MAX(K2029:Q2029)</f>
        <v>1</v>
      </c>
      <c r="K2029" s="88">
        <v>1</v>
      </c>
      <c r="L2029" s="88"/>
      <c r="M2029" s="88"/>
      <c r="N2029" s="88"/>
      <c r="O2029" s="88"/>
      <c r="P2029" s="88"/>
      <c r="Q2029" s="88"/>
      <c r="R2029" s="78">
        <f>MAX(S2029:W2029)</f>
        <v>0</v>
      </c>
      <c r="S2029" s="88"/>
      <c r="T2029" s="88"/>
      <c r="U2029" s="88"/>
      <c r="V2029" s="88"/>
      <c r="W2029" s="88"/>
    </row>
    <row r="2030" spans="2:23" s="0" customFormat="0" ht="15">
      <c r="B2030" s="87" t="s">
        <v>1</v>
      </c>
      <c r="C2030" s="88" t="s">
        <v>5259</v>
      </c>
      <c r="D2030" s="88">
        <v>1928588</v>
      </c>
      <c r="E2030" s="88" t="s">
        <v>61</v>
      </c>
      <c r="F2030" s="88">
        <v>0</v>
      </c>
      <c r="G2030" s="78">
        <f>MAX(H2030,I2030,J2030)</f>
        <v>0</v>
      </c>
      <c r="H2030" s="88"/>
      <c r="I2030" s="88"/>
      <c r="J2030" s="78">
        <f>MAX(K2030:Q2030)</f>
        <v>0</v>
      </c>
      <c r="K2030" s="88"/>
      <c r="L2030" s="88"/>
      <c r="M2030" s="88"/>
      <c r="N2030" s="88"/>
      <c r="O2030" s="88"/>
      <c r="P2030" s="88"/>
      <c r="Q2030" s="88"/>
      <c r="R2030" s="78">
        <f>MAX(S2030:W2030)</f>
        <v>1</v>
      </c>
      <c r="S2030" s="88"/>
      <c r="T2030" s="88"/>
      <c r="U2030" s="88">
        <v>1</v>
      </c>
      <c r="V2030" s="88"/>
      <c r="W2030" s="88"/>
    </row>
    <row r="2031" spans="2:23" s="0" customFormat="0" ht="15">
      <c r="B2031" s="87" t="s">
        <v>1</v>
      </c>
      <c r="C2031" s="88" t="s">
        <v>5259</v>
      </c>
      <c r="D2031" s="88">
        <v>21226546</v>
      </c>
      <c r="E2031" s="88" t="s">
        <v>61</v>
      </c>
      <c r="F2031" s="88">
        <v>0</v>
      </c>
      <c r="G2031" s="78">
        <f>MAX(H2031,I2031,J2031)</f>
        <v>1</v>
      </c>
      <c r="H2031" s="88"/>
      <c r="I2031" s="88"/>
      <c r="J2031" s="78">
        <f>MAX(K2031:Q2031)</f>
        <v>1</v>
      </c>
      <c r="K2031" s="88">
        <v>1</v>
      </c>
      <c r="L2031" s="88"/>
      <c r="M2031" s="88"/>
      <c r="N2031" s="88"/>
      <c r="O2031" s="88"/>
      <c r="P2031" s="88"/>
      <c r="Q2031" s="88"/>
      <c r="R2031" s="78">
        <f>MAX(S2031:W2031)</f>
        <v>0</v>
      </c>
      <c r="S2031" s="88"/>
      <c r="T2031" s="88"/>
      <c r="U2031" s="88"/>
      <c r="V2031" s="88"/>
      <c r="W2031" s="88"/>
    </row>
    <row r="2032" spans="2:23" s="0" customFormat="0" ht="15">
      <c r="B2032" s="87" t="s">
        <v>1</v>
      </c>
      <c r="C2032" s="88" t="s">
        <v>5259</v>
      </c>
      <c r="D2032" s="88">
        <v>15552694</v>
      </c>
      <c r="E2032" s="88" t="s">
        <v>61</v>
      </c>
      <c r="F2032" s="88">
        <v>0</v>
      </c>
      <c r="G2032" s="78">
        <f>MAX(H2032,I2032,J2032)</f>
        <v>1</v>
      </c>
      <c r="H2032" s="88"/>
      <c r="I2032" s="88"/>
      <c r="J2032" s="78">
        <f>MAX(K2032:Q2032)</f>
        <v>1</v>
      </c>
      <c r="K2032" s="88">
        <v>1</v>
      </c>
      <c r="L2032" s="88"/>
      <c r="M2032" s="88"/>
      <c r="N2032" s="88"/>
      <c r="O2032" s="88"/>
      <c r="P2032" s="88"/>
      <c r="Q2032" s="88"/>
      <c r="R2032" s="78">
        <f>MAX(S2032:W2032)</f>
        <v>0</v>
      </c>
      <c r="S2032" s="88"/>
      <c r="T2032" s="88"/>
      <c r="U2032" s="88"/>
      <c r="V2032" s="88"/>
      <c r="W2032" s="88"/>
    </row>
    <row r="2033" spans="2:23" s="0" customFormat="0" ht="15">
      <c r="B2033" s="87" t="s">
        <v>1</v>
      </c>
      <c r="C2033" s="88" t="s">
        <v>5259</v>
      </c>
      <c r="D2033" s="88">
        <v>24107793</v>
      </c>
      <c r="E2033" s="88" t="s">
        <v>61</v>
      </c>
      <c r="F2033" s="88">
        <v>0</v>
      </c>
      <c r="G2033" s="78">
        <f>MAX(H2033,I2033,J2033)</f>
        <v>1</v>
      </c>
      <c r="H2033" s="88"/>
      <c r="I2033" s="88"/>
      <c r="J2033" s="78">
        <f>MAX(K2033:Q2033)</f>
        <v>1</v>
      </c>
      <c r="K2033" s="88">
        <v>1</v>
      </c>
      <c r="L2033" s="88"/>
      <c r="M2033" s="88"/>
      <c r="N2033" s="88"/>
      <c r="O2033" s="88"/>
      <c r="P2033" s="88"/>
      <c r="Q2033" s="88"/>
      <c r="R2033" s="78">
        <f>MAX(S2033:W2033)</f>
        <v>0</v>
      </c>
      <c r="S2033" s="88"/>
      <c r="T2033" s="88"/>
      <c r="U2033" s="88"/>
      <c r="V2033" s="88"/>
      <c r="W2033" s="88"/>
    </row>
    <row r="2034" spans="2:23" s="0" customFormat="0" ht="15">
      <c r="B2034" s="87" t="s">
        <v>1</v>
      </c>
      <c r="C2034" s="88" t="s">
        <v>5259</v>
      </c>
      <c r="D2034" s="88">
        <v>24423125</v>
      </c>
      <c r="E2034" s="88" t="s">
        <v>61</v>
      </c>
      <c r="F2034" s="88">
        <v>0</v>
      </c>
      <c r="G2034" s="78">
        <f>MAX(H2034,I2034,J2034)</f>
        <v>1</v>
      </c>
      <c r="H2034" s="88"/>
      <c r="I2034" s="88"/>
      <c r="J2034" s="78">
        <f>MAX(K2034:Q2034)</f>
        <v>1</v>
      </c>
      <c r="K2034" s="88">
        <v>1</v>
      </c>
      <c r="L2034" s="88"/>
      <c r="M2034" s="88"/>
      <c r="N2034" s="88"/>
      <c r="O2034" s="88"/>
      <c r="P2034" s="88"/>
      <c r="Q2034" s="88"/>
      <c r="R2034" s="78">
        <f>MAX(S2034:W2034)</f>
        <v>0</v>
      </c>
      <c r="S2034" s="88"/>
      <c r="T2034" s="88"/>
      <c r="U2034" s="88"/>
      <c r="V2034" s="88"/>
      <c r="W2034" s="88"/>
    </row>
    <row r="2035" spans="2:23" s="0" customFormat="0" ht="15">
      <c r="B2035" s="87" t="s">
        <v>1</v>
      </c>
      <c r="C2035" s="88" t="s">
        <v>5259</v>
      </c>
      <c r="D2035" s="88" t="s">
        <v>4104</v>
      </c>
      <c r="E2035" s="88" t="s">
        <v>61</v>
      </c>
      <c r="F2035" s="88">
        <v>0</v>
      </c>
      <c r="G2035" s="78">
        <f>MAX(H2035,I2035,J2035)</f>
        <v>0</v>
      </c>
      <c r="H2035" s="88"/>
      <c r="I2035" s="88"/>
      <c r="J2035" s="78">
        <f>MAX(K2035:Q2035)</f>
        <v>0</v>
      </c>
      <c r="K2035" s="88"/>
      <c r="L2035" s="88"/>
      <c r="M2035" s="88"/>
      <c r="N2035" s="88"/>
      <c r="O2035" s="88"/>
      <c r="P2035" s="88"/>
      <c r="Q2035" s="88"/>
      <c r="R2035" s="78">
        <f>MAX(S2035:W2035)</f>
        <v>1</v>
      </c>
      <c r="S2035" s="88"/>
      <c r="T2035" s="88"/>
      <c r="U2035" s="88">
        <v>1</v>
      </c>
      <c r="V2035" s="88"/>
      <c r="W2035" s="88"/>
    </row>
    <row r="2036" spans="2:23" s="0" customFormat="0" ht="15">
      <c r="B2036" s="87" t="s">
        <v>1</v>
      </c>
      <c r="C2036" s="88" t="s">
        <v>5259</v>
      </c>
      <c r="D2036" s="88" t="s">
        <v>1524</v>
      </c>
      <c r="E2036" s="88" t="s">
        <v>61</v>
      </c>
      <c r="F2036" s="88">
        <v>0</v>
      </c>
      <c r="G2036" s="78">
        <f>MAX(H2036,I2036,J2036)</f>
        <v>1</v>
      </c>
      <c r="H2036" s="88"/>
      <c r="I2036" s="88"/>
      <c r="J2036" s="78">
        <f>MAX(K2036:Q2036)</f>
        <v>1</v>
      </c>
      <c r="K2036" s="88">
        <v>1</v>
      </c>
      <c r="L2036" s="88"/>
      <c r="M2036" s="88"/>
      <c r="N2036" s="88"/>
      <c r="O2036" s="88"/>
      <c r="P2036" s="88"/>
      <c r="Q2036" s="88"/>
      <c r="R2036" s="78">
        <f>MAX(S2036:W2036)</f>
        <v>0</v>
      </c>
      <c r="S2036" s="88"/>
      <c r="T2036" s="88"/>
      <c r="U2036" s="88"/>
      <c r="V2036" s="88"/>
      <c r="W2036" s="88"/>
    </row>
    <row r="2037" spans="2:23" s="0" customFormat="0" ht="15">
      <c r="B2037" s="87" t="s">
        <v>1</v>
      </c>
      <c r="C2037" s="88" t="s">
        <v>5259</v>
      </c>
      <c r="D2037" s="88">
        <v>15469247</v>
      </c>
      <c r="E2037" s="88" t="s">
        <v>61</v>
      </c>
      <c r="F2037" s="88">
        <v>0</v>
      </c>
      <c r="G2037" s="78">
        <f>MAX(H2037,I2037,J2037)</f>
        <v>1</v>
      </c>
      <c r="H2037" s="88"/>
      <c r="I2037" s="88"/>
      <c r="J2037" s="78">
        <f>MAX(K2037:Q2037)</f>
        <v>1</v>
      </c>
      <c r="K2037" s="88">
        <v>1</v>
      </c>
      <c r="L2037" s="88"/>
      <c r="M2037" s="88"/>
      <c r="N2037" s="88"/>
      <c r="O2037" s="88"/>
      <c r="P2037" s="88"/>
      <c r="Q2037" s="88"/>
      <c r="R2037" s="78">
        <f>MAX(S2037:W2037)</f>
        <v>0</v>
      </c>
      <c r="S2037" s="88"/>
      <c r="T2037" s="88"/>
      <c r="U2037" s="88"/>
      <c r="V2037" s="88"/>
      <c r="W2037" s="88"/>
    </row>
    <row r="2038" spans="2:23" s="0" customFormat="0" ht="15">
      <c r="B2038" s="87" t="s">
        <v>1</v>
      </c>
      <c r="C2038" s="88" t="s">
        <v>5259</v>
      </c>
      <c r="D2038" s="88">
        <v>22106687</v>
      </c>
      <c r="E2038" s="88" t="s">
        <v>61</v>
      </c>
      <c r="F2038" s="88">
        <v>0</v>
      </c>
      <c r="G2038" s="78">
        <f>MAX(H2038,I2038,J2038)</f>
        <v>1</v>
      </c>
      <c r="H2038" s="88"/>
      <c r="I2038" s="88"/>
      <c r="J2038" s="78">
        <f>MAX(K2038:Q2038)</f>
        <v>1</v>
      </c>
      <c r="K2038" s="88">
        <v>1</v>
      </c>
      <c r="L2038" s="88"/>
      <c r="M2038" s="88"/>
      <c r="N2038" s="88"/>
      <c r="O2038" s="88"/>
      <c r="P2038" s="88"/>
      <c r="Q2038" s="88"/>
      <c r="R2038" s="78">
        <f>MAX(S2038:W2038)</f>
        <v>0</v>
      </c>
      <c r="S2038" s="88"/>
      <c r="T2038" s="88"/>
      <c r="U2038" s="88"/>
      <c r="V2038" s="88"/>
      <c r="W2038" s="88"/>
    </row>
    <row r="2039" spans="2:23" s="0" customFormat="0" ht="15">
      <c r="B2039" s="87" t="s">
        <v>1</v>
      </c>
      <c r="C2039" s="88" t="s">
        <v>5259</v>
      </c>
      <c r="D2039" s="88">
        <v>22623678</v>
      </c>
      <c r="E2039" s="88" t="s">
        <v>61</v>
      </c>
      <c r="F2039" s="88">
        <v>0</v>
      </c>
      <c r="G2039" s="78">
        <f>MAX(H2039,I2039,J2039)</f>
        <v>0</v>
      </c>
      <c r="H2039" s="88"/>
      <c r="I2039" s="88"/>
      <c r="J2039" s="78">
        <f>MAX(K2039:Q2039)</f>
        <v>0</v>
      </c>
      <c r="K2039" s="88"/>
      <c r="L2039" s="88"/>
      <c r="M2039" s="88"/>
      <c r="N2039" s="88"/>
      <c r="O2039" s="88"/>
      <c r="P2039" s="88"/>
      <c r="Q2039" s="88"/>
      <c r="R2039" s="78">
        <f>MAX(S2039:W2039)</f>
        <v>1</v>
      </c>
      <c r="S2039" s="88"/>
      <c r="T2039" s="88"/>
      <c r="U2039" s="88">
        <v>1</v>
      </c>
      <c r="V2039" s="88"/>
      <c r="W2039" s="88"/>
    </row>
    <row r="2040" spans="2:23" s="0" customFormat="0" ht="15">
      <c r="B2040" s="87" t="s">
        <v>1</v>
      </c>
      <c r="C2040" s="88" t="s">
        <v>5259</v>
      </c>
      <c r="D2040" s="88" t="s">
        <v>3086</v>
      </c>
      <c r="E2040" s="88" t="s">
        <v>61</v>
      </c>
      <c r="F2040" s="88">
        <v>0</v>
      </c>
      <c r="G2040" s="78">
        <f>MAX(H2040,I2040,J2040)</f>
        <v>1</v>
      </c>
      <c r="H2040" s="88"/>
      <c r="I2040" s="88"/>
      <c r="J2040" s="78">
        <f>MAX(K2040:Q2040)</f>
        <v>1</v>
      </c>
      <c r="K2040" s="88"/>
      <c r="L2040" s="88"/>
      <c r="M2040" s="88">
        <v>1</v>
      </c>
      <c r="N2040" s="88"/>
      <c r="O2040" s="88"/>
      <c r="P2040" s="88"/>
      <c r="Q2040" s="88"/>
      <c r="R2040" s="78">
        <f>MAX(S2040:W2040)</f>
        <v>0</v>
      </c>
      <c r="S2040" s="88"/>
      <c r="T2040" s="88"/>
      <c r="U2040" s="88"/>
      <c r="V2040" s="88"/>
      <c r="W2040" s="88"/>
    </row>
    <row r="2041" spans="2:23" s="0" customFormat="0" ht="15">
      <c r="B2041" s="87" t="s">
        <v>1</v>
      </c>
      <c r="C2041" s="88" t="s">
        <v>5259</v>
      </c>
      <c r="D2041" s="88">
        <v>21610161</v>
      </c>
      <c r="E2041" s="88" t="s">
        <v>61</v>
      </c>
      <c r="F2041" s="88">
        <v>0</v>
      </c>
      <c r="G2041" s="78">
        <f>MAX(H2041,I2041,J2041)</f>
        <v>1</v>
      </c>
      <c r="H2041" s="88"/>
      <c r="I2041" s="88"/>
      <c r="J2041" s="78">
        <f>MAX(K2041:Q2041)</f>
        <v>1</v>
      </c>
      <c r="K2041" s="88">
        <v>1</v>
      </c>
      <c r="L2041" s="88"/>
      <c r="M2041" s="88"/>
      <c r="N2041" s="88"/>
      <c r="O2041" s="88"/>
      <c r="P2041" s="88"/>
      <c r="Q2041" s="88"/>
      <c r="R2041" s="78">
        <f>MAX(S2041:W2041)</f>
        <v>0</v>
      </c>
      <c r="S2041" s="88"/>
      <c r="T2041" s="88"/>
      <c r="U2041" s="88"/>
      <c r="V2041" s="88"/>
      <c r="W2041" s="88"/>
    </row>
    <row r="2042" spans="2:23" s="0" customFormat="0" ht="15">
      <c r="B2042" s="87" t="s">
        <v>1</v>
      </c>
      <c r="C2042" s="88" t="s">
        <v>5259</v>
      </c>
      <c r="D2042" s="88">
        <v>16583502</v>
      </c>
      <c r="E2042" s="88" t="s">
        <v>61</v>
      </c>
      <c r="F2042" s="88">
        <v>0</v>
      </c>
      <c r="G2042" s="78">
        <f>MAX(H2042,I2042,J2042)</f>
        <v>1</v>
      </c>
      <c r="H2042" s="88"/>
      <c r="I2042" s="88"/>
      <c r="J2042" s="78">
        <f>MAX(K2042:Q2042)</f>
        <v>1</v>
      </c>
      <c r="K2042" s="88">
        <v>1</v>
      </c>
      <c r="L2042" s="88"/>
      <c r="M2042" s="88"/>
      <c r="N2042" s="88"/>
      <c r="O2042" s="88"/>
      <c r="P2042" s="88"/>
      <c r="Q2042" s="88"/>
      <c r="R2042" s="78">
        <f>MAX(S2042:W2042)</f>
        <v>0</v>
      </c>
      <c r="S2042" s="88"/>
      <c r="T2042" s="88"/>
      <c r="U2042" s="88"/>
      <c r="V2042" s="88"/>
      <c r="W2042" s="88"/>
    </row>
    <row r="2043" spans="2:23" s="0" customFormat="0" ht="15">
      <c r="B2043" s="87" t="s">
        <v>1</v>
      </c>
      <c r="C2043" s="88" t="s">
        <v>5259</v>
      </c>
      <c r="D2043" s="88">
        <v>4553018</v>
      </c>
      <c r="E2043" s="88" t="s">
        <v>61</v>
      </c>
      <c r="F2043" s="88">
        <v>0</v>
      </c>
      <c r="G2043" s="78">
        <f>MAX(H2043,I2043,J2043)</f>
        <v>1</v>
      </c>
      <c r="H2043" s="88"/>
      <c r="I2043" s="88"/>
      <c r="J2043" s="78">
        <f>MAX(K2043:Q2043)</f>
        <v>1</v>
      </c>
      <c r="K2043" s="88">
        <v>1</v>
      </c>
      <c r="L2043" s="88"/>
      <c r="M2043" s="88"/>
      <c r="N2043" s="88"/>
      <c r="O2043" s="88"/>
      <c r="P2043" s="88"/>
      <c r="Q2043" s="88"/>
      <c r="R2043" s="78">
        <f>MAX(S2043:W2043)</f>
        <v>0</v>
      </c>
      <c r="S2043" s="88"/>
      <c r="T2043" s="88"/>
      <c r="U2043" s="88"/>
      <c r="V2043" s="88"/>
      <c r="W2043" s="88"/>
    </row>
    <row r="2044" spans="2:23" s="0" customFormat="0" ht="15">
      <c r="B2044" s="87" t="s">
        <v>1</v>
      </c>
      <c r="C2044" s="88" t="s">
        <v>5259</v>
      </c>
      <c r="D2044" s="88">
        <v>20993774</v>
      </c>
      <c r="E2044" s="88" t="s">
        <v>61</v>
      </c>
      <c r="F2044" s="88">
        <v>0</v>
      </c>
      <c r="G2044" s="78">
        <f>MAX(H2044,I2044,J2044)</f>
        <v>1</v>
      </c>
      <c r="H2044" s="88"/>
      <c r="I2044" s="88"/>
      <c r="J2044" s="78">
        <f>MAX(K2044:Q2044)</f>
        <v>1</v>
      </c>
      <c r="K2044" s="88">
        <v>1</v>
      </c>
      <c r="L2044" s="88"/>
      <c r="M2044" s="88"/>
      <c r="N2044" s="88"/>
      <c r="O2044" s="88"/>
      <c r="P2044" s="88"/>
      <c r="Q2044" s="88"/>
      <c r="R2044" s="78">
        <f>MAX(S2044:W2044)</f>
        <v>0</v>
      </c>
      <c r="S2044" s="88"/>
      <c r="T2044" s="88"/>
      <c r="U2044" s="88"/>
      <c r="V2044" s="88"/>
      <c r="W2044" s="88"/>
    </row>
    <row r="2045" spans="2:23" s="0" customFormat="0" ht="15">
      <c r="B2045" s="87" t="s">
        <v>1</v>
      </c>
      <c r="C2045" s="88" t="s">
        <v>5259</v>
      </c>
      <c r="D2045" s="88" t="s">
        <v>1099</v>
      </c>
      <c r="E2045" s="88" t="s">
        <v>61</v>
      </c>
      <c r="F2045" s="88">
        <v>0</v>
      </c>
      <c r="G2045" s="78">
        <f>MAX(H2045,I2045,J2045)</f>
        <v>1</v>
      </c>
      <c r="H2045" s="88"/>
      <c r="I2045" s="88"/>
      <c r="J2045" s="78">
        <f>MAX(K2045:Q2045)</f>
        <v>1</v>
      </c>
      <c r="K2045" s="88">
        <v>1</v>
      </c>
      <c r="L2045" s="88"/>
      <c r="M2045" s="88"/>
      <c r="N2045" s="88"/>
      <c r="O2045" s="88"/>
      <c r="P2045" s="88"/>
      <c r="Q2045" s="88"/>
      <c r="R2045" s="78">
        <f>MAX(S2045:W2045)</f>
        <v>0</v>
      </c>
      <c r="S2045" s="88"/>
      <c r="T2045" s="88"/>
      <c r="U2045" s="88"/>
      <c r="V2045" s="88"/>
      <c r="W2045" s="88"/>
    </row>
    <row r="2046" spans="2:23" s="0" customFormat="0" ht="15">
      <c r="B2046" s="87" t="s">
        <v>1</v>
      </c>
      <c r="C2046" s="88" t="s">
        <v>5259</v>
      </c>
      <c r="D2046" s="88" t="s">
        <v>4251</v>
      </c>
      <c r="E2046" s="88" t="s">
        <v>61</v>
      </c>
      <c r="F2046" s="88">
        <v>0</v>
      </c>
      <c r="G2046" s="78">
        <f>MAX(H2046,I2046,J2046)</f>
        <v>0</v>
      </c>
      <c r="H2046" s="88"/>
      <c r="I2046" s="88"/>
      <c r="J2046" s="78">
        <f>MAX(K2046:Q2046)</f>
        <v>0</v>
      </c>
      <c r="K2046" s="88"/>
      <c r="L2046" s="88"/>
      <c r="M2046" s="88"/>
      <c r="N2046" s="88"/>
      <c r="O2046" s="88"/>
      <c r="P2046" s="88"/>
      <c r="Q2046" s="88"/>
      <c r="R2046" s="78">
        <f>MAX(S2046:W2046)</f>
        <v>1</v>
      </c>
      <c r="S2046" s="88"/>
      <c r="T2046" s="88"/>
      <c r="U2046" s="88">
        <v>1</v>
      </c>
      <c r="V2046" s="88"/>
      <c r="W2046" s="88"/>
    </row>
    <row r="2047" spans="2:23" s="0" customFormat="0" ht="15">
      <c r="B2047" s="87" t="s">
        <v>1</v>
      </c>
      <c r="C2047" s="88" t="s">
        <v>5259</v>
      </c>
      <c r="D2047" s="88">
        <v>11094842</v>
      </c>
      <c r="E2047" s="88" t="s">
        <v>61</v>
      </c>
      <c r="F2047" s="88">
        <v>0</v>
      </c>
      <c r="G2047" s="78">
        <f>MAX(H2047,I2047,J2047)</f>
        <v>0</v>
      </c>
      <c r="H2047" s="88"/>
      <c r="I2047" s="88"/>
      <c r="J2047" s="78">
        <f>MAX(K2047:Q2047)</f>
        <v>0</v>
      </c>
      <c r="K2047" s="88"/>
      <c r="L2047" s="88"/>
      <c r="M2047" s="88"/>
      <c r="N2047" s="88"/>
      <c r="O2047" s="88"/>
      <c r="P2047" s="88"/>
      <c r="Q2047" s="88"/>
      <c r="R2047" s="78">
        <f>MAX(S2047:W2047)</f>
        <v>1</v>
      </c>
      <c r="S2047" s="88"/>
      <c r="T2047" s="88"/>
      <c r="U2047" s="88">
        <v>1</v>
      </c>
      <c r="V2047" s="88"/>
      <c r="W2047" s="88"/>
    </row>
    <row r="2048" spans="2:23" s="0" customFormat="0" ht="15">
      <c r="B2048" s="87" t="s">
        <v>1</v>
      </c>
      <c r="C2048" s="88" t="s">
        <v>5259</v>
      </c>
      <c r="D2048" s="88" t="s">
        <v>3504</v>
      </c>
      <c r="E2048" s="88" t="s">
        <v>61</v>
      </c>
      <c r="F2048" s="88">
        <v>0</v>
      </c>
      <c r="G2048" s="78">
        <f>MAX(H2048,I2048,J2048)</f>
        <v>0</v>
      </c>
      <c r="H2048" s="88"/>
      <c r="I2048" s="88"/>
      <c r="J2048" s="78">
        <f>MAX(K2048:Q2048)</f>
        <v>0</v>
      </c>
      <c r="K2048" s="88"/>
      <c r="L2048" s="88"/>
      <c r="M2048" s="88"/>
      <c r="N2048" s="88"/>
      <c r="O2048" s="88"/>
      <c r="P2048" s="88"/>
      <c r="Q2048" s="88"/>
      <c r="R2048" s="78">
        <f>MAX(S2048:W2048)</f>
        <v>1</v>
      </c>
      <c r="S2048" s="88"/>
      <c r="T2048" s="88"/>
      <c r="U2048" s="88">
        <v>1</v>
      </c>
      <c r="V2048" s="88"/>
      <c r="W2048" s="88"/>
    </row>
    <row r="2049" spans="2:23" s="0" customFormat="0" ht="15">
      <c r="B2049" s="87" t="s">
        <v>1</v>
      </c>
      <c r="C2049" s="88" t="s">
        <v>5259</v>
      </c>
      <c r="D2049" s="88" t="s">
        <v>1531</v>
      </c>
      <c r="E2049" s="88" t="s">
        <v>61</v>
      </c>
      <c r="F2049" s="88">
        <v>0</v>
      </c>
      <c r="G2049" s="78">
        <f>MAX(H2049,I2049,J2049)</f>
        <v>1</v>
      </c>
      <c r="H2049" s="88"/>
      <c r="I2049" s="88"/>
      <c r="J2049" s="78">
        <f>MAX(K2049:Q2049)</f>
        <v>1</v>
      </c>
      <c r="K2049" s="88">
        <v>1</v>
      </c>
      <c r="L2049" s="88"/>
      <c r="M2049" s="88"/>
      <c r="N2049" s="88"/>
      <c r="O2049" s="88"/>
      <c r="P2049" s="88"/>
      <c r="Q2049" s="88"/>
      <c r="R2049" s="78">
        <f>MAX(S2049:W2049)</f>
        <v>0</v>
      </c>
      <c r="S2049" s="88"/>
      <c r="T2049" s="88"/>
      <c r="U2049" s="88"/>
      <c r="V2049" s="88"/>
      <c r="W2049" s="88"/>
    </row>
    <row r="2050" spans="2:23" s="0" customFormat="0" ht="15">
      <c r="B2050" s="87" t="s">
        <v>1</v>
      </c>
      <c r="C2050" s="88" t="s">
        <v>5259</v>
      </c>
      <c r="D2050" s="88">
        <v>24748844</v>
      </c>
      <c r="E2050" s="88" t="s">
        <v>61</v>
      </c>
      <c r="F2050" s="88">
        <v>0</v>
      </c>
      <c r="G2050" s="78">
        <f>MAX(H2050,I2050,J2050)</f>
        <v>0</v>
      </c>
      <c r="H2050" s="88"/>
      <c r="I2050" s="88"/>
      <c r="J2050" s="78">
        <f>MAX(K2050:Q2050)</f>
        <v>0</v>
      </c>
      <c r="K2050" s="88"/>
      <c r="L2050" s="88"/>
      <c r="M2050" s="88"/>
      <c r="N2050" s="88"/>
      <c r="O2050" s="88"/>
      <c r="P2050" s="88"/>
      <c r="Q2050" s="88"/>
      <c r="R2050" s="78">
        <f>MAX(S2050:W2050)</f>
        <v>1</v>
      </c>
      <c r="S2050" s="88"/>
      <c r="T2050" s="88"/>
      <c r="U2050" s="88">
        <v>1</v>
      </c>
      <c r="V2050" s="88"/>
      <c r="W2050" s="88"/>
    </row>
    <row r="2051" spans="2:23" s="0" customFormat="0" ht="15">
      <c r="B2051" s="87" t="s">
        <v>1</v>
      </c>
      <c r="C2051" s="88" t="s">
        <v>5259</v>
      </c>
      <c r="D2051" s="88">
        <v>22554160</v>
      </c>
      <c r="E2051" s="88" t="s">
        <v>61</v>
      </c>
      <c r="F2051" s="88">
        <v>0</v>
      </c>
      <c r="G2051" s="78">
        <f>MAX(H2051,I2051,J2051)</f>
        <v>0</v>
      </c>
      <c r="H2051" s="88"/>
      <c r="I2051" s="88"/>
      <c r="J2051" s="78">
        <f>MAX(K2051:Q2051)</f>
        <v>0</v>
      </c>
      <c r="K2051" s="88"/>
      <c r="L2051" s="88"/>
      <c r="M2051" s="88"/>
      <c r="N2051" s="88"/>
      <c r="O2051" s="88"/>
      <c r="P2051" s="88"/>
      <c r="Q2051" s="88"/>
      <c r="R2051" s="78">
        <f>MAX(S2051:W2051)</f>
        <v>1</v>
      </c>
      <c r="S2051" s="88"/>
      <c r="T2051" s="88"/>
      <c r="U2051" s="88">
        <v>1</v>
      </c>
      <c r="V2051" s="88"/>
      <c r="W2051" s="88"/>
    </row>
    <row r="2052" spans="2:23" s="0" customFormat="0" ht="15">
      <c r="B2052" s="87" t="s">
        <v>1</v>
      </c>
      <c r="C2052" s="88" t="s">
        <v>5259</v>
      </c>
      <c r="D2052" s="88" t="s">
        <v>1533</v>
      </c>
      <c r="E2052" s="88" t="s">
        <v>61</v>
      </c>
      <c r="F2052" s="88">
        <v>0</v>
      </c>
      <c r="G2052" s="78">
        <f>MAX(H2052,I2052,J2052)</f>
        <v>1</v>
      </c>
      <c r="H2052" s="88"/>
      <c r="I2052" s="88"/>
      <c r="J2052" s="78">
        <f>MAX(K2052:Q2052)</f>
        <v>1</v>
      </c>
      <c r="K2052" s="88">
        <v>1</v>
      </c>
      <c r="L2052" s="88"/>
      <c r="M2052" s="88"/>
      <c r="N2052" s="88"/>
      <c r="O2052" s="88"/>
      <c r="P2052" s="88"/>
      <c r="Q2052" s="88"/>
      <c r="R2052" s="78">
        <f>MAX(S2052:W2052)</f>
        <v>0</v>
      </c>
      <c r="S2052" s="88"/>
      <c r="T2052" s="88"/>
      <c r="U2052" s="88"/>
      <c r="V2052" s="88"/>
      <c r="W2052" s="88"/>
    </row>
    <row r="2053" spans="2:23" s="0" customFormat="0" ht="15">
      <c r="B2053" s="87" t="s">
        <v>1</v>
      </c>
      <c r="C2053" s="88" t="s">
        <v>5259</v>
      </c>
      <c r="D2053" s="88">
        <v>15473454</v>
      </c>
      <c r="E2053" s="88" t="s">
        <v>61</v>
      </c>
      <c r="F2053" s="88">
        <v>0</v>
      </c>
      <c r="G2053" s="78">
        <f>MAX(H2053,I2053,J2053)</f>
        <v>1</v>
      </c>
      <c r="H2053" s="88"/>
      <c r="I2053" s="88"/>
      <c r="J2053" s="78">
        <f>MAX(K2053:Q2053)</f>
        <v>1</v>
      </c>
      <c r="K2053" s="88">
        <v>1</v>
      </c>
      <c r="L2053" s="88"/>
      <c r="M2053" s="88"/>
      <c r="N2053" s="88"/>
      <c r="O2053" s="88"/>
      <c r="P2053" s="88"/>
      <c r="Q2053" s="88"/>
      <c r="R2053" s="78">
        <f>MAX(S2053:W2053)</f>
        <v>0</v>
      </c>
      <c r="S2053" s="88"/>
      <c r="T2053" s="88"/>
      <c r="U2053" s="88"/>
      <c r="V2053" s="88"/>
      <c r="W2053" s="88"/>
    </row>
    <row r="2054" spans="2:23" s="0" customFormat="0" ht="15">
      <c r="B2054" s="87" t="s">
        <v>1</v>
      </c>
      <c r="C2054" s="88" t="s">
        <v>5259</v>
      </c>
      <c r="D2054" s="88">
        <v>22827673</v>
      </c>
      <c r="E2054" s="88" t="s">
        <v>61</v>
      </c>
      <c r="F2054" s="88">
        <v>0</v>
      </c>
      <c r="G2054" s="78">
        <f>MAX(H2054,I2054,J2054)</f>
        <v>1</v>
      </c>
      <c r="H2054" s="88"/>
      <c r="I2054" s="88"/>
      <c r="J2054" s="78">
        <f>MAX(K2054:Q2054)</f>
        <v>1</v>
      </c>
      <c r="K2054" s="88">
        <v>1</v>
      </c>
      <c r="L2054" s="88"/>
      <c r="M2054" s="88"/>
      <c r="N2054" s="88"/>
      <c r="O2054" s="88"/>
      <c r="P2054" s="88"/>
      <c r="Q2054" s="88"/>
      <c r="R2054" s="78">
        <f>MAX(S2054:W2054)</f>
        <v>0</v>
      </c>
      <c r="S2054" s="88"/>
      <c r="T2054" s="88"/>
      <c r="U2054" s="88"/>
      <c r="V2054" s="88"/>
      <c r="W2054" s="88"/>
    </row>
    <row r="2055" spans="2:23" s="0" customFormat="0" ht="15">
      <c r="B2055" s="87" t="s">
        <v>1</v>
      </c>
      <c r="C2055" s="88" t="s">
        <v>5259</v>
      </c>
      <c r="D2055" s="88">
        <v>22623686</v>
      </c>
      <c r="E2055" s="88" t="s">
        <v>61</v>
      </c>
      <c r="F2055" s="88">
        <v>0</v>
      </c>
      <c r="G2055" s="78">
        <f>MAX(H2055,I2055,J2055)</f>
        <v>0</v>
      </c>
      <c r="H2055" s="88"/>
      <c r="I2055" s="88"/>
      <c r="J2055" s="78">
        <f>MAX(K2055:Q2055)</f>
        <v>0</v>
      </c>
      <c r="K2055" s="88"/>
      <c r="L2055" s="88"/>
      <c r="M2055" s="88"/>
      <c r="N2055" s="88"/>
      <c r="O2055" s="88"/>
      <c r="P2055" s="88"/>
      <c r="Q2055" s="88"/>
      <c r="R2055" s="78">
        <f>MAX(S2055:W2055)</f>
        <v>1</v>
      </c>
      <c r="S2055" s="88"/>
      <c r="T2055" s="88"/>
      <c r="U2055" s="88">
        <v>1</v>
      </c>
      <c r="V2055" s="88"/>
      <c r="W2055" s="88"/>
    </row>
    <row r="2056" spans="2:23" s="0" customFormat="0" ht="15">
      <c r="B2056" s="87" t="s">
        <v>1</v>
      </c>
      <c r="C2056" s="88" t="s">
        <v>5259</v>
      </c>
      <c r="D2056" s="88" t="s">
        <v>1537</v>
      </c>
      <c r="E2056" s="88" t="s">
        <v>61</v>
      </c>
      <c r="F2056" s="88">
        <v>0</v>
      </c>
      <c r="G2056" s="78">
        <f>MAX(H2056,I2056,J2056)</f>
        <v>1</v>
      </c>
      <c r="H2056" s="88"/>
      <c r="I2056" s="88"/>
      <c r="J2056" s="78">
        <f>MAX(K2056:Q2056)</f>
        <v>1</v>
      </c>
      <c r="K2056" s="88">
        <v>1</v>
      </c>
      <c r="L2056" s="88"/>
      <c r="M2056" s="88"/>
      <c r="N2056" s="88"/>
      <c r="O2056" s="88"/>
      <c r="P2056" s="88"/>
      <c r="Q2056" s="88"/>
      <c r="R2056" s="78">
        <f>MAX(S2056:W2056)</f>
        <v>0</v>
      </c>
      <c r="S2056" s="88"/>
      <c r="T2056" s="88"/>
      <c r="U2056" s="88"/>
      <c r="V2056" s="88"/>
      <c r="W2056" s="88"/>
    </row>
    <row r="2057" spans="2:23" s="0" customFormat="0" ht="15">
      <c r="B2057" s="87" t="s">
        <v>1</v>
      </c>
      <c r="C2057" s="88" t="s">
        <v>5259</v>
      </c>
      <c r="D2057" s="88" t="s">
        <v>4255</v>
      </c>
      <c r="E2057" s="88" t="s">
        <v>61</v>
      </c>
      <c r="F2057" s="88">
        <v>0</v>
      </c>
      <c r="G2057" s="78">
        <f>MAX(H2057,I2057,J2057)</f>
        <v>0</v>
      </c>
      <c r="H2057" s="88"/>
      <c r="I2057" s="88"/>
      <c r="J2057" s="78">
        <f>MAX(K2057:Q2057)</f>
        <v>0</v>
      </c>
      <c r="K2057" s="88"/>
      <c r="L2057" s="88"/>
      <c r="M2057" s="88"/>
      <c r="N2057" s="88"/>
      <c r="O2057" s="88"/>
      <c r="P2057" s="88"/>
      <c r="Q2057" s="88"/>
      <c r="R2057" s="78">
        <f>MAX(S2057:W2057)</f>
        <v>1</v>
      </c>
      <c r="S2057" s="88"/>
      <c r="T2057" s="88"/>
      <c r="U2057" s="88">
        <v>1</v>
      </c>
      <c r="V2057" s="88"/>
      <c r="W2057" s="88"/>
    </row>
    <row r="2058" spans="2:23" s="0" customFormat="0" ht="15">
      <c r="B2058" s="87" t="s">
        <v>1</v>
      </c>
      <c r="C2058" s="88" t="s">
        <v>5259</v>
      </c>
      <c r="D2058" s="88">
        <v>21073867</v>
      </c>
      <c r="E2058" s="88" t="s">
        <v>61</v>
      </c>
      <c r="F2058" s="88">
        <v>0</v>
      </c>
      <c r="G2058" s="78">
        <f>MAX(H2058,I2058,J2058)</f>
        <v>1</v>
      </c>
      <c r="H2058" s="88"/>
      <c r="I2058" s="88"/>
      <c r="J2058" s="78">
        <f>MAX(K2058:Q2058)</f>
        <v>1</v>
      </c>
      <c r="K2058" s="88">
        <v>1</v>
      </c>
      <c r="L2058" s="88"/>
      <c r="M2058" s="88"/>
      <c r="N2058" s="88"/>
      <c r="O2058" s="88"/>
      <c r="P2058" s="88"/>
      <c r="Q2058" s="88"/>
      <c r="R2058" s="78">
        <f>MAX(S2058:W2058)</f>
        <v>0</v>
      </c>
      <c r="S2058" s="88"/>
      <c r="T2058" s="88"/>
      <c r="U2058" s="88"/>
      <c r="V2058" s="88"/>
      <c r="W2058" s="88"/>
    </row>
    <row r="2059" spans="2:23" s="0" customFormat="0" ht="15">
      <c r="B2059" s="87" t="s">
        <v>1</v>
      </c>
      <c r="C2059" s="88" t="s">
        <v>5259</v>
      </c>
      <c r="D2059" s="88" t="s">
        <v>3481</v>
      </c>
      <c r="E2059" s="88" t="s">
        <v>61</v>
      </c>
      <c r="F2059" s="88">
        <v>0</v>
      </c>
      <c r="G2059" s="78">
        <f>MAX(H2059,I2059,J2059)</f>
        <v>0</v>
      </c>
      <c r="H2059" s="88"/>
      <c r="I2059" s="88"/>
      <c r="J2059" s="78">
        <f>MAX(K2059:Q2059)</f>
        <v>0</v>
      </c>
      <c r="K2059" s="88"/>
      <c r="L2059" s="88"/>
      <c r="M2059" s="88"/>
      <c r="N2059" s="88"/>
      <c r="O2059" s="88"/>
      <c r="P2059" s="88"/>
      <c r="Q2059" s="88"/>
      <c r="R2059" s="78">
        <f>MAX(S2059:W2059)</f>
        <v>1</v>
      </c>
      <c r="S2059" s="88"/>
      <c r="T2059" s="88"/>
      <c r="U2059" s="88">
        <v>1</v>
      </c>
      <c r="V2059" s="88"/>
      <c r="W2059" s="88"/>
    </row>
    <row r="2060" spans="2:23" s="0" customFormat="0" ht="15">
      <c r="B2060" s="87" t="s">
        <v>1</v>
      </c>
      <c r="C2060" s="88" t="s">
        <v>5259</v>
      </c>
      <c r="D2060" s="88">
        <v>19834501</v>
      </c>
      <c r="E2060" s="88" t="s">
        <v>61</v>
      </c>
      <c r="F2060" s="88">
        <v>0</v>
      </c>
      <c r="G2060" s="78">
        <f>MAX(H2060,I2060,J2060)</f>
        <v>1</v>
      </c>
      <c r="H2060" s="88"/>
      <c r="I2060" s="88"/>
      <c r="J2060" s="78">
        <f>MAX(K2060:Q2060)</f>
        <v>1</v>
      </c>
      <c r="K2060" s="88">
        <v>1</v>
      </c>
      <c r="L2060" s="88"/>
      <c r="M2060" s="88"/>
      <c r="N2060" s="88"/>
      <c r="O2060" s="88"/>
      <c r="P2060" s="88"/>
      <c r="Q2060" s="88"/>
      <c r="R2060" s="78">
        <f>MAX(S2060:W2060)</f>
        <v>0</v>
      </c>
      <c r="S2060" s="88"/>
      <c r="T2060" s="88"/>
      <c r="U2060" s="88"/>
      <c r="V2060" s="88"/>
      <c r="W2060" s="88"/>
    </row>
    <row r="2061" spans="2:23" s="0" customFormat="0" ht="15">
      <c r="B2061" s="87" t="s">
        <v>1</v>
      </c>
      <c r="C2061" s="88" t="s">
        <v>5259</v>
      </c>
      <c r="D2061" s="88" t="s">
        <v>1540</v>
      </c>
      <c r="E2061" s="88" t="s">
        <v>61</v>
      </c>
      <c r="F2061" s="88">
        <v>0</v>
      </c>
      <c r="G2061" s="78">
        <f>MAX(H2061,I2061,J2061)</f>
        <v>1</v>
      </c>
      <c r="H2061" s="88"/>
      <c r="I2061" s="88"/>
      <c r="J2061" s="78">
        <f>MAX(K2061:Q2061)</f>
        <v>1</v>
      </c>
      <c r="K2061" s="88">
        <v>1</v>
      </c>
      <c r="L2061" s="88"/>
      <c r="M2061" s="88"/>
      <c r="N2061" s="88"/>
      <c r="O2061" s="88"/>
      <c r="P2061" s="88"/>
      <c r="Q2061" s="88"/>
      <c r="R2061" s="78">
        <f>MAX(S2061:W2061)</f>
        <v>0</v>
      </c>
      <c r="S2061" s="88"/>
      <c r="T2061" s="88"/>
      <c r="U2061" s="88"/>
      <c r="V2061" s="88"/>
      <c r="W2061" s="88"/>
    </row>
    <row r="2062" spans="2:23" s="0" customFormat="0" ht="15">
      <c r="B2062" s="87" t="s">
        <v>1</v>
      </c>
      <c r="C2062" s="88" t="s">
        <v>5259</v>
      </c>
      <c r="D2062" s="88">
        <v>8947959</v>
      </c>
      <c r="E2062" s="88" t="s">
        <v>61</v>
      </c>
      <c r="F2062" s="88">
        <v>0</v>
      </c>
      <c r="G2062" s="78">
        <f>MAX(H2062,I2062,J2062)</f>
        <v>1</v>
      </c>
      <c r="H2062" s="88"/>
      <c r="I2062" s="88"/>
      <c r="J2062" s="78">
        <f>MAX(K2062:Q2062)</f>
        <v>1</v>
      </c>
      <c r="K2062" s="88">
        <v>1</v>
      </c>
      <c r="L2062" s="88"/>
      <c r="M2062" s="88"/>
      <c r="N2062" s="88"/>
      <c r="O2062" s="88"/>
      <c r="P2062" s="88"/>
      <c r="Q2062" s="88"/>
      <c r="R2062" s="78">
        <f>MAX(S2062:W2062)</f>
        <v>0</v>
      </c>
      <c r="S2062" s="88"/>
      <c r="T2062" s="88"/>
      <c r="U2062" s="88"/>
      <c r="V2062" s="88"/>
      <c r="W2062" s="88"/>
    </row>
    <row r="2063" spans="2:23" s="0" customFormat="0" ht="15">
      <c r="B2063" s="87" t="s">
        <v>1</v>
      </c>
      <c r="C2063" s="88" t="s">
        <v>5259</v>
      </c>
      <c r="D2063" s="88" t="s">
        <v>4257</v>
      </c>
      <c r="E2063" s="88" t="s">
        <v>61</v>
      </c>
      <c r="F2063" s="88">
        <v>0</v>
      </c>
      <c r="G2063" s="78">
        <f>MAX(H2063,I2063,J2063)</f>
        <v>0</v>
      </c>
      <c r="H2063" s="88"/>
      <c r="I2063" s="88"/>
      <c r="J2063" s="78">
        <f>MAX(K2063:Q2063)</f>
        <v>0</v>
      </c>
      <c r="K2063" s="88"/>
      <c r="L2063" s="88"/>
      <c r="M2063" s="88"/>
      <c r="N2063" s="88"/>
      <c r="O2063" s="88"/>
      <c r="P2063" s="88"/>
      <c r="Q2063" s="88"/>
      <c r="R2063" s="78">
        <f>MAX(S2063:W2063)</f>
        <v>1</v>
      </c>
      <c r="S2063" s="88"/>
      <c r="T2063" s="88"/>
      <c r="U2063" s="88">
        <v>1</v>
      </c>
      <c r="V2063" s="88"/>
      <c r="W2063" s="88"/>
    </row>
    <row r="2064" spans="2:23" s="0" customFormat="0" ht="15">
      <c r="B2064" s="87" t="s">
        <v>1</v>
      </c>
      <c r="C2064" s="88" t="s">
        <v>5259</v>
      </c>
      <c r="D2064" s="88">
        <v>2294874</v>
      </c>
      <c r="E2064" s="88" t="s">
        <v>61</v>
      </c>
      <c r="F2064" s="88">
        <v>0</v>
      </c>
      <c r="G2064" s="78">
        <f>MAX(H2064,I2064,J2064)</f>
        <v>1</v>
      </c>
      <c r="H2064" s="88"/>
      <c r="I2064" s="88"/>
      <c r="J2064" s="78">
        <f>MAX(K2064:Q2064)</f>
        <v>1</v>
      </c>
      <c r="K2064" s="88">
        <v>1</v>
      </c>
      <c r="L2064" s="88"/>
      <c r="M2064" s="88"/>
      <c r="N2064" s="88"/>
      <c r="O2064" s="88"/>
      <c r="P2064" s="88"/>
      <c r="Q2064" s="88"/>
      <c r="R2064" s="78">
        <f>MAX(S2064:W2064)</f>
        <v>0</v>
      </c>
      <c r="S2064" s="88"/>
      <c r="T2064" s="88"/>
      <c r="U2064" s="88"/>
      <c r="V2064" s="88"/>
      <c r="W2064" s="88"/>
    </row>
    <row r="2065" spans="2:23" s="0" customFormat="0" ht="15">
      <c r="B2065" s="87" t="s">
        <v>1</v>
      </c>
      <c r="C2065" s="88" t="s">
        <v>5259</v>
      </c>
      <c r="D2065" s="88">
        <v>12014225</v>
      </c>
      <c r="E2065" s="88" t="s">
        <v>61</v>
      </c>
      <c r="F2065" s="88">
        <v>0</v>
      </c>
      <c r="G2065" s="78">
        <f>MAX(H2065,I2065,J2065)</f>
        <v>1</v>
      </c>
      <c r="H2065" s="88"/>
      <c r="I2065" s="88"/>
      <c r="J2065" s="78">
        <f>MAX(K2065:Q2065)</f>
        <v>1</v>
      </c>
      <c r="K2065" s="88">
        <v>1</v>
      </c>
      <c r="L2065" s="88"/>
      <c r="M2065" s="88"/>
      <c r="N2065" s="88"/>
      <c r="O2065" s="88"/>
      <c r="P2065" s="88"/>
      <c r="Q2065" s="88"/>
      <c r="R2065" s="78">
        <f>MAX(S2065:W2065)</f>
        <v>0</v>
      </c>
      <c r="S2065" s="88"/>
      <c r="T2065" s="88"/>
      <c r="U2065" s="88"/>
      <c r="V2065" s="88"/>
      <c r="W2065" s="88"/>
    </row>
    <row r="2066" spans="2:23" s="0" customFormat="0" ht="15">
      <c r="B2066" s="87" t="s">
        <v>1</v>
      </c>
      <c r="C2066" s="88" t="s">
        <v>5259</v>
      </c>
      <c r="D2066" s="88">
        <v>16974056</v>
      </c>
      <c r="E2066" s="88" t="s">
        <v>61</v>
      </c>
      <c r="F2066" s="88">
        <v>0</v>
      </c>
      <c r="G2066" s="78">
        <f>MAX(H2066,I2066,J2066)</f>
        <v>0</v>
      </c>
      <c r="H2066" s="88"/>
      <c r="I2066" s="88"/>
      <c r="J2066" s="78">
        <f>MAX(K2066:Q2066)</f>
        <v>0</v>
      </c>
      <c r="K2066" s="88"/>
      <c r="L2066" s="88"/>
      <c r="M2066" s="88"/>
      <c r="N2066" s="88"/>
      <c r="O2066" s="88"/>
      <c r="P2066" s="88"/>
      <c r="Q2066" s="88"/>
      <c r="R2066" s="78">
        <f>MAX(S2066:W2066)</f>
        <v>1</v>
      </c>
      <c r="S2066" s="88"/>
      <c r="T2066" s="88"/>
      <c r="U2066" s="88">
        <v>1</v>
      </c>
      <c r="V2066" s="88"/>
      <c r="W2066" s="88"/>
    </row>
    <row r="2067" spans="2:23" s="0" customFormat="0" ht="15">
      <c r="B2067" s="87" t="s">
        <v>1</v>
      </c>
      <c r="C2067" s="88" t="s">
        <v>5259</v>
      </c>
      <c r="D2067" s="88" t="s">
        <v>1544</v>
      </c>
      <c r="E2067" s="88" t="s">
        <v>61</v>
      </c>
      <c r="F2067" s="88">
        <v>0</v>
      </c>
      <c r="G2067" s="78">
        <f>MAX(H2067,I2067,J2067)</f>
        <v>1</v>
      </c>
      <c r="H2067" s="88"/>
      <c r="I2067" s="88"/>
      <c r="J2067" s="78">
        <f>MAX(K2067:Q2067)</f>
        <v>1</v>
      </c>
      <c r="K2067" s="88">
        <v>1</v>
      </c>
      <c r="L2067" s="88"/>
      <c r="M2067" s="88"/>
      <c r="N2067" s="88"/>
      <c r="O2067" s="88"/>
      <c r="P2067" s="88"/>
      <c r="Q2067" s="88"/>
      <c r="R2067" s="78">
        <f>MAX(S2067:W2067)</f>
        <v>0</v>
      </c>
      <c r="S2067" s="88"/>
      <c r="T2067" s="88"/>
      <c r="U2067" s="88"/>
      <c r="V2067" s="88"/>
      <c r="W2067" s="88"/>
    </row>
    <row r="2068" spans="2:23" s="0" customFormat="0" ht="15">
      <c r="B2068" s="87" t="s">
        <v>1</v>
      </c>
      <c r="C2068" s="88" t="s">
        <v>5259</v>
      </c>
      <c r="D2068" s="88">
        <v>4422111</v>
      </c>
      <c r="E2068" s="88" t="s">
        <v>61</v>
      </c>
      <c r="F2068" s="88">
        <v>0</v>
      </c>
      <c r="G2068" s="78">
        <f>MAX(H2068,I2068,J2068)</f>
        <v>1</v>
      </c>
      <c r="H2068" s="88"/>
      <c r="I2068" s="88"/>
      <c r="J2068" s="78">
        <f>MAX(K2068:Q2068)</f>
        <v>1</v>
      </c>
      <c r="K2068" s="88">
        <v>1</v>
      </c>
      <c r="L2068" s="88"/>
      <c r="M2068" s="88"/>
      <c r="N2068" s="88"/>
      <c r="O2068" s="88"/>
      <c r="P2068" s="88"/>
      <c r="Q2068" s="88"/>
      <c r="R2068" s="78">
        <f>MAX(S2068:W2068)</f>
        <v>0</v>
      </c>
      <c r="S2068" s="88"/>
      <c r="T2068" s="88"/>
      <c r="U2068" s="88"/>
      <c r="V2068" s="88"/>
      <c r="W2068" s="88"/>
    </row>
    <row r="2069" spans="2:23" s="0" customFormat="0" ht="15">
      <c r="B2069" s="87" t="s">
        <v>1</v>
      </c>
      <c r="C2069" s="88" t="s">
        <v>5259</v>
      </c>
      <c r="D2069" s="88">
        <v>16192326</v>
      </c>
      <c r="E2069" s="88" t="s">
        <v>61</v>
      </c>
      <c r="F2069" s="88">
        <v>0</v>
      </c>
      <c r="G2069" s="78">
        <f>MAX(H2069,I2069,J2069)</f>
        <v>1</v>
      </c>
      <c r="H2069" s="88"/>
      <c r="I2069" s="88"/>
      <c r="J2069" s="78">
        <f>MAX(K2069:Q2069)</f>
        <v>1</v>
      </c>
      <c r="K2069" s="88">
        <v>1</v>
      </c>
      <c r="L2069" s="88"/>
      <c r="M2069" s="88"/>
      <c r="N2069" s="88"/>
      <c r="O2069" s="88"/>
      <c r="P2069" s="88"/>
      <c r="Q2069" s="88"/>
      <c r="R2069" s="78">
        <f>MAX(S2069:W2069)</f>
        <v>0</v>
      </c>
      <c r="S2069" s="88"/>
      <c r="T2069" s="88"/>
      <c r="U2069" s="88"/>
      <c r="V2069" s="88"/>
      <c r="W2069" s="88"/>
    </row>
    <row r="2070" spans="2:23" s="0" customFormat="0" ht="15">
      <c r="B2070" s="87" t="s">
        <v>1</v>
      </c>
      <c r="C2070" s="88" t="s">
        <v>5259</v>
      </c>
      <c r="D2070" s="88">
        <v>17849961</v>
      </c>
      <c r="E2070" s="88" t="s">
        <v>61</v>
      </c>
      <c r="F2070" s="88">
        <v>0</v>
      </c>
      <c r="G2070" s="78">
        <f>MAX(H2070,I2070,J2070)</f>
        <v>0</v>
      </c>
      <c r="H2070" s="88"/>
      <c r="I2070" s="88"/>
      <c r="J2070" s="78">
        <f>MAX(K2070:Q2070)</f>
        <v>0</v>
      </c>
      <c r="K2070" s="88"/>
      <c r="L2070" s="88"/>
      <c r="M2070" s="88"/>
      <c r="N2070" s="88"/>
      <c r="O2070" s="88"/>
      <c r="P2070" s="88"/>
      <c r="Q2070" s="88"/>
      <c r="R2070" s="78">
        <f>MAX(S2070:W2070)</f>
        <v>1</v>
      </c>
      <c r="S2070" s="88"/>
      <c r="T2070" s="88"/>
      <c r="U2070" s="88">
        <v>1</v>
      </c>
      <c r="V2070" s="88"/>
      <c r="W2070" s="88"/>
    </row>
    <row r="2071" spans="2:23" s="0" customFormat="0" ht="15">
      <c r="B2071" s="87" t="s">
        <v>1</v>
      </c>
      <c r="C2071" s="88" t="s">
        <v>5259</v>
      </c>
      <c r="D2071" s="88">
        <v>18638793</v>
      </c>
      <c r="E2071" s="88" t="s">
        <v>61</v>
      </c>
      <c r="F2071" s="88">
        <v>0</v>
      </c>
      <c r="G2071" s="78">
        <f>MAX(H2071,I2071,J2071)</f>
        <v>1</v>
      </c>
      <c r="H2071" s="88"/>
      <c r="I2071" s="88"/>
      <c r="J2071" s="78">
        <f>MAX(K2071:Q2071)</f>
        <v>1</v>
      </c>
      <c r="K2071" s="88">
        <v>1</v>
      </c>
      <c r="L2071" s="88"/>
      <c r="M2071" s="88"/>
      <c r="N2071" s="88"/>
      <c r="O2071" s="88"/>
      <c r="P2071" s="88"/>
      <c r="Q2071" s="88"/>
      <c r="R2071" s="78">
        <f>MAX(S2071:W2071)</f>
        <v>0</v>
      </c>
      <c r="S2071" s="88"/>
      <c r="T2071" s="88"/>
      <c r="U2071" s="88"/>
      <c r="V2071" s="88"/>
      <c r="W2071" s="88"/>
    </row>
    <row r="2072" spans="2:23" s="0" customFormat="0" ht="15">
      <c r="B2072" s="87" t="s">
        <v>1</v>
      </c>
      <c r="C2072" s="88" t="s">
        <v>5259</v>
      </c>
      <c r="D2072" s="88">
        <v>23938408</v>
      </c>
      <c r="E2072" s="88" t="s">
        <v>61</v>
      </c>
      <c r="F2072" s="88">
        <v>0</v>
      </c>
      <c r="G2072" s="78">
        <f>MAX(H2072,I2072,J2072)</f>
        <v>1</v>
      </c>
      <c r="H2072" s="88"/>
      <c r="I2072" s="88"/>
      <c r="J2072" s="78">
        <f>MAX(K2072:Q2072)</f>
        <v>1</v>
      </c>
      <c r="K2072" s="88">
        <v>1</v>
      </c>
      <c r="L2072" s="88"/>
      <c r="M2072" s="88"/>
      <c r="N2072" s="88"/>
      <c r="O2072" s="88"/>
      <c r="P2072" s="88"/>
      <c r="Q2072" s="88"/>
      <c r="R2072" s="78">
        <f>MAX(S2072:W2072)</f>
        <v>0</v>
      </c>
      <c r="S2072" s="88"/>
      <c r="T2072" s="88"/>
      <c r="U2072" s="88"/>
      <c r="V2072" s="88"/>
      <c r="W2072" s="88"/>
    </row>
    <row r="2073" spans="2:23" s="0" customFormat="0" ht="15">
      <c r="B2073" s="87" t="s">
        <v>1</v>
      </c>
      <c r="C2073" s="88" t="s">
        <v>5259</v>
      </c>
      <c r="D2073" s="88">
        <v>3515308</v>
      </c>
      <c r="E2073" s="88" t="s">
        <v>61</v>
      </c>
      <c r="F2073" s="88">
        <v>0</v>
      </c>
      <c r="G2073" s="78">
        <f>MAX(H2073,I2073,J2073)</f>
        <v>1</v>
      </c>
      <c r="H2073" s="88"/>
      <c r="I2073" s="88"/>
      <c r="J2073" s="78">
        <f>MAX(K2073:Q2073)</f>
        <v>1</v>
      </c>
      <c r="K2073" s="88">
        <v>1</v>
      </c>
      <c r="L2073" s="88"/>
      <c r="M2073" s="88"/>
      <c r="N2073" s="88"/>
      <c r="O2073" s="88"/>
      <c r="P2073" s="88"/>
      <c r="Q2073" s="88"/>
      <c r="R2073" s="78">
        <f>MAX(S2073:W2073)</f>
        <v>0</v>
      </c>
      <c r="S2073" s="88"/>
      <c r="T2073" s="88"/>
      <c r="U2073" s="88"/>
      <c r="V2073" s="88"/>
      <c r="W2073" s="88"/>
    </row>
    <row r="2074" spans="2:23" s="0" customFormat="0" ht="15">
      <c r="B2074" s="87" t="s">
        <v>1</v>
      </c>
      <c r="C2074" s="88" t="s">
        <v>5259</v>
      </c>
      <c r="D2074" s="88">
        <v>13700915</v>
      </c>
      <c r="E2074" s="88" t="s">
        <v>61</v>
      </c>
      <c r="F2074" s="88">
        <v>0</v>
      </c>
      <c r="G2074" s="78">
        <f>MAX(H2074,I2074,J2074)</f>
        <v>1</v>
      </c>
      <c r="H2074" s="88"/>
      <c r="I2074" s="88"/>
      <c r="J2074" s="78">
        <f>MAX(K2074:Q2074)</f>
        <v>1</v>
      </c>
      <c r="K2074" s="88">
        <v>1</v>
      </c>
      <c r="L2074" s="88"/>
      <c r="M2074" s="88"/>
      <c r="N2074" s="88"/>
      <c r="O2074" s="88"/>
      <c r="P2074" s="88"/>
      <c r="Q2074" s="88"/>
      <c r="R2074" s="78">
        <f>MAX(S2074:W2074)</f>
        <v>0</v>
      </c>
      <c r="S2074" s="88"/>
      <c r="T2074" s="88"/>
      <c r="U2074" s="88"/>
      <c r="V2074" s="88"/>
      <c r="W2074" s="88"/>
    </row>
    <row r="2075" spans="2:23" s="0" customFormat="0" ht="15">
      <c r="B2075" s="87" t="s">
        <v>1</v>
      </c>
      <c r="C2075" s="88" t="s">
        <v>5259</v>
      </c>
      <c r="D2075" s="88">
        <v>9159514</v>
      </c>
      <c r="E2075" s="88" t="s">
        <v>61</v>
      </c>
      <c r="F2075" s="88">
        <v>0</v>
      </c>
      <c r="G2075" s="78">
        <f>MAX(H2075,I2075,J2075)</f>
        <v>1</v>
      </c>
      <c r="H2075" s="88"/>
      <c r="I2075" s="88"/>
      <c r="J2075" s="78">
        <f>MAX(K2075:Q2075)</f>
        <v>1</v>
      </c>
      <c r="K2075" s="88">
        <v>1</v>
      </c>
      <c r="L2075" s="88"/>
      <c r="M2075" s="88"/>
      <c r="N2075" s="88"/>
      <c r="O2075" s="88"/>
      <c r="P2075" s="88"/>
      <c r="Q2075" s="88"/>
      <c r="R2075" s="78">
        <f>MAX(S2075:W2075)</f>
        <v>0</v>
      </c>
      <c r="S2075" s="88"/>
      <c r="T2075" s="88"/>
      <c r="U2075" s="88"/>
      <c r="V2075" s="88"/>
      <c r="W2075" s="88"/>
    </row>
    <row r="2076" spans="2:23" s="0" customFormat="0" ht="15">
      <c r="B2076" s="87" t="s">
        <v>1</v>
      </c>
      <c r="C2076" s="88" t="s">
        <v>5259</v>
      </c>
      <c r="D2076" s="88" t="s">
        <v>755</v>
      </c>
      <c r="E2076" s="88" t="s">
        <v>61</v>
      </c>
      <c r="F2076" s="88">
        <v>0</v>
      </c>
      <c r="G2076" s="78">
        <f>MAX(H2076,I2076,J2076)</f>
        <v>1</v>
      </c>
      <c r="H2076" s="88"/>
      <c r="I2076" s="88"/>
      <c r="J2076" s="78">
        <f>MAX(K2076:Q2076)</f>
        <v>1</v>
      </c>
      <c r="K2076" s="88">
        <v>1</v>
      </c>
      <c r="L2076" s="88"/>
      <c r="M2076" s="88"/>
      <c r="N2076" s="88"/>
      <c r="O2076" s="88"/>
      <c r="P2076" s="88"/>
      <c r="Q2076" s="88"/>
      <c r="R2076" s="78">
        <f>MAX(S2076:W2076)</f>
        <v>0</v>
      </c>
      <c r="S2076" s="88"/>
      <c r="T2076" s="88"/>
      <c r="U2076" s="88"/>
      <c r="V2076" s="88"/>
      <c r="W2076" s="88"/>
    </row>
    <row r="2077" spans="2:23" s="0" customFormat="0" ht="15">
      <c r="B2077" s="87" t="s">
        <v>1</v>
      </c>
      <c r="C2077" s="88" t="s">
        <v>5259</v>
      </c>
      <c r="D2077" s="88">
        <v>14504624</v>
      </c>
      <c r="E2077" s="88" t="s">
        <v>61</v>
      </c>
      <c r="F2077" s="88">
        <v>0</v>
      </c>
      <c r="G2077" s="78">
        <f>MAX(H2077,I2077,J2077)</f>
        <v>0</v>
      </c>
      <c r="H2077" s="88"/>
      <c r="I2077" s="88"/>
      <c r="J2077" s="78">
        <f>MAX(K2077:Q2077)</f>
        <v>0</v>
      </c>
      <c r="K2077" s="88"/>
      <c r="L2077" s="88"/>
      <c r="M2077" s="88"/>
      <c r="N2077" s="88"/>
      <c r="O2077" s="88"/>
      <c r="P2077" s="88"/>
      <c r="Q2077" s="88"/>
      <c r="R2077" s="78">
        <f>MAX(S2077:W2077)</f>
        <v>1</v>
      </c>
      <c r="S2077" s="88"/>
      <c r="T2077" s="88"/>
      <c r="U2077" s="88">
        <v>1</v>
      </c>
      <c r="V2077" s="88"/>
      <c r="W2077" s="88"/>
    </row>
    <row r="2078" spans="2:23" s="0" customFormat="0" ht="15">
      <c r="B2078" s="87" t="s">
        <v>1</v>
      </c>
      <c r="C2078" s="88" t="s">
        <v>5259</v>
      </c>
      <c r="D2078" s="88">
        <v>23061858</v>
      </c>
      <c r="E2078" s="88" t="s">
        <v>61</v>
      </c>
      <c r="F2078" s="88">
        <v>0</v>
      </c>
      <c r="G2078" s="78">
        <f>MAX(H2078,I2078,J2078)</f>
        <v>1</v>
      </c>
      <c r="H2078" s="88"/>
      <c r="I2078" s="88"/>
      <c r="J2078" s="78">
        <f>MAX(K2078:Q2078)</f>
        <v>1</v>
      </c>
      <c r="K2078" s="88">
        <v>1</v>
      </c>
      <c r="L2078" s="88"/>
      <c r="M2078" s="88"/>
      <c r="N2078" s="88"/>
      <c r="O2078" s="88"/>
      <c r="P2078" s="88"/>
      <c r="Q2078" s="88"/>
      <c r="R2078" s="78">
        <f>MAX(S2078:W2078)</f>
        <v>0</v>
      </c>
      <c r="S2078" s="88"/>
      <c r="T2078" s="88"/>
      <c r="U2078" s="88"/>
      <c r="V2078" s="88"/>
      <c r="W2078" s="88"/>
    </row>
    <row r="2079" spans="2:23" s="0" customFormat="0" ht="15">
      <c r="B2079" s="87" t="s">
        <v>1</v>
      </c>
      <c r="C2079" s="88" t="s">
        <v>5259</v>
      </c>
      <c r="D2079" s="88">
        <v>23394686</v>
      </c>
      <c r="E2079" s="88" t="s">
        <v>61</v>
      </c>
      <c r="F2079" s="88">
        <v>0</v>
      </c>
      <c r="G2079" s="78">
        <f>MAX(H2079,I2079,J2079)</f>
        <v>1</v>
      </c>
      <c r="H2079" s="88"/>
      <c r="I2079" s="88"/>
      <c r="J2079" s="78">
        <f>MAX(K2079:Q2079)</f>
        <v>1</v>
      </c>
      <c r="K2079" s="88">
        <v>1</v>
      </c>
      <c r="L2079" s="88"/>
      <c r="M2079" s="88"/>
      <c r="N2079" s="88"/>
      <c r="O2079" s="88"/>
      <c r="P2079" s="88"/>
      <c r="Q2079" s="88"/>
      <c r="R2079" s="78">
        <f>MAX(S2079:W2079)</f>
        <v>0</v>
      </c>
      <c r="S2079" s="88"/>
      <c r="T2079" s="88"/>
      <c r="U2079" s="88"/>
      <c r="V2079" s="88"/>
      <c r="W2079" s="88"/>
    </row>
    <row r="2080" spans="2:23" s="0" customFormat="0" ht="15">
      <c r="B2080" s="87" t="s">
        <v>1</v>
      </c>
      <c r="C2080" s="88" t="s">
        <v>5259</v>
      </c>
      <c r="D2080" s="88">
        <v>15505727</v>
      </c>
      <c r="E2080" s="88" t="s">
        <v>61</v>
      </c>
      <c r="F2080" s="88">
        <v>0</v>
      </c>
      <c r="G2080" s="78">
        <f>MAX(H2080,I2080,J2080)</f>
        <v>1</v>
      </c>
      <c r="H2080" s="88"/>
      <c r="I2080" s="88"/>
      <c r="J2080" s="78">
        <f>MAX(K2080:Q2080)</f>
        <v>1</v>
      </c>
      <c r="K2080" s="88">
        <v>1</v>
      </c>
      <c r="L2080" s="88"/>
      <c r="M2080" s="88"/>
      <c r="N2080" s="88"/>
      <c r="O2080" s="88"/>
      <c r="P2080" s="88"/>
      <c r="Q2080" s="88"/>
      <c r="R2080" s="78">
        <f>MAX(S2080:W2080)</f>
        <v>0</v>
      </c>
      <c r="S2080" s="88"/>
      <c r="T2080" s="88"/>
      <c r="U2080" s="88"/>
      <c r="V2080" s="88"/>
      <c r="W2080" s="88"/>
    </row>
    <row r="2081" spans="2:23" s="0" customFormat="0" ht="15">
      <c r="B2081" s="87" t="s">
        <v>1</v>
      </c>
      <c r="C2081" s="88" t="s">
        <v>5259</v>
      </c>
      <c r="D2081" s="88" t="s">
        <v>4260</v>
      </c>
      <c r="E2081" s="88" t="s">
        <v>61</v>
      </c>
      <c r="F2081" s="88">
        <v>0</v>
      </c>
      <c r="G2081" s="78">
        <f>MAX(H2081,I2081,J2081)</f>
        <v>0</v>
      </c>
      <c r="H2081" s="88"/>
      <c r="I2081" s="88"/>
      <c r="J2081" s="78">
        <f>MAX(K2081:Q2081)</f>
        <v>0</v>
      </c>
      <c r="K2081" s="88"/>
      <c r="L2081" s="88"/>
      <c r="M2081" s="88"/>
      <c r="N2081" s="88"/>
      <c r="O2081" s="88"/>
      <c r="P2081" s="88"/>
      <c r="Q2081" s="88"/>
      <c r="R2081" s="78">
        <f>MAX(S2081:W2081)</f>
        <v>1</v>
      </c>
      <c r="S2081" s="88"/>
      <c r="T2081" s="88"/>
      <c r="U2081" s="88">
        <v>1</v>
      </c>
      <c r="V2081" s="88"/>
      <c r="W2081" s="88"/>
    </row>
    <row r="2082" spans="2:23" s="0" customFormat="0" ht="15">
      <c r="B2082" s="87" t="s">
        <v>1</v>
      </c>
      <c r="C2082" s="88" t="s">
        <v>5259</v>
      </c>
      <c r="D2082" s="88" t="s">
        <v>4262</v>
      </c>
      <c r="E2082" s="88" t="s">
        <v>61</v>
      </c>
      <c r="F2082" s="88">
        <v>0</v>
      </c>
      <c r="G2082" s="78">
        <f>MAX(H2082,I2082,J2082)</f>
        <v>0</v>
      </c>
      <c r="H2082" s="88"/>
      <c r="I2082" s="88"/>
      <c r="J2082" s="78">
        <f>MAX(K2082:Q2082)</f>
        <v>0</v>
      </c>
      <c r="K2082" s="88"/>
      <c r="L2082" s="88"/>
      <c r="M2082" s="88"/>
      <c r="N2082" s="88"/>
      <c r="O2082" s="88"/>
      <c r="P2082" s="88"/>
      <c r="Q2082" s="88"/>
      <c r="R2082" s="78">
        <f>MAX(S2082:W2082)</f>
        <v>1</v>
      </c>
      <c r="S2082" s="88"/>
      <c r="T2082" s="88"/>
      <c r="U2082" s="88">
        <v>1</v>
      </c>
      <c r="V2082" s="88"/>
      <c r="W2082" s="88"/>
    </row>
    <row r="2083" spans="2:23" s="0" customFormat="0" ht="15">
      <c r="B2083" s="87" t="s">
        <v>1</v>
      </c>
      <c r="C2083" s="88" t="s">
        <v>5259</v>
      </c>
      <c r="D2083" s="88">
        <v>15137351</v>
      </c>
      <c r="E2083" s="88" t="s">
        <v>61</v>
      </c>
      <c r="F2083" s="88">
        <v>0</v>
      </c>
      <c r="G2083" s="78">
        <f>MAX(H2083,I2083,J2083)</f>
        <v>1</v>
      </c>
      <c r="H2083" s="88"/>
      <c r="I2083" s="88"/>
      <c r="J2083" s="78">
        <f>MAX(K2083:Q2083)</f>
        <v>1</v>
      </c>
      <c r="K2083" s="88">
        <v>1</v>
      </c>
      <c r="L2083" s="88"/>
      <c r="M2083" s="88"/>
      <c r="N2083" s="88"/>
      <c r="O2083" s="88"/>
      <c r="P2083" s="88"/>
      <c r="Q2083" s="88"/>
      <c r="R2083" s="78">
        <f>MAX(S2083:W2083)</f>
        <v>0</v>
      </c>
      <c r="S2083" s="88"/>
      <c r="T2083" s="88"/>
      <c r="U2083" s="88"/>
      <c r="V2083" s="88"/>
      <c r="W2083" s="88"/>
    </row>
    <row r="2084" spans="2:23" s="0" customFormat="0" ht="15">
      <c r="B2084" s="87" t="s">
        <v>1</v>
      </c>
      <c r="C2084" s="88" t="s">
        <v>5259</v>
      </c>
      <c r="D2084" s="88">
        <v>8657585</v>
      </c>
      <c r="E2084" s="88" t="s">
        <v>61</v>
      </c>
      <c r="F2084" s="88">
        <v>0</v>
      </c>
      <c r="G2084" s="78">
        <f>MAX(H2084,I2084,J2084)</f>
        <v>1</v>
      </c>
      <c r="H2084" s="88"/>
      <c r="I2084" s="88"/>
      <c r="J2084" s="78">
        <f>MAX(K2084:Q2084)</f>
        <v>1</v>
      </c>
      <c r="K2084" s="88">
        <v>1</v>
      </c>
      <c r="L2084" s="88"/>
      <c r="M2084" s="88"/>
      <c r="N2084" s="88"/>
      <c r="O2084" s="88"/>
      <c r="P2084" s="88"/>
      <c r="Q2084" s="88"/>
      <c r="R2084" s="78">
        <f>MAX(S2084:W2084)</f>
        <v>0</v>
      </c>
      <c r="S2084" s="88"/>
      <c r="T2084" s="88"/>
      <c r="U2084" s="88"/>
      <c r="V2084" s="88"/>
      <c r="W2084" s="88"/>
    </row>
    <row r="2085" spans="2:23" s="0" customFormat="0" ht="15">
      <c r="B2085" s="87" t="s">
        <v>1</v>
      </c>
      <c r="C2085" s="88" t="s">
        <v>5259</v>
      </c>
      <c r="D2085" s="88" t="s">
        <v>1555</v>
      </c>
      <c r="E2085" s="88" t="s">
        <v>61</v>
      </c>
      <c r="F2085" s="88">
        <v>0</v>
      </c>
      <c r="G2085" s="78">
        <f>MAX(H2085,I2085,J2085)</f>
        <v>1</v>
      </c>
      <c r="H2085" s="88"/>
      <c r="I2085" s="88"/>
      <c r="J2085" s="78">
        <f>MAX(K2085:Q2085)</f>
        <v>1</v>
      </c>
      <c r="K2085" s="88">
        <v>1</v>
      </c>
      <c r="L2085" s="88"/>
      <c r="M2085" s="88"/>
      <c r="N2085" s="88"/>
      <c r="O2085" s="88"/>
      <c r="P2085" s="88"/>
      <c r="Q2085" s="88"/>
      <c r="R2085" s="78">
        <f>MAX(S2085:W2085)</f>
        <v>0</v>
      </c>
      <c r="S2085" s="88"/>
      <c r="T2085" s="88"/>
      <c r="U2085" s="88"/>
      <c r="V2085" s="88"/>
      <c r="W2085" s="88"/>
    </row>
    <row r="2086" spans="2:23" s="0" customFormat="0" ht="15">
      <c r="B2086" s="87" t="s">
        <v>1</v>
      </c>
      <c r="C2086" s="88" t="s">
        <v>5259</v>
      </c>
      <c r="D2086" s="88">
        <v>12641065</v>
      </c>
      <c r="E2086" s="88" t="s">
        <v>61</v>
      </c>
      <c r="F2086" s="88">
        <v>0</v>
      </c>
      <c r="G2086" s="78">
        <f>MAX(H2086,I2086,J2086)</f>
        <v>1</v>
      </c>
      <c r="H2086" s="88"/>
      <c r="I2086" s="88"/>
      <c r="J2086" s="78">
        <f>MAX(K2086:Q2086)</f>
        <v>1</v>
      </c>
      <c r="K2086" s="88">
        <v>1</v>
      </c>
      <c r="L2086" s="88"/>
      <c r="M2086" s="88"/>
      <c r="N2086" s="88"/>
      <c r="O2086" s="88"/>
      <c r="P2086" s="88"/>
      <c r="Q2086" s="88"/>
      <c r="R2086" s="78">
        <f>MAX(S2086:W2086)</f>
        <v>0</v>
      </c>
      <c r="S2086" s="88"/>
      <c r="T2086" s="88"/>
      <c r="U2086" s="88"/>
      <c r="V2086" s="88"/>
      <c r="W2086" s="88"/>
    </row>
    <row r="2087" spans="2:23" s="0" customFormat="0" ht="15">
      <c r="B2087" s="87" t="s">
        <v>1</v>
      </c>
      <c r="C2087" s="88" t="s">
        <v>5259</v>
      </c>
      <c r="D2087" s="88">
        <v>14504632</v>
      </c>
      <c r="E2087" s="88" t="s">
        <v>61</v>
      </c>
      <c r="F2087" s="88">
        <v>0</v>
      </c>
      <c r="G2087" s="78">
        <f>MAX(H2087,I2087,J2087)</f>
        <v>0</v>
      </c>
      <c r="H2087" s="88"/>
      <c r="I2087" s="88"/>
      <c r="J2087" s="78">
        <f>MAX(K2087:Q2087)</f>
        <v>0</v>
      </c>
      <c r="K2087" s="88"/>
      <c r="L2087" s="88"/>
      <c r="M2087" s="88"/>
      <c r="N2087" s="88"/>
      <c r="O2087" s="88"/>
      <c r="P2087" s="88"/>
      <c r="Q2087" s="88"/>
      <c r="R2087" s="78">
        <f>MAX(S2087:W2087)</f>
        <v>1</v>
      </c>
      <c r="S2087" s="88"/>
      <c r="T2087" s="88"/>
      <c r="U2087" s="88">
        <v>1</v>
      </c>
      <c r="V2087" s="88"/>
      <c r="W2087" s="88"/>
    </row>
    <row r="2088" spans="2:23" s="0" customFormat="0" ht="15">
      <c r="B2088" s="87" t="s">
        <v>1</v>
      </c>
      <c r="C2088" s="88" t="s">
        <v>5259</v>
      </c>
      <c r="D2088" s="88" t="s">
        <v>1557</v>
      </c>
      <c r="E2088" s="88" t="s">
        <v>61</v>
      </c>
      <c r="F2088" s="88">
        <v>0</v>
      </c>
      <c r="G2088" s="78">
        <f>MAX(H2088,I2088,J2088)</f>
        <v>1</v>
      </c>
      <c r="H2088" s="88"/>
      <c r="I2088" s="88"/>
      <c r="J2088" s="78">
        <f>MAX(K2088:Q2088)</f>
        <v>1</v>
      </c>
      <c r="K2088" s="88">
        <v>1</v>
      </c>
      <c r="L2088" s="88"/>
      <c r="M2088" s="88"/>
      <c r="N2088" s="88"/>
      <c r="O2088" s="88"/>
      <c r="P2088" s="88"/>
      <c r="Q2088" s="88"/>
      <c r="R2088" s="78">
        <f>MAX(S2088:W2088)</f>
        <v>0</v>
      </c>
      <c r="S2088" s="88"/>
      <c r="T2088" s="88"/>
      <c r="U2088" s="88"/>
      <c r="V2088" s="88"/>
      <c r="W2088" s="88"/>
    </row>
    <row r="2089" spans="2:23" s="0" customFormat="0" ht="15">
      <c r="B2089" s="87" t="s">
        <v>1</v>
      </c>
      <c r="C2089" s="88" t="s">
        <v>5259</v>
      </c>
      <c r="D2089" s="88">
        <v>11828354</v>
      </c>
      <c r="E2089" s="88" t="s">
        <v>61</v>
      </c>
      <c r="F2089" s="88">
        <v>0</v>
      </c>
      <c r="G2089" s="78">
        <f>MAX(H2089,I2089,J2089)</f>
        <v>1</v>
      </c>
      <c r="H2089" s="88"/>
      <c r="I2089" s="88"/>
      <c r="J2089" s="78">
        <f>MAX(K2089:Q2089)</f>
        <v>1</v>
      </c>
      <c r="K2089" s="88">
        <v>1</v>
      </c>
      <c r="L2089" s="88"/>
      <c r="M2089" s="88"/>
      <c r="N2089" s="88"/>
      <c r="O2089" s="88"/>
      <c r="P2089" s="88"/>
      <c r="Q2089" s="88"/>
      <c r="R2089" s="78">
        <f>MAX(S2089:W2089)</f>
        <v>0</v>
      </c>
      <c r="S2089" s="88"/>
      <c r="T2089" s="88"/>
      <c r="U2089" s="88"/>
      <c r="V2089" s="88"/>
      <c r="W2089" s="88"/>
    </row>
    <row r="2090" spans="2:23" s="0" customFormat="0" ht="15">
      <c r="B2090" s="87" t="s">
        <v>1</v>
      </c>
      <c r="C2090" s="88" t="s">
        <v>5259</v>
      </c>
      <c r="D2090" s="88">
        <v>18714148</v>
      </c>
      <c r="E2090" s="88" t="s">
        <v>61</v>
      </c>
      <c r="F2090" s="88">
        <v>0</v>
      </c>
      <c r="G2090" s="78">
        <f>MAX(H2090,I2090,J2090)</f>
        <v>1</v>
      </c>
      <c r="H2090" s="88"/>
      <c r="I2090" s="88"/>
      <c r="J2090" s="78">
        <f>MAX(K2090:Q2090)</f>
        <v>1</v>
      </c>
      <c r="K2090" s="88">
        <v>1</v>
      </c>
      <c r="L2090" s="88"/>
      <c r="M2090" s="88"/>
      <c r="N2090" s="88"/>
      <c r="O2090" s="88"/>
      <c r="P2090" s="88"/>
      <c r="Q2090" s="88"/>
      <c r="R2090" s="78">
        <f>MAX(S2090:W2090)</f>
        <v>0</v>
      </c>
      <c r="S2090" s="88"/>
      <c r="T2090" s="88"/>
      <c r="U2090" s="88"/>
      <c r="V2090" s="88"/>
      <c r="W2090" s="88"/>
    </row>
    <row r="2091" spans="2:23" s="0" customFormat="0" ht="15">
      <c r="B2091" s="87" t="s">
        <v>1</v>
      </c>
      <c r="C2091" s="88" t="s">
        <v>5259</v>
      </c>
      <c r="D2091" s="88">
        <v>18807689</v>
      </c>
      <c r="E2091" s="88" t="s">
        <v>61</v>
      </c>
      <c r="F2091" s="88">
        <v>0</v>
      </c>
      <c r="G2091" s="78">
        <f>MAX(H2091,I2091,J2091)</f>
        <v>1</v>
      </c>
      <c r="H2091" s="88"/>
      <c r="I2091" s="88"/>
      <c r="J2091" s="78">
        <f>MAX(K2091:Q2091)</f>
        <v>1</v>
      </c>
      <c r="K2091" s="88">
        <v>1</v>
      </c>
      <c r="L2091" s="88"/>
      <c r="M2091" s="88"/>
      <c r="N2091" s="88"/>
      <c r="O2091" s="88"/>
      <c r="P2091" s="88"/>
      <c r="Q2091" s="88"/>
      <c r="R2091" s="78">
        <f>MAX(S2091:W2091)</f>
        <v>0</v>
      </c>
      <c r="S2091" s="88"/>
      <c r="T2091" s="88"/>
      <c r="U2091" s="88"/>
      <c r="V2091" s="88"/>
      <c r="W2091" s="88"/>
    </row>
    <row r="2092" spans="2:23" s="0" customFormat="0" ht="15">
      <c r="B2092" s="87" t="s">
        <v>1</v>
      </c>
      <c r="C2092" s="88" t="s">
        <v>5259</v>
      </c>
      <c r="D2092" s="88">
        <v>23297632</v>
      </c>
      <c r="E2092" s="88" t="s">
        <v>61</v>
      </c>
      <c r="F2092" s="88">
        <v>0</v>
      </c>
      <c r="G2092" s="78">
        <f>MAX(H2092,I2092,J2092)</f>
        <v>1</v>
      </c>
      <c r="H2092" s="88"/>
      <c r="I2092" s="88"/>
      <c r="J2092" s="78">
        <f>MAX(K2092:Q2092)</f>
        <v>1</v>
      </c>
      <c r="K2092" s="88">
        <v>1</v>
      </c>
      <c r="L2092" s="88"/>
      <c r="M2092" s="88"/>
      <c r="N2092" s="88"/>
      <c r="O2092" s="88"/>
      <c r="P2092" s="88"/>
      <c r="Q2092" s="88"/>
      <c r="R2092" s="78">
        <f>MAX(S2092:W2092)</f>
        <v>0</v>
      </c>
      <c r="S2092" s="88"/>
      <c r="T2092" s="88"/>
      <c r="U2092" s="88"/>
      <c r="V2092" s="88"/>
      <c r="W2092" s="88"/>
    </row>
    <row r="2093" spans="2:23" s="0" customFormat="0" ht="15">
      <c r="B2093" s="87" t="s">
        <v>1</v>
      </c>
      <c r="C2093" s="88" t="s">
        <v>5259</v>
      </c>
      <c r="D2093" s="88">
        <v>22698143</v>
      </c>
      <c r="E2093" s="88" t="s">
        <v>61</v>
      </c>
      <c r="F2093" s="88">
        <v>0</v>
      </c>
      <c r="G2093" s="78">
        <f>MAX(H2093,I2093,J2093)</f>
        <v>1</v>
      </c>
      <c r="H2093" s="88"/>
      <c r="I2093" s="88"/>
      <c r="J2093" s="78">
        <f>MAX(K2093:Q2093)</f>
        <v>1</v>
      </c>
      <c r="K2093" s="88">
        <v>1</v>
      </c>
      <c r="L2093" s="88"/>
      <c r="M2093" s="88"/>
      <c r="N2093" s="88"/>
      <c r="O2093" s="88"/>
      <c r="P2093" s="88"/>
      <c r="Q2093" s="88"/>
      <c r="R2093" s="78">
        <f>MAX(S2093:W2093)</f>
        <v>0</v>
      </c>
      <c r="S2093" s="88"/>
      <c r="T2093" s="88"/>
      <c r="U2093" s="88"/>
      <c r="V2093" s="88"/>
      <c r="W2093" s="88"/>
    </row>
    <row r="2094" spans="2:23" s="0" customFormat="0" ht="15">
      <c r="B2094" s="87" t="s">
        <v>1</v>
      </c>
      <c r="C2094" s="88" t="s">
        <v>5259</v>
      </c>
      <c r="D2094" s="88" t="s">
        <v>4265</v>
      </c>
      <c r="E2094" s="88" t="s">
        <v>61</v>
      </c>
      <c r="F2094" s="88">
        <v>0</v>
      </c>
      <c r="G2094" s="78">
        <f>MAX(H2094,I2094,J2094)</f>
        <v>0</v>
      </c>
      <c r="H2094" s="88"/>
      <c r="I2094" s="88"/>
      <c r="J2094" s="78">
        <f>MAX(K2094:Q2094)</f>
        <v>0</v>
      </c>
      <c r="K2094" s="88"/>
      <c r="L2094" s="88"/>
      <c r="M2094" s="88"/>
      <c r="N2094" s="88"/>
      <c r="O2094" s="88"/>
      <c r="P2094" s="88"/>
      <c r="Q2094" s="88"/>
      <c r="R2094" s="78">
        <f>MAX(S2094:W2094)</f>
        <v>1</v>
      </c>
      <c r="S2094" s="88"/>
      <c r="T2094" s="88"/>
      <c r="U2094" s="88">
        <v>1</v>
      </c>
      <c r="V2094" s="88"/>
      <c r="W2094" s="88"/>
    </row>
    <row r="2095" spans="2:23" s="0" customFormat="0" ht="15">
      <c r="B2095" s="87" t="s">
        <v>1</v>
      </c>
      <c r="C2095" s="88" t="s">
        <v>5259</v>
      </c>
      <c r="D2095" s="88" t="s">
        <v>4267</v>
      </c>
      <c r="E2095" s="88" t="s">
        <v>61</v>
      </c>
      <c r="F2095" s="88">
        <v>0</v>
      </c>
      <c r="G2095" s="78">
        <f>MAX(H2095,I2095,J2095)</f>
        <v>0</v>
      </c>
      <c r="H2095" s="88"/>
      <c r="I2095" s="88"/>
      <c r="J2095" s="78">
        <f>MAX(K2095:Q2095)</f>
        <v>0</v>
      </c>
      <c r="K2095" s="88"/>
      <c r="L2095" s="88"/>
      <c r="M2095" s="88"/>
      <c r="N2095" s="88"/>
      <c r="O2095" s="88"/>
      <c r="P2095" s="88"/>
      <c r="Q2095" s="88"/>
      <c r="R2095" s="78">
        <f>MAX(S2095:W2095)</f>
        <v>1</v>
      </c>
      <c r="S2095" s="88"/>
      <c r="T2095" s="88"/>
      <c r="U2095" s="88">
        <v>1</v>
      </c>
      <c r="V2095" s="88"/>
      <c r="W2095" s="88"/>
    </row>
    <row r="2096" spans="2:23" s="0" customFormat="0" ht="15">
      <c r="B2096" s="87" t="s">
        <v>1</v>
      </c>
      <c r="C2096" s="88" t="s">
        <v>5259</v>
      </c>
      <c r="D2096" s="88">
        <v>21027852</v>
      </c>
      <c r="E2096" s="88" t="s">
        <v>61</v>
      </c>
      <c r="F2096" s="88">
        <v>0</v>
      </c>
      <c r="G2096" s="78">
        <f>MAX(H2096,I2096,J2096)</f>
        <v>0</v>
      </c>
      <c r="H2096" s="88"/>
      <c r="I2096" s="88"/>
      <c r="J2096" s="78">
        <f>MAX(K2096:Q2096)</f>
        <v>0</v>
      </c>
      <c r="K2096" s="88"/>
      <c r="L2096" s="88"/>
      <c r="M2096" s="88"/>
      <c r="N2096" s="88"/>
      <c r="O2096" s="88"/>
      <c r="P2096" s="88"/>
      <c r="Q2096" s="88"/>
      <c r="R2096" s="78">
        <f>MAX(S2096:W2096)</f>
        <v>1</v>
      </c>
      <c r="S2096" s="88"/>
      <c r="T2096" s="88"/>
      <c r="U2096" s="88">
        <v>1</v>
      </c>
      <c r="V2096" s="88"/>
      <c r="W2096" s="88"/>
    </row>
    <row r="2097" spans="2:23" s="0" customFormat="0" ht="15">
      <c r="B2097" s="87" t="s">
        <v>1</v>
      </c>
      <c r="C2097" s="88" t="s">
        <v>5259</v>
      </c>
      <c r="D2097" s="88">
        <v>2628622</v>
      </c>
      <c r="E2097" s="88" t="s">
        <v>61</v>
      </c>
      <c r="F2097" s="88">
        <v>0</v>
      </c>
      <c r="G2097" s="78">
        <f>MAX(H2097,I2097,J2097)</f>
        <v>1</v>
      </c>
      <c r="H2097" s="88"/>
      <c r="I2097" s="88"/>
      <c r="J2097" s="78">
        <f>MAX(K2097:Q2097)</f>
        <v>1</v>
      </c>
      <c r="K2097" s="88">
        <v>1</v>
      </c>
      <c r="L2097" s="88"/>
      <c r="M2097" s="88"/>
      <c r="N2097" s="88"/>
      <c r="O2097" s="88"/>
      <c r="P2097" s="88"/>
      <c r="Q2097" s="88"/>
      <c r="R2097" s="78">
        <f>MAX(S2097:W2097)</f>
        <v>0</v>
      </c>
      <c r="S2097" s="88"/>
      <c r="T2097" s="88"/>
      <c r="U2097" s="88"/>
      <c r="V2097" s="88"/>
      <c r="W2097" s="88"/>
    </row>
    <row r="2098" spans="2:23" s="0" customFormat="0" ht="15">
      <c r="B2098" s="87" t="s">
        <v>1</v>
      </c>
      <c r="C2098" s="88" t="s">
        <v>5259</v>
      </c>
      <c r="D2098" s="88" t="s">
        <v>1565</v>
      </c>
      <c r="E2098" s="88" t="s">
        <v>61</v>
      </c>
      <c r="F2098" s="88">
        <v>0</v>
      </c>
      <c r="G2098" s="78">
        <f>MAX(H2098,I2098,J2098)</f>
        <v>1</v>
      </c>
      <c r="H2098" s="88"/>
      <c r="I2098" s="88"/>
      <c r="J2098" s="78">
        <f>MAX(K2098:Q2098)</f>
        <v>1</v>
      </c>
      <c r="K2098" s="88">
        <v>1</v>
      </c>
      <c r="L2098" s="88"/>
      <c r="M2098" s="88"/>
      <c r="N2098" s="88"/>
      <c r="O2098" s="88"/>
      <c r="P2098" s="88"/>
      <c r="Q2098" s="88"/>
      <c r="R2098" s="78">
        <f>MAX(S2098:W2098)</f>
        <v>0</v>
      </c>
      <c r="S2098" s="88"/>
      <c r="T2098" s="88"/>
      <c r="U2098" s="88"/>
      <c r="V2098" s="88"/>
      <c r="W2098" s="88"/>
    </row>
    <row r="2099" spans="2:23" s="0" customFormat="0" ht="15">
      <c r="B2099" s="87" t="s">
        <v>1</v>
      </c>
      <c r="C2099" s="88" t="s">
        <v>5259</v>
      </c>
      <c r="D2099" s="88">
        <v>17241065</v>
      </c>
      <c r="E2099" s="88" t="s">
        <v>61</v>
      </c>
      <c r="F2099" s="88">
        <v>0</v>
      </c>
      <c r="G2099" s="78">
        <f>MAX(H2099,I2099,J2099)</f>
        <v>1</v>
      </c>
      <c r="H2099" s="88"/>
      <c r="I2099" s="88"/>
      <c r="J2099" s="78">
        <f>MAX(K2099:Q2099)</f>
        <v>1</v>
      </c>
      <c r="K2099" s="88">
        <v>1</v>
      </c>
      <c r="L2099" s="88"/>
      <c r="M2099" s="88"/>
      <c r="N2099" s="88"/>
      <c r="O2099" s="88"/>
      <c r="P2099" s="88"/>
      <c r="Q2099" s="88"/>
      <c r="R2099" s="78">
        <f>MAX(S2099:W2099)</f>
        <v>0</v>
      </c>
      <c r="S2099" s="88"/>
      <c r="T2099" s="88"/>
      <c r="U2099" s="88"/>
      <c r="V2099" s="88"/>
      <c r="W2099" s="88"/>
    </row>
    <row r="2100" spans="2:23" s="0" customFormat="0" ht="15">
      <c r="B2100" s="87" t="s">
        <v>1</v>
      </c>
      <c r="C2100" s="88" t="s">
        <v>5259</v>
      </c>
      <c r="D2100" s="88" t="s">
        <v>3688</v>
      </c>
      <c r="E2100" s="88" t="s">
        <v>61</v>
      </c>
      <c r="F2100" s="88">
        <v>0</v>
      </c>
      <c r="G2100" s="78">
        <f>MAX(H2100,I2100,J2100)</f>
        <v>0</v>
      </c>
      <c r="H2100" s="88"/>
      <c r="I2100" s="88"/>
      <c r="J2100" s="78">
        <f>MAX(K2100:Q2100)</f>
        <v>0</v>
      </c>
      <c r="K2100" s="88"/>
      <c r="L2100" s="88"/>
      <c r="M2100" s="88"/>
      <c r="N2100" s="88"/>
      <c r="O2100" s="88"/>
      <c r="P2100" s="88"/>
      <c r="Q2100" s="88"/>
      <c r="R2100" s="78">
        <f>MAX(S2100:W2100)</f>
        <v>1</v>
      </c>
      <c r="S2100" s="88"/>
      <c r="T2100" s="88"/>
      <c r="U2100" s="88">
        <v>1</v>
      </c>
      <c r="V2100" s="88"/>
      <c r="W2100" s="88"/>
    </row>
    <row r="2101" spans="2:23" s="0" customFormat="0" ht="15">
      <c r="B2101" s="87" t="s">
        <v>1</v>
      </c>
      <c r="C2101" s="88" t="s">
        <v>5259</v>
      </c>
      <c r="D2101" s="88">
        <v>24956618</v>
      </c>
      <c r="E2101" s="88" t="s">
        <v>61</v>
      </c>
      <c r="F2101" s="88">
        <v>0</v>
      </c>
      <c r="G2101" s="78">
        <f>MAX(H2101,I2101,J2101)</f>
        <v>1</v>
      </c>
      <c r="H2101" s="88"/>
      <c r="I2101" s="88"/>
      <c r="J2101" s="78">
        <f>MAX(K2101:Q2101)</f>
        <v>1</v>
      </c>
      <c r="K2101" s="88">
        <v>1</v>
      </c>
      <c r="L2101" s="88"/>
      <c r="M2101" s="88"/>
      <c r="N2101" s="88"/>
      <c r="O2101" s="88"/>
      <c r="P2101" s="88"/>
      <c r="Q2101" s="88"/>
      <c r="R2101" s="78">
        <f>MAX(S2101:W2101)</f>
        <v>0</v>
      </c>
      <c r="S2101" s="88"/>
      <c r="T2101" s="88"/>
      <c r="U2101" s="88"/>
      <c r="V2101" s="88"/>
      <c r="W2101" s="88"/>
    </row>
    <row r="2102" spans="2:23" s="0" customFormat="0" ht="15">
      <c r="B2102" s="87" t="s">
        <v>1</v>
      </c>
      <c r="C2102" s="88" t="s">
        <v>5259</v>
      </c>
      <c r="D2102" s="88">
        <v>17327948</v>
      </c>
      <c r="E2102" s="88" t="s">
        <v>61</v>
      </c>
      <c r="F2102" s="88">
        <v>0</v>
      </c>
      <c r="G2102" s="78">
        <f>MAX(H2102,I2102,J2102)</f>
        <v>1</v>
      </c>
      <c r="H2102" s="88"/>
      <c r="I2102" s="88"/>
      <c r="J2102" s="78">
        <f>MAX(K2102:Q2102)</f>
        <v>1</v>
      </c>
      <c r="K2102" s="88">
        <v>1</v>
      </c>
      <c r="L2102" s="88"/>
      <c r="M2102" s="88"/>
      <c r="N2102" s="88"/>
      <c r="O2102" s="88"/>
      <c r="P2102" s="88"/>
      <c r="Q2102" s="88"/>
      <c r="R2102" s="78">
        <f>MAX(S2102:W2102)</f>
        <v>0</v>
      </c>
      <c r="S2102" s="88"/>
      <c r="T2102" s="88"/>
      <c r="U2102" s="88"/>
      <c r="V2102" s="88"/>
      <c r="W2102" s="88"/>
    </row>
    <row r="2103" spans="2:23" s="0" customFormat="0" ht="15">
      <c r="B2103" s="87" t="s">
        <v>1</v>
      </c>
      <c r="C2103" s="88" t="s">
        <v>5259</v>
      </c>
      <c r="D2103" s="88" t="s">
        <v>4269</v>
      </c>
      <c r="E2103" s="88" t="s">
        <v>61</v>
      </c>
      <c r="F2103" s="88">
        <v>0</v>
      </c>
      <c r="G2103" s="78">
        <f>MAX(H2103,I2103,J2103)</f>
        <v>0</v>
      </c>
      <c r="H2103" s="88"/>
      <c r="I2103" s="88"/>
      <c r="J2103" s="78">
        <f>MAX(K2103:Q2103)</f>
        <v>0</v>
      </c>
      <c r="K2103" s="88"/>
      <c r="L2103" s="88"/>
      <c r="M2103" s="88"/>
      <c r="N2103" s="88"/>
      <c r="O2103" s="88"/>
      <c r="P2103" s="88"/>
      <c r="Q2103" s="88"/>
      <c r="R2103" s="78">
        <f>MAX(S2103:W2103)</f>
        <v>1</v>
      </c>
      <c r="S2103" s="88"/>
      <c r="T2103" s="88"/>
      <c r="U2103" s="88">
        <v>1</v>
      </c>
      <c r="V2103" s="88"/>
      <c r="W2103" s="88"/>
    </row>
    <row r="2104" spans="2:23" s="0" customFormat="0" ht="15">
      <c r="B2104" s="87" t="s">
        <v>1</v>
      </c>
      <c r="C2104" s="88" t="s">
        <v>5259</v>
      </c>
      <c r="D2104" s="88" t="s">
        <v>1569</v>
      </c>
      <c r="E2104" s="88" t="s">
        <v>61</v>
      </c>
      <c r="F2104" s="88">
        <v>0</v>
      </c>
      <c r="G2104" s="78">
        <f>MAX(H2104,I2104,J2104)</f>
        <v>1</v>
      </c>
      <c r="H2104" s="88"/>
      <c r="I2104" s="88"/>
      <c r="J2104" s="78">
        <f>MAX(K2104:Q2104)</f>
        <v>1</v>
      </c>
      <c r="K2104" s="88">
        <v>1</v>
      </c>
      <c r="L2104" s="88"/>
      <c r="M2104" s="88"/>
      <c r="N2104" s="88"/>
      <c r="O2104" s="88"/>
      <c r="P2104" s="88"/>
      <c r="Q2104" s="88"/>
      <c r="R2104" s="78">
        <f>MAX(S2104:W2104)</f>
        <v>0</v>
      </c>
      <c r="S2104" s="88"/>
      <c r="T2104" s="88"/>
      <c r="U2104" s="88"/>
      <c r="V2104" s="88"/>
      <c r="W2104" s="88"/>
    </row>
    <row r="2105" spans="2:23" s="0" customFormat="0" ht="15">
      <c r="B2105" s="87" t="s">
        <v>1</v>
      </c>
      <c r="C2105" s="88" t="s">
        <v>5259</v>
      </c>
      <c r="D2105" s="88" t="s">
        <v>1571</v>
      </c>
      <c r="E2105" s="88" t="s">
        <v>61</v>
      </c>
      <c r="F2105" s="88">
        <v>0</v>
      </c>
      <c r="G2105" s="78">
        <f>MAX(H2105,I2105,J2105)</f>
        <v>1</v>
      </c>
      <c r="H2105" s="88"/>
      <c r="I2105" s="88"/>
      <c r="J2105" s="78">
        <f>MAX(K2105:Q2105)</f>
        <v>1</v>
      </c>
      <c r="K2105" s="88">
        <v>1</v>
      </c>
      <c r="L2105" s="88"/>
      <c r="M2105" s="88"/>
      <c r="N2105" s="88"/>
      <c r="O2105" s="88"/>
      <c r="P2105" s="88"/>
      <c r="Q2105" s="88"/>
      <c r="R2105" s="78">
        <f>MAX(S2105:W2105)</f>
        <v>0</v>
      </c>
      <c r="S2105" s="88"/>
      <c r="T2105" s="88"/>
      <c r="U2105" s="88"/>
      <c r="V2105" s="88"/>
      <c r="W2105" s="88"/>
    </row>
    <row r="2106" spans="2:23" s="0" customFormat="0" ht="15">
      <c r="B2106" s="87" t="s">
        <v>1</v>
      </c>
      <c r="C2106" s="88" t="s">
        <v>5259</v>
      </c>
      <c r="D2106" s="88">
        <v>19639660</v>
      </c>
      <c r="E2106" s="88" t="s">
        <v>61</v>
      </c>
      <c r="F2106" s="88">
        <v>0</v>
      </c>
      <c r="G2106" s="78">
        <f>MAX(H2106,I2106,J2106)</f>
        <v>1</v>
      </c>
      <c r="H2106" s="88"/>
      <c r="I2106" s="88"/>
      <c r="J2106" s="78">
        <f>MAX(K2106:Q2106)</f>
        <v>1</v>
      </c>
      <c r="K2106" s="88">
        <v>1</v>
      </c>
      <c r="L2106" s="88"/>
      <c r="M2106" s="88"/>
      <c r="N2106" s="88"/>
      <c r="O2106" s="88"/>
      <c r="P2106" s="88"/>
      <c r="Q2106" s="88"/>
      <c r="R2106" s="78">
        <f>MAX(S2106:W2106)</f>
        <v>0</v>
      </c>
      <c r="S2106" s="88"/>
      <c r="T2106" s="88"/>
      <c r="U2106" s="88"/>
      <c r="V2106" s="88"/>
      <c r="W2106" s="88"/>
    </row>
    <row r="2107" spans="2:23" s="0" customFormat="0" ht="15">
      <c r="B2107" s="87" t="s">
        <v>1</v>
      </c>
      <c r="C2107" s="88" t="s">
        <v>5259</v>
      </c>
      <c r="D2107" s="88" t="s">
        <v>4271</v>
      </c>
      <c r="E2107" s="88" t="s">
        <v>61</v>
      </c>
      <c r="F2107" s="88">
        <v>0</v>
      </c>
      <c r="G2107" s="78">
        <f>MAX(H2107,I2107,J2107)</f>
        <v>0</v>
      </c>
      <c r="H2107" s="88"/>
      <c r="I2107" s="88"/>
      <c r="J2107" s="78">
        <f>MAX(K2107:Q2107)</f>
        <v>0</v>
      </c>
      <c r="K2107" s="88"/>
      <c r="L2107" s="88"/>
      <c r="M2107" s="88"/>
      <c r="N2107" s="88"/>
      <c r="O2107" s="88"/>
      <c r="P2107" s="88"/>
      <c r="Q2107" s="88"/>
      <c r="R2107" s="78">
        <f>MAX(S2107:W2107)</f>
        <v>1</v>
      </c>
      <c r="S2107" s="88"/>
      <c r="T2107" s="88"/>
      <c r="U2107" s="88">
        <v>1</v>
      </c>
      <c r="V2107" s="88"/>
      <c r="W2107" s="88"/>
    </row>
    <row r="2108" spans="2:23" s="0" customFormat="0" ht="15">
      <c r="B2108" s="87" t="s">
        <v>1</v>
      </c>
      <c r="C2108" s="88" t="s">
        <v>5259</v>
      </c>
      <c r="D2108" s="88">
        <v>12610741</v>
      </c>
      <c r="E2108" s="88" t="s">
        <v>61</v>
      </c>
      <c r="F2108" s="88">
        <v>0</v>
      </c>
      <c r="G2108" s="78">
        <f>MAX(H2108,I2108,J2108)</f>
        <v>1</v>
      </c>
      <c r="H2108" s="88"/>
      <c r="I2108" s="88"/>
      <c r="J2108" s="78">
        <f>MAX(K2108:Q2108)</f>
        <v>1</v>
      </c>
      <c r="K2108" s="88">
        <v>1</v>
      </c>
      <c r="L2108" s="88"/>
      <c r="M2108" s="88"/>
      <c r="N2108" s="88"/>
      <c r="O2108" s="88"/>
      <c r="P2108" s="88"/>
      <c r="Q2108" s="88"/>
      <c r="R2108" s="78">
        <f>MAX(S2108:W2108)</f>
        <v>0</v>
      </c>
      <c r="S2108" s="88"/>
      <c r="T2108" s="88"/>
      <c r="U2108" s="88"/>
      <c r="V2108" s="88"/>
      <c r="W2108" s="88"/>
    </row>
    <row r="2109" spans="2:23" s="0" customFormat="0" ht="15">
      <c r="B2109" s="87" t="s">
        <v>1</v>
      </c>
      <c r="C2109" s="88" t="s">
        <v>5259</v>
      </c>
      <c r="D2109" s="88" t="s">
        <v>1573</v>
      </c>
      <c r="E2109" s="88" t="s">
        <v>61</v>
      </c>
      <c r="F2109" s="88">
        <v>0</v>
      </c>
      <c r="G2109" s="78">
        <f>MAX(H2109,I2109,J2109)</f>
        <v>1</v>
      </c>
      <c r="H2109" s="88"/>
      <c r="I2109" s="88"/>
      <c r="J2109" s="78">
        <f>MAX(K2109:Q2109)</f>
        <v>1</v>
      </c>
      <c r="K2109" s="88">
        <v>1</v>
      </c>
      <c r="L2109" s="88"/>
      <c r="M2109" s="88"/>
      <c r="N2109" s="88"/>
      <c r="O2109" s="88"/>
      <c r="P2109" s="88"/>
      <c r="Q2109" s="88"/>
      <c r="R2109" s="78">
        <f>MAX(S2109:W2109)</f>
        <v>0</v>
      </c>
      <c r="S2109" s="88"/>
      <c r="T2109" s="88"/>
      <c r="U2109" s="88"/>
      <c r="V2109" s="88"/>
      <c r="W2109" s="88"/>
    </row>
    <row r="2110" spans="2:23" s="0" customFormat="0" ht="15">
      <c r="B2110" s="87" t="s">
        <v>1</v>
      </c>
      <c r="C2110" s="88" t="s">
        <v>5259</v>
      </c>
      <c r="D2110" s="88" t="s">
        <v>4113</v>
      </c>
      <c r="E2110" s="88" t="s">
        <v>61</v>
      </c>
      <c r="F2110" s="88">
        <v>0</v>
      </c>
      <c r="G2110" s="78">
        <f>MAX(H2110,I2110,J2110)</f>
        <v>0</v>
      </c>
      <c r="H2110" s="88"/>
      <c r="I2110" s="88"/>
      <c r="J2110" s="78">
        <f>MAX(K2110:Q2110)</f>
        <v>0</v>
      </c>
      <c r="K2110" s="88"/>
      <c r="L2110" s="88"/>
      <c r="M2110" s="88"/>
      <c r="N2110" s="88"/>
      <c r="O2110" s="88"/>
      <c r="P2110" s="88"/>
      <c r="Q2110" s="88"/>
      <c r="R2110" s="78">
        <f>MAX(S2110:W2110)</f>
        <v>1</v>
      </c>
      <c r="S2110" s="88"/>
      <c r="T2110" s="88"/>
      <c r="U2110" s="88">
        <v>1</v>
      </c>
      <c r="V2110" s="88"/>
      <c r="W2110" s="88"/>
    </row>
    <row r="2111" spans="2:23" s="0" customFormat="0" ht="15">
      <c r="B2111" s="87" t="s">
        <v>1</v>
      </c>
      <c r="C2111" s="88" t="s">
        <v>5259</v>
      </c>
      <c r="D2111" s="88">
        <v>24077275</v>
      </c>
      <c r="E2111" s="88" t="s">
        <v>61</v>
      </c>
      <c r="F2111" s="88">
        <v>0</v>
      </c>
      <c r="G2111" s="78">
        <f>MAX(H2111,I2111,J2111)</f>
        <v>1</v>
      </c>
      <c r="H2111" s="88"/>
      <c r="I2111" s="88"/>
      <c r="J2111" s="78">
        <f>MAX(K2111:Q2111)</f>
        <v>1</v>
      </c>
      <c r="K2111" s="88">
        <v>1</v>
      </c>
      <c r="L2111" s="88"/>
      <c r="M2111" s="88"/>
      <c r="N2111" s="88"/>
      <c r="O2111" s="88"/>
      <c r="P2111" s="88"/>
      <c r="Q2111" s="88"/>
      <c r="R2111" s="78">
        <f>MAX(S2111:W2111)</f>
        <v>0</v>
      </c>
      <c r="S2111" s="88"/>
      <c r="T2111" s="88"/>
      <c r="U2111" s="88"/>
      <c r="V2111" s="88"/>
      <c r="W2111" s="88"/>
    </row>
    <row r="2112" spans="2:23" s="0" customFormat="0" ht="15">
      <c r="B2112" s="87" t="s">
        <v>1</v>
      </c>
      <c r="C2112" s="88" t="s">
        <v>5259</v>
      </c>
      <c r="D2112" s="88">
        <v>14111070</v>
      </c>
      <c r="E2112" s="88" t="s">
        <v>61</v>
      </c>
      <c r="F2112" s="88">
        <v>0</v>
      </c>
      <c r="G2112" s="78">
        <f>MAX(H2112,I2112,J2112)</f>
        <v>0</v>
      </c>
      <c r="H2112" s="88"/>
      <c r="I2112" s="88"/>
      <c r="J2112" s="78">
        <f>MAX(K2112:Q2112)</f>
        <v>0</v>
      </c>
      <c r="K2112" s="88"/>
      <c r="L2112" s="88"/>
      <c r="M2112" s="88"/>
      <c r="N2112" s="88"/>
      <c r="O2112" s="88"/>
      <c r="P2112" s="88"/>
      <c r="Q2112" s="88"/>
      <c r="R2112" s="78">
        <f>MAX(S2112:W2112)</f>
        <v>1</v>
      </c>
      <c r="S2112" s="88"/>
      <c r="T2112" s="88"/>
      <c r="U2112" s="88">
        <v>1</v>
      </c>
      <c r="V2112" s="88"/>
      <c r="W2112" s="88"/>
    </row>
    <row r="2113" spans="2:23" s="0" customFormat="0" ht="15">
      <c r="B2113" s="87" t="s">
        <v>1</v>
      </c>
      <c r="C2113" s="88" t="s">
        <v>5259</v>
      </c>
      <c r="D2113" s="88" t="s">
        <v>4273</v>
      </c>
      <c r="E2113" s="88" t="s">
        <v>61</v>
      </c>
      <c r="F2113" s="88">
        <v>0</v>
      </c>
      <c r="G2113" s="78">
        <f>MAX(H2113,I2113,J2113)</f>
        <v>0</v>
      </c>
      <c r="H2113" s="88"/>
      <c r="I2113" s="88"/>
      <c r="J2113" s="78">
        <f>MAX(K2113:Q2113)</f>
        <v>0</v>
      </c>
      <c r="K2113" s="88"/>
      <c r="L2113" s="88"/>
      <c r="M2113" s="88"/>
      <c r="N2113" s="88"/>
      <c r="O2113" s="88"/>
      <c r="P2113" s="88"/>
      <c r="Q2113" s="88"/>
      <c r="R2113" s="78">
        <f>MAX(S2113:W2113)</f>
        <v>1</v>
      </c>
      <c r="S2113" s="88"/>
      <c r="T2113" s="88"/>
      <c r="U2113" s="88">
        <v>1</v>
      </c>
      <c r="V2113" s="88"/>
      <c r="W2113" s="88"/>
    </row>
    <row r="2114" spans="2:23" s="0" customFormat="0" ht="15">
      <c r="B2114" s="87" t="s">
        <v>1</v>
      </c>
      <c r="C2114" s="88" t="s">
        <v>5259</v>
      </c>
      <c r="D2114" s="88">
        <v>20370878</v>
      </c>
      <c r="E2114" s="88" t="s">
        <v>61</v>
      </c>
      <c r="F2114" s="88">
        <v>0</v>
      </c>
      <c r="G2114" s="78">
        <f>MAX(H2114,I2114,J2114)</f>
        <v>1</v>
      </c>
      <c r="H2114" s="88"/>
      <c r="I2114" s="88"/>
      <c r="J2114" s="78">
        <f>MAX(K2114:Q2114)</f>
        <v>1</v>
      </c>
      <c r="K2114" s="88">
        <v>1</v>
      </c>
      <c r="L2114" s="88"/>
      <c r="M2114" s="88"/>
      <c r="N2114" s="88"/>
      <c r="O2114" s="88"/>
      <c r="P2114" s="88"/>
      <c r="Q2114" s="88"/>
      <c r="R2114" s="78">
        <f>MAX(S2114:W2114)</f>
        <v>0</v>
      </c>
      <c r="S2114" s="88"/>
      <c r="T2114" s="88"/>
      <c r="U2114" s="88"/>
      <c r="V2114" s="88"/>
      <c r="W2114" s="88"/>
    </row>
    <row r="2115" spans="2:23" s="0" customFormat="0" ht="15">
      <c r="B2115" s="87" t="s">
        <v>1</v>
      </c>
      <c r="C2115" s="88" t="s">
        <v>5259</v>
      </c>
      <c r="D2115" s="88">
        <v>16973990</v>
      </c>
      <c r="E2115" s="88" t="s">
        <v>61</v>
      </c>
      <c r="F2115" s="88">
        <v>0</v>
      </c>
      <c r="G2115" s="78">
        <f>MAX(H2115,I2115,J2115)</f>
        <v>1</v>
      </c>
      <c r="H2115" s="88"/>
      <c r="I2115" s="88"/>
      <c r="J2115" s="78">
        <f>MAX(K2115:Q2115)</f>
        <v>1</v>
      </c>
      <c r="K2115" s="88"/>
      <c r="L2115" s="88"/>
      <c r="M2115" s="88"/>
      <c r="N2115" s="88"/>
      <c r="O2115" s="88"/>
      <c r="P2115" s="88">
        <v>1</v>
      </c>
      <c r="Q2115" s="88"/>
      <c r="R2115" s="78">
        <f>MAX(S2115:W2115)</f>
        <v>0</v>
      </c>
      <c r="S2115" s="88"/>
      <c r="T2115" s="88"/>
      <c r="U2115" s="88"/>
      <c r="V2115" s="88"/>
      <c r="W2115" s="88"/>
    </row>
    <row r="2116" spans="2:23" s="0" customFormat="0" ht="15">
      <c r="B2116" s="87" t="s">
        <v>1</v>
      </c>
      <c r="C2116" s="88" t="s">
        <v>5259</v>
      </c>
      <c r="D2116" s="88">
        <v>3625061</v>
      </c>
      <c r="E2116" s="88" t="s">
        <v>61</v>
      </c>
      <c r="F2116" s="88">
        <v>0</v>
      </c>
      <c r="G2116" s="78">
        <f>MAX(H2116,I2116,J2116)</f>
        <v>1</v>
      </c>
      <c r="H2116" s="88"/>
      <c r="I2116" s="88"/>
      <c r="J2116" s="78">
        <f>MAX(K2116:Q2116)</f>
        <v>1</v>
      </c>
      <c r="K2116" s="88">
        <v>1</v>
      </c>
      <c r="L2116" s="88"/>
      <c r="M2116" s="88"/>
      <c r="N2116" s="88"/>
      <c r="O2116" s="88"/>
      <c r="P2116" s="88"/>
      <c r="Q2116" s="88"/>
      <c r="R2116" s="78">
        <f>MAX(S2116:W2116)</f>
        <v>0</v>
      </c>
      <c r="S2116" s="88"/>
      <c r="T2116" s="88"/>
      <c r="U2116" s="88"/>
      <c r="V2116" s="88"/>
      <c r="W2116" s="88"/>
    </row>
    <row r="2117" spans="2:23" s="0" customFormat="0" ht="15">
      <c r="B2117" s="87" t="s">
        <v>1</v>
      </c>
      <c r="C2117" s="88" t="s">
        <v>5259</v>
      </c>
      <c r="D2117" s="88">
        <v>20392661</v>
      </c>
      <c r="E2117" s="88" t="s">
        <v>61</v>
      </c>
      <c r="F2117" s="88">
        <v>0</v>
      </c>
      <c r="G2117" s="78">
        <f>MAX(H2117,I2117,J2117)</f>
        <v>1</v>
      </c>
      <c r="H2117" s="88"/>
      <c r="I2117" s="88"/>
      <c r="J2117" s="78">
        <f>MAX(K2117:Q2117)</f>
        <v>1</v>
      </c>
      <c r="K2117" s="88">
        <v>1</v>
      </c>
      <c r="L2117" s="88"/>
      <c r="M2117" s="88"/>
      <c r="N2117" s="88"/>
      <c r="O2117" s="88"/>
      <c r="P2117" s="88"/>
      <c r="Q2117" s="88"/>
      <c r="R2117" s="78">
        <f>MAX(S2117:W2117)</f>
        <v>0</v>
      </c>
      <c r="S2117" s="88"/>
      <c r="T2117" s="88"/>
      <c r="U2117" s="88"/>
      <c r="V2117" s="88"/>
      <c r="W2117" s="88"/>
    </row>
    <row r="2118" spans="2:23" s="0" customFormat="0" ht="15">
      <c r="B2118" s="87" t="s">
        <v>1</v>
      </c>
      <c r="C2118" s="88" t="s">
        <v>5259</v>
      </c>
      <c r="D2118" s="88">
        <v>16974686</v>
      </c>
      <c r="E2118" s="88" t="s">
        <v>61</v>
      </c>
      <c r="F2118" s="88">
        <v>0</v>
      </c>
      <c r="G2118" s="78">
        <f>MAX(H2118,I2118,J2118)</f>
        <v>0</v>
      </c>
      <c r="H2118" s="88"/>
      <c r="I2118" s="88"/>
      <c r="J2118" s="78">
        <f>MAX(K2118:Q2118)</f>
        <v>0</v>
      </c>
      <c r="K2118" s="88"/>
      <c r="L2118" s="88"/>
      <c r="M2118" s="88"/>
      <c r="N2118" s="88"/>
      <c r="O2118" s="88"/>
      <c r="P2118" s="88"/>
      <c r="Q2118" s="88"/>
      <c r="R2118" s="78">
        <f>MAX(S2118:W2118)</f>
        <v>1</v>
      </c>
      <c r="S2118" s="88"/>
      <c r="T2118" s="88"/>
      <c r="U2118" s="88">
        <v>1</v>
      </c>
      <c r="V2118" s="88"/>
      <c r="W2118" s="88"/>
    </row>
    <row r="2119" spans="2:23" s="0" customFormat="0" ht="15">
      <c r="B2119" s="87" t="s">
        <v>1</v>
      </c>
      <c r="C2119" s="88" t="s">
        <v>5259</v>
      </c>
      <c r="D2119" s="88">
        <v>10875059</v>
      </c>
      <c r="E2119" s="88" t="s">
        <v>61</v>
      </c>
      <c r="F2119" s="88">
        <v>0</v>
      </c>
      <c r="G2119" s="78">
        <f>MAX(H2119,I2119,J2119)</f>
        <v>1</v>
      </c>
      <c r="H2119" s="88"/>
      <c r="I2119" s="88"/>
      <c r="J2119" s="78">
        <f>MAX(K2119:Q2119)</f>
        <v>1</v>
      </c>
      <c r="K2119" s="88">
        <v>1</v>
      </c>
      <c r="L2119" s="88"/>
      <c r="M2119" s="88"/>
      <c r="N2119" s="88"/>
      <c r="O2119" s="88"/>
      <c r="P2119" s="88"/>
      <c r="Q2119" s="88"/>
      <c r="R2119" s="78">
        <f>MAX(S2119:W2119)</f>
        <v>0</v>
      </c>
      <c r="S2119" s="88"/>
      <c r="T2119" s="88"/>
      <c r="U2119" s="88"/>
      <c r="V2119" s="88"/>
      <c r="W2119" s="88"/>
    </row>
    <row r="2120" spans="2:23" s="0" customFormat="0" ht="15">
      <c r="B2120" s="87" t="s">
        <v>1</v>
      </c>
      <c r="C2120" s="88" t="s">
        <v>5259</v>
      </c>
      <c r="D2120" s="88" t="s">
        <v>1580</v>
      </c>
      <c r="E2120" s="88" t="s">
        <v>61</v>
      </c>
      <c r="F2120" s="88">
        <v>0</v>
      </c>
      <c r="G2120" s="78">
        <f>MAX(H2120,I2120,J2120)</f>
        <v>1</v>
      </c>
      <c r="H2120" s="88"/>
      <c r="I2120" s="88"/>
      <c r="J2120" s="78">
        <f>MAX(K2120:Q2120)</f>
        <v>1</v>
      </c>
      <c r="K2120" s="88">
        <v>1</v>
      </c>
      <c r="L2120" s="88"/>
      <c r="M2120" s="88"/>
      <c r="N2120" s="88"/>
      <c r="O2120" s="88"/>
      <c r="P2120" s="88"/>
      <c r="Q2120" s="88"/>
      <c r="R2120" s="78">
        <f>MAX(S2120:W2120)</f>
        <v>0</v>
      </c>
      <c r="S2120" s="88"/>
      <c r="T2120" s="88"/>
      <c r="U2120" s="88"/>
      <c r="V2120" s="88"/>
      <c r="W2120" s="88"/>
    </row>
    <row r="2121" spans="2:23" s="0" customFormat="0" ht="15">
      <c r="B2121" s="87" t="s">
        <v>1</v>
      </c>
      <c r="C2121" s="88" t="s">
        <v>5259</v>
      </c>
      <c r="D2121" s="88">
        <v>18109196</v>
      </c>
      <c r="E2121" s="88" t="s">
        <v>61</v>
      </c>
      <c r="F2121" s="88">
        <v>0</v>
      </c>
      <c r="G2121" s="78">
        <f>MAX(H2121,I2121,J2121)</f>
        <v>1</v>
      </c>
      <c r="H2121" s="88"/>
      <c r="I2121" s="88"/>
      <c r="J2121" s="78">
        <f>MAX(K2121:Q2121)</f>
        <v>1</v>
      </c>
      <c r="K2121" s="88">
        <v>1</v>
      </c>
      <c r="L2121" s="88"/>
      <c r="M2121" s="88"/>
      <c r="N2121" s="88"/>
      <c r="O2121" s="88"/>
      <c r="P2121" s="88"/>
      <c r="Q2121" s="88"/>
      <c r="R2121" s="78">
        <f>MAX(S2121:W2121)</f>
        <v>0</v>
      </c>
      <c r="S2121" s="88"/>
      <c r="T2121" s="88"/>
      <c r="U2121" s="88"/>
      <c r="V2121" s="88"/>
      <c r="W2121" s="88"/>
    </row>
    <row r="2122" spans="2:23" s="0" customFormat="0" ht="15">
      <c r="B2122" s="87" t="s">
        <v>1</v>
      </c>
      <c r="C2122" s="88" t="s">
        <v>5259</v>
      </c>
      <c r="D2122" s="88">
        <v>22859504</v>
      </c>
      <c r="E2122" s="88" t="s">
        <v>61</v>
      </c>
      <c r="F2122" s="88">
        <v>0</v>
      </c>
      <c r="G2122" s="78">
        <f>MAX(H2122,I2122,J2122)</f>
        <v>1</v>
      </c>
      <c r="H2122" s="88"/>
      <c r="I2122" s="88"/>
      <c r="J2122" s="78">
        <f>MAX(K2122:Q2122)</f>
        <v>1</v>
      </c>
      <c r="K2122" s="88">
        <v>1</v>
      </c>
      <c r="L2122" s="88"/>
      <c r="M2122" s="88"/>
      <c r="N2122" s="88"/>
      <c r="O2122" s="88"/>
      <c r="P2122" s="88"/>
      <c r="Q2122" s="88"/>
      <c r="R2122" s="78">
        <f>MAX(S2122:W2122)</f>
        <v>0</v>
      </c>
      <c r="S2122" s="88"/>
      <c r="T2122" s="88"/>
      <c r="U2122" s="88"/>
      <c r="V2122" s="88"/>
      <c r="W2122" s="88"/>
    </row>
    <row r="2123" spans="2:23" s="0" customFormat="0" ht="15">
      <c r="B2123" s="87" t="s">
        <v>1</v>
      </c>
      <c r="C2123" s="88" t="s">
        <v>5259</v>
      </c>
      <c r="D2123" s="88" t="s">
        <v>1584</v>
      </c>
      <c r="E2123" s="88" t="s">
        <v>61</v>
      </c>
      <c r="F2123" s="88">
        <v>0</v>
      </c>
      <c r="G2123" s="78">
        <f>MAX(H2123,I2123,J2123)</f>
        <v>1</v>
      </c>
      <c r="H2123" s="88"/>
      <c r="I2123" s="88"/>
      <c r="J2123" s="78">
        <f>MAX(K2123:Q2123)</f>
        <v>1</v>
      </c>
      <c r="K2123" s="88">
        <v>1</v>
      </c>
      <c r="L2123" s="88"/>
      <c r="M2123" s="88"/>
      <c r="N2123" s="88"/>
      <c r="O2123" s="88"/>
      <c r="P2123" s="88"/>
      <c r="Q2123" s="88"/>
      <c r="R2123" s="78">
        <f>MAX(S2123:W2123)</f>
        <v>0</v>
      </c>
      <c r="S2123" s="88"/>
      <c r="T2123" s="88"/>
      <c r="U2123" s="88"/>
      <c r="V2123" s="88"/>
      <c r="W2123" s="88"/>
    </row>
    <row r="2124" spans="2:23" s="0" customFormat="0" ht="15">
      <c r="B2124" s="87" t="s">
        <v>1</v>
      </c>
      <c r="C2124" s="88" t="s">
        <v>5259</v>
      </c>
      <c r="D2124" s="88" t="s">
        <v>1586</v>
      </c>
      <c r="E2124" s="88" t="s">
        <v>61</v>
      </c>
      <c r="F2124" s="88">
        <v>0</v>
      </c>
      <c r="G2124" s="78">
        <f>MAX(H2124,I2124,J2124)</f>
        <v>1</v>
      </c>
      <c r="H2124" s="88"/>
      <c r="I2124" s="88"/>
      <c r="J2124" s="78">
        <f>MAX(K2124:Q2124)</f>
        <v>1</v>
      </c>
      <c r="K2124" s="88">
        <v>1</v>
      </c>
      <c r="L2124" s="88"/>
      <c r="M2124" s="88"/>
      <c r="N2124" s="88"/>
      <c r="O2124" s="88"/>
      <c r="P2124" s="88"/>
      <c r="Q2124" s="88"/>
      <c r="R2124" s="78">
        <f>MAX(S2124:W2124)</f>
        <v>0</v>
      </c>
      <c r="S2124" s="88"/>
      <c r="T2124" s="88"/>
      <c r="U2124" s="88"/>
      <c r="V2124" s="88"/>
      <c r="W2124" s="88"/>
    </row>
    <row r="2125" spans="2:23" s="0" customFormat="0" ht="15">
      <c r="B2125" s="87" t="s">
        <v>1</v>
      </c>
      <c r="C2125" s="88" t="s">
        <v>5259</v>
      </c>
      <c r="D2125" s="88">
        <v>23673166</v>
      </c>
      <c r="E2125" s="88" t="s">
        <v>61</v>
      </c>
      <c r="F2125" s="88">
        <v>0</v>
      </c>
      <c r="G2125" s="78">
        <f>MAX(H2125,I2125,J2125)</f>
        <v>1</v>
      </c>
      <c r="H2125" s="88"/>
      <c r="I2125" s="88"/>
      <c r="J2125" s="78">
        <f>MAX(K2125:Q2125)</f>
        <v>1</v>
      </c>
      <c r="K2125" s="88">
        <v>1</v>
      </c>
      <c r="L2125" s="88"/>
      <c r="M2125" s="88"/>
      <c r="N2125" s="88"/>
      <c r="O2125" s="88"/>
      <c r="P2125" s="88"/>
      <c r="Q2125" s="88"/>
      <c r="R2125" s="78">
        <f>MAX(S2125:W2125)</f>
        <v>0</v>
      </c>
      <c r="S2125" s="88"/>
      <c r="T2125" s="88"/>
      <c r="U2125" s="88"/>
      <c r="V2125" s="88"/>
      <c r="W2125" s="88"/>
    </row>
    <row r="2126" spans="2:23" s="0" customFormat="0" ht="15">
      <c r="B2126" s="87" t="s">
        <v>1</v>
      </c>
      <c r="C2126" s="88" t="s">
        <v>5259</v>
      </c>
      <c r="D2126" s="88">
        <v>6494877</v>
      </c>
      <c r="E2126" s="88" t="s">
        <v>61</v>
      </c>
      <c r="F2126" s="88">
        <v>0</v>
      </c>
      <c r="G2126" s="78">
        <f>MAX(H2126,I2126,J2126)</f>
        <v>1</v>
      </c>
      <c r="H2126" s="88"/>
      <c r="I2126" s="88"/>
      <c r="J2126" s="78">
        <f>MAX(K2126:Q2126)</f>
        <v>1</v>
      </c>
      <c r="K2126" s="88">
        <v>1</v>
      </c>
      <c r="L2126" s="88"/>
      <c r="M2126" s="88"/>
      <c r="N2126" s="88"/>
      <c r="O2126" s="88"/>
      <c r="P2126" s="88"/>
      <c r="Q2126" s="88"/>
      <c r="R2126" s="78">
        <f>MAX(S2126:W2126)</f>
        <v>0</v>
      </c>
      <c r="S2126" s="88"/>
      <c r="T2126" s="88"/>
      <c r="U2126" s="88"/>
      <c r="V2126" s="88"/>
      <c r="W2126" s="88"/>
    </row>
    <row r="2127" spans="2:23" s="0" customFormat="0" ht="15">
      <c r="B2127" s="87" t="s">
        <v>1</v>
      </c>
      <c r="C2127" s="88" t="s">
        <v>5259</v>
      </c>
      <c r="D2127" s="88">
        <v>13036774</v>
      </c>
      <c r="E2127" s="88" t="s">
        <v>61</v>
      </c>
      <c r="F2127" s="88">
        <v>0</v>
      </c>
      <c r="G2127" s="78">
        <f>MAX(H2127,I2127,J2127)</f>
        <v>1</v>
      </c>
      <c r="H2127" s="88"/>
      <c r="I2127" s="88"/>
      <c r="J2127" s="78">
        <f>MAX(K2127:Q2127)</f>
        <v>1</v>
      </c>
      <c r="K2127" s="88">
        <v>1</v>
      </c>
      <c r="L2127" s="88"/>
      <c r="M2127" s="88"/>
      <c r="N2127" s="88"/>
      <c r="O2127" s="88"/>
      <c r="P2127" s="88"/>
      <c r="Q2127" s="88"/>
      <c r="R2127" s="78">
        <f>MAX(S2127:W2127)</f>
        <v>0</v>
      </c>
      <c r="S2127" s="88"/>
      <c r="T2127" s="88"/>
      <c r="U2127" s="88"/>
      <c r="V2127" s="88"/>
      <c r="W2127" s="88"/>
    </row>
    <row r="2128" spans="2:23" s="0" customFormat="0" ht="15">
      <c r="B2128" s="87" t="s">
        <v>1</v>
      </c>
      <c r="C2128" s="88" t="s">
        <v>5259</v>
      </c>
      <c r="D2128" s="88">
        <v>12151037</v>
      </c>
      <c r="E2128" s="88" t="s">
        <v>61</v>
      </c>
      <c r="F2128" s="88">
        <v>0</v>
      </c>
      <c r="G2128" s="78">
        <f>MAX(H2128,I2128,J2128)</f>
        <v>1</v>
      </c>
      <c r="H2128" s="88"/>
      <c r="I2128" s="88"/>
      <c r="J2128" s="78">
        <f>MAX(K2128:Q2128)</f>
        <v>1</v>
      </c>
      <c r="K2128" s="88">
        <v>1</v>
      </c>
      <c r="L2128" s="88"/>
      <c r="M2128" s="88"/>
      <c r="N2128" s="88"/>
      <c r="O2128" s="88"/>
      <c r="P2128" s="88"/>
      <c r="Q2128" s="88"/>
      <c r="R2128" s="78">
        <f>MAX(S2128:W2128)</f>
        <v>0</v>
      </c>
      <c r="S2128" s="88"/>
      <c r="T2128" s="88"/>
      <c r="U2128" s="88"/>
      <c r="V2128" s="88"/>
      <c r="W2128" s="88"/>
    </row>
    <row r="2129" spans="2:23" s="0" customFormat="0" ht="15">
      <c r="B2129" s="87" t="s">
        <v>1</v>
      </c>
      <c r="C2129" s="88" t="s">
        <v>5259</v>
      </c>
      <c r="D2129" s="88" t="s">
        <v>4275</v>
      </c>
      <c r="E2129" s="88" t="s">
        <v>61</v>
      </c>
      <c r="F2129" s="88">
        <v>0</v>
      </c>
      <c r="G2129" s="78">
        <f>MAX(H2129,I2129,J2129)</f>
        <v>0</v>
      </c>
      <c r="H2129" s="88"/>
      <c r="I2129" s="88"/>
      <c r="J2129" s="78">
        <f>MAX(K2129:Q2129)</f>
        <v>0</v>
      </c>
      <c r="K2129" s="88"/>
      <c r="L2129" s="88"/>
      <c r="M2129" s="88"/>
      <c r="N2129" s="88"/>
      <c r="O2129" s="88"/>
      <c r="P2129" s="88"/>
      <c r="Q2129" s="88"/>
      <c r="R2129" s="78">
        <f>MAX(S2129:W2129)</f>
        <v>1</v>
      </c>
      <c r="S2129" s="88"/>
      <c r="T2129" s="88"/>
      <c r="U2129" s="88">
        <v>1</v>
      </c>
      <c r="V2129" s="88"/>
      <c r="W2129" s="88"/>
    </row>
    <row r="2130" spans="2:23" s="0" customFormat="0" ht="15">
      <c r="B2130" s="87" t="s">
        <v>1</v>
      </c>
      <c r="C2130" s="88" t="s">
        <v>5259</v>
      </c>
      <c r="D2130" s="88">
        <v>19486469</v>
      </c>
      <c r="E2130" s="88" t="s">
        <v>61</v>
      </c>
      <c r="F2130" s="88">
        <v>0</v>
      </c>
      <c r="G2130" s="78">
        <f>MAX(H2130,I2130,J2130)</f>
        <v>1</v>
      </c>
      <c r="H2130" s="88"/>
      <c r="I2130" s="88"/>
      <c r="J2130" s="78">
        <f>MAX(K2130:Q2130)</f>
        <v>1</v>
      </c>
      <c r="K2130" s="88">
        <v>1</v>
      </c>
      <c r="L2130" s="88"/>
      <c r="M2130" s="88"/>
      <c r="N2130" s="88"/>
      <c r="O2130" s="88"/>
      <c r="P2130" s="88"/>
      <c r="Q2130" s="88"/>
      <c r="R2130" s="78">
        <f>MAX(S2130:W2130)</f>
        <v>0</v>
      </c>
      <c r="S2130" s="88"/>
      <c r="T2130" s="88"/>
      <c r="U2130" s="88"/>
      <c r="V2130" s="88"/>
      <c r="W2130" s="88"/>
    </row>
    <row r="2131" spans="2:23" s="0" customFormat="0" ht="15">
      <c r="B2131" s="87" t="s">
        <v>1</v>
      </c>
      <c r="C2131" s="88" t="s">
        <v>5259</v>
      </c>
      <c r="D2131" s="88">
        <v>22554064</v>
      </c>
      <c r="E2131" s="88" t="s">
        <v>61</v>
      </c>
      <c r="F2131" s="88">
        <v>0</v>
      </c>
      <c r="G2131" s="78">
        <f>MAX(H2131,I2131,J2131)</f>
        <v>1</v>
      </c>
      <c r="H2131" s="88"/>
      <c r="I2131" s="88"/>
      <c r="J2131" s="78">
        <f>MAX(K2131:Q2131)</f>
        <v>1</v>
      </c>
      <c r="K2131" s="88">
        <v>1</v>
      </c>
      <c r="L2131" s="88"/>
      <c r="M2131" s="88"/>
      <c r="N2131" s="88"/>
      <c r="O2131" s="88"/>
      <c r="P2131" s="88"/>
      <c r="Q2131" s="88"/>
      <c r="R2131" s="78">
        <f>MAX(S2131:W2131)</f>
        <v>0</v>
      </c>
      <c r="S2131" s="88"/>
      <c r="T2131" s="88"/>
      <c r="U2131" s="88"/>
      <c r="V2131" s="88"/>
      <c r="W2131" s="88"/>
    </row>
    <row r="2132" spans="2:23" s="0" customFormat="0" ht="15">
      <c r="B2132" s="87" t="s">
        <v>1</v>
      </c>
      <c r="C2132" s="88" t="s">
        <v>5259</v>
      </c>
      <c r="D2132" s="88">
        <v>19697125</v>
      </c>
      <c r="E2132" s="88" t="s">
        <v>61</v>
      </c>
      <c r="F2132" s="88">
        <v>0</v>
      </c>
      <c r="G2132" s="78">
        <f>MAX(H2132,I2132,J2132)</f>
        <v>1</v>
      </c>
      <c r="H2132" s="88"/>
      <c r="I2132" s="88"/>
      <c r="J2132" s="78">
        <f>MAX(K2132:Q2132)</f>
        <v>1</v>
      </c>
      <c r="K2132" s="88">
        <v>1</v>
      </c>
      <c r="L2132" s="88"/>
      <c r="M2132" s="88"/>
      <c r="N2132" s="88"/>
      <c r="O2132" s="88"/>
      <c r="P2132" s="88"/>
      <c r="Q2132" s="88"/>
      <c r="R2132" s="78">
        <f>MAX(S2132:W2132)</f>
        <v>0</v>
      </c>
      <c r="S2132" s="88"/>
      <c r="T2132" s="88"/>
      <c r="U2132" s="88"/>
      <c r="V2132" s="88"/>
      <c r="W2132" s="88"/>
    </row>
    <row r="2133" spans="2:23" s="0" customFormat="0" ht="15">
      <c r="B2133" s="87" t="s">
        <v>1</v>
      </c>
      <c r="C2133" s="88" t="s">
        <v>5259</v>
      </c>
      <c r="D2133" s="88">
        <v>21042940</v>
      </c>
      <c r="E2133" s="88" t="s">
        <v>61</v>
      </c>
      <c r="F2133" s="88">
        <v>0</v>
      </c>
      <c r="G2133" s="78">
        <f>MAX(H2133,I2133,J2133)</f>
        <v>1</v>
      </c>
      <c r="H2133" s="88"/>
      <c r="I2133" s="88"/>
      <c r="J2133" s="78">
        <f>MAX(K2133:Q2133)</f>
        <v>1</v>
      </c>
      <c r="K2133" s="88">
        <v>1</v>
      </c>
      <c r="L2133" s="88"/>
      <c r="M2133" s="88"/>
      <c r="N2133" s="88"/>
      <c r="O2133" s="88"/>
      <c r="P2133" s="88"/>
      <c r="Q2133" s="88"/>
      <c r="R2133" s="78">
        <f>MAX(S2133:W2133)</f>
        <v>0</v>
      </c>
      <c r="S2133" s="88"/>
      <c r="T2133" s="88"/>
      <c r="U2133" s="88"/>
      <c r="V2133" s="88"/>
      <c r="W2133" s="88"/>
    </row>
    <row r="2134" spans="2:23" s="0" customFormat="0" ht="15">
      <c r="B2134" s="87" t="s">
        <v>1</v>
      </c>
      <c r="C2134" s="88" t="s">
        <v>5259</v>
      </c>
      <c r="D2134" s="88">
        <v>14921124</v>
      </c>
      <c r="E2134" s="88" t="s">
        <v>61</v>
      </c>
      <c r="F2134" s="88">
        <v>0</v>
      </c>
      <c r="G2134" s="78">
        <f>MAX(H2134,I2134,J2134)</f>
        <v>1</v>
      </c>
      <c r="H2134" s="88"/>
      <c r="I2134" s="88"/>
      <c r="J2134" s="78">
        <f>MAX(K2134:Q2134)</f>
        <v>1</v>
      </c>
      <c r="K2134" s="88">
        <v>1</v>
      </c>
      <c r="L2134" s="88"/>
      <c r="M2134" s="88"/>
      <c r="N2134" s="88"/>
      <c r="O2134" s="88"/>
      <c r="P2134" s="88"/>
      <c r="Q2134" s="88"/>
      <c r="R2134" s="78">
        <f>MAX(S2134:W2134)</f>
        <v>0</v>
      </c>
      <c r="S2134" s="88"/>
      <c r="T2134" s="88"/>
      <c r="U2134" s="88"/>
      <c r="V2134" s="88"/>
      <c r="W2134" s="88"/>
    </row>
    <row r="2135" spans="2:23" s="0" customFormat="0" ht="15">
      <c r="B2135" s="87" t="s">
        <v>1</v>
      </c>
      <c r="C2135" s="88" t="s">
        <v>5259</v>
      </c>
      <c r="D2135" s="88">
        <v>11384399</v>
      </c>
      <c r="E2135" s="88" t="s">
        <v>61</v>
      </c>
      <c r="F2135" s="88">
        <v>0</v>
      </c>
      <c r="G2135" s="78">
        <f>MAX(H2135,I2135,J2135)</f>
        <v>1</v>
      </c>
      <c r="H2135" s="88"/>
      <c r="I2135" s="88"/>
      <c r="J2135" s="78">
        <f>MAX(K2135:Q2135)</f>
        <v>1</v>
      </c>
      <c r="K2135" s="88">
        <v>1</v>
      </c>
      <c r="L2135" s="88"/>
      <c r="M2135" s="88"/>
      <c r="N2135" s="88"/>
      <c r="O2135" s="88"/>
      <c r="P2135" s="88"/>
      <c r="Q2135" s="88"/>
      <c r="R2135" s="78">
        <f>MAX(S2135:W2135)</f>
        <v>0</v>
      </c>
      <c r="S2135" s="88"/>
      <c r="T2135" s="88"/>
      <c r="U2135" s="88"/>
      <c r="V2135" s="88"/>
      <c r="W2135" s="88"/>
    </row>
    <row r="2136" spans="2:23" s="0" customFormat="0" ht="15">
      <c r="B2136" s="87" t="s">
        <v>1</v>
      </c>
      <c r="C2136" s="88" t="s">
        <v>5259</v>
      </c>
      <c r="D2136" s="88" t="s">
        <v>3741</v>
      </c>
      <c r="E2136" s="88" t="s">
        <v>61</v>
      </c>
      <c r="F2136" s="88">
        <v>0</v>
      </c>
      <c r="G2136" s="78">
        <f>MAX(H2136,I2136,J2136)</f>
        <v>0</v>
      </c>
      <c r="H2136" s="88"/>
      <c r="I2136" s="88"/>
      <c r="J2136" s="78">
        <f>MAX(K2136:Q2136)</f>
        <v>0</v>
      </c>
      <c r="K2136" s="88"/>
      <c r="L2136" s="88"/>
      <c r="M2136" s="88"/>
      <c r="N2136" s="88"/>
      <c r="O2136" s="88"/>
      <c r="P2136" s="88"/>
      <c r="Q2136" s="88"/>
      <c r="R2136" s="78">
        <f>MAX(S2136:W2136)</f>
        <v>1</v>
      </c>
      <c r="S2136" s="88"/>
      <c r="T2136" s="88"/>
      <c r="U2136" s="88">
        <v>1</v>
      </c>
      <c r="V2136" s="88"/>
      <c r="W2136" s="88"/>
    </row>
    <row r="2137" spans="2:23" s="0" customFormat="0" ht="15">
      <c r="B2137" s="87" t="s">
        <v>1</v>
      </c>
      <c r="C2137" s="88" t="s">
        <v>5259</v>
      </c>
      <c r="D2137" s="88" t="s">
        <v>3237</v>
      </c>
      <c r="E2137" s="88" t="s">
        <v>61</v>
      </c>
      <c r="F2137" s="88">
        <v>0</v>
      </c>
      <c r="G2137" s="78">
        <f>MAX(H2137,I2137,J2137)</f>
        <v>0</v>
      </c>
      <c r="H2137" s="88"/>
      <c r="I2137" s="88"/>
      <c r="J2137" s="78">
        <f>MAX(K2137:Q2137)</f>
        <v>0</v>
      </c>
      <c r="K2137" s="88"/>
      <c r="L2137" s="88"/>
      <c r="M2137" s="88"/>
      <c r="N2137" s="88"/>
      <c r="O2137" s="88"/>
      <c r="P2137" s="88"/>
      <c r="Q2137" s="88"/>
      <c r="R2137" s="78">
        <f>MAX(S2137:W2137)</f>
        <v>1</v>
      </c>
      <c r="S2137" s="88"/>
      <c r="T2137" s="88"/>
      <c r="U2137" s="88"/>
      <c r="V2137" s="88">
        <v>1</v>
      </c>
      <c r="W2137" s="88"/>
    </row>
    <row r="2138" spans="2:23" s="0" customFormat="0" ht="15">
      <c r="B2138" s="87" t="s">
        <v>1</v>
      </c>
      <c r="C2138" s="88" t="s">
        <v>5259</v>
      </c>
      <c r="D2138" s="88" t="s">
        <v>1594</v>
      </c>
      <c r="E2138" s="88" t="s">
        <v>61</v>
      </c>
      <c r="F2138" s="88">
        <v>0</v>
      </c>
      <c r="G2138" s="78">
        <f>MAX(H2138,I2138,J2138)</f>
        <v>1</v>
      </c>
      <c r="H2138" s="88"/>
      <c r="I2138" s="88"/>
      <c r="J2138" s="78">
        <f>MAX(K2138:Q2138)</f>
        <v>1</v>
      </c>
      <c r="K2138" s="88">
        <v>1</v>
      </c>
      <c r="L2138" s="88"/>
      <c r="M2138" s="88"/>
      <c r="N2138" s="88"/>
      <c r="O2138" s="88"/>
      <c r="P2138" s="88"/>
      <c r="Q2138" s="88"/>
      <c r="R2138" s="78">
        <f>MAX(S2138:W2138)</f>
        <v>0</v>
      </c>
      <c r="S2138" s="88"/>
      <c r="T2138" s="88"/>
      <c r="U2138" s="88"/>
      <c r="V2138" s="88"/>
      <c r="W2138" s="88"/>
    </row>
    <row r="2139" spans="2:23" s="0" customFormat="0" ht="15">
      <c r="B2139" s="87" t="s">
        <v>1</v>
      </c>
      <c r="C2139" s="88" t="s">
        <v>5259</v>
      </c>
      <c r="D2139" s="88" t="s">
        <v>4277</v>
      </c>
      <c r="E2139" s="88" t="s">
        <v>61</v>
      </c>
      <c r="F2139" s="88">
        <v>0</v>
      </c>
      <c r="G2139" s="78">
        <f>MAX(H2139,I2139,J2139)</f>
        <v>0</v>
      </c>
      <c r="H2139" s="88"/>
      <c r="I2139" s="88"/>
      <c r="J2139" s="78">
        <f>MAX(K2139:Q2139)</f>
        <v>0</v>
      </c>
      <c r="K2139" s="88"/>
      <c r="L2139" s="88"/>
      <c r="M2139" s="88"/>
      <c r="N2139" s="88"/>
      <c r="O2139" s="88"/>
      <c r="P2139" s="88"/>
      <c r="Q2139" s="88"/>
      <c r="R2139" s="78">
        <f>MAX(S2139:W2139)</f>
        <v>1</v>
      </c>
      <c r="S2139" s="88"/>
      <c r="T2139" s="88"/>
      <c r="U2139" s="88">
        <v>1</v>
      </c>
      <c r="V2139" s="88"/>
      <c r="W2139" s="88"/>
    </row>
    <row r="2140" spans="2:23" s="0" customFormat="0" ht="15">
      <c r="B2140" s="87" t="s">
        <v>1</v>
      </c>
      <c r="C2140" s="88" t="s">
        <v>5259</v>
      </c>
      <c r="D2140" s="88">
        <v>10596345</v>
      </c>
      <c r="E2140" s="88" t="s">
        <v>61</v>
      </c>
      <c r="F2140" s="88">
        <v>0</v>
      </c>
      <c r="G2140" s="78">
        <f>MAX(H2140,I2140,J2140)</f>
        <v>1</v>
      </c>
      <c r="H2140" s="88"/>
      <c r="I2140" s="88"/>
      <c r="J2140" s="78">
        <f>MAX(K2140:Q2140)</f>
        <v>1</v>
      </c>
      <c r="K2140" s="88">
        <v>1</v>
      </c>
      <c r="L2140" s="88"/>
      <c r="M2140" s="88"/>
      <c r="N2140" s="88"/>
      <c r="O2140" s="88"/>
      <c r="P2140" s="88"/>
      <c r="Q2140" s="88"/>
      <c r="R2140" s="78">
        <f>MAX(S2140:W2140)</f>
        <v>0</v>
      </c>
      <c r="S2140" s="88"/>
      <c r="T2140" s="88"/>
      <c r="U2140" s="88"/>
      <c r="V2140" s="88"/>
      <c r="W2140" s="88"/>
    </row>
    <row r="2141" spans="2:23" s="0" customFormat="0" ht="15">
      <c r="B2141" s="87" t="s">
        <v>1</v>
      </c>
      <c r="C2141" s="88" t="s">
        <v>5259</v>
      </c>
      <c r="D2141" s="88" t="s">
        <v>788</v>
      </c>
      <c r="E2141" s="88" t="s">
        <v>61</v>
      </c>
      <c r="F2141" s="88">
        <v>0</v>
      </c>
      <c r="G2141" s="78">
        <f>MAX(H2141,I2141,J2141)</f>
        <v>1</v>
      </c>
      <c r="H2141" s="88"/>
      <c r="I2141" s="88"/>
      <c r="J2141" s="78">
        <f>MAX(K2141:Q2141)</f>
        <v>1</v>
      </c>
      <c r="K2141" s="88">
        <v>1</v>
      </c>
      <c r="L2141" s="88"/>
      <c r="M2141" s="88"/>
      <c r="N2141" s="88"/>
      <c r="O2141" s="88"/>
      <c r="P2141" s="88"/>
      <c r="Q2141" s="88"/>
      <c r="R2141" s="78">
        <f>MAX(S2141:W2141)</f>
        <v>0</v>
      </c>
      <c r="S2141" s="88"/>
      <c r="T2141" s="88"/>
      <c r="U2141" s="88"/>
      <c r="V2141" s="88"/>
      <c r="W2141" s="88"/>
    </row>
    <row r="2142" spans="2:23" s="0" customFormat="0" ht="15">
      <c r="B2142" s="87" t="s">
        <v>1</v>
      </c>
      <c r="C2142" s="88" t="s">
        <v>5259</v>
      </c>
      <c r="D2142" s="88">
        <v>22623673</v>
      </c>
      <c r="E2142" s="88" t="s">
        <v>61</v>
      </c>
      <c r="F2142" s="88">
        <v>0</v>
      </c>
      <c r="G2142" s="78">
        <f>MAX(H2142,I2142,J2142)</f>
        <v>0</v>
      </c>
      <c r="H2142" s="88"/>
      <c r="I2142" s="88"/>
      <c r="J2142" s="78">
        <f>MAX(K2142:Q2142)</f>
        <v>0</v>
      </c>
      <c r="K2142" s="88"/>
      <c r="L2142" s="88"/>
      <c r="M2142" s="88"/>
      <c r="N2142" s="88"/>
      <c r="O2142" s="88"/>
      <c r="P2142" s="88"/>
      <c r="Q2142" s="88"/>
      <c r="R2142" s="78">
        <f>MAX(S2142:W2142)</f>
        <v>1</v>
      </c>
      <c r="S2142" s="88"/>
      <c r="T2142" s="88"/>
      <c r="U2142" s="88">
        <v>1</v>
      </c>
      <c r="V2142" s="88"/>
      <c r="W2142" s="88"/>
    </row>
    <row r="2143" spans="2:23" s="0" customFormat="0" ht="15">
      <c r="B2143" s="87" t="s">
        <v>1</v>
      </c>
      <c r="C2143" s="88" t="s">
        <v>5259</v>
      </c>
      <c r="D2143" s="88">
        <v>21811316</v>
      </c>
      <c r="E2143" s="88" t="s">
        <v>61</v>
      </c>
      <c r="F2143" s="88">
        <v>0</v>
      </c>
      <c r="G2143" s="78">
        <f>MAX(H2143,I2143,J2143)</f>
        <v>1</v>
      </c>
      <c r="H2143" s="88"/>
      <c r="I2143" s="88"/>
      <c r="J2143" s="78">
        <f>MAX(K2143:Q2143)</f>
        <v>1</v>
      </c>
      <c r="K2143" s="88">
        <v>1</v>
      </c>
      <c r="L2143" s="88"/>
      <c r="M2143" s="88"/>
      <c r="N2143" s="88"/>
      <c r="O2143" s="88"/>
      <c r="P2143" s="88"/>
      <c r="Q2143" s="88"/>
      <c r="R2143" s="78">
        <f>MAX(S2143:W2143)</f>
        <v>0</v>
      </c>
      <c r="S2143" s="88"/>
      <c r="T2143" s="88"/>
      <c r="U2143" s="88"/>
      <c r="V2143" s="88"/>
      <c r="W2143" s="88"/>
    </row>
    <row r="2144" spans="2:23" s="0" customFormat="0" ht="15">
      <c r="B2144" s="87" t="s">
        <v>1</v>
      </c>
      <c r="C2144" s="88" t="s">
        <v>5259</v>
      </c>
      <c r="D2144" s="88">
        <v>18154855</v>
      </c>
      <c r="E2144" s="88" t="s">
        <v>61</v>
      </c>
      <c r="F2144" s="88">
        <v>0</v>
      </c>
      <c r="G2144" s="78">
        <f>MAX(H2144,I2144,J2144)</f>
        <v>1</v>
      </c>
      <c r="H2144" s="88"/>
      <c r="I2144" s="88"/>
      <c r="J2144" s="78">
        <f>MAX(K2144:Q2144)</f>
        <v>1</v>
      </c>
      <c r="K2144" s="88">
        <v>1</v>
      </c>
      <c r="L2144" s="88"/>
      <c r="M2144" s="88"/>
      <c r="N2144" s="88"/>
      <c r="O2144" s="88"/>
      <c r="P2144" s="88"/>
      <c r="Q2144" s="88"/>
      <c r="R2144" s="78">
        <f>MAX(S2144:W2144)</f>
        <v>0</v>
      </c>
      <c r="S2144" s="88"/>
      <c r="T2144" s="88"/>
      <c r="U2144" s="88"/>
      <c r="V2144" s="88"/>
      <c r="W2144" s="88"/>
    </row>
    <row r="2145" spans="2:23" s="0" customFormat="0" ht="15">
      <c r="B2145" s="87" t="s">
        <v>1</v>
      </c>
      <c r="C2145" s="88" t="s">
        <v>5259</v>
      </c>
      <c r="D2145" s="88" t="s">
        <v>3058</v>
      </c>
      <c r="E2145" s="88" t="s">
        <v>61</v>
      </c>
      <c r="F2145" s="88">
        <v>0</v>
      </c>
      <c r="G2145" s="78">
        <f>MAX(H2145,I2145,J2145)</f>
        <v>1</v>
      </c>
      <c r="H2145" s="88"/>
      <c r="I2145" s="88"/>
      <c r="J2145" s="78">
        <f>MAX(K2145:Q2145)</f>
        <v>1</v>
      </c>
      <c r="K2145" s="88"/>
      <c r="L2145" s="88"/>
      <c r="M2145" s="88">
        <v>1</v>
      </c>
      <c r="N2145" s="88"/>
      <c r="O2145" s="88"/>
      <c r="P2145" s="88"/>
      <c r="Q2145" s="88"/>
      <c r="R2145" s="78">
        <f>MAX(S2145:W2145)</f>
        <v>0</v>
      </c>
      <c r="S2145" s="88"/>
      <c r="T2145" s="88"/>
      <c r="U2145" s="88"/>
      <c r="V2145" s="88"/>
      <c r="W2145" s="88"/>
    </row>
    <row r="2146" spans="2:23" s="0" customFormat="0" ht="15">
      <c r="B2146" s="87" t="s">
        <v>1</v>
      </c>
      <c r="C2146" s="88" t="s">
        <v>5259</v>
      </c>
      <c r="D2146" s="88" t="s">
        <v>4280</v>
      </c>
      <c r="E2146" s="88" t="s">
        <v>61</v>
      </c>
      <c r="F2146" s="88">
        <v>0</v>
      </c>
      <c r="G2146" s="78">
        <f>MAX(H2146,I2146,J2146)</f>
        <v>0</v>
      </c>
      <c r="H2146" s="88"/>
      <c r="I2146" s="88"/>
      <c r="J2146" s="78">
        <f>MAX(K2146:Q2146)</f>
        <v>0</v>
      </c>
      <c r="K2146" s="88"/>
      <c r="L2146" s="88"/>
      <c r="M2146" s="88"/>
      <c r="N2146" s="88"/>
      <c r="O2146" s="88"/>
      <c r="P2146" s="88"/>
      <c r="Q2146" s="88"/>
      <c r="R2146" s="78">
        <f>MAX(S2146:W2146)</f>
        <v>1</v>
      </c>
      <c r="S2146" s="88"/>
      <c r="T2146" s="88"/>
      <c r="U2146" s="88">
        <v>1</v>
      </c>
      <c r="V2146" s="88"/>
      <c r="W2146" s="88"/>
    </row>
    <row r="2147" spans="2:23" s="0" customFormat="0" ht="15">
      <c r="B2147" s="87" t="s">
        <v>1</v>
      </c>
      <c r="C2147" s="88" t="s">
        <v>5259</v>
      </c>
      <c r="D2147" s="88">
        <v>5211003</v>
      </c>
      <c r="E2147" s="88" t="s">
        <v>61</v>
      </c>
      <c r="F2147" s="88">
        <v>0</v>
      </c>
      <c r="G2147" s="78">
        <f>MAX(H2147,I2147,J2147)</f>
        <v>1</v>
      </c>
      <c r="H2147" s="88"/>
      <c r="I2147" s="88"/>
      <c r="J2147" s="78">
        <f>MAX(K2147:Q2147)</f>
        <v>1</v>
      </c>
      <c r="K2147" s="88">
        <v>1</v>
      </c>
      <c r="L2147" s="88"/>
      <c r="M2147" s="88"/>
      <c r="N2147" s="88"/>
      <c r="O2147" s="88"/>
      <c r="P2147" s="88"/>
      <c r="Q2147" s="88"/>
      <c r="R2147" s="78">
        <f>MAX(S2147:W2147)</f>
        <v>0</v>
      </c>
      <c r="S2147" s="88"/>
      <c r="T2147" s="88"/>
      <c r="U2147" s="88"/>
      <c r="V2147" s="88"/>
      <c r="W2147" s="88"/>
    </row>
    <row r="2148" spans="2:23" s="0" customFormat="0" ht="15">
      <c r="B2148" s="87" t="s">
        <v>1</v>
      </c>
      <c r="C2148" s="88" t="s">
        <v>5259</v>
      </c>
      <c r="D2148" s="88">
        <v>19863537</v>
      </c>
      <c r="E2148" s="88" t="s">
        <v>61</v>
      </c>
      <c r="F2148" s="88">
        <v>0</v>
      </c>
      <c r="G2148" s="78">
        <f>MAX(H2148,I2148,J2148)</f>
        <v>1</v>
      </c>
      <c r="H2148" s="88"/>
      <c r="I2148" s="88"/>
      <c r="J2148" s="78">
        <f>MAX(K2148:Q2148)</f>
        <v>1</v>
      </c>
      <c r="K2148" s="88">
        <v>1</v>
      </c>
      <c r="L2148" s="88"/>
      <c r="M2148" s="88"/>
      <c r="N2148" s="88"/>
      <c r="O2148" s="88"/>
      <c r="P2148" s="88"/>
      <c r="Q2148" s="88"/>
      <c r="R2148" s="78">
        <f>MAX(S2148:W2148)</f>
        <v>0</v>
      </c>
      <c r="S2148" s="88"/>
      <c r="T2148" s="88"/>
      <c r="U2148" s="88"/>
      <c r="V2148" s="88"/>
      <c r="W2148" s="88"/>
    </row>
    <row r="2149" spans="2:23" s="0" customFormat="0" ht="15">
      <c r="B2149" s="87" t="s">
        <v>1</v>
      </c>
      <c r="C2149" s="88" t="s">
        <v>5259</v>
      </c>
      <c r="D2149" s="88" t="s">
        <v>4282</v>
      </c>
      <c r="E2149" s="88" t="s">
        <v>61</v>
      </c>
      <c r="F2149" s="88">
        <v>0</v>
      </c>
      <c r="G2149" s="78">
        <f>MAX(H2149,I2149,J2149)</f>
        <v>0</v>
      </c>
      <c r="H2149" s="88"/>
      <c r="I2149" s="88"/>
      <c r="J2149" s="78">
        <f>MAX(K2149:Q2149)</f>
        <v>0</v>
      </c>
      <c r="K2149" s="88"/>
      <c r="L2149" s="88"/>
      <c r="M2149" s="88"/>
      <c r="N2149" s="88"/>
      <c r="O2149" s="88"/>
      <c r="P2149" s="88"/>
      <c r="Q2149" s="88"/>
      <c r="R2149" s="78">
        <f>MAX(S2149:W2149)</f>
        <v>1</v>
      </c>
      <c r="S2149" s="88"/>
      <c r="T2149" s="88"/>
      <c r="U2149" s="88">
        <v>1</v>
      </c>
      <c r="V2149" s="88"/>
      <c r="W2149" s="88"/>
    </row>
    <row r="2150" spans="2:23" s="0" customFormat="0" ht="15">
      <c r="B2150" s="87" t="s">
        <v>1</v>
      </c>
      <c r="C2150" s="88" t="s">
        <v>5259</v>
      </c>
      <c r="D2150" s="88">
        <v>24911926</v>
      </c>
      <c r="E2150" s="88" t="s">
        <v>61</v>
      </c>
      <c r="F2150" s="88">
        <v>0</v>
      </c>
      <c r="G2150" s="78">
        <f>MAX(H2150,I2150,J2150)</f>
        <v>1</v>
      </c>
      <c r="H2150" s="88"/>
      <c r="I2150" s="88"/>
      <c r="J2150" s="78">
        <f>MAX(K2150:Q2150)</f>
        <v>1</v>
      </c>
      <c r="K2150" s="88">
        <v>1</v>
      </c>
      <c r="L2150" s="88"/>
      <c r="M2150" s="88"/>
      <c r="N2150" s="88"/>
      <c r="O2150" s="88"/>
      <c r="P2150" s="88"/>
      <c r="Q2150" s="88"/>
      <c r="R2150" s="78">
        <f>MAX(S2150:W2150)</f>
        <v>0</v>
      </c>
      <c r="S2150" s="88"/>
      <c r="T2150" s="88"/>
      <c r="U2150" s="88"/>
      <c r="V2150" s="88"/>
      <c r="W2150" s="88"/>
    </row>
    <row r="2151" spans="2:23" s="0" customFormat="0" ht="15">
      <c r="B2151" s="87" t="s">
        <v>1</v>
      </c>
      <c r="C2151" s="88" t="s">
        <v>5259</v>
      </c>
      <c r="D2151" s="88">
        <v>7065905</v>
      </c>
      <c r="E2151" s="88" t="s">
        <v>61</v>
      </c>
      <c r="F2151" s="88">
        <v>0</v>
      </c>
      <c r="G2151" s="78">
        <f>MAX(H2151,I2151,J2151)</f>
        <v>0</v>
      </c>
      <c r="H2151" s="88"/>
      <c r="I2151" s="88"/>
      <c r="J2151" s="78">
        <f>MAX(K2151:Q2151)</f>
        <v>0</v>
      </c>
      <c r="K2151" s="88"/>
      <c r="L2151" s="88"/>
      <c r="M2151" s="88"/>
      <c r="N2151" s="88"/>
      <c r="O2151" s="88"/>
      <c r="P2151" s="88"/>
      <c r="Q2151" s="88"/>
      <c r="R2151" s="78">
        <f>MAX(S2151:W2151)</f>
        <v>1</v>
      </c>
      <c r="S2151" s="88"/>
      <c r="T2151" s="88"/>
      <c r="U2151" s="88">
        <v>1</v>
      </c>
      <c r="V2151" s="88"/>
      <c r="W2151" s="88"/>
    </row>
    <row r="2152" spans="2:23" s="0" customFormat="0" ht="15">
      <c r="B2152" s="87" t="s">
        <v>1</v>
      </c>
      <c r="C2152" s="88" t="s">
        <v>5259</v>
      </c>
      <c r="D2152" s="88">
        <v>11882841</v>
      </c>
      <c r="E2152" s="88" t="s">
        <v>61</v>
      </c>
      <c r="F2152" s="88">
        <v>0</v>
      </c>
      <c r="G2152" s="78">
        <f>MAX(H2152,I2152,J2152)</f>
        <v>1</v>
      </c>
      <c r="H2152" s="88"/>
      <c r="I2152" s="88"/>
      <c r="J2152" s="78">
        <f>MAX(K2152:Q2152)</f>
        <v>1</v>
      </c>
      <c r="K2152" s="88">
        <v>1</v>
      </c>
      <c r="L2152" s="88"/>
      <c r="M2152" s="88"/>
      <c r="N2152" s="88"/>
      <c r="O2152" s="88"/>
      <c r="P2152" s="88"/>
      <c r="Q2152" s="88"/>
      <c r="R2152" s="78">
        <f>MAX(S2152:W2152)</f>
        <v>0</v>
      </c>
      <c r="S2152" s="88"/>
      <c r="T2152" s="88"/>
      <c r="U2152" s="88"/>
      <c r="V2152" s="88"/>
      <c r="W2152" s="88"/>
    </row>
    <row r="2153" spans="2:23" s="0" customFormat="0" ht="15">
      <c r="B2153" s="87" t="s">
        <v>1</v>
      </c>
      <c r="C2153" s="88" t="s">
        <v>5259</v>
      </c>
      <c r="D2153" s="88" t="s">
        <v>3837</v>
      </c>
      <c r="E2153" s="88" t="s">
        <v>61</v>
      </c>
      <c r="F2153" s="88">
        <v>0</v>
      </c>
      <c r="G2153" s="78">
        <f>MAX(H2153,I2153,J2153)</f>
        <v>0</v>
      </c>
      <c r="H2153" s="88"/>
      <c r="I2153" s="88"/>
      <c r="J2153" s="78">
        <f>MAX(K2153:Q2153)</f>
        <v>0</v>
      </c>
      <c r="K2153" s="88"/>
      <c r="L2153" s="88"/>
      <c r="M2153" s="88"/>
      <c r="N2153" s="88"/>
      <c r="O2153" s="88"/>
      <c r="P2153" s="88"/>
      <c r="Q2153" s="88"/>
      <c r="R2153" s="78">
        <f>MAX(S2153:W2153)</f>
        <v>1</v>
      </c>
      <c r="S2153" s="88"/>
      <c r="T2153" s="88"/>
      <c r="U2153" s="88">
        <v>1</v>
      </c>
      <c r="V2153" s="88"/>
      <c r="W2153" s="88"/>
    </row>
    <row r="2154" spans="2:23" s="0" customFormat="0" ht="15">
      <c r="B2154" s="87" t="s">
        <v>1</v>
      </c>
      <c r="C2154" s="88" t="s">
        <v>5259</v>
      </c>
      <c r="D2154" s="88" t="s">
        <v>4284</v>
      </c>
      <c r="E2154" s="88" t="s">
        <v>61</v>
      </c>
      <c r="F2154" s="88">
        <v>0</v>
      </c>
      <c r="G2154" s="78">
        <f>MAX(H2154,I2154,J2154)</f>
        <v>0</v>
      </c>
      <c r="H2154" s="88"/>
      <c r="I2154" s="88"/>
      <c r="J2154" s="78">
        <f>MAX(K2154:Q2154)</f>
        <v>0</v>
      </c>
      <c r="K2154" s="88"/>
      <c r="L2154" s="88"/>
      <c r="M2154" s="88"/>
      <c r="N2154" s="88"/>
      <c r="O2154" s="88"/>
      <c r="P2154" s="88"/>
      <c r="Q2154" s="88"/>
      <c r="R2154" s="78">
        <f>MAX(S2154:W2154)</f>
        <v>1</v>
      </c>
      <c r="S2154" s="88"/>
      <c r="T2154" s="88"/>
      <c r="U2154" s="88">
        <v>1</v>
      </c>
      <c r="V2154" s="88"/>
      <c r="W2154" s="88"/>
    </row>
    <row r="2155" spans="2:23" s="0" customFormat="0" ht="15">
      <c r="B2155" s="87" t="s">
        <v>1</v>
      </c>
      <c r="C2155" s="88" t="s">
        <v>5259</v>
      </c>
      <c r="D2155" s="88">
        <v>11841694</v>
      </c>
      <c r="E2155" s="88" t="s">
        <v>61</v>
      </c>
      <c r="F2155" s="88">
        <v>0</v>
      </c>
      <c r="G2155" s="78">
        <f>MAX(H2155,I2155,J2155)</f>
        <v>1</v>
      </c>
      <c r="H2155" s="88"/>
      <c r="I2155" s="88"/>
      <c r="J2155" s="78">
        <f>MAX(K2155:Q2155)</f>
        <v>1</v>
      </c>
      <c r="K2155" s="88">
        <v>1</v>
      </c>
      <c r="L2155" s="88"/>
      <c r="M2155" s="88"/>
      <c r="N2155" s="88"/>
      <c r="O2155" s="88"/>
      <c r="P2155" s="88"/>
      <c r="Q2155" s="88"/>
      <c r="R2155" s="78">
        <f>MAX(S2155:W2155)</f>
        <v>0</v>
      </c>
      <c r="S2155" s="88"/>
      <c r="T2155" s="88"/>
      <c r="U2155" s="88"/>
      <c r="V2155" s="88"/>
      <c r="W2155" s="88"/>
    </row>
    <row r="2156" spans="2:23" s="0" customFormat="0" ht="15">
      <c r="B2156" s="87" t="s">
        <v>1</v>
      </c>
      <c r="C2156" s="88" t="s">
        <v>5259</v>
      </c>
      <c r="D2156" s="88" t="s">
        <v>4234</v>
      </c>
      <c r="E2156" s="88" t="s">
        <v>61</v>
      </c>
      <c r="F2156" s="88">
        <v>0</v>
      </c>
      <c r="G2156" s="78">
        <f>MAX(H2156,I2156,J2156)</f>
        <v>0</v>
      </c>
      <c r="H2156" s="88"/>
      <c r="I2156" s="88"/>
      <c r="J2156" s="78">
        <f>MAX(K2156:Q2156)</f>
        <v>0</v>
      </c>
      <c r="K2156" s="88"/>
      <c r="L2156" s="88"/>
      <c r="M2156" s="88"/>
      <c r="N2156" s="88"/>
      <c r="O2156" s="88"/>
      <c r="P2156" s="88"/>
      <c r="Q2156" s="88"/>
      <c r="R2156" s="78">
        <f>MAX(S2156:W2156)</f>
        <v>1</v>
      </c>
      <c r="S2156" s="88"/>
      <c r="T2156" s="88"/>
      <c r="U2156" s="88">
        <v>1</v>
      </c>
      <c r="V2156" s="88"/>
      <c r="W2156" s="88"/>
    </row>
    <row r="2157" spans="2:23" s="0" customFormat="0" ht="15">
      <c r="B2157" s="87" t="s">
        <v>1</v>
      </c>
      <c r="C2157" s="88" t="s">
        <v>5259</v>
      </c>
      <c r="D2157" s="88" t="s">
        <v>3189</v>
      </c>
      <c r="E2157" s="88" t="s">
        <v>61</v>
      </c>
      <c r="F2157" s="88">
        <v>0</v>
      </c>
      <c r="G2157" s="78">
        <f>MAX(H2157,I2157,J2157)</f>
        <v>0</v>
      </c>
      <c r="H2157" s="88"/>
      <c r="I2157" s="88"/>
      <c r="J2157" s="78">
        <f>MAX(K2157:Q2157)</f>
        <v>0</v>
      </c>
      <c r="K2157" s="88"/>
      <c r="L2157" s="88"/>
      <c r="M2157" s="88"/>
      <c r="N2157" s="88"/>
      <c r="O2157" s="88"/>
      <c r="P2157" s="88"/>
      <c r="Q2157" s="88"/>
      <c r="R2157" s="78">
        <f>MAX(S2157:W2157)</f>
        <v>1</v>
      </c>
      <c r="S2157" s="88"/>
      <c r="T2157" s="88"/>
      <c r="U2157" s="88"/>
      <c r="V2157" s="88">
        <v>1</v>
      </c>
      <c r="W2157" s="88"/>
    </row>
    <row r="2158" spans="2:23" s="0" customFormat="0" ht="15">
      <c r="B2158" s="87" t="s">
        <v>1</v>
      </c>
      <c r="C2158" s="88" t="s">
        <v>5259</v>
      </c>
      <c r="D2158" s="88" t="s">
        <v>1603</v>
      </c>
      <c r="E2158" s="88" t="s">
        <v>61</v>
      </c>
      <c r="F2158" s="88">
        <v>0</v>
      </c>
      <c r="G2158" s="78">
        <f>MAX(H2158,I2158,J2158)</f>
        <v>1</v>
      </c>
      <c r="H2158" s="88"/>
      <c r="I2158" s="88"/>
      <c r="J2158" s="78">
        <f>MAX(K2158:Q2158)</f>
        <v>1</v>
      </c>
      <c r="K2158" s="88">
        <v>1</v>
      </c>
      <c r="L2158" s="88"/>
      <c r="M2158" s="88"/>
      <c r="N2158" s="88"/>
      <c r="O2158" s="88"/>
      <c r="P2158" s="88"/>
      <c r="Q2158" s="88"/>
      <c r="R2158" s="78">
        <f>MAX(S2158:W2158)</f>
        <v>0</v>
      </c>
      <c r="S2158" s="88"/>
      <c r="T2158" s="88"/>
      <c r="U2158" s="88"/>
      <c r="V2158" s="88"/>
      <c r="W2158" s="88"/>
    </row>
    <row r="2159" spans="2:23" s="0" customFormat="0" ht="15">
      <c r="B2159" s="87" t="s">
        <v>1</v>
      </c>
      <c r="C2159" s="88" t="s">
        <v>5259</v>
      </c>
      <c r="D2159" s="88">
        <v>20244089</v>
      </c>
      <c r="E2159" s="88" t="s">
        <v>61</v>
      </c>
      <c r="F2159" s="88">
        <v>0</v>
      </c>
      <c r="G2159" s="78">
        <f>MAX(H2159,I2159,J2159)</f>
        <v>1</v>
      </c>
      <c r="H2159" s="88"/>
      <c r="I2159" s="88"/>
      <c r="J2159" s="78">
        <f>MAX(K2159:Q2159)</f>
        <v>1</v>
      </c>
      <c r="K2159" s="88">
        <v>1</v>
      </c>
      <c r="L2159" s="88"/>
      <c r="M2159" s="88"/>
      <c r="N2159" s="88"/>
      <c r="O2159" s="88"/>
      <c r="P2159" s="88"/>
      <c r="Q2159" s="88"/>
      <c r="R2159" s="78">
        <f>MAX(S2159:W2159)</f>
        <v>0</v>
      </c>
      <c r="S2159" s="88"/>
      <c r="T2159" s="88"/>
      <c r="U2159" s="88"/>
      <c r="V2159" s="88"/>
      <c r="W2159" s="88"/>
    </row>
    <row r="2160" spans="2:23" s="0" customFormat="0" ht="15">
      <c r="B2160" s="87" t="s">
        <v>1</v>
      </c>
      <c r="C2160" s="88" t="s">
        <v>5259</v>
      </c>
      <c r="D2160" s="88">
        <v>20942443</v>
      </c>
      <c r="E2160" s="88" t="s">
        <v>61</v>
      </c>
      <c r="F2160" s="88">
        <v>0</v>
      </c>
      <c r="G2160" s="78">
        <f>MAX(H2160,I2160,J2160)</f>
        <v>1</v>
      </c>
      <c r="H2160" s="88"/>
      <c r="I2160" s="88"/>
      <c r="J2160" s="78">
        <f>MAX(K2160:Q2160)</f>
        <v>1</v>
      </c>
      <c r="K2160" s="88">
        <v>1</v>
      </c>
      <c r="L2160" s="88"/>
      <c r="M2160" s="88"/>
      <c r="N2160" s="88"/>
      <c r="O2160" s="88"/>
      <c r="P2160" s="88"/>
      <c r="Q2160" s="88"/>
      <c r="R2160" s="78">
        <f>MAX(S2160:W2160)</f>
        <v>0</v>
      </c>
      <c r="S2160" s="88"/>
      <c r="T2160" s="88"/>
      <c r="U2160" s="88"/>
      <c r="V2160" s="88"/>
      <c r="W2160" s="88"/>
    </row>
    <row r="2161" spans="2:23" s="0" customFormat="0" ht="15">
      <c r="B2161" s="87" t="s">
        <v>1</v>
      </c>
      <c r="C2161" s="88" t="s">
        <v>5259</v>
      </c>
      <c r="D2161" s="88">
        <v>7065947</v>
      </c>
      <c r="E2161" s="88" t="s">
        <v>61</v>
      </c>
      <c r="F2161" s="88">
        <v>0</v>
      </c>
      <c r="G2161" s="78">
        <f>MAX(H2161,I2161,J2161)</f>
        <v>0</v>
      </c>
      <c r="H2161" s="88"/>
      <c r="I2161" s="88"/>
      <c r="J2161" s="78">
        <f>MAX(K2161:Q2161)</f>
        <v>0</v>
      </c>
      <c r="K2161" s="88"/>
      <c r="L2161" s="88"/>
      <c r="M2161" s="88"/>
      <c r="N2161" s="88"/>
      <c r="O2161" s="88"/>
      <c r="P2161" s="88"/>
      <c r="Q2161" s="88"/>
      <c r="R2161" s="78">
        <f>MAX(S2161:W2161)</f>
        <v>1</v>
      </c>
      <c r="S2161" s="88"/>
      <c r="T2161" s="88"/>
      <c r="U2161" s="88">
        <v>1</v>
      </c>
      <c r="V2161" s="88"/>
      <c r="W2161" s="88"/>
    </row>
    <row r="2162" spans="2:23" s="0" customFormat="0" ht="15">
      <c r="B2162" s="87" t="s">
        <v>1</v>
      </c>
      <c r="C2162" s="88" t="s">
        <v>5259</v>
      </c>
      <c r="D2162" s="88" t="s">
        <v>4287</v>
      </c>
      <c r="E2162" s="88" t="s">
        <v>61</v>
      </c>
      <c r="F2162" s="88">
        <v>0</v>
      </c>
      <c r="G2162" s="78">
        <f>MAX(H2162,I2162,J2162)</f>
        <v>0</v>
      </c>
      <c r="H2162" s="88"/>
      <c r="I2162" s="88"/>
      <c r="J2162" s="78">
        <f>MAX(K2162:Q2162)</f>
        <v>0</v>
      </c>
      <c r="K2162" s="88"/>
      <c r="L2162" s="88"/>
      <c r="M2162" s="88"/>
      <c r="N2162" s="88"/>
      <c r="O2162" s="88"/>
      <c r="P2162" s="88"/>
      <c r="Q2162" s="88"/>
      <c r="R2162" s="78">
        <f>MAX(S2162:W2162)</f>
        <v>1</v>
      </c>
      <c r="S2162" s="88"/>
      <c r="T2162" s="88"/>
      <c r="U2162" s="88">
        <v>1</v>
      </c>
      <c r="V2162" s="88"/>
      <c r="W2162" s="88"/>
    </row>
    <row r="2163" spans="2:23" s="0" customFormat="0" ht="15">
      <c r="B2163" s="87" t="s">
        <v>1</v>
      </c>
      <c r="C2163" s="88" t="s">
        <v>5259</v>
      </c>
      <c r="D2163" s="88" t="s">
        <v>4289</v>
      </c>
      <c r="E2163" s="88" t="s">
        <v>61</v>
      </c>
      <c r="F2163" s="88">
        <v>0</v>
      </c>
      <c r="G2163" s="78">
        <f>MAX(H2163,I2163,J2163)</f>
        <v>0</v>
      </c>
      <c r="H2163" s="88"/>
      <c r="I2163" s="88"/>
      <c r="J2163" s="78">
        <f>MAX(K2163:Q2163)</f>
        <v>0</v>
      </c>
      <c r="K2163" s="88"/>
      <c r="L2163" s="88"/>
      <c r="M2163" s="88"/>
      <c r="N2163" s="88"/>
      <c r="O2163" s="88"/>
      <c r="P2163" s="88"/>
      <c r="Q2163" s="88"/>
      <c r="R2163" s="78">
        <f>MAX(S2163:W2163)</f>
        <v>1</v>
      </c>
      <c r="S2163" s="88"/>
      <c r="T2163" s="88"/>
      <c r="U2163" s="88">
        <v>1</v>
      </c>
      <c r="V2163" s="88"/>
      <c r="W2163" s="88"/>
    </row>
    <row r="2164" spans="2:23" s="0" customFormat="0" ht="15">
      <c r="B2164" s="87" t="s">
        <v>1</v>
      </c>
      <c r="C2164" s="88" t="s">
        <v>5259</v>
      </c>
      <c r="D2164" s="88" t="s">
        <v>4291</v>
      </c>
      <c r="E2164" s="88" t="s">
        <v>61</v>
      </c>
      <c r="F2164" s="88">
        <v>0</v>
      </c>
      <c r="G2164" s="78">
        <f>MAX(H2164,I2164,J2164)</f>
        <v>0</v>
      </c>
      <c r="H2164" s="88"/>
      <c r="I2164" s="88"/>
      <c r="J2164" s="78">
        <f>MAX(K2164:Q2164)</f>
        <v>0</v>
      </c>
      <c r="K2164" s="88"/>
      <c r="L2164" s="88"/>
      <c r="M2164" s="88"/>
      <c r="N2164" s="88"/>
      <c r="O2164" s="88"/>
      <c r="P2164" s="88"/>
      <c r="Q2164" s="88"/>
      <c r="R2164" s="78">
        <f>MAX(S2164:W2164)</f>
        <v>1</v>
      </c>
      <c r="S2164" s="88"/>
      <c r="T2164" s="88"/>
      <c r="U2164" s="88">
        <v>1</v>
      </c>
      <c r="V2164" s="88"/>
      <c r="W2164" s="88"/>
    </row>
    <row r="2165" spans="2:23" s="0" customFormat="0" ht="15">
      <c r="B2165" s="87" t="s">
        <v>1</v>
      </c>
      <c r="C2165" s="88" t="s">
        <v>5259</v>
      </c>
      <c r="D2165" s="88">
        <v>16974675</v>
      </c>
      <c r="E2165" s="88" t="s">
        <v>61</v>
      </c>
      <c r="F2165" s="88">
        <v>0</v>
      </c>
      <c r="G2165" s="78">
        <f>MAX(H2165,I2165,J2165)</f>
        <v>0</v>
      </c>
      <c r="H2165" s="88"/>
      <c r="I2165" s="88"/>
      <c r="J2165" s="78">
        <f>MAX(K2165:Q2165)</f>
        <v>0</v>
      </c>
      <c r="K2165" s="88"/>
      <c r="L2165" s="88"/>
      <c r="M2165" s="88"/>
      <c r="N2165" s="88"/>
      <c r="O2165" s="88"/>
      <c r="P2165" s="88"/>
      <c r="Q2165" s="88"/>
      <c r="R2165" s="78">
        <f>MAX(S2165:W2165)</f>
        <v>1</v>
      </c>
      <c r="S2165" s="88"/>
      <c r="T2165" s="88"/>
      <c r="U2165" s="88">
        <v>1</v>
      </c>
      <c r="V2165" s="88"/>
      <c r="W2165" s="88"/>
    </row>
    <row r="2166" spans="2:23" s="0" customFormat="0" ht="15">
      <c r="B2166" s="87" t="s">
        <v>1</v>
      </c>
      <c r="C2166" s="88" t="s">
        <v>5259</v>
      </c>
      <c r="D2166" s="88">
        <v>14619690</v>
      </c>
      <c r="E2166" s="88" t="s">
        <v>61</v>
      </c>
      <c r="F2166" s="88">
        <v>0</v>
      </c>
      <c r="G2166" s="78">
        <f>MAX(H2166,I2166,J2166)</f>
        <v>1</v>
      </c>
      <c r="H2166" s="88"/>
      <c r="I2166" s="88"/>
      <c r="J2166" s="78">
        <f>MAX(K2166:Q2166)</f>
        <v>1</v>
      </c>
      <c r="K2166" s="88">
        <v>1</v>
      </c>
      <c r="L2166" s="88"/>
      <c r="M2166" s="88"/>
      <c r="N2166" s="88"/>
      <c r="O2166" s="88"/>
      <c r="P2166" s="88"/>
      <c r="Q2166" s="88"/>
      <c r="R2166" s="78">
        <f>MAX(S2166:W2166)</f>
        <v>0</v>
      </c>
      <c r="S2166" s="88"/>
      <c r="T2166" s="88"/>
      <c r="U2166" s="88"/>
      <c r="V2166" s="88"/>
      <c r="W2166" s="88"/>
    </row>
    <row r="2167" spans="2:23" s="0" customFormat="0" ht="15">
      <c r="B2167" s="87" t="s">
        <v>1</v>
      </c>
      <c r="C2167" s="88" t="s">
        <v>5259</v>
      </c>
      <c r="D2167" s="88" t="s">
        <v>4294</v>
      </c>
      <c r="E2167" s="88" t="s">
        <v>61</v>
      </c>
      <c r="F2167" s="88">
        <v>0</v>
      </c>
      <c r="G2167" s="78">
        <f>MAX(H2167,I2167,J2167)</f>
        <v>0</v>
      </c>
      <c r="H2167" s="88"/>
      <c r="I2167" s="88"/>
      <c r="J2167" s="78">
        <f>MAX(K2167:Q2167)</f>
        <v>0</v>
      </c>
      <c r="K2167" s="88"/>
      <c r="L2167" s="88"/>
      <c r="M2167" s="88"/>
      <c r="N2167" s="88"/>
      <c r="O2167" s="88"/>
      <c r="P2167" s="88"/>
      <c r="Q2167" s="88"/>
      <c r="R2167" s="78">
        <f>MAX(S2167:W2167)</f>
        <v>1</v>
      </c>
      <c r="S2167" s="88"/>
      <c r="T2167" s="88"/>
      <c r="U2167" s="88">
        <v>1</v>
      </c>
      <c r="V2167" s="88"/>
      <c r="W2167" s="88"/>
    </row>
    <row r="2168" spans="2:23" s="0" customFormat="0" ht="15">
      <c r="B2168" s="87" t="s">
        <v>1</v>
      </c>
      <c r="C2168" s="88" t="s">
        <v>5259</v>
      </c>
      <c r="D2168" s="88">
        <v>13483958</v>
      </c>
      <c r="E2168" s="88" t="s">
        <v>61</v>
      </c>
      <c r="F2168" s="88">
        <v>0</v>
      </c>
      <c r="G2168" s="78">
        <f>MAX(H2168,I2168,J2168)</f>
        <v>1</v>
      </c>
      <c r="H2168" s="88"/>
      <c r="I2168" s="88"/>
      <c r="J2168" s="78">
        <f>MAX(K2168:Q2168)</f>
        <v>1</v>
      </c>
      <c r="K2168" s="88">
        <v>1</v>
      </c>
      <c r="L2168" s="88"/>
      <c r="M2168" s="88"/>
      <c r="N2168" s="88"/>
      <c r="O2168" s="88"/>
      <c r="P2168" s="88"/>
      <c r="Q2168" s="88"/>
      <c r="R2168" s="78">
        <f>MAX(S2168:W2168)</f>
        <v>0</v>
      </c>
      <c r="S2168" s="88"/>
      <c r="T2168" s="88"/>
      <c r="U2168" s="88"/>
      <c r="V2168" s="88"/>
      <c r="W2168" s="88"/>
    </row>
    <row r="2169" spans="2:23" s="0" customFormat="0" ht="15">
      <c r="B2169" s="87" t="s">
        <v>1</v>
      </c>
      <c r="C2169" s="88" t="s">
        <v>5259</v>
      </c>
      <c r="D2169" s="88" t="s">
        <v>3543</v>
      </c>
      <c r="E2169" s="88" t="s">
        <v>61</v>
      </c>
      <c r="F2169" s="88">
        <v>0</v>
      </c>
      <c r="G2169" s="78">
        <f>MAX(H2169,I2169,J2169)</f>
        <v>0</v>
      </c>
      <c r="H2169" s="88"/>
      <c r="I2169" s="88"/>
      <c r="J2169" s="78">
        <f>MAX(K2169:Q2169)</f>
        <v>0</v>
      </c>
      <c r="K2169" s="88"/>
      <c r="L2169" s="88"/>
      <c r="M2169" s="88"/>
      <c r="N2169" s="88"/>
      <c r="O2169" s="88"/>
      <c r="P2169" s="88"/>
      <c r="Q2169" s="88"/>
      <c r="R2169" s="78">
        <f>MAX(S2169:W2169)</f>
        <v>1</v>
      </c>
      <c r="S2169" s="88"/>
      <c r="T2169" s="88"/>
      <c r="U2169" s="88">
        <v>1</v>
      </c>
      <c r="V2169" s="88"/>
      <c r="W2169" s="88"/>
    </row>
    <row r="2170" spans="2:23" s="0" customFormat="0" ht="15">
      <c r="B2170" s="87" t="s">
        <v>1</v>
      </c>
      <c r="C2170" s="88" t="s">
        <v>5259</v>
      </c>
      <c r="D2170" s="88">
        <v>12115855</v>
      </c>
      <c r="E2170" s="88" t="s">
        <v>61</v>
      </c>
      <c r="F2170" s="88">
        <v>0</v>
      </c>
      <c r="G2170" s="78">
        <f>MAX(H2170,I2170,J2170)</f>
        <v>1</v>
      </c>
      <c r="H2170" s="88"/>
      <c r="I2170" s="88"/>
      <c r="J2170" s="78">
        <f>MAX(K2170:Q2170)</f>
        <v>1</v>
      </c>
      <c r="K2170" s="88">
        <v>1</v>
      </c>
      <c r="L2170" s="88"/>
      <c r="M2170" s="88"/>
      <c r="N2170" s="88"/>
      <c r="O2170" s="88"/>
      <c r="P2170" s="88"/>
      <c r="Q2170" s="88"/>
      <c r="R2170" s="78">
        <f>MAX(S2170:W2170)</f>
        <v>0</v>
      </c>
      <c r="S2170" s="88"/>
      <c r="T2170" s="88"/>
      <c r="U2170" s="88"/>
      <c r="V2170" s="88"/>
      <c r="W2170" s="88"/>
    </row>
    <row r="2171" spans="2:23" s="0" customFormat="0" ht="15">
      <c r="B2171" s="87" t="s">
        <v>1</v>
      </c>
      <c r="C2171" s="88" t="s">
        <v>5259</v>
      </c>
      <c r="D2171" s="88">
        <v>24501432</v>
      </c>
      <c r="E2171" s="88" t="s">
        <v>61</v>
      </c>
      <c r="F2171" s="88">
        <v>0</v>
      </c>
      <c r="G2171" s="78">
        <f>MAX(H2171,I2171,J2171)</f>
        <v>1</v>
      </c>
      <c r="H2171" s="88"/>
      <c r="I2171" s="88"/>
      <c r="J2171" s="78">
        <f>MAX(K2171:Q2171)</f>
        <v>1</v>
      </c>
      <c r="K2171" s="88"/>
      <c r="L2171" s="88"/>
      <c r="M2171" s="88"/>
      <c r="N2171" s="88"/>
      <c r="O2171" s="88">
        <v>1</v>
      </c>
      <c r="P2171" s="88"/>
      <c r="Q2171" s="88"/>
      <c r="R2171" s="78">
        <f>MAX(S2171:W2171)</f>
        <v>0</v>
      </c>
      <c r="S2171" s="88"/>
      <c r="T2171" s="88"/>
      <c r="U2171" s="88"/>
      <c r="V2171" s="88"/>
      <c r="W2171" s="88"/>
    </row>
    <row r="2172" spans="2:23" s="0" customFormat="0" ht="15">
      <c r="B2172" s="87" t="s">
        <v>1</v>
      </c>
      <c r="C2172" s="88" t="s">
        <v>5259</v>
      </c>
      <c r="D2172" s="88" t="s">
        <v>1608</v>
      </c>
      <c r="E2172" s="88" t="s">
        <v>61</v>
      </c>
      <c r="F2172" s="88">
        <v>0</v>
      </c>
      <c r="G2172" s="78">
        <f>MAX(H2172,I2172,J2172)</f>
        <v>1</v>
      </c>
      <c r="H2172" s="88"/>
      <c r="I2172" s="88"/>
      <c r="J2172" s="78">
        <f>MAX(K2172:Q2172)</f>
        <v>1</v>
      </c>
      <c r="K2172" s="88">
        <v>1</v>
      </c>
      <c r="L2172" s="88"/>
      <c r="M2172" s="88"/>
      <c r="N2172" s="88"/>
      <c r="O2172" s="88"/>
      <c r="P2172" s="88"/>
      <c r="Q2172" s="88"/>
      <c r="R2172" s="78">
        <f>MAX(S2172:W2172)</f>
        <v>0</v>
      </c>
      <c r="S2172" s="88"/>
      <c r="T2172" s="88"/>
      <c r="U2172" s="88"/>
      <c r="V2172" s="88"/>
      <c r="W2172" s="88"/>
    </row>
    <row r="2173" spans="2:23" s="0" customFormat="0" ht="15">
      <c r="B2173" s="87" t="s">
        <v>1</v>
      </c>
      <c r="C2173" s="88" t="s">
        <v>5259</v>
      </c>
      <c r="D2173" s="88">
        <v>20244104</v>
      </c>
      <c r="E2173" s="88" t="s">
        <v>61</v>
      </c>
      <c r="F2173" s="88">
        <v>0</v>
      </c>
      <c r="G2173" s="78">
        <f>MAX(H2173,I2173,J2173)</f>
        <v>1</v>
      </c>
      <c r="H2173" s="88"/>
      <c r="I2173" s="88"/>
      <c r="J2173" s="78">
        <f>MAX(K2173:Q2173)</f>
        <v>1</v>
      </c>
      <c r="K2173" s="88">
        <v>1</v>
      </c>
      <c r="L2173" s="88"/>
      <c r="M2173" s="88"/>
      <c r="N2173" s="88"/>
      <c r="O2173" s="88"/>
      <c r="P2173" s="88"/>
      <c r="Q2173" s="88"/>
      <c r="R2173" s="78">
        <f>MAX(S2173:W2173)</f>
        <v>0</v>
      </c>
      <c r="S2173" s="88"/>
      <c r="T2173" s="88"/>
      <c r="U2173" s="88"/>
      <c r="V2173" s="88"/>
      <c r="W2173" s="88"/>
    </row>
    <row r="2174" spans="2:23" s="0" customFormat="0" ht="15">
      <c r="B2174" s="87" t="s">
        <v>1</v>
      </c>
      <c r="C2174" s="88" t="s">
        <v>5259</v>
      </c>
      <c r="D2174" s="88" t="s">
        <v>1610</v>
      </c>
      <c r="E2174" s="88" t="s">
        <v>61</v>
      </c>
      <c r="F2174" s="88">
        <v>0</v>
      </c>
      <c r="G2174" s="78">
        <f>MAX(H2174,I2174,J2174)</f>
        <v>1</v>
      </c>
      <c r="H2174" s="88"/>
      <c r="I2174" s="88"/>
      <c r="J2174" s="78">
        <f>MAX(K2174:Q2174)</f>
        <v>1</v>
      </c>
      <c r="K2174" s="88">
        <v>1</v>
      </c>
      <c r="L2174" s="88"/>
      <c r="M2174" s="88"/>
      <c r="N2174" s="88"/>
      <c r="O2174" s="88"/>
      <c r="P2174" s="88"/>
      <c r="Q2174" s="88"/>
      <c r="R2174" s="78">
        <f>MAX(S2174:W2174)</f>
        <v>0</v>
      </c>
      <c r="S2174" s="88"/>
      <c r="T2174" s="88"/>
      <c r="U2174" s="88"/>
      <c r="V2174" s="88"/>
      <c r="W2174" s="88"/>
    </row>
    <row r="2175" spans="2:23" s="0" customFormat="0" ht="15">
      <c r="B2175" s="87" t="s">
        <v>1</v>
      </c>
      <c r="C2175" s="88" t="s">
        <v>5259</v>
      </c>
      <c r="D2175" s="88">
        <v>22237859</v>
      </c>
      <c r="E2175" s="88" t="s">
        <v>61</v>
      </c>
      <c r="F2175" s="88">
        <v>0</v>
      </c>
      <c r="G2175" s="78">
        <f>MAX(H2175,I2175,J2175)</f>
        <v>1</v>
      </c>
      <c r="H2175" s="88"/>
      <c r="I2175" s="88"/>
      <c r="J2175" s="78">
        <f>MAX(K2175:Q2175)</f>
        <v>1</v>
      </c>
      <c r="K2175" s="88">
        <v>1</v>
      </c>
      <c r="L2175" s="88"/>
      <c r="M2175" s="88"/>
      <c r="N2175" s="88"/>
      <c r="O2175" s="88"/>
      <c r="P2175" s="88"/>
      <c r="Q2175" s="88"/>
      <c r="R2175" s="78">
        <f>MAX(S2175:W2175)</f>
        <v>0</v>
      </c>
      <c r="S2175" s="88"/>
      <c r="T2175" s="88"/>
      <c r="U2175" s="88"/>
      <c r="V2175" s="88"/>
      <c r="W2175" s="88"/>
    </row>
    <row r="2176" spans="2:23" s="0" customFormat="0" ht="15">
      <c r="B2176" s="87" t="s">
        <v>1</v>
      </c>
      <c r="C2176" s="88" t="s">
        <v>5259</v>
      </c>
      <c r="D2176" s="88">
        <v>10931330</v>
      </c>
      <c r="E2176" s="88" t="s">
        <v>61</v>
      </c>
      <c r="F2176" s="88">
        <v>0</v>
      </c>
      <c r="G2176" s="78">
        <f>MAX(H2176,I2176,J2176)</f>
        <v>1</v>
      </c>
      <c r="H2176" s="88"/>
      <c r="I2176" s="88"/>
      <c r="J2176" s="78">
        <f>MAX(K2176:Q2176)</f>
        <v>1</v>
      </c>
      <c r="K2176" s="88"/>
      <c r="L2176" s="88"/>
      <c r="M2176" s="88">
        <v>1</v>
      </c>
      <c r="N2176" s="88"/>
      <c r="O2176" s="88"/>
      <c r="P2176" s="88"/>
      <c r="Q2176" s="88"/>
      <c r="R2176" s="78">
        <f>MAX(S2176:W2176)</f>
        <v>0</v>
      </c>
      <c r="S2176" s="88"/>
      <c r="T2176" s="88"/>
      <c r="U2176" s="88"/>
      <c r="V2176" s="88"/>
      <c r="W2176" s="88"/>
    </row>
    <row r="2177" spans="2:23" s="0" customFormat="0" ht="15">
      <c r="B2177" s="87" t="s">
        <v>1</v>
      </c>
      <c r="C2177" s="88" t="s">
        <v>5259</v>
      </c>
      <c r="D2177" s="88">
        <v>1551572</v>
      </c>
      <c r="E2177" s="88" t="s">
        <v>61</v>
      </c>
      <c r="F2177" s="88">
        <v>0</v>
      </c>
      <c r="G2177" s="78">
        <f>MAX(H2177,I2177,J2177)</f>
        <v>0</v>
      </c>
      <c r="H2177" s="88"/>
      <c r="I2177" s="88"/>
      <c r="J2177" s="78">
        <f>MAX(K2177:Q2177)</f>
        <v>0</v>
      </c>
      <c r="K2177" s="88"/>
      <c r="L2177" s="88"/>
      <c r="M2177" s="88"/>
      <c r="N2177" s="88"/>
      <c r="O2177" s="88"/>
      <c r="P2177" s="88"/>
      <c r="Q2177" s="88"/>
      <c r="R2177" s="78">
        <f>MAX(S2177:W2177)</f>
        <v>1</v>
      </c>
      <c r="S2177" s="88"/>
      <c r="T2177" s="88"/>
      <c r="U2177" s="88">
        <v>1</v>
      </c>
      <c r="V2177" s="88"/>
      <c r="W2177" s="88"/>
    </row>
    <row r="2178" spans="2:23" s="0" customFormat="0" ht="15">
      <c r="B2178" s="87" t="s">
        <v>1</v>
      </c>
      <c r="C2178" s="88" t="s">
        <v>5259</v>
      </c>
      <c r="D2178" s="88">
        <v>3610277</v>
      </c>
      <c r="E2178" s="88" t="s">
        <v>61</v>
      </c>
      <c r="F2178" s="88">
        <v>0</v>
      </c>
      <c r="G2178" s="78">
        <f>MAX(H2178,I2178,J2178)</f>
        <v>1</v>
      </c>
      <c r="H2178" s="88"/>
      <c r="I2178" s="88"/>
      <c r="J2178" s="78">
        <f>MAX(K2178:Q2178)</f>
        <v>1</v>
      </c>
      <c r="K2178" s="88">
        <v>1</v>
      </c>
      <c r="L2178" s="88"/>
      <c r="M2178" s="88"/>
      <c r="N2178" s="88"/>
      <c r="O2178" s="88"/>
      <c r="P2178" s="88"/>
      <c r="Q2178" s="88"/>
      <c r="R2178" s="78">
        <f>MAX(S2178:W2178)</f>
        <v>0</v>
      </c>
      <c r="S2178" s="88"/>
      <c r="T2178" s="88"/>
      <c r="U2178" s="88"/>
      <c r="V2178" s="88"/>
      <c r="W2178" s="88"/>
    </row>
    <row r="2179" spans="2:23" s="0" customFormat="0" ht="15">
      <c r="B2179" s="87" t="s">
        <v>1</v>
      </c>
      <c r="C2179" s="88" t="s">
        <v>5259</v>
      </c>
      <c r="D2179" s="88">
        <v>2605746</v>
      </c>
      <c r="E2179" s="88" t="s">
        <v>61</v>
      </c>
      <c r="F2179" s="88">
        <v>0</v>
      </c>
      <c r="G2179" s="78">
        <f>MAX(H2179,I2179,J2179)</f>
        <v>1</v>
      </c>
      <c r="H2179" s="88"/>
      <c r="I2179" s="88"/>
      <c r="J2179" s="78">
        <f>MAX(K2179:Q2179)</f>
        <v>1</v>
      </c>
      <c r="K2179" s="88">
        <v>1</v>
      </c>
      <c r="L2179" s="88"/>
      <c r="M2179" s="88"/>
      <c r="N2179" s="88"/>
      <c r="O2179" s="88"/>
      <c r="P2179" s="88"/>
      <c r="Q2179" s="88"/>
      <c r="R2179" s="78">
        <f>MAX(S2179:W2179)</f>
        <v>0</v>
      </c>
      <c r="S2179" s="88"/>
      <c r="T2179" s="88"/>
      <c r="U2179" s="88"/>
      <c r="V2179" s="88"/>
      <c r="W2179" s="88"/>
    </row>
    <row r="2180" spans="2:23" s="0" customFormat="0" ht="15">
      <c r="B2180" s="87" t="s">
        <v>1</v>
      </c>
      <c r="C2180" s="88" t="s">
        <v>5259</v>
      </c>
      <c r="D2180" s="88">
        <v>14903820</v>
      </c>
      <c r="E2180" s="88" t="s">
        <v>61</v>
      </c>
      <c r="F2180" s="88">
        <v>0</v>
      </c>
      <c r="G2180" s="78">
        <f>MAX(H2180,I2180,J2180)</f>
        <v>1</v>
      </c>
      <c r="H2180" s="88"/>
      <c r="I2180" s="88"/>
      <c r="J2180" s="78">
        <f>MAX(K2180:Q2180)</f>
        <v>1</v>
      </c>
      <c r="K2180" s="88">
        <v>1</v>
      </c>
      <c r="L2180" s="88"/>
      <c r="M2180" s="88"/>
      <c r="N2180" s="88"/>
      <c r="O2180" s="88"/>
      <c r="P2180" s="88"/>
      <c r="Q2180" s="88"/>
      <c r="R2180" s="78">
        <f>MAX(S2180:W2180)</f>
        <v>0</v>
      </c>
      <c r="S2180" s="88"/>
      <c r="T2180" s="88"/>
      <c r="U2180" s="88"/>
      <c r="V2180" s="88"/>
      <c r="W2180" s="88"/>
    </row>
    <row r="2181" spans="2:23" s="0" customFormat="0" ht="15">
      <c r="B2181" s="87" t="s">
        <v>1</v>
      </c>
      <c r="C2181" s="88" t="s">
        <v>5259</v>
      </c>
      <c r="D2181" s="88" t="s">
        <v>1615</v>
      </c>
      <c r="E2181" s="88" t="s">
        <v>61</v>
      </c>
      <c r="F2181" s="88">
        <v>0</v>
      </c>
      <c r="G2181" s="78">
        <f>MAX(H2181,I2181,J2181)</f>
        <v>1</v>
      </c>
      <c r="H2181" s="88"/>
      <c r="I2181" s="88"/>
      <c r="J2181" s="78">
        <f>MAX(K2181:Q2181)</f>
        <v>1</v>
      </c>
      <c r="K2181" s="88">
        <v>1</v>
      </c>
      <c r="L2181" s="88"/>
      <c r="M2181" s="88"/>
      <c r="N2181" s="88"/>
      <c r="O2181" s="88"/>
      <c r="P2181" s="88"/>
      <c r="Q2181" s="88"/>
      <c r="R2181" s="78">
        <f>MAX(S2181:W2181)</f>
        <v>0</v>
      </c>
      <c r="S2181" s="88"/>
      <c r="T2181" s="88"/>
      <c r="U2181" s="88"/>
      <c r="V2181" s="88"/>
      <c r="W2181" s="88"/>
    </row>
    <row r="2182" spans="2:23" s="0" customFormat="0" ht="15">
      <c r="B2182" s="87" t="s">
        <v>1</v>
      </c>
      <c r="C2182" s="88" t="s">
        <v>5259</v>
      </c>
      <c r="D2182" s="88">
        <v>12570444</v>
      </c>
      <c r="E2182" s="88" t="s">
        <v>61</v>
      </c>
      <c r="F2182" s="88">
        <v>0</v>
      </c>
      <c r="G2182" s="78">
        <f>MAX(H2182,I2182,J2182)</f>
        <v>1</v>
      </c>
      <c r="H2182" s="88"/>
      <c r="I2182" s="88"/>
      <c r="J2182" s="78">
        <f>MAX(K2182:Q2182)</f>
        <v>1</v>
      </c>
      <c r="K2182" s="88">
        <v>1</v>
      </c>
      <c r="L2182" s="88"/>
      <c r="M2182" s="88"/>
      <c r="N2182" s="88"/>
      <c r="O2182" s="88"/>
      <c r="P2182" s="88"/>
      <c r="Q2182" s="88"/>
      <c r="R2182" s="78">
        <f>MAX(S2182:W2182)</f>
        <v>0</v>
      </c>
      <c r="S2182" s="88"/>
      <c r="T2182" s="88"/>
      <c r="U2182" s="88"/>
      <c r="V2182" s="88"/>
      <c r="W2182" s="88"/>
    </row>
    <row r="2183" spans="2:23" s="0" customFormat="0" ht="15">
      <c r="B2183" s="87" t="s">
        <v>1</v>
      </c>
      <c r="C2183" s="88" t="s">
        <v>5259</v>
      </c>
      <c r="D2183" s="88">
        <v>12402301</v>
      </c>
      <c r="E2183" s="88" t="s">
        <v>61</v>
      </c>
      <c r="F2183" s="88">
        <v>0</v>
      </c>
      <c r="G2183" s="78">
        <f>MAX(H2183,I2183,J2183)</f>
        <v>1</v>
      </c>
      <c r="H2183" s="88"/>
      <c r="I2183" s="88"/>
      <c r="J2183" s="78">
        <f>MAX(K2183:Q2183)</f>
        <v>1</v>
      </c>
      <c r="K2183" s="88">
        <v>1</v>
      </c>
      <c r="L2183" s="88"/>
      <c r="M2183" s="88"/>
      <c r="N2183" s="88"/>
      <c r="O2183" s="88"/>
      <c r="P2183" s="88"/>
      <c r="Q2183" s="88"/>
      <c r="R2183" s="78">
        <f>MAX(S2183:W2183)</f>
        <v>0</v>
      </c>
      <c r="S2183" s="88"/>
      <c r="T2183" s="88"/>
      <c r="U2183" s="88"/>
      <c r="V2183" s="88"/>
      <c r="W2183" s="88"/>
    </row>
    <row r="2184" spans="2:23" s="0" customFormat="0" ht="15">
      <c r="B2184" s="87" t="s">
        <v>1</v>
      </c>
      <c r="C2184" s="88" t="s">
        <v>5259</v>
      </c>
      <c r="D2184" s="88" t="s">
        <v>1618</v>
      </c>
      <c r="E2184" s="88" t="s">
        <v>61</v>
      </c>
      <c r="F2184" s="88">
        <v>0</v>
      </c>
      <c r="G2184" s="78">
        <f>MAX(H2184,I2184,J2184)</f>
        <v>1</v>
      </c>
      <c r="H2184" s="88"/>
      <c r="I2184" s="88"/>
      <c r="J2184" s="78">
        <f>MAX(K2184:Q2184)</f>
        <v>1</v>
      </c>
      <c r="K2184" s="88">
        <v>1</v>
      </c>
      <c r="L2184" s="88"/>
      <c r="M2184" s="88"/>
      <c r="N2184" s="88"/>
      <c r="O2184" s="88"/>
      <c r="P2184" s="88"/>
      <c r="Q2184" s="88"/>
      <c r="R2184" s="78">
        <f>MAX(S2184:W2184)</f>
        <v>0</v>
      </c>
      <c r="S2184" s="88"/>
      <c r="T2184" s="88"/>
      <c r="U2184" s="88"/>
      <c r="V2184" s="88"/>
      <c r="W2184" s="88"/>
    </row>
    <row r="2185" spans="2:23" s="0" customFormat="0" ht="15">
      <c r="B2185" s="87" t="s">
        <v>1</v>
      </c>
      <c r="C2185" s="88" t="s">
        <v>5259</v>
      </c>
      <c r="D2185" s="88">
        <v>22554576</v>
      </c>
      <c r="E2185" s="88" t="s">
        <v>61</v>
      </c>
      <c r="F2185" s="88">
        <v>0</v>
      </c>
      <c r="G2185" s="78">
        <f>MAX(H2185,I2185,J2185)</f>
        <v>0</v>
      </c>
      <c r="H2185" s="88"/>
      <c r="I2185" s="88"/>
      <c r="J2185" s="78">
        <f>MAX(K2185:Q2185)</f>
        <v>0</v>
      </c>
      <c r="K2185" s="88"/>
      <c r="L2185" s="88"/>
      <c r="M2185" s="88"/>
      <c r="N2185" s="88"/>
      <c r="O2185" s="88"/>
      <c r="P2185" s="88"/>
      <c r="Q2185" s="88"/>
      <c r="R2185" s="78">
        <f>MAX(S2185:W2185)</f>
        <v>1</v>
      </c>
      <c r="S2185" s="88"/>
      <c r="T2185" s="88"/>
      <c r="U2185" s="88">
        <v>1</v>
      </c>
      <c r="V2185" s="88"/>
      <c r="W2185" s="88"/>
    </row>
    <row r="2186" spans="2:23" s="0" customFormat="0" ht="15">
      <c r="B2186" s="87" t="s">
        <v>1</v>
      </c>
      <c r="C2186" s="88" t="s">
        <v>5259</v>
      </c>
      <c r="D2186" s="88">
        <v>18423531</v>
      </c>
      <c r="E2186" s="88" t="s">
        <v>61</v>
      </c>
      <c r="F2186" s="88">
        <v>0</v>
      </c>
      <c r="G2186" s="78">
        <f>MAX(H2186,I2186,J2186)</f>
        <v>0</v>
      </c>
      <c r="H2186" s="88"/>
      <c r="I2186" s="88"/>
      <c r="J2186" s="78">
        <f>MAX(K2186:Q2186)</f>
        <v>0</v>
      </c>
      <c r="K2186" s="88"/>
      <c r="L2186" s="88"/>
      <c r="M2186" s="88"/>
      <c r="N2186" s="88"/>
      <c r="O2186" s="88"/>
      <c r="P2186" s="88"/>
      <c r="Q2186" s="88"/>
      <c r="R2186" s="78">
        <f>MAX(S2186:W2186)</f>
        <v>1</v>
      </c>
      <c r="S2186" s="88"/>
      <c r="T2186" s="88"/>
      <c r="U2186" s="88">
        <v>1</v>
      </c>
      <c r="V2186" s="88"/>
      <c r="W2186" s="88"/>
    </row>
    <row r="2187" spans="2:23" s="0" customFormat="0" ht="15">
      <c r="B2187" s="87" t="s">
        <v>1</v>
      </c>
      <c r="C2187" s="88" t="s">
        <v>5259</v>
      </c>
      <c r="D2187" s="88" t="s">
        <v>3764</v>
      </c>
      <c r="E2187" s="88" t="s">
        <v>61</v>
      </c>
      <c r="F2187" s="88">
        <v>0</v>
      </c>
      <c r="G2187" s="78">
        <f>MAX(H2187,I2187,J2187)</f>
        <v>0</v>
      </c>
      <c r="H2187" s="88"/>
      <c r="I2187" s="88"/>
      <c r="J2187" s="78">
        <f>MAX(K2187:Q2187)</f>
        <v>0</v>
      </c>
      <c r="K2187" s="88"/>
      <c r="L2187" s="88"/>
      <c r="M2187" s="88"/>
      <c r="N2187" s="88"/>
      <c r="O2187" s="88"/>
      <c r="P2187" s="88"/>
      <c r="Q2187" s="88"/>
      <c r="R2187" s="78">
        <f>MAX(S2187:W2187)</f>
        <v>1</v>
      </c>
      <c r="S2187" s="88"/>
      <c r="T2187" s="88"/>
      <c r="U2187" s="88">
        <v>1</v>
      </c>
      <c r="V2187" s="88"/>
      <c r="W2187" s="88"/>
    </row>
    <row r="2188" spans="2:23" s="0" customFormat="0" ht="15">
      <c r="B2188" s="87" t="s">
        <v>1</v>
      </c>
      <c r="C2188" s="88" t="s">
        <v>5259</v>
      </c>
      <c r="D2188" s="88">
        <v>22554068</v>
      </c>
      <c r="E2188" s="88" t="s">
        <v>61</v>
      </c>
      <c r="F2188" s="88">
        <v>0</v>
      </c>
      <c r="G2188" s="78">
        <f>MAX(H2188,I2188,J2188)</f>
        <v>0</v>
      </c>
      <c r="H2188" s="88"/>
      <c r="I2188" s="88"/>
      <c r="J2188" s="78">
        <f>MAX(K2188:Q2188)</f>
        <v>0</v>
      </c>
      <c r="K2188" s="88"/>
      <c r="L2188" s="88"/>
      <c r="M2188" s="88"/>
      <c r="N2188" s="88"/>
      <c r="O2188" s="88"/>
      <c r="P2188" s="88"/>
      <c r="Q2188" s="88"/>
      <c r="R2188" s="78">
        <f>MAX(S2188:W2188)</f>
        <v>1</v>
      </c>
      <c r="S2188" s="88"/>
      <c r="T2188" s="88"/>
      <c r="U2188" s="88">
        <v>1</v>
      </c>
      <c r="V2188" s="88"/>
      <c r="W2188" s="88"/>
    </row>
    <row r="2189" spans="2:23" s="0" customFormat="0" ht="15">
      <c r="B2189" s="87" t="s">
        <v>1</v>
      </c>
      <c r="C2189" s="88" t="s">
        <v>5259</v>
      </c>
      <c r="D2189" s="88">
        <v>20930569</v>
      </c>
      <c r="E2189" s="88" t="s">
        <v>61</v>
      </c>
      <c r="F2189" s="88">
        <v>0</v>
      </c>
      <c r="G2189" s="78">
        <f>MAX(H2189,I2189,J2189)</f>
        <v>1</v>
      </c>
      <c r="H2189" s="88"/>
      <c r="I2189" s="88"/>
      <c r="J2189" s="78">
        <f>MAX(K2189:Q2189)</f>
        <v>1</v>
      </c>
      <c r="K2189" s="88">
        <v>1</v>
      </c>
      <c r="L2189" s="88"/>
      <c r="M2189" s="88"/>
      <c r="N2189" s="88"/>
      <c r="O2189" s="88"/>
      <c r="P2189" s="88"/>
      <c r="Q2189" s="88"/>
      <c r="R2189" s="78">
        <f>MAX(S2189:W2189)</f>
        <v>0</v>
      </c>
      <c r="S2189" s="88"/>
      <c r="T2189" s="88"/>
      <c r="U2189" s="88"/>
      <c r="V2189" s="88"/>
      <c r="W2189" s="88"/>
    </row>
    <row r="2190" spans="2:23" s="0" customFormat="0" ht="15">
      <c r="B2190" s="87" t="s">
        <v>1</v>
      </c>
      <c r="C2190" s="88" t="s">
        <v>5259</v>
      </c>
      <c r="D2190" s="88" t="s">
        <v>326</v>
      </c>
      <c r="E2190" s="88" t="s">
        <v>61</v>
      </c>
      <c r="F2190" s="88">
        <v>0</v>
      </c>
      <c r="G2190" s="78">
        <f>MAX(H2190,I2190,J2190)</f>
        <v>1</v>
      </c>
      <c r="H2190" s="88"/>
      <c r="I2190" s="88"/>
      <c r="J2190" s="78">
        <f>MAX(K2190:Q2190)</f>
        <v>1</v>
      </c>
      <c r="K2190" s="88">
        <v>1</v>
      </c>
      <c r="L2190" s="88"/>
      <c r="M2190" s="88"/>
      <c r="N2190" s="88"/>
      <c r="O2190" s="88"/>
      <c r="P2190" s="88"/>
      <c r="Q2190" s="88"/>
      <c r="R2190" s="78">
        <f>MAX(S2190:W2190)</f>
        <v>0</v>
      </c>
      <c r="S2190" s="88"/>
      <c r="T2190" s="88"/>
      <c r="U2190" s="88"/>
      <c r="V2190" s="88"/>
      <c r="W2190" s="88"/>
    </row>
    <row r="2191" spans="2:23" s="0" customFormat="0" ht="15">
      <c r="B2191" s="87" t="s">
        <v>1</v>
      </c>
      <c r="C2191" s="88" t="s">
        <v>5259</v>
      </c>
      <c r="D2191" s="88">
        <v>14542520</v>
      </c>
      <c r="E2191" s="88" t="s">
        <v>61</v>
      </c>
      <c r="F2191" s="88">
        <v>0</v>
      </c>
      <c r="G2191" s="78">
        <f>MAX(H2191,I2191,J2191)</f>
        <v>1</v>
      </c>
      <c r="H2191" s="88"/>
      <c r="I2191" s="88"/>
      <c r="J2191" s="78">
        <f>MAX(K2191:Q2191)</f>
        <v>1</v>
      </c>
      <c r="K2191" s="88">
        <v>1</v>
      </c>
      <c r="L2191" s="88"/>
      <c r="M2191" s="88"/>
      <c r="N2191" s="88"/>
      <c r="O2191" s="88"/>
      <c r="P2191" s="88"/>
      <c r="Q2191" s="88"/>
      <c r="R2191" s="78">
        <f>MAX(S2191:W2191)</f>
        <v>0</v>
      </c>
      <c r="S2191" s="88"/>
      <c r="T2191" s="88"/>
      <c r="U2191" s="88"/>
      <c r="V2191" s="88"/>
      <c r="W2191" s="88"/>
    </row>
    <row r="2192" spans="2:23" s="0" customFormat="0" ht="15">
      <c r="B2192" s="87" t="s">
        <v>1</v>
      </c>
      <c r="C2192" s="88" t="s">
        <v>5259</v>
      </c>
      <c r="D2192" s="88">
        <v>942518</v>
      </c>
      <c r="E2192" s="88" t="s">
        <v>61</v>
      </c>
      <c r="F2192" s="88">
        <v>0</v>
      </c>
      <c r="G2192" s="78">
        <f>MAX(H2192,I2192,J2192)</f>
        <v>0</v>
      </c>
      <c r="H2192" s="88"/>
      <c r="I2192" s="88"/>
      <c r="J2192" s="78">
        <f>MAX(K2192:Q2192)</f>
        <v>0</v>
      </c>
      <c r="K2192" s="88"/>
      <c r="L2192" s="88"/>
      <c r="M2192" s="88"/>
      <c r="N2192" s="88"/>
      <c r="O2192" s="88"/>
      <c r="P2192" s="88"/>
      <c r="Q2192" s="88"/>
      <c r="R2192" s="78">
        <f>MAX(S2192:W2192)</f>
        <v>1</v>
      </c>
      <c r="S2192" s="88"/>
      <c r="T2192" s="88"/>
      <c r="U2192" s="88">
        <v>1</v>
      </c>
      <c r="V2192" s="88"/>
      <c r="W2192" s="88"/>
    </row>
    <row r="2193" spans="2:23" s="0" customFormat="0" ht="15">
      <c r="B2193" s="87" t="s">
        <v>1</v>
      </c>
      <c r="C2193" s="88" t="s">
        <v>5259</v>
      </c>
      <c r="D2193" s="88">
        <v>14731284</v>
      </c>
      <c r="E2193" s="88" t="s">
        <v>61</v>
      </c>
      <c r="F2193" s="88">
        <v>0</v>
      </c>
      <c r="G2193" s="78">
        <f>MAX(H2193,I2193,J2193)</f>
        <v>1</v>
      </c>
      <c r="H2193" s="88"/>
      <c r="I2193" s="88"/>
      <c r="J2193" s="78">
        <f>MAX(K2193:Q2193)</f>
        <v>1</v>
      </c>
      <c r="K2193" s="88">
        <v>1</v>
      </c>
      <c r="L2193" s="88"/>
      <c r="M2193" s="88"/>
      <c r="N2193" s="88"/>
      <c r="O2193" s="88"/>
      <c r="P2193" s="88"/>
      <c r="Q2193" s="88"/>
      <c r="R2193" s="78">
        <f>MAX(S2193:W2193)</f>
        <v>0</v>
      </c>
      <c r="S2193" s="88"/>
      <c r="T2193" s="88"/>
      <c r="U2193" s="88"/>
      <c r="V2193" s="88"/>
      <c r="W2193" s="88"/>
    </row>
    <row r="2194" spans="2:23" s="0" customFormat="0" ht="15">
      <c r="B2194" s="87" t="s">
        <v>1</v>
      </c>
      <c r="C2194" s="88" t="s">
        <v>5259</v>
      </c>
      <c r="D2194" s="88">
        <v>18762285</v>
      </c>
      <c r="E2194" s="88" t="s">
        <v>61</v>
      </c>
      <c r="F2194" s="88">
        <v>0</v>
      </c>
      <c r="G2194" s="78">
        <f>MAX(H2194,I2194,J2194)</f>
        <v>1</v>
      </c>
      <c r="H2194" s="88"/>
      <c r="I2194" s="88"/>
      <c r="J2194" s="78">
        <f>MAX(K2194:Q2194)</f>
        <v>1</v>
      </c>
      <c r="K2194" s="88">
        <v>1</v>
      </c>
      <c r="L2194" s="88"/>
      <c r="M2194" s="88"/>
      <c r="N2194" s="88"/>
      <c r="O2194" s="88"/>
      <c r="P2194" s="88"/>
      <c r="Q2194" s="88"/>
      <c r="R2194" s="78">
        <f>MAX(S2194:W2194)</f>
        <v>0</v>
      </c>
      <c r="S2194" s="88"/>
      <c r="T2194" s="88"/>
      <c r="U2194" s="88"/>
      <c r="V2194" s="88"/>
      <c r="W2194" s="88"/>
    </row>
    <row r="2195" spans="2:23" s="0" customFormat="0" ht="15">
      <c r="B2195" s="87" t="s">
        <v>1</v>
      </c>
      <c r="C2195" s="88" t="s">
        <v>5259</v>
      </c>
      <c r="D2195" s="88" t="s">
        <v>4298</v>
      </c>
      <c r="E2195" s="88" t="s">
        <v>61</v>
      </c>
      <c r="F2195" s="88">
        <v>0</v>
      </c>
      <c r="G2195" s="78">
        <f>MAX(H2195,I2195,J2195)</f>
        <v>0</v>
      </c>
      <c r="H2195" s="88"/>
      <c r="I2195" s="88"/>
      <c r="J2195" s="78">
        <f>MAX(K2195:Q2195)</f>
        <v>0</v>
      </c>
      <c r="K2195" s="88"/>
      <c r="L2195" s="88"/>
      <c r="M2195" s="88"/>
      <c r="N2195" s="88"/>
      <c r="O2195" s="88"/>
      <c r="P2195" s="88"/>
      <c r="Q2195" s="88"/>
      <c r="R2195" s="78">
        <f>MAX(S2195:W2195)</f>
        <v>1</v>
      </c>
      <c r="S2195" s="88"/>
      <c r="T2195" s="88"/>
      <c r="U2195" s="88">
        <v>1</v>
      </c>
      <c r="V2195" s="88"/>
      <c r="W2195" s="88"/>
    </row>
    <row r="2196" spans="2:23" s="0" customFormat="0" ht="15">
      <c r="B2196" s="87" t="s">
        <v>1</v>
      </c>
      <c r="C2196" s="88" t="s">
        <v>5259</v>
      </c>
      <c r="D2196" s="88" t="s">
        <v>4300</v>
      </c>
      <c r="E2196" s="88" t="s">
        <v>61</v>
      </c>
      <c r="F2196" s="88">
        <v>0</v>
      </c>
      <c r="G2196" s="78">
        <f>MAX(H2196,I2196,J2196)</f>
        <v>0</v>
      </c>
      <c r="H2196" s="88"/>
      <c r="I2196" s="88"/>
      <c r="J2196" s="78">
        <f>MAX(K2196:Q2196)</f>
        <v>0</v>
      </c>
      <c r="K2196" s="88"/>
      <c r="L2196" s="88"/>
      <c r="M2196" s="88"/>
      <c r="N2196" s="88"/>
      <c r="O2196" s="88"/>
      <c r="P2196" s="88"/>
      <c r="Q2196" s="88"/>
      <c r="R2196" s="78">
        <f>MAX(S2196:W2196)</f>
        <v>1</v>
      </c>
      <c r="S2196" s="88"/>
      <c r="T2196" s="88"/>
      <c r="U2196" s="88">
        <v>1</v>
      </c>
      <c r="V2196" s="88"/>
      <c r="W2196" s="88"/>
    </row>
    <row r="2197" spans="2:23" s="0" customFormat="0" ht="15">
      <c r="B2197" s="87" t="s">
        <v>1</v>
      </c>
      <c r="C2197" s="88" t="s">
        <v>5259</v>
      </c>
      <c r="D2197" s="88" t="s">
        <v>1623</v>
      </c>
      <c r="E2197" s="88" t="s">
        <v>61</v>
      </c>
      <c r="F2197" s="88">
        <v>0</v>
      </c>
      <c r="G2197" s="78">
        <f>MAX(H2197,I2197,J2197)</f>
        <v>1</v>
      </c>
      <c r="H2197" s="88"/>
      <c r="I2197" s="88"/>
      <c r="J2197" s="78">
        <f>MAX(K2197:Q2197)</f>
        <v>1</v>
      </c>
      <c r="K2197" s="88">
        <v>1</v>
      </c>
      <c r="L2197" s="88"/>
      <c r="M2197" s="88"/>
      <c r="N2197" s="88"/>
      <c r="O2197" s="88"/>
      <c r="P2197" s="88"/>
      <c r="Q2197" s="88"/>
      <c r="R2197" s="78">
        <f>MAX(S2197:W2197)</f>
        <v>0</v>
      </c>
      <c r="S2197" s="88"/>
      <c r="T2197" s="88"/>
      <c r="U2197" s="88"/>
      <c r="V2197" s="88"/>
      <c r="W2197" s="88"/>
    </row>
    <row r="2198" spans="2:23" s="0" customFormat="0" ht="15">
      <c r="B2198" s="87" t="s">
        <v>1</v>
      </c>
      <c r="C2198" s="88" t="s">
        <v>5259</v>
      </c>
      <c r="D2198" s="88" t="s">
        <v>1625</v>
      </c>
      <c r="E2198" s="88" t="s">
        <v>61</v>
      </c>
      <c r="F2198" s="88">
        <v>0</v>
      </c>
      <c r="G2198" s="78">
        <f>MAX(H2198,I2198,J2198)</f>
        <v>1</v>
      </c>
      <c r="H2198" s="88"/>
      <c r="I2198" s="88"/>
      <c r="J2198" s="78">
        <f>MAX(K2198:Q2198)</f>
        <v>1</v>
      </c>
      <c r="K2198" s="88">
        <v>1</v>
      </c>
      <c r="L2198" s="88"/>
      <c r="M2198" s="88"/>
      <c r="N2198" s="88"/>
      <c r="O2198" s="88"/>
      <c r="P2198" s="88"/>
      <c r="Q2198" s="88"/>
      <c r="R2198" s="78">
        <f>MAX(S2198:W2198)</f>
        <v>0</v>
      </c>
      <c r="S2198" s="88"/>
      <c r="T2198" s="88"/>
      <c r="U2198" s="88"/>
      <c r="V2198" s="88"/>
      <c r="W2198" s="88"/>
    </row>
    <row r="2199" spans="2:23" s="0" customFormat="0" ht="15">
      <c r="B2199" s="87" t="s">
        <v>1</v>
      </c>
      <c r="C2199" s="88" t="s">
        <v>5259</v>
      </c>
      <c r="D2199" s="88">
        <v>22554255</v>
      </c>
      <c r="E2199" s="88" t="s">
        <v>61</v>
      </c>
      <c r="F2199" s="88">
        <v>0</v>
      </c>
      <c r="G2199" s="78">
        <f>MAX(H2199,I2199,J2199)</f>
        <v>1</v>
      </c>
      <c r="H2199" s="88"/>
      <c r="I2199" s="88"/>
      <c r="J2199" s="78">
        <f>MAX(K2199:Q2199)</f>
        <v>1</v>
      </c>
      <c r="K2199" s="88">
        <v>1</v>
      </c>
      <c r="L2199" s="88"/>
      <c r="M2199" s="88"/>
      <c r="N2199" s="88"/>
      <c r="O2199" s="88"/>
      <c r="P2199" s="88"/>
      <c r="Q2199" s="88"/>
      <c r="R2199" s="78">
        <f>MAX(S2199:W2199)</f>
        <v>0</v>
      </c>
      <c r="S2199" s="88"/>
      <c r="T2199" s="88"/>
      <c r="U2199" s="88"/>
      <c r="V2199" s="88"/>
      <c r="W2199" s="88"/>
    </row>
    <row r="2200" spans="2:23" s="0" customFormat="0" ht="15">
      <c r="B2200" s="87" t="s">
        <v>1</v>
      </c>
      <c r="C2200" s="88" t="s">
        <v>5259</v>
      </c>
      <c r="D2200" s="88">
        <v>19013591</v>
      </c>
      <c r="E2200" s="88" t="s">
        <v>61</v>
      </c>
      <c r="F2200" s="88">
        <v>0</v>
      </c>
      <c r="G2200" s="78">
        <f>MAX(H2200,I2200,J2200)</f>
        <v>1</v>
      </c>
      <c r="H2200" s="88"/>
      <c r="I2200" s="88"/>
      <c r="J2200" s="78">
        <f>MAX(K2200:Q2200)</f>
        <v>1</v>
      </c>
      <c r="K2200" s="88">
        <v>1</v>
      </c>
      <c r="L2200" s="88"/>
      <c r="M2200" s="88"/>
      <c r="N2200" s="88"/>
      <c r="O2200" s="88"/>
      <c r="P2200" s="88"/>
      <c r="Q2200" s="88"/>
      <c r="R2200" s="78">
        <f>MAX(S2200:W2200)</f>
        <v>0</v>
      </c>
      <c r="S2200" s="88"/>
      <c r="T2200" s="88"/>
      <c r="U2200" s="88"/>
      <c r="V2200" s="88"/>
      <c r="W2200" s="88"/>
    </row>
    <row r="2201" spans="2:23" s="0" customFormat="0" ht="15">
      <c r="B2201" s="87" t="s">
        <v>1</v>
      </c>
      <c r="C2201" s="88" t="s">
        <v>5259</v>
      </c>
      <c r="D2201" s="88">
        <v>21004748</v>
      </c>
      <c r="E2201" s="88" t="s">
        <v>61</v>
      </c>
      <c r="F2201" s="88">
        <v>0</v>
      </c>
      <c r="G2201" s="78">
        <f>MAX(H2201,I2201,J2201)</f>
        <v>1</v>
      </c>
      <c r="H2201" s="88"/>
      <c r="I2201" s="88"/>
      <c r="J2201" s="78">
        <f>MAX(K2201:Q2201)</f>
        <v>1</v>
      </c>
      <c r="K2201" s="88">
        <v>1</v>
      </c>
      <c r="L2201" s="88"/>
      <c r="M2201" s="88"/>
      <c r="N2201" s="88"/>
      <c r="O2201" s="88"/>
      <c r="P2201" s="88"/>
      <c r="Q2201" s="88"/>
      <c r="R2201" s="78">
        <f>MAX(S2201:W2201)</f>
        <v>0</v>
      </c>
      <c r="S2201" s="88"/>
      <c r="T2201" s="88"/>
      <c r="U2201" s="88"/>
      <c r="V2201" s="88"/>
      <c r="W2201" s="88"/>
    </row>
    <row r="2202" spans="2:23" s="0" customFormat="0" ht="15">
      <c r="B2202" s="87" t="s">
        <v>1</v>
      </c>
      <c r="C2202" s="88" t="s">
        <v>5259</v>
      </c>
      <c r="D2202" s="88" t="s">
        <v>4211</v>
      </c>
      <c r="E2202" s="88" t="s">
        <v>61</v>
      </c>
      <c r="F2202" s="88">
        <v>0</v>
      </c>
      <c r="G2202" s="78">
        <f>MAX(H2202,I2202,J2202)</f>
        <v>0</v>
      </c>
      <c r="H2202" s="88"/>
      <c r="I2202" s="88"/>
      <c r="J2202" s="78">
        <f>MAX(K2202:Q2202)</f>
        <v>0</v>
      </c>
      <c r="K2202" s="88"/>
      <c r="L2202" s="88"/>
      <c r="M2202" s="88"/>
      <c r="N2202" s="88"/>
      <c r="O2202" s="88"/>
      <c r="P2202" s="88"/>
      <c r="Q2202" s="88"/>
      <c r="R2202" s="78">
        <f>MAX(S2202:W2202)</f>
        <v>1</v>
      </c>
      <c r="S2202" s="88"/>
      <c r="T2202" s="88"/>
      <c r="U2202" s="88">
        <v>1</v>
      </c>
      <c r="V2202" s="88"/>
      <c r="W2202" s="88"/>
    </row>
    <row r="2203" spans="2:23" s="0" customFormat="0" ht="15">
      <c r="B2203" s="87" t="s">
        <v>1</v>
      </c>
      <c r="C2203" s="88" t="s">
        <v>5259</v>
      </c>
      <c r="D2203" s="88">
        <v>17121464</v>
      </c>
      <c r="E2203" s="88" t="s">
        <v>61</v>
      </c>
      <c r="F2203" s="88">
        <v>0</v>
      </c>
      <c r="G2203" s="78">
        <f>MAX(H2203,I2203,J2203)</f>
        <v>1</v>
      </c>
      <c r="H2203" s="88"/>
      <c r="I2203" s="88"/>
      <c r="J2203" s="78">
        <f>MAX(K2203:Q2203)</f>
        <v>1</v>
      </c>
      <c r="K2203" s="88">
        <v>1</v>
      </c>
      <c r="L2203" s="88"/>
      <c r="M2203" s="88"/>
      <c r="N2203" s="88"/>
      <c r="O2203" s="88"/>
      <c r="P2203" s="88"/>
      <c r="Q2203" s="88"/>
      <c r="R2203" s="78">
        <f>MAX(S2203:W2203)</f>
        <v>0</v>
      </c>
      <c r="S2203" s="88"/>
      <c r="T2203" s="88"/>
      <c r="U2203" s="88"/>
      <c r="V2203" s="88"/>
      <c r="W2203" s="88"/>
    </row>
    <row r="2204" spans="2:23" s="0" customFormat="0" ht="15">
      <c r="B2204" s="87" t="s">
        <v>1</v>
      </c>
      <c r="C2204" s="88" t="s">
        <v>5259</v>
      </c>
      <c r="D2204" s="88" t="s">
        <v>4302</v>
      </c>
      <c r="E2204" s="88" t="s">
        <v>61</v>
      </c>
      <c r="F2204" s="88">
        <v>0</v>
      </c>
      <c r="G2204" s="78">
        <f>MAX(H2204,I2204,J2204)</f>
        <v>0</v>
      </c>
      <c r="H2204" s="88"/>
      <c r="I2204" s="88"/>
      <c r="J2204" s="78">
        <f>MAX(K2204:Q2204)</f>
        <v>0</v>
      </c>
      <c r="K2204" s="88"/>
      <c r="L2204" s="88"/>
      <c r="M2204" s="88"/>
      <c r="N2204" s="88"/>
      <c r="O2204" s="88"/>
      <c r="P2204" s="88"/>
      <c r="Q2204" s="88"/>
      <c r="R2204" s="78">
        <f>MAX(S2204:W2204)</f>
        <v>1</v>
      </c>
      <c r="S2204" s="88"/>
      <c r="T2204" s="88"/>
      <c r="U2204" s="88">
        <v>1</v>
      </c>
      <c r="V2204" s="88"/>
      <c r="W2204" s="88"/>
    </row>
    <row r="2205" spans="2:23" s="0" customFormat="0" ht="15">
      <c r="B2205" s="87" t="s">
        <v>1</v>
      </c>
      <c r="C2205" s="88" t="s">
        <v>5259</v>
      </c>
      <c r="D2205" s="88" t="s">
        <v>4304</v>
      </c>
      <c r="E2205" s="88" t="s">
        <v>61</v>
      </c>
      <c r="F2205" s="88">
        <v>0</v>
      </c>
      <c r="G2205" s="78">
        <f>MAX(H2205,I2205,J2205)</f>
        <v>0</v>
      </c>
      <c r="H2205" s="88"/>
      <c r="I2205" s="88"/>
      <c r="J2205" s="78">
        <f>MAX(K2205:Q2205)</f>
        <v>0</v>
      </c>
      <c r="K2205" s="88"/>
      <c r="L2205" s="88"/>
      <c r="M2205" s="88"/>
      <c r="N2205" s="88"/>
      <c r="O2205" s="88"/>
      <c r="P2205" s="88"/>
      <c r="Q2205" s="88"/>
      <c r="R2205" s="78">
        <f>MAX(S2205:W2205)</f>
        <v>1</v>
      </c>
      <c r="S2205" s="88"/>
      <c r="T2205" s="88"/>
      <c r="U2205" s="88">
        <v>1</v>
      </c>
      <c r="V2205" s="88"/>
      <c r="W2205" s="88"/>
    </row>
    <row r="2206" spans="2:23" s="0" customFormat="0" ht="15">
      <c r="B2206" s="87" t="s">
        <v>1</v>
      </c>
      <c r="C2206" s="88" t="s">
        <v>5259</v>
      </c>
      <c r="D2206" s="88" t="s">
        <v>3850</v>
      </c>
      <c r="E2206" s="88" t="s">
        <v>61</v>
      </c>
      <c r="F2206" s="88">
        <v>0</v>
      </c>
      <c r="G2206" s="78">
        <f>MAX(H2206,I2206,J2206)</f>
        <v>0</v>
      </c>
      <c r="H2206" s="88"/>
      <c r="I2206" s="88"/>
      <c r="J2206" s="78">
        <f>MAX(K2206:Q2206)</f>
        <v>0</v>
      </c>
      <c r="K2206" s="88"/>
      <c r="L2206" s="88"/>
      <c r="M2206" s="88"/>
      <c r="N2206" s="88"/>
      <c r="O2206" s="88"/>
      <c r="P2206" s="88"/>
      <c r="Q2206" s="88"/>
      <c r="R2206" s="78">
        <f>MAX(S2206:W2206)</f>
        <v>1</v>
      </c>
      <c r="S2206" s="88"/>
      <c r="T2206" s="88"/>
      <c r="U2206" s="88">
        <v>1</v>
      </c>
      <c r="V2206" s="88"/>
      <c r="W2206" s="88"/>
    </row>
    <row r="2207" spans="2:23" s="0" customFormat="0" ht="15">
      <c r="B2207" s="87" t="s">
        <v>1</v>
      </c>
      <c r="C2207" s="88" t="s">
        <v>5259</v>
      </c>
      <c r="D2207" s="88">
        <v>21006783</v>
      </c>
      <c r="E2207" s="88" t="s">
        <v>61</v>
      </c>
      <c r="F2207" s="88">
        <v>0</v>
      </c>
      <c r="G2207" s="78">
        <f>MAX(H2207,I2207,J2207)</f>
        <v>1</v>
      </c>
      <c r="H2207" s="88"/>
      <c r="I2207" s="88"/>
      <c r="J2207" s="78">
        <f>MAX(K2207:Q2207)</f>
        <v>1</v>
      </c>
      <c r="K2207" s="88">
        <v>1</v>
      </c>
      <c r="L2207" s="88"/>
      <c r="M2207" s="88"/>
      <c r="N2207" s="88"/>
      <c r="O2207" s="88"/>
      <c r="P2207" s="88"/>
      <c r="Q2207" s="88"/>
      <c r="R2207" s="78">
        <f>MAX(S2207:W2207)</f>
        <v>0</v>
      </c>
      <c r="S2207" s="88"/>
      <c r="T2207" s="88"/>
      <c r="U2207" s="88"/>
      <c r="V2207" s="88"/>
      <c r="W2207" s="88"/>
    </row>
    <row r="2208" spans="2:23" s="0" customFormat="0" ht="15">
      <c r="B2208" s="87" t="s">
        <v>1</v>
      </c>
      <c r="C2208" s="88" t="s">
        <v>5259</v>
      </c>
      <c r="D2208" s="88" t="s">
        <v>1630</v>
      </c>
      <c r="E2208" s="88" t="s">
        <v>61</v>
      </c>
      <c r="F2208" s="88">
        <v>0</v>
      </c>
      <c r="G2208" s="78">
        <f>MAX(H2208,I2208,J2208)</f>
        <v>1</v>
      </c>
      <c r="H2208" s="88"/>
      <c r="I2208" s="88"/>
      <c r="J2208" s="78">
        <f>MAX(K2208:Q2208)</f>
        <v>1</v>
      </c>
      <c r="K2208" s="88">
        <v>1</v>
      </c>
      <c r="L2208" s="88"/>
      <c r="M2208" s="88"/>
      <c r="N2208" s="88"/>
      <c r="O2208" s="88"/>
      <c r="P2208" s="88"/>
      <c r="Q2208" s="88"/>
      <c r="R2208" s="78">
        <f>MAX(S2208:W2208)</f>
        <v>0</v>
      </c>
      <c r="S2208" s="88"/>
      <c r="T2208" s="88"/>
      <c r="U2208" s="88"/>
      <c r="V2208" s="88"/>
      <c r="W2208" s="88"/>
    </row>
    <row r="2209" spans="2:23" s="0" customFormat="0" ht="15">
      <c r="B2209" s="87" t="s">
        <v>1</v>
      </c>
      <c r="C2209" s="88" t="s">
        <v>5259</v>
      </c>
      <c r="D2209" s="88">
        <v>22554506</v>
      </c>
      <c r="E2209" s="88" t="s">
        <v>61</v>
      </c>
      <c r="F2209" s="88">
        <v>0</v>
      </c>
      <c r="G2209" s="78">
        <f>MAX(H2209,I2209,J2209)</f>
        <v>0</v>
      </c>
      <c r="H2209" s="88"/>
      <c r="I2209" s="88"/>
      <c r="J2209" s="78">
        <f>MAX(K2209:Q2209)</f>
        <v>0</v>
      </c>
      <c r="K2209" s="88"/>
      <c r="L2209" s="88"/>
      <c r="M2209" s="88"/>
      <c r="N2209" s="88"/>
      <c r="O2209" s="88"/>
      <c r="P2209" s="88"/>
      <c r="Q2209" s="88"/>
      <c r="R2209" s="78">
        <f>MAX(S2209:W2209)</f>
        <v>1</v>
      </c>
      <c r="S2209" s="88"/>
      <c r="T2209" s="88"/>
      <c r="U2209" s="88">
        <v>1</v>
      </c>
      <c r="V2209" s="88"/>
      <c r="W2209" s="88"/>
    </row>
    <row r="2210" spans="2:23" s="0" customFormat="0" ht="15">
      <c r="B2210" s="87" t="s">
        <v>1</v>
      </c>
      <c r="C2210" s="88" t="s">
        <v>5259</v>
      </c>
      <c r="D2210" s="88" t="s">
        <v>4120</v>
      </c>
      <c r="E2210" s="88" t="s">
        <v>61</v>
      </c>
      <c r="F2210" s="88">
        <v>0</v>
      </c>
      <c r="G2210" s="78">
        <f>MAX(H2210,I2210,J2210)</f>
        <v>0</v>
      </c>
      <c r="H2210" s="88"/>
      <c r="I2210" s="88"/>
      <c r="J2210" s="78">
        <f>MAX(K2210:Q2210)</f>
        <v>0</v>
      </c>
      <c r="K2210" s="88"/>
      <c r="L2210" s="88"/>
      <c r="M2210" s="88"/>
      <c r="N2210" s="88"/>
      <c r="O2210" s="88"/>
      <c r="P2210" s="88"/>
      <c r="Q2210" s="88"/>
      <c r="R2210" s="78">
        <f>MAX(S2210:W2210)</f>
        <v>1</v>
      </c>
      <c r="S2210" s="88"/>
      <c r="T2210" s="88"/>
      <c r="U2210" s="88">
        <v>1</v>
      </c>
      <c r="V2210" s="88"/>
      <c r="W2210" s="88"/>
    </row>
    <row r="2211" spans="2:23" s="0" customFormat="0" ht="15">
      <c r="B2211" s="87" t="s">
        <v>1</v>
      </c>
      <c r="C2211" s="88" t="s">
        <v>5259</v>
      </c>
      <c r="D2211" s="88" t="s">
        <v>1632</v>
      </c>
      <c r="E2211" s="88" t="s">
        <v>61</v>
      </c>
      <c r="F2211" s="88">
        <v>0</v>
      </c>
      <c r="G2211" s="78">
        <f>MAX(H2211,I2211,J2211)</f>
        <v>1</v>
      </c>
      <c r="H2211" s="88"/>
      <c r="I2211" s="88"/>
      <c r="J2211" s="78">
        <f>MAX(K2211:Q2211)</f>
        <v>1</v>
      </c>
      <c r="K2211" s="88">
        <v>1</v>
      </c>
      <c r="L2211" s="88"/>
      <c r="M2211" s="88"/>
      <c r="N2211" s="88"/>
      <c r="O2211" s="88"/>
      <c r="P2211" s="88"/>
      <c r="Q2211" s="88"/>
      <c r="R2211" s="78">
        <f>MAX(S2211:W2211)</f>
        <v>0</v>
      </c>
      <c r="S2211" s="88"/>
      <c r="T2211" s="88"/>
      <c r="U2211" s="88"/>
      <c r="V2211" s="88"/>
      <c r="W2211" s="88"/>
    </row>
    <row r="2212" spans="2:23" s="0" customFormat="0" ht="15">
      <c r="B2212" s="87" t="s">
        <v>1</v>
      </c>
      <c r="C2212" s="88" t="s">
        <v>5259</v>
      </c>
      <c r="D2212" s="88">
        <v>24189706</v>
      </c>
      <c r="E2212" s="88" t="s">
        <v>61</v>
      </c>
      <c r="F2212" s="88">
        <v>0</v>
      </c>
      <c r="G2212" s="78">
        <f>MAX(H2212,I2212,J2212)</f>
        <v>1</v>
      </c>
      <c r="H2212" s="88"/>
      <c r="I2212" s="88"/>
      <c r="J2212" s="78">
        <f>MAX(K2212:Q2212)</f>
        <v>1</v>
      </c>
      <c r="K2212" s="88">
        <v>1</v>
      </c>
      <c r="L2212" s="88"/>
      <c r="M2212" s="88"/>
      <c r="N2212" s="88"/>
      <c r="O2212" s="88"/>
      <c r="P2212" s="88"/>
      <c r="Q2212" s="88"/>
      <c r="R2212" s="78">
        <f>MAX(S2212:W2212)</f>
        <v>0</v>
      </c>
      <c r="S2212" s="88"/>
      <c r="T2212" s="88"/>
      <c r="U2212" s="88"/>
      <c r="V2212" s="88"/>
      <c r="W2212" s="88"/>
    </row>
    <row r="2213" spans="2:23" s="0" customFormat="0" ht="15">
      <c r="B2213" s="87" t="s">
        <v>1</v>
      </c>
      <c r="C2213" s="88" t="s">
        <v>5259</v>
      </c>
      <c r="D2213" s="88" t="s">
        <v>1635</v>
      </c>
      <c r="E2213" s="88" t="s">
        <v>61</v>
      </c>
      <c r="F2213" s="88">
        <v>0</v>
      </c>
      <c r="G2213" s="78">
        <f>MAX(H2213,I2213,J2213)</f>
        <v>1</v>
      </c>
      <c r="H2213" s="88"/>
      <c r="I2213" s="88"/>
      <c r="J2213" s="78">
        <f>MAX(K2213:Q2213)</f>
        <v>1</v>
      </c>
      <c r="K2213" s="88">
        <v>1</v>
      </c>
      <c r="L2213" s="88"/>
      <c r="M2213" s="88"/>
      <c r="N2213" s="88"/>
      <c r="O2213" s="88"/>
      <c r="P2213" s="88"/>
      <c r="Q2213" s="88"/>
      <c r="R2213" s="78">
        <f>MAX(S2213:W2213)</f>
        <v>0</v>
      </c>
      <c r="S2213" s="88"/>
      <c r="T2213" s="88"/>
      <c r="U2213" s="88"/>
      <c r="V2213" s="88"/>
      <c r="W2213" s="88"/>
    </row>
    <row r="2214" spans="2:23" s="0" customFormat="0" ht="15">
      <c r="B2214" s="87" t="s">
        <v>1</v>
      </c>
      <c r="C2214" s="88" t="s">
        <v>5259</v>
      </c>
      <c r="D2214" s="88">
        <v>546831</v>
      </c>
      <c r="E2214" s="88" t="s">
        <v>61</v>
      </c>
      <c r="F2214" s="88">
        <v>0</v>
      </c>
      <c r="G2214" s="78">
        <f>MAX(H2214,I2214,J2214)</f>
        <v>1</v>
      </c>
      <c r="H2214" s="88"/>
      <c r="I2214" s="88"/>
      <c r="J2214" s="78">
        <f>MAX(K2214:Q2214)</f>
        <v>1</v>
      </c>
      <c r="K2214" s="88">
        <v>1</v>
      </c>
      <c r="L2214" s="88"/>
      <c r="M2214" s="88"/>
      <c r="N2214" s="88"/>
      <c r="O2214" s="88"/>
      <c r="P2214" s="88"/>
      <c r="Q2214" s="88"/>
      <c r="R2214" s="78">
        <f>MAX(S2214:W2214)</f>
        <v>0</v>
      </c>
      <c r="S2214" s="88"/>
      <c r="T2214" s="88"/>
      <c r="U2214" s="88"/>
      <c r="V2214" s="88"/>
      <c r="W2214" s="88"/>
    </row>
    <row r="2215" spans="2:23" s="0" customFormat="0" ht="15">
      <c r="B2215" s="87" t="s">
        <v>1</v>
      </c>
      <c r="C2215" s="88" t="s">
        <v>5259</v>
      </c>
      <c r="D2215" s="88" t="s">
        <v>4093</v>
      </c>
      <c r="E2215" s="88" t="s">
        <v>61</v>
      </c>
      <c r="F2215" s="88">
        <v>0</v>
      </c>
      <c r="G2215" s="78">
        <f>MAX(H2215,I2215,J2215)</f>
        <v>0</v>
      </c>
      <c r="H2215" s="88"/>
      <c r="I2215" s="88"/>
      <c r="J2215" s="78">
        <f>MAX(K2215:Q2215)</f>
        <v>0</v>
      </c>
      <c r="K2215" s="88"/>
      <c r="L2215" s="88"/>
      <c r="M2215" s="88"/>
      <c r="N2215" s="88"/>
      <c r="O2215" s="88"/>
      <c r="P2215" s="88"/>
      <c r="Q2215" s="88"/>
      <c r="R2215" s="78">
        <f>MAX(S2215:W2215)</f>
        <v>1</v>
      </c>
      <c r="S2215" s="88"/>
      <c r="T2215" s="88"/>
      <c r="U2215" s="88">
        <v>1</v>
      </c>
      <c r="V2215" s="88"/>
      <c r="W2215" s="88"/>
    </row>
    <row r="2216" spans="2:23" s="0" customFormat="0" ht="15">
      <c r="B2216" s="87" t="s">
        <v>1</v>
      </c>
      <c r="C2216" s="88" t="s">
        <v>5259</v>
      </c>
      <c r="D2216" s="88" t="s">
        <v>1078</v>
      </c>
      <c r="E2216" s="88" t="s">
        <v>61</v>
      </c>
      <c r="F2216" s="88">
        <v>0</v>
      </c>
      <c r="G2216" s="78">
        <f>MAX(H2216,I2216,J2216)</f>
        <v>1</v>
      </c>
      <c r="H2216" s="88"/>
      <c r="I2216" s="88"/>
      <c r="J2216" s="78">
        <f>MAX(K2216:Q2216)</f>
        <v>1</v>
      </c>
      <c r="K2216" s="88">
        <v>1</v>
      </c>
      <c r="L2216" s="88"/>
      <c r="M2216" s="88"/>
      <c r="N2216" s="88"/>
      <c r="O2216" s="88"/>
      <c r="P2216" s="88"/>
      <c r="Q2216" s="88"/>
      <c r="R2216" s="78">
        <f>MAX(S2216:W2216)</f>
        <v>0</v>
      </c>
      <c r="S2216" s="88"/>
      <c r="T2216" s="88"/>
      <c r="U2216" s="88"/>
      <c r="V2216" s="88"/>
      <c r="W2216" s="88"/>
    </row>
    <row r="2217" spans="2:23" s="0" customFormat="0" ht="15">
      <c r="B2217" s="87" t="s">
        <v>1</v>
      </c>
      <c r="C2217" s="88" t="s">
        <v>5259</v>
      </c>
      <c r="D2217" s="88" t="s">
        <v>3449</v>
      </c>
      <c r="E2217" s="88" t="s">
        <v>61</v>
      </c>
      <c r="F2217" s="88">
        <v>0</v>
      </c>
      <c r="G2217" s="78">
        <f>MAX(H2217,I2217,J2217)</f>
        <v>0</v>
      </c>
      <c r="H2217" s="88"/>
      <c r="I2217" s="88"/>
      <c r="J2217" s="78">
        <f>MAX(K2217:Q2217)</f>
        <v>0</v>
      </c>
      <c r="K2217" s="88"/>
      <c r="L2217" s="88"/>
      <c r="M2217" s="88"/>
      <c r="N2217" s="88"/>
      <c r="O2217" s="88"/>
      <c r="P2217" s="88"/>
      <c r="Q2217" s="88"/>
      <c r="R2217" s="78">
        <f>MAX(S2217:W2217)</f>
        <v>1</v>
      </c>
      <c r="S2217" s="88"/>
      <c r="T2217" s="88"/>
      <c r="U2217" s="88">
        <v>1</v>
      </c>
      <c r="V2217" s="88"/>
      <c r="W2217" s="88"/>
    </row>
    <row r="2218" spans="2:23" s="0" customFormat="0" ht="15">
      <c r="B2218" s="87" t="s">
        <v>1</v>
      </c>
      <c r="C2218" s="88" t="s">
        <v>5259</v>
      </c>
      <c r="D2218" s="88">
        <v>7065943</v>
      </c>
      <c r="E2218" s="88" t="s">
        <v>61</v>
      </c>
      <c r="F2218" s="88">
        <v>0</v>
      </c>
      <c r="G2218" s="78">
        <f>MAX(H2218,I2218,J2218)</f>
        <v>0</v>
      </c>
      <c r="H2218" s="88"/>
      <c r="I2218" s="88"/>
      <c r="J2218" s="78">
        <f>MAX(K2218:Q2218)</f>
        <v>0</v>
      </c>
      <c r="K2218" s="88"/>
      <c r="L2218" s="88"/>
      <c r="M2218" s="88"/>
      <c r="N2218" s="88"/>
      <c r="O2218" s="88"/>
      <c r="P2218" s="88"/>
      <c r="Q2218" s="88"/>
      <c r="R2218" s="78">
        <f>MAX(S2218:W2218)</f>
        <v>1</v>
      </c>
      <c r="S2218" s="88"/>
      <c r="T2218" s="88"/>
      <c r="U2218" s="88">
        <v>1</v>
      </c>
      <c r="V2218" s="88"/>
      <c r="W2218" s="88"/>
    </row>
    <row r="2219" spans="2:23" s="0" customFormat="0" ht="15">
      <c r="B2219" s="87" t="s">
        <v>1</v>
      </c>
      <c r="C2219" s="88" t="s">
        <v>5259</v>
      </c>
      <c r="D2219" s="88">
        <v>11357846</v>
      </c>
      <c r="E2219" s="88" t="s">
        <v>61</v>
      </c>
      <c r="F2219" s="88">
        <v>0</v>
      </c>
      <c r="G2219" s="78">
        <f>MAX(H2219,I2219,J2219)</f>
        <v>1</v>
      </c>
      <c r="H2219" s="88"/>
      <c r="I2219" s="88"/>
      <c r="J2219" s="78">
        <f>MAX(K2219:Q2219)</f>
        <v>1</v>
      </c>
      <c r="K2219" s="88">
        <v>1</v>
      </c>
      <c r="L2219" s="88"/>
      <c r="M2219" s="88"/>
      <c r="N2219" s="88"/>
      <c r="O2219" s="88"/>
      <c r="P2219" s="88"/>
      <c r="Q2219" s="88"/>
      <c r="R2219" s="78">
        <f>MAX(S2219:W2219)</f>
        <v>0</v>
      </c>
      <c r="S2219" s="88"/>
      <c r="T2219" s="88"/>
      <c r="U2219" s="88"/>
      <c r="V2219" s="88"/>
      <c r="W2219" s="88"/>
    </row>
    <row r="2220" spans="2:23" s="0" customFormat="0" ht="15">
      <c r="B2220" s="87" t="s">
        <v>1</v>
      </c>
      <c r="C2220" s="88" t="s">
        <v>5259</v>
      </c>
      <c r="D2220" s="88" t="s">
        <v>4308</v>
      </c>
      <c r="E2220" s="88" t="s">
        <v>61</v>
      </c>
      <c r="F2220" s="88">
        <v>0</v>
      </c>
      <c r="G2220" s="78">
        <f>MAX(H2220,I2220,J2220)</f>
        <v>0</v>
      </c>
      <c r="H2220" s="88"/>
      <c r="I2220" s="88"/>
      <c r="J2220" s="78">
        <f>MAX(K2220:Q2220)</f>
        <v>0</v>
      </c>
      <c r="K2220" s="88"/>
      <c r="L2220" s="88"/>
      <c r="M2220" s="88"/>
      <c r="N2220" s="88"/>
      <c r="O2220" s="88"/>
      <c r="P2220" s="88"/>
      <c r="Q2220" s="88"/>
      <c r="R2220" s="78">
        <f>MAX(S2220:W2220)</f>
        <v>1</v>
      </c>
      <c r="S2220" s="88"/>
      <c r="T2220" s="88"/>
      <c r="U2220" s="88">
        <v>1</v>
      </c>
      <c r="V2220" s="88"/>
      <c r="W2220" s="88"/>
    </row>
    <row r="2221" spans="2:23" s="0" customFormat="0" ht="15">
      <c r="B2221" s="87" t="s">
        <v>1</v>
      </c>
      <c r="C2221" s="88" t="s">
        <v>5259</v>
      </c>
      <c r="D2221" s="88">
        <v>9460743</v>
      </c>
      <c r="E2221" s="88" t="s">
        <v>61</v>
      </c>
      <c r="F2221" s="88">
        <v>0</v>
      </c>
      <c r="G2221" s="78">
        <f>MAX(H2221,I2221,J2221)</f>
        <v>0</v>
      </c>
      <c r="H2221" s="88"/>
      <c r="I2221" s="88"/>
      <c r="J2221" s="78">
        <f>MAX(K2221:Q2221)</f>
        <v>0</v>
      </c>
      <c r="K2221" s="88"/>
      <c r="L2221" s="88"/>
      <c r="M2221" s="88"/>
      <c r="N2221" s="88"/>
      <c r="O2221" s="88"/>
      <c r="P2221" s="88"/>
      <c r="Q2221" s="88"/>
      <c r="R2221" s="78">
        <f>MAX(S2221:W2221)</f>
        <v>1</v>
      </c>
      <c r="S2221" s="88"/>
      <c r="T2221" s="88"/>
      <c r="U2221" s="88">
        <v>1</v>
      </c>
      <c r="V2221" s="88"/>
      <c r="W2221" s="88"/>
    </row>
    <row r="2222" spans="2:23" s="0" customFormat="0" ht="15">
      <c r="B2222" s="87" t="s">
        <v>1</v>
      </c>
      <c r="C2222" s="88" t="s">
        <v>5259</v>
      </c>
      <c r="D2222" s="88">
        <v>19863493</v>
      </c>
      <c r="E2222" s="88" t="s">
        <v>61</v>
      </c>
      <c r="F2222" s="88">
        <v>0</v>
      </c>
      <c r="G2222" s="78">
        <f>MAX(H2222,I2222,J2222)</f>
        <v>1</v>
      </c>
      <c r="H2222" s="88"/>
      <c r="I2222" s="88"/>
      <c r="J2222" s="78">
        <f>MAX(K2222:Q2222)</f>
        <v>1</v>
      </c>
      <c r="K2222" s="88">
        <v>1</v>
      </c>
      <c r="L2222" s="88"/>
      <c r="M2222" s="88"/>
      <c r="N2222" s="88"/>
      <c r="O2222" s="88"/>
      <c r="P2222" s="88"/>
      <c r="Q2222" s="88"/>
      <c r="R2222" s="78">
        <f>MAX(S2222:W2222)</f>
        <v>0</v>
      </c>
      <c r="S2222" s="88"/>
      <c r="T2222" s="88"/>
      <c r="U2222" s="88"/>
      <c r="V2222" s="88"/>
      <c r="W2222" s="88"/>
    </row>
    <row r="2223" spans="2:23" s="0" customFormat="0" ht="15">
      <c r="B2223" s="87" t="s">
        <v>1</v>
      </c>
      <c r="C2223" s="88" t="s">
        <v>5259</v>
      </c>
      <c r="D2223" s="88">
        <v>6388757</v>
      </c>
      <c r="E2223" s="88" t="s">
        <v>61</v>
      </c>
      <c r="F2223" s="88">
        <v>0</v>
      </c>
      <c r="G2223" s="78">
        <f>MAX(H2223,I2223,J2223)</f>
        <v>0</v>
      </c>
      <c r="H2223" s="88"/>
      <c r="I2223" s="88"/>
      <c r="J2223" s="78">
        <f>MAX(K2223:Q2223)</f>
        <v>0</v>
      </c>
      <c r="K2223" s="88"/>
      <c r="L2223" s="88"/>
      <c r="M2223" s="88"/>
      <c r="N2223" s="88"/>
      <c r="O2223" s="88"/>
      <c r="P2223" s="88"/>
      <c r="Q2223" s="88"/>
      <c r="R2223" s="78">
        <f>MAX(S2223:W2223)</f>
        <v>1</v>
      </c>
      <c r="S2223" s="88"/>
      <c r="T2223" s="88"/>
      <c r="U2223" s="88">
        <v>1</v>
      </c>
      <c r="V2223" s="88"/>
      <c r="W2223" s="88"/>
    </row>
    <row r="2224" spans="2:23" s="0" customFormat="0" ht="15">
      <c r="B2224" s="87" t="s">
        <v>1</v>
      </c>
      <c r="C2224" s="88" t="s">
        <v>5259</v>
      </c>
      <c r="D2224" s="88">
        <v>16974607</v>
      </c>
      <c r="E2224" s="88" t="s">
        <v>61</v>
      </c>
      <c r="F2224" s="88">
        <v>0</v>
      </c>
      <c r="G2224" s="78">
        <f>MAX(H2224,I2224,J2224)</f>
        <v>0</v>
      </c>
      <c r="H2224" s="88"/>
      <c r="I2224" s="88"/>
      <c r="J2224" s="78">
        <f>MAX(K2224:Q2224)</f>
        <v>0</v>
      </c>
      <c r="K2224" s="88"/>
      <c r="L2224" s="88"/>
      <c r="M2224" s="88"/>
      <c r="N2224" s="88"/>
      <c r="O2224" s="88"/>
      <c r="P2224" s="88"/>
      <c r="Q2224" s="88"/>
      <c r="R2224" s="78">
        <f>MAX(S2224:W2224)</f>
        <v>1</v>
      </c>
      <c r="S2224" s="88"/>
      <c r="T2224" s="88"/>
      <c r="U2224" s="88">
        <v>1</v>
      </c>
      <c r="V2224" s="88"/>
      <c r="W2224" s="88"/>
    </row>
    <row r="2225" spans="2:23" s="0" customFormat="0" ht="15">
      <c r="B2225" s="87" t="s">
        <v>1</v>
      </c>
      <c r="C2225" s="88" t="s">
        <v>5259</v>
      </c>
      <c r="D2225" s="88">
        <v>19673877</v>
      </c>
      <c r="E2225" s="88" t="s">
        <v>61</v>
      </c>
      <c r="F2225" s="88">
        <v>0</v>
      </c>
      <c r="G2225" s="78">
        <f>MAX(H2225,I2225,J2225)</f>
        <v>1</v>
      </c>
      <c r="H2225" s="88"/>
      <c r="I2225" s="88"/>
      <c r="J2225" s="78">
        <f>MAX(K2225:Q2225)</f>
        <v>1</v>
      </c>
      <c r="K2225" s="88">
        <v>1</v>
      </c>
      <c r="L2225" s="88"/>
      <c r="M2225" s="88"/>
      <c r="N2225" s="88"/>
      <c r="O2225" s="88"/>
      <c r="P2225" s="88"/>
      <c r="Q2225" s="88"/>
      <c r="R2225" s="78">
        <f>MAX(S2225:W2225)</f>
        <v>0</v>
      </c>
      <c r="S2225" s="88"/>
      <c r="T2225" s="88"/>
      <c r="U2225" s="88"/>
      <c r="V2225" s="88"/>
      <c r="W2225" s="88"/>
    </row>
    <row r="2226" spans="2:23" s="0" customFormat="0" ht="15">
      <c r="B2226" s="87" t="s">
        <v>1</v>
      </c>
      <c r="C2226" s="88" t="s">
        <v>5259</v>
      </c>
      <c r="D2226" s="88">
        <v>23437205</v>
      </c>
      <c r="E2226" s="88" t="s">
        <v>61</v>
      </c>
      <c r="F2226" s="88">
        <v>0</v>
      </c>
      <c r="G2226" s="78">
        <f>MAX(H2226,I2226,J2226)</f>
        <v>1</v>
      </c>
      <c r="H2226" s="88"/>
      <c r="I2226" s="88"/>
      <c r="J2226" s="78">
        <f>MAX(K2226:Q2226)</f>
        <v>1</v>
      </c>
      <c r="K2226" s="88">
        <v>1</v>
      </c>
      <c r="L2226" s="88"/>
      <c r="M2226" s="88"/>
      <c r="N2226" s="88"/>
      <c r="O2226" s="88"/>
      <c r="P2226" s="88"/>
      <c r="Q2226" s="88"/>
      <c r="R2226" s="78">
        <f>MAX(S2226:W2226)</f>
        <v>0</v>
      </c>
      <c r="S2226" s="88"/>
      <c r="T2226" s="88"/>
      <c r="U2226" s="88"/>
      <c r="V2226" s="88"/>
      <c r="W2226" s="88"/>
    </row>
    <row r="2227" spans="2:23" s="0" customFormat="0" ht="15">
      <c r="B2227" s="87" t="s">
        <v>1</v>
      </c>
      <c r="C2227" s="88" t="s">
        <v>5259</v>
      </c>
      <c r="D2227" s="88" t="s">
        <v>1641</v>
      </c>
      <c r="E2227" s="88" t="s">
        <v>61</v>
      </c>
      <c r="F2227" s="88">
        <v>0</v>
      </c>
      <c r="G2227" s="78">
        <f>MAX(H2227,I2227,J2227)</f>
        <v>1</v>
      </c>
      <c r="H2227" s="88"/>
      <c r="I2227" s="88"/>
      <c r="J2227" s="78">
        <f>MAX(K2227:Q2227)</f>
        <v>1</v>
      </c>
      <c r="K2227" s="88">
        <v>1</v>
      </c>
      <c r="L2227" s="88"/>
      <c r="M2227" s="88"/>
      <c r="N2227" s="88"/>
      <c r="O2227" s="88"/>
      <c r="P2227" s="88"/>
      <c r="Q2227" s="88"/>
      <c r="R2227" s="78">
        <f>MAX(S2227:W2227)</f>
        <v>0</v>
      </c>
      <c r="S2227" s="88"/>
      <c r="T2227" s="88"/>
      <c r="U2227" s="88"/>
      <c r="V2227" s="88"/>
      <c r="W2227" s="88"/>
    </row>
    <row r="2228" spans="2:23" s="0" customFormat="0" ht="15">
      <c r="B2228" s="87" t="s">
        <v>1</v>
      </c>
      <c r="C2228" s="88" t="s">
        <v>5259</v>
      </c>
      <c r="D2228" s="88">
        <v>20466086</v>
      </c>
      <c r="E2228" s="88" t="s">
        <v>61</v>
      </c>
      <c r="F2228" s="88">
        <v>0</v>
      </c>
      <c r="G2228" s="78">
        <f>MAX(H2228,I2228,J2228)</f>
        <v>1</v>
      </c>
      <c r="H2228" s="88"/>
      <c r="I2228" s="88"/>
      <c r="J2228" s="78">
        <f>MAX(K2228:Q2228)</f>
        <v>1</v>
      </c>
      <c r="K2228" s="88">
        <v>1</v>
      </c>
      <c r="L2228" s="88"/>
      <c r="M2228" s="88"/>
      <c r="N2228" s="88"/>
      <c r="O2228" s="88"/>
      <c r="P2228" s="88"/>
      <c r="Q2228" s="88"/>
      <c r="R2228" s="78">
        <f>MAX(S2228:W2228)</f>
        <v>0</v>
      </c>
      <c r="S2228" s="88"/>
      <c r="T2228" s="88"/>
      <c r="U2228" s="88"/>
      <c r="V2228" s="88"/>
      <c r="W2228" s="88"/>
    </row>
    <row r="2229" spans="2:23" s="0" customFormat="0" ht="15">
      <c r="B2229" s="87" t="s">
        <v>1</v>
      </c>
      <c r="C2229" s="88" t="s">
        <v>5259</v>
      </c>
      <c r="D2229" s="88" t="s">
        <v>4312</v>
      </c>
      <c r="E2229" s="88" t="s">
        <v>61</v>
      </c>
      <c r="F2229" s="88">
        <v>0</v>
      </c>
      <c r="G2229" s="78">
        <f>MAX(H2229,I2229,J2229)</f>
        <v>0</v>
      </c>
      <c r="H2229" s="88"/>
      <c r="I2229" s="88"/>
      <c r="J2229" s="78">
        <f>MAX(K2229:Q2229)</f>
        <v>0</v>
      </c>
      <c r="K2229" s="88"/>
      <c r="L2229" s="88"/>
      <c r="M2229" s="88"/>
      <c r="N2229" s="88"/>
      <c r="O2229" s="88"/>
      <c r="P2229" s="88"/>
      <c r="Q2229" s="88"/>
      <c r="R2229" s="78">
        <f>MAX(S2229:W2229)</f>
        <v>1</v>
      </c>
      <c r="S2229" s="88"/>
      <c r="T2229" s="88"/>
      <c r="U2229" s="88">
        <v>1</v>
      </c>
      <c r="V2229" s="88"/>
      <c r="W2229" s="88"/>
    </row>
    <row r="2230" spans="2:23" s="0" customFormat="0" ht="15">
      <c r="B2230" s="87" t="s">
        <v>1</v>
      </c>
      <c r="C2230" s="88" t="s">
        <v>5259</v>
      </c>
      <c r="D2230" s="88">
        <v>13220916</v>
      </c>
      <c r="E2230" s="88" t="s">
        <v>61</v>
      </c>
      <c r="F2230" s="88">
        <v>0</v>
      </c>
      <c r="G2230" s="78">
        <f>MAX(H2230,I2230,J2230)</f>
        <v>1</v>
      </c>
      <c r="H2230" s="88"/>
      <c r="I2230" s="88"/>
      <c r="J2230" s="78">
        <f>MAX(K2230:Q2230)</f>
        <v>1</v>
      </c>
      <c r="K2230" s="88">
        <v>1</v>
      </c>
      <c r="L2230" s="88"/>
      <c r="M2230" s="88"/>
      <c r="N2230" s="88"/>
      <c r="O2230" s="88"/>
      <c r="P2230" s="88"/>
      <c r="Q2230" s="88"/>
      <c r="R2230" s="78">
        <f>MAX(S2230:W2230)</f>
        <v>0</v>
      </c>
      <c r="S2230" s="88"/>
      <c r="T2230" s="88"/>
      <c r="U2230" s="88"/>
      <c r="V2230" s="88"/>
      <c r="W2230" s="88"/>
    </row>
    <row r="2231" spans="2:23" s="0" customFormat="0" ht="15">
      <c r="B2231" s="87" t="s">
        <v>1</v>
      </c>
      <c r="C2231" s="88" t="s">
        <v>5259</v>
      </c>
      <c r="D2231" s="88" t="s">
        <v>521</v>
      </c>
      <c r="E2231" s="88" t="s">
        <v>61</v>
      </c>
      <c r="F2231" s="88">
        <v>0</v>
      </c>
      <c r="G2231" s="78">
        <f>MAX(H2231,I2231,J2231)</f>
        <v>1</v>
      </c>
      <c r="H2231" s="88"/>
      <c r="I2231" s="88"/>
      <c r="J2231" s="78">
        <f>MAX(K2231:Q2231)</f>
        <v>1</v>
      </c>
      <c r="K2231" s="88">
        <v>1</v>
      </c>
      <c r="L2231" s="88"/>
      <c r="M2231" s="88"/>
      <c r="N2231" s="88"/>
      <c r="O2231" s="88"/>
      <c r="P2231" s="88"/>
      <c r="Q2231" s="88"/>
      <c r="R2231" s="78">
        <f>MAX(S2231:W2231)</f>
        <v>0</v>
      </c>
      <c r="S2231" s="88"/>
      <c r="T2231" s="88"/>
      <c r="U2231" s="88"/>
      <c r="V2231" s="88"/>
      <c r="W2231" s="88"/>
    </row>
    <row r="2232" spans="2:23" s="0" customFormat="0" ht="15">
      <c r="B2232" s="87" t="s">
        <v>1</v>
      </c>
      <c r="C2232" s="88" t="s">
        <v>5259</v>
      </c>
      <c r="D2232" s="88" t="s">
        <v>4314</v>
      </c>
      <c r="E2232" s="88" t="s">
        <v>61</v>
      </c>
      <c r="F2232" s="88">
        <v>0</v>
      </c>
      <c r="G2232" s="78">
        <f>MAX(H2232,I2232,J2232)</f>
        <v>0</v>
      </c>
      <c r="H2232" s="88"/>
      <c r="I2232" s="88"/>
      <c r="J2232" s="78">
        <f>MAX(K2232:Q2232)</f>
        <v>0</v>
      </c>
      <c r="K2232" s="88"/>
      <c r="L2232" s="88"/>
      <c r="M2232" s="88"/>
      <c r="N2232" s="88"/>
      <c r="O2232" s="88"/>
      <c r="P2232" s="88"/>
      <c r="Q2232" s="88"/>
      <c r="R2232" s="78">
        <f>MAX(S2232:W2232)</f>
        <v>1</v>
      </c>
      <c r="S2232" s="88"/>
      <c r="T2232" s="88"/>
      <c r="U2232" s="88">
        <v>1</v>
      </c>
      <c r="V2232" s="88"/>
      <c r="W2232" s="88"/>
    </row>
    <row r="2233" spans="2:23" s="0" customFormat="0" ht="15">
      <c r="B2233" s="87" t="s">
        <v>1</v>
      </c>
      <c r="C2233" s="88" t="s">
        <v>5259</v>
      </c>
      <c r="D2233" s="88">
        <v>19485210</v>
      </c>
      <c r="E2233" s="88" t="s">
        <v>61</v>
      </c>
      <c r="F2233" s="88">
        <v>0</v>
      </c>
      <c r="G2233" s="78">
        <f>MAX(H2233,I2233,J2233)</f>
        <v>1</v>
      </c>
      <c r="H2233" s="88"/>
      <c r="I2233" s="88"/>
      <c r="J2233" s="78">
        <f>MAX(K2233:Q2233)</f>
        <v>1</v>
      </c>
      <c r="K2233" s="88">
        <v>1</v>
      </c>
      <c r="L2233" s="88"/>
      <c r="M2233" s="88"/>
      <c r="N2233" s="88"/>
      <c r="O2233" s="88"/>
      <c r="P2233" s="88"/>
      <c r="Q2233" s="88"/>
      <c r="R2233" s="78">
        <f>MAX(S2233:W2233)</f>
        <v>0</v>
      </c>
      <c r="S2233" s="88"/>
      <c r="T2233" s="88"/>
      <c r="U2233" s="88"/>
      <c r="V2233" s="88"/>
      <c r="W2233" s="88"/>
    </row>
    <row r="2234" spans="2:23" s="0" customFormat="0" ht="15">
      <c r="B2234" s="87" t="s">
        <v>1</v>
      </c>
      <c r="C2234" s="88" t="s">
        <v>5259</v>
      </c>
      <c r="D2234" s="88">
        <v>19834668</v>
      </c>
      <c r="E2234" s="88" t="s">
        <v>61</v>
      </c>
      <c r="F2234" s="88">
        <v>0</v>
      </c>
      <c r="G2234" s="78">
        <f>MAX(H2234,I2234,J2234)</f>
        <v>1</v>
      </c>
      <c r="H2234" s="88"/>
      <c r="I2234" s="88"/>
      <c r="J2234" s="78">
        <f>MAX(K2234:Q2234)</f>
        <v>1</v>
      </c>
      <c r="K2234" s="88">
        <v>1</v>
      </c>
      <c r="L2234" s="88"/>
      <c r="M2234" s="88"/>
      <c r="N2234" s="88"/>
      <c r="O2234" s="88"/>
      <c r="P2234" s="88"/>
      <c r="Q2234" s="88"/>
      <c r="R2234" s="78">
        <f>MAX(S2234:W2234)</f>
        <v>0</v>
      </c>
      <c r="S2234" s="88"/>
      <c r="T2234" s="88"/>
      <c r="U2234" s="88"/>
      <c r="V2234" s="88"/>
      <c r="W2234" s="88"/>
    </row>
    <row r="2235" spans="2:23" s="0" customFormat="0" ht="15">
      <c r="B2235" s="87" t="s">
        <v>1</v>
      </c>
      <c r="C2235" s="88" t="s">
        <v>5259</v>
      </c>
      <c r="D2235" s="88" t="s">
        <v>4316</v>
      </c>
      <c r="E2235" s="88" t="s">
        <v>61</v>
      </c>
      <c r="F2235" s="88">
        <v>0</v>
      </c>
      <c r="G2235" s="78">
        <f>MAX(H2235,I2235,J2235)</f>
        <v>0</v>
      </c>
      <c r="H2235" s="88"/>
      <c r="I2235" s="88"/>
      <c r="J2235" s="78">
        <f>MAX(K2235:Q2235)</f>
        <v>0</v>
      </c>
      <c r="K2235" s="88"/>
      <c r="L2235" s="88"/>
      <c r="M2235" s="88"/>
      <c r="N2235" s="88"/>
      <c r="O2235" s="88"/>
      <c r="P2235" s="88"/>
      <c r="Q2235" s="88"/>
      <c r="R2235" s="78">
        <f>MAX(S2235:W2235)</f>
        <v>1</v>
      </c>
      <c r="S2235" s="88"/>
      <c r="T2235" s="88"/>
      <c r="U2235" s="88">
        <v>1</v>
      </c>
      <c r="V2235" s="88"/>
      <c r="W2235" s="88"/>
    </row>
    <row r="2236" spans="2:23" s="0" customFormat="0" ht="15">
      <c r="B2236" s="87" t="s">
        <v>1</v>
      </c>
      <c r="C2236" s="88" t="s">
        <v>5259</v>
      </c>
      <c r="D2236" s="88" t="s">
        <v>4318</v>
      </c>
      <c r="E2236" s="88" t="s">
        <v>61</v>
      </c>
      <c r="F2236" s="88">
        <v>0</v>
      </c>
      <c r="G2236" s="78">
        <f>MAX(H2236,I2236,J2236)</f>
        <v>0</v>
      </c>
      <c r="H2236" s="88"/>
      <c r="I2236" s="88"/>
      <c r="J2236" s="78">
        <f>MAX(K2236:Q2236)</f>
        <v>0</v>
      </c>
      <c r="K2236" s="88"/>
      <c r="L2236" s="88"/>
      <c r="M2236" s="88"/>
      <c r="N2236" s="88"/>
      <c r="O2236" s="88"/>
      <c r="P2236" s="88"/>
      <c r="Q2236" s="88"/>
      <c r="R2236" s="78">
        <f>MAX(S2236:W2236)</f>
        <v>1</v>
      </c>
      <c r="S2236" s="88"/>
      <c r="T2236" s="88"/>
      <c r="U2236" s="88">
        <v>1</v>
      </c>
      <c r="V2236" s="88"/>
      <c r="W2236" s="88"/>
    </row>
    <row r="2237" spans="2:23" s="0" customFormat="0" ht="15">
      <c r="B2237" s="87" t="s">
        <v>1</v>
      </c>
      <c r="C2237" s="88" t="s">
        <v>5259</v>
      </c>
      <c r="D2237" s="88">
        <v>24139078</v>
      </c>
      <c r="E2237" s="88" t="s">
        <v>61</v>
      </c>
      <c r="F2237" s="88">
        <v>0</v>
      </c>
      <c r="G2237" s="78">
        <f>MAX(H2237,I2237,J2237)</f>
        <v>0</v>
      </c>
      <c r="H2237" s="88"/>
      <c r="I2237" s="88"/>
      <c r="J2237" s="78">
        <f>MAX(K2237:Q2237)</f>
        <v>0</v>
      </c>
      <c r="K2237" s="88"/>
      <c r="L2237" s="88"/>
      <c r="M2237" s="88"/>
      <c r="N2237" s="88"/>
      <c r="O2237" s="88"/>
      <c r="P2237" s="88"/>
      <c r="Q2237" s="88"/>
      <c r="R2237" s="78">
        <f>MAX(S2237:W2237)</f>
        <v>1</v>
      </c>
      <c r="S2237" s="88"/>
      <c r="T2237" s="88"/>
      <c r="U2237" s="88">
        <v>1</v>
      </c>
      <c r="V2237" s="88"/>
      <c r="W2237" s="88"/>
    </row>
    <row r="2238" spans="2:23" s="0" customFormat="0" ht="15">
      <c r="B2238" s="87" t="s">
        <v>1</v>
      </c>
      <c r="C2238" s="88" t="s">
        <v>5259</v>
      </c>
      <c r="D2238" s="88">
        <v>21467920</v>
      </c>
      <c r="E2238" s="88" t="s">
        <v>61</v>
      </c>
      <c r="F2238" s="88">
        <v>0</v>
      </c>
      <c r="G2238" s="78">
        <f>MAX(H2238,I2238,J2238)</f>
        <v>1</v>
      </c>
      <c r="H2238" s="88"/>
      <c r="I2238" s="88"/>
      <c r="J2238" s="78">
        <f>MAX(K2238:Q2238)</f>
        <v>1</v>
      </c>
      <c r="K2238" s="88">
        <v>1</v>
      </c>
      <c r="L2238" s="88"/>
      <c r="M2238" s="88"/>
      <c r="N2238" s="88"/>
      <c r="O2238" s="88"/>
      <c r="P2238" s="88"/>
      <c r="Q2238" s="88"/>
      <c r="R2238" s="78">
        <f>MAX(S2238:W2238)</f>
        <v>0</v>
      </c>
      <c r="S2238" s="88"/>
      <c r="T2238" s="88"/>
      <c r="U2238" s="88"/>
      <c r="V2238" s="88"/>
      <c r="W2238" s="88"/>
    </row>
    <row r="2239" spans="2:23" s="0" customFormat="0" ht="15">
      <c r="B2239" s="87" t="s">
        <v>1</v>
      </c>
      <c r="C2239" s="88" t="s">
        <v>5259</v>
      </c>
      <c r="D2239" s="88" t="s">
        <v>4321</v>
      </c>
      <c r="E2239" s="88" t="s">
        <v>61</v>
      </c>
      <c r="F2239" s="88">
        <v>0</v>
      </c>
      <c r="G2239" s="78">
        <f>MAX(H2239,I2239,J2239)</f>
        <v>0</v>
      </c>
      <c r="H2239" s="88"/>
      <c r="I2239" s="88"/>
      <c r="J2239" s="78">
        <f>MAX(K2239:Q2239)</f>
        <v>0</v>
      </c>
      <c r="K2239" s="88"/>
      <c r="L2239" s="88"/>
      <c r="M2239" s="88"/>
      <c r="N2239" s="88"/>
      <c r="O2239" s="88"/>
      <c r="P2239" s="88"/>
      <c r="Q2239" s="88"/>
      <c r="R2239" s="78">
        <f>MAX(S2239:W2239)</f>
        <v>1</v>
      </c>
      <c r="S2239" s="88"/>
      <c r="T2239" s="88"/>
      <c r="U2239" s="88">
        <v>1</v>
      </c>
      <c r="V2239" s="88"/>
      <c r="W2239" s="88"/>
    </row>
    <row r="2240" spans="2:23" s="0" customFormat="0" ht="15">
      <c r="B2240" s="87" t="s">
        <v>1</v>
      </c>
      <c r="C2240" s="88" t="s">
        <v>5259</v>
      </c>
      <c r="D2240" s="88">
        <v>22554542</v>
      </c>
      <c r="E2240" s="88" t="s">
        <v>61</v>
      </c>
      <c r="F2240" s="88">
        <v>0</v>
      </c>
      <c r="G2240" s="78">
        <f>MAX(H2240,I2240,J2240)</f>
        <v>0</v>
      </c>
      <c r="H2240" s="88"/>
      <c r="I2240" s="88"/>
      <c r="J2240" s="78">
        <f>MAX(K2240:Q2240)</f>
        <v>0</v>
      </c>
      <c r="K2240" s="88"/>
      <c r="L2240" s="88"/>
      <c r="M2240" s="88"/>
      <c r="N2240" s="88"/>
      <c r="O2240" s="88"/>
      <c r="P2240" s="88"/>
      <c r="Q2240" s="88"/>
      <c r="R2240" s="78">
        <f>MAX(S2240:W2240)</f>
        <v>1</v>
      </c>
      <c r="S2240" s="88"/>
      <c r="T2240" s="88"/>
      <c r="U2240" s="88">
        <v>1</v>
      </c>
      <c r="V2240" s="88"/>
      <c r="W2240" s="88"/>
    </row>
    <row r="2241" spans="2:23" s="0" customFormat="0" ht="15">
      <c r="B2241" s="87" t="s">
        <v>1</v>
      </c>
      <c r="C2241" s="88" t="s">
        <v>5259</v>
      </c>
      <c r="D2241" s="88" t="s">
        <v>1645</v>
      </c>
      <c r="E2241" s="88" t="s">
        <v>61</v>
      </c>
      <c r="F2241" s="88">
        <v>0</v>
      </c>
      <c r="G2241" s="78">
        <f>MAX(H2241,I2241,J2241)</f>
        <v>1</v>
      </c>
      <c r="H2241" s="88"/>
      <c r="I2241" s="88"/>
      <c r="J2241" s="78">
        <f>MAX(K2241:Q2241)</f>
        <v>1</v>
      </c>
      <c r="K2241" s="88">
        <v>1</v>
      </c>
      <c r="L2241" s="88"/>
      <c r="M2241" s="88"/>
      <c r="N2241" s="88"/>
      <c r="O2241" s="88"/>
      <c r="P2241" s="88"/>
      <c r="Q2241" s="88"/>
      <c r="R2241" s="78">
        <f>MAX(S2241:W2241)</f>
        <v>0</v>
      </c>
      <c r="S2241" s="88"/>
      <c r="T2241" s="88"/>
      <c r="U2241" s="88"/>
      <c r="V2241" s="88"/>
      <c r="W2241" s="88"/>
    </row>
    <row r="2242" spans="2:23" s="0" customFormat="0" ht="15">
      <c r="B2242" s="87" t="s">
        <v>1</v>
      </c>
      <c r="C2242" s="88" t="s">
        <v>5259</v>
      </c>
      <c r="D2242" s="88">
        <v>19485230</v>
      </c>
      <c r="E2242" s="88" t="s">
        <v>61</v>
      </c>
      <c r="F2242" s="88">
        <v>0</v>
      </c>
      <c r="G2242" s="78">
        <f>MAX(H2242,I2242,J2242)</f>
        <v>1</v>
      </c>
      <c r="H2242" s="88"/>
      <c r="I2242" s="88"/>
      <c r="J2242" s="78">
        <f>MAX(K2242:Q2242)</f>
        <v>1</v>
      </c>
      <c r="K2242" s="88">
        <v>1</v>
      </c>
      <c r="L2242" s="88"/>
      <c r="M2242" s="88"/>
      <c r="N2242" s="88"/>
      <c r="O2242" s="88"/>
      <c r="P2242" s="88"/>
      <c r="Q2242" s="88"/>
      <c r="R2242" s="78">
        <f>MAX(S2242:W2242)</f>
        <v>0</v>
      </c>
      <c r="S2242" s="88"/>
      <c r="T2242" s="88"/>
      <c r="U2242" s="88"/>
      <c r="V2242" s="88"/>
      <c r="W2242" s="88"/>
    </row>
    <row r="2243" spans="2:23" s="0" customFormat="0" ht="15">
      <c r="B2243" s="87" t="s">
        <v>1</v>
      </c>
      <c r="C2243" s="88" t="s">
        <v>5259</v>
      </c>
      <c r="D2243" s="88" t="s">
        <v>4324</v>
      </c>
      <c r="E2243" s="88" t="s">
        <v>61</v>
      </c>
      <c r="F2243" s="88">
        <v>0</v>
      </c>
      <c r="G2243" s="78">
        <f>MAX(H2243,I2243,J2243)</f>
        <v>0</v>
      </c>
      <c r="H2243" s="88"/>
      <c r="I2243" s="88"/>
      <c r="J2243" s="78">
        <f>MAX(K2243:Q2243)</f>
        <v>0</v>
      </c>
      <c r="K2243" s="88"/>
      <c r="L2243" s="88"/>
      <c r="M2243" s="88"/>
      <c r="N2243" s="88"/>
      <c r="O2243" s="88"/>
      <c r="P2243" s="88"/>
      <c r="Q2243" s="88"/>
      <c r="R2243" s="78">
        <f>MAX(S2243:W2243)</f>
        <v>1</v>
      </c>
      <c r="S2243" s="88"/>
      <c r="T2243" s="88"/>
      <c r="U2243" s="88">
        <v>1</v>
      </c>
      <c r="V2243" s="88"/>
      <c r="W2243" s="88"/>
    </row>
    <row r="2244" spans="2:23" s="0" customFormat="0" ht="15">
      <c r="B2244" s="87" t="s">
        <v>1</v>
      </c>
      <c r="C2244" s="88" t="s">
        <v>5259</v>
      </c>
      <c r="D2244" s="88" t="s">
        <v>1648</v>
      </c>
      <c r="E2244" s="88" t="s">
        <v>61</v>
      </c>
      <c r="F2244" s="88">
        <v>0</v>
      </c>
      <c r="G2244" s="78">
        <f>MAX(H2244,I2244,J2244)</f>
        <v>1</v>
      </c>
      <c r="H2244" s="88"/>
      <c r="I2244" s="88"/>
      <c r="J2244" s="78">
        <f>MAX(K2244:Q2244)</f>
        <v>1</v>
      </c>
      <c r="K2244" s="88">
        <v>1</v>
      </c>
      <c r="L2244" s="88"/>
      <c r="M2244" s="88"/>
      <c r="N2244" s="88"/>
      <c r="O2244" s="88"/>
      <c r="P2244" s="88"/>
      <c r="Q2244" s="88"/>
      <c r="R2244" s="78">
        <f>MAX(S2244:W2244)</f>
        <v>0</v>
      </c>
      <c r="S2244" s="88"/>
      <c r="T2244" s="88"/>
      <c r="U2244" s="88"/>
      <c r="V2244" s="88"/>
      <c r="W2244" s="88"/>
    </row>
    <row r="2245" spans="2:23" s="0" customFormat="0" ht="15">
      <c r="B2245" s="87" t="s">
        <v>1</v>
      </c>
      <c r="C2245" s="88" t="s">
        <v>5259</v>
      </c>
      <c r="D2245" s="88" t="s">
        <v>4326</v>
      </c>
      <c r="E2245" s="88" t="s">
        <v>61</v>
      </c>
      <c r="F2245" s="88">
        <v>0</v>
      </c>
      <c r="G2245" s="78">
        <f>MAX(H2245,I2245,J2245)</f>
        <v>0</v>
      </c>
      <c r="H2245" s="88"/>
      <c r="I2245" s="88"/>
      <c r="J2245" s="78">
        <f>MAX(K2245:Q2245)</f>
        <v>0</v>
      </c>
      <c r="K2245" s="88"/>
      <c r="L2245" s="88"/>
      <c r="M2245" s="88"/>
      <c r="N2245" s="88"/>
      <c r="O2245" s="88"/>
      <c r="P2245" s="88"/>
      <c r="Q2245" s="88"/>
      <c r="R2245" s="78">
        <f>MAX(S2245:W2245)</f>
        <v>1</v>
      </c>
      <c r="S2245" s="88"/>
      <c r="T2245" s="88"/>
      <c r="U2245" s="88">
        <v>1</v>
      </c>
      <c r="V2245" s="88"/>
      <c r="W2245" s="88"/>
    </row>
    <row r="2246" spans="2:23" s="0" customFormat="0" ht="15">
      <c r="B2246" s="87" t="s">
        <v>1</v>
      </c>
      <c r="C2246" s="88" t="s">
        <v>5259</v>
      </c>
      <c r="D2246" s="88">
        <v>19116941</v>
      </c>
      <c r="E2246" s="88" t="s">
        <v>61</v>
      </c>
      <c r="F2246" s="88">
        <v>0</v>
      </c>
      <c r="G2246" s="78">
        <f>MAX(H2246,I2246,J2246)</f>
        <v>1</v>
      </c>
      <c r="H2246" s="88"/>
      <c r="I2246" s="88"/>
      <c r="J2246" s="78">
        <f>MAX(K2246:Q2246)</f>
        <v>1</v>
      </c>
      <c r="K2246" s="88">
        <v>1</v>
      </c>
      <c r="L2246" s="88"/>
      <c r="M2246" s="88"/>
      <c r="N2246" s="88"/>
      <c r="O2246" s="88"/>
      <c r="P2246" s="88"/>
      <c r="Q2246" s="88"/>
      <c r="R2246" s="78">
        <f>MAX(S2246:W2246)</f>
        <v>0</v>
      </c>
      <c r="S2246" s="88"/>
      <c r="T2246" s="88"/>
      <c r="U2246" s="88"/>
      <c r="V2246" s="88"/>
      <c r="W2246" s="88"/>
    </row>
    <row r="2247" spans="2:23" s="0" customFormat="0" ht="15">
      <c r="B2247" s="87" t="s">
        <v>1</v>
      </c>
      <c r="C2247" s="88" t="s">
        <v>5259</v>
      </c>
      <c r="D2247" s="88">
        <v>23425036</v>
      </c>
      <c r="E2247" s="88" t="s">
        <v>61</v>
      </c>
      <c r="F2247" s="88">
        <v>0</v>
      </c>
      <c r="G2247" s="78">
        <f>MAX(H2247,I2247,J2247)</f>
        <v>1</v>
      </c>
      <c r="H2247" s="88"/>
      <c r="I2247" s="88"/>
      <c r="J2247" s="78">
        <f>MAX(K2247:Q2247)</f>
        <v>1</v>
      </c>
      <c r="K2247" s="88">
        <v>1</v>
      </c>
      <c r="L2247" s="88"/>
      <c r="M2247" s="88"/>
      <c r="N2247" s="88"/>
      <c r="O2247" s="88"/>
      <c r="P2247" s="88"/>
      <c r="Q2247" s="88"/>
      <c r="R2247" s="78">
        <f>MAX(S2247:W2247)</f>
        <v>0</v>
      </c>
      <c r="S2247" s="88"/>
      <c r="T2247" s="88"/>
      <c r="U2247" s="88"/>
      <c r="V2247" s="88"/>
      <c r="W2247" s="88"/>
    </row>
    <row r="2248" spans="2:23" s="0" customFormat="0" ht="15">
      <c r="B2248" s="87" t="s">
        <v>1</v>
      </c>
      <c r="C2248" s="88" t="s">
        <v>5259</v>
      </c>
      <c r="D2248" s="88">
        <v>6837218</v>
      </c>
      <c r="E2248" s="88" t="s">
        <v>61</v>
      </c>
      <c r="F2248" s="88">
        <v>0</v>
      </c>
      <c r="G2248" s="78">
        <f>MAX(H2248,I2248,J2248)</f>
        <v>1</v>
      </c>
      <c r="H2248" s="88"/>
      <c r="I2248" s="88"/>
      <c r="J2248" s="78">
        <f>MAX(K2248:Q2248)</f>
        <v>1</v>
      </c>
      <c r="K2248" s="88">
        <v>1</v>
      </c>
      <c r="L2248" s="88"/>
      <c r="M2248" s="88"/>
      <c r="N2248" s="88"/>
      <c r="O2248" s="88"/>
      <c r="P2248" s="88"/>
      <c r="Q2248" s="88"/>
      <c r="R2248" s="78">
        <f>MAX(S2248:W2248)</f>
        <v>0</v>
      </c>
      <c r="S2248" s="88"/>
      <c r="T2248" s="88"/>
      <c r="U2248" s="88"/>
      <c r="V2248" s="88"/>
      <c r="W2248" s="88"/>
    </row>
    <row r="2249" spans="2:23" s="0" customFormat="0" ht="15">
      <c r="B2249" s="87" t="s">
        <v>1</v>
      </c>
      <c r="C2249" s="88" t="s">
        <v>5259</v>
      </c>
      <c r="D2249" s="88" t="s">
        <v>4328</v>
      </c>
      <c r="E2249" s="88" t="s">
        <v>61</v>
      </c>
      <c r="F2249" s="88">
        <v>0</v>
      </c>
      <c r="G2249" s="78">
        <f>MAX(H2249,I2249,J2249)</f>
        <v>0</v>
      </c>
      <c r="H2249" s="88"/>
      <c r="I2249" s="88"/>
      <c r="J2249" s="78">
        <f>MAX(K2249:Q2249)</f>
        <v>0</v>
      </c>
      <c r="K2249" s="88"/>
      <c r="L2249" s="88"/>
      <c r="M2249" s="88"/>
      <c r="N2249" s="88"/>
      <c r="O2249" s="88"/>
      <c r="P2249" s="88"/>
      <c r="Q2249" s="88"/>
      <c r="R2249" s="78">
        <f>MAX(S2249:W2249)</f>
        <v>1</v>
      </c>
      <c r="S2249" s="88"/>
      <c r="T2249" s="88"/>
      <c r="U2249" s="88">
        <v>1</v>
      </c>
      <c r="V2249" s="88"/>
      <c r="W2249" s="88"/>
    </row>
    <row r="2250" spans="2:23" s="0" customFormat="0" ht="15">
      <c r="B2250" s="87" t="s">
        <v>1</v>
      </c>
      <c r="C2250" s="88" t="s">
        <v>5259</v>
      </c>
      <c r="D2250" s="88" t="s">
        <v>1652</v>
      </c>
      <c r="E2250" s="88" t="s">
        <v>61</v>
      </c>
      <c r="F2250" s="88">
        <v>0</v>
      </c>
      <c r="G2250" s="78">
        <f>MAX(H2250,I2250,J2250)</f>
        <v>1</v>
      </c>
      <c r="H2250" s="88"/>
      <c r="I2250" s="88"/>
      <c r="J2250" s="78">
        <f>MAX(K2250:Q2250)</f>
        <v>1</v>
      </c>
      <c r="K2250" s="88">
        <v>1</v>
      </c>
      <c r="L2250" s="88"/>
      <c r="M2250" s="88"/>
      <c r="N2250" s="88"/>
      <c r="O2250" s="88"/>
      <c r="P2250" s="88"/>
      <c r="Q2250" s="88"/>
      <c r="R2250" s="78">
        <f>MAX(S2250:W2250)</f>
        <v>0</v>
      </c>
      <c r="S2250" s="88"/>
      <c r="T2250" s="88"/>
      <c r="U2250" s="88"/>
      <c r="V2250" s="88"/>
      <c r="W2250" s="88"/>
    </row>
    <row r="2251" spans="2:23" s="0" customFormat="0" ht="15">
      <c r="B2251" s="87" t="s">
        <v>1</v>
      </c>
      <c r="C2251" s="88" t="s">
        <v>5259</v>
      </c>
      <c r="D2251" s="88" t="s">
        <v>511</v>
      </c>
      <c r="E2251" s="88" t="s">
        <v>61</v>
      </c>
      <c r="F2251" s="88">
        <v>0</v>
      </c>
      <c r="G2251" s="78">
        <f>MAX(H2251,I2251,J2251)</f>
        <v>1</v>
      </c>
      <c r="H2251" s="88"/>
      <c r="I2251" s="88"/>
      <c r="J2251" s="78">
        <f>MAX(K2251:Q2251)</f>
        <v>1</v>
      </c>
      <c r="K2251" s="88">
        <v>1</v>
      </c>
      <c r="L2251" s="88"/>
      <c r="M2251" s="88"/>
      <c r="N2251" s="88"/>
      <c r="O2251" s="88"/>
      <c r="P2251" s="88"/>
      <c r="Q2251" s="88"/>
      <c r="R2251" s="78">
        <f>MAX(S2251:W2251)</f>
        <v>0</v>
      </c>
      <c r="S2251" s="88"/>
      <c r="T2251" s="88"/>
      <c r="U2251" s="88"/>
      <c r="V2251" s="88"/>
      <c r="W2251" s="88"/>
    </row>
    <row r="2252" spans="2:23" s="0" customFormat="0" ht="15">
      <c r="B2252" s="87" t="s">
        <v>1</v>
      </c>
      <c r="C2252" s="88" t="s">
        <v>5259</v>
      </c>
      <c r="D2252" s="88" t="s">
        <v>4330</v>
      </c>
      <c r="E2252" s="88" t="s">
        <v>61</v>
      </c>
      <c r="F2252" s="88">
        <v>0</v>
      </c>
      <c r="G2252" s="78">
        <f>MAX(H2252,I2252,J2252)</f>
        <v>0</v>
      </c>
      <c r="H2252" s="88"/>
      <c r="I2252" s="88"/>
      <c r="J2252" s="78">
        <f>MAX(K2252:Q2252)</f>
        <v>0</v>
      </c>
      <c r="K2252" s="88"/>
      <c r="L2252" s="88"/>
      <c r="M2252" s="88"/>
      <c r="N2252" s="88"/>
      <c r="O2252" s="88"/>
      <c r="P2252" s="88"/>
      <c r="Q2252" s="88"/>
      <c r="R2252" s="78">
        <f>MAX(S2252:W2252)</f>
        <v>1</v>
      </c>
      <c r="S2252" s="88"/>
      <c r="T2252" s="88"/>
      <c r="U2252" s="88">
        <v>1</v>
      </c>
      <c r="V2252" s="88"/>
      <c r="W2252" s="88"/>
    </row>
    <row r="2253" spans="2:23" s="0" customFormat="0" ht="15">
      <c r="B2253" s="87" t="s">
        <v>1</v>
      </c>
      <c r="C2253" s="88" t="s">
        <v>5259</v>
      </c>
      <c r="D2253" s="88">
        <v>22554459</v>
      </c>
      <c r="E2253" s="88" t="s">
        <v>61</v>
      </c>
      <c r="F2253" s="88">
        <v>0</v>
      </c>
      <c r="G2253" s="78">
        <f>MAX(H2253,I2253,J2253)</f>
        <v>0</v>
      </c>
      <c r="H2253" s="88"/>
      <c r="I2253" s="88"/>
      <c r="J2253" s="78">
        <f>MAX(K2253:Q2253)</f>
        <v>0</v>
      </c>
      <c r="K2253" s="88"/>
      <c r="L2253" s="88"/>
      <c r="M2253" s="88"/>
      <c r="N2253" s="88"/>
      <c r="O2253" s="88"/>
      <c r="P2253" s="88"/>
      <c r="Q2253" s="88"/>
      <c r="R2253" s="78">
        <f>MAX(S2253:W2253)</f>
        <v>1</v>
      </c>
      <c r="S2253" s="88"/>
      <c r="T2253" s="88"/>
      <c r="U2253" s="88">
        <v>1</v>
      </c>
      <c r="V2253" s="88"/>
      <c r="W2253" s="88"/>
    </row>
    <row r="2254" spans="2:23" s="0" customFormat="0" ht="15">
      <c r="B2254" s="87" t="s">
        <v>1</v>
      </c>
      <c r="C2254" s="88" t="s">
        <v>5259</v>
      </c>
      <c r="D2254" s="88" t="s">
        <v>4333</v>
      </c>
      <c r="E2254" s="88" t="s">
        <v>61</v>
      </c>
      <c r="F2254" s="88">
        <v>0</v>
      </c>
      <c r="G2254" s="78">
        <f>MAX(H2254,I2254,J2254)</f>
        <v>0</v>
      </c>
      <c r="H2254" s="88"/>
      <c r="I2254" s="88"/>
      <c r="J2254" s="78">
        <f>MAX(K2254:Q2254)</f>
        <v>0</v>
      </c>
      <c r="K2254" s="88"/>
      <c r="L2254" s="88"/>
      <c r="M2254" s="88"/>
      <c r="N2254" s="88"/>
      <c r="O2254" s="88"/>
      <c r="P2254" s="88"/>
      <c r="Q2254" s="88"/>
      <c r="R2254" s="78">
        <f>MAX(S2254:W2254)</f>
        <v>1</v>
      </c>
      <c r="S2254" s="88"/>
      <c r="T2254" s="88"/>
      <c r="U2254" s="88">
        <v>1</v>
      </c>
      <c r="V2254" s="88"/>
      <c r="W2254" s="88"/>
    </row>
    <row r="2255" spans="2:23" s="0" customFormat="0" ht="15">
      <c r="B2255" s="87" t="s">
        <v>1</v>
      </c>
      <c r="C2255" s="88" t="s">
        <v>5259</v>
      </c>
      <c r="D2255" s="88" t="s">
        <v>1654</v>
      </c>
      <c r="E2255" s="88" t="s">
        <v>61</v>
      </c>
      <c r="F2255" s="88">
        <v>0</v>
      </c>
      <c r="G2255" s="78">
        <f>MAX(H2255,I2255,J2255)</f>
        <v>1</v>
      </c>
      <c r="H2255" s="88"/>
      <c r="I2255" s="88"/>
      <c r="J2255" s="78">
        <f>MAX(K2255:Q2255)</f>
        <v>1</v>
      </c>
      <c r="K2255" s="88">
        <v>1</v>
      </c>
      <c r="L2255" s="88"/>
      <c r="M2255" s="88"/>
      <c r="N2255" s="88"/>
      <c r="O2255" s="88"/>
      <c r="P2255" s="88"/>
      <c r="Q2255" s="88"/>
      <c r="R2255" s="78">
        <f>MAX(S2255:W2255)</f>
        <v>0</v>
      </c>
      <c r="S2255" s="88"/>
      <c r="T2255" s="88"/>
      <c r="U2255" s="88"/>
      <c r="V2255" s="88"/>
      <c r="W2255" s="88"/>
    </row>
    <row r="2256" spans="2:23" s="0" customFormat="0" ht="15">
      <c r="B2256" s="87" t="s">
        <v>1</v>
      </c>
      <c r="C2256" s="88" t="s">
        <v>5259</v>
      </c>
      <c r="D2256" s="88" t="s">
        <v>3386</v>
      </c>
      <c r="E2256" s="88" t="s">
        <v>61</v>
      </c>
      <c r="F2256" s="88">
        <v>0</v>
      </c>
      <c r="G2256" s="78">
        <f>MAX(H2256,I2256,J2256)</f>
        <v>0</v>
      </c>
      <c r="H2256" s="88"/>
      <c r="I2256" s="88"/>
      <c r="J2256" s="78">
        <f>MAX(K2256:Q2256)</f>
        <v>0</v>
      </c>
      <c r="K2256" s="88"/>
      <c r="L2256" s="88"/>
      <c r="M2256" s="88"/>
      <c r="N2256" s="88"/>
      <c r="O2256" s="88"/>
      <c r="P2256" s="88"/>
      <c r="Q2256" s="88"/>
      <c r="R2256" s="78">
        <f>MAX(S2256:W2256)</f>
        <v>1</v>
      </c>
      <c r="S2256" s="88"/>
      <c r="T2256" s="88"/>
      <c r="U2256" s="88">
        <v>1</v>
      </c>
      <c r="V2256" s="88"/>
      <c r="W2256" s="88"/>
    </row>
    <row r="2257" spans="2:23" s="0" customFormat="0" ht="15">
      <c r="B2257" s="87" t="s">
        <v>1</v>
      </c>
      <c r="C2257" s="88" t="s">
        <v>5259</v>
      </c>
      <c r="D2257" s="88">
        <v>21467920</v>
      </c>
      <c r="E2257" s="88" t="s">
        <v>61</v>
      </c>
      <c r="F2257" s="88">
        <v>0</v>
      </c>
      <c r="G2257" s="78">
        <f>MAX(H2257,I2257,J2257)</f>
        <v>1</v>
      </c>
      <c r="H2257" s="88"/>
      <c r="I2257" s="88"/>
      <c r="J2257" s="78">
        <f>MAX(K2257:Q2257)</f>
        <v>1</v>
      </c>
      <c r="K2257" s="88">
        <v>1</v>
      </c>
      <c r="L2257" s="88"/>
      <c r="M2257" s="88"/>
      <c r="N2257" s="88"/>
      <c r="O2257" s="88"/>
      <c r="P2257" s="88"/>
      <c r="Q2257" s="88"/>
      <c r="R2257" s="78">
        <f>MAX(S2257:W2257)</f>
        <v>0</v>
      </c>
      <c r="S2257" s="88"/>
      <c r="T2257" s="88"/>
      <c r="U2257" s="88"/>
      <c r="V2257" s="88"/>
      <c r="W2257" s="88"/>
    </row>
    <row r="2258" spans="2:23" s="0" customFormat="0" ht="15">
      <c r="B2258" s="87" t="s">
        <v>1</v>
      </c>
      <c r="C2258" s="88" t="s">
        <v>5259</v>
      </c>
      <c r="D2258" s="88">
        <v>7909091</v>
      </c>
      <c r="E2258" s="88" t="s">
        <v>61</v>
      </c>
      <c r="F2258" s="88">
        <v>0</v>
      </c>
      <c r="G2258" s="78">
        <f>MAX(H2258,I2258,J2258)</f>
        <v>0</v>
      </c>
      <c r="H2258" s="88"/>
      <c r="I2258" s="88"/>
      <c r="J2258" s="78">
        <f>MAX(K2258:Q2258)</f>
        <v>0</v>
      </c>
      <c r="K2258" s="88"/>
      <c r="L2258" s="88"/>
      <c r="M2258" s="88"/>
      <c r="N2258" s="88"/>
      <c r="O2258" s="88"/>
      <c r="P2258" s="88"/>
      <c r="Q2258" s="88"/>
      <c r="R2258" s="78">
        <f>MAX(S2258:W2258)</f>
        <v>1</v>
      </c>
      <c r="S2258" s="88"/>
      <c r="T2258" s="88"/>
      <c r="U2258" s="88">
        <v>1</v>
      </c>
      <c r="V2258" s="88"/>
      <c r="W2258" s="88"/>
    </row>
    <row r="2259" spans="2:23" s="0" customFormat="0" ht="15">
      <c r="B2259" s="87" t="s">
        <v>1</v>
      </c>
      <c r="C2259" s="88" t="s">
        <v>5259</v>
      </c>
      <c r="D2259" s="88">
        <v>22465795</v>
      </c>
      <c r="E2259" s="88" t="s">
        <v>61</v>
      </c>
      <c r="F2259" s="88">
        <v>0</v>
      </c>
      <c r="G2259" s="78">
        <f>MAX(H2259,I2259,J2259)</f>
        <v>1</v>
      </c>
      <c r="H2259" s="88"/>
      <c r="I2259" s="88"/>
      <c r="J2259" s="78">
        <f>MAX(K2259:Q2259)</f>
        <v>1</v>
      </c>
      <c r="K2259" s="88">
        <v>1</v>
      </c>
      <c r="L2259" s="88"/>
      <c r="M2259" s="88"/>
      <c r="N2259" s="88"/>
      <c r="O2259" s="88"/>
      <c r="P2259" s="88"/>
      <c r="Q2259" s="88"/>
      <c r="R2259" s="78">
        <f>MAX(S2259:W2259)</f>
        <v>0</v>
      </c>
      <c r="S2259" s="88"/>
      <c r="T2259" s="88"/>
      <c r="U2259" s="88"/>
      <c r="V2259" s="88"/>
      <c r="W2259" s="88"/>
    </row>
    <row r="2260" spans="2:23" s="0" customFormat="0" ht="15">
      <c r="B2260" s="87" t="s">
        <v>1</v>
      </c>
      <c r="C2260" s="88" t="s">
        <v>5259</v>
      </c>
      <c r="D2260" s="88" t="s">
        <v>1656</v>
      </c>
      <c r="E2260" s="88" t="s">
        <v>61</v>
      </c>
      <c r="F2260" s="88">
        <v>0</v>
      </c>
      <c r="G2260" s="78">
        <f>MAX(H2260,I2260,J2260)</f>
        <v>1</v>
      </c>
      <c r="H2260" s="88"/>
      <c r="I2260" s="88"/>
      <c r="J2260" s="78">
        <f>MAX(K2260:Q2260)</f>
        <v>1</v>
      </c>
      <c r="K2260" s="88">
        <v>1</v>
      </c>
      <c r="L2260" s="88"/>
      <c r="M2260" s="88"/>
      <c r="N2260" s="88"/>
      <c r="O2260" s="88"/>
      <c r="P2260" s="88"/>
      <c r="Q2260" s="88"/>
      <c r="R2260" s="78">
        <f>MAX(S2260:W2260)</f>
        <v>0</v>
      </c>
      <c r="S2260" s="88"/>
      <c r="T2260" s="88"/>
      <c r="U2260" s="88"/>
      <c r="V2260" s="88"/>
      <c r="W2260" s="88"/>
    </row>
    <row r="2261" spans="2:23" s="0" customFormat="0" ht="15">
      <c r="B2261" s="87" t="s">
        <v>1</v>
      </c>
      <c r="C2261" s="88" t="s">
        <v>5259</v>
      </c>
      <c r="D2261" s="88">
        <v>24010289</v>
      </c>
      <c r="E2261" s="88" t="s">
        <v>61</v>
      </c>
      <c r="F2261" s="88">
        <v>0</v>
      </c>
      <c r="G2261" s="78">
        <f>MAX(H2261,I2261,J2261)</f>
        <v>1</v>
      </c>
      <c r="H2261" s="88"/>
      <c r="I2261" s="88"/>
      <c r="J2261" s="78">
        <f>MAX(K2261:Q2261)</f>
        <v>1</v>
      </c>
      <c r="K2261" s="88">
        <v>1</v>
      </c>
      <c r="L2261" s="88"/>
      <c r="M2261" s="88"/>
      <c r="N2261" s="88"/>
      <c r="O2261" s="88"/>
      <c r="P2261" s="88"/>
      <c r="Q2261" s="88"/>
      <c r="R2261" s="78">
        <f>MAX(S2261:W2261)</f>
        <v>0</v>
      </c>
      <c r="S2261" s="88"/>
      <c r="T2261" s="88"/>
      <c r="U2261" s="88"/>
      <c r="V2261" s="88"/>
      <c r="W2261" s="88"/>
    </row>
    <row r="2262" spans="2:23" s="0" customFormat="0" ht="15">
      <c r="B2262" s="87" t="s">
        <v>1</v>
      </c>
      <c r="C2262" s="88" t="s">
        <v>5259</v>
      </c>
      <c r="D2262" s="88" t="s">
        <v>4336</v>
      </c>
      <c r="E2262" s="88" t="s">
        <v>61</v>
      </c>
      <c r="F2262" s="88">
        <v>0</v>
      </c>
      <c r="G2262" s="78">
        <f>MAX(H2262,I2262,J2262)</f>
        <v>0</v>
      </c>
      <c r="H2262" s="88"/>
      <c r="I2262" s="88"/>
      <c r="J2262" s="78">
        <f>MAX(K2262:Q2262)</f>
        <v>0</v>
      </c>
      <c r="K2262" s="88"/>
      <c r="L2262" s="88"/>
      <c r="M2262" s="88"/>
      <c r="N2262" s="88"/>
      <c r="O2262" s="88"/>
      <c r="P2262" s="88"/>
      <c r="Q2262" s="88"/>
      <c r="R2262" s="78">
        <f>MAX(S2262:W2262)</f>
        <v>1</v>
      </c>
      <c r="S2262" s="88"/>
      <c r="T2262" s="88"/>
      <c r="U2262" s="88">
        <v>1</v>
      </c>
      <c r="V2262" s="88"/>
      <c r="W2262" s="88"/>
    </row>
    <row r="2263" spans="2:23" s="0" customFormat="0" ht="15">
      <c r="B2263" s="87" t="s">
        <v>1</v>
      </c>
      <c r="C2263" s="88" t="s">
        <v>5259</v>
      </c>
      <c r="D2263" s="88" t="s">
        <v>1659</v>
      </c>
      <c r="E2263" s="88" t="s">
        <v>61</v>
      </c>
      <c r="F2263" s="88">
        <v>0</v>
      </c>
      <c r="G2263" s="78">
        <f>MAX(H2263,I2263,J2263)</f>
        <v>1</v>
      </c>
      <c r="H2263" s="88"/>
      <c r="I2263" s="88"/>
      <c r="J2263" s="78">
        <f>MAX(K2263:Q2263)</f>
        <v>1</v>
      </c>
      <c r="K2263" s="88">
        <v>1</v>
      </c>
      <c r="L2263" s="88"/>
      <c r="M2263" s="88"/>
      <c r="N2263" s="88"/>
      <c r="O2263" s="88"/>
      <c r="P2263" s="88"/>
      <c r="Q2263" s="88"/>
      <c r="R2263" s="78">
        <f>MAX(S2263:W2263)</f>
        <v>0</v>
      </c>
      <c r="S2263" s="88"/>
      <c r="T2263" s="88"/>
      <c r="U2263" s="88"/>
      <c r="V2263" s="88"/>
      <c r="W2263" s="88"/>
    </row>
    <row r="2264" spans="2:23" s="0" customFormat="0" ht="15">
      <c r="B2264" s="87" t="s">
        <v>1</v>
      </c>
      <c r="C2264" s="88" t="s">
        <v>5259</v>
      </c>
      <c r="D2264" s="88">
        <v>10657982</v>
      </c>
      <c r="E2264" s="88" t="s">
        <v>61</v>
      </c>
      <c r="F2264" s="88">
        <v>0</v>
      </c>
      <c r="G2264" s="78">
        <f>MAX(H2264,I2264,J2264)</f>
        <v>1</v>
      </c>
      <c r="H2264" s="88"/>
      <c r="I2264" s="88"/>
      <c r="J2264" s="78">
        <f>MAX(K2264:Q2264)</f>
        <v>1</v>
      </c>
      <c r="K2264" s="88">
        <v>1</v>
      </c>
      <c r="L2264" s="88"/>
      <c r="M2264" s="88"/>
      <c r="N2264" s="88"/>
      <c r="O2264" s="88"/>
      <c r="P2264" s="88"/>
      <c r="Q2264" s="88"/>
      <c r="R2264" s="78">
        <f>MAX(S2264:W2264)</f>
        <v>0</v>
      </c>
      <c r="S2264" s="88"/>
      <c r="T2264" s="88"/>
      <c r="U2264" s="88"/>
      <c r="V2264" s="88"/>
      <c r="W2264" s="88"/>
    </row>
    <row r="2265" spans="2:23" s="0" customFormat="0" ht="15">
      <c r="B2265" s="87" t="s">
        <v>1</v>
      </c>
      <c r="C2265" s="88" t="s">
        <v>5259</v>
      </c>
      <c r="D2265" s="88">
        <v>18775820</v>
      </c>
      <c r="E2265" s="88" t="s">
        <v>61</v>
      </c>
      <c r="F2265" s="88">
        <v>0</v>
      </c>
      <c r="G2265" s="78">
        <f>MAX(H2265,I2265,J2265)</f>
        <v>1</v>
      </c>
      <c r="H2265" s="88"/>
      <c r="I2265" s="88"/>
      <c r="J2265" s="78">
        <f>MAX(K2265:Q2265)</f>
        <v>1</v>
      </c>
      <c r="K2265" s="88">
        <v>1</v>
      </c>
      <c r="L2265" s="88"/>
      <c r="M2265" s="88"/>
      <c r="N2265" s="88"/>
      <c r="O2265" s="88"/>
      <c r="P2265" s="88"/>
      <c r="Q2265" s="88"/>
      <c r="R2265" s="78">
        <f>MAX(S2265:W2265)</f>
        <v>0</v>
      </c>
      <c r="S2265" s="88"/>
      <c r="T2265" s="88"/>
      <c r="U2265" s="88"/>
      <c r="V2265" s="88"/>
      <c r="W2265" s="88"/>
    </row>
    <row r="2266" spans="2:23" s="0" customFormat="0" ht="15">
      <c r="B2266" s="87" t="s">
        <v>1</v>
      </c>
      <c r="C2266" s="88" t="s">
        <v>5259</v>
      </c>
      <c r="D2266" s="88" t="s">
        <v>4338</v>
      </c>
      <c r="E2266" s="88" t="s">
        <v>61</v>
      </c>
      <c r="F2266" s="88">
        <v>0</v>
      </c>
      <c r="G2266" s="78">
        <f>MAX(H2266,I2266,J2266)</f>
        <v>0</v>
      </c>
      <c r="H2266" s="88"/>
      <c r="I2266" s="88"/>
      <c r="J2266" s="78">
        <f>MAX(K2266:Q2266)</f>
        <v>0</v>
      </c>
      <c r="K2266" s="88"/>
      <c r="L2266" s="88"/>
      <c r="M2266" s="88"/>
      <c r="N2266" s="88"/>
      <c r="O2266" s="88"/>
      <c r="P2266" s="88"/>
      <c r="Q2266" s="88"/>
      <c r="R2266" s="78">
        <f>MAX(S2266:W2266)</f>
        <v>1</v>
      </c>
      <c r="S2266" s="88"/>
      <c r="T2266" s="88"/>
      <c r="U2266" s="88">
        <v>1</v>
      </c>
      <c r="V2266" s="88"/>
      <c r="W2266" s="88"/>
    </row>
    <row r="2267" spans="2:23" s="0" customFormat="0" ht="15">
      <c r="B2267" s="87" t="s">
        <v>1</v>
      </c>
      <c r="C2267" s="88" t="s">
        <v>5259</v>
      </c>
      <c r="D2267" s="88">
        <v>2047099</v>
      </c>
      <c r="E2267" s="88" t="s">
        <v>61</v>
      </c>
      <c r="F2267" s="88">
        <v>0</v>
      </c>
      <c r="G2267" s="78">
        <f>MAX(H2267,I2267,J2267)</f>
        <v>1</v>
      </c>
      <c r="H2267" s="88"/>
      <c r="I2267" s="88"/>
      <c r="J2267" s="78">
        <f>MAX(K2267:Q2267)</f>
        <v>1</v>
      </c>
      <c r="K2267" s="88">
        <v>1</v>
      </c>
      <c r="L2267" s="88"/>
      <c r="M2267" s="88"/>
      <c r="N2267" s="88"/>
      <c r="O2267" s="88"/>
      <c r="P2267" s="88"/>
      <c r="Q2267" s="88"/>
      <c r="R2267" s="78">
        <f>MAX(S2267:W2267)</f>
        <v>0</v>
      </c>
      <c r="S2267" s="88"/>
      <c r="T2267" s="88"/>
      <c r="U2267" s="88"/>
      <c r="V2267" s="88"/>
      <c r="W2267" s="88"/>
    </row>
    <row r="2268" spans="2:23" s="0" customFormat="0" ht="15">
      <c r="B2268" s="87" t="s">
        <v>1</v>
      </c>
      <c r="C2268" s="88" t="s">
        <v>5259</v>
      </c>
      <c r="D2268" s="88">
        <v>21694766</v>
      </c>
      <c r="E2268" s="88" t="s">
        <v>61</v>
      </c>
      <c r="F2268" s="88">
        <v>0</v>
      </c>
      <c r="G2268" s="78">
        <f>MAX(H2268,I2268,J2268)</f>
        <v>1</v>
      </c>
      <c r="H2268" s="88"/>
      <c r="I2268" s="88"/>
      <c r="J2268" s="78">
        <f>MAX(K2268:Q2268)</f>
        <v>1</v>
      </c>
      <c r="K2268" s="88">
        <v>1</v>
      </c>
      <c r="L2268" s="88"/>
      <c r="M2268" s="88"/>
      <c r="N2268" s="88"/>
      <c r="O2268" s="88"/>
      <c r="P2268" s="88"/>
      <c r="Q2268" s="88"/>
      <c r="R2268" s="78">
        <f>MAX(S2268:W2268)</f>
        <v>0</v>
      </c>
      <c r="S2268" s="88"/>
      <c r="T2268" s="88"/>
      <c r="U2268" s="88"/>
      <c r="V2268" s="88"/>
      <c r="W2268" s="88"/>
    </row>
    <row r="2269" spans="2:23" s="0" customFormat="0" ht="15">
      <c r="B2269" s="87" t="s">
        <v>1</v>
      </c>
      <c r="C2269" s="88" t="s">
        <v>5259</v>
      </c>
      <c r="D2269" s="88" t="s">
        <v>4340</v>
      </c>
      <c r="E2269" s="88" t="s">
        <v>61</v>
      </c>
      <c r="F2269" s="88">
        <v>0</v>
      </c>
      <c r="G2269" s="78">
        <f>MAX(H2269,I2269,J2269)</f>
        <v>0</v>
      </c>
      <c r="H2269" s="88"/>
      <c r="I2269" s="88"/>
      <c r="J2269" s="78">
        <f>MAX(K2269:Q2269)</f>
        <v>0</v>
      </c>
      <c r="K2269" s="88"/>
      <c r="L2269" s="88"/>
      <c r="M2269" s="88"/>
      <c r="N2269" s="88"/>
      <c r="O2269" s="88"/>
      <c r="P2269" s="88"/>
      <c r="Q2269" s="88"/>
      <c r="R2269" s="78">
        <f>MAX(S2269:W2269)</f>
        <v>1</v>
      </c>
      <c r="S2269" s="88"/>
      <c r="T2269" s="88"/>
      <c r="U2269" s="88">
        <v>1</v>
      </c>
      <c r="V2269" s="88"/>
      <c r="W2269" s="88"/>
    </row>
    <row r="2270" spans="2:23" s="0" customFormat="0" ht="15">
      <c r="B2270" s="87" t="s">
        <v>1</v>
      </c>
      <c r="C2270" s="88" t="s">
        <v>5259</v>
      </c>
      <c r="D2270" s="88" t="s">
        <v>1665</v>
      </c>
      <c r="E2270" s="88" t="s">
        <v>61</v>
      </c>
      <c r="F2270" s="88">
        <v>0</v>
      </c>
      <c r="G2270" s="78">
        <f>MAX(H2270,I2270,J2270)</f>
        <v>1</v>
      </c>
      <c r="H2270" s="88"/>
      <c r="I2270" s="88"/>
      <c r="J2270" s="78">
        <f>MAX(K2270:Q2270)</f>
        <v>1</v>
      </c>
      <c r="K2270" s="88">
        <v>1</v>
      </c>
      <c r="L2270" s="88"/>
      <c r="M2270" s="88"/>
      <c r="N2270" s="88"/>
      <c r="O2270" s="88"/>
      <c r="P2270" s="88"/>
      <c r="Q2270" s="88"/>
      <c r="R2270" s="78">
        <f>MAX(S2270:W2270)</f>
        <v>0</v>
      </c>
      <c r="S2270" s="88"/>
      <c r="T2270" s="88"/>
      <c r="U2270" s="88"/>
      <c r="V2270" s="88"/>
      <c r="W2270" s="88"/>
    </row>
    <row r="2271" spans="2:23" s="0" customFormat="0" ht="15">
      <c r="B2271" s="87" t="s">
        <v>1</v>
      </c>
      <c r="C2271" s="88" t="s">
        <v>5259</v>
      </c>
      <c r="D2271" s="88">
        <v>19599196</v>
      </c>
      <c r="E2271" s="88" t="s">
        <v>61</v>
      </c>
      <c r="F2271" s="88">
        <v>0</v>
      </c>
      <c r="G2271" s="78">
        <f>MAX(H2271,I2271,J2271)</f>
        <v>1</v>
      </c>
      <c r="H2271" s="88"/>
      <c r="I2271" s="88"/>
      <c r="J2271" s="78">
        <f>MAX(K2271:Q2271)</f>
        <v>1</v>
      </c>
      <c r="K2271" s="88">
        <v>1</v>
      </c>
      <c r="L2271" s="88"/>
      <c r="M2271" s="88"/>
      <c r="N2271" s="88"/>
      <c r="O2271" s="88"/>
      <c r="P2271" s="88"/>
      <c r="Q2271" s="88"/>
      <c r="R2271" s="78">
        <f>MAX(S2271:W2271)</f>
        <v>0</v>
      </c>
      <c r="S2271" s="88"/>
      <c r="T2271" s="88"/>
      <c r="U2271" s="88"/>
      <c r="V2271" s="88"/>
      <c r="W2271" s="88"/>
    </row>
    <row r="2272" spans="2:23" s="0" customFormat="0" ht="15">
      <c r="B2272" s="87" t="s">
        <v>1</v>
      </c>
      <c r="C2272" s="88" t="s">
        <v>5259</v>
      </c>
      <c r="D2272" s="88">
        <v>15769826</v>
      </c>
      <c r="E2272" s="88" t="s">
        <v>61</v>
      </c>
      <c r="F2272" s="88">
        <v>0</v>
      </c>
      <c r="G2272" s="78">
        <f>MAX(H2272,I2272,J2272)</f>
        <v>1</v>
      </c>
      <c r="H2272" s="88"/>
      <c r="I2272" s="88"/>
      <c r="J2272" s="78">
        <f>MAX(K2272:Q2272)</f>
        <v>1</v>
      </c>
      <c r="K2272" s="88">
        <v>1</v>
      </c>
      <c r="L2272" s="88"/>
      <c r="M2272" s="88"/>
      <c r="N2272" s="88"/>
      <c r="O2272" s="88"/>
      <c r="P2272" s="88"/>
      <c r="Q2272" s="88"/>
      <c r="R2272" s="78">
        <f>MAX(S2272:W2272)</f>
        <v>0</v>
      </c>
      <c r="S2272" s="88"/>
      <c r="T2272" s="88"/>
      <c r="U2272" s="88"/>
      <c r="V2272" s="88"/>
      <c r="W2272" s="88"/>
    </row>
    <row r="2273" spans="2:23" s="0" customFormat="0" ht="15">
      <c r="B2273" s="87" t="s">
        <v>1</v>
      </c>
      <c r="C2273" s="88" t="s">
        <v>5259</v>
      </c>
      <c r="D2273" s="88" t="s">
        <v>4342</v>
      </c>
      <c r="E2273" s="88" t="s">
        <v>61</v>
      </c>
      <c r="F2273" s="88">
        <v>0</v>
      </c>
      <c r="G2273" s="78">
        <f>MAX(H2273,I2273,J2273)</f>
        <v>0</v>
      </c>
      <c r="H2273" s="88"/>
      <c r="I2273" s="88"/>
      <c r="J2273" s="78">
        <f>MAX(K2273:Q2273)</f>
        <v>0</v>
      </c>
      <c r="K2273" s="88"/>
      <c r="L2273" s="88"/>
      <c r="M2273" s="88"/>
      <c r="N2273" s="88"/>
      <c r="O2273" s="88"/>
      <c r="P2273" s="88"/>
      <c r="Q2273" s="88"/>
      <c r="R2273" s="78">
        <f>MAX(S2273:W2273)</f>
        <v>1</v>
      </c>
      <c r="S2273" s="88"/>
      <c r="T2273" s="88"/>
      <c r="U2273" s="88">
        <v>1</v>
      </c>
      <c r="V2273" s="88"/>
      <c r="W2273" s="88"/>
    </row>
    <row r="2274" spans="2:23" s="0" customFormat="0" ht="15">
      <c r="B2274" s="87" t="s">
        <v>1</v>
      </c>
      <c r="C2274" s="88" t="s">
        <v>5259</v>
      </c>
      <c r="D2274" s="88" t="s">
        <v>3407</v>
      </c>
      <c r="E2274" s="88" t="s">
        <v>61</v>
      </c>
      <c r="F2274" s="88">
        <v>0</v>
      </c>
      <c r="G2274" s="78">
        <f>MAX(H2274,I2274,J2274)</f>
        <v>0</v>
      </c>
      <c r="H2274" s="88"/>
      <c r="I2274" s="88"/>
      <c r="J2274" s="78">
        <f>MAX(K2274:Q2274)</f>
        <v>0</v>
      </c>
      <c r="K2274" s="88"/>
      <c r="L2274" s="88"/>
      <c r="M2274" s="88"/>
      <c r="N2274" s="88"/>
      <c r="O2274" s="88"/>
      <c r="P2274" s="88"/>
      <c r="Q2274" s="88"/>
      <c r="R2274" s="78">
        <f>MAX(S2274:W2274)</f>
        <v>1</v>
      </c>
      <c r="S2274" s="88"/>
      <c r="T2274" s="88"/>
      <c r="U2274" s="88">
        <v>1</v>
      </c>
      <c r="V2274" s="88"/>
      <c r="W2274" s="88"/>
    </row>
    <row r="2275" spans="2:23" s="0" customFormat="0" ht="15">
      <c r="B2275" s="87" t="s">
        <v>1</v>
      </c>
      <c r="C2275" s="88" t="s">
        <v>5259</v>
      </c>
      <c r="D2275" s="88" t="s">
        <v>1668</v>
      </c>
      <c r="E2275" s="88" t="s">
        <v>61</v>
      </c>
      <c r="F2275" s="88">
        <v>0</v>
      </c>
      <c r="G2275" s="78">
        <f>MAX(H2275,I2275,J2275)</f>
        <v>1</v>
      </c>
      <c r="H2275" s="88"/>
      <c r="I2275" s="88"/>
      <c r="J2275" s="78">
        <f>MAX(K2275:Q2275)</f>
        <v>1</v>
      </c>
      <c r="K2275" s="88">
        <v>1</v>
      </c>
      <c r="L2275" s="88"/>
      <c r="M2275" s="88"/>
      <c r="N2275" s="88"/>
      <c r="O2275" s="88"/>
      <c r="P2275" s="88"/>
      <c r="Q2275" s="88"/>
      <c r="R2275" s="78">
        <f>MAX(S2275:W2275)</f>
        <v>0</v>
      </c>
      <c r="S2275" s="88"/>
      <c r="T2275" s="88"/>
      <c r="U2275" s="88"/>
      <c r="V2275" s="88"/>
      <c r="W2275" s="88"/>
    </row>
    <row r="2276" spans="2:23" s="0" customFormat="0" ht="15">
      <c r="B2276" s="87" t="s">
        <v>1</v>
      </c>
      <c r="C2276" s="88" t="s">
        <v>5259</v>
      </c>
      <c r="D2276" s="88">
        <v>22554422</v>
      </c>
      <c r="E2276" s="88" t="s">
        <v>61</v>
      </c>
      <c r="F2276" s="88">
        <v>0</v>
      </c>
      <c r="G2276" s="78">
        <f>MAX(H2276,I2276,J2276)</f>
        <v>0</v>
      </c>
      <c r="H2276" s="88"/>
      <c r="I2276" s="88"/>
      <c r="J2276" s="78">
        <f>MAX(K2276:Q2276)</f>
        <v>0</v>
      </c>
      <c r="K2276" s="88"/>
      <c r="L2276" s="88"/>
      <c r="M2276" s="88"/>
      <c r="N2276" s="88"/>
      <c r="O2276" s="88"/>
      <c r="P2276" s="88"/>
      <c r="Q2276" s="88"/>
      <c r="R2276" s="78">
        <f>MAX(S2276:W2276)</f>
        <v>1</v>
      </c>
      <c r="S2276" s="88"/>
      <c r="T2276" s="88"/>
      <c r="U2276" s="88">
        <v>1</v>
      </c>
      <c r="V2276" s="88"/>
      <c r="W2276" s="88"/>
    </row>
    <row r="2277" spans="2:23" s="0" customFormat="0" ht="15">
      <c r="B2277" s="87" t="s">
        <v>1</v>
      </c>
      <c r="C2277" s="88" t="s">
        <v>5259</v>
      </c>
      <c r="D2277" s="88" t="s">
        <v>3942</v>
      </c>
      <c r="E2277" s="88" t="s">
        <v>61</v>
      </c>
      <c r="F2277" s="88">
        <v>0</v>
      </c>
      <c r="G2277" s="78">
        <f>MAX(H2277,I2277,J2277)</f>
        <v>0</v>
      </c>
      <c r="H2277" s="88"/>
      <c r="I2277" s="88"/>
      <c r="J2277" s="78">
        <f>MAX(K2277:Q2277)</f>
        <v>0</v>
      </c>
      <c r="K2277" s="88"/>
      <c r="L2277" s="88"/>
      <c r="M2277" s="88"/>
      <c r="N2277" s="88"/>
      <c r="O2277" s="88"/>
      <c r="P2277" s="88"/>
      <c r="Q2277" s="88"/>
      <c r="R2277" s="78">
        <f>MAX(S2277:W2277)</f>
        <v>1</v>
      </c>
      <c r="S2277" s="88"/>
      <c r="T2277" s="88"/>
      <c r="U2277" s="88">
        <v>1</v>
      </c>
      <c r="V2277" s="88"/>
      <c r="W2277" s="88"/>
    </row>
    <row r="2278" spans="2:23" s="0" customFormat="0" ht="15">
      <c r="B2278" s="87" t="s">
        <v>1</v>
      </c>
      <c r="C2278" s="88" t="s">
        <v>5259</v>
      </c>
      <c r="D2278" s="88">
        <v>17252299</v>
      </c>
      <c r="E2278" s="88" t="s">
        <v>61</v>
      </c>
      <c r="F2278" s="88">
        <v>0</v>
      </c>
      <c r="G2278" s="78">
        <f>MAX(H2278,I2278,J2278)</f>
        <v>1</v>
      </c>
      <c r="H2278" s="88"/>
      <c r="I2278" s="88"/>
      <c r="J2278" s="78">
        <f>MAX(K2278:Q2278)</f>
        <v>1</v>
      </c>
      <c r="K2278" s="88">
        <v>1</v>
      </c>
      <c r="L2278" s="88"/>
      <c r="M2278" s="88"/>
      <c r="N2278" s="88"/>
      <c r="O2278" s="88"/>
      <c r="P2278" s="88"/>
      <c r="Q2278" s="88"/>
      <c r="R2278" s="78">
        <f>MAX(S2278:W2278)</f>
        <v>0</v>
      </c>
      <c r="S2278" s="88"/>
      <c r="T2278" s="88"/>
      <c r="U2278" s="88"/>
      <c r="V2278" s="88"/>
      <c r="W2278" s="88"/>
    </row>
    <row r="2279" spans="2:23" s="0" customFormat="0" ht="15">
      <c r="B2279" s="87" t="s">
        <v>1</v>
      </c>
      <c r="C2279" s="88" t="s">
        <v>5259</v>
      </c>
      <c r="D2279" s="88">
        <v>11583646</v>
      </c>
      <c r="E2279" s="88" t="s">
        <v>61</v>
      </c>
      <c r="F2279" s="88">
        <v>0</v>
      </c>
      <c r="G2279" s="78">
        <f>MAX(H2279,I2279,J2279)</f>
        <v>1</v>
      </c>
      <c r="H2279" s="88"/>
      <c r="I2279" s="88"/>
      <c r="J2279" s="78">
        <f>MAX(K2279:Q2279)</f>
        <v>1</v>
      </c>
      <c r="K2279" s="88">
        <v>1</v>
      </c>
      <c r="L2279" s="88"/>
      <c r="M2279" s="88"/>
      <c r="N2279" s="88"/>
      <c r="O2279" s="88"/>
      <c r="P2279" s="88"/>
      <c r="Q2279" s="88"/>
      <c r="R2279" s="78">
        <f>MAX(S2279:W2279)</f>
        <v>0</v>
      </c>
      <c r="S2279" s="88"/>
      <c r="T2279" s="88"/>
      <c r="U2279" s="88"/>
      <c r="V2279" s="88"/>
      <c r="W2279" s="88"/>
    </row>
    <row r="2280" spans="2:23" s="0" customFormat="0" ht="15">
      <c r="B2280" s="87" t="s">
        <v>1</v>
      </c>
      <c r="C2280" s="88" t="s">
        <v>5259</v>
      </c>
      <c r="D2280" s="88" t="s">
        <v>4344</v>
      </c>
      <c r="E2280" s="88" t="s">
        <v>61</v>
      </c>
      <c r="F2280" s="88">
        <v>0</v>
      </c>
      <c r="G2280" s="78">
        <f>MAX(H2280,I2280,J2280)</f>
        <v>0</v>
      </c>
      <c r="H2280" s="88"/>
      <c r="I2280" s="88"/>
      <c r="J2280" s="78">
        <f>MAX(K2280:Q2280)</f>
        <v>0</v>
      </c>
      <c r="K2280" s="88"/>
      <c r="L2280" s="88"/>
      <c r="M2280" s="88"/>
      <c r="N2280" s="88"/>
      <c r="O2280" s="88"/>
      <c r="P2280" s="88"/>
      <c r="Q2280" s="88"/>
      <c r="R2280" s="78">
        <f>MAX(S2280:W2280)</f>
        <v>1</v>
      </c>
      <c r="S2280" s="88"/>
      <c r="T2280" s="88"/>
      <c r="U2280" s="88">
        <v>1</v>
      </c>
      <c r="V2280" s="88"/>
      <c r="W2280" s="88"/>
    </row>
    <row r="2281" spans="2:23" s="0" customFormat="0" ht="15">
      <c r="B2281" s="87" t="s">
        <v>1</v>
      </c>
      <c r="C2281" s="88" t="s">
        <v>5259</v>
      </c>
      <c r="D2281" s="88" t="s">
        <v>4346</v>
      </c>
      <c r="E2281" s="88" t="s">
        <v>61</v>
      </c>
      <c r="F2281" s="88">
        <v>0</v>
      </c>
      <c r="G2281" s="78">
        <f>MAX(H2281,I2281,J2281)</f>
        <v>0</v>
      </c>
      <c r="H2281" s="88"/>
      <c r="I2281" s="88"/>
      <c r="J2281" s="78">
        <f>MAX(K2281:Q2281)</f>
        <v>0</v>
      </c>
      <c r="K2281" s="88"/>
      <c r="L2281" s="88"/>
      <c r="M2281" s="88"/>
      <c r="N2281" s="88"/>
      <c r="O2281" s="88"/>
      <c r="P2281" s="88"/>
      <c r="Q2281" s="88"/>
      <c r="R2281" s="78">
        <f>MAX(S2281:W2281)</f>
        <v>1</v>
      </c>
      <c r="S2281" s="88"/>
      <c r="T2281" s="88"/>
      <c r="U2281" s="88">
        <v>1</v>
      </c>
      <c r="V2281" s="88"/>
      <c r="W2281" s="88"/>
    </row>
    <row r="2282" spans="2:23" s="0" customFormat="0" ht="15">
      <c r="B2282" s="87" t="s">
        <v>1</v>
      </c>
      <c r="C2282" s="88" t="s">
        <v>5259</v>
      </c>
      <c r="D2282" s="88">
        <v>11522747</v>
      </c>
      <c r="E2282" s="88" t="s">
        <v>61</v>
      </c>
      <c r="F2282" s="88">
        <v>0</v>
      </c>
      <c r="G2282" s="78">
        <f>MAX(H2282,I2282,J2282)</f>
        <v>1</v>
      </c>
      <c r="H2282" s="88"/>
      <c r="I2282" s="88"/>
      <c r="J2282" s="78">
        <f>MAX(K2282:Q2282)</f>
        <v>1</v>
      </c>
      <c r="K2282" s="88">
        <v>1</v>
      </c>
      <c r="L2282" s="88"/>
      <c r="M2282" s="88"/>
      <c r="N2282" s="88"/>
      <c r="O2282" s="88"/>
      <c r="P2282" s="88"/>
      <c r="Q2282" s="88"/>
      <c r="R2282" s="78">
        <f>MAX(S2282:W2282)</f>
        <v>0</v>
      </c>
      <c r="S2282" s="88"/>
      <c r="T2282" s="88"/>
      <c r="U2282" s="88"/>
      <c r="V2282" s="88"/>
      <c r="W2282" s="88"/>
    </row>
    <row r="2283" spans="2:23" s="0" customFormat="0" ht="15">
      <c r="B2283" s="87" t="s">
        <v>1</v>
      </c>
      <c r="C2283" s="88" t="s">
        <v>5259</v>
      </c>
      <c r="D2283" s="88" t="s">
        <v>4348</v>
      </c>
      <c r="E2283" s="88" t="s">
        <v>61</v>
      </c>
      <c r="F2283" s="88">
        <v>0</v>
      </c>
      <c r="G2283" s="78">
        <f>MAX(H2283,I2283,J2283)</f>
        <v>0</v>
      </c>
      <c r="H2283" s="88"/>
      <c r="I2283" s="88"/>
      <c r="J2283" s="78">
        <f>MAX(K2283:Q2283)</f>
        <v>0</v>
      </c>
      <c r="K2283" s="88"/>
      <c r="L2283" s="88"/>
      <c r="M2283" s="88"/>
      <c r="N2283" s="88"/>
      <c r="O2283" s="88"/>
      <c r="P2283" s="88"/>
      <c r="Q2283" s="88"/>
      <c r="R2283" s="78">
        <f>MAX(S2283:W2283)</f>
        <v>1</v>
      </c>
      <c r="S2283" s="88"/>
      <c r="T2283" s="88"/>
      <c r="U2283" s="88">
        <v>1</v>
      </c>
      <c r="V2283" s="88"/>
      <c r="W2283" s="88"/>
    </row>
    <row r="2284" spans="2:23" s="0" customFormat="0" ht="15">
      <c r="B2284" s="87" t="s">
        <v>1</v>
      </c>
      <c r="C2284" s="88" t="s">
        <v>5259</v>
      </c>
      <c r="D2284" s="88">
        <v>22273928</v>
      </c>
      <c r="E2284" s="88" t="s">
        <v>61</v>
      </c>
      <c r="F2284" s="88">
        <v>0</v>
      </c>
      <c r="G2284" s="78">
        <f>MAX(H2284,I2284,J2284)</f>
        <v>1</v>
      </c>
      <c r="H2284" s="88"/>
      <c r="I2284" s="88"/>
      <c r="J2284" s="78">
        <f>MAX(K2284:Q2284)</f>
        <v>1</v>
      </c>
      <c r="K2284" s="88">
        <v>1</v>
      </c>
      <c r="L2284" s="88"/>
      <c r="M2284" s="88"/>
      <c r="N2284" s="88"/>
      <c r="O2284" s="88"/>
      <c r="P2284" s="88"/>
      <c r="Q2284" s="88"/>
      <c r="R2284" s="78">
        <f>MAX(S2284:W2284)</f>
        <v>0</v>
      </c>
      <c r="S2284" s="88"/>
      <c r="T2284" s="88"/>
      <c r="U2284" s="88"/>
      <c r="V2284" s="88"/>
      <c r="W2284" s="88"/>
    </row>
    <row r="2285" spans="2:23" s="0" customFormat="0" ht="15">
      <c r="B2285" s="87" t="s">
        <v>1</v>
      </c>
      <c r="C2285" s="88" t="s">
        <v>5259</v>
      </c>
      <c r="D2285" s="88">
        <v>19843127</v>
      </c>
      <c r="E2285" s="88" t="s">
        <v>61</v>
      </c>
      <c r="F2285" s="88">
        <v>0</v>
      </c>
      <c r="G2285" s="78">
        <f>MAX(H2285,I2285,J2285)</f>
        <v>1</v>
      </c>
      <c r="H2285" s="88"/>
      <c r="I2285" s="88"/>
      <c r="J2285" s="78">
        <f>MAX(K2285:Q2285)</f>
        <v>1</v>
      </c>
      <c r="K2285" s="88">
        <v>1</v>
      </c>
      <c r="L2285" s="88"/>
      <c r="M2285" s="88"/>
      <c r="N2285" s="88"/>
      <c r="O2285" s="88"/>
      <c r="P2285" s="88"/>
      <c r="Q2285" s="88"/>
      <c r="R2285" s="78">
        <f>MAX(S2285:W2285)</f>
        <v>0</v>
      </c>
      <c r="S2285" s="88"/>
      <c r="T2285" s="88"/>
      <c r="U2285" s="88"/>
      <c r="V2285" s="88"/>
      <c r="W2285" s="88"/>
    </row>
    <row r="2286" spans="2:23" s="0" customFormat="0" ht="15">
      <c r="B2286" s="87" t="s">
        <v>1</v>
      </c>
      <c r="C2286" s="88" t="s">
        <v>5259</v>
      </c>
      <c r="D2286" s="88">
        <v>14693195</v>
      </c>
      <c r="E2286" s="88" t="s">
        <v>61</v>
      </c>
      <c r="F2286" s="88">
        <v>0</v>
      </c>
      <c r="G2286" s="78">
        <f>MAX(H2286,I2286,J2286)</f>
        <v>1</v>
      </c>
      <c r="H2286" s="88"/>
      <c r="I2286" s="88"/>
      <c r="J2286" s="78">
        <f>MAX(K2286:Q2286)</f>
        <v>1</v>
      </c>
      <c r="K2286" s="88">
        <v>1</v>
      </c>
      <c r="L2286" s="88"/>
      <c r="M2286" s="88"/>
      <c r="N2286" s="88"/>
      <c r="O2286" s="88"/>
      <c r="P2286" s="88"/>
      <c r="Q2286" s="88"/>
      <c r="R2286" s="78">
        <f>MAX(S2286:W2286)</f>
        <v>0</v>
      </c>
      <c r="S2286" s="88"/>
      <c r="T2286" s="88"/>
      <c r="U2286" s="88"/>
      <c r="V2286" s="88"/>
      <c r="W2286" s="88"/>
    </row>
    <row r="2287" spans="2:23" s="0" customFormat="0" ht="15">
      <c r="B2287" s="87" t="s">
        <v>1</v>
      </c>
      <c r="C2287" s="88" t="s">
        <v>5259</v>
      </c>
      <c r="D2287" s="88" t="s">
        <v>3924</v>
      </c>
      <c r="E2287" s="88" t="s">
        <v>61</v>
      </c>
      <c r="F2287" s="88">
        <v>0</v>
      </c>
      <c r="G2287" s="78">
        <f>MAX(H2287,I2287,J2287)</f>
        <v>0</v>
      </c>
      <c r="H2287" s="88"/>
      <c r="I2287" s="88"/>
      <c r="J2287" s="78">
        <f>MAX(K2287:Q2287)</f>
        <v>0</v>
      </c>
      <c r="K2287" s="88"/>
      <c r="L2287" s="88"/>
      <c r="M2287" s="88"/>
      <c r="N2287" s="88"/>
      <c r="O2287" s="88"/>
      <c r="P2287" s="88"/>
      <c r="Q2287" s="88"/>
      <c r="R2287" s="78">
        <f>MAX(S2287:W2287)</f>
        <v>1</v>
      </c>
      <c r="S2287" s="88"/>
      <c r="T2287" s="88"/>
      <c r="U2287" s="88">
        <v>1</v>
      </c>
      <c r="V2287" s="88"/>
      <c r="W2287" s="88"/>
    </row>
    <row r="2288" spans="2:23" s="0" customFormat="0" ht="15">
      <c r="B2288" s="87" t="s">
        <v>1</v>
      </c>
      <c r="C2288" s="88" t="s">
        <v>5259</v>
      </c>
      <c r="D2288" s="88" t="s">
        <v>4350</v>
      </c>
      <c r="E2288" s="88" t="s">
        <v>61</v>
      </c>
      <c r="F2288" s="88">
        <v>0</v>
      </c>
      <c r="G2288" s="78">
        <f>MAX(H2288,I2288,J2288)</f>
        <v>0</v>
      </c>
      <c r="H2288" s="88"/>
      <c r="I2288" s="88"/>
      <c r="J2288" s="78">
        <f>MAX(K2288:Q2288)</f>
        <v>0</v>
      </c>
      <c r="K2288" s="88"/>
      <c r="L2288" s="88"/>
      <c r="M2288" s="88"/>
      <c r="N2288" s="88"/>
      <c r="O2288" s="88"/>
      <c r="P2288" s="88"/>
      <c r="Q2288" s="88"/>
      <c r="R2288" s="78">
        <f>MAX(S2288:W2288)</f>
        <v>1</v>
      </c>
      <c r="S2288" s="88"/>
      <c r="T2288" s="88"/>
      <c r="U2288" s="88">
        <v>1</v>
      </c>
      <c r="V2288" s="88"/>
      <c r="W2288" s="88"/>
    </row>
    <row r="2289" spans="2:23" s="0" customFormat="0" ht="15">
      <c r="B2289" s="87" t="s">
        <v>1</v>
      </c>
      <c r="C2289" s="88" t="s">
        <v>5259</v>
      </c>
      <c r="D2289" s="88">
        <v>18745959</v>
      </c>
      <c r="E2289" s="88" t="s">
        <v>61</v>
      </c>
      <c r="F2289" s="88">
        <v>0</v>
      </c>
      <c r="G2289" s="78">
        <f>MAX(H2289,I2289,J2289)</f>
        <v>1</v>
      </c>
      <c r="H2289" s="88"/>
      <c r="I2289" s="88"/>
      <c r="J2289" s="78">
        <f>MAX(K2289:Q2289)</f>
        <v>1</v>
      </c>
      <c r="K2289" s="88">
        <v>1</v>
      </c>
      <c r="L2289" s="88"/>
      <c r="M2289" s="88"/>
      <c r="N2289" s="88"/>
      <c r="O2289" s="88"/>
      <c r="P2289" s="88"/>
      <c r="Q2289" s="88"/>
      <c r="R2289" s="78">
        <f>MAX(S2289:W2289)</f>
        <v>0</v>
      </c>
      <c r="S2289" s="88"/>
      <c r="T2289" s="88"/>
      <c r="U2289" s="88"/>
      <c r="V2289" s="88"/>
      <c r="W2289" s="88"/>
    </row>
    <row r="2290" spans="2:23" s="0" customFormat="0" ht="15">
      <c r="B2290" s="87" t="s">
        <v>1</v>
      </c>
      <c r="C2290" s="88" t="s">
        <v>5259</v>
      </c>
      <c r="D2290" s="88">
        <v>20784521</v>
      </c>
      <c r="E2290" s="88" t="s">
        <v>61</v>
      </c>
      <c r="F2290" s="88">
        <v>0</v>
      </c>
      <c r="G2290" s="78">
        <f>MAX(H2290,I2290,J2290)</f>
        <v>1</v>
      </c>
      <c r="H2290" s="88"/>
      <c r="I2290" s="88"/>
      <c r="J2290" s="78">
        <f>MAX(K2290:Q2290)</f>
        <v>1</v>
      </c>
      <c r="K2290" s="88">
        <v>1</v>
      </c>
      <c r="L2290" s="88"/>
      <c r="M2290" s="88"/>
      <c r="N2290" s="88"/>
      <c r="O2290" s="88"/>
      <c r="P2290" s="88"/>
      <c r="Q2290" s="88"/>
      <c r="R2290" s="78">
        <f>MAX(S2290:W2290)</f>
        <v>0</v>
      </c>
      <c r="S2290" s="88"/>
      <c r="T2290" s="88"/>
      <c r="U2290" s="88"/>
      <c r="V2290" s="88"/>
      <c r="W2290" s="88"/>
    </row>
    <row r="2291" spans="2:23" s="0" customFormat="0" ht="15">
      <c r="B2291" s="87" t="s">
        <v>1</v>
      </c>
      <c r="C2291" s="88" t="s">
        <v>5259</v>
      </c>
      <c r="D2291" s="88">
        <v>18913651</v>
      </c>
      <c r="E2291" s="88" t="s">
        <v>61</v>
      </c>
      <c r="F2291" s="88">
        <v>0</v>
      </c>
      <c r="G2291" s="78">
        <f>MAX(H2291,I2291,J2291)</f>
        <v>1</v>
      </c>
      <c r="H2291" s="88"/>
      <c r="I2291" s="88"/>
      <c r="J2291" s="78">
        <f>MAX(K2291:Q2291)</f>
        <v>1</v>
      </c>
      <c r="K2291" s="88">
        <v>1</v>
      </c>
      <c r="L2291" s="88"/>
      <c r="M2291" s="88"/>
      <c r="N2291" s="88"/>
      <c r="O2291" s="88"/>
      <c r="P2291" s="88"/>
      <c r="Q2291" s="88"/>
      <c r="R2291" s="78">
        <f>MAX(S2291:W2291)</f>
        <v>0</v>
      </c>
      <c r="S2291" s="88"/>
      <c r="T2291" s="88"/>
      <c r="U2291" s="88"/>
      <c r="V2291" s="88"/>
      <c r="W2291" s="88"/>
    </row>
    <row r="2292" spans="2:23" s="0" customFormat="0" ht="15">
      <c r="B2292" s="87" t="s">
        <v>1</v>
      </c>
      <c r="C2292" s="88" t="s">
        <v>5259</v>
      </c>
      <c r="D2292" s="88">
        <v>13488998</v>
      </c>
      <c r="E2292" s="88" t="s">
        <v>61</v>
      </c>
      <c r="F2292" s="88">
        <v>0</v>
      </c>
      <c r="G2292" s="78">
        <f>MAX(H2292,I2292,J2292)</f>
        <v>1</v>
      </c>
      <c r="H2292" s="88"/>
      <c r="I2292" s="88"/>
      <c r="J2292" s="78">
        <f>MAX(K2292:Q2292)</f>
        <v>1</v>
      </c>
      <c r="K2292" s="88">
        <v>1</v>
      </c>
      <c r="L2292" s="88"/>
      <c r="M2292" s="88"/>
      <c r="N2292" s="88"/>
      <c r="O2292" s="88"/>
      <c r="P2292" s="88"/>
      <c r="Q2292" s="88"/>
      <c r="R2292" s="78">
        <f>MAX(S2292:W2292)</f>
        <v>0</v>
      </c>
      <c r="S2292" s="88"/>
      <c r="T2292" s="88"/>
      <c r="U2292" s="88"/>
      <c r="V2292" s="88"/>
      <c r="W2292" s="88"/>
    </row>
    <row r="2293" spans="2:23" s="0" customFormat="0" ht="15">
      <c r="B2293" s="87" t="s">
        <v>1</v>
      </c>
      <c r="C2293" s="88" t="s">
        <v>5259</v>
      </c>
      <c r="D2293" s="88">
        <v>23207407</v>
      </c>
      <c r="E2293" s="88" t="s">
        <v>61</v>
      </c>
      <c r="F2293" s="88">
        <v>0</v>
      </c>
      <c r="G2293" s="78">
        <f>MAX(H2293,I2293,J2293)</f>
        <v>1</v>
      </c>
      <c r="H2293" s="88"/>
      <c r="I2293" s="88"/>
      <c r="J2293" s="78">
        <f>MAX(K2293:Q2293)</f>
        <v>1</v>
      </c>
      <c r="K2293" s="88">
        <v>1</v>
      </c>
      <c r="L2293" s="88"/>
      <c r="M2293" s="88"/>
      <c r="N2293" s="88"/>
      <c r="O2293" s="88"/>
      <c r="P2293" s="88"/>
      <c r="Q2293" s="88"/>
      <c r="R2293" s="78">
        <f>MAX(S2293:W2293)</f>
        <v>0</v>
      </c>
      <c r="S2293" s="88"/>
      <c r="T2293" s="88"/>
      <c r="U2293" s="88"/>
      <c r="V2293" s="88"/>
      <c r="W2293" s="88"/>
    </row>
    <row r="2294" spans="2:23" s="0" customFormat="0" ht="15">
      <c r="B2294" s="87" t="s">
        <v>1</v>
      </c>
      <c r="C2294" s="88" t="s">
        <v>5259</v>
      </c>
      <c r="D2294" s="88" t="s">
        <v>4352</v>
      </c>
      <c r="E2294" s="88" t="s">
        <v>61</v>
      </c>
      <c r="F2294" s="88">
        <v>0</v>
      </c>
      <c r="G2294" s="78">
        <f>MAX(H2294,I2294,J2294)</f>
        <v>0</v>
      </c>
      <c r="H2294" s="88"/>
      <c r="I2294" s="88"/>
      <c r="J2294" s="78">
        <f>MAX(K2294:Q2294)</f>
        <v>0</v>
      </c>
      <c r="K2294" s="88"/>
      <c r="L2294" s="88"/>
      <c r="M2294" s="88"/>
      <c r="N2294" s="88"/>
      <c r="O2294" s="88"/>
      <c r="P2294" s="88"/>
      <c r="Q2294" s="88"/>
      <c r="R2294" s="78">
        <f>MAX(S2294:W2294)</f>
        <v>1</v>
      </c>
      <c r="S2294" s="88"/>
      <c r="T2294" s="88"/>
      <c r="U2294" s="88">
        <v>1</v>
      </c>
      <c r="V2294" s="88"/>
      <c r="W2294" s="88"/>
    </row>
    <row r="2295" spans="2:23" s="0" customFormat="0" ht="15">
      <c r="B2295" s="87" t="s">
        <v>1</v>
      </c>
      <c r="C2295" s="88" t="s">
        <v>5259</v>
      </c>
      <c r="D2295" s="88">
        <v>12339031</v>
      </c>
      <c r="E2295" s="88" t="s">
        <v>61</v>
      </c>
      <c r="F2295" s="88">
        <v>0</v>
      </c>
      <c r="G2295" s="78">
        <f>MAX(H2295,I2295,J2295)</f>
        <v>1</v>
      </c>
      <c r="H2295" s="88"/>
      <c r="I2295" s="88"/>
      <c r="J2295" s="78">
        <f>MAX(K2295:Q2295)</f>
        <v>1</v>
      </c>
      <c r="K2295" s="88">
        <v>1</v>
      </c>
      <c r="L2295" s="88"/>
      <c r="M2295" s="88"/>
      <c r="N2295" s="88"/>
      <c r="O2295" s="88"/>
      <c r="P2295" s="88"/>
      <c r="Q2295" s="88"/>
      <c r="R2295" s="78">
        <f>MAX(S2295:W2295)</f>
        <v>0</v>
      </c>
      <c r="S2295" s="88"/>
      <c r="T2295" s="88"/>
      <c r="U2295" s="88"/>
      <c r="V2295" s="88"/>
      <c r="W2295" s="88"/>
    </row>
    <row r="2296" spans="2:23" s="0" customFormat="0" ht="15">
      <c r="B2296" s="87" t="s">
        <v>1</v>
      </c>
      <c r="C2296" s="88" t="s">
        <v>5259</v>
      </c>
      <c r="D2296" s="88" t="s">
        <v>4354</v>
      </c>
      <c r="E2296" s="88" t="s">
        <v>61</v>
      </c>
      <c r="F2296" s="88">
        <v>0</v>
      </c>
      <c r="G2296" s="78">
        <f>MAX(H2296,I2296,J2296)</f>
        <v>0</v>
      </c>
      <c r="H2296" s="88"/>
      <c r="I2296" s="88"/>
      <c r="J2296" s="78">
        <f>MAX(K2296:Q2296)</f>
        <v>0</v>
      </c>
      <c r="K2296" s="88"/>
      <c r="L2296" s="88"/>
      <c r="M2296" s="88"/>
      <c r="N2296" s="88"/>
      <c r="O2296" s="88"/>
      <c r="P2296" s="88"/>
      <c r="Q2296" s="88"/>
      <c r="R2296" s="78">
        <f>MAX(S2296:W2296)</f>
        <v>1</v>
      </c>
      <c r="S2296" s="88"/>
      <c r="T2296" s="88"/>
      <c r="U2296" s="88">
        <v>1</v>
      </c>
      <c r="V2296" s="88"/>
      <c r="W2296" s="88"/>
    </row>
    <row r="2297" spans="2:23" s="0" customFormat="0" ht="15">
      <c r="B2297" s="87" t="s">
        <v>1</v>
      </c>
      <c r="C2297" s="88" t="s">
        <v>5259</v>
      </c>
      <c r="D2297" s="88" t="s">
        <v>1680</v>
      </c>
      <c r="E2297" s="88" t="s">
        <v>61</v>
      </c>
      <c r="F2297" s="88">
        <v>0</v>
      </c>
      <c r="G2297" s="78">
        <f>MAX(H2297,I2297,J2297)</f>
        <v>1</v>
      </c>
      <c r="H2297" s="88"/>
      <c r="I2297" s="88"/>
      <c r="J2297" s="78">
        <f>MAX(K2297:Q2297)</f>
        <v>1</v>
      </c>
      <c r="K2297" s="88">
        <v>1</v>
      </c>
      <c r="L2297" s="88"/>
      <c r="M2297" s="88"/>
      <c r="N2297" s="88"/>
      <c r="O2297" s="88"/>
      <c r="P2297" s="88"/>
      <c r="Q2297" s="88"/>
      <c r="R2297" s="78">
        <f>MAX(S2297:W2297)</f>
        <v>0</v>
      </c>
      <c r="S2297" s="88"/>
      <c r="T2297" s="88"/>
      <c r="U2297" s="88"/>
      <c r="V2297" s="88"/>
      <c r="W2297" s="88"/>
    </row>
    <row r="2298" spans="2:23" s="0" customFormat="0" ht="15">
      <c r="B2298" s="87" t="s">
        <v>1</v>
      </c>
      <c r="C2298" s="88" t="s">
        <v>5259</v>
      </c>
      <c r="D2298" s="88" t="s">
        <v>1682</v>
      </c>
      <c r="E2298" s="88" t="s">
        <v>61</v>
      </c>
      <c r="F2298" s="88">
        <v>0</v>
      </c>
      <c r="G2298" s="78">
        <f>MAX(H2298,I2298,J2298)</f>
        <v>1</v>
      </c>
      <c r="H2298" s="88"/>
      <c r="I2298" s="88"/>
      <c r="J2298" s="78">
        <f>MAX(K2298:Q2298)</f>
        <v>1</v>
      </c>
      <c r="K2298" s="88">
        <v>1</v>
      </c>
      <c r="L2298" s="88"/>
      <c r="M2298" s="88"/>
      <c r="N2298" s="88"/>
      <c r="O2298" s="88"/>
      <c r="P2298" s="88"/>
      <c r="Q2298" s="88"/>
      <c r="R2298" s="78">
        <f>MAX(S2298:W2298)</f>
        <v>0</v>
      </c>
      <c r="S2298" s="88"/>
      <c r="T2298" s="88"/>
      <c r="U2298" s="88"/>
      <c r="V2298" s="88"/>
      <c r="W2298" s="88"/>
    </row>
    <row r="2299" spans="2:23" s="0" customFormat="0" ht="15">
      <c r="B2299" s="87" t="s">
        <v>1</v>
      </c>
      <c r="C2299" s="88" t="s">
        <v>5259</v>
      </c>
      <c r="D2299" s="88">
        <v>21046345</v>
      </c>
      <c r="E2299" s="88" t="s">
        <v>61</v>
      </c>
      <c r="F2299" s="88">
        <v>0</v>
      </c>
      <c r="G2299" s="78">
        <f>MAX(H2299,I2299,J2299)</f>
        <v>1</v>
      </c>
      <c r="H2299" s="88"/>
      <c r="I2299" s="88"/>
      <c r="J2299" s="78">
        <f>MAX(K2299:Q2299)</f>
        <v>1</v>
      </c>
      <c r="K2299" s="88">
        <v>1</v>
      </c>
      <c r="L2299" s="88"/>
      <c r="M2299" s="88"/>
      <c r="N2299" s="88"/>
      <c r="O2299" s="88"/>
      <c r="P2299" s="88"/>
      <c r="Q2299" s="88"/>
      <c r="R2299" s="78">
        <f>MAX(S2299:W2299)</f>
        <v>0</v>
      </c>
      <c r="S2299" s="88"/>
      <c r="T2299" s="88"/>
      <c r="U2299" s="88"/>
      <c r="V2299" s="88"/>
      <c r="W2299" s="88"/>
    </row>
    <row r="2300" spans="2:23" s="0" customFormat="0" ht="15">
      <c r="B2300" s="87" t="s">
        <v>1</v>
      </c>
      <c r="C2300" s="88" t="s">
        <v>5259</v>
      </c>
      <c r="D2300" s="88">
        <v>20579161</v>
      </c>
      <c r="E2300" s="88" t="s">
        <v>61</v>
      </c>
      <c r="F2300" s="88">
        <v>0</v>
      </c>
      <c r="G2300" s="78">
        <f>MAX(H2300,I2300,J2300)</f>
        <v>1</v>
      </c>
      <c r="H2300" s="88"/>
      <c r="I2300" s="88"/>
      <c r="J2300" s="78">
        <f>MAX(K2300:Q2300)</f>
        <v>1</v>
      </c>
      <c r="K2300" s="88">
        <v>1</v>
      </c>
      <c r="L2300" s="88"/>
      <c r="M2300" s="88"/>
      <c r="N2300" s="88"/>
      <c r="O2300" s="88"/>
      <c r="P2300" s="88"/>
      <c r="Q2300" s="88"/>
      <c r="R2300" s="78">
        <f>MAX(S2300:W2300)</f>
        <v>0</v>
      </c>
      <c r="S2300" s="88"/>
      <c r="T2300" s="88"/>
      <c r="U2300" s="88"/>
      <c r="V2300" s="88"/>
      <c r="W2300" s="88"/>
    </row>
    <row r="2301" spans="2:23" s="0" customFormat="0" ht="15">
      <c r="B2301" s="87" t="s">
        <v>1</v>
      </c>
      <c r="C2301" s="88" t="s">
        <v>5259</v>
      </c>
      <c r="D2301" s="88">
        <v>7065951</v>
      </c>
      <c r="E2301" s="88" t="s">
        <v>61</v>
      </c>
      <c r="F2301" s="88">
        <v>0</v>
      </c>
      <c r="G2301" s="78">
        <f>MAX(H2301,I2301,J2301)</f>
        <v>0</v>
      </c>
      <c r="H2301" s="88"/>
      <c r="I2301" s="88"/>
      <c r="J2301" s="78">
        <f>MAX(K2301:Q2301)</f>
        <v>0</v>
      </c>
      <c r="K2301" s="88"/>
      <c r="L2301" s="88"/>
      <c r="M2301" s="88"/>
      <c r="N2301" s="88"/>
      <c r="O2301" s="88"/>
      <c r="P2301" s="88"/>
      <c r="Q2301" s="88"/>
      <c r="R2301" s="78">
        <f>MAX(S2301:W2301)</f>
        <v>1</v>
      </c>
      <c r="S2301" s="88"/>
      <c r="T2301" s="88"/>
      <c r="U2301" s="88">
        <v>1</v>
      </c>
      <c r="V2301" s="88"/>
      <c r="W2301" s="88"/>
    </row>
    <row r="2302" spans="2:23" s="0" customFormat="0" ht="15">
      <c r="B2302" s="87" t="s">
        <v>1</v>
      </c>
      <c r="C2302" s="88" t="s">
        <v>5259</v>
      </c>
      <c r="D2302" s="88">
        <v>17798236</v>
      </c>
      <c r="E2302" s="88" t="s">
        <v>61</v>
      </c>
      <c r="F2302" s="88">
        <v>0</v>
      </c>
      <c r="G2302" s="78">
        <f>MAX(H2302,I2302,J2302)</f>
        <v>1</v>
      </c>
      <c r="H2302" s="88"/>
      <c r="I2302" s="88"/>
      <c r="J2302" s="78">
        <f>MAX(K2302:Q2302)</f>
        <v>1</v>
      </c>
      <c r="K2302" s="88">
        <v>1</v>
      </c>
      <c r="L2302" s="88"/>
      <c r="M2302" s="88"/>
      <c r="N2302" s="88"/>
      <c r="O2302" s="88"/>
      <c r="P2302" s="88"/>
      <c r="Q2302" s="88"/>
      <c r="R2302" s="78">
        <f>MAX(S2302:W2302)</f>
        <v>0</v>
      </c>
      <c r="S2302" s="88"/>
      <c r="T2302" s="88"/>
      <c r="U2302" s="88"/>
      <c r="V2302" s="88"/>
      <c r="W2302" s="88"/>
    </row>
    <row r="2303" spans="2:23" s="0" customFormat="0" ht="15">
      <c r="B2303" s="87" t="s">
        <v>1</v>
      </c>
      <c r="C2303" s="88" t="s">
        <v>5259</v>
      </c>
      <c r="D2303" s="88">
        <v>8543726</v>
      </c>
      <c r="E2303" s="88" t="s">
        <v>61</v>
      </c>
      <c r="F2303" s="88">
        <v>0</v>
      </c>
      <c r="G2303" s="78">
        <f>MAX(H2303,I2303,J2303)</f>
        <v>1</v>
      </c>
      <c r="H2303" s="88"/>
      <c r="I2303" s="88"/>
      <c r="J2303" s="78">
        <f>MAX(K2303:Q2303)</f>
        <v>1</v>
      </c>
      <c r="K2303" s="88">
        <v>1</v>
      </c>
      <c r="L2303" s="88"/>
      <c r="M2303" s="88"/>
      <c r="N2303" s="88"/>
      <c r="O2303" s="88"/>
      <c r="P2303" s="88"/>
      <c r="Q2303" s="88"/>
      <c r="R2303" s="78">
        <f>MAX(S2303:W2303)</f>
        <v>0</v>
      </c>
      <c r="S2303" s="88"/>
      <c r="T2303" s="88"/>
      <c r="U2303" s="88"/>
      <c r="V2303" s="88"/>
      <c r="W2303" s="88"/>
    </row>
    <row r="2304" spans="2:23" s="0" customFormat="0" ht="15">
      <c r="B2304" s="87" t="s">
        <v>1</v>
      </c>
      <c r="C2304" s="88" t="s">
        <v>5259</v>
      </c>
      <c r="D2304" s="88" t="s">
        <v>1493</v>
      </c>
      <c r="E2304" s="88" t="s">
        <v>61</v>
      </c>
      <c r="F2304" s="88">
        <v>0</v>
      </c>
      <c r="G2304" s="78">
        <f>MAX(H2304,I2304,J2304)</f>
        <v>1</v>
      </c>
      <c r="H2304" s="88"/>
      <c r="I2304" s="88"/>
      <c r="J2304" s="78">
        <f>MAX(K2304:Q2304)</f>
        <v>1</v>
      </c>
      <c r="K2304" s="88">
        <v>1</v>
      </c>
      <c r="L2304" s="88"/>
      <c r="M2304" s="88"/>
      <c r="N2304" s="88"/>
      <c r="O2304" s="88"/>
      <c r="P2304" s="88"/>
      <c r="Q2304" s="88"/>
      <c r="R2304" s="78">
        <f>MAX(S2304:W2304)</f>
        <v>0</v>
      </c>
      <c r="S2304" s="88"/>
      <c r="T2304" s="88"/>
      <c r="U2304" s="88"/>
      <c r="V2304" s="88"/>
      <c r="W2304" s="88"/>
    </row>
    <row r="2305" spans="2:23" s="0" customFormat="0" ht="15">
      <c r="B2305" s="87" t="s">
        <v>1</v>
      </c>
      <c r="C2305" s="88" t="s">
        <v>5259</v>
      </c>
      <c r="D2305" s="88" t="s">
        <v>4357</v>
      </c>
      <c r="E2305" s="88" t="s">
        <v>61</v>
      </c>
      <c r="F2305" s="88">
        <v>0</v>
      </c>
      <c r="G2305" s="78">
        <f>MAX(H2305,I2305,J2305)</f>
        <v>0</v>
      </c>
      <c r="H2305" s="88"/>
      <c r="I2305" s="88"/>
      <c r="J2305" s="78">
        <f>MAX(K2305:Q2305)</f>
        <v>0</v>
      </c>
      <c r="K2305" s="88"/>
      <c r="L2305" s="88"/>
      <c r="M2305" s="88"/>
      <c r="N2305" s="88"/>
      <c r="O2305" s="88"/>
      <c r="P2305" s="88"/>
      <c r="Q2305" s="88"/>
      <c r="R2305" s="78">
        <f>MAX(S2305:W2305)</f>
        <v>1</v>
      </c>
      <c r="S2305" s="88"/>
      <c r="T2305" s="88"/>
      <c r="U2305" s="88">
        <v>1</v>
      </c>
      <c r="V2305" s="88"/>
      <c r="W2305" s="88"/>
    </row>
    <row r="2306" spans="2:23" s="0" customFormat="0" ht="15">
      <c r="B2306" s="87" t="s">
        <v>1</v>
      </c>
      <c r="C2306" s="88" t="s">
        <v>5259</v>
      </c>
      <c r="D2306" s="88">
        <v>19005883</v>
      </c>
      <c r="E2306" s="88" t="s">
        <v>61</v>
      </c>
      <c r="F2306" s="88">
        <v>0</v>
      </c>
      <c r="G2306" s="78">
        <f>MAX(H2306,I2306,J2306)</f>
        <v>1</v>
      </c>
      <c r="H2306" s="88"/>
      <c r="I2306" s="88"/>
      <c r="J2306" s="78">
        <f>MAX(K2306:Q2306)</f>
        <v>1</v>
      </c>
      <c r="K2306" s="88">
        <v>1</v>
      </c>
      <c r="L2306" s="88"/>
      <c r="M2306" s="88"/>
      <c r="N2306" s="88"/>
      <c r="O2306" s="88"/>
      <c r="P2306" s="88"/>
      <c r="Q2306" s="88"/>
      <c r="R2306" s="78">
        <f>MAX(S2306:W2306)</f>
        <v>0</v>
      </c>
      <c r="S2306" s="88"/>
      <c r="T2306" s="88"/>
      <c r="U2306" s="88"/>
      <c r="V2306" s="88"/>
      <c r="W2306" s="88"/>
    </row>
    <row r="2307" spans="2:23" s="0" customFormat="0" ht="15">
      <c r="B2307" s="87" t="s">
        <v>1</v>
      </c>
      <c r="C2307" s="88" t="s">
        <v>5259</v>
      </c>
      <c r="D2307" s="88">
        <v>12557692</v>
      </c>
      <c r="E2307" s="88" t="s">
        <v>61</v>
      </c>
      <c r="F2307" s="88">
        <v>0</v>
      </c>
      <c r="G2307" s="78">
        <f>MAX(H2307,I2307,J2307)</f>
        <v>1</v>
      </c>
      <c r="H2307" s="88"/>
      <c r="I2307" s="88"/>
      <c r="J2307" s="78">
        <f>MAX(K2307:Q2307)</f>
        <v>1</v>
      </c>
      <c r="K2307" s="88">
        <v>1</v>
      </c>
      <c r="L2307" s="88"/>
      <c r="M2307" s="88"/>
      <c r="N2307" s="88"/>
      <c r="O2307" s="88"/>
      <c r="P2307" s="88"/>
      <c r="Q2307" s="88"/>
      <c r="R2307" s="78">
        <f>MAX(S2307:W2307)</f>
        <v>0</v>
      </c>
      <c r="S2307" s="88"/>
      <c r="T2307" s="88"/>
      <c r="U2307" s="88"/>
      <c r="V2307" s="88"/>
      <c r="W2307" s="88"/>
    </row>
    <row r="2308" spans="2:23" s="0" customFormat="0" ht="15">
      <c r="B2308" s="87" t="s">
        <v>1</v>
      </c>
      <c r="C2308" s="88" t="s">
        <v>5259</v>
      </c>
      <c r="D2308" s="88">
        <v>15887208</v>
      </c>
      <c r="E2308" s="88" t="s">
        <v>61</v>
      </c>
      <c r="F2308" s="88">
        <v>0</v>
      </c>
      <c r="G2308" s="78">
        <f>MAX(H2308,I2308,J2308)</f>
        <v>1</v>
      </c>
      <c r="H2308" s="88"/>
      <c r="I2308" s="88"/>
      <c r="J2308" s="78">
        <f>MAX(K2308:Q2308)</f>
        <v>1</v>
      </c>
      <c r="K2308" s="88">
        <v>1</v>
      </c>
      <c r="L2308" s="88"/>
      <c r="M2308" s="88"/>
      <c r="N2308" s="88"/>
      <c r="O2308" s="88"/>
      <c r="P2308" s="88"/>
      <c r="Q2308" s="88"/>
      <c r="R2308" s="78">
        <f>MAX(S2308:W2308)</f>
        <v>0</v>
      </c>
      <c r="S2308" s="88"/>
      <c r="T2308" s="88"/>
      <c r="U2308" s="88"/>
      <c r="V2308" s="88"/>
      <c r="W2308" s="88"/>
    </row>
    <row r="2309" spans="2:23" s="0" customFormat="0" ht="15">
      <c r="B2309" s="87" t="s">
        <v>1</v>
      </c>
      <c r="C2309" s="88" t="s">
        <v>5259</v>
      </c>
      <c r="D2309" s="88" t="s">
        <v>3438</v>
      </c>
      <c r="E2309" s="88" t="s">
        <v>61</v>
      </c>
      <c r="F2309" s="88">
        <v>0</v>
      </c>
      <c r="G2309" s="78">
        <f>MAX(H2309,I2309,J2309)</f>
        <v>0</v>
      </c>
      <c r="H2309" s="88"/>
      <c r="I2309" s="88"/>
      <c r="J2309" s="78">
        <f>MAX(K2309:Q2309)</f>
        <v>0</v>
      </c>
      <c r="K2309" s="88"/>
      <c r="L2309" s="88"/>
      <c r="M2309" s="88"/>
      <c r="N2309" s="88"/>
      <c r="O2309" s="88"/>
      <c r="P2309" s="88"/>
      <c r="Q2309" s="88"/>
      <c r="R2309" s="78">
        <f>MAX(S2309:W2309)</f>
        <v>1</v>
      </c>
      <c r="S2309" s="88"/>
      <c r="T2309" s="88"/>
      <c r="U2309" s="88">
        <v>1</v>
      </c>
      <c r="V2309" s="88"/>
      <c r="W2309" s="88"/>
    </row>
    <row r="2310" spans="2:23" s="0" customFormat="0" ht="15">
      <c r="B2310" s="87" t="s">
        <v>1</v>
      </c>
      <c r="C2310" s="88" t="s">
        <v>5259</v>
      </c>
      <c r="D2310" s="88" t="s">
        <v>1181</v>
      </c>
      <c r="E2310" s="88" t="s">
        <v>61</v>
      </c>
      <c r="F2310" s="88">
        <v>0</v>
      </c>
      <c r="G2310" s="78">
        <f>MAX(H2310,I2310,J2310)</f>
        <v>1</v>
      </c>
      <c r="H2310" s="88"/>
      <c r="I2310" s="88"/>
      <c r="J2310" s="78">
        <f>MAX(K2310:Q2310)</f>
        <v>1</v>
      </c>
      <c r="K2310" s="88">
        <v>1</v>
      </c>
      <c r="L2310" s="88"/>
      <c r="M2310" s="88"/>
      <c r="N2310" s="88"/>
      <c r="O2310" s="88"/>
      <c r="P2310" s="88"/>
      <c r="Q2310" s="88"/>
      <c r="R2310" s="78">
        <f>MAX(S2310:W2310)</f>
        <v>0</v>
      </c>
      <c r="S2310" s="88"/>
      <c r="T2310" s="88"/>
      <c r="U2310" s="88"/>
      <c r="V2310" s="88"/>
      <c r="W2310" s="88"/>
    </row>
    <row r="2311" spans="2:23" s="0" customFormat="0" ht="15">
      <c r="B2311" s="87" t="s">
        <v>1</v>
      </c>
      <c r="C2311" s="88" t="s">
        <v>5259</v>
      </c>
      <c r="D2311" s="88" t="s">
        <v>779</v>
      </c>
      <c r="E2311" s="88" t="s">
        <v>61</v>
      </c>
      <c r="F2311" s="88">
        <v>0</v>
      </c>
      <c r="G2311" s="78">
        <f>MAX(H2311,I2311,J2311)</f>
        <v>1</v>
      </c>
      <c r="H2311" s="88"/>
      <c r="I2311" s="88"/>
      <c r="J2311" s="78">
        <f>MAX(K2311:Q2311)</f>
        <v>1</v>
      </c>
      <c r="K2311" s="88">
        <v>1</v>
      </c>
      <c r="L2311" s="88"/>
      <c r="M2311" s="88"/>
      <c r="N2311" s="88"/>
      <c r="O2311" s="88"/>
      <c r="P2311" s="88"/>
      <c r="Q2311" s="88"/>
      <c r="R2311" s="78">
        <f>MAX(S2311:W2311)</f>
        <v>0</v>
      </c>
      <c r="S2311" s="88"/>
      <c r="T2311" s="88"/>
      <c r="U2311" s="88"/>
      <c r="V2311" s="88"/>
      <c r="W2311" s="88"/>
    </row>
    <row r="2312" spans="2:23" s="0" customFormat="0" ht="15">
      <c r="B2312" s="87" t="s">
        <v>1</v>
      </c>
      <c r="C2312" s="88" t="s">
        <v>5259</v>
      </c>
      <c r="D2312" s="88" t="s">
        <v>3658</v>
      </c>
      <c r="E2312" s="88" t="s">
        <v>61</v>
      </c>
      <c r="F2312" s="88">
        <v>0</v>
      </c>
      <c r="G2312" s="78">
        <f>MAX(H2312,I2312,J2312)</f>
        <v>0</v>
      </c>
      <c r="H2312" s="88"/>
      <c r="I2312" s="88"/>
      <c r="J2312" s="78">
        <f>MAX(K2312:Q2312)</f>
        <v>0</v>
      </c>
      <c r="K2312" s="88"/>
      <c r="L2312" s="88"/>
      <c r="M2312" s="88"/>
      <c r="N2312" s="88"/>
      <c r="O2312" s="88"/>
      <c r="P2312" s="88"/>
      <c r="Q2312" s="88"/>
      <c r="R2312" s="78">
        <f>MAX(S2312:W2312)</f>
        <v>1</v>
      </c>
      <c r="S2312" s="88"/>
      <c r="T2312" s="88"/>
      <c r="U2312" s="88">
        <v>1</v>
      </c>
      <c r="V2312" s="88"/>
      <c r="W2312" s="88"/>
    </row>
    <row r="2313" spans="2:23" s="0" customFormat="0" ht="15">
      <c r="B2313" s="87" t="s">
        <v>1</v>
      </c>
      <c r="C2313" s="88" t="s">
        <v>5259</v>
      </c>
      <c r="D2313" s="88">
        <v>2251474</v>
      </c>
      <c r="E2313" s="88" t="s">
        <v>61</v>
      </c>
      <c r="F2313" s="88">
        <v>0</v>
      </c>
      <c r="G2313" s="78">
        <f>MAX(H2313,I2313,J2313)</f>
        <v>1</v>
      </c>
      <c r="H2313" s="88"/>
      <c r="I2313" s="88"/>
      <c r="J2313" s="78">
        <f>MAX(K2313:Q2313)</f>
        <v>1</v>
      </c>
      <c r="K2313" s="88">
        <v>1</v>
      </c>
      <c r="L2313" s="88"/>
      <c r="M2313" s="88"/>
      <c r="N2313" s="88"/>
      <c r="O2313" s="88"/>
      <c r="P2313" s="88"/>
      <c r="Q2313" s="88"/>
      <c r="R2313" s="78">
        <f>MAX(S2313:W2313)</f>
        <v>0</v>
      </c>
      <c r="S2313" s="88"/>
      <c r="T2313" s="88"/>
      <c r="U2313" s="88"/>
      <c r="V2313" s="88"/>
      <c r="W2313" s="88"/>
    </row>
    <row r="2314" spans="2:23" s="0" customFormat="0" ht="15">
      <c r="B2314" s="87" t="s">
        <v>1</v>
      </c>
      <c r="C2314" s="88" t="s">
        <v>5259</v>
      </c>
      <c r="D2314" s="88" t="s">
        <v>4359</v>
      </c>
      <c r="E2314" s="88" t="s">
        <v>61</v>
      </c>
      <c r="F2314" s="88">
        <v>0</v>
      </c>
      <c r="G2314" s="78">
        <f>MAX(H2314,I2314,J2314)</f>
        <v>0</v>
      </c>
      <c r="H2314" s="88"/>
      <c r="I2314" s="88"/>
      <c r="J2314" s="78">
        <f>MAX(K2314:Q2314)</f>
        <v>0</v>
      </c>
      <c r="K2314" s="88"/>
      <c r="L2314" s="88"/>
      <c r="M2314" s="88"/>
      <c r="N2314" s="88"/>
      <c r="O2314" s="88"/>
      <c r="P2314" s="88"/>
      <c r="Q2314" s="88"/>
      <c r="R2314" s="78">
        <f>MAX(S2314:W2314)</f>
        <v>1</v>
      </c>
      <c r="S2314" s="88"/>
      <c r="T2314" s="88"/>
      <c r="U2314" s="88">
        <v>1</v>
      </c>
      <c r="V2314" s="88"/>
      <c r="W2314" s="88"/>
    </row>
    <row r="2315" spans="2:23" s="0" customFormat="0" ht="15">
      <c r="B2315" s="87" t="s">
        <v>1</v>
      </c>
      <c r="C2315" s="88" t="s">
        <v>5259</v>
      </c>
      <c r="D2315" s="88">
        <v>17807209</v>
      </c>
      <c r="E2315" s="88" t="s">
        <v>61</v>
      </c>
      <c r="F2315" s="88">
        <v>0</v>
      </c>
      <c r="G2315" s="78">
        <f>MAX(H2315,I2315,J2315)</f>
        <v>1</v>
      </c>
      <c r="H2315" s="88"/>
      <c r="I2315" s="88"/>
      <c r="J2315" s="78">
        <f>MAX(K2315:Q2315)</f>
        <v>1</v>
      </c>
      <c r="K2315" s="88">
        <v>1</v>
      </c>
      <c r="L2315" s="88"/>
      <c r="M2315" s="88"/>
      <c r="N2315" s="88"/>
      <c r="O2315" s="88"/>
      <c r="P2315" s="88"/>
      <c r="Q2315" s="88"/>
      <c r="R2315" s="78">
        <f>MAX(S2315:W2315)</f>
        <v>0</v>
      </c>
      <c r="S2315" s="88"/>
      <c r="T2315" s="88"/>
      <c r="U2315" s="88"/>
      <c r="V2315" s="88"/>
      <c r="W2315" s="88"/>
    </row>
    <row r="2316" spans="2:23" s="0" customFormat="0" ht="15">
      <c r="B2316" s="87" t="s">
        <v>1</v>
      </c>
      <c r="C2316" s="88" t="s">
        <v>5259</v>
      </c>
      <c r="D2316" s="88">
        <v>18156063</v>
      </c>
      <c r="E2316" s="88" t="s">
        <v>61</v>
      </c>
      <c r="F2316" s="88">
        <v>0</v>
      </c>
      <c r="G2316" s="78">
        <f>MAX(H2316,I2316,J2316)</f>
        <v>1</v>
      </c>
      <c r="H2316" s="88"/>
      <c r="I2316" s="88"/>
      <c r="J2316" s="78">
        <f>MAX(K2316:Q2316)</f>
        <v>1</v>
      </c>
      <c r="K2316" s="88">
        <v>1</v>
      </c>
      <c r="L2316" s="88"/>
      <c r="M2316" s="88"/>
      <c r="N2316" s="88"/>
      <c r="O2316" s="88"/>
      <c r="P2316" s="88"/>
      <c r="Q2316" s="88"/>
      <c r="R2316" s="78">
        <f>MAX(S2316:W2316)</f>
        <v>0</v>
      </c>
      <c r="S2316" s="88"/>
      <c r="T2316" s="88"/>
      <c r="U2316" s="88"/>
      <c r="V2316" s="88"/>
      <c r="W2316" s="88"/>
    </row>
    <row r="2317" spans="2:23" s="0" customFormat="0" ht="15">
      <c r="B2317" s="87" t="s">
        <v>1</v>
      </c>
      <c r="C2317" s="88" t="s">
        <v>5259</v>
      </c>
      <c r="D2317" s="88">
        <v>6088170</v>
      </c>
      <c r="E2317" s="88" t="s">
        <v>61</v>
      </c>
      <c r="F2317" s="88">
        <v>0</v>
      </c>
      <c r="G2317" s="78">
        <f>MAX(H2317,I2317,J2317)</f>
        <v>1</v>
      </c>
      <c r="H2317" s="88"/>
      <c r="I2317" s="88"/>
      <c r="J2317" s="78">
        <f>MAX(K2317:Q2317)</f>
        <v>1</v>
      </c>
      <c r="K2317" s="88">
        <v>1</v>
      </c>
      <c r="L2317" s="88"/>
      <c r="M2317" s="88"/>
      <c r="N2317" s="88"/>
      <c r="O2317" s="88"/>
      <c r="P2317" s="88"/>
      <c r="Q2317" s="88"/>
      <c r="R2317" s="78">
        <f>MAX(S2317:W2317)</f>
        <v>0</v>
      </c>
      <c r="S2317" s="88"/>
      <c r="T2317" s="88"/>
      <c r="U2317" s="88"/>
      <c r="V2317" s="88"/>
      <c r="W2317" s="88"/>
    </row>
    <row r="2318" spans="2:23" s="0" customFormat="0" ht="15">
      <c r="B2318" s="87" t="s">
        <v>1</v>
      </c>
      <c r="C2318" s="88" t="s">
        <v>5259</v>
      </c>
      <c r="D2318" s="88">
        <v>6156877</v>
      </c>
      <c r="E2318" s="88" t="s">
        <v>61</v>
      </c>
      <c r="F2318" s="88">
        <v>0</v>
      </c>
      <c r="G2318" s="78">
        <f>MAX(H2318,I2318,J2318)</f>
        <v>0</v>
      </c>
      <c r="H2318" s="88"/>
      <c r="I2318" s="88"/>
      <c r="J2318" s="78">
        <f>MAX(K2318:Q2318)</f>
        <v>0</v>
      </c>
      <c r="K2318" s="88"/>
      <c r="L2318" s="88"/>
      <c r="M2318" s="88"/>
      <c r="N2318" s="88"/>
      <c r="O2318" s="88"/>
      <c r="P2318" s="88"/>
      <c r="Q2318" s="88"/>
      <c r="R2318" s="78">
        <f>MAX(S2318:W2318)</f>
        <v>1</v>
      </c>
      <c r="S2318" s="88"/>
      <c r="T2318" s="88"/>
      <c r="U2318" s="88">
        <v>1</v>
      </c>
      <c r="V2318" s="88"/>
      <c r="W2318" s="88"/>
    </row>
    <row r="2319" spans="2:23" s="0" customFormat="0" ht="15">
      <c r="B2319" s="87" t="s">
        <v>1</v>
      </c>
      <c r="C2319" s="88" t="s">
        <v>5259</v>
      </c>
      <c r="D2319" s="88">
        <v>20622079</v>
      </c>
      <c r="E2319" s="88" t="s">
        <v>61</v>
      </c>
      <c r="F2319" s="88">
        <v>0</v>
      </c>
      <c r="G2319" s="78">
        <f>MAX(H2319,I2319,J2319)</f>
        <v>1</v>
      </c>
      <c r="H2319" s="88"/>
      <c r="I2319" s="88"/>
      <c r="J2319" s="78">
        <f>MAX(K2319:Q2319)</f>
        <v>1</v>
      </c>
      <c r="K2319" s="88">
        <v>1</v>
      </c>
      <c r="L2319" s="88"/>
      <c r="M2319" s="88"/>
      <c r="N2319" s="88"/>
      <c r="O2319" s="88"/>
      <c r="P2319" s="88"/>
      <c r="Q2319" s="88"/>
      <c r="R2319" s="78">
        <f>MAX(S2319:W2319)</f>
        <v>0</v>
      </c>
      <c r="S2319" s="88"/>
      <c r="T2319" s="88"/>
      <c r="U2319" s="88"/>
      <c r="V2319" s="88"/>
      <c r="W2319" s="88"/>
    </row>
    <row r="2320" spans="2:23" s="0" customFormat="0" ht="15">
      <c r="B2320" s="87" t="s">
        <v>1</v>
      </c>
      <c r="C2320" s="88" t="s">
        <v>5259</v>
      </c>
      <c r="D2320" s="88" t="s">
        <v>1694</v>
      </c>
      <c r="E2320" s="88" t="s">
        <v>61</v>
      </c>
      <c r="F2320" s="88">
        <v>0</v>
      </c>
      <c r="G2320" s="78">
        <f>MAX(H2320,I2320,J2320)</f>
        <v>1</v>
      </c>
      <c r="H2320" s="88"/>
      <c r="I2320" s="88"/>
      <c r="J2320" s="78">
        <f>MAX(K2320:Q2320)</f>
        <v>1</v>
      </c>
      <c r="K2320" s="88">
        <v>1</v>
      </c>
      <c r="L2320" s="88"/>
      <c r="M2320" s="88"/>
      <c r="N2320" s="88"/>
      <c r="O2320" s="88"/>
      <c r="P2320" s="88"/>
      <c r="Q2320" s="88"/>
      <c r="R2320" s="78">
        <f>MAX(S2320:W2320)</f>
        <v>0</v>
      </c>
      <c r="S2320" s="88"/>
      <c r="T2320" s="88"/>
      <c r="U2320" s="88"/>
      <c r="V2320" s="88"/>
      <c r="W2320" s="88"/>
    </row>
    <row r="2321" spans="2:23" s="0" customFormat="0" ht="15">
      <c r="B2321" s="87" t="s">
        <v>1</v>
      </c>
      <c r="C2321" s="88" t="s">
        <v>5259</v>
      </c>
      <c r="D2321" s="88">
        <v>4992301</v>
      </c>
      <c r="E2321" s="88" t="s">
        <v>61</v>
      </c>
      <c r="F2321" s="88">
        <v>0</v>
      </c>
      <c r="G2321" s="78">
        <f>MAX(H2321,I2321,J2321)</f>
        <v>1</v>
      </c>
      <c r="H2321" s="88"/>
      <c r="I2321" s="88"/>
      <c r="J2321" s="78">
        <f>MAX(K2321:Q2321)</f>
        <v>1</v>
      </c>
      <c r="K2321" s="88">
        <v>1</v>
      </c>
      <c r="L2321" s="88"/>
      <c r="M2321" s="88"/>
      <c r="N2321" s="88"/>
      <c r="O2321" s="88"/>
      <c r="P2321" s="88"/>
      <c r="Q2321" s="88"/>
      <c r="R2321" s="78">
        <f>MAX(S2321:W2321)</f>
        <v>0</v>
      </c>
      <c r="S2321" s="88"/>
      <c r="T2321" s="88"/>
      <c r="U2321" s="88"/>
      <c r="V2321" s="88"/>
      <c r="W2321" s="88"/>
    </row>
    <row r="2322" spans="2:23" s="0" customFormat="0" ht="15">
      <c r="B2322" s="87" t="s">
        <v>1</v>
      </c>
      <c r="C2322" s="88" t="s">
        <v>5259</v>
      </c>
      <c r="D2322" s="88">
        <v>14832156</v>
      </c>
      <c r="E2322" s="88" t="s">
        <v>61</v>
      </c>
      <c r="F2322" s="88">
        <v>0</v>
      </c>
      <c r="G2322" s="78">
        <f>MAX(H2322,I2322,J2322)</f>
        <v>1</v>
      </c>
      <c r="H2322" s="88"/>
      <c r="I2322" s="88"/>
      <c r="J2322" s="78">
        <f>MAX(K2322:Q2322)</f>
        <v>1</v>
      </c>
      <c r="K2322" s="88">
        <v>1</v>
      </c>
      <c r="L2322" s="88"/>
      <c r="M2322" s="88"/>
      <c r="N2322" s="88"/>
      <c r="O2322" s="88"/>
      <c r="P2322" s="88"/>
      <c r="Q2322" s="88"/>
      <c r="R2322" s="78">
        <f>MAX(S2322:W2322)</f>
        <v>0</v>
      </c>
      <c r="S2322" s="88"/>
      <c r="T2322" s="88"/>
      <c r="U2322" s="88"/>
      <c r="V2322" s="88"/>
      <c r="W2322" s="88"/>
    </row>
    <row r="2323" spans="2:23" s="0" customFormat="0" ht="15">
      <c r="B2323" s="87" t="s">
        <v>1</v>
      </c>
      <c r="C2323" s="88" t="s">
        <v>5259</v>
      </c>
      <c r="D2323" s="88" t="s">
        <v>1157</v>
      </c>
      <c r="E2323" s="88" t="s">
        <v>61</v>
      </c>
      <c r="F2323" s="88">
        <v>0</v>
      </c>
      <c r="G2323" s="78">
        <f>MAX(H2323,I2323,J2323)</f>
        <v>1</v>
      </c>
      <c r="H2323" s="88"/>
      <c r="I2323" s="88"/>
      <c r="J2323" s="78">
        <f>MAX(K2323:Q2323)</f>
        <v>1</v>
      </c>
      <c r="K2323" s="88">
        <v>1</v>
      </c>
      <c r="L2323" s="88"/>
      <c r="M2323" s="88"/>
      <c r="N2323" s="88"/>
      <c r="O2323" s="88"/>
      <c r="P2323" s="88"/>
      <c r="Q2323" s="88"/>
      <c r="R2323" s="78">
        <f>MAX(S2323:W2323)</f>
        <v>0</v>
      </c>
      <c r="S2323" s="88"/>
      <c r="T2323" s="88"/>
      <c r="U2323" s="88"/>
      <c r="V2323" s="88"/>
      <c r="W2323" s="88"/>
    </row>
    <row r="2324" spans="2:23" s="0" customFormat="0" ht="15">
      <c r="B2324" s="87" t="s">
        <v>1</v>
      </c>
      <c r="C2324" s="88" t="s">
        <v>5259</v>
      </c>
      <c r="D2324" s="88">
        <v>23510510</v>
      </c>
      <c r="E2324" s="88" t="s">
        <v>61</v>
      </c>
      <c r="F2324" s="88">
        <v>0</v>
      </c>
      <c r="G2324" s="78">
        <f>MAX(H2324,I2324,J2324)</f>
        <v>1</v>
      </c>
      <c r="H2324" s="88"/>
      <c r="I2324" s="88"/>
      <c r="J2324" s="78">
        <f>MAX(K2324:Q2324)</f>
        <v>1</v>
      </c>
      <c r="K2324" s="88">
        <v>1</v>
      </c>
      <c r="L2324" s="88"/>
      <c r="M2324" s="88"/>
      <c r="N2324" s="88"/>
      <c r="O2324" s="88"/>
      <c r="P2324" s="88"/>
      <c r="Q2324" s="88"/>
      <c r="R2324" s="78">
        <f>MAX(S2324:W2324)</f>
        <v>0</v>
      </c>
      <c r="S2324" s="88"/>
      <c r="T2324" s="88"/>
      <c r="U2324" s="88"/>
      <c r="V2324" s="88"/>
      <c r="W2324" s="88"/>
    </row>
    <row r="2325" spans="2:23" s="0" customFormat="0" ht="15">
      <c r="B2325" s="87" t="s">
        <v>1</v>
      </c>
      <c r="C2325" s="88" t="s">
        <v>5259</v>
      </c>
      <c r="D2325" s="88">
        <v>22063603</v>
      </c>
      <c r="E2325" s="88" t="s">
        <v>61</v>
      </c>
      <c r="F2325" s="88">
        <v>0</v>
      </c>
      <c r="G2325" s="78">
        <f>MAX(H2325,I2325,J2325)</f>
        <v>1</v>
      </c>
      <c r="H2325" s="88"/>
      <c r="I2325" s="88"/>
      <c r="J2325" s="78">
        <f>MAX(K2325:Q2325)</f>
        <v>1</v>
      </c>
      <c r="K2325" s="88">
        <v>1</v>
      </c>
      <c r="L2325" s="88"/>
      <c r="M2325" s="88"/>
      <c r="N2325" s="88"/>
      <c r="O2325" s="88"/>
      <c r="P2325" s="88"/>
      <c r="Q2325" s="88"/>
      <c r="R2325" s="78">
        <f>MAX(S2325:W2325)</f>
        <v>0</v>
      </c>
      <c r="S2325" s="88"/>
      <c r="T2325" s="88"/>
      <c r="U2325" s="88"/>
      <c r="V2325" s="88"/>
      <c r="W2325" s="88"/>
    </row>
    <row r="2326" spans="2:23" s="0" customFormat="0" ht="15">
      <c r="B2326" s="87" t="s">
        <v>1</v>
      </c>
      <c r="C2326" s="88" t="s">
        <v>5259</v>
      </c>
      <c r="D2326" s="88" t="s">
        <v>1699</v>
      </c>
      <c r="E2326" s="88" t="s">
        <v>61</v>
      </c>
      <c r="F2326" s="88">
        <v>0</v>
      </c>
      <c r="G2326" s="78">
        <f>MAX(H2326,I2326,J2326)</f>
        <v>1</v>
      </c>
      <c r="H2326" s="88"/>
      <c r="I2326" s="88"/>
      <c r="J2326" s="78">
        <f>MAX(K2326:Q2326)</f>
        <v>1</v>
      </c>
      <c r="K2326" s="88">
        <v>1</v>
      </c>
      <c r="L2326" s="88"/>
      <c r="M2326" s="88"/>
      <c r="N2326" s="88"/>
      <c r="O2326" s="88"/>
      <c r="P2326" s="88"/>
      <c r="Q2326" s="88"/>
      <c r="R2326" s="78">
        <f>MAX(S2326:W2326)</f>
        <v>0</v>
      </c>
      <c r="S2326" s="88"/>
      <c r="T2326" s="88"/>
      <c r="U2326" s="88"/>
      <c r="V2326" s="88"/>
      <c r="W2326" s="88"/>
    </row>
    <row r="2327" spans="2:23" s="0" customFormat="0" ht="15">
      <c r="B2327" s="87" t="s">
        <v>1</v>
      </c>
      <c r="C2327" s="88" t="s">
        <v>5259</v>
      </c>
      <c r="D2327" s="88">
        <v>3260336</v>
      </c>
      <c r="E2327" s="88" t="s">
        <v>61</v>
      </c>
      <c r="F2327" s="88">
        <v>0</v>
      </c>
      <c r="G2327" s="78">
        <f>MAX(H2327,I2327,J2327)</f>
        <v>1</v>
      </c>
      <c r="H2327" s="88"/>
      <c r="I2327" s="88"/>
      <c r="J2327" s="78">
        <f>MAX(K2327:Q2327)</f>
        <v>1</v>
      </c>
      <c r="K2327" s="88">
        <v>1</v>
      </c>
      <c r="L2327" s="88"/>
      <c r="M2327" s="88"/>
      <c r="N2327" s="88"/>
      <c r="O2327" s="88"/>
      <c r="P2327" s="88"/>
      <c r="Q2327" s="88"/>
      <c r="R2327" s="78">
        <f>MAX(S2327:W2327)</f>
        <v>0</v>
      </c>
      <c r="S2327" s="88"/>
      <c r="T2327" s="88"/>
      <c r="U2327" s="88"/>
      <c r="V2327" s="88"/>
      <c r="W2327" s="88"/>
    </row>
    <row r="2328" spans="2:23" s="0" customFormat="0" ht="15">
      <c r="B2328" s="87" t="s">
        <v>1</v>
      </c>
      <c r="C2328" s="88" t="s">
        <v>5259</v>
      </c>
      <c r="D2328" s="88">
        <v>19834226</v>
      </c>
      <c r="E2328" s="88" t="s">
        <v>61</v>
      </c>
      <c r="F2328" s="88">
        <v>0</v>
      </c>
      <c r="G2328" s="78">
        <f>MAX(H2328,I2328,J2328)</f>
        <v>1</v>
      </c>
      <c r="H2328" s="88"/>
      <c r="I2328" s="88"/>
      <c r="J2328" s="78">
        <f>MAX(K2328:Q2328)</f>
        <v>1</v>
      </c>
      <c r="K2328" s="88">
        <v>1</v>
      </c>
      <c r="L2328" s="88"/>
      <c r="M2328" s="88"/>
      <c r="N2328" s="88"/>
      <c r="O2328" s="88"/>
      <c r="P2328" s="88"/>
      <c r="Q2328" s="88"/>
      <c r="R2328" s="78">
        <f>MAX(S2328:W2328)</f>
        <v>0</v>
      </c>
      <c r="S2328" s="88"/>
      <c r="T2328" s="88"/>
      <c r="U2328" s="88"/>
      <c r="V2328" s="88"/>
      <c r="W2328" s="88"/>
    </row>
    <row r="2329" spans="2:23" s="0" customFormat="0" ht="15">
      <c r="B2329" s="87" t="s">
        <v>1</v>
      </c>
      <c r="C2329" s="88" t="s">
        <v>5259</v>
      </c>
      <c r="D2329" s="88">
        <v>21738090</v>
      </c>
      <c r="E2329" s="88" t="s">
        <v>61</v>
      </c>
      <c r="F2329" s="88">
        <v>0</v>
      </c>
      <c r="G2329" s="78">
        <f>MAX(H2329,I2329,J2329)</f>
        <v>1</v>
      </c>
      <c r="H2329" s="88"/>
      <c r="I2329" s="88"/>
      <c r="J2329" s="78">
        <f>MAX(K2329:Q2329)</f>
        <v>1</v>
      </c>
      <c r="K2329" s="88">
        <v>1</v>
      </c>
      <c r="L2329" s="88"/>
      <c r="M2329" s="88"/>
      <c r="N2329" s="88"/>
      <c r="O2329" s="88"/>
      <c r="P2329" s="88"/>
      <c r="Q2329" s="88"/>
      <c r="R2329" s="78">
        <f>MAX(S2329:W2329)</f>
        <v>0</v>
      </c>
      <c r="S2329" s="88"/>
      <c r="T2329" s="88"/>
      <c r="U2329" s="88"/>
      <c r="V2329" s="88"/>
      <c r="W2329" s="88"/>
    </row>
    <row r="2330" spans="2:23" s="0" customFormat="0" ht="15">
      <c r="B2330" s="87" t="s">
        <v>1</v>
      </c>
      <c r="C2330" s="88" t="s">
        <v>5259</v>
      </c>
      <c r="D2330" s="88">
        <v>3613168</v>
      </c>
      <c r="E2330" s="88" t="s">
        <v>61</v>
      </c>
      <c r="F2330" s="88">
        <v>0</v>
      </c>
      <c r="G2330" s="78">
        <f>MAX(H2330,I2330,J2330)</f>
        <v>1</v>
      </c>
      <c r="H2330" s="88"/>
      <c r="I2330" s="88"/>
      <c r="J2330" s="78">
        <f>MAX(K2330:Q2330)</f>
        <v>1</v>
      </c>
      <c r="K2330" s="88">
        <v>1</v>
      </c>
      <c r="L2330" s="88"/>
      <c r="M2330" s="88"/>
      <c r="N2330" s="88"/>
      <c r="O2330" s="88"/>
      <c r="P2330" s="88"/>
      <c r="Q2330" s="88"/>
      <c r="R2330" s="78">
        <f>MAX(S2330:W2330)</f>
        <v>0</v>
      </c>
      <c r="S2330" s="88"/>
      <c r="T2330" s="88"/>
      <c r="U2330" s="88"/>
      <c r="V2330" s="88"/>
      <c r="W2330" s="88"/>
    </row>
    <row r="2331" spans="2:23" s="0" customFormat="0" ht="15">
      <c r="B2331" s="87" t="s">
        <v>1</v>
      </c>
      <c r="C2331" s="88" t="s">
        <v>5259</v>
      </c>
      <c r="D2331" s="88" t="s">
        <v>3582</v>
      </c>
      <c r="E2331" s="88" t="s">
        <v>61</v>
      </c>
      <c r="F2331" s="88">
        <v>0</v>
      </c>
      <c r="G2331" s="78">
        <f>MAX(H2331,I2331,J2331)</f>
        <v>0</v>
      </c>
      <c r="H2331" s="88"/>
      <c r="I2331" s="88"/>
      <c r="J2331" s="78">
        <f>MAX(K2331:Q2331)</f>
        <v>0</v>
      </c>
      <c r="K2331" s="88"/>
      <c r="L2331" s="88"/>
      <c r="M2331" s="88"/>
      <c r="N2331" s="88"/>
      <c r="O2331" s="88"/>
      <c r="P2331" s="88"/>
      <c r="Q2331" s="88"/>
      <c r="R2331" s="78">
        <f>MAX(S2331:W2331)</f>
        <v>1</v>
      </c>
      <c r="S2331" s="88"/>
      <c r="T2331" s="88"/>
      <c r="U2331" s="88">
        <v>1</v>
      </c>
      <c r="V2331" s="88"/>
      <c r="W2331" s="88"/>
    </row>
    <row r="2332" spans="2:23" s="0" customFormat="0" ht="15">
      <c r="B2332" s="87" t="s">
        <v>1</v>
      </c>
      <c r="C2332" s="88" t="s">
        <v>5259</v>
      </c>
      <c r="D2332" s="88">
        <v>19074346</v>
      </c>
      <c r="E2332" s="88" t="s">
        <v>61</v>
      </c>
      <c r="F2332" s="88">
        <v>0</v>
      </c>
      <c r="G2332" s="78">
        <f>MAX(H2332,I2332,J2332)</f>
        <v>1</v>
      </c>
      <c r="H2332" s="88"/>
      <c r="I2332" s="88"/>
      <c r="J2332" s="78">
        <f>MAX(K2332:Q2332)</f>
        <v>1</v>
      </c>
      <c r="K2332" s="88">
        <v>1</v>
      </c>
      <c r="L2332" s="88"/>
      <c r="M2332" s="88"/>
      <c r="N2332" s="88"/>
      <c r="O2332" s="88"/>
      <c r="P2332" s="88"/>
      <c r="Q2332" s="88"/>
      <c r="R2332" s="78">
        <f>MAX(S2332:W2332)</f>
        <v>0</v>
      </c>
      <c r="S2332" s="88"/>
      <c r="T2332" s="88"/>
      <c r="U2332" s="88"/>
      <c r="V2332" s="88"/>
      <c r="W2332" s="88"/>
    </row>
    <row r="2333" spans="2:23" s="0" customFormat="0" ht="15">
      <c r="B2333" s="87" t="s">
        <v>1</v>
      </c>
      <c r="C2333" s="88" t="s">
        <v>5259</v>
      </c>
      <c r="D2333" s="88" t="s">
        <v>4070</v>
      </c>
      <c r="E2333" s="88" t="s">
        <v>61</v>
      </c>
      <c r="F2333" s="88">
        <v>0</v>
      </c>
      <c r="G2333" s="78">
        <f>MAX(H2333,I2333,J2333)</f>
        <v>0</v>
      </c>
      <c r="H2333" s="88"/>
      <c r="I2333" s="88"/>
      <c r="J2333" s="78">
        <f>MAX(K2333:Q2333)</f>
        <v>0</v>
      </c>
      <c r="K2333" s="88"/>
      <c r="L2333" s="88"/>
      <c r="M2333" s="88"/>
      <c r="N2333" s="88"/>
      <c r="O2333" s="88"/>
      <c r="P2333" s="88"/>
      <c r="Q2333" s="88"/>
      <c r="R2333" s="78">
        <f>MAX(S2333:W2333)</f>
        <v>1</v>
      </c>
      <c r="S2333" s="88"/>
      <c r="T2333" s="88"/>
      <c r="U2333" s="88">
        <v>1</v>
      </c>
      <c r="V2333" s="88"/>
      <c r="W2333" s="88"/>
    </row>
    <row r="2334" spans="2:23" s="0" customFormat="0" ht="15">
      <c r="B2334" s="87" t="s">
        <v>1</v>
      </c>
      <c r="C2334" s="88" t="s">
        <v>5259</v>
      </c>
      <c r="D2334" s="88">
        <v>12830227</v>
      </c>
      <c r="E2334" s="88" t="s">
        <v>61</v>
      </c>
      <c r="F2334" s="88">
        <v>0</v>
      </c>
      <c r="G2334" s="78">
        <f>MAX(H2334,I2334,J2334)</f>
        <v>1</v>
      </c>
      <c r="H2334" s="88"/>
      <c r="I2334" s="88"/>
      <c r="J2334" s="78">
        <f>MAX(K2334:Q2334)</f>
        <v>1</v>
      </c>
      <c r="K2334" s="88">
        <v>1</v>
      </c>
      <c r="L2334" s="88"/>
      <c r="M2334" s="88"/>
      <c r="N2334" s="88"/>
      <c r="O2334" s="88"/>
      <c r="P2334" s="88"/>
      <c r="Q2334" s="88"/>
      <c r="R2334" s="78">
        <f>MAX(S2334:W2334)</f>
        <v>0</v>
      </c>
      <c r="S2334" s="88"/>
      <c r="T2334" s="88"/>
      <c r="U2334" s="88"/>
      <c r="V2334" s="88"/>
      <c r="W2334" s="88"/>
    </row>
    <row r="2335" spans="2:23" s="0" customFormat="0" ht="15">
      <c r="B2335" s="87" t="s">
        <v>1</v>
      </c>
      <c r="C2335" s="88" t="s">
        <v>5259</v>
      </c>
      <c r="D2335" s="88">
        <v>21365024</v>
      </c>
      <c r="E2335" s="88" t="s">
        <v>61</v>
      </c>
      <c r="F2335" s="88">
        <v>0</v>
      </c>
      <c r="G2335" s="78">
        <f>MAX(H2335,I2335,J2335)</f>
        <v>1</v>
      </c>
      <c r="H2335" s="88"/>
      <c r="I2335" s="88"/>
      <c r="J2335" s="78">
        <f>MAX(K2335:Q2335)</f>
        <v>1</v>
      </c>
      <c r="K2335" s="88">
        <v>1</v>
      </c>
      <c r="L2335" s="88"/>
      <c r="M2335" s="88"/>
      <c r="N2335" s="88"/>
      <c r="O2335" s="88"/>
      <c r="P2335" s="88"/>
      <c r="Q2335" s="88"/>
      <c r="R2335" s="78">
        <f>MAX(S2335:W2335)</f>
        <v>0</v>
      </c>
      <c r="S2335" s="88"/>
      <c r="T2335" s="88"/>
      <c r="U2335" s="88"/>
      <c r="V2335" s="88"/>
      <c r="W2335" s="88"/>
    </row>
    <row r="2336" spans="2:23" s="0" customFormat="0" ht="15">
      <c r="B2336" s="87" t="s">
        <v>1</v>
      </c>
      <c r="C2336" s="88" t="s">
        <v>5259</v>
      </c>
      <c r="D2336" s="88" t="s">
        <v>4362</v>
      </c>
      <c r="E2336" s="88" t="s">
        <v>61</v>
      </c>
      <c r="F2336" s="88">
        <v>0</v>
      </c>
      <c r="G2336" s="78">
        <f>MAX(H2336,I2336,J2336)</f>
        <v>0</v>
      </c>
      <c r="H2336" s="88"/>
      <c r="I2336" s="88"/>
      <c r="J2336" s="78">
        <f>MAX(K2336:Q2336)</f>
        <v>0</v>
      </c>
      <c r="K2336" s="88"/>
      <c r="L2336" s="88"/>
      <c r="M2336" s="88"/>
      <c r="N2336" s="88"/>
      <c r="O2336" s="88"/>
      <c r="P2336" s="88"/>
      <c r="Q2336" s="88"/>
      <c r="R2336" s="78">
        <f>MAX(S2336:W2336)</f>
        <v>1</v>
      </c>
      <c r="S2336" s="88"/>
      <c r="T2336" s="88"/>
      <c r="U2336" s="88">
        <v>1</v>
      </c>
      <c r="V2336" s="88"/>
      <c r="W2336" s="88"/>
    </row>
    <row r="2337" spans="2:23" s="0" customFormat="0" ht="15">
      <c r="B2337" s="87" t="s">
        <v>1</v>
      </c>
      <c r="C2337" s="88" t="s">
        <v>5259</v>
      </c>
      <c r="D2337" s="88">
        <v>22281184</v>
      </c>
      <c r="E2337" s="88" t="s">
        <v>61</v>
      </c>
      <c r="F2337" s="88">
        <v>0</v>
      </c>
      <c r="G2337" s="78">
        <f>MAX(H2337,I2337,J2337)</f>
        <v>1</v>
      </c>
      <c r="H2337" s="88"/>
      <c r="I2337" s="88"/>
      <c r="J2337" s="78">
        <f>MAX(K2337:Q2337)</f>
        <v>1</v>
      </c>
      <c r="K2337" s="88"/>
      <c r="L2337" s="88"/>
      <c r="M2337" s="88"/>
      <c r="N2337" s="88"/>
      <c r="O2337" s="88"/>
      <c r="P2337" s="88">
        <v>1</v>
      </c>
      <c r="Q2337" s="88"/>
      <c r="R2337" s="78">
        <f>MAX(S2337:W2337)</f>
        <v>0</v>
      </c>
      <c r="S2337" s="88"/>
      <c r="T2337" s="88"/>
      <c r="U2337" s="88"/>
      <c r="V2337" s="88"/>
      <c r="W2337" s="88"/>
    </row>
    <row r="2338" spans="2:23" s="0" customFormat="0" ht="15">
      <c r="B2338" s="87" t="s">
        <v>1</v>
      </c>
      <c r="C2338" s="88" t="s">
        <v>5259</v>
      </c>
      <c r="D2338" s="88">
        <v>21792759</v>
      </c>
      <c r="E2338" s="88" t="s">
        <v>61</v>
      </c>
      <c r="F2338" s="88">
        <v>0</v>
      </c>
      <c r="G2338" s="78">
        <f>MAX(H2338,I2338,J2338)</f>
        <v>1</v>
      </c>
      <c r="H2338" s="88"/>
      <c r="I2338" s="88"/>
      <c r="J2338" s="78">
        <f>MAX(K2338:Q2338)</f>
        <v>1</v>
      </c>
      <c r="K2338" s="88">
        <v>1</v>
      </c>
      <c r="L2338" s="88"/>
      <c r="M2338" s="88"/>
      <c r="N2338" s="88"/>
      <c r="O2338" s="88"/>
      <c r="P2338" s="88"/>
      <c r="Q2338" s="88"/>
      <c r="R2338" s="78">
        <f>MAX(S2338:W2338)</f>
        <v>0</v>
      </c>
      <c r="S2338" s="88"/>
      <c r="T2338" s="88"/>
      <c r="U2338" s="88"/>
      <c r="V2338" s="88"/>
      <c r="W2338" s="88"/>
    </row>
    <row r="2339" spans="2:23" s="0" customFormat="0" ht="15">
      <c r="B2339" s="87" t="s">
        <v>1</v>
      </c>
      <c r="C2339" s="88" t="s">
        <v>5259</v>
      </c>
      <c r="D2339" s="88" t="s">
        <v>3149</v>
      </c>
      <c r="E2339" s="88" t="s">
        <v>61</v>
      </c>
      <c r="F2339" s="88">
        <v>0</v>
      </c>
      <c r="G2339" s="78">
        <f>MAX(H2339,I2339,J2339)</f>
        <v>1</v>
      </c>
      <c r="H2339" s="88"/>
      <c r="I2339" s="88"/>
      <c r="J2339" s="78">
        <f>MAX(K2339:Q2339)</f>
        <v>1</v>
      </c>
      <c r="K2339" s="88"/>
      <c r="L2339" s="88"/>
      <c r="M2339" s="88"/>
      <c r="N2339" s="88">
        <v>1</v>
      </c>
      <c r="O2339" s="88"/>
      <c r="P2339" s="88"/>
      <c r="Q2339" s="88"/>
      <c r="R2339" s="78">
        <f>MAX(S2339:W2339)</f>
        <v>0</v>
      </c>
      <c r="S2339" s="88"/>
      <c r="T2339" s="88"/>
      <c r="U2339" s="88"/>
      <c r="V2339" s="88"/>
      <c r="W2339" s="88"/>
    </row>
    <row r="2340" spans="2:23" s="0" customFormat="0" ht="15">
      <c r="B2340" s="87" t="s">
        <v>1</v>
      </c>
      <c r="C2340" s="88" t="s">
        <v>5259</v>
      </c>
      <c r="D2340" s="88" t="s">
        <v>4364</v>
      </c>
      <c r="E2340" s="88" t="s">
        <v>61</v>
      </c>
      <c r="F2340" s="88">
        <v>0</v>
      </c>
      <c r="G2340" s="78">
        <f>MAX(H2340,I2340,J2340)</f>
        <v>0</v>
      </c>
      <c r="H2340" s="88"/>
      <c r="I2340" s="88"/>
      <c r="J2340" s="78">
        <f>MAX(K2340:Q2340)</f>
        <v>0</v>
      </c>
      <c r="K2340" s="88"/>
      <c r="L2340" s="88"/>
      <c r="M2340" s="88"/>
      <c r="N2340" s="88"/>
      <c r="O2340" s="88"/>
      <c r="P2340" s="88"/>
      <c r="Q2340" s="88"/>
      <c r="R2340" s="78">
        <f>MAX(S2340:W2340)</f>
        <v>1</v>
      </c>
      <c r="S2340" s="88"/>
      <c r="T2340" s="88"/>
      <c r="U2340" s="88">
        <v>1</v>
      </c>
      <c r="V2340" s="88"/>
      <c r="W2340" s="88"/>
    </row>
    <row r="2341" spans="2:23" s="0" customFormat="0" ht="15">
      <c r="B2341" s="87" t="s">
        <v>1</v>
      </c>
      <c r="C2341" s="88" t="s">
        <v>5259</v>
      </c>
      <c r="D2341" s="88">
        <v>23061859</v>
      </c>
      <c r="E2341" s="88" t="s">
        <v>61</v>
      </c>
      <c r="F2341" s="88">
        <v>0</v>
      </c>
      <c r="G2341" s="78">
        <f>MAX(H2341,I2341,J2341)</f>
        <v>1</v>
      </c>
      <c r="H2341" s="88"/>
      <c r="I2341" s="88"/>
      <c r="J2341" s="78">
        <f>MAX(K2341:Q2341)</f>
        <v>1</v>
      </c>
      <c r="K2341" s="88">
        <v>1</v>
      </c>
      <c r="L2341" s="88"/>
      <c r="M2341" s="88"/>
      <c r="N2341" s="88"/>
      <c r="O2341" s="88"/>
      <c r="P2341" s="88"/>
      <c r="Q2341" s="88"/>
      <c r="R2341" s="78">
        <f>MAX(S2341:W2341)</f>
        <v>0</v>
      </c>
      <c r="S2341" s="88"/>
      <c r="T2341" s="88"/>
      <c r="U2341" s="88"/>
      <c r="V2341" s="88"/>
      <c r="W2341" s="88"/>
    </row>
    <row r="2342" spans="2:23" s="0" customFormat="0" ht="15">
      <c r="B2342" s="87" t="s">
        <v>1</v>
      </c>
      <c r="C2342" s="88" t="s">
        <v>5259</v>
      </c>
      <c r="D2342" s="88" t="s">
        <v>866</v>
      </c>
      <c r="E2342" s="88" t="s">
        <v>61</v>
      </c>
      <c r="F2342" s="88">
        <v>0</v>
      </c>
      <c r="G2342" s="78">
        <f>MAX(H2342,I2342,J2342)</f>
        <v>1</v>
      </c>
      <c r="H2342" s="88"/>
      <c r="I2342" s="88"/>
      <c r="J2342" s="78">
        <f>MAX(K2342:Q2342)</f>
        <v>1</v>
      </c>
      <c r="K2342" s="88">
        <v>1</v>
      </c>
      <c r="L2342" s="88"/>
      <c r="M2342" s="88"/>
      <c r="N2342" s="88"/>
      <c r="O2342" s="88"/>
      <c r="P2342" s="88"/>
      <c r="Q2342" s="88"/>
      <c r="R2342" s="78">
        <f>MAX(S2342:W2342)</f>
        <v>0</v>
      </c>
      <c r="S2342" s="88"/>
      <c r="T2342" s="88"/>
      <c r="U2342" s="88"/>
      <c r="V2342" s="88"/>
      <c r="W2342" s="88"/>
    </row>
    <row r="2343" spans="2:23" s="0" customFormat="0" ht="15">
      <c r="B2343" s="87" t="s">
        <v>1</v>
      </c>
      <c r="C2343" s="88" t="s">
        <v>5259</v>
      </c>
      <c r="D2343" s="88" t="s">
        <v>4366</v>
      </c>
      <c r="E2343" s="88" t="s">
        <v>61</v>
      </c>
      <c r="F2343" s="88">
        <v>0</v>
      </c>
      <c r="G2343" s="78">
        <f>MAX(H2343,I2343,J2343)</f>
        <v>0</v>
      </c>
      <c r="H2343" s="88"/>
      <c r="I2343" s="88"/>
      <c r="J2343" s="78">
        <f>MAX(K2343:Q2343)</f>
        <v>0</v>
      </c>
      <c r="K2343" s="88"/>
      <c r="L2343" s="88"/>
      <c r="M2343" s="88"/>
      <c r="N2343" s="88"/>
      <c r="O2343" s="88"/>
      <c r="P2343" s="88"/>
      <c r="Q2343" s="88"/>
      <c r="R2343" s="78">
        <f>MAX(S2343:W2343)</f>
        <v>1</v>
      </c>
      <c r="S2343" s="88"/>
      <c r="T2343" s="88"/>
      <c r="U2343" s="88">
        <v>1</v>
      </c>
      <c r="V2343" s="88"/>
      <c r="W2343" s="88"/>
    </row>
    <row r="2344" spans="2:23" s="0" customFormat="0" ht="15">
      <c r="B2344" s="87" t="s">
        <v>1</v>
      </c>
      <c r="C2344" s="88" t="s">
        <v>5259</v>
      </c>
      <c r="D2344" s="88" t="s">
        <v>1707</v>
      </c>
      <c r="E2344" s="88" t="s">
        <v>61</v>
      </c>
      <c r="F2344" s="88">
        <v>0</v>
      </c>
      <c r="G2344" s="78">
        <f>MAX(H2344,I2344,J2344)</f>
        <v>1</v>
      </c>
      <c r="H2344" s="88"/>
      <c r="I2344" s="88"/>
      <c r="J2344" s="78">
        <f>MAX(K2344:Q2344)</f>
        <v>1</v>
      </c>
      <c r="K2344" s="88">
        <v>1</v>
      </c>
      <c r="L2344" s="88"/>
      <c r="M2344" s="88"/>
      <c r="N2344" s="88"/>
      <c r="O2344" s="88"/>
      <c r="P2344" s="88"/>
      <c r="Q2344" s="88"/>
      <c r="R2344" s="78">
        <f>MAX(S2344:W2344)</f>
        <v>0</v>
      </c>
      <c r="S2344" s="88"/>
      <c r="T2344" s="88"/>
      <c r="U2344" s="88"/>
      <c r="V2344" s="88"/>
      <c r="W2344" s="88"/>
    </row>
    <row r="2345" spans="2:23" s="0" customFormat="0" ht="15">
      <c r="B2345" s="87" t="s">
        <v>1</v>
      </c>
      <c r="C2345" s="88" t="s">
        <v>5259</v>
      </c>
      <c r="D2345" s="88" t="s">
        <v>4368</v>
      </c>
      <c r="E2345" s="88" t="s">
        <v>61</v>
      </c>
      <c r="F2345" s="88">
        <v>0</v>
      </c>
      <c r="G2345" s="78">
        <f>MAX(H2345,I2345,J2345)</f>
        <v>0</v>
      </c>
      <c r="H2345" s="88"/>
      <c r="I2345" s="88"/>
      <c r="J2345" s="78">
        <f>MAX(K2345:Q2345)</f>
        <v>0</v>
      </c>
      <c r="K2345" s="88"/>
      <c r="L2345" s="88"/>
      <c r="M2345" s="88"/>
      <c r="N2345" s="88"/>
      <c r="O2345" s="88"/>
      <c r="P2345" s="88"/>
      <c r="Q2345" s="88"/>
      <c r="R2345" s="78">
        <f>MAX(S2345:W2345)</f>
        <v>1</v>
      </c>
      <c r="S2345" s="88"/>
      <c r="T2345" s="88"/>
      <c r="U2345" s="88">
        <v>1</v>
      </c>
      <c r="V2345" s="88"/>
      <c r="W2345" s="88"/>
    </row>
    <row r="2346" spans="2:23" s="0" customFormat="0" ht="15">
      <c r="B2346" s="87" t="s">
        <v>1</v>
      </c>
      <c r="C2346" s="88" t="s">
        <v>5259</v>
      </c>
      <c r="D2346" s="88">
        <v>7631442</v>
      </c>
      <c r="E2346" s="88" t="s">
        <v>61</v>
      </c>
      <c r="F2346" s="88">
        <v>0</v>
      </c>
      <c r="G2346" s="78">
        <f>MAX(H2346,I2346,J2346)</f>
        <v>1</v>
      </c>
      <c r="H2346" s="88"/>
      <c r="I2346" s="88"/>
      <c r="J2346" s="78">
        <f>MAX(K2346:Q2346)</f>
        <v>1</v>
      </c>
      <c r="K2346" s="88">
        <v>1</v>
      </c>
      <c r="L2346" s="88"/>
      <c r="M2346" s="88"/>
      <c r="N2346" s="88"/>
      <c r="O2346" s="88"/>
      <c r="P2346" s="88"/>
      <c r="Q2346" s="88"/>
      <c r="R2346" s="78">
        <f>MAX(S2346:W2346)</f>
        <v>0</v>
      </c>
      <c r="S2346" s="88"/>
      <c r="T2346" s="88"/>
      <c r="U2346" s="88"/>
      <c r="V2346" s="88"/>
      <c r="W2346" s="88"/>
    </row>
    <row r="2347" spans="2:23" s="0" customFormat="0" ht="15">
      <c r="B2347" s="87" t="s">
        <v>1</v>
      </c>
      <c r="C2347" s="88" t="s">
        <v>5259</v>
      </c>
      <c r="D2347" s="88">
        <v>22623669</v>
      </c>
      <c r="E2347" s="88" t="s">
        <v>61</v>
      </c>
      <c r="F2347" s="88">
        <v>0</v>
      </c>
      <c r="G2347" s="78">
        <f>MAX(H2347,I2347,J2347)</f>
        <v>0</v>
      </c>
      <c r="H2347" s="88"/>
      <c r="I2347" s="88"/>
      <c r="J2347" s="78">
        <f>MAX(K2347:Q2347)</f>
        <v>0</v>
      </c>
      <c r="K2347" s="88"/>
      <c r="L2347" s="88"/>
      <c r="M2347" s="88"/>
      <c r="N2347" s="88"/>
      <c r="O2347" s="88"/>
      <c r="P2347" s="88"/>
      <c r="Q2347" s="88"/>
      <c r="R2347" s="78">
        <f>MAX(S2347:W2347)</f>
        <v>1</v>
      </c>
      <c r="S2347" s="88"/>
      <c r="T2347" s="88"/>
      <c r="U2347" s="88">
        <v>1</v>
      </c>
      <c r="V2347" s="88"/>
      <c r="W2347" s="88"/>
    </row>
    <row r="2348" spans="2:23" s="0" customFormat="0" ht="15">
      <c r="B2348" s="87" t="s">
        <v>1</v>
      </c>
      <c r="C2348" s="88" t="s">
        <v>5259</v>
      </c>
      <c r="D2348" s="88">
        <v>24190973</v>
      </c>
      <c r="E2348" s="88" t="s">
        <v>61</v>
      </c>
      <c r="F2348" s="88">
        <v>0</v>
      </c>
      <c r="G2348" s="78">
        <f>MAX(H2348,I2348,J2348)</f>
        <v>1</v>
      </c>
      <c r="H2348" s="88"/>
      <c r="I2348" s="88"/>
      <c r="J2348" s="78">
        <f>MAX(K2348:Q2348)</f>
        <v>1</v>
      </c>
      <c r="K2348" s="88">
        <v>1</v>
      </c>
      <c r="L2348" s="88"/>
      <c r="M2348" s="88"/>
      <c r="N2348" s="88"/>
      <c r="O2348" s="88"/>
      <c r="P2348" s="88"/>
      <c r="Q2348" s="88"/>
      <c r="R2348" s="78">
        <f>MAX(S2348:W2348)</f>
        <v>0</v>
      </c>
      <c r="S2348" s="88"/>
      <c r="T2348" s="88"/>
      <c r="U2348" s="88"/>
      <c r="V2348" s="88"/>
      <c r="W2348" s="88"/>
    </row>
    <row r="2349" spans="2:23" s="0" customFormat="0" ht="15">
      <c r="B2349" s="87" t="s">
        <v>1</v>
      </c>
      <c r="C2349" s="88" t="s">
        <v>5259</v>
      </c>
      <c r="D2349" s="88">
        <v>7499016</v>
      </c>
      <c r="E2349" s="88" t="s">
        <v>61</v>
      </c>
      <c r="F2349" s="88">
        <v>0</v>
      </c>
      <c r="G2349" s="78">
        <f>MAX(H2349,I2349,J2349)</f>
        <v>1</v>
      </c>
      <c r="H2349" s="88"/>
      <c r="I2349" s="88"/>
      <c r="J2349" s="78">
        <f>MAX(K2349:Q2349)</f>
        <v>1</v>
      </c>
      <c r="K2349" s="88">
        <v>1</v>
      </c>
      <c r="L2349" s="88"/>
      <c r="M2349" s="88"/>
      <c r="N2349" s="88"/>
      <c r="O2349" s="88"/>
      <c r="P2349" s="88"/>
      <c r="Q2349" s="88"/>
      <c r="R2349" s="78">
        <f>MAX(S2349:W2349)</f>
        <v>0</v>
      </c>
      <c r="S2349" s="88"/>
      <c r="T2349" s="88"/>
      <c r="U2349" s="88"/>
      <c r="V2349" s="88"/>
      <c r="W2349" s="88"/>
    </row>
    <row r="2350" spans="2:23" s="0" customFormat="0" ht="15">
      <c r="B2350" s="87" t="s">
        <v>1</v>
      </c>
      <c r="C2350" s="88" t="s">
        <v>5259</v>
      </c>
      <c r="D2350" s="88">
        <v>22927565</v>
      </c>
      <c r="E2350" s="88" t="s">
        <v>61</v>
      </c>
      <c r="F2350" s="88">
        <v>0</v>
      </c>
      <c r="G2350" s="78">
        <f>MAX(H2350,I2350,J2350)</f>
        <v>0</v>
      </c>
      <c r="H2350" s="88"/>
      <c r="I2350" s="88"/>
      <c r="J2350" s="78">
        <f>MAX(K2350:Q2350)</f>
        <v>0</v>
      </c>
      <c r="K2350" s="88"/>
      <c r="L2350" s="88"/>
      <c r="M2350" s="88"/>
      <c r="N2350" s="88"/>
      <c r="O2350" s="88"/>
      <c r="P2350" s="88"/>
      <c r="Q2350" s="88"/>
      <c r="R2350" s="78">
        <f>MAX(S2350:W2350)</f>
        <v>1</v>
      </c>
      <c r="S2350" s="88"/>
      <c r="T2350" s="88"/>
      <c r="U2350" s="88">
        <v>1</v>
      </c>
      <c r="V2350" s="88"/>
      <c r="W2350" s="88"/>
    </row>
    <row r="2351" spans="2:23" s="0" customFormat="0" ht="15">
      <c r="B2351" s="87" t="s">
        <v>1</v>
      </c>
      <c r="C2351" s="88" t="s">
        <v>5259</v>
      </c>
      <c r="D2351" s="88">
        <v>13534483</v>
      </c>
      <c r="E2351" s="88" t="s">
        <v>61</v>
      </c>
      <c r="F2351" s="88">
        <v>0</v>
      </c>
      <c r="G2351" s="78">
        <f>MAX(H2351,I2351,J2351)</f>
        <v>1</v>
      </c>
      <c r="H2351" s="88"/>
      <c r="I2351" s="88"/>
      <c r="J2351" s="78">
        <f>MAX(K2351:Q2351)</f>
        <v>1</v>
      </c>
      <c r="K2351" s="88">
        <v>1</v>
      </c>
      <c r="L2351" s="88"/>
      <c r="M2351" s="88"/>
      <c r="N2351" s="88"/>
      <c r="O2351" s="88"/>
      <c r="P2351" s="88"/>
      <c r="Q2351" s="88"/>
      <c r="R2351" s="78">
        <f>MAX(S2351:W2351)</f>
        <v>0</v>
      </c>
      <c r="S2351" s="88"/>
      <c r="T2351" s="88"/>
      <c r="U2351" s="88"/>
      <c r="V2351" s="88"/>
      <c r="W2351" s="88"/>
    </row>
    <row r="2352" spans="2:23" s="0" customFormat="0" ht="15">
      <c r="B2352" s="87" t="s">
        <v>1</v>
      </c>
      <c r="C2352" s="88" t="s">
        <v>5259</v>
      </c>
      <c r="D2352" s="88">
        <v>20993772</v>
      </c>
      <c r="E2352" s="88" t="s">
        <v>61</v>
      </c>
      <c r="F2352" s="88">
        <v>0</v>
      </c>
      <c r="G2352" s="78">
        <f>MAX(H2352,I2352,J2352)</f>
        <v>1</v>
      </c>
      <c r="H2352" s="88"/>
      <c r="I2352" s="88"/>
      <c r="J2352" s="78">
        <f>MAX(K2352:Q2352)</f>
        <v>1</v>
      </c>
      <c r="K2352" s="88">
        <v>1</v>
      </c>
      <c r="L2352" s="88"/>
      <c r="M2352" s="88"/>
      <c r="N2352" s="88"/>
      <c r="O2352" s="88"/>
      <c r="P2352" s="88"/>
      <c r="Q2352" s="88"/>
      <c r="R2352" s="78">
        <f>MAX(S2352:W2352)</f>
        <v>0</v>
      </c>
      <c r="S2352" s="88"/>
      <c r="T2352" s="88"/>
      <c r="U2352" s="88"/>
      <c r="V2352" s="88"/>
      <c r="W2352" s="88"/>
    </row>
    <row r="2353" spans="2:23" s="0" customFormat="0" ht="15">
      <c r="B2353" s="87" t="s">
        <v>1</v>
      </c>
      <c r="C2353" s="88" t="s">
        <v>5259</v>
      </c>
      <c r="D2353" s="88" t="s">
        <v>4371</v>
      </c>
      <c r="E2353" s="88" t="s">
        <v>61</v>
      </c>
      <c r="F2353" s="88">
        <v>0</v>
      </c>
      <c r="G2353" s="78">
        <f>MAX(H2353,I2353,J2353)</f>
        <v>0</v>
      </c>
      <c r="H2353" s="88"/>
      <c r="I2353" s="88"/>
      <c r="J2353" s="78">
        <f>MAX(K2353:Q2353)</f>
        <v>0</v>
      </c>
      <c r="K2353" s="88"/>
      <c r="L2353" s="88"/>
      <c r="M2353" s="88"/>
      <c r="N2353" s="88"/>
      <c r="O2353" s="88"/>
      <c r="P2353" s="88"/>
      <c r="Q2353" s="88"/>
      <c r="R2353" s="78">
        <f>MAX(S2353:W2353)</f>
        <v>1</v>
      </c>
      <c r="S2353" s="88"/>
      <c r="T2353" s="88"/>
      <c r="U2353" s="88">
        <v>1</v>
      </c>
      <c r="V2353" s="88"/>
      <c r="W2353" s="88"/>
    </row>
    <row r="2354" spans="2:23" s="0" customFormat="0" ht="15">
      <c r="B2354" s="87" t="s">
        <v>1</v>
      </c>
      <c r="C2354" s="88" t="s">
        <v>5259</v>
      </c>
      <c r="D2354" s="88" t="s">
        <v>4373</v>
      </c>
      <c r="E2354" s="88" t="s">
        <v>61</v>
      </c>
      <c r="F2354" s="88">
        <v>0</v>
      </c>
      <c r="G2354" s="78">
        <f>MAX(H2354,I2354,J2354)</f>
        <v>0</v>
      </c>
      <c r="H2354" s="88"/>
      <c r="I2354" s="88"/>
      <c r="J2354" s="78">
        <f>MAX(K2354:Q2354)</f>
        <v>0</v>
      </c>
      <c r="K2354" s="88"/>
      <c r="L2354" s="88"/>
      <c r="M2354" s="88"/>
      <c r="N2354" s="88"/>
      <c r="O2354" s="88"/>
      <c r="P2354" s="88"/>
      <c r="Q2354" s="88"/>
      <c r="R2354" s="78">
        <f>MAX(S2354:W2354)</f>
        <v>1</v>
      </c>
      <c r="S2354" s="88"/>
      <c r="T2354" s="88"/>
      <c r="U2354" s="88">
        <v>1</v>
      </c>
      <c r="V2354" s="88"/>
      <c r="W2354" s="88"/>
    </row>
    <row r="2355" spans="2:23" s="0" customFormat="0" ht="15">
      <c r="B2355" s="87" t="s">
        <v>1</v>
      </c>
      <c r="C2355" s="88" t="s">
        <v>5259</v>
      </c>
      <c r="D2355" s="88" t="s">
        <v>4352</v>
      </c>
      <c r="E2355" s="88" t="s">
        <v>61</v>
      </c>
      <c r="F2355" s="88">
        <v>0</v>
      </c>
      <c r="G2355" s="78">
        <f>MAX(H2355,I2355,J2355)</f>
        <v>0</v>
      </c>
      <c r="H2355" s="88"/>
      <c r="I2355" s="88"/>
      <c r="J2355" s="78">
        <f>MAX(K2355:Q2355)</f>
        <v>0</v>
      </c>
      <c r="K2355" s="88"/>
      <c r="L2355" s="88"/>
      <c r="M2355" s="88"/>
      <c r="N2355" s="88"/>
      <c r="O2355" s="88"/>
      <c r="P2355" s="88"/>
      <c r="Q2355" s="88"/>
      <c r="R2355" s="78">
        <f>MAX(S2355:W2355)</f>
        <v>1</v>
      </c>
      <c r="S2355" s="88"/>
      <c r="T2355" s="88"/>
      <c r="U2355" s="88">
        <v>1</v>
      </c>
      <c r="V2355" s="88"/>
      <c r="W2355" s="88"/>
    </row>
    <row r="2356" spans="2:23" s="0" customFormat="0" ht="15">
      <c r="B2356" s="87" t="s">
        <v>1</v>
      </c>
      <c r="C2356" s="88" t="s">
        <v>5259</v>
      </c>
      <c r="D2356" s="88" t="s">
        <v>4375</v>
      </c>
      <c r="E2356" s="88" t="s">
        <v>61</v>
      </c>
      <c r="F2356" s="88">
        <v>0</v>
      </c>
      <c r="G2356" s="78">
        <f>MAX(H2356,I2356,J2356)</f>
        <v>0</v>
      </c>
      <c r="H2356" s="88"/>
      <c r="I2356" s="88"/>
      <c r="J2356" s="78">
        <f>MAX(K2356:Q2356)</f>
        <v>0</v>
      </c>
      <c r="K2356" s="88"/>
      <c r="L2356" s="88"/>
      <c r="M2356" s="88"/>
      <c r="N2356" s="88"/>
      <c r="O2356" s="88"/>
      <c r="P2356" s="88"/>
      <c r="Q2356" s="88"/>
      <c r="R2356" s="78">
        <f>MAX(S2356:W2356)</f>
        <v>1</v>
      </c>
      <c r="S2356" s="88"/>
      <c r="T2356" s="88"/>
      <c r="U2356" s="88">
        <v>1</v>
      </c>
      <c r="V2356" s="88"/>
      <c r="W2356" s="88"/>
    </row>
    <row r="2357" spans="2:23" s="0" customFormat="0" ht="15">
      <c r="B2357" s="87" t="s">
        <v>1</v>
      </c>
      <c r="C2357" s="88" t="s">
        <v>5259</v>
      </c>
      <c r="D2357" s="88" t="s">
        <v>1710</v>
      </c>
      <c r="E2357" s="88" t="s">
        <v>61</v>
      </c>
      <c r="F2357" s="88">
        <v>0</v>
      </c>
      <c r="G2357" s="78">
        <f>MAX(H2357,I2357,J2357)</f>
        <v>1</v>
      </c>
      <c r="H2357" s="88"/>
      <c r="I2357" s="88"/>
      <c r="J2357" s="78">
        <f>MAX(K2357:Q2357)</f>
        <v>1</v>
      </c>
      <c r="K2357" s="88">
        <v>1</v>
      </c>
      <c r="L2357" s="88"/>
      <c r="M2357" s="88"/>
      <c r="N2357" s="88"/>
      <c r="O2357" s="88"/>
      <c r="P2357" s="88"/>
      <c r="Q2357" s="88"/>
      <c r="R2357" s="78">
        <f>MAX(S2357:W2357)</f>
        <v>0</v>
      </c>
      <c r="S2357" s="88"/>
      <c r="T2357" s="88"/>
      <c r="U2357" s="88"/>
      <c r="V2357" s="88"/>
      <c r="W2357" s="88"/>
    </row>
    <row r="2358" spans="2:23" s="0" customFormat="0" ht="15">
      <c r="B2358" s="87" t="s">
        <v>1</v>
      </c>
      <c r="C2358" s="88" t="s">
        <v>5259</v>
      </c>
      <c r="D2358" s="88">
        <v>22927558</v>
      </c>
      <c r="E2358" s="88" t="s">
        <v>61</v>
      </c>
      <c r="F2358" s="88">
        <v>0</v>
      </c>
      <c r="G2358" s="78">
        <f>MAX(H2358,I2358,J2358)</f>
        <v>1</v>
      </c>
      <c r="H2358" s="88"/>
      <c r="I2358" s="88"/>
      <c r="J2358" s="78">
        <f>MAX(K2358:Q2358)</f>
        <v>1</v>
      </c>
      <c r="K2358" s="88">
        <v>1</v>
      </c>
      <c r="L2358" s="88"/>
      <c r="M2358" s="88"/>
      <c r="N2358" s="88"/>
      <c r="O2358" s="88"/>
      <c r="P2358" s="88"/>
      <c r="Q2358" s="88"/>
      <c r="R2358" s="78">
        <f>MAX(S2358:W2358)</f>
        <v>0</v>
      </c>
      <c r="S2358" s="88"/>
      <c r="T2358" s="88"/>
      <c r="U2358" s="88"/>
      <c r="V2358" s="88"/>
      <c r="W2358" s="88"/>
    </row>
    <row r="2359" spans="2:23" s="0" customFormat="0" ht="15">
      <c r="B2359" s="87" t="s">
        <v>1</v>
      </c>
      <c r="C2359" s="88" t="s">
        <v>5259</v>
      </c>
      <c r="D2359" s="88" t="s">
        <v>4377</v>
      </c>
      <c r="E2359" s="88" t="s">
        <v>61</v>
      </c>
      <c r="F2359" s="88">
        <v>0</v>
      </c>
      <c r="G2359" s="78">
        <f>MAX(H2359,I2359,J2359)</f>
        <v>0</v>
      </c>
      <c r="H2359" s="88"/>
      <c r="I2359" s="88"/>
      <c r="J2359" s="78">
        <f>MAX(K2359:Q2359)</f>
        <v>0</v>
      </c>
      <c r="K2359" s="88"/>
      <c r="L2359" s="88"/>
      <c r="M2359" s="88"/>
      <c r="N2359" s="88"/>
      <c r="O2359" s="88"/>
      <c r="P2359" s="88"/>
      <c r="Q2359" s="88"/>
      <c r="R2359" s="78">
        <f>MAX(S2359:W2359)</f>
        <v>1</v>
      </c>
      <c r="S2359" s="88"/>
      <c r="T2359" s="88"/>
      <c r="U2359" s="88">
        <v>1</v>
      </c>
      <c r="V2359" s="88"/>
      <c r="W2359" s="88"/>
    </row>
    <row r="2360" spans="2:23" s="0" customFormat="0" ht="15">
      <c r="B2360" s="87" t="s">
        <v>1</v>
      </c>
      <c r="C2360" s="88" t="s">
        <v>5259</v>
      </c>
      <c r="D2360" s="88" t="s">
        <v>1713</v>
      </c>
      <c r="E2360" s="88" t="s">
        <v>61</v>
      </c>
      <c r="F2360" s="88">
        <v>0</v>
      </c>
      <c r="G2360" s="78">
        <f>MAX(H2360,I2360,J2360)</f>
        <v>1</v>
      </c>
      <c r="H2360" s="88"/>
      <c r="I2360" s="88"/>
      <c r="J2360" s="78">
        <f>MAX(K2360:Q2360)</f>
        <v>1</v>
      </c>
      <c r="K2360" s="88">
        <v>1</v>
      </c>
      <c r="L2360" s="88"/>
      <c r="M2360" s="88"/>
      <c r="N2360" s="88"/>
      <c r="O2360" s="88"/>
      <c r="P2360" s="88"/>
      <c r="Q2360" s="88"/>
      <c r="R2360" s="78">
        <f>MAX(S2360:W2360)</f>
        <v>0</v>
      </c>
      <c r="S2360" s="88"/>
      <c r="T2360" s="88"/>
      <c r="U2360" s="88"/>
      <c r="V2360" s="88"/>
      <c r="W2360" s="88"/>
    </row>
    <row r="2361" spans="2:23" s="0" customFormat="0" ht="15">
      <c r="B2361" s="87" t="s">
        <v>1</v>
      </c>
      <c r="C2361" s="88" t="s">
        <v>5259</v>
      </c>
      <c r="D2361" s="88">
        <v>24189706</v>
      </c>
      <c r="E2361" s="88" t="s">
        <v>61</v>
      </c>
      <c r="F2361" s="88">
        <v>0</v>
      </c>
      <c r="G2361" s="78">
        <f>MAX(H2361,I2361,J2361)</f>
        <v>1</v>
      </c>
      <c r="H2361" s="88"/>
      <c r="I2361" s="88"/>
      <c r="J2361" s="78">
        <f>MAX(K2361:Q2361)</f>
        <v>1</v>
      </c>
      <c r="K2361" s="88">
        <v>1</v>
      </c>
      <c r="L2361" s="88"/>
      <c r="M2361" s="88"/>
      <c r="N2361" s="88"/>
      <c r="O2361" s="88"/>
      <c r="P2361" s="88"/>
      <c r="Q2361" s="88"/>
      <c r="R2361" s="78">
        <f>MAX(S2361:W2361)</f>
        <v>0</v>
      </c>
      <c r="S2361" s="88"/>
      <c r="T2361" s="88"/>
      <c r="U2361" s="88"/>
      <c r="V2361" s="88"/>
      <c r="W2361" s="88"/>
    </row>
    <row r="2362" spans="2:23" s="0" customFormat="0" ht="15">
      <c r="B2362" s="87" t="s">
        <v>1</v>
      </c>
      <c r="C2362" s="88" t="s">
        <v>5259</v>
      </c>
      <c r="D2362" s="88">
        <v>16974607</v>
      </c>
      <c r="E2362" s="88" t="s">
        <v>61</v>
      </c>
      <c r="F2362" s="88">
        <v>0</v>
      </c>
      <c r="G2362" s="78">
        <f>MAX(H2362,I2362,J2362)</f>
        <v>0</v>
      </c>
      <c r="H2362" s="88"/>
      <c r="I2362" s="88"/>
      <c r="J2362" s="78">
        <f>MAX(K2362:Q2362)</f>
        <v>0</v>
      </c>
      <c r="K2362" s="88"/>
      <c r="L2362" s="88"/>
      <c r="M2362" s="88"/>
      <c r="N2362" s="88"/>
      <c r="O2362" s="88"/>
      <c r="P2362" s="88"/>
      <c r="Q2362" s="88"/>
      <c r="R2362" s="78">
        <f>MAX(S2362:W2362)</f>
        <v>1</v>
      </c>
      <c r="S2362" s="88"/>
      <c r="T2362" s="88"/>
      <c r="U2362" s="88">
        <v>1</v>
      </c>
      <c r="V2362" s="88"/>
      <c r="W2362" s="88"/>
    </row>
    <row r="2363" spans="2:23" s="0" customFormat="0" ht="15">
      <c r="B2363" s="87" t="s">
        <v>1</v>
      </c>
      <c r="C2363" s="88" t="s">
        <v>5259</v>
      </c>
      <c r="D2363" s="88" t="s">
        <v>3209</v>
      </c>
      <c r="E2363" s="88" t="s">
        <v>61</v>
      </c>
      <c r="F2363" s="88">
        <v>0</v>
      </c>
      <c r="G2363" s="78">
        <f>MAX(H2363,I2363,J2363)</f>
        <v>0</v>
      </c>
      <c r="H2363" s="88"/>
      <c r="I2363" s="88"/>
      <c r="J2363" s="78">
        <f>MAX(K2363:Q2363)</f>
        <v>0</v>
      </c>
      <c r="K2363" s="88"/>
      <c r="L2363" s="88"/>
      <c r="M2363" s="88"/>
      <c r="N2363" s="88"/>
      <c r="O2363" s="88"/>
      <c r="P2363" s="88"/>
      <c r="Q2363" s="88"/>
      <c r="R2363" s="78">
        <f>MAX(S2363:W2363)</f>
        <v>1</v>
      </c>
      <c r="S2363" s="88"/>
      <c r="T2363" s="88"/>
      <c r="U2363" s="88"/>
      <c r="V2363" s="88">
        <v>1</v>
      </c>
      <c r="W2363" s="88"/>
    </row>
    <row r="2364" spans="2:23" s="0" customFormat="0" ht="15">
      <c r="B2364" s="87" t="s">
        <v>1</v>
      </c>
      <c r="C2364" s="88" t="s">
        <v>5259</v>
      </c>
      <c r="D2364" s="88" t="s">
        <v>4379</v>
      </c>
      <c r="E2364" s="88" t="s">
        <v>61</v>
      </c>
      <c r="F2364" s="88">
        <v>0</v>
      </c>
      <c r="G2364" s="78">
        <f>MAX(H2364,I2364,J2364)</f>
        <v>0</v>
      </c>
      <c r="H2364" s="88"/>
      <c r="I2364" s="88"/>
      <c r="J2364" s="78">
        <f>MAX(K2364:Q2364)</f>
        <v>0</v>
      </c>
      <c r="K2364" s="88"/>
      <c r="L2364" s="88"/>
      <c r="M2364" s="88"/>
      <c r="N2364" s="88"/>
      <c r="O2364" s="88"/>
      <c r="P2364" s="88"/>
      <c r="Q2364" s="88"/>
      <c r="R2364" s="78">
        <f>MAX(S2364:W2364)</f>
        <v>1</v>
      </c>
      <c r="S2364" s="88"/>
      <c r="T2364" s="88"/>
      <c r="U2364" s="88">
        <v>1</v>
      </c>
      <c r="V2364" s="88"/>
      <c r="W2364" s="88"/>
    </row>
    <row r="2365" spans="2:23" s="0" customFormat="0" ht="15">
      <c r="B2365" s="87" t="s">
        <v>1</v>
      </c>
      <c r="C2365" s="88" t="s">
        <v>5259</v>
      </c>
      <c r="D2365" s="88">
        <v>18006396</v>
      </c>
      <c r="E2365" s="88" t="s">
        <v>61</v>
      </c>
      <c r="F2365" s="88">
        <v>0</v>
      </c>
      <c r="G2365" s="78">
        <f>MAX(H2365,I2365,J2365)</f>
        <v>1</v>
      </c>
      <c r="H2365" s="88"/>
      <c r="I2365" s="88"/>
      <c r="J2365" s="78">
        <f>MAX(K2365:Q2365)</f>
        <v>1</v>
      </c>
      <c r="K2365" s="88">
        <v>1</v>
      </c>
      <c r="L2365" s="88"/>
      <c r="M2365" s="88"/>
      <c r="N2365" s="88"/>
      <c r="O2365" s="88"/>
      <c r="P2365" s="88"/>
      <c r="Q2365" s="88"/>
      <c r="R2365" s="78">
        <f>MAX(S2365:W2365)</f>
        <v>0</v>
      </c>
      <c r="S2365" s="88"/>
      <c r="T2365" s="88"/>
      <c r="U2365" s="88"/>
      <c r="V2365" s="88"/>
      <c r="W2365" s="88"/>
    </row>
    <row r="2366" spans="2:23" s="0" customFormat="0" ht="15">
      <c r="B2366" s="87" t="s">
        <v>1</v>
      </c>
      <c r="C2366" s="88" t="s">
        <v>5259</v>
      </c>
      <c r="D2366" s="88">
        <v>4876675</v>
      </c>
      <c r="E2366" s="88" t="s">
        <v>61</v>
      </c>
      <c r="F2366" s="88">
        <v>0</v>
      </c>
      <c r="G2366" s="78">
        <f>MAX(H2366,I2366,J2366)</f>
        <v>1</v>
      </c>
      <c r="H2366" s="88"/>
      <c r="I2366" s="88"/>
      <c r="J2366" s="78">
        <f>MAX(K2366:Q2366)</f>
        <v>1</v>
      </c>
      <c r="K2366" s="88">
        <v>1</v>
      </c>
      <c r="L2366" s="88"/>
      <c r="M2366" s="88"/>
      <c r="N2366" s="88"/>
      <c r="O2366" s="88"/>
      <c r="P2366" s="88"/>
      <c r="Q2366" s="88"/>
      <c r="R2366" s="78">
        <f>MAX(S2366:W2366)</f>
        <v>0</v>
      </c>
      <c r="S2366" s="88"/>
      <c r="T2366" s="88"/>
      <c r="U2366" s="88"/>
      <c r="V2366" s="88"/>
      <c r="W2366" s="88"/>
    </row>
    <row r="2367" spans="2:23" s="0" customFormat="0" ht="15">
      <c r="B2367" s="87" t="s">
        <v>1</v>
      </c>
      <c r="C2367" s="88" t="s">
        <v>5259</v>
      </c>
      <c r="D2367" s="88" t="s">
        <v>1717</v>
      </c>
      <c r="E2367" s="88" t="s">
        <v>61</v>
      </c>
      <c r="F2367" s="88">
        <v>0</v>
      </c>
      <c r="G2367" s="78">
        <f>MAX(H2367,I2367,J2367)</f>
        <v>1</v>
      </c>
      <c r="H2367" s="88"/>
      <c r="I2367" s="88"/>
      <c r="J2367" s="78">
        <f>MAX(K2367:Q2367)</f>
        <v>1</v>
      </c>
      <c r="K2367" s="88">
        <v>1</v>
      </c>
      <c r="L2367" s="88"/>
      <c r="M2367" s="88"/>
      <c r="N2367" s="88"/>
      <c r="O2367" s="88"/>
      <c r="P2367" s="88"/>
      <c r="Q2367" s="88"/>
      <c r="R2367" s="78">
        <f>MAX(S2367:W2367)</f>
        <v>0</v>
      </c>
      <c r="S2367" s="88"/>
      <c r="T2367" s="88"/>
      <c r="U2367" s="88"/>
      <c r="V2367" s="88"/>
      <c r="W2367" s="88"/>
    </row>
    <row r="2368" spans="2:23" s="0" customFormat="0" ht="15">
      <c r="B2368" s="87" t="s">
        <v>1</v>
      </c>
      <c r="C2368" s="88" t="s">
        <v>5259</v>
      </c>
      <c r="D2368" s="88" t="s">
        <v>1719</v>
      </c>
      <c r="E2368" s="88" t="s">
        <v>61</v>
      </c>
      <c r="F2368" s="88">
        <v>0</v>
      </c>
      <c r="G2368" s="78">
        <f>MAX(H2368,I2368,J2368)</f>
        <v>1</v>
      </c>
      <c r="H2368" s="88"/>
      <c r="I2368" s="88"/>
      <c r="J2368" s="78">
        <f>MAX(K2368:Q2368)</f>
        <v>1</v>
      </c>
      <c r="K2368" s="88">
        <v>1</v>
      </c>
      <c r="L2368" s="88"/>
      <c r="M2368" s="88"/>
      <c r="N2368" s="88"/>
      <c r="O2368" s="88"/>
      <c r="P2368" s="88"/>
      <c r="Q2368" s="88"/>
      <c r="R2368" s="78">
        <f>MAX(S2368:W2368)</f>
        <v>0</v>
      </c>
      <c r="S2368" s="88"/>
      <c r="T2368" s="88"/>
      <c r="U2368" s="88"/>
      <c r="V2368" s="88"/>
      <c r="W2368" s="88"/>
    </row>
    <row r="2369" spans="2:23" s="0" customFormat="0" ht="15">
      <c r="B2369" s="87" t="s">
        <v>1</v>
      </c>
      <c r="C2369" s="88" t="s">
        <v>5259</v>
      </c>
      <c r="D2369" s="88">
        <v>21085220</v>
      </c>
      <c r="E2369" s="88" t="s">
        <v>61</v>
      </c>
      <c r="F2369" s="88">
        <v>0</v>
      </c>
      <c r="G2369" s="78">
        <f>MAX(H2369,I2369,J2369)</f>
        <v>1</v>
      </c>
      <c r="H2369" s="88"/>
      <c r="I2369" s="88"/>
      <c r="J2369" s="78">
        <f>MAX(K2369:Q2369)</f>
        <v>1</v>
      </c>
      <c r="K2369" s="88">
        <v>1</v>
      </c>
      <c r="L2369" s="88"/>
      <c r="M2369" s="88"/>
      <c r="N2369" s="88"/>
      <c r="O2369" s="88"/>
      <c r="P2369" s="88"/>
      <c r="Q2369" s="88"/>
      <c r="R2369" s="78">
        <f>MAX(S2369:W2369)</f>
        <v>0</v>
      </c>
      <c r="S2369" s="88"/>
      <c r="T2369" s="88"/>
      <c r="U2369" s="88"/>
      <c r="V2369" s="88"/>
      <c r="W2369" s="88"/>
    </row>
    <row r="2370" spans="2:23" s="0" customFormat="0" ht="15">
      <c r="B2370" s="87" t="s">
        <v>1</v>
      </c>
      <c r="C2370" s="88" t="s">
        <v>5259</v>
      </c>
      <c r="D2370" s="88" t="s">
        <v>4381</v>
      </c>
      <c r="E2370" s="88" t="s">
        <v>61</v>
      </c>
      <c r="F2370" s="88">
        <v>0</v>
      </c>
      <c r="G2370" s="78">
        <f>MAX(H2370,I2370,J2370)</f>
        <v>0</v>
      </c>
      <c r="H2370" s="88"/>
      <c r="I2370" s="88"/>
      <c r="J2370" s="78">
        <f>MAX(K2370:Q2370)</f>
        <v>0</v>
      </c>
      <c r="K2370" s="88"/>
      <c r="L2370" s="88"/>
      <c r="M2370" s="88"/>
      <c r="N2370" s="88"/>
      <c r="O2370" s="88"/>
      <c r="P2370" s="88"/>
      <c r="Q2370" s="88"/>
      <c r="R2370" s="78">
        <f>MAX(S2370:W2370)</f>
        <v>1</v>
      </c>
      <c r="S2370" s="88"/>
      <c r="T2370" s="88"/>
      <c r="U2370" s="88">
        <v>1</v>
      </c>
      <c r="V2370" s="88"/>
      <c r="W2370" s="88"/>
    </row>
    <row r="2371" spans="2:23" s="0" customFormat="0" ht="15">
      <c r="B2371" s="87" t="s">
        <v>1</v>
      </c>
      <c r="C2371" s="88" t="s">
        <v>5259</v>
      </c>
      <c r="D2371" s="88" t="s">
        <v>1308</v>
      </c>
      <c r="E2371" s="88" t="s">
        <v>61</v>
      </c>
      <c r="F2371" s="88">
        <v>0</v>
      </c>
      <c r="G2371" s="78">
        <f>MAX(H2371,I2371,J2371)</f>
        <v>1</v>
      </c>
      <c r="H2371" s="88"/>
      <c r="I2371" s="88"/>
      <c r="J2371" s="78">
        <f>MAX(K2371:Q2371)</f>
        <v>1</v>
      </c>
      <c r="K2371" s="88">
        <v>1</v>
      </c>
      <c r="L2371" s="88"/>
      <c r="M2371" s="88"/>
      <c r="N2371" s="88"/>
      <c r="O2371" s="88"/>
      <c r="P2371" s="88"/>
      <c r="Q2371" s="88"/>
      <c r="R2371" s="78">
        <f>MAX(S2371:W2371)</f>
        <v>0</v>
      </c>
      <c r="S2371" s="88"/>
      <c r="T2371" s="88"/>
      <c r="U2371" s="88"/>
      <c r="V2371" s="88"/>
      <c r="W2371" s="88"/>
    </row>
    <row r="2372" spans="2:23" s="0" customFormat="0" ht="15">
      <c r="B2372" s="87" t="s">
        <v>1</v>
      </c>
      <c r="C2372" s="88" t="s">
        <v>5259</v>
      </c>
      <c r="D2372" s="88" t="s">
        <v>4383</v>
      </c>
      <c r="E2372" s="88" t="s">
        <v>61</v>
      </c>
      <c r="F2372" s="88">
        <v>0</v>
      </c>
      <c r="G2372" s="78">
        <f>MAX(H2372,I2372,J2372)</f>
        <v>0</v>
      </c>
      <c r="H2372" s="88"/>
      <c r="I2372" s="88"/>
      <c r="J2372" s="78">
        <f>MAX(K2372:Q2372)</f>
        <v>0</v>
      </c>
      <c r="K2372" s="88"/>
      <c r="L2372" s="88"/>
      <c r="M2372" s="88"/>
      <c r="N2372" s="88"/>
      <c r="O2372" s="88"/>
      <c r="P2372" s="88"/>
      <c r="Q2372" s="88"/>
      <c r="R2372" s="78">
        <f>MAX(S2372:W2372)</f>
        <v>1</v>
      </c>
      <c r="S2372" s="88"/>
      <c r="T2372" s="88"/>
      <c r="U2372" s="88">
        <v>1</v>
      </c>
      <c r="V2372" s="88"/>
      <c r="W2372" s="88"/>
    </row>
    <row r="2373" spans="2:23" s="0" customFormat="0" ht="15">
      <c r="B2373" s="87" t="s">
        <v>1</v>
      </c>
      <c r="C2373" s="88" t="s">
        <v>5259</v>
      </c>
      <c r="D2373" s="88" t="s">
        <v>3682</v>
      </c>
      <c r="E2373" s="88" t="s">
        <v>61</v>
      </c>
      <c r="F2373" s="88">
        <v>0</v>
      </c>
      <c r="G2373" s="78">
        <f>MAX(H2373,I2373,J2373)</f>
        <v>0</v>
      </c>
      <c r="H2373" s="88"/>
      <c r="I2373" s="88"/>
      <c r="J2373" s="78">
        <f>MAX(K2373:Q2373)</f>
        <v>0</v>
      </c>
      <c r="K2373" s="88"/>
      <c r="L2373" s="88"/>
      <c r="M2373" s="88"/>
      <c r="N2373" s="88"/>
      <c r="O2373" s="88"/>
      <c r="P2373" s="88"/>
      <c r="Q2373" s="88"/>
      <c r="R2373" s="78">
        <f>MAX(S2373:W2373)</f>
        <v>1</v>
      </c>
      <c r="S2373" s="88"/>
      <c r="T2373" s="88"/>
      <c r="U2373" s="88">
        <v>1</v>
      </c>
      <c r="V2373" s="88"/>
      <c r="W2373" s="88"/>
    </row>
    <row r="2374" spans="2:23" s="0" customFormat="0" ht="15">
      <c r="B2374" s="87" t="s">
        <v>1</v>
      </c>
      <c r="C2374" s="88" t="s">
        <v>5259</v>
      </c>
      <c r="D2374" s="88">
        <v>20813003</v>
      </c>
      <c r="E2374" s="88" t="s">
        <v>61</v>
      </c>
      <c r="F2374" s="88">
        <v>0</v>
      </c>
      <c r="G2374" s="78">
        <f>MAX(H2374,I2374,J2374)</f>
        <v>1</v>
      </c>
      <c r="H2374" s="88"/>
      <c r="I2374" s="88"/>
      <c r="J2374" s="78">
        <f>MAX(K2374:Q2374)</f>
        <v>1</v>
      </c>
      <c r="K2374" s="88">
        <v>1</v>
      </c>
      <c r="L2374" s="88"/>
      <c r="M2374" s="88"/>
      <c r="N2374" s="88"/>
      <c r="O2374" s="88"/>
      <c r="P2374" s="88"/>
      <c r="Q2374" s="88"/>
      <c r="R2374" s="78">
        <f>MAX(S2374:W2374)</f>
        <v>0</v>
      </c>
      <c r="S2374" s="88"/>
      <c r="T2374" s="88"/>
      <c r="U2374" s="88"/>
      <c r="V2374" s="88"/>
      <c r="W2374" s="88"/>
    </row>
    <row r="2375" spans="2:23" s="0" customFormat="0" ht="15">
      <c r="B2375" s="87" t="s">
        <v>1</v>
      </c>
      <c r="C2375" s="88" t="s">
        <v>5259</v>
      </c>
      <c r="D2375" s="88">
        <v>17619850</v>
      </c>
      <c r="E2375" s="88" t="s">
        <v>61</v>
      </c>
      <c r="F2375" s="88">
        <v>0</v>
      </c>
      <c r="G2375" s="78">
        <f>MAX(H2375,I2375,J2375)</f>
        <v>0</v>
      </c>
      <c r="H2375" s="88"/>
      <c r="I2375" s="88"/>
      <c r="J2375" s="78">
        <f>MAX(K2375:Q2375)</f>
        <v>0</v>
      </c>
      <c r="K2375" s="88"/>
      <c r="L2375" s="88"/>
      <c r="M2375" s="88"/>
      <c r="N2375" s="88"/>
      <c r="O2375" s="88"/>
      <c r="P2375" s="88"/>
      <c r="Q2375" s="88"/>
      <c r="R2375" s="78">
        <f>MAX(S2375:W2375)</f>
        <v>1</v>
      </c>
      <c r="S2375" s="88"/>
      <c r="T2375" s="88"/>
      <c r="U2375" s="88">
        <v>1</v>
      </c>
      <c r="V2375" s="88"/>
      <c r="W2375" s="88"/>
    </row>
    <row r="2376" spans="2:23" s="0" customFormat="0" ht="15">
      <c r="B2376" s="87" t="s">
        <v>1</v>
      </c>
      <c r="C2376" s="88" t="s">
        <v>5259</v>
      </c>
      <c r="D2376" s="88" t="s">
        <v>3040</v>
      </c>
      <c r="E2376" s="88" t="s">
        <v>61</v>
      </c>
      <c r="F2376" s="88">
        <v>0</v>
      </c>
      <c r="G2376" s="78">
        <f>MAX(H2376,I2376,J2376)</f>
        <v>1</v>
      </c>
      <c r="H2376" s="88"/>
      <c r="I2376" s="88"/>
      <c r="J2376" s="78">
        <f>MAX(K2376:Q2376)</f>
        <v>1</v>
      </c>
      <c r="K2376" s="88"/>
      <c r="L2376" s="88">
        <v>1</v>
      </c>
      <c r="M2376" s="88"/>
      <c r="N2376" s="88"/>
      <c r="O2376" s="88"/>
      <c r="P2376" s="88"/>
      <c r="Q2376" s="88"/>
      <c r="R2376" s="78">
        <f>MAX(S2376:W2376)</f>
        <v>0</v>
      </c>
      <c r="S2376" s="88"/>
      <c r="T2376" s="88"/>
      <c r="U2376" s="88"/>
      <c r="V2376" s="88"/>
      <c r="W2376" s="88"/>
    </row>
    <row r="2377" spans="2:23" s="0" customFormat="0" ht="15">
      <c r="B2377" s="87" t="s">
        <v>1</v>
      </c>
      <c r="C2377" s="88" t="s">
        <v>5259</v>
      </c>
      <c r="D2377" s="88" t="s">
        <v>230</v>
      </c>
      <c r="E2377" s="88" t="s">
        <v>61</v>
      </c>
      <c r="F2377" s="88">
        <v>0</v>
      </c>
      <c r="G2377" s="78">
        <f>MAX(H2377,I2377,J2377)</f>
        <v>1</v>
      </c>
      <c r="H2377" s="88"/>
      <c r="I2377" s="88"/>
      <c r="J2377" s="78">
        <f>MAX(K2377:Q2377)</f>
        <v>1</v>
      </c>
      <c r="K2377" s="88">
        <v>1</v>
      </c>
      <c r="L2377" s="88"/>
      <c r="M2377" s="88"/>
      <c r="N2377" s="88"/>
      <c r="O2377" s="88"/>
      <c r="P2377" s="88"/>
      <c r="Q2377" s="88"/>
      <c r="R2377" s="78">
        <f>MAX(S2377:W2377)</f>
        <v>0</v>
      </c>
      <c r="S2377" s="88"/>
      <c r="T2377" s="88"/>
      <c r="U2377" s="88"/>
      <c r="V2377" s="88"/>
      <c r="W2377" s="88"/>
    </row>
    <row r="2378" spans="2:23" s="0" customFormat="0" ht="15">
      <c r="B2378" s="87" t="s">
        <v>1</v>
      </c>
      <c r="C2378" s="88" t="s">
        <v>5259</v>
      </c>
      <c r="D2378" s="88">
        <v>15929001</v>
      </c>
      <c r="E2378" s="88" t="s">
        <v>61</v>
      </c>
      <c r="F2378" s="88">
        <v>0</v>
      </c>
      <c r="G2378" s="78">
        <f>MAX(H2378,I2378,J2378)</f>
        <v>1</v>
      </c>
      <c r="H2378" s="88"/>
      <c r="I2378" s="88"/>
      <c r="J2378" s="78">
        <f>MAX(K2378:Q2378)</f>
        <v>1</v>
      </c>
      <c r="K2378" s="88">
        <v>1</v>
      </c>
      <c r="L2378" s="88"/>
      <c r="M2378" s="88"/>
      <c r="N2378" s="88"/>
      <c r="O2378" s="88"/>
      <c r="P2378" s="88"/>
      <c r="Q2378" s="88"/>
      <c r="R2378" s="78">
        <f>MAX(S2378:W2378)</f>
        <v>0</v>
      </c>
      <c r="S2378" s="88"/>
      <c r="T2378" s="88"/>
      <c r="U2378" s="88"/>
      <c r="V2378" s="88"/>
      <c r="W2378" s="88"/>
    </row>
    <row r="2379" spans="2:23" s="0" customFormat="0" ht="15">
      <c r="B2379" s="87" t="s">
        <v>1</v>
      </c>
      <c r="C2379" s="88" t="s">
        <v>5259</v>
      </c>
      <c r="D2379" s="88">
        <v>6031524</v>
      </c>
      <c r="E2379" s="88" t="s">
        <v>61</v>
      </c>
      <c r="F2379" s="88">
        <v>0</v>
      </c>
      <c r="G2379" s="78">
        <f>MAX(H2379,I2379,J2379)</f>
        <v>1</v>
      </c>
      <c r="H2379" s="88"/>
      <c r="I2379" s="88"/>
      <c r="J2379" s="78">
        <f>MAX(K2379:Q2379)</f>
        <v>1</v>
      </c>
      <c r="K2379" s="88">
        <v>1</v>
      </c>
      <c r="L2379" s="88"/>
      <c r="M2379" s="88"/>
      <c r="N2379" s="88"/>
      <c r="O2379" s="88"/>
      <c r="P2379" s="88"/>
      <c r="Q2379" s="88"/>
      <c r="R2379" s="78">
        <f>MAX(S2379:W2379)</f>
        <v>0</v>
      </c>
      <c r="S2379" s="88"/>
      <c r="T2379" s="88"/>
      <c r="U2379" s="88"/>
      <c r="V2379" s="88"/>
      <c r="W2379" s="88"/>
    </row>
    <row r="2380" spans="2:23" s="0" customFormat="0" ht="15">
      <c r="B2380" s="87" t="s">
        <v>1</v>
      </c>
      <c r="C2380" s="88" t="s">
        <v>5259</v>
      </c>
      <c r="D2380" s="88">
        <v>21781334</v>
      </c>
      <c r="E2380" s="88" t="s">
        <v>61</v>
      </c>
      <c r="F2380" s="88">
        <v>0</v>
      </c>
      <c r="G2380" s="78">
        <f>MAX(H2380,I2380,J2380)</f>
        <v>1</v>
      </c>
      <c r="H2380" s="88"/>
      <c r="I2380" s="88"/>
      <c r="J2380" s="78">
        <f>MAX(K2380:Q2380)</f>
        <v>1</v>
      </c>
      <c r="K2380" s="88">
        <v>1</v>
      </c>
      <c r="L2380" s="88"/>
      <c r="M2380" s="88"/>
      <c r="N2380" s="88"/>
      <c r="O2380" s="88"/>
      <c r="P2380" s="88"/>
      <c r="Q2380" s="88"/>
      <c r="R2380" s="78">
        <f>MAX(S2380:W2380)</f>
        <v>0</v>
      </c>
      <c r="S2380" s="88"/>
      <c r="T2380" s="88"/>
      <c r="U2380" s="88"/>
      <c r="V2380" s="88"/>
      <c r="W2380" s="88"/>
    </row>
    <row r="2381" spans="2:23" s="0" customFormat="0" ht="15">
      <c r="B2381" s="87" t="s">
        <v>1</v>
      </c>
      <c r="C2381" s="88" t="s">
        <v>5259</v>
      </c>
      <c r="D2381" s="88">
        <v>14288288</v>
      </c>
      <c r="E2381" s="88" t="s">
        <v>61</v>
      </c>
      <c r="F2381" s="88">
        <v>0</v>
      </c>
      <c r="G2381" s="78">
        <f>MAX(H2381,I2381,J2381)</f>
        <v>1</v>
      </c>
      <c r="H2381" s="88"/>
      <c r="I2381" s="88"/>
      <c r="J2381" s="78">
        <f>MAX(K2381:Q2381)</f>
        <v>1</v>
      </c>
      <c r="K2381" s="88">
        <v>1</v>
      </c>
      <c r="L2381" s="88"/>
      <c r="M2381" s="88"/>
      <c r="N2381" s="88"/>
      <c r="O2381" s="88"/>
      <c r="P2381" s="88"/>
      <c r="Q2381" s="88"/>
      <c r="R2381" s="78">
        <f>MAX(S2381:W2381)</f>
        <v>0</v>
      </c>
      <c r="S2381" s="88"/>
      <c r="T2381" s="88"/>
      <c r="U2381" s="88"/>
      <c r="V2381" s="88"/>
      <c r="W2381" s="88"/>
    </row>
    <row r="2382" spans="2:23" s="0" customFormat="0" ht="15">
      <c r="B2382" s="87" t="s">
        <v>1</v>
      </c>
      <c r="C2382" s="88" t="s">
        <v>5259</v>
      </c>
      <c r="D2382" s="88">
        <v>17997877</v>
      </c>
      <c r="E2382" s="88" t="s">
        <v>61</v>
      </c>
      <c r="F2382" s="88">
        <v>0</v>
      </c>
      <c r="G2382" s="78">
        <f>MAX(H2382,I2382,J2382)</f>
        <v>1</v>
      </c>
      <c r="H2382" s="88"/>
      <c r="I2382" s="88"/>
      <c r="J2382" s="78">
        <f>MAX(K2382:Q2382)</f>
        <v>1</v>
      </c>
      <c r="K2382" s="88">
        <v>1</v>
      </c>
      <c r="L2382" s="88"/>
      <c r="M2382" s="88"/>
      <c r="N2382" s="88"/>
      <c r="O2382" s="88"/>
      <c r="P2382" s="88"/>
      <c r="Q2382" s="88"/>
      <c r="R2382" s="78">
        <f>MAX(S2382:W2382)</f>
        <v>0</v>
      </c>
      <c r="S2382" s="88"/>
      <c r="T2382" s="88"/>
      <c r="U2382" s="88"/>
      <c r="V2382" s="88"/>
      <c r="W2382" s="88"/>
    </row>
    <row r="2383" spans="2:23" s="0" customFormat="0" ht="15">
      <c r="B2383" s="87" t="s">
        <v>1</v>
      </c>
      <c r="C2383" s="88" t="s">
        <v>5259</v>
      </c>
      <c r="D2383" s="88">
        <v>24247289</v>
      </c>
      <c r="E2383" s="88" t="s">
        <v>61</v>
      </c>
      <c r="F2383" s="88">
        <v>0</v>
      </c>
      <c r="G2383" s="78">
        <f>MAX(H2383,I2383,J2383)</f>
        <v>1</v>
      </c>
      <c r="H2383" s="88"/>
      <c r="I2383" s="88"/>
      <c r="J2383" s="78">
        <f>MAX(K2383:Q2383)</f>
        <v>1</v>
      </c>
      <c r="K2383" s="88">
        <v>1</v>
      </c>
      <c r="L2383" s="88"/>
      <c r="M2383" s="88"/>
      <c r="N2383" s="88"/>
      <c r="O2383" s="88"/>
      <c r="P2383" s="88"/>
      <c r="Q2383" s="88"/>
      <c r="R2383" s="78">
        <f>MAX(S2383:W2383)</f>
        <v>0</v>
      </c>
      <c r="S2383" s="88"/>
      <c r="T2383" s="88"/>
      <c r="U2383" s="88"/>
      <c r="V2383" s="88"/>
      <c r="W2383" s="88"/>
    </row>
    <row r="2384" spans="2:23" s="0" customFormat="0" ht="15">
      <c r="B2384" s="87" t="s">
        <v>1</v>
      </c>
      <c r="C2384" s="88" t="s">
        <v>5259</v>
      </c>
      <c r="D2384" s="88" t="s">
        <v>4385</v>
      </c>
      <c r="E2384" s="88" t="s">
        <v>61</v>
      </c>
      <c r="F2384" s="88">
        <v>0</v>
      </c>
      <c r="G2384" s="78">
        <f>MAX(H2384,I2384,J2384)</f>
        <v>0</v>
      </c>
      <c r="H2384" s="88"/>
      <c r="I2384" s="88"/>
      <c r="J2384" s="78">
        <f>MAX(K2384:Q2384)</f>
        <v>0</v>
      </c>
      <c r="K2384" s="88"/>
      <c r="L2384" s="88"/>
      <c r="M2384" s="88"/>
      <c r="N2384" s="88"/>
      <c r="O2384" s="88"/>
      <c r="P2384" s="88"/>
      <c r="Q2384" s="88"/>
      <c r="R2384" s="78">
        <f>MAX(S2384:W2384)</f>
        <v>1</v>
      </c>
      <c r="S2384" s="88"/>
      <c r="T2384" s="88"/>
      <c r="U2384" s="88">
        <v>1</v>
      </c>
      <c r="V2384" s="88"/>
      <c r="W2384" s="88"/>
    </row>
    <row r="2385" spans="2:23" s="0" customFormat="0" ht="15">
      <c r="B2385" s="87" t="s">
        <v>1</v>
      </c>
      <c r="C2385" s="88" t="s">
        <v>5259</v>
      </c>
      <c r="D2385" s="88">
        <v>23069421</v>
      </c>
      <c r="E2385" s="88" t="s">
        <v>61</v>
      </c>
      <c r="F2385" s="88">
        <v>0</v>
      </c>
      <c r="G2385" s="78">
        <f>MAX(H2385,I2385,J2385)</f>
        <v>1</v>
      </c>
      <c r="H2385" s="88"/>
      <c r="I2385" s="88"/>
      <c r="J2385" s="78">
        <f>MAX(K2385:Q2385)</f>
        <v>1</v>
      </c>
      <c r="K2385" s="88">
        <v>1</v>
      </c>
      <c r="L2385" s="88"/>
      <c r="M2385" s="88"/>
      <c r="N2385" s="88"/>
      <c r="O2385" s="88"/>
      <c r="P2385" s="88"/>
      <c r="Q2385" s="88"/>
      <c r="R2385" s="78">
        <f>MAX(S2385:W2385)</f>
        <v>0</v>
      </c>
      <c r="S2385" s="88"/>
      <c r="T2385" s="88"/>
      <c r="U2385" s="88"/>
      <c r="V2385" s="88"/>
      <c r="W2385" s="88"/>
    </row>
    <row r="2386" spans="2:23" s="0" customFormat="0" ht="15">
      <c r="B2386" s="87" t="s">
        <v>1</v>
      </c>
      <c r="C2386" s="88" t="s">
        <v>5259</v>
      </c>
      <c r="D2386" s="88">
        <v>19863502</v>
      </c>
      <c r="E2386" s="88" t="s">
        <v>61</v>
      </c>
      <c r="F2386" s="88">
        <v>0</v>
      </c>
      <c r="G2386" s="78">
        <f>MAX(H2386,I2386,J2386)</f>
        <v>0</v>
      </c>
      <c r="H2386" s="88"/>
      <c r="I2386" s="88"/>
      <c r="J2386" s="78">
        <f>MAX(K2386:Q2386)</f>
        <v>0</v>
      </c>
      <c r="K2386" s="88"/>
      <c r="L2386" s="88"/>
      <c r="M2386" s="88"/>
      <c r="N2386" s="88"/>
      <c r="O2386" s="88"/>
      <c r="P2386" s="88"/>
      <c r="Q2386" s="88"/>
      <c r="R2386" s="78">
        <f>MAX(S2386:W2386)</f>
        <v>1</v>
      </c>
      <c r="S2386" s="88"/>
      <c r="T2386" s="88"/>
      <c r="U2386" s="88">
        <v>1</v>
      </c>
      <c r="V2386" s="88"/>
      <c r="W2386" s="88"/>
    </row>
    <row r="2387" spans="2:23" s="0" customFormat="0" ht="15">
      <c r="B2387" s="87" t="s">
        <v>1</v>
      </c>
      <c r="C2387" s="88" t="s">
        <v>5259</v>
      </c>
      <c r="D2387" s="88">
        <v>14689143</v>
      </c>
      <c r="E2387" s="88" t="s">
        <v>61</v>
      </c>
      <c r="F2387" s="88">
        <v>0</v>
      </c>
      <c r="G2387" s="78">
        <f>MAX(H2387,I2387,J2387)</f>
        <v>1</v>
      </c>
      <c r="H2387" s="88"/>
      <c r="I2387" s="88"/>
      <c r="J2387" s="78">
        <f>MAX(K2387:Q2387)</f>
        <v>1</v>
      </c>
      <c r="K2387" s="88">
        <v>1</v>
      </c>
      <c r="L2387" s="88"/>
      <c r="M2387" s="88"/>
      <c r="N2387" s="88"/>
      <c r="O2387" s="88"/>
      <c r="P2387" s="88"/>
      <c r="Q2387" s="88"/>
      <c r="R2387" s="78">
        <f>MAX(S2387:W2387)</f>
        <v>0</v>
      </c>
      <c r="S2387" s="88"/>
      <c r="T2387" s="88"/>
      <c r="U2387" s="88"/>
      <c r="V2387" s="88"/>
      <c r="W2387" s="88"/>
    </row>
    <row r="2388" spans="2:23" s="0" customFormat="0" ht="15">
      <c r="B2388" s="87" t="s">
        <v>1</v>
      </c>
      <c r="C2388" s="88" t="s">
        <v>5259</v>
      </c>
      <c r="D2388" s="88">
        <v>9308929</v>
      </c>
      <c r="E2388" s="88" t="s">
        <v>61</v>
      </c>
      <c r="F2388" s="88">
        <v>0</v>
      </c>
      <c r="G2388" s="78">
        <f>MAX(H2388,I2388,J2388)</f>
        <v>1</v>
      </c>
      <c r="H2388" s="88"/>
      <c r="I2388" s="88"/>
      <c r="J2388" s="78">
        <f>MAX(K2388:Q2388)</f>
        <v>1</v>
      </c>
      <c r="K2388" s="88">
        <v>1</v>
      </c>
      <c r="L2388" s="88"/>
      <c r="M2388" s="88"/>
      <c r="N2388" s="88"/>
      <c r="O2388" s="88"/>
      <c r="P2388" s="88"/>
      <c r="Q2388" s="88"/>
      <c r="R2388" s="78">
        <f>MAX(S2388:W2388)</f>
        <v>0</v>
      </c>
      <c r="S2388" s="88"/>
      <c r="T2388" s="88"/>
      <c r="U2388" s="88"/>
      <c r="V2388" s="88"/>
      <c r="W2388" s="88"/>
    </row>
    <row r="2389" spans="2:23" s="0" customFormat="0" ht="15">
      <c r="B2389" s="87" t="s">
        <v>1</v>
      </c>
      <c r="C2389" s="88" t="s">
        <v>5259</v>
      </c>
      <c r="D2389" s="88" t="s">
        <v>4387</v>
      </c>
      <c r="E2389" s="88" t="s">
        <v>61</v>
      </c>
      <c r="F2389" s="88">
        <v>0</v>
      </c>
      <c r="G2389" s="78">
        <f>MAX(H2389,I2389,J2389)</f>
        <v>0</v>
      </c>
      <c r="H2389" s="88"/>
      <c r="I2389" s="88"/>
      <c r="J2389" s="78">
        <f>MAX(K2389:Q2389)</f>
        <v>0</v>
      </c>
      <c r="K2389" s="88"/>
      <c r="L2389" s="88"/>
      <c r="M2389" s="88"/>
      <c r="N2389" s="88"/>
      <c r="O2389" s="88"/>
      <c r="P2389" s="88"/>
      <c r="Q2389" s="88"/>
      <c r="R2389" s="78">
        <f>MAX(S2389:W2389)</f>
        <v>1</v>
      </c>
      <c r="S2389" s="88"/>
      <c r="T2389" s="88"/>
      <c r="U2389" s="88">
        <v>1</v>
      </c>
      <c r="V2389" s="88"/>
      <c r="W2389" s="88"/>
    </row>
    <row r="2390" spans="2:23" s="0" customFormat="0" ht="15">
      <c r="B2390" s="87" t="s">
        <v>1</v>
      </c>
      <c r="C2390" s="88" t="s">
        <v>5259</v>
      </c>
      <c r="D2390" s="88">
        <v>13328830</v>
      </c>
      <c r="E2390" s="88" t="s">
        <v>61</v>
      </c>
      <c r="F2390" s="88">
        <v>0</v>
      </c>
      <c r="G2390" s="78">
        <f>MAX(H2390,I2390,J2390)</f>
        <v>1</v>
      </c>
      <c r="H2390" s="88"/>
      <c r="I2390" s="88"/>
      <c r="J2390" s="78">
        <f>MAX(K2390:Q2390)</f>
        <v>1</v>
      </c>
      <c r="K2390" s="88">
        <v>1</v>
      </c>
      <c r="L2390" s="88"/>
      <c r="M2390" s="88"/>
      <c r="N2390" s="88"/>
      <c r="O2390" s="88"/>
      <c r="P2390" s="88"/>
      <c r="Q2390" s="88"/>
      <c r="R2390" s="78">
        <f>MAX(S2390:W2390)</f>
        <v>0</v>
      </c>
      <c r="S2390" s="88"/>
      <c r="T2390" s="88"/>
      <c r="U2390" s="88"/>
      <c r="V2390" s="88"/>
      <c r="W2390" s="88"/>
    </row>
    <row r="2391" spans="2:23" s="0" customFormat="0" ht="15">
      <c r="B2391" s="87" t="s">
        <v>1</v>
      </c>
      <c r="C2391" s="88" t="s">
        <v>5259</v>
      </c>
      <c r="D2391" s="88">
        <v>19863541</v>
      </c>
      <c r="E2391" s="88" t="s">
        <v>61</v>
      </c>
      <c r="F2391" s="88">
        <v>0</v>
      </c>
      <c r="G2391" s="78">
        <f>MAX(H2391,I2391,J2391)</f>
        <v>1</v>
      </c>
      <c r="H2391" s="88"/>
      <c r="I2391" s="88"/>
      <c r="J2391" s="78">
        <f>MAX(K2391:Q2391)</f>
        <v>1</v>
      </c>
      <c r="K2391" s="88">
        <v>1</v>
      </c>
      <c r="L2391" s="88"/>
      <c r="M2391" s="88"/>
      <c r="N2391" s="88"/>
      <c r="O2391" s="88"/>
      <c r="P2391" s="88"/>
      <c r="Q2391" s="88"/>
      <c r="R2391" s="78">
        <f>MAX(S2391:W2391)</f>
        <v>0</v>
      </c>
      <c r="S2391" s="88"/>
      <c r="T2391" s="88"/>
      <c r="U2391" s="88"/>
      <c r="V2391" s="88"/>
      <c r="W2391" s="88"/>
    </row>
    <row r="2392" spans="2:23" s="0" customFormat="0" ht="15">
      <c r="B2392" s="87" t="s">
        <v>1</v>
      </c>
      <c r="C2392" s="88" t="s">
        <v>5259</v>
      </c>
      <c r="D2392" s="88">
        <v>741531</v>
      </c>
      <c r="E2392" s="88" t="s">
        <v>61</v>
      </c>
      <c r="F2392" s="88">
        <v>0</v>
      </c>
      <c r="G2392" s="78">
        <f>MAX(H2392,I2392,J2392)</f>
        <v>1</v>
      </c>
      <c r="H2392" s="88"/>
      <c r="I2392" s="88"/>
      <c r="J2392" s="78">
        <f>MAX(K2392:Q2392)</f>
        <v>1</v>
      </c>
      <c r="K2392" s="88">
        <v>1</v>
      </c>
      <c r="L2392" s="88"/>
      <c r="M2392" s="88"/>
      <c r="N2392" s="88"/>
      <c r="O2392" s="88"/>
      <c r="P2392" s="88"/>
      <c r="Q2392" s="88"/>
      <c r="R2392" s="78">
        <f>MAX(S2392:W2392)</f>
        <v>0</v>
      </c>
      <c r="S2392" s="88"/>
      <c r="T2392" s="88"/>
      <c r="U2392" s="88"/>
      <c r="V2392" s="88"/>
      <c r="W2392" s="88"/>
    </row>
    <row r="2393" spans="2:23" s="0" customFormat="0" ht="15">
      <c r="B2393" s="87" t="s">
        <v>1</v>
      </c>
      <c r="C2393" s="88" t="s">
        <v>5259</v>
      </c>
      <c r="D2393" s="88" t="s">
        <v>1730</v>
      </c>
      <c r="E2393" s="88" t="s">
        <v>61</v>
      </c>
      <c r="F2393" s="88">
        <v>0</v>
      </c>
      <c r="G2393" s="78">
        <f>MAX(H2393,I2393,J2393)</f>
        <v>1</v>
      </c>
      <c r="H2393" s="88"/>
      <c r="I2393" s="88"/>
      <c r="J2393" s="78">
        <f>MAX(K2393:Q2393)</f>
        <v>1</v>
      </c>
      <c r="K2393" s="88">
        <v>1</v>
      </c>
      <c r="L2393" s="88"/>
      <c r="M2393" s="88"/>
      <c r="N2393" s="88"/>
      <c r="O2393" s="88"/>
      <c r="P2393" s="88"/>
      <c r="Q2393" s="88"/>
      <c r="R2393" s="78">
        <f>MAX(S2393:W2393)</f>
        <v>0</v>
      </c>
      <c r="S2393" s="88"/>
      <c r="T2393" s="88"/>
      <c r="U2393" s="88"/>
      <c r="V2393" s="88"/>
      <c r="W2393" s="88"/>
    </row>
    <row r="2394" spans="2:23" s="0" customFormat="0" ht="15">
      <c r="B2394" s="87" t="s">
        <v>1</v>
      </c>
      <c r="C2394" s="88" t="s">
        <v>5259</v>
      </c>
      <c r="D2394" s="88">
        <v>7823360</v>
      </c>
      <c r="E2394" s="88" t="s">
        <v>61</v>
      </c>
      <c r="F2394" s="88">
        <v>0</v>
      </c>
      <c r="G2394" s="78">
        <f>MAX(H2394,I2394,J2394)</f>
        <v>1</v>
      </c>
      <c r="H2394" s="88"/>
      <c r="I2394" s="88"/>
      <c r="J2394" s="78">
        <f>MAX(K2394:Q2394)</f>
        <v>1</v>
      </c>
      <c r="K2394" s="88">
        <v>1</v>
      </c>
      <c r="L2394" s="88"/>
      <c r="M2394" s="88"/>
      <c r="N2394" s="88"/>
      <c r="O2394" s="88"/>
      <c r="P2394" s="88"/>
      <c r="Q2394" s="88"/>
      <c r="R2394" s="78">
        <f>MAX(S2394:W2394)</f>
        <v>0</v>
      </c>
      <c r="S2394" s="88"/>
      <c r="T2394" s="88"/>
      <c r="U2394" s="88"/>
      <c r="V2394" s="88"/>
      <c r="W2394" s="88"/>
    </row>
    <row r="2395" spans="2:23" s="0" customFormat="0" ht="15">
      <c r="B2395" s="87" t="s">
        <v>1</v>
      </c>
      <c r="C2395" s="88" t="s">
        <v>5259</v>
      </c>
      <c r="D2395" s="88" t="s">
        <v>913</v>
      </c>
      <c r="E2395" s="88" t="s">
        <v>61</v>
      </c>
      <c r="F2395" s="88">
        <v>0</v>
      </c>
      <c r="G2395" s="78">
        <f>MAX(H2395,I2395,J2395)</f>
        <v>1</v>
      </c>
      <c r="H2395" s="88"/>
      <c r="I2395" s="88"/>
      <c r="J2395" s="78">
        <f>MAX(K2395:Q2395)</f>
        <v>1</v>
      </c>
      <c r="K2395" s="88">
        <v>1</v>
      </c>
      <c r="L2395" s="88"/>
      <c r="M2395" s="88"/>
      <c r="N2395" s="88"/>
      <c r="O2395" s="88"/>
      <c r="P2395" s="88"/>
      <c r="Q2395" s="88"/>
      <c r="R2395" s="78">
        <f>MAX(S2395:W2395)</f>
        <v>0</v>
      </c>
      <c r="S2395" s="88"/>
      <c r="T2395" s="88"/>
      <c r="U2395" s="88"/>
      <c r="V2395" s="88"/>
      <c r="W2395" s="88"/>
    </row>
    <row r="2396" spans="2:23" s="0" customFormat="0" ht="15">
      <c r="B2396" s="87" t="s">
        <v>1</v>
      </c>
      <c r="C2396" s="88" t="s">
        <v>5259</v>
      </c>
      <c r="D2396" s="88">
        <v>12775392</v>
      </c>
      <c r="E2396" s="88" t="s">
        <v>61</v>
      </c>
      <c r="F2396" s="88">
        <v>0</v>
      </c>
      <c r="G2396" s="78">
        <f>MAX(H2396,I2396,J2396)</f>
        <v>1</v>
      </c>
      <c r="H2396" s="88"/>
      <c r="I2396" s="88"/>
      <c r="J2396" s="78">
        <f>MAX(K2396:Q2396)</f>
        <v>1</v>
      </c>
      <c r="K2396" s="88">
        <v>1</v>
      </c>
      <c r="L2396" s="88"/>
      <c r="M2396" s="88"/>
      <c r="N2396" s="88"/>
      <c r="O2396" s="88"/>
      <c r="P2396" s="88"/>
      <c r="Q2396" s="88"/>
      <c r="R2396" s="78">
        <f>MAX(S2396:W2396)</f>
        <v>0</v>
      </c>
      <c r="S2396" s="88"/>
      <c r="T2396" s="88"/>
      <c r="U2396" s="88"/>
      <c r="V2396" s="88"/>
      <c r="W2396" s="88"/>
    </row>
    <row r="2397" spans="2:23" s="0" customFormat="0" ht="15">
      <c r="B2397" s="87" t="s">
        <v>1</v>
      </c>
      <c r="C2397" s="88" t="s">
        <v>5259</v>
      </c>
      <c r="D2397" s="88">
        <v>22273778</v>
      </c>
      <c r="E2397" s="88" t="s">
        <v>61</v>
      </c>
      <c r="F2397" s="88">
        <v>0</v>
      </c>
      <c r="G2397" s="78">
        <f>MAX(H2397,I2397,J2397)</f>
        <v>1</v>
      </c>
      <c r="H2397" s="88"/>
      <c r="I2397" s="88"/>
      <c r="J2397" s="78">
        <f>MAX(K2397:Q2397)</f>
        <v>1</v>
      </c>
      <c r="K2397" s="88">
        <v>1</v>
      </c>
      <c r="L2397" s="88"/>
      <c r="M2397" s="88"/>
      <c r="N2397" s="88"/>
      <c r="O2397" s="88"/>
      <c r="P2397" s="88"/>
      <c r="Q2397" s="88"/>
      <c r="R2397" s="78">
        <f>MAX(S2397:W2397)</f>
        <v>0</v>
      </c>
      <c r="S2397" s="88"/>
      <c r="T2397" s="88"/>
      <c r="U2397" s="88"/>
      <c r="V2397" s="88"/>
      <c r="W2397" s="88"/>
    </row>
    <row r="2398" spans="2:23" s="0" customFormat="0" ht="15">
      <c r="B2398" s="87" t="s">
        <v>1</v>
      </c>
      <c r="C2398" s="88" t="s">
        <v>5259</v>
      </c>
      <c r="D2398" s="88" t="s">
        <v>3771</v>
      </c>
      <c r="E2398" s="88" t="s">
        <v>61</v>
      </c>
      <c r="F2398" s="88">
        <v>0</v>
      </c>
      <c r="G2398" s="78">
        <f>MAX(H2398,I2398,J2398)</f>
        <v>0</v>
      </c>
      <c r="H2398" s="88"/>
      <c r="I2398" s="88"/>
      <c r="J2398" s="78">
        <f>MAX(K2398:Q2398)</f>
        <v>0</v>
      </c>
      <c r="K2398" s="88"/>
      <c r="L2398" s="88"/>
      <c r="M2398" s="88"/>
      <c r="N2398" s="88"/>
      <c r="O2398" s="88"/>
      <c r="P2398" s="88"/>
      <c r="Q2398" s="88"/>
      <c r="R2398" s="78">
        <f>MAX(S2398:W2398)</f>
        <v>1</v>
      </c>
      <c r="S2398" s="88"/>
      <c r="T2398" s="88"/>
      <c r="U2398" s="88">
        <v>1</v>
      </c>
      <c r="V2398" s="88"/>
      <c r="W2398" s="88"/>
    </row>
    <row r="2399" spans="2:23" s="0" customFormat="0" ht="15">
      <c r="B2399" s="87" t="s">
        <v>1</v>
      </c>
      <c r="C2399" s="88" t="s">
        <v>5259</v>
      </c>
      <c r="D2399" s="88">
        <v>12635400</v>
      </c>
      <c r="E2399" s="88" t="s">
        <v>61</v>
      </c>
      <c r="F2399" s="88">
        <v>0</v>
      </c>
      <c r="G2399" s="78">
        <f>MAX(H2399,I2399,J2399)</f>
        <v>1</v>
      </c>
      <c r="H2399" s="88"/>
      <c r="I2399" s="88"/>
      <c r="J2399" s="78">
        <f>MAX(K2399:Q2399)</f>
        <v>1</v>
      </c>
      <c r="K2399" s="88">
        <v>1</v>
      </c>
      <c r="L2399" s="88"/>
      <c r="M2399" s="88"/>
      <c r="N2399" s="88"/>
      <c r="O2399" s="88"/>
      <c r="P2399" s="88"/>
      <c r="Q2399" s="88"/>
      <c r="R2399" s="78">
        <f>MAX(S2399:W2399)</f>
        <v>0</v>
      </c>
      <c r="S2399" s="88"/>
      <c r="T2399" s="88"/>
      <c r="U2399" s="88"/>
      <c r="V2399" s="88"/>
      <c r="W2399" s="88"/>
    </row>
    <row r="2400" spans="2:23" s="0" customFormat="0" ht="15">
      <c r="B2400" s="87" t="s">
        <v>1</v>
      </c>
      <c r="C2400" s="88" t="s">
        <v>5259</v>
      </c>
      <c r="D2400" s="88" t="s">
        <v>926</v>
      </c>
      <c r="E2400" s="88" t="s">
        <v>61</v>
      </c>
      <c r="F2400" s="88">
        <v>0</v>
      </c>
      <c r="G2400" s="78">
        <f>MAX(H2400,I2400,J2400)</f>
        <v>1</v>
      </c>
      <c r="H2400" s="88"/>
      <c r="I2400" s="88"/>
      <c r="J2400" s="78">
        <f>MAX(K2400:Q2400)</f>
        <v>1</v>
      </c>
      <c r="K2400" s="88">
        <v>1</v>
      </c>
      <c r="L2400" s="88"/>
      <c r="M2400" s="88"/>
      <c r="N2400" s="88"/>
      <c r="O2400" s="88"/>
      <c r="P2400" s="88"/>
      <c r="Q2400" s="88"/>
      <c r="R2400" s="78">
        <f>MAX(S2400:W2400)</f>
        <v>0</v>
      </c>
      <c r="S2400" s="88"/>
      <c r="T2400" s="88"/>
      <c r="U2400" s="88"/>
      <c r="V2400" s="88"/>
      <c r="W2400" s="88"/>
    </row>
    <row r="2401" spans="2:23" s="0" customFormat="0" ht="15">
      <c r="B2401" s="87" t="s">
        <v>1</v>
      </c>
      <c r="C2401" s="88" t="s">
        <v>5259</v>
      </c>
      <c r="D2401" s="88">
        <v>22463789</v>
      </c>
      <c r="E2401" s="88" t="s">
        <v>61</v>
      </c>
      <c r="F2401" s="88">
        <v>0</v>
      </c>
      <c r="G2401" s="78">
        <f>MAX(H2401,I2401,J2401)</f>
        <v>1</v>
      </c>
      <c r="H2401" s="88"/>
      <c r="I2401" s="88"/>
      <c r="J2401" s="78">
        <f>MAX(K2401:Q2401)</f>
        <v>1</v>
      </c>
      <c r="K2401" s="88">
        <v>1</v>
      </c>
      <c r="L2401" s="88"/>
      <c r="M2401" s="88"/>
      <c r="N2401" s="88"/>
      <c r="O2401" s="88"/>
      <c r="P2401" s="88"/>
      <c r="Q2401" s="88"/>
      <c r="R2401" s="78">
        <f>MAX(S2401:W2401)</f>
        <v>0</v>
      </c>
      <c r="S2401" s="88"/>
      <c r="T2401" s="88"/>
      <c r="U2401" s="88"/>
      <c r="V2401" s="88"/>
      <c r="W2401" s="88"/>
    </row>
    <row r="2402" spans="2:23" s="0" customFormat="0" ht="15">
      <c r="B2402" s="87" t="s">
        <v>1</v>
      </c>
      <c r="C2402" s="88" t="s">
        <v>5259</v>
      </c>
      <c r="D2402" s="88">
        <v>11865468</v>
      </c>
      <c r="E2402" s="88" t="s">
        <v>61</v>
      </c>
      <c r="F2402" s="88">
        <v>0</v>
      </c>
      <c r="G2402" s="78">
        <f>MAX(H2402,I2402,J2402)</f>
        <v>0</v>
      </c>
      <c r="H2402" s="88"/>
      <c r="I2402" s="88"/>
      <c r="J2402" s="78">
        <f>MAX(K2402:Q2402)</f>
        <v>0</v>
      </c>
      <c r="K2402" s="88"/>
      <c r="L2402" s="88"/>
      <c r="M2402" s="88"/>
      <c r="N2402" s="88"/>
      <c r="O2402" s="88"/>
      <c r="P2402" s="88"/>
      <c r="Q2402" s="88"/>
      <c r="R2402" s="78">
        <f>MAX(S2402:W2402)</f>
        <v>1</v>
      </c>
      <c r="S2402" s="88"/>
      <c r="T2402" s="88"/>
      <c r="U2402" s="88">
        <v>1</v>
      </c>
      <c r="V2402" s="88"/>
      <c r="W2402" s="88"/>
    </row>
    <row r="2403" spans="2:23" s="0" customFormat="0" ht="15">
      <c r="B2403" s="87" t="s">
        <v>1</v>
      </c>
      <c r="C2403" s="88" t="s">
        <v>5259</v>
      </c>
      <c r="D2403" s="88">
        <v>11828354</v>
      </c>
      <c r="E2403" s="88" t="s">
        <v>61</v>
      </c>
      <c r="F2403" s="88">
        <v>0</v>
      </c>
      <c r="G2403" s="78">
        <f>MAX(H2403,I2403,J2403)</f>
        <v>1</v>
      </c>
      <c r="H2403" s="88"/>
      <c r="I2403" s="88"/>
      <c r="J2403" s="78">
        <f>MAX(K2403:Q2403)</f>
        <v>1</v>
      </c>
      <c r="K2403" s="88">
        <v>1</v>
      </c>
      <c r="L2403" s="88"/>
      <c r="M2403" s="88"/>
      <c r="N2403" s="88"/>
      <c r="O2403" s="88"/>
      <c r="P2403" s="88"/>
      <c r="Q2403" s="88"/>
      <c r="R2403" s="78">
        <f>MAX(S2403:W2403)</f>
        <v>0</v>
      </c>
      <c r="S2403" s="88"/>
      <c r="T2403" s="88"/>
      <c r="U2403" s="88"/>
      <c r="V2403" s="88"/>
      <c r="W2403" s="88"/>
    </row>
    <row r="2404" spans="2:23" s="0" customFormat="0" ht="15">
      <c r="B2404" s="87" t="s">
        <v>1</v>
      </c>
      <c r="C2404" s="88" t="s">
        <v>5259</v>
      </c>
      <c r="D2404" s="88">
        <v>16058095</v>
      </c>
      <c r="E2404" s="88" t="s">
        <v>61</v>
      </c>
      <c r="F2404" s="88">
        <v>0</v>
      </c>
      <c r="G2404" s="78">
        <f>MAX(H2404,I2404,J2404)</f>
        <v>1</v>
      </c>
      <c r="H2404" s="88"/>
      <c r="I2404" s="88"/>
      <c r="J2404" s="78">
        <f>MAX(K2404:Q2404)</f>
        <v>1</v>
      </c>
      <c r="K2404" s="88">
        <v>1</v>
      </c>
      <c r="L2404" s="88"/>
      <c r="M2404" s="88"/>
      <c r="N2404" s="88"/>
      <c r="O2404" s="88"/>
      <c r="P2404" s="88"/>
      <c r="Q2404" s="88"/>
      <c r="R2404" s="78">
        <f>MAX(S2404:W2404)</f>
        <v>0</v>
      </c>
      <c r="S2404" s="88"/>
      <c r="T2404" s="88"/>
      <c r="U2404" s="88"/>
      <c r="V2404" s="88"/>
      <c r="W2404" s="88"/>
    </row>
    <row r="2405" spans="2:23" s="0" customFormat="0" ht="15">
      <c r="B2405" s="87" t="s">
        <v>1</v>
      </c>
      <c r="C2405" s="88" t="s">
        <v>5259</v>
      </c>
      <c r="D2405" s="88" t="s">
        <v>4389</v>
      </c>
      <c r="E2405" s="88" t="s">
        <v>61</v>
      </c>
      <c r="F2405" s="88">
        <v>0</v>
      </c>
      <c r="G2405" s="78">
        <f>MAX(H2405,I2405,J2405)</f>
        <v>0</v>
      </c>
      <c r="H2405" s="88"/>
      <c r="I2405" s="88"/>
      <c r="J2405" s="78">
        <f>MAX(K2405:Q2405)</f>
        <v>0</v>
      </c>
      <c r="K2405" s="88"/>
      <c r="L2405" s="88"/>
      <c r="M2405" s="88"/>
      <c r="N2405" s="88"/>
      <c r="O2405" s="88"/>
      <c r="P2405" s="88"/>
      <c r="Q2405" s="88"/>
      <c r="R2405" s="78">
        <f>MAX(S2405:W2405)</f>
        <v>1</v>
      </c>
      <c r="S2405" s="88"/>
      <c r="T2405" s="88"/>
      <c r="U2405" s="88">
        <v>1</v>
      </c>
      <c r="V2405" s="88"/>
      <c r="W2405" s="88"/>
    </row>
    <row r="2406" spans="2:23" s="0" customFormat="0" ht="15">
      <c r="B2406" s="87" t="s">
        <v>1</v>
      </c>
      <c r="C2406" s="88" t="s">
        <v>5259</v>
      </c>
      <c r="D2406" s="88" t="s">
        <v>4391</v>
      </c>
      <c r="E2406" s="88" t="s">
        <v>61</v>
      </c>
      <c r="F2406" s="88">
        <v>0</v>
      </c>
      <c r="G2406" s="78">
        <f>MAX(H2406,I2406,J2406)</f>
        <v>0</v>
      </c>
      <c r="H2406" s="88"/>
      <c r="I2406" s="88"/>
      <c r="J2406" s="78">
        <f>MAX(K2406:Q2406)</f>
        <v>0</v>
      </c>
      <c r="K2406" s="88"/>
      <c r="L2406" s="88"/>
      <c r="M2406" s="88"/>
      <c r="N2406" s="88"/>
      <c r="O2406" s="88"/>
      <c r="P2406" s="88"/>
      <c r="Q2406" s="88"/>
      <c r="R2406" s="78">
        <f>MAX(S2406:W2406)</f>
        <v>1</v>
      </c>
      <c r="S2406" s="88"/>
      <c r="T2406" s="88"/>
      <c r="U2406" s="88">
        <v>1</v>
      </c>
      <c r="V2406" s="88"/>
      <c r="W2406" s="88"/>
    </row>
    <row r="2407" spans="2:23" s="0" customFormat="0" ht="15">
      <c r="B2407" s="87" t="s">
        <v>1</v>
      </c>
      <c r="C2407" s="88" t="s">
        <v>5259</v>
      </c>
      <c r="D2407" s="88">
        <v>20952390</v>
      </c>
      <c r="E2407" s="88" t="s">
        <v>61</v>
      </c>
      <c r="F2407" s="88">
        <v>0</v>
      </c>
      <c r="G2407" s="78">
        <f>MAX(H2407,I2407,J2407)</f>
        <v>1</v>
      </c>
      <c r="H2407" s="88"/>
      <c r="I2407" s="88"/>
      <c r="J2407" s="78">
        <f>MAX(K2407:Q2407)</f>
        <v>1</v>
      </c>
      <c r="K2407" s="88">
        <v>1</v>
      </c>
      <c r="L2407" s="88"/>
      <c r="M2407" s="88"/>
      <c r="N2407" s="88"/>
      <c r="O2407" s="88"/>
      <c r="P2407" s="88"/>
      <c r="Q2407" s="88"/>
      <c r="R2407" s="78">
        <f>MAX(S2407:W2407)</f>
        <v>0</v>
      </c>
      <c r="S2407" s="88"/>
      <c r="T2407" s="88"/>
      <c r="U2407" s="88"/>
      <c r="V2407" s="88"/>
      <c r="W2407" s="88"/>
    </row>
    <row r="2408" spans="2:23" s="0" customFormat="0" ht="15">
      <c r="B2408" s="87" t="s">
        <v>1</v>
      </c>
      <c r="C2408" s="88" t="s">
        <v>5259</v>
      </c>
      <c r="D2408" s="88">
        <v>16974681</v>
      </c>
      <c r="E2408" s="88" t="s">
        <v>61</v>
      </c>
      <c r="F2408" s="88">
        <v>0</v>
      </c>
      <c r="G2408" s="78">
        <f>MAX(H2408,I2408,J2408)</f>
        <v>0</v>
      </c>
      <c r="H2408" s="88"/>
      <c r="I2408" s="88"/>
      <c r="J2408" s="78">
        <f>MAX(K2408:Q2408)</f>
        <v>0</v>
      </c>
      <c r="K2408" s="88"/>
      <c r="L2408" s="88"/>
      <c r="M2408" s="88"/>
      <c r="N2408" s="88"/>
      <c r="O2408" s="88"/>
      <c r="P2408" s="88"/>
      <c r="Q2408" s="88"/>
      <c r="R2408" s="78">
        <f>MAX(S2408:W2408)</f>
        <v>1</v>
      </c>
      <c r="S2408" s="88"/>
      <c r="T2408" s="88"/>
      <c r="U2408" s="88">
        <v>1</v>
      </c>
      <c r="V2408" s="88"/>
      <c r="W2408" s="88"/>
    </row>
    <row r="2409" spans="2:23" s="0" customFormat="0" ht="15">
      <c r="B2409" s="87" t="s">
        <v>1</v>
      </c>
      <c r="C2409" s="88" t="s">
        <v>5259</v>
      </c>
      <c r="D2409" s="88">
        <v>18903817</v>
      </c>
      <c r="E2409" s="88" t="s">
        <v>61</v>
      </c>
      <c r="F2409" s="88">
        <v>0</v>
      </c>
      <c r="G2409" s="78">
        <f>MAX(H2409,I2409,J2409)</f>
        <v>1</v>
      </c>
      <c r="H2409" s="88"/>
      <c r="I2409" s="88"/>
      <c r="J2409" s="78">
        <f>MAX(K2409:Q2409)</f>
        <v>1</v>
      </c>
      <c r="K2409" s="88">
        <v>1</v>
      </c>
      <c r="L2409" s="88"/>
      <c r="M2409" s="88"/>
      <c r="N2409" s="88"/>
      <c r="O2409" s="88"/>
      <c r="P2409" s="88"/>
      <c r="Q2409" s="88"/>
      <c r="R2409" s="78">
        <f>MAX(S2409:W2409)</f>
        <v>0</v>
      </c>
      <c r="S2409" s="88"/>
      <c r="T2409" s="88"/>
      <c r="U2409" s="88"/>
      <c r="V2409" s="88"/>
      <c r="W2409" s="88"/>
    </row>
    <row r="2410" spans="2:23" s="0" customFormat="0" ht="15">
      <c r="B2410" s="87" t="s">
        <v>1</v>
      </c>
      <c r="C2410" s="88" t="s">
        <v>5259</v>
      </c>
      <c r="D2410" s="88">
        <v>14674577</v>
      </c>
      <c r="E2410" s="88" t="s">
        <v>61</v>
      </c>
      <c r="F2410" s="88">
        <v>0</v>
      </c>
      <c r="G2410" s="78">
        <f>MAX(H2410,I2410,J2410)</f>
        <v>1</v>
      </c>
      <c r="H2410" s="88"/>
      <c r="I2410" s="88"/>
      <c r="J2410" s="78">
        <f>MAX(K2410:Q2410)</f>
        <v>1</v>
      </c>
      <c r="K2410" s="88">
        <v>1</v>
      </c>
      <c r="L2410" s="88"/>
      <c r="M2410" s="88"/>
      <c r="N2410" s="88"/>
      <c r="O2410" s="88"/>
      <c r="P2410" s="88"/>
      <c r="Q2410" s="88"/>
      <c r="R2410" s="78">
        <f>MAX(S2410:W2410)</f>
        <v>0</v>
      </c>
      <c r="S2410" s="88"/>
      <c r="T2410" s="88"/>
      <c r="U2410" s="88"/>
      <c r="V2410" s="88"/>
      <c r="W2410" s="88"/>
    </row>
    <row r="2411" spans="2:23" s="0" customFormat="0" ht="15">
      <c r="B2411" s="87" t="s">
        <v>1</v>
      </c>
      <c r="C2411" s="88" t="s">
        <v>5259</v>
      </c>
      <c r="D2411" s="88" t="s">
        <v>4393</v>
      </c>
      <c r="E2411" s="88" t="s">
        <v>61</v>
      </c>
      <c r="F2411" s="88">
        <v>0</v>
      </c>
      <c r="G2411" s="78">
        <f>MAX(H2411,I2411,J2411)</f>
        <v>0</v>
      </c>
      <c r="H2411" s="88"/>
      <c r="I2411" s="88"/>
      <c r="J2411" s="78">
        <f>MAX(K2411:Q2411)</f>
        <v>0</v>
      </c>
      <c r="K2411" s="88"/>
      <c r="L2411" s="88"/>
      <c r="M2411" s="88"/>
      <c r="N2411" s="88"/>
      <c r="O2411" s="88"/>
      <c r="P2411" s="88"/>
      <c r="Q2411" s="88"/>
      <c r="R2411" s="78">
        <f>MAX(S2411:W2411)</f>
        <v>1</v>
      </c>
      <c r="S2411" s="88"/>
      <c r="T2411" s="88"/>
      <c r="U2411" s="88">
        <v>1</v>
      </c>
      <c r="V2411" s="88"/>
      <c r="W2411" s="88"/>
    </row>
    <row r="2412" spans="2:23" s="0" customFormat="0" ht="15">
      <c r="B2412" s="87" t="s">
        <v>1</v>
      </c>
      <c r="C2412" s="88" t="s">
        <v>5259</v>
      </c>
      <c r="D2412" s="88" t="s">
        <v>4395</v>
      </c>
      <c r="E2412" s="88" t="s">
        <v>61</v>
      </c>
      <c r="F2412" s="88">
        <v>0</v>
      </c>
      <c r="G2412" s="78">
        <f>MAX(H2412,I2412,J2412)</f>
        <v>0</v>
      </c>
      <c r="H2412" s="88"/>
      <c r="I2412" s="88"/>
      <c r="J2412" s="78">
        <f>MAX(K2412:Q2412)</f>
        <v>0</v>
      </c>
      <c r="K2412" s="88"/>
      <c r="L2412" s="88"/>
      <c r="M2412" s="88"/>
      <c r="N2412" s="88"/>
      <c r="O2412" s="88"/>
      <c r="P2412" s="88"/>
      <c r="Q2412" s="88"/>
      <c r="R2412" s="78">
        <f>MAX(S2412:W2412)</f>
        <v>1</v>
      </c>
      <c r="S2412" s="88"/>
      <c r="T2412" s="88"/>
      <c r="U2412" s="88">
        <v>1</v>
      </c>
      <c r="V2412" s="88"/>
      <c r="W2412" s="88"/>
    </row>
    <row r="2413" spans="2:23" s="0" customFormat="0" ht="15">
      <c r="B2413" s="87" t="s">
        <v>1</v>
      </c>
      <c r="C2413" s="88" t="s">
        <v>5259</v>
      </c>
      <c r="D2413" s="88">
        <v>16974059</v>
      </c>
      <c r="E2413" s="88" t="s">
        <v>61</v>
      </c>
      <c r="F2413" s="88">
        <v>0</v>
      </c>
      <c r="G2413" s="78">
        <f>MAX(H2413,I2413,J2413)</f>
        <v>0</v>
      </c>
      <c r="H2413" s="88"/>
      <c r="I2413" s="88"/>
      <c r="J2413" s="78">
        <f>MAX(K2413:Q2413)</f>
        <v>0</v>
      </c>
      <c r="K2413" s="88"/>
      <c r="L2413" s="88"/>
      <c r="M2413" s="88"/>
      <c r="N2413" s="88"/>
      <c r="O2413" s="88"/>
      <c r="P2413" s="88"/>
      <c r="Q2413" s="88"/>
      <c r="R2413" s="78">
        <f>MAX(S2413:W2413)</f>
        <v>1</v>
      </c>
      <c r="S2413" s="88"/>
      <c r="T2413" s="88"/>
      <c r="U2413" s="88">
        <v>1</v>
      </c>
      <c r="V2413" s="88"/>
      <c r="W2413" s="88"/>
    </row>
    <row r="2414" spans="2:23" s="0" customFormat="0" ht="15">
      <c r="B2414" s="87" t="s">
        <v>1</v>
      </c>
      <c r="C2414" s="88" t="s">
        <v>5259</v>
      </c>
      <c r="D2414" s="88">
        <v>12853219</v>
      </c>
      <c r="E2414" s="88" t="s">
        <v>61</v>
      </c>
      <c r="F2414" s="88">
        <v>0</v>
      </c>
      <c r="G2414" s="78">
        <f>MAX(H2414,I2414,J2414)</f>
        <v>1</v>
      </c>
      <c r="H2414" s="88"/>
      <c r="I2414" s="88"/>
      <c r="J2414" s="78">
        <f>MAX(K2414:Q2414)</f>
        <v>1</v>
      </c>
      <c r="K2414" s="88">
        <v>1</v>
      </c>
      <c r="L2414" s="88"/>
      <c r="M2414" s="88"/>
      <c r="N2414" s="88"/>
      <c r="O2414" s="88"/>
      <c r="P2414" s="88"/>
      <c r="Q2414" s="88"/>
      <c r="R2414" s="78">
        <f>MAX(S2414:W2414)</f>
        <v>0</v>
      </c>
      <c r="S2414" s="88"/>
      <c r="T2414" s="88"/>
      <c r="U2414" s="88"/>
      <c r="V2414" s="88"/>
      <c r="W2414" s="88"/>
    </row>
    <row r="2415" spans="2:23" s="0" customFormat="0" ht="15">
      <c r="B2415" s="87" t="s">
        <v>1</v>
      </c>
      <c r="C2415" s="88" t="s">
        <v>5259</v>
      </c>
      <c r="D2415" s="88" t="s">
        <v>4085</v>
      </c>
      <c r="E2415" s="88" t="s">
        <v>61</v>
      </c>
      <c r="F2415" s="88">
        <v>0</v>
      </c>
      <c r="G2415" s="78">
        <f>MAX(H2415,I2415,J2415)</f>
        <v>0</v>
      </c>
      <c r="H2415" s="88"/>
      <c r="I2415" s="88"/>
      <c r="J2415" s="78">
        <f>MAX(K2415:Q2415)</f>
        <v>0</v>
      </c>
      <c r="K2415" s="88"/>
      <c r="L2415" s="88"/>
      <c r="M2415" s="88"/>
      <c r="N2415" s="88"/>
      <c r="O2415" s="88"/>
      <c r="P2415" s="88"/>
      <c r="Q2415" s="88"/>
      <c r="R2415" s="78">
        <f>MAX(S2415:W2415)</f>
        <v>1</v>
      </c>
      <c r="S2415" s="88"/>
      <c r="T2415" s="88"/>
      <c r="U2415" s="88">
        <v>1</v>
      </c>
      <c r="V2415" s="88"/>
      <c r="W2415" s="88"/>
    </row>
    <row r="2416" spans="2:23" s="0" customFormat="0" ht="15">
      <c r="B2416" s="87" t="s">
        <v>1</v>
      </c>
      <c r="C2416" s="88" t="s">
        <v>5259</v>
      </c>
      <c r="D2416" s="88" t="s">
        <v>3404</v>
      </c>
      <c r="E2416" s="88" t="s">
        <v>61</v>
      </c>
      <c r="F2416" s="88">
        <v>0</v>
      </c>
      <c r="G2416" s="78">
        <f>MAX(H2416,I2416,J2416)</f>
        <v>0</v>
      </c>
      <c r="H2416" s="88"/>
      <c r="I2416" s="88"/>
      <c r="J2416" s="78">
        <f>MAX(K2416:Q2416)</f>
        <v>0</v>
      </c>
      <c r="K2416" s="88"/>
      <c r="L2416" s="88"/>
      <c r="M2416" s="88"/>
      <c r="N2416" s="88"/>
      <c r="O2416" s="88"/>
      <c r="P2416" s="88"/>
      <c r="Q2416" s="88"/>
      <c r="R2416" s="78">
        <f>MAX(S2416:W2416)</f>
        <v>1</v>
      </c>
      <c r="S2416" s="88"/>
      <c r="T2416" s="88"/>
      <c r="U2416" s="88">
        <v>1</v>
      </c>
      <c r="V2416" s="88"/>
      <c r="W2416" s="88"/>
    </row>
    <row r="2417" spans="2:23" s="0" customFormat="0" ht="15">
      <c r="B2417" s="87" t="s">
        <v>1</v>
      </c>
      <c r="C2417" s="88" t="s">
        <v>5259</v>
      </c>
      <c r="D2417" s="88">
        <v>11426623</v>
      </c>
      <c r="E2417" s="88" t="s">
        <v>61</v>
      </c>
      <c r="F2417" s="88">
        <v>0</v>
      </c>
      <c r="G2417" s="78">
        <f>MAX(H2417,I2417,J2417)</f>
        <v>1</v>
      </c>
      <c r="H2417" s="88"/>
      <c r="I2417" s="88"/>
      <c r="J2417" s="78">
        <f>MAX(K2417:Q2417)</f>
        <v>1</v>
      </c>
      <c r="K2417" s="88">
        <v>1</v>
      </c>
      <c r="L2417" s="88"/>
      <c r="M2417" s="88"/>
      <c r="N2417" s="88"/>
      <c r="O2417" s="88"/>
      <c r="P2417" s="88"/>
      <c r="Q2417" s="88"/>
      <c r="R2417" s="78">
        <f>MAX(S2417:W2417)</f>
        <v>0</v>
      </c>
      <c r="S2417" s="88"/>
      <c r="T2417" s="88"/>
      <c r="U2417" s="88"/>
      <c r="V2417" s="88"/>
      <c r="W2417" s="88"/>
    </row>
    <row r="2418" spans="2:23" s="0" customFormat="0" ht="15">
      <c r="B2418" s="87" t="s">
        <v>1</v>
      </c>
      <c r="C2418" s="88" t="s">
        <v>5259</v>
      </c>
      <c r="D2418" s="88" t="s">
        <v>1739</v>
      </c>
      <c r="E2418" s="88" t="s">
        <v>61</v>
      </c>
      <c r="F2418" s="88">
        <v>0</v>
      </c>
      <c r="G2418" s="78">
        <f>MAX(H2418,I2418,J2418)</f>
        <v>1</v>
      </c>
      <c r="H2418" s="88"/>
      <c r="I2418" s="88"/>
      <c r="J2418" s="78">
        <f>MAX(K2418:Q2418)</f>
        <v>1</v>
      </c>
      <c r="K2418" s="88">
        <v>1</v>
      </c>
      <c r="L2418" s="88"/>
      <c r="M2418" s="88"/>
      <c r="N2418" s="88"/>
      <c r="O2418" s="88"/>
      <c r="P2418" s="88"/>
      <c r="Q2418" s="88"/>
      <c r="R2418" s="78">
        <f>MAX(S2418:W2418)</f>
        <v>0</v>
      </c>
      <c r="S2418" s="88"/>
      <c r="T2418" s="88"/>
      <c r="U2418" s="88"/>
      <c r="V2418" s="88"/>
      <c r="W2418" s="88"/>
    </row>
    <row r="2419" spans="2:23" s="0" customFormat="0" ht="15">
      <c r="B2419" s="87" t="s">
        <v>1</v>
      </c>
      <c r="C2419" s="88" t="s">
        <v>5259</v>
      </c>
      <c r="D2419" s="88" t="s">
        <v>1741</v>
      </c>
      <c r="E2419" s="88" t="s">
        <v>61</v>
      </c>
      <c r="F2419" s="88">
        <v>0</v>
      </c>
      <c r="G2419" s="78">
        <f>MAX(H2419,I2419,J2419)</f>
        <v>1</v>
      </c>
      <c r="H2419" s="88"/>
      <c r="I2419" s="88"/>
      <c r="J2419" s="78">
        <f>MAX(K2419:Q2419)</f>
        <v>1</v>
      </c>
      <c r="K2419" s="88">
        <v>1</v>
      </c>
      <c r="L2419" s="88"/>
      <c r="M2419" s="88"/>
      <c r="N2419" s="88"/>
      <c r="O2419" s="88"/>
      <c r="P2419" s="88"/>
      <c r="Q2419" s="88"/>
      <c r="R2419" s="78">
        <f>MAX(S2419:W2419)</f>
        <v>0</v>
      </c>
      <c r="S2419" s="88"/>
      <c r="T2419" s="88"/>
      <c r="U2419" s="88"/>
      <c r="V2419" s="88"/>
      <c r="W2419" s="88"/>
    </row>
    <row r="2420" spans="2:23" s="0" customFormat="0" ht="15">
      <c r="B2420" s="87" t="s">
        <v>1</v>
      </c>
      <c r="C2420" s="88" t="s">
        <v>5259</v>
      </c>
      <c r="D2420" s="88" t="s">
        <v>4398</v>
      </c>
      <c r="E2420" s="88" t="s">
        <v>61</v>
      </c>
      <c r="F2420" s="88">
        <v>0</v>
      </c>
      <c r="G2420" s="78">
        <f>MAX(H2420,I2420,J2420)</f>
        <v>0</v>
      </c>
      <c r="H2420" s="88"/>
      <c r="I2420" s="88"/>
      <c r="J2420" s="78">
        <f>MAX(K2420:Q2420)</f>
        <v>0</v>
      </c>
      <c r="K2420" s="88"/>
      <c r="L2420" s="88"/>
      <c r="M2420" s="88"/>
      <c r="N2420" s="88"/>
      <c r="O2420" s="88"/>
      <c r="P2420" s="88"/>
      <c r="Q2420" s="88"/>
      <c r="R2420" s="78">
        <f>MAX(S2420:W2420)</f>
        <v>1</v>
      </c>
      <c r="S2420" s="88"/>
      <c r="T2420" s="88"/>
      <c r="U2420" s="88">
        <v>1</v>
      </c>
      <c r="V2420" s="88"/>
      <c r="W2420" s="88"/>
    </row>
    <row r="2421" spans="2:23" s="0" customFormat="0" ht="15">
      <c r="B2421" s="87" t="s">
        <v>1</v>
      </c>
      <c r="C2421" s="88" t="s">
        <v>5259</v>
      </c>
      <c r="D2421" s="88">
        <v>18728680</v>
      </c>
      <c r="E2421" s="88" t="s">
        <v>61</v>
      </c>
      <c r="F2421" s="88">
        <v>0</v>
      </c>
      <c r="G2421" s="78">
        <f>MAX(H2421,I2421,J2421)</f>
        <v>1</v>
      </c>
      <c r="H2421" s="88"/>
      <c r="I2421" s="88"/>
      <c r="J2421" s="78">
        <f>MAX(K2421:Q2421)</f>
        <v>1</v>
      </c>
      <c r="K2421" s="88">
        <v>1</v>
      </c>
      <c r="L2421" s="88"/>
      <c r="M2421" s="88"/>
      <c r="N2421" s="88"/>
      <c r="O2421" s="88"/>
      <c r="P2421" s="88"/>
      <c r="Q2421" s="88"/>
      <c r="R2421" s="78">
        <f>MAX(S2421:W2421)</f>
        <v>0</v>
      </c>
      <c r="S2421" s="88"/>
      <c r="T2421" s="88"/>
      <c r="U2421" s="88"/>
      <c r="V2421" s="88"/>
      <c r="W2421" s="88"/>
    </row>
    <row r="2422" spans="2:23" s="0" customFormat="0" ht="15">
      <c r="B2422" s="87" t="s">
        <v>1</v>
      </c>
      <c r="C2422" s="88" t="s">
        <v>5259</v>
      </c>
      <c r="D2422" s="88" t="s">
        <v>4400</v>
      </c>
      <c r="E2422" s="88" t="s">
        <v>61</v>
      </c>
      <c r="F2422" s="88">
        <v>0</v>
      </c>
      <c r="G2422" s="78">
        <f>MAX(H2422,I2422,J2422)</f>
        <v>0</v>
      </c>
      <c r="H2422" s="88"/>
      <c r="I2422" s="88"/>
      <c r="J2422" s="78">
        <f>MAX(K2422:Q2422)</f>
        <v>0</v>
      </c>
      <c r="K2422" s="88"/>
      <c r="L2422" s="88"/>
      <c r="M2422" s="88"/>
      <c r="N2422" s="88"/>
      <c r="O2422" s="88"/>
      <c r="P2422" s="88"/>
      <c r="Q2422" s="88"/>
      <c r="R2422" s="78">
        <f>MAX(S2422:W2422)</f>
        <v>1</v>
      </c>
      <c r="S2422" s="88"/>
      <c r="T2422" s="88"/>
      <c r="U2422" s="88">
        <v>1</v>
      </c>
      <c r="V2422" s="88"/>
      <c r="W2422" s="88"/>
    </row>
    <row r="2423" spans="2:23" s="0" customFormat="0" ht="15">
      <c r="B2423" s="87" t="s">
        <v>1</v>
      </c>
      <c r="C2423" s="88" t="s">
        <v>5259</v>
      </c>
      <c r="D2423" s="88">
        <v>4446147</v>
      </c>
      <c r="E2423" s="88" t="s">
        <v>61</v>
      </c>
      <c r="F2423" s="88">
        <v>0</v>
      </c>
      <c r="G2423" s="78">
        <f>MAX(H2423,I2423,J2423)</f>
        <v>1</v>
      </c>
      <c r="H2423" s="88"/>
      <c r="I2423" s="88"/>
      <c r="J2423" s="78">
        <f>MAX(K2423:Q2423)</f>
        <v>1</v>
      </c>
      <c r="K2423" s="88">
        <v>1</v>
      </c>
      <c r="L2423" s="88"/>
      <c r="M2423" s="88"/>
      <c r="N2423" s="88"/>
      <c r="O2423" s="88"/>
      <c r="P2423" s="88"/>
      <c r="Q2423" s="88"/>
      <c r="R2423" s="78">
        <f>MAX(S2423:W2423)</f>
        <v>0</v>
      </c>
      <c r="S2423" s="88"/>
      <c r="T2423" s="88"/>
      <c r="U2423" s="88"/>
      <c r="V2423" s="88"/>
      <c r="W2423" s="88"/>
    </row>
    <row r="2424" spans="2:23" s="0" customFormat="0" ht="15">
      <c r="B2424" s="87" t="s">
        <v>1</v>
      </c>
      <c r="C2424" s="88" t="s">
        <v>5259</v>
      </c>
      <c r="D2424" s="88">
        <v>20186857</v>
      </c>
      <c r="E2424" s="88" t="s">
        <v>61</v>
      </c>
      <c r="F2424" s="88">
        <v>0</v>
      </c>
      <c r="G2424" s="78">
        <f>MAX(H2424,I2424,J2424)</f>
        <v>1</v>
      </c>
      <c r="H2424" s="88"/>
      <c r="I2424" s="88"/>
      <c r="J2424" s="78">
        <f>MAX(K2424:Q2424)</f>
        <v>1</v>
      </c>
      <c r="K2424" s="88">
        <v>1</v>
      </c>
      <c r="L2424" s="88"/>
      <c r="M2424" s="88"/>
      <c r="N2424" s="88"/>
      <c r="O2424" s="88"/>
      <c r="P2424" s="88"/>
      <c r="Q2424" s="88"/>
      <c r="R2424" s="78">
        <f>MAX(S2424:W2424)</f>
        <v>0</v>
      </c>
      <c r="S2424" s="88"/>
      <c r="T2424" s="88"/>
      <c r="U2424" s="88"/>
      <c r="V2424" s="88"/>
      <c r="W2424" s="88"/>
    </row>
    <row r="2425" spans="2:23" s="0" customFormat="0" ht="15">
      <c r="B2425" s="87" t="s">
        <v>1</v>
      </c>
      <c r="C2425" s="88" t="s">
        <v>5259</v>
      </c>
      <c r="D2425" s="88" t="s">
        <v>4402</v>
      </c>
      <c r="E2425" s="88" t="s">
        <v>61</v>
      </c>
      <c r="F2425" s="88">
        <v>0</v>
      </c>
      <c r="G2425" s="78">
        <f>MAX(H2425,I2425,J2425)</f>
        <v>0</v>
      </c>
      <c r="H2425" s="88"/>
      <c r="I2425" s="88"/>
      <c r="J2425" s="78">
        <f>MAX(K2425:Q2425)</f>
        <v>0</v>
      </c>
      <c r="K2425" s="88"/>
      <c r="L2425" s="88"/>
      <c r="M2425" s="88"/>
      <c r="N2425" s="88"/>
      <c r="O2425" s="88"/>
      <c r="P2425" s="88"/>
      <c r="Q2425" s="88"/>
      <c r="R2425" s="78">
        <f>MAX(S2425:W2425)</f>
        <v>1</v>
      </c>
      <c r="S2425" s="88"/>
      <c r="T2425" s="88"/>
      <c r="U2425" s="88">
        <v>1</v>
      </c>
      <c r="V2425" s="88"/>
      <c r="W2425" s="88"/>
    </row>
    <row r="2426" spans="2:23" s="0" customFormat="0" ht="15">
      <c r="B2426" s="87" t="s">
        <v>1</v>
      </c>
      <c r="C2426" s="88" t="s">
        <v>5259</v>
      </c>
      <c r="D2426" s="88">
        <v>4876675</v>
      </c>
      <c r="E2426" s="88" t="s">
        <v>61</v>
      </c>
      <c r="F2426" s="88">
        <v>0</v>
      </c>
      <c r="G2426" s="78">
        <f>MAX(H2426,I2426,J2426)</f>
        <v>1</v>
      </c>
      <c r="H2426" s="88"/>
      <c r="I2426" s="88"/>
      <c r="J2426" s="78">
        <f>MAX(K2426:Q2426)</f>
        <v>1</v>
      </c>
      <c r="K2426" s="88">
        <v>1</v>
      </c>
      <c r="L2426" s="88"/>
      <c r="M2426" s="88"/>
      <c r="N2426" s="88"/>
      <c r="O2426" s="88"/>
      <c r="P2426" s="88"/>
      <c r="Q2426" s="88"/>
      <c r="R2426" s="78">
        <f>MAX(S2426:W2426)</f>
        <v>0</v>
      </c>
      <c r="S2426" s="88"/>
      <c r="T2426" s="88"/>
      <c r="U2426" s="88"/>
      <c r="V2426" s="88"/>
      <c r="W2426" s="88"/>
    </row>
    <row r="2427" spans="2:23" s="0" customFormat="0" ht="15">
      <c r="B2427" s="87" t="s">
        <v>1</v>
      </c>
      <c r="C2427" s="88" t="s">
        <v>5259</v>
      </c>
      <c r="D2427" s="88" t="s">
        <v>1745</v>
      </c>
      <c r="E2427" s="88" t="s">
        <v>61</v>
      </c>
      <c r="F2427" s="88">
        <v>0</v>
      </c>
      <c r="G2427" s="78">
        <f>MAX(H2427,I2427,J2427)</f>
        <v>1</v>
      </c>
      <c r="H2427" s="88"/>
      <c r="I2427" s="88"/>
      <c r="J2427" s="78">
        <f>MAX(K2427:Q2427)</f>
        <v>1</v>
      </c>
      <c r="K2427" s="88">
        <v>1</v>
      </c>
      <c r="L2427" s="88"/>
      <c r="M2427" s="88"/>
      <c r="N2427" s="88"/>
      <c r="O2427" s="88"/>
      <c r="P2427" s="88"/>
      <c r="Q2427" s="88"/>
      <c r="R2427" s="78">
        <f>MAX(S2427:W2427)</f>
        <v>0</v>
      </c>
      <c r="S2427" s="88"/>
      <c r="T2427" s="88"/>
      <c r="U2427" s="88"/>
      <c r="V2427" s="88"/>
      <c r="W2427" s="88"/>
    </row>
    <row r="2428" spans="2:23" s="0" customFormat="0" ht="15">
      <c r="B2428" s="87" t="s">
        <v>1</v>
      </c>
      <c r="C2428" s="88" t="s">
        <v>5259</v>
      </c>
      <c r="D2428" s="88">
        <v>18714525</v>
      </c>
      <c r="E2428" s="88" t="s">
        <v>61</v>
      </c>
      <c r="F2428" s="88">
        <v>0</v>
      </c>
      <c r="G2428" s="78">
        <f>MAX(H2428,I2428,J2428)</f>
        <v>1</v>
      </c>
      <c r="H2428" s="88"/>
      <c r="I2428" s="88"/>
      <c r="J2428" s="78">
        <f>MAX(K2428:Q2428)</f>
        <v>1</v>
      </c>
      <c r="K2428" s="88">
        <v>1</v>
      </c>
      <c r="L2428" s="88"/>
      <c r="M2428" s="88"/>
      <c r="N2428" s="88"/>
      <c r="O2428" s="88"/>
      <c r="P2428" s="88"/>
      <c r="Q2428" s="88"/>
      <c r="R2428" s="78">
        <f>MAX(S2428:W2428)</f>
        <v>0</v>
      </c>
      <c r="S2428" s="88"/>
      <c r="T2428" s="88"/>
      <c r="U2428" s="88"/>
      <c r="V2428" s="88"/>
      <c r="W2428" s="88"/>
    </row>
    <row r="2429" spans="2:23" s="0" customFormat="0" ht="15">
      <c r="B2429" s="87" t="s">
        <v>1</v>
      </c>
      <c r="C2429" s="88" t="s">
        <v>5259</v>
      </c>
      <c r="D2429" s="88">
        <v>21644217</v>
      </c>
      <c r="E2429" s="88" t="s">
        <v>61</v>
      </c>
      <c r="F2429" s="88">
        <v>0</v>
      </c>
      <c r="G2429" s="78">
        <f>MAX(H2429,I2429,J2429)</f>
        <v>1</v>
      </c>
      <c r="H2429" s="88"/>
      <c r="I2429" s="88"/>
      <c r="J2429" s="78">
        <f>MAX(K2429:Q2429)</f>
        <v>1</v>
      </c>
      <c r="K2429" s="88">
        <v>1</v>
      </c>
      <c r="L2429" s="88"/>
      <c r="M2429" s="88"/>
      <c r="N2429" s="88"/>
      <c r="O2429" s="88"/>
      <c r="P2429" s="88"/>
      <c r="Q2429" s="88"/>
      <c r="R2429" s="78">
        <f>MAX(S2429:W2429)</f>
        <v>0</v>
      </c>
      <c r="S2429" s="88"/>
      <c r="T2429" s="88"/>
      <c r="U2429" s="88"/>
      <c r="V2429" s="88"/>
      <c r="W2429" s="88"/>
    </row>
    <row r="2430" spans="2:23" s="0" customFormat="0" ht="15">
      <c r="B2430" s="87" t="s">
        <v>1</v>
      </c>
      <c r="C2430" s="88" t="s">
        <v>5259</v>
      </c>
      <c r="D2430" s="88" t="s">
        <v>4404</v>
      </c>
      <c r="E2430" s="88" t="s">
        <v>61</v>
      </c>
      <c r="F2430" s="88">
        <v>0</v>
      </c>
      <c r="G2430" s="78">
        <f>MAX(H2430,I2430,J2430)</f>
        <v>0</v>
      </c>
      <c r="H2430" s="88"/>
      <c r="I2430" s="88"/>
      <c r="J2430" s="78">
        <f>MAX(K2430:Q2430)</f>
        <v>0</v>
      </c>
      <c r="K2430" s="88"/>
      <c r="L2430" s="88"/>
      <c r="M2430" s="88"/>
      <c r="N2430" s="88"/>
      <c r="O2430" s="88"/>
      <c r="P2430" s="88"/>
      <c r="Q2430" s="88"/>
      <c r="R2430" s="78">
        <f>MAX(S2430:W2430)</f>
        <v>1</v>
      </c>
      <c r="S2430" s="88"/>
      <c r="T2430" s="88"/>
      <c r="U2430" s="88">
        <v>1</v>
      </c>
      <c r="V2430" s="88"/>
      <c r="W2430" s="88"/>
    </row>
    <row r="2431" spans="2:23" s="0" customFormat="0" ht="15">
      <c r="B2431" s="87" t="s">
        <v>1</v>
      </c>
      <c r="C2431" s="88" t="s">
        <v>5259</v>
      </c>
      <c r="D2431" s="88">
        <v>13113069</v>
      </c>
      <c r="E2431" s="88" t="s">
        <v>61</v>
      </c>
      <c r="F2431" s="88">
        <v>0</v>
      </c>
      <c r="G2431" s="78">
        <f>MAX(H2431,I2431,J2431)</f>
        <v>1</v>
      </c>
      <c r="H2431" s="88"/>
      <c r="I2431" s="88"/>
      <c r="J2431" s="78">
        <f>MAX(K2431:Q2431)</f>
        <v>1</v>
      </c>
      <c r="K2431" s="88">
        <v>1</v>
      </c>
      <c r="L2431" s="88"/>
      <c r="M2431" s="88"/>
      <c r="N2431" s="88"/>
      <c r="O2431" s="88"/>
      <c r="P2431" s="88"/>
      <c r="Q2431" s="88"/>
      <c r="R2431" s="78">
        <f>MAX(S2431:W2431)</f>
        <v>0</v>
      </c>
      <c r="S2431" s="88"/>
      <c r="T2431" s="88"/>
      <c r="U2431" s="88"/>
      <c r="V2431" s="88"/>
      <c r="W2431" s="88"/>
    </row>
    <row r="2432" spans="2:23" s="0" customFormat="0" ht="15">
      <c r="B2432" s="87" t="s">
        <v>1</v>
      </c>
      <c r="C2432" s="88" t="s">
        <v>5259</v>
      </c>
      <c r="D2432" s="88">
        <v>16974979</v>
      </c>
      <c r="E2432" s="88" t="s">
        <v>61</v>
      </c>
      <c r="F2432" s="88">
        <v>0</v>
      </c>
      <c r="G2432" s="78">
        <f>MAX(H2432,I2432,J2432)</f>
        <v>0</v>
      </c>
      <c r="H2432" s="88"/>
      <c r="I2432" s="88"/>
      <c r="J2432" s="78">
        <f>MAX(K2432:Q2432)</f>
        <v>0</v>
      </c>
      <c r="K2432" s="88"/>
      <c r="L2432" s="88"/>
      <c r="M2432" s="88"/>
      <c r="N2432" s="88"/>
      <c r="O2432" s="88"/>
      <c r="P2432" s="88"/>
      <c r="Q2432" s="88"/>
      <c r="R2432" s="78">
        <f>MAX(S2432:W2432)</f>
        <v>1</v>
      </c>
      <c r="S2432" s="88"/>
      <c r="T2432" s="88"/>
      <c r="U2432" s="88">
        <v>1</v>
      </c>
      <c r="V2432" s="88"/>
      <c r="W2432" s="88"/>
    </row>
    <row r="2433" spans="2:23" s="0" customFormat="0" ht="15">
      <c r="B2433" s="87" t="s">
        <v>1</v>
      </c>
      <c r="C2433" s="88" t="s">
        <v>5259</v>
      </c>
      <c r="D2433" s="88">
        <v>21610162</v>
      </c>
      <c r="E2433" s="88" t="s">
        <v>61</v>
      </c>
      <c r="F2433" s="88">
        <v>0</v>
      </c>
      <c r="G2433" s="78">
        <f>MAX(H2433,I2433,J2433)</f>
        <v>1</v>
      </c>
      <c r="H2433" s="88"/>
      <c r="I2433" s="88"/>
      <c r="J2433" s="78">
        <f>MAX(K2433:Q2433)</f>
        <v>1</v>
      </c>
      <c r="K2433" s="88">
        <v>1</v>
      </c>
      <c r="L2433" s="88"/>
      <c r="M2433" s="88"/>
      <c r="N2433" s="88"/>
      <c r="O2433" s="88"/>
      <c r="P2433" s="88"/>
      <c r="Q2433" s="88"/>
      <c r="R2433" s="78">
        <f>MAX(S2433:W2433)</f>
        <v>0</v>
      </c>
      <c r="S2433" s="88"/>
      <c r="T2433" s="88"/>
      <c r="U2433" s="88"/>
      <c r="V2433" s="88"/>
      <c r="W2433" s="88"/>
    </row>
    <row r="2434" spans="2:23" s="0" customFormat="0" ht="15">
      <c r="B2434" s="87" t="s">
        <v>1</v>
      </c>
      <c r="C2434" s="88" t="s">
        <v>5259</v>
      </c>
      <c r="D2434" s="88">
        <v>20811032</v>
      </c>
      <c r="E2434" s="88" t="s">
        <v>61</v>
      </c>
      <c r="F2434" s="88">
        <v>0</v>
      </c>
      <c r="G2434" s="78">
        <f>MAX(H2434,I2434,J2434)</f>
        <v>1</v>
      </c>
      <c r="H2434" s="88"/>
      <c r="I2434" s="88"/>
      <c r="J2434" s="78">
        <f>MAX(K2434:Q2434)</f>
        <v>1</v>
      </c>
      <c r="K2434" s="88">
        <v>1</v>
      </c>
      <c r="L2434" s="88"/>
      <c r="M2434" s="88"/>
      <c r="N2434" s="88"/>
      <c r="O2434" s="88"/>
      <c r="P2434" s="88"/>
      <c r="Q2434" s="88"/>
      <c r="R2434" s="78">
        <f>MAX(S2434:W2434)</f>
        <v>0</v>
      </c>
      <c r="S2434" s="88"/>
      <c r="T2434" s="88"/>
      <c r="U2434" s="88"/>
      <c r="V2434" s="88"/>
      <c r="W2434" s="88"/>
    </row>
    <row r="2435" spans="2:23" s="0" customFormat="0" ht="15">
      <c r="B2435" s="87" t="s">
        <v>1</v>
      </c>
      <c r="C2435" s="88" t="s">
        <v>5259</v>
      </c>
      <c r="D2435" s="88" t="s">
        <v>1749</v>
      </c>
      <c r="E2435" s="88" t="s">
        <v>61</v>
      </c>
      <c r="F2435" s="88">
        <v>0</v>
      </c>
      <c r="G2435" s="78">
        <f>MAX(H2435,I2435,J2435)</f>
        <v>1</v>
      </c>
      <c r="H2435" s="88"/>
      <c r="I2435" s="88"/>
      <c r="J2435" s="78">
        <f>MAX(K2435:Q2435)</f>
        <v>1</v>
      </c>
      <c r="K2435" s="88">
        <v>1</v>
      </c>
      <c r="L2435" s="88"/>
      <c r="M2435" s="88"/>
      <c r="N2435" s="88"/>
      <c r="O2435" s="88"/>
      <c r="P2435" s="88"/>
      <c r="Q2435" s="88"/>
      <c r="R2435" s="78">
        <f>MAX(S2435:W2435)</f>
        <v>0</v>
      </c>
      <c r="S2435" s="88"/>
      <c r="T2435" s="88"/>
      <c r="U2435" s="88"/>
      <c r="V2435" s="88"/>
      <c r="W2435" s="88"/>
    </row>
    <row r="2436" spans="2:23" s="0" customFormat="0" ht="15">
      <c r="B2436" s="87" t="s">
        <v>1</v>
      </c>
      <c r="C2436" s="88" t="s">
        <v>5259</v>
      </c>
      <c r="D2436" s="88">
        <v>13555241</v>
      </c>
      <c r="E2436" s="88" t="s">
        <v>61</v>
      </c>
      <c r="F2436" s="88">
        <v>0</v>
      </c>
      <c r="G2436" s="78">
        <f>MAX(H2436,I2436,J2436)</f>
        <v>1</v>
      </c>
      <c r="H2436" s="88"/>
      <c r="I2436" s="88"/>
      <c r="J2436" s="78">
        <f>MAX(K2436:Q2436)</f>
        <v>1</v>
      </c>
      <c r="K2436" s="88">
        <v>1</v>
      </c>
      <c r="L2436" s="88"/>
      <c r="M2436" s="88"/>
      <c r="N2436" s="88"/>
      <c r="O2436" s="88"/>
      <c r="P2436" s="88"/>
      <c r="Q2436" s="88"/>
      <c r="R2436" s="78">
        <f>MAX(S2436:W2436)</f>
        <v>0</v>
      </c>
      <c r="S2436" s="88"/>
      <c r="T2436" s="88"/>
      <c r="U2436" s="88"/>
      <c r="V2436" s="88"/>
      <c r="W2436" s="88"/>
    </row>
    <row r="2437" spans="2:23" s="0" customFormat="0" ht="15">
      <c r="B2437" s="87" t="s">
        <v>1</v>
      </c>
      <c r="C2437" s="88" t="s">
        <v>5259</v>
      </c>
      <c r="D2437" s="88" t="s">
        <v>1752</v>
      </c>
      <c r="E2437" s="88" t="s">
        <v>61</v>
      </c>
      <c r="F2437" s="88">
        <v>0</v>
      </c>
      <c r="G2437" s="78">
        <f>MAX(H2437,I2437,J2437)</f>
        <v>1</v>
      </c>
      <c r="H2437" s="88"/>
      <c r="I2437" s="88"/>
      <c r="J2437" s="78">
        <f>MAX(K2437:Q2437)</f>
        <v>1</v>
      </c>
      <c r="K2437" s="88">
        <v>1</v>
      </c>
      <c r="L2437" s="88"/>
      <c r="M2437" s="88"/>
      <c r="N2437" s="88"/>
      <c r="O2437" s="88"/>
      <c r="P2437" s="88"/>
      <c r="Q2437" s="88"/>
      <c r="R2437" s="78">
        <f>MAX(S2437:W2437)</f>
        <v>0</v>
      </c>
      <c r="S2437" s="88"/>
      <c r="T2437" s="88"/>
      <c r="U2437" s="88"/>
      <c r="V2437" s="88"/>
      <c r="W2437" s="88"/>
    </row>
    <row r="2438" spans="2:23" s="0" customFormat="0" ht="15">
      <c r="B2438" s="87" t="s">
        <v>1</v>
      </c>
      <c r="C2438" s="88" t="s">
        <v>5259</v>
      </c>
      <c r="D2438" s="88">
        <v>23207299</v>
      </c>
      <c r="E2438" s="88" t="s">
        <v>61</v>
      </c>
      <c r="F2438" s="88">
        <v>0</v>
      </c>
      <c r="G2438" s="78">
        <f>MAX(H2438,I2438,J2438)</f>
        <v>1</v>
      </c>
      <c r="H2438" s="88"/>
      <c r="I2438" s="88"/>
      <c r="J2438" s="78">
        <f>MAX(K2438:Q2438)</f>
        <v>1</v>
      </c>
      <c r="K2438" s="88">
        <v>1</v>
      </c>
      <c r="L2438" s="88"/>
      <c r="M2438" s="88"/>
      <c r="N2438" s="88"/>
      <c r="O2438" s="88"/>
      <c r="P2438" s="88"/>
      <c r="Q2438" s="88"/>
      <c r="R2438" s="78">
        <f>MAX(S2438:W2438)</f>
        <v>0</v>
      </c>
      <c r="S2438" s="88"/>
      <c r="T2438" s="88"/>
      <c r="U2438" s="88"/>
      <c r="V2438" s="88"/>
      <c r="W2438" s="88"/>
    </row>
    <row r="2439" spans="2:23" s="0" customFormat="0" ht="15">
      <c r="B2439" s="87" t="s">
        <v>1</v>
      </c>
      <c r="C2439" s="88" t="s">
        <v>5259</v>
      </c>
      <c r="D2439" s="88" t="s">
        <v>1755</v>
      </c>
      <c r="E2439" s="88" t="s">
        <v>61</v>
      </c>
      <c r="F2439" s="88">
        <v>0</v>
      </c>
      <c r="G2439" s="78">
        <f>MAX(H2439,I2439,J2439)</f>
        <v>1</v>
      </c>
      <c r="H2439" s="88"/>
      <c r="I2439" s="88"/>
      <c r="J2439" s="78">
        <f>MAX(K2439:Q2439)</f>
        <v>1</v>
      </c>
      <c r="K2439" s="88">
        <v>1</v>
      </c>
      <c r="L2439" s="88"/>
      <c r="M2439" s="88"/>
      <c r="N2439" s="88"/>
      <c r="O2439" s="88"/>
      <c r="P2439" s="88"/>
      <c r="Q2439" s="88"/>
      <c r="R2439" s="78">
        <f>MAX(S2439:W2439)</f>
        <v>0</v>
      </c>
      <c r="S2439" s="88"/>
      <c r="T2439" s="88"/>
      <c r="U2439" s="88"/>
      <c r="V2439" s="88"/>
      <c r="W2439" s="88"/>
    </row>
    <row r="2440" spans="2:23" s="0" customFormat="0" ht="15">
      <c r="B2440" s="87" t="s">
        <v>1</v>
      </c>
      <c r="C2440" s="88" t="s">
        <v>5259</v>
      </c>
      <c r="D2440" s="88">
        <v>16139752</v>
      </c>
      <c r="E2440" s="88" t="s">
        <v>61</v>
      </c>
      <c r="F2440" s="88">
        <v>0</v>
      </c>
      <c r="G2440" s="78">
        <f>MAX(H2440,I2440,J2440)</f>
        <v>1</v>
      </c>
      <c r="H2440" s="88"/>
      <c r="I2440" s="88"/>
      <c r="J2440" s="78">
        <f>MAX(K2440:Q2440)</f>
        <v>1</v>
      </c>
      <c r="K2440" s="88">
        <v>1</v>
      </c>
      <c r="L2440" s="88"/>
      <c r="M2440" s="88"/>
      <c r="N2440" s="88"/>
      <c r="O2440" s="88"/>
      <c r="P2440" s="88"/>
      <c r="Q2440" s="88"/>
      <c r="R2440" s="78">
        <f>MAX(S2440:W2440)</f>
        <v>0</v>
      </c>
      <c r="S2440" s="88"/>
      <c r="T2440" s="88"/>
      <c r="U2440" s="88"/>
      <c r="V2440" s="88"/>
      <c r="W2440" s="88"/>
    </row>
    <row r="2441" spans="2:23" s="0" customFormat="0" ht="15">
      <c r="B2441" s="87" t="s">
        <v>1</v>
      </c>
      <c r="C2441" s="88" t="s">
        <v>5259</v>
      </c>
      <c r="D2441" s="88">
        <v>23297632</v>
      </c>
      <c r="E2441" s="88" t="s">
        <v>61</v>
      </c>
      <c r="F2441" s="88">
        <v>0</v>
      </c>
      <c r="G2441" s="78">
        <f>MAX(H2441,I2441,J2441)</f>
        <v>1</v>
      </c>
      <c r="H2441" s="88"/>
      <c r="I2441" s="88"/>
      <c r="J2441" s="78">
        <f>MAX(K2441:Q2441)</f>
        <v>1</v>
      </c>
      <c r="K2441" s="88">
        <v>1</v>
      </c>
      <c r="L2441" s="88"/>
      <c r="M2441" s="88"/>
      <c r="N2441" s="88"/>
      <c r="O2441" s="88"/>
      <c r="P2441" s="88"/>
      <c r="Q2441" s="88"/>
      <c r="R2441" s="78">
        <f>MAX(S2441:W2441)</f>
        <v>0</v>
      </c>
      <c r="S2441" s="88"/>
      <c r="T2441" s="88"/>
      <c r="U2441" s="88"/>
      <c r="V2441" s="88"/>
      <c r="W2441" s="88"/>
    </row>
    <row r="2442" spans="2:23" s="0" customFormat="0" ht="15">
      <c r="B2442" s="87" t="s">
        <v>1</v>
      </c>
      <c r="C2442" s="88" t="s">
        <v>5259</v>
      </c>
      <c r="D2442" s="88">
        <v>22029360</v>
      </c>
      <c r="E2442" s="88" t="s">
        <v>61</v>
      </c>
      <c r="F2442" s="88">
        <v>0</v>
      </c>
      <c r="G2442" s="78">
        <f>MAX(H2442,I2442,J2442)</f>
        <v>1</v>
      </c>
      <c r="H2442" s="88"/>
      <c r="I2442" s="88"/>
      <c r="J2442" s="78">
        <f>MAX(K2442:Q2442)</f>
        <v>1</v>
      </c>
      <c r="K2442" s="88">
        <v>1</v>
      </c>
      <c r="L2442" s="88"/>
      <c r="M2442" s="88"/>
      <c r="N2442" s="88"/>
      <c r="O2442" s="88"/>
      <c r="P2442" s="88"/>
      <c r="Q2442" s="88"/>
      <c r="R2442" s="78">
        <f>MAX(S2442:W2442)</f>
        <v>0</v>
      </c>
      <c r="S2442" s="88"/>
      <c r="T2442" s="88"/>
      <c r="U2442" s="88"/>
      <c r="V2442" s="88"/>
      <c r="W2442" s="88"/>
    </row>
    <row r="2443" spans="2:23" s="0" customFormat="0" ht="15">
      <c r="B2443" s="87" t="s">
        <v>1</v>
      </c>
      <c r="C2443" s="88" t="s">
        <v>5259</v>
      </c>
      <c r="D2443" s="88">
        <v>15449869</v>
      </c>
      <c r="E2443" s="88" t="s">
        <v>61</v>
      </c>
      <c r="F2443" s="88">
        <v>0</v>
      </c>
      <c r="G2443" s="78">
        <f>MAX(H2443,I2443,J2443)</f>
        <v>1</v>
      </c>
      <c r="H2443" s="88"/>
      <c r="I2443" s="88"/>
      <c r="J2443" s="78">
        <f>MAX(K2443:Q2443)</f>
        <v>1</v>
      </c>
      <c r="K2443" s="88">
        <v>1</v>
      </c>
      <c r="L2443" s="88"/>
      <c r="M2443" s="88"/>
      <c r="N2443" s="88"/>
      <c r="O2443" s="88"/>
      <c r="P2443" s="88"/>
      <c r="Q2443" s="88"/>
      <c r="R2443" s="78">
        <f>MAX(S2443:W2443)</f>
        <v>0</v>
      </c>
      <c r="S2443" s="88"/>
      <c r="T2443" s="88"/>
      <c r="U2443" s="88"/>
      <c r="V2443" s="88"/>
      <c r="W2443" s="88"/>
    </row>
    <row r="2444" spans="2:23" s="0" customFormat="0" ht="15">
      <c r="B2444" s="87" t="s">
        <v>1</v>
      </c>
      <c r="C2444" s="88" t="s">
        <v>5259</v>
      </c>
      <c r="D2444" s="88" t="s">
        <v>1760</v>
      </c>
      <c r="E2444" s="88" t="s">
        <v>61</v>
      </c>
      <c r="F2444" s="88">
        <v>0</v>
      </c>
      <c r="G2444" s="78">
        <f>MAX(H2444,I2444,J2444)</f>
        <v>1</v>
      </c>
      <c r="H2444" s="88"/>
      <c r="I2444" s="88"/>
      <c r="J2444" s="78">
        <f>MAX(K2444:Q2444)</f>
        <v>1</v>
      </c>
      <c r="K2444" s="88">
        <v>1</v>
      </c>
      <c r="L2444" s="88"/>
      <c r="M2444" s="88"/>
      <c r="N2444" s="88"/>
      <c r="O2444" s="88"/>
      <c r="P2444" s="88"/>
      <c r="Q2444" s="88"/>
      <c r="R2444" s="78">
        <f>MAX(S2444:W2444)</f>
        <v>0</v>
      </c>
      <c r="S2444" s="88"/>
      <c r="T2444" s="88"/>
      <c r="U2444" s="88"/>
      <c r="V2444" s="88"/>
      <c r="W2444" s="88"/>
    </row>
    <row r="2445" spans="2:23" s="0" customFormat="0" ht="15">
      <c r="B2445" s="87" t="s">
        <v>1</v>
      </c>
      <c r="C2445" s="88" t="s">
        <v>5259</v>
      </c>
      <c r="D2445" s="88" t="s">
        <v>1762</v>
      </c>
      <c r="E2445" s="88" t="s">
        <v>61</v>
      </c>
      <c r="F2445" s="88">
        <v>0</v>
      </c>
      <c r="G2445" s="78">
        <f>MAX(H2445,I2445,J2445)</f>
        <v>1</v>
      </c>
      <c r="H2445" s="88"/>
      <c r="I2445" s="88"/>
      <c r="J2445" s="78">
        <f>MAX(K2445:Q2445)</f>
        <v>1</v>
      </c>
      <c r="K2445" s="88">
        <v>1</v>
      </c>
      <c r="L2445" s="88"/>
      <c r="M2445" s="88"/>
      <c r="N2445" s="88"/>
      <c r="O2445" s="88"/>
      <c r="P2445" s="88"/>
      <c r="Q2445" s="88"/>
      <c r="R2445" s="78">
        <f>MAX(S2445:W2445)</f>
        <v>0</v>
      </c>
      <c r="S2445" s="88"/>
      <c r="T2445" s="88"/>
      <c r="U2445" s="88"/>
      <c r="V2445" s="88"/>
      <c r="W2445" s="88"/>
    </row>
    <row r="2446" spans="2:23" s="0" customFormat="0" ht="15">
      <c r="B2446" s="87" t="s">
        <v>1</v>
      </c>
      <c r="C2446" s="88" t="s">
        <v>5259</v>
      </c>
      <c r="D2446" s="88">
        <v>12588128</v>
      </c>
      <c r="E2446" s="88" t="s">
        <v>61</v>
      </c>
      <c r="F2446" s="88">
        <v>0</v>
      </c>
      <c r="G2446" s="78">
        <f>MAX(H2446,I2446,J2446)</f>
        <v>1</v>
      </c>
      <c r="H2446" s="88"/>
      <c r="I2446" s="88"/>
      <c r="J2446" s="78">
        <f>MAX(K2446:Q2446)</f>
        <v>1</v>
      </c>
      <c r="K2446" s="88">
        <v>1</v>
      </c>
      <c r="L2446" s="88"/>
      <c r="M2446" s="88"/>
      <c r="N2446" s="88"/>
      <c r="O2446" s="88"/>
      <c r="P2446" s="88"/>
      <c r="Q2446" s="88"/>
      <c r="R2446" s="78">
        <f>MAX(S2446:W2446)</f>
        <v>0</v>
      </c>
      <c r="S2446" s="88"/>
      <c r="T2446" s="88"/>
      <c r="U2446" s="88"/>
      <c r="V2446" s="88"/>
      <c r="W2446" s="88"/>
    </row>
    <row r="2447" spans="2:23" s="0" customFormat="0" ht="15">
      <c r="B2447" s="87" t="s">
        <v>1</v>
      </c>
      <c r="C2447" s="88" t="s">
        <v>5259</v>
      </c>
      <c r="D2447" s="88">
        <v>10567183</v>
      </c>
      <c r="E2447" s="88" t="s">
        <v>61</v>
      </c>
      <c r="F2447" s="88">
        <v>0</v>
      </c>
      <c r="G2447" s="78">
        <f>MAX(H2447,I2447,J2447)</f>
        <v>1</v>
      </c>
      <c r="H2447" s="88"/>
      <c r="I2447" s="88"/>
      <c r="J2447" s="78">
        <f>MAX(K2447:Q2447)</f>
        <v>1</v>
      </c>
      <c r="K2447" s="88">
        <v>1</v>
      </c>
      <c r="L2447" s="88"/>
      <c r="M2447" s="88"/>
      <c r="N2447" s="88"/>
      <c r="O2447" s="88"/>
      <c r="P2447" s="88"/>
      <c r="Q2447" s="88"/>
      <c r="R2447" s="78">
        <f>MAX(S2447:W2447)</f>
        <v>0</v>
      </c>
      <c r="S2447" s="88"/>
      <c r="T2447" s="88"/>
      <c r="U2447" s="88"/>
      <c r="V2447" s="88"/>
      <c r="W2447" s="88"/>
    </row>
    <row r="2448" spans="2:23" s="0" customFormat="0" ht="15">
      <c r="B2448" s="87" t="s">
        <v>1</v>
      </c>
      <c r="C2448" s="88" t="s">
        <v>5259</v>
      </c>
      <c r="D2448" s="88">
        <v>913920</v>
      </c>
      <c r="E2448" s="88" t="s">
        <v>61</v>
      </c>
      <c r="F2448" s="88">
        <v>0</v>
      </c>
      <c r="G2448" s="78">
        <f>MAX(H2448,I2448,J2448)</f>
        <v>1</v>
      </c>
      <c r="H2448" s="88"/>
      <c r="I2448" s="88"/>
      <c r="J2448" s="78">
        <f>MAX(K2448:Q2448)</f>
        <v>1</v>
      </c>
      <c r="K2448" s="88">
        <v>1</v>
      </c>
      <c r="L2448" s="88"/>
      <c r="M2448" s="88"/>
      <c r="N2448" s="88"/>
      <c r="O2448" s="88"/>
      <c r="P2448" s="88"/>
      <c r="Q2448" s="88"/>
      <c r="R2448" s="78">
        <f>MAX(S2448:W2448)</f>
        <v>0</v>
      </c>
      <c r="S2448" s="88"/>
      <c r="T2448" s="88"/>
      <c r="U2448" s="88"/>
      <c r="V2448" s="88"/>
      <c r="W2448" s="88"/>
    </row>
    <row r="2449" spans="2:23" s="0" customFormat="0" ht="15">
      <c r="B2449" s="87" t="s">
        <v>1</v>
      </c>
      <c r="C2449" s="88" t="s">
        <v>5259</v>
      </c>
      <c r="D2449" s="88" t="s">
        <v>4169</v>
      </c>
      <c r="E2449" s="88" t="s">
        <v>61</v>
      </c>
      <c r="F2449" s="88">
        <v>0</v>
      </c>
      <c r="G2449" s="78">
        <f>MAX(H2449,I2449,J2449)</f>
        <v>0</v>
      </c>
      <c r="H2449" s="88"/>
      <c r="I2449" s="88"/>
      <c r="J2449" s="78">
        <f>MAX(K2449:Q2449)</f>
        <v>0</v>
      </c>
      <c r="K2449" s="88"/>
      <c r="L2449" s="88"/>
      <c r="M2449" s="88"/>
      <c r="N2449" s="88"/>
      <c r="O2449" s="88"/>
      <c r="P2449" s="88"/>
      <c r="Q2449" s="88"/>
      <c r="R2449" s="78">
        <f>MAX(S2449:W2449)</f>
        <v>1</v>
      </c>
      <c r="S2449" s="88"/>
      <c r="T2449" s="88"/>
      <c r="U2449" s="88">
        <v>1</v>
      </c>
      <c r="V2449" s="88"/>
      <c r="W2449" s="88"/>
    </row>
    <row r="2450" spans="2:23" s="0" customFormat="0" ht="15">
      <c r="B2450" s="87" t="s">
        <v>1</v>
      </c>
      <c r="C2450" s="88" t="s">
        <v>5259</v>
      </c>
      <c r="D2450" s="88">
        <v>15462933</v>
      </c>
      <c r="E2450" s="88" t="s">
        <v>61</v>
      </c>
      <c r="F2450" s="88">
        <v>0</v>
      </c>
      <c r="G2450" s="78">
        <f>MAX(H2450,I2450,J2450)</f>
        <v>1</v>
      </c>
      <c r="H2450" s="88"/>
      <c r="I2450" s="88"/>
      <c r="J2450" s="78">
        <f>MAX(K2450:Q2450)</f>
        <v>1</v>
      </c>
      <c r="K2450" s="88">
        <v>1</v>
      </c>
      <c r="L2450" s="88"/>
      <c r="M2450" s="88"/>
      <c r="N2450" s="88"/>
      <c r="O2450" s="88"/>
      <c r="P2450" s="88"/>
      <c r="Q2450" s="88"/>
      <c r="R2450" s="78">
        <f>MAX(S2450:W2450)</f>
        <v>0</v>
      </c>
      <c r="S2450" s="88"/>
      <c r="T2450" s="88"/>
      <c r="U2450" s="88"/>
      <c r="V2450" s="88"/>
      <c r="W2450" s="88"/>
    </row>
    <row r="2451" spans="2:23" s="0" customFormat="0" ht="15">
      <c r="B2451" s="87" t="s">
        <v>1</v>
      </c>
      <c r="C2451" s="88" t="s">
        <v>5259</v>
      </c>
      <c r="D2451" s="88" t="s">
        <v>3239</v>
      </c>
      <c r="E2451" s="88" t="s">
        <v>61</v>
      </c>
      <c r="F2451" s="88">
        <v>0</v>
      </c>
      <c r="G2451" s="78">
        <f>MAX(H2451,I2451,J2451)</f>
        <v>0</v>
      </c>
      <c r="H2451" s="88"/>
      <c r="I2451" s="88"/>
      <c r="J2451" s="78">
        <f>MAX(K2451:Q2451)</f>
        <v>0</v>
      </c>
      <c r="K2451" s="88"/>
      <c r="L2451" s="88"/>
      <c r="M2451" s="88"/>
      <c r="N2451" s="88"/>
      <c r="O2451" s="88"/>
      <c r="P2451" s="88"/>
      <c r="Q2451" s="88"/>
      <c r="R2451" s="78">
        <f>MAX(S2451:W2451)</f>
        <v>1</v>
      </c>
      <c r="S2451" s="88"/>
      <c r="T2451" s="88"/>
      <c r="U2451" s="88"/>
      <c r="V2451" s="88">
        <v>1</v>
      </c>
      <c r="W2451" s="88"/>
    </row>
    <row r="2452" spans="2:23" s="0" customFormat="0" ht="15">
      <c r="B2452" s="87" t="s">
        <v>1</v>
      </c>
      <c r="C2452" s="88" t="s">
        <v>5259</v>
      </c>
      <c r="D2452" s="88">
        <v>261329</v>
      </c>
      <c r="E2452" s="88" t="s">
        <v>61</v>
      </c>
      <c r="F2452" s="88">
        <v>0</v>
      </c>
      <c r="G2452" s="78">
        <f>MAX(H2452,I2452,J2452)</f>
        <v>1</v>
      </c>
      <c r="H2452" s="88"/>
      <c r="I2452" s="88"/>
      <c r="J2452" s="78">
        <f>MAX(K2452:Q2452)</f>
        <v>1</v>
      </c>
      <c r="K2452" s="88">
        <v>1</v>
      </c>
      <c r="L2452" s="88"/>
      <c r="M2452" s="88"/>
      <c r="N2452" s="88"/>
      <c r="O2452" s="88"/>
      <c r="P2452" s="88"/>
      <c r="Q2452" s="88"/>
      <c r="R2452" s="78">
        <f>MAX(S2452:W2452)</f>
        <v>0</v>
      </c>
      <c r="S2452" s="88"/>
      <c r="T2452" s="88"/>
      <c r="U2452" s="88"/>
      <c r="V2452" s="88"/>
      <c r="W2452" s="88"/>
    </row>
    <row r="2453" spans="2:23" s="0" customFormat="0" ht="15">
      <c r="B2453" s="87" t="s">
        <v>1</v>
      </c>
      <c r="C2453" s="88" t="s">
        <v>5259</v>
      </c>
      <c r="D2453" s="88" t="s">
        <v>3456</v>
      </c>
      <c r="E2453" s="88" t="s">
        <v>61</v>
      </c>
      <c r="F2453" s="88">
        <v>0</v>
      </c>
      <c r="G2453" s="78">
        <f>MAX(H2453,I2453,J2453)</f>
        <v>0</v>
      </c>
      <c r="H2453" s="88"/>
      <c r="I2453" s="88"/>
      <c r="J2453" s="78">
        <f>MAX(K2453:Q2453)</f>
        <v>0</v>
      </c>
      <c r="K2453" s="88"/>
      <c r="L2453" s="88"/>
      <c r="M2453" s="88"/>
      <c r="N2453" s="88"/>
      <c r="O2453" s="88"/>
      <c r="P2453" s="88"/>
      <c r="Q2453" s="88"/>
      <c r="R2453" s="78">
        <f>MAX(S2453:W2453)</f>
        <v>1</v>
      </c>
      <c r="S2453" s="88"/>
      <c r="T2453" s="88"/>
      <c r="U2453" s="88">
        <v>1</v>
      </c>
      <c r="V2453" s="88"/>
      <c r="W2453" s="88"/>
    </row>
    <row r="2454" spans="2:23" s="0" customFormat="0" ht="15">
      <c r="B2454" s="87" t="s">
        <v>1</v>
      </c>
      <c r="C2454" s="88" t="s">
        <v>5259</v>
      </c>
      <c r="D2454" s="88" t="s">
        <v>4407</v>
      </c>
      <c r="E2454" s="88" t="s">
        <v>61</v>
      </c>
      <c r="F2454" s="88">
        <v>0</v>
      </c>
      <c r="G2454" s="78">
        <f>MAX(H2454,I2454,J2454)</f>
        <v>0</v>
      </c>
      <c r="H2454" s="88"/>
      <c r="I2454" s="88"/>
      <c r="J2454" s="78">
        <f>MAX(K2454:Q2454)</f>
        <v>0</v>
      </c>
      <c r="K2454" s="88"/>
      <c r="L2454" s="88"/>
      <c r="M2454" s="88"/>
      <c r="N2454" s="88"/>
      <c r="O2454" s="88"/>
      <c r="P2454" s="88"/>
      <c r="Q2454" s="88"/>
      <c r="R2454" s="78">
        <f>MAX(S2454:W2454)</f>
        <v>1</v>
      </c>
      <c r="S2454" s="88"/>
      <c r="T2454" s="88"/>
      <c r="U2454" s="88">
        <v>1</v>
      </c>
      <c r="V2454" s="88"/>
      <c r="W2454" s="88"/>
    </row>
    <row r="2455" spans="2:23" s="0" customFormat="0" ht="15">
      <c r="B2455" s="87" t="s">
        <v>1</v>
      </c>
      <c r="C2455" s="88" t="s">
        <v>5259</v>
      </c>
      <c r="D2455" s="88" t="s">
        <v>1769</v>
      </c>
      <c r="E2455" s="88" t="s">
        <v>61</v>
      </c>
      <c r="F2455" s="88">
        <v>0</v>
      </c>
      <c r="G2455" s="78">
        <f>MAX(H2455,I2455,J2455)</f>
        <v>1</v>
      </c>
      <c r="H2455" s="88"/>
      <c r="I2455" s="88"/>
      <c r="J2455" s="78">
        <f>MAX(K2455:Q2455)</f>
        <v>1</v>
      </c>
      <c r="K2455" s="88">
        <v>1</v>
      </c>
      <c r="L2455" s="88"/>
      <c r="M2455" s="88"/>
      <c r="N2455" s="88"/>
      <c r="O2455" s="88"/>
      <c r="P2455" s="88"/>
      <c r="Q2455" s="88"/>
      <c r="R2455" s="78">
        <f>MAX(S2455:W2455)</f>
        <v>0</v>
      </c>
      <c r="S2455" s="88"/>
      <c r="T2455" s="88"/>
      <c r="U2455" s="88"/>
      <c r="V2455" s="88"/>
      <c r="W2455" s="88"/>
    </row>
    <row r="2456" spans="2:23" s="0" customFormat="0" ht="15">
      <c r="B2456" s="87" t="s">
        <v>1</v>
      </c>
      <c r="C2456" s="88" t="s">
        <v>5259</v>
      </c>
      <c r="D2456" s="88" t="s">
        <v>1610</v>
      </c>
      <c r="E2456" s="88" t="s">
        <v>61</v>
      </c>
      <c r="F2456" s="88">
        <v>0</v>
      </c>
      <c r="G2456" s="78">
        <f>MAX(H2456,I2456,J2456)</f>
        <v>1</v>
      </c>
      <c r="H2456" s="88"/>
      <c r="I2456" s="88"/>
      <c r="J2456" s="78">
        <f>MAX(K2456:Q2456)</f>
        <v>1</v>
      </c>
      <c r="K2456" s="88">
        <v>1</v>
      </c>
      <c r="L2456" s="88"/>
      <c r="M2456" s="88"/>
      <c r="N2456" s="88"/>
      <c r="O2456" s="88"/>
      <c r="P2456" s="88"/>
      <c r="Q2456" s="88"/>
      <c r="R2456" s="78">
        <f>MAX(S2456:W2456)</f>
        <v>0</v>
      </c>
      <c r="S2456" s="88"/>
      <c r="T2456" s="88"/>
      <c r="U2456" s="88"/>
      <c r="V2456" s="88"/>
      <c r="W2456" s="88"/>
    </row>
    <row r="2457" spans="2:23" s="0" customFormat="0" ht="15">
      <c r="B2457" s="87" t="s">
        <v>1</v>
      </c>
      <c r="C2457" s="88" t="s">
        <v>5259</v>
      </c>
      <c r="D2457" s="88">
        <v>17351582</v>
      </c>
      <c r="E2457" s="88" t="s">
        <v>61</v>
      </c>
      <c r="F2457" s="88">
        <v>0</v>
      </c>
      <c r="G2457" s="78">
        <f>MAX(H2457,I2457,J2457)</f>
        <v>1</v>
      </c>
      <c r="H2457" s="88"/>
      <c r="I2457" s="88"/>
      <c r="J2457" s="78">
        <f>MAX(K2457:Q2457)</f>
        <v>1</v>
      </c>
      <c r="K2457" s="88">
        <v>1</v>
      </c>
      <c r="L2457" s="88"/>
      <c r="M2457" s="88"/>
      <c r="N2457" s="88"/>
      <c r="O2457" s="88"/>
      <c r="P2457" s="88"/>
      <c r="Q2457" s="88"/>
      <c r="R2457" s="78">
        <f>MAX(S2457:W2457)</f>
        <v>0</v>
      </c>
      <c r="S2457" s="88"/>
      <c r="T2457" s="88"/>
      <c r="U2457" s="88"/>
      <c r="V2457" s="88"/>
      <c r="W2457" s="88"/>
    </row>
    <row r="2458" spans="2:23" s="0" customFormat="0" ht="15">
      <c r="B2458" s="87" t="s">
        <v>1</v>
      </c>
      <c r="C2458" s="88" t="s">
        <v>5259</v>
      </c>
      <c r="D2458" s="88">
        <v>22954813</v>
      </c>
      <c r="E2458" s="88" t="s">
        <v>61</v>
      </c>
      <c r="F2458" s="88">
        <v>0</v>
      </c>
      <c r="G2458" s="78">
        <f>MAX(H2458,I2458,J2458)</f>
        <v>1</v>
      </c>
      <c r="H2458" s="88"/>
      <c r="I2458" s="88"/>
      <c r="J2458" s="78">
        <f>MAX(K2458:Q2458)</f>
        <v>1</v>
      </c>
      <c r="K2458" s="88">
        <v>1</v>
      </c>
      <c r="L2458" s="88"/>
      <c r="M2458" s="88"/>
      <c r="N2458" s="88"/>
      <c r="O2458" s="88"/>
      <c r="P2458" s="88"/>
      <c r="Q2458" s="88"/>
      <c r="R2458" s="78">
        <f>MAX(S2458:W2458)</f>
        <v>0</v>
      </c>
      <c r="S2458" s="88"/>
      <c r="T2458" s="88"/>
      <c r="U2458" s="88"/>
      <c r="V2458" s="88"/>
      <c r="W2458" s="88"/>
    </row>
    <row r="2459" spans="2:23" s="0" customFormat="0" ht="15">
      <c r="B2459" s="87" t="s">
        <v>1</v>
      </c>
      <c r="C2459" s="88" t="s">
        <v>5259</v>
      </c>
      <c r="D2459" s="88">
        <v>14199789</v>
      </c>
      <c r="E2459" s="88" t="s">
        <v>61</v>
      </c>
      <c r="F2459" s="88">
        <v>0</v>
      </c>
      <c r="G2459" s="78">
        <f>MAX(H2459,I2459,J2459)</f>
        <v>1</v>
      </c>
      <c r="H2459" s="88"/>
      <c r="I2459" s="88"/>
      <c r="J2459" s="78">
        <f>MAX(K2459:Q2459)</f>
        <v>1</v>
      </c>
      <c r="K2459" s="88">
        <v>1</v>
      </c>
      <c r="L2459" s="88"/>
      <c r="M2459" s="88"/>
      <c r="N2459" s="88"/>
      <c r="O2459" s="88"/>
      <c r="P2459" s="88"/>
      <c r="Q2459" s="88"/>
      <c r="R2459" s="78">
        <f>MAX(S2459:W2459)</f>
        <v>0</v>
      </c>
      <c r="S2459" s="88"/>
      <c r="T2459" s="88"/>
      <c r="U2459" s="88"/>
      <c r="V2459" s="88"/>
      <c r="W2459" s="88"/>
    </row>
    <row r="2460" spans="2:23" s="0" customFormat="0" ht="15">
      <c r="B2460" s="87" t="s">
        <v>1</v>
      </c>
      <c r="C2460" s="88" t="s">
        <v>5259</v>
      </c>
      <c r="D2460" s="88" t="s">
        <v>1772</v>
      </c>
      <c r="E2460" s="88" t="s">
        <v>61</v>
      </c>
      <c r="F2460" s="88">
        <v>0</v>
      </c>
      <c r="G2460" s="78">
        <f>MAX(H2460,I2460,J2460)</f>
        <v>1</v>
      </c>
      <c r="H2460" s="88"/>
      <c r="I2460" s="88"/>
      <c r="J2460" s="78">
        <f>MAX(K2460:Q2460)</f>
        <v>1</v>
      </c>
      <c r="K2460" s="88">
        <v>1</v>
      </c>
      <c r="L2460" s="88"/>
      <c r="M2460" s="88"/>
      <c r="N2460" s="88"/>
      <c r="O2460" s="88"/>
      <c r="P2460" s="88"/>
      <c r="Q2460" s="88"/>
      <c r="R2460" s="78">
        <f>MAX(S2460:W2460)</f>
        <v>0</v>
      </c>
      <c r="S2460" s="88"/>
      <c r="T2460" s="88"/>
      <c r="U2460" s="88"/>
      <c r="V2460" s="88"/>
      <c r="W2460" s="88"/>
    </row>
    <row r="2461" spans="2:23" s="0" customFormat="0" ht="15">
      <c r="B2461" s="87" t="s">
        <v>1</v>
      </c>
      <c r="C2461" s="88" t="s">
        <v>5259</v>
      </c>
      <c r="D2461" s="88">
        <v>17830018</v>
      </c>
      <c r="E2461" s="88" t="s">
        <v>61</v>
      </c>
      <c r="F2461" s="88">
        <v>0</v>
      </c>
      <c r="G2461" s="78">
        <f>MAX(H2461,I2461,J2461)</f>
        <v>1</v>
      </c>
      <c r="H2461" s="88"/>
      <c r="I2461" s="88"/>
      <c r="J2461" s="78">
        <f>MAX(K2461:Q2461)</f>
        <v>1</v>
      </c>
      <c r="K2461" s="88">
        <v>1</v>
      </c>
      <c r="L2461" s="88"/>
      <c r="M2461" s="88"/>
      <c r="N2461" s="88"/>
      <c r="O2461" s="88"/>
      <c r="P2461" s="88"/>
      <c r="Q2461" s="88"/>
      <c r="R2461" s="78">
        <f>MAX(S2461:W2461)</f>
        <v>0</v>
      </c>
      <c r="S2461" s="88"/>
      <c r="T2461" s="88"/>
      <c r="U2461" s="88"/>
      <c r="V2461" s="88"/>
      <c r="W2461" s="88"/>
    </row>
    <row r="2462" spans="2:23" s="0" customFormat="0" ht="15">
      <c r="B2462" s="87" t="s">
        <v>1</v>
      </c>
      <c r="C2462" s="88" t="s">
        <v>5259</v>
      </c>
      <c r="D2462" s="88">
        <v>14265324</v>
      </c>
      <c r="E2462" s="88" t="s">
        <v>61</v>
      </c>
      <c r="F2462" s="88">
        <v>0</v>
      </c>
      <c r="G2462" s="78">
        <f>MAX(H2462,I2462,J2462)</f>
        <v>1</v>
      </c>
      <c r="H2462" s="88"/>
      <c r="I2462" s="88"/>
      <c r="J2462" s="78">
        <f>MAX(K2462:Q2462)</f>
        <v>1</v>
      </c>
      <c r="K2462" s="88">
        <v>1</v>
      </c>
      <c r="L2462" s="88"/>
      <c r="M2462" s="88"/>
      <c r="N2462" s="88"/>
      <c r="O2462" s="88"/>
      <c r="P2462" s="88"/>
      <c r="Q2462" s="88"/>
      <c r="R2462" s="78">
        <f>MAX(S2462:W2462)</f>
        <v>0</v>
      </c>
      <c r="S2462" s="88"/>
      <c r="T2462" s="88"/>
      <c r="U2462" s="88"/>
      <c r="V2462" s="88"/>
      <c r="W2462" s="88"/>
    </row>
    <row r="2463" spans="2:23" s="0" customFormat="0" ht="15">
      <c r="B2463" s="87" t="s">
        <v>1</v>
      </c>
      <c r="C2463" s="88" t="s">
        <v>5259</v>
      </c>
      <c r="D2463" s="88" t="s">
        <v>4409</v>
      </c>
      <c r="E2463" s="88" t="s">
        <v>61</v>
      </c>
      <c r="F2463" s="88">
        <v>0</v>
      </c>
      <c r="G2463" s="78">
        <f>MAX(H2463,I2463,J2463)</f>
        <v>0</v>
      </c>
      <c r="H2463" s="88"/>
      <c r="I2463" s="88"/>
      <c r="J2463" s="78">
        <f>MAX(K2463:Q2463)</f>
        <v>0</v>
      </c>
      <c r="K2463" s="88"/>
      <c r="L2463" s="88"/>
      <c r="M2463" s="88"/>
      <c r="N2463" s="88"/>
      <c r="O2463" s="88"/>
      <c r="P2463" s="88"/>
      <c r="Q2463" s="88"/>
      <c r="R2463" s="78">
        <f>MAX(S2463:W2463)</f>
        <v>1</v>
      </c>
      <c r="S2463" s="88"/>
      <c r="T2463" s="88"/>
      <c r="U2463" s="88">
        <v>1</v>
      </c>
      <c r="V2463" s="88"/>
      <c r="W2463" s="88"/>
    </row>
    <row r="2464" spans="2:23" s="0" customFormat="0" ht="15">
      <c r="B2464" s="87" t="s">
        <v>1</v>
      </c>
      <c r="C2464" s="88" t="s">
        <v>5259</v>
      </c>
      <c r="D2464" s="88">
        <v>21237415</v>
      </c>
      <c r="E2464" s="88" t="s">
        <v>61</v>
      </c>
      <c r="F2464" s="88">
        <v>0</v>
      </c>
      <c r="G2464" s="78">
        <f>MAX(H2464,I2464,J2464)</f>
        <v>1</v>
      </c>
      <c r="H2464" s="88"/>
      <c r="I2464" s="88"/>
      <c r="J2464" s="78">
        <f>MAX(K2464:Q2464)</f>
        <v>1</v>
      </c>
      <c r="K2464" s="88">
        <v>1</v>
      </c>
      <c r="L2464" s="88"/>
      <c r="M2464" s="88"/>
      <c r="N2464" s="88"/>
      <c r="O2464" s="88"/>
      <c r="P2464" s="88"/>
      <c r="Q2464" s="88"/>
      <c r="R2464" s="78">
        <f>MAX(S2464:W2464)</f>
        <v>0</v>
      </c>
      <c r="S2464" s="88"/>
      <c r="T2464" s="88"/>
      <c r="U2464" s="88"/>
      <c r="V2464" s="88"/>
      <c r="W2464" s="88"/>
    </row>
    <row r="2465" spans="2:23" s="0" customFormat="0" ht="15">
      <c r="B2465" s="87" t="s">
        <v>1</v>
      </c>
      <c r="C2465" s="88" t="s">
        <v>5259</v>
      </c>
      <c r="D2465" s="88">
        <v>14284409</v>
      </c>
      <c r="E2465" s="88" t="s">
        <v>61</v>
      </c>
      <c r="F2465" s="88">
        <v>0</v>
      </c>
      <c r="G2465" s="78">
        <f>MAX(H2465,I2465,J2465)</f>
        <v>1</v>
      </c>
      <c r="H2465" s="88"/>
      <c r="I2465" s="88"/>
      <c r="J2465" s="78">
        <f>MAX(K2465:Q2465)</f>
        <v>1</v>
      </c>
      <c r="K2465" s="88">
        <v>1</v>
      </c>
      <c r="L2465" s="88"/>
      <c r="M2465" s="88"/>
      <c r="N2465" s="88"/>
      <c r="O2465" s="88"/>
      <c r="P2465" s="88"/>
      <c r="Q2465" s="88"/>
      <c r="R2465" s="78">
        <f>MAX(S2465:W2465)</f>
        <v>0</v>
      </c>
      <c r="S2465" s="88"/>
      <c r="T2465" s="88"/>
      <c r="U2465" s="88"/>
      <c r="V2465" s="88"/>
      <c r="W2465" s="88"/>
    </row>
    <row r="2466" spans="2:23" s="0" customFormat="0" ht="15">
      <c r="B2466" s="87" t="s">
        <v>1</v>
      </c>
      <c r="C2466" s="88" t="s">
        <v>5259</v>
      </c>
      <c r="D2466" s="88">
        <v>20668560</v>
      </c>
      <c r="E2466" s="88" t="s">
        <v>61</v>
      </c>
      <c r="F2466" s="88">
        <v>0</v>
      </c>
      <c r="G2466" s="78">
        <f>MAX(H2466,I2466,J2466)</f>
        <v>1</v>
      </c>
      <c r="H2466" s="88"/>
      <c r="I2466" s="88"/>
      <c r="J2466" s="78">
        <f>MAX(K2466:Q2466)</f>
        <v>1</v>
      </c>
      <c r="K2466" s="88">
        <v>1</v>
      </c>
      <c r="L2466" s="88"/>
      <c r="M2466" s="88"/>
      <c r="N2466" s="88"/>
      <c r="O2466" s="88"/>
      <c r="P2466" s="88"/>
      <c r="Q2466" s="88"/>
      <c r="R2466" s="78">
        <f>MAX(S2466:W2466)</f>
        <v>0</v>
      </c>
      <c r="S2466" s="88"/>
      <c r="T2466" s="88"/>
      <c r="U2466" s="88"/>
      <c r="V2466" s="88"/>
      <c r="W2466" s="88"/>
    </row>
    <row r="2467" spans="2:23" s="0" customFormat="0" ht="15">
      <c r="B2467" s="87" t="s">
        <v>1</v>
      </c>
      <c r="C2467" s="88" t="s">
        <v>5259</v>
      </c>
      <c r="D2467" s="88">
        <v>14504648</v>
      </c>
      <c r="E2467" s="88" t="s">
        <v>61</v>
      </c>
      <c r="F2467" s="88">
        <v>0</v>
      </c>
      <c r="G2467" s="78">
        <f>MAX(H2467,I2467,J2467)</f>
        <v>0</v>
      </c>
      <c r="H2467" s="88"/>
      <c r="I2467" s="88"/>
      <c r="J2467" s="78">
        <f>MAX(K2467:Q2467)</f>
        <v>0</v>
      </c>
      <c r="K2467" s="88"/>
      <c r="L2467" s="88"/>
      <c r="M2467" s="88"/>
      <c r="N2467" s="88"/>
      <c r="O2467" s="88"/>
      <c r="P2467" s="88"/>
      <c r="Q2467" s="88"/>
      <c r="R2467" s="78">
        <f>MAX(S2467:W2467)</f>
        <v>1</v>
      </c>
      <c r="S2467" s="88"/>
      <c r="T2467" s="88"/>
      <c r="U2467" s="88">
        <v>1</v>
      </c>
      <c r="V2467" s="88"/>
      <c r="W2467" s="88"/>
    </row>
    <row r="2468" spans="2:23" s="0" customFormat="0" ht="15">
      <c r="B2468" s="87" t="s">
        <v>1</v>
      </c>
      <c r="C2468" s="88" t="s">
        <v>5259</v>
      </c>
      <c r="D2468" s="88">
        <v>18594112</v>
      </c>
      <c r="E2468" s="88" t="s">
        <v>61</v>
      </c>
      <c r="F2468" s="88">
        <v>0</v>
      </c>
      <c r="G2468" s="78">
        <f>MAX(H2468,I2468,J2468)</f>
        <v>1</v>
      </c>
      <c r="H2468" s="88"/>
      <c r="I2468" s="88"/>
      <c r="J2468" s="78">
        <f>MAX(K2468:Q2468)</f>
        <v>1</v>
      </c>
      <c r="K2468" s="88">
        <v>1</v>
      </c>
      <c r="L2468" s="88"/>
      <c r="M2468" s="88"/>
      <c r="N2468" s="88"/>
      <c r="O2468" s="88"/>
      <c r="P2468" s="88"/>
      <c r="Q2468" s="88"/>
      <c r="R2468" s="78">
        <f>MAX(S2468:W2468)</f>
        <v>0</v>
      </c>
      <c r="S2468" s="88"/>
      <c r="T2468" s="88"/>
      <c r="U2468" s="88"/>
      <c r="V2468" s="88"/>
      <c r="W2468" s="88"/>
    </row>
    <row r="2469" spans="2:23" s="0" customFormat="0" ht="15">
      <c r="B2469" s="87" t="s">
        <v>1</v>
      </c>
      <c r="C2469" s="88" t="s">
        <v>5259</v>
      </c>
      <c r="D2469" s="88">
        <v>10572264</v>
      </c>
      <c r="E2469" s="88" t="s">
        <v>61</v>
      </c>
      <c r="F2469" s="88">
        <v>0</v>
      </c>
      <c r="G2469" s="78">
        <f>MAX(H2469,I2469,J2469)</f>
        <v>1</v>
      </c>
      <c r="H2469" s="88"/>
      <c r="I2469" s="88"/>
      <c r="J2469" s="78">
        <f>MAX(K2469:Q2469)</f>
        <v>1</v>
      </c>
      <c r="K2469" s="88">
        <v>1</v>
      </c>
      <c r="L2469" s="88"/>
      <c r="M2469" s="88"/>
      <c r="N2469" s="88"/>
      <c r="O2469" s="88"/>
      <c r="P2469" s="88"/>
      <c r="Q2469" s="88"/>
      <c r="R2469" s="78">
        <f>MAX(S2469:W2469)</f>
        <v>0</v>
      </c>
      <c r="S2469" s="88"/>
      <c r="T2469" s="88"/>
      <c r="U2469" s="88"/>
      <c r="V2469" s="88"/>
      <c r="W2469" s="88"/>
    </row>
    <row r="2470" spans="2:23" s="0" customFormat="0" ht="15">
      <c r="B2470" s="87" t="s">
        <v>1</v>
      </c>
      <c r="C2470" s="88" t="s">
        <v>5259</v>
      </c>
      <c r="D2470" s="88" t="s">
        <v>4059</v>
      </c>
      <c r="E2470" s="88" t="s">
        <v>61</v>
      </c>
      <c r="F2470" s="88">
        <v>0</v>
      </c>
      <c r="G2470" s="78">
        <f>MAX(H2470,I2470,J2470)</f>
        <v>0</v>
      </c>
      <c r="H2470" s="88"/>
      <c r="I2470" s="88"/>
      <c r="J2470" s="78">
        <f>MAX(K2470:Q2470)</f>
        <v>0</v>
      </c>
      <c r="K2470" s="88"/>
      <c r="L2470" s="88"/>
      <c r="M2470" s="88"/>
      <c r="N2470" s="88"/>
      <c r="O2470" s="88"/>
      <c r="P2470" s="88"/>
      <c r="Q2470" s="88"/>
      <c r="R2470" s="78">
        <f>MAX(S2470:W2470)</f>
        <v>1</v>
      </c>
      <c r="S2470" s="88"/>
      <c r="T2470" s="88"/>
      <c r="U2470" s="88">
        <v>1</v>
      </c>
      <c r="V2470" s="88"/>
      <c r="W2470" s="88"/>
    </row>
    <row r="2471" spans="2:23" s="0" customFormat="0" ht="15">
      <c r="B2471" s="87" t="s">
        <v>1</v>
      </c>
      <c r="C2471" s="88" t="s">
        <v>5259</v>
      </c>
      <c r="D2471" s="88" t="s">
        <v>387</v>
      </c>
      <c r="E2471" s="88" t="s">
        <v>61</v>
      </c>
      <c r="F2471" s="88">
        <v>0</v>
      </c>
      <c r="G2471" s="78">
        <f>MAX(H2471,I2471,J2471)</f>
        <v>1</v>
      </c>
      <c r="H2471" s="88"/>
      <c r="I2471" s="88"/>
      <c r="J2471" s="78">
        <f>MAX(K2471:Q2471)</f>
        <v>1</v>
      </c>
      <c r="K2471" s="88">
        <v>1</v>
      </c>
      <c r="L2471" s="88"/>
      <c r="M2471" s="88"/>
      <c r="N2471" s="88"/>
      <c r="O2471" s="88"/>
      <c r="P2471" s="88"/>
      <c r="Q2471" s="88"/>
      <c r="R2471" s="78">
        <f>MAX(S2471:W2471)</f>
        <v>0</v>
      </c>
      <c r="S2471" s="88"/>
      <c r="T2471" s="88"/>
      <c r="U2471" s="88"/>
      <c r="V2471" s="88"/>
      <c r="W2471" s="88"/>
    </row>
    <row r="2472" spans="2:23" s="0" customFormat="0" ht="15">
      <c r="B2472" s="87" t="s">
        <v>1</v>
      </c>
      <c r="C2472" s="88" t="s">
        <v>5259</v>
      </c>
      <c r="D2472" s="88" t="s">
        <v>3977</v>
      </c>
      <c r="E2472" s="88" t="s">
        <v>61</v>
      </c>
      <c r="F2472" s="88">
        <v>0</v>
      </c>
      <c r="G2472" s="78">
        <f>MAX(H2472,I2472,J2472)</f>
        <v>0</v>
      </c>
      <c r="H2472" s="88"/>
      <c r="I2472" s="88"/>
      <c r="J2472" s="78">
        <f>MAX(K2472:Q2472)</f>
        <v>0</v>
      </c>
      <c r="K2472" s="88"/>
      <c r="L2472" s="88"/>
      <c r="M2472" s="88"/>
      <c r="N2472" s="88"/>
      <c r="O2472" s="88"/>
      <c r="P2472" s="88"/>
      <c r="Q2472" s="88"/>
      <c r="R2472" s="78">
        <f>MAX(S2472:W2472)</f>
        <v>1</v>
      </c>
      <c r="S2472" s="88"/>
      <c r="T2472" s="88"/>
      <c r="U2472" s="88">
        <v>1</v>
      </c>
      <c r="V2472" s="88"/>
      <c r="W2472" s="88"/>
    </row>
    <row r="2473" spans="2:23" s="0" customFormat="0" ht="15">
      <c r="B2473" s="87" t="s">
        <v>1</v>
      </c>
      <c r="C2473" s="88" t="s">
        <v>5259</v>
      </c>
      <c r="D2473" s="88">
        <v>10331465</v>
      </c>
      <c r="E2473" s="88" t="s">
        <v>61</v>
      </c>
      <c r="F2473" s="88">
        <v>0</v>
      </c>
      <c r="G2473" s="78">
        <f>MAX(H2473,I2473,J2473)</f>
        <v>1</v>
      </c>
      <c r="H2473" s="88"/>
      <c r="I2473" s="88"/>
      <c r="J2473" s="78">
        <f>MAX(K2473:Q2473)</f>
        <v>1</v>
      </c>
      <c r="K2473" s="88">
        <v>1</v>
      </c>
      <c r="L2473" s="88"/>
      <c r="M2473" s="88"/>
      <c r="N2473" s="88"/>
      <c r="O2473" s="88"/>
      <c r="P2473" s="88"/>
      <c r="Q2473" s="88"/>
      <c r="R2473" s="78">
        <f>MAX(S2473:W2473)</f>
        <v>0</v>
      </c>
      <c r="S2473" s="88"/>
      <c r="T2473" s="88"/>
      <c r="U2473" s="88"/>
      <c r="V2473" s="88"/>
      <c r="W2473" s="88"/>
    </row>
    <row r="2474" spans="2:23" s="0" customFormat="0" ht="15">
      <c r="B2474" s="87" t="s">
        <v>1</v>
      </c>
      <c r="C2474" s="88" t="s">
        <v>5259</v>
      </c>
      <c r="D2474" s="88">
        <v>24222203</v>
      </c>
      <c r="E2474" s="88" t="s">
        <v>61</v>
      </c>
      <c r="F2474" s="88">
        <v>0</v>
      </c>
      <c r="G2474" s="78">
        <f>MAX(H2474,I2474,J2474)</f>
        <v>1</v>
      </c>
      <c r="H2474" s="88"/>
      <c r="I2474" s="88"/>
      <c r="J2474" s="78">
        <f>MAX(K2474:Q2474)</f>
        <v>1</v>
      </c>
      <c r="K2474" s="88">
        <v>1</v>
      </c>
      <c r="L2474" s="88"/>
      <c r="M2474" s="88"/>
      <c r="N2474" s="88"/>
      <c r="O2474" s="88"/>
      <c r="P2474" s="88"/>
      <c r="Q2474" s="88"/>
      <c r="R2474" s="78">
        <f>MAX(S2474:W2474)</f>
        <v>0</v>
      </c>
      <c r="S2474" s="88"/>
      <c r="T2474" s="88"/>
      <c r="U2474" s="88"/>
      <c r="V2474" s="88"/>
      <c r="W2474" s="88"/>
    </row>
    <row r="2475" spans="2:23" s="0" customFormat="0" ht="15">
      <c r="B2475" s="87" t="s">
        <v>1</v>
      </c>
      <c r="C2475" s="88" t="s">
        <v>5259</v>
      </c>
      <c r="D2475" s="88">
        <v>23892301</v>
      </c>
      <c r="E2475" s="88" t="s">
        <v>61</v>
      </c>
      <c r="F2475" s="88">
        <v>0</v>
      </c>
      <c r="G2475" s="78">
        <f>MAX(H2475,I2475,J2475)</f>
        <v>1</v>
      </c>
      <c r="H2475" s="88"/>
      <c r="I2475" s="88"/>
      <c r="J2475" s="78">
        <f>MAX(K2475:Q2475)</f>
        <v>1</v>
      </c>
      <c r="K2475" s="88">
        <v>1</v>
      </c>
      <c r="L2475" s="88"/>
      <c r="M2475" s="88"/>
      <c r="N2475" s="88"/>
      <c r="O2475" s="88"/>
      <c r="P2475" s="88"/>
      <c r="Q2475" s="88"/>
      <c r="R2475" s="78">
        <f>MAX(S2475:W2475)</f>
        <v>0</v>
      </c>
      <c r="S2475" s="88"/>
      <c r="T2475" s="88"/>
      <c r="U2475" s="88"/>
      <c r="V2475" s="88"/>
      <c r="W2475" s="88"/>
    </row>
    <row r="2476" spans="2:23" s="0" customFormat="0" ht="15">
      <c r="B2476" s="87" t="s">
        <v>1</v>
      </c>
      <c r="C2476" s="88" t="s">
        <v>5259</v>
      </c>
      <c r="D2476" s="88" t="s">
        <v>1782</v>
      </c>
      <c r="E2476" s="88" t="s">
        <v>61</v>
      </c>
      <c r="F2476" s="88">
        <v>0</v>
      </c>
      <c r="G2476" s="78">
        <f>MAX(H2476,I2476,J2476)</f>
        <v>1</v>
      </c>
      <c r="H2476" s="88"/>
      <c r="I2476" s="88"/>
      <c r="J2476" s="78">
        <f>MAX(K2476:Q2476)</f>
        <v>1</v>
      </c>
      <c r="K2476" s="88">
        <v>1</v>
      </c>
      <c r="L2476" s="88"/>
      <c r="M2476" s="88"/>
      <c r="N2476" s="88"/>
      <c r="O2476" s="88"/>
      <c r="P2476" s="88"/>
      <c r="Q2476" s="88"/>
      <c r="R2476" s="78">
        <f>MAX(S2476:W2476)</f>
        <v>0</v>
      </c>
      <c r="S2476" s="88"/>
      <c r="T2476" s="88"/>
      <c r="U2476" s="88"/>
      <c r="V2476" s="88"/>
      <c r="W2476" s="88"/>
    </row>
    <row r="2477" spans="2:23" s="0" customFormat="0" ht="15">
      <c r="B2477" s="87" t="s">
        <v>1</v>
      </c>
      <c r="C2477" s="88" t="s">
        <v>5259</v>
      </c>
      <c r="D2477" s="88" t="s">
        <v>4391</v>
      </c>
      <c r="E2477" s="88" t="s">
        <v>61</v>
      </c>
      <c r="F2477" s="88">
        <v>0</v>
      </c>
      <c r="G2477" s="78">
        <f>MAX(H2477,I2477,J2477)</f>
        <v>0</v>
      </c>
      <c r="H2477" s="88"/>
      <c r="I2477" s="88"/>
      <c r="J2477" s="78">
        <f>MAX(K2477:Q2477)</f>
        <v>0</v>
      </c>
      <c r="K2477" s="88"/>
      <c r="L2477" s="88"/>
      <c r="M2477" s="88"/>
      <c r="N2477" s="88"/>
      <c r="O2477" s="88"/>
      <c r="P2477" s="88"/>
      <c r="Q2477" s="88"/>
      <c r="R2477" s="78">
        <f>MAX(S2477:W2477)</f>
        <v>1</v>
      </c>
      <c r="S2477" s="88"/>
      <c r="T2477" s="88"/>
      <c r="U2477" s="88">
        <v>1</v>
      </c>
      <c r="V2477" s="88"/>
      <c r="W2477" s="88"/>
    </row>
    <row r="2478" spans="2:23" s="0" customFormat="0" ht="15">
      <c r="B2478" s="87" t="s">
        <v>1</v>
      </c>
      <c r="C2478" s="88" t="s">
        <v>5259</v>
      </c>
      <c r="D2478" s="88" t="s">
        <v>4411</v>
      </c>
      <c r="E2478" s="88" t="s">
        <v>61</v>
      </c>
      <c r="F2478" s="88">
        <v>0</v>
      </c>
      <c r="G2478" s="78">
        <f>MAX(H2478,I2478,J2478)</f>
        <v>0</v>
      </c>
      <c r="H2478" s="88"/>
      <c r="I2478" s="88"/>
      <c r="J2478" s="78">
        <f>MAX(K2478:Q2478)</f>
        <v>0</v>
      </c>
      <c r="K2478" s="88"/>
      <c r="L2478" s="88"/>
      <c r="M2478" s="88"/>
      <c r="N2478" s="88"/>
      <c r="O2478" s="88"/>
      <c r="P2478" s="88"/>
      <c r="Q2478" s="88"/>
      <c r="R2478" s="78">
        <f>MAX(S2478:W2478)</f>
        <v>1</v>
      </c>
      <c r="S2478" s="88"/>
      <c r="T2478" s="88"/>
      <c r="U2478" s="88">
        <v>1</v>
      </c>
      <c r="V2478" s="88"/>
      <c r="W2478" s="88"/>
    </row>
    <row r="2479" spans="2:23" s="0" customFormat="0" ht="15">
      <c r="B2479" s="87" t="s">
        <v>1</v>
      </c>
      <c r="C2479" s="88" t="s">
        <v>5259</v>
      </c>
      <c r="D2479" s="88">
        <v>21834590</v>
      </c>
      <c r="E2479" s="88" t="s">
        <v>61</v>
      </c>
      <c r="F2479" s="88">
        <v>0</v>
      </c>
      <c r="G2479" s="78">
        <f>MAX(H2479,I2479,J2479)</f>
        <v>1</v>
      </c>
      <c r="H2479" s="88"/>
      <c r="I2479" s="88"/>
      <c r="J2479" s="78">
        <f>MAX(K2479:Q2479)</f>
        <v>1</v>
      </c>
      <c r="K2479" s="88">
        <v>1</v>
      </c>
      <c r="L2479" s="88"/>
      <c r="M2479" s="88"/>
      <c r="N2479" s="88"/>
      <c r="O2479" s="88"/>
      <c r="P2479" s="88"/>
      <c r="Q2479" s="88"/>
      <c r="R2479" s="78">
        <f>MAX(S2479:W2479)</f>
        <v>0</v>
      </c>
      <c r="S2479" s="88"/>
      <c r="T2479" s="88"/>
      <c r="U2479" s="88"/>
      <c r="V2479" s="88"/>
      <c r="W2479" s="88"/>
    </row>
    <row r="2480" spans="2:23" s="0" customFormat="0" ht="15">
      <c r="B2480" s="87" t="s">
        <v>1</v>
      </c>
      <c r="C2480" s="88" t="s">
        <v>5259</v>
      </c>
      <c r="D2480" s="88" t="s">
        <v>786</v>
      </c>
      <c r="E2480" s="88" t="s">
        <v>61</v>
      </c>
      <c r="F2480" s="88">
        <v>0</v>
      </c>
      <c r="G2480" s="78">
        <f>MAX(H2480,I2480,J2480)</f>
        <v>1</v>
      </c>
      <c r="H2480" s="88"/>
      <c r="I2480" s="88"/>
      <c r="J2480" s="78">
        <f>MAX(K2480:Q2480)</f>
        <v>1</v>
      </c>
      <c r="K2480" s="88">
        <v>1</v>
      </c>
      <c r="L2480" s="88"/>
      <c r="M2480" s="88"/>
      <c r="N2480" s="88"/>
      <c r="O2480" s="88"/>
      <c r="P2480" s="88"/>
      <c r="Q2480" s="88"/>
      <c r="R2480" s="78">
        <f>MAX(S2480:W2480)</f>
        <v>0</v>
      </c>
      <c r="S2480" s="88"/>
      <c r="T2480" s="88"/>
      <c r="U2480" s="88"/>
      <c r="V2480" s="88"/>
      <c r="W2480" s="88"/>
    </row>
    <row r="2481" spans="2:23" s="0" customFormat="0" ht="15">
      <c r="B2481" s="87" t="s">
        <v>1</v>
      </c>
      <c r="C2481" s="88" t="s">
        <v>5259</v>
      </c>
      <c r="D2481" s="88" t="s">
        <v>1784</v>
      </c>
      <c r="E2481" s="88" t="s">
        <v>61</v>
      </c>
      <c r="F2481" s="88">
        <v>0</v>
      </c>
      <c r="G2481" s="78">
        <f>MAX(H2481,I2481,J2481)</f>
        <v>1</v>
      </c>
      <c r="H2481" s="88"/>
      <c r="I2481" s="88"/>
      <c r="J2481" s="78">
        <f>MAX(K2481:Q2481)</f>
        <v>1</v>
      </c>
      <c r="K2481" s="88">
        <v>1</v>
      </c>
      <c r="L2481" s="88"/>
      <c r="M2481" s="88"/>
      <c r="N2481" s="88"/>
      <c r="O2481" s="88"/>
      <c r="P2481" s="88"/>
      <c r="Q2481" s="88"/>
      <c r="R2481" s="78">
        <f>MAX(S2481:W2481)</f>
        <v>0</v>
      </c>
      <c r="S2481" s="88"/>
      <c r="T2481" s="88"/>
      <c r="U2481" s="88"/>
      <c r="V2481" s="88"/>
      <c r="W2481" s="88"/>
    </row>
    <row r="2482" spans="2:23" s="0" customFormat="0" ht="15">
      <c r="B2482" s="87" t="s">
        <v>1</v>
      </c>
      <c r="C2482" s="88" t="s">
        <v>5259</v>
      </c>
      <c r="D2482" s="88" t="s">
        <v>1786</v>
      </c>
      <c r="E2482" s="88" t="s">
        <v>61</v>
      </c>
      <c r="F2482" s="88">
        <v>0</v>
      </c>
      <c r="G2482" s="78">
        <f>MAX(H2482,I2482,J2482)</f>
        <v>1</v>
      </c>
      <c r="H2482" s="88"/>
      <c r="I2482" s="88"/>
      <c r="J2482" s="78">
        <f>MAX(K2482:Q2482)</f>
        <v>1</v>
      </c>
      <c r="K2482" s="88">
        <v>1</v>
      </c>
      <c r="L2482" s="88"/>
      <c r="M2482" s="88"/>
      <c r="N2482" s="88"/>
      <c r="O2482" s="88"/>
      <c r="P2482" s="88"/>
      <c r="Q2482" s="88"/>
      <c r="R2482" s="78">
        <f>MAX(S2482:W2482)</f>
        <v>0</v>
      </c>
      <c r="S2482" s="88"/>
      <c r="T2482" s="88"/>
      <c r="U2482" s="88"/>
      <c r="V2482" s="88"/>
      <c r="W2482" s="88"/>
    </row>
    <row r="2483" spans="2:23" s="0" customFormat="0" ht="15">
      <c r="B2483" s="87" t="s">
        <v>1</v>
      </c>
      <c r="C2483" s="88" t="s">
        <v>5259</v>
      </c>
      <c r="D2483" s="88">
        <v>22554357</v>
      </c>
      <c r="E2483" s="88" t="s">
        <v>61</v>
      </c>
      <c r="F2483" s="88">
        <v>0</v>
      </c>
      <c r="G2483" s="78">
        <f>MAX(H2483,I2483,J2483)</f>
        <v>0</v>
      </c>
      <c r="H2483" s="88"/>
      <c r="I2483" s="88"/>
      <c r="J2483" s="78">
        <f>MAX(K2483:Q2483)</f>
        <v>0</v>
      </c>
      <c r="K2483" s="88"/>
      <c r="L2483" s="88"/>
      <c r="M2483" s="88"/>
      <c r="N2483" s="88"/>
      <c r="O2483" s="88"/>
      <c r="P2483" s="88"/>
      <c r="Q2483" s="88"/>
      <c r="R2483" s="78">
        <f>MAX(S2483:W2483)</f>
        <v>1</v>
      </c>
      <c r="S2483" s="88"/>
      <c r="T2483" s="88"/>
      <c r="U2483" s="88">
        <v>1</v>
      </c>
      <c r="V2483" s="88"/>
      <c r="W2483" s="88"/>
    </row>
    <row r="2484" spans="2:23" s="0" customFormat="0" ht="15">
      <c r="B2484" s="87" t="s">
        <v>1</v>
      </c>
      <c r="C2484" s="88" t="s">
        <v>5259</v>
      </c>
      <c r="D2484" s="88">
        <v>8947959</v>
      </c>
      <c r="E2484" s="88" t="s">
        <v>61</v>
      </c>
      <c r="F2484" s="88">
        <v>0</v>
      </c>
      <c r="G2484" s="78">
        <f>MAX(H2484,I2484,J2484)</f>
        <v>1</v>
      </c>
      <c r="H2484" s="88"/>
      <c r="I2484" s="88"/>
      <c r="J2484" s="78">
        <f>MAX(K2484:Q2484)</f>
        <v>1</v>
      </c>
      <c r="K2484" s="88">
        <v>1</v>
      </c>
      <c r="L2484" s="88"/>
      <c r="M2484" s="88"/>
      <c r="N2484" s="88"/>
      <c r="O2484" s="88"/>
      <c r="P2484" s="88"/>
      <c r="Q2484" s="88"/>
      <c r="R2484" s="78">
        <f>MAX(S2484:W2484)</f>
        <v>0</v>
      </c>
      <c r="S2484" s="88"/>
      <c r="T2484" s="88"/>
      <c r="U2484" s="88"/>
      <c r="V2484" s="88"/>
      <c r="W2484" s="88"/>
    </row>
    <row r="2485" spans="2:23" s="0" customFormat="0" ht="15">
      <c r="B2485" s="87" t="s">
        <v>1</v>
      </c>
      <c r="C2485" s="88" t="s">
        <v>5259</v>
      </c>
      <c r="D2485" s="88" t="s">
        <v>1788</v>
      </c>
      <c r="E2485" s="88" t="s">
        <v>61</v>
      </c>
      <c r="F2485" s="88">
        <v>0</v>
      </c>
      <c r="G2485" s="78">
        <f>MAX(H2485,I2485,J2485)</f>
        <v>1</v>
      </c>
      <c r="H2485" s="88"/>
      <c r="I2485" s="88"/>
      <c r="J2485" s="78">
        <f>MAX(K2485:Q2485)</f>
        <v>1</v>
      </c>
      <c r="K2485" s="88">
        <v>1</v>
      </c>
      <c r="L2485" s="88"/>
      <c r="M2485" s="88"/>
      <c r="N2485" s="88"/>
      <c r="O2485" s="88"/>
      <c r="P2485" s="88"/>
      <c r="Q2485" s="88"/>
      <c r="R2485" s="78">
        <f>MAX(S2485:W2485)</f>
        <v>0</v>
      </c>
      <c r="S2485" s="88"/>
      <c r="T2485" s="88"/>
      <c r="U2485" s="88"/>
      <c r="V2485" s="88"/>
      <c r="W2485" s="88"/>
    </row>
    <row r="2486" spans="2:23" s="0" customFormat="0" ht="15">
      <c r="B2486" s="87" t="s">
        <v>1</v>
      </c>
      <c r="C2486" s="88" t="s">
        <v>5259</v>
      </c>
      <c r="D2486" s="88" t="s">
        <v>4413</v>
      </c>
      <c r="E2486" s="88" t="s">
        <v>61</v>
      </c>
      <c r="F2486" s="88">
        <v>0</v>
      </c>
      <c r="G2486" s="78">
        <f>MAX(H2486,I2486,J2486)</f>
        <v>0</v>
      </c>
      <c r="H2486" s="88"/>
      <c r="I2486" s="88"/>
      <c r="J2486" s="78">
        <f>MAX(K2486:Q2486)</f>
        <v>0</v>
      </c>
      <c r="K2486" s="88"/>
      <c r="L2486" s="88"/>
      <c r="M2486" s="88"/>
      <c r="N2486" s="88"/>
      <c r="O2486" s="88"/>
      <c r="P2486" s="88"/>
      <c r="Q2486" s="88"/>
      <c r="R2486" s="78">
        <f>MAX(S2486:W2486)</f>
        <v>1</v>
      </c>
      <c r="S2486" s="88"/>
      <c r="T2486" s="88"/>
      <c r="U2486" s="88">
        <v>1</v>
      </c>
      <c r="V2486" s="88"/>
      <c r="W2486" s="88"/>
    </row>
    <row r="2487" spans="2:23" s="0" customFormat="0" ht="15">
      <c r="B2487" s="87" t="s">
        <v>1</v>
      </c>
      <c r="C2487" s="88" t="s">
        <v>5259</v>
      </c>
      <c r="D2487" s="88">
        <v>21007337</v>
      </c>
      <c r="E2487" s="88" t="s">
        <v>61</v>
      </c>
      <c r="F2487" s="88">
        <v>0</v>
      </c>
      <c r="G2487" s="78">
        <f>MAX(H2487,I2487,J2487)</f>
        <v>1</v>
      </c>
      <c r="H2487" s="88"/>
      <c r="I2487" s="88"/>
      <c r="J2487" s="78">
        <f>MAX(K2487:Q2487)</f>
        <v>1</v>
      </c>
      <c r="K2487" s="88">
        <v>1</v>
      </c>
      <c r="L2487" s="88"/>
      <c r="M2487" s="88"/>
      <c r="N2487" s="88"/>
      <c r="O2487" s="88"/>
      <c r="P2487" s="88"/>
      <c r="Q2487" s="88"/>
      <c r="R2487" s="78">
        <f>MAX(S2487:W2487)</f>
        <v>0</v>
      </c>
      <c r="S2487" s="88"/>
      <c r="T2487" s="88"/>
      <c r="U2487" s="88"/>
      <c r="V2487" s="88"/>
      <c r="W2487" s="88"/>
    </row>
    <row r="2488" spans="2:23" s="0" customFormat="0" ht="15">
      <c r="B2488" s="87" t="s">
        <v>1</v>
      </c>
      <c r="C2488" s="88" t="s">
        <v>5259</v>
      </c>
      <c r="D2488" s="88" t="s">
        <v>1790</v>
      </c>
      <c r="E2488" s="88" t="s">
        <v>61</v>
      </c>
      <c r="F2488" s="88">
        <v>0</v>
      </c>
      <c r="G2488" s="78">
        <f>MAX(H2488,I2488,J2488)</f>
        <v>1</v>
      </c>
      <c r="H2488" s="88"/>
      <c r="I2488" s="88"/>
      <c r="J2488" s="78">
        <f>MAX(K2488:Q2488)</f>
        <v>1</v>
      </c>
      <c r="K2488" s="88">
        <v>1</v>
      </c>
      <c r="L2488" s="88"/>
      <c r="M2488" s="88"/>
      <c r="N2488" s="88"/>
      <c r="O2488" s="88"/>
      <c r="P2488" s="88"/>
      <c r="Q2488" s="88"/>
      <c r="R2488" s="78">
        <f>MAX(S2488:W2488)</f>
        <v>0</v>
      </c>
      <c r="S2488" s="88"/>
      <c r="T2488" s="88"/>
      <c r="U2488" s="88"/>
      <c r="V2488" s="88"/>
      <c r="W2488" s="88"/>
    </row>
    <row r="2489" spans="2:23" s="0" customFormat="0" ht="15">
      <c r="B2489" s="87" t="s">
        <v>1</v>
      </c>
      <c r="C2489" s="88" t="s">
        <v>5259</v>
      </c>
      <c r="D2489" s="88" t="s">
        <v>4415</v>
      </c>
      <c r="E2489" s="88" t="s">
        <v>61</v>
      </c>
      <c r="F2489" s="88">
        <v>0</v>
      </c>
      <c r="G2489" s="78">
        <f>MAX(H2489,I2489,J2489)</f>
        <v>0</v>
      </c>
      <c r="H2489" s="88"/>
      <c r="I2489" s="88"/>
      <c r="J2489" s="78">
        <f>MAX(K2489:Q2489)</f>
        <v>0</v>
      </c>
      <c r="K2489" s="88"/>
      <c r="L2489" s="88"/>
      <c r="M2489" s="88"/>
      <c r="N2489" s="88"/>
      <c r="O2489" s="88"/>
      <c r="P2489" s="88"/>
      <c r="Q2489" s="88"/>
      <c r="R2489" s="78">
        <f>MAX(S2489:W2489)</f>
        <v>1</v>
      </c>
      <c r="S2489" s="88"/>
      <c r="T2489" s="88"/>
      <c r="U2489" s="88">
        <v>1</v>
      </c>
      <c r="V2489" s="88"/>
      <c r="W2489" s="88"/>
    </row>
    <row r="2490" spans="2:23" s="0" customFormat="0" ht="15">
      <c r="B2490" s="87" t="s">
        <v>1</v>
      </c>
      <c r="C2490" s="88" t="s">
        <v>5259</v>
      </c>
      <c r="D2490" s="88">
        <v>12749535</v>
      </c>
      <c r="E2490" s="88" t="s">
        <v>61</v>
      </c>
      <c r="F2490" s="88">
        <v>0</v>
      </c>
      <c r="G2490" s="78">
        <f>MAX(H2490,I2490,J2490)</f>
        <v>1</v>
      </c>
      <c r="H2490" s="88"/>
      <c r="I2490" s="88"/>
      <c r="J2490" s="78">
        <f>MAX(K2490:Q2490)</f>
        <v>1</v>
      </c>
      <c r="K2490" s="88">
        <v>1</v>
      </c>
      <c r="L2490" s="88"/>
      <c r="M2490" s="88"/>
      <c r="N2490" s="88"/>
      <c r="O2490" s="88"/>
      <c r="P2490" s="88"/>
      <c r="Q2490" s="88"/>
      <c r="R2490" s="78">
        <f>MAX(S2490:W2490)</f>
        <v>0</v>
      </c>
      <c r="S2490" s="88"/>
      <c r="T2490" s="88"/>
      <c r="U2490" s="88"/>
      <c r="V2490" s="88"/>
      <c r="W2490" s="88"/>
    </row>
    <row r="2491" spans="2:23" s="0" customFormat="0" ht="15">
      <c r="B2491" s="87" t="s">
        <v>1</v>
      </c>
      <c r="C2491" s="88" t="s">
        <v>5259</v>
      </c>
      <c r="D2491" s="88" t="s">
        <v>4417</v>
      </c>
      <c r="E2491" s="88" t="s">
        <v>61</v>
      </c>
      <c r="F2491" s="88">
        <v>0</v>
      </c>
      <c r="G2491" s="78">
        <f>MAX(H2491,I2491,J2491)</f>
        <v>0</v>
      </c>
      <c r="H2491" s="88"/>
      <c r="I2491" s="88"/>
      <c r="J2491" s="78">
        <f>MAX(K2491:Q2491)</f>
        <v>0</v>
      </c>
      <c r="K2491" s="88"/>
      <c r="L2491" s="88"/>
      <c r="M2491" s="88"/>
      <c r="N2491" s="88"/>
      <c r="O2491" s="88"/>
      <c r="P2491" s="88"/>
      <c r="Q2491" s="88"/>
      <c r="R2491" s="78">
        <f>MAX(S2491:W2491)</f>
        <v>1</v>
      </c>
      <c r="S2491" s="88"/>
      <c r="T2491" s="88"/>
      <c r="U2491" s="88">
        <v>1</v>
      </c>
      <c r="V2491" s="88"/>
      <c r="W2491" s="88"/>
    </row>
    <row r="2492" spans="2:23" s="0" customFormat="0" ht="15">
      <c r="B2492" s="87" t="s">
        <v>1</v>
      </c>
      <c r="C2492" s="88" t="s">
        <v>5259</v>
      </c>
      <c r="D2492" s="88" t="s">
        <v>4419</v>
      </c>
      <c r="E2492" s="88" t="s">
        <v>61</v>
      </c>
      <c r="F2492" s="88">
        <v>0</v>
      </c>
      <c r="G2492" s="78">
        <f>MAX(H2492,I2492,J2492)</f>
        <v>0</v>
      </c>
      <c r="H2492" s="88"/>
      <c r="I2492" s="88"/>
      <c r="J2492" s="78">
        <f>MAX(K2492:Q2492)</f>
        <v>0</v>
      </c>
      <c r="K2492" s="88"/>
      <c r="L2492" s="88"/>
      <c r="M2492" s="88"/>
      <c r="N2492" s="88"/>
      <c r="O2492" s="88"/>
      <c r="P2492" s="88"/>
      <c r="Q2492" s="88"/>
      <c r="R2492" s="78">
        <f>MAX(S2492:W2492)</f>
        <v>1</v>
      </c>
      <c r="S2492" s="88"/>
      <c r="T2492" s="88"/>
      <c r="U2492" s="88">
        <v>1</v>
      </c>
      <c r="V2492" s="88"/>
      <c r="W2492" s="88"/>
    </row>
    <row r="2493" spans="2:23" s="0" customFormat="0" ht="15">
      <c r="B2493" s="87" t="s">
        <v>1</v>
      </c>
      <c r="C2493" s="88" t="s">
        <v>5259</v>
      </c>
      <c r="D2493" s="88">
        <v>23936141</v>
      </c>
      <c r="E2493" s="88" t="s">
        <v>61</v>
      </c>
      <c r="F2493" s="88">
        <v>0</v>
      </c>
      <c r="G2493" s="78">
        <f>MAX(H2493,I2493,J2493)</f>
        <v>1</v>
      </c>
      <c r="H2493" s="88"/>
      <c r="I2493" s="88"/>
      <c r="J2493" s="78">
        <f>MAX(K2493:Q2493)</f>
        <v>1</v>
      </c>
      <c r="K2493" s="88">
        <v>1</v>
      </c>
      <c r="L2493" s="88"/>
      <c r="M2493" s="88"/>
      <c r="N2493" s="88"/>
      <c r="O2493" s="88"/>
      <c r="P2493" s="88"/>
      <c r="Q2493" s="88"/>
      <c r="R2493" s="78">
        <f>MAX(S2493:W2493)</f>
        <v>0</v>
      </c>
      <c r="S2493" s="88"/>
      <c r="T2493" s="88"/>
      <c r="U2493" s="88"/>
      <c r="V2493" s="88"/>
      <c r="W2493" s="88"/>
    </row>
    <row r="2494" spans="2:23" s="0" customFormat="0" ht="15">
      <c r="B2494" s="87" t="s">
        <v>1</v>
      </c>
      <c r="C2494" s="88" t="s">
        <v>5259</v>
      </c>
      <c r="D2494" s="88">
        <v>11262381</v>
      </c>
      <c r="E2494" s="88" t="s">
        <v>61</v>
      </c>
      <c r="F2494" s="88">
        <v>0</v>
      </c>
      <c r="G2494" s="78">
        <f>MAX(H2494,I2494,J2494)</f>
        <v>1</v>
      </c>
      <c r="H2494" s="88"/>
      <c r="I2494" s="88"/>
      <c r="J2494" s="78">
        <f>MAX(K2494:Q2494)</f>
        <v>1</v>
      </c>
      <c r="K2494" s="88">
        <v>1</v>
      </c>
      <c r="L2494" s="88"/>
      <c r="M2494" s="88"/>
      <c r="N2494" s="88"/>
      <c r="O2494" s="88"/>
      <c r="P2494" s="88"/>
      <c r="Q2494" s="88"/>
      <c r="R2494" s="78">
        <f>MAX(S2494:W2494)</f>
        <v>0</v>
      </c>
      <c r="S2494" s="88"/>
      <c r="T2494" s="88"/>
      <c r="U2494" s="88"/>
      <c r="V2494" s="88"/>
      <c r="W2494" s="88"/>
    </row>
    <row r="2495" spans="2:23" s="0" customFormat="0" ht="15">
      <c r="B2495" s="87" t="s">
        <v>1</v>
      </c>
      <c r="C2495" s="88" t="s">
        <v>5259</v>
      </c>
      <c r="D2495" s="88" t="s">
        <v>3674</v>
      </c>
      <c r="E2495" s="88" t="s">
        <v>61</v>
      </c>
      <c r="F2495" s="88">
        <v>0</v>
      </c>
      <c r="G2495" s="78">
        <f>MAX(H2495,I2495,J2495)</f>
        <v>0</v>
      </c>
      <c r="H2495" s="88"/>
      <c r="I2495" s="88"/>
      <c r="J2495" s="78">
        <f>MAX(K2495:Q2495)</f>
        <v>0</v>
      </c>
      <c r="K2495" s="88"/>
      <c r="L2495" s="88"/>
      <c r="M2495" s="88"/>
      <c r="N2495" s="88"/>
      <c r="O2495" s="88"/>
      <c r="P2495" s="88"/>
      <c r="Q2495" s="88"/>
      <c r="R2495" s="78">
        <f>MAX(S2495:W2495)</f>
        <v>1</v>
      </c>
      <c r="S2495" s="88"/>
      <c r="T2495" s="88"/>
      <c r="U2495" s="88">
        <v>1</v>
      </c>
      <c r="V2495" s="88"/>
      <c r="W2495" s="88"/>
    </row>
    <row r="2496" spans="2:23" s="0" customFormat="0" ht="15">
      <c r="B2496" s="87" t="s">
        <v>1</v>
      </c>
      <c r="C2496" s="88" t="s">
        <v>5259</v>
      </c>
      <c r="D2496" s="88">
        <v>24423125</v>
      </c>
      <c r="E2496" s="88" t="s">
        <v>61</v>
      </c>
      <c r="F2496" s="88">
        <v>0</v>
      </c>
      <c r="G2496" s="78">
        <f>MAX(H2496,I2496,J2496)</f>
        <v>1</v>
      </c>
      <c r="H2496" s="88"/>
      <c r="I2496" s="88"/>
      <c r="J2496" s="78">
        <f>MAX(K2496:Q2496)</f>
        <v>1</v>
      </c>
      <c r="K2496" s="88">
        <v>1</v>
      </c>
      <c r="L2496" s="88"/>
      <c r="M2496" s="88"/>
      <c r="N2496" s="88"/>
      <c r="O2496" s="88"/>
      <c r="P2496" s="88"/>
      <c r="Q2496" s="88"/>
      <c r="R2496" s="78">
        <f>MAX(S2496:W2496)</f>
        <v>0</v>
      </c>
      <c r="S2496" s="88"/>
      <c r="T2496" s="88"/>
      <c r="U2496" s="88"/>
      <c r="V2496" s="88"/>
      <c r="W2496" s="88"/>
    </row>
    <row r="2497" spans="2:23" s="0" customFormat="0" ht="15">
      <c r="B2497" s="87" t="s">
        <v>1</v>
      </c>
      <c r="C2497" s="88" t="s">
        <v>5259</v>
      </c>
      <c r="D2497" s="88" t="s">
        <v>578</v>
      </c>
      <c r="E2497" s="88" t="s">
        <v>61</v>
      </c>
      <c r="F2497" s="88">
        <v>0</v>
      </c>
      <c r="G2497" s="78">
        <f>MAX(H2497,I2497,J2497)</f>
        <v>1</v>
      </c>
      <c r="H2497" s="88"/>
      <c r="I2497" s="88"/>
      <c r="J2497" s="78">
        <f>MAX(K2497:Q2497)</f>
        <v>1</v>
      </c>
      <c r="K2497" s="88">
        <v>1</v>
      </c>
      <c r="L2497" s="88"/>
      <c r="M2497" s="88"/>
      <c r="N2497" s="88"/>
      <c r="O2497" s="88"/>
      <c r="P2497" s="88"/>
      <c r="Q2497" s="88"/>
      <c r="R2497" s="78">
        <f>MAX(S2497:W2497)</f>
        <v>0</v>
      </c>
      <c r="S2497" s="88"/>
      <c r="T2497" s="88"/>
      <c r="U2497" s="88"/>
      <c r="V2497" s="88"/>
      <c r="W2497" s="88"/>
    </row>
    <row r="2498" spans="2:23" s="0" customFormat="0" ht="15">
      <c r="B2498" s="87" t="s">
        <v>1</v>
      </c>
      <c r="C2498" s="88" t="s">
        <v>5259</v>
      </c>
      <c r="D2498" s="88" t="s">
        <v>4421</v>
      </c>
      <c r="E2498" s="88" t="s">
        <v>61</v>
      </c>
      <c r="F2498" s="88">
        <v>0</v>
      </c>
      <c r="G2498" s="78">
        <f>MAX(H2498,I2498,J2498)</f>
        <v>0</v>
      </c>
      <c r="H2498" s="88"/>
      <c r="I2498" s="88"/>
      <c r="J2498" s="78">
        <f>MAX(K2498:Q2498)</f>
        <v>0</v>
      </c>
      <c r="K2498" s="88"/>
      <c r="L2498" s="88"/>
      <c r="M2498" s="88"/>
      <c r="N2498" s="88"/>
      <c r="O2498" s="88"/>
      <c r="P2498" s="88"/>
      <c r="Q2498" s="88"/>
      <c r="R2498" s="78">
        <f>MAX(S2498:W2498)</f>
        <v>1</v>
      </c>
      <c r="S2498" s="88"/>
      <c r="T2498" s="88"/>
      <c r="U2498" s="88">
        <v>1</v>
      </c>
      <c r="V2498" s="88"/>
      <c r="W2498" s="88"/>
    </row>
    <row r="2499" spans="2:23" s="0" customFormat="0" ht="15">
      <c r="B2499" s="87" t="s">
        <v>1</v>
      </c>
      <c r="C2499" s="88" t="s">
        <v>5259</v>
      </c>
      <c r="D2499" s="88" t="s">
        <v>4423</v>
      </c>
      <c r="E2499" s="88" t="s">
        <v>61</v>
      </c>
      <c r="F2499" s="88">
        <v>0</v>
      </c>
      <c r="G2499" s="78">
        <f>MAX(H2499,I2499,J2499)</f>
        <v>0</v>
      </c>
      <c r="H2499" s="88"/>
      <c r="I2499" s="88"/>
      <c r="J2499" s="78">
        <f>MAX(K2499:Q2499)</f>
        <v>0</v>
      </c>
      <c r="K2499" s="88"/>
      <c r="L2499" s="88"/>
      <c r="M2499" s="88"/>
      <c r="N2499" s="88"/>
      <c r="O2499" s="88"/>
      <c r="P2499" s="88"/>
      <c r="Q2499" s="88"/>
      <c r="R2499" s="78">
        <f>MAX(S2499:W2499)</f>
        <v>1</v>
      </c>
      <c r="S2499" s="88"/>
      <c r="T2499" s="88"/>
      <c r="U2499" s="88">
        <v>1</v>
      </c>
      <c r="V2499" s="88"/>
      <c r="W2499" s="88"/>
    </row>
    <row r="2500" spans="2:23" s="0" customFormat="0" ht="15">
      <c r="B2500" s="87" t="s">
        <v>1</v>
      </c>
      <c r="C2500" s="88" t="s">
        <v>5259</v>
      </c>
      <c r="D2500" s="88">
        <v>20996856</v>
      </c>
      <c r="E2500" s="88" t="s">
        <v>61</v>
      </c>
      <c r="F2500" s="88">
        <v>0</v>
      </c>
      <c r="G2500" s="78">
        <f>MAX(H2500,I2500,J2500)</f>
        <v>1</v>
      </c>
      <c r="H2500" s="88"/>
      <c r="I2500" s="88"/>
      <c r="J2500" s="78">
        <f>MAX(K2500:Q2500)</f>
        <v>1</v>
      </c>
      <c r="K2500" s="88">
        <v>1</v>
      </c>
      <c r="L2500" s="88"/>
      <c r="M2500" s="88"/>
      <c r="N2500" s="88"/>
      <c r="O2500" s="88"/>
      <c r="P2500" s="88"/>
      <c r="Q2500" s="88"/>
      <c r="R2500" s="78">
        <f>MAX(S2500:W2500)</f>
        <v>0</v>
      </c>
      <c r="S2500" s="88"/>
      <c r="T2500" s="88"/>
      <c r="U2500" s="88"/>
      <c r="V2500" s="88"/>
      <c r="W2500" s="88"/>
    </row>
    <row r="2501" spans="2:23" s="0" customFormat="0" ht="15">
      <c r="B2501" s="87" t="s">
        <v>1</v>
      </c>
      <c r="C2501" s="88" t="s">
        <v>5259</v>
      </c>
      <c r="D2501" s="88">
        <v>23146109</v>
      </c>
      <c r="E2501" s="88" t="s">
        <v>61</v>
      </c>
      <c r="F2501" s="88">
        <v>0</v>
      </c>
      <c r="G2501" s="78">
        <f>MAX(H2501,I2501,J2501)</f>
        <v>1</v>
      </c>
      <c r="H2501" s="88"/>
      <c r="I2501" s="88"/>
      <c r="J2501" s="78">
        <f>MAX(K2501:Q2501)</f>
        <v>1</v>
      </c>
      <c r="K2501" s="88">
        <v>1</v>
      </c>
      <c r="L2501" s="88"/>
      <c r="M2501" s="88"/>
      <c r="N2501" s="88"/>
      <c r="O2501" s="88"/>
      <c r="P2501" s="88"/>
      <c r="Q2501" s="88"/>
      <c r="R2501" s="78">
        <f>MAX(S2501:W2501)</f>
        <v>0</v>
      </c>
      <c r="S2501" s="88"/>
      <c r="T2501" s="88"/>
      <c r="U2501" s="88"/>
      <c r="V2501" s="88"/>
      <c r="W2501" s="88"/>
    </row>
    <row r="2502" spans="2:23" s="0" customFormat="0" ht="15">
      <c r="B2502" s="87" t="s">
        <v>1</v>
      </c>
      <c r="C2502" s="88" t="s">
        <v>5259</v>
      </c>
      <c r="D2502" s="88">
        <v>19614467</v>
      </c>
      <c r="E2502" s="88" t="s">
        <v>61</v>
      </c>
      <c r="F2502" s="88">
        <v>0</v>
      </c>
      <c r="G2502" s="78">
        <f>MAX(H2502,I2502,J2502)</f>
        <v>1</v>
      </c>
      <c r="H2502" s="88"/>
      <c r="I2502" s="88"/>
      <c r="J2502" s="78">
        <f>MAX(K2502:Q2502)</f>
        <v>1</v>
      </c>
      <c r="K2502" s="88">
        <v>1</v>
      </c>
      <c r="L2502" s="88"/>
      <c r="M2502" s="88"/>
      <c r="N2502" s="88"/>
      <c r="O2502" s="88"/>
      <c r="P2502" s="88"/>
      <c r="Q2502" s="88"/>
      <c r="R2502" s="78">
        <f>MAX(S2502:W2502)</f>
        <v>0</v>
      </c>
      <c r="S2502" s="88"/>
      <c r="T2502" s="88"/>
      <c r="U2502" s="88"/>
      <c r="V2502" s="88"/>
      <c r="W2502" s="88"/>
    </row>
    <row r="2503" spans="2:23" s="0" customFormat="0" ht="15">
      <c r="B2503" s="87" t="s">
        <v>1</v>
      </c>
      <c r="C2503" s="88" t="s">
        <v>5259</v>
      </c>
      <c r="D2503" s="88" t="s">
        <v>3965</v>
      </c>
      <c r="E2503" s="88" t="s">
        <v>61</v>
      </c>
      <c r="F2503" s="88">
        <v>0</v>
      </c>
      <c r="G2503" s="78">
        <f>MAX(H2503,I2503,J2503)</f>
        <v>0</v>
      </c>
      <c r="H2503" s="88"/>
      <c r="I2503" s="88"/>
      <c r="J2503" s="78">
        <f>MAX(K2503:Q2503)</f>
        <v>0</v>
      </c>
      <c r="K2503" s="88"/>
      <c r="L2503" s="88"/>
      <c r="M2503" s="88"/>
      <c r="N2503" s="88"/>
      <c r="O2503" s="88"/>
      <c r="P2503" s="88"/>
      <c r="Q2503" s="88"/>
      <c r="R2503" s="78">
        <f>MAX(S2503:W2503)</f>
        <v>1</v>
      </c>
      <c r="S2503" s="88"/>
      <c r="T2503" s="88"/>
      <c r="U2503" s="88">
        <v>1</v>
      </c>
      <c r="V2503" s="88"/>
      <c r="W2503" s="88"/>
    </row>
    <row r="2504" spans="2:23" s="0" customFormat="0" ht="15">
      <c r="B2504" s="87" t="s">
        <v>1</v>
      </c>
      <c r="C2504" s="88" t="s">
        <v>5259</v>
      </c>
      <c r="D2504" s="88">
        <v>24728975</v>
      </c>
      <c r="E2504" s="88" t="s">
        <v>61</v>
      </c>
      <c r="F2504" s="88">
        <v>0</v>
      </c>
      <c r="G2504" s="78">
        <f>MAX(H2504,I2504,J2504)</f>
        <v>1</v>
      </c>
      <c r="H2504" s="88"/>
      <c r="I2504" s="88"/>
      <c r="J2504" s="78">
        <f>MAX(K2504:Q2504)</f>
        <v>1</v>
      </c>
      <c r="K2504" s="88"/>
      <c r="L2504" s="88">
        <v>1</v>
      </c>
      <c r="M2504" s="88"/>
      <c r="N2504" s="88"/>
      <c r="O2504" s="88"/>
      <c r="P2504" s="88"/>
      <c r="Q2504" s="88"/>
      <c r="R2504" s="78">
        <f>MAX(S2504:W2504)</f>
        <v>0</v>
      </c>
      <c r="S2504" s="88"/>
      <c r="T2504" s="88"/>
      <c r="U2504" s="88"/>
      <c r="V2504" s="88"/>
      <c r="W2504" s="88"/>
    </row>
    <row r="2505" spans="2:23" s="0" customFormat="0" ht="15">
      <c r="B2505" s="87" t="s">
        <v>1</v>
      </c>
      <c r="C2505" s="88" t="s">
        <v>5259</v>
      </c>
      <c r="D2505" s="88">
        <v>16682604</v>
      </c>
      <c r="E2505" s="88" t="s">
        <v>61</v>
      </c>
      <c r="F2505" s="88">
        <v>0</v>
      </c>
      <c r="G2505" s="78">
        <f>MAX(H2505,I2505,J2505)</f>
        <v>1</v>
      </c>
      <c r="H2505" s="88"/>
      <c r="I2505" s="88"/>
      <c r="J2505" s="78">
        <f>MAX(K2505:Q2505)</f>
        <v>1</v>
      </c>
      <c r="K2505" s="88">
        <v>1</v>
      </c>
      <c r="L2505" s="88"/>
      <c r="M2505" s="88"/>
      <c r="N2505" s="88"/>
      <c r="O2505" s="88"/>
      <c r="P2505" s="88"/>
      <c r="Q2505" s="88"/>
      <c r="R2505" s="78">
        <f>MAX(S2505:W2505)</f>
        <v>0</v>
      </c>
      <c r="S2505" s="88"/>
      <c r="T2505" s="88"/>
      <c r="U2505" s="88"/>
      <c r="V2505" s="88"/>
      <c r="W2505" s="88"/>
    </row>
    <row r="2506" spans="2:23" s="0" customFormat="0" ht="15">
      <c r="B2506" s="87" t="s">
        <v>1</v>
      </c>
      <c r="C2506" s="88" t="s">
        <v>5259</v>
      </c>
      <c r="D2506" s="88" t="s">
        <v>4425</v>
      </c>
      <c r="E2506" s="88" t="s">
        <v>61</v>
      </c>
      <c r="F2506" s="88">
        <v>0</v>
      </c>
      <c r="G2506" s="78">
        <f>MAX(H2506,I2506,J2506)</f>
        <v>0</v>
      </c>
      <c r="H2506" s="88"/>
      <c r="I2506" s="88"/>
      <c r="J2506" s="78">
        <f>MAX(K2506:Q2506)</f>
        <v>0</v>
      </c>
      <c r="K2506" s="88"/>
      <c r="L2506" s="88"/>
      <c r="M2506" s="88"/>
      <c r="N2506" s="88"/>
      <c r="O2506" s="88"/>
      <c r="P2506" s="88"/>
      <c r="Q2506" s="88"/>
      <c r="R2506" s="78">
        <f>MAX(S2506:W2506)</f>
        <v>1</v>
      </c>
      <c r="S2506" s="88"/>
      <c r="T2506" s="88"/>
      <c r="U2506" s="88">
        <v>1</v>
      </c>
      <c r="V2506" s="88"/>
      <c r="W2506" s="88"/>
    </row>
    <row r="2507" spans="2:23" s="0" customFormat="0" ht="15">
      <c r="B2507" s="87" t="s">
        <v>1</v>
      </c>
      <c r="C2507" s="88" t="s">
        <v>5259</v>
      </c>
      <c r="D2507" s="88" t="s">
        <v>3958</v>
      </c>
      <c r="E2507" s="88" t="s">
        <v>61</v>
      </c>
      <c r="F2507" s="88">
        <v>0</v>
      </c>
      <c r="G2507" s="78">
        <f>MAX(H2507,I2507,J2507)</f>
        <v>0</v>
      </c>
      <c r="H2507" s="88"/>
      <c r="I2507" s="88"/>
      <c r="J2507" s="78">
        <f>MAX(K2507:Q2507)</f>
        <v>0</v>
      </c>
      <c r="K2507" s="88"/>
      <c r="L2507" s="88"/>
      <c r="M2507" s="88"/>
      <c r="N2507" s="88"/>
      <c r="O2507" s="88"/>
      <c r="P2507" s="88"/>
      <c r="Q2507" s="88"/>
      <c r="R2507" s="78">
        <f>MAX(S2507:W2507)</f>
        <v>1</v>
      </c>
      <c r="S2507" s="88"/>
      <c r="T2507" s="88"/>
      <c r="U2507" s="88">
        <v>1</v>
      </c>
      <c r="V2507" s="88"/>
      <c r="W2507" s="88"/>
    </row>
    <row r="2508" spans="2:23" s="0" customFormat="0" ht="15">
      <c r="B2508" s="87" t="s">
        <v>1</v>
      </c>
      <c r="C2508" s="88" t="s">
        <v>5259</v>
      </c>
      <c r="D2508" s="88">
        <v>8513859</v>
      </c>
      <c r="E2508" s="88" t="s">
        <v>61</v>
      </c>
      <c r="F2508" s="88">
        <v>0</v>
      </c>
      <c r="G2508" s="78">
        <f>MAX(H2508,I2508,J2508)</f>
        <v>1</v>
      </c>
      <c r="H2508" s="88"/>
      <c r="I2508" s="88"/>
      <c r="J2508" s="78">
        <f>MAX(K2508:Q2508)</f>
        <v>1</v>
      </c>
      <c r="K2508" s="88">
        <v>1</v>
      </c>
      <c r="L2508" s="88"/>
      <c r="M2508" s="88"/>
      <c r="N2508" s="88"/>
      <c r="O2508" s="88"/>
      <c r="P2508" s="88"/>
      <c r="Q2508" s="88"/>
      <c r="R2508" s="78">
        <f>MAX(S2508:W2508)</f>
        <v>0</v>
      </c>
      <c r="S2508" s="88"/>
      <c r="T2508" s="88"/>
      <c r="U2508" s="88"/>
      <c r="V2508" s="88"/>
      <c r="W2508" s="88"/>
    </row>
    <row r="2509" spans="2:23" s="0" customFormat="0" ht="15">
      <c r="B2509" s="87" t="s">
        <v>1</v>
      </c>
      <c r="C2509" s="88" t="s">
        <v>5259</v>
      </c>
      <c r="D2509" s="88">
        <v>19906434</v>
      </c>
      <c r="E2509" s="88" t="s">
        <v>61</v>
      </c>
      <c r="F2509" s="88">
        <v>0</v>
      </c>
      <c r="G2509" s="78">
        <f>MAX(H2509,I2509,J2509)</f>
        <v>1</v>
      </c>
      <c r="H2509" s="88"/>
      <c r="I2509" s="88"/>
      <c r="J2509" s="78">
        <f>MAX(K2509:Q2509)</f>
        <v>1</v>
      </c>
      <c r="K2509" s="88">
        <v>1</v>
      </c>
      <c r="L2509" s="88"/>
      <c r="M2509" s="88"/>
      <c r="N2509" s="88"/>
      <c r="O2509" s="88"/>
      <c r="P2509" s="88"/>
      <c r="Q2509" s="88"/>
      <c r="R2509" s="78">
        <f>MAX(S2509:W2509)</f>
        <v>0</v>
      </c>
      <c r="S2509" s="88"/>
      <c r="T2509" s="88"/>
      <c r="U2509" s="88"/>
      <c r="V2509" s="88"/>
      <c r="W2509" s="88"/>
    </row>
    <row r="2510" spans="2:23" s="0" customFormat="0" ht="15">
      <c r="B2510" s="87" t="s">
        <v>1</v>
      </c>
      <c r="C2510" s="88" t="s">
        <v>5259</v>
      </c>
      <c r="D2510" s="88" t="s">
        <v>4427</v>
      </c>
      <c r="E2510" s="88" t="s">
        <v>61</v>
      </c>
      <c r="F2510" s="88">
        <v>0</v>
      </c>
      <c r="G2510" s="78">
        <f>MAX(H2510,I2510,J2510)</f>
        <v>0</v>
      </c>
      <c r="H2510" s="88"/>
      <c r="I2510" s="88"/>
      <c r="J2510" s="78">
        <f>MAX(K2510:Q2510)</f>
        <v>0</v>
      </c>
      <c r="K2510" s="88"/>
      <c r="L2510" s="88"/>
      <c r="M2510" s="88"/>
      <c r="N2510" s="88"/>
      <c r="O2510" s="88"/>
      <c r="P2510" s="88"/>
      <c r="Q2510" s="88"/>
      <c r="R2510" s="78">
        <f>MAX(S2510:W2510)</f>
        <v>1</v>
      </c>
      <c r="S2510" s="88"/>
      <c r="T2510" s="88"/>
      <c r="U2510" s="88">
        <v>1</v>
      </c>
      <c r="V2510" s="88"/>
      <c r="W2510" s="88"/>
    </row>
    <row r="2511" spans="2:23" s="0" customFormat="0" ht="15">
      <c r="B2511" s="87" t="s">
        <v>1</v>
      </c>
      <c r="C2511" s="88" t="s">
        <v>5259</v>
      </c>
      <c r="D2511" s="88" t="s">
        <v>4429</v>
      </c>
      <c r="E2511" s="88" t="s">
        <v>61</v>
      </c>
      <c r="F2511" s="88">
        <v>0</v>
      </c>
      <c r="G2511" s="78">
        <f>MAX(H2511,I2511,J2511)</f>
        <v>0</v>
      </c>
      <c r="H2511" s="88"/>
      <c r="I2511" s="88"/>
      <c r="J2511" s="78">
        <f>MAX(K2511:Q2511)</f>
        <v>0</v>
      </c>
      <c r="K2511" s="88"/>
      <c r="L2511" s="88"/>
      <c r="M2511" s="88"/>
      <c r="N2511" s="88"/>
      <c r="O2511" s="88"/>
      <c r="P2511" s="88"/>
      <c r="Q2511" s="88"/>
      <c r="R2511" s="78">
        <f>MAX(S2511:W2511)</f>
        <v>1</v>
      </c>
      <c r="S2511" s="88"/>
      <c r="T2511" s="88"/>
      <c r="U2511" s="88">
        <v>1</v>
      </c>
      <c r="V2511" s="88"/>
      <c r="W2511" s="88"/>
    </row>
    <row r="2512" spans="2:23" s="0" customFormat="0" ht="15">
      <c r="B2512" s="87" t="s">
        <v>1</v>
      </c>
      <c r="C2512" s="88" t="s">
        <v>5259</v>
      </c>
      <c r="D2512" s="88" t="s">
        <v>4431</v>
      </c>
      <c r="E2512" s="88" t="s">
        <v>61</v>
      </c>
      <c r="F2512" s="88">
        <v>0</v>
      </c>
      <c r="G2512" s="78">
        <f>MAX(H2512,I2512,J2512)</f>
        <v>0</v>
      </c>
      <c r="H2512" s="88"/>
      <c r="I2512" s="88"/>
      <c r="J2512" s="78">
        <f>MAX(K2512:Q2512)</f>
        <v>0</v>
      </c>
      <c r="K2512" s="88"/>
      <c r="L2512" s="88"/>
      <c r="M2512" s="88"/>
      <c r="N2512" s="88"/>
      <c r="O2512" s="88"/>
      <c r="P2512" s="88"/>
      <c r="Q2512" s="88"/>
      <c r="R2512" s="78">
        <f>MAX(S2512:W2512)</f>
        <v>1</v>
      </c>
      <c r="S2512" s="88"/>
      <c r="T2512" s="88"/>
      <c r="U2512" s="88">
        <v>1</v>
      </c>
      <c r="V2512" s="88"/>
      <c r="W2512" s="88"/>
    </row>
    <row r="2513" spans="2:23" s="0" customFormat="0" ht="15">
      <c r="B2513" s="87" t="s">
        <v>1</v>
      </c>
      <c r="C2513" s="88" t="s">
        <v>5259</v>
      </c>
      <c r="D2513" s="88">
        <v>14504604</v>
      </c>
      <c r="E2513" s="88" t="s">
        <v>61</v>
      </c>
      <c r="F2513" s="88">
        <v>0</v>
      </c>
      <c r="G2513" s="78">
        <f>MAX(H2513,I2513,J2513)</f>
        <v>0</v>
      </c>
      <c r="H2513" s="88"/>
      <c r="I2513" s="88"/>
      <c r="J2513" s="78">
        <f>MAX(K2513:Q2513)</f>
        <v>0</v>
      </c>
      <c r="K2513" s="88"/>
      <c r="L2513" s="88"/>
      <c r="M2513" s="88"/>
      <c r="N2513" s="88"/>
      <c r="O2513" s="88"/>
      <c r="P2513" s="88"/>
      <c r="Q2513" s="88"/>
      <c r="R2513" s="78">
        <f>MAX(S2513:W2513)</f>
        <v>1</v>
      </c>
      <c r="S2513" s="88"/>
      <c r="T2513" s="88"/>
      <c r="U2513" s="88"/>
      <c r="V2513" s="88">
        <v>1</v>
      </c>
      <c r="W2513" s="88"/>
    </row>
    <row r="2514" spans="2:23" s="0" customFormat="0" ht="15">
      <c r="B2514" s="87" t="s">
        <v>1</v>
      </c>
      <c r="C2514" s="88" t="s">
        <v>5259</v>
      </c>
      <c r="D2514" s="88">
        <v>216727</v>
      </c>
      <c r="E2514" s="88" t="s">
        <v>61</v>
      </c>
      <c r="F2514" s="88">
        <v>0</v>
      </c>
      <c r="G2514" s="78">
        <f>MAX(H2514,I2514,J2514)</f>
        <v>1</v>
      </c>
      <c r="H2514" s="88"/>
      <c r="I2514" s="88"/>
      <c r="J2514" s="78">
        <f>MAX(K2514:Q2514)</f>
        <v>1</v>
      </c>
      <c r="K2514" s="88">
        <v>1</v>
      </c>
      <c r="L2514" s="88"/>
      <c r="M2514" s="88"/>
      <c r="N2514" s="88"/>
      <c r="O2514" s="88"/>
      <c r="P2514" s="88"/>
      <c r="Q2514" s="88"/>
      <c r="R2514" s="78">
        <f>MAX(S2514:W2514)</f>
        <v>0</v>
      </c>
      <c r="S2514" s="88"/>
      <c r="T2514" s="88"/>
      <c r="U2514" s="88"/>
      <c r="V2514" s="88"/>
      <c r="W2514" s="88"/>
    </row>
    <row r="2515" spans="2:23" s="0" customFormat="0" ht="15">
      <c r="B2515" s="87" t="s">
        <v>1</v>
      </c>
      <c r="C2515" s="88" t="s">
        <v>5259</v>
      </c>
      <c r="D2515" s="88" t="s">
        <v>3810</v>
      </c>
      <c r="E2515" s="88" t="s">
        <v>61</v>
      </c>
      <c r="F2515" s="88">
        <v>0</v>
      </c>
      <c r="G2515" s="78">
        <f>MAX(H2515,I2515,J2515)</f>
        <v>0</v>
      </c>
      <c r="H2515" s="88"/>
      <c r="I2515" s="88"/>
      <c r="J2515" s="78">
        <f>MAX(K2515:Q2515)</f>
        <v>0</v>
      </c>
      <c r="K2515" s="88"/>
      <c r="L2515" s="88"/>
      <c r="M2515" s="88"/>
      <c r="N2515" s="88"/>
      <c r="O2515" s="88"/>
      <c r="P2515" s="88"/>
      <c r="Q2515" s="88"/>
      <c r="R2515" s="78">
        <f>MAX(S2515:W2515)</f>
        <v>1</v>
      </c>
      <c r="S2515" s="88"/>
      <c r="T2515" s="88"/>
      <c r="U2515" s="88">
        <v>1</v>
      </c>
      <c r="V2515" s="88"/>
      <c r="W2515" s="88"/>
    </row>
    <row r="2516" spans="2:23" s="0" customFormat="0" ht="15">
      <c r="B2516" s="87" t="s">
        <v>1</v>
      </c>
      <c r="C2516" s="88" t="s">
        <v>5259</v>
      </c>
      <c r="D2516" s="88">
        <v>7820431</v>
      </c>
      <c r="E2516" s="88" t="s">
        <v>61</v>
      </c>
      <c r="F2516" s="88">
        <v>0</v>
      </c>
      <c r="G2516" s="78">
        <f>MAX(H2516,I2516,J2516)</f>
        <v>1</v>
      </c>
      <c r="H2516" s="88"/>
      <c r="I2516" s="88"/>
      <c r="J2516" s="78">
        <f>MAX(K2516:Q2516)</f>
        <v>1</v>
      </c>
      <c r="K2516" s="88">
        <v>1</v>
      </c>
      <c r="L2516" s="88"/>
      <c r="M2516" s="88"/>
      <c r="N2516" s="88"/>
      <c r="O2516" s="88"/>
      <c r="P2516" s="88"/>
      <c r="Q2516" s="88"/>
      <c r="R2516" s="78">
        <f>MAX(S2516:W2516)</f>
        <v>0</v>
      </c>
      <c r="S2516" s="88"/>
      <c r="T2516" s="88"/>
      <c r="U2516" s="88"/>
      <c r="V2516" s="88"/>
      <c r="W2516" s="88"/>
    </row>
    <row r="2517" spans="2:23" s="0" customFormat="0" ht="15">
      <c r="B2517" s="87" t="s">
        <v>1</v>
      </c>
      <c r="C2517" s="88" t="s">
        <v>5259</v>
      </c>
      <c r="D2517" s="88">
        <v>14211371</v>
      </c>
      <c r="E2517" s="88" t="s">
        <v>61</v>
      </c>
      <c r="F2517" s="88">
        <v>0</v>
      </c>
      <c r="G2517" s="78">
        <f>MAX(H2517,I2517,J2517)</f>
        <v>1</v>
      </c>
      <c r="H2517" s="88"/>
      <c r="I2517" s="88"/>
      <c r="J2517" s="78">
        <f>MAX(K2517:Q2517)</f>
        <v>1</v>
      </c>
      <c r="K2517" s="88">
        <v>1</v>
      </c>
      <c r="L2517" s="88"/>
      <c r="M2517" s="88"/>
      <c r="N2517" s="88"/>
      <c r="O2517" s="88"/>
      <c r="P2517" s="88"/>
      <c r="Q2517" s="88"/>
      <c r="R2517" s="78">
        <f>MAX(S2517:W2517)</f>
        <v>0</v>
      </c>
      <c r="S2517" s="88"/>
      <c r="T2517" s="88"/>
      <c r="U2517" s="88"/>
      <c r="V2517" s="88"/>
      <c r="W2517" s="88"/>
    </row>
    <row r="2518" spans="2:23" s="0" customFormat="0" ht="15">
      <c r="B2518" s="87" t="s">
        <v>1</v>
      </c>
      <c r="C2518" s="88" t="s">
        <v>5259</v>
      </c>
      <c r="D2518" s="88">
        <v>6031524</v>
      </c>
      <c r="E2518" s="88" t="s">
        <v>61</v>
      </c>
      <c r="F2518" s="88">
        <v>0</v>
      </c>
      <c r="G2518" s="78">
        <f>MAX(H2518,I2518,J2518)</f>
        <v>1</v>
      </c>
      <c r="H2518" s="88"/>
      <c r="I2518" s="88"/>
      <c r="J2518" s="78">
        <f>MAX(K2518:Q2518)</f>
        <v>1</v>
      </c>
      <c r="K2518" s="88">
        <v>1</v>
      </c>
      <c r="L2518" s="88"/>
      <c r="M2518" s="88"/>
      <c r="N2518" s="88"/>
      <c r="O2518" s="88"/>
      <c r="P2518" s="88"/>
      <c r="Q2518" s="88"/>
      <c r="R2518" s="78">
        <f>MAX(S2518:W2518)</f>
        <v>0</v>
      </c>
      <c r="S2518" s="88"/>
      <c r="T2518" s="88"/>
      <c r="U2518" s="88"/>
      <c r="V2518" s="88"/>
      <c r="W2518" s="88"/>
    </row>
    <row r="2519" spans="2:23" s="0" customFormat="0" ht="15">
      <c r="B2519" s="87" t="s">
        <v>1</v>
      </c>
      <c r="C2519" s="88" t="s">
        <v>5259</v>
      </c>
      <c r="D2519" s="88">
        <v>17146019</v>
      </c>
      <c r="E2519" s="88" t="s">
        <v>61</v>
      </c>
      <c r="F2519" s="88">
        <v>0</v>
      </c>
      <c r="G2519" s="78">
        <f>MAX(H2519,I2519,J2519)</f>
        <v>1</v>
      </c>
      <c r="H2519" s="88"/>
      <c r="I2519" s="88"/>
      <c r="J2519" s="78">
        <f>MAX(K2519:Q2519)</f>
        <v>1</v>
      </c>
      <c r="K2519" s="88">
        <v>1</v>
      </c>
      <c r="L2519" s="88"/>
      <c r="M2519" s="88"/>
      <c r="N2519" s="88"/>
      <c r="O2519" s="88"/>
      <c r="P2519" s="88"/>
      <c r="Q2519" s="88"/>
      <c r="R2519" s="78">
        <f>MAX(S2519:W2519)</f>
        <v>0</v>
      </c>
      <c r="S2519" s="88"/>
      <c r="T2519" s="88"/>
      <c r="U2519" s="88"/>
      <c r="V2519" s="88"/>
      <c r="W2519" s="88"/>
    </row>
    <row r="2520" spans="2:23" s="0" customFormat="0" ht="15">
      <c r="B2520" s="87" t="s">
        <v>1</v>
      </c>
      <c r="C2520" s="88" t="s">
        <v>5259</v>
      </c>
      <c r="D2520" s="88">
        <v>24964907</v>
      </c>
      <c r="E2520" s="88" t="s">
        <v>61</v>
      </c>
      <c r="F2520" s="88">
        <v>0</v>
      </c>
      <c r="G2520" s="78">
        <f>MAX(H2520,I2520,J2520)</f>
        <v>1</v>
      </c>
      <c r="H2520" s="88"/>
      <c r="I2520" s="88"/>
      <c r="J2520" s="78">
        <f>MAX(K2520:Q2520)</f>
        <v>1</v>
      </c>
      <c r="K2520" s="88"/>
      <c r="L2520" s="88"/>
      <c r="M2520" s="88">
        <v>1</v>
      </c>
      <c r="N2520" s="88"/>
      <c r="O2520" s="88"/>
      <c r="P2520" s="88"/>
      <c r="Q2520" s="88"/>
      <c r="R2520" s="78">
        <f>MAX(S2520:W2520)</f>
        <v>0</v>
      </c>
      <c r="S2520" s="88"/>
      <c r="T2520" s="88"/>
      <c r="U2520" s="88"/>
      <c r="V2520" s="88"/>
      <c r="W2520" s="88"/>
    </row>
    <row r="2521" spans="2:23" s="0" customFormat="0" ht="15">
      <c r="B2521" s="87" t="s">
        <v>1</v>
      </c>
      <c r="C2521" s="88" t="s">
        <v>5259</v>
      </c>
      <c r="D2521" s="88">
        <v>17356632</v>
      </c>
      <c r="E2521" s="88" t="s">
        <v>61</v>
      </c>
      <c r="F2521" s="88">
        <v>0</v>
      </c>
      <c r="G2521" s="78">
        <f>MAX(H2521,I2521,J2521)</f>
        <v>1</v>
      </c>
      <c r="H2521" s="88"/>
      <c r="I2521" s="88"/>
      <c r="J2521" s="78">
        <f>MAX(K2521:Q2521)</f>
        <v>1</v>
      </c>
      <c r="K2521" s="88">
        <v>1</v>
      </c>
      <c r="L2521" s="88"/>
      <c r="M2521" s="88"/>
      <c r="N2521" s="88"/>
      <c r="O2521" s="88"/>
      <c r="P2521" s="88"/>
      <c r="Q2521" s="88"/>
      <c r="R2521" s="78">
        <f>MAX(S2521:W2521)</f>
        <v>0</v>
      </c>
      <c r="S2521" s="88"/>
      <c r="T2521" s="88"/>
      <c r="U2521" s="88"/>
      <c r="V2521" s="88"/>
      <c r="W2521" s="88"/>
    </row>
    <row r="2522" spans="2:23" s="0" customFormat="0" ht="15">
      <c r="B2522" s="87" t="s">
        <v>1</v>
      </c>
      <c r="C2522" s="88" t="s">
        <v>5259</v>
      </c>
      <c r="D2522" s="88" t="s">
        <v>3242</v>
      </c>
      <c r="E2522" s="88" t="s">
        <v>61</v>
      </c>
      <c r="F2522" s="88">
        <v>0</v>
      </c>
      <c r="G2522" s="78">
        <f>MAX(H2522,I2522,J2522)</f>
        <v>0</v>
      </c>
      <c r="H2522" s="88"/>
      <c r="I2522" s="88"/>
      <c r="J2522" s="78">
        <f>MAX(K2522:Q2522)</f>
        <v>0</v>
      </c>
      <c r="K2522" s="88"/>
      <c r="L2522" s="88"/>
      <c r="M2522" s="88"/>
      <c r="N2522" s="88"/>
      <c r="O2522" s="88"/>
      <c r="P2522" s="88"/>
      <c r="Q2522" s="88"/>
      <c r="R2522" s="78">
        <f>MAX(S2522:W2522)</f>
        <v>1</v>
      </c>
      <c r="S2522" s="88"/>
      <c r="T2522" s="88"/>
      <c r="U2522" s="88"/>
      <c r="V2522" s="88">
        <v>1</v>
      </c>
      <c r="W2522" s="88"/>
    </row>
    <row r="2523" spans="2:23" s="0" customFormat="0" ht="15">
      <c r="B2523" s="87" t="s">
        <v>1</v>
      </c>
      <c r="C2523" s="88" t="s">
        <v>5259</v>
      </c>
      <c r="D2523" s="88">
        <v>14617072</v>
      </c>
      <c r="E2523" s="88" t="s">
        <v>61</v>
      </c>
      <c r="F2523" s="88">
        <v>0</v>
      </c>
      <c r="G2523" s="78">
        <f>MAX(H2523,I2523,J2523)</f>
        <v>1</v>
      </c>
      <c r="H2523" s="88"/>
      <c r="I2523" s="88"/>
      <c r="J2523" s="78">
        <f>MAX(K2523:Q2523)</f>
        <v>1</v>
      </c>
      <c r="K2523" s="88">
        <v>1</v>
      </c>
      <c r="L2523" s="88"/>
      <c r="M2523" s="88"/>
      <c r="N2523" s="88"/>
      <c r="O2523" s="88"/>
      <c r="P2523" s="88"/>
      <c r="Q2523" s="88"/>
      <c r="R2523" s="78">
        <f>MAX(S2523:W2523)</f>
        <v>0</v>
      </c>
      <c r="S2523" s="88"/>
      <c r="T2523" s="88"/>
      <c r="U2523" s="88"/>
      <c r="V2523" s="88"/>
      <c r="W2523" s="88"/>
    </row>
    <row r="2524" spans="2:23" s="0" customFormat="0" ht="15">
      <c r="B2524" s="87" t="s">
        <v>1</v>
      </c>
      <c r="C2524" s="88" t="s">
        <v>5259</v>
      </c>
      <c r="D2524" s="88" t="s">
        <v>3789</v>
      </c>
      <c r="E2524" s="88" t="s">
        <v>61</v>
      </c>
      <c r="F2524" s="88">
        <v>0</v>
      </c>
      <c r="G2524" s="78">
        <f>MAX(H2524,I2524,J2524)</f>
        <v>0</v>
      </c>
      <c r="H2524" s="88"/>
      <c r="I2524" s="88"/>
      <c r="J2524" s="78">
        <f>MAX(K2524:Q2524)</f>
        <v>0</v>
      </c>
      <c r="K2524" s="88"/>
      <c r="L2524" s="88"/>
      <c r="M2524" s="88"/>
      <c r="N2524" s="88"/>
      <c r="O2524" s="88"/>
      <c r="P2524" s="88"/>
      <c r="Q2524" s="88"/>
      <c r="R2524" s="78">
        <f>MAX(S2524:W2524)</f>
        <v>1</v>
      </c>
      <c r="S2524" s="88"/>
      <c r="T2524" s="88"/>
      <c r="U2524" s="88">
        <v>1</v>
      </c>
      <c r="V2524" s="88"/>
      <c r="W2524" s="88"/>
    </row>
    <row r="2525" spans="2:23" s="0" customFormat="0" ht="15">
      <c r="B2525" s="87" t="s">
        <v>1</v>
      </c>
      <c r="C2525" s="88" t="s">
        <v>5259</v>
      </c>
      <c r="D2525" s="88">
        <v>21681682</v>
      </c>
      <c r="E2525" s="88" t="s">
        <v>61</v>
      </c>
      <c r="F2525" s="88">
        <v>0</v>
      </c>
      <c r="G2525" s="78">
        <f>MAX(H2525,I2525,J2525)</f>
        <v>1</v>
      </c>
      <c r="H2525" s="88"/>
      <c r="I2525" s="88"/>
      <c r="J2525" s="78">
        <f>MAX(K2525:Q2525)</f>
        <v>1</v>
      </c>
      <c r="K2525" s="88">
        <v>1</v>
      </c>
      <c r="L2525" s="88"/>
      <c r="M2525" s="88"/>
      <c r="N2525" s="88"/>
      <c r="O2525" s="88"/>
      <c r="P2525" s="88"/>
      <c r="Q2525" s="88"/>
      <c r="R2525" s="78">
        <f>MAX(S2525:W2525)</f>
        <v>0</v>
      </c>
      <c r="S2525" s="88"/>
      <c r="T2525" s="88"/>
      <c r="U2525" s="88"/>
      <c r="V2525" s="88"/>
      <c r="W2525" s="88"/>
    </row>
    <row r="2526" spans="2:23" s="0" customFormat="0" ht="15">
      <c r="B2526" s="87" t="s">
        <v>1</v>
      </c>
      <c r="C2526" s="88" t="s">
        <v>5259</v>
      </c>
      <c r="D2526" s="88" t="s">
        <v>1804</v>
      </c>
      <c r="E2526" s="88" t="s">
        <v>61</v>
      </c>
      <c r="F2526" s="88">
        <v>0</v>
      </c>
      <c r="G2526" s="78">
        <f>MAX(H2526,I2526,J2526)</f>
        <v>1</v>
      </c>
      <c r="H2526" s="88"/>
      <c r="I2526" s="88"/>
      <c r="J2526" s="78">
        <f>MAX(K2526:Q2526)</f>
        <v>1</v>
      </c>
      <c r="K2526" s="88">
        <v>1</v>
      </c>
      <c r="L2526" s="88"/>
      <c r="M2526" s="88"/>
      <c r="N2526" s="88"/>
      <c r="O2526" s="88"/>
      <c r="P2526" s="88"/>
      <c r="Q2526" s="88"/>
      <c r="R2526" s="78">
        <f>MAX(S2526:W2526)</f>
        <v>0</v>
      </c>
      <c r="S2526" s="88"/>
      <c r="T2526" s="88"/>
      <c r="U2526" s="88"/>
      <c r="V2526" s="88"/>
      <c r="W2526" s="88"/>
    </row>
    <row r="2527" spans="2:23" s="0" customFormat="0" ht="15">
      <c r="B2527" s="87" t="s">
        <v>1</v>
      </c>
      <c r="C2527" s="88" t="s">
        <v>5259</v>
      </c>
      <c r="D2527" s="88" t="s">
        <v>1806</v>
      </c>
      <c r="E2527" s="88" t="s">
        <v>61</v>
      </c>
      <c r="F2527" s="88">
        <v>0</v>
      </c>
      <c r="G2527" s="78">
        <f>MAX(H2527,I2527,J2527)</f>
        <v>1</v>
      </c>
      <c r="H2527" s="88"/>
      <c r="I2527" s="88"/>
      <c r="J2527" s="78">
        <f>MAX(K2527:Q2527)</f>
        <v>1</v>
      </c>
      <c r="K2527" s="88">
        <v>1</v>
      </c>
      <c r="L2527" s="88"/>
      <c r="M2527" s="88"/>
      <c r="N2527" s="88"/>
      <c r="O2527" s="88"/>
      <c r="P2527" s="88"/>
      <c r="Q2527" s="88"/>
      <c r="R2527" s="78">
        <f>MAX(S2527:W2527)</f>
        <v>0</v>
      </c>
      <c r="S2527" s="88"/>
      <c r="T2527" s="88"/>
      <c r="U2527" s="88"/>
      <c r="V2527" s="88"/>
      <c r="W2527" s="88"/>
    </row>
    <row r="2528" spans="2:23" s="0" customFormat="0" ht="15">
      <c r="B2528" s="87" t="s">
        <v>1</v>
      </c>
      <c r="C2528" s="88" t="s">
        <v>5259</v>
      </c>
      <c r="D2528" s="88" t="s">
        <v>4433</v>
      </c>
      <c r="E2528" s="88" t="s">
        <v>61</v>
      </c>
      <c r="F2528" s="88">
        <v>0</v>
      </c>
      <c r="G2528" s="78">
        <f>MAX(H2528,I2528,J2528)</f>
        <v>0</v>
      </c>
      <c r="H2528" s="88"/>
      <c r="I2528" s="88"/>
      <c r="J2528" s="78">
        <f>MAX(K2528:Q2528)</f>
        <v>0</v>
      </c>
      <c r="K2528" s="88"/>
      <c r="L2528" s="88"/>
      <c r="M2528" s="88"/>
      <c r="N2528" s="88"/>
      <c r="O2528" s="88"/>
      <c r="P2528" s="88"/>
      <c r="Q2528" s="88"/>
      <c r="R2528" s="78">
        <f>MAX(S2528:W2528)</f>
        <v>1</v>
      </c>
      <c r="S2528" s="88"/>
      <c r="T2528" s="88"/>
      <c r="U2528" s="88">
        <v>1</v>
      </c>
      <c r="V2528" s="88"/>
      <c r="W2528" s="88"/>
    </row>
    <row r="2529" spans="2:23" s="0" customFormat="0" ht="15">
      <c r="B2529" s="87" t="s">
        <v>1</v>
      </c>
      <c r="C2529" s="88" t="s">
        <v>5259</v>
      </c>
      <c r="D2529" s="88" t="s">
        <v>1808</v>
      </c>
      <c r="E2529" s="88" t="s">
        <v>61</v>
      </c>
      <c r="F2529" s="88">
        <v>0</v>
      </c>
      <c r="G2529" s="78">
        <f>MAX(H2529,I2529,J2529)</f>
        <v>1</v>
      </c>
      <c r="H2529" s="88"/>
      <c r="I2529" s="88"/>
      <c r="J2529" s="78">
        <f>MAX(K2529:Q2529)</f>
        <v>1</v>
      </c>
      <c r="K2529" s="88">
        <v>1</v>
      </c>
      <c r="L2529" s="88"/>
      <c r="M2529" s="88"/>
      <c r="N2529" s="88"/>
      <c r="O2529" s="88"/>
      <c r="P2529" s="88"/>
      <c r="Q2529" s="88"/>
      <c r="R2529" s="78">
        <f>MAX(S2529:W2529)</f>
        <v>0</v>
      </c>
      <c r="S2529" s="88"/>
      <c r="T2529" s="88"/>
      <c r="U2529" s="88"/>
      <c r="V2529" s="88"/>
      <c r="W2529" s="88"/>
    </row>
    <row r="2530" spans="2:23" s="0" customFormat="0" ht="15">
      <c r="B2530" s="87" t="s">
        <v>1</v>
      </c>
      <c r="C2530" s="88" t="s">
        <v>5259</v>
      </c>
      <c r="D2530" s="88">
        <v>20459285</v>
      </c>
      <c r="E2530" s="88" t="s">
        <v>61</v>
      </c>
      <c r="F2530" s="88">
        <v>0</v>
      </c>
      <c r="G2530" s="78">
        <f>MAX(H2530,I2530,J2530)</f>
        <v>1</v>
      </c>
      <c r="H2530" s="88"/>
      <c r="I2530" s="88"/>
      <c r="J2530" s="78">
        <f>MAX(K2530:Q2530)</f>
        <v>1</v>
      </c>
      <c r="K2530" s="88">
        <v>1</v>
      </c>
      <c r="L2530" s="88"/>
      <c r="M2530" s="88"/>
      <c r="N2530" s="88"/>
      <c r="O2530" s="88"/>
      <c r="P2530" s="88"/>
      <c r="Q2530" s="88"/>
      <c r="R2530" s="78">
        <f>MAX(S2530:W2530)</f>
        <v>0</v>
      </c>
      <c r="S2530" s="88"/>
      <c r="T2530" s="88"/>
      <c r="U2530" s="88"/>
      <c r="V2530" s="88"/>
      <c r="W2530" s="88"/>
    </row>
    <row r="2531" spans="2:23" s="0" customFormat="0" ht="15">
      <c r="B2531" s="87" t="s">
        <v>1</v>
      </c>
      <c r="C2531" s="88" t="s">
        <v>5259</v>
      </c>
      <c r="D2531" s="88">
        <v>7379418</v>
      </c>
      <c r="E2531" s="88" t="s">
        <v>61</v>
      </c>
      <c r="F2531" s="88">
        <v>0</v>
      </c>
      <c r="G2531" s="78">
        <f>MAX(H2531,I2531,J2531)</f>
        <v>1</v>
      </c>
      <c r="H2531" s="88"/>
      <c r="I2531" s="88"/>
      <c r="J2531" s="78">
        <f>MAX(K2531:Q2531)</f>
        <v>1</v>
      </c>
      <c r="K2531" s="88">
        <v>1</v>
      </c>
      <c r="L2531" s="88"/>
      <c r="M2531" s="88"/>
      <c r="N2531" s="88"/>
      <c r="O2531" s="88"/>
      <c r="P2531" s="88"/>
      <c r="Q2531" s="88"/>
      <c r="R2531" s="78">
        <f>MAX(S2531:W2531)</f>
        <v>0</v>
      </c>
      <c r="S2531" s="88"/>
      <c r="T2531" s="88"/>
      <c r="U2531" s="88"/>
      <c r="V2531" s="88"/>
      <c r="W2531" s="88"/>
    </row>
    <row r="2532" spans="2:23" s="0" customFormat="0" ht="15">
      <c r="B2532" s="87" t="s">
        <v>1</v>
      </c>
      <c r="C2532" s="88" t="s">
        <v>5259</v>
      </c>
      <c r="D2532" s="88" t="s">
        <v>3244</v>
      </c>
      <c r="E2532" s="88" t="s">
        <v>61</v>
      </c>
      <c r="F2532" s="88">
        <v>0</v>
      </c>
      <c r="G2532" s="78">
        <f>MAX(H2532,I2532,J2532)</f>
        <v>0</v>
      </c>
      <c r="H2532" s="88"/>
      <c r="I2532" s="88"/>
      <c r="J2532" s="78">
        <f>MAX(K2532:Q2532)</f>
        <v>0</v>
      </c>
      <c r="K2532" s="88"/>
      <c r="L2532" s="88"/>
      <c r="M2532" s="88"/>
      <c r="N2532" s="88"/>
      <c r="O2532" s="88"/>
      <c r="P2532" s="88"/>
      <c r="Q2532" s="88"/>
      <c r="R2532" s="78">
        <f>MAX(S2532:W2532)</f>
        <v>1</v>
      </c>
      <c r="S2532" s="88"/>
      <c r="T2532" s="88"/>
      <c r="U2532" s="88"/>
      <c r="V2532" s="88">
        <v>1</v>
      </c>
      <c r="W2532" s="88"/>
    </row>
    <row r="2533" spans="2:23" s="0" customFormat="0" ht="15">
      <c r="B2533" s="87" t="s">
        <v>1</v>
      </c>
      <c r="C2533" s="88" t="s">
        <v>5259</v>
      </c>
      <c r="D2533" s="88" t="s">
        <v>1811</v>
      </c>
      <c r="E2533" s="88" t="s">
        <v>61</v>
      </c>
      <c r="F2533" s="88">
        <v>0</v>
      </c>
      <c r="G2533" s="78">
        <f>MAX(H2533,I2533,J2533)</f>
        <v>1</v>
      </c>
      <c r="H2533" s="88"/>
      <c r="I2533" s="88"/>
      <c r="J2533" s="78">
        <f>MAX(K2533:Q2533)</f>
        <v>1</v>
      </c>
      <c r="K2533" s="88">
        <v>1</v>
      </c>
      <c r="L2533" s="88"/>
      <c r="M2533" s="88"/>
      <c r="N2533" s="88"/>
      <c r="O2533" s="88"/>
      <c r="P2533" s="88"/>
      <c r="Q2533" s="88"/>
      <c r="R2533" s="78">
        <f>MAX(S2533:W2533)</f>
        <v>0</v>
      </c>
      <c r="S2533" s="88"/>
      <c r="T2533" s="88"/>
      <c r="U2533" s="88"/>
      <c r="V2533" s="88"/>
      <c r="W2533" s="88"/>
    </row>
    <row r="2534" spans="2:23" s="0" customFormat="0" ht="15">
      <c r="B2534" s="87" t="s">
        <v>1</v>
      </c>
      <c r="C2534" s="88" t="s">
        <v>5259</v>
      </c>
      <c r="D2534" s="88" t="s">
        <v>267</v>
      </c>
      <c r="E2534" s="88" t="s">
        <v>61</v>
      </c>
      <c r="F2534" s="88">
        <v>0</v>
      </c>
      <c r="G2534" s="78">
        <f>MAX(H2534,I2534,J2534)</f>
        <v>1</v>
      </c>
      <c r="H2534" s="88"/>
      <c r="I2534" s="88"/>
      <c r="J2534" s="78">
        <f>MAX(K2534:Q2534)</f>
        <v>1</v>
      </c>
      <c r="K2534" s="88">
        <v>1</v>
      </c>
      <c r="L2534" s="88"/>
      <c r="M2534" s="88"/>
      <c r="N2534" s="88"/>
      <c r="O2534" s="88"/>
      <c r="P2534" s="88"/>
      <c r="Q2534" s="88"/>
      <c r="R2534" s="78">
        <f>MAX(S2534:W2534)</f>
        <v>0</v>
      </c>
      <c r="S2534" s="88"/>
      <c r="T2534" s="88"/>
      <c r="U2534" s="88"/>
      <c r="V2534" s="88"/>
      <c r="W2534" s="88"/>
    </row>
    <row r="2535" spans="2:23" s="0" customFormat="0" ht="15">
      <c r="B2535" s="87" t="s">
        <v>1</v>
      </c>
      <c r="C2535" s="88" t="s">
        <v>5259</v>
      </c>
      <c r="D2535" s="88">
        <v>16952847</v>
      </c>
      <c r="E2535" s="88" t="s">
        <v>61</v>
      </c>
      <c r="F2535" s="88">
        <v>0</v>
      </c>
      <c r="G2535" s="78">
        <f>MAX(H2535,I2535,J2535)</f>
        <v>1</v>
      </c>
      <c r="H2535" s="88"/>
      <c r="I2535" s="88"/>
      <c r="J2535" s="78">
        <f>MAX(K2535:Q2535)</f>
        <v>1</v>
      </c>
      <c r="K2535" s="88">
        <v>1</v>
      </c>
      <c r="L2535" s="88"/>
      <c r="M2535" s="88"/>
      <c r="N2535" s="88"/>
      <c r="O2535" s="88"/>
      <c r="P2535" s="88"/>
      <c r="Q2535" s="88"/>
      <c r="R2535" s="78">
        <f>MAX(S2535:W2535)</f>
        <v>0</v>
      </c>
      <c r="S2535" s="88"/>
      <c r="T2535" s="88"/>
      <c r="U2535" s="88"/>
      <c r="V2535" s="88"/>
      <c r="W2535" s="88"/>
    </row>
    <row r="2536" spans="2:23" s="0" customFormat="0" ht="15">
      <c r="B2536" s="87" t="s">
        <v>1</v>
      </c>
      <c r="C2536" s="88" t="s">
        <v>5259</v>
      </c>
      <c r="D2536" s="88">
        <v>16117364</v>
      </c>
      <c r="E2536" s="88" t="s">
        <v>61</v>
      </c>
      <c r="F2536" s="88">
        <v>0</v>
      </c>
      <c r="G2536" s="78">
        <f>MAX(H2536,I2536,J2536)</f>
        <v>1</v>
      </c>
      <c r="H2536" s="88"/>
      <c r="I2536" s="88"/>
      <c r="J2536" s="78">
        <f>MAX(K2536:Q2536)</f>
        <v>1</v>
      </c>
      <c r="K2536" s="88">
        <v>1</v>
      </c>
      <c r="L2536" s="88"/>
      <c r="M2536" s="88"/>
      <c r="N2536" s="88"/>
      <c r="O2536" s="88"/>
      <c r="P2536" s="88"/>
      <c r="Q2536" s="88"/>
      <c r="R2536" s="78">
        <f>MAX(S2536:W2536)</f>
        <v>0</v>
      </c>
      <c r="S2536" s="88"/>
      <c r="T2536" s="88"/>
      <c r="U2536" s="88"/>
      <c r="V2536" s="88"/>
      <c r="W2536" s="88"/>
    </row>
    <row r="2537" spans="2:23" s="0" customFormat="0" ht="15">
      <c r="B2537" s="87" t="s">
        <v>1</v>
      </c>
      <c r="C2537" s="88" t="s">
        <v>5259</v>
      </c>
      <c r="D2537" s="88" t="s">
        <v>4435</v>
      </c>
      <c r="E2537" s="88" t="s">
        <v>61</v>
      </c>
      <c r="F2537" s="88">
        <v>0</v>
      </c>
      <c r="G2537" s="78">
        <f>MAX(H2537,I2537,J2537)</f>
        <v>0</v>
      </c>
      <c r="H2537" s="88"/>
      <c r="I2537" s="88"/>
      <c r="J2537" s="78">
        <f>MAX(K2537:Q2537)</f>
        <v>0</v>
      </c>
      <c r="K2537" s="88"/>
      <c r="L2537" s="88"/>
      <c r="M2537" s="88"/>
      <c r="N2537" s="88"/>
      <c r="O2537" s="88"/>
      <c r="P2537" s="88"/>
      <c r="Q2537" s="88"/>
      <c r="R2537" s="78">
        <f>MAX(S2537:W2537)</f>
        <v>1</v>
      </c>
      <c r="S2537" s="88"/>
      <c r="T2537" s="88"/>
      <c r="U2537" s="88">
        <v>1</v>
      </c>
      <c r="V2537" s="88"/>
      <c r="W2537" s="88"/>
    </row>
    <row r="2538" spans="2:23" s="0" customFormat="0" ht="15">
      <c r="B2538" s="87" t="s">
        <v>1</v>
      </c>
      <c r="C2538" s="88" t="s">
        <v>5259</v>
      </c>
      <c r="D2538" s="88" t="s">
        <v>4437</v>
      </c>
      <c r="E2538" s="88" t="s">
        <v>61</v>
      </c>
      <c r="F2538" s="88">
        <v>0</v>
      </c>
      <c r="G2538" s="78">
        <f>MAX(H2538,I2538,J2538)</f>
        <v>0</v>
      </c>
      <c r="H2538" s="88"/>
      <c r="I2538" s="88"/>
      <c r="J2538" s="78">
        <f>MAX(K2538:Q2538)</f>
        <v>0</v>
      </c>
      <c r="K2538" s="88"/>
      <c r="L2538" s="88"/>
      <c r="M2538" s="88"/>
      <c r="N2538" s="88"/>
      <c r="O2538" s="88"/>
      <c r="P2538" s="88"/>
      <c r="Q2538" s="88"/>
      <c r="R2538" s="78">
        <f>MAX(S2538:W2538)</f>
        <v>1</v>
      </c>
      <c r="S2538" s="88"/>
      <c r="T2538" s="88"/>
      <c r="U2538" s="88">
        <v>1</v>
      </c>
      <c r="V2538" s="88"/>
      <c r="W2538" s="88"/>
    </row>
    <row r="2539" spans="2:23" s="0" customFormat="0" ht="15">
      <c r="B2539" s="87" t="s">
        <v>1</v>
      </c>
      <c r="C2539" s="88" t="s">
        <v>5259</v>
      </c>
      <c r="D2539" s="88" t="s">
        <v>4439</v>
      </c>
      <c r="E2539" s="88" t="s">
        <v>61</v>
      </c>
      <c r="F2539" s="88">
        <v>0</v>
      </c>
      <c r="G2539" s="78">
        <f>MAX(H2539,I2539,J2539)</f>
        <v>0</v>
      </c>
      <c r="H2539" s="88"/>
      <c r="I2539" s="88"/>
      <c r="J2539" s="78">
        <f>MAX(K2539:Q2539)</f>
        <v>0</v>
      </c>
      <c r="K2539" s="88"/>
      <c r="L2539" s="88"/>
      <c r="M2539" s="88"/>
      <c r="N2539" s="88"/>
      <c r="O2539" s="88"/>
      <c r="P2539" s="88"/>
      <c r="Q2539" s="88"/>
      <c r="R2539" s="78">
        <f>MAX(S2539:W2539)</f>
        <v>1</v>
      </c>
      <c r="S2539" s="88"/>
      <c r="T2539" s="88"/>
      <c r="U2539" s="88">
        <v>1</v>
      </c>
      <c r="V2539" s="88"/>
      <c r="W2539" s="88"/>
    </row>
    <row r="2540" spans="2:23" s="0" customFormat="0" ht="15">
      <c r="B2540" s="87" t="s">
        <v>1</v>
      </c>
      <c r="C2540" s="88" t="s">
        <v>5259</v>
      </c>
      <c r="D2540" s="88">
        <v>14957856</v>
      </c>
      <c r="E2540" s="88" t="s">
        <v>61</v>
      </c>
      <c r="F2540" s="88">
        <v>0</v>
      </c>
      <c r="G2540" s="78">
        <f>MAX(H2540,I2540,J2540)</f>
        <v>1</v>
      </c>
      <c r="H2540" s="88"/>
      <c r="I2540" s="88"/>
      <c r="J2540" s="78">
        <f>MAX(K2540:Q2540)</f>
        <v>1</v>
      </c>
      <c r="K2540" s="88">
        <v>1</v>
      </c>
      <c r="L2540" s="88"/>
      <c r="M2540" s="88"/>
      <c r="N2540" s="88"/>
      <c r="O2540" s="88"/>
      <c r="P2540" s="88"/>
      <c r="Q2540" s="88"/>
      <c r="R2540" s="78">
        <f>MAX(S2540:W2540)</f>
        <v>0</v>
      </c>
      <c r="S2540" s="88"/>
      <c r="T2540" s="88"/>
      <c r="U2540" s="88"/>
      <c r="V2540" s="88"/>
      <c r="W2540" s="88"/>
    </row>
    <row r="2541" spans="2:23" s="0" customFormat="0" ht="15">
      <c r="B2541" s="87" t="s">
        <v>1</v>
      </c>
      <c r="C2541" s="88" t="s">
        <v>5259</v>
      </c>
      <c r="D2541" s="88">
        <v>18542337</v>
      </c>
      <c r="E2541" s="88" t="s">
        <v>61</v>
      </c>
      <c r="F2541" s="88">
        <v>0</v>
      </c>
      <c r="G2541" s="78">
        <f>MAX(H2541,I2541,J2541)</f>
        <v>1</v>
      </c>
      <c r="H2541" s="88"/>
      <c r="I2541" s="88"/>
      <c r="J2541" s="78">
        <f>MAX(K2541:Q2541)</f>
        <v>1</v>
      </c>
      <c r="K2541" s="88">
        <v>1</v>
      </c>
      <c r="L2541" s="88"/>
      <c r="M2541" s="88"/>
      <c r="N2541" s="88"/>
      <c r="O2541" s="88"/>
      <c r="P2541" s="88"/>
      <c r="Q2541" s="88"/>
      <c r="R2541" s="78">
        <f>MAX(S2541:W2541)</f>
        <v>0</v>
      </c>
      <c r="S2541" s="88"/>
      <c r="T2541" s="88"/>
      <c r="U2541" s="88"/>
      <c r="V2541" s="88"/>
      <c r="W2541" s="88"/>
    </row>
    <row r="2542" spans="2:23" s="0" customFormat="0" ht="15">
      <c r="B2542" s="87" t="s">
        <v>1</v>
      </c>
      <c r="C2542" s="88" t="s">
        <v>5259</v>
      </c>
      <c r="D2542" s="88">
        <v>16209303</v>
      </c>
      <c r="E2542" s="88" t="s">
        <v>61</v>
      </c>
      <c r="F2542" s="88">
        <v>0</v>
      </c>
      <c r="G2542" s="78">
        <f>MAX(H2542,I2542,J2542)</f>
        <v>1</v>
      </c>
      <c r="H2542" s="88"/>
      <c r="I2542" s="88"/>
      <c r="J2542" s="78">
        <f>MAX(K2542:Q2542)</f>
        <v>1</v>
      </c>
      <c r="K2542" s="88">
        <v>1</v>
      </c>
      <c r="L2542" s="88"/>
      <c r="M2542" s="88"/>
      <c r="N2542" s="88"/>
      <c r="O2542" s="88"/>
      <c r="P2542" s="88"/>
      <c r="Q2542" s="88"/>
      <c r="R2542" s="78">
        <f>MAX(S2542:W2542)</f>
        <v>0</v>
      </c>
      <c r="S2542" s="88"/>
      <c r="T2542" s="88"/>
      <c r="U2542" s="88"/>
      <c r="V2542" s="88"/>
      <c r="W2542" s="88"/>
    </row>
    <row r="2543" spans="2:23" s="0" customFormat="0" ht="15">
      <c r="B2543" s="87" t="s">
        <v>1</v>
      </c>
      <c r="C2543" s="88" t="s">
        <v>5259</v>
      </c>
      <c r="D2543" s="88" t="s">
        <v>4441</v>
      </c>
      <c r="E2543" s="88" t="s">
        <v>61</v>
      </c>
      <c r="F2543" s="88">
        <v>0</v>
      </c>
      <c r="G2543" s="78">
        <f>MAX(H2543,I2543,J2543)</f>
        <v>0</v>
      </c>
      <c r="H2543" s="88"/>
      <c r="I2543" s="88"/>
      <c r="J2543" s="78">
        <f>MAX(K2543:Q2543)</f>
        <v>0</v>
      </c>
      <c r="K2543" s="88"/>
      <c r="L2543" s="88"/>
      <c r="M2543" s="88"/>
      <c r="N2543" s="88"/>
      <c r="O2543" s="88"/>
      <c r="P2543" s="88"/>
      <c r="Q2543" s="88"/>
      <c r="R2543" s="78">
        <f>MAX(S2543:W2543)</f>
        <v>1</v>
      </c>
      <c r="S2543" s="88"/>
      <c r="T2543" s="88"/>
      <c r="U2543" s="88">
        <v>1</v>
      </c>
      <c r="V2543" s="88"/>
      <c r="W2543" s="88"/>
    </row>
    <row r="2544" spans="2:23" s="0" customFormat="0" ht="15">
      <c r="B2544" s="87" t="s">
        <v>1</v>
      </c>
      <c r="C2544" s="88" t="s">
        <v>5259</v>
      </c>
      <c r="D2544" s="88">
        <v>17267347</v>
      </c>
      <c r="E2544" s="88" t="s">
        <v>61</v>
      </c>
      <c r="F2544" s="88">
        <v>0</v>
      </c>
      <c r="G2544" s="78">
        <f>MAX(H2544,I2544,J2544)</f>
        <v>1</v>
      </c>
      <c r="H2544" s="88"/>
      <c r="I2544" s="88"/>
      <c r="J2544" s="78">
        <f>MAX(K2544:Q2544)</f>
        <v>1</v>
      </c>
      <c r="K2544" s="88">
        <v>1</v>
      </c>
      <c r="L2544" s="88"/>
      <c r="M2544" s="88"/>
      <c r="N2544" s="88"/>
      <c r="O2544" s="88"/>
      <c r="P2544" s="88"/>
      <c r="Q2544" s="88"/>
      <c r="R2544" s="78">
        <f>MAX(S2544:W2544)</f>
        <v>0</v>
      </c>
      <c r="S2544" s="88"/>
      <c r="T2544" s="88"/>
      <c r="U2544" s="88"/>
      <c r="V2544" s="88"/>
      <c r="W2544" s="88"/>
    </row>
    <row r="2545" spans="2:23" s="0" customFormat="0" ht="15">
      <c r="B2545" s="87" t="s">
        <v>1</v>
      </c>
      <c r="C2545" s="88" t="s">
        <v>5259</v>
      </c>
      <c r="D2545" s="88" t="s">
        <v>4443</v>
      </c>
      <c r="E2545" s="88" t="s">
        <v>61</v>
      </c>
      <c r="F2545" s="88">
        <v>0</v>
      </c>
      <c r="G2545" s="78">
        <f>MAX(H2545,I2545,J2545)</f>
        <v>0</v>
      </c>
      <c r="H2545" s="88"/>
      <c r="I2545" s="88"/>
      <c r="J2545" s="78">
        <f>MAX(K2545:Q2545)</f>
        <v>0</v>
      </c>
      <c r="K2545" s="88"/>
      <c r="L2545" s="88"/>
      <c r="M2545" s="88"/>
      <c r="N2545" s="88"/>
      <c r="O2545" s="88"/>
      <c r="P2545" s="88"/>
      <c r="Q2545" s="88"/>
      <c r="R2545" s="78">
        <f>MAX(S2545:W2545)</f>
        <v>1</v>
      </c>
      <c r="S2545" s="88"/>
      <c r="T2545" s="88"/>
      <c r="U2545" s="88">
        <v>1</v>
      </c>
      <c r="V2545" s="88"/>
      <c r="W2545" s="88"/>
    </row>
    <row r="2546" spans="2:23" s="0" customFormat="0" ht="15">
      <c r="B2546" s="87" t="s">
        <v>1</v>
      </c>
      <c r="C2546" s="88" t="s">
        <v>5259</v>
      </c>
      <c r="D2546" s="88" t="s">
        <v>4445</v>
      </c>
      <c r="E2546" s="88" t="s">
        <v>61</v>
      </c>
      <c r="F2546" s="88">
        <v>0</v>
      </c>
      <c r="G2546" s="78">
        <f>MAX(H2546,I2546,J2546)</f>
        <v>0</v>
      </c>
      <c r="H2546" s="88"/>
      <c r="I2546" s="88"/>
      <c r="J2546" s="78">
        <f>MAX(K2546:Q2546)</f>
        <v>0</v>
      </c>
      <c r="K2546" s="88"/>
      <c r="L2546" s="88"/>
      <c r="M2546" s="88"/>
      <c r="N2546" s="88"/>
      <c r="O2546" s="88"/>
      <c r="P2546" s="88"/>
      <c r="Q2546" s="88"/>
      <c r="R2546" s="78">
        <f>MAX(S2546:W2546)</f>
        <v>1</v>
      </c>
      <c r="S2546" s="88"/>
      <c r="T2546" s="88"/>
      <c r="U2546" s="88">
        <v>1</v>
      </c>
      <c r="V2546" s="88"/>
      <c r="W2546" s="88"/>
    </row>
    <row r="2547" spans="2:23" s="0" customFormat="0" ht="15">
      <c r="B2547" s="87" t="s">
        <v>1</v>
      </c>
      <c r="C2547" s="88" t="s">
        <v>5259</v>
      </c>
      <c r="D2547" s="88">
        <v>13709736</v>
      </c>
      <c r="E2547" s="88" t="s">
        <v>61</v>
      </c>
      <c r="F2547" s="88">
        <v>0</v>
      </c>
      <c r="G2547" s="78">
        <f>MAX(H2547,I2547,J2547)</f>
        <v>1</v>
      </c>
      <c r="H2547" s="88"/>
      <c r="I2547" s="88"/>
      <c r="J2547" s="78">
        <f>MAX(K2547:Q2547)</f>
        <v>1</v>
      </c>
      <c r="K2547" s="88">
        <v>1</v>
      </c>
      <c r="L2547" s="88"/>
      <c r="M2547" s="88"/>
      <c r="N2547" s="88"/>
      <c r="O2547" s="88"/>
      <c r="P2547" s="88"/>
      <c r="Q2547" s="88"/>
      <c r="R2547" s="78">
        <f>MAX(S2547:W2547)</f>
        <v>0</v>
      </c>
      <c r="S2547" s="88"/>
      <c r="T2547" s="88"/>
      <c r="U2547" s="88"/>
      <c r="V2547" s="88"/>
      <c r="W2547" s="88"/>
    </row>
    <row r="2548" spans="2:23" s="0" customFormat="0" ht="15">
      <c r="B2548" s="87" t="s">
        <v>1</v>
      </c>
      <c r="C2548" s="88" t="s">
        <v>5259</v>
      </c>
      <c r="D2548" s="88">
        <v>13533865</v>
      </c>
      <c r="E2548" s="88" t="s">
        <v>61</v>
      </c>
      <c r="F2548" s="88">
        <v>0</v>
      </c>
      <c r="G2548" s="78">
        <f>MAX(H2548,I2548,J2548)</f>
        <v>1</v>
      </c>
      <c r="H2548" s="88"/>
      <c r="I2548" s="88"/>
      <c r="J2548" s="78">
        <f>MAX(K2548:Q2548)</f>
        <v>1</v>
      </c>
      <c r="K2548" s="88">
        <v>1</v>
      </c>
      <c r="L2548" s="88"/>
      <c r="M2548" s="88"/>
      <c r="N2548" s="88"/>
      <c r="O2548" s="88"/>
      <c r="P2548" s="88"/>
      <c r="Q2548" s="88"/>
      <c r="R2548" s="78">
        <f>MAX(S2548:W2548)</f>
        <v>0</v>
      </c>
      <c r="S2548" s="88"/>
      <c r="T2548" s="88"/>
      <c r="U2548" s="88"/>
      <c r="V2548" s="88"/>
      <c r="W2548" s="88"/>
    </row>
    <row r="2549" spans="2:23" s="0" customFormat="0" ht="15">
      <c r="B2549" s="87" t="s">
        <v>1</v>
      </c>
      <c r="C2549" s="88" t="s">
        <v>5259</v>
      </c>
      <c r="D2549" s="88" t="s">
        <v>3662</v>
      </c>
      <c r="E2549" s="88" t="s">
        <v>61</v>
      </c>
      <c r="F2549" s="88">
        <v>0</v>
      </c>
      <c r="G2549" s="78">
        <f>MAX(H2549,I2549,J2549)</f>
        <v>0</v>
      </c>
      <c r="H2549" s="88"/>
      <c r="I2549" s="88"/>
      <c r="J2549" s="78">
        <f>MAX(K2549:Q2549)</f>
        <v>0</v>
      </c>
      <c r="K2549" s="88"/>
      <c r="L2549" s="88"/>
      <c r="M2549" s="88"/>
      <c r="N2549" s="88"/>
      <c r="O2549" s="88"/>
      <c r="P2549" s="88"/>
      <c r="Q2549" s="88"/>
      <c r="R2549" s="78">
        <f>MAX(S2549:W2549)</f>
        <v>1</v>
      </c>
      <c r="S2549" s="88"/>
      <c r="T2549" s="88"/>
      <c r="U2549" s="88">
        <v>1</v>
      </c>
      <c r="V2549" s="88"/>
      <c r="W2549" s="88"/>
    </row>
    <row r="2550" spans="2:23" s="0" customFormat="0" ht="15">
      <c r="B2550" s="87" t="s">
        <v>1</v>
      </c>
      <c r="C2550" s="88" t="s">
        <v>5259</v>
      </c>
      <c r="D2550" s="88">
        <v>22554309</v>
      </c>
      <c r="E2550" s="88" t="s">
        <v>61</v>
      </c>
      <c r="F2550" s="88">
        <v>0</v>
      </c>
      <c r="G2550" s="78">
        <f>MAX(H2550,I2550,J2550)</f>
        <v>0</v>
      </c>
      <c r="H2550" s="88"/>
      <c r="I2550" s="88"/>
      <c r="J2550" s="78">
        <f>MAX(K2550:Q2550)</f>
        <v>0</v>
      </c>
      <c r="K2550" s="88"/>
      <c r="L2550" s="88"/>
      <c r="M2550" s="88"/>
      <c r="N2550" s="88"/>
      <c r="O2550" s="88"/>
      <c r="P2550" s="88"/>
      <c r="Q2550" s="88"/>
      <c r="R2550" s="78">
        <f>MAX(S2550:W2550)</f>
        <v>1</v>
      </c>
      <c r="S2550" s="88"/>
      <c r="T2550" s="88"/>
      <c r="U2550" s="88">
        <v>1</v>
      </c>
      <c r="V2550" s="88"/>
      <c r="W2550" s="88"/>
    </row>
    <row r="2551" spans="2:23" s="0" customFormat="0" ht="15">
      <c r="B2551" s="87" t="s">
        <v>1</v>
      </c>
      <c r="C2551" s="88" t="s">
        <v>5259</v>
      </c>
      <c r="D2551" s="88" t="s">
        <v>1819</v>
      </c>
      <c r="E2551" s="88" t="s">
        <v>61</v>
      </c>
      <c r="F2551" s="88">
        <v>0</v>
      </c>
      <c r="G2551" s="78">
        <f>MAX(H2551,I2551,J2551)</f>
        <v>1</v>
      </c>
      <c r="H2551" s="88"/>
      <c r="I2551" s="88"/>
      <c r="J2551" s="78">
        <f>MAX(K2551:Q2551)</f>
        <v>1</v>
      </c>
      <c r="K2551" s="88">
        <v>1</v>
      </c>
      <c r="L2551" s="88"/>
      <c r="M2551" s="88"/>
      <c r="N2551" s="88"/>
      <c r="O2551" s="88"/>
      <c r="P2551" s="88"/>
      <c r="Q2551" s="88"/>
      <c r="R2551" s="78">
        <f>MAX(S2551:W2551)</f>
        <v>0</v>
      </c>
      <c r="S2551" s="88"/>
      <c r="T2551" s="88"/>
      <c r="U2551" s="88"/>
      <c r="V2551" s="88"/>
      <c r="W2551" s="88"/>
    </row>
    <row r="2552" spans="2:23" s="0" customFormat="0" ht="15">
      <c r="B2552" s="87" t="s">
        <v>1</v>
      </c>
      <c r="C2552" s="88" t="s">
        <v>5259</v>
      </c>
      <c r="D2552" s="88">
        <v>22554511</v>
      </c>
      <c r="E2552" s="88" t="s">
        <v>61</v>
      </c>
      <c r="F2552" s="88">
        <v>0</v>
      </c>
      <c r="G2552" s="78">
        <f>MAX(H2552,I2552,J2552)</f>
        <v>0</v>
      </c>
      <c r="H2552" s="88"/>
      <c r="I2552" s="88"/>
      <c r="J2552" s="78">
        <f>MAX(K2552:Q2552)</f>
        <v>0</v>
      </c>
      <c r="K2552" s="88"/>
      <c r="L2552" s="88"/>
      <c r="M2552" s="88"/>
      <c r="N2552" s="88"/>
      <c r="O2552" s="88"/>
      <c r="P2552" s="88"/>
      <c r="Q2552" s="88"/>
      <c r="R2552" s="78">
        <f>MAX(S2552:W2552)</f>
        <v>1</v>
      </c>
      <c r="S2552" s="88"/>
      <c r="T2552" s="88"/>
      <c r="U2552" s="88">
        <v>1</v>
      </c>
      <c r="V2552" s="88"/>
      <c r="W2552" s="88"/>
    </row>
    <row r="2553" spans="2:23" s="0" customFormat="0" ht="15">
      <c r="B2553" s="87" t="s">
        <v>1</v>
      </c>
      <c r="C2553" s="88" t="s">
        <v>5259</v>
      </c>
      <c r="D2553" s="88">
        <v>22522718</v>
      </c>
      <c r="E2553" s="88" t="s">
        <v>61</v>
      </c>
      <c r="F2553" s="88">
        <v>0</v>
      </c>
      <c r="G2553" s="78">
        <f>MAX(H2553,I2553,J2553)</f>
        <v>1</v>
      </c>
      <c r="H2553" s="88"/>
      <c r="I2553" s="88"/>
      <c r="J2553" s="78">
        <f>MAX(K2553:Q2553)</f>
        <v>1</v>
      </c>
      <c r="K2553" s="88">
        <v>1</v>
      </c>
      <c r="L2553" s="88"/>
      <c r="M2553" s="88"/>
      <c r="N2553" s="88"/>
      <c r="O2553" s="88"/>
      <c r="P2553" s="88"/>
      <c r="Q2553" s="88"/>
      <c r="R2553" s="78">
        <f>MAX(S2553:W2553)</f>
        <v>0</v>
      </c>
      <c r="S2553" s="88"/>
      <c r="T2553" s="88"/>
      <c r="U2553" s="88"/>
      <c r="V2553" s="88"/>
      <c r="W2553" s="88"/>
    </row>
    <row r="2554" spans="2:23" s="0" customFormat="0" ht="15">
      <c r="B2554" s="87" t="s">
        <v>1</v>
      </c>
      <c r="C2554" s="88" t="s">
        <v>5259</v>
      </c>
      <c r="D2554" s="88">
        <v>23039281</v>
      </c>
      <c r="E2554" s="88" t="s">
        <v>61</v>
      </c>
      <c r="F2554" s="88">
        <v>0</v>
      </c>
      <c r="G2554" s="78">
        <f>MAX(H2554,I2554,J2554)</f>
        <v>1</v>
      </c>
      <c r="H2554" s="88"/>
      <c r="I2554" s="88"/>
      <c r="J2554" s="78">
        <f>MAX(K2554:Q2554)</f>
        <v>1</v>
      </c>
      <c r="K2554" s="88">
        <v>1</v>
      </c>
      <c r="L2554" s="88"/>
      <c r="M2554" s="88"/>
      <c r="N2554" s="88"/>
      <c r="O2554" s="88"/>
      <c r="P2554" s="88"/>
      <c r="Q2554" s="88"/>
      <c r="R2554" s="78">
        <f>MAX(S2554:W2554)</f>
        <v>0</v>
      </c>
      <c r="S2554" s="88"/>
      <c r="T2554" s="88"/>
      <c r="U2554" s="88"/>
      <c r="V2554" s="88"/>
      <c r="W2554" s="88"/>
    </row>
    <row r="2555" spans="2:23" s="0" customFormat="0" ht="15">
      <c r="B2555" s="87" t="s">
        <v>1</v>
      </c>
      <c r="C2555" s="88" t="s">
        <v>5259</v>
      </c>
      <c r="D2555" s="88" t="s">
        <v>1822</v>
      </c>
      <c r="E2555" s="88" t="s">
        <v>61</v>
      </c>
      <c r="F2555" s="88">
        <v>0</v>
      </c>
      <c r="G2555" s="78">
        <f>MAX(H2555,I2555,J2555)</f>
        <v>1</v>
      </c>
      <c r="H2555" s="88"/>
      <c r="I2555" s="88"/>
      <c r="J2555" s="78">
        <f>MAX(K2555:Q2555)</f>
        <v>1</v>
      </c>
      <c r="K2555" s="88">
        <v>1</v>
      </c>
      <c r="L2555" s="88"/>
      <c r="M2555" s="88"/>
      <c r="N2555" s="88"/>
      <c r="O2555" s="88"/>
      <c r="P2555" s="88"/>
      <c r="Q2555" s="88"/>
      <c r="R2555" s="78">
        <f>MAX(S2555:W2555)</f>
        <v>0</v>
      </c>
      <c r="S2555" s="88"/>
      <c r="T2555" s="88"/>
      <c r="U2555" s="88"/>
      <c r="V2555" s="88"/>
      <c r="W2555" s="88"/>
    </row>
    <row r="2556" spans="2:23" s="0" customFormat="0" ht="15">
      <c r="B2556" s="87" t="s">
        <v>1</v>
      </c>
      <c r="C2556" s="88" t="s">
        <v>5259</v>
      </c>
      <c r="D2556" s="88" t="s">
        <v>4449</v>
      </c>
      <c r="E2556" s="88" t="s">
        <v>61</v>
      </c>
      <c r="F2556" s="88">
        <v>0</v>
      </c>
      <c r="G2556" s="78">
        <f>MAX(H2556,I2556,J2556)</f>
        <v>0</v>
      </c>
      <c r="H2556" s="88"/>
      <c r="I2556" s="88"/>
      <c r="J2556" s="78">
        <f>MAX(K2556:Q2556)</f>
        <v>0</v>
      </c>
      <c r="K2556" s="88"/>
      <c r="L2556" s="88"/>
      <c r="M2556" s="88"/>
      <c r="N2556" s="88"/>
      <c r="O2556" s="88"/>
      <c r="P2556" s="88"/>
      <c r="Q2556" s="88"/>
      <c r="R2556" s="78">
        <f>MAX(S2556:W2556)</f>
        <v>1</v>
      </c>
      <c r="S2556" s="88"/>
      <c r="T2556" s="88"/>
      <c r="U2556" s="88">
        <v>1</v>
      </c>
      <c r="V2556" s="88"/>
      <c r="W2556" s="88"/>
    </row>
    <row r="2557" spans="2:23" s="0" customFormat="0" ht="15">
      <c r="B2557" s="87" t="s">
        <v>1</v>
      </c>
      <c r="C2557" s="88" t="s">
        <v>5259</v>
      </c>
      <c r="D2557" s="88" t="s">
        <v>1824</v>
      </c>
      <c r="E2557" s="88" t="s">
        <v>61</v>
      </c>
      <c r="F2557" s="88">
        <v>0</v>
      </c>
      <c r="G2557" s="78">
        <f>MAX(H2557,I2557,J2557)</f>
        <v>1</v>
      </c>
      <c r="H2557" s="88"/>
      <c r="I2557" s="88"/>
      <c r="J2557" s="78">
        <f>MAX(K2557:Q2557)</f>
        <v>1</v>
      </c>
      <c r="K2557" s="88">
        <v>1</v>
      </c>
      <c r="L2557" s="88"/>
      <c r="M2557" s="88"/>
      <c r="N2557" s="88"/>
      <c r="O2557" s="88"/>
      <c r="P2557" s="88"/>
      <c r="Q2557" s="88"/>
      <c r="R2557" s="78">
        <f>MAX(S2557:W2557)</f>
        <v>0</v>
      </c>
      <c r="S2557" s="88"/>
      <c r="T2557" s="88"/>
      <c r="U2557" s="88"/>
      <c r="V2557" s="88"/>
      <c r="W2557" s="88"/>
    </row>
    <row r="2558" spans="2:23" s="0" customFormat="0" ht="15">
      <c r="B2558" s="87" t="s">
        <v>1</v>
      </c>
      <c r="C2558" s="88" t="s">
        <v>5259</v>
      </c>
      <c r="D2558" s="88">
        <v>4318141</v>
      </c>
      <c r="E2558" s="88" t="s">
        <v>61</v>
      </c>
      <c r="F2558" s="88">
        <v>0</v>
      </c>
      <c r="G2558" s="78">
        <f>MAX(H2558,I2558,J2558)</f>
        <v>1</v>
      </c>
      <c r="H2558" s="88"/>
      <c r="I2558" s="88"/>
      <c r="J2558" s="78">
        <f>MAX(K2558:Q2558)</f>
        <v>1</v>
      </c>
      <c r="K2558" s="88">
        <v>1</v>
      </c>
      <c r="L2558" s="88"/>
      <c r="M2558" s="88"/>
      <c r="N2558" s="88"/>
      <c r="O2558" s="88"/>
      <c r="P2558" s="88"/>
      <c r="Q2558" s="88"/>
      <c r="R2558" s="78">
        <f>MAX(S2558:W2558)</f>
        <v>0</v>
      </c>
      <c r="S2558" s="88"/>
      <c r="T2558" s="88"/>
      <c r="U2558" s="88"/>
      <c r="V2558" s="88"/>
      <c r="W2558" s="88"/>
    </row>
    <row r="2559" spans="2:23" s="0" customFormat="0" ht="15">
      <c r="B2559" s="87" t="s">
        <v>1</v>
      </c>
      <c r="C2559" s="88" t="s">
        <v>5259</v>
      </c>
      <c r="D2559" s="88" t="s">
        <v>4148</v>
      </c>
      <c r="E2559" s="88" t="s">
        <v>61</v>
      </c>
      <c r="F2559" s="88">
        <v>0</v>
      </c>
      <c r="G2559" s="78">
        <f>MAX(H2559,I2559,J2559)</f>
        <v>0</v>
      </c>
      <c r="H2559" s="88"/>
      <c r="I2559" s="88"/>
      <c r="J2559" s="78">
        <f>MAX(K2559:Q2559)</f>
        <v>0</v>
      </c>
      <c r="K2559" s="88"/>
      <c r="L2559" s="88"/>
      <c r="M2559" s="88"/>
      <c r="N2559" s="88"/>
      <c r="O2559" s="88"/>
      <c r="P2559" s="88"/>
      <c r="Q2559" s="88"/>
      <c r="R2559" s="78">
        <f>MAX(S2559:W2559)</f>
        <v>1</v>
      </c>
      <c r="S2559" s="88"/>
      <c r="T2559" s="88"/>
      <c r="U2559" s="88">
        <v>1</v>
      </c>
      <c r="V2559" s="88"/>
      <c r="W2559" s="88"/>
    </row>
    <row r="2560" spans="2:23" s="0" customFormat="0" ht="15">
      <c r="B2560" s="87" t="s">
        <v>1</v>
      </c>
      <c r="C2560" s="88" t="s">
        <v>5259</v>
      </c>
      <c r="D2560" s="88" t="s">
        <v>317</v>
      </c>
      <c r="E2560" s="88" t="s">
        <v>61</v>
      </c>
      <c r="F2560" s="88">
        <v>0</v>
      </c>
      <c r="G2560" s="78">
        <f>MAX(H2560,I2560,J2560)</f>
        <v>1</v>
      </c>
      <c r="H2560" s="88"/>
      <c r="I2560" s="88"/>
      <c r="J2560" s="78">
        <f>MAX(K2560:Q2560)</f>
        <v>1</v>
      </c>
      <c r="K2560" s="88">
        <v>1</v>
      </c>
      <c r="L2560" s="88"/>
      <c r="M2560" s="88"/>
      <c r="N2560" s="88"/>
      <c r="O2560" s="88"/>
      <c r="P2560" s="88"/>
      <c r="Q2560" s="88"/>
      <c r="R2560" s="78">
        <f>MAX(S2560:W2560)</f>
        <v>0</v>
      </c>
      <c r="S2560" s="88"/>
      <c r="T2560" s="88"/>
      <c r="U2560" s="88"/>
      <c r="V2560" s="88"/>
      <c r="W2560" s="88"/>
    </row>
    <row r="2561" spans="2:23" s="0" customFormat="0" ht="15">
      <c r="B2561" s="87" t="s">
        <v>1</v>
      </c>
      <c r="C2561" s="88" t="s">
        <v>5259</v>
      </c>
      <c r="D2561" s="88" t="s">
        <v>4340</v>
      </c>
      <c r="E2561" s="88" t="s">
        <v>61</v>
      </c>
      <c r="F2561" s="88">
        <v>0</v>
      </c>
      <c r="G2561" s="78">
        <f>MAX(H2561,I2561,J2561)</f>
        <v>0</v>
      </c>
      <c r="H2561" s="88"/>
      <c r="I2561" s="88"/>
      <c r="J2561" s="78">
        <f>MAX(K2561:Q2561)</f>
        <v>0</v>
      </c>
      <c r="K2561" s="88"/>
      <c r="L2561" s="88"/>
      <c r="M2561" s="88"/>
      <c r="N2561" s="88"/>
      <c r="O2561" s="88"/>
      <c r="P2561" s="88"/>
      <c r="Q2561" s="88"/>
      <c r="R2561" s="78">
        <f>MAX(S2561:W2561)</f>
        <v>1</v>
      </c>
      <c r="S2561" s="88"/>
      <c r="T2561" s="88"/>
      <c r="U2561" s="88">
        <v>1</v>
      </c>
      <c r="V2561" s="88"/>
      <c r="W2561" s="88"/>
    </row>
    <row r="2562" spans="2:23" s="0" customFormat="0" ht="15">
      <c r="B2562" s="87" t="s">
        <v>1</v>
      </c>
      <c r="C2562" s="88" t="s">
        <v>5259</v>
      </c>
      <c r="D2562" s="88" t="s">
        <v>3984</v>
      </c>
      <c r="E2562" s="88" t="s">
        <v>61</v>
      </c>
      <c r="F2562" s="88">
        <v>0</v>
      </c>
      <c r="G2562" s="78">
        <f>MAX(H2562,I2562,J2562)</f>
        <v>0</v>
      </c>
      <c r="H2562" s="88"/>
      <c r="I2562" s="88"/>
      <c r="J2562" s="78">
        <f>MAX(K2562:Q2562)</f>
        <v>0</v>
      </c>
      <c r="K2562" s="88"/>
      <c r="L2562" s="88"/>
      <c r="M2562" s="88"/>
      <c r="N2562" s="88"/>
      <c r="O2562" s="88"/>
      <c r="P2562" s="88"/>
      <c r="Q2562" s="88"/>
      <c r="R2562" s="78">
        <f>MAX(S2562:W2562)</f>
        <v>1</v>
      </c>
      <c r="S2562" s="88"/>
      <c r="T2562" s="88"/>
      <c r="U2562" s="88">
        <v>1</v>
      </c>
      <c r="V2562" s="88"/>
      <c r="W2562" s="88"/>
    </row>
    <row r="2563" spans="2:23" s="0" customFormat="0" ht="15">
      <c r="B2563" s="87" t="s">
        <v>1</v>
      </c>
      <c r="C2563" s="88" t="s">
        <v>5259</v>
      </c>
      <c r="D2563" s="88" t="s">
        <v>3246</v>
      </c>
      <c r="E2563" s="88" t="s">
        <v>61</v>
      </c>
      <c r="F2563" s="88">
        <v>0</v>
      </c>
      <c r="G2563" s="78">
        <f>MAX(H2563,I2563,J2563)</f>
        <v>0</v>
      </c>
      <c r="H2563" s="88"/>
      <c r="I2563" s="88"/>
      <c r="J2563" s="78">
        <f>MAX(K2563:Q2563)</f>
        <v>0</v>
      </c>
      <c r="K2563" s="88"/>
      <c r="L2563" s="88"/>
      <c r="M2563" s="88"/>
      <c r="N2563" s="88"/>
      <c r="O2563" s="88"/>
      <c r="P2563" s="88"/>
      <c r="Q2563" s="88"/>
      <c r="R2563" s="78">
        <f>MAX(S2563:W2563)</f>
        <v>1</v>
      </c>
      <c r="S2563" s="88"/>
      <c r="T2563" s="88"/>
      <c r="U2563" s="88"/>
      <c r="V2563" s="88">
        <v>1</v>
      </c>
      <c r="W2563" s="88"/>
    </row>
    <row r="2564" spans="2:23" s="0" customFormat="0" ht="15">
      <c r="B2564" s="87" t="s">
        <v>1</v>
      </c>
      <c r="C2564" s="88" t="s">
        <v>5259</v>
      </c>
      <c r="D2564" s="88">
        <v>19486457</v>
      </c>
      <c r="E2564" s="88" t="s">
        <v>61</v>
      </c>
      <c r="F2564" s="88">
        <v>0</v>
      </c>
      <c r="G2564" s="78">
        <f>MAX(H2564,I2564,J2564)</f>
        <v>1</v>
      </c>
      <c r="H2564" s="88"/>
      <c r="I2564" s="88"/>
      <c r="J2564" s="78">
        <f>MAX(K2564:Q2564)</f>
        <v>1</v>
      </c>
      <c r="K2564" s="88">
        <v>1</v>
      </c>
      <c r="L2564" s="88"/>
      <c r="M2564" s="88"/>
      <c r="N2564" s="88"/>
      <c r="O2564" s="88"/>
      <c r="P2564" s="88"/>
      <c r="Q2564" s="88"/>
      <c r="R2564" s="78">
        <f>MAX(S2564:W2564)</f>
        <v>0</v>
      </c>
      <c r="S2564" s="88"/>
      <c r="T2564" s="88"/>
      <c r="U2564" s="88"/>
      <c r="V2564" s="88"/>
      <c r="W2564" s="88"/>
    </row>
    <row r="2565" spans="2:23" s="0" customFormat="0" ht="15">
      <c r="B2565" s="87" t="s">
        <v>1</v>
      </c>
      <c r="C2565" s="88" t="s">
        <v>5259</v>
      </c>
      <c r="D2565" s="88" t="s">
        <v>4451</v>
      </c>
      <c r="E2565" s="88" t="s">
        <v>61</v>
      </c>
      <c r="F2565" s="88">
        <v>0</v>
      </c>
      <c r="G2565" s="78">
        <f>MAX(H2565,I2565,J2565)</f>
        <v>0</v>
      </c>
      <c r="H2565" s="88"/>
      <c r="I2565" s="88"/>
      <c r="J2565" s="78">
        <f>MAX(K2565:Q2565)</f>
        <v>0</v>
      </c>
      <c r="K2565" s="88"/>
      <c r="L2565" s="88"/>
      <c r="M2565" s="88"/>
      <c r="N2565" s="88"/>
      <c r="O2565" s="88"/>
      <c r="P2565" s="88"/>
      <c r="Q2565" s="88"/>
      <c r="R2565" s="78">
        <f>MAX(S2565:W2565)</f>
        <v>1</v>
      </c>
      <c r="S2565" s="88"/>
      <c r="T2565" s="88"/>
      <c r="U2565" s="88">
        <v>1</v>
      </c>
      <c r="V2565" s="88"/>
      <c r="W2565" s="88"/>
    </row>
    <row r="2566" spans="2:23" s="0" customFormat="0" ht="15">
      <c r="B2566" s="87" t="s">
        <v>1</v>
      </c>
      <c r="C2566" s="88" t="s">
        <v>5259</v>
      </c>
      <c r="D2566" s="88" t="s">
        <v>1828</v>
      </c>
      <c r="E2566" s="88" t="s">
        <v>61</v>
      </c>
      <c r="F2566" s="88">
        <v>0</v>
      </c>
      <c r="G2566" s="78">
        <f>MAX(H2566,I2566,J2566)</f>
        <v>1</v>
      </c>
      <c r="H2566" s="88"/>
      <c r="I2566" s="88"/>
      <c r="J2566" s="78">
        <f>MAX(K2566:Q2566)</f>
        <v>1</v>
      </c>
      <c r="K2566" s="88">
        <v>1</v>
      </c>
      <c r="L2566" s="88"/>
      <c r="M2566" s="88"/>
      <c r="N2566" s="88"/>
      <c r="O2566" s="88"/>
      <c r="P2566" s="88"/>
      <c r="Q2566" s="88"/>
      <c r="R2566" s="78">
        <f>MAX(S2566:W2566)</f>
        <v>0</v>
      </c>
      <c r="S2566" s="88"/>
      <c r="T2566" s="88"/>
      <c r="U2566" s="88"/>
      <c r="V2566" s="88"/>
      <c r="W2566" s="88"/>
    </row>
    <row r="2567" spans="2:23" s="0" customFormat="0" ht="15">
      <c r="B2567" s="87" t="s">
        <v>1</v>
      </c>
      <c r="C2567" s="88" t="s">
        <v>5259</v>
      </c>
      <c r="D2567" s="88" t="s">
        <v>4453</v>
      </c>
      <c r="E2567" s="88" t="s">
        <v>61</v>
      </c>
      <c r="F2567" s="88">
        <v>0</v>
      </c>
      <c r="G2567" s="78">
        <f>MAX(H2567,I2567,J2567)</f>
        <v>0</v>
      </c>
      <c r="H2567" s="88"/>
      <c r="I2567" s="88"/>
      <c r="J2567" s="78">
        <f>MAX(K2567:Q2567)</f>
        <v>0</v>
      </c>
      <c r="K2567" s="88"/>
      <c r="L2567" s="88"/>
      <c r="M2567" s="88"/>
      <c r="N2567" s="88"/>
      <c r="O2567" s="88"/>
      <c r="P2567" s="88"/>
      <c r="Q2567" s="88"/>
      <c r="R2567" s="78">
        <f>MAX(S2567:W2567)</f>
        <v>1</v>
      </c>
      <c r="S2567" s="88"/>
      <c r="T2567" s="88"/>
      <c r="U2567" s="88">
        <v>1</v>
      </c>
      <c r="V2567" s="88"/>
      <c r="W2567" s="88"/>
    </row>
    <row r="2568" spans="2:23" s="0" customFormat="0" ht="15">
      <c r="B2568" s="87" t="s">
        <v>1</v>
      </c>
      <c r="C2568" s="88" t="s">
        <v>5259</v>
      </c>
      <c r="D2568" s="88">
        <v>16139755</v>
      </c>
      <c r="E2568" s="88" t="s">
        <v>61</v>
      </c>
      <c r="F2568" s="88">
        <v>0</v>
      </c>
      <c r="G2568" s="78">
        <f>MAX(H2568,I2568,J2568)</f>
        <v>1</v>
      </c>
      <c r="H2568" s="88"/>
      <c r="I2568" s="88"/>
      <c r="J2568" s="78">
        <f>MAX(K2568:Q2568)</f>
        <v>1</v>
      </c>
      <c r="K2568" s="88">
        <v>1</v>
      </c>
      <c r="L2568" s="88"/>
      <c r="M2568" s="88"/>
      <c r="N2568" s="88"/>
      <c r="O2568" s="88"/>
      <c r="P2568" s="88"/>
      <c r="Q2568" s="88"/>
      <c r="R2568" s="78">
        <f>MAX(S2568:W2568)</f>
        <v>0</v>
      </c>
      <c r="S2568" s="88"/>
      <c r="T2568" s="88"/>
      <c r="U2568" s="88"/>
      <c r="V2568" s="88"/>
      <c r="W2568" s="88"/>
    </row>
    <row r="2569" spans="2:23" s="0" customFormat="0" ht="15">
      <c r="B2569" s="87" t="s">
        <v>1</v>
      </c>
      <c r="C2569" s="88" t="s">
        <v>5259</v>
      </c>
      <c r="D2569" s="88" t="s">
        <v>4455</v>
      </c>
      <c r="E2569" s="88" t="s">
        <v>61</v>
      </c>
      <c r="F2569" s="88">
        <v>0</v>
      </c>
      <c r="G2569" s="78">
        <f>MAX(H2569,I2569,J2569)</f>
        <v>0</v>
      </c>
      <c r="H2569" s="88"/>
      <c r="I2569" s="88"/>
      <c r="J2569" s="78">
        <f>MAX(K2569:Q2569)</f>
        <v>0</v>
      </c>
      <c r="K2569" s="88"/>
      <c r="L2569" s="88"/>
      <c r="M2569" s="88"/>
      <c r="N2569" s="88"/>
      <c r="O2569" s="88"/>
      <c r="P2569" s="88"/>
      <c r="Q2569" s="88"/>
      <c r="R2569" s="78">
        <f>MAX(S2569:W2569)</f>
        <v>1</v>
      </c>
      <c r="S2569" s="88"/>
      <c r="T2569" s="88"/>
      <c r="U2569" s="88">
        <v>1</v>
      </c>
      <c r="V2569" s="88"/>
      <c r="W2569" s="88"/>
    </row>
    <row r="2570" spans="2:23" s="0" customFormat="0" ht="15">
      <c r="B2570" s="87" t="s">
        <v>1</v>
      </c>
      <c r="C2570" s="88" t="s">
        <v>5259</v>
      </c>
      <c r="D2570" s="88" t="s">
        <v>370</v>
      </c>
      <c r="E2570" s="88" t="s">
        <v>61</v>
      </c>
      <c r="F2570" s="88">
        <v>0</v>
      </c>
      <c r="G2570" s="78">
        <f>MAX(H2570,I2570,J2570)</f>
        <v>1</v>
      </c>
      <c r="H2570" s="88"/>
      <c r="I2570" s="88"/>
      <c r="J2570" s="78">
        <f>MAX(K2570:Q2570)</f>
        <v>1</v>
      </c>
      <c r="K2570" s="88">
        <v>1</v>
      </c>
      <c r="L2570" s="88"/>
      <c r="M2570" s="88"/>
      <c r="N2570" s="88"/>
      <c r="O2570" s="88"/>
      <c r="P2570" s="88"/>
      <c r="Q2570" s="88"/>
      <c r="R2570" s="78">
        <f>MAX(S2570:W2570)</f>
        <v>0</v>
      </c>
      <c r="S2570" s="88"/>
      <c r="T2570" s="88"/>
      <c r="U2570" s="88"/>
      <c r="V2570" s="88"/>
      <c r="W2570" s="88"/>
    </row>
    <row r="2571" spans="2:23" s="0" customFormat="0" ht="15">
      <c r="B2571" s="87" t="s">
        <v>1</v>
      </c>
      <c r="C2571" s="88" t="s">
        <v>5259</v>
      </c>
      <c r="D2571" s="88">
        <v>22554491</v>
      </c>
      <c r="E2571" s="88" t="s">
        <v>61</v>
      </c>
      <c r="F2571" s="88">
        <v>0</v>
      </c>
      <c r="G2571" s="78">
        <f>MAX(H2571,I2571,J2571)</f>
        <v>0</v>
      </c>
      <c r="H2571" s="88"/>
      <c r="I2571" s="88"/>
      <c r="J2571" s="78">
        <f>MAX(K2571:Q2571)</f>
        <v>0</v>
      </c>
      <c r="K2571" s="88"/>
      <c r="L2571" s="88"/>
      <c r="M2571" s="88"/>
      <c r="N2571" s="88"/>
      <c r="O2571" s="88"/>
      <c r="P2571" s="88"/>
      <c r="Q2571" s="88"/>
      <c r="R2571" s="78">
        <f>MAX(S2571:W2571)</f>
        <v>1</v>
      </c>
      <c r="S2571" s="88"/>
      <c r="T2571" s="88"/>
      <c r="U2571" s="88">
        <v>1</v>
      </c>
      <c r="V2571" s="88"/>
      <c r="W2571" s="88"/>
    </row>
    <row r="2572" spans="2:23" s="0" customFormat="0" ht="15">
      <c r="B2572" s="87" t="s">
        <v>1</v>
      </c>
      <c r="C2572" s="88" t="s">
        <v>5259</v>
      </c>
      <c r="D2572" s="88" t="s">
        <v>4458</v>
      </c>
      <c r="E2572" s="88" t="s">
        <v>61</v>
      </c>
      <c r="F2572" s="88">
        <v>0</v>
      </c>
      <c r="G2572" s="78">
        <f>MAX(H2572,I2572,J2572)</f>
        <v>0</v>
      </c>
      <c r="H2572" s="88"/>
      <c r="I2572" s="88"/>
      <c r="J2572" s="78">
        <f>MAX(K2572:Q2572)</f>
        <v>0</v>
      </c>
      <c r="K2572" s="88"/>
      <c r="L2572" s="88"/>
      <c r="M2572" s="88"/>
      <c r="N2572" s="88"/>
      <c r="O2572" s="88"/>
      <c r="P2572" s="88"/>
      <c r="Q2572" s="88"/>
      <c r="R2572" s="78">
        <f>MAX(S2572:W2572)</f>
        <v>1</v>
      </c>
      <c r="S2572" s="88"/>
      <c r="T2572" s="88"/>
      <c r="U2572" s="88">
        <v>1</v>
      </c>
      <c r="V2572" s="88"/>
      <c r="W2572" s="88"/>
    </row>
    <row r="2573" spans="2:23" s="0" customFormat="0" ht="15">
      <c r="B2573" s="87" t="s">
        <v>1</v>
      </c>
      <c r="C2573" s="88" t="s">
        <v>5259</v>
      </c>
      <c r="D2573" s="88">
        <v>18527302</v>
      </c>
      <c r="E2573" s="88" t="s">
        <v>61</v>
      </c>
      <c r="F2573" s="88">
        <v>0</v>
      </c>
      <c r="G2573" s="78">
        <f>MAX(H2573,I2573,J2573)</f>
        <v>1</v>
      </c>
      <c r="H2573" s="88"/>
      <c r="I2573" s="88"/>
      <c r="J2573" s="78">
        <f>MAX(K2573:Q2573)</f>
        <v>1</v>
      </c>
      <c r="K2573" s="88">
        <v>1</v>
      </c>
      <c r="L2573" s="88"/>
      <c r="M2573" s="88"/>
      <c r="N2573" s="88"/>
      <c r="O2573" s="88"/>
      <c r="P2573" s="88"/>
      <c r="Q2573" s="88"/>
      <c r="R2573" s="78">
        <f>MAX(S2573:W2573)</f>
        <v>0</v>
      </c>
      <c r="S2573" s="88"/>
      <c r="T2573" s="88"/>
      <c r="U2573" s="88"/>
      <c r="V2573" s="88"/>
      <c r="W2573" s="88"/>
    </row>
    <row r="2574" spans="2:23" s="0" customFormat="0" ht="15">
      <c r="B2574" s="87" t="s">
        <v>1</v>
      </c>
      <c r="C2574" s="88" t="s">
        <v>5259</v>
      </c>
      <c r="D2574" s="88" t="s">
        <v>1831</v>
      </c>
      <c r="E2574" s="88" t="s">
        <v>61</v>
      </c>
      <c r="F2574" s="88">
        <v>0</v>
      </c>
      <c r="G2574" s="78">
        <f>MAX(H2574,I2574,J2574)</f>
        <v>1</v>
      </c>
      <c r="H2574" s="88"/>
      <c r="I2574" s="88"/>
      <c r="J2574" s="78">
        <f>MAX(K2574:Q2574)</f>
        <v>1</v>
      </c>
      <c r="K2574" s="88">
        <v>1</v>
      </c>
      <c r="L2574" s="88"/>
      <c r="M2574" s="88"/>
      <c r="N2574" s="88"/>
      <c r="O2574" s="88"/>
      <c r="P2574" s="88"/>
      <c r="Q2574" s="88"/>
      <c r="R2574" s="78">
        <f>MAX(S2574:W2574)</f>
        <v>0</v>
      </c>
      <c r="S2574" s="88"/>
      <c r="T2574" s="88"/>
      <c r="U2574" s="88"/>
      <c r="V2574" s="88"/>
      <c r="W2574" s="88"/>
    </row>
    <row r="2575" spans="2:23" s="0" customFormat="0" ht="15">
      <c r="B2575" s="87" t="s">
        <v>1</v>
      </c>
      <c r="C2575" s="88" t="s">
        <v>5259</v>
      </c>
      <c r="D2575" s="88">
        <v>14543370</v>
      </c>
      <c r="E2575" s="88" t="s">
        <v>61</v>
      </c>
      <c r="F2575" s="88">
        <v>0</v>
      </c>
      <c r="G2575" s="78">
        <f>MAX(H2575,I2575,J2575)</f>
        <v>1</v>
      </c>
      <c r="H2575" s="88"/>
      <c r="I2575" s="88"/>
      <c r="J2575" s="78">
        <f>MAX(K2575:Q2575)</f>
        <v>1</v>
      </c>
      <c r="K2575" s="88">
        <v>1</v>
      </c>
      <c r="L2575" s="88"/>
      <c r="M2575" s="88"/>
      <c r="N2575" s="88"/>
      <c r="O2575" s="88"/>
      <c r="P2575" s="88"/>
      <c r="Q2575" s="88"/>
      <c r="R2575" s="78">
        <f>MAX(S2575:W2575)</f>
        <v>0</v>
      </c>
      <c r="S2575" s="88"/>
      <c r="T2575" s="88"/>
      <c r="U2575" s="88"/>
      <c r="V2575" s="88"/>
      <c r="W2575" s="88"/>
    </row>
    <row r="2576" spans="2:23" s="0" customFormat="0" ht="15">
      <c r="B2576" s="87" t="s">
        <v>1</v>
      </c>
      <c r="C2576" s="88" t="s">
        <v>5259</v>
      </c>
      <c r="D2576" s="88">
        <v>22554314</v>
      </c>
      <c r="E2576" s="88" t="s">
        <v>61</v>
      </c>
      <c r="F2576" s="88">
        <v>0</v>
      </c>
      <c r="G2576" s="78">
        <f>MAX(H2576,I2576,J2576)</f>
        <v>0</v>
      </c>
      <c r="H2576" s="88"/>
      <c r="I2576" s="88"/>
      <c r="J2576" s="78">
        <f>MAX(K2576:Q2576)</f>
        <v>0</v>
      </c>
      <c r="K2576" s="88"/>
      <c r="L2576" s="88"/>
      <c r="M2576" s="88"/>
      <c r="N2576" s="88"/>
      <c r="O2576" s="88"/>
      <c r="P2576" s="88"/>
      <c r="Q2576" s="88"/>
      <c r="R2576" s="78">
        <f>MAX(S2576:W2576)</f>
        <v>1</v>
      </c>
      <c r="S2576" s="88"/>
      <c r="T2576" s="88"/>
      <c r="U2576" s="88">
        <v>1</v>
      </c>
      <c r="V2576" s="88"/>
      <c r="W2576" s="88"/>
    </row>
    <row r="2577" spans="2:23" s="0" customFormat="0" ht="15">
      <c r="B2577" s="87" t="s">
        <v>1</v>
      </c>
      <c r="C2577" s="88" t="s">
        <v>5259</v>
      </c>
      <c r="D2577" s="88">
        <v>11911985</v>
      </c>
      <c r="E2577" s="88" t="s">
        <v>61</v>
      </c>
      <c r="F2577" s="88">
        <v>0</v>
      </c>
      <c r="G2577" s="78">
        <f>MAX(H2577,I2577,J2577)</f>
        <v>1</v>
      </c>
      <c r="H2577" s="88"/>
      <c r="I2577" s="88"/>
      <c r="J2577" s="78">
        <f>MAX(K2577:Q2577)</f>
        <v>1</v>
      </c>
      <c r="K2577" s="88">
        <v>1</v>
      </c>
      <c r="L2577" s="88"/>
      <c r="M2577" s="88"/>
      <c r="N2577" s="88"/>
      <c r="O2577" s="88"/>
      <c r="P2577" s="88"/>
      <c r="Q2577" s="88"/>
      <c r="R2577" s="78">
        <f>MAX(S2577:W2577)</f>
        <v>0</v>
      </c>
      <c r="S2577" s="88"/>
      <c r="T2577" s="88"/>
      <c r="U2577" s="88"/>
      <c r="V2577" s="88"/>
      <c r="W2577" s="88"/>
    </row>
    <row r="2578" spans="2:23" s="0" customFormat="0" ht="15">
      <c r="B2578" s="87" t="s">
        <v>1</v>
      </c>
      <c r="C2578" s="88" t="s">
        <v>5259</v>
      </c>
      <c r="D2578" s="88">
        <v>519065</v>
      </c>
      <c r="E2578" s="88" t="s">
        <v>61</v>
      </c>
      <c r="F2578" s="88">
        <v>0</v>
      </c>
      <c r="G2578" s="78">
        <f>MAX(H2578,I2578,J2578)</f>
        <v>1</v>
      </c>
      <c r="H2578" s="88"/>
      <c r="I2578" s="88"/>
      <c r="J2578" s="78">
        <f>MAX(K2578:Q2578)</f>
        <v>1</v>
      </c>
      <c r="K2578" s="88"/>
      <c r="L2578" s="88"/>
      <c r="M2578" s="88"/>
      <c r="N2578" s="88">
        <v>1</v>
      </c>
      <c r="O2578" s="88"/>
      <c r="P2578" s="88"/>
      <c r="Q2578" s="88"/>
      <c r="R2578" s="78">
        <f>MAX(S2578:W2578)</f>
        <v>0</v>
      </c>
      <c r="S2578" s="88"/>
      <c r="T2578" s="88"/>
      <c r="U2578" s="88"/>
      <c r="V2578" s="88"/>
      <c r="W2578" s="88"/>
    </row>
    <row r="2579" spans="2:23" s="0" customFormat="0" ht="15">
      <c r="B2579" s="87" t="s">
        <v>1</v>
      </c>
      <c r="C2579" s="88" t="s">
        <v>5259</v>
      </c>
      <c r="D2579" s="88">
        <v>19216264</v>
      </c>
      <c r="E2579" s="88" t="s">
        <v>61</v>
      </c>
      <c r="F2579" s="88">
        <v>0</v>
      </c>
      <c r="G2579" s="78">
        <f>MAX(H2579,I2579,J2579)</f>
        <v>1</v>
      </c>
      <c r="H2579" s="88"/>
      <c r="I2579" s="88"/>
      <c r="J2579" s="78">
        <f>MAX(K2579:Q2579)</f>
        <v>1</v>
      </c>
      <c r="K2579" s="88">
        <v>1</v>
      </c>
      <c r="L2579" s="88"/>
      <c r="M2579" s="88"/>
      <c r="N2579" s="88"/>
      <c r="O2579" s="88"/>
      <c r="P2579" s="88"/>
      <c r="Q2579" s="88"/>
      <c r="R2579" s="78">
        <f>MAX(S2579:W2579)</f>
        <v>0</v>
      </c>
      <c r="S2579" s="88"/>
      <c r="T2579" s="88"/>
      <c r="U2579" s="88"/>
      <c r="V2579" s="88"/>
      <c r="W2579" s="88"/>
    </row>
    <row r="2580" spans="2:23" s="0" customFormat="0" ht="15">
      <c r="B2580" s="87" t="s">
        <v>1</v>
      </c>
      <c r="C2580" s="88" t="s">
        <v>5259</v>
      </c>
      <c r="D2580" s="88">
        <v>19761710</v>
      </c>
      <c r="E2580" s="88" t="s">
        <v>61</v>
      </c>
      <c r="F2580" s="88">
        <v>0</v>
      </c>
      <c r="G2580" s="78">
        <f>MAX(H2580,I2580,J2580)</f>
        <v>1</v>
      </c>
      <c r="H2580" s="88"/>
      <c r="I2580" s="88"/>
      <c r="J2580" s="78">
        <f>MAX(K2580:Q2580)</f>
        <v>1</v>
      </c>
      <c r="K2580" s="88">
        <v>1</v>
      </c>
      <c r="L2580" s="88"/>
      <c r="M2580" s="88"/>
      <c r="N2580" s="88"/>
      <c r="O2580" s="88"/>
      <c r="P2580" s="88"/>
      <c r="Q2580" s="88"/>
      <c r="R2580" s="78">
        <f>MAX(S2580:W2580)</f>
        <v>0</v>
      </c>
      <c r="S2580" s="88"/>
      <c r="T2580" s="88"/>
      <c r="U2580" s="88"/>
      <c r="V2580" s="88"/>
      <c r="W2580" s="88"/>
    </row>
    <row r="2581" spans="2:23" s="0" customFormat="0" ht="15">
      <c r="B2581" s="87" t="s">
        <v>1</v>
      </c>
      <c r="C2581" s="88" t="s">
        <v>5259</v>
      </c>
      <c r="D2581" s="88">
        <v>22943429</v>
      </c>
      <c r="E2581" s="88" t="s">
        <v>61</v>
      </c>
      <c r="F2581" s="88">
        <v>0</v>
      </c>
      <c r="G2581" s="78">
        <f>MAX(H2581,I2581,J2581)</f>
        <v>1</v>
      </c>
      <c r="H2581" s="88"/>
      <c r="I2581" s="88"/>
      <c r="J2581" s="78">
        <f>MAX(K2581:Q2581)</f>
        <v>1</v>
      </c>
      <c r="K2581" s="88">
        <v>1</v>
      </c>
      <c r="L2581" s="88"/>
      <c r="M2581" s="88"/>
      <c r="N2581" s="88"/>
      <c r="O2581" s="88"/>
      <c r="P2581" s="88"/>
      <c r="Q2581" s="88"/>
      <c r="R2581" s="78">
        <f>MAX(S2581:W2581)</f>
        <v>0</v>
      </c>
      <c r="S2581" s="88"/>
      <c r="T2581" s="88"/>
      <c r="U2581" s="88"/>
      <c r="V2581" s="88"/>
      <c r="W2581" s="88"/>
    </row>
    <row r="2582" spans="2:23" s="0" customFormat="0" ht="15">
      <c r="B2582" s="87" t="s">
        <v>1</v>
      </c>
      <c r="C2582" s="88" t="s">
        <v>5259</v>
      </c>
      <c r="D2582" s="88">
        <v>14504604</v>
      </c>
      <c r="E2582" s="88" t="s">
        <v>61</v>
      </c>
      <c r="F2582" s="88">
        <v>0</v>
      </c>
      <c r="G2582" s="78">
        <f>MAX(H2582,I2582,J2582)</f>
        <v>0</v>
      </c>
      <c r="H2582" s="88"/>
      <c r="I2582" s="88"/>
      <c r="J2582" s="78">
        <f>MAX(K2582:Q2582)</f>
        <v>0</v>
      </c>
      <c r="K2582" s="88"/>
      <c r="L2582" s="88"/>
      <c r="M2582" s="88"/>
      <c r="N2582" s="88"/>
      <c r="O2582" s="88"/>
      <c r="P2582" s="88"/>
      <c r="Q2582" s="88"/>
      <c r="R2582" s="78">
        <f>MAX(S2582:W2582)</f>
        <v>1</v>
      </c>
      <c r="S2582" s="88"/>
      <c r="T2582" s="88"/>
      <c r="U2582" s="88"/>
      <c r="V2582" s="88">
        <v>1</v>
      </c>
      <c r="W2582" s="88"/>
    </row>
    <row r="2583" spans="2:23" s="0" customFormat="0" ht="15">
      <c r="B2583" s="87" t="s">
        <v>1</v>
      </c>
      <c r="C2583" s="88" t="s">
        <v>5259</v>
      </c>
      <c r="D2583" s="88">
        <v>3625199</v>
      </c>
      <c r="E2583" s="88" t="s">
        <v>61</v>
      </c>
      <c r="F2583" s="88">
        <v>0</v>
      </c>
      <c r="G2583" s="78">
        <f>MAX(H2583,I2583,J2583)</f>
        <v>0</v>
      </c>
      <c r="H2583" s="88"/>
      <c r="I2583" s="88"/>
      <c r="J2583" s="78">
        <f>MAX(K2583:Q2583)</f>
        <v>0</v>
      </c>
      <c r="K2583" s="88"/>
      <c r="L2583" s="88"/>
      <c r="M2583" s="88"/>
      <c r="N2583" s="88"/>
      <c r="O2583" s="88"/>
      <c r="P2583" s="88"/>
      <c r="Q2583" s="88"/>
      <c r="R2583" s="78">
        <f>MAX(S2583:W2583)</f>
        <v>1</v>
      </c>
      <c r="S2583" s="88"/>
      <c r="T2583" s="88"/>
      <c r="U2583" s="88">
        <v>1</v>
      </c>
      <c r="V2583" s="88"/>
      <c r="W2583" s="88"/>
    </row>
    <row r="2584" spans="2:23" s="0" customFormat="0" ht="15">
      <c r="B2584" s="87" t="s">
        <v>1</v>
      </c>
      <c r="C2584" s="88" t="s">
        <v>5259</v>
      </c>
      <c r="D2584" s="88" t="s">
        <v>1836</v>
      </c>
      <c r="E2584" s="88" t="s">
        <v>61</v>
      </c>
      <c r="F2584" s="88">
        <v>0</v>
      </c>
      <c r="G2584" s="78">
        <f>MAX(H2584,I2584,J2584)</f>
        <v>1</v>
      </c>
      <c r="H2584" s="88"/>
      <c r="I2584" s="88"/>
      <c r="J2584" s="78">
        <f>MAX(K2584:Q2584)</f>
        <v>1</v>
      </c>
      <c r="K2584" s="88">
        <v>1</v>
      </c>
      <c r="L2584" s="88"/>
      <c r="M2584" s="88"/>
      <c r="N2584" s="88"/>
      <c r="O2584" s="88"/>
      <c r="P2584" s="88"/>
      <c r="Q2584" s="88"/>
      <c r="R2584" s="78">
        <f>MAX(S2584:W2584)</f>
        <v>0</v>
      </c>
      <c r="S2584" s="88"/>
      <c r="T2584" s="88"/>
      <c r="U2584" s="88"/>
      <c r="V2584" s="88"/>
      <c r="W2584" s="88"/>
    </row>
    <row r="2585" spans="2:23" s="0" customFormat="0" ht="15">
      <c r="B2585" s="87" t="s">
        <v>1</v>
      </c>
      <c r="C2585" s="88" t="s">
        <v>5259</v>
      </c>
      <c r="D2585" s="88" t="s">
        <v>1838</v>
      </c>
      <c r="E2585" s="88" t="s">
        <v>61</v>
      </c>
      <c r="F2585" s="88">
        <v>0</v>
      </c>
      <c r="G2585" s="78">
        <f>MAX(H2585,I2585,J2585)</f>
        <v>1</v>
      </c>
      <c r="H2585" s="88"/>
      <c r="I2585" s="88"/>
      <c r="J2585" s="78">
        <f>MAX(K2585:Q2585)</f>
        <v>1</v>
      </c>
      <c r="K2585" s="88">
        <v>1</v>
      </c>
      <c r="L2585" s="88"/>
      <c r="M2585" s="88"/>
      <c r="N2585" s="88"/>
      <c r="O2585" s="88"/>
      <c r="P2585" s="88"/>
      <c r="Q2585" s="88"/>
      <c r="R2585" s="78">
        <f>MAX(S2585:W2585)</f>
        <v>0</v>
      </c>
      <c r="S2585" s="88"/>
      <c r="T2585" s="88"/>
      <c r="U2585" s="88"/>
      <c r="V2585" s="88"/>
      <c r="W2585" s="88"/>
    </row>
    <row r="2586" spans="2:23" s="0" customFormat="0" ht="15">
      <c r="B2586" s="87" t="s">
        <v>1</v>
      </c>
      <c r="C2586" s="88" t="s">
        <v>5259</v>
      </c>
      <c r="D2586" s="88" t="s">
        <v>1840</v>
      </c>
      <c r="E2586" s="88" t="s">
        <v>61</v>
      </c>
      <c r="F2586" s="88">
        <v>0</v>
      </c>
      <c r="G2586" s="78">
        <f>MAX(H2586,I2586,J2586)</f>
        <v>1</v>
      </c>
      <c r="H2586" s="88"/>
      <c r="I2586" s="88"/>
      <c r="J2586" s="78">
        <f>MAX(K2586:Q2586)</f>
        <v>1</v>
      </c>
      <c r="K2586" s="88">
        <v>1</v>
      </c>
      <c r="L2586" s="88"/>
      <c r="M2586" s="88"/>
      <c r="N2586" s="88"/>
      <c r="O2586" s="88"/>
      <c r="P2586" s="88"/>
      <c r="Q2586" s="88"/>
      <c r="R2586" s="78">
        <f>MAX(S2586:W2586)</f>
        <v>0</v>
      </c>
      <c r="S2586" s="88"/>
      <c r="T2586" s="88"/>
      <c r="U2586" s="88"/>
      <c r="V2586" s="88"/>
      <c r="W2586" s="88"/>
    </row>
    <row r="2587" spans="2:23" s="0" customFormat="0" ht="15">
      <c r="B2587" s="87" t="s">
        <v>1</v>
      </c>
      <c r="C2587" s="88" t="s">
        <v>5259</v>
      </c>
      <c r="D2587" s="88" t="s">
        <v>4461</v>
      </c>
      <c r="E2587" s="88" t="s">
        <v>61</v>
      </c>
      <c r="F2587" s="88">
        <v>0</v>
      </c>
      <c r="G2587" s="78">
        <f>MAX(H2587,I2587,J2587)</f>
        <v>0</v>
      </c>
      <c r="H2587" s="88"/>
      <c r="I2587" s="88"/>
      <c r="J2587" s="78">
        <f>MAX(K2587:Q2587)</f>
        <v>0</v>
      </c>
      <c r="K2587" s="88"/>
      <c r="L2587" s="88"/>
      <c r="M2587" s="88"/>
      <c r="N2587" s="88"/>
      <c r="O2587" s="88"/>
      <c r="P2587" s="88"/>
      <c r="Q2587" s="88"/>
      <c r="R2587" s="78">
        <f>MAX(S2587:W2587)</f>
        <v>1</v>
      </c>
      <c r="S2587" s="88"/>
      <c r="T2587" s="88"/>
      <c r="U2587" s="88">
        <v>1</v>
      </c>
      <c r="V2587" s="88"/>
      <c r="W2587" s="88"/>
    </row>
    <row r="2588" spans="2:23" s="0" customFormat="0" ht="15">
      <c r="B2588" s="87" t="s">
        <v>1</v>
      </c>
      <c r="C2588" s="88" t="s">
        <v>5259</v>
      </c>
      <c r="D2588" s="88" t="s">
        <v>1842</v>
      </c>
      <c r="E2588" s="88" t="s">
        <v>61</v>
      </c>
      <c r="F2588" s="88">
        <v>0</v>
      </c>
      <c r="G2588" s="78">
        <f>MAX(H2588,I2588,J2588)</f>
        <v>1</v>
      </c>
      <c r="H2588" s="88"/>
      <c r="I2588" s="88"/>
      <c r="J2588" s="78">
        <f>MAX(K2588:Q2588)</f>
        <v>1</v>
      </c>
      <c r="K2588" s="88">
        <v>1</v>
      </c>
      <c r="L2588" s="88"/>
      <c r="M2588" s="88"/>
      <c r="N2588" s="88"/>
      <c r="O2588" s="88"/>
      <c r="P2588" s="88"/>
      <c r="Q2588" s="88"/>
      <c r="R2588" s="78">
        <f>MAX(S2588:W2588)</f>
        <v>0</v>
      </c>
      <c r="S2588" s="88"/>
      <c r="T2588" s="88"/>
      <c r="U2588" s="88"/>
      <c r="V2588" s="88"/>
      <c r="W2588" s="88"/>
    </row>
    <row r="2589" spans="2:23" s="0" customFormat="0" ht="15">
      <c r="B2589" s="87" t="s">
        <v>1</v>
      </c>
      <c r="C2589" s="88" t="s">
        <v>5259</v>
      </c>
      <c r="D2589" s="88">
        <v>22554592</v>
      </c>
      <c r="E2589" s="88" t="s">
        <v>61</v>
      </c>
      <c r="F2589" s="88">
        <v>0</v>
      </c>
      <c r="G2589" s="78">
        <f>MAX(H2589,I2589,J2589)</f>
        <v>0</v>
      </c>
      <c r="H2589" s="88"/>
      <c r="I2589" s="88"/>
      <c r="J2589" s="78">
        <f>MAX(K2589:Q2589)</f>
        <v>0</v>
      </c>
      <c r="K2589" s="88"/>
      <c r="L2589" s="88"/>
      <c r="M2589" s="88"/>
      <c r="N2589" s="88"/>
      <c r="O2589" s="88"/>
      <c r="P2589" s="88"/>
      <c r="Q2589" s="88"/>
      <c r="R2589" s="78">
        <f>MAX(S2589:W2589)</f>
        <v>1</v>
      </c>
      <c r="S2589" s="88"/>
      <c r="T2589" s="88"/>
      <c r="U2589" s="88">
        <v>1</v>
      </c>
      <c r="V2589" s="88"/>
      <c r="W2589" s="88"/>
    </row>
    <row r="2590" spans="2:23" s="0" customFormat="0" ht="15">
      <c r="B2590" s="87" t="s">
        <v>1</v>
      </c>
      <c r="C2590" s="88" t="s">
        <v>5259</v>
      </c>
      <c r="D2590" s="88" t="s">
        <v>4464</v>
      </c>
      <c r="E2590" s="88" t="s">
        <v>61</v>
      </c>
      <c r="F2590" s="88">
        <v>0</v>
      </c>
      <c r="G2590" s="78">
        <f>MAX(H2590,I2590,J2590)</f>
        <v>0</v>
      </c>
      <c r="H2590" s="88"/>
      <c r="I2590" s="88"/>
      <c r="J2590" s="78">
        <f>MAX(K2590:Q2590)</f>
        <v>0</v>
      </c>
      <c r="K2590" s="88"/>
      <c r="L2590" s="88"/>
      <c r="M2590" s="88"/>
      <c r="N2590" s="88"/>
      <c r="O2590" s="88"/>
      <c r="P2590" s="88"/>
      <c r="Q2590" s="88"/>
      <c r="R2590" s="78">
        <f>MAX(S2590:W2590)</f>
        <v>1</v>
      </c>
      <c r="S2590" s="88"/>
      <c r="T2590" s="88"/>
      <c r="U2590" s="88">
        <v>1</v>
      </c>
      <c r="V2590" s="88"/>
      <c r="W2590" s="88"/>
    </row>
    <row r="2591" spans="2:23" s="0" customFormat="0" ht="15">
      <c r="B2591" s="87" t="s">
        <v>1</v>
      </c>
      <c r="C2591" s="88" t="s">
        <v>5259</v>
      </c>
      <c r="D2591" s="88">
        <v>14812095</v>
      </c>
      <c r="E2591" s="88" t="s">
        <v>61</v>
      </c>
      <c r="F2591" s="88">
        <v>0</v>
      </c>
      <c r="G2591" s="78">
        <f>MAX(H2591,I2591,J2591)</f>
        <v>1</v>
      </c>
      <c r="H2591" s="88"/>
      <c r="I2591" s="88"/>
      <c r="J2591" s="78">
        <f>MAX(K2591:Q2591)</f>
        <v>1</v>
      </c>
      <c r="K2591" s="88"/>
      <c r="L2591" s="88"/>
      <c r="M2591" s="88"/>
      <c r="N2591" s="88"/>
      <c r="O2591" s="88">
        <v>1</v>
      </c>
      <c r="P2591" s="88"/>
      <c r="Q2591" s="88"/>
      <c r="R2591" s="78">
        <f>MAX(S2591:W2591)</f>
        <v>0</v>
      </c>
      <c r="S2591" s="88"/>
      <c r="T2591" s="88"/>
      <c r="U2591" s="88"/>
      <c r="V2591" s="88"/>
      <c r="W2591" s="88"/>
    </row>
    <row r="2592" spans="2:23" s="0" customFormat="0" ht="15">
      <c r="B2592" s="87" t="s">
        <v>1</v>
      </c>
      <c r="C2592" s="88" t="s">
        <v>5259</v>
      </c>
      <c r="D2592" s="88" t="s">
        <v>4466</v>
      </c>
      <c r="E2592" s="88" t="s">
        <v>61</v>
      </c>
      <c r="F2592" s="88">
        <v>0</v>
      </c>
      <c r="G2592" s="78">
        <f>MAX(H2592,I2592,J2592)</f>
        <v>0</v>
      </c>
      <c r="H2592" s="88"/>
      <c r="I2592" s="88"/>
      <c r="J2592" s="78">
        <f>MAX(K2592:Q2592)</f>
        <v>0</v>
      </c>
      <c r="K2592" s="88"/>
      <c r="L2592" s="88"/>
      <c r="M2592" s="88"/>
      <c r="N2592" s="88"/>
      <c r="O2592" s="88"/>
      <c r="P2592" s="88"/>
      <c r="Q2592" s="88"/>
      <c r="R2592" s="78">
        <f>MAX(S2592:W2592)</f>
        <v>1</v>
      </c>
      <c r="S2592" s="88"/>
      <c r="T2592" s="88"/>
      <c r="U2592" s="88">
        <v>1</v>
      </c>
      <c r="V2592" s="88"/>
      <c r="W2592" s="88"/>
    </row>
    <row r="2593" spans="2:23" s="0" customFormat="0" ht="15">
      <c r="B2593" s="87" t="s">
        <v>1</v>
      </c>
      <c r="C2593" s="88" t="s">
        <v>5259</v>
      </c>
      <c r="D2593" s="88">
        <v>23531229</v>
      </c>
      <c r="E2593" s="88" t="s">
        <v>61</v>
      </c>
      <c r="F2593" s="88">
        <v>0</v>
      </c>
      <c r="G2593" s="78">
        <f>MAX(H2593,I2593,J2593)</f>
        <v>1</v>
      </c>
      <c r="H2593" s="88"/>
      <c r="I2593" s="88"/>
      <c r="J2593" s="78">
        <f>MAX(K2593:Q2593)</f>
        <v>1</v>
      </c>
      <c r="K2593" s="88">
        <v>1</v>
      </c>
      <c r="L2593" s="88"/>
      <c r="M2593" s="88"/>
      <c r="N2593" s="88"/>
      <c r="O2593" s="88"/>
      <c r="P2593" s="88"/>
      <c r="Q2593" s="88"/>
      <c r="R2593" s="78">
        <f>MAX(S2593:W2593)</f>
        <v>0</v>
      </c>
      <c r="S2593" s="88"/>
      <c r="T2593" s="88"/>
      <c r="U2593" s="88"/>
      <c r="V2593" s="88"/>
      <c r="W2593" s="88"/>
    </row>
    <row r="2594" spans="2:23" s="0" customFormat="0" ht="15">
      <c r="B2594" s="87" t="s">
        <v>1</v>
      </c>
      <c r="C2594" s="88" t="s">
        <v>5259</v>
      </c>
      <c r="D2594" s="88">
        <v>20784315</v>
      </c>
      <c r="E2594" s="88" t="s">
        <v>61</v>
      </c>
      <c r="F2594" s="88">
        <v>0</v>
      </c>
      <c r="G2594" s="78">
        <f>MAX(H2594,I2594,J2594)</f>
        <v>1</v>
      </c>
      <c r="H2594" s="88"/>
      <c r="I2594" s="88"/>
      <c r="J2594" s="78">
        <f>MAX(K2594:Q2594)</f>
        <v>1</v>
      </c>
      <c r="K2594" s="88">
        <v>1</v>
      </c>
      <c r="L2594" s="88"/>
      <c r="M2594" s="88"/>
      <c r="N2594" s="88"/>
      <c r="O2594" s="88"/>
      <c r="P2594" s="88"/>
      <c r="Q2594" s="88"/>
      <c r="R2594" s="78">
        <f>MAX(S2594:W2594)</f>
        <v>0</v>
      </c>
      <c r="S2594" s="88"/>
      <c r="T2594" s="88"/>
      <c r="U2594" s="88"/>
      <c r="V2594" s="88"/>
      <c r="W2594" s="88"/>
    </row>
    <row r="2595" spans="2:23" s="0" customFormat="0" ht="15">
      <c r="B2595" s="87" t="s">
        <v>1</v>
      </c>
      <c r="C2595" s="88" t="s">
        <v>5259</v>
      </c>
      <c r="D2595" s="88" t="s">
        <v>945</v>
      </c>
      <c r="E2595" s="88" t="s">
        <v>61</v>
      </c>
      <c r="F2595" s="88">
        <v>0</v>
      </c>
      <c r="G2595" s="78">
        <f>MAX(H2595,I2595,J2595)</f>
        <v>1</v>
      </c>
      <c r="H2595" s="88"/>
      <c r="I2595" s="88"/>
      <c r="J2595" s="78">
        <f>MAX(K2595:Q2595)</f>
        <v>1</v>
      </c>
      <c r="K2595" s="88">
        <v>1</v>
      </c>
      <c r="L2595" s="88"/>
      <c r="M2595" s="88"/>
      <c r="N2595" s="88"/>
      <c r="O2595" s="88"/>
      <c r="P2595" s="88"/>
      <c r="Q2595" s="88"/>
      <c r="R2595" s="78">
        <f>MAX(S2595:W2595)</f>
        <v>0</v>
      </c>
      <c r="S2595" s="88"/>
      <c r="T2595" s="88"/>
      <c r="U2595" s="88"/>
      <c r="V2595" s="88"/>
      <c r="W2595" s="88"/>
    </row>
    <row r="2596" spans="2:23" s="0" customFormat="0" ht="15">
      <c r="B2596" s="87" t="s">
        <v>1</v>
      </c>
      <c r="C2596" s="88" t="s">
        <v>5259</v>
      </c>
      <c r="D2596" s="88">
        <v>22048320</v>
      </c>
      <c r="E2596" s="88" t="s">
        <v>61</v>
      </c>
      <c r="F2596" s="88">
        <v>0</v>
      </c>
      <c r="G2596" s="78">
        <f>MAX(H2596,I2596,J2596)</f>
        <v>1</v>
      </c>
      <c r="H2596" s="88"/>
      <c r="I2596" s="88"/>
      <c r="J2596" s="78">
        <f>MAX(K2596:Q2596)</f>
        <v>1</v>
      </c>
      <c r="K2596" s="88">
        <v>1</v>
      </c>
      <c r="L2596" s="88"/>
      <c r="M2596" s="88"/>
      <c r="N2596" s="88"/>
      <c r="O2596" s="88"/>
      <c r="P2596" s="88"/>
      <c r="Q2596" s="88"/>
      <c r="R2596" s="78">
        <f>MAX(S2596:W2596)</f>
        <v>0</v>
      </c>
      <c r="S2596" s="88"/>
      <c r="T2596" s="88"/>
      <c r="U2596" s="88"/>
      <c r="V2596" s="88"/>
      <c r="W2596" s="88"/>
    </row>
    <row r="2597" spans="2:23" s="0" customFormat="0" ht="15">
      <c r="B2597" s="87" t="s">
        <v>1</v>
      </c>
      <c r="C2597" s="88" t="s">
        <v>5259</v>
      </c>
      <c r="D2597" s="88" t="s">
        <v>1845</v>
      </c>
      <c r="E2597" s="88" t="s">
        <v>61</v>
      </c>
      <c r="F2597" s="88">
        <v>0</v>
      </c>
      <c r="G2597" s="78">
        <f>MAX(H2597,I2597,J2597)</f>
        <v>1</v>
      </c>
      <c r="H2597" s="88"/>
      <c r="I2597" s="88"/>
      <c r="J2597" s="78">
        <f>MAX(K2597:Q2597)</f>
        <v>1</v>
      </c>
      <c r="K2597" s="88">
        <v>1</v>
      </c>
      <c r="L2597" s="88"/>
      <c r="M2597" s="88"/>
      <c r="N2597" s="88"/>
      <c r="O2597" s="88"/>
      <c r="P2597" s="88"/>
      <c r="Q2597" s="88"/>
      <c r="R2597" s="78">
        <f>MAX(S2597:W2597)</f>
        <v>0</v>
      </c>
      <c r="S2597" s="88"/>
      <c r="T2597" s="88"/>
      <c r="U2597" s="88"/>
      <c r="V2597" s="88"/>
      <c r="W2597" s="88"/>
    </row>
    <row r="2598" spans="2:23" s="0" customFormat="0" ht="15">
      <c r="B2598" s="87" t="s">
        <v>1</v>
      </c>
      <c r="C2598" s="88" t="s">
        <v>5259</v>
      </c>
      <c r="D2598" s="88">
        <v>14923621</v>
      </c>
      <c r="E2598" s="88" t="s">
        <v>61</v>
      </c>
      <c r="F2598" s="88">
        <v>0</v>
      </c>
      <c r="G2598" s="78">
        <f>MAX(H2598,I2598,J2598)</f>
        <v>1</v>
      </c>
      <c r="H2598" s="88"/>
      <c r="I2598" s="88"/>
      <c r="J2598" s="78">
        <f>MAX(K2598:Q2598)</f>
        <v>1</v>
      </c>
      <c r="K2598" s="88">
        <v>1</v>
      </c>
      <c r="L2598" s="88"/>
      <c r="M2598" s="88"/>
      <c r="N2598" s="88"/>
      <c r="O2598" s="88"/>
      <c r="P2598" s="88"/>
      <c r="Q2598" s="88"/>
      <c r="R2598" s="78">
        <f>MAX(S2598:W2598)</f>
        <v>0</v>
      </c>
      <c r="S2598" s="88"/>
      <c r="T2598" s="88"/>
      <c r="U2598" s="88"/>
      <c r="V2598" s="88"/>
      <c r="W2598" s="88"/>
    </row>
    <row r="2599" spans="2:23" s="0" customFormat="0" ht="15">
      <c r="B2599" s="87" t="s">
        <v>1</v>
      </c>
      <c r="C2599" s="88" t="s">
        <v>5259</v>
      </c>
      <c r="D2599" s="88">
        <v>24430401</v>
      </c>
      <c r="E2599" s="88" t="s">
        <v>61</v>
      </c>
      <c r="F2599" s="88">
        <v>0</v>
      </c>
      <c r="G2599" s="78">
        <f>MAX(H2599,I2599,J2599)</f>
        <v>1</v>
      </c>
      <c r="H2599" s="88"/>
      <c r="I2599" s="88"/>
      <c r="J2599" s="78">
        <f>MAX(K2599:Q2599)</f>
        <v>1</v>
      </c>
      <c r="K2599" s="88">
        <v>1</v>
      </c>
      <c r="L2599" s="88"/>
      <c r="M2599" s="88"/>
      <c r="N2599" s="88"/>
      <c r="O2599" s="88"/>
      <c r="P2599" s="88"/>
      <c r="Q2599" s="88"/>
      <c r="R2599" s="78">
        <f>MAX(S2599:W2599)</f>
        <v>0</v>
      </c>
      <c r="S2599" s="88"/>
      <c r="T2599" s="88"/>
      <c r="U2599" s="88"/>
      <c r="V2599" s="88"/>
      <c r="W2599" s="88"/>
    </row>
    <row r="2600" spans="2:23" s="0" customFormat="0" ht="15">
      <c r="B2600" s="87" t="s">
        <v>1</v>
      </c>
      <c r="C2600" s="88" t="s">
        <v>5259</v>
      </c>
      <c r="D2600" s="88">
        <v>22554359</v>
      </c>
      <c r="E2600" s="88" t="s">
        <v>61</v>
      </c>
      <c r="F2600" s="88">
        <v>0</v>
      </c>
      <c r="G2600" s="78">
        <f>MAX(H2600,I2600,J2600)</f>
        <v>0</v>
      </c>
      <c r="H2600" s="88"/>
      <c r="I2600" s="88"/>
      <c r="J2600" s="78">
        <f>MAX(K2600:Q2600)</f>
        <v>0</v>
      </c>
      <c r="K2600" s="88"/>
      <c r="L2600" s="88"/>
      <c r="M2600" s="88"/>
      <c r="N2600" s="88"/>
      <c r="O2600" s="88"/>
      <c r="P2600" s="88"/>
      <c r="Q2600" s="88"/>
      <c r="R2600" s="78">
        <f>MAX(S2600:W2600)</f>
        <v>1</v>
      </c>
      <c r="S2600" s="88"/>
      <c r="T2600" s="88"/>
      <c r="U2600" s="88">
        <v>1</v>
      </c>
      <c r="V2600" s="88"/>
      <c r="W2600" s="88"/>
    </row>
    <row r="2601" spans="2:23" s="0" customFormat="0" ht="15">
      <c r="B2601" s="87" t="s">
        <v>1</v>
      </c>
      <c r="C2601" s="88" t="s">
        <v>5259</v>
      </c>
      <c r="D2601" s="88" t="s">
        <v>1849</v>
      </c>
      <c r="E2601" s="88" t="s">
        <v>61</v>
      </c>
      <c r="F2601" s="88">
        <v>0</v>
      </c>
      <c r="G2601" s="78">
        <f>MAX(H2601,I2601,J2601)</f>
        <v>1</v>
      </c>
      <c r="H2601" s="88"/>
      <c r="I2601" s="88"/>
      <c r="J2601" s="78">
        <f>MAX(K2601:Q2601)</f>
        <v>1</v>
      </c>
      <c r="K2601" s="88">
        <v>1</v>
      </c>
      <c r="L2601" s="88"/>
      <c r="M2601" s="88"/>
      <c r="N2601" s="88"/>
      <c r="O2601" s="88"/>
      <c r="P2601" s="88"/>
      <c r="Q2601" s="88"/>
      <c r="R2601" s="78">
        <f>MAX(S2601:W2601)</f>
        <v>0</v>
      </c>
      <c r="S2601" s="88"/>
      <c r="T2601" s="88"/>
      <c r="U2601" s="88"/>
      <c r="V2601" s="88"/>
      <c r="W2601" s="88"/>
    </row>
    <row r="2602" spans="2:23" s="0" customFormat="0" ht="15">
      <c r="B2602" s="87" t="s">
        <v>1</v>
      </c>
      <c r="C2602" s="88" t="s">
        <v>5259</v>
      </c>
      <c r="D2602" s="88">
        <v>23353706</v>
      </c>
      <c r="E2602" s="88" t="s">
        <v>61</v>
      </c>
      <c r="F2602" s="88">
        <v>0</v>
      </c>
      <c r="G2602" s="78">
        <f>MAX(H2602,I2602,J2602)</f>
        <v>1</v>
      </c>
      <c r="H2602" s="88"/>
      <c r="I2602" s="88"/>
      <c r="J2602" s="78">
        <f>MAX(K2602:Q2602)</f>
        <v>1</v>
      </c>
      <c r="K2602" s="88">
        <v>1</v>
      </c>
      <c r="L2602" s="88"/>
      <c r="M2602" s="88"/>
      <c r="N2602" s="88"/>
      <c r="O2602" s="88"/>
      <c r="P2602" s="88"/>
      <c r="Q2602" s="88"/>
      <c r="R2602" s="78">
        <f>MAX(S2602:W2602)</f>
        <v>0</v>
      </c>
      <c r="S2602" s="88"/>
      <c r="T2602" s="88"/>
      <c r="U2602" s="88"/>
      <c r="V2602" s="88"/>
      <c r="W2602" s="88"/>
    </row>
    <row r="2603" spans="2:23" s="0" customFormat="0" ht="15">
      <c r="B2603" s="87" t="s">
        <v>1</v>
      </c>
      <c r="C2603" s="88" t="s">
        <v>5259</v>
      </c>
      <c r="D2603" s="88" t="s">
        <v>4469</v>
      </c>
      <c r="E2603" s="88" t="s">
        <v>61</v>
      </c>
      <c r="F2603" s="88">
        <v>0</v>
      </c>
      <c r="G2603" s="78">
        <f>MAX(H2603,I2603,J2603)</f>
        <v>0</v>
      </c>
      <c r="H2603" s="88"/>
      <c r="I2603" s="88"/>
      <c r="J2603" s="78">
        <f>MAX(K2603:Q2603)</f>
        <v>0</v>
      </c>
      <c r="K2603" s="88"/>
      <c r="L2603" s="88"/>
      <c r="M2603" s="88"/>
      <c r="N2603" s="88"/>
      <c r="O2603" s="88"/>
      <c r="P2603" s="88"/>
      <c r="Q2603" s="88"/>
      <c r="R2603" s="78">
        <f>MAX(S2603:W2603)</f>
        <v>1</v>
      </c>
      <c r="S2603" s="88"/>
      <c r="T2603" s="88"/>
      <c r="U2603" s="88">
        <v>1</v>
      </c>
      <c r="V2603" s="88"/>
      <c r="W2603" s="88"/>
    </row>
    <row r="2604" spans="2:23" s="0" customFormat="0" ht="15">
      <c r="B2604" s="87" t="s">
        <v>1</v>
      </c>
      <c r="C2604" s="88" t="s">
        <v>5259</v>
      </c>
      <c r="D2604" s="88" t="s">
        <v>1851</v>
      </c>
      <c r="E2604" s="88" t="s">
        <v>61</v>
      </c>
      <c r="F2604" s="88">
        <v>0</v>
      </c>
      <c r="G2604" s="78">
        <f>MAX(H2604,I2604,J2604)</f>
        <v>1</v>
      </c>
      <c r="H2604" s="88"/>
      <c r="I2604" s="88"/>
      <c r="J2604" s="78">
        <f>MAX(K2604:Q2604)</f>
        <v>1</v>
      </c>
      <c r="K2604" s="88">
        <v>1</v>
      </c>
      <c r="L2604" s="88"/>
      <c r="M2604" s="88"/>
      <c r="N2604" s="88"/>
      <c r="O2604" s="88"/>
      <c r="P2604" s="88"/>
      <c r="Q2604" s="88"/>
      <c r="R2604" s="78">
        <f>MAX(S2604:W2604)</f>
        <v>0</v>
      </c>
      <c r="S2604" s="88"/>
      <c r="T2604" s="88"/>
      <c r="U2604" s="88"/>
      <c r="V2604" s="88"/>
      <c r="W2604" s="88"/>
    </row>
    <row r="2605" spans="2:23" s="0" customFormat="0" ht="15">
      <c r="B2605" s="87" t="s">
        <v>1</v>
      </c>
      <c r="C2605" s="88" t="s">
        <v>5259</v>
      </c>
      <c r="D2605" s="88" t="s">
        <v>468</v>
      </c>
      <c r="E2605" s="88" t="s">
        <v>61</v>
      </c>
      <c r="F2605" s="88">
        <v>0</v>
      </c>
      <c r="G2605" s="78">
        <f>MAX(H2605,I2605,J2605)</f>
        <v>1</v>
      </c>
      <c r="H2605" s="88"/>
      <c r="I2605" s="88"/>
      <c r="J2605" s="78">
        <f>MAX(K2605:Q2605)</f>
        <v>1</v>
      </c>
      <c r="K2605" s="88">
        <v>1</v>
      </c>
      <c r="L2605" s="88"/>
      <c r="M2605" s="88"/>
      <c r="N2605" s="88"/>
      <c r="O2605" s="88"/>
      <c r="P2605" s="88"/>
      <c r="Q2605" s="88"/>
      <c r="R2605" s="78">
        <f>MAX(S2605:W2605)</f>
        <v>0</v>
      </c>
      <c r="S2605" s="88"/>
      <c r="T2605" s="88"/>
      <c r="U2605" s="88"/>
      <c r="V2605" s="88"/>
      <c r="W2605" s="88"/>
    </row>
    <row r="2606" spans="2:23" s="0" customFormat="0" ht="15">
      <c r="B2606" s="87" t="s">
        <v>1</v>
      </c>
      <c r="C2606" s="88" t="s">
        <v>5259</v>
      </c>
      <c r="D2606" s="88" t="s">
        <v>4471</v>
      </c>
      <c r="E2606" s="88" t="s">
        <v>61</v>
      </c>
      <c r="F2606" s="88">
        <v>0</v>
      </c>
      <c r="G2606" s="78">
        <f>MAX(H2606,I2606,J2606)</f>
        <v>0</v>
      </c>
      <c r="H2606" s="88"/>
      <c r="I2606" s="88"/>
      <c r="J2606" s="78">
        <f>MAX(K2606:Q2606)</f>
        <v>0</v>
      </c>
      <c r="K2606" s="88"/>
      <c r="L2606" s="88"/>
      <c r="M2606" s="88"/>
      <c r="N2606" s="88"/>
      <c r="O2606" s="88"/>
      <c r="P2606" s="88"/>
      <c r="Q2606" s="88"/>
      <c r="R2606" s="78">
        <f>MAX(S2606:W2606)</f>
        <v>1</v>
      </c>
      <c r="S2606" s="88"/>
      <c r="T2606" s="88"/>
      <c r="U2606" s="88">
        <v>1</v>
      </c>
      <c r="V2606" s="88"/>
      <c r="W2606" s="88"/>
    </row>
    <row r="2607" spans="2:23" s="0" customFormat="0" ht="15">
      <c r="B2607" s="87" t="s">
        <v>1</v>
      </c>
      <c r="C2607" s="88" t="s">
        <v>5259</v>
      </c>
      <c r="D2607" s="88" t="s">
        <v>1853</v>
      </c>
      <c r="E2607" s="88" t="s">
        <v>61</v>
      </c>
      <c r="F2607" s="88">
        <v>0</v>
      </c>
      <c r="G2607" s="78">
        <f>MAX(H2607,I2607,J2607)</f>
        <v>1</v>
      </c>
      <c r="H2607" s="88"/>
      <c r="I2607" s="88"/>
      <c r="J2607" s="78">
        <f>MAX(K2607:Q2607)</f>
        <v>1</v>
      </c>
      <c r="K2607" s="88">
        <v>1</v>
      </c>
      <c r="L2607" s="88"/>
      <c r="M2607" s="88"/>
      <c r="N2607" s="88"/>
      <c r="O2607" s="88"/>
      <c r="P2607" s="88"/>
      <c r="Q2607" s="88"/>
      <c r="R2607" s="78">
        <f>MAX(S2607:W2607)</f>
        <v>0</v>
      </c>
      <c r="S2607" s="88"/>
      <c r="T2607" s="88"/>
      <c r="U2607" s="88"/>
      <c r="V2607" s="88"/>
      <c r="W2607" s="88"/>
    </row>
    <row r="2608" spans="2:23" s="0" customFormat="0" ht="15">
      <c r="B2608" s="87" t="s">
        <v>1</v>
      </c>
      <c r="C2608" s="88" t="s">
        <v>5259</v>
      </c>
      <c r="D2608" s="88" t="s">
        <v>4473</v>
      </c>
      <c r="E2608" s="88" t="s">
        <v>61</v>
      </c>
      <c r="F2608" s="88">
        <v>0</v>
      </c>
      <c r="G2608" s="78">
        <f>MAX(H2608,I2608,J2608)</f>
        <v>0</v>
      </c>
      <c r="H2608" s="88"/>
      <c r="I2608" s="88"/>
      <c r="J2608" s="78">
        <f>MAX(K2608:Q2608)</f>
        <v>0</v>
      </c>
      <c r="K2608" s="88"/>
      <c r="L2608" s="88"/>
      <c r="M2608" s="88"/>
      <c r="N2608" s="88"/>
      <c r="O2608" s="88"/>
      <c r="P2608" s="88"/>
      <c r="Q2608" s="88"/>
      <c r="R2608" s="78">
        <f>MAX(S2608:W2608)</f>
        <v>1</v>
      </c>
      <c r="S2608" s="88"/>
      <c r="T2608" s="88"/>
      <c r="U2608" s="88">
        <v>1</v>
      </c>
      <c r="V2608" s="88"/>
      <c r="W2608" s="88"/>
    </row>
    <row r="2609" spans="2:23" s="0" customFormat="0" ht="15">
      <c r="B2609" s="87" t="s">
        <v>1</v>
      </c>
      <c r="C2609" s="88" t="s">
        <v>5259</v>
      </c>
      <c r="D2609" s="88" t="s">
        <v>4453</v>
      </c>
      <c r="E2609" s="88" t="s">
        <v>61</v>
      </c>
      <c r="F2609" s="88">
        <v>0</v>
      </c>
      <c r="G2609" s="78">
        <f>MAX(H2609,I2609,J2609)</f>
        <v>0</v>
      </c>
      <c r="H2609" s="88"/>
      <c r="I2609" s="88"/>
      <c r="J2609" s="78">
        <f>MAX(K2609:Q2609)</f>
        <v>0</v>
      </c>
      <c r="K2609" s="88"/>
      <c r="L2609" s="88"/>
      <c r="M2609" s="88"/>
      <c r="N2609" s="88"/>
      <c r="O2609" s="88"/>
      <c r="P2609" s="88"/>
      <c r="Q2609" s="88"/>
      <c r="R2609" s="78">
        <f>MAX(S2609:W2609)</f>
        <v>1</v>
      </c>
      <c r="S2609" s="88"/>
      <c r="T2609" s="88"/>
      <c r="U2609" s="88">
        <v>1</v>
      </c>
      <c r="V2609" s="88"/>
      <c r="W2609" s="88"/>
    </row>
    <row r="2610" spans="2:23" s="0" customFormat="0" ht="15">
      <c r="B2610" s="87" t="s">
        <v>1</v>
      </c>
      <c r="C2610" s="88" t="s">
        <v>5259</v>
      </c>
      <c r="D2610" s="88">
        <v>17561283</v>
      </c>
      <c r="E2610" s="88" t="s">
        <v>61</v>
      </c>
      <c r="F2610" s="88">
        <v>0</v>
      </c>
      <c r="G2610" s="78">
        <f>MAX(H2610,I2610,J2610)</f>
        <v>1</v>
      </c>
      <c r="H2610" s="88"/>
      <c r="I2610" s="88"/>
      <c r="J2610" s="78">
        <f>MAX(K2610:Q2610)</f>
        <v>1</v>
      </c>
      <c r="K2610" s="88">
        <v>1</v>
      </c>
      <c r="L2610" s="88"/>
      <c r="M2610" s="88"/>
      <c r="N2610" s="88"/>
      <c r="O2610" s="88"/>
      <c r="P2610" s="88"/>
      <c r="Q2610" s="88"/>
      <c r="R2610" s="78">
        <f>MAX(S2610:W2610)</f>
        <v>0</v>
      </c>
      <c r="S2610" s="88"/>
      <c r="T2610" s="88"/>
      <c r="U2610" s="88"/>
      <c r="V2610" s="88"/>
      <c r="W2610" s="88"/>
    </row>
    <row r="2611" spans="2:23" s="0" customFormat="0" ht="15">
      <c r="B2611" s="87" t="s">
        <v>1</v>
      </c>
      <c r="C2611" s="88" t="s">
        <v>5259</v>
      </c>
      <c r="D2611" s="88" t="s">
        <v>4039</v>
      </c>
      <c r="E2611" s="88" t="s">
        <v>61</v>
      </c>
      <c r="F2611" s="88">
        <v>0</v>
      </c>
      <c r="G2611" s="78">
        <f>MAX(H2611,I2611,J2611)</f>
        <v>0</v>
      </c>
      <c r="H2611" s="88"/>
      <c r="I2611" s="88"/>
      <c r="J2611" s="78">
        <f>MAX(K2611:Q2611)</f>
        <v>0</v>
      </c>
      <c r="K2611" s="88"/>
      <c r="L2611" s="88"/>
      <c r="M2611" s="88"/>
      <c r="N2611" s="88"/>
      <c r="O2611" s="88"/>
      <c r="P2611" s="88"/>
      <c r="Q2611" s="88"/>
      <c r="R2611" s="78">
        <f>MAX(S2611:W2611)</f>
        <v>1</v>
      </c>
      <c r="S2611" s="88"/>
      <c r="T2611" s="88"/>
      <c r="U2611" s="88">
        <v>1</v>
      </c>
      <c r="V2611" s="88"/>
      <c r="W2611" s="88"/>
    </row>
    <row r="2612" spans="2:23" s="0" customFormat="0" ht="15">
      <c r="B2612" s="87" t="s">
        <v>1</v>
      </c>
      <c r="C2612" s="88" t="s">
        <v>5259</v>
      </c>
      <c r="D2612" s="88" t="s">
        <v>4475</v>
      </c>
      <c r="E2612" s="88" t="s">
        <v>61</v>
      </c>
      <c r="F2612" s="88">
        <v>0</v>
      </c>
      <c r="G2612" s="78">
        <f>MAX(H2612,I2612,J2612)</f>
        <v>0</v>
      </c>
      <c r="H2612" s="88"/>
      <c r="I2612" s="88"/>
      <c r="J2612" s="78">
        <f>MAX(K2612:Q2612)</f>
        <v>0</v>
      </c>
      <c r="K2612" s="88"/>
      <c r="L2612" s="88"/>
      <c r="M2612" s="88"/>
      <c r="N2612" s="88"/>
      <c r="O2612" s="88"/>
      <c r="P2612" s="88"/>
      <c r="Q2612" s="88"/>
      <c r="R2612" s="78">
        <f>MAX(S2612:W2612)</f>
        <v>1</v>
      </c>
      <c r="S2612" s="88"/>
      <c r="T2612" s="88"/>
      <c r="U2612" s="88">
        <v>1</v>
      </c>
      <c r="V2612" s="88"/>
      <c r="W2612" s="88"/>
    </row>
    <row r="2613" spans="2:23" s="0" customFormat="0" ht="15">
      <c r="B2613" s="87" t="s">
        <v>1</v>
      </c>
      <c r="C2613" s="88" t="s">
        <v>5259</v>
      </c>
      <c r="D2613" s="88" t="s">
        <v>1856</v>
      </c>
      <c r="E2613" s="88" t="s">
        <v>61</v>
      </c>
      <c r="F2613" s="88">
        <v>0</v>
      </c>
      <c r="G2613" s="78">
        <f>MAX(H2613,I2613,J2613)</f>
        <v>1</v>
      </c>
      <c r="H2613" s="88"/>
      <c r="I2613" s="88"/>
      <c r="J2613" s="78">
        <f>MAX(K2613:Q2613)</f>
        <v>1</v>
      </c>
      <c r="K2613" s="88">
        <v>1</v>
      </c>
      <c r="L2613" s="88"/>
      <c r="M2613" s="88"/>
      <c r="N2613" s="88"/>
      <c r="O2613" s="88"/>
      <c r="P2613" s="88"/>
      <c r="Q2613" s="88"/>
      <c r="R2613" s="78">
        <f>MAX(S2613:W2613)</f>
        <v>0</v>
      </c>
      <c r="S2613" s="88"/>
      <c r="T2613" s="88"/>
      <c r="U2613" s="88"/>
      <c r="V2613" s="88"/>
      <c r="W2613" s="88"/>
    </row>
    <row r="2614" spans="2:23" s="0" customFormat="0" ht="15">
      <c r="B2614" s="87" t="s">
        <v>1</v>
      </c>
      <c r="C2614" s="88" t="s">
        <v>5259</v>
      </c>
      <c r="D2614" s="88">
        <v>21618000</v>
      </c>
      <c r="E2614" s="88" t="s">
        <v>61</v>
      </c>
      <c r="F2614" s="88">
        <v>0</v>
      </c>
      <c r="G2614" s="78">
        <f>MAX(H2614,I2614,J2614)</f>
        <v>1</v>
      </c>
      <c r="H2614" s="88"/>
      <c r="I2614" s="88"/>
      <c r="J2614" s="78">
        <f>MAX(K2614:Q2614)</f>
        <v>1</v>
      </c>
      <c r="K2614" s="88">
        <v>1</v>
      </c>
      <c r="L2614" s="88"/>
      <c r="M2614" s="88"/>
      <c r="N2614" s="88"/>
      <c r="O2614" s="88"/>
      <c r="P2614" s="88"/>
      <c r="Q2614" s="88"/>
      <c r="R2614" s="78">
        <f>MAX(S2614:W2614)</f>
        <v>0</v>
      </c>
      <c r="S2614" s="88"/>
      <c r="T2614" s="88"/>
      <c r="U2614" s="88"/>
      <c r="V2614" s="88"/>
      <c r="W2614" s="88"/>
    </row>
    <row r="2615" spans="2:23" s="0" customFormat="0" ht="15">
      <c r="B2615" s="87" t="s">
        <v>1</v>
      </c>
      <c r="C2615" s="88" t="s">
        <v>5259</v>
      </c>
      <c r="D2615" s="88">
        <v>5408779</v>
      </c>
      <c r="E2615" s="88" t="s">
        <v>61</v>
      </c>
      <c r="F2615" s="88">
        <v>0</v>
      </c>
      <c r="G2615" s="78">
        <f>MAX(H2615,I2615,J2615)</f>
        <v>1</v>
      </c>
      <c r="H2615" s="88"/>
      <c r="I2615" s="88"/>
      <c r="J2615" s="78">
        <f>MAX(K2615:Q2615)</f>
        <v>1</v>
      </c>
      <c r="K2615" s="88">
        <v>1</v>
      </c>
      <c r="L2615" s="88"/>
      <c r="M2615" s="88"/>
      <c r="N2615" s="88"/>
      <c r="O2615" s="88"/>
      <c r="P2615" s="88"/>
      <c r="Q2615" s="88"/>
      <c r="R2615" s="78">
        <f>MAX(S2615:W2615)</f>
        <v>0</v>
      </c>
      <c r="S2615" s="88"/>
      <c r="T2615" s="88"/>
      <c r="U2615" s="88"/>
      <c r="V2615" s="88"/>
      <c r="W2615" s="88"/>
    </row>
    <row r="2616" spans="2:23" s="0" customFormat="0" ht="15">
      <c r="B2616" s="87" t="s">
        <v>1</v>
      </c>
      <c r="C2616" s="88" t="s">
        <v>5259</v>
      </c>
      <c r="D2616" s="88">
        <v>14685397</v>
      </c>
      <c r="E2616" s="88" t="s">
        <v>61</v>
      </c>
      <c r="F2616" s="88">
        <v>0</v>
      </c>
      <c r="G2616" s="78">
        <f>MAX(H2616,I2616,J2616)</f>
        <v>1</v>
      </c>
      <c r="H2616" s="88"/>
      <c r="I2616" s="88"/>
      <c r="J2616" s="78">
        <f>MAX(K2616:Q2616)</f>
        <v>1</v>
      </c>
      <c r="K2616" s="88">
        <v>1</v>
      </c>
      <c r="L2616" s="88"/>
      <c r="M2616" s="88"/>
      <c r="N2616" s="88"/>
      <c r="O2616" s="88"/>
      <c r="P2616" s="88"/>
      <c r="Q2616" s="88"/>
      <c r="R2616" s="78">
        <f>MAX(S2616:W2616)</f>
        <v>0</v>
      </c>
      <c r="S2616" s="88"/>
      <c r="T2616" s="88"/>
      <c r="U2616" s="88"/>
      <c r="V2616" s="88"/>
      <c r="W2616" s="88"/>
    </row>
    <row r="2617" spans="2:23" s="0" customFormat="0" ht="15">
      <c r="B2617" s="87" t="s">
        <v>1</v>
      </c>
      <c r="C2617" s="88" t="s">
        <v>5259</v>
      </c>
      <c r="D2617" s="88">
        <v>22387301</v>
      </c>
      <c r="E2617" s="88" t="s">
        <v>61</v>
      </c>
      <c r="F2617" s="88">
        <v>0</v>
      </c>
      <c r="G2617" s="78">
        <f>MAX(H2617,I2617,J2617)</f>
        <v>1</v>
      </c>
      <c r="H2617" s="88"/>
      <c r="I2617" s="88"/>
      <c r="J2617" s="78">
        <f>MAX(K2617:Q2617)</f>
        <v>1</v>
      </c>
      <c r="K2617" s="88">
        <v>1</v>
      </c>
      <c r="L2617" s="88"/>
      <c r="M2617" s="88"/>
      <c r="N2617" s="88"/>
      <c r="O2617" s="88"/>
      <c r="P2617" s="88"/>
      <c r="Q2617" s="88"/>
      <c r="R2617" s="78">
        <f>MAX(S2617:W2617)</f>
        <v>0</v>
      </c>
      <c r="S2617" s="88"/>
      <c r="T2617" s="88"/>
      <c r="U2617" s="88"/>
      <c r="V2617" s="88"/>
      <c r="W2617" s="88"/>
    </row>
    <row r="2618" spans="2:23" s="0" customFormat="0" ht="15">
      <c r="B2618" s="87" t="s">
        <v>1</v>
      </c>
      <c r="C2618" s="88" t="s">
        <v>5259</v>
      </c>
      <c r="D2618" s="88">
        <v>21764314</v>
      </c>
      <c r="E2618" s="88" t="s">
        <v>61</v>
      </c>
      <c r="F2618" s="88">
        <v>0</v>
      </c>
      <c r="G2618" s="78">
        <f>MAX(H2618,I2618,J2618)</f>
        <v>1</v>
      </c>
      <c r="H2618" s="88"/>
      <c r="I2618" s="88"/>
      <c r="J2618" s="78">
        <f>MAX(K2618:Q2618)</f>
        <v>1</v>
      </c>
      <c r="K2618" s="88">
        <v>1</v>
      </c>
      <c r="L2618" s="88"/>
      <c r="M2618" s="88"/>
      <c r="N2618" s="88"/>
      <c r="O2618" s="88"/>
      <c r="P2618" s="88"/>
      <c r="Q2618" s="88"/>
      <c r="R2618" s="78">
        <f>MAX(S2618:W2618)</f>
        <v>0</v>
      </c>
      <c r="S2618" s="88"/>
      <c r="T2618" s="88"/>
      <c r="U2618" s="88"/>
      <c r="V2618" s="88"/>
      <c r="W2618" s="88"/>
    </row>
    <row r="2619" spans="2:23" s="0" customFormat="0" ht="15">
      <c r="B2619" s="87" t="s">
        <v>1</v>
      </c>
      <c r="C2619" s="88" t="s">
        <v>5259</v>
      </c>
      <c r="D2619" s="88" t="s">
        <v>1862</v>
      </c>
      <c r="E2619" s="88" t="s">
        <v>61</v>
      </c>
      <c r="F2619" s="88">
        <v>0</v>
      </c>
      <c r="G2619" s="78">
        <f>MAX(H2619,I2619,J2619)</f>
        <v>1</v>
      </c>
      <c r="H2619" s="88"/>
      <c r="I2619" s="88"/>
      <c r="J2619" s="78">
        <f>MAX(K2619:Q2619)</f>
        <v>1</v>
      </c>
      <c r="K2619" s="88">
        <v>1</v>
      </c>
      <c r="L2619" s="88"/>
      <c r="M2619" s="88"/>
      <c r="N2619" s="88"/>
      <c r="O2619" s="88"/>
      <c r="P2619" s="88"/>
      <c r="Q2619" s="88"/>
      <c r="R2619" s="78">
        <f>MAX(S2619:W2619)</f>
        <v>0</v>
      </c>
      <c r="S2619" s="88"/>
      <c r="T2619" s="88"/>
      <c r="U2619" s="88"/>
      <c r="V2619" s="88"/>
      <c r="W2619" s="88"/>
    </row>
    <row r="2620" spans="2:23" s="0" customFormat="0" ht="15">
      <c r="B2620" s="87" t="s">
        <v>1</v>
      </c>
      <c r="C2620" s="88" t="s">
        <v>5259</v>
      </c>
      <c r="D2620" s="88">
        <v>17921546</v>
      </c>
      <c r="E2620" s="88" t="s">
        <v>61</v>
      </c>
      <c r="F2620" s="88">
        <v>0</v>
      </c>
      <c r="G2620" s="78">
        <f>MAX(H2620,I2620,J2620)</f>
        <v>1</v>
      </c>
      <c r="H2620" s="88"/>
      <c r="I2620" s="88"/>
      <c r="J2620" s="78">
        <f>MAX(K2620:Q2620)</f>
        <v>1</v>
      </c>
      <c r="K2620" s="88">
        <v>1</v>
      </c>
      <c r="L2620" s="88"/>
      <c r="M2620" s="88"/>
      <c r="N2620" s="88"/>
      <c r="O2620" s="88"/>
      <c r="P2620" s="88"/>
      <c r="Q2620" s="88"/>
      <c r="R2620" s="78">
        <f>MAX(S2620:W2620)</f>
        <v>0</v>
      </c>
      <c r="S2620" s="88"/>
      <c r="T2620" s="88"/>
      <c r="U2620" s="88"/>
      <c r="V2620" s="88"/>
      <c r="W2620" s="88"/>
    </row>
    <row r="2621" spans="2:23" s="0" customFormat="0" ht="15">
      <c r="B2621" s="87" t="s">
        <v>1</v>
      </c>
      <c r="C2621" s="88" t="s">
        <v>5259</v>
      </c>
      <c r="D2621" s="88">
        <v>14536858</v>
      </c>
      <c r="E2621" s="88" t="s">
        <v>61</v>
      </c>
      <c r="F2621" s="88">
        <v>0</v>
      </c>
      <c r="G2621" s="78">
        <f>MAX(H2621,I2621,J2621)</f>
        <v>1</v>
      </c>
      <c r="H2621" s="88"/>
      <c r="I2621" s="88"/>
      <c r="J2621" s="78">
        <f>MAX(K2621:Q2621)</f>
        <v>1</v>
      </c>
      <c r="K2621" s="88">
        <v>1</v>
      </c>
      <c r="L2621" s="88"/>
      <c r="M2621" s="88"/>
      <c r="N2621" s="88"/>
      <c r="O2621" s="88"/>
      <c r="P2621" s="88"/>
      <c r="Q2621" s="88"/>
      <c r="R2621" s="78">
        <f>MAX(S2621:W2621)</f>
        <v>0</v>
      </c>
      <c r="S2621" s="88"/>
      <c r="T2621" s="88"/>
      <c r="U2621" s="88"/>
      <c r="V2621" s="88"/>
      <c r="W2621" s="88"/>
    </row>
    <row r="2622" spans="2:23" s="0" customFormat="0" ht="15">
      <c r="B2622" s="87" t="s">
        <v>1</v>
      </c>
      <c r="C2622" s="88" t="s">
        <v>5259</v>
      </c>
      <c r="D2622" s="88" t="s">
        <v>947</v>
      </c>
      <c r="E2622" s="88" t="s">
        <v>61</v>
      </c>
      <c r="F2622" s="88">
        <v>0</v>
      </c>
      <c r="G2622" s="78">
        <f>MAX(H2622,I2622,J2622)</f>
        <v>1</v>
      </c>
      <c r="H2622" s="88"/>
      <c r="I2622" s="88"/>
      <c r="J2622" s="78">
        <f>MAX(K2622:Q2622)</f>
        <v>1</v>
      </c>
      <c r="K2622" s="88">
        <v>1</v>
      </c>
      <c r="L2622" s="88"/>
      <c r="M2622" s="88"/>
      <c r="N2622" s="88"/>
      <c r="O2622" s="88"/>
      <c r="P2622" s="88"/>
      <c r="Q2622" s="88"/>
      <c r="R2622" s="78">
        <f>MAX(S2622:W2622)</f>
        <v>0</v>
      </c>
      <c r="S2622" s="88"/>
      <c r="T2622" s="88"/>
      <c r="U2622" s="88"/>
      <c r="V2622" s="88"/>
      <c r="W2622" s="88"/>
    </row>
    <row r="2623" spans="2:23" s="0" customFormat="0" ht="15">
      <c r="B2623" s="87" t="s">
        <v>1</v>
      </c>
      <c r="C2623" s="88" t="s">
        <v>5259</v>
      </c>
      <c r="D2623" s="88" t="s">
        <v>1864</v>
      </c>
      <c r="E2623" s="88" t="s">
        <v>61</v>
      </c>
      <c r="F2623" s="88">
        <v>0</v>
      </c>
      <c r="G2623" s="78">
        <f>MAX(H2623,I2623,J2623)</f>
        <v>1</v>
      </c>
      <c r="H2623" s="88"/>
      <c r="I2623" s="88"/>
      <c r="J2623" s="78">
        <f>MAX(K2623:Q2623)</f>
        <v>1</v>
      </c>
      <c r="K2623" s="88">
        <v>1</v>
      </c>
      <c r="L2623" s="88"/>
      <c r="M2623" s="88"/>
      <c r="N2623" s="88"/>
      <c r="O2623" s="88"/>
      <c r="P2623" s="88"/>
      <c r="Q2623" s="88"/>
      <c r="R2623" s="78">
        <f>MAX(S2623:W2623)</f>
        <v>0</v>
      </c>
      <c r="S2623" s="88"/>
      <c r="T2623" s="88"/>
      <c r="U2623" s="88"/>
      <c r="V2623" s="88"/>
      <c r="W2623" s="88"/>
    </row>
    <row r="2624" spans="2:23" s="0" customFormat="0" ht="15">
      <c r="B2624" s="87" t="s">
        <v>1</v>
      </c>
      <c r="C2624" s="88" t="s">
        <v>5259</v>
      </c>
      <c r="D2624" s="88">
        <v>13109400</v>
      </c>
      <c r="E2624" s="88" t="s">
        <v>61</v>
      </c>
      <c r="F2624" s="88">
        <v>0</v>
      </c>
      <c r="G2624" s="78">
        <f>MAX(H2624,I2624,J2624)</f>
        <v>1</v>
      </c>
      <c r="H2624" s="88"/>
      <c r="I2624" s="88"/>
      <c r="J2624" s="78">
        <f>MAX(K2624:Q2624)</f>
        <v>1</v>
      </c>
      <c r="K2624" s="88">
        <v>1</v>
      </c>
      <c r="L2624" s="88"/>
      <c r="M2624" s="88"/>
      <c r="N2624" s="88"/>
      <c r="O2624" s="88"/>
      <c r="P2624" s="88"/>
      <c r="Q2624" s="88"/>
      <c r="R2624" s="78">
        <f>MAX(S2624:W2624)</f>
        <v>0</v>
      </c>
      <c r="S2624" s="88"/>
      <c r="T2624" s="88"/>
      <c r="U2624" s="88"/>
      <c r="V2624" s="88"/>
      <c r="W2624" s="88"/>
    </row>
    <row r="2625" spans="2:23" s="0" customFormat="0" ht="15">
      <c r="B2625" s="87" t="s">
        <v>1</v>
      </c>
      <c r="C2625" s="88" t="s">
        <v>5259</v>
      </c>
      <c r="D2625" s="88" t="s">
        <v>4477</v>
      </c>
      <c r="E2625" s="88" t="s">
        <v>61</v>
      </c>
      <c r="F2625" s="88">
        <v>0</v>
      </c>
      <c r="G2625" s="78">
        <f>MAX(H2625,I2625,J2625)</f>
        <v>0</v>
      </c>
      <c r="H2625" s="88"/>
      <c r="I2625" s="88"/>
      <c r="J2625" s="78">
        <f>MAX(K2625:Q2625)</f>
        <v>0</v>
      </c>
      <c r="K2625" s="88"/>
      <c r="L2625" s="88"/>
      <c r="M2625" s="88"/>
      <c r="N2625" s="88"/>
      <c r="O2625" s="88"/>
      <c r="P2625" s="88"/>
      <c r="Q2625" s="88"/>
      <c r="R2625" s="78">
        <f>MAX(S2625:W2625)</f>
        <v>1</v>
      </c>
      <c r="S2625" s="88"/>
      <c r="T2625" s="88"/>
      <c r="U2625" s="88">
        <v>1</v>
      </c>
      <c r="V2625" s="88"/>
      <c r="W2625" s="88"/>
    </row>
    <row r="2626" spans="2:23" s="0" customFormat="0" ht="15">
      <c r="B2626" s="87" t="s">
        <v>1</v>
      </c>
      <c r="C2626" s="88" t="s">
        <v>5259</v>
      </c>
      <c r="D2626" s="88" t="s">
        <v>851</v>
      </c>
      <c r="E2626" s="88" t="s">
        <v>61</v>
      </c>
      <c r="F2626" s="88">
        <v>0</v>
      </c>
      <c r="G2626" s="78">
        <f>MAX(H2626,I2626,J2626)</f>
        <v>1</v>
      </c>
      <c r="H2626" s="88"/>
      <c r="I2626" s="88"/>
      <c r="J2626" s="78">
        <f>MAX(K2626:Q2626)</f>
        <v>1</v>
      </c>
      <c r="K2626" s="88">
        <v>1</v>
      </c>
      <c r="L2626" s="88"/>
      <c r="M2626" s="88"/>
      <c r="N2626" s="88"/>
      <c r="O2626" s="88"/>
      <c r="P2626" s="88"/>
      <c r="Q2626" s="88"/>
      <c r="R2626" s="78">
        <f>MAX(S2626:W2626)</f>
        <v>0</v>
      </c>
      <c r="S2626" s="88"/>
      <c r="T2626" s="88"/>
      <c r="U2626" s="88"/>
      <c r="V2626" s="88"/>
      <c r="W2626" s="88"/>
    </row>
    <row r="2627" spans="2:23" s="0" customFormat="0" ht="15">
      <c r="B2627" s="87" t="s">
        <v>1</v>
      </c>
      <c r="C2627" s="88" t="s">
        <v>5259</v>
      </c>
      <c r="D2627" s="88">
        <v>8584154</v>
      </c>
      <c r="E2627" s="88" t="s">
        <v>61</v>
      </c>
      <c r="F2627" s="88">
        <v>0</v>
      </c>
      <c r="G2627" s="78">
        <f>MAX(H2627,I2627,J2627)</f>
        <v>1</v>
      </c>
      <c r="H2627" s="88"/>
      <c r="I2627" s="88"/>
      <c r="J2627" s="78">
        <f>MAX(K2627:Q2627)</f>
        <v>1</v>
      </c>
      <c r="K2627" s="88">
        <v>1</v>
      </c>
      <c r="L2627" s="88"/>
      <c r="M2627" s="88"/>
      <c r="N2627" s="88"/>
      <c r="O2627" s="88"/>
      <c r="P2627" s="88"/>
      <c r="Q2627" s="88"/>
      <c r="R2627" s="78">
        <f>MAX(S2627:W2627)</f>
        <v>0</v>
      </c>
      <c r="S2627" s="88"/>
      <c r="T2627" s="88"/>
      <c r="U2627" s="88"/>
      <c r="V2627" s="88"/>
      <c r="W2627" s="88"/>
    </row>
    <row r="2628" spans="2:23" s="0" customFormat="0" ht="15">
      <c r="B2628" s="87" t="s">
        <v>1</v>
      </c>
      <c r="C2628" s="88" t="s">
        <v>5259</v>
      </c>
      <c r="D2628" s="88" t="s">
        <v>3729</v>
      </c>
      <c r="E2628" s="88" t="s">
        <v>61</v>
      </c>
      <c r="F2628" s="88">
        <v>0</v>
      </c>
      <c r="G2628" s="78">
        <f>MAX(H2628,I2628,J2628)</f>
        <v>0</v>
      </c>
      <c r="H2628" s="88"/>
      <c r="I2628" s="88"/>
      <c r="J2628" s="78">
        <f>MAX(K2628:Q2628)</f>
        <v>0</v>
      </c>
      <c r="K2628" s="88"/>
      <c r="L2628" s="88"/>
      <c r="M2628" s="88"/>
      <c r="N2628" s="88"/>
      <c r="O2628" s="88"/>
      <c r="P2628" s="88"/>
      <c r="Q2628" s="88"/>
      <c r="R2628" s="78">
        <f>MAX(S2628:W2628)</f>
        <v>1</v>
      </c>
      <c r="S2628" s="88"/>
      <c r="T2628" s="88"/>
      <c r="U2628" s="88">
        <v>1</v>
      </c>
      <c r="V2628" s="88"/>
      <c r="W2628" s="88"/>
    </row>
    <row r="2629" spans="2:23" s="0" customFormat="0" ht="15">
      <c r="B2629" s="87" t="s">
        <v>1</v>
      </c>
      <c r="C2629" s="88" t="s">
        <v>5259</v>
      </c>
      <c r="D2629" s="88">
        <v>17776713</v>
      </c>
      <c r="E2629" s="88" t="s">
        <v>61</v>
      </c>
      <c r="F2629" s="88">
        <v>0</v>
      </c>
      <c r="G2629" s="78">
        <f>MAX(H2629,I2629,J2629)</f>
        <v>1</v>
      </c>
      <c r="H2629" s="88"/>
      <c r="I2629" s="88"/>
      <c r="J2629" s="78">
        <f>MAX(K2629:Q2629)</f>
        <v>1</v>
      </c>
      <c r="K2629" s="88">
        <v>1</v>
      </c>
      <c r="L2629" s="88"/>
      <c r="M2629" s="88"/>
      <c r="N2629" s="88"/>
      <c r="O2629" s="88"/>
      <c r="P2629" s="88"/>
      <c r="Q2629" s="88"/>
      <c r="R2629" s="78">
        <f>MAX(S2629:W2629)</f>
        <v>0</v>
      </c>
      <c r="S2629" s="88"/>
      <c r="T2629" s="88"/>
      <c r="U2629" s="88"/>
      <c r="V2629" s="88"/>
      <c r="W2629" s="88"/>
    </row>
    <row r="2630" spans="2:23" s="0" customFormat="0" ht="15">
      <c r="B2630" s="87" t="s">
        <v>1</v>
      </c>
      <c r="C2630" s="88" t="s">
        <v>5259</v>
      </c>
      <c r="D2630" s="88" t="s">
        <v>1782</v>
      </c>
      <c r="E2630" s="88" t="s">
        <v>61</v>
      </c>
      <c r="F2630" s="88">
        <v>0</v>
      </c>
      <c r="G2630" s="78">
        <f>MAX(H2630,I2630,J2630)</f>
        <v>1</v>
      </c>
      <c r="H2630" s="88"/>
      <c r="I2630" s="88"/>
      <c r="J2630" s="78">
        <f>MAX(K2630:Q2630)</f>
        <v>1</v>
      </c>
      <c r="K2630" s="88">
        <v>1</v>
      </c>
      <c r="L2630" s="88"/>
      <c r="M2630" s="88"/>
      <c r="N2630" s="88"/>
      <c r="O2630" s="88"/>
      <c r="P2630" s="88"/>
      <c r="Q2630" s="88"/>
      <c r="R2630" s="78">
        <f>MAX(S2630:W2630)</f>
        <v>0</v>
      </c>
      <c r="S2630" s="88"/>
      <c r="T2630" s="88"/>
      <c r="U2630" s="88"/>
      <c r="V2630" s="88"/>
      <c r="W2630" s="88"/>
    </row>
    <row r="2631" spans="2:23" s="0" customFormat="0" ht="15">
      <c r="B2631" s="87" t="s">
        <v>1</v>
      </c>
      <c r="C2631" s="88" t="s">
        <v>5259</v>
      </c>
      <c r="D2631" s="88">
        <v>15124171</v>
      </c>
      <c r="E2631" s="88" t="s">
        <v>61</v>
      </c>
      <c r="F2631" s="88">
        <v>0</v>
      </c>
      <c r="G2631" s="78">
        <f>MAX(H2631,I2631,J2631)</f>
        <v>1</v>
      </c>
      <c r="H2631" s="88"/>
      <c r="I2631" s="88"/>
      <c r="J2631" s="78">
        <f>MAX(K2631:Q2631)</f>
        <v>1</v>
      </c>
      <c r="K2631" s="88">
        <v>1</v>
      </c>
      <c r="L2631" s="88"/>
      <c r="M2631" s="88"/>
      <c r="N2631" s="88"/>
      <c r="O2631" s="88"/>
      <c r="P2631" s="88"/>
      <c r="Q2631" s="88"/>
      <c r="R2631" s="78">
        <f>MAX(S2631:W2631)</f>
        <v>0</v>
      </c>
      <c r="S2631" s="88"/>
      <c r="T2631" s="88"/>
      <c r="U2631" s="88"/>
      <c r="V2631" s="88"/>
      <c r="W2631" s="88"/>
    </row>
    <row r="2632" spans="2:23" s="0" customFormat="0" ht="15">
      <c r="B2632" s="87" t="s">
        <v>1</v>
      </c>
      <c r="C2632" s="88" t="s">
        <v>5259</v>
      </c>
      <c r="D2632" s="88" t="s">
        <v>1870</v>
      </c>
      <c r="E2632" s="88" t="s">
        <v>61</v>
      </c>
      <c r="F2632" s="88">
        <v>0</v>
      </c>
      <c r="G2632" s="78">
        <f>MAX(H2632,I2632,J2632)</f>
        <v>1</v>
      </c>
      <c r="H2632" s="88"/>
      <c r="I2632" s="88"/>
      <c r="J2632" s="78">
        <f>MAX(K2632:Q2632)</f>
        <v>1</v>
      </c>
      <c r="K2632" s="88">
        <v>1</v>
      </c>
      <c r="L2632" s="88"/>
      <c r="M2632" s="88"/>
      <c r="N2632" s="88"/>
      <c r="O2632" s="88"/>
      <c r="P2632" s="88"/>
      <c r="Q2632" s="88"/>
      <c r="R2632" s="78">
        <f>MAX(S2632:W2632)</f>
        <v>0</v>
      </c>
      <c r="S2632" s="88"/>
      <c r="T2632" s="88"/>
      <c r="U2632" s="88"/>
      <c r="V2632" s="88"/>
      <c r="W2632" s="88"/>
    </row>
    <row r="2633" spans="2:23" s="0" customFormat="0" ht="15">
      <c r="B2633" s="87" t="s">
        <v>1</v>
      </c>
      <c r="C2633" s="88" t="s">
        <v>5259</v>
      </c>
      <c r="D2633" s="88">
        <v>19149584</v>
      </c>
      <c r="E2633" s="88" t="s">
        <v>61</v>
      </c>
      <c r="F2633" s="88">
        <v>0</v>
      </c>
      <c r="G2633" s="78">
        <f>MAX(H2633,I2633,J2633)</f>
        <v>1</v>
      </c>
      <c r="H2633" s="88"/>
      <c r="I2633" s="88"/>
      <c r="J2633" s="78">
        <f>MAX(K2633:Q2633)</f>
        <v>1</v>
      </c>
      <c r="K2633" s="88">
        <v>1</v>
      </c>
      <c r="L2633" s="88"/>
      <c r="M2633" s="88"/>
      <c r="N2633" s="88"/>
      <c r="O2633" s="88"/>
      <c r="P2633" s="88"/>
      <c r="Q2633" s="88"/>
      <c r="R2633" s="78">
        <f>MAX(S2633:W2633)</f>
        <v>0</v>
      </c>
      <c r="S2633" s="88"/>
      <c r="T2633" s="88"/>
      <c r="U2633" s="88"/>
      <c r="V2633" s="88"/>
      <c r="W2633" s="88"/>
    </row>
    <row r="2634" spans="2:23" s="0" customFormat="0" ht="15">
      <c r="B2634" s="87" t="s">
        <v>1</v>
      </c>
      <c r="C2634" s="88" t="s">
        <v>5259</v>
      </c>
      <c r="D2634" s="88">
        <v>23162552</v>
      </c>
      <c r="E2634" s="88" t="s">
        <v>61</v>
      </c>
      <c r="F2634" s="88">
        <v>0</v>
      </c>
      <c r="G2634" s="78">
        <f>MAX(H2634,I2634,J2634)</f>
        <v>1</v>
      </c>
      <c r="H2634" s="88"/>
      <c r="I2634" s="88"/>
      <c r="J2634" s="78">
        <f>MAX(K2634:Q2634)</f>
        <v>1</v>
      </c>
      <c r="K2634" s="88">
        <v>1</v>
      </c>
      <c r="L2634" s="88"/>
      <c r="M2634" s="88"/>
      <c r="N2634" s="88"/>
      <c r="O2634" s="88"/>
      <c r="P2634" s="88"/>
      <c r="Q2634" s="88"/>
      <c r="R2634" s="78">
        <f>MAX(S2634:W2634)</f>
        <v>0</v>
      </c>
      <c r="S2634" s="88"/>
      <c r="T2634" s="88"/>
      <c r="U2634" s="88"/>
      <c r="V2634" s="88"/>
      <c r="W2634" s="88"/>
    </row>
    <row r="2635" spans="2:23" s="0" customFormat="0" ht="15">
      <c r="B2635" s="87" t="s">
        <v>1</v>
      </c>
      <c r="C2635" s="88" t="s">
        <v>5259</v>
      </c>
      <c r="D2635" s="88">
        <v>22213236</v>
      </c>
      <c r="E2635" s="88" t="s">
        <v>61</v>
      </c>
      <c r="F2635" s="88">
        <v>0</v>
      </c>
      <c r="G2635" s="78">
        <f>MAX(H2635,I2635,J2635)</f>
        <v>1</v>
      </c>
      <c r="H2635" s="88"/>
      <c r="I2635" s="88"/>
      <c r="J2635" s="78">
        <f>MAX(K2635:Q2635)</f>
        <v>1</v>
      </c>
      <c r="K2635" s="88">
        <v>1</v>
      </c>
      <c r="L2635" s="88"/>
      <c r="M2635" s="88"/>
      <c r="N2635" s="88"/>
      <c r="O2635" s="88"/>
      <c r="P2635" s="88"/>
      <c r="Q2635" s="88"/>
      <c r="R2635" s="78">
        <f>MAX(S2635:W2635)</f>
        <v>0</v>
      </c>
      <c r="S2635" s="88"/>
      <c r="T2635" s="88"/>
      <c r="U2635" s="88"/>
      <c r="V2635" s="88"/>
      <c r="W2635" s="88"/>
    </row>
    <row r="2636" spans="2:23" s="0" customFormat="0" ht="15">
      <c r="B2636" s="87" t="s">
        <v>1</v>
      </c>
      <c r="C2636" s="88" t="s">
        <v>5259</v>
      </c>
      <c r="D2636" s="88" t="s">
        <v>1874</v>
      </c>
      <c r="E2636" s="88" t="s">
        <v>61</v>
      </c>
      <c r="F2636" s="88">
        <v>0</v>
      </c>
      <c r="G2636" s="78">
        <f>MAX(H2636,I2636,J2636)</f>
        <v>1</v>
      </c>
      <c r="H2636" s="88"/>
      <c r="I2636" s="88"/>
      <c r="J2636" s="78">
        <f>MAX(K2636:Q2636)</f>
        <v>1</v>
      </c>
      <c r="K2636" s="88">
        <v>1</v>
      </c>
      <c r="L2636" s="88"/>
      <c r="M2636" s="88"/>
      <c r="N2636" s="88"/>
      <c r="O2636" s="88"/>
      <c r="P2636" s="88"/>
      <c r="Q2636" s="88"/>
      <c r="R2636" s="78">
        <f>MAX(S2636:W2636)</f>
        <v>0</v>
      </c>
      <c r="S2636" s="88"/>
      <c r="T2636" s="88"/>
      <c r="U2636" s="88"/>
      <c r="V2636" s="88"/>
      <c r="W2636" s="88"/>
    </row>
    <row r="2637" spans="2:23" s="0" customFormat="0" ht="15">
      <c r="B2637" s="87" t="s">
        <v>1</v>
      </c>
      <c r="C2637" s="88" t="s">
        <v>5259</v>
      </c>
      <c r="D2637" s="88">
        <v>22827428</v>
      </c>
      <c r="E2637" s="88" t="s">
        <v>61</v>
      </c>
      <c r="F2637" s="88">
        <v>0</v>
      </c>
      <c r="G2637" s="78">
        <f>MAX(H2637,I2637,J2637)</f>
        <v>1</v>
      </c>
      <c r="H2637" s="88"/>
      <c r="I2637" s="88"/>
      <c r="J2637" s="78">
        <f>MAX(K2637:Q2637)</f>
        <v>1</v>
      </c>
      <c r="K2637" s="88">
        <v>1</v>
      </c>
      <c r="L2637" s="88"/>
      <c r="M2637" s="88"/>
      <c r="N2637" s="88"/>
      <c r="O2637" s="88"/>
      <c r="P2637" s="88"/>
      <c r="Q2637" s="88"/>
      <c r="R2637" s="78">
        <f>MAX(S2637:W2637)</f>
        <v>0</v>
      </c>
      <c r="S2637" s="88"/>
      <c r="T2637" s="88"/>
      <c r="U2637" s="88"/>
      <c r="V2637" s="88"/>
      <c r="W2637" s="88"/>
    </row>
    <row r="2638" spans="2:23" s="0" customFormat="0" ht="15">
      <c r="B2638" s="87" t="s">
        <v>1</v>
      </c>
      <c r="C2638" s="88" t="s">
        <v>5259</v>
      </c>
      <c r="D2638" s="88" t="s">
        <v>3248</v>
      </c>
      <c r="E2638" s="88" t="s">
        <v>61</v>
      </c>
      <c r="F2638" s="88">
        <v>0</v>
      </c>
      <c r="G2638" s="78">
        <f>MAX(H2638,I2638,J2638)</f>
        <v>0</v>
      </c>
      <c r="H2638" s="88"/>
      <c r="I2638" s="88"/>
      <c r="J2638" s="78">
        <f>MAX(K2638:Q2638)</f>
        <v>0</v>
      </c>
      <c r="K2638" s="88"/>
      <c r="L2638" s="88"/>
      <c r="M2638" s="88"/>
      <c r="N2638" s="88"/>
      <c r="O2638" s="88"/>
      <c r="P2638" s="88"/>
      <c r="Q2638" s="88"/>
      <c r="R2638" s="78">
        <f>MAX(S2638:W2638)</f>
        <v>1</v>
      </c>
      <c r="S2638" s="88"/>
      <c r="T2638" s="88"/>
      <c r="U2638" s="88"/>
      <c r="V2638" s="88">
        <v>1</v>
      </c>
      <c r="W2638" s="88"/>
    </row>
    <row r="2639" spans="2:23" s="0" customFormat="0" ht="15">
      <c r="B2639" s="87" t="s">
        <v>1</v>
      </c>
      <c r="C2639" s="88" t="s">
        <v>5259</v>
      </c>
      <c r="D2639" s="88" t="s">
        <v>4479</v>
      </c>
      <c r="E2639" s="88" t="s">
        <v>61</v>
      </c>
      <c r="F2639" s="88">
        <v>0</v>
      </c>
      <c r="G2639" s="78">
        <f>MAX(H2639,I2639,J2639)</f>
        <v>0</v>
      </c>
      <c r="H2639" s="88"/>
      <c r="I2639" s="88"/>
      <c r="J2639" s="78">
        <f>MAX(K2639:Q2639)</f>
        <v>0</v>
      </c>
      <c r="K2639" s="88"/>
      <c r="L2639" s="88"/>
      <c r="M2639" s="88"/>
      <c r="N2639" s="88"/>
      <c r="O2639" s="88"/>
      <c r="P2639" s="88"/>
      <c r="Q2639" s="88"/>
      <c r="R2639" s="78">
        <f>MAX(S2639:W2639)</f>
        <v>1</v>
      </c>
      <c r="S2639" s="88"/>
      <c r="T2639" s="88"/>
      <c r="U2639" s="88">
        <v>1</v>
      </c>
      <c r="V2639" s="88"/>
      <c r="W2639" s="88"/>
    </row>
    <row r="2640" spans="2:23" s="0" customFormat="0" ht="15">
      <c r="B2640" s="87" t="s">
        <v>1</v>
      </c>
      <c r="C2640" s="88" t="s">
        <v>5259</v>
      </c>
      <c r="D2640" s="88">
        <v>16642340</v>
      </c>
      <c r="E2640" s="88" t="s">
        <v>61</v>
      </c>
      <c r="F2640" s="88">
        <v>0</v>
      </c>
      <c r="G2640" s="78">
        <f>MAX(H2640,I2640,J2640)</f>
        <v>1</v>
      </c>
      <c r="H2640" s="88"/>
      <c r="I2640" s="88"/>
      <c r="J2640" s="78">
        <f>MAX(K2640:Q2640)</f>
        <v>1</v>
      </c>
      <c r="K2640" s="88">
        <v>1</v>
      </c>
      <c r="L2640" s="88"/>
      <c r="M2640" s="88"/>
      <c r="N2640" s="88"/>
      <c r="O2640" s="88"/>
      <c r="P2640" s="88"/>
      <c r="Q2640" s="88"/>
      <c r="R2640" s="78">
        <f>MAX(S2640:W2640)</f>
        <v>0</v>
      </c>
      <c r="S2640" s="88"/>
      <c r="T2640" s="88"/>
      <c r="U2640" s="88"/>
      <c r="V2640" s="88"/>
      <c r="W2640" s="88"/>
    </row>
    <row r="2641" spans="2:23" s="0" customFormat="0" ht="15">
      <c r="B2641" s="87" t="s">
        <v>1</v>
      </c>
      <c r="C2641" s="88" t="s">
        <v>5259</v>
      </c>
      <c r="D2641" s="88" t="s">
        <v>4481</v>
      </c>
      <c r="E2641" s="88" t="s">
        <v>61</v>
      </c>
      <c r="F2641" s="88">
        <v>0</v>
      </c>
      <c r="G2641" s="78">
        <f>MAX(H2641,I2641,J2641)</f>
        <v>0</v>
      </c>
      <c r="H2641" s="88"/>
      <c r="I2641" s="88"/>
      <c r="J2641" s="78">
        <f>MAX(K2641:Q2641)</f>
        <v>0</v>
      </c>
      <c r="K2641" s="88"/>
      <c r="L2641" s="88"/>
      <c r="M2641" s="88"/>
      <c r="N2641" s="88"/>
      <c r="O2641" s="88"/>
      <c r="P2641" s="88"/>
      <c r="Q2641" s="88"/>
      <c r="R2641" s="78">
        <f>MAX(S2641:W2641)</f>
        <v>1</v>
      </c>
      <c r="S2641" s="88"/>
      <c r="T2641" s="88"/>
      <c r="U2641" s="88">
        <v>1</v>
      </c>
      <c r="V2641" s="88"/>
      <c r="W2641" s="88"/>
    </row>
    <row r="2642" spans="2:23" s="0" customFormat="0" ht="15">
      <c r="B2642" s="87" t="s">
        <v>1</v>
      </c>
      <c r="C2642" s="88" t="s">
        <v>5259</v>
      </c>
      <c r="D2642" s="88">
        <v>6429885</v>
      </c>
      <c r="E2642" s="88" t="s">
        <v>61</v>
      </c>
      <c r="F2642" s="88">
        <v>0</v>
      </c>
      <c r="G2642" s="78">
        <f>MAX(H2642,I2642,J2642)</f>
        <v>0</v>
      </c>
      <c r="H2642" s="88"/>
      <c r="I2642" s="88"/>
      <c r="J2642" s="78">
        <f>MAX(K2642:Q2642)</f>
        <v>0</v>
      </c>
      <c r="K2642" s="88"/>
      <c r="L2642" s="88"/>
      <c r="M2642" s="88"/>
      <c r="N2642" s="88"/>
      <c r="O2642" s="88"/>
      <c r="P2642" s="88"/>
      <c r="Q2642" s="88"/>
      <c r="R2642" s="78">
        <f>MAX(S2642:W2642)</f>
        <v>1</v>
      </c>
      <c r="S2642" s="88"/>
      <c r="T2642" s="88"/>
      <c r="U2642" s="88">
        <v>1</v>
      </c>
      <c r="V2642" s="88"/>
      <c r="W2642" s="88"/>
    </row>
    <row r="2643" spans="2:23" s="0" customFormat="0" ht="15">
      <c r="B2643" s="87" t="s">
        <v>1</v>
      </c>
      <c r="C2643" s="88" t="s">
        <v>5259</v>
      </c>
      <c r="D2643" s="88">
        <v>19714559</v>
      </c>
      <c r="E2643" s="88" t="s">
        <v>61</v>
      </c>
      <c r="F2643" s="88">
        <v>0</v>
      </c>
      <c r="G2643" s="78">
        <f>MAX(H2643,I2643,J2643)</f>
        <v>1</v>
      </c>
      <c r="H2643" s="88"/>
      <c r="I2643" s="88"/>
      <c r="J2643" s="78">
        <f>MAX(K2643:Q2643)</f>
        <v>1</v>
      </c>
      <c r="K2643" s="88">
        <v>1</v>
      </c>
      <c r="L2643" s="88"/>
      <c r="M2643" s="88"/>
      <c r="N2643" s="88"/>
      <c r="O2643" s="88"/>
      <c r="P2643" s="88"/>
      <c r="Q2643" s="88"/>
      <c r="R2643" s="78">
        <f>MAX(S2643:W2643)</f>
        <v>0</v>
      </c>
      <c r="S2643" s="88"/>
      <c r="T2643" s="88"/>
      <c r="U2643" s="88"/>
      <c r="V2643" s="88"/>
      <c r="W2643" s="88"/>
    </row>
    <row r="2644" spans="2:23" s="0" customFormat="0" ht="15">
      <c r="B2644" s="87" t="s">
        <v>1</v>
      </c>
      <c r="C2644" s="88" t="s">
        <v>5259</v>
      </c>
      <c r="D2644" s="88" t="s">
        <v>4483</v>
      </c>
      <c r="E2644" s="88" t="s">
        <v>61</v>
      </c>
      <c r="F2644" s="88">
        <v>0</v>
      </c>
      <c r="G2644" s="78">
        <f>MAX(H2644,I2644,J2644)</f>
        <v>0</v>
      </c>
      <c r="H2644" s="88"/>
      <c r="I2644" s="88"/>
      <c r="J2644" s="78">
        <f>MAX(K2644:Q2644)</f>
        <v>0</v>
      </c>
      <c r="K2644" s="88"/>
      <c r="L2644" s="88"/>
      <c r="M2644" s="88"/>
      <c r="N2644" s="88"/>
      <c r="O2644" s="88"/>
      <c r="P2644" s="88"/>
      <c r="Q2644" s="88"/>
      <c r="R2644" s="78">
        <f>MAX(S2644:W2644)</f>
        <v>1</v>
      </c>
      <c r="S2644" s="88"/>
      <c r="T2644" s="88"/>
      <c r="U2644" s="88">
        <v>1</v>
      </c>
      <c r="V2644" s="88"/>
      <c r="W2644" s="88"/>
    </row>
    <row r="2645" spans="2:23" s="0" customFormat="0" ht="15">
      <c r="B2645" s="87" t="s">
        <v>1</v>
      </c>
      <c r="C2645" s="88" t="s">
        <v>5259</v>
      </c>
      <c r="D2645" s="88">
        <v>22554335</v>
      </c>
      <c r="E2645" s="88" t="s">
        <v>61</v>
      </c>
      <c r="F2645" s="88">
        <v>0</v>
      </c>
      <c r="G2645" s="78">
        <f>MAX(H2645,I2645,J2645)</f>
        <v>0</v>
      </c>
      <c r="H2645" s="88"/>
      <c r="I2645" s="88"/>
      <c r="J2645" s="78">
        <f>MAX(K2645:Q2645)</f>
        <v>0</v>
      </c>
      <c r="K2645" s="88"/>
      <c r="L2645" s="88"/>
      <c r="M2645" s="88"/>
      <c r="N2645" s="88"/>
      <c r="O2645" s="88"/>
      <c r="P2645" s="88"/>
      <c r="Q2645" s="88"/>
      <c r="R2645" s="78">
        <f>MAX(S2645:W2645)</f>
        <v>1</v>
      </c>
      <c r="S2645" s="88"/>
      <c r="T2645" s="88"/>
      <c r="U2645" s="88">
        <v>1</v>
      </c>
      <c r="V2645" s="88"/>
      <c r="W2645" s="88"/>
    </row>
    <row r="2646" spans="2:23" s="0" customFormat="0" ht="15">
      <c r="B2646" s="87" t="s">
        <v>1</v>
      </c>
      <c r="C2646" s="88" t="s">
        <v>5259</v>
      </c>
      <c r="D2646" s="88">
        <v>11821209</v>
      </c>
      <c r="E2646" s="88" t="s">
        <v>61</v>
      </c>
      <c r="F2646" s="88">
        <v>0</v>
      </c>
      <c r="G2646" s="78">
        <f>MAX(H2646,I2646,J2646)</f>
        <v>1</v>
      </c>
      <c r="H2646" s="88"/>
      <c r="I2646" s="88"/>
      <c r="J2646" s="78">
        <f>MAX(K2646:Q2646)</f>
        <v>1</v>
      </c>
      <c r="K2646" s="88">
        <v>1</v>
      </c>
      <c r="L2646" s="88"/>
      <c r="M2646" s="88"/>
      <c r="N2646" s="88"/>
      <c r="O2646" s="88"/>
      <c r="P2646" s="88"/>
      <c r="Q2646" s="88"/>
      <c r="R2646" s="78">
        <f>MAX(S2646:W2646)</f>
        <v>0</v>
      </c>
      <c r="S2646" s="88"/>
      <c r="T2646" s="88"/>
      <c r="U2646" s="88"/>
      <c r="V2646" s="88"/>
      <c r="W2646" s="88"/>
    </row>
    <row r="2647" spans="2:23" s="0" customFormat="0" ht="15">
      <c r="B2647" s="87" t="s">
        <v>1</v>
      </c>
      <c r="C2647" s="88" t="s">
        <v>5259</v>
      </c>
      <c r="D2647" s="88" t="s">
        <v>498</v>
      </c>
      <c r="E2647" s="88" t="s">
        <v>61</v>
      </c>
      <c r="F2647" s="88">
        <v>0</v>
      </c>
      <c r="G2647" s="78">
        <f>MAX(H2647,I2647,J2647)</f>
        <v>1</v>
      </c>
      <c r="H2647" s="88"/>
      <c r="I2647" s="88"/>
      <c r="J2647" s="78">
        <f>MAX(K2647:Q2647)</f>
        <v>1</v>
      </c>
      <c r="K2647" s="88">
        <v>1</v>
      </c>
      <c r="L2647" s="88"/>
      <c r="M2647" s="88"/>
      <c r="N2647" s="88"/>
      <c r="O2647" s="88"/>
      <c r="P2647" s="88"/>
      <c r="Q2647" s="88"/>
      <c r="R2647" s="78">
        <f>MAX(S2647:W2647)</f>
        <v>0</v>
      </c>
      <c r="S2647" s="88"/>
      <c r="T2647" s="88"/>
      <c r="U2647" s="88"/>
      <c r="V2647" s="88"/>
      <c r="W2647" s="88"/>
    </row>
    <row r="2648" spans="2:23" s="0" customFormat="0" ht="15">
      <c r="B2648" s="87" t="s">
        <v>1</v>
      </c>
      <c r="C2648" s="88" t="s">
        <v>5259</v>
      </c>
      <c r="D2648" s="88" t="s">
        <v>4429</v>
      </c>
      <c r="E2648" s="88" t="s">
        <v>61</v>
      </c>
      <c r="F2648" s="88">
        <v>0</v>
      </c>
      <c r="G2648" s="78">
        <f>MAX(H2648,I2648,J2648)</f>
        <v>0</v>
      </c>
      <c r="H2648" s="88"/>
      <c r="I2648" s="88"/>
      <c r="J2648" s="78">
        <f>MAX(K2648:Q2648)</f>
        <v>0</v>
      </c>
      <c r="K2648" s="88"/>
      <c r="L2648" s="88"/>
      <c r="M2648" s="88"/>
      <c r="N2648" s="88"/>
      <c r="O2648" s="88"/>
      <c r="P2648" s="88"/>
      <c r="Q2648" s="88"/>
      <c r="R2648" s="78">
        <f>MAX(S2648:W2648)</f>
        <v>1</v>
      </c>
      <c r="S2648" s="88"/>
      <c r="T2648" s="88"/>
      <c r="U2648" s="88">
        <v>1</v>
      </c>
      <c r="V2648" s="88"/>
      <c r="W2648" s="88"/>
    </row>
    <row r="2649" spans="2:23" s="0" customFormat="0" ht="15">
      <c r="B2649" s="87" t="s">
        <v>1</v>
      </c>
      <c r="C2649" s="88" t="s">
        <v>5259</v>
      </c>
      <c r="D2649" s="88">
        <v>13488998</v>
      </c>
      <c r="E2649" s="88" t="s">
        <v>61</v>
      </c>
      <c r="F2649" s="88">
        <v>0</v>
      </c>
      <c r="G2649" s="78">
        <f>MAX(H2649,I2649,J2649)</f>
        <v>1</v>
      </c>
      <c r="H2649" s="88"/>
      <c r="I2649" s="88"/>
      <c r="J2649" s="78">
        <f>MAX(K2649:Q2649)</f>
        <v>1</v>
      </c>
      <c r="K2649" s="88">
        <v>1</v>
      </c>
      <c r="L2649" s="88"/>
      <c r="M2649" s="88"/>
      <c r="N2649" s="88"/>
      <c r="O2649" s="88"/>
      <c r="P2649" s="88"/>
      <c r="Q2649" s="88"/>
      <c r="R2649" s="78">
        <f>MAX(S2649:W2649)</f>
        <v>0</v>
      </c>
      <c r="S2649" s="88"/>
      <c r="T2649" s="88"/>
      <c r="U2649" s="88"/>
      <c r="V2649" s="88"/>
      <c r="W2649" s="88"/>
    </row>
    <row r="2650" spans="2:23" s="0" customFormat="0" ht="15">
      <c r="B2650" s="87" t="s">
        <v>1</v>
      </c>
      <c r="C2650" s="88" t="s">
        <v>5259</v>
      </c>
      <c r="D2650" s="88">
        <v>19005970</v>
      </c>
      <c r="E2650" s="88" t="s">
        <v>61</v>
      </c>
      <c r="F2650" s="88">
        <v>0</v>
      </c>
      <c r="G2650" s="78">
        <f>MAX(H2650,I2650,J2650)</f>
        <v>1</v>
      </c>
      <c r="H2650" s="88"/>
      <c r="I2650" s="88"/>
      <c r="J2650" s="78">
        <f>MAX(K2650:Q2650)</f>
        <v>1</v>
      </c>
      <c r="K2650" s="88">
        <v>1</v>
      </c>
      <c r="L2650" s="88"/>
      <c r="M2650" s="88"/>
      <c r="N2650" s="88"/>
      <c r="O2650" s="88"/>
      <c r="P2650" s="88"/>
      <c r="Q2650" s="88"/>
      <c r="R2650" s="78">
        <f>MAX(S2650:W2650)</f>
        <v>0</v>
      </c>
      <c r="S2650" s="88"/>
      <c r="T2650" s="88"/>
      <c r="U2650" s="88"/>
      <c r="V2650" s="88"/>
      <c r="W2650" s="88"/>
    </row>
    <row r="2651" spans="2:23" s="0" customFormat="0" ht="15">
      <c r="B2651" s="87" t="s">
        <v>1</v>
      </c>
      <c r="C2651" s="88" t="s">
        <v>5259</v>
      </c>
      <c r="D2651" s="88">
        <v>23415378</v>
      </c>
      <c r="E2651" s="88" t="s">
        <v>61</v>
      </c>
      <c r="F2651" s="88">
        <v>0</v>
      </c>
      <c r="G2651" s="78">
        <f>MAX(H2651,I2651,J2651)</f>
        <v>1</v>
      </c>
      <c r="H2651" s="88"/>
      <c r="I2651" s="88"/>
      <c r="J2651" s="78">
        <f>MAX(K2651:Q2651)</f>
        <v>1</v>
      </c>
      <c r="K2651" s="88">
        <v>1</v>
      </c>
      <c r="L2651" s="88"/>
      <c r="M2651" s="88"/>
      <c r="N2651" s="88"/>
      <c r="O2651" s="88"/>
      <c r="P2651" s="88"/>
      <c r="Q2651" s="88"/>
      <c r="R2651" s="78">
        <f>MAX(S2651:W2651)</f>
        <v>0</v>
      </c>
      <c r="S2651" s="88"/>
      <c r="T2651" s="88"/>
      <c r="U2651" s="88"/>
      <c r="V2651" s="88"/>
      <c r="W2651" s="88"/>
    </row>
    <row r="2652" spans="2:23" s="0" customFormat="0" ht="15">
      <c r="B2652" s="87" t="s">
        <v>1</v>
      </c>
      <c r="C2652" s="88" t="s">
        <v>5259</v>
      </c>
      <c r="D2652" s="88" t="s">
        <v>1344</v>
      </c>
      <c r="E2652" s="88" t="s">
        <v>61</v>
      </c>
      <c r="F2652" s="88">
        <v>0</v>
      </c>
      <c r="G2652" s="78">
        <f>MAX(H2652,I2652,J2652)</f>
        <v>1</v>
      </c>
      <c r="H2652" s="88"/>
      <c r="I2652" s="88"/>
      <c r="J2652" s="78">
        <f>MAX(K2652:Q2652)</f>
        <v>1</v>
      </c>
      <c r="K2652" s="88">
        <v>1</v>
      </c>
      <c r="L2652" s="88"/>
      <c r="M2652" s="88"/>
      <c r="N2652" s="88"/>
      <c r="O2652" s="88"/>
      <c r="P2652" s="88"/>
      <c r="Q2652" s="88"/>
      <c r="R2652" s="78">
        <f>MAX(S2652:W2652)</f>
        <v>0</v>
      </c>
      <c r="S2652" s="88"/>
      <c r="T2652" s="88"/>
      <c r="U2652" s="88"/>
      <c r="V2652" s="88"/>
      <c r="W2652" s="88"/>
    </row>
    <row r="2653" spans="2:23" s="0" customFormat="0" ht="15">
      <c r="B2653" s="87" t="s">
        <v>1</v>
      </c>
      <c r="C2653" s="88" t="s">
        <v>5259</v>
      </c>
      <c r="D2653" s="88">
        <v>21565411</v>
      </c>
      <c r="E2653" s="88" t="s">
        <v>61</v>
      </c>
      <c r="F2653" s="88">
        <v>0</v>
      </c>
      <c r="G2653" s="78">
        <f>MAX(H2653,I2653,J2653)</f>
        <v>1</v>
      </c>
      <c r="H2653" s="88"/>
      <c r="I2653" s="88"/>
      <c r="J2653" s="78">
        <f>MAX(K2653:Q2653)</f>
        <v>1</v>
      </c>
      <c r="K2653" s="88">
        <v>1</v>
      </c>
      <c r="L2653" s="88"/>
      <c r="M2653" s="88"/>
      <c r="N2653" s="88"/>
      <c r="O2653" s="88"/>
      <c r="P2653" s="88"/>
      <c r="Q2653" s="88"/>
      <c r="R2653" s="78">
        <f>MAX(S2653:W2653)</f>
        <v>0</v>
      </c>
      <c r="S2653" s="88"/>
      <c r="T2653" s="88"/>
      <c r="U2653" s="88"/>
      <c r="V2653" s="88"/>
      <c r="W2653" s="88"/>
    </row>
    <row r="2654" spans="2:23" s="0" customFormat="0" ht="15">
      <c r="B2654" s="87" t="s">
        <v>1</v>
      </c>
      <c r="C2654" s="88" t="s">
        <v>5259</v>
      </c>
      <c r="D2654" s="88" t="s">
        <v>207</v>
      </c>
      <c r="E2654" s="88" t="s">
        <v>61</v>
      </c>
      <c r="F2654" s="88">
        <v>0</v>
      </c>
      <c r="G2654" s="78">
        <f>MAX(H2654,I2654,J2654)</f>
        <v>1</v>
      </c>
      <c r="H2654" s="88"/>
      <c r="I2654" s="88"/>
      <c r="J2654" s="78">
        <f>MAX(K2654:Q2654)</f>
        <v>1</v>
      </c>
      <c r="K2654" s="88">
        <v>1</v>
      </c>
      <c r="L2654" s="88"/>
      <c r="M2654" s="88"/>
      <c r="N2654" s="88"/>
      <c r="O2654" s="88"/>
      <c r="P2654" s="88"/>
      <c r="Q2654" s="88"/>
      <c r="R2654" s="78">
        <f>MAX(S2654:W2654)</f>
        <v>0</v>
      </c>
      <c r="S2654" s="88"/>
      <c r="T2654" s="88"/>
      <c r="U2654" s="88"/>
      <c r="V2654" s="88"/>
      <c r="W2654" s="88"/>
    </row>
    <row r="2655" spans="2:23" s="0" customFormat="0" ht="15">
      <c r="B2655" s="87" t="s">
        <v>1</v>
      </c>
      <c r="C2655" s="88" t="s">
        <v>5259</v>
      </c>
      <c r="D2655" s="88">
        <v>17236825</v>
      </c>
      <c r="E2655" s="88" t="s">
        <v>61</v>
      </c>
      <c r="F2655" s="88">
        <v>0</v>
      </c>
      <c r="G2655" s="78">
        <f>MAX(H2655,I2655,J2655)</f>
        <v>1</v>
      </c>
      <c r="H2655" s="88"/>
      <c r="I2655" s="88"/>
      <c r="J2655" s="78">
        <f>MAX(K2655:Q2655)</f>
        <v>1</v>
      </c>
      <c r="K2655" s="88">
        <v>1</v>
      </c>
      <c r="L2655" s="88"/>
      <c r="M2655" s="88"/>
      <c r="N2655" s="88"/>
      <c r="O2655" s="88"/>
      <c r="P2655" s="88"/>
      <c r="Q2655" s="88"/>
      <c r="R2655" s="78">
        <f>MAX(S2655:W2655)</f>
        <v>0</v>
      </c>
      <c r="S2655" s="88"/>
      <c r="T2655" s="88"/>
      <c r="U2655" s="88"/>
      <c r="V2655" s="88"/>
      <c r="W2655" s="88"/>
    </row>
    <row r="2656" spans="2:23" s="0" customFormat="0" ht="15">
      <c r="B2656" s="87" t="s">
        <v>1</v>
      </c>
      <c r="C2656" s="88" t="s">
        <v>5259</v>
      </c>
      <c r="D2656" s="88" t="s">
        <v>4485</v>
      </c>
      <c r="E2656" s="88" t="s">
        <v>61</v>
      </c>
      <c r="F2656" s="88">
        <v>0</v>
      </c>
      <c r="G2656" s="78">
        <f>MAX(H2656,I2656,J2656)</f>
        <v>0</v>
      </c>
      <c r="H2656" s="88"/>
      <c r="I2656" s="88"/>
      <c r="J2656" s="78">
        <f>MAX(K2656:Q2656)</f>
        <v>0</v>
      </c>
      <c r="K2656" s="88"/>
      <c r="L2656" s="88"/>
      <c r="M2656" s="88"/>
      <c r="N2656" s="88"/>
      <c r="O2656" s="88"/>
      <c r="P2656" s="88"/>
      <c r="Q2656" s="88"/>
      <c r="R2656" s="78">
        <f>MAX(S2656:W2656)</f>
        <v>1</v>
      </c>
      <c r="S2656" s="88"/>
      <c r="T2656" s="88"/>
      <c r="U2656" s="88">
        <v>1</v>
      </c>
      <c r="V2656" s="88"/>
      <c r="W2656" s="88"/>
    </row>
    <row r="2657" spans="2:23" s="0" customFormat="0" ht="15">
      <c r="B2657" s="87" t="s">
        <v>1</v>
      </c>
      <c r="C2657" s="88" t="s">
        <v>5259</v>
      </c>
      <c r="D2657" s="88" t="s">
        <v>4487</v>
      </c>
      <c r="E2657" s="88" t="s">
        <v>61</v>
      </c>
      <c r="F2657" s="88">
        <v>0</v>
      </c>
      <c r="G2657" s="78">
        <f>MAX(H2657,I2657,J2657)</f>
        <v>0</v>
      </c>
      <c r="H2657" s="88"/>
      <c r="I2657" s="88"/>
      <c r="J2657" s="78">
        <f>MAX(K2657:Q2657)</f>
        <v>0</v>
      </c>
      <c r="K2657" s="88"/>
      <c r="L2657" s="88"/>
      <c r="M2657" s="88"/>
      <c r="N2657" s="88"/>
      <c r="O2657" s="88"/>
      <c r="P2657" s="88"/>
      <c r="Q2657" s="88"/>
      <c r="R2657" s="78">
        <f>MAX(S2657:W2657)</f>
        <v>1</v>
      </c>
      <c r="S2657" s="88"/>
      <c r="T2657" s="88"/>
      <c r="U2657" s="88">
        <v>1</v>
      </c>
      <c r="V2657" s="88"/>
      <c r="W2657" s="88"/>
    </row>
    <row r="2658" spans="2:23" s="0" customFormat="0" ht="15">
      <c r="B2658" s="87" t="s">
        <v>1</v>
      </c>
      <c r="C2658" s="88" t="s">
        <v>5259</v>
      </c>
      <c r="D2658" s="88">
        <v>14346856</v>
      </c>
      <c r="E2658" s="88" t="s">
        <v>61</v>
      </c>
      <c r="F2658" s="88">
        <v>0</v>
      </c>
      <c r="G2658" s="78">
        <f>MAX(H2658,I2658,J2658)</f>
        <v>1</v>
      </c>
      <c r="H2658" s="88"/>
      <c r="I2658" s="88"/>
      <c r="J2658" s="78">
        <f>MAX(K2658:Q2658)</f>
        <v>1</v>
      </c>
      <c r="K2658" s="88">
        <v>1</v>
      </c>
      <c r="L2658" s="88"/>
      <c r="M2658" s="88"/>
      <c r="N2658" s="88"/>
      <c r="O2658" s="88"/>
      <c r="P2658" s="88"/>
      <c r="Q2658" s="88"/>
      <c r="R2658" s="78">
        <f>MAX(S2658:W2658)</f>
        <v>0</v>
      </c>
      <c r="S2658" s="88"/>
      <c r="T2658" s="88"/>
      <c r="U2658" s="88"/>
      <c r="V2658" s="88"/>
      <c r="W2658" s="88"/>
    </row>
    <row r="2659" spans="2:23" s="0" customFormat="0" ht="15">
      <c r="B2659" s="87" t="s">
        <v>1</v>
      </c>
      <c r="C2659" s="88" t="s">
        <v>5259</v>
      </c>
      <c r="D2659" s="88" t="s">
        <v>4489</v>
      </c>
      <c r="E2659" s="88" t="s">
        <v>61</v>
      </c>
      <c r="F2659" s="88">
        <v>0</v>
      </c>
      <c r="G2659" s="78">
        <f>MAX(H2659,I2659,J2659)</f>
        <v>0</v>
      </c>
      <c r="H2659" s="88"/>
      <c r="I2659" s="88"/>
      <c r="J2659" s="78">
        <f>MAX(K2659:Q2659)</f>
        <v>0</v>
      </c>
      <c r="K2659" s="88"/>
      <c r="L2659" s="88"/>
      <c r="M2659" s="88"/>
      <c r="N2659" s="88"/>
      <c r="O2659" s="88"/>
      <c r="P2659" s="88"/>
      <c r="Q2659" s="88"/>
      <c r="R2659" s="78">
        <f>MAX(S2659:W2659)</f>
        <v>1</v>
      </c>
      <c r="S2659" s="88"/>
      <c r="T2659" s="88"/>
      <c r="U2659" s="88">
        <v>1</v>
      </c>
      <c r="V2659" s="88"/>
      <c r="W2659" s="88"/>
    </row>
    <row r="2660" spans="2:23" s="0" customFormat="0" ht="15">
      <c r="B2660" s="87" t="s">
        <v>1</v>
      </c>
      <c r="C2660" s="88" t="s">
        <v>5259</v>
      </c>
      <c r="D2660" s="88">
        <v>5276844</v>
      </c>
      <c r="E2660" s="88" t="s">
        <v>61</v>
      </c>
      <c r="F2660" s="88">
        <v>0</v>
      </c>
      <c r="G2660" s="78">
        <f>MAX(H2660,I2660,J2660)</f>
        <v>1</v>
      </c>
      <c r="H2660" s="88"/>
      <c r="I2660" s="88"/>
      <c r="J2660" s="78">
        <f>MAX(K2660:Q2660)</f>
        <v>1</v>
      </c>
      <c r="K2660" s="88">
        <v>1</v>
      </c>
      <c r="L2660" s="88"/>
      <c r="M2660" s="88"/>
      <c r="N2660" s="88"/>
      <c r="O2660" s="88"/>
      <c r="P2660" s="88"/>
      <c r="Q2660" s="88"/>
      <c r="R2660" s="78">
        <f>MAX(S2660:W2660)</f>
        <v>0</v>
      </c>
      <c r="S2660" s="88"/>
      <c r="T2660" s="88"/>
      <c r="U2660" s="88"/>
      <c r="V2660" s="88"/>
      <c r="W2660" s="88"/>
    </row>
    <row r="2661" spans="2:23" s="0" customFormat="0" ht="15">
      <c r="B2661" s="87" t="s">
        <v>1</v>
      </c>
      <c r="C2661" s="88" t="s">
        <v>5259</v>
      </c>
      <c r="D2661" s="88" t="s">
        <v>1374</v>
      </c>
      <c r="E2661" s="88" t="s">
        <v>61</v>
      </c>
      <c r="F2661" s="88">
        <v>0</v>
      </c>
      <c r="G2661" s="78">
        <f>MAX(H2661,I2661,J2661)</f>
        <v>1</v>
      </c>
      <c r="H2661" s="88"/>
      <c r="I2661" s="88"/>
      <c r="J2661" s="78">
        <f>MAX(K2661:Q2661)</f>
        <v>1</v>
      </c>
      <c r="K2661" s="88">
        <v>1</v>
      </c>
      <c r="L2661" s="88"/>
      <c r="M2661" s="88"/>
      <c r="N2661" s="88"/>
      <c r="O2661" s="88"/>
      <c r="P2661" s="88"/>
      <c r="Q2661" s="88"/>
      <c r="R2661" s="78">
        <f>MAX(S2661:W2661)</f>
        <v>0</v>
      </c>
      <c r="S2661" s="88"/>
      <c r="T2661" s="88"/>
      <c r="U2661" s="88"/>
      <c r="V2661" s="88"/>
      <c r="W2661" s="88"/>
    </row>
    <row r="2662" spans="2:23" s="0" customFormat="0" ht="15">
      <c r="B2662" s="87" t="s">
        <v>1</v>
      </c>
      <c r="C2662" s="88" t="s">
        <v>5259</v>
      </c>
      <c r="D2662" s="88" t="s">
        <v>1036</v>
      </c>
      <c r="E2662" s="88" t="s">
        <v>61</v>
      </c>
      <c r="F2662" s="88">
        <v>0</v>
      </c>
      <c r="G2662" s="78">
        <f>MAX(H2662,I2662,J2662)</f>
        <v>1</v>
      </c>
      <c r="H2662" s="88"/>
      <c r="I2662" s="88"/>
      <c r="J2662" s="78">
        <f>MAX(K2662:Q2662)</f>
        <v>1</v>
      </c>
      <c r="K2662" s="88">
        <v>1</v>
      </c>
      <c r="L2662" s="88"/>
      <c r="M2662" s="88"/>
      <c r="N2662" s="88"/>
      <c r="O2662" s="88"/>
      <c r="P2662" s="88"/>
      <c r="Q2662" s="88"/>
      <c r="R2662" s="78">
        <f>MAX(S2662:W2662)</f>
        <v>0</v>
      </c>
      <c r="S2662" s="88"/>
      <c r="T2662" s="88"/>
      <c r="U2662" s="88"/>
      <c r="V2662" s="88"/>
      <c r="W2662" s="88"/>
    </row>
    <row r="2663" spans="2:23" s="0" customFormat="0" ht="15">
      <c r="B2663" s="87" t="s">
        <v>1</v>
      </c>
      <c r="C2663" s="88" t="s">
        <v>5259</v>
      </c>
      <c r="D2663" s="88" t="s">
        <v>4326</v>
      </c>
      <c r="E2663" s="88" t="s">
        <v>61</v>
      </c>
      <c r="F2663" s="88">
        <v>0</v>
      </c>
      <c r="G2663" s="78">
        <f>MAX(H2663,I2663,J2663)</f>
        <v>0</v>
      </c>
      <c r="H2663" s="88"/>
      <c r="I2663" s="88"/>
      <c r="J2663" s="78">
        <f>MAX(K2663:Q2663)</f>
        <v>0</v>
      </c>
      <c r="K2663" s="88"/>
      <c r="L2663" s="88"/>
      <c r="M2663" s="88"/>
      <c r="N2663" s="88"/>
      <c r="O2663" s="88"/>
      <c r="P2663" s="88"/>
      <c r="Q2663" s="88"/>
      <c r="R2663" s="78">
        <f>MAX(S2663:W2663)</f>
        <v>1</v>
      </c>
      <c r="S2663" s="88"/>
      <c r="T2663" s="88"/>
      <c r="U2663" s="88">
        <v>1</v>
      </c>
      <c r="V2663" s="88"/>
      <c r="W2663" s="88"/>
    </row>
    <row r="2664" spans="2:23" s="0" customFormat="0" ht="15">
      <c r="B2664" s="87" t="s">
        <v>1</v>
      </c>
      <c r="C2664" s="88" t="s">
        <v>5259</v>
      </c>
      <c r="D2664" s="88">
        <v>22273928</v>
      </c>
      <c r="E2664" s="88" t="s">
        <v>61</v>
      </c>
      <c r="F2664" s="88">
        <v>0</v>
      </c>
      <c r="G2664" s="78">
        <f>MAX(H2664,I2664,J2664)</f>
        <v>1</v>
      </c>
      <c r="H2664" s="88"/>
      <c r="I2664" s="88"/>
      <c r="J2664" s="78">
        <f>MAX(K2664:Q2664)</f>
        <v>1</v>
      </c>
      <c r="K2664" s="88">
        <v>1</v>
      </c>
      <c r="L2664" s="88"/>
      <c r="M2664" s="88"/>
      <c r="N2664" s="88"/>
      <c r="O2664" s="88"/>
      <c r="P2664" s="88"/>
      <c r="Q2664" s="88"/>
      <c r="R2664" s="78">
        <f>MAX(S2664:W2664)</f>
        <v>0</v>
      </c>
      <c r="S2664" s="88"/>
      <c r="T2664" s="88"/>
      <c r="U2664" s="88"/>
      <c r="V2664" s="88"/>
      <c r="W2664" s="88"/>
    </row>
    <row r="2665" spans="2:23" s="0" customFormat="0" ht="15">
      <c r="B2665" s="87" t="s">
        <v>1</v>
      </c>
      <c r="C2665" s="88" t="s">
        <v>5259</v>
      </c>
      <c r="D2665" s="88">
        <v>19854528</v>
      </c>
      <c r="E2665" s="88" t="s">
        <v>61</v>
      </c>
      <c r="F2665" s="88">
        <v>0</v>
      </c>
      <c r="G2665" s="78">
        <f>MAX(H2665,I2665,J2665)</f>
        <v>1</v>
      </c>
      <c r="H2665" s="88"/>
      <c r="I2665" s="88"/>
      <c r="J2665" s="78">
        <f>MAX(K2665:Q2665)</f>
        <v>1</v>
      </c>
      <c r="K2665" s="88">
        <v>1</v>
      </c>
      <c r="L2665" s="88"/>
      <c r="M2665" s="88"/>
      <c r="N2665" s="88"/>
      <c r="O2665" s="88"/>
      <c r="P2665" s="88"/>
      <c r="Q2665" s="88"/>
      <c r="R2665" s="78">
        <f>MAX(S2665:W2665)</f>
        <v>0</v>
      </c>
      <c r="S2665" s="88"/>
      <c r="T2665" s="88"/>
      <c r="U2665" s="88"/>
      <c r="V2665" s="88"/>
      <c r="W2665" s="88"/>
    </row>
    <row r="2666" spans="2:23" s="0" customFormat="0" ht="15">
      <c r="B2666" s="87" t="s">
        <v>1</v>
      </c>
      <c r="C2666" s="88" t="s">
        <v>5259</v>
      </c>
      <c r="D2666" s="88">
        <v>9476265</v>
      </c>
      <c r="E2666" s="88" t="s">
        <v>61</v>
      </c>
      <c r="F2666" s="88">
        <v>0</v>
      </c>
      <c r="G2666" s="78">
        <f>MAX(H2666,I2666,J2666)</f>
        <v>1</v>
      </c>
      <c r="H2666" s="88"/>
      <c r="I2666" s="88"/>
      <c r="J2666" s="78">
        <f>MAX(K2666:Q2666)</f>
        <v>1</v>
      </c>
      <c r="K2666" s="88">
        <v>1</v>
      </c>
      <c r="L2666" s="88"/>
      <c r="M2666" s="88"/>
      <c r="N2666" s="88"/>
      <c r="O2666" s="88"/>
      <c r="P2666" s="88"/>
      <c r="Q2666" s="88"/>
      <c r="R2666" s="78">
        <f>MAX(S2666:W2666)</f>
        <v>0</v>
      </c>
      <c r="S2666" s="88"/>
      <c r="T2666" s="88"/>
      <c r="U2666" s="88"/>
      <c r="V2666" s="88"/>
      <c r="W2666" s="88"/>
    </row>
    <row r="2667" spans="2:23" s="0" customFormat="0" ht="15">
      <c r="B2667" s="87" t="s">
        <v>1</v>
      </c>
      <c r="C2667" s="88" t="s">
        <v>5259</v>
      </c>
      <c r="D2667" s="88" t="s">
        <v>4491</v>
      </c>
      <c r="E2667" s="88" t="s">
        <v>61</v>
      </c>
      <c r="F2667" s="88">
        <v>0</v>
      </c>
      <c r="G2667" s="78">
        <f>MAX(H2667,I2667,J2667)</f>
        <v>0</v>
      </c>
      <c r="H2667" s="88"/>
      <c r="I2667" s="88"/>
      <c r="J2667" s="78">
        <f>MAX(K2667:Q2667)</f>
        <v>0</v>
      </c>
      <c r="K2667" s="88"/>
      <c r="L2667" s="88"/>
      <c r="M2667" s="88"/>
      <c r="N2667" s="88"/>
      <c r="O2667" s="88"/>
      <c r="P2667" s="88"/>
      <c r="Q2667" s="88"/>
      <c r="R2667" s="78">
        <f>MAX(S2667:W2667)</f>
        <v>1</v>
      </c>
      <c r="S2667" s="88"/>
      <c r="T2667" s="88"/>
      <c r="U2667" s="88">
        <v>1</v>
      </c>
      <c r="V2667" s="88"/>
      <c r="W2667" s="88"/>
    </row>
    <row r="2668" spans="2:23" s="0" customFormat="0" ht="15">
      <c r="B2668" s="87" t="s">
        <v>1</v>
      </c>
      <c r="C2668" s="88" t="s">
        <v>5259</v>
      </c>
      <c r="D2668" s="88" t="s">
        <v>3204</v>
      </c>
      <c r="E2668" s="88" t="s">
        <v>61</v>
      </c>
      <c r="F2668" s="88">
        <v>0</v>
      </c>
      <c r="G2668" s="78">
        <f>MAX(H2668,I2668,J2668)</f>
        <v>0</v>
      </c>
      <c r="H2668" s="88"/>
      <c r="I2668" s="88"/>
      <c r="J2668" s="78">
        <f>MAX(K2668:Q2668)</f>
        <v>0</v>
      </c>
      <c r="K2668" s="88"/>
      <c r="L2668" s="88"/>
      <c r="M2668" s="88"/>
      <c r="N2668" s="88"/>
      <c r="O2668" s="88"/>
      <c r="P2668" s="88"/>
      <c r="Q2668" s="88"/>
      <c r="R2668" s="78">
        <f>MAX(S2668:W2668)</f>
        <v>1</v>
      </c>
      <c r="S2668" s="88"/>
      <c r="T2668" s="88"/>
      <c r="U2668" s="88"/>
      <c r="V2668" s="88">
        <v>1</v>
      </c>
      <c r="W2668" s="88"/>
    </row>
    <row r="2669" spans="2:23" s="0" customFormat="0" ht="15">
      <c r="B2669" s="87" t="s">
        <v>1</v>
      </c>
      <c r="C2669" s="88" t="s">
        <v>5259</v>
      </c>
      <c r="D2669" s="88">
        <v>12412639</v>
      </c>
      <c r="E2669" s="88" t="s">
        <v>61</v>
      </c>
      <c r="F2669" s="88">
        <v>0</v>
      </c>
      <c r="G2669" s="78">
        <f>MAX(H2669,I2669,J2669)</f>
        <v>1</v>
      </c>
      <c r="H2669" s="88"/>
      <c r="I2669" s="88"/>
      <c r="J2669" s="78">
        <f>MAX(K2669:Q2669)</f>
        <v>1</v>
      </c>
      <c r="K2669" s="88">
        <v>1</v>
      </c>
      <c r="L2669" s="88"/>
      <c r="M2669" s="88"/>
      <c r="N2669" s="88"/>
      <c r="O2669" s="88"/>
      <c r="P2669" s="88"/>
      <c r="Q2669" s="88"/>
      <c r="R2669" s="78">
        <f>MAX(S2669:W2669)</f>
        <v>0</v>
      </c>
      <c r="S2669" s="88"/>
      <c r="T2669" s="88"/>
      <c r="U2669" s="88"/>
      <c r="V2669" s="88"/>
      <c r="W2669" s="88"/>
    </row>
    <row r="2670" spans="2:23" s="0" customFormat="0" ht="15">
      <c r="B2670" s="87" t="s">
        <v>1</v>
      </c>
      <c r="C2670" s="88" t="s">
        <v>5259</v>
      </c>
      <c r="D2670" s="88" t="s">
        <v>4493</v>
      </c>
      <c r="E2670" s="88" t="s">
        <v>61</v>
      </c>
      <c r="F2670" s="88">
        <v>0</v>
      </c>
      <c r="G2670" s="78">
        <f>MAX(H2670,I2670,J2670)</f>
        <v>0</v>
      </c>
      <c r="H2670" s="88"/>
      <c r="I2670" s="88"/>
      <c r="J2670" s="78">
        <f>MAX(K2670:Q2670)</f>
        <v>0</v>
      </c>
      <c r="K2670" s="88"/>
      <c r="L2670" s="88"/>
      <c r="M2670" s="88"/>
      <c r="N2670" s="88"/>
      <c r="O2670" s="88"/>
      <c r="P2670" s="88"/>
      <c r="Q2670" s="88"/>
      <c r="R2670" s="78">
        <f>MAX(S2670:W2670)</f>
        <v>1</v>
      </c>
      <c r="S2670" s="88"/>
      <c r="T2670" s="88"/>
      <c r="U2670" s="88">
        <v>1</v>
      </c>
      <c r="V2670" s="88"/>
      <c r="W2670" s="88"/>
    </row>
    <row r="2671" spans="2:23" s="0" customFormat="0" ht="15">
      <c r="B2671" s="87" t="s">
        <v>1</v>
      </c>
      <c r="C2671" s="88" t="s">
        <v>5259</v>
      </c>
      <c r="D2671" s="88">
        <v>22623663</v>
      </c>
      <c r="E2671" s="88" t="s">
        <v>61</v>
      </c>
      <c r="F2671" s="88">
        <v>0</v>
      </c>
      <c r="G2671" s="78">
        <f>MAX(H2671,I2671,J2671)</f>
        <v>0</v>
      </c>
      <c r="H2671" s="88"/>
      <c r="I2671" s="88"/>
      <c r="J2671" s="78">
        <f>MAX(K2671:Q2671)</f>
        <v>0</v>
      </c>
      <c r="K2671" s="88"/>
      <c r="L2671" s="88"/>
      <c r="M2671" s="88"/>
      <c r="N2671" s="88"/>
      <c r="O2671" s="88"/>
      <c r="P2671" s="88"/>
      <c r="Q2671" s="88"/>
      <c r="R2671" s="78">
        <f>MAX(S2671:W2671)</f>
        <v>1</v>
      </c>
      <c r="S2671" s="88"/>
      <c r="T2671" s="88"/>
      <c r="U2671" s="88">
        <v>1</v>
      </c>
      <c r="V2671" s="88"/>
      <c r="W2671" s="88"/>
    </row>
    <row r="2672" spans="2:23" s="0" customFormat="0" ht="15">
      <c r="B2672" s="87" t="s">
        <v>1</v>
      </c>
      <c r="C2672" s="88" t="s">
        <v>5259</v>
      </c>
      <c r="D2672" s="88" t="s">
        <v>4080</v>
      </c>
      <c r="E2672" s="88" t="s">
        <v>61</v>
      </c>
      <c r="F2672" s="88">
        <v>0</v>
      </c>
      <c r="G2672" s="78">
        <f>MAX(H2672,I2672,J2672)</f>
        <v>0</v>
      </c>
      <c r="H2672" s="88"/>
      <c r="I2672" s="88"/>
      <c r="J2672" s="78">
        <f>MAX(K2672:Q2672)</f>
        <v>0</v>
      </c>
      <c r="K2672" s="88"/>
      <c r="L2672" s="88"/>
      <c r="M2672" s="88"/>
      <c r="N2672" s="88"/>
      <c r="O2672" s="88"/>
      <c r="P2672" s="88"/>
      <c r="Q2672" s="88"/>
      <c r="R2672" s="78">
        <f>MAX(S2672:W2672)</f>
        <v>1</v>
      </c>
      <c r="S2672" s="88"/>
      <c r="T2672" s="88"/>
      <c r="U2672" s="88">
        <v>1</v>
      </c>
      <c r="V2672" s="88"/>
      <c r="W2672" s="88"/>
    </row>
    <row r="2673" spans="2:23" s="0" customFormat="0" ht="15">
      <c r="B2673" s="87" t="s">
        <v>1</v>
      </c>
      <c r="C2673" s="88" t="s">
        <v>5259</v>
      </c>
      <c r="D2673" s="88">
        <v>9818321</v>
      </c>
      <c r="E2673" s="88" t="s">
        <v>61</v>
      </c>
      <c r="F2673" s="88">
        <v>0</v>
      </c>
      <c r="G2673" s="78">
        <f>MAX(H2673,I2673,J2673)</f>
        <v>1</v>
      </c>
      <c r="H2673" s="88"/>
      <c r="I2673" s="88"/>
      <c r="J2673" s="78">
        <f>MAX(K2673:Q2673)</f>
        <v>1</v>
      </c>
      <c r="K2673" s="88">
        <v>1</v>
      </c>
      <c r="L2673" s="88"/>
      <c r="M2673" s="88"/>
      <c r="N2673" s="88"/>
      <c r="O2673" s="88"/>
      <c r="P2673" s="88"/>
      <c r="Q2673" s="88"/>
      <c r="R2673" s="78">
        <f>MAX(S2673:W2673)</f>
        <v>0</v>
      </c>
      <c r="S2673" s="88"/>
      <c r="T2673" s="88"/>
      <c r="U2673" s="88"/>
      <c r="V2673" s="88"/>
      <c r="W2673" s="88"/>
    </row>
    <row r="2674" spans="2:23" s="0" customFormat="0" ht="15">
      <c r="B2674" s="87" t="s">
        <v>1</v>
      </c>
      <c r="C2674" s="88" t="s">
        <v>5259</v>
      </c>
      <c r="D2674" s="88">
        <v>14384096</v>
      </c>
      <c r="E2674" s="88" t="s">
        <v>61</v>
      </c>
      <c r="F2674" s="88">
        <v>0</v>
      </c>
      <c r="G2674" s="78">
        <f>MAX(H2674,I2674,J2674)</f>
        <v>1</v>
      </c>
      <c r="H2674" s="88"/>
      <c r="I2674" s="88"/>
      <c r="J2674" s="78">
        <f>MAX(K2674:Q2674)</f>
        <v>1</v>
      </c>
      <c r="K2674" s="88">
        <v>1</v>
      </c>
      <c r="L2674" s="88"/>
      <c r="M2674" s="88"/>
      <c r="N2674" s="88"/>
      <c r="O2674" s="88"/>
      <c r="P2674" s="88"/>
      <c r="Q2674" s="88"/>
      <c r="R2674" s="78">
        <f>MAX(S2674:W2674)</f>
        <v>0</v>
      </c>
      <c r="S2674" s="88"/>
      <c r="T2674" s="88"/>
      <c r="U2674" s="88"/>
      <c r="V2674" s="88"/>
      <c r="W2674" s="88"/>
    </row>
    <row r="2675" spans="2:23" s="0" customFormat="0" ht="15">
      <c r="B2675" s="87" t="s">
        <v>1</v>
      </c>
      <c r="C2675" s="88" t="s">
        <v>5259</v>
      </c>
      <c r="D2675" s="88">
        <v>22424958</v>
      </c>
      <c r="E2675" s="88" t="s">
        <v>61</v>
      </c>
      <c r="F2675" s="88">
        <v>0</v>
      </c>
      <c r="G2675" s="78">
        <f>MAX(H2675,I2675,J2675)</f>
        <v>1</v>
      </c>
      <c r="H2675" s="88"/>
      <c r="I2675" s="88"/>
      <c r="J2675" s="78">
        <f>MAX(K2675:Q2675)</f>
        <v>1</v>
      </c>
      <c r="K2675" s="88">
        <v>1</v>
      </c>
      <c r="L2675" s="88"/>
      <c r="M2675" s="88"/>
      <c r="N2675" s="88"/>
      <c r="O2675" s="88"/>
      <c r="P2675" s="88"/>
      <c r="Q2675" s="88"/>
      <c r="R2675" s="78">
        <f>MAX(S2675:W2675)</f>
        <v>0</v>
      </c>
      <c r="S2675" s="88"/>
      <c r="T2675" s="88"/>
      <c r="U2675" s="88"/>
      <c r="V2675" s="88"/>
      <c r="W2675" s="88"/>
    </row>
    <row r="2676" spans="2:23" s="0" customFormat="0" ht="15">
      <c r="B2676" s="87" t="s">
        <v>1</v>
      </c>
      <c r="C2676" s="88" t="s">
        <v>5259</v>
      </c>
      <c r="D2676" s="88">
        <v>12847675</v>
      </c>
      <c r="E2676" s="88" t="s">
        <v>61</v>
      </c>
      <c r="F2676" s="88">
        <v>0</v>
      </c>
      <c r="G2676" s="78">
        <f>MAX(H2676,I2676,J2676)</f>
        <v>1</v>
      </c>
      <c r="H2676" s="88"/>
      <c r="I2676" s="88"/>
      <c r="J2676" s="78">
        <f>MAX(K2676:Q2676)</f>
        <v>1</v>
      </c>
      <c r="K2676" s="88">
        <v>1</v>
      </c>
      <c r="L2676" s="88"/>
      <c r="M2676" s="88"/>
      <c r="N2676" s="88"/>
      <c r="O2676" s="88"/>
      <c r="P2676" s="88"/>
      <c r="Q2676" s="88"/>
      <c r="R2676" s="78">
        <f>MAX(S2676:W2676)</f>
        <v>0</v>
      </c>
      <c r="S2676" s="88"/>
      <c r="T2676" s="88"/>
      <c r="U2676" s="88"/>
      <c r="V2676" s="88"/>
      <c r="W2676" s="88"/>
    </row>
    <row r="2677" spans="2:23" s="0" customFormat="0" ht="15">
      <c r="B2677" s="87" t="s">
        <v>1</v>
      </c>
      <c r="C2677" s="88" t="s">
        <v>5259</v>
      </c>
      <c r="D2677" s="88">
        <v>4721451</v>
      </c>
      <c r="E2677" s="88" t="s">
        <v>61</v>
      </c>
      <c r="F2677" s="88">
        <v>0</v>
      </c>
      <c r="G2677" s="78">
        <f>MAX(H2677,I2677,J2677)</f>
        <v>0</v>
      </c>
      <c r="H2677" s="88"/>
      <c r="I2677" s="88"/>
      <c r="J2677" s="78">
        <f>MAX(K2677:Q2677)</f>
        <v>0</v>
      </c>
      <c r="K2677" s="88"/>
      <c r="L2677" s="88"/>
      <c r="M2677" s="88"/>
      <c r="N2677" s="88"/>
      <c r="O2677" s="88"/>
      <c r="P2677" s="88"/>
      <c r="Q2677" s="88"/>
      <c r="R2677" s="78">
        <f>MAX(S2677:W2677)</f>
        <v>1</v>
      </c>
      <c r="S2677" s="88"/>
      <c r="T2677" s="88"/>
      <c r="U2677" s="88">
        <v>1</v>
      </c>
      <c r="V2677" s="88"/>
      <c r="W2677" s="88"/>
    </row>
    <row r="2678" spans="2:23" s="0" customFormat="0" ht="15">
      <c r="B2678" s="87" t="s">
        <v>1</v>
      </c>
      <c r="C2678" s="88" t="s">
        <v>5259</v>
      </c>
      <c r="D2678" s="88">
        <v>20996854</v>
      </c>
      <c r="E2678" s="88" t="s">
        <v>61</v>
      </c>
      <c r="F2678" s="88">
        <v>0</v>
      </c>
      <c r="G2678" s="78">
        <f>MAX(H2678,I2678,J2678)</f>
        <v>1</v>
      </c>
      <c r="H2678" s="88"/>
      <c r="I2678" s="88"/>
      <c r="J2678" s="78">
        <f>MAX(K2678:Q2678)</f>
        <v>1</v>
      </c>
      <c r="K2678" s="88">
        <v>1</v>
      </c>
      <c r="L2678" s="88"/>
      <c r="M2678" s="88"/>
      <c r="N2678" s="88"/>
      <c r="O2678" s="88"/>
      <c r="P2678" s="88"/>
      <c r="Q2678" s="88"/>
      <c r="R2678" s="78">
        <f>MAX(S2678:W2678)</f>
        <v>0</v>
      </c>
      <c r="S2678" s="88"/>
      <c r="T2678" s="88"/>
      <c r="U2678" s="88"/>
      <c r="V2678" s="88"/>
      <c r="W2678" s="88"/>
    </row>
    <row r="2679" spans="2:23" s="0" customFormat="0" ht="15">
      <c r="B2679" s="87" t="s">
        <v>1</v>
      </c>
      <c r="C2679" s="88" t="s">
        <v>5259</v>
      </c>
      <c r="D2679" s="88" t="s">
        <v>1889</v>
      </c>
      <c r="E2679" s="88" t="s">
        <v>61</v>
      </c>
      <c r="F2679" s="88">
        <v>0</v>
      </c>
      <c r="G2679" s="78">
        <f>MAX(H2679,I2679,J2679)</f>
        <v>1</v>
      </c>
      <c r="H2679" s="88"/>
      <c r="I2679" s="88"/>
      <c r="J2679" s="78">
        <f>MAX(K2679:Q2679)</f>
        <v>1</v>
      </c>
      <c r="K2679" s="88">
        <v>1</v>
      </c>
      <c r="L2679" s="88"/>
      <c r="M2679" s="88"/>
      <c r="N2679" s="88"/>
      <c r="O2679" s="88"/>
      <c r="P2679" s="88"/>
      <c r="Q2679" s="88"/>
      <c r="R2679" s="78">
        <f>MAX(S2679:W2679)</f>
        <v>0</v>
      </c>
      <c r="S2679" s="88"/>
      <c r="T2679" s="88"/>
      <c r="U2679" s="88"/>
      <c r="V2679" s="88"/>
      <c r="W2679" s="88"/>
    </row>
    <row r="2680" spans="2:23" s="0" customFormat="0" ht="15">
      <c r="B2680" s="87" t="s">
        <v>1</v>
      </c>
      <c r="C2680" s="88" t="s">
        <v>5259</v>
      </c>
      <c r="D2680" s="88">
        <v>3092976</v>
      </c>
      <c r="E2680" s="88" t="s">
        <v>61</v>
      </c>
      <c r="F2680" s="88">
        <v>0</v>
      </c>
      <c r="G2680" s="78">
        <f>MAX(H2680,I2680,J2680)</f>
        <v>1</v>
      </c>
      <c r="H2680" s="88"/>
      <c r="I2680" s="88"/>
      <c r="J2680" s="78">
        <f>MAX(K2680:Q2680)</f>
        <v>1</v>
      </c>
      <c r="K2680" s="88">
        <v>1</v>
      </c>
      <c r="L2680" s="88"/>
      <c r="M2680" s="88"/>
      <c r="N2680" s="88"/>
      <c r="O2680" s="88"/>
      <c r="P2680" s="88"/>
      <c r="Q2680" s="88"/>
      <c r="R2680" s="78">
        <f>MAX(S2680:W2680)</f>
        <v>0</v>
      </c>
      <c r="S2680" s="88"/>
      <c r="T2680" s="88"/>
      <c r="U2680" s="88"/>
      <c r="V2680" s="88"/>
      <c r="W2680" s="88"/>
    </row>
    <row r="2681" spans="2:23" s="0" customFormat="0" ht="15">
      <c r="B2681" s="87" t="s">
        <v>1</v>
      </c>
      <c r="C2681" s="88" t="s">
        <v>5259</v>
      </c>
      <c r="D2681" s="88">
        <v>19498823</v>
      </c>
      <c r="E2681" s="88" t="s">
        <v>61</v>
      </c>
      <c r="F2681" s="88">
        <v>0</v>
      </c>
      <c r="G2681" s="78">
        <f>MAX(H2681,I2681,J2681)</f>
        <v>1</v>
      </c>
      <c r="H2681" s="88"/>
      <c r="I2681" s="88"/>
      <c r="J2681" s="78">
        <f>MAX(K2681:Q2681)</f>
        <v>1</v>
      </c>
      <c r="K2681" s="88">
        <v>1</v>
      </c>
      <c r="L2681" s="88"/>
      <c r="M2681" s="88"/>
      <c r="N2681" s="88"/>
      <c r="O2681" s="88"/>
      <c r="P2681" s="88"/>
      <c r="Q2681" s="88"/>
      <c r="R2681" s="78">
        <f>MAX(S2681:W2681)</f>
        <v>0</v>
      </c>
      <c r="S2681" s="88"/>
      <c r="T2681" s="88"/>
      <c r="U2681" s="88"/>
      <c r="V2681" s="88"/>
      <c r="W2681" s="88"/>
    </row>
    <row r="2682" spans="2:23" s="0" customFormat="0" ht="15">
      <c r="B2682" s="87" t="s">
        <v>1</v>
      </c>
      <c r="C2682" s="88" t="s">
        <v>5259</v>
      </c>
      <c r="D2682" s="88">
        <v>22554226</v>
      </c>
      <c r="E2682" s="88" t="s">
        <v>61</v>
      </c>
      <c r="F2682" s="88">
        <v>0</v>
      </c>
      <c r="G2682" s="78">
        <f>MAX(H2682,I2682,J2682)</f>
        <v>0</v>
      </c>
      <c r="H2682" s="88"/>
      <c r="I2682" s="88"/>
      <c r="J2682" s="78">
        <f>MAX(K2682:Q2682)</f>
        <v>0</v>
      </c>
      <c r="K2682" s="88"/>
      <c r="L2682" s="88"/>
      <c r="M2682" s="88"/>
      <c r="N2682" s="88"/>
      <c r="O2682" s="88"/>
      <c r="P2682" s="88"/>
      <c r="Q2682" s="88"/>
      <c r="R2682" s="78">
        <f>MAX(S2682:W2682)</f>
        <v>1</v>
      </c>
      <c r="S2682" s="88"/>
      <c r="T2682" s="88"/>
      <c r="U2682" s="88">
        <v>1</v>
      </c>
      <c r="V2682" s="88"/>
      <c r="W2682" s="88"/>
    </row>
    <row r="2683" spans="2:23" s="0" customFormat="0" ht="15">
      <c r="B2683" s="87" t="s">
        <v>1</v>
      </c>
      <c r="C2683" s="88" t="s">
        <v>5259</v>
      </c>
      <c r="D2683" s="88">
        <v>24176489</v>
      </c>
      <c r="E2683" s="88" t="s">
        <v>61</v>
      </c>
      <c r="F2683" s="88">
        <v>0</v>
      </c>
      <c r="G2683" s="78">
        <f>MAX(H2683,I2683,J2683)</f>
        <v>1</v>
      </c>
      <c r="H2683" s="88"/>
      <c r="I2683" s="88"/>
      <c r="J2683" s="78">
        <f>MAX(K2683:Q2683)</f>
        <v>1</v>
      </c>
      <c r="K2683" s="88">
        <v>1</v>
      </c>
      <c r="L2683" s="88"/>
      <c r="M2683" s="88"/>
      <c r="N2683" s="88"/>
      <c r="O2683" s="88"/>
      <c r="P2683" s="88"/>
      <c r="Q2683" s="88"/>
      <c r="R2683" s="78">
        <f>MAX(S2683:W2683)</f>
        <v>0</v>
      </c>
      <c r="S2683" s="88"/>
      <c r="T2683" s="88"/>
      <c r="U2683" s="88"/>
      <c r="V2683" s="88"/>
      <c r="W2683" s="88"/>
    </row>
    <row r="2684" spans="2:23" s="0" customFormat="0" ht="15">
      <c r="B2684" s="87" t="s">
        <v>1</v>
      </c>
      <c r="C2684" s="88" t="s">
        <v>5259</v>
      </c>
      <c r="D2684" s="88" t="s">
        <v>1893</v>
      </c>
      <c r="E2684" s="88" t="s">
        <v>61</v>
      </c>
      <c r="F2684" s="88">
        <v>0</v>
      </c>
      <c r="G2684" s="78">
        <f>MAX(H2684,I2684,J2684)</f>
        <v>1</v>
      </c>
      <c r="H2684" s="88"/>
      <c r="I2684" s="88"/>
      <c r="J2684" s="78">
        <f>MAX(K2684:Q2684)</f>
        <v>1</v>
      </c>
      <c r="K2684" s="88">
        <v>1</v>
      </c>
      <c r="L2684" s="88"/>
      <c r="M2684" s="88"/>
      <c r="N2684" s="88"/>
      <c r="O2684" s="88"/>
      <c r="P2684" s="88"/>
      <c r="Q2684" s="88"/>
      <c r="R2684" s="78">
        <f>MAX(S2684:W2684)</f>
        <v>0</v>
      </c>
      <c r="S2684" s="88"/>
      <c r="T2684" s="88"/>
      <c r="U2684" s="88"/>
      <c r="V2684" s="88"/>
      <c r="W2684" s="88"/>
    </row>
    <row r="2685" spans="2:23" s="0" customFormat="0" ht="15">
      <c r="B2685" s="87" t="s">
        <v>1</v>
      </c>
      <c r="C2685" s="88" t="s">
        <v>5259</v>
      </c>
      <c r="D2685" s="88">
        <v>21226546</v>
      </c>
      <c r="E2685" s="88" t="s">
        <v>61</v>
      </c>
      <c r="F2685" s="88">
        <v>0</v>
      </c>
      <c r="G2685" s="78">
        <f>MAX(H2685,I2685,J2685)</f>
        <v>1</v>
      </c>
      <c r="H2685" s="88"/>
      <c r="I2685" s="88"/>
      <c r="J2685" s="78">
        <f>MAX(K2685:Q2685)</f>
        <v>1</v>
      </c>
      <c r="K2685" s="88">
        <v>1</v>
      </c>
      <c r="L2685" s="88"/>
      <c r="M2685" s="88"/>
      <c r="N2685" s="88"/>
      <c r="O2685" s="88"/>
      <c r="P2685" s="88"/>
      <c r="Q2685" s="88"/>
      <c r="R2685" s="78">
        <f>MAX(S2685:W2685)</f>
        <v>0</v>
      </c>
      <c r="S2685" s="88"/>
      <c r="T2685" s="88"/>
      <c r="U2685" s="88"/>
      <c r="V2685" s="88"/>
      <c r="W2685" s="88"/>
    </row>
    <row r="2686" spans="2:23" s="0" customFormat="0" ht="15">
      <c r="B2686" s="87" t="s">
        <v>1</v>
      </c>
      <c r="C2686" s="88" t="s">
        <v>5259</v>
      </c>
      <c r="D2686" s="88" t="s">
        <v>4498</v>
      </c>
      <c r="E2686" s="88" t="s">
        <v>61</v>
      </c>
      <c r="F2686" s="88">
        <v>0</v>
      </c>
      <c r="G2686" s="78">
        <f>MAX(H2686,I2686,J2686)</f>
        <v>0</v>
      </c>
      <c r="H2686" s="88"/>
      <c r="I2686" s="88"/>
      <c r="J2686" s="78">
        <f>MAX(K2686:Q2686)</f>
        <v>0</v>
      </c>
      <c r="K2686" s="88"/>
      <c r="L2686" s="88"/>
      <c r="M2686" s="88"/>
      <c r="N2686" s="88"/>
      <c r="O2686" s="88"/>
      <c r="P2686" s="88"/>
      <c r="Q2686" s="88"/>
      <c r="R2686" s="78">
        <f>MAX(S2686:W2686)</f>
        <v>1</v>
      </c>
      <c r="S2686" s="88"/>
      <c r="T2686" s="88"/>
      <c r="U2686" s="88">
        <v>1</v>
      </c>
      <c r="V2686" s="88"/>
      <c r="W2686" s="88"/>
    </row>
    <row r="2687" spans="2:23" s="0" customFormat="0" ht="15">
      <c r="B2687" s="87" t="s">
        <v>1</v>
      </c>
      <c r="C2687" s="88" t="s">
        <v>5259</v>
      </c>
      <c r="D2687" s="88" t="s">
        <v>1895</v>
      </c>
      <c r="E2687" s="88" t="s">
        <v>61</v>
      </c>
      <c r="F2687" s="88">
        <v>0</v>
      </c>
      <c r="G2687" s="78">
        <f>MAX(H2687,I2687,J2687)</f>
        <v>1</v>
      </c>
      <c r="H2687" s="88"/>
      <c r="I2687" s="88"/>
      <c r="J2687" s="78">
        <f>MAX(K2687:Q2687)</f>
        <v>1</v>
      </c>
      <c r="K2687" s="88">
        <v>1</v>
      </c>
      <c r="L2687" s="88"/>
      <c r="M2687" s="88"/>
      <c r="N2687" s="88"/>
      <c r="O2687" s="88"/>
      <c r="P2687" s="88"/>
      <c r="Q2687" s="88"/>
      <c r="R2687" s="78">
        <f>MAX(S2687:W2687)</f>
        <v>0</v>
      </c>
      <c r="S2687" s="88"/>
      <c r="T2687" s="88"/>
      <c r="U2687" s="88"/>
      <c r="V2687" s="88"/>
      <c r="W2687" s="88"/>
    </row>
    <row r="2688" spans="2:23" s="0" customFormat="0" ht="15">
      <c r="B2688" s="87" t="s">
        <v>1</v>
      </c>
      <c r="C2688" s="88" t="s">
        <v>5259</v>
      </c>
      <c r="D2688" s="88">
        <v>11642979</v>
      </c>
      <c r="E2688" s="88" t="s">
        <v>61</v>
      </c>
      <c r="F2688" s="88">
        <v>0</v>
      </c>
      <c r="G2688" s="78">
        <f>MAX(H2688,I2688,J2688)</f>
        <v>1</v>
      </c>
      <c r="H2688" s="88"/>
      <c r="I2688" s="88"/>
      <c r="J2688" s="78">
        <f>MAX(K2688:Q2688)</f>
        <v>1</v>
      </c>
      <c r="K2688" s="88">
        <v>1</v>
      </c>
      <c r="L2688" s="88"/>
      <c r="M2688" s="88"/>
      <c r="N2688" s="88"/>
      <c r="O2688" s="88"/>
      <c r="P2688" s="88"/>
      <c r="Q2688" s="88"/>
      <c r="R2688" s="78">
        <f>MAX(S2688:W2688)</f>
        <v>0</v>
      </c>
      <c r="S2688" s="88"/>
      <c r="T2688" s="88"/>
      <c r="U2688" s="88"/>
      <c r="V2688" s="88"/>
      <c r="W2688" s="88"/>
    </row>
    <row r="2689" spans="2:23" s="0" customFormat="0" ht="15">
      <c r="B2689" s="87" t="s">
        <v>1</v>
      </c>
      <c r="C2689" s="88" t="s">
        <v>5259</v>
      </c>
      <c r="D2689" s="88">
        <v>18905403</v>
      </c>
      <c r="E2689" s="88" t="s">
        <v>61</v>
      </c>
      <c r="F2689" s="88">
        <v>0</v>
      </c>
      <c r="G2689" s="78">
        <f>MAX(H2689,I2689,J2689)</f>
        <v>1</v>
      </c>
      <c r="H2689" s="88"/>
      <c r="I2689" s="88"/>
      <c r="J2689" s="78">
        <f>MAX(K2689:Q2689)</f>
        <v>1</v>
      </c>
      <c r="K2689" s="88">
        <v>1</v>
      </c>
      <c r="L2689" s="88"/>
      <c r="M2689" s="88"/>
      <c r="N2689" s="88"/>
      <c r="O2689" s="88"/>
      <c r="P2689" s="88"/>
      <c r="Q2689" s="88"/>
      <c r="R2689" s="78">
        <f>MAX(S2689:W2689)</f>
        <v>0</v>
      </c>
      <c r="S2689" s="88"/>
      <c r="T2689" s="88"/>
      <c r="U2689" s="88"/>
      <c r="V2689" s="88"/>
      <c r="W2689" s="88"/>
    </row>
    <row r="2690" spans="2:23" s="0" customFormat="0" ht="15">
      <c r="B2690" s="87" t="s">
        <v>1</v>
      </c>
      <c r="C2690" s="88" t="s">
        <v>5259</v>
      </c>
      <c r="D2690" s="88" t="s">
        <v>4500</v>
      </c>
      <c r="E2690" s="88" t="s">
        <v>61</v>
      </c>
      <c r="F2690" s="88">
        <v>0</v>
      </c>
      <c r="G2690" s="78">
        <f>MAX(H2690,I2690,J2690)</f>
        <v>0</v>
      </c>
      <c r="H2690" s="88"/>
      <c r="I2690" s="88"/>
      <c r="J2690" s="78">
        <f>MAX(K2690:Q2690)</f>
        <v>0</v>
      </c>
      <c r="K2690" s="88"/>
      <c r="L2690" s="88"/>
      <c r="M2690" s="88"/>
      <c r="N2690" s="88"/>
      <c r="O2690" s="88"/>
      <c r="P2690" s="88"/>
      <c r="Q2690" s="88"/>
      <c r="R2690" s="78">
        <f>MAX(S2690:W2690)</f>
        <v>1</v>
      </c>
      <c r="S2690" s="88"/>
      <c r="T2690" s="88"/>
      <c r="U2690" s="88">
        <v>1</v>
      </c>
      <c r="V2690" s="88"/>
      <c r="W2690" s="88"/>
    </row>
    <row r="2691" spans="2:23" s="0" customFormat="0" ht="15">
      <c r="B2691" s="87" t="s">
        <v>1</v>
      </c>
      <c r="C2691" s="88" t="s">
        <v>5259</v>
      </c>
      <c r="D2691" s="88" t="s">
        <v>1899</v>
      </c>
      <c r="E2691" s="88" t="s">
        <v>61</v>
      </c>
      <c r="F2691" s="88">
        <v>0</v>
      </c>
      <c r="G2691" s="78">
        <f>MAX(H2691,I2691,J2691)</f>
        <v>1</v>
      </c>
      <c r="H2691" s="88"/>
      <c r="I2691" s="88"/>
      <c r="J2691" s="78">
        <f>MAX(K2691:Q2691)</f>
        <v>1</v>
      </c>
      <c r="K2691" s="88">
        <v>1</v>
      </c>
      <c r="L2691" s="88"/>
      <c r="M2691" s="88"/>
      <c r="N2691" s="88"/>
      <c r="O2691" s="88"/>
      <c r="P2691" s="88"/>
      <c r="Q2691" s="88"/>
      <c r="R2691" s="78">
        <f>MAX(S2691:W2691)</f>
        <v>0</v>
      </c>
      <c r="S2691" s="88"/>
      <c r="T2691" s="88"/>
      <c r="U2691" s="88"/>
      <c r="V2691" s="88"/>
      <c r="W2691" s="88"/>
    </row>
    <row r="2692" spans="2:23" s="0" customFormat="0" ht="15">
      <c r="B2692" s="87" t="s">
        <v>1</v>
      </c>
      <c r="C2692" s="88" t="s">
        <v>5259</v>
      </c>
      <c r="D2692" s="88" t="s">
        <v>931</v>
      </c>
      <c r="E2692" s="88" t="s">
        <v>61</v>
      </c>
      <c r="F2692" s="88">
        <v>0</v>
      </c>
      <c r="G2692" s="78">
        <f>MAX(H2692,I2692,J2692)</f>
        <v>1</v>
      </c>
      <c r="H2692" s="88"/>
      <c r="I2692" s="88"/>
      <c r="J2692" s="78">
        <f>MAX(K2692:Q2692)</f>
        <v>1</v>
      </c>
      <c r="K2692" s="88">
        <v>1</v>
      </c>
      <c r="L2692" s="88"/>
      <c r="M2692" s="88"/>
      <c r="N2692" s="88"/>
      <c r="O2692" s="88"/>
      <c r="P2692" s="88"/>
      <c r="Q2692" s="88"/>
      <c r="R2692" s="78">
        <f>MAX(S2692:W2692)</f>
        <v>0</v>
      </c>
      <c r="S2692" s="88"/>
      <c r="T2692" s="88"/>
      <c r="U2692" s="88"/>
      <c r="V2692" s="88"/>
      <c r="W2692" s="88"/>
    </row>
    <row r="2693" spans="2:23" s="0" customFormat="0" ht="15">
      <c r="B2693" s="87" t="s">
        <v>1</v>
      </c>
      <c r="C2693" s="88" t="s">
        <v>5259</v>
      </c>
      <c r="D2693" s="88" t="s">
        <v>1901</v>
      </c>
      <c r="E2693" s="88" t="s">
        <v>61</v>
      </c>
      <c r="F2693" s="88">
        <v>0</v>
      </c>
      <c r="G2693" s="78">
        <f>MAX(H2693,I2693,J2693)</f>
        <v>1</v>
      </c>
      <c r="H2693" s="88"/>
      <c r="I2693" s="88"/>
      <c r="J2693" s="78">
        <f>MAX(K2693:Q2693)</f>
        <v>1</v>
      </c>
      <c r="K2693" s="88">
        <v>1</v>
      </c>
      <c r="L2693" s="88"/>
      <c r="M2693" s="88"/>
      <c r="N2693" s="88"/>
      <c r="O2693" s="88"/>
      <c r="P2693" s="88"/>
      <c r="Q2693" s="88"/>
      <c r="R2693" s="78">
        <f>MAX(S2693:W2693)</f>
        <v>0</v>
      </c>
      <c r="S2693" s="88"/>
      <c r="T2693" s="88"/>
      <c r="U2693" s="88"/>
      <c r="V2693" s="88"/>
      <c r="W2693" s="88"/>
    </row>
    <row r="2694" spans="2:23" s="0" customFormat="0" ht="15">
      <c r="B2694" s="87" t="s">
        <v>1</v>
      </c>
      <c r="C2694" s="88" t="s">
        <v>5259</v>
      </c>
      <c r="D2694" s="88" t="s">
        <v>1903</v>
      </c>
      <c r="E2694" s="88" t="s">
        <v>61</v>
      </c>
      <c r="F2694" s="88">
        <v>0</v>
      </c>
      <c r="G2694" s="78">
        <f>MAX(H2694,I2694,J2694)</f>
        <v>1</v>
      </c>
      <c r="H2694" s="88"/>
      <c r="I2694" s="88"/>
      <c r="J2694" s="78">
        <f>MAX(K2694:Q2694)</f>
        <v>1</v>
      </c>
      <c r="K2694" s="88">
        <v>1</v>
      </c>
      <c r="L2694" s="88"/>
      <c r="M2694" s="88"/>
      <c r="N2694" s="88"/>
      <c r="O2694" s="88"/>
      <c r="P2694" s="88"/>
      <c r="Q2694" s="88"/>
      <c r="R2694" s="78">
        <f>MAX(S2694:W2694)</f>
        <v>0</v>
      </c>
      <c r="S2694" s="88"/>
      <c r="T2694" s="88"/>
      <c r="U2694" s="88"/>
      <c r="V2694" s="88"/>
      <c r="W2694" s="88"/>
    </row>
    <row r="2695" spans="2:23" s="0" customFormat="0" ht="15">
      <c r="B2695" s="87" t="s">
        <v>1</v>
      </c>
      <c r="C2695" s="88" t="s">
        <v>5259</v>
      </c>
      <c r="D2695" s="88">
        <v>15774240</v>
      </c>
      <c r="E2695" s="88" t="s">
        <v>61</v>
      </c>
      <c r="F2695" s="88">
        <v>0</v>
      </c>
      <c r="G2695" s="78">
        <f>MAX(H2695,I2695,J2695)</f>
        <v>1</v>
      </c>
      <c r="H2695" s="88"/>
      <c r="I2695" s="88"/>
      <c r="J2695" s="78">
        <f>MAX(K2695:Q2695)</f>
        <v>1</v>
      </c>
      <c r="K2695" s="88">
        <v>1</v>
      </c>
      <c r="L2695" s="88"/>
      <c r="M2695" s="88"/>
      <c r="N2695" s="88"/>
      <c r="O2695" s="88"/>
      <c r="P2695" s="88"/>
      <c r="Q2695" s="88"/>
      <c r="R2695" s="78">
        <f>MAX(S2695:W2695)</f>
        <v>0</v>
      </c>
      <c r="S2695" s="88"/>
      <c r="T2695" s="88"/>
      <c r="U2695" s="88"/>
      <c r="V2695" s="88"/>
      <c r="W2695" s="88"/>
    </row>
    <row r="2696" spans="2:23" s="0" customFormat="0" ht="15">
      <c r="B2696" s="87" t="s">
        <v>1</v>
      </c>
      <c r="C2696" s="88" t="s">
        <v>5259</v>
      </c>
      <c r="D2696" s="88">
        <v>23305251</v>
      </c>
      <c r="E2696" s="88" t="s">
        <v>61</v>
      </c>
      <c r="F2696" s="88">
        <v>0</v>
      </c>
      <c r="G2696" s="78">
        <f>MAX(H2696,I2696,J2696)</f>
        <v>1</v>
      </c>
      <c r="H2696" s="88"/>
      <c r="I2696" s="88"/>
      <c r="J2696" s="78">
        <f>MAX(K2696:Q2696)</f>
        <v>1</v>
      </c>
      <c r="K2696" s="88">
        <v>1</v>
      </c>
      <c r="L2696" s="88"/>
      <c r="M2696" s="88"/>
      <c r="N2696" s="88"/>
      <c r="O2696" s="88"/>
      <c r="P2696" s="88"/>
      <c r="Q2696" s="88"/>
      <c r="R2696" s="78">
        <f>MAX(S2696:W2696)</f>
        <v>0</v>
      </c>
      <c r="S2696" s="88"/>
      <c r="T2696" s="88"/>
      <c r="U2696" s="88"/>
      <c r="V2696" s="88"/>
      <c r="W2696" s="88"/>
    </row>
    <row r="2697" spans="2:23" s="0" customFormat="0" ht="15">
      <c r="B2697" s="87" t="s">
        <v>1</v>
      </c>
      <c r="C2697" s="88" t="s">
        <v>5259</v>
      </c>
      <c r="D2697" s="88" t="s">
        <v>1906</v>
      </c>
      <c r="E2697" s="88" t="s">
        <v>61</v>
      </c>
      <c r="F2697" s="88">
        <v>0</v>
      </c>
      <c r="G2697" s="78">
        <f>MAX(H2697,I2697,J2697)</f>
        <v>1</v>
      </c>
      <c r="H2697" s="88"/>
      <c r="I2697" s="88"/>
      <c r="J2697" s="78">
        <f>MAX(K2697:Q2697)</f>
        <v>1</v>
      </c>
      <c r="K2697" s="88">
        <v>1</v>
      </c>
      <c r="L2697" s="88"/>
      <c r="M2697" s="88"/>
      <c r="N2697" s="88"/>
      <c r="O2697" s="88"/>
      <c r="P2697" s="88"/>
      <c r="Q2697" s="88"/>
      <c r="R2697" s="78">
        <f>MAX(S2697:W2697)</f>
        <v>0</v>
      </c>
      <c r="S2697" s="88"/>
      <c r="T2697" s="88"/>
      <c r="U2697" s="88"/>
      <c r="V2697" s="88"/>
      <c r="W2697" s="88"/>
    </row>
    <row r="2698" spans="2:23" s="0" customFormat="0" ht="15">
      <c r="B2698" s="87" t="s">
        <v>1</v>
      </c>
      <c r="C2698" s="88" t="s">
        <v>5259</v>
      </c>
      <c r="D2698" s="88" t="s">
        <v>3807</v>
      </c>
      <c r="E2698" s="88" t="s">
        <v>61</v>
      </c>
      <c r="F2698" s="88">
        <v>0</v>
      </c>
      <c r="G2698" s="78">
        <f>MAX(H2698,I2698,J2698)</f>
        <v>0</v>
      </c>
      <c r="H2698" s="88"/>
      <c r="I2698" s="88"/>
      <c r="J2698" s="78">
        <f>MAX(K2698:Q2698)</f>
        <v>0</v>
      </c>
      <c r="K2698" s="88"/>
      <c r="L2698" s="88"/>
      <c r="M2698" s="88"/>
      <c r="N2698" s="88"/>
      <c r="O2698" s="88"/>
      <c r="P2698" s="88"/>
      <c r="Q2698" s="88"/>
      <c r="R2698" s="78">
        <f>MAX(S2698:W2698)</f>
        <v>1</v>
      </c>
      <c r="S2698" s="88"/>
      <c r="T2698" s="88"/>
      <c r="U2698" s="88">
        <v>1</v>
      </c>
      <c r="V2698" s="88"/>
      <c r="W2698" s="88"/>
    </row>
    <row r="2699" spans="2:23" s="0" customFormat="0" ht="15">
      <c r="B2699" s="87" t="s">
        <v>1</v>
      </c>
      <c r="C2699" s="88" t="s">
        <v>5259</v>
      </c>
      <c r="D2699" s="88" t="s">
        <v>3069</v>
      </c>
      <c r="E2699" s="88" t="s">
        <v>61</v>
      </c>
      <c r="F2699" s="88">
        <v>0</v>
      </c>
      <c r="G2699" s="78">
        <f>MAX(H2699,I2699,J2699)</f>
        <v>1</v>
      </c>
      <c r="H2699" s="88"/>
      <c r="I2699" s="88"/>
      <c r="J2699" s="78">
        <f>MAX(K2699:Q2699)</f>
        <v>1</v>
      </c>
      <c r="K2699" s="88"/>
      <c r="L2699" s="88"/>
      <c r="M2699" s="88">
        <v>1</v>
      </c>
      <c r="N2699" s="88"/>
      <c r="O2699" s="88"/>
      <c r="P2699" s="88"/>
      <c r="Q2699" s="88"/>
      <c r="R2699" s="78">
        <f>MAX(S2699:W2699)</f>
        <v>0</v>
      </c>
      <c r="S2699" s="88"/>
      <c r="T2699" s="88"/>
      <c r="U2699" s="88"/>
      <c r="V2699" s="88"/>
      <c r="W2699" s="88"/>
    </row>
    <row r="2700" spans="2:23" s="0" customFormat="0" ht="15">
      <c r="B2700" s="87" t="s">
        <v>1</v>
      </c>
      <c r="C2700" s="88" t="s">
        <v>5259</v>
      </c>
      <c r="D2700" s="88">
        <v>21151212</v>
      </c>
      <c r="E2700" s="88" t="s">
        <v>61</v>
      </c>
      <c r="F2700" s="88">
        <v>0</v>
      </c>
      <c r="G2700" s="78">
        <f>MAX(H2700,I2700,J2700)</f>
        <v>1</v>
      </c>
      <c r="H2700" s="88"/>
      <c r="I2700" s="88"/>
      <c r="J2700" s="78">
        <f>MAX(K2700:Q2700)</f>
        <v>1</v>
      </c>
      <c r="K2700" s="88">
        <v>1</v>
      </c>
      <c r="L2700" s="88"/>
      <c r="M2700" s="88"/>
      <c r="N2700" s="88"/>
      <c r="O2700" s="88"/>
      <c r="P2700" s="88"/>
      <c r="Q2700" s="88"/>
      <c r="R2700" s="78">
        <f>MAX(S2700:W2700)</f>
        <v>0</v>
      </c>
      <c r="S2700" s="88"/>
      <c r="T2700" s="88"/>
      <c r="U2700" s="88"/>
      <c r="V2700" s="88"/>
      <c r="W2700" s="88"/>
    </row>
    <row r="2701" spans="2:23" s="0" customFormat="0" ht="15">
      <c r="B2701" s="87" t="s">
        <v>1</v>
      </c>
      <c r="C2701" s="88" t="s">
        <v>5259</v>
      </c>
      <c r="D2701" s="88">
        <v>21772341</v>
      </c>
      <c r="E2701" s="88" t="s">
        <v>61</v>
      </c>
      <c r="F2701" s="88">
        <v>0</v>
      </c>
      <c r="G2701" s="78">
        <f>MAX(H2701,I2701,J2701)</f>
        <v>1</v>
      </c>
      <c r="H2701" s="88"/>
      <c r="I2701" s="88"/>
      <c r="J2701" s="78">
        <f>MAX(K2701:Q2701)</f>
        <v>1</v>
      </c>
      <c r="K2701" s="88">
        <v>1</v>
      </c>
      <c r="L2701" s="88"/>
      <c r="M2701" s="88"/>
      <c r="N2701" s="88"/>
      <c r="O2701" s="88"/>
      <c r="P2701" s="88"/>
      <c r="Q2701" s="88"/>
      <c r="R2701" s="78">
        <f>MAX(S2701:W2701)</f>
        <v>0</v>
      </c>
      <c r="S2701" s="88"/>
      <c r="T2701" s="88"/>
      <c r="U2701" s="88"/>
      <c r="V2701" s="88"/>
      <c r="W2701" s="88"/>
    </row>
    <row r="2702" spans="2:23" s="0" customFormat="0" ht="15">
      <c r="B2702" s="87" t="s">
        <v>1</v>
      </c>
      <c r="C2702" s="88" t="s">
        <v>5259</v>
      </c>
      <c r="D2702" s="88" t="s">
        <v>1831</v>
      </c>
      <c r="E2702" s="88" t="s">
        <v>61</v>
      </c>
      <c r="F2702" s="88">
        <v>0</v>
      </c>
      <c r="G2702" s="78">
        <f>MAX(H2702,I2702,J2702)</f>
        <v>1</v>
      </c>
      <c r="H2702" s="88"/>
      <c r="I2702" s="88"/>
      <c r="J2702" s="78">
        <f>MAX(K2702:Q2702)</f>
        <v>1</v>
      </c>
      <c r="K2702" s="88">
        <v>1</v>
      </c>
      <c r="L2702" s="88"/>
      <c r="M2702" s="88"/>
      <c r="N2702" s="88"/>
      <c r="O2702" s="88"/>
      <c r="P2702" s="88"/>
      <c r="Q2702" s="88"/>
      <c r="R2702" s="78">
        <f>MAX(S2702:W2702)</f>
        <v>0</v>
      </c>
      <c r="S2702" s="88"/>
      <c r="T2702" s="88"/>
      <c r="U2702" s="88"/>
      <c r="V2702" s="88"/>
      <c r="W2702" s="88"/>
    </row>
    <row r="2703" spans="2:23" s="0" customFormat="0" ht="15">
      <c r="B2703" s="87" t="s">
        <v>1</v>
      </c>
      <c r="C2703" s="88" t="s">
        <v>5259</v>
      </c>
      <c r="D2703" s="88">
        <v>23432952</v>
      </c>
      <c r="E2703" s="88" t="s">
        <v>61</v>
      </c>
      <c r="F2703" s="88">
        <v>0</v>
      </c>
      <c r="G2703" s="78">
        <f>MAX(H2703,I2703,J2703)</f>
        <v>1</v>
      </c>
      <c r="H2703" s="88"/>
      <c r="I2703" s="88"/>
      <c r="J2703" s="78">
        <f>MAX(K2703:Q2703)</f>
        <v>1</v>
      </c>
      <c r="K2703" s="88">
        <v>1</v>
      </c>
      <c r="L2703" s="88"/>
      <c r="M2703" s="88"/>
      <c r="N2703" s="88"/>
      <c r="O2703" s="88"/>
      <c r="P2703" s="88"/>
      <c r="Q2703" s="88"/>
      <c r="R2703" s="78">
        <f>MAX(S2703:W2703)</f>
        <v>0</v>
      </c>
      <c r="S2703" s="88"/>
      <c r="T2703" s="88"/>
      <c r="U2703" s="88"/>
      <c r="V2703" s="88"/>
      <c r="W2703" s="88"/>
    </row>
    <row r="2704" spans="2:23" s="0" customFormat="0" ht="15">
      <c r="B2704" s="87" t="s">
        <v>1</v>
      </c>
      <c r="C2704" s="88" t="s">
        <v>5259</v>
      </c>
      <c r="D2704" s="88" t="s">
        <v>1910</v>
      </c>
      <c r="E2704" s="88" t="s">
        <v>61</v>
      </c>
      <c r="F2704" s="88">
        <v>0</v>
      </c>
      <c r="G2704" s="78">
        <f>MAX(H2704,I2704,J2704)</f>
        <v>1</v>
      </c>
      <c r="H2704" s="88"/>
      <c r="I2704" s="88"/>
      <c r="J2704" s="78">
        <f>MAX(K2704:Q2704)</f>
        <v>1</v>
      </c>
      <c r="K2704" s="88">
        <v>1</v>
      </c>
      <c r="L2704" s="88"/>
      <c r="M2704" s="88"/>
      <c r="N2704" s="88"/>
      <c r="O2704" s="88"/>
      <c r="P2704" s="88"/>
      <c r="Q2704" s="88"/>
      <c r="R2704" s="78">
        <f>MAX(S2704:W2704)</f>
        <v>0</v>
      </c>
      <c r="S2704" s="88"/>
      <c r="T2704" s="88"/>
      <c r="U2704" s="88"/>
      <c r="V2704" s="88"/>
      <c r="W2704" s="88"/>
    </row>
    <row r="2705" spans="2:23" s="0" customFormat="0" ht="15">
      <c r="B2705" s="87" t="s">
        <v>1</v>
      </c>
      <c r="C2705" s="88" t="s">
        <v>5259</v>
      </c>
      <c r="D2705" s="88" t="s">
        <v>1912</v>
      </c>
      <c r="E2705" s="88" t="s">
        <v>61</v>
      </c>
      <c r="F2705" s="88">
        <v>0</v>
      </c>
      <c r="G2705" s="78">
        <f>MAX(H2705,I2705,J2705)</f>
        <v>1</v>
      </c>
      <c r="H2705" s="88"/>
      <c r="I2705" s="88"/>
      <c r="J2705" s="78">
        <f>MAX(K2705:Q2705)</f>
        <v>1</v>
      </c>
      <c r="K2705" s="88">
        <v>1</v>
      </c>
      <c r="L2705" s="88"/>
      <c r="M2705" s="88"/>
      <c r="N2705" s="88"/>
      <c r="O2705" s="88"/>
      <c r="P2705" s="88"/>
      <c r="Q2705" s="88"/>
      <c r="R2705" s="78">
        <f>MAX(S2705:W2705)</f>
        <v>0</v>
      </c>
      <c r="S2705" s="88"/>
      <c r="T2705" s="88"/>
      <c r="U2705" s="88"/>
      <c r="V2705" s="88"/>
      <c r="W2705" s="88"/>
    </row>
    <row r="2706" spans="2:23" s="0" customFormat="0" ht="15">
      <c r="B2706" s="87" t="s">
        <v>1</v>
      </c>
      <c r="C2706" s="88" t="s">
        <v>5259</v>
      </c>
      <c r="D2706" s="88">
        <v>19616258</v>
      </c>
      <c r="E2706" s="88" t="s">
        <v>61</v>
      </c>
      <c r="F2706" s="88">
        <v>0</v>
      </c>
      <c r="G2706" s="78">
        <f>MAX(H2706,I2706,J2706)</f>
        <v>1</v>
      </c>
      <c r="H2706" s="88"/>
      <c r="I2706" s="88"/>
      <c r="J2706" s="78">
        <f>MAX(K2706:Q2706)</f>
        <v>1</v>
      </c>
      <c r="K2706" s="88">
        <v>1</v>
      </c>
      <c r="L2706" s="88"/>
      <c r="M2706" s="88"/>
      <c r="N2706" s="88"/>
      <c r="O2706" s="88"/>
      <c r="P2706" s="88"/>
      <c r="Q2706" s="88"/>
      <c r="R2706" s="78">
        <f>MAX(S2706:W2706)</f>
        <v>0</v>
      </c>
      <c r="S2706" s="88"/>
      <c r="T2706" s="88"/>
      <c r="U2706" s="88"/>
      <c r="V2706" s="88"/>
      <c r="W2706" s="88"/>
    </row>
    <row r="2707" spans="2:23" s="0" customFormat="0" ht="15">
      <c r="B2707" s="87" t="s">
        <v>1</v>
      </c>
      <c r="C2707" s="88" t="s">
        <v>5259</v>
      </c>
      <c r="D2707" s="88">
        <v>19216281</v>
      </c>
      <c r="E2707" s="88" t="s">
        <v>61</v>
      </c>
      <c r="F2707" s="88">
        <v>0</v>
      </c>
      <c r="G2707" s="78">
        <f>MAX(H2707,I2707,J2707)</f>
        <v>1</v>
      </c>
      <c r="H2707" s="88"/>
      <c r="I2707" s="88"/>
      <c r="J2707" s="78">
        <f>MAX(K2707:Q2707)</f>
        <v>1</v>
      </c>
      <c r="K2707" s="88">
        <v>1</v>
      </c>
      <c r="L2707" s="88"/>
      <c r="M2707" s="88"/>
      <c r="N2707" s="88"/>
      <c r="O2707" s="88"/>
      <c r="P2707" s="88"/>
      <c r="Q2707" s="88"/>
      <c r="R2707" s="78">
        <f>MAX(S2707:W2707)</f>
        <v>0</v>
      </c>
      <c r="S2707" s="88"/>
      <c r="T2707" s="88"/>
      <c r="U2707" s="88"/>
      <c r="V2707" s="88"/>
      <c r="W2707" s="88"/>
    </row>
    <row r="2708" spans="2:23" s="0" customFormat="0" ht="15">
      <c r="B2708" s="87" t="s">
        <v>1</v>
      </c>
      <c r="C2708" s="88" t="s">
        <v>5259</v>
      </c>
      <c r="D2708" s="88" t="s">
        <v>3896</v>
      </c>
      <c r="E2708" s="88" t="s">
        <v>61</v>
      </c>
      <c r="F2708" s="88">
        <v>0</v>
      </c>
      <c r="G2708" s="78">
        <f>MAX(H2708,I2708,J2708)</f>
        <v>0</v>
      </c>
      <c r="H2708" s="88"/>
      <c r="I2708" s="88"/>
      <c r="J2708" s="78">
        <f>MAX(K2708:Q2708)</f>
        <v>0</v>
      </c>
      <c r="K2708" s="88"/>
      <c r="L2708" s="88"/>
      <c r="M2708" s="88"/>
      <c r="N2708" s="88"/>
      <c r="O2708" s="88"/>
      <c r="P2708" s="88"/>
      <c r="Q2708" s="88"/>
      <c r="R2708" s="78">
        <f>MAX(S2708:W2708)</f>
        <v>1</v>
      </c>
      <c r="S2708" s="88"/>
      <c r="T2708" s="88"/>
      <c r="U2708" s="88">
        <v>1</v>
      </c>
      <c r="V2708" s="88"/>
      <c r="W2708" s="88"/>
    </row>
    <row r="2709" spans="2:23" s="0" customFormat="0" ht="15">
      <c r="B2709" s="87" t="s">
        <v>1</v>
      </c>
      <c r="C2709" s="88" t="s">
        <v>5259</v>
      </c>
      <c r="D2709" s="88">
        <v>23207299</v>
      </c>
      <c r="E2709" s="88" t="s">
        <v>61</v>
      </c>
      <c r="F2709" s="88">
        <v>0</v>
      </c>
      <c r="G2709" s="78">
        <f>MAX(H2709,I2709,J2709)</f>
        <v>1</v>
      </c>
      <c r="H2709" s="88"/>
      <c r="I2709" s="88"/>
      <c r="J2709" s="78">
        <f>MAX(K2709:Q2709)</f>
        <v>1</v>
      </c>
      <c r="K2709" s="88">
        <v>1</v>
      </c>
      <c r="L2709" s="88"/>
      <c r="M2709" s="88"/>
      <c r="N2709" s="88"/>
      <c r="O2709" s="88"/>
      <c r="P2709" s="88"/>
      <c r="Q2709" s="88"/>
      <c r="R2709" s="78">
        <f>MAX(S2709:W2709)</f>
        <v>0</v>
      </c>
      <c r="S2709" s="88"/>
      <c r="T2709" s="88"/>
      <c r="U2709" s="88"/>
      <c r="V2709" s="88"/>
      <c r="W2709" s="88"/>
    </row>
    <row r="2710" spans="2:23" s="0" customFormat="0" ht="15">
      <c r="B2710" s="87" t="s">
        <v>1</v>
      </c>
      <c r="C2710" s="88" t="s">
        <v>5259</v>
      </c>
      <c r="D2710" s="88">
        <v>16974253</v>
      </c>
      <c r="E2710" s="88" t="s">
        <v>61</v>
      </c>
      <c r="F2710" s="88">
        <v>0</v>
      </c>
      <c r="G2710" s="78">
        <f>MAX(H2710,I2710,J2710)</f>
        <v>1</v>
      </c>
      <c r="H2710" s="88"/>
      <c r="I2710" s="88"/>
      <c r="J2710" s="78">
        <f>MAX(K2710:Q2710)</f>
        <v>1</v>
      </c>
      <c r="K2710" s="88">
        <v>1</v>
      </c>
      <c r="L2710" s="88"/>
      <c r="M2710" s="88"/>
      <c r="N2710" s="88"/>
      <c r="O2710" s="88"/>
      <c r="P2710" s="88"/>
      <c r="Q2710" s="88"/>
      <c r="R2710" s="78">
        <f>MAX(S2710:W2710)</f>
        <v>0</v>
      </c>
      <c r="S2710" s="88"/>
      <c r="T2710" s="88"/>
      <c r="U2710" s="88"/>
      <c r="V2710" s="88"/>
      <c r="W2710" s="88"/>
    </row>
    <row r="2711" spans="2:23" s="0" customFormat="0" ht="15">
      <c r="B2711" s="87" t="s">
        <v>1</v>
      </c>
      <c r="C2711" s="88" t="s">
        <v>5259</v>
      </c>
      <c r="D2711" s="88" t="s">
        <v>4362</v>
      </c>
      <c r="E2711" s="88" t="s">
        <v>61</v>
      </c>
      <c r="F2711" s="88">
        <v>0</v>
      </c>
      <c r="G2711" s="78">
        <f>MAX(H2711,I2711,J2711)</f>
        <v>0</v>
      </c>
      <c r="H2711" s="88"/>
      <c r="I2711" s="88"/>
      <c r="J2711" s="78">
        <f>MAX(K2711:Q2711)</f>
        <v>0</v>
      </c>
      <c r="K2711" s="88"/>
      <c r="L2711" s="88"/>
      <c r="M2711" s="88"/>
      <c r="N2711" s="88"/>
      <c r="O2711" s="88"/>
      <c r="P2711" s="88"/>
      <c r="Q2711" s="88"/>
      <c r="R2711" s="78">
        <f>MAX(S2711:W2711)</f>
        <v>1</v>
      </c>
      <c r="S2711" s="88"/>
      <c r="T2711" s="88"/>
      <c r="U2711" s="88">
        <v>1</v>
      </c>
      <c r="V2711" s="88"/>
      <c r="W2711" s="88"/>
    </row>
    <row r="2712" spans="2:23" s="0" customFormat="0" ht="15">
      <c r="B2712" s="87" t="s">
        <v>1</v>
      </c>
      <c r="C2712" s="88" t="s">
        <v>5259</v>
      </c>
      <c r="D2712" s="88">
        <v>14593298</v>
      </c>
      <c r="E2712" s="88" t="s">
        <v>61</v>
      </c>
      <c r="F2712" s="88">
        <v>0</v>
      </c>
      <c r="G2712" s="78">
        <f>MAX(H2712,I2712,J2712)</f>
        <v>1</v>
      </c>
      <c r="H2712" s="88"/>
      <c r="I2712" s="88"/>
      <c r="J2712" s="78">
        <f>MAX(K2712:Q2712)</f>
        <v>1</v>
      </c>
      <c r="K2712" s="88">
        <v>1</v>
      </c>
      <c r="L2712" s="88"/>
      <c r="M2712" s="88"/>
      <c r="N2712" s="88"/>
      <c r="O2712" s="88"/>
      <c r="P2712" s="88"/>
      <c r="Q2712" s="88"/>
      <c r="R2712" s="78">
        <f>MAX(S2712:W2712)</f>
        <v>0</v>
      </c>
      <c r="S2712" s="88"/>
      <c r="T2712" s="88"/>
      <c r="U2712" s="88"/>
      <c r="V2712" s="88"/>
      <c r="W2712" s="88"/>
    </row>
    <row r="2713" spans="2:23" s="0" customFormat="0" ht="15">
      <c r="B2713" s="87" t="s">
        <v>1</v>
      </c>
      <c r="C2713" s="88" t="s">
        <v>5259</v>
      </c>
      <c r="D2713" s="88" t="s">
        <v>1917</v>
      </c>
      <c r="E2713" s="88" t="s">
        <v>61</v>
      </c>
      <c r="F2713" s="88">
        <v>0</v>
      </c>
      <c r="G2713" s="78">
        <f>MAX(H2713,I2713,J2713)</f>
        <v>1</v>
      </c>
      <c r="H2713" s="88"/>
      <c r="I2713" s="88"/>
      <c r="J2713" s="78">
        <f>MAX(K2713:Q2713)</f>
        <v>1</v>
      </c>
      <c r="K2713" s="88">
        <v>1</v>
      </c>
      <c r="L2713" s="88"/>
      <c r="M2713" s="88"/>
      <c r="N2713" s="88"/>
      <c r="O2713" s="88"/>
      <c r="P2713" s="88"/>
      <c r="Q2713" s="88"/>
      <c r="R2713" s="78">
        <f>MAX(S2713:W2713)</f>
        <v>0</v>
      </c>
      <c r="S2713" s="88"/>
      <c r="T2713" s="88"/>
      <c r="U2713" s="88"/>
      <c r="V2713" s="88"/>
      <c r="W2713" s="88"/>
    </row>
    <row r="2714" spans="2:23" s="0" customFormat="0" ht="15">
      <c r="B2714" s="87" t="s">
        <v>1</v>
      </c>
      <c r="C2714" s="88" t="s">
        <v>5259</v>
      </c>
      <c r="D2714" s="88">
        <v>12012728</v>
      </c>
      <c r="E2714" s="88" t="s">
        <v>61</v>
      </c>
      <c r="F2714" s="88">
        <v>0</v>
      </c>
      <c r="G2714" s="78">
        <f>MAX(H2714,I2714,J2714)</f>
        <v>1</v>
      </c>
      <c r="H2714" s="88"/>
      <c r="I2714" s="88"/>
      <c r="J2714" s="78">
        <f>MAX(K2714:Q2714)</f>
        <v>1</v>
      </c>
      <c r="K2714" s="88">
        <v>1</v>
      </c>
      <c r="L2714" s="88"/>
      <c r="M2714" s="88"/>
      <c r="N2714" s="88"/>
      <c r="O2714" s="88"/>
      <c r="P2714" s="88"/>
      <c r="Q2714" s="88"/>
      <c r="R2714" s="78">
        <f>MAX(S2714:W2714)</f>
        <v>0</v>
      </c>
      <c r="S2714" s="88"/>
      <c r="T2714" s="88"/>
      <c r="U2714" s="88"/>
      <c r="V2714" s="88"/>
      <c r="W2714" s="88"/>
    </row>
    <row r="2715" spans="2:23" s="0" customFormat="0" ht="15">
      <c r="B2715" s="87" t="s">
        <v>1</v>
      </c>
      <c r="C2715" s="88" t="s">
        <v>5259</v>
      </c>
      <c r="D2715" s="88" t="s">
        <v>595</v>
      </c>
      <c r="E2715" s="88" t="s">
        <v>61</v>
      </c>
      <c r="F2715" s="88">
        <v>0</v>
      </c>
      <c r="G2715" s="78">
        <f>MAX(H2715,I2715,J2715)</f>
        <v>1</v>
      </c>
      <c r="H2715" s="88"/>
      <c r="I2715" s="88"/>
      <c r="J2715" s="78">
        <f>MAX(K2715:Q2715)</f>
        <v>1</v>
      </c>
      <c r="K2715" s="88">
        <v>1</v>
      </c>
      <c r="L2715" s="88"/>
      <c r="M2715" s="88"/>
      <c r="N2715" s="88"/>
      <c r="O2715" s="88"/>
      <c r="P2715" s="88"/>
      <c r="Q2715" s="88"/>
      <c r="R2715" s="78">
        <f>MAX(S2715:W2715)</f>
        <v>0</v>
      </c>
      <c r="S2715" s="88"/>
      <c r="T2715" s="88"/>
      <c r="U2715" s="88"/>
      <c r="V2715" s="88"/>
      <c r="W2715" s="88"/>
    </row>
    <row r="2716" spans="2:23" s="0" customFormat="0" ht="15">
      <c r="B2716" s="87" t="s">
        <v>1</v>
      </c>
      <c r="C2716" s="88" t="s">
        <v>5259</v>
      </c>
      <c r="D2716" s="88">
        <v>24423126</v>
      </c>
      <c r="E2716" s="88" t="s">
        <v>61</v>
      </c>
      <c r="F2716" s="88">
        <v>0</v>
      </c>
      <c r="G2716" s="78">
        <f>MAX(H2716,I2716,J2716)</f>
        <v>1</v>
      </c>
      <c r="H2716" s="88"/>
      <c r="I2716" s="88"/>
      <c r="J2716" s="78">
        <f>MAX(K2716:Q2716)</f>
        <v>1</v>
      </c>
      <c r="K2716" s="88">
        <v>1</v>
      </c>
      <c r="L2716" s="88"/>
      <c r="M2716" s="88"/>
      <c r="N2716" s="88"/>
      <c r="O2716" s="88"/>
      <c r="P2716" s="88"/>
      <c r="Q2716" s="88"/>
      <c r="R2716" s="78">
        <f>MAX(S2716:W2716)</f>
        <v>0</v>
      </c>
      <c r="S2716" s="88"/>
      <c r="T2716" s="88"/>
      <c r="U2716" s="88"/>
      <c r="V2716" s="88"/>
      <c r="W2716" s="88"/>
    </row>
    <row r="2717" spans="2:23" s="0" customFormat="0" ht="15">
      <c r="B2717" s="87" t="s">
        <v>1</v>
      </c>
      <c r="C2717" s="88" t="s">
        <v>5259</v>
      </c>
      <c r="D2717" s="88">
        <v>17561283</v>
      </c>
      <c r="E2717" s="88" t="s">
        <v>61</v>
      </c>
      <c r="F2717" s="88">
        <v>0</v>
      </c>
      <c r="G2717" s="78">
        <f>MAX(H2717,I2717,J2717)</f>
        <v>1</v>
      </c>
      <c r="H2717" s="88"/>
      <c r="I2717" s="88"/>
      <c r="J2717" s="78">
        <f>MAX(K2717:Q2717)</f>
        <v>1</v>
      </c>
      <c r="K2717" s="88">
        <v>1</v>
      </c>
      <c r="L2717" s="88"/>
      <c r="M2717" s="88"/>
      <c r="N2717" s="88"/>
      <c r="O2717" s="88"/>
      <c r="P2717" s="88"/>
      <c r="Q2717" s="88"/>
      <c r="R2717" s="78">
        <f>MAX(S2717:W2717)</f>
        <v>0</v>
      </c>
      <c r="S2717" s="88"/>
      <c r="T2717" s="88"/>
      <c r="U2717" s="88"/>
      <c r="V2717" s="88"/>
      <c r="W2717" s="88"/>
    </row>
    <row r="2718" spans="2:23" s="0" customFormat="0" ht="15">
      <c r="B2718" s="87" t="s">
        <v>1</v>
      </c>
      <c r="C2718" s="88" t="s">
        <v>5259</v>
      </c>
      <c r="D2718" s="88">
        <v>23437205</v>
      </c>
      <c r="E2718" s="88" t="s">
        <v>61</v>
      </c>
      <c r="F2718" s="88">
        <v>0</v>
      </c>
      <c r="G2718" s="78">
        <f>MAX(H2718,I2718,J2718)</f>
        <v>1</v>
      </c>
      <c r="H2718" s="88"/>
      <c r="I2718" s="88"/>
      <c r="J2718" s="78">
        <f>MAX(K2718:Q2718)</f>
        <v>1</v>
      </c>
      <c r="K2718" s="88">
        <v>1</v>
      </c>
      <c r="L2718" s="88"/>
      <c r="M2718" s="88"/>
      <c r="N2718" s="88"/>
      <c r="O2718" s="88"/>
      <c r="P2718" s="88"/>
      <c r="Q2718" s="88"/>
      <c r="R2718" s="78">
        <f>MAX(S2718:W2718)</f>
        <v>0</v>
      </c>
      <c r="S2718" s="88"/>
      <c r="T2718" s="88"/>
      <c r="U2718" s="88"/>
      <c r="V2718" s="88"/>
      <c r="W2718" s="88"/>
    </row>
    <row r="2719" spans="2:23" s="0" customFormat="0" ht="15">
      <c r="B2719" s="87" t="s">
        <v>1</v>
      </c>
      <c r="C2719" s="88" t="s">
        <v>5259</v>
      </c>
      <c r="D2719" s="88" t="s">
        <v>4502</v>
      </c>
      <c r="E2719" s="88" t="s">
        <v>61</v>
      </c>
      <c r="F2719" s="88">
        <v>0</v>
      </c>
      <c r="G2719" s="78">
        <f>MAX(H2719,I2719,J2719)</f>
        <v>0</v>
      </c>
      <c r="H2719" s="88"/>
      <c r="I2719" s="88"/>
      <c r="J2719" s="78">
        <f>MAX(K2719:Q2719)</f>
        <v>0</v>
      </c>
      <c r="K2719" s="88"/>
      <c r="L2719" s="88"/>
      <c r="M2719" s="88"/>
      <c r="N2719" s="88"/>
      <c r="O2719" s="88"/>
      <c r="P2719" s="88"/>
      <c r="Q2719" s="88"/>
      <c r="R2719" s="78">
        <f>MAX(S2719:W2719)</f>
        <v>1</v>
      </c>
      <c r="S2719" s="88"/>
      <c r="T2719" s="88"/>
      <c r="U2719" s="88">
        <v>1</v>
      </c>
      <c r="V2719" s="88"/>
      <c r="W2719" s="88"/>
    </row>
    <row r="2720" spans="2:23" s="0" customFormat="0" ht="15">
      <c r="B2720" s="87" t="s">
        <v>1</v>
      </c>
      <c r="C2720" s="88" t="s">
        <v>5259</v>
      </c>
      <c r="D2720" s="88">
        <v>15462936</v>
      </c>
      <c r="E2720" s="88" t="s">
        <v>61</v>
      </c>
      <c r="F2720" s="88">
        <v>0</v>
      </c>
      <c r="G2720" s="78">
        <f>MAX(H2720,I2720,J2720)</f>
        <v>1</v>
      </c>
      <c r="H2720" s="88"/>
      <c r="I2720" s="88"/>
      <c r="J2720" s="78">
        <f>MAX(K2720:Q2720)</f>
        <v>1</v>
      </c>
      <c r="K2720" s="88">
        <v>1</v>
      </c>
      <c r="L2720" s="88"/>
      <c r="M2720" s="88"/>
      <c r="N2720" s="88"/>
      <c r="O2720" s="88"/>
      <c r="P2720" s="88"/>
      <c r="Q2720" s="88"/>
      <c r="R2720" s="78">
        <f>MAX(S2720:W2720)</f>
        <v>0</v>
      </c>
      <c r="S2720" s="88"/>
      <c r="T2720" s="88"/>
      <c r="U2720" s="88"/>
      <c r="V2720" s="88"/>
      <c r="W2720" s="88"/>
    </row>
    <row r="2721" spans="2:23" s="0" customFormat="0" ht="15">
      <c r="B2721" s="87" t="s">
        <v>1</v>
      </c>
      <c r="C2721" s="88" t="s">
        <v>5259</v>
      </c>
      <c r="D2721" s="88">
        <v>21245626</v>
      </c>
      <c r="E2721" s="88" t="s">
        <v>61</v>
      </c>
      <c r="F2721" s="88">
        <v>0</v>
      </c>
      <c r="G2721" s="78">
        <f>MAX(H2721,I2721,J2721)</f>
        <v>1</v>
      </c>
      <c r="H2721" s="88"/>
      <c r="I2721" s="88"/>
      <c r="J2721" s="78">
        <f>MAX(K2721:Q2721)</f>
        <v>1</v>
      </c>
      <c r="K2721" s="88">
        <v>1</v>
      </c>
      <c r="L2721" s="88"/>
      <c r="M2721" s="88"/>
      <c r="N2721" s="88"/>
      <c r="O2721" s="88"/>
      <c r="P2721" s="88"/>
      <c r="Q2721" s="88"/>
      <c r="R2721" s="78">
        <f>MAX(S2721:W2721)</f>
        <v>0</v>
      </c>
      <c r="S2721" s="88"/>
      <c r="T2721" s="88"/>
      <c r="U2721" s="88"/>
      <c r="V2721" s="88"/>
      <c r="W2721" s="88"/>
    </row>
    <row r="2722" spans="2:23" s="0" customFormat="0" ht="15">
      <c r="B2722" s="87" t="s">
        <v>1</v>
      </c>
      <c r="C2722" s="88" t="s">
        <v>5259</v>
      </c>
      <c r="D2722" s="88">
        <v>12414185</v>
      </c>
      <c r="E2722" s="88" t="s">
        <v>61</v>
      </c>
      <c r="F2722" s="88">
        <v>0</v>
      </c>
      <c r="G2722" s="78">
        <f>MAX(H2722,I2722,J2722)</f>
        <v>1</v>
      </c>
      <c r="H2722" s="88"/>
      <c r="I2722" s="88"/>
      <c r="J2722" s="78">
        <f>MAX(K2722:Q2722)</f>
        <v>1</v>
      </c>
      <c r="K2722" s="88">
        <v>1</v>
      </c>
      <c r="L2722" s="88"/>
      <c r="M2722" s="88"/>
      <c r="N2722" s="88"/>
      <c r="O2722" s="88"/>
      <c r="P2722" s="88"/>
      <c r="Q2722" s="88"/>
      <c r="R2722" s="78">
        <f>MAX(S2722:W2722)</f>
        <v>0</v>
      </c>
      <c r="S2722" s="88"/>
      <c r="T2722" s="88"/>
      <c r="U2722" s="88"/>
      <c r="V2722" s="88"/>
      <c r="W2722" s="88"/>
    </row>
    <row r="2723" spans="2:23" s="0" customFormat="0" ht="15">
      <c r="B2723" s="87" t="s">
        <v>1</v>
      </c>
      <c r="C2723" s="88" t="s">
        <v>5259</v>
      </c>
      <c r="D2723" s="88" t="s">
        <v>287</v>
      </c>
      <c r="E2723" s="88" t="s">
        <v>61</v>
      </c>
      <c r="F2723" s="88">
        <v>0</v>
      </c>
      <c r="G2723" s="78">
        <f>MAX(H2723,I2723,J2723)</f>
        <v>1</v>
      </c>
      <c r="H2723" s="88"/>
      <c r="I2723" s="88"/>
      <c r="J2723" s="78">
        <f>MAX(K2723:Q2723)</f>
        <v>1</v>
      </c>
      <c r="K2723" s="88">
        <v>1</v>
      </c>
      <c r="L2723" s="88"/>
      <c r="M2723" s="88"/>
      <c r="N2723" s="88"/>
      <c r="O2723" s="88"/>
      <c r="P2723" s="88"/>
      <c r="Q2723" s="88"/>
      <c r="R2723" s="78">
        <f>MAX(S2723:W2723)</f>
        <v>0</v>
      </c>
      <c r="S2723" s="88"/>
      <c r="T2723" s="88"/>
      <c r="U2723" s="88"/>
      <c r="V2723" s="88"/>
      <c r="W2723" s="88"/>
    </row>
    <row r="2724" spans="2:23" s="0" customFormat="0" ht="15">
      <c r="B2724" s="87" t="s">
        <v>1</v>
      </c>
      <c r="C2724" s="88" t="s">
        <v>5259</v>
      </c>
      <c r="D2724" s="88">
        <v>21771039</v>
      </c>
      <c r="E2724" s="88" t="s">
        <v>61</v>
      </c>
      <c r="F2724" s="88">
        <v>0</v>
      </c>
      <c r="G2724" s="78">
        <f>MAX(H2724,I2724,J2724)</f>
        <v>1</v>
      </c>
      <c r="H2724" s="88"/>
      <c r="I2724" s="88"/>
      <c r="J2724" s="78">
        <f>MAX(K2724:Q2724)</f>
        <v>1</v>
      </c>
      <c r="K2724" s="88">
        <v>1</v>
      </c>
      <c r="L2724" s="88"/>
      <c r="M2724" s="88"/>
      <c r="N2724" s="88"/>
      <c r="O2724" s="88"/>
      <c r="P2724" s="88"/>
      <c r="Q2724" s="88"/>
      <c r="R2724" s="78">
        <f>MAX(S2724:W2724)</f>
        <v>0</v>
      </c>
      <c r="S2724" s="88"/>
      <c r="T2724" s="88"/>
      <c r="U2724" s="88"/>
      <c r="V2724" s="88"/>
      <c r="W2724" s="88"/>
    </row>
    <row r="2725" spans="2:23" s="0" customFormat="0" ht="15">
      <c r="B2725" s="87" t="s">
        <v>1</v>
      </c>
      <c r="C2725" s="88" t="s">
        <v>5259</v>
      </c>
      <c r="D2725" s="88">
        <v>21363927</v>
      </c>
      <c r="E2725" s="88" t="s">
        <v>61</v>
      </c>
      <c r="F2725" s="88">
        <v>0</v>
      </c>
      <c r="G2725" s="78">
        <f>MAX(H2725,I2725,J2725)</f>
        <v>1</v>
      </c>
      <c r="H2725" s="88"/>
      <c r="I2725" s="88"/>
      <c r="J2725" s="78">
        <f>MAX(K2725:Q2725)</f>
        <v>1</v>
      </c>
      <c r="K2725" s="88">
        <v>1</v>
      </c>
      <c r="L2725" s="88"/>
      <c r="M2725" s="88"/>
      <c r="N2725" s="88"/>
      <c r="O2725" s="88"/>
      <c r="P2725" s="88"/>
      <c r="Q2725" s="88"/>
      <c r="R2725" s="78">
        <f>MAX(S2725:W2725)</f>
        <v>0</v>
      </c>
      <c r="S2725" s="88"/>
      <c r="T2725" s="88"/>
      <c r="U2725" s="88"/>
      <c r="V2725" s="88"/>
      <c r="W2725" s="88"/>
    </row>
    <row r="2726" spans="2:23" s="0" customFormat="0" ht="15">
      <c r="B2726" s="87" t="s">
        <v>1</v>
      </c>
      <c r="C2726" s="88" t="s">
        <v>5259</v>
      </c>
      <c r="D2726" s="88" t="s">
        <v>4504</v>
      </c>
      <c r="E2726" s="88" t="s">
        <v>61</v>
      </c>
      <c r="F2726" s="88">
        <v>0</v>
      </c>
      <c r="G2726" s="78">
        <f>MAX(H2726,I2726,J2726)</f>
        <v>0</v>
      </c>
      <c r="H2726" s="88"/>
      <c r="I2726" s="88"/>
      <c r="J2726" s="78">
        <f>MAX(K2726:Q2726)</f>
        <v>0</v>
      </c>
      <c r="K2726" s="88"/>
      <c r="L2726" s="88"/>
      <c r="M2726" s="88"/>
      <c r="N2726" s="88"/>
      <c r="O2726" s="88"/>
      <c r="P2726" s="88"/>
      <c r="Q2726" s="88"/>
      <c r="R2726" s="78">
        <f>MAX(S2726:W2726)</f>
        <v>1</v>
      </c>
      <c r="S2726" s="88"/>
      <c r="T2726" s="88"/>
      <c r="U2726" s="88">
        <v>1</v>
      </c>
      <c r="V2726" s="88"/>
      <c r="W2726" s="88"/>
    </row>
    <row r="2727" spans="2:23" s="0" customFormat="0" ht="15">
      <c r="B2727" s="87" t="s">
        <v>1</v>
      </c>
      <c r="C2727" s="88" t="s">
        <v>5259</v>
      </c>
      <c r="D2727" s="88">
        <v>2290885</v>
      </c>
      <c r="E2727" s="88" t="s">
        <v>61</v>
      </c>
      <c r="F2727" s="88">
        <v>0</v>
      </c>
      <c r="G2727" s="78">
        <f>MAX(H2727,I2727,J2727)</f>
        <v>0</v>
      </c>
      <c r="H2727" s="88"/>
      <c r="I2727" s="88"/>
      <c r="J2727" s="78">
        <f>MAX(K2727:Q2727)</f>
        <v>0</v>
      </c>
      <c r="K2727" s="88"/>
      <c r="L2727" s="88"/>
      <c r="M2727" s="88"/>
      <c r="N2727" s="88"/>
      <c r="O2727" s="88"/>
      <c r="P2727" s="88"/>
      <c r="Q2727" s="88"/>
      <c r="R2727" s="78">
        <f>MAX(S2727:W2727)</f>
        <v>1</v>
      </c>
      <c r="S2727" s="88"/>
      <c r="T2727" s="88"/>
      <c r="U2727" s="88">
        <v>1</v>
      </c>
      <c r="V2727" s="88"/>
      <c r="W2727" s="88"/>
    </row>
    <row r="2728" spans="2:23" s="0" customFormat="0" ht="15">
      <c r="B2728" s="87" t="s">
        <v>1</v>
      </c>
      <c r="C2728" s="88" t="s">
        <v>5259</v>
      </c>
      <c r="D2728" s="88">
        <v>21740949</v>
      </c>
      <c r="E2728" s="88" t="s">
        <v>61</v>
      </c>
      <c r="F2728" s="88">
        <v>0</v>
      </c>
      <c r="G2728" s="78">
        <f>MAX(H2728,I2728,J2728)</f>
        <v>1</v>
      </c>
      <c r="H2728" s="88"/>
      <c r="I2728" s="88"/>
      <c r="J2728" s="78">
        <f>MAX(K2728:Q2728)</f>
        <v>1</v>
      </c>
      <c r="K2728" s="88">
        <v>1</v>
      </c>
      <c r="L2728" s="88"/>
      <c r="M2728" s="88"/>
      <c r="N2728" s="88"/>
      <c r="O2728" s="88"/>
      <c r="P2728" s="88"/>
      <c r="Q2728" s="88"/>
      <c r="R2728" s="78">
        <f>MAX(S2728:W2728)</f>
        <v>0</v>
      </c>
      <c r="S2728" s="88"/>
      <c r="T2728" s="88"/>
      <c r="U2728" s="88"/>
      <c r="V2728" s="88"/>
      <c r="W2728" s="88"/>
    </row>
    <row r="2729" spans="2:23" s="0" customFormat="0" ht="15">
      <c r="B2729" s="87" t="s">
        <v>1</v>
      </c>
      <c r="C2729" s="88" t="s">
        <v>5259</v>
      </c>
      <c r="D2729" s="88">
        <v>18916406</v>
      </c>
      <c r="E2729" s="88" t="s">
        <v>61</v>
      </c>
      <c r="F2729" s="88">
        <v>0</v>
      </c>
      <c r="G2729" s="78">
        <f>MAX(H2729,I2729,J2729)</f>
        <v>1</v>
      </c>
      <c r="H2729" s="88"/>
      <c r="I2729" s="88"/>
      <c r="J2729" s="78">
        <f>MAX(K2729:Q2729)</f>
        <v>1</v>
      </c>
      <c r="K2729" s="88">
        <v>1</v>
      </c>
      <c r="L2729" s="88"/>
      <c r="M2729" s="88"/>
      <c r="N2729" s="88"/>
      <c r="O2729" s="88"/>
      <c r="P2729" s="88"/>
      <c r="Q2729" s="88"/>
      <c r="R2729" s="78">
        <f>MAX(S2729:W2729)</f>
        <v>0</v>
      </c>
      <c r="S2729" s="88"/>
      <c r="T2729" s="88"/>
      <c r="U2729" s="88"/>
      <c r="V2729" s="88"/>
      <c r="W2729" s="88"/>
    </row>
    <row r="2730" spans="2:23" s="0" customFormat="0" ht="15">
      <c r="B2730" s="87" t="s">
        <v>1</v>
      </c>
      <c r="C2730" s="88" t="s">
        <v>5259</v>
      </c>
      <c r="D2730" s="88">
        <v>6568192</v>
      </c>
      <c r="E2730" s="88" t="s">
        <v>61</v>
      </c>
      <c r="F2730" s="88">
        <v>0</v>
      </c>
      <c r="G2730" s="78">
        <f>MAX(H2730,I2730,J2730)</f>
        <v>1</v>
      </c>
      <c r="H2730" s="88"/>
      <c r="I2730" s="88"/>
      <c r="J2730" s="78">
        <f>MAX(K2730:Q2730)</f>
        <v>1</v>
      </c>
      <c r="K2730" s="88">
        <v>1</v>
      </c>
      <c r="L2730" s="88"/>
      <c r="M2730" s="88"/>
      <c r="N2730" s="88"/>
      <c r="O2730" s="88"/>
      <c r="P2730" s="88"/>
      <c r="Q2730" s="88"/>
      <c r="R2730" s="78">
        <f>MAX(S2730:W2730)</f>
        <v>0</v>
      </c>
      <c r="S2730" s="88"/>
      <c r="T2730" s="88"/>
      <c r="U2730" s="88"/>
      <c r="V2730" s="88"/>
      <c r="W2730" s="88"/>
    </row>
    <row r="2731" spans="2:23" s="0" customFormat="0" ht="15">
      <c r="B2731" s="87" t="s">
        <v>1</v>
      </c>
      <c r="C2731" s="88" t="s">
        <v>5259</v>
      </c>
      <c r="D2731" s="88">
        <v>21244054</v>
      </c>
      <c r="E2731" s="88" t="s">
        <v>61</v>
      </c>
      <c r="F2731" s="88">
        <v>0</v>
      </c>
      <c r="G2731" s="78">
        <f>MAX(H2731,I2731,J2731)</f>
        <v>1</v>
      </c>
      <c r="H2731" s="88"/>
      <c r="I2731" s="88"/>
      <c r="J2731" s="78">
        <f>MAX(K2731:Q2731)</f>
        <v>1</v>
      </c>
      <c r="K2731" s="88"/>
      <c r="L2731" s="88"/>
      <c r="M2731" s="88"/>
      <c r="N2731" s="88"/>
      <c r="O2731" s="88">
        <v>1</v>
      </c>
      <c r="P2731" s="88"/>
      <c r="Q2731" s="88"/>
      <c r="R2731" s="78">
        <f>MAX(S2731:W2731)</f>
        <v>0</v>
      </c>
      <c r="S2731" s="88"/>
      <c r="T2731" s="88"/>
      <c r="U2731" s="88"/>
      <c r="V2731" s="88"/>
      <c r="W2731" s="88"/>
    </row>
    <row r="2732" spans="2:23" s="0" customFormat="0" ht="15">
      <c r="B2732" s="87" t="s">
        <v>1</v>
      </c>
      <c r="C2732" s="88" t="s">
        <v>5259</v>
      </c>
      <c r="D2732" s="88">
        <v>22859854</v>
      </c>
      <c r="E2732" s="88" t="s">
        <v>61</v>
      </c>
      <c r="F2732" s="88">
        <v>0</v>
      </c>
      <c r="G2732" s="78">
        <f>MAX(H2732,I2732,J2732)</f>
        <v>1</v>
      </c>
      <c r="H2732" s="88"/>
      <c r="I2732" s="88"/>
      <c r="J2732" s="78">
        <f>MAX(K2732:Q2732)</f>
        <v>1</v>
      </c>
      <c r="K2732" s="88">
        <v>1</v>
      </c>
      <c r="L2732" s="88"/>
      <c r="M2732" s="88"/>
      <c r="N2732" s="88"/>
      <c r="O2732" s="88"/>
      <c r="P2732" s="88"/>
      <c r="Q2732" s="88"/>
      <c r="R2732" s="78">
        <f>MAX(S2732:W2732)</f>
        <v>0</v>
      </c>
      <c r="S2732" s="88"/>
      <c r="T2732" s="88"/>
      <c r="U2732" s="88"/>
      <c r="V2732" s="88"/>
      <c r="W2732" s="88"/>
    </row>
    <row r="2733" spans="2:23" s="0" customFormat="0" ht="15">
      <c r="B2733" s="87" t="s">
        <v>1</v>
      </c>
      <c r="C2733" s="88" t="s">
        <v>5259</v>
      </c>
      <c r="D2733" s="88">
        <v>8917854</v>
      </c>
      <c r="E2733" s="88" t="s">
        <v>61</v>
      </c>
      <c r="F2733" s="88">
        <v>0</v>
      </c>
      <c r="G2733" s="78">
        <f>MAX(H2733,I2733,J2733)</f>
        <v>1</v>
      </c>
      <c r="H2733" s="88"/>
      <c r="I2733" s="88"/>
      <c r="J2733" s="78">
        <f>MAX(K2733:Q2733)</f>
        <v>1</v>
      </c>
      <c r="K2733" s="88">
        <v>1</v>
      </c>
      <c r="L2733" s="88"/>
      <c r="M2733" s="88"/>
      <c r="N2733" s="88"/>
      <c r="O2733" s="88"/>
      <c r="P2733" s="88"/>
      <c r="Q2733" s="88"/>
      <c r="R2733" s="78">
        <f>MAX(S2733:W2733)</f>
        <v>0</v>
      </c>
      <c r="S2733" s="88"/>
      <c r="T2733" s="88"/>
      <c r="U2733" s="88"/>
      <c r="V2733" s="88"/>
      <c r="W2733" s="88"/>
    </row>
    <row r="2734" spans="2:23" s="0" customFormat="0" ht="15">
      <c r="B2734" s="87" t="s">
        <v>1</v>
      </c>
      <c r="C2734" s="88" t="s">
        <v>5259</v>
      </c>
      <c r="D2734" s="88">
        <v>11396651</v>
      </c>
      <c r="E2734" s="88" t="s">
        <v>61</v>
      </c>
      <c r="F2734" s="88">
        <v>0</v>
      </c>
      <c r="G2734" s="78">
        <f>MAX(H2734,I2734,J2734)</f>
        <v>1</v>
      </c>
      <c r="H2734" s="88"/>
      <c r="I2734" s="88"/>
      <c r="J2734" s="78">
        <f>MAX(K2734:Q2734)</f>
        <v>1</v>
      </c>
      <c r="K2734" s="88">
        <v>1</v>
      </c>
      <c r="L2734" s="88"/>
      <c r="M2734" s="88"/>
      <c r="N2734" s="88"/>
      <c r="O2734" s="88"/>
      <c r="P2734" s="88"/>
      <c r="Q2734" s="88"/>
      <c r="R2734" s="78">
        <f>MAX(S2734:W2734)</f>
        <v>0</v>
      </c>
      <c r="S2734" s="88"/>
      <c r="T2734" s="88"/>
      <c r="U2734" s="88"/>
      <c r="V2734" s="88"/>
      <c r="W2734" s="88"/>
    </row>
    <row r="2735" spans="2:23" s="0" customFormat="0" ht="15">
      <c r="B2735" s="87" t="s">
        <v>1</v>
      </c>
      <c r="C2735" s="88" t="s">
        <v>5259</v>
      </c>
      <c r="D2735" s="88">
        <v>16196303</v>
      </c>
      <c r="E2735" s="88" t="s">
        <v>61</v>
      </c>
      <c r="F2735" s="88">
        <v>0</v>
      </c>
      <c r="G2735" s="78">
        <f>MAX(H2735,I2735,J2735)</f>
        <v>1</v>
      </c>
      <c r="H2735" s="88"/>
      <c r="I2735" s="88"/>
      <c r="J2735" s="78">
        <f>MAX(K2735:Q2735)</f>
        <v>1</v>
      </c>
      <c r="K2735" s="88">
        <v>1</v>
      </c>
      <c r="L2735" s="88"/>
      <c r="M2735" s="88"/>
      <c r="N2735" s="88"/>
      <c r="O2735" s="88"/>
      <c r="P2735" s="88"/>
      <c r="Q2735" s="88"/>
      <c r="R2735" s="78">
        <f>MAX(S2735:W2735)</f>
        <v>0</v>
      </c>
      <c r="S2735" s="88"/>
      <c r="T2735" s="88"/>
      <c r="U2735" s="88"/>
      <c r="V2735" s="88"/>
      <c r="W2735" s="88"/>
    </row>
    <row r="2736" spans="2:23" s="0" customFormat="0" ht="15">
      <c r="B2736" s="87" t="s">
        <v>1</v>
      </c>
      <c r="C2736" s="88" t="s">
        <v>5259</v>
      </c>
      <c r="D2736" s="88">
        <v>20868124</v>
      </c>
      <c r="E2736" s="88" t="s">
        <v>61</v>
      </c>
      <c r="F2736" s="88">
        <v>0</v>
      </c>
      <c r="G2736" s="78">
        <f>MAX(H2736,I2736,J2736)</f>
        <v>1</v>
      </c>
      <c r="H2736" s="88"/>
      <c r="I2736" s="88"/>
      <c r="J2736" s="78">
        <f>MAX(K2736:Q2736)</f>
        <v>1</v>
      </c>
      <c r="K2736" s="88">
        <v>1</v>
      </c>
      <c r="L2736" s="88"/>
      <c r="M2736" s="88"/>
      <c r="N2736" s="88"/>
      <c r="O2736" s="88"/>
      <c r="P2736" s="88"/>
      <c r="Q2736" s="88"/>
      <c r="R2736" s="78">
        <f>MAX(S2736:W2736)</f>
        <v>0</v>
      </c>
      <c r="S2736" s="88"/>
      <c r="T2736" s="88"/>
      <c r="U2736" s="88"/>
      <c r="V2736" s="88"/>
      <c r="W2736" s="88"/>
    </row>
    <row r="2737" spans="2:23" s="0" customFormat="0" ht="15">
      <c r="B2737" s="87" t="s">
        <v>1</v>
      </c>
      <c r="C2737" s="88" t="s">
        <v>5259</v>
      </c>
      <c r="D2737" s="88" t="s">
        <v>4115</v>
      </c>
      <c r="E2737" s="88" t="s">
        <v>61</v>
      </c>
      <c r="F2737" s="88">
        <v>0</v>
      </c>
      <c r="G2737" s="78">
        <f>MAX(H2737,I2737,J2737)</f>
        <v>0</v>
      </c>
      <c r="H2737" s="88"/>
      <c r="I2737" s="88"/>
      <c r="J2737" s="78">
        <f>MAX(K2737:Q2737)</f>
        <v>0</v>
      </c>
      <c r="K2737" s="88"/>
      <c r="L2737" s="88"/>
      <c r="M2737" s="88"/>
      <c r="N2737" s="88"/>
      <c r="O2737" s="88"/>
      <c r="P2737" s="88"/>
      <c r="Q2737" s="88"/>
      <c r="R2737" s="78">
        <f>MAX(S2737:W2737)</f>
        <v>1</v>
      </c>
      <c r="S2737" s="88"/>
      <c r="T2737" s="88"/>
      <c r="U2737" s="88">
        <v>1</v>
      </c>
      <c r="V2737" s="88"/>
      <c r="W2737" s="88"/>
    </row>
    <row r="2738" spans="2:23" s="0" customFormat="0" ht="15">
      <c r="B2738" s="87" t="s">
        <v>1</v>
      </c>
      <c r="C2738" s="88" t="s">
        <v>5259</v>
      </c>
      <c r="D2738" s="88" t="s">
        <v>1931</v>
      </c>
      <c r="E2738" s="88" t="s">
        <v>61</v>
      </c>
      <c r="F2738" s="88">
        <v>0</v>
      </c>
      <c r="G2738" s="78">
        <f>MAX(H2738,I2738,J2738)</f>
        <v>1</v>
      </c>
      <c r="H2738" s="88"/>
      <c r="I2738" s="88"/>
      <c r="J2738" s="78">
        <f>MAX(K2738:Q2738)</f>
        <v>1</v>
      </c>
      <c r="K2738" s="88">
        <v>1</v>
      </c>
      <c r="L2738" s="88"/>
      <c r="M2738" s="88"/>
      <c r="N2738" s="88"/>
      <c r="O2738" s="88"/>
      <c r="P2738" s="88"/>
      <c r="Q2738" s="88"/>
      <c r="R2738" s="78">
        <f>MAX(S2738:W2738)</f>
        <v>0</v>
      </c>
      <c r="S2738" s="88"/>
      <c r="T2738" s="88"/>
      <c r="U2738" s="88"/>
      <c r="V2738" s="88"/>
      <c r="W2738" s="88"/>
    </row>
    <row r="2739" spans="2:23" s="0" customFormat="0" ht="15">
      <c r="B2739" s="87" t="s">
        <v>1</v>
      </c>
      <c r="C2739" s="88" t="s">
        <v>5259</v>
      </c>
      <c r="D2739" s="88" t="s">
        <v>1862</v>
      </c>
      <c r="E2739" s="88" t="s">
        <v>61</v>
      </c>
      <c r="F2739" s="88">
        <v>0</v>
      </c>
      <c r="G2739" s="78">
        <f>MAX(H2739,I2739,J2739)</f>
        <v>1</v>
      </c>
      <c r="H2739" s="88"/>
      <c r="I2739" s="88"/>
      <c r="J2739" s="78">
        <f>MAX(K2739:Q2739)</f>
        <v>1</v>
      </c>
      <c r="K2739" s="88">
        <v>1</v>
      </c>
      <c r="L2739" s="88"/>
      <c r="M2739" s="88"/>
      <c r="N2739" s="88"/>
      <c r="O2739" s="88"/>
      <c r="P2739" s="88"/>
      <c r="Q2739" s="88"/>
      <c r="R2739" s="78">
        <f>MAX(S2739:W2739)</f>
        <v>0</v>
      </c>
      <c r="S2739" s="88"/>
      <c r="T2739" s="88"/>
      <c r="U2739" s="88"/>
      <c r="V2739" s="88"/>
      <c r="W2739" s="88"/>
    </row>
    <row r="2740" spans="2:23" s="0" customFormat="0" ht="15">
      <c r="B2740" s="87" t="s">
        <v>1</v>
      </c>
      <c r="C2740" s="88" t="s">
        <v>5259</v>
      </c>
      <c r="D2740" s="88">
        <v>22301292</v>
      </c>
      <c r="E2740" s="88" t="s">
        <v>61</v>
      </c>
      <c r="F2740" s="88">
        <v>0</v>
      </c>
      <c r="G2740" s="78">
        <f>MAX(H2740,I2740,J2740)</f>
        <v>1</v>
      </c>
      <c r="H2740" s="88"/>
      <c r="I2740" s="88"/>
      <c r="J2740" s="78">
        <f>MAX(K2740:Q2740)</f>
        <v>1</v>
      </c>
      <c r="K2740" s="88">
        <v>1</v>
      </c>
      <c r="L2740" s="88"/>
      <c r="M2740" s="88"/>
      <c r="N2740" s="88"/>
      <c r="O2740" s="88"/>
      <c r="P2740" s="88"/>
      <c r="Q2740" s="88"/>
      <c r="R2740" s="78">
        <f>MAX(S2740:W2740)</f>
        <v>0</v>
      </c>
      <c r="S2740" s="88"/>
      <c r="T2740" s="88"/>
      <c r="U2740" s="88"/>
      <c r="V2740" s="88"/>
      <c r="W2740" s="88"/>
    </row>
    <row r="2741" spans="2:23" s="0" customFormat="0" ht="15">
      <c r="B2741" s="87" t="s">
        <v>1</v>
      </c>
      <c r="C2741" s="88" t="s">
        <v>5259</v>
      </c>
      <c r="D2741" s="88">
        <v>12754691</v>
      </c>
      <c r="E2741" s="88" t="s">
        <v>61</v>
      </c>
      <c r="F2741" s="88">
        <v>0</v>
      </c>
      <c r="G2741" s="78">
        <f>MAX(H2741,I2741,J2741)</f>
        <v>1</v>
      </c>
      <c r="H2741" s="88"/>
      <c r="I2741" s="88"/>
      <c r="J2741" s="78">
        <f>MAX(K2741:Q2741)</f>
        <v>1</v>
      </c>
      <c r="K2741" s="88">
        <v>1</v>
      </c>
      <c r="L2741" s="88"/>
      <c r="M2741" s="88"/>
      <c r="N2741" s="88"/>
      <c r="O2741" s="88"/>
      <c r="P2741" s="88"/>
      <c r="Q2741" s="88"/>
      <c r="R2741" s="78">
        <f>MAX(S2741:W2741)</f>
        <v>0</v>
      </c>
      <c r="S2741" s="88"/>
      <c r="T2741" s="88"/>
      <c r="U2741" s="88"/>
      <c r="V2741" s="88"/>
      <c r="W2741" s="88"/>
    </row>
    <row r="2742" spans="2:23" s="0" customFormat="0" ht="15">
      <c r="B2742" s="87" t="s">
        <v>1</v>
      </c>
      <c r="C2742" s="88" t="s">
        <v>5259</v>
      </c>
      <c r="D2742" s="88" t="s">
        <v>4506</v>
      </c>
      <c r="E2742" s="88" t="s">
        <v>61</v>
      </c>
      <c r="F2742" s="88">
        <v>0</v>
      </c>
      <c r="G2742" s="78">
        <f>MAX(H2742,I2742,J2742)</f>
        <v>0</v>
      </c>
      <c r="H2742" s="88"/>
      <c r="I2742" s="88"/>
      <c r="J2742" s="78">
        <f>MAX(K2742:Q2742)</f>
        <v>0</v>
      </c>
      <c r="K2742" s="88"/>
      <c r="L2742" s="88"/>
      <c r="M2742" s="88"/>
      <c r="N2742" s="88"/>
      <c r="O2742" s="88"/>
      <c r="P2742" s="88"/>
      <c r="Q2742" s="88"/>
      <c r="R2742" s="78">
        <f>MAX(S2742:W2742)</f>
        <v>1</v>
      </c>
      <c r="S2742" s="88"/>
      <c r="T2742" s="88"/>
      <c r="U2742" s="88">
        <v>1</v>
      </c>
      <c r="V2742" s="88"/>
      <c r="W2742" s="88"/>
    </row>
    <row r="2743" spans="2:23" s="0" customFormat="0" ht="15">
      <c r="B2743" s="87" t="s">
        <v>1</v>
      </c>
      <c r="C2743" s="88" t="s">
        <v>5259</v>
      </c>
      <c r="D2743" s="88">
        <v>20952390</v>
      </c>
      <c r="E2743" s="88" t="s">
        <v>61</v>
      </c>
      <c r="F2743" s="88">
        <v>0</v>
      </c>
      <c r="G2743" s="78">
        <f>MAX(H2743,I2743,J2743)</f>
        <v>1</v>
      </c>
      <c r="H2743" s="88"/>
      <c r="I2743" s="88"/>
      <c r="J2743" s="78">
        <f>MAX(K2743:Q2743)</f>
        <v>1</v>
      </c>
      <c r="K2743" s="88">
        <v>1</v>
      </c>
      <c r="L2743" s="88"/>
      <c r="M2743" s="88"/>
      <c r="N2743" s="88"/>
      <c r="O2743" s="88"/>
      <c r="P2743" s="88"/>
      <c r="Q2743" s="88"/>
      <c r="R2743" s="78">
        <f>MAX(S2743:W2743)</f>
        <v>0</v>
      </c>
      <c r="S2743" s="88"/>
      <c r="T2743" s="88"/>
      <c r="U2743" s="88"/>
      <c r="V2743" s="88"/>
      <c r="W2743" s="88"/>
    </row>
    <row r="2744" spans="2:23" s="0" customFormat="0" ht="15">
      <c r="B2744" s="87" t="s">
        <v>1</v>
      </c>
      <c r="C2744" s="88" t="s">
        <v>5259</v>
      </c>
      <c r="D2744" s="88" t="s">
        <v>1935</v>
      </c>
      <c r="E2744" s="88" t="s">
        <v>61</v>
      </c>
      <c r="F2744" s="88">
        <v>0</v>
      </c>
      <c r="G2744" s="78">
        <f>MAX(H2744,I2744,J2744)</f>
        <v>1</v>
      </c>
      <c r="H2744" s="88"/>
      <c r="I2744" s="88"/>
      <c r="J2744" s="78">
        <f>MAX(K2744:Q2744)</f>
        <v>1</v>
      </c>
      <c r="K2744" s="88">
        <v>1</v>
      </c>
      <c r="L2744" s="88"/>
      <c r="M2744" s="88"/>
      <c r="N2744" s="88"/>
      <c r="O2744" s="88"/>
      <c r="P2744" s="88"/>
      <c r="Q2744" s="88"/>
      <c r="R2744" s="78">
        <f>MAX(S2744:W2744)</f>
        <v>0</v>
      </c>
      <c r="S2744" s="88"/>
      <c r="T2744" s="88"/>
      <c r="U2744" s="88"/>
      <c r="V2744" s="88"/>
      <c r="W2744" s="88"/>
    </row>
    <row r="2745" spans="2:23" s="0" customFormat="0" ht="15">
      <c r="B2745" s="87" t="s">
        <v>1</v>
      </c>
      <c r="C2745" s="88" t="s">
        <v>5259</v>
      </c>
      <c r="D2745" s="88" t="s">
        <v>3798</v>
      </c>
      <c r="E2745" s="88" t="s">
        <v>61</v>
      </c>
      <c r="F2745" s="88">
        <v>0</v>
      </c>
      <c r="G2745" s="78">
        <f>MAX(H2745,I2745,J2745)</f>
        <v>0</v>
      </c>
      <c r="H2745" s="88"/>
      <c r="I2745" s="88"/>
      <c r="J2745" s="78">
        <f>MAX(K2745:Q2745)</f>
        <v>0</v>
      </c>
      <c r="K2745" s="88"/>
      <c r="L2745" s="88"/>
      <c r="M2745" s="88"/>
      <c r="N2745" s="88"/>
      <c r="O2745" s="88"/>
      <c r="P2745" s="88"/>
      <c r="Q2745" s="88"/>
      <c r="R2745" s="78">
        <f>MAX(S2745:W2745)</f>
        <v>1</v>
      </c>
      <c r="S2745" s="88"/>
      <c r="T2745" s="88"/>
      <c r="U2745" s="88">
        <v>1</v>
      </c>
      <c r="V2745" s="88"/>
      <c r="W2745" s="88"/>
    </row>
    <row r="2746" spans="2:23" s="0" customFormat="0" ht="15">
      <c r="B2746" s="87" t="s">
        <v>1</v>
      </c>
      <c r="C2746" s="88" t="s">
        <v>5259</v>
      </c>
      <c r="D2746" s="88" t="s">
        <v>1937</v>
      </c>
      <c r="E2746" s="88" t="s">
        <v>61</v>
      </c>
      <c r="F2746" s="88">
        <v>0</v>
      </c>
      <c r="G2746" s="78">
        <f>MAX(H2746,I2746,J2746)</f>
        <v>1</v>
      </c>
      <c r="H2746" s="88"/>
      <c r="I2746" s="88"/>
      <c r="J2746" s="78">
        <f>MAX(K2746:Q2746)</f>
        <v>1</v>
      </c>
      <c r="K2746" s="88">
        <v>1</v>
      </c>
      <c r="L2746" s="88"/>
      <c r="M2746" s="88"/>
      <c r="N2746" s="88"/>
      <c r="O2746" s="88"/>
      <c r="P2746" s="88"/>
      <c r="Q2746" s="88"/>
      <c r="R2746" s="78">
        <f>MAX(S2746:W2746)</f>
        <v>0</v>
      </c>
      <c r="S2746" s="88"/>
      <c r="T2746" s="88"/>
      <c r="U2746" s="88"/>
      <c r="V2746" s="88"/>
      <c r="W2746" s="88"/>
    </row>
    <row r="2747" spans="2:23" s="0" customFormat="0" ht="15">
      <c r="B2747" s="87" t="s">
        <v>1</v>
      </c>
      <c r="C2747" s="88" t="s">
        <v>5259</v>
      </c>
      <c r="D2747" s="88">
        <v>21917533</v>
      </c>
      <c r="E2747" s="88" t="s">
        <v>61</v>
      </c>
      <c r="F2747" s="88">
        <v>0</v>
      </c>
      <c r="G2747" s="78">
        <f>MAX(H2747,I2747,J2747)</f>
        <v>1</v>
      </c>
      <c r="H2747" s="88"/>
      <c r="I2747" s="88"/>
      <c r="J2747" s="78">
        <f>MAX(K2747:Q2747)</f>
        <v>1</v>
      </c>
      <c r="K2747" s="88">
        <v>1</v>
      </c>
      <c r="L2747" s="88"/>
      <c r="M2747" s="88"/>
      <c r="N2747" s="88"/>
      <c r="O2747" s="88"/>
      <c r="P2747" s="88"/>
      <c r="Q2747" s="88"/>
      <c r="R2747" s="78">
        <f>MAX(S2747:W2747)</f>
        <v>0</v>
      </c>
      <c r="S2747" s="88"/>
      <c r="T2747" s="88"/>
      <c r="U2747" s="88"/>
      <c r="V2747" s="88"/>
      <c r="W2747" s="88"/>
    </row>
    <row r="2748" spans="2:23" s="0" customFormat="0" ht="15">
      <c r="B2748" s="87" t="s">
        <v>1</v>
      </c>
      <c r="C2748" s="88" t="s">
        <v>5259</v>
      </c>
      <c r="D2748" s="88">
        <v>19483991</v>
      </c>
      <c r="E2748" s="88" t="s">
        <v>61</v>
      </c>
      <c r="F2748" s="88">
        <v>0</v>
      </c>
      <c r="G2748" s="78">
        <f>MAX(H2748,I2748,J2748)</f>
        <v>1</v>
      </c>
      <c r="H2748" s="88"/>
      <c r="I2748" s="88"/>
      <c r="J2748" s="78">
        <f>MAX(K2748:Q2748)</f>
        <v>1</v>
      </c>
      <c r="K2748" s="88">
        <v>1</v>
      </c>
      <c r="L2748" s="88"/>
      <c r="M2748" s="88"/>
      <c r="N2748" s="88"/>
      <c r="O2748" s="88"/>
      <c r="P2748" s="88"/>
      <c r="Q2748" s="88"/>
      <c r="R2748" s="78">
        <f>MAX(S2748:W2748)</f>
        <v>0</v>
      </c>
      <c r="S2748" s="88"/>
      <c r="T2748" s="88"/>
      <c r="U2748" s="88"/>
      <c r="V2748" s="88"/>
      <c r="W2748" s="88"/>
    </row>
    <row r="2749" spans="2:23" s="0" customFormat="0" ht="15">
      <c r="B2749" s="87" t="s">
        <v>1</v>
      </c>
      <c r="C2749" s="88" t="s">
        <v>5259</v>
      </c>
      <c r="D2749" s="88">
        <v>14946321</v>
      </c>
      <c r="E2749" s="88" t="s">
        <v>61</v>
      </c>
      <c r="F2749" s="88">
        <v>0</v>
      </c>
      <c r="G2749" s="78">
        <f>MAX(H2749,I2749,J2749)</f>
        <v>1</v>
      </c>
      <c r="H2749" s="88"/>
      <c r="I2749" s="88"/>
      <c r="J2749" s="78">
        <f>MAX(K2749:Q2749)</f>
        <v>1</v>
      </c>
      <c r="K2749" s="88">
        <v>1</v>
      </c>
      <c r="L2749" s="88"/>
      <c r="M2749" s="88"/>
      <c r="N2749" s="88"/>
      <c r="O2749" s="88"/>
      <c r="P2749" s="88"/>
      <c r="Q2749" s="88"/>
      <c r="R2749" s="78">
        <f>MAX(S2749:W2749)</f>
        <v>0</v>
      </c>
      <c r="S2749" s="88"/>
      <c r="T2749" s="88"/>
      <c r="U2749" s="88"/>
      <c r="V2749" s="88"/>
      <c r="W2749" s="88"/>
    </row>
    <row r="2750" spans="2:23" s="0" customFormat="0" ht="15">
      <c r="B2750" s="87" t="s">
        <v>1</v>
      </c>
      <c r="C2750" s="88" t="s">
        <v>5259</v>
      </c>
      <c r="D2750" s="88" t="s">
        <v>4508</v>
      </c>
      <c r="E2750" s="88" t="s">
        <v>61</v>
      </c>
      <c r="F2750" s="88">
        <v>0</v>
      </c>
      <c r="G2750" s="78">
        <f>MAX(H2750,I2750,J2750)</f>
        <v>0</v>
      </c>
      <c r="H2750" s="88"/>
      <c r="I2750" s="88"/>
      <c r="J2750" s="78">
        <f>MAX(K2750:Q2750)</f>
        <v>0</v>
      </c>
      <c r="K2750" s="88"/>
      <c r="L2750" s="88"/>
      <c r="M2750" s="88"/>
      <c r="N2750" s="88"/>
      <c r="O2750" s="88"/>
      <c r="P2750" s="88"/>
      <c r="Q2750" s="88"/>
      <c r="R2750" s="78">
        <f>MAX(S2750:W2750)</f>
        <v>1</v>
      </c>
      <c r="S2750" s="88"/>
      <c r="T2750" s="88"/>
      <c r="U2750" s="88">
        <v>1</v>
      </c>
      <c r="V2750" s="88"/>
      <c r="W2750" s="88"/>
    </row>
    <row r="2751" spans="2:23" s="0" customFormat="0" ht="15">
      <c r="B2751" s="87" t="s">
        <v>1</v>
      </c>
      <c r="C2751" s="88" t="s">
        <v>5259</v>
      </c>
      <c r="D2751" s="88">
        <v>6689630</v>
      </c>
      <c r="E2751" s="88" t="s">
        <v>61</v>
      </c>
      <c r="F2751" s="88">
        <v>0</v>
      </c>
      <c r="G2751" s="78">
        <f>MAX(H2751,I2751,J2751)</f>
        <v>0</v>
      </c>
      <c r="H2751" s="88"/>
      <c r="I2751" s="88"/>
      <c r="J2751" s="78">
        <f>MAX(K2751:Q2751)</f>
        <v>0</v>
      </c>
      <c r="K2751" s="88"/>
      <c r="L2751" s="88"/>
      <c r="M2751" s="88"/>
      <c r="N2751" s="88"/>
      <c r="O2751" s="88"/>
      <c r="P2751" s="88"/>
      <c r="Q2751" s="88"/>
      <c r="R2751" s="78">
        <f>MAX(S2751:W2751)</f>
        <v>1</v>
      </c>
      <c r="S2751" s="88"/>
      <c r="T2751" s="88"/>
      <c r="U2751" s="88">
        <v>1</v>
      </c>
      <c r="V2751" s="88"/>
      <c r="W2751" s="88"/>
    </row>
    <row r="2752" spans="2:23" s="0" customFormat="0" ht="15">
      <c r="B2752" s="87" t="s">
        <v>1</v>
      </c>
      <c r="C2752" s="88" t="s">
        <v>5259</v>
      </c>
      <c r="D2752" s="88" t="s">
        <v>4130</v>
      </c>
      <c r="E2752" s="88" t="s">
        <v>61</v>
      </c>
      <c r="F2752" s="88">
        <v>0</v>
      </c>
      <c r="G2752" s="78">
        <f>MAX(H2752,I2752,J2752)</f>
        <v>0</v>
      </c>
      <c r="H2752" s="88"/>
      <c r="I2752" s="88"/>
      <c r="J2752" s="78">
        <f>MAX(K2752:Q2752)</f>
        <v>0</v>
      </c>
      <c r="K2752" s="88"/>
      <c r="L2752" s="88"/>
      <c r="M2752" s="88"/>
      <c r="N2752" s="88"/>
      <c r="O2752" s="88"/>
      <c r="P2752" s="88"/>
      <c r="Q2752" s="88"/>
      <c r="R2752" s="78">
        <f>MAX(S2752:W2752)</f>
        <v>1</v>
      </c>
      <c r="S2752" s="88"/>
      <c r="T2752" s="88"/>
      <c r="U2752" s="88">
        <v>1</v>
      </c>
      <c r="V2752" s="88"/>
      <c r="W2752" s="88"/>
    </row>
    <row r="2753" spans="2:23" s="0" customFormat="0" ht="15">
      <c r="B2753" s="87" t="s">
        <v>1</v>
      </c>
      <c r="C2753" s="88" t="s">
        <v>5259</v>
      </c>
      <c r="D2753" s="88">
        <v>15718958</v>
      </c>
      <c r="E2753" s="88" t="s">
        <v>61</v>
      </c>
      <c r="F2753" s="88">
        <v>0</v>
      </c>
      <c r="G2753" s="78">
        <f>MAX(H2753,I2753,J2753)</f>
        <v>1</v>
      </c>
      <c r="H2753" s="88"/>
      <c r="I2753" s="88"/>
      <c r="J2753" s="78">
        <f>MAX(K2753:Q2753)</f>
        <v>1</v>
      </c>
      <c r="K2753" s="88">
        <v>1</v>
      </c>
      <c r="L2753" s="88"/>
      <c r="M2753" s="88"/>
      <c r="N2753" s="88"/>
      <c r="O2753" s="88"/>
      <c r="P2753" s="88"/>
      <c r="Q2753" s="88"/>
      <c r="R2753" s="78">
        <f>MAX(S2753:W2753)</f>
        <v>0</v>
      </c>
      <c r="S2753" s="88"/>
      <c r="T2753" s="88"/>
      <c r="U2753" s="88"/>
      <c r="V2753" s="88"/>
      <c r="W2753" s="88"/>
    </row>
    <row r="2754" spans="2:23" s="0" customFormat="0" ht="15">
      <c r="B2754" s="87" t="s">
        <v>1</v>
      </c>
      <c r="C2754" s="88" t="s">
        <v>5259</v>
      </c>
      <c r="D2754" s="88" t="s">
        <v>1942</v>
      </c>
      <c r="E2754" s="88" t="s">
        <v>61</v>
      </c>
      <c r="F2754" s="88">
        <v>0</v>
      </c>
      <c r="G2754" s="78">
        <f>MAX(H2754,I2754,J2754)</f>
        <v>1</v>
      </c>
      <c r="H2754" s="88"/>
      <c r="I2754" s="88"/>
      <c r="J2754" s="78">
        <f>MAX(K2754:Q2754)</f>
        <v>1</v>
      </c>
      <c r="K2754" s="88">
        <v>1</v>
      </c>
      <c r="L2754" s="88"/>
      <c r="M2754" s="88"/>
      <c r="N2754" s="88"/>
      <c r="O2754" s="88"/>
      <c r="P2754" s="88"/>
      <c r="Q2754" s="88"/>
      <c r="R2754" s="78">
        <f>MAX(S2754:W2754)</f>
        <v>0</v>
      </c>
      <c r="S2754" s="88"/>
      <c r="T2754" s="88"/>
      <c r="U2754" s="88"/>
      <c r="V2754" s="88"/>
      <c r="W2754" s="88"/>
    </row>
    <row r="2755" spans="2:23" s="0" customFormat="0" ht="15">
      <c r="B2755" s="87" t="s">
        <v>1</v>
      </c>
      <c r="C2755" s="88" t="s">
        <v>5259</v>
      </c>
      <c r="D2755" s="88">
        <v>21057448</v>
      </c>
      <c r="E2755" s="88" t="s">
        <v>61</v>
      </c>
      <c r="F2755" s="88">
        <v>0</v>
      </c>
      <c r="G2755" s="78">
        <f>MAX(H2755,I2755,J2755)</f>
        <v>1</v>
      </c>
      <c r="H2755" s="88"/>
      <c r="I2755" s="88"/>
      <c r="J2755" s="78">
        <f>MAX(K2755:Q2755)</f>
        <v>1</v>
      </c>
      <c r="K2755" s="88">
        <v>1</v>
      </c>
      <c r="L2755" s="88"/>
      <c r="M2755" s="88"/>
      <c r="N2755" s="88"/>
      <c r="O2755" s="88"/>
      <c r="P2755" s="88"/>
      <c r="Q2755" s="88"/>
      <c r="R2755" s="78">
        <f>MAX(S2755:W2755)</f>
        <v>0</v>
      </c>
      <c r="S2755" s="88"/>
      <c r="T2755" s="88"/>
      <c r="U2755" s="88"/>
      <c r="V2755" s="88"/>
      <c r="W2755" s="88"/>
    </row>
    <row r="2756" spans="2:23" s="0" customFormat="0" ht="15">
      <c r="B2756" s="87" t="s">
        <v>1</v>
      </c>
      <c r="C2756" s="88" t="s">
        <v>5259</v>
      </c>
      <c r="D2756" s="88">
        <v>18126166</v>
      </c>
      <c r="E2756" s="88" t="s">
        <v>61</v>
      </c>
      <c r="F2756" s="88">
        <v>0</v>
      </c>
      <c r="G2756" s="78">
        <f>MAX(H2756,I2756,J2756)</f>
        <v>1</v>
      </c>
      <c r="H2756" s="88"/>
      <c r="I2756" s="88"/>
      <c r="J2756" s="78">
        <f>MAX(K2756:Q2756)</f>
        <v>1</v>
      </c>
      <c r="K2756" s="88">
        <v>1</v>
      </c>
      <c r="L2756" s="88"/>
      <c r="M2756" s="88"/>
      <c r="N2756" s="88"/>
      <c r="O2756" s="88"/>
      <c r="P2756" s="88"/>
      <c r="Q2756" s="88"/>
      <c r="R2756" s="78">
        <f>MAX(S2756:W2756)</f>
        <v>0</v>
      </c>
      <c r="S2756" s="88"/>
      <c r="T2756" s="88"/>
      <c r="U2756" s="88"/>
      <c r="V2756" s="88"/>
      <c r="W2756" s="88"/>
    </row>
    <row r="2757" spans="2:23" s="0" customFormat="0" ht="15">
      <c r="B2757" s="87" t="s">
        <v>1</v>
      </c>
      <c r="C2757" s="88" t="s">
        <v>5259</v>
      </c>
      <c r="D2757" s="88">
        <v>22623687</v>
      </c>
      <c r="E2757" s="88" t="s">
        <v>61</v>
      </c>
      <c r="F2757" s="88">
        <v>0</v>
      </c>
      <c r="G2757" s="78">
        <f>MAX(H2757,I2757,J2757)</f>
        <v>0</v>
      </c>
      <c r="H2757" s="88"/>
      <c r="I2757" s="88"/>
      <c r="J2757" s="78">
        <f>MAX(K2757:Q2757)</f>
        <v>0</v>
      </c>
      <c r="K2757" s="88"/>
      <c r="L2757" s="88"/>
      <c r="M2757" s="88"/>
      <c r="N2757" s="88"/>
      <c r="O2757" s="88"/>
      <c r="P2757" s="88"/>
      <c r="Q2757" s="88"/>
      <c r="R2757" s="78">
        <f>MAX(S2757:W2757)</f>
        <v>1</v>
      </c>
      <c r="S2757" s="88"/>
      <c r="T2757" s="88"/>
      <c r="U2757" s="88">
        <v>1</v>
      </c>
      <c r="V2757" s="88"/>
      <c r="W2757" s="88"/>
    </row>
    <row r="2758" spans="2:23" s="0" customFormat="0" ht="15">
      <c r="B2758" s="87" t="s">
        <v>1</v>
      </c>
      <c r="C2758" s="88" t="s">
        <v>5259</v>
      </c>
      <c r="D2758" s="88">
        <v>21473851</v>
      </c>
      <c r="E2758" s="88" t="s">
        <v>61</v>
      </c>
      <c r="F2758" s="88">
        <v>0</v>
      </c>
      <c r="G2758" s="78">
        <f>MAX(H2758,I2758,J2758)</f>
        <v>1</v>
      </c>
      <c r="H2758" s="88"/>
      <c r="I2758" s="88"/>
      <c r="J2758" s="78">
        <f>MAX(K2758:Q2758)</f>
        <v>1</v>
      </c>
      <c r="K2758" s="88">
        <v>1</v>
      </c>
      <c r="L2758" s="88"/>
      <c r="M2758" s="88"/>
      <c r="N2758" s="88"/>
      <c r="O2758" s="88"/>
      <c r="P2758" s="88"/>
      <c r="Q2758" s="88"/>
      <c r="R2758" s="78">
        <f>MAX(S2758:W2758)</f>
        <v>0</v>
      </c>
      <c r="S2758" s="88"/>
      <c r="T2758" s="88"/>
      <c r="U2758" s="88"/>
      <c r="V2758" s="88"/>
      <c r="W2758" s="88"/>
    </row>
    <row r="2759" spans="2:23" s="0" customFormat="0" ht="15">
      <c r="B2759" s="87" t="s">
        <v>1</v>
      </c>
      <c r="C2759" s="88" t="s">
        <v>5259</v>
      </c>
      <c r="D2759" s="88" t="s">
        <v>3043</v>
      </c>
      <c r="E2759" s="88" t="s">
        <v>61</v>
      </c>
      <c r="F2759" s="88">
        <v>0</v>
      </c>
      <c r="G2759" s="78">
        <f>MAX(H2759,I2759,J2759)</f>
        <v>1</v>
      </c>
      <c r="H2759" s="88"/>
      <c r="I2759" s="88"/>
      <c r="J2759" s="78">
        <f>MAX(K2759:Q2759)</f>
        <v>1</v>
      </c>
      <c r="K2759" s="88"/>
      <c r="L2759" s="88">
        <v>1</v>
      </c>
      <c r="M2759" s="88"/>
      <c r="N2759" s="88"/>
      <c r="O2759" s="88"/>
      <c r="P2759" s="88"/>
      <c r="Q2759" s="88"/>
      <c r="R2759" s="78">
        <f>MAX(S2759:W2759)</f>
        <v>0</v>
      </c>
      <c r="S2759" s="88"/>
      <c r="T2759" s="88"/>
      <c r="U2759" s="88"/>
      <c r="V2759" s="88"/>
      <c r="W2759" s="88"/>
    </row>
    <row r="2760" spans="2:23" s="0" customFormat="0" ht="15">
      <c r="B2760" s="87" t="s">
        <v>1</v>
      </c>
      <c r="C2760" s="88" t="s">
        <v>5259</v>
      </c>
      <c r="D2760" s="88">
        <v>14339647</v>
      </c>
      <c r="E2760" s="88" t="s">
        <v>61</v>
      </c>
      <c r="F2760" s="88">
        <v>0</v>
      </c>
      <c r="G2760" s="78">
        <f>MAX(H2760,I2760,J2760)</f>
        <v>1</v>
      </c>
      <c r="H2760" s="88"/>
      <c r="I2760" s="88"/>
      <c r="J2760" s="78">
        <f>MAX(K2760:Q2760)</f>
        <v>1</v>
      </c>
      <c r="K2760" s="88">
        <v>1</v>
      </c>
      <c r="L2760" s="88"/>
      <c r="M2760" s="88"/>
      <c r="N2760" s="88"/>
      <c r="O2760" s="88"/>
      <c r="P2760" s="88"/>
      <c r="Q2760" s="88"/>
      <c r="R2760" s="78">
        <f>MAX(S2760:W2760)</f>
        <v>0</v>
      </c>
      <c r="S2760" s="88"/>
      <c r="T2760" s="88"/>
      <c r="U2760" s="88"/>
      <c r="V2760" s="88"/>
      <c r="W2760" s="88"/>
    </row>
    <row r="2761" spans="2:23" s="0" customFormat="0" ht="15">
      <c r="B2761" s="87" t="s">
        <v>1</v>
      </c>
      <c r="C2761" s="88" t="s">
        <v>5259</v>
      </c>
      <c r="D2761" s="88">
        <v>1902559</v>
      </c>
      <c r="E2761" s="88" t="s">
        <v>61</v>
      </c>
      <c r="F2761" s="88">
        <v>0</v>
      </c>
      <c r="G2761" s="78">
        <f>MAX(H2761,I2761,J2761)</f>
        <v>1</v>
      </c>
      <c r="H2761" s="88"/>
      <c r="I2761" s="88"/>
      <c r="J2761" s="78">
        <f>MAX(K2761:Q2761)</f>
        <v>1</v>
      </c>
      <c r="K2761" s="88">
        <v>1</v>
      </c>
      <c r="L2761" s="88"/>
      <c r="M2761" s="88"/>
      <c r="N2761" s="88"/>
      <c r="O2761" s="88"/>
      <c r="P2761" s="88"/>
      <c r="Q2761" s="88"/>
      <c r="R2761" s="78">
        <f>MAX(S2761:W2761)</f>
        <v>0</v>
      </c>
      <c r="S2761" s="88"/>
      <c r="T2761" s="88"/>
      <c r="U2761" s="88"/>
      <c r="V2761" s="88"/>
      <c r="W2761" s="88"/>
    </row>
    <row r="2762" spans="2:23" s="0" customFormat="0" ht="15">
      <c r="B2762" s="87" t="s">
        <v>1</v>
      </c>
      <c r="C2762" s="88" t="s">
        <v>5259</v>
      </c>
      <c r="D2762" s="88">
        <v>23936142</v>
      </c>
      <c r="E2762" s="88" t="s">
        <v>61</v>
      </c>
      <c r="F2762" s="88">
        <v>0</v>
      </c>
      <c r="G2762" s="78">
        <f>MAX(H2762,I2762,J2762)</f>
        <v>1</v>
      </c>
      <c r="H2762" s="88"/>
      <c r="I2762" s="88"/>
      <c r="J2762" s="78">
        <f>MAX(K2762:Q2762)</f>
        <v>1</v>
      </c>
      <c r="K2762" s="88">
        <v>1</v>
      </c>
      <c r="L2762" s="88"/>
      <c r="M2762" s="88"/>
      <c r="N2762" s="88"/>
      <c r="O2762" s="88"/>
      <c r="P2762" s="88"/>
      <c r="Q2762" s="88"/>
      <c r="R2762" s="78">
        <f>MAX(S2762:W2762)</f>
        <v>0</v>
      </c>
      <c r="S2762" s="88"/>
      <c r="T2762" s="88"/>
      <c r="U2762" s="88"/>
      <c r="V2762" s="88"/>
      <c r="W2762" s="88"/>
    </row>
    <row r="2763" spans="2:23" s="0" customFormat="0" ht="15">
      <c r="B2763" s="87" t="s">
        <v>1</v>
      </c>
      <c r="C2763" s="88" t="s">
        <v>5259</v>
      </c>
      <c r="D2763" s="88">
        <v>22554457</v>
      </c>
      <c r="E2763" s="88" t="s">
        <v>61</v>
      </c>
      <c r="F2763" s="88">
        <v>0</v>
      </c>
      <c r="G2763" s="78">
        <f>MAX(H2763,I2763,J2763)</f>
        <v>0</v>
      </c>
      <c r="H2763" s="88"/>
      <c r="I2763" s="88"/>
      <c r="J2763" s="78">
        <f>MAX(K2763:Q2763)</f>
        <v>0</v>
      </c>
      <c r="K2763" s="88"/>
      <c r="L2763" s="88"/>
      <c r="M2763" s="88"/>
      <c r="N2763" s="88"/>
      <c r="O2763" s="88"/>
      <c r="P2763" s="88"/>
      <c r="Q2763" s="88"/>
      <c r="R2763" s="78">
        <f>MAX(S2763:W2763)</f>
        <v>1</v>
      </c>
      <c r="S2763" s="88"/>
      <c r="T2763" s="88"/>
      <c r="U2763" s="88">
        <v>1</v>
      </c>
      <c r="V2763" s="88"/>
      <c r="W2763" s="88"/>
    </row>
    <row r="2764" spans="2:23" s="0" customFormat="0" ht="15">
      <c r="B2764" s="87" t="s">
        <v>1</v>
      </c>
      <c r="C2764" s="88" t="s">
        <v>5259</v>
      </c>
      <c r="D2764" s="88">
        <v>13173876</v>
      </c>
      <c r="E2764" s="88" t="s">
        <v>61</v>
      </c>
      <c r="F2764" s="88">
        <v>0</v>
      </c>
      <c r="G2764" s="78">
        <f>MAX(H2764,I2764,J2764)</f>
        <v>1</v>
      </c>
      <c r="H2764" s="88"/>
      <c r="I2764" s="88"/>
      <c r="J2764" s="78">
        <f>MAX(K2764:Q2764)</f>
        <v>1</v>
      </c>
      <c r="K2764" s="88">
        <v>1</v>
      </c>
      <c r="L2764" s="88"/>
      <c r="M2764" s="88"/>
      <c r="N2764" s="88"/>
      <c r="O2764" s="88"/>
      <c r="P2764" s="88"/>
      <c r="Q2764" s="88"/>
      <c r="R2764" s="78">
        <f>MAX(S2764:W2764)</f>
        <v>0</v>
      </c>
      <c r="S2764" s="88"/>
      <c r="T2764" s="88"/>
      <c r="U2764" s="88"/>
      <c r="V2764" s="88"/>
      <c r="W2764" s="88"/>
    </row>
    <row r="2765" spans="2:23" s="0" customFormat="0" ht="15">
      <c r="B2765" s="87" t="s">
        <v>1</v>
      </c>
      <c r="C2765" s="88" t="s">
        <v>5259</v>
      </c>
      <c r="D2765" s="88">
        <v>12942097</v>
      </c>
      <c r="E2765" s="88" t="s">
        <v>61</v>
      </c>
      <c r="F2765" s="88">
        <v>0</v>
      </c>
      <c r="G2765" s="78">
        <f>MAX(H2765,I2765,J2765)</f>
        <v>1</v>
      </c>
      <c r="H2765" s="88"/>
      <c r="I2765" s="88"/>
      <c r="J2765" s="78">
        <f>MAX(K2765:Q2765)</f>
        <v>1</v>
      </c>
      <c r="K2765" s="88">
        <v>1</v>
      </c>
      <c r="L2765" s="88"/>
      <c r="M2765" s="88"/>
      <c r="N2765" s="88"/>
      <c r="O2765" s="88"/>
      <c r="P2765" s="88"/>
      <c r="Q2765" s="88"/>
      <c r="R2765" s="78">
        <f>MAX(S2765:W2765)</f>
        <v>0</v>
      </c>
      <c r="S2765" s="88"/>
      <c r="T2765" s="88"/>
      <c r="U2765" s="88"/>
      <c r="V2765" s="88"/>
      <c r="W2765" s="88"/>
    </row>
    <row r="2766" spans="2:23" s="0" customFormat="0" ht="15">
      <c r="B2766" s="87" t="s">
        <v>1</v>
      </c>
      <c r="C2766" s="88" t="s">
        <v>5259</v>
      </c>
      <c r="D2766" s="88" t="s">
        <v>1745</v>
      </c>
      <c r="E2766" s="88" t="s">
        <v>61</v>
      </c>
      <c r="F2766" s="88">
        <v>0</v>
      </c>
      <c r="G2766" s="78">
        <f>MAX(H2766,I2766,J2766)</f>
        <v>1</v>
      </c>
      <c r="H2766" s="88"/>
      <c r="I2766" s="88"/>
      <c r="J2766" s="78">
        <f>MAX(K2766:Q2766)</f>
        <v>1</v>
      </c>
      <c r="K2766" s="88">
        <v>1</v>
      </c>
      <c r="L2766" s="88"/>
      <c r="M2766" s="88"/>
      <c r="N2766" s="88"/>
      <c r="O2766" s="88"/>
      <c r="P2766" s="88"/>
      <c r="Q2766" s="88"/>
      <c r="R2766" s="78">
        <f>MAX(S2766:W2766)</f>
        <v>0</v>
      </c>
      <c r="S2766" s="88"/>
      <c r="T2766" s="88"/>
      <c r="U2766" s="88"/>
      <c r="V2766" s="88"/>
      <c r="W2766" s="88"/>
    </row>
    <row r="2767" spans="2:23" s="0" customFormat="0" ht="15">
      <c r="B2767" s="87" t="s">
        <v>1</v>
      </c>
      <c r="C2767" s="88" t="s">
        <v>5259</v>
      </c>
      <c r="D2767" s="88">
        <v>22214087</v>
      </c>
      <c r="E2767" s="88" t="s">
        <v>61</v>
      </c>
      <c r="F2767" s="88">
        <v>0</v>
      </c>
      <c r="G2767" s="78">
        <f>MAX(H2767,I2767,J2767)</f>
        <v>1</v>
      </c>
      <c r="H2767" s="88"/>
      <c r="I2767" s="88"/>
      <c r="J2767" s="78">
        <f>MAX(K2767:Q2767)</f>
        <v>1</v>
      </c>
      <c r="K2767" s="88">
        <v>1</v>
      </c>
      <c r="L2767" s="88"/>
      <c r="M2767" s="88"/>
      <c r="N2767" s="88"/>
      <c r="O2767" s="88"/>
      <c r="P2767" s="88"/>
      <c r="Q2767" s="88"/>
      <c r="R2767" s="78">
        <f>MAX(S2767:W2767)</f>
        <v>0</v>
      </c>
      <c r="S2767" s="88"/>
      <c r="T2767" s="88"/>
      <c r="U2767" s="88"/>
      <c r="V2767" s="88"/>
      <c r="W2767" s="88"/>
    </row>
    <row r="2768" spans="2:23" s="0" customFormat="0" ht="15">
      <c r="B2768" s="87" t="s">
        <v>1</v>
      </c>
      <c r="C2768" s="88" t="s">
        <v>5259</v>
      </c>
      <c r="D2768" s="88">
        <v>11975419</v>
      </c>
      <c r="E2768" s="88" t="s">
        <v>61</v>
      </c>
      <c r="F2768" s="88">
        <v>0</v>
      </c>
      <c r="G2768" s="78">
        <f>MAX(H2768,I2768,J2768)</f>
        <v>1</v>
      </c>
      <c r="H2768" s="88"/>
      <c r="I2768" s="88"/>
      <c r="J2768" s="78">
        <f>MAX(K2768:Q2768)</f>
        <v>1</v>
      </c>
      <c r="K2768" s="88">
        <v>1</v>
      </c>
      <c r="L2768" s="88"/>
      <c r="M2768" s="88"/>
      <c r="N2768" s="88"/>
      <c r="O2768" s="88"/>
      <c r="P2768" s="88"/>
      <c r="Q2768" s="88"/>
      <c r="R2768" s="78">
        <f>MAX(S2768:W2768)</f>
        <v>0</v>
      </c>
      <c r="S2768" s="88"/>
      <c r="T2768" s="88"/>
      <c r="U2768" s="88"/>
      <c r="V2768" s="88"/>
      <c r="W2768" s="88"/>
    </row>
    <row r="2769" spans="2:23" s="0" customFormat="0" ht="15">
      <c r="B2769" s="87" t="s">
        <v>1</v>
      </c>
      <c r="C2769" s="88" t="s">
        <v>5259</v>
      </c>
      <c r="D2769" s="88" t="s">
        <v>1952</v>
      </c>
      <c r="E2769" s="88" t="s">
        <v>61</v>
      </c>
      <c r="F2769" s="88">
        <v>0</v>
      </c>
      <c r="G2769" s="78">
        <f>MAX(H2769,I2769,J2769)</f>
        <v>1</v>
      </c>
      <c r="H2769" s="88"/>
      <c r="I2769" s="88"/>
      <c r="J2769" s="78">
        <f>MAX(K2769:Q2769)</f>
        <v>1</v>
      </c>
      <c r="K2769" s="88">
        <v>1</v>
      </c>
      <c r="L2769" s="88"/>
      <c r="M2769" s="88"/>
      <c r="N2769" s="88"/>
      <c r="O2769" s="88"/>
      <c r="P2769" s="88"/>
      <c r="Q2769" s="88"/>
      <c r="R2769" s="78">
        <f>MAX(S2769:W2769)</f>
        <v>0</v>
      </c>
      <c r="S2769" s="88"/>
      <c r="T2769" s="88"/>
      <c r="U2769" s="88"/>
      <c r="V2769" s="88"/>
      <c r="W2769" s="88"/>
    </row>
    <row r="2770" spans="2:23" s="0" customFormat="0" ht="15">
      <c r="B2770" s="87" t="s">
        <v>1</v>
      </c>
      <c r="C2770" s="88" t="s">
        <v>5259</v>
      </c>
      <c r="D2770" s="88">
        <v>10483612</v>
      </c>
      <c r="E2770" s="88" t="s">
        <v>61</v>
      </c>
      <c r="F2770" s="88">
        <v>0</v>
      </c>
      <c r="G2770" s="78">
        <f>MAX(H2770,I2770,J2770)</f>
        <v>1</v>
      </c>
      <c r="H2770" s="88"/>
      <c r="I2770" s="88"/>
      <c r="J2770" s="78">
        <f>MAX(K2770:Q2770)</f>
        <v>1</v>
      </c>
      <c r="K2770" s="88">
        <v>1</v>
      </c>
      <c r="L2770" s="88"/>
      <c r="M2770" s="88"/>
      <c r="N2770" s="88"/>
      <c r="O2770" s="88"/>
      <c r="P2770" s="88"/>
      <c r="Q2770" s="88"/>
      <c r="R2770" s="78">
        <f>MAX(S2770:W2770)</f>
        <v>0</v>
      </c>
      <c r="S2770" s="88"/>
      <c r="T2770" s="88"/>
      <c r="U2770" s="88"/>
      <c r="V2770" s="88"/>
      <c r="W2770" s="88"/>
    </row>
    <row r="2771" spans="2:23" s="0" customFormat="0" ht="15">
      <c r="B2771" s="87" t="s">
        <v>1</v>
      </c>
      <c r="C2771" s="88" t="s">
        <v>5259</v>
      </c>
      <c r="D2771" s="88">
        <v>21451967</v>
      </c>
      <c r="E2771" s="88" t="s">
        <v>61</v>
      </c>
      <c r="F2771" s="88">
        <v>0</v>
      </c>
      <c r="G2771" s="78">
        <f>MAX(H2771,I2771,J2771)</f>
        <v>1</v>
      </c>
      <c r="H2771" s="88"/>
      <c r="I2771" s="88"/>
      <c r="J2771" s="78">
        <f>MAX(K2771:Q2771)</f>
        <v>1</v>
      </c>
      <c r="K2771" s="88">
        <v>1</v>
      </c>
      <c r="L2771" s="88"/>
      <c r="M2771" s="88"/>
      <c r="N2771" s="88"/>
      <c r="O2771" s="88"/>
      <c r="P2771" s="88"/>
      <c r="Q2771" s="88"/>
      <c r="R2771" s="78">
        <f>MAX(S2771:W2771)</f>
        <v>0</v>
      </c>
      <c r="S2771" s="88"/>
      <c r="T2771" s="88"/>
      <c r="U2771" s="88"/>
      <c r="V2771" s="88"/>
      <c r="W2771" s="88"/>
    </row>
    <row r="2772" spans="2:23" s="0" customFormat="0" ht="15">
      <c r="B2772" s="87" t="s">
        <v>1</v>
      </c>
      <c r="C2772" s="88" t="s">
        <v>5259</v>
      </c>
      <c r="D2772" s="88" t="s">
        <v>4512</v>
      </c>
      <c r="E2772" s="88" t="s">
        <v>61</v>
      </c>
      <c r="F2772" s="88">
        <v>0</v>
      </c>
      <c r="G2772" s="78">
        <f>MAX(H2772,I2772,J2772)</f>
        <v>0</v>
      </c>
      <c r="H2772" s="88"/>
      <c r="I2772" s="88"/>
      <c r="J2772" s="78">
        <f>MAX(K2772:Q2772)</f>
        <v>0</v>
      </c>
      <c r="K2772" s="88"/>
      <c r="L2772" s="88"/>
      <c r="M2772" s="88"/>
      <c r="N2772" s="88"/>
      <c r="O2772" s="88"/>
      <c r="P2772" s="88"/>
      <c r="Q2772" s="88"/>
      <c r="R2772" s="78">
        <f>MAX(S2772:W2772)</f>
        <v>1</v>
      </c>
      <c r="S2772" s="88"/>
      <c r="T2772" s="88"/>
      <c r="U2772" s="88">
        <v>1</v>
      </c>
      <c r="V2772" s="88"/>
      <c r="W2772" s="88"/>
    </row>
    <row r="2773" spans="2:23" s="0" customFormat="0" ht="15">
      <c r="B2773" s="87" t="s">
        <v>1</v>
      </c>
      <c r="C2773" s="88" t="s">
        <v>5259</v>
      </c>
      <c r="D2773" s="88">
        <v>23207343</v>
      </c>
      <c r="E2773" s="88" t="s">
        <v>61</v>
      </c>
      <c r="F2773" s="88">
        <v>0</v>
      </c>
      <c r="G2773" s="78">
        <f>MAX(H2773,I2773,J2773)</f>
        <v>0</v>
      </c>
      <c r="H2773" s="88"/>
      <c r="I2773" s="88"/>
      <c r="J2773" s="78">
        <f>MAX(K2773:Q2773)</f>
        <v>0</v>
      </c>
      <c r="K2773" s="88"/>
      <c r="L2773" s="88"/>
      <c r="M2773" s="88"/>
      <c r="N2773" s="88"/>
      <c r="O2773" s="88"/>
      <c r="P2773" s="88"/>
      <c r="Q2773" s="88"/>
      <c r="R2773" s="78">
        <f>MAX(S2773:W2773)</f>
        <v>1</v>
      </c>
      <c r="S2773" s="88"/>
      <c r="T2773" s="88"/>
      <c r="U2773" s="88">
        <v>1</v>
      </c>
      <c r="V2773" s="88"/>
      <c r="W2773" s="88"/>
    </row>
    <row r="2774" spans="2:23" s="0" customFormat="0" ht="15">
      <c r="B2774" s="87" t="s">
        <v>1</v>
      </c>
      <c r="C2774" s="88" t="s">
        <v>5259</v>
      </c>
      <c r="D2774" s="88">
        <v>15148670</v>
      </c>
      <c r="E2774" s="88" t="s">
        <v>61</v>
      </c>
      <c r="F2774" s="88">
        <v>0</v>
      </c>
      <c r="G2774" s="78">
        <f>MAX(H2774,I2774,J2774)</f>
        <v>0</v>
      </c>
      <c r="H2774" s="88"/>
      <c r="I2774" s="88"/>
      <c r="J2774" s="78">
        <f>MAX(K2774:Q2774)</f>
        <v>0</v>
      </c>
      <c r="K2774" s="88"/>
      <c r="L2774" s="88"/>
      <c r="M2774" s="88"/>
      <c r="N2774" s="88"/>
      <c r="O2774" s="88"/>
      <c r="P2774" s="88"/>
      <c r="Q2774" s="88"/>
      <c r="R2774" s="78">
        <f>MAX(S2774:W2774)</f>
        <v>1</v>
      </c>
      <c r="S2774" s="88"/>
      <c r="T2774" s="88"/>
      <c r="U2774" s="88">
        <v>1</v>
      </c>
      <c r="V2774" s="88"/>
      <c r="W2774" s="88"/>
    </row>
    <row r="2775" spans="2:23" s="0" customFormat="0" ht="15">
      <c r="B2775" s="87" t="s">
        <v>1</v>
      </c>
      <c r="C2775" s="88" t="s">
        <v>5259</v>
      </c>
      <c r="D2775" s="88" t="s">
        <v>1956</v>
      </c>
      <c r="E2775" s="88" t="s">
        <v>61</v>
      </c>
      <c r="F2775" s="88">
        <v>0</v>
      </c>
      <c r="G2775" s="78">
        <f>MAX(H2775,I2775,J2775)</f>
        <v>1</v>
      </c>
      <c r="H2775" s="88"/>
      <c r="I2775" s="88"/>
      <c r="J2775" s="78">
        <f>MAX(K2775:Q2775)</f>
        <v>1</v>
      </c>
      <c r="K2775" s="88">
        <v>1</v>
      </c>
      <c r="L2775" s="88"/>
      <c r="M2775" s="88"/>
      <c r="N2775" s="88"/>
      <c r="O2775" s="88"/>
      <c r="P2775" s="88"/>
      <c r="Q2775" s="88"/>
      <c r="R2775" s="78">
        <f>MAX(S2775:W2775)</f>
        <v>0</v>
      </c>
      <c r="S2775" s="88"/>
      <c r="T2775" s="88"/>
      <c r="U2775" s="88"/>
      <c r="V2775" s="88"/>
      <c r="W2775" s="88"/>
    </row>
    <row r="2776" spans="2:23" s="0" customFormat="0" ht="15">
      <c r="B2776" s="87" t="s">
        <v>1</v>
      </c>
      <c r="C2776" s="88" t="s">
        <v>5259</v>
      </c>
      <c r="D2776" s="88">
        <v>15653146</v>
      </c>
      <c r="E2776" s="88" t="s">
        <v>61</v>
      </c>
      <c r="F2776" s="88">
        <v>0</v>
      </c>
      <c r="G2776" s="78">
        <f>MAX(H2776,I2776,J2776)</f>
        <v>1</v>
      </c>
      <c r="H2776" s="88"/>
      <c r="I2776" s="88"/>
      <c r="J2776" s="78">
        <f>MAX(K2776:Q2776)</f>
        <v>1</v>
      </c>
      <c r="K2776" s="88"/>
      <c r="L2776" s="88">
        <v>1</v>
      </c>
      <c r="M2776" s="88"/>
      <c r="N2776" s="88"/>
      <c r="O2776" s="88"/>
      <c r="P2776" s="88"/>
      <c r="Q2776" s="88"/>
      <c r="R2776" s="78">
        <f>MAX(S2776:W2776)</f>
        <v>0</v>
      </c>
      <c r="S2776" s="88"/>
      <c r="T2776" s="88"/>
      <c r="U2776" s="88"/>
      <c r="V2776" s="88"/>
      <c r="W2776" s="88"/>
    </row>
    <row r="2777" spans="2:23" s="0" customFormat="0" ht="15">
      <c r="B2777" s="87" t="s">
        <v>1</v>
      </c>
      <c r="C2777" s="88" t="s">
        <v>5259</v>
      </c>
      <c r="D2777" s="88" t="s">
        <v>4516</v>
      </c>
      <c r="E2777" s="88" t="s">
        <v>61</v>
      </c>
      <c r="F2777" s="88">
        <v>0</v>
      </c>
      <c r="G2777" s="78">
        <f>MAX(H2777,I2777,J2777)</f>
        <v>0</v>
      </c>
      <c r="H2777" s="88"/>
      <c r="I2777" s="88"/>
      <c r="J2777" s="78">
        <f>MAX(K2777:Q2777)</f>
        <v>0</v>
      </c>
      <c r="K2777" s="88"/>
      <c r="L2777" s="88"/>
      <c r="M2777" s="88"/>
      <c r="N2777" s="88"/>
      <c r="O2777" s="88"/>
      <c r="P2777" s="88"/>
      <c r="Q2777" s="88"/>
      <c r="R2777" s="78">
        <f>MAX(S2777:W2777)</f>
        <v>1</v>
      </c>
      <c r="S2777" s="88"/>
      <c r="T2777" s="88"/>
      <c r="U2777" s="88">
        <v>1</v>
      </c>
      <c r="V2777" s="88"/>
      <c r="W2777" s="88"/>
    </row>
    <row r="2778" spans="2:23" s="0" customFormat="0" ht="15">
      <c r="B2778" s="87" t="s">
        <v>1</v>
      </c>
      <c r="C2778" s="88" t="s">
        <v>5259</v>
      </c>
      <c r="D2778" s="88">
        <v>14185572</v>
      </c>
      <c r="E2778" s="88" t="s">
        <v>61</v>
      </c>
      <c r="F2778" s="88">
        <v>0</v>
      </c>
      <c r="G2778" s="78">
        <f>MAX(H2778,I2778,J2778)</f>
        <v>1</v>
      </c>
      <c r="H2778" s="88"/>
      <c r="I2778" s="88"/>
      <c r="J2778" s="78">
        <f>MAX(K2778:Q2778)</f>
        <v>1</v>
      </c>
      <c r="K2778" s="88">
        <v>1</v>
      </c>
      <c r="L2778" s="88"/>
      <c r="M2778" s="88"/>
      <c r="N2778" s="88"/>
      <c r="O2778" s="88"/>
      <c r="P2778" s="88"/>
      <c r="Q2778" s="88"/>
      <c r="R2778" s="78">
        <f>MAX(S2778:W2778)</f>
        <v>0</v>
      </c>
      <c r="S2778" s="88"/>
      <c r="T2778" s="88"/>
      <c r="U2778" s="88"/>
      <c r="V2778" s="88"/>
      <c r="W2778" s="88"/>
    </row>
    <row r="2779" spans="2:23" s="0" customFormat="0" ht="15">
      <c r="B2779" s="87" t="s">
        <v>1</v>
      </c>
      <c r="C2779" s="88" t="s">
        <v>5259</v>
      </c>
      <c r="D2779" s="88" t="s">
        <v>1958</v>
      </c>
      <c r="E2779" s="88" t="s">
        <v>61</v>
      </c>
      <c r="F2779" s="88">
        <v>0</v>
      </c>
      <c r="G2779" s="78">
        <f>MAX(H2779,I2779,J2779)</f>
        <v>1</v>
      </c>
      <c r="H2779" s="88"/>
      <c r="I2779" s="88"/>
      <c r="J2779" s="78">
        <f>MAX(K2779:Q2779)</f>
        <v>1</v>
      </c>
      <c r="K2779" s="88">
        <v>1</v>
      </c>
      <c r="L2779" s="88"/>
      <c r="M2779" s="88"/>
      <c r="N2779" s="88"/>
      <c r="O2779" s="88"/>
      <c r="P2779" s="88"/>
      <c r="Q2779" s="88"/>
      <c r="R2779" s="78">
        <f>MAX(S2779:W2779)</f>
        <v>0</v>
      </c>
      <c r="S2779" s="88"/>
      <c r="T2779" s="88"/>
      <c r="U2779" s="88"/>
      <c r="V2779" s="88"/>
      <c r="W2779" s="88"/>
    </row>
    <row r="2780" spans="2:23" s="0" customFormat="0" ht="15">
      <c r="B2780" s="87" t="s">
        <v>1</v>
      </c>
      <c r="C2780" s="88" t="s">
        <v>5259</v>
      </c>
      <c r="D2780" s="88">
        <v>17829812</v>
      </c>
      <c r="E2780" s="88" t="s">
        <v>61</v>
      </c>
      <c r="F2780" s="88">
        <v>0</v>
      </c>
      <c r="G2780" s="78">
        <f>MAX(H2780,I2780,J2780)</f>
        <v>1</v>
      </c>
      <c r="H2780" s="88"/>
      <c r="I2780" s="88"/>
      <c r="J2780" s="78">
        <f>MAX(K2780:Q2780)</f>
        <v>1</v>
      </c>
      <c r="K2780" s="88">
        <v>1</v>
      </c>
      <c r="L2780" s="88"/>
      <c r="M2780" s="88"/>
      <c r="N2780" s="88"/>
      <c r="O2780" s="88"/>
      <c r="P2780" s="88"/>
      <c r="Q2780" s="88"/>
      <c r="R2780" s="78">
        <f>MAX(S2780:W2780)</f>
        <v>0</v>
      </c>
      <c r="S2780" s="88"/>
      <c r="T2780" s="88"/>
      <c r="U2780" s="88"/>
      <c r="V2780" s="88"/>
      <c r="W2780" s="88"/>
    </row>
    <row r="2781" spans="2:23" s="0" customFormat="0" ht="15">
      <c r="B2781" s="87" t="s">
        <v>1</v>
      </c>
      <c r="C2781" s="88" t="s">
        <v>5259</v>
      </c>
      <c r="D2781" s="88" t="s">
        <v>3652</v>
      </c>
      <c r="E2781" s="88" t="s">
        <v>61</v>
      </c>
      <c r="F2781" s="88">
        <v>0</v>
      </c>
      <c r="G2781" s="78">
        <f>MAX(H2781,I2781,J2781)</f>
        <v>0</v>
      </c>
      <c r="H2781" s="88"/>
      <c r="I2781" s="88"/>
      <c r="J2781" s="78">
        <f>MAX(K2781:Q2781)</f>
        <v>0</v>
      </c>
      <c r="K2781" s="88"/>
      <c r="L2781" s="88"/>
      <c r="M2781" s="88"/>
      <c r="N2781" s="88"/>
      <c r="O2781" s="88"/>
      <c r="P2781" s="88"/>
      <c r="Q2781" s="88"/>
      <c r="R2781" s="78">
        <f>MAX(S2781:W2781)</f>
        <v>1</v>
      </c>
      <c r="S2781" s="88"/>
      <c r="T2781" s="88"/>
      <c r="U2781" s="88">
        <v>1</v>
      </c>
      <c r="V2781" s="88"/>
      <c r="W2781" s="88"/>
    </row>
    <row r="2782" spans="2:23" s="0" customFormat="0" ht="15">
      <c r="B2782" s="87" t="s">
        <v>1</v>
      </c>
      <c r="C2782" s="88" t="s">
        <v>5259</v>
      </c>
      <c r="D2782" s="88">
        <v>13093828</v>
      </c>
      <c r="E2782" s="88" t="s">
        <v>61</v>
      </c>
      <c r="F2782" s="88">
        <v>0</v>
      </c>
      <c r="G2782" s="78">
        <f>MAX(H2782,I2782,J2782)</f>
        <v>1</v>
      </c>
      <c r="H2782" s="88"/>
      <c r="I2782" s="88"/>
      <c r="J2782" s="78">
        <f>MAX(K2782:Q2782)</f>
        <v>1</v>
      </c>
      <c r="K2782" s="88">
        <v>1</v>
      </c>
      <c r="L2782" s="88"/>
      <c r="M2782" s="88"/>
      <c r="N2782" s="88"/>
      <c r="O2782" s="88"/>
      <c r="P2782" s="88"/>
      <c r="Q2782" s="88"/>
      <c r="R2782" s="78">
        <f>MAX(S2782:W2782)</f>
        <v>0</v>
      </c>
      <c r="S2782" s="88"/>
      <c r="T2782" s="88"/>
      <c r="U2782" s="88"/>
      <c r="V2782" s="88"/>
      <c r="W2782" s="88"/>
    </row>
    <row r="2783" spans="2:23" s="0" customFormat="0" ht="15">
      <c r="B2783" s="87" t="s">
        <v>1</v>
      </c>
      <c r="C2783" s="88" t="s">
        <v>5259</v>
      </c>
      <c r="D2783" s="88">
        <v>12137995</v>
      </c>
      <c r="E2783" s="88" t="s">
        <v>61</v>
      </c>
      <c r="F2783" s="88">
        <v>0</v>
      </c>
      <c r="G2783" s="78">
        <f>MAX(H2783,I2783,J2783)</f>
        <v>1</v>
      </c>
      <c r="H2783" s="88"/>
      <c r="I2783" s="88"/>
      <c r="J2783" s="78">
        <f>MAX(K2783:Q2783)</f>
        <v>1</v>
      </c>
      <c r="K2783" s="88">
        <v>1</v>
      </c>
      <c r="L2783" s="88"/>
      <c r="M2783" s="88"/>
      <c r="N2783" s="88"/>
      <c r="O2783" s="88"/>
      <c r="P2783" s="88"/>
      <c r="Q2783" s="88"/>
      <c r="R2783" s="78">
        <f>MAX(S2783:W2783)</f>
        <v>0</v>
      </c>
      <c r="S2783" s="88"/>
      <c r="T2783" s="88"/>
      <c r="U2783" s="88"/>
      <c r="V2783" s="88"/>
      <c r="W2783" s="88"/>
    </row>
    <row r="2784" spans="2:23" s="0" customFormat="0" ht="15">
      <c r="B2784" s="87" t="s">
        <v>1</v>
      </c>
      <c r="C2784" s="88" t="s">
        <v>5259</v>
      </c>
      <c r="D2784" s="88">
        <v>22069575</v>
      </c>
      <c r="E2784" s="88" t="s">
        <v>61</v>
      </c>
      <c r="F2784" s="88">
        <v>0</v>
      </c>
      <c r="G2784" s="78">
        <f>MAX(H2784,I2784,J2784)</f>
        <v>1</v>
      </c>
      <c r="H2784" s="88"/>
      <c r="I2784" s="88"/>
      <c r="J2784" s="78">
        <f>MAX(K2784:Q2784)</f>
        <v>1</v>
      </c>
      <c r="K2784" s="88">
        <v>1</v>
      </c>
      <c r="L2784" s="88"/>
      <c r="M2784" s="88"/>
      <c r="N2784" s="88"/>
      <c r="O2784" s="88"/>
      <c r="P2784" s="88"/>
      <c r="Q2784" s="88"/>
      <c r="R2784" s="78">
        <f>MAX(S2784:W2784)</f>
        <v>0</v>
      </c>
      <c r="S2784" s="88"/>
      <c r="T2784" s="88"/>
      <c r="U2784" s="88"/>
      <c r="V2784" s="88"/>
      <c r="W2784" s="88"/>
    </row>
    <row r="2785" spans="2:23" s="0" customFormat="0" ht="15">
      <c r="B2785" s="87" t="s">
        <v>1</v>
      </c>
      <c r="C2785" s="88" t="s">
        <v>5259</v>
      </c>
      <c r="D2785" s="88">
        <v>19503822</v>
      </c>
      <c r="E2785" s="88" t="s">
        <v>61</v>
      </c>
      <c r="F2785" s="88">
        <v>0</v>
      </c>
      <c r="G2785" s="78">
        <f>MAX(H2785,I2785,J2785)</f>
        <v>1</v>
      </c>
      <c r="H2785" s="88"/>
      <c r="I2785" s="88"/>
      <c r="J2785" s="78">
        <f>MAX(K2785:Q2785)</f>
        <v>1</v>
      </c>
      <c r="K2785" s="88">
        <v>1</v>
      </c>
      <c r="L2785" s="88"/>
      <c r="M2785" s="88"/>
      <c r="N2785" s="88"/>
      <c r="O2785" s="88"/>
      <c r="P2785" s="88"/>
      <c r="Q2785" s="88"/>
      <c r="R2785" s="78">
        <f>MAX(S2785:W2785)</f>
        <v>0</v>
      </c>
      <c r="S2785" s="88"/>
      <c r="T2785" s="88"/>
      <c r="U2785" s="88"/>
      <c r="V2785" s="88"/>
      <c r="W2785" s="88"/>
    </row>
    <row r="2786" spans="2:23" s="0" customFormat="0" ht="15">
      <c r="B2786" s="87" t="s">
        <v>1</v>
      </c>
      <c r="C2786" s="88" t="s">
        <v>5259</v>
      </c>
      <c r="D2786" s="88">
        <v>19567681</v>
      </c>
      <c r="E2786" s="88" t="s">
        <v>61</v>
      </c>
      <c r="F2786" s="88">
        <v>0</v>
      </c>
      <c r="G2786" s="78">
        <f>MAX(H2786,I2786,J2786)</f>
        <v>1</v>
      </c>
      <c r="H2786" s="88"/>
      <c r="I2786" s="88"/>
      <c r="J2786" s="78">
        <f>MAX(K2786:Q2786)</f>
        <v>1</v>
      </c>
      <c r="K2786" s="88">
        <v>1</v>
      </c>
      <c r="L2786" s="88"/>
      <c r="M2786" s="88"/>
      <c r="N2786" s="88"/>
      <c r="O2786" s="88"/>
      <c r="P2786" s="88"/>
      <c r="Q2786" s="88"/>
      <c r="R2786" s="78">
        <f>MAX(S2786:W2786)</f>
        <v>0</v>
      </c>
      <c r="S2786" s="88"/>
      <c r="T2786" s="88"/>
      <c r="U2786" s="88"/>
      <c r="V2786" s="88"/>
      <c r="W2786" s="88"/>
    </row>
    <row r="2787" spans="2:23" s="0" customFormat="0" ht="15">
      <c r="B2787" s="87" t="s">
        <v>1</v>
      </c>
      <c r="C2787" s="88" t="s">
        <v>5259</v>
      </c>
      <c r="D2787" s="88">
        <v>7860309</v>
      </c>
      <c r="E2787" s="88" t="s">
        <v>61</v>
      </c>
      <c r="F2787" s="88">
        <v>0</v>
      </c>
      <c r="G2787" s="78">
        <f>MAX(H2787,I2787,J2787)</f>
        <v>1</v>
      </c>
      <c r="H2787" s="88"/>
      <c r="I2787" s="88"/>
      <c r="J2787" s="78">
        <f>MAX(K2787:Q2787)</f>
        <v>1</v>
      </c>
      <c r="K2787" s="88">
        <v>1</v>
      </c>
      <c r="L2787" s="88"/>
      <c r="M2787" s="88"/>
      <c r="N2787" s="88"/>
      <c r="O2787" s="88"/>
      <c r="P2787" s="88"/>
      <c r="Q2787" s="88"/>
      <c r="R2787" s="78">
        <f>MAX(S2787:W2787)</f>
        <v>0</v>
      </c>
      <c r="S2787" s="88"/>
      <c r="T2787" s="88"/>
      <c r="U2787" s="88"/>
      <c r="V2787" s="88"/>
      <c r="W2787" s="88"/>
    </row>
    <row r="2788" spans="2:23" s="0" customFormat="0" ht="15">
      <c r="B2788" s="87" t="s">
        <v>1</v>
      </c>
      <c r="C2788" s="88" t="s">
        <v>5259</v>
      </c>
      <c r="D2788" s="88">
        <v>16974603</v>
      </c>
      <c r="E2788" s="88" t="s">
        <v>61</v>
      </c>
      <c r="F2788" s="88">
        <v>0</v>
      </c>
      <c r="G2788" s="78">
        <f>MAX(H2788,I2788,J2788)</f>
        <v>0</v>
      </c>
      <c r="H2788" s="88"/>
      <c r="I2788" s="88"/>
      <c r="J2788" s="78">
        <f>MAX(K2788:Q2788)</f>
        <v>0</v>
      </c>
      <c r="K2788" s="88"/>
      <c r="L2788" s="88"/>
      <c r="M2788" s="88"/>
      <c r="N2788" s="88"/>
      <c r="O2788" s="88"/>
      <c r="P2788" s="88"/>
      <c r="Q2788" s="88"/>
      <c r="R2788" s="78">
        <f>MAX(S2788:W2788)</f>
        <v>1</v>
      </c>
      <c r="S2788" s="88"/>
      <c r="T2788" s="88"/>
      <c r="U2788" s="88">
        <v>1</v>
      </c>
      <c r="V2788" s="88"/>
      <c r="W2788" s="88"/>
    </row>
    <row r="2789" spans="2:23" s="0" customFormat="0" ht="15">
      <c r="B2789" s="87" t="s">
        <v>1</v>
      </c>
      <c r="C2789" s="88" t="s">
        <v>5259</v>
      </c>
      <c r="D2789" s="88">
        <v>20173185</v>
      </c>
      <c r="E2789" s="88" t="s">
        <v>61</v>
      </c>
      <c r="F2789" s="88">
        <v>0</v>
      </c>
      <c r="G2789" s="78">
        <f>MAX(H2789,I2789,J2789)</f>
        <v>1</v>
      </c>
      <c r="H2789" s="88"/>
      <c r="I2789" s="88"/>
      <c r="J2789" s="78">
        <f>MAX(K2789:Q2789)</f>
        <v>1</v>
      </c>
      <c r="K2789" s="88">
        <v>1</v>
      </c>
      <c r="L2789" s="88"/>
      <c r="M2789" s="88"/>
      <c r="N2789" s="88"/>
      <c r="O2789" s="88"/>
      <c r="P2789" s="88"/>
      <c r="Q2789" s="88"/>
      <c r="R2789" s="78">
        <f>MAX(S2789:W2789)</f>
        <v>0</v>
      </c>
      <c r="S2789" s="88"/>
      <c r="T2789" s="88"/>
      <c r="U2789" s="88"/>
      <c r="V2789" s="88"/>
      <c r="W2789" s="88"/>
    </row>
    <row r="2790" spans="2:23" s="0" customFormat="0" ht="15">
      <c r="B2790" s="87" t="s">
        <v>1</v>
      </c>
      <c r="C2790" s="88" t="s">
        <v>5259</v>
      </c>
      <c r="D2790" s="88" t="s">
        <v>4519</v>
      </c>
      <c r="E2790" s="88" t="s">
        <v>61</v>
      </c>
      <c r="F2790" s="88">
        <v>0</v>
      </c>
      <c r="G2790" s="78">
        <f>MAX(H2790,I2790,J2790)</f>
        <v>0</v>
      </c>
      <c r="H2790" s="88"/>
      <c r="I2790" s="88"/>
      <c r="J2790" s="78">
        <f>MAX(K2790:Q2790)</f>
        <v>0</v>
      </c>
      <c r="K2790" s="88"/>
      <c r="L2790" s="88"/>
      <c r="M2790" s="88"/>
      <c r="N2790" s="88"/>
      <c r="O2790" s="88"/>
      <c r="P2790" s="88"/>
      <c r="Q2790" s="88"/>
      <c r="R2790" s="78">
        <f>MAX(S2790:W2790)</f>
        <v>1</v>
      </c>
      <c r="S2790" s="88"/>
      <c r="T2790" s="88"/>
      <c r="U2790" s="88">
        <v>1</v>
      </c>
      <c r="V2790" s="88"/>
      <c r="W2790" s="88"/>
    </row>
    <row r="2791" spans="2:23" s="0" customFormat="0" ht="15">
      <c r="B2791" s="87" t="s">
        <v>1</v>
      </c>
      <c r="C2791" s="88" t="s">
        <v>5259</v>
      </c>
      <c r="D2791" s="88" t="s">
        <v>4521</v>
      </c>
      <c r="E2791" s="88" t="s">
        <v>61</v>
      </c>
      <c r="F2791" s="88">
        <v>0</v>
      </c>
      <c r="G2791" s="78">
        <f>MAX(H2791,I2791,J2791)</f>
        <v>0</v>
      </c>
      <c r="H2791" s="88"/>
      <c r="I2791" s="88"/>
      <c r="J2791" s="78">
        <f>MAX(K2791:Q2791)</f>
        <v>0</v>
      </c>
      <c r="K2791" s="88"/>
      <c r="L2791" s="88"/>
      <c r="M2791" s="88"/>
      <c r="N2791" s="88"/>
      <c r="O2791" s="88"/>
      <c r="P2791" s="88"/>
      <c r="Q2791" s="88"/>
      <c r="R2791" s="78">
        <f>MAX(S2791:W2791)</f>
        <v>1</v>
      </c>
      <c r="S2791" s="88"/>
      <c r="T2791" s="88"/>
      <c r="U2791" s="88">
        <v>1</v>
      </c>
      <c r="V2791" s="88"/>
      <c r="W2791" s="88"/>
    </row>
    <row r="2792" spans="2:23" s="0" customFormat="0" ht="15">
      <c r="B2792" s="87" t="s">
        <v>1</v>
      </c>
      <c r="C2792" s="88" t="s">
        <v>5259</v>
      </c>
      <c r="D2792" s="88" t="s">
        <v>4523</v>
      </c>
      <c r="E2792" s="88" t="s">
        <v>61</v>
      </c>
      <c r="F2792" s="88">
        <v>0</v>
      </c>
      <c r="G2792" s="78">
        <f>MAX(H2792,I2792,J2792)</f>
        <v>0</v>
      </c>
      <c r="H2792" s="88"/>
      <c r="I2792" s="88"/>
      <c r="J2792" s="78">
        <f>MAX(K2792:Q2792)</f>
        <v>0</v>
      </c>
      <c r="K2792" s="88"/>
      <c r="L2792" s="88"/>
      <c r="M2792" s="88"/>
      <c r="N2792" s="88"/>
      <c r="O2792" s="88"/>
      <c r="P2792" s="88"/>
      <c r="Q2792" s="88"/>
      <c r="R2792" s="78">
        <f>MAX(S2792:W2792)</f>
        <v>1</v>
      </c>
      <c r="S2792" s="88"/>
      <c r="T2792" s="88"/>
      <c r="U2792" s="88">
        <v>1</v>
      </c>
      <c r="V2792" s="88"/>
      <c r="W2792" s="88"/>
    </row>
    <row r="2793" spans="2:23" s="0" customFormat="0" ht="15">
      <c r="B2793" s="87" t="s">
        <v>1</v>
      </c>
      <c r="C2793" s="88" t="s">
        <v>5259</v>
      </c>
      <c r="D2793" s="88">
        <v>19481696</v>
      </c>
      <c r="E2793" s="88" t="s">
        <v>61</v>
      </c>
      <c r="F2793" s="88">
        <v>0</v>
      </c>
      <c r="G2793" s="78">
        <f>MAX(H2793,I2793,J2793)</f>
        <v>1</v>
      </c>
      <c r="H2793" s="88"/>
      <c r="I2793" s="88"/>
      <c r="J2793" s="78">
        <f>MAX(K2793:Q2793)</f>
        <v>1</v>
      </c>
      <c r="K2793" s="88">
        <v>1</v>
      </c>
      <c r="L2793" s="88"/>
      <c r="M2793" s="88"/>
      <c r="N2793" s="88"/>
      <c r="O2793" s="88"/>
      <c r="P2793" s="88"/>
      <c r="Q2793" s="88"/>
      <c r="R2793" s="78">
        <f>MAX(S2793:W2793)</f>
        <v>0</v>
      </c>
      <c r="S2793" s="88"/>
      <c r="T2793" s="88"/>
      <c r="U2793" s="88"/>
      <c r="V2793" s="88"/>
      <c r="W2793" s="88"/>
    </row>
    <row r="2794" spans="2:23" s="0" customFormat="0" ht="15">
      <c r="B2794" s="87" t="s">
        <v>1</v>
      </c>
      <c r="C2794" s="88" t="s">
        <v>5259</v>
      </c>
      <c r="D2794" s="88" t="s">
        <v>1963</v>
      </c>
      <c r="E2794" s="88" t="s">
        <v>61</v>
      </c>
      <c r="F2794" s="88">
        <v>0</v>
      </c>
      <c r="G2794" s="78">
        <f>MAX(H2794,I2794,J2794)</f>
        <v>1</v>
      </c>
      <c r="H2794" s="88"/>
      <c r="I2794" s="88"/>
      <c r="J2794" s="78">
        <f>MAX(K2794:Q2794)</f>
        <v>1</v>
      </c>
      <c r="K2794" s="88">
        <v>1</v>
      </c>
      <c r="L2794" s="88"/>
      <c r="M2794" s="88"/>
      <c r="N2794" s="88"/>
      <c r="O2794" s="88"/>
      <c r="P2794" s="88"/>
      <c r="Q2794" s="88"/>
      <c r="R2794" s="78">
        <f>MAX(S2794:W2794)</f>
        <v>0</v>
      </c>
      <c r="S2794" s="88"/>
      <c r="T2794" s="88"/>
      <c r="U2794" s="88"/>
      <c r="V2794" s="88"/>
      <c r="W2794" s="88"/>
    </row>
    <row r="2795" spans="2:23" s="0" customFormat="0" ht="15">
      <c r="B2795" s="87" t="s">
        <v>1</v>
      </c>
      <c r="C2795" s="88" t="s">
        <v>5259</v>
      </c>
      <c r="D2795" s="88">
        <v>17351582</v>
      </c>
      <c r="E2795" s="88" t="s">
        <v>61</v>
      </c>
      <c r="F2795" s="88">
        <v>0</v>
      </c>
      <c r="G2795" s="78">
        <f>MAX(H2795,I2795,J2795)</f>
        <v>1</v>
      </c>
      <c r="H2795" s="88"/>
      <c r="I2795" s="88"/>
      <c r="J2795" s="78">
        <f>MAX(K2795:Q2795)</f>
        <v>1</v>
      </c>
      <c r="K2795" s="88">
        <v>1</v>
      </c>
      <c r="L2795" s="88"/>
      <c r="M2795" s="88"/>
      <c r="N2795" s="88"/>
      <c r="O2795" s="88"/>
      <c r="P2795" s="88"/>
      <c r="Q2795" s="88"/>
      <c r="R2795" s="78">
        <f>MAX(S2795:W2795)</f>
        <v>0</v>
      </c>
      <c r="S2795" s="88"/>
      <c r="T2795" s="88"/>
      <c r="U2795" s="88"/>
      <c r="V2795" s="88"/>
      <c r="W2795" s="88"/>
    </row>
    <row r="2796" spans="2:23" s="0" customFormat="0" ht="15">
      <c r="B2796" s="87" t="s">
        <v>1</v>
      </c>
      <c r="C2796" s="88" t="s">
        <v>5259</v>
      </c>
      <c r="D2796" s="88">
        <v>14455838</v>
      </c>
      <c r="E2796" s="88" t="s">
        <v>61</v>
      </c>
      <c r="F2796" s="88">
        <v>0</v>
      </c>
      <c r="G2796" s="78">
        <f>MAX(H2796,I2796,J2796)</f>
        <v>1</v>
      </c>
      <c r="H2796" s="88"/>
      <c r="I2796" s="88"/>
      <c r="J2796" s="78">
        <f>MAX(K2796:Q2796)</f>
        <v>1</v>
      </c>
      <c r="K2796" s="88">
        <v>1</v>
      </c>
      <c r="L2796" s="88"/>
      <c r="M2796" s="88"/>
      <c r="N2796" s="88"/>
      <c r="O2796" s="88"/>
      <c r="P2796" s="88"/>
      <c r="Q2796" s="88"/>
      <c r="R2796" s="78">
        <f>MAX(S2796:W2796)</f>
        <v>0</v>
      </c>
      <c r="S2796" s="88"/>
      <c r="T2796" s="88"/>
      <c r="U2796" s="88"/>
      <c r="V2796" s="88"/>
      <c r="W2796" s="88"/>
    </row>
    <row r="2797" spans="2:23" s="0" customFormat="0" ht="15">
      <c r="B2797" s="87" t="s">
        <v>1</v>
      </c>
      <c r="C2797" s="88" t="s">
        <v>5259</v>
      </c>
      <c r="D2797" s="88">
        <v>19834501</v>
      </c>
      <c r="E2797" s="88" t="s">
        <v>61</v>
      </c>
      <c r="F2797" s="88">
        <v>0</v>
      </c>
      <c r="G2797" s="78">
        <f>MAX(H2797,I2797,J2797)</f>
        <v>1</v>
      </c>
      <c r="H2797" s="88"/>
      <c r="I2797" s="88"/>
      <c r="J2797" s="78">
        <f>MAX(K2797:Q2797)</f>
        <v>1</v>
      </c>
      <c r="K2797" s="88">
        <v>1</v>
      </c>
      <c r="L2797" s="88"/>
      <c r="M2797" s="88"/>
      <c r="N2797" s="88"/>
      <c r="O2797" s="88"/>
      <c r="P2797" s="88"/>
      <c r="Q2797" s="88"/>
      <c r="R2797" s="78">
        <f>MAX(S2797:W2797)</f>
        <v>0</v>
      </c>
      <c r="S2797" s="88"/>
      <c r="T2797" s="88"/>
      <c r="U2797" s="88"/>
      <c r="V2797" s="88"/>
      <c r="W2797" s="88"/>
    </row>
    <row r="2798" spans="2:23" s="0" customFormat="0" ht="15">
      <c r="B2798" s="87" t="s">
        <v>1</v>
      </c>
      <c r="C2798" s="88" t="s">
        <v>5259</v>
      </c>
      <c r="D2798" s="88">
        <v>24432467</v>
      </c>
      <c r="E2798" s="88" t="s">
        <v>61</v>
      </c>
      <c r="F2798" s="88">
        <v>0</v>
      </c>
      <c r="G2798" s="78">
        <f>MAX(H2798,I2798,J2798)</f>
        <v>1</v>
      </c>
      <c r="H2798" s="88"/>
      <c r="I2798" s="88"/>
      <c r="J2798" s="78">
        <f>MAX(K2798:Q2798)</f>
        <v>1</v>
      </c>
      <c r="K2798" s="88">
        <v>1</v>
      </c>
      <c r="L2798" s="88"/>
      <c r="M2798" s="88"/>
      <c r="N2798" s="88"/>
      <c r="O2798" s="88"/>
      <c r="P2798" s="88"/>
      <c r="Q2798" s="88"/>
      <c r="R2798" s="78">
        <f>MAX(S2798:W2798)</f>
        <v>0</v>
      </c>
      <c r="S2798" s="88"/>
      <c r="T2798" s="88"/>
      <c r="U2798" s="88"/>
      <c r="V2798" s="88"/>
      <c r="W2798" s="88"/>
    </row>
    <row r="2799" spans="2:23" s="0" customFormat="0" ht="15">
      <c r="B2799" s="87" t="s">
        <v>1</v>
      </c>
      <c r="C2799" s="88" t="s">
        <v>5259</v>
      </c>
      <c r="D2799" s="88">
        <v>4300429</v>
      </c>
      <c r="E2799" s="88" t="s">
        <v>61</v>
      </c>
      <c r="F2799" s="88">
        <v>0</v>
      </c>
      <c r="G2799" s="78">
        <f>MAX(H2799,I2799,J2799)</f>
        <v>1</v>
      </c>
      <c r="H2799" s="88"/>
      <c r="I2799" s="88"/>
      <c r="J2799" s="78">
        <f>MAX(K2799:Q2799)</f>
        <v>1</v>
      </c>
      <c r="K2799" s="88">
        <v>1</v>
      </c>
      <c r="L2799" s="88"/>
      <c r="M2799" s="88"/>
      <c r="N2799" s="88"/>
      <c r="O2799" s="88"/>
      <c r="P2799" s="88"/>
      <c r="Q2799" s="88"/>
      <c r="R2799" s="78">
        <f>MAX(S2799:W2799)</f>
        <v>0</v>
      </c>
      <c r="S2799" s="88"/>
      <c r="T2799" s="88"/>
      <c r="U2799" s="88"/>
      <c r="V2799" s="88"/>
      <c r="W2799" s="88"/>
    </row>
    <row r="2800" spans="2:23" s="0" customFormat="0" ht="15">
      <c r="B2800" s="87" t="s">
        <v>1</v>
      </c>
      <c r="C2800" s="88" t="s">
        <v>5259</v>
      </c>
      <c r="D2800" s="88" t="s">
        <v>4525</v>
      </c>
      <c r="E2800" s="88" t="s">
        <v>61</v>
      </c>
      <c r="F2800" s="88">
        <v>0</v>
      </c>
      <c r="G2800" s="78">
        <f>MAX(H2800,I2800,J2800)</f>
        <v>0</v>
      </c>
      <c r="H2800" s="88"/>
      <c r="I2800" s="88"/>
      <c r="J2800" s="78">
        <f>MAX(K2800:Q2800)</f>
        <v>0</v>
      </c>
      <c r="K2800" s="88"/>
      <c r="L2800" s="88"/>
      <c r="M2800" s="88"/>
      <c r="N2800" s="88"/>
      <c r="O2800" s="88"/>
      <c r="P2800" s="88"/>
      <c r="Q2800" s="88"/>
      <c r="R2800" s="78">
        <f>MAX(S2800:W2800)</f>
        <v>1</v>
      </c>
      <c r="S2800" s="88"/>
      <c r="T2800" s="88"/>
      <c r="U2800" s="88">
        <v>1</v>
      </c>
      <c r="V2800" s="88"/>
      <c r="W2800" s="88"/>
    </row>
    <row r="2801" spans="2:23" s="0" customFormat="0" ht="15">
      <c r="B2801" s="87" t="s">
        <v>1</v>
      </c>
      <c r="C2801" s="88" t="s">
        <v>5259</v>
      </c>
      <c r="D2801" s="88">
        <v>22623646</v>
      </c>
      <c r="E2801" s="88" t="s">
        <v>61</v>
      </c>
      <c r="F2801" s="88">
        <v>0</v>
      </c>
      <c r="G2801" s="78">
        <f>MAX(H2801,I2801,J2801)</f>
        <v>0</v>
      </c>
      <c r="H2801" s="88"/>
      <c r="I2801" s="88"/>
      <c r="J2801" s="78">
        <f>MAX(K2801:Q2801)</f>
        <v>0</v>
      </c>
      <c r="K2801" s="88"/>
      <c r="L2801" s="88"/>
      <c r="M2801" s="88"/>
      <c r="N2801" s="88"/>
      <c r="O2801" s="88"/>
      <c r="P2801" s="88"/>
      <c r="Q2801" s="88"/>
      <c r="R2801" s="78">
        <f>MAX(S2801:W2801)</f>
        <v>1</v>
      </c>
      <c r="S2801" s="88"/>
      <c r="T2801" s="88"/>
      <c r="U2801" s="88">
        <v>1</v>
      </c>
      <c r="V2801" s="88"/>
      <c r="W2801" s="88"/>
    </row>
    <row r="2802" spans="2:23" s="0" customFormat="0" ht="15">
      <c r="B2802" s="87" t="s">
        <v>1</v>
      </c>
      <c r="C2802" s="88" t="s">
        <v>5259</v>
      </c>
      <c r="D2802" s="88">
        <v>216727</v>
      </c>
      <c r="E2802" s="88" t="s">
        <v>61</v>
      </c>
      <c r="F2802" s="88">
        <v>0</v>
      </c>
      <c r="G2802" s="78">
        <f>MAX(H2802,I2802,J2802)</f>
        <v>1</v>
      </c>
      <c r="H2802" s="88"/>
      <c r="I2802" s="88"/>
      <c r="J2802" s="78">
        <f>MAX(K2802:Q2802)</f>
        <v>1</v>
      </c>
      <c r="K2802" s="88">
        <v>1</v>
      </c>
      <c r="L2802" s="88"/>
      <c r="M2802" s="88"/>
      <c r="N2802" s="88"/>
      <c r="O2802" s="88"/>
      <c r="P2802" s="88"/>
      <c r="Q2802" s="88"/>
      <c r="R2802" s="78">
        <f>MAX(S2802:W2802)</f>
        <v>0</v>
      </c>
      <c r="S2802" s="88"/>
      <c r="T2802" s="88"/>
      <c r="U2802" s="88"/>
      <c r="V2802" s="88"/>
      <c r="W2802" s="88"/>
    </row>
    <row r="2803" spans="2:23" s="0" customFormat="0" ht="15">
      <c r="B2803" s="87" t="s">
        <v>1</v>
      </c>
      <c r="C2803" s="88" t="s">
        <v>5259</v>
      </c>
      <c r="D2803" s="88">
        <v>17776637</v>
      </c>
      <c r="E2803" s="88" t="s">
        <v>61</v>
      </c>
      <c r="F2803" s="88">
        <v>0</v>
      </c>
      <c r="G2803" s="78">
        <f>MAX(H2803,I2803,J2803)</f>
        <v>1</v>
      </c>
      <c r="H2803" s="88"/>
      <c r="I2803" s="88"/>
      <c r="J2803" s="78">
        <f>MAX(K2803:Q2803)</f>
        <v>1</v>
      </c>
      <c r="K2803" s="88">
        <v>1</v>
      </c>
      <c r="L2803" s="88"/>
      <c r="M2803" s="88"/>
      <c r="N2803" s="88"/>
      <c r="O2803" s="88"/>
      <c r="P2803" s="88"/>
      <c r="Q2803" s="88"/>
      <c r="R2803" s="78">
        <f>MAX(S2803:W2803)</f>
        <v>0</v>
      </c>
      <c r="S2803" s="88"/>
      <c r="T2803" s="88"/>
      <c r="U2803" s="88"/>
      <c r="V2803" s="88"/>
      <c r="W2803" s="88"/>
    </row>
    <row r="2804" spans="2:23" s="0" customFormat="0" ht="15">
      <c r="B2804" s="87" t="s">
        <v>1</v>
      </c>
      <c r="C2804" s="88" t="s">
        <v>5259</v>
      </c>
      <c r="D2804" s="88" t="s">
        <v>4527</v>
      </c>
      <c r="E2804" s="88" t="s">
        <v>61</v>
      </c>
      <c r="F2804" s="88">
        <v>0</v>
      </c>
      <c r="G2804" s="78">
        <f>MAX(H2804,I2804,J2804)</f>
        <v>0</v>
      </c>
      <c r="H2804" s="88"/>
      <c r="I2804" s="88"/>
      <c r="J2804" s="78">
        <f>MAX(K2804:Q2804)</f>
        <v>0</v>
      </c>
      <c r="K2804" s="88"/>
      <c r="L2804" s="88"/>
      <c r="M2804" s="88"/>
      <c r="N2804" s="88"/>
      <c r="O2804" s="88"/>
      <c r="P2804" s="88"/>
      <c r="Q2804" s="88"/>
      <c r="R2804" s="78">
        <f>MAX(S2804:W2804)</f>
        <v>1</v>
      </c>
      <c r="S2804" s="88"/>
      <c r="T2804" s="88"/>
      <c r="U2804" s="88">
        <v>1</v>
      </c>
      <c r="V2804" s="88"/>
      <c r="W2804" s="88"/>
    </row>
    <row r="2805" spans="2:23" s="0" customFormat="0" ht="15">
      <c r="B2805" s="87" t="s">
        <v>1</v>
      </c>
      <c r="C2805" s="88" t="s">
        <v>5259</v>
      </c>
      <c r="D2805" s="88" t="s">
        <v>1968</v>
      </c>
      <c r="E2805" s="88" t="s">
        <v>61</v>
      </c>
      <c r="F2805" s="88">
        <v>0</v>
      </c>
      <c r="G2805" s="78">
        <f>MAX(H2805,I2805,J2805)</f>
        <v>1</v>
      </c>
      <c r="H2805" s="88"/>
      <c r="I2805" s="88"/>
      <c r="J2805" s="78">
        <f>MAX(K2805:Q2805)</f>
        <v>1</v>
      </c>
      <c r="K2805" s="88">
        <v>1</v>
      </c>
      <c r="L2805" s="88"/>
      <c r="M2805" s="88"/>
      <c r="N2805" s="88"/>
      <c r="O2805" s="88"/>
      <c r="P2805" s="88"/>
      <c r="Q2805" s="88"/>
      <c r="R2805" s="78">
        <f>MAX(S2805:W2805)</f>
        <v>0</v>
      </c>
      <c r="S2805" s="88"/>
      <c r="T2805" s="88"/>
      <c r="U2805" s="88"/>
      <c r="V2805" s="88"/>
      <c r="W2805" s="88"/>
    </row>
    <row r="2806" spans="2:23" s="0" customFormat="0" ht="15">
      <c r="B2806" s="87" t="s">
        <v>1</v>
      </c>
      <c r="C2806" s="88" t="s">
        <v>5259</v>
      </c>
      <c r="D2806" s="88">
        <v>13102840</v>
      </c>
      <c r="E2806" s="88" t="s">
        <v>61</v>
      </c>
      <c r="F2806" s="88">
        <v>0</v>
      </c>
      <c r="G2806" s="78">
        <f>MAX(H2806,I2806,J2806)</f>
        <v>1</v>
      </c>
      <c r="H2806" s="88"/>
      <c r="I2806" s="88"/>
      <c r="J2806" s="78">
        <f>MAX(K2806:Q2806)</f>
        <v>1</v>
      </c>
      <c r="K2806" s="88">
        <v>1</v>
      </c>
      <c r="L2806" s="88"/>
      <c r="M2806" s="88"/>
      <c r="N2806" s="88"/>
      <c r="O2806" s="88"/>
      <c r="P2806" s="88"/>
      <c r="Q2806" s="88"/>
      <c r="R2806" s="78">
        <f>MAX(S2806:W2806)</f>
        <v>0</v>
      </c>
      <c r="S2806" s="88"/>
      <c r="T2806" s="88"/>
      <c r="U2806" s="88"/>
      <c r="V2806" s="88"/>
      <c r="W2806" s="88"/>
    </row>
    <row r="2807" spans="2:23" s="0" customFormat="0" ht="15">
      <c r="B2807" s="87" t="s">
        <v>1</v>
      </c>
      <c r="C2807" s="88" t="s">
        <v>5259</v>
      </c>
      <c r="D2807" s="88">
        <v>8842299</v>
      </c>
      <c r="E2807" s="88" t="s">
        <v>61</v>
      </c>
      <c r="F2807" s="88">
        <v>0</v>
      </c>
      <c r="G2807" s="78">
        <f>MAX(H2807,I2807,J2807)</f>
        <v>0</v>
      </c>
      <c r="H2807" s="88"/>
      <c r="I2807" s="88"/>
      <c r="J2807" s="78">
        <f>MAX(K2807:Q2807)</f>
        <v>0</v>
      </c>
      <c r="K2807" s="88"/>
      <c r="L2807" s="88"/>
      <c r="M2807" s="88"/>
      <c r="N2807" s="88"/>
      <c r="O2807" s="88"/>
      <c r="P2807" s="88"/>
      <c r="Q2807" s="88"/>
      <c r="R2807" s="78">
        <f>MAX(S2807:W2807)</f>
        <v>1</v>
      </c>
      <c r="S2807" s="88"/>
      <c r="T2807" s="88"/>
      <c r="U2807" s="88">
        <v>1</v>
      </c>
      <c r="V2807" s="88"/>
      <c r="W2807" s="88"/>
    </row>
    <row r="2808" spans="2:23" s="0" customFormat="0" ht="15">
      <c r="B2808" s="87" t="s">
        <v>1</v>
      </c>
      <c r="C2808" s="88" t="s">
        <v>5259</v>
      </c>
      <c r="D2808" s="88">
        <v>18085386</v>
      </c>
      <c r="E2808" s="88" t="s">
        <v>61</v>
      </c>
      <c r="F2808" s="88">
        <v>0</v>
      </c>
      <c r="G2808" s="78">
        <f>MAX(H2808,I2808,J2808)</f>
        <v>1</v>
      </c>
      <c r="H2808" s="88"/>
      <c r="I2808" s="88"/>
      <c r="J2808" s="78">
        <f>MAX(K2808:Q2808)</f>
        <v>1</v>
      </c>
      <c r="K2808" s="88">
        <v>1</v>
      </c>
      <c r="L2808" s="88"/>
      <c r="M2808" s="88"/>
      <c r="N2808" s="88"/>
      <c r="O2808" s="88"/>
      <c r="P2808" s="88"/>
      <c r="Q2808" s="88"/>
      <c r="R2808" s="78">
        <f>MAX(S2808:W2808)</f>
        <v>0</v>
      </c>
      <c r="S2808" s="88"/>
      <c r="T2808" s="88"/>
      <c r="U2808" s="88"/>
      <c r="V2808" s="88"/>
      <c r="W2808" s="88"/>
    </row>
    <row r="2809" spans="2:23" s="0" customFormat="0" ht="15">
      <c r="B2809" s="87" t="s">
        <v>1</v>
      </c>
      <c r="C2809" s="88" t="s">
        <v>5259</v>
      </c>
      <c r="D2809" s="88" t="s">
        <v>4375</v>
      </c>
      <c r="E2809" s="88" t="s">
        <v>61</v>
      </c>
      <c r="F2809" s="88">
        <v>0</v>
      </c>
      <c r="G2809" s="78">
        <f>MAX(H2809,I2809,J2809)</f>
        <v>0</v>
      </c>
      <c r="H2809" s="88"/>
      <c r="I2809" s="88"/>
      <c r="J2809" s="78">
        <f>MAX(K2809:Q2809)</f>
        <v>0</v>
      </c>
      <c r="K2809" s="88"/>
      <c r="L2809" s="88"/>
      <c r="M2809" s="88"/>
      <c r="N2809" s="88"/>
      <c r="O2809" s="88"/>
      <c r="P2809" s="88"/>
      <c r="Q2809" s="88"/>
      <c r="R2809" s="78">
        <f>MAX(S2809:W2809)</f>
        <v>1</v>
      </c>
      <c r="S2809" s="88"/>
      <c r="T2809" s="88"/>
      <c r="U2809" s="88">
        <v>1</v>
      </c>
      <c r="V2809" s="88"/>
      <c r="W2809" s="88"/>
    </row>
    <row r="2810" spans="2:23" s="0" customFormat="0" ht="15">
      <c r="B2810" s="87" t="s">
        <v>1</v>
      </c>
      <c r="C2810" s="88" t="s">
        <v>5259</v>
      </c>
      <c r="D2810" s="88">
        <v>17830018</v>
      </c>
      <c r="E2810" s="88" t="s">
        <v>61</v>
      </c>
      <c r="F2810" s="88">
        <v>0</v>
      </c>
      <c r="G2810" s="78">
        <f>MAX(H2810,I2810,J2810)</f>
        <v>1</v>
      </c>
      <c r="H2810" s="88"/>
      <c r="I2810" s="88"/>
      <c r="J2810" s="78">
        <f>MAX(K2810:Q2810)</f>
        <v>1</v>
      </c>
      <c r="K2810" s="88">
        <v>1</v>
      </c>
      <c r="L2810" s="88"/>
      <c r="M2810" s="88"/>
      <c r="N2810" s="88"/>
      <c r="O2810" s="88"/>
      <c r="P2810" s="88"/>
      <c r="Q2810" s="88"/>
      <c r="R2810" s="78">
        <f>MAX(S2810:W2810)</f>
        <v>0</v>
      </c>
      <c r="S2810" s="88"/>
      <c r="T2810" s="88"/>
      <c r="U2810" s="88"/>
      <c r="V2810" s="88"/>
      <c r="W2810" s="88"/>
    </row>
    <row r="2811" spans="2:23" s="0" customFormat="0" ht="15">
      <c r="B2811" s="87" t="s">
        <v>1</v>
      </c>
      <c r="C2811" s="88" t="s">
        <v>5259</v>
      </c>
      <c r="D2811" s="88">
        <v>2980591</v>
      </c>
      <c r="E2811" s="88" t="s">
        <v>61</v>
      </c>
      <c r="F2811" s="88">
        <v>0</v>
      </c>
      <c r="G2811" s="78">
        <f>MAX(H2811,I2811,J2811)</f>
        <v>1</v>
      </c>
      <c r="H2811" s="88"/>
      <c r="I2811" s="88"/>
      <c r="J2811" s="78">
        <f>MAX(K2811:Q2811)</f>
        <v>1</v>
      </c>
      <c r="K2811" s="88">
        <v>1</v>
      </c>
      <c r="L2811" s="88"/>
      <c r="M2811" s="88"/>
      <c r="N2811" s="88"/>
      <c r="O2811" s="88"/>
      <c r="P2811" s="88"/>
      <c r="Q2811" s="88"/>
      <c r="R2811" s="78">
        <f>MAX(S2811:W2811)</f>
        <v>0</v>
      </c>
      <c r="S2811" s="88"/>
      <c r="T2811" s="88"/>
      <c r="U2811" s="88"/>
      <c r="V2811" s="88"/>
      <c r="W2811" s="88"/>
    </row>
    <row r="2812" spans="2:23" s="0" customFormat="0" ht="15">
      <c r="B2812" s="87" t="s">
        <v>1</v>
      </c>
      <c r="C2812" s="88" t="s">
        <v>5259</v>
      </c>
      <c r="D2812" s="88" t="s">
        <v>4530</v>
      </c>
      <c r="E2812" s="88" t="s">
        <v>61</v>
      </c>
      <c r="F2812" s="88">
        <v>0</v>
      </c>
      <c r="G2812" s="78">
        <f>MAX(H2812,I2812,J2812)</f>
        <v>0</v>
      </c>
      <c r="H2812" s="88"/>
      <c r="I2812" s="88"/>
      <c r="J2812" s="78">
        <f>MAX(K2812:Q2812)</f>
        <v>0</v>
      </c>
      <c r="K2812" s="88"/>
      <c r="L2812" s="88"/>
      <c r="M2812" s="88"/>
      <c r="N2812" s="88"/>
      <c r="O2812" s="88"/>
      <c r="P2812" s="88"/>
      <c r="Q2812" s="88"/>
      <c r="R2812" s="78">
        <f>MAX(S2812:W2812)</f>
        <v>1</v>
      </c>
      <c r="S2812" s="88"/>
      <c r="T2812" s="88"/>
      <c r="U2812" s="88">
        <v>1</v>
      </c>
      <c r="V2812" s="88"/>
      <c r="W2812" s="88"/>
    </row>
    <row r="2813" spans="2:23" s="0" customFormat="0" ht="15">
      <c r="B2813" s="87" t="s">
        <v>1</v>
      </c>
      <c r="C2813" s="88" t="s">
        <v>5259</v>
      </c>
      <c r="D2813" s="88">
        <v>21534674</v>
      </c>
      <c r="E2813" s="88" t="s">
        <v>61</v>
      </c>
      <c r="F2813" s="88">
        <v>0</v>
      </c>
      <c r="G2813" s="78">
        <f>MAX(H2813,I2813,J2813)</f>
        <v>1</v>
      </c>
      <c r="H2813" s="88"/>
      <c r="I2813" s="88"/>
      <c r="J2813" s="78">
        <f>MAX(K2813:Q2813)</f>
        <v>1</v>
      </c>
      <c r="K2813" s="88">
        <v>1</v>
      </c>
      <c r="L2813" s="88"/>
      <c r="M2813" s="88"/>
      <c r="N2813" s="88"/>
      <c r="O2813" s="88"/>
      <c r="P2813" s="88"/>
      <c r="Q2813" s="88"/>
      <c r="R2813" s="78">
        <f>MAX(S2813:W2813)</f>
        <v>0</v>
      </c>
      <c r="S2813" s="88"/>
      <c r="T2813" s="88"/>
      <c r="U2813" s="88"/>
      <c r="V2813" s="88"/>
      <c r="W2813" s="88"/>
    </row>
    <row r="2814" spans="2:23" s="0" customFormat="0" ht="15">
      <c r="B2814" s="87" t="s">
        <v>1</v>
      </c>
      <c r="C2814" s="88" t="s">
        <v>5259</v>
      </c>
      <c r="D2814" s="88">
        <v>19503968</v>
      </c>
      <c r="E2814" s="88" t="s">
        <v>61</v>
      </c>
      <c r="F2814" s="88">
        <v>0</v>
      </c>
      <c r="G2814" s="78">
        <f>MAX(H2814,I2814,J2814)</f>
        <v>1</v>
      </c>
      <c r="H2814" s="88"/>
      <c r="I2814" s="88"/>
      <c r="J2814" s="78">
        <f>MAX(K2814:Q2814)</f>
        <v>1</v>
      </c>
      <c r="K2814" s="88">
        <v>1</v>
      </c>
      <c r="L2814" s="88"/>
      <c r="M2814" s="88"/>
      <c r="N2814" s="88"/>
      <c r="O2814" s="88"/>
      <c r="P2814" s="88"/>
      <c r="Q2814" s="88"/>
      <c r="R2814" s="78">
        <f>MAX(S2814:W2814)</f>
        <v>0</v>
      </c>
      <c r="S2814" s="88"/>
      <c r="T2814" s="88"/>
      <c r="U2814" s="88"/>
      <c r="V2814" s="88"/>
      <c r="W2814" s="88"/>
    </row>
    <row r="2815" spans="2:23" s="0" customFormat="0" ht="15">
      <c r="B2815" s="87" t="s">
        <v>1</v>
      </c>
      <c r="C2815" s="88" t="s">
        <v>5259</v>
      </c>
      <c r="D2815" s="88">
        <v>11413498</v>
      </c>
      <c r="E2815" s="88" t="s">
        <v>61</v>
      </c>
      <c r="F2815" s="88">
        <v>0</v>
      </c>
      <c r="G2815" s="78">
        <f>MAX(H2815,I2815,J2815)</f>
        <v>1</v>
      </c>
      <c r="H2815" s="88"/>
      <c r="I2815" s="88"/>
      <c r="J2815" s="78">
        <f>MAX(K2815:Q2815)</f>
        <v>1</v>
      </c>
      <c r="K2815" s="88">
        <v>1</v>
      </c>
      <c r="L2815" s="88"/>
      <c r="M2815" s="88"/>
      <c r="N2815" s="88"/>
      <c r="O2815" s="88"/>
      <c r="P2815" s="88"/>
      <c r="Q2815" s="88"/>
      <c r="R2815" s="78">
        <f>MAX(S2815:W2815)</f>
        <v>0</v>
      </c>
      <c r="S2815" s="88"/>
      <c r="T2815" s="88"/>
      <c r="U2815" s="88"/>
      <c r="V2815" s="88"/>
      <c r="W2815" s="88"/>
    </row>
    <row r="2816" spans="2:23" s="0" customFormat="0" ht="15">
      <c r="B2816" s="87" t="s">
        <v>1</v>
      </c>
      <c r="C2816" s="88" t="s">
        <v>5259</v>
      </c>
      <c r="D2816" s="88" t="s">
        <v>1976</v>
      </c>
      <c r="E2816" s="88" t="s">
        <v>61</v>
      </c>
      <c r="F2816" s="88">
        <v>0</v>
      </c>
      <c r="G2816" s="78">
        <f>MAX(H2816,I2816,J2816)</f>
        <v>1</v>
      </c>
      <c r="H2816" s="88"/>
      <c r="I2816" s="88"/>
      <c r="J2816" s="78">
        <f>MAX(K2816:Q2816)</f>
        <v>1</v>
      </c>
      <c r="K2816" s="88">
        <v>1</v>
      </c>
      <c r="L2816" s="88"/>
      <c r="M2816" s="88"/>
      <c r="N2816" s="88"/>
      <c r="O2816" s="88"/>
      <c r="P2816" s="88"/>
      <c r="Q2816" s="88"/>
      <c r="R2816" s="78">
        <f>MAX(S2816:W2816)</f>
        <v>0</v>
      </c>
      <c r="S2816" s="88"/>
      <c r="T2816" s="88"/>
      <c r="U2816" s="88"/>
      <c r="V2816" s="88"/>
      <c r="W2816" s="88"/>
    </row>
    <row r="2817" spans="2:23" s="0" customFormat="0" ht="15">
      <c r="B2817" s="87" t="s">
        <v>1</v>
      </c>
      <c r="C2817" s="88" t="s">
        <v>5259</v>
      </c>
      <c r="D2817" s="88">
        <v>12147490</v>
      </c>
      <c r="E2817" s="88" t="s">
        <v>61</v>
      </c>
      <c r="F2817" s="88">
        <v>0</v>
      </c>
      <c r="G2817" s="78">
        <f>MAX(H2817,I2817,J2817)</f>
        <v>1</v>
      </c>
      <c r="H2817" s="88"/>
      <c r="I2817" s="88"/>
      <c r="J2817" s="78">
        <f>MAX(K2817:Q2817)</f>
        <v>1</v>
      </c>
      <c r="K2817" s="88">
        <v>1</v>
      </c>
      <c r="L2817" s="88"/>
      <c r="M2817" s="88"/>
      <c r="N2817" s="88"/>
      <c r="O2817" s="88"/>
      <c r="P2817" s="88"/>
      <c r="Q2817" s="88"/>
      <c r="R2817" s="78">
        <f>MAX(S2817:W2817)</f>
        <v>0</v>
      </c>
      <c r="S2817" s="88"/>
      <c r="T2817" s="88"/>
      <c r="U2817" s="88"/>
      <c r="V2817" s="88"/>
      <c r="W2817" s="88"/>
    </row>
    <row r="2818" spans="2:23" s="0" customFormat="0" ht="15">
      <c r="B2818" s="87" t="s">
        <v>1</v>
      </c>
      <c r="C2818" s="88" t="s">
        <v>5259</v>
      </c>
      <c r="D2818" s="88">
        <v>19761710</v>
      </c>
      <c r="E2818" s="88" t="s">
        <v>61</v>
      </c>
      <c r="F2818" s="88">
        <v>0</v>
      </c>
      <c r="G2818" s="78">
        <f>MAX(H2818,I2818,J2818)</f>
        <v>1</v>
      </c>
      <c r="H2818" s="88"/>
      <c r="I2818" s="88"/>
      <c r="J2818" s="78">
        <f>MAX(K2818:Q2818)</f>
        <v>1</v>
      </c>
      <c r="K2818" s="88">
        <v>1</v>
      </c>
      <c r="L2818" s="88"/>
      <c r="M2818" s="88"/>
      <c r="N2818" s="88"/>
      <c r="O2818" s="88"/>
      <c r="P2818" s="88"/>
      <c r="Q2818" s="88"/>
      <c r="R2818" s="78">
        <f>MAX(S2818:W2818)</f>
        <v>0</v>
      </c>
      <c r="S2818" s="88"/>
      <c r="T2818" s="88"/>
      <c r="U2818" s="88"/>
      <c r="V2818" s="88"/>
      <c r="W2818" s="88"/>
    </row>
    <row r="2819" spans="2:23" s="0" customFormat="0" ht="15">
      <c r="B2819" s="87" t="s">
        <v>1</v>
      </c>
      <c r="C2819" s="88" t="s">
        <v>5259</v>
      </c>
      <c r="D2819" s="88" t="s">
        <v>1979</v>
      </c>
      <c r="E2819" s="88" t="s">
        <v>61</v>
      </c>
      <c r="F2819" s="88">
        <v>0</v>
      </c>
      <c r="G2819" s="78">
        <f>MAX(H2819,I2819,J2819)</f>
        <v>1</v>
      </c>
      <c r="H2819" s="88"/>
      <c r="I2819" s="88"/>
      <c r="J2819" s="78">
        <f>MAX(K2819:Q2819)</f>
        <v>1</v>
      </c>
      <c r="K2819" s="88">
        <v>1</v>
      </c>
      <c r="L2819" s="88"/>
      <c r="M2819" s="88"/>
      <c r="N2819" s="88"/>
      <c r="O2819" s="88"/>
      <c r="P2819" s="88"/>
      <c r="Q2819" s="88"/>
      <c r="R2819" s="78">
        <f>MAX(S2819:W2819)</f>
        <v>0</v>
      </c>
      <c r="S2819" s="88"/>
      <c r="T2819" s="88"/>
      <c r="U2819" s="88"/>
      <c r="V2819" s="88"/>
      <c r="W2819" s="88"/>
    </row>
    <row r="2820" spans="2:23" s="0" customFormat="0" ht="15">
      <c r="B2820" s="87" t="s">
        <v>1</v>
      </c>
      <c r="C2820" s="88" t="s">
        <v>5259</v>
      </c>
      <c r="D2820" s="88">
        <v>3130048</v>
      </c>
      <c r="E2820" s="88" t="s">
        <v>61</v>
      </c>
      <c r="F2820" s="88">
        <v>0</v>
      </c>
      <c r="G2820" s="78">
        <f>MAX(H2820,I2820,J2820)</f>
        <v>0</v>
      </c>
      <c r="H2820" s="88"/>
      <c r="I2820" s="88"/>
      <c r="J2820" s="78">
        <f>MAX(K2820:Q2820)</f>
        <v>0</v>
      </c>
      <c r="K2820" s="88"/>
      <c r="L2820" s="88"/>
      <c r="M2820" s="88"/>
      <c r="N2820" s="88"/>
      <c r="O2820" s="88"/>
      <c r="P2820" s="88"/>
      <c r="Q2820" s="88"/>
      <c r="R2820" s="78">
        <f>MAX(S2820:W2820)</f>
        <v>1</v>
      </c>
      <c r="S2820" s="88"/>
      <c r="T2820" s="88"/>
      <c r="U2820" s="88">
        <v>1</v>
      </c>
      <c r="V2820" s="88"/>
      <c r="W2820" s="88"/>
    </row>
    <row r="2821" spans="2:23" s="0" customFormat="0" ht="15">
      <c r="B2821" s="87" t="s">
        <v>1</v>
      </c>
      <c r="C2821" s="88" t="s">
        <v>5259</v>
      </c>
      <c r="D2821" s="88">
        <v>3613168</v>
      </c>
      <c r="E2821" s="88" t="s">
        <v>61</v>
      </c>
      <c r="F2821" s="88">
        <v>0</v>
      </c>
      <c r="G2821" s="78">
        <f>MAX(H2821,I2821,J2821)</f>
        <v>1</v>
      </c>
      <c r="H2821" s="88"/>
      <c r="I2821" s="88"/>
      <c r="J2821" s="78">
        <f>MAX(K2821:Q2821)</f>
        <v>1</v>
      </c>
      <c r="K2821" s="88">
        <v>1</v>
      </c>
      <c r="L2821" s="88"/>
      <c r="M2821" s="88"/>
      <c r="N2821" s="88"/>
      <c r="O2821" s="88"/>
      <c r="P2821" s="88"/>
      <c r="Q2821" s="88"/>
      <c r="R2821" s="78">
        <f>MAX(S2821:W2821)</f>
        <v>0</v>
      </c>
      <c r="S2821" s="88"/>
      <c r="T2821" s="88"/>
      <c r="U2821" s="88"/>
      <c r="V2821" s="88"/>
      <c r="W2821" s="88"/>
    </row>
    <row r="2822" spans="2:23" s="0" customFormat="0" ht="15">
      <c r="B2822" s="87" t="s">
        <v>1</v>
      </c>
      <c r="C2822" s="88" t="s">
        <v>5259</v>
      </c>
      <c r="D2822" s="88">
        <v>21092295</v>
      </c>
      <c r="E2822" s="88" t="s">
        <v>61</v>
      </c>
      <c r="F2822" s="88">
        <v>0</v>
      </c>
      <c r="G2822" s="78">
        <f>MAX(H2822,I2822,J2822)</f>
        <v>1</v>
      </c>
      <c r="H2822" s="88"/>
      <c r="I2822" s="88"/>
      <c r="J2822" s="78">
        <f>MAX(K2822:Q2822)</f>
        <v>1</v>
      </c>
      <c r="K2822" s="88">
        <v>1</v>
      </c>
      <c r="L2822" s="88"/>
      <c r="M2822" s="88"/>
      <c r="N2822" s="88"/>
      <c r="O2822" s="88"/>
      <c r="P2822" s="88"/>
      <c r="Q2822" s="88"/>
      <c r="R2822" s="78">
        <f>MAX(S2822:W2822)</f>
        <v>0</v>
      </c>
      <c r="S2822" s="88"/>
      <c r="T2822" s="88"/>
      <c r="U2822" s="88"/>
      <c r="V2822" s="88"/>
      <c r="W2822" s="88"/>
    </row>
    <row r="2823" spans="2:23" s="0" customFormat="0" ht="15">
      <c r="B2823" s="87" t="s">
        <v>1</v>
      </c>
      <c r="C2823" s="88" t="s">
        <v>5259</v>
      </c>
      <c r="D2823" s="88">
        <v>6494877</v>
      </c>
      <c r="E2823" s="88" t="s">
        <v>61</v>
      </c>
      <c r="F2823" s="88">
        <v>0</v>
      </c>
      <c r="G2823" s="78">
        <f>MAX(H2823,I2823,J2823)</f>
        <v>1</v>
      </c>
      <c r="H2823" s="88"/>
      <c r="I2823" s="88"/>
      <c r="J2823" s="78">
        <f>MAX(K2823:Q2823)</f>
        <v>1</v>
      </c>
      <c r="K2823" s="88">
        <v>1</v>
      </c>
      <c r="L2823" s="88"/>
      <c r="M2823" s="88"/>
      <c r="N2823" s="88"/>
      <c r="O2823" s="88"/>
      <c r="P2823" s="88"/>
      <c r="Q2823" s="88"/>
      <c r="R2823" s="78">
        <f>MAX(S2823:W2823)</f>
        <v>0</v>
      </c>
      <c r="S2823" s="88"/>
      <c r="T2823" s="88"/>
      <c r="U2823" s="88"/>
      <c r="V2823" s="88"/>
      <c r="W2823" s="88"/>
    </row>
    <row r="2824" spans="2:23" s="0" customFormat="0" ht="15">
      <c r="B2824" s="87" t="s">
        <v>1</v>
      </c>
      <c r="C2824" s="88" t="s">
        <v>5259</v>
      </c>
      <c r="D2824" s="88">
        <v>14723458</v>
      </c>
      <c r="E2824" s="88" t="s">
        <v>61</v>
      </c>
      <c r="F2824" s="88">
        <v>0</v>
      </c>
      <c r="G2824" s="78">
        <f>MAX(H2824,I2824,J2824)</f>
        <v>1</v>
      </c>
      <c r="H2824" s="88"/>
      <c r="I2824" s="88"/>
      <c r="J2824" s="78">
        <f>MAX(K2824:Q2824)</f>
        <v>1</v>
      </c>
      <c r="K2824" s="88">
        <v>1</v>
      </c>
      <c r="L2824" s="88"/>
      <c r="M2824" s="88"/>
      <c r="N2824" s="88"/>
      <c r="O2824" s="88"/>
      <c r="P2824" s="88"/>
      <c r="Q2824" s="88"/>
      <c r="R2824" s="78">
        <f>MAX(S2824:W2824)</f>
        <v>0</v>
      </c>
      <c r="S2824" s="88"/>
      <c r="T2824" s="88"/>
      <c r="U2824" s="88"/>
      <c r="V2824" s="88"/>
      <c r="W2824" s="88"/>
    </row>
    <row r="2825" spans="2:23" s="0" customFormat="0" ht="15">
      <c r="B2825" s="87" t="s">
        <v>1</v>
      </c>
      <c r="C2825" s="88" t="s">
        <v>5259</v>
      </c>
      <c r="D2825" s="88">
        <v>19498501</v>
      </c>
      <c r="E2825" s="88" t="s">
        <v>61</v>
      </c>
      <c r="F2825" s="88">
        <v>0</v>
      </c>
      <c r="G2825" s="78">
        <f>MAX(H2825,I2825,J2825)</f>
        <v>1</v>
      </c>
      <c r="H2825" s="88"/>
      <c r="I2825" s="88"/>
      <c r="J2825" s="78">
        <f>MAX(K2825:Q2825)</f>
        <v>1</v>
      </c>
      <c r="K2825" s="88">
        <v>1</v>
      </c>
      <c r="L2825" s="88"/>
      <c r="M2825" s="88"/>
      <c r="N2825" s="88"/>
      <c r="O2825" s="88"/>
      <c r="P2825" s="88"/>
      <c r="Q2825" s="88"/>
      <c r="R2825" s="78">
        <f>MAX(S2825:W2825)</f>
        <v>0</v>
      </c>
      <c r="S2825" s="88"/>
      <c r="T2825" s="88"/>
      <c r="U2825" s="88"/>
      <c r="V2825" s="88"/>
      <c r="W2825" s="88"/>
    </row>
    <row r="2826" spans="2:23" s="0" customFormat="0" ht="15">
      <c r="B2826" s="87" t="s">
        <v>1</v>
      </c>
      <c r="C2826" s="88" t="s">
        <v>5259</v>
      </c>
      <c r="D2826" s="88" t="s">
        <v>4533</v>
      </c>
      <c r="E2826" s="88" t="s">
        <v>61</v>
      </c>
      <c r="F2826" s="88">
        <v>0</v>
      </c>
      <c r="G2826" s="78">
        <f>MAX(H2826,I2826,J2826)</f>
        <v>0</v>
      </c>
      <c r="H2826" s="88"/>
      <c r="I2826" s="88"/>
      <c r="J2826" s="78">
        <f>MAX(K2826:Q2826)</f>
        <v>0</v>
      </c>
      <c r="K2826" s="88"/>
      <c r="L2826" s="88"/>
      <c r="M2826" s="88"/>
      <c r="N2826" s="88"/>
      <c r="O2826" s="88"/>
      <c r="P2826" s="88"/>
      <c r="Q2826" s="88"/>
      <c r="R2826" s="78">
        <f>MAX(S2826:W2826)</f>
        <v>1</v>
      </c>
      <c r="S2826" s="88"/>
      <c r="T2826" s="88"/>
      <c r="U2826" s="88">
        <v>1</v>
      </c>
      <c r="V2826" s="88"/>
      <c r="W2826" s="88"/>
    </row>
    <row r="2827" spans="2:23" s="0" customFormat="0" ht="15">
      <c r="B2827" s="87" t="s">
        <v>1</v>
      </c>
      <c r="C2827" s="88" t="s">
        <v>5259</v>
      </c>
      <c r="D2827" s="88">
        <v>24359615</v>
      </c>
      <c r="E2827" s="88" t="s">
        <v>61</v>
      </c>
      <c r="F2827" s="88">
        <v>0</v>
      </c>
      <c r="G2827" s="78">
        <f>MAX(H2827,I2827,J2827)</f>
        <v>1</v>
      </c>
      <c r="H2827" s="88"/>
      <c r="I2827" s="88"/>
      <c r="J2827" s="78">
        <f>MAX(K2827:Q2827)</f>
        <v>1</v>
      </c>
      <c r="K2827" s="88">
        <v>1</v>
      </c>
      <c r="L2827" s="88"/>
      <c r="M2827" s="88"/>
      <c r="N2827" s="88"/>
      <c r="O2827" s="88"/>
      <c r="P2827" s="88"/>
      <c r="Q2827" s="88"/>
      <c r="R2827" s="78">
        <f>MAX(S2827:W2827)</f>
        <v>0</v>
      </c>
      <c r="S2827" s="88"/>
      <c r="T2827" s="88"/>
      <c r="U2827" s="88"/>
      <c r="V2827" s="88"/>
      <c r="W2827" s="88"/>
    </row>
    <row r="2828" spans="2:23" s="0" customFormat="0" ht="15">
      <c r="B2828" s="87" t="s">
        <v>1</v>
      </c>
      <c r="C2828" s="88" t="s">
        <v>5259</v>
      </c>
      <c r="D2828" s="88" t="s">
        <v>1984</v>
      </c>
      <c r="E2828" s="88" t="s">
        <v>61</v>
      </c>
      <c r="F2828" s="88">
        <v>0</v>
      </c>
      <c r="G2828" s="78">
        <f>MAX(H2828,I2828,J2828)</f>
        <v>1</v>
      </c>
      <c r="H2828" s="88"/>
      <c r="I2828" s="88"/>
      <c r="J2828" s="78">
        <f>MAX(K2828:Q2828)</f>
        <v>1</v>
      </c>
      <c r="K2828" s="88">
        <v>1</v>
      </c>
      <c r="L2828" s="88"/>
      <c r="M2828" s="88"/>
      <c r="N2828" s="88"/>
      <c r="O2828" s="88"/>
      <c r="P2828" s="88"/>
      <c r="Q2828" s="88"/>
      <c r="R2828" s="78">
        <f>MAX(S2828:W2828)</f>
        <v>0</v>
      </c>
      <c r="S2828" s="88"/>
      <c r="T2828" s="88"/>
      <c r="U2828" s="88"/>
      <c r="V2828" s="88"/>
      <c r="W2828" s="88"/>
    </row>
    <row r="2829" spans="2:23" s="0" customFormat="0" ht="15">
      <c r="B2829" s="87" t="s">
        <v>1</v>
      </c>
      <c r="C2829" s="88" t="s">
        <v>5259</v>
      </c>
      <c r="D2829" s="88">
        <v>14060700</v>
      </c>
      <c r="E2829" s="88" t="s">
        <v>61</v>
      </c>
      <c r="F2829" s="88">
        <v>0</v>
      </c>
      <c r="G2829" s="78">
        <f>MAX(H2829,I2829,J2829)</f>
        <v>1</v>
      </c>
      <c r="H2829" s="88"/>
      <c r="I2829" s="88"/>
      <c r="J2829" s="78">
        <f>MAX(K2829:Q2829)</f>
        <v>1</v>
      </c>
      <c r="K2829" s="88">
        <v>1</v>
      </c>
      <c r="L2829" s="88"/>
      <c r="M2829" s="88"/>
      <c r="N2829" s="88"/>
      <c r="O2829" s="88"/>
      <c r="P2829" s="88"/>
      <c r="Q2829" s="88"/>
      <c r="R2829" s="78">
        <f>MAX(S2829:W2829)</f>
        <v>0</v>
      </c>
      <c r="S2829" s="88"/>
      <c r="T2829" s="88"/>
      <c r="U2829" s="88"/>
      <c r="V2829" s="88"/>
      <c r="W2829" s="88"/>
    </row>
    <row r="2830" spans="2:23" s="0" customFormat="0" ht="15">
      <c r="B2830" s="87" t="s">
        <v>1</v>
      </c>
      <c r="C2830" s="88" t="s">
        <v>5259</v>
      </c>
      <c r="D2830" s="88" t="s">
        <v>4535</v>
      </c>
      <c r="E2830" s="88" t="s">
        <v>61</v>
      </c>
      <c r="F2830" s="88">
        <v>0</v>
      </c>
      <c r="G2830" s="78">
        <f>MAX(H2830,I2830,J2830)</f>
        <v>0</v>
      </c>
      <c r="H2830" s="88"/>
      <c r="I2830" s="88"/>
      <c r="J2830" s="78">
        <f>MAX(K2830:Q2830)</f>
        <v>0</v>
      </c>
      <c r="K2830" s="88"/>
      <c r="L2830" s="88"/>
      <c r="M2830" s="88"/>
      <c r="N2830" s="88"/>
      <c r="O2830" s="88"/>
      <c r="P2830" s="88"/>
      <c r="Q2830" s="88"/>
      <c r="R2830" s="78">
        <f>MAX(S2830:W2830)</f>
        <v>1</v>
      </c>
      <c r="S2830" s="88"/>
      <c r="T2830" s="88"/>
      <c r="U2830" s="88">
        <v>1</v>
      </c>
      <c r="V2830" s="88"/>
      <c r="W2830" s="88"/>
    </row>
    <row r="2831" spans="2:23" s="0" customFormat="0" ht="15">
      <c r="B2831" s="87" t="s">
        <v>1</v>
      </c>
      <c r="C2831" s="88" t="s">
        <v>5259</v>
      </c>
      <c r="D2831" s="88">
        <v>23118780</v>
      </c>
      <c r="E2831" s="88" t="s">
        <v>61</v>
      </c>
      <c r="F2831" s="88">
        <v>0</v>
      </c>
      <c r="G2831" s="78">
        <f>MAX(H2831,I2831,J2831)</f>
        <v>1</v>
      </c>
      <c r="H2831" s="88"/>
      <c r="I2831" s="88"/>
      <c r="J2831" s="78">
        <f>MAX(K2831:Q2831)</f>
        <v>1</v>
      </c>
      <c r="K2831" s="88">
        <v>1</v>
      </c>
      <c r="L2831" s="88"/>
      <c r="M2831" s="88"/>
      <c r="N2831" s="88"/>
      <c r="O2831" s="88"/>
      <c r="P2831" s="88"/>
      <c r="Q2831" s="88"/>
      <c r="R2831" s="78">
        <f>MAX(S2831:W2831)</f>
        <v>0</v>
      </c>
      <c r="S2831" s="88"/>
      <c r="T2831" s="88"/>
      <c r="U2831" s="88"/>
      <c r="V2831" s="88"/>
      <c r="W2831" s="88"/>
    </row>
    <row r="2832" spans="2:23" s="0" customFormat="0" ht="15">
      <c r="B2832" s="87" t="s">
        <v>1</v>
      </c>
      <c r="C2832" s="88" t="s">
        <v>5259</v>
      </c>
      <c r="D2832" s="88">
        <v>19647685</v>
      </c>
      <c r="E2832" s="88" t="s">
        <v>61</v>
      </c>
      <c r="F2832" s="88">
        <v>0</v>
      </c>
      <c r="G2832" s="78">
        <f>MAX(H2832,I2832,J2832)</f>
        <v>1</v>
      </c>
      <c r="H2832" s="88"/>
      <c r="I2832" s="88"/>
      <c r="J2832" s="78">
        <f>MAX(K2832:Q2832)</f>
        <v>1</v>
      </c>
      <c r="K2832" s="88">
        <v>1</v>
      </c>
      <c r="L2832" s="88"/>
      <c r="M2832" s="88"/>
      <c r="N2832" s="88"/>
      <c r="O2832" s="88"/>
      <c r="P2832" s="88"/>
      <c r="Q2832" s="88"/>
      <c r="R2832" s="78">
        <f>MAX(S2832:W2832)</f>
        <v>0</v>
      </c>
      <c r="S2832" s="88"/>
      <c r="T2832" s="88"/>
      <c r="U2832" s="88"/>
      <c r="V2832" s="88"/>
      <c r="W2832" s="88"/>
    </row>
    <row r="2833" spans="2:23" s="0" customFormat="0" ht="15">
      <c r="B2833" s="87" t="s">
        <v>1</v>
      </c>
      <c r="C2833" s="88" t="s">
        <v>5259</v>
      </c>
      <c r="D2833" s="88">
        <v>19666398</v>
      </c>
      <c r="E2833" s="88" t="s">
        <v>61</v>
      </c>
      <c r="F2833" s="88">
        <v>0</v>
      </c>
      <c r="G2833" s="78">
        <f>MAX(H2833,I2833,J2833)</f>
        <v>1</v>
      </c>
      <c r="H2833" s="88"/>
      <c r="I2833" s="88"/>
      <c r="J2833" s="78">
        <f>MAX(K2833:Q2833)</f>
        <v>1</v>
      </c>
      <c r="K2833" s="88">
        <v>1</v>
      </c>
      <c r="L2833" s="88"/>
      <c r="M2833" s="88"/>
      <c r="N2833" s="88"/>
      <c r="O2833" s="88"/>
      <c r="P2833" s="88"/>
      <c r="Q2833" s="88"/>
      <c r="R2833" s="78">
        <f>MAX(S2833:W2833)</f>
        <v>0</v>
      </c>
      <c r="S2833" s="88"/>
      <c r="T2833" s="88"/>
      <c r="U2833" s="88"/>
      <c r="V2833" s="88"/>
      <c r="W2833" s="88"/>
    </row>
    <row r="2834" spans="2:23" s="0" customFormat="0" ht="15">
      <c r="B2834" s="87" t="s">
        <v>1</v>
      </c>
      <c r="C2834" s="88" t="s">
        <v>5259</v>
      </c>
      <c r="D2834" s="88">
        <v>16974047</v>
      </c>
      <c r="E2834" s="88" t="s">
        <v>61</v>
      </c>
      <c r="F2834" s="88">
        <v>0</v>
      </c>
      <c r="G2834" s="78">
        <f>MAX(H2834,I2834,J2834)</f>
        <v>0</v>
      </c>
      <c r="H2834" s="88"/>
      <c r="I2834" s="88"/>
      <c r="J2834" s="78">
        <f>MAX(K2834:Q2834)</f>
        <v>0</v>
      </c>
      <c r="K2834" s="88"/>
      <c r="L2834" s="88"/>
      <c r="M2834" s="88"/>
      <c r="N2834" s="88"/>
      <c r="O2834" s="88"/>
      <c r="P2834" s="88"/>
      <c r="Q2834" s="88"/>
      <c r="R2834" s="78">
        <f>MAX(S2834:W2834)</f>
        <v>1</v>
      </c>
      <c r="S2834" s="88"/>
      <c r="T2834" s="88"/>
      <c r="U2834" s="88"/>
      <c r="V2834" s="88">
        <v>1</v>
      </c>
      <c r="W2834" s="88"/>
    </row>
    <row r="2835" spans="2:23" s="0" customFormat="0" ht="15">
      <c r="B2835" s="87" t="s">
        <v>1</v>
      </c>
      <c r="C2835" s="88" t="s">
        <v>5259</v>
      </c>
      <c r="D2835" s="88" t="s">
        <v>4537</v>
      </c>
      <c r="E2835" s="88" t="s">
        <v>61</v>
      </c>
      <c r="F2835" s="88">
        <v>0</v>
      </c>
      <c r="G2835" s="78">
        <f>MAX(H2835,I2835,J2835)</f>
        <v>0</v>
      </c>
      <c r="H2835" s="88"/>
      <c r="I2835" s="88"/>
      <c r="J2835" s="78">
        <f>MAX(K2835:Q2835)</f>
        <v>0</v>
      </c>
      <c r="K2835" s="88"/>
      <c r="L2835" s="88"/>
      <c r="M2835" s="88"/>
      <c r="N2835" s="88"/>
      <c r="O2835" s="88"/>
      <c r="P2835" s="88"/>
      <c r="Q2835" s="88"/>
      <c r="R2835" s="78">
        <f>MAX(S2835:W2835)</f>
        <v>1</v>
      </c>
      <c r="S2835" s="88"/>
      <c r="T2835" s="88"/>
      <c r="U2835" s="88">
        <v>1</v>
      </c>
      <c r="V2835" s="88"/>
      <c r="W2835" s="88"/>
    </row>
    <row r="2836" spans="2:23" s="0" customFormat="0" ht="15">
      <c r="B2836" s="87" t="s">
        <v>1</v>
      </c>
      <c r="C2836" s="88" t="s">
        <v>5259</v>
      </c>
      <c r="D2836" s="88">
        <v>4172301</v>
      </c>
      <c r="E2836" s="88" t="s">
        <v>61</v>
      </c>
      <c r="F2836" s="88">
        <v>0</v>
      </c>
      <c r="G2836" s="78">
        <f>MAX(H2836,I2836,J2836)</f>
        <v>0</v>
      </c>
      <c r="H2836" s="88"/>
      <c r="I2836" s="88"/>
      <c r="J2836" s="78">
        <f>MAX(K2836:Q2836)</f>
        <v>0</v>
      </c>
      <c r="K2836" s="88"/>
      <c r="L2836" s="88"/>
      <c r="M2836" s="88"/>
      <c r="N2836" s="88"/>
      <c r="O2836" s="88"/>
      <c r="P2836" s="88"/>
      <c r="Q2836" s="88"/>
      <c r="R2836" s="78">
        <f>MAX(S2836:W2836)</f>
        <v>1</v>
      </c>
      <c r="S2836" s="88"/>
      <c r="T2836" s="88"/>
      <c r="U2836" s="88"/>
      <c r="V2836" s="88">
        <v>1</v>
      </c>
      <c r="W2836" s="88"/>
    </row>
    <row r="2837" spans="2:23" s="0" customFormat="0" ht="15">
      <c r="B2837" s="87" t="s">
        <v>1</v>
      </c>
      <c r="C2837" s="88" t="s">
        <v>5259</v>
      </c>
      <c r="D2837" s="88">
        <v>15405446</v>
      </c>
      <c r="E2837" s="88" t="s">
        <v>61</v>
      </c>
      <c r="F2837" s="88">
        <v>0</v>
      </c>
      <c r="G2837" s="78">
        <f>MAX(H2837,I2837,J2837)</f>
        <v>1</v>
      </c>
      <c r="H2837" s="88"/>
      <c r="I2837" s="88"/>
      <c r="J2837" s="78">
        <f>MAX(K2837:Q2837)</f>
        <v>1</v>
      </c>
      <c r="K2837" s="88">
        <v>1</v>
      </c>
      <c r="L2837" s="88"/>
      <c r="M2837" s="88"/>
      <c r="N2837" s="88"/>
      <c r="O2837" s="88"/>
      <c r="P2837" s="88"/>
      <c r="Q2837" s="88"/>
      <c r="R2837" s="78">
        <f>MAX(S2837:W2837)</f>
        <v>0</v>
      </c>
      <c r="S2837" s="88"/>
      <c r="T2837" s="88"/>
      <c r="U2837" s="88"/>
      <c r="V2837" s="88"/>
      <c r="W2837" s="88"/>
    </row>
    <row r="2838" spans="2:23" s="0" customFormat="0" ht="15">
      <c r="B2838" s="87" t="s">
        <v>1</v>
      </c>
      <c r="C2838" s="88" t="s">
        <v>5259</v>
      </c>
      <c r="D2838" s="88">
        <v>22901028</v>
      </c>
      <c r="E2838" s="88" t="s">
        <v>61</v>
      </c>
      <c r="F2838" s="88">
        <v>0</v>
      </c>
      <c r="G2838" s="78">
        <f>MAX(H2838,I2838,J2838)</f>
        <v>1</v>
      </c>
      <c r="H2838" s="88"/>
      <c r="I2838" s="88"/>
      <c r="J2838" s="78">
        <f>MAX(K2838:Q2838)</f>
        <v>1</v>
      </c>
      <c r="K2838" s="88">
        <v>1</v>
      </c>
      <c r="L2838" s="88"/>
      <c r="M2838" s="88"/>
      <c r="N2838" s="88"/>
      <c r="O2838" s="88"/>
      <c r="P2838" s="88"/>
      <c r="Q2838" s="88"/>
      <c r="R2838" s="78">
        <f>MAX(S2838:W2838)</f>
        <v>0</v>
      </c>
      <c r="S2838" s="88"/>
      <c r="T2838" s="88"/>
      <c r="U2838" s="88"/>
      <c r="V2838" s="88"/>
      <c r="W2838" s="88"/>
    </row>
    <row r="2839" spans="2:23" s="0" customFormat="0" ht="15">
      <c r="B2839" s="87" t="s">
        <v>1</v>
      </c>
      <c r="C2839" s="88" t="s">
        <v>5259</v>
      </c>
      <c r="D2839" s="88">
        <v>16971309</v>
      </c>
      <c r="E2839" s="88" t="s">
        <v>61</v>
      </c>
      <c r="F2839" s="88">
        <v>0</v>
      </c>
      <c r="G2839" s="78">
        <f>MAX(H2839,I2839,J2839)</f>
        <v>1</v>
      </c>
      <c r="H2839" s="88"/>
      <c r="I2839" s="88"/>
      <c r="J2839" s="78">
        <f>MAX(K2839:Q2839)</f>
        <v>1</v>
      </c>
      <c r="K2839" s="88">
        <v>1</v>
      </c>
      <c r="L2839" s="88"/>
      <c r="M2839" s="88"/>
      <c r="N2839" s="88"/>
      <c r="O2839" s="88"/>
      <c r="P2839" s="88"/>
      <c r="Q2839" s="88"/>
      <c r="R2839" s="78">
        <f>MAX(S2839:W2839)</f>
        <v>0</v>
      </c>
      <c r="S2839" s="88"/>
      <c r="T2839" s="88"/>
      <c r="U2839" s="88"/>
      <c r="V2839" s="88"/>
      <c r="W2839" s="88"/>
    </row>
    <row r="2840" spans="2:23" s="0" customFormat="0" ht="15">
      <c r="B2840" s="87" t="s">
        <v>1</v>
      </c>
      <c r="C2840" s="88" t="s">
        <v>5259</v>
      </c>
      <c r="D2840" s="88">
        <v>12406019</v>
      </c>
      <c r="E2840" s="88" t="s">
        <v>61</v>
      </c>
      <c r="F2840" s="88">
        <v>0</v>
      </c>
      <c r="G2840" s="78">
        <f>MAX(H2840,I2840,J2840)</f>
        <v>1</v>
      </c>
      <c r="H2840" s="88"/>
      <c r="I2840" s="88"/>
      <c r="J2840" s="78">
        <f>MAX(K2840:Q2840)</f>
        <v>1</v>
      </c>
      <c r="K2840" s="88">
        <v>1</v>
      </c>
      <c r="L2840" s="88"/>
      <c r="M2840" s="88"/>
      <c r="N2840" s="88"/>
      <c r="O2840" s="88"/>
      <c r="P2840" s="88"/>
      <c r="Q2840" s="88"/>
      <c r="R2840" s="78">
        <f>MAX(S2840:W2840)</f>
        <v>0</v>
      </c>
      <c r="S2840" s="88"/>
      <c r="T2840" s="88"/>
      <c r="U2840" s="88"/>
      <c r="V2840" s="88"/>
      <c r="W2840" s="88"/>
    </row>
    <row r="2841" spans="2:23" s="0" customFormat="0" ht="15">
      <c r="B2841" s="87" t="s">
        <v>1</v>
      </c>
      <c r="C2841" s="88" t="s">
        <v>5259</v>
      </c>
      <c r="D2841" s="88" t="s">
        <v>1990</v>
      </c>
      <c r="E2841" s="88" t="s">
        <v>61</v>
      </c>
      <c r="F2841" s="88">
        <v>0</v>
      </c>
      <c r="G2841" s="78">
        <f>MAX(H2841,I2841,J2841)</f>
        <v>1</v>
      </c>
      <c r="H2841" s="88"/>
      <c r="I2841" s="88"/>
      <c r="J2841" s="78">
        <f>MAX(K2841:Q2841)</f>
        <v>1</v>
      </c>
      <c r="K2841" s="88">
        <v>1</v>
      </c>
      <c r="L2841" s="88"/>
      <c r="M2841" s="88"/>
      <c r="N2841" s="88"/>
      <c r="O2841" s="88"/>
      <c r="P2841" s="88"/>
      <c r="Q2841" s="88"/>
      <c r="R2841" s="78">
        <f>MAX(S2841:W2841)</f>
        <v>0</v>
      </c>
      <c r="S2841" s="88"/>
      <c r="T2841" s="88"/>
      <c r="U2841" s="88"/>
      <c r="V2841" s="88"/>
      <c r="W2841" s="88"/>
    </row>
    <row r="2842" spans="2:23" s="0" customFormat="0" ht="15">
      <c r="B2842" s="87" t="s">
        <v>1</v>
      </c>
      <c r="C2842" s="88" t="s">
        <v>5259</v>
      </c>
      <c r="D2842" s="88" t="s">
        <v>1992</v>
      </c>
      <c r="E2842" s="88" t="s">
        <v>61</v>
      </c>
      <c r="F2842" s="88">
        <v>0</v>
      </c>
      <c r="G2842" s="78">
        <f>MAX(H2842,I2842,J2842)</f>
        <v>1</v>
      </c>
      <c r="H2842" s="88"/>
      <c r="I2842" s="88"/>
      <c r="J2842" s="78">
        <f>MAX(K2842:Q2842)</f>
        <v>1</v>
      </c>
      <c r="K2842" s="88">
        <v>1</v>
      </c>
      <c r="L2842" s="88"/>
      <c r="M2842" s="88"/>
      <c r="N2842" s="88"/>
      <c r="O2842" s="88"/>
      <c r="P2842" s="88"/>
      <c r="Q2842" s="88"/>
      <c r="R2842" s="78">
        <f>MAX(S2842:W2842)</f>
        <v>0</v>
      </c>
      <c r="S2842" s="88"/>
      <c r="T2842" s="88"/>
      <c r="U2842" s="88"/>
      <c r="V2842" s="88"/>
      <c r="W2842" s="88"/>
    </row>
    <row r="2843" spans="2:23" s="0" customFormat="0" ht="15">
      <c r="B2843" s="87" t="s">
        <v>1</v>
      </c>
      <c r="C2843" s="88" t="s">
        <v>5259</v>
      </c>
      <c r="D2843" s="88" t="s">
        <v>1994</v>
      </c>
      <c r="E2843" s="88" t="s">
        <v>61</v>
      </c>
      <c r="F2843" s="88">
        <v>0</v>
      </c>
      <c r="G2843" s="78">
        <f>MAX(H2843,I2843,J2843)</f>
        <v>1</v>
      </c>
      <c r="H2843" s="88"/>
      <c r="I2843" s="88"/>
      <c r="J2843" s="78">
        <f>MAX(K2843:Q2843)</f>
        <v>1</v>
      </c>
      <c r="K2843" s="88">
        <v>1</v>
      </c>
      <c r="L2843" s="88"/>
      <c r="M2843" s="88"/>
      <c r="N2843" s="88"/>
      <c r="O2843" s="88"/>
      <c r="P2843" s="88"/>
      <c r="Q2843" s="88"/>
      <c r="R2843" s="78">
        <f>MAX(S2843:W2843)</f>
        <v>0</v>
      </c>
      <c r="S2843" s="88"/>
      <c r="T2843" s="88"/>
      <c r="U2843" s="88"/>
      <c r="V2843" s="88"/>
      <c r="W2843" s="88"/>
    </row>
    <row r="2844" spans="2:23" s="0" customFormat="0" ht="15">
      <c r="B2844" s="87" t="s">
        <v>1</v>
      </c>
      <c r="C2844" s="88" t="s">
        <v>5259</v>
      </c>
      <c r="D2844" s="88">
        <v>20447790</v>
      </c>
      <c r="E2844" s="88" t="s">
        <v>61</v>
      </c>
      <c r="F2844" s="88">
        <v>0</v>
      </c>
      <c r="G2844" s="78">
        <f>MAX(H2844,I2844,J2844)</f>
        <v>1</v>
      </c>
      <c r="H2844" s="88"/>
      <c r="I2844" s="88"/>
      <c r="J2844" s="78">
        <f>MAX(K2844:Q2844)</f>
        <v>1</v>
      </c>
      <c r="K2844" s="88">
        <v>1</v>
      </c>
      <c r="L2844" s="88"/>
      <c r="M2844" s="88"/>
      <c r="N2844" s="88"/>
      <c r="O2844" s="88"/>
      <c r="P2844" s="88"/>
      <c r="Q2844" s="88"/>
      <c r="R2844" s="78">
        <f>MAX(S2844:W2844)</f>
        <v>0</v>
      </c>
      <c r="S2844" s="88"/>
      <c r="T2844" s="88"/>
      <c r="U2844" s="88"/>
      <c r="V2844" s="88"/>
      <c r="W2844" s="88"/>
    </row>
    <row r="2845" spans="2:23" s="0" customFormat="0" ht="15">
      <c r="B2845" s="87" t="s">
        <v>1</v>
      </c>
      <c r="C2845" s="88" t="s">
        <v>5259</v>
      </c>
      <c r="D2845" s="88" t="s">
        <v>4539</v>
      </c>
      <c r="E2845" s="88" t="s">
        <v>61</v>
      </c>
      <c r="F2845" s="88">
        <v>0</v>
      </c>
      <c r="G2845" s="78">
        <f>MAX(H2845,I2845,J2845)</f>
        <v>0</v>
      </c>
      <c r="H2845" s="88"/>
      <c r="I2845" s="88"/>
      <c r="J2845" s="78">
        <f>MAX(K2845:Q2845)</f>
        <v>0</v>
      </c>
      <c r="K2845" s="88"/>
      <c r="L2845" s="88"/>
      <c r="M2845" s="88"/>
      <c r="N2845" s="88"/>
      <c r="O2845" s="88"/>
      <c r="P2845" s="88"/>
      <c r="Q2845" s="88"/>
      <c r="R2845" s="78">
        <f>MAX(S2845:W2845)</f>
        <v>1</v>
      </c>
      <c r="S2845" s="88"/>
      <c r="T2845" s="88"/>
      <c r="U2845" s="88">
        <v>1</v>
      </c>
      <c r="V2845" s="88"/>
      <c r="W2845" s="88"/>
    </row>
    <row r="2846" spans="2:23" s="0" customFormat="0" ht="15">
      <c r="B2846" s="87" t="s">
        <v>1</v>
      </c>
      <c r="C2846" s="88" t="s">
        <v>5259</v>
      </c>
      <c r="D2846" s="88" t="s">
        <v>738</v>
      </c>
      <c r="E2846" s="88" t="s">
        <v>61</v>
      </c>
      <c r="F2846" s="88">
        <v>0</v>
      </c>
      <c r="G2846" s="78">
        <f>MAX(H2846,I2846,J2846)</f>
        <v>1</v>
      </c>
      <c r="H2846" s="88"/>
      <c r="I2846" s="88"/>
      <c r="J2846" s="78">
        <f>MAX(K2846:Q2846)</f>
        <v>1</v>
      </c>
      <c r="K2846" s="88">
        <v>1</v>
      </c>
      <c r="L2846" s="88"/>
      <c r="M2846" s="88"/>
      <c r="N2846" s="88"/>
      <c r="O2846" s="88"/>
      <c r="P2846" s="88"/>
      <c r="Q2846" s="88"/>
      <c r="R2846" s="78">
        <f>MAX(S2846:W2846)</f>
        <v>0</v>
      </c>
      <c r="S2846" s="88"/>
      <c r="T2846" s="88"/>
      <c r="U2846" s="88"/>
      <c r="V2846" s="88"/>
      <c r="W2846" s="88"/>
    </row>
    <row r="2847" spans="2:23" s="0" customFormat="0" ht="15">
      <c r="B2847" s="87" t="s">
        <v>1</v>
      </c>
      <c r="C2847" s="88" t="s">
        <v>5259</v>
      </c>
      <c r="D2847" s="88" t="s">
        <v>3252</v>
      </c>
      <c r="E2847" s="88" t="s">
        <v>61</v>
      </c>
      <c r="F2847" s="88">
        <v>0</v>
      </c>
      <c r="G2847" s="78">
        <f>MAX(H2847,I2847,J2847)</f>
        <v>0</v>
      </c>
      <c r="H2847" s="88"/>
      <c r="I2847" s="88"/>
      <c r="J2847" s="78">
        <f>MAX(K2847:Q2847)</f>
        <v>0</v>
      </c>
      <c r="K2847" s="88"/>
      <c r="L2847" s="88"/>
      <c r="M2847" s="88"/>
      <c r="N2847" s="88"/>
      <c r="O2847" s="88"/>
      <c r="P2847" s="88"/>
      <c r="Q2847" s="88"/>
      <c r="R2847" s="78">
        <f>MAX(S2847:W2847)</f>
        <v>1</v>
      </c>
      <c r="S2847" s="88"/>
      <c r="T2847" s="88"/>
      <c r="U2847" s="88"/>
      <c r="V2847" s="88">
        <v>1</v>
      </c>
      <c r="W2847" s="88"/>
    </row>
    <row r="2848" spans="2:23" s="0" customFormat="0" ht="15">
      <c r="B2848" s="87" t="s">
        <v>1</v>
      </c>
      <c r="C2848" s="88" t="s">
        <v>5259</v>
      </c>
      <c r="D2848" s="88" t="s">
        <v>3521</v>
      </c>
      <c r="E2848" s="88" t="s">
        <v>61</v>
      </c>
      <c r="F2848" s="88">
        <v>0</v>
      </c>
      <c r="G2848" s="78">
        <f>MAX(H2848,I2848,J2848)</f>
        <v>0</v>
      </c>
      <c r="H2848" s="88"/>
      <c r="I2848" s="88"/>
      <c r="J2848" s="78">
        <f>MAX(K2848:Q2848)</f>
        <v>0</v>
      </c>
      <c r="K2848" s="88"/>
      <c r="L2848" s="88"/>
      <c r="M2848" s="88"/>
      <c r="N2848" s="88"/>
      <c r="O2848" s="88"/>
      <c r="P2848" s="88"/>
      <c r="Q2848" s="88"/>
      <c r="R2848" s="78">
        <f>MAX(S2848:W2848)</f>
        <v>1</v>
      </c>
      <c r="S2848" s="88"/>
      <c r="T2848" s="88"/>
      <c r="U2848" s="88">
        <v>1</v>
      </c>
      <c r="V2848" s="88"/>
      <c r="W2848" s="88"/>
    </row>
    <row r="2849" spans="2:23" s="0" customFormat="0" ht="15">
      <c r="B2849" s="87" t="s">
        <v>1</v>
      </c>
      <c r="C2849" s="88" t="s">
        <v>5259</v>
      </c>
      <c r="D2849" s="88" t="s">
        <v>1895</v>
      </c>
      <c r="E2849" s="88" t="s">
        <v>61</v>
      </c>
      <c r="F2849" s="88">
        <v>0</v>
      </c>
      <c r="G2849" s="78">
        <f>MAX(H2849,I2849,J2849)</f>
        <v>1</v>
      </c>
      <c r="H2849" s="88"/>
      <c r="I2849" s="88"/>
      <c r="J2849" s="78">
        <f>MAX(K2849:Q2849)</f>
        <v>1</v>
      </c>
      <c r="K2849" s="88">
        <v>1</v>
      </c>
      <c r="L2849" s="88"/>
      <c r="M2849" s="88"/>
      <c r="N2849" s="88"/>
      <c r="O2849" s="88"/>
      <c r="P2849" s="88"/>
      <c r="Q2849" s="88"/>
      <c r="R2849" s="78">
        <f>MAX(S2849:W2849)</f>
        <v>0</v>
      </c>
      <c r="S2849" s="88"/>
      <c r="T2849" s="88"/>
      <c r="U2849" s="88"/>
      <c r="V2849" s="88"/>
      <c r="W2849" s="88"/>
    </row>
    <row r="2850" spans="2:23" s="0" customFormat="0" ht="15">
      <c r="B2850" s="87" t="s">
        <v>1</v>
      </c>
      <c r="C2850" s="88" t="s">
        <v>5259</v>
      </c>
      <c r="D2850" s="88">
        <v>17849963</v>
      </c>
      <c r="E2850" s="88" t="s">
        <v>61</v>
      </c>
      <c r="F2850" s="88">
        <v>0</v>
      </c>
      <c r="G2850" s="78">
        <f>MAX(H2850,I2850,J2850)</f>
        <v>0</v>
      </c>
      <c r="H2850" s="88"/>
      <c r="I2850" s="88"/>
      <c r="J2850" s="78">
        <f>MAX(K2850:Q2850)</f>
        <v>0</v>
      </c>
      <c r="K2850" s="88"/>
      <c r="L2850" s="88"/>
      <c r="M2850" s="88"/>
      <c r="N2850" s="88"/>
      <c r="O2850" s="88"/>
      <c r="P2850" s="88"/>
      <c r="Q2850" s="88"/>
      <c r="R2850" s="78">
        <f>MAX(S2850:W2850)</f>
        <v>1</v>
      </c>
      <c r="S2850" s="88"/>
      <c r="T2850" s="88"/>
      <c r="U2850" s="88">
        <v>1</v>
      </c>
      <c r="V2850" s="88"/>
      <c r="W2850" s="88"/>
    </row>
    <row r="2851" spans="2:23" s="0" customFormat="0" ht="15">
      <c r="B2851" s="87" t="s">
        <v>1</v>
      </c>
      <c r="C2851" s="88" t="s">
        <v>5259</v>
      </c>
      <c r="D2851" s="88">
        <v>21802086</v>
      </c>
      <c r="E2851" s="88" t="s">
        <v>61</v>
      </c>
      <c r="F2851" s="88">
        <v>0</v>
      </c>
      <c r="G2851" s="78">
        <f>MAX(H2851,I2851,J2851)</f>
        <v>1</v>
      </c>
      <c r="H2851" s="88"/>
      <c r="I2851" s="88"/>
      <c r="J2851" s="78">
        <f>MAX(K2851:Q2851)</f>
        <v>1</v>
      </c>
      <c r="K2851" s="88">
        <v>1</v>
      </c>
      <c r="L2851" s="88"/>
      <c r="M2851" s="88"/>
      <c r="N2851" s="88"/>
      <c r="O2851" s="88"/>
      <c r="P2851" s="88"/>
      <c r="Q2851" s="88"/>
      <c r="R2851" s="78">
        <f>MAX(S2851:W2851)</f>
        <v>0</v>
      </c>
      <c r="S2851" s="88"/>
      <c r="T2851" s="88"/>
      <c r="U2851" s="88"/>
      <c r="V2851" s="88"/>
      <c r="W2851" s="88"/>
    </row>
    <row r="2852" spans="2:23" s="0" customFormat="0" ht="15">
      <c r="B2852" s="87" t="s">
        <v>1</v>
      </c>
      <c r="C2852" s="88" t="s">
        <v>5259</v>
      </c>
      <c r="D2852" s="88">
        <v>18916406</v>
      </c>
      <c r="E2852" s="88" t="s">
        <v>61</v>
      </c>
      <c r="F2852" s="88">
        <v>0</v>
      </c>
      <c r="G2852" s="78">
        <f>MAX(H2852,I2852,J2852)</f>
        <v>1</v>
      </c>
      <c r="H2852" s="88"/>
      <c r="I2852" s="88"/>
      <c r="J2852" s="78">
        <f>MAX(K2852:Q2852)</f>
        <v>1</v>
      </c>
      <c r="K2852" s="88">
        <v>1</v>
      </c>
      <c r="L2852" s="88"/>
      <c r="M2852" s="88"/>
      <c r="N2852" s="88"/>
      <c r="O2852" s="88"/>
      <c r="P2852" s="88"/>
      <c r="Q2852" s="88"/>
      <c r="R2852" s="78">
        <f>MAX(S2852:W2852)</f>
        <v>0</v>
      </c>
      <c r="S2852" s="88"/>
      <c r="T2852" s="88"/>
      <c r="U2852" s="88"/>
      <c r="V2852" s="88"/>
      <c r="W2852" s="88"/>
    </row>
    <row r="2853" spans="2:23" s="0" customFormat="0" ht="15">
      <c r="B2853" s="87" t="s">
        <v>1</v>
      </c>
      <c r="C2853" s="88" t="s">
        <v>5259</v>
      </c>
      <c r="D2853" s="88" t="s">
        <v>314</v>
      </c>
      <c r="E2853" s="88" t="s">
        <v>61</v>
      </c>
      <c r="F2853" s="88">
        <v>0</v>
      </c>
      <c r="G2853" s="78">
        <f>MAX(H2853,I2853,J2853)</f>
        <v>1</v>
      </c>
      <c r="H2853" s="88"/>
      <c r="I2853" s="88"/>
      <c r="J2853" s="78">
        <f>MAX(K2853:Q2853)</f>
        <v>1</v>
      </c>
      <c r="K2853" s="88">
        <v>1</v>
      </c>
      <c r="L2853" s="88"/>
      <c r="M2853" s="88"/>
      <c r="N2853" s="88"/>
      <c r="O2853" s="88"/>
      <c r="P2853" s="88"/>
      <c r="Q2853" s="88"/>
      <c r="R2853" s="78">
        <f>MAX(S2853:W2853)</f>
        <v>0</v>
      </c>
      <c r="S2853" s="88"/>
      <c r="T2853" s="88"/>
      <c r="U2853" s="88"/>
      <c r="V2853" s="88"/>
      <c r="W2853" s="88"/>
    </row>
    <row r="2854" spans="2:23" s="0" customFormat="0" ht="15">
      <c r="B2854" s="87" t="s">
        <v>1</v>
      </c>
      <c r="C2854" s="88" t="s">
        <v>5259</v>
      </c>
      <c r="D2854" s="88" t="s">
        <v>4542</v>
      </c>
      <c r="E2854" s="88" t="s">
        <v>61</v>
      </c>
      <c r="F2854" s="88">
        <v>0</v>
      </c>
      <c r="G2854" s="78">
        <f>MAX(H2854,I2854,J2854)</f>
        <v>0</v>
      </c>
      <c r="H2854" s="88"/>
      <c r="I2854" s="88"/>
      <c r="J2854" s="78">
        <f>MAX(K2854:Q2854)</f>
        <v>0</v>
      </c>
      <c r="K2854" s="88"/>
      <c r="L2854" s="88"/>
      <c r="M2854" s="88"/>
      <c r="N2854" s="88"/>
      <c r="O2854" s="88"/>
      <c r="P2854" s="88"/>
      <c r="Q2854" s="88"/>
      <c r="R2854" s="78">
        <f>MAX(S2854:W2854)</f>
        <v>1</v>
      </c>
      <c r="S2854" s="88"/>
      <c r="T2854" s="88"/>
      <c r="U2854" s="88">
        <v>1</v>
      </c>
      <c r="V2854" s="88"/>
      <c r="W2854" s="88"/>
    </row>
    <row r="2855" spans="2:23" s="0" customFormat="0" ht="15">
      <c r="B2855" s="87" t="s">
        <v>1</v>
      </c>
      <c r="C2855" s="88" t="s">
        <v>5259</v>
      </c>
      <c r="D2855" s="88">
        <v>21382664</v>
      </c>
      <c r="E2855" s="88" t="s">
        <v>61</v>
      </c>
      <c r="F2855" s="88">
        <v>0</v>
      </c>
      <c r="G2855" s="78">
        <f>MAX(H2855,I2855,J2855)</f>
        <v>0</v>
      </c>
      <c r="H2855" s="88"/>
      <c r="I2855" s="88"/>
      <c r="J2855" s="78">
        <f>MAX(K2855:Q2855)</f>
        <v>0</v>
      </c>
      <c r="K2855" s="88"/>
      <c r="L2855" s="88"/>
      <c r="M2855" s="88"/>
      <c r="N2855" s="88"/>
      <c r="O2855" s="88"/>
      <c r="P2855" s="88"/>
      <c r="Q2855" s="88"/>
      <c r="R2855" s="78">
        <f>MAX(S2855:W2855)</f>
        <v>1</v>
      </c>
      <c r="S2855" s="88"/>
      <c r="T2855" s="88"/>
      <c r="U2855" s="88">
        <v>1</v>
      </c>
      <c r="V2855" s="88"/>
      <c r="W2855" s="88"/>
    </row>
    <row r="2856" spans="2:23" s="0" customFormat="0" ht="15">
      <c r="B2856" s="87" t="s">
        <v>1</v>
      </c>
      <c r="C2856" s="88" t="s">
        <v>5259</v>
      </c>
      <c r="D2856" s="88">
        <v>21150131</v>
      </c>
      <c r="E2856" s="88" t="s">
        <v>61</v>
      </c>
      <c r="F2856" s="88">
        <v>0</v>
      </c>
      <c r="G2856" s="78">
        <f>MAX(H2856,I2856,J2856)</f>
        <v>1</v>
      </c>
      <c r="H2856" s="88"/>
      <c r="I2856" s="88"/>
      <c r="J2856" s="78">
        <f>MAX(K2856:Q2856)</f>
        <v>1</v>
      </c>
      <c r="K2856" s="88">
        <v>1</v>
      </c>
      <c r="L2856" s="88"/>
      <c r="M2856" s="88"/>
      <c r="N2856" s="88"/>
      <c r="O2856" s="88"/>
      <c r="P2856" s="88"/>
      <c r="Q2856" s="88"/>
      <c r="R2856" s="78">
        <f>MAX(S2856:W2856)</f>
        <v>0</v>
      </c>
      <c r="S2856" s="88"/>
      <c r="T2856" s="88"/>
      <c r="U2856" s="88"/>
      <c r="V2856" s="88"/>
      <c r="W2856" s="88"/>
    </row>
    <row r="2857" spans="2:23" s="0" customFormat="0" ht="15">
      <c r="B2857" s="87" t="s">
        <v>1</v>
      </c>
      <c r="C2857" s="88" t="s">
        <v>5259</v>
      </c>
      <c r="D2857" s="88" t="s">
        <v>1996</v>
      </c>
      <c r="E2857" s="88" t="s">
        <v>61</v>
      </c>
      <c r="F2857" s="88">
        <v>0</v>
      </c>
      <c r="G2857" s="78">
        <f>MAX(H2857,I2857,J2857)</f>
        <v>1</v>
      </c>
      <c r="H2857" s="88"/>
      <c r="I2857" s="88"/>
      <c r="J2857" s="78">
        <f>MAX(K2857:Q2857)</f>
        <v>1</v>
      </c>
      <c r="K2857" s="88">
        <v>1</v>
      </c>
      <c r="L2857" s="88"/>
      <c r="M2857" s="88"/>
      <c r="N2857" s="88"/>
      <c r="O2857" s="88"/>
      <c r="P2857" s="88"/>
      <c r="Q2857" s="88"/>
      <c r="R2857" s="78">
        <f>MAX(S2857:W2857)</f>
        <v>0</v>
      </c>
      <c r="S2857" s="88"/>
      <c r="T2857" s="88"/>
      <c r="U2857" s="88"/>
      <c r="V2857" s="88"/>
      <c r="W2857" s="88"/>
    </row>
    <row r="2858" spans="2:23" s="0" customFormat="0" ht="15">
      <c r="B2858" s="87" t="s">
        <v>1</v>
      </c>
      <c r="C2858" s="88" t="s">
        <v>5259</v>
      </c>
      <c r="D2858" s="88">
        <v>24395135</v>
      </c>
      <c r="E2858" s="88" t="s">
        <v>61</v>
      </c>
      <c r="F2858" s="88">
        <v>0</v>
      </c>
      <c r="G2858" s="78">
        <f>MAX(H2858,I2858,J2858)</f>
        <v>0</v>
      </c>
      <c r="H2858" s="88"/>
      <c r="I2858" s="88"/>
      <c r="J2858" s="78">
        <f>MAX(K2858:Q2858)</f>
        <v>0</v>
      </c>
      <c r="K2858" s="88"/>
      <c r="L2858" s="88"/>
      <c r="M2858" s="88"/>
      <c r="N2858" s="88"/>
      <c r="O2858" s="88"/>
      <c r="P2858" s="88"/>
      <c r="Q2858" s="88"/>
      <c r="R2858" s="78">
        <f>MAX(S2858:W2858)</f>
        <v>1</v>
      </c>
      <c r="S2858" s="88"/>
      <c r="T2858" s="88"/>
      <c r="U2858" s="88">
        <v>1</v>
      </c>
      <c r="V2858" s="88"/>
      <c r="W2858" s="88"/>
    </row>
    <row r="2859" spans="2:23" s="0" customFormat="0" ht="15">
      <c r="B2859" s="87" t="s">
        <v>1</v>
      </c>
      <c r="C2859" s="88" t="s">
        <v>5259</v>
      </c>
      <c r="D2859" s="88" t="s">
        <v>4546</v>
      </c>
      <c r="E2859" s="88" t="s">
        <v>61</v>
      </c>
      <c r="F2859" s="88">
        <v>0</v>
      </c>
      <c r="G2859" s="78">
        <f>MAX(H2859,I2859,J2859)</f>
        <v>0</v>
      </c>
      <c r="H2859" s="88"/>
      <c r="I2859" s="88"/>
      <c r="J2859" s="78">
        <f>MAX(K2859:Q2859)</f>
        <v>0</v>
      </c>
      <c r="K2859" s="88"/>
      <c r="L2859" s="88"/>
      <c r="M2859" s="88"/>
      <c r="N2859" s="88"/>
      <c r="O2859" s="88"/>
      <c r="P2859" s="88"/>
      <c r="Q2859" s="88"/>
      <c r="R2859" s="78">
        <f>MAX(S2859:W2859)</f>
        <v>1</v>
      </c>
      <c r="S2859" s="88"/>
      <c r="T2859" s="88"/>
      <c r="U2859" s="88">
        <v>1</v>
      </c>
      <c r="V2859" s="88"/>
      <c r="W2859" s="88"/>
    </row>
    <row r="2860" spans="2:23" s="0" customFormat="0" ht="15">
      <c r="B2860" s="87" t="s">
        <v>1</v>
      </c>
      <c r="C2860" s="88" t="s">
        <v>5259</v>
      </c>
      <c r="D2860" s="88" t="s">
        <v>3254</v>
      </c>
      <c r="E2860" s="88" t="s">
        <v>61</v>
      </c>
      <c r="F2860" s="88">
        <v>0</v>
      </c>
      <c r="G2860" s="78">
        <f>MAX(H2860,I2860,J2860)</f>
        <v>0</v>
      </c>
      <c r="H2860" s="88"/>
      <c r="I2860" s="88"/>
      <c r="J2860" s="78">
        <f>MAX(K2860:Q2860)</f>
        <v>0</v>
      </c>
      <c r="K2860" s="88"/>
      <c r="L2860" s="88"/>
      <c r="M2860" s="88"/>
      <c r="N2860" s="88"/>
      <c r="O2860" s="88"/>
      <c r="P2860" s="88"/>
      <c r="Q2860" s="88"/>
      <c r="R2860" s="78">
        <f>MAX(S2860:W2860)</f>
        <v>1</v>
      </c>
      <c r="S2860" s="88"/>
      <c r="T2860" s="88"/>
      <c r="U2860" s="88"/>
      <c r="V2860" s="88">
        <v>1</v>
      </c>
      <c r="W2860" s="88"/>
    </row>
    <row r="2861" spans="2:23" s="0" customFormat="0" ht="15">
      <c r="B2861" s="87" t="s">
        <v>1</v>
      </c>
      <c r="C2861" s="88" t="s">
        <v>5259</v>
      </c>
      <c r="D2861" s="88">
        <v>18423529</v>
      </c>
      <c r="E2861" s="88" t="s">
        <v>61</v>
      </c>
      <c r="F2861" s="88">
        <v>0</v>
      </c>
      <c r="G2861" s="78">
        <f>MAX(H2861,I2861,J2861)</f>
        <v>0</v>
      </c>
      <c r="H2861" s="88"/>
      <c r="I2861" s="88"/>
      <c r="J2861" s="78">
        <f>MAX(K2861:Q2861)</f>
        <v>0</v>
      </c>
      <c r="K2861" s="88"/>
      <c r="L2861" s="88"/>
      <c r="M2861" s="88"/>
      <c r="N2861" s="88"/>
      <c r="O2861" s="88"/>
      <c r="P2861" s="88"/>
      <c r="Q2861" s="88"/>
      <c r="R2861" s="78">
        <f>MAX(S2861:W2861)</f>
        <v>1</v>
      </c>
      <c r="S2861" s="88"/>
      <c r="T2861" s="88"/>
      <c r="U2861" s="88">
        <v>1</v>
      </c>
      <c r="V2861" s="88"/>
      <c r="W2861" s="88"/>
    </row>
    <row r="2862" spans="2:23" s="0" customFormat="0" ht="15">
      <c r="B2862" s="87" t="s">
        <v>1</v>
      </c>
      <c r="C2862" s="88" t="s">
        <v>5259</v>
      </c>
      <c r="D2862" s="88">
        <v>19579226</v>
      </c>
      <c r="E2862" s="88" t="s">
        <v>61</v>
      </c>
      <c r="F2862" s="88">
        <v>0</v>
      </c>
      <c r="G2862" s="78">
        <f>MAX(H2862,I2862,J2862)</f>
        <v>1</v>
      </c>
      <c r="H2862" s="88"/>
      <c r="I2862" s="88"/>
      <c r="J2862" s="78">
        <f>MAX(K2862:Q2862)</f>
        <v>1</v>
      </c>
      <c r="K2862" s="88">
        <v>1</v>
      </c>
      <c r="L2862" s="88"/>
      <c r="M2862" s="88"/>
      <c r="N2862" s="88"/>
      <c r="O2862" s="88"/>
      <c r="P2862" s="88"/>
      <c r="Q2862" s="88"/>
      <c r="R2862" s="78">
        <f>MAX(S2862:W2862)</f>
        <v>0</v>
      </c>
      <c r="S2862" s="88"/>
      <c r="T2862" s="88"/>
      <c r="U2862" s="88"/>
      <c r="V2862" s="88"/>
      <c r="W2862" s="88"/>
    </row>
    <row r="2863" spans="2:23" s="0" customFormat="0" ht="15">
      <c r="B2863" s="87" t="s">
        <v>1</v>
      </c>
      <c r="C2863" s="88" t="s">
        <v>5259</v>
      </c>
      <c r="D2863" s="88" t="s">
        <v>4548</v>
      </c>
      <c r="E2863" s="88" t="s">
        <v>61</v>
      </c>
      <c r="F2863" s="88">
        <v>0</v>
      </c>
      <c r="G2863" s="78">
        <f>MAX(H2863,I2863,J2863)</f>
        <v>0</v>
      </c>
      <c r="H2863" s="88"/>
      <c r="I2863" s="88"/>
      <c r="J2863" s="78">
        <f>MAX(K2863:Q2863)</f>
        <v>0</v>
      </c>
      <c r="K2863" s="88"/>
      <c r="L2863" s="88"/>
      <c r="M2863" s="88"/>
      <c r="N2863" s="88"/>
      <c r="O2863" s="88"/>
      <c r="P2863" s="88"/>
      <c r="Q2863" s="88"/>
      <c r="R2863" s="78">
        <f>MAX(S2863:W2863)</f>
        <v>1</v>
      </c>
      <c r="S2863" s="88"/>
      <c r="T2863" s="88"/>
      <c r="U2863" s="88">
        <v>1</v>
      </c>
      <c r="V2863" s="88"/>
      <c r="W2863" s="88"/>
    </row>
    <row r="2864" spans="2:23" s="0" customFormat="0" ht="15">
      <c r="B2864" s="87" t="s">
        <v>1</v>
      </c>
      <c r="C2864" s="88" t="s">
        <v>5259</v>
      </c>
      <c r="D2864" s="88" t="s">
        <v>4415</v>
      </c>
      <c r="E2864" s="88" t="s">
        <v>61</v>
      </c>
      <c r="F2864" s="88">
        <v>0</v>
      </c>
      <c r="G2864" s="78">
        <f>MAX(H2864,I2864,J2864)</f>
        <v>0</v>
      </c>
      <c r="H2864" s="88"/>
      <c r="I2864" s="88"/>
      <c r="J2864" s="78">
        <f>MAX(K2864:Q2864)</f>
        <v>0</v>
      </c>
      <c r="K2864" s="88"/>
      <c r="L2864" s="88"/>
      <c r="M2864" s="88"/>
      <c r="N2864" s="88"/>
      <c r="O2864" s="88"/>
      <c r="P2864" s="88"/>
      <c r="Q2864" s="88"/>
      <c r="R2864" s="78">
        <f>MAX(S2864:W2864)</f>
        <v>1</v>
      </c>
      <c r="S2864" s="88"/>
      <c r="T2864" s="88"/>
      <c r="U2864" s="88">
        <v>1</v>
      </c>
      <c r="V2864" s="88"/>
      <c r="W2864" s="88"/>
    </row>
    <row r="2865" spans="2:23" s="0" customFormat="0" ht="15">
      <c r="B2865" s="87" t="s">
        <v>1</v>
      </c>
      <c r="C2865" s="88" t="s">
        <v>5259</v>
      </c>
      <c r="D2865" s="88">
        <v>8950596</v>
      </c>
      <c r="E2865" s="88" t="s">
        <v>61</v>
      </c>
      <c r="F2865" s="88">
        <v>0</v>
      </c>
      <c r="G2865" s="78">
        <f>MAX(H2865,I2865,J2865)</f>
        <v>1</v>
      </c>
      <c r="H2865" s="88"/>
      <c r="I2865" s="88"/>
      <c r="J2865" s="78">
        <f>MAX(K2865:Q2865)</f>
        <v>1</v>
      </c>
      <c r="K2865" s="88">
        <v>1</v>
      </c>
      <c r="L2865" s="88"/>
      <c r="M2865" s="88"/>
      <c r="N2865" s="88"/>
      <c r="O2865" s="88"/>
      <c r="P2865" s="88"/>
      <c r="Q2865" s="88"/>
      <c r="R2865" s="78">
        <f>MAX(S2865:W2865)</f>
        <v>0</v>
      </c>
      <c r="S2865" s="88"/>
      <c r="T2865" s="88"/>
      <c r="U2865" s="88"/>
      <c r="V2865" s="88"/>
      <c r="W2865" s="88"/>
    </row>
    <row r="2866" spans="2:23" s="0" customFormat="0" ht="15">
      <c r="B2866" s="87" t="s">
        <v>1</v>
      </c>
      <c r="C2866" s="88" t="s">
        <v>5259</v>
      </c>
      <c r="D2866" s="88" t="s">
        <v>4550</v>
      </c>
      <c r="E2866" s="88" t="s">
        <v>61</v>
      </c>
      <c r="F2866" s="88">
        <v>0</v>
      </c>
      <c r="G2866" s="78">
        <f>MAX(H2866,I2866,J2866)</f>
        <v>0</v>
      </c>
      <c r="H2866" s="88"/>
      <c r="I2866" s="88"/>
      <c r="J2866" s="78">
        <f>MAX(K2866:Q2866)</f>
        <v>0</v>
      </c>
      <c r="K2866" s="88"/>
      <c r="L2866" s="88"/>
      <c r="M2866" s="88"/>
      <c r="N2866" s="88"/>
      <c r="O2866" s="88"/>
      <c r="P2866" s="88"/>
      <c r="Q2866" s="88"/>
      <c r="R2866" s="78">
        <f>MAX(S2866:W2866)</f>
        <v>1</v>
      </c>
      <c r="S2866" s="88"/>
      <c r="T2866" s="88"/>
      <c r="U2866" s="88">
        <v>1</v>
      </c>
      <c r="V2866" s="88"/>
      <c r="W2866" s="88"/>
    </row>
    <row r="2867" spans="2:23" s="0" customFormat="0" ht="15">
      <c r="B2867" s="87" t="s">
        <v>1</v>
      </c>
      <c r="C2867" s="88" t="s">
        <v>5259</v>
      </c>
      <c r="D2867" s="88">
        <v>21039549</v>
      </c>
      <c r="E2867" s="88" t="s">
        <v>61</v>
      </c>
      <c r="F2867" s="88">
        <v>0</v>
      </c>
      <c r="G2867" s="78">
        <f>MAX(H2867,I2867,J2867)</f>
        <v>1</v>
      </c>
      <c r="H2867" s="88"/>
      <c r="I2867" s="88"/>
      <c r="J2867" s="78">
        <f>MAX(K2867:Q2867)</f>
        <v>1</v>
      </c>
      <c r="K2867" s="88">
        <v>1</v>
      </c>
      <c r="L2867" s="88"/>
      <c r="M2867" s="88"/>
      <c r="N2867" s="88"/>
      <c r="O2867" s="88"/>
      <c r="P2867" s="88"/>
      <c r="Q2867" s="88"/>
      <c r="R2867" s="78">
        <f>MAX(S2867:W2867)</f>
        <v>0</v>
      </c>
      <c r="S2867" s="88"/>
      <c r="T2867" s="88"/>
      <c r="U2867" s="88"/>
      <c r="V2867" s="88"/>
      <c r="W2867" s="88"/>
    </row>
    <row r="2868" spans="2:23" s="0" customFormat="0" ht="15">
      <c r="B2868" s="87" t="s">
        <v>1</v>
      </c>
      <c r="C2868" s="88" t="s">
        <v>5259</v>
      </c>
      <c r="D2868" s="88" t="s">
        <v>4466</v>
      </c>
      <c r="E2868" s="88" t="s">
        <v>61</v>
      </c>
      <c r="F2868" s="88">
        <v>0</v>
      </c>
      <c r="G2868" s="78">
        <f>MAX(H2868,I2868,J2868)</f>
        <v>0</v>
      </c>
      <c r="H2868" s="88"/>
      <c r="I2868" s="88"/>
      <c r="J2868" s="78">
        <f>MAX(K2868:Q2868)</f>
        <v>0</v>
      </c>
      <c r="K2868" s="88"/>
      <c r="L2868" s="88"/>
      <c r="M2868" s="88"/>
      <c r="N2868" s="88"/>
      <c r="O2868" s="88"/>
      <c r="P2868" s="88"/>
      <c r="Q2868" s="88"/>
      <c r="R2868" s="78">
        <f>MAX(S2868:W2868)</f>
        <v>1</v>
      </c>
      <c r="S2868" s="88"/>
      <c r="T2868" s="88"/>
      <c r="U2868" s="88">
        <v>1</v>
      </c>
      <c r="V2868" s="88"/>
      <c r="W2868" s="88"/>
    </row>
    <row r="2869" spans="2:23" s="0" customFormat="0" ht="15">
      <c r="B2869" s="87" t="s">
        <v>1</v>
      </c>
      <c r="C2869" s="88" t="s">
        <v>5259</v>
      </c>
      <c r="D2869" s="88" t="s">
        <v>3046</v>
      </c>
      <c r="E2869" s="88" t="s">
        <v>61</v>
      </c>
      <c r="F2869" s="88">
        <v>0</v>
      </c>
      <c r="G2869" s="78">
        <f>MAX(H2869,I2869,J2869)</f>
        <v>1</v>
      </c>
      <c r="H2869" s="88"/>
      <c r="I2869" s="88"/>
      <c r="J2869" s="78">
        <f>MAX(K2869:Q2869)</f>
        <v>1</v>
      </c>
      <c r="K2869" s="88"/>
      <c r="L2869" s="88">
        <v>1</v>
      </c>
      <c r="M2869" s="88"/>
      <c r="N2869" s="88"/>
      <c r="O2869" s="88"/>
      <c r="P2869" s="88"/>
      <c r="Q2869" s="88"/>
      <c r="R2869" s="78">
        <f>MAX(S2869:W2869)</f>
        <v>0</v>
      </c>
      <c r="S2869" s="88"/>
      <c r="T2869" s="88"/>
      <c r="U2869" s="88"/>
      <c r="V2869" s="88"/>
      <c r="W2869" s="88"/>
    </row>
    <row r="2870" spans="2:23" s="0" customFormat="0" ht="15">
      <c r="B2870" s="87" t="s">
        <v>1</v>
      </c>
      <c r="C2870" s="88" t="s">
        <v>5259</v>
      </c>
      <c r="D2870" s="88" t="s">
        <v>3169</v>
      </c>
      <c r="E2870" s="88" t="s">
        <v>61</v>
      </c>
      <c r="F2870" s="88">
        <v>0</v>
      </c>
      <c r="G2870" s="78">
        <f>MAX(H2870,I2870,J2870)</f>
        <v>1</v>
      </c>
      <c r="H2870" s="88"/>
      <c r="I2870" s="88"/>
      <c r="J2870" s="78">
        <f>MAX(K2870:Q2870)</f>
        <v>1</v>
      </c>
      <c r="K2870" s="88"/>
      <c r="L2870" s="88"/>
      <c r="M2870" s="88"/>
      <c r="N2870" s="88"/>
      <c r="O2870" s="88">
        <v>1</v>
      </c>
      <c r="P2870" s="88"/>
      <c r="Q2870" s="88"/>
      <c r="R2870" s="78">
        <f>MAX(S2870:W2870)</f>
        <v>0</v>
      </c>
      <c r="S2870" s="88"/>
      <c r="T2870" s="88"/>
      <c r="U2870" s="88"/>
      <c r="V2870" s="88"/>
      <c r="W2870" s="88"/>
    </row>
    <row r="2871" spans="2:23" s="0" customFormat="0" ht="15">
      <c r="B2871" s="87" t="s">
        <v>1</v>
      </c>
      <c r="C2871" s="88" t="s">
        <v>5259</v>
      </c>
      <c r="D2871" s="88" t="s">
        <v>4552</v>
      </c>
      <c r="E2871" s="88" t="s">
        <v>61</v>
      </c>
      <c r="F2871" s="88">
        <v>0</v>
      </c>
      <c r="G2871" s="78">
        <f>MAX(H2871,I2871,J2871)</f>
        <v>0</v>
      </c>
      <c r="H2871" s="88"/>
      <c r="I2871" s="88"/>
      <c r="J2871" s="78">
        <f>MAX(K2871:Q2871)</f>
        <v>0</v>
      </c>
      <c r="K2871" s="88"/>
      <c r="L2871" s="88"/>
      <c r="M2871" s="88"/>
      <c r="N2871" s="88"/>
      <c r="O2871" s="88"/>
      <c r="P2871" s="88"/>
      <c r="Q2871" s="88"/>
      <c r="R2871" s="78">
        <f>MAX(S2871:W2871)</f>
        <v>1</v>
      </c>
      <c r="S2871" s="88"/>
      <c r="T2871" s="88"/>
      <c r="U2871" s="88">
        <v>1</v>
      </c>
      <c r="V2871" s="88"/>
      <c r="W2871" s="88"/>
    </row>
    <row r="2872" spans="2:23" s="0" customFormat="0" ht="15">
      <c r="B2872" s="87" t="s">
        <v>1</v>
      </c>
      <c r="C2872" s="88" t="s">
        <v>5259</v>
      </c>
      <c r="D2872" s="88">
        <v>19216294</v>
      </c>
      <c r="E2872" s="88" t="s">
        <v>61</v>
      </c>
      <c r="F2872" s="88">
        <v>0</v>
      </c>
      <c r="G2872" s="78">
        <f>MAX(H2872,I2872,J2872)</f>
        <v>0</v>
      </c>
      <c r="H2872" s="88"/>
      <c r="I2872" s="88"/>
      <c r="J2872" s="78">
        <f>MAX(K2872:Q2872)</f>
        <v>0</v>
      </c>
      <c r="K2872" s="88"/>
      <c r="L2872" s="88"/>
      <c r="M2872" s="88"/>
      <c r="N2872" s="88"/>
      <c r="O2872" s="88"/>
      <c r="P2872" s="88"/>
      <c r="Q2872" s="88"/>
      <c r="R2872" s="78">
        <f>MAX(S2872:W2872)</f>
        <v>1</v>
      </c>
      <c r="S2872" s="88"/>
      <c r="T2872" s="88"/>
      <c r="U2872" s="88">
        <v>1</v>
      </c>
      <c r="V2872" s="88"/>
      <c r="W2872" s="88"/>
    </row>
    <row r="2873" spans="2:23" s="0" customFormat="0" ht="15">
      <c r="B2873" s="87" t="s">
        <v>1</v>
      </c>
      <c r="C2873" s="88" t="s">
        <v>5259</v>
      </c>
      <c r="D2873" s="88">
        <v>12055728</v>
      </c>
      <c r="E2873" s="88" t="s">
        <v>61</v>
      </c>
      <c r="F2873" s="88">
        <v>0</v>
      </c>
      <c r="G2873" s="78">
        <f>MAX(H2873,I2873,J2873)</f>
        <v>1</v>
      </c>
      <c r="H2873" s="88"/>
      <c r="I2873" s="88"/>
      <c r="J2873" s="78">
        <f>MAX(K2873:Q2873)</f>
        <v>1</v>
      </c>
      <c r="K2873" s="88">
        <v>1</v>
      </c>
      <c r="L2873" s="88"/>
      <c r="M2873" s="88"/>
      <c r="N2873" s="88"/>
      <c r="O2873" s="88"/>
      <c r="P2873" s="88"/>
      <c r="Q2873" s="88"/>
      <c r="R2873" s="78">
        <f>MAX(S2873:W2873)</f>
        <v>0</v>
      </c>
      <c r="S2873" s="88"/>
      <c r="T2873" s="88"/>
      <c r="U2873" s="88"/>
      <c r="V2873" s="88"/>
      <c r="W2873" s="88"/>
    </row>
    <row r="2874" spans="2:23" s="0" customFormat="0" ht="15">
      <c r="B2874" s="87" t="s">
        <v>1</v>
      </c>
      <c r="C2874" s="88" t="s">
        <v>5259</v>
      </c>
      <c r="D2874" s="88">
        <v>20942443</v>
      </c>
      <c r="E2874" s="88" t="s">
        <v>61</v>
      </c>
      <c r="F2874" s="88">
        <v>0</v>
      </c>
      <c r="G2874" s="78">
        <f>MAX(H2874,I2874,J2874)</f>
        <v>1</v>
      </c>
      <c r="H2874" s="88"/>
      <c r="I2874" s="88"/>
      <c r="J2874" s="78">
        <f>MAX(K2874:Q2874)</f>
        <v>1</v>
      </c>
      <c r="K2874" s="88">
        <v>1</v>
      </c>
      <c r="L2874" s="88"/>
      <c r="M2874" s="88"/>
      <c r="N2874" s="88"/>
      <c r="O2874" s="88"/>
      <c r="P2874" s="88"/>
      <c r="Q2874" s="88"/>
      <c r="R2874" s="78">
        <f>MAX(S2874:W2874)</f>
        <v>0</v>
      </c>
      <c r="S2874" s="88"/>
      <c r="T2874" s="88"/>
      <c r="U2874" s="88"/>
      <c r="V2874" s="88"/>
      <c r="W2874" s="88"/>
    </row>
    <row r="2875" spans="2:23" s="0" customFormat="0" ht="15">
      <c r="B2875" s="87" t="s">
        <v>1</v>
      </c>
      <c r="C2875" s="88" t="s">
        <v>5259</v>
      </c>
      <c r="D2875" s="88">
        <v>8062536</v>
      </c>
      <c r="E2875" s="88" t="s">
        <v>61</v>
      </c>
      <c r="F2875" s="88">
        <v>0</v>
      </c>
      <c r="G2875" s="78">
        <f>MAX(H2875,I2875,J2875)</f>
        <v>1</v>
      </c>
      <c r="H2875" s="88"/>
      <c r="I2875" s="88"/>
      <c r="J2875" s="78">
        <f>MAX(K2875:Q2875)</f>
        <v>1</v>
      </c>
      <c r="K2875" s="88">
        <v>1</v>
      </c>
      <c r="L2875" s="88"/>
      <c r="M2875" s="88"/>
      <c r="N2875" s="88"/>
      <c r="O2875" s="88"/>
      <c r="P2875" s="88"/>
      <c r="Q2875" s="88"/>
      <c r="R2875" s="78">
        <f>MAX(S2875:W2875)</f>
        <v>0</v>
      </c>
      <c r="S2875" s="88"/>
      <c r="T2875" s="88"/>
      <c r="U2875" s="88"/>
      <c r="V2875" s="88"/>
      <c r="W2875" s="88"/>
    </row>
    <row r="2876" spans="2:23" s="0" customFormat="0" ht="15">
      <c r="B2876" s="87" t="s">
        <v>1</v>
      </c>
      <c r="C2876" s="88" t="s">
        <v>5259</v>
      </c>
      <c r="D2876" s="88">
        <v>14571501</v>
      </c>
      <c r="E2876" s="88" t="s">
        <v>61</v>
      </c>
      <c r="F2876" s="88">
        <v>0</v>
      </c>
      <c r="G2876" s="78">
        <f>MAX(H2876,I2876,J2876)</f>
        <v>1</v>
      </c>
      <c r="H2876" s="88"/>
      <c r="I2876" s="88"/>
      <c r="J2876" s="78">
        <f>MAX(K2876:Q2876)</f>
        <v>1</v>
      </c>
      <c r="K2876" s="88">
        <v>1</v>
      </c>
      <c r="L2876" s="88"/>
      <c r="M2876" s="88"/>
      <c r="N2876" s="88"/>
      <c r="O2876" s="88"/>
      <c r="P2876" s="88"/>
      <c r="Q2876" s="88"/>
      <c r="R2876" s="78">
        <f>MAX(S2876:W2876)</f>
        <v>0</v>
      </c>
      <c r="S2876" s="88"/>
      <c r="T2876" s="88"/>
      <c r="U2876" s="88"/>
      <c r="V2876" s="88"/>
      <c r="W2876" s="88"/>
    </row>
    <row r="2877" spans="2:23" s="0" customFormat="0" ht="15">
      <c r="B2877" s="87" t="s">
        <v>1</v>
      </c>
      <c r="C2877" s="88" t="s">
        <v>5259</v>
      </c>
      <c r="D2877" s="88">
        <v>14276622</v>
      </c>
      <c r="E2877" s="88" t="s">
        <v>61</v>
      </c>
      <c r="F2877" s="88">
        <v>0</v>
      </c>
      <c r="G2877" s="78">
        <f>MAX(H2877,I2877,J2877)</f>
        <v>1</v>
      </c>
      <c r="H2877" s="88"/>
      <c r="I2877" s="88"/>
      <c r="J2877" s="78">
        <f>MAX(K2877:Q2877)</f>
        <v>1</v>
      </c>
      <c r="K2877" s="88">
        <v>1</v>
      </c>
      <c r="L2877" s="88"/>
      <c r="M2877" s="88"/>
      <c r="N2877" s="88"/>
      <c r="O2877" s="88"/>
      <c r="P2877" s="88"/>
      <c r="Q2877" s="88"/>
      <c r="R2877" s="78">
        <f>MAX(S2877:W2877)</f>
        <v>0</v>
      </c>
      <c r="S2877" s="88"/>
      <c r="T2877" s="88"/>
      <c r="U2877" s="88"/>
      <c r="V2877" s="88"/>
      <c r="W2877" s="88"/>
    </row>
    <row r="2878" spans="2:23" s="0" customFormat="0" ht="15">
      <c r="B2878" s="87" t="s">
        <v>1</v>
      </c>
      <c r="C2878" s="88" t="s">
        <v>5259</v>
      </c>
      <c r="D2878" s="88">
        <v>12519276</v>
      </c>
      <c r="E2878" s="88" t="s">
        <v>61</v>
      </c>
      <c r="F2878" s="88">
        <v>0</v>
      </c>
      <c r="G2878" s="78">
        <f>MAX(H2878,I2878,J2878)</f>
        <v>1</v>
      </c>
      <c r="H2878" s="88"/>
      <c r="I2878" s="88"/>
      <c r="J2878" s="78">
        <f>MAX(K2878:Q2878)</f>
        <v>1</v>
      </c>
      <c r="K2878" s="88">
        <v>1</v>
      </c>
      <c r="L2878" s="88"/>
      <c r="M2878" s="88"/>
      <c r="N2878" s="88"/>
      <c r="O2878" s="88"/>
      <c r="P2878" s="88"/>
      <c r="Q2878" s="88"/>
      <c r="R2878" s="78">
        <f>MAX(S2878:W2878)</f>
        <v>0</v>
      </c>
      <c r="S2878" s="88"/>
      <c r="T2878" s="88"/>
      <c r="U2878" s="88"/>
      <c r="V2878" s="88"/>
      <c r="W2878" s="88"/>
    </row>
    <row r="2879" spans="2:23" s="0" customFormat="0" ht="15">
      <c r="B2879" s="87" t="s">
        <v>1</v>
      </c>
      <c r="C2879" s="88" t="s">
        <v>5259</v>
      </c>
      <c r="D2879" s="88">
        <v>19506407</v>
      </c>
      <c r="E2879" s="88" t="s">
        <v>61</v>
      </c>
      <c r="F2879" s="88">
        <v>0</v>
      </c>
      <c r="G2879" s="78">
        <f>MAX(H2879,I2879,J2879)</f>
        <v>1</v>
      </c>
      <c r="H2879" s="88"/>
      <c r="I2879" s="88"/>
      <c r="J2879" s="78">
        <f>MAX(K2879:Q2879)</f>
        <v>1</v>
      </c>
      <c r="K2879" s="88">
        <v>1</v>
      </c>
      <c r="L2879" s="88"/>
      <c r="M2879" s="88"/>
      <c r="N2879" s="88"/>
      <c r="O2879" s="88"/>
      <c r="P2879" s="88"/>
      <c r="Q2879" s="88"/>
      <c r="R2879" s="78">
        <f>MAX(S2879:W2879)</f>
        <v>0</v>
      </c>
      <c r="S2879" s="88"/>
      <c r="T2879" s="88"/>
      <c r="U2879" s="88"/>
      <c r="V2879" s="88"/>
      <c r="W2879" s="88"/>
    </row>
    <row r="2880" spans="2:23" s="0" customFormat="0" ht="15">
      <c r="B2880" s="87" t="s">
        <v>1</v>
      </c>
      <c r="C2880" s="88" t="s">
        <v>5259</v>
      </c>
      <c r="D2880" s="88" t="s">
        <v>4555</v>
      </c>
      <c r="E2880" s="88" t="s">
        <v>61</v>
      </c>
      <c r="F2880" s="88">
        <v>0</v>
      </c>
      <c r="G2880" s="78">
        <f>MAX(H2880,I2880,J2880)</f>
        <v>0</v>
      </c>
      <c r="H2880" s="88"/>
      <c r="I2880" s="88"/>
      <c r="J2880" s="78">
        <f>MAX(K2880:Q2880)</f>
        <v>0</v>
      </c>
      <c r="K2880" s="88"/>
      <c r="L2880" s="88"/>
      <c r="M2880" s="88"/>
      <c r="N2880" s="88"/>
      <c r="O2880" s="88"/>
      <c r="P2880" s="88"/>
      <c r="Q2880" s="88"/>
      <c r="R2880" s="78">
        <f>MAX(S2880:W2880)</f>
        <v>1</v>
      </c>
      <c r="S2880" s="88"/>
      <c r="T2880" s="88"/>
      <c r="U2880" s="88">
        <v>1</v>
      </c>
      <c r="V2880" s="88"/>
      <c r="W2880" s="88"/>
    </row>
    <row r="2881" spans="2:23" s="0" customFormat="0" ht="15">
      <c r="B2881" s="87" t="s">
        <v>1</v>
      </c>
      <c r="C2881" s="88" t="s">
        <v>5259</v>
      </c>
      <c r="D2881" s="88">
        <v>21520715</v>
      </c>
      <c r="E2881" s="88" t="s">
        <v>61</v>
      </c>
      <c r="F2881" s="88">
        <v>0</v>
      </c>
      <c r="G2881" s="78">
        <f>MAX(H2881,I2881,J2881)</f>
        <v>1</v>
      </c>
      <c r="H2881" s="88"/>
      <c r="I2881" s="88"/>
      <c r="J2881" s="78">
        <f>MAX(K2881:Q2881)</f>
        <v>1</v>
      </c>
      <c r="K2881" s="88">
        <v>1</v>
      </c>
      <c r="L2881" s="88"/>
      <c r="M2881" s="88"/>
      <c r="N2881" s="88"/>
      <c r="O2881" s="88"/>
      <c r="P2881" s="88"/>
      <c r="Q2881" s="88"/>
      <c r="R2881" s="78">
        <f>MAX(S2881:W2881)</f>
        <v>0</v>
      </c>
      <c r="S2881" s="88"/>
      <c r="T2881" s="88"/>
      <c r="U2881" s="88"/>
      <c r="V2881" s="88"/>
      <c r="W2881" s="88"/>
    </row>
    <row r="2882" spans="2:23" s="0" customFormat="0" ht="15">
      <c r="B2882" s="87" t="s">
        <v>1</v>
      </c>
      <c r="C2882" s="88" t="s">
        <v>5259</v>
      </c>
      <c r="D2882" s="88">
        <v>19863493</v>
      </c>
      <c r="E2882" s="88" t="s">
        <v>61</v>
      </c>
      <c r="F2882" s="88">
        <v>0</v>
      </c>
      <c r="G2882" s="78">
        <f>MAX(H2882,I2882,J2882)</f>
        <v>1</v>
      </c>
      <c r="H2882" s="88"/>
      <c r="I2882" s="88"/>
      <c r="J2882" s="78">
        <f>MAX(K2882:Q2882)</f>
        <v>1</v>
      </c>
      <c r="K2882" s="88">
        <v>1</v>
      </c>
      <c r="L2882" s="88"/>
      <c r="M2882" s="88"/>
      <c r="N2882" s="88"/>
      <c r="O2882" s="88"/>
      <c r="P2882" s="88"/>
      <c r="Q2882" s="88"/>
      <c r="R2882" s="78">
        <f>MAX(S2882:W2882)</f>
        <v>0</v>
      </c>
      <c r="S2882" s="88"/>
      <c r="T2882" s="88"/>
      <c r="U2882" s="88"/>
      <c r="V2882" s="88"/>
      <c r="W2882" s="88"/>
    </row>
    <row r="2883" spans="2:23" s="0" customFormat="0" ht="15">
      <c r="B2883" s="87" t="s">
        <v>1</v>
      </c>
      <c r="C2883" s="88" t="s">
        <v>5259</v>
      </c>
      <c r="D2883" s="88">
        <v>4341995</v>
      </c>
      <c r="E2883" s="88" t="s">
        <v>61</v>
      </c>
      <c r="F2883" s="88">
        <v>0</v>
      </c>
      <c r="G2883" s="78">
        <f>MAX(H2883,I2883,J2883)</f>
        <v>1</v>
      </c>
      <c r="H2883" s="88"/>
      <c r="I2883" s="88"/>
      <c r="J2883" s="78">
        <f>MAX(K2883:Q2883)</f>
        <v>1</v>
      </c>
      <c r="K2883" s="88">
        <v>1</v>
      </c>
      <c r="L2883" s="88"/>
      <c r="M2883" s="88"/>
      <c r="N2883" s="88"/>
      <c r="O2883" s="88"/>
      <c r="P2883" s="88"/>
      <c r="Q2883" s="88"/>
      <c r="R2883" s="78">
        <f>MAX(S2883:W2883)</f>
        <v>0</v>
      </c>
      <c r="S2883" s="88"/>
      <c r="T2883" s="88"/>
      <c r="U2883" s="88"/>
      <c r="V2883" s="88"/>
      <c r="W2883" s="88"/>
    </row>
    <row r="2884" spans="2:23" s="0" customFormat="0" ht="15">
      <c r="B2884" s="87" t="s">
        <v>1</v>
      </c>
      <c r="C2884" s="88" t="s">
        <v>5259</v>
      </c>
      <c r="D2884" s="88" t="s">
        <v>4557</v>
      </c>
      <c r="E2884" s="88" t="s">
        <v>61</v>
      </c>
      <c r="F2884" s="88">
        <v>0</v>
      </c>
      <c r="G2884" s="78">
        <f>MAX(H2884,I2884,J2884)</f>
        <v>0</v>
      </c>
      <c r="H2884" s="88"/>
      <c r="I2884" s="88"/>
      <c r="J2884" s="78">
        <f>MAX(K2884:Q2884)</f>
        <v>0</v>
      </c>
      <c r="K2884" s="88"/>
      <c r="L2884" s="88"/>
      <c r="M2884" s="88"/>
      <c r="N2884" s="88"/>
      <c r="O2884" s="88"/>
      <c r="P2884" s="88"/>
      <c r="Q2884" s="88"/>
      <c r="R2884" s="78">
        <f>MAX(S2884:W2884)</f>
        <v>1</v>
      </c>
      <c r="S2884" s="88"/>
      <c r="T2884" s="88"/>
      <c r="U2884" s="88">
        <v>1</v>
      </c>
      <c r="V2884" s="88"/>
      <c r="W2884" s="88"/>
    </row>
    <row r="2885" spans="2:23" s="0" customFormat="0" ht="15">
      <c r="B2885" s="87" t="s">
        <v>1</v>
      </c>
      <c r="C2885" s="88" t="s">
        <v>5259</v>
      </c>
      <c r="D2885" s="88">
        <v>6087964</v>
      </c>
      <c r="E2885" s="88" t="s">
        <v>61</v>
      </c>
      <c r="F2885" s="88">
        <v>0</v>
      </c>
      <c r="G2885" s="78">
        <f>MAX(H2885,I2885,J2885)</f>
        <v>1</v>
      </c>
      <c r="H2885" s="88"/>
      <c r="I2885" s="88"/>
      <c r="J2885" s="78">
        <f>MAX(K2885:Q2885)</f>
        <v>1</v>
      </c>
      <c r="K2885" s="88">
        <v>1</v>
      </c>
      <c r="L2885" s="88"/>
      <c r="M2885" s="88"/>
      <c r="N2885" s="88"/>
      <c r="O2885" s="88"/>
      <c r="P2885" s="88"/>
      <c r="Q2885" s="88"/>
      <c r="R2885" s="78">
        <f>MAX(S2885:W2885)</f>
        <v>0</v>
      </c>
      <c r="S2885" s="88"/>
      <c r="T2885" s="88"/>
      <c r="U2885" s="88"/>
      <c r="V2885" s="88"/>
      <c r="W2885" s="88"/>
    </row>
    <row r="2886" spans="2:23" s="0" customFormat="0" ht="15">
      <c r="B2886" s="87" t="s">
        <v>1</v>
      </c>
      <c r="C2886" s="88" t="s">
        <v>5259</v>
      </c>
      <c r="D2886" s="88" t="s">
        <v>2006</v>
      </c>
      <c r="E2886" s="88" t="s">
        <v>61</v>
      </c>
      <c r="F2886" s="88">
        <v>0</v>
      </c>
      <c r="G2886" s="78">
        <f>MAX(H2886,I2886,J2886)</f>
        <v>1</v>
      </c>
      <c r="H2886" s="88"/>
      <c r="I2886" s="88"/>
      <c r="J2886" s="78">
        <f>MAX(K2886:Q2886)</f>
        <v>1</v>
      </c>
      <c r="K2886" s="88">
        <v>1</v>
      </c>
      <c r="L2886" s="88"/>
      <c r="M2886" s="88"/>
      <c r="N2886" s="88"/>
      <c r="O2886" s="88"/>
      <c r="P2886" s="88"/>
      <c r="Q2886" s="88"/>
      <c r="R2886" s="78">
        <f>MAX(S2886:W2886)</f>
        <v>0</v>
      </c>
      <c r="S2886" s="88"/>
      <c r="T2886" s="88"/>
      <c r="U2886" s="88"/>
      <c r="V2886" s="88"/>
      <c r="W2886" s="88"/>
    </row>
    <row r="2887" spans="2:23" s="0" customFormat="0" ht="15">
      <c r="B2887" s="87" t="s">
        <v>1</v>
      </c>
      <c r="C2887" s="88" t="s">
        <v>5259</v>
      </c>
      <c r="D2887" s="88">
        <v>15645627</v>
      </c>
      <c r="E2887" s="88" t="s">
        <v>61</v>
      </c>
      <c r="F2887" s="88">
        <v>0</v>
      </c>
      <c r="G2887" s="78">
        <f>MAX(H2887,I2887,J2887)</f>
        <v>1</v>
      </c>
      <c r="H2887" s="88"/>
      <c r="I2887" s="88"/>
      <c r="J2887" s="78">
        <f>MAX(K2887:Q2887)</f>
        <v>1</v>
      </c>
      <c r="K2887" s="88">
        <v>1</v>
      </c>
      <c r="L2887" s="88"/>
      <c r="M2887" s="88"/>
      <c r="N2887" s="88"/>
      <c r="O2887" s="88"/>
      <c r="P2887" s="88"/>
      <c r="Q2887" s="88"/>
      <c r="R2887" s="78">
        <f>MAX(S2887:W2887)</f>
        <v>0</v>
      </c>
      <c r="S2887" s="88"/>
      <c r="T2887" s="88"/>
      <c r="U2887" s="88"/>
      <c r="V2887" s="88"/>
      <c r="W2887" s="88"/>
    </row>
    <row r="2888" spans="2:23" s="0" customFormat="0" ht="15">
      <c r="B2888" s="87" t="s">
        <v>1</v>
      </c>
      <c r="C2888" s="88" t="s">
        <v>5259</v>
      </c>
      <c r="D2888" s="88" t="s">
        <v>4473</v>
      </c>
      <c r="E2888" s="88" t="s">
        <v>61</v>
      </c>
      <c r="F2888" s="88">
        <v>0</v>
      </c>
      <c r="G2888" s="78">
        <f>MAX(H2888,I2888,J2888)</f>
        <v>0</v>
      </c>
      <c r="H2888" s="88"/>
      <c r="I2888" s="88"/>
      <c r="J2888" s="78">
        <f>MAX(K2888:Q2888)</f>
        <v>0</v>
      </c>
      <c r="K2888" s="88"/>
      <c r="L2888" s="88"/>
      <c r="M2888" s="88"/>
      <c r="N2888" s="88"/>
      <c r="O2888" s="88"/>
      <c r="P2888" s="88"/>
      <c r="Q2888" s="88"/>
      <c r="R2888" s="78">
        <f>MAX(S2888:W2888)</f>
        <v>1</v>
      </c>
      <c r="S2888" s="88"/>
      <c r="T2888" s="88"/>
      <c r="U2888" s="88">
        <v>1</v>
      </c>
      <c r="V2888" s="88"/>
      <c r="W2888" s="88"/>
    </row>
    <row r="2889" spans="2:23" s="0" customFormat="0" ht="15">
      <c r="B2889" s="87" t="s">
        <v>1</v>
      </c>
      <c r="C2889" s="88" t="s">
        <v>5259</v>
      </c>
      <c r="D2889" s="88" t="s">
        <v>2008</v>
      </c>
      <c r="E2889" s="88" t="s">
        <v>61</v>
      </c>
      <c r="F2889" s="88">
        <v>0</v>
      </c>
      <c r="G2889" s="78">
        <f>MAX(H2889,I2889,J2889)</f>
        <v>1</v>
      </c>
      <c r="H2889" s="88"/>
      <c r="I2889" s="88"/>
      <c r="J2889" s="78">
        <f>MAX(K2889:Q2889)</f>
        <v>1</v>
      </c>
      <c r="K2889" s="88">
        <v>1</v>
      </c>
      <c r="L2889" s="88"/>
      <c r="M2889" s="88"/>
      <c r="N2889" s="88"/>
      <c r="O2889" s="88"/>
      <c r="P2889" s="88"/>
      <c r="Q2889" s="88"/>
      <c r="R2889" s="78">
        <f>MAX(S2889:W2889)</f>
        <v>0</v>
      </c>
      <c r="S2889" s="88"/>
      <c r="T2889" s="88"/>
      <c r="U2889" s="88"/>
      <c r="V2889" s="88"/>
      <c r="W2889" s="88"/>
    </row>
    <row r="2890" spans="2:23" s="0" customFormat="0" ht="15">
      <c r="B2890" s="87" t="s">
        <v>1</v>
      </c>
      <c r="C2890" s="88" t="s">
        <v>5259</v>
      </c>
      <c r="D2890" s="88">
        <v>13656300</v>
      </c>
      <c r="E2890" s="88" t="s">
        <v>61</v>
      </c>
      <c r="F2890" s="88">
        <v>0</v>
      </c>
      <c r="G2890" s="78">
        <f>MAX(H2890,I2890,J2890)</f>
        <v>1</v>
      </c>
      <c r="H2890" s="88"/>
      <c r="I2890" s="88"/>
      <c r="J2890" s="78">
        <f>MAX(K2890:Q2890)</f>
        <v>1</v>
      </c>
      <c r="K2890" s="88">
        <v>1</v>
      </c>
      <c r="L2890" s="88"/>
      <c r="M2890" s="88"/>
      <c r="N2890" s="88"/>
      <c r="O2890" s="88"/>
      <c r="P2890" s="88"/>
      <c r="Q2890" s="88"/>
      <c r="R2890" s="78">
        <f>MAX(S2890:W2890)</f>
        <v>0</v>
      </c>
      <c r="S2890" s="88"/>
      <c r="T2890" s="88"/>
      <c r="U2890" s="88"/>
      <c r="V2890" s="88"/>
      <c r="W2890" s="88"/>
    </row>
    <row r="2891" spans="2:23" s="0" customFormat="0" ht="15">
      <c r="B2891" s="87" t="s">
        <v>1</v>
      </c>
      <c r="C2891" s="88" t="s">
        <v>5259</v>
      </c>
      <c r="D2891" s="88">
        <v>16729249</v>
      </c>
      <c r="E2891" s="88" t="s">
        <v>61</v>
      </c>
      <c r="F2891" s="88">
        <v>0</v>
      </c>
      <c r="G2891" s="78">
        <f>MAX(H2891,I2891,J2891)</f>
        <v>1</v>
      </c>
      <c r="H2891" s="88"/>
      <c r="I2891" s="88"/>
      <c r="J2891" s="78">
        <f>MAX(K2891:Q2891)</f>
        <v>1</v>
      </c>
      <c r="K2891" s="88">
        <v>1</v>
      </c>
      <c r="L2891" s="88"/>
      <c r="M2891" s="88"/>
      <c r="N2891" s="88"/>
      <c r="O2891" s="88"/>
      <c r="P2891" s="88"/>
      <c r="Q2891" s="88"/>
      <c r="R2891" s="78">
        <f>MAX(S2891:W2891)</f>
        <v>0</v>
      </c>
      <c r="S2891" s="88"/>
      <c r="T2891" s="88"/>
      <c r="U2891" s="88"/>
      <c r="V2891" s="88"/>
      <c r="W2891" s="88"/>
    </row>
    <row r="2892" spans="2:23" s="0" customFormat="0" ht="15">
      <c r="B2892" s="87" t="s">
        <v>1</v>
      </c>
      <c r="C2892" s="88" t="s">
        <v>5259</v>
      </c>
      <c r="D2892" s="88">
        <v>23159574</v>
      </c>
      <c r="E2892" s="88" t="s">
        <v>61</v>
      </c>
      <c r="F2892" s="88">
        <v>0</v>
      </c>
      <c r="G2892" s="78">
        <f>MAX(H2892,I2892,J2892)</f>
        <v>1</v>
      </c>
      <c r="H2892" s="88"/>
      <c r="I2892" s="88"/>
      <c r="J2892" s="78">
        <f>MAX(K2892:Q2892)</f>
        <v>1</v>
      </c>
      <c r="K2892" s="88">
        <v>1</v>
      </c>
      <c r="L2892" s="88"/>
      <c r="M2892" s="88"/>
      <c r="N2892" s="88"/>
      <c r="O2892" s="88"/>
      <c r="P2892" s="88"/>
      <c r="Q2892" s="88"/>
      <c r="R2892" s="78">
        <f>MAX(S2892:W2892)</f>
        <v>0</v>
      </c>
      <c r="S2892" s="88"/>
      <c r="T2892" s="88"/>
      <c r="U2892" s="88"/>
      <c r="V2892" s="88"/>
      <c r="W2892" s="88"/>
    </row>
    <row r="2893" spans="2:23" s="0" customFormat="0" ht="15">
      <c r="B2893" s="87" t="s">
        <v>1</v>
      </c>
      <c r="C2893" s="88" t="s">
        <v>5259</v>
      </c>
      <c r="D2893" s="88" t="s">
        <v>4559</v>
      </c>
      <c r="E2893" s="88" t="s">
        <v>61</v>
      </c>
      <c r="F2893" s="88">
        <v>0</v>
      </c>
      <c r="G2893" s="78">
        <f>MAX(H2893,I2893,J2893)</f>
        <v>0</v>
      </c>
      <c r="H2893" s="88"/>
      <c r="I2893" s="88"/>
      <c r="J2893" s="78">
        <f>MAX(K2893:Q2893)</f>
        <v>0</v>
      </c>
      <c r="K2893" s="88"/>
      <c r="L2893" s="88"/>
      <c r="M2893" s="88"/>
      <c r="N2893" s="88"/>
      <c r="O2893" s="88"/>
      <c r="P2893" s="88"/>
      <c r="Q2893" s="88"/>
      <c r="R2893" s="78">
        <f>MAX(S2893:W2893)</f>
        <v>1</v>
      </c>
      <c r="S2893" s="88"/>
      <c r="T2893" s="88"/>
      <c r="U2893" s="88">
        <v>1</v>
      </c>
      <c r="V2893" s="88"/>
      <c r="W2893" s="88"/>
    </row>
    <row r="2894" spans="2:23" s="0" customFormat="0" ht="15">
      <c r="B2894" s="87" t="s">
        <v>1</v>
      </c>
      <c r="C2894" s="88" t="s">
        <v>5259</v>
      </c>
      <c r="D2894" s="88" t="s">
        <v>4561</v>
      </c>
      <c r="E2894" s="88" t="s">
        <v>61</v>
      </c>
      <c r="F2894" s="88">
        <v>0</v>
      </c>
      <c r="G2894" s="78">
        <f>MAX(H2894,I2894,J2894)</f>
        <v>0</v>
      </c>
      <c r="H2894" s="88"/>
      <c r="I2894" s="88"/>
      <c r="J2894" s="78">
        <f>MAX(K2894:Q2894)</f>
        <v>0</v>
      </c>
      <c r="K2894" s="88"/>
      <c r="L2894" s="88"/>
      <c r="M2894" s="88"/>
      <c r="N2894" s="88"/>
      <c r="O2894" s="88"/>
      <c r="P2894" s="88"/>
      <c r="Q2894" s="88"/>
      <c r="R2894" s="78">
        <f>MAX(S2894:W2894)</f>
        <v>1</v>
      </c>
      <c r="S2894" s="88"/>
      <c r="T2894" s="88"/>
      <c r="U2894" s="88">
        <v>1</v>
      </c>
      <c r="V2894" s="88"/>
      <c r="W2894" s="88"/>
    </row>
    <row r="2895" spans="2:23" s="0" customFormat="0" ht="15">
      <c r="B2895" s="87" t="s">
        <v>1</v>
      </c>
      <c r="C2895" s="88" t="s">
        <v>5259</v>
      </c>
      <c r="D2895" s="88">
        <v>23552919</v>
      </c>
      <c r="E2895" s="88" t="s">
        <v>61</v>
      </c>
      <c r="F2895" s="88">
        <v>0</v>
      </c>
      <c r="G2895" s="78">
        <f>MAX(H2895,I2895,J2895)</f>
        <v>1</v>
      </c>
      <c r="H2895" s="88"/>
      <c r="I2895" s="88"/>
      <c r="J2895" s="78">
        <f>MAX(K2895:Q2895)</f>
        <v>1</v>
      </c>
      <c r="K2895" s="88"/>
      <c r="L2895" s="88"/>
      <c r="M2895" s="88">
        <v>1</v>
      </c>
      <c r="N2895" s="88"/>
      <c r="O2895" s="88"/>
      <c r="P2895" s="88"/>
      <c r="Q2895" s="88"/>
      <c r="R2895" s="78">
        <f>MAX(S2895:W2895)</f>
        <v>0</v>
      </c>
      <c r="S2895" s="88"/>
      <c r="T2895" s="88"/>
      <c r="U2895" s="88"/>
      <c r="V2895" s="88"/>
      <c r="W2895" s="88"/>
    </row>
    <row r="2896" spans="2:23" s="0" customFormat="0" ht="15">
      <c r="B2896" s="87" t="s">
        <v>1</v>
      </c>
      <c r="C2896" s="88" t="s">
        <v>5259</v>
      </c>
      <c r="D2896" s="88">
        <v>14376252</v>
      </c>
      <c r="E2896" s="88" t="s">
        <v>61</v>
      </c>
      <c r="F2896" s="88">
        <v>0</v>
      </c>
      <c r="G2896" s="78">
        <f>MAX(H2896,I2896,J2896)</f>
        <v>1</v>
      </c>
      <c r="H2896" s="88"/>
      <c r="I2896" s="88"/>
      <c r="J2896" s="78">
        <f>MAX(K2896:Q2896)</f>
        <v>1</v>
      </c>
      <c r="K2896" s="88">
        <v>1</v>
      </c>
      <c r="L2896" s="88"/>
      <c r="M2896" s="88"/>
      <c r="N2896" s="88"/>
      <c r="O2896" s="88"/>
      <c r="P2896" s="88"/>
      <c r="Q2896" s="88"/>
      <c r="R2896" s="78">
        <f>MAX(S2896:W2896)</f>
        <v>0</v>
      </c>
      <c r="S2896" s="88"/>
      <c r="T2896" s="88"/>
      <c r="U2896" s="88"/>
      <c r="V2896" s="88"/>
      <c r="W2896" s="88"/>
    </row>
    <row r="2897" spans="2:23" s="0" customFormat="0" ht="15">
      <c r="B2897" s="87" t="s">
        <v>1</v>
      </c>
      <c r="C2897" s="88" t="s">
        <v>5259</v>
      </c>
      <c r="D2897" s="88" t="s">
        <v>4563</v>
      </c>
      <c r="E2897" s="88" t="s">
        <v>61</v>
      </c>
      <c r="F2897" s="88">
        <v>0</v>
      </c>
      <c r="G2897" s="78">
        <f>MAX(H2897,I2897,J2897)</f>
        <v>0</v>
      </c>
      <c r="H2897" s="88"/>
      <c r="I2897" s="88"/>
      <c r="J2897" s="78">
        <f>MAX(K2897:Q2897)</f>
        <v>0</v>
      </c>
      <c r="K2897" s="88"/>
      <c r="L2897" s="88"/>
      <c r="M2897" s="88"/>
      <c r="N2897" s="88"/>
      <c r="O2897" s="88"/>
      <c r="P2897" s="88"/>
      <c r="Q2897" s="88"/>
      <c r="R2897" s="78">
        <f>MAX(S2897:W2897)</f>
        <v>1</v>
      </c>
      <c r="S2897" s="88"/>
      <c r="T2897" s="88"/>
      <c r="U2897" s="88">
        <v>1</v>
      </c>
      <c r="V2897" s="88"/>
      <c r="W2897" s="88"/>
    </row>
    <row r="2898" spans="2:23" s="0" customFormat="0" ht="15">
      <c r="B2898" s="87" t="s">
        <v>1</v>
      </c>
      <c r="C2898" s="88" t="s">
        <v>5259</v>
      </c>
      <c r="D2898" s="88">
        <v>4082454</v>
      </c>
      <c r="E2898" s="88" t="s">
        <v>61</v>
      </c>
      <c r="F2898" s="88">
        <v>0</v>
      </c>
      <c r="G2898" s="78">
        <f>MAX(H2898,I2898,J2898)</f>
        <v>1</v>
      </c>
      <c r="H2898" s="88"/>
      <c r="I2898" s="88"/>
      <c r="J2898" s="78">
        <f>MAX(K2898:Q2898)</f>
        <v>1</v>
      </c>
      <c r="K2898" s="88">
        <v>1</v>
      </c>
      <c r="L2898" s="88"/>
      <c r="M2898" s="88"/>
      <c r="N2898" s="88"/>
      <c r="O2898" s="88"/>
      <c r="P2898" s="88"/>
      <c r="Q2898" s="88"/>
      <c r="R2898" s="78">
        <f>MAX(S2898:W2898)</f>
        <v>0</v>
      </c>
      <c r="S2898" s="88"/>
      <c r="T2898" s="88"/>
      <c r="U2898" s="88"/>
      <c r="V2898" s="88"/>
      <c r="W2898" s="88"/>
    </row>
    <row r="2899" spans="2:23" s="0" customFormat="0" ht="15">
      <c r="B2899" s="87" t="s">
        <v>1</v>
      </c>
      <c r="C2899" s="88" t="s">
        <v>5259</v>
      </c>
      <c r="D2899" s="88">
        <v>17470939</v>
      </c>
      <c r="E2899" s="88" t="s">
        <v>61</v>
      </c>
      <c r="F2899" s="88">
        <v>0</v>
      </c>
      <c r="G2899" s="78">
        <f>MAX(H2899,I2899,J2899)</f>
        <v>1</v>
      </c>
      <c r="H2899" s="88"/>
      <c r="I2899" s="88"/>
      <c r="J2899" s="78">
        <f>MAX(K2899:Q2899)</f>
        <v>1</v>
      </c>
      <c r="K2899" s="88">
        <v>1</v>
      </c>
      <c r="L2899" s="88"/>
      <c r="M2899" s="88"/>
      <c r="N2899" s="88"/>
      <c r="O2899" s="88"/>
      <c r="P2899" s="88"/>
      <c r="Q2899" s="88"/>
      <c r="R2899" s="78">
        <f>MAX(S2899:W2899)</f>
        <v>0</v>
      </c>
      <c r="S2899" s="88"/>
      <c r="T2899" s="88"/>
      <c r="U2899" s="88"/>
      <c r="V2899" s="88"/>
      <c r="W2899" s="88"/>
    </row>
    <row r="2900" spans="2:23" s="0" customFormat="0" ht="15">
      <c r="B2900" s="87" t="s">
        <v>1</v>
      </c>
      <c r="C2900" s="88" t="s">
        <v>5259</v>
      </c>
      <c r="D2900" s="88">
        <v>12942096</v>
      </c>
      <c r="E2900" s="88" t="s">
        <v>61</v>
      </c>
      <c r="F2900" s="88">
        <v>0</v>
      </c>
      <c r="G2900" s="78">
        <f>MAX(H2900,I2900,J2900)</f>
        <v>1</v>
      </c>
      <c r="H2900" s="88"/>
      <c r="I2900" s="88"/>
      <c r="J2900" s="78">
        <f>MAX(K2900:Q2900)</f>
        <v>1</v>
      </c>
      <c r="K2900" s="88">
        <v>1</v>
      </c>
      <c r="L2900" s="88"/>
      <c r="M2900" s="88"/>
      <c r="N2900" s="88"/>
      <c r="O2900" s="88"/>
      <c r="P2900" s="88"/>
      <c r="Q2900" s="88"/>
      <c r="R2900" s="78">
        <f>MAX(S2900:W2900)</f>
        <v>0</v>
      </c>
      <c r="S2900" s="88"/>
      <c r="T2900" s="88"/>
      <c r="U2900" s="88"/>
      <c r="V2900" s="88"/>
      <c r="W2900" s="88"/>
    </row>
    <row r="2901" spans="2:23" s="0" customFormat="0" ht="15">
      <c r="B2901" s="87" t="s">
        <v>1</v>
      </c>
      <c r="C2901" s="88" t="s">
        <v>5259</v>
      </c>
      <c r="D2901" s="88">
        <v>23954151</v>
      </c>
      <c r="E2901" s="88" t="s">
        <v>61</v>
      </c>
      <c r="F2901" s="88">
        <v>0</v>
      </c>
      <c r="G2901" s="78">
        <f>MAX(H2901,I2901,J2901)</f>
        <v>0</v>
      </c>
      <c r="H2901" s="88"/>
      <c r="I2901" s="88"/>
      <c r="J2901" s="78">
        <f>MAX(K2901:Q2901)</f>
        <v>0</v>
      </c>
      <c r="K2901" s="88"/>
      <c r="L2901" s="88"/>
      <c r="M2901" s="88"/>
      <c r="N2901" s="88"/>
      <c r="O2901" s="88"/>
      <c r="P2901" s="88"/>
      <c r="Q2901" s="88"/>
      <c r="R2901" s="78">
        <f>MAX(S2901:W2901)</f>
        <v>1</v>
      </c>
      <c r="S2901" s="88"/>
      <c r="T2901" s="88"/>
      <c r="U2901" s="88">
        <v>1</v>
      </c>
      <c r="V2901" s="88"/>
      <c r="W2901" s="88"/>
    </row>
    <row r="2902" spans="2:23" s="0" customFormat="0" ht="15">
      <c r="B2902" s="87" t="s">
        <v>1</v>
      </c>
      <c r="C2902" s="88" t="s">
        <v>5259</v>
      </c>
      <c r="D2902" s="88" t="s">
        <v>4015</v>
      </c>
      <c r="E2902" s="88" t="s">
        <v>61</v>
      </c>
      <c r="F2902" s="88">
        <v>0</v>
      </c>
      <c r="G2902" s="78">
        <f>MAX(H2902,I2902,J2902)</f>
        <v>0</v>
      </c>
      <c r="H2902" s="88"/>
      <c r="I2902" s="88"/>
      <c r="J2902" s="78">
        <f>MAX(K2902:Q2902)</f>
        <v>0</v>
      </c>
      <c r="K2902" s="88"/>
      <c r="L2902" s="88"/>
      <c r="M2902" s="88"/>
      <c r="N2902" s="88"/>
      <c r="O2902" s="88"/>
      <c r="P2902" s="88"/>
      <c r="Q2902" s="88"/>
      <c r="R2902" s="78">
        <f>MAX(S2902:W2902)</f>
        <v>1</v>
      </c>
      <c r="S2902" s="88"/>
      <c r="T2902" s="88"/>
      <c r="U2902" s="88">
        <v>1</v>
      </c>
      <c r="V2902" s="88"/>
      <c r="W2902" s="88"/>
    </row>
    <row r="2903" spans="2:23" s="0" customFormat="0" ht="15">
      <c r="B2903" s="87" t="s">
        <v>1</v>
      </c>
      <c r="C2903" s="88" t="s">
        <v>5259</v>
      </c>
      <c r="D2903" s="88">
        <v>14571501</v>
      </c>
      <c r="E2903" s="88" t="s">
        <v>61</v>
      </c>
      <c r="F2903" s="88">
        <v>0</v>
      </c>
      <c r="G2903" s="78">
        <f>MAX(H2903,I2903,J2903)</f>
        <v>1</v>
      </c>
      <c r="H2903" s="88"/>
      <c r="I2903" s="88"/>
      <c r="J2903" s="78">
        <f>MAX(K2903:Q2903)</f>
        <v>1</v>
      </c>
      <c r="K2903" s="88">
        <v>1</v>
      </c>
      <c r="L2903" s="88"/>
      <c r="M2903" s="88"/>
      <c r="N2903" s="88"/>
      <c r="O2903" s="88"/>
      <c r="P2903" s="88"/>
      <c r="Q2903" s="88"/>
      <c r="R2903" s="78">
        <f>MAX(S2903:W2903)</f>
        <v>0</v>
      </c>
      <c r="S2903" s="88"/>
      <c r="T2903" s="88"/>
      <c r="U2903" s="88"/>
      <c r="V2903" s="88"/>
      <c r="W2903" s="88"/>
    </row>
    <row r="2904" spans="2:23" s="0" customFormat="0" ht="15">
      <c r="B2904" s="87" t="s">
        <v>1</v>
      </c>
      <c r="C2904" s="88" t="s">
        <v>5259</v>
      </c>
      <c r="D2904" s="88" t="s">
        <v>2015</v>
      </c>
      <c r="E2904" s="88" t="s">
        <v>61</v>
      </c>
      <c r="F2904" s="88">
        <v>0</v>
      </c>
      <c r="G2904" s="78">
        <f>MAX(H2904,I2904,J2904)</f>
        <v>1</v>
      </c>
      <c r="H2904" s="88"/>
      <c r="I2904" s="88"/>
      <c r="J2904" s="78">
        <f>MAX(K2904:Q2904)</f>
        <v>1</v>
      </c>
      <c r="K2904" s="88">
        <v>1</v>
      </c>
      <c r="L2904" s="88"/>
      <c r="M2904" s="88"/>
      <c r="N2904" s="88"/>
      <c r="O2904" s="88"/>
      <c r="P2904" s="88"/>
      <c r="Q2904" s="88"/>
      <c r="R2904" s="78">
        <f>MAX(S2904:W2904)</f>
        <v>0</v>
      </c>
      <c r="S2904" s="88"/>
      <c r="T2904" s="88"/>
      <c r="U2904" s="88"/>
      <c r="V2904" s="88"/>
      <c r="W2904" s="88"/>
    </row>
    <row r="2905" spans="2:23" s="0" customFormat="0" ht="15">
      <c r="B2905" s="87" t="s">
        <v>1</v>
      </c>
      <c r="C2905" s="88" t="s">
        <v>5259</v>
      </c>
      <c r="D2905" s="88" t="s">
        <v>4565</v>
      </c>
      <c r="E2905" s="88" t="s">
        <v>61</v>
      </c>
      <c r="F2905" s="88">
        <v>0</v>
      </c>
      <c r="G2905" s="78">
        <f>MAX(H2905,I2905,J2905)</f>
        <v>0</v>
      </c>
      <c r="H2905" s="88"/>
      <c r="I2905" s="88"/>
      <c r="J2905" s="78">
        <f>MAX(K2905:Q2905)</f>
        <v>0</v>
      </c>
      <c r="K2905" s="88"/>
      <c r="L2905" s="88"/>
      <c r="M2905" s="88"/>
      <c r="N2905" s="88"/>
      <c r="O2905" s="88"/>
      <c r="P2905" s="88"/>
      <c r="Q2905" s="88"/>
      <c r="R2905" s="78">
        <f>MAX(S2905:W2905)</f>
        <v>1</v>
      </c>
      <c r="S2905" s="88"/>
      <c r="T2905" s="88"/>
      <c r="U2905" s="88">
        <v>1</v>
      </c>
      <c r="V2905" s="88"/>
      <c r="W2905" s="88"/>
    </row>
    <row r="2906" spans="2:23" s="0" customFormat="0" ht="15">
      <c r="B2906" s="87" t="s">
        <v>1</v>
      </c>
      <c r="C2906" s="88" t="s">
        <v>5259</v>
      </c>
      <c r="D2906" s="88" t="s">
        <v>4567</v>
      </c>
      <c r="E2906" s="88" t="s">
        <v>61</v>
      </c>
      <c r="F2906" s="88">
        <v>0</v>
      </c>
      <c r="G2906" s="78">
        <f>MAX(H2906,I2906,J2906)</f>
        <v>0</v>
      </c>
      <c r="H2906" s="88"/>
      <c r="I2906" s="88"/>
      <c r="J2906" s="78">
        <f>MAX(K2906:Q2906)</f>
        <v>0</v>
      </c>
      <c r="K2906" s="88"/>
      <c r="L2906" s="88"/>
      <c r="M2906" s="88"/>
      <c r="N2906" s="88"/>
      <c r="O2906" s="88"/>
      <c r="P2906" s="88"/>
      <c r="Q2906" s="88"/>
      <c r="R2906" s="78">
        <f>MAX(S2906:W2906)</f>
        <v>1</v>
      </c>
      <c r="S2906" s="88"/>
      <c r="T2906" s="88"/>
      <c r="U2906" s="88">
        <v>1</v>
      </c>
      <c r="V2906" s="88"/>
      <c r="W2906" s="88"/>
    </row>
    <row r="2907" spans="2:23" s="0" customFormat="0" ht="15">
      <c r="B2907" s="87" t="s">
        <v>1</v>
      </c>
      <c r="C2907" s="88" t="s">
        <v>5259</v>
      </c>
      <c r="D2907" s="88" t="s">
        <v>2017</v>
      </c>
      <c r="E2907" s="88" t="s">
        <v>61</v>
      </c>
      <c r="F2907" s="88">
        <v>0</v>
      </c>
      <c r="G2907" s="78">
        <f>MAX(H2907,I2907,J2907)</f>
        <v>1</v>
      </c>
      <c r="H2907" s="88"/>
      <c r="I2907" s="88"/>
      <c r="J2907" s="78">
        <f>MAX(K2907:Q2907)</f>
        <v>1</v>
      </c>
      <c r="K2907" s="88">
        <v>1</v>
      </c>
      <c r="L2907" s="88"/>
      <c r="M2907" s="88"/>
      <c r="N2907" s="88"/>
      <c r="O2907" s="88"/>
      <c r="P2907" s="88"/>
      <c r="Q2907" s="88"/>
      <c r="R2907" s="78">
        <f>MAX(S2907:W2907)</f>
        <v>0</v>
      </c>
      <c r="S2907" s="88"/>
      <c r="T2907" s="88"/>
      <c r="U2907" s="88"/>
      <c r="V2907" s="88"/>
      <c r="W2907" s="88"/>
    </row>
    <row r="2908" spans="2:23" s="0" customFormat="0" ht="15">
      <c r="B2908" s="87" t="s">
        <v>1</v>
      </c>
      <c r="C2908" s="88" t="s">
        <v>5259</v>
      </c>
      <c r="D2908" s="88">
        <v>14504617</v>
      </c>
      <c r="E2908" s="88" t="s">
        <v>61</v>
      </c>
      <c r="F2908" s="88">
        <v>0</v>
      </c>
      <c r="G2908" s="78">
        <f>MAX(H2908,I2908,J2908)</f>
        <v>0</v>
      </c>
      <c r="H2908" s="88"/>
      <c r="I2908" s="88"/>
      <c r="J2908" s="78">
        <f>MAX(K2908:Q2908)</f>
        <v>0</v>
      </c>
      <c r="K2908" s="88"/>
      <c r="L2908" s="88"/>
      <c r="M2908" s="88"/>
      <c r="N2908" s="88"/>
      <c r="O2908" s="88"/>
      <c r="P2908" s="88"/>
      <c r="Q2908" s="88"/>
      <c r="R2908" s="78">
        <f>MAX(S2908:W2908)</f>
        <v>1</v>
      </c>
      <c r="S2908" s="88"/>
      <c r="T2908" s="88"/>
      <c r="U2908" s="88">
        <v>1</v>
      </c>
      <c r="V2908" s="88"/>
      <c r="W2908" s="88"/>
    </row>
    <row r="2909" spans="2:23" s="0" customFormat="0" ht="15">
      <c r="B2909" s="87" t="s">
        <v>1</v>
      </c>
      <c r="C2909" s="88" t="s">
        <v>5259</v>
      </c>
      <c r="D2909" s="88" t="s">
        <v>4570</v>
      </c>
      <c r="E2909" s="88" t="s">
        <v>61</v>
      </c>
      <c r="F2909" s="88">
        <v>0</v>
      </c>
      <c r="G2909" s="78">
        <f>MAX(H2909,I2909,J2909)</f>
        <v>0</v>
      </c>
      <c r="H2909" s="88"/>
      <c r="I2909" s="88"/>
      <c r="J2909" s="78">
        <f>MAX(K2909:Q2909)</f>
        <v>0</v>
      </c>
      <c r="K2909" s="88"/>
      <c r="L2909" s="88"/>
      <c r="M2909" s="88"/>
      <c r="N2909" s="88"/>
      <c r="O2909" s="88"/>
      <c r="P2909" s="88"/>
      <c r="Q2909" s="88"/>
      <c r="R2909" s="78">
        <f>MAX(S2909:W2909)</f>
        <v>1</v>
      </c>
      <c r="S2909" s="88"/>
      <c r="T2909" s="88"/>
      <c r="U2909" s="88">
        <v>1</v>
      </c>
      <c r="V2909" s="88"/>
      <c r="W2909" s="88"/>
    </row>
    <row r="2910" spans="2:23" s="0" customFormat="0" ht="15">
      <c r="B2910" s="87" t="s">
        <v>1</v>
      </c>
      <c r="C2910" s="88" t="s">
        <v>5259</v>
      </c>
      <c r="D2910" s="88">
        <v>14395981</v>
      </c>
      <c r="E2910" s="88" t="s">
        <v>61</v>
      </c>
      <c r="F2910" s="88">
        <v>0</v>
      </c>
      <c r="G2910" s="78">
        <f>MAX(H2910,I2910,J2910)</f>
        <v>1</v>
      </c>
      <c r="H2910" s="88"/>
      <c r="I2910" s="88"/>
      <c r="J2910" s="78">
        <f>MAX(K2910:Q2910)</f>
        <v>1</v>
      </c>
      <c r="K2910" s="88">
        <v>1</v>
      </c>
      <c r="L2910" s="88"/>
      <c r="M2910" s="88"/>
      <c r="N2910" s="88"/>
      <c r="O2910" s="88"/>
      <c r="P2910" s="88"/>
      <c r="Q2910" s="88"/>
      <c r="R2910" s="78">
        <f>MAX(S2910:W2910)</f>
        <v>0</v>
      </c>
      <c r="S2910" s="88"/>
      <c r="T2910" s="88"/>
      <c r="U2910" s="88"/>
      <c r="V2910" s="88"/>
      <c r="W2910" s="88"/>
    </row>
    <row r="2911" spans="2:23" s="0" customFormat="0" ht="15">
      <c r="B2911" s="87" t="s">
        <v>1</v>
      </c>
      <c r="C2911" s="88" t="s">
        <v>5259</v>
      </c>
      <c r="D2911" s="88">
        <v>20113242</v>
      </c>
      <c r="E2911" s="88" t="s">
        <v>61</v>
      </c>
      <c r="F2911" s="88">
        <v>0</v>
      </c>
      <c r="G2911" s="78">
        <f>MAX(H2911,I2911,J2911)</f>
        <v>0</v>
      </c>
      <c r="H2911" s="88"/>
      <c r="I2911" s="88"/>
      <c r="J2911" s="78">
        <f>MAX(K2911:Q2911)</f>
        <v>0</v>
      </c>
      <c r="K2911" s="88"/>
      <c r="L2911" s="88"/>
      <c r="M2911" s="88"/>
      <c r="N2911" s="88"/>
      <c r="O2911" s="88"/>
      <c r="P2911" s="88"/>
      <c r="Q2911" s="88"/>
      <c r="R2911" s="78">
        <f>MAX(S2911:W2911)</f>
        <v>1</v>
      </c>
      <c r="S2911" s="88"/>
      <c r="T2911" s="88"/>
      <c r="U2911" s="88">
        <v>1</v>
      </c>
      <c r="V2911" s="88"/>
      <c r="W2911" s="88"/>
    </row>
    <row r="2912" spans="2:23" s="0" customFormat="0" ht="15">
      <c r="B2912" s="87" t="s">
        <v>1</v>
      </c>
      <c r="C2912" s="88" t="s">
        <v>5259</v>
      </c>
      <c r="D2912" s="88" t="s">
        <v>885</v>
      </c>
      <c r="E2912" s="88" t="s">
        <v>61</v>
      </c>
      <c r="F2912" s="88">
        <v>0</v>
      </c>
      <c r="G2912" s="78">
        <f>MAX(H2912,I2912,J2912)</f>
        <v>1</v>
      </c>
      <c r="H2912" s="88"/>
      <c r="I2912" s="88"/>
      <c r="J2912" s="78">
        <f>MAX(K2912:Q2912)</f>
        <v>1</v>
      </c>
      <c r="K2912" s="88">
        <v>1</v>
      </c>
      <c r="L2912" s="88"/>
      <c r="M2912" s="88"/>
      <c r="N2912" s="88"/>
      <c r="O2912" s="88"/>
      <c r="P2912" s="88"/>
      <c r="Q2912" s="88"/>
      <c r="R2912" s="78">
        <f>MAX(S2912:W2912)</f>
        <v>0</v>
      </c>
      <c r="S2912" s="88"/>
      <c r="T2912" s="88"/>
      <c r="U2912" s="88"/>
      <c r="V2912" s="88"/>
      <c r="W2912" s="88"/>
    </row>
    <row r="2913" spans="2:23" s="0" customFormat="0" ht="15">
      <c r="B2913" s="87" t="s">
        <v>1</v>
      </c>
      <c r="C2913" s="88" t="s">
        <v>5259</v>
      </c>
      <c r="D2913" s="88">
        <v>16974602</v>
      </c>
      <c r="E2913" s="88" t="s">
        <v>61</v>
      </c>
      <c r="F2913" s="88">
        <v>0</v>
      </c>
      <c r="G2913" s="78">
        <f>MAX(H2913,I2913,J2913)</f>
        <v>0</v>
      </c>
      <c r="H2913" s="88"/>
      <c r="I2913" s="88"/>
      <c r="J2913" s="78">
        <f>MAX(K2913:Q2913)</f>
        <v>0</v>
      </c>
      <c r="K2913" s="88"/>
      <c r="L2913" s="88"/>
      <c r="M2913" s="88"/>
      <c r="N2913" s="88"/>
      <c r="O2913" s="88"/>
      <c r="P2913" s="88"/>
      <c r="Q2913" s="88"/>
      <c r="R2913" s="78">
        <f>MAX(S2913:W2913)</f>
        <v>1</v>
      </c>
      <c r="S2913" s="88"/>
      <c r="T2913" s="88"/>
      <c r="U2913" s="88">
        <v>1</v>
      </c>
      <c r="V2913" s="88"/>
      <c r="W2913" s="88"/>
    </row>
    <row r="2914" spans="2:23" s="0" customFormat="0" ht="15">
      <c r="B2914" s="87" t="s">
        <v>1</v>
      </c>
      <c r="C2914" s="88" t="s">
        <v>5259</v>
      </c>
      <c r="D2914" s="88">
        <v>20971137</v>
      </c>
      <c r="E2914" s="88" t="s">
        <v>61</v>
      </c>
      <c r="F2914" s="88">
        <v>0</v>
      </c>
      <c r="G2914" s="78">
        <f>MAX(H2914,I2914,J2914)</f>
        <v>1</v>
      </c>
      <c r="H2914" s="88"/>
      <c r="I2914" s="88"/>
      <c r="J2914" s="78">
        <f>MAX(K2914:Q2914)</f>
        <v>1</v>
      </c>
      <c r="K2914" s="88">
        <v>1</v>
      </c>
      <c r="L2914" s="88"/>
      <c r="M2914" s="88"/>
      <c r="N2914" s="88"/>
      <c r="O2914" s="88"/>
      <c r="P2914" s="88"/>
      <c r="Q2914" s="88"/>
      <c r="R2914" s="78">
        <f>MAX(S2914:W2914)</f>
        <v>0</v>
      </c>
      <c r="S2914" s="88"/>
      <c r="T2914" s="88"/>
      <c r="U2914" s="88"/>
      <c r="V2914" s="88"/>
      <c r="W2914" s="88"/>
    </row>
    <row r="2915" spans="2:23" s="0" customFormat="0" ht="15">
      <c r="B2915" s="87" t="s">
        <v>1</v>
      </c>
      <c r="C2915" s="88" t="s">
        <v>5259</v>
      </c>
      <c r="D2915" s="88" t="s">
        <v>4389</v>
      </c>
      <c r="E2915" s="88" t="s">
        <v>61</v>
      </c>
      <c r="F2915" s="88">
        <v>0</v>
      </c>
      <c r="G2915" s="78">
        <f>MAX(H2915,I2915,J2915)</f>
        <v>0</v>
      </c>
      <c r="H2915" s="88"/>
      <c r="I2915" s="88"/>
      <c r="J2915" s="78">
        <f>MAX(K2915:Q2915)</f>
        <v>0</v>
      </c>
      <c r="K2915" s="88"/>
      <c r="L2915" s="88"/>
      <c r="M2915" s="88"/>
      <c r="N2915" s="88"/>
      <c r="O2915" s="88"/>
      <c r="P2915" s="88"/>
      <c r="Q2915" s="88"/>
      <c r="R2915" s="78">
        <f>MAX(S2915:W2915)</f>
        <v>1</v>
      </c>
      <c r="S2915" s="88"/>
      <c r="T2915" s="88"/>
      <c r="U2915" s="88">
        <v>1</v>
      </c>
      <c r="V2915" s="88"/>
      <c r="W2915" s="88"/>
    </row>
    <row r="2916" spans="2:23" s="0" customFormat="0" ht="15">
      <c r="B2916" s="87" t="s">
        <v>1</v>
      </c>
      <c r="C2916" s="88" t="s">
        <v>5259</v>
      </c>
      <c r="D2916" s="88">
        <v>23061858</v>
      </c>
      <c r="E2916" s="88" t="s">
        <v>61</v>
      </c>
      <c r="F2916" s="88">
        <v>0</v>
      </c>
      <c r="G2916" s="78">
        <f>MAX(H2916,I2916,J2916)</f>
        <v>1</v>
      </c>
      <c r="H2916" s="88"/>
      <c r="I2916" s="88"/>
      <c r="J2916" s="78">
        <f>MAX(K2916:Q2916)</f>
        <v>1</v>
      </c>
      <c r="K2916" s="88">
        <v>1</v>
      </c>
      <c r="L2916" s="88"/>
      <c r="M2916" s="88"/>
      <c r="N2916" s="88"/>
      <c r="O2916" s="88"/>
      <c r="P2916" s="88"/>
      <c r="Q2916" s="88"/>
      <c r="R2916" s="78">
        <f>MAX(S2916:W2916)</f>
        <v>0</v>
      </c>
      <c r="S2916" s="88"/>
      <c r="T2916" s="88"/>
      <c r="U2916" s="88"/>
      <c r="V2916" s="88"/>
      <c r="W2916" s="88"/>
    </row>
    <row r="2917" spans="2:23" s="0" customFormat="0" ht="15">
      <c r="B2917" s="87" t="s">
        <v>1</v>
      </c>
      <c r="C2917" s="88" t="s">
        <v>5259</v>
      </c>
      <c r="D2917" s="88" t="s">
        <v>4574</v>
      </c>
      <c r="E2917" s="88" t="s">
        <v>61</v>
      </c>
      <c r="F2917" s="88">
        <v>0</v>
      </c>
      <c r="G2917" s="78">
        <f>MAX(H2917,I2917,J2917)</f>
        <v>0</v>
      </c>
      <c r="H2917" s="88"/>
      <c r="I2917" s="88"/>
      <c r="J2917" s="78">
        <f>MAX(K2917:Q2917)</f>
        <v>0</v>
      </c>
      <c r="K2917" s="88"/>
      <c r="L2917" s="88"/>
      <c r="M2917" s="88"/>
      <c r="N2917" s="88"/>
      <c r="O2917" s="88"/>
      <c r="P2917" s="88"/>
      <c r="Q2917" s="88"/>
      <c r="R2917" s="78">
        <f>MAX(S2917:W2917)</f>
        <v>1</v>
      </c>
      <c r="S2917" s="88"/>
      <c r="T2917" s="88"/>
      <c r="U2917" s="88">
        <v>1</v>
      </c>
      <c r="V2917" s="88"/>
      <c r="W2917" s="88"/>
    </row>
    <row r="2918" spans="2:23" s="0" customFormat="0" ht="15">
      <c r="B2918" s="87" t="s">
        <v>1</v>
      </c>
      <c r="C2918" s="88" t="s">
        <v>5259</v>
      </c>
      <c r="D2918" s="88" t="s">
        <v>3900</v>
      </c>
      <c r="E2918" s="88" t="s">
        <v>61</v>
      </c>
      <c r="F2918" s="88">
        <v>0</v>
      </c>
      <c r="G2918" s="78">
        <f>MAX(H2918,I2918,J2918)</f>
        <v>0</v>
      </c>
      <c r="H2918" s="88"/>
      <c r="I2918" s="88"/>
      <c r="J2918" s="78">
        <f>MAX(K2918:Q2918)</f>
        <v>0</v>
      </c>
      <c r="K2918" s="88"/>
      <c r="L2918" s="88"/>
      <c r="M2918" s="88"/>
      <c r="N2918" s="88"/>
      <c r="O2918" s="88"/>
      <c r="P2918" s="88"/>
      <c r="Q2918" s="88"/>
      <c r="R2918" s="78">
        <f>MAX(S2918:W2918)</f>
        <v>1</v>
      </c>
      <c r="S2918" s="88"/>
      <c r="T2918" s="88"/>
      <c r="U2918" s="88">
        <v>1</v>
      </c>
      <c r="V2918" s="88"/>
      <c r="W2918" s="88"/>
    </row>
    <row r="2919" spans="2:23" s="0" customFormat="0" ht="15">
      <c r="B2919" s="87" t="s">
        <v>1</v>
      </c>
      <c r="C2919" s="88" t="s">
        <v>5259</v>
      </c>
      <c r="D2919" s="88">
        <v>19295240</v>
      </c>
      <c r="E2919" s="88" t="s">
        <v>61</v>
      </c>
      <c r="F2919" s="88">
        <v>0</v>
      </c>
      <c r="G2919" s="78">
        <f>MAX(H2919,I2919,J2919)</f>
        <v>1</v>
      </c>
      <c r="H2919" s="88"/>
      <c r="I2919" s="88"/>
      <c r="J2919" s="78">
        <f>MAX(K2919:Q2919)</f>
        <v>1</v>
      </c>
      <c r="K2919" s="88">
        <v>1</v>
      </c>
      <c r="L2919" s="88"/>
      <c r="M2919" s="88"/>
      <c r="N2919" s="88"/>
      <c r="O2919" s="88"/>
      <c r="P2919" s="88"/>
      <c r="Q2919" s="88"/>
      <c r="R2919" s="78">
        <f>MAX(S2919:W2919)</f>
        <v>0</v>
      </c>
      <c r="S2919" s="88"/>
      <c r="T2919" s="88"/>
      <c r="U2919" s="88"/>
      <c r="V2919" s="88"/>
      <c r="W2919" s="88"/>
    </row>
    <row r="2920" spans="2:23" s="0" customFormat="0" ht="15">
      <c r="B2920" s="87" t="s">
        <v>1</v>
      </c>
      <c r="C2920" s="88" t="s">
        <v>5259</v>
      </c>
      <c r="D2920" s="88">
        <v>17614602</v>
      </c>
      <c r="E2920" s="88" t="s">
        <v>61</v>
      </c>
      <c r="F2920" s="88">
        <v>0</v>
      </c>
      <c r="G2920" s="78">
        <f>MAX(H2920,I2920,J2920)</f>
        <v>1</v>
      </c>
      <c r="H2920" s="88"/>
      <c r="I2920" s="88"/>
      <c r="J2920" s="78">
        <f>MAX(K2920:Q2920)</f>
        <v>1</v>
      </c>
      <c r="K2920" s="88">
        <v>1</v>
      </c>
      <c r="L2920" s="88"/>
      <c r="M2920" s="88"/>
      <c r="N2920" s="88"/>
      <c r="O2920" s="88"/>
      <c r="P2920" s="88"/>
      <c r="Q2920" s="88"/>
      <c r="R2920" s="78">
        <f>MAX(S2920:W2920)</f>
        <v>0</v>
      </c>
      <c r="S2920" s="88"/>
      <c r="T2920" s="88"/>
      <c r="U2920" s="88"/>
      <c r="V2920" s="88"/>
      <c r="W2920" s="88"/>
    </row>
    <row r="2921" spans="2:23" s="0" customFormat="0" ht="15">
      <c r="B2921" s="87" t="s">
        <v>1</v>
      </c>
      <c r="C2921" s="88" t="s">
        <v>5259</v>
      </c>
      <c r="D2921" s="88" t="s">
        <v>4576</v>
      </c>
      <c r="E2921" s="88" t="s">
        <v>61</v>
      </c>
      <c r="F2921" s="88">
        <v>0</v>
      </c>
      <c r="G2921" s="78">
        <f>MAX(H2921,I2921,J2921)</f>
        <v>0</v>
      </c>
      <c r="H2921" s="88"/>
      <c r="I2921" s="88"/>
      <c r="J2921" s="78">
        <f>MAX(K2921:Q2921)</f>
        <v>0</v>
      </c>
      <c r="K2921" s="88"/>
      <c r="L2921" s="88"/>
      <c r="M2921" s="88"/>
      <c r="N2921" s="88"/>
      <c r="O2921" s="88"/>
      <c r="P2921" s="88"/>
      <c r="Q2921" s="88"/>
      <c r="R2921" s="78">
        <f>MAX(S2921:W2921)</f>
        <v>1</v>
      </c>
      <c r="S2921" s="88"/>
      <c r="T2921" s="88"/>
      <c r="U2921" s="88">
        <v>1</v>
      </c>
      <c r="V2921" s="88"/>
      <c r="W2921" s="88"/>
    </row>
    <row r="2922" spans="2:23" s="0" customFormat="0" ht="15">
      <c r="B2922" s="87" t="s">
        <v>1</v>
      </c>
      <c r="C2922" s="88" t="s">
        <v>5259</v>
      </c>
      <c r="D2922" s="88" t="s">
        <v>3948</v>
      </c>
      <c r="E2922" s="88" t="s">
        <v>61</v>
      </c>
      <c r="F2922" s="88">
        <v>0</v>
      </c>
      <c r="G2922" s="78">
        <f>MAX(H2922,I2922,J2922)</f>
        <v>0</v>
      </c>
      <c r="H2922" s="88"/>
      <c r="I2922" s="88"/>
      <c r="J2922" s="78">
        <f>MAX(K2922:Q2922)</f>
        <v>0</v>
      </c>
      <c r="K2922" s="88"/>
      <c r="L2922" s="88"/>
      <c r="M2922" s="88"/>
      <c r="N2922" s="88"/>
      <c r="O2922" s="88"/>
      <c r="P2922" s="88"/>
      <c r="Q2922" s="88"/>
      <c r="R2922" s="78">
        <f>MAX(S2922:W2922)</f>
        <v>1</v>
      </c>
      <c r="S2922" s="88"/>
      <c r="T2922" s="88"/>
      <c r="U2922" s="88">
        <v>1</v>
      </c>
      <c r="V2922" s="88"/>
      <c r="W2922" s="88"/>
    </row>
    <row r="2923" spans="2:23" s="0" customFormat="0" ht="15">
      <c r="B2923" s="87" t="s">
        <v>1</v>
      </c>
      <c r="C2923" s="88" t="s">
        <v>5259</v>
      </c>
      <c r="D2923" s="88">
        <v>15774248</v>
      </c>
      <c r="E2923" s="88" t="s">
        <v>61</v>
      </c>
      <c r="F2923" s="88">
        <v>0</v>
      </c>
      <c r="G2923" s="78">
        <f>MAX(H2923,I2923,J2923)</f>
        <v>1</v>
      </c>
      <c r="H2923" s="88"/>
      <c r="I2923" s="88"/>
      <c r="J2923" s="78">
        <f>MAX(K2923:Q2923)</f>
        <v>1</v>
      </c>
      <c r="K2923" s="88">
        <v>1</v>
      </c>
      <c r="L2923" s="88"/>
      <c r="M2923" s="88"/>
      <c r="N2923" s="88"/>
      <c r="O2923" s="88"/>
      <c r="P2923" s="88"/>
      <c r="Q2923" s="88"/>
      <c r="R2923" s="78">
        <f>MAX(S2923:W2923)</f>
        <v>0</v>
      </c>
      <c r="S2923" s="88"/>
      <c r="T2923" s="88"/>
      <c r="U2923" s="88"/>
      <c r="V2923" s="88"/>
      <c r="W2923" s="88"/>
    </row>
    <row r="2924" spans="2:23" s="0" customFormat="0" ht="15">
      <c r="B2924" s="87" t="s">
        <v>1</v>
      </c>
      <c r="C2924" s="88" t="s">
        <v>5259</v>
      </c>
      <c r="D2924" s="88">
        <v>22185540</v>
      </c>
      <c r="E2924" s="88" t="s">
        <v>61</v>
      </c>
      <c r="F2924" s="88">
        <v>0</v>
      </c>
      <c r="G2924" s="78">
        <f>MAX(H2924,I2924,J2924)</f>
        <v>1</v>
      </c>
      <c r="H2924" s="88"/>
      <c r="I2924" s="88"/>
      <c r="J2924" s="78">
        <f>MAX(K2924:Q2924)</f>
        <v>1</v>
      </c>
      <c r="K2924" s="88">
        <v>1</v>
      </c>
      <c r="L2924" s="88"/>
      <c r="M2924" s="88"/>
      <c r="N2924" s="88"/>
      <c r="O2924" s="88"/>
      <c r="P2924" s="88"/>
      <c r="Q2924" s="88"/>
      <c r="R2924" s="78">
        <f>MAX(S2924:W2924)</f>
        <v>0</v>
      </c>
      <c r="S2924" s="88"/>
      <c r="T2924" s="88"/>
      <c r="U2924" s="88"/>
      <c r="V2924" s="88"/>
      <c r="W2924" s="88"/>
    </row>
    <row r="2925" spans="2:23" s="0" customFormat="0" ht="15">
      <c r="B2925" s="87" t="s">
        <v>1</v>
      </c>
      <c r="C2925" s="88" t="s">
        <v>5259</v>
      </c>
      <c r="D2925" s="88">
        <v>15742343</v>
      </c>
      <c r="E2925" s="88" t="s">
        <v>61</v>
      </c>
      <c r="F2925" s="88">
        <v>0</v>
      </c>
      <c r="G2925" s="78">
        <f>MAX(H2925,I2925,J2925)</f>
        <v>1</v>
      </c>
      <c r="H2925" s="88"/>
      <c r="I2925" s="88"/>
      <c r="J2925" s="78">
        <f>MAX(K2925:Q2925)</f>
        <v>1</v>
      </c>
      <c r="K2925" s="88">
        <v>1</v>
      </c>
      <c r="L2925" s="88"/>
      <c r="M2925" s="88"/>
      <c r="N2925" s="88"/>
      <c r="O2925" s="88"/>
      <c r="P2925" s="88"/>
      <c r="Q2925" s="88"/>
      <c r="R2925" s="78">
        <f>MAX(S2925:W2925)</f>
        <v>0</v>
      </c>
      <c r="S2925" s="88"/>
      <c r="T2925" s="88"/>
      <c r="U2925" s="88"/>
      <c r="V2925" s="88"/>
      <c r="W2925" s="88"/>
    </row>
    <row r="2926" spans="2:23" s="0" customFormat="0" ht="15">
      <c r="B2926" s="87" t="s">
        <v>1</v>
      </c>
      <c r="C2926" s="88" t="s">
        <v>5259</v>
      </c>
      <c r="D2926" s="88">
        <v>21736771</v>
      </c>
      <c r="E2926" s="88" t="s">
        <v>61</v>
      </c>
      <c r="F2926" s="88">
        <v>0</v>
      </c>
      <c r="G2926" s="78">
        <f>MAX(H2926,I2926,J2926)</f>
        <v>1</v>
      </c>
      <c r="H2926" s="88"/>
      <c r="I2926" s="88"/>
      <c r="J2926" s="78">
        <f>MAX(K2926:Q2926)</f>
        <v>1</v>
      </c>
      <c r="K2926" s="88">
        <v>1</v>
      </c>
      <c r="L2926" s="88"/>
      <c r="M2926" s="88"/>
      <c r="N2926" s="88"/>
      <c r="O2926" s="88"/>
      <c r="P2926" s="88"/>
      <c r="Q2926" s="88"/>
      <c r="R2926" s="78">
        <f>MAX(S2926:W2926)</f>
        <v>0</v>
      </c>
      <c r="S2926" s="88"/>
      <c r="T2926" s="88"/>
      <c r="U2926" s="88"/>
      <c r="V2926" s="88"/>
      <c r="W2926" s="88"/>
    </row>
    <row r="2927" spans="2:23" s="0" customFormat="0" ht="15">
      <c r="B2927" s="87" t="s">
        <v>1</v>
      </c>
      <c r="C2927" s="88" t="s">
        <v>5259</v>
      </c>
      <c r="D2927" s="88">
        <v>11757687</v>
      </c>
      <c r="E2927" s="88" t="s">
        <v>61</v>
      </c>
      <c r="F2927" s="88">
        <v>0</v>
      </c>
      <c r="G2927" s="78">
        <f>MAX(H2927,I2927,J2927)</f>
        <v>0</v>
      </c>
      <c r="H2927" s="88"/>
      <c r="I2927" s="88"/>
      <c r="J2927" s="78">
        <f>MAX(K2927:Q2927)</f>
        <v>0</v>
      </c>
      <c r="K2927" s="88"/>
      <c r="L2927" s="88"/>
      <c r="M2927" s="88"/>
      <c r="N2927" s="88"/>
      <c r="O2927" s="88"/>
      <c r="P2927" s="88"/>
      <c r="Q2927" s="88"/>
      <c r="R2927" s="78">
        <f>MAX(S2927:W2927)</f>
        <v>1</v>
      </c>
      <c r="S2927" s="88"/>
      <c r="T2927" s="88"/>
      <c r="U2927" s="88">
        <v>1</v>
      </c>
      <c r="V2927" s="88"/>
      <c r="W2927" s="88"/>
    </row>
    <row r="2928" spans="2:23" s="0" customFormat="0" ht="15">
      <c r="B2928" s="87" t="s">
        <v>1</v>
      </c>
      <c r="C2928" s="88" t="s">
        <v>5259</v>
      </c>
      <c r="D2928" s="88">
        <v>6338134</v>
      </c>
      <c r="E2928" s="88" t="s">
        <v>61</v>
      </c>
      <c r="F2928" s="88">
        <v>0</v>
      </c>
      <c r="G2928" s="78">
        <f>MAX(H2928,I2928,J2928)</f>
        <v>1</v>
      </c>
      <c r="H2928" s="88"/>
      <c r="I2928" s="88"/>
      <c r="J2928" s="78">
        <f>MAX(K2928:Q2928)</f>
        <v>1</v>
      </c>
      <c r="K2928" s="88">
        <v>1</v>
      </c>
      <c r="L2928" s="88"/>
      <c r="M2928" s="88"/>
      <c r="N2928" s="88"/>
      <c r="O2928" s="88"/>
      <c r="P2928" s="88"/>
      <c r="Q2928" s="88"/>
      <c r="R2928" s="78">
        <f>MAX(S2928:W2928)</f>
        <v>0</v>
      </c>
      <c r="S2928" s="88"/>
      <c r="T2928" s="88"/>
      <c r="U2928" s="88"/>
      <c r="V2928" s="88"/>
      <c r="W2928" s="88"/>
    </row>
    <row r="2929" spans="2:23" s="0" customFormat="0" ht="15">
      <c r="B2929" s="87" t="s">
        <v>1</v>
      </c>
      <c r="C2929" s="88" t="s">
        <v>5259</v>
      </c>
      <c r="D2929" s="88" t="s">
        <v>4579</v>
      </c>
      <c r="E2929" s="88" t="s">
        <v>61</v>
      </c>
      <c r="F2929" s="88">
        <v>0</v>
      </c>
      <c r="G2929" s="78">
        <f>MAX(H2929,I2929,J2929)</f>
        <v>0</v>
      </c>
      <c r="H2929" s="88"/>
      <c r="I2929" s="88"/>
      <c r="J2929" s="78">
        <f>MAX(K2929:Q2929)</f>
        <v>0</v>
      </c>
      <c r="K2929" s="88"/>
      <c r="L2929" s="88"/>
      <c r="M2929" s="88"/>
      <c r="N2929" s="88"/>
      <c r="O2929" s="88"/>
      <c r="P2929" s="88"/>
      <c r="Q2929" s="88"/>
      <c r="R2929" s="78">
        <f>MAX(S2929:W2929)</f>
        <v>1</v>
      </c>
      <c r="S2929" s="88"/>
      <c r="T2929" s="88"/>
      <c r="U2929" s="88">
        <v>1</v>
      </c>
      <c r="V2929" s="88"/>
      <c r="W2929" s="88"/>
    </row>
    <row r="2930" spans="2:23" s="0" customFormat="0" ht="15">
      <c r="B2930" s="87" t="s">
        <v>1</v>
      </c>
      <c r="C2930" s="88" t="s">
        <v>5259</v>
      </c>
      <c r="D2930" s="88" t="s">
        <v>809</v>
      </c>
      <c r="E2930" s="88" t="s">
        <v>61</v>
      </c>
      <c r="F2930" s="88">
        <v>0</v>
      </c>
      <c r="G2930" s="78">
        <f>MAX(H2930,I2930,J2930)</f>
        <v>1</v>
      </c>
      <c r="H2930" s="88"/>
      <c r="I2930" s="88"/>
      <c r="J2930" s="78">
        <f>MAX(K2930:Q2930)</f>
        <v>1</v>
      </c>
      <c r="K2930" s="88">
        <v>1</v>
      </c>
      <c r="L2930" s="88"/>
      <c r="M2930" s="88"/>
      <c r="N2930" s="88"/>
      <c r="O2930" s="88"/>
      <c r="P2930" s="88"/>
      <c r="Q2930" s="88"/>
      <c r="R2930" s="78">
        <f>MAX(S2930:W2930)</f>
        <v>0</v>
      </c>
      <c r="S2930" s="88"/>
      <c r="T2930" s="88"/>
      <c r="U2930" s="88"/>
      <c r="V2930" s="88"/>
      <c r="W2930" s="88"/>
    </row>
    <row r="2931" spans="2:23" s="0" customFormat="0" ht="15">
      <c r="B2931" s="87" t="s">
        <v>1</v>
      </c>
      <c r="C2931" s="88" t="s">
        <v>5259</v>
      </c>
      <c r="D2931" s="88">
        <v>10318069</v>
      </c>
      <c r="E2931" s="88" t="s">
        <v>61</v>
      </c>
      <c r="F2931" s="88">
        <v>0</v>
      </c>
      <c r="G2931" s="78">
        <f>MAX(H2931,I2931,J2931)</f>
        <v>1</v>
      </c>
      <c r="H2931" s="88"/>
      <c r="I2931" s="88"/>
      <c r="J2931" s="78">
        <f>MAX(K2931:Q2931)</f>
        <v>1</v>
      </c>
      <c r="K2931" s="88">
        <v>1</v>
      </c>
      <c r="L2931" s="88"/>
      <c r="M2931" s="88"/>
      <c r="N2931" s="88"/>
      <c r="O2931" s="88"/>
      <c r="P2931" s="88"/>
      <c r="Q2931" s="88"/>
      <c r="R2931" s="78">
        <f>MAX(S2931:W2931)</f>
        <v>0</v>
      </c>
      <c r="S2931" s="88"/>
      <c r="T2931" s="88"/>
      <c r="U2931" s="88"/>
      <c r="V2931" s="88"/>
      <c r="W2931" s="88"/>
    </row>
    <row r="2932" spans="2:23" s="0" customFormat="0" ht="15">
      <c r="B2932" s="87" t="s">
        <v>1</v>
      </c>
      <c r="C2932" s="88" t="s">
        <v>5259</v>
      </c>
      <c r="D2932" s="88" t="s">
        <v>1261</v>
      </c>
      <c r="E2932" s="88" t="s">
        <v>61</v>
      </c>
      <c r="F2932" s="88">
        <v>0</v>
      </c>
      <c r="G2932" s="78">
        <f>MAX(H2932,I2932,J2932)</f>
        <v>1</v>
      </c>
      <c r="H2932" s="88"/>
      <c r="I2932" s="88"/>
      <c r="J2932" s="78">
        <f>MAX(K2932:Q2932)</f>
        <v>1</v>
      </c>
      <c r="K2932" s="88">
        <v>1</v>
      </c>
      <c r="L2932" s="88"/>
      <c r="M2932" s="88"/>
      <c r="N2932" s="88"/>
      <c r="O2932" s="88"/>
      <c r="P2932" s="88"/>
      <c r="Q2932" s="88"/>
      <c r="R2932" s="78">
        <f>MAX(S2932:W2932)</f>
        <v>0</v>
      </c>
      <c r="S2932" s="88"/>
      <c r="T2932" s="88"/>
      <c r="U2932" s="88"/>
      <c r="V2932" s="88"/>
      <c r="W2932" s="88"/>
    </row>
    <row r="2933" spans="2:23" s="0" customFormat="0" ht="15">
      <c r="B2933" s="87" t="s">
        <v>1</v>
      </c>
      <c r="C2933" s="88" t="s">
        <v>5259</v>
      </c>
      <c r="D2933" s="88">
        <v>13394878</v>
      </c>
      <c r="E2933" s="88" t="s">
        <v>61</v>
      </c>
      <c r="F2933" s="88">
        <v>0</v>
      </c>
      <c r="G2933" s="78">
        <f>MAX(H2933,I2933,J2933)</f>
        <v>1</v>
      </c>
      <c r="H2933" s="88"/>
      <c r="I2933" s="88"/>
      <c r="J2933" s="78">
        <f>MAX(K2933:Q2933)</f>
        <v>1</v>
      </c>
      <c r="K2933" s="88">
        <v>1</v>
      </c>
      <c r="L2933" s="88"/>
      <c r="M2933" s="88"/>
      <c r="N2933" s="88"/>
      <c r="O2933" s="88"/>
      <c r="P2933" s="88"/>
      <c r="Q2933" s="88"/>
      <c r="R2933" s="78">
        <f>MAX(S2933:W2933)</f>
        <v>0</v>
      </c>
      <c r="S2933" s="88"/>
      <c r="T2933" s="88"/>
      <c r="U2933" s="88"/>
      <c r="V2933" s="88"/>
      <c r="W2933" s="88"/>
    </row>
    <row r="2934" spans="2:23" s="0" customFormat="0" ht="15">
      <c r="B2934" s="87" t="s">
        <v>1</v>
      </c>
      <c r="C2934" s="88" t="s">
        <v>5259</v>
      </c>
      <c r="D2934" s="88">
        <v>2166226</v>
      </c>
      <c r="E2934" s="88" t="s">
        <v>61</v>
      </c>
      <c r="F2934" s="88">
        <v>0</v>
      </c>
      <c r="G2934" s="78">
        <f>MAX(H2934,I2934,J2934)</f>
        <v>1</v>
      </c>
      <c r="H2934" s="88"/>
      <c r="I2934" s="88"/>
      <c r="J2934" s="78">
        <f>MAX(K2934:Q2934)</f>
        <v>1</v>
      </c>
      <c r="K2934" s="88">
        <v>1</v>
      </c>
      <c r="L2934" s="88"/>
      <c r="M2934" s="88"/>
      <c r="N2934" s="88"/>
      <c r="O2934" s="88"/>
      <c r="P2934" s="88"/>
      <c r="Q2934" s="88"/>
      <c r="R2934" s="78">
        <f>MAX(S2934:W2934)</f>
        <v>0</v>
      </c>
      <c r="S2934" s="88"/>
      <c r="T2934" s="88"/>
      <c r="U2934" s="88"/>
      <c r="V2934" s="88"/>
      <c r="W2934" s="88"/>
    </row>
    <row r="2935" spans="2:23" s="0" customFormat="0" ht="15">
      <c r="B2935" s="87" t="s">
        <v>1</v>
      </c>
      <c r="C2935" s="88" t="s">
        <v>5259</v>
      </c>
      <c r="D2935" s="88">
        <v>7909091</v>
      </c>
      <c r="E2935" s="88" t="s">
        <v>61</v>
      </c>
      <c r="F2935" s="88">
        <v>0</v>
      </c>
      <c r="G2935" s="78">
        <f>MAX(H2935,I2935,J2935)</f>
        <v>0</v>
      </c>
      <c r="H2935" s="88"/>
      <c r="I2935" s="88"/>
      <c r="J2935" s="78">
        <f>MAX(K2935:Q2935)</f>
        <v>0</v>
      </c>
      <c r="K2935" s="88"/>
      <c r="L2935" s="88"/>
      <c r="M2935" s="88"/>
      <c r="N2935" s="88"/>
      <c r="O2935" s="88"/>
      <c r="P2935" s="88"/>
      <c r="Q2935" s="88"/>
      <c r="R2935" s="78">
        <f>MAX(S2935:W2935)</f>
        <v>1</v>
      </c>
      <c r="S2935" s="88"/>
      <c r="T2935" s="88"/>
      <c r="U2935" s="88">
        <v>1</v>
      </c>
      <c r="V2935" s="88"/>
      <c r="W2935" s="88"/>
    </row>
    <row r="2936" spans="2:23" s="0" customFormat="0" ht="15">
      <c r="B2936" s="87" t="s">
        <v>1</v>
      </c>
      <c r="C2936" s="88" t="s">
        <v>5259</v>
      </c>
      <c r="D2936" s="88">
        <v>22554252</v>
      </c>
      <c r="E2936" s="88" t="s">
        <v>61</v>
      </c>
      <c r="F2936" s="88">
        <v>0</v>
      </c>
      <c r="G2936" s="78">
        <f>MAX(H2936,I2936,J2936)</f>
        <v>0</v>
      </c>
      <c r="H2936" s="88"/>
      <c r="I2936" s="88"/>
      <c r="J2936" s="78">
        <f>MAX(K2936:Q2936)</f>
        <v>0</v>
      </c>
      <c r="K2936" s="88"/>
      <c r="L2936" s="88"/>
      <c r="M2936" s="88"/>
      <c r="N2936" s="88"/>
      <c r="O2936" s="88"/>
      <c r="P2936" s="88"/>
      <c r="Q2936" s="88"/>
      <c r="R2936" s="78">
        <f>MAX(S2936:W2936)</f>
        <v>1</v>
      </c>
      <c r="S2936" s="88"/>
      <c r="T2936" s="88"/>
      <c r="U2936" s="88">
        <v>1</v>
      </c>
      <c r="V2936" s="88"/>
      <c r="W2936" s="88"/>
    </row>
    <row r="2937" spans="2:23" s="0" customFormat="0" ht="15">
      <c r="B2937" s="87" t="s">
        <v>1</v>
      </c>
      <c r="C2937" s="88" t="s">
        <v>5259</v>
      </c>
      <c r="D2937" s="88">
        <v>12101483</v>
      </c>
      <c r="E2937" s="88" t="s">
        <v>61</v>
      </c>
      <c r="F2937" s="88">
        <v>0</v>
      </c>
      <c r="G2937" s="78">
        <f>MAX(H2937,I2937,J2937)</f>
        <v>1</v>
      </c>
      <c r="H2937" s="88"/>
      <c r="I2937" s="88"/>
      <c r="J2937" s="78">
        <f>MAX(K2937:Q2937)</f>
        <v>1</v>
      </c>
      <c r="K2937" s="88">
        <v>1</v>
      </c>
      <c r="L2937" s="88"/>
      <c r="M2937" s="88"/>
      <c r="N2937" s="88"/>
      <c r="O2937" s="88"/>
      <c r="P2937" s="88"/>
      <c r="Q2937" s="88"/>
      <c r="R2937" s="78">
        <f>MAX(S2937:W2937)</f>
        <v>0</v>
      </c>
      <c r="S2937" s="88"/>
      <c r="T2937" s="88"/>
      <c r="U2937" s="88"/>
      <c r="V2937" s="88"/>
      <c r="W2937" s="88"/>
    </row>
    <row r="2938" spans="2:23" s="0" customFormat="0" ht="15">
      <c r="B2938" s="87" t="s">
        <v>1</v>
      </c>
      <c r="C2938" s="88" t="s">
        <v>5259</v>
      </c>
      <c r="D2938" s="88" t="s">
        <v>3430</v>
      </c>
      <c r="E2938" s="88" t="s">
        <v>61</v>
      </c>
      <c r="F2938" s="88">
        <v>0</v>
      </c>
      <c r="G2938" s="78">
        <f>MAX(H2938,I2938,J2938)</f>
        <v>0</v>
      </c>
      <c r="H2938" s="88"/>
      <c r="I2938" s="88"/>
      <c r="J2938" s="78">
        <f>MAX(K2938:Q2938)</f>
        <v>0</v>
      </c>
      <c r="K2938" s="88"/>
      <c r="L2938" s="88"/>
      <c r="M2938" s="88"/>
      <c r="N2938" s="88"/>
      <c r="O2938" s="88"/>
      <c r="P2938" s="88"/>
      <c r="Q2938" s="88"/>
      <c r="R2938" s="78">
        <f>MAX(S2938:W2938)</f>
        <v>1</v>
      </c>
      <c r="S2938" s="88"/>
      <c r="T2938" s="88"/>
      <c r="U2938" s="88">
        <v>1</v>
      </c>
      <c r="V2938" s="88"/>
      <c r="W2938" s="88"/>
    </row>
    <row r="2939" spans="2:23" s="0" customFormat="0" ht="15">
      <c r="B2939" s="87" t="s">
        <v>1</v>
      </c>
      <c r="C2939" s="88" t="s">
        <v>5259</v>
      </c>
      <c r="D2939" s="88" t="s">
        <v>4582</v>
      </c>
      <c r="E2939" s="88" t="s">
        <v>61</v>
      </c>
      <c r="F2939" s="88">
        <v>0</v>
      </c>
      <c r="G2939" s="78">
        <f>MAX(H2939,I2939,J2939)</f>
        <v>0</v>
      </c>
      <c r="H2939" s="88"/>
      <c r="I2939" s="88"/>
      <c r="J2939" s="78">
        <f>MAX(K2939:Q2939)</f>
        <v>0</v>
      </c>
      <c r="K2939" s="88"/>
      <c r="L2939" s="88"/>
      <c r="M2939" s="88"/>
      <c r="N2939" s="88"/>
      <c r="O2939" s="88"/>
      <c r="P2939" s="88"/>
      <c r="Q2939" s="88"/>
      <c r="R2939" s="78">
        <f>MAX(S2939:W2939)</f>
        <v>1</v>
      </c>
      <c r="S2939" s="88"/>
      <c r="T2939" s="88"/>
      <c r="U2939" s="88">
        <v>1</v>
      </c>
      <c r="V2939" s="88"/>
      <c r="W2939" s="88"/>
    </row>
    <row r="2940" spans="2:23" s="0" customFormat="0" ht="15">
      <c r="B2940" s="87" t="s">
        <v>1</v>
      </c>
      <c r="C2940" s="88" t="s">
        <v>5259</v>
      </c>
      <c r="D2940" s="88">
        <v>14805194</v>
      </c>
      <c r="E2940" s="88" t="s">
        <v>61</v>
      </c>
      <c r="F2940" s="88">
        <v>0</v>
      </c>
      <c r="G2940" s="78">
        <f>MAX(H2940,I2940,J2940)</f>
        <v>1</v>
      </c>
      <c r="H2940" s="88"/>
      <c r="I2940" s="88"/>
      <c r="J2940" s="78">
        <f>MAX(K2940:Q2940)</f>
        <v>1</v>
      </c>
      <c r="K2940" s="88">
        <v>1</v>
      </c>
      <c r="L2940" s="88"/>
      <c r="M2940" s="88"/>
      <c r="N2940" s="88"/>
      <c r="O2940" s="88"/>
      <c r="P2940" s="88"/>
      <c r="Q2940" s="88"/>
      <c r="R2940" s="78">
        <f>MAX(S2940:W2940)</f>
        <v>0</v>
      </c>
      <c r="S2940" s="88"/>
      <c r="T2940" s="88"/>
      <c r="U2940" s="88"/>
      <c r="V2940" s="88"/>
      <c r="W2940" s="88"/>
    </row>
    <row r="2941" spans="2:23" s="0" customFormat="0" ht="15">
      <c r="B2941" s="87" t="s">
        <v>1</v>
      </c>
      <c r="C2941" s="88" t="s">
        <v>5259</v>
      </c>
      <c r="D2941" s="88" t="s">
        <v>4584</v>
      </c>
      <c r="E2941" s="88" t="s">
        <v>61</v>
      </c>
      <c r="F2941" s="88">
        <v>0</v>
      </c>
      <c r="G2941" s="78">
        <f>MAX(H2941,I2941,J2941)</f>
        <v>0</v>
      </c>
      <c r="H2941" s="88"/>
      <c r="I2941" s="88"/>
      <c r="J2941" s="78">
        <f>MAX(K2941:Q2941)</f>
        <v>0</v>
      </c>
      <c r="K2941" s="88"/>
      <c r="L2941" s="88"/>
      <c r="M2941" s="88"/>
      <c r="N2941" s="88"/>
      <c r="O2941" s="88"/>
      <c r="P2941" s="88"/>
      <c r="Q2941" s="88"/>
      <c r="R2941" s="78">
        <f>MAX(S2941:W2941)</f>
        <v>1</v>
      </c>
      <c r="S2941" s="88"/>
      <c r="T2941" s="88"/>
      <c r="U2941" s="88">
        <v>1</v>
      </c>
      <c r="V2941" s="88"/>
      <c r="W2941" s="88"/>
    </row>
    <row r="2942" spans="2:23" s="0" customFormat="0" ht="15">
      <c r="B2942" s="87" t="s">
        <v>1</v>
      </c>
      <c r="C2942" s="88" t="s">
        <v>5259</v>
      </c>
      <c r="D2942" s="88">
        <v>22554454</v>
      </c>
      <c r="E2942" s="88" t="s">
        <v>61</v>
      </c>
      <c r="F2942" s="88">
        <v>0</v>
      </c>
      <c r="G2942" s="78">
        <f>MAX(H2942,I2942,J2942)</f>
        <v>0</v>
      </c>
      <c r="H2942" s="88"/>
      <c r="I2942" s="88"/>
      <c r="J2942" s="78">
        <f>MAX(K2942:Q2942)</f>
        <v>0</v>
      </c>
      <c r="K2942" s="88"/>
      <c r="L2942" s="88"/>
      <c r="M2942" s="88"/>
      <c r="N2942" s="88"/>
      <c r="O2942" s="88"/>
      <c r="P2942" s="88"/>
      <c r="Q2942" s="88"/>
      <c r="R2942" s="78">
        <f>MAX(S2942:W2942)</f>
        <v>1</v>
      </c>
      <c r="S2942" s="88"/>
      <c r="T2942" s="88"/>
      <c r="U2942" s="88">
        <v>1</v>
      </c>
      <c r="V2942" s="88"/>
      <c r="W2942" s="88"/>
    </row>
    <row r="2943" spans="2:23" s="0" customFormat="0" ht="15">
      <c r="B2943" s="87" t="s">
        <v>1</v>
      </c>
      <c r="C2943" s="88" t="s">
        <v>5259</v>
      </c>
      <c r="D2943" s="88">
        <v>22125349</v>
      </c>
      <c r="E2943" s="88" t="s">
        <v>61</v>
      </c>
      <c r="F2943" s="88">
        <v>0</v>
      </c>
      <c r="G2943" s="78">
        <f>MAX(H2943,I2943,J2943)</f>
        <v>1</v>
      </c>
      <c r="H2943" s="88"/>
      <c r="I2943" s="88"/>
      <c r="J2943" s="78">
        <f>MAX(K2943:Q2943)</f>
        <v>1</v>
      </c>
      <c r="K2943" s="88">
        <v>1</v>
      </c>
      <c r="L2943" s="88"/>
      <c r="M2943" s="88"/>
      <c r="N2943" s="88"/>
      <c r="O2943" s="88"/>
      <c r="P2943" s="88"/>
      <c r="Q2943" s="88"/>
      <c r="R2943" s="78">
        <f>MAX(S2943:W2943)</f>
        <v>0</v>
      </c>
      <c r="S2943" s="88"/>
      <c r="T2943" s="88"/>
      <c r="U2943" s="88"/>
      <c r="V2943" s="88"/>
      <c r="W2943" s="88"/>
    </row>
    <row r="2944" spans="2:23" s="0" customFormat="0" ht="15">
      <c r="B2944" s="87" t="s">
        <v>1</v>
      </c>
      <c r="C2944" s="88" t="s">
        <v>5259</v>
      </c>
      <c r="D2944" s="88">
        <v>17020835</v>
      </c>
      <c r="E2944" s="88" t="s">
        <v>61</v>
      </c>
      <c r="F2944" s="88">
        <v>0</v>
      </c>
      <c r="G2944" s="78">
        <f>MAX(H2944,I2944,J2944)</f>
        <v>1</v>
      </c>
      <c r="H2944" s="88"/>
      <c r="I2944" s="88"/>
      <c r="J2944" s="78">
        <f>MAX(K2944:Q2944)</f>
        <v>1</v>
      </c>
      <c r="K2944" s="88">
        <v>1</v>
      </c>
      <c r="L2944" s="88"/>
      <c r="M2944" s="88"/>
      <c r="N2944" s="88"/>
      <c r="O2944" s="88"/>
      <c r="P2944" s="88"/>
      <c r="Q2944" s="88"/>
      <c r="R2944" s="78">
        <f>MAX(S2944:W2944)</f>
        <v>0</v>
      </c>
      <c r="S2944" s="88"/>
      <c r="T2944" s="88"/>
      <c r="U2944" s="88"/>
      <c r="V2944" s="88"/>
      <c r="W2944" s="88"/>
    </row>
    <row r="2945" spans="2:23" s="0" customFormat="0" ht="15">
      <c r="B2945" s="87" t="s">
        <v>1</v>
      </c>
      <c r="C2945" s="88" t="s">
        <v>5259</v>
      </c>
      <c r="D2945" s="88" t="s">
        <v>2029</v>
      </c>
      <c r="E2945" s="88" t="s">
        <v>61</v>
      </c>
      <c r="F2945" s="88">
        <v>0</v>
      </c>
      <c r="G2945" s="78">
        <f>MAX(H2945,I2945,J2945)</f>
        <v>1</v>
      </c>
      <c r="H2945" s="88"/>
      <c r="I2945" s="88"/>
      <c r="J2945" s="78">
        <f>MAX(K2945:Q2945)</f>
        <v>1</v>
      </c>
      <c r="K2945" s="88">
        <v>1</v>
      </c>
      <c r="L2945" s="88"/>
      <c r="M2945" s="88"/>
      <c r="N2945" s="88"/>
      <c r="O2945" s="88"/>
      <c r="P2945" s="88"/>
      <c r="Q2945" s="88"/>
      <c r="R2945" s="78">
        <f>MAX(S2945:W2945)</f>
        <v>0</v>
      </c>
      <c r="S2945" s="88"/>
      <c r="T2945" s="88"/>
      <c r="U2945" s="88"/>
      <c r="V2945" s="88"/>
      <c r="W2945" s="88"/>
    </row>
    <row r="2946" spans="2:23" s="0" customFormat="0" ht="15">
      <c r="B2946" s="87" t="s">
        <v>1</v>
      </c>
      <c r="C2946" s="88" t="s">
        <v>5259</v>
      </c>
      <c r="D2946" s="88">
        <v>19573516</v>
      </c>
      <c r="E2946" s="88" t="s">
        <v>61</v>
      </c>
      <c r="F2946" s="88">
        <v>0</v>
      </c>
      <c r="G2946" s="78">
        <f>MAX(H2946,I2946,J2946)</f>
        <v>1</v>
      </c>
      <c r="H2946" s="88"/>
      <c r="I2946" s="88"/>
      <c r="J2946" s="78">
        <f>MAX(K2946:Q2946)</f>
        <v>1</v>
      </c>
      <c r="K2946" s="88">
        <v>1</v>
      </c>
      <c r="L2946" s="88"/>
      <c r="M2946" s="88"/>
      <c r="N2946" s="88"/>
      <c r="O2946" s="88"/>
      <c r="P2946" s="88"/>
      <c r="Q2946" s="88"/>
      <c r="R2946" s="78">
        <f>MAX(S2946:W2946)</f>
        <v>0</v>
      </c>
      <c r="S2946" s="88"/>
      <c r="T2946" s="88"/>
      <c r="U2946" s="88"/>
      <c r="V2946" s="88"/>
      <c r="W2946" s="88"/>
    </row>
    <row r="2947" spans="2:23" s="0" customFormat="0" ht="15">
      <c r="B2947" s="87" t="s">
        <v>1</v>
      </c>
      <c r="C2947" s="88" t="s">
        <v>5259</v>
      </c>
      <c r="D2947" s="88" t="s">
        <v>328</v>
      </c>
      <c r="E2947" s="88" t="s">
        <v>61</v>
      </c>
      <c r="F2947" s="88">
        <v>0</v>
      </c>
      <c r="G2947" s="78">
        <f>MAX(H2947,I2947,J2947)</f>
        <v>1</v>
      </c>
      <c r="H2947" s="88"/>
      <c r="I2947" s="88"/>
      <c r="J2947" s="78">
        <f>MAX(K2947:Q2947)</f>
        <v>1</v>
      </c>
      <c r="K2947" s="88">
        <v>1</v>
      </c>
      <c r="L2947" s="88"/>
      <c r="M2947" s="88"/>
      <c r="N2947" s="88"/>
      <c r="O2947" s="88"/>
      <c r="P2947" s="88"/>
      <c r="Q2947" s="88"/>
      <c r="R2947" s="78">
        <f>MAX(S2947:W2947)</f>
        <v>0</v>
      </c>
      <c r="S2947" s="88"/>
      <c r="T2947" s="88"/>
      <c r="U2947" s="88"/>
      <c r="V2947" s="88"/>
      <c r="W2947" s="88"/>
    </row>
    <row r="2948" spans="2:23" s="0" customFormat="0" ht="15">
      <c r="B2948" s="87" t="s">
        <v>1</v>
      </c>
      <c r="C2948" s="88" t="s">
        <v>5259</v>
      </c>
      <c r="D2948" s="88">
        <v>16952847</v>
      </c>
      <c r="E2948" s="88" t="s">
        <v>61</v>
      </c>
      <c r="F2948" s="88">
        <v>0</v>
      </c>
      <c r="G2948" s="78">
        <f>MAX(H2948,I2948,J2948)</f>
        <v>1</v>
      </c>
      <c r="H2948" s="88"/>
      <c r="I2948" s="88"/>
      <c r="J2948" s="78">
        <f>MAX(K2948:Q2948)</f>
        <v>1</v>
      </c>
      <c r="K2948" s="88">
        <v>1</v>
      </c>
      <c r="L2948" s="88"/>
      <c r="M2948" s="88"/>
      <c r="N2948" s="88"/>
      <c r="O2948" s="88"/>
      <c r="P2948" s="88"/>
      <c r="Q2948" s="88"/>
      <c r="R2948" s="78">
        <f>MAX(S2948:W2948)</f>
        <v>0</v>
      </c>
      <c r="S2948" s="88"/>
      <c r="T2948" s="88"/>
      <c r="U2948" s="88"/>
      <c r="V2948" s="88"/>
      <c r="W2948" s="88"/>
    </row>
    <row r="2949" spans="2:23" s="0" customFormat="0" ht="15">
      <c r="B2949" s="87" t="s">
        <v>1</v>
      </c>
      <c r="C2949" s="88" t="s">
        <v>5259</v>
      </c>
      <c r="D2949" s="88">
        <v>22554344</v>
      </c>
      <c r="E2949" s="88" t="s">
        <v>61</v>
      </c>
      <c r="F2949" s="88">
        <v>0</v>
      </c>
      <c r="G2949" s="78">
        <f>MAX(H2949,I2949,J2949)</f>
        <v>0</v>
      </c>
      <c r="H2949" s="88"/>
      <c r="I2949" s="88"/>
      <c r="J2949" s="78">
        <f>MAX(K2949:Q2949)</f>
        <v>0</v>
      </c>
      <c r="K2949" s="88"/>
      <c r="L2949" s="88"/>
      <c r="M2949" s="88"/>
      <c r="N2949" s="88"/>
      <c r="O2949" s="88"/>
      <c r="P2949" s="88"/>
      <c r="Q2949" s="88"/>
      <c r="R2949" s="78">
        <f>MAX(S2949:W2949)</f>
        <v>1</v>
      </c>
      <c r="S2949" s="88"/>
      <c r="T2949" s="88"/>
      <c r="U2949" s="88">
        <v>1</v>
      </c>
      <c r="V2949" s="88"/>
      <c r="W2949" s="88"/>
    </row>
    <row r="2950" spans="2:23" s="0" customFormat="0" ht="15">
      <c r="B2950" s="87" t="s">
        <v>1</v>
      </c>
      <c r="C2950" s="88" t="s">
        <v>5259</v>
      </c>
      <c r="D2950" s="88">
        <v>203287</v>
      </c>
      <c r="E2950" s="88" t="s">
        <v>61</v>
      </c>
      <c r="F2950" s="88">
        <v>0</v>
      </c>
      <c r="G2950" s="78">
        <f>MAX(H2950,I2950,J2950)</f>
        <v>1</v>
      </c>
      <c r="H2950" s="88"/>
      <c r="I2950" s="88"/>
      <c r="J2950" s="78">
        <f>MAX(K2950:Q2950)</f>
        <v>1</v>
      </c>
      <c r="K2950" s="88">
        <v>1</v>
      </c>
      <c r="L2950" s="88"/>
      <c r="M2950" s="88"/>
      <c r="N2950" s="88"/>
      <c r="O2950" s="88"/>
      <c r="P2950" s="88"/>
      <c r="Q2950" s="88"/>
      <c r="R2950" s="78">
        <f>MAX(S2950:W2950)</f>
        <v>0</v>
      </c>
      <c r="S2950" s="88"/>
      <c r="T2950" s="88"/>
      <c r="U2950" s="88"/>
      <c r="V2950" s="88"/>
      <c r="W2950" s="88"/>
    </row>
    <row r="2951" spans="2:23" s="0" customFormat="0" ht="15">
      <c r="B2951" s="87" t="s">
        <v>1</v>
      </c>
      <c r="C2951" s="88" t="s">
        <v>5259</v>
      </c>
      <c r="D2951" s="88">
        <v>5348488</v>
      </c>
      <c r="E2951" s="88" t="s">
        <v>61</v>
      </c>
      <c r="F2951" s="88">
        <v>0</v>
      </c>
      <c r="G2951" s="78">
        <f>MAX(H2951,I2951,J2951)</f>
        <v>1</v>
      </c>
      <c r="H2951" s="88"/>
      <c r="I2951" s="88"/>
      <c r="J2951" s="78">
        <f>MAX(K2951:Q2951)</f>
        <v>1</v>
      </c>
      <c r="K2951" s="88">
        <v>1</v>
      </c>
      <c r="L2951" s="88"/>
      <c r="M2951" s="88"/>
      <c r="N2951" s="88"/>
      <c r="O2951" s="88"/>
      <c r="P2951" s="88"/>
      <c r="Q2951" s="88"/>
      <c r="R2951" s="78">
        <f>MAX(S2951:W2951)</f>
        <v>0</v>
      </c>
      <c r="S2951" s="88"/>
      <c r="T2951" s="88"/>
      <c r="U2951" s="88"/>
      <c r="V2951" s="88"/>
      <c r="W2951" s="88"/>
    </row>
    <row r="2952" spans="2:23" s="0" customFormat="0" ht="15">
      <c r="B2952" s="87" t="s">
        <v>1</v>
      </c>
      <c r="C2952" s="88" t="s">
        <v>5259</v>
      </c>
      <c r="D2952" s="88">
        <v>10591784</v>
      </c>
      <c r="E2952" s="88" t="s">
        <v>61</v>
      </c>
      <c r="F2952" s="88">
        <v>0</v>
      </c>
      <c r="G2952" s="78">
        <f>MAX(H2952,I2952,J2952)</f>
        <v>1</v>
      </c>
      <c r="H2952" s="88"/>
      <c r="I2952" s="88"/>
      <c r="J2952" s="78">
        <f>MAX(K2952:Q2952)</f>
        <v>1</v>
      </c>
      <c r="K2952" s="88">
        <v>1</v>
      </c>
      <c r="L2952" s="88"/>
      <c r="M2952" s="88"/>
      <c r="N2952" s="88"/>
      <c r="O2952" s="88"/>
      <c r="P2952" s="88"/>
      <c r="Q2952" s="88"/>
      <c r="R2952" s="78">
        <f>MAX(S2952:W2952)</f>
        <v>0</v>
      </c>
      <c r="S2952" s="88"/>
      <c r="T2952" s="88"/>
      <c r="U2952" s="88"/>
      <c r="V2952" s="88"/>
      <c r="W2952" s="88"/>
    </row>
    <row r="2953" spans="2:23" s="0" customFormat="0" ht="15">
      <c r="B2953" s="87" t="s">
        <v>1</v>
      </c>
      <c r="C2953" s="88" t="s">
        <v>5259</v>
      </c>
      <c r="D2953" s="88" t="s">
        <v>4588</v>
      </c>
      <c r="E2953" s="88" t="s">
        <v>61</v>
      </c>
      <c r="F2953" s="88">
        <v>0</v>
      </c>
      <c r="G2953" s="78">
        <f>MAX(H2953,I2953,J2953)</f>
        <v>0</v>
      </c>
      <c r="H2953" s="88"/>
      <c r="I2953" s="88"/>
      <c r="J2953" s="78">
        <f>MAX(K2953:Q2953)</f>
        <v>0</v>
      </c>
      <c r="K2953" s="88"/>
      <c r="L2953" s="88"/>
      <c r="M2953" s="88"/>
      <c r="N2953" s="88"/>
      <c r="O2953" s="88"/>
      <c r="P2953" s="88"/>
      <c r="Q2953" s="88"/>
      <c r="R2953" s="78">
        <f>MAX(S2953:W2953)</f>
        <v>1</v>
      </c>
      <c r="S2953" s="88"/>
      <c r="T2953" s="88"/>
      <c r="U2953" s="88">
        <v>1</v>
      </c>
      <c r="V2953" s="88"/>
      <c r="W2953" s="88"/>
    </row>
    <row r="2954" spans="2:23" s="0" customFormat="0" ht="15">
      <c r="B2954" s="87" t="s">
        <v>1</v>
      </c>
      <c r="C2954" s="88" t="s">
        <v>5259</v>
      </c>
      <c r="D2954" s="88" t="s">
        <v>4590</v>
      </c>
      <c r="E2954" s="88" t="s">
        <v>61</v>
      </c>
      <c r="F2954" s="88">
        <v>0</v>
      </c>
      <c r="G2954" s="78">
        <f>MAX(H2954,I2954,J2954)</f>
        <v>0</v>
      </c>
      <c r="H2954" s="88"/>
      <c r="I2954" s="88"/>
      <c r="J2954" s="78">
        <f>MAX(K2954:Q2954)</f>
        <v>0</v>
      </c>
      <c r="K2954" s="88"/>
      <c r="L2954" s="88"/>
      <c r="M2954" s="88"/>
      <c r="N2954" s="88"/>
      <c r="O2954" s="88"/>
      <c r="P2954" s="88"/>
      <c r="Q2954" s="88"/>
      <c r="R2954" s="78">
        <f>MAX(S2954:W2954)</f>
        <v>1</v>
      </c>
      <c r="S2954" s="88"/>
      <c r="T2954" s="88"/>
      <c r="U2954" s="88">
        <v>1</v>
      </c>
      <c r="V2954" s="88"/>
      <c r="W2954" s="88"/>
    </row>
    <row r="2955" spans="2:23" s="0" customFormat="0" ht="15">
      <c r="B2955" s="87" t="s">
        <v>1</v>
      </c>
      <c r="C2955" s="88" t="s">
        <v>5259</v>
      </c>
      <c r="D2955" s="88">
        <v>16113933</v>
      </c>
      <c r="E2955" s="88" t="s">
        <v>61</v>
      </c>
      <c r="F2955" s="88">
        <v>0</v>
      </c>
      <c r="G2955" s="78">
        <f>MAX(H2955,I2955,J2955)</f>
        <v>1</v>
      </c>
      <c r="H2955" s="88"/>
      <c r="I2955" s="88"/>
      <c r="J2955" s="78">
        <f>MAX(K2955:Q2955)</f>
        <v>1</v>
      </c>
      <c r="K2955" s="88">
        <v>1</v>
      </c>
      <c r="L2955" s="88"/>
      <c r="M2955" s="88"/>
      <c r="N2955" s="88"/>
      <c r="O2955" s="88"/>
      <c r="P2955" s="88"/>
      <c r="Q2955" s="88"/>
      <c r="R2955" s="78">
        <f>MAX(S2955:W2955)</f>
        <v>0</v>
      </c>
      <c r="S2955" s="88"/>
      <c r="T2955" s="88"/>
      <c r="U2955" s="88"/>
      <c r="V2955" s="88"/>
      <c r="W2955" s="88"/>
    </row>
    <row r="2956" spans="2:23" s="0" customFormat="0" ht="15">
      <c r="B2956" s="87" t="s">
        <v>1</v>
      </c>
      <c r="C2956" s="88" t="s">
        <v>5259</v>
      </c>
      <c r="D2956" s="88" t="s">
        <v>1893</v>
      </c>
      <c r="E2956" s="88" t="s">
        <v>61</v>
      </c>
      <c r="F2956" s="88">
        <v>0</v>
      </c>
      <c r="G2956" s="78">
        <f>MAX(H2956,I2956,J2956)</f>
        <v>1</v>
      </c>
      <c r="H2956" s="88"/>
      <c r="I2956" s="88"/>
      <c r="J2956" s="78">
        <f>MAX(K2956:Q2956)</f>
        <v>1</v>
      </c>
      <c r="K2956" s="88">
        <v>1</v>
      </c>
      <c r="L2956" s="88"/>
      <c r="M2956" s="88"/>
      <c r="N2956" s="88"/>
      <c r="O2956" s="88"/>
      <c r="P2956" s="88"/>
      <c r="Q2956" s="88"/>
      <c r="R2956" s="78">
        <f>MAX(S2956:W2956)</f>
        <v>0</v>
      </c>
      <c r="S2956" s="88"/>
      <c r="T2956" s="88"/>
      <c r="U2956" s="88"/>
      <c r="V2956" s="88"/>
      <c r="W2956" s="88"/>
    </row>
    <row r="2957" spans="2:23" s="0" customFormat="0" ht="15">
      <c r="B2957" s="87" t="s">
        <v>1</v>
      </c>
      <c r="C2957" s="88" t="s">
        <v>5259</v>
      </c>
      <c r="D2957" s="88">
        <v>17633389</v>
      </c>
      <c r="E2957" s="88" t="s">
        <v>61</v>
      </c>
      <c r="F2957" s="88">
        <v>0</v>
      </c>
      <c r="G2957" s="78">
        <f>MAX(H2957,I2957,J2957)</f>
        <v>1</v>
      </c>
      <c r="H2957" s="88"/>
      <c r="I2957" s="88"/>
      <c r="J2957" s="78">
        <f>MAX(K2957:Q2957)</f>
        <v>1</v>
      </c>
      <c r="K2957" s="88">
        <v>1</v>
      </c>
      <c r="L2957" s="88"/>
      <c r="M2957" s="88"/>
      <c r="N2957" s="88"/>
      <c r="O2957" s="88"/>
      <c r="P2957" s="88"/>
      <c r="Q2957" s="88"/>
      <c r="R2957" s="78">
        <f>MAX(S2957:W2957)</f>
        <v>0</v>
      </c>
      <c r="S2957" s="88"/>
      <c r="T2957" s="88"/>
      <c r="U2957" s="88"/>
      <c r="V2957" s="88"/>
      <c r="W2957" s="88"/>
    </row>
    <row r="2958" spans="2:23" s="0" customFormat="0" ht="15">
      <c r="B2958" s="87" t="s">
        <v>1</v>
      </c>
      <c r="C2958" s="88" t="s">
        <v>5259</v>
      </c>
      <c r="D2958" s="88" t="s">
        <v>2035</v>
      </c>
      <c r="E2958" s="88" t="s">
        <v>61</v>
      </c>
      <c r="F2958" s="88">
        <v>0</v>
      </c>
      <c r="G2958" s="78">
        <f>MAX(H2958,I2958,J2958)</f>
        <v>1</v>
      </c>
      <c r="H2958" s="88"/>
      <c r="I2958" s="88"/>
      <c r="J2958" s="78">
        <f>MAX(K2958:Q2958)</f>
        <v>1</v>
      </c>
      <c r="K2958" s="88">
        <v>1</v>
      </c>
      <c r="L2958" s="88"/>
      <c r="M2958" s="88"/>
      <c r="N2958" s="88"/>
      <c r="O2958" s="88"/>
      <c r="P2958" s="88"/>
      <c r="Q2958" s="88"/>
      <c r="R2958" s="78">
        <f>MAX(S2958:W2958)</f>
        <v>0</v>
      </c>
      <c r="S2958" s="88"/>
      <c r="T2958" s="88"/>
      <c r="U2958" s="88"/>
      <c r="V2958" s="88"/>
      <c r="W2958" s="88"/>
    </row>
    <row r="2959" spans="2:23" s="0" customFormat="0" ht="15">
      <c r="B2959" s="87" t="s">
        <v>1</v>
      </c>
      <c r="C2959" s="88" t="s">
        <v>5259</v>
      </c>
      <c r="D2959" s="88">
        <v>22554268</v>
      </c>
      <c r="E2959" s="88" t="s">
        <v>61</v>
      </c>
      <c r="F2959" s="88">
        <v>0</v>
      </c>
      <c r="G2959" s="78">
        <f>MAX(H2959,I2959,J2959)</f>
        <v>0</v>
      </c>
      <c r="H2959" s="88"/>
      <c r="I2959" s="88"/>
      <c r="J2959" s="78">
        <f>MAX(K2959:Q2959)</f>
        <v>0</v>
      </c>
      <c r="K2959" s="88"/>
      <c r="L2959" s="88"/>
      <c r="M2959" s="88"/>
      <c r="N2959" s="88"/>
      <c r="O2959" s="88"/>
      <c r="P2959" s="88"/>
      <c r="Q2959" s="88"/>
      <c r="R2959" s="78">
        <f>MAX(S2959:W2959)</f>
        <v>1</v>
      </c>
      <c r="S2959" s="88"/>
      <c r="T2959" s="88"/>
      <c r="U2959" s="88">
        <v>1</v>
      </c>
      <c r="V2959" s="88"/>
      <c r="W2959" s="88"/>
    </row>
    <row r="2960" spans="2:23" s="0" customFormat="0" ht="15">
      <c r="B2960" s="87" t="s">
        <v>1</v>
      </c>
      <c r="C2960" s="88" t="s">
        <v>5259</v>
      </c>
      <c r="D2960" s="88">
        <v>20903489</v>
      </c>
      <c r="E2960" s="88" t="s">
        <v>61</v>
      </c>
      <c r="F2960" s="88">
        <v>0</v>
      </c>
      <c r="G2960" s="78">
        <f>MAX(H2960,I2960,J2960)</f>
        <v>1</v>
      </c>
      <c r="H2960" s="88"/>
      <c r="I2960" s="88"/>
      <c r="J2960" s="78">
        <f>MAX(K2960:Q2960)</f>
        <v>1</v>
      </c>
      <c r="K2960" s="88">
        <v>1</v>
      </c>
      <c r="L2960" s="88"/>
      <c r="M2960" s="88"/>
      <c r="N2960" s="88"/>
      <c r="O2960" s="88"/>
      <c r="P2960" s="88"/>
      <c r="Q2960" s="88"/>
      <c r="R2960" s="78">
        <f>MAX(S2960:W2960)</f>
        <v>0</v>
      </c>
      <c r="S2960" s="88"/>
      <c r="T2960" s="88"/>
      <c r="U2960" s="88"/>
      <c r="V2960" s="88"/>
      <c r="W2960" s="88"/>
    </row>
    <row r="2961" spans="2:23" s="0" customFormat="0" ht="15">
      <c r="B2961" s="87" t="s">
        <v>1</v>
      </c>
      <c r="C2961" s="88" t="s">
        <v>5259</v>
      </c>
      <c r="D2961" s="88">
        <v>9870815</v>
      </c>
      <c r="E2961" s="88" t="s">
        <v>61</v>
      </c>
      <c r="F2961" s="88">
        <v>0</v>
      </c>
      <c r="G2961" s="78">
        <f>MAX(H2961,I2961,J2961)</f>
        <v>1</v>
      </c>
      <c r="H2961" s="88"/>
      <c r="I2961" s="88"/>
      <c r="J2961" s="78">
        <f>MAX(K2961:Q2961)</f>
        <v>1</v>
      </c>
      <c r="K2961" s="88">
        <v>1</v>
      </c>
      <c r="L2961" s="88"/>
      <c r="M2961" s="88"/>
      <c r="N2961" s="88"/>
      <c r="O2961" s="88"/>
      <c r="P2961" s="88"/>
      <c r="Q2961" s="88"/>
      <c r="R2961" s="78">
        <f>MAX(S2961:W2961)</f>
        <v>0</v>
      </c>
      <c r="S2961" s="88"/>
      <c r="T2961" s="88"/>
      <c r="U2961" s="88"/>
      <c r="V2961" s="88"/>
      <c r="W2961" s="88"/>
    </row>
    <row r="2962" spans="2:23" s="0" customFormat="0" ht="15">
      <c r="B2962" s="87" t="s">
        <v>1</v>
      </c>
      <c r="C2962" s="88" t="s">
        <v>5259</v>
      </c>
      <c r="D2962" s="88">
        <v>22554189</v>
      </c>
      <c r="E2962" s="88" t="s">
        <v>61</v>
      </c>
      <c r="F2962" s="88">
        <v>0</v>
      </c>
      <c r="G2962" s="78">
        <f>MAX(H2962,I2962,J2962)</f>
        <v>0</v>
      </c>
      <c r="H2962" s="88"/>
      <c r="I2962" s="88"/>
      <c r="J2962" s="78">
        <f>MAX(K2962:Q2962)</f>
        <v>0</v>
      </c>
      <c r="K2962" s="88"/>
      <c r="L2962" s="88"/>
      <c r="M2962" s="88"/>
      <c r="N2962" s="88"/>
      <c r="O2962" s="88"/>
      <c r="P2962" s="88"/>
      <c r="Q2962" s="88"/>
      <c r="R2962" s="78">
        <f>MAX(S2962:W2962)</f>
        <v>1</v>
      </c>
      <c r="S2962" s="88"/>
      <c r="T2962" s="88"/>
      <c r="U2962" s="88">
        <v>1</v>
      </c>
      <c r="V2962" s="88"/>
      <c r="W2962" s="88"/>
    </row>
    <row r="2963" spans="2:23" s="0" customFormat="0" ht="15">
      <c r="B2963" s="87" t="s">
        <v>1</v>
      </c>
      <c r="C2963" s="88" t="s">
        <v>5259</v>
      </c>
      <c r="D2963" s="88" t="s">
        <v>2039</v>
      </c>
      <c r="E2963" s="88" t="s">
        <v>61</v>
      </c>
      <c r="F2963" s="88">
        <v>0</v>
      </c>
      <c r="G2963" s="78">
        <f>MAX(H2963,I2963,J2963)</f>
        <v>1</v>
      </c>
      <c r="H2963" s="88"/>
      <c r="I2963" s="88"/>
      <c r="J2963" s="78">
        <f>MAX(K2963:Q2963)</f>
        <v>1</v>
      </c>
      <c r="K2963" s="88">
        <v>1</v>
      </c>
      <c r="L2963" s="88"/>
      <c r="M2963" s="88"/>
      <c r="N2963" s="88"/>
      <c r="O2963" s="88"/>
      <c r="P2963" s="88"/>
      <c r="Q2963" s="88"/>
      <c r="R2963" s="78">
        <f>MAX(S2963:W2963)</f>
        <v>0</v>
      </c>
      <c r="S2963" s="88"/>
      <c r="T2963" s="88"/>
      <c r="U2963" s="88"/>
      <c r="V2963" s="88"/>
      <c r="W2963" s="88"/>
    </row>
    <row r="2964" spans="2:23" s="0" customFormat="0" ht="15">
      <c r="B2964" s="87" t="s">
        <v>1</v>
      </c>
      <c r="C2964" s="88" t="s">
        <v>5259</v>
      </c>
      <c r="D2964" s="88">
        <v>18126165</v>
      </c>
      <c r="E2964" s="88" t="s">
        <v>61</v>
      </c>
      <c r="F2964" s="88">
        <v>0</v>
      </c>
      <c r="G2964" s="78">
        <f>MAX(H2964,I2964,J2964)</f>
        <v>1</v>
      </c>
      <c r="H2964" s="88"/>
      <c r="I2964" s="88"/>
      <c r="J2964" s="78">
        <f>MAX(K2964:Q2964)</f>
        <v>1</v>
      </c>
      <c r="K2964" s="88">
        <v>1</v>
      </c>
      <c r="L2964" s="88"/>
      <c r="M2964" s="88"/>
      <c r="N2964" s="88"/>
      <c r="O2964" s="88"/>
      <c r="P2964" s="88"/>
      <c r="Q2964" s="88"/>
      <c r="R2964" s="78">
        <f>MAX(S2964:W2964)</f>
        <v>0</v>
      </c>
      <c r="S2964" s="88"/>
      <c r="T2964" s="88"/>
      <c r="U2964" s="88"/>
      <c r="V2964" s="88"/>
      <c r="W2964" s="88"/>
    </row>
    <row r="2965" spans="2:23" s="0" customFormat="0" ht="15">
      <c r="B2965" s="87" t="s">
        <v>1</v>
      </c>
      <c r="C2965" s="88" t="s">
        <v>5259</v>
      </c>
      <c r="D2965" s="88">
        <v>20541270</v>
      </c>
      <c r="E2965" s="88" t="s">
        <v>61</v>
      </c>
      <c r="F2965" s="88">
        <v>0</v>
      </c>
      <c r="G2965" s="78">
        <f>MAX(H2965,I2965,J2965)</f>
        <v>1</v>
      </c>
      <c r="H2965" s="88"/>
      <c r="I2965" s="88"/>
      <c r="J2965" s="78">
        <f>MAX(K2965:Q2965)</f>
        <v>1</v>
      </c>
      <c r="K2965" s="88">
        <v>1</v>
      </c>
      <c r="L2965" s="88"/>
      <c r="M2965" s="88"/>
      <c r="N2965" s="88"/>
      <c r="O2965" s="88"/>
      <c r="P2965" s="88"/>
      <c r="Q2965" s="88"/>
      <c r="R2965" s="78">
        <f>MAX(S2965:W2965)</f>
        <v>0</v>
      </c>
      <c r="S2965" s="88"/>
      <c r="T2965" s="88"/>
      <c r="U2965" s="88"/>
      <c r="V2965" s="88"/>
      <c r="W2965" s="88"/>
    </row>
    <row r="2966" spans="2:23" s="0" customFormat="0" ht="15">
      <c r="B2966" s="87" t="s">
        <v>1</v>
      </c>
      <c r="C2966" s="88" t="s">
        <v>5259</v>
      </c>
      <c r="D2966" s="88">
        <v>8439558</v>
      </c>
      <c r="E2966" s="88" t="s">
        <v>61</v>
      </c>
      <c r="F2966" s="88">
        <v>0</v>
      </c>
      <c r="G2966" s="78">
        <f>MAX(H2966,I2966,J2966)</f>
        <v>1</v>
      </c>
      <c r="H2966" s="88"/>
      <c r="I2966" s="88"/>
      <c r="J2966" s="78">
        <f>MAX(K2966:Q2966)</f>
        <v>1</v>
      </c>
      <c r="K2966" s="88">
        <v>1</v>
      </c>
      <c r="L2966" s="88"/>
      <c r="M2966" s="88"/>
      <c r="N2966" s="88"/>
      <c r="O2966" s="88"/>
      <c r="P2966" s="88"/>
      <c r="Q2966" s="88"/>
      <c r="R2966" s="78">
        <f>MAX(S2966:W2966)</f>
        <v>0</v>
      </c>
      <c r="S2966" s="88"/>
      <c r="T2966" s="88"/>
      <c r="U2966" s="88"/>
      <c r="V2966" s="88"/>
      <c r="W2966" s="88"/>
    </row>
    <row r="2967" spans="2:23" s="0" customFormat="0" ht="15">
      <c r="B2967" s="87" t="s">
        <v>1</v>
      </c>
      <c r="C2967" s="88" t="s">
        <v>5259</v>
      </c>
      <c r="D2967" s="88">
        <v>12754691</v>
      </c>
      <c r="E2967" s="88" t="s">
        <v>61</v>
      </c>
      <c r="F2967" s="88">
        <v>0</v>
      </c>
      <c r="G2967" s="78">
        <f>MAX(H2967,I2967,J2967)</f>
        <v>1</v>
      </c>
      <c r="H2967" s="88"/>
      <c r="I2967" s="88"/>
      <c r="J2967" s="78">
        <f>MAX(K2967:Q2967)</f>
        <v>1</v>
      </c>
      <c r="K2967" s="88">
        <v>1</v>
      </c>
      <c r="L2967" s="88"/>
      <c r="M2967" s="88"/>
      <c r="N2967" s="88"/>
      <c r="O2967" s="88"/>
      <c r="P2967" s="88"/>
      <c r="Q2967" s="88"/>
      <c r="R2967" s="78">
        <f>MAX(S2967:W2967)</f>
        <v>0</v>
      </c>
      <c r="S2967" s="88"/>
      <c r="T2967" s="88"/>
      <c r="U2967" s="88"/>
      <c r="V2967" s="88"/>
      <c r="W2967" s="88"/>
    </row>
    <row r="2968" spans="2:23" s="0" customFormat="0" ht="15">
      <c r="B2968" s="87" t="s">
        <v>1</v>
      </c>
      <c r="C2968" s="88" t="s">
        <v>5259</v>
      </c>
      <c r="D2968" s="88">
        <v>478090</v>
      </c>
      <c r="E2968" s="88" t="s">
        <v>61</v>
      </c>
      <c r="F2968" s="88">
        <v>0</v>
      </c>
      <c r="G2968" s="78">
        <f>MAX(H2968,I2968,J2968)</f>
        <v>1</v>
      </c>
      <c r="H2968" s="88"/>
      <c r="I2968" s="88"/>
      <c r="J2968" s="78">
        <f>MAX(K2968:Q2968)</f>
        <v>1</v>
      </c>
      <c r="K2968" s="88">
        <v>1</v>
      </c>
      <c r="L2968" s="88"/>
      <c r="M2968" s="88"/>
      <c r="N2968" s="88"/>
      <c r="O2968" s="88"/>
      <c r="P2968" s="88"/>
      <c r="Q2968" s="88"/>
      <c r="R2968" s="78">
        <f>MAX(S2968:W2968)</f>
        <v>0</v>
      </c>
      <c r="S2968" s="88"/>
      <c r="T2968" s="88"/>
      <c r="U2968" s="88"/>
      <c r="V2968" s="88"/>
      <c r="W2968" s="88"/>
    </row>
    <row r="2969" spans="2:23" s="0" customFormat="0" ht="15">
      <c r="B2969" s="87" t="s">
        <v>1</v>
      </c>
      <c r="C2969" s="88" t="s">
        <v>5259</v>
      </c>
      <c r="D2969" s="88">
        <v>11798507</v>
      </c>
      <c r="E2969" s="88" t="s">
        <v>61</v>
      </c>
      <c r="F2969" s="88">
        <v>0</v>
      </c>
      <c r="G2969" s="78">
        <f>MAX(H2969,I2969,J2969)</f>
        <v>1</v>
      </c>
      <c r="H2969" s="88"/>
      <c r="I2969" s="88"/>
      <c r="J2969" s="78">
        <f>MAX(K2969:Q2969)</f>
        <v>1</v>
      </c>
      <c r="K2969" s="88">
        <v>1</v>
      </c>
      <c r="L2969" s="88"/>
      <c r="M2969" s="88"/>
      <c r="N2969" s="88"/>
      <c r="O2969" s="88"/>
      <c r="P2969" s="88"/>
      <c r="Q2969" s="88"/>
      <c r="R2969" s="78">
        <f>MAX(S2969:W2969)</f>
        <v>0</v>
      </c>
      <c r="S2969" s="88"/>
      <c r="T2969" s="88"/>
      <c r="U2969" s="88"/>
      <c r="V2969" s="88"/>
      <c r="W2969" s="88"/>
    </row>
    <row r="2970" spans="2:23" s="0" customFormat="0" ht="15">
      <c r="B2970" s="87" t="s">
        <v>1</v>
      </c>
      <c r="C2970" s="88" t="s">
        <v>5259</v>
      </c>
      <c r="D2970" s="88" t="s">
        <v>2044</v>
      </c>
      <c r="E2970" s="88" t="s">
        <v>61</v>
      </c>
      <c r="F2970" s="88">
        <v>0</v>
      </c>
      <c r="G2970" s="78">
        <f>MAX(H2970,I2970,J2970)</f>
        <v>1</v>
      </c>
      <c r="H2970" s="88"/>
      <c r="I2970" s="88"/>
      <c r="J2970" s="78">
        <f>MAX(K2970:Q2970)</f>
        <v>1</v>
      </c>
      <c r="K2970" s="88">
        <v>1</v>
      </c>
      <c r="L2970" s="88"/>
      <c r="M2970" s="88"/>
      <c r="N2970" s="88"/>
      <c r="O2970" s="88"/>
      <c r="P2970" s="88"/>
      <c r="Q2970" s="88"/>
      <c r="R2970" s="78">
        <f>MAX(S2970:W2970)</f>
        <v>0</v>
      </c>
      <c r="S2970" s="88"/>
      <c r="T2970" s="88"/>
      <c r="U2970" s="88"/>
      <c r="V2970" s="88"/>
      <c r="W2970" s="88"/>
    </row>
    <row r="2971" spans="2:23" s="0" customFormat="0" ht="15">
      <c r="B2971" s="87" t="s">
        <v>1</v>
      </c>
      <c r="C2971" s="88" t="s">
        <v>5259</v>
      </c>
      <c r="D2971" s="88">
        <v>12077023</v>
      </c>
      <c r="E2971" s="88" t="s">
        <v>61</v>
      </c>
      <c r="F2971" s="88">
        <v>0</v>
      </c>
      <c r="G2971" s="78">
        <f>MAX(H2971,I2971,J2971)</f>
        <v>1</v>
      </c>
      <c r="H2971" s="88"/>
      <c r="I2971" s="88"/>
      <c r="J2971" s="78">
        <f>MAX(K2971:Q2971)</f>
        <v>1</v>
      </c>
      <c r="K2971" s="88"/>
      <c r="L2971" s="88">
        <v>1</v>
      </c>
      <c r="M2971" s="88"/>
      <c r="N2971" s="88"/>
      <c r="O2971" s="88"/>
      <c r="P2971" s="88"/>
      <c r="Q2971" s="88"/>
      <c r="R2971" s="78">
        <f>MAX(S2971:W2971)</f>
        <v>0</v>
      </c>
      <c r="S2971" s="88"/>
      <c r="T2971" s="88"/>
      <c r="U2971" s="88"/>
      <c r="V2971" s="88"/>
      <c r="W2971" s="88"/>
    </row>
    <row r="2972" spans="2:23" s="0" customFormat="0" ht="15">
      <c r="B2972" s="87" t="s">
        <v>1</v>
      </c>
      <c r="C2972" s="88" t="s">
        <v>5259</v>
      </c>
      <c r="D2972" s="88" t="s">
        <v>4594</v>
      </c>
      <c r="E2972" s="88" t="s">
        <v>61</v>
      </c>
      <c r="F2972" s="88">
        <v>0</v>
      </c>
      <c r="G2972" s="78">
        <f>MAX(H2972,I2972,J2972)</f>
        <v>0</v>
      </c>
      <c r="H2972" s="88"/>
      <c r="I2972" s="88"/>
      <c r="J2972" s="78">
        <f>MAX(K2972:Q2972)</f>
        <v>0</v>
      </c>
      <c r="K2972" s="88"/>
      <c r="L2972" s="88"/>
      <c r="M2972" s="88"/>
      <c r="N2972" s="88"/>
      <c r="O2972" s="88"/>
      <c r="P2972" s="88"/>
      <c r="Q2972" s="88"/>
      <c r="R2972" s="78">
        <f>MAX(S2972:W2972)</f>
        <v>1</v>
      </c>
      <c r="S2972" s="88"/>
      <c r="T2972" s="88"/>
      <c r="U2972" s="88">
        <v>1</v>
      </c>
      <c r="V2972" s="88"/>
      <c r="W2972" s="88"/>
    </row>
    <row r="2973" spans="2:23" s="0" customFormat="0" ht="15">
      <c r="B2973" s="87" t="s">
        <v>1</v>
      </c>
      <c r="C2973" s="88" t="s">
        <v>5259</v>
      </c>
      <c r="D2973" s="88" t="s">
        <v>3296</v>
      </c>
      <c r="E2973" s="88" t="s">
        <v>61</v>
      </c>
      <c r="F2973" s="88">
        <v>0</v>
      </c>
      <c r="G2973" s="78">
        <f>MAX(H2973,I2973,J2973)</f>
        <v>0</v>
      </c>
      <c r="H2973" s="88"/>
      <c r="I2973" s="88"/>
      <c r="J2973" s="78">
        <f>MAX(K2973:Q2973)</f>
        <v>0</v>
      </c>
      <c r="K2973" s="88"/>
      <c r="L2973" s="88"/>
      <c r="M2973" s="88"/>
      <c r="N2973" s="88"/>
      <c r="O2973" s="88"/>
      <c r="P2973" s="88"/>
      <c r="Q2973" s="88"/>
      <c r="R2973" s="78">
        <f>MAX(S2973:W2973)</f>
        <v>1</v>
      </c>
      <c r="S2973" s="88"/>
      <c r="T2973" s="88"/>
      <c r="U2973" s="88">
        <v>1</v>
      </c>
      <c r="V2973" s="88"/>
      <c r="W2973" s="88"/>
    </row>
    <row r="2974" spans="2:23" s="0" customFormat="0" ht="15">
      <c r="B2974" s="87" t="s">
        <v>1</v>
      </c>
      <c r="C2974" s="88" t="s">
        <v>5259</v>
      </c>
      <c r="D2974" s="88" t="s">
        <v>1389</v>
      </c>
      <c r="E2974" s="88" t="s">
        <v>61</v>
      </c>
      <c r="F2974" s="88">
        <v>0</v>
      </c>
      <c r="G2974" s="78">
        <f>MAX(H2974,I2974,J2974)</f>
        <v>1</v>
      </c>
      <c r="H2974" s="88"/>
      <c r="I2974" s="88"/>
      <c r="J2974" s="78">
        <f>MAX(K2974:Q2974)</f>
        <v>1</v>
      </c>
      <c r="K2974" s="88">
        <v>1</v>
      </c>
      <c r="L2974" s="88"/>
      <c r="M2974" s="88"/>
      <c r="N2974" s="88"/>
      <c r="O2974" s="88"/>
      <c r="P2974" s="88"/>
      <c r="Q2974" s="88"/>
      <c r="R2974" s="78">
        <f>MAX(S2974:W2974)</f>
        <v>0</v>
      </c>
      <c r="S2974" s="88"/>
      <c r="T2974" s="88"/>
      <c r="U2974" s="88"/>
      <c r="V2974" s="88"/>
      <c r="W2974" s="88"/>
    </row>
    <row r="2975" spans="2:23" s="0" customFormat="0" ht="15">
      <c r="B2975" s="87" t="s">
        <v>1</v>
      </c>
      <c r="C2975" s="88" t="s">
        <v>5259</v>
      </c>
      <c r="D2975" s="88">
        <v>1551570</v>
      </c>
      <c r="E2975" s="88" t="s">
        <v>61</v>
      </c>
      <c r="F2975" s="88">
        <v>0</v>
      </c>
      <c r="G2975" s="78">
        <f>MAX(H2975,I2975,J2975)</f>
        <v>0</v>
      </c>
      <c r="H2975" s="88"/>
      <c r="I2975" s="88"/>
      <c r="J2975" s="78">
        <f>MAX(K2975:Q2975)</f>
        <v>0</v>
      </c>
      <c r="K2975" s="88"/>
      <c r="L2975" s="88"/>
      <c r="M2975" s="88"/>
      <c r="N2975" s="88"/>
      <c r="O2975" s="88"/>
      <c r="P2975" s="88"/>
      <c r="Q2975" s="88"/>
      <c r="R2975" s="78">
        <f>MAX(S2975:W2975)</f>
        <v>1</v>
      </c>
      <c r="S2975" s="88"/>
      <c r="T2975" s="88"/>
      <c r="U2975" s="88">
        <v>1</v>
      </c>
      <c r="V2975" s="88"/>
      <c r="W2975" s="88"/>
    </row>
    <row r="2976" spans="2:23" s="0" customFormat="0" ht="15">
      <c r="B2976" s="87" t="s">
        <v>1</v>
      </c>
      <c r="C2976" s="88" t="s">
        <v>5259</v>
      </c>
      <c r="D2976" s="88">
        <v>2672799</v>
      </c>
      <c r="E2976" s="88" t="s">
        <v>61</v>
      </c>
      <c r="F2976" s="88">
        <v>0</v>
      </c>
      <c r="G2976" s="78">
        <f>MAX(H2976,I2976,J2976)</f>
        <v>1</v>
      </c>
      <c r="H2976" s="88"/>
      <c r="I2976" s="88"/>
      <c r="J2976" s="78">
        <f>MAX(K2976:Q2976)</f>
        <v>1</v>
      </c>
      <c r="K2976" s="88">
        <v>1</v>
      </c>
      <c r="L2976" s="88"/>
      <c r="M2976" s="88"/>
      <c r="N2976" s="88"/>
      <c r="O2976" s="88"/>
      <c r="P2976" s="88"/>
      <c r="Q2976" s="88"/>
      <c r="R2976" s="78">
        <f>MAX(S2976:W2976)</f>
        <v>0</v>
      </c>
      <c r="S2976" s="88"/>
      <c r="T2976" s="88"/>
      <c r="U2976" s="88"/>
      <c r="V2976" s="88"/>
      <c r="W2976" s="88"/>
    </row>
    <row r="2977" spans="2:23" s="0" customFormat="0" ht="15">
      <c r="B2977" s="87" t="s">
        <v>1</v>
      </c>
      <c r="C2977" s="88" t="s">
        <v>5259</v>
      </c>
      <c r="D2977" s="88">
        <v>7135731</v>
      </c>
      <c r="E2977" s="88" t="s">
        <v>61</v>
      </c>
      <c r="F2977" s="88">
        <v>0</v>
      </c>
      <c r="G2977" s="78">
        <f>MAX(H2977,I2977,J2977)</f>
        <v>0</v>
      </c>
      <c r="H2977" s="88"/>
      <c r="I2977" s="88"/>
      <c r="J2977" s="78">
        <f>MAX(K2977:Q2977)</f>
        <v>0</v>
      </c>
      <c r="K2977" s="88"/>
      <c r="L2977" s="88"/>
      <c r="M2977" s="88"/>
      <c r="N2977" s="88"/>
      <c r="O2977" s="88"/>
      <c r="P2977" s="88"/>
      <c r="Q2977" s="88"/>
      <c r="R2977" s="78">
        <f>MAX(S2977:W2977)</f>
        <v>1</v>
      </c>
      <c r="S2977" s="88"/>
      <c r="T2977" s="88"/>
      <c r="U2977" s="88">
        <v>1</v>
      </c>
      <c r="V2977" s="88"/>
      <c r="W2977" s="88"/>
    </row>
    <row r="2978" spans="2:23" s="0" customFormat="0" ht="15">
      <c r="B2978" s="87" t="s">
        <v>1</v>
      </c>
      <c r="C2978" s="88" t="s">
        <v>5259</v>
      </c>
      <c r="D2978" s="88" t="s">
        <v>4550</v>
      </c>
      <c r="E2978" s="88" t="s">
        <v>61</v>
      </c>
      <c r="F2978" s="88">
        <v>0</v>
      </c>
      <c r="G2978" s="78">
        <f>MAX(H2978,I2978,J2978)</f>
        <v>0</v>
      </c>
      <c r="H2978" s="88"/>
      <c r="I2978" s="88"/>
      <c r="J2978" s="78">
        <f>MAX(K2978:Q2978)</f>
        <v>0</v>
      </c>
      <c r="K2978" s="88"/>
      <c r="L2978" s="88"/>
      <c r="M2978" s="88"/>
      <c r="N2978" s="88"/>
      <c r="O2978" s="88"/>
      <c r="P2978" s="88"/>
      <c r="Q2978" s="88"/>
      <c r="R2978" s="78">
        <f>MAX(S2978:W2978)</f>
        <v>1</v>
      </c>
      <c r="S2978" s="88"/>
      <c r="T2978" s="88"/>
      <c r="U2978" s="88">
        <v>1</v>
      </c>
      <c r="V2978" s="88"/>
      <c r="W2978" s="88"/>
    </row>
    <row r="2979" spans="2:23" s="0" customFormat="0" ht="15">
      <c r="B2979" s="87" t="s">
        <v>1</v>
      </c>
      <c r="C2979" s="88" t="s">
        <v>5259</v>
      </c>
      <c r="D2979" s="88" t="s">
        <v>4596</v>
      </c>
      <c r="E2979" s="88" t="s">
        <v>61</v>
      </c>
      <c r="F2979" s="88">
        <v>0</v>
      </c>
      <c r="G2979" s="78">
        <f>MAX(H2979,I2979,J2979)</f>
        <v>0</v>
      </c>
      <c r="H2979" s="88"/>
      <c r="I2979" s="88"/>
      <c r="J2979" s="78">
        <f>MAX(K2979:Q2979)</f>
        <v>0</v>
      </c>
      <c r="K2979" s="88"/>
      <c r="L2979" s="88"/>
      <c r="M2979" s="88"/>
      <c r="N2979" s="88"/>
      <c r="O2979" s="88"/>
      <c r="P2979" s="88"/>
      <c r="Q2979" s="88"/>
      <c r="R2979" s="78">
        <f>MAX(S2979:W2979)</f>
        <v>1</v>
      </c>
      <c r="S2979" s="88"/>
      <c r="T2979" s="88"/>
      <c r="U2979" s="88">
        <v>1</v>
      </c>
      <c r="V2979" s="88"/>
      <c r="W2979" s="88"/>
    </row>
    <row r="2980" spans="2:23" s="0" customFormat="0" ht="15">
      <c r="B2980" s="87" t="s">
        <v>1</v>
      </c>
      <c r="C2980" s="88" t="s">
        <v>5259</v>
      </c>
      <c r="D2980" s="88" t="s">
        <v>1474</v>
      </c>
      <c r="E2980" s="88" t="s">
        <v>61</v>
      </c>
      <c r="F2980" s="88">
        <v>0</v>
      </c>
      <c r="G2980" s="78">
        <f>MAX(H2980,I2980,J2980)</f>
        <v>1</v>
      </c>
      <c r="H2980" s="88"/>
      <c r="I2980" s="88"/>
      <c r="J2980" s="78">
        <f>MAX(K2980:Q2980)</f>
        <v>1</v>
      </c>
      <c r="K2980" s="88">
        <v>1</v>
      </c>
      <c r="L2980" s="88"/>
      <c r="M2980" s="88"/>
      <c r="N2980" s="88"/>
      <c r="O2980" s="88"/>
      <c r="P2980" s="88"/>
      <c r="Q2980" s="88"/>
      <c r="R2980" s="78">
        <f>MAX(S2980:W2980)</f>
        <v>0</v>
      </c>
      <c r="S2980" s="88"/>
      <c r="T2980" s="88"/>
      <c r="U2980" s="88"/>
      <c r="V2980" s="88"/>
      <c r="W2980" s="88"/>
    </row>
    <row r="2981" spans="2:23" s="0" customFormat="0" ht="15">
      <c r="B2981" s="87" t="s">
        <v>1</v>
      </c>
      <c r="C2981" s="88" t="s">
        <v>5259</v>
      </c>
      <c r="D2981" s="88" t="s">
        <v>2046</v>
      </c>
      <c r="E2981" s="88" t="s">
        <v>61</v>
      </c>
      <c r="F2981" s="88">
        <v>0</v>
      </c>
      <c r="G2981" s="78">
        <f>MAX(H2981,I2981,J2981)</f>
        <v>1</v>
      </c>
      <c r="H2981" s="88"/>
      <c r="I2981" s="88"/>
      <c r="J2981" s="78">
        <f>MAX(K2981:Q2981)</f>
        <v>1</v>
      </c>
      <c r="K2981" s="88">
        <v>1</v>
      </c>
      <c r="L2981" s="88"/>
      <c r="M2981" s="88"/>
      <c r="N2981" s="88"/>
      <c r="O2981" s="88"/>
      <c r="P2981" s="88"/>
      <c r="Q2981" s="88"/>
      <c r="R2981" s="78">
        <f>MAX(S2981:W2981)</f>
        <v>0</v>
      </c>
      <c r="S2981" s="88"/>
      <c r="T2981" s="88"/>
      <c r="U2981" s="88"/>
      <c r="V2981" s="88"/>
      <c r="W2981" s="88"/>
    </row>
    <row r="2982" spans="2:23" s="0" customFormat="0" ht="15">
      <c r="B2982" s="87" t="s">
        <v>1</v>
      </c>
      <c r="C2982" s="88" t="s">
        <v>5259</v>
      </c>
      <c r="D2982" s="88">
        <v>22554265</v>
      </c>
      <c r="E2982" s="88" t="s">
        <v>61</v>
      </c>
      <c r="F2982" s="88">
        <v>0</v>
      </c>
      <c r="G2982" s="78">
        <f>MAX(H2982,I2982,J2982)</f>
        <v>0</v>
      </c>
      <c r="H2982" s="88"/>
      <c r="I2982" s="88"/>
      <c r="J2982" s="78">
        <f>MAX(K2982:Q2982)</f>
        <v>0</v>
      </c>
      <c r="K2982" s="88"/>
      <c r="L2982" s="88"/>
      <c r="M2982" s="88"/>
      <c r="N2982" s="88"/>
      <c r="O2982" s="88"/>
      <c r="P2982" s="88"/>
      <c r="Q2982" s="88"/>
      <c r="R2982" s="78">
        <f>MAX(S2982:W2982)</f>
        <v>1</v>
      </c>
      <c r="S2982" s="88"/>
      <c r="T2982" s="88"/>
      <c r="U2982" s="88">
        <v>1</v>
      </c>
      <c r="V2982" s="88"/>
      <c r="W2982" s="88"/>
    </row>
    <row r="2983" spans="2:23" s="0" customFormat="0" ht="15">
      <c r="B2983" s="87" t="s">
        <v>1</v>
      </c>
      <c r="C2983" s="88" t="s">
        <v>5259</v>
      </c>
      <c r="D2983" s="88">
        <v>18714148</v>
      </c>
      <c r="E2983" s="88" t="s">
        <v>61</v>
      </c>
      <c r="F2983" s="88">
        <v>0</v>
      </c>
      <c r="G2983" s="78">
        <f>MAX(H2983,I2983,J2983)</f>
        <v>1</v>
      </c>
      <c r="H2983" s="88"/>
      <c r="I2983" s="88"/>
      <c r="J2983" s="78">
        <f>MAX(K2983:Q2983)</f>
        <v>1</v>
      </c>
      <c r="K2983" s="88">
        <v>1</v>
      </c>
      <c r="L2983" s="88"/>
      <c r="M2983" s="88"/>
      <c r="N2983" s="88"/>
      <c r="O2983" s="88"/>
      <c r="P2983" s="88"/>
      <c r="Q2983" s="88"/>
      <c r="R2983" s="78">
        <f>MAX(S2983:W2983)</f>
        <v>0</v>
      </c>
      <c r="S2983" s="88"/>
      <c r="T2983" s="88"/>
      <c r="U2983" s="88"/>
      <c r="V2983" s="88"/>
      <c r="W2983" s="88"/>
    </row>
    <row r="2984" spans="2:23" s="0" customFormat="0" ht="15">
      <c r="B2984" s="87" t="s">
        <v>1</v>
      </c>
      <c r="C2984" s="88" t="s">
        <v>5259</v>
      </c>
      <c r="D2984" s="88">
        <v>21989831</v>
      </c>
      <c r="E2984" s="88" t="s">
        <v>61</v>
      </c>
      <c r="F2984" s="88">
        <v>0</v>
      </c>
      <c r="G2984" s="78">
        <f>MAX(H2984,I2984,J2984)</f>
        <v>1</v>
      </c>
      <c r="H2984" s="88"/>
      <c r="I2984" s="88"/>
      <c r="J2984" s="78">
        <f>MAX(K2984:Q2984)</f>
        <v>1</v>
      </c>
      <c r="K2984" s="88">
        <v>1</v>
      </c>
      <c r="L2984" s="88"/>
      <c r="M2984" s="88"/>
      <c r="N2984" s="88"/>
      <c r="O2984" s="88"/>
      <c r="P2984" s="88"/>
      <c r="Q2984" s="88"/>
      <c r="R2984" s="78">
        <f>MAX(S2984:W2984)</f>
        <v>0</v>
      </c>
      <c r="S2984" s="88"/>
      <c r="T2984" s="88"/>
      <c r="U2984" s="88"/>
      <c r="V2984" s="88"/>
      <c r="W2984" s="88"/>
    </row>
    <row r="2985" spans="2:23" s="0" customFormat="0" ht="15">
      <c r="B2985" s="87" t="s">
        <v>1</v>
      </c>
      <c r="C2985" s="88" t="s">
        <v>5259</v>
      </c>
      <c r="D2985" s="88">
        <v>19686832</v>
      </c>
      <c r="E2985" s="88" t="s">
        <v>61</v>
      </c>
      <c r="F2985" s="88">
        <v>0</v>
      </c>
      <c r="G2985" s="78">
        <f>MAX(H2985,I2985,J2985)</f>
        <v>1</v>
      </c>
      <c r="H2985" s="88"/>
      <c r="I2985" s="88"/>
      <c r="J2985" s="78">
        <f>MAX(K2985:Q2985)</f>
        <v>1</v>
      </c>
      <c r="K2985" s="88">
        <v>1</v>
      </c>
      <c r="L2985" s="88"/>
      <c r="M2985" s="88"/>
      <c r="N2985" s="88"/>
      <c r="O2985" s="88"/>
      <c r="P2985" s="88"/>
      <c r="Q2985" s="88"/>
      <c r="R2985" s="78">
        <f>MAX(S2985:W2985)</f>
        <v>0</v>
      </c>
      <c r="S2985" s="88"/>
      <c r="T2985" s="88"/>
      <c r="U2985" s="88"/>
      <c r="V2985" s="88"/>
      <c r="W2985" s="88"/>
    </row>
    <row r="2986" spans="2:23" s="0" customFormat="0" ht="15">
      <c r="B2986" s="87" t="s">
        <v>1</v>
      </c>
      <c r="C2986" s="88" t="s">
        <v>5259</v>
      </c>
      <c r="D2986" s="88" t="s">
        <v>1994</v>
      </c>
      <c r="E2986" s="88" t="s">
        <v>61</v>
      </c>
      <c r="F2986" s="88">
        <v>0</v>
      </c>
      <c r="G2986" s="78">
        <f>MAX(H2986,I2986,J2986)</f>
        <v>1</v>
      </c>
      <c r="H2986" s="88"/>
      <c r="I2986" s="88"/>
      <c r="J2986" s="78">
        <f>MAX(K2986:Q2986)</f>
        <v>1</v>
      </c>
      <c r="K2986" s="88">
        <v>1</v>
      </c>
      <c r="L2986" s="88"/>
      <c r="M2986" s="88"/>
      <c r="N2986" s="88"/>
      <c r="O2986" s="88"/>
      <c r="P2986" s="88"/>
      <c r="Q2986" s="88"/>
      <c r="R2986" s="78">
        <f>MAX(S2986:W2986)</f>
        <v>0</v>
      </c>
      <c r="S2986" s="88"/>
      <c r="T2986" s="88"/>
      <c r="U2986" s="88"/>
      <c r="V2986" s="88"/>
      <c r="W2986" s="88"/>
    </row>
    <row r="2987" spans="2:23" s="0" customFormat="0" ht="15">
      <c r="B2987" s="87" t="s">
        <v>1</v>
      </c>
      <c r="C2987" s="88" t="s">
        <v>5259</v>
      </c>
      <c r="D2987" s="88">
        <v>12606277</v>
      </c>
      <c r="E2987" s="88" t="s">
        <v>61</v>
      </c>
      <c r="F2987" s="88">
        <v>0</v>
      </c>
      <c r="G2987" s="78">
        <f>MAX(H2987,I2987,J2987)</f>
        <v>1</v>
      </c>
      <c r="H2987" s="88"/>
      <c r="I2987" s="88"/>
      <c r="J2987" s="78">
        <f>MAX(K2987:Q2987)</f>
        <v>1</v>
      </c>
      <c r="K2987" s="88">
        <v>1</v>
      </c>
      <c r="L2987" s="88"/>
      <c r="M2987" s="88"/>
      <c r="N2987" s="88"/>
      <c r="O2987" s="88"/>
      <c r="P2987" s="88"/>
      <c r="Q2987" s="88"/>
      <c r="R2987" s="78">
        <f>MAX(S2987:W2987)</f>
        <v>0</v>
      </c>
      <c r="S2987" s="88"/>
      <c r="T2987" s="88"/>
      <c r="U2987" s="88"/>
      <c r="V2987" s="88"/>
      <c r="W2987" s="88"/>
    </row>
    <row r="2988" spans="2:23" s="0" customFormat="0" ht="15">
      <c r="B2988" s="87" t="s">
        <v>1</v>
      </c>
      <c r="C2988" s="88" t="s">
        <v>5259</v>
      </c>
      <c r="D2988" s="88">
        <v>20904646</v>
      </c>
      <c r="E2988" s="88" t="s">
        <v>61</v>
      </c>
      <c r="F2988" s="88">
        <v>0</v>
      </c>
      <c r="G2988" s="78">
        <f>MAX(H2988,I2988,J2988)</f>
        <v>1</v>
      </c>
      <c r="H2988" s="88"/>
      <c r="I2988" s="88"/>
      <c r="J2988" s="78">
        <f>MAX(K2988:Q2988)</f>
        <v>1</v>
      </c>
      <c r="K2988" s="88">
        <v>1</v>
      </c>
      <c r="L2988" s="88"/>
      <c r="M2988" s="88"/>
      <c r="N2988" s="88"/>
      <c r="O2988" s="88"/>
      <c r="P2988" s="88"/>
      <c r="Q2988" s="88"/>
      <c r="R2988" s="78">
        <f>MAX(S2988:W2988)</f>
        <v>0</v>
      </c>
      <c r="S2988" s="88"/>
      <c r="T2988" s="88"/>
      <c r="U2988" s="88"/>
      <c r="V2988" s="88"/>
      <c r="W2988" s="88"/>
    </row>
    <row r="2989" spans="2:23" s="0" customFormat="0" ht="15">
      <c r="B2989" s="87" t="s">
        <v>1</v>
      </c>
      <c r="C2989" s="88" t="s">
        <v>5259</v>
      </c>
      <c r="D2989" s="88">
        <v>21004751</v>
      </c>
      <c r="E2989" s="88" t="s">
        <v>61</v>
      </c>
      <c r="F2989" s="88">
        <v>0</v>
      </c>
      <c r="G2989" s="78">
        <f>MAX(H2989,I2989,J2989)</f>
        <v>1</v>
      </c>
      <c r="H2989" s="88"/>
      <c r="I2989" s="88"/>
      <c r="J2989" s="78">
        <f>MAX(K2989:Q2989)</f>
        <v>1</v>
      </c>
      <c r="K2989" s="88">
        <v>1</v>
      </c>
      <c r="L2989" s="88"/>
      <c r="M2989" s="88"/>
      <c r="N2989" s="88"/>
      <c r="O2989" s="88"/>
      <c r="P2989" s="88"/>
      <c r="Q2989" s="88"/>
      <c r="R2989" s="78">
        <f>MAX(S2989:W2989)</f>
        <v>0</v>
      </c>
      <c r="S2989" s="88"/>
      <c r="T2989" s="88"/>
      <c r="U2989" s="88"/>
      <c r="V2989" s="88"/>
      <c r="W2989" s="88"/>
    </row>
    <row r="2990" spans="2:23" s="0" customFormat="0" ht="15">
      <c r="B2990" s="87" t="s">
        <v>1</v>
      </c>
      <c r="C2990" s="88" t="s">
        <v>5259</v>
      </c>
      <c r="D2990" s="88" t="s">
        <v>3551</v>
      </c>
      <c r="E2990" s="88" t="s">
        <v>61</v>
      </c>
      <c r="F2990" s="88">
        <v>0</v>
      </c>
      <c r="G2990" s="78">
        <f>MAX(H2990,I2990,J2990)</f>
        <v>0</v>
      </c>
      <c r="H2990" s="88"/>
      <c r="I2990" s="88"/>
      <c r="J2990" s="78">
        <f>MAX(K2990:Q2990)</f>
        <v>0</v>
      </c>
      <c r="K2990" s="88"/>
      <c r="L2990" s="88"/>
      <c r="M2990" s="88"/>
      <c r="N2990" s="88"/>
      <c r="O2990" s="88"/>
      <c r="P2990" s="88"/>
      <c r="Q2990" s="88"/>
      <c r="R2990" s="78">
        <f>MAX(S2990:W2990)</f>
        <v>1</v>
      </c>
      <c r="S2990" s="88"/>
      <c r="T2990" s="88"/>
      <c r="U2990" s="88">
        <v>1</v>
      </c>
      <c r="V2990" s="88"/>
      <c r="W2990" s="88"/>
    </row>
    <row r="2991" spans="2:23" s="0" customFormat="0" ht="15">
      <c r="B2991" s="87" t="s">
        <v>1</v>
      </c>
      <c r="C2991" s="88" t="s">
        <v>5259</v>
      </c>
      <c r="D2991" s="88">
        <v>1667976</v>
      </c>
      <c r="E2991" s="88" t="s">
        <v>61</v>
      </c>
      <c r="F2991" s="88">
        <v>0</v>
      </c>
      <c r="G2991" s="78">
        <f>MAX(H2991,I2991,J2991)</f>
        <v>1</v>
      </c>
      <c r="H2991" s="88"/>
      <c r="I2991" s="88"/>
      <c r="J2991" s="78">
        <f>MAX(K2991:Q2991)</f>
        <v>1</v>
      </c>
      <c r="K2991" s="88">
        <v>1</v>
      </c>
      <c r="L2991" s="88"/>
      <c r="M2991" s="88"/>
      <c r="N2991" s="88"/>
      <c r="O2991" s="88"/>
      <c r="P2991" s="88"/>
      <c r="Q2991" s="88"/>
      <c r="R2991" s="78">
        <f>MAX(S2991:W2991)</f>
        <v>0</v>
      </c>
      <c r="S2991" s="88"/>
      <c r="T2991" s="88"/>
      <c r="U2991" s="88"/>
      <c r="V2991" s="88"/>
      <c r="W2991" s="88"/>
    </row>
    <row r="2992" spans="2:23" s="0" customFormat="0" ht="15">
      <c r="B2992" s="87" t="s">
        <v>1</v>
      </c>
      <c r="C2992" s="88" t="s">
        <v>5259</v>
      </c>
      <c r="D2992" s="88">
        <v>5408779</v>
      </c>
      <c r="E2992" s="88" t="s">
        <v>61</v>
      </c>
      <c r="F2992" s="88">
        <v>0</v>
      </c>
      <c r="G2992" s="78">
        <f>MAX(H2992,I2992,J2992)</f>
        <v>1</v>
      </c>
      <c r="H2992" s="88"/>
      <c r="I2992" s="88"/>
      <c r="J2992" s="78">
        <f>MAX(K2992:Q2992)</f>
        <v>1</v>
      </c>
      <c r="K2992" s="88">
        <v>1</v>
      </c>
      <c r="L2992" s="88"/>
      <c r="M2992" s="88"/>
      <c r="N2992" s="88"/>
      <c r="O2992" s="88"/>
      <c r="P2992" s="88"/>
      <c r="Q2992" s="88"/>
      <c r="R2992" s="78">
        <f>MAX(S2992:W2992)</f>
        <v>0</v>
      </c>
      <c r="S2992" s="88"/>
      <c r="T2992" s="88"/>
      <c r="U2992" s="88"/>
      <c r="V2992" s="88"/>
      <c r="W2992" s="88"/>
    </row>
    <row r="2993" spans="2:23" s="0" customFormat="0" ht="15">
      <c r="B2993" s="87" t="s">
        <v>1</v>
      </c>
      <c r="C2993" s="88" t="s">
        <v>5259</v>
      </c>
      <c r="D2993" s="88" t="s">
        <v>4598</v>
      </c>
      <c r="E2993" s="88" t="s">
        <v>61</v>
      </c>
      <c r="F2993" s="88">
        <v>0</v>
      </c>
      <c r="G2993" s="78">
        <f>MAX(H2993,I2993,J2993)</f>
        <v>0</v>
      </c>
      <c r="H2993" s="88"/>
      <c r="I2993" s="88"/>
      <c r="J2993" s="78">
        <f>MAX(K2993:Q2993)</f>
        <v>0</v>
      </c>
      <c r="K2993" s="88"/>
      <c r="L2993" s="88"/>
      <c r="M2993" s="88"/>
      <c r="N2993" s="88"/>
      <c r="O2993" s="88"/>
      <c r="P2993" s="88"/>
      <c r="Q2993" s="88"/>
      <c r="R2993" s="78">
        <f>MAX(S2993:W2993)</f>
        <v>1</v>
      </c>
      <c r="S2993" s="88"/>
      <c r="T2993" s="88"/>
      <c r="U2993" s="88">
        <v>1</v>
      </c>
      <c r="V2993" s="88"/>
      <c r="W2993" s="88"/>
    </row>
    <row r="2994" spans="2:23" s="0" customFormat="0" ht="15">
      <c r="B2994" s="87" t="s">
        <v>1</v>
      </c>
      <c r="C2994" s="88" t="s">
        <v>5259</v>
      </c>
      <c r="D2994" s="88">
        <v>20423716</v>
      </c>
      <c r="E2994" s="88" t="s">
        <v>61</v>
      </c>
      <c r="F2994" s="88">
        <v>0</v>
      </c>
      <c r="G2994" s="78">
        <f>MAX(H2994,I2994,J2994)</f>
        <v>1</v>
      </c>
      <c r="H2994" s="88"/>
      <c r="I2994" s="88"/>
      <c r="J2994" s="78">
        <f>MAX(K2994:Q2994)</f>
        <v>1</v>
      </c>
      <c r="K2994" s="88">
        <v>1</v>
      </c>
      <c r="L2994" s="88"/>
      <c r="M2994" s="88"/>
      <c r="N2994" s="88"/>
      <c r="O2994" s="88"/>
      <c r="P2994" s="88"/>
      <c r="Q2994" s="88"/>
      <c r="R2994" s="78">
        <f>MAX(S2994:W2994)</f>
        <v>0</v>
      </c>
      <c r="S2994" s="88"/>
      <c r="T2994" s="88"/>
      <c r="U2994" s="88"/>
      <c r="V2994" s="88"/>
      <c r="W2994" s="88"/>
    </row>
    <row r="2995" spans="2:23" s="0" customFormat="0" ht="15">
      <c r="B2995" s="87" t="s">
        <v>1</v>
      </c>
      <c r="C2995" s="88" t="s">
        <v>5259</v>
      </c>
      <c r="D2995" s="88">
        <v>387894</v>
      </c>
      <c r="E2995" s="88" t="s">
        <v>61</v>
      </c>
      <c r="F2995" s="88">
        <v>0</v>
      </c>
      <c r="G2995" s="78">
        <f>MAX(H2995,I2995,J2995)</f>
        <v>1</v>
      </c>
      <c r="H2995" s="88"/>
      <c r="I2995" s="88"/>
      <c r="J2995" s="78">
        <f>MAX(K2995:Q2995)</f>
        <v>1</v>
      </c>
      <c r="K2995" s="88">
        <v>1</v>
      </c>
      <c r="L2995" s="88"/>
      <c r="M2995" s="88"/>
      <c r="N2995" s="88"/>
      <c r="O2995" s="88"/>
      <c r="P2995" s="88"/>
      <c r="Q2995" s="88"/>
      <c r="R2995" s="78">
        <f>MAX(S2995:W2995)</f>
        <v>0</v>
      </c>
      <c r="S2995" s="88"/>
      <c r="T2995" s="88"/>
      <c r="U2995" s="88"/>
      <c r="V2995" s="88"/>
      <c r="W2995" s="88"/>
    </row>
    <row r="2996" spans="2:23" s="0" customFormat="0" ht="15">
      <c r="B2996" s="87" t="s">
        <v>1</v>
      </c>
      <c r="C2996" s="88" t="s">
        <v>5259</v>
      </c>
      <c r="D2996" s="88">
        <v>6599957</v>
      </c>
      <c r="E2996" s="88" t="s">
        <v>61</v>
      </c>
      <c r="F2996" s="88">
        <v>0</v>
      </c>
      <c r="G2996" s="78">
        <f>MAX(H2996,I2996,J2996)</f>
        <v>0</v>
      </c>
      <c r="H2996" s="88"/>
      <c r="I2996" s="88"/>
      <c r="J2996" s="78">
        <f>MAX(K2996:Q2996)</f>
        <v>0</v>
      </c>
      <c r="K2996" s="88"/>
      <c r="L2996" s="88"/>
      <c r="M2996" s="88"/>
      <c r="N2996" s="88"/>
      <c r="O2996" s="88"/>
      <c r="P2996" s="88"/>
      <c r="Q2996" s="88"/>
      <c r="R2996" s="78">
        <f>MAX(S2996:W2996)</f>
        <v>1</v>
      </c>
      <c r="S2996" s="88"/>
      <c r="T2996" s="88"/>
      <c r="U2996" s="88">
        <v>1</v>
      </c>
      <c r="V2996" s="88"/>
      <c r="W2996" s="88"/>
    </row>
    <row r="2997" spans="2:23" s="0" customFormat="0" ht="15">
      <c r="B2997" s="87" t="s">
        <v>1</v>
      </c>
      <c r="C2997" s="88" t="s">
        <v>5259</v>
      </c>
      <c r="D2997" s="88">
        <v>15219111</v>
      </c>
      <c r="E2997" s="88" t="s">
        <v>61</v>
      </c>
      <c r="F2997" s="88">
        <v>0</v>
      </c>
      <c r="G2997" s="78">
        <f>MAX(H2997,I2997,J2997)</f>
        <v>1</v>
      </c>
      <c r="H2997" s="88"/>
      <c r="I2997" s="88"/>
      <c r="J2997" s="78">
        <f>MAX(K2997:Q2997)</f>
        <v>1</v>
      </c>
      <c r="K2997" s="88">
        <v>1</v>
      </c>
      <c r="L2997" s="88"/>
      <c r="M2997" s="88"/>
      <c r="N2997" s="88"/>
      <c r="O2997" s="88"/>
      <c r="P2997" s="88"/>
      <c r="Q2997" s="88"/>
      <c r="R2997" s="78">
        <f>MAX(S2997:W2997)</f>
        <v>0</v>
      </c>
      <c r="S2997" s="88"/>
      <c r="T2997" s="88"/>
      <c r="U2997" s="88"/>
      <c r="V2997" s="88"/>
      <c r="W2997" s="88"/>
    </row>
    <row r="2998" spans="2:23" s="0" customFormat="0" ht="15">
      <c r="B2998" s="87" t="s">
        <v>1</v>
      </c>
      <c r="C2998" s="88" t="s">
        <v>5259</v>
      </c>
      <c r="D2998" s="88">
        <v>8340264</v>
      </c>
      <c r="E2998" s="88" t="s">
        <v>61</v>
      </c>
      <c r="F2998" s="88">
        <v>0</v>
      </c>
      <c r="G2998" s="78">
        <f>MAX(H2998,I2998,J2998)</f>
        <v>1</v>
      </c>
      <c r="H2998" s="88"/>
      <c r="I2998" s="88"/>
      <c r="J2998" s="78">
        <f>MAX(K2998:Q2998)</f>
        <v>1</v>
      </c>
      <c r="K2998" s="88">
        <v>1</v>
      </c>
      <c r="L2998" s="88"/>
      <c r="M2998" s="88"/>
      <c r="N2998" s="88"/>
      <c r="O2998" s="88"/>
      <c r="P2998" s="88"/>
      <c r="Q2998" s="88"/>
      <c r="R2998" s="78">
        <f>MAX(S2998:W2998)</f>
        <v>0</v>
      </c>
      <c r="S2998" s="88"/>
      <c r="T2998" s="88"/>
      <c r="U2998" s="88"/>
      <c r="V2998" s="88"/>
      <c r="W2998" s="88"/>
    </row>
    <row r="2999" spans="2:23" s="0" customFormat="0" ht="15">
      <c r="B2999" s="87" t="s">
        <v>1</v>
      </c>
      <c r="C2999" s="88" t="s">
        <v>5259</v>
      </c>
      <c r="D2999" s="88">
        <v>15861135</v>
      </c>
      <c r="E2999" s="88" t="s">
        <v>61</v>
      </c>
      <c r="F2999" s="88">
        <v>0</v>
      </c>
      <c r="G2999" s="78">
        <f>MAX(H2999,I2999,J2999)</f>
        <v>1</v>
      </c>
      <c r="H2999" s="88"/>
      <c r="I2999" s="88"/>
      <c r="J2999" s="78">
        <f>MAX(K2999:Q2999)</f>
        <v>1</v>
      </c>
      <c r="K2999" s="88">
        <v>1</v>
      </c>
      <c r="L2999" s="88"/>
      <c r="M2999" s="88"/>
      <c r="N2999" s="88"/>
      <c r="O2999" s="88"/>
      <c r="P2999" s="88"/>
      <c r="Q2999" s="88"/>
      <c r="R2999" s="78">
        <f>MAX(S2999:W2999)</f>
        <v>0</v>
      </c>
      <c r="S2999" s="88"/>
      <c r="T2999" s="88"/>
      <c r="U2999" s="88"/>
      <c r="V2999" s="88"/>
      <c r="W2999" s="88"/>
    </row>
    <row r="3000" spans="2:23" s="0" customFormat="0" ht="15">
      <c r="B3000" s="87" t="s">
        <v>1</v>
      </c>
      <c r="C3000" s="88" t="s">
        <v>5259</v>
      </c>
      <c r="D3000" s="88">
        <v>10900818</v>
      </c>
      <c r="E3000" s="88" t="s">
        <v>61</v>
      </c>
      <c r="F3000" s="88">
        <v>0</v>
      </c>
      <c r="G3000" s="78">
        <f>MAX(H3000,I3000,J3000)</f>
        <v>1</v>
      </c>
      <c r="H3000" s="88"/>
      <c r="I3000" s="88"/>
      <c r="J3000" s="78">
        <f>MAX(K3000:Q3000)</f>
        <v>1</v>
      </c>
      <c r="K3000" s="88">
        <v>1</v>
      </c>
      <c r="L3000" s="88"/>
      <c r="M3000" s="88"/>
      <c r="N3000" s="88"/>
      <c r="O3000" s="88"/>
      <c r="P3000" s="88"/>
      <c r="Q3000" s="88"/>
      <c r="R3000" s="78">
        <f>MAX(S3000:W3000)</f>
        <v>0</v>
      </c>
      <c r="S3000" s="88"/>
      <c r="T3000" s="88"/>
      <c r="U3000" s="88"/>
      <c r="V3000" s="88"/>
      <c r="W3000" s="88"/>
    </row>
    <row r="3001" spans="2:23" s="0" customFormat="0" ht="15">
      <c r="B3001" s="87" t="s">
        <v>1</v>
      </c>
      <c r="C3001" s="88" t="s">
        <v>5259</v>
      </c>
      <c r="D3001" s="88">
        <v>18152759</v>
      </c>
      <c r="E3001" s="88" t="s">
        <v>61</v>
      </c>
      <c r="F3001" s="88">
        <v>0</v>
      </c>
      <c r="G3001" s="78">
        <f>MAX(H3001,I3001,J3001)</f>
        <v>1</v>
      </c>
      <c r="H3001" s="88"/>
      <c r="I3001" s="88"/>
      <c r="J3001" s="78">
        <f>MAX(K3001:Q3001)</f>
        <v>1</v>
      </c>
      <c r="K3001" s="88">
        <v>1</v>
      </c>
      <c r="L3001" s="88"/>
      <c r="M3001" s="88"/>
      <c r="N3001" s="88"/>
      <c r="O3001" s="88"/>
      <c r="P3001" s="88"/>
      <c r="Q3001" s="88"/>
      <c r="R3001" s="78">
        <f>MAX(S3001:W3001)</f>
        <v>0</v>
      </c>
      <c r="S3001" s="88"/>
      <c r="T3001" s="88"/>
      <c r="U3001" s="88"/>
      <c r="V3001" s="88"/>
      <c r="W3001" s="88"/>
    </row>
    <row r="3002" spans="2:23" s="0" customFormat="0" ht="15">
      <c r="B3002" s="87" t="s">
        <v>1</v>
      </c>
      <c r="C3002" s="88" t="s">
        <v>5259</v>
      </c>
      <c r="D3002" s="88">
        <v>24190230</v>
      </c>
      <c r="E3002" s="88" t="s">
        <v>61</v>
      </c>
      <c r="F3002" s="88">
        <v>0</v>
      </c>
      <c r="G3002" s="78">
        <f>MAX(H3002,I3002,J3002)</f>
        <v>1</v>
      </c>
      <c r="H3002" s="88"/>
      <c r="I3002" s="88"/>
      <c r="J3002" s="78">
        <f>MAX(K3002:Q3002)</f>
        <v>1</v>
      </c>
      <c r="K3002" s="88">
        <v>1</v>
      </c>
      <c r="L3002" s="88"/>
      <c r="M3002" s="88"/>
      <c r="N3002" s="88"/>
      <c r="O3002" s="88"/>
      <c r="P3002" s="88"/>
      <c r="Q3002" s="88"/>
      <c r="R3002" s="78">
        <f>MAX(S3002:W3002)</f>
        <v>0</v>
      </c>
      <c r="S3002" s="88"/>
      <c r="T3002" s="88"/>
      <c r="U3002" s="88"/>
      <c r="V3002" s="88"/>
      <c r="W3002" s="88"/>
    </row>
    <row r="3003" spans="2:23" s="0" customFormat="0" ht="15">
      <c r="B3003" s="87" t="s">
        <v>1</v>
      </c>
      <c r="C3003" s="88" t="s">
        <v>5259</v>
      </c>
      <c r="D3003" s="88">
        <v>23146109</v>
      </c>
      <c r="E3003" s="88" t="s">
        <v>61</v>
      </c>
      <c r="F3003" s="88">
        <v>0</v>
      </c>
      <c r="G3003" s="78">
        <f>MAX(H3003,I3003,J3003)</f>
        <v>1</v>
      </c>
      <c r="H3003" s="88"/>
      <c r="I3003" s="88"/>
      <c r="J3003" s="78">
        <f>MAX(K3003:Q3003)</f>
        <v>1</v>
      </c>
      <c r="K3003" s="88">
        <v>1</v>
      </c>
      <c r="L3003" s="88"/>
      <c r="M3003" s="88"/>
      <c r="N3003" s="88"/>
      <c r="O3003" s="88"/>
      <c r="P3003" s="88"/>
      <c r="Q3003" s="88"/>
      <c r="R3003" s="78">
        <f>MAX(S3003:W3003)</f>
        <v>0</v>
      </c>
      <c r="S3003" s="88"/>
      <c r="T3003" s="88"/>
      <c r="U3003" s="88"/>
      <c r="V3003" s="88"/>
      <c r="W3003" s="88"/>
    </row>
    <row r="3004" spans="2:23" s="0" customFormat="0" ht="15">
      <c r="B3004" s="87" t="s">
        <v>1</v>
      </c>
      <c r="C3004" s="88" t="s">
        <v>5259</v>
      </c>
      <c r="D3004" s="88">
        <v>20204088</v>
      </c>
      <c r="E3004" s="88" t="s">
        <v>61</v>
      </c>
      <c r="F3004" s="88">
        <v>0</v>
      </c>
      <c r="G3004" s="78">
        <f>MAX(H3004,I3004,J3004)</f>
        <v>1</v>
      </c>
      <c r="H3004" s="88"/>
      <c r="I3004" s="88"/>
      <c r="J3004" s="78">
        <f>MAX(K3004:Q3004)</f>
        <v>1</v>
      </c>
      <c r="K3004" s="88">
        <v>1</v>
      </c>
      <c r="L3004" s="88"/>
      <c r="M3004" s="88"/>
      <c r="N3004" s="88"/>
      <c r="O3004" s="88"/>
      <c r="P3004" s="88"/>
      <c r="Q3004" s="88"/>
      <c r="R3004" s="78">
        <f>MAX(S3004:W3004)</f>
        <v>0</v>
      </c>
      <c r="S3004" s="88"/>
      <c r="T3004" s="88"/>
      <c r="U3004" s="88"/>
      <c r="V3004" s="88"/>
      <c r="W3004" s="88"/>
    </row>
    <row r="3005" spans="2:23" s="0" customFormat="0" ht="15">
      <c r="B3005" s="87" t="s">
        <v>1</v>
      </c>
      <c r="C3005" s="88" t="s">
        <v>5259</v>
      </c>
      <c r="D3005" s="88" t="s">
        <v>3547</v>
      </c>
      <c r="E3005" s="88" t="s">
        <v>61</v>
      </c>
      <c r="F3005" s="88">
        <v>0</v>
      </c>
      <c r="G3005" s="78">
        <f>MAX(H3005,I3005,J3005)</f>
        <v>0</v>
      </c>
      <c r="H3005" s="88"/>
      <c r="I3005" s="88"/>
      <c r="J3005" s="78">
        <f>MAX(K3005:Q3005)</f>
        <v>0</v>
      </c>
      <c r="K3005" s="88"/>
      <c r="L3005" s="88"/>
      <c r="M3005" s="88"/>
      <c r="N3005" s="88"/>
      <c r="O3005" s="88"/>
      <c r="P3005" s="88"/>
      <c r="Q3005" s="88"/>
      <c r="R3005" s="78">
        <f>MAX(S3005:W3005)</f>
        <v>1</v>
      </c>
      <c r="S3005" s="88"/>
      <c r="T3005" s="88"/>
      <c r="U3005" s="88">
        <v>1</v>
      </c>
      <c r="V3005" s="88"/>
      <c r="W3005" s="88"/>
    </row>
    <row r="3006" spans="2:23" s="0" customFormat="0" ht="15">
      <c r="B3006" s="87" t="s">
        <v>1</v>
      </c>
      <c r="C3006" s="88" t="s">
        <v>5259</v>
      </c>
      <c r="D3006" s="88">
        <v>18109196</v>
      </c>
      <c r="E3006" s="88" t="s">
        <v>61</v>
      </c>
      <c r="F3006" s="88">
        <v>0</v>
      </c>
      <c r="G3006" s="78">
        <f>MAX(H3006,I3006,J3006)</f>
        <v>1</v>
      </c>
      <c r="H3006" s="88"/>
      <c r="I3006" s="88"/>
      <c r="J3006" s="78">
        <f>MAX(K3006:Q3006)</f>
        <v>1</v>
      </c>
      <c r="K3006" s="88">
        <v>1</v>
      </c>
      <c r="L3006" s="88"/>
      <c r="M3006" s="88"/>
      <c r="N3006" s="88"/>
      <c r="O3006" s="88"/>
      <c r="P3006" s="88"/>
      <c r="Q3006" s="88"/>
      <c r="R3006" s="78">
        <f>MAX(S3006:W3006)</f>
        <v>0</v>
      </c>
      <c r="S3006" s="88"/>
      <c r="T3006" s="88"/>
      <c r="U3006" s="88"/>
      <c r="V3006" s="88"/>
      <c r="W3006" s="88"/>
    </row>
    <row r="3007" spans="2:23" s="0" customFormat="0" ht="15">
      <c r="B3007" s="87" t="s">
        <v>1</v>
      </c>
      <c r="C3007" s="88" t="s">
        <v>5259</v>
      </c>
      <c r="D3007" s="88">
        <v>22124822</v>
      </c>
      <c r="E3007" s="88" t="s">
        <v>61</v>
      </c>
      <c r="F3007" s="88">
        <v>0</v>
      </c>
      <c r="G3007" s="78">
        <f>MAX(H3007,I3007,J3007)</f>
        <v>1</v>
      </c>
      <c r="H3007" s="88"/>
      <c r="I3007" s="88"/>
      <c r="J3007" s="78">
        <f>MAX(K3007:Q3007)</f>
        <v>1</v>
      </c>
      <c r="K3007" s="88">
        <v>1</v>
      </c>
      <c r="L3007" s="88"/>
      <c r="M3007" s="88"/>
      <c r="N3007" s="88"/>
      <c r="O3007" s="88"/>
      <c r="P3007" s="88"/>
      <c r="Q3007" s="88"/>
      <c r="R3007" s="78">
        <f>MAX(S3007:W3007)</f>
        <v>0</v>
      </c>
      <c r="S3007" s="88"/>
      <c r="T3007" s="88"/>
      <c r="U3007" s="88"/>
      <c r="V3007" s="88"/>
      <c r="W3007" s="88"/>
    </row>
    <row r="3008" spans="2:23" s="0" customFormat="0" ht="15">
      <c r="B3008" s="87" t="s">
        <v>1</v>
      </c>
      <c r="C3008" s="88" t="s">
        <v>5259</v>
      </c>
      <c r="D3008" s="88">
        <v>13302207</v>
      </c>
      <c r="E3008" s="88" t="s">
        <v>61</v>
      </c>
      <c r="F3008" s="88">
        <v>0</v>
      </c>
      <c r="G3008" s="78">
        <f>MAX(H3008,I3008,J3008)</f>
        <v>1</v>
      </c>
      <c r="H3008" s="88"/>
      <c r="I3008" s="88"/>
      <c r="J3008" s="78">
        <f>MAX(K3008:Q3008)</f>
        <v>1</v>
      </c>
      <c r="K3008" s="88">
        <v>1</v>
      </c>
      <c r="L3008" s="88"/>
      <c r="M3008" s="88"/>
      <c r="N3008" s="88"/>
      <c r="O3008" s="88"/>
      <c r="P3008" s="88"/>
      <c r="Q3008" s="88"/>
      <c r="R3008" s="78">
        <f>MAX(S3008:W3008)</f>
        <v>0</v>
      </c>
      <c r="S3008" s="88"/>
      <c r="T3008" s="88"/>
      <c r="U3008" s="88"/>
      <c r="V3008" s="88"/>
      <c r="W3008" s="88"/>
    </row>
    <row r="3009" spans="2:23" s="0" customFormat="0" ht="15">
      <c r="B3009" s="87" t="s">
        <v>1</v>
      </c>
      <c r="C3009" s="88" t="s">
        <v>5259</v>
      </c>
      <c r="D3009" s="88" t="s">
        <v>2061</v>
      </c>
      <c r="E3009" s="88" t="s">
        <v>61</v>
      </c>
      <c r="F3009" s="88">
        <v>0</v>
      </c>
      <c r="G3009" s="78">
        <f>MAX(H3009,I3009,J3009)</f>
        <v>1</v>
      </c>
      <c r="H3009" s="88"/>
      <c r="I3009" s="88"/>
      <c r="J3009" s="78">
        <f>MAX(K3009:Q3009)</f>
        <v>1</v>
      </c>
      <c r="K3009" s="88">
        <v>1</v>
      </c>
      <c r="L3009" s="88"/>
      <c r="M3009" s="88"/>
      <c r="N3009" s="88"/>
      <c r="O3009" s="88"/>
      <c r="P3009" s="88"/>
      <c r="Q3009" s="88"/>
      <c r="R3009" s="78">
        <f>MAX(S3009:W3009)</f>
        <v>0</v>
      </c>
      <c r="S3009" s="88"/>
      <c r="T3009" s="88"/>
      <c r="U3009" s="88"/>
      <c r="V3009" s="88"/>
      <c r="W3009" s="88"/>
    </row>
    <row r="3010" spans="2:23" s="0" customFormat="0" ht="15">
      <c r="B3010" s="87" t="s">
        <v>1</v>
      </c>
      <c r="C3010" s="88" t="s">
        <v>5259</v>
      </c>
      <c r="D3010" s="88">
        <v>15497495</v>
      </c>
      <c r="E3010" s="88" t="s">
        <v>61</v>
      </c>
      <c r="F3010" s="88">
        <v>0</v>
      </c>
      <c r="G3010" s="78">
        <f>MAX(H3010,I3010,J3010)</f>
        <v>1</v>
      </c>
      <c r="H3010" s="88"/>
      <c r="I3010" s="88"/>
      <c r="J3010" s="78">
        <f>MAX(K3010:Q3010)</f>
        <v>1</v>
      </c>
      <c r="K3010" s="88">
        <v>1</v>
      </c>
      <c r="L3010" s="88"/>
      <c r="M3010" s="88"/>
      <c r="N3010" s="88"/>
      <c r="O3010" s="88"/>
      <c r="P3010" s="88"/>
      <c r="Q3010" s="88"/>
      <c r="R3010" s="78">
        <f>MAX(S3010:W3010)</f>
        <v>0</v>
      </c>
      <c r="S3010" s="88"/>
      <c r="T3010" s="88"/>
      <c r="U3010" s="88"/>
      <c r="V3010" s="88"/>
      <c r="W3010" s="88"/>
    </row>
    <row r="3011" spans="2:23" s="0" customFormat="0" ht="15">
      <c r="B3011" s="87" t="s">
        <v>1</v>
      </c>
      <c r="C3011" s="88" t="s">
        <v>5259</v>
      </c>
      <c r="D3011" s="88" t="s">
        <v>3409</v>
      </c>
      <c r="E3011" s="88" t="s">
        <v>61</v>
      </c>
      <c r="F3011" s="88">
        <v>0</v>
      </c>
      <c r="G3011" s="78">
        <f>MAX(H3011,I3011,J3011)</f>
        <v>0</v>
      </c>
      <c r="H3011" s="88"/>
      <c r="I3011" s="88"/>
      <c r="J3011" s="78">
        <f>MAX(K3011:Q3011)</f>
        <v>0</v>
      </c>
      <c r="K3011" s="88"/>
      <c r="L3011" s="88"/>
      <c r="M3011" s="88"/>
      <c r="N3011" s="88"/>
      <c r="O3011" s="88"/>
      <c r="P3011" s="88"/>
      <c r="Q3011" s="88"/>
      <c r="R3011" s="78">
        <f>MAX(S3011:W3011)</f>
        <v>1</v>
      </c>
      <c r="S3011" s="88"/>
      <c r="T3011" s="88"/>
      <c r="U3011" s="88">
        <v>1</v>
      </c>
      <c r="V3011" s="88"/>
      <c r="W3011" s="88"/>
    </row>
    <row r="3012" spans="2:23" s="0" customFormat="0" ht="15">
      <c r="B3012" s="87" t="s">
        <v>1</v>
      </c>
      <c r="C3012" s="88" t="s">
        <v>5259</v>
      </c>
      <c r="D3012" s="88" t="s">
        <v>4338</v>
      </c>
      <c r="E3012" s="88" t="s">
        <v>61</v>
      </c>
      <c r="F3012" s="88">
        <v>0</v>
      </c>
      <c r="G3012" s="78">
        <f>MAX(H3012,I3012,J3012)</f>
        <v>0</v>
      </c>
      <c r="H3012" s="88"/>
      <c r="I3012" s="88"/>
      <c r="J3012" s="78">
        <f>MAX(K3012:Q3012)</f>
        <v>0</v>
      </c>
      <c r="K3012" s="88"/>
      <c r="L3012" s="88"/>
      <c r="M3012" s="88"/>
      <c r="N3012" s="88"/>
      <c r="O3012" s="88"/>
      <c r="P3012" s="88"/>
      <c r="Q3012" s="88"/>
      <c r="R3012" s="78">
        <f>MAX(S3012:W3012)</f>
        <v>1</v>
      </c>
      <c r="S3012" s="88"/>
      <c r="T3012" s="88"/>
      <c r="U3012" s="88">
        <v>1</v>
      </c>
      <c r="V3012" s="88"/>
      <c r="W3012" s="88"/>
    </row>
    <row r="3013" spans="2:23" s="0" customFormat="0" ht="15">
      <c r="B3013" s="87" t="s">
        <v>1</v>
      </c>
      <c r="C3013" s="88" t="s">
        <v>5259</v>
      </c>
      <c r="D3013" s="88" t="s">
        <v>1500</v>
      </c>
      <c r="E3013" s="88" t="s">
        <v>61</v>
      </c>
      <c r="F3013" s="88">
        <v>0</v>
      </c>
      <c r="G3013" s="78">
        <f>MAX(H3013,I3013,J3013)</f>
        <v>1</v>
      </c>
      <c r="H3013" s="88"/>
      <c r="I3013" s="88"/>
      <c r="J3013" s="78">
        <f>MAX(K3013:Q3013)</f>
        <v>1</v>
      </c>
      <c r="K3013" s="88">
        <v>1</v>
      </c>
      <c r="L3013" s="88"/>
      <c r="M3013" s="88"/>
      <c r="N3013" s="88"/>
      <c r="O3013" s="88"/>
      <c r="P3013" s="88"/>
      <c r="Q3013" s="88"/>
      <c r="R3013" s="78">
        <f>MAX(S3013:W3013)</f>
        <v>0</v>
      </c>
      <c r="S3013" s="88"/>
      <c r="T3013" s="88"/>
      <c r="U3013" s="88"/>
      <c r="V3013" s="88"/>
      <c r="W3013" s="88"/>
    </row>
    <row r="3014" spans="2:23" s="0" customFormat="0" ht="15">
      <c r="B3014" s="87" t="s">
        <v>1</v>
      </c>
      <c r="C3014" s="88" t="s">
        <v>5259</v>
      </c>
      <c r="D3014" s="88" t="s">
        <v>4601</v>
      </c>
      <c r="E3014" s="88" t="s">
        <v>61</v>
      </c>
      <c r="F3014" s="88">
        <v>0</v>
      </c>
      <c r="G3014" s="78">
        <f>MAX(H3014,I3014,J3014)</f>
        <v>0</v>
      </c>
      <c r="H3014" s="88"/>
      <c r="I3014" s="88"/>
      <c r="J3014" s="78">
        <f>MAX(K3014:Q3014)</f>
        <v>0</v>
      </c>
      <c r="K3014" s="88"/>
      <c r="L3014" s="88"/>
      <c r="M3014" s="88"/>
      <c r="N3014" s="88"/>
      <c r="O3014" s="88"/>
      <c r="P3014" s="88"/>
      <c r="Q3014" s="88"/>
      <c r="R3014" s="78">
        <f>MAX(S3014:W3014)</f>
        <v>1</v>
      </c>
      <c r="S3014" s="88"/>
      <c r="T3014" s="88"/>
      <c r="U3014" s="88">
        <v>1</v>
      </c>
      <c r="V3014" s="88"/>
      <c r="W3014" s="88"/>
    </row>
    <row r="3015" spans="2:23" s="0" customFormat="0" ht="15">
      <c r="B3015" s="87" t="s">
        <v>1</v>
      </c>
      <c r="C3015" s="88" t="s">
        <v>5259</v>
      </c>
      <c r="D3015" s="88">
        <v>14692677</v>
      </c>
      <c r="E3015" s="88" t="s">
        <v>61</v>
      </c>
      <c r="F3015" s="88">
        <v>0</v>
      </c>
      <c r="G3015" s="78">
        <f>MAX(H3015,I3015,J3015)</f>
        <v>1</v>
      </c>
      <c r="H3015" s="88"/>
      <c r="I3015" s="88"/>
      <c r="J3015" s="78">
        <f>MAX(K3015:Q3015)</f>
        <v>1</v>
      </c>
      <c r="K3015" s="88">
        <v>1</v>
      </c>
      <c r="L3015" s="88"/>
      <c r="M3015" s="88"/>
      <c r="N3015" s="88"/>
      <c r="O3015" s="88"/>
      <c r="P3015" s="88"/>
      <c r="Q3015" s="88"/>
      <c r="R3015" s="78">
        <f>MAX(S3015:W3015)</f>
        <v>0</v>
      </c>
      <c r="S3015" s="88"/>
      <c r="T3015" s="88"/>
      <c r="U3015" s="88"/>
      <c r="V3015" s="88"/>
      <c r="W3015" s="88"/>
    </row>
    <row r="3016" spans="2:23" s="0" customFormat="0" ht="15">
      <c r="B3016" s="87" t="s">
        <v>1</v>
      </c>
      <c r="C3016" s="88" t="s">
        <v>5259</v>
      </c>
      <c r="D3016" s="88">
        <v>14770812</v>
      </c>
      <c r="E3016" s="88" t="s">
        <v>61</v>
      </c>
      <c r="F3016" s="88">
        <v>0</v>
      </c>
      <c r="G3016" s="78">
        <f>MAX(H3016,I3016,J3016)</f>
        <v>1</v>
      </c>
      <c r="H3016" s="88"/>
      <c r="I3016" s="88"/>
      <c r="J3016" s="78">
        <f>MAX(K3016:Q3016)</f>
        <v>1</v>
      </c>
      <c r="K3016" s="88">
        <v>1</v>
      </c>
      <c r="L3016" s="88"/>
      <c r="M3016" s="88"/>
      <c r="N3016" s="88"/>
      <c r="O3016" s="88"/>
      <c r="P3016" s="88"/>
      <c r="Q3016" s="88"/>
      <c r="R3016" s="78">
        <f>MAX(S3016:W3016)</f>
        <v>0</v>
      </c>
      <c r="S3016" s="88"/>
      <c r="T3016" s="88"/>
      <c r="U3016" s="88"/>
      <c r="V3016" s="88"/>
      <c r="W3016" s="88"/>
    </row>
    <row r="3017" spans="2:23" s="0" customFormat="0" ht="15">
      <c r="B3017" s="87" t="s">
        <v>1</v>
      </c>
      <c r="C3017" s="88" t="s">
        <v>5259</v>
      </c>
      <c r="D3017" s="88">
        <v>18746166</v>
      </c>
      <c r="E3017" s="88" t="s">
        <v>61</v>
      </c>
      <c r="F3017" s="88">
        <v>0</v>
      </c>
      <c r="G3017" s="78">
        <f>MAX(H3017,I3017,J3017)</f>
        <v>0</v>
      </c>
      <c r="H3017" s="88"/>
      <c r="I3017" s="88"/>
      <c r="J3017" s="78">
        <f>MAX(K3017:Q3017)</f>
        <v>0</v>
      </c>
      <c r="K3017" s="88"/>
      <c r="L3017" s="88"/>
      <c r="M3017" s="88"/>
      <c r="N3017" s="88"/>
      <c r="O3017" s="88"/>
      <c r="P3017" s="88"/>
      <c r="Q3017" s="88"/>
      <c r="R3017" s="78">
        <f>MAX(S3017:W3017)</f>
        <v>1</v>
      </c>
      <c r="S3017" s="88"/>
      <c r="T3017" s="88"/>
      <c r="U3017" s="88">
        <v>1</v>
      </c>
      <c r="V3017" s="88"/>
      <c r="W3017" s="88"/>
    </row>
    <row r="3018" spans="2:23" s="0" customFormat="0" ht="15">
      <c r="B3018" s="87" t="s">
        <v>1</v>
      </c>
      <c r="C3018" s="88" t="s">
        <v>5259</v>
      </c>
      <c r="D3018" s="88" t="s">
        <v>4604</v>
      </c>
      <c r="E3018" s="88" t="s">
        <v>61</v>
      </c>
      <c r="F3018" s="88">
        <v>0</v>
      </c>
      <c r="G3018" s="78">
        <f>MAX(H3018,I3018,J3018)</f>
        <v>0</v>
      </c>
      <c r="H3018" s="88"/>
      <c r="I3018" s="88"/>
      <c r="J3018" s="78">
        <f>MAX(K3018:Q3018)</f>
        <v>0</v>
      </c>
      <c r="K3018" s="88"/>
      <c r="L3018" s="88"/>
      <c r="M3018" s="88"/>
      <c r="N3018" s="88"/>
      <c r="O3018" s="88"/>
      <c r="P3018" s="88"/>
      <c r="Q3018" s="88"/>
      <c r="R3018" s="78">
        <f>MAX(S3018:W3018)</f>
        <v>1</v>
      </c>
      <c r="S3018" s="88"/>
      <c r="T3018" s="88"/>
      <c r="U3018" s="88">
        <v>1</v>
      </c>
      <c r="V3018" s="88"/>
      <c r="W3018" s="88"/>
    </row>
    <row r="3019" spans="2:23" s="0" customFormat="0" ht="15">
      <c r="B3019" s="87" t="s">
        <v>1</v>
      </c>
      <c r="C3019" s="88" t="s">
        <v>5259</v>
      </c>
      <c r="D3019" s="88" t="s">
        <v>1968</v>
      </c>
      <c r="E3019" s="88" t="s">
        <v>61</v>
      </c>
      <c r="F3019" s="88">
        <v>0</v>
      </c>
      <c r="G3019" s="78">
        <f>MAX(H3019,I3019,J3019)</f>
        <v>1</v>
      </c>
      <c r="H3019" s="88"/>
      <c r="I3019" s="88"/>
      <c r="J3019" s="78">
        <f>MAX(K3019:Q3019)</f>
        <v>1</v>
      </c>
      <c r="K3019" s="88">
        <v>1</v>
      </c>
      <c r="L3019" s="88"/>
      <c r="M3019" s="88"/>
      <c r="N3019" s="88"/>
      <c r="O3019" s="88"/>
      <c r="P3019" s="88"/>
      <c r="Q3019" s="88"/>
      <c r="R3019" s="78">
        <f>MAX(S3019:W3019)</f>
        <v>0</v>
      </c>
      <c r="S3019" s="88"/>
      <c r="T3019" s="88"/>
      <c r="U3019" s="88"/>
      <c r="V3019" s="88"/>
      <c r="W3019" s="88"/>
    </row>
    <row r="3020" spans="2:23" s="0" customFormat="0" ht="15">
      <c r="B3020" s="87" t="s">
        <v>1</v>
      </c>
      <c r="C3020" s="88" t="s">
        <v>5259</v>
      </c>
      <c r="D3020" s="88" t="s">
        <v>4606</v>
      </c>
      <c r="E3020" s="88" t="s">
        <v>61</v>
      </c>
      <c r="F3020" s="88">
        <v>0</v>
      </c>
      <c r="G3020" s="78">
        <f>MAX(H3020,I3020,J3020)</f>
        <v>0</v>
      </c>
      <c r="H3020" s="88"/>
      <c r="I3020" s="88"/>
      <c r="J3020" s="78">
        <f>MAX(K3020:Q3020)</f>
        <v>0</v>
      </c>
      <c r="K3020" s="88"/>
      <c r="L3020" s="88"/>
      <c r="M3020" s="88"/>
      <c r="N3020" s="88"/>
      <c r="O3020" s="88"/>
      <c r="P3020" s="88"/>
      <c r="Q3020" s="88"/>
      <c r="R3020" s="78">
        <f>MAX(S3020:W3020)</f>
        <v>1</v>
      </c>
      <c r="S3020" s="88"/>
      <c r="T3020" s="88"/>
      <c r="U3020" s="88">
        <v>1</v>
      </c>
      <c r="V3020" s="88"/>
      <c r="W3020" s="88"/>
    </row>
    <row r="3021" spans="2:23" s="0" customFormat="0" ht="15">
      <c r="B3021" s="87" t="s">
        <v>1</v>
      </c>
      <c r="C3021" s="88" t="s">
        <v>5259</v>
      </c>
      <c r="D3021" s="88" t="s">
        <v>2066</v>
      </c>
      <c r="E3021" s="88" t="s">
        <v>61</v>
      </c>
      <c r="F3021" s="88">
        <v>0</v>
      </c>
      <c r="G3021" s="78">
        <f>MAX(H3021,I3021,J3021)</f>
        <v>1</v>
      </c>
      <c r="H3021" s="88"/>
      <c r="I3021" s="88"/>
      <c r="J3021" s="78">
        <f>MAX(K3021:Q3021)</f>
        <v>1</v>
      </c>
      <c r="K3021" s="88">
        <v>1</v>
      </c>
      <c r="L3021" s="88"/>
      <c r="M3021" s="88"/>
      <c r="N3021" s="88"/>
      <c r="O3021" s="88"/>
      <c r="P3021" s="88"/>
      <c r="Q3021" s="88"/>
      <c r="R3021" s="78">
        <f>MAX(S3021:W3021)</f>
        <v>0</v>
      </c>
      <c r="S3021" s="88"/>
      <c r="T3021" s="88"/>
      <c r="U3021" s="88"/>
      <c r="V3021" s="88"/>
      <c r="W3021" s="88"/>
    </row>
    <row r="3022" spans="2:23" s="0" customFormat="0" ht="15">
      <c r="B3022" s="87" t="s">
        <v>1</v>
      </c>
      <c r="C3022" s="88" t="s">
        <v>5259</v>
      </c>
      <c r="D3022" s="88" t="s">
        <v>3483</v>
      </c>
      <c r="E3022" s="88" t="s">
        <v>61</v>
      </c>
      <c r="F3022" s="88">
        <v>0</v>
      </c>
      <c r="G3022" s="78">
        <f>MAX(H3022,I3022,J3022)</f>
        <v>0</v>
      </c>
      <c r="H3022" s="88"/>
      <c r="I3022" s="88"/>
      <c r="J3022" s="78">
        <f>MAX(K3022:Q3022)</f>
        <v>0</v>
      </c>
      <c r="K3022" s="88"/>
      <c r="L3022" s="88"/>
      <c r="M3022" s="88"/>
      <c r="N3022" s="88"/>
      <c r="O3022" s="88"/>
      <c r="P3022" s="88"/>
      <c r="Q3022" s="88"/>
      <c r="R3022" s="78">
        <f>MAX(S3022:W3022)</f>
        <v>1</v>
      </c>
      <c r="S3022" s="88"/>
      <c r="T3022" s="88"/>
      <c r="U3022" s="88">
        <v>1</v>
      </c>
      <c r="V3022" s="88"/>
      <c r="W3022" s="88"/>
    </row>
    <row r="3023" spans="2:23" s="0" customFormat="0" ht="15">
      <c r="B3023" s="87" t="s">
        <v>1</v>
      </c>
      <c r="C3023" s="88" t="s">
        <v>5259</v>
      </c>
      <c r="D3023" s="88" t="s">
        <v>3218</v>
      </c>
      <c r="E3023" s="88" t="s">
        <v>61</v>
      </c>
      <c r="F3023" s="88">
        <v>0</v>
      </c>
      <c r="G3023" s="78">
        <f>MAX(H3023,I3023,J3023)</f>
        <v>0</v>
      </c>
      <c r="H3023" s="88"/>
      <c r="I3023" s="88"/>
      <c r="J3023" s="78">
        <f>MAX(K3023:Q3023)</f>
        <v>0</v>
      </c>
      <c r="K3023" s="88"/>
      <c r="L3023" s="88"/>
      <c r="M3023" s="88"/>
      <c r="N3023" s="88"/>
      <c r="O3023" s="88"/>
      <c r="P3023" s="88"/>
      <c r="Q3023" s="88"/>
      <c r="R3023" s="78">
        <f>MAX(S3023:W3023)</f>
        <v>1</v>
      </c>
      <c r="S3023" s="88"/>
      <c r="T3023" s="88"/>
      <c r="U3023" s="88"/>
      <c r="V3023" s="88">
        <v>1</v>
      </c>
      <c r="W3023" s="88"/>
    </row>
    <row r="3024" spans="2:23" s="0" customFormat="0" ht="15">
      <c r="B3024" s="87" t="s">
        <v>1</v>
      </c>
      <c r="C3024" s="88" t="s">
        <v>5259</v>
      </c>
      <c r="D3024" s="88">
        <v>22676178</v>
      </c>
      <c r="E3024" s="88" t="s">
        <v>61</v>
      </c>
      <c r="F3024" s="88">
        <v>0</v>
      </c>
      <c r="G3024" s="78">
        <f>MAX(H3024,I3024,J3024)</f>
        <v>1</v>
      </c>
      <c r="H3024" s="88"/>
      <c r="I3024" s="88"/>
      <c r="J3024" s="78">
        <f>MAX(K3024:Q3024)</f>
        <v>1</v>
      </c>
      <c r="K3024" s="88">
        <v>1</v>
      </c>
      <c r="L3024" s="88"/>
      <c r="M3024" s="88"/>
      <c r="N3024" s="88"/>
      <c r="O3024" s="88"/>
      <c r="P3024" s="88"/>
      <c r="Q3024" s="88"/>
      <c r="R3024" s="78">
        <f>MAX(S3024:W3024)</f>
        <v>0</v>
      </c>
      <c r="S3024" s="88"/>
      <c r="T3024" s="88"/>
      <c r="U3024" s="88"/>
      <c r="V3024" s="88"/>
      <c r="W3024" s="88"/>
    </row>
    <row r="3025" spans="2:23" s="0" customFormat="0" ht="15">
      <c r="B3025" s="87" t="s">
        <v>1</v>
      </c>
      <c r="C3025" s="88" t="s">
        <v>5259</v>
      </c>
      <c r="D3025" s="88" t="s">
        <v>4608</v>
      </c>
      <c r="E3025" s="88" t="s">
        <v>61</v>
      </c>
      <c r="F3025" s="88">
        <v>0</v>
      </c>
      <c r="G3025" s="78">
        <f>MAX(H3025,I3025,J3025)</f>
        <v>0</v>
      </c>
      <c r="H3025" s="88"/>
      <c r="I3025" s="88"/>
      <c r="J3025" s="78">
        <f>MAX(K3025:Q3025)</f>
        <v>0</v>
      </c>
      <c r="K3025" s="88"/>
      <c r="L3025" s="88"/>
      <c r="M3025" s="88"/>
      <c r="N3025" s="88"/>
      <c r="O3025" s="88"/>
      <c r="P3025" s="88"/>
      <c r="Q3025" s="88"/>
      <c r="R3025" s="78">
        <f>MAX(S3025:W3025)</f>
        <v>1</v>
      </c>
      <c r="S3025" s="88"/>
      <c r="T3025" s="88"/>
      <c r="U3025" s="88">
        <v>1</v>
      </c>
      <c r="V3025" s="88"/>
      <c r="W3025" s="88"/>
    </row>
    <row r="3026" spans="2:23" s="0" customFormat="0" ht="15">
      <c r="B3026" s="87" t="s">
        <v>1</v>
      </c>
      <c r="C3026" s="88" t="s">
        <v>5259</v>
      </c>
      <c r="D3026" s="88" t="s">
        <v>2069</v>
      </c>
      <c r="E3026" s="88" t="s">
        <v>61</v>
      </c>
      <c r="F3026" s="88">
        <v>0</v>
      </c>
      <c r="G3026" s="78">
        <f>MAX(H3026,I3026,J3026)</f>
        <v>1</v>
      </c>
      <c r="H3026" s="88"/>
      <c r="I3026" s="88"/>
      <c r="J3026" s="78">
        <f>MAX(K3026:Q3026)</f>
        <v>1</v>
      </c>
      <c r="K3026" s="88">
        <v>1</v>
      </c>
      <c r="L3026" s="88"/>
      <c r="M3026" s="88"/>
      <c r="N3026" s="88"/>
      <c r="O3026" s="88"/>
      <c r="P3026" s="88"/>
      <c r="Q3026" s="88"/>
      <c r="R3026" s="78">
        <f>MAX(S3026:W3026)</f>
        <v>0</v>
      </c>
      <c r="S3026" s="88"/>
      <c r="T3026" s="88"/>
      <c r="U3026" s="88"/>
      <c r="V3026" s="88"/>
      <c r="W3026" s="88"/>
    </row>
    <row r="3027" spans="2:23" s="0" customFormat="0" ht="15">
      <c r="B3027" s="87" t="s">
        <v>1</v>
      </c>
      <c r="C3027" s="88" t="s">
        <v>5259</v>
      </c>
      <c r="D3027" s="88">
        <v>17087433</v>
      </c>
      <c r="E3027" s="88" t="s">
        <v>61</v>
      </c>
      <c r="F3027" s="88">
        <v>0</v>
      </c>
      <c r="G3027" s="78">
        <f>MAX(H3027,I3027,J3027)</f>
        <v>1</v>
      </c>
      <c r="H3027" s="88"/>
      <c r="I3027" s="88"/>
      <c r="J3027" s="78">
        <f>MAX(K3027:Q3027)</f>
        <v>1</v>
      </c>
      <c r="K3027" s="88">
        <v>1</v>
      </c>
      <c r="L3027" s="88"/>
      <c r="M3027" s="88"/>
      <c r="N3027" s="88"/>
      <c r="O3027" s="88"/>
      <c r="P3027" s="88"/>
      <c r="Q3027" s="88"/>
      <c r="R3027" s="78">
        <f>MAX(S3027:W3027)</f>
        <v>0</v>
      </c>
      <c r="S3027" s="88"/>
      <c r="T3027" s="88"/>
      <c r="U3027" s="88"/>
      <c r="V3027" s="88"/>
      <c r="W3027" s="88"/>
    </row>
    <row r="3028" spans="2:23" s="0" customFormat="0" ht="15">
      <c r="B3028" s="87" t="s">
        <v>1</v>
      </c>
      <c r="C3028" s="88" t="s">
        <v>5259</v>
      </c>
      <c r="D3028" s="88">
        <v>22554600</v>
      </c>
      <c r="E3028" s="88" t="s">
        <v>61</v>
      </c>
      <c r="F3028" s="88">
        <v>0</v>
      </c>
      <c r="G3028" s="78">
        <f>MAX(H3028,I3028,J3028)</f>
        <v>0</v>
      </c>
      <c r="H3028" s="88"/>
      <c r="I3028" s="88"/>
      <c r="J3028" s="78">
        <f>MAX(K3028:Q3028)</f>
        <v>0</v>
      </c>
      <c r="K3028" s="88"/>
      <c r="L3028" s="88"/>
      <c r="M3028" s="88"/>
      <c r="N3028" s="88"/>
      <c r="O3028" s="88"/>
      <c r="P3028" s="88"/>
      <c r="Q3028" s="88"/>
      <c r="R3028" s="78">
        <f>MAX(S3028:W3028)</f>
        <v>1</v>
      </c>
      <c r="S3028" s="88"/>
      <c r="T3028" s="88"/>
      <c r="U3028" s="88"/>
      <c r="V3028" s="88">
        <v>1</v>
      </c>
      <c r="W3028" s="88"/>
    </row>
    <row r="3029" spans="2:23" s="0" customFormat="0" ht="15">
      <c r="B3029" s="87" t="s">
        <v>1</v>
      </c>
      <c r="C3029" s="88" t="s">
        <v>5259</v>
      </c>
      <c r="D3029" s="88" t="s">
        <v>4610</v>
      </c>
      <c r="E3029" s="88" t="s">
        <v>61</v>
      </c>
      <c r="F3029" s="88">
        <v>0</v>
      </c>
      <c r="G3029" s="78">
        <f>MAX(H3029,I3029,J3029)</f>
        <v>0</v>
      </c>
      <c r="H3029" s="88"/>
      <c r="I3029" s="88"/>
      <c r="J3029" s="78">
        <f>MAX(K3029:Q3029)</f>
        <v>0</v>
      </c>
      <c r="K3029" s="88"/>
      <c r="L3029" s="88"/>
      <c r="M3029" s="88"/>
      <c r="N3029" s="88"/>
      <c r="O3029" s="88"/>
      <c r="P3029" s="88"/>
      <c r="Q3029" s="88"/>
      <c r="R3029" s="78">
        <f>MAX(S3029:W3029)</f>
        <v>1</v>
      </c>
      <c r="S3029" s="88"/>
      <c r="T3029" s="88"/>
      <c r="U3029" s="88">
        <v>1</v>
      </c>
      <c r="V3029" s="88"/>
      <c r="W3029" s="88"/>
    </row>
    <row r="3030" spans="2:23" s="0" customFormat="0" ht="15">
      <c r="B3030" s="87" t="s">
        <v>1</v>
      </c>
      <c r="C3030" s="88" t="s">
        <v>5259</v>
      </c>
      <c r="D3030" s="88" t="s">
        <v>4612</v>
      </c>
      <c r="E3030" s="88" t="s">
        <v>61</v>
      </c>
      <c r="F3030" s="88">
        <v>0</v>
      </c>
      <c r="G3030" s="78">
        <f>MAX(H3030,I3030,J3030)</f>
        <v>0</v>
      </c>
      <c r="H3030" s="88"/>
      <c r="I3030" s="88"/>
      <c r="J3030" s="78">
        <f>MAX(K3030:Q3030)</f>
        <v>0</v>
      </c>
      <c r="K3030" s="88"/>
      <c r="L3030" s="88"/>
      <c r="M3030" s="88"/>
      <c r="N3030" s="88"/>
      <c r="O3030" s="88"/>
      <c r="P3030" s="88"/>
      <c r="Q3030" s="88"/>
      <c r="R3030" s="78">
        <f>MAX(S3030:W3030)</f>
        <v>1</v>
      </c>
      <c r="S3030" s="88"/>
      <c r="T3030" s="88"/>
      <c r="U3030" s="88">
        <v>1</v>
      </c>
      <c r="V3030" s="88"/>
      <c r="W3030" s="88"/>
    </row>
    <row r="3031" spans="2:23" s="0" customFormat="0" ht="15">
      <c r="B3031" s="87" t="s">
        <v>1</v>
      </c>
      <c r="C3031" s="88" t="s">
        <v>5259</v>
      </c>
      <c r="D3031" s="88">
        <v>18006396</v>
      </c>
      <c r="E3031" s="88" t="s">
        <v>61</v>
      </c>
      <c r="F3031" s="88">
        <v>0</v>
      </c>
      <c r="G3031" s="78">
        <f>MAX(H3031,I3031,J3031)</f>
        <v>1</v>
      </c>
      <c r="H3031" s="88"/>
      <c r="I3031" s="88"/>
      <c r="J3031" s="78">
        <f>MAX(K3031:Q3031)</f>
        <v>1</v>
      </c>
      <c r="K3031" s="88">
        <v>1</v>
      </c>
      <c r="L3031" s="88"/>
      <c r="M3031" s="88"/>
      <c r="N3031" s="88"/>
      <c r="O3031" s="88"/>
      <c r="P3031" s="88"/>
      <c r="Q3031" s="88"/>
      <c r="R3031" s="78">
        <f>MAX(S3031:W3031)</f>
        <v>0</v>
      </c>
      <c r="S3031" s="88"/>
      <c r="T3031" s="88"/>
      <c r="U3031" s="88"/>
      <c r="V3031" s="88"/>
      <c r="W3031" s="88"/>
    </row>
    <row r="3032" spans="2:23" s="0" customFormat="0" ht="15">
      <c r="B3032" s="87" t="s">
        <v>1</v>
      </c>
      <c r="C3032" s="88" t="s">
        <v>5259</v>
      </c>
      <c r="D3032" s="88">
        <v>17737410</v>
      </c>
      <c r="E3032" s="88" t="s">
        <v>61</v>
      </c>
      <c r="F3032" s="88">
        <v>0</v>
      </c>
      <c r="G3032" s="78">
        <f>MAX(H3032,I3032,J3032)</f>
        <v>1</v>
      </c>
      <c r="H3032" s="88"/>
      <c r="I3032" s="88"/>
      <c r="J3032" s="78">
        <f>MAX(K3032:Q3032)</f>
        <v>1</v>
      </c>
      <c r="K3032" s="88"/>
      <c r="L3032" s="88"/>
      <c r="M3032" s="88">
        <v>1</v>
      </c>
      <c r="N3032" s="88"/>
      <c r="O3032" s="88"/>
      <c r="P3032" s="88"/>
      <c r="Q3032" s="88"/>
      <c r="R3032" s="78">
        <f>MAX(S3032:W3032)</f>
        <v>0</v>
      </c>
      <c r="S3032" s="88"/>
      <c r="T3032" s="88"/>
      <c r="U3032" s="88"/>
      <c r="V3032" s="88"/>
      <c r="W3032" s="88"/>
    </row>
    <row r="3033" spans="2:23" s="0" customFormat="0" ht="15">
      <c r="B3033" s="87" t="s">
        <v>1</v>
      </c>
      <c r="C3033" s="88" t="s">
        <v>5259</v>
      </c>
      <c r="D3033" s="88">
        <v>4582243</v>
      </c>
      <c r="E3033" s="88" t="s">
        <v>61</v>
      </c>
      <c r="F3033" s="88">
        <v>0</v>
      </c>
      <c r="G3033" s="78">
        <f>MAX(H3033,I3033,J3033)</f>
        <v>1</v>
      </c>
      <c r="H3033" s="88"/>
      <c r="I3033" s="88"/>
      <c r="J3033" s="78">
        <f>MAX(K3033:Q3033)</f>
        <v>1</v>
      </c>
      <c r="K3033" s="88">
        <v>1</v>
      </c>
      <c r="L3033" s="88"/>
      <c r="M3033" s="88"/>
      <c r="N3033" s="88"/>
      <c r="O3033" s="88"/>
      <c r="P3033" s="88"/>
      <c r="Q3033" s="88"/>
      <c r="R3033" s="78">
        <f>MAX(S3033:W3033)</f>
        <v>0</v>
      </c>
      <c r="S3033" s="88"/>
      <c r="T3033" s="88"/>
      <c r="U3033" s="88"/>
      <c r="V3033" s="88"/>
      <c r="W3033" s="88"/>
    </row>
    <row r="3034" spans="2:23" s="0" customFormat="0" ht="15">
      <c r="B3034" s="87" t="s">
        <v>1</v>
      </c>
      <c r="C3034" s="88" t="s">
        <v>5259</v>
      </c>
      <c r="D3034" s="88">
        <v>6380989</v>
      </c>
      <c r="E3034" s="88" t="s">
        <v>61</v>
      </c>
      <c r="F3034" s="88">
        <v>0</v>
      </c>
      <c r="G3034" s="78">
        <f>MAX(H3034,I3034,J3034)</f>
        <v>1</v>
      </c>
      <c r="H3034" s="88"/>
      <c r="I3034" s="88"/>
      <c r="J3034" s="78">
        <f>MAX(K3034:Q3034)</f>
        <v>1</v>
      </c>
      <c r="K3034" s="88">
        <v>1</v>
      </c>
      <c r="L3034" s="88"/>
      <c r="M3034" s="88"/>
      <c r="N3034" s="88"/>
      <c r="O3034" s="88"/>
      <c r="P3034" s="88"/>
      <c r="Q3034" s="88"/>
      <c r="R3034" s="78">
        <f>MAX(S3034:W3034)</f>
        <v>0</v>
      </c>
      <c r="S3034" s="88"/>
      <c r="T3034" s="88"/>
      <c r="U3034" s="88"/>
      <c r="V3034" s="88"/>
      <c r="W3034" s="88"/>
    </row>
    <row r="3035" spans="2:23" s="0" customFormat="0" ht="15">
      <c r="B3035" s="87" t="s">
        <v>1</v>
      </c>
      <c r="C3035" s="88" t="s">
        <v>5259</v>
      </c>
      <c r="D3035" s="88" t="s">
        <v>4379</v>
      </c>
      <c r="E3035" s="88" t="s">
        <v>61</v>
      </c>
      <c r="F3035" s="88">
        <v>0</v>
      </c>
      <c r="G3035" s="78">
        <f>MAX(H3035,I3035,J3035)</f>
        <v>0</v>
      </c>
      <c r="H3035" s="88"/>
      <c r="I3035" s="88"/>
      <c r="J3035" s="78">
        <f>MAX(K3035:Q3035)</f>
        <v>0</v>
      </c>
      <c r="K3035" s="88"/>
      <c r="L3035" s="88"/>
      <c r="M3035" s="88"/>
      <c r="N3035" s="88"/>
      <c r="O3035" s="88"/>
      <c r="P3035" s="88"/>
      <c r="Q3035" s="88"/>
      <c r="R3035" s="78">
        <f>MAX(S3035:W3035)</f>
        <v>1</v>
      </c>
      <c r="S3035" s="88"/>
      <c r="T3035" s="88"/>
      <c r="U3035" s="88">
        <v>1</v>
      </c>
      <c r="V3035" s="88"/>
      <c r="W3035" s="88"/>
    </row>
    <row r="3036" spans="2:23" s="0" customFormat="0" ht="15">
      <c r="B3036" s="87" t="s">
        <v>1</v>
      </c>
      <c r="C3036" s="88" t="s">
        <v>5259</v>
      </c>
      <c r="D3036" s="88">
        <v>22554515</v>
      </c>
      <c r="E3036" s="88" t="s">
        <v>61</v>
      </c>
      <c r="F3036" s="88">
        <v>0</v>
      </c>
      <c r="G3036" s="78">
        <f>MAX(H3036,I3036,J3036)</f>
        <v>0</v>
      </c>
      <c r="H3036" s="88"/>
      <c r="I3036" s="88"/>
      <c r="J3036" s="78">
        <f>MAX(K3036:Q3036)</f>
        <v>0</v>
      </c>
      <c r="K3036" s="88"/>
      <c r="L3036" s="88"/>
      <c r="M3036" s="88"/>
      <c r="N3036" s="88"/>
      <c r="O3036" s="88"/>
      <c r="P3036" s="88"/>
      <c r="Q3036" s="88"/>
      <c r="R3036" s="78">
        <f>MAX(S3036:W3036)</f>
        <v>1</v>
      </c>
      <c r="S3036" s="88"/>
      <c r="T3036" s="88"/>
      <c r="U3036" s="88">
        <v>1</v>
      </c>
      <c r="V3036" s="88"/>
      <c r="W3036" s="88"/>
    </row>
    <row r="3037" spans="2:23" s="0" customFormat="0" ht="15">
      <c r="B3037" s="87" t="s">
        <v>1</v>
      </c>
      <c r="C3037" s="88" t="s">
        <v>5259</v>
      </c>
      <c r="D3037" s="88">
        <v>17392711</v>
      </c>
      <c r="E3037" s="88" t="s">
        <v>61</v>
      </c>
      <c r="F3037" s="88">
        <v>0</v>
      </c>
      <c r="G3037" s="78">
        <f>MAX(H3037,I3037,J3037)</f>
        <v>1</v>
      </c>
      <c r="H3037" s="88"/>
      <c r="I3037" s="88"/>
      <c r="J3037" s="78">
        <f>MAX(K3037:Q3037)</f>
        <v>1</v>
      </c>
      <c r="K3037" s="88">
        <v>1</v>
      </c>
      <c r="L3037" s="88"/>
      <c r="M3037" s="88"/>
      <c r="N3037" s="88"/>
      <c r="O3037" s="88"/>
      <c r="P3037" s="88"/>
      <c r="Q3037" s="88"/>
      <c r="R3037" s="78">
        <f>MAX(S3037:W3037)</f>
        <v>0</v>
      </c>
      <c r="S3037" s="88"/>
      <c r="T3037" s="88"/>
      <c r="U3037" s="88"/>
      <c r="V3037" s="88"/>
      <c r="W3037" s="88"/>
    </row>
    <row r="3038" spans="2:23" s="0" customFormat="0" ht="15">
      <c r="B3038" s="87" t="s">
        <v>1</v>
      </c>
      <c r="C3038" s="88" t="s">
        <v>5259</v>
      </c>
      <c r="D3038" s="88" t="s">
        <v>2074</v>
      </c>
      <c r="E3038" s="88" t="s">
        <v>61</v>
      </c>
      <c r="F3038" s="88">
        <v>0</v>
      </c>
      <c r="G3038" s="78">
        <f>MAX(H3038,I3038,J3038)</f>
        <v>1</v>
      </c>
      <c r="H3038" s="88"/>
      <c r="I3038" s="88"/>
      <c r="J3038" s="78">
        <f>MAX(K3038:Q3038)</f>
        <v>1</v>
      </c>
      <c r="K3038" s="88">
        <v>1</v>
      </c>
      <c r="L3038" s="88"/>
      <c r="M3038" s="88"/>
      <c r="N3038" s="88"/>
      <c r="O3038" s="88"/>
      <c r="P3038" s="88"/>
      <c r="Q3038" s="88"/>
      <c r="R3038" s="78">
        <f>MAX(S3038:W3038)</f>
        <v>0</v>
      </c>
      <c r="S3038" s="88"/>
      <c r="T3038" s="88"/>
      <c r="U3038" s="88"/>
      <c r="V3038" s="88"/>
      <c r="W3038" s="88"/>
    </row>
    <row r="3039" spans="2:23" s="0" customFormat="0" ht="15">
      <c r="B3039" s="87" t="s">
        <v>1</v>
      </c>
      <c r="C3039" s="88" t="s">
        <v>5259</v>
      </c>
      <c r="D3039" s="88" t="s">
        <v>4615</v>
      </c>
      <c r="E3039" s="88" t="s">
        <v>61</v>
      </c>
      <c r="F3039" s="88">
        <v>0</v>
      </c>
      <c r="G3039" s="78">
        <f>MAX(H3039,I3039,J3039)</f>
        <v>0</v>
      </c>
      <c r="H3039" s="88"/>
      <c r="I3039" s="88"/>
      <c r="J3039" s="78">
        <f>MAX(K3039:Q3039)</f>
        <v>0</v>
      </c>
      <c r="K3039" s="88"/>
      <c r="L3039" s="88"/>
      <c r="M3039" s="88"/>
      <c r="N3039" s="88"/>
      <c r="O3039" s="88"/>
      <c r="P3039" s="88"/>
      <c r="Q3039" s="88"/>
      <c r="R3039" s="78">
        <f>MAX(S3039:W3039)</f>
        <v>1</v>
      </c>
      <c r="S3039" s="88"/>
      <c r="T3039" s="88"/>
      <c r="U3039" s="88">
        <v>1</v>
      </c>
      <c r="V3039" s="88"/>
      <c r="W3039" s="88"/>
    </row>
    <row r="3040" spans="2:23" s="0" customFormat="0" ht="15">
      <c r="B3040" s="87" t="s">
        <v>1</v>
      </c>
      <c r="C3040" s="88" t="s">
        <v>5259</v>
      </c>
      <c r="D3040" s="88">
        <v>9487915</v>
      </c>
      <c r="E3040" s="88" t="s">
        <v>61</v>
      </c>
      <c r="F3040" s="88">
        <v>0</v>
      </c>
      <c r="G3040" s="78">
        <f>MAX(H3040,I3040,J3040)</f>
        <v>1</v>
      </c>
      <c r="H3040" s="88"/>
      <c r="I3040" s="88"/>
      <c r="J3040" s="78">
        <f>MAX(K3040:Q3040)</f>
        <v>1</v>
      </c>
      <c r="K3040" s="88">
        <v>1</v>
      </c>
      <c r="L3040" s="88"/>
      <c r="M3040" s="88"/>
      <c r="N3040" s="88"/>
      <c r="O3040" s="88"/>
      <c r="P3040" s="88"/>
      <c r="Q3040" s="88"/>
      <c r="R3040" s="78">
        <f>MAX(S3040:W3040)</f>
        <v>0</v>
      </c>
      <c r="S3040" s="88"/>
      <c r="T3040" s="88"/>
      <c r="U3040" s="88"/>
      <c r="V3040" s="88"/>
      <c r="W3040" s="88"/>
    </row>
    <row r="3041" spans="2:23" s="0" customFormat="0" ht="15">
      <c r="B3041" s="87" t="s">
        <v>1</v>
      </c>
      <c r="C3041" s="88" t="s">
        <v>5259</v>
      </c>
      <c r="D3041" s="88" t="s">
        <v>4521</v>
      </c>
      <c r="E3041" s="88" t="s">
        <v>61</v>
      </c>
      <c r="F3041" s="88">
        <v>0</v>
      </c>
      <c r="G3041" s="78">
        <f>MAX(H3041,I3041,J3041)</f>
        <v>0</v>
      </c>
      <c r="H3041" s="88"/>
      <c r="I3041" s="88"/>
      <c r="J3041" s="78">
        <f>MAX(K3041:Q3041)</f>
        <v>0</v>
      </c>
      <c r="K3041" s="88"/>
      <c r="L3041" s="88"/>
      <c r="M3041" s="88"/>
      <c r="N3041" s="88"/>
      <c r="O3041" s="88"/>
      <c r="P3041" s="88"/>
      <c r="Q3041" s="88"/>
      <c r="R3041" s="78">
        <f>MAX(S3041:W3041)</f>
        <v>1</v>
      </c>
      <c r="S3041" s="88"/>
      <c r="T3041" s="88"/>
      <c r="U3041" s="88">
        <v>1</v>
      </c>
      <c r="V3041" s="88"/>
      <c r="W3041" s="88"/>
    </row>
    <row r="3042" spans="2:23" s="0" customFormat="0" ht="15">
      <c r="B3042" s="87" t="s">
        <v>1</v>
      </c>
      <c r="C3042" s="88" t="s">
        <v>5259</v>
      </c>
      <c r="D3042" s="88">
        <v>17147948</v>
      </c>
      <c r="E3042" s="88" t="s">
        <v>61</v>
      </c>
      <c r="F3042" s="88">
        <v>0</v>
      </c>
      <c r="G3042" s="78">
        <f>MAX(H3042,I3042,J3042)</f>
        <v>1</v>
      </c>
      <c r="H3042" s="88"/>
      <c r="I3042" s="88"/>
      <c r="J3042" s="78">
        <f>MAX(K3042:Q3042)</f>
        <v>1</v>
      </c>
      <c r="K3042" s="88">
        <v>1</v>
      </c>
      <c r="L3042" s="88"/>
      <c r="M3042" s="88"/>
      <c r="N3042" s="88"/>
      <c r="O3042" s="88"/>
      <c r="P3042" s="88"/>
      <c r="Q3042" s="88"/>
      <c r="R3042" s="78">
        <f>MAX(S3042:W3042)</f>
        <v>0</v>
      </c>
      <c r="S3042" s="88"/>
      <c r="T3042" s="88"/>
      <c r="U3042" s="88"/>
      <c r="V3042" s="88"/>
      <c r="W3042" s="88"/>
    </row>
    <row r="3043" spans="2:23" s="0" customFormat="0" ht="15">
      <c r="B3043" s="87" t="s">
        <v>1</v>
      </c>
      <c r="C3043" s="88" t="s">
        <v>5259</v>
      </c>
      <c r="D3043" s="88">
        <v>22857471</v>
      </c>
      <c r="E3043" s="88" t="s">
        <v>61</v>
      </c>
      <c r="F3043" s="88">
        <v>0</v>
      </c>
      <c r="G3043" s="78">
        <f>MAX(H3043,I3043,J3043)</f>
        <v>1</v>
      </c>
      <c r="H3043" s="88"/>
      <c r="I3043" s="88"/>
      <c r="J3043" s="78">
        <f>MAX(K3043:Q3043)</f>
        <v>1</v>
      </c>
      <c r="K3043" s="88">
        <v>1</v>
      </c>
      <c r="L3043" s="88"/>
      <c r="M3043" s="88"/>
      <c r="N3043" s="88"/>
      <c r="O3043" s="88"/>
      <c r="P3043" s="88"/>
      <c r="Q3043" s="88"/>
      <c r="R3043" s="78">
        <f>MAX(S3043:W3043)</f>
        <v>0</v>
      </c>
      <c r="S3043" s="88"/>
      <c r="T3043" s="88"/>
      <c r="U3043" s="88"/>
      <c r="V3043" s="88"/>
      <c r="W3043" s="88"/>
    </row>
    <row r="3044" spans="2:23" s="0" customFormat="0" ht="15">
      <c r="B3044" s="87" t="s">
        <v>1</v>
      </c>
      <c r="C3044" s="88" t="s">
        <v>5259</v>
      </c>
      <c r="D3044" s="88">
        <v>19686822</v>
      </c>
      <c r="E3044" s="88" t="s">
        <v>61</v>
      </c>
      <c r="F3044" s="88">
        <v>0</v>
      </c>
      <c r="G3044" s="78">
        <f>MAX(H3044,I3044,J3044)</f>
        <v>1</v>
      </c>
      <c r="H3044" s="88"/>
      <c r="I3044" s="88"/>
      <c r="J3044" s="78">
        <f>MAX(K3044:Q3044)</f>
        <v>1</v>
      </c>
      <c r="K3044" s="88">
        <v>1</v>
      </c>
      <c r="L3044" s="88"/>
      <c r="M3044" s="88"/>
      <c r="N3044" s="88"/>
      <c r="O3044" s="88"/>
      <c r="P3044" s="88"/>
      <c r="Q3044" s="88"/>
      <c r="R3044" s="78">
        <f>MAX(S3044:W3044)</f>
        <v>0</v>
      </c>
      <c r="S3044" s="88"/>
      <c r="T3044" s="88"/>
      <c r="U3044" s="88"/>
      <c r="V3044" s="88"/>
      <c r="W3044" s="88"/>
    </row>
    <row r="3045" spans="2:23" s="0" customFormat="0" ht="15">
      <c r="B3045" s="87" t="s">
        <v>1</v>
      </c>
      <c r="C3045" s="88" t="s">
        <v>5259</v>
      </c>
      <c r="D3045" s="88">
        <v>2931264</v>
      </c>
      <c r="E3045" s="88" t="s">
        <v>61</v>
      </c>
      <c r="F3045" s="88">
        <v>0</v>
      </c>
      <c r="G3045" s="78">
        <f>MAX(H3045,I3045,J3045)</f>
        <v>0</v>
      </c>
      <c r="H3045" s="88"/>
      <c r="I3045" s="88"/>
      <c r="J3045" s="78">
        <f>MAX(K3045:Q3045)</f>
        <v>0</v>
      </c>
      <c r="K3045" s="88"/>
      <c r="L3045" s="88"/>
      <c r="M3045" s="88"/>
      <c r="N3045" s="88"/>
      <c r="O3045" s="88"/>
      <c r="P3045" s="88"/>
      <c r="Q3045" s="88"/>
      <c r="R3045" s="78">
        <f>MAX(S3045:W3045)</f>
        <v>1</v>
      </c>
      <c r="S3045" s="88"/>
      <c r="T3045" s="88"/>
      <c r="U3045" s="88">
        <v>1</v>
      </c>
      <c r="V3045" s="88"/>
      <c r="W3045" s="88"/>
    </row>
    <row r="3046" spans="2:23" s="0" customFormat="0" ht="15">
      <c r="B3046" s="87" t="s">
        <v>1</v>
      </c>
      <c r="C3046" s="88" t="s">
        <v>5259</v>
      </c>
      <c r="D3046" s="88" t="s">
        <v>4618</v>
      </c>
      <c r="E3046" s="88" t="s">
        <v>61</v>
      </c>
      <c r="F3046" s="88">
        <v>0</v>
      </c>
      <c r="G3046" s="78">
        <f>MAX(H3046,I3046,J3046)</f>
        <v>0</v>
      </c>
      <c r="H3046" s="88"/>
      <c r="I3046" s="88"/>
      <c r="J3046" s="78">
        <f>MAX(K3046:Q3046)</f>
        <v>0</v>
      </c>
      <c r="K3046" s="88"/>
      <c r="L3046" s="88"/>
      <c r="M3046" s="88"/>
      <c r="N3046" s="88"/>
      <c r="O3046" s="88"/>
      <c r="P3046" s="88"/>
      <c r="Q3046" s="88"/>
      <c r="R3046" s="78">
        <f>MAX(S3046:W3046)</f>
        <v>1</v>
      </c>
      <c r="S3046" s="88"/>
      <c r="T3046" s="88"/>
      <c r="U3046" s="88">
        <v>1</v>
      </c>
      <c r="V3046" s="88"/>
      <c r="W3046" s="88"/>
    </row>
    <row r="3047" spans="2:23" s="0" customFormat="0" ht="15">
      <c r="B3047" s="87" t="s">
        <v>1</v>
      </c>
      <c r="C3047" s="88" t="s">
        <v>5259</v>
      </c>
      <c r="D3047" s="88" t="s">
        <v>479</v>
      </c>
      <c r="E3047" s="88" t="s">
        <v>61</v>
      </c>
      <c r="F3047" s="88">
        <v>0</v>
      </c>
      <c r="G3047" s="78">
        <f>MAX(H3047,I3047,J3047)</f>
        <v>1</v>
      </c>
      <c r="H3047" s="88"/>
      <c r="I3047" s="88"/>
      <c r="J3047" s="78">
        <f>MAX(K3047:Q3047)</f>
        <v>1</v>
      </c>
      <c r="K3047" s="88">
        <v>1</v>
      </c>
      <c r="L3047" s="88"/>
      <c r="M3047" s="88"/>
      <c r="N3047" s="88"/>
      <c r="O3047" s="88"/>
      <c r="P3047" s="88"/>
      <c r="Q3047" s="88"/>
      <c r="R3047" s="78">
        <f>MAX(S3047:W3047)</f>
        <v>0</v>
      </c>
      <c r="S3047" s="88"/>
      <c r="T3047" s="88"/>
      <c r="U3047" s="88"/>
      <c r="V3047" s="88"/>
      <c r="W3047" s="88"/>
    </row>
    <row r="3048" spans="2:23" s="0" customFormat="0" ht="15">
      <c r="B3048" s="87" t="s">
        <v>1</v>
      </c>
      <c r="C3048" s="88" t="s">
        <v>5259</v>
      </c>
      <c r="D3048" s="88">
        <v>19142221</v>
      </c>
      <c r="E3048" s="88" t="s">
        <v>61</v>
      </c>
      <c r="F3048" s="88">
        <v>0</v>
      </c>
      <c r="G3048" s="78">
        <f>MAX(H3048,I3048,J3048)</f>
        <v>1</v>
      </c>
      <c r="H3048" s="88"/>
      <c r="I3048" s="88"/>
      <c r="J3048" s="78">
        <f>MAX(K3048:Q3048)</f>
        <v>1</v>
      </c>
      <c r="K3048" s="88">
        <v>1</v>
      </c>
      <c r="L3048" s="88"/>
      <c r="M3048" s="88"/>
      <c r="N3048" s="88"/>
      <c r="O3048" s="88"/>
      <c r="P3048" s="88"/>
      <c r="Q3048" s="88"/>
      <c r="R3048" s="78">
        <f>MAX(S3048:W3048)</f>
        <v>0</v>
      </c>
      <c r="S3048" s="88"/>
      <c r="T3048" s="88"/>
      <c r="U3048" s="88"/>
      <c r="V3048" s="88"/>
      <c r="W3048" s="88"/>
    </row>
    <row r="3049" spans="2:23" s="0" customFormat="0" ht="15">
      <c r="B3049" s="87" t="s">
        <v>1</v>
      </c>
      <c r="C3049" s="88" t="s">
        <v>5259</v>
      </c>
      <c r="D3049" s="88">
        <v>20591727</v>
      </c>
      <c r="E3049" s="88" t="s">
        <v>61</v>
      </c>
      <c r="F3049" s="88">
        <v>0</v>
      </c>
      <c r="G3049" s="78">
        <f>MAX(H3049,I3049,J3049)</f>
        <v>1</v>
      </c>
      <c r="H3049" s="88"/>
      <c r="I3049" s="88"/>
      <c r="J3049" s="78">
        <f>MAX(K3049:Q3049)</f>
        <v>1</v>
      </c>
      <c r="K3049" s="88">
        <v>1</v>
      </c>
      <c r="L3049" s="88"/>
      <c r="M3049" s="88"/>
      <c r="N3049" s="88"/>
      <c r="O3049" s="88"/>
      <c r="P3049" s="88"/>
      <c r="Q3049" s="88"/>
      <c r="R3049" s="78">
        <f>MAX(S3049:W3049)</f>
        <v>0</v>
      </c>
      <c r="S3049" s="88"/>
      <c r="T3049" s="88"/>
      <c r="U3049" s="88"/>
      <c r="V3049" s="88"/>
      <c r="W3049" s="88"/>
    </row>
    <row r="3050" spans="2:23" s="0" customFormat="0" ht="15">
      <c r="B3050" s="87" t="s">
        <v>1</v>
      </c>
      <c r="C3050" s="88" t="s">
        <v>5259</v>
      </c>
      <c r="D3050" s="88" t="s">
        <v>2081</v>
      </c>
      <c r="E3050" s="88" t="s">
        <v>61</v>
      </c>
      <c r="F3050" s="88">
        <v>0</v>
      </c>
      <c r="G3050" s="78">
        <f>MAX(H3050,I3050,J3050)</f>
        <v>1</v>
      </c>
      <c r="H3050" s="88"/>
      <c r="I3050" s="88"/>
      <c r="J3050" s="78">
        <f>MAX(K3050:Q3050)</f>
        <v>1</v>
      </c>
      <c r="K3050" s="88">
        <v>1</v>
      </c>
      <c r="L3050" s="88"/>
      <c r="M3050" s="88"/>
      <c r="N3050" s="88"/>
      <c r="O3050" s="88"/>
      <c r="P3050" s="88"/>
      <c r="Q3050" s="88"/>
      <c r="R3050" s="78">
        <f>MAX(S3050:W3050)</f>
        <v>0</v>
      </c>
      <c r="S3050" s="88"/>
      <c r="T3050" s="88"/>
      <c r="U3050" s="88"/>
      <c r="V3050" s="88"/>
      <c r="W3050" s="88"/>
    </row>
    <row r="3051" spans="2:23" s="0" customFormat="0" ht="15">
      <c r="B3051" s="87" t="s">
        <v>1</v>
      </c>
      <c r="C3051" s="88" t="s">
        <v>5259</v>
      </c>
      <c r="D3051" s="88" t="s">
        <v>4620</v>
      </c>
      <c r="E3051" s="88" t="s">
        <v>61</v>
      </c>
      <c r="F3051" s="88">
        <v>0</v>
      </c>
      <c r="G3051" s="78">
        <f>MAX(H3051,I3051,J3051)</f>
        <v>0</v>
      </c>
      <c r="H3051" s="88"/>
      <c r="I3051" s="88"/>
      <c r="J3051" s="78">
        <f>MAX(K3051:Q3051)</f>
        <v>0</v>
      </c>
      <c r="K3051" s="88"/>
      <c r="L3051" s="88"/>
      <c r="M3051" s="88"/>
      <c r="N3051" s="88"/>
      <c r="O3051" s="88"/>
      <c r="P3051" s="88"/>
      <c r="Q3051" s="88"/>
      <c r="R3051" s="78">
        <f>MAX(S3051:W3051)</f>
        <v>1</v>
      </c>
      <c r="S3051" s="88"/>
      <c r="T3051" s="88"/>
      <c r="U3051" s="88">
        <v>1</v>
      </c>
      <c r="V3051" s="88"/>
      <c r="W3051" s="88"/>
    </row>
    <row r="3052" spans="2:23" s="0" customFormat="0" ht="15">
      <c r="B3052" s="87" t="s">
        <v>1</v>
      </c>
      <c r="C3052" s="88" t="s">
        <v>5259</v>
      </c>
      <c r="D3052" s="88" t="s">
        <v>2083</v>
      </c>
      <c r="E3052" s="88" t="s">
        <v>61</v>
      </c>
      <c r="F3052" s="88">
        <v>0</v>
      </c>
      <c r="G3052" s="78">
        <f>MAX(H3052,I3052,J3052)</f>
        <v>1</v>
      </c>
      <c r="H3052" s="88"/>
      <c r="I3052" s="88"/>
      <c r="J3052" s="78">
        <f>MAX(K3052:Q3052)</f>
        <v>1</v>
      </c>
      <c r="K3052" s="88">
        <v>1</v>
      </c>
      <c r="L3052" s="88"/>
      <c r="M3052" s="88"/>
      <c r="N3052" s="88"/>
      <c r="O3052" s="88"/>
      <c r="P3052" s="88"/>
      <c r="Q3052" s="88"/>
      <c r="R3052" s="78">
        <f>MAX(S3052:W3052)</f>
        <v>0</v>
      </c>
      <c r="S3052" s="88"/>
      <c r="T3052" s="88"/>
      <c r="U3052" s="88"/>
      <c r="V3052" s="88"/>
      <c r="W3052" s="88"/>
    </row>
    <row r="3053" spans="2:23" s="0" customFormat="0" ht="15">
      <c r="B3053" s="87" t="s">
        <v>1</v>
      </c>
      <c r="C3053" s="88" t="s">
        <v>5259</v>
      </c>
      <c r="D3053" s="88">
        <v>22623661</v>
      </c>
      <c r="E3053" s="88" t="s">
        <v>61</v>
      </c>
      <c r="F3053" s="88">
        <v>0</v>
      </c>
      <c r="G3053" s="78">
        <f>MAX(H3053,I3053,J3053)</f>
        <v>0</v>
      </c>
      <c r="H3053" s="88"/>
      <c r="I3053" s="88"/>
      <c r="J3053" s="78">
        <f>MAX(K3053:Q3053)</f>
        <v>0</v>
      </c>
      <c r="K3053" s="88"/>
      <c r="L3053" s="88"/>
      <c r="M3053" s="88"/>
      <c r="N3053" s="88"/>
      <c r="O3053" s="88"/>
      <c r="P3053" s="88"/>
      <c r="Q3053" s="88"/>
      <c r="R3053" s="78">
        <f>MAX(S3053:W3053)</f>
        <v>1</v>
      </c>
      <c r="S3053" s="88"/>
      <c r="T3053" s="88"/>
      <c r="U3053" s="88">
        <v>1</v>
      </c>
      <c r="V3053" s="88"/>
      <c r="W3053" s="88"/>
    </row>
    <row r="3054" spans="2:23" s="0" customFormat="0" ht="15">
      <c r="B3054" s="87" t="s">
        <v>1</v>
      </c>
      <c r="C3054" s="88" t="s">
        <v>5259</v>
      </c>
      <c r="D3054" s="88">
        <v>20394611</v>
      </c>
      <c r="E3054" s="88" t="s">
        <v>61</v>
      </c>
      <c r="F3054" s="88">
        <v>0</v>
      </c>
      <c r="G3054" s="78">
        <f>MAX(H3054,I3054,J3054)</f>
        <v>1</v>
      </c>
      <c r="H3054" s="88"/>
      <c r="I3054" s="88"/>
      <c r="J3054" s="78">
        <f>MAX(K3054:Q3054)</f>
        <v>1</v>
      </c>
      <c r="K3054" s="88"/>
      <c r="L3054" s="88"/>
      <c r="M3054" s="88">
        <v>1</v>
      </c>
      <c r="N3054" s="88"/>
      <c r="O3054" s="88"/>
      <c r="P3054" s="88"/>
      <c r="Q3054" s="88"/>
      <c r="R3054" s="78">
        <f>MAX(S3054:W3054)</f>
        <v>0</v>
      </c>
      <c r="S3054" s="88"/>
      <c r="T3054" s="88"/>
      <c r="U3054" s="88"/>
      <c r="V3054" s="88"/>
      <c r="W3054" s="88"/>
    </row>
    <row r="3055" spans="2:23" s="0" customFormat="0" ht="15">
      <c r="B3055" s="87" t="s">
        <v>1</v>
      </c>
      <c r="C3055" s="88" t="s">
        <v>5259</v>
      </c>
      <c r="D3055" s="88">
        <v>19863541</v>
      </c>
      <c r="E3055" s="88" t="s">
        <v>61</v>
      </c>
      <c r="F3055" s="88">
        <v>0</v>
      </c>
      <c r="G3055" s="78">
        <f>MAX(H3055,I3055,J3055)</f>
        <v>1</v>
      </c>
      <c r="H3055" s="88"/>
      <c r="I3055" s="88"/>
      <c r="J3055" s="78">
        <f>MAX(K3055:Q3055)</f>
        <v>1</v>
      </c>
      <c r="K3055" s="88">
        <v>1</v>
      </c>
      <c r="L3055" s="88"/>
      <c r="M3055" s="88"/>
      <c r="N3055" s="88"/>
      <c r="O3055" s="88"/>
      <c r="P3055" s="88"/>
      <c r="Q3055" s="88"/>
      <c r="R3055" s="78">
        <f>MAX(S3055:W3055)</f>
        <v>0</v>
      </c>
      <c r="S3055" s="88"/>
      <c r="T3055" s="88"/>
      <c r="U3055" s="88"/>
      <c r="V3055" s="88"/>
      <c r="W3055" s="88"/>
    </row>
    <row r="3056" spans="2:23" s="0" customFormat="0" ht="15">
      <c r="B3056" s="87" t="s">
        <v>1</v>
      </c>
      <c r="C3056" s="88" t="s">
        <v>5259</v>
      </c>
      <c r="D3056" s="88" t="s">
        <v>4623</v>
      </c>
      <c r="E3056" s="88" t="s">
        <v>61</v>
      </c>
      <c r="F3056" s="88">
        <v>0</v>
      </c>
      <c r="G3056" s="78">
        <f>MAX(H3056,I3056,J3056)</f>
        <v>0</v>
      </c>
      <c r="H3056" s="88"/>
      <c r="I3056" s="88"/>
      <c r="J3056" s="78">
        <f>MAX(K3056:Q3056)</f>
        <v>0</v>
      </c>
      <c r="K3056" s="88"/>
      <c r="L3056" s="88"/>
      <c r="M3056" s="88"/>
      <c r="N3056" s="88"/>
      <c r="O3056" s="88"/>
      <c r="P3056" s="88"/>
      <c r="Q3056" s="88"/>
      <c r="R3056" s="78">
        <f>MAX(S3056:W3056)</f>
        <v>1</v>
      </c>
      <c r="S3056" s="88"/>
      <c r="T3056" s="88"/>
      <c r="U3056" s="88">
        <v>1</v>
      </c>
      <c r="V3056" s="88"/>
      <c r="W3056" s="88"/>
    </row>
    <row r="3057" spans="2:23" s="0" customFormat="0" ht="15">
      <c r="B3057" s="87" t="s">
        <v>1</v>
      </c>
      <c r="C3057" s="88" t="s">
        <v>5259</v>
      </c>
      <c r="D3057" s="88">
        <v>19761708</v>
      </c>
      <c r="E3057" s="88" t="s">
        <v>61</v>
      </c>
      <c r="F3057" s="88">
        <v>0</v>
      </c>
      <c r="G3057" s="78">
        <f>MAX(H3057,I3057,J3057)</f>
        <v>1</v>
      </c>
      <c r="H3057" s="88"/>
      <c r="I3057" s="88"/>
      <c r="J3057" s="78">
        <f>MAX(K3057:Q3057)</f>
        <v>1</v>
      </c>
      <c r="K3057" s="88">
        <v>1</v>
      </c>
      <c r="L3057" s="88"/>
      <c r="M3057" s="88"/>
      <c r="N3057" s="88"/>
      <c r="O3057" s="88"/>
      <c r="P3057" s="88"/>
      <c r="Q3057" s="88"/>
      <c r="R3057" s="78">
        <f>MAX(S3057:W3057)</f>
        <v>0</v>
      </c>
      <c r="S3057" s="88"/>
      <c r="T3057" s="88"/>
      <c r="U3057" s="88"/>
      <c r="V3057" s="88"/>
      <c r="W3057" s="88"/>
    </row>
    <row r="3058" spans="2:23" s="0" customFormat="0" ht="15">
      <c r="B3058" s="87" t="s">
        <v>1</v>
      </c>
      <c r="C3058" s="88" t="s">
        <v>5259</v>
      </c>
      <c r="D3058" s="88">
        <v>12412640</v>
      </c>
      <c r="E3058" s="88" t="s">
        <v>61</v>
      </c>
      <c r="F3058" s="88">
        <v>0</v>
      </c>
      <c r="G3058" s="78">
        <f>MAX(H3058,I3058,J3058)</f>
        <v>1</v>
      </c>
      <c r="H3058" s="88"/>
      <c r="I3058" s="88"/>
      <c r="J3058" s="78">
        <f>MAX(K3058:Q3058)</f>
        <v>1</v>
      </c>
      <c r="K3058" s="88">
        <v>1</v>
      </c>
      <c r="L3058" s="88"/>
      <c r="M3058" s="88"/>
      <c r="N3058" s="88"/>
      <c r="O3058" s="88"/>
      <c r="P3058" s="88"/>
      <c r="Q3058" s="88"/>
      <c r="R3058" s="78">
        <f>MAX(S3058:W3058)</f>
        <v>0</v>
      </c>
      <c r="S3058" s="88"/>
      <c r="T3058" s="88"/>
      <c r="U3058" s="88"/>
      <c r="V3058" s="88"/>
      <c r="W3058" s="88"/>
    </row>
    <row r="3059" spans="2:23" s="0" customFormat="0" ht="15">
      <c r="B3059" s="87" t="s">
        <v>1</v>
      </c>
      <c r="C3059" s="88" t="s">
        <v>5259</v>
      </c>
      <c r="D3059" s="88">
        <v>6463543</v>
      </c>
      <c r="E3059" s="88" t="s">
        <v>61</v>
      </c>
      <c r="F3059" s="88">
        <v>0</v>
      </c>
      <c r="G3059" s="78">
        <f>MAX(H3059,I3059,J3059)</f>
        <v>1</v>
      </c>
      <c r="H3059" s="88"/>
      <c r="I3059" s="88"/>
      <c r="J3059" s="78">
        <f>MAX(K3059:Q3059)</f>
        <v>1</v>
      </c>
      <c r="K3059" s="88">
        <v>1</v>
      </c>
      <c r="L3059" s="88"/>
      <c r="M3059" s="88"/>
      <c r="N3059" s="88"/>
      <c r="O3059" s="88"/>
      <c r="P3059" s="88"/>
      <c r="Q3059" s="88"/>
      <c r="R3059" s="78">
        <f>MAX(S3059:W3059)</f>
        <v>0</v>
      </c>
      <c r="S3059" s="88"/>
      <c r="T3059" s="88"/>
      <c r="U3059" s="88"/>
      <c r="V3059" s="88"/>
      <c r="W3059" s="88"/>
    </row>
    <row r="3060" spans="2:23" s="0" customFormat="0" ht="15">
      <c r="B3060" s="87" t="s">
        <v>1</v>
      </c>
      <c r="C3060" s="88" t="s">
        <v>5259</v>
      </c>
      <c r="D3060" s="88" t="s">
        <v>4150</v>
      </c>
      <c r="E3060" s="88" t="s">
        <v>61</v>
      </c>
      <c r="F3060" s="88">
        <v>0</v>
      </c>
      <c r="G3060" s="78">
        <f>MAX(H3060,I3060,J3060)</f>
        <v>0</v>
      </c>
      <c r="H3060" s="88"/>
      <c r="I3060" s="88"/>
      <c r="J3060" s="78">
        <f>MAX(K3060:Q3060)</f>
        <v>0</v>
      </c>
      <c r="K3060" s="88"/>
      <c r="L3060" s="88"/>
      <c r="M3060" s="88"/>
      <c r="N3060" s="88"/>
      <c r="O3060" s="88"/>
      <c r="P3060" s="88"/>
      <c r="Q3060" s="88"/>
      <c r="R3060" s="78">
        <f>MAX(S3060:W3060)</f>
        <v>1</v>
      </c>
      <c r="S3060" s="88"/>
      <c r="T3060" s="88"/>
      <c r="U3060" s="88">
        <v>1</v>
      </c>
      <c r="V3060" s="88"/>
      <c r="W3060" s="88"/>
    </row>
    <row r="3061" spans="2:23" s="0" customFormat="0" ht="15">
      <c r="B3061" s="87" t="s">
        <v>1</v>
      </c>
      <c r="C3061" s="88" t="s">
        <v>5259</v>
      </c>
      <c r="D3061" s="88">
        <v>18542337</v>
      </c>
      <c r="E3061" s="88" t="s">
        <v>61</v>
      </c>
      <c r="F3061" s="88">
        <v>0</v>
      </c>
      <c r="G3061" s="78">
        <f>MAX(H3061,I3061,J3061)</f>
        <v>1</v>
      </c>
      <c r="H3061" s="88"/>
      <c r="I3061" s="88"/>
      <c r="J3061" s="78">
        <f>MAX(K3061:Q3061)</f>
        <v>1</v>
      </c>
      <c r="K3061" s="88">
        <v>1</v>
      </c>
      <c r="L3061" s="88"/>
      <c r="M3061" s="88"/>
      <c r="N3061" s="88"/>
      <c r="O3061" s="88"/>
      <c r="P3061" s="88"/>
      <c r="Q3061" s="88"/>
      <c r="R3061" s="78">
        <f>MAX(S3061:W3061)</f>
        <v>0</v>
      </c>
      <c r="S3061" s="88"/>
      <c r="T3061" s="88"/>
      <c r="U3061" s="88"/>
      <c r="V3061" s="88"/>
      <c r="W3061" s="88"/>
    </row>
    <row r="3062" spans="2:23" s="0" customFormat="0" ht="15">
      <c r="B3062" s="87" t="s">
        <v>1</v>
      </c>
      <c r="C3062" s="88" t="s">
        <v>5259</v>
      </c>
      <c r="D3062" s="88" t="s">
        <v>3256</v>
      </c>
      <c r="E3062" s="88" t="s">
        <v>61</v>
      </c>
      <c r="F3062" s="88">
        <v>0</v>
      </c>
      <c r="G3062" s="78">
        <f>MAX(H3062,I3062,J3062)</f>
        <v>0</v>
      </c>
      <c r="H3062" s="88"/>
      <c r="I3062" s="88"/>
      <c r="J3062" s="78">
        <f>MAX(K3062:Q3062)</f>
        <v>0</v>
      </c>
      <c r="K3062" s="88"/>
      <c r="L3062" s="88"/>
      <c r="M3062" s="88"/>
      <c r="N3062" s="88"/>
      <c r="O3062" s="88"/>
      <c r="P3062" s="88"/>
      <c r="Q3062" s="88"/>
      <c r="R3062" s="78">
        <f>MAX(S3062:W3062)</f>
        <v>1</v>
      </c>
      <c r="S3062" s="88"/>
      <c r="T3062" s="88"/>
      <c r="U3062" s="88"/>
      <c r="V3062" s="88">
        <v>1</v>
      </c>
      <c r="W3062" s="88"/>
    </row>
    <row r="3063" spans="2:23" s="0" customFormat="0" ht="15">
      <c r="B3063" s="87" t="s">
        <v>1</v>
      </c>
      <c r="C3063" s="88" t="s">
        <v>5259</v>
      </c>
      <c r="D3063" s="88">
        <v>20791397</v>
      </c>
      <c r="E3063" s="88" t="s">
        <v>61</v>
      </c>
      <c r="F3063" s="88">
        <v>0</v>
      </c>
      <c r="G3063" s="78">
        <f>MAX(H3063,I3063,J3063)</f>
        <v>1</v>
      </c>
      <c r="H3063" s="88"/>
      <c r="I3063" s="88"/>
      <c r="J3063" s="78">
        <f>MAX(K3063:Q3063)</f>
        <v>1</v>
      </c>
      <c r="K3063" s="88">
        <v>1</v>
      </c>
      <c r="L3063" s="88"/>
      <c r="M3063" s="88"/>
      <c r="N3063" s="88"/>
      <c r="O3063" s="88"/>
      <c r="P3063" s="88"/>
      <c r="Q3063" s="88"/>
      <c r="R3063" s="78">
        <f>MAX(S3063:W3063)</f>
        <v>0</v>
      </c>
      <c r="S3063" s="88"/>
      <c r="T3063" s="88"/>
      <c r="U3063" s="88"/>
      <c r="V3063" s="88"/>
      <c r="W3063" s="88"/>
    </row>
    <row r="3064" spans="2:23" s="0" customFormat="0" ht="15">
      <c r="B3064" s="87" t="s">
        <v>1</v>
      </c>
      <c r="C3064" s="88" t="s">
        <v>5259</v>
      </c>
      <c r="D3064" s="88" t="s">
        <v>4371</v>
      </c>
      <c r="E3064" s="88" t="s">
        <v>61</v>
      </c>
      <c r="F3064" s="88">
        <v>0</v>
      </c>
      <c r="G3064" s="78">
        <f>MAX(H3064,I3064,J3064)</f>
        <v>0</v>
      </c>
      <c r="H3064" s="88"/>
      <c r="I3064" s="88"/>
      <c r="J3064" s="78">
        <f>MAX(K3064:Q3064)</f>
        <v>0</v>
      </c>
      <c r="K3064" s="88"/>
      <c r="L3064" s="88"/>
      <c r="M3064" s="88"/>
      <c r="N3064" s="88"/>
      <c r="O3064" s="88"/>
      <c r="P3064" s="88"/>
      <c r="Q3064" s="88"/>
      <c r="R3064" s="78">
        <f>MAX(S3064:W3064)</f>
        <v>1</v>
      </c>
      <c r="S3064" s="88"/>
      <c r="T3064" s="88"/>
      <c r="U3064" s="88">
        <v>1</v>
      </c>
      <c r="V3064" s="88"/>
      <c r="W3064" s="88"/>
    </row>
    <row r="3065" spans="2:23" s="0" customFormat="0" ht="15">
      <c r="B3065" s="87" t="s">
        <v>1</v>
      </c>
      <c r="C3065" s="88" t="s">
        <v>5259</v>
      </c>
      <c r="D3065" s="88">
        <v>222886</v>
      </c>
      <c r="E3065" s="88" t="s">
        <v>61</v>
      </c>
      <c r="F3065" s="88">
        <v>0</v>
      </c>
      <c r="G3065" s="78">
        <f>MAX(H3065,I3065,J3065)</f>
        <v>1</v>
      </c>
      <c r="H3065" s="88"/>
      <c r="I3065" s="88"/>
      <c r="J3065" s="78">
        <f>MAX(K3065:Q3065)</f>
        <v>1</v>
      </c>
      <c r="K3065" s="88">
        <v>1</v>
      </c>
      <c r="L3065" s="88"/>
      <c r="M3065" s="88"/>
      <c r="N3065" s="88"/>
      <c r="O3065" s="88"/>
      <c r="P3065" s="88"/>
      <c r="Q3065" s="88"/>
      <c r="R3065" s="78">
        <f>MAX(S3065:W3065)</f>
        <v>0</v>
      </c>
      <c r="S3065" s="88"/>
      <c r="T3065" s="88"/>
      <c r="U3065" s="88"/>
      <c r="V3065" s="88"/>
      <c r="W3065" s="88"/>
    </row>
    <row r="3066" spans="2:23" s="0" customFormat="0" ht="15">
      <c r="B3066" s="87" t="s">
        <v>1</v>
      </c>
      <c r="C3066" s="88" t="s">
        <v>5259</v>
      </c>
      <c r="D3066" s="88" t="s">
        <v>1276</v>
      </c>
      <c r="E3066" s="88" t="s">
        <v>61</v>
      </c>
      <c r="F3066" s="88">
        <v>0</v>
      </c>
      <c r="G3066" s="78">
        <f>MAX(H3066,I3066,J3066)</f>
        <v>1</v>
      </c>
      <c r="H3066" s="88"/>
      <c r="I3066" s="88"/>
      <c r="J3066" s="78">
        <f>MAX(K3066:Q3066)</f>
        <v>1</v>
      </c>
      <c r="K3066" s="88">
        <v>1</v>
      </c>
      <c r="L3066" s="88"/>
      <c r="M3066" s="88"/>
      <c r="N3066" s="88"/>
      <c r="O3066" s="88"/>
      <c r="P3066" s="88"/>
      <c r="Q3066" s="88"/>
      <c r="R3066" s="78">
        <f>MAX(S3066:W3066)</f>
        <v>0</v>
      </c>
      <c r="S3066" s="88"/>
      <c r="T3066" s="88"/>
      <c r="U3066" s="88"/>
      <c r="V3066" s="88"/>
      <c r="W3066" s="88"/>
    </row>
    <row r="3067" spans="2:23" s="0" customFormat="0" ht="15">
      <c r="B3067" s="87" t="s">
        <v>1</v>
      </c>
      <c r="C3067" s="88" t="s">
        <v>5259</v>
      </c>
      <c r="D3067" s="88" t="s">
        <v>4625</v>
      </c>
      <c r="E3067" s="88" t="s">
        <v>61</v>
      </c>
      <c r="F3067" s="88">
        <v>0</v>
      </c>
      <c r="G3067" s="78">
        <f>MAX(H3067,I3067,J3067)</f>
        <v>0</v>
      </c>
      <c r="H3067" s="88"/>
      <c r="I3067" s="88"/>
      <c r="J3067" s="78">
        <f>MAX(K3067:Q3067)</f>
        <v>0</v>
      </c>
      <c r="K3067" s="88"/>
      <c r="L3067" s="88"/>
      <c r="M3067" s="88"/>
      <c r="N3067" s="88"/>
      <c r="O3067" s="88"/>
      <c r="P3067" s="88"/>
      <c r="Q3067" s="88"/>
      <c r="R3067" s="78">
        <f>MAX(S3067:W3067)</f>
        <v>1</v>
      </c>
      <c r="S3067" s="88"/>
      <c r="T3067" s="88"/>
      <c r="U3067" s="88">
        <v>1</v>
      </c>
      <c r="V3067" s="88"/>
      <c r="W3067" s="88"/>
    </row>
    <row r="3068" spans="2:23" s="0" customFormat="0" ht="15">
      <c r="B3068" s="87" t="s">
        <v>1</v>
      </c>
      <c r="C3068" s="88" t="s">
        <v>5259</v>
      </c>
      <c r="D3068" s="88">
        <v>15647467</v>
      </c>
      <c r="E3068" s="88" t="s">
        <v>61</v>
      </c>
      <c r="F3068" s="88">
        <v>0</v>
      </c>
      <c r="G3068" s="78">
        <f>MAX(H3068,I3068,J3068)</f>
        <v>1</v>
      </c>
      <c r="H3068" s="88"/>
      <c r="I3068" s="88"/>
      <c r="J3068" s="78">
        <f>MAX(K3068:Q3068)</f>
        <v>1</v>
      </c>
      <c r="K3068" s="88">
        <v>1</v>
      </c>
      <c r="L3068" s="88"/>
      <c r="M3068" s="88"/>
      <c r="N3068" s="88"/>
      <c r="O3068" s="88"/>
      <c r="P3068" s="88"/>
      <c r="Q3068" s="88"/>
      <c r="R3068" s="78">
        <f>MAX(S3068:W3068)</f>
        <v>0</v>
      </c>
      <c r="S3068" s="88"/>
      <c r="T3068" s="88"/>
      <c r="U3068" s="88"/>
      <c r="V3068" s="88"/>
      <c r="W3068" s="88"/>
    </row>
    <row r="3069" spans="2:23" s="0" customFormat="0" ht="15">
      <c r="B3069" s="87" t="s">
        <v>1</v>
      </c>
      <c r="C3069" s="88" t="s">
        <v>5259</v>
      </c>
      <c r="D3069" s="88" t="s">
        <v>4627</v>
      </c>
      <c r="E3069" s="88" t="s">
        <v>61</v>
      </c>
      <c r="F3069" s="88">
        <v>0</v>
      </c>
      <c r="G3069" s="78">
        <f>MAX(H3069,I3069,J3069)</f>
        <v>0</v>
      </c>
      <c r="H3069" s="88"/>
      <c r="I3069" s="88"/>
      <c r="J3069" s="78">
        <f>MAX(K3069:Q3069)</f>
        <v>0</v>
      </c>
      <c r="K3069" s="88"/>
      <c r="L3069" s="88"/>
      <c r="M3069" s="88"/>
      <c r="N3069" s="88"/>
      <c r="O3069" s="88"/>
      <c r="P3069" s="88"/>
      <c r="Q3069" s="88"/>
      <c r="R3069" s="78">
        <f>MAX(S3069:W3069)</f>
        <v>1</v>
      </c>
      <c r="S3069" s="88"/>
      <c r="T3069" s="88"/>
      <c r="U3069" s="88">
        <v>1</v>
      </c>
      <c r="V3069" s="88"/>
      <c r="W3069" s="88"/>
    </row>
    <row r="3070" spans="2:23" s="0" customFormat="0" ht="15">
      <c r="B3070" s="87" t="s">
        <v>1</v>
      </c>
      <c r="C3070" s="88" t="s">
        <v>5259</v>
      </c>
      <c r="D3070" s="88" t="s">
        <v>4078</v>
      </c>
      <c r="E3070" s="88" t="s">
        <v>61</v>
      </c>
      <c r="F3070" s="88">
        <v>0</v>
      </c>
      <c r="G3070" s="78">
        <f>MAX(H3070,I3070,J3070)</f>
        <v>0</v>
      </c>
      <c r="H3070" s="88"/>
      <c r="I3070" s="88"/>
      <c r="J3070" s="78">
        <f>MAX(K3070:Q3070)</f>
        <v>0</v>
      </c>
      <c r="K3070" s="88"/>
      <c r="L3070" s="88"/>
      <c r="M3070" s="88"/>
      <c r="N3070" s="88"/>
      <c r="O3070" s="88"/>
      <c r="P3070" s="88"/>
      <c r="Q3070" s="88"/>
      <c r="R3070" s="78">
        <f>MAX(S3070:W3070)</f>
        <v>1</v>
      </c>
      <c r="S3070" s="88"/>
      <c r="T3070" s="88"/>
      <c r="U3070" s="88">
        <v>1</v>
      </c>
      <c r="V3070" s="88"/>
      <c r="W3070" s="88"/>
    </row>
    <row r="3071" spans="2:23" s="0" customFormat="0" ht="15">
      <c r="B3071" s="87" t="s">
        <v>1</v>
      </c>
      <c r="C3071" s="88" t="s">
        <v>5259</v>
      </c>
      <c r="D3071" s="88">
        <v>19653090</v>
      </c>
      <c r="E3071" s="88" t="s">
        <v>61</v>
      </c>
      <c r="F3071" s="88">
        <v>0</v>
      </c>
      <c r="G3071" s="78">
        <f>MAX(H3071,I3071,J3071)</f>
        <v>1</v>
      </c>
      <c r="H3071" s="88"/>
      <c r="I3071" s="88"/>
      <c r="J3071" s="78">
        <f>MAX(K3071:Q3071)</f>
        <v>1</v>
      </c>
      <c r="K3071" s="88">
        <v>1</v>
      </c>
      <c r="L3071" s="88"/>
      <c r="M3071" s="88"/>
      <c r="N3071" s="88"/>
      <c r="O3071" s="88"/>
      <c r="P3071" s="88"/>
      <c r="Q3071" s="88"/>
      <c r="R3071" s="78">
        <f>MAX(S3071:W3071)</f>
        <v>0</v>
      </c>
      <c r="S3071" s="88"/>
      <c r="T3071" s="88"/>
      <c r="U3071" s="88"/>
      <c r="V3071" s="88"/>
      <c r="W3071" s="88"/>
    </row>
    <row r="3072" spans="2:23" s="0" customFormat="0" ht="15">
      <c r="B3072" s="87" t="s">
        <v>1</v>
      </c>
      <c r="C3072" s="88" t="s">
        <v>5259</v>
      </c>
      <c r="D3072" s="88" t="s">
        <v>2087</v>
      </c>
      <c r="E3072" s="88" t="s">
        <v>61</v>
      </c>
      <c r="F3072" s="88">
        <v>0</v>
      </c>
      <c r="G3072" s="78">
        <f>MAX(H3072,I3072,J3072)</f>
        <v>1</v>
      </c>
      <c r="H3072" s="88"/>
      <c r="I3072" s="88"/>
      <c r="J3072" s="78">
        <f>MAX(K3072:Q3072)</f>
        <v>1</v>
      </c>
      <c r="K3072" s="88">
        <v>1</v>
      </c>
      <c r="L3072" s="88"/>
      <c r="M3072" s="88"/>
      <c r="N3072" s="88"/>
      <c r="O3072" s="88"/>
      <c r="P3072" s="88"/>
      <c r="Q3072" s="88"/>
      <c r="R3072" s="78">
        <f>MAX(S3072:W3072)</f>
        <v>0</v>
      </c>
      <c r="S3072" s="88"/>
      <c r="T3072" s="88"/>
      <c r="U3072" s="88"/>
      <c r="V3072" s="88"/>
      <c r="W3072" s="88"/>
    </row>
    <row r="3073" spans="2:23" s="0" customFormat="0" ht="15">
      <c r="B3073" s="87" t="s">
        <v>1</v>
      </c>
      <c r="C3073" s="88" t="s">
        <v>5259</v>
      </c>
      <c r="D3073" s="88">
        <v>20908882</v>
      </c>
      <c r="E3073" s="88" t="s">
        <v>61</v>
      </c>
      <c r="F3073" s="88">
        <v>0</v>
      </c>
      <c r="G3073" s="78">
        <f>MAX(H3073,I3073,J3073)</f>
        <v>1</v>
      </c>
      <c r="H3073" s="88"/>
      <c r="I3073" s="88"/>
      <c r="J3073" s="78">
        <f>MAX(K3073:Q3073)</f>
        <v>1</v>
      </c>
      <c r="K3073" s="88">
        <v>1</v>
      </c>
      <c r="L3073" s="88"/>
      <c r="M3073" s="88"/>
      <c r="N3073" s="88"/>
      <c r="O3073" s="88"/>
      <c r="P3073" s="88"/>
      <c r="Q3073" s="88"/>
      <c r="R3073" s="78">
        <f>MAX(S3073:W3073)</f>
        <v>0</v>
      </c>
      <c r="S3073" s="88"/>
      <c r="T3073" s="88"/>
      <c r="U3073" s="88"/>
      <c r="V3073" s="88"/>
      <c r="W3073" s="88"/>
    </row>
    <row r="3074" spans="2:23" s="0" customFormat="0" ht="15">
      <c r="B3074" s="87" t="s">
        <v>1</v>
      </c>
      <c r="C3074" s="88" t="s">
        <v>5259</v>
      </c>
      <c r="D3074" s="88">
        <v>19695570</v>
      </c>
      <c r="E3074" s="88" t="s">
        <v>61</v>
      </c>
      <c r="F3074" s="88">
        <v>0</v>
      </c>
      <c r="G3074" s="78">
        <f>MAX(H3074,I3074,J3074)</f>
        <v>1</v>
      </c>
      <c r="H3074" s="88"/>
      <c r="I3074" s="88"/>
      <c r="J3074" s="78">
        <f>MAX(K3074:Q3074)</f>
        <v>1</v>
      </c>
      <c r="K3074" s="88">
        <v>1</v>
      </c>
      <c r="L3074" s="88"/>
      <c r="M3074" s="88"/>
      <c r="N3074" s="88"/>
      <c r="O3074" s="88"/>
      <c r="P3074" s="88"/>
      <c r="Q3074" s="88"/>
      <c r="R3074" s="78">
        <f>MAX(S3074:W3074)</f>
        <v>0</v>
      </c>
      <c r="S3074" s="88"/>
      <c r="T3074" s="88"/>
      <c r="U3074" s="88"/>
      <c r="V3074" s="88"/>
      <c r="W3074" s="88"/>
    </row>
    <row r="3075" spans="2:23" s="0" customFormat="0" ht="15">
      <c r="B3075" s="87" t="s">
        <v>1</v>
      </c>
      <c r="C3075" s="88" t="s">
        <v>5259</v>
      </c>
      <c r="D3075" s="88" t="s">
        <v>4629</v>
      </c>
      <c r="E3075" s="88" t="s">
        <v>61</v>
      </c>
      <c r="F3075" s="88">
        <v>0</v>
      </c>
      <c r="G3075" s="78">
        <f>MAX(H3075,I3075,J3075)</f>
        <v>0</v>
      </c>
      <c r="H3075" s="88"/>
      <c r="I3075" s="88"/>
      <c r="J3075" s="78">
        <f>MAX(K3075:Q3075)</f>
        <v>0</v>
      </c>
      <c r="K3075" s="88"/>
      <c r="L3075" s="88"/>
      <c r="M3075" s="88"/>
      <c r="N3075" s="88"/>
      <c r="O3075" s="88"/>
      <c r="P3075" s="88"/>
      <c r="Q3075" s="88"/>
      <c r="R3075" s="78">
        <f>MAX(S3075:W3075)</f>
        <v>1</v>
      </c>
      <c r="S3075" s="88"/>
      <c r="T3075" s="88"/>
      <c r="U3075" s="88">
        <v>1</v>
      </c>
      <c r="V3075" s="88"/>
      <c r="W3075" s="88"/>
    </row>
    <row r="3076" spans="2:23" s="0" customFormat="0" ht="15">
      <c r="B3076" s="87" t="s">
        <v>1</v>
      </c>
      <c r="C3076" s="88" t="s">
        <v>5259</v>
      </c>
      <c r="D3076" s="88">
        <v>19272727</v>
      </c>
      <c r="E3076" s="88" t="s">
        <v>61</v>
      </c>
      <c r="F3076" s="88">
        <v>0</v>
      </c>
      <c r="G3076" s="78">
        <f>MAX(H3076,I3076,J3076)</f>
        <v>1</v>
      </c>
      <c r="H3076" s="88"/>
      <c r="I3076" s="88"/>
      <c r="J3076" s="78">
        <f>MAX(K3076:Q3076)</f>
        <v>1</v>
      </c>
      <c r="K3076" s="88">
        <v>1</v>
      </c>
      <c r="L3076" s="88"/>
      <c r="M3076" s="88"/>
      <c r="N3076" s="88"/>
      <c r="O3076" s="88"/>
      <c r="P3076" s="88"/>
      <c r="Q3076" s="88"/>
      <c r="R3076" s="78">
        <f>MAX(S3076:W3076)</f>
        <v>0</v>
      </c>
      <c r="S3076" s="88"/>
      <c r="T3076" s="88"/>
      <c r="U3076" s="88"/>
      <c r="V3076" s="88"/>
      <c r="W3076" s="88"/>
    </row>
    <row r="3077" spans="2:23" s="0" customFormat="0" ht="15">
      <c r="B3077" s="87" t="s">
        <v>1</v>
      </c>
      <c r="C3077" s="88" t="s">
        <v>5259</v>
      </c>
      <c r="D3077" s="88" t="s">
        <v>4318</v>
      </c>
      <c r="E3077" s="88" t="s">
        <v>61</v>
      </c>
      <c r="F3077" s="88">
        <v>0</v>
      </c>
      <c r="G3077" s="78">
        <f>MAX(H3077,I3077,J3077)</f>
        <v>0</v>
      </c>
      <c r="H3077" s="88"/>
      <c r="I3077" s="88"/>
      <c r="J3077" s="78">
        <f>MAX(K3077:Q3077)</f>
        <v>0</v>
      </c>
      <c r="K3077" s="88"/>
      <c r="L3077" s="88"/>
      <c r="M3077" s="88"/>
      <c r="N3077" s="88"/>
      <c r="O3077" s="88"/>
      <c r="P3077" s="88"/>
      <c r="Q3077" s="88"/>
      <c r="R3077" s="78">
        <f>MAX(S3077:W3077)</f>
        <v>1</v>
      </c>
      <c r="S3077" s="88"/>
      <c r="T3077" s="88"/>
      <c r="U3077" s="88">
        <v>1</v>
      </c>
      <c r="V3077" s="88"/>
      <c r="W3077" s="88"/>
    </row>
    <row r="3078" spans="2:23" s="0" customFormat="0" ht="15">
      <c r="B3078" s="87" t="s">
        <v>1</v>
      </c>
      <c r="C3078" s="88" t="s">
        <v>5259</v>
      </c>
      <c r="D3078" s="88">
        <v>506411</v>
      </c>
      <c r="E3078" s="88" t="s">
        <v>61</v>
      </c>
      <c r="F3078" s="88">
        <v>0</v>
      </c>
      <c r="G3078" s="78">
        <f>MAX(H3078,I3078,J3078)</f>
        <v>0</v>
      </c>
      <c r="H3078" s="88"/>
      <c r="I3078" s="88"/>
      <c r="J3078" s="78">
        <f>MAX(K3078:Q3078)</f>
        <v>0</v>
      </c>
      <c r="K3078" s="88"/>
      <c r="L3078" s="88"/>
      <c r="M3078" s="88"/>
      <c r="N3078" s="88"/>
      <c r="O3078" s="88"/>
      <c r="P3078" s="88"/>
      <c r="Q3078" s="88"/>
      <c r="R3078" s="78">
        <f>MAX(S3078:W3078)</f>
        <v>1</v>
      </c>
      <c r="S3078" s="88"/>
      <c r="T3078" s="88"/>
      <c r="U3078" s="88">
        <v>1</v>
      </c>
      <c r="V3078" s="88"/>
      <c r="W3078" s="88"/>
    </row>
    <row r="3079" spans="2:23" s="0" customFormat="0" ht="15">
      <c r="B3079" s="87" t="s">
        <v>1</v>
      </c>
      <c r="C3079" s="88" t="s">
        <v>5259</v>
      </c>
      <c r="D3079" s="88">
        <v>18681510</v>
      </c>
      <c r="E3079" s="88" t="s">
        <v>61</v>
      </c>
      <c r="F3079" s="88">
        <v>0</v>
      </c>
      <c r="G3079" s="78">
        <f>MAX(H3079,I3079,J3079)</f>
        <v>1</v>
      </c>
      <c r="H3079" s="88"/>
      <c r="I3079" s="88"/>
      <c r="J3079" s="78">
        <f>MAX(K3079:Q3079)</f>
        <v>1</v>
      </c>
      <c r="K3079" s="88">
        <v>1</v>
      </c>
      <c r="L3079" s="88"/>
      <c r="M3079" s="88"/>
      <c r="N3079" s="88"/>
      <c r="O3079" s="88"/>
      <c r="P3079" s="88"/>
      <c r="Q3079" s="88"/>
      <c r="R3079" s="78">
        <f>MAX(S3079:W3079)</f>
        <v>0</v>
      </c>
      <c r="S3079" s="88"/>
      <c r="T3079" s="88"/>
      <c r="U3079" s="88"/>
      <c r="V3079" s="88"/>
      <c r="W3079" s="88"/>
    </row>
    <row r="3080" spans="2:23" s="0" customFormat="0" ht="15">
      <c r="B3080" s="87" t="s">
        <v>1</v>
      </c>
      <c r="C3080" s="88" t="s">
        <v>5259</v>
      </c>
      <c r="D3080" s="88">
        <v>21226549</v>
      </c>
      <c r="E3080" s="88" t="s">
        <v>61</v>
      </c>
      <c r="F3080" s="88">
        <v>0</v>
      </c>
      <c r="G3080" s="78">
        <f>MAX(H3080,I3080,J3080)</f>
        <v>1</v>
      </c>
      <c r="H3080" s="88"/>
      <c r="I3080" s="88"/>
      <c r="J3080" s="78">
        <f>MAX(K3080:Q3080)</f>
        <v>1</v>
      </c>
      <c r="K3080" s="88">
        <v>1</v>
      </c>
      <c r="L3080" s="88"/>
      <c r="M3080" s="88"/>
      <c r="N3080" s="88"/>
      <c r="O3080" s="88"/>
      <c r="P3080" s="88"/>
      <c r="Q3080" s="88"/>
      <c r="R3080" s="78">
        <f>MAX(S3080:W3080)</f>
        <v>0</v>
      </c>
      <c r="S3080" s="88"/>
      <c r="T3080" s="88"/>
      <c r="U3080" s="88"/>
      <c r="V3080" s="88"/>
      <c r="W3080" s="88"/>
    </row>
    <row r="3081" spans="2:23" s="0" customFormat="0" ht="15">
      <c r="B3081" s="87" t="s">
        <v>1</v>
      </c>
      <c r="C3081" s="88" t="s">
        <v>5259</v>
      </c>
      <c r="D3081" s="88" t="s">
        <v>2092</v>
      </c>
      <c r="E3081" s="88" t="s">
        <v>61</v>
      </c>
      <c r="F3081" s="88">
        <v>0</v>
      </c>
      <c r="G3081" s="78">
        <f>MAX(H3081,I3081,J3081)</f>
        <v>1</v>
      </c>
      <c r="H3081" s="88"/>
      <c r="I3081" s="88"/>
      <c r="J3081" s="78">
        <f>MAX(K3081:Q3081)</f>
        <v>1</v>
      </c>
      <c r="K3081" s="88">
        <v>1</v>
      </c>
      <c r="L3081" s="88"/>
      <c r="M3081" s="88"/>
      <c r="N3081" s="88"/>
      <c r="O3081" s="88"/>
      <c r="P3081" s="88"/>
      <c r="Q3081" s="88"/>
      <c r="R3081" s="78">
        <f>MAX(S3081:W3081)</f>
        <v>0</v>
      </c>
      <c r="S3081" s="88"/>
      <c r="T3081" s="88"/>
      <c r="U3081" s="88"/>
      <c r="V3081" s="88"/>
      <c r="W3081" s="88"/>
    </row>
    <row r="3082" spans="2:23" s="0" customFormat="0" ht="15">
      <c r="B3082" s="87" t="s">
        <v>1</v>
      </c>
      <c r="C3082" s="88" t="s">
        <v>5259</v>
      </c>
      <c r="D3082" s="88">
        <v>4158073</v>
      </c>
      <c r="E3082" s="88" t="s">
        <v>61</v>
      </c>
      <c r="F3082" s="88">
        <v>0</v>
      </c>
      <c r="G3082" s="78">
        <f>MAX(H3082,I3082,J3082)</f>
        <v>0</v>
      </c>
      <c r="H3082" s="88"/>
      <c r="I3082" s="88"/>
      <c r="J3082" s="78">
        <f>MAX(K3082:Q3082)</f>
        <v>0</v>
      </c>
      <c r="K3082" s="88"/>
      <c r="L3082" s="88"/>
      <c r="M3082" s="88"/>
      <c r="N3082" s="88"/>
      <c r="O3082" s="88"/>
      <c r="P3082" s="88"/>
      <c r="Q3082" s="88"/>
      <c r="R3082" s="78">
        <f>MAX(S3082:W3082)</f>
        <v>1</v>
      </c>
      <c r="S3082" s="88"/>
      <c r="T3082" s="88"/>
      <c r="U3082" s="88">
        <v>1</v>
      </c>
      <c r="V3082" s="88"/>
      <c r="W3082" s="88"/>
    </row>
    <row r="3083" spans="2:23" s="0" customFormat="0" ht="15">
      <c r="B3083" s="87" t="s">
        <v>1</v>
      </c>
      <c r="C3083" s="88" t="s">
        <v>5259</v>
      </c>
      <c r="D3083" s="88" t="s">
        <v>2094</v>
      </c>
      <c r="E3083" s="88" t="s">
        <v>61</v>
      </c>
      <c r="F3083" s="88">
        <v>0</v>
      </c>
      <c r="G3083" s="78">
        <f>MAX(H3083,I3083,J3083)</f>
        <v>1</v>
      </c>
      <c r="H3083" s="88"/>
      <c r="I3083" s="88"/>
      <c r="J3083" s="78">
        <f>MAX(K3083:Q3083)</f>
        <v>1</v>
      </c>
      <c r="K3083" s="88">
        <v>1</v>
      </c>
      <c r="L3083" s="88"/>
      <c r="M3083" s="88"/>
      <c r="N3083" s="88"/>
      <c r="O3083" s="88"/>
      <c r="P3083" s="88"/>
      <c r="Q3083" s="88"/>
      <c r="R3083" s="78">
        <f>MAX(S3083:W3083)</f>
        <v>0</v>
      </c>
      <c r="S3083" s="88"/>
      <c r="T3083" s="88"/>
      <c r="U3083" s="88"/>
      <c r="V3083" s="88"/>
      <c r="W3083" s="88"/>
    </row>
    <row r="3084" spans="2:23" s="0" customFormat="0" ht="15">
      <c r="B3084" s="87" t="s">
        <v>1</v>
      </c>
      <c r="C3084" s="88" t="s">
        <v>5259</v>
      </c>
      <c r="D3084" s="88">
        <v>20869206</v>
      </c>
      <c r="E3084" s="88" t="s">
        <v>61</v>
      </c>
      <c r="F3084" s="88">
        <v>0</v>
      </c>
      <c r="G3084" s="78">
        <f>MAX(H3084,I3084,J3084)</f>
        <v>1</v>
      </c>
      <c r="H3084" s="88"/>
      <c r="I3084" s="88"/>
      <c r="J3084" s="78">
        <f>MAX(K3084:Q3084)</f>
        <v>1</v>
      </c>
      <c r="K3084" s="88">
        <v>1</v>
      </c>
      <c r="L3084" s="88"/>
      <c r="M3084" s="88"/>
      <c r="N3084" s="88"/>
      <c r="O3084" s="88"/>
      <c r="P3084" s="88"/>
      <c r="Q3084" s="88"/>
      <c r="R3084" s="78">
        <f>MAX(S3084:W3084)</f>
        <v>0</v>
      </c>
      <c r="S3084" s="88"/>
      <c r="T3084" s="88"/>
      <c r="U3084" s="88"/>
      <c r="V3084" s="88"/>
      <c r="W3084" s="88"/>
    </row>
    <row r="3085" spans="2:23" s="0" customFormat="0" ht="15">
      <c r="B3085" s="87" t="s">
        <v>1</v>
      </c>
      <c r="C3085" s="88" t="s">
        <v>5259</v>
      </c>
      <c r="D3085" s="88" t="s">
        <v>2096</v>
      </c>
      <c r="E3085" s="88" t="s">
        <v>61</v>
      </c>
      <c r="F3085" s="88">
        <v>0</v>
      </c>
      <c r="G3085" s="78">
        <f>MAX(H3085,I3085,J3085)</f>
        <v>1</v>
      </c>
      <c r="H3085" s="88"/>
      <c r="I3085" s="88"/>
      <c r="J3085" s="78">
        <f>MAX(K3085:Q3085)</f>
        <v>1</v>
      </c>
      <c r="K3085" s="88">
        <v>1</v>
      </c>
      <c r="L3085" s="88"/>
      <c r="M3085" s="88"/>
      <c r="N3085" s="88"/>
      <c r="O3085" s="88"/>
      <c r="P3085" s="88"/>
      <c r="Q3085" s="88"/>
      <c r="R3085" s="78">
        <f>MAX(S3085:W3085)</f>
        <v>0</v>
      </c>
      <c r="S3085" s="88"/>
      <c r="T3085" s="88"/>
      <c r="U3085" s="88"/>
      <c r="V3085" s="88"/>
      <c r="W3085" s="88"/>
    </row>
    <row r="3086" spans="2:23" s="0" customFormat="0" ht="15">
      <c r="B3086" s="87" t="s">
        <v>1</v>
      </c>
      <c r="C3086" s="88" t="s">
        <v>5259</v>
      </c>
      <c r="D3086" s="88" t="s">
        <v>4455</v>
      </c>
      <c r="E3086" s="88" t="s">
        <v>61</v>
      </c>
      <c r="F3086" s="88">
        <v>0</v>
      </c>
      <c r="G3086" s="78">
        <f>MAX(H3086,I3086,J3086)</f>
        <v>0</v>
      </c>
      <c r="H3086" s="88"/>
      <c r="I3086" s="88"/>
      <c r="J3086" s="78">
        <f>MAX(K3086:Q3086)</f>
        <v>0</v>
      </c>
      <c r="K3086" s="88"/>
      <c r="L3086" s="88"/>
      <c r="M3086" s="88"/>
      <c r="N3086" s="88"/>
      <c r="O3086" s="88"/>
      <c r="P3086" s="88"/>
      <c r="Q3086" s="88"/>
      <c r="R3086" s="78">
        <f>MAX(S3086:W3086)</f>
        <v>1</v>
      </c>
      <c r="S3086" s="88"/>
      <c r="T3086" s="88"/>
      <c r="U3086" s="88">
        <v>1</v>
      </c>
      <c r="V3086" s="88"/>
      <c r="W3086" s="88"/>
    </row>
    <row r="3087" spans="2:23" s="0" customFormat="0" ht="15">
      <c r="B3087" s="87" t="s">
        <v>1</v>
      </c>
      <c r="C3087" s="88" t="s">
        <v>5259</v>
      </c>
      <c r="D3087" s="88">
        <v>18905403</v>
      </c>
      <c r="E3087" s="88" t="s">
        <v>61</v>
      </c>
      <c r="F3087" s="88">
        <v>0</v>
      </c>
      <c r="G3087" s="78">
        <f>MAX(H3087,I3087,J3087)</f>
        <v>1</v>
      </c>
      <c r="H3087" s="88"/>
      <c r="I3087" s="88"/>
      <c r="J3087" s="78">
        <f>MAX(K3087:Q3087)</f>
        <v>1</v>
      </c>
      <c r="K3087" s="88">
        <v>1</v>
      </c>
      <c r="L3087" s="88"/>
      <c r="M3087" s="88"/>
      <c r="N3087" s="88"/>
      <c r="O3087" s="88"/>
      <c r="P3087" s="88"/>
      <c r="Q3087" s="88"/>
      <c r="R3087" s="78">
        <f>MAX(S3087:W3087)</f>
        <v>0</v>
      </c>
      <c r="S3087" s="88"/>
      <c r="T3087" s="88"/>
      <c r="U3087" s="88"/>
      <c r="V3087" s="88"/>
      <c r="W3087" s="88"/>
    </row>
    <row r="3088" spans="2:23" s="0" customFormat="0" ht="15">
      <c r="B3088" s="87" t="s">
        <v>1</v>
      </c>
      <c r="C3088" s="88" t="s">
        <v>5259</v>
      </c>
      <c r="D3088" s="88">
        <v>6683584</v>
      </c>
      <c r="E3088" s="88" t="s">
        <v>61</v>
      </c>
      <c r="F3088" s="88">
        <v>0</v>
      </c>
      <c r="G3088" s="78">
        <f>MAX(H3088,I3088,J3088)</f>
        <v>0</v>
      </c>
      <c r="H3088" s="88"/>
      <c r="I3088" s="88"/>
      <c r="J3088" s="78">
        <f>MAX(K3088:Q3088)</f>
        <v>0</v>
      </c>
      <c r="K3088" s="88"/>
      <c r="L3088" s="88"/>
      <c r="M3088" s="88"/>
      <c r="N3088" s="88"/>
      <c r="O3088" s="88"/>
      <c r="P3088" s="88"/>
      <c r="Q3088" s="88"/>
      <c r="R3088" s="78">
        <f>MAX(S3088:W3088)</f>
        <v>1</v>
      </c>
      <c r="S3088" s="88"/>
      <c r="T3088" s="88"/>
      <c r="U3088" s="88">
        <v>1</v>
      </c>
      <c r="V3088" s="88"/>
      <c r="W3088" s="88"/>
    </row>
    <row r="3089" spans="2:23" s="0" customFormat="0" ht="15">
      <c r="B3089" s="87" t="s">
        <v>1</v>
      </c>
      <c r="C3089" s="88" t="s">
        <v>5259</v>
      </c>
      <c r="D3089" s="88">
        <v>16965277</v>
      </c>
      <c r="E3089" s="88" t="s">
        <v>61</v>
      </c>
      <c r="F3089" s="88">
        <v>0</v>
      </c>
      <c r="G3089" s="78">
        <f>MAX(H3089,I3089,J3089)</f>
        <v>1</v>
      </c>
      <c r="H3089" s="88"/>
      <c r="I3089" s="88"/>
      <c r="J3089" s="78">
        <f>MAX(K3089:Q3089)</f>
        <v>1</v>
      </c>
      <c r="K3089" s="88">
        <v>1</v>
      </c>
      <c r="L3089" s="88"/>
      <c r="M3089" s="88"/>
      <c r="N3089" s="88"/>
      <c r="O3089" s="88"/>
      <c r="P3089" s="88"/>
      <c r="Q3089" s="88"/>
      <c r="R3089" s="78">
        <f>MAX(S3089:W3089)</f>
        <v>0</v>
      </c>
      <c r="S3089" s="88"/>
      <c r="T3089" s="88"/>
      <c r="U3089" s="88"/>
      <c r="V3089" s="88"/>
      <c r="W3089" s="88"/>
    </row>
    <row r="3090" spans="2:23" s="0" customFormat="0" ht="15">
      <c r="B3090" s="87" t="s">
        <v>1</v>
      </c>
      <c r="C3090" s="88" t="s">
        <v>5259</v>
      </c>
      <c r="D3090" s="88">
        <v>22554398</v>
      </c>
      <c r="E3090" s="88" t="s">
        <v>61</v>
      </c>
      <c r="F3090" s="88">
        <v>0</v>
      </c>
      <c r="G3090" s="78">
        <f>MAX(H3090,I3090,J3090)</f>
        <v>0</v>
      </c>
      <c r="H3090" s="88"/>
      <c r="I3090" s="88"/>
      <c r="J3090" s="78">
        <f>MAX(K3090:Q3090)</f>
        <v>0</v>
      </c>
      <c r="K3090" s="88"/>
      <c r="L3090" s="88"/>
      <c r="M3090" s="88"/>
      <c r="N3090" s="88"/>
      <c r="O3090" s="88"/>
      <c r="P3090" s="88"/>
      <c r="Q3090" s="88"/>
      <c r="R3090" s="78">
        <f>MAX(S3090:W3090)</f>
        <v>1</v>
      </c>
      <c r="S3090" s="88"/>
      <c r="T3090" s="88"/>
      <c r="U3090" s="88">
        <v>1</v>
      </c>
      <c r="V3090" s="88"/>
      <c r="W3090" s="88"/>
    </row>
    <row r="3091" spans="2:23" s="0" customFormat="0" ht="15">
      <c r="B3091" s="87" t="s">
        <v>1</v>
      </c>
      <c r="C3091" s="88" t="s">
        <v>5259</v>
      </c>
      <c r="D3091" s="88">
        <v>16974979</v>
      </c>
      <c r="E3091" s="88" t="s">
        <v>61</v>
      </c>
      <c r="F3091" s="88">
        <v>0</v>
      </c>
      <c r="G3091" s="78">
        <f>MAX(H3091,I3091,J3091)</f>
        <v>0</v>
      </c>
      <c r="H3091" s="88"/>
      <c r="I3091" s="88"/>
      <c r="J3091" s="78">
        <f>MAX(K3091:Q3091)</f>
        <v>0</v>
      </c>
      <c r="K3091" s="88"/>
      <c r="L3091" s="88"/>
      <c r="M3091" s="88"/>
      <c r="N3091" s="88"/>
      <c r="O3091" s="88"/>
      <c r="P3091" s="88"/>
      <c r="Q3091" s="88"/>
      <c r="R3091" s="78">
        <f>MAX(S3091:W3091)</f>
        <v>1</v>
      </c>
      <c r="S3091" s="88"/>
      <c r="T3091" s="88"/>
      <c r="U3091" s="88">
        <v>1</v>
      </c>
      <c r="V3091" s="88"/>
      <c r="W3091" s="88"/>
    </row>
    <row r="3092" spans="2:23" s="0" customFormat="0" ht="15">
      <c r="B3092" s="87" t="s">
        <v>1</v>
      </c>
      <c r="C3092" s="88" t="s">
        <v>5259</v>
      </c>
      <c r="D3092" s="88" t="s">
        <v>4634</v>
      </c>
      <c r="E3092" s="88" t="s">
        <v>61</v>
      </c>
      <c r="F3092" s="88">
        <v>0</v>
      </c>
      <c r="G3092" s="78">
        <f>MAX(H3092,I3092,J3092)</f>
        <v>0</v>
      </c>
      <c r="H3092" s="88"/>
      <c r="I3092" s="88"/>
      <c r="J3092" s="78">
        <f>MAX(K3092:Q3092)</f>
        <v>0</v>
      </c>
      <c r="K3092" s="88"/>
      <c r="L3092" s="88"/>
      <c r="M3092" s="88"/>
      <c r="N3092" s="88"/>
      <c r="O3092" s="88"/>
      <c r="P3092" s="88"/>
      <c r="Q3092" s="88"/>
      <c r="R3092" s="78">
        <f>MAX(S3092:W3092)</f>
        <v>1</v>
      </c>
      <c r="S3092" s="88"/>
      <c r="T3092" s="88"/>
      <c r="U3092" s="88">
        <v>1</v>
      </c>
      <c r="V3092" s="88"/>
      <c r="W3092" s="88"/>
    </row>
    <row r="3093" spans="2:23" s="0" customFormat="0" ht="15">
      <c r="B3093" s="87" t="s">
        <v>1</v>
      </c>
      <c r="C3093" s="88" t="s">
        <v>5259</v>
      </c>
      <c r="D3093" s="88" t="s">
        <v>4493</v>
      </c>
      <c r="E3093" s="88" t="s">
        <v>61</v>
      </c>
      <c r="F3093" s="88">
        <v>0</v>
      </c>
      <c r="G3093" s="78">
        <f>MAX(H3093,I3093,J3093)</f>
        <v>0</v>
      </c>
      <c r="H3093" s="88"/>
      <c r="I3093" s="88"/>
      <c r="J3093" s="78">
        <f>MAX(K3093:Q3093)</f>
        <v>0</v>
      </c>
      <c r="K3093" s="88"/>
      <c r="L3093" s="88"/>
      <c r="M3093" s="88"/>
      <c r="N3093" s="88"/>
      <c r="O3093" s="88"/>
      <c r="P3093" s="88"/>
      <c r="Q3093" s="88"/>
      <c r="R3093" s="78">
        <f>MAX(S3093:W3093)</f>
        <v>1</v>
      </c>
      <c r="S3093" s="88"/>
      <c r="T3093" s="88"/>
      <c r="U3093" s="88">
        <v>1</v>
      </c>
      <c r="V3093" s="88"/>
      <c r="W3093" s="88"/>
    </row>
    <row r="3094" spans="2:23" s="0" customFormat="0" ht="15">
      <c r="B3094" s="87" t="s">
        <v>1</v>
      </c>
      <c r="C3094" s="88" t="s">
        <v>5259</v>
      </c>
      <c r="D3094" s="88">
        <v>21005399</v>
      </c>
      <c r="E3094" s="88" t="s">
        <v>61</v>
      </c>
      <c r="F3094" s="88">
        <v>0</v>
      </c>
      <c r="G3094" s="78">
        <f>MAX(H3094,I3094,J3094)</f>
        <v>1</v>
      </c>
      <c r="H3094" s="88"/>
      <c r="I3094" s="88"/>
      <c r="J3094" s="78">
        <f>MAX(K3094:Q3094)</f>
        <v>1</v>
      </c>
      <c r="K3094" s="88">
        <v>1</v>
      </c>
      <c r="L3094" s="88"/>
      <c r="M3094" s="88"/>
      <c r="N3094" s="88"/>
      <c r="O3094" s="88"/>
      <c r="P3094" s="88"/>
      <c r="Q3094" s="88"/>
      <c r="R3094" s="78">
        <f>MAX(S3094:W3094)</f>
        <v>0</v>
      </c>
      <c r="S3094" s="88"/>
      <c r="T3094" s="88"/>
      <c r="U3094" s="88"/>
      <c r="V3094" s="88"/>
      <c r="W3094" s="88"/>
    </row>
    <row r="3095" spans="2:23" s="0" customFormat="0" ht="15">
      <c r="B3095" s="87" t="s">
        <v>1</v>
      </c>
      <c r="C3095" s="88" t="s">
        <v>5259</v>
      </c>
      <c r="D3095" s="88">
        <v>19567767</v>
      </c>
      <c r="E3095" s="88" t="s">
        <v>61</v>
      </c>
      <c r="F3095" s="88">
        <v>0</v>
      </c>
      <c r="G3095" s="78">
        <f>MAX(H3095,I3095,J3095)</f>
        <v>1</v>
      </c>
      <c r="H3095" s="88"/>
      <c r="I3095" s="88"/>
      <c r="J3095" s="78">
        <f>MAX(K3095:Q3095)</f>
        <v>1</v>
      </c>
      <c r="K3095" s="88">
        <v>1</v>
      </c>
      <c r="L3095" s="88"/>
      <c r="M3095" s="88"/>
      <c r="N3095" s="88"/>
      <c r="O3095" s="88"/>
      <c r="P3095" s="88"/>
      <c r="Q3095" s="88"/>
      <c r="R3095" s="78">
        <f>MAX(S3095:W3095)</f>
        <v>0</v>
      </c>
      <c r="S3095" s="88"/>
      <c r="T3095" s="88"/>
      <c r="U3095" s="88"/>
      <c r="V3095" s="88"/>
      <c r="W3095" s="88"/>
    </row>
    <row r="3096" spans="2:23" s="0" customFormat="0" ht="15">
      <c r="B3096" s="87" t="s">
        <v>1</v>
      </c>
      <c r="C3096" s="88" t="s">
        <v>5259</v>
      </c>
      <c r="D3096" s="88">
        <v>22554573</v>
      </c>
      <c r="E3096" s="88" t="s">
        <v>61</v>
      </c>
      <c r="F3096" s="88">
        <v>0</v>
      </c>
      <c r="G3096" s="78">
        <f>MAX(H3096,I3096,J3096)</f>
        <v>0</v>
      </c>
      <c r="H3096" s="88"/>
      <c r="I3096" s="88"/>
      <c r="J3096" s="78">
        <f>MAX(K3096:Q3096)</f>
        <v>0</v>
      </c>
      <c r="K3096" s="88"/>
      <c r="L3096" s="88"/>
      <c r="M3096" s="88"/>
      <c r="N3096" s="88"/>
      <c r="O3096" s="88"/>
      <c r="P3096" s="88"/>
      <c r="Q3096" s="88"/>
      <c r="R3096" s="78">
        <f>MAX(S3096:W3096)</f>
        <v>1</v>
      </c>
      <c r="S3096" s="88"/>
      <c r="T3096" s="88"/>
      <c r="U3096" s="88">
        <v>1</v>
      </c>
      <c r="V3096" s="88"/>
      <c r="W3096" s="88"/>
    </row>
    <row r="3097" spans="2:23" s="0" customFormat="0" ht="15">
      <c r="B3097" s="87" t="s">
        <v>1</v>
      </c>
      <c r="C3097" s="88" t="s">
        <v>5259</v>
      </c>
      <c r="D3097" s="88">
        <v>22554085</v>
      </c>
      <c r="E3097" s="88" t="s">
        <v>61</v>
      </c>
      <c r="F3097" s="88">
        <v>0</v>
      </c>
      <c r="G3097" s="78">
        <f>MAX(H3097,I3097,J3097)</f>
        <v>0</v>
      </c>
      <c r="H3097" s="88"/>
      <c r="I3097" s="88"/>
      <c r="J3097" s="78">
        <f>MAX(K3097:Q3097)</f>
        <v>0</v>
      </c>
      <c r="K3097" s="88"/>
      <c r="L3097" s="88"/>
      <c r="M3097" s="88"/>
      <c r="N3097" s="88"/>
      <c r="O3097" s="88"/>
      <c r="P3097" s="88"/>
      <c r="Q3097" s="88"/>
      <c r="R3097" s="78">
        <f>MAX(S3097:W3097)</f>
        <v>1</v>
      </c>
      <c r="S3097" s="88"/>
      <c r="T3097" s="88"/>
      <c r="U3097" s="88">
        <v>1</v>
      </c>
      <c r="V3097" s="88"/>
      <c r="W3097" s="88"/>
    </row>
    <row r="3098" spans="2:23" s="0" customFormat="0" ht="15">
      <c r="B3098" s="87" t="s">
        <v>1</v>
      </c>
      <c r="C3098" s="88" t="s">
        <v>5259</v>
      </c>
      <c r="D3098" s="88">
        <v>19178596</v>
      </c>
      <c r="E3098" s="88" t="s">
        <v>61</v>
      </c>
      <c r="F3098" s="88">
        <v>0</v>
      </c>
      <c r="G3098" s="78">
        <f>MAX(H3098,I3098,J3098)</f>
        <v>1</v>
      </c>
      <c r="H3098" s="88"/>
      <c r="I3098" s="88"/>
      <c r="J3098" s="78">
        <f>MAX(K3098:Q3098)</f>
        <v>1</v>
      </c>
      <c r="K3098" s="88">
        <v>1</v>
      </c>
      <c r="L3098" s="88"/>
      <c r="M3098" s="88"/>
      <c r="N3098" s="88"/>
      <c r="O3098" s="88"/>
      <c r="P3098" s="88"/>
      <c r="Q3098" s="88"/>
      <c r="R3098" s="78">
        <f>MAX(S3098:W3098)</f>
        <v>0</v>
      </c>
      <c r="S3098" s="88"/>
      <c r="T3098" s="88"/>
      <c r="U3098" s="88"/>
      <c r="V3098" s="88"/>
      <c r="W3098" s="88"/>
    </row>
    <row r="3099" spans="2:23" s="0" customFormat="0" ht="15">
      <c r="B3099" s="87" t="s">
        <v>1</v>
      </c>
      <c r="C3099" s="88" t="s">
        <v>5259</v>
      </c>
      <c r="D3099" s="88">
        <v>23892301</v>
      </c>
      <c r="E3099" s="88" t="s">
        <v>61</v>
      </c>
      <c r="F3099" s="88">
        <v>0</v>
      </c>
      <c r="G3099" s="78">
        <f>MAX(H3099,I3099,J3099)</f>
        <v>1</v>
      </c>
      <c r="H3099" s="88"/>
      <c r="I3099" s="88"/>
      <c r="J3099" s="78">
        <f>MAX(K3099:Q3099)</f>
        <v>1</v>
      </c>
      <c r="K3099" s="88">
        <v>1</v>
      </c>
      <c r="L3099" s="88"/>
      <c r="M3099" s="88"/>
      <c r="N3099" s="88"/>
      <c r="O3099" s="88"/>
      <c r="P3099" s="88"/>
      <c r="Q3099" s="88"/>
      <c r="R3099" s="78">
        <f>MAX(S3099:W3099)</f>
        <v>0</v>
      </c>
      <c r="S3099" s="88"/>
      <c r="T3099" s="88"/>
      <c r="U3099" s="88"/>
      <c r="V3099" s="88"/>
      <c r="W3099" s="88"/>
    </row>
    <row r="3100" spans="2:23" s="0" customFormat="0" ht="15">
      <c r="B3100" s="87" t="s">
        <v>1</v>
      </c>
      <c r="C3100" s="88" t="s">
        <v>5259</v>
      </c>
      <c r="D3100" s="88" t="s">
        <v>4096</v>
      </c>
      <c r="E3100" s="88" t="s">
        <v>61</v>
      </c>
      <c r="F3100" s="88">
        <v>0</v>
      </c>
      <c r="G3100" s="78">
        <f>MAX(H3100,I3100,J3100)</f>
        <v>0</v>
      </c>
      <c r="H3100" s="88"/>
      <c r="I3100" s="88"/>
      <c r="J3100" s="78">
        <f>MAX(K3100:Q3100)</f>
        <v>0</v>
      </c>
      <c r="K3100" s="88"/>
      <c r="L3100" s="88"/>
      <c r="M3100" s="88"/>
      <c r="N3100" s="88"/>
      <c r="O3100" s="88"/>
      <c r="P3100" s="88"/>
      <c r="Q3100" s="88"/>
      <c r="R3100" s="78">
        <f>MAX(S3100:W3100)</f>
        <v>1</v>
      </c>
      <c r="S3100" s="88"/>
      <c r="T3100" s="88"/>
      <c r="U3100" s="88">
        <v>1</v>
      </c>
      <c r="V3100" s="88"/>
      <c r="W3100" s="88"/>
    </row>
    <row r="3101" spans="2:23" s="0" customFormat="0" ht="15">
      <c r="B3101" s="87" t="s">
        <v>1</v>
      </c>
      <c r="C3101" s="88" t="s">
        <v>5259</v>
      </c>
      <c r="D3101" s="88">
        <v>16058095</v>
      </c>
      <c r="E3101" s="88" t="s">
        <v>61</v>
      </c>
      <c r="F3101" s="88">
        <v>0</v>
      </c>
      <c r="G3101" s="78">
        <f>MAX(H3101,I3101,J3101)</f>
        <v>1</v>
      </c>
      <c r="H3101" s="88"/>
      <c r="I3101" s="88"/>
      <c r="J3101" s="78">
        <f>MAX(K3101:Q3101)</f>
        <v>1</v>
      </c>
      <c r="K3101" s="88">
        <v>1</v>
      </c>
      <c r="L3101" s="88"/>
      <c r="M3101" s="88"/>
      <c r="N3101" s="88"/>
      <c r="O3101" s="88"/>
      <c r="P3101" s="88"/>
      <c r="Q3101" s="88"/>
      <c r="R3101" s="78">
        <f>MAX(S3101:W3101)</f>
        <v>0</v>
      </c>
      <c r="S3101" s="88"/>
      <c r="T3101" s="88"/>
      <c r="U3101" s="88"/>
      <c r="V3101" s="88"/>
      <c r="W3101" s="88"/>
    </row>
    <row r="3102" spans="2:23" s="0" customFormat="0" ht="15">
      <c r="B3102" s="87" t="s">
        <v>1</v>
      </c>
      <c r="C3102" s="88" t="s">
        <v>5259</v>
      </c>
      <c r="D3102" s="88">
        <v>21057448</v>
      </c>
      <c r="E3102" s="88" t="s">
        <v>61</v>
      </c>
      <c r="F3102" s="88">
        <v>0</v>
      </c>
      <c r="G3102" s="78">
        <f>MAX(H3102,I3102,J3102)</f>
        <v>1</v>
      </c>
      <c r="H3102" s="88"/>
      <c r="I3102" s="88"/>
      <c r="J3102" s="78">
        <f>MAX(K3102:Q3102)</f>
        <v>1</v>
      </c>
      <c r="K3102" s="88">
        <v>1</v>
      </c>
      <c r="L3102" s="88"/>
      <c r="M3102" s="88"/>
      <c r="N3102" s="88"/>
      <c r="O3102" s="88"/>
      <c r="P3102" s="88"/>
      <c r="Q3102" s="88"/>
      <c r="R3102" s="78">
        <f>MAX(S3102:W3102)</f>
        <v>0</v>
      </c>
      <c r="S3102" s="88"/>
      <c r="T3102" s="88"/>
      <c r="U3102" s="88"/>
      <c r="V3102" s="88"/>
      <c r="W3102" s="88"/>
    </row>
    <row r="3103" spans="2:23" s="0" customFormat="0" ht="15">
      <c r="B3103" s="87" t="s">
        <v>1</v>
      </c>
      <c r="C3103" s="88" t="s">
        <v>5259</v>
      </c>
      <c r="D3103" s="88" t="s">
        <v>4637</v>
      </c>
      <c r="E3103" s="88" t="s">
        <v>61</v>
      </c>
      <c r="F3103" s="88">
        <v>0</v>
      </c>
      <c r="G3103" s="78">
        <f>MAX(H3103,I3103,J3103)</f>
        <v>0</v>
      </c>
      <c r="H3103" s="88"/>
      <c r="I3103" s="88"/>
      <c r="J3103" s="78">
        <f>MAX(K3103:Q3103)</f>
        <v>0</v>
      </c>
      <c r="K3103" s="88"/>
      <c r="L3103" s="88"/>
      <c r="M3103" s="88"/>
      <c r="N3103" s="88"/>
      <c r="O3103" s="88"/>
      <c r="P3103" s="88"/>
      <c r="Q3103" s="88"/>
      <c r="R3103" s="78">
        <f>MAX(S3103:W3103)</f>
        <v>1</v>
      </c>
      <c r="S3103" s="88"/>
      <c r="T3103" s="88"/>
      <c r="U3103" s="88">
        <v>1</v>
      </c>
      <c r="V3103" s="88"/>
      <c r="W3103" s="88"/>
    </row>
    <row r="3104" spans="2:23" s="0" customFormat="0" ht="15">
      <c r="B3104" s="87" t="s">
        <v>1</v>
      </c>
      <c r="C3104" s="88" t="s">
        <v>5259</v>
      </c>
      <c r="D3104" s="88">
        <v>18156063</v>
      </c>
      <c r="E3104" s="88" t="s">
        <v>61</v>
      </c>
      <c r="F3104" s="88">
        <v>0</v>
      </c>
      <c r="G3104" s="78">
        <f>MAX(H3104,I3104,J3104)</f>
        <v>1</v>
      </c>
      <c r="H3104" s="88"/>
      <c r="I3104" s="88"/>
      <c r="J3104" s="78">
        <f>MAX(K3104:Q3104)</f>
        <v>1</v>
      </c>
      <c r="K3104" s="88">
        <v>1</v>
      </c>
      <c r="L3104" s="88"/>
      <c r="M3104" s="88"/>
      <c r="N3104" s="88"/>
      <c r="O3104" s="88"/>
      <c r="P3104" s="88"/>
      <c r="Q3104" s="88"/>
      <c r="R3104" s="78">
        <f>MAX(S3104:W3104)</f>
        <v>0</v>
      </c>
      <c r="S3104" s="88"/>
      <c r="T3104" s="88"/>
      <c r="U3104" s="88"/>
      <c r="V3104" s="88"/>
      <c r="W3104" s="88"/>
    </row>
    <row r="3105" spans="2:23" s="0" customFormat="0" ht="15">
      <c r="B3105" s="87" t="s">
        <v>1</v>
      </c>
      <c r="C3105" s="88" t="s">
        <v>5259</v>
      </c>
      <c r="D3105" s="88" t="s">
        <v>4423</v>
      </c>
      <c r="E3105" s="88" t="s">
        <v>61</v>
      </c>
      <c r="F3105" s="88">
        <v>0</v>
      </c>
      <c r="G3105" s="78">
        <f>MAX(H3105,I3105,J3105)</f>
        <v>0</v>
      </c>
      <c r="H3105" s="88"/>
      <c r="I3105" s="88"/>
      <c r="J3105" s="78">
        <f>MAX(K3105:Q3105)</f>
        <v>0</v>
      </c>
      <c r="K3105" s="88"/>
      <c r="L3105" s="88"/>
      <c r="M3105" s="88"/>
      <c r="N3105" s="88"/>
      <c r="O3105" s="88"/>
      <c r="P3105" s="88"/>
      <c r="Q3105" s="88"/>
      <c r="R3105" s="78">
        <f>MAX(S3105:W3105)</f>
        <v>1</v>
      </c>
      <c r="S3105" s="88"/>
      <c r="T3105" s="88"/>
      <c r="U3105" s="88">
        <v>1</v>
      </c>
      <c r="V3105" s="88"/>
      <c r="W3105" s="88"/>
    </row>
    <row r="3106" spans="2:23" s="0" customFormat="0" ht="15">
      <c r="B3106" s="87" t="s">
        <v>1</v>
      </c>
      <c r="C3106" s="88" t="s">
        <v>5259</v>
      </c>
      <c r="D3106" s="88" t="s">
        <v>2101</v>
      </c>
      <c r="E3106" s="88" t="s">
        <v>61</v>
      </c>
      <c r="F3106" s="88">
        <v>0</v>
      </c>
      <c r="G3106" s="78">
        <f>MAX(H3106,I3106,J3106)</f>
        <v>1</v>
      </c>
      <c r="H3106" s="88"/>
      <c r="I3106" s="88"/>
      <c r="J3106" s="78">
        <f>MAX(K3106:Q3106)</f>
        <v>1</v>
      </c>
      <c r="K3106" s="88">
        <v>1</v>
      </c>
      <c r="L3106" s="88"/>
      <c r="M3106" s="88"/>
      <c r="N3106" s="88"/>
      <c r="O3106" s="88"/>
      <c r="P3106" s="88"/>
      <c r="Q3106" s="88"/>
      <c r="R3106" s="78">
        <f>MAX(S3106:W3106)</f>
        <v>0</v>
      </c>
      <c r="S3106" s="88"/>
      <c r="T3106" s="88"/>
      <c r="U3106" s="88"/>
      <c r="V3106" s="88"/>
      <c r="W3106" s="88"/>
    </row>
    <row r="3107" spans="2:23" s="0" customFormat="0" ht="15">
      <c r="B3107" s="87" t="s">
        <v>1</v>
      </c>
      <c r="C3107" s="88" t="s">
        <v>5259</v>
      </c>
      <c r="D3107" s="88">
        <v>17327708</v>
      </c>
      <c r="E3107" s="88" t="s">
        <v>61</v>
      </c>
      <c r="F3107" s="88">
        <v>0</v>
      </c>
      <c r="G3107" s="78">
        <f>MAX(H3107,I3107,J3107)</f>
        <v>1</v>
      </c>
      <c r="H3107" s="88"/>
      <c r="I3107" s="88"/>
      <c r="J3107" s="78">
        <f>MAX(K3107:Q3107)</f>
        <v>1</v>
      </c>
      <c r="K3107" s="88">
        <v>1</v>
      </c>
      <c r="L3107" s="88"/>
      <c r="M3107" s="88"/>
      <c r="N3107" s="88"/>
      <c r="O3107" s="88"/>
      <c r="P3107" s="88"/>
      <c r="Q3107" s="88"/>
      <c r="R3107" s="78">
        <f>MAX(S3107:W3107)</f>
        <v>0</v>
      </c>
      <c r="S3107" s="88"/>
      <c r="T3107" s="88"/>
      <c r="U3107" s="88"/>
      <c r="V3107" s="88"/>
      <c r="W3107" s="88"/>
    </row>
    <row r="3108" spans="2:23" s="0" customFormat="0" ht="15">
      <c r="B3108" s="87" t="s">
        <v>1</v>
      </c>
      <c r="C3108" s="88" t="s">
        <v>5259</v>
      </c>
      <c r="D3108" s="88">
        <v>14731284</v>
      </c>
      <c r="E3108" s="88" t="s">
        <v>61</v>
      </c>
      <c r="F3108" s="88">
        <v>0</v>
      </c>
      <c r="G3108" s="78">
        <f>MAX(H3108,I3108,J3108)</f>
        <v>1</v>
      </c>
      <c r="H3108" s="88"/>
      <c r="I3108" s="88"/>
      <c r="J3108" s="78">
        <f>MAX(K3108:Q3108)</f>
        <v>1</v>
      </c>
      <c r="K3108" s="88">
        <v>1</v>
      </c>
      <c r="L3108" s="88"/>
      <c r="M3108" s="88"/>
      <c r="N3108" s="88"/>
      <c r="O3108" s="88"/>
      <c r="P3108" s="88"/>
      <c r="Q3108" s="88"/>
      <c r="R3108" s="78">
        <f>MAX(S3108:W3108)</f>
        <v>0</v>
      </c>
      <c r="S3108" s="88"/>
      <c r="T3108" s="88"/>
      <c r="U3108" s="88"/>
      <c r="V3108" s="88"/>
      <c r="W3108" s="88"/>
    </row>
    <row r="3109" spans="2:23" s="0" customFormat="0" ht="15">
      <c r="B3109" s="87" t="s">
        <v>1</v>
      </c>
      <c r="C3109" s="88" t="s">
        <v>5259</v>
      </c>
      <c r="D3109" s="88">
        <v>15399530</v>
      </c>
      <c r="E3109" s="88" t="s">
        <v>61</v>
      </c>
      <c r="F3109" s="88">
        <v>0</v>
      </c>
      <c r="G3109" s="78">
        <f>MAX(H3109,I3109,J3109)</f>
        <v>1</v>
      </c>
      <c r="H3109" s="88"/>
      <c r="I3109" s="88"/>
      <c r="J3109" s="78">
        <f>MAX(K3109:Q3109)</f>
        <v>1</v>
      </c>
      <c r="K3109" s="88">
        <v>1</v>
      </c>
      <c r="L3109" s="88"/>
      <c r="M3109" s="88"/>
      <c r="N3109" s="88"/>
      <c r="O3109" s="88"/>
      <c r="P3109" s="88"/>
      <c r="Q3109" s="88"/>
      <c r="R3109" s="78">
        <f>MAX(S3109:W3109)</f>
        <v>0</v>
      </c>
      <c r="S3109" s="88"/>
      <c r="T3109" s="88"/>
      <c r="U3109" s="88"/>
      <c r="V3109" s="88"/>
      <c r="W3109" s="88"/>
    </row>
    <row r="3110" spans="2:23" s="0" customFormat="0" ht="15">
      <c r="B3110" s="87" t="s">
        <v>1</v>
      </c>
      <c r="C3110" s="88" t="s">
        <v>5259</v>
      </c>
      <c r="D3110" s="88">
        <v>22237859</v>
      </c>
      <c r="E3110" s="88" t="s">
        <v>61</v>
      </c>
      <c r="F3110" s="88">
        <v>0</v>
      </c>
      <c r="G3110" s="78">
        <f>MAX(H3110,I3110,J3110)</f>
        <v>1</v>
      </c>
      <c r="H3110" s="88"/>
      <c r="I3110" s="88"/>
      <c r="J3110" s="78">
        <f>MAX(K3110:Q3110)</f>
        <v>1</v>
      </c>
      <c r="K3110" s="88">
        <v>1</v>
      </c>
      <c r="L3110" s="88"/>
      <c r="M3110" s="88"/>
      <c r="N3110" s="88"/>
      <c r="O3110" s="88"/>
      <c r="P3110" s="88"/>
      <c r="Q3110" s="88"/>
      <c r="R3110" s="78">
        <f>MAX(S3110:W3110)</f>
        <v>0</v>
      </c>
      <c r="S3110" s="88"/>
      <c r="T3110" s="88"/>
      <c r="U3110" s="88"/>
      <c r="V3110" s="88"/>
      <c r="W3110" s="88"/>
    </row>
    <row r="3111" spans="2:23" s="0" customFormat="0" ht="15">
      <c r="B3111" s="87" t="s">
        <v>1</v>
      </c>
      <c r="C3111" s="88" t="s">
        <v>5259</v>
      </c>
      <c r="D3111" s="88">
        <v>21753800</v>
      </c>
      <c r="E3111" s="88" t="s">
        <v>61</v>
      </c>
      <c r="F3111" s="88">
        <v>0</v>
      </c>
      <c r="G3111" s="78">
        <f>MAX(H3111,I3111,J3111)</f>
        <v>1</v>
      </c>
      <c r="H3111" s="88"/>
      <c r="I3111" s="88"/>
      <c r="J3111" s="78">
        <f>MAX(K3111:Q3111)</f>
        <v>1</v>
      </c>
      <c r="K3111" s="88">
        <v>1</v>
      </c>
      <c r="L3111" s="88"/>
      <c r="M3111" s="88"/>
      <c r="N3111" s="88"/>
      <c r="O3111" s="88"/>
      <c r="P3111" s="88"/>
      <c r="Q3111" s="88"/>
      <c r="R3111" s="78">
        <f>MAX(S3111:W3111)</f>
        <v>0</v>
      </c>
      <c r="S3111" s="88"/>
      <c r="T3111" s="88"/>
      <c r="U3111" s="88"/>
      <c r="V3111" s="88"/>
      <c r="W3111" s="88"/>
    </row>
    <row r="3112" spans="2:23" s="0" customFormat="0" ht="15">
      <c r="B3112" s="87" t="s">
        <v>1</v>
      </c>
      <c r="C3112" s="88" t="s">
        <v>5259</v>
      </c>
      <c r="D3112" s="88">
        <v>20904646</v>
      </c>
      <c r="E3112" s="88" t="s">
        <v>61</v>
      </c>
      <c r="F3112" s="88">
        <v>0</v>
      </c>
      <c r="G3112" s="78">
        <f>MAX(H3112,I3112,J3112)</f>
        <v>1</v>
      </c>
      <c r="H3112" s="88"/>
      <c r="I3112" s="88"/>
      <c r="J3112" s="78">
        <f>MAX(K3112:Q3112)</f>
        <v>1</v>
      </c>
      <c r="K3112" s="88">
        <v>1</v>
      </c>
      <c r="L3112" s="88"/>
      <c r="M3112" s="88"/>
      <c r="N3112" s="88"/>
      <c r="O3112" s="88"/>
      <c r="P3112" s="88"/>
      <c r="Q3112" s="88"/>
      <c r="R3112" s="78">
        <f>MAX(S3112:W3112)</f>
        <v>0</v>
      </c>
      <c r="S3112" s="88"/>
      <c r="T3112" s="88"/>
      <c r="U3112" s="88"/>
      <c r="V3112" s="88"/>
      <c r="W3112" s="88"/>
    </row>
    <row r="3113" spans="2:23" s="0" customFormat="0" ht="15">
      <c r="B3113" s="87" t="s">
        <v>1</v>
      </c>
      <c r="C3113" s="88" t="s">
        <v>5259</v>
      </c>
      <c r="D3113" s="88">
        <v>15099701</v>
      </c>
      <c r="E3113" s="88" t="s">
        <v>61</v>
      </c>
      <c r="F3113" s="88">
        <v>0</v>
      </c>
      <c r="G3113" s="78">
        <f>MAX(H3113,I3113,J3113)</f>
        <v>0</v>
      </c>
      <c r="H3113" s="88"/>
      <c r="I3113" s="88"/>
      <c r="J3113" s="78">
        <f>MAX(K3113:Q3113)</f>
        <v>0</v>
      </c>
      <c r="K3113" s="88"/>
      <c r="L3113" s="88"/>
      <c r="M3113" s="88"/>
      <c r="N3113" s="88"/>
      <c r="O3113" s="88"/>
      <c r="P3113" s="88"/>
      <c r="Q3113" s="88"/>
      <c r="R3113" s="78">
        <f>MAX(S3113:W3113)</f>
        <v>1</v>
      </c>
      <c r="S3113" s="88"/>
      <c r="T3113" s="88"/>
      <c r="U3113" s="88">
        <v>1</v>
      </c>
      <c r="V3113" s="88"/>
      <c r="W3113" s="88"/>
    </row>
    <row r="3114" spans="2:23" s="0" customFormat="0" ht="15">
      <c r="B3114" s="87" t="s">
        <v>1</v>
      </c>
      <c r="C3114" s="88" t="s">
        <v>5259</v>
      </c>
      <c r="D3114" s="88">
        <v>22554461</v>
      </c>
      <c r="E3114" s="88" t="s">
        <v>61</v>
      </c>
      <c r="F3114" s="88">
        <v>0</v>
      </c>
      <c r="G3114" s="78">
        <f>MAX(H3114,I3114,J3114)</f>
        <v>0</v>
      </c>
      <c r="H3114" s="88"/>
      <c r="I3114" s="88"/>
      <c r="J3114" s="78">
        <f>MAX(K3114:Q3114)</f>
        <v>0</v>
      </c>
      <c r="K3114" s="88"/>
      <c r="L3114" s="88"/>
      <c r="M3114" s="88"/>
      <c r="N3114" s="88"/>
      <c r="O3114" s="88"/>
      <c r="P3114" s="88"/>
      <c r="Q3114" s="88"/>
      <c r="R3114" s="78">
        <f>MAX(S3114:W3114)</f>
        <v>1</v>
      </c>
      <c r="S3114" s="88"/>
      <c r="T3114" s="88"/>
      <c r="U3114" s="88">
        <v>1</v>
      </c>
      <c r="V3114" s="88"/>
      <c r="W3114" s="88"/>
    </row>
    <row r="3115" spans="2:23" s="0" customFormat="0" ht="15">
      <c r="B3115" s="87" t="s">
        <v>1</v>
      </c>
      <c r="C3115" s="88" t="s">
        <v>5259</v>
      </c>
      <c r="D3115" s="88" t="s">
        <v>2105</v>
      </c>
      <c r="E3115" s="88" t="s">
        <v>61</v>
      </c>
      <c r="F3115" s="88">
        <v>0</v>
      </c>
      <c r="G3115" s="78">
        <f>MAX(H3115,I3115,J3115)</f>
        <v>1</v>
      </c>
      <c r="H3115" s="88"/>
      <c r="I3115" s="88"/>
      <c r="J3115" s="78">
        <f>MAX(K3115:Q3115)</f>
        <v>1</v>
      </c>
      <c r="K3115" s="88">
        <v>1</v>
      </c>
      <c r="L3115" s="88"/>
      <c r="M3115" s="88"/>
      <c r="N3115" s="88"/>
      <c r="O3115" s="88"/>
      <c r="P3115" s="88"/>
      <c r="Q3115" s="88"/>
      <c r="R3115" s="78">
        <f>MAX(S3115:W3115)</f>
        <v>0</v>
      </c>
      <c r="S3115" s="88"/>
      <c r="T3115" s="88"/>
      <c r="U3115" s="88"/>
      <c r="V3115" s="88"/>
      <c r="W3115" s="88"/>
    </row>
    <row r="3116" spans="2:23" s="0" customFormat="0" ht="15">
      <c r="B3116" s="87" t="s">
        <v>1</v>
      </c>
      <c r="C3116" s="88" t="s">
        <v>5259</v>
      </c>
      <c r="D3116" s="88" t="s">
        <v>4641</v>
      </c>
      <c r="E3116" s="88" t="s">
        <v>61</v>
      </c>
      <c r="F3116" s="88">
        <v>0</v>
      </c>
      <c r="G3116" s="78">
        <f>MAX(H3116,I3116,J3116)</f>
        <v>0</v>
      </c>
      <c r="H3116" s="88"/>
      <c r="I3116" s="88"/>
      <c r="J3116" s="78">
        <f>MAX(K3116:Q3116)</f>
        <v>0</v>
      </c>
      <c r="K3116" s="88"/>
      <c r="L3116" s="88"/>
      <c r="M3116" s="88"/>
      <c r="N3116" s="88"/>
      <c r="O3116" s="88"/>
      <c r="P3116" s="88"/>
      <c r="Q3116" s="88"/>
      <c r="R3116" s="78">
        <f>MAX(S3116:W3116)</f>
        <v>1</v>
      </c>
      <c r="S3116" s="88"/>
      <c r="T3116" s="88"/>
      <c r="U3116" s="88">
        <v>1</v>
      </c>
      <c r="V3116" s="88"/>
      <c r="W3116" s="88"/>
    </row>
    <row r="3117" spans="2:23" s="0" customFormat="0" ht="15">
      <c r="B3117" s="87" t="s">
        <v>1</v>
      </c>
      <c r="C3117" s="88" t="s">
        <v>5259</v>
      </c>
      <c r="D3117" s="88" t="s">
        <v>3376</v>
      </c>
      <c r="E3117" s="88" t="s">
        <v>61</v>
      </c>
      <c r="F3117" s="88">
        <v>0</v>
      </c>
      <c r="G3117" s="78">
        <f>MAX(H3117,I3117,J3117)</f>
        <v>0</v>
      </c>
      <c r="H3117" s="88"/>
      <c r="I3117" s="88"/>
      <c r="J3117" s="78">
        <f>MAX(K3117:Q3117)</f>
        <v>0</v>
      </c>
      <c r="K3117" s="88"/>
      <c r="L3117" s="88"/>
      <c r="M3117" s="88"/>
      <c r="N3117" s="88"/>
      <c r="O3117" s="88"/>
      <c r="P3117" s="88"/>
      <c r="Q3117" s="88"/>
      <c r="R3117" s="78">
        <f>MAX(S3117:W3117)</f>
        <v>1</v>
      </c>
      <c r="S3117" s="88"/>
      <c r="T3117" s="88"/>
      <c r="U3117" s="88">
        <v>1</v>
      </c>
      <c r="V3117" s="88"/>
      <c r="W3117" s="88"/>
    </row>
    <row r="3118" spans="2:23" s="0" customFormat="0" ht="15">
      <c r="B3118" s="87" t="s">
        <v>1</v>
      </c>
      <c r="C3118" s="88" t="s">
        <v>5259</v>
      </c>
      <c r="D3118" s="88">
        <v>12246861</v>
      </c>
      <c r="E3118" s="88" t="s">
        <v>61</v>
      </c>
      <c r="F3118" s="88">
        <v>0</v>
      </c>
      <c r="G3118" s="78">
        <f>MAX(H3118,I3118,J3118)</f>
        <v>1</v>
      </c>
      <c r="H3118" s="88"/>
      <c r="I3118" s="88"/>
      <c r="J3118" s="78">
        <f>MAX(K3118:Q3118)</f>
        <v>1</v>
      </c>
      <c r="K3118" s="88">
        <v>1</v>
      </c>
      <c r="L3118" s="88"/>
      <c r="M3118" s="88"/>
      <c r="N3118" s="88"/>
      <c r="O3118" s="88"/>
      <c r="P3118" s="88"/>
      <c r="Q3118" s="88"/>
      <c r="R3118" s="78">
        <f>MAX(S3118:W3118)</f>
        <v>0</v>
      </c>
      <c r="S3118" s="88"/>
      <c r="T3118" s="88"/>
      <c r="U3118" s="88"/>
      <c r="V3118" s="88"/>
      <c r="W3118" s="88"/>
    </row>
    <row r="3119" spans="2:23" s="0" customFormat="0" ht="15">
      <c r="B3119" s="87" t="s">
        <v>1</v>
      </c>
      <c r="C3119" s="88" t="s">
        <v>5259</v>
      </c>
      <c r="D3119" s="88" t="s">
        <v>4321</v>
      </c>
      <c r="E3119" s="88" t="s">
        <v>61</v>
      </c>
      <c r="F3119" s="88">
        <v>0</v>
      </c>
      <c r="G3119" s="78">
        <f>MAX(H3119,I3119,J3119)</f>
        <v>0</v>
      </c>
      <c r="H3119" s="88"/>
      <c r="I3119" s="88"/>
      <c r="J3119" s="78">
        <f>MAX(K3119:Q3119)</f>
        <v>0</v>
      </c>
      <c r="K3119" s="88"/>
      <c r="L3119" s="88"/>
      <c r="M3119" s="88"/>
      <c r="N3119" s="88"/>
      <c r="O3119" s="88"/>
      <c r="P3119" s="88"/>
      <c r="Q3119" s="88"/>
      <c r="R3119" s="78">
        <f>MAX(S3119:W3119)</f>
        <v>1</v>
      </c>
      <c r="S3119" s="88"/>
      <c r="T3119" s="88"/>
      <c r="U3119" s="88">
        <v>1</v>
      </c>
      <c r="V3119" s="88"/>
      <c r="W3119" s="88"/>
    </row>
    <row r="3120" spans="2:23" s="0" customFormat="0" ht="15">
      <c r="B3120" s="87" t="s">
        <v>1</v>
      </c>
      <c r="C3120" s="88" t="s">
        <v>5259</v>
      </c>
      <c r="D3120" s="88">
        <v>21753800</v>
      </c>
      <c r="E3120" s="88" t="s">
        <v>61</v>
      </c>
      <c r="F3120" s="88">
        <v>0</v>
      </c>
      <c r="G3120" s="78">
        <f>MAX(H3120,I3120,J3120)</f>
        <v>1</v>
      </c>
      <c r="H3120" s="88"/>
      <c r="I3120" s="88"/>
      <c r="J3120" s="78">
        <f>MAX(K3120:Q3120)</f>
        <v>1</v>
      </c>
      <c r="K3120" s="88">
        <v>1</v>
      </c>
      <c r="L3120" s="88"/>
      <c r="M3120" s="88"/>
      <c r="N3120" s="88"/>
      <c r="O3120" s="88"/>
      <c r="P3120" s="88"/>
      <c r="Q3120" s="88"/>
      <c r="R3120" s="78">
        <f>MAX(S3120:W3120)</f>
        <v>0</v>
      </c>
      <c r="S3120" s="88"/>
      <c r="T3120" s="88"/>
      <c r="U3120" s="88"/>
      <c r="V3120" s="88"/>
      <c r="W3120" s="88"/>
    </row>
    <row r="3121" spans="2:23" s="0" customFormat="0" ht="15">
      <c r="B3121" s="87" t="s">
        <v>1</v>
      </c>
      <c r="C3121" s="88" t="s">
        <v>5259</v>
      </c>
      <c r="D3121" s="88" t="s">
        <v>3832</v>
      </c>
      <c r="E3121" s="88" t="s">
        <v>61</v>
      </c>
      <c r="F3121" s="88">
        <v>0</v>
      </c>
      <c r="G3121" s="78">
        <f>MAX(H3121,I3121,J3121)</f>
        <v>0</v>
      </c>
      <c r="H3121" s="88"/>
      <c r="I3121" s="88"/>
      <c r="J3121" s="78">
        <f>MAX(K3121:Q3121)</f>
        <v>0</v>
      </c>
      <c r="K3121" s="88"/>
      <c r="L3121" s="88"/>
      <c r="M3121" s="88"/>
      <c r="N3121" s="88"/>
      <c r="O3121" s="88"/>
      <c r="P3121" s="88"/>
      <c r="Q3121" s="88"/>
      <c r="R3121" s="78">
        <f>MAX(S3121:W3121)</f>
        <v>1</v>
      </c>
      <c r="S3121" s="88"/>
      <c r="T3121" s="88"/>
      <c r="U3121" s="88">
        <v>1</v>
      </c>
      <c r="V3121" s="88"/>
      <c r="W3121" s="88"/>
    </row>
    <row r="3122" spans="2:23" s="0" customFormat="0" ht="15">
      <c r="B3122" s="87" t="s">
        <v>1</v>
      </c>
      <c r="C3122" s="88" t="s">
        <v>5259</v>
      </c>
      <c r="D3122" s="88">
        <v>17616141</v>
      </c>
      <c r="E3122" s="88" t="s">
        <v>61</v>
      </c>
      <c r="F3122" s="88">
        <v>0</v>
      </c>
      <c r="G3122" s="78">
        <f>MAX(H3122,I3122,J3122)</f>
        <v>1</v>
      </c>
      <c r="H3122" s="88"/>
      <c r="I3122" s="88"/>
      <c r="J3122" s="78">
        <f>MAX(K3122:Q3122)</f>
        <v>1</v>
      </c>
      <c r="K3122" s="88">
        <v>1</v>
      </c>
      <c r="L3122" s="88"/>
      <c r="M3122" s="88"/>
      <c r="N3122" s="88"/>
      <c r="O3122" s="88"/>
      <c r="P3122" s="88"/>
      <c r="Q3122" s="88"/>
      <c r="R3122" s="78">
        <f>MAX(S3122:W3122)</f>
        <v>0</v>
      </c>
      <c r="S3122" s="88"/>
      <c r="T3122" s="88"/>
      <c r="U3122" s="88"/>
      <c r="V3122" s="88"/>
      <c r="W3122" s="88"/>
    </row>
    <row r="3123" spans="2:23" s="0" customFormat="0" ht="15">
      <c r="B3123" s="87" t="s">
        <v>1</v>
      </c>
      <c r="C3123" s="88" t="s">
        <v>5259</v>
      </c>
      <c r="D3123" s="88">
        <v>14617072</v>
      </c>
      <c r="E3123" s="88" t="s">
        <v>61</v>
      </c>
      <c r="F3123" s="88">
        <v>0</v>
      </c>
      <c r="G3123" s="78">
        <f>MAX(H3123,I3123,J3123)</f>
        <v>1</v>
      </c>
      <c r="H3123" s="88"/>
      <c r="I3123" s="88"/>
      <c r="J3123" s="78">
        <f>MAX(K3123:Q3123)</f>
        <v>1</v>
      </c>
      <c r="K3123" s="88">
        <v>1</v>
      </c>
      <c r="L3123" s="88"/>
      <c r="M3123" s="88"/>
      <c r="N3123" s="88"/>
      <c r="O3123" s="88"/>
      <c r="P3123" s="88"/>
      <c r="Q3123" s="88"/>
      <c r="R3123" s="78">
        <f>MAX(S3123:W3123)</f>
        <v>0</v>
      </c>
      <c r="S3123" s="88"/>
      <c r="T3123" s="88"/>
      <c r="U3123" s="88"/>
      <c r="V3123" s="88"/>
      <c r="W3123" s="88"/>
    </row>
    <row r="3124" spans="2:23" s="0" customFormat="0" ht="15">
      <c r="B3124" s="87" t="s">
        <v>1</v>
      </c>
      <c r="C3124" s="88" t="s">
        <v>5259</v>
      </c>
      <c r="D3124" s="88" t="s">
        <v>3620</v>
      </c>
      <c r="E3124" s="88" t="s">
        <v>61</v>
      </c>
      <c r="F3124" s="88">
        <v>0</v>
      </c>
      <c r="G3124" s="78">
        <f>MAX(H3124,I3124,J3124)</f>
        <v>0</v>
      </c>
      <c r="H3124" s="88"/>
      <c r="I3124" s="88"/>
      <c r="J3124" s="78">
        <f>MAX(K3124:Q3124)</f>
        <v>0</v>
      </c>
      <c r="K3124" s="88"/>
      <c r="L3124" s="88"/>
      <c r="M3124" s="88"/>
      <c r="N3124" s="88"/>
      <c r="O3124" s="88"/>
      <c r="P3124" s="88"/>
      <c r="Q3124" s="88"/>
      <c r="R3124" s="78">
        <f>MAX(S3124:W3124)</f>
        <v>1</v>
      </c>
      <c r="S3124" s="88"/>
      <c r="T3124" s="88"/>
      <c r="U3124" s="88">
        <v>1</v>
      </c>
      <c r="V3124" s="88"/>
      <c r="W3124" s="88"/>
    </row>
    <row r="3125" spans="2:23" s="0" customFormat="0" ht="15">
      <c r="B3125" s="87" t="s">
        <v>1</v>
      </c>
      <c r="C3125" s="88" t="s">
        <v>5259</v>
      </c>
      <c r="D3125" s="88" t="s">
        <v>3911</v>
      </c>
      <c r="E3125" s="88" t="s">
        <v>61</v>
      </c>
      <c r="F3125" s="88">
        <v>0</v>
      </c>
      <c r="G3125" s="78">
        <f>MAX(H3125,I3125,J3125)</f>
        <v>0</v>
      </c>
      <c r="H3125" s="88"/>
      <c r="I3125" s="88"/>
      <c r="J3125" s="78">
        <f>MAX(K3125:Q3125)</f>
        <v>0</v>
      </c>
      <c r="K3125" s="88"/>
      <c r="L3125" s="88"/>
      <c r="M3125" s="88"/>
      <c r="N3125" s="88"/>
      <c r="O3125" s="88"/>
      <c r="P3125" s="88"/>
      <c r="Q3125" s="88"/>
      <c r="R3125" s="78">
        <f>MAX(S3125:W3125)</f>
        <v>1</v>
      </c>
      <c r="S3125" s="88"/>
      <c r="T3125" s="88"/>
      <c r="U3125" s="88">
        <v>1</v>
      </c>
      <c r="V3125" s="88"/>
      <c r="W3125" s="88"/>
    </row>
    <row r="3126" spans="2:23" s="0" customFormat="0" ht="15">
      <c r="B3126" s="87" t="s">
        <v>1</v>
      </c>
      <c r="C3126" s="88" t="s">
        <v>5259</v>
      </c>
      <c r="D3126" s="88">
        <v>16974677</v>
      </c>
      <c r="E3126" s="88" t="s">
        <v>61</v>
      </c>
      <c r="F3126" s="88">
        <v>0</v>
      </c>
      <c r="G3126" s="78">
        <f>MAX(H3126,I3126,J3126)</f>
        <v>0</v>
      </c>
      <c r="H3126" s="88"/>
      <c r="I3126" s="88"/>
      <c r="J3126" s="78">
        <f>MAX(K3126:Q3126)</f>
        <v>0</v>
      </c>
      <c r="K3126" s="88"/>
      <c r="L3126" s="88"/>
      <c r="M3126" s="88"/>
      <c r="N3126" s="88"/>
      <c r="O3126" s="88"/>
      <c r="P3126" s="88"/>
      <c r="Q3126" s="88"/>
      <c r="R3126" s="78">
        <f>MAX(S3126:W3126)</f>
        <v>1</v>
      </c>
      <c r="S3126" s="88"/>
      <c r="T3126" s="88"/>
      <c r="U3126" s="88">
        <v>1</v>
      </c>
      <c r="V3126" s="88"/>
      <c r="W3126" s="88"/>
    </row>
    <row r="3127" spans="2:23" s="0" customFormat="0" ht="15">
      <c r="B3127" s="87" t="s">
        <v>1</v>
      </c>
      <c r="C3127" s="88" t="s">
        <v>5259</v>
      </c>
      <c r="D3127" s="88" t="s">
        <v>2108</v>
      </c>
      <c r="E3127" s="88" t="s">
        <v>61</v>
      </c>
      <c r="F3127" s="88">
        <v>0</v>
      </c>
      <c r="G3127" s="78">
        <f>MAX(H3127,I3127,J3127)</f>
        <v>1</v>
      </c>
      <c r="H3127" s="88"/>
      <c r="I3127" s="88"/>
      <c r="J3127" s="78">
        <f>MAX(K3127:Q3127)</f>
        <v>1</v>
      </c>
      <c r="K3127" s="88">
        <v>1</v>
      </c>
      <c r="L3127" s="88"/>
      <c r="M3127" s="88"/>
      <c r="N3127" s="88"/>
      <c r="O3127" s="88"/>
      <c r="P3127" s="88"/>
      <c r="Q3127" s="88"/>
      <c r="R3127" s="78">
        <f>MAX(S3127:W3127)</f>
        <v>0</v>
      </c>
      <c r="S3127" s="88"/>
      <c r="T3127" s="88"/>
      <c r="U3127" s="88"/>
      <c r="V3127" s="88"/>
      <c r="W3127" s="88"/>
    </row>
    <row r="3128" spans="2:23" s="0" customFormat="0" ht="15">
      <c r="B3128" s="87" t="s">
        <v>1</v>
      </c>
      <c r="C3128" s="88" t="s">
        <v>5259</v>
      </c>
      <c r="D3128" s="88" t="s">
        <v>4644</v>
      </c>
      <c r="E3128" s="88" t="s">
        <v>61</v>
      </c>
      <c r="F3128" s="88">
        <v>0</v>
      </c>
      <c r="G3128" s="78">
        <f>MAX(H3128,I3128,J3128)</f>
        <v>0</v>
      </c>
      <c r="H3128" s="88"/>
      <c r="I3128" s="88"/>
      <c r="J3128" s="78">
        <f>MAX(K3128:Q3128)</f>
        <v>0</v>
      </c>
      <c r="K3128" s="88"/>
      <c r="L3128" s="88"/>
      <c r="M3128" s="88"/>
      <c r="N3128" s="88"/>
      <c r="O3128" s="88"/>
      <c r="P3128" s="88"/>
      <c r="Q3128" s="88"/>
      <c r="R3128" s="78">
        <f>MAX(S3128:W3128)</f>
        <v>1</v>
      </c>
      <c r="S3128" s="88"/>
      <c r="T3128" s="88"/>
      <c r="U3128" s="88">
        <v>1</v>
      </c>
      <c r="V3128" s="88"/>
      <c r="W3128" s="88"/>
    </row>
    <row r="3129" spans="2:23" s="0" customFormat="0" ht="15">
      <c r="B3129" s="87" t="s">
        <v>1</v>
      </c>
      <c r="C3129" s="88" t="s">
        <v>5259</v>
      </c>
      <c r="D3129" s="88" t="s">
        <v>4552</v>
      </c>
      <c r="E3129" s="88" t="s">
        <v>61</v>
      </c>
      <c r="F3129" s="88">
        <v>0</v>
      </c>
      <c r="G3129" s="78">
        <f>MAX(H3129,I3129,J3129)</f>
        <v>0</v>
      </c>
      <c r="H3129" s="88"/>
      <c r="I3129" s="88"/>
      <c r="J3129" s="78">
        <f>MAX(K3129:Q3129)</f>
        <v>0</v>
      </c>
      <c r="K3129" s="88"/>
      <c r="L3129" s="88"/>
      <c r="M3129" s="88"/>
      <c r="N3129" s="88"/>
      <c r="O3129" s="88"/>
      <c r="P3129" s="88"/>
      <c r="Q3129" s="88"/>
      <c r="R3129" s="78">
        <f>MAX(S3129:W3129)</f>
        <v>1</v>
      </c>
      <c r="S3129" s="88"/>
      <c r="T3129" s="88"/>
      <c r="U3129" s="88">
        <v>1</v>
      </c>
      <c r="V3129" s="88"/>
      <c r="W3129" s="88"/>
    </row>
    <row r="3130" spans="2:23" s="0" customFormat="0" ht="15">
      <c r="B3130" s="87" t="s">
        <v>1</v>
      </c>
      <c r="C3130" s="88" t="s">
        <v>5259</v>
      </c>
      <c r="D3130" s="88" t="s">
        <v>767</v>
      </c>
      <c r="E3130" s="88" t="s">
        <v>61</v>
      </c>
      <c r="F3130" s="88">
        <v>0</v>
      </c>
      <c r="G3130" s="78">
        <f>MAX(H3130,I3130,J3130)</f>
        <v>1</v>
      </c>
      <c r="H3130" s="88"/>
      <c r="I3130" s="88"/>
      <c r="J3130" s="78">
        <f>MAX(K3130:Q3130)</f>
        <v>1</v>
      </c>
      <c r="K3130" s="88">
        <v>1</v>
      </c>
      <c r="L3130" s="88"/>
      <c r="M3130" s="88"/>
      <c r="N3130" s="88"/>
      <c r="O3130" s="88"/>
      <c r="P3130" s="88"/>
      <c r="Q3130" s="88"/>
      <c r="R3130" s="78">
        <f>MAX(S3130:W3130)</f>
        <v>0</v>
      </c>
      <c r="S3130" s="88"/>
      <c r="T3130" s="88"/>
      <c r="U3130" s="88"/>
      <c r="V3130" s="88"/>
      <c r="W3130" s="88"/>
    </row>
    <row r="3131" spans="2:23" s="0" customFormat="0" ht="15">
      <c r="B3131" s="87" t="s">
        <v>1</v>
      </c>
      <c r="C3131" s="88" t="s">
        <v>5259</v>
      </c>
      <c r="D3131" s="88" t="s">
        <v>3573</v>
      </c>
      <c r="E3131" s="88" t="s">
        <v>61</v>
      </c>
      <c r="F3131" s="88">
        <v>0</v>
      </c>
      <c r="G3131" s="78">
        <f>MAX(H3131,I3131,J3131)</f>
        <v>0</v>
      </c>
      <c r="H3131" s="88"/>
      <c r="I3131" s="88"/>
      <c r="J3131" s="78">
        <f>MAX(K3131:Q3131)</f>
        <v>0</v>
      </c>
      <c r="K3131" s="88"/>
      <c r="L3131" s="88"/>
      <c r="M3131" s="88"/>
      <c r="N3131" s="88"/>
      <c r="O3131" s="88"/>
      <c r="P3131" s="88"/>
      <c r="Q3131" s="88"/>
      <c r="R3131" s="78">
        <f>MAX(S3131:W3131)</f>
        <v>1</v>
      </c>
      <c r="S3131" s="88"/>
      <c r="T3131" s="88"/>
      <c r="U3131" s="88">
        <v>1</v>
      </c>
      <c r="V3131" s="88"/>
      <c r="W3131" s="88"/>
    </row>
    <row r="3132" spans="2:23" s="0" customFormat="0" ht="15">
      <c r="B3132" s="87" t="s">
        <v>1</v>
      </c>
      <c r="C3132" s="88" t="s">
        <v>5259</v>
      </c>
      <c r="D3132" s="88">
        <v>16974062</v>
      </c>
      <c r="E3132" s="88" t="s">
        <v>61</v>
      </c>
      <c r="F3132" s="88">
        <v>0</v>
      </c>
      <c r="G3132" s="78">
        <f>MAX(H3132,I3132,J3132)</f>
        <v>0</v>
      </c>
      <c r="H3132" s="88"/>
      <c r="I3132" s="88"/>
      <c r="J3132" s="78">
        <f>MAX(K3132:Q3132)</f>
        <v>0</v>
      </c>
      <c r="K3132" s="88"/>
      <c r="L3132" s="88"/>
      <c r="M3132" s="88"/>
      <c r="N3132" s="88"/>
      <c r="O3132" s="88"/>
      <c r="P3132" s="88"/>
      <c r="Q3132" s="88"/>
      <c r="R3132" s="78">
        <f>MAX(S3132:W3132)</f>
        <v>1</v>
      </c>
      <c r="S3132" s="88"/>
      <c r="T3132" s="88"/>
      <c r="U3132" s="88">
        <v>1</v>
      </c>
      <c r="V3132" s="88"/>
      <c r="W3132" s="88"/>
    </row>
    <row r="3133" spans="2:23" s="0" customFormat="0" ht="15">
      <c r="B3133" s="87" t="s">
        <v>1</v>
      </c>
      <c r="C3133" s="88" t="s">
        <v>5259</v>
      </c>
      <c r="D3133" s="88">
        <v>22623645</v>
      </c>
      <c r="E3133" s="88" t="s">
        <v>61</v>
      </c>
      <c r="F3133" s="88">
        <v>0</v>
      </c>
      <c r="G3133" s="78">
        <f>MAX(H3133,I3133,J3133)</f>
        <v>0</v>
      </c>
      <c r="H3133" s="88"/>
      <c r="I3133" s="88"/>
      <c r="J3133" s="78">
        <f>MAX(K3133:Q3133)</f>
        <v>0</v>
      </c>
      <c r="K3133" s="88"/>
      <c r="L3133" s="88"/>
      <c r="M3133" s="88"/>
      <c r="N3133" s="88"/>
      <c r="O3133" s="88"/>
      <c r="P3133" s="88"/>
      <c r="Q3133" s="88"/>
      <c r="R3133" s="78">
        <f>MAX(S3133:W3133)</f>
        <v>1</v>
      </c>
      <c r="S3133" s="88"/>
      <c r="T3133" s="88"/>
      <c r="U3133" s="88">
        <v>1</v>
      </c>
      <c r="V3133" s="88"/>
      <c r="W3133" s="88"/>
    </row>
    <row r="3134" spans="2:23" s="0" customFormat="0" ht="15">
      <c r="B3134" s="87" t="s">
        <v>1</v>
      </c>
      <c r="C3134" s="88" t="s">
        <v>5259</v>
      </c>
      <c r="D3134" s="88">
        <v>23298166</v>
      </c>
      <c r="E3134" s="88" t="s">
        <v>61</v>
      </c>
      <c r="F3134" s="88">
        <v>0</v>
      </c>
      <c r="G3134" s="78">
        <f>MAX(H3134,I3134,J3134)</f>
        <v>1</v>
      </c>
      <c r="H3134" s="88"/>
      <c r="I3134" s="88"/>
      <c r="J3134" s="78">
        <f>MAX(K3134:Q3134)</f>
        <v>1</v>
      </c>
      <c r="K3134" s="88">
        <v>1</v>
      </c>
      <c r="L3134" s="88"/>
      <c r="M3134" s="88"/>
      <c r="N3134" s="88"/>
      <c r="O3134" s="88"/>
      <c r="P3134" s="88"/>
      <c r="Q3134" s="88"/>
      <c r="R3134" s="78">
        <f>MAX(S3134:W3134)</f>
        <v>0</v>
      </c>
      <c r="S3134" s="88"/>
      <c r="T3134" s="88"/>
      <c r="U3134" s="88"/>
      <c r="V3134" s="88"/>
      <c r="W3134" s="88"/>
    </row>
    <row r="3135" spans="2:23" s="0" customFormat="0" ht="15">
      <c r="B3135" s="87" t="s">
        <v>1</v>
      </c>
      <c r="C3135" s="88" t="s">
        <v>5259</v>
      </c>
      <c r="D3135" s="88" t="s">
        <v>4646</v>
      </c>
      <c r="E3135" s="88" t="s">
        <v>61</v>
      </c>
      <c r="F3135" s="88">
        <v>0</v>
      </c>
      <c r="G3135" s="78">
        <f>MAX(H3135,I3135,J3135)</f>
        <v>0</v>
      </c>
      <c r="H3135" s="88"/>
      <c r="I3135" s="88"/>
      <c r="J3135" s="78">
        <f>MAX(K3135:Q3135)</f>
        <v>0</v>
      </c>
      <c r="K3135" s="88"/>
      <c r="L3135" s="88"/>
      <c r="M3135" s="88"/>
      <c r="N3135" s="88"/>
      <c r="O3135" s="88"/>
      <c r="P3135" s="88"/>
      <c r="Q3135" s="88"/>
      <c r="R3135" s="78">
        <f>MAX(S3135:W3135)</f>
        <v>1</v>
      </c>
      <c r="S3135" s="88"/>
      <c r="T3135" s="88"/>
      <c r="U3135" s="88">
        <v>1</v>
      </c>
      <c r="V3135" s="88"/>
      <c r="W3135" s="88"/>
    </row>
    <row r="3136" spans="2:23" s="0" customFormat="0" ht="15">
      <c r="B3136" s="87" t="s">
        <v>1</v>
      </c>
      <c r="C3136" s="88" t="s">
        <v>5259</v>
      </c>
      <c r="D3136" s="88">
        <v>8543726</v>
      </c>
      <c r="E3136" s="88" t="s">
        <v>61</v>
      </c>
      <c r="F3136" s="88">
        <v>0</v>
      </c>
      <c r="G3136" s="78">
        <f>MAX(H3136,I3136,J3136)</f>
        <v>1</v>
      </c>
      <c r="H3136" s="88"/>
      <c r="I3136" s="88"/>
      <c r="J3136" s="78">
        <f>MAX(K3136:Q3136)</f>
        <v>1</v>
      </c>
      <c r="K3136" s="88">
        <v>1</v>
      </c>
      <c r="L3136" s="88"/>
      <c r="M3136" s="88"/>
      <c r="N3136" s="88"/>
      <c r="O3136" s="88"/>
      <c r="P3136" s="88"/>
      <c r="Q3136" s="88"/>
      <c r="R3136" s="78">
        <f>MAX(S3136:W3136)</f>
        <v>0</v>
      </c>
      <c r="S3136" s="88"/>
      <c r="T3136" s="88"/>
      <c r="U3136" s="88"/>
      <c r="V3136" s="88"/>
      <c r="W3136" s="88"/>
    </row>
    <row r="3137" spans="2:23" s="0" customFormat="0" ht="15">
      <c r="B3137" s="87" t="s">
        <v>1</v>
      </c>
      <c r="C3137" s="88" t="s">
        <v>5259</v>
      </c>
      <c r="D3137" s="88">
        <v>24909349</v>
      </c>
      <c r="E3137" s="88" t="s">
        <v>61</v>
      </c>
      <c r="F3137" s="88">
        <v>0</v>
      </c>
      <c r="G3137" s="78">
        <f>MAX(H3137,I3137,J3137)</f>
        <v>1</v>
      </c>
      <c r="H3137" s="88"/>
      <c r="I3137" s="88"/>
      <c r="J3137" s="78">
        <f>MAX(K3137:Q3137)</f>
        <v>1</v>
      </c>
      <c r="K3137" s="88"/>
      <c r="L3137" s="88"/>
      <c r="M3137" s="88">
        <v>1</v>
      </c>
      <c r="N3137" s="88"/>
      <c r="O3137" s="88"/>
      <c r="P3137" s="88"/>
      <c r="Q3137" s="88"/>
      <c r="R3137" s="78">
        <f>MAX(S3137:W3137)</f>
        <v>0</v>
      </c>
      <c r="S3137" s="88"/>
      <c r="T3137" s="88"/>
      <c r="U3137" s="88"/>
      <c r="V3137" s="88"/>
      <c r="W3137" s="88"/>
    </row>
    <row r="3138" spans="2:23" s="0" customFormat="0" ht="15">
      <c r="B3138" s="87" t="s">
        <v>1</v>
      </c>
      <c r="C3138" s="88" t="s">
        <v>5259</v>
      </c>
      <c r="D3138" s="88" t="s">
        <v>2110</v>
      </c>
      <c r="E3138" s="88" t="s">
        <v>61</v>
      </c>
      <c r="F3138" s="88">
        <v>0</v>
      </c>
      <c r="G3138" s="78">
        <f>MAX(H3138,I3138,J3138)</f>
        <v>1</v>
      </c>
      <c r="H3138" s="88"/>
      <c r="I3138" s="88"/>
      <c r="J3138" s="78">
        <f>MAX(K3138:Q3138)</f>
        <v>1</v>
      </c>
      <c r="K3138" s="88">
        <v>1</v>
      </c>
      <c r="L3138" s="88"/>
      <c r="M3138" s="88"/>
      <c r="N3138" s="88"/>
      <c r="O3138" s="88"/>
      <c r="P3138" s="88"/>
      <c r="Q3138" s="88"/>
      <c r="R3138" s="78">
        <f>MAX(S3138:W3138)</f>
        <v>0</v>
      </c>
      <c r="S3138" s="88"/>
      <c r="T3138" s="88"/>
      <c r="U3138" s="88"/>
      <c r="V3138" s="88"/>
      <c r="W3138" s="88"/>
    </row>
    <row r="3139" spans="2:23" s="0" customFormat="0" ht="15">
      <c r="B3139" s="87" t="s">
        <v>1</v>
      </c>
      <c r="C3139" s="88" t="s">
        <v>5259</v>
      </c>
      <c r="D3139" s="88">
        <v>20809016</v>
      </c>
      <c r="E3139" s="88" t="s">
        <v>61</v>
      </c>
      <c r="F3139" s="88">
        <v>0</v>
      </c>
      <c r="G3139" s="78">
        <f>MAX(H3139,I3139,J3139)</f>
        <v>1</v>
      </c>
      <c r="H3139" s="88"/>
      <c r="I3139" s="88"/>
      <c r="J3139" s="78">
        <f>MAX(K3139:Q3139)</f>
        <v>1</v>
      </c>
      <c r="K3139" s="88">
        <v>1</v>
      </c>
      <c r="L3139" s="88"/>
      <c r="M3139" s="88"/>
      <c r="N3139" s="88"/>
      <c r="O3139" s="88"/>
      <c r="P3139" s="88"/>
      <c r="Q3139" s="88"/>
      <c r="R3139" s="78">
        <f>MAX(S3139:W3139)</f>
        <v>0</v>
      </c>
      <c r="S3139" s="88"/>
      <c r="T3139" s="88"/>
      <c r="U3139" s="88"/>
      <c r="V3139" s="88"/>
      <c r="W3139" s="88"/>
    </row>
    <row r="3140" spans="2:23" s="0" customFormat="0" ht="15">
      <c r="B3140" s="87" t="s">
        <v>1</v>
      </c>
      <c r="C3140" s="88" t="s">
        <v>5259</v>
      </c>
      <c r="D3140" s="88">
        <v>21565411</v>
      </c>
      <c r="E3140" s="88" t="s">
        <v>61</v>
      </c>
      <c r="F3140" s="88">
        <v>0</v>
      </c>
      <c r="G3140" s="78">
        <f>MAX(H3140,I3140,J3140)</f>
        <v>1</v>
      </c>
      <c r="H3140" s="88"/>
      <c r="I3140" s="88"/>
      <c r="J3140" s="78">
        <f>MAX(K3140:Q3140)</f>
        <v>1</v>
      </c>
      <c r="K3140" s="88">
        <v>1</v>
      </c>
      <c r="L3140" s="88"/>
      <c r="M3140" s="88"/>
      <c r="N3140" s="88"/>
      <c r="O3140" s="88"/>
      <c r="P3140" s="88"/>
      <c r="Q3140" s="88"/>
      <c r="R3140" s="78">
        <f>MAX(S3140:W3140)</f>
        <v>0</v>
      </c>
      <c r="S3140" s="88"/>
      <c r="T3140" s="88"/>
      <c r="U3140" s="88"/>
      <c r="V3140" s="88"/>
      <c r="W3140" s="88"/>
    </row>
    <row r="3141" spans="2:23" s="0" customFormat="0" ht="15">
      <c r="B3141" s="87" t="s">
        <v>1</v>
      </c>
      <c r="C3141" s="88" t="s">
        <v>5259</v>
      </c>
      <c r="D3141" s="88" t="s">
        <v>2113</v>
      </c>
      <c r="E3141" s="88" t="s">
        <v>61</v>
      </c>
      <c r="F3141" s="88">
        <v>0</v>
      </c>
      <c r="G3141" s="78">
        <f>MAX(H3141,I3141,J3141)</f>
        <v>1</v>
      </c>
      <c r="H3141" s="88"/>
      <c r="I3141" s="88"/>
      <c r="J3141" s="78">
        <f>MAX(K3141:Q3141)</f>
        <v>1</v>
      </c>
      <c r="K3141" s="88">
        <v>1</v>
      </c>
      <c r="L3141" s="88"/>
      <c r="M3141" s="88"/>
      <c r="N3141" s="88"/>
      <c r="O3141" s="88"/>
      <c r="P3141" s="88"/>
      <c r="Q3141" s="88"/>
      <c r="R3141" s="78">
        <f>MAX(S3141:W3141)</f>
        <v>0</v>
      </c>
      <c r="S3141" s="88"/>
      <c r="T3141" s="88"/>
      <c r="U3141" s="88"/>
      <c r="V3141" s="88"/>
      <c r="W3141" s="88"/>
    </row>
    <row r="3142" spans="2:23" s="0" customFormat="0" ht="15">
      <c r="B3142" s="87" t="s">
        <v>1</v>
      </c>
      <c r="C3142" s="88" t="s">
        <v>5259</v>
      </c>
      <c r="D3142" s="88">
        <v>12200132</v>
      </c>
      <c r="E3142" s="88" t="s">
        <v>61</v>
      </c>
      <c r="F3142" s="88">
        <v>0</v>
      </c>
      <c r="G3142" s="78">
        <f>MAX(H3142,I3142,J3142)</f>
        <v>1</v>
      </c>
      <c r="H3142" s="88"/>
      <c r="I3142" s="88"/>
      <c r="J3142" s="78">
        <f>MAX(K3142:Q3142)</f>
        <v>1</v>
      </c>
      <c r="K3142" s="88">
        <v>1</v>
      </c>
      <c r="L3142" s="88"/>
      <c r="M3142" s="88"/>
      <c r="N3142" s="88"/>
      <c r="O3142" s="88"/>
      <c r="P3142" s="88"/>
      <c r="Q3142" s="88"/>
      <c r="R3142" s="78">
        <f>MAX(S3142:W3142)</f>
        <v>0</v>
      </c>
      <c r="S3142" s="88"/>
      <c r="T3142" s="88"/>
      <c r="U3142" s="88"/>
      <c r="V3142" s="88"/>
      <c r="W3142" s="88"/>
    </row>
    <row r="3143" spans="2:23" s="0" customFormat="0" ht="15">
      <c r="B3143" s="87" t="s">
        <v>1</v>
      </c>
      <c r="C3143" s="88" t="s">
        <v>5259</v>
      </c>
      <c r="D3143" s="88" t="s">
        <v>4596</v>
      </c>
      <c r="E3143" s="88" t="s">
        <v>61</v>
      </c>
      <c r="F3143" s="88">
        <v>0</v>
      </c>
      <c r="G3143" s="78">
        <f>MAX(H3143,I3143,J3143)</f>
        <v>0</v>
      </c>
      <c r="H3143" s="88"/>
      <c r="I3143" s="88"/>
      <c r="J3143" s="78">
        <f>MAX(K3143:Q3143)</f>
        <v>0</v>
      </c>
      <c r="K3143" s="88"/>
      <c r="L3143" s="88"/>
      <c r="M3143" s="88"/>
      <c r="N3143" s="88"/>
      <c r="O3143" s="88"/>
      <c r="P3143" s="88"/>
      <c r="Q3143" s="88"/>
      <c r="R3143" s="78">
        <f>MAX(S3143:W3143)</f>
        <v>1</v>
      </c>
      <c r="S3143" s="88"/>
      <c r="T3143" s="88"/>
      <c r="U3143" s="88">
        <v>1</v>
      </c>
      <c r="V3143" s="88"/>
      <c r="W3143" s="88"/>
    </row>
    <row r="3144" spans="2:23" s="0" customFormat="0" ht="15">
      <c r="B3144" s="87" t="s">
        <v>1</v>
      </c>
      <c r="C3144" s="88" t="s">
        <v>5259</v>
      </c>
      <c r="D3144" s="88">
        <v>11578696</v>
      </c>
      <c r="E3144" s="88" t="s">
        <v>61</v>
      </c>
      <c r="F3144" s="88">
        <v>0</v>
      </c>
      <c r="G3144" s="78">
        <f>MAX(H3144,I3144,J3144)</f>
        <v>1</v>
      </c>
      <c r="H3144" s="88"/>
      <c r="I3144" s="88"/>
      <c r="J3144" s="78">
        <f>MAX(K3144:Q3144)</f>
        <v>1</v>
      </c>
      <c r="K3144" s="88">
        <v>1</v>
      </c>
      <c r="L3144" s="88"/>
      <c r="M3144" s="88"/>
      <c r="N3144" s="88"/>
      <c r="O3144" s="88"/>
      <c r="P3144" s="88"/>
      <c r="Q3144" s="88"/>
      <c r="R3144" s="78">
        <f>MAX(S3144:W3144)</f>
        <v>0</v>
      </c>
      <c r="S3144" s="88"/>
      <c r="T3144" s="88"/>
      <c r="U3144" s="88"/>
      <c r="V3144" s="88"/>
      <c r="W3144" s="88"/>
    </row>
    <row r="3145" spans="2:23" s="0" customFormat="0" ht="15">
      <c r="B3145" s="87" t="s">
        <v>1</v>
      </c>
      <c r="C3145" s="88" t="s">
        <v>5259</v>
      </c>
      <c r="D3145" s="88">
        <v>11774423</v>
      </c>
      <c r="E3145" s="88" t="s">
        <v>61</v>
      </c>
      <c r="F3145" s="88">
        <v>0</v>
      </c>
      <c r="G3145" s="78">
        <f>MAX(H3145,I3145,J3145)</f>
        <v>1</v>
      </c>
      <c r="H3145" s="88"/>
      <c r="I3145" s="88"/>
      <c r="J3145" s="78">
        <f>MAX(K3145:Q3145)</f>
        <v>1</v>
      </c>
      <c r="K3145" s="88">
        <v>1</v>
      </c>
      <c r="L3145" s="88"/>
      <c r="M3145" s="88"/>
      <c r="N3145" s="88"/>
      <c r="O3145" s="88"/>
      <c r="P3145" s="88"/>
      <c r="Q3145" s="88"/>
      <c r="R3145" s="78">
        <f>MAX(S3145:W3145)</f>
        <v>0</v>
      </c>
      <c r="S3145" s="88"/>
      <c r="T3145" s="88"/>
      <c r="U3145" s="88"/>
      <c r="V3145" s="88"/>
      <c r="W3145" s="88"/>
    </row>
    <row r="3146" spans="2:23" s="0" customFormat="0" ht="15">
      <c r="B3146" s="87" t="s">
        <v>1</v>
      </c>
      <c r="C3146" s="88" t="s">
        <v>5259</v>
      </c>
      <c r="D3146" s="88" t="s">
        <v>2116</v>
      </c>
      <c r="E3146" s="88" t="s">
        <v>61</v>
      </c>
      <c r="F3146" s="88">
        <v>0</v>
      </c>
      <c r="G3146" s="78">
        <f>MAX(H3146,I3146,J3146)</f>
        <v>1</v>
      </c>
      <c r="H3146" s="88"/>
      <c r="I3146" s="88"/>
      <c r="J3146" s="78">
        <f>MAX(K3146:Q3146)</f>
        <v>1</v>
      </c>
      <c r="K3146" s="88">
        <v>1</v>
      </c>
      <c r="L3146" s="88"/>
      <c r="M3146" s="88"/>
      <c r="N3146" s="88"/>
      <c r="O3146" s="88"/>
      <c r="P3146" s="88"/>
      <c r="Q3146" s="88"/>
      <c r="R3146" s="78">
        <f>MAX(S3146:W3146)</f>
        <v>0</v>
      </c>
      <c r="S3146" s="88"/>
      <c r="T3146" s="88"/>
      <c r="U3146" s="88"/>
      <c r="V3146" s="88"/>
      <c r="W3146" s="88"/>
    </row>
    <row r="3147" spans="2:23" s="0" customFormat="0" ht="15">
      <c r="B3147" s="87" t="s">
        <v>1</v>
      </c>
      <c r="C3147" s="88" t="s">
        <v>5259</v>
      </c>
      <c r="D3147" s="88">
        <v>3953308</v>
      </c>
      <c r="E3147" s="88" t="s">
        <v>61</v>
      </c>
      <c r="F3147" s="88">
        <v>0</v>
      </c>
      <c r="G3147" s="78">
        <f>MAX(H3147,I3147,J3147)</f>
        <v>1</v>
      </c>
      <c r="H3147" s="88"/>
      <c r="I3147" s="88"/>
      <c r="J3147" s="78">
        <f>MAX(K3147:Q3147)</f>
        <v>1</v>
      </c>
      <c r="K3147" s="88">
        <v>1</v>
      </c>
      <c r="L3147" s="88"/>
      <c r="M3147" s="88"/>
      <c r="N3147" s="88"/>
      <c r="O3147" s="88"/>
      <c r="P3147" s="88"/>
      <c r="Q3147" s="88"/>
      <c r="R3147" s="78">
        <f>MAX(S3147:W3147)</f>
        <v>0</v>
      </c>
      <c r="S3147" s="88"/>
      <c r="T3147" s="88"/>
      <c r="U3147" s="88"/>
      <c r="V3147" s="88"/>
      <c r="W3147" s="88"/>
    </row>
    <row r="3148" spans="2:23" s="0" customFormat="0" ht="15">
      <c r="B3148" s="87" t="s">
        <v>1</v>
      </c>
      <c r="C3148" s="88" t="s">
        <v>5259</v>
      </c>
      <c r="D3148" s="88">
        <v>16064045</v>
      </c>
      <c r="E3148" s="88" t="s">
        <v>61</v>
      </c>
      <c r="F3148" s="88">
        <v>0</v>
      </c>
      <c r="G3148" s="78">
        <f>MAX(H3148,I3148,J3148)</f>
        <v>1</v>
      </c>
      <c r="H3148" s="88"/>
      <c r="I3148" s="88"/>
      <c r="J3148" s="78">
        <f>MAX(K3148:Q3148)</f>
        <v>1</v>
      </c>
      <c r="K3148" s="88"/>
      <c r="L3148" s="88"/>
      <c r="M3148" s="88">
        <v>1</v>
      </c>
      <c r="N3148" s="88"/>
      <c r="O3148" s="88"/>
      <c r="P3148" s="88"/>
      <c r="Q3148" s="88"/>
      <c r="R3148" s="78">
        <f>MAX(S3148:W3148)</f>
        <v>0</v>
      </c>
      <c r="S3148" s="88"/>
      <c r="T3148" s="88"/>
      <c r="U3148" s="88"/>
      <c r="V3148" s="88"/>
      <c r="W3148" s="88"/>
    </row>
    <row r="3149" spans="2:23" s="0" customFormat="0" ht="15">
      <c r="B3149" s="87" t="s">
        <v>1</v>
      </c>
      <c r="C3149" s="88" t="s">
        <v>5259</v>
      </c>
      <c r="D3149" s="88" t="s">
        <v>2119</v>
      </c>
      <c r="E3149" s="88" t="s">
        <v>61</v>
      </c>
      <c r="F3149" s="88">
        <v>0</v>
      </c>
      <c r="G3149" s="78">
        <f>MAX(H3149,I3149,J3149)</f>
        <v>1</v>
      </c>
      <c r="H3149" s="88"/>
      <c r="I3149" s="88"/>
      <c r="J3149" s="78">
        <f>MAX(K3149:Q3149)</f>
        <v>1</v>
      </c>
      <c r="K3149" s="88">
        <v>1</v>
      </c>
      <c r="L3149" s="88"/>
      <c r="M3149" s="88"/>
      <c r="N3149" s="88"/>
      <c r="O3149" s="88"/>
      <c r="P3149" s="88"/>
      <c r="Q3149" s="88"/>
      <c r="R3149" s="78">
        <f>MAX(S3149:W3149)</f>
        <v>0</v>
      </c>
      <c r="S3149" s="88"/>
      <c r="T3149" s="88"/>
      <c r="U3149" s="88"/>
      <c r="V3149" s="88"/>
      <c r="W3149" s="88"/>
    </row>
    <row r="3150" spans="2:23" s="0" customFormat="0" ht="15">
      <c r="B3150" s="87" t="s">
        <v>1</v>
      </c>
      <c r="C3150" s="88" t="s">
        <v>5259</v>
      </c>
      <c r="D3150" s="88">
        <v>25010321</v>
      </c>
      <c r="E3150" s="88" t="s">
        <v>61</v>
      </c>
      <c r="F3150" s="88">
        <v>0</v>
      </c>
      <c r="G3150" s="78">
        <f>MAX(H3150,I3150,J3150)</f>
        <v>1</v>
      </c>
      <c r="H3150" s="88"/>
      <c r="I3150" s="88"/>
      <c r="J3150" s="78">
        <f>MAX(K3150:Q3150)</f>
        <v>1</v>
      </c>
      <c r="K3150" s="88"/>
      <c r="L3150" s="88"/>
      <c r="M3150" s="88">
        <v>1</v>
      </c>
      <c r="N3150" s="88"/>
      <c r="O3150" s="88"/>
      <c r="P3150" s="88"/>
      <c r="Q3150" s="88"/>
      <c r="R3150" s="78">
        <f>MAX(S3150:W3150)</f>
        <v>0</v>
      </c>
      <c r="S3150" s="88"/>
      <c r="T3150" s="88"/>
      <c r="U3150" s="88"/>
      <c r="V3150" s="88"/>
      <c r="W3150" s="88"/>
    </row>
    <row r="3151" spans="2:23" s="0" customFormat="0" ht="15">
      <c r="B3151" s="87" t="s">
        <v>1</v>
      </c>
      <c r="C3151" s="88" t="s">
        <v>5259</v>
      </c>
      <c r="D3151" s="88" t="s">
        <v>4393</v>
      </c>
      <c r="E3151" s="88" t="s">
        <v>61</v>
      </c>
      <c r="F3151" s="88">
        <v>0</v>
      </c>
      <c r="G3151" s="78">
        <f>MAX(H3151,I3151,J3151)</f>
        <v>0</v>
      </c>
      <c r="H3151" s="88"/>
      <c r="I3151" s="88"/>
      <c r="J3151" s="78">
        <f>MAX(K3151:Q3151)</f>
        <v>0</v>
      </c>
      <c r="K3151" s="88"/>
      <c r="L3151" s="88"/>
      <c r="M3151" s="88"/>
      <c r="N3151" s="88"/>
      <c r="O3151" s="88"/>
      <c r="P3151" s="88"/>
      <c r="Q3151" s="88"/>
      <c r="R3151" s="78">
        <f>MAX(S3151:W3151)</f>
        <v>1</v>
      </c>
      <c r="S3151" s="88"/>
      <c r="T3151" s="88"/>
      <c r="U3151" s="88">
        <v>1</v>
      </c>
      <c r="V3151" s="88"/>
      <c r="W3151" s="88"/>
    </row>
    <row r="3152" spans="2:23" s="0" customFormat="0" ht="15">
      <c r="B3152" s="87" t="s">
        <v>1</v>
      </c>
      <c r="C3152" s="88" t="s">
        <v>5259</v>
      </c>
      <c r="D3152" s="88">
        <v>18719309</v>
      </c>
      <c r="E3152" s="88" t="s">
        <v>61</v>
      </c>
      <c r="F3152" s="88">
        <v>0</v>
      </c>
      <c r="G3152" s="78">
        <f>MAX(H3152,I3152,J3152)</f>
        <v>1</v>
      </c>
      <c r="H3152" s="88"/>
      <c r="I3152" s="88"/>
      <c r="J3152" s="78">
        <f>MAX(K3152:Q3152)</f>
        <v>1</v>
      </c>
      <c r="K3152" s="88">
        <v>1</v>
      </c>
      <c r="L3152" s="88"/>
      <c r="M3152" s="88"/>
      <c r="N3152" s="88"/>
      <c r="O3152" s="88"/>
      <c r="P3152" s="88"/>
      <c r="Q3152" s="88"/>
      <c r="R3152" s="78">
        <f>MAX(S3152:W3152)</f>
        <v>0</v>
      </c>
      <c r="S3152" s="88"/>
      <c r="T3152" s="88"/>
      <c r="U3152" s="88"/>
      <c r="V3152" s="88"/>
      <c r="W3152" s="88"/>
    </row>
    <row r="3153" spans="2:23" s="0" customFormat="0" ht="15">
      <c r="B3153" s="87" t="s">
        <v>1</v>
      </c>
      <c r="C3153" s="88" t="s">
        <v>5259</v>
      </c>
      <c r="D3153" s="88">
        <v>2215067</v>
      </c>
      <c r="E3153" s="88" t="s">
        <v>61</v>
      </c>
      <c r="F3153" s="88">
        <v>0</v>
      </c>
      <c r="G3153" s="78">
        <f>MAX(H3153,I3153,J3153)</f>
        <v>0</v>
      </c>
      <c r="H3153" s="88"/>
      <c r="I3153" s="88"/>
      <c r="J3153" s="78">
        <f>MAX(K3153:Q3153)</f>
        <v>0</v>
      </c>
      <c r="K3153" s="88"/>
      <c r="L3153" s="88"/>
      <c r="M3153" s="88"/>
      <c r="N3153" s="88"/>
      <c r="O3153" s="88"/>
      <c r="P3153" s="88"/>
      <c r="Q3153" s="88"/>
      <c r="R3153" s="78">
        <f>MAX(S3153:W3153)</f>
        <v>1</v>
      </c>
      <c r="S3153" s="88"/>
      <c r="T3153" s="88"/>
      <c r="U3153" s="88">
        <v>1</v>
      </c>
      <c r="V3153" s="88"/>
      <c r="W3153" s="88"/>
    </row>
    <row r="3154" spans="2:23" s="0" customFormat="0" ht="15">
      <c r="B3154" s="87" t="s">
        <v>1</v>
      </c>
      <c r="C3154" s="88" t="s">
        <v>5259</v>
      </c>
      <c r="D3154" s="88" t="s">
        <v>4646</v>
      </c>
      <c r="E3154" s="88" t="s">
        <v>61</v>
      </c>
      <c r="F3154" s="88">
        <v>0</v>
      </c>
      <c r="G3154" s="78">
        <f>MAX(H3154,I3154,J3154)</f>
        <v>0</v>
      </c>
      <c r="H3154" s="88"/>
      <c r="I3154" s="88"/>
      <c r="J3154" s="78">
        <f>MAX(K3154:Q3154)</f>
        <v>0</v>
      </c>
      <c r="K3154" s="88"/>
      <c r="L3154" s="88"/>
      <c r="M3154" s="88"/>
      <c r="N3154" s="88"/>
      <c r="O3154" s="88"/>
      <c r="P3154" s="88"/>
      <c r="Q3154" s="88"/>
      <c r="R3154" s="78">
        <f>MAX(S3154:W3154)</f>
        <v>1</v>
      </c>
      <c r="S3154" s="88"/>
      <c r="T3154" s="88"/>
      <c r="U3154" s="88">
        <v>1</v>
      </c>
      <c r="V3154" s="88"/>
      <c r="W3154" s="88"/>
    </row>
    <row r="3155" spans="2:23" s="0" customFormat="0" ht="15">
      <c r="B3155" s="87" t="s">
        <v>1</v>
      </c>
      <c r="C3155" s="88" t="s">
        <v>5259</v>
      </c>
      <c r="D3155" s="88" t="s">
        <v>3821</v>
      </c>
      <c r="E3155" s="88" t="s">
        <v>61</v>
      </c>
      <c r="F3155" s="88">
        <v>0</v>
      </c>
      <c r="G3155" s="78">
        <f>MAX(H3155,I3155,J3155)</f>
        <v>0</v>
      </c>
      <c r="H3155" s="88"/>
      <c r="I3155" s="88"/>
      <c r="J3155" s="78">
        <f>MAX(K3155:Q3155)</f>
        <v>0</v>
      </c>
      <c r="K3155" s="88"/>
      <c r="L3155" s="88"/>
      <c r="M3155" s="88"/>
      <c r="N3155" s="88"/>
      <c r="O3155" s="88"/>
      <c r="P3155" s="88"/>
      <c r="Q3155" s="88"/>
      <c r="R3155" s="78">
        <f>MAX(S3155:W3155)</f>
        <v>1</v>
      </c>
      <c r="S3155" s="88"/>
      <c r="T3155" s="88"/>
      <c r="U3155" s="88">
        <v>1</v>
      </c>
      <c r="V3155" s="88"/>
      <c r="W3155" s="88"/>
    </row>
    <row r="3156" spans="2:23" s="0" customFormat="0" ht="15">
      <c r="B3156" s="87" t="s">
        <v>1</v>
      </c>
      <c r="C3156" s="88" t="s">
        <v>5259</v>
      </c>
      <c r="D3156" s="88" t="s">
        <v>1594</v>
      </c>
      <c r="E3156" s="88" t="s">
        <v>61</v>
      </c>
      <c r="F3156" s="88">
        <v>0</v>
      </c>
      <c r="G3156" s="78">
        <f>MAX(H3156,I3156,J3156)</f>
        <v>1</v>
      </c>
      <c r="H3156" s="88"/>
      <c r="I3156" s="88"/>
      <c r="J3156" s="78">
        <f>MAX(K3156:Q3156)</f>
        <v>1</v>
      </c>
      <c r="K3156" s="88">
        <v>1</v>
      </c>
      <c r="L3156" s="88"/>
      <c r="M3156" s="88"/>
      <c r="N3156" s="88"/>
      <c r="O3156" s="88"/>
      <c r="P3156" s="88"/>
      <c r="Q3156" s="88"/>
      <c r="R3156" s="78">
        <f>MAX(S3156:W3156)</f>
        <v>0</v>
      </c>
      <c r="S3156" s="88"/>
      <c r="T3156" s="88"/>
      <c r="U3156" s="88"/>
      <c r="V3156" s="88"/>
      <c r="W3156" s="88"/>
    </row>
    <row r="3157" spans="2:23" s="0" customFormat="0" ht="15">
      <c r="B3157" s="87" t="s">
        <v>1</v>
      </c>
      <c r="C3157" s="88" t="s">
        <v>5259</v>
      </c>
      <c r="D3157" s="88">
        <v>20253637</v>
      </c>
      <c r="E3157" s="88" t="s">
        <v>61</v>
      </c>
      <c r="F3157" s="88">
        <v>0</v>
      </c>
      <c r="G3157" s="78">
        <f>MAX(H3157,I3157,J3157)</f>
        <v>1</v>
      </c>
      <c r="H3157" s="88"/>
      <c r="I3157" s="88"/>
      <c r="J3157" s="78">
        <f>MAX(K3157:Q3157)</f>
        <v>1</v>
      </c>
      <c r="K3157" s="88">
        <v>1</v>
      </c>
      <c r="L3157" s="88"/>
      <c r="M3157" s="88"/>
      <c r="N3157" s="88"/>
      <c r="O3157" s="88"/>
      <c r="P3157" s="88"/>
      <c r="Q3157" s="88"/>
      <c r="R3157" s="78">
        <f>MAX(S3157:W3157)</f>
        <v>0</v>
      </c>
      <c r="S3157" s="88"/>
      <c r="T3157" s="88"/>
      <c r="U3157" s="88"/>
      <c r="V3157" s="88"/>
      <c r="W3157" s="88"/>
    </row>
    <row r="3158" spans="2:23" s="0" customFormat="0" ht="15">
      <c r="B3158" s="87" t="s">
        <v>1</v>
      </c>
      <c r="C3158" s="88" t="s">
        <v>5259</v>
      </c>
      <c r="D3158" s="88">
        <v>21024822</v>
      </c>
      <c r="E3158" s="88" t="s">
        <v>61</v>
      </c>
      <c r="F3158" s="88">
        <v>0</v>
      </c>
      <c r="G3158" s="78">
        <f>MAX(H3158,I3158,J3158)</f>
        <v>1</v>
      </c>
      <c r="H3158" s="88"/>
      <c r="I3158" s="88"/>
      <c r="J3158" s="78">
        <f>MAX(K3158:Q3158)</f>
        <v>1</v>
      </c>
      <c r="K3158" s="88">
        <v>1</v>
      </c>
      <c r="L3158" s="88"/>
      <c r="M3158" s="88"/>
      <c r="N3158" s="88"/>
      <c r="O3158" s="88"/>
      <c r="P3158" s="88"/>
      <c r="Q3158" s="88"/>
      <c r="R3158" s="78">
        <f>MAX(S3158:W3158)</f>
        <v>0</v>
      </c>
      <c r="S3158" s="88"/>
      <c r="T3158" s="88"/>
      <c r="U3158" s="88"/>
      <c r="V3158" s="88"/>
      <c r="W3158" s="88"/>
    </row>
    <row r="3159" spans="2:23" s="0" customFormat="0" ht="15">
      <c r="B3159" s="87" t="s">
        <v>1</v>
      </c>
      <c r="C3159" s="88" t="s">
        <v>5259</v>
      </c>
      <c r="D3159" s="88">
        <v>8903954</v>
      </c>
      <c r="E3159" s="88" t="s">
        <v>61</v>
      </c>
      <c r="F3159" s="88">
        <v>0</v>
      </c>
      <c r="G3159" s="78">
        <f>MAX(H3159,I3159,J3159)</f>
        <v>1</v>
      </c>
      <c r="H3159" s="88"/>
      <c r="I3159" s="88"/>
      <c r="J3159" s="78">
        <f>MAX(K3159:Q3159)</f>
        <v>1</v>
      </c>
      <c r="K3159" s="88">
        <v>1</v>
      </c>
      <c r="L3159" s="88"/>
      <c r="M3159" s="88"/>
      <c r="N3159" s="88"/>
      <c r="O3159" s="88"/>
      <c r="P3159" s="88"/>
      <c r="Q3159" s="88"/>
      <c r="R3159" s="78">
        <f>MAX(S3159:W3159)</f>
        <v>0</v>
      </c>
      <c r="S3159" s="88"/>
      <c r="T3159" s="88"/>
      <c r="U3159" s="88"/>
      <c r="V3159" s="88"/>
      <c r="W3159" s="88"/>
    </row>
    <row r="3160" spans="2:23" s="0" customFormat="0" ht="15">
      <c r="B3160" s="87" t="s">
        <v>1</v>
      </c>
      <c r="C3160" s="88" t="s">
        <v>5259</v>
      </c>
      <c r="D3160" s="88" t="s">
        <v>4649</v>
      </c>
      <c r="E3160" s="88" t="s">
        <v>61</v>
      </c>
      <c r="F3160" s="88">
        <v>0</v>
      </c>
      <c r="G3160" s="78">
        <f>MAX(H3160,I3160,J3160)</f>
        <v>0</v>
      </c>
      <c r="H3160" s="88"/>
      <c r="I3160" s="88"/>
      <c r="J3160" s="78">
        <f>MAX(K3160:Q3160)</f>
        <v>0</v>
      </c>
      <c r="K3160" s="88"/>
      <c r="L3160" s="88"/>
      <c r="M3160" s="88"/>
      <c r="N3160" s="88"/>
      <c r="O3160" s="88"/>
      <c r="P3160" s="88"/>
      <c r="Q3160" s="88"/>
      <c r="R3160" s="78">
        <f>MAX(S3160:W3160)</f>
        <v>1</v>
      </c>
      <c r="S3160" s="88"/>
      <c r="T3160" s="88"/>
      <c r="U3160" s="88">
        <v>1</v>
      </c>
      <c r="V3160" s="88"/>
      <c r="W3160" s="88"/>
    </row>
    <row r="3161" spans="2:23" s="0" customFormat="0" ht="15">
      <c r="B3161" s="87" t="s">
        <v>1</v>
      </c>
      <c r="C3161" s="88" t="s">
        <v>5259</v>
      </c>
      <c r="D3161" s="88" t="s">
        <v>4411</v>
      </c>
      <c r="E3161" s="88" t="s">
        <v>61</v>
      </c>
      <c r="F3161" s="88">
        <v>0</v>
      </c>
      <c r="G3161" s="78">
        <f>MAX(H3161,I3161,J3161)</f>
        <v>0</v>
      </c>
      <c r="H3161" s="88"/>
      <c r="I3161" s="88"/>
      <c r="J3161" s="78">
        <f>MAX(K3161:Q3161)</f>
        <v>0</v>
      </c>
      <c r="K3161" s="88"/>
      <c r="L3161" s="88"/>
      <c r="M3161" s="88"/>
      <c r="N3161" s="88"/>
      <c r="O3161" s="88"/>
      <c r="P3161" s="88"/>
      <c r="Q3161" s="88"/>
      <c r="R3161" s="78">
        <f>MAX(S3161:W3161)</f>
        <v>1</v>
      </c>
      <c r="S3161" s="88"/>
      <c r="T3161" s="88"/>
      <c r="U3161" s="88">
        <v>1</v>
      </c>
      <c r="V3161" s="88"/>
      <c r="W3161" s="88"/>
    </row>
    <row r="3162" spans="2:23" s="0" customFormat="0" ht="15">
      <c r="B3162" s="87" t="s">
        <v>1</v>
      </c>
      <c r="C3162" s="88" t="s">
        <v>5259</v>
      </c>
      <c r="D3162" s="88" t="s">
        <v>4615</v>
      </c>
      <c r="E3162" s="88" t="s">
        <v>61</v>
      </c>
      <c r="F3162" s="88">
        <v>0</v>
      </c>
      <c r="G3162" s="78">
        <f>MAX(H3162,I3162,J3162)</f>
        <v>0</v>
      </c>
      <c r="H3162" s="88"/>
      <c r="I3162" s="88"/>
      <c r="J3162" s="78">
        <f>MAX(K3162:Q3162)</f>
        <v>0</v>
      </c>
      <c r="K3162" s="88"/>
      <c r="L3162" s="88"/>
      <c r="M3162" s="88"/>
      <c r="N3162" s="88"/>
      <c r="O3162" s="88"/>
      <c r="P3162" s="88"/>
      <c r="Q3162" s="88"/>
      <c r="R3162" s="78">
        <f>MAX(S3162:W3162)</f>
        <v>1</v>
      </c>
      <c r="S3162" s="88"/>
      <c r="T3162" s="88"/>
      <c r="U3162" s="88">
        <v>1</v>
      </c>
      <c r="V3162" s="88"/>
      <c r="W3162" s="88"/>
    </row>
    <row r="3163" spans="2:23" s="0" customFormat="0" ht="15">
      <c r="B3163" s="87" t="s">
        <v>1</v>
      </c>
      <c r="C3163" s="88" t="s">
        <v>5259</v>
      </c>
      <c r="D3163" s="88">
        <v>4359338</v>
      </c>
      <c r="E3163" s="88" t="s">
        <v>61</v>
      </c>
      <c r="F3163" s="88">
        <v>0</v>
      </c>
      <c r="G3163" s="78">
        <f>MAX(H3163,I3163,J3163)</f>
        <v>1</v>
      </c>
      <c r="H3163" s="88"/>
      <c r="I3163" s="88"/>
      <c r="J3163" s="78">
        <f>MAX(K3163:Q3163)</f>
        <v>1</v>
      </c>
      <c r="K3163" s="88">
        <v>1</v>
      </c>
      <c r="L3163" s="88"/>
      <c r="M3163" s="88"/>
      <c r="N3163" s="88"/>
      <c r="O3163" s="88"/>
      <c r="P3163" s="88"/>
      <c r="Q3163" s="88"/>
      <c r="R3163" s="78">
        <f>MAX(S3163:W3163)</f>
        <v>0</v>
      </c>
      <c r="S3163" s="88"/>
      <c r="T3163" s="88"/>
      <c r="U3163" s="88"/>
      <c r="V3163" s="88"/>
      <c r="W3163" s="88"/>
    </row>
    <row r="3164" spans="2:23" s="0" customFormat="0" ht="15">
      <c r="B3164" s="87" t="s">
        <v>1</v>
      </c>
      <c r="C3164" s="88" t="s">
        <v>5259</v>
      </c>
      <c r="D3164" s="88">
        <v>12633911</v>
      </c>
      <c r="E3164" s="88" t="s">
        <v>61</v>
      </c>
      <c r="F3164" s="88">
        <v>0</v>
      </c>
      <c r="G3164" s="78">
        <f>MAX(H3164,I3164,J3164)</f>
        <v>1</v>
      </c>
      <c r="H3164" s="88"/>
      <c r="I3164" s="88"/>
      <c r="J3164" s="78">
        <f>MAX(K3164:Q3164)</f>
        <v>1</v>
      </c>
      <c r="K3164" s="88">
        <v>1</v>
      </c>
      <c r="L3164" s="88"/>
      <c r="M3164" s="88"/>
      <c r="N3164" s="88"/>
      <c r="O3164" s="88"/>
      <c r="P3164" s="88"/>
      <c r="Q3164" s="88"/>
      <c r="R3164" s="78">
        <f>MAX(S3164:W3164)</f>
        <v>0</v>
      </c>
      <c r="S3164" s="88"/>
      <c r="T3164" s="88"/>
      <c r="U3164" s="88"/>
      <c r="V3164" s="88"/>
      <c r="W3164" s="88"/>
    </row>
    <row r="3165" spans="2:23" s="0" customFormat="0" ht="15">
      <c r="B3165" s="87" t="s">
        <v>1</v>
      </c>
      <c r="C3165" s="88" t="s">
        <v>5259</v>
      </c>
      <c r="D3165" s="88">
        <v>19837924</v>
      </c>
      <c r="E3165" s="88" t="s">
        <v>61</v>
      </c>
      <c r="F3165" s="88">
        <v>0</v>
      </c>
      <c r="G3165" s="78">
        <f>MAX(H3165,I3165,J3165)</f>
        <v>1</v>
      </c>
      <c r="H3165" s="88"/>
      <c r="I3165" s="88"/>
      <c r="J3165" s="78">
        <f>MAX(K3165:Q3165)</f>
        <v>1</v>
      </c>
      <c r="K3165" s="88">
        <v>1</v>
      </c>
      <c r="L3165" s="88"/>
      <c r="M3165" s="88"/>
      <c r="N3165" s="88"/>
      <c r="O3165" s="88"/>
      <c r="P3165" s="88"/>
      <c r="Q3165" s="88"/>
      <c r="R3165" s="78">
        <f>MAX(S3165:W3165)</f>
        <v>0</v>
      </c>
      <c r="S3165" s="88"/>
      <c r="T3165" s="88"/>
      <c r="U3165" s="88"/>
      <c r="V3165" s="88"/>
      <c r="W3165" s="88"/>
    </row>
    <row r="3166" spans="2:23" s="0" customFormat="0" ht="15">
      <c r="B3166" s="87" t="s">
        <v>1</v>
      </c>
      <c r="C3166" s="88" t="s">
        <v>5259</v>
      </c>
      <c r="D3166" s="88" t="s">
        <v>3092</v>
      </c>
      <c r="E3166" s="88" t="s">
        <v>61</v>
      </c>
      <c r="F3166" s="88">
        <v>0</v>
      </c>
      <c r="G3166" s="78">
        <f>MAX(H3166,I3166,J3166)</f>
        <v>1</v>
      </c>
      <c r="H3166" s="88"/>
      <c r="I3166" s="88"/>
      <c r="J3166" s="78">
        <f>MAX(K3166:Q3166)</f>
        <v>1</v>
      </c>
      <c r="K3166" s="88"/>
      <c r="L3166" s="88"/>
      <c r="M3166" s="88">
        <v>1</v>
      </c>
      <c r="N3166" s="88"/>
      <c r="O3166" s="88"/>
      <c r="P3166" s="88"/>
      <c r="Q3166" s="88"/>
      <c r="R3166" s="78">
        <f>MAX(S3166:W3166)</f>
        <v>0</v>
      </c>
      <c r="S3166" s="88"/>
      <c r="T3166" s="88"/>
      <c r="U3166" s="88"/>
      <c r="V3166" s="88"/>
      <c r="W3166" s="88"/>
    </row>
    <row r="3167" spans="2:23" s="0" customFormat="0" ht="15">
      <c r="B3167" s="87" t="s">
        <v>1</v>
      </c>
      <c r="C3167" s="88" t="s">
        <v>5259</v>
      </c>
      <c r="D3167" s="88" t="s">
        <v>4304</v>
      </c>
      <c r="E3167" s="88" t="s">
        <v>61</v>
      </c>
      <c r="F3167" s="88">
        <v>0</v>
      </c>
      <c r="G3167" s="78">
        <f>MAX(H3167,I3167,J3167)</f>
        <v>0</v>
      </c>
      <c r="H3167" s="88"/>
      <c r="I3167" s="88"/>
      <c r="J3167" s="78">
        <f>MAX(K3167:Q3167)</f>
        <v>0</v>
      </c>
      <c r="K3167" s="88"/>
      <c r="L3167" s="88"/>
      <c r="M3167" s="88"/>
      <c r="N3167" s="88"/>
      <c r="O3167" s="88"/>
      <c r="P3167" s="88"/>
      <c r="Q3167" s="88"/>
      <c r="R3167" s="78">
        <f>MAX(S3167:W3167)</f>
        <v>1</v>
      </c>
      <c r="S3167" s="88"/>
      <c r="T3167" s="88"/>
      <c r="U3167" s="88">
        <v>1</v>
      </c>
      <c r="V3167" s="88"/>
      <c r="W3167" s="88"/>
    </row>
    <row r="3168" spans="2:23" s="0" customFormat="0" ht="15">
      <c r="B3168" s="87" t="s">
        <v>1</v>
      </c>
      <c r="C3168" s="88" t="s">
        <v>5259</v>
      </c>
      <c r="D3168" s="88">
        <v>17296039</v>
      </c>
      <c r="E3168" s="88" t="s">
        <v>61</v>
      </c>
      <c r="F3168" s="88">
        <v>0</v>
      </c>
      <c r="G3168" s="78">
        <f>MAX(H3168,I3168,J3168)</f>
        <v>1</v>
      </c>
      <c r="H3168" s="88"/>
      <c r="I3168" s="88"/>
      <c r="J3168" s="78">
        <f>MAX(K3168:Q3168)</f>
        <v>1</v>
      </c>
      <c r="K3168" s="88">
        <v>1</v>
      </c>
      <c r="L3168" s="88"/>
      <c r="M3168" s="88"/>
      <c r="N3168" s="88"/>
      <c r="O3168" s="88"/>
      <c r="P3168" s="88"/>
      <c r="Q3168" s="88"/>
      <c r="R3168" s="78">
        <f>MAX(S3168:W3168)</f>
        <v>0</v>
      </c>
      <c r="S3168" s="88"/>
      <c r="T3168" s="88"/>
      <c r="U3168" s="88"/>
      <c r="V3168" s="88"/>
      <c r="W3168" s="88"/>
    </row>
    <row r="3169" spans="2:23" s="0" customFormat="0" ht="15">
      <c r="B3169" s="87" t="s">
        <v>1</v>
      </c>
      <c r="C3169" s="88" t="s">
        <v>5259</v>
      </c>
      <c r="D3169" s="88">
        <v>24191440</v>
      </c>
      <c r="E3169" s="88" t="s">
        <v>61</v>
      </c>
      <c r="F3169" s="88">
        <v>0</v>
      </c>
      <c r="G3169" s="78">
        <f>MAX(H3169,I3169,J3169)</f>
        <v>1</v>
      </c>
      <c r="H3169" s="88"/>
      <c r="I3169" s="88"/>
      <c r="J3169" s="78">
        <f>MAX(K3169:Q3169)</f>
        <v>1</v>
      </c>
      <c r="K3169" s="88">
        <v>1</v>
      </c>
      <c r="L3169" s="88"/>
      <c r="M3169" s="88"/>
      <c r="N3169" s="88"/>
      <c r="O3169" s="88"/>
      <c r="P3169" s="88"/>
      <c r="Q3169" s="88"/>
      <c r="R3169" s="78">
        <f>MAX(S3169:W3169)</f>
        <v>0</v>
      </c>
      <c r="S3169" s="88"/>
      <c r="T3169" s="88"/>
      <c r="U3169" s="88"/>
      <c r="V3169" s="88"/>
      <c r="W3169" s="88"/>
    </row>
    <row r="3170" spans="2:23" s="0" customFormat="0" ht="15">
      <c r="B3170" s="87" t="s">
        <v>1</v>
      </c>
      <c r="C3170" s="88" t="s">
        <v>5259</v>
      </c>
      <c r="D3170" s="88">
        <v>19003893</v>
      </c>
      <c r="E3170" s="88" t="s">
        <v>61</v>
      </c>
      <c r="F3170" s="88">
        <v>0</v>
      </c>
      <c r="G3170" s="78">
        <f>MAX(H3170,I3170,J3170)</f>
        <v>1</v>
      </c>
      <c r="H3170" s="88"/>
      <c r="I3170" s="88"/>
      <c r="J3170" s="78">
        <f>MAX(K3170:Q3170)</f>
        <v>1</v>
      </c>
      <c r="K3170" s="88">
        <v>1</v>
      </c>
      <c r="L3170" s="88"/>
      <c r="M3170" s="88"/>
      <c r="N3170" s="88"/>
      <c r="O3170" s="88"/>
      <c r="P3170" s="88"/>
      <c r="Q3170" s="88"/>
      <c r="R3170" s="78">
        <f>MAX(S3170:W3170)</f>
        <v>0</v>
      </c>
      <c r="S3170" s="88"/>
      <c r="T3170" s="88"/>
      <c r="U3170" s="88"/>
      <c r="V3170" s="88"/>
      <c r="W3170" s="88"/>
    </row>
    <row r="3171" spans="2:23" s="0" customFormat="0" ht="15">
      <c r="B3171" s="87" t="s">
        <v>1</v>
      </c>
      <c r="C3171" s="88" t="s">
        <v>5259</v>
      </c>
      <c r="D3171" s="88">
        <v>23120391</v>
      </c>
      <c r="E3171" s="88" t="s">
        <v>61</v>
      </c>
      <c r="F3171" s="88">
        <v>0</v>
      </c>
      <c r="G3171" s="78">
        <f>MAX(H3171,I3171,J3171)</f>
        <v>1</v>
      </c>
      <c r="H3171" s="88"/>
      <c r="I3171" s="88"/>
      <c r="J3171" s="78">
        <f>MAX(K3171:Q3171)</f>
        <v>1</v>
      </c>
      <c r="K3171" s="88">
        <v>1</v>
      </c>
      <c r="L3171" s="88"/>
      <c r="M3171" s="88"/>
      <c r="N3171" s="88"/>
      <c r="O3171" s="88"/>
      <c r="P3171" s="88"/>
      <c r="Q3171" s="88"/>
      <c r="R3171" s="78">
        <f>MAX(S3171:W3171)</f>
        <v>0</v>
      </c>
      <c r="S3171" s="88"/>
      <c r="T3171" s="88"/>
      <c r="U3171" s="88"/>
      <c r="V3171" s="88"/>
      <c r="W3171" s="88"/>
    </row>
    <row r="3172" spans="2:23" s="0" customFormat="0" ht="15">
      <c r="B3172" s="87" t="s">
        <v>1</v>
      </c>
      <c r="C3172" s="88" t="s">
        <v>5259</v>
      </c>
      <c r="D3172" s="88" t="s">
        <v>4651</v>
      </c>
      <c r="E3172" s="88" t="s">
        <v>61</v>
      </c>
      <c r="F3172" s="88">
        <v>0</v>
      </c>
      <c r="G3172" s="78">
        <f>MAX(H3172,I3172,J3172)</f>
        <v>0</v>
      </c>
      <c r="H3172" s="88"/>
      <c r="I3172" s="88"/>
      <c r="J3172" s="78">
        <f>MAX(K3172:Q3172)</f>
        <v>0</v>
      </c>
      <c r="K3172" s="88"/>
      <c r="L3172" s="88"/>
      <c r="M3172" s="88"/>
      <c r="N3172" s="88"/>
      <c r="O3172" s="88"/>
      <c r="P3172" s="88"/>
      <c r="Q3172" s="88"/>
      <c r="R3172" s="78">
        <f>MAX(S3172:W3172)</f>
        <v>1</v>
      </c>
      <c r="S3172" s="88"/>
      <c r="T3172" s="88"/>
      <c r="U3172" s="88">
        <v>1</v>
      </c>
      <c r="V3172" s="88"/>
      <c r="W3172" s="88"/>
    </row>
    <row r="3173" spans="2:23" s="0" customFormat="0" ht="15">
      <c r="B3173" s="87" t="s">
        <v>1</v>
      </c>
      <c r="C3173" s="88" t="s">
        <v>5259</v>
      </c>
      <c r="D3173" s="88" t="s">
        <v>4653</v>
      </c>
      <c r="E3173" s="88" t="s">
        <v>61</v>
      </c>
      <c r="F3173" s="88">
        <v>0</v>
      </c>
      <c r="G3173" s="78">
        <f>MAX(H3173,I3173,J3173)</f>
        <v>0</v>
      </c>
      <c r="H3173" s="88"/>
      <c r="I3173" s="88"/>
      <c r="J3173" s="78">
        <f>MAX(K3173:Q3173)</f>
        <v>0</v>
      </c>
      <c r="K3173" s="88"/>
      <c r="L3173" s="88"/>
      <c r="M3173" s="88"/>
      <c r="N3173" s="88"/>
      <c r="O3173" s="88"/>
      <c r="P3173" s="88"/>
      <c r="Q3173" s="88"/>
      <c r="R3173" s="78">
        <f>MAX(S3173:W3173)</f>
        <v>1</v>
      </c>
      <c r="S3173" s="88"/>
      <c r="T3173" s="88"/>
      <c r="U3173" s="88">
        <v>1</v>
      </c>
      <c r="V3173" s="88"/>
      <c r="W3173" s="88"/>
    </row>
    <row r="3174" spans="2:23" s="0" customFormat="0" ht="15">
      <c r="B3174" s="87" t="s">
        <v>1</v>
      </c>
      <c r="C3174" s="88" t="s">
        <v>5259</v>
      </c>
      <c r="D3174" s="88">
        <v>7013339</v>
      </c>
      <c r="E3174" s="88" t="s">
        <v>61</v>
      </c>
      <c r="F3174" s="88">
        <v>0</v>
      </c>
      <c r="G3174" s="78">
        <f>MAX(H3174,I3174,J3174)</f>
        <v>1</v>
      </c>
      <c r="H3174" s="88"/>
      <c r="I3174" s="88"/>
      <c r="J3174" s="78">
        <f>MAX(K3174:Q3174)</f>
        <v>1</v>
      </c>
      <c r="K3174" s="88">
        <v>1</v>
      </c>
      <c r="L3174" s="88"/>
      <c r="M3174" s="88"/>
      <c r="N3174" s="88"/>
      <c r="O3174" s="88"/>
      <c r="P3174" s="88"/>
      <c r="Q3174" s="88"/>
      <c r="R3174" s="78">
        <f>MAX(S3174:W3174)</f>
        <v>0</v>
      </c>
      <c r="S3174" s="88"/>
      <c r="T3174" s="88"/>
      <c r="U3174" s="88"/>
      <c r="V3174" s="88"/>
      <c r="W3174" s="88"/>
    </row>
    <row r="3175" spans="2:23" s="0" customFormat="0" ht="15">
      <c r="B3175" s="87" t="s">
        <v>1</v>
      </c>
      <c r="C3175" s="88" t="s">
        <v>5259</v>
      </c>
      <c r="D3175" s="88">
        <v>15276134</v>
      </c>
      <c r="E3175" s="88" t="s">
        <v>61</v>
      </c>
      <c r="F3175" s="88">
        <v>0</v>
      </c>
      <c r="G3175" s="78">
        <f>MAX(H3175,I3175,J3175)</f>
        <v>1</v>
      </c>
      <c r="H3175" s="88"/>
      <c r="I3175" s="88"/>
      <c r="J3175" s="78">
        <f>MAX(K3175:Q3175)</f>
        <v>1</v>
      </c>
      <c r="K3175" s="88">
        <v>1</v>
      </c>
      <c r="L3175" s="88"/>
      <c r="M3175" s="88"/>
      <c r="N3175" s="88"/>
      <c r="O3175" s="88"/>
      <c r="P3175" s="88"/>
      <c r="Q3175" s="88"/>
      <c r="R3175" s="78">
        <f>MAX(S3175:W3175)</f>
        <v>0</v>
      </c>
      <c r="S3175" s="88"/>
      <c r="T3175" s="88"/>
      <c r="U3175" s="88"/>
      <c r="V3175" s="88"/>
      <c r="W3175" s="88"/>
    </row>
    <row r="3176" spans="2:23" s="0" customFormat="0" ht="15">
      <c r="B3176" s="87" t="s">
        <v>1</v>
      </c>
      <c r="C3176" s="88" t="s">
        <v>5259</v>
      </c>
      <c r="D3176" s="88">
        <v>19031474</v>
      </c>
      <c r="E3176" s="88" t="s">
        <v>61</v>
      </c>
      <c r="F3176" s="88">
        <v>0</v>
      </c>
      <c r="G3176" s="78">
        <f>MAX(H3176,I3176,J3176)</f>
        <v>1</v>
      </c>
      <c r="H3176" s="88"/>
      <c r="I3176" s="88"/>
      <c r="J3176" s="78">
        <f>MAX(K3176:Q3176)</f>
        <v>1</v>
      </c>
      <c r="K3176" s="88">
        <v>1</v>
      </c>
      <c r="L3176" s="88"/>
      <c r="M3176" s="88"/>
      <c r="N3176" s="88"/>
      <c r="O3176" s="88"/>
      <c r="P3176" s="88"/>
      <c r="Q3176" s="88"/>
      <c r="R3176" s="78">
        <f>MAX(S3176:W3176)</f>
        <v>0</v>
      </c>
      <c r="S3176" s="88"/>
      <c r="T3176" s="88"/>
      <c r="U3176" s="88"/>
      <c r="V3176" s="88"/>
      <c r="W3176" s="88"/>
    </row>
    <row r="3177" spans="2:23" s="0" customFormat="0" ht="15">
      <c r="B3177" s="87" t="s">
        <v>1</v>
      </c>
      <c r="C3177" s="88" t="s">
        <v>5259</v>
      </c>
      <c r="D3177" s="88">
        <v>16064048</v>
      </c>
      <c r="E3177" s="88" t="s">
        <v>61</v>
      </c>
      <c r="F3177" s="88">
        <v>0</v>
      </c>
      <c r="G3177" s="78">
        <f>MAX(H3177,I3177,J3177)</f>
        <v>1</v>
      </c>
      <c r="H3177" s="88"/>
      <c r="I3177" s="88"/>
      <c r="J3177" s="78">
        <f>MAX(K3177:Q3177)</f>
        <v>1</v>
      </c>
      <c r="K3177" s="88">
        <v>1</v>
      </c>
      <c r="L3177" s="88"/>
      <c r="M3177" s="88"/>
      <c r="N3177" s="88"/>
      <c r="O3177" s="88"/>
      <c r="P3177" s="88"/>
      <c r="Q3177" s="88"/>
      <c r="R3177" s="78">
        <f>MAX(S3177:W3177)</f>
        <v>0</v>
      </c>
      <c r="S3177" s="88"/>
      <c r="T3177" s="88"/>
      <c r="U3177" s="88"/>
      <c r="V3177" s="88"/>
      <c r="W3177" s="88"/>
    </row>
    <row r="3178" spans="2:23" s="0" customFormat="0" ht="15">
      <c r="B3178" s="87" t="s">
        <v>1</v>
      </c>
      <c r="C3178" s="88" t="s">
        <v>5259</v>
      </c>
      <c r="D3178" s="88" t="s">
        <v>296</v>
      </c>
      <c r="E3178" s="88" t="s">
        <v>61</v>
      </c>
      <c r="F3178" s="88">
        <v>0</v>
      </c>
      <c r="G3178" s="78">
        <f>MAX(H3178,I3178,J3178)</f>
        <v>1</v>
      </c>
      <c r="H3178" s="88"/>
      <c r="I3178" s="88"/>
      <c r="J3178" s="78">
        <f>MAX(K3178:Q3178)</f>
        <v>1</v>
      </c>
      <c r="K3178" s="88">
        <v>1</v>
      </c>
      <c r="L3178" s="88"/>
      <c r="M3178" s="88"/>
      <c r="N3178" s="88"/>
      <c r="O3178" s="88"/>
      <c r="P3178" s="88"/>
      <c r="Q3178" s="88"/>
      <c r="R3178" s="78">
        <f>MAX(S3178:W3178)</f>
        <v>0</v>
      </c>
      <c r="S3178" s="88"/>
      <c r="T3178" s="88"/>
      <c r="U3178" s="88"/>
      <c r="V3178" s="88"/>
      <c r="W3178" s="88"/>
    </row>
    <row r="3179" spans="2:23" s="0" customFormat="0" ht="15">
      <c r="B3179" s="87" t="s">
        <v>1</v>
      </c>
      <c r="C3179" s="88" t="s">
        <v>5259</v>
      </c>
      <c r="D3179" s="88">
        <v>16974676</v>
      </c>
      <c r="E3179" s="88" t="s">
        <v>61</v>
      </c>
      <c r="F3179" s="88">
        <v>0</v>
      </c>
      <c r="G3179" s="78">
        <f>MAX(H3179,I3179,J3179)</f>
        <v>0</v>
      </c>
      <c r="H3179" s="88"/>
      <c r="I3179" s="88"/>
      <c r="J3179" s="78">
        <f>MAX(K3179:Q3179)</f>
        <v>0</v>
      </c>
      <c r="K3179" s="88"/>
      <c r="L3179" s="88"/>
      <c r="M3179" s="88"/>
      <c r="N3179" s="88"/>
      <c r="O3179" s="88"/>
      <c r="P3179" s="88"/>
      <c r="Q3179" s="88"/>
      <c r="R3179" s="78">
        <f>MAX(S3179:W3179)</f>
        <v>1</v>
      </c>
      <c r="S3179" s="88"/>
      <c r="T3179" s="88"/>
      <c r="U3179" s="88">
        <v>1</v>
      </c>
      <c r="V3179" s="88"/>
      <c r="W3179" s="88"/>
    </row>
    <row r="3180" spans="2:23" s="0" customFormat="0" ht="15">
      <c r="B3180" s="87" t="s">
        <v>1</v>
      </c>
      <c r="C3180" s="88" t="s">
        <v>5259</v>
      </c>
      <c r="D3180" s="88" t="s">
        <v>4656</v>
      </c>
      <c r="E3180" s="88" t="s">
        <v>61</v>
      </c>
      <c r="F3180" s="88">
        <v>0</v>
      </c>
      <c r="G3180" s="78">
        <f>MAX(H3180,I3180,J3180)</f>
        <v>0</v>
      </c>
      <c r="H3180" s="88"/>
      <c r="I3180" s="88"/>
      <c r="J3180" s="78">
        <f>MAX(K3180:Q3180)</f>
        <v>0</v>
      </c>
      <c r="K3180" s="88"/>
      <c r="L3180" s="88"/>
      <c r="M3180" s="88"/>
      <c r="N3180" s="88"/>
      <c r="O3180" s="88"/>
      <c r="P3180" s="88"/>
      <c r="Q3180" s="88"/>
      <c r="R3180" s="78">
        <f>MAX(S3180:W3180)</f>
        <v>1</v>
      </c>
      <c r="S3180" s="88"/>
      <c r="T3180" s="88"/>
      <c r="U3180" s="88">
        <v>1</v>
      </c>
      <c r="V3180" s="88"/>
      <c r="W3180" s="88"/>
    </row>
    <row r="3181" spans="2:23" s="0" customFormat="0" ht="15">
      <c r="B3181" s="87" t="s">
        <v>1</v>
      </c>
      <c r="C3181" s="88" t="s">
        <v>5259</v>
      </c>
      <c r="D3181" s="88">
        <v>21227852</v>
      </c>
      <c r="E3181" s="88" t="s">
        <v>61</v>
      </c>
      <c r="F3181" s="88">
        <v>0</v>
      </c>
      <c r="G3181" s="78">
        <f>MAX(H3181,I3181,J3181)</f>
        <v>1</v>
      </c>
      <c r="H3181" s="88"/>
      <c r="I3181" s="88"/>
      <c r="J3181" s="78">
        <f>MAX(K3181:Q3181)</f>
        <v>1</v>
      </c>
      <c r="K3181" s="88">
        <v>1</v>
      </c>
      <c r="L3181" s="88"/>
      <c r="M3181" s="88"/>
      <c r="N3181" s="88"/>
      <c r="O3181" s="88"/>
      <c r="P3181" s="88"/>
      <c r="Q3181" s="88"/>
      <c r="R3181" s="78">
        <f>MAX(S3181:W3181)</f>
        <v>0</v>
      </c>
      <c r="S3181" s="88"/>
      <c r="T3181" s="88"/>
      <c r="U3181" s="88"/>
      <c r="V3181" s="88"/>
      <c r="W3181" s="88"/>
    </row>
    <row r="3182" spans="2:23" s="0" customFormat="0" ht="15">
      <c r="B3182" s="87" t="s">
        <v>1</v>
      </c>
      <c r="C3182" s="88" t="s">
        <v>5259</v>
      </c>
      <c r="D3182" s="88" t="s">
        <v>3614</v>
      </c>
      <c r="E3182" s="88" t="s">
        <v>61</v>
      </c>
      <c r="F3182" s="88">
        <v>0</v>
      </c>
      <c r="G3182" s="78">
        <f>MAX(H3182,I3182,J3182)</f>
        <v>0</v>
      </c>
      <c r="H3182" s="88"/>
      <c r="I3182" s="88"/>
      <c r="J3182" s="78">
        <f>MAX(K3182:Q3182)</f>
        <v>0</v>
      </c>
      <c r="K3182" s="88"/>
      <c r="L3182" s="88"/>
      <c r="M3182" s="88"/>
      <c r="N3182" s="88"/>
      <c r="O3182" s="88"/>
      <c r="P3182" s="88"/>
      <c r="Q3182" s="88"/>
      <c r="R3182" s="78">
        <f>MAX(S3182:W3182)</f>
        <v>1</v>
      </c>
      <c r="S3182" s="88"/>
      <c r="T3182" s="88"/>
      <c r="U3182" s="88">
        <v>1</v>
      </c>
      <c r="V3182" s="88"/>
      <c r="W3182" s="88"/>
    </row>
    <row r="3183" spans="2:23" s="0" customFormat="0" ht="15">
      <c r="B3183" s="87" t="s">
        <v>1</v>
      </c>
      <c r="C3183" s="88" t="s">
        <v>5259</v>
      </c>
      <c r="D3183" s="88" t="s">
        <v>4658</v>
      </c>
      <c r="E3183" s="88" t="s">
        <v>61</v>
      </c>
      <c r="F3183" s="88">
        <v>0</v>
      </c>
      <c r="G3183" s="78">
        <f>MAX(H3183,I3183,J3183)</f>
        <v>0</v>
      </c>
      <c r="H3183" s="88"/>
      <c r="I3183" s="88"/>
      <c r="J3183" s="78">
        <f>MAX(K3183:Q3183)</f>
        <v>0</v>
      </c>
      <c r="K3183" s="88"/>
      <c r="L3183" s="88"/>
      <c r="M3183" s="88"/>
      <c r="N3183" s="88"/>
      <c r="O3183" s="88"/>
      <c r="P3183" s="88"/>
      <c r="Q3183" s="88"/>
      <c r="R3183" s="78">
        <f>MAX(S3183:W3183)</f>
        <v>1</v>
      </c>
      <c r="S3183" s="88"/>
      <c r="T3183" s="88"/>
      <c r="U3183" s="88">
        <v>1</v>
      </c>
      <c r="V3183" s="88"/>
      <c r="W3183" s="88"/>
    </row>
    <row r="3184" spans="2:23" s="0" customFormat="0" ht="15">
      <c r="B3184" s="87" t="s">
        <v>1</v>
      </c>
      <c r="C3184" s="88" t="s">
        <v>5259</v>
      </c>
      <c r="D3184" s="88">
        <v>21771067</v>
      </c>
      <c r="E3184" s="88" t="s">
        <v>61</v>
      </c>
      <c r="F3184" s="88">
        <v>0</v>
      </c>
      <c r="G3184" s="78">
        <f>MAX(H3184,I3184,J3184)</f>
        <v>1</v>
      </c>
      <c r="H3184" s="88"/>
      <c r="I3184" s="88"/>
      <c r="J3184" s="78">
        <f>MAX(K3184:Q3184)</f>
        <v>1</v>
      </c>
      <c r="K3184" s="88">
        <v>1</v>
      </c>
      <c r="L3184" s="88"/>
      <c r="M3184" s="88"/>
      <c r="N3184" s="88"/>
      <c r="O3184" s="88"/>
      <c r="P3184" s="88"/>
      <c r="Q3184" s="88"/>
      <c r="R3184" s="78">
        <f>MAX(S3184:W3184)</f>
        <v>0</v>
      </c>
      <c r="S3184" s="88"/>
      <c r="T3184" s="88"/>
      <c r="U3184" s="88"/>
      <c r="V3184" s="88"/>
      <c r="W3184" s="88"/>
    </row>
    <row r="3185" spans="2:23" s="0" customFormat="0" ht="15">
      <c r="B3185" s="87" t="s">
        <v>1</v>
      </c>
      <c r="C3185" s="88" t="s">
        <v>5259</v>
      </c>
      <c r="D3185" s="88" t="s">
        <v>3656</v>
      </c>
      <c r="E3185" s="88" t="s">
        <v>61</v>
      </c>
      <c r="F3185" s="88">
        <v>0</v>
      </c>
      <c r="G3185" s="78">
        <f>MAX(H3185,I3185,J3185)</f>
        <v>0</v>
      </c>
      <c r="H3185" s="88"/>
      <c r="I3185" s="88"/>
      <c r="J3185" s="78">
        <f>MAX(K3185:Q3185)</f>
        <v>0</v>
      </c>
      <c r="K3185" s="88"/>
      <c r="L3185" s="88"/>
      <c r="M3185" s="88"/>
      <c r="N3185" s="88"/>
      <c r="O3185" s="88"/>
      <c r="P3185" s="88"/>
      <c r="Q3185" s="88"/>
      <c r="R3185" s="78">
        <f>MAX(S3185:W3185)</f>
        <v>1</v>
      </c>
      <c r="S3185" s="88"/>
      <c r="T3185" s="88"/>
      <c r="U3185" s="88">
        <v>1</v>
      </c>
      <c r="V3185" s="88"/>
      <c r="W3185" s="88"/>
    </row>
    <row r="3186" spans="2:23" s="0" customFormat="0" ht="15">
      <c r="B3186" s="87" t="s">
        <v>1</v>
      </c>
      <c r="C3186" s="88" t="s">
        <v>5259</v>
      </c>
      <c r="D3186" s="88" t="s">
        <v>4222</v>
      </c>
      <c r="E3186" s="88" t="s">
        <v>61</v>
      </c>
      <c r="F3186" s="88">
        <v>0</v>
      </c>
      <c r="G3186" s="78">
        <f>MAX(H3186,I3186,J3186)</f>
        <v>0</v>
      </c>
      <c r="H3186" s="88"/>
      <c r="I3186" s="88"/>
      <c r="J3186" s="78">
        <f>MAX(K3186:Q3186)</f>
        <v>0</v>
      </c>
      <c r="K3186" s="88"/>
      <c r="L3186" s="88"/>
      <c r="M3186" s="88"/>
      <c r="N3186" s="88"/>
      <c r="O3186" s="88"/>
      <c r="P3186" s="88"/>
      <c r="Q3186" s="88"/>
      <c r="R3186" s="78">
        <f>MAX(S3186:W3186)</f>
        <v>1</v>
      </c>
      <c r="S3186" s="88"/>
      <c r="T3186" s="88"/>
      <c r="U3186" s="88">
        <v>1</v>
      </c>
      <c r="V3186" s="88"/>
      <c r="W3186" s="88"/>
    </row>
    <row r="3187" spans="2:23" s="0" customFormat="0" ht="15">
      <c r="B3187" s="87" t="s">
        <v>1</v>
      </c>
      <c r="C3187" s="88" t="s">
        <v>5259</v>
      </c>
      <c r="D3187" s="88" t="s">
        <v>3848</v>
      </c>
      <c r="E3187" s="88" t="s">
        <v>61</v>
      </c>
      <c r="F3187" s="88">
        <v>0</v>
      </c>
      <c r="G3187" s="78">
        <f>MAX(H3187,I3187,J3187)</f>
        <v>0</v>
      </c>
      <c r="H3187" s="88"/>
      <c r="I3187" s="88"/>
      <c r="J3187" s="78">
        <f>MAX(K3187:Q3187)</f>
        <v>0</v>
      </c>
      <c r="K3187" s="88"/>
      <c r="L3187" s="88"/>
      <c r="M3187" s="88"/>
      <c r="N3187" s="88"/>
      <c r="O3187" s="88"/>
      <c r="P3187" s="88"/>
      <c r="Q3187" s="88"/>
      <c r="R3187" s="78">
        <f>MAX(S3187:W3187)</f>
        <v>1</v>
      </c>
      <c r="S3187" s="88"/>
      <c r="T3187" s="88"/>
      <c r="U3187" s="88">
        <v>1</v>
      </c>
      <c r="V3187" s="88"/>
      <c r="W3187" s="88"/>
    </row>
    <row r="3188" spans="2:23" s="0" customFormat="0" ht="15">
      <c r="B3188" s="87" t="s">
        <v>1</v>
      </c>
      <c r="C3188" s="88" t="s">
        <v>5259</v>
      </c>
      <c r="D3188" s="88" t="s">
        <v>4280</v>
      </c>
      <c r="E3188" s="88" t="s">
        <v>61</v>
      </c>
      <c r="F3188" s="88">
        <v>0</v>
      </c>
      <c r="G3188" s="78">
        <f>MAX(H3188,I3188,J3188)</f>
        <v>0</v>
      </c>
      <c r="H3188" s="88"/>
      <c r="I3188" s="88"/>
      <c r="J3188" s="78">
        <f>MAX(K3188:Q3188)</f>
        <v>0</v>
      </c>
      <c r="K3188" s="88"/>
      <c r="L3188" s="88"/>
      <c r="M3188" s="88"/>
      <c r="N3188" s="88"/>
      <c r="O3188" s="88"/>
      <c r="P3188" s="88"/>
      <c r="Q3188" s="88"/>
      <c r="R3188" s="78">
        <f>MAX(S3188:W3188)</f>
        <v>1</v>
      </c>
      <c r="S3188" s="88"/>
      <c r="T3188" s="88"/>
      <c r="U3188" s="88">
        <v>1</v>
      </c>
      <c r="V3188" s="88"/>
      <c r="W3188" s="88"/>
    </row>
    <row r="3189" spans="2:23" s="0" customFormat="0" ht="15">
      <c r="B3189" s="87" t="s">
        <v>1</v>
      </c>
      <c r="C3189" s="88" t="s">
        <v>5259</v>
      </c>
      <c r="D3189" s="88">
        <v>21322748</v>
      </c>
      <c r="E3189" s="88" t="s">
        <v>61</v>
      </c>
      <c r="F3189" s="88">
        <v>0</v>
      </c>
      <c r="G3189" s="78">
        <f>MAX(H3189,I3189,J3189)</f>
        <v>1</v>
      </c>
      <c r="H3189" s="88"/>
      <c r="I3189" s="88"/>
      <c r="J3189" s="78">
        <f>MAX(K3189:Q3189)</f>
        <v>1</v>
      </c>
      <c r="K3189" s="88">
        <v>1</v>
      </c>
      <c r="L3189" s="88"/>
      <c r="M3189" s="88"/>
      <c r="N3189" s="88"/>
      <c r="O3189" s="88"/>
      <c r="P3189" s="88"/>
      <c r="Q3189" s="88"/>
      <c r="R3189" s="78">
        <f>MAX(S3189:W3189)</f>
        <v>0</v>
      </c>
      <c r="S3189" s="88"/>
      <c r="T3189" s="88"/>
      <c r="U3189" s="88"/>
      <c r="V3189" s="88"/>
      <c r="W3189" s="88"/>
    </row>
    <row r="3190" spans="2:23" s="0" customFormat="0" ht="15">
      <c r="B3190" s="87" t="s">
        <v>1</v>
      </c>
      <c r="C3190" s="88" t="s">
        <v>5259</v>
      </c>
      <c r="D3190" s="88" t="s">
        <v>1226</v>
      </c>
      <c r="E3190" s="88" t="s">
        <v>61</v>
      </c>
      <c r="F3190" s="88">
        <v>0</v>
      </c>
      <c r="G3190" s="78">
        <f>MAX(H3190,I3190,J3190)</f>
        <v>1</v>
      </c>
      <c r="H3190" s="88"/>
      <c r="I3190" s="88"/>
      <c r="J3190" s="78">
        <f>MAX(K3190:Q3190)</f>
        <v>1</v>
      </c>
      <c r="K3190" s="88">
        <v>1</v>
      </c>
      <c r="L3190" s="88"/>
      <c r="M3190" s="88"/>
      <c r="N3190" s="88"/>
      <c r="O3190" s="88"/>
      <c r="P3190" s="88"/>
      <c r="Q3190" s="88"/>
      <c r="R3190" s="78">
        <f>MAX(S3190:W3190)</f>
        <v>0</v>
      </c>
      <c r="S3190" s="88"/>
      <c r="T3190" s="88"/>
      <c r="U3190" s="88"/>
      <c r="V3190" s="88"/>
      <c r="W3190" s="88"/>
    </row>
    <row r="3191" spans="2:23" s="0" customFormat="0" ht="15">
      <c r="B3191" s="87" t="s">
        <v>1</v>
      </c>
      <c r="C3191" s="88" t="s">
        <v>5259</v>
      </c>
      <c r="D3191" s="88">
        <v>19614467</v>
      </c>
      <c r="E3191" s="88" t="s">
        <v>61</v>
      </c>
      <c r="F3191" s="88">
        <v>0</v>
      </c>
      <c r="G3191" s="78">
        <f>MAX(H3191,I3191,J3191)</f>
        <v>1</v>
      </c>
      <c r="H3191" s="88"/>
      <c r="I3191" s="88"/>
      <c r="J3191" s="78">
        <f>MAX(K3191:Q3191)</f>
        <v>1</v>
      </c>
      <c r="K3191" s="88">
        <v>1</v>
      </c>
      <c r="L3191" s="88"/>
      <c r="M3191" s="88"/>
      <c r="N3191" s="88"/>
      <c r="O3191" s="88"/>
      <c r="P3191" s="88"/>
      <c r="Q3191" s="88"/>
      <c r="R3191" s="78">
        <f>MAX(S3191:W3191)</f>
        <v>0</v>
      </c>
      <c r="S3191" s="88"/>
      <c r="T3191" s="88"/>
      <c r="U3191" s="88"/>
      <c r="V3191" s="88"/>
      <c r="W3191" s="88"/>
    </row>
    <row r="3192" spans="2:23" s="0" customFormat="0" ht="15">
      <c r="B3192" s="87" t="s">
        <v>1</v>
      </c>
      <c r="C3192" s="88" t="s">
        <v>5259</v>
      </c>
      <c r="D3192" s="88">
        <v>11877040</v>
      </c>
      <c r="E3192" s="88" t="s">
        <v>61</v>
      </c>
      <c r="F3192" s="88">
        <v>0</v>
      </c>
      <c r="G3192" s="78">
        <f>MAX(H3192,I3192,J3192)</f>
        <v>1</v>
      </c>
      <c r="H3192" s="88"/>
      <c r="I3192" s="88"/>
      <c r="J3192" s="78">
        <f>MAX(K3192:Q3192)</f>
        <v>1</v>
      </c>
      <c r="K3192" s="88">
        <v>1</v>
      </c>
      <c r="L3192" s="88"/>
      <c r="M3192" s="88"/>
      <c r="N3192" s="88"/>
      <c r="O3192" s="88"/>
      <c r="P3192" s="88"/>
      <c r="Q3192" s="88"/>
      <c r="R3192" s="78">
        <f>MAX(S3192:W3192)</f>
        <v>0</v>
      </c>
      <c r="S3192" s="88"/>
      <c r="T3192" s="88"/>
      <c r="U3192" s="88"/>
      <c r="V3192" s="88"/>
      <c r="W3192" s="88"/>
    </row>
    <row r="3193" spans="2:23" s="0" customFormat="0" ht="15">
      <c r="B3193" s="87" t="s">
        <v>1</v>
      </c>
      <c r="C3193" s="88" t="s">
        <v>5259</v>
      </c>
      <c r="D3193" s="88">
        <v>16092812</v>
      </c>
      <c r="E3193" s="88" t="s">
        <v>61</v>
      </c>
      <c r="F3193" s="88">
        <v>0</v>
      </c>
      <c r="G3193" s="78">
        <f>MAX(H3193,I3193,J3193)</f>
        <v>1</v>
      </c>
      <c r="H3193" s="88"/>
      <c r="I3193" s="88"/>
      <c r="J3193" s="78">
        <f>MAX(K3193:Q3193)</f>
        <v>1</v>
      </c>
      <c r="K3193" s="88">
        <v>1</v>
      </c>
      <c r="L3193" s="88"/>
      <c r="M3193" s="88"/>
      <c r="N3193" s="88"/>
      <c r="O3193" s="88"/>
      <c r="P3193" s="88"/>
      <c r="Q3193" s="88"/>
      <c r="R3193" s="78">
        <f>MAX(S3193:W3193)</f>
        <v>0</v>
      </c>
      <c r="S3193" s="88"/>
      <c r="T3193" s="88"/>
      <c r="U3193" s="88"/>
      <c r="V3193" s="88"/>
      <c r="W3193" s="88"/>
    </row>
    <row r="3194" spans="2:23" s="0" customFormat="0" ht="15">
      <c r="B3194" s="87" t="s">
        <v>1</v>
      </c>
      <c r="C3194" s="88" t="s">
        <v>5259</v>
      </c>
      <c r="D3194" s="88">
        <v>14504614</v>
      </c>
      <c r="E3194" s="88" t="s">
        <v>61</v>
      </c>
      <c r="F3194" s="88">
        <v>0</v>
      </c>
      <c r="G3194" s="78">
        <f>MAX(H3194,I3194,J3194)</f>
        <v>0</v>
      </c>
      <c r="H3194" s="88"/>
      <c r="I3194" s="88"/>
      <c r="J3194" s="78">
        <f>MAX(K3194:Q3194)</f>
        <v>0</v>
      </c>
      <c r="K3194" s="88"/>
      <c r="L3194" s="88"/>
      <c r="M3194" s="88"/>
      <c r="N3194" s="88"/>
      <c r="O3194" s="88"/>
      <c r="P3194" s="88"/>
      <c r="Q3194" s="88"/>
      <c r="R3194" s="78">
        <f>MAX(S3194:W3194)</f>
        <v>1</v>
      </c>
      <c r="S3194" s="88"/>
      <c r="T3194" s="88"/>
      <c r="U3194" s="88">
        <v>1</v>
      </c>
      <c r="V3194" s="88"/>
      <c r="W3194" s="88"/>
    </row>
    <row r="3195" spans="2:23" s="0" customFormat="0" ht="15">
      <c r="B3195" s="87" t="s">
        <v>1</v>
      </c>
      <c r="C3195" s="88" t="s">
        <v>5259</v>
      </c>
      <c r="D3195" s="88" t="s">
        <v>2135</v>
      </c>
      <c r="E3195" s="88" t="s">
        <v>61</v>
      </c>
      <c r="F3195" s="88">
        <v>0</v>
      </c>
      <c r="G3195" s="78">
        <f>MAX(H3195,I3195,J3195)</f>
        <v>1</v>
      </c>
      <c r="H3195" s="88"/>
      <c r="I3195" s="88"/>
      <c r="J3195" s="78">
        <f>MAX(K3195:Q3195)</f>
        <v>1</v>
      </c>
      <c r="K3195" s="88">
        <v>1</v>
      </c>
      <c r="L3195" s="88"/>
      <c r="M3195" s="88"/>
      <c r="N3195" s="88"/>
      <c r="O3195" s="88"/>
      <c r="P3195" s="88"/>
      <c r="Q3195" s="88"/>
      <c r="R3195" s="78">
        <f>MAX(S3195:W3195)</f>
        <v>0</v>
      </c>
      <c r="S3195" s="88"/>
      <c r="T3195" s="88"/>
      <c r="U3195" s="88"/>
      <c r="V3195" s="88"/>
      <c r="W3195" s="88"/>
    </row>
    <row r="3196" spans="2:23" s="0" customFormat="0" ht="15">
      <c r="B3196" s="87" t="s">
        <v>1</v>
      </c>
      <c r="C3196" s="88" t="s">
        <v>5259</v>
      </c>
      <c r="D3196" s="88">
        <v>19812328</v>
      </c>
      <c r="E3196" s="88" t="s">
        <v>61</v>
      </c>
      <c r="F3196" s="88">
        <v>0</v>
      </c>
      <c r="G3196" s="78">
        <f>MAX(H3196,I3196,J3196)</f>
        <v>1</v>
      </c>
      <c r="H3196" s="88"/>
      <c r="I3196" s="88"/>
      <c r="J3196" s="78">
        <f>MAX(K3196:Q3196)</f>
        <v>1</v>
      </c>
      <c r="K3196" s="88">
        <v>1</v>
      </c>
      <c r="L3196" s="88"/>
      <c r="M3196" s="88"/>
      <c r="N3196" s="88"/>
      <c r="O3196" s="88"/>
      <c r="P3196" s="88"/>
      <c r="Q3196" s="88"/>
      <c r="R3196" s="78">
        <f>MAX(S3196:W3196)</f>
        <v>0</v>
      </c>
      <c r="S3196" s="88"/>
      <c r="T3196" s="88"/>
      <c r="U3196" s="88"/>
      <c r="V3196" s="88"/>
      <c r="W3196" s="88"/>
    </row>
    <row r="3197" spans="2:23" s="0" customFormat="0" ht="15">
      <c r="B3197" s="87" t="s">
        <v>1</v>
      </c>
      <c r="C3197" s="88" t="s">
        <v>5259</v>
      </c>
      <c r="D3197" s="88" t="s">
        <v>488</v>
      </c>
      <c r="E3197" s="88" t="s">
        <v>61</v>
      </c>
      <c r="F3197" s="88">
        <v>0</v>
      </c>
      <c r="G3197" s="78">
        <f>MAX(H3197,I3197,J3197)</f>
        <v>1</v>
      </c>
      <c r="H3197" s="88"/>
      <c r="I3197" s="88"/>
      <c r="J3197" s="78">
        <f>MAX(K3197:Q3197)</f>
        <v>1</v>
      </c>
      <c r="K3197" s="88">
        <v>1</v>
      </c>
      <c r="L3197" s="88"/>
      <c r="M3197" s="88"/>
      <c r="N3197" s="88"/>
      <c r="O3197" s="88"/>
      <c r="P3197" s="88"/>
      <c r="Q3197" s="88"/>
      <c r="R3197" s="78">
        <f>MAX(S3197:W3197)</f>
        <v>0</v>
      </c>
      <c r="S3197" s="88"/>
      <c r="T3197" s="88"/>
      <c r="U3197" s="88"/>
      <c r="V3197" s="88"/>
      <c r="W3197" s="88"/>
    </row>
    <row r="3198" spans="2:23" s="0" customFormat="0" ht="15">
      <c r="B3198" s="87" t="s">
        <v>1</v>
      </c>
      <c r="C3198" s="88" t="s">
        <v>5259</v>
      </c>
      <c r="D3198" s="88">
        <v>18188305</v>
      </c>
      <c r="E3198" s="88" t="s">
        <v>61</v>
      </c>
      <c r="F3198" s="88">
        <v>0</v>
      </c>
      <c r="G3198" s="78">
        <f>MAX(H3198,I3198,J3198)</f>
        <v>1</v>
      </c>
      <c r="H3198" s="88"/>
      <c r="I3198" s="88"/>
      <c r="J3198" s="78">
        <f>MAX(K3198:Q3198)</f>
        <v>1</v>
      </c>
      <c r="K3198" s="88">
        <v>1</v>
      </c>
      <c r="L3198" s="88"/>
      <c r="M3198" s="88"/>
      <c r="N3198" s="88"/>
      <c r="O3198" s="88"/>
      <c r="P3198" s="88"/>
      <c r="Q3198" s="88"/>
      <c r="R3198" s="78">
        <f>MAX(S3198:W3198)</f>
        <v>0</v>
      </c>
      <c r="S3198" s="88"/>
      <c r="T3198" s="88"/>
      <c r="U3198" s="88"/>
      <c r="V3198" s="88"/>
      <c r="W3198" s="88"/>
    </row>
    <row r="3199" spans="2:23" s="0" customFormat="0" ht="15">
      <c r="B3199" s="87" t="s">
        <v>1</v>
      </c>
      <c r="C3199" s="88" t="s">
        <v>5259</v>
      </c>
      <c r="D3199" s="88" t="s">
        <v>1645</v>
      </c>
      <c r="E3199" s="88" t="s">
        <v>61</v>
      </c>
      <c r="F3199" s="88">
        <v>0</v>
      </c>
      <c r="G3199" s="78">
        <f>MAX(H3199,I3199,J3199)</f>
        <v>1</v>
      </c>
      <c r="H3199" s="88"/>
      <c r="I3199" s="88"/>
      <c r="J3199" s="78">
        <f>MAX(K3199:Q3199)</f>
        <v>1</v>
      </c>
      <c r="K3199" s="88">
        <v>1</v>
      </c>
      <c r="L3199" s="88"/>
      <c r="M3199" s="88"/>
      <c r="N3199" s="88"/>
      <c r="O3199" s="88"/>
      <c r="P3199" s="88"/>
      <c r="Q3199" s="88"/>
      <c r="R3199" s="78">
        <f>MAX(S3199:W3199)</f>
        <v>0</v>
      </c>
      <c r="S3199" s="88"/>
      <c r="T3199" s="88"/>
      <c r="U3199" s="88"/>
      <c r="V3199" s="88"/>
      <c r="W3199" s="88"/>
    </row>
    <row r="3200" spans="2:23" s="0" customFormat="0" ht="15">
      <c r="B3200" s="87" t="s">
        <v>1</v>
      </c>
      <c r="C3200" s="88" t="s">
        <v>5259</v>
      </c>
      <c r="D3200" s="88" t="s">
        <v>3258</v>
      </c>
      <c r="E3200" s="88" t="s">
        <v>61</v>
      </c>
      <c r="F3200" s="88">
        <v>0</v>
      </c>
      <c r="G3200" s="78">
        <f>MAX(H3200,I3200,J3200)</f>
        <v>0</v>
      </c>
      <c r="H3200" s="88"/>
      <c r="I3200" s="88"/>
      <c r="J3200" s="78">
        <f>MAX(K3200:Q3200)</f>
        <v>0</v>
      </c>
      <c r="K3200" s="88"/>
      <c r="L3200" s="88"/>
      <c r="M3200" s="88"/>
      <c r="N3200" s="88"/>
      <c r="O3200" s="88"/>
      <c r="P3200" s="88"/>
      <c r="Q3200" s="88"/>
      <c r="R3200" s="78">
        <f>MAX(S3200:W3200)</f>
        <v>1</v>
      </c>
      <c r="S3200" s="88"/>
      <c r="T3200" s="88"/>
      <c r="U3200" s="88"/>
      <c r="V3200" s="88">
        <v>1</v>
      </c>
      <c r="W3200" s="88"/>
    </row>
    <row r="3201" spans="2:23" s="0" customFormat="0" ht="15">
      <c r="B3201" s="87" t="s">
        <v>1</v>
      </c>
      <c r="C3201" s="88" t="s">
        <v>5259</v>
      </c>
      <c r="D3201" s="88">
        <v>9454013</v>
      </c>
      <c r="E3201" s="88" t="s">
        <v>61</v>
      </c>
      <c r="F3201" s="88">
        <v>0</v>
      </c>
      <c r="G3201" s="78">
        <f>MAX(H3201,I3201,J3201)</f>
        <v>1</v>
      </c>
      <c r="H3201" s="88"/>
      <c r="I3201" s="88"/>
      <c r="J3201" s="78">
        <f>MAX(K3201:Q3201)</f>
        <v>1</v>
      </c>
      <c r="K3201" s="88">
        <v>1</v>
      </c>
      <c r="L3201" s="88"/>
      <c r="M3201" s="88"/>
      <c r="N3201" s="88"/>
      <c r="O3201" s="88"/>
      <c r="P3201" s="88"/>
      <c r="Q3201" s="88"/>
      <c r="R3201" s="78">
        <f>MAX(S3201:W3201)</f>
        <v>0</v>
      </c>
      <c r="S3201" s="88"/>
      <c r="T3201" s="88"/>
      <c r="U3201" s="88"/>
      <c r="V3201" s="88"/>
      <c r="W3201" s="88"/>
    </row>
    <row r="3202" spans="2:23" s="0" customFormat="0" ht="15">
      <c r="B3202" s="87" t="s">
        <v>1</v>
      </c>
      <c r="C3202" s="88" t="s">
        <v>5259</v>
      </c>
      <c r="D3202" s="88">
        <v>23305251</v>
      </c>
      <c r="E3202" s="88" t="s">
        <v>61</v>
      </c>
      <c r="F3202" s="88">
        <v>0</v>
      </c>
      <c r="G3202" s="78">
        <f>MAX(H3202,I3202,J3202)</f>
        <v>1</v>
      </c>
      <c r="H3202" s="88"/>
      <c r="I3202" s="88"/>
      <c r="J3202" s="78">
        <f>MAX(K3202:Q3202)</f>
        <v>1</v>
      </c>
      <c r="K3202" s="88">
        <v>1</v>
      </c>
      <c r="L3202" s="88"/>
      <c r="M3202" s="88"/>
      <c r="N3202" s="88"/>
      <c r="O3202" s="88"/>
      <c r="P3202" s="88"/>
      <c r="Q3202" s="88"/>
      <c r="R3202" s="78">
        <f>MAX(S3202:W3202)</f>
        <v>0</v>
      </c>
      <c r="S3202" s="88"/>
      <c r="T3202" s="88"/>
      <c r="U3202" s="88"/>
      <c r="V3202" s="88"/>
      <c r="W3202" s="88"/>
    </row>
    <row r="3203" spans="2:23" s="0" customFormat="0" ht="15">
      <c r="B3203" s="87" t="s">
        <v>1</v>
      </c>
      <c r="C3203" s="88" t="s">
        <v>5259</v>
      </c>
      <c r="D3203" s="88">
        <v>18052009</v>
      </c>
      <c r="E3203" s="88" t="s">
        <v>61</v>
      </c>
      <c r="F3203" s="88">
        <v>0</v>
      </c>
      <c r="G3203" s="78">
        <f>MAX(H3203,I3203,J3203)</f>
        <v>1</v>
      </c>
      <c r="H3203" s="88"/>
      <c r="I3203" s="88"/>
      <c r="J3203" s="78">
        <f>MAX(K3203:Q3203)</f>
        <v>1</v>
      </c>
      <c r="K3203" s="88">
        <v>1</v>
      </c>
      <c r="L3203" s="88"/>
      <c r="M3203" s="88"/>
      <c r="N3203" s="88"/>
      <c r="O3203" s="88"/>
      <c r="P3203" s="88"/>
      <c r="Q3203" s="88"/>
      <c r="R3203" s="78">
        <f>MAX(S3203:W3203)</f>
        <v>0</v>
      </c>
      <c r="S3203" s="88"/>
      <c r="T3203" s="88"/>
      <c r="U3203" s="88"/>
      <c r="V3203" s="88"/>
      <c r="W3203" s="88"/>
    </row>
    <row r="3204" spans="2:23" s="0" customFormat="0" ht="15">
      <c r="B3204" s="87" t="s">
        <v>1</v>
      </c>
      <c r="C3204" s="88" t="s">
        <v>5259</v>
      </c>
      <c r="D3204" s="88">
        <v>23914483</v>
      </c>
      <c r="E3204" s="88" t="s">
        <v>61</v>
      </c>
      <c r="F3204" s="88">
        <v>0</v>
      </c>
      <c r="G3204" s="78">
        <f>MAX(H3204,I3204,J3204)</f>
        <v>0</v>
      </c>
      <c r="H3204" s="88"/>
      <c r="I3204" s="88"/>
      <c r="J3204" s="78">
        <f>MAX(K3204:Q3204)</f>
        <v>0</v>
      </c>
      <c r="K3204" s="88"/>
      <c r="L3204" s="88"/>
      <c r="M3204" s="88"/>
      <c r="N3204" s="88"/>
      <c r="O3204" s="88"/>
      <c r="P3204" s="88"/>
      <c r="Q3204" s="88"/>
      <c r="R3204" s="78">
        <f>MAX(S3204:W3204)</f>
        <v>1</v>
      </c>
      <c r="S3204" s="88"/>
      <c r="T3204" s="88"/>
      <c r="U3204" s="88">
        <v>1</v>
      </c>
      <c r="V3204" s="88"/>
      <c r="W3204" s="88"/>
    </row>
    <row r="3205" spans="2:23" s="0" customFormat="0" ht="15">
      <c r="B3205" s="87" t="s">
        <v>1</v>
      </c>
      <c r="C3205" s="88" t="s">
        <v>5259</v>
      </c>
      <c r="D3205" s="88">
        <v>13672875</v>
      </c>
      <c r="E3205" s="88" t="s">
        <v>61</v>
      </c>
      <c r="F3205" s="88">
        <v>0</v>
      </c>
      <c r="G3205" s="78">
        <f>MAX(H3205,I3205,J3205)</f>
        <v>1</v>
      </c>
      <c r="H3205" s="88"/>
      <c r="I3205" s="88"/>
      <c r="J3205" s="78">
        <f>MAX(K3205:Q3205)</f>
        <v>1</v>
      </c>
      <c r="K3205" s="88">
        <v>1</v>
      </c>
      <c r="L3205" s="88"/>
      <c r="M3205" s="88"/>
      <c r="N3205" s="88"/>
      <c r="O3205" s="88"/>
      <c r="P3205" s="88"/>
      <c r="Q3205" s="88"/>
      <c r="R3205" s="78">
        <f>MAX(S3205:W3205)</f>
        <v>0</v>
      </c>
      <c r="S3205" s="88"/>
      <c r="T3205" s="88"/>
      <c r="U3205" s="88"/>
      <c r="V3205" s="88"/>
      <c r="W3205" s="88"/>
    </row>
    <row r="3206" spans="2:23" s="0" customFormat="0" ht="15">
      <c r="B3206" s="87" t="s">
        <v>1</v>
      </c>
      <c r="C3206" s="88" t="s">
        <v>5259</v>
      </c>
      <c r="D3206" s="88" t="s">
        <v>4661</v>
      </c>
      <c r="E3206" s="88" t="s">
        <v>61</v>
      </c>
      <c r="F3206" s="88">
        <v>0</v>
      </c>
      <c r="G3206" s="78">
        <f>MAX(H3206,I3206,J3206)</f>
        <v>0</v>
      </c>
      <c r="H3206" s="88"/>
      <c r="I3206" s="88"/>
      <c r="J3206" s="78">
        <f>MAX(K3206:Q3206)</f>
        <v>0</v>
      </c>
      <c r="K3206" s="88"/>
      <c r="L3206" s="88"/>
      <c r="M3206" s="88"/>
      <c r="N3206" s="88"/>
      <c r="O3206" s="88"/>
      <c r="P3206" s="88"/>
      <c r="Q3206" s="88"/>
      <c r="R3206" s="78">
        <f>MAX(S3206:W3206)</f>
        <v>1</v>
      </c>
      <c r="S3206" s="88"/>
      <c r="T3206" s="88"/>
      <c r="U3206" s="88">
        <v>1</v>
      </c>
      <c r="V3206" s="88"/>
      <c r="W3206" s="88"/>
    </row>
    <row r="3207" spans="2:23" s="0" customFormat="0" ht="15">
      <c r="B3207" s="87" t="s">
        <v>1</v>
      </c>
      <c r="C3207" s="88" t="s">
        <v>5259</v>
      </c>
      <c r="D3207" s="88" t="s">
        <v>4663</v>
      </c>
      <c r="E3207" s="88" t="s">
        <v>61</v>
      </c>
      <c r="F3207" s="88">
        <v>0</v>
      </c>
      <c r="G3207" s="78">
        <f>MAX(H3207,I3207,J3207)</f>
        <v>0</v>
      </c>
      <c r="H3207" s="88"/>
      <c r="I3207" s="88"/>
      <c r="J3207" s="78">
        <f>MAX(K3207:Q3207)</f>
        <v>0</v>
      </c>
      <c r="K3207" s="88"/>
      <c r="L3207" s="88"/>
      <c r="M3207" s="88"/>
      <c r="N3207" s="88"/>
      <c r="O3207" s="88"/>
      <c r="P3207" s="88"/>
      <c r="Q3207" s="88"/>
      <c r="R3207" s="78">
        <f>MAX(S3207:W3207)</f>
        <v>1</v>
      </c>
      <c r="S3207" s="88"/>
      <c r="T3207" s="88"/>
      <c r="U3207" s="88">
        <v>1</v>
      </c>
      <c r="V3207" s="88"/>
      <c r="W3207" s="88"/>
    </row>
    <row r="3208" spans="2:23" s="0" customFormat="0" ht="15">
      <c r="B3208" s="87" t="s">
        <v>1</v>
      </c>
      <c r="C3208" s="88" t="s">
        <v>5259</v>
      </c>
      <c r="D3208" s="88">
        <v>20173127</v>
      </c>
      <c r="E3208" s="88" t="s">
        <v>61</v>
      </c>
      <c r="F3208" s="88">
        <v>0</v>
      </c>
      <c r="G3208" s="78">
        <f>MAX(H3208,I3208,J3208)</f>
        <v>1</v>
      </c>
      <c r="H3208" s="88"/>
      <c r="I3208" s="88"/>
      <c r="J3208" s="78">
        <f>MAX(K3208:Q3208)</f>
        <v>1</v>
      </c>
      <c r="K3208" s="88">
        <v>1</v>
      </c>
      <c r="L3208" s="88"/>
      <c r="M3208" s="88"/>
      <c r="N3208" s="88"/>
      <c r="O3208" s="88"/>
      <c r="P3208" s="88"/>
      <c r="Q3208" s="88"/>
      <c r="R3208" s="78">
        <f>MAX(S3208:W3208)</f>
        <v>0</v>
      </c>
      <c r="S3208" s="88"/>
      <c r="T3208" s="88"/>
      <c r="U3208" s="88"/>
      <c r="V3208" s="88"/>
      <c r="W3208" s="88"/>
    </row>
    <row r="3209" spans="2:23" s="0" customFormat="0" ht="15">
      <c r="B3209" s="87" t="s">
        <v>1</v>
      </c>
      <c r="C3209" s="88" t="s">
        <v>5259</v>
      </c>
      <c r="D3209" s="88">
        <v>7219469</v>
      </c>
      <c r="E3209" s="88" t="s">
        <v>61</v>
      </c>
      <c r="F3209" s="88">
        <v>0</v>
      </c>
      <c r="G3209" s="78">
        <f>MAX(H3209,I3209,J3209)</f>
        <v>1</v>
      </c>
      <c r="H3209" s="88"/>
      <c r="I3209" s="88"/>
      <c r="J3209" s="78">
        <f>MAX(K3209:Q3209)</f>
        <v>1</v>
      </c>
      <c r="K3209" s="88">
        <v>1</v>
      </c>
      <c r="L3209" s="88"/>
      <c r="M3209" s="88"/>
      <c r="N3209" s="88"/>
      <c r="O3209" s="88"/>
      <c r="P3209" s="88"/>
      <c r="Q3209" s="88"/>
      <c r="R3209" s="78">
        <f>MAX(S3209:W3209)</f>
        <v>0</v>
      </c>
      <c r="S3209" s="88"/>
      <c r="T3209" s="88"/>
      <c r="U3209" s="88"/>
      <c r="V3209" s="88"/>
      <c r="W3209" s="88"/>
    </row>
    <row r="3210" spans="2:23" s="0" customFormat="0" ht="15">
      <c r="B3210" s="87" t="s">
        <v>1</v>
      </c>
      <c r="C3210" s="88" t="s">
        <v>5259</v>
      </c>
      <c r="D3210" s="88">
        <v>19005883</v>
      </c>
      <c r="E3210" s="88" t="s">
        <v>61</v>
      </c>
      <c r="F3210" s="88">
        <v>0</v>
      </c>
      <c r="G3210" s="78">
        <f>MAX(H3210,I3210,J3210)</f>
        <v>1</v>
      </c>
      <c r="H3210" s="88"/>
      <c r="I3210" s="88"/>
      <c r="J3210" s="78">
        <f>MAX(K3210:Q3210)</f>
        <v>1</v>
      </c>
      <c r="K3210" s="88">
        <v>1</v>
      </c>
      <c r="L3210" s="88"/>
      <c r="M3210" s="88"/>
      <c r="N3210" s="88"/>
      <c r="O3210" s="88"/>
      <c r="P3210" s="88"/>
      <c r="Q3210" s="88"/>
      <c r="R3210" s="78">
        <f>MAX(S3210:W3210)</f>
        <v>0</v>
      </c>
      <c r="S3210" s="88"/>
      <c r="T3210" s="88"/>
      <c r="U3210" s="88"/>
      <c r="V3210" s="88"/>
      <c r="W3210" s="88"/>
    </row>
    <row r="3211" spans="2:23" s="0" customFormat="0" ht="15">
      <c r="B3211" s="87" t="s">
        <v>1</v>
      </c>
      <c r="C3211" s="88" t="s">
        <v>5259</v>
      </c>
      <c r="D3211" s="88" t="s">
        <v>610</v>
      </c>
      <c r="E3211" s="88" t="s">
        <v>61</v>
      </c>
      <c r="F3211" s="88">
        <v>0</v>
      </c>
      <c r="G3211" s="78">
        <f>MAX(H3211,I3211,J3211)</f>
        <v>1</v>
      </c>
      <c r="H3211" s="88"/>
      <c r="I3211" s="88"/>
      <c r="J3211" s="78">
        <f>MAX(K3211:Q3211)</f>
        <v>1</v>
      </c>
      <c r="K3211" s="88">
        <v>1</v>
      </c>
      <c r="L3211" s="88"/>
      <c r="M3211" s="88"/>
      <c r="N3211" s="88"/>
      <c r="O3211" s="88"/>
      <c r="P3211" s="88"/>
      <c r="Q3211" s="88"/>
      <c r="R3211" s="78">
        <f>MAX(S3211:W3211)</f>
        <v>0</v>
      </c>
      <c r="S3211" s="88"/>
      <c r="T3211" s="88"/>
      <c r="U3211" s="88"/>
      <c r="V3211" s="88"/>
      <c r="W3211" s="88"/>
    </row>
    <row r="3212" spans="2:23" s="0" customFormat="0" ht="15">
      <c r="B3212" s="87" t="s">
        <v>1</v>
      </c>
      <c r="C3212" s="88" t="s">
        <v>5259</v>
      </c>
      <c r="D3212" s="88">
        <v>14676162</v>
      </c>
      <c r="E3212" s="88" t="s">
        <v>61</v>
      </c>
      <c r="F3212" s="88">
        <v>0</v>
      </c>
      <c r="G3212" s="78">
        <f>MAX(H3212,I3212,J3212)</f>
        <v>1</v>
      </c>
      <c r="H3212" s="88"/>
      <c r="I3212" s="88"/>
      <c r="J3212" s="78">
        <f>MAX(K3212:Q3212)</f>
        <v>1</v>
      </c>
      <c r="K3212" s="88">
        <v>1</v>
      </c>
      <c r="L3212" s="88"/>
      <c r="M3212" s="88"/>
      <c r="N3212" s="88"/>
      <c r="O3212" s="88"/>
      <c r="P3212" s="88"/>
      <c r="Q3212" s="88"/>
      <c r="R3212" s="78">
        <f>MAX(S3212:W3212)</f>
        <v>0</v>
      </c>
      <c r="S3212" s="88"/>
      <c r="T3212" s="88"/>
      <c r="U3212" s="88"/>
      <c r="V3212" s="88"/>
      <c r="W3212" s="88"/>
    </row>
    <row r="3213" spans="2:23" s="0" customFormat="0" ht="15">
      <c r="B3213" s="87" t="s">
        <v>1</v>
      </c>
      <c r="C3213" s="88" t="s">
        <v>5259</v>
      </c>
      <c r="D3213" s="88">
        <v>16140030</v>
      </c>
      <c r="E3213" s="88" t="s">
        <v>61</v>
      </c>
      <c r="F3213" s="88">
        <v>0</v>
      </c>
      <c r="G3213" s="78">
        <f>MAX(H3213,I3213,J3213)</f>
        <v>1</v>
      </c>
      <c r="H3213" s="88"/>
      <c r="I3213" s="88"/>
      <c r="J3213" s="78">
        <f>MAX(K3213:Q3213)</f>
        <v>1</v>
      </c>
      <c r="K3213" s="88">
        <v>1</v>
      </c>
      <c r="L3213" s="88"/>
      <c r="M3213" s="88"/>
      <c r="N3213" s="88"/>
      <c r="O3213" s="88"/>
      <c r="P3213" s="88"/>
      <c r="Q3213" s="88"/>
      <c r="R3213" s="78">
        <f>MAX(S3213:W3213)</f>
        <v>0</v>
      </c>
      <c r="S3213" s="88"/>
      <c r="T3213" s="88"/>
      <c r="U3213" s="88"/>
      <c r="V3213" s="88"/>
      <c r="W3213" s="88"/>
    </row>
    <row r="3214" spans="2:23" s="0" customFormat="0" ht="15">
      <c r="B3214" s="87" t="s">
        <v>1</v>
      </c>
      <c r="C3214" s="88" t="s">
        <v>5259</v>
      </c>
      <c r="D3214" s="88" t="s">
        <v>4665</v>
      </c>
      <c r="E3214" s="88" t="s">
        <v>61</v>
      </c>
      <c r="F3214" s="88">
        <v>0</v>
      </c>
      <c r="G3214" s="78">
        <f>MAX(H3214,I3214,J3214)</f>
        <v>0</v>
      </c>
      <c r="H3214" s="88"/>
      <c r="I3214" s="88"/>
      <c r="J3214" s="78">
        <f>MAX(K3214:Q3214)</f>
        <v>0</v>
      </c>
      <c r="K3214" s="88"/>
      <c r="L3214" s="88"/>
      <c r="M3214" s="88"/>
      <c r="N3214" s="88"/>
      <c r="O3214" s="88"/>
      <c r="P3214" s="88"/>
      <c r="Q3214" s="88"/>
      <c r="R3214" s="78">
        <f>MAX(S3214:W3214)</f>
        <v>1</v>
      </c>
      <c r="S3214" s="88"/>
      <c r="T3214" s="88"/>
      <c r="U3214" s="88">
        <v>1</v>
      </c>
      <c r="V3214" s="88"/>
      <c r="W3214" s="88"/>
    </row>
    <row r="3215" spans="2:23" s="0" customFormat="0" ht="15">
      <c r="B3215" s="87" t="s">
        <v>1</v>
      </c>
      <c r="C3215" s="88" t="s">
        <v>5259</v>
      </c>
      <c r="D3215" s="88">
        <v>21917556</v>
      </c>
      <c r="E3215" s="88" t="s">
        <v>61</v>
      </c>
      <c r="F3215" s="88">
        <v>0</v>
      </c>
      <c r="G3215" s="78">
        <f>MAX(H3215,I3215,J3215)</f>
        <v>1</v>
      </c>
      <c r="H3215" s="88"/>
      <c r="I3215" s="88"/>
      <c r="J3215" s="78">
        <f>MAX(K3215:Q3215)</f>
        <v>1</v>
      </c>
      <c r="K3215" s="88">
        <v>1</v>
      </c>
      <c r="L3215" s="88"/>
      <c r="M3215" s="88"/>
      <c r="N3215" s="88"/>
      <c r="O3215" s="88"/>
      <c r="P3215" s="88"/>
      <c r="Q3215" s="88"/>
      <c r="R3215" s="78">
        <f>MAX(S3215:W3215)</f>
        <v>0</v>
      </c>
      <c r="S3215" s="88"/>
      <c r="T3215" s="88"/>
      <c r="U3215" s="88"/>
      <c r="V3215" s="88"/>
      <c r="W3215" s="88"/>
    </row>
    <row r="3216" spans="2:23" s="0" customFormat="0" ht="15">
      <c r="B3216" s="87" t="s">
        <v>1</v>
      </c>
      <c r="C3216" s="88" t="s">
        <v>5259</v>
      </c>
      <c r="D3216" s="88">
        <v>10560235</v>
      </c>
      <c r="E3216" s="88" t="s">
        <v>61</v>
      </c>
      <c r="F3216" s="88">
        <v>0</v>
      </c>
      <c r="G3216" s="78">
        <f>MAX(H3216,I3216,J3216)</f>
        <v>1</v>
      </c>
      <c r="H3216" s="88"/>
      <c r="I3216" s="88"/>
      <c r="J3216" s="78">
        <f>MAX(K3216:Q3216)</f>
        <v>1</v>
      </c>
      <c r="K3216" s="88">
        <v>1</v>
      </c>
      <c r="L3216" s="88"/>
      <c r="M3216" s="88"/>
      <c r="N3216" s="88"/>
      <c r="O3216" s="88"/>
      <c r="P3216" s="88"/>
      <c r="Q3216" s="88"/>
      <c r="R3216" s="78">
        <f>MAX(S3216:W3216)</f>
        <v>0</v>
      </c>
      <c r="S3216" s="88"/>
      <c r="T3216" s="88"/>
      <c r="U3216" s="88"/>
      <c r="V3216" s="88"/>
      <c r="W3216" s="88"/>
    </row>
    <row r="3217" spans="2:23" s="0" customFormat="0" ht="15">
      <c r="B3217" s="87" t="s">
        <v>1</v>
      </c>
      <c r="C3217" s="88" t="s">
        <v>5259</v>
      </c>
      <c r="D3217" s="88">
        <v>7778058</v>
      </c>
      <c r="E3217" s="88" t="s">
        <v>61</v>
      </c>
      <c r="F3217" s="88">
        <v>0</v>
      </c>
      <c r="G3217" s="78">
        <f>MAX(H3217,I3217,J3217)</f>
        <v>1</v>
      </c>
      <c r="H3217" s="88"/>
      <c r="I3217" s="88"/>
      <c r="J3217" s="78">
        <f>MAX(K3217:Q3217)</f>
        <v>1</v>
      </c>
      <c r="K3217" s="88">
        <v>1</v>
      </c>
      <c r="L3217" s="88"/>
      <c r="M3217" s="88"/>
      <c r="N3217" s="88"/>
      <c r="O3217" s="88"/>
      <c r="P3217" s="88"/>
      <c r="Q3217" s="88"/>
      <c r="R3217" s="78">
        <f>MAX(S3217:W3217)</f>
        <v>0</v>
      </c>
      <c r="S3217" s="88"/>
      <c r="T3217" s="88"/>
      <c r="U3217" s="88"/>
      <c r="V3217" s="88"/>
      <c r="W3217" s="88"/>
    </row>
    <row r="3218" spans="2:23" s="0" customFormat="0" ht="15">
      <c r="B3218" s="87" t="s">
        <v>1</v>
      </c>
      <c r="C3218" s="88" t="s">
        <v>5259</v>
      </c>
      <c r="D3218" s="88">
        <v>1929252</v>
      </c>
      <c r="E3218" s="88" t="s">
        <v>61</v>
      </c>
      <c r="F3218" s="88">
        <v>0</v>
      </c>
      <c r="G3218" s="78">
        <f>MAX(H3218,I3218,J3218)</f>
        <v>0</v>
      </c>
      <c r="H3218" s="88"/>
      <c r="I3218" s="88"/>
      <c r="J3218" s="78">
        <f>MAX(K3218:Q3218)</f>
        <v>0</v>
      </c>
      <c r="K3218" s="88"/>
      <c r="L3218" s="88"/>
      <c r="M3218" s="88"/>
      <c r="N3218" s="88"/>
      <c r="O3218" s="88"/>
      <c r="P3218" s="88"/>
      <c r="Q3218" s="88"/>
      <c r="R3218" s="78">
        <f>MAX(S3218:W3218)</f>
        <v>1</v>
      </c>
      <c r="S3218" s="88"/>
      <c r="T3218" s="88"/>
      <c r="U3218" s="88">
        <v>1</v>
      </c>
      <c r="V3218" s="88"/>
      <c r="W3218" s="88"/>
    </row>
    <row r="3219" spans="2:23" s="0" customFormat="0" ht="15">
      <c r="B3219" s="87" t="s">
        <v>1</v>
      </c>
      <c r="C3219" s="88" t="s">
        <v>5259</v>
      </c>
      <c r="D3219" s="88">
        <v>16974677</v>
      </c>
      <c r="E3219" s="88" t="s">
        <v>61</v>
      </c>
      <c r="F3219" s="88">
        <v>0</v>
      </c>
      <c r="G3219" s="78">
        <f>MAX(H3219,I3219,J3219)</f>
        <v>0</v>
      </c>
      <c r="H3219" s="88"/>
      <c r="I3219" s="88"/>
      <c r="J3219" s="78">
        <f>MAX(K3219:Q3219)</f>
        <v>0</v>
      </c>
      <c r="K3219" s="88"/>
      <c r="L3219" s="88"/>
      <c r="M3219" s="88"/>
      <c r="N3219" s="88"/>
      <c r="O3219" s="88"/>
      <c r="P3219" s="88"/>
      <c r="Q3219" s="88"/>
      <c r="R3219" s="78">
        <f>MAX(S3219:W3219)</f>
        <v>1</v>
      </c>
      <c r="S3219" s="88"/>
      <c r="T3219" s="88"/>
      <c r="U3219" s="88">
        <v>1</v>
      </c>
      <c r="V3219" s="88"/>
      <c r="W3219" s="88"/>
    </row>
    <row r="3220" spans="2:23" s="0" customFormat="0" ht="15">
      <c r="B3220" s="87" t="s">
        <v>1</v>
      </c>
      <c r="C3220" s="88" t="s">
        <v>5259</v>
      </c>
      <c r="D3220" s="88">
        <v>23673166</v>
      </c>
      <c r="E3220" s="88" t="s">
        <v>61</v>
      </c>
      <c r="F3220" s="88">
        <v>0</v>
      </c>
      <c r="G3220" s="78">
        <f>MAX(H3220,I3220,J3220)</f>
        <v>1</v>
      </c>
      <c r="H3220" s="88"/>
      <c r="I3220" s="88"/>
      <c r="J3220" s="78">
        <f>MAX(K3220:Q3220)</f>
        <v>1</v>
      </c>
      <c r="K3220" s="88">
        <v>1</v>
      </c>
      <c r="L3220" s="88"/>
      <c r="M3220" s="88"/>
      <c r="N3220" s="88"/>
      <c r="O3220" s="88"/>
      <c r="P3220" s="88"/>
      <c r="Q3220" s="88"/>
      <c r="R3220" s="78">
        <f>MAX(S3220:W3220)</f>
        <v>0</v>
      </c>
      <c r="S3220" s="88"/>
      <c r="T3220" s="88"/>
      <c r="U3220" s="88"/>
      <c r="V3220" s="88"/>
      <c r="W3220" s="88"/>
    </row>
    <row r="3221" spans="2:23" s="0" customFormat="0" ht="15">
      <c r="B3221" s="87" t="s">
        <v>1</v>
      </c>
      <c r="C3221" s="88" t="s">
        <v>5259</v>
      </c>
      <c r="D3221" s="88">
        <v>12667442</v>
      </c>
      <c r="E3221" s="88" t="s">
        <v>61</v>
      </c>
      <c r="F3221" s="88">
        <v>0</v>
      </c>
      <c r="G3221" s="78">
        <f>MAX(H3221,I3221,J3221)</f>
        <v>1</v>
      </c>
      <c r="H3221" s="88"/>
      <c r="I3221" s="88"/>
      <c r="J3221" s="78">
        <f>MAX(K3221:Q3221)</f>
        <v>1</v>
      </c>
      <c r="K3221" s="88">
        <v>1</v>
      </c>
      <c r="L3221" s="88"/>
      <c r="M3221" s="88"/>
      <c r="N3221" s="88"/>
      <c r="O3221" s="88"/>
      <c r="P3221" s="88"/>
      <c r="Q3221" s="88"/>
      <c r="R3221" s="78">
        <f>MAX(S3221:W3221)</f>
        <v>0</v>
      </c>
      <c r="S3221" s="88"/>
      <c r="T3221" s="88"/>
      <c r="U3221" s="88"/>
      <c r="V3221" s="88"/>
      <c r="W3221" s="88"/>
    </row>
    <row r="3222" spans="2:23" s="0" customFormat="0" ht="15">
      <c r="B3222" s="87" t="s">
        <v>1</v>
      </c>
      <c r="C3222" s="88" t="s">
        <v>5259</v>
      </c>
      <c r="D3222" s="88">
        <v>20350200</v>
      </c>
      <c r="E3222" s="88" t="s">
        <v>61</v>
      </c>
      <c r="F3222" s="88">
        <v>0</v>
      </c>
      <c r="G3222" s="78">
        <f>MAX(H3222,I3222,J3222)</f>
        <v>1</v>
      </c>
      <c r="H3222" s="88"/>
      <c r="I3222" s="88"/>
      <c r="J3222" s="78">
        <f>MAX(K3222:Q3222)</f>
        <v>1</v>
      </c>
      <c r="K3222" s="88"/>
      <c r="L3222" s="88"/>
      <c r="M3222" s="88"/>
      <c r="N3222" s="88"/>
      <c r="O3222" s="88">
        <v>1</v>
      </c>
      <c r="P3222" s="88"/>
      <c r="Q3222" s="88"/>
      <c r="R3222" s="78">
        <f>MAX(S3222:W3222)</f>
        <v>0</v>
      </c>
      <c r="S3222" s="88"/>
      <c r="T3222" s="88"/>
      <c r="U3222" s="88"/>
      <c r="V3222" s="88"/>
      <c r="W3222" s="88"/>
    </row>
    <row r="3223" spans="2:23" s="0" customFormat="0" ht="15">
      <c r="B3223" s="87" t="s">
        <v>1</v>
      </c>
      <c r="C3223" s="88" t="s">
        <v>5259</v>
      </c>
      <c r="D3223" s="88">
        <v>24956618</v>
      </c>
      <c r="E3223" s="88" t="s">
        <v>61</v>
      </c>
      <c r="F3223" s="88">
        <v>0</v>
      </c>
      <c r="G3223" s="78">
        <f>MAX(H3223,I3223,J3223)</f>
        <v>1</v>
      </c>
      <c r="H3223" s="88"/>
      <c r="I3223" s="88"/>
      <c r="J3223" s="78">
        <f>MAX(K3223:Q3223)</f>
        <v>1</v>
      </c>
      <c r="K3223" s="88">
        <v>1</v>
      </c>
      <c r="L3223" s="88"/>
      <c r="M3223" s="88"/>
      <c r="N3223" s="88"/>
      <c r="O3223" s="88"/>
      <c r="P3223" s="88"/>
      <c r="Q3223" s="88"/>
      <c r="R3223" s="78">
        <f>MAX(S3223:W3223)</f>
        <v>0</v>
      </c>
      <c r="S3223" s="88"/>
      <c r="T3223" s="88"/>
      <c r="U3223" s="88"/>
      <c r="V3223" s="88"/>
      <c r="W3223" s="88"/>
    </row>
    <row r="3224" spans="2:23" s="0" customFormat="0" ht="15">
      <c r="B3224" s="87" t="s">
        <v>1</v>
      </c>
      <c r="C3224" s="88" t="s">
        <v>5259</v>
      </c>
      <c r="D3224" s="88" t="s">
        <v>2145</v>
      </c>
      <c r="E3224" s="88" t="s">
        <v>61</v>
      </c>
      <c r="F3224" s="88">
        <v>0</v>
      </c>
      <c r="G3224" s="78">
        <f>MAX(H3224,I3224,J3224)</f>
        <v>1</v>
      </c>
      <c r="H3224" s="88"/>
      <c r="I3224" s="88"/>
      <c r="J3224" s="78">
        <f>MAX(K3224:Q3224)</f>
        <v>1</v>
      </c>
      <c r="K3224" s="88">
        <v>1</v>
      </c>
      <c r="L3224" s="88"/>
      <c r="M3224" s="88"/>
      <c r="N3224" s="88"/>
      <c r="O3224" s="88"/>
      <c r="P3224" s="88"/>
      <c r="Q3224" s="88"/>
      <c r="R3224" s="78">
        <f>MAX(S3224:W3224)</f>
        <v>0</v>
      </c>
      <c r="S3224" s="88"/>
      <c r="T3224" s="88"/>
      <c r="U3224" s="88"/>
      <c r="V3224" s="88"/>
      <c r="W3224" s="88"/>
    </row>
    <row r="3225" spans="2:23" s="0" customFormat="0" ht="15">
      <c r="B3225" s="87" t="s">
        <v>1</v>
      </c>
      <c r="C3225" s="88" t="s">
        <v>5259</v>
      </c>
      <c r="D3225" s="88">
        <v>24453175</v>
      </c>
      <c r="E3225" s="88" t="s">
        <v>61</v>
      </c>
      <c r="F3225" s="88">
        <v>0</v>
      </c>
      <c r="G3225" s="78">
        <f>MAX(H3225,I3225,J3225)</f>
        <v>1</v>
      </c>
      <c r="H3225" s="88"/>
      <c r="I3225" s="88"/>
      <c r="J3225" s="78">
        <f>MAX(K3225:Q3225)</f>
        <v>1</v>
      </c>
      <c r="K3225" s="88">
        <v>1</v>
      </c>
      <c r="L3225" s="88"/>
      <c r="M3225" s="88"/>
      <c r="N3225" s="88"/>
      <c r="O3225" s="88"/>
      <c r="P3225" s="88"/>
      <c r="Q3225" s="88"/>
      <c r="R3225" s="78">
        <f>MAX(S3225:W3225)</f>
        <v>0</v>
      </c>
      <c r="S3225" s="88"/>
      <c r="T3225" s="88"/>
      <c r="U3225" s="88"/>
      <c r="V3225" s="88"/>
      <c r="W3225" s="88"/>
    </row>
    <row r="3226" spans="2:23" s="0" customFormat="0" ht="15">
      <c r="B3226" s="87" t="s">
        <v>1</v>
      </c>
      <c r="C3226" s="88" t="s">
        <v>5259</v>
      </c>
      <c r="D3226" s="88">
        <v>12402492</v>
      </c>
      <c r="E3226" s="88" t="s">
        <v>61</v>
      </c>
      <c r="F3226" s="88">
        <v>0</v>
      </c>
      <c r="G3226" s="78">
        <f>MAX(H3226,I3226,J3226)</f>
        <v>1</v>
      </c>
      <c r="H3226" s="88"/>
      <c r="I3226" s="88"/>
      <c r="J3226" s="78">
        <f>MAX(K3226:Q3226)</f>
        <v>1</v>
      </c>
      <c r="K3226" s="88">
        <v>1</v>
      </c>
      <c r="L3226" s="88"/>
      <c r="M3226" s="88"/>
      <c r="N3226" s="88"/>
      <c r="O3226" s="88"/>
      <c r="P3226" s="88"/>
      <c r="Q3226" s="88"/>
      <c r="R3226" s="78">
        <f>MAX(S3226:W3226)</f>
        <v>0</v>
      </c>
      <c r="S3226" s="88"/>
      <c r="T3226" s="88"/>
      <c r="U3226" s="88"/>
      <c r="V3226" s="88"/>
      <c r="W3226" s="88"/>
    </row>
    <row r="3227" spans="2:23" s="0" customFormat="0" ht="15">
      <c r="B3227" s="87" t="s">
        <v>1</v>
      </c>
      <c r="C3227" s="88" t="s">
        <v>5259</v>
      </c>
      <c r="D3227" s="88">
        <v>23307204</v>
      </c>
      <c r="E3227" s="88" t="s">
        <v>61</v>
      </c>
      <c r="F3227" s="88">
        <v>0</v>
      </c>
      <c r="G3227" s="78">
        <f>MAX(H3227,I3227,J3227)</f>
        <v>1</v>
      </c>
      <c r="H3227" s="88"/>
      <c r="I3227" s="88"/>
      <c r="J3227" s="78">
        <f>MAX(K3227:Q3227)</f>
        <v>1</v>
      </c>
      <c r="K3227" s="88">
        <v>1</v>
      </c>
      <c r="L3227" s="88"/>
      <c r="M3227" s="88"/>
      <c r="N3227" s="88"/>
      <c r="O3227" s="88"/>
      <c r="P3227" s="88"/>
      <c r="Q3227" s="88"/>
      <c r="R3227" s="78">
        <f>MAX(S3227:W3227)</f>
        <v>0</v>
      </c>
      <c r="S3227" s="88"/>
      <c r="T3227" s="88"/>
      <c r="U3227" s="88"/>
      <c r="V3227" s="88"/>
      <c r="W3227" s="88"/>
    </row>
    <row r="3228" spans="2:23" s="0" customFormat="0" ht="15">
      <c r="B3228" s="87" t="s">
        <v>1</v>
      </c>
      <c r="C3228" s="88" t="s">
        <v>5259</v>
      </c>
      <c r="D3228" s="88" t="s">
        <v>1682</v>
      </c>
      <c r="E3228" s="88" t="s">
        <v>61</v>
      </c>
      <c r="F3228" s="88">
        <v>0</v>
      </c>
      <c r="G3228" s="78">
        <f>MAX(H3228,I3228,J3228)</f>
        <v>1</v>
      </c>
      <c r="H3228" s="88"/>
      <c r="I3228" s="88"/>
      <c r="J3228" s="78">
        <f>MAX(K3228:Q3228)</f>
        <v>1</v>
      </c>
      <c r="K3228" s="88">
        <v>1</v>
      </c>
      <c r="L3228" s="88"/>
      <c r="M3228" s="88"/>
      <c r="N3228" s="88"/>
      <c r="O3228" s="88"/>
      <c r="P3228" s="88"/>
      <c r="Q3228" s="88"/>
      <c r="R3228" s="78">
        <f>MAX(S3228:W3228)</f>
        <v>0</v>
      </c>
      <c r="S3228" s="88"/>
      <c r="T3228" s="88"/>
      <c r="U3228" s="88"/>
      <c r="V3228" s="88"/>
      <c r="W3228" s="88"/>
    </row>
    <row r="3229" spans="2:23" s="0" customFormat="0" ht="15">
      <c r="B3229" s="87" t="s">
        <v>1</v>
      </c>
      <c r="C3229" s="88" t="s">
        <v>5259</v>
      </c>
      <c r="D3229" s="88" t="s">
        <v>1910</v>
      </c>
      <c r="E3229" s="88" t="s">
        <v>61</v>
      </c>
      <c r="F3229" s="88">
        <v>0</v>
      </c>
      <c r="G3229" s="78">
        <f>MAX(H3229,I3229,J3229)</f>
        <v>1</v>
      </c>
      <c r="H3229" s="88"/>
      <c r="I3229" s="88"/>
      <c r="J3229" s="78">
        <f>MAX(K3229:Q3229)</f>
        <v>1</v>
      </c>
      <c r="K3229" s="88">
        <v>1</v>
      </c>
      <c r="L3229" s="88"/>
      <c r="M3229" s="88"/>
      <c r="N3229" s="88"/>
      <c r="O3229" s="88"/>
      <c r="P3229" s="88"/>
      <c r="Q3229" s="88"/>
      <c r="R3229" s="78">
        <f>MAX(S3229:W3229)</f>
        <v>0</v>
      </c>
      <c r="S3229" s="88"/>
      <c r="T3229" s="88"/>
      <c r="U3229" s="88"/>
      <c r="V3229" s="88"/>
      <c r="W3229" s="88"/>
    </row>
    <row r="3230" spans="2:23" s="0" customFormat="0" ht="15">
      <c r="B3230" s="87" t="s">
        <v>1</v>
      </c>
      <c r="C3230" s="88" t="s">
        <v>5259</v>
      </c>
      <c r="D3230" s="88">
        <v>18746159</v>
      </c>
      <c r="E3230" s="88" t="s">
        <v>61</v>
      </c>
      <c r="F3230" s="88">
        <v>0</v>
      </c>
      <c r="G3230" s="78">
        <f>MAX(H3230,I3230,J3230)</f>
        <v>0</v>
      </c>
      <c r="H3230" s="88"/>
      <c r="I3230" s="88"/>
      <c r="J3230" s="78">
        <f>MAX(K3230:Q3230)</f>
        <v>0</v>
      </c>
      <c r="K3230" s="88"/>
      <c r="L3230" s="88"/>
      <c r="M3230" s="88"/>
      <c r="N3230" s="88"/>
      <c r="O3230" s="88"/>
      <c r="P3230" s="88"/>
      <c r="Q3230" s="88"/>
      <c r="R3230" s="78">
        <f>MAX(S3230:W3230)</f>
        <v>1</v>
      </c>
      <c r="S3230" s="88"/>
      <c r="T3230" s="88"/>
      <c r="U3230" s="88">
        <v>1</v>
      </c>
      <c r="V3230" s="88"/>
      <c r="W3230" s="88"/>
    </row>
    <row r="3231" spans="2:23" s="0" customFormat="0" ht="15">
      <c r="B3231" s="87" t="s">
        <v>1</v>
      </c>
      <c r="C3231" s="88" t="s">
        <v>5259</v>
      </c>
      <c r="D3231" s="88">
        <v>23207410</v>
      </c>
      <c r="E3231" s="88" t="s">
        <v>61</v>
      </c>
      <c r="F3231" s="88">
        <v>0</v>
      </c>
      <c r="G3231" s="78">
        <f>MAX(H3231,I3231,J3231)</f>
        <v>1</v>
      </c>
      <c r="H3231" s="88"/>
      <c r="I3231" s="88"/>
      <c r="J3231" s="78">
        <f>MAX(K3231:Q3231)</f>
        <v>1</v>
      </c>
      <c r="K3231" s="88">
        <v>1</v>
      </c>
      <c r="L3231" s="88"/>
      <c r="M3231" s="88"/>
      <c r="N3231" s="88"/>
      <c r="O3231" s="88"/>
      <c r="P3231" s="88"/>
      <c r="Q3231" s="88"/>
      <c r="R3231" s="78">
        <f>MAX(S3231:W3231)</f>
        <v>0</v>
      </c>
      <c r="S3231" s="88"/>
      <c r="T3231" s="88"/>
      <c r="U3231" s="88"/>
      <c r="V3231" s="88"/>
      <c r="W3231" s="88"/>
    </row>
    <row r="3232" spans="2:23" s="0" customFormat="0" ht="15">
      <c r="B3232" s="87" t="s">
        <v>1</v>
      </c>
      <c r="C3232" s="88" t="s">
        <v>5259</v>
      </c>
      <c r="D3232" s="88" t="s">
        <v>3940</v>
      </c>
      <c r="E3232" s="88" t="s">
        <v>61</v>
      </c>
      <c r="F3232" s="88">
        <v>0</v>
      </c>
      <c r="G3232" s="78">
        <f>MAX(H3232,I3232,J3232)</f>
        <v>0</v>
      </c>
      <c r="H3232" s="88"/>
      <c r="I3232" s="88"/>
      <c r="J3232" s="78">
        <f>MAX(K3232:Q3232)</f>
        <v>0</v>
      </c>
      <c r="K3232" s="88"/>
      <c r="L3232" s="88"/>
      <c r="M3232" s="88"/>
      <c r="N3232" s="88"/>
      <c r="O3232" s="88"/>
      <c r="P3232" s="88"/>
      <c r="Q3232" s="88"/>
      <c r="R3232" s="78">
        <f>MAX(S3232:W3232)</f>
        <v>1</v>
      </c>
      <c r="S3232" s="88"/>
      <c r="T3232" s="88"/>
      <c r="U3232" s="88">
        <v>1</v>
      </c>
      <c r="V3232" s="88"/>
      <c r="W3232" s="88"/>
    </row>
    <row r="3233" spans="2:23" s="0" customFormat="0" ht="15">
      <c r="B3233" s="87" t="s">
        <v>1</v>
      </c>
      <c r="C3233" s="88" t="s">
        <v>5259</v>
      </c>
      <c r="D3233" s="88">
        <v>8354801</v>
      </c>
      <c r="E3233" s="88" t="s">
        <v>61</v>
      </c>
      <c r="F3233" s="88">
        <v>0</v>
      </c>
      <c r="G3233" s="78">
        <f>MAX(H3233,I3233,J3233)</f>
        <v>1</v>
      </c>
      <c r="H3233" s="88"/>
      <c r="I3233" s="88"/>
      <c r="J3233" s="78">
        <f>MAX(K3233:Q3233)</f>
        <v>1</v>
      </c>
      <c r="K3233" s="88">
        <v>1</v>
      </c>
      <c r="L3233" s="88"/>
      <c r="M3233" s="88"/>
      <c r="N3233" s="88"/>
      <c r="O3233" s="88"/>
      <c r="P3233" s="88"/>
      <c r="Q3233" s="88"/>
      <c r="R3233" s="78">
        <f>MAX(S3233:W3233)</f>
        <v>0</v>
      </c>
      <c r="S3233" s="88"/>
      <c r="T3233" s="88"/>
      <c r="U3233" s="88"/>
      <c r="V3233" s="88"/>
      <c r="W3233" s="88"/>
    </row>
    <row r="3234" spans="2:23" s="0" customFormat="0" ht="15">
      <c r="B3234" s="87" t="s">
        <v>1</v>
      </c>
      <c r="C3234" s="88" t="s">
        <v>5259</v>
      </c>
      <c r="D3234" s="88">
        <v>1551412</v>
      </c>
      <c r="E3234" s="88" t="s">
        <v>61</v>
      </c>
      <c r="F3234" s="88">
        <v>0</v>
      </c>
      <c r="G3234" s="78">
        <f>MAX(H3234,I3234,J3234)</f>
        <v>0</v>
      </c>
      <c r="H3234" s="88"/>
      <c r="I3234" s="88"/>
      <c r="J3234" s="78">
        <f>MAX(K3234:Q3234)</f>
        <v>0</v>
      </c>
      <c r="K3234" s="88"/>
      <c r="L3234" s="88"/>
      <c r="M3234" s="88"/>
      <c r="N3234" s="88"/>
      <c r="O3234" s="88"/>
      <c r="P3234" s="88"/>
      <c r="Q3234" s="88"/>
      <c r="R3234" s="78">
        <f>MAX(S3234:W3234)</f>
        <v>1</v>
      </c>
      <c r="S3234" s="88"/>
      <c r="T3234" s="88"/>
      <c r="U3234" s="88">
        <v>1</v>
      </c>
      <c r="V3234" s="88"/>
      <c r="W3234" s="88"/>
    </row>
    <row r="3235" spans="2:23" s="0" customFormat="0" ht="15">
      <c r="B3235" s="87" t="s">
        <v>1</v>
      </c>
      <c r="C3235" s="88" t="s">
        <v>5259</v>
      </c>
      <c r="D3235" s="88" t="s">
        <v>2151</v>
      </c>
      <c r="E3235" s="88" t="s">
        <v>61</v>
      </c>
      <c r="F3235" s="88">
        <v>0</v>
      </c>
      <c r="G3235" s="78">
        <f>MAX(H3235,I3235,J3235)</f>
        <v>1</v>
      </c>
      <c r="H3235" s="88"/>
      <c r="I3235" s="88"/>
      <c r="J3235" s="78">
        <f>MAX(K3235:Q3235)</f>
        <v>1</v>
      </c>
      <c r="K3235" s="88">
        <v>1</v>
      </c>
      <c r="L3235" s="88"/>
      <c r="M3235" s="88"/>
      <c r="N3235" s="88"/>
      <c r="O3235" s="88"/>
      <c r="P3235" s="88"/>
      <c r="Q3235" s="88"/>
      <c r="R3235" s="78">
        <f>MAX(S3235:W3235)</f>
        <v>0</v>
      </c>
      <c r="S3235" s="88"/>
      <c r="T3235" s="88"/>
      <c r="U3235" s="88"/>
      <c r="V3235" s="88"/>
      <c r="W3235" s="88"/>
    </row>
    <row r="3236" spans="2:23" s="0" customFormat="0" ht="15">
      <c r="B3236" s="87" t="s">
        <v>1</v>
      </c>
      <c r="C3236" s="88" t="s">
        <v>5259</v>
      </c>
      <c r="D3236" s="88" t="s">
        <v>4669</v>
      </c>
      <c r="E3236" s="88" t="s">
        <v>61</v>
      </c>
      <c r="F3236" s="88">
        <v>0</v>
      </c>
      <c r="G3236" s="78">
        <f>MAX(H3236,I3236,J3236)</f>
        <v>0</v>
      </c>
      <c r="H3236" s="88"/>
      <c r="I3236" s="88"/>
      <c r="J3236" s="78">
        <f>MAX(K3236:Q3236)</f>
        <v>0</v>
      </c>
      <c r="K3236" s="88"/>
      <c r="L3236" s="88"/>
      <c r="M3236" s="88"/>
      <c r="N3236" s="88"/>
      <c r="O3236" s="88"/>
      <c r="P3236" s="88"/>
      <c r="Q3236" s="88"/>
      <c r="R3236" s="78">
        <f>MAX(S3236:W3236)</f>
        <v>1</v>
      </c>
      <c r="S3236" s="88"/>
      <c r="T3236" s="88"/>
      <c r="U3236" s="88">
        <v>1</v>
      </c>
      <c r="V3236" s="88"/>
      <c r="W3236" s="88"/>
    </row>
    <row r="3237" spans="2:23" s="0" customFormat="0" ht="15">
      <c r="B3237" s="87" t="s">
        <v>1</v>
      </c>
      <c r="C3237" s="88" t="s">
        <v>5259</v>
      </c>
      <c r="D3237" s="88">
        <v>11029611</v>
      </c>
      <c r="E3237" s="88" t="s">
        <v>61</v>
      </c>
      <c r="F3237" s="88">
        <v>0</v>
      </c>
      <c r="G3237" s="78">
        <f>MAX(H3237,I3237,J3237)</f>
        <v>1</v>
      </c>
      <c r="H3237" s="88"/>
      <c r="I3237" s="88"/>
      <c r="J3237" s="78">
        <f>MAX(K3237:Q3237)</f>
        <v>1</v>
      </c>
      <c r="K3237" s="88">
        <v>1</v>
      </c>
      <c r="L3237" s="88"/>
      <c r="M3237" s="88"/>
      <c r="N3237" s="88"/>
      <c r="O3237" s="88"/>
      <c r="P3237" s="88"/>
      <c r="Q3237" s="88"/>
      <c r="R3237" s="78">
        <f>MAX(S3237:W3237)</f>
        <v>0</v>
      </c>
      <c r="S3237" s="88"/>
      <c r="T3237" s="88"/>
      <c r="U3237" s="88"/>
      <c r="V3237" s="88"/>
      <c r="W3237" s="88"/>
    </row>
    <row r="3238" spans="2:23" s="0" customFormat="0" ht="15">
      <c r="B3238" s="87" t="s">
        <v>1</v>
      </c>
      <c r="C3238" s="88" t="s">
        <v>5259</v>
      </c>
      <c r="D3238" s="88">
        <v>22099281</v>
      </c>
      <c r="E3238" s="88" t="s">
        <v>61</v>
      </c>
      <c r="F3238" s="88">
        <v>0</v>
      </c>
      <c r="G3238" s="78">
        <f>MAX(H3238,I3238,J3238)</f>
        <v>1</v>
      </c>
      <c r="H3238" s="88"/>
      <c r="I3238" s="88"/>
      <c r="J3238" s="78">
        <f>MAX(K3238:Q3238)</f>
        <v>1</v>
      </c>
      <c r="K3238" s="88">
        <v>1</v>
      </c>
      <c r="L3238" s="88"/>
      <c r="M3238" s="88"/>
      <c r="N3238" s="88"/>
      <c r="O3238" s="88"/>
      <c r="P3238" s="88"/>
      <c r="Q3238" s="88"/>
      <c r="R3238" s="78">
        <f>MAX(S3238:W3238)</f>
        <v>0</v>
      </c>
      <c r="S3238" s="88"/>
      <c r="T3238" s="88"/>
      <c r="U3238" s="88"/>
      <c r="V3238" s="88"/>
      <c r="W3238" s="88"/>
    </row>
    <row r="3239" spans="2:23" s="0" customFormat="0" ht="15">
      <c r="B3239" s="87" t="s">
        <v>1</v>
      </c>
      <c r="C3239" s="88" t="s">
        <v>5259</v>
      </c>
      <c r="D3239" s="88">
        <v>21565617</v>
      </c>
      <c r="E3239" s="88" t="s">
        <v>61</v>
      </c>
      <c r="F3239" s="88">
        <v>0</v>
      </c>
      <c r="G3239" s="78">
        <f>MAX(H3239,I3239,J3239)</f>
        <v>0</v>
      </c>
      <c r="H3239" s="88"/>
      <c r="I3239" s="88"/>
      <c r="J3239" s="78">
        <f>MAX(K3239:Q3239)</f>
        <v>0</v>
      </c>
      <c r="K3239" s="88"/>
      <c r="L3239" s="88"/>
      <c r="M3239" s="88"/>
      <c r="N3239" s="88"/>
      <c r="O3239" s="88"/>
      <c r="P3239" s="88"/>
      <c r="Q3239" s="88"/>
      <c r="R3239" s="78">
        <f>MAX(S3239:W3239)</f>
        <v>1</v>
      </c>
      <c r="S3239" s="88"/>
      <c r="T3239" s="88"/>
      <c r="U3239" s="88">
        <v>1</v>
      </c>
      <c r="V3239" s="88"/>
      <c r="W3239" s="88"/>
    </row>
    <row r="3240" spans="2:23" s="0" customFormat="0" ht="15">
      <c r="B3240" s="87" t="s">
        <v>1</v>
      </c>
      <c r="C3240" s="88" t="s">
        <v>5259</v>
      </c>
      <c r="D3240" s="88" t="s">
        <v>3507</v>
      </c>
      <c r="E3240" s="88" t="s">
        <v>61</v>
      </c>
      <c r="F3240" s="88">
        <v>0</v>
      </c>
      <c r="G3240" s="78">
        <f>MAX(H3240,I3240,J3240)</f>
        <v>0</v>
      </c>
      <c r="H3240" s="88"/>
      <c r="I3240" s="88"/>
      <c r="J3240" s="78">
        <f>MAX(K3240:Q3240)</f>
        <v>0</v>
      </c>
      <c r="K3240" s="88"/>
      <c r="L3240" s="88"/>
      <c r="M3240" s="88"/>
      <c r="N3240" s="88"/>
      <c r="O3240" s="88"/>
      <c r="P3240" s="88"/>
      <c r="Q3240" s="88"/>
      <c r="R3240" s="78">
        <f>MAX(S3240:W3240)</f>
        <v>1</v>
      </c>
      <c r="S3240" s="88"/>
      <c r="T3240" s="88"/>
      <c r="U3240" s="88">
        <v>1</v>
      </c>
      <c r="V3240" s="88"/>
      <c r="W3240" s="88"/>
    </row>
    <row r="3241" spans="2:23" s="0" customFormat="0" ht="15">
      <c r="B3241" s="87" t="s">
        <v>1</v>
      </c>
      <c r="C3241" s="88" t="s">
        <v>5259</v>
      </c>
      <c r="D3241" s="88" t="s">
        <v>4672</v>
      </c>
      <c r="E3241" s="88" t="s">
        <v>61</v>
      </c>
      <c r="F3241" s="88">
        <v>0</v>
      </c>
      <c r="G3241" s="78">
        <f>MAX(H3241,I3241,J3241)</f>
        <v>0</v>
      </c>
      <c r="H3241" s="88"/>
      <c r="I3241" s="88"/>
      <c r="J3241" s="78">
        <f>MAX(K3241:Q3241)</f>
        <v>0</v>
      </c>
      <c r="K3241" s="88"/>
      <c r="L3241" s="88"/>
      <c r="M3241" s="88"/>
      <c r="N3241" s="88"/>
      <c r="O3241" s="88"/>
      <c r="P3241" s="88"/>
      <c r="Q3241" s="88"/>
      <c r="R3241" s="78">
        <f>MAX(S3241:W3241)</f>
        <v>1</v>
      </c>
      <c r="S3241" s="88"/>
      <c r="T3241" s="88"/>
      <c r="U3241" s="88">
        <v>1</v>
      </c>
      <c r="V3241" s="88"/>
      <c r="W3241" s="88"/>
    </row>
    <row r="3242" spans="2:23" s="0" customFormat="0" ht="15">
      <c r="B3242" s="87" t="s">
        <v>1</v>
      </c>
      <c r="C3242" s="88" t="s">
        <v>5259</v>
      </c>
      <c r="D3242" s="88">
        <v>3393246</v>
      </c>
      <c r="E3242" s="88" t="s">
        <v>61</v>
      </c>
      <c r="F3242" s="88">
        <v>0</v>
      </c>
      <c r="G3242" s="78">
        <f>MAX(H3242,I3242,J3242)</f>
        <v>1</v>
      </c>
      <c r="H3242" s="88"/>
      <c r="I3242" s="88"/>
      <c r="J3242" s="78">
        <f>MAX(K3242:Q3242)</f>
        <v>1</v>
      </c>
      <c r="K3242" s="88">
        <v>1</v>
      </c>
      <c r="L3242" s="88"/>
      <c r="M3242" s="88"/>
      <c r="N3242" s="88"/>
      <c r="O3242" s="88"/>
      <c r="P3242" s="88"/>
      <c r="Q3242" s="88"/>
      <c r="R3242" s="78">
        <f>MAX(S3242:W3242)</f>
        <v>0</v>
      </c>
      <c r="S3242" s="88"/>
      <c r="T3242" s="88"/>
      <c r="U3242" s="88"/>
      <c r="V3242" s="88"/>
      <c r="W3242" s="88"/>
    </row>
    <row r="3243" spans="2:23" s="0" customFormat="0" ht="15">
      <c r="B3243" s="87" t="s">
        <v>1</v>
      </c>
      <c r="C3243" s="88" t="s">
        <v>5259</v>
      </c>
      <c r="D3243" s="88">
        <v>7065909</v>
      </c>
      <c r="E3243" s="88" t="s">
        <v>61</v>
      </c>
      <c r="F3243" s="88">
        <v>0</v>
      </c>
      <c r="G3243" s="78">
        <f>MAX(H3243,I3243,J3243)</f>
        <v>0</v>
      </c>
      <c r="H3243" s="88"/>
      <c r="I3243" s="88"/>
      <c r="J3243" s="78">
        <f>MAX(K3243:Q3243)</f>
        <v>0</v>
      </c>
      <c r="K3243" s="88"/>
      <c r="L3243" s="88"/>
      <c r="M3243" s="88"/>
      <c r="N3243" s="88"/>
      <c r="O3243" s="88"/>
      <c r="P3243" s="88"/>
      <c r="Q3243" s="88"/>
      <c r="R3243" s="78">
        <f>MAX(S3243:W3243)</f>
        <v>1</v>
      </c>
      <c r="S3243" s="88"/>
      <c r="T3243" s="88"/>
      <c r="U3243" s="88">
        <v>1</v>
      </c>
      <c r="V3243" s="88"/>
      <c r="W3243" s="88"/>
    </row>
    <row r="3244" spans="2:23" s="0" customFormat="0" ht="15">
      <c r="B3244" s="87" t="s">
        <v>1</v>
      </c>
      <c r="C3244" s="88" t="s">
        <v>5259</v>
      </c>
      <c r="D3244" s="88">
        <v>21755092</v>
      </c>
      <c r="E3244" s="88" t="s">
        <v>61</v>
      </c>
      <c r="F3244" s="88">
        <v>0</v>
      </c>
      <c r="G3244" s="78">
        <f>MAX(H3244,I3244,J3244)</f>
        <v>1</v>
      </c>
      <c r="H3244" s="88"/>
      <c r="I3244" s="88"/>
      <c r="J3244" s="78">
        <f>MAX(K3244:Q3244)</f>
        <v>1</v>
      </c>
      <c r="K3244" s="88"/>
      <c r="L3244" s="88"/>
      <c r="M3244" s="88">
        <v>1</v>
      </c>
      <c r="N3244" s="88"/>
      <c r="O3244" s="88"/>
      <c r="P3244" s="88"/>
      <c r="Q3244" s="88"/>
      <c r="R3244" s="78">
        <f>MAX(S3244:W3244)</f>
        <v>0</v>
      </c>
      <c r="S3244" s="88"/>
      <c r="T3244" s="88"/>
      <c r="U3244" s="88"/>
      <c r="V3244" s="88"/>
      <c r="W3244" s="88"/>
    </row>
    <row r="3245" spans="2:23" s="0" customFormat="0" ht="15">
      <c r="B3245" s="87" t="s">
        <v>1</v>
      </c>
      <c r="C3245" s="88" t="s">
        <v>5259</v>
      </c>
      <c r="D3245" s="88">
        <v>21989831</v>
      </c>
      <c r="E3245" s="88" t="s">
        <v>61</v>
      </c>
      <c r="F3245" s="88">
        <v>0</v>
      </c>
      <c r="G3245" s="78">
        <f>MAX(H3245,I3245,J3245)</f>
        <v>1</v>
      </c>
      <c r="H3245" s="88"/>
      <c r="I3245" s="88"/>
      <c r="J3245" s="78">
        <f>MAX(K3245:Q3245)</f>
        <v>1</v>
      </c>
      <c r="K3245" s="88">
        <v>1</v>
      </c>
      <c r="L3245" s="88"/>
      <c r="M3245" s="88"/>
      <c r="N3245" s="88"/>
      <c r="O3245" s="88"/>
      <c r="P3245" s="88"/>
      <c r="Q3245" s="88"/>
      <c r="R3245" s="78">
        <f>MAX(S3245:W3245)</f>
        <v>0</v>
      </c>
      <c r="S3245" s="88"/>
      <c r="T3245" s="88"/>
      <c r="U3245" s="88"/>
      <c r="V3245" s="88"/>
      <c r="W3245" s="88"/>
    </row>
    <row r="3246" spans="2:23" s="0" customFormat="0" ht="15">
      <c r="B3246" s="87" t="s">
        <v>1</v>
      </c>
      <c r="C3246" s="88" t="s">
        <v>5259</v>
      </c>
      <c r="D3246" s="88">
        <v>22554055</v>
      </c>
      <c r="E3246" s="88" t="s">
        <v>61</v>
      </c>
      <c r="F3246" s="88">
        <v>0</v>
      </c>
      <c r="G3246" s="78">
        <f>MAX(H3246,I3246,J3246)</f>
        <v>0</v>
      </c>
      <c r="H3246" s="88"/>
      <c r="I3246" s="88"/>
      <c r="J3246" s="78">
        <f>MAX(K3246:Q3246)</f>
        <v>0</v>
      </c>
      <c r="K3246" s="88"/>
      <c r="L3246" s="88"/>
      <c r="M3246" s="88"/>
      <c r="N3246" s="88"/>
      <c r="O3246" s="88"/>
      <c r="P3246" s="88"/>
      <c r="Q3246" s="88"/>
      <c r="R3246" s="78">
        <f>MAX(S3246:W3246)</f>
        <v>1</v>
      </c>
      <c r="S3246" s="88"/>
      <c r="T3246" s="88"/>
      <c r="U3246" s="88">
        <v>1</v>
      </c>
      <c r="V3246" s="88"/>
      <c r="W3246" s="88"/>
    </row>
    <row r="3247" spans="2:23" s="0" customFormat="0" ht="15">
      <c r="B3247" s="87" t="s">
        <v>1</v>
      </c>
      <c r="C3247" s="88" t="s">
        <v>5259</v>
      </c>
      <c r="D3247" s="88">
        <v>18775820</v>
      </c>
      <c r="E3247" s="88" t="s">
        <v>61</v>
      </c>
      <c r="F3247" s="88">
        <v>0</v>
      </c>
      <c r="G3247" s="78">
        <f>MAX(H3247,I3247,J3247)</f>
        <v>1</v>
      </c>
      <c r="H3247" s="88"/>
      <c r="I3247" s="88"/>
      <c r="J3247" s="78">
        <f>MAX(K3247:Q3247)</f>
        <v>1</v>
      </c>
      <c r="K3247" s="88">
        <v>1</v>
      </c>
      <c r="L3247" s="88"/>
      <c r="M3247" s="88"/>
      <c r="N3247" s="88"/>
      <c r="O3247" s="88"/>
      <c r="P3247" s="88"/>
      <c r="Q3247" s="88"/>
      <c r="R3247" s="78">
        <f>MAX(S3247:W3247)</f>
        <v>0</v>
      </c>
      <c r="S3247" s="88"/>
      <c r="T3247" s="88"/>
      <c r="U3247" s="88"/>
      <c r="V3247" s="88"/>
      <c r="W3247" s="88"/>
    </row>
    <row r="3248" spans="2:23" s="0" customFormat="0" ht="15">
      <c r="B3248" s="87" t="s">
        <v>1</v>
      </c>
      <c r="C3248" s="88" t="s">
        <v>5259</v>
      </c>
      <c r="D3248" s="88">
        <v>4422111</v>
      </c>
      <c r="E3248" s="88" t="s">
        <v>61</v>
      </c>
      <c r="F3248" s="88">
        <v>0</v>
      </c>
      <c r="G3248" s="78">
        <f>MAX(H3248,I3248,J3248)</f>
        <v>1</v>
      </c>
      <c r="H3248" s="88"/>
      <c r="I3248" s="88"/>
      <c r="J3248" s="78">
        <f>MAX(K3248:Q3248)</f>
        <v>1</v>
      </c>
      <c r="K3248" s="88">
        <v>1</v>
      </c>
      <c r="L3248" s="88"/>
      <c r="M3248" s="88"/>
      <c r="N3248" s="88"/>
      <c r="O3248" s="88"/>
      <c r="P3248" s="88"/>
      <c r="Q3248" s="88"/>
      <c r="R3248" s="78">
        <f>MAX(S3248:W3248)</f>
        <v>0</v>
      </c>
      <c r="S3248" s="88"/>
      <c r="T3248" s="88"/>
      <c r="U3248" s="88"/>
      <c r="V3248" s="88"/>
      <c r="W3248" s="88"/>
    </row>
    <row r="3249" spans="2:23" s="0" customFormat="0" ht="15">
      <c r="B3249" s="87" t="s">
        <v>1</v>
      </c>
      <c r="C3249" s="88" t="s">
        <v>5259</v>
      </c>
      <c r="D3249" s="88">
        <v>913920</v>
      </c>
      <c r="E3249" s="88" t="s">
        <v>61</v>
      </c>
      <c r="F3249" s="88">
        <v>0</v>
      </c>
      <c r="G3249" s="78">
        <f>MAX(H3249,I3249,J3249)</f>
        <v>1</v>
      </c>
      <c r="H3249" s="88"/>
      <c r="I3249" s="88"/>
      <c r="J3249" s="78">
        <f>MAX(K3249:Q3249)</f>
        <v>1</v>
      </c>
      <c r="K3249" s="88">
        <v>1</v>
      </c>
      <c r="L3249" s="88"/>
      <c r="M3249" s="88"/>
      <c r="N3249" s="88"/>
      <c r="O3249" s="88"/>
      <c r="P3249" s="88"/>
      <c r="Q3249" s="88"/>
      <c r="R3249" s="78">
        <f>MAX(S3249:W3249)</f>
        <v>0</v>
      </c>
      <c r="S3249" s="88"/>
      <c r="T3249" s="88"/>
      <c r="U3249" s="88"/>
      <c r="V3249" s="88"/>
      <c r="W3249" s="88"/>
    </row>
    <row r="3250" spans="2:23" s="0" customFormat="0" ht="15">
      <c r="B3250" s="87" t="s">
        <v>1</v>
      </c>
      <c r="C3250" s="88" t="s">
        <v>5259</v>
      </c>
      <c r="D3250" s="88" t="s">
        <v>2153</v>
      </c>
      <c r="E3250" s="88" t="s">
        <v>61</v>
      </c>
      <c r="F3250" s="88">
        <v>0</v>
      </c>
      <c r="G3250" s="78">
        <f>MAX(H3250,I3250,J3250)</f>
        <v>1</v>
      </c>
      <c r="H3250" s="88"/>
      <c r="I3250" s="88"/>
      <c r="J3250" s="78">
        <f>MAX(K3250:Q3250)</f>
        <v>1</v>
      </c>
      <c r="K3250" s="88">
        <v>1</v>
      </c>
      <c r="L3250" s="88"/>
      <c r="M3250" s="88"/>
      <c r="N3250" s="88"/>
      <c r="O3250" s="88"/>
      <c r="P3250" s="88"/>
      <c r="Q3250" s="88"/>
      <c r="R3250" s="78">
        <f>MAX(S3250:W3250)</f>
        <v>0</v>
      </c>
      <c r="S3250" s="88"/>
      <c r="T3250" s="88"/>
      <c r="U3250" s="88"/>
      <c r="V3250" s="88"/>
      <c r="W3250" s="88"/>
    </row>
    <row r="3251" spans="2:23" s="0" customFormat="0" ht="15">
      <c r="B3251" s="87" t="s">
        <v>1</v>
      </c>
      <c r="C3251" s="88" t="s">
        <v>5259</v>
      </c>
      <c r="D3251" s="88" t="s">
        <v>3321</v>
      </c>
      <c r="E3251" s="88" t="s">
        <v>61</v>
      </c>
      <c r="F3251" s="88">
        <v>0</v>
      </c>
      <c r="G3251" s="78">
        <f>MAX(H3251,I3251,J3251)</f>
        <v>0</v>
      </c>
      <c r="H3251" s="88"/>
      <c r="I3251" s="88"/>
      <c r="J3251" s="78">
        <f>MAX(K3251:Q3251)</f>
        <v>0</v>
      </c>
      <c r="K3251" s="88"/>
      <c r="L3251" s="88"/>
      <c r="M3251" s="88"/>
      <c r="N3251" s="88"/>
      <c r="O3251" s="88"/>
      <c r="P3251" s="88"/>
      <c r="Q3251" s="88"/>
      <c r="R3251" s="78">
        <f>MAX(S3251:W3251)</f>
        <v>1</v>
      </c>
      <c r="S3251" s="88"/>
      <c r="T3251" s="88"/>
      <c r="U3251" s="88">
        <v>1</v>
      </c>
      <c r="V3251" s="88"/>
      <c r="W3251" s="88"/>
    </row>
    <row r="3252" spans="2:23" s="0" customFormat="0" ht="15">
      <c r="B3252" s="87" t="s">
        <v>1</v>
      </c>
      <c r="C3252" s="88" t="s">
        <v>5259</v>
      </c>
      <c r="D3252" s="88" t="s">
        <v>1418</v>
      </c>
      <c r="E3252" s="88" t="s">
        <v>61</v>
      </c>
      <c r="F3252" s="88">
        <v>0</v>
      </c>
      <c r="G3252" s="78">
        <f>MAX(H3252,I3252,J3252)</f>
        <v>1</v>
      </c>
      <c r="H3252" s="88"/>
      <c r="I3252" s="88"/>
      <c r="J3252" s="78">
        <f>MAX(K3252:Q3252)</f>
        <v>1</v>
      </c>
      <c r="K3252" s="88">
        <v>1</v>
      </c>
      <c r="L3252" s="88"/>
      <c r="M3252" s="88"/>
      <c r="N3252" s="88"/>
      <c r="O3252" s="88"/>
      <c r="P3252" s="88"/>
      <c r="Q3252" s="88"/>
      <c r="R3252" s="78">
        <f>MAX(S3252:W3252)</f>
        <v>0</v>
      </c>
      <c r="S3252" s="88"/>
      <c r="T3252" s="88"/>
      <c r="U3252" s="88"/>
      <c r="V3252" s="88"/>
      <c r="W3252" s="88"/>
    </row>
    <row r="3253" spans="2:23" s="0" customFormat="0" ht="15">
      <c r="B3253" s="87" t="s">
        <v>1</v>
      </c>
      <c r="C3253" s="88" t="s">
        <v>5259</v>
      </c>
      <c r="D3253" s="88">
        <v>15481640</v>
      </c>
      <c r="E3253" s="88" t="s">
        <v>61</v>
      </c>
      <c r="F3253" s="88">
        <v>0</v>
      </c>
      <c r="G3253" s="78">
        <f>MAX(H3253,I3253,J3253)</f>
        <v>1</v>
      </c>
      <c r="H3253" s="88"/>
      <c r="I3253" s="88"/>
      <c r="J3253" s="78">
        <f>MAX(K3253:Q3253)</f>
        <v>1</v>
      </c>
      <c r="K3253" s="88">
        <v>1</v>
      </c>
      <c r="L3253" s="88"/>
      <c r="M3253" s="88"/>
      <c r="N3253" s="88"/>
      <c r="O3253" s="88"/>
      <c r="P3253" s="88"/>
      <c r="Q3253" s="88"/>
      <c r="R3253" s="78">
        <f>MAX(S3253:W3253)</f>
        <v>0</v>
      </c>
      <c r="S3253" s="88"/>
      <c r="T3253" s="88"/>
      <c r="U3253" s="88"/>
      <c r="V3253" s="88"/>
      <c r="W3253" s="88"/>
    </row>
    <row r="3254" spans="2:23" s="0" customFormat="0" ht="15">
      <c r="B3254" s="87" t="s">
        <v>1</v>
      </c>
      <c r="C3254" s="88" t="s">
        <v>5259</v>
      </c>
      <c r="D3254" s="88">
        <v>21990923</v>
      </c>
      <c r="E3254" s="88" t="s">
        <v>61</v>
      </c>
      <c r="F3254" s="88">
        <v>0</v>
      </c>
      <c r="G3254" s="78">
        <f>MAX(H3254,I3254,J3254)</f>
        <v>1</v>
      </c>
      <c r="H3254" s="88"/>
      <c r="I3254" s="88"/>
      <c r="J3254" s="78">
        <f>MAX(K3254:Q3254)</f>
        <v>1</v>
      </c>
      <c r="K3254" s="88"/>
      <c r="L3254" s="88"/>
      <c r="M3254" s="88">
        <v>1</v>
      </c>
      <c r="N3254" s="88"/>
      <c r="O3254" s="88"/>
      <c r="P3254" s="88"/>
      <c r="Q3254" s="88"/>
      <c r="R3254" s="78">
        <f>MAX(S3254:W3254)</f>
        <v>0</v>
      </c>
      <c r="S3254" s="88"/>
      <c r="T3254" s="88"/>
      <c r="U3254" s="88"/>
      <c r="V3254" s="88"/>
      <c r="W3254" s="88"/>
    </row>
    <row r="3255" spans="2:23" s="0" customFormat="0" ht="15">
      <c r="B3255" s="87" t="s">
        <v>1</v>
      </c>
      <c r="C3255" s="88" t="s">
        <v>5259</v>
      </c>
      <c r="D3255" s="88">
        <v>19503822</v>
      </c>
      <c r="E3255" s="88" t="s">
        <v>61</v>
      </c>
      <c r="F3255" s="88">
        <v>0</v>
      </c>
      <c r="G3255" s="78">
        <f>MAX(H3255,I3255,J3255)</f>
        <v>1</v>
      </c>
      <c r="H3255" s="88"/>
      <c r="I3255" s="88"/>
      <c r="J3255" s="78">
        <f>MAX(K3255:Q3255)</f>
        <v>1</v>
      </c>
      <c r="K3255" s="88">
        <v>1</v>
      </c>
      <c r="L3255" s="88"/>
      <c r="M3255" s="88"/>
      <c r="N3255" s="88"/>
      <c r="O3255" s="88"/>
      <c r="P3255" s="88"/>
      <c r="Q3255" s="88"/>
      <c r="R3255" s="78">
        <f>MAX(S3255:W3255)</f>
        <v>0</v>
      </c>
      <c r="S3255" s="88"/>
      <c r="T3255" s="88"/>
      <c r="U3255" s="88"/>
      <c r="V3255" s="88"/>
      <c r="W3255" s="88"/>
    </row>
    <row r="3256" spans="2:23" s="0" customFormat="0" ht="15">
      <c r="B3256" s="87" t="s">
        <v>1</v>
      </c>
      <c r="C3256" s="88" t="s">
        <v>5259</v>
      </c>
      <c r="D3256" s="88">
        <v>2106487</v>
      </c>
      <c r="E3256" s="88" t="s">
        <v>61</v>
      </c>
      <c r="F3256" s="88">
        <v>0</v>
      </c>
      <c r="G3256" s="78">
        <f>MAX(H3256,I3256,J3256)</f>
        <v>1</v>
      </c>
      <c r="H3256" s="88"/>
      <c r="I3256" s="88"/>
      <c r="J3256" s="78">
        <f>MAX(K3256:Q3256)</f>
        <v>1</v>
      </c>
      <c r="K3256" s="88">
        <v>1</v>
      </c>
      <c r="L3256" s="88"/>
      <c r="M3256" s="88"/>
      <c r="N3256" s="88"/>
      <c r="O3256" s="88"/>
      <c r="P3256" s="88"/>
      <c r="Q3256" s="88"/>
      <c r="R3256" s="78">
        <f>MAX(S3256:W3256)</f>
        <v>0</v>
      </c>
      <c r="S3256" s="88"/>
      <c r="T3256" s="88"/>
      <c r="U3256" s="88"/>
      <c r="V3256" s="88"/>
      <c r="W3256" s="88"/>
    </row>
    <row r="3257" spans="2:23" s="0" customFormat="0" ht="15">
      <c r="B3257" s="87" t="s">
        <v>1</v>
      </c>
      <c r="C3257" s="88" t="s">
        <v>5259</v>
      </c>
      <c r="D3257" s="88" t="s">
        <v>4676</v>
      </c>
      <c r="E3257" s="88" t="s">
        <v>61</v>
      </c>
      <c r="F3257" s="88">
        <v>0</v>
      </c>
      <c r="G3257" s="78">
        <f>MAX(H3257,I3257,J3257)</f>
        <v>0</v>
      </c>
      <c r="H3257" s="88"/>
      <c r="I3257" s="88"/>
      <c r="J3257" s="78">
        <f>MAX(K3257:Q3257)</f>
        <v>0</v>
      </c>
      <c r="K3257" s="88"/>
      <c r="L3257" s="88"/>
      <c r="M3257" s="88"/>
      <c r="N3257" s="88"/>
      <c r="O3257" s="88"/>
      <c r="P3257" s="88"/>
      <c r="Q3257" s="88"/>
      <c r="R3257" s="78">
        <f>MAX(S3257:W3257)</f>
        <v>1</v>
      </c>
      <c r="S3257" s="88"/>
      <c r="T3257" s="88"/>
      <c r="U3257" s="88">
        <v>1</v>
      </c>
      <c r="V3257" s="88"/>
      <c r="W3257" s="88"/>
    </row>
    <row r="3258" spans="2:23" s="0" customFormat="0" ht="15">
      <c r="B3258" s="87" t="s">
        <v>1</v>
      </c>
      <c r="C3258" s="88" t="s">
        <v>5259</v>
      </c>
      <c r="D3258" s="88">
        <v>18991273</v>
      </c>
      <c r="E3258" s="88" t="s">
        <v>61</v>
      </c>
      <c r="F3258" s="88">
        <v>0</v>
      </c>
      <c r="G3258" s="78">
        <f>MAX(H3258,I3258,J3258)</f>
        <v>1</v>
      </c>
      <c r="H3258" s="88"/>
      <c r="I3258" s="88"/>
      <c r="J3258" s="78">
        <f>MAX(K3258:Q3258)</f>
        <v>1</v>
      </c>
      <c r="K3258" s="88">
        <v>1</v>
      </c>
      <c r="L3258" s="88"/>
      <c r="M3258" s="88"/>
      <c r="N3258" s="88"/>
      <c r="O3258" s="88"/>
      <c r="P3258" s="88"/>
      <c r="Q3258" s="88"/>
      <c r="R3258" s="78">
        <f>MAX(S3258:W3258)</f>
        <v>0</v>
      </c>
      <c r="S3258" s="88"/>
      <c r="T3258" s="88"/>
      <c r="U3258" s="88"/>
      <c r="V3258" s="88"/>
      <c r="W3258" s="88"/>
    </row>
    <row r="3259" spans="2:23" s="0" customFormat="0" ht="15">
      <c r="B3259" s="87" t="s">
        <v>1</v>
      </c>
      <c r="C3259" s="88" t="s">
        <v>5259</v>
      </c>
      <c r="D3259" s="88">
        <v>21257169</v>
      </c>
      <c r="E3259" s="88" t="s">
        <v>61</v>
      </c>
      <c r="F3259" s="88">
        <v>0</v>
      </c>
      <c r="G3259" s="78">
        <f>MAX(H3259,I3259,J3259)</f>
        <v>1</v>
      </c>
      <c r="H3259" s="88"/>
      <c r="I3259" s="88"/>
      <c r="J3259" s="78">
        <f>MAX(K3259:Q3259)</f>
        <v>1</v>
      </c>
      <c r="K3259" s="88">
        <v>1</v>
      </c>
      <c r="L3259" s="88"/>
      <c r="M3259" s="88"/>
      <c r="N3259" s="88"/>
      <c r="O3259" s="88"/>
      <c r="P3259" s="88"/>
      <c r="Q3259" s="88"/>
      <c r="R3259" s="78">
        <f>MAX(S3259:W3259)</f>
        <v>0</v>
      </c>
      <c r="S3259" s="88"/>
      <c r="T3259" s="88"/>
      <c r="U3259" s="88"/>
      <c r="V3259" s="88"/>
      <c r="W3259" s="88"/>
    </row>
    <row r="3260" spans="2:23" s="0" customFormat="0" ht="15">
      <c r="B3260" s="87" t="s">
        <v>1</v>
      </c>
      <c r="C3260" s="88" t="s">
        <v>5259</v>
      </c>
      <c r="D3260" s="88" t="s">
        <v>4678</v>
      </c>
      <c r="E3260" s="88" t="s">
        <v>61</v>
      </c>
      <c r="F3260" s="88">
        <v>0</v>
      </c>
      <c r="G3260" s="78">
        <f>MAX(H3260,I3260,J3260)</f>
        <v>0</v>
      </c>
      <c r="H3260" s="88"/>
      <c r="I3260" s="88"/>
      <c r="J3260" s="78">
        <f>MAX(K3260:Q3260)</f>
        <v>0</v>
      </c>
      <c r="K3260" s="88"/>
      <c r="L3260" s="88"/>
      <c r="M3260" s="88"/>
      <c r="N3260" s="88"/>
      <c r="O3260" s="88"/>
      <c r="P3260" s="88"/>
      <c r="Q3260" s="88"/>
      <c r="R3260" s="78">
        <f>MAX(S3260:W3260)</f>
        <v>1</v>
      </c>
      <c r="S3260" s="88"/>
      <c r="T3260" s="88"/>
      <c r="U3260" s="88">
        <v>1</v>
      </c>
      <c r="V3260" s="88"/>
      <c r="W3260" s="88"/>
    </row>
    <row r="3261" spans="2:23" s="0" customFormat="0" ht="15">
      <c r="B3261" s="87" t="s">
        <v>1</v>
      </c>
      <c r="C3261" s="88" t="s">
        <v>5259</v>
      </c>
      <c r="D3261" s="88" t="s">
        <v>1340</v>
      </c>
      <c r="E3261" s="88" t="s">
        <v>61</v>
      </c>
      <c r="F3261" s="88">
        <v>0</v>
      </c>
      <c r="G3261" s="78">
        <f>MAX(H3261,I3261,J3261)</f>
        <v>1</v>
      </c>
      <c r="H3261" s="88"/>
      <c r="I3261" s="88"/>
      <c r="J3261" s="78">
        <f>MAX(K3261:Q3261)</f>
        <v>1</v>
      </c>
      <c r="K3261" s="88">
        <v>1</v>
      </c>
      <c r="L3261" s="88"/>
      <c r="M3261" s="88"/>
      <c r="N3261" s="88"/>
      <c r="O3261" s="88"/>
      <c r="P3261" s="88"/>
      <c r="Q3261" s="88"/>
      <c r="R3261" s="78">
        <f>MAX(S3261:W3261)</f>
        <v>0</v>
      </c>
      <c r="S3261" s="88"/>
      <c r="T3261" s="88"/>
      <c r="U3261" s="88"/>
      <c r="V3261" s="88"/>
      <c r="W3261" s="88"/>
    </row>
    <row r="3262" spans="2:23" s="0" customFormat="0" ht="15">
      <c r="B3262" s="87" t="s">
        <v>1</v>
      </c>
      <c r="C3262" s="88" t="s">
        <v>5259</v>
      </c>
      <c r="D3262" s="88" t="s">
        <v>2135</v>
      </c>
      <c r="E3262" s="88" t="s">
        <v>61</v>
      </c>
      <c r="F3262" s="88">
        <v>0</v>
      </c>
      <c r="G3262" s="78">
        <f>MAX(H3262,I3262,J3262)</f>
        <v>1</v>
      </c>
      <c r="H3262" s="88"/>
      <c r="I3262" s="88"/>
      <c r="J3262" s="78">
        <f>MAX(K3262:Q3262)</f>
        <v>1</v>
      </c>
      <c r="K3262" s="88">
        <v>1</v>
      </c>
      <c r="L3262" s="88"/>
      <c r="M3262" s="88"/>
      <c r="N3262" s="88"/>
      <c r="O3262" s="88"/>
      <c r="P3262" s="88"/>
      <c r="Q3262" s="88"/>
      <c r="R3262" s="78">
        <f>MAX(S3262:W3262)</f>
        <v>0</v>
      </c>
      <c r="S3262" s="88"/>
      <c r="T3262" s="88"/>
      <c r="U3262" s="88"/>
      <c r="V3262" s="88"/>
      <c r="W3262" s="88"/>
    </row>
    <row r="3263" spans="2:23" s="0" customFormat="0" ht="15">
      <c r="B3263" s="87" t="s">
        <v>1</v>
      </c>
      <c r="C3263" s="88" t="s">
        <v>5259</v>
      </c>
      <c r="D3263" s="88" t="s">
        <v>4584</v>
      </c>
      <c r="E3263" s="88" t="s">
        <v>61</v>
      </c>
      <c r="F3263" s="88">
        <v>0</v>
      </c>
      <c r="G3263" s="78">
        <f>MAX(H3263,I3263,J3263)</f>
        <v>0</v>
      </c>
      <c r="H3263" s="88"/>
      <c r="I3263" s="88"/>
      <c r="J3263" s="78">
        <f>MAX(K3263:Q3263)</f>
        <v>0</v>
      </c>
      <c r="K3263" s="88"/>
      <c r="L3263" s="88"/>
      <c r="M3263" s="88"/>
      <c r="N3263" s="88"/>
      <c r="O3263" s="88"/>
      <c r="P3263" s="88"/>
      <c r="Q3263" s="88"/>
      <c r="R3263" s="78">
        <f>MAX(S3263:W3263)</f>
        <v>1</v>
      </c>
      <c r="S3263" s="88"/>
      <c r="T3263" s="88"/>
      <c r="U3263" s="88">
        <v>1</v>
      </c>
      <c r="V3263" s="88"/>
      <c r="W3263" s="88"/>
    </row>
    <row r="3264" spans="2:23" s="0" customFormat="0" ht="15">
      <c r="B3264" s="87" t="s">
        <v>1</v>
      </c>
      <c r="C3264" s="88" t="s">
        <v>5259</v>
      </c>
      <c r="D3264" s="88">
        <v>22927564</v>
      </c>
      <c r="E3264" s="88" t="s">
        <v>61</v>
      </c>
      <c r="F3264" s="88">
        <v>0</v>
      </c>
      <c r="G3264" s="78">
        <f>MAX(H3264,I3264,J3264)</f>
        <v>1</v>
      </c>
      <c r="H3264" s="88"/>
      <c r="I3264" s="88"/>
      <c r="J3264" s="78">
        <f>MAX(K3264:Q3264)</f>
        <v>1</v>
      </c>
      <c r="K3264" s="88">
        <v>1</v>
      </c>
      <c r="L3264" s="88"/>
      <c r="M3264" s="88"/>
      <c r="N3264" s="88"/>
      <c r="O3264" s="88"/>
      <c r="P3264" s="88"/>
      <c r="Q3264" s="88"/>
      <c r="R3264" s="78">
        <f>MAX(S3264:W3264)</f>
        <v>0</v>
      </c>
      <c r="S3264" s="88"/>
      <c r="T3264" s="88"/>
      <c r="U3264" s="88"/>
      <c r="V3264" s="88"/>
      <c r="W3264" s="88"/>
    </row>
    <row r="3265" spans="2:23" s="0" customFormat="0" ht="15">
      <c r="B3265" s="87" t="s">
        <v>1</v>
      </c>
      <c r="C3265" s="88" t="s">
        <v>5259</v>
      </c>
      <c r="D3265" s="88">
        <v>20435362</v>
      </c>
      <c r="E3265" s="88" t="s">
        <v>61</v>
      </c>
      <c r="F3265" s="88">
        <v>0</v>
      </c>
      <c r="G3265" s="78">
        <f>MAX(H3265,I3265,J3265)</f>
        <v>1</v>
      </c>
      <c r="H3265" s="88"/>
      <c r="I3265" s="88"/>
      <c r="J3265" s="78">
        <f>MAX(K3265:Q3265)</f>
        <v>1</v>
      </c>
      <c r="K3265" s="88">
        <v>1</v>
      </c>
      <c r="L3265" s="88"/>
      <c r="M3265" s="88"/>
      <c r="N3265" s="88"/>
      <c r="O3265" s="88"/>
      <c r="P3265" s="88"/>
      <c r="Q3265" s="88"/>
      <c r="R3265" s="78">
        <f>MAX(S3265:W3265)</f>
        <v>0</v>
      </c>
      <c r="S3265" s="88"/>
      <c r="T3265" s="88"/>
      <c r="U3265" s="88"/>
      <c r="V3265" s="88"/>
      <c r="W3265" s="88"/>
    </row>
    <row r="3266" spans="2:23" s="0" customFormat="0" ht="15">
      <c r="B3266" s="87" t="s">
        <v>1</v>
      </c>
      <c r="C3266" s="88" t="s">
        <v>5259</v>
      </c>
      <c r="D3266" s="88">
        <v>12193679</v>
      </c>
      <c r="E3266" s="88" t="s">
        <v>61</v>
      </c>
      <c r="F3266" s="88">
        <v>0</v>
      </c>
      <c r="G3266" s="78">
        <f>MAX(H3266,I3266,J3266)</f>
        <v>1</v>
      </c>
      <c r="H3266" s="88"/>
      <c r="I3266" s="88"/>
      <c r="J3266" s="78">
        <f>MAX(K3266:Q3266)</f>
        <v>1</v>
      </c>
      <c r="K3266" s="88">
        <v>1</v>
      </c>
      <c r="L3266" s="88"/>
      <c r="M3266" s="88"/>
      <c r="N3266" s="88"/>
      <c r="O3266" s="88"/>
      <c r="P3266" s="88"/>
      <c r="Q3266" s="88"/>
      <c r="R3266" s="78">
        <f>MAX(S3266:W3266)</f>
        <v>0</v>
      </c>
      <c r="S3266" s="88"/>
      <c r="T3266" s="88"/>
      <c r="U3266" s="88"/>
      <c r="V3266" s="88"/>
      <c r="W3266" s="88"/>
    </row>
    <row r="3267" spans="2:23" s="0" customFormat="0" ht="15">
      <c r="B3267" s="87" t="s">
        <v>1</v>
      </c>
      <c r="C3267" s="88" t="s">
        <v>5259</v>
      </c>
      <c r="D3267" s="88">
        <v>19184780</v>
      </c>
      <c r="E3267" s="88" t="s">
        <v>61</v>
      </c>
      <c r="F3267" s="88">
        <v>0</v>
      </c>
      <c r="G3267" s="78">
        <f>MAX(H3267,I3267,J3267)</f>
        <v>1</v>
      </c>
      <c r="H3267" s="88"/>
      <c r="I3267" s="88"/>
      <c r="J3267" s="78">
        <f>MAX(K3267:Q3267)</f>
        <v>1</v>
      </c>
      <c r="K3267" s="88">
        <v>1</v>
      </c>
      <c r="L3267" s="88"/>
      <c r="M3267" s="88"/>
      <c r="N3267" s="88"/>
      <c r="O3267" s="88"/>
      <c r="P3267" s="88"/>
      <c r="Q3267" s="88"/>
      <c r="R3267" s="78">
        <f>MAX(S3267:W3267)</f>
        <v>0</v>
      </c>
      <c r="S3267" s="88"/>
      <c r="T3267" s="88"/>
      <c r="U3267" s="88"/>
      <c r="V3267" s="88"/>
      <c r="W3267" s="88"/>
    </row>
    <row r="3268" spans="2:23" s="0" customFormat="0" ht="15">
      <c r="B3268" s="87" t="s">
        <v>1</v>
      </c>
      <c r="C3268" s="88" t="s">
        <v>5259</v>
      </c>
      <c r="D3268" s="88">
        <v>546831</v>
      </c>
      <c r="E3268" s="88" t="s">
        <v>61</v>
      </c>
      <c r="F3268" s="88">
        <v>0</v>
      </c>
      <c r="G3268" s="78">
        <f>MAX(H3268,I3268,J3268)</f>
        <v>1</v>
      </c>
      <c r="H3268" s="88"/>
      <c r="I3268" s="88"/>
      <c r="J3268" s="78">
        <f>MAX(K3268:Q3268)</f>
        <v>1</v>
      </c>
      <c r="K3268" s="88">
        <v>1</v>
      </c>
      <c r="L3268" s="88"/>
      <c r="M3268" s="88"/>
      <c r="N3268" s="88"/>
      <c r="O3268" s="88"/>
      <c r="P3268" s="88"/>
      <c r="Q3268" s="88"/>
      <c r="R3268" s="78">
        <f>MAX(S3268:W3268)</f>
        <v>0</v>
      </c>
      <c r="S3268" s="88"/>
      <c r="T3268" s="88"/>
      <c r="U3268" s="88"/>
      <c r="V3268" s="88"/>
      <c r="W3268" s="88"/>
    </row>
    <row r="3269" spans="2:23" s="0" customFormat="0" ht="15">
      <c r="B3269" s="87" t="s">
        <v>1</v>
      </c>
      <c r="C3269" s="88" t="s">
        <v>5259</v>
      </c>
      <c r="D3269" s="88" t="s">
        <v>4680</v>
      </c>
      <c r="E3269" s="88" t="s">
        <v>61</v>
      </c>
      <c r="F3269" s="88">
        <v>0</v>
      </c>
      <c r="G3269" s="78">
        <f>MAX(H3269,I3269,J3269)</f>
        <v>0</v>
      </c>
      <c r="H3269" s="88"/>
      <c r="I3269" s="88"/>
      <c r="J3269" s="78">
        <f>MAX(K3269:Q3269)</f>
        <v>0</v>
      </c>
      <c r="K3269" s="88"/>
      <c r="L3269" s="88"/>
      <c r="M3269" s="88"/>
      <c r="N3269" s="88"/>
      <c r="O3269" s="88"/>
      <c r="P3269" s="88"/>
      <c r="Q3269" s="88"/>
      <c r="R3269" s="78">
        <f>MAX(S3269:W3269)</f>
        <v>1</v>
      </c>
      <c r="S3269" s="88"/>
      <c r="T3269" s="88"/>
      <c r="U3269" s="88">
        <v>1</v>
      </c>
      <c r="V3269" s="88"/>
      <c r="W3269" s="88"/>
    </row>
    <row r="3270" spans="2:23" s="0" customFormat="0" ht="15">
      <c r="B3270" s="87" t="s">
        <v>1</v>
      </c>
      <c r="C3270" s="88" t="s">
        <v>5259</v>
      </c>
      <c r="D3270" s="88" t="s">
        <v>4413</v>
      </c>
      <c r="E3270" s="88" t="s">
        <v>61</v>
      </c>
      <c r="F3270" s="88">
        <v>0</v>
      </c>
      <c r="G3270" s="78">
        <f>MAX(H3270,I3270,J3270)</f>
        <v>0</v>
      </c>
      <c r="H3270" s="88"/>
      <c r="I3270" s="88"/>
      <c r="J3270" s="78">
        <f>MAX(K3270:Q3270)</f>
        <v>0</v>
      </c>
      <c r="K3270" s="88"/>
      <c r="L3270" s="88"/>
      <c r="M3270" s="88"/>
      <c r="N3270" s="88"/>
      <c r="O3270" s="88"/>
      <c r="P3270" s="88"/>
      <c r="Q3270" s="88"/>
      <c r="R3270" s="78">
        <f>MAX(S3270:W3270)</f>
        <v>1</v>
      </c>
      <c r="S3270" s="88"/>
      <c r="T3270" s="88"/>
      <c r="U3270" s="88">
        <v>1</v>
      </c>
      <c r="V3270" s="88"/>
      <c r="W3270" s="88"/>
    </row>
    <row r="3271" spans="2:23" s="0" customFormat="0" ht="15">
      <c r="B3271" s="87" t="s">
        <v>1</v>
      </c>
      <c r="C3271" s="88" t="s">
        <v>5259</v>
      </c>
      <c r="D3271" s="88" t="s">
        <v>4682</v>
      </c>
      <c r="E3271" s="88" t="s">
        <v>61</v>
      </c>
      <c r="F3271" s="88">
        <v>0</v>
      </c>
      <c r="G3271" s="78">
        <f>MAX(H3271,I3271,J3271)</f>
        <v>0</v>
      </c>
      <c r="H3271" s="88"/>
      <c r="I3271" s="88"/>
      <c r="J3271" s="78">
        <f>MAX(K3271:Q3271)</f>
        <v>0</v>
      </c>
      <c r="K3271" s="88"/>
      <c r="L3271" s="88"/>
      <c r="M3271" s="88"/>
      <c r="N3271" s="88"/>
      <c r="O3271" s="88"/>
      <c r="P3271" s="88"/>
      <c r="Q3271" s="88"/>
      <c r="R3271" s="78">
        <f>MAX(S3271:W3271)</f>
        <v>1</v>
      </c>
      <c r="S3271" s="88"/>
      <c r="T3271" s="88"/>
      <c r="U3271" s="88">
        <v>1</v>
      </c>
      <c r="V3271" s="88"/>
      <c r="W3271" s="88"/>
    </row>
    <row r="3272" spans="2:23" s="0" customFormat="0" ht="15">
      <c r="B3272" s="87" t="s">
        <v>1</v>
      </c>
      <c r="C3272" s="88" t="s">
        <v>5259</v>
      </c>
      <c r="D3272" s="88">
        <v>813975</v>
      </c>
      <c r="E3272" s="88" t="s">
        <v>61</v>
      </c>
      <c r="F3272" s="88">
        <v>0</v>
      </c>
      <c r="G3272" s="78">
        <f>MAX(H3272,I3272,J3272)</f>
        <v>1</v>
      </c>
      <c r="H3272" s="88"/>
      <c r="I3272" s="88"/>
      <c r="J3272" s="78">
        <f>MAX(K3272:Q3272)</f>
        <v>1</v>
      </c>
      <c r="K3272" s="88"/>
      <c r="L3272" s="88">
        <v>1</v>
      </c>
      <c r="M3272" s="88"/>
      <c r="N3272" s="88"/>
      <c r="O3272" s="88"/>
      <c r="P3272" s="88"/>
      <c r="Q3272" s="88"/>
      <c r="R3272" s="78">
        <f>MAX(S3272:W3272)</f>
        <v>0</v>
      </c>
      <c r="S3272" s="88"/>
      <c r="T3272" s="88"/>
      <c r="U3272" s="88"/>
      <c r="V3272" s="88"/>
      <c r="W3272" s="88"/>
    </row>
    <row r="3273" spans="2:23" s="0" customFormat="0" ht="15">
      <c r="B3273" s="87" t="s">
        <v>1</v>
      </c>
      <c r="C3273" s="88" t="s">
        <v>5259</v>
      </c>
      <c r="D3273" s="88">
        <v>7480978</v>
      </c>
      <c r="E3273" s="88" t="s">
        <v>61</v>
      </c>
      <c r="F3273" s="88">
        <v>0</v>
      </c>
      <c r="G3273" s="78">
        <f>MAX(H3273,I3273,J3273)</f>
        <v>1</v>
      </c>
      <c r="H3273" s="88"/>
      <c r="I3273" s="88"/>
      <c r="J3273" s="78">
        <f>MAX(K3273:Q3273)</f>
        <v>1</v>
      </c>
      <c r="K3273" s="88"/>
      <c r="L3273" s="88"/>
      <c r="M3273" s="88"/>
      <c r="N3273" s="88"/>
      <c r="O3273" s="88">
        <v>1</v>
      </c>
      <c r="P3273" s="88"/>
      <c r="Q3273" s="88"/>
      <c r="R3273" s="78">
        <f>MAX(S3273:W3273)</f>
        <v>0</v>
      </c>
      <c r="S3273" s="88"/>
      <c r="T3273" s="88"/>
      <c r="U3273" s="88"/>
      <c r="V3273" s="88"/>
      <c r="W3273" s="88"/>
    </row>
    <row r="3274" spans="2:23" s="0" customFormat="0" ht="15">
      <c r="B3274" s="87" t="s">
        <v>1</v>
      </c>
      <c r="C3274" s="88" t="s">
        <v>5259</v>
      </c>
      <c r="D3274" s="88" t="s">
        <v>2159</v>
      </c>
      <c r="E3274" s="88" t="s">
        <v>61</v>
      </c>
      <c r="F3274" s="88">
        <v>0</v>
      </c>
      <c r="G3274" s="78">
        <f>MAX(H3274,I3274,J3274)</f>
        <v>1</v>
      </c>
      <c r="H3274" s="88"/>
      <c r="I3274" s="88"/>
      <c r="J3274" s="78">
        <f>MAX(K3274:Q3274)</f>
        <v>1</v>
      </c>
      <c r="K3274" s="88">
        <v>1</v>
      </c>
      <c r="L3274" s="88"/>
      <c r="M3274" s="88"/>
      <c r="N3274" s="88"/>
      <c r="O3274" s="88"/>
      <c r="P3274" s="88"/>
      <c r="Q3274" s="88"/>
      <c r="R3274" s="78">
        <f>MAX(S3274:W3274)</f>
        <v>0</v>
      </c>
      <c r="S3274" s="88"/>
      <c r="T3274" s="88"/>
      <c r="U3274" s="88"/>
      <c r="V3274" s="88"/>
      <c r="W3274" s="88"/>
    </row>
    <row r="3275" spans="2:23" s="0" customFormat="0" ht="15">
      <c r="B3275" s="87" t="s">
        <v>1</v>
      </c>
      <c r="C3275" s="88" t="s">
        <v>5259</v>
      </c>
      <c r="D3275" s="88">
        <v>22554541</v>
      </c>
      <c r="E3275" s="88" t="s">
        <v>61</v>
      </c>
      <c r="F3275" s="88">
        <v>0</v>
      </c>
      <c r="G3275" s="78">
        <f>MAX(H3275,I3275,J3275)</f>
        <v>0</v>
      </c>
      <c r="H3275" s="88"/>
      <c r="I3275" s="88"/>
      <c r="J3275" s="78">
        <f>MAX(K3275:Q3275)</f>
        <v>0</v>
      </c>
      <c r="K3275" s="88"/>
      <c r="L3275" s="88"/>
      <c r="M3275" s="88"/>
      <c r="N3275" s="88"/>
      <c r="O3275" s="88"/>
      <c r="P3275" s="88"/>
      <c r="Q3275" s="88"/>
      <c r="R3275" s="78">
        <f>MAX(S3275:W3275)</f>
        <v>1</v>
      </c>
      <c r="S3275" s="88"/>
      <c r="T3275" s="88"/>
      <c r="U3275" s="88">
        <v>1</v>
      </c>
      <c r="V3275" s="88"/>
      <c r="W3275" s="88"/>
    </row>
    <row r="3276" spans="2:23" s="0" customFormat="0" ht="15">
      <c r="B3276" s="87" t="s">
        <v>1</v>
      </c>
      <c r="C3276" s="88" t="s">
        <v>5259</v>
      </c>
      <c r="D3276" s="88">
        <v>9118094</v>
      </c>
      <c r="E3276" s="88" t="s">
        <v>61</v>
      </c>
      <c r="F3276" s="88">
        <v>0</v>
      </c>
      <c r="G3276" s="78">
        <f>MAX(H3276,I3276,J3276)</f>
        <v>1</v>
      </c>
      <c r="H3276" s="88"/>
      <c r="I3276" s="88"/>
      <c r="J3276" s="78">
        <f>MAX(K3276:Q3276)</f>
        <v>1</v>
      </c>
      <c r="K3276" s="88">
        <v>1</v>
      </c>
      <c r="L3276" s="88"/>
      <c r="M3276" s="88"/>
      <c r="N3276" s="88"/>
      <c r="O3276" s="88"/>
      <c r="P3276" s="88"/>
      <c r="Q3276" s="88"/>
      <c r="R3276" s="78">
        <f>MAX(S3276:W3276)</f>
        <v>0</v>
      </c>
      <c r="S3276" s="88"/>
      <c r="T3276" s="88"/>
      <c r="U3276" s="88"/>
      <c r="V3276" s="88"/>
      <c r="W3276" s="88"/>
    </row>
    <row r="3277" spans="2:23" s="0" customFormat="0" ht="15">
      <c r="B3277" s="87" t="s">
        <v>1</v>
      </c>
      <c r="C3277" s="88" t="s">
        <v>5259</v>
      </c>
      <c r="D3277" s="88" t="s">
        <v>4685</v>
      </c>
      <c r="E3277" s="88" t="s">
        <v>61</v>
      </c>
      <c r="F3277" s="88">
        <v>0</v>
      </c>
      <c r="G3277" s="78">
        <f>MAX(H3277,I3277,J3277)</f>
        <v>0</v>
      </c>
      <c r="H3277" s="88"/>
      <c r="I3277" s="88"/>
      <c r="J3277" s="78">
        <f>MAX(K3277:Q3277)</f>
        <v>0</v>
      </c>
      <c r="K3277" s="88"/>
      <c r="L3277" s="88"/>
      <c r="M3277" s="88"/>
      <c r="N3277" s="88"/>
      <c r="O3277" s="88"/>
      <c r="P3277" s="88"/>
      <c r="Q3277" s="88"/>
      <c r="R3277" s="78">
        <f>MAX(S3277:W3277)</f>
        <v>1</v>
      </c>
      <c r="S3277" s="88"/>
      <c r="T3277" s="88"/>
      <c r="U3277" s="88">
        <v>1</v>
      </c>
      <c r="V3277" s="88"/>
      <c r="W3277" s="88"/>
    </row>
    <row r="3278" spans="2:23" s="0" customFormat="0" ht="15">
      <c r="B3278" s="87" t="s">
        <v>1</v>
      </c>
      <c r="C3278" s="88" t="s">
        <v>5259</v>
      </c>
      <c r="D3278" s="88">
        <v>22844752</v>
      </c>
      <c r="E3278" s="88" t="s">
        <v>61</v>
      </c>
      <c r="F3278" s="88">
        <v>0</v>
      </c>
      <c r="G3278" s="78">
        <f>MAX(H3278,I3278,J3278)</f>
        <v>1</v>
      </c>
      <c r="H3278" s="88"/>
      <c r="I3278" s="88"/>
      <c r="J3278" s="78">
        <f>MAX(K3278:Q3278)</f>
        <v>1</v>
      </c>
      <c r="K3278" s="88">
        <v>1</v>
      </c>
      <c r="L3278" s="88"/>
      <c r="M3278" s="88"/>
      <c r="N3278" s="88"/>
      <c r="O3278" s="88"/>
      <c r="P3278" s="88"/>
      <c r="Q3278" s="88"/>
      <c r="R3278" s="78">
        <f>MAX(S3278:W3278)</f>
        <v>0</v>
      </c>
      <c r="S3278" s="88"/>
      <c r="T3278" s="88"/>
      <c r="U3278" s="88"/>
      <c r="V3278" s="88"/>
      <c r="W3278" s="88"/>
    </row>
    <row r="3279" spans="2:23" s="0" customFormat="0" ht="15">
      <c r="B3279" s="87" t="s">
        <v>1</v>
      </c>
      <c r="C3279" s="88" t="s">
        <v>5259</v>
      </c>
      <c r="D3279" s="88" t="s">
        <v>2163</v>
      </c>
      <c r="E3279" s="88" t="s">
        <v>61</v>
      </c>
      <c r="F3279" s="88">
        <v>0</v>
      </c>
      <c r="G3279" s="78">
        <f>MAX(H3279,I3279,J3279)</f>
        <v>1</v>
      </c>
      <c r="H3279" s="88"/>
      <c r="I3279" s="88"/>
      <c r="J3279" s="78">
        <f>MAX(K3279:Q3279)</f>
        <v>1</v>
      </c>
      <c r="K3279" s="88">
        <v>1</v>
      </c>
      <c r="L3279" s="88"/>
      <c r="M3279" s="88"/>
      <c r="N3279" s="88"/>
      <c r="O3279" s="88"/>
      <c r="P3279" s="88"/>
      <c r="Q3279" s="88"/>
      <c r="R3279" s="78">
        <f>MAX(S3279:W3279)</f>
        <v>0</v>
      </c>
      <c r="S3279" s="88"/>
      <c r="T3279" s="88"/>
      <c r="U3279" s="88"/>
      <c r="V3279" s="88"/>
      <c r="W3279" s="88"/>
    </row>
    <row r="3280" spans="2:23" s="0" customFormat="0" ht="15">
      <c r="B3280" s="87" t="s">
        <v>1</v>
      </c>
      <c r="C3280" s="88" t="s">
        <v>5259</v>
      </c>
      <c r="D3280" s="88">
        <v>3853226</v>
      </c>
      <c r="E3280" s="88" t="s">
        <v>61</v>
      </c>
      <c r="F3280" s="88">
        <v>0</v>
      </c>
      <c r="G3280" s="78">
        <f>MAX(H3280,I3280,J3280)</f>
        <v>1</v>
      </c>
      <c r="H3280" s="88"/>
      <c r="I3280" s="88"/>
      <c r="J3280" s="78">
        <f>MAX(K3280:Q3280)</f>
        <v>1</v>
      </c>
      <c r="K3280" s="88">
        <v>1</v>
      </c>
      <c r="L3280" s="88"/>
      <c r="M3280" s="88"/>
      <c r="N3280" s="88"/>
      <c r="O3280" s="88"/>
      <c r="P3280" s="88"/>
      <c r="Q3280" s="88"/>
      <c r="R3280" s="78">
        <f>MAX(S3280:W3280)</f>
        <v>0</v>
      </c>
      <c r="S3280" s="88"/>
      <c r="T3280" s="88"/>
      <c r="U3280" s="88"/>
      <c r="V3280" s="88"/>
      <c r="W3280" s="88"/>
    </row>
    <row r="3281" spans="2:23" s="0" customFormat="0" ht="15">
      <c r="B3281" s="87" t="s">
        <v>1</v>
      </c>
      <c r="C3281" s="88" t="s">
        <v>5259</v>
      </c>
      <c r="D3281" s="88" t="s">
        <v>3587</v>
      </c>
      <c r="E3281" s="88" t="s">
        <v>61</v>
      </c>
      <c r="F3281" s="88">
        <v>0</v>
      </c>
      <c r="G3281" s="78">
        <f>MAX(H3281,I3281,J3281)</f>
        <v>0</v>
      </c>
      <c r="H3281" s="88"/>
      <c r="I3281" s="88"/>
      <c r="J3281" s="78">
        <f>MAX(K3281:Q3281)</f>
        <v>0</v>
      </c>
      <c r="K3281" s="88"/>
      <c r="L3281" s="88"/>
      <c r="M3281" s="88"/>
      <c r="N3281" s="88"/>
      <c r="O3281" s="88"/>
      <c r="P3281" s="88"/>
      <c r="Q3281" s="88"/>
      <c r="R3281" s="78">
        <f>MAX(S3281:W3281)</f>
        <v>1</v>
      </c>
      <c r="S3281" s="88"/>
      <c r="T3281" s="88"/>
      <c r="U3281" s="88">
        <v>1</v>
      </c>
      <c r="V3281" s="88"/>
      <c r="W3281" s="88"/>
    </row>
    <row r="3282" spans="2:23" s="0" customFormat="0" ht="15">
      <c r="B3282" s="87" t="s">
        <v>1</v>
      </c>
      <c r="C3282" s="88" t="s">
        <v>5259</v>
      </c>
      <c r="D3282" s="88">
        <v>22526410</v>
      </c>
      <c r="E3282" s="88" t="s">
        <v>61</v>
      </c>
      <c r="F3282" s="88">
        <v>0</v>
      </c>
      <c r="G3282" s="78">
        <f>MAX(H3282,I3282,J3282)</f>
        <v>1</v>
      </c>
      <c r="H3282" s="88"/>
      <c r="I3282" s="88"/>
      <c r="J3282" s="78">
        <f>MAX(K3282:Q3282)</f>
        <v>1</v>
      </c>
      <c r="K3282" s="88">
        <v>1</v>
      </c>
      <c r="L3282" s="88"/>
      <c r="M3282" s="88"/>
      <c r="N3282" s="88"/>
      <c r="O3282" s="88"/>
      <c r="P3282" s="88"/>
      <c r="Q3282" s="88"/>
      <c r="R3282" s="78">
        <f>MAX(S3282:W3282)</f>
        <v>0</v>
      </c>
      <c r="S3282" s="88"/>
      <c r="T3282" s="88"/>
      <c r="U3282" s="88"/>
      <c r="V3282" s="88"/>
      <c r="W3282" s="88"/>
    </row>
    <row r="3283" spans="2:23" s="0" customFormat="0" ht="15">
      <c r="B3283" s="87" t="s">
        <v>1</v>
      </c>
      <c r="C3283" s="88" t="s">
        <v>5259</v>
      </c>
      <c r="D3283" s="88" t="s">
        <v>4687</v>
      </c>
      <c r="E3283" s="88" t="s">
        <v>61</v>
      </c>
      <c r="F3283" s="88">
        <v>0</v>
      </c>
      <c r="G3283" s="78">
        <f>MAX(H3283,I3283,J3283)</f>
        <v>0</v>
      </c>
      <c r="H3283" s="88"/>
      <c r="I3283" s="88"/>
      <c r="J3283" s="78">
        <f>MAX(K3283:Q3283)</f>
        <v>0</v>
      </c>
      <c r="K3283" s="88"/>
      <c r="L3283" s="88"/>
      <c r="M3283" s="88"/>
      <c r="N3283" s="88"/>
      <c r="O3283" s="88"/>
      <c r="P3283" s="88"/>
      <c r="Q3283" s="88"/>
      <c r="R3283" s="78">
        <f>MAX(S3283:W3283)</f>
        <v>1</v>
      </c>
      <c r="S3283" s="88"/>
      <c r="T3283" s="88"/>
      <c r="U3283" s="88">
        <v>1</v>
      </c>
      <c r="V3283" s="88"/>
      <c r="W3283" s="88"/>
    </row>
    <row r="3284" spans="2:23" s="0" customFormat="0" ht="15">
      <c r="B3284" s="87" t="s">
        <v>1</v>
      </c>
      <c r="C3284" s="88" t="s">
        <v>5259</v>
      </c>
      <c r="D3284" s="88" t="s">
        <v>3715</v>
      </c>
      <c r="E3284" s="88" t="s">
        <v>61</v>
      </c>
      <c r="F3284" s="88">
        <v>0</v>
      </c>
      <c r="G3284" s="78">
        <f>MAX(H3284,I3284,J3284)</f>
        <v>0</v>
      </c>
      <c r="H3284" s="88"/>
      <c r="I3284" s="88"/>
      <c r="J3284" s="78">
        <f>MAX(K3284:Q3284)</f>
        <v>0</v>
      </c>
      <c r="K3284" s="88"/>
      <c r="L3284" s="88"/>
      <c r="M3284" s="88"/>
      <c r="N3284" s="88"/>
      <c r="O3284" s="88"/>
      <c r="P3284" s="88"/>
      <c r="Q3284" s="88"/>
      <c r="R3284" s="78">
        <f>MAX(S3284:W3284)</f>
        <v>1</v>
      </c>
      <c r="S3284" s="88"/>
      <c r="T3284" s="88"/>
      <c r="U3284" s="88">
        <v>1</v>
      </c>
      <c r="V3284" s="88"/>
      <c r="W3284" s="88"/>
    </row>
    <row r="3285" spans="2:23" s="0" customFormat="0" ht="15">
      <c r="B3285" s="87" t="s">
        <v>1</v>
      </c>
      <c r="C3285" s="88" t="s">
        <v>5259</v>
      </c>
      <c r="D3285" s="88" t="s">
        <v>4689</v>
      </c>
      <c r="E3285" s="88" t="s">
        <v>61</v>
      </c>
      <c r="F3285" s="88">
        <v>0</v>
      </c>
      <c r="G3285" s="78">
        <f>MAX(H3285,I3285,J3285)</f>
        <v>0</v>
      </c>
      <c r="H3285" s="88"/>
      <c r="I3285" s="88"/>
      <c r="J3285" s="78">
        <f>MAX(K3285:Q3285)</f>
        <v>0</v>
      </c>
      <c r="K3285" s="88"/>
      <c r="L3285" s="88"/>
      <c r="M3285" s="88"/>
      <c r="N3285" s="88"/>
      <c r="O3285" s="88"/>
      <c r="P3285" s="88"/>
      <c r="Q3285" s="88"/>
      <c r="R3285" s="78">
        <f>MAX(S3285:W3285)</f>
        <v>1</v>
      </c>
      <c r="S3285" s="88"/>
      <c r="T3285" s="88"/>
      <c r="U3285" s="88">
        <v>1</v>
      </c>
      <c r="V3285" s="88"/>
      <c r="W3285" s="88"/>
    </row>
    <row r="3286" spans="2:23" s="0" customFormat="0" ht="15">
      <c r="B3286" s="87" t="s">
        <v>1</v>
      </c>
      <c r="C3286" s="88" t="s">
        <v>5259</v>
      </c>
      <c r="D3286" s="88">
        <v>13442903</v>
      </c>
      <c r="E3286" s="88" t="s">
        <v>61</v>
      </c>
      <c r="F3286" s="88">
        <v>0</v>
      </c>
      <c r="G3286" s="78">
        <f>MAX(H3286,I3286,J3286)</f>
        <v>1</v>
      </c>
      <c r="H3286" s="88"/>
      <c r="I3286" s="88"/>
      <c r="J3286" s="78">
        <f>MAX(K3286:Q3286)</f>
        <v>1</v>
      </c>
      <c r="K3286" s="88">
        <v>1</v>
      </c>
      <c r="L3286" s="88"/>
      <c r="M3286" s="88"/>
      <c r="N3286" s="88"/>
      <c r="O3286" s="88"/>
      <c r="P3286" s="88"/>
      <c r="Q3286" s="88"/>
      <c r="R3286" s="78">
        <f>MAX(S3286:W3286)</f>
        <v>0</v>
      </c>
      <c r="S3286" s="88"/>
      <c r="T3286" s="88"/>
      <c r="U3286" s="88"/>
      <c r="V3286" s="88"/>
      <c r="W3286" s="88"/>
    </row>
    <row r="3287" spans="2:23" s="0" customFormat="0" ht="15">
      <c r="B3287" s="87" t="s">
        <v>1</v>
      </c>
      <c r="C3287" s="88" t="s">
        <v>5259</v>
      </c>
      <c r="D3287" s="88">
        <v>14935545</v>
      </c>
      <c r="E3287" s="88" t="s">
        <v>61</v>
      </c>
      <c r="F3287" s="88">
        <v>0</v>
      </c>
      <c r="G3287" s="78">
        <f>MAX(H3287,I3287,J3287)</f>
        <v>1</v>
      </c>
      <c r="H3287" s="88"/>
      <c r="I3287" s="88"/>
      <c r="J3287" s="78">
        <f>MAX(K3287:Q3287)</f>
        <v>1</v>
      </c>
      <c r="K3287" s="88">
        <v>1</v>
      </c>
      <c r="L3287" s="88"/>
      <c r="M3287" s="88"/>
      <c r="N3287" s="88"/>
      <c r="O3287" s="88"/>
      <c r="P3287" s="88"/>
      <c r="Q3287" s="88"/>
      <c r="R3287" s="78">
        <f>MAX(S3287:W3287)</f>
        <v>0</v>
      </c>
      <c r="S3287" s="88"/>
      <c r="T3287" s="88"/>
      <c r="U3287" s="88"/>
      <c r="V3287" s="88"/>
      <c r="W3287" s="88"/>
    </row>
    <row r="3288" spans="2:23" s="0" customFormat="0" ht="15">
      <c r="B3288" s="87" t="s">
        <v>1</v>
      </c>
      <c r="C3288" s="88" t="s">
        <v>5259</v>
      </c>
      <c r="D3288" s="88">
        <v>12287386</v>
      </c>
      <c r="E3288" s="88" t="s">
        <v>61</v>
      </c>
      <c r="F3288" s="88">
        <v>0</v>
      </c>
      <c r="G3288" s="78">
        <f>MAX(H3288,I3288,J3288)</f>
        <v>1</v>
      </c>
      <c r="H3288" s="88"/>
      <c r="I3288" s="88"/>
      <c r="J3288" s="78">
        <f>MAX(K3288:Q3288)</f>
        <v>1</v>
      </c>
      <c r="K3288" s="88">
        <v>1</v>
      </c>
      <c r="L3288" s="88"/>
      <c r="M3288" s="88"/>
      <c r="N3288" s="88"/>
      <c r="O3288" s="88"/>
      <c r="P3288" s="88"/>
      <c r="Q3288" s="88"/>
      <c r="R3288" s="78">
        <f>MAX(S3288:W3288)</f>
        <v>0</v>
      </c>
      <c r="S3288" s="88"/>
      <c r="T3288" s="88"/>
      <c r="U3288" s="88"/>
      <c r="V3288" s="88"/>
      <c r="W3288" s="88"/>
    </row>
    <row r="3289" spans="2:23" s="0" customFormat="0" ht="15">
      <c r="B3289" s="87" t="s">
        <v>1</v>
      </c>
      <c r="C3289" s="88" t="s">
        <v>5259</v>
      </c>
      <c r="D3289" s="88">
        <v>18702636</v>
      </c>
      <c r="E3289" s="88" t="s">
        <v>61</v>
      </c>
      <c r="F3289" s="88">
        <v>0</v>
      </c>
      <c r="G3289" s="78">
        <f>MAX(H3289,I3289,J3289)</f>
        <v>1</v>
      </c>
      <c r="H3289" s="88"/>
      <c r="I3289" s="88"/>
      <c r="J3289" s="78">
        <f>MAX(K3289:Q3289)</f>
        <v>1</v>
      </c>
      <c r="K3289" s="88">
        <v>1</v>
      </c>
      <c r="L3289" s="88"/>
      <c r="M3289" s="88"/>
      <c r="N3289" s="88"/>
      <c r="O3289" s="88"/>
      <c r="P3289" s="88"/>
      <c r="Q3289" s="88"/>
      <c r="R3289" s="78">
        <f>MAX(S3289:W3289)</f>
        <v>0</v>
      </c>
      <c r="S3289" s="88"/>
      <c r="T3289" s="88"/>
      <c r="U3289" s="88"/>
      <c r="V3289" s="88"/>
      <c r="W3289" s="88"/>
    </row>
    <row r="3290" spans="2:23" s="0" customFormat="0" ht="15">
      <c r="B3290" s="87" t="s">
        <v>1</v>
      </c>
      <c r="C3290" s="88" t="s">
        <v>5259</v>
      </c>
      <c r="D3290" s="88">
        <v>11114722</v>
      </c>
      <c r="E3290" s="88" t="s">
        <v>61</v>
      </c>
      <c r="F3290" s="88">
        <v>0</v>
      </c>
      <c r="G3290" s="78">
        <f>MAX(H3290,I3290,J3290)</f>
        <v>1</v>
      </c>
      <c r="H3290" s="88"/>
      <c r="I3290" s="88"/>
      <c r="J3290" s="78">
        <f>MAX(K3290:Q3290)</f>
        <v>1</v>
      </c>
      <c r="K3290" s="88">
        <v>1</v>
      </c>
      <c r="L3290" s="88"/>
      <c r="M3290" s="88"/>
      <c r="N3290" s="88"/>
      <c r="O3290" s="88"/>
      <c r="P3290" s="88"/>
      <c r="Q3290" s="88"/>
      <c r="R3290" s="78">
        <f>MAX(S3290:W3290)</f>
        <v>0</v>
      </c>
      <c r="S3290" s="88"/>
      <c r="T3290" s="88"/>
      <c r="U3290" s="88"/>
      <c r="V3290" s="88"/>
      <c r="W3290" s="88"/>
    </row>
    <row r="3291" spans="2:23" s="0" customFormat="0" ht="15">
      <c r="B3291" s="87" t="s">
        <v>1</v>
      </c>
      <c r="C3291" s="88" t="s">
        <v>5259</v>
      </c>
      <c r="D3291" s="88">
        <v>19863499</v>
      </c>
      <c r="E3291" s="88" t="s">
        <v>61</v>
      </c>
      <c r="F3291" s="88">
        <v>0</v>
      </c>
      <c r="G3291" s="78">
        <f>MAX(H3291,I3291,J3291)</f>
        <v>0</v>
      </c>
      <c r="H3291" s="88"/>
      <c r="I3291" s="88"/>
      <c r="J3291" s="78">
        <f>MAX(K3291:Q3291)</f>
        <v>0</v>
      </c>
      <c r="K3291" s="88"/>
      <c r="L3291" s="88"/>
      <c r="M3291" s="88"/>
      <c r="N3291" s="88"/>
      <c r="O3291" s="88"/>
      <c r="P3291" s="88"/>
      <c r="Q3291" s="88"/>
      <c r="R3291" s="78">
        <f>MAX(S3291:W3291)</f>
        <v>1</v>
      </c>
      <c r="S3291" s="88"/>
      <c r="T3291" s="88"/>
      <c r="U3291" s="88">
        <v>1</v>
      </c>
      <c r="V3291" s="88"/>
      <c r="W3291" s="88"/>
    </row>
    <row r="3292" spans="2:23" s="0" customFormat="0" ht="15">
      <c r="B3292" s="87" t="s">
        <v>1</v>
      </c>
      <c r="C3292" s="88" t="s">
        <v>5259</v>
      </c>
      <c r="D3292" s="88">
        <v>22554068</v>
      </c>
      <c r="E3292" s="88" t="s">
        <v>61</v>
      </c>
      <c r="F3292" s="88">
        <v>0</v>
      </c>
      <c r="G3292" s="78">
        <f>MAX(H3292,I3292,J3292)</f>
        <v>0</v>
      </c>
      <c r="H3292" s="88"/>
      <c r="I3292" s="88"/>
      <c r="J3292" s="78">
        <f>MAX(K3292:Q3292)</f>
        <v>0</v>
      </c>
      <c r="K3292" s="88"/>
      <c r="L3292" s="88"/>
      <c r="M3292" s="88"/>
      <c r="N3292" s="88"/>
      <c r="O3292" s="88"/>
      <c r="P3292" s="88"/>
      <c r="Q3292" s="88"/>
      <c r="R3292" s="78">
        <f>MAX(S3292:W3292)</f>
        <v>1</v>
      </c>
      <c r="S3292" s="88"/>
      <c r="T3292" s="88"/>
      <c r="U3292" s="88">
        <v>1</v>
      </c>
      <c r="V3292" s="88"/>
      <c r="W3292" s="88"/>
    </row>
    <row r="3293" spans="2:23" s="0" customFormat="0" ht="15">
      <c r="B3293" s="87" t="s">
        <v>1</v>
      </c>
      <c r="C3293" s="88" t="s">
        <v>5259</v>
      </c>
      <c r="D3293" s="88" t="s">
        <v>3440</v>
      </c>
      <c r="E3293" s="88" t="s">
        <v>61</v>
      </c>
      <c r="F3293" s="88">
        <v>0</v>
      </c>
      <c r="G3293" s="78">
        <f>MAX(H3293,I3293,J3293)</f>
        <v>0</v>
      </c>
      <c r="H3293" s="88"/>
      <c r="I3293" s="88"/>
      <c r="J3293" s="78">
        <f>MAX(K3293:Q3293)</f>
        <v>0</v>
      </c>
      <c r="K3293" s="88"/>
      <c r="L3293" s="88"/>
      <c r="M3293" s="88"/>
      <c r="N3293" s="88"/>
      <c r="O3293" s="88"/>
      <c r="P3293" s="88"/>
      <c r="Q3293" s="88"/>
      <c r="R3293" s="78">
        <f>MAX(S3293:W3293)</f>
        <v>1</v>
      </c>
      <c r="S3293" s="88"/>
      <c r="T3293" s="88"/>
      <c r="U3293" s="88">
        <v>1</v>
      </c>
      <c r="V3293" s="88"/>
      <c r="W3293" s="88"/>
    </row>
    <row r="3294" spans="2:23" s="0" customFormat="0" ht="15">
      <c r="B3294" s="87" t="s">
        <v>1</v>
      </c>
      <c r="C3294" s="88" t="s">
        <v>5259</v>
      </c>
      <c r="D3294" s="88" t="s">
        <v>3185</v>
      </c>
      <c r="E3294" s="88" t="s">
        <v>61</v>
      </c>
      <c r="F3294" s="88">
        <v>0</v>
      </c>
      <c r="G3294" s="78">
        <f>MAX(H3294,I3294,J3294)</f>
        <v>1</v>
      </c>
      <c r="H3294" s="88"/>
      <c r="I3294" s="88"/>
      <c r="J3294" s="78">
        <f>MAX(K3294:Q3294)</f>
        <v>1</v>
      </c>
      <c r="K3294" s="88"/>
      <c r="L3294" s="88"/>
      <c r="M3294" s="88"/>
      <c r="N3294" s="88"/>
      <c r="O3294" s="88"/>
      <c r="P3294" s="88"/>
      <c r="Q3294" s="88">
        <v>1</v>
      </c>
      <c r="R3294" s="78">
        <f>MAX(S3294:W3294)</f>
        <v>0</v>
      </c>
      <c r="S3294" s="88"/>
      <c r="T3294" s="88"/>
      <c r="U3294" s="88"/>
      <c r="V3294" s="88"/>
      <c r="W3294" s="88"/>
    </row>
    <row r="3295" spans="2:23" s="0" customFormat="0" ht="15">
      <c r="B3295" s="87" t="s">
        <v>1</v>
      </c>
      <c r="C3295" s="88" t="s">
        <v>5259</v>
      </c>
      <c r="D3295" s="88" t="s">
        <v>2169</v>
      </c>
      <c r="E3295" s="88" t="s">
        <v>61</v>
      </c>
      <c r="F3295" s="88">
        <v>0</v>
      </c>
      <c r="G3295" s="78">
        <f>MAX(H3295,I3295,J3295)</f>
        <v>1</v>
      </c>
      <c r="H3295" s="88"/>
      <c r="I3295" s="88"/>
      <c r="J3295" s="78">
        <f>MAX(K3295:Q3295)</f>
        <v>1</v>
      </c>
      <c r="K3295" s="88">
        <v>1</v>
      </c>
      <c r="L3295" s="88"/>
      <c r="M3295" s="88"/>
      <c r="N3295" s="88"/>
      <c r="O3295" s="88"/>
      <c r="P3295" s="88"/>
      <c r="Q3295" s="88"/>
      <c r="R3295" s="78">
        <f>MAX(S3295:W3295)</f>
        <v>0</v>
      </c>
      <c r="S3295" s="88"/>
      <c r="T3295" s="88"/>
      <c r="U3295" s="88"/>
      <c r="V3295" s="88"/>
      <c r="W3295" s="88"/>
    </row>
    <row r="3296" spans="2:23" s="0" customFormat="0" ht="15">
      <c r="B3296" s="87" t="s">
        <v>1</v>
      </c>
      <c r="C3296" s="88" t="s">
        <v>5259</v>
      </c>
      <c r="D3296" s="88" t="s">
        <v>3677</v>
      </c>
      <c r="E3296" s="88" t="s">
        <v>61</v>
      </c>
      <c r="F3296" s="88">
        <v>0</v>
      </c>
      <c r="G3296" s="78">
        <f>MAX(H3296,I3296,J3296)</f>
        <v>0</v>
      </c>
      <c r="H3296" s="88"/>
      <c r="I3296" s="88"/>
      <c r="J3296" s="78">
        <f>MAX(K3296:Q3296)</f>
        <v>0</v>
      </c>
      <c r="K3296" s="88"/>
      <c r="L3296" s="88"/>
      <c r="M3296" s="88"/>
      <c r="N3296" s="88"/>
      <c r="O3296" s="88"/>
      <c r="P3296" s="88"/>
      <c r="Q3296" s="88"/>
      <c r="R3296" s="78">
        <f>MAX(S3296:W3296)</f>
        <v>1</v>
      </c>
      <c r="S3296" s="88"/>
      <c r="T3296" s="88"/>
      <c r="U3296" s="88">
        <v>1</v>
      </c>
      <c r="V3296" s="88"/>
      <c r="W3296" s="88"/>
    </row>
    <row r="3297" spans="2:23" s="0" customFormat="0" ht="15">
      <c r="B3297" s="87" t="s">
        <v>1</v>
      </c>
      <c r="C3297" s="88" t="s">
        <v>5259</v>
      </c>
      <c r="D3297" s="88" t="s">
        <v>4692</v>
      </c>
      <c r="E3297" s="88" t="s">
        <v>61</v>
      </c>
      <c r="F3297" s="88">
        <v>0</v>
      </c>
      <c r="G3297" s="78">
        <f>MAX(H3297,I3297,J3297)</f>
        <v>0</v>
      </c>
      <c r="H3297" s="88"/>
      <c r="I3297" s="88"/>
      <c r="J3297" s="78">
        <f>MAX(K3297:Q3297)</f>
        <v>0</v>
      </c>
      <c r="K3297" s="88"/>
      <c r="L3297" s="88"/>
      <c r="M3297" s="88"/>
      <c r="N3297" s="88"/>
      <c r="O3297" s="88"/>
      <c r="P3297" s="88"/>
      <c r="Q3297" s="88"/>
      <c r="R3297" s="78">
        <f>MAX(S3297:W3297)</f>
        <v>1</v>
      </c>
      <c r="S3297" s="88"/>
      <c r="T3297" s="88"/>
      <c r="U3297" s="88">
        <v>1</v>
      </c>
      <c r="V3297" s="88"/>
      <c r="W3297" s="88"/>
    </row>
    <row r="3298" spans="2:23" s="0" customFormat="0" ht="15">
      <c r="B3298" s="87" t="s">
        <v>1</v>
      </c>
      <c r="C3298" s="88" t="s">
        <v>5259</v>
      </c>
      <c r="D3298" s="88" t="s">
        <v>3944</v>
      </c>
      <c r="E3298" s="88" t="s">
        <v>61</v>
      </c>
      <c r="F3298" s="88">
        <v>0</v>
      </c>
      <c r="G3298" s="78">
        <f>MAX(H3298,I3298,J3298)</f>
        <v>0</v>
      </c>
      <c r="H3298" s="88"/>
      <c r="I3298" s="88"/>
      <c r="J3298" s="78">
        <f>MAX(K3298:Q3298)</f>
        <v>0</v>
      </c>
      <c r="K3298" s="88"/>
      <c r="L3298" s="88"/>
      <c r="M3298" s="88"/>
      <c r="N3298" s="88"/>
      <c r="O3298" s="88"/>
      <c r="P3298" s="88"/>
      <c r="Q3298" s="88"/>
      <c r="R3298" s="78">
        <f>MAX(S3298:W3298)</f>
        <v>1</v>
      </c>
      <c r="S3298" s="88"/>
      <c r="T3298" s="88"/>
      <c r="U3298" s="88">
        <v>1</v>
      </c>
      <c r="V3298" s="88"/>
      <c r="W3298" s="88"/>
    </row>
    <row r="3299" spans="2:23" s="0" customFormat="0" ht="15">
      <c r="B3299" s="87" t="s">
        <v>1</v>
      </c>
      <c r="C3299" s="88" t="s">
        <v>5259</v>
      </c>
      <c r="D3299" s="88" t="s">
        <v>2171</v>
      </c>
      <c r="E3299" s="88" t="s">
        <v>61</v>
      </c>
      <c r="F3299" s="88">
        <v>0</v>
      </c>
      <c r="G3299" s="78">
        <f>MAX(H3299,I3299,J3299)</f>
        <v>1</v>
      </c>
      <c r="H3299" s="88"/>
      <c r="I3299" s="88"/>
      <c r="J3299" s="78">
        <f>MAX(K3299:Q3299)</f>
        <v>1</v>
      </c>
      <c r="K3299" s="88">
        <v>1</v>
      </c>
      <c r="L3299" s="88"/>
      <c r="M3299" s="88"/>
      <c r="N3299" s="88"/>
      <c r="O3299" s="88"/>
      <c r="P3299" s="88"/>
      <c r="Q3299" s="88"/>
      <c r="R3299" s="78">
        <f>MAX(S3299:W3299)</f>
        <v>0</v>
      </c>
      <c r="S3299" s="88"/>
      <c r="T3299" s="88"/>
      <c r="U3299" s="88"/>
      <c r="V3299" s="88"/>
      <c r="W3299" s="88"/>
    </row>
    <row r="3300" spans="2:23" s="0" customFormat="0" ht="15">
      <c r="B3300" s="87" t="s">
        <v>1</v>
      </c>
      <c r="C3300" s="88" t="s">
        <v>5259</v>
      </c>
      <c r="D3300" s="88" t="s">
        <v>466</v>
      </c>
      <c r="E3300" s="88" t="s">
        <v>61</v>
      </c>
      <c r="F3300" s="88">
        <v>0</v>
      </c>
      <c r="G3300" s="78">
        <f>MAX(H3300,I3300,J3300)</f>
        <v>1</v>
      </c>
      <c r="H3300" s="88"/>
      <c r="I3300" s="88"/>
      <c r="J3300" s="78">
        <f>MAX(K3300:Q3300)</f>
        <v>1</v>
      </c>
      <c r="K3300" s="88">
        <v>1</v>
      </c>
      <c r="L3300" s="88"/>
      <c r="M3300" s="88"/>
      <c r="N3300" s="88"/>
      <c r="O3300" s="88"/>
      <c r="P3300" s="88"/>
      <c r="Q3300" s="88"/>
      <c r="R3300" s="78">
        <f>MAX(S3300:W3300)</f>
        <v>0</v>
      </c>
      <c r="S3300" s="88"/>
      <c r="T3300" s="88"/>
      <c r="U3300" s="88"/>
      <c r="V3300" s="88"/>
      <c r="W3300" s="88"/>
    </row>
    <row r="3301" spans="2:23" s="0" customFormat="0" ht="15">
      <c r="B3301" s="87" t="s">
        <v>1</v>
      </c>
      <c r="C3301" s="88" t="s">
        <v>5259</v>
      </c>
      <c r="D3301" s="88">
        <v>21004748</v>
      </c>
      <c r="E3301" s="88" t="s">
        <v>61</v>
      </c>
      <c r="F3301" s="88">
        <v>0</v>
      </c>
      <c r="G3301" s="78">
        <f>MAX(H3301,I3301,J3301)</f>
        <v>1</v>
      </c>
      <c r="H3301" s="88"/>
      <c r="I3301" s="88"/>
      <c r="J3301" s="78">
        <f>MAX(K3301:Q3301)</f>
        <v>1</v>
      </c>
      <c r="K3301" s="88">
        <v>1</v>
      </c>
      <c r="L3301" s="88"/>
      <c r="M3301" s="88"/>
      <c r="N3301" s="88"/>
      <c r="O3301" s="88"/>
      <c r="P3301" s="88"/>
      <c r="Q3301" s="88"/>
      <c r="R3301" s="78">
        <f>MAX(S3301:W3301)</f>
        <v>0</v>
      </c>
      <c r="S3301" s="88"/>
      <c r="T3301" s="88"/>
      <c r="U3301" s="88"/>
      <c r="V3301" s="88"/>
      <c r="W3301" s="88"/>
    </row>
    <row r="3302" spans="2:23" s="0" customFormat="0" ht="15">
      <c r="B3302" s="87" t="s">
        <v>1</v>
      </c>
      <c r="C3302" s="88" t="s">
        <v>5259</v>
      </c>
      <c r="D3302" s="88">
        <v>18946098</v>
      </c>
      <c r="E3302" s="88" t="s">
        <v>61</v>
      </c>
      <c r="F3302" s="88">
        <v>0</v>
      </c>
      <c r="G3302" s="78">
        <f>MAX(H3302,I3302,J3302)</f>
        <v>1</v>
      </c>
      <c r="H3302" s="88"/>
      <c r="I3302" s="88"/>
      <c r="J3302" s="78">
        <f>MAX(K3302:Q3302)</f>
        <v>1</v>
      </c>
      <c r="K3302" s="88">
        <v>1</v>
      </c>
      <c r="L3302" s="88"/>
      <c r="M3302" s="88"/>
      <c r="N3302" s="88"/>
      <c r="O3302" s="88"/>
      <c r="P3302" s="88"/>
      <c r="Q3302" s="88"/>
      <c r="R3302" s="78">
        <f>MAX(S3302:W3302)</f>
        <v>0</v>
      </c>
      <c r="S3302" s="88"/>
      <c r="T3302" s="88"/>
      <c r="U3302" s="88"/>
      <c r="V3302" s="88"/>
      <c r="W3302" s="88"/>
    </row>
    <row r="3303" spans="2:23" s="0" customFormat="0" ht="15">
      <c r="B3303" s="87" t="s">
        <v>1</v>
      </c>
      <c r="C3303" s="88" t="s">
        <v>5259</v>
      </c>
      <c r="D3303" s="88">
        <v>20791397</v>
      </c>
      <c r="E3303" s="88" t="s">
        <v>61</v>
      </c>
      <c r="F3303" s="88">
        <v>0</v>
      </c>
      <c r="G3303" s="78">
        <f>MAX(H3303,I3303,J3303)</f>
        <v>1</v>
      </c>
      <c r="H3303" s="88"/>
      <c r="I3303" s="88"/>
      <c r="J3303" s="78">
        <f>MAX(K3303:Q3303)</f>
        <v>1</v>
      </c>
      <c r="K3303" s="88">
        <v>1</v>
      </c>
      <c r="L3303" s="88"/>
      <c r="M3303" s="88"/>
      <c r="N3303" s="88"/>
      <c r="O3303" s="88"/>
      <c r="P3303" s="88"/>
      <c r="Q3303" s="88"/>
      <c r="R3303" s="78">
        <f>MAX(S3303:W3303)</f>
        <v>0</v>
      </c>
      <c r="S3303" s="88"/>
      <c r="T3303" s="88"/>
      <c r="U3303" s="88"/>
      <c r="V3303" s="88"/>
      <c r="W3303" s="88"/>
    </row>
    <row r="3304" spans="2:23" s="0" customFormat="0" ht="15">
      <c r="B3304" s="87" t="s">
        <v>1</v>
      </c>
      <c r="C3304" s="88" t="s">
        <v>5259</v>
      </c>
      <c r="D3304" s="88">
        <v>18942811</v>
      </c>
      <c r="E3304" s="88" t="s">
        <v>61</v>
      </c>
      <c r="F3304" s="88">
        <v>0</v>
      </c>
      <c r="G3304" s="78">
        <f>MAX(H3304,I3304,J3304)</f>
        <v>1</v>
      </c>
      <c r="H3304" s="88"/>
      <c r="I3304" s="88"/>
      <c r="J3304" s="78">
        <f>MAX(K3304:Q3304)</f>
        <v>1</v>
      </c>
      <c r="K3304" s="88">
        <v>1</v>
      </c>
      <c r="L3304" s="88"/>
      <c r="M3304" s="88"/>
      <c r="N3304" s="88"/>
      <c r="O3304" s="88"/>
      <c r="P3304" s="88"/>
      <c r="Q3304" s="88"/>
      <c r="R3304" s="78">
        <f>MAX(S3304:W3304)</f>
        <v>0</v>
      </c>
      <c r="S3304" s="88"/>
      <c r="T3304" s="88"/>
      <c r="U3304" s="88"/>
      <c r="V3304" s="88"/>
      <c r="W3304" s="88"/>
    </row>
    <row r="3305" spans="2:23" s="0" customFormat="0" ht="15">
      <c r="B3305" s="87" t="s">
        <v>1</v>
      </c>
      <c r="C3305" s="88" t="s">
        <v>5259</v>
      </c>
      <c r="D3305" s="88">
        <v>16974605</v>
      </c>
      <c r="E3305" s="88" t="s">
        <v>61</v>
      </c>
      <c r="F3305" s="88">
        <v>0</v>
      </c>
      <c r="G3305" s="78">
        <f>MAX(H3305,I3305,J3305)</f>
        <v>0</v>
      </c>
      <c r="H3305" s="88"/>
      <c r="I3305" s="88"/>
      <c r="J3305" s="78">
        <f>MAX(K3305:Q3305)</f>
        <v>0</v>
      </c>
      <c r="K3305" s="88"/>
      <c r="L3305" s="88"/>
      <c r="M3305" s="88"/>
      <c r="N3305" s="88"/>
      <c r="O3305" s="88"/>
      <c r="P3305" s="88"/>
      <c r="Q3305" s="88"/>
      <c r="R3305" s="78">
        <f>MAX(S3305:W3305)</f>
        <v>1</v>
      </c>
      <c r="S3305" s="88"/>
      <c r="T3305" s="88"/>
      <c r="U3305" s="88">
        <v>1</v>
      </c>
      <c r="V3305" s="88"/>
      <c r="W3305" s="88"/>
    </row>
    <row r="3306" spans="2:23" s="0" customFormat="0" ht="15">
      <c r="B3306" s="87" t="s">
        <v>1</v>
      </c>
      <c r="C3306" s="88" t="s">
        <v>5259</v>
      </c>
      <c r="D3306" s="88">
        <v>12402492</v>
      </c>
      <c r="E3306" s="88" t="s">
        <v>61</v>
      </c>
      <c r="F3306" s="88">
        <v>0</v>
      </c>
      <c r="G3306" s="78">
        <f>MAX(H3306,I3306,J3306)</f>
        <v>1</v>
      </c>
      <c r="H3306" s="88"/>
      <c r="I3306" s="88"/>
      <c r="J3306" s="78">
        <f>MAX(K3306:Q3306)</f>
        <v>1</v>
      </c>
      <c r="K3306" s="88">
        <v>1</v>
      </c>
      <c r="L3306" s="88"/>
      <c r="M3306" s="88"/>
      <c r="N3306" s="88"/>
      <c r="O3306" s="88"/>
      <c r="P3306" s="88"/>
      <c r="Q3306" s="88"/>
      <c r="R3306" s="78">
        <f>MAX(S3306:W3306)</f>
        <v>0</v>
      </c>
      <c r="S3306" s="88"/>
      <c r="T3306" s="88"/>
      <c r="U3306" s="88"/>
      <c r="V3306" s="88"/>
      <c r="W3306" s="88"/>
    </row>
    <row r="3307" spans="2:23" s="0" customFormat="0" ht="15">
      <c r="B3307" s="87" t="s">
        <v>1</v>
      </c>
      <c r="C3307" s="88" t="s">
        <v>5259</v>
      </c>
      <c r="D3307" s="88">
        <v>14257093</v>
      </c>
      <c r="E3307" s="88" t="s">
        <v>61</v>
      </c>
      <c r="F3307" s="88">
        <v>0</v>
      </c>
      <c r="G3307" s="78">
        <f>MAX(H3307,I3307,J3307)</f>
        <v>1</v>
      </c>
      <c r="H3307" s="88"/>
      <c r="I3307" s="88"/>
      <c r="J3307" s="78">
        <f>MAX(K3307:Q3307)</f>
        <v>1</v>
      </c>
      <c r="K3307" s="88">
        <v>1</v>
      </c>
      <c r="L3307" s="88"/>
      <c r="M3307" s="88"/>
      <c r="N3307" s="88"/>
      <c r="O3307" s="88"/>
      <c r="P3307" s="88"/>
      <c r="Q3307" s="88"/>
      <c r="R3307" s="78">
        <f>MAX(S3307:W3307)</f>
        <v>0</v>
      </c>
      <c r="S3307" s="88"/>
      <c r="T3307" s="88"/>
      <c r="U3307" s="88"/>
      <c r="V3307" s="88"/>
      <c r="W3307" s="88"/>
    </row>
    <row r="3308" spans="2:23" s="0" customFormat="0" ht="15">
      <c r="B3308" s="87" t="s">
        <v>1</v>
      </c>
      <c r="C3308" s="88" t="s">
        <v>5259</v>
      </c>
      <c r="D3308" s="88">
        <v>17561182</v>
      </c>
      <c r="E3308" s="88" t="s">
        <v>61</v>
      </c>
      <c r="F3308" s="88">
        <v>0</v>
      </c>
      <c r="G3308" s="78">
        <f>MAX(H3308,I3308,J3308)</f>
        <v>1</v>
      </c>
      <c r="H3308" s="88"/>
      <c r="I3308" s="88"/>
      <c r="J3308" s="78">
        <f>MAX(K3308:Q3308)</f>
        <v>1</v>
      </c>
      <c r="K3308" s="88">
        <v>1</v>
      </c>
      <c r="L3308" s="88"/>
      <c r="M3308" s="88"/>
      <c r="N3308" s="88"/>
      <c r="O3308" s="88"/>
      <c r="P3308" s="88"/>
      <c r="Q3308" s="88"/>
      <c r="R3308" s="78">
        <f>MAX(S3308:W3308)</f>
        <v>0</v>
      </c>
      <c r="S3308" s="88"/>
      <c r="T3308" s="88"/>
      <c r="U3308" s="88"/>
      <c r="V3308" s="88"/>
      <c r="W3308" s="88"/>
    </row>
    <row r="3309" spans="2:23" s="0" customFormat="0" ht="15">
      <c r="B3309" s="87" t="s">
        <v>1</v>
      </c>
      <c r="C3309" s="88" t="s">
        <v>5259</v>
      </c>
      <c r="D3309" s="88">
        <v>4184780</v>
      </c>
      <c r="E3309" s="88" t="s">
        <v>61</v>
      </c>
      <c r="F3309" s="88">
        <v>0</v>
      </c>
      <c r="G3309" s="78">
        <f>MAX(H3309,I3309,J3309)</f>
        <v>1</v>
      </c>
      <c r="H3309" s="88"/>
      <c r="I3309" s="88"/>
      <c r="J3309" s="78">
        <f>MAX(K3309:Q3309)</f>
        <v>1</v>
      </c>
      <c r="K3309" s="88">
        <v>1</v>
      </c>
      <c r="L3309" s="88"/>
      <c r="M3309" s="88"/>
      <c r="N3309" s="88"/>
      <c r="O3309" s="88"/>
      <c r="P3309" s="88"/>
      <c r="Q3309" s="88"/>
      <c r="R3309" s="78">
        <f>MAX(S3309:W3309)</f>
        <v>0</v>
      </c>
      <c r="S3309" s="88"/>
      <c r="T3309" s="88"/>
      <c r="U3309" s="88"/>
      <c r="V3309" s="88"/>
      <c r="W3309" s="88"/>
    </row>
    <row r="3310" spans="2:23" s="0" customFormat="0" ht="15">
      <c r="B3310" s="87" t="s">
        <v>1</v>
      </c>
      <c r="C3310" s="88" t="s">
        <v>5259</v>
      </c>
      <c r="D3310" s="88">
        <v>19791091</v>
      </c>
      <c r="E3310" s="88" t="s">
        <v>61</v>
      </c>
      <c r="F3310" s="88">
        <v>0</v>
      </c>
      <c r="G3310" s="78">
        <f>MAX(H3310,I3310,J3310)</f>
        <v>1</v>
      </c>
      <c r="H3310" s="88"/>
      <c r="I3310" s="88"/>
      <c r="J3310" s="78">
        <f>MAX(K3310:Q3310)</f>
        <v>1</v>
      </c>
      <c r="K3310" s="88">
        <v>1</v>
      </c>
      <c r="L3310" s="88"/>
      <c r="M3310" s="88"/>
      <c r="N3310" s="88"/>
      <c r="O3310" s="88"/>
      <c r="P3310" s="88"/>
      <c r="Q3310" s="88"/>
      <c r="R3310" s="78">
        <f>MAX(S3310:W3310)</f>
        <v>0</v>
      </c>
      <c r="S3310" s="88"/>
      <c r="T3310" s="88"/>
      <c r="U3310" s="88"/>
      <c r="V3310" s="88"/>
      <c r="W3310" s="88"/>
    </row>
    <row r="3311" spans="2:23" s="0" customFormat="0" ht="15">
      <c r="B3311" s="87" t="s">
        <v>1</v>
      </c>
      <c r="C3311" s="88" t="s">
        <v>5259</v>
      </c>
      <c r="D3311" s="88">
        <v>22859854</v>
      </c>
      <c r="E3311" s="88" t="s">
        <v>61</v>
      </c>
      <c r="F3311" s="88">
        <v>0</v>
      </c>
      <c r="G3311" s="78">
        <f>MAX(H3311,I3311,J3311)</f>
        <v>1</v>
      </c>
      <c r="H3311" s="88"/>
      <c r="I3311" s="88"/>
      <c r="J3311" s="78">
        <f>MAX(K3311:Q3311)</f>
        <v>1</v>
      </c>
      <c r="K3311" s="88">
        <v>1</v>
      </c>
      <c r="L3311" s="88"/>
      <c r="M3311" s="88"/>
      <c r="N3311" s="88"/>
      <c r="O3311" s="88"/>
      <c r="P3311" s="88"/>
      <c r="Q3311" s="88"/>
      <c r="R3311" s="78">
        <f>MAX(S3311:W3311)</f>
        <v>0</v>
      </c>
      <c r="S3311" s="88"/>
      <c r="T3311" s="88"/>
      <c r="U3311" s="88"/>
      <c r="V3311" s="88"/>
      <c r="W3311" s="88"/>
    </row>
    <row r="3312" spans="2:23" s="0" customFormat="0" ht="15">
      <c r="B3312" s="87" t="s">
        <v>1</v>
      </c>
      <c r="C3312" s="88" t="s">
        <v>5259</v>
      </c>
      <c r="D3312" s="88">
        <v>17055915</v>
      </c>
      <c r="E3312" s="88" t="s">
        <v>61</v>
      </c>
      <c r="F3312" s="88">
        <v>0</v>
      </c>
      <c r="G3312" s="78">
        <f>MAX(H3312,I3312,J3312)</f>
        <v>1</v>
      </c>
      <c r="H3312" s="88"/>
      <c r="I3312" s="88"/>
      <c r="J3312" s="78">
        <f>MAX(K3312:Q3312)</f>
        <v>1</v>
      </c>
      <c r="K3312" s="88">
        <v>1</v>
      </c>
      <c r="L3312" s="88"/>
      <c r="M3312" s="88"/>
      <c r="N3312" s="88"/>
      <c r="O3312" s="88"/>
      <c r="P3312" s="88"/>
      <c r="Q3312" s="88"/>
      <c r="R3312" s="78">
        <f>MAX(S3312:W3312)</f>
        <v>0</v>
      </c>
      <c r="S3312" s="88"/>
      <c r="T3312" s="88"/>
      <c r="U3312" s="88"/>
      <c r="V3312" s="88"/>
      <c r="W3312" s="88"/>
    </row>
    <row r="3313" spans="2:23" s="0" customFormat="0" ht="15">
      <c r="B3313" s="87" t="s">
        <v>1</v>
      </c>
      <c r="C3313" s="88" t="s">
        <v>5259</v>
      </c>
      <c r="D3313" s="88">
        <v>24423129</v>
      </c>
      <c r="E3313" s="88" t="s">
        <v>61</v>
      </c>
      <c r="F3313" s="88">
        <v>0</v>
      </c>
      <c r="G3313" s="78">
        <f>MAX(H3313,I3313,J3313)</f>
        <v>1</v>
      </c>
      <c r="H3313" s="88"/>
      <c r="I3313" s="88"/>
      <c r="J3313" s="78">
        <f>MAX(K3313:Q3313)</f>
        <v>1</v>
      </c>
      <c r="K3313" s="88">
        <v>1</v>
      </c>
      <c r="L3313" s="88"/>
      <c r="M3313" s="88"/>
      <c r="N3313" s="88"/>
      <c r="O3313" s="88"/>
      <c r="P3313" s="88"/>
      <c r="Q3313" s="88"/>
      <c r="R3313" s="78">
        <f>MAX(S3313:W3313)</f>
        <v>0</v>
      </c>
      <c r="S3313" s="88"/>
      <c r="T3313" s="88"/>
      <c r="U3313" s="88"/>
      <c r="V3313" s="88"/>
      <c r="W3313" s="88"/>
    </row>
    <row r="3314" spans="2:23" s="0" customFormat="0" ht="15">
      <c r="B3314" s="87" t="s">
        <v>1</v>
      </c>
      <c r="C3314" s="88" t="s">
        <v>5259</v>
      </c>
      <c r="D3314" s="88">
        <v>14826305</v>
      </c>
      <c r="E3314" s="88" t="s">
        <v>61</v>
      </c>
      <c r="F3314" s="88">
        <v>0</v>
      </c>
      <c r="G3314" s="78">
        <f>MAX(H3314,I3314,J3314)</f>
        <v>1</v>
      </c>
      <c r="H3314" s="88"/>
      <c r="I3314" s="88"/>
      <c r="J3314" s="78">
        <f>MAX(K3314:Q3314)</f>
        <v>1</v>
      </c>
      <c r="K3314" s="88">
        <v>1</v>
      </c>
      <c r="L3314" s="88"/>
      <c r="M3314" s="88"/>
      <c r="N3314" s="88"/>
      <c r="O3314" s="88"/>
      <c r="P3314" s="88"/>
      <c r="Q3314" s="88"/>
      <c r="R3314" s="78">
        <f>MAX(S3314:W3314)</f>
        <v>0</v>
      </c>
      <c r="S3314" s="88"/>
      <c r="T3314" s="88"/>
      <c r="U3314" s="88"/>
      <c r="V3314" s="88"/>
      <c r="W3314" s="88"/>
    </row>
    <row r="3315" spans="2:23" s="0" customFormat="0" ht="15">
      <c r="B3315" s="87" t="s">
        <v>1</v>
      </c>
      <c r="C3315" s="88" t="s">
        <v>5259</v>
      </c>
      <c r="D3315" s="88">
        <v>18960229</v>
      </c>
      <c r="E3315" s="88" t="s">
        <v>61</v>
      </c>
      <c r="F3315" s="88">
        <v>0</v>
      </c>
      <c r="G3315" s="78">
        <f>MAX(H3315,I3315,J3315)</f>
        <v>1</v>
      </c>
      <c r="H3315" s="88"/>
      <c r="I3315" s="88"/>
      <c r="J3315" s="78">
        <f>MAX(K3315:Q3315)</f>
        <v>1</v>
      </c>
      <c r="K3315" s="88">
        <v>1</v>
      </c>
      <c r="L3315" s="88"/>
      <c r="M3315" s="88"/>
      <c r="N3315" s="88"/>
      <c r="O3315" s="88"/>
      <c r="P3315" s="88"/>
      <c r="Q3315" s="88"/>
      <c r="R3315" s="78">
        <f>MAX(S3315:W3315)</f>
        <v>0</v>
      </c>
      <c r="S3315" s="88"/>
      <c r="T3315" s="88"/>
      <c r="U3315" s="88"/>
      <c r="V3315" s="88"/>
      <c r="W3315" s="88"/>
    </row>
    <row r="3316" spans="2:23" s="0" customFormat="0" ht="15">
      <c r="B3316" s="87" t="s">
        <v>1</v>
      </c>
      <c r="C3316" s="88" t="s">
        <v>5259</v>
      </c>
      <c r="D3316" s="88">
        <v>15742343</v>
      </c>
      <c r="E3316" s="88" t="s">
        <v>61</v>
      </c>
      <c r="F3316" s="88">
        <v>0</v>
      </c>
      <c r="G3316" s="78">
        <f>MAX(H3316,I3316,J3316)</f>
        <v>1</v>
      </c>
      <c r="H3316" s="88"/>
      <c r="I3316" s="88"/>
      <c r="J3316" s="78">
        <f>MAX(K3316:Q3316)</f>
        <v>1</v>
      </c>
      <c r="K3316" s="88">
        <v>1</v>
      </c>
      <c r="L3316" s="88"/>
      <c r="M3316" s="88"/>
      <c r="N3316" s="88"/>
      <c r="O3316" s="88"/>
      <c r="P3316" s="88"/>
      <c r="Q3316" s="88"/>
      <c r="R3316" s="78">
        <f>MAX(S3316:W3316)</f>
        <v>0</v>
      </c>
      <c r="S3316" s="88"/>
      <c r="T3316" s="88"/>
      <c r="U3316" s="88"/>
      <c r="V3316" s="88"/>
      <c r="W3316" s="88"/>
    </row>
    <row r="3317" spans="2:23" s="0" customFormat="0" ht="15">
      <c r="B3317" s="87" t="s">
        <v>1</v>
      </c>
      <c r="C3317" s="88" t="s">
        <v>5259</v>
      </c>
      <c r="D3317" s="88">
        <v>13162985</v>
      </c>
      <c r="E3317" s="88" t="s">
        <v>61</v>
      </c>
      <c r="F3317" s="88">
        <v>0</v>
      </c>
      <c r="G3317" s="78">
        <f>MAX(H3317,I3317,J3317)</f>
        <v>1</v>
      </c>
      <c r="H3317" s="88"/>
      <c r="I3317" s="88"/>
      <c r="J3317" s="78">
        <f>MAX(K3317:Q3317)</f>
        <v>1</v>
      </c>
      <c r="K3317" s="88">
        <v>1</v>
      </c>
      <c r="L3317" s="88"/>
      <c r="M3317" s="88"/>
      <c r="N3317" s="88"/>
      <c r="O3317" s="88"/>
      <c r="P3317" s="88"/>
      <c r="Q3317" s="88"/>
      <c r="R3317" s="78">
        <f>MAX(S3317:W3317)</f>
        <v>0</v>
      </c>
      <c r="S3317" s="88"/>
      <c r="T3317" s="88"/>
      <c r="U3317" s="88"/>
      <c r="V3317" s="88"/>
      <c r="W3317" s="88"/>
    </row>
    <row r="3318" spans="2:23" s="0" customFormat="0" ht="15">
      <c r="B3318" s="87" t="s">
        <v>1</v>
      </c>
      <c r="C3318" s="88" t="s">
        <v>5259</v>
      </c>
      <c r="D3318" s="88">
        <v>14689143</v>
      </c>
      <c r="E3318" s="88" t="s">
        <v>61</v>
      </c>
      <c r="F3318" s="88">
        <v>0</v>
      </c>
      <c r="G3318" s="78">
        <f>MAX(H3318,I3318,J3318)</f>
        <v>1</v>
      </c>
      <c r="H3318" s="88"/>
      <c r="I3318" s="88"/>
      <c r="J3318" s="78">
        <f>MAX(K3318:Q3318)</f>
        <v>1</v>
      </c>
      <c r="K3318" s="88">
        <v>1</v>
      </c>
      <c r="L3318" s="88"/>
      <c r="M3318" s="88"/>
      <c r="N3318" s="88"/>
      <c r="O3318" s="88"/>
      <c r="P3318" s="88"/>
      <c r="Q3318" s="88"/>
      <c r="R3318" s="78">
        <f>MAX(S3318:W3318)</f>
        <v>0</v>
      </c>
      <c r="S3318" s="88"/>
      <c r="T3318" s="88"/>
      <c r="U3318" s="88"/>
      <c r="V3318" s="88"/>
      <c r="W3318" s="88"/>
    </row>
    <row r="3319" spans="2:23" s="0" customFormat="0" ht="15">
      <c r="B3319" s="87" t="s">
        <v>1</v>
      </c>
      <c r="C3319" s="88" t="s">
        <v>5259</v>
      </c>
      <c r="D3319" s="88">
        <v>20244089</v>
      </c>
      <c r="E3319" s="88" t="s">
        <v>61</v>
      </c>
      <c r="F3319" s="88">
        <v>0</v>
      </c>
      <c r="G3319" s="78">
        <f>MAX(H3319,I3319,J3319)</f>
        <v>1</v>
      </c>
      <c r="H3319" s="88"/>
      <c r="I3319" s="88"/>
      <c r="J3319" s="78">
        <f>MAX(K3319:Q3319)</f>
        <v>1</v>
      </c>
      <c r="K3319" s="88">
        <v>1</v>
      </c>
      <c r="L3319" s="88"/>
      <c r="M3319" s="88"/>
      <c r="N3319" s="88"/>
      <c r="O3319" s="88"/>
      <c r="P3319" s="88"/>
      <c r="Q3319" s="88"/>
      <c r="R3319" s="78">
        <f>MAX(S3319:W3319)</f>
        <v>0</v>
      </c>
      <c r="S3319" s="88"/>
      <c r="T3319" s="88"/>
      <c r="U3319" s="88"/>
      <c r="V3319" s="88"/>
      <c r="W3319" s="88"/>
    </row>
    <row r="3320" spans="2:23" s="0" customFormat="0" ht="15">
      <c r="B3320" s="87" t="s">
        <v>1</v>
      </c>
      <c r="C3320" s="88" t="s">
        <v>5259</v>
      </c>
      <c r="D3320" s="88" t="s">
        <v>2180</v>
      </c>
      <c r="E3320" s="88" t="s">
        <v>61</v>
      </c>
      <c r="F3320" s="88">
        <v>0</v>
      </c>
      <c r="G3320" s="78">
        <f>MAX(H3320,I3320,J3320)</f>
        <v>1</v>
      </c>
      <c r="H3320" s="88"/>
      <c r="I3320" s="88"/>
      <c r="J3320" s="78">
        <f>MAX(K3320:Q3320)</f>
        <v>1</v>
      </c>
      <c r="K3320" s="88">
        <v>1</v>
      </c>
      <c r="L3320" s="88"/>
      <c r="M3320" s="88"/>
      <c r="N3320" s="88"/>
      <c r="O3320" s="88"/>
      <c r="P3320" s="88"/>
      <c r="Q3320" s="88"/>
      <c r="R3320" s="78">
        <f>MAX(S3320:W3320)</f>
        <v>0</v>
      </c>
      <c r="S3320" s="88"/>
      <c r="T3320" s="88"/>
      <c r="U3320" s="88"/>
      <c r="V3320" s="88"/>
      <c r="W3320" s="88"/>
    </row>
    <row r="3321" spans="2:23" s="0" customFormat="0" ht="15">
      <c r="B3321" s="87" t="s">
        <v>1</v>
      </c>
      <c r="C3321" s="88" t="s">
        <v>5259</v>
      </c>
      <c r="D3321" s="88" t="s">
        <v>4695</v>
      </c>
      <c r="E3321" s="88" t="s">
        <v>61</v>
      </c>
      <c r="F3321" s="88">
        <v>0</v>
      </c>
      <c r="G3321" s="78">
        <f>MAX(H3321,I3321,J3321)</f>
        <v>0</v>
      </c>
      <c r="H3321" s="88"/>
      <c r="I3321" s="88"/>
      <c r="J3321" s="78">
        <f>MAX(K3321:Q3321)</f>
        <v>0</v>
      </c>
      <c r="K3321" s="88"/>
      <c r="L3321" s="88"/>
      <c r="M3321" s="88"/>
      <c r="N3321" s="88"/>
      <c r="O3321" s="88"/>
      <c r="P3321" s="88"/>
      <c r="Q3321" s="88"/>
      <c r="R3321" s="78">
        <f>MAX(S3321:W3321)</f>
        <v>1</v>
      </c>
      <c r="S3321" s="88"/>
      <c r="T3321" s="88"/>
      <c r="U3321" s="88">
        <v>1</v>
      </c>
      <c r="V3321" s="88"/>
      <c r="W3321" s="88"/>
    </row>
    <row r="3322" spans="2:23" s="0" customFormat="0" ht="15">
      <c r="B3322" s="87" t="s">
        <v>1</v>
      </c>
      <c r="C3322" s="88" t="s">
        <v>5259</v>
      </c>
      <c r="D3322" s="88" t="s">
        <v>3447</v>
      </c>
      <c r="E3322" s="88" t="s">
        <v>61</v>
      </c>
      <c r="F3322" s="88">
        <v>0</v>
      </c>
      <c r="G3322" s="78">
        <f>MAX(H3322,I3322,J3322)</f>
        <v>0</v>
      </c>
      <c r="H3322" s="88"/>
      <c r="I3322" s="88"/>
      <c r="J3322" s="78">
        <f>MAX(K3322:Q3322)</f>
        <v>0</v>
      </c>
      <c r="K3322" s="88"/>
      <c r="L3322" s="88"/>
      <c r="M3322" s="88"/>
      <c r="N3322" s="88"/>
      <c r="O3322" s="88"/>
      <c r="P3322" s="88"/>
      <c r="Q3322" s="88"/>
      <c r="R3322" s="78">
        <f>MAX(S3322:W3322)</f>
        <v>1</v>
      </c>
      <c r="S3322" s="88"/>
      <c r="T3322" s="88"/>
      <c r="U3322" s="88">
        <v>1</v>
      </c>
      <c r="V3322" s="88"/>
      <c r="W3322" s="88"/>
    </row>
    <row r="3323" spans="2:23" s="0" customFormat="0" ht="15">
      <c r="B3323" s="87" t="s">
        <v>1</v>
      </c>
      <c r="C3323" s="88" t="s">
        <v>5259</v>
      </c>
      <c r="D3323" s="88" t="s">
        <v>2182</v>
      </c>
      <c r="E3323" s="88" t="s">
        <v>61</v>
      </c>
      <c r="F3323" s="88">
        <v>0</v>
      </c>
      <c r="G3323" s="78">
        <f>MAX(H3323,I3323,J3323)</f>
        <v>1</v>
      </c>
      <c r="H3323" s="88"/>
      <c r="I3323" s="88"/>
      <c r="J3323" s="78">
        <f>MAX(K3323:Q3323)</f>
        <v>1</v>
      </c>
      <c r="K3323" s="88">
        <v>1</v>
      </c>
      <c r="L3323" s="88"/>
      <c r="M3323" s="88"/>
      <c r="N3323" s="88"/>
      <c r="O3323" s="88"/>
      <c r="P3323" s="88"/>
      <c r="Q3323" s="88"/>
      <c r="R3323" s="78">
        <f>MAX(S3323:W3323)</f>
        <v>0</v>
      </c>
      <c r="S3323" s="88"/>
      <c r="T3323" s="88"/>
      <c r="U3323" s="88"/>
      <c r="V3323" s="88"/>
      <c r="W3323" s="88"/>
    </row>
    <row r="3324" spans="2:23" s="0" customFormat="0" ht="15">
      <c r="B3324" s="87" t="s">
        <v>1</v>
      </c>
      <c r="C3324" s="88" t="s">
        <v>5259</v>
      </c>
      <c r="D3324" s="88">
        <v>18923343</v>
      </c>
      <c r="E3324" s="88" t="s">
        <v>61</v>
      </c>
      <c r="F3324" s="88">
        <v>0</v>
      </c>
      <c r="G3324" s="78">
        <f>MAX(H3324,I3324,J3324)</f>
        <v>1</v>
      </c>
      <c r="H3324" s="88"/>
      <c r="I3324" s="88"/>
      <c r="J3324" s="78">
        <f>MAX(K3324:Q3324)</f>
        <v>1</v>
      </c>
      <c r="K3324" s="88">
        <v>1</v>
      </c>
      <c r="L3324" s="88"/>
      <c r="M3324" s="88"/>
      <c r="N3324" s="88"/>
      <c r="O3324" s="88"/>
      <c r="P3324" s="88"/>
      <c r="Q3324" s="88"/>
      <c r="R3324" s="78">
        <f>MAX(S3324:W3324)</f>
        <v>0</v>
      </c>
      <c r="S3324" s="88"/>
      <c r="T3324" s="88"/>
      <c r="U3324" s="88"/>
      <c r="V3324" s="88"/>
      <c r="W3324" s="88"/>
    </row>
    <row r="3325" spans="2:23" s="0" customFormat="0" ht="15">
      <c r="B3325" s="87" t="s">
        <v>1</v>
      </c>
      <c r="C3325" s="88" t="s">
        <v>5259</v>
      </c>
      <c r="D3325" s="88">
        <v>12187821</v>
      </c>
      <c r="E3325" s="88" t="s">
        <v>61</v>
      </c>
      <c r="F3325" s="88">
        <v>0</v>
      </c>
      <c r="G3325" s="78">
        <f>MAX(H3325,I3325,J3325)</f>
        <v>1</v>
      </c>
      <c r="H3325" s="88"/>
      <c r="I3325" s="88"/>
      <c r="J3325" s="78">
        <f>MAX(K3325:Q3325)</f>
        <v>1</v>
      </c>
      <c r="K3325" s="88">
        <v>1</v>
      </c>
      <c r="L3325" s="88"/>
      <c r="M3325" s="88"/>
      <c r="N3325" s="88"/>
      <c r="O3325" s="88"/>
      <c r="P3325" s="88"/>
      <c r="Q3325" s="88"/>
      <c r="R3325" s="78">
        <f>MAX(S3325:W3325)</f>
        <v>0</v>
      </c>
      <c r="S3325" s="88"/>
      <c r="T3325" s="88"/>
      <c r="U3325" s="88"/>
      <c r="V3325" s="88"/>
      <c r="W3325" s="88"/>
    </row>
    <row r="3326" spans="2:23" s="0" customFormat="0" ht="15">
      <c r="B3326" s="87" t="s">
        <v>1</v>
      </c>
      <c r="C3326" s="88" t="s">
        <v>5259</v>
      </c>
      <c r="D3326" s="88" t="s">
        <v>3878</v>
      </c>
      <c r="E3326" s="88" t="s">
        <v>61</v>
      </c>
      <c r="F3326" s="88">
        <v>0</v>
      </c>
      <c r="G3326" s="78">
        <f>MAX(H3326,I3326,J3326)</f>
        <v>0</v>
      </c>
      <c r="H3326" s="88"/>
      <c r="I3326" s="88"/>
      <c r="J3326" s="78">
        <f>MAX(K3326:Q3326)</f>
        <v>0</v>
      </c>
      <c r="K3326" s="88"/>
      <c r="L3326" s="88"/>
      <c r="M3326" s="88"/>
      <c r="N3326" s="88"/>
      <c r="O3326" s="88"/>
      <c r="P3326" s="88"/>
      <c r="Q3326" s="88"/>
      <c r="R3326" s="78">
        <f>MAX(S3326:W3326)</f>
        <v>1</v>
      </c>
      <c r="S3326" s="88"/>
      <c r="T3326" s="88"/>
      <c r="U3326" s="88">
        <v>1</v>
      </c>
      <c r="V3326" s="88"/>
      <c r="W3326" s="88"/>
    </row>
    <row r="3327" spans="2:23" s="0" customFormat="0" ht="15">
      <c r="B3327" s="87" t="s">
        <v>1</v>
      </c>
      <c r="C3327" s="88" t="s">
        <v>5259</v>
      </c>
      <c r="D3327" s="88">
        <v>6955862</v>
      </c>
      <c r="E3327" s="88" t="s">
        <v>61</v>
      </c>
      <c r="F3327" s="88">
        <v>0</v>
      </c>
      <c r="G3327" s="78">
        <f>MAX(H3327,I3327,J3327)</f>
        <v>0</v>
      </c>
      <c r="H3327" s="88"/>
      <c r="I3327" s="88"/>
      <c r="J3327" s="78">
        <f>MAX(K3327:Q3327)</f>
        <v>0</v>
      </c>
      <c r="K3327" s="88"/>
      <c r="L3327" s="88"/>
      <c r="M3327" s="88"/>
      <c r="N3327" s="88"/>
      <c r="O3327" s="88"/>
      <c r="P3327" s="88"/>
      <c r="Q3327" s="88"/>
      <c r="R3327" s="78">
        <f>MAX(S3327:W3327)</f>
        <v>1</v>
      </c>
      <c r="S3327" s="88"/>
      <c r="T3327" s="88"/>
      <c r="U3327" s="88">
        <v>1</v>
      </c>
      <c r="V3327" s="88"/>
      <c r="W3327" s="88"/>
    </row>
    <row r="3328" spans="2:23" s="0" customFormat="0" ht="15">
      <c r="B3328" s="87" t="s">
        <v>1</v>
      </c>
      <c r="C3328" s="88" t="s">
        <v>5259</v>
      </c>
      <c r="D3328" s="88" t="s">
        <v>4698</v>
      </c>
      <c r="E3328" s="88" t="s">
        <v>61</v>
      </c>
      <c r="F3328" s="88">
        <v>0</v>
      </c>
      <c r="G3328" s="78">
        <f>MAX(H3328,I3328,J3328)</f>
        <v>0</v>
      </c>
      <c r="H3328" s="88"/>
      <c r="I3328" s="88"/>
      <c r="J3328" s="78">
        <f>MAX(K3328:Q3328)</f>
        <v>0</v>
      </c>
      <c r="K3328" s="88"/>
      <c r="L3328" s="88"/>
      <c r="M3328" s="88"/>
      <c r="N3328" s="88"/>
      <c r="O3328" s="88"/>
      <c r="P3328" s="88"/>
      <c r="Q3328" s="88"/>
      <c r="R3328" s="78">
        <f>MAX(S3328:W3328)</f>
        <v>1</v>
      </c>
      <c r="S3328" s="88"/>
      <c r="T3328" s="88"/>
      <c r="U3328" s="88">
        <v>1</v>
      </c>
      <c r="V3328" s="88"/>
      <c r="W3328" s="88"/>
    </row>
    <row r="3329" spans="2:23" s="0" customFormat="0" ht="15">
      <c r="B3329" s="87" t="s">
        <v>1</v>
      </c>
      <c r="C3329" s="88" t="s">
        <v>5259</v>
      </c>
      <c r="D3329" s="88">
        <v>17087265</v>
      </c>
      <c r="E3329" s="88" t="s">
        <v>61</v>
      </c>
      <c r="F3329" s="88">
        <v>0</v>
      </c>
      <c r="G3329" s="78">
        <f>MAX(H3329,I3329,J3329)</f>
        <v>1</v>
      </c>
      <c r="H3329" s="88"/>
      <c r="I3329" s="88"/>
      <c r="J3329" s="78">
        <f>MAX(K3329:Q3329)</f>
        <v>1</v>
      </c>
      <c r="K3329" s="88">
        <v>1</v>
      </c>
      <c r="L3329" s="88"/>
      <c r="M3329" s="88"/>
      <c r="N3329" s="88"/>
      <c r="O3329" s="88"/>
      <c r="P3329" s="88"/>
      <c r="Q3329" s="88"/>
      <c r="R3329" s="78">
        <f>MAX(S3329:W3329)</f>
        <v>0</v>
      </c>
      <c r="S3329" s="88"/>
      <c r="T3329" s="88"/>
      <c r="U3329" s="88"/>
      <c r="V3329" s="88"/>
      <c r="W3329" s="88"/>
    </row>
    <row r="3330" spans="2:23" s="0" customFormat="0" ht="15">
      <c r="B3330" s="87" t="s">
        <v>1</v>
      </c>
      <c r="C3330" s="88" t="s">
        <v>5259</v>
      </c>
      <c r="D3330" s="88" t="s">
        <v>4700</v>
      </c>
      <c r="E3330" s="88" t="s">
        <v>61</v>
      </c>
      <c r="F3330" s="88">
        <v>0</v>
      </c>
      <c r="G3330" s="78">
        <f>MAX(H3330,I3330,J3330)</f>
        <v>0</v>
      </c>
      <c r="H3330" s="88"/>
      <c r="I3330" s="88"/>
      <c r="J3330" s="78">
        <f>MAX(K3330:Q3330)</f>
        <v>0</v>
      </c>
      <c r="K3330" s="88"/>
      <c r="L3330" s="88"/>
      <c r="M3330" s="88"/>
      <c r="N3330" s="88"/>
      <c r="O3330" s="88"/>
      <c r="P3330" s="88"/>
      <c r="Q3330" s="88"/>
      <c r="R3330" s="78">
        <f>MAX(S3330:W3330)</f>
        <v>1</v>
      </c>
      <c r="S3330" s="88"/>
      <c r="T3330" s="88"/>
      <c r="U3330" s="88">
        <v>1</v>
      </c>
      <c r="V3330" s="88"/>
      <c r="W3330" s="88"/>
    </row>
    <row r="3331" spans="2:23" s="0" customFormat="0" ht="15">
      <c r="B3331" s="87" t="s">
        <v>1</v>
      </c>
      <c r="C3331" s="88" t="s">
        <v>5259</v>
      </c>
      <c r="D3331" s="88">
        <v>14071393</v>
      </c>
      <c r="E3331" s="88" t="s">
        <v>61</v>
      </c>
      <c r="F3331" s="88">
        <v>0</v>
      </c>
      <c r="G3331" s="78">
        <f>MAX(H3331,I3331,J3331)</f>
        <v>0</v>
      </c>
      <c r="H3331" s="88"/>
      <c r="I3331" s="88"/>
      <c r="J3331" s="78">
        <f>MAX(K3331:Q3331)</f>
        <v>0</v>
      </c>
      <c r="K3331" s="88"/>
      <c r="L3331" s="88"/>
      <c r="M3331" s="88"/>
      <c r="N3331" s="88"/>
      <c r="O3331" s="88"/>
      <c r="P3331" s="88"/>
      <c r="Q3331" s="88"/>
      <c r="R3331" s="78">
        <f>MAX(S3331:W3331)</f>
        <v>1</v>
      </c>
      <c r="S3331" s="88"/>
      <c r="T3331" s="88"/>
      <c r="U3331" s="88"/>
      <c r="V3331" s="88">
        <v>1</v>
      </c>
      <c r="W3331" s="88"/>
    </row>
    <row r="3332" spans="2:23" s="0" customFormat="0" ht="15">
      <c r="B3332" s="87" t="s">
        <v>1</v>
      </c>
      <c r="C3332" s="88" t="s">
        <v>5259</v>
      </c>
      <c r="D3332" s="88">
        <v>22554529</v>
      </c>
      <c r="E3332" s="88" t="s">
        <v>61</v>
      </c>
      <c r="F3332" s="88">
        <v>0</v>
      </c>
      <c r="G3332" s="78">
        <f>MAX(H3332,I3332,J3332)</f>
        <v>0</v>
      </c>
      <c r="H3332" s="88"/>
      <c r="I3332" s="88"/>
      <c r="J3332" s="78">
        <f>MAX(K3332:Q3332)</f>
        <v>0</v>
      </c>
      <c r="K3332" s="88"/>
      <c r="L3332" s="88"/>
      <c r="M3332" s="88"/>
      <c r="N3332" s="88"/>
      <c r="O3332" s="88"/>
      <c r="P3332" s="88"/>
      <c r="Q3332" s="88"/>
      <c r="R3332" s="78">
        <f>MAX(S3332:W3332)</f>
        <v>1</v>
      </c>
      <c r="S3332" s="88"/>
      <c r="T3332" s="88"/>
      <c r="U3332" s="88">
        <v>1</v>
      </c>
      <c r="V3332" s="88"/>
      <c r="W3332" s="88"/>
    </row>
    <row r="3333" spans="2:23" s="0" customFormat="0" ht="15">
      <c r="B3333" s="87" t="s">
        <v>1</v>
      </c>
      <c r="C3333" s="88" t="s">
        <v>5259</v>
      </c>
      <c r="D3333" s="88">
        <v>14741153</v>
      </c>
      <c r="E3333" s="88" t="s">
        <v>61</v>
      </c>
      <c r="F3333" s="88">
        <v>0</v>
      </c>
      <c r="G3333" s="78">
        <f>MAX(H3333,I3333,J3333)</f>
        <v>1</v>
      </c>
      <c r="H3333" s="88"/>
      <c r="I3333" s="88"/>
      <c r="J3333" s="78">
        <f>MAX(K3333:Q3333)</f>
        <v>1</v>
      </c>
      <c r="K3333" s="88">
        <v>1</v>
      </c>
      <c r="L3333" s="88"/>
      <c r="M3333" s="88"/>
      <c r="N3333" s="88"/>
      <c r="O3333" s="88"/>
      <c r="P3333" s="88"/>
      <c r="Q3333" s="88"/>
      <c r="R3333" s="78">
        <f>MAX(S3333:W3333)</f>
        <v>0</v>
      </c>
      <c r="S3333" s="88"/>
      <c r="T3333" s="88"/>
      <c r="U3333" s="88"/>
      <c r="V3333" s="88"/>
      <c r="W3333" s="88"/>
    </row>
    <row r="3334" spans="2:23" s="0" customFormat="0" ht="15">
      <c r="B3334" s="87" t="s">
        <v>1</v>
      </c>
      <c r="C3334" s="88" t="s">
        <v>5259</v>
      </c>
      <c r="D3334" s="88">
        <v>17491187</v>
      </c>
      <c r="E3334" s="88" t="s">
        <v>61</v>
      </c>
      <c r="F3334" s="88">
        <v>0</v>
      </c>
      <c r="G3334" s="78">
        <f>MAX(H3334,I3334,J3334)</f>
        <v>1</v>
      </c>
      <c r="H3334" s="88"/>
      <c r="I3334" s="88"/>
      <c r="J3334" s="78">
        <f>MAX(K3334:Q3334)</f>
        <v>1</v>
      </c>
      <c r="K3334" s="88">
        <v>1</v>
      </c>
      <c r="L3334" s="88"/>
      <c r="M3334" s="88"/>
      <c r="N3334" s="88"/>
      <c r="O3334" s="88"/>
      <c r="P3334" s="88"/>
      <c r="Q3334" s="88"/>
      <c r="R3334" s="78">
        <f>MAX(S3334:W3334)</f>
        <v>0</v>
      </c>
      <c r="S3334" s="88"/>
      <c r="T3334" s="88"/>
      <c r="U3334" s="88"/>
      <c r="V3334" s="88"/>
      <c r="W3334" s="88"/>
    </row>
    <row r="3335" spans="2:23" s="0" customFormat="0" ht="15">
      <c r="B3335" s="87" t="s">
        <v>1</v>
      </c>
      <c r="C3335" s="88" t="s">
        <v>5259</v>
      </c>
      <c r="D3335" s="88">
        <v>19503566</v>
      </c>
      <c r="E3335" s="88" t="s">
        <v>61</v>
      </c>
      <c r="F3335" s="88">
        <v>0</v>
      </c>
      <c r="G3335" s="78">
        <f>MAX(H3335,I3335,J3335)</f>
        <v>1</v>
      </c>
      <c r="H3335" s="88"/>
      <c r="I3335" s="88"/>
      <c r="J3335" s="78">
        <f>MAX(K3335:Q3335)</f>
        <v>1</v>
      </c>
      <c r="K3335" s="88">
        <v>1</v>
      </c>
      <c r="L3335" s="88"/>
      <c r="M3335" s="88"/>
      <c r="N3335" s="88"/>
      <c r="O3335" s="88"/>
      <c r="P3335" s="88"/>
      <c r="Q3335" s="88"/>
      <c r="R3335" s="78">
        <f>MAX(S3335:W3335)</f>
        <v>0</v>
      </c>
      <c r="S3335" s="88"/>
      <c r="T3335" s="88"/>
      <c r="U3335" s="88"/>
      <c r="V3335" s="88"/>
      <c r="W3335" s="88"/>
    </row>
    <row r="3336" spans="2:23" s="0" customFormat="0" ht="15">
      <c r="B3336" s="87" t="s">
        <v>1</v>
      </c>
      <c r="C3336" s="88" t="s">
        <v>5259</v>
      </c>
      <c r="D3336" s="88">
        <v>826104</v>
      </c>
      <c r="E3336" s="88" t="s">
        <v>61</v>
      </c>
      <c r="F3336" s="88">
        <v>0</v>
      </c>
      <c r="G3336" s="78">
        <f>MAX(H3336,I3336,J3336)</f>
        <v>0</v>
      </c>
      <c r="H3336" s="88"/>
      <c r="I3336" s="88"/>
      <c r="J3336" s="78">
        <f>MAX(K3336:Q3336)</f>
        <v>0</v>
      </c>
      <c r="K3336" s="88"/>
      <c r="L3336" s="88"/>
      <c r="M3336" s="88"/>
      <c r="N3336" s="88"/>
      <c r="O3336" s="88"/>
      <c r="P3336" s="88"/>
      <c r="Q3336" s="88"/>
      <c r="R3336" s="78">
        <f>MAX(S3336:W3336)</f>
        <v>1</v>
      </c>
      <c r="S3336" s="88"/>
      <c r="T3336" s="88"/>
      <c r="U3336" s="88">
        <v>1</v>
      </c>
      <c r="V3336" s="88"/>
      <c r="W3336" s="88"/>
    </row>
    <row r="3337" spans="2:23" s="0" customFormat="0" ht="15">
      <c r="B3337" s="87" t="s">
        <v>1</v>
      </c>
      <c r="C3337" s="88" t="s">
        <v>5259</v>
      </c>
      <c r="D3337" s="88">
        <v>15493714</v>
      </c>
      <c r="E3337" s="88" t="s">
        <v>61</v>
      </c>
      <c r="F3337" s="88">
        <v>0</v>
      </c>
      <c r="G3337" s="78">
        <f>MAX(H3337,I3337,J3337)</f>
        <v>1</v>
      </c>
      <c r="H3337" s="88"/>
      <c r="I3337" s="88"/>
      <c r="J3337" s="78">
        <f>MAX(K3337:Q3337)</f>
        <v>1</v>
      </c>
      <c r="K3337" s="88">
        <v>1</v>
      </c>
      <c r="L3337" s="88"/>
      <c r="M3337" s="88"/>
      <c r="N3337" s="88"/>
      <c r="O3337" s="88"/>
      <c r="P3337" s="88"/>
      <c r="Q3337" s="88"/>
      <c r="R3337" s="78">
        <f>MAX(S3337:W3337)</f>
        <v>0</v>
      </c>
      <c r="S3337" s="88"/>
      <c r="T3337" s="88"/>
      <c r="U3337" s="88"/>
      <c r="V3337" s="88"/>
      <c r="W3337" s="88"/>
    </row>
    <row r="3338" spans="2:23" s="0" customFormat="0" ht="15">
      <c r="B3338" s="87" t="s">
        <v>1</v>
      </c>
      <c r="C3338" s="88" t="s">
        <v>5259</v>
      </c>
      <c r="D3338" s="88">
        <v>3883655</v>
      </c>
      <c r="E3338" s="88" t="s">
        <v>61</v>
      </c>
      <c r="F3338" s="88">
        <v>0</v>
      </c>
      <c r="G3338" s="78">
        <f>MAX(H3338,I3338,J3338)</f>
        <v>1</v>
      </c>
      <c r="H3338" s="88"/>
      <c r="I3338" s="88"/>
      <c r="J3338" s="78">
        <f>MAX(K3338:Q3338)</f>
        <v>1</v>
      </c>
      <c r="K3338" s="88">
        <v>1</v>
      </c>
      <c r="L3338" s="88"/>
      <c r="M3338" s="88"/>
      <c r="N3338" s="88"/>
      <c r="O3338" s="88"/>
      <c r="P3338" s="88"/>
      <c r="Q3338" s="88"/>
      <c r="R3338" s="78">
        <f>MAX(S3338:W3338)</f>
        <v>0</v>
      </c>
      <c r="S3338" s="88"/>
      <c r="T3338" s="88"/>
      <c r="U3338" s="88"/>
      <c r="V3338" s="88"/>
      <c r="W3338" s="88"/>
    </row>
    <row r="3339" spans="2:23" s="0" customFormat="0" ht="15">
      <c r="B3339" s="87" t="s">
        <v>1</v>
      </c>
      <c r="C3339" s="88" t="s">
        <v>5259</v>
      </c>
      <c r="D3339" s="88">
        <v>7524533</v>
      </c>
      <c r="E3339" s="88" t="s">
        <v>61</v>
      </c>
      <c r="F3339" s="88">
        <v>0</v>
      </c>
      <c r="G3339" s="78">
        <f>MAX(H3339,I3339,J3339)</f>
        <v>1</v>
      </c>
      <c r="H3339" s="88"/>
      <c r="I3339" s="88"/>
      <c r="J3339" s="78">
        <f>MAX(K3339:Q3339)</f>
        <v>1</v>
      </c>
      <c r="K3339" s="88">
        <v>1</v>
      </c>
      <c r="L3339" s="88"/>
      <c r="M3339" s="88"/>
      <c r="N3339" s="88"/>
      <c r="O3339" s="88"/>
      <c r="P3339" s="88"/>
      <c r="Q3339" s="88"/>
      <c r="R3339" s="78">
        <f>MAX(S3339:W3339)</f>
        <v>0</v>
      </c>
      <c r="S3339" s="88"/>
      <c r="T3339" s="88"/>
      <c r="U3339" s="88"/>
      <c r="V3339" s="88"/>
      <c r="W3339" s="88"/>
    </row>
    <row r="3340" spans="2:23" s="0" customFormat="0" ht="15">
      <c r="B3340" s="87" t="s">
        <v>1</v>
      </c>
      <c r="C3340" s="88" t="s">
        <v>5259</v>
      </c>
      <c r="D3340" s="88" t="s">
        <v>4516</v>
      </c>
      <c r="E3340" s="88" t="s">
        <v>61</v>
      </c>
      <c r="F3340" s="88">
        <v>0</v>
      </c>
      <c r="G3340" s="78">
        <f>MAX(H3340,I3340,J3340)</f>
        <v>0</v>
      </c>
      <c r="H3340" s="88"/>
      <c r="I3340" s="88"/>
      <c r="J3340" s="78">
        <f>MAX(K3340:Q3340)</f>
        <v>0</v>
      </c>
      <c r="K3340" s="88"/>
      <c r="L3340" s="88"/>
      <c r="M3340" s="88"/>
      <c r="N3340" s="88"/>
      <c r="O3340" s="88"/>
      <c r="P3340" s="88"/>
      <c r="Q3340" s="88"/>
      <c r="R3340" s="78">
        <f>MAX(S3340:W3340)</f>
        <v>1</v>
      </c>
      <c r="S3340" s="88"/>
      <c r="T3340" s="88"/>
      <c r="U3340" s="88">
        <v>1</v>
      </c>
      <c r="V3340" s="88"/>
      <c r="W3340" s="88"/>
    </row>
    <row r="3341" spans="2:23" s="0" customFormat="0" ht="15">
      <c r="B3341" s="87" t="s">
        <v>1</v>
      </c>
      <c r="C3341" s="88" t="s">
        <v>5259</v>
      </c>
      <c r="D3341" s="88">
        <v>19567767</v>
      </c>
      <c r="E3341" s="88" t="s">
        <v>61</v>
      </c>
      <c r="F3341" s="88">
        <v>0</v>
      </c>
      <c r="G3341" s="78">
        <f>MAX(H3341,I3341,J3341)</f>
        <v>1</v>
      </c>
      <c r="H3341" s="88"/>
      <c r="I3341" s="88"/>
      <c r="J3341" s="78">
        <f>MAX(K3341:Q3341)</f>
        <v>1</v>
      </c>
      <c r="K3341" s="88">
        <v>1</v>
      </c>
      <c r="L3341" s="88"/>
      <c r="M3341" s="88"/>
      <c r="N3341" s="88"/>
      <c r="O3341" s="88"/>
      <c r="P3341" s="88"/>
      <c r="Q3341" s="88"/>
      <c r="R3341" s="78">
        <f>MAX(S3341:W3341)</f>
        <v>0</v>
      </c>
      <c r="S3341" s="88"/>
      <c r="T3341" s="88"/>
      <c r="U3341" s="88"/>
      <c r="V3341" s="88"/>
      <c r="W3341" s="88"/>
    </row>
    <row r="3342" spans="2:23" s="0" customFormat="0" ht="15">
      <c r="B3342" s="87" t="s">
        <v>1</v>
      </c>
      <c r="C3342" s="88" t="s">
        <v>5259</v>
      </c>
      <c r="D3342" s="88" t="s">
        <v>4703</v>
      </c>
      <c r="E3342" s="88" t="s">
        <v>61</v>
      </c>
      <c r="F3342" s="88">
        <v>0</v>
      </c>
      <c r="G3342" s="78">
        <f>MAX(H3342,I3342,J3342)</f>
        <v>0</v>
      </c>
      <c r="H3342" s="88"/>
      <c r="I3342" s="88"/>
      <c r="J3342" s="78">
        <f>MAX(K3342:Q3342)</f>
        <v>0</v>
      </c>
      <c r="K3342" s="88"/>
      <c r="L3342" s="88"/>
      <c r="M3342" s="88"/>
      <c r="N3342" s="88"/>
      <c r="O3342" s="88"/>
      <c r="P3342" s="88"/>
      <c r="Q3342" s="88"/>
      <c r="R3342" s="78">
        <f>MAX(S3342:W3342)</f>
        <v>1</v>
      </c>
      <c r="S3342" s="88"/>
      <c r="T3342" s="88"/>
      <c r="U3342" s="88">
        <v>1</v>
      </c>
      <c r="V3342" s="88"/>
      <c r="W3342" s="88"/>
    </row>
    <row r="3343" spans="2:23" s="0" customFormat="0" ht="15">
      <c r="B3343" s="87" t="s">
        <v>1</v>
      </c>
      <c r="C3343" s="88" t="s">
        <v>5259</v>
      </c>
      <c r="D3343" s="88">
        <v>4318141</v>
      </c>
      <c r="E3343" s="88" t="s">
        <v>61</v>
      </c>
      <c r="F3343" s="88">
        <v>0</v>
      </c>
      <c r="G3343" s="78">
        <f>MAX(H3343,I3343,J3343)</f>
        <v>1</v>
      </c>
      <c r="H3343" s="88"/>
      <c r="I3343" s="88"/>
      <c r="J3343" s="78">
        <f>MAX(K3343:Q3343)</f>
        <v>1</v>
      </c>
      <c r="K3343" s="88">
        <v>1</v>
      </c>
      <c r="L3343" s="88"/>
      <c r="M3343" s="88"/>
      <c r="N3343" s="88"/>
      <c r="O3343" s="88"/>
      <c r="P3343" s="88"/>
      <c r="Q3343" s="88"/>
      <c r="R3343" s="78">
        <f>MAX(S3343:W3343)</f>
        <v>0</v>
      </c>
      <c r="S3343" s="88"/>
      <c r="T3343" s="88"/>
      <c r="U3343" s="88"/>
      <c r="V3343" s="88"/>
      <c r="W3343" s="88"/>
    </row>
    <row r="3344" spans="2:23" s="0" customFormat="0" ht="15">
      <c r="B3344" s="87" t="s">
        <v>1</v>
      </c>
      <c r="C3344" s="88" t="s">
        <v>5259</v>
      </c>
      <c r="D3344" s="88">
        <v>19481667</v>
      </c>
      <c r="E3344" s="88" t="s">
        <v>61</v>
      </c>
      <c r="F3344" s="88">
        <v>0</v>
      </c>
      <c r="G3344" s="78">
        <f>MAX(H3344,I3344,J3344)</f>
        <v>1</v>
      </c>
      <c r="H3344" s="88"/>
      <c r="I3344" s="88"/>
      <c r="J3344" s="78">
        <f>MAX(K3344:Q3344)</f>
        <v>1</v>
      </c>
      <c r="K3344" s="88">
        <v>1</v>
      </c>
      <c r="L3344" s="88"/>
      <c r="M3344" s="88"/>
      <c r="N3344" s="88"/>
      <c r="O3344" s="88"/>
      <c r="P3344" s="88"/>
      <c r="Q3344" s="88"/>
      <c r="R3344" s="78">
        <f>MAX(S3344:W3344)</f>
        <v>0</v>
      </c>
      <c r="S3344" s="88"/>
      <c r="T3344" s="88"/>
      <c r="U3344" s="88"/>
      <c r="V3344" s="88"/>
      <c r="W3344" s="88"/>
    </row>
    <row r="3345" spans="2:23" s="0" customFormat="0" ht="15">
      <c r="B3345" s="87" t="s">
        <v>1</v>
      </c>
      <c r="C3345" s="88" t="s">
        <v>5259</v>
      </c>
      <c r="D3345" s="88">
        <v>17170631</v>
      </c>
      <c r="E3345" s="88" t="s">
        <v>61</v>
      </c>
      <c r="F3345" s="88">
        <v>0</v>
      </c>
      <c r="G3345" s="78">
        <f>MAX(H3345,I3345,J3345)</f>
        <v>1</v>
      </c>
      <c r="H3345" s="88"/>
      <c r="I3345" s="88"/>
      <c r="J3345" s="78">
        <f>MAX(K3345:Q3345)</f>
        <v>1</v>
      </c>
      <c r="K3345" s="88">
        <v>1</v>
      </c>
      <c r="L3345" s="88"/>
      <c r="M3345" s="88"/>
      <c r="N3345" s="88"/>
      <c r="O3345" s="88"/>
      <c r="P3345" s="88"/>
      <c r="Q3345" s="88"/>
      <c r="R3345" s="78">
        <f>MAX(S3345:W3345)</f>
        <v>0</v>
      </c>
      <c r="S3345" s="88"/>
      <c r="T3345" s="88"/>
      <c r="U3345" s="88"/>
      <c r="V3345" s="88"/>
      <c r="W3345" s="88"/>
    </row>
    <row r="3346" spans="2:23" s="0" customFormat="0" ht="15">
      <c r="B3346" s="87" t="s">
        <v>1</v>
      </c>
      <c r="C3346" s="88" t="s">
        <v>5259</v>
      </c>
      <c r="D3346" s="88" t="s">
        <v>4705</v>
      </c>
      <c r="E3346" s="88" t="s">
        <v>61</v>
      </c>
      <c r="F3346" s="88">
        <v>0</v>
      </c>
      <c r="G3346" s="78">
        <f>MAX(H3346,I3346,J3346)</f>
        <v>0</v>
      </c>
      <c r="H3346" s="88"/>
      <c r="I3346" s="88"/>
      <c r="J3346" s="78">
        <f>MAX(K3346:Q3346)</f>
        <v>0</v>
      </c>
      <c r="K3346" s="88"/>
      <c r="L3346" s="88"/>
      <c r="M3346" s="88"/>
      <c r="N3346" s="88"/>
      <c r="O3346" s="88"/>
      <c r="P3346" s="88"/>
      <c r="Q3346" s="88"/>
      <c r="R3346" s="78">
        <f>MAX(S3346:W3346)</f>
        <v>1</v>
      </c>
      <c r="S3346" s="88"/>
      <c r="T3346" s="88"/>
      <c r="U3346" s="88">
        <v>1</v>
      </c>
      <c r="V3346" s="88"/>
      <c r="W3346" s="88"/>
    </row>
    <row r="3347" spans="2:23" s="0" customFormat="0" ht="15">
      <c r="B3347" s="87" t="s">
        <v>1</v>
      </c>
      <c r="C3347" s="88" t="s">
        <v>5259</v>
      </c>
      <c r="D3347" s="88" t="s">
        <v>3594</v>
      </c>
      <c r="E3347" s="88" t="s">
        <v>61</v>
      </c>
      <c r="F3347" s="88">
        <v>0</v>
      </c>
      <c r="G3347" s="78">
        <f>MAX(H3347,I3347,J3347)</f>
        <v>0</v>
      </c>
      <c r="H3347" s="88"/>
      <c r="I3347" s="88"/>
      <c r="J3347" s="78">
        <f>MAX(K3347:Q3347)</f>
        <v>0</v>
      </c>
      <c r="K3347" s="88"/>
      <c r="L3347" s="88"/>
      <c r="M3347" s="88"/>
      <c r="N3347" s="88"/>
      <c r="O3347" s="88"/>
      <c r="P3347" s="88"/>
      <c r="Q3347" s="88"/>
      <c r="R3347" s="78">
        <f>MAX(S3347:W3347)</f>
        <v>1</v>
      </c>
      <c r="S3347" s="88"/>
      <c r="T3347" s="88"/>
      <c r="U3347" s="88">
        <v>1</v>
      </c>
      <c r="V3347" s="88"/>
      <c r="W3347" s="88"/>
    </row>
    <row r="3348" spans="2:23" s="0" customFormat="0" ht="15">
      <c r="B3348" s="87" t="s">
        <v>1</v>
      </c>
      <c r="C3348" s="88" t="s">
        <v>5259</v>
      </c>
      <c r="D3348" s="88">
        <v>22323049</v>
      </c>
      <c r="E3348" s="88" t="s">
        <v>61</v>
      </c>
      <c r="F3348" s="88">
        <v>0</v>
      </c>
      <c r="G3348" s="78">
        <f>MAX(H3348,I3348,J3348)</f>
        <v>1</v>
      </c>
      <c r="H3348" s="88"/>
      <c r="I3348" s="88"/>
      <c r="J3348" s="78">
        <f>MAX(K3348:Q3348)</f>
        <v>1</v>
      </c>
      <c r="K3348" s="88">
        <v>1</v>
      </c>
      <c r="L3348" s="88"/>
      <c r="M3348" s="88"/>
      <c r="N3348" s="88"/>
      <c r="O3348" s="88"/>
      <c r="P3348" s="88"/>
      <c r="Q3348" s="88"/>
      <c r="R3348" s="78">
        <f>MAX(S3348:W3348)</f>
        <v>0</v>
      </c>
      <c r="S3348" s="88"/>
      <c r="T3348" s="88"/>
      <c r="U3348" s="88"/>
      <c r="V3348" s="88"/>
      <c r="W3348" s="88"/>
    </row>
    <row r="3349" spans="2:23" s="0" customFormat="0" ht="15">
      <c r="B3349" s="87" t="s">
        <v>1</v>
      </c>
      <c r="C3349" s="88" t="s">
        <v>5259</v>
      </c>
      <c r="D3349" s="88">
        <v>22554298</v>
      </c>
      <c r="E3349" s="88" t="s">
        <v>61</v>
      </c>
      <c r="F3349" s="88">
        <v>0</v>
      </c>
      <c r="G3349" s="78">
        <f>MAX(H3349,I3349,J3349)</f>
        <v>0</v>
      </c>
      <c r="H3349" s="88"/>
      <c r="I3349" s="88"/>
      <c r="J3349" s="78">
        <f>MAX(K3349:Q3349)</f>
        <v>0</v>
      </c>
      <c r="K3349" s="88"/>
      <c r="L3349" s="88"/>
      <c r="M3349" s="88"/>
      <c r="N3349" s="88"/>
      <c r="O3349" s="88"/>
      <c r="P3349" s="88"/>
      <c r="Q3349" s="88"/>
      <c r="R3349" s="78">
        <f>MAX(S3349:W3349)</f>
        <v>1</v>
      </c>
      <c r="S3349" s="88"/>
      <c r="T3349" s="88"/>
      <c r="U3349" s="88"/>
      <c r="V3349" s="88">
        <v>1</v>
      </c>
      <c r="W3349" s="88"/>
    </row>
    <row r="3350" spans="2:23" s="0" customFormat="0" ht="15">
      <c r="B3350" s="87" t="s">
        <v>1</v>
      </c>
      <c r="C3350" s="88" t="s">
        <v>5259</v>
      </c>
      <c r="D3350" s="88">
        <v>826104</v>
      </c>
      <c r="E3350" s="88" t="s">
        <v>61</v>
      </c>
      <c r="F3350" s="88">
        <v>0</v>
      </c>
      <c r="G3350" s="78">
        <f>MAX(H3350,I3350,J3350)</f>
        <v>0</v>
      </c>
      <c r="H3350" s="88"/>
      <c r="I3350" s="88"/>
      <c r="J3350" s="78">
        <f>MAX(K3350:Q3350)</f>
        <v>0</v>
      </c>
      <c r="K3350" s="88"/>
      <c r="L3350" s="88"/>
      <c r="M3350" s="88"/>
      <c r="N3350" s="88"/>
      <c r="O3350" s="88"/>
      <c r="P3350" s="88"/>
      <c r="Q3350" s="88"/>
      <c r="R3350" s="78">
        <f>MAX(S3350:W3350)</f>
        <v>1</v>
      </c>
      <c r="S3350" s="88"/>
      <c r="T3350" s="88"/>
      <c r="U3350" s="88">
        <v>1</v>
      </c>
      <c r="V3350" s="88"/>
      <c r="W3350" s="88"/>
    </row>
    <row r="3351" spans="2:23" s="0" customFormat="0" ht="15">
      <c r="B3351" s="87" t="s">
        <v>1</v>
      </c>
      <c r="C3351" s="88" t="s">
        <v>5259</v>
      </c>
      <c r="D3351" s="88">
        <v>5009193</v>
      </c>
      <c r="E3351" s="88" t="s">
        <v>61</v>
      </c>
      <c r="F3351" s="88">
        <v>0</v>
      </c>
      <c r="G3351" s="78">
        <f>MAX(H3351,I3351,J3351)</f>
        <v>1</v>
      </c>
      <c r="H3351" s="88"/>
      <c r="I3351" s="88"/>
      <c r="J3351" s="78">
        <f>MAX(K3351:Q3351)</f>
        <v>1</v>
      </c>
      <c r="K3351" s="88"/>
      <c r="L3351" s="88"/>
      <c r="M3351" s="88"/>
      <c r="N3351" s="88"/>
      <c r="O3351" s="88">
        <v>1</v>
      </c>
      <c r="P3351" s="88"/>
      <c r="Q3351" s="88"/>
      <c r="R3351" s="78">
        <f>MAX(S3351:W3351)</f>
        <v>0</v>
      </c>
      <c r="S3351" s="88"/>
      <c r="T3351" s="88"/>
      <c r="U3351" s="88"/>
      <c r="V3351" s="88"/>
      <c r="W3351" s="88"/>
    </row>
    <row r="3352" spans="2:23" s="0" customFormat="0" ht="15">
      <c r="B3352" s="87" t="s">
        <v>1</v>
      </c>
      <c r="C3352" s="88" t="s">
        <v>5259</v>
      </c>
      <c r="D3352" s="88" t="s">
        <v>4644</v>
      </c>
      <c r="E3352" s="88" t="s">
        <v>61</v>
      </c>
      <c r="F3352" s="88">
        <v>0</v>
      </c>
      <c r="G3352" s="78">
        <f>MAX(H3352,I3352,J3352)</f>
        <v>0</v>
      </c>
      <c r="H3352" s="88"/>
      <c r="I3352" s="88"/>
      <c r="J3352" s="78">
        <f>MAX(K3352:Q3352)</f>
        <v>0</v>
      </c>
      <c r="K3352" s="88"/>
      <c r="L3352" s="88"/>
      <c r="M3352" s="88"/>
      <c r="N3352" s="88"/>
      <c r="O3352" s="88"/>
      <c r="P3352" s="88"/>
      <c r="Q3352" s="88"/>
      <c r="R3352" s="78">
        <f>MAX(S3352:W3352)</f>
        <v>1</v>
      </c>
      <c r="S3352" s="88"/>
      <c r="T3352" s="88"/>
      <c r="U3352" s="88">
        <v>1</v>
      </c>
      <c r="V3352" s="88"/>
      <c r="W3352" s="88"/>
    </row>
    <row r="3353" spans="2:23" s="0" customFormat="0" ht="15">
      <c r="B3353" s="87" t="s">
        <v>1</v>
      </c>
      <c r="C3353" s="88" t="s">
        <v>5259</v>
      </c>
      <c r="D3353" s="88" t="s">
        <v>4707</v>
      </c>
      <c r="E3353" s="88" t="s">
        <v>61</v>
      </c>
      <c r="F3353" s="88">
        <v>0</v>
      </c>
      <c r="G3353" s="78">
        <f>MAX(H3353,I3353,J3353)</f>
        <v>0</v>
      </c>
      <c r="H3353" s="88"/>
      <c r="I3353" s="88"/>
      <c r="J3353" s="78">
        <f>MAX(K3353:Q3353)</f>
        <v>0</v>
      </c>
      <c r="K3353" s="88"/>
      <c r="L3353" s="88"/>
      <c r="M3353" s="88"/>
      <c r="N3353" s="88"/>
      <c r="O3353" s="88"/>
      <c r="P3353" s="88"/>
      <c r="Q3353" s="88"/>
      <c r="R3353" s="78">
        <f>MAX(S3353:W3353)</f>
        <v>1</v>
      </c>
      <c r="S3353" s="88"/>
      <c r="T3353" s="88"/>
      <c r="U3353" s="88">
        <v>1</v>
      </c>
      <c r="V3353" s="88"/>
      <c r="W3353" s="88"/>
    </row>
    <row r="3354" spans="2:23" s="0" customFormat="0" ht="15">
      <c r="B3354" s="87" t="s">
        <v>1</v>
      </c>
      <c r="C3354" s="88" t="s">
        <v>5259</v>
      </c>
      <c r="D3354" s="88">
        <v>17481459</v>
      </c>
      <c r="E3354" s="88" t="s">
        <v>61</v>
      </c>
      <c r="F3354" s="88">
        <v>0</v>
      </c>
      <c r="G3354" s="78">
        <f>MAX(H3354,I3354,J3354)</f>
        <v>1</v>
      </c>
      <c r="H3354" s="88"/>
      <c r="I3354" s="88"/>
      <c r="J3354" s="78">
        <f>MAX(K3354:Q3354)</f>
        <v>1</v>
      </c>
      <c r="K3354" s="88">
        <v>1</v>
      </c>
      <c r="L3354" s="88"/>
      <c r="M3354" s="88"/>
      <c r="N3354" s="88"/>
      <c r="O3354" s="88"/>
      <c r="P3354" s="88"/>
      <c r="Q3354" s="88"/>
      <c r="R3354" s="78">
        <f>MAX(S3354:W3354)</f>
        <v>0</v>
      </c>
      <c r="S3354" s="88"/>
      <c r="T3354" s="88"/>
      <c r="U3354" s="88"/>
      <c r="V3354" s="88"/>
      <c r="W3354" s="88"/>
    </row>
    <row r="3355" spans="2:23" s="0" customFormat="0" ht="15">
      <c r="B3355" s="87" t="s">
        <v>1</v>
      </c>
      <c r="C3355" s="88" t="s">
        <v>5259</v>
      </c>
      <c r="D3355" s="88">
        <v>17992744</v>
      </c>
      <c r="E3355" s="88" t="s">
        <v>61</v>
      </c>
      <c r="F3355" s="88">
        <v>0</v>
      </c>
      <c r="G3355" s="78">
        <f>MAX(H3355,I3355,J3355)</f>
        <v>1</v>
      </c>
      <c r="H3355" s="88"/>
      <c r="I3355" s="88"/>
      <c r="J3355" s="78">
        <f>MAX(K3355:Q3355)</f>
        <v>1</v>
      </c>
      <c r="K3355" s="88">
        <v>1</v>
      </c>
      <c r="L3355" s="88"/>
      <c r="M3355" s="88"/>
      <c r="N3355" s="88"/>
      <c r="O3355" s="88"/>
      <c r="P3355" s="88"/>
      <c r="Q3355" s="88"/>
      <c r="R3355" s="78">
        <f>MAX(S3355:W3355)</f>
        <v>0</v>
      </c>
      <c r="S3355" s="88"/>
      <c r="T3355" s="88"/>
      <c r="U3355" s="88"/>
      <c r="V3355" s="88"/>
      <c r="W3355" s="88"/>
    </row>
    <row r="3356" spans="2:23" s="0" customFormat="0" ht="15">
      <c r="B3356" s="87" t="s">
        <v>1</v>
      </c>
      <c r="C3356" s="88" t="s">
        <v>5259</v>
      </c>
      <c r="D3356" s="88" t="s">
        <v>4709</v>
      </c>
      <c r="E3356" s="88" t="s">
        <v>61</v>
      </c>
      <c r="F3356" s="88">
        <v>0</v>
      </c>
      <c r="G3356" s="78">
        <f>MAX(H3356,I3356,J3356)</f>
        <v>0</v>
      </c>
      <c r="H3356" s="88"/>
      <c r="I3356" s="88"/>
      <c r="J3356" s="78">
        <f>MAX(K3356:Q3356)</f>
        <v>0</v>
      </c>
      <c r="K3356" s="88"/>
      <c r="L3356" s="88"/>
      <c r="M3356" s="88"/>
      <c r="N3356" s="88"/>
      <c r="O3356" s="88"/>
      <c r="P3356" s="88"/>
      <c r="Q3356" s="88"/>
      <c r="R3356" s="78">
        <f>MAX(S3356:W3356)</f>
        <v>1</v>
      </c>
      <c r="S3356" s="88"/>
      <c r="T3356" s="88"/>
      <c r="U3356" s="88">
        <v>1</v>
      </c>
      <c r="V3356" s="88"/>
      <c r="W3356" s="88"/>
    </row>
    <row r="3357" spans="2:23" s="0" customFormat="0" ht="15">
      <c r="B3357" s="87" t="s">
        <v>1</v>
      </c>
      <c r="C3357" s="88" t="s">
        <v>5259</v>
      </c>
      <c r="D3357" s="88">
        <v>11645329</v>
      </c>
      <c r="E3357" s="88" t="s">
        <v>61</v>
      </c>
      <c r="F3357" s="88">
        <v>0</v>
      </c>
      <c r="G3357" s="78">
        <f>MAX(H3357,I3357,J3357)</f>
        <v>1</v>
      </c>
      <c r="H3357" s="88"/>
      <c r="I3357" s="88"/>
      <c r="J3357" s="78">
        <f>MAX(K3357:Q3357)</f>
        <v>1</v>
      </c>
      <c r="K3357" s="88">
        <v>1</v>
      </c>
      <c r="L3357" s="88"/>
      <c r="M3357" s="88"/>
      <c r="N3357" s="88"/>
      <c r="O3357" s="88"/>
      <c r="P3357" s="88"/>
      <c r="Q3357" s="88"/>
      <c r="R3357" s="78">
        <f>MAX(S3357:W3357)</f>
        <v>0</v>
      </c>
      <c r="S3357" s="88"/>
      <c r="T3357" s="88"/>
      <c r="U3357" s="88"/>
      <c r="V3357" s="88"/>
      <c r="W3357" s="88"/>
    </row>
    <row r="3358" spans="2:23" s="0" customFormat="0" ht="15">
      <c r="B3358" s="87" t="s">
        <v>1</v>
      </c>
      <c r="C3358" s="88" t="s">
        <v>5259</v>
      </c>
      <c r="D3358" s="88">
        <v>1105467</v>
      </c>
      <c r="E3358" s="88" t="s">
        <v>61</v>
      </c>
      <c r="F3358" s="88">
        <v>0</v>
      </c>
      <c r="G3358" s="78">
        <f>MAX(H3358,I3358,J3358)</f>
        <v>0</v>
      </c>
      <c r="H3358" s="88"/>
      <c r="I3358" s="88"/>
      <c r="J3358" s="78">
        <f>MAX(K3358:Q3358)</f>
        <v>0</v>
      </c>
      <c r="K3358" s="88"/>
      <c r="L3358" s="88"/>
      <c r="M3358" s="88"/>
      <c r="N3358" s="88"/>
      <c r="O3358" s="88"/>
      <c r="P3358" s="88"/>
      <c r="Q3358" s="88"/>
      <c r="R3358" s="78">
        <f>MAX(S3358:W3358)</f>
        <v>1</v>
      </c>
      <c r="S3358" s="88"/>
      <c r="T3358" s="88"/>
      <c r="U3358" s="88">
        <v>1</v>
      </c>
      <c r="V3358" s="88"/>
      <c r="W3358" s="88"/>
    </row>
    <row r="3359" spans="2:23" s="0" customFormat="0" ht="15">
      <c r="B3359" s="87" t="s">
        <v>1</v>
      </c>
      <c r="C3359" s="88" t="s">
        <v>5259</v>
      </c>
      <c r="D3359" s="88">
        <v>19216264</v>
      </c>
      <c r="E3359" s="88" t="s">
        <v>61</v>
      </c>
      <c r="F3359" s="88">
        <v>0</v>
      </c>
      <c r="G3359" s="78">
        <f>MAX(H3359,I3359,J3359)</f>
        <v>1</v>
      </c>
      <c r="H3359" s="88"/>
      <c r="I3359" s="88"/>
      <c r="J3359" s="78">
        <f>MAX(K3359:Q3359)</f>
        <v>1</v>
      </c>
      <c r="K3359" s="88">
        <v>1</v>
      </c>
      <c r="L3359" s="88"/>
      <c r="M3359" s="88"/>
      <c r="N3359" s="88"/>
      <c r="O3359" s="88"/>
      <c r="P3359" s="88"/>
      <c r="Q3359" s="88"/>
      <c r="R3359" s="78">
        <f>MAX(S3359:W3359)</f>
        <v>0</v>
      </c>
      <c r="S3359" s="88"/>
      <c r="T3359" s="88"/>
      <c r="U3359" s="88"/>
      <c r="V3359" s="88"/>
      <c r="W3359" s="88"/>
    </row>
    <row r="3360" spans="2:23" s="0" customFormat="0" ht="15">
      <c r="B3360" s="87" t="s">
        <v>1</v>
      </c>
      <c r="C3360" s="88" t="s">
        <v>5259</v>
      </c>
      <c r="D3360" s="88">
        <v>14410290</v>
      </c>
      <c r="E3360" s="88" t="s">
        <v>61</v>
      </c>
      <c r="F3360" s="88">
        <v>0</v>
      </c>
      <c r="G3360" s="78">
        <f>MAX(H3360,I3360,J3360)</f>
        <v>1</v>
      </c>
      <c r="H3360" s="88"/>
      <c r="I3360" s="88"/>
      <c r="J3360" s="78">
        <f>MAX(K3360:Q3360)</f>
        <v>1</v>
      </c>
      <c r="K3360" s="88">
        <v>1</v>
      </c>
      <c r="L3360" s="88"/>
      <c r="M3360" s="88"/>
      <c r="N3360" s="88"/>
      <c r="O3360" s="88"/>
      <c r="P3360" s="88"/>
      <c r="Q3360" s="88"/>
      <c r="R3360" s="78">
        <f>MAX(S3360:W3360)</f>
        <v>0</v>
      </c>
      <c r="S3360" s="88"/>
      <c r="T3360" s="88"/>
      <c r="U3360" s="88"/>
      <c r="V3360" s="88"/>
      <c r="W3360" s="88"/>
    </row>
    <row r="3361" spans="2:23" s="0" customFormat="0" ht="15">
      <c r="B3361" s="87" t="s">
        <v>1</v>
      </c>
      <c r="C3361" s="88" t="s">
        <v>5259</v>
      </c>
      <c r="D3361" s="88" t="s">
        <v>3835</v>
      </c>
      <c r="E3361" s="88" t="s">
        <v>61</v>
      </c>
      <c r="F3361" s="88">
        <v>0</v>
      </c>
      <c r="G3361" s="78">
        <f>MAX(H3361,I3361,J3361)</f>
        <v>0</v>
      </c>
      <c r="H3361" s="88"/>
      <c r="I3361" s="88"/>
      <c r="J3361" s="78">
        <f>MAX(K3361:Q3361)</f>
        <v>0</v>
      </c>
      <c r="K3361" s="88"/>
      <c r="L3361" s="88"/>
      <c r="M3361" s="88"/>
      <c r="N3361" s="88"/>
      <c r="O3361" s="88"/>
      <c r="P3361" s="88"/>
      <c r="Q3361" s="88"/>
      <c r="R3361" s="78">
        <f>MAX(S3361:W3361)</f>
        <v>1</v>
      </c>
      <c r="S3361" s="88"/>
      <c r="T3361" s="88"/>
      <c r="U3361" s="88">
        <v>1</v>
      </c>
      <c r="V3361" s="88"/>
      <c r="W3361" s="88"/>
    </row>
    <row r="3362" spans="2:23" s="0" customFormat="0" ht="15">
      <c r="B3362" s="87" t="s">
        <v>1</v>
      </c>
      <c r="C3362" s="88" t="s">
        <v>5259</v>
      </c>
      <c r="D3362" s="88" t="s">
        <v>4712</v>
      </c>
      <c r="E3362" s="88" t="s">
        <v>61</v>
      </c>
      <c r="F3362" s="88">
        <v>0</v>
      </c>
      <c r="G3362" s="78">
        <f>MAX(H3362,I3362,J3362)</f>
        <v>0</v>
      </c>
      <c r="H3362" s="88"/>
      <c r="I3362" s="88"/>
      <c r="J3362" s="78">
        <f>MAX(K3362:Q3362)</f>
        <v>0</v>
      </c>
      <c r="K3362" s="88"/>
      <c r="L3362" s="88"/>
      <c r="M3362" s="88"/>
      <c r="N3362" s="88"/>
      <c r="O3362" s="88"/>
      <c r="P3362" s="88"/>
      <c r="Q3362" s="88"/>
      <c r="R3362" s="78">
        <f>MAX(S3362:W3362)</f>
        <v>1</v>
      </c>
      <c r="S3362" s="88"/>
      <c r="T3362" s="88"/>
      <c r="U3362" s="88">
        <v>1</v>
      </c>
      <c r="V3362" s="88"/>
      <c r="W3362" s="88"/>
    </row>
    <row r="3363" spans="2:23" s="0" customFormat="0" ht="15">
      <c r="B3363" s="87" t="s">
        <v>1</v>
      </c>
      <c r="C3363" s="88" t="s">
        <v>5259</v>
      </c>
      <c r="D3363" s="88" t="s">
        <v>2196</v>
      </c>
      <c r="E3363" s="88" t="s">
        <v>61</v>
      </c>
      <c r="F3363" s="88">
        <v>0</v>
      </c>
      <c r="G3363" s="78">
        <f>MAX(H3363,I3363,J3363)</f>
        <v>1</v>
      </c>
      <c r="H3363" s="88"/>
      <c r="I3363" s="88"/>
      <c r="J3363" s="78">
        <f>MAX(K3363:Q3363)</f>
        <v>1</v>
      </c>
      <c r="K3363" s="88">
        <v>1</v>
      </c>
      <c r="L3363" s="88"/>
      <c r="M3363" s="88"/>
      <c r="N3363" s="88"/>
      <c r="O3363" s="88"/>
      <c r="P3363" s="88"/>
      <c r="Q3363" s="88"/>
      <c r="R3363" s="78">
        <f>MAX(S3363:W3363)</f>
        <v>0</v>
      </c>
      <c r="S3363" s="88"/>
      <c r="T3363" s="88"/>
      <c r="U3363" s="88"/>
      <c r="V3363" s="88"/>
      <c r="W3363" s="88"/>
    </row>
    <row r="3364" spans="2:23" s="0" customFormat="0" ht="15">
      <c r="B3364" s="87" t="s">
        <v>1</v>
      </c>
      <c r="C3364" s="88" t="s">
        <v>5259</v>
      </c>
      <c r="D3364" s="88">
        <v>17146019</v>
      </c>
      <c r="E3364" s="88" t="s">
        <v>61</v>
      </c>
      <c r="F3364" s="88">
        <v>0</v>
      </c>
      <c r="G3364" s="78">
        <f>MAX(H3364,I3364,J3364)</f>
        <v>1</v>
      </c>
      <c r="H3364" s="88"/>
      <c r="I3364" s="88"/>
      <c r="J3364" s="78">
        <f>MAX(K3364:Q3364)</f>
        <v>1</v>
      </c>
      <c r="K3364" s="88">
        <v>1</v>
      </c>
      <c r="L3364" s="88"/>
      <c r="M3364" s="88"/>
      <c r="N3364" s="88"/>
      <c r="O3364" s="88"/>
      <c r="P3364" s="88"/>
      <c r="Q3364" s="88"/>
      <c r="R3364" s="78">
        <f>MAX(S3364:W3364)</f>
        <v>0</v>
      </c>
      <c r="S3364" s="88"/>
      <c r="T3364" s="88"/>
      <c r="U3364" s="88"/>
      <c r="V3364" s="88"/>
      <c r="W3364" s="88"/>
    </row>
    <row r="3365" spans="2:23" s="0" customFormat="0" ht="15">
      <c r="B3365" s="87" t="s">
        <v>1</v>
      </c>
      <c r="C3365" s="88" t="s">
        <v>5259</v>
      </c>
      <c r="D3365" s="88" t="s">
        <v>4714</v>
      </c>
      <c r="E3365" s="88" t="s">
        <v>61</v>
      </c>
      <c r="F3365" s="88">
        <v>0</v>
      </c>
      <c r="G3365" s="78">
        <f>MAX(H3365,I3365,J3365)</f>
        <v>0</v>
      </c>
      <c r="H3365" s="88"/>
      <c r="I3365" s="88"/>
      <c r="J3365" s="78">
        <f>MAX(K3365:Q3365)</f>
        <v>0</v>
      </c>
      <c r="K3365" s="88"/>
      <c r="L3365" s="88"/>
      <c r="M3365" s="88"/>
      <c r="N3365" s="88"/>
      <c r="O3365" s="88"/>
      <c r="P3365" s="88"/>
      <c r="Q3365" s="88"/>
      <c r="R3365" s="78">
        <f>MAX(S3365:W3365)</f>
        <v>1</v>
      </c>
      <c r="S3365" s="88"/>
      <c r="T3365" s="88"/>
      <c r="U3365" s="88">
        <v>1</v>
      </c>
      <c r="V3365" s="88"/>
      <c r="W3365" s="88"/>
    </row>
    <row r="3366" spans="2:23" s="0" customFormat="0" ht="15">
      <c r="B3366" s="87" t="s">
        <v>1</v>
      </c>
      <c r="C3366" s="88" t="s">
        <v>5259</v>
      </c>
      <c r="D3366" s="88" t="s">
        <v>4689</v>
      </c>
      <c r="E3366" s="88" t="s">
        <v>61</v>
      </c>
      <c r="F3366" s="88">
        <v>0</v>
      </c>
      <c r="G3366" s="78">
        <f>MAX(H3366,I3366,J3366)</f>
        <v>0</v>
      </c>
      <c r="H3366" s="88"/>
      <c r="I3366" s="88"/>
      <c r="J3366" s="78">
        <f>MAX(K3366:Q3366)</f>
        <v>0</v>
      </c>
      <c r="K3366" s="88"/>
      <c r="L3366" s="88"/>
      <c r="M3366" s="88"/>
      <c r="N3366" s="88"/>
      <c r="O3366" s="88"/>
      <c r="P3366" s="88"/>
      <c r="Q3366" s="88"/>
      <c r="R3366" s="78">
        <f>MAX(S3366:W3366)</f>
        <v>1</v>
      </c>
      <c r="S3366" s="88"/>
      <c r="T3366" s="88"/>
      <c r="U3366" s="88">
        <v>1</v>
      </c>
      <c r="V3366" s="88"/>
      <c r="W3366" s="88"/>
    </row>
    <row r="3367" spans="2:23" s="0" customFormat="0" ht="15">
      <c r="B3367" s="87" t="s">
        <v>1</v>
      </c>
      <c r="C3367" s="88" t="s">
        <v>5259</v>
      </c>
      <c r="D3367" s="88" t="s">
        <v>4716</v>
      </c>
      <c r="E3367" s="88" t="s">
        <v>61</v>
      </c>
      <c r="F3367" s="88">
        <v>0</v>
      </c>
      <c r="G3367" s="78">
        <f>MAX(H3367,I3367,J3367)</f>
        <v>0</v>
      </c>
      <c r="H3367" s="88"/>
      <c r="I3367" s="88"/>
      <c r="J3367" s="78">
        <f>MAX(K3367:Q3367)</f>
        <v>0</v>
      </c>
      <c r="K3367" s="88"/>
      <c r="L3367" s="88"/>
      <c r="M3367" s="88"/>
      <c r="N3367" s="88"/>
      <c r="O3367" s="88"/>
      <c r="P3367" s="88"/>
      <c r="Q3367" s="88"/>
      <c r="R3367" s="78">
        <f>MAX(S3367:W3367)</f>
        <v>1</v>
      </c>
      <c r="S3367" s="88"/>
      <c r="T3367" s="88"/>
      <c r="U3367" s="88">
        <v>1</v>
      </c>
      <c r="V3367" s="88"/>
      <c r="W3367" s="88"/>
    </row>
    <row r="3368" spans="2:23" s="0" customFormat="0" ht="15">
      <c r="B3368" s="87" t="s">
        <v>1</v>
      </c>
      <c r="C3368" s="88" t="s">
        <v>5259</v>
      </c>
      <c r="D3368" s="88" t="s">
        <v>3530</v>
      </c>
      <c r="E3368" s="88" t="s">
        <v>61</v>
      </c>
      <c r="F3368" s="88">
        <v>0</v>
      </c>
      <c r="G3368" s="78">
        <f>MAX(H3368,I3368,J3368)</f>
        <v>0</v>
      </c>
      <c r="H3368" s="88"/>
      <c r="I3368" s="88"/>
      <c r="J3368" s="78">
        <f>MAX(K3368:Q3368)</f>
        <v>0</v>
      </c>
      <c r="K3368" s="88"/>
      <c r="L3368" s="88"/>
      <c r="M3368" s="88"/>
      <c r="N3368" s="88"/>
      <c r="O3368" s="88"/>
      <c r="P3368" s="88"/>
      <c r="Q3368" s="88"/>
      <c r="R3368" s="78">
        <f>MAX(S3368:W3368)</f>
        <v>1</v>
      </c>
      <c r="S3368" s="88"/>
      <c r="T3368" s="88"/>
      <c r="U3368" s="88">
        <v>1</v>
      </c>
      <c r="V3368" s="88"/>
      <c r="W3368" s="88"/>
    </row>
    <row r="3369" spans="2:23" s="0" customFormat="0" ht="15">
      <c r="B3369" s="87" t="s">
        <v>1</v>
      </c>
      <c r="C3369" s="88" t="s">
        <v>5259</v>
      </c>
      <c r="D3369" s="88" t="s">
        <v>4718</v>
      </c>
      <c r="E3369" s="88" t="s">
        <v>61</v>
      </c>
      <c r="F3369" s="88">
        <v>0</v>
      </c>
      <c r="G3369" s="78">
        <f>MAX(H3369,I3369,J3369)</f>
        <v>0</v>
      </c>
      <c r="H3369" s="88"/>
      <c r="I3369" s="88"/>
      <c r="J3369" s="78">
        <f>MAX(K3369:Q3369)</f>
        <v>0</v>
      </c>
      <c r="K3369" s="88"/>
      <c r="L3369" s="88"/>
      <c r="M3369" s="88"/>
      <c r="N3369" s="88"/>
      <c r="O3369" s="88"/>
      <c r="P3369" s="88"/>
      <c r="Q3369" s="88"/>
      <c r="R3369" s="78">
        <f>MAX(S3369:W3369)</f>
        <v>1</v>
      </c>
      <c r="S3369" s="88"/>
      <c r="T3369" s="88"/>
      <c r="U3369" s="88">
        <v>1</v>
      </c>
      <c r="V3369" s="88"/>
      <c r="W3369" s="88"/>
    </row>
    <row r="3370" spans="2:23" s="0" customFormat="0" ht="15">
      <c r="B3370" s="87" t="s">
        <v>1</v>
      </c>
      <c r="C3370" s="88" t="s">
        <v>5259</v>
      </c>
      <c r="D3370" s="88">
        <v>23045956</v>
      </c>
      <c r="E3370" s="88" t="s">
        <v>61</v>
      </c>
      <c r="F3370" s="88">
        <v>0</v>
      </c>
      <c r="G3370" s="78">
        <f>MAX(H3370,I3370,J3370)</f>
        <v>1</v>
      </c>
      <c r="H3370" s="88"/>
      <c r="I3370" s="88"/>
      <c r="J3370" s="78">
        <f>MAX(K3370:Q3370)</f>
        <v>1</v>
      </c>
      <c r="K3370" s="88"/>
      <c r="L3370" s="88"/>
      <c r="M3370" s="88">
        <v>1</v>
      </c>
      <c r="N3370" s="88"/>
      <c r="O3370" s="88"/>
      <c r="P3370" s="88"/>
      <c r="Q3370" s="88"/>
      <c r="R3370" s="78">
        <f>MAX(S3370:W3370)</f>
        <v>0</v>
      </c>
      <c r="S3370" s="88"/>
      <c r="T3370" s="88"/>
      <c r="U3370" s="88"/>
      <c r="V3370" s="88"/>
      <c r="W3370" s="88"/>
    </row>
    <row r="3371" spans="2:23" s="0" customFormat="0" ht="15">
      <c r="B3371" s="87" t="s">
        <v>1</v>
      </c>
      <c r="C3371" s="88" t="s">
        <v>5259</v>
      </c>
      <c r="D3371" s="88" t="s">
        <v>2092</v>
      </c>
      <c r="E3371" s="88" t="s">
        <v>61</v>
      </c>
      <c r="F3371" s="88">
        <v>0</v>
      </c>
      <c r="G3371" s="78">
        <f>MAX(H3371,I3371,J3371)</f>
        <v>1</v>
      </c>
      <c r="H3371" s="88"/>
      <c r="I3371" s="88"/>
      <c r="J3371" s="78">
        <f>MAX(K3371:Q3371)</f>
        <v>1</v>
      </c>
      <c r="K3371" s="88">
        <v>1</v>
      </c>
      <c r="L3371" s="88"/>
      <c r="M3371" s="88"/>
      <c r="N3371" s="88"/>
      <c r="O3371" s="88"/>
      <c r="P3371" s="88"/>
      <c r="Q3371" s="88"/>
      <c r="R3371" s="78">
        <f>MAX(S3371:W3371)</f>
        <v>0</v>
      </c>
      <c r="S3371" s="88"/>
      <c r="T3371" s="88"/>
      <c r="U3371" s="88"/>
      <c r="V3371" s="88"/>
      <c r="W3371" s="88"/>
    </row>
    <row r="3372" spans="2:23" s="0" customFormat="0" ht="15">
      <c r="B3372" s="87" t="s">
        <v>1</v>
      </c>
      <c r="C3372" s="88" t="s">
        <v>5259</v>
      </c>
      <c r="D3372" s="88">
        <v>22042367</v>
      </c>
      <c r="E3372" s="88" t="s">
        <v>61</v>
      </c>
      <c r="F3372" s="88">
        <v>0</v>
      </c>
      <c r="G3372" s="78">
        <f>MAX(H3372,I3372,J3372)</f>
        <v>1</v>
      </c>
      <c r="H3372" s="88"/>
      <c r="I3372" s="88"/>
      <c r="J3372" s="78">
        <f>MAX(K3372:Q3372)</f>
        <v>1</v>
      </c>
      <c r="K3372" s="88">
        <v>1</v>
      </c>
      <c r="L3372" s="88"/>
      <c r="M3372" s="88"/>
      <c r="N3372" s="88"/>
      <c r="O3372" s="88"/>
      <c r="P3372" s="88"/>
      <c r="Q3372" s="88"/>
      <c r="R3372" s="78">
        <f>MAX(S3372:W3372)</f>
        <v>0</v>
      </c>
      <c r="S3372" s="88"/>
      <c r="T3372" s="88"/>
      <c r="U3372" s="88"/>
      <c r="V3372" s="88"/>
      <c r="W3372" s="88"/>
    </row>
    <row r="3373" spans="2:23" s="0" customFormat="0" ht="15">
      <c r="B3373" s="87" t="s">
        <v>1</v>
      </c>
      <c r="C3373" s="88" t="s">
        <v>5259</v>
      </c>
      <c r="D3373" s="88">
        <v>22554274</v>
      </c>
      <c r="E3373" s="88" t="s">
        <v>61</v>
      </c>
      <c r="F3373" s="88">
        <v>0</v>
      </c>
      <c r="G3373" s="78">
        <f>MAX(H3373,I3373,J3373)</f>
        <v>0</v>
      </c>
      <c r="H3373" s="88"/>
      <c r="I3373" s="88"/>
      <c r="J3373" s="78">
        <f>MAX(K3373:Q3373)</f>
        <v>0</v>
      </c>
      <c r="K3373" s="88"/>
      <c r="L3373" s="88"/>
      <c r="M3373" s="88"/>
      <c r="N3373" s="88"/>
      <c r="O3373" s="88"/>
      <c r="P3373" s="88"/>
      <c r="Q3373" s="88"/>
      <c r="R3373" s="78">
        <f>MAX(S3373:W3373)</f>
        <v>1</v>
      </c>
      <c r="S3373" s="88"/>
      <c r="T3373" s="88"/>
      <c r="U3373" s="88">
        <v>1</v>
      </c>
      <c r="V3373" s="88"/>
      <c r="W3373" s="88"/>
    </row>
    <row r="3374" spans="2:23" s="0" customFormat="0" ht="15">
      <c r="B3374" s="87" t="s">
        <v>1</v>
      </c>
      <c r="C3374" s="88" t="s">
        <v>5259</v>
      </c>
      <c r="D3374" s="88">
        <v>4107885</v>
      </c>
      <c r="E3374" s="88" t="s">
        <v>61</v>
      </c>
      <c r="F3374" s="88">
        <v>0</v>
      </c>
      <c r="G3374" s="78">
        <f>MAX(H3374,I3374,J3374)</f>
        <v>1</v>
      </c>
      <c r="H3374" s="88"/>
      <c r="I3374" s="88"/>
      <c r="J3374" s="78">
        <f>MAX(K3374:Q3374)</f>
        <v>1</v>
      </c>
      <c r="K3374" s="88">
        <v>1</v>
      </c>
      <c r="L3374" s="88"/>
      <c r="M3374" s="88"/>
      <c r="N3374" s="88"/>
      <c r="O3374" s="88"/>
      <c r="P3374" s="88"/>
      <c r="Q3374" s="88"/>
      <c r="R3374" s="78">
        <f>MAX(S3374:W3374)</f>
        <v>0</v>
      </c>
      <c r="S3374" s="88"/>
      <c r="T3374" s="88"/>
      <c r="U3374" s="88"/>
      <c r="V3374" s="88"/>
      <c r="W3374" s="88"/>
    </row>
    <row r="3375" spans="2:23" s="0" customFormat="0" ht="15">
      <c r="B3375" s="87" t="s">
        <v>1</v>
      </c>
      <c r="C3375" s="88" t="s">
        <v>5259</v>
      </c>
      <c r="D3375" s="88" t="s">
        <v>3469</v>
      </c>
      <c r="E3375" s="88" t="s">
        <v>61</v>
      </c>
      <c r="F3375" s="88">
        <v>0</v>
      </c>
      <c r="G3375" s="78">
        <f>MAX(H3375,I3375,J3375)</f>
        <v>0</v>
      </c>
      <c r="H3375" s="88"/>
      <c r="I3375" s="88"/>
      <c r="J3375" s="78">
        <f>MAX(K3375:Q3375)</f>
        <v>0</v>
      </c>
      <c r="K3375" s="88"/>
      <c r="L3375" s="88"/>
      <c r="M3375" s="88"/>
      <c r="N3375" s="88"/>
      <c r="O3375" s="88"/>
      <c r="P3375" s="88"/>
      <c r="Q3375" s="88"/>
      <c r="R3375" s="78">
        <f>MAX(S3375:W3375)</f>
        <v>1</v>
      </c>
      <c r="S3375" s="88"/>
      <c r="T3375" s="88"/>
      <c r="U3375" s="88">
        <v>1</v>
      </c>
      <c r="V3375" s="88"/>
      <c r="W3375" s="88"/>
    </row>
    <row r="3376" spans="2:23" s="0" customFormat="0" ht="15">
      <c r="B3376" s="87" t="s">
        <v>1</v>
      </c>
      <c r="C3376" s="88" t="s">
        <v>5259</v>
      </c>
      <c r="D3376" s="88">
        <v>11218526</v>
      </c>
      <c r="E3376" s="88" t="s">
        <v>61</v>
      </c>
      <c r="F3376" s="88">
        <v>0</v>
      </c>
      <c r="G3376" s="78">
        <f>MAX(H3376,I3376,J3376)</f>
        <v>1</v>
      </c>
      <c r="H3376" s="88"/>
      <c r="I3376" s="88"/>
      <c r="J3376" s="78">
        <f>MAX(K3376:Q3376)</f>
        <v>1</v>
      </c>
      <c r="K3376" s="88">
        <v>1</v>
      </c>
      <c r="L3376" s="88"/>
      <c r="M3376" s="88"/>
      <c r="N3376" s="88"/>
      <c r="O3376" s="88"/>
      <c r="P3376" s="88"/>
      <c r="Q3376" s="88"/>
      <c r="R3376" s="78">
        <f>MAX(S3376:W3376)</f>
        <v>0</v>
      </c>
      <c r="S3376" s="88"/>
      <c r="T3376" s="88"/>
      <c r="U3376" s="88"/>
      <c r="V3376" s="88"/>
      <c r="W3376" s="88"/>
    </row>
    <row r="3377" spans="2:23" s="0" customFormat="0" ht="15">
      <c r="B3377" s="87" t="s">
        <v>1</v>
      </c>
      <c r="C3377" s="88" t="s">
        <v>5259</v>
      </c>
      <c r="D3377" s="88">
        <v>21908432</v>
      </c>
      <c r="E3377" s="88" t="s">
        <v>61</v>
      </c>
      <c r="F3377" s="88">
        <v>0</v>
      </c>
      <c r="G3377" s="78">
        <f>MAX(H3377,I3377,J3377)</f>
        <v>1</v>
      </c>
      <c r="H3377" s="88"/>
      <c r="I3377" s="88"/>
      <c r="J3377" s="78">
        <f>MAX(K3377:Q3377)</f>
        <v>1</v>
      </c>
      <c r="K3377" s="88">
        <v>1</v>
      </c>
      <c r="L3377" s="88"/>
      <c r="M3377" s="88"/>
      <c r="N3377" s="88"/>
      <c r="O3377" s="88"/>
      <c r="P3377" s="88"/>
      <c r="Q3377" s="88"/>
      <c r="R3377" s="78">
        <f>MAX(S3377:W3377)</f>
        <v>0</v>
      </c>
      <c r="S3377" s="88"/>
      <c r="T3377" s="88"/>
      <c r="U3377" s="88"/>
      <c r="V3377" s="88"/>
      <c r="W3377" s="88"/>
    </row>
    <row r="3378" spans="2:23" s="0" customFormat="0" ht="15">
      <c r="B3378" s="87" t="s">
        <v>1</v>
      </c>
      <c r="C3378" s="88" t="s">
        <v>5259</v>
      </c>
      <c r="D3378" s="88" t="s">
        <v>3262</v>
      </c>
      <c r="E3378" s="88" t="s">
        <v>61</v>
      </c>
      <c r="F3378" s="88">
        <v>0</v>
      </c>
      <c r="G3378" s="78">
        <f>MAX(H3378,I3378,J3378)</f>
        <v>0</v>
      </c>
      <c r="H3378" s="88"/>
      <c r="I3378" s="88"/>
      <c r="J3378" s="78">
        <f>MAX(K3378:Q3378)</f>
        <v>0</v>
      </c>
      <c r="K3378" s="88"/>
      <c r="L3378" s="88"/>
      <c r="M3378" s="88"/>
      <c r="N3378" s="88"/>
      <c r="O3378" s="88"/>
      <c r="P3378" s="88"/>
      <c r="Q3378" s="88"/>
      <c r="R3378" s="78">
        <f>MAX(S3378:W3378)</f>
        <v>1</v>
      </c>
      <c r="S3378" s="88"/>
      <c r="T3378" s="88"/>
      <c r="U3378" s="88"/>
      <c r="V3378" s="88">
        <v>1</v>
      </c>
      <c r="W3378" s="88"/>
    </row>
    <row r="3379" spans="2:23" s="0" customFormat="0" ht="15">
      <c r="B3379" s="87" t="s">
        <v>1</v>
      </c>
      <c r="C3379" s="88" t="s">
        <v>5259</v>
      </c>
      <c r="D3379" s="88" t="s">
        <v>4271</v>
      </c>
      <c r="E3379" s="88" t="s">
        <v>61</v>
      </c>
      <c r="F3379" s="88">
        <v>0</v>
      </c>
      <c r="G3379" s="78">
        <f>MAX(H3379,I3379,J3379)</f>
        <v>0</v>
      </c>
      <c r="H3379" s="88"/>
      <c r="I3379" s="88"/>
      <c r="J3379" s="78">
        <f>MAX(K3379:Q3379)</f>
        <v>0</v>
      </c>
      <c r="K3379" s="88"/>
      <c r="L3379" s="88"/>
      <c r="M3379" s="88"/>
      <c r="N3379" s="88"/>
      <c r="O3379" s="88"/>
      <c r="P3379" s="88"/>
      <c r="Q3379" s="88"/>
      <c r="R3379" s="78">
        <f>MAX(S3379:W3379)</f>
        <v>1</v>
      </c>
      <c r="S3379" s="88"/>
      <c r="T3379" s="88"/>
      <c r="U3379" s="88">
        <v>1</v>
      </c>
      <c r="V3379" s="88"/>
      <c r="W3379" s="88"/>
    </row>
    <row r="3380" spans="2:23" s="0" customFormat="0" ht="15">
      <c r="B3380" s="87" t="s">
        <v>1</v>
      </c>
      <c r="C3380" s="88" t="s">
        <v>5259</v>
      </c>
      <c r="D3380" s="88" t="s">
        <v>4445</v>
      </c>
      <c r="E3380" s="88" t="s">
        <v>61</v>
      </c>
      <c r="F3380" s="88">
        <v>0</v>
      </c>
      <c r="G3380" s="78">
        <f>MAX(H3380,I3380,J3380)</f>
        <v>0</v>
      </c>
      <c r="H3380" s="88"/>
      <c r="I3380" s="88"/>
      <c r="J3380" s="78">
        <f>MAX(K3380:Q3380)</f>
        <v>0</v>
      </c>
      <c r="K3380" s="88"/>
      <c r="L3380" s="88"/>
      <c r="M3380" s="88"/>
      <c r="N3380" s="88"/>
      <c r="O3380" s="88"/>
      <c r="P3380" s="88"/>
      <c r="Q3380" s="88"/>
      <c r="R3380" s="78">
        <f>MAX(S3380:W3380)</f>
        <v>1</v>
      </c>
      <c r="S3380" s="88"/>
      <c r="T3380" s="88"/>
      <c r="U3380" s="88">
        <v>1</v>
      </c>
      <c r="V3380" s="88"/>
      <c r="W3380" s="88"/>
    </row>
    <row r="3381" spans="2:23" s="0" customFormat="0" ht="15">
      <c r="B3381" s="87" t="s">
        <v>1</v>
      </c>
      <c r="C3381" s="88" t="s">
        <v>5259</v>
      </c>
      <c r="D3381" s="88">
        <v>19567725</v>
      </c>
      <c r="E3381" s="88" t="s">
        <v>61</v>
      </c>
      <c r="F3381" s="88">
        <v>0</v>
      </c>
      <c r="G3381" s="78">
        <f>MAX(H3381,I3381,J3381)</f>
        <v>0</v>
      </c>
      <c r="H3381" s="88"/>
      <c r="I3381" s="88"/>
      <c r="J3381" s="78">
        <f>MAX(K3381:Q3381)</f>
        <v>0</v>
      </c>
      <c r="K3381" s="88"/>
      <c r="L3381" s="88"/>
      <c r="M3381" s="88"/>
      <c r="N3381" s="88"/>
      <c r="O3381" s="88"/>
      <c r="P3381" s="88"/>
      <c r="Q3381" s="88"/>
      <c r="R3381" s="78">
        <f>MAX(S3381:W3381)</f>
        <v>1</v>
      </c>
      <c r="S3381" s="88"/>
      <c r="T3381" s="88"/>
      <c r="U3381" s="88">
        <v>1</v>
      </c>
      <c r="V3381" s="88"/>
      <c r="W3381" s="88"/>
    </row>
    <row r="3382" spans="2:23" s="0" customFormat="0" ht="15">
      <c r="B3382" s="87" t="s">
        <v>1</v>
      </c>
      <c r="C3382" s="88" t="s">
        <v>5259</v>
      </c>
      <c r="D3382" s="88">
        <v>17478578</v>
      </c>
      <c r="E3382" s="88" t="s">
        <v>61</v>
      </c>
      <c r="F3382" s="88">
        <v>0</v>
      </c>
      <c r="G3382" s="78">
        <f>MAX(H3382,I3382,J3382)</f>
        <v>1</v>
      </c>
      <c r="H3382" s="88"/>
      <c r="I3382" s="88"/>
      <c r="J3382" s="78">
        <f>MAX(K3382:Q3382)</f>
        <v>1</v>
      </c>
      <c r="K3382" s="88">
        <v>1</v>
      </c>
      <c r="L3382" s="88"/>
      <c r="M3382" s="88"/>
      <c r="N3382" s="88"/>
      <c r="O3382" s="88"/>
      <c r="P3382" s="88"/>
      <c r="Q3382" s="88"/>
      <c r="R3382" s="78">
        <f>MAX(S3382:W3382)</f>
        <v>0</v>
      </c>
      <c r="S3382" s="88"/>
      <c r="T3382" s="88"/>
      <c r="U3382" s="88"/>
      <c r="V3382" s="88"/>
      <c r="W3382" s="88"/>
    </row>
    <row r="3383" spans="2:23" s="0" customFormat="0" ht="15">
      <c r="B3383" s="87" t="s">
        <v>1</v>
      </c>
      <c r="C3383" s="88" t="s">
        <v>5259</v>
      </c>
      <c r="D3383" s="88" t="s">
        <v>2201</v>
      </c>
      <c r="E3383" s="88" t="s">
        <v>61</v>
      </c>
      <c r="F3383" s="88">
        <v>0</v>
      </c>
      <c r="G3383" s="78">
        <f>MAX(H3383,I3383,J3383)</f>
        <v>1</v>
      </c>
      <c r="H3383" s="88"/>
      <c r="I3383" s="88"/>
      <c r="J3383" s="78">
        <f>MAX(K3383:Q3383)</f>
        <v>1</v>
      </c>
      <c r="K3383" s="88">
        <v>1</v>
      </c>
      <c r="L3383" s="88"/>
      <c r="M3383" s="88"/>
      <c r="N3383" s="88"/>
      <c r="O3383" s="88"/>
      <c r="P3383" s="88"/>
      <c r="Q3383" s="88"/>
      <c r="R3383" s="78">
        <f>MAX(S3383:W3383)</f>
        <v>0</v>
      </c>
      <c r="S3383" s="88"/>
      <c r="T3383" s="88"/>
      <c r="U3383" s="88"/>
      <c r="V3383" s="88"/>
      <c r="W3383" s="88"/>
    </row>
    <row r="3384" spans="2:23" s="0" customFormat="0" ht="15">
      <c r="B3384" s="87" t="s">
        <v>1</v>
      </c>
      <c r="C3384" s="88" t="s">
        <v>5259</v>
      </c>
      <c r="D3384" s="88" t="s">
        <v>4198</v>
      </c>
      <c r="E3384" s="88" t="s">
        <v>61</v>
      </c>
      <c r="F3384" s="88">
        <v>0</v>
      </c>
      <c r="G3384" s="78">
        <f>MAX(H3384,I3384,J3384)</f>
        <v>0</v>
      </c>
      <c r="H3384" s="88"/>
      <c r="I3384" s="88"/>
      <c r="J3384" s="78">
        <f>MAX(K3384:Q3384)</f>
        <v>0</v>
      </c>
      <c r="K3384" s="88"/>
      <c r="L3384" s="88"/>
      <c r="M3384" s="88"/>
      <c r="N3384" s="88"/>
      <c r="O3384" s="88"/>
      <c r="P3384" s="88"/>
      <c r="Q3384" s="88"/>
      <c r="R3384" s="78">
        <f>MAX(S3384:W3384)</f>
        <v>1</v>
      </c>
      <c r="S3384" s="88"/>
      <c r="T3384" s="88"/>
      <c r="U3384" s="88">
        <v>1</v>
      </c>
      <c r="V3384" s="88"/>
      <c r="W3384" s="88"/>
    </row>
    <row r="3385" spans="2:23" s="0" customFormat="0" ht="15">
      <c r="B3385" s="87" t="s">
        <v>1</v>
      </c>
      <c r="C3385" s="88" t="s">
        <v>5259</v>
      </c>
      <c r="D3385" s="88" t="s">
        <v>4477</v>
      </c>
      <c r="E3385" s="88" t="s">
        <v>61</v>
      </c>
      <c r="F3385" s="88">
        <v>0</v>
      </c>
      <c r="G3385" s="78">
        <f>MAX(H3385,I3385,J3385)</f>
        <v>0</v>
      </c>
      <c r="H3385" s="88"/>
      <c r="I3385" s="88"/>
      <c r="J3385" s="78">
        <f>MAX(K3385:Q3385)</f>
        <v>0</v>
      </c>
      <c r="K3385" s="88"/>
      <c r="L3385" s="88"/>
      <c r="M3385" s="88"/>
      <c r="N3385" s="88"/>
      <c r="O3385" s="88"/>
      <c r="P3385" s="88"/>
      <c r="Q3385" s="88"/>
      <c r="R3385" s="78">
        <f>MAX(S3385:W3385)</f>
        <v>1</v>
      </c>
      <c r="S3385" s="88"/>
      <c r="T3385" s="88"/>
      <c r="U3385" s="88">
        <v>1</v>
      </c>
      <c r="V3385" s="88"/>
      <c r="W3385" s="88"/>
    </row>
    <row r="3386" spans="2:23" s="0" customFormat="0" ht="15">
      <c r="B3386" s="87" t="s">
        <v>1</v>
      </c>
      <c r="C3386" s="88" t="s">
        <v>5259</v>
      </c>
      <c r="D3386" s="88">
        <v>23364894</v>
      </c>
      <c r="E3386" s="88" t="s">
        <v>61</v>
      </c>
      <c r="F3386" s="88">
        <v>0</v>
      </c>
      <c r="G3386" s="78">
        <f>MAX(H3386,I3386,J3386)</f>
        <v>1</v>
      </c>
      <c r="H3386" s="88"/>
      <c r="I3386" s="88"/>
      <c r="J3386" s="78">
        <f>MAX(K3386:Q3386)</f>
        <v>1</v>
      </c>
      <c r="K3386" s="88">
        <v>1</v>
      </c>
      <c r="L3386" s="88"/>
      <c r="M3386" s="88"/>
      <c r="N3386" s="88"/>
      <c r="O3386" s="88"/>
      <c r="P3386" s="88"/>
      <c r="Q3386" s="88"/>
      <c r="R3386" s="78">
        <f>MAX(S3386:W3386)</f>
        <v>0</v>
      </c>
      <c r="S3386" s="88"/>
      <c r="T3386" s="88"/>
      <c r="U3386" s="88"/>
      <c r="V3386" s="88"/>
      <c r="W3386" s="88"/>
    </row>
    <row r="3387" spans="2:23" s="0" customFormat="0" ht="15">
      <c r="B3387" s="87" t="s">
        <v>1</v>
      </c>
      <c r="C3387" s="88" t="s">
        <v>5259</v>
      </c>
      <c r="D3387" s="88">
        <v>17809766</v>
      </c>
      <c r="E3387" s="88" t="s">
        <v>61</v>
      </c>
      <c r="F3387" s="88">
        <v>0</v>
      </c>
      <c r="G3387" s="78">
        <f>MAX(H3387,I3387,J3387)</f>
        <v>1</v>
      </c>
      <c r="H3387" s="88"/>
      <c r="I3387" s="88"/>
      <c r="J3387" s="78">
        <f>MAX(K3387:Q3387)</f>
        <v>1</v>
      </c>
      <c r="K3387" s="88"/>
      <c r="L3387" s="88">
        <v>1</v>
      </c>
      <c r="M3387" s="88"/>
      <c r="N3387" s="88"/>
      <c r="O3387" s="88"/>
      <c r="P3387" s="88"/>
      <c r="Q3387" s="88"/>
      <c r="R3387" s="78">
        <f>MAX(S3387:W3387)</f>
        <v>0</v>
      </c>
      <c r="S3387" s="88"/>
      <c r="T3387" s="88"/>
      <c r="U3387" s="88"/>
      <c r="V3387" s="88"/>
      <c r="W3387" s="88"/>
    </row>
    <row r="3388" spans="2:23" s="0" customFormat="0" ht="15">
      <c r="B3388" s="87" t="s">
        <v>1</v>
      </c>
      <c r="C3388" s="88" t="s">
        <v>5259</v>
      </c>
      <c r="D3388" s="88">
        <v>10211113</v>
      </c>
      <c r="E3388" s="88" t="s">
        <v>61</v>
      </c>
      <c r="F3388" s="88">
        <v>0</v>
      </c>
      <c r="G3388" s="78">
        <f>MAX(H3388,I3388,J3388)</f>
        <v>1</v>
      </c>
      <c r="H3388" s="88"/>
      <c r="I3388" s="88"/>
      <c r="J3388" s="78">
        <f>MAX(K3388:Q3388)</f>
        <v>1</v>
      </c>
      <c r="K3388" s="88">
        <v>1</v>
      </c>
      <c r="L3388" s="88"/>
      <c r="M3388" s="88"/>
      <c r="N3388" s="88"/>
      <c r="O3388" s="88"/>
      <c r="P3388" s="88"/>
      <c r="Q3388" s="88"/>
      <c r="R3388" s="78">
        <f>MAX(S3388:W3388)</f>
        <v>0</v>
      </c>
      <c r="S3388" s="88"/>
      <c r="T3388" s="88"/>
      <c r="U3388" s="88"/>
      <c r="V3388" s="88"/>
      <c r="W3388" s="88"/>
    </row>
    <row r="3389" spans="2:23" s="0" customFormat="0" ht="15">
      <c r="B3389" s="87" t="s">
        <v>1</v>
      </c>
      <c r="C3389" s="88" t="s">
        <v>5259</v>
      </c>
      <c r="D3389" s="88" t="s">
        <v>4196</v>
      </c>
      <c r="E3389" s="88" t="s">
        <v>61</v>
      </c>
      <c r="F3389" s="88">
        <v>0</v>
      </c>
      <c r="G3389" s="78">
        <f>MAX(H3389,I3389,J3389)</f>
        <v>0</v>
      </c>
      <c r="H3389" s="88"/>
      <c r="I3389" s="88"/>
      <c r="J3389" s="78">
        <f>MAX(K3389:Q3389)</f>
        <v>0</v>
      </c>
      <c r="K3389" s="88"/>
      <c r="L3389" s="88"/>
      <c r="M3389" s="88"/>
      <c r="N3389" s="88"/>
      <c r="O3389" s="88"/>
      <c r="P3389" s="88"/>
      <c r="Q3389" s="88"/>
      <c r="R3389" s="78">
        <f>MAX(S3389:W3389)</f>
        <v>1</v>
      </c>
      <c r="S3389" s="88"/>
      <c r="T3389" s="88"/>
      <c r="U3389" s="88">
        <v>1</v>
      </c>
      <c r="V3389" s="88"/>
      <c r="W3389" s="88"/>
    </row>
    <row r="3390" spans="2:23" s="0" customFormat="0" ht="15">
      <c r="B3390" s="87" t="s">
        <v>1</v>
      </c>
      <c r="C3390" s="88" t="s">
        <v>5259</v>
      </c>
      <c r="D3390" s="88" t="s">
        <v>4722</v>
      </c>
      <c r="E3390" s="88" t="s">
        <v>61</v>
      </c>
      <c r="F3390" s="88">
        <v>0</v>
      </c>
      <c r="G3390" s="78">
        <f>MAX(H3390,I3390,J3390)</f>
        <v>0</v>
      </c>
      <c r="H3390" s="88"/>
      <c r="I3390" s="88"/>
      <c r="J3390" s="78">
        <f>MAX(K3390:Q3390)</f>
        <v>0</v>
      </c>
      <c r="K3390" s="88"/>
      <c r="L3390" s="88"/>
      <c r="M3390" s="88"/>
      <c r="N3390" s="88"/>
      <c r="O3390" s="88"/>
      <c r="P3390" s="88"/>
      <c r="Q3390" s="88"/>
      <c r="R3390" s="78">
        <f>MAX(S3390:W3390)</f>
        <v>1</v>
      </c>
      <c r="S3390" s="88"/>
      <c r="T3390" s="88"/>
      <c r="U3390" s="88">
        <v>1</v>
      </c>
      <c r="V3390" s="88"/>
      <c r="W3390" s="88"/>
    </row>
    <row r="3391" spans="2:23" s="0" customFormat="0" ht="15">
      <c r="B3391" s="87" t="s">
        <v>1</v>
      </c>
      <c r="C3391" s="88" t="s">
        <v>5259</v>
      </c>
      <c r="D3391" s="88" t="s">
        <v>4117</v>
      </c>
      <c r="E3391" s="88" t="s">
        <v>61</v>
      </c>
      <c r="F3391" s="88">
        <v>0</v>
      </c>
      <c r="G3391" s="78">
        <f>MAX(H3391,I3391,J3391)</f>
        <v>0</v>
      </c>
      <c r="H3391" s="88"/>
      <c r="I3391" s="88"/>
      <c r="J3391" s="78">
        <f>MAX(K3391:Q3391)</f>
        <v>0</v>
      </c>
      <c r="K3391" s="88"/>
      <c r="L3391" s="88"/>
      <c r="M3391" s="88"/>
      <c r="N3391" s="88"/>
      <c r="O3391" s="88"/>
      <c r="P3391" s="88"/>
      <c r="Q3391" s="88"/>
      <c r="R3391" s="78">
        <f>MAX(S3391:W3391)</f>
        <v>1</v>
      </c>
      <c r="S3391" s="88"/>
      <c r="T3391" s="88"/>
      <c r="U3391" s="88">
        <v>1</v>
      </c>
      <c r="V3391" s="88"/>
      <c r="W3391" s="88"/>
    </row>
    <row r="3392" spans="2:23" s="0" customFormat="0" ht="15">
      <c r="B3392" s="87" t="s">
        <v>1</v>
      </c>
      <c r="C3392" s="88" t="s">
        <v>5259</v>
      </c>
      <c r="D3392" s="88">
        <v>21005401</v>
      </c>
      <c r="E3392" s="88" t="s">
        <v>61</v>
      </c>
      <c r="F3392" s="88">
        <v>0</v>
      </c>
      <c r="G3392" s="78">
        <f>MAX(H3392,I3392,J3392)</f>
        <v>1</v>
      </c>
      <c r="H3392" s="88"/>
      <c r="I3392" s="88"/>
      <c r="J3392" s="78">
        <f>MAX(K3392:Q3392)</f>
        <v>1</v>
      </c>
      <c r="K3392" s="88">
        <v>1</v>
      </c>
      <c r="L3392" s="88"/>
      <c r="M3392" s="88"/>
      <c r="N3392" s="88"/>
      <c r="O3392" s="88"/>
      <c r="P3392" s="88"/>
      <c r="Q3392" s="88"/>
      <c r="R3392" s="78">
        <f>MAX(S3392:W3392)</f>
        <v>0</v>
      </c>
      <c r="S3392" s="88"/>
      <c r="T3392" s="88"/>
      <c r="U3392" s="88"/>
      <c r="V3392" s="88"/>
      <c r="W3392" s="88"/>
    </row>
    <row r="3393" spans="2:23" s="0" customFormat="0" ht="15">
      <c r="B3393" s="87" t="s">
        <v>1</v>
      </c>
      <c r="C3393" s="88" t="s">
        <v>5259</v>
      </c>
      <c r="D3393" s="88">
        <v>19762439</v>
      </c>
      <c r="E3393" s="88" t="s">
        <v>61</v>
      </c>
      <c r="F3393" s="88">
        <v>0</v>
      </c>
      <c r="G3393" s="78">
        <f>MAX(H3393,I3393,J3393)</f>
        <v>1</v>
      </c>
      <c r="H3393" s="88"/>
      <c r="I3393" s="88"/>
      <c r="J3393" s="78">
        <f>MAX(K3393:Q3393)</f>
        <v>1</v>
      </c>
      <c r="K3393" s="88">
        <v>1</v>
      </c>
      <c r="L3393" s="88"/>
      <c r="M3393" s="88"/>
      <c r="N3393" s="88"/>
      <c r="O3393" s="88"/>
      <c r="P3393" s="88"/>
      <c r="Q3393" s="88"/>
      <c r="R3393" s="78">
        <f>MAX(S3393:W3393)</f>
        <v>0</v>
      </c>
      <c r="S3393" s="88"/>
      <c r="T3393" s="88"/>
      <c r="U3393" s="88"/>
      <c r="V3393" s="88"/>
      <c r="W3393" s="88"/>
    </row>
    <row r="3394" spans="2:23" s="0" customFormat="0" ht="15">
      <c r="B3394" s="87" t="s">
        <v>1</v>
      </c>
      <c r="C3394" s="88" t="s">
        <v>5259</v>
      </c>
      <c r="D3394" s="88" t="s">
        <v>3935</v>
      </c>
      <c r="E3394" s="88" t="s">
        <v>61</v>
      </c>
      <c r="F3394" s="88">
        <v>0</v>
      </c>
      <c r="G3394" s="78">
        <f>MAX(H3394,I3394,J3394)</f>
        <v>0</v>
      </c>
      <c r="H3394" s="88"/>
      <c r="I3394" s="88"/>
      <c r="J3394" s="78">
        <f>MAX(K3394:Q3394)</f>
        <v>0</v>
      </c>
      <c r="K3394" s="88"/>
      <c r="L3394" s="88"/>
      <c r="M3394" s="88"/>
      <c r="N3394" s="88"/>
      <c r="O3394" s="88"/>
      <c r="P3394" s="88"/>
      <c r="Q3394" s="88"/>
      <c r="R3394" s="78">
        <f>MAX(S3394:W3394)</f>
        <v>1</v>
      </c>
      <c r="S3394" s="88"/>
      <c r="T3394" s="88"/>
      <c r="U3394" s="88">
        <v>1</v>
      </c>
      <c r="V3394" s="88"/>
      <c r="W3394" s="88"/>
    </row>
    <row r="3395" spans="2:23" s="0" customFormat="0" ht="15">
      <c r="B3395" s="87" t="s">
        <v>1</v>
      </c>
      <c r="C3395" s="88" t="s">
        <v>5259</v>
      </c>
      <c r="D3395" s="88">
        <v>22390625</v>
      </c>
      <c r="E3395" s="88" t="s">
        <v>61</v>
      </c>
      <c r="F3395" s="88">
        <v>0</v>
      </c>
      <c r="G3395" s="78">
        <f>MAX(H3395,I3395,J3395)</f>
        <v>1</v>
      </c>
      <c r="H3395" s="88"/>
      <c r="I3395" s="88"/>
      <c r="J3395" s="78">
        <f>MAX(K3395:Q3395)</f>
        <v>1</v>
      </c>
      <c r="K3395" s="88"/>
      <c r="L3395" s="88">
        <v>1</v>
      </c>
      <c r="M3395" s="88"/>
      <c r="N3395" s="88"/>
      <c r="O3395" s="88"/>
      <c r="P3395" s="88"/>
      <c r="Q3395" s="88"/>
      <c r="R3395" s="78">
        <f>MAX(S3395:W3395)</f>
        <v>0</v>
      </c>
      <c r="S3395" s="88"/>
      <c r="T3395" s="88"/>
      <c r="U3395" s="88"/>
      <c r="V3395" s="88"/>
      <c r="W3395" s="88"/>
    </row>
    <row r="3396" spans="2:23" s="0" customFormat="0" ht="15">
      <c r="B3396" s="87" t="s">
        <v>1</v>
      </c>
      <c r="C3396" s="88" t="s">
        <v>5259</v>
      </c>
      <c r="D3396" s="88" t="s">
        <v>209</v>
      </c>
      <c r="E3396" s="88" t="s">
        <v>61</v>
      </c>
      <c r="F3396" s="88">
        <v>0</v>
      </c>
      <c r="G3396" s="78">
        <f>MAX(H3396,I3396,J3396)</f>
        <v>1</v>
      </c>
      <c r="H3396" s="88"/>
      <c r="I3396" s="88"/>
      <c r="J3396" s="78">
        <f>MAX(K3396:Q3396)</f>
        <v>1</v>
      </c>
      <c r="K3396" s="88">
        <v>1</v>
      </c>
      <c r="L3396" s="88"/>
      <c r="M3396" s="88"/>
      <c r="N3396" s="88"/>
      <c r="O3396" s="88"/>
      <c r="P3396" s="88"/>
      <c r="Q3396" s="88"/>
      <c r="R3396" s="78">
        <f>MAX(S3396:W3396)</f>
        <v>0</v>
      </c>
      <c r="S3396" s="88"/>
      <c r="T3396" s="88"/>
      <c r="U3396" s="88"/>
      <c r="V3396" s="88"/>
      <c r="W3396" s="88"/>
    </row>
    <row r="3397" spans="2:23" s="0" customFormat="0" ht="15">
      <c r="B3397" s="87" t="s">
        <v>1</v>
      </c>
      <c r="C3397" s="88" t="s">
        <v>5259</v>
      </c>
      <c r="D3397" s="88">
        <v>9530605</v>
      </c>
      <c r="E3397" s="88" t="s">
        <v>61</v>
      </c>
      <c r="F3397" s="88">
        <v>0</v>
      </c>
      <c r="G3397" s="78">
        <f>MAX(H3397,I3397,J3397)</f>
        <v>1</v>
      </c>
      <c r="H3397" s="88"/>
      <c r="I3397" s="88"/>
      <c r="J3397" s="78">
        <f>MAX(K3397:Q3397)</f>
        <v>1</v>
      </c>
      <c r="K3397" s="88">
        <v>1</v>
      </c>
      <c r="L3397" s="88"/>
      <c r="M3397" s="88"/>
      <c r="N3397" s="88"/>
      <c r="O3397" s="88"/>
      <c r="P3397" s="88"/>
      <c r="Q3397" s="88"/>
      <c r="R3397" s="78">
        <f>MAX(S3397:W3397)</f>
        <v>0</v>
      </c>
      <c r="S3397" s="88"/>
      <c r="T3397" s="88"/>
      <c r="U3397" s="88"/>
      <c r="V3397" s="88"/>
      <c r="W3397" s="88"/>
    </row>
    <row r="3398" spans="2:23" s="0" customFormat="0" ht="15">
      <c r="B3398" s="87" t="s">
        <v>1</v>
      </c>
      <c r="C3398" s="88" t="s">
        <v>5259</v>
      </c>
      <c r="D3398" s="88">
        <v>17490485</v>
      </c>
      <c r="E3398" s="88" t="s">
        <v>61</v>
      </c>
      <c r="F3398" s="88">
        <v>0</v>
      </c>
      <c r="G3398" s="78">
        <f>MAX(H3398,I3398,J3398)</f>
        <v>1</v>
      </c>
      <c r="H3398" s="88"/>
      <c r="I3398" s="88"/>
      <c r="J3398" s="78">
        <f>MAX(K3398:Q3398)</f>
        <v>1</v>
      </c>
      <c r="K3398" s="88">
        <v>1</v>
      </c>
      <c r="L3398" s="88"/>
      <c r="M3398" s="88"/>
      <c r="N3398" s="88"/>
      <c r="O3398" s="88"/>
      <c r="P3398" s="88"/>
      <c r="Q3398" s="88"/>
      <c r="R3398" s="78">
        <f>MAX(S3398:W3398)</f>
        <v>0</v>
      </c>
      <c r="S3398" s="88"/>
      <c r="T3398" s="88"/>
      <c r="U3398" s="88"/>
      <c r="V3398" s="88"/>
      <c r="W3398" s="88"/>
    </row>
    <row r="3399" spans="2:23" s="0" customFormat="0" ht="15">
      <c r="B3399" s="87" t="s">
        <v>1</v>
      </c>
      <c r="C3399" s="88" t="s">
        <v>5259</v>
      </c>
      <c r="D3399" s="88" t="s">
        <v>367</v>
      </c>
      <c r="E3399" s="88" t="s">
        <v>61</v>
      </c>
      <c r="F3399" s="88">
        <v>0</v>
      </c>
      <c r="G3399" s="78">
        <f>MAX(H3399,I3399,J3399)</f>
        <v>1</v>
      </c>
      <c r="H3399" s="88"/>
      <c r="I3399" s="88"/>
      <c r="J3399" s="78">
        <f>MAX(K3399:Q3399)</f>
        <v>1</v>
      </c>
      <c r="K3399" s="88">
        <v>1</v>
      </c>
      <c r="L3399" s="88"/>
      <c r="M3399" s="88"/>
      <c r="N3399" s="88"/>
      <c r="O3399" s="88"/>
      <c r="P3399" s="88"/>
      <c r="Q3399" s="88"/>
      <c r="R3399" s="78">
        <f>MAX(S3399:W3399)</f>
        <v>0</v>
      </c>
      <c r="S3399" s="88"/>
      <c r="T3399" s="88"/>
      <c r="U3399" s="88"/>
      <c r="V3399" s="88"/>
      <c r="W3399" s="88"/>
    </row>
    <row r="3400" spans="2:23" s="0" customFormat="0" ht="15">
      <c r="B3400" s="87" t="s">
        <v>1</v>
      </c>
      <c r="C3400" s="88" t="s">
        <v>5259</v>
      </c>
      <c r="D3400" s="88">
        <v>21005393</v>
      </c>
      <c r="E3400" s="88" t="s">
        <v>61</v>
      </c>
      <c r="F3400" s="88">
        <v>0</v>
      </c>
      <c r="G3400" s="78">
        <f>MAX(H3400,I3400,J3400)</f>
        <v>1</v>
      </c>
      <c r="H3400" s="88"/>
      <c r="I3400" s="88"/>
      <c r="J3400" s="78">
        <f>MAX(K3400:Q3400)</f>
        <v>1</v>
      </c>
      <c r="K3400" s="88">
        <v>1</v>
      </c>
      <c r="L3400" s="88"/>
      <c r="M3400" s="88"/>
      <c r="N3400" s="88"/>
      <c r="O3400" s="88"/>
      <c r="P3400" s="88"/>
      <c r="Q3400" s="88"/>
      <c r="R3400" s="78">
        <f>MAX(S3400:W3400)</f>
        <v>0</v>
      </c>
      <c r="S3400" s="88"/>
      <c r="T3400" s="88"/>
      <c r="U3400" s="88"/>
      <c r="V3400" s="88"/>
      <c r="W3400" s="88"/>
    </row>
    <row r="3401" spans="2:23" s="0" customFormat="0" ht="15">
      <c r="B3401" s="87" t="s">
        <v>1</v>
      </c>
      <c r="C3401" s="88" t="s">
        <v>5259</v>
      </c>
      <c r="D3401" s="88">
        <v>22554055</v>
      </c>
      <c r="E3401" s="88" t="s">
        <v>61</v>
      </c>
      <c r="F3401" s="88">
        <v>0</v>
      </c>
      <c r="G3401" s="78">
        <f>MAX(H3401,I3401,J3401)</f>
        <v>0</v>
      </c>
      <c r="H3401" s="88"/>
      <c r="I3401" s="88"/>
      <c r="J3401" s="78">
        <f>MAX(K3401:Q3401)</f>
        <v>0</v>
      </c>
      <c r="K3401" s="88"/>
      <c r="L3401" s="88"/>
      <c r="M3401" s="88"/>
      <c r="N3401" s="88"/>
      <c r="O3401" s="88"/>
      <c r="P3401" s="88"/>
      <c r="Q3401" s="88"/>
      <c r="R3401" s="78">
        <f>MAX(S3401:W3401)</f>
        <v>1</v>
      </c>
      <c r="S3401" s="88"/>
      <c r="T3401" s="88"/>
      <c r="U3401" s="88">
        <v>1</v>
      </c>
      <c r="V3401" s="88"/>
      <c r="W3401" s="88"/>
    </row>
    <row r="3402" spans="2:23" s="0" customFormat="0" ht="15">
      <c r="B3402" s="87" t="s">
        <v>1</v>
      </c>
      <c r="C3402" s="88" t="s">
        <v>5259</v>
      </c>
      <c r="D3402" s="88" t="s">
        <v>4724</v>
      </c>
      <c r="E3402" s="88" t="s">
        <v>61</v>
      </c>
      <c r="F3402" s="88">
        <v>0</v>
      </c>
      <c r="G3402" s="78">
        <f>MAX(H3402,I3402,J3402)</f>
        <v>0</v>
      </c>
      <c r="H3402" s="88"/>
      <c r="I3402" s="88"/>
      <c r="J3402" s="78">
        <f>MAX(K3402:Q3402)</f>
        <v>0</v>
      </c>
      <c r="K3402" s="88"/>
      <c r="L3402" s="88"/>
      <c r="M3402" s="88"/>
      <c r="N3402" s="88"/>
      <c r="O3402" s="88"/>
      <c r="P3402" s="88"/>
      <c r="Q3402" s="88"/>
      <c r="R3402" s="78">
        <f>MAX(S3402:W3402)</f>
        <v>1</v>
      </c>
      <c r="S3402" s="88"/>
      <c r="T3402" s="88"/>
      <c r="U3402" s="88">
        <v>1</v>
      </c>
      <c r="V3402" s="88"/>
      <c r="W3402" s="88"/>
    </row>
    <row r="3403" spans="2:23" s="0" customFormat="0" ht="15">
      <c r="B3403" s="87" t="s">
        <v>1</v>
      </c>
      <c r="C3403" s="88" t="s">
        <v>5259</v>
      </c>
      <c r="D3403" s="88">
        <v>22911183</v>
      </c>
      <c r="E3403" s="88" t="s">
        <v>61</v>
      </c>
      <c r="F3403" s="88">
        <v>0</v>
      </c>
      <c r="G3403" s="78">
        <f>MAX(H3403,I3403,J3403)</f>
        <v>1</v>
      </c>
      <c r="H3403" s="88"/>
      <c r="I3403" s="88"/>
      <c r="J3403" s="78">
        <f>MAX(K3403:Q3403)</f>
        <v>1</v>
      </c>
      <c r="K3403" s="88">
        <v>1</v>
      </c>
      <c r="L3403" s="88"/>
      <c r="M3403" s="88"/>
      <c r="N3403" s="88"/>
      <c r="O3403" s="88"/>
      <c r="P3403" s="88"/>
      <c r="Q3403" s="88"/>
      <c r="R3403" s="78">
        <f>MAX(S3403:W3403)</f>
        <v>0</v>
      </c>
      <c r="S3403" s="88"/>
      <c r="T3403" s="88"/>
      <c r="U3403" s="88"/>
      <c r="V3403" s="88"/>
      <c r="W3403" s="88"/>
    </row>
    <row r="3404" spans="2:23" s="0" customFormat="0" ht="15">
      <c r="B3404" s="87" t="s">
        <v>1</v>
      </c>
      <c r="C3404" s="88" t="s">
        <v>5259</v>
      </c>
      <c r="D3404" s="88">
        <v>21027849</v>
      </c>
      <c r="E3404" s="88" t="s">
        <v>61</v>
      </c>
      <c r="F3404" s="88">
        <v>0</v>
      </c>
      <c r="G3404" s="78">
        <f>MAX(H3404,I3404,J3404)</f>
        <v>0</v>
      </c>
      <c r="H3404" s="88"/>
      <c r="I3404" s="88"/>
      <c r="J3404" s="78">
        <f>MAX(K3404:Q3404)</f>
        <v>0</v>
      </c>
      <c r="K3404" s="88"/>
      <c r="L3404" s="88"/>
      <c r="M3404" s="88"/>
      <c r="N3404" s="88"/>
      <c r="O3404" s="88"/>
      <c r="P3404" s="88"/>
      <c r="Q3404" s="88"/>
      <c r="R3404" s="78">
        <f>MAX(S3404:W3404)</f>
        <v>1</v>
      </c>
      <c r="S3404" s="88"/>
      <c r="T3404" s="88"/>
      <c r="U3404" s="88">
        <v>1</v>
      </c>
      <c r="V3404" s="88"/>
      <c r="W3404" s="88"/>
    </row>
    <row r="3405" spans="2:23" s="0" customFormat="0" ht="15">
      <c r="B3405" s="87" t="s">
        <v>1</v>
      </c>
      <c r="C3405" s="88" t="s">
        <v>5259</v>
      </c>
      <c r="D3405" s="88">
        <v>22320616</v>
      </c>
      <c r="E3405" s="88" t="s">
        <v>61</v>
      </c>
      <c r="F3405" s="88">
        <v>0</v>
      </c>
      <c r="G3405" s="78">
        <f>MAX(H3405,I3405,J3405)</f>
        <v>1</v>
      </c>
      <c r="H3405" s="88"/>
      <c r="I3405" s="88"/>
      <c r="J3405" s="78">
        <f>MAX(K3405:Q3405)</f>
        <v>1</v>
      </c>
      <c r="K3405" s="88">
        <v>1</v>
      </c>
      <c r="L3405" s="88"/>
      <c r="M3405" s="88"/>
      <c r="N3405" s="88"/>
      <c r="O3405" s="88"/>
      <c r="P3405" s="88"/>
      <c r="Q3405" s="88"/>
      <c r="R3405" s="78">
        <f>MAX(S3405:W3405)</f>
        <v>0</v>
      </c>
      <c r="S3405" s="88"/>
      <c r="T3405" s="88"/>
      <c r="U3405" s="88"/>
      <c r="V3405" s="88"/>
      <c r="W3405" s="88"/>
    </row>
    <row r="3406" spans="2:23" s="0" customFormat="0" ht="15">
      <c r="B3406" s="87" t="s">
        <v>1</v>
      </c>
      <c r="C3406" s="88" t="s">
        <v>5259</v>
      </c>
      <c r="D3406" s="88">
        <v>14504603</v>
      </c>
      <c r="E3406" s="88" t="s">
        <v>61</v>
      </c>
      <c r="F3406" s="88">
        <v>0</v>
      </c>
      <c r="G3406" s="78">
        <f>MAX(H3406,I3406,J3406)</f>
        <v>1</v>
      </c>
      <c r="H3406" s="88"/>
      <c r="I3406" s="88"/>
      <c r="J3406" s="78">
        <f>MAX(K3406:Q3406)</f>
        <v>1</v>
      </c>
      <c r="K3406" s="88">
        <v>1</v>
      </c>
      <c r="L3406" s="88"/>
      <c r="M3406" s="88"/>
      <c r="N3406" s="88"/>
      <c r="O3406" s="88"/>
      <c r="P3406" s="88"/>
      <c r="Q3406" s="88"/>
      <c r="R3406" s="78">
        <f>MAX(S3406:W3406)</f>
        <v>0</v>
      </c>
      <c r="S3406" s="88"/>
      <c r="T3406" s="88"/>
      <c r="U3406" s="88"/>
      <c r="V3406" s="88"/>
      <c r="W3406" s="88"/>
    </row>
    <row r="3407" spans="2:23" s="0" customFormat="0" ht="15">
      <c r="B3407" s="87" t="s">
        <v>1</v>
      </c>
      <c r="C3407" s="88" t="s">
        <v>5259</v>
      </c>
      <c r="D3407" s="88">
        <v>20678970</v>
      </c>
      <c r="E3407" s="88" t="s">
        <v>61</v>
      </c>
      <c r="F3407" s="88">
        <v>0</v>
      </c>
      <c r="G3407" s="78">
        <f>MAX(H3407,I3407,J3407)</f>
        <v>1</v>
      </c>
      <c r="H3407" s="88"/>
      <c r="I3407" s="88"/>
      <c r="J3407" s="78">
        <f>MAX(K3407:Q3407)</f>
        <v>1</v>
      </c>
      <c r="K3407" s="88">
        <v>1</v>
      </c>
      <c r="L3407" s="88"/>
      <c r="M3407" s="88"/>
      <c r="N3407" s="88"/>
      <c r="O3407" s="88"/>
      <c r="P3407" s="88"/>
      <c r="Q3407" s="88"/>
      <c r="R3407" s="78">
        <f>MAX(S3407:W3407)</f>
        <v>0</v>
      </c>
      <c r="S3407" s="88"/>
      <c r="T3407" s="88"/>
      <c r="U3407" s="88"/>
      <c r="V3407" s="88"/>
      <c r="W3407" s="88"/>
    </row>
    <row r="3408" spans="2:23" s="0" customFormat="0" ht="15">
      <c r="B3408" s="87" t="s">
        <v>1</v>
      </c>
      <c r="C3408" s="88" t="s">
        <v>5259</v>
      </c>
      <c r="D3408" s="88">
        <v>11386214</v>
      </c>
      <c r="E3408" s="88" t="s">
        <v>61</v>
      </c>
      <c r="F3408" s="88">
        <v>0</v>
      </c>
      <c r="G3408" s="78">
        <f>MAX(H3408,I3408,J3408)</f>
        <v>1</v>
      </c>
      <c r="H3408" s="88"/>
      <c r="I3408" s="88"/>
      <c r="J3408" s="78">
        <f>MAX(K3408:Q3408)</f>
        <v>1</v>
      </c>
      <c r="K3408" s="88">
        <v>1</v>
      </c>
      <c r="L3408" s="88"/>
      <c r="M3408" s="88"/>
      <c r="N3408" s="88"/>
      <c r="O3408" s="88"/>
      <c r="P3408" s="88"/>
      <c r="Q3408" s="88"/>
      <c r="R3408" s="78">
        <f>MAX(S3408:W3408)</f>
        <v>0</v>
      </c>
      <c r="S3408" s="88"/>
      <c r="T3408" s="88"/>
      <c r="U3408" s="88"/>
      <c r="V3408" s="88"/>
      <c r="W3408" s="88"/>
    </row>
    <row r="3409" spans="2:23" s="0" customFormat="0" ht="15">
      <c r="B3409" s="87" t="s">
        <v>1</v>
      </c>
      <c r="C3409" s="88" t="s">
        <v>5259</v>
      </c>
      <c r="D3409" s="88" t="s">
        <v>4726</v>
      </c>
      <c r="E3409" s="88" t="s">
        <v>61</v>
      </c>
      <c r="F3409" s="88">
        <v>0</v>
      </c>
      <c r="G3409" s="78">
        <f>MAX(H3409,I3409,J3409)</f>
        <v>0</v>
      </c>
      <c r="H3409" s="88"/>
      <c r="I3409" s="88"/>
      <c r="J3409" s="78">
        <f>MAX(K3409:Q3409)</f>
        <v>0</v>
      </c>
      <c r="K3409" s="88"/>
      <c r="L3409" s="88"/>
      <c r="M3409" s="88"/>
      <c r="N3409" s="88"/>
      <c r="O3409" s="88"/>
      <c r="P3409" s="88"/>
      <c r="Q3409" s="88"/>
      <c r="R3409" s="78">
        <f>MAX(S3409:W3409)</f>
        <v>1</v>
      </c>
      <c r="S3409" s="88"/>
      <c r="T3409" s="88"/>
      <c r="U3409" s="88">
        <v>1</v>
      </c>
      <c r="V3409" s="88"/>
      <c r="W3409" s="88"/>
    </row>
    <row r="3410" spans="2:23" s="0" customFormat="0" ht="15">
      <c r="B3410" s="87" t="s">
        <v>1</v>
      </c>
      <c r="C3410" s="88" t="s">
        <v>5259</v>
      </c>
      <c r="D3410" s="88">
        <v>14851927</v>
      </c>
      <c r="E3410" s="88" t="s">
        <v>61</v>
      </c>
      <c r="F3410" s="88">
        <v>0</v>
      </c>
      <c r="G3410" s="78">
        <f>MAX(H3410,I3410,J3410)</f>
        <v>1</v>
      </c>
      <c r="H3410" s="88"/>
      <c r="I3410" s="88"/>
      <c r="J3410" s="78">
        <f>MAX(K3410:Q3410)</f>
        <v>1</v>
      </c>
      <c r="K3410" s="88">
        <v>1</v>
      </c>
      <c r="L3410" s="88"/>
      <c r="M3410" s="88"/>
      <c r="N3410" s="88"/>
      <c r="O3410" s="88"/>
      <c r="P3410" s="88"/>
      <c r="Q3410" s="88"/>
      <c r="R3410" s="78">
        <f>MAX(S3410:W3410)</f>
        <v>0</v>
      </c>
      <c r="S3410" s="88"/>
      <c r="T3410" s="88"/>
      <c r="U3410" s="88"/>
      <c r="V3410" s="88"/>
      <c r="W3410" s="88"/>
    </row>
    <row r="3411" spans="2:23" s="0" customFormat="0" ht="15">
      <c r="B3411" s="87" t="s">
        <v>1</v>
      </c>
      <c r="C3411" s="88" t="s">
        <v>5259</v>
      </c>
      <c r="D3411" s="88" t="s">
        <v>3563</v>
      </c>
      <c r="E3411" s="88" t="s">
        <v>61</v>
      </c>
      <c r="F3411" s="88">
        <v>0</v>
      </c>
      <c r="G3411" s="78">
        <f>MAX(H3411,I3411,J3411)</f>
        <v>0</v>
      </c>
      <c r="H3411" s="88"/>
      <c r="I3411" s="88"/>
      <c r="J3411" s="78">
        <f>MAX(K3411:Q3411)</f>
        <v>0</v>
      </c>
      <c r="K3411" s="88"/>
      <c r="L3411" s="88"/>
      <c r="M3411" s="88"/>
      <c r="N3411" s="88"/>
      <c r="O3411" s="88"/>
      <c r="P3411" s="88"/>
      <c r="Q3411" s="88"/>
      <c r="R3411" s="78">
        <f>MAX(S3411:W3411)</f>
        <v>1</v>
      </c>
      <c r="S3411" s="88"/>
      <c r="T3411" s="88"/>
      <c r="U3411" s="88">
        <v>1</v>
      </c>
      <c r="V3411" s="88"/>
      <c r="W3411" s="88"/>
    </row>
    <row r="3412" spans="2:23" s="0" customFormat="0" ht="15">
      <c r="B3412" s="87" t="s">
        <v>1</v>
      </c>
      <c r="C3412" s="88" t="s">
        <v>5259</v>
      </c>
      <c r="D3412" s="88" t="s">
        <v>3225</v>
      </c>
      <c r="E3412" s="88" t="s">
        <v>61</v>
      </c>
      <c r="F3412" s="88">
        <v>0</v>
      </c>
      <c r="G3412" s="78">
        <f>MAX(H3412,I3412,J3412)</f>
        <v>0</v>
      </c>
      <c r="H3412" s="88"/>
      <c r="I3412" s="88"/>
      <c r="J3412" s="78">
        <f>MAX(K3412:Q3412)</f>
        <v>0</v>
      </c>
      <c r="K3412" s="88"/>
      <c r="L3412" s="88"/>
      <c r="M3412" s="88"/>
      <c r="N3412" s="88"/>
      <c r="O3412" s="88"/>
      <c r="P3412" s="88"/>
      <c r="Q3412" s="88"/>
      <c r="R3412" s="78">
        <f>MAX(S3412:W3412)</f>
        <v>1</v>
      </c>
      <c r="S3412" s="88"/>
      <c r="T3412" s="88"/>
      <c r="U3412" s="88"/>
      <c r="V3412" s="88">
        <v>1</v>
      </c>
      <c r="W3412" s="88"/>
    </row>
    <row r="3413" spans="2:23" s="0" customFormat="0" ht="15">
      <c r="B3413" s="87" t="s">
        <v>1</v>
      </c>
      <c r="C3413" s="88" t="s">
        <v>5259</v>
      </c>
      <c r="D3413" s="88">
        <v>13302207</v>
      </c>
      <c r="E3413" s="88" t="s">
        <v>61</v>
      </c>
      <c r="F3413" s="88">
        <v>0</v>
      </c>
      <c r="G3413" s="78">
        <f>MAX(H3413,I3413,J3413)</f>
        <v>1</v>
      </c>
      <c r="H3413" s="88"/>
      <c r="I3413" s="88"/>
      <c r="J3413" s="78">
        <f>MAX(K3413:Q3413)</f>
        <v>1</v>
      </c>
      <c r="K3413" s="88">
        <v>1</v>
      </c>
      <c r="L3413" s="88"/>
      <c r="M3413" s="88"/>
      <c r="N3413" s="88"/>
      <c r="O3413" s="88"/>
      <c r="P3413" s="88"/>
      <c r="Q3413" s="88"/>
      <c r="R3413" s="78">
        <f>MAX(S3413:W3413)</f>
        <v>0</v>
      </c>
      <c r="S3413" s="88"/>
      <c r="T3413" s="88"/>
      <c r="U3413" s="88"/>
      <c r="V3413" s="88"/>
      <c r="W3413" s="88"/>
    </row>
    <row r="3414" spans="2:23" s="0" customFormat="0" ht="15">
      <c r="B3414" s="87" t="s">
        <v>1</v>
      </c>
      <c r="C3414" s="88" t="s">
        <v>5259</v>
      </c>
      <c r="D3414" s="88">
        <v>20626151</v>
      </c>
      <c r="E3414" s="88" t="s">
        <v>61</v>
      </c>
      <c r="F3414" s="88">
        <v>0</v>
      </c>
      <c r="G3414" s="78">
        <f>MAX(H3414,I3414,J3414)</f>
        <v>1</v>
      </c>
      <c r="H3414" s="88"/>
      <c r="I3414" s="88"/>
      <c r="J3414" s="78">
        <f>MAX(K3414:Q3414)</f>
        <v>1</v>
      </c>
      <c r="K3414" s="88">
        <v>1</v>
      </c>
      <c r="L3414" s="88"/>
      <c r="M3414" s="88"/>
      <c r="N3414" s="88"/>
      <c r="O3414" s="88"/>
      <c r="P3414" s="88"/>
      <c r="Q3414" s="88"/>
      <c r="R3414" s="78">
        <f>MAX(S3414:W3414)</f>
        <v>0</v>
      </c>
      <c r="S3414" s="88"/>
      <c r="T3414" s="88"/>
      <c r="U3414" s="88"/>
      <c r="V3414" s="88"/>
      <c r="W3414" s="88"/>
    </row>
    <row r="3415" spans="2:23" s="0" customFormat="0" ht="15">
      <c r="B3415" s="87" t="s">
        <v>1</v>
      </c>
      <c r="C3415" s="88" t="s">
        <v>5259</v>
      </c>
      <c r="D3415" s="88">
        <v>3092975</v>
      </c>
      <c r="E3415" s="88" t="s">
        <v>61</v>
      </c>
      <c r="F3415" s="88">
        <v>0</v>
      </c>
      <c r="G3415" s="78">
        <f>MAX(H3415,I3415,J3415)</f>
        <v>1</v>
      </c>
      <c r="H3415" s="88"/>
      <c r="I3415" s="88"/>
      <c r="J3415" s="78">
        <f>MAX(K3415:Q3415)</f>
        <v>1</v>
      </c>
      <c r="K3415" s="88">
        <v>1</v>
      </c>
      <c r="L3415" s="88"/>
      <c r="M3415" s="88"/>
      <c r="N3415" s="88"/>
      <c r="O3415" s="88"/>
      <c r="P3415" s="88"/>
      <c r="Q3415" s="88"/>
      <c r="R3415" s="78">
        <f>MAX(S3415:W3415)</f>
        <v>0</v>
      </c>
      <c r="S3415" s="88"/>
      <c r="T3415" s="88"/>
      <c r="U3415" s="88"/>
      <c r="V3415" s="88"/>
      <c r="W3415" s="88"/>
    </row>
    <row r="3416" spans="2:23" s="0" customFormat="0" ht="15">
      <c r="B3416" s="87" t="s">
        <v>1</v>
      </c>
      <c r="C3416" s="88" t="s">
        <v>5259</v>
      </c>
      <c r="D3416" s="88" t="s">
        <v>4133</v>
      </c>
      <c r="E3416" s="88" t="s">
        <v>61</v>
      </c>
      <c r="F3416" s="88">
        <v>0</v>
      </c>
      <c r="G3416" s="78">
        <f>MAX(H3416,I3416,J3416)</f>
        <v>0</v>
      </c>
      <c r="H3416" s="88"/>
      <c r="I3416" s="88"/>
      <c r="J3416" s="78">
        <f>MAX(K3416:Q3416)</f>
        <v>0</v>
      </c>
      <c r="K3416" s="88"/>
      <c r="L3416" s="88"/>
      <c r="M3416" s="88"/>
      <c r="N3416" s="88"/>
      <c r="O3416" s="88"/>
      <c r="P3416" s="88"/>
      <c r="Q3416" s="88"/>
      <c r="R3416" s="78">
        <f>MAX(S3416:W3416)</f>
        <v>1</v>
      </c>
      <c r="S3416" s="88"/>
      <c r="T3416" s="88"/>
      <c r="U3416" s="88">
        <v>1</v>
      </c>
      <c r="V3416" s="88"/>
      <c r="W3416" s="88"/>
    </row>
    <row r="3417" spans="2:23" s="0" customFormat="0" ht="15">
      <c r="B3417" s="87" t="s">
        <v>1</v>
      </c>
      <c r="C3417" s="88" t="s">
        <v>5259</v>
      </c>
      <c r="D3417" s="88">
        <v>14578157</v>
      </c>
      <c r="E3417" s="88" t="s">
        <v>61</v>
      </c>
      <c r="F3417" s="88">
        <v>0</v>
      </c>
      <c r="G3417" s="78">
        <f>MAX(H3417,I3417,J3417)</f>
        <v>0</v>
      </c>
      <c r="H3417" s="88"/>
      <c r="I3417" s="88"/>
      <c r="J3417" s="78">
        <f>MAX(K3417:Q3417)</f>
        <v>0</v>
      </c>
      <c r="K3417" s="88"/>
      <c r="L3417" s="88"/>
      <c r="M3417" s="88"/>
      <c r="N3417" s="88"/>
      <c r="O3417" s="88"/>
      <c r="P3417" s="88"/>
      <c r="Q3417" s="88"/>
      <c r="R3417" s="78">
        <f>MAX(S3417:W3417)</f>
        <v>1</v>
      </c>
      <c r="S3417" s="88"/>
      <c r="T3417" s="88"/>
      <c r="U3417" s="88">
        <v>1</v>
      </c>
      <c r="V3417" s="88"/>
      <c r="W3417" s="88"/>
    </row>
    <row r="3418" spans="2:23" s="0" customFormat="0" ht="15">
      <c r="B3418" s="87" t="s">
        <v>1</v>
      </c>
      <c r="C3418" s="88" t="s">
        <v>5259</v>
      </c>
      <c r="D3418" s="88">
        <v>2931264</v>
      </c>
      <c r="E3418" s="88" t="s">
        <v>61</v>
      </c>
      <c r="F3418" s="88">
        <v>0</v>
      </c>
      <c r="G3418" s="78">
        <f>MAX(H3418,I3418,J3418)</f>
        <v>0</v>
      </c>
      <c r="H3418" s="88"/>
      <c r="I3418" s="88"/>
      <c r="J3418" s="78">
        <f>MAX(K3418:Q3418)</f>
        <v>0</v>
      </c>
      <c r="K3418" s="88"/>
      <c r="L3418" s="88"/>
      <c r="M3418" s="88"/>
      <c r="N3418" s="88"/>
      <c r="O3418" s="88"/>
      <c r="P3418" s="88"/>
      <c r="Q3418" s="88"/>
      <c r="R3418" s="78">
        <f>MAX(S3418:W3418)</f>
        <v>1</v>
      </c>
      <c r="S3418" s="88"/>
      <c r="T3418" s="88"/>
      <c r="U3418" s="88">
        <v>1</v>
      </c>
      <c r="V3418" s="88"/>
      <c r="W3418" s="88"/>
    </row>
    <row r="3419" spans="2:23" s="0" customFormat="0" ht="15">
      <c r="B3419" s="87" t="s">
        <v>1</v>
      </c>
      <c r="C3419" s="88" t="s">
        <v>5259</v>
      </c>
      <c r="D3419" s="88">
        <v>22387301</v>
      </c>
      <c r="E3419" s="88" t="s">
        <v>61</v>
      </c>
      <c r="F3419" s="88">
        <v>0</v>
      </c>
      <c r="G3419" s="78">
        <f>MAX(H3419,I3419,J3419)</f>
        <v>1</v>
      </c>
      <c r="H3419" s="88"/>
      <c r="I3419" s="88"/>
      <c r="J3419" s="78">
        <f>MAX(K3419:Q3419)</f>
        <v>1</v>
      </c>
      <c r="K3419" s="88">
        <v>1</v>
      </c>
      <c r="L3419" s="88"/>
      <c r="M3419" s="88"/>
      <c r="N3419" s="88"/>
      <c r="O3419" s="88"/>
      <c r="P3419" s="88"/>
      <c r="Q3419" s="88"/>
      <c r="R3419" s="78">
        <f>MAX(S3419:W3419)</f>
        <v>0</v>
      </c>
      <c r="S3419" s="88"/>
      <c r="T3419" s="88"/>
      <c r="U3419" s="88"/>
      <c r="V3419" s="88"/>
      <c r="W3419" s="88"/>
    </row>
    <row r="3420" spans="2:23" s="0" customFormat="0" ht="15">
      <c r="B3420" s="87" t="s">
        <v>1</v>
      </c>
      <c r="C3420" s="88" t="s">
        <v>5259</v>
      </c>
      <c r="D3420" s="88" t="s">
        <v>4539</v>
      </c>
      <c r="E3420" s="88" t="s">
        <v>61</v>
      </c>
      <c r="F3420" s="88">
        <v>0</v>
      </c>
      <c r="G3420" s="78">
        <f>MAX(H3420,I3420,J3420)</f>
        <v>0</v>
      </c>
      <c r="H3420" s="88"/>
      <c r="I3420" s="88"/>
      <c r="J3420" s="78">
        <f>MAX(K3420:Q3420)</f>
        <v>0</v>
      </c>
      <c r="K3420" s="88"/>
      <c r="L3420" s="88"/>
      <c r="M3420" s="88"/>
      <c r="N3420" s="88"/>
      <c r="O3420" s="88"/>
      <c r="P3420" s="88"/>
      <c r="Q3420" s="88"/>
      <c r="R3420" s="78">
        <f>MAX(S3420:W3420)</f>
        <v>1</v>
      </c>
      <c r="S3420" s="88"/>
      <c r="T3420" s="88"/>
      <c r="U3420" s="88">
        <v>1</v>
      </c>
      <c r="V3420" s="88"/>
      <c r="W3420" s="88"/>
    </row>
    <row r="3421" spans="2:23" s="0" customFormat="0" ht="15">
      <c r="B3421" s="87" t="s">
        <v>1</v>
      </c>
      <c r="C3421" s="88" t="s">
        <v>5259</v>
      </c>
      <c r="D3421" s="88" t="s">
        <v>4431</v>
      </c>
      <c r="E3421" s="88" t="s">
        <v>61</v>
      </c>
      <c r="F3421" s="88">
        <v>0</v>
      </c>
      <c r="G3421" s="78">
        <f>MAX(H3421,I3421,J3421)</f>
        <v>0</v>
      </c>
      <c r="H3421" s="88"/>
      <c r="I3421" s="88"/>
      <c r="J3421" s="78">
        <f>MAX(K3421:Q3421)</f>
        <v>0</v>
      </c>
      <c r="K3421" s="88"/>
      <c r="L3421" s="88"/>
      <c r="M3421" s="88"/>
      <c r="N3421" s="88"/>
      <c r="O3421" s="88"/>
      <c r="P3421" s="88"/>
      <c r="Q3421" s="88"/>
      <c r="R3421" s="78">
        <f>MAX(S3421:W3421)</f>
        <v>1</v>
      </c>
      <c r="S3421" s="88"/>
      <c r="T3421" s="88"/>
      <c r="U3421" s="88">
        <v>1</v>
      </c>
      <c r="V3421" s="88"/>
      <c r="W3421" s="88"/>
    </row>
    <row r="3422" spans="2:23" s="0" customFormat="0" ht="15">
      <c r="B3422" s="87" t="s">
        <v>1</v>
      </c>
      <c r="C3422" s="88" t="s">
        <v>5259</v>
      </c>
      <c r="D3422" s="88">
        <v>18555381</v>
      </c>
      <c r="E3422" s="88" t="s">
        <v>61</v>
      </c>
      <c r="F3422" s="88">
        <v>0</v>
      </c>
      <c r="G3422" s="78">
        <f>MAX(H3422,I3422,J3422)</f>
        <v>1</v>
      </c>
      <c r="H3422" s="88"/>
      <c r="I3422" s="88"/>
      <c r="J3422" s="78">
        <f>MAX(K3422:Q3422)</f>
        <v>1</v>
      </c>
      <c r="K3422" s="88">
        <v>1</v>
      </c>
      <c r="L3422" s="88"/>
      <c r="M3422" s="88"/>
      <c r="N3422" s="88"/>
      <c r="O3422" s="88"/>
      <c r="P3422" s="88"/>
      <c r="Q3422" s="88"/>
      <c r="R3422" s="78">
        <f>MAX(S3422:W3422)</f>
        <v>0</v>
      </c>
      <c r="S3422" s="88"/>
      <c r="T3422" s="88"/>
      <c r="U3422" s="88"/>
      <c r="V3422" s="88"/>
      <c r="W3422" s="88"/>
    </row>
    <row r="3423" spans="2:23" s="0" customFormat="0" ht="15">
      <c r="B3423" s="87" t="s">
        <v>1</v>
      </c>
      <c r="C3423" s="88" t="s">
        <v>5259</v>
      </c>
      <c r="D3423" s="88" t="s">
        <v>4729</v>
      </c>
      <c r="E3423" s="88" t="s">
        <v>61</v>
      </c>
      <c r="F3423" s="88">
        <v>0</v>
      </c>
      <c r="G3423" s="78">
        <f>MAX(H3423,I3423,J3423)</f>
        <v>0</v>
      </c>
      <c r="H3423" s="88"/>
      <c r="I3423" s="88"/>
      <c r="J3423" s="78">
        <f>MAX(K3423:Q3423)</f>
        <v>0</v>
      </c>
      <c r="K3423" s="88"/>
      <c r="L3423" s="88"/>
      <c r="M3423" s="88"/>
      <c r="N3423" s="88"/>
      <c r="O3423" s="88"/>
      <c r="P3423" s="88"/>
      <c r="Q3423" s="88"/>
      <c r="R3423" s="78">
        <f>MAX(S3423:W3423)</f>
        <v>1</v>
      </c>
      <c r="S3423" s="88"/>
      <c r="T3423" s="88"/>
      <c r="U3423" s="88">
        <v>1</v>
      </c>
      <c r="V3423" s="88"/>
      <c r="W3423" s="88"/>
    </row>
    <row r="3424" spans="2:23" s="0" customFormat="0" ht="15">
      <c r="B3424" s="87" t="s">
        <v>1</v>
      </c>
      <c r="C3424" s="88" t="s">
        <v>5259</v>
      </c>
      <c r="D3424" s="88">
        <v>20231386</v>
      </c>
      <c r="E3424" s="88" t="s">
        <v>61</v>
      </c>
      <c r="F3424" s="88">
        <v>0</v>
      </c>
      <c r="G3424" s="78">
        <f>MAX(H3424,I3424,J3424)</f>
        <v>1</v>
      </c>
      <c r="H3424" s="88"/>
      <c r="I3424" s="88"/>
      <c r="J3424" s="78">
        <f>MAX(K3424:Q3424)</f>
        <v>1</v>
      </c>
      <c r="K3424" s="88">
        <v>1</v>
      </c>
      <c r="L3424" s="88"/>
      <c r="M3424" s="88"/>
      <c r="N3424" s="88"/>
      <c r="O3424" s="88"/>
      <c r="P3424" s="88"/>
      <c r="Q3424" s="88"/>
      <c r="R3424" s="78">
        <f>MAX(S3424:W3424)</f>
        <v>0</v>
      </c>
      <c r="S3424" s="88"/>
      <c r="T3424" s="88"/>
      <c r="U3424" s="88"/>
      <c r="V3424" s="88"/>
      <c r="W3424" s="88"/>
    </row>
    <row r="3425" spans="2:23" s="0" customFormat="0" ht="15">
      <c r="B3425" s="87" t="s">
        <v>1</v>
      </c>
      <c r="C3425" s="88" t="s">
        <v>5259</v>
      </c>
      <c r="D3425" s="88">
        <v>14957286</v>
      </c>
      <c r="E3425" s="88" t="s">
        <v>61</v>
      </c>
      <c r="F3425" s="88">
        <v>0</v>
      </c>
      <c r="G3425" s="78">
        <f>MAX(H3425,I3425,J3425)</f>
        <v>1</v>
      </c>
      <c r="H3425" s="88"/>
      <c r="I3425" s="88"/>
      <c r="J3425" s="78">
        <f>MAX(K3425:Q3425)</f>
        <v>1</v>
      </c>
      <c r="K3425" s="88">
        <v>1</v>
      </c>
      <c r="L3425" s="88"/>
      <c r="M3425" s="88"/>
      <c r="N3425" s="88"/>
      <c r="O3425" s="88"/>
      <c r="P3425" s="88"/>
      <c r="Q3425" s="88"/>
      <c r="R3425" s="78">
        <f>MAX(S3425:W3425)</f>
        <v>0</v>
      </c>
      <c r="S3425" s="88"/>
      <c r="T3425" s="88"/>
      <c r="U3425" s="88"/>
      <c r="V3425" s="88"/>
      <c r="W3425" s="88"/>
    </row>
    <row r="3426" spans="2:23" s="0" customFormat="0" ht="15">
      <c r="B3426" s="87" t="s">
        <v>1</v>
      </c>
      <c r="C3426" s="88" t="s">
        <v>5259</v>
      </c>
      <c r="D3426" s="88">
        <v>12512024</v>
      </c>
      <c r="E3426" s="88" t="s">
        <v>61</v>
      </c>
      <c r="F3426" s="88">
        <v>0</v>
      </c>
      <c r="G3426" s="78">
        <f>MAX(H3426,I3426,J3426)</f>
        <v>1</v>
      </c>
      <c r="H3426" s="88"/>
      <c r="I3426" s="88"/>
      <c r="J3426" s="78">
        <f>MAX(K3426:Q3426)</f>
        <v>1</v>
      </c>
      <c r="K3426" s="88">
        <v>1</v>
      </c>
      <c r="L3426" s="88"/>
      <c r="M3426" s="88"/>
      <c r="N3426" s="88"/>
      <c r="O3426" s="88"/>
      <c r="P3426" s="88"/>
      <c r="Q3426" s="88"/>
      <c r="R3426" s="78">
        <f>MAX(S3426:W3426)</f>
        <v>0</v>
      </c>
      <c r="S3426" s="88"/>
      <c r="T3426" s="88"/>
      <c r="U3426" s="88"/>
      <c r="V3426" s="88"/>
      <c r="W3426" s="88"/>
    </row>
    <row r="3427" spans="2:23" s="0" customFormat="0" ht="15">
      <c r="B3427" s="87" t="s">
        <v>1</v>
      </c>
      <c r="C3427" s="88" t="s">
        <v>5259</v>
      </c>
      <c r="D3427" s="88">
        <v>12339031</v>
      </c>
      <c r="E3427" s="88" t="s">
        <v>61</v>
      </c>
      <c r="F3427" s="88">
        <v>0</v>
      </c>
      <c r="G3427" s="78">
        <f>MAX(H3427,I3427,J3427)</f>
        <v>1</v>
      </c>
      <c r="H3427" s="88"/>
      <c r="I3427" s="88"/>
      <c r="J3427" s="78">
        <f>MAX(K3427:Q3427)</f>
        <v>1</v>
      </c>
      <c r="K3427" s="88">
        <v>1</v>
      </c>
      <c r="L3427" s="88"/>
      <c r="M3427" s="88"/>
      <c r="N3427" s="88"/>
      <c r="O3427" s="88"/>
      <c r="P3427" s="88"/>
      <c r="Q3427" s="88"/>
      <c r="R3427" s="78">
        <f>MAX(S3427:W3427)</f>
        <v>0</v>
      </c>
      <c r="S3427" s="88"/>
      <c r="T3427" s="88"/>
      <c r="U3427" s="88"/>
      <c r="V3427" s="88"/>
      <c r="W3427" s="88"/>
    </row>
    <row r="3428" spans="2:23" s="0" customFormat="0" ht="15">
      <c r="B3428" s="87" t="s">
        <v>1</v>
      </c>
      <c r="C3428" s="88" t="s">
        <v>5259</v>
      </c>
      <c r="D3428" s="88" t="s">
        <v>4731</v>
      </c>
      <c r="E3428" s="88" t="s">
        <v>61</v>
      </c>
      <c r="F3428" s="88">
        <v>0</v>
      </c>
      <c r="G3428" s="78">
        <f>MAX(H3428,I3428,J3428)</f>
        <v>0</v>
      </c>
      <c r="H3428" s="88"/>
      <c r="I3428" s="88"/>
      <c r="J3428" s="78">
        <f>MAX(K3428:Q3428)</f>
        <v>0</v>
      </c>
      <c r="K3428" s="88"/>
      <c r="L3428" s="88"/>
      <c r="M3428" s="88"/>
      <c r="N3428" s="88"/>
      <c r="O3428" s="88"/>
      <c r="P3428" s="88"/>
      <c r="Q3428" s="88"/>
      <c r="R3428" s="78">
        <f>MAX(S3428:W3428)</f>
        <v>1</v>
      </c>
      <c r="S3428" s="88"/>
      <c r="T3428" s="88"/>
      <c r="U3428" s="88">
        <v>1</v>
      </c>
      <c r="V3428" s="88"/>
      <c r="W3428" s="88"/>
    </row>
    <row r="3429" spans="2:23" s="0" customFormat="0" ht="15">
      <c r="B3429" s="87" t="s">
        <v>1</v>
      </c>
      <c r="C3429" s="88" t="s">
        <v>5259</v>
      </c>
      <c r="D3429" s="88">
        <v>20658178</v>
      </c>
      <c r="E3429" s="88" t="s">
        <v>61</v>
      </c>
      <c r="F3429" s="88">
        <v>0</v>
      </c>
      <c r="G3429" s="78">
        <f>MAX(H3429,I3429,J3429)</f>
        <v>1</v>
      </c>
      <c r="H3429" s="88"/>
      <c r="I3429" s="88"/>
      <c r="J3429" s="78">
        <f>MAX(K3429:Q3429)</f>
        <v>1</v>
      </c>
      <c r="K3429" s="88">
        <v>1</v>
      </c>
      <c r="L3429" s="88"/>
      <c r="M3429" s="88"/>
      <c r="N3429" s="88"/>
      <c r="O3429" s="88"/>
      <c r="P3429" s="88"/>
      <c r="Q3429" s="88"/>
      <c r="R3429" s="78">
        <f>MAX(S3429:W3429)</f>
        <v>0</v>
      </c>
      <c r="S3429" s="88"/>
      <c r="T3429" s="88"/>
      <c r="U3429" s="88"/>
      <c r="V3429" s="88"/>
      <c r="W3429" s="88"/>
    </row>
    <row r="3430" spans="2:23" s="0" customFormat="0" ht="15">
      <c r="B3430" s="87" t="s">
        <v>1</v>
      </c>
      <c r="C3430" s="88" t="s">
        <v>5259</v>
      </c>
      <c r="D3430" s="88">
        <v>4881645</v>
      </c>
      <c r="E3430" s="88" t="s">
        <v>61</v>
      </c>
      <c r="F3430" s="88">
        <v>0</v>
      </c>
      <c r="G3430" s="78">
        <f>MAX(H3430,I3430,J3430)</f>
        <v>1</v>
      </c>
      <c r="H3430" s="88"/>
      <c r="I3430" s="88"/>
      <c r="J3430" s="78">
        <f>MAX(K3430:Q3430)</f>
        <v>1</v>
      </c>
      <c r="K3430" s="88">
        <v>1</v>
      </c>
      <c r="L3430" s="88"/>
      <c r="M3430" s="88"/>
      <c r="N3430" s="88"/>
      <c r="O3430" s="88"/>
      <c r="P3430" s="88"/>
      <c r="Q3430" s="88"/>
      <c r="R3430" s="78">
        <f>MAX(S3430:W3430)</f>
        <v>0</v>
      </c>
      <c r="S3430" s="88"/>
      <c r="T3430" s="88"/>
      <c r="U3430" s="88"/>
      <c r="V3430" s="88"/>
      <c r="W3430" s="88"/>
    </row>
    <row r="3431" spans="2:23" s="0" customFormat="0" ht="15">
      <c r="B3431" s="87" t="s">
        <v>1</v>
      </c>
      <c r="C3431" s="88" t="s">
        <v>5259</v>
      </c>
      <c r="D3431" s="88">
        <v>14542340</v>
      </c>
      <c r="E3431" s="88" t="s">
        <v>61</v>
      </c>
      <c r="F3431" s="88">
        <v>0</v>
      </c>
      <c r="G3431" s="78">
        <f>MAX(H3431,I3431,J3431)</f>
        <v>1</v>
      </c>
      <c r="H3431" s="88"/>
      <c r="I3431" s="88"/>
      <c r="J3431" s="78">
        <f>MAX(K3431:Q3431)</f>
        <v>1</v>
      </c>
      <c r="K3431" s="88">
        <v>1</v>
      </c>
      <c r="L3431" s="88"/>
      <c r="M3431" s="88"/>
      <c r="N3431" s="88"/>
      <c r="O3431" s="88"/>
      <c r="P3431" s="88"/>
      <c r="Q3431" s="88"/>
      <c r="R3431" s="78">
        <f>MAX(S3431:W3431)</f>
        <v>0</v>
      </c>
      <c r="S3431" s="88"/>
      <c r="T3431" s="88"/>
      <c r="U3431" s="88"/>
      <c r="V3431" s="88"/>
      <c r="W3431" s="88"/>
    </row>
    <row r="3432" spans="2:23" s="0" customFormat="0" ht="15">
      <c r="B3432" s="87" t="s">
        <v>1</v>
      </c>
      <c r="C3432" s="88" t="s">
        <v>5259</v>
      </c>
      <c r="D3432" s="88">
        <v>2290894</v>
      </c>
      <c r="E3432" s="88" t="s">
        <v>61</v>
      </c>
      <c r="F3432" s="88">
        <v>0</v>
      </c>
      <c r="G3432" s="78">
        <f>MAX(H3432,I3432,J3432)</f>
        <v>0</v>
      </c>
      <c r="H3432" s="88"/>
      <c r="I3432" s="88"/>
      <c r="J3432" s="78">
        <f>MAX(K3432:Q3432)</f>
        <v>0</v>
      </c>
      <c r="K3432" s="88"/>
      <c r="L3432" s="88"/>
      <c r="M3432" s="88"/>
      <c r="N3432" s="88"/>
      <c r="O3432" s="88"/>
      <c r="P3432" s="88"/>
      <c r="Q3432" s="88"/>
      <c r="R3432" s="78">
        <f>MAX(S3432:W3432)</f>
        <v>1</v>
      </c>
      <c r="S3432" s="88"/>
      <c r="T3432" s="88"/>
      <c r="U3432" s="88">
        <v>1</v>
      </c>
      <c r="V3432" s="88"/>
      <c r="W3432" s="88"/>
    </row>
    <row r="3433" spans="2:23" s="0" customFormat="0" ht="15">
      <c r="B3433" s="87" t="s">
        <v>1</v>
      </c>
      <c r="C3433" s="88" t="s">
        <v>5259</v>
      </c>
      <c r="D3433" s="88">
        <v>23963922</v>
      </c>
      <c r="E3433" s="88" t="s">
        <v>61</v>
      </c>
      <c r="F3433" s="88">
        <v>0</v>
      </c>
      <c r="G3433" s="78">
        <f>MAX(H3433,I3433,J3433)</f>
        <v>1</v>
      </c>
      <c r="H3433" s="88"/>
      <c r="I3433" s="88"/>
      <c r="J3433" s="78">
        <f>MAX(K3433:Q3433)</f>
        <v>1</v>
      </c>
      <c r="K3433" s="88"/>
      <c r="L3433" s="88"/>
      <c r="M3433" s="88">
        <v>1</v>
      </c>
      <c r="N3433" s="88"/>
      <c r="O3433" s="88"/>
      <c r="P3433" s="88"/>
      <c r="Q3433" s="88"/>
      <c r="R3433" s="78">
        <f>MAX(S3433:W3433)</f>
        <v>0</v>
      </c>
      <c r="S3433" s="88"/>
      <c r="T3433" s="88"/>
      <c r="U3433" s="88"/>
      <c r="V3433" s="88"/>
      <c r="W3433" s="88"/>
    </row>
    <row r="3434" spans="2:23" s="0" customFormat="0" ht="15">
      <c r="B3434" s="87" t="s">
        <v>1</v>
      </c>
      <c r="C3434" s="88" t="s">
        <v>5259</v>
      </c>
      <c r="D3434" s="88" t="s">
        <v>668</v>
      </c>
      <c r="E3434" s="88" t="s">
        <v>61</v>
      </c>
      <c r="F3434" s="88">
        <v>0</v>
      </c>
      <c r="G3434" s="78">
        <f>MAX(H3434,I3434,J3434)</f>
        <v>1</v>
      </c>
      <c r="H3434" s="88"/>
      <c r="I3434" s="88"/>
      <c r="J3434" s="78">
        <f>MAX(K3434:Q3434)</f>
        <v>1</v>
      </c>
      <c r="K3434" s="88">
        <v>1</v>
      </c>
      <c r="L3434" s="88"/>
      <c r="M3434" s="88"/>
      <c r="N3434" s="88"/>
      <c r="O3434" s="88"/>
      <c r="P3434" s="88"/>
      <c r="Q3434" s="88"/>
      <c r="R3434" s="78">
        <f>MAX(S3434:W3434)</f>
        <v>0</v>
      </c>
      <c r="S3434" s="88"/>
      <c r="T3434" s="88"/>
      <c r="U3434" s="88"/>
      <c r="V3434" s="88"/>
      <c r="W3434" s="88"/>
    </row>
    <row r="3435" spans="2:23" s="0" customFormat="0" ht="15">
      <c r="B3435" s="87" t="s">
        <v>1</v>
      </c>
      <c r="C3435" s="88" t="s">
        <v>5259</v>
      </c>
      <c r="D3435" s="88" t="s">
        <v>3355</v>
      </c>
      <c r="E3435" s="88" t="s">
        <v>61</v>
      </c>
      <c r="F3435" s="88">
        <v>0</v>
      </c>
      <c r="G3435" s="78">
        <f>MAX(H3435,I3435,J3435)</f>
        <v>0</v>
      </c>
      <c r="H3435" s="88"/>
      <c r="I3435" s="88"/>
      <c r="J3435" s="78">
        <f>MAX(K3435:Q3435)</f>
        <v>0</v>
      </c>
      <c r="K3435" s="88"/>
      <c r="L3435" s="88"/>
      <c r="M3435" s="88"/>
      <c r="N3435" s="88"/>
      <c r="O3435" s="88"/>
      <c r="P3435" s="88"/>
      <c r="Q3435" s="88"/>
      <c r="R3435" s="78">
        <f>MAX(S3435:W3435)</f>
        <v>1</v>
      </c>
      <c r="S3435" s="88"/>
      <c r="T3435" s="88"/>
      <c r="U3435" s="88">
        <v>1</v>
      </c>
      <c r="V3435" s="88"/>
      <c r="W3435" s="88"/>
    </row>
    <row r="3436" spans="2:23" s="0" customFormat="0" ht="15">
      <c r="B3436" s="87" t="s">
        <v>1</v>
      </c>
      <c r="C3436" s="88" t="s">
        <v>5259</v>
      </c>
      <c r="D3436" s="88" t="s">
        <v>4017</v>
      </c>
      <c r="E3436" s="88" t="s">
        <v>61</v>
      </c>
      <c r="F3436" s="88">
        <v>0</v>
      </c>
      <c r="G3436" s="78">
        <f>MAX(H3436,I3436,J3436)</f>
        <v>0</v>
      </c>
      <c r="H3436" s="88"/>
      <c r="I3436" s="88"/>
      <c r="J3436" s="78">
        <f>MAX(K3436:Q3436)</f>
        <v>0</v>
      </c>
      <c r="K3436" s="88"/>
      <c r="L3436" s="88"/>
      <c r="M3436" s="88"/>
      <c r="N3436" s="88"/>
      <c r="O3436" s="88"/>
      <c r="P3436" s="88"/>
      <c r="Q3436" s="88"/>
      <c r="R3436" s="78">
        <f>MAX(S3436:W3436)</f>
        <v>1</v>
      </c>
      <c r="S3436" s="88"/>
      <c r="T3436" s="88"/>
      <c r="U3436" s="88">
        <v>1</v>
      </c>
      <c r="V3436" s="88"/>
      <c r="W3436" s="88"/>
    </row>
    <row r="3437" spans="2:23" s="0" customFormat="0" ht="15">
      <c r="B3437" s="87" t="s">
        <v>1</v>
      </c>
      <c r="C3437" s="88" t="s">
        <v>5259</v>
      </c>
      <c r="D3437" s="88" t="s">
        <v>1648</v>
      </c>
      <c r="E3437" s="88" t="s">
        <v>61</v>
      </c>
      <c r="F3437" s="88">
        <v>0</v>
      </c>
      <c r="G3437" s="78">
        <f>MAX(H3437,I3437,J3437)</f>
        <v>1</v>
      </c>
      <c r="H3437" s="88"/>
      <c r="I3437" s="88"/>
      <c r="J3437" s="78">
        <f>MAX(K3437:Q3437)</f>
        <v>1</v>
      </c>
      <c r="K3437" s="88">
        <v>1</v>
      </c>
      <c r="L3437" s="88"/>
      <c r="M3437" s="88"/>
      <c r="N3437" s="88"/>
      <c r="O3437" s="88"/>
      <c r="P3437" s="88"/>
      <c r="Q3437" s="88"/>
      <c r="R3437" s="78">
        <f>MAX(S3437:W3437)</f>
        <v>0</v>
      </c>
      <c r="S3437" s="88"/>
      <c r="T3437" s="88"/>
      <c r="U3437" s="88"/>
      <c r="V3437" s="88"/>
      <c r="W3437" s="88"/>
    </row>
    <row r="3438" spans="2:23" s="0" customFormat="0" ht="15">
      <c r="B3438" s="87" t="s">
        <v>1</v>
      </c>
      <c r="C3438" s="88" t="s">
        <v>5259</v>
      </c>
      <c r="D3438" s="88">
        <v>16080840</v>
      </c>
      <c r="E3438" s="88" t="s">
        <v>61</v>
      </c>
      <c r="F3438" s="88">
        <v>0</v>
      </c>
      <c r="G3438" s="78">
        <f>MAX(H3438,I3438,J3438)</f>
        <v>1</v>
      </c>
      <c r="H3438" s="88"/>
      <c r="I3438" s="88"/>
      <c r="J3438" s="78">
        <f>MAX(K3438:Q3438)</f>
        <v>1</v>
      </c>
      <c r="K3438" s="88">
        <v>1</v>
      </c>
      <c r="L3438" s="88"/>
      <c r="M3438" s="88"/>
      <c r="N3438" s="88"/>
      <c r="O3438" s="88"/>
      <c r="P3438" s="88"/>
      <c r="Q3438" s="88"/>
      <c r="R3438" s="78">
        <f>MAX(S3438:W3438)</f>
        <v>0</v>
      </c>
      <c r="S3438" s="88"/>
      <c r="T3438" s="88"/>
      <c r="U3438" s="88"/>
      <c r="V3438" s="88"/>
      <c r="W3438" s="88"/>
    </row>
    <row r="3439" spans="2:23" s="0" customFormat="0" ht="15">
      <c r="B3439" s="87" t="s">
        <v>1</v>
      </c>
      <c r="C3439" s="88" t="s">
        <v>5259</v>
      </c>
      <c r="D3439" s="88" t="s">
        <v>4734</v>
      </c>
      <c r="E3439" s="88" t="s">
        <v>61</v>
      </c>
      <c r="F3439" s="88">
        <v>0</v>
      </c>
      <c r="G3439" s="78">
        <f>MAX(H3439,I3439,J3439)</f>
        <v>0</v>
      </c>
      <c r="H3439" s="88"/>
      <c r="I3439" s="88"/>
      <c r="J3439" s="78">
        <f>MAX(K3439:Q3439)</f>
        <v>0</v>
      </c>
      <c r="K3439" s="88"/>
      <c r="L3439" s="88"/>
      <c r="M3439" s="88"/>
      <c r="N3439" s="88"/>
      <c r="O3439" s="88"/>
      <c r="P3439" s="88"/>
      <c r="Q3439" s="88"/>
      <c r="R3439" s="78">
        <f>MAX(S3439:W3439)</f>
        <v>1</v>
      </c>
      <c r="S3439" s="88"/>
      <c r="T3439" s="88"/>
      <c r="U3439" s="88">
        <v>1</v>
      </c>
      <c r="V3439" s="88"/>
      <c r="W3439" s="88"/>
    </row>
    <row r="3440" spans="2:23" s="0" customFormat="0" ht="15">
      <c r="B3440" s="87" t="s">
        <v>1</v>
      </c>
      <c r="C3440" s="88" t="s">
        <v>5259</v>
      </c>
      <c r="D3440" s="88">
        <v>23145105</v>
      </c>
      <c r="E3440" s="88" t="s">
        <v>61</v>
      </c>
      <c r="F3440" s="88">
        <v>0</v>
      </c>
      <c r="G3440" s="78">
        <f>MAX(H3440,I3440,J3440)</f>
        <v>1</v>
      </c>
      <c r="H3440" s="88"/>
      <c r="I3440" s="88"/>
      <c r="J3440" s="78">
        <f>MAX(K3440:Q3440)</f>
        <v>1</v>
      </c>
      <c r="K3440" s="88">
        <v>1</v>
      </c>
      <c r="L3440" s="88"/>
      <c r="M3440" s="88"/>
      <c r="N3440" s="88"/>
      <c r="O3440" s="88"/>
      <c r="P3440" s="88"/>
      <c r="Q3440" s="88"/>
      <c r="R3440" s="78">
        <f>MAX(S3440:W3440)</f>
        <v>0</v>
      </c>
      <c r="S3440" s="88"/>
      <c r="T3440" s="88"/>
      <c r="U3440" s="88"/>
      <c r="V3440" s="88"/>
      <c r="W3440" s="88"/>
    </row>
    <row r="3441" spans="2:23" s="0" customFormat="0" ht="15">
      <c r="B3441" s="87" t="s">
        <v>1</v>
      </c>
      <c r="C3441" s="88" t="s">
        <v>5259</v>
      </c>
      <c r="D3441" s="88" t="s">
        <v>2217</v>
      </c>
      <c r="E3441" s="88" t="s">
        <v>61</v>
      </c>
      <c r="F3441" s="88">
        <v>0</v>
      </c>
      <c r="G3441" s="78">
        <f>MAX(H3441,I3441,J3441)</f>
        <v>1</v>
      </c>
      <c r="H3441" s="88"/>
      <c r="I3441" s="88"/>
      <c r="J3441" s="78">
        <f>MAX(K3441:Q3441)</f>
        <v>1</v>
      </c>
      <c r="K3441" s="88">
        <v>1</v>
      </c>
      <c r="L3441" s="88"/>
      <c r="M3441" s="88"/>
      <c r="N3441" s="88"/>
      <c r="O3441" s="88"/>
      <c r="P3441" s="88"/>
      <c r="Q3441" s="88"/>
      <c r="R3441" s="78">
        <f>MAX(S3441:W3441)</f>
        <v>0</v>
      </c>
      <c r="S3441" s="88"/>
      <c r="T3441" s="88"/>
      <c r="U3441" s="88"/>
      <c r="V3441" s="88"/>
      <c r="W3441" s="88"/>
    </row>
    <row r="3442" spans="2:23" s="0" customFormat="0" ht="15">
      <c r="B3442" s="87" t="s">
        <v>1</v>
      </c>
      <c r="C3442" s="88" t="s">
        <v>5259</v>
      </c>
      <c r="D3442" s="88" t="s">
        <v>4601</v>
      </c>
      <c r="E3442" s="88" t="s">
        <v>61</v>
      </c>
      <c r="F3442" s="88">
        <v>0</v>
      </c>
      <c r="G3442" s="78">
        <f>MAX(H3442,I3442,J3442)</f>
        <v>0</v>
      </c>
      <c r="H3442" s="88"/>
      <c r="I3442" s="88"/>
      <c r="J3442" s="78">
        <f>MAX(K3442:Q3442)</f>
        <v>0</v>
      </c>
      <c r="K3442" s="88"/>
      <c r="L3442" s="88"/>
      <c r="M3442" s="88"/>
      <c r="N3442" s="88"/>
      <c r="O3442" s="88"/>
      <c r="P3442" s="88"/>
      <c r="Q3442" s="88"/>
      <c r="R3442" s="78">
        <f>MAX(S3442:W3442)</f>
        <v>1</v>
      </c>
      <c r="S3442" s="88"/>
      <c r="T3442" s="88"/>
      <c r="U3442" s="88">
        <v>1</v>
      </c>
      <c r="V3442" s="88"/>
      <c r="W3442" s="88"/>
    </row>
    <row r="3443" spans="2:23" s="0" customFormat="0" ht="15">
      <c r="B3443" s="87" t="s">
        <v>1</v>
      </c>
      <c r="C3443" s="88" t="s">
        <v>5259</v>
      </c>
      <c r="D3443" s="88" t="s">
        <v>2219</v>
      </c>
      <c r="E3443" s="88" t="s">
        <v>61</v>
      </c>
      <c r="F3443" s="88">
        <v>0</v>
      </c>
      <c r="G3443" s="78">
        <f>MAX(H3443,I3443,J3443)</f>
        <v>1</v>
      </c>
      <c r="H3443" s="88"/>
      <c r="I3443" s="88"/>
      <c r="J3443" s="78">
        <f>MAX(K3443:Q3443)</f>
        <v>1</v>
      </c>
      <c r="K3443" s="88">
        <v>1</v>
      </c>
      <c r="L3443" s="88"/>
      <c r="M3443" s="88"/>
      <c r="N3443" s="88"/>
      <c r="O3443" s="88"/>
      <c r="P3443" s="88"/>
      <c r="Q3443" s="88"/>
      <c r="R3443" s="78">
        <f>MAX(S3443:W3443)</f>
        <v>0</v>
      </c>
      <c r="S3443" s="88"/>
      <c r="T3443" s="88"/>
      <c r="U3443" s="88"/>
      <c r="V3443" s="88"/>
      <c r="W3443" s="88"/>
    </row>
    <row r="3444" spans="2:23" s="0" customFormat="0" ht="15">
      <c r="B3444" s="87" t="s">
        <v>1</v>
      </c>
      <c r="C3444" s="88" t="s">
        <v>5259</v>
      </c>
      <c r="D3444" s="88" t="s">
        <v>3918</v>
      </c>
      <c r="E3444" s="88" t="s">
        <v>61</v>
      </c>
      <c r="F3444" s="88">
        <v>0</v>
      </c>
      <c r="G3444" s="78">
        <f>MAX(H3444,I3444,J3444)</f>
        <v>0</v>
      </c>
      <c r="H3444" s="88"/>
      <c r="I3444" s="88"/>
      <c r="J3444" s="78">
        <f>MAX(K3444:Q3444)</f>
        <v>0</v>
      </c>
      <c r="K3444" s="88"/>
      <c r="L3444" s="88"/>
      <c r="M3444" s="88"/>
      <c r="N3444" s="88"/>
      <c r="O3444" s="88"/>
      <c r="P3444" s="88"/>
      <c r="Q3444" s="88"/>
      <c r="R3444" s="78">
        <f>MAX(S3444:W3444)</f>
        <v>1</v>
      </c>
      <c r="S3444" s="88"/>
      <c r="T3444" s="88"/>
      <c r="U3444" s="88">
        <v>1</v>
      </c>
      <c r="V3444" s="88"/>
      <c r="W3444" s="88"/>
    </row>
    <row r="3445" spans="2:23" s="0" customFormat="0" ht="15">
      <c r="B3445" s="87" t="s">
        <v>1</v>
      </c>
      <c r="C3445" s="88" t="s">
        <v>5259</v>
      </c>
      <c r="D3445" s="88">
        <v>16192326</v>
      </c>
      <c r="E3445" s="88" t="s">
        <v>61</v>
      </c>
      <c r="F3445" s="88">
        <v>0</v>
      </c>
      <c r="G3445" s="78">
        <f>MAX(H3445,I3445,J3445)</f>
        <v>1</v>
      </c>
      <c r="H3445" s="88"/>
      <c r="I3445" s="88"/>
      <c r="J3445" s="78">
        <f>MAX(K3445:Q3445)</f>
        <v>1</v>
      </c>
      <c r="K3445" s="88">
        <v>1</v>
      </c>
      <c r="L3445" s="88"/>
      <c r="M3445" s="88"/>
      <c r="N3445" s="88"/>
      <c r="O3445" s="88"/>
      <c r="P3445" s="88"/>
      <c r="Q3445" s="88"/>
      <c r="R3445" s="78">
        <f>MAX(S3445:W3445)</f>
        <v>0</v>
      </c>
      <c r="S3445" s="88"/>
      <c r="T3445" s="88"/>
      <c r="U3445" s="88"/>
      <c r="V3445" s="88"/>
      <c r="W3445" s="88"/>
    </row>
    <row r="3446" spans="2:23" s="0" customFormat="0" ht="15">
      <c r="B3446" s="87" t="s">
        <v>1</v>
      </c>
      <c r="C3446" s="88" t="s">
        <v>5259</v>
      </c>
      <c r="D3446" s="88">
        <v>16974060</v>
      </c>
      <c r="E3446" s="88" t="s">
        <v>61</v>
      </c>
      <c r="F3446" s="88">
        <v>0</v>
      </c>
      <c r="G3446" s="78">
        <f>MAX(H3446,I3446,J3446)</f>
        <v>0</v>
      </c>
      <c r="H3446" s="88"/>
      <c r="I3446" s="88"/>
      <c r="J3446" s="78">
        <f>MAX(K3446:Q3446)</f>
        <v>0</v>
      </c>
      <c r="K3446" s="88"/>
      <c r="L3446" s="88"/>
      <c r="M3446" s="88"/>
      <c r="N3446" s="88"/>
      <c r="O3446" s="88"/>
      <c r="P3446" s="88"/>
      <c r="Q3446" s="88"/>
      <c r="R3446" s="78">
        <f>MAX(S3446:W3446)</f>
        <v>1</v>
      </c>
      <c r="S3446" s="88"/>
      <c r="T3446" s="88"/>
      <c r="U3446" s="88">
        <v>1</v>
      </c>
      <c r="V3446" s="88"/>
      <c r="W3446" s="88"/>
    </row>
    <row r="3447" spans="2:23" s="0" customFormat="0" ht="15">
      <c r="B3447" s="87" t="s">
        <v>1</v>
      </c>
      <c r="C3447" s="88" t="s">
        <v>5259</v>
      </c>
      <c r="D3447" s="88">
        <v>23861635</v>
      </c>
      <c r="E3447" s="88" t="s">
        <v>61</v>
      </c>
      <c r="F3447" s="88">
        <v>0</v>
      </c>
      <c r="G3447" s="78">
        <f>MAX(H3447,I3447,J3447)</f>
        <v>1</v>
      </c>
      <c r="H3447" s="88"/>
      <c r="I3447" s="88"/>
      <c r="J3447" s="78">
        <f>MAX(K3447:Q3447)</f>
        <v>1</v>
      </c>
      <c r="K3447" s="88">
        <v>1</v>
      </c>
      <c r="L3447" s="88"/>
      <c r="M3447" s="88"/>
      <c r="N3447" s="88"/>
      <c r="O3447" s="88"/>
      <c r="P3447" s="88"/>
      <c r="Q3447" s="88"/>
      <c r="R3447" s="78">
        <f>MAX(S3447:W3447)</f>
        <v>0</v>
      </c>
      <c r="S3447" s="88"/>
      <c r="T3447" s="88"/>
      <c r="U3447" s="88"/>
      <c r="V3447" s="88"/>
      <c r="W3447" s="88"/>
    </row>
    <row r="3448" spans="2:23" s="0" customFormat="0" ht="15">
      <c r="B3448" s="87" t="s">
        <v>1</v>
      </c>
      <c r="C3448" s="88" t="s">
        <v>5259</v>
      </c>
      <c r="D3448" s="88">
        <v>20113242</v>
      </c>
      <c r="E3448" s="88" t="s">
        <v>61</v>
      </c>
      <c r="F3448" s="88">
        <v>0</v>
      </c>
      <c r="G3448" s="78">
        <f>MAX(H3448,I3448,J3448)</f>
        <v>0</v>
      </c>
      <c r="H3448" s="88"/>
      <c r="I3448" s="88"/>
      <c r="J3448" s="78">
        <f>MAX(K3448:Q3448)</f>
        <v>0</v>
      </c>
      <c r="K3448" s="88"/>
      <c r="L3448" s="88"/>
      <c r="M3448" s="88"/>
      <c r="N3448" s="88"/>
      <c r="O3448" s="88"/>
      <c r="P3448" s="88"/>
      <c r="Q3448" s="88"/>
      <c r="R3448" s="78">
        <f>MAX(S3448:W3448)</f>
        <v>1</v>
      </c>
      <c r="S3448" s="88"/>
      <c r="T3448" s="88"/>
      <c r="U3448" s="88">
        <v>1</v>
      </c>
      <c r="V3448" s="88"/>
      <c r="W3448" s="88"/>
    </row>
    <row r="3449" spans="2:23" s="0" customFormat="0" ht="15">
      <c r="B3449" s="87" t="s">
        <v>1</v>
      </c>
      <c r="C3449" s="88" t="s">
        <v>5259</v>
      </c>
      <c r="D3449" s="88">
        <v>13240037</v>
      </c>
      <c r="E3449" s="88" t="s">
        <v>61</v>
      </c>
      <c r="F3449" s="88">
        <v>0</v>
      </c>
      <c r="G3449" s="78">
        <f>MAX(H3449,I3449,J3449)</f>
        <v>1</v>
      </c>
      <c r="H3449" s="88"/>
      <c r="I3449" s="88"/>
      <c r="J3449" s="78">
        <f>MAX(K3449:Q3449)</f>
        <v>1</v>
      </c>
      <c r="K3449" s="88">
        <v>1</v>
      </c>
      <c r="L3449" s="88"/>
      <c r="M3449" s="88"/>
      <c r="N3449" s="88"/>
      <c r="O3449" s="88"/>
      <c r="P3449" s="88"/>
      <c r="Q3449" s="88"/>
      <c r="R3449" s="78">
        <f>MAX(S3449:W3449)</f>
        <v>0</v>
      </c>
      <c r="S3449" s="88"/>
      <c r="T3449" s="88"/>
      <c r="U3449" s="88"/>
      <c r="V3449" s="88"/>
      <c r="W3449" s="88"/>
    </row>
    <row r="3450" spans="2:23" s="0" customFormat="0" ht="15">
      <c r="B3450" s="87" t="s">
        <v>1</v>
      </c>
      <c r="C3450" s="88" t="s">
        <v>5259</v>
      </c>
      <c r="D3450" s="88">
        <v>11578832</v>
      </c>
      <c r="E3450" s="88" t="s">
        <v>61</v>
      </c>
      <c r="F3450" s="88">
        <v>0</v>
      </c>
      <c r="G3450" s="78">
        <f>MAX(H3450,I3450,J3450)</f>
        <v>0</v>
      </c>
      <c r="H3450" s="88"/>
      <c r="I3450" s="88"/>
      <c r="J3450" s="78">
        <f>MAX(K3450:Q3450)</f>
        <v>0</v>
      </c>
      <c r="K3450" s="88"/>
      <c r="L3450" s="88"/>
      <c r="M3450" s="88"/>
      <c r="N3450" s="88"/>
      <c r="O3450" s="88"/>
      <c r="P3450" s="88"/>
      <c r="Q3450" s="88"/>
      <c r="R3450" s="78">
        <f>MAX(S3450:W3450)</f>
        <v>1</v>
      </c>
      <c r="S3450" s="88"/>
      <c r="T3450" s="88"/>
      <c r="U3450" s="88">
        <v>1</v>
      </c>
      <c r="V3450" s="88"/>
      <c r="W3450" s="88"/>
    </row>
    <row r="3451" spans="2:23" s="0" customFormat="0" ht="15">
      <c r="B3451" s="87" t="s">
        <v>1</v>
      </c>
      <c r="C3451" s="88" t="s">
        <v>5259</v>
      </c>
      <c r="D3451" s="88">
        <v>17596333</v>
      </c>
      <c r="E3451" s="88" t="s">
        <v>61</v>
      </c>
      <c r="F3451" s="88">
        <v>0</v>
      </c>
      <c r="G3451" s="78">
        <f>MAX(H3451,I3451,J3451)</f>
        <v>1</v>
      </c>
      <c r="H3451" s="88"/>
      <c r="I3451" s="88"/>
      <c r="J3451" s="78">
        <f>MAX(K3451:Q3451)</f>
        <v>1</v>
      </c>
      <c r="K3451" s="88">
        <v>1</v>
      </c>
      <c r="L3451" s="88"/>
      <c r="M3451" s="88"/>
      <c r="N3451" s="88"/>
      <c r="O3451" s="88"/>
      <c r="P3451" s="88"/>
      <c r="Q3451" s="88"/>
      <c r="R3451" s="78">
        <f>MAX(S3451:W3451)</f>
        <v>0</v>
      </c>
      <c r="S3451" s="88"/>
      <c r="T3451" s="88"/>
      <c r="U3451" s="88"/>
      <c r="V3451" s="88"/>
      <c r="W3451" s="88"/>
    </row>
    <row r="3452" spans="2:23" s="0" customFormat="0" ht="15">
      <c r="B3452" s="87" t="s">
        <v>1</v>
      </c>
      <c r="C3452" s="88" t="s">
        <v>5259</v>
      </c>
      <c r="D3452" s="88" t="s">
        <v>4487</v>
      </c>
      <c r="E3452" s="88" t="s">
        <v>61</v>
      </c>
      <c r="F3452" s="88">
        <v>0</v>
      </c>
      <c r="G3452" s="78">
        <f>MAX(H3452,I3452,J3452)</f>
        <v>0</v>
      </c>
      <c r="H3452" s="88"/>
      <c r="I3452" s="88"/>
      <c r="J3452" s="78">
        <f>MAX(K3452:Q3452)</f>
        <v>0</v>
      </c>
      <c r="K3452" s="88"/>
      <c r="L3452" s="88"/>
      <c r="M3452" s="88"/>
      <c r="N3452" s="88"/>
      <c r="O3452" s="88"/>
      <c r="P3452" s="88"/>
      <c r="Q3452" s="88"/>
      <c r="R3452" s="78">
        <f>MAX(S3452:W3452)</f>
        <v>1</v>
      </c>
      <c r="S3452" s="88"/>
      <c r="T3452" s="88"/>
      <c r="U3452" s="88">
        <v>1</v>
      </c>
      <c r="V3452" s="88"/>
      <c r="W3452" s="88"/>
    </row>
    <row r="3453" spans="2:23" s="0" customFormat="0" ht="15">
      <c r="B3453" s="87" t="s">
        <v>1</v>
      </c>
      <c r="C3453" s="88" t="s">
        <v>5259</v>
      </c>
      <c r="D3453" s="88" t="s">
        <v>2223</v>
      </c>
      <c r="E3453" s="88" t="s">
        <v>61</v>
      </c>
      <c r="F3453" s="88">
        <v>0</v>
      </c>
      <c r="G3453" s="78">
        <f>MAX(H3453,I3453,J3453)</f>
        <v>1</v>
      </c>
      <c r="H3453" s="88"/>
      <c r="I3453" s="88"/>
      <c r="J3453" s="78">
        <f>MAX(K3453:Q3453)</f>
        <v>1</v>
      </c>
      <c r="K3453" s="88">
        <v>1</v>
      </c>
      <c r="L3453" s="88"/>
      <c r="M3453" s="88"/>
      <c r="N3453" s="88"/>
      <c r="O3453" s="88"/>
      <c r="P3453" s="88"/>
      <c r="Q3453" s="88"/>
      <c r="R3453" s="78">
        <f>MAX(S3453:W3453)</f>
        <v>0</v>
      </c>
      <c r="S3453" s="88"/>
      <c r="T3453" s="88"/>
      <c r="U3453" s="88"/>
      <c r="V3453" s="88"/>
      <c r="W3453" s="88"/>
    </row>
    <row r="3454" spans="2:23" s="0" customFormat="0" ht="15">
      <c r="B3454" s="87" t="s">
        <v>1</v>
      </c>
      <c r="C3454" s="88" t="s">
        <v>5259</v>
      </c>
      <c r="D3454" s="88" t="s">
        <v>2219</v>
      </c>
      <c r="E3454" s="88" t="s">
        <v>61</v>
      </c>
      <c r="F3454" s="88">
        <v>0</v>
      </c>
      <c r="G3454" s="78">
        <f>MAX(H3454,I3454,J3454)</f>
        <v>1</v>
      </c>
      <c r="H3454" s="88"/>
      <c r="I3454" s="88"/>
      <c r="J3454" s="78">
        <f>MAX(K3454:Q3454)</f>
        <v>1</v>
      </c>
      <c r="K3454" s="88">
        <v>1</v>
      </c>
      <c r="L3454" s="88"/>
      <c r="M3454" s="88"/>
      <c r="N3454" s="88"/>
      <c r="O3454" s="88"/>
      <c r="P3454" s="88"/>
      <c r="Q3454" s="88"/>
      <c r="R3454" s="78">
        <f>MAX(S3454:W3454)</f>
        <v>0</v>
      </c>
      <c r="S3454" s="88"/>
      <c r="T3454" s="88"/>
      <c r="U3454" s="88"/>
      <c r="V3454" s="88"/>
      <c r="W3454" s="88"/>
    </row>
    <row r="3455" spans="2:23" s="0" customFormat="0" ht="15">
      <c r="B3455" s="87" t="s">
        <v>1</v>
      </c>
      <c r="C3455" s="88" t="s">
        <v>5259</v>
      </c>
      <c r="D3455" s="88">
        <v>6350660</v>
      </c>
      <c r="E3455" s="88" t="s">
        <v>61</v>
      </c>
      <c r="F3455" s="88">
        <v>0</v>
      </c>
      <c r="G3455" s="78">
        <f>MAX(H3455,I3455,J3455)</f>
        <v>1</v>
      </c>
      <c r="H3455" s="88"/>
      <c r="I3455" s="88"/>
      <c r="J3455" s="78">
        <f>MAX(K3455:Q3455)</f>
        <v>1</v>
      </c>
      <c r="K3455" s="88">
        <v>1</v>
      </c>
      <c r="L3455" s="88"/>
      <c r="M3455" s="88"/>
      <c r="N3455" s="88"/>
      <c r="O3455" s="88"/>
      <c r="P3455" s="88"/>
      <c r="Q3455" s="88"/>
      <c r="R3455" s="78">
        <f>MAX(S3455:W3455)</f>
        <v>0</v>
      </c>
      <c r="S3455" s="88"/>
      <c r="T3455" s="88"/>
      <c r="U3455" s="88"/>
      <c r="V3455" s="88"/>
      <c r="W3455" s="88"/>
    </row>
    <row r="3456" spans="2:23" s="0" customFormat="0" ht="15">
      <c r="B3456" s="87" t="s">
        <v>1</v>
      </c>
      <c r="C3456" s="88" t="s">
        <v>5259</v>
      </c>
      <c r="D3456" s="88">
        <v>20809016</v>
      </c>
      <c r="E3456" s="88" t="s">
        <v>61</v>
      </c>
      <c r="F3456" s="88">
        <v>0</v>
      </c>
      <c r="G3456" s="78">
        <f>MAX(H3456,I3456,J3456)</f>
        <v>1</v>
      </c>
      <c r="H3456" s="88"/>
      <c r="I3456" s="88"/>
      <c r="J3456" s="78">
        <f>MAX(K3456:Q3456)</f>
        <v>1</v>
      </c>
      <c r="K3456" s="88">
        <v>1</v>
      </c>
      <c r="L3456" s="88"/>
      <c r="M3456" s="88"/>
      <c r="N3456" s="88"/>
      <c r="O3456" s="88"/>
      <c r="P3456" s="88"/>
      <c r="Q3456" s="88"/>
      <c r="R3456" s="78">
        <f>MAX(S3456:W3456)</f>
        <v>0</v>
      </c>
      <c r="S3456" s="88"/>
      <c r="T3456" s="88"/>
      <c r="U3456" s="88"/>
      <c r="V3456" s="88"/>
      <c r="W3456" s="88"/>
    </row>
    <row r="3457" spans="2:23" s="0" customFormat="0" ht="15">
      <c r="B3457" s="87" t="s">
        <v>1</v>
      </c>
      <c r="C3457" s="88" t="s">
        <v>5259</v>
      </c>
      <c r="D3457" s="88" t="s">
        <v>4166</v>
      </c>
      <c r="E3457" s="88" t="s">
        <v>61</v>
      </c>
      <c r="F3457" s="88">
        <v>0</v>
      </c>
      <c r="G3457" s="78">
        <f>MAX(H3457,I3457,J3457)</f>
        <v>0</v>
      </c>
      <c r="H3457" s="88"/>
      <c r="I3457" s="88"/>
      <c r="J3457" s="78">
        <f>MAX(K3457:Q3457)</f>
        <v>0</v>
      </c>
      <c r="K3457" s="88"/>
      <c r="L3457" s="88"/>
      <c r="M3457" s="88"/>
      <c r="N3457" s="88"/>
      <c r="O3457" s="88"/>
      <c r="P3457" s="88"/>
      <c r="Q3457" s="88"/>
      <c r="R3457" s="78">
        <f>MAX(S3457:W3457)</f>
        <v>1</v>
      </c>
      <c r="S3457" s="88"/>
      <c r="T3457" s="88"/>
      <c r="U3457" s="88">
        <v>1</v>
      </c>
      <c r="V3457" s="88"/>
      <c r="W3457" s="88"/>
    </row>
    <row r="3458" spans="2:23" s="0" customFormat="0" ht="15">
      <c r="B3458" s="87" t="s">
        <v>1</v>
      </c>
      <c r="C3458" s="88" t="s">
        <v>5259</v>
      </c>
      <c r="D3458" s="88" t="s">
        <v>2226</v>
      </c>
      <c r="E3458" s="88" t="s">
        <v>61</v>
      </c>
      <c r="F3458" s="88">
        <v>0</v>
      </c>
      <c r="G3458" s="78">
        <f>MAX(H3458,I3458,J3458)</f>
        <v>1</v>
      </c>
      <c r="H3458" s="88"/>
      <c r="I3458" s="88"/>
      <c r="J3458" s="78">
        <f>MAX(K3458:Q3458)</f>
        <v>1</v>
      </c>
      <c r="K3458" s="88">
        <v>1</v>
      </c>
      <c r="L3458" s="88"/>
      <c r="M3458" s="88"/>
      <c r="N3458" s="88"/>
      <c r="O3458" s="88"/>
      <c r="P3458" s="88"/>
      <c r="Q3458" s="88"/>
      <c r="R3458" s="78">
        <f>MAX(S3458:W3458)</f>
        <v>0</v>
      </c>
      <c r="S3458" s="88"/>
      <c r="T3458" s="88"/>
      <c r="U3458" s="88"/>
      <c r="V3458" s="88"/>
      <c r="W3458" s="88"/>
    </row>
    <row r="3459" spans="2:23" s="0" customFormat="0" ht="15">
      <c r="B3459" s="87" t="s">
        <v>1</v>
      </c>
      <c r="C3459" s="88" t="s">
        <v>5259</v>
      </c>
      <c r="D3459" s="88">
        <v>22000591</v>
      </c>
      <c r="E3459" s="88" t="s">
        <v>61</v>
      </c>
      <c r="F3459" s="88">
        <v>0</v>
      </c>
      <c r="G3459" s="78">
        <f>MAX(H3459,I3459,J3459)</f>
        <v>1</v>
      </c>
      <c r="H3459" s="88"/>
      <c r="I3459" s="88"/>
      <c r="J3459" s="78">
        <f>MAX(K3459:Q3459)</f>
        <v>1</v>
      </c>
      <c r="K3459" s="88">
        <v>1</v>
      </c>
      <c r="L3459" s="88"/>
      <c r="M3459" s="88"/>
      <c r="N3459" s="88"/>
      <c r="O3459" s="88"/>
      <c r="P3459" s="88"/>
      <c r="Q3459" s="88"/>
      <c r="R3459" s="78">
        <f>MAX(S3459:W3459)</f>
        <v>0</v>
      </c>
      <c r="S3459" s="88"/>
      <c r="T3459" s="88"/>
      <c r="U3459" s="88"/>
      <c r="V3459" s="88"/>
      <c r="W3459" s="88"/>
    </row>
    <row r="3460" spans="2:23" s="0" customFormat="0" ht="15">
      <c r="B3460" s="87" t="s">
        <v>1</v>
      </c>
      <c r="C3460" s="88" t="s">
        <v>5259</v>
      </c>
      <c r="D3460" s="88" t="s">
        <v>1387</v>
      </c>
      <c r="E3460" s="88" t="s">
        <v>61</v>
      </c>
      <c r="F3460" s="88">
        <v>0</v>
      </c>
      <c r="G3460" s="78">
        <f>MAX(H3460,I3460,J3460)</f>
        <v>1</v>
      </c>
      <c r="H3460" s="88"/>
      <c r="I3460" s="88"/>
      <c r="J3460" s="78">
        <f>MAX(K3460:Q3460)</f>
        <v>1</v>
      </c>
      <c r="K3460" s="88">
        <v>1</v>
      </c>
      <c r="L3460" s="88"/>
      <c r="M3460" s="88"/>
      <c r="N3460" s="88"/>
      <c r="O3460" s="88"/>
      <c r="P3460" s="88"/>
      <c r="Q3460" s="88"/>
      <c r="R3460" s="78">
        <f>MAX(S3460:W3460)</f>
        <v>0</v>
      </c>
      <c r="S3460" s="88"/>
      <c r="T3460" s="88"/>
      <c r="U3460" s="88"/>
      <c r="V3460" s="88"/>
      <c r="W3460" s="88"/>
    </row>
    <row r="3461" spans="2:23" s="0" customFormat="0" ht="15">
      <c r="B3461" s="87" t="s">
        <v>1</v>
      </c>
      <c r="C3461" s="88" t="s">
        <v>5259</v>
      </c>
      <c r="D3461" s="88" t="s">
        <v>2229</v>
      </c>
      <c r="E3461" s="88" t="s">
        <v>61</v>
      </c>
      <c r="F3461" s="88">
        <v>0</v>
      </c>
      <c r="G3461" s="78">
        <f>MAX(H3461,I3461,J3461)</f>
        <v>1</v>
      </c>
      <c r="H3461" s="88"/>
      <c r="I3461" s="88"/>
      <c r="J3461" s="78">
        <f>MAX(K3461:Q3461)</f>
        <v>1</v>
      </c>
      <c r="K3461" s="88">
        <v>1</v>
      </c>
      <c r="L3461" s="88"/>
      <c r="M3461" s="88"/>
      <c r="N3461" s="88"/>
      <c r="O3461" s="88"/>
      <c r="P3461" s="88"/>
      <c r="Q3461" s="88"/>
      <c r="R3461" s="78">
        <f>MAX(S3461:W3461)</f>
        <v>0</v>
      </c>
      <c r="S3461" s="88"/>
      <c r="T3461" s="88"/>
      <c r="U3461" s="88"/>
      <c r="V3461" s="88"/>
      <c r="W3461" s="88"/>
    </row>
    <row r="3462" spans="2:23" s="0" customFormat="0" ht="15">
      <c r="B3462" s="87" t="s">
        <v>1</v>
      </c>
      <c r="C3462" s="88" t="s">
        <v>5259</v>
      </c>
      <c r="D3462" s="88" t="s">
        <v>4138</v>
      </c>
      <c r="E3462" s="88" t="s">
        <v>61</v>
      </c>
      <c r="F3462" s="88">
        <v>0</v>
      </c>
      <c r="G3462" s="78">
        <f>MAX(H3462,I3462,J3462)</f>
        <v>0</v>
      </c>
      <c r="H3462" s="88"/>
      <c r="I3462" s="88"/>
      <c r="J3462" s="78">
        <f>MAX(K3462:Q3462)</f>
        <v>0</v>
      </c>
      <c r="K3462" s="88"/>
      <c r="L3462" s="88"/>
      <c r="M3462" s="88"/>
      <c r="N3462" s="88"/>
      <c r="O3462" s="88"/>
      <c r="P3462" s="88"/>
      <c r="Q3462" s="88"/>
      <c r="R3462" s="78">
        <f>MAX(S3462:W3462)</f>
        <v>1</v>
      </c>
      <c r="S3462" s="88"/>
      <c r="T3462" s="88"/>
      <c r="U3462" s="88">
        <v>1</v>
      </c>
      <c r="V3462" s="88"/>
      <c r="W3462" s="88"/>
    </row>
    <row r="3463" spans="2:23" s="0" customFormat="0" ht="15">
      <c r="B3463" s="87" t="s">
        <v>1</v>
      </c>
      <c r="C3463" s="88" t="s">
        <v>5259</v>
      </c>
      <c r="D3463" s="88">
        <v>22259428</v>
      </c>
      <c r="E3463" s="88" t="s">
        <v>61</v>
      </c>
      <c r="F3463" s="88">
        <v>0</v>
      </c>
      <c r="G3463" s="78">
        <f>MAX(H3463,I3463,J3463)</f>
        <v>1</v>
      </c>
      <c r="H3463" s="88"/>
      <c r="I3463" s="88"/>
      <c r="J3463" s="78">
        <f>MAX(K3463:Q3463)</f>
        <v>1</v>
      </c>
      <c r="K3463" s="88">
        <v>1</v>
      </c>
      <c r="L3463" s="88"/>
      <c r="M3463" s="88"/>
      <c r="N3463" s="88"/>
      <c r="O3463" s="88"/>
      <c r="P3463" s="88"/>
      <c r="Q3463" s="88"/>
      <c r="R3463" s="78">
        <f>MAX(S3463:W3463)</f>
        <v>0</v>
      </c>
      <c r="S3463" s="88"/>
      <c r="T3463" s="88"/>
      <c r="U3463" s="88"/>
      <c r="V3463" s="88"/>
      <c r="W3463" s="88"/>
    </row>
    <row r="3464" spans="2:23" s="0" customFormat="0" ht="15">
      <c r="B3464" s="87" t="s">
        <v>1</v>
      </c>
      <c r="C3464" s="88" t="s">
        <v>5259</v>
      </c>
      <c r="D3464" s="88" t="s">
        <v>4734</v>
      </c>
      <c r="E3464" s="88" t="s">
        <v>61</v>
      </c>
      <c r="F3464" s="88">
        <v>0</v>
      </c>
      <c r="G3464" s="78">
        <f>MAX(H3464,I3464,J3464)</f>
        <v>0</v>
      </c>
      <c r="H3464" s="88"/>
      <c r="I3464" s="88"/>
      <c r="J3464" s="78">
        <f>MAX(K3464:Q3464)</f>
        <v>0</v>
      </c>
      <c r="K3464" s="88"/>
      <c r="L3464" s="88"/>
      <c r="M3464" s="88"/>
      <c r="N3464" s="88"/>
      <c r="O3464" s="88"/>
      <c r="P3464" s="88"/>
      <c r="Q3464" s="88"/>
      <c r="R3464" s="78">
        <f>MAX(S3464:W3464)</f>
        <v>1</v>
      </c>
      <c r="S3464" s="88"/>
      <c r="T3464" s="88"/>
      <c r="U3464" s="88">
        <v>1</v>
      </c>
      <c r="V3464" s="88"/>
      <c r="W3464" s="88"/>
    </row>
    <row r="3465" spans="2:23" s="0" customFormat="0" ht="15">
      <c r="B3465" s="87" t="s">
        <v>1</v>
      </c>
      <c r="C3465" s="88" t="s">
        <v>5259</v>
      </c>
      <c r="D3465" s="88" t="s">
        <v>4737</v>
      </c>
      <c r="E3465" s="88" t="s">
        <v>61</v>
      </c>
      <c r="F3465" s="88">
        <v>0</v>
      </c>
      <c r="G3465" s="78">
        <f>MAX(H3465,I3465,J3465)</f>
        <v>0</v>
      </c>
      <c r="H3465" s="88"/>
      <c r="I3465" s="88"/>
      <c r="J3465" s="78">
        <f>MAX(K3465:Q3465)</f>
        <v>0</v>
      </c>
      <c r="K3465" s="88"/>
      <c r="L3465" s="88"/>
      <c r="M3465" s="88"/>
      <c r="N3465" s="88"/>
      <c r="O3465" s="88"/>
      <c r="P3465" s="88"/>
      <c r="Q3465" s="88"/>
      <c r="R3465" s="78">
        <f>MAX(S3465:W3465)</f>
        <v>1</v>
      </c>
      <c r="S3465" s="88"/>
      <c r="T3465" s="88"/>
      <c r="U3465" s="88">
        <v>1</v>
      </c>
      <c r="V3465" s="88"/>
      <c r="W3465" s="88"/>
    </row>
    <row r="3466" spans="2:23" s="0" customFormat="0" ht="15">
      <c r="B3466" s="87" t="s">
        <v>1</v>
      </c>
      <c r="C3466" s="88" t="s">
        <v>5259</v>
      </c>
      <c r="D3466" s="88">
        <v>4355169</v>
      </c>
      <c r="E3466" s="88" t="s">
        <v>61</v>
      </c>
      <c r="F3466" s="88">
        <v>0</v>
      </c>
      <c r="G3466" s="78">
        <f>MAX(H3466,I3466,J3466)</f>
        <v>1</v>
      </c>
      <c r="H3466" s="88"/>
      <c r="I3466" s="88"/>
      <c r="J3466" s="78">
        <f>MAX(K3466:Q3466)</f>
        <v>1</v>
      </c>
      <c r="K3466" s="88">
        <v>1</v>
      </c>
      <c r="L3466" s="88"/>
      <c r="M3466" s="88"/>
      <c r="N3466" s="88"/>
      <c r="O3466" s="88"/>
      <c r="P3466" s="88"/>
      <c r="Q3466" s="88"/>
      <c r="R3466" s="78">
        <f>MAX(S3466:W3466)</f>
        <v>0</v>
      </c>
      <c r="S3466" s="88"/>
      <c r="T3466" s="88"/>
      <c r="U3466" s="88"/>
      <c r="V3466" s="88"/>
      <c r="W3466" s="88"/>
    </row>
    <row r="3467" spans="2:23" s="0" customFormat="0" ht="15">
      <c r="B3467" s="87" t="s">
        <v>1</v>
      </c>
      <c r="C3467" s="88" t="s">
        <v>5259</v>
      </c>
      <c r="D3467" s="88">
        <v>4582243</v>
      </c>
      <c r="E3467" s="88" t="s">
        <v>61</v>
      </c>
      <c r="F3467" s="88">
        <v>0</v>
      </c>
      <c r="G3467" s="78">
        <f>MAX(H3467,I3467,J3467)</f>
        <v>1</v>
      </c>
      <c r="H3467" s="88"/>
      <c r="I3467" s="88"/>
      <c r="J3467" s="78">
        <f>MAX(K3467:Q3467)</f>
        <v>1</v>
      </c>
      <c r="K3467" s="88">
        <v>1</v>
      </c>
      <c r="L3467" s="88"/>
      <c r="M3467" s="88"/>
      <c r="N3467" s="88"/>
      <c r="O3467" s="88"/>
      <c r="P3467" s="88"/>
      <c r="Q3467" s="88"/>
      <c r="R3467" s="78">
        <f>MAX(S3467:W3467)</f>
        <v>0</v>
      </c>
      <c r="S3467" s="88"/>
      <c r="T3467" s="88"/>
      <c r="U3467" s="88"/>
      <c r="V3467" s="88"/>
      <c r="W3467" s="88"/>
    </row>
    <row r="3468" spans="2:23" s="0" customFormat="0" ht="15">
      <c r="B3468" s="87" t="s">
        <v>1</v>
      </c>
      <c r="C3468" s="88" t="s">
        <v>5259</v>
      </c>
      <c r="D3468" s="88" t="s">
        <v>4739</v>
      </c>
      <c r="E3468" s="88" t="s">
        <v>61</v>
      </c>
      <c r="F3468" s="88">
        <v>0</v>
      </c>
      <c r="G3468" s="78">
        <f>MAX(H3468,I3468,J3468)</f>
        <v>0</v>
      </c>
      <c r="H3468" s="88"/>
      <c r="I3468" s="88"/>
      <c r="J3468" s="78">
        <f>MAX(K3468:Q3468)</f>
        <v>0</v>
      </c>
      <c r="K3468" s="88"/>
      <c r="L3468" s="88"/>
      <c r="M3468" s="88"/>
      <c r="N3468" s="88"/>
      <c r="O3468" s="88"/>
      <c r="P3468" s="88"/>
      <c r="Q3468" s="88"/>
      <c r="R3468" s="78">
        <f>MAX(S3468:W3468)</f>
        <v>1</v>
      </c>
      <c r="S3468" s="88"/>
      <c r="T3468" s="88"/>
      <c r="U3468" s="88">
        <v>1</v>
      </c>
      <c r="V3468" s="88"/>
      <c r="W3468" s="88"/>
    </row>
    <row r="3469" spans="2:23" s="0" customFormat="0" ht="15">
      <c r="B3469" s="87" t="s">
        <v>1</v>
      </c>
      <c r="C3469" s="88" t="s">
        <v>5259</v>
      </c>
      <c r="D3469" s="88" t="s">
        <v>2232</v>
      </c>
      <c r="E3469" s="88" t="s">
        <v>61</v>
      </c>
      <c r="F3469" s="88">
        <v>0</v>
      </c>
      <c r="G3469" s="78">
        <f>MAX(H3469,I3469,J3469)</f>
        <v>1</v>
      </c>
      <c r="H3469" s="88"/>
      <c r="I3469" s="88"/>
      <c r="J3469" s="78">
        <f>MAX(K3469:Q3469)</f>
        <v>1</v>
      </c>
      <c r="K3469" s="88">
        <v>1</v>
      </c>
      <c r="L3469" s="88"/>
      <c r="M3469" s="88"/>
      <c r="N3469" s="88"/>
      <c r="O3469" s="88"/>
      <c r="P3469" s="88"/>
      <c r="Q3469" s="88"/>
      <c r="R3469" s="78">
        <f>MAX(S3469:W3469)</f>
        <v>0</v>
      </c>
      <c r="S3469" s="88"/>
      <c r="T3469" s="88"/>
      <c r="U3469" s="88"/>
      <c r="V3469" s="88"/>
      <c r="W3469" s="88"/>
    </row>
    <row r="3470" spans="2:23" s="0" customFormat="0" ht="15">
      <c r="B3470" s="87" t="s">
        <v>1</v>
      </c>
      <c r="C3470" s="88" t="s">
        <v>5259</v>
      </c>
      <c r="D3470" s="88" t="s">
        <v>1840</v>
      </c>
      <c r="E3470" s="88" t="s">
        <v>61</v>
      </c>
      <c r="F3470" s="88">
        <v>0</v>
      </c>
      <c r="G3470" s="78">
        <f>MAX(H3470,I3470,J3470)</f>
        <v>1</v>
      </c>
      <c r="H3470" s="88"/>
      <c r="I3470" s="88"/>
      <c r="J3470" s="78">
        <f>MAX(K3470:Q3470)</f>
        <v>1</v>
      </c>
      <c r="K3470" s="88">
        <v>1</v>
      </c>
      <c r="L3470" s="88"/>
      <c r="M3470" s="88"/>
      <c r="N3470" s="88"/>
      <c r="O3470" s="88"/>
      <c r="P3470" s="88"/>
      <c r="Q3470" s="88"/>
      <c r="R3470" s="78">
        <f>MAX(S3470:W3470)</f>
        <v>0</v>
      </c>
      <c r="S3470" s="88"/>
      <c r="T3470" s="88"/>
      <c r="U3470" s="88"/>
      <c r="V3470" s="88"/>
      <c r="W3470" s="88"/>
    </row>
    <row r="3471" spans="2:23" s="0" customFormat="0" ht="15">
      <c r="B3471" s="87" t="s">
        <v>1</v>
      </c>
      <c r="C3471" s="88" t="s">
        <v>5259</v>
      </c>
      <c r="D3471" s="88" t="s">
        <v>4741</v>
      </c>
      <c r="E3471" s="88" t="s">
        <v>61</v>
      </c>
      <c r="F3471" s="88">
        <v>0</v>
      </c>
      <c r="G3471" s="78">
        <f>MAX(H3471,I3471,J3471)</f>
        <v>0</v>
      </c>
      <c r="H3471" s="88"/>
      <c r="I3471" s="88"/>
      <c r="J3471" s="78">
        <f>MAX(K3471:Q3471)</f>
        <v>0</v>
      </c>
      <c r="K3471" s="88"/>
      <c r="L3471" s="88"/>
      <c r="M3471" s="88"/>
      <c r="N3471" s="88"/>
      <c r="O3471" s="88"/>
      <c r="P3471" s="88"/>
      <c r="Q3471" s="88"/>
      <c r="R3471" s="78">
        <f>MAX(S3471:W3471)</f>
        <v>1</v>
      </c>
      <c r="S3471" s="88"/>
      <c r="T3471" s="88"/>
      <c r="U3471" s="88">
        <v>1</v>
      </c>
      <c r="V3471" s="88"/>
      <c r="W3471" s="88"/>
    </row>
    <row r="3472" spans="2:23" s="0" customFormat="0" ht="15">
      <c r="B3472" s="87" t="s">
        <v>1</v>
      </c>
      <c r="C3472" s="88" t="s">
        <v>5259</v>
      </c>
      <c r="D3472" s="88" t="s">
        <v>992</v>
      </c>
      <c r="E3472" s="88" t="s">
        <v>61</v>
      </c>
      <c r="F3472" s="88">
        <v>0</v>
      </c>
      <c r="G3472" s="78">
        <f>MAX(H3472,I3472,J3472)</f>
        <v>1</v>
      </c>
      <c r="H3472" s="88"/>
      <c r="I3472" s="88"/>
      <c r="J3472" s="78">
        <f>MAX(K3472:Q3472)</f>
        <v>1</v>
      </c>
      <c r="K3472" s="88">
        <v>1</v>
      </c>
      <c r="L3472" s="88"/>
      <c r="M3472" s="88"/>
      <c r="N3472" s="88"/>
      <c r="O3472" s="88"/>
      <c r="P3472" s="88"/>
      <c r="Q3472" s="88"/>
      <c r="R3472" s="78">
        <f>MAX(S3472:W3472)</f>
        <v>0</v>
      </c>
      <c r="S3472" s="88"/>
      <c r="T3472" s="88"/>
      <c r="U3472" s="88"/>
      <c r="V3472" s="88"/>
      <c r="W3472" s="88"/>
    </row>
    <row r="3473" spans="2:23" s="0" customFormat="0" ht="15">
      <c r="B3473" s="87" t="s">
        <v>1</v>
      </c>
      <c r="C3473" s="88" t="s">
        <v>5259</v>
      </c>
      <c r="D3473" s="88" t="s">
        <v>1531</v>
      </c>
      <c r="E3473" s="88" t="s">
        <v>61</v>
      </c>
      <c r="F3473" s="88">
        <v>0</v>
      </c>
      <c r="G3473" s="78">
        <f>MAX(H3473,I3473,J3473)</f>
        <v>1</v>
      </c>
      <c r="H3473" s="88"/>
      <c r="I3473" s="88"/>
      <c r="J3473" s="78">
        <f>MAX(K3473:Q3473)</f>
        <v>1</v>
      </c>
      <c r="K3473" s="88">
        <v>1</v>
      </c>
      <c r="L3473" s="88"/>
      <c r="M3473" s="88"/>
      <c r="N3473" s="88"/>
      <c r="O3473" s="88"/>
      <c r="P3473" s="88"/>
      <c r="Q3473" s="88"/>
      <c r="R3473" s="78">
        <f>MAX(S3473:W3473)</f>
        <v>0</v>
      </c>
      <c r="S3473" s="88"/>
      <c r="T3473" s="88"/>
      <c r="U3473" s="88"/>
      <c r="V3473" s="88"/>
      <c r="W3473" s="88"/>
    </row>
    <row r="3474" spans="2:23" s="0" customFormat="0" ht="15">
      <c r="B3474" s="87" t="s">
        <v>1</v>
      </c>
      <c r="C3474" s="88" t="s">
        <v>5259</v>
      </c>
      <c r="D3474" s="88">
        <v>24964663</v>
      </c>
      <c r="E3474" s="88" t="s">
        <v>61</v>
      </c>
      <c r="F3474" s="88">
        <v>0</v>
      </c>
      <c r="G3474" s="78">
        <f>MAX(H3474,I3474,J3474)</f>
        <v>1</v>
      </c>
      <c r="H3474" s="88"/>
      <c r="I3474" s="88"/>
      <c r="J3474" s="78">
        <f>MAX(K3474:Q3474)</f>
        <v>1</v>
      </c>
      <c r="K3474" s="88">
        <v>1</v>
      </c>
      <c r="L3474" s="88"/>
      <c r="M3474" s="88"/>
      <c r="N3474" s="88"/>
      <c r="O3474" s="88"/>
      <c r="P3474" s="88"/>
      <c r="Q3474" s="88"/>
      <c r="R3474" s="78">
        <f>MAX(S3474:W3474)</f>
        <v>0</v>
      </c>
      <c r="S3474" s="88"/>
      <c r="T3474" s="88"/>
      <c r="U3474" s="88"/>
      <c r="V3474" s="88"/>
      <c r="W3474" s="88"/>
    </row>
    <row r="3475" spans="2:23" s="0" customFormat="0" ht="15">
      <c r="B3475" s="87" t="s">
        <v>1</v>
      </c>
      <c r="C3475" s="88" t="s">
        <v>5259</v>
      </c>
      <c r="D3475" s="88" t="s">
        <v>2235</v>
      </c>
      <c r="E3475" s="88" t="s">
        <v>61</v>
      </c>
      <c r="F3475" s="88">
        <v>0</v>
      </c>
      <c r="G3475" s="78">
        <f>MAX(H3475,I3475,J3475)</f>
        <v>1</v>
      </c>
      <c r="H3475" s="88"/>
      <c r="I3475" s="88"/>
      <c r="J3475" s="78">
        <f>MAX(K3475:Q3475)</f>
        <v>1</v>
      </c>
      <c r="K3475" s="88">
        <v>1</v>
      </c>
      <c r="L3475" s="88"/>
      <c r="M3475" s="88"/>
      <c r="N3475" s="88"/>
      <c r="O3475" s="88"/>
      <c r="P3475" s="88"/>
      <c r="Q3475" s="88"/>
      <c r="R3475" s="78">
        <f>MAX(S3475:W3475)</f>
        <v>0</v>
      </c>
      <c r="S3475" s="88"/>
      <c r="T3475" s="88"/>
      <c r="U3475" s="88"/>
      <c r="V3475" s="88"/>
      <c r="W3475" s="88"/>
    </row>
    <row r="3476" spans="2:23" s="0" customFormat="0" ht="15">
      <c r="B3476" s="87" t="s">
        <v>1</v>
      </c>
      <c r="C3476" s="88" t="s">
        <v>5259</v>
      </c>
      <c r="D3476" s="88" t="s">
        <v>4743</v>
      </c>
      <c r="E3476" s="88" t="s">
        <v>61</v>
      </c>
      <c r="F3476" s="88">
        <v>0</v>
      </c>
      <c r="G3476" s="78">
        <f>MAX(H3476,I3476,J3476)</f>
        <v>0</v>
      </c>
      <c r="H3476" s="88"/>
      <c r="I3476" s="88"/>
      <c r="J3476" s="78">
        <f>MAX(K3476:Q3476)</f>
        <v>0</v>
      </c>
      <c r="K3476" s="88"/>
      <c r="L3476" s="88"/>
      <c r="M3476" s="88"/>
      <c r="N3476" s="88"/>
      <c r="O3476" s="88"/>
      <c r="P3476" s="88"/>
      <c r="Q3476" s="88"/>
      <c r="R3476" s="78">
        <f>MAX(S3476:W3476)</f>
        <v>1</v>
      </c>
      <c r="S3476" s="88"/>
      <c r="T3476" s="88"/>
      <c r="U3476" s="88">
        <v>1</v>
      </c>
      <c r="V3476" s="88"/>
      <c r="W3476" s="88"/>
    </row>
    <row r="3477" spans="2:23" s="0" customFormat="0" ht="15">
      <c r="B3477" s="87" t="s">
        <v>1</v>
      </c>
      <c r="C3477" s="88" t="s">
        <v>5259</v>
      </c>
      <c r="D3477" s="88">
        <v>19484951</v>
      </c>
      <c r="E3477" s="88" t="s">
        <v>61</v>
      </c>
      <c r="F3477" s="88">
        <v>0</v>
      </c>
      <c r="G3477" s="78">
        <f>MAX(H3477,I3477,J3477)</f>
        <v>1</v>
      </c>
      <c r="H3477" s="88"/>
      <c r="I3477" s="88"/>
      <c r="J3477" s="78">
        <f>MAX(K3477:Q3477)</f>
        <v>1</v>
      </c>
      <c r="K3477" s="88">
        <v>1</v>
      </c>
      <c r="L3477" s="88"/>
      <c r="M3477" s="88"/>
      <c r="N3477" s="88"/>
      <c r="O3477" s="88"/>
      <c r="P3477" s="88"/>
      <c r="Q3477" s="88"/>
      <c r="R3477" s="78">
        <f>MAX(S3477:W3477)</f>
        <v>0</v>
      </c>
      <c r="S3477" s="88"/>
      <c r="T3477" s="88"/>
      <c r="U3477" s="88"/>
      <c r="V3477" s="88"/>
      <c r="W3477" s="88"/>
    </row>
    <row r="3478" spans="2:23" s="0" customFormat="0" ht="15">
      <c r="B3478" s="87" t="s">
        <v>1</v>
      </c>
      <c r="C3478" s="88" t="s">
        <v>5259</v>
      </c>
      <c r="D3478" s="88" t="s">
        <v>2237</v>
      </c>
      <c r="E3478" s="88" t="s">
        <v>61</v>
      </c>
      <c r="F3478" s="88">
        <v>0</v>
      </c>
      <c r="G3478" s="78">
        <f>MAX(H3478,I3478,J3478)</f>
        <v>1</v>
      </c>
      <c r="H3478" s="88"/>
      <c r="I3478" s="88"/>
      <c r="J3478" s="78">
        <f>MAX(K3478:Q3478)</f>
        <v>1</v>
      </c>
      <c r="K3478" s="88">
        <v>1</v>
      </c>
      <c r="L3478" s="88"/>
      <c r="M3478" s="88"/>
      <c r="N3478" s="88"/>
      <c r="O3478" s="88"/>
      <c r="P3478" s="88"/>
      <c r="Q3478" s="88"/>
      <c r="R3478" s="78">
        <f>MAX(S3478:W3478)</f>
        <v>0</v>
      </c>
      <c r="S3478" s="88"/>
      <c r="T3478" s="88"/>
      <c r="U3478" s="88"/>
      <c r="V3478" s="88"/>
      <c r="W3478" s="88"/>
    </row>
    <row r="3479" spans="2:23" s="0" customFormat="0" ht="15">
      <c r="B3479" s="87" t="s">
        <v>1</v>
      </c>
      <c r="C3479" s="88" t="s">
        <v>5259</v>
      </c>
      <c r="D3479" s="88" t="s">
        <v>2239</v>
      </c>
      <c r="E3479" s="88" t="s">
        <v>61</v>
      </c>
      <c r="F3479" s="88">
        <v>0</v>
      </c>
      <c r="G3479" s="78">
        <f>MAX(H3479,I3479,J3479)</f>
        <v>1</v>
      </c>
      <c r="H3479" s="88"/>
      <c r="I3479" s="88"/>
      <c r="J3479" s="78">
        <f>MAX(K3479:Q3479)</f>
        <v>1</v>
      </c>
      <c r="K3479" s="88">
        <v>1</v>
      </c>
      <c r="L3479" s="88"/>
      <c r="M3479" s="88"/>
      <c r="N3479" s="88"/>
      <c r="O3479" s="88"/>
      <c r="P3479" s="88"/>
      <c r="Q3479" s="88"/>
      <c r="R3479" s="78">
        <f>MAX(S3479:W3479)</f>
        <v>0</v>
      </c>
      <c r="S3479" s="88"/>
      <c r="T3479" s="88"/>
      <c r="U3479" s="88"/>
      <c r="V3479" s="88"/>
      <c r="W3479" s="88"/>
    </row>
    <row r="3480" spans="2:23" s="0" customFormat="0" ht="15">
      <c r="B3480" s="87" t="s">
        <v>1</v>
      </c>
      <c r="C3480" s="88" t="s">
        <v>5259</v>
      </c>
      <c r="D3480" s="88" t="s">
        <v>4745</v>
      </c>
      <c r="E3480" s="88" t="s">
        <v>61</v>
      </c>
      <c r="F3480" s="88">
        <v>0</v>
      </c>
      <c r="G3480" s="78">
        <f>MAX(H3480,I3480,J3480)</f>
        <v>0</v>
      </c>
      <c r="H3480" s="88"/>
      <c r="I3480" s="88"/>
      <c r="J3480" s="78">
        <f>MAX(K3480:Q3480)</f>
        <v>0</v>
      </c>
      <c r="K3480" s="88"/>
      <c r="L3480" s="88"/>
      <c r="M3480" s="88"/>
      <c r="N3480" s="88"/>
      <c r="O3480" s="88"/>
      <c r="P3480" s="88"/>
      <c r="Q3480" s="88"/>
      <c r="R3480" s="78">
        <f>MAX(S3480:W3480)</f>
        <v>1</v>
      </c>
      <c r="S3480" s="88"/>
      <c r="T3480" s="88"/>
      <c r="U3480" s="88">
        <v>1</v>
      </c>
      <c r="V3480" s="88"/>
      <c r="W3480" s="88"/>
    </row>
    <row r="3481" spans="2:23" s="0" customFormat="0" ht="15">
      <c r="B3481" s="87" t="s">
        <v>1</v>
      </c>
      <c r="C3481" s="88" t="s">
        <v>5259</v>
      </c>
      <c r="D3481" s="88">
        <v>6568192</v>
      </c>
      <c r="E3481" s="88" t="s">
        <v>61</v>
      </c>
      <c r="F3481" s="88">
        <v>0</v>
      </c>
      <c r="G3481" s="78">
        <f>MAX(H3481,I3481,J3481)</f>
        <v>1</v>
      </c>
      <c r="H3481" s="88"/>
      <c r="I3481" s="88"/>
      <c r="J3481" s="78">
        <f>MAX(K3481:Q3481)</f>
        <v>1</v>
      </c>
      <c r="K3481" s="88">
        <v>1</v>
      </c>
      <c r="L3481" s="88"/>
      <c r="M3481" s="88"/>
      <c r="N3481" s="88"/>
      <c r="O3481" s="88"/>
      <c r="P3481" s="88"/>
      <c r="Q3481" s="88"/>
      <c r="R3481" s="78">
        <f>MAX(S3481:W3481)</f>
        <v>0</v>
      </c>
      <c r="S3481" s="88"/>
      <c r="T3481" s="88"/>
      <c r="U3481" s="88"/>
      <c r="V3481" s="88"/>
      <c r="W3481" s="88"/>
    </row>
    <row r="3482" spans="2:23" s="0" customFormat="0" ht="15">
      <c r="B3482" s="87" t="s">
        <v>1</v>
      </c>
      <c r="C3482" s="88" t="s">
        <v>5259</v>
      </c>
      <c r="D3482" s="88" t="s">
        <v>4747</v>
      </c>
      <c r="E3482" s="88" t="s">
        <v>61</v>
      </c>
      <c r="F3482" s="88">
        <v>0</v>
      </c>
      <c r="G3482" s="78">
        <f>MAX(H3482,I3482,J3482)</f>
        <v>0</v>
      </c>
      <c r="H3482" s="88"/>
      <c r="I3482" s="88"/>
      <c r="J3482" s="78">
        <f>MAX(K3482:Q3482)</f>
        <v>0</v>
      </c>
      <c r="K3482" s="88"/>
      <c r="L3482" s="88"/>
      <c r="M3482" s="88"/>
      <c r="N3482" s="88"/>
      <c r="O3482" s="88"/>
      <c r="P3482" s="88"/>
      <c r="Q3482" s="88"/>
      <c r="R3482" s="78">
        <f>MAX(S3482:W3482)</f>
        <v>1</v>
      </c>
      <c r="S3482" s="88"/>
      <c r="T3482" s="88"/>
      <c r="U3482" s="88">
        <v>1</v>
      </c>
      <c r="V3482" s="88"/>
      <c r="W3482" s="88"/>
    </row>
    <row r="3483" spans="2:23" s="0" customFormat="0" ht="15">
      <c r="B3483" s="87" t="s">
        <v>1</v>
      </c>
      <c r="C3483" s="88" t="s">
        <v>5259</v>
      </c>
      <c r="D3483" s="88" t="s">
        <v>3922</v>
      </c>
      <c r="E3483" s="88" t="s">
        <v>61</v>
      </c>
      <c r="F3483" s="88">
        <v>0</v>
      </c>
      <c r="G3483" s="78">
        <f>MAX(H3483,I3483,J3483)</f>
        <v>0</v>
      </c>
      <c r="H3483" s="88"/>
      <c r="I3483" s="88"/>
      <c r="J3483" s="78">
        <f>MAX(K3483:Q3483)</f>
        <v>0</v>
      </c>
      <c r="K3483" s="88"/>
      <c r="L3483" s="88"/>
      <c r="M3483" s="88"/>
      <c r="N3483" s="88"/>
      <c r="O3483" s="88"/>
      <c r="P3483" s="88"/>
      <c r="Q3483" s="88"/>
      <c r="R3483" s="78">
        <f>MAX(S3483:W3483)</f>
        <v>1</v>
      </c>
      <c r="S3483" s="88"/>
      <c r="T3483" s="88"/>
      <c r="U3483" s="88">
        <v>1</v>
      </c>
      <c r="V3483" s="88"/>
      <c r="W3483" s="88"/>
    </row>
    <row r="3484" spans="2:23" s="0" customFormat="0" ht="15">
      <c r="B3484" s="87" t="s">
        <v>1</v>
      </c>
      <c r="C3484" s="88" t="s">
        <v>5259</v>
      </c>
      <c r="D3484" s="88">
        <v>4966465</v>
      </c>
      <c r="E3484" s="88" t="s">
        <v>61</v>
      </c>
      <c r="F3484" s="88">
        <v>0</v>
      </c>
      <c r="G3484" s="78">
        <f>MAX(H3484,I3484,J3484)</f>
        <v>1</v>
      </c>
      <c r="H3484" s="88"/>
      <c r="I3484" s="88"/>
      <c r="J3484" s="78">
        <f>MAX(K3484:Q3484)</f>
        <v>1</v>
      </c>
      <c r="K3484" s="88">
        <v>1</v>
      </c>
      <c r="L3484" s="88"/>
      <c r="M3484" s="88"/>
      <c r="N3484" s="88"/>
      <c r="O3484" s="88"/>
      <c r="P3484" s="88"/>
      <c r="Q3484" s="88"/>
      <c r="R3484" s="78">
        <f>MAX(S3484:W3484)</f>
        <v>0</v>
      </c>
      <c r="S3484" s="88"/>
      <c r="T3484" s="88"/>
      <c r="U3484" s="88"/>
      <c r="V3484" s="88"/>
      <c r="W3484" s="88"/>
    </row>
    <row r="3485" spans="2:23" s="0" customFormat="0" ht="15">
      <c r="B3485" s="87" t="s">
        <v>1</v>
      </c>
      <c r="C3485" s="88" t="s">
        <v>5259</v>
      </c>
      <c r="D3485" s="88" t="s">
        <v>4158</v>
      </c>
      <c r="E3485" s="88" t="s">
        <v>61</v>
      </c>
      <c r="F3485" s="88">
        <v>0</v>
      </c>
      <c r="G3485" s="78">
        <f>MAX(H3485,I3485,J3485)</f>
        <v>0</v>
      </c>
      <c r="H3485" s="88"/>
      <c r="I3485" s="88"/>
      <c r="J3485" s="78">
        <f>MAX(K3485:Q3485)</f>
        <v>0</v>
      </c>
      <c r="K3485" s="88"/>
      <c r="L3485" s="88"/>
      <c r="M3485" s="88"/>
      <c r="N3485" s="88"/>
      <c r="O3485" s="88"/>
      <c r="P3485" s="88"/>
      <c r="Q3485" s="88"/>
      <c r="R3485" s="78">
        <f>MAX(S3485:W3485)</f>
        <v>1</v>
      </c>
      <c r="S3485" s="88"/>
      <c r="T3485" s="88"/>
      <c r="U3485" s="88">
        <v>1</v>
      </c>
      <c r="V3485" s="88"/>
      <c r="W3485" s="88"/>
    </row>
    <row r="3486" spans="2:23" s="0" customFormat="0" ht="15">
      <c r="B3486" s="87" t="s">
        <v>1</v>
      </c>
      <c r="C3486" s="88" t="s">
        <v>5259</v>
      </c>
      <c r="D3486" s="88">
        <v>21473846</v>
      </c>
      <c r="E3486" s="88" t="s">
        <v>61</v>
      </c>
      <c r="F3486" s="88">
        <v>0</v>
      </c>
      <c r="G3486" s="78">
        <f>MAX(H3486,I3486,J3486)</f>
        <v>1</v>
      </c>
      <c r="H3486" s="88"/>
      <c r="I3486" s="88"/>
      <c r="J3486" s="78">
        <f>MAX(K3486:Q3486)</f>
        <v>1</v>
      </c>
      <c r="K3486" s="88">
        <v>1</v>
      </c>
      <c r="L3486" s="88"/>
      <c r="M3486" s="88"/>
      <c r="N3486" s="88"/>
      <c r="O3486" s="88"/>
      <c r="P3486" s="88"/>
      <c r="Q3486" s="88"/>
      <c r="R3486" s="78">
        <f>MAX(S3486:W3486)</f>
        <v>0</v>
      </c>
      <c r="S3486" s="88"/>
      <c r="T3486" s="88"/>
      <c r="U3486" s="88"/>
      <c r="V3486" s="88"/>
      <c r="W3486" s="88"/>
    </row>
    <row r="3487" spans="2:23" s="0" customFormat="0" ht="15">
      <c r="B3487" s="87" t="s">
        <v>1</v>
      </c>
      <c r="C3487" s="88" t="s">
        <v>5259</v>
      </c>
      <c r="D3487" s="88">
        <v>3776280</v>
      </c>
      <c r="E3487" s="88" t="s">
        <v>61</v>
      </c>
      <c r="F3487" s="88">
        <v>0</v>
      </c>
      <c r="G3487" s="78">
        <f>MAX(H3487,I3487,J3487)</f>
        <v>0</v>
      </c>
      <c r="H3487" s="88"/>
      <c r="I3487" s="88"/>
      <c r="J3487" s="78">
        <f>MAX(K3487:Q3487)</f>
        <v>0</v>
      </c>
      <c r="K3487" s="88"/>
      <c r="L3487" s="88"/>
      <c r="M3487" s="88"/>
      <c r="N3487" s="88"/>
      <c r="O3487" s="88"/>
      <c r="P3487" s="88"/>
      <c r="Q3487" s="88"/>
      <c r="R3487" s="78">
        <f>MAX(S3487:W3487)</f>
        <v>1</v>
      </c>
      <c r="S3487" s="88"/>
      <c r="T3487" s="88"/>
      <c r="U3487" s="88">
        <v>1</v>
      </c>
      <c r="V3487" s="88"/>
      <c r="W3487" s="88"/>
    </row>
    <row r="3488" spans="2:23" s="0" customFormat="0" ht="15">
      <c r="B3488" s="87" t="s">
        <v>1</v>
      </c>
      <c r="C3488" s="88" t="s">
        <v>5259</v>
      </c>
      <c r="D3488" s="88">
        <v>15775331</v>
      </c>
      <c r="E3488" s="88" t="s">
        <v>61</v>
      </c>
      <c r="F3488" s="88">
        <v>0</v>
      </c>
      <c r="G3488" s="78">
        <f>MAX(H3488,I3488,J3488)</f>
        <v>1</v>
      </c>
      <c r="H3488" s="88"/>
      <c r="I3488" s="88"/>
      <c r="J3488" s="78">
        <f>MAX(K3488:Q3488)</f>
        <v>1</v>
      </c>
      <c r="K3488" s="88">
        <v>1</v>
      </c>
      <c r="L3488" s="88"/>
      <c r="M3488" s="88"/>
      <c r="N3488" s="88"/>
      <c r="O3488" s="88"/>
      <c r="P3488" s="88"/>
      <c r="Q3488" s="88"/>
      <c r="R3488" s="78">
        <f>MAX(S3488:W3488)</f>
        <v>0</v>
      </c>
      <c r="S3488" s="88"/>
      <c r="T3488" s="88"/>
      <c r="U3488" s="88"/>
      <c r="V3488" s="88"/>
      <c r="W3488" s="88"/>
    </row>
    <row r="3489" spans="2:23" s="0" customFormat="0" ht="15">
      <c r="B3489" s="87" t="s">
        <v>1</v>
      </c>
      <c r="C3489" s="88" t="s">
        <v>5259</v>
      </c>
      <c r="D3489" s="88">
        <v>23425036</v>
      </c>
      <c r="E3489" s="88" t="s">
        <v>61</v>
      </c>
      <c r="F3489" s="88">
        <v>0</v>
      </c>
      <c r="G3489" s="78">
        <f>MAX(H3489,I3489,J3489)</f>
        <v>1</v>
      </c>
      <c r="H3489" s="88"/>
      <c r="I3489" s="88"/>
      <c r="J3489" s="78">
        <f>MAX(K3489:Q3489)</f>
        <v>1</v>
      </c>
      <c r="K3489" s="88">
        <v>1</v>
      </c>
      <c r="L3489" s="88"/>
      <c r="M3489" s="88"/>
      <c r="N3489" s="88"/>
      <c r="O3489" s="88"/>
      <c r="P3489" s="88"/>
      <c r="Q3489" s="88"/>
      <c r="R3489" s="78">
        <f>MAX(S3489:W3489)</f>
        <v>0</v>
      </c>
      <c r="S3489" s="88"/>
      <c r="T3489" s="88"/>
      <c r="U3489" s="88"/>
      <c r="V3489" s="88"/>
      <c r="W3489" s="88"/>
    </row>
    <row r="3490" spans="2:23" s="0" customFormat="0" ht="15">
      <c r="B3490" s="87" t="s">
        <v>1</v>
      </c>
      <c r="C3490" s="88" t="s">
        <v>5259</v>
      </c>
      <c r="D3490" s="88">
        <v>23595946</v>
      </c>
      <c r="E3490" s="88" t="s">
        <v>61</v>
      </c>
      <c r="F3490" s="88">
        <v>0</v>
      </c>
      <c r="G3490" s="78">
        <f>MAX(H3490,I3490,J3490)</f>
        <v>1</v>
      </c>
      <c r="H3490" s="88"/>
      <c r="I3490" s="88"/>
      <c r="J3490" s="78">
        <f>MAX(K3490:Q3490)</f>
        <v>1</v>
      </c>
      <c r="K3490" s="88">
        <v>1</v>
      </c>
      <c r="L3490" s="88"/>
      <c r="M3490" s="88"/>
      <c r="N3490" s="88"/>
      <c r="O3490" s="88"/>
      <c r="P3490" s="88"/>
      <c r="Q3490" s="88"/>
      <c r="R3490" s="78">
        <f>MAX(S3490:W3490)</f>
        <v>0</v>
      </c>
      <c r="S3490" s="88"/>
      <c r="T3490" s="88"/>
      <c r="U3490" s="88"/>
      <c r="V3490" s="88"/>
      <c r="W3490" s="88"/>
    </row>
    <row r="3491" spans="2:23" s="0" customFormat="0" ht="15">
      <c r="B3491" s="87" t="s">
        <v>1</v>
      </c>
      <c r="C3491" s="88" t="s">
        <v>5259</v>
      </c>
      <c r="D3491" s="88" t="s">
        <v>4750</v>
      </c>
      <c r="E3491" s="88" t="s">
        <v>61</v>
      </c>
      <c r="F3491" s="88">
        <v>0</v>
      </c>
      <c r="G3491" s="78">
        <f>MAX(H3491,I3491,J3491)</f>
        <v>0</v>
      </c>
      <c r="H3491" s="88"/>
      <c r="I3491" s="88"/>
      <c r="J3491" s="78">
        <f>MAX(K3491:Q3491)</f>
        <v>0</v>
      </c>
      <c r="K3491" s="88"/>
      <c r="L3491" s="88"/>
      <c r="M3491" s="88"/>
      <c r="N3491" s="88"/>
      <c r="O3491" s="88"/>
      <c r="P3491" s="88"/>
      <c r="Q3491" s="88"/>
      <c r="R3491" s="78">
        <f>MAX(S3491:W3491)</f>
        <v>1</v>
      </c>
      <c r="S3491" s="88"/>
      <c r="T3491" s="88"/>
      <c r="U3491" s="88">
        <v>1</v>
      </c>
      <c r="V3491" s="88"/>
      <c r="W3491" s="88"/>
    </row>
    <row r="3492" spans="2:23" s="0" customFormat="0" ht="15">
      <c r="B3492" s="87" t="s">
        <v>1</v>
      </c>
      <c r="C3492" s="88" t="s">
        <v>5259</v>
      </c>
      <c r="D3492" s="88" t="s">
        <v>1586</v>
      </c>
      <c r="E3492" s="88" t="s">
        <v>61</v>
      </c>
      <c r="F3492" s="88">
        <v>0</v>
      </c>
      <c r="G3492" s="78">
        <f>MAX(H3492,I3492,J3492)</f>
        <v>1</v>
      </c>
      <c r="H3492" s="88"/>
      <c r="I3492" s="88"/>
      <c r="J3492" s="78">
        <f>MAX(K3492:Q3492)</f>
        <v>1</v>
      </c>
      <c r="K3492" s="88">
        <v>1</v>
      </c>
      <c r="L3492" s="88"/>
      <c r="M3492" s="88"/>
      <c r="N3492" s="88"/>
      <c r="O3492" s="88"/>
      <c r="P3492" s="88"/>
      <c r="Q3492" s="88"/>
      <c r="R3492" s="78">
        <f>MAX(S3492:W3492)</f>
        <v>0</v>
      </c>
      <c r="S3492" s="88"/>
      <c r="T3492" s="88"/>
      <c r="U3492" s="88"/>
      <c r="V3492" s="88"/>
      <c r="W3492" s="88"/>
    </row>
    <row r="3493" spans="2:23" s="0" customFormat="0" ht="15">
      <c r="B3493" s="87" t="s">
        <v>1</v>
      </c>
      <c r="C3493" s="88" t="s">
        <v>5259</v>
      </c>
      <c r="D3493" s="88">
        <v>22289596</v>
      </c>
      <c r="E3493" s="88" t="s">
        <v>61</v>
      </c>
      <c r="F3493" s="88">
        <v>0</v>
      </c>
      <c r="G3493" s="78">
        <f>MAX(H3493,I3493,J3493)</f>
        <v>1</v>
      </c>
      <c r="H3493" s="88"/>
      <c r="I3493" s="88"/>
      <c r="J3493" s="78">
        <f>MAX(K3493:Q3493)</f>
        <v>1</v>
      </c>
      <c r="K3493" s="88">
        <v>1</v>
      </c>
      <c r="L3493" s="88"/>
      <c r="M3493" s="88"/>
      <c r="N3493" s="88"/>
      <c r="O3493" s="88"/>
      <c r="P3493" s="88"/>
      <c r="Q3493" s="88"/>
      <c r="R3493" s="78">
        <f>MAX(S3493:W3493)</f>
        <v>0</v>
      </c>
      <c r="S3493" s="88"/>
      <c r="T3493" s="88"/>
      <c r="U3493" s="88"/>
      <c r="V3493" s="88"/>
      <c r="W3493" s="88"/>
    </row>
    <row r="3494" spans="2:23" s="0" customFormat="0" ht="15">
      <c r="B3494" s="87" t="s">
        <v>1</v>
      </c>
      <c r="C3494" s="88" t="s">
        <v>5259</v>
      </c>
      <c r="D3494" s="88">
        <v>22081367</v>
      </c>
      <c r="E3494" s="88" t="s">
        <v>61</v>
      </c>
      <c r="F3494" s="88">
        <v>0</v>
      </c>
      <c r="G3494" s="78">
        <f>MAX(H3494,I3494,J3494)</f>
        <v>1</v>
      </c>
      <c r="H3494" s="88"/>
      <c r="I3494" s="88"/>
      <c r="J3494" s="78">
        <f>MAX(K3494:Q3494)</f>
        <v>1</v>
      </c>
      <c r="K3494" s="88">
        <v>1</v>
      </c>
      <c r="L3494" s="88"/>
      <c r="M3494" s="88"/>
      <c r="N3494" s="88"/>
      <c r="O3494" s="88"/>
      <c r="P3494" s="88"/>
      <c r="Q3494" s="88"/>
      <c r="R3494" s="78">
        <f>MAX(S3494:W3494)</f>
        <v>0</v>
      </c>
      <c r="S3494" s="88"/>
      <c r="T3494" s="88"/>
      <c r="U3494" s="88"/>
      <c r="V3494" s="88"/>
      <c r="W3494" s="88"/>
    </row>
    <row r="3495" spans="2:23" s="0" customFormat="0" ht="15">
      <c r="B3495" s="87" t="s">
        <v>1</v>
      </c>
      <c r="C3495" s="88" t="s">
        <v>5259</v>
      </c>
      <c r="D3495" s="88" t="s">
        <v>4752</v>
      </c>
      <c r="E3495" s="88" t="s">
        <v>61</v>
      </c>
      <c r="F3495" s="88">
        <v>0</v>
      </c>
      <c r="G3495" s="78">
        <f>MAX(H3495,I3495,J3495)</f>
        <v>0</v>
      </c>
      <c r="H3495" s="88"/>
      <c r="I3495" s="88"/>
      <c r="J3495" s="78">
        <f>MAX(K3495:Q3495)</f>
        <v>0</v>
      </c>
      <c r="K3495" s="88"/>
      <c r="L3495" s="88"/>
      <c r="M3495" s="88"/>
      <c r="N3495" s="88"/>
      <c r="O3495" s="88"/>
      <c r="P3495" s="88"/>
      <c r="Q3495" s="88"/>
      <c r="R3495" s="78">
        <f>MAX(S3495:W3495)</f>
        <v>1</v>
      </c>
      <c r="S3495" s="88"/>
      <c r="T3495" s="88"/>
      <c r="U3495" s="88">
        <v>1</v>
      </c>
      <c r="V3495" s="88"/>
      <c r="W3495" s="88"/>
    </row>
    <row r="3496" spans="2:23" s="0" customFormat="0" ht="15">
      <c r="B3496" s="87" t="s">
        <v>1</v>
      </c>
      <c r="C3496" s="88" t="s">
        <v>5259</v>
      </c>
      <c r="D3496" s="88">
        <v>18684448</v>
      </c>
      <c r="E3496" s="88" t="s">
        <v>61</v>
      </c>
      <c r="F3496" s="88">
        <v>0</v>
      </c>
      <c r="G3496" s="78">
        <f>MAX(H3496,I3496,J3496)</f>
        <v>1</v>
      </c>
      <c r="H3496" s="88"/>
      <c r="I3496" s="88"/>
      <c r="J3496" s="78">
        <f>MAX(K3496:Q3496)</f>
        <v>1</v>
      </c>
      <c r="K3496" s="88">
        <v>1</v>
      </c>
      <c r="L3496" s="88"/>
      <c r="M3496" s="88"/>
      <c r="N3496" s="88"/>
      <c r="O3496" s="88"/>
      <c r="P3496" s="88"/>
      <c r="Q3496" s="88"/>
      <c r="R3496" s="78">
        <f>MAX(S3496:W3496)</f>
        <v>0</v>
      </c>
      <c r="S3496" s="88"/>
      <c r="T3496" s="88"/>
      <c r="U3496" s="88"/>
      <c r="V3496" s="88"/>
      <c r="W3496" s="88"/>
    </row>
    <row r="3497" spans="2:23" s="0" customFormat="0" ht="15">
      <c r="B3497" s="87" t="s">
        <v>1</v>
      </c>
      <c r="C3497" s="88" t="s">
        <v>5259</v>
      </c>
      <c r="D3497" s="88" t="s">
        <v>3623</v>
      </c>
      <c r="E3497" s="88" t="s">
        <v>61</v>
      </c>
      <c r="F3497" s="88">
        <v>0</v>
      </c>
      <c r="G3497" s="78">
        <f>MAX(H3497,I3497,J3497)</f>
        <v>0</v>
      </c>
      <c r="H3497" s="88"/>
      <c r="I3497" s="88"/>
      <c r="J3497" s="78">
        <f>MAX(K3497:Q3497)</f>
        <v>0</v>
      </c>
      <c r="K3497" s="88"/>
      <c r="L3497" s="88"/>
      <c r="M3497" s="88"/>
      <c r="N3497" s="88"/>
      <c r="O3497" s="88"/>
      <c r="P3497" s="88"/>
      <c r="Q3497" s="88"/>
      <c r="R3497" s="78">
        <f>MAX(S3497:W3497)</f>
        <v>1</v>
      </c>
      <c r="S3497" s="88"/>
      <c r="T3497" s="88"/>
      <c r="U3497" s="88">
        <v>1</v>
      </c>
      <c r="V3497" s="88"/>
      <c r="W3497" s="88"/>
    </row>
    <row r="3498" spans="2:23" s="0" customFormat="0" ht="15">
      <c r="B3498" s="87" t="s">
        <v>1</v>
      </c>
      <c r="C3498" s="88" t="s">
        <v>5259</v>
      </c>
      <c r="D3498" s="88">
        <v>15834520</v>
      </c>
      <c r="E3498" s="88" t="s">
        <v>61</v>
      </c>
      <c r="F3498" s="88">
        <v>0</v>
      </c>
      <c r="G3498" s="78">
        <f>MAX(H3498,I3498,J3498)</f>
        <v>1</v>
      </c>
      <c r="H3498" s="88"/>
      <c r="I3498" s="88"/>
      <c r="J3498" s="78">
        <f>MAX(K3498:Q3498)</f>
        <v>1</v>
      </c>
      <c r="K3498" s="88">
        <v>1</v>
      </c>
      <c r="L3498" s="88"/>
      <c r="M3498" s="88"/>
      <c r="N3498" s="88"/>
      <c r="O3498" s="88"/>
      <c r="P3498" s="88"/>
      <c r="Q3498" s="88"/>
      <c r="R3498" s="78">
        <f>MAX(S3498:W3498)</f>
        <v>0</v>
      </c>
      <c r="S3498" s="88"/>
      <c r="T3498" s="88"/>
      <c r="U3498" s="88"/>
      <c r="V3498" s="88"/>
      <c r="W3498" s="88"/>
    </row>
    <row r="3499" spans="2:23" s="0" customFormat="0" ht="15">
      <c r="B3499" s="87" t="s">
        <v>1</v>
      </c>
      <c r="C3499" s="88" t="s">
        <v>5259</v>
      </c>
      <c r="D3499" s="88">
        <v>12833954</v>
      </c>
      <c r="E3499" s="88" t="s">
        <v>61</v>
      </c>
      <c r="F3499" s="88">
        <v>0</v>
      </c>
      <c r="G3499" s="78">
        <f>MAX(H3499,I3499,J3499)</f>
        <v>1</v>
      </c>
      <c r="H3499" s="88"/>
      <c r="I3499" s="88"/>
      <c r="J3499" s="78">
        <f>MAX(K3499:Q3499)</f>
        <v>1</v>
      </c>
      <c r="K3499" s="88">
        <v>1</v>
      </c>
      <c r="L3499" s="88"/>
      <c r="M3499" s="88"/>
      <c r="N3499" s="88"/>
      <c r="O3499" s="88"/>
      <c r="P3499" s="88"/>
      <c r="Q3499" s="88"/>
      <c r="R3499" s="78">
        <f>MAX(S3499:W3499)</f>
        <v>0</v>
      </c>
      <c r="S3499" s="88"/>
      <c r="T3499" s="88"/>
      <c r="U3499" s="88"/>
      <c r="V3499" s="88"/>
      <c r="W3499" s="88"/>
    </row>
    <row r="3500" spans="2:23" s="0" customFormat="0" ht="15">
      <c r="B3500" s="87" t="s">
        <v>1</v>
      </c>
      <c r="C3500" s="88" t="s">
        <v>5259</v>
      </c>
      <c r="D3500" s="88" t="s">
        <v>2246</v>
      </c>
      <c r="E3500" s="88" t="s">
        <v>61</v>
      </c>
      <c r="F3500" s="88">
        <v>0</v>
      </c>
      <c r="G3500" s="78">
        <f>MAX(H3500,I3500,J3500)</f>
        <v>1</v>
      </c>
      <c r="H3500" s="88"/>
      <c r="I3500" s="88"/>
      <c r="J3500" s="78">
        <f>MAX(K3500:Q3500)</f>
        <v>1</v>
      </c>
      <c r="K3500" s="88">
        <v>1</v>
      </c>
      <c r="L3500" s="88"/>
      <c r="M3500" s="88"/>
      <c r="N3500" s="88"/>
      <c r="O3500" s="88"/>
      <c r="P3500" s="88"/>
      <c r="Q3500" s="88"/>
      <c r="R3500" s="78">
        <f>MAX(S3500:W3500)</f>
        <v>0</v>
      </c>
      <c r="S3500" s="88"/>
      <c r="T3500" s="88"/>
      <c r="U3500" s="88"/>
      <c r="V3500" s="88"/>
      <c r="W3500" s="88"/>
    </row>
    <row r="3501" spans="2:23" s="0" customFormat="0" ht="15">
      <c r="B3501" s="87" t="s">
        <v>1</v>
      </c>
      <c r="C3501" s="88" t="s">
        <v>5259</v>
      </c>
      <c r="D3501" s="88" t="s">
        <v>2248</v>
      </c>
      <c r="E3501" s="88" t="s">
        <v>61</v>
      </c>
      <c r="F3501" s="88">
        <v>0</v>
      </c>
      <c r="G3501" s="78">
        <f>MAX(H3501,I3501,J3501)</f>
        <v>1</v>
      </c>
      <c r="H3501" s="88"/>
      <c r="I3501" s="88"/>
      <c r="J3501" s="78">
        <f>MAX(K3501:Q3501)</f>
        <v>1</v>
      </c>
      <c r="K3501" s="88">
        <v>1</v>
      </c>
      <c r="L3501" s="88"/>
      <c r="M3501" s="88"/>
      <c r="N3501" s="88"/>
      <c r="O3501" s="88"/>
      <c r="P3501" s="88"/>
      <c r="Q3501" s="88"/>
      <c r="R3501" s="78">
        <f>MAX(S3501:W3501)</f>
        <v>0</v>
      </c>
      <c r="S3501" s="88"/>
      <c r="T3501" s="88"/>
      <c r="U3501" s="88"/>
      <c r="V3501" s="88"/>
      <c r="W3501" s="88"/>
    </row>
    <row r="3502" spans="2:23" s="0" customFormat="0" ht="15">
      <c r="B3502" s="87" t="s">
        <v>1</v>
      </c>
      <c r="C3502" s="88" t="s">
        <v>5259</v>
      </c>
      <c r="D3502" s="88">
        <v>12598390</v>
      </c>
      <c r="E3502" s="88" t="s">
        <v>61</v>
      </c>
      <c r="F3502" s="88">
        <v>0</v>
      </c>
      <c r="G3502" s="78">
        <f>MAX(H3502,I3502,J3502)</f>
        <v>1</v>
      </c>
      <c r="H3502" s="88"/>
      <c r="I3502" s="88"/>
      <c r="J3502" s="78">
        <f>MAX(K3502:Q3502)</f>
        <v>1</v>
      </c>
      <c r="K3502" s="88">
        <v>1</v>
      </c>
      <c r="L3502" s="88"/>
      <c r="M3502" s="88"/>
      <c r="N3502" s="88"/>
      <c r="O3502" s="88"/>
      <c r="P3502" s="88"/>
      <c r="Q3502" s="88"/>
      <c r="R3502" s="78">
        <f>MAX(S3502:W3502)</f>
        <v>0</v>
      </c>
      <c r="S3502" s="88"/>
      <c r="T3502" s="88"/>
      <c r="U3502" s="88"/>
      <c r="V3502" s="88"/>
      <c r="W3502" s="88"/>
    </row>
    <row r="3503" spans="2:23" s="0" customFormat="0" ht="15">
      <c r="B3503" s="87" t="s">
        <v>1</v>
      </c>
      <c r="C3503" s="88" t="s">
        <v>5259</v>
      </c>
      <c r="D3503" s="88">
        <v>20993770</v>
      </c>
      <c r="E3503" s="88" t="s">
        <v>61</v>
      </c>
      <c r="F3503" s="88">
        <v>0</v>
      </c>
      <c r="G3503" s="78">
        <f>MAX(H3503,I3503,J3503)</f>
        <v>1</v>
      </c>
      <c r="H3503" s="88"/>
      <c r="I3503" s="88"/>
      <c r="J3503" s="78">
        <f>MAX(K3503:Q3503)</f>
        <v>1</v>
      </c>
      <c r="K3503" s="88">
        <v>1</v>
      </c>
      <c r="L3503" s="88"/>
      <c r="M3503" s="88"/>
      <c r="N3503" s="88"/>
      <c r="O3503" s="88"/>
      <c r="P3503" s="88"/>
      <c r="Q3503" s="88"/>
      <c r="R3503" s="78">
        <f>MAX(S3503:W3503)</f>
        <v>0</v>
      </c>
      <c r="S3503" s="88"/>
      <c r="T3503" s="88"/>
      <c r="U3503" s="88"/>
      <c r="V3503" s="88"/>
      <c r="W3503" s="88"/>
    </row>
    <row r="3504" spans="2:23" s="0" customFormat="0" ht="15">
      <c r="B3504" s="87" t="s">
        <v>1</v>
      </c>
      <c r="C3504" s="88" t="s">
        <v>5259</v>
      </c>
      <c r="D3504" s="88">
        <v>388150</v>
      </c>
      <c r="E3504" s="88" t="s">
        <v>61</v>
      </c>
      <c r="F3504" s="88">
        <v>0</v>
      </c>
      <c r="G3504" s="78">
        <f>MAX(H3504,I3504,J3504)</f>
        <v>1</v>
      </c>
      <c r="H3504" s="88"/>
      <c r="I3504" s="88"/>
      <c r="J3504" s="78">
        <f>MAX(K3504:Q3504)</f>
        <v>1</v>
      </c>
      <c r="K3504" s="88">
        <v>1</v>
      </c>
      <c r="L3504" s="88"/>
      <c r="M3504" s="88"/>
      <c r="N3504" s="88"/>
      <c r="O3504" s="88"/>
      <c r="P3504" s="88"/>
      <c r="Q3504" s="88"/>
      <c r="R3504" s="78">
        <f>MAX(S3504:W3504)</f>
        <v>0</v>
      </c>
      <c r="S3504" s="88"/>
      <c r="T3504" s="88"/>
      <c r="U3504" s="88"/>
      <c r="V3504" s="88"/>
      <c r="W3504" s="88"/>
    </row>
    <row r="3505" spans="2:23" s="0" customFormat="0" ht="15">
      <c r="B3505" s="87" t="s">
        <v>1</v>
      </c>
      <c r="C3505" s="88" t="s">
        <v>5259</v>
      </c>
      <c r="D3505" s="88">
        <v>20626151</v>
      </c>
      <c r="E3505" s="88" t="s">
        <v>61</v>
      </c>
      <c r="F3505" s="88">
        <v>0</v>
      </c>
      <c r="G3505" s="78">
        <f>MAX(H3505,I3505,J3505)</f>
        <v>1</v>
      </c>
      <c r="H3505" s="88"/>
      <c r="I3505" s="88"/>
      <c r="J3505" s="78">
        <f>MAX(K3505:Q3505)</f>
        <v>1</v>
      </c>
      <c r="K3505" s="88">
        <v>1</v>
      </c>
      <c r="L3505" s="88"/>
      <c r="M3505" s="88"/>
      <c r="N3505" s="88"/>
      <c r="O3505" s="88"/>
      <c r="P3505" s="88"/>
      <c r="Q3505" s="88"/>
      <c r="R3505" s="78">
        <f>MAX(S3505:W3505)</f>
        <v>0</v>
      </c>
      <c r="S3505" s="88"/>
      <c r="T3505" s="88"/>
      <c r="U3505" s="88"/>
      <c r="V3505" s="88"/>
      <c r="W3505" s="88"/>
    </row>
    <row r="3506" spans="2:23" s="0" customFormat="0" ht="15">
      <c r="B3506" s="87" t="s">
        <v>1</v>
      </c>
      <c r="C3506" s="88" t="s">
        <v>5259</v>
      </c>
      <c r="D3506" s="88">
        <v>19334513</v>
      </c>
      <c r="E3506" s="88" t="s">
        <v>61</v>
      </c>
      <c r="F3506" s="88">
        <v>0</v>
      </c>
      <c r="G3506" s="78">
        <f>MAX(H3506,I3506,J3506)</f>
        <v>1</v>
      </c>
      <c r="H3506" s="88"/>
      <c r="I3506" s="88"/>
      <c r="J3506" s="78">
        <f>MAX(K3506:Q3506)</f>
        <v>1</v>
      </c>
      <c r="K3506" s="88">
        <v>1</v>
      </c>
      <c r="L3506" s="88"/>
      <c r="M3506" s="88"/>
      <c r="N3506" s="88"/>
      <c r="O3506" s="88"/>
      <c r="P3506" s="88"/>
      <c r="Q3506" s="88"/>
      <c r="R3506" s="78">
        <f>MAX(S3506:W3506)</f>
        <v>0</v>
      </c>
      <c r="S3506" s="88"/>
      <c r="T3506" s="88"/>
      <c r="U3506" s="88"/>
      <c r="V3506" s="88"/>
      <c r="W3506" s="88"/>
    </row>
    <row r="3507" spans="2:23" s="0" customFormat="0" ht="15">
      <c r="B3507" s="87" t="s">
        <v>1</v>
      </c>
      <c r="C3507" s="88" t="s">
        <v>5259</v>
      </c>
      <c r="D3507" s="88">
        <v>1928739</v>
      </c>
      <c r="E3507" s="88" t="s">
        <v>61</v>
      </c>
      <c r="F3507" s="88">
        <v>0</v>
      </c>
      <c r="G3507" s="78">
        <f>MAX(H3507,I3507,J3507)</f>
        <v>0</v>
      </c>
      <c r="H3507" s="88"/>
      <c r="I3507" s="88"/>
      <c r="J3507" s="78">
        <f>MAX(K3507:Q3507)</f>
        <v>0</v>
      </c>
      <c r="K3507" s="88"/>
      <c r="L3507" s="88"/>
      <c r="M3507" s="88"/>
      <c r="N3507" s="88"/>
      <c r="O3507" s="88"/>
      <c r="P3507" s="88"/>
      <c r="Q3507" s="88"/>
      <c r="R3507" s="78">
        <f>MAX(S3507:W3507)</f>
        <v>1</v>
      </c>
      <c r="S3507" s="88"/>
      <c r="T3507" s="88"/>
      <c r="U3507" s="88">
        <v>1</v>
      </c>
      <c r="V3507" s="88"/>
      <c r="W3507" s="88"/>
    </row>
    <row r="3508" spans="2:23" s="0" customFormat="0" ht="15">
      <c r="B3508" s="87" t="s">
        <v>1</v>
      </c>
      <c r="C3508" s="88" t="s">
        <v>5259</v>
      </c>
      <c r="D3508" s="88" t="s">
        <v>2253</v>
      </c>
      <c r="E3508" s="88" t="s">
        <v>61</v>
      </c>
      <c r="F3508" s="88">
        <v>0</v>
      </c>
      <c r="G3508" s="78">
        <f>MAX(H3508,I3508,J3508)</f>
        <v>1</v>
      </c>
      <c r="H3508" s="88"/>
      <c r="I3508" s="88"/>
      <c r="J3508" s="78">
        <f>MAX(K3508:Q3508)</f>
        <v>1</v>
      </c>
      <c r="K3508" s="88">
        <v>1</v>
      </c>
      <c r="L3508" s="88"/>
      <c r="M3508" s="88"/>
      <c r="N3508" s="88"/>
      <c r="O3508" s="88"/>
      <c r="P3508" s="88"/>
      <c r="Q3508" s="88"/>
      <c r="R3508" s="78">
        <f>MAX(S3508:W3508)</f>
        <v>0</v>
      </c>
      <c r="S3508" s="88"/>
      <c r="T3508" s="88"/>
      <c r="U3508" s="88"/>
      <c r="V3508" s="88"/>
      <c r="W3508" s="88"/>
    </row>
    <row r="3509" spans="2:23" s="0" customFormat="0" ht="15">
      <c r="B3509" s="87" t="s">
        <v>1</v>
      </c>
      <c r="C3509" s="88" t="s">
        <v>5259</v>
      </c>
      <c r="D3509" s="88" t="s">
        <v>2255</v>
      </c>
      <c r="E3509" s="88" t="s">
        <v>61</v>
      </c>
      <c r="F3509" s="88">
        <v>0</v>
      </c>
      <c r="G3509" s="78">
        <f>MAX(H3509,I3509,J3509)</f>
        <v>1</v>
      </c>
      <c r="H3509" s="88"/>
      <c r="I3509" s="88"/>
      <c r="J3509" s="78">
        <f>MAX(K3509:Q3509)</f>
        <v>1</v>
      </c>
      <c r="K3509" s="88">
        <v>1</v>
      </c>
      <c r="L3509" s="88"/>
      <c r="M3509" s="88"/>
      <c r="N3509" s="88"/>
      <c r="O3509" s="88"/>
      <c r="P3509" s="88"/>
      <c r="Q3509" s="88"/>
      <c r="R3509" s="78">
        <f>MAX(S3509:W3509)</f>
        <v>0</v>
      </c>
      <c r="S3509" s="88"/>
      <c r="T3509" s="88"/>
      <c r="U3509" s="88"/>
      <c r="V3509" s="88"/>
      <c r="W3509" s="88"/>
    </row>
    <row r="3510" spans="2:23" s="0" customFormat="0" ht="15">
      <c r="B3510" s="87" t="s">
        <v>1</v>
      </c>
      <c r="C3510" s="88" t="s">
        <v>5259</v>
      </c>
      <c r="D3510" s="88">
        <v>15345826</v>
      </c>
      <c r="E3510" s="88" t="s">
        <v>61</v>
      </c>
      <c r="F3510" s="88">
        <v>0</v>
      </c>
      <c r="G3510" s="78">
        <f>MAX(H3510,I3510,J3510)</f>
        <v>1</v>
      </c>
      <c r="H3510" s="88"/>
      <c r="I3510" s="88"/>
      <c r="J3510" s="78">
        <f>MAX(K3510:Q3510)</f>
        <v>1</v>
      </c>
      <c r="K3510" s="88">
        <v>1</v>
      </c>
      <c r="L3510" s="88"/>
      <c r="M3510" s="88"/>
      <c r="N3510" s="88"/>
      <c r="O3510" s="88"/>
      <c r="P3510" s="88"/>
      <c r="Q3510" s="88"/>
      <c r="R3510" s="78">
        <f>MAX(S3510:W3510)</f>
        <v>0</v>
      </c>
      <c r="S3510" s="88"/>
      <c r="T3510" s="88"/>
      <c r="U3510" s="88"/>
      <c r="V3510" s="88"/>
      <c r="W3510" s="88"/>
    </row>
    <row r="3511" spans="2:23" s="0" customFormat="0" ht="15">
      <c r="B3511" s="87" t="s">
        <v>1</v>
      </c>
      <c r="C3511" s="88" t="s">
        <v>5259</v>
      </c>
      <c r="D3511" s="88" t="s">
        <v>2151</v>
      </c>
      <c r="E3511" s="88" t="s">
        <v>61</v>
      </c>
      <c r="F3511" s="88">
        <v>0</v>
      </c>
      <c r="G3511" s="78">
        <f>MAX(H3511,I3511,J3511)</f>
        <v>1</v>
      </c>
      <c r="H3511" s="88"/>
      <c r="I3511" s="88"/>
      <c r="J3511" s="78">
        <f>MAX(K3511:Q3511)</f>
        <v>1</v>
      </c>
      <c r="K3511" s="88">
        <v>1</v>
      </c>
      <c r="L3511" s="88"/>
      <c r="M3511" s="88"/>
      <c r="N3511" s="88"/>
      <c r="O3511" s="88"/>
      <c r="P3511" s="88"/>
      <c r="Q3511" s="88"/>
      <c r="R3511" s="78">
        <f>MAX(S3511:W3511)</f>
        <v>0</v>
      </c>
      <c r="S3511" s="88"/>
      <c r="T3511" s="88"/>
      <c r="U3511" s="88"/>
      <c r="V3511" s="88"/>
      <c r="W3511" s="88"/>
    </row>
    <row r="3512" spans="2:23" s="0" customFormat="0" ht="15">
      <c r="B3512" s="87" t="s">
        <v>1</v>
      </c>
      <c r="C3512" s="88" t="s">
        <v>5259</v>
      </c>
      <c r="D3512" s="88">
        <v>21301526</v>
      </c>
      <c r="E3512" s="88" t="s">
        <v>61</v>
      </c>
      <c r="F3512" s="88">
        <v>0</v>
      </c>
      <c r="G3512" s="78">
        <f>MAX(H3512,I3512,J3512)</f>
        <v>0</v>
      </c>
      <c r="H3512" s="88"/>
      <c r="I3512" s="88"/>
      <c r="J3512" s="78">
        <f>MAX(K3512:Q3512)</f>
        <v>0</v>
      </c>
      <c r="K3512" s="88"/>
      <c r="L3512" s="88"/>
      <c r="M3512" s="88"/>
      <c r="N3512" s="88"/>
      <c r="O3512" s="88"/>
      <c r="P3512" s="88"/>
      <c r="Q3512" s="88"/>
      <c r="R3512" s="78">
        <f>MAX(S3512:W3512)</f>
        <v>1</v>
      </c>
      <c r="S3512" s="88"/>
      <c r="T3512" s="88"/>
      <c r="U3512" s="88">
        <v>1</v>
      </c>
      <c r="V3512" s="88"/>
      <c r="W3512" s="88"/>
    </row>
    <row r="3513" spans="2:23" s="0" customFormat="0" ht="15">
      <c r="B3513" s="87" t="s">
        <v>1</v>
      </c>
      <c r="C3513" s="88" t="s">
        <v>5259</v>
      </c>
      <c r="D3513" s="88">
        <v>23299441</v>
      </c>
      <c r="E3513" s="88" t="s">
        <v>61</v>
      </c>
      <c r="F3513" s="88">
        <v>0</v>
      </c>
      <c r="G3513" s="78">
        <f>MAX(H3513,I3513,J3513)</f>
        <v>1</v>
      </c>
      <c r="H3513" s="88"/>
      <c r="I3513" s="88"/>
      <c r="J3513" s="78">
        <f>MAX(K3513:Q3513)</f>
        <v>1</v>
      </c>
      <c r="K3513" s="88">
        <v>1</v>
      </c>
      <c r="L3513" s="88"/>
      <c r="M3513" s="88"/>
      <c r="N3513" s="88"/>
      <c r="O3513" s="88"/>
      <c r="P3513" s="88"/>
      <c r="Q3513" s="88"/>
      <c r="R3513" s="78">
        <f>MAX(S3513:W3513)</f>
        <v>0</v>
      </c>
      <c r="S3513" s="88"/>
      <c r="T3513" s="88"/>
      <c r="U3513" s="88"/>
      <c r="V3513" s="88"/>
      <c r="W3513" s="88"/>
    </row>
    <row r="3514" spans="2:23" s="0" customFormat="0" ht="15">
      <c r="B3514" s="87" t="s">
        <v>1</v>
      </c>
      <c r="C3514" s="88" t="s">
        <v>5259</v>
      </c>
      <c r="D3514" s="88" t="s">
        <v>1303</v>
      </c>
      <c r="E3514" s="88" t="s">
        <v>61</v>
      </c>
      <c r="F3514" s="88">
        <v>0</v>
      </c>
      <c r="G3514" s="78">
        <f>MAX(H3514,I3514,J3514)</f>
        <v>1</v>
      </c>
      <c r="H3514" s="88"/>
      <c r="I3514" s="88"/>
      <c r="J3514" s="78">
        <f>MAX(K3514:Q3514)</f>
        <v>1</v>
      </c>
      <c r="K3514" s="88">
        <v>1</v>
      </c>
      <c r="L3514" s="88"/>
      <c r="M3514" s="88"/>
      <c r="N3514" s="88"/>
      <c r="O3514" s="88"/>
      <c r="P3514" s="88"/>
      <c r="Q3514" s="88"/>
      <c r="R3514" s="78">
        <f>MAX(S3514:W3514)</f>
        <v>0</v>
      </c>
      <c r="S3514" s="88"/>
      <c r="T3514" s="88"/>
      <c r="U3514" s="88"/>
      <c r="V3514" s="88"/>
      <c r="W3514" s="88"/>
    </row>
    <row r="3515" spans="2:23" s="0" customFormat="0" ht="15">
      <c r="B3515" s="87" t="s">
        <v>1</v>
      </c>
      <c r="C3515" s="88" t="s">
        <v>5259</v>
      </c>
      <c r="D3515" s="88" t="s">
        <v>4756</v>
      </c>
      <c r="E3515" s="88" t="s">
        <v>61</v>
      </c>
      <c r="F3515" s="88">
        <v>0</v>
      </c>
      <c r="G3515" s="78">
        <f>MAX(H3515,I3515,J3515)</f>
        <v>0</v>
      </c>
      <c r="H3515" s="88"/>
      <c r="I3515" s="88"/>
      <c r="J3515" s="78">
        <f>MAX(K3515:Q3515)</f>
        <v>0</v>
      </c>
      <c r="K3515" s="88"/>
      <c r="L3515" s="88"/>
      <c r="M3515" s="88"/>
      <c r="N3515" s="88"/>
      <c r="O3515" s="88"/>
      <c r="P3515" s="88"/>
      <c r="Q3515" s="88"/>
      <c r="R3515" s="78">
        <f>MAX(S3515:W3515)</f>
        <v>1</v>
      </c>
      <c r="S3515" s="88"/>
      <c r="T3515" s="88"/>
      <c r="U3515" s="88">
        <v>1</v>
      </c>
      <c r="V3515" s="88"/>
      <c r="W3515" s="88"/>
    </row>
    <row r="3516" spans="2:23" s="0" customFormat="0" ht="15">
      <c r="B3516" s="87" t="s">
        <v>1</v>
      </c>
      <c r="C3516" s="88" t="s">
        <v>5259</v>
      </c>
      <c r="D3516" s="88" t="s">
        <v>4523</v>
      </c>
      <c r="E3516" s="88" t="s">
        <v>61</v>
      </c>
      <c r="F3516" s="88">
        <v>0</v>
      </c>
      <c r="G3516" s="78">
        <f>MAX(H3516,I3516,J3516)</f>
        <v>0</v>
      </c>
      <c r="H3516" s="88"/>
      <c r="I3516" s="88"/>
      <c r="J3516" s="78">
        <f>MAX(K3516:Q3516)</f>
        <v>0</v>
      </c>
      <c r="K3516" s="88"/>
      <c r="L3516" s="88"/>
      <c r="M3516" s="88"/>
      <c r="N3516" s="88"/>
      <c r="O3516" s="88"/>
      <c r="P3516" s="88"/>
      <c r="Q3516" s="88"/>
      <c r="R3516" s="78">
        <f>MAX(S3516:W3516)</f>
        <v>1</v>
      </c>
      <c r="S3516" s="88"/>
      <c r="T3516" s="88"/>
      <c r="U3516" s="88">
        <v>1</v>
      </c>
      <c r="V3516" s="88"/>
      <c r="W3516" s="88"/>
    </row>
    <row r="3517" spans="2:23" s="0" customFormat="0" ht="15">
      <c r="B3517" s="87" t="s">
        <v>1</v>
      </c>
      <c r="C3517" s="88" t="s">
        <v>5259</v>
      </c>
      <c r="D3517" s="88">
        <v>18047814</v>
      </c>
      <c r="E3517" s="88" t="s">
        <v>61</v>
      </c>
      <c r="F3517" s="88">
        <v>0</v>
      </c>
      <c r="G3517" s="78">
        <f>MAX(H3517,I3517,J3517)</f>
        <v>1</v>
      </c>
      <c r="H3517" s="88"/>
      <c r="I3517" s="88"/>
      <c r="J3517" s="78">
        <f>MAX(K3517:Q3517)</f>
        <v>1</v>
      </c>
      <c r="K3517" s="88">
        <v>1</v>
      </c>
      <c r="L3517" s="88"/>
      <c r="M3517" s="88"/>
      <c r="N3517" s="88"/>
      <c r="O3517" s="88"/>
      <c r="P3517" s="88"/>
      <c r="Q3517" s="88"/>
      <c r="R3517" s="78">
        <f>MAX(S3517:W3517)</f>
        <v>0</v>
      </c>
      <c r="S3517" s="88"/>
      <c r="T3517" s="88"/>
      <c r="U3517" s="88"/>
      <c r="V3517" s="88"/>
      <c r="W3517" s="88"/>
    </row>
    <row r="3518" spans="2:23" s="0" customFormat="0" ht="15">
      <c r="B3518" s="87" t="s">
        <v>1</v>
      </c>
      <c r="C3518" s="88" t="s">
        <v>5259</v>
      </c>
      <c r="D3518" s="88" t="s">
        <v>1361</v>
      </c>
      <c r="E3518" s="88" t="s">
        <v>61</v>
      </c>
      <c r="F3518" s="88">
        <v>0</v>
      </c>
      <c r="G3518" s="78">
        <f>MAX(H3518,I3518,J3518)</f>
        <v>1</v>
      </c>
      <c r="H3518" s="88"/>
      <c r="I3518" s="88"/>
      <c r="J3518" s="78">
        <f>MAX(K3518:Q3518)</f>
        <v>1</v>
      </c>
      <c r="K3518" s="88">
        <v>1</v>
      </c>
      <c r="L3518" s="88"/>
      <c r="M3518" s="88"/>
      <c r="N3518" s="88"/>
      <c r="O3518" s="88"/>
      <c r="P3518" s="88"/>
      <c r="Q3518" s="88"/>
      <c r="R3518" s="78">
        <f>MAX(S3518:W3518)</f>
        <v>0</v>
      </c>
      <c r="S3518" s="88"/>
      <c r="T3518" s="88"/>
      <c r="U3518" s="88"/>
      <c r="V3518" s="88"/>
      <c r="W3518" s="88"/>
    </row>
    <row r="3519" spans="2:23" s="0" customFormat="0" ht="15">
      <c r="B3519" s="87" t="s">
        <v>1</v>
      </c>
      <c r="C3519" s="88" t="s">
        <v>5259</v>
      </c>
      <c r="D3519" s="88" t="s">
        <v>2169</v>
      </c>
      <c r="E3519" s="88" t="s">
        <v>61</v>
      </c>
      <c r="F3519" s="88">
        <v>0</v>
      </c>
      <c r="G3519" s="78">
        <f>MAX(H3519,I3519,J3519)</f>
        <v>1</v>
      </c>
      <c r="H3519" s="88"/>
      <c r="I3519" s="88"/>
      <c r="J3519" s="78">
        <f>MAX(K3519:Q3519)</f>
        <v>1</v>
      </c>
      <c r="K3519" s="88">
        <v>1</v>
      </c>
      <c r="L3519" s="88"/>
      <c r="M3519" s="88"/>
      <c r="N3519" s="88"/>
      <c r="O3519" s="88"/>
      <c r="P3519" s="88"/>
      <c r="Q3519" s="88"/>
      <c r="R3519" s="78">
        <f>MAX(S3519:W3519)</f>
        <v>0</v>
      </c>
      <c r="S3519" s="88"/>
      <c r="T3519" s="88"/>
      <c r="U3519" s="88"/>
      <c r="V3519" s="88"/>
      <c r="W3519" s="88"/>
    </row>
    <row r="3520" spans="2:23" s="0" customFormat="0" ht="15">
      <c r="B3520" s="87" t="s">
        <v>1</v>
      </c>
      <c r="C3520" s="88" t="s">
        <v>5259</v>
      </c>
      <c r="D3520" s="88">
        <v>21743793</v>
      </c>
      <c r="E3520" s="88" t="s">
        <v>61</v>
      </c>
      <c r="F3520" s="88">
        <v>0</v>
      </c>
      <c r="G3520" s="78">
        <f>MAX(H3520,I3520,J3520)</f>
        <v>1</v>
      </c>
      <c r="H3520" s="88"/>
      <c r="I3520" s="88"/>
      <c r="J3520" s="78">
        <f>MAX(K3520:Q3520)</f>
        <v>1</v>
      </c>
      <c r="K3520" s="88">
        <v>1</v>
      </c>
      <c r="L3520" s="88"/>
      <c r="M3520" s="88"/>
      <c r="N3520" s="88"/>
      <c r="O3520" s="88"/>
      <c r="P3520" s="88"/>
      <c r="Q3520" s="88"/>
      <c r="R3520" s="78">
        <f>MAX(S3520:W3520)</f>
        <v>0</v>
      </c>
      <c r="S3520" s="88"/>
      <c r="T3520" s="88"/>
      <c r="U3520" s="88"/>
      <c r="V3520" s="88"/>
      <c r="W3520" s="88"/>
    </row>
    <row r="3521" spans="2:23" s="0" customFormat="0" ht="15">
      <c r="B3521" s="87" t="s">
        <v>1</v>
      </c>
      <c r="C3521" s="88" t="s">
        <v>5259</v>
      </c>
      <c r="D3521" s="88" t="s">
        <v>1769</v>
      </c>
      <c r="E3521" s="88" t="s">
        <v>61</v>
      </c>
      <c r="F3521" s="88">
        <v>0</v>
      </c>
      <c r="G3521" s="78">
        <f>MAX(H3521,I3521,J3521)</f>
        <v>1</v>
      </c>
      <c r="H3521" s="88"/>
      <c r="I3521" s="88"/>
      <c r="J3521" s="78">
        <f>MAX(K3521:Q3521)</f>
        <v>1</v>
      </c>
      <c r="K3521" s="88">
        <v>1</v>
      </c>
      <c r="L3521" s="88"/>
      <c r="M3521" s="88"/>
      <c r="N3521" s="88"/>
      <c r="O3521" s="88"/>
      <c r="P3521" s="88"/>
      <c r="Q3521" s="88"/>
      <c r="R3521" s="78">
        <f>MAX(S3521:W3521)</f>
        <v>0</v>
      </c>
      <c r="S3521" s="88"/>
      <c r="T3521" s="88"/>
      <c r="U3521" s="88"/>
      <c r="V3521" s="88"/>
      <c r="W3521" s="88"/>
    </row>
    <row r="3522" spans="2:23" s="0" customFormat="0" ht="15">
      <c r="B3522" s="87" t="s">
        <v>1</v>
      </c>
      <c r="C3522" s="88" t="s">
        <v>5259</v>
      </c>
      <c r="D3522" s="88">
        <v>12738122</v>
      </c>
      <c r="E3522" s="88" t="s">
        <v>61</v>
      </c>
      <c r="F3522" s="88">
        <v>0</v>
      </c>
      <c r="G3522" s="78">
        <f>MAX(H3522,I3522,J3522)</f>
        <v>1</v>
      </c>
      <c r="H3522" s="88"/>
      <c r="I3522" s="88"/>
      <c r="J3522" s="78">
        <f>MAX(K3522:Q3522)</f>
        <v>1</v>
      </c>
      <c r="K3522" s="88">
        <v>1</v>
      </c>
      <c r="L3522" s="88"/>
      <c r="M3522" s="88"/>
      <c r="N3522" s="88"/>
      <c r="O3522" s="88"/>
      <c r="P3522" s="88"/>
      <c r="Q3522" s="88"/>
      <c r="R3522" s="78">
        <f>MAX(S3522:W3522)</f>
        <v>0</v>
      </c>
      <c r="S3522" s="88"/>
      <c r="T3522" s="88"/>
      <c r="U3522" s="88"/>
      <c r="V3522" s="88"/>
      <c r="W3522" s="88"/>
    </row>
    <row r="3523" spans="2:23" s="0" customFormat="0" ht="15">
      <c r="B3523" s="87" t="s">
        <v>1</v>
      </c>
      <c r="C3523" s="88" t="s">
        <v>5259</v>
      </c>
      <c r="D3523" s="88" t="s">
        <v>3160</v>
      </c>
      <c r="E3523" s="88" t="s">
        <v>61</v>
      </c>
      <c r="F3523" s="88">
        <v>0</v>
      </c>
      <c r="G3523" s="78">
        <f>MAX(H3523,I3523,J3523)</f>
        <v>1</v>
      </c>
      <c r="H3523" s="88"/>
      <c r="I3523" s="88"/>
      <c r="J3523" s="78">
        <f>MAX(K3523:Q3523)</f>
        <v>1</v>
      </c>
      <c r="K3523" s="88"/>
      <c r="L3523" s="88"/>
      <c r="M3523" s="88"/>
      <c r="N3523" s="88"/>
      <c r="O3523" s="88">
        <v>1</v>
      </c>
      <c r="P3523" s="88"/>
      <c r="Q3523" s="88"/>
      <c r="R3523" s="78">
        <f>MAX(S3523:W3523)</f>
        <v>0</v>
      </c>
      <c r="S3523" s="88"/>
      <c r="T3523" s="88"/>
      <c r="U3523" s="88"/>
      <c r="V3523" s="88"/>
      <c r="W3523" s="88"/>
    </row>
    <row r="3524" spans="2:23" s="0" customFormat="0" ht="15">
      <c r="B3524" s="87" t="s">
        <v>1</v>
      </c>
      <c r="C3524" s="88" t="s">
        <v>5259</v>
      </c>
      <c r="D3524" s="88">
        <v>20243725</v>
      </c>
      <c r="E3524" s="88" t="s">
        <v>61</v>
      </c>
      <c r="F3524" s="88">
        <v>0</v>
      </c>
      <c r="G3524" s="78">
        <f>MAX(H3524,I3524,J3524)</f>
        <v>1</v>
      </c>
      <c r="H3524" s="88"/>
      <c r="I3524" s="88"/>
      <c r="J3524" s="78">
        <f>MAX(K3524:Q3524)</f>
        <v>1</v>
      </c>
      <c r="K3524" s="88">
        <v>1</v>
      </c>
      <c r="L3524" s="88"/>
      <c r="M3524" s="88"/>
      <c r="N3524" s="88"/>
      <c r="O3524" s="88"/>
      <c r="P3524" s="88"/>
      <c r="Q3524" s="88"/>
      <c r="R3524" s="78">
        <f>MAX(S3524:W3524)</f>
        <v>0</v>
      </c>
      <c r="S3524" s="88"/>
      <c r="T3524" s="88"/>
      <c r="U3524" s="88"/>
      <c r="V3524" s="88"/>
      <c r="W3524" s="88"/>
    </row>
    <row r="3525" spans="2:23" s="0" customFormat="0" ht="15">
      <c r="B3525" s="87" t="s">
        <v>1</v>
      </c>
      <c r="C3525" s="88" t="s">
        <v>5259</v>
      </c>
      <c r="D3525" s="88" t="s">
        <v>3950</v>
      </c>
      <c r="E3525" s="88" t="s">
        <v>61</v>
      </c>
      <c r="F3525" s="88">
        <v>0</v>
      </c>
      <c r="G3525" s="78">
        <f>MAX(H3525,I3525,J3525)</f>
        <v>0</v>
      </c>
      <c r="H3525" s="88"/>
      <c r="I3525" s="88"/>
      <c r="J3525" s="78">
        <f>MAX(K3525:Q3525)</f>
        <v>0</v>
      </c>
      <c r="K3525" s="88"/>
      <c r="L3525" s="88"/>
      <c r="M3525" s="88"/>
      <c r="N3525" s="88"/>
      <c r="O3525" s="88"/>
      <c r="P3525" s="88"/>
      <c r="Q3525" s="88"/>
      <c r="R3525" s="78">
        <f>MAX(S3525:W3525)</f>
        <v>1</v>
      </c>
      <c r="S3525" s="88"/>
      <c r="T3525" s="88"/>
      <c r="U3525" s="88">
        <v>1</v>
      </c>
      <c r="V3525" s="88"/>
      <c r="W3525" s="88"/>
    </row>
    <row r="3526" spans="2:23" s="0" customFormat="0" ht="15">
      <c r="B3526" s="87" t="s">
        <v>1</v>
      </c>
      <c r="C3526" s="88" t="s">
        <v>5259</v>
      </c>
      <c r="D3526" s="88">
        <v>23457590</v>
      </c>
      <c r="E3526" s="88" t="s">
        <v>61</v>
      </c>
      <c r="F3526" s="88">
        <v>0</v>
      </c>
      <c r="G3526" s="78">
        <f>MAX(H3526,I3526,J3526)</f>
        <v>1</v>
      </c>
      <c r="H3526" s="88"/>
      <c r="I3526" s="88"/>
      <c r="J3526" s="78">
        <f>MAX(K3526:Q3526)</f>
        <v>1</v>
      </c>
      <c r="K3526" s="88">
        <v>1</v>
      </c>
      <c r="L3526" s="88"/>
      <c r="M3526" s="88"/>
      <c r="N3526" s="88"/>
      <c r="O3526" s="88"/>
      <c r="P3526" s="88"/>
      <c r="Q3526" s="88"/>
      <c r="R3526" s="78">
        <f>MAX(S3526:W3526)</f>
        <v>0</v>
      </c>
      <c r="S3526" s="88"/>
      <c r="T3526" s="88"/>
      <c r="U3526" s="88"/>
      <c r="V3526" s="88"/>
      <c r="W3526" s="88"/>
    </row>
    <row r="3527" spans="2:23" s="0" customFormat="0" ht="15">
      <c r="B3527" s="87" t="s">
        <v>1</v>
      </c>
      <c r="C3527" s="88" t="s">
        <v>5259</v>
      </c>
      <c r="D3527" s="88">
        <v>24926976</v>
      </c>
      <c r="E3527" s="88" t="s">
        <v>61</v>
      </c>
      <c r="F3527" s="88">
        <v>0</v>
      </c>
      <c r="G3527" s="78">
        <f>MAX(H3527,I3527,J3527)</f>
        <v>1</v>
      </c>
      <c r="H3527" s="88"/>
      <c r="I3527" s="88"/>
      <c r="J3527" s="78">
        <f>MAX(K3527:Q3527)</f>
        <v>1</v>
      </c>
      <c r="K3527" s="88">
        <v>1</v>
      </c>
      <c r="L3527" s="88"/>
      <c r="M3527" s="88"/>
      <c r="N3527" s="88"/>
      <c r="O3527" s="88"/>
      <c r="P3527" s="88"/>
      <c r="Q3527" s="88"/>
      <c r="R3527" s="78">
        <f>MAX(S3527:W3527)</f>
        <v>0</v>
      </c>
      <c r="S3527" s="88"/>
      <c r="T3527" s="88"/>
      <c r="U3527" s="88"/>
      <c r="V3527" s="88"/>
      <c r="W3527" s="88"/>
    </row>
    <row r="3528" spans="2:23" s="0" customFormat="0" ht="15">
      <c r="B3528" s="87" t="s">
        <v>1</v>
      </c>
      <c r="C3528" s="88" t="s">
        <v>5259</v>
      </c>
      <c r="D3528" s="88">
        <v>13711234</v>
      </c>
      <c r="E3528" s="88" t="s">
        <v>61</v>
      </c>
      <c r="F3528" s="88">
        <v>0</v>
      </c>
      <c r="G3528" s="78">
        <f>MAX(H3528,I3528,J3528)</f>
        <v>1</v>
      </c>
      <c r="H3528" s="88"/>
      <c r="I3528" s="88"/>
      <c r="J3528" s="78">
        <f>MAX(K3528:Q3528)</f>
        <v>1</v>
      </c>
      <c r="K3528" s="88">
        <v>1</v>
      </c>
      <c r="L3528" s="88"/>
      <c r="M3528" s="88"/>
      <c r="N3528" s="88"/>
      <c r="O3528" s="88"/>
      <c r="P3528" s="88"/>
      <c r="Q3528" s="88"/>
      <c r="R3528" s="78">
        <f>MAX(S3528:W3528)</f>
        <v>0</v>
      </c>
      <c r="S3528" s="88"/>
      <c r="T3528" s="88"/>
      <c r="U3528" s="88"/>
      <c r="V3528" s="88"/>
      <c r="W3528" s="88"/>
    </row>
    <row r="3529" spans="2:23" s="0" customFormat="0" ht="15">
      <c r="B3529" s="87" t="s">
        <v>1</v>
      </c>
      <c r="C3529" s="88" t="s">
        <v>5259</v>
      </c>
      <c r="D3529" s="88">
        <v>22901028</v>
      </c>
      <c r="E3529" s="88" t="s">
        <v>61</v>
      </c>
      <c r="F3529" s="88">
        <v>0</v>
      </c>
      <c r="G3529" s="78">
        <f>MAX(H3529,I3529,J3529)</f>
        <v>1</v>
      </c>
      <c r="H3529" s="88"/>
      <c r="I3529" s="88"/>
      <c r="J3529" s="78">
        <f>MAX(K3529:Q3529)</f>
        <v>1</v>
      </c>
      <c r="K3529" s="88">
        <v>1</v>
      </c>
      <c r="L3529" s="88"/>
      <c r="M3529" s="88"/>
      <c r="N3529" s="88"/>
      <c r="O3529" s="88"/>
      <c r="P3529" s="88"/>
      <c r="Q3529" s="88"/>
      <c r="R3529" s="78">
        <f>MAX(S3529:W3529)</f>
        <v>0</v>
      </c>
      <c r="S3529" s="88"/>
      <c r="T3529" s="88"/>
      <c r="U3529" s="88"/>
      <c r="V3529" s="88"/>
      <c r="W3529" s="88"/>
    </row>
    <row r="3530" spans="2:23" s="0" customFormat="0" ht="15">
      <c r="B3530" s="87" t="s">
        <v>1</v>
      </c>
      <c r="C3530" s="88" t="s">
        <v>5259</v>
      </c>
      <c r="D3530" s="88">
        <v>870797</v>
      </c>
      <c r="E3530" s="88" t="s">
        <v>61</v>
      </c>
      <c r="F3530" s="88">
        <v>0</v>
      </c>
      <c r="G3530" s="78">
        <f>MAX(H3530,I3530,J3530)</f>
        <v>0</v>
      </c>
      <c r="H3530" s="88"/>
      <c r="I3530" s="88"/>
      <c r="J3530" s="78">
        <f>MAX(K3530:Q3530)</f>
        <v>0</v>
      </c>
      <c r="K3530" s="88"/>
      <c r="L3530" s="88"/>
      <c r="M3530" s="88"/>
      <c r="N3530" s="88"/>
      <c r="O3530" s="88"/>
      <c r="P3530" s="88"/>
      <c r="Q3530" s="88"/>
      <c r="R3530" s="78">
        <f>MAX(S3530:W3530)</f>
        <v>1</v>
      </c>
      <c r="S3530" s="88"/>
      <c r="T3530" s="88"/>
      <c r="U3530" s="88">
        <v>1</v>
      </c>
      <c r="V3530" s="88"/>
      <c r="W3530" s="88"/>
    </row>
    <row r="3531" spans="2:23" s="0" customFormat="0" ht="15">
      <c r="B3531" s="87" t="s">
        <v>1</v>
      </c>
      <c r="C3531" s="88" t="s">
        <v>5259</v>
      </c>
      <c r="D3531" s="88">
        <v>7852994</v>
      </c>
      <c r="E3531" s="88" t="s">
        <v>61</v>
      </c>
      <c r="F3531" s="88">
        <v>0</v>
      </c>
      <c r="G3531" s="78">
        <f>MAX(H3531,I3531,J3531)</f>
        <v>1</v>
      </c>
      <c r="H3531" s="88"/>
      <c r="I3531" s="88"/>
      <c r="J3531" s="78">
        <f>MAX(K3531:Q3531)</f>
        <v>1</v>
      </c>
      <c r="K3531" s="88">
        <v>1</v>
      </c>
      <c r="L3531" s="88"/>
      <c r="M3531" s="88"/>
      <c r="N3531" s="88"/>
      <c r="O3531" s="88"/>
      <c r="P3531" s="88"/>
      <c r="Q3531" s="88"/>
      <c r="R3531" s="78">
        <f>MAX(S3531:W3531)</f>
        <v>0</v>
      </c>
      <c r="S3531" s="88"/>
      <c r="T3531" s="88"/>
      <c r="U3531" s="88"/>
      <c r="V3531" s="88"/>
      <c r="W3531" s="88"/>
    </row>
    <row r="3532" spans="2:23" s="0" customFormat="0" ht="15">
      <c r="B3532" s="87" t="s">
        <v>1</v>
      </c>
      <c r="C3532" s="88" t="s">
        <v>5259</v>
      </c>
      <c r="D3532" s="88">
        <v>17558942</v>
      </c>
      <c r="E3532" s="88" t="s">
        <v>61</v>
      </c>
      <c r="F3532" s="88">
        <v>0</v>
      </c>
      <c r="G3532" s="78">
        <f>MAX(H3532,I3532,J3532)</f>
        <v>1</v>
      </c>
      <c r="H3532" s="88"/>
      <c r="I3532" s="88"/>
      <c r="J3532" s="78">
        <f>MAX(K3532:Q3532)</f>
        <v>1</v>
      </c>
      <c r="K3532" s="88">
        <v>1</v>
      </c>
      <c r="L3532" s="88"/>
      <c r="M3532" s="88"/>
      <c r="N3532" s="88"/>
      <c r="O3532" s="88"/>
      <c r="P3532" s="88"/>
      <c r="Q3532" s="88"/>
      <c r="R3532" s="78">
        <f>MAX(S3532:W3532)</f>
        <v>0</v>
      </c>
      <c r="S3532" s="88"/>
      <c r="T3532" s="88"/>
      <c r="U3532" s="88"/>
      <c r="V3532" s="88"/>
      <c r="W3532" s="88"/>
    </row>
    <row r="3533" spans="2:23" s="0" customFormat="0" ht="15">
      <c r="B3533" s="87" t="s">
        <v>1</v>
      </c>
      <c r="C3533" s="88" t="s">
        <v>5259</v>
      </c>
      <c r="D3533" s="88">
        <v>16060758</v>
      </c>
      <c r="E3533" s="88" t="s">
        <v>61</v>
      </c>
      <c r="F3533" s="88">
        <v>0</v>
      </c>
      <c r="G3533" s="78">
        <f>MAX(H3533,I3533,J3533)</f>
        <v>1</v>
      </c>
      <c r="H3533" s="88"/>
      <c r="I3533" s="88"/>
      <c r="J3533" s="78">
        <f>MAX(K3533:Q3533)</f>
        <v>1</v>
      </c>
      <c r="K3533" s="88">
        <v>1</v>
      </c>
      <c r="L3533" s="88"/>
      <c r="M3533" s="88"/>
      <c r="N3533" s="88"/>
      <c r="O3533" s="88"/>
      <c r="P3533" s="88"/>
      <c r="Q3533" s="88"/>
      <c r="R3533" s="78">
        <f>MAX(S3533:W3533)</f>
        <v>0</v>
      </c>
      <c r="S3533" s="88"/>
      <c r="T3533" s="88"/>
      <c r="U3533" s="88"/>
      <c r="V3533" s="88"/>
      <c r="W3533" s="88"/>
    </row>
    <row r="3534" spans="2:23" s="0" customFormat="0" ht="15">
      <c r="B3534" s="87" t="s">
        <v>1</v>
      </c>
      <c r="C3534" s="88" t="s">
        <v>5259</v>
      </c>
      <c r="D3534" s="88">
        <v>9257049</v>
      </c>
      <c r="E3534" s="88" t="s">
        <v>61</v>
      </c>
      <c r="F3534" s="88">
        <v>0</v>
      </c>
      <c r="G3534" s="78">
        <f>MAX(H3534,I3534,J3534)</f>
        <v>0</v>
      </c>
      <c r="H3534" s="88"/>
      <c r="I3534" s="88"/>
      <c r="J3534" s="78">
        <f>MAX(K3534:Q3534)</f>
        <v>0</v>
      </c>
      <c r="K3534" s="88"/>
      <c r="L3534" s="88"/>
      <c r="M3534" s="88"/>
      <c r="N3534" s="88"/>
      <c r="O3534" s="88"/>
      <c r="P3534" s="88"/>
      <c r="Q3534" s="88"/>
      <c r="R3534" s="78">
        <f>MAX(S3534:W3534)</f>
        <v>1</v>
      </c>
      <c r="S3534" s="88"/>
      <c r="T3534" s="88"/>
      <c r="U3534" s="88">
        <v>1</v>
      </c>
      <c r="V3534" s="88"/>
      <c r="W3534" s="88"/>
    </row>
    <row r="3535" spans="2:23" s="0" customFormat="0" ht="15">
      <c r="B3535" s="87" t="s">
        <v>1</v>
      </c>
      <c r="C3535" s="88" t="s">
        <v>5259</v>
      </c>
      <c r="D3535" s="88">
        <v>17621838</v>
      </c>
      <c r="E3535" s="88" t="s">
        <v>61</v>
      </c>
      <c r="F3535" s="88">
        <v>0</v>
      </c>
      <c r="G3535" s="78">
        <f>MAX(H3535,I3535,J3535)</f>
        <v>1</v>
      </c>
      <c r="H3535" s="88"/>
      <c r="I3535" s="88"/>
      <c r="J3535" s="78">
        <f>MAX(K3535:Q3535)</f>
        <v>1</v>
      </c>
      <c r="K3535" s="88">
        <v>1</v>
      </c>
      <c r="L3535" s="88"/>
      <c r="M3535" s="88"/>
      <c r="N3535" s="88"/>
      <c r="O3535" s="88"/>
      <c r="P3535" s="88"/>
      <c r="Q3535" s="88"/>
      <c r="R3535" s="78">
        <f>MAX(S3535:W3535)</f>
        <v>0</v>
      </c>
      <c r="S3535" s="88"/>
      <c r="T3535" s="88"/>
      <c r="U3535" s="88"/>
      <c r="V3535" s="88"/>
      <c r="W3535" s="88"/>
    </row>
    <row r="3536" spans="2:23" s="0" customFormat="0" ht="15">
      <c r="B3536" s="87" t="s">
        <v>1</v>
      </c>
      <c r="C3536" s="88" t="s">
        <v>5259</v>
      </c>
      <c r="D3536" s="88" t="s">
        <v>2266</v>
      </c>
      <c r="E3536" s="88" t="s">
        <v>61</v>
      </c>
      <c r="F3536" s="88">
        <v>0</v>
      </c>
      <c r="G3536" s="78">
        <f>MAX(H3536,I3536,J3536)</f>
        <v>1</v>
      </c>
      <c r="H3536" s="88"/>
      <c r="I3536" s="88"/>
      <c r="J3536" s="78">
        <f>MAX(K3536:Q3536)</f>
        <v>1</v>
      </c>
      <c r="K3536" s="88">
        <v>1</v>
      </c>
      <c r="L3536" s="88"/>
      <c r="M3536" s="88"/>
      <c r="N3536" s="88"/>
      <c r="O3536" s="88"/>
      <c r="P3536" s="88"/>
      <c r="Q3536" s="88"/>
      <c r="R3536" s="78">
        <f>MAX(S3536:W3536)</f>
        <v>0</v>
      </c>
      <c r="S3536" s="88"/>
      <c r="T3536" s="88"/>
      <c r="U3536" s="88"/>
      <c r="V3536" s="88"/>
      <c r="W3536" s="88"/>
    </row>
    <row r="3537" spans="2:23" s="0" customFormat="0" ht="15">
      <c r="B3537" s="87" t="s">
        <v>1</v>
      </c>
      <c r="C3537" s="88" t="s">
        <v>5259</v>
      </c>
      <c r="D3537" s="88" t="s">
        <v>3264</v>
      </c>
      <c r="E3537" s="88" t="s">
        <v>61</v>
      </c>
      <c r="F3537" s="88">
        <v>0</v>
      </c>
      <c r="G3537" s="78">
        <f>MAX(H3537,I3537,J3537)</f>
        <v>0</v>
      </c>
      <c r="H3537" s="88"/>
      <c r="I3537" s="88"/>
      <c r="J3537" s="78">
        <f>MAX(K3537:Q3537)</f>
        <v>0</v>
      </c>
      <c r="K3537" s="88"/>
      <c r="L3537" s="88"/>
      <c r="M3537" s="88"/>
      <c r="N3537" s="88"/>
      <c r="O3537" s="88"/>
      <c r="P3537" s="88"/>
      <c r="Q3537" s="88"/>
      <c r="R3537" s="78">
        <f>MAX(S3537:W3537)</f>
        <v>1</v>
      </c>
      <c r="S3537" s="88"/>
      <c r="T3537" s="88"/>
      <c r="U3537" s="88"/>
      <c r="V3537" s="88">
        <v>1</v>
      </c>
      <c r="W3537" s="88"/>
    </row>
    <row r="3538" spans="2:23" s="0" customFormat="0" ht="15">
      <c r="B3538" s="87" t="s">
        <v>1</v>
      </c>
      <c r="C3538" s="88" t="s">
        <v>5259</v>
      </c>
      <c r="D3538" s="88">
        <v>20215777</v>
      </c>
      <c r="E3538" s="88" t="s">
        <v>61</v>
      </c>
      <c r="F3538" s="88">
        <v>0</v>
      </c>
      <c r="G3538" s="78">
        <f>MAX(H3538,I3538,J3538)</f>
        <v>1</v>
      </c>
      <c r="H3538" s="88"/>
      <c r="I3538" s="88"/>
      <c r="J3538" s="78">
        <f>MAX(K3538:Q3538)</f>
        <v>1</v>
      </c>
      <c r="K3538" s="88">
        <v>1</v>
      </c>
      <c r="L3538" s="88"/>
      <c r="M3538" s="88"/>
      <c r="N3538" s="88"/>
      <c r="O3538" s="88"/>
      <c r="P3538" s="88"/>
      <c r="Q3538" s="88"/>
      <c r="R3538" s="78">
        <f>MAX(S3538:W3538)</f>
        <v>0</v>
      </c>
      <c r="S3538" s="88"/>
      <c r="T3538" s="88"/>
      <c r="U3538" s="88"/>
      <c r="V3538" s="88"/>
      <c r="W3538" s="88"/>
    </row>
    <row r="3539" spans="2:23" s="0" customFormat="0" ht="15">
      <c r="B3539" s="87" t="s">
        <v>1</v>
      </c>
      <c r="C3539" s="88" t="s">
        <v>5259</v>
      </c>
      <c r="D3539" s="88">
        <v>10616292</v>
      </c>
      <c r="E3539" s="88" t="s">
        <v>61</v>
      </c>
      <c r="F3539" s="88">
        <v>0</v>
      </c>
      <c r="G3539" s="78">
        <f>MAX(H3539,I3539,J3539)</f>
        <v>1</v>
      </c>
      <c r="H3539" s="88"/>
      <c r="I3539" s="88"/>
      <c r="J3539" s="78">
        <f>MAX(K3539:Q3539)</f>
        <v>1</v>
      </c>
      <c r="K3539" s="88">
        <v>1</v>
      </c>
      <c r="L3539" s="88"/>
      <c r="M3539" s="88"/>
      <c r="N3539" s="88"/>
      <c r="O3539" s="88"/>
      <c r="P3539" s="88"/>
      <c r="Q3539" s="88"/>
      <c r="R3539" s="78">
        <f>MAX(S3539:W3539)</f>
        <v>0</v>
      </c>
      <c r="S3539" s="88"/>
      <c r="T3539" s="88"/>
      <c r="U3539" s="88"/>
      <c r="V3539" s="88"/>
      <c r="W3539" s="88"/>
    </row>
    <row r="3540" spans="2:23" s="0" customFormat="0" ht="15">
      <c r="B3540" s="87" t="s">
        <v>1</v>
      </c>
      <c r="C3540" s="88" t="s">
        <v>5259</v>
      </c>
      <c r="D3540" s="88" t="s">
        <v>4759</v>
      </c>
      <c r="E3540" s="88" t="s">
        <v>61</v>
      </c>
      <c r="F3540" s="88">
        <v>0</v>
      </c>
      <c r="G3540" s="78">
        <f>MAX(H3540,I3540,J3540)</f>
        <v>0</v>
      </c>
      <c r="H3540" s="88"/>
      <c r="I3540" s="88"/>
      <c r="J3540" s="78">
        <f>MAX(K3540:Q3540)</f>
        <v>0</v>
      </c>
      <c r="K3540" s="88"/>
      <c r="L3540" s="88"/>
      <c r="M3540" s="88"/>
      <c r="N3540" s="88"/>
      <c r="O3540" s="88"/>
      <c r="P3540" s="88"/>
      <c r="Q3540" s="88"/>
      <c r="R3540" s="78">
        <f>MAX(S3540:W3540)</f>
        <v>1</v>
      </c>
      <c r="S3540" s="88"/>
      <c r="T3540" s="88"/>
      <c r="U3540" s="88">
        <v>1</v>
      </c>
      <c r="V3540" s="88"/>
      <c r="W3540" s="88"/>
    </row>
    <row r="3541" spans="2:23" s="0" customFormat="0" ht="15">
      <c r="B3541" s="87" t="s">
        <v>1</v>
      </c>
      <c r="C3541" s="88" t="s">
        <v>5259</v>
      </c>
      <c r="D3541" s="88" t="s">
        <v>2270</v>
      </c>
      <c r="E3541" s="88" t="s">
        <v>61</v>
      </c>
      <c r="F3541" s="88">
        <v>0</v>
      </c>
      <c r="G3541" s="78">
        <f>MAX(H3541,I3541,J3541)</f>
        <v>1</v>
      </c>
      <c r="H3541" s="88"/>
      <c r="I3541" s="88"/>
      <c r="J3541" s="78">
        <f>MAX(K3541:Q3541)</f>
        <v>1</v>
      </c>
      <c r="K3541" s="88">
        <v>1</v>
      </c>
      <c r="L3541" s="88"/>
      <c r="M3541" s="88"/>
      <c r="N3541" s="88"/>
      <c r="O3541" s="88"/>
      <c r="P3541" s="88"/>
      <c r="Q3541" s="88"/>
      <c r="R3541" s="78">
        <f>MAX(S3541:W3541)</f>
        <v>0</v>
      </c>
      <c r="S3541" s="88"/>
      <c r="T3541" s="88"/>
      <c r="U3541" s="88"/>
      <c r="V3541" s="88"/>
      <c r="W3541" s="88"/>
    </row>
    <row r="3542" spans="2:23" s="0" customFormat="0" ht="15">
      <c r="B3542" s="87" t="s">
        <v>1</v>
      </c>
      <c r="C3542" s="88" t="s">
        <v>5259</v>
      </c>
      <c r="D3542" s="88">
        <v>23207410</v>
      </c>
      <c r="E3542" s="88" t="s">
        <v>61</v>
      </c>
      <c r="F3542" s="88">
        <v>0</v>
      </c>
      <c r="G3542" s="78">
        <f>MAX(H3542,I3542,J3542)</f>
        <v>1</v>
      </c>
      <c r="H3542" s="88"/>
      <c r="I3542" s="88"/>
      <c r="J3542" s="78">
        <f>MAX(K3542:Q3542)</f>
        <v>1</v>
      </c>
      <c r="K3542" s="88">
        <v>1</v>
      </c>
      <c r="L3542" s="88"/>
      <c r="M3542" s="88"/>
      <c r="N3542" s="88"/>
      <c r="O3542" s="88"/>
      <c r="P3542" s="88"/>
      <c r="Q3542" s="88"/>
      <c r="R3542" s="78">
        <f>MAX(S3542:W3542)</f>
        <v>0</v>
      </c>
      <c r="S3542" s="88"/>
      <c r="T3542" s="88"/>
      <c r="U3542" s="88"/>
      <c r="V3542" s="88"/>
      <c r="W3542" s="88"/>
    </row>
    <row r="3543" spans="2:23" s="0" customFormat="0" ht="15">
      <c r="B3543" s="87" t="s">
        <v>1</v>
      </c>
      <c r="C3543" s="88" t="s">
        <v>5259</v>
      </c>
      <c r="D3543" s="88">
        <v>22554454</v>
      </c>
      <c r="E3543" s="88" t="s">
        <v>61</v>
      </c>
      <c r="F3543" s="88">
        <v>0</v>
      </c>
      <c r="G3543" s="78">
        <f>MAX(H3543,I3543,J3543)</f>
        <v>0</v>
      </c>
      <c r="H3543" s="88"/>
      <c r="I3543" s="88"/>
      <c r="J3543" s="78">
        <f>MAX(K3543:Q3543)</f>
        <v>0</v>
      </c>
      <c r="K3543" s="88"/>
      <c r="L3543" s="88"/>
      <c r="M3543" s="88"/>
      <c r="N3543" s="88"/>
      <c r="O3543" s="88"/>
      <c r="P3543" s="88"/>
      <c r="Q3543" s="88"/>
      <c r="R3543" s="78">
        <f>MAX(S3543:W3543)</f>
        <v>1</v>
      </c>
      <c r="S3543" s="88"/>
      <c r="T3543" s="88"/>
      <c r="U3543" s="88">
        <v>1</v>
      </c>
      <c r="V3543" s="88"/>
      <c r="W3543" s="88"/>
    </row>
    <row r="3544" spans="2:23" s="0" customFormat="0" ht="15">
      <c r="B3544" s="87" t="s">
        <v>1</v>
      </c>
      <c r="C3544" s="88" t="s">
        <v>5259</v>
      </c>
      <c r="D3544" s="88" t="s">
        <v>1106</v>
      </c>
      <c r="E3544" s="88" t="s">
        <v>61</v>
      </c>
      <c r="F3544" s="88">
        <v>0</v>
      </c>
      <c r="G3544" s="78">
        <f>MAX(H3544,I3544,J3544)</f>
        <v>1</v>
      </c>
      <c r="H3544" s="88"/>
      <c r="I3544" s="88"/>
      <c r="J3544" s="78">
        <f>MAX(K3544:Q3544)</f>
        <v>1</v>
      </c>
      <c r="K3544" s="88">
        <v>1</v>
      </c>
      <c r="L3544" s="88"/>
      <c r="M3544" s="88"/>
      <c r="N3544" s="88"/>
      <c r="O3544" s="88"/>
      <c r="P3544" s="88"/>
      <c r="Q3544" s="88"/>
      <c r="R3544" s="78">
        <f>MAX(S3544:W3544)</f>
        <v>0</v>
      </c>
      <c r="S3544" s="88"/>
      <c r="T3544" s="88"/>
      <c r="U3544" s="88"/>
      <c r="V3544" s="88"/>
      <c r="W3544" s="88"/>
    </row>
    <row r="3545" spans="2:23" s="0" customFormat="0" ht="15">
      <c r="B3545" s="87" t="s">
        <v>1</v>
      </c>
      <c r="C3545" s="88" t="s">
        <v>5259</v>
      </c>
      <c r="D3545" s="88" t="s">
        <v>3244</v>
      </c>
      <c r="E3545" s="88" t="s">
        <v>61</v>
      </c>
      <c r="F3545" s="88">
        <v>0</v>
      </c>
      <c r="G3545" s="78">
        <f>MAX(H3545,I3545,J3545)</f>
        <v>0</v>
      </c>
      <c r="H3545" s="88"/>
      <c r="I3545" s="88"/>
      <c r="J3545" s="78">
        <f>MAX(K3545:Q3545)</f>
        <v>0</v>
      </c>
      <c r="K3545" s="88"/>
      <c r="L3545" s="88"/>
      <c r="M3545" s="88"/>
      <c r="N3545" s="88"/>
      <c r="O3545" s="88"/>
      <c r="P3545" s="88"/>
      <c r="Q3545" s="88"/>
      <c r="R3545" s="78">
        <f>MAX(S3545:W3545)</f>
        <v>1</v>
      </c>
      <c r="S3545" s="88"/>
      <c r="T3545" s="88"/>
      <c r="U3545" s="88"/>
      <c r="V3545" s="88">
        <v>1</v>
      </c>
      <c r="W3545" s="88"/>
    </row>
    <row r="3546" spans="2:23" s="0" customFormat="0" ht="15">
      <c r="B3546" s="87" t="s">
        <v>1</v>
      </c>
      <c r="C3546" s="88" t="s">
        <v>5259</v>
      </c>
      <c r="D3546" s="88">
        <v>24188547</v>
      </c>
      <c r="E3546" s="88" t="s">
        <v>61</v>
      </c>
      <c r="F3546" s="88">
        <v>0</v>
      </c>
      <c r="G3546" s="78">
        <f>MAX(H3546,I3546,J3546)</f>
        <v>1</v>
      </c>
      <c r="H3546" s="88"/>
      <c r="I3546" s="88"/>
      <c r="J3546" s="78">
        <f>MAX(K3546:Q3546)</f>
        <v>1</v>
      </c>
      <c r="K3546" s="88">
        <v>1</v>
      </c>
      <c r="L3546" s="88"/>
      <c r="M3546" s="88"/>
      <c r="N3546" s="88"/>
      <c r="O3546" s="88"/>
      <c r="P3546" s="88"/>
      <c r="Q3546" s="88"/>
      <c r="R3546" s="78">
        <f>MAX(S3546:W3546)</f>
        <v>0</v>
      </c>
      <c r="S3546" s="88"/>
      <c r="T3546" s="88"/>
      <c r="U3546" s="88"/>
      <c r="V3546" s="88"/>
      <c r="W3546" s="88"/>
    </row>
    <row r="3547" spans="2:23" s="0" customFormat="0" ht="15">
      <c r="B3547" s="87" t="s">
        <v>1</v>
      </c>
      <c r="C3547" s="88" t="s">
        <v>5259</v>
      </c>
      <c r="D3547" s="88">
        <v>14418869</v>
      </c>
      <c r="E3547" s="88" t="s">
        <v>61</v>
      </c>
      <c r="F3547" s="88">
        <v>0</v>
      </c>
      <c r="G3547" s="78">
        <f>MAX(H3547,I3547,J3547)</f>
        <v>1</v>
      </c>
      <c r="H3547" s="88"/>
      <c r="I3547" s="88"/>
      <c r="J3547" s="78">
        <f>MAX(K3547:Q3547)</f>
        <v>1</v>
      </c>
      <c r="K3547" s="88">
        <v>1</v>
      </c>
      <c r="L3547" s="88"/>
      <c r="M3547" s="88"/>
      <c r="N3547" s="88"/>
      <c r="O3547" s="88"/>
      <c r="P3547" s="88"/>
      <c r="Q3547" s="88"/>
      <c r="R3547" s="78">
        <f>MAX(S3547:W3547)</f>
        <v>0</v>
      </c>
      <c r="S3547" s="88"/>
      <c r="T3547" s="88"/>
      <c r="U3547" s="88"/>
      <c r="V3547" s="88"/>
      <c r="W3547" s="88"/>
    </row>
    <row r="3548" spans="2:23" s="0" customFormat="0" ht="15">
      <c r="B3548" s="87" t="s">
        <v>1</v>
      </c>
      <c r="C3548" s="88" t="s">
        <v>5259</v>
      </c>
      <c r="D3548" s="88">
        <v>22554343</v>
      </c>
      <c r="E3548" s="88" t="s">
        <v>61</v>
      </c>
      <c r="F3548" s="88">
        <v>0</v>
      </c>
      <c r="G3548" s="78">
        <f>MAX(H3548,I3548,J3548)</f>
        <v>0</v>
      </c>
      <c r="H3548" s="88"/>
      <c r="I3548" s="88"/>
      <c r="J3548" s="78">
        <f>MAX(K3548:Q3548)</f>
        <v>0</v>
      </c>
      <c r="K3548" s="88"/>
      <c r="L3548" s="88"/>
      <c r="M3548" s="88"/>
      <c r="N3548" s="88"/>
      <c r="O3548" s="88"/>
      <c r="P3548" s="88"/>
      <c r="Q3548" s="88"/>
      <c r="R3548" s="78">
        <f>MAX(S3548:W3548)</f>
        <v>1</v>
      </c>
      <c r="S3548" s="88"/>
      <c r="T3548" s="88"/>
      <c r="U3548" s="88">
        <v>1</v>
      </c>
      <c r="V3548" s="88"/>
      <c r="W3548" s="88"/>
    </row>
    <row r="3549" spans="2:23" s="0" customFormat="0" ht="15">
      <c r="B3549" s="87" t="s">
        <v>1</v>
      </c>
      <c r="C3549" s="88" t="s">
        <v>5259</v>
      </c>
      <c r="D3549" s="88" t="s">
        <v>4762</v>
      </c>
      <c r="E3549" s="88" t="s">
        <v>61</v>
      </c>
      <c r="F3549" s="88">
        <v>0</v>
      </c>
      <c r="G3549" s="78">
        <f>MAX(H3549,I3549,J3549)</f>
        <v>0</v>
      </c>
      <c r="H3549" s="88"/>
      <c r="I3549" s="88"/>
      <c r="J3549" s="78">
        <f>MAX(K3549:Q3549)</f>
        <v>0</v>
      </c>
      <c r="K3549" s="88"/>
      <c r="L3549" s="88"/>
      <c r="M3549" s="88"/>
      <c r="N3549" s="88"/>
      <c r="O3549" s="88"/>
      <c r="P3549" s="88"/>
      <c r="Q3549" s="88"/>
      <c r="R3549" s="78">
        <f>MAX(S3549:W3549)</f>
        <v>1</v>
      </c>
      <c r="S3549" s="88"/>
      <c r="T3549" s="88"/>
      <c r="U3549" s="88">
        <v>1</v>
      </c>
      <c r="V3549" s="88"/>
      <c r="W3549" s="88"/>
    </row>
    <row r="3550" spans="2:23" s="0" customFormat="0" ht="15">
      <c r="B3550" s="87" t="s">
        <v>1</v>
      </c>
      <c r="C3550" s="88" t="s">
        <v>5259</v>
      </c>
      <c r="D3550" s="88">
        <v>24107793</v>
      </c>
      <c r="E3550" s="88" t="s">
        <v>61</v>
      </c>
      <c r="F3550" s="88">
        <v>0</v>
      </c>
      <c r="G3550" s="78">
        <f>MAX(H3550,I3550,J3550)</f>
        <v>1</v>
      </c>
      <c r="H3550" s="88"/>
      <c r="I3550" s="88"/>
      <c r="J3550" s="78">
        <f>MAX(K3550:Q3550)</f>
        <v>1</v>
      </c>
      <c r="K3550" s="88">
        <v>1</v>
      </c>
      <c r="L3550" s="88"/>
      <c r="M3550" s="88"/>
      <c r="N3550" s="88"/>
      <c r="O3550" s="88"/>
      <c r="P3550" s="88"/>
      <c r="Q3550" s="88"/>
      <c r="R3550" s="78">
        <f>MAX(S3550:W3550)</f>
        <v>0</v>
      </c>
      <c r="S3550" s="88"/>
      <c r="T3550" s="88"/>
      <c r="U3550" s="88"/>
      <c r="V3550" s="88"/>
      <c r="W3550" s="88"/>
    </row>
    <row r="3551" spans="2:23" s="0" customFormat="0" ht="15">
      <c r="B3551" s="87" t="s">
        <v>1</v>
      </c>
      <c r="C3551" s="88" t="s">
        <v>5259</v>
      </c>
      <c r="D3551" s="88" t="s">
        <v>1842</v>
      </c>
      <c r="E3551" s="88" t="s">
        <v>61</v>
      </c>
      <c r="F3551" s="88">
        <v>0</v>
      </c>
      <c r="G3551" s="78">
        <f>MAX(H3551,I3551,J3551)</f>
        <v>1</v>
      </c>
      <c r="H3551" s="88"/>
      <c r="I3551" s="88"/>
      <c r="J3551" s="78">
        <f>MAX(K3551:Q3551)</f>
        <v>1</v>
      </c>
      <c r="K3551" s="88">
        <v>1</v>
      </c>
      <c r="L3551" s="88"/>
      <c r="M3551" s="88"/>
      <c r="N3551" s="88"/>
      <c r="O3551" s="88"/>
      <c r="P3551" s="88"/>
      <c r="Q3551" s="88"/>
      <c r="R3551" s="78">
        <f>MAX(S3551:W3551)</f>
        <v>0</v>
      </c>
      <c r="S3551" s="88"/>
      <c r="T3551" s="88"/>
      <c r="U3551" s="88"/>
      <c r="V3551" s="88"/>
      <c r="W3551" s="88"/>
    </row>
    <row r="3552" spans="2:23" s="0" customFormat="0" ht="15">
      <c r="B3552" s="87" t="s">
        <v>1</v>
      </c>
      <c r="C3552" s="88" t="s">
        <v>5259</v>
      </c>
      <c r="D3552" s="88">
        <v>18423530</v>
      </c>
      <c r="E3552" s="88" t="s">
        <v>61</v>
      </c>
      <c r="F3552" s="88">
        <v>0</v>
      </c>
      <c r="G3552" s="78">
        <f>MAX(H3552,I3552,J3552)</f>
        <v>0</v>
      </c>
      <c r="H3552" s="88"/>
      <c r="I3552" s="88"/>
      <c r="J3552" s="78">
        <f>MAX(K3552:Q3552)</f>
        <v>0</v>
      </c>
      <c r="K3552" s="88"/>
      <c r="L3552" s="88"/>
      <c r="M3552" s="88"/>
      <c r="N3552" s="88"/>
      <c r="O3552" s="88"/>
      <c r="P3552" s="88"/>
      <c r="Q3552" s="88"/>
      <c r="R3552" s="78">
        <f>MAX(S3552:W3552)</f>
        <v>1</v>
      </c>
      <c r="S3552" s="88"/>
      <c r="T3552" s="88"/>
      <c r="U3552" s="88">
        <v>1</v>
      </c>
      <c r="V3552" s="88"/>
      <c r="W3552" s="88"/>
    </row>
    <row r="3553" spans="2:23" s="0" customFormat="0" ht="15">
      <c r="B3553" s="87" t="s">
        <v>1</v>
      </c>
      <c r="C3553" s="88" t="s">
        <v>5259</v>
      </c>
      <c r="D3553" s="88">
        <v>23237422</v>
      </c>
      <c r="E3553" s="88" t="s">
        <v>61</v>
      </c>
      <c r="F3553" s="88">
        <v>0</v>
      </c>
      <c r="G3553" s="78">
        <f>MAX(H3553,I3553,J3553)</f>
        <v>1</v>
      </c>
      <c r="H3553" s="88"/>
      <c r="I3553" s="88"/>
      <c r="J3553" s="78">
        <f>MAX(K3553:Q3553)</f>
        <v>1</v>
      </c>
      <c r="K3553" s="88">
        <v>1</v>
      </c>
      <c r="L3553" s="88"/>
      <c r="M3553" s="88"/>
      <c r="N3553" s="88"/>
      <c r="O3553" s="88"/>
      <c r="P3553" s="88"/>
      <c r="Q3553" s="88"/>
      <c r="R3553" s="78">
        <f>MAX(S3553:W3553)</f>
        <v>0</v>
      </c>
      <c r="S3553" s="88"/>
      <c r="T3553" s="88"/>
      <c r="U3553" s="88"/>
      <c r="V3553" s="88"/>
      <c r="W3553" s="88"/>
    </row>
    <row r="3554" spans="2:23" s="0" customFormat="0" ht="15">
      <c r="B3554" s="87" t="s">
        <v>1</v>
      </c>
      <c r="C3554" s="88" t="s">
        <v>5259</v>
      </c>
      <c r="D3554" s="88" t="s">
        <v>4606</v>
      </c>
      <c r="E3554" s="88" t="s">
        <v>61</v>
      </c>
      <c r="F3554" s="88">
        <v>0</v>
      </c>
      <c r="G3554" s="78">
        <f>MAX(H3554,I3554,J3554)</f>
        <v>0</v>
      </c>
      <c r="H3554" s="88"/>
      <c r="I3554" s="88"/>
      <c r="J3554" s="78">
        <f>MAX(K3554:Q3554)</f>
        <v>0</v>
      </c>
      <c r="K3554" s="88"/>
      <c r="L3554" s="88"/>
      <c r="M3554" s="88"/>
      <c r="N3554" s="88"/>
      <c r="O3554" s="88"/>
      <c r="P3554" s="88"/>
      <c r="Q3554" s="88"/>
      <c r="R3554" s="78">
        <f>MAX(S3554:W3554)</f>
        <v>1</v>
      </c>
      <c r="S3554" s="88"/>
      <c r="T3554" s="88"/>
      <c r="U3554" s="88">
        <v>1</v>
      </c>
      <c r="V3554" s="88"/>
      <c r="W3554" s="88"/>
    </row>
    <row r="3555" spans="2:23" s="0" customFormat="0" ht="15">
      <c r="B3555" s="87" t="s">
        <v>1</v>
      </c>
      <c r="C3555" s="88" t="s">
        <v>5259</v>
      </c>
      <c r="D3555" s="88">
        <v>16974688</v>
      </c>
      <c r="E3555" s="88" t="s">
        <v>61</v>
      </c>
      <c r="F3555" s="88">
        <v>0</v>
      </c>
      <c r="G3555" s="78">
        <f>MAX(H3555,I3555,J3555)</f>
        <v>0</v>
      </c>
      <c r="H3555" s="88"/>
      <c r="I3555" s="88"/>
      <c r="J3555" s="78">
        <f>MAX(K3555:Q3555)</f>
        <v>0</v>
      </c>
      <c r="K3555" s="88"/>
      <c r="L3555" s="88"/>
      <c r="M3555" s="88"/>
      <c r="N3555" s="88"/>
      <c r="O3555" s="88"/>
      <c r="P3555" s="88"/>
      <c r="Q3555" s="88"/>
      <c r="R3555" s="78">
        <f>MAX(S3555:W3555)</f>
        <v>1</v>
      </c>
      <c r="S3555" s="88"/>
      <c r="T3555" s="88"/>
      <c r="U3555" s="88">
        <v>1</v>
      </c>
      <c r="V3555" s="88"/>
      <c r="W3555" s="88"/>
    </row>
    <row r="3556" spans="2:23" s="0" customFormat="0" ht="15">
      <c r="B3556" s="87" t="s">
        <v>1</v>
      </c>
      <c r="C3556" s="88" t="s">
        <v>5259</v>
      </c>
      <c r="D3556" s="88">
        <v>20925605</v>
      </c>
      <c r="E3556" s="88" t="s">
        <v>61</v>
      </c>
      <c r="F3556" s="88">
        <v>0</v>
      </c>
      <c r="G3556" s="78">
        <f>MAX(H3556,I3556,J3556)</f>
        <v>1</v>
      </c>
      <c r="H3556" s="88"/>
      <c r="I3556" s="88"/>
      <c r="J3556" s="78">
        <f>MAX(K3556:Q3556)</f>
        <v>1</v>
      </c>
      <c r="K3556" s="88">
        <v>1</v>
      </c>
      <c r="L3556" s="88"/>
      <c r="M3556" s="88"/>
      <c r="N3556" s="88"/>
      <c r="O3556" s="88"/>
      <c r="P3556" s="88"/>
      <c r="Q3556" s="88"/>
      <c r="R3556" s="78">
        <f>MAX(S3556:W3556)</f>
        <v>0</v>
      </c>
      <c r="S3556" s="88"/>
      <c r="T3556" s="88"/>
      <c r="U3556" s="88"/>
      <c r="V3556" s="88"/>
      <c r="W3556" s="88"/>
    </row>
    <row r="3557" spans="2:23" s="0" customFormat="0" ht="15">
      <c r="B3557" s="87" t="s">
        <v>1</v>
      </c>
      <c r="C3557" s="88" t="s">
        <v>5259</v>
      </c>
      <c r="D3557" s="88">
        <v>8950596</v>
      </c>
      <c r="E3557" s="88" t="s">
        <v>61</v>
      </c>
      <c r="F3557" s="88">
        <v>0</v>
      </c>
      <c r="G3557" s="78">
        <f>MAX(H3557,I3557,J3557)</f>
        <v>1</v>
      </c>
      <c r="H3557" s="88"/>
      <c r="I3557" s="88"/>
      <c r="J3557" s="78">
        <f>MAX(K3557:Q3557)</f>
        <v>1</v>
      </c>
      <c r="K3557" s="88">
        <v>1</v>
      </c>
      <c r="L3557" s="88"/>
      <c r="M3557" s="88"/>
      <c r="N3557" s="88"/>
      <c r="O3557" s="88"/>
      <c r="P3557" s="88"/>
      <c r="Q3557" s="88"/>
      <c r="R3557" s="78">
        <f>MAX(S3557:W3557)</f>
        <v>0</v>
      </c>
      <c r="S3557" s="88"/>
      <c r="T3557" s="88"/>
      <c r="U3557" s="88"/>
      <c r="V3557" s="88"/>
      <c r="W3557" s="88"/>
    </row>
    <row r="3558" spans="2:23" s="0" customFormat="0" ht="15">
      <c r="B3558" s="87" t="s">
        <v>1</v>
      </c>
      <c r="C3558" s="88" t="s">
        <v>5259</v>
      </c>
      <c r="D3558" s="88">
        <v>8791617</v>
      </c>
      <c r="E3558" s="88" t="s">
        <v>61</v>
      </c>
      <c r="F3558" s="88">
        <v>0</v>
      </c>
      <c r="G3558" s="78">
        <f>MAX(H3558,I3558,J3558)</f>
        <v>1</v>
      </c>
      <c r="H3558" s="88"/>
      <c r="I3558" s="88"/>
      <c r="J3558" s="78">
        <f>MAX(K3558:Q3558)</f>
        <v>1</v>
      </c>
      <c r="K3558" s="88">
        <v>1</v>
      </c>
      <c r="L3558" s="88"/>
      <c r="M3558" s="88"/>
      <c r="N3558" s="88"/>
      <c r="O3558" s="88"/>
      <c r="P3558" s="88"/>
      <c r="Q3558" s="88"/>
      <c r="R3558" s="78">
        <f>MAX(S3558:W3558)</f>
        <v>0</v>
      </c>
      <c r="S3558" s="88"/>
      <c r="T3558" s="88"/>
      <c r="U3558" s="88"/>
      <c r="V3558" s="88"/>
      <c r="W3558" s="88"/>
    </row>
    <row r="3559" spans="2:23" s="0" customFormat="0" ht="15">
      <c r="B3559" s="87" t="s">
        <v>1</v>
      </c>
      <c r="C3559" s="88" t="s">
        <v>5259</v>
      </c>
      <c r="D3559" s="88">
        <v>11813146</v>
      </c>
      <c r="E3559" s="88" t="s">
        <v>61</v>
      </c>
      <c r="F3559" s="88">
        <v>0</v>
      </c>
      <c r="G3559" s="78">
        <f>MAX(H3559,I3559,J3559)</f>
        <v>1</v>
      </c>
      <c r="H3559" s="88"/>
      <c r="I3559" s="88"/>
      <c r="J3559" s="78">
        <f>MAX(K3559:Q3559)</f>
        <v>1</v>
      </c>
      <c r="K3559" s="88">
        <v>1</v>
      </c>
      <c r="L3559" s="88"/>
      <c r="M3559" s="88"/>
      <c r="N3559" s="88"/>
      <c r="O3559" s="88"/>
      <c r="P3559" s="88"/>
      <c r="Q3559" s="88"/>
      <c r="R3559" s="78">
        <f>MAX(S3559:W3559)</f>
        <v>0</v>
      </c>
      <c r="S3559" s="88"/>
      <c r="T3559" s="88"/>
      <c r="U3559" s="88"/>
      <c r="V3559" s="88"/>
      <c r="W3559" s="88"/>
    </row>
    <row r="3560" spans="2:23" s="0" customFormat="0" ht="15">
      <c r="B3560" s="87" t="s">
        <v>1</v>
      </c>
      <c r="C3560" s="88" t="s">
        <v>5259</v>
      </c>
      <c r="D3560" s="88">
        <v>16974604</v>
      </c>
      <c r="E3560" s="88" t="s">
        <v>61</v>
      </c>
      <c r="F3560" s="88">
        <v>0</v>
      </c>
      <c r="G3560" s="78">
        <f>MAX(H3560,I3560,J3560)</f>
        <v>0</v>
      </c>
      <c r="H3560" s="88"/>
      <c r="I3560" s="88"/>
      <c r="J3560" s="78">
        <f>MAX(K3560:Q3560)</f>
        <v>0</v>
      </c>
      <c r="K3560" s="88"/>
      <c r="L3560" s="88"/>
      <c r="M3560" s="88"/>
      <c r="N3560" s="88"/>
      <c r="O3560" s="88"/>
      <c r="P3560" s="88"/>
      <c r="Q3560" s="88"/>
      <c r="R3560" s="78">
        <f>MAX(S3560:W3560)</f>
        <v>1</v>
      </c>
      <c r="S3560" s="88"/>
      <c r="T3560" s="88"/>
      <c r="U3560" s="88">
        <v>1</v>
      </c>
      <c r="V3560" s="88"/>
      <c r="W3560" s="88"/>
    </row>
    <row r="3561" spans="2:23" s="0" customFormat="0" ht="15">
      <c r="B3561" s="87" t="s">
        <v>1</v>
      </c>
      <c r="C3561" s="88" t="s">
        <v>5259</v>
      </c>
      <c r="D3561" s="88">
        <v>22554149</v>
      </c>
      <c r="E3561" s="88" t="s">
        <v>61</v>
      </c>
      <c r="F3561" s="88">
        <v>0</v>
      </c>
      <c r="G3561" s="78">
        <f>MAX(H3561,I3561,J3561)</f>
        <v>0</v>
      </c>
      <c r="H3561" s="88"/>
      <c r="I3561" s="88"/>
      <c r="J3561" s="78">
        <f>MAX(K3561:Q3561)</f>
        <v>0</v>
      </c>
      <c r="K3561" s="88"/>
      <c r="L3561" s="88"/>
      <c r="M3561" s="88"/>
      <c r="N3561" s="88"/>
      <c r="O3561" s="88"/>
      <c r="P3561" s="88"/>
      <c r="Q3561" s="88"/>
      <c r="R3561" s="78">
        <f>MAX(S3561:W3561)</f>
        <v>1</v>
      </c>
      <c r="S3561" s="88"/>
      <c r="T3561" s="88"/>
      <c r="U3561" s="88"/>
      <c r="V3561" s="88">
        <v>1</v>
      </c>
      <c r="W3561" s="88"/>
    </row>
    <row r="3562" spans="2:23" s="0" customFormat="0" ht="15">
      <c r="B3562" s="87" t="s">
        <v>1</v>
      </c>
      <c r="C3562" s="88" t="s">
        <v>5259</v>
      </c>
      <c r="D3562" s="88" t="s">
        <v>4162</v>
      </c>
      <c r="E3562" s="88" t="s">
        <v>61</v>
      </c>
      <c r="F3562" s="88">
        <v>0</v>
      </c>
      <c r="G3562" s="78">
        <f>MAX(H3562,I3562,J3562)</f>
        <v>0</v>
      </c>
      <c r="H3562" s="88"/>
      <c r="I3562" s="88"/>
      <c r="J3562" s="78">
        <f>MAX(K3562:Q3562)</f>
        <v>0</v>
      </c>
      <c r="K3562" s="88"/>
      <c r="L3562" s="88"/>
      <c r="M3562" s="88"/>
      <c r="N3562" s="88"/>
      <c r="O3562" s="88"/>
      <c r="P3562" s="88"/>
      <c r="Q3562" s="88"/>
      <c r="R3562" s="78">
        <f>MAX(S3562:W3562)</f>
        <v>1</v>
      </c>
      <c r="S3562" s="88"/>
      <c r="T3562" s="88"/>
      <c r="U3562" s="88">
        <v>1</v>
      </c>
      <c r="V3562" s="88"/>
      <c r="W3562" s="88"/>
    </row>
    <row r="3563" spans="2:23" s="0" customFormat="0" ht="15">
      <c r="B3563" s="87" t="s">
        <v>1</v>
      </c>
      <c r="C3563" s="88" t="s">
        <v>5259</v>
      </c>
      <c r="D3563" s="88">
        <v>12137995</v>
      </c>
      <c r="E3563" s="88" t="s">
        <v>61</v>
      </c>
      <c r="F3563" s="88">
        <v>0</v>
      </c>
      <c r="G3563" s="78">
        <f>MAX(H3563,I3563,J3563)</f>
        <v>1</v>
      </c>
      <c r="H3563" s="88"/>
      <c r="I3563" s="88"/>
      <c r="J3563" s="78">
        <f>MAX(K3563:Q3563)</f>
        <v>1</v>
      </c>
      <c r="K3563" s="88">
        <v>1</v>
      </c>
      <c r="L3563" s="88"/>
      <c r="M3563" s="88"/>
      <c r="N3563" s="88"/>
      <c r="O3563" s="88"/>
      <c r="P3563" s="88"/>
      <c r="Q3563" s="88"/>
      <c r="R3563" s="78">
        <f>MAX(S3563:W3563)</f>
        <v>0</v>
      </c>
      <c r="S3563" s="88"/>
      <c r="T3563" s="88"/>
      <c r="U3563" s="88"/>
      <c r="V3563" s="88"/>
      <c r="W3563" s="88"/>
    </row>
    <row r="3564" spans="2:23" s="0" customFormat="0" ht="15">
      <c r="B3564" s="87" t="s">
        <v>1</v>
      </c>
      <c r="C3564" s="88" t="s">
        <v>5259</v>
      </c>
      <c r="D3564" s="88">
        <v>19812328</v>
      </c>
      <c r="E3564" s="88" t="s">
        <v>61</v>
      </c>
      <c r="F3564" s="88">
        <v>0</v>
      </c>
      <c r="G3564" s="78">
        <f>MAX(H3564,I3564,J3564)</f>
        <v>1</v>
      </c>
      <c r="H3564" s="88"/>
      <c r="I3564" s="88"/>
      <c r="J3564" s="78">
        <f>MAX(K3564:Q3564)</f>
        <v>1</v>
      </c>
      <c r="K3564" s="88">
        <v>1</v>
      </c>
      <c r="L3564" s="88"/>
      <c r="M3564" s="88"/>
      <c r="N3564" s="88"/>
      <c r="O3564" s="88"/>
      <c r="P3564" s="88"/>
      <c r="Q3564" s="88"/>
      <c r="R3564" s="78">
        <f>MAX(S3564:W3564)</f>
        <v>0</v>
      </c>
      <c r="S3564" s="88"/>
      <c r="T3564" s="88"/>
      <c r="U3564" s="88"/>
      <c r="V3564" s="88"/>
      <c r="W3564" s="88"/>
    </row>
    <row r="3565" spans="2:23" s="0" customFormat="0" ht="15">
      <c r="B3565" s="87" t="s">
        <v>1</v>
      </c>
      <c r="C3565" s="88" t="s">
        <v>5259</v>
      </c>
      <c r="D3565" s="88">
        <v>12777384</v>
      </c>
      <c r="E3565" s="88" t="s">
        <v>61</v>
      </c>
      <c r="F3565" s="88">
        <v>0</v>
      </c>
      <c r="G3565" s="78">
        <f>MAX(H3565,I3565,J3565)</f>
        <v>1</v>
      </c>
      <c r="H3565" s="88"/>
      <c r="I3565" s="88"/>
      <c r="J3565" s="78">
        <f>MAX(K3565:Q3565)</f>
        <v>1</v>
      </c>
      <c r="K3565" s="88">
        <v>1</v>
      </c>
      <c r="L3565" s="88"/>
      <c r="M3565" s="88"/>
      <c r="N3565" s="88"/>
      <c r="O3565" s="88"/>
      <c r="P3565" s="88"/>
      <c r="Q3565" s="88"/>
      <c r="R3565" s="78">
        <f>MAX(S3565:W3565)</f>
        <v>0</v>
      </c>
      <c r="S3565" s="88"/>
      <c r="T3565" s="88"/>
      <c r="U3565" s="88"/>
      <c r="V3565" s="88"/>
      <c r="W3565" s="88"/>
    </row>
    <row r="3566" spans="2:23" s="0" customFormat="0" ht="15">
      <c r="B3566" s="87" t="s">
        <v>1</v>
      </c>
      <c r="C3566" s="88" t="s">
        <v>5259</v>
      </c>
      <c r="D3566" s="88">
        <v>16974689</v>
      </c>
      <c r="E3566" s="88" t="s">
        <v>61</v>
      </c>
      <c r="F3566" s="88">
        <v>0</v>
      </c>
      <c r="G3566" s="78">
        <f>MAX(H3566,I3566,J3566)</f>
        <v>0</v>
      </c>
      <c r="H3566" s="88"/>
      <c r="I3566" s="88"/>
      <c r="J3566" s="78">
        <f>MAX(K3566:Q3566)</f>
        <v>0</v>
      </c>
      <c r="K3566" s="88"/>
      <c r="L3566" s="88"/>
      <c r="M3566" s="88"/>
      <c r="N3566" s="88"/>
      <c r="O3566" s="88"/>
      <c r="P3566" s="88"/>
      <c r="Q3566" s="88"/>
      <c r="R3566" s="78">
        <f>MAX(S3566:W3566)</f>
        <v>1</v>
      </c>
      <c r="S3566" s="88"/>
      <c r="T3566" s="88"/>
      <c r="U3566" s="88">
        <v>1</v>
      </c>
      <c r="V3566" s="88"/>
      <c r="W3566" s="88"/>
    </row>
    <row r="3567" spans="2:23" s="0" customFormat="0" ht="15">
      <c r="B3567" s="87" t="s">
        <v>1</v>
      </c>
      <c r="C3567" s="88" t="s">
        <v>5259</v>
      </c>
      <c r="D3567" s="88" t="s">
        <v>2277</v>
      </c>
      <c r="E3567" s="88" t="s">
        <v>61</v>
      </c>
      <c r="F3567" s="88">
        <v>0</v>
      </c>
      <c r="G3567" s="78">
        <f>MAX(H3567,I3567,J3567)</f>
        <v>1</v>
      </c>
      <c r="H3567" s="88"/>
      <c r="I3567" s="88"/>
      <c r="J3567" s="78">
        <f>MAX(K3567:Q3567)</f>
        <v>1</v>
      </c>
      <c r="K3567" s="88">
        <v>1</v>
      </c>
      <c r="L3567" s="88"/>
      <c r="M3567" s="88"/>
      <c r="N3567" s="88"/>
      <c r="O3567" s="88"/>
      <c r="P3567" s="88"/>
      <c r="Q3567" s="88"/>
      <c r="R3567" s="78">
        <f>MAX(S3567:W3567)</f>
        <v>0</v>
      </c>
      <c r="S3567" s="88"/>
      <c r="T3567" s="88"/>
      <c r="U3567" s="88"/>
      <c r="V3567" s="88"/>
      <c r="W3567" s="88"/>
    </row>
    <row r="3568" spans="2:23" s="0" customFormat="0" ht="15">
      <c r="B3568" s="87" t="s">
        <v>1</v>
      </c>
      <c r="C3568" s="88" t="s">
        <v>5259</v>
      </c>
      <c r="D3568" s="88">
        <v>781753</v>
      </c>
      <c r="E3568" s="88" t="s">
        <v>61</v>
      </c>
      <c r="F3568" s="88">
        <v>0</v>
      </c>
      <c r="G3568" s="78">
        <f>MAX(H3568,I3568,J3568)</f>
        <v>0</v>
      </c>
      <c r="H3568" s="88"/>
      <c r="I3568" s="88"/>
      <c r="J3568" s="78">
        <f>MAX(K3568:Q3568)</f>
        <v>0</v>
      </c>
      <c r="K3568" s="88"/>
      <c r="L3568" s="88"/>
      <c r="M3568" s="88"/>
      <c r="N3568" s="88"/>
      <c r="O3568" s="88"/>
      <c r="P3568" s="88"/>
      <c r="Q3568" s="88"/>
      <c r="R3568" s="78">
        <f>MAX(S3568:W3568)</f>
        <v>1</v>
      </c>
      <c r="S3568" s="88"/>
      <c r="T3568" s="88"/>
      <c r="U3568" s="88">
        <v>1</v>
      </c>
      <c r="V3568" s="88"/>
      <c r="W3568" s="88"/>
    </row>
    <row r="3569" spans="2:23" s="0" customFormat="0" ht="15">
      <c r="B3569" s="87" t="s">
        <v>1</v>
      </c>
      <c r="C3569" s="88" t="s">
        <v>5259</v>
      </c>
      <c r="D3569" s="88">
        <v>20394611</v>
      </c>
      <c r="E3569" s="88" t="s">
        <v>61</v>
      </c>
      <c r="F3569" s="88">
        <v>0</v>
      </c>
      <c r="G3569" s="78">
        <f>MAX(H3569,I3569,J3569)</f>
        <v>1</v>
      </c>
      <c r="H3569" s="88"/>
      <c r="I3569" s="88"/>
      <c r="J3569" s="78">
        <f>MAX(K3569:Q3569)</f>
        <v>1</v>
      </c>
      <c r="K3569" s="88"/>
      <c r="L3569" s="88"/>
      <c r="M3569" s="88">
        <v>1</v>
      </c>
      <c r="N3569" s="88"/>
      <c r="O3569" s="88"/>
      <c r="P3569" s="88"/>
      <c r="Q3569" s="88"/>
      <c r="R3569" s="78">
        <f>MAX(S3569:W3569)</f>
        <v>0</v>
      </c>
      <c r="S3569" s="88"/>
      <c r="T3569" s="88"/>
      <c r="U3569" s="88"/>
      <c r="V3569" s="88"/>
      <c r="W3569" s="88"/>
    </row>
    <row r="3570" spans="2:23" s="0" customFormat="0" ht="15">
      <c r="B3570" s="87" t="s">
        <v>1</v>
      </c>
      <c r="C3570" s="88" t="s">
        <v>5259</v>
      </c>
      <c r="D3570" s="88">
        <v>16974685</v>
      </c>
      <c r="E3570" s="88" t="s">
        <v>61</v>
      </c>
      <c r="F3570" s="88">
        <v>0</v>
      </c>
      <c r="G3570" s="78">
        <f>MAX(H3570,I3570,J3570)</f>
        <v>0</v>
      </c>
      <c r="H3570" s="88"/>
      <c r="I3570" s="88"/>
      <c r="J3570" s="78">
        <f>MAX(K3570:Q3570)</f>
        <v>0</v>
      </c>
      <c r="K3570" s="88"/>
      <c r="L3570" s="88"/>
      <c r="M3570" s="88"/>
      <c r="N3570" s="88"/>
      <c r="O3570" s="88"/>
      <c r="P3570" s="88"/>
      <c r="Q3570" s="88"/>
      <c r="R3570" s="78">
        <f>MAX(S3570:W3570)</f>
        <v>1</v>
      </c>
      <c r="S3570" s="88"/>
      <c r="T3570" s="88"/>
      <c r="U3570" s="88">
        <v>1</v>
      </c>
      <c r="V3570" s="88"/>
      <c r="W3570" s="88"/>
    </row>
    <row r="3571" spans="2:23" s="0" customFormat="0" ht="15">
      <c r="B3571" s="87" t="s">
        <v>1</v>
      </c>
      <c r="C3571" s="88" t="s">
        <v>5259</v>
      </c>
      <c r="D3571" s="88">
        <v>19657742</v>
      </c>
      <c r="E3571" s="88" t="s">
        <v>61</v>
      </c>
      <c r="F3571" s="88">
        <v>0</v>
      </c>
      <c r="G3571" s="78">
        <f>MAX(H3571,I3571,J3571)</f>
        <v>1</v>
      </c>
      <c r="H3571" s="88"/>
      <c r="I3571" s="88"/>
      <c r="J3571" s="78">
        <f>MAX(K3571:Q3571)</f>
        <v>1</v>
      </c>
      <c r="K3571" s="88">
        <v>1</v>
      </c>
      <c r="L3571" s="88"/>
      <c r="M3571" s="88"/>
      <c r="N3571" s="88"/>
      <c r="O3571" s="88"/>
      <c r="P3571" s="88"/>
      <c r="Q3571" s="88"/>
      <c r="R3571" s="78">
        <f>MAX(S3571:W3571)</f>
        <v>0</v>
      </c>
      <c r="S3571" s="88"/>
      <c r="T3571" s="88"/>
      <c r="U3571" s="88"/>
      <c r="V3571" s="88"/>
      <c r="W3571" s="88"/>
    </row>
    <row r="3572" spans="2:23" s="0" customFormat="0" ht="15">
      <c r="B3572" s="87" t="s">
        <v>1</v>
      </c>
      <c r="C3572" s="88" t="s">
        <v>5259</v>
      </c>
      <c r="D3572" s="88" t="s">
        <v>2280</v>
      </c>
      <c r="E3572" s="88" t="s">
        <v>61</v>
      </c>
      <c r="F3572" s="88">
        <v>0</v>
      </c>
      <c r="G3572" s="78">
        <f>MAX(H3572,I3572,J3572)</f>
        <v>1</v>
      </c>
      <c r="H3572" s="88"/>
      <c r="I3572" s="88"/>
      <c r="J3572" s="78">
        <f>MAX(K3572:Q3572)</f>
        <v>1</v>
      </c>
      <c r="K3572" s="88">
        <v>1</v>
      </c>
      <c r="L3572" s="88"/>
      <c r="M3572" s="88"/>
      <c r="N3572" s="88"/>
      <c r="O3572" s="88"/>
      <c r="P3572" s="88"/>
      <c r="Q3572" s="88"/>
      <c r="R3572" s="78">
        <f>MAX(S3572:W3572)</f>
        <v>0</v>
      </c>
      <c r="S3572" s="88"/>
      <c r="T3572" s="88"/>
      <c r="U3572" s="88"/>
      <c r="V3572" s="88"/>
      <c r="W3572" s="88"/>
    </row>
    <row r="3573" spans="2:23" s="0" customFormat="0" ht="15">
      <c r="B3573" s="87" t="s">
        <v>1</v>
      </c>
      <c r="C3573" s="88" t="s">
        <v>5259</v>
      </c>
      <c r="D3573" s="88" t="s">
        <v>4767</v>
      </c>
      <c r="E3573" s="88" t="s">
        <v>61</v>
      </c>
      <c r="F3573" s="88">
        <v>0</v>
      </c>
      <c r="G3573" s="78">
        <f>MAX(H3573,I3573,J3573)</f>
        <v>0</v>
      </c>
      <c r="H3573" s="88"/>
      <c r="I3573" s="88"/>
      <c r="J3573" s="78">
        <f>MAX(K3573:Q3573)</f>
        <v>0</v>
      </c>
      <c r="K3573" s="88"/>
      <c r="L3573" s="88"/>
      <c r="M3573" s="88"/>
      <c r="N3573" s="88"/>
      <c r="O3573" s="88"/>
      <c r="P3573" s="88"/>
      <c r="Q3573" s="88"/>
      <c r="R3573" s="78">
        <f>MAX(S3573:W3573)</f>
        <v>1</v>
      </c>
      <c r="S3573" s="88"/>
      <c r="T3573" s="88"/>
      <c r="U3573" s="88">
        <v>1</v>
      </c>
      <c r="V3573" s="88"/>
      <c r="W3573" s="88"/>
    </row>
    <row r="3574" spans="2:23" s="0" customFormat="0" ht="15">
      <c r="B3574" s="87" t="s">
        <v>1</v>
      </c>
      <c r="C3574" s="88" t="s">
        <v>5259</v>
      </c>
      <c r="D3574" s="88">
        <v>20382570</v>
      </c>
      <c r="E3574" s="88" t="s">
        <v>61</v>
      </c>
      <c r="F3574" s="88">
        <v>0</v>
      </c>
      <c r="G3574" s="78">
        <f>MAX(H3574,I3574,J3574)</f>
        <v>1</v>
      </c>
      <c r="H3574" s="88"/>
      <c r="I3574" s="88"/>
      <c r="J3574" s="78">
        <f>MAX(K3574:Q3574)</f>
        <v>1</v>
      </c>
      <c r="K3574" s="88">
        <v>1</v>
      </c>
      <c r="L3574" s="88"/>
      <c r="M3574" s="88"/>
      <c r="N3574" s="88"/>
      <c r="O3574" s="88"/>
      <c r="P3574" s="88"/>
      <c r="Q3574" s="88"/>
      <c r="R3574" s="78">
        <f>MAX(S3574:W3574)</f>
        <v>0</v>
      </c>
      <c r="S3574" s="88"/>
      <c r="T3574" s="88"/>
      <c r="U3574" s="88"/>
      <c r="V3574" s="88"/>
      <c r="W3574" s="88"/>
    </row>
    <row r="3575" spans="2:23" s="0" customFormat="0" ht="15">
      <c r="B3575" s="87" t="s">
        <v>1</v>
      </c>
      <c r="C3575" s="88" t="s">
        <v>5259</v>
      </c>
      <c r="D3575" s="88">
        <v>22281184</v>
      </c>
      <c r="E3575" s="88" t="s">
        <v>61</v>
      </c>
      <c r="F3575" s="88">
        <v>0</v>
      </c>
      <c r="G3575" s="78">
        <f>MAX(H3575,I3575,J3575)</f>
        <v>1</v>
      </c>
      <c r="H3575" s="88"/>
      <c r="I3575" s="88"/>
      <c r="J3575" s="78">
        <f>MAX(K3575:Q3575)</f>
        <v>1</v>
      </c>
      <c r="K3575" s="88"/>
      <c r="L3575" s="88"/>
      <c r="M3575" s="88"/>
      <c r="N3575" s="88"/>
      <c r="O3575" s="88"/>
      <c r="P3575" s="88">
        <v>1</v>
      </c>
      <c r="Q3575" s="88"/>
      <c r="R3575" s="78">
        <f>MAX(S3575:W3575)</f>
        <v>0</v>
      </c>
      <c r="S3575" s="88"/>
      <c r="T3575" s="88"/>
      <c r="U3575" s="88"/>
      <c r="V3575" s="88"/>
      <c r="W3575" s="88"/>
    </row>
    <row r="3576" spans="2:23" s="0" customFormat="0" ht="15">
      <c r="B3576" s="87" t="s">
        <v>1</v>
      </c>
      <c r="C3576" s="88" t="s">
        <v>5259</v>
      </c>
      <c r="D3576" s="88">
        <v>20679265</v>
      </c>
      <c r="E3576" s="88" t="s">
        <v>61</v>
      </c>
      <c r="F3576" s="88">
        <v>0</v>
      </c>
      <c r="G3576" s="78">
        <f>MAX(H3576,I3576,J3576)</f>
        <v>1</v>
      </c>
      <c r="H3576" s="88"/>
      <c r="I3576" s="88"/>
      <c r="J3576" s="78">
        <f>MAX(K3576:Q3576)</f>
        <v>1</v>
      </c>
      <c r="K3576" s="88">
        <v>1</v>
      </c>
      <c r="L3576" s="88"/>
      <c r="M3576" s="88"/>
      <c r="N3576" s="88"/>
      <c r="O3576" s="88"/>
      <c r="P3576" s="88"/>
      <c r="Q3576" s="88"/>
      <c r="R3576" s="78">
        <f>MAX(S3576:W3576)</f>
        <v>0</v>
      </c>
      <c r="S3576" s="88"/>
      <c r="T3576" s="88"/>
      <c r="U3576" s="88"/>
      <c r="V3576" s="88"/>
      <c r="W3576" s="88"/>
    </row>
    <row r="3577" spans="2:23" s="0" customFormat="0" ht="15">
      <c r="B3577" s="87" t="s">
        <v>1</v>
      </c>
      <c r="C3577" s="88" t="s">
        <v>5259</v>
      </c>
      <c r="D3577" s="88">
        <v>8234466</v>
      </c>
      <c r="E3577" s="88" t="s">
        <v>61</v>
      </c>
      <c r="F3577" s="88">
        <v>0</v>
      </c>
      <c r="G3577" s="78">
        <f>MAX(H3577,I3577,J3577)</f>
        <v>1</v>
      </c>
      <c r="H3577" s="88"/>
      <c r="I3577" s="88"/>
      <c r="J3577" s="78">
        <f>MAX(K3577:Q3577)</f>
        <v>1</v>
      </c>
      <c r="K3577" s="88">
        <v>1</v>
      </c>
      <c r="L3577" s="88"/>
      <c r="M3577" s="88"/>
      <c r="N3577" s="88"/>
      <c r="O3577" s="88"/>
      <c r="P3577" s="88"/>
      <c r="Q3577" s="88"/>
      <c r="R3577" s="78">
        <f>MAX(S3577:W3577)</f>
        <v>0</v>
      </c>
      <c r="S3577" s="88"/>
      <c r="T3577" s="88"/>
      <c r="U3577" s="88"/>
      <c r="V3577" s="88"/>
      <c r="W3577" s="88"/>
    </row>
    <row r="3578" spans="2:23" s="0" customFormat="0" ht="15">
      <c r="B3578" s="87" t="s">
        <v>1</v>
      </c>
      <c r="C3578" s="88" t="s">
        <v>5259</v>
      </c>
      <c r="D3578" s="88" t="s">
        <v>2283</v>
      </c>
      <c r="E3578" s="88" t="s">
        <v>61</v>
      </c>
      <c r="F3578" s="88">
        <v>0</v>
      </c>
      <c r="G3578" s="78">
        <f>MAX(H3578,I3578,J3578)</f>
        <v>1</v>
      </c>
      <c r="H3578" s="88"/>
      <c r="I3578" s="88"/>
      <c r="J3578" s="78">
        <f>MAX(K3578:Q3578)</f>
        <v>1</v>
      </c>
      <c r="K3578" s="88">
        <v>1</v>
      </c>
      <c r="L3578" s="88"/>
      <c r="M3578" s="88"/>
      <c r="N3578" s="88"/>
      <c r="O3578" s="88"/>
      <c r="P3578" s="88"/>
      <c r="Q3578" s="88"/>
      <c r="R3578" s="78">
        <f>MAX(S3578:W3578)</f>
        <v>0</v>
      </c>
      <c r="S3578" s="88"/>
      <c r="T3578" s="88"/>
      <c r="U3578" s="88"/>
      <c r="V3578" s="88"/>
      <c r="W3578" s="88"/>
    </row>
    <row r="3579" spans="2:23" s="0" customFormat="0" ht="15">
      <c r="B3579" s="87" t="s">
        <v>1</v>
      </c>
      <c r="C3579" s="88" t="s">
        <v>5259</v>
      </c>
      <c r="D3579" s="88" t="s">
        <v>4759</v>
      </c>
      <c r="E3579" s="88" t="s">
        <v>61</v>
      </c>
      <c r="F3579" s="88">
        <v>0</v>
      </c>
      <c r="G3579" s="78">
        <f>MAX(H3579,I3579,J3579)</f>
        <v>0</v>
      </c>
      <c r="H3579" s="88"/>
      <c r="I3579" s="88"/>
      <c r="J3579" s="78">
        <f>MAX(K3579:Q3579)</f>
        <v>0</v>
      </c>
      <c r="K3579" s="88"/>
      <c r="L3579" s="88"/>
      <c r="M3579" s="88"/>
      <c r="N3579" s="88"/>
      <c r="O3579" s="88"/>
      <c r="P3579" s="88"/>
      <c r="Q3579" s="88"/>
      <c r="R3579" s="78">
        <f>MAX(S3579:W3579)</f>
        <v>1</v>
      </c>
      <c r="S3579" s="88"/>
      <c r="T3579" s="88"/>
      <c r="U3579" s="88">
        <v>1</v>
      </c>
      <c r="V3579" s="88"/>
      <c r="W3579" s="88"/>
    </row>
    <row r="3580" spans="2:23" s="0" customFormat="0" ht="15">
      <c r="B3580" s="87" t="s">
        <v>1</v>
      </c>
      <c r="C3580" s="88" t="s">
        <v>5259</v>
      </c>
      <c r="D3580" s="88">
        <v>6380989</v>
      </c>
      <c r="E3580" s="88" t="s">
        <v>61</v>
      </c>
      <c r="F3580" s="88">
        <v>0</v>
      </c>
      <c r="G3580" s="78">
        <f>MAX(H3580,I3580,J3580)</f>
        <v>1</v>
      </c>
      <c r="H3580" s="88"/>
      <c r="I3580" s="88"/>
      <c r="J3580" s="78">
        <f>MAX(K3580:Q3580)</f>
        <v>1</v>
      </c>
      <c r="K3580" s="88">
        <v>1</v>
      </c>
      <c r="L3580" s="88"/>
      <c r="M3580" s="88"/>
      <c r="N3580" s="88"/>
      <c r="O3580" s="88"/>
      <c r="P3580" s="88"/>
      <c r="Q3580" s="88"/>
      <c r="R3580" s="78">
        <f>MAX(S3580:W3580)</f>
        <v>0</v>
      </c>
      <c r="S3580" s="88"/>
      <c r="T3580" s="88"/>
      <c r="U3580" s="88"/>
      <c r="V3580" s="88"/>
      <c r="W3580" s="88"/>
    </row>
    <row r="3581" spans="2:23" s="0" customFormat="0" ht="15">
      <c r="B3581" s="87" t="s">
        <v>1</v>
      </c>
      <c r="C3581" s="88" t="s">
        <v>5259</v>
      </c>
      <c r="D3581" s="88" t="s">
        <v>2285</v>
      </c>
      <c r="E3581" s="88" t="s">
        <v>61</v>
      </c>
      <c r="F3581" s="88">
        <v>0</v>
      </c>
      <c r="G3581" s="78">
        <f>MAX(H3581,I3581,J3581)</f>
        <v>1</v>
      </c>
      <c r="H3581" s="88"/>
      <c r="I3581" s="88"/>
      <c r="J3581" s="78">
        <f>MAX(K3581:Q3581)</f>
        <v>1</v>
      </c>
      <c r="K3581" s="88">
        <v>1</v>
      </c>
      <c r="L3581" s="88"/>
      <c r="M3581" s="88"/>
      <c r="N3581" s="88"/>
      <c r="O3581" s="88"/>
      <c r="P3581" s="88"/>
      <c r="Q3581" s="88"/>
      <c r="R3581" s="78">
        <f>MAX(S3581:W3581)</f>
        <v>0</v>
      </c>
      <c r="S3581" s="88"/>
      <c r="T3581" s="88"/>
      <c r="U3581" s="88"/>
      <c r="V3581" s="88"/>
      <c r="W3581" s="88"/>
    </row>
    <row r="3582" spans="2:23" s="0" customFormat="0" ht="15">
      <c r="B3582" s="87" t="s">
        <v>1</v>
      </c>
      <c r="C3582" s="88" t="s">
        <v>5259</v>
      </c>
      <c r="D3582" s="88">
        <v>24426295</v>
      </c>
      <c r="E3582" s="88" t="s">
        <v>61</v>
      </c>
      <c r="F3582" s="88">
        <v>0</v>
      </c>
      <c r="G3582" s="78">
        <f>MAX(H3582,I3582,J3582)</f>
        <v>1</v>
      </c>
      <c r="H3582" s="88"/>
      <c r="I3582" s="88"/>
      <c r="J3582" s="78">
        <f>MAX(K3582:Q3582)</f>
        <v>1</v>
      </c>
      <c r="K3582" s="88">
        <v>1</v>
      </c>
      <c r="L3582" s="88"/>
      <c r="M3582" s="88"/>
      <c r="N3582" s="88"/>
      <c r="O3582" s="88"/>
      <c r="P3582" s="88"/>
      <c r="Q3582" s="88"/>
      <c r="R3582" s="78">
        <f>MAX(S3582:W3582)</f>
        <v>0</v>
      </c>
      <c r="S3582" s="88"/>
      <c r="T3582" s="88"/>
      <c r="U3582" s="88"/>
      <c r="V3582" s="88"/>
      <c r="W3582" s="88"/>
    </row>
    <row r="3583" spans="2:23" s="0" customFormat="0" ht="15">
      <c r="B3583" s="87" t="s">
        <v>1</v>
      </c>
      <c r="C3583" s="88" t="s">
        <v>5259</v>
      </c>
      <c r="D3583" s="88" t="s">
        <v>3761</v>
      </c>
      <c r="E3583" s="88" t="s">
        <v>61</v>
      </c>
      <c r="F3583" s="88">
        <v>0</v>
      </c>
      <c r="G3583" s="78">
        <f>MAX(H3583,I3583,J3583)</f>
        <v>0</v>
      </c>
      <c r="H3583" s="88"/>
      <c r="I3583" s="88"/>
      <c r="J3583" s="78">
        <f>MAX(K3583:Q3583)</f>
        <v>0</v>
      </c>
      <c r="K3583" s="88"/>
      <c r="L3583" s="88"/>
      <c r="M3583" s="88"/>
      <c r="N3583" s="88"/>
      <c r="O3583" s="88"/>
      <c r="P3583" s="88"/>
      <c r="Q3583" s="88"/>
      <c r="R3583" s="78">
        <f>MAX(S3583:W3583)</f>
        <v>1</v>
      </c>
      <c r="S3583" s="88"/>
      <c r="T3583" s="88"/>
      <c r="U3583" s="88">
        <v>1</v>
      </c>
      <c r="V3583" s="88"/>
      <c r="W3583" s="88"/>
    </row>
    <row r="3584" spans="2:23" s="0" customFormat="0" ht="15">
      <c r="B3584" s="87" t="s">
        <v>1</v>
      </c>
      <c r="C3584" s="88" t="s">
        <v>5259</v>
      </c>
      <c r="D3584" s="88">
        <v>7852167</v>
      </c>
      <c r="E3584" s="88" t="s">
        <v>61</v>
      </c>
      <c r="F3584" s="88">
        <v>0</v>
      </c>
      <c r="G3584" s="78">
        <f>MAX(H3584,I3584,J3584)</f>
        <v>1</v>
      </c>
      <c r="H3584" s="88"/>
      <c r="I3584" s="88"/>
      <c r="J3584" s="78">
        <f>MAX(K3584:Q3584)</f>
        <v>1</v>
      </c>
      <c r="K3584" s="88">
        <v>1</v>
      </c>
      <c r="L3584" s="88"/>
      <c r="M3584" s="88"/>
      <c r="N3584" s="88"/>
      <c r="O3584" s="88"/>
      <c r="P3584" s="88"/>
      <c r="Q3584" s="88"/>
      <c r="R3584" s="78">
        <f>MAX(S3584:W3584)</f>
        <v>0</v>
      </c>
      <c r="S3584" s="88"/>
      <c r="T3584" s="88"/>
      <c r="U3584" s="88"/>
      <c r="V3584" s="88"/>
      <c r="W3584" s="88"/>
    </row>
    <row r="3585" spans="2:23" s="0" customFormat="0" ht="15">
      <c r="B3585" s="87" t="s">
        <v>1</v>
      </c>
      <c r="C3585" s="88" t="s">
        <v>5259</v>
      </c>
      <c r="D3585" s="88">
        <v>15085355</v>
      </c>
      <c r="E3585" s="88" t="s">
        <v>61</v>
      </c>
      <c r="F3585" s="88">
        <v>0</v>
      </c>
      <c r="G3585" s="78">
        <f>MAX(H3585,I3585,J3585)</f>
        <v>1</v>
      </c>
      <c r="H3585" s="88"/>
      <c r="I3585" s="88"/>
      <c r="J3585" s="78">
        <f>MAX(K3585:Q3585)</f>
        <v>1</v>
      </c>
      <c r="K3585" s="88">
        <v>1</v>
      </c>
      <c r="L3585" s="88"/>
      <c r="M3585" s="88"/>
      <c r="N3585" s="88"/>
      <c r="O3585" s="88"/>
      <c r="P3585" s="88"/>
      <c r="Q3585" s="88"/>
      <c r="R3585" s="78">
        <f>MAX(S3585:W3585)</f>
        <v>0</v>
      </c>
      <c r="S3585" s="88"/>
      <c r="T3585" s="88"/>
      <c r="U3585" s="88"/>
      <c r="V3585" s="88"/>
      <c r="W3585" s="88"/>
    </row>
    <row r="3586" spans="2:23" s="0" customFormat="0" ht="15">
      <c r="B3586" s="87" t="s">
        <v>1</v>
      </c>
      <c r="C3586" s="88" t="s">
        <v>5259</v>
      </c>
      <c r="D3586" s="88" t="s">
        <v>4769</v>
      </c>
      <c r="E3586" s="88" t="s">
        <v>61</v>
      </c>
      <c r="F3586" s="88">
        <v>0</v>
      </c>
      <c r="G3586" s="78">
        <f>MAX(H3586,I3586,J3586)</f>
        <v>0</v>
      </c>
      <c r="H3586" s="88"/>
      <c r="I3586" s="88"/>
      <c r="J3586" s="78">
        <f>MAX(K3586:Q3586)</f>
        <v>0</v>
      </c>
      <c r="K3586" s="88"/>
      <c r="L3586" s="88"/>
      <c r="M3586" s="88"/>
      <c r="N3586" s="88"/>
      <c r="O3586" s="88"/>
      <c r="P3586" s="88"/>
      <c r="Q3586" s="88"/>
      <c r="R3586" s="78">
        <f>MAX(S3586:W3586)</f>
        <v>1</v>
      </c>
      <c r="S3586" s="88"/>
      <c r="T3586" s="88"/>
      <c r="U3586" s="88">
        <v>1</v>
      </c>
      <c r="V3586" s="88"/>
      <c r="W3586" s="88"/>
    </row>
    <row r="3587" spans="2:23" s="0" customFormat="0" ht="15">
      <c r="B3587" s="87" t="s">
        <v>1</v>
      </c>
      <c r="C3587" s="88" t="s">
        <v>5259</v>
      </c>
      <c r="D3587" s="88" t="s">
        <v>1093</v>
      </c>
      <c r="E3587" s="88" t="s">
        <v>61</v>
      </c>
      <c r="F3587" s="88">
        <v>0</v>
      </c>
      <c r="G3587" s="78">
        <f>MAX(H3587,I3587,J3587)</f>
        <v>1</v>
      </c>
      <c r="H3587" s="88"/>
      <c r="I3587" s="88"/>
      <c r="J3587" s="78">
        <f>MAX(K3587:Q3587)</f>
        <v>1</v>
      </c>
      <c r="K3587" s="88">
        <v>1</v>
      </c>
      <c r="L3587" s="88"/>
      <c r="M3587" s="88"/>
      <c r="N3587" s="88"/>
      <c r="O3587" s="88"/>
      <c r="P3587" s="88"/>
      <c r="Q3587" s="88"/>
      <c r="R3587" s="78">
        <f>MAX(S3587:W3587)</f>
        <v>0</v>
      </c>
      <c r="S3587" s="88"/>
      <c r="T3587" s="88"/>
      <c r="U3587" s="88"/>
      <c r="V3587" s="88"/>
      <c r="W3587" s="88"/>
    </row>
    <row r="3588" spans="2:23" s="0" customFormat="0" ht="15">
      <c r="B3588" s="87" t="s">
        <v>1</v>
      </c>
      <c r="C3588" s="88" t="s">
        <v>5259</v>
      </c>
      <c r="D3588" s="88">
        <v>951622</v>
      </c>
      <c r="E3588" s="88" t="s">
        <v>61</v>
      </c>
      <c r="F3588" s="88">
        <v>0</v>
      </c>
      <c r="G3588" s="78">
        <f>MAX(H3588,I3588,J3588)</f>
        <v>1</v>
      </c>
      <c r="H3588" s="88"/>
      <c r="I3588" s="88"/>
      <c r="J3588" s="78">
        <f>MAX(K3588:Q3588)</f>
        <v>1</v>
      </c>
      <c r="K3588" s="88">
        <v>1</v>
      </c>
      <c r="L3588" s="88"/>
      <c r="M3588" s="88"/>
      <c r="N3588" s="88"/>
      <c r="O3588" s="88"/>
      <c r="P3588" s="88"/>
      <c r="Q3588" s="88"/>
      <c r="R3588" s="78">
        <f>MAX(S3588:W3588)</f>
        <v>0</v>
      </c>
      <c r="S3588" s="88"/>
      <c r="T3588" s="88"/>
      <c r="U3588" s="88"/>
      <c r="V3588" s="88"/>
      <c r="W3588" s="88"/>
    </row>
    <row r="3589" spans="2:23" s="0" customFormat="0" ht="15">
      <c r="B3589" s="87" t="s">
        <v>1</v>
      </c>
      <c r="C3589" s="88" t="s">
        <v>5259</v>
      </c>
      <c r="D3589" s="88">
        <v>3610277</v>
      </c>
      <c r="E3589" s="88" t="s">
        <v>61</v>
      </c>
      <c r="F3589" s="88">
        <v>0</v>
      </c>
      <c r="G3589" s="78">
        <f>MAX(H3589,I3589,J3589)</f>
        <v>1</v>
      </c>
      <c r="H3589" s="88"/>
      <c r="I3589" s="88"/>
      <c r="J3589" s="78">
        <f>MAX(K3589:Q3589)</f>
        <v>1</v>
      </c>
      <c r="K3589" s="88">
        <v>1</v>
      </c>
      <c r="L3589" s="88"/>
      <c r="M3589" s="88"/>
      <c r="N3589" s="88"/>
      <c r="O3589" s="88"/>
      <c r="P3589" s="88"/>
      <c r="Q3589" s="88"/>
      <c r="R3589" s="78">
        <f>MAX(S3589:W3589)</f>
        <v>0</v>
      </c>
      <c r="S3589" s="88"/>
      <c r="T3589" s="88"/>
      <c r="U3589" s="88"/>
      <c r="V3589" s="88"/>
      <c r="W3589" s="88"/>
    </row>
    <row r="3590" spans="2:23" s="0" customFormat="0" ht="15">
      <c r="B3590" s="87" t="s">
        <v>1</v>
      </c>
      <c r="C3590" s="88" t="s">
        <v>5259</v>
      </c>
      <c r="D3590" s="88">
        <v>8543657</v>
      </c>
      <c r="E3590" s="88" t="s">
        <v>61</v>
      </c>
      <c r="F3590" s="88">
        <v>0</v>
      </c>
      <c r="G3590" s="78">
        <f>MAX(H3590,I3590,J3590)</f>
        <v>1</v>
      </c>
      <c r="H3590" s="88"/>
      <c r="I3590" s="88"/>
      <c r="J3590" s="78">
        <f>MAX(K3590:Q3590)</f>
        <v>1</v>
      </c>
      <c r="K3590" s="88">
        <v>1</v>
      </c>
      <c r="L3590" s="88"/>
      <c r="M3590" s="88"/>
      <c r="N3590" s="88"/>
      <c r="O3590" s="88"/>
      <c r="P3590" s="88"/>
      <c r="Q3590" s="88"/>
      <c r="R3590" s="78">
        <f>MAX(S3590:W3590)</f>
        <v>0</v>
      </c>
      <c r="S3590" s="88"/>
      <c r="T3590" s="88"/>
      <c r="U3590" s="88"/>
      <c r="V3590" s="88"/>
      <c r="W3590" s="88"/>
    </row>
    <row r="3591" spans="2:23" s="0" customFormat="0" ht="15">
      <c r="B3591" s="87" t="s">
        <v>1</v>
      </c>
      <c r="C3591" s="88" t="s">
        <v>5259</v>
      </c>
      <c r="D3591" s="88">
        <v>21761408</v>
      </c>
      <c r="E3591" s="88" t="s">
        <v>61</v>
      </c>
      <c r="F3591" s="88">
        <v>0</v>
      </c>
      <c r="G3591" s="78">
        <f>MAX(H3591,I3591,J3591)</f>
        <v>1</v>
      </c>
      <c r="H3591" s="88"/>
      <c r="I3591" s="88"/>
      <c r="J3591" s="78">
        <f>MAX(K3591:Q3591)</f>
        <v>1</v>
      </c>
      <c r="K3591" s="88">
        <v>1</v>
      </c>
      <c r="L3591" s="88"/>
      <c r="M3591" s="88"/>
      <c r="N3591" s="88"/>
      <c r="O3591" s="88"/>
      <c r="P3591" s="88"/>
      <c r="Q3591" s="88"/>
      <c r="R3591" s="78">
        <f>MAX(S3591:W3591)</f>
        <v>0</v>
      </c>
      <c r="S3591" s="88"/>
      <c r="T3591" s="88"/>
      <c r="U3591" s="88"/>
      <c r="V3591" s="88"/>
      <c r="W3591" s="88"/>
    </row>
    <row r="3592" spans="2:23" s="0" customFormat="0" ht="15">
      <c r="B3592" s="87" t="s">
        <v>1</v>
      </c>
      <c r="C3592" s="88" t="s">
        <v>5259</v>
      </c>
      <c r="D3592" s="88">
        <v>18003004</v>
      </c>
      <c r="E3592" s="88" t="s">
        <v>61</v>
      </c>
      <c r="F3592" s="88">
        <v>0</v>
      </c>
      <c r="G3592" s="78">
        <f>MAX(H3592,I3592,J3592)</f>
        <v>1</v>
      </c>
      <c r="H3592" s="88"/>
      <c r="I3592" s="88"/>
      <c r="J3592" s="78">
        <f>MAX(K3592:Q3592)</f>
        <v>1</v>
      </c>
      <c r="K3592" s="88">
        <v>1</v>
      </c>
      <c r="L3592" s="88"/>
      <c r="M3592" s="88"/>
      <c r="N3592" s="88"/>
      <c r="O3592" s="88"/>
      <c r="P3592" s="88"/>
      <c r="Q3592" s="88"/>
      <c r="R3592" s="78">
        <f>MAX(S3592:W3592)</f>
        <v>0</v>
      </c>
      <c r="S3592" s="88"/>
      <c r="T3592" s="88"/>
      <c r="U3592" s="88"/>
      <c r="V3592" s="88"/>
      <c r="W3592" s="88"/>
    </row>
    <row r="3593" spans="2:23" s="0" customFormat="0" ht="15">
      <c r="B3593" s="87" t="s">
        <v>1</v>
      </c>
      <c r="C3593" s="88" t="s">
        <v>5259</v>
      </c>
      <c r="D3593" s="88">
        <v>14826302</v>
      </c>
      <c r="E3593" s="88" t="s">
        <v>61</v>
      </c>
      <c r="F3593" s="88">
        <v>0</v>
      </c>
      <c r="G3593" s="78">
        <f>MAX(H3593,I3593,J3593)</f>
        <v>1</v>
      </c>
      <c r="H3593" s="88"/>
      <c r="I3593" s="88"/>
      <c r="J3593" s="78">
        <f>MAX(K3593:Q3593)</f>
        <v>1</v>
      </c>
      <c r="K3593" s="88">
        <v>1</v>
      </c>
      <c r="L3593" s="88"/>
      <c r="M3593" s="88"/>
      <c r="N3593" s="88"/>
      <c r="O3593" s="88"/>
      <c r="P3593" s="88"/>
      <c r="Q3593" s="88"/>
      <c r="R3593" s="78">
        <f>MAX(S3593:W3593)</f>
        <v>0</v>
      </c>
      <c r="S3593" s="88"/>
      <c r="T3593" s="88"/>
      <c r="U3593" s="88"/>
      <c r="V3593" s="88"/>
      <c r="W3593" s="88"/>
    </row>
    <row r="3594" spans="2:23" s="0" customFormat="0" ht="15">
      <c r="B3594" s="87" t="s">
        <v>1</v>
      </c>
      <c r="C3594" s="88" t="s">
        <v>5259</v>
      </c>
      <c r="D3594" s="88" t="s">
        <v>4771</v>
      </c>
      <c r="E3594" s="88" t="s">
        <v>61</v>
      </c>
      <c r="F3594" s="88">
        <v>0</v>
      </c>
      <c r="G3594" s="78">
        <f>MAX(H3594,I3594,J3594)</f>
        <v>0</v>
      </c>
      <c r="H3594" s="88"/>
      <c r="I3594" s="88"/>
      <c r="J3594" s="78">
        <f>MAX(K3594:Q3594)</f>
        <v>0</v>
      </c>
      <c r="K3594" s="88"/>
      <c r="L3594" s="88"/>
      <c r="M3594" s="88"/>
      <c r="N3594" s="88"/>
      <c r="O3594" s="88"/>
      <c r="P3594" s="88"/>
      <c r="Q3594" s="88"/>
      <c r="R3594" s="78">
        <f>MAX(S3594:W3594)</f>
        <v>1</v>
      </c>
      <c r="S3594" s="88"/>
      <c r="T3594" s="88"/>
      <c r="U3594" s="88">
        <v>1</v>
      </c>
      <c r="V3594" s="88"/>
      <c r="W3594" s="88"/>
    </row>
    <row r="3595" spans="2:23" s="0" customFormat="0" ht="15">
      <c r="B3595" s="87" t="s">
        <v>1</v>
      </c>
      <c r="C3595" s="88" t="s">
        <v>5259</v>
      </c>
      <c r="D3595" s="88" t="s">
        <v>4641</v>
      </c>
      <c r="E3595" s="88" t="s">
        <v>61</v>
      </c>
      <c r="F3595" s="88">
        <v>0</v>
      </c>
      <c r="G3595" s="78">
        <f>MAX(H3595,I3595,J3595)</f>
        <v>0</v>
      </c>
      <c r="H3595" s="88"/>
      <c r="I3595" s="88"/>
      <c r="J3595" s="78">
        <f>MAX(K3595:Q3595)</f>
        <v>0</v>
      </c>
      <c r="K3595" s="88"/>
      <c r="L3595" s="88"/>
      <c r="M3595" s="88"/>
      <c r="N3595" s="88"/>
      <c r="O3595" s="88"/>
      <c r="P3595" s="88"/>
      <c r="Q3595" s="88"/>
      <c r="R3595" s="78">
        <f>MAX(S3595:W3595)</f>
        <v>1</v>
      </c>
      <c r="S3595" s="88"/>
      <c r="T3595" s="88"/>
      <c r="U3595" s="88">
        <v>1</v>
      </c>
      <c r="V3595" s="88"/>
      <c r="W3595" s="88"/>
    </row>
    <row r="3596" spans="2:23" s="0" customFormat="0" ht="15">
      <c r="B3596" s="87" t="s">
        <v>1</v>
      </c>
      <c r="C3596" s="88" t="s">
        <v>5259</v>
      </c>
      <c r="D3596" s="88">
        <v>17558942</v>
      </c>
      <c r="E3596" s="88" t="s">
        <v>61</v>
      </c>
      <c r="F3596" s="88">
        <v>0</v>
      </c>
      <c r="G3596" s="78">
        <f>MAX(H3596,I3596,J3596)</f>
        <v>1</v>
      </c>
      <c r="H3596" s="88"/>
      <c r="I3596" s="88"/>
      <c r="J3596" s="78">
        <f>MAX(K3596:Q3596)</f>
        <v>1</v>
      </c>
      <c r="K3596" s="88">
        <v>1</v>
      </c>
      <c r="L3596" s="88"/>
      <c r="M3596" s="88"/>
      <c r="N3596" s="88"/>
      <c r="O3596" s="88"/>
      <c r="P3596" s="88"/>
      <c r="Q3596" s="88"/>
      <c r="R3596" s="78">
        <f>MAX(S3596:W3596)</f>
        <v>0</v>
      </c>
      <c r="S3596" s="88"/>
      <c r="T3596" s="88"/>
      <c r="U3596" s="88"/>
      <c r="V3596" s="88"/>
      <c r="W3596" s="88"/>
    </row>
    <row r="3597" spans="2:23" s="0" customFormat="0" ht="15">
      <c r="B3597" s="87" t="s">
        <v>1</v>
      </c>
      <c r="C3597" s="88" t="s">
        <v>5259</v>
      </c>
      <c r="D3597" s="88" t="s">
        <v>3792</v>
      </c>
      <c r="E3597" s="88" t="s">
        <v>61</v>
      </c>
      <c r="F3597" s="88">
        <v>0</v>
      </c>
      <c r="G3597" s="78">
        <f>MAX(H3597,I3597,J3597)</f>
        <v>0</v>
      </c>
      <c r="H3597" s="88"/>
      <c r="I3597" s="88"/>
      <c r="J3597" s="78">
        <f>MAX(K3597:Q3597)</f>
        <v>0</v>
      </c>
      <c r="K3597" s="88"/>
      <c r="L3597" s="88"/>
      <c r="M3597" s="88"/>
      <c r="N3597" s="88"/>
      <c r="O3597" s="88"/>
      <c r="P3597" s="88"/>
      <c r="Q3597" s="88"/>
      <c r="R3597" s="78">
        <f>MAX(S3597:W3597)</f>
        <v>1</v>
      </c>
      <c r="S3597" s="88"/>
      <c r="T3597" s="88"/>
      <c r="U3597" s="88">
        <v>1</v>
      </c>
      <c r="V3597" s="88"/>
      <c r="W3597" s="88"/>
    </row>
    <row r="3598" spans="2:23" s="0" customFormat="0" ht="15">
      <c r="B3598" s="87" t="s">
        <v>1</v>
      </c>
      <c r="C3598" s="88" t="s">
        <v>5259</v>
      </c>
      <c r="D3598" s="88">
        <v>16974685</v>
      </c>
      <c r="E3598" s="88" t="s">
        <v>61</v>
      </c>
      <c r="F3598" s="88">
        <v>0</v>
      </c>
      <c r="G3598" s="78">
        <f>MAX(H3598,I3598,J3598)</f>
        <v>0</v>
      </c>
      <c r="H3598" s="88"/>
      <c r="I3598" s="88"/>
      <c r="J3598" s="78">
        <f>MAX(K3598:Q3598)</f>
        <v>0</v>
      </c>
      <c r="K3598" s="88"/>
      <c r="L3598" s="88"/>
      <c r="M3598" s="88"/>
      <c r="N3598" s="88"/>
      <c r="O3598" s="88"/>
      <c r="P3598" s="88"/>
      <c r="Q3598" s="88"/>
      <c r="R3598" s="78">
        <f>MAX(S3598:W3598)</f>
        <v>1</v>
      </c>
      <c r="S3598" s="88"/>
      <c r="T3598" s="88"/>
      <c r="U3598" s="88">
        <v>1</v>
      </c>
      <c r="V3598" s="88"/>
      <c r="W3598" s="88"/>
    </row>
    <row r="3599" spans="2:23" s="0" customFormat="0" ht="15">
      <c r="B3599" s="87" t="s">
        <v>1</v>
      </c>
      <c r="C3599" s="88" t="s">
        <v>5259</v>
      </c>
      <c r="D3599" s="88">
        <v>24748733</v>
      </c>
      <c r="E3599" s="88" t="s">
        <v>61</v>
      </c>
      <c r="F3599" s="88">
        <v>0</v>
      </c>
      <c r="G3599" s="78">
        <f>MAX(H3599,I3599,J3599)</f>
        <v>0</v>
      </c>
      <c r="H3599" s="88"/>
      <c r="I3599" s="88"/>
      <c r="J3599" s="78">
        <f>MAX(K3599:Q3599)</f>
        <v>0</v>
      </c>
      <c r="K3599" s="88"/>
      <c r="L3599" s="88"/>
      <c r="M3599" s="88"/>
      <c r="N3599" s="88"/>
      <c r="O3599" s="88"/>
      <c r="P3599" s="88"/>
      <c r="Q3599" s="88"/>
      <c r="R3599" s="78">
        <f>MAX(S3599:W3599)</f>
        <v>1</v>
      </c>
      <c r="S3599" s="88"/>
      <c r="T3599" s="88"/>
      <c r="U3599" s="88">
        <v>1</v>
      </c>
      <c r="V3599" s="88"/>
      <c r="W3599" s="88"/>
    </row>
    <row r="3600" spans="2:23" s="0" customFormat="0" ht="15">
      <c r="B3600" s="87" t="s">
        <v>1</v>
      </c>
      <c r="C3600" s="88" t="s">
        <v>5259</v>
      </c>
      <c r="D3600" s="88" t="s">
        <v>4774</v>
      </c>
      <c r="E3600" s="88" t="s">
        <v>61</v>
      </c>
      <c r="F3600" s="88">
        <v>0</v>
      </c>
      <c r="G3600" s="78">
        <f>MAX(H3600,I3600,J3600)</f>
        <v>0</v>
      </c>
      <c r="H3600" s="88"/>
      <c r="I3600" s="88"/>
      <c r="J3600" s="78">
        <f>MAX(K3600:Q3600)</f>
        <v>0</v>
      </c>
      <c r="K3600" s="88"/>
      <c r="L3600" s="88"/>
      <c r="M3600" s="88"/>
      <c r="N3600" s="88"/>
      <c r="O3600" s="88"/>
      <c r="P3600" s="88"/>
      <c r="Q3600" s="88"/>
      <c r="R3600" s="78">
        <f>MAX(S3600:W3600)</f>
        <v>1</v>
      </c>
      <c r="S3600" s="88"/>
      <c r="T3600" s="88"/>
      <c r="U3600" s="88">
        <v>1</v>
      </c>
      <c r="V3600" s="88"/>
      <c r="W3600" s="88"/>
    </row>
    <row r="3601" spans="2:23" s="0" customFormat="0" ht="15">
      <c r="B3601" s="87" t="s">
        <v>1</v>
      </c>
      <c r="C3601" s="88" t="s">
        <v>5259</v>
      </c>
      <c r="D3601" s="88">
        <v>18126166</v>
      </c>
      <c r="E3601" s="88" t="s">
        <v>61</v>
      </c>
      <c r="F3601" s="88">
        <v>0</v>
      </c>
      <c r="G3601" s="78">
        <f>MAX(H3601,I3601,J3601)</f>
        <v>1</v>
      </c>
      <c r="H3601" s="88"/>
      <c r="I3601" s="88"/>
      <c r="J3601" s="78">
        <f>MAX(K3601:Q3601)</f>
        <v>1</v>
      </c>
      <c r="K3601" s="88">
        <v>1</v>
      </c>
      <c r="L3601" s="88"/>
      <c r="M3601" s="88"/>
      <c r="N3601" s="88"/>
      <c r="O3601" s="88"/>
      <c r="P3601" s="88"/>
      <c r="Q3601" s="88"/>
      <c r="R3601" s="78">
        <f>MAX(S3601:W3601)</f>
        <v>0</v>
      </c>
      <c r="S3601" s="88"/>
      <c r="T3601" s="88"/>
      <c r="U3601" s="88"/>
      <c r="V3601" s="88"/>
      <c r="W3601" s="88"/>
    </row>
    <row r="3602" spans="2:23" s="0" customFormat="0" ht="15">
      <c r="B3602" s="87" t="s">
        <v>1</v>
      </c>
      <c r="C3602" s="88" t="s">
        <v>5259</v>
      </c>
      <c r="D3602" s="88">
        <v>22318845</v>
      </c>
      <c r="E3602" s="88" t="s">
        <v>61</v>
      </c>
      <c r="F3602" s="88">
        <v>0</v>
      </c>
      <c r="G3602" s="78">
        <f>MAX(H3602,I3602,J3602)</f>
        <v>1</v>
      </c>
      <c r="H3602" s="88"/>
      <c r="I3602" s="88"/>
      <c r="J3602" s="78">
        <f>MAX(K3602:Q3602)</f>
        <v>1</v>
      </c>
      <c r="K3602" s="88">
        <v>1</v>
      </c>
      <c r="L3602" s="88"/>
      <c r="M3602" s="88"/>
      <c r="N3602" s="88"/>
      <c r="O3602" s="88"/>
      <c r="P3602" s="88"/>
      <c r="Q3602" s="88"/>
      <c r="R3602" s="78">
        <f>MAX(S3602:W3602)</f>
        <v>0</v>
      </c>
      <c r="S3602" s="88"/>
      <c r="T3602" s="88"/>
      <c r="U3602" s="88"/>
      <c r="V3602" s="88"/>
      <c r="W3602" s="88"/>
    </row>
    <row r="3603" spans="2:23" s="0" customFormat="0" ht="15">
      <c r="B3603" s="87" t="s">
        <v>1</v>
      </c>
      <c r="C3603" s="88" t="s">
        <v>5259</v>
      </c>
      <c r="D3603" s="88" t="s">
        <v>2039</v>
      </c>
      <c r="E3603" s="88" t="s">
        <v>61</v>
      </c>
      <c r="F3603" s="88">
        <v>0</v>
      </c>
      <c r="G3603" s="78">
        <f>MAX(H3603,I3603,J3603)</f>
        <v>1</v>
      </c>
      <c r="H3603" s="88"/>
      <c r="I3603" s="88"/>
      <c r="J3603" s="78">
        <f>MAX(K3603:Q3603)</f>
        <v>1</v>
      </c>
      <c r="K3603" s="88">
        <v>1</v>
      </c>
      <c r="L3603" s="88"/>
      <c r="M3603" s="88"/>
      <c r="N3603" s="88"/>
      <c r="O3603" s="88"/>
      <c r="P3603" s="88"/>
      <c r="Q3603" s="88"/>
      <c r="R3603" s="78">
        <f>MAX(S3603:W3603)</f>
        <v>0</v>
      </c>
      <c r="S3603" s="88"/>
      <c r="T3603" s="88"/>
      <c r="U3603" s="88"/>
      <c r="V3603" s="88"/>
      <c r="W3603" s="88"/>
    </row>
    <row r="3604" spans="2:23" s="0" customFormat="0" ht="15">
      <c r="B3604" s="87" t="s">
        <v>1</v>
      </c>
      <c r="C3604" s="88" t="s">
        <v>5259</v>
      </c>
      <c r="D3604" s="88">
        <v>22896296</v>
      </c>
      <c r="E3604" s="88" t="s">
        <v>61</v>
      </c>
      <c r="F3604" s="88">
        <v>0</v>
      </c>
      <c r="G3604" s="78">
        <f>MAX(H3604,I3604,J3604)</f>
        <v>1</v>
      </c>
      <c r="H3604" s="88"/>
      <c r="I3604" s="88"/>
      <c r="J3604" s="78">
        <f>MAX(K3604:Q3604)</f>
        <v>1</v>
      </c>
      <c r="K3604" s="88">
        <v>1</v>
      </c>
      <c r="L3604" s="88"/>
      <c r="M3604" s="88"/>
      <c r="N3604" s="88"/>
      <c r="O3604" s="88"/>
      <c r="P3604" s="88"/>
      <c r="Q3604" s="88"/>
      <c r="R3604" s="78">
        <f>MAX(S3604:W3604)</f>
        <v>0</v>
      </c>
      <c r="S3604" s="88"/>
      <c r="T3604" s="88"/>
      <c r="U3604" s="88"/>
      <c r="V3604" s="88"/>
      <c r="W3604" s="88"/>
    </row>
    <row r="3605" spans="2:23" s="0" customFormat="0" ht="15">
      <c r="B3605" s="87" t="s">
        <v>1</v>
      </c>
      <c r="C3605" s="88" t="s">
        <v>5259</v>
      </c>
      <c r="D3605" s="88">
        <v>23134853</v>
      </c>
      <c r="E3605" s="88" t="s">
        <v>61</v>
      </c>
      <c r="F3605" s="88">
        <v>0</v>
      </c>
      <c r="G3605" s="78">
        <f>MAX(H3605,I3605,J3605)</f>
        <v>1</v>
      </c>
      <c r="H3605" s="88"/>
      <c r="I3605" s="88"/>
      <c r="J3605" s="78">
        <f>MAX(K3605:Q3605)</f>
        <v>1</v>
      </c>
      <c r="K3605" s="88"/>
      <c r="L3605" s="88"/>
      <c r="M3605" s="88">
        <v>1</v>
      </c>
      <c r="N3605" s="88"/>
      <c r="O3605" s="88"/>
      <c r="P3605" s="88"/>
      <c r="Q3605" s="88"/>
      <c r="R3605" s="78">
        <f>MAX(S3605:W3605)</f>
        <v>0</v>
      </c>
      <c r="S3605" s="88"/>
      <c r="T3605" s="88"/>
      <c r="U3605" s="88"/>
      <c r="V3605" s="88"/>
      <c r="W3605" s="88"/>
    </row>
    <row r="3606" spans="2:23" s="0" customFormat="0" ht="15">
      <c r="B3606" s="87" t="s">
        <v>1</v>
      </c>
      <c r="C3606" s="88" t="s">
        <v>5259</v>
      </c>
      <c r="D3606" s="88" t="s">
        <v>4357</v>
      </c>
      <c r="E3606" s="88" t="s">
        <v>61</v>
      </c>
      <c r="F3606" s="88">
        <v>0</v>
      </c>
      <c r="G3606" s="78">
        <f>MAX(H3606,I3606,J3606)</f>
        <v>0</v>
      </c>
      <c r="H3606" s="88"/>
      <c r="I3606" s="88"/>
      <c r="J3606" s="78">
        <f>MAX(K3606:Q3606)</f>
        <v>0</v>
      </c>
      <c r="K3606" s="88"/>
      <c r="L3606" s="88"/>
      <c r="M3606" s="88"/>
      <c r="N3606" s="88"/>
      <c r="O3606" s="88"/>
      <c r="P3606" s="88"/>
      <c r="Q3606" s="88"/>
      <c r="R3606" s="78">
        <f>MAX(S3606:W3606)</f>
        <v>1</v>
      </c>
      <c r="S3606" s="88"/>
      <c r="T3606" s="88"/>
      <c r="U3606" s="88">
        <v>1</v>
      </c>
      <c r="V3606" s="88"/>
      <c r="W3606" s="88"/>
    </row>
    <row r="3607" spans="2:23" s="0" customFormat="0" ht="15">
      <c r="B3607" s="87" t="s">
        <v>1</v>
      </c>
      <c r="C3607" s="88" t="s">
        <v>5259</v>
      </c>
      <c r="D3607" s="88">
        <v>21617036</v>
      </c>
      <c r="E3607" s="88" t="s">
        <v>61</v>
      </c>
      <c r="F3607" s="88">
        <v>0</v>
      </c>
      <c r="G3607" s="78">
        <f>MAX(H3607,I3607,J3607)</f>
        <v>1</v>
      </c>
      <c r="H3607" s="88"/>
      <c r="I3607" s="88"/>
      <c r="J3607" s="78">
        <f>MAX(K3607:Q3607)</f>
        <v>1</v>
      </c>
      <c r="K3607" s="88">
        <v>1</v>
      </c>
      <c r="L3607" s="88"/>
      <c r="M3607" s="88"/>
      <c r="N3607" s="88"/>
      <c r="O3607" s="88"/>
      <c r="P3607" s="88"/>
      <c r="Q3607" s="88"/>
      <c r="R3607" s="78">
        <f>MAX(S3607:W3607)</f>
        <v>0</v>
      </c>
      <c r="S3607" s="88"/>
      <c r="T3607" s="88"/>
      <c r="U3607" s="88"/>
      <c r="V3607" s="88"/>
      <c r="W3607" s="88"/>
    </row>
    <row r="3608" spans="2:23" s="0" customFormat="0" ht="15">
      <c r="B3608" s="87" t="s">
        <v>1</v>
      </c>
      <c r="C3608" s="88" t="s">
        <v>5259</v>
      </c>
      <c r="D3608" s="88">
        <v>21085220</v>
      </c>
      <c r="E3608" s="88" t="s">
        <v>61</v>
      </c>
      <c r="F3608" s="88">
        <v>0</v>
      </c>
      <c r="G3608" s="78">
        <f>MAX(H3608,I3608,J3608)</f>
        <v>1</v>
      </c>
      <c r="H3608" s="88"/>
      <c r="I3608" s="88"/>
      <c r="J3608" s="78">
        <f>MAX(K3608:Q3608)</f>
        <v>1</v>
      </c>
      <c r="K3608" s="88">
        <v>1</v>
      </c>
      <c r="L3608" s="88"/>
      <c r="M3608" s="88"/>
      <c r="N3608" s="88"/>
      <c r="O3608" s="88"/>
      <c r="P3608" s="88"/>
      <c r="Q3608" s="88"/>
      <c r="R3608" s="78">
        <f>MAX(S3608:W3608)</f>
        <v>0</v>
      </c>
      <c r="S3608" s="88"/>
      <c r="T3608" s="88"/>
      <c r="U3608" s="88"/>
      <c r="V3608" s="88"/>
      <c r="W3608" s="88"/>
    </row>
    <row r="3609" spans="2:23" s="0" customFormat="0" ht="15">
      <c r="B3609" s="87" t="s">
        <v>1</v>
      </c>
      <c r="C3609" s="88" t="s">
        <v>5259</v>
      </c>
      <c r="D3609" s="88" t="s">
        <v>2294</v>
      </c>
      <c r="E3609" s="88" t="s">
        <v>61</v>
      </c>
      <c r="F3609" s="88">
        <v>0</v>
      </c>
      <c r="G3609" s="78">
        <f>MAX(H3609,I3609,J3609)</f>
        <v>1</v>
      </c>
      <c r="H3609" s="88"/>
      <c r="I3609" s="88"/>
      <c r="J3609" s="78">
        <f>MAX(K3609:Q3609)</f>
        <v>1</v>
      </c>
      <c r="K3609" s="88">
        <v>1</v>
      </c>
      <c r="L3609" s="88"/>
      <c r="M3609" s="88"/>
      <c r="N3609" s="88"/>
      <c r="O3609" s="88"/>
      <c r="P3609" s="88"/>
      <c r="Q3609" s="88"/>
      <c r="R3609" s="78">
        <f>MAX(S3609:W3609)</f>
        <v>0</v>
      </c>
      <c r="S3609" s="88"/>
      <c r="T3609" s="88"/>
      <c r="U3609" s="88"/>
      <c r="V3609" s="88"/>
      <c r="W3609" s="88"/>
    </row>
    <row r="3610" spans="2:23" s="0" customFormat="0" ht="15">
      <c r="B3610" s="87" t="s">
        <v>1</v>
      </c>
      <c r="C3610" s="88" t="s">
        <v>5259</v>
      </c>
      <c r="D3610" s="88" t="s">
        <v>2105</v>
      </c>
      <c r="E3610" s="88" t="s">
        <v>61</v>
      </c>
      <c r="F3610" s="88">
        <v>0</v>
      </c>
      <c r="G3610" s="78">
        <f>MAX(H3610,I3610,J3610)</f>
        <v>1</v>
      </c>
      <c r="H3610" s="88"/>
      <c r="I3610" s="88"/>
      <c r="J3610" s="78">
        <f>MAX(K3610:Q3610)</f>
        <v>1</v>
      </c>
      <c r="K3610" s="88">
        <v>1</v>
      </c>
      <c r="L3610" s="88"/>
      <c r="M3610" s="88"/>
      <c r="N3610" s="88"/>
      <c r="O3610" s="88"/>
      <c r="P3610" s="88"/>
      <c r="Q3610" s="88"/>
      <c r="R3610" s="78">
        <f>MAX(S3610:W3610)</f>
        <v>0</v>
      </c>
      <c r="S3610" s="88"/>
      <c r="T3610" s="88"/>
      <c r="U3610" s="88"/>
      <c r="V3610" s="88"/>
      <c r="W3610" s="88"/>
    </row>
    <row r="3611" spans="2:23" s="0" customFormat="0" ht="15">
      <c r="B3611" s="87" t="s">
        <v>1</v>
      </c>
      <c r="C3611" s="88" t="s">
        <v>5259</v>
      </c>
      <c r="D3611" s="88" t="s">
        <v>2296</v>
      </c>
      <c r="E3611" s="88" t="s">
        <v>61</v>
      </c>
      <c r="F3611" s="88">
        <v>0</v>
      </c>
      <c r="G3611" s="78">
        <f>MAX(H3611,I3611,J3611)</f>
        <v>1</v>
      </c>
      <c r="H3611" s="88"/>
      <c r="I3611" s="88"/>
      <c r="J3611" s="78">
        <f>MAX(K3611:Q3611)</f>
        <v>1</v>
      </c>
      <c r="K3611" s="88">
        <v>1</v>
      </c>
      <c r="L3611" s="88"/>
      <c r="M3611" s="88"/>
      <c r="N3611" s="88"/>
      <c r="O3611" s="88"/>
      <c r="P3611" s="88"/>
      <c r="Q3611" s="88"/>
      <c r="R3611" s="78">
        <f>MAX(S3611:W3611)</f>
        <v>0</v>
      </c>
      <c r="S3611" s="88"/>
      <c r="T3611" s="88"/>
      <c r="U3611" s="88"/>
      <c r="V3611" s="88"/>
      <c r="W3611" s="88"/>
    </row>
    <row r="3612" spans="2:23" s="0" customFormat="0" ht="15">
      <c r="B3612" s="87" t="s">
        <v>1</v>
      </c>
      <c r="C3612" s="88" t="s">
        <v>5259</v>
      </c>
      <c r="D3612" s="88">
        <v>19762437</v>
      </c>
      <c r="E3612" s="88" t="s">
        <v>61</v>
      </c>
      <c r="F3612" s="88">
        <v>0</v>
      </c>
      <c r="G3612" s="78">
        <f>MAX(H3612,I3612,J3612)</f>
        <v>0</v>
      </c>
      <c r="H3612" s="88"/>
      <c r="I3612" s="88"/>
      <c r="J3612" s="78">
        <f>MAX(K3612:Q3612)</f>
        <v>0</v>
      </c>
      <c r="K3612" s="88"/>
      <c r="L3612" s="88"/>
      <c r="M3612" s="88"/>
      <c r="N3612" s="88"/>
      <c r="O3612" s="88"/>
      <c r="P3612" s="88"/>
      <c r="Q3612" s="88"/>
      <c r="R3612" s="78">
        <f>MAX(S3612:W3612)</f>
        <v>1</v>
      </c>
      <c r="S3612" s="88"/>
      <c r="T3612" s="88"/>
      <c r="U3612" s="88">
        <v>1</v>
      </c>
      <c r="V3612" s="88"/>
      <c r="W3612" s="88"/>
    </row>
    <row r="3613" spans="2:23" s="0" customFormat="0" ht="15">
      <c r="B3613" s="87" t="s">
        <v>1</v>
      </c>
      <c r="C3613" s="88" t="s">
        <v>5259</v>
      </c>
      <c r="D3613" s="88" t="s">
        <v>2298</v>
      </c>
      <c r="E3613" s="88" t="s">
        <v>61</v>
      </c>
      <c r="F3613" s="88">
        <v>0</v>
      </c>
      <c r="G3613" s="78">
        <f>MAX(H3613,I3613,J3613)</f>
        <v>1</v>
      </c>
      <c r="H3613" s="88"/>
      <c r="I3613" s="88"/>
      <c r="J3613" s="78">
        <f>MAX(K3613:Q3613)</f>
        <v>1</v>
      </c>
      <c r="K3613" s="88">
        <v>1</v>
      </c>
      <c r="L3613" s="88"/>
      <c r="M3613" s="88"/>
      <c r="N3613" s="88"/>
      <c r="O3613" s="88"/>
      <c r="P3613" s="88"/>
      <c r="Q3613" s="88"/>
      <c r="R3613" s="78">
        <f>MAX(S3613:W3613)</f>
        <v>0</v>
      </c>
      <c r="S3613" s="88"/>
      <c r="T3613" s="88"/>
      <c r="U3613" s="88"/>
      <c r="V3613" s="88"/>
      <c r="W3613" s="88"/>
    </row>
    <row r="3614" spans="2:23" s="0" customFormat="0" ht="15">
      <c r="B3614" s="87" t="s">
        <v>1</v>
      </c>
      <c r="C3614" s="88" t="s">
        <v>5259</v>
      </c>
      <c r="D3614" s="88" t="s">
        <v>2300</v>
      </c>
      <c r="E3614" s="88" t="s">
        <v>61</v>
      </c>
      <c r="F3614" s="88">
        <v>0</v>
      </c>
      <c r="G3614" s="78">
        <f>MAX(H3614,I3614,J3614)</f>
        <v>1</v>
      </c>
      <c r="H3614" s="88"/>
      <c r="I3614" s="88"/>
      <c r="J3614" s="78">
        <f>MAX(K3614:Q3614)</f>
        <v>1</v>
      </c>
      <c r="K3614" s="88">
        <v>1</v>
      </c>
      <c r="L3614" s="88"/>
      <c r="M3614" s="88"/>
      <c r="N3614" s="88"/>
      <c r="O3614" s="88"/>
      <c r="P3614" s="88"/>
      <c r="Q3614" s="88"/>
      <c r="R3614" s="78">
        <f>MAX(S3614:W3614)</f>
        <v>0</v>
      </c>
      <c r="S3614" s="88"/>
      <c r="T3614" s="88"/>
      <c r="U3614" s="88"/>
      <c r="V3614" s="88"/>
      <c r="W3614" s="88"/>
    </row>
    <row r="3615" spans="2:23" s="0" customFormat="0" ht="15">
      <c r="B3615" s="87" t="s">
        <v>1</v>
      </c>
      <c r="C3615" s="88" t="s">
        <v>5259</v>
      </c>
      <c r="D3615" s="88">
        <v>16965277</v>
      </c>
      <c r="E3615" s="88" t="s">
        <v>61</v>
      </c>
      <c r="F3615" s="88">
        <v>0</v>
      </c>
      <c r="G3615" s="78">
        <f>MAX(H3615,I3615,J3615)</f>
        <v>1</v>
      </c>
      <c r="H3615" s="88"/>
      <c r="I3615" s="88"/>
      <c r="J3615" s="78">
        <f>MAX(K3615:Q3615)</f>
        <v>1</v>
      </c>
      <c r="K3615" s="88">
        <v>1</v>
      </c>
      <c r="L3615" s="88"/>
      <c r="M3615" s="88"/>
      <c r="N3615" s="88"/>
      <c r="O3615" s="88"/>
      <c r="P3615" s="88"/>
      <c r="Q3615" s="88"/>
      <c r="R3615" s="78">
        <f>MAX(S3615:W3615)</f>
        <v>0</v>
      </c>
      <c r="S3615" s="88"/>
      <c r="T3615" s="88"/>
      <c r="U3615" s="88"/>
      <c r="V3615" s="88"/>
      <c r="W3615" s="88"/>
    </row>
    <row r="3616" spans="2:23" s="0" customFormat="0" ht="15">
      <c r="B3616" s="87" t="s">
        <v>1</v>
      </c>
      <c r="C3616" s="88" t="s">
        <v>5259</v>
      </c>
      <c r="D3616" s="88">
        <v>21238745</v>
      </c>
      <c r="E3616" s="88" t="s">
        <v>61</v>
      </c>
      <c r="F3616" s="88">
        <v>0</v>
      </c>
      <c r="G3616" s="78">
        <f>MAX(H3616,I3616,J3616)</f>
        <v>1</v>
      </c>
      <c r="H3616" s="88"/>
      <c r="I3616" s="88"/>
      <c r="J3616" s="78">
        <f>MAX(K3616:Q3616)</f>
        <v>1</v>
      </c>
      <c r="K3616" s="88">
        <v>1</v>
      </c>
      <c r="L3616" s="88"/>
      <c r="M3616" s="88"/>
      <c r="N3616" s="88"/>
      <c r="O3616" s="88"/>
      <c r="P3616" s="88"/>
      <c r="Q3616" s="88"/>
      <c r="R3616" s="78">
        <f>MAX(S3616:W3616)</f>
        <v>0</v>
      </c>
      <c r="S3616" s="88"/>
      <c r="T3616" s="88"/>
      <c r="U3616" s="88"/>
      <c r="V3616" s="88"/>
      <c r="W3616" s="88"/>
    </row>
    <row r="3617" spans="2:23" s="0" customFormat="0" ht="15">
      <c r="B3617" s="87" t="s">
        <v>1</v>
      </c>
      <c r="C3617" s="88" t="s">
        <v>5259</v>
      </c>
      <c r="D3617" s="88" t="s">
        <v>1437</v>
      </c>
      <c r="E3617" s="88" t="s">
        <v>61</v>
      </c>
      <c r="F3617" s="88">
        <v>0</v>
      </c>
      <c r="G3617" s="78">
        <f>MAX(H3617,I3617,J3617)</f>
        <v>1</v>
      </c>
      <c r="H3617" s="88"/>
      <c r="I3617" s="88"/>
      <c r="J3617" s="78">
        <f>MAX(K3617:Q3617)</f>
        <v>1</v>
      </c>
      <c r="K3617" s="88">
        <v>1</v>
      </c>
      <c r="L3617" s="88"/>
      <c r="M3617" s="88"/>
      <c r="N3617" s="88"/>
      <c r="O3617" s="88"/>
      <c r="P3617" s="88"/>
      <c r="Q3617" s="88"/>
      <c r="R3617" s="78">
        <f>MAX(S3617:W3617)</f>
        <v>0</v>
      </c>
      <c r="S3617" s="88"/>
      <c r="T3617" s="88"/>
      <c r="U3617" s="88"/>
      <c r="V3617" s="88"/>
      <c r="W3617" s="88"/>
    </row>
    <row r="3618" spans="2:23" s="0" customFormat="0" ht="15">
      <c r="B3618" s="87" t="s">
        <v>1</v>
      </c>
      <c r="C3618" s="88" t="s">
        <v>5259</v>
      </c>
      <c r="D3618" s="88">
        <v>24432958</v>
      </c>
      <c r="E3618" s="88" t="s">
        <v>61</v>
      </c>
      <c r="F3618" s="88">
        <v>0</v>
      </c>
      <c r="G3618" s="78">
        <f>MAX(H3618,I3618,J3618)</f>
        <v>1</v>
      </c>
      <c r="H3618" s="88"/>
      <c r="I3618" s="88"/>
      <c r="J3618" s="78">
        <f>MAX(K3618:Q3618)</f>
        <v>1</v>
      </c>
      <c r="K3618" s="88">
        <v>1</v>
      </c>
      <c r="L3618" s="88"/>
      <c r="M3618" s="88"/>
      <c r="N3618" s="88"/>
      <c r="O3618" s="88"/>
      <c r="P3618" s="88"/>
      <c r="Q3618" s="88"/>
      <c r="R3618" s="78">
        <f>MAX(S3618:W3618)</f>
        <v>0</v>
      </c>
      <c r="S3618" s="88"/>
      <c r="T3618" s="88"/>
      <c r="U3618" s="88"/>
      <c r="V3618" s="88"/>
      <c r="W3618" s="88"/>
    </row>
    <row r="3619" spans="2:23" s="0" customFormat="0" ht="15">
      <c r="B3619" s="87" t="s">
        <v>1</v>
      </c>
      <c r="C3619" s="88" t="s">
        <v>5259</v>
      </c>
      <c r="D3619" s="88" t="s">
        <v>4275</v>
      </c>
      <c r="E3619" s="88" t="s">
        <v>61</v>
      </c>
      <c r="F3619" s="88">
        <v>0</v>
      </c>
      <c r="G3619" s="78">
        <f>MAX(H3619,I3619,J3619)</f>
        <v>0</v>
      </c>
      <c r="H3619" s="88"/>
      <c r="I3619" s="88"/>
      <c r="J3619" s="78">
        <f>MAX(K3619:Q3619)</f>
        <v>0</v>
      </c>
      <c r="K3619" s="88"/>
      <c r="L3619" s="88"/>
      <c r="M3619" s="88"/>
      <c r="N3619" s="88"/>
      <c r="O3619" s="88"/>
      <c r="P3619" s="88"/>
      <c r="Q3619" s="88"/>
      <c r="R3619" s="78">
        <f>MAX(S3619:W3619)</f>
        <v>1</v>
      </c>
      <c r="S3619" s="88"/>
      <c r="T3619" s="88"/>
      <c r="U3619" s="88">
        <v>1</v>
      </c>
      <c r="V3619" s="88"/>
      <c r="W3619" s="88"/>
    </row>
    <row r="3620" spans="2:23" s="0" customFormat="0" ht="15">
      <c r="B3620" s="87" t="s">
        <v>1</v>
      </c>
      <c r="C3620" s="88" t="s">
        <v>5259</v>
      </c>
      <c r="D3620" s="88">
        <v>17858542</v>
      </c>
      <c r="E3620" s="88" t="s">
        <v>61</v>
      </c>
      <c r="F3620" s="88">
        <v>0</v>
      </c>
      <c r="G3620" s="78">
        <f>MAX(H3620,I3620,J3620)</f>
        <v>1</v>
      </c>
      <c r="H3620" s="88"/>
      <c r="I3620" s="88"/>
      <c r="J3620" s="78">
        <f>MAX(K3620:Q3620)</f>
        <v>1</v>
      </c>
      <c r="K3620" s="88">
        <v>1</v>
      </c>
      <c r="L3620" s="88"/>
      <c r="M3620" s="88"/>
      <c r="N3620" s="88"/>
      <c r="O3620" s="88"/>
      <c r="P3620" s="88"/>
      <c r="Q3620" s="88"/>
      <c r="R3620" s="78">
        <f>MAX(S3620:W3620)</f>
        <v>0</v>
      </c>
      <c r="S3620" s="88"/>
      <c r="T3620" s="88"/>
      <c r="U3620" s="88"/>
      <c r="V3620" s="88"/>
      <c r="W3620" s="88"/>
    </row>
    <row r="3621" spans="2:23" s="0" customFormat="0" ht="15">
      <c r="B3621" s="87" t="s">
        <v>1</v>
      </c>
      <c r="C3621" s="88" t="s">
        <v>5259</v>
      </c>
      <c r="D3621" s="88">
        <v>14455836</v>
      </c>
      <c r="E3621" s="88" t="s">
        <v>61</v>
      </c>
      <c r="F3621" s="88">
        <v>0</v>
      </c>
      <c r="G3621" s="78">
        <f>MAX(H3621,I3621,J3621)</f>
        <v>1</v>
      </c>
      <c r="H3621" s="88"/>
      <c r="I3621" s="88"/>
      <c r="J3621" s="78">
        <f>MAX(K3621:Q3621)</f>
        <v>1</v>
      </c>
      <c r="K3621" s="88">
        <v>1</v>
      </c>
      <c r="L3621" s="88"/>
      <c r="M3621" s="88"/>
      <c r="N3621" s="88"/>
      <c r="O3621" s="88"/>
      <c r="P3621" s="88"/>
      <c r="Q3621" s="88"/>
      <c r="R3621" s="78">
        <f>MAX(S3621:W3621)</f>
        <v>0</v>
      </c>
      <c r="S3621" s="88"/>
      <c r="T3621" s="88"/>
      <c r="U3621" s="88"/>
      <c r="V3621" s="88"/>
      <c r="W3621" s="88"/>
    </row>
    <row r="3622" spans="2:23" s="0" customFormat="0" ht="15">
      <c r="B3622" s="87" t="s">
        <v>1</v>
      </c>
      <c r="C3622" s="88" t="s">
        <v>5259</v>
      </c>
      <c r="D3622" s="88">
        <v>16974603</v>
      </c>
      <c r="E3622" s="88" t="s">
        <v>61</v>
      </c>
      <c r="F3622" s="88">
        <v>0</v>
      </c>
      <c r="G3622" s="78">
        <f>MAX(H3622,I3622,J3622)</f>
        <v>0</v>
      </c>
      <c r="H3622" s="88"/>
      <c r="I3622" s="88"/>
      <c r="J3622" s="78">
        <f>MAX(K3622:Q3622)</f>
        <v>0</v>
      </c>
      <c r="K3622" s="88"/>
      <c r="L3622" s="88"/>
      <c r="M3622" s="88"/>
      <c r="N3622" s="88"/>
      <c r="O3622" s="88"/>
      <c r="P3622" s="88"/>
      <c r="Q3622" s="88"/>
      <c r="R3622" s="78">
        <f>MAX(S3622:W3622)</f>
        <v>1</v>
      </c>
      <c r="S3622" s="88"/>
      <c r="T3622" s="88"/>
      <c r="U3622" s="88">
        <v>1</v>
      </c>
      <c r="V3622" s="88"/>
      <c r="W3622" s="88"/>
    </row>
    <row r="3623" spans="2:23" s="0" customFormat="0" ht="15">
      <c r="B3623" s="87" t="s">
        <v>1</v>
      </c>
      <c r="C3623" s="88" t="s">
        <v>5259</v>
      </c>
      <c r="D3623" s="88">
        <v>14723458</v>
      </c>
      <c r="E3623" s="88" t="s">
        <v>61</v>
      </c>
      <c r="F3623" s="88">
        <v>0</v>
      </c>
      <c r="G3623" s="78">
        <f>MAX(H3623,I3623,J3623)</f>
        <v>1</v>
      </c>
      <c r="H3623" s="88"/>
      <c r="I3623" s="88"/>
      <c r="J3623" s="78">
        <f>MAX(K3623:Q3623)</f>
        <v>1</v>
      </c>
      <c r="K3623" s="88">
        <v>1</v>
      </c>
      <c r="L3623" s="88"/>
      <c r="M3623" s="88"/>
      <c r="N3623" s="88"/>
      <c r="O3623" s="88"/>
      <c r="P3623" s="88"/>
      <c r="Q3623" s="88"/>
      <c r="R3623" s="78">
        <f>MAX(S3623:W3623)</f>
        <v>0</v>
      </c>
      <c r="S3623" s="88"/>
      <c r="T3623" s="88"/>
      <c r="U3623" s="88"/>
      <c r="V3623" s="88"/>
      <c r="W3623" s="88"/>
    </row>
    <row r="3624" spans="2:23" s="0" customFormat="0" ht="15">
      <c r="B3624" s="87" t="s">
        <v>1</v>
      </c>
      <c r="C3624" s="88" t="s">
        <v>5259</v>
      </c>
      <c r="D3624" s="88" t="s">
        <v>4171</v>
      </c>
      <c r="E3624" s="88" t="s">
        <v>61</v>
      </c>
      <c r="F3624" s="88">
        <v>0</v>
      </c>
      <c r="G3624" s="78">
        <f>MAX(H3624,I3624,J3624)</f>
        <v>0</v>
      </c>
      <c r="H3624" s="88"/>
      <c r="I3624" s="88"/>
      <c r="J3624" s="78">
        <f>MAX(K3624:Q3624)</f>
        <v>0</v>
      </c>
      <c r="K3624" s="88"/>
      <c r="L3624" s="88"/>
      <c r="M3624" s="88"/>
      <c r="N3624" s="88"/>
      <c r="O3624" s="88"/>
      <c r="P3624" s="88"/>
      <c r="Q3624" s="88"/>
      <c r="R3624" s="78">
        <f>MAX(S3624:W3624)</f>
        <v>1</v>
      </c>
      <c r="S3624" s="88"/>
      <c r="T3624" s="88"/>
      <c r="U3624" s="88">
        <v>1</v>
      </c>
      <c r="V3624" s="88"/>
      <c r="W3624" s="88"/>
    </row>
    <row r="3625" spans="2:23" s="0" customFormat="0" ht="15">
      <c r="B3625" s="87" t="s">
        <v>1</v>
      </c>
      <c r="C3625" s="88" t="s">
        <v>5259</v>
      </c>
      <c r="D3625" s="88" t="s">
        <v>4777</v>
      </c>
      <c r="E3625" s="88" t="s">
        <v>61</v>
      </c>
      <c r="F3625" s="88">
        <v>0</v>
      </c>
      <c r="G3625" s="78">
        <f>MAX(H3625,I3625,J3625)</f>
        <v>0</v>
      </c>
      <c r="H3625" s="88"/>
      <c r="I3625" s="88"/>
      <c r="J3625" s="78">
        <f>MAX(K3625:Q3625)</f>
        <v>0</v>
      </c>
      <c r="K3625" s="88"/>
      <c r="L3625" s="88"/>
      <c r="M3625" s="88"/>
      <c r="N3625" s="88"/>
      <c r="O3625" s="88"/>
      <c r="P3625" s="88"/>
      <c r="Q3625" s="88"/>
      <c r="R3625" s="78">
        <f>MAX(S3625:W3625)</f>
        <v>1</v>
      </c>
      <c r="S3625" s="88"/>
      <c r="T3625" s="88"/>
      <c r="U3625" s="88">
        <v>1</v>
      </c>
      <c r="V3625" s="88"/>
      <c r="W3625" s="88"/>
    </row>
    <row r="3626" spans="2:23" s="0" customFormat="0" ht="15">
      <c r="B3626" s="87" t="s">
        <v>1</v>
      </c>
      <c r="C3626" s="88" t="s">
        <v>5259</v>
      </c>
      <c r="D3626" s="88">
        <v>19612059</v>
      </c>
      <c r="E3626" s="88" t="s">
        <v>61</v>
      </c>
      <c r="F3626" s="88">
        <v>0</v>
      </c>
      <c r="G3626" s="78">
        <f>MAX(H3626,I3626,J3626)</f>
        <v>1</v>
      </c>
      <c r="H3626" s="88"/>
      <c r="I3626" s="88"/>
      <c r="J3626" s="78">
        <f>MAX(K3626:Q3626)</f>
        <v>1</v>
      </c>
      <c r="K3626" s="88">
        <v>1</v>
      </c>
      <c r="L3626" s="88"/>
      <c r="M3626" s="88"/>
      <c r="N3626" s="88"/>
      <c r="O3626" s="88"/>
      <c r="P3626" s="88"/>
      <c r="Q3626" s="88"/>
      <c r="R3626" s="78">
        <f>MAX(S3626:W3626)</f>
        <v>0</v>
      </c>
      <c r="S3626" s="88"/>
      <c r="T3626" s="88"/>
      <c r="U3626" s="88"/>
      <c r="V3626" s="88"/>
      <c r="W3626" s="88"/>
    </row>
    <row r="3627" spans="2:23" s="0" customFormat="0" ht="15">
      <c r="B3627" s="87" t="s">
        <v>1</v>
      </c>
      <c r="C3627" s="88" t="s">
        <v>5259</v>
      </c>
      <c r="D3627" s="88">
        <v>18912862</v>
      </c>
      <c r="E3627" s="88" t="s">
        <v>61</v>
      </c>
      <c r="F3627" s="88">
        <v>0</v>
      </c>
      <c r="G3627" s="78">
        <f>MAX(H3627,I3627,J3627)</f>
        <v>1</v>
      </c>
      <c r="H3627" s="88"/>
      <c r="I3627" s="88"/>
      <c r="J3627" s="78">
        <f>MAX(K3627:Q3627)</f>
        <v>1</v>
      </c>
      <c r="K3627" s="88">
        <v>1</v>
      </c>
      <c r="L3627" s="88"/>
      <c r="M3627" s="88"/>
      <c r="N3627" s="88"/>
      <c r="O3627" s="88"/>
      <c r="P3627" s="88"/>
      <c r="Q3627" s="88"/>
      <c r="R3627" s="78">
        <f>MAX(S3627:W3627)</f>
        <v>0</v>
      </c>
      <c r="S3627" s="88"/>
      <c r="T3627" s="88"/>
      <c r="U3627" s="88"/>
      <c r="V3627" s="88"/>
      <c r="W3627" s="88"/>
    </row>
    <row r="3628" spans="2:23" s="0" customFormat="0" ht="15">
      <c r="B3628" s="87" t="s">
        <v>1</v>
      </c>
      <c r="C3628" s="88" t="s">
        <v>5259</v>
      </c>
      <c r="D3628" s="88">
        <v>18676472</v>
      </c>
      <c r="E3628" s="88" t="s">
        <v>61</v>
      </c>
      <c r="F3628" s="88">
        <v>0</v>
      </c>
      <c r="G3628" s="78">
        <f>MAX(H3628,I3628,J3628)</f>
        <v>1</v>
      </c>
      <c r="H3628" s="88"/>
      <c r="I3628" s="88"/>
      <c r="J3628" s="78">
        <f>MAX(K3628:Q3628)</f>
        <v>1</v>
      </c>
      <c r="K3628" s="88">
        <v>1</v>
      </c>
      <c r="L3628" s="88"/>
      <c r="M3628" s="88"/>
      <c r="N3628" s="88"/>
      <c r="O3628" s="88"/>
      <c r="P3628" s="88"/>
      <c r="Q3628" s="88"/>
      <c r="R3628" s="78">
        <f>MAX(S3628:W3628)</f>
        <v>0</v>
      </c>
      <c r="S3628" s="88"/>
      <c r="T3628" s="88"/>
      <c r="U3628" s="88"/>
      <c r="V3628" s="88"/>
      <c r="W3628" s="88"/>
    </row>
    <row r="3629" spans="2:23" s="0" customFormat="0" ht="15">
      <c r="B3629" s="87" t="s">
        <v>1</v>
      </c>
      <c r="C3629" s="88" t="s">
        <v>5259</v>
      </c>
      <c r="D3629" s="88" t="s">
        <v>3248</v>
      </c>
      <c r="E3629" s="88" t="s">
        <v>61</v>
      </c>
      <c r="F3629" s="88">
        <v>0</v>
      </c>
      <c r="G3629" s="78">
        <f>MAX(H3629,I3629,J3629)</f>
        <v>0</v>
      </c>
      <c r="H3629" s="88"/>
      <c r="I3629" s="88"/>
      <c r="J3629" s="78">
        <f>MAX(K3629:Q3629)</f>
        <v>0</v>
      </c>
      <c r="K3629" s="88"/>
      <c r="L3629" s="88"/>
      <c r="M3629" s="88"/>
      <c r="N3629" s="88"/>
      <c r="O3629" s="88"/>
      <c r="P3629" s="88"/>
      <c r="Q3629" s="88"/>
      <c r="R3629" s="78">
        <f>MAX(S3629:W3629)</f>
        <v>1</v>
      </c>
      <c r="S3629" s="88"/>
      <c r="T3629" s="88"/>
      <c r="U3629" s="88"/>
      <c r="V3629" s="88">
        <v>1</v>
      </c>
      <c r="W3629" s="88"/>
    </row>
    <row r="3630" spans="2:23" s="0" customFormat="0" ht="15">
      <c r="B3630" s="87" t="s">
        <v>1</v>
      </c>
      <c r="C3630" s="88" t="s">
        <v>5259</v>
      </c>
      <c r="D3630" s="88">
        <v>5348488</v>
      </c>
      <c r="E3630" s="88" t="s">
        <v>61</v>
      </c>
      <c r="F3630" s="88">
        <v>0</v>
      </c>
      <c r="G3630" s="78">
        <f>MAX(H3630,I3630,J3630)</f>
        <v>1</v>
      </c>
      <c r="H3630" s="88"/>
      <c r="I3630" s="88"/>
      <c r="J3630" s="78">
        <f>MAX(K3630:Q3630)</f>
        <v>1</v>
      </c>
      <c r="K3630" s="88">
        <v>1</v>
      </c>
      <c r="L3630" s="88"/>
      <c r="M3630" s="88"/>
      <c r="N3630" s="88"/>
      <c r="O3630" s="88"/>
      <c r="P3630" s="88"/>
      <c r="Q3630" s="88"/>
      <c r="R3630" s="78">
        <f>MAX(S3630:W3630)</f>
        <v>0</v>
      </c>
      <c r="S3630" s="88"/>
      <c r="T3630" s="88"/>
      <c r="U3630" s="88"/>
      <c r="V3630" s="88"/>
      <c r="W3630" s="88"/>
    </row>
    <row r="3631" spans="2:23" s="0" customFormat="0" ht="15">
      <c r="B3631" s="87" t="s">
        <v>1</v>
      </c>
      <c r="C3631" s="88" t="s">
        <v>5259</v>
      </c>
      <c r="D3631" s="88" t="s">
        <v>4779</v>
      </c>
      <c r="E3631" s="88" t="s">
        <v>61</v>
      </c>
      <c r="F3631" s="88">
        <v>0</v>
      </c>
      <c r="G3631" s="78">
        <f>MAX(H3631,I3631,J3631)</f>
        <v>0</v>
      </c>
      <c r="H3631" s="88"/>
      <c r="I3631" s="88"/>
      <c r="J3631" s="78">
        <f>MAX(K3631:Q3631)</f>
        <v>0</v>
      </c>
      <c r="K3631" s="88"/>
      <c r="L3631" s="88"/>
      <c r="M3631" s="88"/>
      <c r="N3631" s="88"/>
      <c r="O3631" s="88"/>
      <c r="P3631" s="88"/>
      <c r="Q3631" s="88"/>
      <c r="R3631" s="78">
        <f>MAX(S3631:W3631)</f>
        <v>1</v>
      </c>
      <c r="S3631" s="88"/>
      <c r="T3631" s="88"/>
      <c r="U3631" s="88">
        <v>1</v>
      </c>
      <c r="V3631" s="88"/>
      <c r="W3631" s="88"/>
    </row>
    <row r="3632" spans="2:23" s="0" customFormat="0" ht="15">
      <c r="B3632" s="87" t="s">
        <v>1</v>
      </c>
      <c r="C3632" s="88" t="s">
        <v>5259</v>
      </c>
      <c r="D3632" s="88">
        <v>12817903</v>
      </c>
      <c r="E3632" s="88" t="s">
        <v>61</v>
      </c>
      <c r="F3632" s="88">
        <v>0</v>
      </c>
      <c r="G3632" s="78">
        <f>MAX(H3632,I3632,J3632)</f>
        <v>0</v>
      </c>
      <c r="H3632" s="88"/>
      <c r="I3632" s="88"/>
      <c r="J3632" s="78">
        <f>MAX(K3632:Q3632)</f>
        <v>0</v>
      </c>
      <c r="K3632" s="88"/>
      <c r="L3632" s="88"/>
      <c r="M3632" s="88"/>
      <c r="N3632" s="88"/>
      <c r="O3632" s="88"/>
      <c r="P3632" s="88"/>
      <c r="Q3632" s="88"/>
      <c r="R3632" s="78">
        <f>MAX(S3632:W3632)</f>
        <v>1</v>
      </c>
      <c r="S3632" s="88"/>
      <c r="T3632" s="88"/>
      <c r="U3632" s="88">
        <v>1</v>
      </c>
      <c r="V3632" s="88"/>
      <c r="W3632" s="88"/>
    </row>
    <row r="3633" spans="2:23" s="0" customFormat="0" ht="15">
      <c r="B3633" s="87" t="s">
        <v>1</v>
      </c>
      <c r="C3633" s="88" t="s">
        <v>5259</v>
      </c>
      <c r="D3633" s="88">
        <v>21363927</v>
      </c>
      <c r="E3633" s="88" t="s">
        <v>61</v>
      </c>
      <c r="F3633" s="88">
        <v>0</v>
      </c>
      <c r="G3633" s="78">
        <f>MAX(H3633,I3633,J3633)</f>
        <v>1</v>
      </c>
      <c r="H3633" s="88"/>
      <c r="I3633" s="88"/>
      <c r="J3633" s="78">
        <f>MAX(K3633:Q3633)</f>
        <v>1</v>
      </c>
      <c r="K3633" s="88">
        <v>1</v>
      </c>
      <c r="L3633" s="88"/>
      <c r="M3633" s="88"/>
      <c r="N3633" s="88"/>
      <c r="O3633" s="88"/>
      <c r="P3633" s="88"/>
      <c r="Q3633" s="88"/>
      <c r="R3633" s="78">
        <f>MAX(S3633:W3633)</f>
        <v>0</v>
      </c>
      <c r="S3633" s="88"/>
      <c r="T3633" s="88"/>
      <c r="U3633" s="88"/>
      <c r="V3633" s="88"/>
      <c r="W3633" s="88"/>
    </row>
    <row r="3634" spans="2:23" s="0" customFormat="0" ht="15">
      <c r="B3634" s="87" t="s">
        <v>1</v>
      </c>
      <c r="C3634" s="88" t="s">
        <v>5259</v>
      </c>
      <c r="D3634" s="88">
        <v>15399530</v>
      </c>
      <c r="E3634" s="88" t="s">
        <v>61</v>
      </c>
      <c r="F3634" s="88">
        <v>0</v>
      </c>
      <c r="G3634" s="78">
        <f>MAX(H3634,I3634,J3634)</f>
        <v>1</v>
      </c>
      <c r="H3634" s="88"/>
      <c r="I3634" s="88"/>
      <c r="J3634" s="78">
        <f>MAX(K3634:Q3634)</f>
        <v>1</v>
      </c>
      <c r="K3634" s="88">
        <v>1</v>
      </c>
      <c r="L3634" s="88"/>
      <c r="M3634" s="88"/>
      <c r="N3634" s="88"/>
      <c r="O3634" s="88"/>
      <c r="P3634" s="88"/>
      <c r="Q3634" s="88"/>
      <c r="R3634" s="78">
        <f>MAX(S3634:W3634)</f>
        <v>0</v>
      </c>
      <c r="S3634" s="88"/>
      <c r="T3634" s="88"/>
      <c r="U3634" s="88"/>
      <c r="V3634" s="88"/>
      <c r="W3634" s="88"/>
    </row>
    <row r="3635" spans="2:23" s="0" customFormat="0" ht="15">
      <c r="B3635" s="87" t="s">
        <v>1</v>
      </c>
      <c r="C3635" s="88" t="s">
        <v>5259</v>
      </c>
      <c r="D3635" s="88">
        <v>12156146</v>
      </c>
      <c r="E3635" s="88" t="s">
        <v>61</v>
      </c>
      <c r="F3635" s="88">
        <v>0</v>
      </c>
      <c r="G3635" s="78">
        <f>MAX(H3635,I3635,J3635)</f>
        <v>1</v>
      </c>
      <c r="H3635" s="88"/>
      <c r="I3635" s="88"/>
      <c r="J3635" s="78">
        <f>MAX(K3635:Q3635)</f>
        <v>1</v>
      </c>
      <c r="K3635" s="88">
        <v>1</v>
      </c>
      <c r="L3635" s="88"/>
      <c r="M3635" s="88"/>
      <c r="N3635" s="88"/>
      <c r="O3635" s="88"/>
      <c r="P3635" s="88"/>
      <c r="Q3635" s="88"/>
      <c r="R3635" s="78">
        <f>MAX(S3635:W3635)</f>
        <v>0</v>
      </c>
      <c r="S3635" s="88"/>
      <c r="T3635" s="88"/>
      <c r="U3635" s="88"/>
      <c r="V3635" s="88"/>
      <c r="W3635" s="88"/>
    </row>
    <row r="3636" spans="2:23" s="0" customFormat="0" ht="15">
      <c r="B3636" s="87" t="s">
        <v>1</v>
      </c>
      <c r="C3636" s="88" t="s">
        <v>5259</v>
      </c>
      <c r="D3636" s="88" t="s">
        <v>4782</v>
      </c>
      <c r="E3636" s="88" t="s">
        <v>61</v>
      </c>
      <c r="F3636" s="88">
        <v>0</v>
      </c>
      <c r="G3636" s="78">
        <f>MAX(H3636,I3636,J3636)</f>
        <v>0</v>
      </c>
      <c r="H3636" s="88"/>
      <c r="I3636" s="88"/>
      <c r="J3636" s="78">
        <f>MAX(K3636:Q3636)</f>
        <v>0</v>
      </c>
      <c r="K3636" s="88"/>
      <c r="L3636" s="88"/>
      <c r="M3636" s="88"/>
      <c r="N3636" s="88"/>
      <c r="O3636" s="88"/>
      <c r="P3636" s="88"/>
      <c r="Q3636" s="88"/>
      <c r="R3636" s="78">
        <f>MAX(S3636:W3636)</f>
        <v>1</v>
      </c>
      <c r="S3636" s="88"/>
      <c r="T3636" s="88"/>
      <c r="U3636" s="88">
        <v>1</v>
      </c>
      <c r="V3636" s="88"/>
      <c r="W3636" s="88"/>
    </row>
    <row r="3637" spans="2:23" s="0" customFormat="0" ht="15">
      <c r="B3637" s="87" t="s">
        <v>1</v>
      </c>
      <c r="C3637" s="88" t="s">
        <v>5259</v>
      </c>
      <c r="D3637" s="88" t="s">
        <v>2304</v>
      </c>
      <c r="E3637" s="88" t="s">
        <v>61</v>
      </c>
      <c r="F3637" s="88">
        <v>0</v>
      </c>
      <c r="G3637" s="78">
        <f>MAX(H3637,I3637,J3637)</f>
        <v>1</v>
      </c>
      <c r="H3637" s="88"/>
      <c r="I3637" s="88"/>
      <c r="J3637" s="78">
        <f>MAX(K3637:Q3637)</f>
        <v>1</v>
      </c>
      <c r="K3637" s="88">
        <v>1</v>
      </c>
      <c r="L3637" s="88"/>
      <c r="M3637" s="88"/>
      <c r="N3637" s="88"/>
      <c r="O3637" s="88"/>
      <c r="P3637" s="88"/>
      <c r="Q3637" s="88"/>
      <c r="R3637" s="78">
        <f>MAX(S3637:W3637)</f>
        <v>0</v>
      </c>
      <c r="S3637" s="88"/>
      <c r="T3637" s="88"/>
      <c r="U3637" s="88"/>
      <c r="V3637" s="88"/>
      <c r="W3637" s="88"/>
    </row>
    <row r="3638" spans="2:23" s="0" customFormat="0" ht="15">
      <c r="B3638" s="87" t="s">
        <v>1</v>
      </c>
      <c r="C3638" s="88" t="s">
        <v>5259</v>
      </c>
      <c r="D3638" s="88">
        <v>7065909</v>
      </c>
      <c r="E3638" s="88" t="s">
        <v>61</v>
      </c>
      <c r="F3638" s="88">
        <v>0</v>
      </c>
      <c r="G3638" s="78">
        <f>MAX(H3638,I3638,J3638)</f>
        <v>0</v>
      </c>
      <c r="H3638" s="88"/>
      <c r="I3638" s="88"/>
      <c r="J3638" s="78">
        <f>MAX(K3638:Q3638)</f>
        <v>0</v>
      </c>
      <c r="K3638" s="88"/>
      <c r="L3638" s="88"/>
      <c r="M3638" s="88"/>
      <c r="N3638" s="88"/>
      <c r="O3638" s="88"/>
      <c r="P3638" s="88"/>
      <c r="Q3638" s="88"/>
      <c r="R3638" s="78">
        <f>MAX(S3638:W3638)</f>
        <v>1</v>
      </c>
      <c r="S3638" s="88"/>
      <c r="T3638" s="88"/>
      <c r="U3638" s="88">
        <v>1</v>
      </c>
      <c r="V3638" s="88"/>
      <c r="W3638" s="88"/>
    </row>
    <row r="3639" spans="2:23" s="0" customFormat="0" ht="15">
      <c r="B3639" s="87" t="s">
        <v>1</v>
      </c>
      <c r="C3639" s="88" t="s">
        <v>5259</v>
      </c>
      <c r="D3639" s="88">
        <v>22017486</v>
      </c>
      <c r="E3639" s="88" t="s">
        <v>61</v>
      </c>
      <c r="F3639" s="88">
        <v>0</v>
      </c>
      <c r="G3639" s="78">
        <f>MAX(H3639,I3639,J3639)</f>
        <v>1</v>
      </c>
      <c r="H3639" s="88"/>
      <c r="I3639" s="88"/>
      <c r="J3639" s="78">
        <f>MAX(K3639:Q3639)</f>
        <v>1</v>
      </c>
      <c r="K3639" s="88">
        <v>1</v>
      </c>
      <c r="L3639" s="88"/>
      <c r="M3639" s="88"/>
      <c r="N3639" s="88"/>
      <c r="O3639" s="88"/>
      <c r="P3639" s="88"/>
      <c r="Q3639" s="88"/>
      <c r="R3639" s="78">
        <f>MAX(S3639:W3639)</f>
        <v>0</v>
      </c>
      <c r="S3639" s="88"/>
      <c r="T3639" s="88"/>
      <c r="U3639" s="88"/>
      <c r="V3639" s="88"/>
      <c r="W3639" s="88"/>
    </row>
    <row r="3640" spans="2:23" s="0" customFormat="0" ht="15">
      <c r="B3640" s="87" t="s">
        <v>1</v>
      </c>
      <c r="C3640" s="88" t="s">
        <v>5259</v>
      </c>
      <c r="D3640" s="88">
        <v>21565617</v>
      </c>
      <c r="E3640" s="88" t="s">
        <v>61</v>
      </c>
      <c r="F3640" s="88">
        <v>0</v>
      </c>
      <c r="G3640" s="78">
        <f>MAX(H3640,I3640,J3640)</f>
        <v>0</v>
      </c>
      <c r="H3640" s="88"/>
      <c r="I3640" s="88"/>
      <c r="J3640" s="78">
        <f>MAX(K3640:Q3640)</f>
        <v>0</v>
      </c>
      <c r="K3640" s="88"/>
      <c r="L3640" s="88"/>
      <c r="M3640" s="88"/>
      <c r="N3640" s="88"/>
      <c r="O3640" s="88"/>
      <c r="P3640" s="88"/>
      <c r="Q3640" s="88"/>
      <c r="R3640" s="78">
        <f>MAX(S3640:W3640)</f>
        <v>1</v>
      </c>
      <c r="S3640" s="88"/>
      <c r="T3640" s="88"/>
      <c r="U3640" s="88">
        <v>1</v>
      </c>
      <c r="V3640" s="88"/>
      <c r="W3640" s="88"/>
    </row>
    <row r="3641" spans="2:23" s="0" customFormat="0" ht="15">
      <c r="B3641" s="87" t="s">
        <v>1</v>
      </c>
      <c r="C3641" s="88" t="s">
        <v>5259</v>
      </c>
      <c r="D3641" s="88" t="s">
        <v>799</v>
      </c>
      <c r="E3641" s="88" t="s">
        <v>61</v>
      </c>
      <c r="F3641" s="88">
        <v>0</v>
      </c>
      <c r="G3641" s="78">
        <f>MAX(H3641,I3641,J3641)</f>
        <v>1</v>
      </c>
      <c r="H3641" s="88"/>
      <c r="I3641" s="88"/>
      <c r="J3641" s="78">
        <f>MAX(K3641:Q3641)</f>
        <v>1</v>
      </c>
      <c r="K3641" s="88">
        <v>1</v>
      </c>
      <c r="L3641" s="88"/>
      <c r="M3641" s="88"/>
      <c r="N3641" s="88"/>
      <c r="O3641" s="88"/>
      <c r="P3641" s="88"/>
      <c r="Q3641" s="88"/>
      <c r="R3641" s="78">
        <f>MAX(S3641:W3641)</f>
        <v>0</v>
      </c>
      <c r="S3641" s="88"/>
      <c r="T3641" s="88"/>
      <c r="U3641" s="88"/>
      <c r="V3641" s="88"/>
      <c r="W3641" s="88"/>
    </row>
    <row r="3642" spans="2:23" s="0" customFormat="0" ht="15">
      <c r="B3642" s="87" t="s">
        <v>1</v>
      </c>
      <c r="C3642" s="88" t="s">
        <v>5259</v>
      </c>
      <c r="D3642" s="88">
        <v>16974881</v>
      </c>
      <c r="E3642" s="88" t="s">
        <v>61</v>
      </c>
      <c r="F3642" s="88">
        <v>0</v>
      </c>
      <c r="G3642" s="78">
        <f>MAX(H3642,I3642,J3642)</f>
        <v>0</v>
      </c>
      <c r="H3642" s="88"/>
      <c r="I3642" s="88"/>
      <c r="J3642" s="78">
        <f>MAX(K3642:Q3642)</f>
        <v>0</v>
      </c>
      <c r="K3642" s="88"/>
      <c r="L3642" s="88"/>
      <c r="M3642" s="88"/>
      <c r="N3642" s="88"/>
      <c r="O3642" s="88"/>
      <c r="P3642" s="88"/>
      <c r="Q3642" s="88"/>
      <c r="R3642" s="78">
        <f>MAX(S3642:W3642)</f>
        <v>1</v>
      </c>
      <c r="S3642" s="88"/>
      <c r="T3642" s="88"/>
      <c r="U3642" s="88">
        <v>1</v>
      </c>
      <c r="V3642" s="88"/>
      <c r="W3642" s="88"/>
    </row>
    <row r="3643" spans="2:23" s="0" customFormat="0" ht="15">
      <c r="B3643" s="87" t="s">
        <v>1</v>
      </c>
      <c r="C3643" s="88" t="s">
        <v>5259</v>
      </c>
      <c r="D3643" s="88">
        <v>14484261</v>
      </c>
      <c r="E3643" s="88" t="s">
        <v>61</v>
      </c>
      <c r="F3643" s="88">
        <v>0</v>
      </c>
      <c r="G3643" s="78">
        <f>MAX(H3643,I3643,J3643)</f>
        <v>1</v>
      </c>
      <c r="H3643" s="88"/>
      <c r="I3643" s="88"/>
      <c r="J3643" s="78">
        <f>MAX(K3643:Q3643)</f>
        <v>1</v>
      </c>
      <c r="K3643" s="88">
        <v>1</v>
      </c>
      <c r="L3643" s="88"/>
      <c r="M3643" s="88"/>
      <c r="N3643" s="88"/>
      <c r="O3643" s="88"/>
      <c r="P3643" s="88"/>
      <c r="Q3643" s="88"/>
      <c r="R3643" s="78">
        <f>MAX(S3643:W3643)</f>
        <v>0</v>
      </c>
      <c r="S3643" s="88"/>
      <c r="T3643" s="88"/>
      <c r="U3643" s="88"/>
      <c r="V3643" s="88"/>
      <c r="W3643" s="88"/>
    </row>
    <row r="3644" spans="2:23" s="0" customFormat="0" ht="15">
      <c r="B3644" s="87" t="s">
        <v>1</v>
      </c>
      <c r="C3644" s="88" t="s">
        <v>5259</v>
      </c>
      <c r="D3644" s="88" t="s">
        <v>3459</v>
      </c>
      <c r="E3644" s="88" t="s">
        <v>61</v>
      </c>
      <c r="F3644" s="88">
        <v>0</v>
      </c>
      <c r="G3644" s="78">
        <f>MAX(H3644,I3644,J3644)</f>
        <v>0</v>
      </c>
      <c r="H3644" s="88"/>
      <c r="I3644" s="88"/>
      <c r="J3644" s="78">
        <f>MAX(K3644:Q3644)</f>
        <v>0</v>
      </c>
      <c r="K3644" s="88"/>
      <c r="L3644" s="88"/>
      <c r="M3644" s="88"/>
      <c r="N3644" s="88"/>
      <c r="O3644" s="88"/>
      <c r="P3644" s="88"/>
      <c r="Q3644" s="88"/>
      <c r="R3644" s="78">
        <f>MAX(S3644:W3644)</f>
        <v>1</v>
      </c>
      <c r="S3644" s="88"/>
      <c r="T3644" s="88"/>
      <c r="U3644" s="88">
        <v>1</v>
      </c>
      <c r="V3644" s="88"/>
      <c r="W3644" s="88"/>
    </row>
    <row r="3645" spans="2:23" s="0" customFormat="0" ht="15">
      <c r="B3645" s="87" t="s">
        <v>1</v>
      </c>
      <c r="C3645" s="88" t="s">
        <v>5259</v>
      </c>
      <c r="D3645" s="88">
        <v>18026294</v>
      </c>
      <c r="E3645" s="88" t="s">
        <v>61</v>
      </c>
      <c r="F3645" s="88">
        <v>0</v>
      </c>
      <c r="G3645" s="78">
        <f>MAX(H3645,I3645,J3645)</f>
        <v>1</v>
      </c>
      <c r="H3645" s="88"/>
      <c r="I3645" s="88"/>
      <c r="J3645" s="78">
        <f>MAX(K3645:Q3645)</f>
        <v>1</v>
      </c>
      <c r="K3645" s="88">
        <v>1</v>
      </c>
      <c r="L3645" s="88"/>
      <c r="M3645" s="88"/>
      <c r="N3645" s="88"/>
      <c r="O3645" s="88"/>
      <c r="P3645" s="88"/>
      <c r="Q3645" s="88"/>
      <c r="R3645" s="78">
        <f>MAX(S3645:W3645)</f>
        <v>0</v>
      </c>
      <c r="S3645" s="88"/>
      <c r="T3645" s="88"/>
      <c r="U3645" s="88"/>
      <c r="V3645" s="88"/>
      <c r="W3645" s="88"/>
    </row>
    <row r="3646" spans="2:23" s="0" customFormat="0" ht="15">
      <c r="B3646" s="87" t="s">
        <v>1</v>
      </c>
      <c r="C3646" s="88" t="s">
        <v>5259</v>
      </c>
      <c r="D3646" s="88" t="s">
        <v>4769</v>
      </c>
      <c r="E3646" s="88" t="s">
        <v>61</v>
      </c>
      <c r="F3646" s="88">
        <v>0</v>
      </c>
      <c r="G3646" s="78">
        <f>MAX(H3646,I3646,J3646)</f>
        <v>0</v>
      </c>
      <c r="H3646" s="88"/>
      <c r="I3646" s="88"/>
      <c r="J3646" s="78">
        <f>MAX(K3646:Q3646)</f>
        <v>0</v>
      </c>
      <c r="K3646" s="88"/>
      <c r="L3646" s="88"/>
      <c r="M3646" s="88"/>
      <c r="N3646" s="88"/>
      <c r="O3646" s="88"/>
      <c r="P3646" s="88"/>
      <c r="Q3646" s="88"/>
      <c r="R3646" s="78">
        <f>MAX(S3646:W3646)</f>
        <v>1</v>
      </c>
      <c r="S3646" s="88"/>
      <c r="T3646" s="88"/>
      <c r="U3646" s="88">
        <v>1</v>
      </c>
      <c r="V3646" s="88"/>
      <c r="W3646" s="88"/>
    </row>
    <row r="3647" spans="2:23" s="0" customFormat="0" ht="15">
      <c r="B3647" s="87" t="s">
        <v>1</v>
      </c>
      <c r="C3647" s="88" t="s">
        <v>5259</v>
      </c>
      <c r="D3647" s="88" t="s">
        <v>4785</v>
      </c>
      <c r="E3647" s="88" t="s">
        <v>61</v>
      </c>
      <c r="F3647" s="88">
        <v>0</v>
      </c>
      <c r="G3647" s="78">
        <f>MAX(H3647,I3647,J3647)</f>
        <v>0</v>
      </c>
      <c r="H3647" s="88"/>
      <c r="I3647" s="88"/>
      <c r="J3647" s="78">
        <f>MAX(K3647:Q3647)</f>
        <v>0</v>
      </c>
      <c r="K3647" s="88"/>
      <c r="L3647" s="88"/>
      <c r="M3647" s="88"/>
      <c r="N3647" s="88"/>
      <c r="O3647" s="88"/>
      <c r="P3647" s="88"/>
      <c r="Q3647" s="88"/>
      <c r="R3647" s="78">
        <f>MAX(S3647:W3647)</f>
        <v>1</v>
      </c>
      <c r="S3647" s="88"/>
      <c r="T3647" s="88"/>
      <c r="U3647" s="88">
        <v>1</v>
      </c>
      <c r="V3647" s="88"/>
      <c r="W3647" s="88"/>
    </row>
    <row r="3648" spans="2:23" s="0" customFormat="0" ht="15">
      <c r="B3648" s="87" t="s">
        <v>1</v>
      </c>
      <c r="C3648" s="88" t="s">
        <v>5259</v>
      </c>
      <c r="D3648" s="88">
        <v>14935545</v>
      </c>
      <c r="E3648" s="88" t="s">
        <v>61</v>
      </c>
      <c r="F3648" s="88">
        <v>0</v>
      </c>
      <c r="G3648" s="78">
        <f>MAX(H3648,I3648,J3648)</f>
        <v>1</v>
      </c>
      <c r="H3648" s="88"/>
      <c r="I3648" s="88"/>
      <c r="J3648" s="78">
        <f>MAX(K3648:Q3648)</f>
        <v>1</v>
      </c>
      <c r="K3648" s="88">
        <v>1</v>
      </c>
      <c r="L3648" s="88"/>
      <c r="M3648" s="88"/>
      <c r="N3648" s="88"/>
      <c r="O3648" s="88"/>
      <c r="P3648" s="88"/>
      <c r="Q3648" s="88"/>
      <c r="R3648" s="78">
        <f>MAX(S3648:W3648)</f>
        <v>0</v>
      </c>
      <c r="S3648" s="88"/>
      <c r="T3648" s="88"/>
      <c r="U3648" s="88"/>
      <c r="V3648" s="88"/>
      <c r="W3648" s="88"/>
    </row>
    <row r="3649" spans="2:23" s="0" customFormat="0" ht="15">
      <c r="B3649" s="87" t="s">
        <v>1</v>
      </c>
      <c r="C3649" s="88" t="s">
        <v>5259</v>
      </c>
      <c r="D3649" s="88" t="s">
        <v>3720</v>
      </c>
      <c r="E3649" s="88" t="s">
        <v>61</v>
      </c>
      <c r="F3649" s="88">
        <v>0</v>
      </c>
      <c r="G3649" s="78">
        <f>MAX(H3649,I3649,J3649)</f>
        <v>0</v>
      </c>
      <c r="H3649" s="88"/>
      <c r="I3649" s="88"/>
      <c r="J3649" s="78">
        <f>MAX(K3649:Q3649)</f>
        <v>0</v>
      </c>
      <c r="K3649" s="88"/>
      <c r="L3649" s="88"/>
      <c r="M3649" s="88"/>
      <c r="N3649" s="88"/>
      <c r="O3649" s="88"/>
      <c r="P3649" s="88"/>
      <c r="Q3649" s="88"/>
      <c r="R3649" s="78">
        <f>MAX(S3649:W3649)</f>
        <v>1</v>
      </c>
      <c r="S3649" s="88"/>
      <c r="T3649" s="88"/>
      <c r="U3649" s="88">
        <v>1</v>
      </c>
      <c r="V3649" s="88"/>
      <c r="W3649" s="88"/>
    </row>
    <row r="3650" spans="2:23" s="0" customFormat="0" ht="15">
      <c r="B3650" s="87" t="s">
        <v>1</v>
      </c>
      <c r="C3650" s="88" t="s">
        <v>5259</v>
      </c>
      <c r="D3650" s="88" t="s">
        <v>2309</v>
      </c>
      <c r="E3650" s="88" t="s">
        <v>61</v>
      </c>
      <c r="F3650" s="88">
        <v>0</v>
      </c>
      <c r="G3650" s="78">
        <f>MAX(H3650,I3650,J3650)</f>
        <v>1</v>
      </c>
      <c r="H3650" s="88"/>
      <c r="I3650" s="88"/>
      <c r="J3650" s="78">
        <f>MAX(K3650:Q3650)</f>
        <v>1</v>
      </c>
      <c r="K3650" s="88">
        <v>1</v>
      </c>
      <c r="L3650" s="88"/>
      <c r="M3650" s="88"/>
      <c r="N3650" s="88"/>
      <c r="O3650" s="88"/>
      <c r="P3650" s="88"/>
      <c r="Q3650" s="88"/>
      <c r="R3650" s="78">
        <f>MAX(S3650:W3650)</f>
        <v>0</v>
      </c>
      <c r="S3650" s="88"/>
      <c r="T3650" s="88"/>
      <c r="U3650" s="88"/>
      <c r="V3650" s="88"/>
      <c r="W3650" s="88"/>
    </row>
    <row r="3651" spans="2:23" s="0" customFormat="0" ht="15">
      <c r="B3651" s="87" t="s">
        <v>1</v>
      </c>
      <c r="C3651" s="88" t="s">
        <v>5259</v>
      </c>
      <c r="D3651" s="88">
        <v>12399821</v>
      </c>
      <c r="E3651" s="88" t="s">
        <v>61</v>
      </c>
      <c r="F3651" s="88">
        <v>0</v>
      </c>
      <c r="G3651" s="78">
        <f>MAX(H3651,I3651,J3651)</f>
        <v>1</v>
      </c>
      <c r="H3651" s="88"/>
      <c r="I3651" s="88"/>
      <c r="J3651" s="78">
        <f>MAX(K3651:Q3651)</f>
        <v>1</v>
      </c>
      <c r="K3651" s="88">
        <v>1</v>
      </c>
      <c r="L3651" s="88"/>
      <c r="M3651" s="88"/>
      <c r="N3651" s="88"/>
      <c r="O3651" s="88"/>
      <c r="P3651" s="88"/>
      <c r="Q3651" s="88"/>
      <c r="R3651" s="78">
        <f>MAX(S3651:W3651)</f>
        <v>0</v>
      </c>
      <c r="S3651" s="88"/>
      <c r="T3651" s="88"/>
      <c r="U3651" s="88"/>
      <c r="V3651" s="88"/>
      <c r="W3651" s="88"/>
    </row>
    <row r="3652" spans="2:23" s="0" customFormat="0" ht="15">
      <c r="B3652" s="87" t="s">
        <v>1</v>
      </c>
      <c r="C3652" s="88" t="s">
        <v>5259</v>
      </c>
      <c r="D3652" s="88">
        <v>6648242</v>
      </c>
      <c r="E3652" s="88" t="s">
        <v>61</v>
      </c>
      <c r="F3652" s="88">
        <v>0</v>
      </c>
      <c r="G3652" s="78">
        <f>MAX(H3652,I3652,J3652)</f>
        <v>1</v>
      </c>
      <c r="H3652" s="88"/>
      <c r="I3652" s="88"/>
      <c r="J3652" s="78">
        <f>MAX(K3652:Q3652)</f>
        <v>1</v>
      </c>
      <c r="K3652" s="88">
        <v>1</v>
      </c>
      <c r="L3652" s="88"/>
      <c r="M3652" s="88"/>
      <c r="N3652" s="88"/>
      <c r="O3652" s="88"/>
      <c r="P3652" s="88"/>
      <c r="Q3652" s="88"/>
      <c r="R3652" s="78">
        <f>MAX(S3652:W3652)</f>
        <v>0</v>
      </c>
      <c r="S3652" s="88"/>
      <c r="T3652" s="88"/>
      <c r="U3652" s="88"/>
      <c r="V3652" s="88"/>
      <c r="W3652" s="88"/>
    </row>
    <row r="3653" spans="2:23" s="0" customFormat="0" ht="15">
      <c r="B3653" s="87" t="s">
        <v>1</v>
      </c>
      <c r="C3653" s="88" t="s">
        <v>5259</v>
      </c>
      <c r="D3653" s="88" t="s">
        <v>911</v>
      </c>
      <c r="E3653" s="88" t="s">
        <v>61</v>
      </c>
      <c r="F3653" s="88">
        <v>0</v>
      </c>
      <c r="G3653" s="78">
        <f>MAX(H3653,I3653,J3653)</f>
        <v>1</v>
      </c>
      <c r="H3653" s="88"/>
      <c r="I3653" s="88"/>
      <c r="J3653" s="78">
        <f>MAX(K3653:Q3653)</f>
        <v>1</v>
      </c>
      <c r="K3653" s="88">
        <v>1</v>
      </c>
      <c r="L3653" s="88"/>
      <c r="M3653" s="88"/>
      <c r="N3653" s="88"/>
      <c r="O3653" s="88"/>
      <c r="P3653" s="88"/>
      <c r="Q3653" s="88"/>
      <c r="R3653" s="78">
        <f>MAX(S3653:W3653)</f>
        <v>0</v>
      </c>
      <c r="S3653" s="88"/>
      <c r="T3653" s="88"/>
      <c r="U3653" s="88"/>
      <c r="V3653" s="88"/>
      <c r="W3653" s="88"/>
    </row>
    <row r="3654" spans="2:23" s="0" customFormat="0" ht="15">
      <c r="B3654" s="87" t="s">
        <v>1</v>
      </c>
      <c r="C3654" s="88" t="s">
        <v>5259</v>
      </c>
      <c r="D3654" s="88" t="s">
        <v>2309</v>
      </c>
      <c r="E3654" s="88" t="s">
        <v>61</v>
      </c>
      <c r="F3654" s="88">
        <v>0</v>
      </c>
      <c r="G3654" s="78">
        <f>MAX(H3654,I3654,J3654)</f>
        <v>1</v>
      </c>
      <c r="H3654" s="88"/>
      <c r="I3654" s="88"/>
      <c r="J3654" s="78">
        <f>MAX(K3654:Q3654)</f>
        <v>1</v>
      </c>
      <c r="K3654" s="88">
        <v>1</v>
      </c>
      <c r="L3654" s="88"/>
      <c r="M3654" s="88"/>
      <c r="N3654" s="88"/>
      <c r="O3654" s="88"/>
      <c r="P3654" s="88"/>
      <c r="Q3654" s="88"/>
      <c r="R3654" s="78">
        <f>MAX(S3654:W3654)</f>
        <v>0</v>
      </c>
      <c r="S3654" s="88"/>
      <c r="T3654" s="88"/>
      <c r="U3654" s="88"/>
      <c r="V3654" s="88"/>
      <c r="W3654" s="88"/>
    </row>
    <row r="3655" spans="2:23" s="0" customFormat="0" ht="15">
      <c r="B3655" s="87" t="s">
        <v>1</v>
      </c>
      <c r="C3655" s="88" t="s">
        <v>5259</v>
      </c>
      <c r="D3655" s="88">
        <v>11798103</v>
      </c>
      <c r="E3655" s="88" t="s">
        <v>61</v>
      </c>
      <c r="F3655" s="88">
        <v>0</v>
      </c>
      <c r="G3655" s="78">
        <f>MAX(H3655,I3655,J3655)</f>
        <v>1</v>
      </c>
      <c r="H3655" s="88"/>
      <c r="I3655" s="88"/>
      <c r="J3655" s="78">
        <f>MAX(K3655:Q3655)</f>
        <v>1</v>
      </c>
      <c r="K3655" s="88">
        <v>1</v>
      </c>
      <c r="L3655" s="88"/>
      <c r="M3655" s="88"/>
      <c r="N3655" s="88"/>
      <c r="O3655" s="88"/>
      <c r="P3655" s="88"/>
      <c r="Q3655" s="88"/>
      <c r="R3655" s="78">
        <f>MAX(S3655:W3655)</f>
        <v>0</v>
      </c>
      <c r="S3655" s="88"/>
      <c r="T3655" s="88"/>
      <c r="U3655" s="88"/>
      <c r="V3655" s="88"/>
      <c r="W3655" s="88"/>
    </row>
    <row r="3656" spans="2:23" s="0" customFormat="0" ht="15">
      <c r="B3656" s="87" t="s">
        <v>1</v>
      </c>
      <c r="C3656" s="88" t="s">
        <v>5259</v>
      </c>
      <c r="D3656" s="88">
        <v>12894599</v>
      </c>
      <c r="E3656" s="88" t="s">
        <v>61</v>
      </c>
      <c r="F3656" s="88">
        <v>0</v>
      </c>
      <c r="G3656" s="78">
        <f>MAX(H3656,I3656,J3656)</f>
        <v>1</v>
      </c>
      <c r="H3656" s="88"/>
      <c r="I3656" s="88"/>
      <c r="J3656" s="78">
        <f>MAX(K3656:Q3656)</f>
        <v>1</v>
      </c>
      <c r="K3656" s="88">
        <v>1</v>
      </c>
      <c r="L3656" s="88"/>
      <c r="M3656" s="88"/>
      <c r="N3656" s="88"/>
      <c r="O3656" s="88"/>
      <c r="P3656" s="88"/>
      <c r="Q3656" s="88"/>
      <c r="R3656" s="78">
        <f>MAX(S3656:W3656)</f>
        <v>0</v>
      </c>
      <c r="S3656" s="88"/>
      <c r="T3656" s="88"/>
      <c r="U3656" s="88"/>
      <c r="V3656" s="88"/>
      <c r="W3656" s="88"/>
    </row>
    <row r="3657" spans="2:23" s="0" customFormat="0" ht="15">
      <c r="B3657" s="87" t="s">
        <v>1</v>
      </c>
      <c r="C3657" s="88" t="s">
        <v>5259</v>
      </c>
      <c r="D3657" s="88">
        <v>17252200</v>
      </c>
      <c r="E3657" s="88" t="s">
        <v>61</v>
      </c>
      <c r="F3657" s="88">
        <v>0</v>
      </c>
      <c r="G3657" s="78">
        <f>MAX(H3657,I3657,J3657)</f>
        <v>1</v>
      </c>
      <c r="H3657" s="88"/>
      <c r="I3657" s="88"/>
      <c r="J3657" s="78">
        <f>MAX(K3657:Q3657)</f>
        <v>1</v>
      </c>
      <c r="K3657" s="88">
        <v>1</v>
      </c>
      <c r="L3657" s="88"/>
      <c r="M3657" s="88"/>
      <c r="N3657" s="88"/>
      <c r="O3657" s="88"/>
      <c r="P3657" s="88"/>
      <c r="Q3657" s="88"/>
      <c r="R3657" s="78">
        <f>MAX(S3657:W3657)</f>
        <v>0</v>
      </c>
      <c r="S3657" s="88"/>
      <c r="T3657" s="88"/>
      <c r="U3657" s="88"/>
      <c r="V3657" s="88"/>
      <c r="W3657" s="88"/>
    </row>
    <row r="3658" spans="2:23" s="0" customFormat="0" ht="15">
      <c r="B3658" s="87" t="s">
        <v>1</v>
      </c>
      <c r="C3658" s="88" t="s">
        <v>5259</v>
      </c>
      <c r="D3658" s="88">
        <v>10572489</v>
      </c>
      <c r="E3658" s="88" t="s">
        <v>61</v>
      </c>
      <c r="F3658" s="88">
        <v>0</v>
      </c>
      <c r="G3658" s="78">
        <f>MAX(H3658,I3658,J3658)</f>
        <v>1</v>
      </c>
      <c r="H3658" s="88"/>
      <c r="I3658" s="88"/>
      <c r="J3658" s="78">
        <f>MAX(K3658:Q3658)</f>
        <v>1</v>
      </c>
      <c r="K3658" s="88">
        <v>1</v>
      </c>
      <c r="L3658" s="88"/>
      <c r="M3658" s="88"/>
      <c r="N3658" s="88"/>
      <c r="O3658" s="88"/>
      <c r="P3658" s="88"/>
      <c r="Q3658" s="88"/>
      <c r="R3658" s="78">
        <f>MAX(S3658:W3658)</f>
        <v>0</v>
      </c>
      <c r="S3658" s="88"/>
      <c r="T3658" s="88"/>
      <c r="U3658" s="88"/>
      <c r="V3658" s="88"/>
      <c r="W3658" s="88"/>
    </row>
    <row r="3659" spans="2:23" s="0" customFormat="0" ht="15">
      <c r="B3659" s="87" t="s">
        <v>1</v>
      </c>
      <c r="C3659" s="88" t="s">
        <v>5259</v>
      </c>
      <c r="D3659" s="88">
        <v>13709736</v>
      </c>
      <c r="E3659" s="88" t="s">
        <v>61</v>
      </c>
      <c r="F3659" s="88">
        <v>0</v>
      </c>
      <c r="G3659" s="78">
        <f>MAX(H3659,I3659,J3659)</f>
        <v>1</v>
      </c>
      <c r="H3659" s="88"/>
      <c r="I3659" s="88"/>
      <c r="J3659" s="78">
        <f>MAX(K3659:Q3659)</f>
        <v>1</v>
      </c>
      <c r="K3659" s="88">
        <v>1</v>
      </c>
      <c r="L3659" s="88"/>
      <c r="M3659" s="88"/>
      <c r="N3659" s="88"/>
      <c r="O3659" s="88"/>
      <c r="P3659" s="88"/>
      <c r="Q3659" s="88"/>
      <c r="R3659" s="78">
        <f>MAX(S3659:W3659)</f>
        <v>0</v>
      </c>
      <c r="S3659" s="88"/>
      <c r="T3659" s="88"/>
      <c r="U3659" s="88"/>
      <c r="V3659" s="88"/>
      <c r="W3659" s="88"/>
    </row>
    <row r="3660" spans="2:23" s="0" customFormat="0" ht="15">
      <c r="B3660" s="87" t="s">
        <v>1</v>
      </c>
      <c r="C3660" s="88" t="s">
        <v>5259</v>
      </c>
      <c r="D3660" s="88" t="s">
        <v>4787</v>
      </c>
      <c r="E3660" s="88" t="s">
        <v>61</v>
      </c>
      <c r="F3660" s="88">
        <v>0</v>
      </c>
      <c r="G3660" s="78">
        <f>MAX(H3660,I3660,J3660)</f>
        <v>0</v>
      </c>
      <c r="H3660" s="88"/>
      <c r="I3660" s="88"/>
      <c r="J3660" s="78">
        <f>MAX(K3660:Q3660)</f>
        <v>0</v>
      </c>
      <c r="K3660" s="88"/>
      <c r="L3660" s="88"/>
      <c r="M3660" s="88"/>
      <c r="N3660" s="88"/>
      <c r="O3660" s="88"/>
      <c r="P3660" s="88"/>
      <c r="Q3660" s="88"/>
      <c r="R3660" s="78">
        <f>MAX(S3660:W3660)</f>
        <v>1</v>
      </c>
      <c r="S3660" s="88"/>
      <c r="T3660" s="88"/>
      <c r="U3660" s="88">
        <v>1</v>
      </c>
      <c r="V3660" s="88"/>
      <c r="W3660" s="88"/>
    </row>
    <row r="3661" spans="2:23" s="0" customFormat="0" ht="15">
      <c r="B3661" s="87" t="s">
        <v>1</v>
      </c>
      <c r="C3661" s="88" t="s">
        <v>5259</v>
      </c>
      <c r="D3661" s="88" t="s">
        <v>4789</v>
      </c>
      <c r="E3661" s="88" t="s">
        <v>61</v>
      </c>
      <c r="F3661" s="88">
        <v>0</v>
      </c>
      <c r="G3661" s="78">
        <f>MAX(H3661,I3661,J3661)</f>
        <v>0</v>
      </c>
      <c r="H3661" s="88"/>
      <c r="I3661" s="88"/>
      <c r="J3661" s="78">
        <f>MAX(K3661:Q3661)</f>
        <v>0</v>
      </c>
      <c r="K3661" s="88"/>
      <c r="L3661" s="88"/>
      <c r="M3661" s="88"/>
      <c r="N3661" s="88"/>
      <c r="O3661" s="88"/>
      <c r="P3661" s="88"/>
      <c r="Q3661" s="88"/>
      <c r="R3661" s="78">
        <f>MAX(S3661:W3661)</f>
        <v>1</v>
      </c>
      <c r="S3661" s="88"/>
      <c r="T3661" s="88"/>
      <c r="U3661" s="88">
        <v>1</v>
      </c>
      <c r="V3661" s="88"/>
      <c r="W3661" s="88"/>
    </row>
    <row r="3662" spans="2:23" s="0" customFormat="0" ht="15">
      <c r="B3662" s="87" t="s">
        <v>1</v>
      </c>
      <c r="C3662" s="88" t="s">
        <v>5259</v>
      </c>
      <c r="D3662" s="88" t="s">
        <v>2315</v>
      </c>
      <c r="E3662" s="88" t="s">
        <v>61</v>
      </c>
      <c r="F3662" s="88">
        <v>0</v>
      </c>
      <c r="G3662" s="78">
        <f>MAX(H3662,I3662,J3662)</f>
        <v>1</v>
      </c>
      <c r="H3662" s="88"/>
      <c r="I3662" s="88"/>
      <c r="J3662" s="78">
        <f>MAX(K3662:Q3662)</f>
        <v>1</v>
      </c>
      <c r="K3662" s="88">
        <v>1</v>
      </c>
      <c r="L3662" s="88"/>
      <c r="M3662" s="88"/>
      <c r="N3662" s="88"/>
      <c r="O3662" s="88"/>
      <c r="P3662" s="88"/>
      <c r="Q3662" s="88"/>
      <c r="R3662" s="78">
        <f>MAX(S3662:W3662)</f>
        <v>0</v>
      </c>
      <c r="S3662" s="88"/>
      <c r="T3662" s="88"/>
      <c r="U3662" s="88"/>
      <c r="V3662" s="88"/>
      <c r="W3662" s="88"/>
    </row>
    <row r="3663" spans="2:23" s="0" customFormat="0" ht="15">
      <c r="B3663" s="87" t="s">
        <v>1</v>
      </c>
      <c r="C3663" s="88" t="s">
        <v>5259</v>
      </c>
      <c r="D3663" s="88" t="s">
        <v>2317</v>
      </c>
      <c r="E3663" s="88" t="s">
        <v>61</v>
      </c>
      <c r="F3663" s="88">
        <v>0</v>
      </c>
      <c r="G3663" s="78">
        <f>MAX(H3663,I3663,J3663)</f>
        <v>1</v>
      </c>
      <c r="H3663" s="88"/>
      <c r="I3663" s="88"/>
      <c r="J3663" s="78">
        <f>MAX(K3663:Q3663)</f>
        <v>1</v>
      </c>
      <c r="K3663" s="88">
        <v>1</v>
      </c>
      <c r="L3663" s="88"/>
      <c r="M3663" s="88"/>
      <c r="N3663" s="88"/>
      <c r="O3663" s="88"/>
      <c r="P3663" s="88"/>
      <c r="Q3663" s="88"/>
      <c r="R3663" s="78">
        <f>MAX(S3663:W3663)</f>
        <v>0</v>
      </c>
      <c r="S3663" s="88"/>
      <c r="T3663" s="88"/>
      <c r="U3663" s="88"/>
      <c r="V3663" s="88"/>
      <c r="W3663" s="88"/>
    </row>
    <row r="3664" spans="2:23" s="0" customFormat="0" ht="15">
      <c r="B3664" s="87" t="s">
        <v>1</v>
      </c>
      <c r="C3664" s="88" t="s">
        <v>5259</v>
      </c>
      <c r="D3664" s="88">
        <v>18788641</v>
      </c>
      <c r="E3664" s="88" t="s">
        <v>61</v>
      </c>
      <c r="F3664" s="88">
        <v>0</v>
      </c>
      <c r="G3664" s="78">
        <f>MAX(H3664,I3664,J3664)</f>
        <v>1</v>
      </c>
      <c r="H3664" s="88"/>
      <c r="I3664" s="88"/>
      <c r="J3664" s="78">
        <f>MAX(K3664:Q3664)</f>
        <v>1</v>
      </c>
      <c r="K3664" s="88">
        <v>1</v>
      </c>
      <c r="L3664" s="88"/>
      <c r="M3664" s="88"/>
      <c r="N3664" s="88"/>
      <c r="O3664" s="88"/>
      <c r="P3664" s="88"/>
      <c r="Q3664" s="88"/>
      <c r="R3664" s="78">
        <f>MAX(S3664:W3664)</f>
        <v>0</v>
      </c>
      <c r="S3664" s="88"/>
      <c r="T3664" s="88"/>
      <c r="U3664" s="88"/>
      <c r="V3664" s="88"/>
      <c r="W3664" s="88"/>
    </row>
    <row r="3665" spans="2:23" s="0" customFormat="0" ht="15">
      <c r="B3665" s="87" t="s">
        <v>1</v>
      </c>
      <c r="C3665" s="88" t="s">
        <v>5259</v>
      </c>
      <c r="D3665" s="88">
        <v>15085355</v>
      </c>
      <c r="E3665" s="88" t="s">
        <v>61</v>
      </c>
      <c r="F3665" s="88">
        <v>0</v>
      </c>
      <c r="G3665" s="78">
        <f>MAX(H3665,I3665,J3665)</f>
        <v>1</v>
      </c>
      <c r="H3665" s="88"/>
      <c r="I3665" s="88"/>
      <c r="J3665" s="78">
        <f>MAX(K3665:Q3665)</f>
        <v>1</v>
      </c>
      <c r="K3665" s="88">
        <v>1</v>
      </c>
      <c r="L3665" s="88"/>
      <c r="M3665" s="88"/>
      <c r="N3665" s="88"/>
      <c r="O3665" s="88"/>
      <c r="P3665" s="88"/>
      <c r="Q3665" s="88"/>
      <c r="R3665" s="78">
        <f>MAX(S3665:W3665)</f>
        <v>0</v>
      </c>
      <c r="S3665" s="88"/>
      <c r="T3665" s="88"/>
      <c r="U3665" s="88"/>
      <c r="V3665" s="88"/>
      <c r="W3665" s="88"/>
    </row>
    <row r="3666" spans="2:23" s="0" customFormat="0" ht="15">
      <c r="B3666" s="87" t="s">
        <v>1</v>
      </c>
      <c r="C3666" s="88" t="s">
        <v>5259</v>
      </c>
      <c r="D3666" s="88" t="s">
        <v>2320</v>
      </c>
      <c r="E3666" s="88" t="s">
        <v>61</v>
      </c>
      <c r="F3666" s="88">
        <v>0</v>
      </c>
      <c r="G3666" s="78">
        <f>MAX(H3666,I3666,J3666)</f>
        <v>1</v>
      </c>
      <c r="H3666" s="88"/>
      <c r="I3666" s="88"/>
      <c r="J3666" s="78">
        <f>MAX(K3666:Q3666)</f>
        <v>1</v>
      </c>
      <c r="K3666" s="88">
        <v>1</v>
      </c>
      <c r="L3666" s="88"/>
      <c r="M3666" s="88"/>
      <c r="N3666" s="88"/>
      <c r="O3666" s="88"/>
      <c r="P3666" s="88"/>
      <c r="Q3666" s="88"/>
      <c r="R3666" s="78">
        <f>MAX(S3666:W3666)</f>
        <v>0</v>
      </c>
      <c r="S3666" s="88"/>
      <c r="T3666" s="88"/>
      <c r="U3666" s="88"/>
      <c r="V3666" s="88"/>
      <c r="W3666" s="88"/>
    </row>
    <row r="3667" spans="2:23" s="0" customFormat="0" ht="15">
      <c r="B3667" s="87" t="s">
        <v>1</v>
      </c>
      <c r="C3667" s="88" t="s">
        <v>5259</v>
      </c>
      <c r="D3667" s="88">
        <v>19178554</v>
      </c>
      <c r="E3667" s="88" t="s">
        <v>61</v>
      </c>
      <c r="F3667" s="88">
        <v>0</v>
      </c>
      <c r="G3667" s="78">
        <f>MAX(H3667,I3667,J3667)</f>
        <v>1</v>
      </c>
      <c r="H3667" s="88"/>
      <c r="I3667" s="88"/>
      <c r="J3667" s="78">
        <f>MAX(K3667:Q3667)</f>
        <v>1</v>
      </c>
      <c r="K3667" s="88">
        <v>1</v>
      </c>
      <c r="L3667" s="88"/>
      <c r="M3667" s="88"/>
      <c r="N3667" s="88"/>
      <c r="O3667" s="88"/>
      <c r="P3667" s="88"/>
      <c r="Q3667" s="88"/>
      <c r="R3667" s="78">
        <f>MAX(S3667:W3667)</f>
        <v>0</v>
      </c>
      <c r="S3667" s="88"/>
      <c r="T3667" s="88"/>
      <c r="U3667" s="88"/>
      <c r="V3667" s="88"/>
      <c r="W3667" s="88"/>
    </row>
    <row r="3668" spans="2:23" s="0" customFormat="0" ht="15">
      <c r="B3668" s="87" t="s">
        <v>1</v>
      </c>
      <c r="C3668" s="88" t="s">
        <v>5259</v>
      </c>
      <c r="D3668" s="88">
        <v>7031047</v>
      </c>
      <c r="E3668" s="88" t="s">
        <v>61</v>
      </c>
      <c r="F3668" s="88">
        <v>0</v>
      </c>
      <c r="G3668" s="78">
        <f>MAX(H3668,I3668,J3668)</f>
        <v>0</v>
      </c>
      <c r="H3668" s="88"/>
      <c r="I3668" s="88"/>
      <c r="J3668" s="78">
        <f>MAX(K3668:Q3668)</f>
        <v>0</v>
      </c>
      <c r="K3668" s="88"/>
      <c r="L3668" s="88"/>
      <c r="M3668" s="88"/>
      <c r="N3668" s="88"/>
      <c r="O3668" s="88"/>
      <c r="P3668" s="88"/>
      <c r="Q3668" s="88"/>
      <c r="R3668" s="78">
        <f>MAX(S3668:W3668)</f>
        <v>1</v>
      </c>
      <c r="S3668" s="88"/>
      <c r="T3668" s="88"/>
      <c r="U3668" s="88">
        <v>1</v>
      </c>
      <c r="V3668" s="88"/>
      <c r="W3668" s="88"/>
    </row>
    <row r="3669" spans="2:23" s="0" customFormat="0" ht="15">
      <c r="B3669" s="87" t="s">
        <v>1</v>
      </c>
      <c r="C3669" s="88" t="s">
        <v>5259</v>
      </c>
      <c r="D3669" s="88" t="s">
        <v>4791</v>
      </c>
      <c r="E3669" s="88" t="s">
        <v>61</v>
      </c>
      <c r="F3669" s="88">
        <v>0</v>
      </c>
      <c r="G3669" s="78">
        <f>MAX(H3669,I3669,J3669)</f>
        <v>0</v>
      </c>
      <c r="H3669" s="88"/>
      <c r="I3669" s="88"/>
      <c r="J3669" s="78">
        <f>MAX(K3669:Q3669)</f>
        <v>0</v>
      </c>
      <c r="K3669" s="88"/>
      <c r="L3669" s="88"/>
      <c r="M3669" s="88"/>
      <c r="N3669" s="88"/>
      <c r="O3669" s="88"/>
      <c r="P3669" s="88"/>
      <c r="Q3669" s="88"/>
      <c r="R3669" s="78">
        <f>MAX(S3669:W3669)</f>
        <v>1</v>
      </c>
      <c r="S3669" s="88"/>
      <c r="T3669" s="88"/>
      <c r="U3669" s="88">
        <v>1</v>
      </c>
      <c r="V3669" s="88"/>
      <c r="W3669" s="88"/>
    </row>
    <row r="3670" spans="2:23" s="0" customFormat="0" ht="15">
      <c r="B3670" s="87" t="s">
        <v>1</v>
      </c>
      <c r="C3670" s="88" t="s">
        <v>5259</v>
      </c>
      <c r="D3670" s="88" t="s">
        <v>4777</v>
      </c>
      <c r="E3670" s="88" t="s">
        <v>61</v>
      </c>
      <c r="F3670" s="88">
        <v>0</v>
      </c>
      <c r="G3670" s="78">
        <f>MAX(H3670,I3670,J3670)</f>
        <v>0</v>
      </c>
      <c r="H3670" s="88"/>
      <c r="I3670" s="88"/>
      <c r="J3670" s="78">
        <f>MAX(K3670:Q3670)</f>
        <v>0</v>
      </c>
      <c r="K3670" s="88"/>
      <c r="L3670" s="88"/>
      <c r="M3670" s="88"/>
      <c r="N3670" s="88"/>
      <c r="O3670" s="88"/>
      <c r="P3670" s="88"/>
      <c r="Q3670" s="88"/>
      <c r="R3670" s="78">
        <f>MAX(S3670:W3670)</f>
        <v>1</v>
      </c>
      <c r="S3670" s="88"/>
      <c r="T3670" s="88"/>
      <c r="U3670" s="88">
        <v>1</v>
      </c>
      <c r="V3670" s="88"/>
      <c r="W3670" s="88"/>
    </row>
    <row r="3671" spans="2:23" s="0" customFormat="0" ht="15">
      <c r="B3671" s="87" t="s">
        <v>1</v>
      </c>
      <c r="C3671" s="88" t="s">
        <v>5259</v>
      </c>
      <c r="D3671" s="88" t="s">
        <v>4793</v>
      </c>
      <c r="E3671" s="88" t="s">
        <v>61</v>
      </c>
      <c r="F3671" s="88">
        <v>0</v>
      </c>
      <c r="G3671" s="78">
        <f>MAX(H3671,I3671,J3671)</f>
        <v>0</v>
      </c>
      <c r="H3671" s="88"/>
      <c r="I3671" s="88"/>
      <c r="J3671" s="78">
        <f>MAX(K3671:Q3671)</f>
        <v>0</v>
      </c>
      <c r="K3671" s="88"/>
      <c r="L3671" s="88"/>
      <c r="M3671" s="88"/>
      <c r="N3671" s="88"/>
      <c r="O3671" s="88"/>
      <c r="P3671" s="88"/>
      <c r="Q3671" s="88"/>
      <c r="R3671" s="78">
        <f>MAX(S3671:W3671)</f>
        <v>1</v>
      </c>
      <c r="S3671" s="88"/>
      <c r="T3671" s="88"/>
      <c r="U3671" s="88">
        <v>1</v>
      </c>
      <c r="V3671" s="88"/>
      <c r="W3671" s="88"/>
    </row>
    <row r="3672" spans="2:23" s="0" customFormat="0" ht="15">
      <c r="B3672" s="87" t="s">
        <v>1</v>
      </c>
      <c r="C3672" s="88" t="s">
        <v>5259</v>
      </c>
      <c r="D3672" s="88">
        <v>8173683</v>
      </c>
      <c r="E3672" s="88" t="s">
        <v>61</v>
      </c>
      <c r="F3672" s="88">
        <v>0</v>
      </c>
      <c r="G3672" s="78">
        <f>MAX(H3672,I3672,J3672)</f>
        <v>1</v>
      </c>
      <c r="H3672" s="88"/>
      <c r="I3672" s="88"/>
      <c r="J3672" s="78">
        <f>MAX(K3672:Q3672)</f>
        <v>1</v>
      </c>
      <c r="K3672" s="88">
        <v>1</v>
      </c>
      <c r="L3672" s="88"/>
      <c r="M3672" s="88"/>
      <c r="N3672" s="88"/>
      <c r="O3672" s="88"/>
      <c r="P3672" s="88"/>
      <c r="Q3672" s="88"/>
      <c r="R3672" s="78">
        <f>MAX(S3672:W3672)</f>
        <v>0</v>
      </c>
      <c r="S3672" s="88"/>
      <c r="T3672" s="88"/>
      <c r="U3672" s="88"/>
      <c r="V3672" s="88"/>
      <c r="W3672" s="88"/>
    </row>
    <row r="3673" spans="2:23" s="0" customFormat="0" ht="15">
      <c r="B3673" s="87" t="s">
        <v>1</v>
      </c>
      <c r="C3673" s="88" t="s">
        <v>5259</v>
      </c>
      <c r="D3673" s="88">
        <v>14619690</v>
      </c>
      <c r="E3673" s="88" t="s">
        <v>61</v>
      </c>
      <c r="F3673" s="88">
        <v>0</v>
      </c>
      <c r="G3673" s="78">
        <f>MAX(H3673,I3673,J3673)</f>
        <v>1</v>
      </c>
      <c r="H3673" s="88"/>
      <c r="I3673" s="88"/>
      <c r="J3673" s="78">
        <f>MAX(K3673:Q3673)</f>
        <v>1</v>
      </c>
      <c r="K3673" s="88">
        <v>1</v>
      </c>
      <c r="L3673" s="88"/>
      <c r="M3673" s="88"/>
      <c r="N3673" s="88"/>
      <c r="O3673" s="88"/>
      <c r="P3673" s="88"/>
      <c r="Q3673" s="88"/>
      <c r="R3673" s="78">
        <f>MAX(S3673:W3673)</f>
        <v>0</v>
      </c>
      <c r="S3673" s="88"/>
      <c r="T3673" s="88"/>
      <c r="U3673" s="88"/>
      <c r="V3673" s="88"/>
      <c r="W3673" s="88"/>
    </row>
    <row r="3674" spans="2:23" s="0" customFormat="0" ht="15">
      <c r="B3674" s="87" t="s">
        <v>1</v>
      </c>
      <c r="C3674" s="88" t="s">
        <v>5259</v>
      </c>
      <c r="D3674" s="88">
        <v>4272787</v>
      </c>
      <c r="E3674" s="88" t="s">
        <v>61</v>
      </c>
      <c r="F3674" s="88">
        <v>0</v>
      </c>
      <c r="G3674" s="78">
        <f>MAX(H3674,I3674,J3674)</f>
        <v>1</v>
      </c>
      <c r="H3674" s="88"/>
      <c r="I3674" s="88"/>
      <c r="J3674" s="78">
        <f>MAX(K3674:Q3674)</f>
        <v>1</v>
      </c>
      <c r="K3674" s="88">
        <v>1</v>
      </c>
      <c r="L3674" s="88"/>
      <c r="M3674" s="88"/>
      <c r="N3674" s="88"/>
      <c r="O3674" s="88"/>
      <c r="P3674" s="88"/>
      <c r="Q3674" s="88"/>
      <c r="R3674" s="78">
        <f>MAX(S3674:W3674)</f>
        <v>0</v>
      </c>
      <c r="S3674" s="88"/>
      <c r="T3674" s="88"/>
      <c r="U3674" s="88"/>
      <c r="V3674" s="88"/>
      <c r="W3674" s="88"/>
    </row>
    <row r="3675" spans="2:23" s="0" customFormat="0" ht="15">
      <c r="B3675" s="87" t="s">
        <v>1</v>
      </c>
      <c r="C3675" s="88" t="s">
        <v>5259</v>
      </c>
      <c r="D3675" s="88">
        <v>23893620</v>
      </c>
      <c r="E3675" s="88" t="s">
        <v>61</v>
      </c>
      <c r="F3675" s="88">
        <v>0</v>
      </c>
      <c r="G3675" s="78">
        <f>MAX(H3675,I3675,J3675)</f>
        <v>1</v>
      </c>
      <c r="H3675" s="88"/>
      <c r="I3675" s="88"/>
      <c r="J3675" s="78">
        <f>MAX(K3675:Q3675)</f>
        <v>1</v>
      </c>
      <c r="K3675" s="88">
        <v>1</v>
      </c>
      <c r="L3675" s="88"/>
      <c r="M3675" s="88"/>
      <c r="N3675" s="88"/>
      <c r="O3675" s="88"/>
      <c r="P3675" s="88"/>
      <c r="Q3675" s="88"/>
      <c r="R3675" s="78">
        <f>MAX(S3675:W3675)</f>
        <v>0</v>
      </c>
      <c r="S3675" s="88"/>
      <c r="T3675" s="88"/>
      <c r="U3675" s="88"/>
      <c r="V3675" s="88"/>
      <c r="W3675" s="88"/>
    </row>
    <row r="3676" spans="2:23" s="0" customFormat="0" ht="15">
      <c r="B3676" s="87" t="s">
        <v>1</v>
      </c>
      <c r="C3676" s="88" t="s">
        <v>5259</v>
      </c>
      <c r="D3676" s="88" t="s">
        <v>2324</v>
      </c>
      <c r="E3676" s="88" t="s">
        <v>61</v>
      </c>
      <c r="F3676" s="88">
        <v>0</v>
      </c>
      <c r="G3676" s="78">
        <f>MAX(H3676,I3676,J3676)</f>
        <v>1</v>
      </c>
      <c r="H3676" s="88"/>
      <c r="I3676" s="88"/>
      <c r="J3676" s="78">
        <f>MAX(K3676:Q3676)</f>
        <v>1</v>
      </c>
      <c r="K3676" s="88">
        <v>1</v>
      </c>
      <c r="L3676" s="88"/>
      <c r="M3676" s="88"/>
      <c r="N3676" s="88"/>
      <c r="O3676" s="88"/>
      <c r="P3676" s="88"/>
      <c r="Q3676" s="88"/>
      <c r="R3676" s="78">
        <f>MAX(S3676:W3676)</f>
        <v>0</v>
      </c>
      <c r="S3676" s="88"/>
      <c r="T3676" s="88"/>
      <c r="U3676" s="88"/>
      <c r="V3676" s="88"/>
      <c r="W3676" s="88"/>
    </row>
    <row r="3677" spans="2:23" s="0" customFormat="0" ht="15">
      <c r="B3677" s="87" t="s">
        <v>1</v>
      </c>
      <c r="C3677" s="88" t="s">
        <v>5259</v>
      </c>
      <c r="D3677" s="88">
        <v>19686291</v>
      </c>
      <c r="E3677" s="88" t="s">
        <v>61</v>
      </c>
      <c r="F3677" s="88">
        <v>0</v>
      </c>
      <c r="G3677" s="78">
        <f>MAX(H3677,I3677,J3677)</f>
        <v>1</v>
      </c>
      <c r="H3677" s="88"/>
      <c r="I3677" s="88"/>
      <c r="J3677" s="78">
        <f>MAX(K3677:Q3677)</f>
        <v>1</v>
      </c>
      <c r="K3677" s="88">
        <v>1</v>
      </c>
      <c r="L3677" s="88"/>
      <c r="M3677" s="88"/>
      <c r="N3677" s="88"/>
      <c r="O3677" s="88"/>
      <c r="P3677" s="88"/>
      <c r="Q3677" s="88"/>
      <c r="R3677" s="78">
        <f>MAX(S3677:W3677)</f>
        <v>0</v>
      </c>
      <c r="S3677" s="88"/>
      <c r="T3677" s="88"/>
      <c r="U3677" s="88"/>
      <c r="V3677" s="88"/>
      <c r="W3677" s="88"/>
    </row>
    <row r="3678" spans="2:23" s="0" customFormat="0" ht="15">
      <c r="B3678" s="87" t="s">
        <v>1</v>
      </c>
      <c r="C3678" s="88" t="s">
        <v>5259</v>
      </c>
      <c r="D3678" s="88" t="s">
        <v>2237</v>
      </c>
      <c r="E3678" s="88" t="s">
        <v>61</v>
      </c>
      <c r="F3678" s="88">
        <v>0</v>
      </c>
      <c r="G3678" s="78">
        <f>MAX(H3678,I3678,J3678)</f>
        <v>1</v>
      </c>
      <c r="H3678" s="88"/>
      <c r="I3678" s="88"/>
      <c r="J3678" s="78">
        <f>MAX(K3678:Q3678)</f>
        <v>1</v>
      </c>
      <c r="K3678" s="88">
        <v>1</v>
      </c>
      <c r="L3678" s="88"/>
      <c r="M3678" s="88"/>
      <c r="N3678" s="88"/>
      <c r="O3678" s="88"/>
      <c r="P3678" s="88"/>
      <c r="Q3678" s="88"/>
      <c r="R3678" s="78">
        <f>MAX(S3678:W3678)</f>
        <v>0</v>
      </c>
      <c r="S3678" s="88"/>
      <c r="T3678" s="88"/>
      <c r="U3678" s="88"/>
      <c r="V3678" s="88"/>
      <c r="W3678" s="88"/>
    </row>
    <row r="3679" spans="2:23" s="0" customFormat="0" ht="15">
      <c r="B3679" s="87" t="s">
        <v>1</v>
      </c>
      <c r="C3679" s="88" t="s">
        <v>5259</v>
      </c>
      <c r="D3679" s="88" t="s">
        <v>4687</v>
      </c>
      <c r="E3679" s="88" t="s">
        <v>61</v>
      </c>
      <c r="F3679" s="88">
        <v>0</v>
      </c>
      <c r="G3679" s="78">
        <f>MAX(H3679,I3679,J3679)</f>
        <v>0</v>
      </c>
      <c r="H3679" s="88"/>
      <c r="I3679" s="88"/>
      <c r="J3679" s="78">
        <f>MAX(K3679:Q3679)</f>
        <v>0</v>
      </c>
      <c r="K3679" s="88"/>
      <c r="L3679" s="88"/>
      <c r="M3679" s="88"/>
      <c r="N3679" s="88"/>
      <c r="O3679" s="88"/>
      <c r="P3679" s="88"/>
      <c r="Q3679" s="88"/>
      <c r="R3679" s="78">
        <f>MAX(S3679:W3679)</f>
        <v>1</v>
      </c>
      <c r="S3679" s="88"/>
      <c r="T3679" s="88"/>
      <c r="U3679" s="88">
        <v>1</v>
      </c>
      <c r="V3679" s="88"/>
      <c r="W3679" s="88"/>
    </row>
    <row r="3680" spans="2:23" s="0" customFormat="0" ht="15">
      <c r="B3680" s="87" t="s">
        <v>1</v>
      </c>
      <c r="C3680" s="88" t="s">
        <v>5259</v>
      </c>
      <c r="D3680" s="88" t="s">
        <v>4729</v>
      </c>
      <c r="E3680" s="88" t="s">
        <v>61</v>
      </c>
      <c r="F3680" s="88">
        <v>0</v>
      </c>
      <c r="G3680" s="78">
        <f>MAX(H3680,I3680,J3680)</f>
        <v>0</v>
      </c>
      <c r="H3680" s="88"/>
      <c r="I3680" s="88"/>
      <c r="J3680" s="78">
        <f>MAX(K3680:Q3680)</f>
        <v>0</v>
      </c>
      <c r="K3680" s="88"/>
      <c r="L3680" s="88"/>
      <c r="M3680" s="88"/>
      <c r="N3680" s="88"/>
      <c r="O3680" s="88"/>
      <c r="P3680" s="88"/>
      <c r="Q3680" s="88"/>
      <c r="R3680" s="78">
        <f>MAX(S3680:W3680)</f>
        <v>1</v>
      </c>
      <c r="S3680" s="88"/>
      <c r="T3680" s="88"/>
      <c r="U3680" s="88">
        <v>1</v>
      </c>
      <c r="V3680" s="88"/>
      <c r="W3680" s="88"/>
    </row>
    <row r="3681" spans="2:23" s="0" customFormat="0" ht="15">
      <c r="B3681" s="87" t="s">
        <v>1</v>
      </c>
      <c r="C3681" s="88" t="s">
        <v>5259</v>
      </c>
      <c r="D3681" s="88">
        <v>4085814</v>
      </c>
      <c r="E3681" s="88" t="s">
        <v>61</v>
      </c>
      <c r="F3681" s="88">
        <v>0</v>
      </c>
      <c r="G3681" s="78">
        <f>MAX(H3681,I3681,J3681)</f>
        <v>0</v>
      </c>
      <c r="H3681" s="88"/>
      <c r="I3681" s="88"/>
      <c r="J3681" s="78">
        <f>MAX(K3681:Q3681)</f>
        <v>0</v>
      </c>
      <c r="K3681" s="88"/>
      <c r="L3681" s="88"/>
      <c r="M3681" s="88"/>
      <c r="N3681" s="88"/>
      <c r="O3681" s="88"/>
      <c r="P3681" s="88"/>
      <c r="Q3681" s="88"/>
      <c r="R3681" s="78">
        <f>MAX(S3681:W3681)</f>
        <v>1</v>
      </c>
      <c r="S3681" s="88"/>
      <c r="T3681" s="88"/>
      <c r="U3681" s="88">
        <v>1</v>
      </c>
      <c r="V3681" s="88"/>
      <c r="W3681" s="88"/>
    </row>
    <row r="3682" spans="2:23" s="0" customFormat="0" ht="15">
      <c r="B3682" s="87" t="s">
        <v>1</v>
      </c>
      <c r="C3682" s="88" t="s">
        <v>5259</v>
      </c>
      <c r="D3682" s="88">
        <v>19503911</v>
      </c>
      <c r="E3682" s="88" t="s">
        <v>61</v>
      </c>
      <c r="F3682" s="88">
        <v>0</v>
      </c>
      <c r="G3682" s="78">
        <f>MAX(H3682,I3682,J3682)</f>
        <v>1</v>
      </c>
      <c r="H3682" s="88"/>
      <c r="I3682" s="88"/>
      <c r="J3682" s="78">
        <f>MAX(K3682:Q3682)</f>
        <v>1</v>
      </c>
      <c r="K3682" s="88">
        <v>1</v>
      </c>
      <c r="L3682" s="88"/>
      <c r="M3682" s="88"/>
      <c r="N3682" s="88"/>
      <c r="O3682" s="88"/>
      <c r="P3682" s="88"/>
      <c r="Q3682" s="88"/>
      <c r="R3682" s="78">
        <f>MAX(S3682:W3682)</f>
        <v>0</v>
      </c>
      <c r="S3682" s="88"/>
      <c r="T3682" s="88"/>
      <c r="U3682" s="88"/>
      <c r="V3682" s="88"/>
      <c r="W3682" s="88"/>
    </row>
    <row r="3683" spans="2:23" s="0" customFormat="0" ht="15">
      <c r="B3683" s="87" t="s">
        <v>1</v>
      </c>
      <c r="C3683" s="88" t="s">
        <v>5259</v>
      </c>
      <c r="D3683" s="88" t="s">
        <v>2328</v>
      </c>
      <c r="E3683" s="88" t="s">
        <v>61</v>
      </c>
      <c r="F3683" s="88">
        <v>0</v>
      </c>
      <c r="G3683" s="78">
        <f>MAX(H3683,I3683,J3683)</f>
        <v>1</v>
      </c>
      <c r="H3683" s="88"/>
      <c r="I3683" s="88"/>
      <c r="J3683" s="78">
        <f>MAX(K3683:Q3683)</f>
        <v>1</v>
      </c>
      <c r="K3683" s="88">
        <v>1</v>
      </c>
      <c r="L3683" s="88"/>
      <c r="M3683" s="88"/>
      <c r="N3683" s="88"/>
      <c r="O3683" s="88"/>
      <c r="P3683" s="88"/>
      <c r="Q3683" s="88"/>
      <c r="R3683" s="78">
        <f>MAX(S3683:W3683)</f>
        <v>0</v>
      </c>
      <c r="S3683" s="88"/>
      <c r="T3683" s="88"/>
      <c r="U3683" s="88"/>
      <c r="V3683" s="88"/>
      <c r="W3683" s="88"/>
    </row>
    <row r="3684" spans="2:23" s="0" customFormat="0" ht="15">
      <c r="B3684" s="87" t="s">
        <v>1</v>
      </c>
      <c r="C3684" s="88" t="s">
        <v>5259</v>
      </c>
      <c r="D3684" s="88">
        <v>21736770</v>
      </c>
      <c r="E3684" s="88" t="s">
        <v>61</v>
      </c>
      <c r="F3684" s="88">
        <v>0</v>
      </c>
      <c r="G3684" s="78">
        <f>MAX(H3684,I3684,J3684)</f>
        <v>1</v>
      </c>
      <c r="H3684" s="88"/>
      <c r="I3684" s="88"/>
      <c r="J3684" s="78">
        <f>MAX(K3684:Q3684)</f>
        <v>1</v>
      </c>
      <c r="K3684" s="88">
        <v>1</v>
      </c>
      <c r="L3684" s="88"/>
      <c r="M3684" s="88"/>
      <c r="N3684" s="88"/>
      <c r="O3684" s="88"/>
      <c r="P3684" s="88"/>
      <c r="Q3684" s="88"/>
      <c r="R3684" s="78">
        <f>MAX(S3684:W3684)</f>
        <v>0</v>
      </c>
      <c r="S3684" s="88"/>
      <c r="T3684" s="88"/>
      <c r="U3684" s="88"/>
      <c r="V3684" s="88"/>
      <c r="W3684" s="88"/>
    </row>
    <row r="3685" spans="2:23" s="0" customFormat="0" ht="15">
      <c r="B3685" s="87" t="s">
        <v>1</v>
      </c>
      <c r="C3685" s="88" t="s">
        <v>5259</v>
      </c>
      <c r="D3685" s="88" t="s">
        <v>4796</v>
      </c>
      <c r="E3685" s="88" t="s">
        <v>61</v>
      </c>
      <c r="F3685" s="88">
        <v>0</v>
      </c>
      <c r="G3685" s="78">
        <f>MAX(H3685,I3685,J3685)</f>
        <v>0</v>
      </c>
      <c r="H3685" s="88"/>
      <c r="I3685" s="88"/>
      <c r="J3685" s="78">
        <f>MAX(K3685:Q3685)</f>
        <v>0</v>
      </c>
      <c r="K3685" s="88"/>
      <c r="L3685" s="88"/>
      <c r="M3685" s="88"/>
      <c r="N3685" s="88"/>
      <c r="O3685" s="88"/>
      <c r="P3685" s="88"/>
      <c r="Q3685" s="88"/>
      <c r="R3685" s="78">
        <f>MAX(S3685:W3685)</f>
        <v>1</v>
      </c>
      <c r="S3685" s="88"/>
      <c r="T3685" s="88"/>
      <c r="U3685" s="88">
        <v>1</v>
      </c>
      <c r="V3685" s="88"/>
      <c r="W3685" s="88"/>
    </row>
    <row r="3686" spans="2:23" s="0" customFormat="0" ht="15">
      <c r="B3686" s="87" t="s">
        <v>1</v>
      </c>
      <c r="C3686" s="88" t="s">
        <v>5259</v>
      </c>
      <c r="D3686" s="88" t="s">
        <v>3857</v>
      </c>
      <c r="E3686" s="88" t="s">
        <v>61</v>
      </c>
      <c r="F3686" s="88">
        <v>0</v>
      </c>
      <c r="G3686" s="78">
        <f>MAX(H3686,I3686,J3686)</f>
        <v>0</v>
      </c>
      <c r="H3686" s="88"/>
      <c r="I3686" s="88"/>
      <c r="J3686" s="78">
        <f>MAX(K3686:Q3686)</f>
        <v>0</v>
      </c>
      <c r="K3686" s="88"/>
      <c r="L3686" s="88"/>
      <c r="M3686" s="88"/>
      <c r="N3686" s="88"/>
      <c r="O3686" s="88"/>
      <c r="P3686" s="88"/>
      <c r="Q3686" s="88"/>
      <c r="R3686" s="78">
        <f>MAX(S3686:W3686)</f>
        <v>1</v>
      </c>
      <c r="S3686" s="88"/>
      <c r="T3686" s="88"/>
      <c r="U3686" s="88">
        <v>1</v>
      </c>
      <c r="V3686" s="88"/>
      <c r="W3686" s="88"/>
    </row>
    <row r="3687" spans="2:23" s="0" customFormat="0" ht="15">
      <c r="B3687" s="87" t="s">
        <v>1</v>
      </c>
      <c r="C3687" s="88" t="s">
        <v>5259</v>
      </c>
      <c r="D3687" s="88" t="s">
        <v>2017</v>
      </c>
      <c r="E3687" s="88" t="s">
        <v>61</v>
      </c>
      <c r="F3687" s="88">
        <v>0</v>
      </c>
      <c r="G3687" s="78">
        <f>MAX(H3687,I3687,J3687)</f>
        <v>1</v>
      </c>
      <c r="H3687" s="88"/>
      <c r="I3687" s="88"/>
      <c r="J3687" s="78">
        <f>MAX(K3687:Q3687)</f>
        <v>1</v>
      </c>
      <c r="K3687" s="88">
        <v>1</v>
      </c>
      <c r="L3687" s="88"/>
      <c r="M3687" s="88"/>
      <c r="N3687" s="88"/>
      <c r="O3687" s="88"/>
      <c r="P3687" s="88"/>
      <c r="Q3687" s="88"/>
      <c r="R3687" s="78">
        <f>MAX(S3687:W3687)</f>
        <v>0</v>
      </c>
      <c r="S3687" s="88"/>
      <c r="T3687" s="88"/>
      <c r="U3687" s="88"/>
      <c r="V3687" s="88"/>
      <c r="W3687" s="88"/>
    </row>
    <row r="3688" spans="2:23" s="0" customFormat="0" ht="15">
      <c r="B3688" s="87" t="s">
        <v>1</v>
      </c>
      <c r="C3688" s="88" t="s">
        <v>5259</v>
      </c>
      <c r="D3688" s="88">
        <v>24139040</v>
      </c>
      <c r="E3688" s="88" t="s">
        <v>61</v>
      </c>
      <c r="F3688" s="88">
        <v>0</v>
      </c>
      <c r="G3688" s="78">
        <f>MAX(H3688,I3688,J3688)</f>
        <v>1</v>
      </c>
      <c r="H3688" s="88"/>
      <c r="I3688" s="88"/>
      <c r="J3688" s="78">
        <f>MAX(K3688:Q3688)</f>
        <v>1</v>
      </c>
      <c r="K3688" s="88"/>
      <c r="L3688" s="88"/>
      <c r="M3688" s="88">
        <v>1</v>
      </c>
      <c r="N3688" s="88"/>
      <c r="O3688" s="88"/>
      <c r="P3688" s="88"/>
      <c r="Q3688" s="88"/>
      <c r="R3688" s="78">
        <f>MAX(S3688:W3688)</f>
        <v>0</v>
      </c>
      <c r="S3688" s="88"/>
      <c r="T3688" s="88"/>
      <c r="U3688" s="88"/>
      <c r="V3688" s="88"/>
      <c r="W3688" s="88"/>
    </row>
    <row r="3689" spans="2:23" s="0" customFormat="0" ht="15">
      <c r="B3689" s="87" t="s">
        <v>1</v>
      </c>
      <c r="C3689" s="88" t="s">
        <v>5259</v>
      </c>
      <c r="D3689" s="88" t="s">
        <v>2331</v>
      </c>
      <c r="E3689" s="88" t="s">
        <v>61</v>
      </c>
      <c r="F3689" s="88">
        <v>0</v>
      </c>
      <c r="G3689" s="78">
        <f>MAX(H3689,I3689,J3689)</f>
        <v>1</v>
      </c>
      <c r="H3689" s="88"/>
      <c r="I3689" s="88"/>
      <c r="J3689" s="78">
        <f>MAX(K3689:Q3689)</f>
        <v>1</v>
      </c>
      <c r="K3689" s="88">
        <v>1</v>
      </c>
      <c r="L3689" s="88"/>
      <c r="M3689" s="88"/>
      <c r="N3689" s="88"/>
      <c r="O3689" s="88"/>
      <c r="P3689" s="88"/>
      <c r="Q3689" s="88"/>
      <c r="R3689" s="78">
        <f>MAX(S3689:W3689)</f>
        <v>0</v>
      </c>
      <c r="S3689" s="88"/>
      <c r="T3689" s="88"/>
      <c r="U3689" s="88"/>
      <c r="V3689" s="88"/>
      <c r="W3689" s="88"/>
    </row>
    <row r="3690" spans="2:23" s="0" customFormat="0" ht="15">
      <c r="B3690" s="87" t="s">
        <v>1</v>
      </c>
      <c r="C3690" s="88" t="s">
        <v>5259</v>
      </c>
      <c r="D3690" s="88">
        <v>14923621</v>
      </c>
      <c r="E3690" s="88" t="s">
        <v>61</v>
      </c>
      <c r="F3690" s="88">
        <v>0</v>
      </c>
      <c r="G3690" s="78">
        <f>MAX(H3690,I3690,J3690)</f>
        <v>1</v>
      </c>
      <c r="H3690" s="88"/>
      <c r="I3690" s="88"/>
      <c r="J3690" s="78">
        <f>MAX(K3690:Q3690)</f>
        <v>1</v>
      </c>
      <c r="K3690" s="88">
        <v>1</v>
      </c>
      <c r="L3690" s="88"/>
      <c r="M3690" s="88"/>
      <c r="N3690" s="88"/>
      <c r="O3690" s="88"/>
      <c r="P3690" s="88"/>
      <c r="Q3690" s="88"/>
      <c r="R3690" s="78">
        <f>MAX(S3690:W3690)</f>
        <v>0</v>
      </c>
      <c r="S3690" s="88"/>
      <c r="T3690" s="88"/>
      <c r="U3690" s="88"/>
      <c r="V3690" s="88"/>
      <c r="W3690" s="88"/>
    </row>
    <row r="3691" spans="2:23" s="0" customFormat="0" ht="15">
      <c r="B3691" s="87" t="s">
        <v>1</v>
      </c>
      <c r="C3691" s="88" t="s">
        <v>5259</v>
      </c>
      <c r="D3691" s="88">
        <v>24621131</v>
      </c>
      <c r="E3691" s="88" t="s">
        <v>61</v>
      </c>
      <c r="F3691" s="88">
        <v>0</v>
      </c>
      <c r="G3691" s="78">
        <f>MAX(H3691,I3691,J3691)</f>
        <v>1</v>
      </c>
      <c r="H3691" s="88"/>
      <c r="I3691" s="88"/>
      <c r="J3691" s="78">
        <f>MAX(K3691:Q3691)</f>
        <v>1</v>
      </c>
      <c r="K3691" s="88"/>
      <c r="L3691" s="88"/>
      <c r="M3691" s="88">
        <v>1</v>
      </c>
      <c r="N3691" s="88"/>
      <c r="O3691" s="88"/>
      <c r="P3691" s="88"/>
      <c r="Q3691" s="88"/>
      <c r="R3691" s="78">
        <f>MAX(S3691:W3691)</f>
        <v>0</v>
      </c>
      <c r="S3691" s="88"/>
      <c r="T3691" s="88"/>
      <c r="U3691" s="88"/>
      <c r="V3691" s="88"/>
      <c r="W3691" s="88"/>
    </row>
    <row r="3692" spans="2:23" s="0" customFormat="0" ht="15">
      <c r="B3692" s="87" t="s">
        <v>1</v>
      </c>
      <c r="C3692" s="88" t="s">
        <v>5259</v>
      </c>
      <c r="D3692" s="88">
        <v>17095258</v>
      </c>
      <c r="E3692" s="88" t="s">
        <v>61</v>
      </c>
      <c r="F3692" s="88">
        <v>0</v>
      </c>
      <c r="G3692" s="78">
        <f>MAX(H3692,I3692,J3692)</f>
        <v>1</v>
      </c>
      <c r="H3692" s="88"/>
      <c r="I3692" s="88"/>
      <c r="J3692" s="78">
        <f>MAX(K3692:Q3692)</f>
        <v>1</v>
      </c>
      <c r="K3692" s="88">
        <v>1</v>
      </c>
      <c r="L3692" s="88"/>
      <c r="M3692" s="88"/>
      <c r="N3692" s="88"/>
      <c r="O3692" s="88"/>
      <c r="P3692" s="88"/>
      <c r="Q3692" s="88"/>
      <c r="R3692" s="78">
        <f>MAX(S3692:W3692)</f>
        <v>0</v>
      </c>
      <c r="S3692" s="88"/>
      <c r="T3692" s="88"/>
      <c r="U3692" s="88"/>
      <c r="V3692" s="88"/>
      <c r="W3692" s="88"/>
    </row>
    <row r="3693" spans="2:23" s="0" customFormat="0" ht="15">
      <c r="B3693" s="87" t="s">
        <v>1</v>
      </c>
      <c r="C3693" s="88" t="s">
        <v>5259</v>
      </c>
      <c r="D3693" s="88">
        <v>10654400</v>
      </c>
      <c r="E3693" s="88" t="s">
        <v>61</v>
      </c>
      <c r="F3693" s="88">
        <v>0</v>
      </c>
      <c r="G3693" s="78">
        <f>MAX(H3693,I3693,J3693)</f>
        <v>1</v>
      </c>
      <c r="H3693" s="88"/>
      <c r="I3693" s="88"/>
      <c r="J3693" s="78">
        <f>MAX(K3693:Q3693)</f>
        <v>1</v>
      </c>
      <c r="K3693" s="88">
        <v>1</v>
      </c>
      <c r="L3693" s="88"/>
      <c r="M3693" s="88"/>
      <c r="N3693" s="88"/>
      <c r="O3693" s="88"/>
      <c r="P3693" s="88"/>
      <c r="Q3693" s="88"/>
      <c r="R3693" s="78">
        <f>MAX(S3693:W3693)</f>
        <v>0</v>
      </c>
      <c r="S3693" s="88"/>
      <c r="T3693" s="88"/>
      <c r="U3693" s="88"/>
      <c r="V3693" s="88"/>
      <c r="W3693" s="88"/>
    </row>
    <row r="3694" spans="2:23" s="0" customFormat="0" ht="15">
      <c r="B3694" s="87" t="s">
        <v>1</v>
      </c>
      <c r="C3694" s="88" t="s">
        <v>5259</v>
      </c>
      <c r="D3694" s="88">
        <v>22554309</v>
      </c>
      <c r="E3694" s="88" t="s">
        <v>61</v>
      </c>
      <c r="F3694" s="88">
        <v>0</v>
      </c>
      <c r="G3694" s="78">
        <f>MAX(H3694,I3694,J3694)</f>
        <v>0</v>
      </c>
      <c r="H3694" s="88"/>
      <c r="I3694" s="88"/>
      <c r="J3694" s="78">
        <f>MAX(K3694:Q3694)</f>
        <v>0</v>
      </c>
      <c r="K3694" s="88"/>
      <c r="L3694" s="88"/>
      <c r="M3694" s="88"/>
      <c r="N3694" s="88"/>
      <c r="O3694" s="88"/>
      <c r="P3694" s="88"/>
      <c r="Q3694" s="88"/>
      <c r="R3694" s="78">
        <f>MAX(S3694:W3694)</f>
        <v>1</v>
      </c>
      <c r="S3694" s="88"/>
      <c r="T3694" s="88"/>
      <c r="U3694" s="88">
        <v>1</v>
      </c>
      <c r="V3694" s="88"/>
      <c r="W3694" s="88"/>
    </row>
    <row r="3695" spans="2:23" s="0" customFormat="0" ht="15">
      <c r="B3695" s="87" t="s">
        <v>1</v>
      </c>
      <c r="C3695" s="88" t="s">
        <v>5259</v>
      </c>
      <c r="D3695" s="88" t="s">
        <v>4798</v>
      </c>
      <c r="E3695" s="88" t="s">
        <v>61</v>
      </c>
      <c r="F3695" s="88">
        <v>0</v>
      </c>
      <c r="G3695" s="78">
        <f>MAX(H3695,I3695,J3695)</f>
        <v>0</v>
      </c>
      <c r="H3695" s="88"/>
      <c r="I3695" s="88"/>
      <c r="J3695" s="78">
        <f>MAX(K3695:Q3695)</f>
        <v>0</v>
      </c>
      <c r="K3695" s="88"/>
      <c r="L3695" s="88"/>
      <c r="M3695" s="88"/>
      <c r="N3695" s="88"/>
      <c r="O3695" s="88"/>
      <c r="P3695" s="88"/>
      <c r="Q3695" s="88"/>
      <c r="R3695" s="78">
        <f>MAX(S3695:W3695)</f>
        <v>1</v>
      </c>
      <c r="S3695" s="88"/>
      <c r="T3695" s="88"/>
      <c r="U3695" s="88">
        <v>1</v>
      </c>
      <c r="V3695" s="88"/>
      <c r="W3695" s="88"/>
    </row>
    <row r="3696" spans="2:23" s="0" customFormat="0" ht="15">
      <c r="B3696" s="87" t="s">
        <v>1</v>
      </c>
      <c r="C3696" s="88" t="s">
        <v>5259</v>
      </c>
      <c r="D3696" s="88" t="s">
        <v>4800</v>
      </c>
      <c r="E3696" s="88" t="s">
        <v>61</v>
      </c>
      <c r="F3696" s="88">
        <v>0</v>
      </c>
      <c r="G3696" s="78">
        <f>MAX(H3696,I3696,J3696)</f>
        <v>0</v>
      </c>
      <c r="H3696" s="88"/>
      <c r="I3696" s="88"/>
      <c r="J3696" s="78">
        <f>MAX(K3696:Q3696)</f>
        <v>0</v>
      </c>
      <c r="K3696" s="88"/>
      <c r="L3696" s="88"/>
      <c r="M3696" s="88"/>
      <c r="N3696" s="88"/>
      <c r="O3696" s="88"/>
      <c r="P3696" s="88"/>
      <c r="Q3696" s="88"/>
      <c r="R3696" s="78">
        <f>MAX(S3696:W3696)</f>
        <v>1</v>
      </c>
      <c r="S3696" s="88"/>
      <c r="T3696" s="88"/>
      <c r="U3696" s="88">
        <v>1</v>
      </c>
      <c r="V3696" s="88"/>
      <c r="W3696" s="88"/>
    </row>
    <row r="3697" spans="2:23" s="0" customFormat="0" ht="15">
      <c r="B3697" s="87" t="s">
        <v>1</v>
      </c>
      <c r="C3697" s="88" t="s">
        <v>5259</v>
      </c>
      <c r="D3697" s="88">
        <v>21151211</v>
      </c>
      <c r="E3697" s="88" t="s">
        <v>61</v>
      </c>
      <c r="F3697" s="88">
        <v>0</v>
      </c>
      <c r="G3697" s="78">
        <f>MAX(H3697,I3697,J3697)</f>
        <v>1</v>
      </c>
      <c r="H3697" s="88"/>
      <c r="I3697" s="88"/>
      <c r="J3697" s="78">
        <f>MAX(K3697:Q3697)</f>
        <v>1</v>
      </c>
      <c r="K3697" s="88">
        <v>1</v>
      </c>
      <c r="L3697" s="88"/>
      <c r="M3697" s="88"/>
      <c r="N3697" s="88"/>
      <c r="O3697" s="88"/>
      <c r="P3697" s="88"/>
      <c r="Q3697" s="88"/>
      <c r="R3697" s="78">
        <f>MAX(S3697:W3697)</f>
        <v>0</v>
      </c>
      <c r="S3697" s="88"/>
      <c r="T3697" s="88"/>
      <c r="U3697" s="88"/>
      <c r="V3697" s="88"/>
      <c r="W3697" s="88"/>
    </row>
    <row r="3698" spans="2:23" s="0" customFormat="0" ht="15">
      <c r="B3698" s="87" t="s">
        <v>1</v>
      </c>
      <c r="C3698" s="88" t="s">
        <v>5259</v>
      </c>
      <c r="D3698" s="88" t="s">
        <v>4620</v>
      </c>
      <c r="E3698" s="88" t="s">
        <v>61</v>
      </c>
      <c r="F3698" s="88">
        <v>0</v>
      </c>
      <c r="G3698" s="78">
        <f>MAX(H3698,I3698,J3698)</f>
        <v>0</v>
      </c>
      <c r="H3698" s="88"/>
      <c r="I3698" s="88"/>
      <c r="J3698" s="78">
        <f>MAX(K3698:Q3698)</f>
        <v>0</v>
      </c>
      <c r="K3698" s="88"/>
      <c r="L3698" s="88"/>
      <c r="M3698" s="88"/>
      <c r="N3698" s="88"/>
      <c r="O3698" s="88"/>
      <c r="P3698" s="88"/>
      <c r="Q3698" s="88"/>
      <c r="R3698" s="78">
        <f>MAX(S3698:W3698)</f>
        <v>1</v>
      </c>
      <c r="S3698" s="88"/>
      <c r="T3698" s="88"/>
      <c r="U3698" s="88">
        <v>1</v>
      </c>
      <c r="V3698" s="88"/>
      <c r="W3698" s="88"/>
    </row>
    <row r="3699" spans="2:23" s="0" customFormat="0" ht="15">
      <c r="B3699" s="87" t="s">
        <v>1</v>
      </c>
      <c r="C3699" s="88" t="s">
        <v>5259</v>
      </c>
      <c r="D3699" s="88" t="s">
        <v>4802</v>
      </c>
      <c r="E3699" s="88" t="s">
        <v>61</v>
      </c>
      <c r="F3699" s="88">
        <v>0</v>
      </c>
      <c r="G3699" s="78">
        <f>MAX(H3699,I3699,J3699)</f>
        <v>0</v>
      </c>
      <c r="H3699" s="88"/>
      <c r="I3699" s="88"/>
      <c r="J3699" s="78">
        <f>MAX(K3699:Q3699)</f>
        <v>0</v>
      </c>
      <c r="K3699" s="88"/>
      <c r="L3699" s="88"/>
      <c r="M3699" s="88"/>
      <c r="N3699" s="88"/>
      <c r="O3699" s="88"/>
      <c r="P3699" s="88"/>
      <c r="Q3699" s="88"/>
      <c r="R3699" s="78">
        <f>MAX(S3699:W3699)</f>
        <v>1</v>
      </c>
      <c r="S3699" s="88"/>
      <c r="T3699" s="88"/>
      <c r="U3699" s="88">
        <v>1</v>
      </c>
      <c r="V3699" s="88"/>
      <c r="W3699" s="88"/>
    </row>
    <row r="3700" spans="2:23" s="0" customFormat="0" ht="15">
      <c r="B3700" s="87" t="s">
        <v>1</v>
      </c>
      <c r="C3700" s="88" t="s">
        <v>5259</v>
      </c>
      <c r="D3700" s="88">
        <v>20763534</v>
      </c>
      <c r="E3700" s="88" t="s">
        <v>61</v>
      </c>
      <c r="F3700" s="88">
        <v>0</v>
      </c>
      <c r="G3700" s="78">
        <f>MAX(H3700,I3700,J3700)</f>
        <v>1</v>
      </c>
      <c r="H3700" s="88"/>
      <c r="I3700" s="88"/>
      <c r="J3700" s="78">
        <f>MAX(K3700:Q3700)</f>
        <v>1</v>
      </c>
      <c r="K3700" s="88">
        <v>1</v>
      </c>
      <c r="L3700" s="88"/>
      <c r="M3700" s="88"/>
      <c r="N3700" s="88"/>
      <c r="O3700" s="88"/>
      <c r="P3700" s="88"/>
      <c r="Q3700" s="88"/>
      <c r="R3700" s="78">
        <f>MAX(S3700:W3700)</f>
        <v>0</v>
      </c>
      <c r="S3700" s="88"/>
      <c r="T3700" s="88"/>
      <c r="U3700" s="88"/>
      <c r="V3700" s="88"/>
      <c r="W3700" s="88"/>
    </row>
    <row r="3701" spans="2:23" s="0" customFormat="0" ht="15">
      <c r="B3701" s="87" t="s">
        <v>1</v>
      </c>
      <c r="C3701" s="88" t="s">
        <v>5259</v>
      </c>
      <c r="D3701" s="88">
        <v>14504602</v>
      </c>
      <c r="E3701" s="88" t="s">
        <v>61</v>
      </c>
      <c r="F3701" s="88">
        <v>0</v>
      </c>
      <c r="G3701" s="78">
        <f>MAX(H3701,I3701,J3701)</f>
        <v>1</v>
      </c>
      <c r="H3701" s="88"/>
      <c r="I3701" s="88"/>
      <c r="J3701" s="78">
        <f>MAX(K3701:Q3701)</f>
        <v>1</v>
      </c>
      <c r="K3701" s="88">
        <v>1</v>
      </c>
      <c r="L3701" s="88"/>
      <c r="M3701" s="88"/>
      <c r="N3701" s="88"/>
      <c r="O3701" s="88"/>
      <c r="P3701" s="88"/>
      <c r="Q3701" s="88"/>
      <c r="R3701" s="78">
        <f>MAX(S3701:W3701)</f>
        <v>0</v>
      </c>
      <c r="S3701" s="88"/>
      <c r="T3701" s="88"/>
      <c r="U3701" s="88"/>
      <c r="V3701" s="88"/>
      <c r="W3701" s="88"/>
    </row>
    <row r="3702" spans="2:23" s="0" customFormat="0" ht="15">
      <c r="B3702" s="87" t="s">
        <v>1</v>
      </c>
      <c r="C3702" s="88" t="s">
        <v>5259</v>
      </c>
      <c r="D3702" s="88" t="s">
        <v>4745</v>
      </c>
      <c r="E3702" s="88" t="s">
        <v>61</v>
      </c>
      <c r="F3702" s="88">
        <v>0</v>
      </c>
      <c r="G3702" s="78">
        <f>MAX(H3702,I3702,J3702)</f>
        <v>0</v>
      </c>
      <c r="H3702" s="88"/>
      <c r="I3702" s="88"/>
      <c r="J3702" s="78">
        <f>MAX(K3702:Q3702)</f>
        <v>0</v>
      </c>
      <c r="K3702" s="88"/>
      <c r="L3702" s="88"/>
      <c r="M3702" s="88"/>
      <c r="N3702" s="88"/>
      <c r="O3702" s="88"/>
      <c r="P3702" s="88"/>
      <c r="Q3702" s="88"/>
      <c r="R3702" s="78">
        <f>MAX(S3702:W3702)</f>
        <v>1</v>
      </c>
      <c r="S3702" s="88"/>
      <c r="T3702" s="88"/>
      <c r="U3702" s="88">
        <v>1</v>
      </c>
      <c r="V3702" s="88"/>
      <c r="W3702" s="88"/>
    </row>
    <row r="3703" spans="2:23" s="0" customFormat="0" ht="15">
      <c r="B3703" s="87" t="s">
        <v>1</v>
      </c>
      <c r="C3703" s="88" t="s">
        <v>5259</v>
      </c>
      <c r="D3703" s="88">
        <v>22554130</v>
      </c>
      <c r="E3703" s="88" t="s">
        <v>61</v>
      </c>
      <c r="F3703" s="88">
        <v>0</v>
      </c>
      <c r="G3703" s="78">
        <f>MAX(H3703,I3703,J3703)</f>
        <v>1</v>
      </c>
      <c r="H3703" s="88"/>
      <c r="I3703" s="88"/>
      <c r="J3703" s="78">
        <f>MAX(K3703:Q3703)</f>
        <v>1</v>
      </c>
      <c r="K3703" s="88">
        <v>1</v>
      </c>
      <c r="L3703" s="88"/>
      <c r="M3703" s="88"/>
      <c r="N3703" s="88"/>
      <c r="O3703" s="88"/>
      <c r="P3703" s="88"/>
      <c r="Q3703" s="88"/>
      <c r="R3703" s="78">
        <f>MAX(S3703:W3703)</f>
        <v>0</v>
      </c>
      <c r="S3703" s="88"/>
      <c r="T3703" s="88"/>
      <c r="U3703" s="88"/>
      <c r="V3703" s="88"/>
      <c r="W3703" s="88"/>
    </row>
    <row r="3704" spans="2:23" s="0" customFormat="0" ht="15">
      <c r="B3704" s="87" t="s">
        <v>1</v>
      </c>
      <c r="C3704" s="88" t="s">
        <v>5259</v>
      </c>
      <c r="D3704" s="88">
        <v>22444251</v>
      </c>
      <c r="E3704" s="88" t="s">
        <v>61</v>
      </c>
      <c r="F3704" s="88">
        <v>0</v>
      </c>
      <c r="G3704" s="78">
        <f>MAX(H3704,I3704,J3704)</f>
        <v>1</v>
      </c>
      <c r="H3704" s="88"/>
      <c r="I3704" s="88"/>
      <c r="J3704" s="78">
        <f>MAX(K3704:Q3704)</f>
        <v>1</v>
      </c>
      <c r="K3704" s="88">
        <v>1</v>
      </c>
      <c r="L3704" s="88"/>
      <c r="M3704" s="88"/>
      <c r="N3704" s="88"/>
      <c r="O3704" s="88"/>
      <c r="P3704" s="88"/>
      <c r="Q3704" s="88"/>
      <c r="R3704" s="78">
        <f>MAX(S3704:W3704)</f>
        <v>0</v>
      </c>
      <c r="S3704" s="88"/>
      <c r="T3704" s="88"/>
      <c r="U3704" s="88"/>
      <c r="V3704" s="88"/>
      <c r="W3704" s="88"/>
    </row>
    <row r="3705" spans="2:23" s="0" customFormat="0" ht="15">
      <c r="B3705" s="87" t="s">
        <v>1</v>
      </c>
      <c r="C3705" s="88" t="s">
        <v>5259</v>
      </c>
      <c r="D3705" s="88">
        <v>22623685</v>
      </c>
      <c r="E3705" s="88" t="s">
        <v>61</v>
      </c>
      <c r="F3705" s="88">
        <v>0</v>
      </c>
      <c r="G3705" s="78">
        <f>MAX(H3705,I3705,J3705)</f>
        <v>0</v>
      </c>
      <c r="H3705" s="88"/>
      <c r="I3705" s="88"/>
      <c r="J3705" s="78">
        <f>MAX(K3705:Q3705)</f>
        <v>0</v>
      </c>
      <c r="K3705" s="88"/>
      <c r="L3705" s="88"/>
      <c r="M3705" s="88"/>
      <c r="N3705" s="88"/>
      <c r="O3705" s="88"/>
      <c r="P3705" s="88"/>
      <c r="Q3705" s="88"/>
      <c r="R3705" s="78">
        <f>MAX(S3705:W3705)</f>
        <v>1</v>
      </c>
      <c r="S3705" s="88"/>
      <c r="T3705" s="88"/>
      <c r="U3705" s="88">
        <v>1</v>
      </c>
      <c r="V3705" s="88"/>
      <c r="W3705" s="88"/>
    </row>
    <row r="3706" spans="2:23" s="0" customFormat="0" ht="15">
      <c r="B3706" s="87" t="s">
        <v>1</v>
      </c>
      <c r="C3706" s="88" t="s">
        <v>5259</v>
      </c>
      <c r="D3706" s="88">
        <v>2656804</v>
      </c>
      <c r="E3706" s="88" t="s">
        <v>61</v>
      </c>
      <c r="F3706" s="88">
        <v>0</v>
      </c>
      <c r="G3706" s="78">
        <f>MAX(H3706,I3706,J3706)</f>
        <v>1</v>
      </c>
      <c r="H3706" s="88"/>
      <c r="I3706" s="88"/>
      <c r="J3706" s="78">
        <f>MAX(K3706:Q3706)</f>
        <v>1</v>
      </c>
      <c r="K3706" s="88">
        <v>1</v>
      </c>
      <c r="L3706" s="88"/>
      <c r="M3706" s="88"/>
      <c r="N3706" s="88"/>
      <c r="O3706" s="88"/>
      <c r="P3706" s="88"/>
      <c r="Q3706" s="88"/>
      <c r="R3706" s="78">
        <f>MAX(S3706:W3706)</f>
        <v>0</v>
      </c>
      <c r="S3706" s="88"/>
      <c r="T3706" s="88"/>
      <c r="U3706" s="88"/>
      <c r="V3706" s="88"/>
      <c r="W3706" s="88"/>
    </row>
    <row r="3707" spans="2:23" s="0" customFormat="0" ht="15">
      <c r="B3707" s="87" t="s">
        <v>1</v>
      </c>
      <c r="C3707" s="88" t="s">
        <v>5259</v>
      </c>
      <c r="D3707" s="88">
        <v>22554541</v>
      </c>
      <c r="E3707" s="88" t="s">
        <v>61</v>
      </c>
      <c r="F3707" s="88">
        <v>0</v>
      </c>
      <c r="G3707" s="78">
        <f>MAX(H3707,I3707,J3707)</f>
        <v>0</v>
      </c>
      <c r="H3707" s="88"/>
      <c r="I3707" s="88"/>
      <c r="J3707" s="78">
        <f>MAX(K3707:Q3707)</f>
        <v>0</v>
      </c>
      <c r="K3707" s="88"/>
      <c r="L3707" s="88"/>
      <c r="M3707" s="88"/>
      <c r="N3707" s="88"/>
      <c r="O3707" s="88"/>
      <c r="P3707" s="88"/>
      <c r="Q3707" s="88"/>
      <c r="R3707" s="78">
        <f>MAX(S3707:W3707)</f>
        <v>1</v>
      </c>
      <c r="S3707" s="88"/>
      <c r="T3707" s="88"/>
      <c r="U3707" s="88">
        <v>1</v>
      </c>
      <c r="V3707" s="88"/>
      <c r="W3707" s="88"/>
    </row>
    <row r="3708" spans="2:23" s="0" customFormat="0" ht="15">
      <c r="B3708" s="87" t="s">
        <v>1</v>
      </c>
      <c r="C3708" s="88" t="s">
        <v>5259</v>
      </c>
      <c r="D3708" s="88" t="s">
        <v>4805</v>
      </c>
      <c r="E3708" s="88" t="s">
        <v>61</v>
      </c>
      <c r="F3708" s="88">
        <v>0</v>
      </c>
      <c r="G3708" s="78">
        <f>MAX(H3708,I3708,J3708)</f>
        <v>0</v>
      </c>
      <c r="H3708" s="88"/>
      <c r="I3708" s="88"/>
      <c r="J3708" s="78">
        <f>MAX(K3708:Q3708)</f>
        <v>0</v>
      </c>
      <c r="K3708" s="88"/>
      <c r="L3708" s="88"/>
      <c r="M3708" s="88"/>
      <c r="N3708" s="88"/>
      <c r="O3708" s="88"/>
      <c r="P3708" s="88"/>
      <c r="Q3708" s="88"/>
      <c r="R3708" s="78">
        <f>MAX(S3708:W3708)</f>
        <v>1</v>
      </c>
      <c r="S3708" s="88"/>
      <c r="T3708" s="88"/>
      <c r="U3708" s="88">
        <v>1</v>
      </c>
      <c r="V3708" s="88"/>
      <c r="W3708" s="88"/>
    </row>
    <row r="3709" spans="2:23" s="0" customFormat="0" ht="15">
      <c r="B3709" s="87" t="s">
        <v>1</v>
      </c>
      <c r="C3709" s="88" t="s">
        <v>5259</v>
      </c>
      <c r="D3709" s="88">
        <v>18960228</v>
      </c>
      <c r="E3709" s="88" t="s">
        <v>61</v>
      </c>
      <c r="F3709" s="88">
        <v>0</v>
      </c>
      <c r="G3709" s="78">
        <f>MAX(H3709,I3709,J3709)</f>
        <v>1</v>
      </c>
      <c r="H3709" s="88"/>
      <c r="I3709" s="88"/>
      <c r="J3709" s="78">
        <f>MAX(K3709:Q3709)</f>
        <v>1</v>
      </c>
      <c r="K3709" s="88">
        <v>1</v>
      </c>
      <c r="L3709" s="88"/>
      <c r="M3709" s="88"/>
      <c r="N3709" s="88"/>
      <c r="O3709" s="88"/>
      <c r="P3709" s="88"/>
      <c r="Q3709" s="88"/>
      <c r="R3709" s="78">
        <f>MAX(S3709:W3709)</f>
        <v>0</v>
      </c>
      <c r="S3709" s="88"/>
      <c r="T3709" s="88"/>
      <c r="U3709" s="88"/>
      <c r="V3709" s="88"/>
      <c r="W3709" s="88"/>
    </row>
    <row r="3710" spans="2:23" s="0" customFormat="0" ht="15">
      <c r="B3710" s="87" t="s">
        <v>1</v>
      </c>
      <c r="C3710" s="88" t="s">
        <v>5259</v>
      </c>
      <c r="D3710" s="88" t="s">
        <v>2320</v>
      </c>
      <c r="E3710" s="88" t="s">
        <v>61</v>
      </c>
      <c r="F3710" s="88">
        <v>0</v>
      </c>
      <c r="G3710" s="78">
        <f>MAX(H3710,I3710,J3710)</f>
        <v>1</v>
      </c>
      <c r="H3710" s="88"/>
      <c r="I3710" s="88"/>
      <c r="J3710" s="78">
        <f>MAX(K3710:Q3710)</f>
        <v>1</v>
      </c>
      <c r="K3710" s="88">
        <v>1</v>
      </c>
      <c r="L3710" s="88"/>
      <c r="M3710" s="88"/>
      <c r="N3710" s="88"/>
      <c r="O3710" s="88"/>
      <c r="P3710" s="88"/>
      <c r="Q3710" s="88"/>
      <c r="R3710" s="78">
        <f>MAX(S3710:W3710)</f>
        <v>0</v>
      </c>
      <c r="S3710" s="88"/>
      <c r="T3710" s="88"/>
      <c r="U3710" s="88"/>
      <c r="V3710" s="88"/>
      <c r="W3710" s="88"/>
    </row>
    <row r="3711" spans="2:23" s="0" customFormat="0" ht="15">
      <c r="B3711" s="87" t="s">
        <v>1</v>
      </c>
      <c r="C3711" s="88" t="s">
        <v>5259</v>
      </c>
      <c r="D3711" s="88">
        <v>4992301</v>
      </c>
      <c r="E3711" s="88" t="s">
        <v>61</v>
      </c>
      <c r="F3711" s="88">
        <v>0</v>
      </c>
      <c r="G3711" s="78">
        <f>MAX(H3711,I3711,J3711)</f>
        <v>1</v>
      </c>
      <c r="H3711" s="88"/>
      <c r="I3711" s="88"/>
      <c r="J3711" s="78">
        <f>MAX(K3711:Q3711)</f>
        <v>1</v>
      </c>
      <c r="K3711" s="88">
        <v>1</v>
      </c>
      <c r="L3711" s="88"/>
      <c r="M3711" s="88"/>
      <c r="N3711" s="88"/>
      <c r="O3711" s="88"/>
      <c r="P3711" s="88"/>
      <c r="Q3711" s="88"/>
      <c r="R3711" s="78">
        <f>MAX(S3711:W3711)</f>
        <v>0</v>
      </c>
      <c r="S3711" s="88"/>
      <c r="T3711" s="88"/>
      <c r="U3711" s="88"/>
      <c r="V3711" s="88"/>
      <c r="W3711" s="88"/>
    </row>
    <row r="3712" spans="2:23" s="0" customFormat="0" ht="15">
      <c r="B3712" s="87" t="s">
        <v>1</v>
      </c>
      <c r="C3712" s="88" t="s">
        <v>5259</v>
      </c>
      <c r="D3712" s="88">
        <v>24971130</v>
      </c>
      <c r="E3712" s="88" t="s">
        <v>61</v>
      </c>
      <c r="F3712" s="88">
        <v>0</v>
      </c>
      <c r="G3712" s="78">
        <f>MAX(H3712,I3712,J3712)</f>
        <v>1</v>
      </c>
      <c r="H3712" s="88"/>
      <c r="I3712" s="88"/>
      <c r="J3712" s="78">
        <f>MAX(K3712:Q3712)</f>
        <v>1</v>
      </c>
      <c r="K3712" s="88">
        <v>1</v>
      </c>
      <c r="L3712" s="88"/>
      <c r="M3712" s="88"/>
      <c r="N3712" s="88"/>
      <c r="O3712" s="88"/>
      <c r="P3712" s="88"/>
      <c r="Q3712" s="88"/>
      <c r="R3712" s="78">
        <f>MAX(S3712:W3712)</f>
        <v>0</v>
      </c>
      <c r="S3712" s="88"/>
      <c r="T3712" s="88"/>
      <c r="U3712" s="88"/>
      <c r="V3712" s="88"/>
      <c r="W3712" s="88"/>
    </row>
    <row r="3713" spans="2:23" s="0" customFormat="0" ht="15">
      <c r="B3713" s="87" t="s">
        <v>1</v>
      </c>
      <c r="C3713" s="88" t="s">
        <v>5259</v>
      </c>
      <c r="D3713" s="88" t="s">
        <v>4807</v>
      </c>
      <c r="E3713" s="88" t="s">
        <v>61</v>
      </c>
      <c r="F3713" s="88">
        <v>0</v>
      </c>
      <c r="G3713" s="78">
        <f>MAX(H3713,I3713,J3713)</f>
        <v>0</v>
      </c>
      <c r="H3713" s="88"/>
      <c r="I3713" s="88"/>
      <c r="J3713" s="78">
        <f>MAX(K3713:Q3713)</f>
        <v>0</v>
      </c>
      <c r="K3713" s="88"/>
      <c r="L3713" s="88"/>
      <c r="M3713" s="88"/>
      <c r="N3713" s="88"/>
      <c r="O3713" s="88"/>
      <c r="P3713" s="88"/>
      <c r="Q3713" s="88"/>
      <c r="R3713" s="78">
        <f>MAX(S3713:W3713)</f>
        <v>1</v>
      </c>
      <c r="S3713" s="88"/>
      <c r="T3713" s="88"/>
      <c r="U3713" s="88">
        <v>1</v>
      </c>
      <c r="V3713" s="88"/>
      <c r="W3713" s="88"/>
    </row>
    <row r="3714" spans="2:23" s="0" customFormat="0" ht="15">
      <c r="B3714" s="87" t="s">
        <v>1</v>
      </c>
      <c r="C3714" s="88" t="s">
        <v>5259</v>
      </c>
      <c r="D3714" s="88">
        <v>23963875</v>
      </c>
      <c r="E3714" s="88" t="s">
        <v>61</v>
      </c>
      <c r="F3714" s="88">
        <v>0</v>
      </c>
      <c r="G3714" s="78">
        <f>MAX(H3714,I3714,J3714)</f>
        <v>1</v>
      </c>
      <c r="H3714" s="88"/>
      <c r="I3714" s="88"/>
      <c r="J3714" s="78">
        <f>MAX(K3714:Q3714)</f>
        <v>1</v>
      </c>
      <c r="K3714" s="88">
        <v>1</v>
      </c>
      <c r="L3714" s="88"/>
      <c r="M3714" s="88"/>
      <c r="N3714" s="88"/>
      <c r="O3714" s="88"/>
      <c r="P3714" s="88"/>
      <c r="Q3714" s="88"/>
      <c r="R3714" s="78">
        <f>MAX(S3714:W3714)</f>
        <v>0</v>
      </c>
      <c r="S3714" s="88"/>
      <c r="T3714" s="88"/>
      <c r="U3714" s="88"/>
      <c r="V3714" s="88"/>
      <c r="W3714" s="88"/>
    </row>
    <row r="3715" spans="2:23" s="0" customFormat="0" ht="15">
      <c r="B3715" s="87" t="s">
        <v>1</v>
      </c>
      <c r="C3715" s="88" t="s">
        <v>5259</v>
      </c>
      <c r="D3715" s="88" t="s">
        <v>4203</v>
      </c>
      <c r="E3715" s="88" t="s">
        <v>61</v>
      </c>
      <c r="F3715" s="88">
        <v>0</v>
      </c>
      <c r="G3715" s="78">
        <f>MAX(H3715,I3715,J3715)</f>
        <v>0</v>
      </c>
      <c r="H3715" s="88"/>
      <c r="I3715" s="88"/>
      <c r="J3715" s="78">
        <f>MAX(K3715:Q3715)</f>
        <v>0</v>
      </c>
      <c r="K3715" s="88"/>
      <c r="L3715" s="88"/>
      <c r="M3715" s="88"/>
      <c r="N3715" s="88"/>
      <c r="O3715" s="88"/>
      <c r="P3715" s="88"/>
      <c r="Q3715" s="88"/>
      <c r="R3715" s="78">
        <f>MAX(S3715:W3715)</f>
        <v>1</v>
      </c>
      <c r="S3715" s="88"/>
      <c r="T3715" s="88"/>
      <c r="U3715" s="88">
        <v>1</v>
      </c>
      <c r="V3715" s="88"/>
      <c r="W3715" s="88"/>
    </row>
    <row r="3716" spans="2:23" s="0" customFormat="0" ht="15">
      <c r="B3716" s="87" t="s">
        <v>1</v>
      </c>
      <c r="C3716" s="88" t="s">
        <v>5259</v>
      </c>
      <c r="D3716" s="88" t="s">
        <v>4809</v>
      </c>
      <c r="E3716" s="88" t="s">
        <v>61</v>
      </c>
      <c r="F3716" s="88">
        <v>0</v>
      </c>
      <c r="G3716" s="78">
        <f>MAX(H3716,I3716,J3716)</f>
        <v>0</v>
      </c>
      <c r="H3716" s="88"/>
      <c r="I3716" s="88"/>
      <c r="J3716" s="78">
        <f>MAX(K3716:Q3716)</f>
        <v>0</v>
      </c>
      <c r="K3716" s="88"/>
      <c r="L3716" s="88"/>
      <c r="M3716" s="88"/>
      <c r="N3716" s="88"/>
      <c r="O3716" s="88"/>
      <c r="P3716" s="88"/>
      <c r="Q3716" s="88"/>
      <c r="R3716" s="78">
        <f>MAX(S3716:W3716)</f>
        <v>1</v>
      </c>
      <c r="S3716" s="88"/>
      <c r="T3716" s="88"/>
      <c r="U3716" s="88">
        <v>1</v>
      </c>
      <c r="V3716" s="88"/>
      <c r="W3716" s="88"/>
    </row>
    <row r="3717" spans="2:23" s="0" customFormat="0" ht="15">
      <c r="B3717" s="87" t="s">
        <v>1</v>
      </c>
      <c r="C3717" s="88" t="s">
        <v>5259</v>
      </c>
      <c r="D3717" s="88">
        <v>12138004</v>
      </c>
      <c r="E3717" s="88" t="s">
        <v>61</v>
      </c>
      <c r="F3717" s="88">
        <v>0</v>
      </c>
      <c r="G3717" s="78">
        <f>MAX(H3717,I3717,J3717)</f>
        <v>1</v>
      </c>
      <c r="H3717" s="88"/>
      <c r="I3717" s="88"/>
      <c r="J3717" s="78">
        <f>MAX(K3717:Q3717)</f>
        <v>1</v>
      </c>
      <c r="K3717" s="88">
        <v>1</v>
      </c>
      <c r="L3717" s="88"/>
      <c r="M3717" s="88"/>
      <c r="N3717" s="88"/>
      <c r="O3717" s="88"/>
      <c r="P3717" s="88"/>
      <c r="Q3717" s="88"/>
      <c r="R3717" s="78">
        <f>MAX(S3717:W3717)</f>
        <v>0</v>
      </c>
      <c r="S3717" s="88"/>
      <c r="T3717" s="88"/>
      <c r="U3717" s="88"/>
      <c r="V3717" s="88"/>
      <c r="W3717" s="88"/>
    </row>
    <row r="3718" spans="2:23" s="0" customFormat="0" ht="15">
      <c r="B3718" s="87" t="s">
        <v>1</v>
      </c>
      <c r="C3718" s="88" t="s">
        <v>5259</v>
      </c>
      <c r="D3718" s="88" t="s">
        <v>2339</v>
      </c>
      <c r="E3718" s="88" t="s">
        <v>61</v>
      </c>
      <c r="F3718" s="88">
        <v>0</v>
      </c>
      <c r="G3718" s="78">
        <f>MAX(H3718,I3718,J3718)</f>
        <v>1</v>
      </c>
      <c r="H3718" s="88"/>
      <c r="I3718" s="88"/>
      <c r="J3718" s="78">
        <f>MAX(K3718:Q3718)</f>
        <v>1</v>
      </c>
      <c r="K3718" s="88">
        <v>1</v>
      </c>
      <c r="L3718" s="88"/>
      <c r="M3718" s="88"/>
      <c r="N3718" s="88"/>
      <c r="O3718" s="88"/>
      <c r="P3718" s="88"/>
      <c r="Q3718" s="88"/>
      <c r="R3718" s="78">
        <f>MAX(S3718:W3718)</f>
        <v>0</v>
      </c>
      <c r="S3718" s="88"/>
      <c r="T3718" s="88"/>
      <c r="U3718" s="88"/>
      <c r="V3718" s="88"/>
      <c r="W3718" s="88"/>
    </row>
    <row r="3719" spans="2:23" s="0" customFormat="0" ht="15">
      <c r="B3719" s="87" t="s">
        <v>1</v>
      </c>
      <c r="C3719" s="88" t="s">
        <v>5259</v>
      </c>
      <c r="D3719" s="88">
        <v>18101061</v>
      </c>
      <c r="E3719" s="88" t="s">
        <v>61</v>
      </c>
      <c r="F3719" s="88">
        <v>0</v>
      </c>
      <c r="G3719" s="78">
        <f>MAX(H3719,I3719,J3719)</f>
        <v>1</v>
      </c>
      <c r="H3719" s="88"/>
      <c r="I3719" s="88"/>
      <c r="J3719" s="78">
        <f>MAX(K3719:Q3719)</f>
        <v>1</v>
      </c>
      <c r="K3719" s="88">
        <v>1</v>
      </c>
      <c r="L3719" s="88"/>
      <c r="M3719" s="88"/>
      <c r="N3719" s="88"/>
      <c r="O3719" s="88"/>
      <c r="P3719" s="88"/>
      <c r="Q3719" s="88"/>
      <c r="R3719" s="78">
        <f>MAX(S3719:W3719)</f>
        <v>0</v>
      </c>
      <c r="S3719" s="88"/>
      <c r="T3719" s="88"/>
      <c r="U3719" s="88"/>
      <c r="V3719" s="88"/>
      <c r="W3719" s="88"/>
    </row>
    <row r="3720" spans="2:23" s="0" customFormat="0" ht="15">
      <c r="B3720" s="87" t="s">
        <v>1</v>
      </c>
      <c r="C3720" s="88" t="s">
        <v>5259</v>
      </c>
      <c r="D3720" s="88" t="s">
        <v>1906</v>
      </c>
      <c r="E3720" s="88" t="s">
        <v>61</v>
      </c>
      <c r="F3720" s="88">
        <v>0</v>
      </c>
      <c r="G3720" s="78">
        <f>MAX(H3720,I3720,J3720)</f>
        <v>1</v>
      </c>
      <c r="H3720" s="88"/>
      <c r="I3720" s="88"/>
      <c r="J3720" s="78">
        <f>MAX(K3720:Q3720)</f>
        <v>1</v>
      </c>
      <c r="K3720" s="88">
        <v>1</v>
      </c>
      <c r="L3720" s="88"/>
      <c r="M3720" s="88"/>
      <c r="N3720" s="88"/>
      <c r="O3720" s="88"/>
      <c r="P3720" s="88"/>
      <c r="Q3720" s="88"/>
      <c r="R3720" s="78">
        <f>MAX(S3720:W3720)</f>
        <v>0</v>
      </c>
      <c r="S3720" s="88"/>
      <c r="T3720" s="88"/>
      <c r="U3720" s="88"/>
      <c r="V3720" s="88"/>
      <c r="W3720" s="88"/>
    </row>
    <row r="3721" spans="2:23" s="0" customFormat="0" ht="15">
      <c r="B3721" s="87" t="s">
        <v>1</v>
      </c>
      <c r="C3721" s="88" t="s">
        <v>5259</v>
      </c>
      <c r="D3721" s="88">
        <v>18717023</v>
      </c>
      <c r="E3721" s="88" t="s">
        <v>61</v>
      </c>
      <c r="F3721" s="88">
        <v>0</v>
      </c>
      <c r="G3721" s="78">
        <f>MAX(H3721,I3721,J3721)</f>
        <v>1</v>
      </c>
      <c r="H3721" s="88"/>
      <c r="I3721" s="88"/>
      <c r="J3721" s="78">
        <f>MAX(K3721:Q3721)</f>
        <v>1</v>
      </c>
      <c r="K3721" s="88">
        <v>1</v>
      </c>
      <c r="L3721" s="88"/>
      <c r="M3721" s="88"/>
      <c r="N3721" s="88"/>
      <c r="O3721" s="88"/>
      <c r="P3721" s="88"/>
      <c r="Q3721" s="88"/>
      <c r="R3721" s="78">
        <f>MAX(S3721:W3721)</f>
        <v>0</v>
      </c>
      <c r="S3721" s="88"/>
      <c r="T3721" s="88"/>
      <c r="U3721" s="88"/>
      <c r="V3721" s="88"/>
      <c r="W3721" s="88"/>
    </row>
    <row r="3722" spans="2:23" s="0" customFormat="0" ht="15">
      <c r="B3722" s="87" t="s">
        <v>1</v>
      </c>
      <c r="C3722" s="88" t="s">
        <v>5259</v>
      </c>
      <c r="D3722" s="88" t="s">
        <v>2096</v>
      </c>
      <c r="E3722" s="88" t="s">
        <v>61</v>
      </c>
      <c r="F3722" s="88">
        <v>0</v>
      </c>
      <c r="G3722" s="78">
        <f>MAX(H3722,I3722,J3722)</f>
        <v>1</v>
      </c>
      <c r="H3722" s="88"/>
      <c r="I3722" s="88"/>
      <c r="J3722" s="78">
        <f>MAX(K3722:Q3722)</f>
        <v>1</v>
      </c>
      <c r="K3722" s="88">
        <v>1</v>
      </c>
      <c r="L3722" s="88"/>
      <c r="M3722" s="88"/>
      <c r="N3722" s="88"/>
      <c r="O3722" s="88"/>
      <c r="P3722" s="88"/>
      <c r="Q3722" s="88"/>
      <c r="R3722" s="78">
        <f>MAX(S3722:W3722)</f>
        <v>0</v>
      </c>
      <c r="S3722" s="88"/>
      <c r="T3722" s="88"/>
      <c r="U3722" s="88"/>
      <c r="V3722" s="88"/>
      <c r="W3722" s="88"/>
    </row>
    <row r="3723" spans="2:23" s="0" customFormat="0" ht="15">
      <c r="B3723" s="87" t="s">
        <v>1</v>
      </c>
      <c r="C3723" s="88" t="s">
        <v>5259</v>
      </c>
      <c r="D3723" s="88" t="s">
        <v>4811</v>
      </c>
      <c r="E3723" s="88" t="s">
        <v>61</v>
      </c>
      <c r="F3723" s="88">
        <v>0</v>
      </c>
      <c r="G3723" s="78">
        <f>MAX(H3723,I3723,J3723)</f>
        <v>0</v>
      </c>
      <c r="H3723" s="88"/>
      <c r="I3723" s="88"/>
      <c r="J3723" s="78">
        <f>MAX(K3723:Q3723)</f>
        <v>0</v>
      </c>
      <c r="K3723" s="88"/>
      <c r="L3723" s="88"/>
      <c r="M3723" s="88"/>
      <c r="N3723" s="88"/>
      <c r="O3723" s="88"/>
      <c r="P3723" s="88"/>
      <c r="Q3723" s="88"/>
      <c r="R3723" s="78">
        <f>MAX(S3723:W3723)</f>
        <v>1</v>
      </c>
      <c r="S3723" s="88"/>
      <c r="T3723" s="88"/>
      <c r="U3723" s="88">
        <v>1</v>
      </c>
      <c r="V3723" s="88"/>
      <c r="W3723" s="88"/>
    </row>
    <row r="3724" spans="2:23" s="0" customFormat="0" ht="15">
      <c r="B3724" s="87" t="s">
        <v>1</v>
      </c>
      <c r="C3724" s="88" t="s">
        <v>5259</v>
      </c>
      <c r="D3724" s="88">
        <v>980350</v>
      </c>
      <c r="E3724" s="88" t="s">
        <v>61</v>
      </c>
      <c r="F3724" s="88">
        <v>0</v>
      </c>
      <c r="G3724" s="78">
        <f>MAX(H3724,I3724,J3724)</f>
        <v>0</v>
      </c>
      <c r="H3724" s="88"/>
      <c r="I3724" s="88"/>
      <c r="J3724" s="78">
        <f>MAX(K3724:Q3724)</f>
        <v>0</v>
      </c>
      <c r="K3724" s="88"/>
      <c r="L3724" s="88"/>
      <c r="M3724" s="88"/>
      <c r="N3724" s="88"/>
      <c r="O3724" s="88"/>
      <c r="P3724" s="88"/>
      <c r="Q3724" s="88"/>
      <c r="R3724" s="78">
        <f>MAX(S3724:W3724)</f>
        <v>1</v>
      </c>
      <c r="S3724" s="88"/>
      <c r="T3724" s="88"/>
      <c r="U3724" s="88">
        <v>1</v>
      </c>
      <c r="V3724" s="88"/>
      <c r="W3724" s="88"/>
    </row>
    <row r="3725" spans="2:23" s="0" customFormat="0" ht="15">
      <c r="B3725" s="87" t="s">
        <v>1</v>
      </c>
      <c r="C3725" s="88" t="s">
        <v>5259</v>
      </c>
      <c r="D3725" s="88">
        <v>19498501</v>
      </c>
      <c r="E3725" s="88" t="s">
        <v>61</v>
      </c>
      <c r="F3725" s="88">
        <v>0</v>
      </c>
      <c r="G3725" s="78">
        <f>MAX(H3725,I3725,J3725)</f>
        <v>1</v>
      </c>
      <c r="H3725" s="88"/>
      <c r="I3725" s="88"/>
      <c r="J3725" s="78">
        <f>MAX(K3725:Q3725)</f>
        <v>1</v>
      </c>
      <c r="K3725" s="88">
        <v>1</v>
      </c>
      <c r="L3725" s="88"/>
      <c r="M3725" s="88"/>
      <c r="N3725" s="88"/>
      <c r="O3725" s="88"/>
      <c r="P3725" s="88"/>
      <c r="Q3725" s="88"/>
      <c r="R3725" s="78">
        <f>MAX(S3725:W3725)</f>
        <v>0</v>
      </c>
      <c r="S3725" s="88"/>
      <c r="T3725" s="88"/>
      <c r="U3725" s="88"/>
      <c r="V3725" s="88"/>
      <c r="W3725" s="88"/>
    </row>
    <row r="3726" spans="2:23" s="0" customFormat="0" ht="15">
      <c r="B3726" s="87" t="s">
        <v>1</v>
      </c>
      <c r="C3726" s="88" t="s">
        <v>5259</v>
      </c>
      <c r="D3726" s="88">
        <v>22554193</v>
      </c>
      <c r="E3726" s="88" t="s">
        <v>61</v>
      </c>
      <c r="F3726" s="88">
        <v>0</v>
      </c>
      <c r="G3726" s="78">
        <f>MAX(H3726,I3726,J3726)</f>
        <v>0</v>
      </c>
      <c r="H3726" s="88"/>
      <c r="I3726" s="88"/>
      <c r="J3726" s="78">
        <f>MAX(K3726:Q3726)</f>
        <v>0</v>
      </c>
      <c r="K3726" s="88"/>
      <c r="L3726" s="88"/>
      <c r="M3726" s="88"/>
      <c r="N3726" s="88"/>
      <c r="O3726" s="88"/>
      <c r="P3726" s="88"/>
      <c r="Q3726" s="88"/>
      <c r="R3726" s="78">
        <f>MAX(S3726:W3726)</f>
        <v>1</v>
      </c>
      <c r="S3726" s="88"/>
      <c r="T3726" s="88"/>
      <c r="U3726" s="88">
        <v>1</v>
      </c>
      <c r="V3726" s="88"/>
      <c r="W3726" s="88"/>
    </row>
    <row r="3727" spans="2:23" s="0" customFormat="0" ht="15">
      <c r="B3727" s="87" t="s">
        <v>1</v>
      </c>
      <c r="C3727" s="88" t="s">
        <v>5259</v>
      </c>
      <c r="D3727" s="88">
        <v>6243822</v>
      </c>
      <c r="E3727" s="88" t="s">
        <v>61</v>
      </c>
      <c r="F3727" s="88">
        <v>0</v>
      </c>
      <c r="G3727" s="78">
        <f>MAX(H3727,I3727,J3727)</f>
        <v>1</v>
      </c>
      <c r="H3727" s="88"/>
      <c r="I3727" s="88"/>
      <c r="J3727" s="78">
        <f>MAX(K3727:Q3727)</f>
        <v>1</v>
      </c>
      <c r="K3727" s="88">
        <v>1</v>
      </c>
      <c r="L3727" s="88"/>
      <c r="M3727" s="88"/>
      <c r="N3727" s="88"/>
      <c r="O3727" s="88"/>
      <c r="P3727" s="88"/>
      <c r="Q3727" s="88"/>
      <c r="R3727" s="78">
        <f>MAX(S3727:W3727)</f>
        <v>0</v>
      </c>
      <c r="S3727" s="88"/>
      <c r="T3727" s="88"/>
      <c r="U3727" s="88"/>
      <c r="V3727" s="88"/>
      <c r="W3727" s="88"/>
    </row>
    <row r="3728" spans="2:23" s="0" customFormat="0" ht="15">
      <c r="B3728" s="87" t="s">
        <v>1</v>
      </c>
      <c r="C3728" s="88" t="s">
        <v>5259</v>
      </c>
      <c r="D3728" s="88" t="s">
        <v>2343</v>
      </c>
      <c r="E3728" s="88" t="s">
        <v>61</v>
      </c>
      <c r="F3728" s="88">
        <v>0</v>
      </c>
      <c r="G3728" s="78">
        <f>MAX(H3728,I3728,J3728)</f>
        <v>1</v>
      </c>
      <c r="H3728" s="88"/>
      <c r="I3728" s="88"/>
      <c r="J3728" s="78">
        <f>MAX(K3728:Q3728)</f>
        <v>1</v>
      </c>
      <c r="K3728" s="88">
        <v>1</v>
      </c>
      <c r="L3728" s="88"/>
      <c r="M3728" s="88"/>
      <c r="N3728" s="88"/>
      <c r="O3728" s="88"/>
      <c r="P3728" s="88"/>
      <c r="Q3728" s="88"/>
      <c r="R3728" s="78">
        <f>MAX(S3728:W3728)</f>
        <v>0</v>
      </c>
      <c r="S3728" s="88"/>
      <c r="T3728" s="88"/>
      <c r="U3728" s="88"/>
      <c r="V3728" s="88"/>
      <c r="W3728" s="88"/>
    </row>
    <row r="3729" spans="2:23" s="0" customFormat="0" ht="15">
      <c r="B3729" s="87" t="s">
        <v>1</v>
      </c>
      <c r="C3729" s="88" t="s">
        <v>5259</v>
      </c>
      <c r="D3729" s="88">
        <v>2983248</v>
      </c>
      <c r="E3729" s="88" t="s">
        <v>61</v>
      </c>
      <c r="F3729" s="88">
        <v>0</v>
      </c>
      <c r="G3729" s="78">
        <f>MAX(H3729,I3729,J3729)</f>
        <v>1</v>
      </c>
      <c r="H3729" s="88"/>
      <c r="I3729" s="88"/>
      <c r="J3729" s="78">
        <f>MAX(K3729:Q3729)</f>
        <v>1</v>
      </c>
      <c r="K3729" s="88"/>
      <c r="L3729" s="88"/>
      <c r="M3729" s="88">
        <v>1</v>
      </c>
      <c r="N3729" s="88"/>
      <c r="O3729" s="88"/>
      <c r="P3729" s="88"/>
      <c r="Q3729" s="88"/>
      <c r="R3729" s="78">
        <f>MAX(S3729:W3729)</f>
        <v>0</v>
      </c>
      <c r="S3729" s="88"/>
      <c r="T3729" s="88"/>
      <c r="U3729" s="88"/>
      <c r="V3729" s="88"/>
      <c r="W3729" s="88"/>
    </row>
    <row r="3730" spans="2:23" s="0" customFormat="0" ht="15">
      <c r="B3730" s="87" t="s">
        <v>1</v>
      </c>
      <c r="C3730" s="88" t="s">
        <v>5259</v>
      </c>
      <c r="D3730" s="88">
        <v>18527302</v>
      </c>
      <c r="E3730" s="88" t="s">
        <v>61</v>
      </c>
      <c r="F3730" s="88">
        <v>0</v>
      </c>
      <c r="G3730" s="78">
        <f>MAX(H3730,I3730,J3730)</f>
        <v>1</v>
      </c>
      <c r="H3730" s="88"/>
      <c r="I3730" s="88"/>
      <c r="J3730" s="78">
        <f>MAX(K3730:Q3730)</f>
        <v>1</v>
      </c>
      <c r="K3730" s="88">
        <v>1</v>
      </c>
      <c r="L3730" s="88"/>
      <c r="M3730" s="88"/>
      <c r="N3730" s="88"/>
      <c r="O3730" s="88"/>
      <c r="P3730" s="88"/>
      <c r="Q3730" s="88"/>
      <c r="R3730" s="78">
        <f>MAX(S3730:W3730)</f>
        <v>0</v>
      </c>
      <c r="S3730" s="88"/>
      <c r="T3730" s="88"/>
      <c r="U3730" s="88"/>
      <c r="V3730" s="88"/>
      <c r="W3730" s="88"/>
    </row>
    <row r="3731" spans="2:23" s="0" customFormat="0" ht="15">
      <c r="B3731" s="87" t="s">
        <v>1</v>
      </c>
      <c r="C3731" s="88" t="s">
        <v>5259</v>
      </c>
      <c r="D3731" s="88">
        <v>22264575</v>
      </c>
      <c r="E3731" s="88" t="s">
        <v>61</v>
      </c>
      <c r="F3731" s="88">
        <v>0</v>
      </c>
      <c r="G3731" s="78">
        <f>MAX(H3731,I3731,J3731)</f>
        <v>1</v>
      </c>
      <c r="H3731" s="88"/>
      <c r="I3731" s="88"/>
      <c r="J3731" s="78">
        <f>MAX(K3731:Q3731)</f>
        <v>1</v>
      </c>
      <c r="K3731" s="88">
        <v>1</v>
      </c>
      <c r="L3731" s="88"/>
      <c r="M3731" s="88"/>
      <c r="N3731" s="88"/>
      <c r="O3731" s="88"/>
      <c r="P3731" s="88"/>
      <c r="Q3731" s="88"/>
      <c r="R3731" s="78">
        <f>MAX(S3731:W3731)</f>
        <v>0</v>
      </c>
      <c r="S3731" s="88"/>
      <c r="T3731" s="88"/>
      <c r="U3731" s="88"/>
      <c r="V3731" s="88"/>
      <c r="W3731" s="88"/>
    </row>
    <row r="3732" spans="2:23" s="0" customFormat="0" ht="15">
      <c r="B3732" s="87" t="s">
        <v>1</v>
      </c>
      <c r="C3732" s="88" t="s">
        <v>5259</v>
      </c>
      <c r="D3732" s="88" t="s">
        <v>4815</v>
      </c>
      <c r="E3732" s="88" t="s">
        <v>61</v>
      </c>
      <c r="F3732" s="88">
        <v>0</v>
      </c>
      <c r="G3732" s="78">
        <f>MAX(H3732,I3732,J3732)</f>
        <v>0</v>
      </c>
      <c r="H3732" s="88"/>
      <c r="I3732" s="88"/>
      <c r="J3732" s="78">
        <f>MAX(K3732:Q3732)</f>
        <v>0</v>
      </c>
      <c r="K3732" s="88"/>
      <c r="L3732" s="88"/>
      <c r="M3732" s="88"/>
      <c r="N3732" s="88"/>
      <c r="O3732" s="88"/>
      <c r="P3732" s="88"/>
      <c r="Q3732" s="88"/>
      <c r="R3732" s="78">
        <f>MAX(S3732:W3732)</f>
        <v>1</v>
      </c>
      <c r="S3732" s="88"/>
      <c r="T3732" s="88"/>
      <c r="U3732" s="88">
        <v>1</v>
      </c>
      <c r="V3732" s="88"/>
      <c r="W3732" s="88"/>
    </row>
    <row r="3733" spans="2:23" s="0" customFormat="0" ht="15">
      <c r="B3733" s="87" t="s">
        <v>1</v>
      </c>
      <c r="C3733" s="88" t="s">
        <v>5259</v>
      </c>
      <c r="D3733" s="88" t="s">
        <v>4817</v>
      </c>
      <c r="E3733" s="88" t="s">
        <v>61</v>
      </c>
      <c r="F3733" s="88">
        <v>0</v>
      </c>
      <c r="G3733" s="78">
        <f>MAX(H3733,I3733,J3733)</f>
        <v>0</v>
      </c>
      <c r="H3733" s="88"/>
      <c r="I3733" s="88"/>
      <c r="J3733" s="78">
        <f>MAX(K3733:Q3733)</f>
        <v>0</v>
      </c>
      <c r="K3733" s="88"/>
      <c r="L3733" s="88"/>
      <c r="M3733" s="88"/>
      <c r="N3733" s="88"/>
      <c r="O3733" s="88"/>
      <c r="P3733" s="88"/>
      <c r="Q3733" s="88"/>
      <c r="R3733" s="78">
        <f>MAX(S3733:W3733)</f>
        <v>1</v>
      </c>
      <c r="S3733" s="88"/>
      <c r="T3733" s="88"/>
      <c r="U3733" s="88">
        <v>1</v>
      </c>
      <c r="V3733" s="88"/>
      <c r="W3733" s="88"/>
    </row>
    <row r="3734" spans="2:23" s="0" customFormat="0" ht="15">
      <c r="B3734" s="87" t="s">
        <v>1</v>
      </c>
      <c r="C3734" s="88" t="s">
        <v>5259</v>
      </c>
      <c r="D3734" s="88" t="s">
        <v>211</v>
      </c>
      <c r="E3734" s="88" t="s">
        <v>61</v>
      </c>
      <c r="F3734" s="88">
        <v>0</v>
      </c>
      <c r="G3734" s="78">
        <f>MAX(H3734,I3734,J3734)</f>
        <v>1</v>
      </c>
      <c r="H3734" s="88"/>
      <c r="I3734" s="88"/>
      <c r="J3734" s="78">
        <f>MAX(K3734:Q3734)</f>
        <v>1</v>
      </c>
      <c r="K3734" s="88">
        <v>1</v>
      </c>
      <c r="L3734" s="88"/>
      <c r="M3734" s="88"/>
      <c r="N3734" s="88"/>
      <c r="O3734" s="88"/>
      <c r="P3734" s="88"/>
      <c r="Q3734" s="88"/>
      <c r="R3734" s="78">
        <f>MAX(S3734:W3734)</f>
        <v>0</v>
      </c>
      <c r="S3734" s="88"/>
      <c r="T3734" s="88"/>
      <c r="U3734" s="88"/>
      <c r="V3734" s="88"/>
      <c r="W3734" s="88"/>
    </row>
    <row r="3735" spans="2:23" s="0" customFormat="0" ht="15">
      <c r="B3735" s="87" t="s">
        <v>1</v>
      </c>
      <c r="C3735" s="88" t="s">
        <v>5259</v>
      </c>
      <c r="D3735" s="88">
        <v>17633389</v>
      </c>
      <c r="E3735" s="88" t="s">
        <v>61</v>
      </c>
      <c r="F3735" s="88">
        <v>0</v>
      </c>
      <c r="G3735" s="78">
        <f>MAX(H3735,I3735,J3735)</f>
        <v>1</v>
      </c>
      <c r="H3735" s="88"/>
      <c r="I3735" s="88"/>
      <c r="J3735" s="78">
        <f>MAX(K3735:Q3735)</f>
        <v>1</v>
      </c>
      <c r="K3735" s="88">
        <v>1</v>
      </c>
      <c r="L3735" s="88"/>
      <c r="M3735" s="88"/>
      <c r="N3735" s="88"/>
      <c r="O3735" s="88"/>
      <c r="P3735" s="88"/>
      <c r="Q3735" s="88"/>
      <c r="R3735" s="78">
        <f>MAX(S3735:W3735)</f>
        <v>0</v>
      </c>
      <c r="S3735" s="88"/>
      <c r="T3735" s="88"/>
      <c r="U3735" s="88"/>
      <c r="V3735" s="88"/>
      <c r="W3735" s="88"/>
    </row>
    <row r="3736" spans="2:23" s="0" customFormat="0" ht="15">
      <c r="B3736" s="87" t="s">
        <v>1</v>
      </c>
      <c r="C3736" s="88" t="s">
        <v>5259</v>
      </c>
      <c r="D3736" s="88">
        <v>21719476</v>
      </c>
      <c r="E3736" s="88" t="s">
        <v>61</v>
      </c>
      <c r="F3736" s="88">
        <v>0</v>
      </c>
      <c r="G3736" s="78">
        <f>MAX(H3736,I3736,J3736)</f>
        <v>1</v>
      </c>
      <c r="H3736" s="88"/>
      <c r="I3736" s="88"/>
      <c r="J3736" s="78">
        <f>MAX(K3736:Q3736)</f>
        <v>1</v>
      </c>
      <c r="K3736" s="88">
        <v>1</v>
      </c>
      <c r="L3736" s="88"/>
      <c r="M3736" s="88"/>
      <c r="N3736" s="88"/>
      <c r="O3736" s="88"/>
      <c r="P3736" s="88"/>
      <c r="Q3736" s="88"/>
      <c r="R3736" s="78">
        <f>MAX(S3736:W3736)</f>
        <v>0</v>
      </c>
      <c r="S3736" s="88"/>
      <c r="T3736" s="88"/>
      <c r="U3736" s="88"/>
      <c r="V3736" s="88"/>
      <c r="W3736" s="88"/>
    </row>
    <row r="3737" spans="2:23" s="0" customFormat="0" ht="15">
      <c r="B3737" s="87" t="s">
        <v>1</v>
      </c>
      <c r="C3737" s="88" t="s">
        <v>5259</v>
      </c>
      <c r="D3737" s="88" t="s">
        <v>4819</v>
      </c>
      <c r="E3737" s="88" t="s">
        <v>61</v>
      </c>
      <c r="F3737" s="88">
        <v>0</v>
      </c>
      <c r="G3737" s="78">
        <f>MAX(H3737,I3737,J3737)</f>
        <v>0</v>
      </c>
      <c r="H3737" s="88"/>
      <c r="I3737" s="88"/>
      <c r="J3737" s="78">
        <f>MAX(K3737:Q3737)</f>
        <v>0</v>
      </c>
      <c r="K3737" s="88"/>
      <c r="L3737" s="88"/>
      <c r="M3737" s="88"/>
      <c r="N3737" s="88"/>
      <c r="O3737" s="88"/>
      <c r="P3737" s="88"/>
      <c r="Q3737" s="88"/>
      <c r="R3737" s="78">
        <f>MAX(S3737:W3737)</f>
        <v>1</v>
      </c>
      <c r="S3737" s="88"/>
      <c r="T3737" s="88"/>
      <c r="U3737" s="88">
        <v>1</v>
      </c>
      <c r="V3737" s="88"/>
      <c r="W3737" s="88"/>
    </row>
    <row r="3738" spans="2:23" s="0" customFormat="0" ht="15">
      <c r="B3738" s="87" t="s">
        <v>1</v>
      </c>
      <c r="C3738" s="88" t="s">
        <v>5259</v>
      </c>
      <c r="D3738" s="88" t="s">
        <v>4821</v>
      </c>
      <c r="E3738" s="88" t="s">
        <v>61</v>
      </c>
      <c r="F3738" s="88">
        <v>0</v>
      </c>
      <c r="G3738" s="78">
        <f>MAX(H3738,I3738,J3738)</f>
        <v>0</v>
      </c>
      <c r="H3738" s="88"/>
      <c r="I3738" s="88"/>
      <c r="J3738" s="78">
        <f>MAX(K3738:Q3738)</f>
        <v>0</v>
      </c>
      <c r="K3738" s="88"/>
      <c r="L3738" s="88"/>
      <c r="M3738" s="88"/>
      <c r="N3738" s="88"/>
      <c r="O3738" s="88"/>
      <c r="P3738" s="88"/>
      <c r="Q3738" s="88"/>
      <c r="R3738" s="78">
        <f>MAX(S3738:W3738)</f>
        <v>1</v>
      </c>
      <c r="S3738" s="88"/>
      <c r="T3738" s="88"/>
      <c r="U3738" s="88">
        <v>1</v>
      </c>
      <c r="V3738" s="88"/>
      <c r="W3738" s="88"/>
    </row>
    <row r="3739" spans="2:23" s="0" customFormat="0" ht="15">
      <c r="B3739" s="87" t="s">
        <v>1</v>
      </c>
      <c r="C3739" s="88" t="s">
        <v>5259</v>
      </c>
      <c r="D3739" s="88" t="s">
        <v>4098</v>
      </c>
      <c r="E3739" s="88" t="s">
        <v>61</v>
      </c>
      <c r="F3739" s="88">
        <v>0</v>
      </c>
      <c r="G3739" s="78">
        <f>MAX(H3739,I3739,J3739)</f>
        <v>0</v>
      </c>
      <c r="H3739" s="88"/>
      <c r="I3739" s="88"/>
      <c r="J3739" s="78">
        <f>MAX(K3739:Q3739)</f>
        <v>0</v>
      </c>
      <c r="K3739" s="88"/>
      <c r="L3739" s="88"/>
      <c r="M3739" s="88"/>
      <c r="N3739" s="88"/>
      <c r="O3739" s="88"/>
      <c r="P3739" s="88"/>
      <c r="Q3739" s="88"/>
      <c r="R3739" s="78">
        <f>MAX(S3739:W3739)</f>
        <v>1</v>
      </c>
      <c r="S3739" s="88"/>
      <c r="T3739" s="88"/>
      <c r="U3739" s="88">
        <v>1</v>
      </c>
      <c r="V3739" s="88"/>
      <c r="W3739" s="88"/>
    </row>
    <row r="3740" spans="2:23" s="0" customFormat="0" ht="15">
      <c r="B3740" s="87" t="s">
        <v>1</v>
      </c>
      <c r="C3740" s="88" t="s">
        <v>5259</v>
      </c>
      <c r="D3740" s="88" t="s">
        <v>1937</v>
      </c>
      <c r="E3740" s="88" t="s">
        <v>61</v>
      </c>
      <c r="F3740" s="88">
        <v>0</v>
      </c>
      <c r="G3740" s="78">
        <f>MAX(H3740,I3740,J3740)</f>
        <v>1</v>
      </c>
      <c r="H3740" s="88"/>
      <c r="I3740" s="88"/>
      <c r="J3740" s="78">
        <f>MAX(K3740:Q3740)</f>
        <v>1</v>
      </c>
      <c r="K3740" s="88">
        <v>1</v>
      </c>
      <c r="L3740" s="88"/>
      <c r="M3740" s="88"/>
      <c r="N3740" s="88"/>
      <c r="O3740" s="88"/>
      <c r="P3740" s="88"/>
      <c r="Q3740" s="88"/>
      <c r="R3740" s="78">
        <f>MAX(S3740:W3740)</f>
        <v>0</v>
      </c>
      <c r="S3740" s="88"/>
      <c r="T3740" s="88"/>
      <c r="U3740" s="88"/>
      <c r="V3740" s="88"/>
      <c r="W3740" s="88"/>
    </row>
    <row r="3741" spans="2:23" s="0" customFormat="0" ht="15">
      <c r="B3741" s="87" t="s">
        <v>1</v>
      </c>
      <c r="C3741" s="88" t="s">
        <v>5259</v>
      </c>
      <c r="D3741" s="88" t="s">
        <v>1173</v>
      </c>
      <c r="E3741" s="88" t="s">
        <v>61</v>
      </c>
      <c r="F3741" s="88">
        <v>0</v>
      </c>
      <c r="G3741" s="78">
        <f>MAX(H3741,I3741,J3741)</f>
        <v>1</v>
      </c>
      <c r="H3741" s="88"/>
      <c r="I3741" s="88"/>
      <c r="J3741" s="78">
        <f>MAX(K3741:Q3741)</f>
        <v>1</v>
      </c>
      <c r="K3741" s="88">
        <v>1</v>
      </c>
      <c r="L3741" s="88"/>
      <c r="M3741" s="88"/>
      <c r="N3741" s="88"/>
      <c r="O3741" s="88"/>
      <c r="P3741" s="88"/>
      <c r="Q3741" s="88"/>
      <c r="R3741" s="78">
        <f>MAX(S3741:W3741)</f>
        <v>0</v>
      </c>
      <c r="S3741" s="88"/>
      <c r="T3741" s="88"/>
      <c r="U3741" s="88"/>
      <c r="V3741" s="88"/>
      <c r="W3741" s="88"/>
    </row>
    <row r="3742" spans="2:23" s="0" customFormat="0" ht="15">
      <c r="B3742" s="87" t="s">
        <v>1</v>
      </c>
      <c r="C3742" s="88" t="s">
        <v>5259</v>
      </c>
      <c r="D3742" s="88">
        <v>4158073</v>
      </c>
      <c r="E3742" s="88" t="s">
        <v>61</v>
      </c>
      <c r="F3742" s="88">
        <v>0</v>
      </c>
      <c r="G3742" s="78">
        <f>MAX(H3742,I3742,J3742)</f>
        <v>0</v>
      </c>
      <c r="H3742" s="88"/>
      <c r="I3742" s="88"/>
      <c r="J3742" s="78">
        <f>MAX(K3742:Q3742)</f>
        <v>0</v>
      </c>
      <c r="K3742" s="88"/>
      <c r="L3742" s="88"/>
      <c r="M3742" s="88"/>
      <c r="N3742" s="88"/>
      <c r="O3742" s="88"/>
      <c r="P3742" s="88"/>
      <c r="Q3742" s="88"/>
      <c r="R3742" s="78">
        <f>MAX(S3742:W3742)</f>
        <v>1</v>
      </c>
      <c r="S3742" s="88"/>
      <c r="T3742" s="88"/>
      <c r="U3742" s="88">
        <v>1</v>
      </c>
      <c r="V3742" s="88"/>
      <c r="W3742" s="88"/>
    </row>
    <row r="3743" spans="2:23" s="0" customFormat="0" ht="15">
      <c r="B3743" s="87" t="s">
        <v>1</v>
      </c>
      <c r="C3743" s="88" t="s">
        <v>5259</v>
      </c>
      <c r="D3743" s="88">
        <v>18771484</v>
      </c>
      <c r="E3743" s="88" t="s">
        <v>61</v>
      </c>
      <c r="F3743" s="88">
        <v>0</v>
      </c>
      <c r="G3743" s="78">
        <f>MAX(H3743,I3743,J3743)</f>
        <v>1</v>
      </c>
      <c r="H3743" s="88"/>
      <c r="I3743" s="88"/>
      <c r="J3743" s="78">
        <f>MAX(K3743:Q3743)</f>
        <v>1</v>
      </c>
      <c r="K3743" s="88">
        <v>1</v>
      </c>
      <c r="L3743" s="88"/>
      <c r="M3743" s="88"/>
      <c r="N3743" s="88"/>
      <c r="O3743" s="88"/>
      <c r="P3743" s="88"/>
      <c r="Q3743" s="88"/>
      <c r="R3743" s="78">
        <f>MAX(S3743:W3743)</f>
        <v>0</v>
      </c>
      <c r="S3743" s="88"/>
      <c r="T3743" s="88"/>
      <c r="U3743" s="88"/>
      <c r="V3743" s="88"/>
      <c r="W3743" s="88"/>
    </row>
    <row r="3744" spans="2:23" s="0" customFormat="0" ht="15">
      <c r="B3744" s="87" t="s">
        <v>1</v>
      </c>
      <c r="C3744" s="88" t="s">
        <v>5259</v>
      </c>
      <c r="D3744" s="88" t="s">
        <v>2348</v>
      </c>
      <c r="E3744" s="88" t="s">
        <v>61</v>
      </c>
      <c r="F3744" s="88">
        <v>0</v>
      </c>
      <c r="G3744" s="78">
        <f>MAX(H3744,I3744,J3744)</f>
        <v>1</v>
      </c>
      <c r="H3744" s="88"/>
      <c r="I3744" s="88"/>
      <c r="J3744" s="78">
        <f>MAX(K3744:Q3744)</f>
        <v>1</v>
      </c>
      <c r="K3744" s="88">
        <v>1</v>
      </c>
      <c r="L3744" s="88"/>
      <c r="M3744" s="88"/>
      <c r="N3744" s="88"/>
      <c r="O3744" s="88"/>
      <c r="P3744" s="88"/>
      <c r="Q3744" s="88"/>
      <c r="R3744" s="78">
        <f>MAX(S3744:W3744)</f>
        <v>0</v>
      </c>
      <c r="S3744" s="88"/>
      <c r="T3744" s="88"/>
      <c r="U3744" s="88"/>
      <c r="V3744" s="88"/>
      <c r="W3744" s="88"/>
    </row>
    <row r="3745" spans="2:23" s="0" customFormat="0" ht="15">
      <c r="B3745" s="87" t="s">
        <v>1</v>
      </c>
      <c r="C3745" s="88" t="s">
        <v>5259</v>
      </c>
      <c r="D3745" s="88">
        <v>12046707</v>
      </c>
      <c r="E3745" s="88" t="s">
        <v>61</v>
      </c>
      <c r="F3745" s="88">
        <v>0</v>
      </c>
      <c r="G3745" s="78">
        <f>MAX(H3745,I3745,J3745)</f>
        <v>1</v>
      </c>
      <c r="H3745" s="88"/>
      <c r="I3745" s="88"/>
      <c r="J3745" s="78">
        <f>MAX(K3745:Q3745)</f>
        <v>1</v>
      </c>
      <c r="K3745" s="88">
        <v>1</v>
      </c>
      <c r="L3745" s="88"/>
      <c r="M3745" s="88"/>
      <c r="N3745" s="88"/>
      <c r="O3745" s="88"/>
      <c r="P3745" s="88"/>
      <c r="Q3745" s="88"/>
      <c r="R3745" s="78">
        <f>MAX(S3745:W3745)</f>
        <v>0</v>
      </c>
      <c r="S3745" s="88"/>
      <c r="T3745" s="88"/>
      <c r="U3745" s="88"/>
      <c r="V3745" s="88"/>
      <c r="W3745" s="88"/>
    </row>
    <row r="3746" spans="2:23" s="0" customFormat="0" ht="15">
      <c r="B3746" s="87" t="s">
        <v>1</v>
      </c>
      <c r="C3746" s="88" t="s">
        <v>5259</v>
      </c>
      <c r="D3746" s="88">
        <v>20113248</v>
      </c>
      <c r="E3746" s="88" t="s">
        <v>61</v>
      </c>
      <c r="F3746" s="88">
        <v>0</v>
      </c>
      <c r="G3746" s="78">
        <f>MAX(H3746,I3746,J3746)</f>
        <v>0</v>
      </c>
      <c r="H3746" s="88"/>
      <c r="I3746" s="88"/>
      <c r="J3746" s="78">
        <f>MAX(K3746:Q3746)</f>
        <v>0</v>
      </c>
      <c r="K3746" s="88"/>
      <c r="L3746" s="88"/>
      <c r="M3746" s="88"/>
      <c r="N3746" s="88"/>
      <c r="O3746" s="88"/>
      <c r="P3746" s="88"/>
      <c r="Q3746" s="88"/>
      <c r="R3746" s="78">
        <f>MAX(S3746:W3746)</f>
        <v>1</v>
      </c>
      <c r="S3746" s="88"/>
      <c r="T3746" s="88"/>
      <c r="U3746" s="88">
        <v>1</v>
      </c>
      <c r="V3746" s="88"/>
      <c r="W3746" s="88"/>
    </row>
    <row r="3747" spans="2:23" s="0" customFormat="0" ht="15">
      <c r="B3747" s="87" t="s">
        <v>1</v>
      </c>
      <c r="C3747" s="88" t="s">
        <v>5259</v>
      </c>
      <c r="D3747" s="88">
        <v>22246381</v>
      </c>
      <c r="E3747" s="88" t="s">
        <v>61</v>
      </c>
      <c r="F3747" s="88">
        <v>0</v>
      </c>
      <c r="G3747" s="78">
        <f>MAX(H3747,I3747,J3747)</f>
        <v>1</v>
      </c>
      <c r="H3747" s="88"/>
      <c r="I3747" s="88"/>
      <c r="J3747" s="78">
        <f>MAX(K3747:Q3747)</f>
        <v>1</v>
      </c>
      <c r="K3747" s="88">
        <v>1</v>
      </c>
      <c r="L3747" s="88"/>
      <c r="M3747" s="88"/>
      <c r="N3747" s="88"/>
      <c r="O3747" s="88"/>
      <c r="P3747" s="88"/>
      <c r="Q3747" s="88"/>
      <c r="R3747" s="78">
        <f>MAX(S3747:W3747)</f>
        <v>0</v>
      </c>
      <c r="S3747" s="88"/>
      <c r="T3747" s="88"/>
      <c r="U3747" s="88"/>
      <c r="V3747" s="88"/>
      <c r="W3747" s="88"/>
    </row>
    <row r="3748" spans="2:23" s="0" customFormat="0" ht="15">
      <c r="B3748" s="87" t="s">
        <v>1</v>
      </c>
      <c r="C3748" s="88" t="s">
        <v>5259</v>
      </c>
      <c r="D3748" s="88">
        <v>24395135</v>
      </c>
      <c r="E3748" s="88" t="s">
        <v>61</v>
      </c>
      <c r="F3748" s="88">
        <v>0</v>
      </c>
      <c r="G3748" s="78">
        <f>MAX(H3748,I3748,J3748)</f>
        <v>0</v>
      </c>
      <c r="H3748" s="88"/>
      <c r="I3748" s="88"/>
      <c r="J3748" s="78">
        <f>MAX(K3748:Q3748)</f>
        <v>0</v>
      </c>
      <c r="K3748" s="88"/>
      <c r="L3748" s="88"/>
      <c r="M3748" s="88"/>
      <c r="N3748" s="88"/>
      <c r="O3748" s="88"/>
      <c r="P3748" s="88"/>
      <c r="Q3748" s="88"/>
      <c r="R3748" s="78">
        <f>MAX(S3748:W3748)</f>
        <v>1</v>
      </c>
      <c r="S3748" s="88"/>
      <c r="T3748" s="88"/>
      <c r="U3748" s="88">
        <v>1</v>
      </c>
      <c r="V3748" s="88"/>
      <c r="W3748" s="88"/>
    </row>
    <row r="3749" spans="2:23" s="0" customFormat="0" ht="15">
      <c r="B3749" s="87" t="s">
        <v>1</v>
      </c>
      <c r="C3749" s="88" t="s">
        <v>5259</v>
      </c>
      <c r="D3749" s="88" t="s">
        <v>4823</v>
      </c>
      <c r="E3749" s="88" t="s">
        <v>61</v>
      </c>
      <c r="F3749" s="88">
        <v>0</v>
      </c>
      <c r="G3749" s="78">
        <f>MAX(H3749,I3749,J3749)</f>
        <v>0</v>
      </c>
      <c r="H3749" s="88"/>
      <c r="I3749" s="88"/>
      <c r="J3749" s="78">
        <f>MAX(K3749:Q3749)</f>
        <v>0</v>
      </c>
      <c r="K3749" s="88"/>
      <c r="L3749" s="88"/>
      <c r="M3749" s="88"/>
      <c r="N3749" s="88"/>
      <c r="O3749" s="88"/>
      <c r="P3749" s="88"/>
      <c r="Q3749" s="88"/>
      <c r="R3749" s="78">
        <f>MAX(S3749:W3749)</f>
        <v>1</v>
      </c>
      <c r="S3749" s="88"/>
      <c r="T3749" s="88"/>
      <c r="U3749" s="88">
        <v>1</v>
      </c>
      <c r="V3749" s="88"/>
      <c r="W3749" s="88"/>
    </row>
    <row r="3750" spans="2:23" s="0" customFormat="0" ht="15">
      <c r="B3750" s="87" t="s">
        <v>1</v>
      </c>
      <c r="C3750" s="88" t="s">
        <v>5259</v>
      </c>
      <c r="D3750" s="88" t="s">
        <v>2351</v>
      </c>
      <c r="E3750" s="88" t="s">
        <v>61</v>
      </c>
      <c r="F3750" s="88">
        <v>0</v>
      </c>
      <c r="G3750" s="78">
        <f>MAX(H3750,I3750,J3750)</f>
        <v>1</v>
      </c>
      <c r="H3750" s="88"/>
      <c r="I3750" s="88"/>
      <c r="J3750" s="78">
        <f>MAX(K3750:Q3750)</f>
        <v>1</v>
      </c>
      <c r="K3750" s="88">
        <v>1</v>
      </c>
      <c r="L3750" s="88"/>
      <c r="M3750" s="88"/>
      <c r="N3750" s="88"/>
      <c r="O3750" s="88"/>
      <c r="P3750" s="88"/>
      <c r="Q3750" s="88"/>
      <c r="R3750" s="78">
        <f>MAX(S3750:W3750)</f>
        <v>0</v>
      </c>
      <c r="S3750" s="88"/>
      <c r="T3750" s="88"/>
      <c r="U3750" s="88"/>
      <c r="V3750" s="88"/>
      <c r="W3750" s="88"/>
    </row>
    <row r="3751" spans="2:23" s="0" customFormat="0" ht="15">
      <c r="B3751" s="87" t="s">
        <v>1</v>
      </c>
      <c r="C3751" s="88" t="s">
        <v>5259</v>
      </c>
      <c r="D3751" s="88">
        <v>16974059</v>
      </c>
      <c r="E3751" s="88" t="s">
        <v>61</v>
      </c>
      <c r="F3751" s="88">
        <v>0</v>
      </c>
      <c r="G3751" s="78">
        <f>MAX(H3751,I3751,J3751)</f>
        <v>0</v>
      </c>
      <c r="H3751" s="88"/>
      <c r="I3751" s="88"/>
      <c r="J3751" s="78">
        <f>MAX(K3751:Q3751)</f>
        <v>0</v>
      </c>
      <c r="K3751" s="88"/>
      <c r="L3751" s="88"/>
      <c r="M3751" s="88"/>
      <c r="N3751" s="88"/>
      <c r="O3751" s="88"/>
      <c r="P3751" s="88"/>
      <c r="Q3751" s="88"/>
      <c r="R3751" s="78">
        <f>MAX(S3751:W3751)</f>
        <v>1</v>
      </c>
      <c r="S3751" s="88"/>
      <c r="T3751" s="88"/>
      <c r="U3751" s="88">
        <v>1</v>
      </c>
      <c r="V3751" s="88"/>
      <c r="W3751" s="88"/>
    </row>
    <row r="3752" spans="2:23" s="0" customFormat="0" ht="15">
      <c r="B3752" s="87" t="s">
        <v>1</v>
      </c>
      <c r="C3752" s="88" t="s">
        <v>5259</v>
      </c>
      <c r="D3752" s="88" t="s">
        <v>443</v>
      </c>
      <c r="E3752" s="88" t="s">
        <v>61</v>
      </c>
      <c r="F3752" s="88">
        <v>0</v>
      </c>
      <c r="G3752" s="78">
        <f>MAX(H3752,I3752,J3752)</f>
        <v>1</v>
      </c>
      <c r="H3752" s="88"/>
      <c r="I3752" s="88"/>
      <c r="J3752" s="78">
        <f>MAX(K3752:Q3752)</f>
        <v>1</v>
      </c>
      <c r="K3752" s="88">
        <v>1</v>
      </c>
      <c r="L3752" s="88"/>
      <c r="M3752" s="88"/>
      <c r="N3752" s="88"/>
      <c r="O3752" s="88"/>
      <c r="P3752" s="88"/>
      <c r="Q3752" s="88"/>
      <c r="R3752" s="78">
        <f>MAX(S3752:W3752)</f>
        <v>0</v>
      </c>
      <c r="S3752" s="88"/>
      <c r="T3752" s="88"/>
      <c r="U3752" s="88"/>
      <c r="V3752" s="88"/>
      <c r="W3752" s="88"/>
    </row>
    <row r="3753" spans="2:23" s="0" customFormat="0" ht="15">
      <c r="B3753" s="87" t="s">
        <v>1</v>
      </c>
      <c r="C3753" s="88" t="s">
        <v>5259</v>
      </c>
      <c r="D3753" s="88">
        <v>9769687</v>
      </c>
      <c r="E3753" s="88" t="s">
        <v>61</v>
      </c>
      <c r="F3753" s="88">
        <v>0</v>
      </c>
      <c r="G3753" s="78">
        <f>MAX(H3753,I3753,J3753)</f>
        <v>0</v>
      </c>
      <c r="H3753" s="88"/>
      <c r="I3753" s="88"/>
      <c r="J3753" s="78">
        <f>MAX(K3753:Q3753)</f>
        <v>0</v>
      </c>
      <c r="K3753" s="88"/>
      <c r="L3753" s="88"/>
      <c r="M3753" s="88"/>
      <c r="N3753" s="88"/>
      <c r="O3753" s="88"/>
      <c r="P3753" s="88"/>
      <c r="Q3753" s="88"/>
      <c r="R3753" s="78">
        <f>MAX(S3753:W3753)</f>
        <v>1</v>
      </c>
      <c r="S3753" s="88"/>
      <c r="T3753" s="88"/>
      <c r="U3753" s="88">
        <v>1</v>
      </c>
      <c r="V3753" s="88"/>
      <c r="W3753" s="88"/>
    </row>
    <row r="3754" spans="2:23" s="0" customFormat="0" ht="15">
      <c r="B3754" s="87" t="s">
        <v>1</v>
      </c>
      <c r="C3754" s="88" t="s">
        <v>5259</v>
      </c>
      <c r="D3754" s="88" t="s">
        <v>2353</v>
      </c>
      <c r="E3754" s="88" t="s">
        <v>61</v>
      </c>
      <c r="F3754" s="88">
        <v>0</v>
      </c>
      <c r="G3754" s="78">
        <f>MAX(H3754,I3754,J3754)</f>
        <v>1</v>
      </c>
      <c r="H3754" s="88"/>
      <c r="I3754" s="88"/>
      <c r="J3754" s="78">
        <f>MAX(K3754:Q3754)</f>
        <v>1</v>
      </c>
      <c r="K3754" s="88">
        <v>1</v>
      </c>
      <c r="L3754" s="88"/>
      <c r="M3754" s="88"/>
      <c r="N3754" s="88"/>
      <c r="O3754" s="88"/>
      <c r="P3754" s="88"/>
      <c r="Q3754" s="88"/>
      <c r="R3754" s="78">
        <f>MAX(S3754:W3754)</f>
        <v>0</v>
      </c>
      <c r="S3754" s="88"/>
      <c r="T3754" s="88"/>
      <c r="U3754" s="88"/>
      <c r="V3754" s="88"/>
      <c r="W3754" s="88"/>
    </row>
    <row r="3755" spans="2:23" s="0" customFormat="0" ht="15">
      <c r="B3755" s="87" t="s">
        <v>1</v>
      </c>
      <c r="C3755" s="88" t="s">
        <v>5259</v>
      </c>
      <c r="D3755" s="88">
        <v>238624</v>
      </c>
      <c r="E3755" s="88" t="s">
        <v>61</v>
      </c>
      <c r="F3755" s="88">
        <v>0</v>
      </c>
      <c r="G3755" s="78">
        <f>MAX(H3755,I3755,J3755)</f>
        <v>1</v>
      </c>
      <c r="H3755" s="88"/>
      <c r="I3755" s="88"/>
      <c r="J3755" s="78">
        <f>MAX(K3755:Q3755)</f>
        <v>1</v>
      </c>
      <c r="K3755" s="88">
        <v>1</v>
      </c>
      <c r="L3755" s="88"/>
      <c r="M3755" s="88"/>
      <c r="N3755" s="88"/>
      <c r="O3755" s="88"/>
      <c r="P3755" s="88"/>
      <c r="Q3755" s="88"/>
      <c r="R3755" s="78">
        <f>MAX(S3755:W3755)</f>
        <v>0</v>
      </c>
      <c r="S3755" s="88"/>
      <c r="T3755" s="88"/>
      <c r="U3755" s="88"/>
      <c r="V3755" s="88"/>
      <c r="W3755" s="88"/>
    </row>
    <row r="3756" spans="2:23" s="0" customFormat="0" ht="15">
      <c r="B3756" s="87" t="s">
        <v>1</v>
      </c>
      <c r="C3756" s="88" t="s">
        <v>5259</v>
      </c>
      <c r="D3756" s="88">
        <v>994090</v>
      </c>
      <c r="E3756" s="88" t="s">
        <v>61</v>
      </c>
      <c r="F3756" s="88">
        <v>0</v>
      </c>
      <c r="G3756" s="78">
        <f>MAX(H3756,I3756,J3756)</f>
        <v>0</v>
      </c>
      <c r="H3756" s="88"/>
      <c r="I3756" s="88"/>
      <c r="J3756" s="78">
        <f>MAX(K3756:Q3756)</f>
        <v>0</v>
      </c>
      <c r="K3756" s="88"/>
      <c r="L3756" s="88"/>
      <c r="M3756" s="88"/>
      <c r="N3756" s="88"/>
      <c r="O3756" s="88"/>
      <c r="P3756" s="88"/>
      <c r="Q3756" s="88"/>
      <c r="R3756" s="78">
        <f>MAX(S3756:W3756)</f>
        <v>1</v>
      </c>
      <c r="S3756" s="88"/>
      <c r="T3756" s="88"/>
      <c r="U3756" s="88">
        <v>1</v>
      </c>
      <c r="V3756" s="88"/>
      <c r="W3756" s="88"/>
    </row>
    <row r="3757" spans="2:23" s="0" customFormat="0" ht="15">
      <c r="B3757" s="87" t="s">
        <v>1</v>
      </c>
      <c r="C3757" s="88" t="s">
        <v>5259</v>
      </c>
      <c r="D3757" s="88">
        <v>870799</v>
      </c>
      <c r="E3757" s="88" t="s">
        <v>61</v>
      </c>
      <c r="F3757" s="88">
        <v>0</v>
      </c>
      <c r="G3757" s="78">
        <f>MAX(H3757,I3757,J3757)</f>
        <v>0</v>
      </c>
      <c r="H3757" s="88"/>
      <c r="I3757" s="88"/>
      <c r="J3757" s="78">
        <f>MAX(K3757:Q3757)</f>
        <v>0</v>
      </c>
      <c r="K3757" s="88"/>
      <c r="L3757" s="88"/>
      <c r="M3757" s="88"/>
      <c r="N3757" s="88"/>
      <c r="O3757" s="88"/>
      <c r="P3757" s="88"/>
      <c r="Q3757" s="88"/>
      <c r="R3757" s="78">
        <f>MAX(S3757:W3757)</f>
        <v>1</v>
      </c>
      <c r="S3757" s="88"/>
      <c r="T3757" s="88"/>
      <c r="U3757" s="88">
        <v>1</v>
      </c>
      <c r="V3757" s="88"/>
      <c r="W3757" s="88"/>
    </row>
    <row r="3758" spans="2:23" s="0" customFormat="0" ht="15">
      <c r="B3758" s="87" t="s">
        <v>1</v>
      </c>
      <c r="C3758" s="88" t="s">
        <v>5259</v>
      </c>
      <c r="D3758" s="88">
        <v>21027790</v>
      </c>
      <c r="E3758" s="88" t="s">
        <v>61</v>
      </c>
      <c r="F3758" s="88">
        <v>0</v>
      </c>
      <c r="G3758" s="78">
        <f>MAX(H3758,I3758,J3758)</f>
        <v>1</v>
      </c>
      <c r="H3758" s="88"/>
      <c r="I3758" s="88"/>
      <c r="J3758" s="78">
        <f>MAX(K3758:Q3758)</f>
        <v>1</v>
      </c>
      <c r="K3758" s="88">
        <v>1</v>
      </c>
      <c r="L3758" s="88"/>
      <c r="M3758" s="88"/>
      <c r="N3758" s="88"/>
      <c r="O3758" s="88"/>
      <c r="P3758" s="88"/>
      <c r="Q3758" s="88"/>
      <c r="R3758" s="78">
        <f>MAX(S3758:W3758)</f>
        <v>0</v>
      </c>
      <c r="S3758" s="88"/>
      <c r="T3758" s="88"/>
      <c r="U3758" s="88"/>
      <c r="V3758" s="88"/>
      <c r="W3758" s="88"/>
    </row>
    <row r="3759" spans="2:23" s="0" customFormat="0" ht="15">
      <c r="B3759" s="87" t="s">
        <v>1</v>
      </c>
      <c r="C3759" s="88" t="s">
        <v>5259</v>
      </c>
      <c r="D3759" s="88" t="s">
        <v>2357</v>
      </c>
      <c r="E3759" s="88" t="s">
        <v>61</v>
      </c>
      <c r="F3759" s="88">
        <v>0</v>
      </c>
      <c r="G3759" s="78">
        <f>MAX(H3759,I3759,J3759)</f>
        <v>1</v>
      </c>
      <c r="H3759" s="88"/>
      <c r="I3759" s="88"/>
      <c r="J3759" s="78">
        <f>MAX(K3759:Q3759)</f>
        <v>1</v>
      </c>
      <c r="K3759" s="88">
        <v>1</v>
      </c>
      <c r="L3759" s="88"/>
      <c r="M3759" s="88"/>
      <c r="N3759" s="88"/>
      <c r="O3759" s="88"/>
      <c r="P3759" s="88"/>
      <c r="Q3759" s="88"/>
      <c r="R3759" s="78">
        <f>MAX(S3759:W3759)</f>
        <v>0</v>
      </c>
      <c r="S3759" s="88"/>
      <c r="T3759" s="88"/>
      <c r="U3759" s="88"/>
      <c r="V3759" s="88"/>
      <c r="W3759" s="88"/>
    </row>
    <row r="3760" spans="2:23" s="0" customFormat="0" ht="15">
      <c r="B3760" s="87" t="s">
        <v>1</v>
      </c>
      <c r="C3760" s="88" t="s">
        <v>5259</v>
      </c>
      <c r="D3760" s="88" t="s">
        <v>4366</v>
      </c>
      <c r="E3760" s="88" t="s">
        <v>61</v>
      </c>
      <c r="F3760" s="88">
        <v>0</v>
      </c>
      <c r="G3760" s="78">
        <f>MAX(H3760,I3760,J3760)</f>
        <v>0</v>
      </c>
      <c r="H3760" s="88"/>
      <c r="I3760" s="88"/>
      <c r="J3760" s="78">
        <f>MAX(K3760:Q3760)</f>
        <v>0</v>
      </c>
      <c r="K3760" s="88"/>
      <c r="L3760" s="88"/>
      <c r="M3760" s="88"/>
      <c r="N3760" s="88"/>
      <c r="O3760" s="88"/>
      <c r="P3760" s="88"/>
      <c r="Q3760" s="88"/>
      <c r="R3760" s="78">
        <f>MAX(S3760:W3760)</f>
        <v>1</v>
      </c>
      <c r="S3760" s="88"/>
      <c r="T3760" s="88"/>
      <c r="U3760" s="88">
        <v>1</v>
      </c>
      <c r="V3760" s="88"/>
      <c r="W3760" s="88"/>
    </row>
    <row r="3761" spans="2:23" s="0" customFormat="0" ht="15">
      <c r="B3761" s="87" t="s">
        <v>1</v>
      </c>
      <c r="C3761" s="88" t="s">
        <v>5259</v>
      </c>
      <c r="D3761" s="88">
        <v>24077275</v>
      </c>
      <c r="E3761" s="88" t="s">
        <v>61</v>
      </c>
      <c r="F3761" s="88">
        <v>0</v>
      </c>
      <c r="G3761" s="78">
        <f>MAX(H3761,I3761,J3761)</f>
        <v>1</v>
      </c>
      <c r="H3761" s="88"/>
      <c r="I3761" s="88"/>
      <c r="J3761" s="78">
        <f>MAX(K3761:Q3761)</f>
        <v>1</v>
      </c>
      <c r="K3761" s="88">
        <v>1</v>
      </c>
      <c r="L3761" s="88"/>
      <c r="M3761" s="88"/>
      <c r="N3761" s="88"/>
      <c r="O3761" s="88"/>
      <c r="P3761" s="88"/>
      <c r="Q3761" s="88"/>
      <c r="R3761" s="78">
        <f>MAX(S3761:W3761)</f>
        <v>0</v>
      </c>
      <c r="S3761" s="88"/>
      <c r="T3761" s="88"/>
      <c r="U3761" s="88"/>
      <c r="V3761" s="88"/>
      <c r="W3761" s="88"/>
    </row>
    <row r="3762" spans="2:23" s="0" customFormat="0" ht="15">
      <c r="B3762" s="87" t="s">
        <v>1</v>
      </c>
      <c r="C3762" s="88" t="s">
        <v>5259</v>
      </c>
      <c r="D3762" s="88" t="s">
        <v>1845</v>
      </c>
      <c r="E3762" s="88" t="s">
        <v>61</v>
      </c>
      <c r="F3762" s="88">
        <v>0</v>
      </c>
      <c r="G3762" s="78">
        <f>MAX(H3762,I3762,J3762)</f>
        <v>1</v>
      </c>
      <c r="H3762" s="88"/>
      <c r="I3762" s="88"/>
      <c r="J3762" s="78">
        <f>MAX(K3762:Q3762)</f>
        <v>1</v>
      </c>
      <c r="K3762" s="88">
        <v>1</v>
      </c>
      <c r="L3762" s="88"/>
      <c r="M3762" s="88"/>
      <c r="N3762" s="88"/>
      <c r="O3762" s="88"/>
      <c r="P3762" s="88"/>
      <c r="Q3762" s="88"/>
      <c r="R3762" s="78">
        <f>MAX(S3762:W3762)</f>
        <v>0</v>
      </c>
      <c r="S3762" s="88"/>
      <c r="T3762" s="88"/>
      <c r="U3762" s="88"/>
      <c r="V3762" s="88"/>
      <c r="W3762" s="88"/>
    </row>
    <row r="3763" spans="2:23" s="0" customFormat="0" ht="15">
      <c r="B3763" s="87" t="s">
        <v>1</v>
      </c>
      <c r="C3763" s="88" t="s">
        <v>5259</v>
      </c>
      <c r="D3763" s="88">
        <v>19116941</v>
      </c>
      <c r="E3763" s="88" t="s">
        <v>61</v>
      </c>
      <c r="F3763" s="88">
        <v>0</v>
      </c>
      <c r="G3763" s="78">
        <f>MAX(H3763,I3763,J3763)</f>
        <v>1</v>
      </c>
      <c r="H3763" s="88"/>
      <c r="I3763" s="88"/>
      <c r="J3763" s="78">
        <f>MAX(K3763:Q3763)</f>
        <v>1</v>
      </c>
      <c r="K3763" s="88">
        <v>1</v>
      </c>
      <c r="L3763" s="88"/>
      <c r="M3763" s="88"/>
      <c r="N3763" s="88"/>
      <c r="O3763" s="88"/>
      <c r="P3763" s="88"/>
      <c r="Q3763" s="88"/>
      <c r="R3763" s="78">
        <f>MAX(S3763:W3763)</f>
        <v>0</v>
      </c>
      <c r="S3763" s="88"/>
      <c r="T3763" s="88"/>
      <c r="U3763" s="88"/>
      <c r="V3763" s="88"/>
      <c r="W3763" s="88"/>
    </row>
    <row r="3764" spans="2:23" s="0" customFormat="0" ht="15">
      <c r="B3764" s="87" t="s">
        <v>1</v>
      </c>
      <c r="C3764" s="88" t="s">
        <v>5259</v>
      </c>
      <c r="D3764" s="88" t="s">
        <v>4826</v>
      </c>
      <c r="E3764" s="88" t="s">
        <v>61</v>
      </c>
      <c r="F3764" s="88">
        <v>0</v>
      </c>
      <c r="G3764" s="78">
        <f>MAX(H3764,I3764,J3764)</f>
        <v>0</v>
      </c>
      <c r="H3764" s="88"/>
      <c r="I3764" s="88"/>
      <c r="J3764" s="78">
        <f>MAX(K3764:Q3764)</f>
        <v>0</v>
      </c>
      <c r="K3764" s="88"/>
      <c r="L3764" s="88"/>
      <c r="M3764" s="88"/>
      <c r="N3764" s="88"/>
      <c r="O3764" s="88"/>
      <c r="P3764" s="88"/>
      <c r="Q3764" s="88"/>
      <c r="R3764" s="78">
        <f>MAX(S3764:W3764)</f>
        <v>1</v>
      </c>
      <c r="S3764" s="88"/>
      <c r="T3764" s="88"/>
      <c r="U3764" s="88">
        <v>1</v>
      </c>
      <c r="V3764" s="88"/>
      <c r="W3764" s="88"/>
    </row>
    <row r="3765" spans="2:23" s="0" customFormat="0" ht="15">
      <c r="B3765" s="87" t="s">
        <v>1</v>
      </c>
      <c r="C3765" s="88" t="s">
        <v>5259</v>
      </c>
      <c r="D3765" s="88" t="s">
        <v>2359</v>
      </c>
      <c r="E3765" s="88" t="s">
        <v>61</v>
      </c>
      <c r="F3765" s="88">
        <v>0</v>
      </c>
      <c r="G3765" s="78">
        <f>MAX(H3765,I3765,J3765)</f>
        <v>1</v>
      </c>
      <c r="H3765" s="88"/>
      <c r="I3765" s="88"/>
      <c r="J3765" s="78">
        <f>MAX(K3765:Q3765)</f>
        <v>1</v>
      </c>
      <c r="K3765" s="88">
        <v>1</v>
      </c>
      <c r="L3765" s="88"/>
      <c r="M3765" s="88"/>
      <c r="N3765" s="88"/>
      <c r="O3765" s="88"/>
      <c r="P3765" s="88"/>
      <c r="Q3765" s="88"/>
      <c r="R3765" s="78">
        <f>MAX(S3765:W3765)</f>
        <v>0</v>
      </c>
      <c r="S3765" s="88"/>
      <c r="T3765" s="88"/>
      <c r="U3765" s="88"/>
      <c r="V3765" s="88"/>
      <c r="W3765" s="88"/>
    </row>
    <row r="3766" spans="2:23" s="0" customFormat="0" ht="15">
      <c r="B3766" s="87" t="s">
        <v>1</v>
      </c>
      <c r="C3766" s="88" t="s">
        <v>5259</v>
      </c>
      <c r="D3766" s="88" t="s">
        <v>2361</v>
      </c>
      <c r="E3766" s="88" t="s">
        <v>61</v>
      </c>
      <c r="F3766" s="88">
        <v>0</v>
      </c>
      <c r="G3766" s="78">
        <f>MAX(H3766,I3766,J3766)</f>
        <v>1</v>
      </c>
      <c r="H3766" s="88"/>
      <c r="I3766" s="88"/>
      <c r="J3766" s="78">
        <f>MAX(K3766:Q3766)</f>
        <v>1</v>
      </c>
      <c r="K3766" s="88">
        <v>1</v>
      </c>
      <c r="L3766" s="88"/>
      <c r="M3766" s="88"/>
      <c r="N3766" s="88"/>
      <c r="O3766" s="88"/>
      <c r="P3766" s="88"/>
      <c r="Q3766" s="88"/>
      <c r="R3766" s="78">
        <f>MAX(S3766:W3766)</f>
        <v>0</v>
      </c>
      <c r="S3766" s="88"/>
      <c r="T3766" s="88"/>
      <c r="U3766" s="88"/>
      <c r="V3766" s="88"/>
      <c r="W3766" s="88"/>
    </row>
    <row r="3767" spans="2:23" s="0" customFormat="0" ht="15">
      <c r="B3767" s="87" t="s">
        <v>1</v>
      </c>
      <c r="C3767" s="88" t="s">
        <v>5259</v>
      </c>
      <c r="D3767" s="88" t="s">
        <v>2363</v>
      </c>
      <c r="E3767" s="88" t="s">
        <v>61</v>
      </c>
      <c r="F3767" s="88">
        <v>0</v>
      </c>
      <c r="G3767" s="78">
        <f>MAX(H3767,I3767,J3767)</f>
        <v>1</v>
      </c>
      <c r="H3767" s="88"/>
      <c r="I3767" s="88"/>
      <c r="J3767" s="78">
        <f>MAX(K3767:Q3767)</f>
        <v>1</v>
      </c>
      <c r="K3767" s="88">
        <v>1</v>
      </c>
      <c r="L3767" s="88"/>
      <c r="M3767" s="88"/>
      <c r="N3767" s="88"/>
      <c r="O3767" s="88"/>
      <c r="P3767" s="88"/>
      <c r="Q3767" s="88"/>
      <c r="R3767" s="78">
        <f>MAX(S3767:W3767)</f>
        <v>0</v>
      </c>
      <c r="S3767" s="88"/>
      <c r="T3767" s="88"/>
      <c r="U3767" s="88"/>
      <c r="V3767" s="88"/>
      <c r="W3767" s="88"/>
    </row>
    <row r="3768" spans="2:23" s="0" customFormat="0" ht="15">
      <c r="B3768" s="87" t="s">
        <v>1</v>
      </c>
      <c r="C3768" s="88" t="s">
        <v>5259</v>
      </c>
      <c r="D3768" s="88">
        <v>19178600</v>
      </c>
      <c r="E3768" s="88" t="s">
        <v>61</v>
      </c>
      <c r="F3768" s="88">
        <v>0</v>
      </c>
      <c r="G3768" s="78">
        <f>MAX(H3768,I3768,J3768)</f>
        <v>1</v>
      </c>
      <c r="H3768" s="88"/>
      <c r="I3768" s="88"/>
      <c r="J3768" s="78">
        <f>MAX(K3768:Q3768)</f>
        <v>1</v>
      </c>
      <c r="K3768" s="88">
        <v>1</v>
      </c>
      <c r="L3768" s="88"/>
      <c r="M3768" s="88"/>
      <c r="N3768" s="88"/>
      <c r="O3768" s="88"/>
      <c r="P3768" s="88"/>
      <c r="Q3768" s="88"/>
      <c r="R3768" s="78">
        <f>MAX(S3768:W3768)</f>
        <v>0</v>
      </c>
      <c r="S3768" s="88"/>
      <c r="T3768" s="88"/>
      <c r="U3768" s="88"/>
      <c r="V3768" s="88"/>
      <c r="W3768" s="88"/>
    </row>
    <row r="3769" spans="2:23" s="0" customFormat="0" ht="15">
      <c r="B3769" s="87" t="s">
        <v>1</v>
      </c>
      <c r="C3769" s="88" t="s">
        <v>5259</v>
      </c>
      <c r="D3769" s="88">
        <v>7347500</v>
      </c>
      <c r="E3769" s="88" t="s">
        <v>61</v>
      </c>
      <c r="F3769" s="88">
        <v>0</v>
      </c>
      <c r="G3769" s="78">
        <f>MAX(H3769,I3769,J3769)</f>
        <v>1</v>
      </c>
      <c r="H3769" s="88"/>
      <c r="I3769" s="88"/>
      <c r="J3769" s="78">
        <f>MAX(K3769:Q3769)</f>
        <v>1</v>
      </c>
      <c r="K3769" s="88">
        <v>1</v>
      </c>
      <c r="L3769" s="88"/>
      <c r="M3769" s="88"/>
      <c r="N3769" s="88"/>
      <c r="O3769" s="88"/>
      <c r="P3769" s="88"/>
      <c r="Q3769" s="88"/>
      <c r="R3769" s="78">
        <f>MAX(S3769:W3769)</f>
        <v>0</v>
      </c>
      <c r="S3769" s="88"/>
      <c r="T3769" s="88"/>
      <c r="U3769" s="88"/>
      <c r="V3769" s="88"/>
      <c r="W3769" s="88"/>
    </row>
    <row r="3770" spans="2:23" s="0" customFormat="0" ht="15">
      <c r="B3770" s="87" t="s">
        <v>1</v>
      </c>
      <c r="C3770" s="88" t="s">
        <v>5259</v>
      </c>
      <c r="D3770" s="88">
        <v>22827429</v>
      </c>
      <c r="E3770" s="88" t="s">
        <v>61</v>
      </c>
      <c r="F3770" s="88">
        <v>0</v>
      </c>
      <c r="G3770" s="78">
        <f>MAX(H3770,I3770,J3770)</f>
        <v>1</v>
      </c>
      <c r="H3770" s="88"/>
      <c r="I3770" s="88"/>
      <c r="J3770" s="78">
        <f>MAX(K3770:Q3770)</f>
        <v>1</v>
      </c>
      <c r="K3770" s="88">
        <v>1</v>
      </c>
      <c r="L3770" s="88"/>
      <c r="M3770" s="88"/>
      <c r="N3770" s="88"/>
      <c r="O3770" s="88"/>
      <c r="P3770" s="88"/>
      <c r="Q3770" s="88"/>
      <c r="R3770" s="78">
        <f>MAX(S3770:W3770)</f>
        <v>0</v>
      </c>
      <c r="S3770" s="88"/>
      <c r="T3770" s="88"/>
      <c r="U3770" s="88"/>
      <c r="V3770" s="88"/>
      <c r="W3770" s="88"/>
    </row>
    <row r="3771" spans="2:23" s="0" customFormat="0" ht="15">
      <c r="B3771" s="87" t="s">
        <v>1</v>
      </c>
      <c r="C3771" s="88" t="s">
        <v>5259</v>
      </c>
      <c r="D3771" s="88">
        <v>20459285</v>
      </c>
      <c r="E3771" s="88" t="s">
        <v>61</v>
      </c>
      <c r="F3771" s="88">
        <v>0</v>
      </c>
      <c r="G3771" s="78">
        <f>MAX(H3771,I3771,J3771)</f>
        <v>1</v>
      </c>
      <c r="H3771" s="88"/>
      <c r="I3771" s="88"/>
      <c r="J3771" s="78">
        <f>MAX(K3771:Q3771)</f>
        <v>1</v>
      </c>
      <c r="K3771" s="88">
        <v>1</v>
      </c>
      <c r="L3771" s="88"/>
      <c r="M3771" s="88"/>
      <c r="N3771" s="88"/>
      <c r="O3771" s="88"/>
      <c r="P3771" s="88"/>
      <c r="Q3771" s="88"/>
      <c r="R3771" s="78">
        <f>MAX(S3771:W3771)</f>
        <v>0</v>
      </c>
      <c r="S3771" s="88"/>
      <c r="T3771" s="88"/>
      <c r="U3771" s="88"/>
      <c r="V3771" s="88"/>
      <c r="W3771" s="88"/>
    </row>
    <row r="3772" spans="2:23" s="0" customFormat="0" ht="15">
      <c r="B3772" s="87" t="s">
        <v>1</v>
      </c>
      <c r="C3772" s="88" t="s">
        <v>5259</v>
      </c>
      <c r="D3772" s="88">
        <v>19474819</v>
      </c>
      <c r="E3772" s="88" t="s">
        <v>61</v>
      </c>
      <c r="F3772" s="88">
        <v>0</v>
      </c>
      <c r="G3772" s="78">
        <f>MAX(H3772,I3772,J3772)</f>
        <v>1</v>
      </c>
      <c r="H3772" s="88"/>
      <c r="I3772" s="88"/>
      <c r="J3772" s="78">
        <f>MAX(K3772:Q3772)</f>
        <v>1</v>
      </c>
      <c r="K3772" s="88">
        <v>1</v>
      </c>
      <c r="L3772" s="88"/>
      <c r="M3772" s="88"/>
      <c r="N3772" s="88"/>
      <c r="O3772" s="88"/>
      <c r="P3772" s="88"/>
      <c r="Q3772" s="88"/>
      <c r="R3772" s="78">
        <f>MAX(S3772:W3772)</f>
        <v>0</v>
      </c>
      <c r="S3772" s="88"/>
      <c r="T3772" s="88"/>
      <c r="U3772" s="88"/>
      <c r="V3772" s="88"/>
      <c r="W3772" s="88"/>
    </row>
    <row r="3773" spans="2:23" s="0" customFormat="0" ht="15">
      <c r="B3773" s="87" t="s">
        <v>1</v>
      </c>
      <c r="C3773" s="88" t="s">
        <v>5259</v>
      </c>
      <c r="D3773" s="88" t="s">
        <v>4828</v>
      </c>
      <c r="E3773" s="88" t="s">
        <v>61</v>
      </c>
      <c r="F3773" s="88">
        <v>0</v>
      </c>
      <c r="G3773" s="78">
        <f>MAX(H3773,I3773,J3773)</f>
        <v>0</v>
      </c>
      <c r="H3773" s="88"/>
      <c r="I3773" s="88"/>
      <c r="J3773" s="78">
        <f>MAX(K3773:Q3773)</f>
        <v>0</v>
      </c>
      <c r="K3773" s="88"/>
      <c r="L3773" s="88"/>
      <c r="M3773" s="88"/>
      <c r="N3773" s="88"/>
      <c r="O3773" s="88"/>
      <c r="P3773" s="88"/>
      <c r="Q3773" s="88"/>
      <c r="R3773" s="78">
        <f>MAX(S3773:W3773)</f>
        <v>1</v>
      </c>
      <c r="S3773" s="88"/>
      <c r="T3773" s="88"/>
      <c r="U3773" s="88">
        <v>1</v>
      </c>
      <c r="V3773" s="88"/>
      <c r="W3773" s="88"/>
    </row>
    <row r="3774" spans="2:23" s="0" customFormat="0" ht="15">
      <c r="B3774" s="87" t="s">
        <v>1</v>
      </c>
      <c r="C3774" s="88" t="s">
        <v>5259</v>
      </c>
      <c r="D3774" s="88">
        <v>16974698</v>
      </c>
      <c r="E3774" s="88" t="s">
        <v>61</v>
      </c>
      <c r="F3774" s="88">
        <v>0</v>
      </c>
      <c r="G3774" s="78">
        <f>MAX(H3774,I3774,J3774)</f>
        <v>0</v>
      </c>
      <c r="H3774" s="88"/>
      <c r="I3774" s="88"/>
      <c r="J3774" s="78">
        <f>MAX(K3774:Q3774)</f>
        <v>0</v>
      </c>
      <c r="K3774" s="88"/>
      <c r="L3774" s="88"/>
      <c r="M3774" s="88"/>
      <c r="N3774" s="88"/>
      <c r="O3774" s="88"/>
      <c r="P3774" s="88"/>
      <c r="Q3774" s="88"/>
      <c r="R3774" s="78">
        <f>MAX(S3774:W3774)</f>
        <v>1</v>
      </c>
      <c r="S3774" s="88"/>
      <c r="T3774" s="88"/>
      <c r="U3774" s="88">
        <v>1</v>
      </c>
      <c r="V3774" s="88"/>
      <c r="W3774" s="88"/>
    </row>
    <row r="3775" spans="2:23" s="0" customFormat="0" ht="15">
      <c r="B3775" s="87" t="s">
        <v>1</v>
      </c>
      <c r="C3775" s="88" t="s">
        <v>5259</v>
      </c>
      <c r="D3775" s="88" t="s">
        <v>4831</v>
      </c>
      <c r="E3775" s="88" t="s">
        <v>61</v>
      </c>
      <c r="F3775" s="88">
        <v>0</v>
      </c>
      <c r="G3775" s="78">
        <f>MAX(H3775,I3775,J3775)</f>
        <v>0</v>
      </c>
      <c r="H3775" s="88"/>
      <c r="I3775" s="88"/>
      <c r="J3775" s="78">
        <f>MAX(K3775:Q3775)</f>
        <v>0</v>
      </c>
      <c r="K3775" s="88"/>
      <c r="L3775" s="88"/>
      <c r="M3775" s="88"/>
      <c r="N3775" s="88"/>
      <c r="O3775" s="88"/>
      <c r="P3775" s="88"/>
      <c r="Q3775" s="88"/>
      <c r="R3775" s="78">
        <f>MAX(S3775:W3775)</f>
        <v>1</v>
      </c>
      <c r="S3775" s="88"/>
      <c r="T3775" s="88"/>
      <c r="U3775" s="88">
        <v>1</v>
      </c>
      <c r="V3775" s="88"/>
      <c r="W3775" s="88"/>
    </row>
    <row r="3776" spans="2:23" s="0" customFormat="0" ht="15">
      <c r="B3776" s="87" t="s">
        <v>1</v>
      </c>
      <c r="C3776" s="88" t="s">
        <v>5259</v>
      </c>
      <c r="D3776" s="88">
        <v>16060758</v>
      </c>
      <c r="E3776" s="88" t="s">
        <v>61</v>
      </c>
      <c r="F3776" s="88">
        <v>0</v>
      </c>
      <c r="G3776" s="78">
        <f>MAX(H3776,I3776,J3776)</f>
        <v>1</v>
      </c>
      <c r="H3776" s="88"/>
      <c r="I3776" s="88"/>
      <c r="J3776" s="78">
        <f>MAX(K3776:Q3776)</f>
        <v>1</v>
      </c>
      <c r="K3776" s="88">
        <v>1</v>
      </c>
      <c r="L3776" s="88"/>
      <c r="M3776" s="88"/>
      <c r="N3776" s="88"/>
      <c r="O3776" s="88"/>
      <c r="P3776" s="88"/>
      <c r="Q3776" s="88"/>
      <c r="R3776" s="78">
        <f>MAX(S3776:W3776)</f>
        <v>0</v>
      </c>
      <c r="S3776" s="88"/>
      <c r="T3776" s="88"/>
      <c r="U3776" s="88"/>
      <c r="V3776" s="88"/>
      <c r="W3776" s="88"/>
    </row>
    <row r="3777" spans="2:23" s="0" customFormat="0" ht="15">
      <c r="B3777" s="87" t="s">
        <v>1</v>
      </c>
      <c r="C3777" s="88" t="s">
        <v>5259</v>
      </c>
      <c r="D3777" s="88">
        <v>22090046</v>
      </c>
      <c r="E3777" s="88" t="s">
        <v>61</v>
      </c>
      <c r="F3777" s="88">
        <v>0</v>
      </c>
      <c r="G3777" s="78">
        <f>MAX(H3777,I3777,J3777)</f>
        <v>1</v>
      </c>
      <c r="H3777" s="88"/>
      <c r="I3777" s="88"/>
      <c r="J3777" s="78">
        <f>MAX(K3777:Q3777)</f>
        <v>1</v>
      </c>
      <c r="K3777" s="88">
        <v>1</v>
      </c>
      <c r="L3777" s="88"/>
      <c r="M3777" s="88"/>
      <c r="N3777" s="88"/>
      <c r="O3777" s="88"/>
      <c r="P3777" s="88"/>
      <c r="Q3777" s="88"/>
      <c r="R3777" s="78">
        <f>MAX(S3777:W3777)</f>
        <v>0</v>
      </c>
      <c r="S3777" s="88"/>
      <c r="T3777" s="88"/>
      <c r="U3777" s="88"/>
      <c r="V3777" s="88"/>
      <c r="W3777" s="88"/>
    </row>
    <row r="3778" spans="2:23" s="0" customFormat="0" ht="15">
      <c r="B3778" s="87" t="s">
        <v>1</v>
      </c>
      <c r="C3778" s="88" t="s">
        <v>5259</v>
      </c>
      <c r="D3778" s="88" t="s">
        <v>239</v>
      </c>
      <c r="E3778" s="88" t="s">
        <v>61</v>
      </c>
      <c r="F3778" s="88">
        <v>0</v>
      </c>
      <c r="G3778" s="78">
        <f>MAX(H3778,I3778,J3778)</f>
        <v>1</v>
      </c>
      <c r="H3778" s="88"/>
      <c r="I3778" s="88"/>
      <c r="J3778" s="78">
        <f>MAX(K3778:Q3778)</f>
        <v>1</v>
      </c>
      <c r="K3778" s="88">
        <v>1</v>
      </c>
      <c r="L3778" s="88"/>
      <c r="M3778" s="88"/>
      <c r="N3778" s="88"/>
      <c r="O3778" s="88"/>
      <c r="P3778" s="88"/>
      <c r="Q3778" s="88"/>
      <c r="R3778" s="78">
        <f>MAX(S3778:W3778)</f>
        <v>0</v>
      </c>
      <c r="S3778" s="88"/>
      <c r="T3778" s="88"/>
      <c r="U3778" s="88"/>
      <c r="V3778" s="88"/>
      <c r="W3778" s="88"/>
    </row>
    <row r="3779" spans="2:23" s="0" customFormat="0" ht="15">
      <c r="B3779" s="87" t="s">
        <v>1</v>
      </c>
      <c r="C3779" s="88" t="s">
        <v>5259</v>
      </c>
      <c r="D3779" s="88" t="s">
        <v>2369</v>
      </c>
      <c r="E3779" s="88" t="s">
        <v>61</v>
      </c>
      <c r="F3779" s="88">
        <v>0</v>
      </c>
      <c r="G3779" s="78">
        <f>MAX(H3779,I3779,J3779)</f>
        <v>1</v>
      </c>
      <c r="H3779" s="88"/>
      <c r="I3779" s="88"/>
      <c r="J3779" s="78">
        <f>MAX(K3779:Q3779)</f>
        <v>1</v>
      </c>
      <c r="K3779" s="88">
        <v>1</v>
      </c>
      <c r="L3779" s="88"/>
      <c r="M3779" s="88"/>
      <c r="N3779" s="88"/>
      <c r="O3779" s="88"/>
      <c r="P3779" s="88"/>
      <c r="Q3779" s="88"/>
      <c r="R3779" s="78">
        <f>MAX(S3779:W3779)</f>
        <v>0</v>
      </c>
      <c r="S3779" s="88"/>
      <c r="T3779" s="88"/>
      <c r="U3779" s="88"/>
      <c r="V3779" s="88"/>
      <c r="W3779" s="88"/>
    </row>
    <row r="3780" spans="2:23" s="0" customFormat="0" ht="15">
      <c r="B3780" s="87" t="s">
        <v>1</v>
      </c>
      <c r="C3780" s="88" t="s">
        <v>5259</v>
      </c>
      <c r="D3780" s="88">
        <v>10657982</v>
      </c>
      <c r="E3780" s="88" t="s">
        <v>61</v>
      </c>
      <c r="F3780" s="88">
        <v>0</v>
      </c>
      <c r="G3780" s="78">
        <f>MAX(H3780,I3780,J3780)</f>
        <v>1</v>
      </c>
      <c r="H3780" s="88"/>
      <c r="I3780" s="88"/>
      <c r="J3780" s="78">
        <f>MAX(K3780:Q3780)</f>
        <v>1</v>
      </c>
      <c r="K3780" s="88">
        <v>1</v>
      </c>
      <c r="L3780" s="88"/>
      <c r="M3780" s="88"/>
      <c r="N3780" s="88"/>
      <c r="O3780" s="88"/>
      <c r="P3780" s="88"/>
      <c r="Q3780" s="88"/>
      <c r="R3780" s="78">
        <f>MAX(S3780:W3780)</f>
        <v>0</v>
      </c>
      <c r="S3780" s="88"/>
      <c r="T3780" s="88"/>
      <c r="U3780" s="88"/>
      <c r="V3780" s="88"/>
      <c r="W3780" s="88"/>
    </row>
    <row r="3781" spans="2:23" s="0" customFormat="0" ht="15">
      <c r="B3781" s="87" t="s">
        <v>1</v>
      </c>
      <c r="C3781" s="88" t="s">
        <v>5259</v>
      </c>
      <c r="D3781" s="88">
        <v>17884638</v>
      </c>
      <c r="E3781" s="88" t="s">
        <v>61</v>
      </c>
      <c r="F3781" s="88">
        <v>0</v>
      </c>
      <c r="G3781" s="78">
        <f>MAX(H3781,I3781,J3781)</f>
        <v>1</v>
      </c>
      <c r="H3781" s="88"/>
      <c r="I3781" s="88"/>
      <c r="J3781" s="78">
        <f>MAX(K3781:Q3781)</f>
        <v>1</v>
      </c>
      <c r="K3781" s="88">
        <v>1</v>
      </c>
      <c r="L3781" s="88"/>
      <c r="M3781" s="88"/>
      <c r="N3781" s="88"/>
      <c r="O3781" s="88"/>
      <c r="P3781" s="88"/>
      <c r="Q3781" s="88"/>
      <c r="R3781" s="78">
        <f>MAX(S3781:W3781)</f>
        <v>0</v>
      </c>
      <c r="S3781" s="88"/>
      <c r="T3781" s="88"/>
      <c r="U3781" s="88"/>
      <c r="V3781" s="88"/>
      <c r="W3781" s="88"/>
    </row>
    <row r="3782" spans="2:23" s="0" customFormat="0" ht="15">
      <c r="B3782" s="87" t="s">
        <v>1</v>
      </c>
      <c r="C3782" s="88" t="s">
        <v>5259</v>
      </c>
      <c r="D3782" s="88" t="s">
        <v>4833</v>
      </c>
      <c r="E3782" s="88" t="s">
        <v>61</v>
      </c>
      <c r="F3782" s="88">
        <v>0</v>
      </c>
      <c r="G3782" s="78">
        <f>MAX(H3782,I3782,J3782)</f>
        <v>0</v>
      </c>
      <c r="H3782" s="88"/>
      <c r="I3782" s="88"/>
      <c r="J3782" s="78">
        <f>MAX(K3782:Q3782)</f>
        <v>0</v>
      </c>
      <c r="K3782" s="88"/>
      <c r="L3782" s="88"/>
      <c r="M3782" s="88"/>
      <c r="N3782" s="88"/>
      <c r="O3782" s="88"/>
      <c r="P3782" s="88"/>
      <c r="Q3782" s="88"/>
      <c r="R3782" s="78">
        <f>MAX(S3782:W3782)</f>
        <v>1</v>
      </c>
      <c r="S3782" s="88"/>
      <c r="T3782" s="88"/>
      <c r="U3782" s="88">
        <v>1</v>
      </c>
      <c r="V3782" s="88"/>
      <c r="W3782" s="88"/>
    </row>
    <row r="3783" spans="2:23" s="0" customFormat="0" ht="15">
      <c r="B3783" s="87" t="s">
        <v>1</v>
      </c>
      <c r="C3783" s="88" t="s">
        <v>5259</v>
      </c>
      <c r="D3783" s="88" t="s">
        <v>2371</v>
      </c>
      <c r="E3783" s="88" t="s">
        <v>61</v>
      </c>
      <c r="F3783" s="88">
        <v>0</v>
      </c>
      <c r="G3783" s="78">
        <f>MAX(H3783,I3783,J3783)</f>
        <v>1</v>
      </c>
      <c r="H3783" s="88"/>
      <c r="I3783" s="88"/>
      <c r="J3783" s="78">
        <f>MAX(K3783:Q3783)</f>
        <v>1</v>
      </c>
      <c r="K3783" s="88">
        <v>1</v>
      </c>
      <c r="L3783" s="88"/>
      <c r="M3783" s="88"/>
      <c r="N3783" s="88"/>
      <c r="O3783" s="88"/>
      <c r="P3783" s="88"/>
      <c r="Q3783" s="88"/>
      <c r="R3783" s="78">
        <f>MAX(S3783:W3783)</f>
        <v>0</v>
      </c>
      <c r="S3783" s="88"/>
      <c r="T3783" s="88"/>
      <c r="U3783" s="88"/>
      <c r="V3783" s="88"/>
      <c r="W3783" s="88"/>
    </row>
    <row r="3784" spans="2:23" s="0" customFormat="0" ht="15">
      <c r="B3784" s="87" t="s">
        <v>1</v>
      </c>
      <c r="C3784" s="88" t="s">
        <v>5259</v>
      </c>
      <c r="D3784" s="88" t="s">
        <v>2373</v>
      </c>
      <c r="E3784" s="88" t="s">
        <v>61</v>
      </c>
      <c r="F3784" s="88">
        <v>0</v>
      </c>
      <c r="G3784" s="78">
        <f>MAX(H3784,I3784,J3784)</f>
        <v>1</v>
      </c>
      <c r="H3784" s="88"/>
      <c r="I3784" s="88"/>
      <c r="J3784" s="78">
        <f>MAX(K3784:Q3784)</f>
        <v>1</v>
      </c>
      <c r="K3784" s="88">
        <v>1</v>
      </c>
      <c r="L3784" s="88"/>
      <c r="M3784" s="88"/>
      <c r="N3784" s="88"/>
      <c r="O3784" s="88"/>
      <c r="P3784" s="88"/>
      <c r="Q3784" s="88"/>
      <c r="R3784" s="78">
        <f>MAX(S3784:W3784)</f>
        <v>0</v>
      </c>
      <c r="S3784" s="88"/>
      <c r="T3784" s="88"/>
      <c r="U3784" s="88"/>
      <c r="V3784" s="88"/>
      <c r="W3784" s="88"/>
    </row>
    <row r="3785" spans="2:23" s="0" customFormat="0" ht="15">
      <c r="B3785" s="87" t="s">
        <v>1</v>
      </c>
      <c r="C3785" s="88" t="s">
        <v>5259</v>
      </c>
      <c r="D3785" s="88">
        <v>4721451</v>
      </c>
      <c r="E3785" s="88" t="s">
        <v>61</v>
      </c>
      <c r="F3785" s="88">
        <v>0</v>
      </c>
      <c r="G3785" s="78">
        <f>MAX(H3785,I3785,J3785)</f>
        <v>0</v>
      </c>
      <c r="H3785" s="88"/>
      <c r="I3785" s="88"/>
      <c r="J3785" s="78">
        <f>MAX(K3785:Q3785)</f>
        <v>0</v>
      </c>
      <c r="K3785" s="88"/>
      <c r="L3785" s="88"/>
      <c r="M3785" s="88"/>
      <c r="N3785" s="88"/>
      <c r="O3785" s="88"/>
      <c r="P3785" s="88"/>
      <c r="Q3785" s="88"/>
      <c r="R3785" s="78">
        <f>MAX(S3785:W3785)</f>
        <v>1</v>
      </c>
      <c r="S3785" s="88"/>
      <c r="T3785" s="88"/>
      <c r="U3785" s="88">
        <v>1</v>
      </c>
      <c r="V3785" s="88"/>
      <c r="W3785" s="88"/>
    </row>
    <row r="3786" spans="2:23" s="0" customFormat="0" ht="15">
      <c r="B3786" s="87" t="s">
        <v>1</v>
      </c>
      <c r="C3786" s="88" t="s">
        <v>5259</v>
      </c>
      <c r="D3786" s="88">
        <v>23353567</v>
      </c>
      <c r="E3786" s="88" t="s">
        <v>61</v>
      </c>
      <c r="F3786" s="88">
        <v>0</v>
      </c>
      <c r="G3786" s="78">
        <f>MAX(H3786,I3786,J3786)</f>
        <v>1</v>
      </c>
      <c r="H3786" s="88"/>
      <c r="I3786" s="88"/>
      <c r="J3786" s="78">
        <f>MAX(K3786:Q3786)</f>
        <v>1</v>
      </c>
      <c r="K3786" s="88">
        <v>1</v>
      </c>
      <c r="L3786" s="88"/>
      <c r="M3786" s="88"/>
      <c r="N3786" s="88"/>
      <c r="O3786" s="88"/>
      <c r="P3786" s="88"/>
      <c r="Q3786" s="88"/>
      <c r="R3786" s="78">
        <f>MAX(S3786:W3786)</f>
        <v>0</v>
      </c>
      <c r="S3786" s="88"/>
      <c r="T3786" s="88"/>
      <c r="U3786" s="88"/>
      <c r="V3786" s="88"/>
      <c r="W3786" s="88"/>
    </row>
    <row r="3787" spans="2:23" s="0" customFormat="0" ht="15">
      <c r="B3787" s="87" t="s">
        <v>1</v>
      </c>
      <c r="C3787" s="88" t="s">
        <v>5259</v>
      </c>
      <c r="D3787" s="88">
        <v>4162673</v>
      </c>
      <c r="E3787" s="88" t="s">
        <v>61</v>
      </c>
      <c r="F3787" s="88">
        <v>0</v>
      </c>
      <c r="G3787" s="78">
        <f>MAX(H3787,I3787,J3787)</f>
        <v>1</v>
      </c>
      <c r="H3787" s="88"/>
      <c r="I3787" s="88"/>
      <c r="J3787" s="78">
        <f>MAX(K3787:Q3787)</f>
        <v>1</v>
      </c>
      <c r="K3787" s="88">
        <v>1</v>
      </c>
      <c r="L3787" s="88"/>
      <c r="M3787" s="88"/>
      <c r="N3787" s="88"/>
      <c r="O3787" s="88"/>
      <c r="P3787" s="88"/>
      <c r="Q3787" s="88"/>
      <c r="R3787" s="78">
        <f>MAX(S3787:W3787)</f>
        <v>0</v>
      </c>
      <c r="S3787" s="88"/>
      <c r="T3787" s="88"/>
      <c r="U3787" s="88"/>
      <c r="V3787" s="88"/>
      <c r="W3787" s="88"/>
    </row>
    <row r="3788" spans="2:23" s="0" customFormat="0" ht="15">
      <c r="B3788" s="87" t="s">
        <v>1</v>
      </c>
      <c r="C3788" s="88" t="s">
        <v>5259</v>
      </c>
      <c r="D3788" s="88" t="s">
        <v>3734</v>
      </c>
      <c r="E3788" s="88" t="s">
        <v>61</v>
      </c>
      <c r="F3788" s="88">
        <v>0</v>
      </c>
      <c r="G3788" s="78">
        <f>MAX(H3788,I3788,J3788)</f>
        <v>0</v>
      </c>
      <c r="H3788" s="88"/>
      <c r="I3788" s="88"/>
      <c r="J3788" s="78">
        <f>MAX(K3788:Q3788)</f>
        <v>0</v>
      </c>
      <c r="K3788" s="88"/>
      <c r="L3788" s="88"/>
      <c r="M3788" s="88"/>
      <c r="N3788" s="88"/>
      <c r="O3788" s="88"/>
      <c r="P3788" s="88"/>
      <c r="Q3788" s="88"/>
      <c r="R3788" s="78">
        <f>MAX(S3788:W3788)</f>
        <v>1</v>
      </c>
      <c r="S3788" s="88"/>
      <c r="T3788" s="88"/>
      <c r="U3788" s="88">
        <v>1</v>
      </c>
      <c r="V3788" s="88"/>
      <c r="W3788" s="88"/>
    </row>
    <row r="3789" spans="2:23" s="0" customFormat="0" ht="15">
      <c r="B3789" s="87" t="s">
        <v>1</v>
      </c>
      <c r="C3789" s="88" t="s">
        <v>5259</v>
      </c>
      <c r="D3789" s="88">
        <v>13230594</v>
      </c>
      <c r="E3789" s="88" t="s">
        <v>61</v>
      </c>
      <c r="F3789" s="88">
        <v>0</v>
      </c>
      <c r="G3789" s="78">
        <f>MAX(H3789,I3789,J3789)</f>
        <v>1</v>
      </c>
      <c r="H3789" s="88"/>
      <c r="I3789" s="88"/>
      <c r="J3789" s="78">
        <f>MAX(K3789:Q3789)</f>
        <v>1</v>
      </c>
      <c r="K3789" s="88">
        <v>1</v>
      </c>
      <c r="L3789" s="88"/>
      <c r="M3789" s="88"/>
      <c r="N3789" s="88"/>
      <c r="O3789" s="88"/>
      <c r="P3789" s="88"/>
      <c r="Q3789" s="88"/>
      <c r="R3789" s="78">
        <f>MAX(S3789:W3789)</f>
        <v>0</v>
      </c>
      <c r="S3789" s="88"/>
      <c r="T3789" s="88"/>
      <c r="U3789" s="88"/>
      <c r="V3789" s="88"/>
      <c r="W3789" s="88"/>
    </row>
    <row r="3790" spans="2:23" s="0" customFormat="0" ht="15">
      <c r="B3790" s="87" t="s">
        <v>1</v>
      </c>
      <c r="C3790" s="88" t="s">
        <v>5259</v>
      </c>
      <c r="D3790" s="88">
        <v>7676900</v>
      </c>
      <c r="E3790" s="88" t="s">
        <v>61</v>
      </c>
      <c r="F3790" s="88">
        <v>0</v>
      </c>
      <c r="G3790" s="78">
        <f>MAX(H3790,I3790,J3790)</f>
        <v>1</v>
      </c>
      <c r="H3790" s="88"/>
      <c r="I3790" s="88"/>
      <c r="J3790" s="78">
        <f>MAX(K3790:Q3790)</f>
        <v>1</v>
      </c>
      <c r="K3790" s="88">
        <v>1</v>
      </c>
      <c r="L3790" s="88"/>
      <c r="M3790" s="88"/>
      <c r="N3790" s="88"/>
      <c r="O3790" s="88"/>
      <c r="P3790" s="88"/>
      <c r="Q3790" s="88"/>
      <c r="R3790" s="78">
        <f>MAX(S3790:W3790)</f>
        <v>0</v>
      </c>
      <c r="S3790" s="88"/>
      <c r="T3790" s="88"/>
      <c r="U3790" s="88"/>
      <c r="V3790" s="88"/>
      <c r="W3790" s="88"/>
    </row>
    <row r="3791" spans="2:23" s="0" customFormat="0" ht="15">
      <c r="B3791" s="87" t="s">
        <v>1</v>
      </c>
      <c r="C3791" s="88" t="s">
        <v>5259</v>
      </c>
      <c r="D3791" s="88">
        <v>24747510</v>
      </c>
      <c r="E3791" s="88" t="s">
        <v>61</v>
      </c>
      <c r="F3791" s="88">
        <v>0</v>
      </c>
      <c r="G3791" s="78">
        <f>MAX(H3791,I3791,J3791)</f>
        <v>1</v>
      </c>
      <c r="H3791" s="88"/>
      <c r="I3791" s="88"/>
      <c r="J3791" s="78">
        <f>MAX(K3791:Q3791)</f>
        <v>1</v>
      </c>
      <c r="K3791" s="88">
        <v>1</v>
      </c>
      <c r="L3791" s="88"/>
      <c r="M3791" s="88"/>
      <c r="N3791" s="88"/>
      <c r="O3791" s="88"/>
      <c r="P3791" s="88"/>
      <c r="Q3791" s="88"/>
      <c r="R3791" s="78">
        <f>MAX(S3791:W3791)</f>
        <v>0</v>
      </c>
      <c r="S3791" s="88"/>
      <c r="T3791" s="88"/>
      <c r="U3791" s="88"/>
      <c r="V3791" s="88"/>
      <c r="W3791" s="88"/>
    </row>
    <row r="3792" spans="2:23" s="0" customFormat="0" ht="15">
      <c r="B3792" s="87" t="s">
        <v>1</v>
      </c>
      <c r="C3792" s="88" t="s">
        <v>5259</v>
      </c>
      <c r="D3792" s="88">
        <v>14504652</v>
      </c>
      <c r="E3792" s="88" t="s">
        <v>61</v>
      </c>
      <c r="F3792" s="88">
        <v>0</v>
      </c>
      <c r="G3792" s="78">
        <f>MAX(H3792,I3792,J3792)</f>
        <v>0</v>
      </c>
      <c r="H3792" s="88"/>
      <c r="I3792" s="88"/>
      <c r="J3792" s="78">
        <f>MAX(K3792:Q3792)</f>
        <v>0</v>
      </c>
      <c r="K3792" s="88"/>
      <c r="L3792" s="88"/>
      <c r="M3792" s="88"/>
      <c r="N3792" s="88"/>
      <c r="O3792" s="88"/>
      <c r="P3792" s="88"/>
      <c r="Q3792" s="88"/>
      <c r="R3792" s="78">
        <f>MAX(S3792:W3792)</f>
        <v>1</v>
      </c>
      <c r="S3792" s="88"/>
      <c r="T3792" s="88"/>
      <c r="U3792" s="88">
        <v>1</v>
      </c>
      <c r="V3792" s="88"/>
      <c r="W3792" s="88"/>
    </row>
    <row r="3793" spans="2:23" s="0" customFormat="0" ht="15">
      <c r="B3793" s="87" t="s">
        <v>1</v>
      </c>
      <c r="C3793" s="88" t="s">
        <v>5259</v>
      </c>
      <c r="D3793" s="88" t="s">
        <v>3348</v>
      </c>
      <c r="E3793" s="88" t="s">
        <v>61</v>
      </c>
      <c r="F3793" s="88">
        <v>0</v>
      </c>
      <c r="G3793" s="78">
        <f>MAX(H3793,I3793,J3793)</f>
        <v>0</v>
      </c>
      <c r="H3793" s="88"/>
      <c r="I3793" s="88"/>
      <c r="J3793" s="78">
        <f>MAX(K3793:Q3793)</f>
        <v>0</v>
      </c>
      <c r="K3793" s="88"/>
      <c r="L3793" s="88"/>
      <c r="M3793" s="88"/>
      <c r="N3793" s="88"/>
      <c r="O3793" s="88"/>
      <c r="P3793" s="88"/>
      <c r="Q3793" s="88"/>
      <c r="R3793" s="78">
        <f>MAX(S3793:W3793)</f>
        <v>1</v>
      </c>
      <c r="S3793" s="88"/>
      <c r="T3793" s="88"/>
      <c r="U3793" s="88">
        <v>1</v>
      </c>
      <c r="V3793" s="88"/>
      <c r="W3793" s="88"/>
    </row>
    <row r="3794" spans="2:23" s="0" customFormat="0" ht="15">
      <c r="B3794" s="87" t="s">
        <v>1</v>
      </c>
      <c r="C3794" s="88" t="s">
        <v>5259</v>
      </c>
      <c r="D3794" s="88">
        <v>13672875</v>
      </c>
      <c r="E3794" s="88" t="s">
        <v>61</v>
      </c>
      <c r="F3794" s="88">
        <v>0</v>
      </c>
      <c r="G3794" s="78">
        <f>MAX(H3794,I3794,J3794)</f>
        <v>1</v>
      </c>
      <c r="H3794" s="88"/>
      <c r="I3794" s="88"/>
      <c r="J3794" s="78">
        <f>MAX(K3794:Q3794)</f>
        <v>1</v>
      </c>
      <c r="K3794" s="88">
        <v>1</v>
      </c>
      <c r="L3794" s="88"/>
      <c r="M3794" s="88"/>
      <c r="N3794" s="88"/>
      <c r="O3794" s="88"/>
      <c r="P3794" s="88"/>
      <c r="Q3794" s="88"/>
      <c r="R3794" s="78">
        <f>MAX(S3794:W3794)</f>
        <v>0</v>
      </c>
      <c r="S3794" s="88"/>
      <c r="T3794" s="88"/>
      <c r="U3794" s="88"/>
      <c r="V3794" s="88"/>
      <c r="W3794" s="88"/>
    </row>
    <row r="3795" spans="2:23" s="0" customFormat="0" ht="15">
      <c r="B3795" s="87" t="s">
        <v>1</v>
      </c>
      <c r="C3795" s="88" t="s">
        <v>5259</v>
      </c>
      <c r="D3795" s="88">
        <v>20844759</v>
      </c>
      <c r="E3795" s="88" t="s">
        <v>61</v>
      </c>
      <c r="F3795" s="88">
        <v>0</v>
      </c>
      <c r="G3795" s="78">
        <f>MAX(H3795,I3795,J3795)</f>
        <v>1</v>
      </c>
      <c r="H3795" s="88"/>
      <c r="I3795" s="88"/>
      <c r="J3795" s="78">
        <f>MAX(K3795:Q3795)</f>
        <v>1</v>
      </c>
      <c r="K3795" s="88">
        <v>1</v>
      </c>
      <c r="L3795" s="88"/>
      <c r="M3795" s="88"/>
      <c r="N3795" s="88"/>
      <c r="O3795" s="88"/>
      <c r="P3795" s="88"/>
      <c r="Q3795" s="88"/>
      <c r="R3795" s="78">
        <f>MAX(S3795:W3795)</f>
        <v>0</v>
      </c>
      <c r="S3795" s="88"/>
      <c r="T3795" s="88"/>
      <c r="U3795" s="88"/>
      <c r="V3795" s="88"/>
      <c r="W3795" s="88"/>
    </row>
    <row r="3796" spans="2:23" s="0" customFormat="0" ht="15">
      <c r="B3796" s="87" t="s">
        <v>1</v>
      </c>
      <c r="C3796" s="88" t="s">
        <v>5259</v>
      </c>
      <c r="D3796" s="88">
        <v>17282284</v>
      </c>
      <c r="E3796" s="88" t="s">
        <v>61</v>
      </c>
      <c r="F3796" s="88">
        <v>0</v>
      </c>
      <c r="G3796" s="78">
        <f>MAX(H3796,I3796,J3796)</f>
        <v>1</v>
      </c>
      <c r="H3796" s="88"/>
      <c r="I3796" s="88"/>
      <c r="J3796" s="78">
        <f>MAX(K3796:Q3796)</f>
        <v>1</v>
      </c>
      <c r="K3796" s="88">
        <v>1</v>
      </c>
      <c r="L3796" s="88"/>
      <c r="M3796" s="88"/>
      <c r="N3796" s="88"/>
      <c r="O3796" s="88"/>
      <c r="P3796" s="88"/>
      <c r="Q3796" s="88"/>
      <c r="R3796" s="78">
        <f>MAX(S3796:W3796)</f>
        <v>0</v>
      </c>
      <c r="S3796" s="88"/>
      <c r="T3796" s="88"/>
      <c r="U3796" s="88"/>
      <c r="V3796" s="88"/>
      <c r="W3796" s="88"/>
    </row>
    <row r="3797" spans="2:23" s="0" customFormat="0" ht="15">
      <c r="B3797" s="87" t="s">
        <v>1</v>
      </c>
      <c r="C3797" s="88" t="s">
        <v>5259</v>
      </c>
      <c r="D3797" s="88" t="s">
        <v>4836</v>
      </c>
      <c r="E3797" s="88" t="s">
        <v>61</v>
      </c>
      <c r="F3797" s="88">
        <v>0</v>
      </c>
      <c r="G3797" s="78">
        <f>MAX(H3797,I3797,J3797)</f>
        <v>0</v>
      </c>
      <c r="H3797" s="88"/>
      <c r="I3797" s="88"/>
      <c r="J3797" s="78">
        <f>MAX(K3797:Q3797)</f>
        <v>0</v>
      </c>
      <c r="K3797" s="88"/>
      <c r="L3797" s="88"/>
      <c r="M3797" s="88"/>
      <c r="N3797" s="88"/>
      <c r="O3797" s="88"/>
      <c r="P3797" s="88"/>
      <c r="Q3797" s="88"/>
      <c r="R3797" s="78">
        <f>MAX(S3797:W3797)</f>
        <v>1</v>
      </c>
      <c r="S3797" s="88"/>
      <c r="T3797" s="88"/>
      <c r="U3797" s="88">
        <v>1</v>
      </c>
      <c r="V3797" s="88"/>
      <c r="W3797" s="88"/>
    </row>
    <row r="3798" spans="2:23" s="0" customFormat="0" ht="15">
      <c r="B3798" s="87" t="s">
        <v>1</v>
      </c>
      <c r="C3798" s="88" t="s">
        <v>5259</v>
      </c>
      <c r="D3798" s="88">
        <v>19739607</v>
      </c>
      <c r="E3798" s="88" t="s">
        <v>61</v>
      </c>
      <c r="F3798" s="88">
        <v>0</v>
      </c>
      <c r="G3798" s="78">
        <f>MAX(H3798,I3798,J3798)</f>
        <v>1</v>
      </c>
      <c r="H3798" s="88"/>
      <c r="I3798" s="88"/>
      <c r="J3798" s="78">
        <f>MAX(K3798:Q3798)</f>
        <v>1</v>
      </c>
      <c r="K3798" s="88">
        <v>1</v>
      </c>
      <c r="L3798" s="88"/>
      <c r="M3798" s="88"/>
      <c r="N3798" s="88"/>
      <c r="O3798" s="88"/>
      <c r="P3798" s="88"/>
      <c r="Q3798" s="88"/>
      <c r="R3798" s="78">
        <f>MAX(S3798:W3798)</f>
        <v>0</v>
      </c>
      <c r="S3798" s="88"/>
      <c r="T3798" s="88"/>
      <c r="U3798" s="88"/>
      <c r="V3798" s="88"/>
      <c r="W3798" s="88"/>
    </row>
    <row r="3799" spans="2:23" s="0" customFormat="0" ht="15">
      <c r="B3799" s="87" t="s">
        <v>1</v>
      </c>
      <c r="C3799" s="88" t="s">
        <v>5259</v>
      </c>
      <c r="D3799" s="88" t="s">
        <v>4838</v>
      </c>
      <c r="E3799" s="88" t="s">
        <v>61</v>
      </c>
      <c r="F3799" s="88">
        <v>0</v>
      </c>
      <c r="G3799" s="78">
        <f>MAX(H3799,I3799,J3799)</f>
        <v>0</v>
      </c>
      <c r="H3799" s="88"/>
      <c r="I3799" s="88"/>
      <c r="J3799" s="78">
        <f>MAX(K3799:Q3799)</f>
        <v>0</v>
      </c>
      <c r="K3799" s="88"/>
      <c r="L3799" s="88"/>
      <c r="M3799" s="88"/>
      <c r="N3799" s="88"/>
      <c r="O3799" s="88"/>
      <c r="P3799" s="88"/>
      <c r="Q3799" s="88"/>
      <c r="R3799" s="78">
        <f>MAX(S3799:W3799)</f>
        <v>1</v>
      </c>
      <c r="S3799" s="88"/>
      <c r="T3799" s="88"/>
      <c r="U3799" s="88">
        <v>1</v>
      </c>
      <c r="V3799" s="88"/>
      <c r="W3799" s="88"/>
    </row>
    <row r="3800" spans="2:23" s="0" customFormat="0" ht="15">
      <c r="B3800" s="87" t="s">
        <v>1</v>
      </c>
      <c r="C3800" s="88" t="s">
        <v>5259</v>
      </c>
      <c r="D3800" s="88" t="s">
        <v>4342</v>
      </c>
      <c r="E3800" s="88" t="s">
        <v>61</v>
      </c>
      <c r="F3800" s="88">
        <v>0</v>
      </c>
      <c r="G3800" s="78">
        <f>MAX(H3800,I3800,J3800)</f>
        <v>0</v>
      </c>
      <c r="H3800" s="88"/>
      <c r="I3800" s="88"/>
      <c r="J3800" s="78">
        <f>MAX(K3800:Q3800)</f>
        <v>0</v>
      </c>
      <c r="K3800" s="88"/>
      <c r="L3800" s="88"/>
      <c r="M3800" s="88"/>
      <c r="N3800" s="88"/>
      <c r="O3800" s="88"/>
      <c r="P3800" s="88"/>
      <c r="Q3800" s="88"/>
      <c r="R3800" s="78">
        <f>MAX(S3800:W3800)</f>
        <v>1</v>
      </c>
      <c r="S3800" s="88"/>
      <c r="T3800" s="88"/>
      <c r="U3800" s="88">
        <v>1</v>
      </c>
      <c r="V3800" s="88"/>
      <c r="W3800" s="88"/>
    </row>
    <row r="3801" spans="2:23" s="0" customFormat="0" ht="15">
      <c r="B3801" s="87" t="s">
        <v>1</v>
      </c>
      <c r="C3801" s="88" t="s">
        <v>5259</v>
      </c>
      <c r="D3801" s="88">
        <v>21719480</v>
      </c>
      <c r="E3801" s="88" t="s">
        <v>61</v>
      </c>
      <c r="F3801" s="88">
        <v>0</v>
      </c>
      <c r="G3801" s="78">
        <f>MAX(H3801,I3801,J3801)</f>
        <v>1</v>
      </c>
      <c r="H3801" s="88"/>
      <c r="I3801" s="88"/>
      <c r="J3801" s="78">
        <f>MAX(K3801:Q3801)</f>
        <v>1</v>
      </c>
      <c r="K3801" s="88">
        <v>1</v>
      </c>
      <c r="L3801" s="88"/>
      <c r="M3801" s="88"/>
      <c r="N3801" s="88"/>
      <c r="O3801" s="88"/>
      <c r="P3801" s="88"/>
      <c r="Q3801" s="88"/>
      <c r="R3801" s="78">
        <f>MAX(S3801:W3801)</f>
        <v>0</v>
      </c>
      <c r="S3801" s="88"/>
      <c r="T3801" s="88"/>
      <c r="U3801" s="88"/>
      <c r="V3801" s="88"/>
      <c r="W3801" s="88"/>
    </row>
    <row r="3802" spans="2:23" s="0" customFormat="0" ht="15">
      <c r="B3802" s="87" t="s">
        <v>1</v>
      </c>
      <c r="C3802" s="88" t="s">
        <v>5259</v>
      </c>
      <c r="D3802" s="88">
        <v>3953308</v>
      </c>
      <c r="E3802" s="88" t="s">
        <v>61</v>
      </c>
      <c r="F3802" s="88">
        <v>0</v>
      </c>
      <c r="G3802" s="78">
        <f>MAX(H3802,I3802,J3802)</f>
        <v>1</v>
      </c>
      <c r="H3802" s="88"/>
      <c r="I3802" s="88"/>
      <c r="J3802" s="78">
        <f>MAX(K3802:Q3802)</f>
        <v>1</v>
      </c>
      <c r="K3802" s="88">
        <v>1</v>
      </c>
      <c r="L3802" s="88"/>
      <c r="M3802" s="88"/>
      <c r="N3802" s="88"/>
      <c r="O3802" s="88"/>
      <c r="P3802" s="88"/>
      <c r="Q3802" s="88"/>
      <c r="R3802" s="78">
        <f>MAX(S3802:W3802)</f>
        <v>0</v>
      </c>
      <c r="S3802" s="88"/>
      <c r="T3802" s="88"/>
      <c r="U3802" s="88"/>
      <c r="V3802" s="88"/>
      <c r="W3802" s="88"/>
    </row>
    <row r="3803" spans="2:23" s="0" customFormat="0" ht="15">
      <c r="B3803" s="87" t="s">
        <v>1</v>
      </c>
      <c r="C3803" s="88" t="s">
        <v>5259</v>
      </c>
      <c r="D3803" s="88" t="s">
        <v>4009</v>
      </c>
      <c r="E3803" s="88" t="s">
        <v>61</v>
      </c>
      <c r="F3803" s="88">
        <v>0</v>
      </c>
      <c r="G3803" s="78">
        <f>MAX(H3803,I3803,J3803)</f>
        <v>0</v>
      </c>
      <c r="H3803" s="88"/>
      <c r="I3803" s="88"/>
      <c r="J3803" s="78">
        <f>MAX(K3803:Q3803)</f>
        <v>0</v>
      </c>
      <c r="K3803" s="88"/>
      <c r="L3803" s="88"/>
      <c r="M3803" s="88"/>
      <c r="N3803" s="88"/>
      <c r="O3803" s="88"/>
      <c r="P3803" s="88"/>
      <c r="Q3803" s="88"/>
      <c r="R3803" s="78">
        <f>MAX(S3803:W3803)</f>
        <v>1</v>
      </c>
      <c r="S3803" s="88"/>
      <c r="T3803" s="88"/>
      <c r="U3803" s="88">
        <v>1</v>
      </c>
      <c r="V3803" s="88"/>
      <c r="W3803" s="88"/>
    </row>
    <row r="3804" spans="2:23" s="0" customFormat="0" ht="15">
      <c r="B3804" s="87" t="s">
        <v>1</v>
      </c>
      <c r="C3804" s="88" t="s">
        <v>5259</v>
      </c>
      <c r="D3804" s="88">
        <v>11442823</v>
      </c>
      <c r="E3804" s="88" t="s">
        <v>61</v>
      </c>
      <c r="F3804" s="88">
        <v>0</v>
      </c>
      <c r="G3804" s="78">
        <f>MAX(H3804,I3804,J3804)</f>
        <v>1</v>
      </c>
      <c r="H3804" s="88"/>
      <c r="I3804" s="88"/>
      <c r="J3804" s="78">
        <f>MAX(K3804:Q3804)</f>
        <v>1</v>
      </c>
      <c r="K3804" s="88">
        <v>1</v>
      </c>
      <c r="L3804" s="88"/>
      <c r="M3804" s="88"/>
      <c r="N3804" s="88"/>
      <c r="O3804" s="88"/>
      <c r="P3804" s="88"/>
      <c r="Q3804" s="88"/>
      <c r="R3804" s="78">
        <f>MAX(S3804:W3804)</f>
        <v>0</v>
      </c>
      <c r="S3804" s="88"/>
      <c r="T3804" s="88"/>
      <c r="U3804" s="88"/>
      <c r="V3804" s="88"/>
      <c r="W3804" s="88"/>
    </row>
    <row r="3805" spans="2:23" s="0" customFormat="0" ht="15">
      <c r="B3805" s="87" t="s">
        <v>1</v>
      </c>
      <c r="C3805" s="88" t="s">
        <v>5259</v>
      </c>
      <c r="D3805" s="88" t="s">
        <v>4026</v>
      </c>
      <c r="E3805" s="88" t="s">
        <v>61</v>
      </c>
      <c r="F3805" s="88">
        <v>0</v>
      </c>
      <c r="G3805" s="78">
        <f>MAX(H3805,I3805,J3805)</f>
        <v>0</v>
      </c>
      <c r="H3805" s="88"/>
      <c r="I3805" s="88"/>
      <c r="J3805" s="78">
        <f>MAX(K3805:Q3805)</f>
        <v>0</v>
      </c>
      <c r="K3805" s="88"/>
      <c r="L3805" s="88"/>
      <c r="M3805" s="88"/>
      <c r="N3805" s="88"/>
      <c r="O3805" s="88"/>
      <c r="P3805" s="88"/>
      <c r="Q3805" s="88"/>
      <c r="R3805" s="78">
        <f>MAX(S3805:W3805)</f>
        <v>1</v>
      </c>
      <c r="S3805" s="88"/>
      <c r="T3805" s="88"/>
      <c r="U3805" s="88">
        <v>1</v>
      </c>
      <c r="V3805" s="88"/>
      <c r="W3805" s="88"/>
    </row>
    <row r="3806" spans="2:23" s="0" customFormat="0" ht="15">
      <c r="B3806" s="87" t="s">
        <v>1</v>
      </c>
      <c r="C3806" s="88" t="s">
        <v>5259</v>
      </c>
      <c r="D3806" s="88">
        <v>17327948</v>
      </c>
      <c r="E3806" s="88" t="s">
        <v>61</v>
      </c>
      <c r="F3806" s="88">
        <v>0</v>
      </c>
      <c r="G3806" s="78">
        <f>MAX(H3806,I3806,J3806)</f>
        <v>1</v>
      </c>
      <c r="H3806" s="88"/>
      <c r="I3806" s="88"/>
      <c r="J3806" s="78">
        <f>MAX(K3806:Q3806)</f>
        <v>1</v>
      </c>
      <c r="K3806" s="88">
        <v>1</v>
      </c>
      <c r="L3806" s="88"/>
      <c r="M3806" s="88"/>
      <c r="N3806" s="88"/>
      <c r="O3806" s="88"/>
      <c r="P3806" s="88"/>
      <c r="Q3806" s="88"/>
      <c r="R3806" s="78">
        <f>MAX(S3806:W3806)</f>
        <v>0</v>
      </c>
      <c r="S3806" s="88"/>
      <c r="T3806" s="88"/>
      <c r="U3806" s="88"/>
      <c r="V3806" s="88"/>
      <c r="W3806" s="88"/>
    </row>
    <row r="3807" spans="2:23" s="0" customFormat="0" ht="15">
      <c r="B3807" s="87" t="s">
        <v>1</v>
      </c>
      <c r="C3807" s="88" t="s">
        <v>5259</v>
      </c>
      <c r="D3807" s="88" t="s">
        <v>4032</v>
      </c>
      <c r="E3807" s="88" t="s">
        <v>61</v>
      </c>
      <c r="F3807" s="88">
        <v>0</v>
      </c>
      <c r="G3807" s="78">
        <f>MAX(H3807,I3807,J3807)</f>
        <v>0</v>
      </c>
      <c r="H3807" s="88"/>
      <c r="I3807" s="88"/>
      <c r="J3807" s="78">
        <f>MAX(K3807:Q3807)</f>
        <v>0</v>
      </c>
      <c r="K3807" s="88"/>
      <c r="L3807" s="88"/>
      <c r="M3807" s="88"/>
      <c r="N3807" s="88"/>
      <c r="O3807" s="88"/>
      <c r="P3807" s="88"/>
      <c r="Q3807" s="88"/>
      <c r="R3807" s="78">
        <f>MAX(S3807:W3807)</f>
        <v>1</v>
      </c>
      <c r="S3807" s="88"/>
      <c r="T3807" s="88"/>
      <c r="U3807" s="88">
        <v>1</v>
      </c>
      <c r="V3807" s="88"/>
      <c r="W3807" s="88"/>
    </row>
    <row r="3808" spans="2:23" s="0" customFormat="0" ht="15">
      <c r="B3808" s="87" t="s">
        <v>1</v>
      </c>
      <c r="C3808" s="88" t="s">
        <v>5259</v>
      </c>
      <c r="D3808" s="88">
        <v>20584521</v>
      </c>
      <c r="E3808" s="88" t="s">
        <v>61</v>
      </c>
      <c r="F3808" s="88">
        <v>0</v>
      </c>
      <c r="G3808" s="78">
        <f>MAX(H3808,I3808,J3808)</f>
        <v>1</v>
      </c>
      <c r="H3808" s="88"/>
      <c r="I3808" s="88"/>
      <c r="J3808" s="78">
        <f>MAX(K3808:Q3808)</f>
        <v>1</v>
      </c>
      <c r="K3808" s="88">
        <v>1</v>
      </c>
      <c r="L3808" s="88"/>
      <c r="M3808" s="88"/>
      <c r="N3808" s="88"/>
      <c r="O3808" s="88"/>
      <c r="P3808" s="88"/>
      <c r="Q3808" s="88"/>
      <c r="R3808" s="78">
        <f>MAX(S3808:W3808)</f>
        <v>0</v>
      </c>
      <c r="S3808" s="88"/>
      <c r="T3808" s="88"/>
      <c r="U3808" s="88"/>
      <c r="V3808" s="88"/>
      <c r="W3808" s="88"/>
    </row>
    <row r="3809" spans="2:23" s="0" customFormat="0" ht="15">
      <c r="B3809" s="87" t="s">
        <v>1</v>
      </c>
      <c r="C3809" s="88" t="s">
        <v>5259</v>
      </c>
      <c r="D3809" s="88">
        <v>13102840</v>
      </c>
      <c r="E3809" s="88" t="s">
        <v>61</v>
      </c>
      <c r="F3809" s="88">
        <v>0</v>
      </c>
      <c r="G3809" s="78">
        <f>MAX(H3809,I3809,J3809)</f>
        <v>1</v>
      </c>
      <c r="H3809" s="88"/>
      <c r="I3809" s="88"/>
      <c r="J3809" s="78">
        <f>MAX(K3809:Q3809)</f>
        <v>1</v>
      </c>
      <c r="K3809" s="88">
        <v>1</v>
      </c>
      <c r="L3809" s="88"/>
      <c r="M3809" s="88"/>
      <c r="N3809" s="88"/>
      <c r="O3809" s="88"/>
      <c r="P3809" s="88"/>
      <c r="Q3809" s="88"/>
      <c r="R3809" s="78">
        <f>MAX(S3809:W3809)</f>
        <v>0</v>
      </c>
      <c r="S3809" s="88"/>
      <c r="T3809" s="88"/>
      <c r="U3809" s="88"/>
      <c r="V3809" s="88"/>
      <c r="W3809" s="88"/>
    </row>
    <row r="3810" spans="2:23" s="0" customFormat="0" ht="15">
      <c r="B3810" s="87" t="s">
        <v>1</v>
      </c>
      <c r="C3810" s="88" t="s">
        <v>5259</v>
      </c>
      <c r="D3810" s="88">
        <v>23938408</v>
      </c>
      <c r="E3810" s="88" t="s">
        <v>61</v>
      </c>
      <c r="F3810" s="88">
        <v>0</v>
      </c>
      <c r="G3810" s="78">
        <f>MAX(H3810,I3810,J3810)</f>
        <v>1</v>
      </c>
      <c r="H3810" s="88"/>
      <c r="I3810" s="88"/>
      <c r="J3810" s="78">
        <f>MAX(K3810:Q3810)</f>
        <v>1</v>
      </c>
      <c r="K3810" s="88">
        <v>1</v>
      </c>
      <c r="L3810" s="88"/>
      <c r="M3810" s="88"/>
      <c r="N3810" s="88"/>
      <c r="O3810" s="88"/>
      <c r="P3810" s="88"/>
      <c r="Q3810" s="88"/>
      <c r="R3810" s="78">
        <f>MAX(S3810:W3810)</f>
        <v>0</v>
      </c>
      <c r="S3810" s="88"/>
      <c r="T3810" s="88"/>
      <c r="U3810" s="88"/>
      <c r="V3810" s="88"/>
      <c r="W3810" s="88"/>
    </row>
    <row r="3811" spans="2:23" s="0" customFormat="0" ht="15">
      <c r="B3811" s="87" t="s">
        <v>1</v>
      </c>
      <c r="C3811" s="88" t="s">
        <v>5259</v>
      </c>
      <c r="D3811" s="88">
        <v>21069413</v>
      </c>
      <c r="E3811" s="88" t="s">
        <v>61</v>
      </c>
      <c r="F3811" s="88">
        <v>0</v>
      </c>
      <c r="G3811" s="78">
        <f>MAX(H3811,I3811,J3811)</f>
        <v>1</v>
      </c>
      <c r="H3811" s="88"/>
      <c r="I3811" s="88"/>
      <c r="J3811" s="78">
        <f>MAX(K3811:Q3811)</f>
        <v>1</v>
      </c>
      <c r="K3811" s="88">
        <v>1</v>
      </c>
      <c r="L3811" s="88"/>
      <c r="M3811" s="88"/>
      <c r="N3811" s="88"/>
      <c r="O3811" s="88"/>
      <c r="P3811" s="88"/>
      <c r="Q3811" s="88"/>
      <c r="R3811" s="78">
        <f>MAX(S3811:W3811)</f>
        <v>0</v>
      </c>
      <c r="S3811" s="88"/>
      <c r="T3811" s="88"/>
      <c r="U3811" s="88"/>
      <c r="V3811" s="88"/>
      <c r="W3811" s="88"/>
    </row>
    <row r="3812" spans="2:23" s="0" customFormat="0" ht="15">
      <c r="B3812" s="87" t="s">
        <v>1</v>
      </c>
      <c r="C3812" s="88" t="s">
        <v>5259</v>
      </c>
      <c r="D3812" s="88">
        <v>23207309</v>
      </c>
      <c r="E3812" s="88" t="s">
        <v>61</v>
      </c>
      <c r="F3812" s="88">
        <v>0</v>
      </c>
      <c r="G3812" s="78">
        <f>MAX(H3812,I3812,J3812)</f>
        <v>1</v>
      </c>
      <c r="H3812" s="88"/>
      <c r="I3812" s="88"/>
      <c r="J3812" s="78">
        <f>MAX(K3812:Q3812)</f>
        <v>1</v>
      </c>
      <c r="K3812" s="88">
        <v>1</v>
      </c>
      <c r="L3812" s="88"/>
      <c r="M3812" s="88"/>
      <c r="N3812" s="88"/>
      <c r="O3812" s="88"/>
      <c r="P3812" s="88"/>
      <c r="Q3812" s="88"/>
      <c r="R3812" s="78">
        <f>MAX(S3812:W3812)</f>
        <v>0</v>
      </c>
      <c r="S3812" s="88"/>
      <c r="T3812" s="88"/>
      <c r="U3812" s="88"/>
      <c r="V3812" s="88"/>
      <c r="W3812" s="88"/>
    </row>
    <row r="3813" spans="2:23" s="0" customFormat="0" ht="15">
      <c r="B3813" s="87" t="s">
        <v>1</v>
      </c>
      <c r="C3813" s="88" t="s">
        <v>5259</v>
      </c>
      <c r="D3813" s="88">
        <v>17170630</v>
      </c>
      <c r="E3813" s="88" t="s">
        <v>61</v>
      </c>
      <c r="F3813" s="88">
        <v>0</v>
      </c>
      <c r="G3813" s="78">
        <f>MAX(H3813,I3813,J3813)</f>
        <v>1</v>
      </c>
      <c r="H3813" s="88"/>
      <c r="I3813" s="88"/>
      <c r="J3813" s="78">
        <f>MAX(K3813:Q3813)</f>
        <v>1</v>
      </c>
      <c r="K3813" s="88">
        <v>1</v>
      </c>
      <c r="L3813" s="88"/>
      <c r="M3813" s="88"/>
      <c r="N3813" s="88"/>
      <c r="O3813" s="88"/>
      <c r="P3813" s="88"/>
      <c r="Q3813" s="88"/>
      <c r="R3813" s="78">
        <f>MAX(S3813:W3813)</f>
        <v>0</v>
      </c>
      <c r="S3813" s="88"/>
      <c r="T3813" s="88"/>
      <c r="U3813" s="88"/>
      <c r="V3813" s="88"/>
      <c r="W3813" s="88"/>
    </row>
    <row r="3814" spans="2:23" s="0" customFormat="0" ht="15">
      <c r="B3814" s="87" t="s">
        <v>1</v>
      </c>
      <c r="C3814" s="88" t="s">
        <v>5259</v>
      </c>
      <c r="D3814" s="88">
        <v>12588128</v>
      </c>
      <c r="E3814" s="88" t="s">
        <v>61</v>
      </c>
      <c r="F3814" s="88">
        <v>0</v>
      </c>
      <c r="G3814" s="78">
        <f>MAX(H3814,I3814,J3814)</f>
        <v>1</v>
      </c>
      <c r="H3814" s="88"/>
      <c r="I3814" s="88"/>
      <c r="J3814" s="78">
        <f>MAX(K3814:Q3814)</f>
        <v>1</v>
      </c>
      <c r="K3814" s="88">
        <v>1</v>
      </c>
      <c r="L3814" s="88"/>
      <c r="M3814" s="88"/>
      <c r="N3814" s="88"/>
      <c r="O3814" s="88"/>
      <c r="P3814" s="88"/>
      <c r="Q3814" s="88"/>
      <c r="R3814" s="78">
        <f>MAX(S3814:W3814)</f>
        <v>0</v>
      </c>
      <c r="S3814" s="88"/>
      <c r="T3814" s="88"/>
      <c r="U3814" s="88"/>
      <c r="V3814" s="88"/>
      <c r="W3814" s="88"/>
    </row>
    <row r="3815" spans="2:23" s="0" customFormat="0" ht="15">
      <c r="B3815" s="87" t="s">
        <v>1</v>
      </c>
      <c r="C3815" s="88" t="s">
        <v>5259</v>
      </c>
      <c r="D3815" s="88">
        <v>18423528</v>
      </c>
      <c r="E3815" s="88" t="s">
        <v>61</v>
      </c>
      <c r="F3815" s="88">
        <v>0</v>
      </c>
      <c r="G3815" s="78">
        <f>MAX(H3815,I3815,J3815)</f>
        <v>0</v>
      </c>
      <c r="H3815" s="88"/>
      <c r="I3815" s="88"/>
      <c r="J3815" s="78">
        <f>MAX(K3815:Q3815)</f>
        <v>0</v>
      </c>
      <c r="K3815" s="88"/>
      <c r="L3815" s="88"/>
      <c r="M3815" s="88"/>
      <c r="N3815" s="88"/>
      <c r="O3815" s="88"/>
      <c r="P3815" s="88"/>
      <c r="Q3815" s="88"/>
      <c r="R3815" s="78">
        <f>MAX(S3815:W3815)</f>
        <v>1</v>
      </c>
      <c r="S3815" s="88"/>
      <c r="T3815" s="88"/>
      <c r="U3815" s="88">
        <v>1</v>
      </c>
      <c r="V3815" s="88"/>
      <c r="W3815" s="88"/>
    </row>
    <row r="3816" spans="2:23" s="0" customFormat="0" ht="15">
      <c r="B3816" s="87" t="s">
        <v>1</v>
      </c>
      <c r="C3816" s="88" t="s">
        <v>5259</v>
      </c>
      <c r="D3816" s="88">
        <v>14418867</v>
      </c>
      <c r="E3816" s="88" t="s">
        <v>61</v>
      </c>
      <c r="F3816" s="88">
        <v>0</v>
      </c>
      <c r="G3816" s="78">
        <f>MAX(H3816,I3816,J3816)</f>
        <v>1</v>
      </c>
      <c r="H3816" s="88"/>
      <c r="I3816" s="88"/>
      <c r="J3816" s="78">
        <f>MAX(K3816:Q3816)</f>
        <v>1</v>
      </c>
      <c r="K3816" s="88">
        <v>1</v>
      </c>
      <c r="L3816" s="88"/>
      <c r="M3816" s="88"/>
      <c r="N3816" s="88"/>
      <c r="O3816" s="88"/>
      <c r="P3816" s="88"/>
      <c r="Q3816" s="88"/>
      <c r="R3816" s="78">
        <f>MAX(S3816:W3816)</f>
        <v>0</v>
      </c>
      <c r="S3816" s="88"/>
      <c r="T3816" s="88"/>
      <c r="U3816" s="88"/>
      <c r="V3816" s="88"/>
      <c r="W3816" s="88"/>
    </row>
    <row r="3817" spans="2:23" s="0" customFormat="0" ht="15">
      <c r="B3817" s="87" t="s">
        <v>1</v>
      </c>
      <c r="C3817" s="88" t="s">
        <v>5259</v>
      </c>
      <c r="D3817" s="88" t="s">
        <v>1739</v>
      </c>
      <c r="E3817" s="88" t="s">
        <v>61</v>
      </c>
      <c r="F3817" s="88">
        <v>0</v>
      </c>
      <c r="G3817" s="78">
        <f>MAX(H3817,I3817,J3817)</f>
        <v>1</v>
      </c>
      <c r="H3817" s="88"/>
      <c r="I3817" s="88"/>
      <c r="J3817" s="78">
        <f>MAX(K3817:Q3817)</f>
        <v>1</v>
      </c>
      <c r="K3817" s="88">
        <v>1</v>
      </c>
      <c r="L3817" s="88"/>
      <c r="M3817" s="88"/>
      <c r="N3817" s="88"/>
      <c r="O3817" s="88"/>
      <c r="P3817" s="88"/>
      <c r="Q3817" s="88"/>
      <c r="R3817" s="78">
        <f>MAX(S3817:W3817)</f>
        <v>0</v>
      </c>
      <c r="S3817" s="88"/>
      <c r="T3817" s="88"/>
      <c r="U3817" s="88"/>
      <c r="V3817" s="88"/>
      <c r="W3817" s="88"/>
    </row>
    <row r="3818" spans="2:23" s="0" customFormat="0" ht="15">
      <c r="B3818" s="87" t="s">
        <v>1</v>
      </c>
      <c r="C3818" s="88" t="s">
        <v>5259</v>
      </c>
      <c r="D3818" s="88" t="s">
        <v>2384</v>
      </c>
      <c r="E3818" s="88" t="s">
        <v>61</v>
      </c>
      <c r="F3818" s="88">
        <v>0</v>
      </c>
      <c r="G3818" s="78">
        <f>MAX(H3818,I3818,J3818)</f>
        <v>1</v>
      </c>
      <c r="H3818" s="88"/>
      <c r="I3818" s="88"/>
      <c r="J3818" s="78">
        <f>MAX(K3818:Q3818)</f>
        <v>1</v>
      </c>
      <c r="K3818" s="88">
        <v>1</v>
      </c>
      <c r="L3818" s="88"/>
      <c r="M3818" s="88"/>
      <c r="N3818" s="88"/>
      <c r="O3818" s="88"/>
      <c r="P3818" s="88"/>
      <c r="Q3818" s="88"/>
      <c r="R3818" s="78">
        <f>MAX(S3818:W3818)</f>
        <v>0</v>
      </c>
      <c r="S3818" s="88"/>
      <c r="T3818" s="88"/>
      <c r="U3818" s="88"/>
      <c r="V3818" s="88"/>
      <c r="W3818" s="88"/>
    </row>
    <row r="3819" spans="2:23" s="0" customFormat="0" ht="15">
      <c r="B3819" s="87" t="s">
        <v>1</v>
      </c>
      <c r="C3819" s="88" t="s">
        <v>5259</v>
      </c>
      <c r="D3819" s="88">
        <v>16209205</v>
      </c>
      <c r="E3819" s="88" t="s">
        <v>61</v>
      </c>
      <c r="F3819" s="88">
        <v>0</v>
      </c>
      <c r="G3819" s="78">
        <f>MAX(H3819,I3819,J3819)</f>
        <v>1</v>
      </c>
      <c r="H3819" s="88"/>
      <c r="I3819" s="88"/>
      <c r="J3819" s="78">
        <f>MAX(K3819:Q3819)</f>
        <v>1</v>
      </c>
      <c r="K3819" s="88">
        <v>1</v>
      </c>
      <c r="L3819" s="88"/>
      <c r="M3819" s="88"/>
      <c r="N3819" s="88"/>
      <c r="O3819" s="88"/>
      <c r="P3819" s="88"/>
      <c r="Q3819" s="88"/>
      <c r="R3819" s="78">
        <f>MAX(S3819:W3819)</f>
        <v>0</v>
      </c>
      <c r="S3819" s="88"/>
      <c r="T3819" s="88"/>
      <c r="U3819" s="88"/>
      <c r="V3819" s="88"/>
      <c r="W3819" s="88"/>
    </row>
    <row r="3820" spans="2:23" s="0" customFormat="0" ht="15">
      <c r="B3820" s="87" t="s">
        <v>1</v>
      </c>
      <c r="C3820" s="88" t="s">
        <v>5259</v>
      </c>
      <c r="D3820" s="88" t="s">
        <v>4227</v>
      </c>
      <c r="E3820" s="88" t="s">
        <v>61</v>
      </c>
      <c r="F3820" s="88">
        <v>0</v>
      </c>
      <c r="G3820" s="78">
        <f>MAX(H3820,I3820,J3820)</f>
        <v>0</v>
      </c>
      <c r="H3820" s="88"/>
      <c r="I3820" s="88"/>
      <c r="J3820" s="78">
        <f>MAX(K3820:Q3820)</f>
        <v>0</v>
      </c>
      <c r="K3820" s="88"/>
      <c r="L3820" s="88"/>
      <c r="M3820" s="88"/>
      <c r="N3820" s="88"/>
      <c r="O3820" s="88"/>
      <c r="P3820" s="88"/>
      <c r="Q3820" s="88"/>
      <c r="R3820" s="78">
        <f>MAX(S3820:W3820)</f>
        <v>1</v>
      </c>
      <c r="S3820" s="88"/>
      <c r="T3820" s="88"/>
      <c r="U3820" s="88">
        <v>1</v>
      </c>
      <c r="V3820" s="88"/>
      <c r="W3820" s="88"/>
    </row>
    <row r="3821" spans="2:23" s="0" customFormat="0" ht="15">
      <c r="B3821" s="87" t="s">
        <v>1</v>
      </c>
      <c r="C3821" s="88" t="s">
        <v>5259</v>
      </c>
      <c r="D3821" s="88" t="s">
        <v>4344</v>
      </c>
      <c r="E3821" s="88" t="s">
        <v>61</v>
      </c>
      <c r="F3821" s="88">
        <v>0</v>
      </c>
      <c r="G3821" s="78">
        <f>MAX(H3821,I3821,J3821)</f>
        <v>0</v>
      </c>
      <c r="H3821" s="88"/>
      <c r="I3821" s="88"/>
      <c r="J3821" s="78">
        <f>MAX(K3821:Q3821)</f>
        <v>0</v>
      </c>
      <c r="K3821" s="88"/>
      <c r="L3821" s="88"/>
      <c r="M3821" s="88"/>
      <c r="N3821" s="88"/>
      <c r="O3821" s="88"/>
      <c r="P3821" s="88"/>
      <c r="Q3821" s="88"/>
      <c r="R3821" s="78">
        <f>MAX(S3821:W3821)</f>
        <v>1</v>
      </c>
      <c r="S3821" s="88"/>
      <c r="T3821" s="88"/>
      <c r="U3821" s="88">
        <v>1</v>
      </c>
      <c r="V3821" s="88"/>
      <c r="W3821" s="88"/>
    </row>
    <row r="3822" spans="2:23" s="0" customFormat="0" ht="15">
      <c r="B3822" s="87" t="s">
        <v>1</v>
      </c>
      <c r="C3822" s="88" t="s">
        <v>5259</v>
      </c>
      <c r="D3822" s="88">
        <v>11393825</v>
      </c>
      <c r="E3822" s="88" t="s">
        <v>61</v>
      </c>
      <c r="F3822" s="88">
        <v>0</v>
      </c>
      <c r="G3822" s="78">
        <f>MAX(H3822,I3822,J3822)</f>
        <v>1</v>
      </c>
      <c r="H3822" s="88"/>
      <c r="I3822" s="88"/>
      <c r="J3822" s="78">
        <f>MAX(K3822:Q3822)</f>
        <v>1</v>
      </c>
      <c r="K3822" s="88">
        <v>1</v>
      </c>
      <c r="L3822" s="88"/>
      <c r="M3822" s="88"/>
      <c r="N3822" s="88"/>
      <c r="O3822" s="88"/>
      <c r="P3822" s="88"/>
      <c r="Q3822" s="88"/>
      <c r="R3822" s="78">
        <f>MAX(S3822:W3822)</f>
        <v>0</v>
      </c>
      <c r="S3822" s="88"/>
      <c r="T3822" s="88"/>
      <c r="U3822" s="88"/>
      <c r="V3822" s="88"/>
      <c r="W3822" s="88"/>
    </row>
    <row r="3823" spans="2:23" s="0" customFormat="0" ht="15">
      <c r="B3823" s="87" t="s">
        <v>1</v>
      </c>
      <c r="C3823" s="88" t="s">
        <v>5259</v>
      </c>
      <c r="D3823" s="88">
        <v>244468</v>
      </c>
      <c r="E3823" s="88" t="s">
        <v>61</v>
      </c>
      <c r="F3823" s="88">
        <v>0</v>
      </c>
      <c r="G3823" s="78">
        <f>MAX(H3823,I3823,J3823)</f>
        <v>1</v>
      </c>
      <c r="H3823" s="88"/>
      <c r="I3823" s="88"/>
      <c r="J3823" s="78">
        <f>MAX(K3823:Q3823)</f>
        <v>1</v>
      </c>
      <c r="K3823" s="88">
        <v>1</v>
      </c>
      <c r="L3823" s="88"/>
      <c r="M3823" s="88"/>
      <c r="N3823" s="88"/>
      <c r="O3823" s="88"/>
      <c r="P3823" s="88"/>
      <c r="Q3823" s="88"/>
      <c r="R3823" s="78">
        <f>MAX(S3823:W3823)</f>
        <v>0</v>
      </c>
      <c r="S3823" s="88"/>
      <c r="T3823" s="88"/>
      <c r="U3823" s="88"/>
      <c r="V3823" s="88"/>
      <c r="W3823" s="88"/>
    </row>
    <row r="3824" spans="2:23" s="0" customFormat="0" ht="15">
      <c r="B3824" s="87" t="s">
        <v>1</v>
      </c>
      <c r="C3824" s="88" t="s">
        <v>5259</v>
      </c>
      <c r="D3824" s="88" t="s">
        <v>4574</v>
      </c>
      <c r="E3824" s="88" t="s">
        <v>61</v>
      </c>
      <c r="F3824" s="88">
        <v>0</v>
      </c>
      <c r="G3824" s="78">
        <f>MAX(H3824,I3824,J3824)</f>
        <v>0</v>
      </c>
      <c r="H3824" s="88"/>
      <c r="I3824" s="88"/>
      <c r="J3824" s="78">
        <f>MAX(K3824:Q3824)</f>
        <v>0</v>
      </c>
      <c r="K3824" s="88"/>
      <c r="L3824" s="88"/>
      <c r="M3824" s="88"/>
      <c r="N3824" s="88"/>
      <c r="O3824" s="88"/>
      <c r="P3824" s="88"/>
      <c r="Q3824" s="88"/>
      <c r="R3824" s="78">
        <f>MAX(S3824:W3824)</f>
        <v>1</v>
      </c>
      <c r="S3824" s="88"/>
      <c r="T3824" s="88"/>
      <c r="U3824" s="88">
        <v>1</v>
      </c>
      <c r="V3824" s="88"/>
      <c r="W3824" s="88"/>
    </row>
    <row r="3825" spans="2:23" s="0" customFormat="0" ht="15">
      <c r="B3825" s="87" t="s">
        <v>1</v>
      </c>
      <c r="C3825" s="88" t="s">
        <v>5259</v>
      </c>
      <c r="D3825" s="88" t="s">
        <v>3370</v>
      </c>
      <c r="E3825" s="88" t="s">
        <v>61</v>
      </c>
      <c r="F3825" s="88">
        <v>0</v>
      </c>
      <c r="G3825" s="78">
        <f>MAX(H3825,I3825,J3825)</f>
        <v>0</v>
      </c>
      <c r="H3825" s="88"/>
      <c r="I3825" s="88"/>
      <c r="J3825" s="78">
        <f>MAX(K3825:Q3825)</f>
        <v>0</v>
      </c>
      <c r="K3825" s="88"/>
      <c r="L3825" s="88"/>
      <c r="M3825" s="88"/>
      <c r="N3825" s="88"/>
      <c r="O3825" s="88"/>
      <c r="P3825" s="88"/>
      <c r="Q3825" s="88"/>
      <c r="R3825" s="78">
        <f>MAX(S3825:W3825)</f>
        <v>1</v>
      </c>
      <c r="S3825" s="88"/>
      <c r="T3825" s="88"/>
      <c r="U3825" s="88">
        <v>1</v>
      </c>
      <c r="V3825" s="88"/>
      <c r="W3825" s="88"/>
    </row>
    <row r="3826" spans="2:23" s="0" customFormat="0" ht="15">
      <c r="B3826" s="87" t="s">
        <v>1</v>
      </c>
      <c r="C3826" s="88" t="s">
        <v>5259</v>
      </c>
      <c r="D3826" s="88" t="s">
        <v>4841</v>
      </c>
      <c r="E3826" s="88" t="s">
        <v>61</v>
      </c>
      <c r="F3826" s="88">
        <v>0</v>
      </c>
      <c r="G3826" s="78">
        <f>MAX(H3826,I3826,J3826)</f>
        <v>0</v>
      </c>
      <c r="H3826" s="88"/>
      <c r="I3826" s="88"/>
      <c r="J3826" s="78">
        <f>MAX(K3826:Q3826)</f>
        <v>0</v>
      </c>
      <c r="K3826" s="88"/>
      <c r="L3826" s="88"/>
      <c r="M3826" s="88"/>
      <c r="N3826" s="88"/>
      <c r="O3826" s="88"/>
      <c r="P3826" s="88"/>
      <c r="Q3826" s="88"/>
      <c r="R3826" s="78">
        <f>MAX(S3826:W3826)</f>
        <v>1</v>
      </c>
      <c r="S3826" s="88"/>
      <c r="T3826" s="88"/>
      <c r="U3826" s="88">
        <v>1</v>
      </c>
      <c r="V3826" s="88"/>
      <c r="W3826" s="88"/>
    </row>
    <row r="3827" spans="2:23" s="0" customFormat="0" ht="15">
      <c r="B3827" s="87" t="s">
        <v>1</v>
      </c>
      <c r="C3827" s="88" t="s">
        <v>5259</v>
      </c>
      <c r="D3827" s="88">
        <v>20215778</v>
      </c>
      <c r="E3827" s="88" t="s">
        <v>61</v>
      </c>
      <c r="F3827" s="88">
        <v>0</v>
      </c>
      <c r="G3827" s="78">
        <f>MAX(H3827,I3827,J3827)</f>
        <v>1</v>
      </c>
      <c r="H3827" s="88"/>
      <c r="I3827" s="88"/>
      <c r="J3827" s="78">
        <f>MAX(K3827:Q3827)</f>
        <v>1</v>
      </c>
      <c r="K3827" s="88">
        <v>1</v>
      </c>
      <c r="L3827" s="88"/>
      <c r="M3827" s="88"/>
      <c r="N3827" s="88"/>
      <c r="O3827" s="88"/>
      <c r="P3827" s="88"/>
      <c r="Q3827" s="88"/>
      <c r="R3827" s="78">
        <f>MAX(S3827:W3827)</f>
        <v>0</v>
      </c>
      <c r="S3827" s="88"/>
      <c r="T3827" s="88"/>
      <c r="U3827" s="88"/>
      <c r="V3827" s="88"/>
      <c r="W3827" s="88"/>
    </row>
    <row r="3828" spans="2:23" s="0" customFormat="0" ht="15">
      <c r="B3828" s="87" t="s">
        <v>1</v>
      </c>
      <c r="C3828" s="88" t="s">
        <v>5259</v>
      </c>
      <c r="D3828" s="88">
        <v>21743790</v>
      </c>
      <c r="E3828" s="88" t="s">
        <v>61</v>
      </c>
      <c r="F3828" s="88">
        <v>0</v>
      </c>
      <c r="G3828" s="78">
        <f>MAX(H3828,I3828,J3828)</f>
        <v>1</v>
      </c>
      <c r="H3828" s="88"/>
      <c r="I3828" s="88"/>
      <c r="J3828" s="78">
        <f>MAX(K3828:Q3828)</f>
        <v>1</v>
      </c>
      <c r="K3828" s="88">
        <v>1</v>
      </c>
      <c r="L3828" s="88"/>
      <c r="M3828" s="88"/>
      <c r="N3828" s="88"/>
      <c r="O3828" s="88"/>
      <c r="P3828" s="88"/>
      <c r="Q3828" s="88"/>
      <c r="R3828" s="78">
        <f>MAX(S3828:W3828)</f>
        <v>0</v>
      </c>
      <c r="S3828" s="88"/>
      <c r="T3828" s="88"/>
      <c r="U3828" s="88"/>
      <c r="V3828" s="88"/>
      <c r="W3828" s="88"/>
    </row>
    <row r="3829" spans="2:23" s="0" customFormat="0" ht="15">
      <c r="B3829" s="87" t="s">
        <v>1</v>
      </c>
      <c r="C3829" s="88" t="s">
        <v>5259</v>
      </c>
      <c r="D3829" s="88">
        <v>19319314</v>
      </c>
      <c r="E3829" s="88" t="s">
        <v>61</v>
      </c>
      <c r="F3829" s="88">
        <v>0</v>
      </c>
      <c r="G3829" s="78">
        <f>MAX(H3829,I3829,J3829)</f>
        <v>1</v>
      </c>
      <c r="H3829" s="88"/>
      <c r="I3829" s="88"/>
      <c r="J3829" s="78">
        <f>MAX(K3829:Q3829)</f>
        <v>1</v>
      </c>
      <c r="K3829" s="88">
        <v>1</v>
      </c>
      <c r="L3829" s="88"/>
      <c r="M3829" s="88"/>
      <c r="N3829" s="88"/>
      <c r="O3829" s="88"/>
      <c r="P3829" s="88"/>
      <c r="Q3829" s="88"/>
      <c r="R3829" s="78">
        <f>MAX(S3829:W3829)</f>
        <v>0</v>
      </c>
      <c r="S3829" s="88"/>
      <c r="T3829" s="88"/>
      <c r="U3829" s="88"/>
      <c r="V3829" s="88"/>
      <c r="W3829" s="88"/>
    </row>
    <row r="3830" spans="2:23" s="0" customFormat="0" ht="15">
      <c r="B3830" s="87" t="s">
        <v>1</v>
      </c>
      <c r="C3830" s="88" t="s">
        <v>5259</v>
      </c>
      <c r="D3830" s="88">
        <v>12994167</v>
      </c>
      <c r="E3830" s="88" t="s">
        <v>61</v>
      </c>
      <c r="F3830" s="88">
        <v>0</v>
      </c>
      <c r="G3830" s="78">
        <f>MAX(H3830,I3830,J3830)</f>
        <v>1</v>
      </c>
      <c r="H3830" s="88"/>
      <c r="I3830" s="88"/>
      <c r="J3830" s="78">
        <f>MAX(K3830:Q3830)</f>
        <v>1</v>
      </c>
      <c r="K3830" s="88">
        <v>1</v>
      </c>
      <c r="L3830" s="88"/>
      <c r="M3830" s="88"/>
      <c r="N3830" s="88"/>
      <c r="O3830" s="88"/>
      <c r="P3830" s="88"/>
      <c r="Q3830" s="88"/>
      <c r="R3830" s="78">
        <f>MAX(S3830:W3830)</f>
        <v>0</v>
      </c>
      <c r="S3830" s="88"/>
      <c r="T3830" s="88"/>
      <c r="U3830" s="88"/>
      <c r="V3830" s="88"/>
      <c r="W3830" s="88"/>
    </row>
    <row r="3831" spans="2:23" s="0" customFormat="0" ht="15">
      <c r="B3831" s="87" t="s">
        <v>1</v>
      </c>
      <c r="C3831" s="88" t="s">
        <v>5259</v>
      </c>
      <c r="D3831" s="88">
        <v>4079035</v>
      </c>
      <c r="E3831" s="88" t="s">
        <v>61</v>
      </c>
      <c r="F3831" s="88">
        <v>0</v>
      </c>
      <c r="G3831" s="78">
        <f>MAX(H3831,I3831,J3831)</f>
        <v>1</v>
      </c>
      <c r="H3831" s="88"/>
      <c r="I3831" s="88"/>
      <c r="J3831" s="78">
        <f>MAX(K3831:Q3831)</f>
        <v>1</v>
      </c>
      <c r="K3831" s="88">
        <v>1</v>
      </c>
      <c r="L3831" s="88"/>
      <c r="M3831" s="88"/>
      <c r="N3831" s="88"/>
      <c r="O3831" s="88"/>
      <c r="P3831" s="88"/>
      <c r="Q3831" s="88"/>
      <c r="R3831" s="78">
        <f>MAX(S3831:W3831)</f>
        <v>0</v>
      </c>
      <c r="S3831" s="88"/>
      <c r="T3831" s="88"/>
      <c r="U3831" s="88"/>
      <c r="V3831" s="88"/>
      <c r="W3831" s="88"/>
    </row>
    <row r="3832" spans="2:23" s="0" customFormat="0" ht="15">
      <c r="B3832" s="87" t="s">
        <v>1</v>
      </c>
      <c r="C3832" s="88" t="s">
        <v>5259</v>
      </c>
      <c r="D3832" s="88">
        <v>19474819</v>
      </c>
      <c r="E3832" s="88" t="s">
        <v>61</v>
      </c>
      <c r="F3832" s="88">
        <v>0</v>
      </c>
      <c r="G3832" s="78">
        <f>MAX(H3832,I3832,J3832)</f>
        <v>1</v>
      </c>
      <c r="H3832" s="88"/>
      <c r="I3832" s="88"/>
      <c r="J3832" s="78">
        <f>MAX(K3832:Q3832)</f>
        <v>1</v>
      </c>
      <c r="K3832" s="88">
        <v>1</v>
      </c>
      <c r="L3832" s="88"/>
      <c r="M3832" s="88"/>
      <c r="N3832" s="88"/>
      <c r="O3832" s="88"/>
      <c r="P3832" s="88"/>
      <c r="Q3832" s="88"/>
      <c r="R3832" s="78">
        <f>MAX(S3832:W3832)</f>
        <v>0</v>
      </c>
      <c r="S3832" s="88"/>
      <c r="T3832" s="88"/>
      <c r="U3832" s="88"/>
      <c r="V3832" s="88"/>
      <c r="W3832" s="88"/>
    </row>
    <row r="3833" spans="2:23" s="0" customFormat="0" ht="15">
      <c r="B3833" s="87" t="s">
        <v>1</v>
      </c>
      <c r="C3833" s="88" t="s">
        <v>5259</v>
      </c>
      <c r="D3833" s="88" t="s">
        <v>2391</v>
      </c>
      <c r="E3833" s="88" t="s">
        <v>61</v>
      </c>
      <c r="F3833" s="88">
        <v>0</v>
      </c>
      <c r="G3833" s="78">
        <f>MAX(H3833,I3833,J3833)</f>
        <v>1</v>
      </c>
      <c r="H3833" s="88"/>
      <c r="I3833" s="88"/>
      <c r="J3833" s="78">
        <f>MAX(K3833:Q3833)</f>
        <v>1</v>
      </c>
      <c r="K3833" s="88">
        <v>1</v>
      </c>
      <c r="L3833" s="88"/>
      <c r="M3833" s="88"/>
      <c r="N3833" s="88"/>
      <c r="O3833" s="88"/>
      <c r="P3833" s="88"/>
      <c r="Q3833" s="88"/>
      <c r="R3833" s="78">
        <f>MAX(S3833:W3833)</f>
        <v>0</v>
      </c>
      <c r="S3833" s="88"/>
      <c r="T3833" s="88"/>
      <c r="U3833" s="88"/>
      <c r="V3833" s="88"/>
      <c r="W3833" s="88"/>
    </row>
    <row r="3834" spans="2:23" s="0" customFormat="0" ht="15">
      <c r="B3834" s="87" t="s">
        <v>1</v>
      </c>
      <c r="C3834" s="88" t="s">
        <v>5259</v>
      </c>
      <c r="D3834" s="88" t="s">
        <v>4242</v>
      </c>
      <c r="E3834" s="88" t="s">
        <v>61</v>
      </c>
      <c r="F3834" s="88">
        <v>0</v>
      </c>
      <c r="G3834" s="78">
        <f>MAX(H3834,I3834,J3834)</f>
        <v>0</v>
      </c>
      <c r="H3834" s="88"/>
      <c r="I3834" s="88"/>
      <c r="J3834" s="78">
        <f>MAX(K3834:Q3834)</f>
        <v>0</v>
      </c>
      <c r="K3834" s="88"/>
      <c r="L3834" s="88"/>
      <c r="M3834" s="88"/>
      <c r="N3834" s="88"/>
      <c r="O3834" s="88"/>
      <c r="P3834" s="88"/>
      <c r="Q3834" s="88"/>
      <c r="R3834" s="78">
        <f>MAX(S3834:W3834)</f>
        <v>1</v>
      </c>
      <c r="S3834" s="88"/>
      <c r="T3834" s="88"/>
      <c r="U3834" s="88">
        <v>1</v>
      </c>
      <c r="V3834" s="88"/>
      <c r="W3834" s="88"/>
    </row>
    <row r="3835" spans="2:23" s="0" customFormat="0" ht="15">
      <c r="B3835" s="87" t="s">
        <v>1</v>
      </c>
      <c r="C3835" s="88" t="s">
        <v>5259</v>
      </c>
      <c r="D3835" s="88">
        <v>12046707</v>
      </c>
      <c r="E3835" s="88" t="s">
        <v>61</v>
      </c>
      <c r="F3835" s="88">
        <v>0</v>
      </c>
      <c r="G3835" s="78">
        <f>MAX(H3835,I3835,J3835)</f>
        <v>1</v>
      </c>
      <c r="H3835" s="88"/>
      <c r="I3835" s="88"/>
      <c r="J3835" s="78">
        <f>MAX(K3835:Q3835)</f>
        <v>1</v>
      </c>
      <c r="K3835" s="88">
        <v>1</v>
      </c>
      <c r="L3835" s="88"/>
      <c r="M3835" s="88"/>
      <c r="N3835" s="88"/>
      <c r="O3835" s="88"/>
      <c r="P3835" s="88"/>
      <c r="Q3835" s="88"/>
      <c r="R3835" s="78">
        <f>MAX(S3835:W3835)</f>
        <v>0</v>
      </c>
      <c r="S3835" s="88"/>
      <c r="T3835" s="88"/>
      <c r="U3835" s="88"/>
      <c r="V3835" s="88"/>
      <c r="W3835" s="88"/>
    </row>
    <row r="3836" spans="2:23" s="0" customFormat="0" ht="15">
      <c r="B3836" s="87" t="s">
        <v>1</v>
      </c>
      <c r="C3836" s="88" t="s">
        <v>5259</v>
      </c>
      <c r="D3836" s="88" t="s">
        <v>2393</v>
      </c>
      <c r="E3836" s="88" t="s">
        <v>61</v>
      </c>
      <c r="F3836" s="88">
        <v>0</v>
      </c>
      <c r="G3836" s="78">
        <f>MAX(H3836,I3836,J3836)</f>
        <v>1</v>
      </c>
      <c r="H3836" s="88"/>
      <c r="I3836" s="88"/>
      <c r="J3836" s="78">
        <f>MAX(K3836:Q3836)</f>
        <v>1</v>
      </c>
      <c r="K3836" s="88">
        <v>1</v>
      </c>
      <c r="L3836" s="88"/>
      <c r="M3836" s="88"/>
      <c r="N3836" s="88"/>
      <c r="O3836" s="88"/>
      <c r="P3836" s="88"/>
      <c r="Q3836" s="88"/>
      <c r="R3836" s="78">
        <f>MAX(S3836:W3836)</f>
        <v>0</v>
      </c>
      <c r="S3836" s="88"/>
      <c r="T3836" s="88"/>
      <c r="U3836" s="88"/>
      <c r="V3836" s="88"/>
      <c r="W3836" s="88"/>
    </row>
    <row r="3837" spans="2:23" s="0" customFormat="0" ht="15">
      <c r="B3837" s="87" t="s">
        <v>1</v>
      </c>
      <c r="C3837" s="88" t="s">
        <v>5259</v>
      </c>
      <c r="D3837" s="88">
        <v>17170632</v>
      </c>
      <c r="E3837" s="88" t="s">
        <v>61</v>
      </c>
      <c r="F3837" s="88">
        <v>0</v>
      </c>
      <c r="G3837" s="78">
        <f>MAX(H3837,I3837,J3837)</f>
        <v>1</v>
      </c>
      <c r="H3837" s="88"/>
      <c r="I3837" s="88"/>
      <c r="J3837" s="78">
        <f>MAX(K3837:Q3837)</f>
        <v>1</v>
      </c>
      <c r="K3837" s="88">
        <v>1</v>
      </c>
      <c r="L3837" s="88"/>
      <c r="M3837" s="88"/>
      <c r="N3837" s="88"/>
      <c r="O3837" s="88"/>
      <c r="P3837" s="88"/>
      <c r="Q3837" s="88"/>
      <c r="R3837" s="78">
        <f>MAX(S3837:W3837)</f>
        <v>0</v>
      </c>
      <c r="S3837" s="88"/>
      <c r="T3837" s="88"/>
      <c r="U3837" s="88"/>
      <c r="V3837" s="88"/>
      <c r="W3837" s="88"/>
    </row>
    <row r="3838" spans="2:23" s="0" customFormat="0" ht="15">
      <c r="B3838" s="87" t="s">
        <v>1</v>
      </c>
      <c r="C3838" s="88" t="s">
        <v>5259</v>
      </c>
      <c r="D3838" s="88">
        <v>19714580</v>
      </c>
      <c r="E3838" s="88" t="s">
        <v>61</v>
      </c>
      <c r="F3838" s="88">
        <v>0</v>
      </c>
      <c r="G3838" s="78">
        <f>MAX(H3838,I3838,J3838)</f>
        <v>1</v>
      </c>
      <c r="H3838" s="88"/>
      <c r="I3838" s="88"/>
      <c r="J3838" s="78">
        <f>MAX(K3838:Q3838)</f>
        <v>1</v>
      </c>
      <c r="K3838" s="88"/>
      <c r="L3838" s="88"/>
      <c r="M3838" s="88"/>
      <c r="N3838" s="88"/>
      <c r="O3838" s="88">
        <v>1</v>
      </c>
      <c r="P3838" s="88"/>
      <c r="Q3838" s="88"/>
      <c r="R3838" s="78">
        <f>MAX(S3838:W3838)</f>
        <v>0</v>
      </c>
      <c r="S3838" s="88"/>
      <c r="T3838" s="88"/>
      <c r="U3838" s="88"/>
      <c r="V3838" s="88"/>
      <c r="W3838" s="88"/>
    </row>
    <row r="3839" spans="2:23" s="0" customFormat="0" ht="15">
      <c r="B3839" s="87" t="s">
        <v>1</v>
      </c>
      <c r="C3839" s="88" t="s">
        <v>5259</v>
      </c>
      <c r="D3839" s="88">
        <v>12445544</v>
      </c>
      <c r="E3839" s="88" t="s">
        <v>61</v>
      </c>
      <c r="F3839" s="88">
        <v>0</v>
      </c>
      <c r="G3839" s="78">
        <f>MAX(H3839,I3839,J3839)</f>
        <v>1</v>
      </c>
      <c r="H3839" s="88"/>
      <c r="I3839" s="88"/>
      <c r="J3839" s="78">
        <f>MAX(K3839:Q3839)</f>
        <v>1</v>
      </c>
      <c r="K3839" s="88">
        <v>1</v>
      </c>
      <c r="L3839" s="88"/>
      <c r="M3839" s="88"/>
      <c r="N3839" s="88"/>
      <c r="O3839" s="88"/>
      <c r="P3839" s="88"/>
      <c r="Q3839" s="88"/>
      <c r="R3839" s="78">
        <f>MAX(S3839:W3839)</f>
        <v>0</v>
      </c>
      <c r="S3839" s="88"/>
      <c r="T3839" s="88"/>
      <c r="U3839" s="88"/>
      <c r="V3839" s="88"/>
      <c r="W3839" s="88"/>
    </row>
    <row r="3840" spans="2:23" s="0" customFormat="0" ht="15">
      <c r="B3840" s="87" t="s">
        <v>1</v>
      </c>
      <c r="C3840" s="88" t="s">
        <v>5259</v>
      </c>
      <c r="D3840" s="88">
        <v>14742106</v>
      </c>
      <c r="E3840" s="88" t="s">
        <v>61</v>
      </c>
      <c r="F3840" s="88">
        <v>0</v>
      </c>
      <c r="G3840" s="78">
        <f>MAX(H3840,I3840,J3840)</f>
        <v>1</v>
      </c>
      <c r="H3840" s="88"/>
      <c r="I3840" s="88"/>
      <c r="J3840" s="78">
        <f>MAX(K3840:Q3840)</f>
        <v>1</v>
      </c>
      <c r="K3840" s="88">
        <v>1</v>
      </c>
      <c r="L3840" s="88"/>
      <c r="M3840" s="88"/>
      <c r="N3840" s="88"/>
      <c r="O3840" s="88"/>
      <c r="P3840" s="88"/>
      <c r="Q3840" s="88"/>
      <c r="R3840" s="78">
        <f>MAX(S3840:W3840)</f>
        <v>0</v>
      </c>
      <c r="S3840" s="88"/>
      <c r="T3840" s="88"/>
      <c r="U3840" s="88"/>
      <c r="V3840" s="88"/>
      <c r="W3840" s="88"/>
    </row>
    <row r="3841" spans="2:23" s="0" customFormat="0" ht="15">
      <c r="B3841" s="87" t="s">
        <v>1</v>
      </c>
      <c r="C3841" s="88" t="s">
        <v>5259</v>
      </c>
      <c r="D3841" s="88" t="s">
        <v>4843</v>
      </c>
      <c r="E3841" s="88" t="s">
        <v>61</v>
      </c>
      <c r="F3841" s="88">
        <v>0</v>
      </c>
      <c r="G3841" s="78">
        <f>MAX(H3841,I3841,J3841)</f>
        <v>0</v>
      </c>
      <c r="H3841" s="88"/>
      <c r="I3841" s="88"/>
      <c r="J3841" s="78">
        <f>MAX(K3841:Q3841)</f>
        <v>0</v>
      </c>
      <c r="K3841" s="88"/>
      <c r="L3841" s="88"/>
      <c r="M3841" s="88"/>
      <c r="N3841" s="88"/>
      <c r="O3841" s="88"/>
      <c r="P3841" s="88"/>
      <c r="Q3841" s="88"/>
      <c r="R3841" s="78">
        <f>MAX(S3841:W3841)</f>
        <v>1</v>
      </c>
      <c r="S3841" s="88"/>
      <c r="T3841" s="88"/>
      <c r="U3841" s="88">
        <v>1</v>
      </c>
      <c r="V3841" s="88"/>
      <c r="W3841" s="88"/>
    </row>
    <row r="3842" spans="2:23" s="0" customFormat="0" ht="15">
      <c r="B3842" s="87" t="s">
        <v>1</v>
      </c>
      <c r="C3842" s="88" t="s">
        <v>5259</v>
      </c>
      <c r="D3842" s="88" t="s">
        <v>4845</v>
      </c>
      <c r="E3842" s="88" t="s">
        <v>61</v>
      </c>
      <c r="F3842" s="88">
        <v>0</v>
      </c>
      <c r="G3842" s="78">
        <f>MAX(H3842,I3842,J3842)</f>
        <v>0</v>
      </c>
      <c r="H3842" s="88"/>
      <c r="I3842" s="88"/>
      <c r="J3842" s="78">
        <f>MAX(K3842:Q3842)</f>
        <v>0</v>
      </c>
      <c r="K3842" s="88"/>
      <c r="L3842" s="88"/>
      <c r="M3842" s="88"/>
      <c r="N3842" s="88"/>
      <c r="O3842" s="88"/>
      <c r="P3842" s="88"/>
      <c r="Q3842" s="88"/>
      <c r="R3842" s="78">
        <f>MAX(S3842:W3842)</f>
        <v>1</v>
      </c>
      <c r="S3842" s="88"/>
      <c r="T3842" s="88"/>
      <c r="U3842" s="88">
        <v>1</v>
      </c>
      <c r="V3842" s="88"/>
      <c r="W3842" s="88"/>
    </row>
    <row r="3843" spans="2:23" s="0" customFormat="0" ht="15">
      <c r="B3843" s="87" t="s">
        <v>1</v>
      </c>
      <c r="C3843" s="88" t="s">
        <v>5259</v>
      </c>
      <c r="D3843" s="88">
        <v>22623706</v>
      </c>
      <c r="E3843" s="88" t="s">
        <v>61</v>
      </c>
      <c r="F3843" s="88">
        <v>0</v>
      </c>
      <c r="G3843" s="78">
        <f>MAX(H3843,I3843,J3843)</f>
        <v>0</v>
      </c>
      <c r="H3843" s="88"/>
      <c r="I3843" s="88"/>
      <c r="J3843" s="78">
        <f>MAX(K3843:Q3843)</f>
        <v>0</v>
      </c>
      <c r="K3843" s="88"/>
      <c r="L3843" s="88"/>
      <c r="M3843" s="88"/>
      <c r="N3843" s="88"/>
      <c r="O3843" s="88"/>
      <c r="P3843" s="88"/>
      <c r="Q3843" s="88"/>
      <c r="R3843" s="78">
        <f>MAX(S3843:W3843)</f>
        <v>1</v>
      </c>
      <c r="S3843" s="88"/>
      <c r="T3843" s="88"/>
      <c r="U3843" s="88">
        <v>1</v>
      </c>
      <c r="V3843" s="88"/>
      <c r="W3843" s="88"/>
    </row>
    <row r="3844" spans="2:23" s="0" customFormat="0" ht="15">
      <c r="B3844" s="87" t="s">
        <v>1</v>
      </c>
      <c r="C3844" s="88" t="s">
        <v>5259</v>
      </c>
      <c r="D3844" s="88">
        <v>14499833</v>
      </c>
      <c r="E3844" s="88" t="s">
        <v>61</v>
      </c>
      <c r="F3844" s="88">
        <v>0</v>
      </c>
      <c r="G3844" s="78">
        <f>MAX(H3844,I3844,J3844)</f>
        <v>1</v>
      </c>
      <c r="H3844" s="88"/>
      <c r="I3844" s="88"/>
      <c r="J3844" s="78">
        <f>MAX(K3844:Q3844)</f>
        <v>1</v>
      </c>
      <c r="K3844" s="88">
        <v>1</v>
      </c>
      <c r="L3844" s="88"/>
      <c r="M3844" s="88"/>
      <c r="N3844" s="88"/>
      <c r="O3844" s="88"/>
      <c r="P3844" s="88"/>
      <c r="Q3844" s="88"/>
      <c r="R3844" s="78">
        <f>MAX(S3844:W3844)</f>
        <v>0</v>
      </c>
      <c r="S3844" s="88"/>
      <c r="T3844" s="88"/>
      <c r="U3844" s="88"/>
      <c r="V3844" s="88"/>
      <c r="W3844" s="88"/>
    </row>
    <row r="3845" spans="2:23" s="0" customFormat="0" ht="15">
      <c r="B3845" s="87" t="s">
        <v>1</v>
      </c>
      <c r="C3845" s="88" t="s">
        <v>5259</v>
      </c>
      <c r="D3845" s="88">
        <v>22062096</v>
      </c>
      <c r="E3845" s="88" t="s">
        <v>61</v>
      </c>
      <c r="F3845" s="88">
        <v>0</v>
      </c>
      <c r="G3845" s="78">
        <f>MAX(H3845,I3845,J3845)</f>
        <v>1</v>
      </c>
      <c r="H3845" s="88"/>
      <c r="I3845" s="88"/>
      <c r="J3845" s="78">
        <f>MAX(K3845:Q3845)</f>
        <v>1</v>
      </c>
      <c r="K3845" s="88">
        <v>1</v>
      </c>
      <c r="L3845" s="88"/>
      <c r="M3845" s="88"/>
      <c r="N3845" s="88"/>
      <c r="O3845" s="88"/>
      <c r="P3845" s="88"/>
      <c r="Q3845" s="88"/>
      <c r="R3845" s="78">
        <f>MAX(S3845:W3845)</f>
        <v>0</v>
      </c>
      <c r="S3845" s="88"/>
      <c r="T3845" s="88"/>
      <c r="U3845" s="88"/>
      <c r="V3845" s="88"/>
      <c r="W3845" s="88"/>
    </row>
    <row r="3846" spans="2:23" s="0" customFormat="0" ht="15">
      <c r="B3846" s="87" t="s">
        <v>1</v>
      </c>
      <c r="C3846" s="88" t="s">
        <v>5259</v>
      </c>
      <c r="D3846" s="88">
        <v>18746166</v>
      </c>
      <c r="E3846" s="88" t="s">
        <v>61</v>
      </c>
      <c r="F3846" s="88">
        <v>0</v>
      </c>
      <c r="G3846" s="78">
        <f>MAX(H3846,I3846,J3846)</f>
        <v>0</v>
      </c>
      <c r="H3846" s="88"/>
      <c r="I3846" s="88"/>
      <c r="J3846" s="78">
        <f>MAX(K3846:Q3846)</f>
        <v>0</v>
      </c>
      <c r="K3846" s="88"/>
      <c r="L3846" s="88"/>
      <c r="M3846" s="88"/>
      <c r="N3846" s="88"/>
      <c r="O3846" s="88"/>
      <c r="P3846" s="88"/>
      <c r="Q3846" s="88"/>
      <c r="R3846" s="78">
        <f>MAX(S3846:W3846)</f>
        <v>1</v>
      </c>
      <c r="S3846" s="88"/>
      <c r="T3846" s="88"/>
      <c r="U3846" s="88">
        <v>1</v>
      </c>
      <c r="V3846" s="88"/>
      <c r="W3846" s="88"/>
    </row>
    <row r="3847" spans="2:23" s="0" customFormat="0" ht="15">
      <c r="B3847" s="87" t="s">
        <v>1</v>
      </c>
      <c r="C3847" s="88" t="s">
        <v>5259</v>
      </c>
      <c r="D3847" s="88">
        <v>2118871</v>
      </c>
      <c r="E3847" s="88" t="s">
        <v>61</v>
      </c>
      <c r="F3847" s="88">
        <v>0</v>
      </c>
      <c r="G3847" s="78">
        <f>MAX(H3847,I3847,J3847)</f>
        <v>1</v>
      </c>
      <c r="H3847" s="88"/>
      <c r="I3847" s="88"/>
      <c r="J3847" s="78">
        <f>MAX(K3847:Q3847)</f>
        <v>1</v>
      </c>
      <c r="K3847" s="88">
        <v>1</v>
      </c>
      <c r="L3847" s="88"/>
      <c r="M3847" s="88"/>
      <c r="N3847" s="88"/>
      <c r="O3847" s="88"/>
      <c r="P3847" s="88"/>
      <c r="Q3847" s="88"/>
      <c r="R3847" s="78">
        <f>MAX(S3847:W3847)</f>
        <v>0</v>
      </c>
      <c r="S3847" s="88"/>
      <c r="T3847" s="88"/>
      <c r="U3847" s="88"/>
      <c r="V3847" s="88"/>
      <c r="W3847" s="88"/>
    </row>
    <row r="3848" spans="2:23" s="0" customFormat="0" ht="15">
      <c r="B3848" s="87" t="s">
        <v>1</v>
      </c>
      <c r="C3848" s="88" t="s">
        <v>5259</v>
      </c>
      <c r="D3848" s="88" t="s">
        <v>3227</v>
      </c>
      <c r="E3848" s="88" t="s">
        <v>61</v>
      </c>
      <c r="F3848" s="88">
        <v>0</v>
      </c>
      <c r="G3848" s="78">
        <f>MAX(H3848,I3848,J3848)</f>
        <v>0</v>
      </c>
      <c r="H3848" s="88"/>
      <c r="I3848" s="88"/>
      <c r="J3848" s="78">
        <f>MAX(K3848:Q3848)</f>
        <v>0</v>
      </c>
      <c r="K3848" s="88"/>
      <c r="L3848" s="88"/>
      <c r="M3848" s="88"/>
      <c r="N3848" s="88"/>
      <c r="O3848" s="88"/>
      <c r="P3848" s="88"/>
      <c r="Q3848" s="88"/>
      <c r="R3848" s="78">
        <f>MAX(S3848:W3848)</f>
        <v>1</v>
      </c>
      <c r="S3848" s="88"/>
      <c r="T3848" s="88"/>
      <c r="U3848" s="88"/>
      <c r="V3848" s="88">
        <v>1</v>
      </c>
      <c r="W3848" s="88"/>
    </row>
    <row r="3849" spans="2:23" s="0" customFormat="0" ht="15">
      <c r="B3849" s="87" t="s">
        <v>1</v>
      </c>
      <c r="C3849" s="88" t="s">
        <v>5259</v>
      </c>
      <c r="D3849" s="88">
        <v>12331144</v>
      </c>
      <c r="E3849" s="88" t="s">
        <v>61</v>
      </c>
      <c r="F3849" s="88">
        <v>0</v>
      </c>
      <c r="G3849" s="78">
        <f>MAX(H3849,I3849,J3849)</f>
        <v>1</v>
      </c>
      <c r="H3849" s="88"/>
      <c r="I3849" s="88"/>
      <c r="J3849" s="78">
        <f>MAX(K3849:Q3849)</f>
        <v>1</v>
      </c>
      <c r="K3849" s="88">
        <v>1</v>
      </c>
      <c r="L3849" s="88"/>
      <c r="M3849" s="88"/>
      <c r="N3849" s="88"/>
      <c r="O3849" s="88"/>
      <c r="P3849" s="88"/>
      <c r="Q3849" s="88"/>
      <c r="R3849" s="78">
        <f>MAX(S3849:W3849)</f>
        <v>0</v>
      </c>
      <c r="S3849" s="88"/>
      <c r="T3849" s="88"/>
      <c r="U3849" s="88"/>
      <c r="V3849" s="88"/>
      <c r="W3849" s="88"/>
    </row>
    <row r="3850" spans="2:23" s="0" customFormat="0" ht="15">
      <c r="B3850" s="87" t="s">
        <v>1</v>
      </c>
      <c r="C3850" s="88" t="s">
        <v>5259</v>
      </c>
      <c r="D3850" s="88">
        <v>22623654</v>
      </c>
      <c r="E3850" s="88" t="s">
        <v>61</v>
      </c>
      <c r="F3850" s="88">
        <v>0</v>
      </c>
      <c r="G3850" s="78">
        <f>MAX(H3850,I3850,J3850)</f>
        <v>0</v>
      </c>
      <c r="H3850" s="88"/>
      <c r="I3850" s="88"/>
      <c r="J3850" s="78">
        <f>MAX(K3850:Q3850)</f>
        <v>0</v>
      </c>
      <c r="K3850" s="88"/>
      <c r="L3850" s="88"/>
      <c r="M3850" s="88"/>
      <c r="N3850" s="88"/>
      <c r="O3850" s="88"/>
      <c r="P3850" s="88"/>
      <c r="Q3850" s="88"/>
      <c r="R3850" s="78">
        <f>MAX(S3850:W3850)</f>
        <v>1</v>
      </c>
      <c r="S3850" s="88"/>
      <c r="T3850" s="88"/>
      <c r="U3850" s="88">
        <v>1</v>
      </c>
      <c r="V3850" s="88"/>
      <c r="W3850" s="88"/>
    </row>
    <row r="3851" spans="2:23" s="0" customFormat="0" ht="15">
      <c r="B3851" s="87" t="s">
        <v>1</v>
      </c>
      <c r="C3851" s="88" t="s">
        <v>5259</v>
      </c>
      <c r="D3851" s="88" t="s">
        <v>4849</v>
      </c>
      <c r="E3851" s="88" t="s">
        <v>61</v>
      </c>
      <c r="F3851" s="88">
        <v>0</v>
      </c>
      <c r="G3851" s="78">
        <f>MAX(H3851,I3851,J3851)</f>
        <v>0</v>
      </c>
      <c r="H3851" s="88"/>
      <c r="I3851" s="88"/>
      <c r="J3851" s="78">
        <f>MAX(K3851:Q3851)</f>
        <v>0</v>
      </c>
      <c r="K3851" s="88"/>
      <c r="L3851" s="88"/>
      <c r="M3851" s="88"/>
      <c r="N3851" s="88"/>
      <c r="O3851" s="88"/>
      <c r="P3851" s="88"/>
      <c r="Q3851" s="88"/>
      <c r="R3851" s="78">
        <f>MAX(S3851:W3851)</f>
        <v>1</v>
      </c>
      <c r="S3851" s="88"/>
      <c r="T3851" s="88"/>
      <c r="U3851" s="88">
        <v>1</v>
      </c>
      <c r="V3851" s="88"/>
      <c r="W3851" s="88"/>
    </row>
    <row r="3852" spans="2:23" s="0" customFormat="0" ht="15">
      <c r="B3852" s="87" t="s">
        <v>1</v>
      </c>
      <c r="C3852" s="88" t="s">
        <v>5259</v>
      </c>
      <c r="D3852" s="88">
        <v>11835384</v>
      </c>
      <c r="E3852" s="88" t="s">
        <v>61</v>
      </c>
      <c r="F3852" s="88">
        <v>0</v>
      </c>
      <c r="G3852" s="78">
        <f>MAX(H3852,I3852,J3852)</f>
        <v>1</v>
      </c>
      <c r="H3852" s="88"/>
      <c r="I3852" s="88"/>
      <c r="J3852" s="78">
        <f>MAX(K3852:Q3852)</f>
        <v>1</v>
      </c>
      <c r="K3852" s="88">
        <v>1</v>
      </c>
      <c r="L3852" s="88"/>
      <c r="M3852" s="88"/>
      <c r="N3852" s="88"/>
      <c r="O3852" s="88"/>
      <c r="P3852" s="88"/>
      <c r="Q3852" s="88"/>
      <c r="R3852" s="78">
        <f>MAX(S3852:W3852)</f>
        <v>0</v>
      </c>
      <c r="S3852" s="88"/>
      <c r="T3852" s="88"/>
      <c r="U3852" s="88"/>
      <c r="V3852" s="88"/>
      <c r="W3852" s="88"/>
    </row>
    <row r="3853" spans="2:23" s="0" customFormat="0" ht="15">
      <c r="B3853" s="87" t="s">
        <v>1</v>
      </c>
      <c r="C3853" s="88" t="s">
        <v>5259</v>
      </c>
      <c r="D3853" s="88">
        <v>4341995</v>
      </c>
      <c r="E3853" s="88" t="s">
        <v>61</v>
      </c>
      <c r="F3853" s="88">
        <v>0</v>
      </c>
      <c r="G3853" s="78">
        <f>MAX(H3853,I3853,J3853)</f>
        <v>1</v>
      </c>
      <c r="H3853" s="88"/>
      <c r="I3853" s="88"/>
      <c r="J3853" s="78">
        <f>MAX(K3853:Q3853)</f>
        <v>1</v>
      </c>
      <c r="K3853" s="88">
        <v>1</v>
      </c>
      <c r="L3853" s="88"/>
      <c r="M3853" s="88"/>
      <c r="N3853" s="88"/>
      <c r="O3853" s="88"/>
      <c r="P3853" s="88"/>
      <c r="Q3853" s="88"/>
      <c r="R3853" s="78">
        <f>MAX(S3853:W3853)</f>
        <v>0</v>
      </c>
      <c r="S3853" s="88"/>
      <c r="T3853" s="88"/>
      <c r="U3853" s="88"/>
      <c r="V3853" s="88"/>
      <c r="W3853" s="88"/>
    </row>
    <row r="3854" spans="2:23" s="0" customFormat="0" ht="15">
      <c r="B3854" s="87" t="s">
        <v>1</v>
      </c>
      <c r="C3854" s="88" t="s">
        <v>5259</v>
      </c>
      <c r="D3854" s="88">
        <v>19272727</v>
      </c>
      <c r="E3854" s="88" t="s">
        <v>61</v>
      </c>
      <c r="F3854" s="88">
        <v>0</v>
      </c>
      <c r="G3854" s="78">
        <f>MAX(H3854,I3854,J3854)</f>
        <v>1</v>
      </c>
      <c r="H3854" s="88"/>
      <c r="I3854" s="88"/>
      <c r="J3854" s="78">
        <f>MAX(K3854:Q3854)</f>
        <v>1</v>
      </c>
      <c r="K3854" s="88">
        <v>1</v>
      </c>
      <c r="L3854" s="88"/>
      <c r="M3854" s="88"/>
      <c r="N3854" s="88"/>
      <c r="O3854" s="88"/>
      <c r="P3854" s="88"/>
      <c r="Q3854" s="88"/>
      <c r="R3854" s="78">
        <f>MAX(S3854:W3854)</f>
        <v>0</v>
      </c>
      <c r="S3854" s="88"/>
      <c r="T3854" s="88"/>
      <c r="U3854" s="88"/>
      <c r="V3854" s="88"/>
      <c r="W3854" s="88"/>
    </row>
    <row r="3855" spans="2:23" s="0" customFormat="0" ht="15">
      <c r="B3855" s="87" t="s">
        <v>1</v>
      </c>
      <c r="C3855" s="88" t="s">
        <v>5259</v>
      </c>
      <c r="D3855" s="88" t="s">
        <v>4747</v>
      </c>
      <c r="E3855" s="88" t="s">
        <v>61</v>
      </c>
      <c r="F3855" s="88">
        <v>0</v>
      </c>
      <c r="G3855" s="78">
        <f>MAX(H3855,I3855,J3855)</f>
        <v>0</v>
      </c>
      <c r="H3855" s="88"/>
      <c r="I3855" s="88"/>
      <c r="J3855" s="78">
        <f>MAX(K3855:Q3855)</f>
        <v>0</v>
      </c>
      <c r="K3855" s="88"/>
      <c r="L3855" s="88"/>
      <c r="M3855" s="88"/>
      <c r="N3855" s="88"/>
      <c r="O3855" s="88"/>
      <c r="P3855" s="88"/>
      <c r="Q3855" s="88"/>
      <c r="R3855" s="78">
        <f>MAX(S3855:W3855)</f>
        <v>1</v>
      </c>
      <c r="S3855" s="88"/>
      <c r="T3855" s="88"/>
      <c r="U3855" s="88">
        <v>1</v>
      </c>
      <c r="V3855" s="88"/>
      <c r="W3855" s="88"/>
    </row>
    <row r="3856" spans="2:23" s="0" customFormat="0" ht="15">
      <c r="B3856" s="87" t="s">
        <v>1</v>
      </c>
      <c r="C3856" s="88" t="s">
        <v>5259</v>
      </c>
      <c r="D3856" s="88">
        <v>24326074</v>
      </c>
      <c r="E3856" s="88" t="s">
        <v>61</v>
      </c>
      <c r="F3856" s="88">
        <v>0</v>
      </c>
      <c r="G3856" s="78">
        <f>MAX(H3856,I3856,J3856)</f>
        <v>1</v>
      </c>
      <c r="H3856" s="88"/>
      <c r="I3856" s="88"/>
      <c r="J3856" s="78">
        <f>MAX(K3856:Q3856)</f>
        <v>1</v>
      </c>
      <c r="K3856" s="88">
        <v>1</v>
      </c>
      <c r="L3856" s="88"/>
      <c r="M3856" s="88"/>
      <c r="N3856" s="88"/>
      <c r="O3856" s="88"/>
      <c r="P3856" s="88"/>
      <c r="Q3856" s="88"/>
      <c r="R3856" s="78">
        <f>MAX(S3856:W3856)</f>
        <v>0</v>
      </c>
      <c r="S3856" s="88"/>
      <c r="T3856" s="88"/>
      <c r="U3856" s="88"/>
      <c r="V3856" s="88"/>
      <c r="W3856" s="88"/>
    </row>
    <row r="3857" spans="2:23" s="0" customFormat="0" ht="15">
      <c r="B3857" s="87" t="s">
        <v>1</v>
      </c>
      <c r="C3857" s="88" t="s">
        <v>5259</v>
      </c>
      <c r="D3857" s="88" t="s">
        <v>2399</v>
      </c>
      <c r="E3857" s="88" t="s">
        <v>61</v>
      </c>
      <c r="F3857" s="88">
        <v>0</v>
      </c>
      <c r="G3857" s="78">
        <f>MAX(H3857,I3857,J3857)</f>
        <v>1</v>
      </c>
      <c r="H3857" s="88"/>
      <c r="I3857" s="88"/>
      <c r="J3857" s="78">
        <f>MAX(K3857:Q3857)</f>
        <v>1</v>
      </c>
      <c r="K3857" s="88">
        <v>1</v>
      </c>
      <c r="L3857" s="88"/>
      <c r="M3857" s="88"/>
      <c r="N3857" s="88"/>
      <c r="O3857" s="88"/>
      <c r="P3857" s="88"/>
      <c r="Q3857" s="88"/>
      <c r="R3857" s="78">
        <f>MAX(S3857:W3857)</f>
        <v>0</v>
      </c>
      <c r="S3857" s="88"/>
      <c r="T3857" s="88"/>
      <c r="U3857" s="88"/>
      <c r="V3857" s="88"/>
      <c r="W3857" s="88"/>
    </row>
    <row r="3858" spans="2:23" s="0" customFormat="0" ht="15">
      <c r="B3858" s="87" t="s">
        <v>1</v>
      </c>
      <c r="C3858" s="88" t="s">
        <v>5259</v>
      </c>
      <c r="D3858" s="88">
        <v>17822146</v>
      </c>
      <c r="E3858" s="88" t="s">
        <v>61</v>
      </c>
      <c r="F3858" s="88">
        <v>0</v>
      </c>
      <c r="G3858" s="78">
        <f>MAX(H3858,I3858,J3858)</f>
        <v>1</v>
      </c>
      <c r="H3858" s="88"/>
      <c r="I3858" s="88"/>
      <c r="J3858" s="78">
        <f>MAX(K3858:Q3858)</f>
        <v>1</v>
      </c>
      <c r="K3858" s="88">
        <v>1</v>
      </c>
      <c r="L3858" s="88"/>
      <c r="M3858" s="88"/>
      <c r="N3858" s="88"/>
      <c r="O3858" s="88"/>
      <c r="P3858" s="88"/>
      <c r="Q3858" s="88"/>
      <c r="R3858" s="78">
        <f>MAX(S3858:W3858)</f>
        <v>0</v>
      </c>
      <c r="S3858" s="88"/>
      <c r="T3858" s="88"/>
      <c r="U3858" s="88"/>
      <c r="V3858" s="88"/>
      <c r="W3858" s="88"/>
    </row>
    <row r="3859" spans="2:23" s="0" customFormat="0" ht="15">
      <c r="B3859" s="87" t="s">
        <v>1</v>
      </c>
      <c r="C3859" s="88" t="s">
        <v>5259</v>
      </c>
      <c r="D3859" s="88">
        <v>14504645</v>
      </c>
      <c r="E3859" s="88" t="s">
        <v>61</v>
      </c>
      <c r="F3859" s="88">
        <v>0</v>
      </c>
      <c r="G3859" s="78">
        <f>MAX(H3859,I3859,J3859)</f>
        <v>0</v>
      </c>
      <c r="H3859" s="88"/>
      <c r="I3859" s="88"/>
      <c r="J3859" s="78">
        <f>MAX(K3859:Q3859)</f>
        <v>0</v>
      </c>
      <c r="K3859" s="88"/>
      <c r="L3859" s="88"/>
      <c r="M3859" s="88"/>
      <c r="N3859" s="88"/>
      <c r="O3859" s="88"/>
      <c r="P3859" s="88"/>
      <c r="Q3859" s="88"/>
      <c r="R3859" s="78">
        <f>MAX(S3859:W3859)</f>
        <v>1</v>
      </c>
      <c r="S3859" s="88"/>
      <c r="T3859" s="88"/>
      <c r="U3859" s="88">
        <v>1</v>
      </c>
      <c r="V3859" s="88"/>
      <c r="W3859" s="88"/>
    </row>
    <row r="3860" spans="2:23" s="0" customFormat="0" ht="15">
      <c r="B3860" s="87" t="s">
        <v>1</v>
      </c>
      <c r="C3860" s="88" t="s">
        <v>5259</v>
      </c>
      <c r="D3860" s="88" t="s">
        <v>1147</v>
      </c>
      <c r="E3860" s="88" t="s">
        <v>61</v>
      </c>
      <c r="F3860" s="88">
        <v>0</v>
      </c>
      <c r="G3860" s="78">
        <f>MAX(H3860,I3860,J3860)</f>
        <v>1</v>
      </c>
      <c r="H3860" s="88"/>
      <c r="I3860" s="88"/>
      <c r="J3860" s="78">
        <f>MAX(K3860:Q3860)</f>
        <v>1</v>
      </c>
      <c r="K3860" s="88">
        <v>1</v>
      </c>
      <c r="L3860" s="88"/>
      <c r="M3860" s="88"/>
      <c r="N3860" s="88"/>
      <c r="O3860" s="88"/>
      <c r="P3860" s="88"/>
      <c r="Q3860" s="88"/>
      <c r="R3860" s="78">
        <f>MAX(S3860:W3860)</f>
        <v>0</v>
      </c>
      <c r="S3860" s="88"/>
      <c r="T3860" s="88"/>
      <c r="U3860" s="88"/>
      <c r="V3860" s="88"/>
      <c r="W3860" s="88"/>
    </row>
    <row r="3861" spans="2:23" s="0" customFormat="0" ht="15">
      <c r="B3861" s="87" t="s">
        <v>1</v>
      </c>
      <c r="C3861" s="88" t="s">
        <v>5259</v>
      </c>
      <c r="D3861" s="88" t="s">
        <v>4851</v>
      </c>
      <c r="E3861" s="88" t="s">
        <v>61</v>
      </c>
      <c r="F3861" s="88">
        <v>0</v>
      </c>
      <c r="G3861" s="78">
        <f>MAX(H3861,I3861,J3861)</f>
        <v>0</v>
      </c>
      <c r="H3861" s="88"/>
      <c r="I3861" s="88"/>
      <c r="J3861" s="78">
        <f>MAX(K3861:Q3861)</f>
        <v>0</v>
      </c>
      <c r="K3861" s="88"/>
      <c r="L3861" s="88"/>
      <c r="M3861" s="88"/>
      <c r="N3861" s="88"/>
      <c r="O3861" s="88"/>
      <c r="P3861" s="88"/>
      <c r="Q3861" s="88"/>
      <c r="R3861" s="78">
        <f>MAX(S3861:W3861)</f>
        <v>1</v>
      </c>
      <c r="S3861" s="88"/>
      <c r="T3861" s="88"/>
      <c r="U3861" s="88">
        <v>1</v>
      </c>
      <c r="V3861" s="88"/>
      <c r="W3861" s="88"/>
    </row>
    <row r="3862" spans="2:23" s="0" customFormat="0" ht="15">
      <c r="B3862" s="87" t="s">
        <v>1</v>
      </c>
      <c r="C3862" s="88" t="s">
        <v>5259</v>
      </c>
      <c r="D3862" s="88" t="s">
        <v>4853</v>
      </c>
      <c r="E3862" s="88" t="s">
        <v>61</v>
      </c>
      <c r="F3862" s="88">
        <v>0</v>
      </c>
      <c r="G3862" s="78">
        <f>MAX(H3862,I3862,J3862)</f>
        <v>0</v>
      </c>
      <c r="H3862" s="88"/>
      <c r="I3862" s="88"/>
      <c r="J3862" s="78">
        <f>MAX(K3862:Q3862)</f>
        <v>0</v>
      </c>
      <c r="K3862" s="88"/>
      <c r="L3862" s="88"/>
      <c r="M3862" s="88"/>
      <c r="N3862" s="88"/>
      <c r="O3862" s="88"/>
      <c r="P3862" s="88"/>
      <c r="Q3862" s="88"/>
      <c r="R3862" s="78">
        <f>MAX(S3862:W3862)</f>
        <v>1</v>
      </c>
      <c r="S3862" s="88"/>
      <c r="T3862" s="88"/>
      <c r="U3862" s="88">
        <v>1</v>
      </c>
      <c r="V3862" s="88"/>
      <c r="W3862" s="88"/>
    </row>
    <row r="3863" spans="2:23" s="0" customFormat="0" ht="15">
      <c r="B3863" s="87" t="s">
        <v>1</v>
      </c>
      <c r="C3863" s="88" t="s">
        <v>5259</v>
      </c>
      <c r="D3863" s="88">
        <v>22930280</v>
      </c>
      <c r="E3863" s="88" t="s">
        <v>61</v>
      </c>
      <c r="F3863" s="88">
        <v>0</v>
      </c>
      <c r="G3863" s="78">
        <f>MAX(H3863,I3863,J3863)</f>
        <v>1</v>
      </c>
      <c r="H3863" s="88"/>
      <c r="I3863" s="88"/>
      <c r="J3863" s="78">
        <f>MAX(K3863:Q3863)</f>
        <v>1</v>
      </c>
      <c r="K3863" s="88">
        <v>1</v>
      </c>
      <c r="L3863" s="88"/>
      <c r="M3863" s="88"/>
      <c r="N3863" s="88"/>
      <c r="O3863" s="88"/>
      <c r="P3863" s="88"/>
      <c r="Q3863" s="88"/>
      <c r="R3863" s="78">
        <f>MAX(S3863:W3863)</f>
        <v>0</v>
      </c>
      <c r="S3863" s="88"/>
      <c r="T3863" s="88"/>
      <c r="U3863" s="88"/>
      <c r="V3863" s="88"/>
      <c r="W3863" s="88"/>
    </row>
    <row r="3864" spans="2:23" s="0" customFormat="0" ht="15">
      <c r="B3864" s="87" t="s">
        <v>1</v>
      </c>
      <c r="C3864" s="88" t="s">
        <v>5259</v>
      </c>
      <c r="D3864" s="88" t="s">
        <v>4817</v>
      </c>
      <c r="E3864" s="88" t="s">
        <v>61</v>
      </c>
      <c r="F3864" s="88">
        <v>0</v>
      </c>
      <c r="G3864" s="78">
        <f>MAX(H3864,I3864,J3864)</f>
        <v>0</v>
      </c>
      <c r="H3864" s="88"/>
      <c r="I3864" s="88"/>
      <c r="J3864" s="78">
        <f>MAX(K3864:Q3864)</f>
        <v>0</v>
      </c>
      <c r="K3864" s="88"/>
      <c r="L3864" s="88"/>
      <c r="M3864" s="88"/>
      <c r="N3864" s="88"/>
      <c r="O3864" s="88"/>
      <c r="P3864" s="88"/>
      <c r="Q3864" s="88"/>
      <c r="R3864" s="78">
        <f>MAX(S3864:W3864)</f>
        <v>1</v>
      </c>
      <c r="S3864" s="88"/>
      <c r="T3864" s="88"/>
      <c r="U3864" s="88">
        <v>1</v>
      </c>
      <c r="V3864" s="88"/>
      <c r="W3864" s="88"/>
    </row>
    <row r="3865" spans="2:23" s="0" customFormat="0" ht="15">
      <c r="B3865" s="87" t="s">
        <v>1</v>
      </c>
      <c r="C3865" s="88" t="s">
        <v>5259</v>
      </c>
      <c r="D3865" s="88">
        <v>14741153</v>
      </c>
      <c r="E3865" s="88" t="s">
        <v>61</v>
      </c>
      <c r="F3865" s="88">
        <v>0</v>
      </c>
      <c r="G3865" s="78">
        <f>MAX(H3865,I3865,J3865)</f>
        <v>1</v>
      </c>
      <c r="H3865" s="88"/>
      <c r="I3865" s="88"/>
      <c r="J3865" s="78">
        <f>MAX(K3865:Q3865)</f>
        <v>1</v>
      </c>
      <c r="K3865" s="88">
        <v>1</v>
      </c>
      <c r="L3865" s="88"/>
      <c r="M3865" s="88"/>
      <c r="N3865" s="88"/>
      <c r="O3865" s="88"/>
      <c r="P3865" s="88"/>
      <c r="Q3865" s="88"/>
      <c r="R3865" s="78">
        <f>MAX(S3865:W3865)</f>
        <v>0</v>
      </c>
      <c r="S3865" s="88"/>
      <c r="T3865" s="88"/>
      <c r="U3865" s="88"/>
      <c r="V3865" s="88"/>
      <c r="W3865" s="88"/>
    </row>
    <row r="3866" spans="2:23" s="0" customFormat="0" ht="15">
      <c r="B3866" s="87" t="s">
        <v>1</v>
      </c>
      <c r="C3866" s="88" t="s">
        <v>5259</v>
      </c>
      <c r="D3866" s="88" t="s">
        <v>4855</v>
      </c>
      <c r="E3866" s="88" t="s">
        <v>61</v>
      </c>
      <c r="F3866" s="88">
        <v>0</v>
      </c>
      <c r="G3866" s="78">
        <f>MAX(H3866,I3866,J3866)</f>
        <v>0</v>
      </c>
      <c r="H3866" s="88"/>
      <c r="I3866" s="88"/>
      <c r="J3866" s="78">
        <f>MAX(K3866:Q3866)</f>
        <v>0</v>
      </c>
      <c r="K3866" s="88"/>
      <c r="L3866" s="88"/>
      <c r="M3866" s="88"/>
      <c r="N3866" s="88"/>
      <c r="O3866" s="88"/>
      <c r="P3866" s="88"/>
      <c r="Q3866" s="88"/>
      <c r="R3866" s="78">
        <f>MAX(S3866:W3866)</f>
        <v>1</v>
      </c>
      <c r="S3866" s="88"/>
      <c r="T3866" s="88"/>
      <c r="U3866" s="88">
        <v>1</v>
      </c>
      <c r="V3866" s="88"/>
      <c r="W3866" s="88"/>
    </row>
    <row r="3867" spans="2:23" s="0" customFormat="0" ht="15">
      <c r="B3867" s="87" t="s">
        <v>1</v>
      </c>
      <c r="C3867" s="88" t="s">
        <v>5259</v>
      </c>
      <c r="D3867" s="88">
        <v>23457587</v>
      </c>
      <c r="E3867" s="88" t="s">
        <v>61</v>
      </c>
      <c r="F3867" s="88">
        <v>0</v>
      </c>
      <c r="G3867" s="78">
        <f>MAX(H3867,I3867,J3867)</f>
        <v>1</v>
      </c>
      <c r="H3867" s="88"/>
      <c r="I3867" s="88"/>
      <c r="J3867" s="78">
        <f>MAX(K3867:Q3867)</f>
        <v>1</v>
      </c>
      <c r="K3867" s="88">
        <v>1</v>
      </c>
      <c r="L3867" s="88"/>
      <c r="M3867" s="88"/>
      <c r="N3867" s="88"/>
      <c r="O3867" s="88"/>
      <c r="P3867" s="88"/>
      <c r="Q3867" s="88"/>
      <c r="R3867" s="78">
        <f>MAX(S3867:W3867)</f>
        <v>0</v>
      </c>
      <c r="S3867" s="88"/>
      <c r="T3867" s="88"/>
      <c r="U3867" s="88"/>
      <c r="V3867" s="88"/>
      <c r="W3867" s="88"/>
    </row>
    <row r="3868" spans="2:23" s="0" customFormat="0" ht="15">
      <c r="B3868" s="87" t="s">
        <v>1</v>
      </c>
      <c r="C3868" s="88" t="s">
        <v>5259</v>
      </c>
      <c r="D3868" s="88">
        <v>7821787</v>
      </c>
      <c r="E3868" s="88" t="s">
        <v>61</v>
      </c>
      <c r="F3868" s="88">
        <v>0</v>
      </c>
      <c r="G3868" s="78">
        <f>MAX(H3868,I3868,J3868)</f>
        <v>1</v>
      </c>
      <c r="H3868" s="88"/>
      <c r="I3868" s="88"/>
      <c r="J3868" s="78">
        <f>MAX(K3868:Q3868)</f>
        <v>1</v>
      </c>
      <c r="K3868" s="88">
        <v>1</v>
      </c>
      <c r="L3868" s="88"/>
      <c r="M3868" s="88"/>
      <c r="N3868" s="88"/>
      <c r="O3868" s="88"/>
      <c r="P3868" s="88"/>
      <c r="Q3868" s="88"/>
      <c r="R3868" s="78">
        <f>MAX(S3868:W3868)</f>
        <v>0</v>
      </c>
      <c r="S3868" s="88"/>
      <c r="T3868" s="88"/>
      <c r="U3868" s="88"/>
      <c r="V3868" s="88"/>
      <c r="W3868" s="88"/>
    </row>
    <row r="3869" spans="2:23" s="0" customFormat="0" ht="15">
      <c r="B3869" s="87" t="s">
        <v>1</v>
      </c>
      <c r="C3869" s="88" t="s">
        <v>5259</v>
      </c>
      <c r="D3869" s="88" t="s">
        <v>4857</v>
      </c>
      <c r="E3869" s="88" t="s">
        <v>61</v>
      </c>
      <c r="F3869" s="88">
        <v>0</v>
      </c>
      <c r="G3869" s="78">
        <f>MAX(H3869,I3869,J3869)</f>
        <v>0</v>
      </c>
      <c r="H3869" s="88"/>
      <c r="I3869" s="88"/>
      <c r="J3869" s="78">
        <f>MAX(K3869:Q3869)</f>
        <v>0</v>
      </c>
      <c r="K3869" s="88"/>
      <c r="L3869" s="88"/>
      <c r="M3869" s="88"/>
      <c r="N3869" s="88"/>
      <c r="O3869" s="88"/>
      <c r="P3869" s="88"/>
      <c r="Q3869" s="88"/>
      <c r="R3869" s="78">
        <f>MAX(S3869:W3869)</f>
        <v>1</v>
      </c>
      <c r="S3869" s="88"/>
      <c r="T3869" s="88"/>
      <c r="U3869" s="88">
        <v>1</v>
      </c>
      <c r="V3869" s="88"/>
      <c r="W3869" s="88"/>
    </row>
    <row r="3870" spans="2:23" s="0" customFormat="0" ht="15">
      <c r="B3870" s="87" t="s">
        <v>1</v>
      </c>
      <c r="C3870" s="88" t="s">
        <v>5259</v>
      </c>
      <c r="D3870" s="88" t="s">
        <v>4244</v>
      </c>
      <c r="E3870" s="88" t="s">
        <v>61</v>
      </c>
      <c r="F3870" s="88">
        <v>0</v>
      </c>
      <c r="G3870" s="78">
        <f>MAX(H3870,I3870,J3870)</f>
        <v>0</v>
      </c>
      <c r="H3870" s="88"/>
      <c r="I3870" s="88"/>
      <c r="J3870" s="78">
        <f>MAX(K3870:Q3870)</f>
        <v>0</v>
      </c>
      <c r="K3870" s="88"/>
      <c r="L3870" s="88"/>
      <c r="M3870" s="88"/>
      <c r="N3870" s="88"/>
      <c r="O3870" s="88"/>
      <c r="P3870" s="88"/>
      <c r="Q3870" s="88"/>
      <c r="R3870" s="78">
        <f>MAX(S3870:W3870)</f>
        <v>1</v>
      </c>
      <c r="S3870" s="88"/>
      <c r="T3870" s="88"/>
      <c r="U3870" s="88">
        <v>1</v>
      </c>
      <c r="V3870" s="88"/>
      <c r="W3870" s="88"/>
    </row>
    <row r="3871" spans="2:23" s="0" customFormat="0" ht="15">
      <c r="B3871" s="87" t="s">
        <v>1</v>
      </c>
      <c r="C3871" s="88" t="s">
        <v>5259</v>
      </c>
      <c r="D3871" s="88" t="s">
        <v>4859</v>
      </c>
      <c r="E3871" s="88" t="s">
        <v>61</v>
      </c>
      <c r="F3871" s="88">
        <v>0</v>
      </c>
      <c r="G3871" s="78">
        <f>MAX(H3871,I3871,J3871)</f>
        <v>0</v>
      </c>
      <c r="H3871" s="88"/>
      <c r="I3871" s="88"/>
      <c r="J3871" s="78">
        <f>MAX(K3871:Q3871)</f>
        <v>0</v>
      </c>
      <c r="K3871" s="88"/>
      <c r="L3871" s="88"/>
      <c r="M3871" s="88"/>
      <c r="N3871" s="88"/>
      <c r="O3871" s="88"/>
      <c r="P3871" s="88"/>
      <c r="Q3871" s="88"/>
      <c r="R3871" s="78">
        <f>MAX(S3871:W3871)</f>
        <v>1</v>
      </c>
      <c r="S3871" s="88"/>
      <c r="T3871" s="88"/>
      <c r="U3871" s="88">
        <v>1</v>
      </c>
      <c r="V3871" s="88"/>
      <c r="W3871" s="88"/>
    </row>
    <row r="3872" spans="2:23" s="0" customFormat="0" ht="15">
      <c r="B3872" s="87" t="s">
        <v>1</v>
      </c>
      <c r="C3872" s="88" t="s">
        <v>5259</v>
      </c>
      <c r="D3872" s="88">
        <v>7734423</v>
      </c>
      <c r="E3872" s="88" t="s">
        <v>61</v>
      </c>
      <c r="F3872" s="88">
        <v>0</v>
      </c>
      <c r="G3872" s="78">
        <f>MAX(H3872,I3872,J3872)</f>
        <v>1</v>
      </c>
      <c r="H3872" s="88"/>
      <c r="I3872" s="88"/>
      <c r="J3872" s="78">
        <f>MAX(K3872:Q3872)</f>
        <v>1</v>
      </c>
      <c r="K3872" s="88">
        <v>1</v>
      </c>
      <c r="L3872" s="88"/>
      <c r="M3872" s="88"/>
      <c r="N3872" s="88"/>
      <c r="O3872" s="88"/>
      <c r="P3872" s="88"/>
      <c r="Q3872" s="88"/>
      <c r="R3872" s="78">
        <f>MAX(S3872:W3872)</f>
        <v>0</v>
      </c>
      <c r="S3872" s="88"/>
      <c r="T3872" s="88"/>
      <c r="U3872" s="88"/>
      <c r="V3872" s="88"/>
      <c r="W3872" s="88"/>
    </row>
    <row r="3873" spans="2:23" s="0" customFormat="0" ht="15">
      <c r="B3873" s="87" t="s">
        <v>1</v>
      </c>
      <c r="C3873" s="88" t="s">
        <v>5259</v>
      </c>
      <c r="D3873" s="88">
        <v>9424878</v>
      </c>
      <c r="E3873" s="88" t="s">
        <v>61</v>
      </c>
      <c r="F3873" s="88">
        <v>0</v>
      </c>
      <c r="G3873" s="78">
        <f>MAX(H3873,I3873,J3873)</f>
        <v>1</v>
      </c>
      <c r="H3873" s="88"/>
      <c r="I3873" s="88"/>
      <c r="J3873" s="78">
        <f>MAX(K3873:Q3873)</f>
        <v>1</v>
      </c>
      <c r="K3873" s="88">
        <v>1</v>
      </c>
      <c r="L3873" s="88"/>
      <c r="M3873" s="88"/>
      <c r="N3873" s="88"/>
      <c r="O3873" s="88"/>
      <c r="P3873" s="88"/>
      <c r="Q3873" s="88"/>
      <c r="R3873" s="78">
        <f>MAX(S3873:W3873)</f>
        <v>0</v>
      </c>
      <c r="S3873" s="88"/>
      <c r="T3873" s="88"/>
      <c r="U3873" s="88"/>
      <c r="V3873" s="88"/>
      <c r="W3873" s="88"/>
    </row>
    <row r="3874" spans="2:23" s="0" customFormat="0" ht="15">
      <c r="B3874" s="87" t="s">
        <v>1</v>
      </c>
      <c r="C3874" s="88" t="s">
        <v>5259</v>
      </c>
      <c r="D3874" s="88" t="s">
        <v>3472</v>
      </c>
      <c r="E3874" s="88" t="s">
        <v>61</v>
      </c>
      <c r="F3874" s="88">
        <v>0</v>
      </c>
      <c r="G3874" s="78">
        <f>MAX(H3874,I3874,J3874)</f>
        <v>0</v>
      </c>
      <c r="H3874" s="88"/>
      <c r="I3874" s="88"/>
      <c r="J3874" s="78">
        <f>MAX(K3874:Q3874)</f>
        <v>0</v>
      </c>
      <c r="K3874" s="88"/>
      <c r="L3874" s="88"/>
      <c r="M3874" s="88"/>
      <c r="N3874" s="88"/>
      <c r="O3874" s="88"/>
      <c r="P3874" s="88"/>
      <c r="Q3874" s="88"/>
      <c r="R3874" s="78">
        <f>MAX(S3874:W3874)</f>
        <v>1</v>
      </c>
      <c r="S3874" s="88"/>
      <c r="T3874" s="88"/>
      <c r="U3874" s="88">
        <v>1</v>
      </c>
      <c r="V3874" s="88"/>
      <c r="W3874" s="88"/>
    </row>
    <row r="3875" spans="2:23" s="0" customFormat="0" ht="15">
      <c r="B3875" s="87" t="s">
        <v>1</v>
      </c>
      <c r="C3875" s="88" t="s">
        <v>5259</v>
      </c>
      <c r="D3875" s="88" t="s">
        <v>4861</v>
      </c>
      <c r="E3875" s="88" t="s">
        <v>61</v>
      </c>
      <c r="F3875" s="88">
        <v>0</v>
      </c>
      <c r="G3875" s="78">
        <f>MAX(H3875,I3875,J3875)</f>
        <v>0</v>
      </c>
      <c r="H3875" s="88"/>
      <c r="I3875" s="88"/>
      <c r="J3875" s="78">
        <f>MAX(K3875:Q3875)</f>
        <v>0</v>
      </c>
      <c r="K3875" s="88"/>
      <c r="L3875" s="88"/>
      <c r="M3875" s="88"/>
      <c r="N3875" s="88"/>
      <c r="O3875" s="88"/>
      <c r="P3875" s="88"/>
      <c r="Q3875" s="88"/>
      <c r="R3875" s="78">
        <f>MAX(S3875:W3875)</f>
        <v>1</v>
      </c>
      <c r="S3875" s="88"/>
      <c r="T3875" s="88"/>
      <c r="U3875" s="88">
        <v>1</v>
      </c>
      <c r="V3875" s="88"/>
      <c r="W3875" s="88"/>
    </row>
    <row r="3876" spans="2:23" s="0" customFormat="0" ht="15">
      <c r="B3876" s="87" t="s">
        <v>1</v>
      </c>
      <c r="C3876" s="88" t="s">
        <v>5259</v>
      </c>
      <c r="D3876" s="88" t="s">
        <v>2406</v>
      </c>
      <c r="E3876" s="88" t="s">
        <v>61</v>
      </c>
      <c r="F3876" s="88">
        <v>0</v>
      </c>
      <c r="G3876" s="78">
        <f>MAX(H3876,I3876,J3876)</f>
        <v>1</v>
      </c>
      <c r="H3876" s="88"/>
      <c r="I3876" s="88"/>
      <c r="J3876" s="78">
        <f>MAX(K3876:Q3876)</f>
        <v>1</v>
      </c>
      <c r="K3876" s="88">
        <v>1</v>
      </c>
      <c r="L3876" s="88"/>
      <c r="M3876" s="88"/>
      <c r="N3876" s="88"/>
      <c r="O3876" s="88"/>
      <c r="P3876" s="88"/>
      <c r="Q3876" s="88"/>
      <c r="R3876" s="78">
        <f>MAX(S3876:W3876)</f>
        <v>0</v>
      </c>
      <c r="S3876" s="88"/>
      <c r="T3876" s="88"/>
      <c r="U3876" s="88"/>
      <c r="V3876" s="88"/>
      <c r="W3876" s="88"/>
    </row>
    <row r="3877" spans="2:23" s="0" customFormat="0" ht="15">
      <c r="B3877" s="87" t="s">
        <v>1</v>
      </c>
      <c r="C3877" s="88" t="s">
        <v>5259</v>
      </c>
      <c r="D3877" s="88" t="s">
        <v>3840</v>
      </c>
      <c r="E3877" s="88" t="s">
        <v>61</v>
      </c>
      <c r="F3877" s="88">
        <v>0</v>
      </c>
      <c r="G3877" s="78">
        <f>MAX(H3877,I3877,J3877)</f>
        <v>0</v>
      </c>
      <c r="H3877" s="88"/>
      <c r="I3877" s="88"/>
      <c r="J3877" s="78">
        <f>MAX(K3877:Q3877)</f>
        <v>0</v>
      </c>
      <c r="K3877" s="88"/>
      <c r="L3877" s="88"/>
      <c r="M3877" s="88"/>
      <c r="N3877" s="88"/>
      <c r="O3877" s="88"/>
      <c r="P3877" s="88"/>
      <c r="Q3877" s="88"/>
      <c r="R3877" s="78">
        <f>MAX(S3877:W3877)</f>
        <v>1</v>
      </c>
      <c r="S3877" s="88"/>
      <c r="T3877" s="88"/>
      <c r="U3877" s="88">
        <v>1</v>
      </c>
      <c r="V3877" s="88"/>
      <c r="W3877" s="88"/>
    </row>
    <row r="3878" spans="2:23" s="0" customFormat="0" ht="15">
      <c r="B3878" s="87" t="s">
        <v>1</v>
      </c>
      <c r="C3878" s="88" t="s">
        <v>5259</v>
      </c>
      <c r="D3878" s="88">
        <v>21736770</v>
      </c>
      <c r="E3878" s="88" t="s">
        <v>61</v>
      </c>
      <c r="F3878" s="88">
        <v>0</v>
      </c>
      <c r="G3878" s="78">
        <f>MAX(H3878,I3878,J3878)</f>
        <v>1</v>
      </c>
      <c r="H3878" s="88"/>
      <c r="I3878" s="88"/>
      <c r="J3878" s="78">
        <f>MAX(K3878:Q3878)</f>
        <v>1</v>
      </c>
      <c r="K3878" s="88">
        <v>1</v>
      </c>
      <c r="L3878" s="88"/>
      <c r="M3878" s="88"/>
      <c r="N3878" s="88"/>
      <c r="O3878" s="88"/>
      <c r="P3878" s="88"/>
      <c r="Q3878" s="88"/>
      <c r="R3878" s="78">
        <f>MAX(S3878:W3878)</f>
        <v>0</v>
      </c>
      <c r="S3878" s="88"/>
      <c r="T3878" s="88"/>
      <c r="U3878" s="88"/>
      <c r="V3878" s="88"/>
      <c r="W3878" s="88"/>
    </row>
    <row r="3879" spans="2:23" s="0" customFormat="0" ht="15">
      <c r="B3879" s="87" t="s">
        <v>1</v>
      </c>
      <c r="C3879" s="88" t="s">
        <v>5259</v>
      </c>
      <c r="D3879" s="88">
        <v>14376252</v>
      </c>
      <c r="E3879" s="88" t="s">
        <v>61</v>
      </c>
      <c r="F3879" s="88">
        <v>0</v>
      </c>
      <c r="G3879" s="78">
        <f>MAX(H3879,I3879,J3879)</f>
        <v>1</v>
      </c>
      <c r="H3879" s="88"/>
      <c r="I3879" s="88"/>
      <c r="J3879" s="78">
        <f>MAX(K3879:Q3879)</f>
        <v>1</v>
      </c>
      <c r="K3879" s="88">
        <v>1</v>
      </c>
      <c r="L3879" s="88"/>
      <c r="M3879" s="88"/>
      <c r="N3879" s="88"/>
      <c r="O3879" s="88"/>
      <c r="P3879" s="88"/>
      <c r="Q3879" s="88"/>
      <c r="R3879" s="78">
        <f>MAX(S3879:W3879)</f>
        <v>0</v>
      </c>
      <c r="S3879" s="88"/>
      <c r="T3879" s="88"/>
      <c r="U3879" s="88"/>
      <c r="V3879" s="88"/>
      <c r="W3879" s="88"/>
    </row>
    <row r="3880" spans="2:23" s="0" customFormat="0" ht="15">
      <c r="B3880" s="87" t="s">
        <v>1</v>
      </c>
      <c r="C3880" s="88" t="s">
        <v>5259</v>
      </c>
      <c r="D3880" s="88">
        <v>1551415</v>
      </c>
      <c r="E3880" s="88" t="s">
        <v>61</v>
      </c>
      <c r="F3880" s="88">
        <v>0</v>
      </c>
      <c r="G3880" s="78">
        <f>MAX(H3880,I3880,J3880)</f>
        <v>0</v>
      </c>
      <c r="H3880" s="88"/>
      <c r="I3880" s="88"/>
      <c r="J3880" s="78">
        <f>MAX(K3880:Q3880)</f>
        <v>0</v>
      </c>
      <c r="K3880" s="88"/>
      <c r="L3880" s="88"/>
      <c r="M3880" s="88"/>
      <c r="N3880" s="88"/>
      <c r="O3880" s="88"/>
      <c r="P3880" s="88"/>
      <c r="Q3880" s="88"/>
      <c r="R3880" s="78">
        <f>MAX(S3880:W3880)</f>
        <v>1</v>
      </c>
      <c r="S3880" s="88"/>
      <c r="T3880" s="88"/>
      <c r="U3880" s="88">
        <v>1</v>
      </c>
      <c r="V3880" s="88"/>
      <c r="W3880" s="88"/>
    </row>
    <row r="3881" spans="2:23" s="0" customFormat="0" ht="15">
      <c r="B3881" s="87" t="s">
        <v>1</v>
      </c>
      <c r="C3881" s="88" t="s">
        <v>5259</v>
      </c>
      <c r="D3881" s="88">
        <v>17164668</v>
      </c>
      <c r="E3881" s="88" t="s">
        <v>61</v>
      </c>
      <c r="F3881" s="88">
        <v>0</v>
      </c>
      <c r="G3881" s="78">
        <f>MAX(H3881,I3881,J3881)</f>
        <v>1</v>
      </c>
      <c r="H3881" s="88"/>
      <c r="I3881" s="88"/>
      <c r="J3881" s="78">
        <f>MAX(K3881:Q3881)</f>
        <v>1</v>
      </c>
      <c r="K3881" s="88">
        <v>1</v>
      </c>
      <c r="L3881" s="88"/>
      <c r="M3881" s="88"/>
      <c r="N3881" s="88"/>
      <c r="O3881" s="88"/>
      <c r="P3881" s="88"/>
      <c r="Q3881" s="88"/>
      <c r="R3881" s="78">
        <f>MAX(S3881:W3881)</f>
        <v>0</v>
      </c>
      <c r="S3881" s="88"/>
      <c r="T3881" s="88"/>
      <c r="U3881" s="88"/>
      <c r="V3881" s="88"/>
      <c r="W3881" s="88"/>
    </row>
    <row r="3882" spans="2:23" s="0" customFormat="0" ht="15">
      <c r="B3882" s="87" t="s">
        <v>1</v>
      </c>
      <c r="C3882" s="88" t="s">
        <v>5259</v>
      </c>
      <c r="D3882" s="88">
        <v>9118094</v>
      </c>
      <c r="E3882" s="88" t="s">
        <v>61</v>
      </c>
      <c r="F3882" s="88">
        <v>0</v>
      </c>
      <c r="G3882" s="78">
        <f>MAX(H3882,I3882,J3882)</f>
        <v>1</v>
      </c>
      <c r="H3882" s="88"/>
      <c r="I3882" s="88"/>
      <c r="J3882" s="78">
        <f>MAX(K3882:Q3882)</f>
        <v>1</v>
      </c>
      <c r="K3882" s="88">
        <v>1</v>
      </c>
      <c r="L3882" s="88"/>
      <c r="M3882" s="88"/>
      <c r="N3882" s="88"/>
      <c r="O3882" s="88"/>
      <c r="P3882" s="88"/>
      <c r="Q3882" s="88"/>
      <c r="R3882" s="78">
        <f>MAX(S3882:W3882)</f>
        <v>0</v>
      </c>
      <c r="S3882" s="88"/>
      <c r="T3882" s="88"/>
      <c r="U3882" s="88"/>
      <c r="V3882" s="88"/>
      <c r="W3882" s="88"/>
    </row>
    <row r="3883" spans="2:23" s="0" customFormat="0" ht="15">
      <c r="B3883" s="87" t="s">
        <v>1</v>
      </c>
      <c r="C3883" s="88" t="s">
        <v>5259</v>
      </c>
      <c r="D3883" s="88">
        <v>15540822</v>
      </c>
      <c r="E3883" s="88" t="s">
        <v>61</v>
      </c>
      <c r="F3883" s="88">
        <v>0</v>
      </c>
      <c r="G3883" s="78">
        <f>MAX(H3883,I3883,J3883)</f>
        <v>1</v>
      </c>
      <c r="H3883" s="88"/>
      <c r="I3883" s="88"/>
      <c r="J3883" s="78">
        <f>MAX(K3883:Q3883)</f>
        <v>1</v>
      </c>
      <c r="K3883" s="88">
        <v>1</v>
      </c>
      <c r="L3883" s="88"/>
      <c r="M3883" s="88"/>
      <c r="N3883" s="88"/>
      <c r="O3883" s="88"/>
      <c r="P3883" s="88"/>
      <c r="Q3883" s="88"/>
      <c r="R3883" s="78">
        <f>MAX(S3883:W3883)</f>
        <v>0</v>
      </c>
      <c r="S3883" s="88"/>
      <c r="T3883" s="88"/>
      <c r="U3883" s="88"/>
      <c r="V3883" s="88"/>
      <c r="W3883" s="88"/>
    </row>
    <row r="3884" spans="2:23" s="0" customFormat="0" ht="15">
      <c r="B3884" s="87" t="s">
        <v>1</v>
      </c>
      <c r="C3884" s="88" t="s">
        <v>5259</v>
      </c>
      <c r="D3884" s="88" t="s">
        <v>2361</v>
      </c>
      <c r="E3884" s="88" t="s">
        <v>61</v>
      </c>
      <c r="F3884" s="88">
        <v>0</v>
      </c>
      <c r="G3884" s="78">
        <f>MAX(H3884,I3884,J3884)</f>
        <v>1</v>
      </c>
      <c r="H3884" s="88"/>
      <c r="I3884" s="88"/>
      <c r="J3884" s="78">
        <f>MAX(K3884:Q3884)</f>
        <v>1</v>
      </c>
      <c r="K3884" s="88">
        <v>1</v>
      </c>
      <c r="L3884" s="88"/>
      <c r="M3884" s="88"/>
      <c r="N3884" s="88"/>
      <c r="O3884" s="88"/>
      <c r="P3884" s="88"/>
      <c r="Q3884" s="88"/>
      <c r="R3884" s="78">
        <f>MAX(S3884:W3884)</f>
        <v>0</v>
      </c>
      <c r="S3884" s="88"/>
      <c r="T3884" s="88"/>
      <c r="U3884" s="88"/>
      <c r="V3884" s="88"/>
      <c r="W3884" s="88"/>
    </row>
    <row r="3885" spans="2:23" s="0" customFormat="0" ht="15">
      <c r="B3885" s="87" t="s">
        <v>1</v>
      </c>
      <c r="C3885" s="88" t="s">
        <v>5259</v>
      </c>
      <c r="D3885" s="88">
        <v>13128752</v>
      </c>
      <c r="E3885" s="88" t="s">
        <v>61</v>
      </c>
      <c r="F3885" s="88">
        <v>0</v>
      </c>
      <c r="G3885" s="78">
        <f>MAX(H3885,I3885,J3885)</f>
        <v>1</v>
      </c>
      <c r="H3885" s="88"/>
      <c r="I3885" s="88"/>
      <c r="J3885" s="78">
        <f>MAX(K3885:Q3885)</f>
        <v>1</v>
      </c>
      <c r="K3885" s="88">
        <v>1</v>
      </c>
      <c r="L3885" s="88"/>
      <c r="M3885" s="88"/>
      <c r="N3885" s="88"/>
      <c r="O3885" s="88"/>
      <c r="P3885" s="88"/>
      <c r="Q3885" s="88"/>
      <c r="R3885" s="78">
        <f>MAX(S3885:W3885)</f>
        <v>0</v>
      </c>
      <c r="S3885" s="88"/>
      <c r="T3885" s="88"/>
      <c r="U3885" s="88"/>
      <c r="V3885" s="88"/>
      <c r="W3885" s="88"/>
    </row>
    <row r="3886" spans="2:23" s="0" customFormat="0" ht="15">
      <c r="B3886" s="87" t="s">
        <v>1</v>
      </c>
      <c r="C3886" s="88" t="s">
        <v>5259</v>
      </c>
      <c r="D3886" s="88" t="s">
        <v>4864</v>
      </c>
      <c r="E3886" s="88" t="s">
        <v>61</v>
      </c>
      <c r="F3886" s="88">
        <v>0</v>
      </c>
      <c r="G3886" s="78">
        <f>MAX(H3886,I3886,J3886)</f>
        <v>0</v>
      </c>
      <c r="H3886" s="88"/>
      <c r="I3886" s="88"/>
      <c r="J3886" s="78">
        <f>MAX(K3886:Q3886)</f>
        <v>0</v>
      </c>
      <c r="K3886" s="88"/>
      <c r="L3886" s="88"/>
      <c r="M3886" s="88"/>
      <c r="N3886" s="88"/>
      <c r="O3886" s="88"/>
      <c r="P3886" s="88"/>
      <c r="Q3886" s="88"/>
      <c r="R3886" s="78">
        <f>MAX(S3886:W3886)</f>
        <v>1</v>
      </c>
      <c r="S3886" s="88"/>
      <c r="T3886" s="88"/>
      <c r="U3886" s="88">
        <v>1</v>
      </c>
      <c r="V3886" s="88"/>
      <c r="W3886" s="88"/>
    </row>
    <row r="3887" spans="2:23" s="0" customFormat="0" ht="15">
      <c r="B3887" s="87" t="s">
        <v>1</v>
      </c>
      <c r="C3887" s="88" t="s">
        <v>5259</v>
      </c>
      <c r="D3887" s="88">
        <v>14504631</v>
      </c>
      <c r="E3887" s="88" t="s">
        <v>61</v>
      </c>
      <c r="F3887" s="88">
        <v>0</v>
      </c>
      <c r="G3887" s="78">
        <f>MAX(H3887,I3887,J3887)</f>
        <v>1</v>
      </c>
      <c r="H3887" s="88"/>
      <c r="I3887" s="88"/>
      <c r="J3887" s="78">
        <f>MAX(K3887:Q3887)</f>
        <v>1</v>
      </c>
      <c r="K3887" s="88">
        <v>1</v>
      </c>
      <c r="L3887" s="88"/>
      <c r="M3887" s="88"/>
      <c r="N3887" s="88"/>
      <c r="O3887" s="88"/>
      <c r="P3887" s="88"/>
      <c r="Q3887" s="88"/>
      <c r="R3887" s="78">
        <f>MAX(S3887:W3887)</f>
        <v>0</v>
      </c>
      <c r="S3887" s="88"/>
      <c r="T3887" s="88"/>
      <c r="U3887" s="88"/>
      <c r="V3887" s="88"/>
      <c r="W3887" s="88"/>
    </row>
    <row r="3888" spans="2:23" s="0" customFormat="0" ht="15">
      <c r="B3888" s="87" t="s">
        <v>1</v>
      </c>
      <c r="C3888" s="88" t="s">
        <v>5259</v>
      </c>
      <c r="D3888" s="88">
        <v>22554582</v>
      </c>
      <c r="E3888" s="88" t="s">
        <v>61</v>
      </c>
      <c r="F3888" s="88">
        <v>0</v>
      </c>
      <c r="G3888" s="78">
        <f>MAX(H3888,I3888,J3888)</f>
        <v>0</v>
      </c>
      <c r="H3888" s="88"/>
      <c r="I3888" s="88"/>
      <c r="J3888" s="78">
        <f>MAX(K3888:Q3888)</f>
        <v>0</v>
      </c>
      <c r="K3888" s="88"/>
      <c r="L3888" s="88"/>
      <c r="M3888" s="88"/>
      <c r="N3888" s="88"/>
      <c r="O3888" s="88"/>
      <c r="P3888" s="88"/>
      <c r="Q3888" s="88"/>
      <c r="R3888" s="78">
        <f>MAX(S3888:W3888)</f>
        <v>1</v>
      </c>
      <c r="S3888" s="88"/>
      <c r="T3888" s="88"/>
      <c r="U3888" s="88">
        <v>1</v>
      </c>
      <c r="V3888" s="88"/>
      <c r="W3888" s="88"/>
    </row>
    <row r="3889" spans="2:23" s="0" customFormat="0" ht="15">
      <c r="B3889" s="87" t="s">
        <v>1</v>
      </c>
      <c r="C3889" s="88" t="s">
        <v>5259</v>
      </c>
      <c r="D3889" s="88" t="s">
        <v>4045</v>
      </c>
      <c r="E3889" s="88" t="s">
        <v>61</v>
      </c>
      <c r="F3889" s="88">
        <v>0</v>
      </c>
      <c r="G3889" s="78">
        <f>MAX(H3889,I3889,J3889)</f>
        <v>0</v>
      </c>
      <c r="H3889" s="88"/>
      <c r="I3889" s="88"/>
      <c r="J3889" s="78">
        <f>MAX(K3889:Q3889)</f>
        <v>0</v>
      </c>
      <c r="K3889" s="88"/>
      <c r="L3889" s="88"/>
      <c r="M3889" s="88"/>
      <c r="N3889" s="88"/>
      <c r="O3889" s="88"/>
      <c r="P3889" s="88"/>
      <c r="Q3889" s="88"/>
      <c r="R3889" s="78">
        <f>MAX(S3889:W3889)</f>
        <v>1</v>
      </c>
      <c r="S3889" s="88"/>
      <c r="T3889" s="88"/>
      <c r="U3889" s="88">
        <v>1</v>
      </c>
      <c r="V3889" s="88"/>
      <c r="W3889" s="88"/>
    </row>
    <row r="3890" spans="2:23" s="0" customFormat="0" ht="15">
      <c r="B3890" s="87" t="s">
        <v>1</v>
      </c>
      <c r="C3890" s="88" t="s">
        <v>5259</v>
      </c>
      <c r="D3890" s="88">
        <v>14731185</v>
      </c>
      <c r="E3890" s="88" t="s">
        <v>61</v>
      </c>
      <c r="F3890" s="88">
        <v>0</v>
      </c>
      <c r="G3890" s="78">
        <f>MAX(H3890,I3890,J3890)</f>
        <v>1</v>
      </c>
      <c r="H3890" s="88"/>
      <c r="I3890" s="88"/>
      <c r="J3890" s="78">
        <f>MAX(K3890:Q3890)</f>
        <v>1</v>
      </c>
      <c r="K3890" s="88">
        <v>1</v>
      </c>
      <c r="L3890" s="88"/>
      <c r="M3890" s="88"/>
      <c r="N3890" s="88"/>
      <c r="O3890" s="88"/>
      <c r="P3890" s="88"/>
      <c r="Q3890" s="88"/>
      <c r="R3890" s="78">
        <f>MAX(S3890:W3890)</f>
        <v>0</v>
      </c>
      <c r="S3890" s="88"/>
      <c r="T3890" s="88"/>
      <c r="U3890" s="88"/>
      <c r="V3890" s="88"/>
      <c r="W3890" s="88"/>
    </row>
    <row r="3891" spans="2:23" s="0" customFormat="0" ht="15">
      <c r="B3891" s="87" t="s">
        <v>1</v>
      </c>
      <c r="C3891" s="88" t="s">
        <v>5259</v>
      </c>
      <c r="D3891" s="88">
        <v>19791091</v>
      </c>
      <c r="E3891" s="88" t="s">
        <v>61</v>
      </c>
      <c r="F3891" s="88">
        <v>0</v>
      </c>
      <c r="G3891" s="78">
        <f>MAX(H3891,I3891,J3891)</f>
        <v>1</v>
      </c>
      <c r="H3891" s="88"/>
      <c r="I3891" s="88"/>
      <c r="J3891" s="78">
        <f>MAX(K3891:Q3891)</f>
        <v>1</v>
      </c>
      <c r="K3891" s="88">
        <v>1</v>
      </c>
      <c r="L3891" s="88"/>
      <c r="M3891" s="88"/>
      <c r="N3891" s="88"/>
      <c r="O3891" s="88"/>
      <c r="P3891" s="88"/>
      <c r="Q3891" s="88"/>
      <c r="R3891" s="78">
        <f>MAX(S3891:W3891)</f>
        <v>0</v>
      </c>
      <c r="S3891" s="88"/>
      <c r="T3891" s="88"/>
      <c r="U3891" s="88"/>
      <c r="V3891" s="88"/>
      <c r="W3891" s="88"/>
    </row>
    <row r="3892" spans="2:23" s="0" customFormat="0" ht="15">
      <c r="B3892" s="87" t="s">
        <v>1</v>
      </c>
      <c r="C3892" s="88" t="s">
        <v>5259</v>
      </c>
      <c r="D3892" s="88">
        <v>22723302</v>
      </c>
      <c r="E3892" s="88" t="s">
        <v>61</v>
      </c>
      <c r="F3892" s="88">
        <v>0</v>
      </c>
      <c r="G3892" s="78">
        <f>MAX(H3892,I3892,J3892)</f>
        <v>1</v>
      </c>
      <c r="H3892" s="88"/>
      <c r="I3892" s="88"/>
      <c r="J3892" s="78">
        <f>MAX(K3892:Q3892)</f>
        <v>1</v>
      </c>
      <c r="K3892" s="88">
        <v>1</v>
      </c>
      <c r="L3892" s="88"/>
      <c r="M3892" s="88"/>
      <c r="N3892" s="88"/>
      <c r="O3892" s="88"/>
      <c r="P3892" s="88"/>
      <c r="Q3892" s="88"/>
      <c r="R3892" s="78">
        <f>MAX(S3892:W3892)</f>
        <v>0</v>
      </c>
      <c r="S3892" s="88"/>
      <c r="T3892" s="88"/>
      <c r="U3892" s="88"/>
      <c r="V3892" s="88"/>
      <c r="W3892" s="88"/>
    </row>
    <row r="3893" spans="2:23" s="0" customFormat="0" ht="15">
      <c r="B3893" s="87" t="s">
        <v>1</v>
      </c>
      <c r="C3893" s="88" t="s">
        <v>5259</v>
      </c>
      <c r="D3893" s="88" t="s">
        <v>3467</v>
      </c>
      <c r="E3893" s="88" t="s">
        <v>61</v>
      </c>
      <c r="F3893" s="88">
        <v>0</v>
      </c>
      <c r="G3893" s="78">
        <f>MAX(H3893,I3893,J3893)</f>
        <v>0</v>
      </c>
      <c r="H3893" s="88"/>
      <c r="I3893" s="88"/>
      <c r="J3893" s="78">
        <f>MAX(K3893:Q3893)</f>
        <v>0</v>
      </c>
      <c r="K3893" s="88"/>
      <c r="L3893" s="88"/>
      <c r="M3893" s="88"/>
      <c r="N3893" s="88"/>
      <c r="O3893" s="88"/>
      <c r="P3893" s="88"/>
      <c r="Q3893" s="88"/>
      <c r="R3893" s="78">
        <f>MAX(S3893:W3893)</f>
        <v>1</v>
      </c>
      <c r="S3893" s="88"/>
      <c r="T3893" s="88"/>
      <c r="U3893" s="88">
        <v>1</v>
      </c>
      <c r="V3893" s="88"/>
      <c r="W3893" s="88"/>
    </row>
    <row r="3894" spans="2:23" s="0" customFormat="0" ht="15">
      <c r="B3894" s="87" t="s">
        <v>1</v>
      </c>
      <c r="C3894" s="88" t="s">
        <v>5259</v>
      </c>
      <c r="D3894" s="88">
        <v>16080796</v>
      </c>
      <c r="E3894" s="88" t="s">
        <v>61</v>
      </c>
      <c r="F3894" s="88">
        <v>0</v>
      </c>
      <c r="G3894" s="78">
        <f>MAX(H3894,I3894,J3894)</f>
        <v>1</v>
      </c>
      <c r="H3894" s="88"/>
      <c r="I3894" s="88"/>
      <c r="J3894" s="78">
        <f>MAX(K3894:Q3894)</f>
        <v>1</v>
      </c>
      <c r="K3894" s="88">
        <v>1</v>
      </c>
      <c r="L3894" s="88"/>
      <c r="M3894" s="88"/>
      <c r="N3894" s="88"/>
      <c r="O3894" s="88"/>
      <c r="P3894" s="88"/>
      <c r="Q3894" s="88"/>
      <c r="R3894" s="78">
        <f>MAX(S3894:W3894)</f>
        <v>0</v>
      </c>
      <c r="S3894" s="88"/>
      <c r="T3894" s="88"/>
      <c r="U3894" s="88"/>
      <c r="V3894" s="88"/>
      <c r="W3894" s="88"/>
    </row>
    <row r="3895" spans="2:23" s="0" customFormat="0" ht="15">
      <c r="B3895" s="87" t="s">
        <v>1</v>
      </c>
      <c r="C3895" s="88" t="s">
        <v>5259</v>
      </c>
      <c r="D3895" s="88" t="s">
        <v>481</v>
      </c>
      <c r="E3895" s="88" t="s">
        <v>61</v>
      </c>
      <c r="F3895" s="88">
        <v>0</v>
      </c>
      <c r="G3895" s="78">
        <f>MAX(H3895,I3895,J3895)</f>
        <v>1</v>
      </c>
      <c r="H3895" s="88"/>
      <c r="I3895" s="88"/>
      <c r="J3895" s="78">
        <f>MAX(K3895:Q3895)</f>
        <v>1</v>
      </c>
      <c r="K3895" s="88">
        <v>1</v>
      </c>
      <c r="L3895" s="88"/>
      <c r="M3895" s="88"/>
      <c r="N3895" s="88"/>
      <c r="O3895" s="88"/>
      <c r="P3895" s="88"/>
      <c r="Q3895" s="88"/>
      <c r="R3895" s="78">
        <f>MAX(S3895:W3895)</f>
        <v>0</v>
      </c>
      <c r="S3895" s="88"/>
      <c r="T3895" s="88"/>
      <c r="U3895" s="88"/>
      <c r="V3895" s="88"/>
      <c r="W3895" s="88"/>
    </row>
    <row r="3896" spans="2:23" s="0" customFormat="0" ht="15">
      <c r="B3896" s="87" t="s">
        <v>1</v>
      </c>
      <c r="C3896" s="88" t="s">
        <v>5259</v>
      </c>
      <c r="D3896" s="88" t="s">
        <v>4866</v>
      </c>
      <c r="E3896" s="88" t="s">
        <v>61</v>
      </c>
      <c r="F3896" s="88">
        <v>0</v>
      </c>
      <c r="G3896" s="78">
        <f>MAX(H3896,I3896,J3896)</f>
        <v>0</v>
      </c>
      <c r="H3896" s="88"/>
      <c r="I3896" s="88"/>
      <c r="J3896" s="78">
        <f>MAX(K3896:Q3896)</f>
        <v>0</v>
      </c>
      <c r="K3896" s="88"/>
      <c r="L3896" s="88"/>
      <c r="M3896" s="88"/>
      <c r="N3896" s="88"/>
      <c r="O3896" s="88"/>
      <c r="P3896" s="88"/>
      <c r="Q3896" s="88"/>
      <c r="R3896" s="78">
        <f>MAX(S3896:W3896)</f>
        <v>1</v>
      </c>
      <c r="S3896" s="88"/>
      <c r="T3896" s="88"/>
      <c r="U3896" s="88">
        <v>1</v>
      </c>
      <c r="V3896" s="88"/>
      <c r="W3896" s="88"/>
    </row>
    <row r="3897" spans="2:23" s="0" customFormat="0" ht="15">
      <c r="B3897" s="87" t="s">
        <v>1</v>
      </c>
      <c r="C3897" s="88" t="s">
        <v>5259</v>
      </c>
      <c r="D3897" s="88">
        <v>506411</v>
      </c>
      <c r="E3897" s="88" t="s">
        <v>61</v>
      </c>
      <c r="F3897" s="88">
        <v>0</v>
      </c>
      <c r="G3897" s="78">
        <f>MAX(H3897,I3897,J3897)</f>
        <v>0</v>
      </c>
      <c r="H3897" s="88"/>
      <c r="I3897" s="88"/>
      <c r="J3897" s="78">
        <f>MAX(K3897:Q3897)</f>
        <v>0</v>
      </c>
      <c r="K3897" s="88"/>
      <c r="L3897" s="88"/>
      <c r="M3897" s="88"/>
      <c r="N3897" s="88"/>
      <c r="O3897" s="88"/>
      <c r="P3897" s="88"/>
      <c r="Q3897" s="88"/>
      <c r="R3897" s="78">
        <f>MAX(S3897:W3897)</f>
        <v>1</v>
      </c>
      <c r="S3897" s="88"/>
      <c r="T3897" s="88"/>
      <c r="U3897" s="88">
        <v>1</v>
      </c>
      <c r="V3897" s="88"/>
      <c r="W3897" s="88"/>
    </row>
    <row r="3898" spans="2:23" s="0" customFormat="0" ht="15">
      <c r="B3898" s="87" t="s">
        <v>1</v>
      </c>
      <c r="C3898" s="88" t="s">
        <v>5259</v>
      </c>
      <c r="D3898" s="88">
        <v>22554243</v>
      </c>
      <c r="E3898" s="88" t="s">
        <v>61</v>
      </c>
      <c r="F3898" s="88">
        <v>0</v>
      </c>
      <c r="G3898" s="78">
        <f>MAX(H3898,I3898,J3898)</f>
        <v>0</v>
      </c>
      <c r="H3898" s="88"/>
      <c r="I3898" s="88"/>
      <c r="J3898" s="78">
        <f>MAX(K3898:Q3898)</f>
        <v>0</v>
      </c>
      <c r="K3898" s="88"/>
      <c r="L3898" s="88"/>
      <c r="M3898" s="88"/>
      <c r="N3898" s="88"/>
      <c r="O3898" s="88"/>
      <c r="P3898" s="88"/>
      <c r="Q3898" s="88"/>
      <c r="R3898" s="78">
        <f>MAX(S3898:W3898)</f>
        <v>1</v>
      </c>
      <c r="S3898" s="88"/>
      <c r="T3898" s="88"/>
      <c r="U3898" s="88"/>
      <c r="V3898" s="88">
        <v>1</v>
      </c>
      <c r="W3898" s="88"/>
    </row>
    <row r="3899" spans="2:23" s="0" customFormat="0" ht="15">
      <c r="B3899" s="87" t="s">
        <v>1</v>
      </c>
      <c r="C3899" s="88" t="s">
        <v>5259</v>
      </c>
      <c r="D3899" s="88" t="s">
        <v>2411</v>
      </c>
      <c r="E3899" s="88" t="s">
        <v>61</v>
      </c>
      <c r="F3899" s="88">
        <v>0</v>
      </c>
      <c r="G3899" s="78">
        <f>MAX(H3899,I3899,J3899)</f>
        <v>1</v>
      </c>
      <c r="H3899" s="88"/>
      <c r="I3899" s="88"/>
      <c r="J3899" s="78">
        <f>MAX(K3899:Q3899)</f>
        <v>1</v>
      </c>
      <c r="K3899" s="88">
        <v>1</v>
      </c>
      <c r="L3899" s="88"/>
      <c r="M3899" s="88"/>
      <c r="N3899" s="88"/>
      <c r="O3899" s="88"/>
      <c r="P3899" s="88"/>
      <c r="Q3899" s="88"/>
      <c r="R3899" s="78">
        <f>MAX(S3899:W3899)</f>
        <v>0</v>
      </c>
      <c r="S3899" s="88"/>
      <c r="T3899" s="88"/>
      <c r="U3899" s="88"/>
      <c r="V3899" s="88"/>
      <c r="W3899" s="88"/>
    </row>
    <row r="3900" spans="2:23" s="0" customFormat="0" ht="15">
      <c r="B3900" s="87" t="s">
        <v>1</v>
      </c>
      <c r="C3900" s="88" t="s">
        <v>5259</v>
      </c>
      <c r="D3900" s="88" t="s">
        <v>860</v>
      </c>
      <c r="E3900" s="88" t="s">
        <v>61</v>
      </c>
      <c r="F3900" s="88">
        <v>0</v>
      </c>
      <c r="G3900" s="78">
        <f>MAX(H3900,I3900,J3900)</f>
        <v>1</v>
      </c>
      <c r="H3900" s="88"/>
      <c r="I3900" s="88"/>
      <c r="J3900" s="78">
        <f>MAX(K3900:Q3900)</f>
        <v>1</v>
      </c>
      <c r="K3900" s="88">
        <v>1</v>
      </c>
      <c r="L3900" s="88"/>
      <c r="M3900" s="88"/>
      <c r="N3900" s="88"/>
      <c r="O3900" s="88"/>
      <c r="P3900" s="88"/>
      <c r="Q3900" s="88"/>
      <c r="R3900" s="78">
        <f>MAX(S3900:W3900)</f>
        <v>0</v>
      </c>
      <c r="S3900" s="88"/>
      <c r="T3900" s="88"/>
      <c r="U3900" s="88"/>
      <c r="V3900" s="88"/>
      <c r="W3900" s="88"/>
    </row>
    <row r="3901" spans="2:23" s="0" customFormat="0" ht="15">
      <c r="B3901" s="87" t="s">
        <v>1</v>
      </c>
      <c r="C3901" s="88" t="s">
        <v>5259</v>
      </c>
      <c r="D3901" s="88">
        <v>980350</v>
      </c>
      <c r="E3901" s="88" t="s">
        <v>61</v>
      </c>
      <c r="F3901" s="88">
        <v>0</v>
      </c>
      <c r="G3901" s="78">
        <f>MAX(H3901,I3901,J3901)</f>
        <v>0</v>
      </c>
      <c r="H3901" s="88"/>
      <c r="I3901" s="88"/>
      <c r="J3901" s="78">
        <f>MAX(K3901:Q3901)</f>
        <v>0</v>
      </c>
      <c r="K3901" s="88"/>
      <c r="L3901" s="88"/>
      <c r="M3901" s="88"/>
      <c r="N3901" s="88"/>
      <c r="O3901" s="88"/>
      <c r="P3901" s="88"/>
      <c r="Q3901" s="88"/>
      <c r="R3901" s="78">
        <f>MAX(S3901:W3901)</f>
        <v>1</v>
      </c>
      <c r="S3901" s="88"/>
      <c r="T3901" s="88"/>
      <c r="U3901" s="88">
        <v>1</v>
      </c>
      <c r="V3901" s="88"/>
      <c r="W3901" s="88"/>
    </row>
    <row r="3902" spans="2:23" s="0" customFormat="0" ht="15">
      <c r="B3902" s="87" t="s">
        <v>1</v>
      </c>
      <c r="C3902" s="88" t="s">
        <v>5259</v>
      </c>
      <c r="D3902" s="88">
        <v>22482499</v>
      </c>
      <c r="E3902" s="88" t="s">
        <v>61</v>
      </c>
      <c r="F3902" s="88">
        <v>0</v>
      </c>
      <c r="G3902" s="78">
        <f>MAX(H3902,I3902,J3902)</f>
        <v>1</v>
      </c>
      <c r="H3902" s="88"/>
      <c r="I3902" s="88"/>
      <c r="J3902" s="78">
        <f>MAX(K3902:Q3902)</f>
        <v>1</v>
      </c>
      <c r="K3902" s="88">
        <v>1</v>
      </c>
      <c r="L3902" s="88"/>
      <c r="M3902" s="88"/>
      <c r="N3902" s="88"/>
      <c r="O3902" s="88"/>
      <c r="P3902" s="88"/>
      <c r="Q3902" s="88"/>
      <c r="R3902" s="78">
        <f>MAX(S3902:W3902)</f>
        <v>0</v>
      </c>
      <c r="S3902" s="88"/>
      <c r="T3902" s="88"/>
      <c r="U3902" s="88"/>
      <c r="V3902" s="88"/>
      <c r="W3902" s="88"/>
    </row>
    <row r="3903" spans="2:23" s="0" customFormat="0" ht="15">
      <c r="B3903" s="87" t="s">
        <v>1</v>
      </c>
      <c r="C3903" s="88" t="s">
        <v>5259</v>
      </c>
      <c r="D3903" s="88" t="s">
        <v>4868</v>
      </c>
      <c r="E3903" s="88" t="s">
        <v>61</v>
      </c>
      <c r="F3903" s="88">
        <v>0</v>
      </c>
      <c r="G3903" s="78">
        <f>MAX(H3903,I3903,J3903)</f>
        <v>0</v>
      </c>
      <c r="H3903" s="88"/>
      <c r="I3903" s="88"/>
      <c r="J3903" s="78">
        <f>MAX(K3903:Q3903)</f>
        <v>0</v>
      </c>
      <c r="K3903" s="88"/>
      <c r="L3903" s="88"/>
      <c r="M3903" s="88"/>
      <c r="N3903" s="88"/>
      <c r="O3903" s="88"/>
      <c r="P3903" s="88"/>
      <c r="Q3903" s="88"/>
      <c r="R3903" s="78">
        <f>MAX(S3903:W3903)</f>
        <v>1</v>
      </c>
      <c r="S3903" s="88"/>
      <c r="T3903" s="88"/>
      <c r="U3903" s="88">
        <v>1</v>
      </c>
      <c r="V3903" s="88"/>
      <c r="W3903" s="88"/>
    </row>
    <row r="3904" spans="2:23" s="0" customFormat="0" ht="15">
      <c r="B3904" s="87" t="s">
        <v>1</v>
      </c>
      <c r="C3904" s="88" t="s">
        <v>5259</v>
      </c>
      <c r="D3904" s="88" t="s">
        <v>2074</v>
      </c>
      <c r="E3904" s="88" t="s">
        <v>61</v>
      </c>
      <c r="F3904" s="88">
        <v>0</v>
      </c>
      <c r="G3904" s="78">
        <f>MAX(H3904,I3904,J3904)</f>
        <v>1</v>
      </c>
      <c r="H3904" s="88"/>
      <c r="I3904" s="88"/>
      <c r="J3904" s="78">
        <f>MAX(K3904:Q3904)</f>
        <v>1</v>
      </c>
      <c r="K3904" s="88">
        <v>1</v>
      </c>
      <c r="L3904" s="88"/>
      <c r="M3904" s="88"/>
      <c r="N3904" s="88"/>
      <c r="O3904" s="88"/>
      <c r="P3904" s="88"/>
      <c r="Q3904" s="88"/>
      <c r="R3904" s="78">
        <f>MAX(S3904:W3904)</f>
        <v>0</v>
      </c>
      <c r="S3904" s="88"/>
      <c r="T3904" s="88"/>
      <c r="U3904" s="88"/>
      <c r="V3904" s="88"/>
      <c r="W3904" s="88"/>
    </row>
    <row r="3905" spans="2:23" s="0" customFormat="0" ht="15">
      <c r="B3905" s="87" t="s">
        <v>1</v>
      </c>
      <c r="C3905" s="88" t="s">
        <v>5259</v>
      </c>
      <c r="D3905" s="88" t="s">
        <v>1760</v>
      </c>
      <c r="E3905" s="88" t="s">
        <v>61</v>
      </c>
      <c r="F3905" s="88">
        <v>0</v>
      </c>
      <c r="G3905" s="78">
        <f>MAX(H3905,I3905,J3905)</f>
        <v>1</v>
      </c>
      <c r="H3905" s="88"/>
      <c r="I3905" s="88"/>
      <c r="J3905" s="78">
        <f>MAX(K3905:Q3905)</f>
        <v>1</v>
      </c>
      <c r="K3905" s="88">
        <v>1</v>
      </c>
      <c r="L3905" s="88"/>
      <c r="M3905" s="88"/>
      <c r="N3905" s="88"/>
      <c r="O3905" s="88"/>
      <c r="P3905" s="88"/>
      <c r="Q3905" s="88"/>
      <c r="R3905" s="78">
        <f>MAX(S3905:W3905)</f>
        <v>0</v>
      </c>
      <c r="S3905" s="88"/>
      <c r="T3905" s="88"/>
      <c r="U3905" s="88"/>
      <c r="V3905" s="88"/>
      <c r="W3905" s="88"/>
    </row>
    <row r="3906" spans="2:23" s="0" customFormat="0" ht="15">
      <c r="B3906" s="87" t="s">
        <v>1</v>
      </c>
      <c r="C3906" s="88" t="s">
        <v>5259</v>
      </c>
      <c r="D3906" s="88">
        <v>17849962</v>
      </c>
      <c r="E3906" s="88" t="s">
        <v>61</v>
      </c>
      <c r="F3906" s="88">
        <v>0</v>
      </c>
      <c r="G3906" s="78">
        <f>MAX(H3906,I3906,J3906)</f>
        <v>0</v>
      </c>
      <c r="H3906" s="88"/>
      <c r="I3906" s="88"/>
      <c r="J3906" s="78">
        <f>MAX(K3906:Q3906)</f>
        <v>0</v>
      </c>
      <c r="K3906" s="88"/>
      <c r="L3906" s="88"/>
      <c r="M3906" s="88"/>
      <c r="N3906" s="88"/>
      <c r="O3906" s="88"/>
      <c r="P3906" s="88"/>
      <c r="Q3906" s="88"/>
      <c r="R3906" s="78">
        <f>MAX(S3906:W3906)</f>
        <v>1</v>
      </c>
      <c r="S3906" s="88"/>
      <c r="T3906" s="88"/>
      <c r="U3906" s="88">
        <v>1</v>
      </c>
      <c r="V3906" s="88"/>
      <c r="W3906" s="88"/>
    </row>
    <row r="3907" spans="2:23" s="0" customFormat="0" ht="15">
      <c r="B3907" s="87" t="s">
        <v>1</v>
      </c>
      <c r="C3907" s="88" t="s">
        <v>5259</v>
      </c>
      <c r="D3907" s="88" t="s">
        <v>4703</v>
      </c>
      <c r="E3907" s="88" t="s">
        <v>61</v>
      </c>
      <c r="F3907" s="88">
        <v>0</v>
      </c>
      <c r="G3907" s="78">
        <f>MAX(H3907,I3907,J3907)</f>
        <v>0</v>
      </c>
      <c r="H3907" s="88"/>
      <c r="I3907" s="88"/>
      <c r="J3907" s="78">
        <f>MAX(K3907:Q3907)</f>
        <v>0</v>
      </c>
      <c r="K3907" s="88"/>
      <c r="L3907" s="88"/>
      <c r="M3907" s="88"/>
      <c r="N3907" s="88"/>
      <c r="O3907" s="88"/>
      <c r="P3907" s="88"/>
      <c r="Q3907" s="88"/>
      <c r="R3907" s="78">
        <f>MAX(S3907:W3907)</f>
        <v>1</v>
      </c>
      <c r="S3907" s="88"/>
      <c r="T3907" s="88"/>
      <c r="U3907" s="88">
        <v>1</v>
      </c>
      <c r="V3907" s="88"/>
      <c r="W3907" s="88"/>
    </row>
    <row r="3908" spans="2:23" s="0" customFormat="0" ht="15">
      <c r="B3908" s="87" t="s">
        <v>1</v>
      </c>
      <c r="C3908" s="88" t="s">
        <v>5259</v>
      </c>
      <c r="D3908" s="88">
        <v>11899224</v>
      </c>
      <c r="E3908" s="88" t="s">
        <v>61</v>
      </c>
      <c r="F3908" s="88">
        <v>0</v>
      </c>
      <c r="G3908" s="78">
        <f>MAX(H3908,I3908,J3908)</f>
        <v>1</v>
      </c>
      <c r="H3908" s="88"/>
      <c r="I3908" s="88"/>
      <c r="J3908" s="78">
        <f>MAX(K3908:Q3908)</f>
        <v>1</v>
      </c>
      <c r="K3908" s="88">
        <v>1</v>
      </c>
      <c r="L3908" s="88"/>
      <c r="M3908" s="88"/>
      <c r="N3908" s="88"/>
      <c r="O3908" s="88"/>
      <c r="P3908" s="88"/>
      <c r="Q3908" s="88"/>
      <c r="R3908" s="78">
        <f>MAX(S3908:W3908)</f>
        <v>0</v>
      </c>
      <c r="S3908" s="88"/>
      <c r="T3908" s="88"/>
      <c r="U3908" s="88"/>
      <c r="V3908" s="88"/>
      <c r="W3908" s="88"/>
    </row>
    <row r="3909" spans="2:23" s="0" customFormat="0" ht="15">
      <c r="B3909" s="87" t="s">
        <v>1</v>
      </c>
      <c r="C3909" s="88" t="s">
        <v>5259</v>
      </c>
      <c r="D3909" s="88">
        <v>20591727</v>
      </c>
      <c r="E3909" s="88" t="s">
        <v>61</v>
      </c>
      <c r="F3909" s="88">
        <v>0</v>
      </c>
      <c r="G3909" s="78">
        <f>MAX(H3909,I3909,J3909)</f>
        <v>1</v>
      </c>
      <c r="H3909" s="88"/>
      <c r="I3909" s="88"/>
      <c r="J3909" s="78">
        <f>MAX(K3909:Q3909)</f>
        <v>1</v>
      </c>
      <c r="K3909" s="88">
        <v>1</v>
      </c>
      <c r="L3909" s="88"/>
      <c r="M3909" s="88"/>
      <c r="N3909" s="88"/>
      <c r="O3909" s="88"/>
      <c r="P3909" s="88"/>
      <c r="Q3909" s="88"/>
      <c r="R3909" s="78">
        <f>MAX(S3909:W3909)</f>
        <v>0</v>
      </c>
      <c r="S3909" s="88"/>
      <c r="T3909" s="88"/>
      <c r="U3909" s="88"/>
      <c r="V3909" s="88"/>
      <c r="W3909" s="88"/>
    </row>
    <row r="3910" spans="2:23" s="0" customFormat="0" ht="15">
      <c r="B3910" s="87" t="s">
        <v>1</v>
      </c>
      <c r="C3910" s="88" t="s">
        <v>5259</v>
      </c>
      <c r="D3910" s="88" t="s">
        <v>4231</v>
      </c>
      <c r="E3910" s="88" t="s">
        <v>61</v>
      </c>
      <c r="F3910" s="88">
        <v>0</v>
      </c>
      <c r="G3910" s="78">
        <f>MAX(H3910,I3910,J3910)</f>
        <v>0</v>
      </c>
      <c r="H3910" s="88"/>
      <c r="I3910" s="88"/>
      <c r="J3910" s="78">
        <f>MAX(K3910:Q3910)</f>
        <v>0</v>
      </c>
      <c r="K3910" s="88"/>
      <c r="L3910" s="88"/>
      <c r="M3910" s="88"/>
      <c r="N3910" s="88"/>
      <c r="O3910" s="88"/>
      <c r="P3910" s="88"/>
      <c r="Q3910" s="88"/>
      <c r="R3910" s="78">
        <f>MAX(S3910:W3910)</f>
        <v>1</v>
      </c>
      <c r="S3910" s="88"/>
      <c r="T3910" s="88"/>
      <c r="U3910" s="88">
        <v>1</v>
      </c>
      <c r="V3910" s="88"/>
      <c r="W3910" s="88"/>
    </row>
    <row r="3911" spans="2:23" s="0" customFormat="0" ht="15">
      <c r="B3911" s="87" t="s">
        <v>1</v>
      </c>
      <c r="C3911" s="88" t="s">
        <v>5259</v>
      </c>
      <c r="D3911" s="88" t="s">
        <v>4188</v>
      </c>
      <c r="E3911" s="88" t="s">
        <v>61</v>
      </c>
      <c r="F3911" s="88">
        <v>0</v>
      </c>
      <c r="G3911" s="78">
        <f>MAX(H3911,I3911,J3911)</f>
        <v>0</v>
      </c>
      <c r="H3911" s="88"/>
      <c r="I3911" s="88"/>
      <c r="J3911" s="78">
        <f>MAX(K3911:Q3911)</f>
        <v>0</v>
      </c>
      <c r="K3911" s="88"/>
      <c r="L3911" s="88"/>
      <c r="M3911" s="88"/>
      <c r="N3911" s="88"/>
      <c r="O3911" s="88"/>
      <c r="P3911" s="88"/>
      <c r="Q3911" s="88"/>
      <c r="R3911" s="78">
        <f>MAX(S3911:W3911)</f>
        <v>1</v>
      </c>
      <c r="S3911" s="88"/>
      <c r="T3911" s="88"/>
      <c r="U3911" s="88">
        <v>1</v>
      </c>
      <c r="V3911" s="88"/>
      <c r="W3911" s="88"/>
    </row>
    <row r="3912" spans="2:23" s="0" customFormat="0" ht="15">
      <c r="B3912" s="87" t="s">
        <v>1</v>
      </c>
      <c r="C3912" s="88" t="s">
        <v>5259</v>
      </c>
      <c r="D3912" s="88">
        <v>14430635</v>
      </c>
      <c r="E3912" s="88" t="s">
        <v>61</v>
      </c>
      <c r="F3912" s="88">
        <v>0</v>
      </c>
      <c r="G3912" s="78">
        <f>MAX(H3912,I3912,J3912)</f>
        <v>1</v>
      </c>
      <c r="H3912" s="88"/>
      <c r="I3912" s="88"/>
      <c r="J3912" s="78">
        <f>MAX(K3912:Q3912)</f>
        <v>1</v>
      </c>
      <c r="K3912" s="88">
        <v>1</v>
      </c>
      <c r="L3912" s="88"/>
      <c r="M3912" s="88"/>
      <c r="N3912" s="88"/>
      <c r="O3912" s="88"/>
      <c r="P3912" s="88"/>
      <c r="Q3912" s="88"/>
      <c r="R3912" s="78">
        <f>MAX(S3912:W3912)</f>
        <v>0</v>
      </c>
      <c r="S3912" s="88"/>
      <c r="T3912" s="88"/>
      <c r="U3912" s="88"/>
      <c r="V3912" s="88"/>
      <c r="W3912" s="88"/>
    </row>
    <row r="3913" spans="2:23" s="0" customFormat="0" ht="15">
      <c r="B3913" s="87" t="s">
        <v>1</v>
      </c>
      <c r="C3913" s="88" t="s">
        <v>5259</v>
      </c>
      <c r="D3913" s="88">
        <v>4172303</v>
      </c>
      <c r="E3913" s="88" t="s">
        <v>61</v>
      </c>
      <c r="F3913" s="88">
        <v>0</v>
      </c>
      <c r="G3913" s="78">
        <f>MAX(H3913,I3913,J3913)</f>
        <v>0</v>
      </c>
      <c r="H3913" s="88"/>
      <c r="I3913" s="88"/>
      <c r="J3913" s="78">
        <f>MAX(K3913:Q3913)</f>
        <v>0</v>
      </c>
      <c r="K3913" s="88"/>
      <c r="L3913" s="88"/>
      <c r="M3913" s="88"/>
      <c r="N3913" s="88"/>
      <c r="O3913" s="88"/>
      <c r="P3913" s="88"/>
      <c r="Q3913" s="88"/>
      <c r="R3913" s="78">
        <f>MAX(S3913:W3913)</f>
        <v>1</v>
      </c>
      <c r="S3913" s="88"/>
      <c r="T3913" s="88"/>
      <c r="U3913" s="88"/>
      <c r="V3913" s="88">
        <v>1</v>
      </c>
      <c r="W3913" s="88"/>
    </row>
    <row r="3914" spans="2:23" s="0" customFormat="0" ht="15">
      <c r="B3914" s="87" t="s">
        <v>1</v>
      </c>
      <c r="C3914" s="88" t="s">
        <v>5259</v>
      </c>
      <c r="D3914" s="88">
        <v>19686810</v>
      </c>
      <c r="E3914" s="88" t="s">
        <v>61</v>
      </c>
      <c r="F3914" s="88">
        <v>0</v>
      </c>
      <c r="G3914" s="78">
        <f>MAX(H3914,I3914,J3914)</f>
        <v>1</v>
      </c>
      <c r="H3914" s="88"/>
      <c r="I3914" s="88"/>
      <c r="J3914" s="78">
        <f>MAX(K3914:Q3914)</f>
        <v>1</v>
      </c>
      <c r="K3914" s="88">
        <v>1</v>
      </c>
      <c r="L3914" s="88"/>
      <c r="M3914" s="88"/>
      <c r="N3914" s="88"/>
      <c r="O3914" s="88"/>
      <c r="P3914" s="88"/>
      <c r="Q3914" s="88"/>
      <c r="R3914" s="78">
        <f>MAX(S3914:W3914)</f>
        <v>0</v>
      </c>
      <c r="S3914" s="88"/>
      <c r="T3914" s="88"/>
      <c r="U3914" s="88"/>
      <c r="V3914" s="88"/>
      <c r="W3914" s="88"/>
    </row>
    <row r="3915" spans="2:23" s="0" customFormat="0" ht="15">
      <c r="B3915" s="87" t="s">
        <v>1</v>
      </c>
      <c r="C3915" s="88" t="s">
        <v>5259</v>
      </c>
      <c r="D3915" s="88" t="s">
        <v>4262</v>
      </c>
      <c r="E3915" s="88" t="s">
        <v>61</v>
      </c>
      <c r="F3915" s="88">
        <v>0</v>
      </c>
      <c r="G3915" s="78">
        <f>MAX(H3915,I3915,J3915)</f>
        <v>0</v>
      </c>
      <c r="H3915" s="88"/>
      <c r="I3915" s="88"/>
      <c r="J3915" s="78">
        <f>MAX(K3915:Q3915)</f>
        <v>0</v>
      </c>
      <c r="K3915" s="88"/>
      <c r="L3915" s="88"/>
      <c r="M3915" s="88"/>
      <c r="N3915" s="88"/>
      <c r="O3915" s="88"/>
      <c r="P3915" s="88"/>
      <c r="Q3915" s="88"/>
      <c r="R3915" s="78">
        <f>MAX(S3915:W3915)</f>
        <v>1</v>
      </c>
      <c r="S3915" s="88"/>
      <c r="T3915" s="88"/>
      <c r="U3915" s="88">
        <v>1</v>
      </c>
      <c r="V3915" s="88"/>
      <c r="W3915" s="88"/>
    </row>
    <row r="3916" spans="2:23" s="0" customFormat="0" ht="15">
      <c r="B3916" s="87" t="s">
        <v>1</v>
      </c>
      <c r="C3916" s="88" t="s">
        <v>5259</v>
      </c>
      <c r="D3916" s="88">
        <v>11911975</v>
      </c>
      <c r="E3916" s="88" t="s">
        <v>61</v>
      </c>
      <c r="F3916" s="88">
        <v>0</v>
      </c>
      <c r="G3916" s="78">
        <f>MAX(H3916,I3916,J3916)</f>
        <v>1</v>
      </c>
      <c r="H3916" s="88"/>
      <c r="I3916" s="88"/>
      <c r="J3916" s="78">
        <f>MAX(K3916:Q3916)</f>
        <v>1</v>
      </c>
      <c r="K3916" s="88">
        <v>1</v>
      </c>
      <c r="L3916" s="88"/>
      <c r="M3916" s="88"/>
      <c r="N3916" s="88"/>
      <c r="O3916" s="88"/>
      <c r="P3916" s="88"/>
      <c r="Q3916" s="88"/>
      <c r="R3916" s="78">
        <f>MAX(S3916:W3916)</f>
        <v>0</v>
      </c>
      <c r="S3916" s="88"/>
      <c r="T3916" s="88"/>
      <c r="U3916" s="88"/>
      <c r="V3916" s="88"/>
      <c r="W3916" s="88"/>
    </row>
    <row r="3917" spans="2:23" s="0" customFormat="0" ht="15">
      <c r="B3917" s="87" t="s">
        <v>1</v>
      </c>
      <c r="C3917" s="88" t="s">
        <v>5259</v>
      </c>
      <c r="D3917" s="88">
        <v>17939593</v>
      </c>
      <c r="E3917" s="88" t="s">
        <v>61</v>
      </c>
      <c r="F3917" s="88">
        <v>0</v>
      </c>
      <c r="G3917" s="78">
        <f>MAX(H3917,I3917,J3917)</f>
        <v>1</v>
      </c>
      <c r="H3917" s="88"/>
      <c r="I3917" s="88"/>
      <c r="J3917" s="78">
        <f>MAX(K3917:Q3917)</f>
        <v>1</v>
      </c>
      <c r="K3917" s="88">
        <v>1</v>
      </c>
      <c r="L3917" s="88"/>
      <c r="M3917" s="88"/>
      <c r="N3917" s="88"/>
      <c r="O3917" s="88"/>
      <c r="P3917" s="88"/>
      <c r="Q3917" s="88"/>
      <c r="R3917" s="78">
        <f>MAX(S3917:W3917)</f>
        <v>0</v>
      </c>
      <c r="S3917" s="88"/>
      <c r="T3917" s="88"/>
      <c r="U3917" s="88"/>
      <c r="V3917" s="88"/>
      <c r="W3917" s="88"/>
    </row>
    <row r="3918" spans="2:23" s="0" customFormat="0" ht="15">
      <c r="B3918" s="87" t="s">
        <v>1</v>
      </c>
      <c r="C3918" s="88" t="s">
        <v>5259</v>
      </c>
      <c r="D3918" s="88" t="s">
        <v>4542</v>
      </c>
      <c r="E3918" s="88" t="s">
        <v>61</v>
      </c>
      <c r="F3918" s="88">
        <v>0</v>
      </c>
      <c r="G3918" s="78">
        <f>MAX(H3918,I3918,J3918)</f>
        <v>0</v>
      </c>
      <c r="H3918" s="88"/>
      <c r="I3918" s="88"/>
      <c r="J3918" s="78">
        <f>MAX(K3918:Q3918)</f>
        <v>0</v>
      </c>
      <c r="K3918" s="88"/>
      <c r="L3918" s="88"/>
      <c r="M3918" s="88"/>
      <c r="N3918" s="88"/>
      <c r="O3918" s="88"/>
      <c r="P3918" s="88"/>
      <c r="Q3918" s="88"/>
      <c r="R3918" s="78">
        <f>MAX(S3918:W3918)</f>
        <v>1</v>
      </c>
      <c r="S3918" s="88"/>
      <c r="T3918" s="88"/>
      <c r="U3918" s="88">
        <v>1</v>
      </c>
      <c r="V3918" s="88"/>
      <c r="W3918" s="88"/>
    </row>
    <row r="3919" spans="2:23" s="0" customFormat="0" ht="15">
      <c r="B3919" s="87" t="s">
        <v>1</v>
      </c>
      <c r="C3919" s="88" t="s">
        <v>5259</v>
      </c>
      <c r="D3919" s="88" t="s">
        <v>2285</v>
      </c>
      <c r="E3919" s="88" t="s">
        <v>61</v>
      </c>
      <c r="F3919" s="88">
        <v>0</v>
      </c>
      <c r="G3919" s="78">
        <f>MAX(H3919,I3919,J3919)</f>
        <v>1</v>
      </c>
      <c r="H3919" s="88"/>
      <c r="I3919" s="88"/>
      <c r="J3919" s="78">
        <f>MAX(K3919:Q3919)</f>
        <v>1</v>
      </c>
      <c r="K3919" s="88">
        <v>1</v>
      </c>
      <c r="L3919" s="88"/>
      <c r="M3919" s="88"/>
      <c r="N3919" s="88"/>
      <c r="O3919" s="88"/>
      <c r="P3919" s="88"/>
      <c r="Q3919" s="88"/>
      <c r="R3919" s="78">
        <f>MAX(S3919:W3919)</f>
        <v>0</v>
      </c>
      <c r="S3919" s="88"/>
      <c r="T3919" s="88"/>
      <c r="U3919" s="88"/>
      <c r="V3919" s="88"/>
      <c r="W3919" s="88"/>
    </row>
    <row r="3920" spans="2:23" s="0" customFormat="0" ht="15">
      <c r="B3920" s="87" t="s">
        <v>1</v>
      </c>
      <c r="C3920" s="88" t="s">
        <v>5259</v>
      </c>
      <c r="D3920" s="88">
        <v>15223787</v>
      </c>
      <c r="E3920" s="88" t="s">
        <v>61</v>
      </c>
      <c r="F3920" s="88">
        <v>0</v>
      </c>
      <c r="G3920" s="78">
        <f>MAX(H3920,I3920,J3920)</f>
        <v>1</v>
      </c>
      <c r="H3920" s="88"/>
      <c r="I3920" s="88"/>
      <c r="J3920" s="78">
        <f>MAX(K3920:Q3920)</f>
        <v>1</v>
      </c>
      <c r="K3920" s="88">
        <v>1</v>
      </c>
      <c r="L3920" s="88"/>
      <c r="M3920" s="88"/>
      <c r="N3920" s="88"/>
      <c r="O3920" s="88"/>
      <c r="P3920" s="88"/>
      <c r="Q3920" s="88"/>
      <c r="R3920" s="78">
        <f>MAX(S3920:W3920)</f>
        <v>0</v>
      </c>
      <c r="S3920" s="88"/>
      <c r="T3920" s="88"/>
      <c r="U3920" s="88"/>
      <c r="V3920" s="88"/>
      <c r="W3920" s="88"/>
    </row>
    <row r="3921" spans="2:23" s="0" customFormat="0" ht="15">
      <c r="B3921" s="87" t="s">
        <v>1</v>
      </c>
      <c r="C3921" s="88" t="s">
        <v>5259</v>
      </c>
      <c r="D3921" s="88" t="s">
        <v>909</v>
      </c>
      <c r="E3921" s="88" t="s">
        <v>61</v>
      </c>
      <c r="F3921" s="88">
        <v>0</v>
      </c>
      <c r="G3921" s="78">
        <f>MAX(H3921,I3921,J3921)</f>
        <v>1</v>
      </c>
      <c r="H3921" s="88"/>
      <c r="I3921" s="88"/>
      <c r="J3921" s="78">
        <f>MAX(K3921:Q3921)</f>
        <v>1</v>
      </c>
      <c r="K3921" s="88">
        <v>1</v>
      </c>
      <c r="L3921" s="88"/>
      <c r="M3921" s="88"/>
      <c r="N3921" s="88"/>
      <c r="O3921" s="88"/>
      <c r="P3921" s="88"/>
      <c r="Q3921" s="88"/>
      <c r="R3921" s="78">
        <f>MAX(S3921:W3921)</f>
        <v>0</v>
      </c>
      <c r="S3921" s="88"/>
      <c r="T3921" s="88"/>
      <c r="U3921" s="88"/>
      <c r="V3921" s="88"/>
      <c r="W3921" s="88"/>
    </row>
    <row r="3922" spans="2:23" s="0" customFormat="0" ht="15">
      <c r="B3922" s="87" t="s">
        <v>1</v>
      </c>
      <c r="C3922" s="88" t="s">
        <v>5259</v>
      </c>
      <c r="D3922" s="88">
        <v>2043053</v>
      </c>
      <c r="E3922" s="88" t="s">
        <v>61</v>
      </c>
      <c r="F3922" s="88">
        <v>0</v>
      </c>
      <c r="G3922" s="78">
        <f>MAX(H3922,I3922,J3922)</f>
        <v>1</v>
      </c>
      <c r="H3922" s="88"/>
      <c r="I3922" s="88"/>
      <c r="J3922" s="78">
        <f>MAX(K3922:Q3922)</f>
        <v>1</v>
      </c>
      <c r="K3922" s="88">
        <v>1</v>
      </c>
      <c r="L3922" s="88"/>
      <c r="M3922" s="88"/>
      <c r="N3922" s="88"/>
      <c r="O3922" s="88"/>
      <c r="P3922" s="88"/>
      <c r="Q3922" s="88"/>
      <c r="R3922" s="78">
        <f>MAX(S3922:W3922)</f>
        <v>0</v>
      </c>
      <c r="S3922" s="88"/>
      <c r="T3922" s="88"/>
      <c r="U3922" s="88"/>
      <c r="V3922" s="88"/>
      <c r="W3922" s="88"/>
    </row>
    <row r="3923" spans="2:23" s="0" customFormat="0" ht="15">
      <c r="B3923" s="87" t="s">
        <v>1</v>
      </c>
      <c r="C3923" s="88" t="s">
        <v>5259</v>
      </c>
      <c r="D3923" s="88">
        <v>7065911</v>
      </c>
      <c r="E3923" s="88" t="s">
        <v>61</v>
      </c>
      <c r="F3923" s="88">
        <v>0</v>
      </c>
      <c r="G3923" s="78">
        <f>MAX(H3923,I3923,J3923)</f>
        <v>0</v>
      </c>
      <c r="H3923" s="88"/>
      <c r="I3923" s="88"/>
      <c r="J3923" s="78">
        <f>MAX(K3923:Q3923)</f>
        <v>0</v>
      </c>
      <c r="K3923" s="88"/>
      <c r="L3923" s="88"/>
      <c r="M3923" s="88"/>
      <c r="N3923" s="88"/>
      <c r="O3923" s="88"/>
      <c r="P3923" s="88"/>
      <c r="Q3923" s="88"/>
      <c r="R3923" s="78">
        <f>MAX(S3923:W3923)</f>
        <v>1</v>
      </c>
      <c r="S3923" s="88"/>
      <c r="T3923" s="88"/>
      <c r="U3923" s="88">
        <v>1</v>
      </c>
      <c r="V3923" s="88"/>
      <c r="W3923" s="88"/>
    </row>
    <row r="3924" spans="2:23" s="0" customFormat="0" ht="15">
      <c r="B3924" s="87" t="s">
        <v>1</v>
      </c>
      <c r="C3924" s="88" t="s">
        <v>5259</v>
      </c>
      <c r="D3924" s="88">
        <v>20847807</v>
      </c>
      <c r="E3924" s="88" t="s">
        <v>61</v>
      </c>
      <c r="F3924" s="88">
        <v>0</v>
      </c>
      <c r="G3924" s="78">
        <f>MAX(H3924,I3924,J3924)</f>
        <v>1</v>
      </c>
      <c r="H3924" s="88"/>
      <c r="I3924" s="88"/>
      <c r="J3924" s="78">
        <f>MAX(K3924:Q3924)</f>
        <v>1</v>
      </c>
      <c r="K3924" s="88">
        <v>1</v>
      </c>
      <c r="L3924" s="88"/>
      <c r="M3924" s="88"/>
      <c r="N3924" s="88"/>
      <c r="O3924" s="88"/>
      <c r="P3924" s="88"/>
      <c r="Q3924" s="88"/>
      <c r="R3924" s="78">
        <f>MAX(S3924:W3924)</f>
        <v>0</v>
      </c>
      <c r="S3924" s="88"/>
      <c r="T3924" s="88"/>
      <c r="U3924" s="88"/>
      <c r="V3924" s="88"/>
      <c r="W3924" s="88"/>
    </row>
    <row r="3925" spans="2:23" s="0" customFormat="0" ht="15">
      <c r="B3925" s="87" t="s">
        <v>1</v>
      </c>
      <c r="C3925" s="88" t="s">
        <v>5259</v>
      </c>
      <c r="D3925" s="88">
        <v>12101483</v>
      </c>
      <c r="E3925" s="88" t="s">
        <v>61</v>
      </c>
      <c r="F3925" s="88">
        <v>0</v>
      </c>
      <c r="G3925" s="78">
        <f>MAX(H3925,I3925,J3925)</f>
        <v>1</v>
      </c>
      <c r="H3925" s="88"/>
      <c r="I3925" s="88"/>
      <c r="J3925" s="78">
        <f>MAX(K3925:Q3925)</f>
        <v>1</v>
      </c>
      <c r="K3925" s="88">
        <v>1</v>
      </c>
      <c r="L3925" s="88"/>
      <c r="M3925" s="88"/>
      <c r="N3925" s="88"/>
      <c r="O3925" s="88"/>
      <c r="P3925" s="88"/>
      <c r="Q3925" s="88"/>
      <c r="R3925" s="78">
        <f>MAX(S3925:W3925)</f>
        <v>0</v>
      </c>
      <c r="S3925" s="88"/>
      <c r="T3925" s="88"/>
      <c r="U3925" s="88"/>
      <c r="V3925" s="88"/>
      <c r="W3925" s="88"/>
    </row>
    <row r="3926" spans="2:23" s="0" customFormat="0" ht="15">
      <c r="B3926" s="87" t="s">
        <v>1</v>
      </c>
      <c r="C3926" s="88" t="s">
        <v>5259</v>
      </c>
      <c r="D3926" s="88">
        <v>6088170</v>
      </c>
      <c r="E3926" s="88" t="s">
        <v>61</v>
      </c>
      <c r="F3926" s="88">
        <v>0</v>
      </c>
      <c r="G3926" s="78">
        <f>MAX(H3926,I3926,J3926)</f>
        <v>1</v>
      </c>
      <c r="H3926" s="88"/>
      <c r="I3926" s="88"/>
      <c r="J3926" s="78">
        <f>MAX(K3926:Q3926)</f>
        <v>1</v>
      </c>
      <c r="K3926" s="88">
        <v>1</v>
      </c>
      <c r="L3926" s="88"/>
      <c r="M3926" s="88"/>
      <c r="N3926" s="88"/>
      <c r="O3926" s="88"/>
      <c r="P3926" s="88"/>
      <c r="Q3926" s="88"/>
      <c r="R3926" s="78">
        <f>MAX(S3926:W3926)</f>
        <v>0</v>
      </c>
      <c r="S3926" s="88"/>
      <c r="T3926" s="88"/>
      <c r="U3926" s="88"/>
      <c r="V3926" s="88"/>
      <c r="W3926" s="88"/>
    </row>
    <row r="3927" spans="2:23" s="0" customFormat="0" ht="15">
      <c r="B3927" s="87" t="s">
        <v>1</v>
      </c>
      <c r="C3927" s="88" t="s">
        <v>5259</v>
      </c>
      <c r="D3927" s="88">
        <v>17095258</v>
      </c>
      <c r="E3927" s="88" t="s">
        <v>61</v>
      </c>
      <c r="F3927" s="88">
        <v>0</v>
      </c>
      <c r="G3927" s="78">
        <f>MAX(H3927,I3927,J3927)</f>
        <v>1</v>
      </c>
      <c r="H3927" s="88"/>
      <c r="I3927" s="88"/>
      <c r="J3927" s="78">
        <f>MAX(K3927:Q3927)</f>
        <v>1</v>
      </c>
      <c r="K3927" s="88">
        <v>1</v>
      </c>
      <c r="L3927" s="88"/>
      <c r="M3927" s="88"/>
      <c r="N3927" s="88"/>
      <c r="O3927" s="88"/>
      <c r="P3927" s="88"/>
      <c r="Q3927" s="88"/>
      <c r="R3927" s="78">
        <f>MAX(S3927:W3927)</f>
        <v>0</v>
      </c>
      <c r="S3927" s="88"/>
      <c r="T3927" s="88"/>
      <c r="U3927" s="88"/>
      <c r="V3927" s="88"/>
      <c r="W3927" s="88"/>
    </row>
    <row r="3928" spans="2:23" s="0" customFormat="0" ht="15">
      <c r="B3928" s="87" t="s">
        <v>1</v>
      </c>
      <c r="C3928" s="88" t="s">
        <v>5259</v>
      </c>
      <c r="D3928" s="88">
        <v>13145185</v>
      </c>
      <c r="E3928" s="88" t="s">
        <v>61</v>
      </c>
      <c r="F3928" s="88">
        <v>0</v>
      </c>
      <c r="G3928" s="78">
        <f>MAX(H3928,I3928,J3928)</f>
        <v>1</v>
      </c>
      <c r="H3928" s="88"/>
      <c r="I3928" s="88"/>
      <c r="J3928" s="78">
        <f>MAX(K3928:Q3928)</f>
        <v>1</v>
      </c>
      <c r="K3928" s="88">
        <v>1</v>
      </c>
      <c r="L3928" s="88"/>
      <c r="M3928" s="88"/>
      <c r="N3928" s="88"/>
      <c r="O3928" s="88"/>
      <c r="P3928" s="88"/>
      <c r="Q3928" s="88"/>
      <c r="R3928" s="78">
        <f>MAX(S3928:W3928)</f>
        <v>0</v>
      </c>
      <c r="S3928" s="88"/>
      <c r="T3928" s="88"/>
      <c r="U3928" s="88"/>
      <c r="V3928" s="88"/>
      <c r="W3928" s="88"/>
    </row>
    <row r="3929" spans="2:23" s="0" customFormat="0" ht="15">
      <c r="B3929" s="87" t="s">
        <v>1</v>
      </c>
      <c r="C3929" s="88" t="s">
        <v>5259</v>
      </c>
      <c r="D3929" s="88" t="s">
        <v>2420</v>
      </c>
      <c r="E3929" s="88" t="s">
        <v>61</v>
      </c>
      <c r="F3929" s="88">
        <v>0</v>
      </c>
      <c r="G3929" s="78">
        <f>MAX(H3929,I3929,J3929)</f>
        <v>1</v>
      </c>
      <c r="H3929" s="88"/>
      <c r="I3929" s="88"/>
      <c r="J3929" s="78">
        <f>MAX(K3929:Q3929)</f>
        <v>1</v>
      </c>
      <c r="K3929" s="88">
        <v>1</v>
      </c>
      <c r="L3929" s="88"/>
      <c r="M3929" s="88"/>
      <c r="N3929" s="88"/>
      <c r="O3929" s="88"/>
      <c r="P3929" s="88"/>
      <c r="Q3929" s="88"/>
      <c r="R3929" s="78">
        <f>MAX(S3929:W3929)</f>
        <v>0</v>
      </c>
      <c r="S3929" s="88"/>
      <c r="T3929" s="88"/>
      <c r="U3929" s="88"/>
      <c r="V3929" s="88"/>
      <c r="W3929" s="88"/>
    </row>
    <row r="3930" spans="2:23" s="0" customFormat="0" ht="15">
      <c r="B3930" s="87" t="s">
        <v>1</v>
      </c>
      <c r="C3930" s="88" t="s">
        <v>5259</v>
      </c>
      <c r="D3930" s="88">
        <v>19863533</v>
      </c>
      <c r="E3930" s="88" t="s">
        <v>61</v>
      </c>
      <c r="F3930" s="88">
        <v>0</v>
      </c>
      <c r="G3930" s="78">
        <f>MAX(H3930,I3930,J3930)</f>
        <v>1</v>
      </c>
      <c r="H3930" s="88"/>
      <c r="I3930" s="88"/>
      <c r="J3930" s="78">
        <f>MAX(K3930:Q3930)</f>
        <v>1</v>
      </c>
      <c r="K3930" s="88">
        <v>1</v>
      </c>
      <c r="L3930" s="88"/>
      <c r="M3930" s="88"/>
      <c r="N3930" s="88"/>
      <c r="O3930" s="88"/>
      <c r="P3930" s="88"/>
      <c r="Q3930" s="88"/>
      <c r="R3930" s="78">
        <f>MAX(S3930:W3930)</f>
        <v>0</v>
      </c>
      <c r="S3930" s="88"/>
      <c r="T3930" s="88"/>
      <c r="U3930" s="88"/>
      <c r="V3930" s="88"/>
      <c r="W3930" s="88"/>
    </row>
    <row r="3931" spans="2:23" s="0" customFormat="0" ht="15">
      <c r="B3931" s="87" t="s">
        <v>1</v>
      </c>
      <c r="C3931" s="88" t="s">
        <v>5259</v>
      </c>
      <c r="D3931" s="88" t="s">
        <v>1064</v>
      </c>
      <c r="E3931" s="88" t="s">
        <v>61</v>
      </c>
      <c r="F3931" s="88">
        <v>0</v>
      </c>
      <c r="G3931" s="78">
        <f>MAX(H3931,I3931,J3931)</f>
        <v>1</v>
      </c>
      <c r="H3931" s="88"/>
      <c r="I3931" s="88"/>
      <c r="J3931" s="78">
        <f>MAX(K3931:Q3931)</f>
        <v>1</v>
      </c>
      <c r="K3931" s="88">
        <v>1</v>
      </c>
      <c r="L3931" s="88"/>
      <c r="M3931" s="88"/>
      <c r="N3931" s="88"/>
      <c r="O3931" s="88"/>
      <c r="P3931" s="88"/>
      <c r="Q3931" s="88"/>
      <c r="R3931" s="78">
        <f>MAX(S3931:W3931)</f>
        <v>0</v>
      </c>
      <c r="S3931" s="88"/>
      <c r="T3931" s="88"/>
      <c r="U3931" s="88"/>
      <c r="V3931" s="88"/>
      <c r="W3931" s="88"/>
    </row>
    <row r="3932" spans="2:23" s="0" customFormat="0" ht="15">
      <c r="B3932" s="87" t="s">
        <v>1</v>
      </c>
      <c r="C3932" s="88" t="s">
        <v>5259</v>
      </c>
      <c r="D3932" s="88" t="s">
        <v>2280</v>
      </c>
      <c r="E3932" s="88" t="s">
        <v>61</v>
      </c>
      <c r="F3932" s="88">
        <v>0</v>
      </c>
      <c r="G3932" s="78">
        <f>MAX(H3932,I3932,J3932)</f>
        <v>1</v>
      </c>
      <c r="H3932" s="88"/>
      <c r="I3932" s="88"/>
      <c r="J3932" s="78">
        <f>MAX(K3932:Q3932)</f>
        <v>1</v>
      </c>
      <c r="K3932" s="88">
        <v>1</v>
      </c>
      <c r="L3932" s="88"/>
      <c r="M3932" s="88"/>
      <c r="N3932" s="88"/>
      <c r="O3932" s="88"/>
      <c r="P3932" s="88"/>
      <c r="Q3932" s="88"/>
      <c r="R3932" s="78">
        <f>MAX(S3932:W3932)</f>
        <v>0</v>
      </c>
      <c r="S3932" s="88"/>
      <c r="T3932" s="88"/>
      <c r="U3932" s="88"/>
      <c r="V3932" s="88"/>
      <c r="W3932" s="88"/>
    </row>
    <row r="3933" spans="2:23" s="0" customFormat="0" ht="15">
      <c r="B3933" s="87" t="s">
        <v>1</v>
      </c>
      <c r="C3933" s="88" t="s">
        <v>5259</v>
      </c>
      <c r="D3933" s="88" t="s">
        <v>2423</v>
      </c>
      <c r="E3933" s="88" t="s">
        <v>61</v>
      </c>
      <c r="F3933" s="88">
        <v>0</v>
      </c>
      <c r="G3933" s="78">
        <f>MAX(H3933,I3933,J3933)</f>
        <v>1</v>
      </c>
      <c r="H3933" s="88"/>
      <c r="I3933" s="88"/>
      <c r="J3933" s="78">
        <f>MAX(K3933:Q3933)</f>
        <v>1</v>
      </c>
      <c r="K3933" s="88">
        <v>1</v>
      </c>
      <c r="L3933" s="88"/>
      <c r="M3933" s="88"/>
      <c r="N3933" s="88"/>
      <c r="O3933" s="88"/>
      <c r="P3933" s="88"/>
      <c r="Q3933" s="88"/>
      <c r="R3933" s="78">
        <f>MAX(S3933:W3933)</f>
        <v>0</v>
      </c>
      <c r="S3933" s="88"/>
      <c r="T3933" s="88"/>
      <c r="U3933" s="88"/>
      <c r="V3933" s="88"/>
      <c r="W3933" s="88"/>
    </row>
    <row r="3934" spans="2:23" s="0" customFormat="0" ht="15">
      <c r="B3934" s="87" t="s">
        <v>1</v>
      </c>
      <c r="C3934" s="88" t="s">
        <v>5259</v>
      </c>
      <c r="D3934" s="88" t="s">
        <v>2425</v>
      </c>
      <c r="E3934" s="88" t="s">
        <v>61</v>
      </c>
      <c r="F3934" s="88">
        <v>0</v>
      </c>
      <c r="G3934" s="78">
        <f>MAX(H3934,I3934,J3934)</f>
        <v>1</v>
      </c>
      <c r="H3934" s="88"/>
      <c r="I3934" s="88"/>
      <c r="J3934" s="78">
        <f>MAX(K3934:Q3934)</f>
        <v>1</v>
      </c>
      <c r="K3934" s="88">
        <v>1</v>
      </c>
      <c r="L3934" s="88"/>
      <c r="M3934" s="88"/>
      <c r="N3934" s="88"/>
      <c r="O3934" s="88"/>
      <c r="P3934" s="88"/>
      <c r="Q3934" s="88"/>
      <c r="R3934" s="78">
        <f>MAX(S3934:W3934)</f>
        <v>0</v>
      </c>
      <c r="S3934" s="88"/>
      <c r="T3934" s="88"/>
      <c r="U3934" s="88"/>
      <c r="V3934" s="88"/>
      <c r="W3934" s="88"/>
    </row>
    <row r="3935" spans="2:23" s="0" customFormat="0" ht="15">
      <c r="B3935" s="87" t="s">
        <v>1</v>
      </c>
      <c r="C3935" s="88" t="s">
        <v>5259</v>
      </c>
      <c r="D3935" s="88" t="s">
        <v>1625</v>
      </c>
      <c r="E3935" s="88" t="s">
        <v>61</v>
      </c>
      <c r="F3935" s="88">
        <v>0</v>
      </c>
      <c r="G3935" s="78">
        <f>MAX(H3935,I3935,J3935)</f>
        <v>1</v>
      </c>
      <c r="H3935" s="88"/>
      <c r="I3935" s="88"/>
      <c r="J3935" s="78">
        <f>MAX(K3935:Q3935)</f>
        <v>1</v>
      </c>
      <c r="K3935" s="88">
        <v>1</v>
      </c>
      <c r="L3935" s="88"/>
      <c r="M3935" s="88"/>
      <c r="N3935" s="88"/>
      <c r="O3935" s="88"/>
      <c r="P3935" s="88"/>
      <c r="Q3935" s="88"/>
      <c r="R3935" s="78">
        <f>MAX(S3935:W3935)</f>
        <v>0</v>
      </c>
      <c r="S3935" s="88"/>
      <c r="T3935" s="88"/>
      <c r="U3935" s="88"/>
      <c r="V3935" s="88"/>
      <c r="W3935" s="88"/>
    </row>
    <row r="3936" spans="2:23" s="0" customFormat="0" ht="15">
      <c r="B3936" s="87" t="s">
        <v>1</v>
      </c>
      <c r="C3936" s="88" t="s">
        <v>5259</v>
      </c>
      <c r="D3936" s="88">
        <v>22448713</v>
      </c>
      <c r="E3936" s="88" t="s">
        <v>61</v>
      </c>
      <c r="F3936" s="88">
        <v>0</v>
      </c>
      <c r="G3936" s="78">
        <f>MAX(H3936,I3936,J3936)</f>
        <v>1</v>
      </c>
      <c r="H3936" s="88"/>
      <c r="I3936" s="88"/>
      <c r="J3936" s="78">
        <f>MAX(K3936:Q3936)</f>
        <v>1</v>
      </c>
      <c r="K3936" s="88">
        <v>1</v>
      </c>
      <c r="L3936" s="88"/>
      <c r="M3936" s="88"/>
      <c r="N3936" s="88"/>
      <c r="O3936" s="88"/>
      <c r="P3936" s="88"/>
      <c r="Q3936" s="88"/>
      <c r="R3936" s="78">
        <f>MAX(S3936:W3936)</f>
        <v>0</v>
      </c>
      <c r="S3936" s="88"/>
      <c r="T3936" s="88"/>
      <c r="U3936" s="88"/>
      <c r="V3936" s="88"/>
      <c r="W3936" s="88"/>
    </row>
    <row r="3937" spans="2:23" s="0" customFormat="0" ht="15">
      <c r="B3937" s="87" t="s">
        <v>1</v>
      </c>
      <c r="C3937" s="88" t="s">
        <v>5259</v>
      </c>
      <c r="D3937" s="88" t="s">
        <v>2428</v>
      </c>
      <c r="E3937" s="88" t="s">
        <v>61</v>
      </c>
      <c r="F3937" s="88">
        <v>0</v>
      </c>
      <c r="G3937" s="78">
        <f>MAX(H3937,I3937,J3937)</f>
        <v>1</v>
      </c>
      <c r="H3937" s="88"/>
      <c r="I3937" s="88"/>
      <c r="J3937" s="78">
        <f>MAX(K3937:Q3937)</f>
        <v>1</v>
      </c>
      <c r="K3937" s="88">
        <v>1</v>
      </c>
      <c r="L3937" s="88"/>
      <c r="M3937" s="88"/>
      <c r="N3937" s="88"/>
      <c r="O3937" s="88"/>
      <c r="P3937" s="88"/>
      <c r="Q3937" s="88"/>
      <c r="R3937" s="78">
        <f>MAX(S3937:W3937)</f>
        <v>0</v>
      </c>
      <c r="S3937" s="88"/>
      <c r="T3937" s="88"/>
      <c r="U3937" s="88"/>
      <c r="V3937" s="88"/>
      <c r="W3937" s="88"/>
    </row>
    <row r="3938" spans="2:23" s="0" customFormat="0" ht="15">
      <c r="B3938" s="87" t="s">
        <v>1</v>
      </c>
      <c r="C3938" s="88" t="s">
        <v>5259</v>
      </c>
      <c r="D3938" s="88" t="s">
        <v>1762</v>
      </c>
      <c r="E3938" s="88" t="s">
        <v>61</v>
      </c>
      <c r="F3938" s="88">
        <v>0</v>
      </c>
      <c r="G3938" s="78">
        <f>MAX(H3938,I3938,J3938)</f>
        <v>1</v>
      </c>
      <c r="H3938" s="88"/>
      <c r="I3938" s="88"/>
      <c r="J3938" s="78">
        <f>MAX(K3938:Q3938)</f>
        <v>1</v>
      </c>
      <c r="K3938" s="88">
        <v>1</v>
      </c>
      <c r="L3938" s="88"/>
      <c r="M3938" s="88"/>
      <c r="N3938" s="88"/>
      <c r="O3938" s="88"/>
      <c r="P3938" s="88"/>
      <c r="Q3938" s="88"/>
      <c r="R3938" s="78">
        <f>MAX(S3938:W3938)</f>
        <v>0</v>
      </c>
      <c r="S3938" s="88"/>
      <c r="T3938" s="88"/>
      <c r="U3938" s="88"/>
      <c r="V3938" s="88"/>
      <c r="W3938" s="88"/>
    </row>
    <row r="3939" spans="2:23" s="0" customFormat="0" ht="15">
      <c r="B3939" s="87" t="s">
        <v>1</v>
      </c>
      <c r="C3939" s="88" t="s">
        <v>5259</v>
      </c>
      <c r="D3939" s="88" t="s">
        <v>670</v>
      </c>
      <c r="E3939" s="88" t="s">
        <v>61</v>
      </c>
      <c r="F3939" s="88">
        <v>0</v>
      </c>
      <c r="G3939" s="78">
        <f>MAX(H3939,I3939,J3939)</f>
        <v>1</v>
      </c>
      <c r="H3939" s="88"/>
      <c r="I3939" s="88"/>
      <c r="J3939" s="78">
        <f>MAX(K3939:Q3939)</f>
        <v>1</v>
      </c>
      <c r="K3939" s="88">
        <v>1</v>
      </c>
      <c r="L3939" s="88"/>
      <c r="M3939" s="88"/>
      <c r="N3939" s="88"/>
      <c r="O3939" s="88"/>
      <c r="P3939" s="88"/>
      <c r="Q3939" s="88"/>
      <c r="R3939" s="78">
        <f>MAX(S3939:W3939)</f>
        <v>0</v>
      </c>
      <c r="S3939" s="88"/>
      <c r="T3939" s="88"/>
      <c r="U3939" s="88"/>
      <c r="V3939" s="88"/>
      <c r="W3939" s="88"/>
    </row>
    <row r="3940" spans="2:23" s="0" customFormat="0" ht="15">
      <c r="B3940" s="87" t="s">
        <v>1</v>
      </c>
      <c r="C3940" s="88" t="s">
        <v>5259</v>
      </c>
      <c r="D3940" s="88" t="s">
        <v>4872</v>
      </c>
      <c r="E3940" s="88" t="s">
        <v>61</v>
      </c>
      <c r="F3940" s="88">
        <v>0</v>
      </c>
      <c r="G3940" s="78">
        <f>MAX(H3940,I3940,J3940)</f>
        <v>0</v>
      </c>
      <c r="H3940" s="88"/>
      <c r="I3940" s="88"/>
      <c r="J3940" s="78">
        <f>MAX(K3940:Q3940)</f>
        <v>0</v>
      </c>
      <c r="K3940" s="88"/>
      <c r="L3940" s="88"/>
      <c r="M3940" s="88"/>
      <c r="N3940" s="88"/>
      <c r="O3940" s="88"/>
      <c r="P3940" s="88"/>
      <c r="Q3940" s="88"/>
      <c r="R3940" s="78">
        <f>MAX(S3940:W3940)</f>
        <v>1</v>
      </c>
      <c r="S3940" s="88"/>
      <c r="T3940" s="88"/>
      <c r="U3940" s="88">
        <v>1</v>
      </c>
      <c r="V3940" s="88"/>
      <c r="W3940" s="88"/>
    </row>
    <row r="3941" spans="2:23" s="0" customFormat="0" ht="15">
      <c r="B3941" s="87" t="s">
        <v>1</v>
      </c>
      <c r="C3941" s="88" t="s">
        <v>5259</v>
      </c>
      <c r="D3941" s="88">
        <v>17997877</v>
      </c>
      <c r="E3941" s="88" t="s">
        <v>61</v>
      </c>
      <c r="F3941" s="88">
        <v>0</v>
      </c>
      <c r="G3941" s="78">
        <f>MAX(H3941,I3941,J3941)</f>
        <v>1</v>
      </c>
      <c r="H3941" s="88"/>
      <c r="I3941" s="88"/>
      <c r="J3941" s="78">
        <f>MAX(K3941:Q3941)</f>
        <v>1</v>
      </c>
      <c r="K3941" s="88">
        <v>1</v>
      </c>
      <c r="L3941" s="88"/>
      <c r="M3941" s="88"/>
      <c r="N3941" s="88"/>
      <c r="O3941" s="88"/>
      <c r="P3941" s="88"/>
      <c r="Q3941" s="88"/>
      <c r="R3941" s="78">
        <f>MAX(S3941:W3941)</f>
        <v>0</v>
      </c>
      <c r="S3941" s="88"/>
      <c r="T3941" s="88"/>
      <c r="U3941" s="88"/>
      <c r="V3941" s="88"/>
      <c r="W3941" s="88"/>
    </row>
    <row r="3942" spans="2:23" s="0" customFormat="0" ht="15">
      <c r="B3942" s="87" t="s">
        <v>1</v>
      </c>
      <c r="C3942" s="88" t="s">
        <v>5259</v>
      </c>
      <c r="D3942" s="88">
        <v>21069413</v>
      </c>
      <c r="E3942" s="88" t="s">
        <v>61</v>
      </c>
      <c r="F3942" s="88">
        <v>0</v>
      </c>
      <c r="G3942" s="78">
        <f>MAX(H3942,I3942,J3942)</f>
        <v>1</v>
      </c>
      <c r="H3942" s="88"/>
      <c r="I3942" s="88"/>
      <c r="J3942" s="78">
        <f>MAX(K3942:Q3942)</f>
        <v>1</v>
      </c>
      <c r="K3942" s="88">
        <v>1</v>
      </c>
      <c r="L3942" s="88"/>
      <c r="M3942" s="88"/>
      <c r="N3942" s="88"/>
      <c r="O3942" s="88"/>
      <c r="P3942" s="88"/>
      <c r="Q3942" s="88"/>
      <c r="R3942" s="78">
        <f>MAX(S3942:W3942)</f>
        <v>0</v>
      </c>
      <c r="S3942" s="88"/>
      <c r="T3942" s="88"/>
      <c r="U3942" s="88"/>
      <c r="V3942" s="88"/>
      <c r="W3942" s="88"/>
    </row>
    <row r="3943" spans="2:23" s="0" customFormat="0" ht="15">
      <c r="B3943" s="87" t="s">
        <v>1</v>
      </c>
      <c r="C3943" s="88" t="s">
        <v>5259</v>
      </c>
      <c r="D3943" s="88">
        <v>14905454</v>
      </c>
      <c r="E3943" s="88" t="s">
        <v>61</v>
      </c>
      <c r="F3943" s="88">
        <v>0</v>
      </c>
      <c r="G3943" s="78">
        <f>MAX(H3943,I3943,J3943)</f>
        <v>1</v>
      </c>
      <c r="H3943" s="88"/>
      <c r="I3943" s="88"/>
      <c r="J3943" s="78">
        <f>MAX(K3943:Q3943)</f>
        <v>1</v>
      </c>
      <c r="K3943" s="88">
        <v>1</v>
      </c>
      <c r="L3943" s="88"/>
      <c r="M3943" s="88"/>
      <c r="N3943" s="88"/>
      <c r="O3943" s="88"/>
      <c r="P3943" s="88"/>
      <c r="Q3943" s="88"/>
      <c r="R3943" s="78">
        <f>MAX(S3943:W3943)</f>
        <v>0</v>
      </c>
      <c r="S3943" s="88"/>
      <c r="T3943" s="88"/>
      <c r="U3943" s="88"/>
      <c r="V3943" s="88"/>
      <c r="W3943" s="88"/>
    </row>
    <row r="3944" spans="2:23" s="0" customFormat="0" ht="15">
      <c r="B3944" s="87" t="s">
        <v>1</v>
      </c>
      <c r="C3944" s="88" t="s">
        <v>5259</v>
      </c>
      <c r="D3944" s="88">
        <v>16963936</v>
      </c>
      <c r="E3944" s="88" t="s">
        <v>61</v>
      </c>
      <c r="F3944" s="88">
        <v>0</v>
      </c>
      <c r="G3944" s="78">
        <f>MAX(H3944,I3944,J3944)</f>
        <v>1</v>
      </c>
      <c r="H3944" s="88"/>
      <c r="I3944" s="88"/>
      <c r="J3944" s="78">
        <f>MAX(K3944:Q3944)</f>
        <v>1</v>
      </c>
      <c r="K3944" s="88">
        <v>1</v>
      </c>
      <c r="L3944" s="88"/>
      <c r="M3944" s="88"/>
      <c r="N3944" s="88"/>
      <c r="O3944" s="88"/>
      <c r="P3944" s="88"/>
      <c r="Q3944" s="88"/>
      <c r="R3944" s="78">
        <f>MAX(S3944:W3944)</f>
        <v>0</v>
      </c>
      <c r="S3944" s="88"/>
      <c r="T3944" s="88"/>
      <c r="U3944" s="88"/>
      <c r="V3944" s="88"/>
      <c r="W3944" s="88"/>
    </row>
    <row r="3945" spans="2:23" s="0" customFormat="0" ht="15">
      <c r="B3945" s="87" t="s">
        <v>1</v>
      </c>
      <c r="C3945" s="88" t="s">
        <v>5259</v>
      </c>
      <c r="D3945" s="88">
        <v>23297633</v>
      </c>
      <c r="E3945" s="88" t="s">
        <v>61</v>
      </c>
      <c r="F3945" s="88">
        <v>0</v>
      </c>
      <c r="G3945" s="78">
        <f>MAX(H3945,I3945,J3945)</f>
        <v>1</v>
      </c>
      <c r="H3945" s="88"/>
      <c r="I3945" s="88"/>
      <c r="J3945" s="78">
        <f>MAX(K3945:Q3945)</f>
        <v>1</v>
      </c>
      <c r="K3945" s="88">
        <v>1</v>
      </c>
      <c r="L3945" s="88"/>
      <c r="M3945" s="88"/>
      <c r="N3945" s="88"/>
      <c r="O3945" s="88"/>
      <c r="P3945" s="88"/>
      <c r="Q3945" s="88"/>
      <c r="R3945" s="78">
        <f>MAX(S3945:W3945)</f>
        <v>0</v>
      </c>
      <c r="S3945" s="88"/>
      <c r="T3945" s="88"/>
      <c r="U3945" s="88"/>
      <c r="V3945" s="88"/>
      <c r="W3945" s="88"/>
    </row>
    <row r="3946" spans="2:23" s="0" customFormat="0" ht="15">
      <c r="B3946" s="87" t="s">
        <v>1</v>
      </c>
      <c r="C3946" s="88" t="s">
        <v>5259</v>
      </c>
      <c r="D3946" s="88" t="s">
        <v>3229</v>
      </c>
      <c r="E3946" s="88" t="s">
        <v>61</v>
      </c>
      <c r="F3946" s="88">
        <v>0</v>
      </c>
      <c r="G3946" s="78">
        <f>MAX(H3946,I3946,J3946)</f>
        <v>0</v>
      </c>
      <c r="H3946" s="88"/>
      <c r="I3946" s="88"/>
      <c r="J3946" s="78">
        <f>MAX(K3946:Q3946)</f>
        <v>0</v>
      </c>
      <c r="K3946" s="88"/>
      <c r="L3946" s="88"/>
      <c r="M3946" s="88"/>
      <c r="N3946" s="88"/>
      <c r="O3946" s="88"/>
      <c r="P3946" s="88"/>
      <c r="Q3946" s="88"/>
      <c r="R3946" s="78">
        <f>MAX(S3946:W3946)</f>
        <v>1</v>
      </c>
      <c r="S3946" s="88"/>
      <c r="T3946" s="88"/>
      <c r="U3946" s="88"/>
      <c r="V3946" s="88">
        <v>1</v>
      </c>
      <c r="W3946" s="88"/>
    </row>
    <row r="3947" spans="2:23" s="0" customFormat="0" ht="15">
      <c r="B3947" s="87" t="s">
        <v>1</v>
      </c>
      <c r="C3947" s="88" t="s">
        <v>5259</v>
      </c>
      <c r="D3947" s="88" t="s">
        <v>1889</v>
      </c>
      <c r="E3947" s="88" t="s">
        <v>61</v>
      </c>
      <c r="F3947" s="88">
        <v>0</v>
      </c>
      <c r="G3947" s="78">
        <f>MAX(H3947,I3947,J3947)</f>
        <v>1</v>
      </c>
      <c r="H3947" s="88"/>
      <c r="I3947" s="88"/>
      <c r="J3947" s="78">
        <f>MAX(K3947:Q3947)</f>
        <v>1</v>
      </c>
      <c r="K3947" s="88">
        <v>1</v>
      </c>
      <c r="L3947" s="88"/>
      <c r="M3947" s="88"/>
      <c r="N3947" s="88"/>
      <c r="O3947" s="88"/>
      <c r="P3947" s="88"/>
      <c r="Q3947" s="88"/>
      <c r="R3947" s="78">
        <f>MAX(S3947:W3947)</f>
        <v>0</v>
      </c>
      <c r="S3947" s="88"/>
      <c r="T3947" s="88"/>
      <c r="U3947" s="88"/>
      <c r="V3947" s="88"/>
      <c r="W3947" s="88"/>
    </row>
    <row r="3948" spans="2:23" s="0" customFormat="0" ht="15">
      <c r="B3948" s="87" t="s">
        <v>1</v>
      </c>
      <c r="C3948" s="88" t="s">
        <v>5259</v>
      </c>
      <c r="D3948" s="88" t="s">
        <v>2433</v>
      </c>
      <c r="E3948" s="88" t="s">
        <v>61</v>
      </c>
      <c r="F3948" s="88">
        <v>0</v>
      </c>
      <c r="G3948" s="78">
        <f>MAX(H3948,I3948,J3948)</f>
        <v>1</v>
      </c>
      <c r="H3948" s="88"/>
      <c r="I3948" s="88"/>
      <c r="J3948" s="78">
        <f>MAX(K3948:Q3948)</f>
        <v>1</v>
      </c>
      <c r="K3948" s="88">
        <v>1</v>
      </c>
      <c r="L3948" s="88"/>
      <c r="M3948" s="88"/>
      <c r="N3948" s="88"/>
      <c r="O3948" s="88"/>
      <c r="P3948" s="88"/>
      <c r="Q3948" s="88"/>
      <c r="R3948" s="78">
        <f>MAX(S3948:W3948)</f>
        <v>0</v>
      </c>
      <c r="S3948" s="88"/>
      <c r="T3948" s="88"/>
      <c r="U3948" s="88"/>
      <c r="V3948" s="88"/>
      <c r="W3948" s="88"/>
    </row>
    <row r="3949" spans="2:23" s="0" customFormat="0" ht="15">
      <c r="B3949" s="87" t="s">
        <v>1</v>
      </c>
      <c r="C3949" s="88" t="s">
        <v>5259</v>
      </c>
      <c r="D3949" s="88" t="s">
        <v>4533</v>
      </c>
      <c r="E3949" s="88" t="s">
        <v>61</v>
      </c>
      <c r="F3949" s="88">
        <v>0</v>
      </c>
      <c r="G3949" s="78">
        <f>MAX(H3949,I3949,J3949)</f>
        <v>0</v>
      </c>
      <c r="H3949" s="88"/>
      <c r="I3949" s="88"/>
      <c r="J3949" s="78">
        <f>MAX(K3949:Q3949)</f>
        <v>0</v>
      </c>
      <c r="K3949" s="88"/>
      <c r="L3949" s="88"/>
      <c r="M3949" s="88"/>
      <c r="N3949" s="88"/>
      <c r="O3949" s="88"/>
      <c r="P3949" s="88"/>
      <c r="Q3949" s="88"/>
      <c r="R3949" s="78">
        <f>MAX(S3949:W3949)</f>
        <v>1</v>
      </c>
      <c r="S3949" s="88"/>
      <c r="T3949" s="88"/>
      <c r="U3949" s="88">
        <v>1</v>
      </c>
      <c r="V3949" s="88"/>
      <c r="W3949" s="88"/>
    </row>
    <row r="3950" spans="2:23" s="0" customFormat="0" ht="15">
      <c r="B3950" s="87" t="s">
        <v>1</v>
      </c>
      <c r="C3950" s="88" t="s">
        <v>5259</v>
      </c>
      <c r="D3950" s="88" t="s">
        <v>4874</v>
      </c>
      <c r="E3950" s="88" t="s">
        <v>61</v>
      </c>
      <c r="F3950" s="88">
        <v>0</v>
      </c>
      <c r="G3950" s="78">
        <f>MAX(H3950,I3950,J3950)</f>
        <v>0</v>
      </c>
      <c r="H3950" s="88"/>
      <c r="I3950" s="88"/>
      <c r="J3950" s="78">
        <f>MAX(K3950:Q3950)</f>
        <v>0</v>
      </c>
      <c r="K3950" s="88"/>
      <c r="L3950" s="88"/>
      <c r="M3950" s="88"/>
      <c r="N3950" s="88"/>
      <c r="O3950" s="88"/>
      <c r="P3950" s="88"/>
      <c r="Q3950" s="88"/>
      <c r="R3950" s="78">
        <f>MAX(S3950:W3950)</f>
        <v>1</v>
      </c>
      <c r="S3950" s="88"/>
      <c r="T3950" s="88"/>
      <c r="U3950" s="88">
        <v>1</v>
      </c>
      <c r="V3950" s="88"/>
      <c r="W3950" s="88"/>
    </row>
    <row r="3951" spans="2:23" s="0" customFormat="0" ht="15">
      <c r="B3951" s="87" t="s">
        <v>1</v>
      </c>
      <c r="C3951" s="88" t="s">
        <v>5259</v>
      </c>
      <c r="D3951" s="88" t="s">
        <v>2435</v>
      </c>
      <c r="E3951" s="88" t="s">
        <v>61</v>
      </c>
      <c r="F3951" s="88">
        <v>0</v>
      </c>
      <c r="G3951" s="78">
        <f>MAX(H3951,I3951,J3951)</f>
        <v>1</v>
      </c>
      <c r="H3951" s="88"/>
      <c r="I3951" s="88"/>
      <c r="J3951" s="78">
        <f>MAX(K3951:Q3951)</f>
        <v>1</v>
      </c>
      <c r="K3951" s="88">
        <v>1</v>
      </c>
      <c r="L3951" s="88"/>
      <c r="M3951" s="88"/>
      <c r="N3951" s="88"/>
      <c r="O3951" s="88"/>
      <c r="P3951" s="88"/>
      <c r="Q3951" s="88"/>
      <c r="R3951" s="78">
        <f>MAX(S3951:W3951)</f>
        <v>0</v>
      </c>
      <c r="S3951" s="88"/>
      <c r="T3951" s="88"/>
      <c r="U3951" s="88"/>
      <c r="V3951" s="88"/>
      <c r="W3951" s="88"/>
    </row>
    <row r="3952" spans="2:23" s="0" customFormat="0" ht="15">
      <c r="B3952" s="87" t="s">
        <v>1</v>
      </c>
      <c r="C3952" s="88" t="s">
        <v>5259</v>
      </c>
      <c r="D3952" s="88" t="s">
        <v>1694</v>
      </c>
      <c r="E3952" s="88" t="s">
        <v>61</v>
      </c>
      <c r="F3952" s="88">
        <v>0</v>
      </c>
      <c r="G3952" s="78">
        <f>MAX(H3952,I3952,J3952)</f>
        <v>1</v>
      </c>
      <c r="H3952" s="88"/>
      <c r="I3952" s="88"/>
      <c r="J3952" s="78">
        <f>MAX(K3952:Q3952)</f>
        <v>1</v>
      </c>
      <c r="K3952" s="88">
        <v>1</v>
      </c>
      <c r="L3952" s="88"/>
      <c r="M3952" s="88"/>
      <c r="N3952" s="88"/>
      <c r="O3952" s="88"/>
      <c r="P3952" s="88"/>
      <c r="Q3952" s="88"/>
      <c r="R3952" s="78">
        <f>MAX(S3952:W3952)</f>
        <v>0</v>
      </c>
      <c r="S3952" s="88"/>
      <c r="T3952" s="88"/>
      <c r="U3952" s="88"/>
      <c r="V3952" s="88"/>
      <c r="W3952" s="88"/>
    </row>
    <row r="3953" spans="2:23" s="0" customFormat="0" ht="15">
      <c r="B3953" s="87" t="s">
        <v>1</v>
      </c>
      <c r="C3953" s="88" t="s">
        <v>5259</v>
      </c>
      <c r="D3953" s="88">
        <v>22413270</v>
      </c>
      <c r="E3953" s="88" t="s">
        <v>61</v>
      </c>
      <c r="F3953" s="88">
        <v>0</v>
      </c>
      <c r="G3953" s="78">
        <f>MAX(H3953,I3953,J3953)</f>
        <v>1</v>
      </c>
      <c r="H3953" s="88"/>
      <c r="I3953" s="88"/>
      <c r="J3953" s="78">
        <f>MAX(K3953:Q3953)</f>
        <v>1</v>
      </c>
      <c r="K3953" s="88"/>
      <c r="L3953" s="88"/>
      <c r="M3953" s="88">
        <v>1</v>
      </c>
      <c r="N3953" s="88"/>
      <c r="O3953" s="88"/>
      <c r="P3953" s="88"/>
      <c r="Q3953" s="88"/>
      <c r="R3953" s="78">
        <f>MAX(S3953:W3953)</f>
        <v>0</v>
      </c>
      <c r="S3953" s="88"/>
      <c r="T3953" s="88"/>
      <c r="U3953" s="88"/>
      <c r="V3953" s="88"/>
      <c r="W3953" s="88"/>
    </row>
    <row r="3954" spans="2:23" s="0" customFormat="0" ht="15">
      <c r="B3954" s="87" t="s">
        <v>1</v>
      </c>
      <c r="C3954" s="88" t="s">
        <v>5259</v>
      </c>
      <c r="D3954" s="88">
        <v>14504652</v>
      </c>
      <c r="E3954" s="88" t="s">
        <v>61</v>
      </c>
      <c r="F3954" s="88">
        <v>0</v>
      </c>
      <c r="G3954" s="78">
        <f>MAX(H3954,I3954,J3954)</f>
        <v>0</v>
      </c>
      <c r="H3954" s="88"/>
      <c r="I3954" s="88"/>
      <c r="J3954" s="78">
        <f>MAX(K3954:Q3954)</f>
        <v>0</v>
      </c>
      <c r="K3954" s="88"/>
      <c r="L3954" s="88"/>
      <c r="M3954" s="88"/>
      <c r="N3954" s="88"/>
      <c r="O3954" s="88"/>
      <c r="P3954" s="88"/>
      <c r="Q3954" s="88"/>
      <c r="R3954" s="78">
        <f>MAX(S3954:W3954)</f>
        <v>1</v>
      </c>
      <c r="S3954" s="88"/>
      <c r="T3954" s="88"/>
      <c r="U3954" s="88">
        <v>1</v>
      </c>
      <c r="V3954" s="88"/>
      <c r="W3954" s="88"/>
    </row>
    <row r="3955" spans="2:23" s="0" customFormat="0" ht="15">
      <c r="B3955" s="87" t="s">
        <v>1</v>
      </c>
      <c r="C3955" s="88" t="s">
        <v>5259</v>
      </c>
      <c r="D3955" s="88" t="s">
        <v>4876</v>
      </c>
      <c r="E3955" s="88" t="s">
        <v>61</v>
      </c>
      <c r="F3955" s="88">
        <v>0</v>
      </c>
      <c r="G3955" s="78">
        <f>MAX(H3955,I3955,J3955)</f>
        <v>0</v>
      </c>
      <c r="H3955" s="88"/>
      <c r="I3955" s="88"/>
      <c r="J3955" s="78">
        <f>MAX(K3955:Q3955)</f>
        <v>0</v>
      </c>
      <c r="K3955" s="88"/>
      <c r="L3955" s="88"/>
      <c r="M3955" s="88"/>
      <c r="N3955" s="88"/>
      <c r="O3955" s="88"/>
      <c r="P3955" s="88"/>
      <c r="Q3955" s="88"/>
      <c r="R3955" s="78">
        <f>MAX(S3955:W3955)</f>
        <v>1</v>
      </c>
      <c r="S3955" s="88"/>
      <c r="T3955" s="88"/>
      <c r="U3955" s="88">
        <v>1</v>
      </c>
      <c r="V3955" s="88"/>
      <c r="W3955" s="88"/>
    </row>
    <row r="3956" spans="2:23" s="0" customFormat="0" ht="15">
      <c r="B3956" s="87" t="s">
        <v>1</v>
      </c>
      <c r="C3956" s="88" t="s">
        <v>5259</v>
      </c>
      <c r="D3956" s="88">
        <v>21740948</v>
      </c>
      <c r="E3956" s="88" t="s">
        <v>61</v>
      </c>
      <c r="F3956" s="88">
        <v>0</v>
      </c>
      <c r="G3956" s="78">
        <f>MAX(H3956,I3956,J3956)</f>
        <v>1</v>
      </c>
      <c r="H3956" s="88"/>
      <c r="I3956" s="88"/>
      <c r="J3956" s="78">
        <f>MAX(K3956:Q3956)</f>
        <v>1</v>
      </c>
      <c r="K3956" s="88">
        <v>1</v>
      </c>
      <c r="L3956" s="88"/>
      <c r="M3956" s="88"/>
      <c r="N3956" s="88"/>
      <c r="O3956" s="88"/>
      <c r="P3956" s="88"/>
      <c r="Q3956" s="88"/>
      <c r="R3956" s="78">
        <f>MAX(S3956:W3956)</f>
        <v>0</v>
      </c>
      <c r="S3956" s="88"/>
      <c r="T3956" s="88"/>
      <c r="U3956" s="88"/>
      <c r="V3956" s="88"/>
      <c r="W3956" s="88"/>
    </row>
    <row r="3957" spans="2:23" s="0" customFormat="0" ht="15">
      <c r="B3957" s="87" t="s">
        <v>1</v>
      </c>
      <c r="C3957" s="88" t="s">
        <v>5259</v>
      </c>
      <c r="D3957" s="88">
        <v>4876677</v>
      </c>
      <c r="E3957" s="88" t="s">
        <v>61</v>
      </c>
      <c r="F3957" s="88">
        <v>0</v>
      </c>
      <c r="G3957" s="78">
        <f>MAX(H3957,I3957,J3957)</f>
        <v>1</v>
      </c>
      <c r="H3957" s="88"/>
      <c r="I3957" s="88"/>
      <c r="J3957" s="78">
        <f>MAX(K3957:Q3957)</f>
        <v>1</v>
      </c>
      <c r="K3957" s="88">
        <v>1</v>
      </c>
      <c r="L3957" s="88"/>
      <c r="M3957" s="88"/>
      <c r="N3957" s="88"/>
      <c r="O3957" s="88"/>
      <c r="P3957" s="88"/>
      <c r="Q3957" s="88"/>
      <c r="R3957" s="78">
        <f>MAX(S3957:W3957)</f>
        <v>0</v>
      </c>
      <c r="S3957" s="88"/>
      <c r="T3957" s="88"/>
      <c r="U3957" s="88"/>
      <c r="V3957" s="88"/>
      <c r="W3957" s="88"/>
    </row>
    <row r="3958" spans="2:23" s="0" customFormat="0" ht="15">
      <c r="B3958" s="87" t="s">
        <v>1</v>
      </c>
      <c r="C3958" s="88" t="s">
        <v>5259</v>
      </c>
      <c r="D3958" s="88" t="s">
        <v>3578</v>
      </c>
      <c r="E3958" s="88" t="s">
        <v>61</v>
      </c>
      <c r="F3958" s="88">
        <v>0</v>
      </c>
      <c r="G3958" s="78">
        <f>MAX(H3958,I3958,J3958)</f>
        <v>0</v>
      </c>
      <c r="H3958" s="88"/>
      <c r="I3958" s="88"/>
      <c r="J3958" s="78">
        <f>MAX(K3958:Q3958)</f>
        <v>0</v>
      </c>
      <c r="K3958" s="88"/>
      <c r="L3958" s="88"/>
      <c r="M3958" s="88"/>
      <c r="N3958" s="88"/>
      <c r="O3958" s="88"/>
      <c r="P3958" s="88"/>
      <c r="Q3958" s="88"/>
      <c r="R3958" s="78">
        <f>MAX(S3958:W3958)</f>
        <v>1</v>
      </c>
      <c r="S3958" s="88"/>
      <c r="T3958" s="88"/>
      <c r="U3958" s="88">
        <v>1</v>
      </c>
      <c r="V3958" s="88"/>
      <c r="W3958" s="88"/>
    </row>
    <row r="3959" spans="2:23" s="0" customFormat="0" ht="15">
      <c r="B3959" s="87" t="s">
        <v>1</v>
      </c>
      <c r="C3959" s="88" t="s">
        <v>5259</v>
      </c>
      <c r="D3959" s="88">
        <v>22934551</v>
      </c>
      <c r="E3959" s="88" t="s">
        <v>61</v>
      </c>
      <c r="F3959" s="88">
        <v>0</v>
      </c>
      <c r="G3959" s="78">
        <f>MAX(H3959,I3959,J3959)</f>
        <v>1</v>
      </c>
      <c r="H3959" s="88"/>
      <c r="I3959" s="88"/>
      <c r="J3959" s="78">
        <f>MAX(K3959:Q3959)</f>
        <v>1</v>
      </c>
      <c r="K3959" s="88">
        <v>1</v>
      </c>
      <c r="L3959" s="88"/>
      <c r="M3959" s="88"/>
      <c r="N3959" s="88"/>
      <c r="O3959" s="88"/>
      <c r="P3959" s="88"/>
      <c r="Q3959" s="88"/>
      <c r="R3959" s="78">
        <f>MAX(S3959:W3959)</f>
        <v>0</v>
      </c>
      <c r="S3959" s="88"/>
      <c r="T3959" s="88"/>
      <c r="U3959" s="88"/>
      <c r="V3959" s="88"/>
      <c r="W3959" s="88"/>
    </row>
    <row r="3960" spans="2:23" s="0" customFormat="0" ht="15">
      <c r="B3960" s="87" t="s">
        <v>1</v>
      </c>
      <c r="C3960" s="88" t="s">
        <v>5259</v>
      </c>
      <c r="D3960" s="88" t="s">
        <v>1090</v>
      </c>
      <c r="E3960" s="88" t="s">
        <v>61</v>
      </c>
      <c r="F3960" s="88">
        <v>0</v>
      </c>
      <c r="G3960" s="78">
        <f>MAX(H3960,I3960,J3960)</f>
        <v>1</v>
      </c>
      <c r="H3960" s="88"/>
      <c r="I3960" s="88"/>
      <c r="J3960" s="78">
        <f>MAX(K3960:Q3960)</f>
        <v>1</v>
      </c>
      <c r="K3960" s="88">
        <v>1</v>
      </c>
      <c r="L3960" s="88"/>
      <c r="M3960" s="88"/>
      <c r="N3960" s="88"/>
      <c r="O3960" s="88"/>
      <c r="P3960" s="88"/>
      <c r="Q3960" s="88"/>
      <c r="R3960" s="78">
        <f>MAX(S3960:W3960)</f>
        <v>0</v>
      </c>
      <c r="S3960" s="88"/>
      <c r="T3960" s="88"/>
      <c r="U3960" s="88"/>
      <c r="V3960" s="88"/>
      <c r="W3960" s="88"/>
    </row>
    <row r="3961" spans="2:23" s="0" customFormat="0" ht="15">
      <c r="B3961" s="87" t="s">
        <v>1</v>
      </c>
      <c r="C3961" s="88" t="s">
        <v>5259</v>
      </c>
      <c r="D3961" s="88" t="s">
        <v>3625</v>
      </c>
      <c r="E3961" s="88" t="s">
        <v>61</v>
      </c>
      <c r="F3961" s="88">
        <v>0</v>
      </c>
      <c r="G3961" s="78">
        <f>MAX(H3961,I3961,J3961)</f>
        <v>0</v>
      </c>
      <c r="H3961" s="88"/>
      <c r="I3961" s="88"/>
      <c r="J3961" s="78">
        <f>MAX(K3961:Q3961)</f>
        <v>0</v>
      </c>
      <c r="K3961" s="88"/>
      <c r="L3961" s="88"/>
      <c r="M3961" s="88"/>
      <c r="N3961" s="88"/>
      <c r="O3961" s="88"/>
      <c r="P3961" s="88"/>
      <c r="Q3961" s="88"/>
      <c r="R3961" s="78">
        <f>MAX(S3961:W3961)</f>
        <v>1</v>
      </c>
      <c r="S3961" s="88"/>
      <c r="T3961" s="88"/>
      <c r="U3961" s="88">
        <v>1</v>
      </c>
      <c r="V3961" s="88"/>
      <c r="W3961" s="88"/>
    </row>
    <row r="3962" spans="2:23" s="0" customFormat="0" ht="15">
      <c r="B3962" s="87" t="s">
        <v>1</v>
      </c>
      <c r="C3962" s="88" t="s">
        <v>5259</v>
      </c>
      <c r="D3962" s="88" t="s">
        <v>2438</v>
      </c>
      <c r="E3962" s="88" t="s">
        <v>61</v>
      </c>
      <c r="F3962" s="88">
        <v>0</v>
      </c>
      <c r="G3962" s="78">
        <f>MAX(H3962,I3962,J3962)</f>
        <v>1</v>
      </c>
      <c r="H3962" s="88"/>
      <c r="I3962" s="88"/>
      <c r="J3962" s="78">
        <f>MAX(K3962:Q3962)</f>
        <v>1</v>
      </c>
      <c r="K3962" s="88">
        <v>1</v>
      </c>
      <c r="L3962" s="88"/>
      <c r="M3962" s="88"/>
      <c r="N3962" s="88"/>
      <c r="O3962" s="88"/>
      <c r="P3962" s="88"/>
      <c r="Q3962" s="88"/>
      <c r="R3962" s="78">
        <f>MAX(S3962:W3962)</f>
        <v>0</v>
      </c>
      <c r="S3962" s="88"/>
      <c r="T3962" s="88"/>
      <c r="U3962" s="88"/>
      <c r="V3962" s="88"/>
      <c r="W3962" s="88"/>
    </row>
    <row r="3963" spans="2:23" s="0" customFormat="0" ht="15">
      <c r="B3963" s="87" t="s">
        <v>1</v>
      </c>
      <c r="C3963" s="88" t="s">
        <v>5259</v>
      </c>
      <c r="D3963" s="88">
        <v>11841694</v>
      </c>
      <c r="E3963" s="88" t="s">
        <v>61</v>
      </c>
      <c r="F3963" s="88">
        <v>0</v>
      </c>
      <c r="G3963" s="78">
        <f>MAX(H3963,I3963,J3963)</f>
        <v>1</v>
      </c>
      <c r="H3963" s="88"/>
      <c r="I3963" s="88"/>
      <c r="J3963" s="78">
        <f>MAX(K3963:Q3963)</f>
        <v>1</v>
      </c>
      <c r="K3963" s="88">
        <v>1</v>
      </c>
      <c r="L3963" s="88"/>
      <c r="M3963" s="88"/>
      <c r="N3963" s="88"/>
      <c r="O3963" s="88"/>
      <c r="P3963" s="88"/>
      <c r="Q3963" s="88"/>
      <c r="R3963" s="78">
        <f>MAX(S3963:W3963)</f>
        <v>0</v>
      </c>
      <c r="S3963" s="88"/>
      <c r="T3963" s="88"/>
      <c r="U3963" s="88"/>
      <c r="V3963" s="88"/>
      <c r="W3963" s="88"/>
    </row>
    <row r="3964" spans="2:23" s="0" customFormat="0" ht="15">
      <c r="B3964" s="87" t="s">
        <v>1</v>
      </c>
      <c r="C3964" s="88" t="s">
        <v>5259</v>
      </c>
      <c r="D3964" s="88" t="s">
        <v>2440</v>
      </c>
      <c r="E3964" s="88" t="s">
        <v>61</v>
      </c>
      <c r="F3964" s="88">
        <v>0</v>
      </c>
      <c r="G3964" s="78">
        <f>MAX(H3964,I3964,J3964)</f>
        <v>1</v>
      </c>
      <c r="H3964" s="88"/>
      <c r="I3964" s="88"/>
      <c r="J3964" s="78">
        <f>MAX(K3964:Q3964)</f>
        <v>1</v>
      </c>
      <c r="K3964" s="88">
        <v>1</v>
      </c>
      <c r="L3964" s="88"/>
      <c r="M3964" s="88"/>
      <c r="N3964" s="88"/>
      <c r="O3964" s="88"/>
      <c r="P3964" s="88"/>
      <c r="Q3964" s="88"/>
      <c r="R3964" s="78">
        <f>MAX(S3964:W3964)</f>
        <v>0</v>
      </c>
      <c r="S3964" s="88"/>
      <c r="T3964" s="88"/>
      <c r="U3964" s="88"/>
      <c r="V3964" s="88"/>
      <c r="W3964" s="88"/>
    </row>
    <row r="3965" spans="2:23" s="0" customFormat="0" ht="15">
      <c r="B3965" s="87" t="s">
        <v>1</v>
      </c>
      <c r="C3965" s="88" t="s">
        <v>5259</v>
      </c>
      <c r="D3965" s="88" t="s">
        <v>3252</v>
      </c>
      <c r="E3965" s="88" t="s">
        <v>61</v>
      </c>
      <c r="F3965" s="88">
        <v>0</v>
      </c>
      <c r="G3965" s="78">
        <f>MAX(H3965,I3965,J3965)</f>
        <v>0</v>
      </c>
      <c r="H3965" s="88"/>
      <c r="I3965" s="88"/>
      <c r="J3965" s="78">
        <f>MAX(K3965:Q3965)</f>
        <v>0</v>
      </c>
      <c r="K3965" s="88"/>
      <c r="L3965" s="88"/>
      <c r="M3965" s="88"/>
      <c r="N3965" s="88"/>
      <c r="O3965" s="88"/>
      <c r="P3965" s="88"/>
      <c r="Q3965" s="88"/>
      <c r="R3965" s="78">
        <f>MAX(S3965:W3965)</f>
        <v>1</v>
      </c>
      <c r="S3965" s="88"/>
      <c r="T3965" s="88"/>
      <c r="U3965" s="88"/>
      <c r="V3965" s="88">
        <v>1</v>
      </c>
      <c r="W3965" s="88"/>
    </row>
    <row r="3966" spans="2:23" s="0" customFormat="0" ht="15">
      <c r="B3966" s="87" t="s">
        <v>1</v>
      </c>
      <c r="C3966" s="88" t="s">
        <v>5259</v>
      </c>
      <c r="D3966" s="88">
        <v>21245626</v>
      </c>
      <c r="E3966" s="88" t="s">
        <v>61</v>
      </c>
      <c r="F3966" s="88">
        <v>0</v>
      </c>
      <c r="G3966" s="78">
        <f>MAX(H3966,I3966,J3966)</f>
        <v>1</v>
      </c>
      <c r="H3966" s="88"/>
      <c r="I3966" s="88"/>
      <c r="J3966" s="78">
        <f>MAX(K3966:Q3966)</f>
        <v>1</v>
      </c>
      <c r="K3966" s="88">
        <v>1</v>
      </c>
      <c r="L3966" s="88"/>
      <c r="M3966" s="88"/>
      <c r="N3966" s="88"/>
      <c r="O3966" s="88"/>
      <c r="P3966" s="88"/>
      <c r="Q3966" s="88"/>
      <c r="R3966" s="78">
        <f>MAX(S3966:W3966)</f>
        <v>0</v>
      </c>
      <c r="S3966" s="88"/>
      <c r="T3966" s="88"/>
      <c r="U3966" s="88"/>
      <c r="V3966" s="88"/>
      <c r="W3966" s="88"/>
    </row>
    <row r="3967" spans="2:23" s="0" customFormat="0" ht="15">
      <c r="B3967" s="87" t="s">
        <v>1</v>
      </c>
      <c r="C3967" s="88" t="s">
        <v>5259</v>
      </c>
      <c r="D3967" s="88">
        <v>21827992</v>
      </c>
      <c r="E3967" s="88" t="s">
        <v>61</v>
      </c>
      <c r="F3967" s="88">
        <v>0</v>
      </c>
      <c r="G3967" s="78">
        <f>MAX(H3967,I3967,J3967)</f>
        <v>1</v>
      </c>
      <c r="H3967" s="88"/>
      <c r="I3967" s="88"/>
      <c r="J3967" s="78">
        <f>MAX(K3967:Q3967)</f>
        <v>1</v>
      </c>
      <c r="K3967" s="88">
        <v>1</v>
      </c>
      <c r="L3967" s="88"/>
      <c r="M3967" s="88"/>
      <c r="N3967" s="88"/>
      <c r="O3967" s="88"/>
      <c r="P3967" s="88"/>
      <c r="Q3967" s="88"/>
      <c r="R3967" s="78">
        <f>MAX(S3967:W3967)</f>
        <v>0</v>
      </c>
      <c r="S3967" s="88"/>
      <c r="T3967" s="88"/>
      <c r="U3967" s="88"/>
      <c r="V3967" s="88"/>
      <c r="W3967" s="88"/>
    </row>
    <row r="3968" spans="2:23" s="0" customFormat="0" ht="15">
      <c r="B3968" s="87" t="s">
        <v>1</v>
      </c>
      <c r="C3968" s="88" t="s">
        <v>5259</v>
      </c>
      <c r="D3968" s="88">
        <v>15769824</v>
      </c>
      <c r="E3968" s="88" t="s">
        <v>61</v>
      </c>
      <c r="F3968" s="88">
        <v>0</v>
      </c>
      <c r="G3968" s="78">
        <f>MAX(H3968,I3968,J3968)</f>
        <v>1</v>
      </c>
      <c r="H3968" s="88"/>
      <c r="I3968" s="88"/>
      <c r="J3968" s="78">
        <f>MAX(K3968:Q3968)</f>
        <v>1</v>
      </c>
      <c r="K3968" s="88">
        <v>1</v>
      </c>
      <c r="L3968" s="88"/>
      <c r="M3968" s="88"/>
      <c r="N3968" s="88"/>
      <c r="O3968" s="88"/>
      <c r="P3968" s="88"/>
      <c r="Q3968" s="88"/>
      <c r="R3968" s="78">
        <f>MAX(S3968:W3968)</f>
        <v>0</v>
      </c>
      <c r="S3968" s="88"/>
      <c r="T3968" s="88"/>
      <c r="U3968" s="88"/>
      <c r="V3968" s="88"/>
      <c r="W3968" s="88"/>
    </row>
    <row r="3969" spans="2:23" s="0" customFormat="0" ht="15">
      <c r="B3969" s="87" t="s">
        <v>1</v>
      </c>
      <c r="C3969" s="88" t="s">
        <v>5259</v>
      </c>
      <c r="D3969" s="88">
        <v>17411519</v>
      </c>
      <c r="E3969" s="88" t="s">
        <v>61</v>
      </c>
      <c r="F3969" s="88">
        <v>0</v>
      </c>
      <c r="G3969" s="78">
        <f>MAX(H3969,I3969,J3969)</f>
        <v>1</v>
      </c>
      <c r="H3969" s="88"/>
      <c r="I3969" s="88"/>
      <c r="J3969" s="78">
        <f>MAX(K3969:Q3969)</f>
        <v>1</v>
      </c>
      <c r="K3969" s="88">
        <v>1</v>
      </c>
      <c r="L3969" s="88"/>
      <c r="M3969" s="88"/>
      <c r="N3969" s="88"/>
      <c r="O3969" s="88"/>
      <c r="P3969" s="88"/>
      <c r="Q3969" s="88"/>
      <c r="R3969" s="78">
        <f>MAX(S3969:W3969)</f>
        <v>0</v>
      </c>
      <c r="S3969" s="88"/>
      <c r="T3969" s="88"/>
      <c r="U3969" s="88"/>
      <c r="V3969" s="88"/>
      <c r="W3969" s="88"/>
    </row>
    <row r="3970" spans="2:23" s="0" customFormat="0" ht="15">
      <c r="B3970" s="87" t="s">
        <v>1</v>
      </c>
      <c r="C3970" s="88" t="s">
        <v>5259</v>
      </c>
      <c r="D3970" s="88" t="s">
        <v>2444</v>
      </c>
      <c r="E3970" s="88" t="s">
        <v>61</v>
      </c>
      <c r="F3970" s="88">
        <v>0</v>
      </c>
      <c r="G3970" s="78">
        <f>MAX(H3970,I3970,J3970)</f>
        <v>1</v>
      </c>
      <c r="H3970" s="88"/>
      <c r="I3970" s="88"/>
      <c r="J3970" s="78">
        <f>MAX(K3970:Q3970)</f>
        <v>1</v>
      </c>
      <c r="K3970" s="88">
        <v>1</v>
      </c>
      <c r="L3970" s="88"/>
      <c r="M3970" s="88"/>
      <c r="N3970" s="88"/>
      <c r="O3970" s="88"/>
      <c r="P3970" s="88"/>
      <c r="Q3970" s="88"/>
      <c r="R3970" s="78">
        <f>MAX(S3970:W3970)</f>
        <v>0</v>
      </c>
      <c r="S3970" s="88"/>
      <c r="T3970" s="88"/>
      <c r="U3970" s="88"/>
      <c r="V3970" s="88"/>
      <c r="W3970" s="88"/>
    </row>
    <row r="3971" spans="2:23" s="0" customFormat="0" ht="15">
      <c r="B3971" s="87" t="s">
        <v>1</v>
      </c>
      <c r="C3971" s="88" t="s">
        <v>5259</v>
      </c>
      <c r="D3971" s="88" t="s">
        <v>2044</v>
      </c>
      <c r="E3971" s="88" t="s">
        <v>61</v>
      </c>
      <c r="F3971" s="88">
        <v>0</v>
      </c>
      <c r="G3971" s="78">
        <f>MAX(H3971,I3971,J3971)</f>
        <v>1</v>
      </c>
      <c r="H3971" s="88"/>
      <c r="I3971" s="88"/>
      <c r="J3971" s="78">
        <f>MAX(K3971:Q3971)</f>
        <v>1</v>
      </c>
      <c r="K3971" s="88">
        <v>1</v>
      </c>
      <c r="L3971" s="88"/>
      <c r="M3971" s="88"/>
      <c r="N3971" s="88"/>
      <c r="O3971" s="88"/>
      <c r="P3971" s="88"/>
      <c r="Q3971" s="88"/>
      <c r="R3971" s="78">
        <f>MAX(S3971:W3971)</f>
        <v>0</v>
      </c>
      <c r="S3971" s="88"/>
      <c r="T3971" s="88"/>
      <c r="U3971" s="88"/>
      <c r="V3971" s="88"/>
      <c r="W3971" s="88"/>
    </row>
    <row r="3972" spans="2:23" s="0" customFormat="0" ht="15">
      <c r="B3972" s="87" t="s">
        <v>1</v>
      </c>
      <c r="C3972" s="88" t="s">
        <v>5259</v>
      </c>
      <c r="D3972" s="88">
        <v>16583502</v>
      </c>
      <c r="E3972" s="88" t="s">
        <v>61</v>
      </c>
      <c r="F3972" s="88">
        <v>0</v>
      </c>
      <c r="G3972" s="78">
        <f>MAX(H3972,I3972,J3972)</f>
        <v>1</v>
      </c>
      <c r="H3972" s="88"/>
      <c r="I3972" s="88"/>
      <c r="J3972" s="78">
        <f>MAX(K3972:Q3972)</f>
        <v>1</v>
      </c>
      <c r="K3972" s="88">
        <v>1</v>
      </c>
      <c r="L3972" s="88"/>
      <c r="M3972" s="88"/>
      <c r="N3972" s="88"/>
      <c r="O3972" s="88"/>
      <c r="P3972" s="88"/>
      <c r="Q3972" s="88"/>
      <c r="R3972" s="78">
        <f>MAX(S3972:W3972)</f>
        <v>0</v>
      </c>
      <c r="S3972" s="88"/>
      <c r="T3972" s="88"/>
      <c r="U3972" s="88"/>
      <c r="V3972" s="88"/>
      <c r="W3972" s="88"/>
    </row>
    <row r="3973" spans="2:23" s="0" customFormat="0" ht="15">
      <c r="B3973" s="87" t="s">
        <v>1</v>
      </c>
      <c r="C3973" s="88" t="s">
        <v>5259</v>
      </c>
      <c r="D3973" s="88" t="s">
        <v>1824</v>
      </c>
      <c r="E3973" s="88" t="s">
        <v>61</v>
      </c>
      <c r="F3973" s="88">
        <v>0</v>
      </c>
      <c r="G3973" s="78">
        <f>MAX(H3973,I3973,J3973)</f>
        <v>1</v>
      </c>
      <c r="H3973" s="88"/>
      <c r="I3973" s="88"/>
      <c r="J3973" s="78">
        <f>MAX(K3973:Q3973)</f>
        <v>1</v>
      </c>
      <c r="K3973" s="88">
        <v>1</v>
      </c>
      <c r="L3973" s="88"/>
      <c r="M3973" s="88"/>
      <c r="N3973" s="88"/>
      <c r="O3973" s="88"/>
      <c r="P3973" s="88"/>
      <c r="Q3973" s="88"/>
      <c r="R3973" s="78">
        <f>MAX(S3973:W3973)</f>
        <v>0</v>
      </c>
      <c r="S3973" s="88"/>
      <c r="T3973" s="88"/>
      <c r="U3973" s="88"/>
      <c r="V3973" s="88"/>
      <c r="W3973" s="88"/>
    </row>
    <row r="3974" spans="2:23" s="0" customFormat="0" ht="15">
      <c r="B3974" s="87" t="s">
        <v>1</v>
      </c>
      <c r="C3974" s="88" t="s">
        <v>5259</v>
      </c>
      <c r="D3974" s="88" t="s">
        <v>4878</v>
      </c>
      <c r="E3974" s="88" t="s">
        <v>61</v>
      </c>
      <c r="F3974" s="88">
        <v>0</v>
      </c>
      <c r="G3974" s="78">
        <f>MAX(H3974,I3974,J3974)</f>
        <v>0</v>
      </c>
      <c r="H3974" s="88"/>
      <c r="I3974" s="88"/>
      <c r="J3974" s="78">
        <f>MAX(K3974:Q3974)</f>
        <v>0</v>
      </c>
      <c r="K3974" s="88"/>
      <c r="L3974" s="88"/>
      <c r="M3974" s="88"/>
      <c r="N3974" s="88"/>
      <c r="O3974" s="88"/>
      <c r="P3974" s="88"/>
      <c r="Q3974" s="88"/>
      <c r="R3974" s="78">
        <f>MAX(S3974:W3974)</f>
        <v>1</v>
      </c>
      <c r="S3974" s="88"/>
      <c r="T3974" s="88"/>
      <c r="U3974" s="88">
        <v>1</v>
      </c>
      <c r="V3974" s="88"/>
      <c r="W3974" s="88"/>
    </row>
    <row r="3975" spans="2:23" s="0" customFormat="0" ht="15">
      <c r="B3975" s="87" t="s">
        <v>1</v>
      </c>
      <c r="C3975" s="88" t="s">
        <v>5259</v>
      </c>
      <c r="D3975" s="88">
        <v>17357776</v>
      </c>
      <c r="E3975" s="88" t="s">
        <v>61</v>
      </c>
      <c r="F3975" s="88">
        <v>0</v>
      </c>
      <c r="G3975" s="78">
        <f>MAX(H3975,I3975,J3975)</f>
        <v>1</v>
      </c>
      <c r="H3975" s="88"/>
      <c r="I3975" s="88"/>
      <c r="J3975" s="78">
        <f>MAX(K3975:Q3975)</f>
        <v>1</v>
      </c>
      <c r="K3975" s="88">
        <v>1</v>
      </c>
      <c r="L3975" s="88"/>
      <c r="M3975" s="88"/>
      <c r="N3975" s="88"/>
      <c r="O3975" s="88"/>
      <c r="P3975" s="88"/>
      <c r="Q3975" s="88"/>
      <c r="R3975" s="78">
        <f>MAX(S3975:W3975)</f>
        <v>0</v>
      </c>
      <c r="S3975" s="88"/>
      <c r="T3975" s="88"/>
      <c r="U3975" s="88"/>
      <c r="V3975" s="88"/>
      <c r="W3975" s="88"/>
    </row>
    <row r="3976" spans="2:23" s="0" customFormat="0" ht="15">
      <c r="B3976" s="87" t="s">
        <v>1</v>
      </c>
      <c r="C3976" s="88" t="s">
        <v>5259</v>
      </c>
      <c r="D3976" s="88" t="s">
        <v>3421</v>
      </c>
      <c r="E3976" s="88" t="s">
        <v>61</v>
      </c>
      <c r="F3976" s="88">
        <v>0</v>
      </c>
      <c r="G3976" s="78">
        <f>MAX(H3976,I3976,J3976)</f>
        <v>0</v>
      </c>
      <c r="H3976" s="88"/>
      <c r="I3976" s="88"/>
      <c r="J3976" s="78">
        <f>MAX(K3976:Q3976)</f>
        <v>0</v>
      </c>
      <c r="K3976" s="88"/>
      <c r="L3976" s="88"/>
      <c r="M3976" s="88"/>
      <c r="N3976" s="88"/>
      <c r="O3976" s="88"/>
      <c r="P3976" s="88"/>
      <c r="Q3976" s="88"/>
      <c r="R3976" s="78">
        <f>MAX(S3976:W3976)</f>
        <v>1</v>
      </c>
      <c r="S3976" s="88"/>
      <c r="T3976" s="88"/>
      <c r="U3976" s="88">
        <v>1</v>
      </c>
      <c r="V3976" s="88"/>
      <c r="W3976" s="88"/>
    </row>
    <row r="3977" spans="2:23" s="0" customFormat="0" ht="15">
      <c r="B3977" s="87" t="s">
        <v>1</v>
      </c>
      <c r="C3977" s="88" t="s">
        <v>5259</v>
      </c>
      <c r="D3977" s="88" t="s">
        <v>2447</v>
      </c>
      <c r="E3977" s="88" t="s">
        <v>61</v>
      </c>
      <c r="F3977" s="88">
        <v>0</v>
      </c>
      <c r="G3977" s="78">
        <f>MAX(H3977,I3977,J3977)</f>
        <v>1</v>
      </c>
      <c r="H3977" s="88"/>
      <c r="I3977" s="88"/>
      <c r="J3977" s="78">
        <f>MAX(K3977:Q3977)</f>
        <v>1</v>
      </c>
      <c r="K3977" s="88">
        <v>1</v>
      </c>
      <c r="L3977" s="88"/>
      <c r="M3977" s="88"/>
      <c r="N3977" s="88"/>
      <c r="O3977" s="88"/>
      <c r="P3977" s="88"/>
      <c r="Q3977" s="88"/>
      <c r="R3977" s="78">
        <f>MAX(S3977:W3977)</f>
        <v>0</v>
      </c>
      <c r="S3977" s="88"/>
      <c r="T3977" s="88"/>
      <c r="U3977" s="88"/>
      <c r="V3977" s="88"/>
      <c r="W3977" s="88"/>
    </row>
    <row r="3978" spans="2:23" s="0" customFormat="0" ht="15">
      <c r="B3978" s="87" t="s">
        <v>1</v>
      </c>
      <c r="C3978" s="88" t="s">
        <v>5259</v>
      </c>
      <c r="D3978" s="88" t="s">
        <v>445</v>
      </c>
      <c r="E3978" s="88" t="s">
        <v>61</v>
      </c>
      <c r="F3978" s="88">
        <v>0</v>
      </c>
      <c r="G3978" s="78">
        <f>MAX(H3978,I3978,J3978)</f>
        <v>1</v>
      </c>
      <c r="H3978" s="88"/>
      <c r="I3978" s="88"/>
      <c r="J3978" s="78">
        <f>MAX(K3978:Q3978)</f>
        <v>1</v>
      </c>
      <c r="K3978" s="88">
        <v>1</v>
      </c>
      <c r="L3978" s="88"/>
      <c r="M3978" s="88"/>
      <c r="N3978" s="88"/>
      <c r="O3978" s="88"/>
      <c r="P3978" s="88"/>
      <c r="Q3978" s="88"/>
      <c r="R3978" s="78">
        <f>MAX(S3978:W3978)</f>
        <v>0</v>
      </c>
      <c r="S3978" s="88"/>
      <c r="T3978" s="88"/>
      <c r="U3978" s="88"/>
      <c r="V3978" s="88"/>
      <c r="W3978" s="88"/>
    </row>
    <row r="3979" spans="2:23" s="0" customFormat="0" ht="15">
      <c r="B3979" s="87" t="s">
        <v>1</v>
      </c>
      <c r="C3979" s="88" t="s">
        <v>5259</v>
      </c>
      <c r="D3979" s="88">
        <v>22623675</v>
      </c>
      <c r="E3979" s="88" t="s">
        <v>61</v>
      </c>
      <c r="F3979" s="88">
        <v>0</v>
      </c>
      <c r="G3979" s="78">
        <f>MAX(H3979,I3979,J3979)</f>
        <v>0</v>
      </c>
      <c r="H3979" s="88"/>
      <c r="I3979" s="88"/>
      <c r="J3979" s="78">
        <f>MAX(K3979:Q3979)</f>
        <v>0</v>
      </c>
      <c r="K3979" s="88"/>
      <c r="L3979" s="88"/>
      <c r="M3979" s="88"/>
      <c r="N3979" s="88"/>
      <c r="O3979" s="88"/>
      <c r="P3979" s="88"/>
      <c r="Q3979" s="88"/>
      <c r="R3979" s="78">
        <f>MAX(S3979:W3979)</f>
        <v>1</v>
      </c>
      <c r="S3979" s="88"/>
      <c r="T3979" s="88"/>
      <c r="U3979" s="88">
        <v>1</v>
      </c>
      <c r="V3979" s="88"/>
      <c r="W3979" s="88"/>
    </row>
    <row r="3980" spans="2:23" s="0" customFormat="0" ht="15">
      <c r="B3980" s="87" t="s">
        <v>1</v>
      </c>
      <c r="C3980" s="88" t="s">
        <v>5259</v>
      </c>
      <c r="D3980" s="88" t="s">
        <v>3046</v>
      </c>
      <c r="E3980" s="88" t="s">
        <v>61</v>
      </c>
      <c r="F3980" s="88">
        <v>0</v>
      </c>
      <c r="G3980" s="78">
        <f>MAX(H3980,I3980,J3980)</f>
        <v>1</v>
      </c>
      <c r="H3980" s="88"/>
      <c r="I3980" s="88"/>
      <c r="J3980" s="78">
        <f>MAX(K3980:Q3980)</f>
        <v>1</v>
      </c>
      <c r="K3980" s="88"/>
      <c r="L3980" s="88">
        <v>1</v>
      </c>
      <c r="M3980" s="88"/>
      <c r="N3980" s="88"/>
      <c r="O3980" s="88"/>
      <c r="P3980" s="88"/>
      <c r="Q3980" s="88"/>
      <c r="R3980" s="78">
        <f>MAX(S3980:W3980)</f>
        <v>0</v>
      </c>
      <c r="S3980" s="88"/>
      <c r="T3980" s="88"/>
      <c r="U3980" s="88"/>
      <c r="V3980" s="88"/>
      <c r="W3980" s="88"/>
    </row>
    <row r="3981" spans="2:23" s="0" customFormat="0" ht="15">
      <c r="B3981" s="87" t="s">
        <v>1</v>
      </c>
      <c r="C3981" s="88" t="s">
        <v>5259</v>
      </c>
      <c r="D3981" s="88">
        <v>14954581</v>
      </c>
      <c r="E3981" s="88" t="s">
        <v>61</v>
      </c>
      <c r="F3981" s="88">
        <v>0</v>
      </c>
      <c r="G3981" s="78">
        <f>MAX(H3981,I3981,J3981)</f>
        <v>0</v>
      </c>
      <c r="H3981" s="88"/>
      <c r="I3981" s="88"/>
      <c r="J3981" s="78">
        <f>MAX(K3981:Q3981)</f>
        <v>0</v>
      </c>
      <c r="K3981" s="88"/>
      <c r="L3981" s="88"/>
      <c r="M3981" s="88"/>
      <c r="N3981" s="88"/>
      <c r="O3981" s="88"/>
      <c r="P3981" s="88"/>
      <c r="Q3981" s="88"/>
      <c r="R3981" s="78">
        <f>MAX(S3981:W3981)</f>
        <v>1</v>
      </c>
      <c r="S3981" s="88"/>
      <c r="T3981" s="88"/>
      <c r="U3981" s="88">
        <v>1</v>
      </c>
      <c r="V3981" s="88"/>
      <c r="W3981" s="88"/>
    </row>
    <row r="3982" spans="2:23" s="0" customFormat="0" ht="15">
      <c r="B3982" s="87" t="s">
        <v>1</v>
      </c>
      <c r="C3982" s="88" t="s">
        <v>5259</v>
      </c>
      <c r="D3982" s="88">
        <v>22554319</v>
      </c>
      <c r="E3982" s="88" t="s">
        <v>61</v>
      </c>
      <c r="F3982" s="88">
        <v>0</v>
      </c>
      <c r="G3982" s="78">
        <f>MAX(H3982,I3982,J3982)</f>
        <v>0</v>
      </c>
      <c r="H3982" s="88"/>
      <c r="I3982" s="88"/>
      <c r="J3982" s="78">
        <f>MAX(K3982:Q3982)</f>
        <v>0</v>
      </c>
      <c r="K3982" s="88"/>
      <c r="L3982" s="88"/>
      <c r="M3982" s="88"/>
      <c r="N3982" s="88"/>
      <c r="O3982" s="88"/>
      <c r="P3982" s="88"/>
      <c r="Q3982" s="88"/>
      <c r="R3982" s="78">
        <f>MAX(S3982:W3982)</f>
        <v>1</v>
      </c>
      <c r="S3982" s="88"/>
      <c r="T3982" s="88"/>
      <c r="U3982" s="88">
        <v>1</v>
      </c>
      <c r="V3982" s="88"/>
      <c r="W3982" s="88"/>
    </row>
    <row r="3983" spans="2:23" s="0" customFormat="0" ht="15">
      <c r="B3983" s="87" t="s">
        <v>1</v>
      </c>
      <c r="C3983" s="88" t="s">
        <v>5259</v>
      </c>
      <c r="D3983" s="88">
        <v>21227556</v>
      </c>
      <c r="E3983" s="88" t="s">
        <v>61</v>
      </c>
      <c r="F3983" s="88">
        <v>0</v>
      </c>
      <c r="G3983" s="78">
        <f>MAX(H3983,I3983,J3983)</f>
        <v>1</v>
      </c>
      <c r="H3983" s="88"/>
      <c r="I3983" s="88"/>
      <c r="J3983" s="78">
        <f>MAX(K3983:Q3983)</f>
        <v>1</v>
      </c>
      <c r="K3983" s="88">
        <v>1</v>
      </c>
      <c r="L3983" s="88"/>
      <c r="M3983" s="88"/>
      <c r="N3983" s="88"/>
      <c r="O3983" s="88"/>
      <c r="P3983" s="88"/>
      <c r="Q3983" s="88"/>
      <c r="R3983" s="78">
        <f>MAX(S3983:W3983)</f>
        <v>0</v>
      </c>
      <c r="S3983" s="88"/>
      <c r="T3983" s="88"/>
      <c r="U3983" s="88"/>
      <c r="V3983" s="88"/>
      <c r="W3983" s="88"/>
    </row>
    <row r="3984" spans="2:23" s="0" customFormat="0" ht="15">
      <c r="B3984" s="87" t="s">
        <v>1</v>
      </c>
      <c r="C3984" s="88" t="s">
        <v>5259</v>
      </c>
      <c r="D3984" s="88" t="s">
        <v>528</v>
      </c>
      <c r="E3984" s="88" t="s">
        <v>61</v>
      </c>
      <c r="F3984" s="88">
        <v>0</v>
      </c>
      <c r="G3984" s="78">
        <f>MAX(H3984,I3984,J3984)</f>
        <v>1</v>
      </c>
      <c r="H3984" s="88"/>
      <c r="I3984" s="88"/>
      <c r="J3984" s="78">
        <f>MAX(K3984:Q3984)</f>
        <v>1</v>
      </c>
      <c r="K3984" s="88">
        <v>1</v>
      </c>
      <c r="L3984" s="88"/>
      <c r="M3984" s="88"/>
      <c r="N3984" s="88"/>
      <c r="O3984" s="88"/>
      <c r="P3984" s="88"/>
      <c r="Q3984" s="88"/>
      <c r="R3984" s="78">
        <f>MAX(S3984:W3984)</f>
        <v>0</v>
      </c>
      <c r="S3984" s="88"/>
      <c r="T3984" s="88"/>
      <c r="U3984" s="88"/>
      <c r="V3984" s="88"/>
      <c r="W3984" s="88"/>
    </row>
    <row r="3985" spans="2:23" s="0" customFormat="0" ht="15">
      <c r="B3985" s="87" t="s">
        <v>1</v>
      </c>
      <c r="C3985" s="88" t="s">
        <v>5259</v>
      </c>
      <c r="D3985" s="88">
        <v>7175517</v>
      </c>
      <c r="E3985" s="88" t="s">
        <v>61</v>
      </c>
      <c r="F3985" s="88">
        <v>0</v>
      </c>
      <c r="G3985" s="78">
        <f>MAX(H3985,I3985,J3985)</f>
        <v>1</v>
      </c>
      <c r="H3985" s="88"/>
      <c r="I3985" s="88"/>
      <c r="J3985" s="78">
        <f>MAX(K3985:Q3985)</f>
        <v>1</v>
      </c>
      <c r="K3985" s="88">
        <v>1</v>
      </c>
      <c r="L3985" s="88"/>
      <c r="M3985" s="88"/>
      <c r="N3985" s="88"/>
      <c r="O3985" s="88"/>
      <c r="P3985" s="88"/>
      <c r="Q3985" s="88"/>
      <c r="R3985" s="78">
        <f>MAX(S3985:W3985)</f>
        <v>0</v>
      </c>
      <c r="S3985" s="88"/>
      <c r="T3985" s="88"/>
      <c r="U3985" s="88"/>
      <c r="V3985" s="88"/>
      <c r="W3985" s="88"/>
    </row>
    <row r="3986" spans="2:23" s="0" customFormat="0" ht="15">
      <c r="B3986" s="87" t="s">
        <v>1</v>
      </c>
      <c r="C3986" s="88" t="s">
        <v>5259</v>
      </c>
      <c r="D3986" s="88" t="s">
        <v>4152</v>
      </c>
      <c r="E3986" s="88" t="s">
        <v>61</v>
      </c>
      <c r="F3986" s="88">
        <v>0</v>
      </c>
      <c r="G3986" s="78">
        <f>MAX(H3986,I3986,J3986)</f>
        <v>0</v>
      </c>
      <c r="H3986" s="88"/>
      <c r="I3986" s="88"/>
      <c r="J3986" s="78">
        <f>MAX(K3986:Q3986)</f>
        <v>0</v>
      </c>
      <c r="K3986" s="88"/>
      <c r="L3986" s="88"/>
      <c r="M3986" s="88"/>
      <c r="N3986" s="88"/>
      <c r="O3986" s="88"/>
      <c r="P3986" s="88"/>
      <c r="Q3986" s="88"/>
      <c r="R3986" s="78">
        <f>MAX(S3986:W3986)</f>
        <v>1</v>
      </c>
      <c r="S3986" s="88"/>
      <c r="T3986" s="88"/>
      <c r="U3986" s="88">
        <v>1</v>
      </c>
      <c r="V3986" s="88"/>
      <c r="W3986" s="88"/>
    </row>
    <row r="3987" spans="2:23" s="0" customFormat="0" ht="15">
      <c r="B3987" s="87" t="s">
        <v>1</v>
      </c>
      <c r="C3987" s="88" t="s">
        <v>5259</v>
      </c>
      <c r="D3987" s="88">
        <v>22433332</v>
      </c>
      <c r="E3987" s="88" t="s">
        <v>61</v>
      </c>
      <c r="F3987" s="88">
        <v>0</v>
      </c>
      <c r="G3987" s="78">
        <f>MAX(H3987,I3987,J3987)</f>
        <v>1</v>
      </c>
      <c r="H3987" s="88"/>
      <c r="I3987" s="88"/>
      <c r="J3987" s="78">
        <f>MAX(K3987:Q3987)</f>
        <v>1</v>
      </c>
      <c r="K3987" s="88"/>
      <c r="L3987" s="88"/>
      <c r="M3987" s="88">
        <v>1</v>
      </c>
      <c r="N3987" s="88"/>
      <c r="O3987" s="88"/>
      <c r="P3987" s="88"/>
      <c r="Q3987" s="88"/>
      <c r="R3987" s="78">
        <f>MAX(S3987:W3987)</f>
        <v>0</v>
      </c>
      <c r="S3987" s="88"/>
      <c r="T3987" s="88"/>
      <c r="U3987" s="88"/>
      <c r="V3987" s="88"/>
      <c r="W3987" s="88"/>
    </row>
    <row r="3988" spans="2:23" s="0" customFormat="0" ht="15">
      <c r="B3988" s="87" t="s">
        <v>1</v>
      </c>
      <c r="C3988" s="88" t="s">
        <v>5259</v>
      </c>
      <c r="D3988" s="88">
        <v>2290881</v>
      </c>
      <c r="E3988" s="88" t="s">
        <v>61</v>
      </c>
      <c r="F3988" s="88">
        <v>0</v>
      </c>
      <c r="G3988" s="78">
        <f>MAX(H3988,I3988,J3988)</f>
        <v>0</v>
      </c>
      <c r="H3988" s="88"/>
      <c r="I3988" s="88"/>
      <c r="J3988" s="78">
        <f>MAX(K3988:Q3988)</f>
        <v>0</v>
      </c>
      <c r="K3988" s="88"/>
      <c r="L3988" s="88"/>
      <c r="M3988" s="88"/>
      <c r="N3988" s="88"/>
      <c r="O3988" s="88"/>
      <c r="P3988" s="88"/>
      <c r="Q3988" s="88"/>
      <c r="R3988" s="78">
        <f>MAX(S3988:W3988)</f>
        <v>1</v>
      </c>
      <c r="S3988" s="88"/>
      <c r="T3988" s="88"/>
      <c r="U3988" s="88">
        <v>1</v>
      </c>
      <c r="V3988" s="88"/>
      <c r="W3988" s="88"/>
    </row>
    <row r="3989" spans="2:23" s="0" customFormat="0" ht="15">
      <c r="B3989" s="87" t="s">
        <v>1</v>
      </c>
      <c r="C3989" s="88" t="s">
        <v>5259</v>
      </c>
      <c r="D3989" s="88">
        <v>22927450</v>
      </c>
      <c r="E3989" s="88" t="s">
        <v>61</v>
      </c>
      <c r="F3989" s="88">
        <v>0</v>
      </c>
      <c r="G3989" s="78">
        <f>MAX(H3989,I3989,J3989)</f>
        <v>0</v>
      </c>
      <c r="H3989" s="88"/>
      <c r="I3989" s="88"/>
      <c r="J3989" s="78">
        <f>MAX(K3989:Q3989)</f>
        <v>0</v>
      </c>
      <c r="K3989" s="88"/>
      <c r="L3989" s="88"/>
      <c r="M3989" s="88"/>
      <c r="N3989" s="88"/>
      <c r="O3989" s="88"/>
      <c r="P3989" s="88"/>
      <c r="Q3989" s="88"/>
      <c r="R3989" s="78">
        <f>MAX(S3989:W3989)</f>
        <v>1</v>
      </c>
      <c r="S3989" s="88"/>
      <c r="T3989" s="88"/>
      <c r="U3989" s="88">
        <v>1</v>
      </c>
      <c r="V3989" s="88"/>
      <c r="W3989" s="88"/>
    </row>
    <row r="3990" spans="2:23" s="0" customFormat="0" ht="15">
      <c r="B3990" s="87" t="s">
        <v>1</v>
      </c>
      <c r="C3990" s="88" t="s">
        <v>5259</v>
      </c>
      <c r="D3990" s="88" t="s">
        <v>2015</v>
      </c>
      <c r="E3990" s="88" t="s">
        <v>61</v>
      </c>
      <c r="F3990" s="88">
        <v>0</v>
      </c>
      <c r="G3990" s="78">
        <f>MAX(H3990,I3990,J3990)</f>
        <v>1</v>
      </c>
      <c r="H3990" s="88"/>
      <c r="I3990" s="88"/>
      <c r="J3990" s="78">
        <f>MAX(K3990:Q3990)</f>
        <v>1</v>
      </c>
      <c r="K3990" s="88">
        <v>1</v>
      </c>
      <c r="L3990" s="88"/>
      <c r="M3990" s="88"/>
      <c r="N3990" s="88"/>
      <c r="O3990" s="88"/>
      <c r="P3990" s="88"/>
      <c r="Q3990" s="88"/>
      <c r="R3990" s="78">
        <f>MAX(S3990:W3990)</f>
        <v>0</v>
      </c>
      <c r="S3990" s="88"/>
      <c r="T3990" s="88"/>
      <c r="U3990" s="88"/>
      <c r="V3990" s="88"/>
      <c r="W3990" s="88"/>
    </row>
    <row r="3991" spans="2:23" s="0" customFormat="0" ht="15">
      <c r="B3991" s="87" t="s">
        <v>1</v>
      </c>
      <c r="C3991" s="88" t="s">
        <v>5259</v>
      </c>
      <c r="D3991" s="88">
        <v>18126309</v>
      </c>
      <c r="E3991" s="88" t="s">
        <v>61</v>
      </c>
      <c r="F3991" s="88">
        <v>0</v>
      </c>
      <c r="G3991" s="78">
        <f>MAX(H3991,I3991,J3991)</f>
        <v>1</v>
      </c>
      <c r="H3991" s="88"/>
      <c r="I3991" s="88"/>
      <c r="J3991" s="78">
        <f>MAX(K3991:Q3991)</f>
        <v>1</v>
      </c>
      <c r="K3991" s="88"/>
      <c r="L3991" s="88"/>
      <c r="M3991" s="88">
        <v>1</v>
      </c>
      <c r="N3991" s="88"/>
      <c r="O3991" s="88"/>
      <c r="P3991" s="88"/>
      <c r="Q3991" s="88"/>
      <c r="R3991" s="78">
        <f>MAX(S3991:W3991)</f>
        <v>0</v>
      </c>
      <c r="S3991" s="88"/>
      <c r="T3991" s="88"/>
      <c r="U3991" s="88"/>
      <c r="V3991" s="88"/>
      <c r="W3991" s="88"/>
    </row>
    <row r="3992" spans="2:23" s="0" customFormat="0" ht="15">
      <c r="B3992" s="87" t="s">
        <v>1</v>
      </c>
      <c r="C3992" s="88" t="s">
        <v>5259</v>
      </c>
      <c r="D3992" s="88">
        <v>22554172</v>
      </c>
      <c r="E3992" s="88" t="s">
        <v>61</v>
      </c>
      <c r="F3992" s="88">
        <v>0</v>
      </c>
      <c r="G3992" s="78">
        <f>MAX(H3992,I3992,J3992)</f>
        <v>0</v>
      </c>
      <c r="H3992" s="88"/>
      <c r="I3992" s="88"/>
      <c r="J3992" s="78">
        <f>MAX(K3992:Q3992)</f>
        <v>0</v>
      </c>
      <c r="K3992" s="88"/>
      <c r="L3992" s="88"/>
      <c r="M3992" s="88"/>
      <c r="N3992" s="88"/>
      <c r="O3992" s="88"/>
      <c r="P3992" s="88"/>
      <c r="Q3992" s="88"/>
      <c r="R3992" s="78">
        <f>MAX(S3992:W3992)</f>
        <v>1</v>
      </c>
      <c r="S3992" s="88"/>
      <c r="T3992" s="88"/>
      <c r="U3992" s="88">
        <v>1</v>
      </c>
      <c r="V3992" s="88"/>
      <c r="W3992" s="88"/>
    </row>
    <row r="3993" spans="2:23" s="0" customFormat="0" ht="15">
      <c r="B3993" s="87" t="s">
        <v>1</v>
      </c>
      <c r="C3993" s="88" t="s">
        <v>5259</v>
      </c>
      <c r="D3993" s="88">
        <v>9308929</v>
      </c>
      <c r="E3993" s="88" t="s">
        <v>61</v>
      </c>
      <c r="F3993" s="88">
        <v>0</v>
      </c>
      <c r="G3993" s="78">
        <f>MAX(H3993,I3993,J3993)</f>
        <v>1</v>
      </c>
      <c r="H3993" s="88"/>
      <c r="I3993" s="88"/>
      <c r="J3993" s="78">
        <f>MAX(K3993:Q3993)</f>
        <v>1</v>
      </c>
      <c r="K3993" s="88">
        <v>1</v>
      </c>
      <c r="L3993" s="88"/>
      <c r="M3993" s="88"/>
      <c r="N3993" s="88"/>
      <c r="O3993" s="88"/>
      <c r="P3993" s="88"/>
      <c r="Q3993" s="88"/>
      <c r="R3993" s="78">
        <f>MAX(S3993:W3993)</f>
        <v>0</v>
      </c>
      <c r="S3993" s="88"/>
      <c r="T3993" s="88"/>
      <c r="U3993" s="88"/>
      <c r="V3993" s="88"/>
      <c r="W3993" s="88"/>
    </row>
    <row r="3994" spans="2:23" s="0" customFormat="0" ht="15">
      <c r="B3994" s="87" t="s">
        <v>1</v>
      </c>
      <c r="C3994" s="88" t="s">
        <v>5259</v>
      </c>
      <c r="D3994" s="88">
        <v>19178596</v>
      </c>
      <c r="E3994" s="88" t="s">
        <v>61</v>
      </c>
      <c r="F3994" s="88">
        <v>0</v>
      </c>
      <c r="G3994" s="78">
        <f>MAX(H3994,I3994,J3994)</f>
        <v>1</v>
      </c>
      <c r="H3994" s="88"/>
      <c r="I3994" s="88"/>
      <c r="J3994" s="78">
        <f>MAX(K3994:Q3994)</f>
        <v>1</v>
      </c>
      <c r="K3994" s="88">
        <v>1</v>
      </c>
      <c r="L3994" s="88"/>
      <c r="M3994" s="88"/>
      <c r="N3994" s="88"/>
      <c r="O3994" s="88"/>
      <c r="P3994" s="88"/>
      <c r="Q3994" s="88"/>
      <c r="R3994" s="78">
        <f>MAX(S3994:W3994)</f>
        <v>0</v>
      </c>
      <c r="S3994" s="88"/>
      <c r="T3994" s="88"/>
      <c r="U3994" s="88"/>
      <c r="V3994" s="88"/>
      <c r="W3994" s="88"/>
    </row>
    <row r="3995" spans="2:23" s="0" customFormat="0" ht="15">
      <c r="B3995" s="87" t="s">
        <v>1</v>
      </c>
      <c r="C3995" s="88" t="s">
        <v>5259</v>
      </c>
      <c r="D3995" s="88" t="s">
        <v>3553</v>
      </c>
      <c r="E3995" s="88" t="s">
        <v>61</v>
      </c>
      <c r="F3995" s="88">
        <v>0</v>
      </c>
      <c r="G3995" s="78">
        <f>MAX(H3995,I3995,J3995)</f>
        <v>0</v>
      </c>
      <c r="H3995" s="88"/>
      <c r="I3995" s="88"/>
      <c r="J3995" s="78">
        <f>MAX(K3995:Q3995)</f>
        <v>0</v>
      </c>
      <c r="K3995" s="88"/>
      <c r="L3995" s="88"/>
      <c r="M3995" s="88"/>
      <c r="N3995" s="88"/>
      <c r="O3995" s="88"/>
      <c r="P3995" s="88"/>
      <c r="Q3995" s="88"/>
      <c r="R3995" s="78">
        <f>MAX(S3995:W3995)</f>
        <v>1</v>
      </c>
      <c r="S3995" s="88"/>
      <c r="T3995" s="88"/>
      <c r="U3995" s="88">
        <v>1</v>
      </c>
      <c r="V3995" s="88"/>
      <c r="W3995" s="88"/>
    </row>
    <row r="3996" spans="2:23" s="0" customFormat="0" ht="15">
      <c r="B3996" s="87" t="s">
        <v>1</v>
      </c>
      <c r="C3996" s="88" t="s">
        <v>5259</v>
      </c>
      <c r="D3996" s="88">
        <v>16974605</v>
      </c>
      <c r="E3996" s="88" t="s">
        <v>61</v>
      </c>
      <c r="F3996" s="88">
        <v>0</v>
      </c>
      <c r="G3996" s="78">
        <f>MAX(H3996,I3996,J3996)</f>
        <v>0</v>
      </c>
      <c r="H3996" s="88"/>
      <c r="I3996" s="88"/>
      <c r="J3996" s="78">
        <f>MAX(K3996:Q3996)</f>
        <v>0</v>
      </c>
      <c r="K3996" s="88"/>
      <c r="L3996" s="88"/>
      <c r="M3996" s="88"/>
      <c r="N3996" s="88"/>
      <c r="O3996" s="88"/>
      <c r="P3996" s="88"/>
      <c r="Q3996" s="88"/>
      <c r="R3996" s="78">
        <f>MAX(S3996:W3996)</f>
        <v>1</v>
      </c>
      <c r="S3996" s="88"/>
      <c r="T3996" s="88"/>
      <c r="U3996" s="88">
        <v>1</v>
      </c>
      <c r="V3996" s="88"/>
      <c r="W3996" s="88"/>
    </row>
    <row r="3997" spans="2:23" s="0" customFormat="0" ht="15">
      <c r="B3997" s="87" t="s">
        <v>1</v>
      </c>
      <c r="C3997" s="88" t="s">
        <v>5259</v>
      </c>
      <c r="D3997" s="88">
        <v>22623687</v>
      </c>
      <c r="E3997" s="88" t="s">
        <v>61</v>
      </c>
      <c r="F3997" s="88">
        <v>0</v>
      </c>
      <c r="G3997" s="78">
        <f>MAX(H3997,I3997,J3997)</f>
        <v>0</v>
      </c>
      <c r="H3997" s="88"/>
      <c r="I3997" s="88"/>
      <c r="J3997" s="78">
        <f>MAX(K3997:Q3997)</f>
        <v>0</v>
      </c>
      <c r="K3997" s="88"/>
      <c r="L3997" s="88"/>
      <c r="M3997" s="88"/>
      <c r="N3997" s="88"/>
      <c r="O3997" s="88"/>
      <c r="P3997" s="88"/>
      <c r="Q3997" s="88"/>
      <c r="R3997" s="78">
        <f>MAX(S3997:W3997)</f>
        <v>1</v>
      </c>
      <c r="S3997" s="88"/>
      <c r="T3997" s="88"/>
      <c r="U3997" s="88">
        <v>1</v>
      </c>
      <c r="V3997" s="88"/>
      <c r="W3997" s="88"/>
    </row>
    <row r="3998" spans="2:23" s="0" customFormat="0" ht="15">
      <c r="B3998" s="87" t="s">
        <v>1</v>
      </c>
      <c r="C3998" s="88" t="s">
        <v>5259</v>
      </c>
      <c r="D3998" s="88">
        <v>18550857</v>
      </c>
      <c r="E3998" s="88" t="s">
        <v>61</v>
      </c>
      <c r="F3998" s="88">
        <v>0</v>
      </c>
      <c r="G3998" s="78">
        <f>MAX(H3998,I3998,J3998)</f>
        <v>1</v>
      </c>
      <c r="H3998" s="88"/>
      <c r="I3998" s="88"/>
      <c r="J3998" s="78">
        <f>MAX(K3998:Q3998)</f>
        <v>1</v>
      </c>
      <c r="K3998" s="88">
        <v>1</v>
      </c>
      <c r="L3998" s="88"/>
      <c r="M3998" s="88"/>
      <c r="N3998" s="88"/>
      <c r="O3998" s="88"/>
      <c r="P3998" s="88"/>
      <c r="Q3998" s="88"/>
      <c r="R3998" s="78">
        <f>MAX(S3998:W3998)</f>
        <v>0</v>
      </c>
      <c r="S3998" s="88"/>
      <c r="T3998" s="88"/>
      <c r="U3998" s="88"/>
      <c r="V3998" s="88"/>
      <c r="W3998" s="88"/>
    </row>
    <row r="3999" spans="2:23" s="0" customFormat="0" ht="15">
      <c r="B3999" s="87" t="s">
        <v>1</v>
      </c>
      <c r="C3999" s="88" t="s">
        <v>5259</v>
      </c>
      <c r="D3999" s="88" t="s">
        <v>4091</v>
      </c>
      <c r="E3999" s="88" t="s">
        <v>61</v>
      </c>
      <c r="F3999" s="88">
        <v>0</v>
      </c>
      <c r="G3999" s="78">
        <f>MAX(H3999,I3999,J3999)</f>
        <v>0</v>
      </c>
      <c r="H3999" s="88"/>
      <c r="I3999" s="88"/>
      <c r="J3999" s="78">
        <f>MAX(K3999:Q3999)</f>
        <v>0</v>
      </c>
      <c r="K3999" s="88"/>
      <c r="L3999" s="88"/>
      <c r="M3999" s="88"/>
      <c r="N3999" s="88"/>
      <c r="O3999" s="88"/>
      <c r="P3999" s="88"/>
      <c r="Q3999" s="88"/>
      <c r="R3999" s="78">
        <f>MAX(S3999:W3999)</f>
        <v>1</v>
      </c>
      <c r="S3999" s="88"/>
      <c r="T3999" s="88"/>
      <c r="U3999" s="88">
        <v>1</v>
      </c>
      <c r="V3999" s="88"/>
      <c r="W3999" s="88"/>
    </row>
    <row r="4000" spans="2:23" s="0" customFormat="0" ht="15">
      <c r="B4000" s="87" t="s">
        <v>1</v>
      </c>
      <c r="C4000" s="88" t="s">
        <v>5259</v>
      </c>
      <c r="D4000" s="88" t="s">
        <v>4883</v>
      </c>
      <c r="E4000" s="88" t="s">
        <v>61</v>
      </c>
      <c r="F4000" s="88">
        <v>0</v>
      </c>
      <c r="G4000" s="78">
        <f>MAX(H4000,I4000,J4000)</f>
        <v>0</v>
      </c>
      <c r="H4000" s="88"/>
      <c r="I4000" s="88"/>
      <c r="J4000" s="78">
        <f>MAX(K4000:Q4000)</f>
        <v>0</v>
      </c>
      <c r="K4000" s="88"/>
      <c r="L4000" s="88"/>
      <c r="M4000" s="88"/>
      <c r="N4000" s="88"/>
      <c r="O4000" s="88"/>
      <c r="P4000" s="88"/>
      <c r="Q4000" s="88"/>
      <c r="R4000" s="78">
        <f>MAX(S4000:W4000)</f>
        <v>1</v>
      </c>
      <c r="S4000" s="88"/>
      <c r="T4000" s="88"/>
      <c r="U4000" s="88">
        <v>1</v>
      </c>
      <c r="V4000" s="88"/>
      <c r="W4000" s="88"/>
    </row>
    <row r="4001" spans="2:23" s="0" customFormat="0" ht="15">
      <c r="B4001" s="87" t="s">
        <v>1</v>
      </c>
      <c r="C4001" s="88" t="s">
        <v>5259</v>
      </c>
      <c r="D4001" s="88">
        <v>24191440</v>
      </c>
      <c r="E4001" s="88" t="s">
        <v>61</v>
      </c>
      <c r="F4001" s="88">
        <v>0</v>
      </c>
      <c r="G4001" s="78">
        <f>MAX(H4001,I4001,J4001)</f>
        <v>1</v>
      </c>
      <c r="H4001" s="88"/>
      <c r="I4001" s="88"/>
      <c r="J4001" s="78">
        <f>MAX(K4001:Q4001)</f>
        <v>1</v>
      </c>
      <c r="K4001" s="88">
        <v>1</v>
      </c>
      <c r="L4001" s="88"/>
      <c r="M4001" s="88"/>
      <c r="N4001" s="88"/>
      <c r="O4001" s="88"/>
      <c r="P4001" s="88"/>
      <c r="Q4001" s="88"/>
      <c r="R4001" s="78">
        <f>MAX(S4001:W4001)</f>
        <v>0</v>
      </c>
      <c r="S4001" s="88"/>
      <c r="T4001" s="88"/>
      <c r="U4001" s="88"/>
      <c r="V4001" s="88"/>
      <c r="W4001" s="88"/>
    </row>
    <row r="4002" spans="2:23" s="0" customFormat="0" ht="15">
      <c r="B4002" s="87" t="s">
        <v>1</v>
      </c>
      <c r="C4002" s="88" t="s">
        <v>5259</v>
      </c>
      <c r="D4002" s="88" t="s">
        <v>4102</v>
      </c>
      <c r="E4002" s="88" t="s">
        <v>61</v>
      </c>
      <c r="F4002" s="88">
        <v>0</v>
      </c>
      <c r="G4002" s="78">
        <f>MAX(H4002,I4002,J4002)</f>
        <v>0</v>
      </c>
      <c r="H4002" s="88"/>
      <c r="I4002" s="88"/>
      <c r="J4002" s="78">
        <f>MAX(K4002:Q4002)</f>
        <v>0</v>
      </c>
      <c r="K4002" s="88"/>
      <c r="L4002" s="88"/>
      <c r="M4002" s="88"/>
      <c r="N4002" s="88"/>
      <c r="O4002" s="88"/>
      <c r="P4002" s="88"/>
      <c r="Q4002" s="88"/>
      <c r="R4002" s="78">
        <f>MAX(S4002:W4002)</f>
        <v>1</v>
      </c>
      <c r="S4002" s="88"/>
      <c r="T4002" s="88"/>
      <c r="U4002" s="88">
        <v>1</v>
      </c>
      <c r="V4002" s="88"/>
      <c r="W4002" s="88"/>
    </row>
    <row r="4003" spans="2:23" s="0" customFormat="0" ht="15">
      <c r="B4003" s="87" t="s">
        <v>1</v>
      </c>
      <c r="C4003" s="88" t="s">
        <v>5259</v>
      </c>
      <c r="D4003" s="88" t="s">
        <v>4885</v>
      </c>
      <c r="E4003" s="88" t="s">
        <v>61</v>
      </c>
      <c r="F4003" s="88">
        <v>0</v>
      </c>
      <c r="G4003" s="78">
        <f>MAX(H4003,I4003,J4003)</f>
        <v>0</v>
      </c>
      <c r="H4003" s="88"/>
      <c r="I4003" s="88"/>
      <c r="J4003" s="78">
        <f>MAX(K4003:Q4003)</f>
        <v>0</v>
      </c>
      <c r="K4003" s="88"/>
      <c r="L4003" s="88"/>
      <c r="M4003" s="88"/>
      <c r="N4003" s="88"/>
      <c r="O4003" s="88"/>
      <c r="P4003" s="88"/>
      <c r="Q4003" s="88"/>
      <c r="R4003" s="78">
        <f>MAX(S4003:W4003)</f>
        <v>1</v>
      </c>
      <c r="S4003" s="88"/>
      <c r="T4003" s="88"/>
      <c r="U4003" s="88">
        <v>1</v>
      </c>
      <c r="V4003" s="88"/>
      <c r="W4003" s="88"/>
    </row>
    <row r="4004" spans="2:23" s="0" customFormat="0" ht="15">
      <c r="B4004" s="87" t="s">
        <v>1</v>
      </c>
      <c r="C4004" s="88" t="s">
        <v>5259</v>
      </c>
      <c r="D4004" s="88" t="s">
        <v>2452</v>
      </c>
      <c r="E4004" s="88" t="s">
        <v>61</v>
      </c>
      <c r="F4004" s="88">
        <v>0</v>
      </c>
      <c r="G4004" s="78">
        <f>MAX(H4004,I4004,J4004)</f>
        <v>1</v>
      </c>
      <c r="H4004" s="88"/>
      <c r="I4004" s="88"/>
      <c r="J4004" s="78">
        <f>MAX(K4004:Q4004)</f>
        <v>1</v>
      </c>
      <c r="K4004" s="88">
        <v>1</v>
      </c>
      <c r="L4004" s="88"/>
      <c r="M4004" s="88"/>
      <c r="N4004" s="88"/>
      <c r="O4004" s="88"/>
      <c r="P4004" s="88"/>
      <c r="Q4004" s="88"/>
      <c r="R4004" s="78">
        <f>MAX(S4004:W4004)</f>
        <v>0</v>
      </c>
      <c r="S4004" s="88"/>
      <c r="T4004" s="88"/>
      <c r="U4004" s="88"/>
      <c r="V4004" s="88"/>
      <c r="W4004" s="88"/>
    </row>
    <row r="4005" spans="2:23" s="0" customFormat="0" ht="15">
      <c r="B4005" s="87" t="s">
        <v>1</v>
      </c>
      <c r="C4005" s="88" t="s">
        <v>5259</v>
      </c>
      <c r="D4005" s="88" t="s">
        <v>2433</v>
      </c>
      <c r="E4005" s="88" t="s">
        <v>61</v>
      </c>
      <c r="F4005" s="88">
        <v>0</v>
      </c>
      <c r="G4005" s="78">
        <f>MAX(H4005,I4005,J4005)</f>
        <v>1</v>
      </c>
      <c r="H4005" s="88"/>
      <c r="I4005" s="88"/>
      <c r="J4005" s="78">
        <f>MAX(K4005:Q4005)</f>
        <v>1</v>
      </c>
      <c r="K4005" s="88">
        <v>1</v>
      </c>
      <c r="L4005" s="88"/>
      <c r="M4005" s="88"/>
      <c r="N4005" s="88"/>
      <c r="O4005" s="88"/>
      <c r="P4005" s="88"/>
      <c r="Q4005" s="88"/>
      <c r="R4005" s="78">
        <f>MAX(S4005:W4005)</f>
        <v>0</v>
      </c>
      <c r="S4005" s="88"/>
      <c r="T4005" s="88"/>
      <c r="U4005" s="88"/>
      <c r="V4005" s="88"/>
      <c r="W4005" s="88"/>
    </row>
    <row r="4006" spans="2:23" s="0" customFormat="0" ht="15">
      <c r="B4006" s="87" t="s">
        <v>1</v>
      </c>
      <c r="C4006" s="88" t="s">
        <v>5259</v>
      </c>
      <c r="D4006" s="88" t="s">
        <v>3731</v>
      </c>
      <c r="E4006" s="88" t="s">
        <v>61</v>
      </c>
      <c r="F4006" s="88">
        <v>0</v>
      </c>
      <c r="G4006" s="78">
        <f>MAX(H4006,I4006,J4006)</f>
        <v>0</v>
      </c>
      <c r="H4006" s="88"/>
      <c r="I4006" s="88"/>
      <c r="J4006" s="78">
        <f>MAX(K4006:Q4006)</f>
        <v>0</v>
      </c>
      <c r="K4006" s="88"/>
      <c r="L4006" s="88"/>
      <c r="M4006" s="88"/>
      <c r="N4006" s="88"/>
      <c r="O4006" s="88"/>
      <c r="P4006" s="88"/>
      <c r="Q4006" s="88"/>
      <c r="R4006" s="78">
        <f>MAX(S4006:W4006)</f>
        <v>1</v>
      </c>
      <c r="S4006" s="88"/>
      <c r="T4006" s="88"/>
      <c r="U4006" s="88">
        <v>1</v>
      </c>
      <c r="V4006" s="88"/>
      <c r="W4006" s="88"/>
    </row>
    <row r="4007" spans="2:23" s="0" customFormat="0" ht="15">
      <c r="B4007" s="87" t="s">
        <v>1</v>
      </c>
      <c r="C4007" s="88" t="s">
        <v>5259</v>
      </c>
      <c r="D4007" s="88">
        <v>19686832</v>
      </c>
      <c r="E4007" s="88" t="s">
        <v>61</v>
      </c>
      <c r="F4007" s="88">
        <v>0</v>
      </c>
      <c r="G4007" s="78">
        <f>MAX(H4007,I4007,J4007)</f>
        <v>1</v>
      </c>
      <c r="H4007" s="88"/>
      <c r="I4007" s="88"/>
      <c r="J4007" s="78">
        <f>MAX(K4007:Q4007)</f>
        <v>1</v>
      </c>
      <c r="K4007" s="88">
        <v>1</v>
      </c>
      <c r="L4007" s="88"/>
      <c r="M4007" s="88"/>
      <c r="N4007" s="88"/>
      <c r="O4007" s="88"/>
      <c r="P4007" s="88"/>
      <c r="Q4007" s="88"/>
      <c r="R4007" s="78">
        <f>MAX(S4007:W4007)</f>
        <v>0</v>
      </c>
      <c r="S4007" s="88"/>
      <c r="T4007" s="88"/>
      <c r="U4007" s="88"/>
      <c r="V4007" s="88"/>
      <c r="W4007" s="88"/>
    </row>
    <row r="4008" spans="2:23" s="0" customFormat="0" ht="15">
      <c r="B4008" s="87" t="s">
        <v>1</v>
      </c>
      <c r="C4008" s="88" t="s">
        <v>5259</v>
      </c>
      <c r="D4008" s="88">
        <v>23134848</v>
      </c>
      <c r="E4008" s="88" t="s">
        <v>61</v>
      </c>
      <c r="F4008" s="88">
        <v>0</v>
      </c>
      <c r="G4008" s="78">
        <f>MAX(H4008,I4008,J4008)</f>
        <v>1</v>
      </c>
      <c r="H4008" s="88"/>
      <c r="I4008" s="88"/>
      <c r="J4008" s="78">
        <f>MAX(K4008:Q4008)</f>
        <v>1</v>
      </c>
      <c r="K4008" s="88">
        <v>1</v>
      </c>
      <c r="L4008" s="88"/>
      <c r="M4008" s="88"/>
      <c r="N4008" s="88"/>
      <c r="O4008" s="88"/>
      <c r="P4008" s="88"/>
      <c r="Q4008" s="88"/>
      <c r="R4008" s="78">
        <f>MAX(S4008:W4008)</f>
        <v>0</v>
      </c>
      <c r="S4008" s="88"/>
      <c r="T4008" s="88"/>
      <c r="U4008" s="88"/>
      <c r="V4008" s="88"/>
      <c r="W4008" s="88"/>
    </row>
    <row r="4009" spans="2:23" s="0" customFormat="0" ht="15">
      <c r="B4009" s="87" t="s">
        <v>1</v>
      </c>
      <c r="C4009" s="88" t="s">
        <v>5259</v>
      </c>
      <c r="D4009" s="88">
        <v>22272418</v>
      </c>
      <c r="E4009" s="88" t="s">
        <v>61</v>
      </c>
      <c r="F4009" s="88">
        <v>0</v>
      </c>
      <c r="G4009" s="78">
        <f>MAX(H4009,I4009,J4009)</f>
        <v>1</v>
      </c>
      <c r="H4009" s="88"/>
      <c r="I4009" s="88"/>
      <c r="J4009" s="78">
        <f>MAX(K4009:Q4009)</f>
        <v>1</v>
      </c>
      <c r="K4009" s="88">
        <v>1</v>
      </c>
      <c r="L4009" s="88"/>
      <c r="M4009" s="88"/>
      <c r="N4009" s="88"/>
      <c r="O4009" s="88"/>
      <c r="P4009" s="88"/>
      <c r="Q4009" s="88"/>
      <c r="R4009" s="78">
        <f>MAX(S4009:W4009)</f>
        <v>0</v>
      </c>
      <c r="S4009" s="88"/>
      <c r="T4009" s="88"/>
      <c r="U4009" s="88"/>
      <c r="V4009" s="88"/>
      <c r="W4009" s="88"/>
    </row>
    <row r="4010" spans="2:23" s="0" customFormat="0" ht="15">
      <c r="B4010" s="87" t="s">
        <v>1</v>
      </c>
      <c r="C4010" s="88" t="s">
        <v>5259</v>
      </c>
      <c r="D4010" s="88" t="s">
        <v>4145</v>
      </c>
      <c r="E4010" s="88" t="s">
        <v>61</v>
      </c>
      <c r="F4010" s="88">
        <v>0</v>
      </c>
      <c r="G4010" s="78">
        <f>MAX(H4010,I4010,J4010)</f>
        <v>0</v>
      </c>
      <c r="H4010" s="88"/>
      <c r="I4010" s="88"/>
      <c r="J4010" s="78">
        <f>MAX(K4010:Q4010)</f>
        <v>0</v>
      </c>
      <c r="K4010" s="88"/>
      <c r="L4010" s="88"/>
      <c r="M4010" s="88"/>
      <c r="N4010" s="88"/>
      <c r="O4010" s="88"/>
      <c r="P4010" s="88"/>
      <c r="Q4010" s="88"/>
      <c r="R4010" s="78">
        <f>MAX(S4010:W4010)</f>
        <v>1</v>
      </c>
      <c r="S4010" s="88"/>
      <c r="T4010" s="88"/>
      <c r="U4010" s="88">
        <v>1</v>
      </c>
      <c r="V4010" s="88"/>
      <c r="W4010" s="88"/>
    </row>
    <row r="4011" spans="2:23" s="0" customFormat="0" ht="15">
      <c r="B4011" s="87" t="s">
        <v>1</v>
      </c>
      <c r="C4011" s="88" t="s">
        <v>5259</v>
      </c>
      <c r="D4011" s="88" t="s">
        <v>3200</v>
      </c>
      <c r="E4011" s="88" t="s">
        <v>61</v>
      </c>
      <c r="F4011" s="88">
        <v>0</v>
      </c>
      <c r="G4011" s="78">
        <f>MAX(H4011,I4011,J4011)</f>
        <v>0</v>
      </c>
      <c r="H4011" s="88"/>
      <c r="I4011" s="88"/>
      <c r="J4011" s="78">
        <f>MAX(K4011:Q4011)</f>
        <v>0</v>
      </c>
      <c r="K4011" s="88"/>
      <c r="L4011" s="88"/>
      <c r="M4011" s="88"/>
      <c r="N4011" s="88"/>
      <c r="O4011" s="88"/>
      <c r="P4011" s="88"/>
      <c r="Q4011" s="88"/>
      <c r="R4011" s="78">
        <f>MAX(S4011:W4011)</f>
        <v>1</v>
      </c>
      <c r="S4011" s="88"/>
      <c r="T4011" s="88"/>
      <c r="U4011" s="88"/>
      <c r="V4011" s="88">
        <v>1</v>
      </c>
      <c r="W4011" s="88"/>
    </row>
    <row r="4012" spans="2:23" s="0" customFormat="0" ht="15">
      <c r="B4012" s="87" t="s">
        <v>1</v>
      </c>
      <c r="C4012" s="88" t="s">
        <v>5259</v>
      </c>
      <c r="D4012" s="88" t="s">
        <v>3871</v>
      </c>
      <c r="E4012" s="88" t="s">
        <v>61</v>
      </c>
      <c r="F4012" s="88">
        <v>0</v>
      </c>
      <c r="G4012" s="78">
        <f>MAX(H4012,I4012,J4012)</f>
        <v>0</v>
      </c>
      <c r="H4012" s="88"/>
      <c r="I4012" s="88"/>
      <c r="J4012" s="78">
        <f>MAX(K4012:Q4012)</f>
        <v>0</v>
      </c>
      <c r="K4012" s="88"/>
      <c r="L4012" s="88"/>
      <c r="M4012" s="88"/>
      <c r="N4012" s="88"/>
      <c r="O4012" s="88"/>
      <c r="P4012" s="88"/>
      <c r="Q4012" s="88"/>
      <c r="R4012" s="78">
        <f>MAX(S4012:W4012)</f>
        <v>1</v>
      </c>
      <c r="S4012" s="88"/>
      <c r="T4012" s="88"/>
      <c r="U4012" s="88">
        <v>1</v>
      </c>
      <c r="V4012" s="88"/>
      <c r="W4012" s="88"/>
    </row>
    <row r="4013" spans="2:23" s="0" customFormat="0" ht="15">
      <c r="B4013" s="87" t="s">
        <v>1</v>
      </c>
      <c r="C4013" s="88" t="s">
        <v>5259</v>
      </c>
      <c r="D4013" s="88">
        <v>7178602</v>
      </c>
      <c r="E4013" s="88" t="s">
        <v>61</v>
      </c>
      <c r="F4013" s="88">
        <v>0</v>
      </c>
      <c r="G4013" s="78">
        <f>MAX(H4013,I4013,J4013)</f>
        <v>1</v>
      </c>
      <c r="H4013" s="88"/>
      <c r="I4013" s="88"/>
      <c r="J4013" s="78">
        <f>MAX(K4013:Q4013)</f>
        <v>1</v>
      </c>
      <c r="K4013" s="88">
        <v>1</v>
      </c>
      <c r="L4013" s="88"/>
      <c r="M4013" s="88"/>
      <c r="N4013" s="88"/>
      <c r="O4013" s="88"/>
      <c r="P4013" s="88"/>
      <c r="Q4013" s="88"/>
      <c r="R4013" s="78">
        <f>MAX(S4013:W4013)</f>
        <v>0</v>
      </c>
      <c r="S4013" s="88"/>
      <c r="T4013" s="88"/>
      <c r="U4013" s="88"/>
      <c r="V4013" s="88"/>
      <c r="W4013" s="88"/>
    </row>
    <row r="4014" spans="2:23" s="0" customFormat="0" ht="15">
      <c r="B4014" s="87" t="s">
        <v>1</v>
      </c>
      <c r="C4014" s="88" t="s">
        <v>5259</v>
      </c>
      <c r="D4014" s="88" t="s">
        <v>543</v>
      </c>
      <c r="E4014" s="88" t="s">
        <v>61</v>
      </c>
      <c r="F4014" s="88">
        <v>0</v>
      </c>
      <c r="G4014" s="78">
        <f>MAX(H4014,I4014,J4014)</f>
        <v>1</v>
      </c>
      <c r="H4014" s="88"/>
      <c r="I4014" s="88"/>
      <c r="J4014" s="78">
        <f>MAX(K4014:Q4014)</f>
        <v>1</v>
      </c>
      <c r="K4014" s="88">
        <v>1</v>
      </c>
      <c r="L4014" s="88"/>
      <c r="M4014" s="88"/>
      <c r="N4014" s="88"/>
      <c r="O4014" s="88"/>
      <c r="P4014" s="88"/>
      <c r="Q4014" s="88"/>
      <c r="R4014" s="78">
        <f>MAX(S4014:W4014)</f>
        <v>0</v>
      </c>
      <c r="S4014" s="88"/>
      <c r="T4014" s="88"/>
      <c r="U4014" s="88"/>
      <c r="V4014" s="88"/>
      <c r="W4014" s="88"/>
    </row>
    <row r="4015" spans="2:23" s="0" customFormat="0" ht="15">
      <c r="B4015" s="87" t="s">
        <v>1</v>
      </c>
      <c r="C4015" s="88" t="s">
        <v>5259</v>
      </c>
      <c r="D4015" s="88">
        <v>22554066</v>
      </c>
      <c r="E4015" s="88" t="s">
        <v>61</v>
      </c>
      <c r="F4015" s="88">
        <v>0</v>
      </c>
      <c r="G4015" s="78">
        <f>MAX(H4015,I4015,J4015)</f>
        <v>0</v>
      </c>
      <c r="H4015" s="88"/>
      <c r="I4015" s="88"/>
      <c r="J4015" s="78">
        <f>MAX(K4015:Q4015)</f>
        <v>0</v>
      </c>
      <c r="K4015" s="88"/>
      <c r="L4015" s="88"/>
      <c r="M4015" s="88"/>
      <c r="N4015" s="88"/>
      <c r="O4015" s="88"/>
      <c r="P4015" s="88"/>
      <c r="Q4015" s="88"/>
      <c r="R4015" s="78">
        <f>MAX(S4015:W4015)</f>
        <v>1</v>
      </c>
      <c r="S4015" s="88"/>
      <c r="T4015" s="88"/>
      <c r="U4015" s="88">
        <v>1</v>
      </c>
      <c r="V4015" s="88"/>
      <c r="W4015" s="88"/>
    </row>
    <row r="4016" spans="2:23" s="0" customFormat="0" ht="15">
      <c r="B4016" s="87" t="s">
        <v>1</v>
      </c>
      <c r="C4016" s="88" t="s">
        <v>5259</v>
      </c>
      <c r="D4016" s="88">
        <v>14962706</v>
      </c>
      <c r="E4016" s="88" t="s">
        <v>61</v>
      </c>
      <c r="F4016" s="88">
        <v>0</v>
      </c>
      <c r="G4016" s="78">
        <f>MAX(H4016,I4016,J4016)</f>
        <v>1</v>
      </c>
      <c r="H4016" s="88"/>
      <c r="I4016" s="88"/>
      <c r="J4016" s="78">
        <f>MAX(K4016:Q4016)</f>
        <v>1</v>
      </c>
      <c r="K4016" s="88">
        <v>1</v>
      </c>
      <c r="L4016" s="88"/>
      <c r="M4016" s="88"/>
      <c r="N4016" s="88"/>
      <c r="O4016" s="88"/>
      <c r="P4016" s="88"/>
      <c r="Q4016" s="88"/>
      <c r="R4016" s="78">
        <f>MAX(S4016:W4016)</f>
        <v>0</v>
      </c>
      <c r="S4016" s="88"/>
      <c r="T4016" s="88"/>
      <c r="U4016" s="88"/>
      <c r="V4016" s="88"/>
      <c r="W4016" s="88"/>
    </row>
    <row r="4017" spans="2:23" s="0" customFormat="0" ht="15">
      <c r="B4017" s="87" t="s">
        <v>1</v>
      </c>
      <c r="C4017" s="88" t="s">
        <v>5259</v>
      </c>
      <c r="D4017" s="88">
        <v>18943962</v>
      </c>
      <c r="E4017" s="88" t="s">
        <v>61</v>
      </c>
      <c r="F4017" s="88">
        <v>0</v>
      </c>
      <c r="G4017" s="78">
        <f>MAX(H4017,I4017,J4017)</f>
        <v>1</v>
      </c>
      <c r="H4017" s="88"/>
      <c r="I4017" s="88"/>
      <c r="J4017" s="78">
        <f>MAX(K4017:Q4017)</f>
        <v>1</v>
      </c>
      <c r="K4017" s="88">
        <v>1</v>
      </c>
      <c r="L4017" s="88"/>
      <c r="M4017" s="88"/>
      <c r="N4017" s="88"/>
      <c r="O4017" s="88"/>
      <c r="P4017" s="88"/>
      <c r="Q4017" s="88"/>
      <c r="R4017" s="78">
        <f>MAX(S4017:W4017)</f>
        <v>0</v>
      </c>
      <c r="S4017" s="88"/>
      <c r="T4017" s="88"/>
      <c r="U4017" s="88"/>
      <c r="V4017" s="88"/>
      <c r="W4017" s="88"/>
    </row>
    <row r="4018" spans="2:23" s="0" customFormat="0" ht="15">
      <c r="B4018" s="87" t="s">
        <v>1</v>
      </c>
      <c r="C4018" s="88" t="s">
        <v>5259</v>
      </c>
      <c r="D4018" s="88">
        <v>1551590</v>
      </c>
      <c r="E4018" s="88" t="s">
        <v>61</v>
      </c>
      <c r="F4018" s="88">
        <v>0</v>
      </c>
      <c r="G4018" s="78">
        <f>MAX(H4018,I4018,J4018)</f>
        <v>0</v>
      </c>
      <c r="H4018" s="88"/>
      <c r="I4018" s="88"/>
      <c r="J4018" s="78">
        <f>MAX(K4018:Q4018)</f>
        <v>0</v>
      </c>
      <c r="K4018" s="88"/>
      <c r="L4018" s="88"/>
      <c r="M4018" s="88"/>
      <c r="N4018" s="88"/>
      <c r="O4018" s="88"/>
      <c r="P4018" s="88"/>
      <c r="Q4018" s="88"/>
      <c r="R4018" s="78">
        <f>MAX(S4018:W4018)</f>
        <v>1</v>
      </c>
      <c r="S4018" s="88"/>
      <c r="T4018" s="88"/>
      <c r="U4018" s="88">
        <v>1</v>
      </c>
      <c r="V4018" s="88"/>
      <c r="W4018" s="88"/>
    </row>
    <row r="4019" spans="2:23" s="0" customFormat="0" ht="15">
      <c r="B4019" s="87" t="s">
        <v>1</v>
      </c>
      <c r="C4019" s="88" t="s">
        <v>5259</v>
      </c>
      <c r="D4019" s="88" t="s">
        <v>1849</v>
      </c>
      <c r="E4019" s="88" t="s">
        <v>61</v>
      </c>
      <c r="F4019" s="88">
        <v>0</v>
      </c>
      <c r="G4019" s="78">
        <f>MAX(H4019,I4019,J4019)</f>
        <v>1</v>
      </c>
      <c r="H4019" s="88"/>
      <c r="I4019" s="88"/>
      <c r="J4019" s="78">
        <f>MAX(K4019:Q4019)</f>
        <v>1</v>
      </c>
      <c r="K4019" s="88">
        <v>1</v>
      </c>
      <c r="L4019" s="88"/>
      <c r="M4019" s="88"/>
      <c r="N4019" s="88"/>
      <c r="O4019" s="88"/>
      <c r="P4019" s="88"/>
      <c r="Q4019" s="88"/>
      <c r="R4019" s="78">
        <f>MAX(S4019:W4019)</f>
        <v>0</v>
      </c>
      <c r="S4019" s="88"/>
      <c r="T4019" s="88"/>
      <c r="U4019" s="88"/>
      <c r="V4019" s="88"/>
      <c r="W4019" s="88"/>
    </row>
    <row r="4020" spans="2:23" s="0" customFormat="0" ht="15">
      <c r="B4020" s="87" t="s">
        <v>1</v>
      </c>
      <c r="C4020" s="88" t="s">
        <v>5259</v>
      </c>
      <c r="D4020" s="88" t="s">
        <v>3756</v>
      </c>
      <c r="E4020" s="88" t="s">
        <v>61</v>
      </c>
      <c r="F4020" s="88">
        <v>0</v>
      </c>
      <c r="G4020" s="78">
        <f>MAX(H4020,I4020,J4020)</f>
        <v>0</v>
      </c>
      <c r="H4020" s="88"/>
      <c r="I4020" s="88"/>
      <c r="J4020" s="78">
        <f>MAX(K4020:Q4020)</f>
        <v>0</v>
      </c>
      <c r="K4020" s="88"/>
      <c r="L4020" s="88"/>
      <c r="M4020" s="88"/>
      <c r="N4020" s="88"/>
      <c r="O4020" s="88"/>
      <c r="P4020" s="88"/>
      <c r="Q4020" s="88"/>
      <c r="R4020" s="78">
        <f>MAX(S4020:W4020)</f>
        <v>1</v>
      </c>
      <c r="S4020" s="88"/>
      <c r="T4020" s="88"/>
      <c r="U4020" s="88">
        <v>1</v>
      </c>
      <c r="V4020" s="88"/>
      <c r="W4020" s="88"/>
    </row>
    <row r="4021" spans="2:23" s="0" customFormat="0" ht="15">
      <c r="B4021" s="87" t="s">
        <v>1</v>
      </c>
      <c r="C4021" s="88" t="s">
        <v>5259</v>
      </c>
      <c r="D4021" s="88">
        <v>21507541</v>
      </c>
      <c r="E4021" s="88" t="s">
        <v>61</v>
      </c>
      <c r="F4021" s="88">
        <v>0</v>
      </c>
      <c r="G4021" s="78">
        <f>MAX(H4021,I4021,J4021)</f>
        <v>1</v>
      </c>
      <c r="H4021" s="88"/>
      <c r="I4021" s="88"/>
      <c r="J4021" s="78">
        <f>MAX(K4021:Q4021)</f>
        <v>1</v>
      </c>
      <c r="K4021" s="88">
        <v>1</v>
      </c>
      <c r="L4021" s="88"/>
      <c r="M4021" s="88"/>
      <c r="N4021" s="88"/>
      <c r="O4021" s="88"/>
      <c r="P4021" s="88"/>
      <c r="Q4021" s="88"/>
      <c r="R4021" s="78">
        <f>MAX(S4021:W4021)</f>
        <v>0</v>
      </c>
      <c r="S4021" s="88"/>
      <c r="T4021" s="88"/>
      <c r="U4021" s="88"/>
      <c r="V4021" s="88"/>
      <c r="W4021" s="88"/>
    </row>
    <row r="4022" spans="2:23" s="0" customFormat="0" ht="15">
      <c r="B4022" s="87" t="s">
        <v>1</v>
      </c>
      <c r="C4022" s="88" t="s">
        <v>5259</v>
      </c>
      <c r="D4022" s="88">
        <v>16973570</v>
      </c>
      <c r="E4022" s="88" t="s">
        <v>61</v>
      </c>
      <c r="F4022" s="88">
        <v>0</v>
      </c>
      <c r="G4022" s="78">
        <f>MAX(H4022,I4022,J4022)</f>
        <v>1</v>
      </c>
      <c r="H4022" s="88"/>
      <c r="I4022" s="88"/>
      <c r="J4022" s="78">
        <f>MAX(K4022:Q4022)</f>
        <v>1</v>
      </c>
      <c r="K4022" s="88">
        <v>1</v>
      </c>
      <c r="L4022" s="88"/>
      <c r="M4022" s="88"/>
      <c r="N4022" s="88"/>
      <c r="O4022" s="88"/>
      <c r="P4022" s="88"/>
      <c r="Q4022" s="88"/>
      <c r="R4022" s="78">
        <f>MAX(S4022:W4022)</f>
        <v>0</v>
      </c>
      <c r="S4022" s="88"/>
      <c r="T4022" s="88"/>
      <c r="U4022" s="88"/>
      <c r="V4022" s="88"/>
      <c r="W4022" s="88"/>
    </row>
    <row r="4023" spans="2:23" s="0" customFormat="0" ht="15">
      <c r="B4023" s="87" t="s">
        <v>1</v>
      </c>
      <c r="C4023" s="88" t="s">
        <v>5259</v>
      </c>
      <c r="D4023" s="88" t="s">
        <v>3254</v>
      </c>
      <c r="E4023" s="88" t="s">
        <v>61</v>
      </c>
      <c r="F4023" s="88">
        <v>0</v>
      </c>
      <c r="G4023" s="78">
        <f>MAX(H4023,I4023,J4023)</f>
        <v>0</v>
      </c>
      <c r="H4023" s="88"/>
      <c r="I4023" s="88"/>
      <c r="J4023" s="78">
        <f>MAX(K4023:Q4023)</f>
        <v>0</v>
      </c>
      <c r="K4023" s="88"/>
      <c r="L4023" s="88"/>
      <c r="M4023" s="88"/>
      <c r="N4023" s="88"/>
      <c r="O4023" s="88"/>
      <c r="P4023" s="88"/>
      <c r="Q4023" s="88"/>
      <c r="R4023" s="78">
        <f>MAX(S4023:W4023)</f>
        <v>1</v>
      </c>
      <c r="S4023" s="88"/>
      <c r="T4023" s="88"/>
      <c r="U4023" s="88"/>
      <c r="V4023" s="88">
        <v>1</v>
      </c>
      <c r="W4023" s="88"/>
    </row>
    <row r="4024" spans="2:23" s="0" customFormat="0" ht="15">
      <c r="B4024" s="87" t="s">
        <v>1</v>
      </c>
      <c r="C4024" s="88" t="s">
        <v>5259</v>
      </c>
      <c r="D4024" s="88" t="s">
        <v>4889</v>
      </c>
      <c r="E4024" s="88" t="s">
        <v>61</v>
      </c>
      <c r="F4024" s="88">
        <v>0</v>
      </c>
      <c r="G4024" s="78">
        <f>MAX(H4024,I4024,J4024)</f>
        <v>0</v>
      </c>
      <c r="H4024" s="88"/>
      <c r="I4024" s="88"/>
      <c r="J4024" s="78">
        <f>MAX(K4024:Q4024)</f>
        <v>0</v>
      </c>
      <c r="K4024" s="88"/>
      <c r="L4024" s="88"/>
      <c r="M4024" s="88"/>
      <c r="N4024" s="88"/>
      <c r="O4024" s="88"/>
      <c r="P4024" s="88"/>
      <c r="Q4024" s="88"/>
      <c r="R4024" s="78">
        <f>MAX(S4024:W4024)</f>
        <v>1</v>
      </c>
      <c r="S4024" s="88"/>
      <c r="T4024" s="88"/>
      <c r="U4024" s="88">
        <v>1</v>
      </c>
      <c r="V4024" s="88"/>
      <c r="W4024" s="88"/>
    </row>
    <row r="4025" spans="2:23" s="0" customFormat="0" ht="15">
      <c r="B4025" s="87" t="s">
        <v>1</v>
      </c>
      <c r="C4025" s="88" t="s">
        <v>5259</v>
      </c>
      <c r="D4025" s="88" t="s">
        <v>1155</v>
      </c>
      <c r="E4025" s="88" t="s">
        <v>61</v>
      </c>
      <c r="F4025" s="88">
        <v>0</v>
      </c>
      <c r="G4025" s="78">
        <f>MAX(H4025,I4025,J4025)</f>
        <v>1</v>
      </c>
      <c r="H4025" s="88"/>
      <c r="I4025" s="88"/>
      <c r="J4025" s="78">
        <f>MAX(K4025:Q4025)</f>
        <v>1</v>
      </c>
      <c r="K4025" s="88">
        <v>1</v>
      </c>
      <c r="L4025" s="88"/>
      <c r="M4025" s="88"/>
      <c r="N4025" s="88"/>
      <c r="O4025" s="88"/>
      <c r="P4025" s="88"/>
      <c r="Q4025" s="88"/>
      <c r="R4025" s="78">
        <f>MAX(S4025:W4025)</f>
        <v>0</v>
      </c>
      <c r="S4025" s="88"/>
      <c r="T4025" s="88"/>
      <c r="U4025" s="88"/>
      <c r="V4025" s="88"/>
      <c r="W4025" s="88"/>
    </row>
    <row r="4026" spans="2:23" s="0" customFormat="0" ht="15">
      <c r="B4026" s="87" t="s">
        <v>1</v>
      </c>
      <c r="C4026" s="88" t="s">
        <v>5259</v>
      </c>
      <c r="D4026" s="88" t="s">
        <v>2406</v>
      </c>
      <c r="E4026" s="88" t="s">
        <v>61</v>
      </c>
      <c r="F4026" s="88">
        <v>0</v>
      </c>
      <c r="G4026" s="78">
        <f>MAX(H4026,I4026,J4026)</f>
        <v>1</v>
      </c>
      <c r="H4026" s="88"/>
      <c r="I4026" s="88"/>
      <c r="J4026" s="78">
        <f>MAX(K4026:Q4026)</f>
        <v>1</v>
      </c>
      <c r="K4026" s="88">
        <v>1</v>
      </c>
      <c r="L4026" s="88"/>
      <c r="M4026" s="88"/>
      <c r="N4026" s="88"/>
      <c r="O4026" s="88"/>
      <c r="P4026" s="88"/>
      <c r="Q4026" s="88"/>
      <c r="R4026" s="78">
        <f>MAX(S4026:W4026)</f>
        <v>0</v>
      </c>
      <c r="S4026" s="88"/>
      <c r="T4026" s="88"/>
      <c r="U4026" s="88"/>
      <c r="V4026" s="88"/>
      <c r="W4026" s="88"/>
    </row>
    <row r="4027" spans="2:23" s="0" customFormat="0" ht="15">
      <c r="B4027" s="87" t="s">
        <v>1</v>
      </c>
      <c r="C4027" s="88" t="s">
        <v>5259</v>
      </c>
      <c r="D4027" s="88" t="s">
        <v>4294</v>
      </c>
      <c r="E4027" s="88" t="s">
        <v>61</v>
      </c>
      <c r="F4027" s="88">
        <v>0</v>
      </c>
      <c r="G4027" s="78">
        <f>MAX(H4027,I4027,J4027)</f>
        <v>0</v>
      </c>
      <c r="H4027" s="88"/>
      <c r="I4027" s="88"/>
      <c r="J4027" s="78">
        <f>MAX(K4027:Q4027)</f>
        <v>0</v>
      </c>
      <c r="K4027" s="88"/>
      <c r="L4027" s="88"/>
      <c r="M4027" s="88"/>
      <c r="N4027" s="88"/>
      <c r="O4027" s="88"/>
      <c r="P4027" s="88"/>
      <c r="Q4027" s="88"/>
      <c r="R4027" s="78">
        <f>MAX(S4027:W4027)</f>
        <v>1</v>
      </c>
      <c r="S4027" s="88"/>
      <c r="T4027" s="88"/>
      <c r="U4027" s="88">
        <v>1</v>
      </c>
      <c r="V4027" s="88"/>
      <c r="W4027" s="88"/>
    </row>
    <row r="4028" spans="2:23" s="0" customFormat="0" ht="15">
      <c r="B4028" s="87" t="s">
        <v>1</v>
      </c>
      <c r="C4028" s="88" t="s">
        <v>5259</v>
      </c>
      <c r="D4028" s="88">
        <v>244468</v>
      </c>
      <c r="E4028" s="88" t="s">
        <v>61</v>
      </c>
      <c r="F4028" s="88">
        <v>0</v>
      </c>
      <c r="G4028" s="78">
        <f>MAX(H4028,I4028,J4028)</f>
        <v>1</v>
      </c>
      <c r="H4028" s="88"/>
      <c r="I4028" s="88"/>
      <c r="J4028" s="78">
        <f>MAX(K4028:Q4028)</f>
        <v>1</v>
      </c>
      <c r="K4028" s="88">
        <v>1</v>
      </c>
      <c r="L4028" s="88"/>
      <c r="M4028" s="88"/>
      <c r="N4028" s="88"/>
      <c r="O4028" s="88"/>
      <c r="P4028" s="88"/>
      <c r="Q4028" s="88"/>
      <c r="R4028" s="78">
        <f>MAX(S4028:W4028)</f>
        <v>0</v>
      </c>
      <c r="S4028" s="88"/>
      <c r="T4028" s="88"/>
      <c r="U4028" s="88"/>
      <c r="V4028" s="88"/>
      <c r="W4028" s="88"/>
    </row>
    <row r="4029" spans="2:23" s="0" customFormat="0" ht="15">
      <c r="B4029" s="87" t="s">
        <v>1</v>
      </c>
      <c r="C4029" s="88" t="s">
        <v>5259</v>
      </c>
      <c r="D4029" s="88" t="s">
        <v>2108</v>
      </c>
      <c r="E4029" s="88" t="s">
        <v>61</v>
      </c>
      <c r="F4029" s="88">
        <v>0</v>
      </c>
      <c r="G4029" s="78">
        <f>MAX(H4029,I4029,J4029)</f>
        <v>1</v>
      </c>
      <c r="H4029" s="88"/>
      <c r="I4029" s="88"/>
      <c r="J4029" s="78">
        <f>MAX(K4029:Q4029)</f>
        <v>1</v>
      </c>
      <c r="K4029" s="88">
        <v>1</v>
      </c>
      <c r="L4029" s="88"/>
      <c r="M4029" s="88"/>
      <c r="N4029" s="88"/>
      <c r="O4029" s="88"/>
      <c r="P4029" s="88"/>
      <c r="Q4029" s="88"/>
      <c r="R4029" s="78">
        <f>MAX(S4029:W4029)</f>
        <v>0</v>
      </c>
      <c r="S4029" s="88"/>
      <c r="T4029" s="88"/>
      <c r="U4029" s="88"/>
      <c r="V4029" s="88"/>
      <c r="W4029" s="88"/>
    </row>
    <row r="4030" spans="2:23" s="0" customFormat="0" ht="15">
      <c r="B4030" s="87" t="s">
        <v>1</v>
      </c>
      <c r="C4030" s="88" t="s">
        <v>5259</v>
      </c>
      <c r="D4030" s="88">
        <v>20925610</v>
      </c>
      <c r="E4030" s="88" t="s">
        <v>61</v>
      </c>
      <c r="F4030" s="88">
        <v>0</v>
      </c>
      <c r="G4030" s="78">
        <f>MAX(H4030,I4030,J4030)</f>
        <v>1</v>
      </c>
      <c r="H4030" s="88"/>
      <c r="I4030" s="88"/>
      <c r="J4030" s="78">
        <f>MAX(K4030:Q4030)</f>
        <v>1</v>
      </c>
      <c r="K4030" s="88">
        <v>1</v>
      </c>
      <c r="L4030" s="88"/>
      <c r="M4030" s="88"/>
      <c r="N4030" s="88"/>
      <c r="O4030" s="88"/>
      <c r="P4030" s="88"/>
      <c r="Q4030" s="88"/>
      <c r="R4030" s="78">
        <f>MAX(S4030:W4030)</f>
        <v>0</v>
      </c>
      <c r="S4030" s="88"/>
      <c r="T4030" s="88"/>
      <c r="U4030" s="88"/>
      <c r="V4030" s="88"/>
      <c r="W4030" s="88"/>
    </row>
    <row r="4031" spans="2:23" s="0" customFormat="0" ht="15">
      <c r="B4031" s="87" t="s">
        <v>1</v>
      </c>
      <c r="C4031" s="88" t="s">
        <v>5259</v>
      </c>
      <c r="D4031" s="88">
        <v>14484261</v>
      </c>
      <c r="E4031" s="88" t="s">
        <v>61</v>
      </c>
      <c r="F4031" s="88">
        <v>0</v>
      </c>
      <c r="G4031" s="78">
        <f>MAX(H4031,I4031,J4031)</f>
        <v>1</v>
      </c>
      <c r="H4031" s="88"/>
      <c r="I4031" s="88"/>
      <c r="J4031" s="78">
        <f>MAX(K4031:Q4031)</f>
        <v>1</v>
      </c>
      <c r="K4031" s="88">
        <v>1</v>
      </c>
      <c r="L4031" s="88"/>
      <c r="M4031" s="88"/>
      <c r="N4031" s="88"/>
      <c r="O4031" s="88"/>
      <c r="P4031" s="88"/>
      <c r="Q4031" s="88"/>
      <c r="R4031" s="78">
        <f>MAX(S4031:W4031)</f>
        <v>0</v>
      </c>
      <c r="S4031" s="88"/>
      <c r="T4031" s="88"/>
      <c r="U4031" s="88"/>
      <c r="V4031" s="88"/>
      <c r="W4031" s="88"/>
    </row>
    <row r="4032" spans="2:23" s="0" customFormat="0" ht="15">
      <c r="B4032" s="87" t="s">
        <v>1</v>
      </c>
      <c r="C4032" s="88" t="s">
        <v>5259</v>
      </c>
      <c r="D4032" s="88" t="s">
        <v>4308</v>
      </c>
      <c r="E4032" s="88" t="s">
        <v>61</v>
      </c>
      <c r="F4032" s="88">
        <v>0</v>
      </c>
      <c r="G4032" s="78">
        <f>MAX(H4032,I4032,J4032)</f>
        <v>0</v>
      </c>
      <c r="H4032" s="88"/>
      <c r="I4032" s="88"/>
      <c r="J4032" s="78">
        <f>MAX(K4032:Q4032)</f>
        <v>0</v>
      </c>
      <c r="K4032" s="88"/>
      <c r="L4032" s="88"/>
      <c r="M4032" s="88"/>
      <c r="N4032" s="88"/>
      <c r="O4032" s="88"/>
      <c r="P4032" s="88"/>
      <c r="Q4032" s="88"/>
      <c r="R4032" s="78">
        <f>MAX(S4032:W4032)</f>
        <v>1</v>
      </c>
      <c r="S4032" s="88"/>
      <c r="T4032" s="88"/>
      <c r="U4032" s="88">
        <v>1</v>
      </c>
      <c r="V4032" s="88"/>
      <c r="W4032" s="88"/>
    </row>
    <row r="4033" spans="2:23" s="0" customFormat="0" ht="15">
      <c r="B4033" s="87" t="s">
        <v>1</v>
      </c>
      <c r="C4033" s="88" t="s">
        <v>5259</v>
      </c>
      <c r="D4033" s="88" t="s">
        <v>4350</v>
      </c>
      <c r="E4033" s="88" t="s">
        <v>61</v>
      </c>
      <c r="F4033" s="88">
        <v>0</v>
      </c>
      <c r="G4033" s="78">
        <f>MAX(H4033,I4033,J4033)</f>
        <v>0</v>
      </c>
      <c r="H4033" s="88"/>
      <c r="I4033" s="88"/>
      <c r="J4033" s="78">
        <f>MAX(K4033:Q4033)</f>
        <v>0</v>
      </c>
      <c r="K4033" s="88"/>
      <c r="L4033" s="88"/>
      <c r="M4033" s="88"/>
      <c r="N4033" s="88"/>
      <c r="O4033" s="88"/>
      <c r="P4033" s="88"/>
      <c r="Q4033" s="88"/>
      <c r="R4033" s="78">
        <f>MAX(S4033:W4033)</f>
        <v>1</v>
      </c>
      <c r="S4033" s="88"/>
      <c r="T4033" s="88"/>
      <c r="U4033" s="88">
        <v>1</v>
      </c>
      <c r="V4033" s="88"/>
      <c r="W4033" s="88"/>
    </row>
    <row r="4034" spans="2:23" s="0" customFormat="0" ht="15">
      <c r="B4034" s="87" t="s">
        <v>1</v>
      </c>
      <c r="C4034" s="88" t="s">
        <v>5259</v>
      </c>
      <c r="D4034" s="88">
        <v>14497935</v>
      </c>
      <c r="E4034" s="88" t="s">
        <v>61</v>
      </c>
      <c r="F4034" s="88">
        <v>0</v>
      </c>
      <c r="G4034" s="78">
        <f>MAX(H4034,I4034,J4034)</f>
        <v>1</v>
      </c>
      <c r="H4034" s="88"/>
      <c r="I4034" s="88"/>
      <c r="J4034" s="78">
        <f>MAX(K4034:Q4034)</f>
        <v>1</v>
      </c>
      <c r="K4034" s="88">
        <v>1</v>
      </c>
      <c r="L4034" s="88"/>
      <c r="M4034" s="88"/>
      <c r="N4034" s="88"/>
      <c r="O4034" s="88"/>
      <c r="P4034" s="88"/>
      <c r="Q4034" s="88"/>
      <c r="R4034" s="78">
        <f>MAX(S4034:W4034)</f>
        <v>0</v>
      </c>
      <c r="S4034" s="88"/>
      <c r="T4034" s="88"/>
      <c r="U4034" s="88"/>
      <c r="V4034" s="88"/>
      <c r="W4034" s="88"/>
    </row>
    <row r="4035" spans="2:23" s="0" customFormat="0" ht="15">
      <c r="B4035" s="87" t="s">
        <v>1</v>
      </c>
      <c r="C4035" s="88" t="s">
        <v>5259</v>
      </c>
      <c r="D4035" s="88" t="s">
        <v>4891</v>
      </c>
      <c r="E4035" s="88" t="s">
        <v>61</v>
      </c>
      <c r="F4035" s="88">
        <v>0</v>
      </c>
      <c r="G4035" s="78">
        <f>MAX(H4035,I4035,J4035)</f>
        <v>0</v>
      </c>
      <c r="H4035" s="88"/>
      <c r="I4035" s="88"/>
      <c r="J4035" s="78">
        <f>MAX(K4035:Q4035)</f>
        <v>0</v>
      </c>
      <c r="K4035" s="88"/>
      <c r="L4035" s="88"/>
      <c r="M4035" s="88"/>
      <c r="N4035" s="88"/>
      <c r="O4035" s="88"/>
      <c r="P4035" s="88"/>
      <c r="Q4035" s="88"/>
      <c r="R4035" s="78">
        <f>MAX(S4035:W4035)</f>
        <v>1</v>
      </c>
      <c r="S4035" s="88"/>
      <c r="T4035" s="88"/>
      <c r="U4035" s="88">
        <v>1</v>
      </c>
      <c r="V4035" s="88"/>
      <c r="W4035" s="88"/>
    </row>
    <row r="4036" spans="2:23" s="0" customFormat="0" ht="15">
      <c r="B4036" s="87" t="s">
        <v>1</v>
      </c>
      <c r="C4036" s="88" t="s">
        <v>5259</v>
      </c>
      <c r="D4036" s="88" t="s">
        <v>4475</v>
      </c>
      <c r="E4036" s="88" t="s">
        <v>61</v>
      </c>
      <c r="F4036" s="88">
        <v>0</v>
      </c>
      <c r="G4036" s="78">
        <f>MAX(H4036,I4036,J4036)</f>
        <v>0</v>
      </c>
      <c r="H4036" s="88"/>
      <c r="I4036" s="88"/>
      <c r="J4036" s="78">
        <f>MAX(K4036:Q4036)</f>
        <v>0</v>
      </c>
      <c r="K4036" s="88"/>
      <c r="L4036" s="88"/>
      <c r="M4036" s="88"/>
      <c r="N4036" s="88"/>
      <c r="O4036" s="88"/>
      <c r="P4036" s="88"/>
      <c r="Q4036" s="88"/>
      <c r="R4036" s="78">
        <f>MAX(S4036:W4036)</f>
        <v>1</v>
      </c>
      <c r="S4036" s="88"/>
      <c r="T4036" s="88"/>
      <c r="U4036" s="88">
        <v>1</v>
      </c>
      <c r="V4036" s="88"/>
      <c r="W4036" s="88"/>
    </row>
    <row r="4037" spans="2:23" s="0" customFormat="0" ht="15">
      <c r="B4037" s="87" t="s">
        <v>1</v>
      </c>
      <c r="C4037" s="88" t="s">
        <v>5259</v>
      </c>
      <c r="D4037" s="88">
        <v>21743792</v>
      </c>
      <c r="E4037" s="88" t="s">
        <v>61</v>
      </c>
      <c r="F4037" s="88">
        <v>0</v>
      </c>
      <c r="G4037" s="78">
        <f>MAX(H4037,I4037,J4037)</f>
        <v>1</v>
      </c>
      <c r="H4037" s="88"/>
      <c r="I4037" s="88"/>
      <c r="J4037" s="78">
        <f>MAX(K4037:Q4037)</f>
        <v>1</v>
      </c>
      <c r="K4037" s="88">
        <v>1</v>
      </c>
      <c r="L4037" s="88"/>
      <c r="M4037" s="88"/>
      <c r="N4037" s="88"/>
      <c r="O4037" s="88"/>
      <c r="P4037" s="88"/>
      <c r="Q4037" s="88"/>
      <c r="R4037" s="78">
        <f>MAX(S4037:W4037)</f>
        <v>0</v>
      </c>
      <c r="S4037" s="88"/>
      <c r="T4037" s="88"/>
      <c r="U4037" s="88"/>
      <c r="V4037" s="88"/>
      <c r="W4037" s="88"/>
    </row>
    <row r="4038" spans="2:23" s="0" customFormat="0" ht="15">
      <c r="B4038" s="87" t="s">
        <v>1</v>
      </c>
      <c r="C4038" s="88" t="s">
        <v>5259</v>
      </c>
      <c r="D4038" s="88" t="s">
        <v>2463</v>
      </c>
      <c r="E4038" s="88" t="s">
        <v>61</v>
      </c>
      <c r="F4038" s="88">
        <v>0</v>
      </c>
      <c r="G4038" s="78">
        <f>MAX(H4038,I4038,J4038)</f>
        <v>1</v>
      </c>
      <c r="H4038" s="88"/>
      <c r="I4038" s="88"/>
      <c r="J4038" s="78">
        <f>MAX(K4038:Q4038)</f>
        <v>1</v>
      </c>
      <c r="K4038" s="88">
        <v>1</v>
      </c>
      <c r="L4038" s="88"/>
      <c r="M4038" s="88"/>
      <c r="N4038" s="88"/>
      <c r="O4038" s="88"/>
      <c r="P4038" s="88"/>
      <c r="Q4038" s="88"/>
      <c r="R4038" s="78">
        <f>MAX(S4038:W4038)</f>
        <v>0</v>
      </c>
      <c r="S4038" s="88"/>
      <c r="T4038" s="88"/>
      <c r="U4038" s="88"/>
      <c r="V4038" s="88"/>
      <c r="W4038" s="88"/>
    </row>
    <row r="4039" spans="2:23" s="0" customFormat="0" ht="15">
      <c r="B4039" s="87" t="s">
        <v>1</v>
      </c>
      <c r="C4039" s="88" t="s">
        <v>5259</v>
      </c>
      <c r="D4039" s="88">
        <v>7524533</v>
      </c>
      <c r="E4039" s="88" t="s">
        <v>61</v>
      </c>
      <c r="F4039" s="88">
        <v>0</v>
      </c>
      <c r="G4039" s="78">
        <f>MAX(H4039,I4039,J4039)</f>
        <v>1</v>
      </c>
      <c r="H4039" s="88"/>
      <c r="I4039" s="88"/>
      <c r="J4039" s="78">
        <f>MAX(K4039:Q4039)</f>
        <v>1</v>
      </c>
      <c r="K4039" s="88">
        <v>1</v>
      </c>
      <c r="L4039" s="88"/>
      <c r="M4039" s="88"/>
      <c r="N4039" s="88"/>
      <c r="O4039" s="88"/>
      <c r="P4039" s="88"/>
      <c r="Q4039" s="88"/>
      <c r="R4039" s="78">
        <f>MAX(S4039:W4039)</f>
        <v>0</v>
      </c>
      <c r="S4039" s="88"/>
      <c r="T4039" s="88"/>
      <c r="U4039" s="88"/>
      <c r="V4039" s="88"/>
      <c r="W4039" s="88"/>
    </row>
    <row r="4040" spans="2:23" s="0" customFormat="0" ht="15">
      <c r="B4040" s="87" t="s">
        <v>1</v>
      </c>
      <c r="C4040" s="88" t="s">
        <v>5259</v>
      </c>
      <c r="D4040" s="88">
        <v>16974678</v>
      </c>
      <c r="E4040" s="88" t="s">
        <v>61</v>
      </c>
      <c r="F4040" s="88">
        <v>0</v>
      </c>
      <c r="G4040" s="78">
        <f>MAX(H4040,I4040,J4040)</f>
        <v>0</v>
      </c>
      <c r="H4040" s="88"/>
      <c r="I4040" s="88"/>
      <c r="J4040" s="78">
        <f>MAX(K4040:Q4040)</f>
        <v>0</v>
      </c>
      <c r="K4040" s="88"/>
      <c r="L4040" s="88"/>
      <c r="M4040" s="88"/>
      <c r="N4040" s="88"/>
      <c r="O4040" s="88"/>
      <c r="P4040" s="88"/>
      <c r="Q4040" s="88"/>
      <c r="R4040" s="78">
        <f>MAX(S4040:W4040)</f>
        <v>1</v>
      </c>
      <c r="S4040" s="88"/>
      <c r="T4040" s="88"/>
      <c r="U4040" s="88">
        <v>1</v>
      </c>
      <c r="V4040" s="88"/>
      <c r="W4040" s="88"/>
    </row>
    <row r="4041" spans="2:23" s="0" customFormat="0" ht="15">
      <c r="B4041" s="87" t="s">
        <v>1</v>
      </c>
      <c r="C4041" s="88" t="s">
        <v>5259</v>
      </c>
      <c r="D4041" s="88" t="s">
        <v>4893</v>
      </c>
      <c r="E4041" s="88" t="s">
        <v>61</v>
      </c>
      <c r="F4041" s="88">
        <v>0</v>
      </c>
      <c r="G4041" s="78">
        <f>MAX(H4041,I4041,J4041)</f>
        <v>0</v>
      </c>
      <c r="H4041" s="88"/>
      <c r="I4041" s="88"/>
      <c r="J4041" s="78">
        <f>MAX(K4041:Q4041)</f>
        <v>0</v>
      </c>
      <c r="K4041" s="88"/>
      <c r="L4041" s="88"/>
      <c r="M4041" s="88"/>
      <c r="N4041" s="88"/>
      <c r="O4041" s="88"/>
      <c r="P4041" s="88"/>
      <c r="Q4041" s="88"/>
      <c r="R4041" s="78">
        <f>MAX(S4041:W4041)</f>
        <v>1</v>
      </c>
      <c r="S4041" s="88"/>
      <c r="T4041" s="88"/>
      <c r="U4041" s="88">
        <v>1</v>
      </c>
      <c r="V4041" s="88"/>
      <c r="W4041" s="88"/>
    </row>
    <row r="4042" spans="2:23" s="0" customFormat="0" ht="15">
      <c r="B4042" s="87" t="s">
        <v>1</v>
      </c>
      <c r="C4042" s="88" t="s">
        <v>5259</v>
      </c>
      <c r="D4042" s="88" t="s">
        <v>4895</v>
      </c>
      <c r="E4042" s="88" t="s">
        <v>61</v>
      </c>
      <c r="F4042" s="88">
        <v>0</v>
      </c>
      <c r="G4042" s="78">
        <f>MAX(H4042,I4042,J4042)</f>
        <v>0</v>
      </c>
      <c r="H4042" s="88"/>
      <c r="I4042" s="88"/>
      <c r="J4042" s="78">
        <f>MAX(K4042:Q4042)</f>
        <v>0</v>
      </c>
      <c r="K4042" s="88"/>
      <c r="L4042" s="88"/>
      <c r="M4042" s="88"/>
      <c r="N4042" s="88"/>
      <c r="O4042" s="88"/>
      <c r="P4042" s="88"/>
      <c r="Q4042" s="88"/>
      <c r="R4042" s="78">
        <f>MAX(S4042:W4042)</f>
        <v>1</v>
      </c>
      <c r="S4042" s="88"/>
      <c r="T4042" s="88"/>
      <c r="U4042" s="88">
        <v>1</v>
      </c>
      <c r="V4042" s="88"/>
      <c r="W4042" s="88"/>
    </row>
    <row r="4043" spans="2:23" s="0" customFormat="0" ht="15">
      <c r="B4043" s="87" t="s">
        <v>1</v>
      </c>
      <c r="C4043" s="88" t="s">
        <v>5259</v>
      </c>
      <c r="D4043" s="88" t="s">
        <v>2066</v>
      </c>
      <c r="E4043" s="88" t="s">
        <v>61</v>
      </c>
      <c r="F4043" s="88">
        <v>0</v>
      </c>
      <c r="G4043" s="78">
        <f>MAX(H4043,I4043,J4043)</f>
        <v>1</v>
      </c>
      <c r="H4043" s="88"/>
      <c r="I4043" s="88"/>
      <c r="J4043" s="78">
        <f>MAX(K4043:Q4043)</f>
        <v>1</v>
      </c>
      <c r="K4043" s="88">
        <v>1</v>
      </c>
      <c r="L4043" s="88"/>
      <c r="M4043" s="88"/>
      <c r="N4043" s="88"/>
      <c r="O4043" s="88"/>
      <c r="P4043" s="88"/>
      <c r="Q4043" s="88"/>
      <c r="R4043" s="78">
        <f>MAX(S4043:W4043)</f>
        <v>0</v>
      </c>
      <c r="S4043" s="88"/>
      <c r="T4043" s="88"/>
      <c r="U4043" s="88"/>
      <c r="V4043" s="88"/>
      <c r="W4043" s="88"/>
    </row>
    <row r="4044" spans="2:23" s="0" customFormat="0" ht="15">
      <c r="B4044" s="87" t="s">
        <v>1</v>
      </c>
      <c r="C4044" s="88" t="s">
        <v>5259</v>
      </c>
      <c r="D4044" s="88" t="s">
        <v>599</v>
      </c>
      <c r="E4044" s="88" t="s">
        <v>61</v>
      </c>
      <c r="F4044" s="88">
        <v>0</v>
      </c>
      <c r="G4044" s="78">
        <f>MAX(H4044,I4044,J4044)</f>
        <v>1</v>
      </c>
      <c r="H4044" s="88"/>
      <c r="I4044" s="88"/>
      <c r="J4044" s="78">
        <f>MAX(K4044:Q4044)</f>
        <v>1</v>
      </c>
      <c r="K4044" s="88">
        <v>1</v>
      </c>
      <c r="L4044" s="88"/>
      <c r="M4044" s="88"/>
      <c r="N4044" s="88"/>
      <c r="O4044" s="88"/>
      <c r="P4044" s="88"/>
      <c r="Q4044" s="88"/>
      <c r="R4044" s="78">
        <f>MAX(S4044:W4044)</f>
        <v>0</v>
      </c>
      <c r="S4044" s="88"/>
      <c r="T4044" s="88"/>
      <c r="U4044" s="88"/>
      <c r="V4044" s="88"/>
      <c r="W4044" s="88"/>
    </row>
    <row r="4045" spans="2:23" s="0" customFormat="0" ht="15">
      <c r="B4045" s="87" t="s">
        <v>1</v>
      </c>
      <c r="C4045" s="88" t="s">
        <v>5259</v>
      </c>
      <c r="D4045" s="88">
        <v>15505727</v>
      </c>
      <c r="E4045" s="88" t="s">
        <v>61</v>
      </c>
      <c r="F4045" s="88">
        <v>0</v>
      </c>
      <c r="G4045" s="78">
        <f>MAX(H4045,I4045,J4045)</f>
        <v>1</v>
      </c>
      <c r="H4045" s="88"/>
      <c r="I4045" s="88"/>
      <c r="J4045" s="78">
        <f>MAX(K4045:Q4045)</f>
        <v>1</v>
      </c>
      <c r="K4045" s="88">
        <v>1</v>
      </c>
      <c r="L4045" s="88"/>
      <c r="M4045" s="88"/>
      <c r="N4045" s="88"/>
      <c r="O4045" s="88"/>
      <c r="P4045" s="88"/>
      <c r="Q4045" s="88"/>
      <c r="R4045" s="78">
        <f>MAX(S4045:W4045)</f>
        <v>0</v>
      </c>
      <c r="S4045" s="88"/>
      <c r="T4045" s="88"/>
      <c r="U4045" s="88"/>
      <c r="V4045" s="88"/>
      <c r="W4045" s="88"/>
    </row>
    <row r="4046" spans="2:23" s="0" customFormat="0" ht="15">
      <c r="B4046" s="87" t="s">
        <v>1</v>
      </c>
      <c r="C4046" s="88" t="s">
        <v>5259</v>
      </c>
      <c r="D4046" s="88" t="s">
        <v>4897</v>
      </c>
      <c r="E4046" s="88" t="s">
        <v>61</v>
      </c>
      <c r="F4046" s="88">
        <v>0</v>
      </c>
      <c r="G4046" s="78">
        <f>MAX(H4046,I4046,J4046)</f>
        <v>0</v>
      </c>
      <c r="H4046" s="88"/>
      <c r="I4046" s="88"/>
      <c r="J4046" s="78">
        <f>MAX(K4046:Q4046)</f>
        <v>0</v>
      </c>
      <c r="K4046" s="88"/>
      <c r="L4046" s="88"/>
      <c r="M4046" s="88"/>
      <c r="N4046" s="88"/>
      <c r="O4046" s="88"/>
      <c r="P4046" s="88"/>
      <c r="Q4046" s="88"/>
      <c r="R4046" s="78">
        <f>MAX(S4046:W4046)</f>
        <v>1</v>
      </c>
      <c r="S4046" s="88"/>
      <c r="T4046" s="88"/>
      <c r="U4046" s="88">
        <v>1</v>
      </c>
      <c r="V4046" s="88"/>
      <c r="W4046" s="88"/>
    </row>
    <row r="4047" spans="2:23" s="0" customFormat="0" ht="15">
      <c r="B4047" s="87" t="s">
        <v>1</v>
      </c>
      <c r="C4047" s="88" t="s">
        <v>5259</v>
      </c>
      <c r="D4047" s="88">
        <v>16192340</v>
      </c>
      <c r="E4047" s="88" t="s">
        <v>61</v>
      </c>
      <c r="F4047" s="88">
        <v>0</v>
      </c>
      <c r="G4047" s="78">
        <f>MAX(H4047,I4047,J4047)</f>
        <v>1</v>
      </c>
      <c r="H4047" s="88"/>
      <c r="I4047" s="88"/>
      <c r="J4047" s="78">
        <f>MAX(K4047:Q4047)</f>
        <v>1</v>
      </c>
      <c r="K4047" s="88">
        <v>1</v>
      </c>
      <c r="L4047" s="88"/>
      <c r="M4047" s="88"/>
      <c r="N4047" s="88"/>
      <c r="O4047" s="88"/>
      <c r="P4047" s="88"/>
      <c r="Q4047" s="88"/>
      <c r="R4047" s="78">
        <f>MAX(S4047:W4047)</f>
        <v>0</v>
      </c>
      <c r="S4047" s="88"/>
      <c r="T4047" s="88"/>
      <c r="U4047" s="88"/>
      <c r="V4047" s="88"/>
      <c r="W4047" s="88"/>
    </row>
    <row r="4048" spans="2:23" s="0" customFormat="0" ht="15">
      <c r="B4048" s="87" t="s">
        <v>1</v>
      </c>
      <c r="C4048" s="88" t="s">
        <v>5259</v>
      </c>
      <c r="D4048" s="88">
        <v>11583648</v>
      </c>
      <c r="E4048" s="88" t="s">
        <v>61</v>
      </c>
      <c r="F4048" s="88">
        <v>0</v>
      </c>
      <c r="G4048" s="78">
        <f>MAX(H4048,I4048,J4048)</f>
        <v>1</v>
      </c>
      <c r="H4048" s="88"/>
      <c r="I4048" s="88"/>
      <c r="J4048" s="78">
        <f>MAX(K4048:Q4048)</f>
        <v>1</v>
      </c>
      <c r="K4048" s="88">
        <v>1</v>
      </c>
      <c r="L4048" s="88"/>
      <c r="M4048" s="88"/>
      <c r="N4048" s="88"/>
      <c r="O4048" s="88"/>
      <c r="P4048" s="88"/>
      <c r="Q4048" s="88"/>
      <c r="R4048" s="78">
        <f>MAX(S4048:W4048)</f>
        <v>0</v>
      </c>
      <c r="S4048" s="88"/>
      <c r="T4048" s="88"/>
      <c r="U4048" s="88"/>
      <c r="V4048" s="88"/>
      <c r="W4048" s="88"/>
    </row>
    <row r="4049" spans="2:23" s="0" customFormat="0" ht="15">
      <c r="B4049" s="87" t="s">
        <v>1</v>
      </c>
      <c r="C4049" s="88" t="s">
        <v>5259</v>
      </c>
      <c r="D4049" s="88">
        <v>16974741</v>
      </c>
      <c r="E4049" s="88" t="s">
        <v>61</v>
      </c>
      <c r="F4049" s="88">
        <v>0</v>
      </c>
      <c r="G4049" s="78">
        <f>MAX(H4049,I4049,J4049)</f>
        <v>0</v>
      </c>
      <c r="H4049" s="88"/>
      <c r="I4049" s="88"/>
      <c r="J4049" s="78">
        <f>MAX(K4049:Q4049)</f>
        <v>0</v>
      </c>
      <c r="K4049" s="88"/>
      <c r="L4049" s="88"/>
      <c r="M4049" s="88"/>
      <c r="N4049" s="88"/>
      <c r="O4049" s="88"/>
      <c r="P4049" s="88"/>
      <c r="Q4049" s="88"/>
      <c r="R4049" s="78">
        <f>MAX(S4049:W4049)</f>
        <v>1</v>
      </c>
      <c r="S4049" s="88"/>
      <c r="T4049" s="88"/>
      <c r="U4049" s="88">
        <v>1</v>
      </c>
      <c r="V4049" s="88"/>
      <c r="W4049" s="88"/>
    </row>
    <row r="4050" spans="2:23" s="0" customFormat="0" ht="15">
      <c r="B4050" s="87" t="s">
        <v>1</v>
      </c>
      <c r="C4050" s="88" t="s">
        <v>5259</v>
      </c>
      <c r="D4050" s="88">
        <v>22554485</v>
      </c>
      <c r="E4050" s="88" t="s">
        <v>61</v>
      </c>
      <c r="F4050" s="88">
        <v>0</v>
      </c>
      <c r="G4050" s="78">
        <f>MAX(H4050,I4050,J4050)</f>
        <v>1</v>
      </c>
      <c r="H4050" s="88"/>
      <c r="I4050" s="88"/>
      <c r="J4050" s="78">
        <f>MAX(K4050:Q4050)</f>
        <v>1</v>
      </c>
      <c r="K4050" s="88">
        <v>1</v>
      </c>
      <c r="L4050" s="88"/>
      <c r="M4050" s="88"/>
      <c r="N4050" s="88"/>
      <c r="O4050" s="88"/>
      <c r="P4050" s="88"/>
      <c r="Q4050" s="88"/>
      <c r="R4050" s="78">
        <f>MAX(S4050:W4050)</f>
        <v>0</v>
      </c>
      <c r="S4050" s="88"/>
      <c r="T4050" s="88"/>
      <c r="U4050" s="88"/>
      <c r="V4050" s="88"/>
      <c r="W4050" s="88"/>
    </row>
    <row r="4051" spans="2:23" s="0" customFormat="0" ht="15">
      <c r="B4051" s="87" t="s">
        <v>1</v>
      </c>
      <c r="C4051" s="88" t="s">
        <v>5259</v>
      </c>
      <c r="D4051" s="88" t="s">
        <v>2304</v>
      </c>
      <c r="E4051" s="88" t="s">
        <v>61</v>
      </c>
      <c r="F4051" s="88">
        <v>0</v>
      </c>
      <c r="G4051" s="78">
        <f>MAX(H4051,I4051,J4051)</f>
        <v>1</v>
      </c>
      <c r="H4051" s="88"/>
      <c r="I4051" s="88"/>
      <c r="J4051" s="78">
        <f>MAX(K4051:Q4051)</f>
        <v>1</v>
      </c>
      <c r="K4051" s="88">
        <v>1</v>
      </c>
      <c r="L4051" s="88"/>
      <c r="M4051" s="88"/>
      <c r="N4051" s="88"/>
      <c r="O4051" s="88"/>
      <c r="P4051" s="88"/>
      <c r="Q4051" s="88"/>
      <c r="R4051" s="78">
        <f>MAX(S4051:W4051)</f>
        <v>0</v>
      </c>
      <c r="S4051" s="88"/>
      <c r="T4051" s="88"/>
      <c r="U4051" s="88"/>
      <c r="V4051" s="88"/>
      <c r="W4051" s="88"/>
    </row>
    <row r="4052" spans="2:23" s="0" customFormat="0" ht="15">
      <c r="B4052" s="87" t="s">
        <v>1</v>
      </c>
      <c r="C4052" s="88" t="s">
        <v>5259</v>
      </c>
      <c r="D4052" s="88">
        <v>11882841</v>
      </c>
      <c r="E4052" s="88" t="s">
        <v>61</v>
      </c>
      <c r="F4052" s="88">
        <v>0</v>
      </c>
      <c r="G4052" s="78">
        <f>MAX(H4052,I4052,J4052)</f>
        <v>1</v>
      </c>
      <c r="H4052" s="88"/>
      <c r="I4052" s="88"/>
      <c r="J4052" s="78">
        <f>MAX(K4052:Q4052)</f>
        <v>1</v>
      </c>
      <c r="K4052" s="88">
        <v>1</v>
      </c>
      <c r="L4052" s="88"/>
      <c r="M4052" s="88"/>
      <c r="N4052" s="88"/>
      <c r="O4052" s="88"/>
      <c r="P4052" s="88"/>
      <c r="Q4052" s="88"/>
      <c r="R4052" s="78">
        <f>MAX(S4052:W4052)</f>
        <v>0</v>
      </c>
      <c r="S4052" s="88"/>
      <c r="T4052" s="88"/>
      <c r="U4052" s="88"/>
      <c r="V4052" s="88"/>
      <c r="W4052" s="88"/>
    </row>
    <row r="4053" spans="2:23" s="0" customFormat="0" ht="15">
      <c r="B4053" s="87" t="s">
        <v>1</v>
      </c>
      <c r="C4053" s="88" t="s">
        <v>5259</v>
      </c>
      <c r="D4053" s="88">
        <v>2980591</v>
      </c>
      <c r="E4053" s="88" t="s">
        <v>61</v>
      </c>
      <c r="F4053" s="88">
        <v>0</v>
      </c>
      <c r="G4053" s="78">
        <f>MAX(H4053,I4053,J4053)</f>
        <v>1</v>
      </c>
      <c r="H4053" s="88"/>
      <c r="I4053" s="88"/>
      <c r="J4053" s="78">
        <f>MAX(K4053:Q4053)</f>
        <v>1</v>
      </c>
      <c r="K4053" s="88">
        <v>1</v>
      </c>
      <c r="L4053" s="88"/>
      <c r="M4053" s="88"/>
      <c r="N4053" s="88"/>
      <c r="O4053" s="88"/>
      <c r="P4053" s="88"/>
      <c r="Q4053" s="88"/>
      <c r="R4053" s="78">
        <f>MAX(S4053:W4053)</f>
        <v>0</v>
      </c>
      <c r="S4053" s="88"/>
      <c r="T4053" s="88"/>
      <c r="U4053" s="88"/>
      <c r="V4053" s="88"/>
      <c r="W4053" s="88"/>
    </row>
    <row r="4054" spans="2:23" s="0" customFormat="0" ht="15">
      <c r="B4054" s="87" t="s">
        <v>1</v>
      </c>
      <c r="C4054" s="88" t="s">
        <v>5259</v>
      </c>
      <c r="D4054" s="88">
        <v>21040218</v>
      </c>
      <c r="E4054" s="88" t="s">
        <v>61</v>
      </c>
      <c r="F4054" s="88">
        <v>0</v>
      </c>
      <c r="G4054" s="78">
        <f>MAX(H4054,I4054,J4054)</f>
        <v>1</v>
      </c>
      <c r="H4054" s="88"/>
      <c r="I4054" s="88"/>
      <c r="J4054" s="78">
        <f>MAX(K4054:Q4054)</f>
        <v>1</v>
      </c>
      <c r="K4054" s="88">
        <v>1</v>
      </c>
      <c r="L4054" s="88"/>
      <c r="M4054" s="88"/>
      <c r="N4054" s="88"/>
      <c r="O4054" s="88"/>
      <c r="P4054" s="88"/>
      <c r="Q4054" s="88"/>
      <c r="R4054" s="78">
        <f>MAX(S4054:W4054)</f>
        <v>0</v>
      </c>
      <c r="S4054" s="88"/>
      <c r="T4054" s="88"/>
      <c r="U4054" s="88"/>
      <c r="V4054" s="88"/>
      <c r="W4054" s="88"/>
    </row>
    <row r="4055" spans="2:23" s="0" customFormat="0" ht="15">
      <c r="B4055" s="87" t="s">
        <v>1</v>
      </c>
      <c r="C4055" s="88" t="s">
        <v>5259</v>
      </c>
      <c r="D4055" s="88">
        <v>8145964</v>
      </c>
      <c r="E4055" s="88" t="s">
        <v>61</v>
      </c>
      <c r="F4055" s="88">
        <v>0</v>
      </c>
      <c r="G4055" s="78">
        <f>MAX(H4055,I4055,J4055)</f>
        <v>1</v>
      </c>
      <c r="H4055" s="88"/>
      <c r="I4055" s="88"/>
      <c r="J4055" s="78">
        <f>MAX(K4055:Q4055)</f>
        <v>1</v>
      </c>
      <c r="K4055" s="88">
        <v>1</v>
      </c>
      <c r="L4055" s="88"/>
      <c r="M4055" s="88"/>
      <c r="N4055" s="88"/>
      <c r="O4055" s="88"/>
      <c r="P4055" s="88"/>
      <c r="Q4055" s="88"/>
      <c r="R4055" s="78">
        <f>MAX(S4055:W4055)</f>
        <v>0</v>
      </c>
      <c r="S4055" s="88"/>
      <c r="T4055" s="88"/>
      <c r="U4055" s="88"/>
      <c r="V4055" s="88"/>
      <c r="W4055" s="88"/>
    </row>
    <row r="4056" spans="2:23" s="0" customFormat="0" ht="15">
      <c r="B4056" s="87" t="s">
        <v>1</v>
      </c>
      <c r="C4056" s="88" t="s">
        <v>5259</v>
      </c>
      <c r="D4056" s="88" t="s">
        <v>2467</v>
      </c>
      <c r="E4056" s="88" t="s">
        <v>61</v>
      </c>
      <c r="F4056" s="88">
        <v>0</v>
      </c>
      <c r="G4056" s="78">
        <f>MAX(H4056,I4056,J4056)</f>
        <v>1</v>
      </c>
      <c r="H4056" s="88"/>
      <c r="I4056" s="88"/>
      <c r="J4056" s="78">
        <f>MAX(K4056:Q4056)</f>
        <v>1</v>
      </c>
      <c r="K4056" s="88">
        <v>1</v>
      </c>
      <c r="L4056" s="88"/>
      <c r="M4056" s="88"/>
      <c r="N4056" s="88"/>
      <c r="O4056" s="88"/>
      <c r="P4056" s="88"/>
      <c r="Q4056" s="88"/>
      <c r="R4056" s="78">
        <f>MAX(S4056:W4056)</f>
        <v>0</v>
      </c>
      <c r="S4056" s="88"/>
      <c r="T4056" s="88"/>
      <c r="U4056" s="88"/>
      <c r="V4056" s="88"/>
      <c r="W4056" s="88"/>
    </row>
    <row r="4057" spans="2:23" s="0" customFormat="0" ht="15">
      <c r="B4057" s="87" t="s">
        <v>1</v>
      </c>
      <c r="C4057" s="88" t="s">
        <v>5259</v>
      </c>
      <c r="D4057" s="88">
        <v>8354801</v>
      </c>
      <c r="E4057" s="88" t="s">
        <v>61</v>
      </c>
      <c r="F4057" s="88">
        <v>0</v>
      </c>
      <c r="G4057" s="78">
        <f>MAX(H4057,I4057,J4057)</f>
        <v>1</v>
      </c>
      <c r="H4057" s="88"/>
      <c r="I4057" s="88"/>
      <c r="J4057" s="78">
        <f>MAX(K4057:Q4057)</f>
        <v>1</v>
      </c>
      <c r="K4057" s="88">
        <v>1</v>
      </c>
      <c r="L4057" s="88"/>
      <c r="M4057" s="88"/>
      <c r="N4057" s="88"/>
      <c r="O4057" s="88"/>
      <c r="P4057" s="88"/>
      <c r="Q4057" s="88"/>
      <c r="R4057" s="78">
        <f>MAX(S4057:W4057)</f>
        <v>0</v>
      </c>
      <c r="S4057" s="88"/>
      <c r="T4057" s="88"/>
      <c r="U4057" s="88"/>
      <c r="V4057" s="88"/>
      <c r="W4057" s="88"/>
    </row>
    <row r="4058" spans="2:23" s="0" customFormat="0" ht="15">
      <c r="B4058" s="87" t="s">
        <v>1</v>
      </c>
      <c r="C4058" s="88" t="s">
        <v>5259</v>
      </c>
      <c r="D4058" s="88" t="s">
        <v>3815</v>
      </c>
      <c r="E4058" s="88" t="s">
        <v>61</v>
      </c>
      <c r="F4058" s="88">
        <v>0</v>
      </c>
      <c r="G4058" s="78">
        <f>MAX(H4058,I4058,J4058)</f>
        <v>0</v>
      </c>
      <c r="H4058" s="88"/>
      <c r="I4058" s="88"/>
      <c r="J4058" s="78">
        <f>MAX(K4058:Q4058)</f>
        <v>0</v>
      </c>
      <c r="K4058" s="88"/>
      <c r="L4058" s="88"/>
      <c r="M4058" s="88"/>
      <c r="N4058" s="88"/>
      <c r="O4058" s="88"/>
      <c r="P4058" s="88"/>
      <c r="Q4058" s="88"/>
      <c r="R4058" s="78">
        <f>MAX(S4058:W4058)</f>
        <v>1</v>
      </c>
      <c r="S4058" s="88"/>
      <c r="T4058" s="88"/>
      <c r="U4058" s="88">
        <v>1</v>
      </c>
      <c r="V4058" s="88"/>
      <c r="W4058" s="88"/>
    </row>
    <row r="4059" spans="2:23" s="0" customFormat="0" ht="15">
      <c r="B4059" s="87" t="s">
        <v>1</v>
      </c>
      <c r="C4059" s="88" t="s">
        <v>5259</v>
      </c>
      <c r="D4059" s="88" t="s">
        <v>3028</v>
      </c>
      <c r="E4059" s="88" t="s">
        <v>61</v>
      </c>
      <c r="F4059" s="88">
        <v>0</v>
      </c>
      <c r="G4059" s="78">
        <f>MAX(H4059,I4059,J4059)</f>
        <v>1</v>
      </c>
      <c r="H4059" s="88"/>
      <c r="I4059" s="88"/>
      <c r="J4059" s="78">
        <f>MAX(K4059:Q4059)</f>
        <v>1</v>
      </c>
      <c r="K4059" s="88"/>
      <c r="L4059" s="88">
        <v>1</v>
      </c>
      <c r="M4059" s="88"/>
      <c r="N4059" s="88"/>
      <c r="O4059" s="88"/>
      <c r="P4059" s="88"/>
      <c r="Q4059" s="88"/>
      <c r="R4059" s="78">
        <f>MAX(S4059:W4059)</f>
        <v>0</v>
      </c>
      <c r="S4059" s="88"/>
      <c r="T4059" s="88"/>
      <c r="U4059" s="88"/>
      <c r="V4059" s="88"/>
      <c r="W4059" s="88"/>
    </row>
    <row r="4060" spans="2:23" s="0" customFormat="0" ht="15">
      <c r="B4060" s="87" t="s">
        <v>1</v>
      </c>
      <c r="C4060" s="88" t="s">
        <v>5259</v>
      </c>
      <c r="D4060" s="88">
        <v>15242247</v>
      </c>
      <c r="E4060" s="88" t="s">
        <v>61</v>
      </c>
      <c r="F4060" s="88">
        <v>0</v>
      </c>
      <c r="G4060" s="78">
        <f>MAX(H4060,I4060,J4060)</f>
        <v>1</v>
      </c>
      <c r="H4060" s="88"/>
      <c r="I4060" s="88"/>
      <c r="J4060" s="78">
        <f>MAX(K4060:Q4060)</f>
        <v>1</v>
      </c>
      <c r="K4060" s="88">
        <v>1</v>
      </c>
      <c r="L4060" s="88"/>
      <c r="M4060" s="88"/>
      <c r="N4060" s="88"/>
      <c r="O4060" s="88"/>
      <c r="P4060" s="88"/>
      <c r="Q4060" s="88"/>
      <c r="R4060" s="78">
        <f>MAX(S4060:W4060)</f>
        <v>0</v>
      </c>
      <c r="S4060" s="88"/>
      <c r="T4060" s="88"/>
      <c r="U4060" s="88"/>
      <c r="V4060" s="88"/>
      <c r="W4060" s="88"/>
    </row>
    <row r="4061" spans="2:23" s="0" customFormat="0" ht="15">
      <c r="B4061" s="87" t="s">
        <v>1</v>
      </c>
      <c r="C4061" s="88" t="s">
        <v>5259</v>
      </c>
      <c r="D4061" s="88">
        <v>20627507</v>
      </c>
      <c r="E4061" s="88" t="s">
        <v>61</v>
      </c>
      <c r="F4061" s="88">
        <v>0</v>
      </c>
      <c r="G4061" s="78">
        <f>MAX(H4061,I4061,J4061)</f>
        <v>1</v>
      </c>
      <c r="H4061" s="88"/>
      <c r="I4061" s="88"/>
      <c r="J4061" s="78">
        <f>MAX(K4061:Q4061)</f>
        <v>1</v>
      </c>
      <c r="K4061" s="88">
        <v>1</v>
      </c>
      <c r="L4061" s="88"/>
      <c r="M4061" s="88"/>
      <c r="N4061" s="88"/>
      <c r="O4061" s="88"/>
      <c r="P4061" s="88"/>
      <c r="Q4061" s="88"/>
      <c r="R4061" s="78">
        <f>MAX(S4061:W4061)</f>
        <v>0</v>
      </c>
      <c r="S4061" s="88"/>
      <c r="T4061" s="88"/>
      <c r="U4061" s="88"/>
      <c r="V4061" s="88"/>
      <c r="W4061" s="88"/>
    </row>
    <row r="4062" spans="2:23" s="0" customFormat="0" ht="15">
      <c r="B4062" s="87" t="s">
        <v>1</v>
      </c>
      <c r="C4062" s="88" t="s">
        <v>5259</v>
      </c>
      <c r="D4062" s="88">
        <v>1551417</v>
      </c>
      <c r="E4062" s="88" t="s">
        <v>61</v>
      </c>
      <c r="F4062" s="88">
        <v>0</v>
      </c>
      <c r="G4062" s="78">
        <f>MAX(H4062,I4062,J4062)</f>
        <v>0</v>
      </c>
      <c r="H4062" s="88"/>
      <c r="I4062" s="88"/>
      <c r="J4062" s="78">
        <f>MAX(K4062:Q4062)</f>
        <v>0</v>
      </c>
      <c r="K4062" s="88"/>
      <c r="L4062" s="88"/>
      <c r="M4062" s="88"/>
      <c r="N4062" s="88"/>
      <c r="O4062" s="88"/>
      <c r="P4062" s="88"/>
      <c r="Q4062" s="88"/>
      <c r="R4062" s="78">
        <f>MAX(S4062:W4062)</f>
        <v>1</v>
      </c>
      <c r="S4062" s="88"/>
      <c r="T4062" s="88"/>
      <c r="U4062" s="88">
        <v>1</v>
      </c>
      <c r="V4062" s="88"/>
      <c r="W4062" s="88"/>
    </row>
    <row r="4063" spans="2:23" s="0" customFormat="0" ht="15">
      <c r="B4063" s="87" t="s">
        <v>1</v>
      </c>
      <c r="C4063" s="88" t="s">
        <v>5259</v>
      </c>
      <c r="D4063" s="88">
        <v>22070884</v>
      </c>
      <c r="E4063" s="88" t="s">
        <v>61</v>
      </c>
      <c r="F4063" s="88">
        <v>0</v>
      </c>
      <c r="G4063" s="78">
        <f>MAX(H4063,I4063,J4063)</f>
        <v>1</v>
      </c>
      <c r="H4063" s="88"/>
      <c r="I4063" s="88"/>
      <c r="J4063" s="78">
        <f>MAX(K4063:Q4063)</f>
        <v>1</v>
      </c>
      <c r="K4063" s="88">
        <v>1</v>
      </c>
      <c r="L4063" s="88"/>
      <c r="M4063" s="88"/>
      <c r="N4063" s="88"/>
      <c r="O4063" s="88"/>
      <c r="P4063" s="88"/>
      <c r="Q4063" s="88"/>
      <c r="R4063" s="78">
        <f>MAX(S4063:W4063)</f>
        <v>0</v>
      </c>
      <c r="S4063" s="88"/>
      <c r="T4063" s="88"/>
      <c r="U4063" s="88"/>
      <c r="V4063" s="88"/>
      <c r="W4063" s="88"/>
    </row>
    <row r="4064" spans="2:23" s="0" customFormat="0" ht="15">
      <c r="B4064" s="87" t="s">
        <v>1</v>
      </c>
      <c r="C4064" s="88" t="s">
        <v>5259</v>
      </c>
      <c r="D4064" s="88">
        <v>8300495</v>
      </c>
      <c r="E4064" s="88" t="s">
        <v>61</v>
      </c>
      <c r="F4064" s="88">
        <v>0</v>
      </c>
      <c r="G4064" s="78">
        <f>MAX(H4064,I4064,J4064)</f>
        <v>1</v>
      </c>
      <c r="H4064" s="88"/>
      <c r="I4064" s="88"/>
      <c r="J4064" s="78">
        <f>MAX(K4064:Q4064)</f>
        <v>1</v>
      </c>
      <c r="K4064" s="88">
        <v>1</v>
      </c>
      <c r="L4064" s="88"/>
      <c r="M4064" s="88"/>
      <c r="N4064" s="88"/>
      <c r="O4064" s="88"/>
      <c r="P4064" s="88"/>
      <c r="Q4064" s="88"/>
      <c r="R4064" s="78">
        <f>MAX(S4064:W4064)</f>
        <v>0</v>
      </c>
      <c r="S4064" s="88"/>
      <c r="T4064" s="88"/>
      <c r="U4064" s="88"/>
      <c r="V4064" s="88"/>
      <c r="W4064" s="88"/>
    </row>
    <row r="4065" spans="2:23" s="0" customFormat="0" ht="15">
      <c r="B4065" s="87" t="s">
        <v>1</v>
      </c>
      <c r="C4065" s="88" t="s">
        <v>5259</v>
      </c>
      <c r="D4065" s="88">
        <v>18154854</v>
      </c>
      <c r="E4065" s="88" t="s">
        <v>61</v>
      </c>
      <c r="F4065" s="88">
        <v>0</v>
      </c>
      <c r="G4065" s="78">
        <f>MAX(H4065,I4065,J4065)</f>
        <v>1</v>
      </c>
      <c r="H4065" s="88"/>
      <c r="I4065" s="88"/>
      <c r="J4065" s="78">
        <f>MAX(K4065:Q4065)</f>
        <v>1</v>
      </c>
      <c r="K4065" s="88">
        <v>1</v>
      </c>
      <c r="L4065" s="88"/>
      <c r="M4065" s="88"/>
      <c r="N4065" s="88"/>
      <c r="O4065" s="88"/>
      <c r="P4065" s="88"/>
      <c r="Q4065" s="88"/>
      <c r="R4065" s="78">
        <f>MAX(S4065:W4065)</f>
        <v>0</v>
      </c>
      <c r="S4065" s="88"/>
      <c r="T4065" s="88"/>
      <c r="U4065" s="88"/>
      <c r="V4065" s="88"/>
      <c r="W4065" s="88"/>
    </row>
    <row r="4066" spans="2:23" s="0" customFormat="0" ht="15">
      <c r="B4066" s="87" t="s">
        <v>1</v>
      </c>
      <c r="C4066" s="88" t="s">
        <v>5259</v>
      </c>
      <c r="D4066" s="88" t="s">
        <v>3580</v>
      </c>
      <c r="E4066" s="88" t="s">
        <v>61</v>
      </c>
      <c r="F4066" s="88">
        <v>0</v>
      </c>
      <c r="G4066" s="78">
        <f>MAX(H4066,I4066,J4066)</f>
        <v>0</v>
      </c>
      <c r="H4066" s="88"/>
      <c r="I4066" s="88"/>
      <c r="J4066" s="78">
        <f>MAX(K4066:Q4066)</f>
        <v>0</v>
      </c>
      <c r="K4066" s="88"/>
      <c r="L4066" s="88"/>
      <c r="M4066" s="88"/>
      <c r="N4066" s="88"/>
      <c r="O4066" s="88"/>
      <c r="P4066" s="88"/>
      <c r="Q4066" s="88"/>
      <c r="R4066" s="78">
        <f>MAX(S4066:W4066)</f>
        <v>1</v>
      </c>
      <c r="S4066" s="88"/>
      <c r="T4066" s="88"/>
      <c r="U4066" s="88">
        <v>1</v>
      </c>
      <c r="V4066" s="88"/>
      <c r="W4066" s="88"/>
    </row>
    <row r="4067" spans="2:23" s="0" customFormat="0" ht="15">
      <c r="B4067" s="87" t="s">
        <v>1</v>
      </c>
      <c r="C4067" s="88" t="s">
        <v>5259</v>
      </c>
      <c r="D4067" s="88" t="s">
        <v>4900</v>
      </c>
      <c r="E4067" s="88" t="s">
        <v>61</v>
      </c>
      <c r="F4067" s="88">
        <v>0</v>
      </c>
      <c r="G4067" s="78">
        <f>MAX(H4067,I4067,J4067)</f>
        <v>0</v>
      </c>
      <c r="H4067" s="88"/>
      <c r="I4067" s="88"/>
      <c r="J4067" s="78">
        <f>MAX(K4067:Q4067)</f>
        <v>0</v>
      </c>
      <c r="K4067" s="88"/>
      <c r="L4067" s="88"/>
      <c r="M4067" s="88"/>
      <c r="N4067" s="88"/>
      <c r="O4067" s="88"/>
      <c r="P4067" s="88"/>
      <c r="Q4067" s="88"/>
      <c r="R4067" s="78">
        <f>MAX(S4067:W4067)</f>
        <v>1</v>
      </c>
      <c r="S4067" s="88"/>
      <c r="T4067" s="88"/>
      <c r="U4067" s="88">
        <v>1</v>
      </c>
      <c r="V4067" s="88"/>
      <c r="W4067" s="88"/>
    </row>
    <row r="4068" spans="2:23" s="0" customFormat="0" ht="15">
      <c r="B4068" s="87" t="s">
        <v>1</v>
      </c>
      <c r="C4068" s="88" t="s">
        <v>5259</v>
      </c>
      <c r="D4068" s="88">
        <v>1551417</v>
      </c>
      <c r="E4068" s="88" t="s">
        <v>61</v>
      </c>
      <c r="F4068" s="88">
        <v>0</v>
      </c>
      <c r="G4068" s="78">
        <f>MAX(H4068,I4068,J4068)</f>
        <v>0</v>
      </c>
      <c r="H4068" s="88"/>
      <c r="I4068" s="88"/>
      <c r="J4068" s="78">
        <f>MAX(K4068:Q4068)</f>
        <v>0</v>
      </c>
      <c r="K4068" s="88"/>
      <c r="L4068" s="88"/>
      <c r="M4068" s="88"/>
      <c r="N4068" s="88"/>
      <c r="O4068" s="88"/>
      <c r="P4068" s="88"/>
      <c r="Q4068" s="88"/>
      <c r="R4068" s="78">
        <f>MAX(S4068:W4068)</f>
        <v>1</v>
      </c>
      <c r="S4068" s="88"/>
      <c r="T4068" s="88"/>
      <c r="U4068" s="88">
        <v>1</v>
      </c>
      <c r="V4068" s="88"/>
      <c r="W4068" s="88"/>
    </row>
    <row r="4069" spans="2:23" s="0" customFormat="0" ht="15">
      <c r="B4069" s="87" t="s">
        <v>1</v>
      </c>
      <c r="C4069" s="88" t="s">
        <v>5259</v>
      </c>
      <c r="D4069" s="88" t="s">
        <v>4037</v>
      </c>
      <c r="E4069" s="88" t="s">
        <v>61</v>
      </c>
      <c r="F4069" s="88">
        <v>0</v>
      </c>
      <c r="G4069" s="78">
        <f>MAX(H4069,I4069,J4069)</f>
        <v>0</v>
      </c>
      <c r="H4069" s="88"/>
      <c r="I4069" s="88"/>
      <c r="J4069" s="78">
        <f>MAX(K4069:Q4069)</f>
        <v>0</v>
      </c>
      <c r="K4069" s="88"/>
      <c r="L4069" s="88"/>
      <c r="M4069" s="88"/>
      <c r="N4069" s="88"/>
      <c r="O4069" s="88"/>
      <c r="P4069" s="88"/>
      <c r="Q4069" s="88"/>
      <c r="R4069" s="78">
        <f>MAX(S4069:W4069)</f>
        <v>1</v>
      </c>
      <c r="S4069" s="88"/>
      <c r="T4069" s="88"/>
      <c r="U4069" s="88">
        <v>1</v>
      </c>
      <c r="V4069" s="88"/>
      <c r="W4069" s="88"/>
    </row>
    <row r="4070" spans="2:23" s="0" customFormat="0" ht="15">
      <c r="B4070" s="87" t="s">
        <v>1</v>
      </c>
      <c r="C4070" s="88" t="s">
        <v>5259</v>
      </c>
      <c r="D4070" s="88" t="s">
        <v>2473</v>
      </c>
      <c r="E4070" s="88" t="s">
        <v>61</v>
      </c>
      <c r="F4070" s="88">
        <v>0</v>
      </c>
      <c r="G4070" s="78">
        <f>MAX(H4070,I4070,J4070)</f>
        <v>1</v>
      </c>
      <c r="H4070" s="88"/>
      <c r="I4070" s="88"/>
      <c r="J4070" s="78">
        <f>MAX(K4070:Q4070)</f>
        <v>1</v>
      </c>
      <c r="K4070" s="88">
        <v>1</v>
      </c>
      <c r="L4070" s="88"/>
      <c r="M4070" s="88"/>
      <c r="N4070" s="88"/>
      <c r="O4070" s="88"/>
      <c r="P4070" s="88"/>
      <c r="Q4070" s="88"/>
      <c r="R4070" s="78">
        <f>MAX(S4070:W4070)</f>
        <v>0</v>
      </c>
      <c r="S4070" s="88"/>
      <c r="T4070" s="88"/>
      <c r="U4070" s="88"/>
      <c r="V4070" s="88"/>
      <c r="W4070" s="88"/>
    </row>
    <row r="4071" spans="2:23" s="0" customFormat="0" ht="15">
      <c r="B4071" s="87" t="s">
        <v>1</v>
      </c>
      <c r="C4071" s="88" t="s">
        <v>5259</v>
      </c>
      <c r="D4071" s="88" t="s">
        <v>2475</v>
      </c>
      <c r="E4071" s="88" t="s">
        <v>61</v>
      </c>
      <c r="F4071" s="88">
        <v>0</v>
      </c>
      <c r="G4071" s="78">
        <f>MAX(H4071,I4071,J4071)</f>
        <v>1</v>
      </c>
      <c r="H4071" s="88"/>
      <c r="I4071" s="88"/>
      <c r="J4071" s="78">
        <f>MAX(K4071:Q4071)</f>
        <v>1</v>
      </c>
      <c r="K4071" s="88">
        <v>1</v>
      </c>
      <c r="L4071" s="88"/>
      <c r="M4071" s="88"/>
      <c r="N4071" s="88"/>
      <c r="O4071" s="88"/>
      <c r="P4071" s="88"/>
      <c r="Q4071" s="88"/>
      <c r="R4071" s="78">
        <f>MAX(S4071:W4071)</f>
        <v>0</v>
      </c>
      <c r="S4071" s="88"/>
      <c r="T4071" s="88"/>
      <c r="U4071" s="88"/>
      <c r="V4071" s="88"/>
      <c r="W4071" s="88"/>
    </row>
    <row r="4072" spans="2:23" s="0" customFormat="0" ht="15">
      <c r="B4072" s="87" t="s">
        <v>1</v>
      </c>
      <c r="C4072" s="88" t="s">
        <v>5259</v>
      </c>
      <c r="D4072" s="88" t="s">
        <v>3800</v>
      </c>
      <c r="E4072" s="88" t="s">
        <v>61</v>
      </c>
      <c r="F4072" s="88">
        <v>0</v>
      </c>
      <c r="G4072" s="78">
        <f>MAX(H4072,I4072,J4072)</f>
        <v>0</v>
      </c>
      <c r="H4072" s="88"/>
      <c r="I4072" s="88"/>
      <c r="J4072" s="78">
        <f>MAX(K4072:Q4072)</f>
        <v>0</v>
      </c>
      <c r="K4072" s="88"/>
      <c r="L4072" s="88"/>
      <c r="M4072" s="88"/>
      <c r="N4072" s="88"/>
      <c r="O4072" s="88"/>
      <c r="P4072" s="88"/>
      <c r="Q4072" s="88"/>
      <c r="R4072" s="78">
        <f>MAX(S4072:W4072)</f>
        <v>1</v>
      </c>
      <c r="S4072" s="88"/>
      <c r="T4072" s="88"/>
      <c r="U4072" s="88">
        <v>1</v>
      </c>
      <c r="V4072" s="88"/>
      <c r="W4072" s="88"/>
    </row>
    <row r="4073" spans="2:23" s="0" customFormat="0" ht="15">
      <c r="B4073" s="87" t="s">
        <v>1</v>
      </c>
      <c r="C4073" s="88" t="s">
        <v>5259</v>
      </c>
      <c r="D4073" s="88">
        <v>14755697</v>
      </c>
      <c r="E4073" s="88" t="s">
        <v>61</v>
      </c>
      <c r="F4073" s="88">
        <v>0</v>
      </c>
      <c r="G4073" s="78">
        <f>MAX(H4073,I4073,J4073)</f>
        <v>1</v>
      </c>
      <c r="H4073" s="88"/>
      <c r="I4073" s="88"/>
      <c r="J4073" s="78">
        <f>MAX(K4073:Q4073)</f>
        <v>1</v>
      </c>
      <c r="K4073" s="88">
        <v>1</v>
      </c>
      <c r="L4073" s="88"/>
      <c r="M4073" s="88"/>
      <c r="N4073" s="88"/>
      <c r="O4073" s="88"/>
      <c r="P4073" s="88"/>
      <c r="Q4073" s="88"/>
      <c r="R4073" s="78">
        <f>MAX(S4073:W4073)</f>
        <v>0</v>
      </c>
      <c r="S4073" s="88"/>
      <c r="T4073" s="88"/>
      <c r="U4073" s="88"/>
      <c r="V4073" s="88"/>
      <c r="W4073" s="88"/>
    </row>
    <row r="4074" spans="2:23" s="0" customFormat="0" ht="15">
      <c r="B4074" s="87" t="s">
        <v>1</v>
      </c>
      <c r="C4074" s="88" t="s">
        <v>5259</v>
      </c>
      <c r="D4074" s="88">
        <v>18085384</v>
      </c>
      <c r="E4074" s="88" t="s">
        <v>61</v>
      </c>
      <c r="F4074" s="88">
        <v>0</v>
      </c>
      <c r="G4074" s="78">
        <f>MAX(H4074,I4074,J4074)</f>
        <v>1</v>
      </c>
      <c r="H4074" s="88"/>
      <c r="I4074" s="88"/>
      <c r="J4074" s="78">
        <f>MAX(K4074:Q4074)</f>
        <v>1</v>
      </c>
      <c r="K4074" s="88">
        <v>1</v>
      </c>
      <c r="L4074" s="88"/>
      <c r="M4074" s="88"/>
      <c r="N4074" s="88"/>
      <c r="O4074" s="88"/>
      <c r="P4074" s="88"/>
      <c r="Q4074" s="88"/>
      <c r="R4074" s="78">
        <f>MAX(S4074:W4074)</f>
        <v>0</v>
      </c>
      <c r="S4074" s="88"/>
      <c r="T4074" s="88"/>
      <c r="U4074" s="88"/>
      <c r="V4074" s="88"/>
      <c r="W4074" s="88"/>
    </row>
    <row r="4075" spans="2:23" s="0" customFormat="0" ht="15">
      <c r="B4075" s="87" t="s">
        <v>1</v>
      </c>
      <c r="C4075" s="88" t="s">
        <v>5259</v>
      </c>
      <c r="D4075" s="88">
        <v>15774239</v>
      </c>
      <c r="E4075" s="88" t="s">
        <v>61</v>
      </c>
      <c r="F4075" s="88">
        <v>0</v>
      </c>
      <c r="G4075" s="78">
        <f>MAX(H4075,I4075,J4075)</f>
        <v>1</v>
      </c>
      <c r="H4075" s="88"/>
      <c r="I4075" s="88"/>
      <c r="J4075" s="78">
        <f>MAX(K4075:Q4075)</f>
        <v>1</v>
      </c>
      <c r="K4075" s="88">
        <v>1</v>
      </c>
      <c r="L4075" s="88"/>
      <c r="M4075" s="88"/>
      <c r="N4075" s="88"/>
      <c r="O4075" s="88"/>
      <c r="P4075" s="88"/>
      <c r="Q4075" s="88"/>
      <c r="R4075" s="78">
        <f>MAX(S4075:W4075)</f>
        <v>0</v>
      </c>
      <c r="S4075" s="88"/>
      <c r="T4075" s="88"/>
      <c r="U4075" s="88"/>
      <c r="V4075" s="88"/>
      <c r="W4075" s="88"/>
    </row>
    <row r="4076" spans="2:23" s="0" customFormat="0" ht="15">
      <c r="B4076" s="87" t="s">
        <v>1</v>
      </c>
      <c r="C4076" s="88" t="s">
        <v>5259</v>
      </c>
      <c r="D4076" s="88">
        <v>17220547</v>
      </c>
      <c r="E4076" s="88" t="s">
        <v>61</v>
      </c>
      <c r="F4076" s="88">
        <v>0</v>
      </c>
      <c r="G4076" s="78">
        <f>MAX(H4076,I4076,J4076)</f>
        <v>1</v>
      </c>
      <c r="H4076" s="88"/>
      <c r="I4076" s="88"/>
      <c r="J4076" s="78">
        <f>MAX(K4076:Q4076)</f>
        <v>1</v>
      </c>
      <c r="K4076" s="88">
        <v>1</v>
      </c>
      <c r="L4076" s="88"/>
      <c r="M4076" s="88"/>
      <c r="N4076" s="88"/>
      <c r="O4076" s="88"/>
      <c r="P4076" s="88"/>
      <c r="Q4076" s="88"/>
      <c r="R4076" s="78">
        <f>MAX(S4076:W4076)</f>
        <v>0</v>
      </c>
      <c r="S4076" s="88"/>
      <c r="T4076" s="88"/>
      <c r="U4076" s="88"/>
      <c r="V4076" s="88"/>
      <c r="W4076" s="88"/>
    </row>
    <row r="4077" spans="2:23" s="0" customFormat="0" ht="15">
      <c r="B4077" s="87" t="s">
        <v>1</v>
      </c>
      <c r="C4077" s="88" t="s">
        <v>5259</v>
      </c>
      <c r="D4077" s="88" t="s">
        <v>4774</v>
      </c>
      <c r="E4077" s="88" t="s">
        <v>61</v>
      </c>
      <c r="F4077" s="88">
        <v>0</v>
      </c>
      <c r="G4077" s="78">
        <f>MAX(H4077,I4077,J4077)</f>
        <v>0</v>
      </c>
      <c r="H4077" s="88"/>
      <c r="I4077" s="88"/>
      <c r="J4077" s="78">
        <f>MAX(K4077:Q4077)</f>
        <v>0</v>
      </c>
      <c r="K4077" s="88"/>
      <c r="L4077" s="88"/>
      <c r="M4077" s="88"/>
      <c r="N4077" s="88"/>
      <c r="O4077" s="88"/>
      <c r="P4077" s="88"/>
      <c r="Q4077" s="88"/>
      <c r="R4077" s="78">
        <f>MAX(S4077:W4077)</f>
        <v>1</v>
      </c>
      <c r="S4077" s="88"/>
      <c r="T4077" s="88"/>
      <c r="U4077" s="88">
        <v>1</v>
      </c>
      <c r="V4077" s="88"/>
      <c r="W4077" s="88"/>
    </row>
    <row r="4078" spans="2:23" s="0" customFormat="0" ht="15">
      <c r="B4078" s="87" t="s">
        <v>1</v>
      </c>
      <c r="C4078" s="88" t="s">
        <v>5259</v>
      </c>
      <c r="D4078" s="88" t="s">
        <v>672</v>
      </c>
      <c r="E4078" s="88" t="s">
        <v>61</v>
      </c>
      <c r="F4078" s="88">
        <v>0</v>
      </c>
      <c r="G4078" s="78">
        <f>MAX(H4078,I4078,J4078)</f>
        <v>1</v>
      </c>
      <c r="H4078" s="88"/>
      <c r="I4078" s="88"/>
      <c r="J4078" s="78">
        <f>MAX(K4078:Q4078)</f>
        <v>1</v>
      </c>
      <c r="K4078" s="88">
        <v>1</v>
      </c>
      <c r="L4078" s="88"/>
      <c r="M4078" s="88"/>
      <c r="N4078" s="88"/>
      <c r="O4078" s="88"/>
      <c r="P4078" s="88"/>
      <c r="Q4078" s="88"/>
      <c r="R4078" s="78">
        <f>MAX(S4078:W4078)</f>
        <v>0</v>
      </c>
      <c r="S4078" s="88"/>
      <c r="T4078" s="88"/>
      <c r="U4078" s="88"/>
      <c r="V4078" s="88"/>
      <c r="W4078" s="88"/>
    </row>
    <row r="4079" spans="2:23" s="0" customFormat="0" ht="15">
      <c r="B4079" s="87" t="s">
        <v>1</v>
      </c>
      <c r="C4079" s="88" t="s">
        <v>5259</v>
      </c>
      <c r="D4079" s="88" t="s">
        <v>2478</v>
      </c>
      <c r="E4079" s="88" t="s">
        <v>61</v>
      </c>
      <c r="F4079" s="88">
        <v>0</v>
      </c>
      <c r="G4079" s="78">
        <f>MAX(H4079,I4079,J4079)</f>
        <v>1</v>
      </c>
      <c r="H4079" s="88"/>
      <c r="I4079" s="88"/>
      <c r="J4079" s="78">
        <f>MAX(K4079:Q4079)</f>
        <v>1</v>
      </c>
      <c r="K4079" s="88">
        <v>1</v>
      </c>
      <c r="L4079" s="88"/>
      <c r="M4079" s="88"/>
      <c r="N4079" s="88"/>
      <c r="O4079" s="88"/>
      <c r="P4079" s="88"/>
      <c r="Q4079" s="88"/>
      <c r="R4079" s="78">
        <f>MAX(S4079:W4079)</f>
        <v>0</v>
      </c>
      <c r="S4079" s="88"/>
      <c r="T4079" s="88"/>
      <c r="U4079" s="88"/>
      <c r="V4079" s="88"/>
      <c r="W4079" s="88"/>
    </row>
    <row r="4080" spans="2:23" s="0" customFormat="0" ht="15">
      <c r="B4080" s="87" t="s">
        <v>1</v>
      </c>
      <c r="C4080" s="88" t="s">
        <v>5259</v>
      </c>
      <c r="D4080" s="88">
        <v>11854063</v>
      </c>
      <c r="E4080" s="88" t="s">
        <v>61</v>
      </c>
      <c r="F4080" s="88">
        <v>0</v>
      </c>
      <c r="G4080" s="78">
        <f>MAX(H4080,I4080,J4080)</f>
        <v>1</v>
      </c>
      <c r="H4080" s="88"/>
      <c r="I4080" s="88"/>
      <c r="J4080" s="78">
        <f>MAX(K4080:Q4080)</f>
        <v>1</v>
      </c>
      <c r="K4080" s="88">
        <v>1</v>
      </c>
      <c r="L4080" s="88"/>
      <c r="M4080" s="88"/>
      <c r="N4080" s="88"/>
      <c r="O4080" s="88"/>
      <c r="P4080" s="88"/>
      <c r="Q4080" s="88"/>
      <c r="R4080" s="78">
        <f>MAX(S4080:W4080)</f>
        <v>0</v>
      </c>
      <c r="S4080" s="88"/>
      <c r="T4080" s="88"/>
      <c r="U4080" s="88"/>
      <c r="V4080" s="88"/>
      <c r="W4080" s="88"/>
    </row>
    <row r="4081" spans="2:23" s="0" customFormat="0" ht="15">
      <c r="B4081" s="87" t="s">
        <v>1</v>
      </c>
      <c r="C4081" s="88" t="s">
        <v>5259</v>
      </c>
      <c r="D4081" s="88">
        <v>21838363</v>
      </c>
      <c r="E4081" s="88" t="s">
        <v>61</v>
      </c>
      <c r="F4081" s="88">
        <v>0</v>
      </c>
      <c r="G4081" s="78">
        <f>MAX(H4081,I4081,J4081)</f>
        <v>1</v>
      </c>
      <c r="H4081" s="88"/>
      <c r="I4081" s="88"/>
      <c r="J4081" s="78">
        <f>MAX(K4081:Q4081)</f>
        <v>1</v>
      </c>
      <c r="K4081" s="88">
        <v>1</v>
      </c>
      <c r="L4081" s="88"/>
      <c r="M4081" s="88"/>
      <c r="N4081" s="88"/>
      <c r="O4081" s="88"/>
      <c r="P4081" s="88"/>
      <c r="Q4081" s="88"/>
      <c r="R4081" s="78">
        <f>MAX(S4081:W4081)</f>
        <v>0</v>
      </c>
      <c r="S4081" s="88"/>
      <c r="T4081" s="88"/>
      <c r="U4081" s="88"/>
      <c r="V4081" s="88"/>
      <c r="W4081" s="88"/>
    </row>
    <row r="4082" spans="2:23" s="0" customFormat="0" ht="15">
      <c r="B4082" s="87" t="s">
        <v>1</v>
      </c>
      <c r="C4082" s="88" t="s">
        <v>5259</v>
      </c>
      <c r="D4082" s="88">
        <v>15774247</v>
      </c>
      <c r="E4082" s="88" t="s">
        <v>61</v>
      </c>
      <c r="F4082" s="88">
        <v>0</v>
      </c>
      <c r="G4082" s="78">
        <f>MAX(H4082,I4082,J4082)</f>
        <v>1</v>
      </c>
      <c r="H4082" s="88"/>
      <c r="I4082" s="88"/>
      <c r="J4082" s="78">
        <f>MAX(K4082:Q4082)</f>
        <v>1</v>
      </c>
      <c r="K4082" s="88">
        <v>1</v>
      </c>
      <c r="L4082" s="88"/>
      <c r="M4082" s="88"/>
      <c r="N4082" s="88"/>
      <c r="O4082" s="88"/>
      <c r="P4082" s="88"/>
      <c r="Q4082" s="88"/>
      <c r="R4082" s="78">
        <f>MAX(S4082:W4082)</f>
        <v>0</v>
      </c>
      <c r="S4082" s="88"/>
      <c r="T4082" s="88"/>
      <c r="U4082" s="88"/>
      <c r="V4082" s="88"/>
      <c r="W4082" s="88"/>
    </row>
    <row r="4083" spans="2:23" s="0" customFormat="0" ht="15">
      <c r="B4083" s="87" t="s">
        <v>1</v>
      </c>
      <c r="C4083" s="88" t="s">
        <v>5259</v>
      </c>
      <c r="D4083" s="88">
        <v>12784727</v>
      </c>
      <c r="E4083" s="88" t="s">
        <v>61</v>
      </c>
      <c r="F4083" s="88">
        <v>0</v>
      </c>
      <c r="G4083" s="78">
        <f>MAX(H4083,I4083,J4083)</f>
        <v>1</v>
      </c>
      <c r="H4083" s="88"/>
      <c r="I4083" s="88"/>
      <c r="J4083" s="78">
        <f>MAX(K4083:Q4083)</f>
        <v>1</v>
      </c>
      <c r="K4083" s="88">
        <v>1</v>
      </c>
      <c r="L4083" s="88"/>
      <c r="M4083" s="88"/>
      <c r="N4083" s="88"/>
      <c r="O4083" s="88"/>
      <c r="P4083" s="88"/>
      <c r="Q4083" s="88"/>
      <c r="R4083" s="78">
        <f>MAX(S4083:W4083)</f>
        <v>0</v>
      </c>
      <c r="S4083" s="88"/>
      <c r="T4083" s="88"/>
      <c r="U4083" s="88"/>
      <c r="V4083" s="88"/>
      <c r="W4083" s="88"/>
    </row>
    <row r="4084" spans="2:23" s="0" customFormat="0" ht="15">
      <c r="B4084" s="87" t="s">
        <v>1</v>
      </c>
      <c r="C4084" s="88" t="s">
        <v>5259</v>
      </c>
      <c r="D4084" s="88">
        <v>17055919</v>
      </c>
      <c r="E4084" s="88" t="s">
        <v>61</v>
      </c>
      <c r="F4084" s="88">
        <v>0</v>
      </c>
      <c r="G4084" s="78">
        <f>MAX(H4084,I4084,J4084)</f>
        <v>1</v>
      </c>
      <c r="H4084" s="88"/>
      <c r="I4084" s="88"/>
      <c r="J4084" s="78">
        <f>MAX(K4084:Q4084)</f>
        <v>1</v>
      </c>
      <c r="K4084" s="88">
        <v>1</v>
      </c>
      <c r="L4084" s="88"/>
      <c r="M4084" s="88"/>
      <c r="N4084" s="88"/>
      <c r="O4084" s="88"/>
      <c r="P4084" s="88"/>
      <c r="Q4084" s="88"/>
      <c r="R4084" s="78">
        <f>MAX(S4084:W4084)</f>
        <v>0</v>
      </c>
      <c r="S4084" s="88"/>
      <c r="T4084" s="88"/>
      <c r="U4084" s="88"/>
      <c r="V4084" s="88"/>
      <c r="W4084" s="88"/>
    </row>
    <row r="4085" spans="2:23" s="0" customFormat="0" ht="15">
      <c r="B4085" s="87" t="s">
        <v>1</v>
      </c>
      <c r="C4085" s="88" t="s">
        <v>5259</v>
      </c>
      <c r="D4085" s="88" t="s">
        <v>4535</v>
      </c>
      <c r="E4085" s="88" t="s">
        <v>61</v>
      </c>
      <c r="F4085" s="88">
        <v>0</v>
      </c>
      <c r="G4085" s="78">
        <f>MAX(H4085,I4085,J4085)</f>
        <v>0</v>
      </c>
      <c r="H4085" s="88"/>
      <c r="I4085" s="88"/>
      <c r="J4085" s="78">
        <f>MAX(K4085:Q4085)</f>
        <v>0</v>
      </c>
      <c r="K4085" s="88"/>
      <c r="L4085" s="88"/>
      <c r="M4085" s="88"/>
      <c r="N4085" s="88"/>
      <c r="O4085" s="88"/>
      <c r="P4085" s="88"/>
      <c r="Q4085" s="88"/>
      <c r="R4085" s="78">
        <f>MAX(S4085:W4085)</f>
        <v>1</v>
      </c>
      <c r="S4085" s="88"/>
      <c r="T4085" s="88"/>
      <c r="U4085" s="88">
        <v>1</v>
      </c>
      <c r="V4085" s="88"/>
      <c r="W4085" s="88"/>
    </row>
    <row r="4086" spans="2:23" s="0" customFormat="0" ht="15">
      <c r="B4086" s="87" t="s">
        <v>1</v>
      </c>
      <c r="C4086" s="88" t="s">
        <v>5259</v>
      </c>
      <c r="D4086" s="88">
        <v>25094363</v>
      </c>
      <c r="E4086" s="88" t="s">
        <v>61</v>
      </c>
      <c r="F4086" s="88">
        <v>0</v>
      </c>
      <c r="G4086" s="78">
        <f>MAX(H4086,I4086,J4086)</f>
        <v>0</v>
      </c>
      <c r="H4086" s="88"/>
      <c r="I4086" s="88"/>
      <c r="J4086" s="78">
        <f>MAX(K4086:Q4086)</f>
        <v>0</v>
      </c>
      <c r="K4086" s="88"/>
      <c r="L4086" s="88"/>
      <c r="M4086" s="88"/>
      <c r="N4086" s="88"/>
      <c r="O4086" s="88"/>
      <c r="P4086" s="88"/>
      <c r="Q4086" s="88"/>
      <c r="R4086" s="78">
        <f>MAX(S4086:W4086)</f>
        <v>1</v>
      </c>
      <c r="S4086" s="88"/>
      <c r="T4086" s="88"/>
      <c r="U4086" s="88">
        <v>1</v>
      </c>
      <c r="V4086" s="88"/>
      <c r="W4086" s="88"/>
    </row>
    <row r="4087" spans="2:23" s="0" customFormat="0" ht="15">
      <c r="B4087" s="87" t="s">
        <v>1</v>
      </c>
      <c r="C4087" s="88" t="s">
        <v>5259</v>
      </c>
      <c r="D4087" s="88" t="s">
        <v>4563</v>
      </c>
      <c r="E4087" s="88" t="s">
        <v>61</v>
      </c>
      <c r="F4087" s="88">
        <v>0</v>
      </c>
      <c r="G4087" s="78">
        <f>MAX(H4087,I4087,J4087)</f>
        <v>0</v>
      </c>
      <c r="H4087" s="88"/>
      <c r="I4087" s="88"/>
      <c r="J4087" s="78">
        <f>MAX(K4087:Q4087)</f>
        <v>0</v>
      </c>
      <c r="K4087" s="88"/>
      <c r="L4087" s="88"/>
      <c r="M4087" s="88"/>
      <c r="N4087" s="88"/>
      <c r="O4087" s="88"/>
      <c r="P4087" s="88"/>
      <c r="Q4087" s="88"/>
      <c r="R4087" s="78">
        <f>MAX(S4087:W4087)</f>
        <v>1</v>
      </c>
      <c r="S4087" s="88"/>
      <c r="T4087" s="88"/>
      <c r="U4087" s="88">
        <v>1</v>
      </c>
      <c r="V4087" s="88"/>
      <c r="W4087" s="88"/>
    </row>
    <row r="4088" spans="2:23" s="0" customFormat="0" ht="15">
      <c r="B4088" s="87" t="s">
        <v>1</v>
      </c>
      <c r="C4088" s="88" t="s">
        <v>5259</v>
      </c>
      <c r="D4088" s="88" t="s">
        <v>4483</v>
      </c>
      <c r="E4088" s="88" t="s">
        <v>61</v>
      </c>
      <c r="F4088" s="88">
        <v>0</v>
      </c>
      <c r="G4088" s="78">
        <f>MAX(H4088,I4088,J4088)</f>
        <v>0</v>
      </c>
      <c r="H4088" s="88"/>
      <c r="I4088" s="88"/>
      <c r="J4088" s="78">
        <f>MAX(K4088:Q4088)</f>
        <v>0</v>
      </c>
      <c r="K4088" s="88"/>
      <c r="L4088" s="88"/>
      <c r="M4088" s="88"/>
      <c r="N4088" s="88"/>
      <c r="O4088" s="88"/>
      <c r="P4088" s="88"/>
      <c r="Q4088" s="88"/>
      <c r="R4088" s="78">
        <f>MAX(S4088:W4088)</f>
        <v>1</v>
      </c>
      <c r="S4088" s="88"/>
      <c r="T4088" s="88"/>
      <c r="U4088" s="88">
        <v>1</v>
      </c>
      <c r="V4088" s="88"/>
      <c r="W4088" s="88"/>
    </row>
    <row r="4089" spans="2:23" s="0" customFormat="0" ht="15">
      <c r="B4089" s="87" t="s">
        <v>1</v>
      </c>
      <c r="C4089" s="88" t="s">
        <v>5259</v>
      </c>
      <c r="D4089" s="88" t="s">
        <v>4903</v>
      </c>
      <c r="E4089" s="88" t="s">
        <v>61</v>
      </c>
      <c r="F4089" s="88">
        <v>0</v>
      </c>
      <c r="G4089" s="78">
        <f>MAX(H4089,I4089,J4089)</f>
        <v>0</v>
      </c>
      <c r="H4089" s="88"/>
      <c r="I4089" s="88"/>
      <c r="J4089" s="78">
        <f>MAX(K4089:Q4089)</f>
        <v>0</v>
      </c>
      <c r="K4089" s="88"/>
      <c r="L4089" s="88"/>
      <c r="M4089" s="88"/>
      <c r="N4089" s="88"/>
      <c r="O4089" s="88"/>
      <c r="P4089" s="88"/>
      <c r="Q4089" s="88"/>
      <c r="R4089" s="78">
        <f>MAX(S4089:W4089)</f>
        <v>1</v>
      </c>
      <c r="S4089" s="88"/>
      <c r="T4089" s="88"/>
      <c r="U4089" s="88">
        <v>1</v>
      </c>
      <c r="V4089" s="88"/>
      <c r="W4089" s="88"/>
    </row>
    <row r="4090" spans="2:23" s="0" customFormat="0" ht="15">
      <c r="B4090" s="87" t="s">
        <v>1</v>
      </c>
      <c r="C4090" s="88" t="s">
        <v>5259</v>
      </c>
      <c r="D4090" s="88" t="s">
        <v>3163</v>
      </c>
      <c r="E4090" s="88" t="s">
        <v>61</v>
      </c>
      <c r="F4090" s="88">
        <v>0</v>
      </c>
      <c r="G4090" s="78">
        <f>MAX(H4090,I4090,J4090)</f>
        <v>1</v>
      </c>
      <c r="H4090" s="88"/>
      <c r="I4090" s="88"/>
      <c r="J4090" s="78">
        <f>MAX(K4090:Q4090)</f>
        <v>1</v>
      </c>
      <c r="K4090" s="88"/>
      <c r="L4090" s="88"/>
      <c r="M4090" s="88"/>
      <c r="N4090" s="88"/>
      <c r="O4090" s="88">
        <v>1</v>
      </c>
      <c r="P4090" s="88"/>
      <c r="Q4090" s="88"/>
      <c r="R4090" s="78">
        <f>MAX(S4090:W4090)</f>
        <v>0</v>
      </c>
      <c r="S4090" s="88"/>
      <c r="T4090" s="88"/>
      <c r="U4090" s="88"/>
      <c r="V4090" s="88"/>
      <c r="W4090" s="88"/>
    </row>
    <row r="4091" spans="2:23" s="0" customFormat="0" ht="15">
      <c r="B4091" s="87" t="s">
        <v>1</v>
      </c>
      <c r="C4091" s="88" t="s">
        <v>5259</v>
      </c>
      <c r="D4091" s="88">
        <v>19031472</v>
      </c>
      <c r="E4091" s="88" t="s">
        <v>61</v>
      </c>
      <c r="F4091" s="88">
        <v>0</v>
      </c>
      <c r="G4091" s="78">
        <f>MAX(H4091,I4091,J4091)</f>
        <v>1</v>
      </c>
      <c r="H4091" s="88"/>
      <c r="I4091" s="88"/>
      <c r="J4091" s="78">
        <f>MAX(K4091:Q4091)</f>
        <v>1</v>
      </c>
      <c r="K4091" s="88">
        <v>1</v>
      </c>
      <c r="L4091" s="88"/>
      <c r="M4091" s="88"/>
      <c r="N4091" s="88"/>
      <c r="O4091" s="88"/>
      <c r="P4091" s="88"/>
      <c r="Q4091" s="88"/>
      <c r="R4091" s="78">
        <f>MAX(S4091:W4091)</f>
        <v>0</v>
      </c>
      <c r="S4091" s="88"/>
      <c r="T4091" s="88"/>
      <c r="U4091" s="88"/>
      <c r="V4091" s="88"/>
      <c r="W4091" s="88"/>
    </row>
    <row r="4092" spans="2:23" s="0" customFormat="0" ht="15">
      <c r="B4092" s="87" t="s">
        <v>1</v>
      </c>
      <c r="C4092" s="88" t="s">
        <v>5259</v>
      </c>
      <c r="D4092" s="88" t="s">
        <v>1071</v>
      </c>
      <c r="E4092" s="88" t="s">
        <v>61</v>
      </c>
      <c r="F4092" s="88">
        <v>0</v>
      </c>
      <c r="G4092" s="78">
        <f>MAX(H4092,I4092,J4092)</f>
        <v>1</v>
      </c>
      <c r="H4092" s="88"/>
      <c r="I4092" s="88"/>
      <c r="J4092" s="78">
        <f>MAX(K4092:Q4092)</f>
        <v>1</v>
      </c>
      <c r="K4092" s="88">
        <v>1</v>
      </c>
      <c r="L4092" s="88"/>
      <c r="M4092" s="88"/>
      <c r="N4092" s="88"/>
      <c r="O4092" s="88"/>
      <c r="P4092" s="88"/>
      <c r="Q4092" s="88"/>
      <c r="R4092" s="78">
        <f>MAX(S4092:W4092)</f>
        <v>0</v>
      </c>
      <c r="S4092" s="88"/>
      <c r="T4092" s="88"/>
      <c r="U4092" s="88"/>
      <c r="V4092" s="88"/>
      <c r="W4092" s="88"/>
    </row>
    <row r="4093" spans="2:23" s="0" customFormat="0" ht="15">
      <c r="B4093" s="87" t="s">
        <v>1</v>
      </c>
      <c r="C4093" s="88" t="s">
        <v>5259</v>
      </c>
      <c r="D4093" s="88">
        <v>17267345</v>
      </c>
      <c r="E4093" s="88" t="s">
        <v>61</v>
      </c>
      <c r="F4093" s="88">
        <v>0</v>
      </c>
      <c r="G4093" s="78">
        <f>MAX(H4093,I4093,J4093)</f>
        <v>1</v>
      </c>
      <c r="H4093" s="88"/>
      <c r="I4093" s="88"/>
      <c r="J4093" s="78">
        <f>MAX(K4093:Q4093)</f>
        <v>1</v>
      </c>
      <c r="K4093" s="88">
        <v>1</v>
      </c>
      <c r="L4093" s="88"/>
      <c r="M4093" s="88"/>
      <c r="N4093" s="88"/>
      <c r="O4093" s="88"/>
      <c r="P4093" s="88"/>
      <c r="Q4093" s="88"/>
      <c r="R4093" s="78">
        <f>MAX(S4093:W4093)</f>
        <v>0</v>
      </c>
      <c r="S4093" s="88"/>
      <c r="T4093" s="88"/>
      <c r="U4093" s="88"/>
      <c r="V4093" s="88"/>
      <c r="W4093" s="88"/>
    </row>
    <row r="4094" spans="2:23" s="0" customFormat="0" ht="15">
      <c r="B4094" s="87" t="s">
        <v>1</v>
      </c>
      <c r="C4094" s="88" t="s">
        <v>5259</v>
      </c>
      <c r="D4094" s="88">
        <v>22713415</v>
      </c>
      <c r="E4094" s="88" t="s">
        <v>61</v>
      </c>
      <c r="F4094" s="88">
        <v>0</v>
      </c>
      <c r="G4094" s="78">
        <f>MAX(H4094,I4094,J4094)</f>
        <v>1</v>
      </c>
      <c r="H4094" s="88"/>
      <c r="I4094" s="88"/>
      <c r="J4094" s="78">
        <f>MAX(K4094:Q4094)</f>
        <v>1</v>
      </c>
      <c r="K4094" s="88">
        <v>1</v>
      </c>
      <c r="L4094" s="88"/>
      <c r="M4094" s="88"/>
      <c r="N4094" s="88"/>
      <c r="O4094" s="88"/>
      <c r="P4094" s="88"/>
      <c r="Q4094" s="88"/>
      <c r="R4094" s="78">
        <f>MAX(S4094:W4094)</f>
        <v>0</v>
      </c>
      <c r="S4094" s="88"/>
      <c r="T4094" s="88"/>
      <c r="U4094" s="88"/>
      <c r="V4094" s="88"/>
      <c r="W4094" s="88"/>
    </row>
    <row r="4095" spans="2:23" s="0" customFormat="0" ht="15">
      <c r="B4095" s="87" t="s">
        <v>1</v>
      </c>
      <c r="C4095" s="88" t="s">
        <v>5259</v>
      </c>
      <c r="D4095" s="88">
        <v>6350672</v>
      </c>
      <c r="E4095" s="88" t="s">
        <v>61</v>
      </c>
      <c r="F4095" s="88">
        <v>0</v>
      </c>
      <c r="G4095" s="78">
        <f>MAX(H4095,I4095,J4095)</f>
        <v>1</v>
      </c>
      <c r="H4095" s="88"/>
      <c r="I4095" s="88"/>
      <c r="J4095" s="78">
        <f>MAX(K4095:Q4095)</f>
        <v>1</v>
      </c>
      <c r="K4095" s="88">
        <v>1</v>
      </c>
      <c r="L4095" s="88"/>
      <c r="M4095" s="88"/>
      <c r="N4095" s="88"/>
      <c r="O4095" s="88"/>
      <c r="P4095" s="88"/>
      <c r="Q4095" s="88"/>
      <c r="R4095" s="78">
        <f>MAX(S4095:W4095)</f>
        <v>0</v>
      </c>
      <c r="S4095" s="88"/>
      <c r="T4095" s="88"/>
      <c r="U4095" s="88"/>
      <c r="V4095" s="88"/>
      <c r="W4095" s="88"/>
    </row>
    <row r="4096" spans="2:23" s="0" customFormat="0" ht="15">
      <c r="B4096" s="87" t="s">
        <v>1</v>
      </c>
      <c r="C4096" s="88" t="s">
        <v>5259</v>
      </c>
      <c r="D4096" s="88">
        <v>24010289</v>
      </c>
      <c r="E4096" s="88" t="s">
        <v>61</v>
      </c>
      <c r="F4096" s="88">
        <v>0</v>
      </c>
      <c r="G4096" s="78">
        <f>MAX(H4096,I4096,J4096)</f>
        <v>1</v>
      </c>
      <c r="H4096" s="88"/>
      <c r="I4096" s="88"/>
      <c r="J4096" s="78">
        <f>MAX(K4096:Q4096)</f>
        <v>1</v>
      </c>
      <c r="K4096" s="88">
        <v>1</v>
      </c>
      <c r="L4096" s="88"/>
      <c r="M4096" s="88"/>
      <c r="N4096" s="88"/>
      <c r="O4096" s="88"/>
      <c r="P4096" s="88"/>
      <c r="Q4096" s="88"/>
      <c r="R4096" s="78">
        <f>MAX(S4096:W4096)</f>
        <v>0</v>
      </c>
      <c r="S4096" s="88"/>
      <c r="T4096" s="88"/>
      <c r="U4096" s="88"/>
      <c r="V4096" s="88"/>
      <c r="W4096" s="88"/>
    </row>
    <row r="4097" spans="2:23" s="0" customFormat="0" ht="15">
      <c r="B4097" s="87" t="s">
        <v>1</v>
      </c>
      <c r="C4097" s="88" t="s">
        <v>5259</v>
      </c>
      <c r="D4097" s="88">
        <v>22911183</v>
      </c>
      <c r="E4097" s="88" t="s">
        <v>61</v>
      </c>
      <c r="F4097" s="88">
        <v>0</v>
      </c>
      <c r="G4097" s="78">
        <f>MAX(H4097,I4097,J4097)</f>
        <v>1</v>
      </c>
      <c r="H4097" s="88"/>
      <c r="I4097" s="88"/>
      <c r="J4097" s="78">
        <f>MAX(K4097:Q4097)</f>
        <v>1</v>
      </c>
      <c r="K4097" s="88">
        <v>1</v>
      </c>
      <c r="L4097" s="88"/>
      <c r="M4097" s="88"/>
      <c r="N4097" s="88"/>
      <c r="O4097" s="88"/>
      <c r="P4097" s="88"/>
      <c r="Q4097" s="88"/>
      <c r="R4097" s="78">
        <f>MAX(S4097:W4097)</f>
        <v>0</v>
      </c>
      <c r="S4097" s="88"/>
      <c r="T4097" s="88"/>
      <c r="U4097" s="88"/>
      <c r="V4097" s="88"/>
      <c r="W4097" s="88"/>
    </row>
    <row r="4098" spans="2:23" s="0" customFormat="0" ht="15">
      <c r="B4098" s="87" t="s">
        <v>1</v>
      </c>
      <c r="C4098" s="88" t="s">
        <v>5259</v>
      </c>
      <c r="D4098" s="88">
        <v>14073575</v>
      </c>
      <c r="E4098" s="88" t="s">
        <v>61</v>
      </c>
      <c r="F4098" s="88">
        <v>0</v>
      </c>
      <c r="G4098" s="78">
        <f>MAX(H4098,I4098,J4098)</f>
        <v>1</v>
      </c>
      <c r="H4098" s="88"/>
      <c r="I4098" s="88"/>
      <c r="J4098" s="78">
        <f>MAX(K4098:Q4098)</f>
        <v>1</v>
      </c>
      <c r="K4098" s="88">
        <v>1</v>
      </c>
      <c r="L4098" s="88"/>
      <c r="M4098" s="88"/>
      <c r="N4098" s="88"/>
      <c r="O4098" s="88"/>
      <c r="P4098" s="88"/>
      <c r="Q4098" s="88"/>
      <c r="R4098" s="78">
        <f>MAX(S4098:W4098)</f>
        <v>0</v>
      </c>
      <c r="S4098" s="88"/>
      <c r="T4098" s="88"/>
      <c r="U4098" s="88"/>
      <c r="V4098" s="88"/>
      <c r="W4098" s="88"/>
    </row>
    <row r="4099" spans="2:23" s="0" customFormat="0" ht="15">
      <c r="B4099" s="87" t="s">
        <v>1</v>
      </c>
      <c r="C4099" s="88" t="s">
        <v>5259</v>
      </c>
      <c r="D4099" s="88">
        <v>10572264</v>
      </c>
      <c r="E4099" s="88" t="s">
        <v>61</v>
      </c>
      <c r="F4099" s="88">
        <v>0</v>
      </c>
      <c r="G4099" s="78">
        <f>MAX(H4099,I4099,J4099)</f>
        <v>1</v>
      </c>
      <c r="H4099" s="88"/>
      <c r="I4099" s="88"/>
      <c r="J4099" s="78">
        <f>MAX(K4099:Q4099)</f>
        <v>1</v>
      </c>
      <c r="K4099" s="88">
        <v>1</v>
      </c>
      <c r="L4099" s="88"/>
      <c r="M4099" s="88"/>
      <c r="N4099" s="88"/>
      <c r="O4099" s="88"/>
      <c r="P4099" s="88"/>
      <c r="Q4099" s="88"/>
      <c r="R4099" s="78">
        <f>MAX(S4099:W4099)</f>
        <v>0</v>
      </c>
      <c r="S4099" s="88"/>
      <c r="T4099" s="88"/>
      <c r="U4099" s="88"/>
      <c r="V4099" s="88"/>
      <c r="W4099" s="88"/>
    </row>
    <row r="4100" spans="2:23" s="0" customFormat="0" ht="15">
      <c r="B4100" s="87" t="s">
        <v>1</v>
      </c>
      <c r="C4100" s="88" t="s">
        <v>5259</v>
      </c>
      <c r="D4100" s="88">
        <v>21276188</v>
      </c>
      <c r="E4100" s="88" t="s">
        <v>61</v>
      </c>
      <c r="F4100" s="88">
        <v>0</v>
      </c>
      <c r="G4100" s="78">
        <f>MAX(H4100,I4100,J4100)</f>
        <v>1</v>
      </c>
      <c r="H4100" s="88"/>
      <c r="I4100" s="88"/>
      <c r="J4100" s="78">
        <f>MAX(K4100:Q4100)</f>
        <v>1</v>
      </c>
      <c r="K4100" s="88">
        <v>1</v>
      </c>
      <c r="L4100" s="88"/>
      <c r="M4100" s="88"/>
      <c r="N4100" s="88"/>
      <c r="O4100" s="88"/>
      <c r="P4100" s="88"/>
      <c r="Q4100" s="88"/>
      <c r="R4100" s="78">
        <f>MAX(S4100:W4100)</f>
        <v>0</v>
      </c>
      <c r="S4100" s="88"/>
      <c r="T4100" s="88"/>
      <c r="U4100" s="88"/>
      <c r="V4100" s="88"/>
      <c r="W4100" s="88"/>
    </row>
    <row r="4101" spans="2:23" s="0" customFormat="0" ht="15">
      <c r="B4101" s="87" t="s">
        <v>1</v>
      </c>
      <c r="C4101" s="88" t="s">
        <v>5259</v>
      </c>
      <c r="D4101" s="88" t="s">
        <v>4579</v>
      </c>
      <c r="E4101" s="88" t="s">
        <v>61</v>
      </c>
      <c r="F4101" s="88">
        <v>0</v>
      </c>
      <c r="G4101" s="78">
        <f>MAX(H4101,I4101,J4101)</f>
        <v>0</v>
      </c>
      <c r="H4101" s="88"/>
      <c r="I4101" s="88"/>
      <c r="J4101" s="78">
        <f>MAX(K4101:Q4101)</f>
        <v>0</v>
      </c>
      <c r="K4101" s="88"/>
      <c r="L4101" s="88"/>
      <c r="M4101" s="88"/>
      <c r="N4101" s="88"/>
      <c r="O4101" s="88"/>
      <c r="P4101" s="88"/>
      <c r="Q4101" s="88"/>
      <c r="R4101" s="78">
        <f>MAX(S4101:W4101)</f>
        <v>1</v>
      </c>
      <c r="S4101" s="88"/>
      <c r="T4101" s="88"/>
      <c r="U4101" s="88">
        <v>1</v>
      </c>
      <c r="V4101" s="88"/>
      <c r="W4101" s="88"/>
    </row>
    <row r="4102" spans="2:23" s="0" customFormat="0" ht="15">
      <c r="B4102" s="87" t="s">
        <v>1</v>
      </c>
      <c r="C4102" s="88" t="s">
        <v>5259</v>
      </c>
      <c r="D4102" s="88">
        <v>22700042</v>
      </c>
      <c r="E4102" s="88" t="s">
        <v>61</v>
      </c>
      <c r="F4102" s="88">
        <v>0</v>
      </c>
      <c r="G4102" s="78">
        <f>MAX(H4102,I4102,J4102)</f>
        <v>1</v>
      </c>
      <c r="H4102" s="88"/>
      <c r="I4102" s="88"/>
      <c r="J4102" s="78">
        <f>MAX(K4102:Q4102)</f>
        <v>1</v>
      </c>
      <c r="K4102" s="88">
        <v>1</v>
      </c>
      <c r="L4102" s="88"/>
      <c r="M4102" s="88"/>
      <c r="N4102" s="88"/>
      <c r="O4102" s="88"/>
      <c r="P4102" s="88"/>
      <c r="Q4102" s="88"/>
      <c r="R4102" s="78">
        <f>MAX(S4102:W4102)</f>
        <v>0</v>
      </c>
      <c r="S4102" s="88"/>
      <c r="T4102" s="88"/>
      <c r="U4102" s="88"/>
      <c r="V4102" s="88"/>
      <c r="W4102" s="88"/>
    </row>
    <row r="4103" spans="2:23" s="0" customFormat="0" ht="15">
      <c r="B4103" s="87" t="s">
        <v>1</v>
      </c>
      <c r="C4103" s="88" t="s">
        <v>5259</v>
      </c>
      <c r="D4103" s="88" t="s">
        <v>4905</v>
      </c>
      <c r="E4103" s="88" t="s">
        <v>61</v>
      </c>
      <c r="F4103" s="88">
        <v>0</v>
      </c>
      <c r="G4103" s="78">
        <f>MAX(H4103,I4103,J4103)</f>
        <v>0</v>
      </c>
      <c r="H4103" s="88"/>
      <c r="I4103" s="88"/>
      <c r="J4103" s="78">
        <f>MAX(K4103:Q4103)</f>
        <v>0</v>
      </c>
      <c r="K4103" s="88"/>
      <c r="L4103" s="88"/>
      <c r="M4103" s="88"/>
      <c r="N4103" s="88"/>
      <c r="O4103" s="88"/>
      <c r="P4103" s="88"/>
      <c r="Q4103" s="88"/>
      <c r="R4103" s="78">
        <f>MAX(S4103:W4103)</f>
        <v>1</v>
      </c>
      <c r="S4103" s="88"/>
      <c r="T4103" s="88"/>
      <c r="U4103" s="88">
        <v>1</v>
      </c>
      <c r="V4103" s="88"/>
      <c r="W4103" s="88"/>
    </row>
    <row r="4104" spans="2:23" s="0" customFormat="0" ht="15">
      <c r="B4104" s="87" t="s">
        <v>1</v>
      </c>
      <c r="C4104" s="88" t="s">
        <v>5259</v>
      </c>
      <c r="D4104" s="88">
        <v>16974687</v>
      </c>
      <c r="E4104" s="88" t="s">
        <v>61</v>
      </c>
      <c r="F4104" s="88">
        <v>0</v>
      </c>
      <c r="G4104" s="78">
        <f>MAX(H4104,I4104,J4104)</f>
        <v>0</v>
      </c>
      <c r="H4104" s="88"/>
      <c r="I4104" s="88"/>
      <c r="J4104" s="78">
        <f>MAX(K4104:Q4104)</f>
        <v>0</v>
      </c>
      <c r="K4104" s="88"/>
      <c r="L4104" s="88"/>
      <c r="M4104" s="88"/>
      <c r="N4104" s="88"/>
      <c r="O4104" s="88"/>
      <c r="P4104" s="88"/>
      <c r="Q4104" s="88"/>
      <c r="R4104" s="78">
        <f>MAX(S4104:W4104)</f>
        <v>1</v>
      </c>
      <c r="S4104" s="88"/>
      <c r="T4104" s="88"/>
      <c r="U4104" s="88">
        <v>1</v>
      </c>
      <c r="V4104" s="88"/>
      <c r="W4104" s="88"/>
    </row>
    <row r="4105" spans="2:23" s="0" customFormat="0" ht="15">
      <c r="B4105" s="87" t="s">
        <v>1</v>
      </c>
      <c r="C4105" s="88" t="s">
        <v>5259</v>
      </c>
      <c r="D4105" s="88" t="s">
        <v>1963</v>
      </c>
      <c r="E4105" s="88" t="s">
        <v>61</v>
      </c>
      <c r="F4105" s="88">
        <v>0</v>
      </c>
      <c r="G4105" s="78">
        <f>MAX(H4105,I4105,J4105)</f>
        <v>1</v>
      </c>
      <c r="H4105" s="88"/>
      <c r="I4105" s="88"/>
      <c r="J4105" s="78">
        <f>MAX(K4105:Q4105)</f>
        <v>1</v>
      </c>
      <c r="K4105" s="88">
        <v>1</v>
      </c>
      <c r="L4105" s="88"/>
      <c r="M4105" s="88"/>
      <c r="N4105" s="88"/>
      <c r="O4105" s="88"/>
      <c r="P4105" s="88"/>
      <c r="Q4105" s="88"/>
      <c r="R4105" s="78">
        <f>MAX(S4105:W4105)</f>
        <v>0</v>
      </c>
      <c r="S4105" s="88"/>
      <c r="T4105" s="88"/>
      <c r="U4105" s="88"/>
      <c r="V4105" s="88"/>
      <c r="W4105" s="88"/>
    </row>
    <row r="4106" spans="2:23" s="0" customFormat="0" ht="15">
      <c r="B4106" s="87" t="s">
        <v>1</v>
      </c>
      <c r="C4106" s="88" t="s">
        <v>5259</v>
      </c>
      <c r="D4106" s="88" t="s">
        <v>4128</v>
      </c>
      <c r="E4106" s="88" t="s">
        <v>61</v>
      </c>
      <c r="F4106" s="88">
        <v>0</v>
      </c>
      <c r="G4106" s="78">
        <f>MAX(H4106,I4106,J4106)</f>
        <v>0</v>
      </c>
      <c r="H4106" s="88"/>
      <c r="I4106" s="88"/>
      <c r="J4106" s="78">
        <f>MAX(K4106:Q4106)</f>
        <v>0</v>
      </c>
      <c r="K4106" s="88"/>
      <c r="L4106" s="88"/>
      <c r="M4106" s="88"/>
      <c r="N4106" s="88"/>
      <c r="O4106" s="88"/>
      <c r="P4106" s="88"/>
      <c r="Q4106" s="88"/>
      <c r="R4106" s="78">
        <f>MAX(S4106:W4106)</f>
        <v>1</v>
      </c>
      <c r="S4106" s="88"/>
      <c r="T4106" s="88"/>
      <c r="U4106" s="88">
        <v>1</v>
      </c>
      <c r="V4106" s="88"/>
      <c r="W4106" s="88"/>
    </row>
    <row r="4107" spans="2:23" s="0" customFormat="0" ht="15">
      <c r="B4107" s="87" t="s">
        <v>1</v>
      </c>
      <c r="C4107" s="88" t="s">
        <v>5259</v>
      </c>
      <c r="D4107" s="88">
        <v>21906268</v>
      </c>
      <c r="E4107" s="88" t="s">
        <v>61</v>
      </c>
      <c r="F4107" s="88">
        <v>0</v>
      </c>
      <c r="G4107" s="78">
        <f>MAX(H4107,I4107,J4107)</f>
        <v>1</v>
      </c>
      <c r="H4107" s="88"/>
      <c r="I4107" s="88"/>
      <c r="J4107" s="78">
        <f>MAX(K4107:Q4107)</f>
        <v>1</v>
      </c>
      <c r="K4107" s="88">
        <v>1</v>
      </c>
      <c r="L4107" s="88"/>
      <c r="M4107" s="88"/>
      <c r="N4107" s="88"/>
      <c r="O4107" s="88"/>
      <c r="P4107" s="88"/>
      <c r="Q4107" s="88"/>
      <c r="R4107" s="78">
        <f>MAX(S4107:W4107)</f>
        <v>0</v>
      </c>
      <c r="S4107" s="88"/>
      <c r="T4107" s="88"/>
      <c r="U4107" s="88"/>
      <c r="V4107" s="88"/>
      <c r="W4107" s="88"/>
    </row>
    <row r="4108" spans="2:23" s="0" customFormat="0" ht="15">
      <c r="B4108" s="87" t="s">
        <v>1</v>
      </c>
      <c r="C4108" s="88" t="s">
        <v>5259</v>
      </c>
      <c r="D4108" s="88">
        <v>12784727</v>
      </c>
      <c r="E4108" s="88" t="s">
        <v>61</v>
      </c>
      <c r="F4108" s="88">
        <v>0</v>
      </c>
      <c r="G4108" s="78">
        <f>MAX(H4108,I4108,J4108)</f>
        <v>1</v>
      </c>
      <c r="H4108" s="88"/>
      <c r="I4108" s="88"/>
      <c r="J4108" s="78">
        <f>MAX(K4108:Q4108)</f>
        <v>1</v>
      </c>
      <c r="K4108" s="88">
        <v>1</v>
      </c>
      <c r="L4108" s="88"/>
      <c r="M4108" s="88"/>
      <c r="N4108" s="88"/>
      <c r="O4108" s="88"/>
      <c r="P4108" s="88"/>
      <c r="Q4108" s="88"/>
      <c r="R4108" s="78">
        <f>MAX(S4108:W4108)</f>
        <v>0</v>
      </c>
      <c r="S4108" s="88"/>
      <c r="T4108" s="88"/>
      <c r="U4108" s="88"/>
      <c r="V4108" s="88"/>
      <c r="W4108" s="88"/>
    </row>
    <row r="4109" spans="2:23" s="0" customFormat="0" ht="15">
      <c r="B4109" s="87" t="s">
        <v>1</v>
      </c>
      <c r="C4109" s="88" t="s">
        <v>5259</v>
      </c>
      <c r="D4109" s="88">
        <v>20661511</v>
      </c>
      <c r="E4109" s="88" t="s">
        <v>61</v>
      </c>
      <c r="F4109" s="88">
        <v>0</v>
      </c>
      <c r="G4109" s="78">
        <f>MAX(H4109,I4109,J4109)</f>
        <v>1</v>
      </c>
      <c r="H4109" s="88"/>
      <c r="I4109" s="88"/>
      <c r="J4109" s="78">
        <f>MAX(K4109:Q4109)</f>
        <v>1</v>
      </c>
      <c r="K4109" s="88">
        <v>1</v>
      </c>
      <c r="L4109" s="88"/>
      <c r="M4109" s="88"/>
      <c r="N4109" s="88"/>
      <c r="O4109" s="88"/>
      <c r="P4109" s="88"/>
      <c r="Q4109" s="88"/>
      <c r="R4109" s="78">
        <f>MAX(S4109:W4109)</f>
        <v>0</v>
      </c>
      <c r="S4109" s="88"/>
      <c r="T4109" s="88"/>
      <c r="U4109" s="88"/>
      <c r="V4109" s="88"/>
      <c r="W4109" s="88"/>
    </row>
    <row r="4110" spans="2:23" s="0" customFormat="0" ht="15">
      <c r="B4110" s="87" t="s">
        <v>1</v>
      </c>
      <c r="C4110" s="88" t="s">
        <v>5259</v>
      </c>
      <c r="D4110" s="88">
        <v>15839017</v>
      </c>
      <c r="E4110" s="88" t="s">
        <v>61</v>
      </c>
      <c r="F4110" s="88">
        <v>0</v>
      </c>
      <c r="G4110" s="78">
        <f>MAX(H4110,I4110,J4110)</f>
        <v>1</v>
      </c>
      <c r="H4110" s="88"/>
      <c r="I4110" s="88"/>
      <c r="J4110" s="78">
        <f>MAX(K4110:Q4110)</f>
        <v>1</v>
      </c>
      <c r="K4110" s="88">
        <v>1</v>
      </c>
      <c r="L4110" s="88"/>
      <c r="M4110" s="88"/>
      <c r="N4110" s="88"/>
      <c r="O4110" s="88"/>
      <c r="P4110" s="88"/>
      <c r="Q4110" s="88"/>
      <c r="R4110" s="78">
        <f>MAX(S4110:W4110)</f>
        <v>0</v>
      </c>
      <c r="S4110" s="88"/>
      <c r="T4110" s="88"/>
      <c r="U4110" s="88"/>
      <c r="V4110" s="88"/>
      <c r="W4110" s="88"/>
    </row>
    <row r="4111" spans="2:23" s="0" customFormat="0" ht="15">
      <c r="B4111" s="87" t="s">
        <v>1</v>
      </c>
      <c r="C4111" s="88" t="s">
        <v>5259</v>
      </c>
      <c r="D4111" s="88">
        <v>24123126</v>
      </c>
      <c r="E4111" s="88" t="s">
        <v>61</v>
      </c>
      <c r="F4111" s="88">
        <v>0</v>
      </c>
      <c r="G4111" s="78">
        <f>MAX(H4111,I4111,J4111)</f>
        <v>1</v>
      </c>
      <c r="H4111" s="88"/>
      <c r="I4111" s="88"/>
      <c r="J4111" s="78">
        <f>MAX(K4111:Q4111)</f>
        <v>1</v>
      </c>
      <c r="K4111" s="88">
        <v>1</v>
      </c>
      <c r="L4111" s="88"/>
      <c r="M4111" s="88"/>
      <c r="N4111" s="88"/>
      <c r="O4111" s="88"/>
      <c r="P4111" s="88"/>
      <c r="Q4111" s="88"/>
      <c r="R4111" s="78">
        <f>MAX(S4111:W4111)</f>
        <v>0</v>
      </c>
      <c r="S4111" s="88"/>
      <c r="T4111" s="88"/>
      <c r="U4111" s="88"/>
      <c r="V4111" s="88"/>
      <c r="W4111" s="88"/>
    </row>
    <row r="4112" spans="2:23" s="0" customFormat="0" ht="15">
      <c r="B4112" s="87" t="s">
        <v>1</v>
      </c>
      <c r="C4112" s="88" t="s">
        <v>5259</v>
      </c>
      <c r="D4112" s="88">
        <v>18091585</v>
      </c>
      <c r="E4112" s="88" t="s">
        <v>61</v>
      </c>
      <c r="F4112" s="88">
        <v>0</v>
      </c>
      <c r="G4112" s="78">
        <f>MAX(H4112,I4112,J4112)</f>
        <v>1</v>
      </c>
      <c r="H4112" s="88"/>
      <c r="I4112" s="88"/>
      <c r="J4112" s="78">
        <f>MAX(K4112:Q4112)</f>
        <v>1</v>
      </c>
      <c r="K4112" s="88">
        <v>1</v>
      </c>
      <c r="L4112" s="88"/>
      <c r="M4112" s="88"/>
      <c r="N4112" s="88"/>
      <c r="O4112" s="88"/>
      <c r="P4112" s="88"/>
      <c r="Q4112" s="88"/>
      <c r="R4112" s="78">
        <f>MAX(S4112:W4112)</f>
        <v>0</v>
      </c>
      <c r="S4112" s="88"/>
      <c r="T4112" s="88"/>
      <c r="U4112" s="88"/>
      <c r="V4112" s="88"/>
      <c r="W4112" s="88"/>
    </row>
    <row r="4113" spans="2:23" s="0" customFormat="0" ht="15">
      <c r="B4113" s="87" t="s">
        <v>1</v>
      </c>
      <c r="C4113" s="88" t="s">
        <v>5259</v>
      </c>
      <c r="D4113" s="88" t="s">
        <v>3222</v>
      </c>
      <c r="E4113" s="88" t="s">
        <v>61</v>
      </c>
      <c r="F4113" s="88">
        <v>0</v>
      </c>
      <c r="G4113" s="78">
        <f>MAX(H4113,I4113,J4113)</f>
        <v>0</v>
      </c>
      <c r="H4113" s="88"/>
      <c r="I4113" s="88"/>
      <c r="J4113" s="78">
        <f>MAX(K4113:Q4113)</f>
        <v>0</v>
      </c>
      <c r="K4113" s="88"/>
      <c r="L4113" s="88"/>
      <c r="M4113" s="88"/>
      <c r="N4113" s="88"/>
      <c r="O4113" s="88"/>
      <c r="P4113" s="88"/>
      <c r="Q4113" s="88"/>
      <c r="R4113" s="78">
        <f>MAX(S4113:W4113)</f>
        <v>1</v>
      </c>
      <c r="S4113" s="88"/>
      <c r="T4113" s="88"/>
      <c r="U4113" s="88"/>
      <c r="V4113" s="88">
        <v>1</v>
      </c>
      <c r="W4113" s="88"/>
    </row>
    <row r="4114" spans="2:23" s="0" customFormat="0" ht="15">
      <c r="B4114" s="87" t="s">
        <v>1</v>
      </c>
      <c r="C4114" s="88" t="s">
        <v>5259</v>
      </c>
      <c r="D4114" s="88">
        <v>17447587</v>
      </c>
      <c r="E4114" s="88" t="s">
        <v>61</v>
      </c>
      <c r="F4114" s="88">
        <v>0</v>
      </c>
      <c r="G4114" s="78">
        <f>MAX(H4114,I4114,J4114)</f>
        <v>1</v>
      </c>
      <c r="H4114" s="88"/>
      <c r="I4114" s="88"/>
      <c r="J4114" s="78">
        <f>MAX(K4114:Q4114)</f>
        <v>1</v>
      </c>
      <c r="K4114" s="88">
        <v>1</v>
      </c>
      <c r="L4114" s="88"/>
      <c r="M4114" s="88"/>
      <c r="N4114" s="88"/>
      <c r="O4114" s="88"/>
      <c r="P4114" s="88"/>
      <c r="Q4114" s="88"/>
      <c r="R4114" s="78">
        <f>MAX(S4114:W4114)</f>
        <v>0</v>
      </c>
      <c r="S4114" s="88"/>
      <c r="T4114" s="88"/>
      <c r="U4114" s="88"/>
      <c r="V4114" s="88"/>
      <c r="W4114" s="88"/>
    </row>
    <row r="4115" spans="2:23" s="0" customFormat="0" ht="15">
      <c r="B4115" s="87" t="s">
        <v>1</v>
      </c>
      <c r="C4115" s="88" t="s">
        <v>5259</v>
      </c>
      <c r="D4115" s="88" t="s">
        <v>3454</v>
      </c>
      <c r="E4115" s="88" t="s">
        <v>61</v>
      </c>
      <c r="F4115" s="88">
        <v>0</v>
      </c>
      <c r="G4115" s="78">
        <f>MAX(H4115,I4115,J4115)</f>
        <v>0</v>
      </c>
      <c r="H4115" s="88"/>
      <c r="I4115" s="88"/>
      <c r="J4115" s="78">
        <f>MAX(K4115:Q4115)</f>
        <v>0</v>
      </c>
      <c r="K4115" s="88"/>
      <c r="L4115" s="88"/>
      <c r="M4115" s="88"/>
      <c r="N4115" s="88"/>
      <c r="O4115" s="88"/>
      <c r="P4115" s="88"/>
      <c r="Q4115" s="88"/>
      <c r="R4115" s="78">
        <f>MAX(S4115:W4115)</f>
        <v>1</v>
      </c>
      <c r="S4115" s="88"/>
      <c r="T4115" s="88"/>
      <c r="U4115" s="88">
        <v>1</v>
      </c>
      <c r="V4115" s="88"/>
      <c r="W4115" s="88"/>
    </row>
    <row r="4116" spans="2:23" s="0" customFormat="0" ht="15">
      <c r="B4116" s="87" t="s">
        <v>1</v>
      </c>
      <c r="C4116" s="88" t="s">
        <v>5259</v>
      </c>
      <c r="D4116" s="88" t="s">
        <v>2145</v>
      </c>
      <c r="E4116" s="88" t="s">
        <v>61</v>
      </c>
      <c r="F4116" s="88">
        <v>0</v>
      </c>
      <c r="G4116" s="78">
        <f>MAX(H4116,I4116,J4116)</f>
        <v>1</v>
      </c>
      <c r="H4116" s="88"/>
      <c r="I4116" s="88"/>
      <c r="J4116" s="78">
        <f>MAX(K4116:Q4116)</f>
        <v>1</v>
      </c>
      <c r="K4116" s="88">
        <v>1</v>
      </c>
      <c r="L4116" s="88"/>
      <c r="M4116" s="88"/>
      <c r="N4116" s="88"/>
      <c r="O4116" s="88"/>
      <c r="P4116" s="88"/>
      <c r="Q4116" s="88"/>
      <c r="R4116" s="78">
        <f>MAX(S4116:W4116)</f>
        <v>0</v>
      </c>
      <c r="S4116" s="88"/>
      <c r="T4116" s="88"/>
      <c r="U4116" s="88"/>
      <c r="V4116" s="88"/>
      <c r="W4116" s="88"/>
    </row>
    <row r="4117" spans="2:23" s="0" customFormat="0" ht="15">
      <c r="B4117" s="87" t="s">
        <v>1</v>
      </c>
      <c r="C4117" s="88" t="s">
        <v>5259</v>
      </c>
      <c r="D4117" s="88">
        <v>11252237</v>
      </c>
      <c r="E4117" s="88" t="s">
        <v>61</v>
      </c>
      <c r="F4117" s="88">
        <v>0</v>
      </c>
      <c r="G4117" s="78">
        <f>MAX(H4117,I4117,J4117)</f>
        <v>1</v>
      </c>
      <c r="H4117" s="88"/>
      <c r="I4117" s="88"/>
      <c r="J4117" s="78">
        <f>MAX(K4117:Q4117)</f>
        <v>1</v>
      </c>
      <c r="K4117" s="88">
        <v>1</v>
      </c>
      <c r="L4117" s="88"/>
      <c r="M4117" s="88"/>
      <c r="N4117" s="88"/>
      <c r="O4117" s="88"/>
      <c r="P4117" s="88"/>
      <c r="Q4117" s="88"/>
      <c r="R4117" s="78">
        <f>MAX(S4117:W4117)</f>
        <v>0</v>
      </c>
      <c r="S4117" s="88"/>
      <c r="T4117" s="88"/>
      <c r="U4117" s="88"/>
      <c r="V4117" s="88"/>
      <c r="W4117" s="88"/>
    </row>
    <row r="4118" spans="2:23" s="0" customFormat="0" ht="15">
      <c r="B4118" s="87" t="s">
        <v>1</v>
      </c>
      <c r="C4118" s="88" t="s">
        <v>5259</v>
      </c>
      <c r="D4118" s="88" t="s">
        <v>4525</v>
      </c>
      <c r="E4118" s="88" t="s">
        <v>61</v>
      </c>
      <c r="F4118" s="88">
        <v>0</v>
      </c>
      <c r="G4118" s="78">
        <f>MAX(H4118,I4118,J4118)</f>
        <v>0</v>
      </c>
      <c r="H4118" s="88"/>
      <c r="I4118" s="88"/>
      <c r="J4118" s="78">
        <f>MAX(K4118:Q4118)</f>
        <v>0</v>
      </c>
      <c r="K4118" s="88"/>
      <c r="L4118" s="88"/>
      <c r="M4118" s="88"/>
      <c r="N4118" s="88"/>
      <c r="O4118" s="88"/>
      <c r="P4118" s="88"/>
      <c r="Q4118" s="88"/>
      <c r="R4118" s="78">
        <f>MAX(S4118:W4118)</f>
        <v>1</v>
      </c>
      <c r="S4118" s="88"/>
      <c r="T4118" s="88"/>
      <c r="U4118" s="88">
        <v>1</v>
      </c>
      <c r="V4118" s="88"/>
      <c r="W4118" s="88"/>
    </row>
    <row r="4119" spans="2:23" s="0" customFormat="0" ht="15">
      <c r="B4119" s="87" t="s">
        <v>1</v>
      </c>
      <c r="C4119" s="88" t="s">
        <v>5259</v>
      </c>
      <c r="D4119" s="88">
        <v>21451967</v>
      </c>
      <c r="E4119" s="88" t="s">
        <v>61</v>
      </c>
      <c r="F4119" s="88">
        <v>0</v>
      </c>
      <c r="G4119" s="78">
        <f>MAX(H4119,I4119,J4119)</f>
        <v>1</v>
      </c>
      <c r="H4119" s="88"/>
      <c r="I4119" s="88"/>
      <c r="J4119" s="78">
        <f>MAX(K4119:Q4119)</f>
        <v>1</v>
      </c>
      <c r="K4119" s="88">
        <v>1</v>
      </c>
      <c r="L4119" s="88"/>
      <c r="M4119" s="88"/>
      <c r="N4119" s="88"/>
      <c r="O4119" s="88"/>
      <c r="P4119" s="88"/>
      <c r="Q4119" s="88"/>
      <c r="R4119" s="78">
        <f>MAX(S4119:W4119)</f>
        <v>0</v>
      </c>
      <c r="S4119" s="88"/>
      <c r="T4119" s="88"/>
      <c r="U4119" s="88"/>
      <c r="V4119" s="88"/>
      <c r="W4119" s="88"/>
    </row>
    <row r="4120" spans="2:23" s="0" customFormat="0" ht="15">
      <c r="B4120" s="87" t="s">
        <v>1</v>
      </c>
      <c r="C4120" s="88" t="s">
        <v>5259</v>
      </c>
      <c r="D4120" s="88">
        <v>11804267</v>
      </c>
      <c r="E4120" s="88" t="s">
        <v>61</v>
      </c>
      <c r="F4120" s="88">
        <v>0</v>
      </c>
      <c r="G4120" s="78">
        <f>MAX(H4120,I4120,J4120)</f>
        <v>1</v>
      </c>
      <c r="H4120" s="88"/>
      <c r="I4120" s="88"/>
      <c r="J4120" s="78">
        <f>MAX(K4120:Q4120)</f>
        <v>1</v>
      </c>
      <c r="K4120" s="88">
        <v>1</v>
      </c>
      <c r="L4120" s="88"/>
      <c r="M4120" s="88"/>
      <c r="N4120" s="88"/>
      <c r="O4120" s="88"/>
      <c r="P4120" s="88"/>
      <c r="Q4120" s="88"/>
      <c r="R4120" s="78">
        <f>MAX(S4120:W4120)</f>
        <v>0</v>
      </c>
      <c r="S4120" s="88"/>
      <c r="T4120" s="88"/>
      <c r="U4120" s="88"/>
      <c r="V4120" s="88"/>
      <c r="W4120" s="88"/>
    </row>
    <row r="4121" spans="2:23" s="0" customFormat="0" ht="15">
      <c r="B4121" s="87" t="s">
        <v>1</v>
      </c>
      <c r="C4121" s="88" t="s">
        <v>5259</v>
      </c>
      <c r="D4121" s="88" t="s">
        <v>4419</v>
      </c>
      <c r="E4121" s="88" t="s">
        <v>61</v>
      </c>
      <c r="F4121" s="88">
        <v>0</v>
      </c>
      <c r="G4121" s="78">
        <f>MAX(H4121,I4121,J4121)</f>
        <v>0</v>
      </c>
      <c r="H4121" s="88"/>
      <c r="I4121" s="88"/>
      <c r="J4121" s="78">
        <f>MAX(K4121:Q4121)</f>
        <v>0</v>
      </c>
      <c r="K4121" s="88"/>
      <c r="L4121" s="88"/>
      <c r="M4121" s="88"/>
      <c r="N4121" s="88"/>
      <c r="O4121" s="88"/>
      <c r="P4121" s="88"/>
      <c r="Q4121" s="88"/>
      <c r="R4121" s="78">
        <f>MAX(S4121:W4121)</f>
        <v>1</v>
      </c>
      <c r="S4121" s="88"/>
      <c r="T4121" s="88"/>
      <c r="U4121" s="88">
        <v>1</v>
      </c>
      <c r="V4121" s="88"/>
      <c r="W4121" s="88"/>
    </row>
    <row r="4122" spans="2:23" s="0" customFormat="0" ht="15">
      <c r="B4122" s="87" t="s">
        <v>1</v>
      </c>
      <c r="C4122" s="88" t="s">
        <v>5259</v>
      </c>
      <c r="D4122" s="88">
        <v>7065942</v>
      </c>
      <c r="E4122" s="88" t="s">
        <v>61</v>
      </c>
      <c r="F4122" s="88">
        <v>0</v>
      </c>
      <c r="G4122" s="78">
        <f>MAX(H4122,I4122,J4122)</f>
        <v>0</v>
      </c>
      <c r="H4122" s="88"/>
      <c r="I4122" s="88"/>
      <c r="J4122" s="78">
        <f>MAX(K4122:Q4122)</f>
        <v>0</v>
      </c>
      <c r="K4122" s="88"/>
      <c r="L4122" s="88"/>
      <c r="M4122" s="88"/>
      <c r="N4122" s="88"/>
      <c r="O4122" s="88"/>
      <c r="P4122" s="88"/>
      <c r="Q4122" s="88"/>
      <c r="R4122" s="78">
        <f>MAX(S4122:W4122)</f>
        <v>1</v>
      </c>
      <c r="S4122" s="88"/>
      <c r="T4122" s="88"/>
      <c r="U4122" s="88">
        <v>1</v>
      </c>
      <c r="V4122" s="88"/>
      <c r="W4122" s="88"/>
    </row>
    <row r="4123" spans="2:23" s="0" customFormat="0" ht="15">
      <c r="B4123" s="87" t="s">
        <v>1</v>
      </c>
      <c r="C4123" s="88" t="s">
        <v>5259</v>
      </c>
      <c r="D4123" s="88">
        <v>21774078</v>
      </c>
      <c r="E4123" s="88" t="s">
        <v>61</v>
      </c>
      <c r="F4123" s="88">
        <v>0</v>
      </c>
      <c r="G4123" s="78">
        <f>MAX(H4123,I4123,J4123)</f>
        <v>1</v>
      </c>
      <c r="H4123" s="88"/>
      <c r="I4123" s="88"/>
      <c r="J4123" s="78">
        <f>MAX(K4123:Q4123)</f>
        <v>1</v>
      </c>
      <c r="K4123" s="88">
        <v>1</v>
      </c>
      <c r="L4123" s="88"/>
      <c r="M4123" s="88"/>
      <c r="N4123" s="88"/>
      <c r="O4123" s="88"/>
      <c r="P4123" s="88"/>
      <c r="Q4123" s="88"/>
      <c r="R4123" s="78">
        <f>MAX(S4123:W4123)</f>
        <v>0</v>
      </c>
      <c r="S4123" s="88"/>
      <c r="T4123" s="88"/>
      <c r="U4123" s="88"/>
      <c r="V4123" s="88"/>
      <c r="W4123" s="88"/>
    </row>
    <row r="4124" spans="2:23" s="0" customFormat="0" ht="15">
      <c r="B4124" s="87" t="s">
        <v>1</v>
      </c>
      <c r="C4124" s="88" t="s">
        <v>5259</v>
      </c>
      <c r="D4124" s="88" t="s">
        <v>3411</v>
      </c>
      <c r="E4124" s="88" t="s">
        <v>61</v>
      </c>
      <c r="F4124" s="88">
        <v>0</v>
      </c>
      <c r="G4124" s="78">
        <f>MAX(H4124,I4124,J4124)</f>
        <v>0</v>
      </c>
      <c r="H4124" s="88"/>
      <c r="I4124" s="88"/>
      <c r="J4124" s="78">
        <f>MAX(K4124:Q4124)</f>
        <v>0</v>
      </c>
      <c r="K4124" s="88"/>
      <c r="L4124" s="88"/>
      <c r="M4124" s="88"/>
      <c r="N4124" s="88"/>
      <c r="O4124" s="88"/>
      <c r="P4124" s="88"/>
      <c r="Q4124" s="88"/>
      <c r="R4124" s="78">
        <f>MAX(S4124:W4124)</f>
        <v>1</v>
      </c>
      <c r="S4124" s="88"/>
      <c r="T4124" s="88"/>
      <c r="U4124" s="88">
        <v>1</v>
      </c>
      <c r="V4124" s="88"/>
      <c r="W4124" s="88"/>
    </row>
    <row r="4125" spans="2:23" s="0" customFormat="0" ht="15">
      <c r="B4125" s="87" t="s">
        <v>1</v>
      </c>
      <c r="C4125" s="88" t="s">
        <v>5259</v>
      </c>
      <c r="D4125" s="88">
        <v>16974698</v>
      </c>
      <c r="E4125" s="88" t="s">
        <v>61</v>
      </c>
      <c r="F4125" s="88">
        <v>0</v>
      </c>
      <c r="G4125" s="78">
        <f>MAX(H4125,I4125,J4125)</f>
        <v>0</v>
      </c>
      <c r="H4125" s="88"/>
      <c r="I4125" s="88"/>
      <c r="J4125" s="78">
        <f>MAX(K4125:Q4125)</f>
        <v>0</v>
      </c>
      <c r="K4125" s="88"/>
      <c r="L4125" s="88"/>
      <c r="M4125" s="88"/>
      <c r="N4125" s="88"/>
      <c r="O4125" s="88"/>
      <c r="P4125" s="88"/>
      <c r="Q4125" s="88"/>
      <c r="R4125" s="78">
        <f>MAX(S4125:W4125)</f>
        <v>1</v>
      </c>
      <c r="S4125" s="88"/>
      <c r="T4125" s="88"/>
      <c r="U4125" s="88">
        <v>1</v>
      </c>
      <c r="V4125" s="88"/>
      <c r="W4125" s="88"/>
    </row>
    <row r="4126" spans="2:23" s="0" customFormat="0" ht="15">
      <c r="B4126" s="87" t="s">
        <v>1</v>
      </c>
      <c r="C4126" s="88" t="s">
        <v>5259</v>
      </c>
      <c r="D4126" s="88">
        <v>21736772</v>
      </c>
      <c r="E4126" s="88" t="s">
        <v>61</v>
      </c>
      <c r="F4126" s="88">
        <v>0</v>
      </c>
      <c r="G4126" s="78">
        <f>MAX(H4126,I4126,J4126)</f>
        <v>1</v>
      </c>
      <c r="H4126" s="88"/>
      <c r="I4126" s="88"/>
      <c r="J4126" s="78">
        <f>MAX(K4126:Q4126)</f>
        <v>1</v>
      </c>
      <c r="K4126" s="88">
        <v>1</v>
      </c>
      <c r="L4126" s="88"/>
      <c r="M4126" s="88"/>
      <c r="N4126" s="88"/>
      <c r="O4126" s="88"/>
      <c r="P4126" s="88"/>
      <c r="Q4126" s="88"/>
      <c r="R4126" s="78">
        <f>MAX(S4126:W4126)</f>
        <v>0</v>
      </c>
      <c r="S4126" s="88"/>
      <c r="T4126" s="88"/>
      <c r="U4126" s="88"/>
      <c r="V4126" s="88"/>
      <c r="W4126" s="88"/>
    </row>
    <row r="4127" spans="2:23" s="0" customFormat="0" ht="15">
      <c r="B4127" s="87" t="s">
        <v>1</v>
      </c>
      <c r="C4127" s="88" t="s">
        <v>5259</v>
      </c>
      <c r="D4127" s="88">
        <v>3260336</v>
      </c>
      <c r="E4127" s="88" t="s">
        <v>61</v>
      </c>
      <c r="F4127" s="88">
        <v>0</v>
      </c>
      <c r="G4127" s="78">
        <f>MAX(H4127,I4127,J4127)</f>
        <v>1</v>
      </c>
      <c r="H4127" s="88"/>
      <c r="I4127" s="88"/>
      <c r="J4127" s="78">
        <f>MAX(K4127:Q4127)</f>
        <v>1</v>
      </c>
      <c r="K4127" s="88">
        <v>1</v>
      </c>
      <c r="L4127" s="88"/>
      <c r="M4127" s="88"/>
      <c r="N4127" s="88"/>
      <c r="O4127" s="88"/>
      <c r="P4127" s="88"/>
      <c r="Q4127" s="88"/>
      <c r="R4127" s="78">
        <f>MAX(S4127:W4127)</f>
        <v>0</v>
      </c>
      <c r="S4127" s="88"/>
      <c r="T4127" s="88"/>
      <c r="U4127" s="88"/>
      <c r="V4127" s="88"/>
      <c r="W4127" s="88"/>
    </row>
    <row r="4128" spans="2:23" s="0" customFormat="0" ht="15">
      <c r="B4128" s="87" t="s">
        <v>1</v>
      </c>
      <c r="C4128" s="88" t="s">
        <v>5259</v>
      </c>
      <c r="D4128" s="88" t="s">
        <v>3963</v>
      </c>
      <c r="E4128" s="88" t="s">
        <v>61</v>
      </c>
      <c r="F4128" s="88">
        <v>0</v>
      </c>
      <c r="G4128" s="78">
        <f>MAX(H4128,I4128,J4128)</f>
        <v>0</v>
      </c>
      <c r="H4128" s="88"/>
      <c r="I4128" s="88"/>
      <c r="J4128" s="78">
        <f>MAX(K4128:Q4128)</f>
        <v>0</v>
      </c>
      <c r="K4128" s="88"/>
      <c r="L4128" s="88"/>
      <c r="M4128" s="88"/>
      <c r="N4128" s="88"/>
      <c r="O4128" s="88"/>
      <c r="P4128" s="88"/>
      <c r="Q4128" s="88"/>
      <c r="R4128" s="78">
        <f>MAX(S4128:W4128)</f>
        <v>1</v>
      </c>
      <c r="S4128" s="88"/>
      <c r="T4128" s="88"/>
      <c r="U4128" s="88">
        <v>1</v>
      </c>
      <c r="V4128" s="88"/>
      <c r="W4128" s="88"/>
    </row>
    <row r="4129" spans="2:23" s="0" customFormat="0" ht="15">
      <c r="B4129" s="87" t="s">
        <v>1</v>
      </c>
      <c r="C4129" s="88" t="s">
        <v>5259</v>
      </c>
      <c r="D4129" s="88" t="s">
        <v>3890</v>
      </c>
      <c r="E4129" s="88" t="s">
        <v>61</v>
      </c>
      <c r="F4129" s="88">
        <v>0</v>
      </c>
      <c r="G4129" s="78">
        <f>MAX(H4129,I4129,J4129)</f>
        <v>0</v>
      </c>
      <c r="H4129" s="88"/>
      <c r="I4129" s="88"/>
      <c r="J4129" s="78">
        <f>MAX(K4129:Q4129)</f>
        <v>0</v>
      </c>
      <c r="K4129" s="88"/>
      <c r="L4129" s="88"/>
      <c r="M4129" s="88"/>
      <c r="N4129" s="88"/>
      <c r="O4129" s="88"/>
      <c r="P4129" s="88"/>
      <c r="Q4129" s="88"/>
      <c r="R4129" s="78">
        <f>MAX(S4129:W4129)</f>
        <v>1</v>
      </c>
      <c r="S4129" s="88"/>
      <c r="T4129" s="88"/>
      <c r="U4129" s="88">
        <v>1</v>
      </c>
      <c r="V4129" s="88"/>
      <c r="W4129" s="88"/>
    </row>
    <row r="4130" spans="2:23" s="0" customFormat="0" ht="15">
      <c r="B4130" s="87" t="s">
        <v>1</v>
      </c>
      <c r="C4130" s="88" t="s">
        <v>5259</v>
      </c>
      <c r="D4130" s="88">
        <v>23162552</v>
      </c>
      <c r="E4130" s="88" t="s">
        <v>61</v>
      </c>
      <c r="F4130" s="88">
        <v>0</v>
      </c>
      <c r="G4130" s="78">
        <f>MAX(H4130,I4130,J4130)</f>
        <v>1</v>
      </c>
      <c r="H4130" s="88"/>
      <c r="I4130" s="88"/>
      <c r="J4130" s="78">
        <f>MAX(K4130:Q4130)</f>
        <v>1</v>
      </c>
      <c r="K4130" s="88">
        <v>1</v>
      </c>
      <c r="L4130" s="88"/>
      <c r="M4130" s="88"/>
      <c r="N4130" s="88"/>
      <c r="O4130" s="88"/>
      <c r="P4130" s="88"/>
      <c r="Q4130" s="88"/>
      <c r="R4130" s="78">
        <f>MAX(S4130:W4130)</f>
        <v>0</v>
      </c>
      <c r="S4130" s="88"/>
      <c r="T4130" s="88"/>
      <c r="U4130" s="88"/>
      <c r="V4130" s="88"/>
      <c r="W4130" s="88"/>
    </row>
    <row r="4131" spans="2:23" s="0" customFormat="0" ht="15">
      <c r="B4131" s="87" t="s">
        <v>1</v>
      </c>
      <c r="C4131" s="88" t="s">
        <v>5259</v>
      </c>
      <c r="D4131" s="88">
        <v>11063578</v>
      </c>
      <c r="E4131" s="88" t="s">
        <v>61</v>
      </c>
      <c r="F4131" s="88">
        <v>0</v>
      </c>
      <c r="G4131" s="78">
        <f>MAX(H4131,I4131,J4131)</f>
        <v>1</v>
      </c>
      <c r="H4131" s="88"/>
      <c r="I4131" s="88"/>
      <c r="J4131" s="78">
        <f>MAX(K4131:Q4131)</f>
        <v>1</v>
      </c>
      <c r="K4131" s="88">
        <v>1</v>
      </c>
      <c r="L4131" s="88"/>
      <c r="M4131" s="88"/>
      <c r="N4131" s="88"/>
      <c r="O4131" s="88"/>
      <c r="P4131" s="88"/>
      <c r="Q4131" s="88"/>
      <c r="R4131" s="78">
        <f>MAX(S4131:W4131)</f>
        <v>0</v>
      </c>
      <c r="S4131" s="88"/>
      <c r="T4131" s="88"/>
      <c r="U4131" s="88"/>
      <c r="V4131" s="88"/>
      <c r="W4131" s="88"/>
    </row>
    <row r="4132" spans="2:23" s="0" customFormat="0" ht="15">
      <c r="B4132" s="87" t="s">
        <v>1</v>
      </c>
      <c r="C4132" s="88" t="s">
        <v>5259</v>
      </c>
      <c r="D4132" s="88">
        <v>10927152</v>
      </c>
      <c r="E4132" s="88" t="s">
        <v>61</v>
      </c>
      <c r="F4132" s="88">
        <v>0</v>
      </c>
      <c r="G4132" s="78">
        <f>MAX(H4132,I4132,J4132)</f>
        <v>1</v>
      </c>
      <c r="H4132" s="88"/>
      <c r="I4132" s="88"/>
      <c r="J4132" s="78">
        <f>MAX(K4132:Q4132)</f>
        <v>1</v>
      </c>
      <c r="K4132" s="88">
        <v>1</v>
      </c>
      <c r="L4132" s="88"/>
      <c r="M4132" s="88"/>
      <c r="N4132" s="88"/>
      <c r="O4132" s="88"/>
      <c r="P4132" s="88"/>
      <c r="Q4132" s="88"/>
      <c r="R4132" s="78">
        <f>MAX(S4132:W4132)</f>
        <v>0</v>
      </c>
      <c r="S4132" s="88"/>
      <c r="T4132" s="88"/>
      <c r="U4132" s="88"/>
      <c r="V4132" s="88"/>
      <c r="W4132" s="88"/>
    </row>
    <row r="4133" spans="2:23" s="0" customFormat="0" ht="15">
      <c r="B4133" s="87" t="s">
        <v>1</v>
      </c>
      <c r="C4133" s="88" t="s">
        <v>5259</v>
      </c>
      <c r="D4133" s="88">
        <v>21736772</v>
      </c>
      <c r="E4133" s="88" t="s">
        <v>61</v>
      </c>
      <c r="F4133" s="88">
        <v>0</v>
      </c>
      <c r="G4133" s="78">
        <f>MAX(H4133,I4133,J4133)</f>
        <v>1</v>
      </c>
      <c r="H4133" s="88"/>
      <c r="I4133" s="88"/>
      <c r="J4133" s="78">
        <f>MAX(K4133:Q4133)</f>
        <v>1</v>
      </c>
      <c r="K4133" s="88">
        <v>1</v>
      </c>
      <c r="L4133" s="88"/>
      <c r="M4133" s="88"/>
      <c r="N4133" s="88"/>
      <c r="O4133" s="88"/>
      <c r="P4133" s="88"/>
      <c r="Q4133" s="88"/>
      <c r="R4133" s="78">
        <f>MAX(S4133:W4133)</f>
        <v>0</v>
      </c>
      <c r="S4133" s="88"/>
      <c r="T4133" s="88"/>
      <c r="U4133" s="88"/>
      <c r="V4133" s="88"/>
      <c r="W4133" s="88"/>
    </row>
    <row r="4134" spans="2:23" s="0" customFormat="0" ht="15">
      <c r="B4134" s="87" t="s">
        <v>1</v>
      </c>
      <c r="C4134" s="88" t="s">
        <v>5259</v>
      </c>
      <c r="D4134" s="88">
        <v>3796112</v>
      </c>
      <c r="E4134" s="88" t="s">
        <v>61</v>
      </c>
      <c r="F4134" s="88">
        <v>0</v>
      </c>
      <c r="G4134" s="78">
        <f>MAX(H4134,I4134,J4134)</f>
        <v>1</v>
      </c>
      <c r="H4134" s="88"/>
      <c r="I4134" s="88"/>
      <c r="J4134" s="78">
        <f>MAX(K4134:Q4134)</f>
        <v>1</v>
      </c>
      <c r="K4134" s="88">
        <v>1</v>
      </c>
      <c r="L4134" s="88"/>
      <c r="M4134" s="88"/>
      <c r="N4134" s="88"/>
      <c r="O4134" s="88"/>
      <c r="P4134" s="88"/>
      <c r="Q4134" s="88"/>
      <c r="R4134" s="78">
        <f>MAX(S4134:W4134)</f>
        <v>0</v>
      </c>
      <c r="S4134" s="88"/>
      <c r="T4134" s="88"/>
      <c r="U4134" s="88"/>
      <c r="V4134" s="88"/>
      <c r="W4134" s="88"/>
    </row>
    <row r="4135" spans="2:23" s="0" customFormat="0" ht="15">
      <c r="B4135" s="87" t="s">
        <v>1</v>
      </c>
      <c r="C4135" s="88" t="s">
        <v>5259</v>
      </c>
      <c r="D4135" s="88" t="s">
        <v>4897</v>
      </c>
      <c r="E4135" s="88" t="s">
        <v>61</v>
      </c>
      <c r="F4135" s="88">
        <v>0</v>
      </c>
      <c r="G4135" s="78">
        <f>MAX(H4135,I4135,J4135)</f>
        <v>0</v>
      </c>
      <c r="H4135" s="88"/>
      <c r="I4135" s="88"/>
      <c r="J4135" s="78">
        <f>MAX(K4135:Q4135)</f>
        <v>0</v>
      </c>
      <c r="K4135" s="88"/>
      <c r="L4135" s="88"/>
      <c r="M4135" s="88"/>
      <c r="N4135" s="88"/>
      <c r="O4135" s="88"/>
      <c r="P4135" s="88"/>
      <c r="Q4135" s="88"/>
      <c r="R4135" s="78">
        <f>MAX(S4135:W4135)</f>
        <v>1</v>
      </c>
      <c r="S4135" s="88"/>
      <c r="T4135" s="88"/>
      <c r="U4135" s="88">
        <v>1</v>
      </c>
      <c r="V4135" s="88"/>
      <c r="W4135" s="88"/>
    </row>
    <row r="4136" spans="2:23" s="0" customFormat="0" ht="15">
      <c r="B4136" s="87" t="s">
        <v>1</v>
      </c>
      <c r="C4136" s="88" t="s">
        <v>5259</v>
      </c>
      <c r="D4136" s="88" t="s">
        <v>4716</v>
      </c>
      <c r="E4136" s="88" t="s">
        <v>61</v>
      </c>
      <c r="F4136" s="88">
        <v>0</v>
      </c>
      <c r="G4136" s="78">
        <f>MAX(H4136,I4136,J4136)</f>
        <v>0</v>
      </c>
      <c r="H4136" s="88"/>
      <c r="I4136" s="88"/>
      <c r="J4136" s="78">
        <f>MAX(K4136:Q4136)</f>
        <v>0</v>
      </c>
      <c r="K4136" s="88"/>
      <c r="L4136" s="88"/>
      <c r="M4136" s="88"/>
      <c r="N4136" s="88"/>
      <c r="O4136" s="88"/>
      <c r="P4136" s="88"/>
      <c r="Q4136" s="88"/>
      <c r="R4136" s="78">
        <f>MAX(S4136:W4136)</f>
        <v>1</v>
      </c>
      <c r="S4136" s="88"/>
      <c r="T4136" s="88"/>
      <c r="U4136" s="88">
        <v>1</v>
      </c>
      <c r="V4136" s="88"/>
      <c r="W4136" s="88"/>
    </row>
    <row r="4137" spans="2:23" s="0" customFormat="0" ht="15">
      <c r="B4137" s="87" t="s">
        <v>1</v>
      </c>
      <c r="C4137" s="88" t="s">
        <v>5259</v>
      </c>
      <c r="D4137" s="88">
        <v>22412940</v>
      </c>
      <c r="E4137" s="88" t="s">
        <v>61</v>
      </c>
      <c r="F4137" s="88">
        <v>0</v>
      </c>
      <c r="G4137" s="78">
        <f>MAX(H4137,I4137,J4137)</f>
        <v>1</v>
      </c>
      <c r="H4137" s="88"/>
      <c r="I4137" s="88"/>
      <c r="J4137" s="78">
        <f>MAX(K4137:Q4137)</f>
        <v>1</v>
      </c>
      <c r="K4137" s="88">
        <v>1</v>
      </c>
      <c r="L4137" s="88"/>
      <c r="M4137" s="88"/>
      <c r="N4137" s="88"/>
      <c r="O4137" s="88"/>
      <c r="P4137" s="88"/>
      <c r="Q4137" s="88"/>
      <c r="R4137" s="78">
        <f>MAX(S4137:W4137)</f>
        <v>0</v>
      </c>
      <c r="S4137" s="88"/>
      <c r="T4137" s="88"/>
      <c r="U4137" s="88"/>
      <c r="V4137" s="88"/>
      <c r="W4137" s="88"/>
    </row>
    <row r="4138" spans="2:23" s="0" customFormat="0" ht="15">
      <c r="B4138" s="87" t="s">
        <v>1</v>
      </c>
      <c r="C4138" s="88" t="s">
        <v>5259</v>
      </c>
      <c r="D4138" s="88">
        <v>4082359</v>
      </c>
      <c r="E4138" s="88" t="s">
        <v>61</v>
      </c>
      <c r="F4138" s="88">
        <v>0</v>
      </c>
      <c r="G4138" s="78">
        <f>MAX(H4138,I4138,J4138)</f>
        <v>1</v>
      </c>
      <c r="H4138" s="88"/>
      <c r="I4138" s="88"/>
      <c r="J4138" s="78">
        <f>MAX(K4138:Q4138)</f>
        <v>1</v>
      </c>
      <c r="K4138" s="88">
        <v>1</v>
      </c>
      <c r="L4138" s="88"/>
      <c r="M4138" s="88"/>
      <c r="N4138" s="88"/>
      <c r="O4138" s="88"/>
      <c r="P4138" s="88"/>
      <c r="Q4138" s="88"/>
      <c r="R4138" s="78">
        <f>MAX(S4138:W4138)</f>
        <v>0</v>
      </c>
      <c r="S4138" s="88"/>
      <c r="T4138" s="88"/>
      <c r="U4138" s="88"/>
      <c r="V4138" s="88"/>
      <c r="W4138" s="88"/>
    </row>
    <row r="4139" spans="2:23" s="0" customFormat="0" ht="15">
      <c r="B4139" s="87" t="s">
        <v>1</v>
      </c>
      <c r="C4139" s="88" t="s">
        <v>5259</v>
      </c>
      <c r="D4139" s="88" t="s">
        <v>4909</v>
      </c>
      <c r="E4139" s="88" t="s">
        <v>61</v>
      </c>
      <c r="F4139" s="88">
        <v>0</v>
      </c>
      <c r="G4139" s="78">
        <f>MAX(H4139,I4139,J4139)</f>
        <v>0</v>
      </c>
      <c r="H4139" s="88"/>
      <c r="I4139" s="88"/>
      <c r="J4139" s="78">
        <f>MAX(K4139:Q4139)</f>
        <v>0</v>
      </c>
      <c r="K4139" s="88"/>
      <c r="L4139" s="88"/>
      <c r="M4139" s="88"/>
      <c r="N4139" s="88"/>
      <c r="O4139" s="88"/>
      <c r="P4139" s="88"/>
      <c r="Q4139" s="88"/>
      <c r="R4139" s="78">
        <f>MAX(S4139:W4139)</f>
        <v>1</v>
      </c>
      <c r="S4139" s="88"/>
      <c r="T4139" s="88"/>
      <c r="U4139" s="88">
        <v>1</v>
      </c>
      <c r="V4139" s="88"/>
      <c r="W4139" s="88"/>
    </row>
    <row r="4140" spans="2:23" s="0" customFormat="0" ht="15">
      <c r="B4140" s="87" t="s">
        <v>1</v>
      </c>
      <c r="C4140" s="88" t="s">
        <v>5259</v>
      </c>
      <c r="D4140" s="88" t="s">
        <v>1864</v>
      </c>
      <c r="E4140" s="88" t="s">
        <v>61</v>
      </c>
      <c r="F4140" s="88">
        <v>0</v>
      </c>
      <c r="G4140" s="78">
        <f>MAX(H4140,I4140,J4140)</f>
        <v>1</v>
      </c>
      <c r="H4140" s="88"/>
      <c r="I4140" s="88"/>
      <c r="J4140" s="78">
        <f>MAX(K4140:Q4140)</f>
        <v>1</v>
      </c>
      <c r="K4140" s="88">
        <v>1</v>
      </c>
      <c r="L4140" s="88"/>
      <c r="M4140" s="88"/>
      <c r="N4140" s="88"/>
      <c r="O4140" s="88"/>
      <c r="P4140" s="88"/>
      <c r="Q4140" s="88"/>
      <c r="R4140" s="78">
        <f>MAX(S4140:W4140)</f>
        <v>0</v>
      </c>
      <c r="S4140" s="88"/>
      <c r="T4140" s="88"/>
      <c r="U4140" s="88"/>
      <c r="V4140" s="88"/>
      <c r="W4140" s="88"/>
    </row>
    <row r="4141" spans="2:23" s="0" customFormat="0" ht="15">
      <c r="B4141" s="87" t="s">
        <v>1</v>
      </c>
      <c r="C4141" s="88" t="s">
        <v>5259</v>
      </c>
      <c r="D4141" s="88">
        <v>23207341</v>
      </c>
      <c r="E4141" s="88" t="s">
        <v>61</v>
      </c>
      <c r="F4141" s="88">
        <v>0</v>
      </c>
      <c r="G4141" s="78">
        <f>MAX(H4141,I4141,J4141)</f>
        <v>1</v>
      </c>
      <c r="H4141" s="88"/>
      <c r="I4141" s="88"/>
      <c r="J4141" s="78">
        <f>MAX(K4141:Q4141)</f>
        <v>1</v>
      </c>
      <c r="K4141" s="88">
        <v>1</v>
      </c>
      <c r="L4141" s="88"/>
      <c r="M4141" s="88"/>
      <c r="N4141" s="88"/>
      <c r="O4141" s="88"/>
      <c r="P4141" s="88"/>
      <c r="Q4141" s="88"/>
      <c r="R4141" s="78">
        <f>MAX(S4141:W4141)</f>
        <v>0</v>
      </c>
      <c r="S4141" s="88"/>
      <c r="T4141" s="88"/>
      <c r="U4141" s="88"/>
      <c r="V4141" s="88"/>
      <c r="W4141" s="88"/>
    </row>
    <row r="4142" spans="2:23" s="0" customFormat="0" ht="15">
      <c r="B4142" s="87" t="s">
        <v>1</v>
      </c>
      <c r="C4142" s="88" t="s">
        <v>5259</v>
      </c>
      <c r="D4142" s="88" t="s">
        <v>4911</v>
      </c>
      <c r="E4142" s="88" t="s">
        <v>61</v>
      </c>
      <c r="F4142" s="88">
        <v>0</v>
      </c>
      <c r="G4142" s="78">
        <f>MAX(H4142,I4142,J4142)</f>
        <v>0</v>
      </c>
      <c r="H4142" s="88"/>
      <c r="I4142" s="88"/>
      <c r="J4142" s="78">
        <f>MAX(K4142:Q4142)</f>
        <v>0</v>
      </c>
      <c r="K4142" s="88"/>
      <c r="L4142" s="88"/>
      <c r="M4142" s="88"/>
      <c r="N4142" s="88"/>
      <c r="O4142" s="88"/>
      <c r="P4142" s="88"/>
      <c r="Q4142" s="88"/>
      <c r="R4142" s="78">
        <f>MAX(S4142:W4142)</f>
        <v>1</v>
      </c>
      <c r="S4142" s="88"/>
      <c r="T4142" s="88"/>
      <c r="U4142" s="88">
        <v>1</v>
      </c>
      <c r="V4142" s="88"/>
      <c r="W4142" s="88"/>
    </row>
    <row r="4143" spans="2:23" s="0" customFormat="0" ht="15">
      <c r="B4143" s="87" t="s">
        <v>1</v>
      </c>
      <c r="C4143" s="88" t="s">
        <v>5259</v>
      </c>
      <c r="D4143" s="88">
        <v>21151580</v>
      </c>
      <c r="E4143" s="88" t="s">
        <v>61</v>
      </c>
      <c r="F4143" s="88">
        <v>0</v>
      </c>
      <c r="G4143" s="78">
        <f>MAX(H4143,I4143,J4143)</f>
        <v>1</v>
      </c>
      <c r="H4143" s="88"/>
      <c r="I4143" s="88"/>
      <c r="J4143" s="78">
        <f>MAX(K4143:Q4143)</f>
        <v>1</v>
      </c>
      <c r="K4143" s="88">
        <v>1</v>
      </c>
      <c r="L4143" s="88"/>
      <c r="M4143" s="88"/>
      <c r="N4143" s="88"/>
      <c r="O4143" s="88"/>
      <c r="P4143" s="88"/>
      <c r="Q4143" s="88"/>
      <c r="R4143" s="78">
        <f>MAX(S4143:W4143)</f>
        <v>0</v>
      </c>
      <c r="S4143" s="88"/>
      <c r="T4143" s="88"/>
      <c r="U4143" s="88"/>
      <c r="V4143" s="88"/>
      <c r="W4143" s="88"/>
    </row>
    <row r="4144" spans="2:23" s="0" customFormat="0" ht="15">
      <c r="B4144" s="87" t="s">
        <v>1</v>
      </c>
      <c r="C4144" s="88" t="s">
        <v>5259</v>
      </c>
      <c r="D4144" s="88">
        <v>24911926</v>
      </c>
      <c r="E4144" s="88" t="s">
        <v>61</v>
      </c>
      <c r="F4144" s="88">
        <v>0</v>
      </c>
      <c r="G4144" s="78">
        <f>MAX(H4144,I4144,J4144)</f>
        <v>1</v>
      </c>
      <c r="H4144" s="88"/>
      <c r="I4144" s="88"/>
      <c r="J4144" s="78">
        <f>MAX(K4144:Q4144)</f>
        <v>1</v>
      </c>
      <c r="K4144" s="88">
        <v>1</v>
      </c>
      <c r="L4144" s="88"/>
      <c r="M4144" s="88"/>
      <c r="N4144" s="88"/>
      <c r="O4144" s="88"/>
      <c r="P4144" s="88"/>
      <c r="Q4144" s="88"/>
      <c r="R4144" s="78">
        <f>MAX(S4144:W4144)</f>
        <v>0</v>
      </c>
      <c r="S4144" s="88"/>
      <c r="T4144" s="88"/>
      <c r="U4144" s="88"/>
      <c r="V4144" s="88"/>
      <c r="W4144" s="88"/>
    </row>
    <row r="4145" spans="2:23" s="0" customFormat="0" ht="15">
      <c r="B4145" s="87" t="s">
        <v>1</v>
      </c>
      <c r="C4145" s="88" t="s">
        <v>5259</v>
      </c>
      <c r="D4145" s="88" t="s">
        <v>3463</v>
      </c>
      <c r="E4145" s="88" t="s">
        <v>61</v>
      </c>
      <c r="F4145" s="88">
        <v>0</v>
      </c>
      <c r="G4145" s="78">
        <f>MAX(H4145,I4145,J4145)</f>
        <v>0</v>
      </c>
      <c r="H4145" s="88"/>
      <c r="I4145" s="88"/>
      <c r="J4145" s="78">
        <f>MAX(K4145:Q4145)</f>
        <v>0</v>
      </c>
      <c r="K4145" s="88"/>
      <c r="L4145" s="88"/>
      <c r="M4145" s="88"/>
      <c r="N4145" s="88"/>
      <c r="O4145" s="88"/>
      <c r="P4145" s="88"/>
      <c r="Q4145" s="88"/>
      <c r="R4145" s="78">
        <f>MAX(S4145:W4145)</f>
        <v>1</v>
      </c>
      <c r="S4145" s="88"/>
      <c r="T4145" s="88"/>
      <c r="U4145" s="88">
        <v>1</v>
      </c>
      <c r="V4145" s="88"/>
      <c r="W4145" s="88"/>
    </row>
    <row r="4146" spans="2:23" s="0" customFormat="0" ht="15">
      <c r="B4146" s="87" t="s">
        <v>1</v>
      </c>
      <c r="C4146" s="88" t="s">
        <v>5259</v>
      </c>
      <c r="D4146" s="88">
        <v>18762284</v>
      </c>
      <c r="E4146" s="88" t="s">
        <v>61</v>
      </c>
      <c r="F4146" s="88">
        <v>0</v>
      </c>
      <c r="G4146" s="78">
        <f>MAX(H4146,I4146,J4146)</f>
        <v>1</v>
      </c>
      <c r="H4146" s="88"/>
      <c r="I4146" s="88"/>
      <c r="J4146" s="78">
        <f>MAX(K4146:Q4146)</f>
        <v>1</v>
      </c>
      <c r="K4146" s="88">
        <v>1</v>
      </c>
      <c r="L4146" s="88"/>
      <c r="M4146" s="88"/>
      <c r="N4146" s="88"/>
      <c r="O4146" s="88"/>
      <c r="P4146" s="88"/>
      <c r="Q4146" s="88"/>
      <c r="R4146" s="78">
        <f>MAX(S4146:W4146)</f>
        <v>0</v>
      </c>
      <c r="S4146" s="88"/>
      <c r="T4146" s="88"/>
      <c r="U4146" s="88"/>
      <c r="V4146" s="88"/>
      <c r="W4146" s="88"/>
    </row>
    <row r="4147" spans="2:23" s="0" customFormat="0" ht="15">
      <c r="B4147" s="87" t="s">
        <v>1</v>
      </c>
      <c r="C4147" s="88" t="s">
        <v>5259</v>
      </c>
      <c r="D4147" s="88">
        <v>24355439</v>
      </c>
      <c r="E4147" s="88" t="s">
        <v>61</v>
      </c>
      <c r="F4147" s="88">
        <v>0</v>
      </c>
      <c r="G4147" s="78">
        <f>MAX(H4147,I4147,J4147)</f>
        <v>1</v>
      </c>
      <c r="H4147" s="88"/>
      <c r="I4147" s="88"/>
      <c r="J4147" s="78">
        <f>MAX(K4147:Q4147)</f>
        <v>1</v>
      </c>
      <c r="K4147" s="88">
        <v>1</v>
      </c>
      <c r="L4147" s="88"/>
      <c r="M4147" s="88"/>
      <c r="N4147" s="88"/>
      <c r="O4147" s="88"/>
      <c r="P4147" s="88"/>
      <c r="Q4147" s="88"/>
      <c r="R4147" s="78">
        <f>MAX(S4147:W4147)</f>
        <v>0</v>
      </c>
      <c r="S4147" s="88"/>
      <c r="T4147" s="88"/>
      <c r="U4147" s="88"/>
      <c r="V4147" s="88"/>
      <c r="W4147" s="88"/>
    </row>
    <row r="4148" spans="2:23" s="0" customFormat="0" ht="15">
      <c r="B4148" s="87" t="s">
        <v>1</v>
      </c>
      <c r="C4148" s="88" t="s">
        <v>5259</v>
      </c>
      <c r="D4148" s="88" t="s">
        <v>4498</v>
      </c>
      <c r="E4148" s="88" t="s">
        <v>61</v>
      </c>
      <c r="F4148" s="88">
        <v>0</v>
      </c>
      <c r="G4148" s="78">
        <f>MAX(H4148,I4148,J4148)</f>
        <v>0</v>
      </c>
      <c r="H4148" s="88"/>
      <c r="I4148" s="88"/>
      <c r="J4148" s="78">
        <f>MAX(K4148:Q4148)</f>
        <v>0</v>
      </c>
      <c r="K4148" s="88"/>
      <c r="L4148" s="88"/>
      <c r="M4148" s="88"/>
      <c r="N4148" s="88"/>
      <c r="O4148" s="88"/>
      <c r="P4148" s="88"/>
      <c r="Q4148" s="88"/>
      <c r="R4148" s="78">
        <f>MAX(S4148:W4148)</f>
        <v>1</v>
      </c>
      <c r="S4148" s="88"/>
      <c r="T4148" s="88"/>
      <c r="U4148" s="88">
        <v>1</v>
      </c>
      <c r="V4148" s="88"/>
      <c r="W4148" s="88"/>
    </row>
    <row r="4149" spans="2:23" s="0" customFormat="0" ht="15">
      <c r="B4149" s="87" t="s">
        <v>1</v>
      </c>
      <c r="C4149" s="88" t="s">
        <v>5259</v>
      </c>
      <c r="D4149" s="88">
        <v>21391641</v>
      </c>
      <c r="E4149" s="88" t="s">
        <v>61</v>
      </c>
      <c r="F4149" s="88">
        <v>0</v>
      </c>
      <c r="G4149" s="78">
        <f>MAX(H4149,I4149,J4149)</f>
        <v>1</v>
      </c>
      <c r="H4149" s="88"/>
      <c r="I4149" s="88"/>
      <c r="J4149" s="78">
        <f>MAX(K4149:Q4149)</f>
        <v>1</v>
      </c>
      <c r="K4149" s="88">
        <v>1</v>
      </c>
      <c r="L4149" s="88"/>
      <c r="M4149" s="88"/>
      <c r="N4149" s="88"/>
      <c r="O4149" s="88"/>
      <c r="P4149" s="88"/>
      <c r="Q4149" s="88"/>
      <c r="R4149" s="78">
        <f>MAX(S4149:W4149)</f>
        <v>0</v>
      </c>
      <c r="S4149" s="88"/>
      <c r="T4149" s="88"/>
      <c r="U4149" s="88"/>
      <c r="V4149" s="88"/>
      <c r="W4149" s="88"/>
    </row>
    <row r="4150" spans="2:23" s="0" customFormat="0" ht="15">
      <c r="B4150" s="87" t="s">
        <v>1</v>
      </c>
      <c r="C4150" s="88" t="s">
        <v>5259</v>
      </c>
      <c r="D4150" s="88" t="s">
        <v>1162</v>
      </c>
      <c r="E4150" s="88" t="s">
        <v>61</v>
      </c>
      <c r="F4150" s="88">
        <v>0</v>
      </c>
      <c r="G4150" s="78">
        <f>MAX(H4150,I4150,J4150)</f>
        <v>1</v>
      </c>
      <c r="H4150" s="88"/>
      <c r="I4150" s="88"/>
      <c r="J4150" s="78">
        <f>MAX(K4150:Q4150)</f>
        <v>1</v>
      </c>
      <c r="K4150" s="88">
        <v>1</v>
      </c>
      <c r="L4150" s="88"/>
      <c r="M4150" s="88"/>
      <c r="N4150" s="88"/>
      <c r="O4150" s="88"/>
      <c r="P4150" s="88"/>
      <c r="Q4150" s="88"/>
      <c r="R4150" s="78">
        <f>MAX(S4150:W4150)</f>
        <v>0</v>
      </c>
      <c r="S4150" s="88"/>
      <c r="T4150" s="88"/>
      <c r="U4150" s="88"/>
      <c r="V4150" s="88"/>
      <c r="W4150" s="88"/>
    </row>
    <row r="4151" spans="2:23" s="0" customFormat="0" ht="15">
      <c r="B4151" s="87" t="s">
        <v>1</v>
      </c>
      <c r="C4151" s="88" t="s">
        <v>5259</v>
      </c>
      <c r="D4151" s="88">
        <v>7728521</v>
      </c>
      <c r="E4151" s="88" t="s">
        <v>61</v>
      </c>
      <c r="F4151" s="88">
        <v>0</v>
      </c>
      <c r="G4151" s="78">
        <f>MAX(H4151,I4151,J4151)</f>
        <v>1</v>
      </c>
      <c r="H4151" s="88"/>
      <c r="I4151" s="88"/>
      <c r="J4151" s="78">
        <f>MAX(K4151:Q4151)</f>
        <v>1</v>
      </c>
      <c r="K4151" s="88">
        <v>1</v>
      </c>
      <c r="L4151" s="88"/>
      <c r="M4151" s="88"/>
      <c r="N4151" s="88"/>
      <c r="O4151" s="88"/>
      <c r="P4151" s="88"/>
      <c r="Q4151" s="88"/>
      <c r="R4151" s="78">
        <f>MAX(S4151:W4151)</f>
        <v>0</v>
      </c>
      <c r="S4151" s="88"/>
      <c r="T4151" s="88"/>
      <c r="U4151" s="88"/>
      <c r="V4151" s="88"/>
      <c r="W4151" s="88"/>
    </row>
    <row r="4152" spans="2:23" s="0" customFormat="0" ht="15">
      <c r="B4152" s="87" t="s">
        <v>1</v>
      </c>
      <c r="C4152" s="88" t="s">
        <v>5259</v>
      </c>
      <c r="D4152" s="88" t="s">
        <v>1836</v>
      </c>
      <c r="E4152" s="88" t="s">
        <v>61</v>
      </c>
      <c r="F4152" s="88">
        <v>0</v>
      </c>
      <c r="G4152" s="78">
        <f>MAX(H4152,I4152,J4152)</f>
        <v>1</v>
      </c>
      <c r="H4152" s="88"/>
      <c r="I4152" s="88"/>
      <c r="J4152" s="78">
        <f>MAX(K4152:Q4152)</f>
        <v>1</v>
      </c>
      <c r="K4152" s="88">
        <v>1</v>
      </c>
      <c r="L4152" s="88"/>
      <c r="M4152" s="88"/>
      <c r="N4152" s="88"/>
      <c r="O4152" s="88"/>
      <c r="P4152" s="88"/>
      <c r="Q4152" s="88"/>
      <c r="R4152" s="78">
        <f>MAX(S4152:W4152)</f>
        <v>0</v>
      </c>
      <c r="S4152" s="88"/>
      <c r="T4152" s="88"/>
      <c r="U4152" s="88"/>
      <c r="V4152" s="88"/>
      <c r="W4152" s="88"/>
    </row>
    <row r="4153" spans="2:23" s="0" customFormat="0" ht="15">
      <c r="B4153" s="87" t="s">
        <v>1</v>
      </c>
      <c r="C4153" s="88" t="s">
        <v>5259</v>
      </c>
      <c r="D4153" s="88">
        <v>22623666</v>
      </c>
      <c r="E4153" s="88" t="s">
        <v>61</v>
      </c>
      <c r="F4153" s="88">
        <v>0</v>
      </c>
      <c r="G4153" s="78">
        <f>MAX(H4153,I4153,J4153)</f>
        <v>0</v>
      </c>
      <c r="H4153" s="88"/>
      <c r="I4153" s="88"/>
      <c r="J4153" s="78">
        <f>MAX(K4153:Q4153)</f>
        <v>0</v>
      </c>
      <c r="K4153" s="88"/>
      <c r="L4153" s="88"/>
      <c r="M4153" s="88"/>
      <c r="N4153" s="88"/>
      <c r="O4153" s="88"/>
      <c r="P4153" s="88"/>
      <c r="Q4153" s="88"/>
      <c r="R4153" s="78">
        <f>MAX(S4153:W4153)</f>
        <v>1</v>
      </c>
      <c r="S4153" s="88"/>
      <c r="T4153" s="88"/>
      <c r="U4153" s="88">
        <v>1</v>
      </c>
      <c r="V4153" s="88"/>
      <c r="W4153" s="88"/>
    </row>
    <row r="4154" spans="2:23" s="0" customFormat="0" ht="15">
      <c r="B4154" s="87" t="s">
        <v>1</v>
      </c>
      <c r="C4154" s="88" t="s">
        <v>5259</v>
      </c>
      <c r="D4154" s="88">
        <v>24395138</v>
      </c>
      <c r="E4154" s="88" t="s">
        <v>61</v>
      </c>
      <c r="F4154" s="88">
        <v>0</v>
      </c>
      <c r="G4154" s="78">
        <f>MAX(H4154,I4154,J4154)</f>
        <v>1</v>
      </c>
      <c r="H4154" s="88"/>
      <c r="I4154" s="88"/>
      <c r="J4154" s="78">
        <f>MAX(K4154:Q4154)</f>
        <v>1</v>
      </c>
      <c r="K4154" s="88">
        <v>1</v>
      </c>
      <c r="L4154" s="88"/>
      <c r="M4154" s="88"/>
      <c r="N4154" s="88"/>
      <c r="O4154" s="88"/>
      <c r="P4154" s="88"/>
      <c r="Q4154" s="88"/>
      <c r="R4154" s="78">
        <f>MAX(S4154:W4154)</f>
        <v>0</v>
      </c>
      <c r="S4154" s="88"/>
      <c r="T4154" s="88"/>
      <c r="U4154" s="88"/>
      <c r="V4154" s="88"/>
      <c r="W4154" s="88"/>
    </row>
    <row r="4155" spans="2:23" s="0" customFormat="0" ht="15">
      <c r="B4155" s="87" t="s">
        <v>1</v>
      </c>
      <c r="C4155" s="88" t="s">
        <v>5259</v>
      </c>
      <c r="D4155" s="88">
        <v>21299666</v>
      </c>
      <c r="E4155" s="88" t="s">
        <v>61</v>
      </c>
      <c r="F4155" s="88">
        <v>0</v>
      </c>
      <c r="G4155" s="78">
        <f>MAX(H4155,I4155,J4155)</f>
        <v>1</v>
      </c>
      <c r="H4155" s="88"/>
      <c r="I4155" s="88"/>
      <c r="J4155" s="78">
        <f>MAX(K4155:Q4155)</f>
        <v>1</v>
      </c>
      <c r="K4155" s="88">
        <v>1</v>
      </c>
      <c r="L4155" s="88"/>
      <c r="M4155" s="88"/>
      <c r="N4155" s="88"/>
      <c r="O4155" s="88"/>
      <c r="P4155" s="88"/>
      <c r="Q4155" s="88"/>
      <c r="R4155" s="78">
        <f>MAX(S4155:W4155)</f>
        <v>0</v>
      </c>
      <c r="S4155" s="88"/>
      <c r="T4155" s="88"/>
      <c r="U4155" s="88"/>
      <c r="V4155" s="88"/>
      <c r="W4155" s="88"/>
    </row>
    <row r="4156" spans="2:23" s="0" customFormat="0" ht="15">
      <c r="B4156" s="87" t="s">
        <v>1</v>
      </c>
      <c r="C4156" s="88" t="s">
        <v>5259</v>
      </c>
      <c r="D4156" s="88" t="s">
        <v>3823</v>
      </c>
      <c r="E4156" s="88" t="s">
        <v>61</v>
      </c>
      <c r="F4156" s="88">
        <v>0</v>
      </c>
      <c r="G4156" s="78">
        <f>MAX(H4156,I4156,J4156)</f>
        <v>0</v>
      </c>
      <c r="H4156" s="88"/>
      <c r="I4156" s="88"/>
      <c r="J4156" s="78">
        <f>MAX(K4156:Q4156)</f>
        <v>0</v>
      </c>
      <c r="K4156" s="88"/>
      <c r="L4156" s="88"/>
      <c r="M4156" s="88"/>
      <c r="N4156" s="88"/>
      <c r="O4156" s="88"/>
      <c r="P4156" s="88"/>
      <c r="Q4156" s="88"/>
      <c r="R4156" s="78">
        <f>MAX(S4156:W4156)</f>
        <v>1</v>
      </c>
      <c r="S4156" s="88"/>
      <c r="T4156" s="88"/>
      <c r="U4156" s="88">
        <v>1</v>
      </c>
      <c r="V4156" s="88"/>
      <c r="W4156" s="88"/>
    </row>
    <row r="4157" spans="2:23" s="0" customFormat="0" ht="15">
      <c r="B4157" s="87" t="s">
        <v>1</v>
      </c>
      <c r="C4157" s="88" t="s">
        <v>5259</v>
      </c>
      <c r="D4157" s="88">
        <v>21772341</v>
      </c>
      <c r="E4157" s="88" t="s">
        <v>61</v>
      </c>
      <c r="F4157" s="88">
        <v>0</v>
      </c>
      <c r="G4157" s="78">
        <f>MAX(H4157,I4157,J4157)</f>
        <v>1</v>
      </c>
      <c r="H4157" s="88"/>
      <c r="I4157" s="88"/>
      <c r="J4157" s="78">
        <f>MAX(K4157:Q4157)</f>
        <v>1</v>
      </c>
      <c r="K4157" s="88">
        <v>1</v>
      </c>
      <c r="L4157" s="88"/>
      <c r="M4157" s="88"/>
      <c r="N4157" s="88"/>
      <c r="O4157" s="88"/>
      <c r="P4157" s="88"/>
      <c r="Q4157" s="88"/>
      <c r="R4157" s="78">
        <f>MAX(S4157:W4157)</f>
        <v>0</v>
      </c>
      <c r="S4157" s="88"/>
      <c r="T4157" s="88"/>
      <c r="U4157" s="88"/>
      <c r="V4157" s="88"/>
      <c r="W4157" s="88"/>
    </row>
    <row r="4158" spans="2:23" s="0" customFormat="0" ht="15">
      <c r="B4158" s="87" t="s">
        <v>1</v>
      </c>
      <c r="C4158" s="88" t="s">
        <v>5259</v>
      </c>
      <c r="D4158" s="88">
        <v>18718964</v>
      </c>
      <c r="E4158" s="88" t="s">
        <v>61</v>
      </c>
      <c r="F4158" s="88">
        <v>0</v>
      </c>
      <c r="G4158" s="78">
        <f>MAX(H4158,I4158,J4158)</f>
        <v>1</v>
      </c>
      <c r="H4158" s="88"/>
      <c r="I4158" s="88"/>
      <c r="J4158" s="78">
        <f>MAX(K4158:Q4158)</f>
        <v>1</v>
      </c>
      <c r="K4158" s="88">
        <v>1</v>
      </c>
      <c r="L4158" s="88"/>
      <c r="M4158" s="88"/>
      <c r="N4158" s="88"/>
      <c r="O4158" s="88"/>
      <c r="P4158" s="88"/>
      <c r="Q4158" s="88"/>
      <c r="R4158" s="78">
        <f>MAX(S4158:W4158)</f>
        <v>0</v>
      </c>
      <c r="S4158" s="88"/>
      <c r="T4158" s="88"/>
      <c r="U4158" s="88"/>
      <c r="V4158" s="88"/>
      <c r="W4158" s="88"/>
    </row>
    <row r="4159" spans="2:23" s="0" customFormat="0" ht="15">
      <c r="B4159" s="87" t="s">
        <v>1</v>
      </c>
      <c r="C4159" s="88" t="s">
        <v>5259</v>
      </c>
      <c r="D4159" s="88">
        <v>22827673</v>
      </c>
      <c r="E4159" s="88" t="s">
        <v>61</v>
      </c>
      <c r="F4159" s="88">
        <v>0</v>
      </c>
      <c r="G4159" s="78">
        <f>MAX(H4159,I4159,J4159)</f>
        <v>1</v>
      </c>
      <c r="H4159" s="88"/>
      <c r="I4159" s="88"/>
      <c r="J4159" s="78">
        <f>MAX(K4159:Q4159)</f>
        <v>1</v>
      </c>
      <c r="K4159" s="88">
        <v>1</v>
      </c>
      <c r="L4159" s="88"/>
      <c r="M4159" s="88"/>
      <c r="N4159" s="88"/>
      <c r="O4159" s="88"/>
      <c r="P4159" s="88"/>
      <c r="Q4159" s="88"/>
      <c r="R4159" s="78">
        <f>MAX(S4159:W4159)</f>
        <v>0</v>
      </c>
      <c r="S4159" s="88"/>
      <c r="T4159" s="88"/>
      <c r="U4159" s="88"/>
      <c r="V4159" s="88"/>
      <c r="W4159" s="88"/>
    </row>
    <row r="4160" spans="2:23" s="0" customFormat="0" ht="15">
      <c r="B4160" s="87" t="s">
        <v>1</v>
      </c>
      <c r="C4160" s="88" t="s">
        <v>5259</v>
      </c>
      <c r="D4160" s="88">
        <v>8145964</v>
      </c>
      <c r="E4160" s="88" t="s">
        <v>61</v>
      </c>
      <c r="F4160" s="88">
        <v>0</v>
      </c>
      <c r="G4160" s="78">
        <f>MAX(H4160,I4160,J4160)</f>
        <v>1</v>
      </c>
      <c r="H4160" s="88"/>
      <c r="I4160" s="88"/>
      <c r="J4160" s="78">
        <f>MAX(K4160:Q4160)</f>
        <v>1</v>
      </c>
      <c r="K4160" s="88">
        <v>1</v>
      </c>
      <c r="L4160" s="88"/>
      <c r="M4160" s="88"/>
      <c r="N4160" s="88"/>
      <c r="O4160" s="88"/>
      <c r="P4160" s="88"/>
      <c r="Q4160" s="88"/>
      <c r="R4160" s="78">
        <f>MAX(S4160:W4160)</f>
        <v>0</v>
      </c>
      <c r="S4160" s="88"/>
      <c r="T4160" s="88"/>
      <c r="U4160" s="88"/>
      <c r="V4160" s="88"/>
      <c r="W4160" s="88"/>
    </row>
    <row r="4161" spans="2:23" s="0" customFormat="0" ht="15">
      <c r="B4161" s="87" t="s">
        <v>1</v>
      </c>
      <c r="C4161" s="88" t="s">
        <v>5259</v>
      </c>
      <c r="D4161" s="88" t="s">
        <v>4913</v>
      </c>
      <c r="E4161" s="88" t="s">
        <v>61</v>
      </c>
      <c r="F4161" s="88">
        <v>0</v>
      </c>
      <c r="G4161" s="78">
        <f>MAX(H4161,I4161,J4161)</f>
        <v>0</v>
      </c>
      <c r="H4161" s="88"/>
      <c r="I4161" s="88"/>
      <c r="J4161" s="78">
        <f>MAX(K4161:Q4161)</f>
        <v>0</v>
      </c>
      <c r="K4161" s="88"/>
      <c r="L4161" s="88"/>
      <c r="M4161" s="88"/>
      <c r="N4161" s="88"/>
      <c r="O4161" s="88"/>
      <c r="P4161" s="88"/>
      <c r="Q4161" s="88"/>
      <c r="R4161" s="78">
        <f>MAX(S4161:W4161)</f>
        <v>1</v>
      </c>
      <c r="S4161" s="88"/>
      <c r="T4161" s="88"/>
      <c r="U4161" s="88">
        <v>1</v>
      </c>
      <c r="V4161" s="88"/>
      <c r="W4161" s="88"/>
    </row>
    <row r="4162" spans="2:23" s="0" customFormat="0" ht="15">
      <c r="B4162" s="87" t="s">
        <v>1</v>
      </c>
      <c r="C4162" s="88" t="s">
        <v>5259</v>
      </c>
      <c r="D4162" s="88" t="s">
        <v>3246</v>
      </c>
      <c r="E4162" s="88" t="s">
        <v>61</v>
      </c>
      <c r="F4162" s="88">
        <v>0</v>
      </c>
      <c r="G4162" s="78">
        <f>MAX(H4162,I4162,J4162)</f>
        <v>0</v>
      </c>
      <c r="H4162" s="88"/>
      <c r="I4162" s="88"/>
      <c r="J4162" s="78">
        <f>MAX(K4162:Q4162)</f>
        <v>0</v>
      </c>
      <c r="K4162" s="88"/>
      <c r="L4162" s="88"/>
      <c r="M4162" s="88"/>
      <c r="N4162" s="88"/>
      <c r="O4162" s="88"/>
      <c r="P4162" s="88"/>
      <c r="Q4162" s="88"/>
      <c r="R4162" s="78">
        <f>MAX(S4162:W4162)</f>
        <v>1</v>
      </c>
      <c r="S4162" s="88"/>
      <c r="T4162" s="88"/>
      <c r="U4162" s="88"/>
      <c r="V4162" s="88">
        <v>1</v>
      </c>
      <c r="W4162" s="88"/>
    </row>
    <row r="4163" spans="2:23" s="0" customFormat="0" ht="15">
      <c r="B4163" s="87" t="s">
        <v>1</v>
      </c>
      <c r="C4163" s="88" t="s">
        <v>5259</v>
      </c>
      <c r="D4163" s="88" t="s">
        <v>3612</v>
      </c>
      <c r="E4163" s="88" t="s">
        <v>61</v>
      </c>
      <c r="F4163" s="88">
        <v>0</v>
      </c>
      <c r="G4163" s="78">
        <f>MAX(H4163,I4163,J4163)</f>
        <v>0</v>
      </c>
      <c r="H4163" s="88"/>
      <c r="I4163" s="88"/>
      <c r="J4163" s="78">
        <f>MAX(K4163:Q4163)</f>
        <v>0</v>
      </c>
      <c r="K4163" s="88"/>
      <c r="L4163" s="88"/>
      <c r="M4163" s="88"/>
      <c r="N4163" s="88"/>
      <c r="O4163" s="88"/>
      <c r="P4163" s="88"/>
      <c r="Q4163" s="88"/>
      <c r="R4163" s="78">
        <f>MAX(S4163:W4163)</f>
        <v>1</v>
      </c>
      <c r="S4163" s="88"/>
      <c r="T4163" s="88"/>
      <c r="U4163" s="88">
        <v>1</v>
      </c>
      <c r="V4163" s="88"/>
      <c r="W4163" s="88"/>
    </row>
    <row r="4164" spans="2:23" s="0" customFormat="0" ht="15">
      <c r="B4164" s="87" t="s">
        <v>1</v>
      </c>
      <c r="C4164" s="88" t="s">
        <v>5259</v>
      </c>
      <c r="D4164" s="88" t="s">
        <v>4851</v>
      </c>
      <c r="E4164" s="88" t="s">
        <v>61</v>
      </c>
      <c r="F4164" s="88">
        <v>0</v>
      </c>
      <c r="G4164" s="78">
        <f>MAX(H4164,I4164,J4164)</f>
        <v>0</v>
      </c>
      <c r="H4164" s="88"/>
      <c r="I4164" s="88"/>
      <c r="J4164" s="78">
        <f>MAX(K4164:Q4164)</f>
        <v>0</v>
      </c>
      <c r="K4164" s="88"/>
      <c r="L4164" s="88"/>
      <c r="M4164" s="88"/>
      <c r="N4164" s="88"/>
      <c r="O4164" s="88"/>
      <c r="P4164" s="88"/>
      <c r="Q4164" s="88"/>
      <c r="R4164" s="78">
        <f>MAX(S4164:W4164)</f>
        <v>1</v>
      </c>
      <c r="S4164" s="88"/>
      <c r="T4164" s="88"/>
      <c r="U4164" s="88">
        <v>1</v>
      </c>
      <c r="V4164" s="88"/>
      <c r="W4164" s="88"/>
    </row>
    <row r="4165" spans="2:23" s="0" customFormat="0" ht="15">
      <c r="B4165" s="87" t="s">
        <v>1</v>
      </c>
      <c r="C4165" s="88" t="s">
        <v>5259</v>
      </c>
      <c r="D4165" s="88">
        <v>22554533</v>
      </c>
      <c r="E4165" s="88" t="s">
        <v>61</v>
      </c>
      <c r="F4165" s="88">
        <v>0</v>
      </c>
      <c r="G4165" s="78">
        <f>MAX(H4165,I4165,J4165)</f>
        <v>0</v>
      </c>
      <c r="H4165" s="88"/>
      <c r="I4165" s="88"/>
      <c r="J4165" s="78">
        <f>MAX(K4165:Q4165)</f>
        <v>0</v>
      </c>
      <c r="K4165" s="88"/>
      <c r="L4165" s="88"/>
      <c r="M4165" s="88"/>
      <c r="N4165" s="88"/>
      <c r="O4165" s="88"/>
      <c r="P4165" s="88"/>
      <c r="Q4165" s="88"/>
      <c r="R4165" s="78">
        <f>MAX(S4165:W4165)</f>
        <v>1</v>
      </c>
      <c r="S4165" s="88"/>
      <c r="T4165" s="88"/>
      <c r="U4165" s="88">
        <v>1</v>
      </c>
      <c r="V4165" s="88"/>
      <c r="W4165" s="88"/>
    </row>
    <row r="4166" spans="2:23" s="0" customFormat="0" ht="15">
      <c r="B4166" s="87" t="s">
        <v>1</v>
      </c>
      <c r="C4166" s="88" t="s">
        <v>5259</v>
      </c>
      <c r="D4166" s="88" t="s">
        <v>4915</v>
      </c>
      <c r="E4166" s="88" t="s">
        <v>61</v>
      </c>
      <c r="F4166" s="88">
        <v>0</v>
      </c>
      <c r="G4166" s="78">
        <f>MAX(H4166,I4166,J4166)</f>
        <v>0</v>
      </c>
      <c r="H4166" s="88"/>
      <c r="I4166" s="88"/>
      <c r="J4166" s="78">
        <f>MAX(K4166:Q4166)</f>
        <v>0</v>
      </c>
      <c r="K4166" s="88"/>
      <c r="L4166" s="88"/>
      <c r="M4166" s="88"/>
      <c r="N4166" s="88"/>
      <c r="O4166" s="88"/>
      <c r="P4166" s="88"/>
      <c r="Q4166" s="88"/>
      <c r="R4166" s="78">
        <f>MAX(S4166:W4166)</f>
        <v>1</v>
      </c>
      <c r="S4166" s="88"/>
      <c r="T4166" s="88"/>
      <c r="U4166" s="88">
        <v>1</v>
      </c>
      <c r="V4166" s="88"/>
      <c r="W4166" s="88"/>
    </row>
    <row r="4167" spans="2:23" s="0" customFormat="0" ht="15">
      <c r="B4167" s="87" t="s">
        <v>1</v>
      </c>
      <c r="C4167" s="88" t="s">
        <v>5259</v>
      </c>
      <c r="D4167" s="88">
        <v>15774247</v>
      </c>
      <c r="E4167" s="88" t="s">
        <v>61</v>
      </c>
      <c r="F4167" s="88">
        <v>0</v>
      </c>
      <c r="G4167" s="78">
        <f>MAX(H4167,I4167,J4167)</f>
        <v>1</v>
      </c>
      <c r="H4167" s="88"/>
      <c r="I4167" s="88"/>
      <c r="J4167" s="78">
        <f>MAX(K4167:Q4167)</f>
        <v>1</v>
      </c>
      <c r="K4167" s="88">
        <v>1</v>
      </c>
      <c r="L4167" s="88"/>
      <c r="M4167" s="88"/>
      <c r="N4167" s="88"/>
      <c r="O4167" s="88"/>
      <c r="P4167" s="88"/>
      <c r="Q4167" s="88"/>
      <c r="R4167" s="78">
        <f>MAX(S4167:W4167)</f>
        <v>0</v>
      </c>
      <c r="S4167" s="88"/>
      <c r="T4167" s="88"/>
      <c r="U4167" s="88"/>
      <c r="V4167" s="88"/>
      <c r="W4167" s="88"/>
    </row>
    <row r="4168" spans="2:23" s="0" customFormat="0" ht="15">
      <c r="B4168" s="87" t="s">
        <v>1</v>
      </c>
      <c r="C4168" s="88" t="s">
        <v>5259</v>
      </c>
      <c r="D4168" s="88">
        <v>22554518</v>
      </c>
      <c r="E4168" s="88" t="s">
        <v>61</v>
      </c>
      <c r="F4168" s="88">
        <v>0</v>
      </c>
      <c r="G4168" s="78">
        <f>MAX(H4168,I4168,J4168)</f>
        <v>0</v>
      </c>
      <c r="H4168" s="88"/>
      <c r="I4168" s="88"/>
      <c r="J4168" s="78">
        <f>MAX(K4168:Q4168)</f>
        <v>0</v>
      </c>
      <c r="K4168" s="88"/>
      <c r="L4168" s="88"/>
      <c r="M4168" s="88"/>
      <c r="N4168" s="88"/>
      <c r="O4168" s="88"/>
      <c r="P4168" s="88"/>
      <c r="Q4168" s="88"/>
      <c r="R4168" s="78">
        <f>MAX(S4168:W4168)</f>
        <v>1</v>
      </c>
      <c r="S4168" s="88"/>
      <c r="T4168" s="88"/>
      <c r="U4168" s="88">
        <v>1</v>
      </c>
      <c r="V4168" s="88"/>
      <c r="W4168" s="88"/>
    </row>
    <row r="4169" spans="2:23" s="0" customFormat="0" ht="15">
      <c r="B4169" s="87" t="s">
        <v>1</v>
      </c>
      <c r="C4169" s="88" t="s">
        <v>5259</v>
      </c>
      <c r="D4169" s="88" t="s">
        <v>4312</v>
      </c>
      <c r="E4169" s="88" t="s">
        <v>61</v>
      </c>
      <c r="F4169" s="88">
        <v>0</v>
      </c>
      <c r="G4169" s="78">
        <f>MAX(H4169,I4169,J4169)</f>
        <v>0</v>
      </c>
      <c r="H4169" s="88"/>
      <c r="I4169" s="88"/>
      <c r="J4169" s="78">
        <f>MAX(K4169:Q4169)</f>
        <v>0</v>
      </c>
      <c r="K4169" s="88"/>
      <c r="L4169" s="88"/>
      <c r="M4169" s="88"/>
      <c r="N4169" s="88"/>
      <c r="O4169" s="88"/>
      <c r="P4169" s="88"/>
      <c r="Q4169" s="88"/>
      <c r="R4169" s="78">
        <f>MAX(S4169:W4169)</f>
        <v>1</v>
      </c>
      <c r="S4169" s="88"/>
      <c r="T4169" s="88"/>
      <c r="U4169" s="88">
        <v>1</v>
      </c>
      <c r="V4169" s="88"/>
      <c r="W4169" s="88"/>
    </row>
    <row r="4170" spans="2:23" s="0" customFormat="0" ht="15">
      <c r="B4170" s="87" t="s">
        <v>1</v>
      </c>
      <c r="C4170" s="88" t="s">
        <v>5259</v>
      </c>
      <c r="D4170" s="88">
        <v>12894598</v>
      </c>
      <c r="E4170" s="88" t="s">
        <v>61</v>
      </c>
      <c r="F4170" s="88">
        <v>0</v>
      </c>
      <c r="G4170" s="78">
        <f>MAX(H4170,I4170,J4170)</f>
        <v>1</v>
      </c>
      <c r="H4170" s="88"/>
      <c r="I4170" s="88"/>
      <c r="J4170" s="78">
        <f>MAX(K4170:Q4170)</f>
        <v>1</v>
      </c>
      <c r="K4170" s="88">
        <v>1</v>
      </c>
      <c r="L4170" s="88"/>
      <c r="M4170" s="88"/>
      <c r="N4170" s="88"/>
      <c r="O4170" s="88"/>
      <c r="P4170" s="88"/>
      <c r="Q4170" s="88"/>
      <c r="R4170" s="78">
        <f>MAX(S4170:W4170)</f>
        <v>0</v>
      </c>
      <c r="S4170" s="88"/>
      <c r="T4170" s="88"/>
      <c r="U4170" s="88"/>
      <c r="V4170" s="88"/>
      <c r="W4170" s="88"/>
    </row>
    <row r="4171" spans="2:23" s="0" customFormat="0" ht="15">
      <c r="B4171" s="87" t="s">
        <v>1</v>
      </c>
      <c r="C4171" s="88" t="s">
        <v>5259</v>
      </c>
      <c r="D4171" s="88">
        <v>24343663</v>
      </c>
      <c r="E4171" s="88" t="s">
        <v>61</v>
      </c>
      <c r="F4171" s="88">
        <v>0</v>
      </c>
      <c r="G4171" s="78">
        <f>MAX(H4171,I4171,J4171)</f>
        <v>1</v>
      </c>
      <c r="H4171" s="88"/>
      <c r="I4171" s="88"/>
      <c r="J4171" s="78">
        <f>MAX(K4171:Q4171)</f>
        <v>1</v>
      </c>
      <c r="K4171" s="88"/>
      <c r="L4171" s="88"/>
      <c r="M4171" s="88">
        <v>1</v>
      </c>
      <c r="N4171" s="88"/>
      <c r="O4171" s="88"/>
      <c r="P4171" s="88"/>
      <c r="Q4171" s="88"/>
      <c r="R4171" s="78">
        <f>MAX(S4171:W4171)</f>
        <v>0</v>
      </c>
      <c r="S4171" s="88"/>
      <c r="T4171" s="88"/>
      <c r="U4171" s="88"/>
      <c r="V4171" s="88"/>
      <c r="W4171" s="88"/>
    </row>
    <row r="4172" spans="2:23" s="0" customFormat="0" ht="15">
      <c r="B4172" s="87" t="s">
        <v>1</v>
      </c>
      <c r="C4172" s="88" t="s">
        <v>5259</v>
      </c>
      <c r="D4172" s="88">
        <v>16128864</v>
      </c>
      <c r="E4172" s="88" t="s">
        <v>61</v>
      </c>
      <c r="F4172" s="88">
        <v>0</v>
      </c>
      <c r="G4172" s="78">
        <f>MAX(H4172,I4172,J4172)</f>
        <v>1</v>
      </c>
      <c r="H4172" s="88"/>
      <c r="I4172" s="88"/>
      <c r="J4172" s="78">
        <f>MAX(K4172:Q4172)</f>
        <v>1</v>
      </c>
      <c r="K4172" s="88">
        <v>1</v>
      </c>
      <c r="L4172" s="88"/>
      <c r="M4172" s="88"/>
      <c r="N4172" s="88"/>
      <c r="O4172" s="88"/>
      <c r="P4172" s="88"/>
      <c r="Q4172" s="88"/>
      <c r="R4172" s="78">
        <f>MAX(S4172:W4172)</f>
        <v>0</v>
      </c>
      <c r="S4172" s="88"/>
      <c r="T4172" s="88"/>
      <c r="U4172" s="88"/>
      <c r="V4172" s="88"/>
      <c r="W4172" s="88"/>
    </row>
    <row r="4173" spans="2:23" s="0" customFormat="0" ht="15">
      <c r="B4173" s="87" t="s">
        <v>1</v>
      </c>
      <c r="C4173" s="88" t="s">
        <v>5259</v>
      </c>
      <c r="D4173" s="88">
        <v>17822146</v>
      </c>
      <c r="E4173" s="88" t="s">
        <v>61</v>
      </c>
      <c r="F4173" s="88">
        <v>0</v>
      </c>
      <c r="G4173" s="78">
        <f>MAX(H4173,I4173,J4173)</f>
        <v>1</v>
      </c>
      <c r="H4173" s="88"/>
      <c r="I4173" s="88"/>
      <c r="J4173" s="78">
        <f>MAX(K4173:Q4173)</f>
        <v>1</v>
      </c>
      <c r="K4173" s="88">
        <v>1</v>
      </c>
      <c r="L4173" s="88"/>
      <c r="M4173" s="88"/>
      <c r="N4173" s="88"/>
      <c r="O4173" s="88"/>
      <c r="P4173" s="88"/>
      <c r="Q4173" s="88"/>
      <c r="R4173" s="78">
        <f>MAX(S4173:W4173)</f>
        <v>0</v>
      </c>
      <c r="S4173" s="88"/>
      <c r="T4173" s="88"/>
      <c r="U4173" s="88"/>
      <c r="V4173" s="88"/>
      <c r="W4173" s="88"/>
    </row>
    <row r="4174" spans="2:23" s="0" customFormat="0" ht="15">
      <c r="B4174" s="87" t="s">
        <v>1</v>
      </c>
      <c r="C4174" s="88" t="s">
        <v>5259</v>
      </c>
      <c r="D4174" s="88">
        <v>4138940</v>
      </c>
      <c r="E4174" s="88" t="s">
        <v>61</v>
      </c>
      <c r="F4174" s="88">
        <v>0</v>
      </c>
      <c r="G4174" s="78">
        <f>MAX(H4174,I4174,J4174)</f>
        <v>0</v>
      </c>
      <c r="H4174" s="88"/>
      <c r="I4174" s="88"/>
      <c r="J4174" s="78">
        <f>MAX(K4174:Q4174)</f>
        <v>0</v>
      </c>
      <c r="K4174" s="88"/>
      <c r="L4174" s="88"/>
      <c r="M4174" s="88"/>
      <c r="N4174" s="88"/>
      <c r="O4174" s="88"/>
      <c r="P4174" s="88"/>
      <c r="Q4174" s="88"/>
      <c r="R4174" s="78">
        <f>MAX(S4174:W4174)</f>
        <v>1</v>
      </c>
      <c r="S4174" s="88"/>
      <c r="T4174" s="88"/>
      <c r="U4174" s="88">
        <v>1</v>
      </c>
      <c r="V4174" s="88"/>
      <c r="W4174" s="88"/>
    </row>
    <row r="4175" spans="2:23" s="0" customFormat="0" ht="15">
      <c r="B4175" s="87" t="s">
        <v>1</v>
      </c>
      <c r="C4175" s="88" t="s">
        <v>5259</v>
      </c>
      <c r="D4175" s="88">
        <v>18026295</v>
      </c>
      <c r="E4175" s="88" t="s">
        <v>61</v>
      </c>
      <c r="F4175" s="88">
        <v>0</v>
      </c>
      <c r="G4175" s="78">
        <f>MAX(H4175,I4175,J4175)</f>
        <v>1</v>
      </c>
      <c r="H4175" s="88"/>
      <c r="I4175" s="88"/>
      <c r="J4175" s="78">
        <f>MAX(K4175:Q4175)</f>
        <v>1</v>
      </c>
      <c r="K4175" s="88">
        <v>1</v>
      </c>
      <c r="L4175" s="88"/>
      <c r="M4175" s="88"/>
      <c r="N4175" s="88"/>
      <c r="O4175" s="88"/>
      <c r="P4175" s="88"/>
      <c r="Q4175" s="88"/>
      <c r="R4175" s="78">
        <f>MAX(S4175:W4175)</f>
        <v>0</v>
      </c>
      <c r="S4175" s="88"/>
      <c r="T4175" s="88"/>
      <c r="U4175" s="88"/>
      <c r="V4175" s="88"/>
      <c r="W4175" s="88"/>
    </row>
    <row r="4176" spans="2:23" s="0" customFormat="0" ht="15">
      <c r="B4176" s="87" t="s">
        <v>1</v>
      </c>
      <c r="C4176" s="88" t="s">
        <v>5259</v>
      </c>
      <c r="D4176" s="88">
        <v>17136271</v>
      </c>
      <c r="E4176" s="88" t="s">
        <v>61</v>
      </c>
      <c r="F4176" s="88">
        <v>0</v>
      </c>
      <c r="G4176" s="78">
        <f>MAX(H4176,I4176,J4176)</f>
        <v>1</v>
      </c>
      <c r="H4176" s="88"/>
      <c r="I4176" s="88"/>
      <c r="J4176" s="78">
        <f>MAX(K4176:Q4176)</f>
        <v>1</v>
      </c>
      <c r="K4176" s="88">
        <v>1</v>
      </c>
      <c r="L4176" s="88"/>
      <c r="M4176" s="88"/>
      <c r="N4176" s="88"/>
      <c r="O4176" s="88"/>
      <c r="P4176" s="88"/>
      <c r="Q4176" s="88"/>
      <c r="R4176" s="78">
        <f>MAX(S4176:W4176)</f>
        <v>0</v>
      </c>
      <c r="S4176" s="88"/>
      <c r="T4176" s="88"/>
      <c r="U4176" s="88"/>
      <c r="V4176" s="88"/>
      <c r="W4176" s="88"/>
    </row>
    <row r="4177" spans="2:23" s="0" customFormat="0" ht="15">
      <c r="B4177" s="87" t="s">
        <v>1</v>
      </c>
      <c r="C4177" s="88" t="s">
        <v>5259</v>
      </c>
      <c r="D4177" s="88">
        <v>23625022</v>
      </c>
      <c r="E4177" s="88" t="s">
        <v>61</v>
      </c>
      <c r="F4177" s="88">
        <v>0</v>
      </c>
      <c r="G4177" s="78">
        <f>MAX(H4177,I4177,J4177)</f>
        <v>1</v>
      </c>
      <c r="H4177" s="88"/>
      <c r="I4177" s="88"/>
      <c r="J4177" s="78">
        <f>MAX(K4177:Q4177)</f>
        <v>1</v>
      </c>
      <c r="K4177" s="88">
        <v>1</v>
      </c>
      <c r="L4177" s="88"/>
      <c r="M4177" s="88"/>
      <c r="N4177" s="88"/>
      <c r="O4177" s="88"/>
      <c r="P4177" s="88"/>
      <c r="Q4177" s="88"/>
      <c r="R4177" s="78">
        <f>MAX(S4177:W4177)</f>
        <v>0</v>
      </c>
      <c r="S4177" s="88"/>
      <c r="T4177" s="88"/>
      <c r="U4177" s="88"/>
      <c r="V4177" s="88"/>
      <c r="W4177" s="88"/>
    </row>
    <row r="4178" spans="2:23" s="0" customFormat="0" ht="15">
      <c r="B4178" s="87" t="s">
        <v>1</v>
      </c>
      <c r="C4178" s="88" t="s">
        <v>5259</v>
      </c>
      <c r="D4178" s="88">
        <v>13531124</v>
      </c>
      <c r="E4178" s="88" t="s">
        <v>61</v>
      </c>
      <c r="F4178" s="88">
        <v>0</v>
      </c>
      <c r="G4178" s="78">
        <f>MAX(H4178,I4178,J4178)</f>
        <v>1</v>
      </c>
      <c r="H4178" s="88"/>
      <c r="I4178" s="88"/>
      <c r="J4178" s="78">
        <f>MAX(K4178:Q4178)</f>
        <v>1</v>
      </c>
      <c r="K4178" s="88">
        <v>1</v>
      </c>
      <c r="L4178" s="88"/>
      <c r="M4178" s="88"/>
      <c r="N4178" s="88"/>
      <c r="O4178" s="88"/>
      <c r="P4178" s="88"/>
      <c r="Q4178" s="88"/>
      <c r="R4178" s="78">
        <f>MAX(S4178:W4178)</f>
        <v>0</v>
      </c>
      <c r="S4178" s="88"/>
      <c r="T4178" s="88"/>
      <c r="U4178" s="88"/>
      <c r="V4178" s="88"/>
      <c r="W4178" s="88"/>
    </row>
    <row r="4179" spans="2:23" s="0" customFormat="0" ht="15">
      <c r="B4179" s="87" t="s">
        <v>1</v>
      </c>
      <c r="C4179" s="88" t="s">
        <v>5259</v>
      </c>
      <c r="D4179" s="88" t="s">
        <v>3956</v>
      </c>
      <c r="E4179" s="88" t="s">
        <v>61</v>
      </c>
      <c r="F4179" s="88">
        <v>0</v>
      </c>
      <c r="G4179" s="78">
        <f>MAX(H4179,I4179,J4179)</f>
        <v>0</v>
      </c>
      <c r="H4179" s="88"/>
      <c r="I4179" s="88"/>
      <c r="J4179" s="78">
        <f>MAX(K4179:Q4179)</f>
        <v>0</v>
      </c>
      <c r="K4179" s="88"/>
      <c r="L4179" s="88"/>
      <c r="M4179" s="88"/>
      <c r="N4179" s="88"/>
      <c r="O4179" s="88"/>
      <c r="P4179" s="88"/>
      <c r="Q4179" s="88"/>
      <c r="R4179" s="78">
        <f>MAX(S4179:W4179)</f>
        <v>1</v>
      </c>
      <c r="S4179" s="88"/>
      <c r="T4179" s="88"/>
      <c r="U4179" s="88">
        <v>1</v>
      </c>
      <c r="V4179" s="88"/>
      <c r="W4179" s="88"/>
    </row>
    <row r="4180" spans="2:23" s="0" customFormat="0" ht="15">
      <c r="B4180" s="87" t="s">
        <v>1</v>
      </c>
      <c r="C4180" s="88" t="s">
        <v>5259</v>
      </c>
      <c r="D4180" s="88" t="s">
        <v>2506</v>
      </c>
      <c r="E4180" s="88" t="s">
        <v>61</v>
      </c>
      <c r="F4180" s="88">
        <v>0</v>
      </c>
      <c r="G4180" s="78">
        <f>MAX(H4180,I4180,J4180)</f>
        <v>1</v>
      </c>
      <c r="H4180" s="88"/>
      <c r="I4180" s="88"/>
      <c r="J4180" s="78">
        <f>MAX(K4180:Q4180)</f>
        <v>1</v>
      </c>
      <c r="K4180" s="88">
        <v>1</v>
      </c>
      <c r="L4180" s="88"/>
      <c r="M4180" s="88"/>
      <c r="N4180" s="88"/>
      <c r="O4180" s="88"/>
      <c r="P4180" s="88"/>
      <c r="Q4180" s="88"/>
      <c r="R4180" s="78">
        <f>MAX(S4180:W4180)</f>
        <v>0</v>
      </c>
      <c r="S4180" s="88"/>
      <c r="T4180" s="88"/>
      <c r="U4180" s="88"/>
      <c r="V4180" s="88"/>
      <c r="W4180" s="88"/>
    </row>
    <row r="4181" spans="2:23" s="0" customFormat="0" ht="15">
      <c r="B4181" s="87" t="s">
        <v>1</v>
      </c>
      <c r="C4181" s="88" t="s">
        <v>5259</v>
      </c>
      <c r="D4181" s="88" t="s">
        <v>1790</v>
      </c>
      <c r="E4181" s="88" t="s">
        <v>61</v>
      </c>
      <c r="F4181" s="88">
        <v>0</v>
      </c>
      <c r="G4181" s="78">
        <f>MAX(H4181,I4181,J4181)</f>
        <v>1</v>
      </c>
      <c r="H4181" s="88"/>
      <c r="I4181" s="88"/>
      <c r="J4181" s="78">
        <f>MAX(K4181:Q4181)</f>
        <v>1</v>
      </c>
      <c r="K4181" s="88">
        <v>1</v>
      </c>
      <c r="L4181" s="88"/>
      <c r="M4181" s="88"/>
      <c r="N4181" s="88"/>
      <c r="O4181" s="88"/>
      <c r="P4181" s="88"/>
      <c r="Q4181" s="88"/>
      <c r="R4181" s="78">
        <f>MAX(S4181:W4181)</f>
        <v>0</v>
      </c>
      <c r="S4181" s="88"/>
      <c r="T4181" s="88"/>
      <c r="U4181" s="88"/>
      <c r="V4181" s="88"/>
      <c r="W4181" s="88"/>
    </row>
    <row r="4182" spans="2:23" s="0" customFormat="0" ht="15">
      <c r="B4182" s="87" t="s">
        <v>1</v>
      </c>
      <c r="C4182" s="88" t="s">
        <v>5259</v>
      </c>
      <c r="D4182" s="88" t="s">
        <v>4180</v>
      </c>
      <c r="E4182" s="88" t="s">
        <v>61</v>
      </c>
      <c r="F4182" s="88">
        <v>0</v>
      </c>
      <c r="G4182" s="78">
        <f>MAX(H4182,I4182,J4182)</f>
        <v>0</v>
      </c>
      <c r="H4182" s="88"/>
      <c r="I4182" s="88"/>
      <c r="J4182" s="78">
        <f>MAX(K4182:Q4182)</f>
        <v>0</v>
      </c>
      <c r="K4182" s="88"/>
      <c r="L4182" s="88"/>
      <c r="M4182" s="88"/>
      <c r="N4182" s="88"/>
      <c r="O4182" s="88"/>
      <c r="P4182" s="88"/>
      <c r="Q4182" s="88"/>
      <c r="R4182" s="78">
        <f>MAX(S4182:W4182)</f>
        <v>1</v>
      </c>
      <c r="S4182" s="88"/>
      <c r="T4182" s="88"/>
      <c r="U4182" s="88">
        <v>1</v>
      </c>
      <c r="V4182" s="88"/>
      <c r="W4182" s="88"/>
    </row>
    <row r="4183" spans="2:23" s="0" customFormat="0" ht="15">
      <c r="B4183" s="87" t="s">
        <v>1</v>
      </c>
      <c r="C4183" s="88" t="s">
        <v>5259</v>
      </c>
      <c r="D4183" s="88" t="s">
        <v>4917</v>
      </c>
      <c r="E4183" s="88" t="s">
        <v>61</v>
      </c>
      <c r="F4183" s="88">
        <v>0</v>
      </c>
      <c r="G4183" s="78">
        <f>MAX(H4183,I4183,J4183)</f>
        <v>0</v>
      </c>
      <c r="H4183" s="88"/>
      <c r="I4183" s="88"/>
      <c r="J4183" s="78">
        <f>MAX(K4183:Q4183)</f>
        <v>0</v>
      </c>
      <c r="K4183" s="88"/>
      <c r="L4183" s="88"/>
      <c r="M4183" s="88"/>
      <c r="N4183" s="88"/>
      <c r="O4183" s="88"/>
      <c r="P4183" s="88"/>
      <c r="Q4183" s="88"/>
      <c r="R4183" s="78">
        <f>MAX(S4183:W4183)</f>
        <v>1</v>
      </c>
      <c r="S4183" s="88"/>
      <c r="T4183" s="88"/>
      <c r="U4183" s="88">
        <v>1</v>
      </c>
      <c r="V4183" s="88"/>
      <c r="W4183" s="88"/>
    </row>
    <row r="4184" spans="2:23" s="0" customFormat="0" ht="15">
      <c r="B4184" s="87" t="s">
        <v>1</v>
      </c>
      <c r="C4184" s="88" t="s">
        <v>5259</v>
      </c>
      <c r="D4184" s="88">
        <v>20350200</v>
      </c>
      <c r="E4184" s="88" t="s">
        <v>61</v>
      </c>
      <c r="F4184" s="88">
        <v>0</v>
      </c>
      <c r="G4184" s="78">
        <f>MAX(H4184,I4184,J4184)</f>
        <v>1</v>
      </c>
      <c r="H4184" s="88"/>
      <c r="I4184" s="88"/>
      <c r="J4184" s="78">
        <f>MAX(K4184:Q4184)</f>
        <v>1</v>
      </c>
      <c r="K4184" s="88"/>
      <c r="L4184" s="88"/>
      <c r="M4184" s="88"/>
      <c r="N4184" s="88"/>
      <c r="O4184" s="88">
        <v>1</v>
      </c>
      <c r="P4184" s="88"/>
      <c r="Q4184" s="88"/>
      <c r="R4184" s="78">
        <f>MAX(S4184:W4184)</f>
        <v>0</v>
      </c>
      <c r="S4184" s="88"/>
      <c r="T4184" s="88"/>
      <c r="U4184" s="88"/>
      <c r="V4184" s="88"/>
      <c r="W4184" s="88"/>
    </row>
    <row r="4185" spans="2:23" s="0" customFormat="0" ht="15">
      <c r="B4185" s="87" t="s">
        <v>1</v>
      </c>
      <c r="C4185" s="88" t="s">
        <v>5259</v>
      </c>
      <c r="D4185" s="88" t="s">
        <v>2508</v>
      </c>
      <c r="E4185" s="88" t="s">
        <v>61</v>
      </c>
      <c r="F4185" s="88">
        <v>0</v>
      </c>
      <c r="G4185" s="78">
        <f>MAX(H4185,I4185,J4185)</f>
        <v>1</v>
      </c>
      <c r="H4185" s="88"/>
      <c r="I4185" s="88"/>
      <c r="J4185" s="78">
        <f>MAX(K4185:Q4185)</f>
        <v>1</v>
      </c>
      <c r="K4185" s="88">
        <v>1</v>
      </c>
      <c r="L4185" s="88"/>
      <c r="M4185" s="88"/>
      <c r="N4185" s="88"/>
      <c r="O4185" s="88"/>
      <c r="P4185" s="88"/>
      <c r="Q4185" s="88"/>
      <c r="R4185" s="78">
        <f>MAX(S4185:W4185)</f>
        <v>0</v>
      </c>
      <c r="S4185" s="88"/>
      <c r="T4185" s="88"/>
      <c r="U4185" s="88"/>
      <c r="V4185" s="88"/>
      <c r="W4185" s="88"/>
    </row>
    <row r="4186" spans="2:23" s="0" customFormat="0" ht="15">
      <c r="B4186" s="87" t="s">
        <v>1</v>
      </c>
      <c r="C4186" s="88" t="s">
        <v>5259</v>
      </c>
      <c r="D4186" s="88">
        <v>18728679</v>
      </c>
      <c r="E4186" s="88" t="s">
        <v>61</v>
      </c>
      <c r="F4186" s="88">
        <v>0</v>
      </c>
      <c r="G4186" s="78">
        <f>MAX(H4186,I4186,J4186)</f>
        <v>1</v>
      </c>
      <c r="H4186" s="88"/>
      <c r="I4186" s="88"/>
      <c r="J4186" s="78">
        <f>MAX(K4186:Q4186)</f>
        <v>1</v>
      </c>
      <c r="K4186" s="88">
        <v>1</v>
      </c>
      <c r="L4186" s="88"/>
      <c r="M4186" s="88"/>
      <c r="N4186" s="88"/>
      <c r="O4186" s="88"/>
      <c r="P4186" s="88"/>
      <c r="Q4186" s="88"/>
      <c r="R4186" s="78">
        <f>MAX(S4186:W4186)</f>
        <v>0</v>
      </c>
      <c r="S4186" s="88"/>
      <c r="T4186" s="88"/>
      <c r="U4186" s="88"/>
      <c r="V4186" s="88"/>
      <c r="W4186" s="88"/>
    </row>
    <row r="4187" spans="2:23" s="0" customFormat="0" ht="15">
      <c r="B4187" s="87" t="s">
        <v>1</v>
      </c>
      <c r="C4187" s="88" t="s">
        <v>5259</v>
      </c>
      <c r="D4187" s="88">
        <v>12776014</v>
      </c>
      <c r="E4187" s="88" t="s">
        <v>61</v>
      </c>
      <c r="F4187" s="88">
        <v>0</v>
      </c>
      <c r="G4187" s="78">
        <f>MAX(H4187,I4187,J4187)</f>
        <v>1</v>
      </c>
      <c r="H4187" s="88"/>
      <c r="I4187" s="88"/>
      <c r="J4187" s="78">
        <f>MAX(K4187:Q4187)</f>
        <v>1</v>
      </c>
      <c r="K4187" s="88">
        <v>1</v>
      </c>
      <c r="L4187" s="88"/>
      <c r="M4187" s="88"/>
      <c r="N4187" s="88"/>
      <c r="O4187" s="88"/>
      <c r="P4187" s="88"/>
      <c r="Q4187" s="88"/>
      <c r="R4187" s="78">
        <f>MAX(S4187:W4187)</f>
        <v>0</v>
      </c>
      <c r="S4187" s="88"/>
      <c r="T4187" s="88"/>
      <c r="U4187" s="88"/>
      <c r="V4187" s="88"/>
      <c r="W4187" s="88"/>
    </row>
    <row r="4188" spans="2:23" s="0" customFormat="0" ht="15">
      <c r="B4188" s="87" t="s">
        <v>1</v>
      </c>
      <c r="C4188" s="88" t="s">
        <v>5259</v>
      </c>
      <c r="D4188" s="88" t="s">
        <v>4905</v>
      </c>
      <c r="E4188" s="88" t="s">
        <v>61</v>
      </c>
      <c r="F4188" s="88">
        <v>0</v>
      </c>
      <c r="G4188" s="78">
        <f>MAX(H4188,I4188,J4188)</f>
        <v>0</v>
      </c>
      <c r="H4188" s="88"/>
      <c r="I4188" s="88"/>
      <c r="J4188" s="78">
        <f>MAX(K4188:Q4188)</f>
        <v>0</v>
      </c>
      <c r="K4188" s="88"/>
      <c r="L4188" s="88"/>
      <c r="M4188" s="88"/>
      <c r="N4188" s="88"/>
      <c r="O4188" s="88"/>
      <c r="P4188" s="88"/>
      <c r="Q4188" s="88"/>
      <c r="R4188" s="78">
        <f>MAX(S4188:W4188)</f>
        <v>1</v>
      </c>
      <c r="S4188" s="88"/>
      <c r="T4188" s="88"/>
      <c r="U4188" s="88">
        <v>1</v>
      </c>
      <c r="V4188" s="88"/>
      <c r="W4188" s="88"/>
    </row>
    <row r="4189" spans="2:23" s="0" customFormat="0" ht="15">
      <c r="B4189" s="87" t="s">
        <v>1</v>
      </c>
      <c r="C4189" s="88" t="s">
        <v>5259</v>
      </c>
      <c r="D4189" s="88">
        <v>20113239</v>
      </c>
      <c r="E4189" s="88" t="s">
        <v>61</v>
      </c>
      <c r="F4189" s="88">
        <v>0</v>
      </c>
      <c r="G4189" s="78">
        <f>MAX(H4189,I4189,J4189)</f>
        <v>0</v>
      </c>
      <c r="H4189" s="88"/>
      <c r="I4189" s="88"/>
      <c r="J4189" s="78">
        <f>MAX(K4189:Q4189)</f>
        <v>0</v>
      </c>
      <c r="K4189" s="88"/>
      <c r="L4189" s="88"/>
      <c r="M4189" s="88"/>
      <c r="N4189" s="88"/>
      <c r="O4189" s="88"/>
      <c r="P4189" s="88"/>
      <c r="Q4189" s="88"/>
      <c r="R4189" s="78">
        <f>MAX(S4189:W4189)</f>
        <v>1</v>
      </c>
      <c r="S4189" s="88"/>
      <c r="T4189" s="88"/>
      <c r="U4189" s="88">
        <v>1</v>
      </c>
      <c r="V4189" s="88"/>
      <c r="W4189" s="88"/>
    </row>
    <row r="4190" spans="2:23" s="0" customFormat="0" ht="15">
      <c r="B4190" s="87" t="s">
        <v>1</v>
      </c>
      <c r="C4190" s="88" t="s">
        <v>5259</v>
      </c>
      <c r="D4190" s="88">
        <v>15422375</v>
      </c>
      <c r="E4190" s="88" t="s">
        <v>61</v>
      </c>
      <c r="F4190" s="88">
        <v>0</v>
      </c>
      <c r="G4190" s="78">
        <f>MAX(H4190,I4190,J4190)</f>
        <v>1</v>
      </c>
      <c r="H4190" s="88"/>
      <c r="I4190" s="88"/>
      <c r="J4190" s="78">
        <f>MAX(K4190:Q4190)</f>
        <v>1</v>
      </c>
      <c r="K4190" s="88">
        <v>1</v>
      </c>
      <c r="L4190" s="88"/>
      <c r="M4190" s="88"/>
      <c r="N4190" s="88"/>
      <c r="O4190" s="88"/>
      <c r="P4190" s="88"/>
      <c r="Q4190" s="88"/>
      <c r="R4190" s="78">
        <f>MAX(S4190:W4190)</f>
        <v>0</v>
      </c>
      <c r="S4190" s="88"/>
      <c r="T4190" s="88"/>
      <c r="U4190" s="88"/>
      <c r="V4190" s="88"/>
      <c r="W4190" s="88"/>
    </row>
    <row r="4191" spans="2:23" s="0" customFormat="0" ht="15">
      <c r="B4191" s="87" t="s">
        <v>1</v>
      </c>
      <c r="C4191" s="88" t="s">
        <v>5259</v>
      </c>
      <c r="D4191" s="88">
        <v>14693195</v>
      </c>
      <c r="E4191" s="88" t="s">
        <v>61</v>
      </c>
      <c r="F4191" s="88">
        <v>0</v>
      </c>
      <c r="G4191" s="78">
        <f>MAX(H4191,I4191,J4191)</f>
        <v>1</v>
      </c>
      <c r="H4191" s="88"/>
      <c r="I4191" s="88"/>
      <c r="J4191" s="78">
        <f>MAX(K4191:Q4191)</f>
        <v>1</v>
      </c>
      <c r="K4191" s="88">
        <v>1</v>
      </c>
      <c r="L4191" s="88"/>
      <c r="M4191" s="88"/>
      <c r="N4191" s="88"/>
      <c r="O4191" s="88"/>
      <c r="P4191" s="88"/>
      <c r="Q4191" s="88"/>
      <c r="R4191" s="78">
        <f>MAX(S4191:W4191)</f>
        <v>0</v>
      </c>
      <c r="S4191" s="88"/>
      <c r="T4191" s="88"/>
      <c r="U4191" s="88"/>
      <c r="V4191" s="88"/>
      <c r="W4191" s="88"/>
    </row>
    <row r="4192" spans="2:23" s="0" customFormat="0" ht="15">
      <c r="B4192" s="87" t="s">
        <v>1</v>
      </c>
      <c r="C4192" s="88" t="s">
        <v>5259</v>
      </c>
      <c r="D4192" s="88">
        <v>9769687</v>
      </c>
      <c r="E4192" s="88" t="s">
        <v>61</v>
      </c>
      <c r="F4192" s="88">
        <v>0</v>
      </c>
      <c r="G4192" s="78">
        <f>MAX(H4192,I4192,J4192)</f>
        <v>0</v>
      </c>
      <c r="H4192" s="88"/>
      <c r="I4192" s="88"/>
      <c r="J4192" s="78">
        <f>MAX(K4192:Q4192)</f>
        <v>0</v>
      </c>
      <c r="K4192" s="88"/>
      <c r="L4192" s="88"/>
      <c r="M4192" s="88"/>
      <c r="N4192" s="88"/>
      <c r="O4192" s="88"/>
      <c r="P4192" s="88"/>
      <c r="Q4192" s="88"/>
      <c r="R4192" s="78">
        <f>MAX(S4192:W4192)</f>
        <v>1</v>
      </c>
      <c r="S4192" s="88"/>
      <c r="T4192" s="88"/>
      <c r="U4192" s="88">
        <v>1</v>
      </c>
      <c r="V4192" s="88"/>
      <c r="W4192" s="88"/>
    </row>
    <row r="4193" spans="2:23" s="0" customFormat="0" ht="15">
      <c r="B4193" s="87" t="s">
        <v>1</v>
      </c>
      <c r="C4193" s="88" t="s">
        <v>5259</v>
      </c>
      <c r="D4193" s="88" t="s">
        <v>4800</v>
      </c>
      <c r="E4193" s="88" t="s">
        <v>61</v>
      </c>
      <c r="F4193" s="88">
        <v>0</v>
      </c>
      <c r="G4193" s="78">
        <f>MAX(H4193,I4193,J4193)</f>
        <v>0</v>
      </c>
      <c r="H4193" s="88"/>
      <c r="I4193" s="88"/>
      <c r="J4193" s="78">
        <f>MAX(K4193:Q4193)</f>
        <v>0</v>
      </c>
      <c r="K4193" s="88"/>
      <c r="L4193" s="88"/>
      <c r="M4193" s="88"/>
      <c r="N4193" s="88"/>
      <c r="O4193" s="88"/>
      <c r="P4193" s="88"/>
      <c r="Q4193" s="88"/>
      <c r="R4193" s="78">
        <f>MAX(S4193:W4193)</f>
        <v>1</v>
      </c>
      <c r="S4193" s="88"/>
      <c r="T4193" s="88"/>
      <c r="U4193" s="88">
        <v>1</v>
      </c>
      <c r="V4193" s="88"/>
      <c r="W4193" s="88"/>
    </row>
    <row r="4194" spans="2:23" s="0" customFormat="0" ht="15">
      <c r="B4194" s="87" t="s">
        <v>1</v>
      </c>
      <c r="C4194" s="88" t="s">
        <v>5259</v>
      </c>
      <c r="D4194" s="88" t="s">
        <v>3152</v>
      </c>
      <c r="E4194" s="88" t="s">
        <v>61</v>
      </c>
      <c r="F4194" s="88">
        <v>0</v>
      </c>
      <c r="G4194" s="78">
        <f>MAX(H4194,I4194,J4194)</f>
        <v>1</v>
      </c>
      <c r="H4194" s="88"/>
      <c r="I4194" s="88"/>
      <c r="J4194" s="78">
        <f>MAX(K4194:Q4194)</f>
        <v>1</v>
      </c>
      <c r="K4194" s="88"/>
      <c r="L4194" s="88"/>
      <c r="M4194" s="88"/>
      <c r="N4194" s="88">
        <v>1</v>
      </c>
      <c r="O4194" s="88"/>
      <c r="P4194" s="88"/>
      <c r="Q4194" s="88"/>
      <c r="R4194" s="78">
        <f>MAX(S4194:W4194)</f>
        <v>0</v>
      </c>
      <c r="S4194" s="88"/>
      <c r="T4194" s="88"/>
      <c r="U4194" s="88"/>
      <c r="V4194" s="88"/>
      <c r="W4194" s="88"/>
    </row>
    <row r="4195" spans="2:23" s="0" customFormat="0" ht="15">
      <c r="B4195" s="87" t="s">
        <v>1</v>
      </c>
      <c r="C4195" s="88" t="s">
        <v>5259</v>
      </c>
      <c r="D4195" s="88">
        <v>14087341</v>
      </c>
      <c r="E4195" s="88" t="s">
        <v>61</v>
      </c>
      <c r="F4195" s="88">
        <v>0</v>
      </c>
      <c r="G4195" s="78">
        <f>MAX(H4195,I4195,J4195)</f>
        <v>1</v>
      </c>
      <c r="H4195" s="88"/>
      <c r="I4195" s="88"/>
      <c r="J4195" s="78">
        <f>MAX(K4195:Q4195)</f>
        <v>1</v>
      </c>
      <c r="K4195" s="88">
        <v>1</v>
      </c>
      <c r="L4195" s="88"/>
      <c r="M4195" s="88"/>
      <c r="N4195" s="88"/>
      <c r="O4195" s="88"/>
      <c r="P4195" s="88"/>
      <c r="Q4195" s="88"/>
      <c r="R4195" s="78">
        <f>MAX(S4195:W4195)</f>
        <v>0</v>
      </c>
      <c r="S4195" s="88"/>
      <c r="T4195" s="88"/>
      <c r="U4195" s="88"/>
      <c r="V4195" s="88"/>
      <c r="W4195" s="88"/>
    </row>
    <row r="4196" spans="2:23" s="0" customFormat="0" ht="15">
      <c r="B4196" s="87" t="s">
        <v>1</v>
      </c>
      <c r="C4196" s="88" t="s">
        <v>5259</v>
      </c>
      <c r="D4196" s="88">
        <v>20930579</v>
      </c>
      <c r="E4196" s="88" t="s">
        <v>61</v>
      </c>
      <c r="F4196" s="88">
        <v>0</v>
      </c>
      <c r="G4196" s="78">
        <f>MAX(H4196,I4196,J4196)</f>
        <v>1</v>
      </c>
      <c r="H4196" s="88"/>
      <c r="I4196" s="88"/>
      <c r="J4196" s="78">
        <f>MAX(K4196:Q4196)</f>
        <v>1</v>
      </c>
      <c r="K4196" s="88">
        <v>1</v>
      </c>
      <c r="L4196" s="88"/>
      <c r="M4196" s="88"/>
      <c r="N4196" s="88"/>
      <c r="O4196" s="88"/>
      <c r="P4196" s="88"/>
      <c r="Q4196" s="88"/>
      <c r="R4196" s="78">
        <f>MAX(S4196:W4196)</f>
        <v>0</v>
      </c>
      <c r="S4196" s="88"/>
      <c r="T4196" s="88"/>
      <c r="U4196" s="88"/>
      <c r="V4196" s="88"/>
      <c r="W4196" s="88"/>
    </row>
    <row r="4197" spans="2:23" s="0" customFormat="0" ht="15">
      <c r="B4197" s="87" t="s">
        <v>1</v>
      </c>
      <c r="C4197" s="88" t="s">
        <v>5259</v>
      </c>
      <c r="D4197" s="88">
        <v>18085385</v>
      </c>
      <c r="E4197" s="88" t="s">
        <v>61</v>
      </c>
      <c r="F4197" s="88">
        <v>0</v>
      </c>
      <c r="G4197" s="78">
        <f>MAX(H4197,I4197,J4197)</f>
        <v>1</v>
      </c>
      <c r="H4197" s="88"/>
      <c r="I4197" s="88"/>
      <c r="J4197" s="78">
        <f>MAX(K4197:Q4197)</f>
        <v>1</v>
      </c>
      <c r="K4197" s="88">
        <v>1</v>
      </c>
      <c r="L4197" s="88"/>
      <c r="M4197" s="88"/>
      <c r="N4197" s="88"/>
      <c r="O4197" s="88"/>
      <c r="P4197" s="88"/>
      <c r="Q4197" s="88"/>
      <c r="R4197" s="78">
        <f>MAX(S4197:W4197)</f>
        <v>0</v>
      </c>
      <c r="S4197" s="88"/>
      <c r="T4197" s="88"/>
      <c r="U4197" s="88"/>
      <c r="V4197" s="88"/>
      <c r="W4197" s="88"/>
    </row>
    <row r="4198" spans="2:23" s="0" customFormat="0" ht="15">
      <c r="B4198" s="87" t="s">
        <v>1</v>
      </c>
      <c r="C4198" s="88" t="s">
        <v>5259</v>
      </c>
      <c r="D4198" s="88">
        <v>23963875</v>
      </c>
      <c r="E4198" s="88" t="s">
        <v>61</v>
      </c>
      <c r="F4198" s="88">
        <v>0</v>
      </c>
      <c r="G4198" s="78">
        <f>MAX(H4198,I4198,J4198)</f>
        <v>1</v>
      </c>
      <c r="H4198" s="88"/>
      <c r="I4198" s="88"/>
      <c r="J4198" s="78">
        <f>MAX(K4198:Q4198)</f>
        <v>1</v>
      </c>
      <c r="K4198" s="88">
        <v>1</v>
      </c>
      <c r="L4198" s="88"/>
      <c r="M4198" s="88"/>
      <c r="N4198" s="88"/>
      <c r="O4198" s="88"/>
      <c r="P4198" s="88"/>
      <c r="Q4198" s="88"/>
      <c r="R4198" s="78">
        <f>MAX(S4198:W4198)</f>
        <v>0</v>
      </c>
      <c r="S4198" s="88"/>
      <c r="T4198" s="88"/>
      <c r="U4198" s="88"/>
      <c r="V4198" s="88"/>
      <c r="W4198" s="88"/>
    </row>
    <row r="4199" spans="2:23" s="0" customFormat="0" ht="15">
      <c r="B4199" s="87" t="s">
        <v>1</v>
      </c>
      <c r="C4199" s="88" t="s">
        <v>5259</v>
      </c>
      <c r="D4199" s="88">
        <v>8842287</v>
      </c>
      <c r="E4199" s="88" t="s">
        <v>61</v>
      </c>
      <c r="F4199" s="88">
        <v>0</v>
      </c>
      <c r="G4199" s="78">
        <f>MAX(H4199,I4199,J4199)</f>
        <v>0</v>
      </c>
      <c r="H4199" s="88"/>
      <c r="I4199" s="88"/>
      <c r="J4199" s="78">
        <f>MAX(K4199:Q4199)</f>
        <v>0</v>
      </c>
      <c r="K4199" s="88"/>
      <c r="L4199" s="88"/>
      <c r="M4199" s="88"/>
      <c r="N4199" s="88"/>
      <c r="O4199" s="88"/>
      <c r="P4199" s="88"/>
      <c r="Q4199" s="88"/>
      <c r="R4199" s="78">
        <f>MAX(S4199:W4199)</f>
        <v>1</v>
      </c>
      <c r="S4199" s="88"/>
      <c r="T4199" s="88"/>
      <c r="U4199" s="88">
        <v>1</v>
      </c>
      <c r="V4199" s="88"/>
      <c r="W4199" s="88"/>
    </row>
    <row r="4200" spans="2:23" s="0" customFormat="0" ht="15">
      <c r="B4200" s="87" t="s">
        <v>1</v>
      </c>
      <c r="C4200" s="88" t="s">
        <v>5259</v>
      </c>
      <c r="D4200" s="88" t="s">
        <v>4919</v>
      </c>
      <c r="E4200" s="88" t="s">
        <v>61</v>
      </c>
      <c r="F4200" s="88">
        <v>0</v>
      </c>
      <c r="G4200" s="78">
        <f>MAX(H4200,I4200,J4200)</f>
        <v>0</v>
      </c>
      <c r="H4200" s="88"/>
      <c r="I4200" s="88"/>
      <c r="J4200" s="78">
        <f>MAX(K4200:Q4200)</f>
        <v>0</v>
      </c>
      <c r="K4200" s="88"/>
      <c r="L4200" s="88"/>
      <c r="M4200" s="88"/>
      <c r="N4200" s="88"/>
      <c r="O4200" s="88"/>
      <c r="P4200" s="88"/>
      <c r="Q4200" s="88"/>
      <c r="R4200" s="78">
        <f>MAX(S4200:W4200)</f>
        <v>1</v>
      </c>
      <c r="S4200" s="88"/>
      <c r="T4200" s="88"/>
      <c r="U4200" s="88">
        <v>1</v>
      </c>
      <c r="V4200" s="88"/>
      <c r="W4200" s="88"/>
    </row>
    <row r="4201" spans="2:23" s="0" customFormat="0" ht="15">
      <c r="B4201" s="87" t="s">
        <v>1</v>
      </c>
      <c r="C4201" s="88" t="s">
        <v>5259</v>
      </c>
      <c r="D4201" s="88" t="s">
        <v>4921</v>
      </c>
      <c r="E4201" s="88" t="s">
        <v>61</v>
      </c>
      <c r="F4201" s="88">
        <v>0</v>
      </c>
      <c r="G4201" s="78">
        <f>MAX(H4201,I4201,J4201)</f>
        <v>0</v>
      </c>
      <c r="H4201" s="88"/>
      <c r="I4201" s="88"/>
      <c r="J4201" s="78">
        <f>MAX(K4201:Q4201)</f>
        <v>0</v>
      </c>
      <c r="K4201" s="88"/>
      <c r="L4201" s="88"/>
      <c r="M4201" s="88"/>
      <c r="N4201" s="88"/>
      <c r="O4201" s="88"/>
      <c r="P4201" s="88"/>
      <c r="Q4201" s="88"/>
      <c r="R4201" s="78">
        <f>MAX(S4201:W4201)</f>
        <v>1</v>
      </c>
      <c r="S4201" s="88"/>
      <c r="T4201" s="88"/>
      <c r="U4201" s="88">
        <v>1</v>
      </c>
      <c r="V4201" s="88"/>
      <c r="W4201" s="88"/>
    </row>
    <row r="4202" spans="2:23" s="0" customFormat="0" ht="15">
      <c r="B4202" s="87" t="s">
        <v>1</v>
      </c>
      <c r="C4202" s="88" t="s">
        <v>5259</v>
      </c>
      <c r="D4202" s="88" t="s">
        <v>1444</v>
      </c>
      <c r="E4202" s="88" t="s">
        <v>61</v>
      </c>
      <c r="F4202" s="88">
        <v>0</v>
      </c>
      <c r="G4202" s="78">
        <f>MAX(H4202,I4202,J4202)</f>
        <v>1</v>
      </c>
      <c r="H4202" s="88"/>
      <c r="I4202" s="88"/>
      <c r="J4202" s="78">
        <f>MAX(K4202:Q4202)</f>
        <v>1</v>
      </c>
      <c r="K4202" s="88">
        <v>1</v>
      </c>
      <c r="L4202" s="88"/>
      <c r="M4202" s="88"/>
      <c r="N4202" s="88"/>
      <c r="O4202" s="88"/>
      <c r="P4202" s="88"/>
      <c r="Q4202" s="88"/>
      <c r="R4202" s="78">
        <f>MAX(S4202:W4202)</f>
        <v>0</v>
      </c>
      <c r="S4202" s="88"/>
      <c r="T4202" s="88"/>
      <c r="U4202" s="88"/>
      <c r="V4202" s="88"/>
      <c r="W4202" s="88"/>
    </row>
    <row r="4203" spans="2:23" s="0" customFormat="0" ht="15">
      <c r="B4203" s="87" t="s">
        <v>1</v>
      </c>
      <c r="C4203" s="88" t="s">
        <v>5259</v>
      </c>
      <c r="D4203" s="88" t="s">
        <v>3696</v>
      </c>
      <c r="E4203" s="88" t="s">
        <v>61</v>
      </c>
      <c r="F4203" s="88">
        <v>0</v>
      </c>
      <c r="G4203" s="78">
        <f>MAX(H4203,I4203,J4203)</f>
        <v>0</v>
      </c>
      <c r="H4203" s="88"/>
      <c r="I4203" s="88"/>
      <c r="J4203" s="78">
        <f>MAX(K4203:Q4203)</f>
        <v>0</v>
      </c>
      <c r="K4203" s="88"/>
      <c r="L4203" s="88"/>
      <c r="M4203" s="88"/>
      <c r="N4203" s="88"/>
      <c r="O4203" s="88"/>
      <c r="P4203" s="88"/>
      <c r="Q4203" s="88"/>
      <c r="R4203" s="78">
        <f>MAX(S4203:W4203)</f>
        <v>1</v>
      </c>
      <c r="S4203" s="88"/>
      <c r="T4203" s="88"/>
      <c r="U4203" s="88">
        <v>1</v>
      </c>
      <c r="V4203" s="88"/>
      <c r="W4203" s="88"/>
    </row>
    <row r="4204" spans="2:23" s="0" customFormat="0" ht="15">
      <c r="B4204" s="87" t="s">
        <v>1</v>
      </c>
      <c r="C4204" s="88" t="s">
        <v>5259</v>
      </c>
      <c r="D4204" s="88">
        <v>20755409</v>
      </c>
      <c r="E4204" s="88" t="s">
        <v>61</v>
      </c>
      <c r="F4204" s="88">
        <v>0</v>
      </c>
      <c r="G4204" s="78">
        <f>MAX(H4204,I4204,J4204)</f>
        <v>1</v>
      </c>
      <c r="H4204" s="88"/>
      <c r="I4204" s="88"/>
      <c r="J4204" s="78">
        <f>MAX(K4204:Q4204)</f>
        <v>1</v>
      </c>
      <c r="K4204" s="88">
        <v>1</v>
      </c>
      <c r="L4204" s="88"/>
      <c r="M4204" s="88"/>
      <c r="N4204" s="88"/>
      <c r="O4204" s="88"/>
      <c r="P4204" s="88"/>
      <c r="Q4204" s="88"/>
      <c r="R4204" s="78">
        <f>MAX(S4204:W4204)</f>
        <v>0</v>
      </c>
      <c r="S4204" s="88"/>
      <c r="T4204" s="88"/>
      <c r="U4204" s="88"/>
      <c r="V4204" s="88"/>
      <c r="W4204" s="88"/>
    </row>
    <row r="4205" spans="2:23" s="0" customFormat="0" ht="15">
      <c r="B4205" s="87" t="s">
        <v>1</v>
      </c>
      <c r="C4205" s="88" t="s">
        <v>5259</v>
      </c>
      <c r="D4205" s="88" t="s">
        <v>3975</v>
      </c>
      <c r="E4205" s="88" t="s">
        <v>61</v>
      </c>
      <c r="F4205" s="88">
        <v>0</v>
      </c>
      <c r="G4205" s="78">
        <f>MAX(H4205,I4205,J4205)</f>
        <v>0</v>
      </c>
      <c r="H4205" s="88"/>
      <c r="I4205" s="88"/>
      <c r="J4205" s="78">
        <f>MAX(K4205:Q4205)</f>
        <v>0</v>
      </c>
      <c r="K4205" s="88"/>
      <c r="L4205" s="88"/>
      <c r="M4205" s="88"/>
      <c r="N4205" s="88"/>
      <c r="O4205" s="88"/>
      <c r="P4205" s="88"/>
      <c r="Q4205" s="88"/>
      <c r="R4205" s="78">
        <f>MAX(S4205:W4205)</f>
        <v>1</v>
      </c>
      <c r="S4205" s="88"/>
      <c r="T4205" s="88"/>
      <c r="U4205" s="88">
        <v>1</v>
      </c>
      <c r="V4205" s="88"/>
      <c r="W4205" s="88"/>
    </row>
    <row r="4206" spans="2:23" s="0" customFormat="0" ht="15">
      <c r="B4206" s="87" t="s">
        <v>1</v>
      </c>
      <c r="C4206" s="88" t="s">
        <v>5259</v>
      </c>
      <c r="D4206" s="88" t="s">
        <v>4878</v>
      </c>
      <c r="E4206" s="88" t="s">
        <v>61</v>
      </c>
      <c r="F4206" s="88">
        <v>0</v>
      </c>
      <c r="G4206" s="78">
        <f>MAX(H4206,I4206,J4206)</f>
        <v>0</v>
      </c>
      <c r="H4206" s="88"/>
      <c r="I4206" s="88"/>
      <c r="J4206" s="78">
        <f>MAX(K4206:Q4206)</f>
        <v>0</v>
      </c>
      <c r="K4206" s="88"/>
      <c r="L4206" s="88"/>
      <c r="M4206" s="88"/>
      <c r="N4206" s="88"/>
      <c r="O4206" s="88"/>
      <c r="P4206" s="88"/>
      <c r="Q4206" s="88"/>
      <c r="R4206" s="78">
        <f>MAX(S4206:W4206)</f>
        <v>1</v>
      </c>
      <c r="S4206" s="88"/>
      <c r="T4206" s="88"/>
      <c r="U4206" s="88">
        <v>1</v>
      </c>
      <c r="V4206" s="88"/>
      <c r="W4206" s="88"/>
    </row>
    <row r="4207" spans="2:23" s="0" customFormat="0" ht="15">
      <c r="B4207" s="87" t="s">
        <v>1</v>
      </c>
      <c r="C4207" s="88" t="s">
        <v>5259</v>
      </c>
      <c r="D4207" s="88">
        <v>18668444</v>
      </c>
      <c r="E4207" s="88" t="s">
        <v>61</v>
      </c>
      <c r="F4207" s="88">
        <v>0</v>
      </c>
      <c r="G4207" s="78">
        <f>MAX(H4207,I4207,J4207)</f>
        <v>1</v>
      </c>
      <c r="H4207" s="88"/>
      <c r="I4207" s="88"/>
      <c r="J4207" s="78">
        <f>MAX(K4207:Q4207)</f>
        <v>1</v>
      </c>
      <c r="K4207" s="88">
        <v>1</v>
      </c>
      <c r="L4207" s="88"/>
      <c r="M4207" s="88"/>
      <c r="N4207" s="88"/>
      <c r="O4207" s="88"/>
      <c r="P4207" s="88"/>
      <c r="Q4207" s="88"/>
      <c r="R4207" s="78">
        <f>MAX(S4207:W4207)</f>
        <v>0</v>
      </c>
      <c r="S4207" s="88"/>
      <c r="T4207" s="88"/>
      <c r="U4207" s="88"/>
      <c r="V4207" s="88"/>
      <c r="W4207" s="88"/>
    </row>
    <row r="4208" spans="2:23" s="0" customFormat="0" ht="15">
      <c r="B4208" s="87" t="s">
        <v>1</v>
      </c>
      <c r="C4208" s="88" t="s">
        <v>5259</v>
      </c>
      <c r="D4208" s="88">
        <v>12339029</v>
      </c>
      <c r="E4208" s="88" t="s">
        <v>61</v>
      </c>
      <c r="F4208" s="88">
        <v>0</v>
      </c>
      <c r="G4208" s="78">
        <f>MAX(H4208,I4208,J4208)</f>
        <v>1</v>
      </c>
      <c r="H4208" s="88"/>
      <c r="I4208" s="88"/>
      <c r="J4208" s="78">
        <f>MAX(K4208:Q4208)</f>
        <v>1</v>
      </c>
      <c r="K4208" s="88">
        <v>1</v>
      </c>
      <c r="L4208" s="88"/>
      <c r="M4208" s="88"/>
      <c r="N4208" s="88"/>
      <c r="O4208" s="88"/>
      <c r="P4208" s="88"/>
      <c r="Q4208" s="88"/>
      <c r="R4208" s="78">
        <f>MAX(S4208:W4208)</f>
        <v>0</v>
      </c>
      <c r="S4208" s="88"/>
      <c r="T4208" s="88"/>
      <c r="U4208" s="88"/>
      <c r="V4208" s="88"/>
      <c r="W4208" s="88"/>
    </row>
    <row r="4209" spans="2:23" s="0" customFormat="0" ht="15">
      <c r="B4209" s="87" t="s">
        <v>1</v>
      </c>
      <c r="C4209" s="88" t="s">
        <v>5259</v>
      </c>
      <c r="D4209" s="88">
        <v>9399325</v>
      </c>
      <c r="E4209" s="88" t="s">
        <v>61</v>
      </c>
      <c r="F4209" s="88">
        <v>0</v>
      </c>
      <c r="G4209" s="78">
        <f>MAX(H4209,I4209,J4209)</f>
        <v>1</v>
      </c>
      <c r="H4209" s="88"/>
      <c r="I4209" s="88"/>
      <c r="J4209" s="78">
        <f>MAX(K4209:Q4209)</f>
        <v>1</v>
      </c>
      <c r="K4209" s="88">
        <v>1</v>
      </c>
      <c r="L4209" s="88"/>
      <c r="M4209" s="88"/>
      <c r="N4209" s="88"/>
      <c r="O4209" s="88"/>
      <c r="P4209" s="88"/>
      <c r="Q4209" s="88"/>
      <c r="R4209" s="78">
        <f>MAX(S4209:W4209)</f>
        <v>0</v>
      </c>
      <c r="S4209" s="88"/>
      <c r="T4209" s="88"/>
      <c r="U4209" s="88"/>
      <c r="V4209" s="88"/>
      <c r="W4209" s="88"/>
    </row>
    <row r="4210" spans="2:23" s="0" customFormat="0" ht="15">
      <c r="B4210" s="87" t="s">
        <v>1</v>
      </c>
      <c r="C4210" s="88" t="s">
        <v>5259</v>
      </c>
      <c r="D4210" s="88">
        <v>2251474</v>
      </c>
      <c r="E4210" s="88" t="s">
        <v>61</v>
      </c>
      <c r="F4210" s="88">
        <v>0</v>
      </c>
      <c r="G4210" s="78">
        <f>MAX(H4210,I4210,J4210)</f>
        <v>1</v>
      </c>
      <c r="H4210" s="88"/>
      <c r="I4210" s="88"/>
      <c r="J4210" s="78">
        <f>MAX(K4210:Q4210)</f>
        <v>1</v>
      </c>
      <c r="K4210" s="88">
        <v>1</v>
      </c>
      <c r="L4210" s="88"/>
      <c r="M4210" s="88"/>
      <c r="N4210" s="88"/>
      <c r="O4210" s="88"/>
      <c r="P4210" s="88"/>
      <c r="Q4210" s="88"/>
      <c r="R4210" s="78">
        <f>MAX(S4210:W4210)</f>
        <v>0</v>
      </c>
      <c r="S4210" s="88"/>
      <c r="T4210" s="88"/>
      <c r="U4210" s="88"/>
      <c r="V4210" s="88"/>
      <c r="W4210" s="88"/>
    </row>
    <row r="4211" spans="2:23" s="0" customFormat="0" ht="15">
      <c r="B4211" s="87" t="s">
        <v>1</v>
      </c>
      <c r="C4211" s="88" t="s">
        <v>5259</v>
      </c>
      <c r="D4211" s="88" t="s">
        <v>4923</v>
      </c>
      <c r="E4211" s="88" t="s">
        <v>61</v>
      </c>
      <c r="F4211" s="88">
        <v>0</v>
      </c>
      <c r="G4211" s="78">
        <f>MAX(H4211,I4211,J4211)</f>
        <v>0</v>
      </c>
      <c r="H4211" s="88"/>
      <c r="I4211" s="88"/>
      <c r="J4211" s="78">
        <f>MAX(K4211:Q4211)</f>
        <v>0</v>
      </c>
      <c r="K4211" s="88"/>
      <c r="L4211" s="88"/>
      <c r="M4211" s="88"/>
      <c r="N4211" s="88"/>
      <c r="O4211" s="88"/>
      <c r="P4211" s="88"/>
      <c r="Q4211" s="88"/>
      <c r="R4211" s="78">
        <f>MAX(S4211:W4211)</f>
        <v>1</v>
      </c>
      <c r="S4211" s="88"/>
      <c r="T4211" s="88"/>
      <c r="U4211" s="88">
        <v>1</v>
      </c>
      <c r="V4211" s="88"/>
      <c r="W4211" s="88"/>
    </row>
    <row r="4212" spans="2:23" s="0" customFormat="0" ht="15">
      <c r="B4212" s="87" t="s">
        <v>1</v>
      </c>
      <c r="C4212" s="88" t="s">
        <v>5259</v>
      </c>
      <c r="D4212" s="88" t="s">
        <v>2182</v>
      </c>
      <c r="E4212" s="88" t="s">
        <v>61</v>
      </c>
      <c r="F4212" s="88">
        <v>0</v>
      </c>
      <c r="G4212" s="78">
        <f>MAX(H4212,I4212,J4212)</f>
        <v>1</v>
      </c>
      <c r="H4212" s="88"/>
      <c r="I4212" s="88"/>
      <c r="J4212" s="78">
        <f>MAX(K4212:Q4212)</f>
        <v>1</v>
      </c>
      <c r="K4212" s="88">
        <v>1</v>
      </c>
      <c r="L4212" s="88"/>
      <c r="M4212" s="88"/>
      <c r="N4212" s="88"/>
      <c r="O4212" s="88"/>
      <c r="P4212" s="88"/>
      <c r="Q4212" s="88"/>
      <c r="R4212" s="78">
        <f>MAX(S4212:W4212)</f>
        <v>0</v>
      </c>
      <c r="S4212" s="88"/>
      <c r="T4212" s="88"/>
      <c r="U4212" s="88"/>
      <c r="V4212" s="88"/>
      <c r="W4212" s="88"/>
    </row>
    <row r="4213" spans="2:23" s="0" customFormat="0" ht="15">
      <c r="B4213" s="87" t="s">
        <v>1</v>
      </c>
      <c r="C4213" s="88" t="s">
        <v>5259</v>
      </c>
      <c r="D4213" s="88" t="s">
        <v>2514</v>
      </c>
      <c r="E4213" s="88" t="s">
        <v>61</v>
      </c>
      <c r="F4213" s="88">
        <v>0</v>
      </c>
      <c r="G4213" s="78">
        <f>MAX(H4213,I4213,J4213)</f>
        <v>1</v>
      </c>
      <c r="H4213" s="88"/>
      <c r="I4213" s="88"/>
      <c r="J4213" s="78">
        <f>MAX(K4213:Q4213)</f>
        <v>1</v>
      </c>
      <c r="K4213" s="88">
        <v>1</v>
      </c>
      <c r="L4213" s="88"/>
      <c r="M4213" s="88"/>
      <c r="N4213" s="88"/>
      <c r="O4213" s="88"/>
      <c r="P4213" s="88"/>
      <c r="Q4213" s="88"/>
      <c r="R4213" s="78">
        <f>MAX(S4213:W4213)</f>
        <v>0</v>
      </c>
      <c r="S4213" s="88"/>
      <c r="T4213" s="88"/>
      <c r="U4213" s="88"/>
      <c r="V4213" s="88"/>
      <c r="W4213" s="88"/>
    </row>
    <row r="4214" spans="2:23" s="0" customFormat="0" ht="15">
      <c r="B4214" s="87" t="s">
        <v>1</v>
      </c>
      <c r="C4214" s="88" t="s">
        <v>5259</v>
      </c>
      <c r="D4214" s="88">
        <v>12427810</v>
      </c>
      <c r="E4214" s="88" t="s">
        <v>61</v>
      </c>
      <c r="F4214" s="88">
        <v>0</v>
      </c>
      <c r="G4214" s="78">
        <f>MAX(H4214,I4214,J4214)</f>
        <v>1</v>
      </c>
      <c r="H4214" s="88"/>
      <c r="I4214" s="88"/>
      <c r="J4214" s="78">
        <f>MAX(K4214:Q4214)</f>
        <v>1</v>
      </c>
      <c r="K4214" s="88">
        <v>1</v>
      </c>
      <c r="L4214" s="88"/>
      <c r="M4214" s="88"/>
      <c r="N4214" s="88"/>
      <c r="O4214" s="88"/>
      <c r="P4214" s="88"/>
      <c r="Q4214" s="88"/>
      <c r="R4214" s="78">
        <f>MAX(S4214:W4214)</f>
        <v>0</v>
      </c>
      <c r="S4214" s="88"/>
      <c r="T4214" s="88"/>
      <c r="U4214" s="88"/>
      <c r="V4214" s="88"/>
      <c r="W4214" s="88"/>
    </row>
    <row r="4215" spans="2:23" s="0" customFormat="0" ht="15">
      <c r="B4215" s="87" t="s">
        <v>1</v>
      </c>
      <c r="C4215" s="88" t="s">
        <v>5259</v>
      </c>
      <c r="D4215" s="88">
        <v>13442904</v>
      </c>
      <c r="E4215" s="88" t="s">
        <v>61</v>
      </c>
      <c r="F4215" s="88">
        <v>0</v>
      </c>
      <c r="G4215" s="78">
        <f>MAX(H4215,I4215,J4215)</f>
        <v>1</v>
      </c>
      <c r="H4215" s="88"/>
      <c r="I4215" s="88"/>
      <c r="J4215" s="78">
        <f>MAX(K4215:Q4215)</f>
        <v>1</v>
      </c>
      <c r="K4215" s="88">
        <v>1</v>
      </c>
      <c r="L4215" s="88"/>
      <c r="M4215" s="88"/>
      <c r="N4215" s="88"/>
      <c r="O4215" s="88"/>
      <c r="P4215" s="88"/>
      <c r="Q4215" s="88"/>
      <c r="R4215" s="78">
        <f>MAX(S4215:W4215)</f>
        <v>0</v>
      </c>
      <c r="S4215" s="88"/>
      <c r="T4215" s="88"/>
      <c r="U4215" s="88"/>
      <c r="V4215" s="88"/>
      <c r="W4215" s="88"/>
    </row>
    <row r="4216" spans="2:23" s="0" customFormat="0" ht="15">
      <c r="B4216" s="87" t="s">
        <v>1</v>
      </c>
      <c r="C4216" s="88" t="s">
        <v>5259</v>
      </c>
      <c r="D4216" s="88">
        <v>9542984</v>
      </c>
      <c r="E4216" s="88" t="s">
        <v>61</v>
      </c>
      <c r="F4216" s="88">
        <v>0</v>
      </c>
      <c r="G4216" s="78">
        <f>MAX(H4216,I4216,J4216)</f>
        <v>1</v>
      </c>
      <c r="H4216" s="88"/>
      <c r="I4216" s="88"/>
      <c r="J4216" s="78">
        <f>MAX(K4216:Q4216)</f>
        <v>1</v>
      </c>
      <c r="K4216" s="88">
        <v>1</v>
      </c>
      <c r="L4216" s="88"/>
      <c r="M4216" s="88"/>
      <c r="N4216" s="88"/>
      <c r="O4216" s="88"/>
      <c r="P4216" s="88"/>
      <c r="Q4216" s="88"/>
      <c r="R4216" s="78">
        <f>MAX(S4216:W4216)</f>
        <v>0</v>
      </c>
      <c r="S4216" s="88"/>
      <c r="T4216" s="88"/>
      <c r="U4216" s="88"/>
      <c r="V4216" s="88"/>
      <c r="W4216" s="88"/>
    </row>
    <row r="4217" spans="2:23" s="0" customFormat="0" ht="15">
      <c r="B4217" s="87" t="s">
        <v>1</v>
      </c>
      <c r="C4217" s="88" t="s">
        <v>5259</v>
      </c>
      <c r="D4217" s="88">
        <v>14723457</v>
      </c>
      <c r="E4217" s="88" t="s">
        <v>61</v>
      </c>
      <c r="F4217" s="88">
        <v>0</v>
      </c>
      <c r="G4217" s="78">
        <f>MAX(H4217,I4217,J4217)</f>
        <v>1</v>
      </c>
      <c r="H4217" s="88"/>
      <c r="I4217" s="88"/>
      <c r="J4217" s="78">
        <f>MAX(K4217:Q4217)</f>
        <v>1</v>
      </c>
      <c r="K4217" s="88">
        <v>1</v>
      </c>
      <c r="L4217" s="88"/>
      <c r="M4217" s="88"/>
      <c r="N4217" s="88"/>
      <c r="O4217" s="88"/>
      <c r="P4217" s="88"/>
      <c r="Q4217" s="88"/>
      <c r="R4217" s="78">
        <f>MAX(S4217:W4217)</f>
        <v>0</v>
      </c>
      <c r="S4217" s="88"/>
      <c r="T4217" s="88"/>
      <c r="U4217" s="88"/>
      <c r="V4217" s="88"/>
      <c r="W4217" s="88"/>
    </row>
    <row r="4218" spans="2:23" s="0" customFormat="0" ht="15">
      <c r="B4218" s="87" t="s">
        <v>1</v>
      </c>
      <c r="C4218" s="88" t="s">
        <v>5259</v>
      </c>
      <c r="D4218" s="88">
        <v>15861135</v>
      </c>
      <c r="E4218" s="88" t="s">
        <v>61</v>
      </c>
      <c r="F4218" s="88">
        <v>0</v>
      </c>
      <c r="G4218" s="78">
        <f>MAX(H4218,I4218,J4218)</f>
        <v>1</v>
      </c>
      <c r="H4218" s="88"/>
      <c r="I4218" s="88"/>
      <c r="J4218" s="78">
        <f>MAX(K4218:Q4218)</f>
        <v>1</v>
      </c>
      <c r="K4218" s="88">
        <v>1</v>
      </c>
      <c r="L4218" s="88"/>
      <c r="M4218" s="88"/>
      <c r="N4218" s="88"/>
      <c r="O4218" s="88"/>
      <c r="P4218" s="88"/>
      <c r="Q4218" s="88"/>
      <c r="R4218" s="78">
        <f>MAX(S4218:W4218)</f>
        <v>0</v>
      </c>
      <c r="S4218" s="88"/>
      <c r="T4218" s="88"/>
      <c r="U4218" s="88"/>
      <c r="V4218" s="88"/>
      <c r="W4218" s="88"/>
    </row>
    <row r="4219" spans="2:23" s="0" customFormat="0" ht="15">
      <c r="B4219" s="87" t="s">
        <v>1</v>
      </c>
      <c r="C4219" s="88" t="s">
        <v>5259</v>
      </c>
      <c r="D4219" s="88">
        <v>22554498</v>
      </c>
      <c r="E4219" s="88" t="s">
        <v>61</v>
      </c>
      <c r="F4219" s="88">
        <v>0</v>
      </c>
      <c r="G4219" s="78">
        <f>MAX(H4219,I4219,J4219)</f>
        <v>0</v>
      </c>
      <c r="H4219" s="88"/>
      <c r="I4219" s="88"/>
      <c r="J4219" s="78">
        <f>MAX(K4219:Q4219)</f>
        <v>0</v>
      </c>
      <c r="K4219" s="88"/>
      <c r="L4219" s="88"/>
      <c r="M4219" s="88"/>
      <c r="N4219" s="88"/>
      <c r="O4219" s="88"/>
      <c r="P4219" s="88"/>
      <c r="Q4219" s="88"/>
      <c r="R4219" s="78">
        <f>MAX(S4219:W4219)</f>
        <v>1</v>
      </c>
      <c r="S4219" s="88"/>
      <c r="T4219" s="88"/>
      <c r="U4219" s="88">
        <v>1</v>
      </c>
      <c r="V4219" s="88"/>
      <c r="W4219" s="88"/>
    </row>
    <row r="4220" spans="2:23" s="0" customFormat="0" ht="15">
      <c r="B4220" s="87" t="s">
        <v>1</v>
      </c>
      <c r="C4220" s="88" t="s">
        <v>5259</v>
      </c>
      <c r="D4220" s="88">
        <v>19616258</v>
      </c>
      <c r="E4220" s="88" t="s">
        <v>61</v>
      </c>
      <c r="F4220" s="88">
        <v>0</v>
      </c>
      <c r="G4220" s="78">
        <f>MAX(H4220,I4220,J4220)</f>
        <v>1</v>
      </c>
      <c r="H4220" s="88"/>
      <c r="I4220" s="88"/>
      <c r="J4220" s="78">
        <f>MAX(K4220:Q4220)</f>
        <v>1</v>
      </c>
      <c r="K4220" s="88">
        <v>1</v>
      </c>
      <c r="L4220" s="88"/>
      <c r="M4220" s="88"/>
      <c r="N4220" s="88"/>
      <c r="O4220" s="88"/>
      <c r="P4220" s="88"/>
      <c r="Q4220" s="88"/>
      <c r="R4220" s="78">
        <f>MAX(S4220:W4220)</f>
        <v>0</v>
      </c>
      <c r="S4220" s="88"/>
      <c r="T4220" s="88"/>
      <c r="U4220" s="88"/>
      <c r="V4220" s="88"/>
      <c r="W4220" s="88"/>
    </row>
    <row r="4221" spans="2:23" s="0" customFormat="0" ht="15">
      <c r="B4221" s="87" t="s">
        <v>1</v>
      </c>
      <c r="C4221" s="88" t="s">
        <v>5259</v>
      </c>
      <c r="D4221" s="88">
        <v>23297633</v>
      </c>
      <c r="E4221" s="88" t="s">
        <v>61</v>
      </c>
      <c r="F4221" s="88">
        <v>0</v>
      </c>
      <c r="G4221" s="78">
        <f>MAX(H4221,I4221,J4221)</f>
        <v>1</v>
      </c>
      <c r="H4221" s="88"/>
      <c r="I4221" s="88"/>
      <c r="J4221" s="78">
        <f>MAX(K4221:Q4221)</f>
        <v>1</v>
      </c>
      <c r="K4221" s="88">
        <v>1</v>
      </c>
      <c r="L4221" s="88"/>
      <c r="M4221" s="88"/>
      <c r="N4221" s="88"/>
      <c r="O4221" s="88"/>
      <c r="P4221" s="88"/>
      <c r="Q4221" s="88"/>
      <c r="R4221" s="78">
        <f>MAX(S4221:W4221)</f>
        <v>0</v>
      </c>
      <c r="S4221" s="88"/>
      <c r="T4221" s="88"/>
      <c r="U4221" s="88"/>
      <c r="V4221" s="88"/>
      <c r="W4221" s="88"/>
    </row>
    <row r="4222" spans="2:23" s="0" customFormat="0" ht="15">
      <c r="B4222" s="87" t="s">
        <v>1</v>
      </c>
      <c r="C4222" s="88" t="s">
        <v>5259</v>
      </c>
      <c r="D4222" s="88">
        <v>18003004</v>
      </c>
      <c r="E4222" s="88" t="s">
        <v>61</v>
      </c>
      <c r="F4222" s="88">
        <v>0</v>
      </c>
      <c r="G4222" s="78">
        <f>MAX(H4222,I4222,J4222)</f>
        <v>1</v>
      </c>
      <c r="H4222" s="88"/>
      <c r="I4222" s="88"/>
      <c r="J4222" s="78">
        <f>MAX(K4222:Q4222)</f>
        <v>1</v>
      </c>
      <c r="K4222" s="88">
        <v>1</v>
      </c>
      <c r="L4222" s="88"/>
      <c r="M4222" s="88"/>
      <c r="N4222" s="88"/>
      <c r="O4222" s="88"/>
      <c r="P4222" s="88"/>
      <c r="Q4222" s="88"/>
      <c r="R4222" s="78">
        <f>MAX(S4222:W4222)</f>
        <v>0</v>
      </c>
      <c r="S4222" s="88"/>
      <c r="T4222" s="88"/>
      <c r="U4222" s="88"/>
      <c r="V4222" s="88"/>
      <c r="W4222" s="88"/>
    </row>
    <row r="4223" spans="2:23" s="0" customFormat="0" ht="15">
      <c r="B4223" s="87" t="s">
        <v>1</v>
      </c>
      <c r="C4223" s="88" t="s">
        <v>5259</v>
      </c>
      <c r="D4223" s="88" t="s">
        <v>4570</v>
      </c>
      <c r="E4223" s="88" t="s">
        <v>61</v>
      </c>
      <c r="F4223" s="88">
        <v>0</v>
      </c>
      <c r="G4223" s="78">
        <f>MAX(H4223,I4223,J4223)</f>
        <v>0</v>
      </c>
      <c r="H4223" s="88"/>
      <c r="I4223" s="88"/>
      <c r="J4223" s="78">
        <f>MAX(K4223:Q4223)</f>
        <v>0</v>
      </c>
      <c r="K4223" s="88"/>
      <c r="L4223" s="88"/>
      <c r="M4223" s="88"/>
      <c r="N4223" s="88"/>
      <c r="O4223" s="88"/>
      <c r="P4223" s="88"/>
      <c r="Q4223" s="88"/>
      <c r="R4223" s="78">
        <f>MAX(S4223:W4223)</f>
        <v>1</v>
      </c>
      <c r="S4223" s="88"/>
      <c r="T4223" s="88"/>
      <c r="U4223" s="88">
        <v>1</v>
      </c>
      <c r="V4223" s="88"/>
      <c r="W4223" s="88"/>
    </row>
    <row r="4224" spans="2:23" s="0" customFormat="0" ht="15">
      <c r="B4224" s="87" t="s">
        <v>1</v>
      </c>
      <c r="C4224" s="88" t="s">
        <v>5259</v>
      </c>
      <c r="D4224" s="88">
        <v>15342010</v>
      </c>
      <c r="E4224" s="88" t="s">
        <v>61</v>
      </c>
      <c r="F4224" s="88">
        <v>0</v>
      </c>
      <c r="G4224" s="78">
        <f>MAX(H4224,I4224,J4224)</f>
        <v>1</v>
      </c>
      <c r="H4224" s="88"/>
      <c r="I4224" s="88"/>
      <c r="J4224" s="78">
        <f>MAX(K4224:Q4224)</f>
        <v>1</v>
      </c>
      <c r="K4224" s="88">
        <v>1</v>
      </c>
      <c r="L4224" s="88"/>
      <c r="M4224" s="88"/>
      <c r="N4224" s="88"/>
      <c r="O4224" s="88"/>
      <c r="P4224" s="88"/>
      <c r="Q4224" s="88"/>
      <c r="R4224" s="78">
        <f>MAX(S4224:W4224)</f>
        <v>0</v>
      </c>
      <c r="S4224" s="88"/>
      <c r="T4224" s="88"/>
      <c r="U4224" s="88"/>
      <c r="V4224" s="88"/>
      <c r="W4224" s="88"/>
    </row>
    <row r="4225" spans="2:23" s="0" customFormat="0" ht="15">
      <c r="B4225" s="87" t="s">
        <v>1</v>
      </c>
      <c r="C4225" s="88" t="s">
        <v>5259</v>
      </c>
      <c r="D4225" s="88">
        <v>22214087</v>
      </c>
      <c r="E4225" s="88" t="s">
        <v>61</v>
      </c>
      <c r="F4225" s="88">
        <v>0</v>
      </c>
      <c r="G4225" s="78">
        <f>MAX(H4225,I4225,J4225)</f>
        <v>1</v>
      </c>
      <c r="H4225" s="88"/>
      <c r="I4225" s="88"/>
      <c r="J4225" s="78">
        <f>MAX(K4225:Q4225)</f>
        <v>1</v>
      </c>
      <c r="K4225" s="88">
        <v>1</v>
      </c>
      <c r="L4225" s="88"/>
      <c r="M4225" s="88"/>
      <c r="N4225" s="88"/>
      <c r="O4225" s="88"/>
      <c r="P4225" s="88"/>
      <c r="Q4225" s="88"/>
      <c r="R4225" s="78">
        <f>MAX(S4225:W4225)</f>
        <v>0</v>
      </c>
      <c r="S4225" s="88"/>
      <c r="T4225" s="88"/>
      <c r="U4225" s="88"/>
      <c r="V4225" s="88"/>
      <c r="W4225" s="88"/>
    </row>
    <row r="4226" spans="2:23" s="0" customFormat="0" ht="15">
      <c r="B4226" s="87" t="s">
        <v>1</v>
      </c>
      <c r="C4226" s="88" t="s">
        <v>5259</v>
      </c>
      <c r="D4226" s="88">
        <v>7175517</v>
      </c>
      <c r="E4226" s="88" t="s">
        <v>61</v>
      </c>
      <c r="F4226" s="88">
        <v>0</v>
      </c>
      <c r="G4226" s="78">
        <f>MAX(H4226,I4226,J4226)</f>
        <v>1</v>
      </c>
      <c r="H4226" s="88"/>
      <c r="I4226" s="88"/>
      <c r="J4226" s="78">
        <f>MAX(K4226:Q4226)</f>
        <v>1</v>
      </c>
      <c r="K4226" s="88">
        <v>1</v>
      </c>
      <c r="L4226" s="88"/>
      <c r="M4226" s="88"/>
      <c r="N4226" s="88"/>
      <c r="O4226" s="88"/>
      <c r="P4226" s="88"/>
      <c r="Q4226" s="88"/>
      <c r="R4226" s="78">
        <f>MAX(S4226:W4226)</f>
        <v>0</v>
      </c>
      <c r="S4226" s="88"/>
      <c r="T4226" s="88"/>
      <c r="U4226" s="88"/>
      <c r="V4226" s="88"/>
      <c r="W4226" s="88"/>
    </row>
    <row r="4227" spans="2:23" s="0" customFormat="0" ht="15">
      <c r="B4227" s="87" t="s">
        <v>1</v>
      </c>
      <c r="C4227" s="88" t="s">
        <v>5259</v>
      </c>
      <c r="D4227" s="88">
        <v>19906434</v>
      </c>
      <c r="E4227" s="88" t="s">
        <v>61</v>
      </c>
      <c r="F4227" s="88">
        <v>0</v>
      </c>
      <c r="G4227" s="78">
        <f>MAX(H4227,I4227,J4227)</f>
        <v>1</v>
      </c>
      <c r="H4227" s="88"/>
      <c r="I4227" s="88"/>
      <c r="J4227" s="78">
        <f>MAX(K4227:Q4227)</f>
        <v>1</v>
      </c>
      <c r="K4227" s="88">
        <v>1</v>
      </c>
      <c r="L4227" s="88"/>
      <c r="M4227" s="88"/>
      <c r="N4227" s="88"/>
      <c r="O4227" s="88"/>
      <c r="P4227" s="88"/>
      <c r="Q4227" s="88"/>
      <c r="R4227" s="78">
        <f>MAX(S4227:W4227)</f>
        <v>0</v>
      </c>
      <c r="S4227" s="88"/>
      <c r="T4227" s="88"/>
      <c r="U4227" s="88"/>
      <c r="V4227" s="88"/>
      <c r="W4227" s="88"/>
    </row>
    <row r="4228" spans="2:23" s="0" customFormat="0" ht="15">
      <c r="B4228" s="87" t="s">
        <v>1</v>
      </c>
      <c r="C4228" s="88" t="s">
        <v>5259</v>
      </c>
      <c r="D4228" s="88">
        <v>12495001</v>
      </c>
      <c r="E4228" s="88" t="s">
        <v>61</v>
      </c>
      <c r="F4228" s="88">
        <v>0</v>
      </c>
      <c r="G4228" s="78">
        <f>MAX(H4228,I4228,J4228)</f>
        <v>1</v>
      </c>
      <c r="H4228" s="88"/>
      <c r="I4228" s="88"/>
      <c r="J4228" s="78">
        <f>MAX(K4228:Q4228)</f>
        <v>1</v>
      </c>
      <c r="K4228" s="88">
        <v>1</v>
      </c>
      <c r="L4228" s="88"/>
      <c r="M4228" s="88"/>
      <c r="N4228" s="88"/>
      <c r="O4228" s="88"/>
      <c r="P4228" s="88"/>
      <c r="Q4228" s="88"/>
      <c r="R4228" s="78">
        <f>MAX(S4228:W4228)</f>
        <v>0</v>
      </c>
      <c r="S4228" s="88"/>
      <c r="T4228" s="88"/>
      <c r="U4228" s="88"/>
      <c r="V4228" s="88"/>
      <c r="W4228" s="88"/>
    </row>
    <row r="4229" spans="2:23" s="0" customFormat="0" ht="15">
      <c r="B4229" s="87" t="s">
        <v>1</v>
      </c>
      <c r="C4229" s="88" t="s">
        <v>5259</v>
      </c>
      <c r="D4229" s="88">
        <v>22927469</v>
      </c>
      <c r="E4229" s="88" t="s">
        <v>61</v>
      </c>
      <c r="F4229" s="88">
        <v>0</v>
      </c>
      <c r="G4229" s="78">
        <f>MAX(H4229,I4229,J4229)</f>
        <v>1</v>
      </c>
      <c r="H4229" s="88"/>
      <c r="I4229" s="88"/>
      <c r="J4229" s="78">
        <f>MAX(K4229:Q4229)</f>
        <v>1</v>
      </c>
      <c r="K4229" s="88">
        <v>1</v>
      </c>
      <c r="L4229" s="88"/>
      <c r="M4229" s="88"/>
      <c r="N4229" s="88"/>
      <c r="O4229" s="88"/>
      <c r="P4229" s="88"/>
      <c r="Q4229" s="88"/>
      <c r="R4229" s="78">
        <f>MAX(S4229:W4229)</f>
        <v>0</v>
      </c>
      <c r="S4229" s="88"/>
      <c r="T4229" s="88"/>
      <c r="U4229" s="88"/>
      <c r="V4229" s="88"/>
      <c r="W4229" s="88"/>
    </row>
    <row r="4230" spans="2:23" s="0" customFormat="0" ht="15">
      <c r="B4230" s="87" t="s">
        <v>1</v>
      </c>
      <c r="C4230" s="88" t="s">
        <v>5259</v>
      </c>
      <c r="D4230" s="88">
        <v>22554085</v>
      </c>
      <c r="E4230" s="88" t="s">
        <v>61</v>
      </c>
      <c r="F4230" s="88">
        <v>0</v>
      </c>
      <c r="G4230" s="78">
        <f>MAX(H4230,I4230,J4230)</f>
        <v>0</v>
      </c>
      <c r="H4230" s="88"/>
      <c r="I4230" s="88"/>
      <c r="J4230" s="78">
        <f>MAX(K4230:Q4230)</f>
        <v>0</v>
      </c>
      <c r="K4230" s="88"/>
      <c r="L4230" s="88"/>
      <c r="M4230" s="88"/>
      <c r="N4230" s="88"/>
      <c r="O4230" s="88"/>
      <c r="P4230" s="88"/>
      <c r="Q4230" s="88"/>
      <c r="R4230" s="78">
        <f>MAX(S4230:W4230)</f>
        <v>1</v>
      </c>
      <c r="S4230" s="88"/>
      <c r="T4230" s="88"/>
      <c r="U4230" s="88">
        <v>1</v>
      </c>
      <c r="V4230" s="88"/>
      <c r="W4230" s="88"/>
    </row>
    <row r="4231" spans="2:23" s="0" customFormat="0" ht="15">
      <c r="B4231" s="87" t="s">
        <v>1</v>
      </c>
      <c r="C4231" s="88" t="s">
        <v>5259</v>
      </c>
      <c r="D4231" s="88">
        <v>22048320</v>
      </c>
      <c r="E4231" s="88" t="s">
        <v>61</v>
      </c>
      <c r="F4231" s="88">
        <v>0</v>
      </c>
      <c r="G4231" s="78">
        <f>MAX(H4231,I4231,J4231)</f>
        <v>1</v>
      </c>
      <c r="H4231" s="88"/>
      <c r="I4231" s="88"/>
      <c r="J4231" s="78">
        <f>MAX(K4231:Q4231)</f>
        <v>1</v>
      </c>
      <c r="K4231" s="88">
        <v>1</v>
      </c>
      <c r="L4231" s="88"/>
      <c r="M4231" s="88"/>
      <c r="N4231" s="88"/>
      <c r="O4231" s="88"/>
      <c r="P4231" s="88"/>
      <c r="Q4231" s="88"/>
      <c r="R4231" s="78">
        <f>MAX(S4231:W4231)</f>
        <v>0</v>
      </c>
      <c r="S4231" s="88"/>
      <c r="T4231" s="88"/>
      <c r="U4231" s="88"/>
      <c r="V4231" s="88"/>
      <c r="W4231" s="88"/>
    </row>
    <row r="4232" spans="2:23" s="0" customFormat="0" ht="15">
      <c r="B4232" s="87" t="s">
        <v>1</v>
      </c>
      <c r="C4232" s="88" t="s">
        <v>5259</v>
      </c>
      <c r="D4232" s="88">
        <v>16080750</v>
      </c>
      <c r="E4232" s="88" t="s">
        <v>61</v>
      </c>
      <c r="F4232" s="88">
        <v>0</v>
      </c>
      <c r="G4232" s="78">
        <f>MAX(H4232,I4232,J4232)</f>
        <v>1</v>
      </c>
      <c r="H4232" s="88"/>
      <c r="I4232" s="88"/>
      <c r="J4232" s="78">
        <f>MAX(K4232:Q4232)</f>
        <v>1</v>
      </c>
      <c r="K4232" s="88">
        <v>1</v>
      </c>
      <c r="L4232" s="88"/>
      <c r="M4232" s="88"/>
      <c r="N4232" s="88"/>
      <c r="O4232" s="88"/>
      <c r="P4232" s="88"/>
      <c r="Q4232" s="88"/>
      <c r="R4232" s="78">
        <f>MAX(S4232:W4232)</f>
        <v>0</v>
      </c>
      <c r="S4232" s="88"/>
      <c r="T4232" s="88"/>
      <c r="U4232" s="88"/>
      <c r="V4232" s="88"/>
      <c r="W4232" s="88"/>
    </row>
    <row r="4233" spans="2:23" s="0" customFormat="0" ht="15">
      <c r="B4233" s="87" t="s">
        <v>1</v>
      </c>
      <c r="C4233" s="88" t="s">
        <v>5259</v>
      </c>
      <c r="D4233" s="88">
        <v>22857475</v>
      </c>
      <c r="E4233" s="88" t="s">
        <v>61</v>
      </c>
      <c r="F4233" s="88">
        <v>0</v>
      </c>
      <c r="G4233" s="78">
        <f>MAX(H4233,I4233,J4233)</f>
        <v>1</v>
      </c>
      <c r="H4233" s="88"/>
      <c r="I4233" s="88"/>
      <c r="J4233" s="78">
        <f>MAX(K4233:Q4233)</f>
        <v>1</v>
      </c>
      <c r="K4233" s="88"/>
      <c r="L4233" s="88"/>
      <c r="M4233" s="88"/>
      <c r="N4233" s="88"/>
      <c r="O4233" s="88">
        <v>1</v>
      </c>
      <c r="P4233" s="88"/>
      <c r="Q4233" s="88"/>
      <c r="R4233" s="78">
        <f>MAX(S4233:W4233)</f>
        <v>0</v>
      </c>
      <c r="S4233" s="88"/>
      <c r="T4233" s="88"/>
      <c r="U4233" s="88"/>
      <c r="V4233" s="88"/>
      <c r="W4233" s="88"/>
    </row>
    <row r="4234" spans="2:23" s="0" customFormat="0" ht="15">
      <c r="B4234" s="87" t="s">
        <v>1</v>
      </c>
      <c r="C4234" s="88" t="s">
        <v>5259</v>
      </c>
      <c r="D4234" s="88">
        <v>14691120</v>
      </c>
      <c r="E4234" s="88" t="s">
        <v>61</v>
      </c>
      <c r="F4234" s="88">
        <v>0</v>
      </c>
      <c r="G4234" s="78">
        <f>MAX(H4234,I4234,J4234)</f>
        <v>1</v>
      </c>
      <c r="H4234" s="88"/>
      <c r="I4234" s="88"/>
      <c r="J4234" s="78">
        <f>MAX(K4234:Q4234)</f>
        <v>1</v>
      </c>
      <c r="K4234" s="88">
        <v>1</v>
      </c>
      <c r="L4234" s="88"/>
      <c r="M4234" s="88"/>
      <c r="N4234" s="88"/>
      <c r="O4234" s="88"/>
      <c r="P4234" s="88"/>
      <c r="Q4234" s="88"/>
      <c r="R4234" s="78">
        <f>MAX(S4234:W4234)</f>
        <v>0</v>
      </c>
      <c r="S4234" s="88"/>
      <c r="T4234" s="88"/>
      <c r="U4234" s="88"/>
      <c r="V4234" s="88"/>
      <c r="W4234" s="88"/>
    </row>
    <row r="4235" spans="2:23" s="0" customFormat="0" ht="15">
      <c r="B4235" s="87" t="s">
        <v>1</v>
      </c>
      <c r="C4235" s="88" t="s">
        <v>5259</v>
      </c>
      <c r="D4235" s="88">
        <v>16974047</v>
      </c>
      <c r="E4235" s="88" t="s">
        <v>61</v>
      </c>
      <c r="F4235" s="88">
        <v>0</v>
      </c>
      <c r="G4235" s="78">
        <f>MAX(H4235,I4235,J4235)</f>
        <v>0</v>
      </c>
      <c r="H4235" s="88"/>
      <c r="I4235" s="88"/>
      <c r="J4235" s="78">
        <f>MAX(K4235:Q4235)</f>
        <v>0</v>
      </c>
      <c r="K4235" s="88"/>
      <c r="L4235" s="88"/>
      <c r="M4235" s="88"/>
      <c r="N4235" s="88"/>
      <c r="O4235" s="88"/>
      <c r="P4235" s="88"/>
      <c r="Q4235" s="88"/>
      <c r="R4235" s="78">
        <f>MAX(S4235:W4235)</f>
        <v>1</v>
      </c>
      <c r="S4235" s="88"/>
      <c r="T4235" s="88"/>
      <c r="U4235" s="88"/>
      <c r="V4235" s="88">
        <v>1</v>
      </c>
      <c r="W4235" s="88"/>
    </row>
    <row r="4236" spans="2:23" s="0" customFormat="0" ht="15">
      <c r="B4236" s="87" t="s">
        <v>1</v>
      </c>
      <c r="C4236" s="88" t="s">
        <v>5259</v>
      </c>
      <c r="D4236" s="88" t="s">
        <v>3932</v>
      </c>
      <c r="E4236" s="88" t="s">
        <v>61</v>
      </c>
      <c r="F4236" s="88">
        <v>0</v>
      </c>
      <c r="G4236" s="78">
        <f>MAX(H4236,I4236,J4236)</f>
        <v>0</v>
      </c>
      <c r="H4236" s="88"/>
      <c r="I4236" s="88"/>
      <c r="J4236" s="78">
        <f>MAX(K4236:Q4236)</f>
        <v>0</v>
      </c>
      <c r="K4236" s="88"/>
      <c r="L4236" s="88"/>
      <c r="M4236" s="88"/>
      <c r="N4236" s="88"/>
      <c r="O4236" s="88"/>
      <c r="P4236" s="88"/>
      <c r="Q4236" s="88"/>
      <c r="R4236" s="78">
        <f>MAX(S4236:W4236)</f>
        <v>1</v>
      </c>
      <c r="S4236" s="88"/>
      <c r="T4236" s="88"/>
      <c r="U4236" s="88">
        <v>1</v>
      </c>
      <c r="V4236" s="88"/>
      <c r="W4236" s="88"/>
    </row>
    <row r="4237" spans="2:23" s="0" customFormat="0" ht="15">
      <c r="B4237" s="87" t="s">
        <v>1</v>
      </c>
      <c r="C4237" s="88" t="s">
        <v>5259</v>
      </c>
      <c r="D4237" s="88" t="s">
        <v>2520</v>
      </c>
      <c r="E4237" s="88" t="s">
        <v>61</v>
      </c>
      <c r="F4237" s="88">
        <v>0</v>
      </c>
      <c r="G4237" s="78">
        <f>MAX(H4237,I4237,J4237)</f>
        <v>1</v>
      </c>
      <c r="H4237" s="88"/>
      <c r="I4237" s="88"/>
      <c r="J4237" s="78">
        <f>MAX(K4237:Q4237)</f>
        <v>1</v>
      </c>
      <c r="K4237" s="88">
        <v>1</v>
      </c>
      <c r="L4237" s="88"/>
      <c r="M4237" s="88"/>
      <c r="N4237" s="88"/>
      <c r="O4237" s="88"/>
      <c r="P4237" s="88"/>
      <c r="Q4237" s="88"/>
      <c r="R4237" s="78">
        <f>MAX(S4237:W4237)</f>
        <v>0</v>
      </c>
      <c r="S4237" s="88"/>
      <c r="T4237" s="88"/>
      <c r="U4237" s="88"/>
      <c r="V4237" s="88"/>
      <c r="W4237" s="88"/>
    </row>
    <row r="4238" spans="2:23" s="0" customFormat="0" ht="15">
      <c r="B4238" s="87" t="s">
        <v>1</v>
      </c>
      <c r="C4238" s="88" t="s">
        <v>5259</v>
      </c>
      <c r="D4238" s="88" t="s">
        <v>4019</v>
      </c>
      <c r="E4238" s="88" t="s">
        <v>61</v>
      </c>
      <c r="F4238" s="88">
        <v>0</v>
      </c>
      <c r="G4238" s="78">
        <f>MAX(H4238,I4238,J4238)</f>
        <v>0</v>
      </c>
      <c r="H4238" s="88"/>
      <c r="I4238" s="88"/>
      <c r="J4238" s="78">
        <f>MAX(K4238:Q4238)</f>
        <v>0</v>
      </c>
      <c r="K4238" s="88"/>
      <c r="L4238" s="88"/>
      <c r="M4238" s="88"/>
      <c r="N4238" s="88"/>
      <c r="O4238" s="88"/>
      <c r="P4238" s="88"/>
      <c r="Q4238" s="88"/>
      <c r="R4238" s="78">
        <f>MAX(S4238:W4238)</f>
        <v>1</v>
      </c>
      <c r="S4238" s="88"/>
      <c r="T4238" s="88"/>
      <c r="U4238" s="88">
        <v>1</v>
      </c>
      <c r="V4238" s="88"/>
      <c r="W4238" s="88"/>
    </row>
    <row r="4239" spans="2:23" s="0" customFormat="0" ht="15">
      <c r="B4239" s="87" t="s">
        <v>1</v>
      </c>
      <c r="C4239" s="88" t="s">
        <v>5259</v>
      </c>
      <c r="D4239" s="88">
        <v>5325710</v>
      </c>
      <c r="E4239" s="88" t="s">
        <v>61</v>
      </c>
      <c r="F4239" s="88">
        <v>0</v>
      </c>
      <c r="G4239" s="78">
        <f>MAX(H4239,I4239,J4239)</f>
        <v>1</v>
      </c>
      <c r="H4239" s="88"/>
      <c r="I4239" s="88"/>
      <c r="J4239" s="78">
        <f>MAX(K4239:Q4239)</f>
        <v>1</v>
      </c>
      <c r="K4239" s="88">
        <v>1</v>
      </c>
      <c r="L4239" s="88"/>
      <c r="M4239" s="88"/>
      <c r="N4239" s="88"/>
      <c r="O4239" s="88"/>
      <c r="P4239" s="88"/>
      <c r="Q4239" s="88"/>
      <c r="R4239" s="78">
        <f>MAX(S4239:W4239)</f>
        <v>0</v>
      </c>
      <c r="S4239" s="88"/>
      <c r="T4239" s="88"/>
      <c r="U4239" s="88"/>
      <c r="V4239" s="88"/>
      <c r="W4239" s="88"/>
    </row>
    <row r="4240" spans="2:23" s="0" customFormat="0" ht="15">
      <c r="B4240" s="87" t="s">
        <v>1</v>
      </c>
      <c r="C4240" s="88" t="s">
        <v>5259</v>
      </c>
      <c r="D4240" s="88">
        <v>13162715</v>
      </c>
      <c r="E4240" s="88" t="s">
        <v>61</v>
      </c>
      <c r="F4240" s="88">
        <v>0</v>
      </c>
      <c r="G4240" s="78">
        <f>MAX(H4240,I4240,J4240)</f>
        <v>1</v>
      </c>
      <c r="H4240" s="88"/>
      <c r="I4240" s="88"/>
      <c r="J4240" s="78">
        <f>MAX(K4240:Q4240)</f>
        <v>1</v>
      </c>
      <c r="K4240" s="88">
        <v>1</v>
      </c>
      <c r="L4240" s="88"/>
      <c r="M4240" s="88"/>
      <c r="N4240" s="88"/>
      <c r="O4240" s="88"/>
      <c r="P4240" s="88"/>
      <c r="Q4240" s="88"/>
      <c r="R4240" s="78">
        <f>MAX(S4240:W4240)</f>
        <v>0</v>
      </c>
      <c r="S4240" s="88"/>
      <c r="T4240" s="88"/>
      <c r="U4240" s="88"/>
      <c r="V4240" s="88"/>
      <c r="W4240" s="88"/>
    </row>
    <row r="4241" spans="2:23" s="0" customFormat="0" ht="15">
      <c r="B4241" s="87" t="s">
        <v>1</v>
      </c>
      <c r="C4241" s="88" t="s">
        <v>5259</v>
      </c>
      <c r="D4241" s="88">
        <v>22554444</v>
      </c>
      <c r="E4241" s="88" t="s">
        <v>61</v>
      </c>
      <c r="F4241" s="88">
        <v>0</v>
      </c>
      <c r="G4241" s="78">
        <f>MAX(H4241,I4241,J4241)</f>
        <v>0</v>
      </c>
      <c r="H4241" s="88"/>
      <c r="I4241" s="88"/>
      <c r="J4241" s="78">
        <f>MAX(K4241:Q4241)</f>
        <v>0</v>
      </c>
      <c r="K4241" s="88"/>
      <c r="L4241" s="88"/>
      <c r="M4241" s="88"/>
      <c r="N4241" s="88"/>
      <c r="O4241" s="88"/>
      <c r="P4241" s="88"/>
      <c r="Q4241" s="88"/>
      <c r="R4241" s="78">
        <f>MAX(S4241:W4241)</f>
        <v>1</v>
      </c>
      <c r="S4241" s="88"/>
      <c r="T4241" s="88"/>
      <c r="U4241" s="88">
        <v>1</v>
      </c>
      <c r="V4241" s="88"/>
      <c r="W4241" s="88"/>
    </row>
    <row r="4242" spans="2:23" s="0" customFormat="0" ht="15">
      <c r="B4242" s="87" t="s">
        <v>1</v>
      </c>
      <c r="C4242" s="88" t="s">
        <v>5259</v>
      </c>
      <c r="D4242" s="88" t="s">
        <v>3461</v>
      </c>
      <c r="E4242" s="88" t="s">
        <v>61</v>
      </c>
      <c r="F4242" s="88">
        <v>0</v>
      </c>
      <c r="G4242" s="78">
        <f>MAX(H4242,I4242,J4242)</f>
        <v>0</v>
      </c>
      <c r="H4242" s="88"/>
      <c r="I4242" s="88"/>
      <c r="J4242" s="78">
        <f>MAX(K4242:Q4242)</f>
        <v>0</v>
      </c>
      <c r="K4242" s="88"/>
      <c r="L4242" s="88"/>
      <c r="M4242" s="88"/>
      <c r="N4242" s="88"/>
      <c r="O4242" s="88"/>
      <c r="P4242" s="88"/>
      <c r="Q4242" s="88"/>
      <c r="R4242" s="78">
        <f>MAX(S4242:W4242)</f>
        <v>1</v>
      </c>
      <c r="S4242" s="88"/>
      <c r="T4242" s="88"/>
      <c r="U4242" s="88">
        <v>1</v>
      </c>
      <c r="V4242" s="88"/>
      <c r="W4242" s="88"/>
    </row>
    <row r="4243" spans="2:23" s="0" customFormat="0" ht="15">
      <c r="B4243" s="87" t="s">
        <v>1</v>
      </c>
      <c r="C4243" s="88" t="s">
        <v>5259</v>
      </c>
      <c r="D4243" s="88">
        <v>19666469</v>
      </c>
      <c r="E4243" s="88" t="s">
        <v>61</v>
      </c>
      <c r="F4243" s="88">
        <v>0</v>
      </c>
      <c r="G4243" s="78">
        <f>MAX(H4243,I4243,J4243)</f>
        <v>1</v>
      </c>
      <c r="H4243" s="88"/>
      <c r="I4243" s="88"/>
      <c r="J4243" s="78">
        <f>MAX(K4243:Q4243)</f>
        <v>1</v>
      </c>
      <c r="K4243" s="88">
        <v>1</v>
      </c>
      <c r="L4243" s="88"/>
      <c r="M4243" s="88"/>
      <c r="N4243" s="88"/>
      <c r="O4243" s="88"/>
      <c r="P4243" s="88"/>
      <c r="Q4243" s="88"/>
      <c r="R4243" s="78">
        <f>MAX(S4243:W4243)</f>
        <v>0</v>
      </c>
      <c r="S4243" s="88"/>
      <c r="T4243" s="88"/>
      <c r="U4243" s="88"/>
      <c r="V4243" s="88"/>
      <c r="W4243" s="88"/>
    </row>
    <row r="4244" spans="2:23" s="0" customFormat="0" ht="15">
      <c r="B4244" s="87" t="s">
        <v>1</v>
      </c>
      <c r="C4244" s="88" t="s">
        <v>5259</v>
      </c>
      <c r="D4244" s="88" t="s">
        <v>3736</v>
      </c>
      <c r="E4244" s="88" t="s">
        <v>61</v>
      </c>
      <c r="F4244" s="88">
        <v>0</v>
      </c>
      <c r="G4244" s="78">
        <f>MAX(H4244,I4244,J4244)</f>
        <v>0</v>
      </c>
      <c r="H4244" s="88"/>
      <c r="I4244" s="88"/>
      <c r="J4244" s="78">
        <f>MAX(K4244:Q4244)</f>
        <v>0</v>
      </c>
      <c r="K4244" s="88"/>
      <c r="L4244" s="88"/>
      <c r="M4244" s="88"/>
      <c r="N4244" s="88"/>
      <c r="O4244" s="88"/>
      <c r="P4244" s="88"/>
      <c r="Q4244" s="88"/>
      <c r="R4244" s="78">
        <f>MAX(S4244:W4244)</f>
        <v>1</v>
      </c>
      <c r="S4244" s="88"/>
      <c r="T4244" s="88"/>
      <c r="U4244" s="88">
        <v>1</v>
      </c>
      <c r="V4244" s="88"/>
      <c r="W4244" s="88"/>
    </row>
    <row r="4245" spans="2:23" s="0" customFormat="0" ht="15">
      <c r="B4245" s="87" t="s">
        <v>1</v>
      </c>
      <c r="C4245" s="88" t="s">
        <v>5259</v>
      </c>
      <c r="D4245" s="88">
        <v>15637323</v>
      </c>
      <c r="E4245" s="88" t="s">
        <v>61</v>
      </c>
      <c r="F4245" s="88">
        <v>0</v>
      </c>
      <c r="G4245" s="78">
        <f>MAX(H4245,I4245,J4245)</f>
        <v>1</v>
      </c>
      <c r="H4245" s="88"/>
      <c r="I4245" s="88"/>
      <c r="J4245" s="78">
        <f>MAX(K4245:Q4245)</f>
        <v>1</v>
      </c>
      <c r="K4245" s="88">
        <v>1</v>
      </c>
      <c r="L4245" s="88"/>
      <c r="M4245" s="88"/>
      <c r="N4245" s="88"/>
      <c r="O4245" s="88"/>
      <c r="P4245" s="88"/>
      <c r="Q4245" s="88"/>
      <c r="R4245" s="78">
        <f>MAX(S4245:W4245)</f>
        <v>0</v>
      </c>
      <c r="S4245" s="88"/>
      <c r="T4245" s="88"/>
      <c r="U4245" s="88"/>
      <c r="V4245" s="88"/>
      <c r="W4245" s="88"/>
    </row>
    <row r="4246" spans="2:23" s="0" customFormat="0" ht="15">
      <c r="B4246" s="87" t="s">
        <v>1</v>
      </c>
      <c r="C4246" s="88" t="s">
        <v>5259</v>
      </c>
      <c r="D4246" s="88" t="s">
        <v>3516</v>
      </c>
      <c r="E4246" s="88" t="s">
        <v>61</v>
      </c>
      <c r="F4246" s="88">
        <v>0</v>
      </c>
      <c r="G4246" s="78">
        <f>MAX(H4246,I4246,J4246)</f>
        <v>0</v>
      </c>
      <c r="H4246" s="88"/>
      <c r="I4246" s="88"/>
      <c r="J4246" s="78">
        <f>MAX(K4246:Q4246)</f>
        <v>0</v>
      </c>
      <c r="K4246" s="88"/>
      <c r="L4246" s="88"/>
      <c r="M4246" s="88"/>
      <c r="N4246" s="88"/>
      <c r="O4246" s="88"/>
      <c r="P4246" s="88"/>
      <c r="Q4246" s="88"/>
      <c r="R4246" s="78">
        <f>MAX(S4246:W4246)</f>
        <v>1</v>
      </c>
      <c r="S4246" s="88"/>
      <c r="T4246" s="88"/>
      <c r="U4246" s="88">
        <v>1</v>
      </c>
      <c r="V4246" s="88"/>
      <c r="W4246" s="88"/>
    </row>
    <row r="4247" spans="2:23" s="0" customFormat="0" ht="15">
      <c r="B4247" s="87" t="s">
        <v>1</v>
      </c>
      <c r="C4247" s="88" t="s">
        <v>5259</v>
      </c>
      <c r="D4247" s="88">
        <v>6156877</v>
      </c>
      <c r="E4247" s="88" t="s">
        <v>61</v>
      </c>
      <c r="F4247" s="88">
        <v>0</v>
      </c>
      <c r="G4247" s="78">
        <f>MAX(H4247,I4247,J4247)</f>
        <v>0</v>
      </c>
      <c r="H4247" s="88"/>
      <c r="I4247" s="88"/>
      <c r="J4247" s="78">
        <f>MAX(K4247:Q4247)</f>
        <v>0</v>
      </c>
      <c r="K4247" s="88"/>
      <c r="L4247" s="88"/>
      <c r="M4247" s="88"/>
      <c r="N4247" s="88"/>
      <c r="O4247" s="88"/>
      <c r="P4247" s="88"/>
      <c r="Q4247" s="88"/>
      <c r="R4247" s="78">
        <f>MAX(S4247:W4247)</f>
        <v>1</v>
      </c>
      <c r="S4247" s="88"/>
      <c r="T4247" s="88"/>
      <c r="U4247" s="88">
        <v>1</v>
      </c>
      <c r="V4247" s="88"/>
      <c r="W4247" s="88"/>
    </row>
    <row r="4248" spans="2:23" s="0" customFormat="0" ht="15">
      <c r="B4248" s="87" t="s">
        <v>1</v>
      </c>
      <c r="C4248" s="88" t="s">
        <v>5259</v>
      </c>
      <c r="D4248" s="88">
        <v>15402640</v>
      </c>
      <c r="E4248" s="88" t="s">
        <v>61</v>
      </c>
      <c r="F4248" s="88">
        <v>0</v>
      </c>
      <c r="G4248" s="78">
        <f>MAX(H4248,I4248,J4248)</f>
        <v>1</v>
      </c>
      <c r="H4248" s="88"/>
      <c r="I4248" s="88"/>
      <c r="J4248" s="78">
        <f>MAX(K4248:Q4248)</f>
        <v>1</v>
      </c>
      <c r="K4248" s="88">
        <v>1</v>
      </c>
      <c r="L4248" s="88"/>
      <c r="M4248" s="88"/>
      <c r="N4248" s="88"/>
      <c r="O4248" s="88"/>
      <c r="P4248" s="88"/>
      <c r="Q4248" s="88"/>
      <c r="R4248" s="78">
        <f>MAX(S4248:W4248)</f>
        <v>0</v>
      </c>
      <c r="S4248" s="88"/>
      <c r="T4248" s="88"/>
      <c r="U4248" s="88"/>
      <c r="V4248" s="88"/>
      <c r="W4248" s="88"/>
    </row>
    <row r="4249" spans="2:23" s="0" customFormat="0" ht="15">
      <c r="B4249" s="87" t="s">
        <v>1</v>
      </c>
      <c r="C4249" s="88" t="s">
        <v>5259</v>
      </c>
      <c r="D4249" s="88" t="s">
        <v>4328</v>
      </c>
      <c r="E4249" s="88" t="s">
        <v>61</v>
      </c>
      <c r="F4249" s="88">
        <v>0</v>
      </c>
      <c r="G4249" s="78">
        <f>MAX(H4249,I4249,J4249)</f>
        <v>0</v>
      </c>
      <c r="H4249" s="88"/>
      <c r="I4249" s="88"/>
      <c r="J4249" s="78">
        <f>MAX(K4249:Q4249)</f>
        <v>0</v>
      </c>
      <c r="K4249" s="88"/>
      <c r="L4249" s="88"/>
      <c r="M4249" s="88"/>
      <c r="N4249" s="88"/>
      <c r="O4249" s="88"/>
      <c r="P4249" s="88"/>
      <c r="Q4249" s="88"/>
      <c r="R4249" s="78">
        <f>MAX(S4249:W4249)</f>
        <v>1</v>
      </c>
      <c r="S4249" s="88"/>
      <c r="T4249" s="88"/>
      <c r="U4249" s="88">
        <v>1</v>
      </c>
      <c r="V4249" s="88"/>
      <c r="W4249" s="88"/>
    </row>
    <row r="4250" spans="2:23" s="0" customFormat="0" ht="15">
      <c r="B4250" s="87" t="s">
        <v>1</v>
      </c>
      <c r="C4250" s="88" t="s">
        <v>5259</v>
      </c>
      <c r="D4250" s="88">
        <v>14957856</v>
      </c>
      <c r="E4250" s="88" t="s">
        <v>61</v>
      </c>
      <c r="F4250" s="88">
        <v>0</v>
      </c>
      <c r="G4250" s="78">
        <f>MAX(H4250,I4250,J4250)</f>
        <v>1</v>
      </c>
      <c r="H4250" s="88"/>
      <c r="I4250" s="88"/>
      <c r="J4250" s="78">
        <f>MAX(K4250:Q4250)</f>
        <v>1</v>
      </c>
      <c r="K4250" s="88">
        <v>1</v>
      </c>
      <c r="L4250" s="88"/>
      <c r="M4250" s="88"/>
      <c r="N4250" s="88"/>
      <c r="O4250" s="88"/>
      <c r="P4250" s="88"/>
      <c r="Q4250" s="88"/>
      <c r="R4250" s="78">
        <f>MAX(S4250:W4250)</f>
        <v>0</v>
      </c>
      <c r="S4250" s="88"/>
      <c r="T4250" s="88"/>
      <c r="U4250" s="88"/>
      <c r="V4250" s="88"/>
      <c r="W4250" s="88"/>
    </row>
    <row r="4251" spans="2:23" s="0" customFormat="0" ht="15">
      <c r="B4251" s="87" t="s">
        <v>1</v>
      </c>
      <c r="C4251" s="88" t="s">
        <v>5259</v>
      </c>
      <c r="D4251" s="88" t="s">
        <v>4557</v>
      </c>
      <c r="E4251" s="88" t="s">
        <v>61</v>
      </c>
      <c r="F4251" s="88">
        <v>0</v>
      </c>
      <c r="G4251" s="78">
        <f>MAX(H4251,I4251,J4251)</f>
        <v>0</v>
      </c>
      <c r="H4251" s="88"/>
      <c r="I4251" s="88"/>
      <c r="J4251" s="78">
        <f>MAX(K4251:Q4251)</f>
        <v>0</v>
      </c>
      <c r="K4251" s="88"/>
      <c r="L4251" s="88"/>
      <c r="M4251" s="88"/>
      <c r="N4251" s="88"/>
      <c r="O4251" s="88"/>
      <c r="P4251" s="88"/>
      <c r="Q4251" s="88"/>
      <c r="R4251" s="78">
        <f>MAX(S4251:W4251)</f>
        <v>1</v>
      </c>
      <c r="S4251" s="88"/>
      <c r="T4251" s="88"/>
      <c r="U4251" s="88">
        <v>1</v>
      </c>
      <c r="V4251" s="88"/>
      <c r="W4251" s="88"/>
    </row>
    <row r="4252" spans="2:23" s="0" customFormat="0" ht="15">
      <c r="B4252" s="87" t="s">
        <v>1</v>
      </c>
      <c r="C4252" s="88" t="s">
        <v>5259</v>
      </c>
      <c r="D4252" s="88" t="s">
        <v>3289</v>
      </c>
      <c r="E4252" s="88" t="s">
        <v>61</v>
      </c>
      <c r="F4252" s="88">
        <v>0</v>
      </c>
      <c r="G4252" s="78">
        <f>MAX(H4252,I4252,J4252)</f>
        <v>0</v>
      </c>
      <c r="H4252" s="88"/>
      <c r="I4252" s="88"/>
      <c r="J4252" s="78">
        <f>MAX(K4252:Q4252)</f>
        <v>0</v>
      </c>
      <c r="K4252" s="88"/>
      <c r="L4252" s="88"/>
      <c r="M4252" s="88"/>
      <c r="N4252" s="88"/>
      <c r="O4252" s="88"/>
      <c r="P4252" s="88"/>
      <c r="Q4252" s="88"/>
      <c r="R4252" s="78">
        <f>MAX(S4252:W4252)</f>
        <v>1</v>
      </c>
      <c r="S4252" s="88"/>
      <c r="T4252" s="88"/>
      <c r="U4252" s="88">
        <v>1</v>
      </c>
      <c r="V4252" s="88"/>
      <c r="W4252" s="88"/>
    </row>
    <row r="4253" spans="2:23" s="0" customFormat="0" ht="15">
      <c r="B4253" s="87" t="s">
        <v>1</v>
      </c>
      <c r="C4253" s="88" t="s">
        <v>5259</v>
      </c>
      <c r="D4253" s="88">
        <v>14553905</v>
      </c>
      <c r="E4253" s="88" t="s">
        <v>61</v>
      </c>
      <c r="F4253" s="88">
        <v>0</v>
      </c>
      <c r="G4253" s="78">
        <f>MAX(H4253,I4253,J4253)</f>
        <v>1</v>
      </c>
      <c r="H4253" s="88"/>
      <c r="I4253" s="88"/>
      <c r="J4253" s="78">
        <f>MAX(K4253:Q4253)</f>
        <v>1</v>
      </c>
      <c r="K4253" s="88">
        <v>1</v>
      </c>
      <c r="L4253" s="88"/>
      <c r="M4253" s="88"/>
      <c r="N4253" s="88"/>
      <c r="O4253" s="88"/>
      <c r="P4253" s="88"/>
      <c r="Q4253" s="88"/>
      <c r="R4253" s="78">
        <f>MAX(S4253:W4253)</f>
        <v>0</v>
      </c>
      <c r="S4253" s="88"/>
      <c r="T4253" s="88"/>
      <c r="U4253" s="88"/>
      <c r="V4253" s="88"/>
      <c r="W4253" s="88"/>
    </row>
    <row r="4254" spans="2:23" s="0" customFormat="0" ht="15">
      <c r="B4254" s="87" t="s">
        <v>1</v>
      </c>
      <c r="C4254" s="88" t="s">
        <v>5259</v>
      </c>
      <c r="D4254" s="88" t="s">
        <v>4387</v>
      </c>
      <c r="E4254" s="88" t="s">
        <v>61</v>
      </c>
      <c r="F4254" s="88">
        <v>0</v>
      </c>
      <c r="G4254" s="78">
        <f>MAX(H4254,I4254,J4254)</f>
        <v>0</v>
      </c>
      <c r="H4254" s="88"/>
      <c r="I4254" s="88"/>
      <c r="J4254" s="78">
        <f>MAX(K4254:Q4254)</f>
        <v>0</v>
      </c>
      <c r="K4254" s="88"/>
      <c r="L4254" s="88"/>
      <c r="M4254" s="88"/>
      <c r="N4254" s="88"/>
      <c r="O4254" s="88"/>
      <c r="P4254" s="88"/>
      <c r="Q4254" s="88"/>
      <c r="R4254" s="78">
        <f>MAX(S4254:W4254)</f>
        <v>1</v>
      </c>
      <c r="S4254" s="88"/>
      <c r="T4254" s="88"/>
      <c r="U4254" s="88">
        <v>1</v>
      </c>
      <c r="V4254" s="88"/>
      <c r="W4254" s="88"/>
    </row>
    <row r="4255" spans="2:23" s="0" customFormat="0" ht="15">
      <c r="B4255" s="87" t="s">
        <v>1</v>
      </c>
      <c r="C4255" s="88" t="s">
        <v>5259</v>
      </c>
      <c r="D4255" s="88" t="s">
        <v>4561</v>
      </c>
      <c r="E4255" s="88" t="s">
        <v>61</v>
      </c>
      <c r="F4255" s="88">
        <v>0</v>
      </c>
      <c r="G4255" s="78">
        <f>MAX(H4255,I4255,J4255)</f>
        <v>0</v>
      </c>
      <c r="H4255" s="88"/>
      <c r="I4255" s="88"/>
      <c r="J4255" s="78">
        <f>MAX(K4255:Q4255)</f>
        <v>0</v>
      </c>
      <c r="K4255" s="88"/>
      <c r="L4255" s="88"/>
      <c r="M4255" s="88"/>
      <c r="N4255" s="88"/>
      <c r="O4255" s="88"/>
      <c r="P4255" s="88"/>
      <c r="Q4255" s="88"/>
      <c r="R4255" s="78">
        <f>MAX(S4255:W4255)</f>
        <v>1</v>
      </c>
      <c r="S4255" s="88"/>
      <c r="T4255" s="88"/>
      <c r="U4255" s="88">
        <v>1</v>
      </c>
      <c r="V4255" s="88"/>
      <c r="W4255" s="88"/>
    </row>
    <row r="4256" spans="2:23" s="0" customFormat="0" ht="15">
      <c r="B4256" s="87" t="s">
        <v>1</v>
      </c>
      <c r="C4256" s="88" t="s">
        <v>5259</v>
      </c>
      <c r="D4256" s="88">
        <v>20229861</v>
      </c>
      <c r="E4256" s="88" t="s">
        <v>61</v>
      </c>
      <c r="F4256" s="88">
        <v>0</v>
      </c>
      <c r="G4256" s="78">
        <f>MAX(H4256,I4256,J4256)</f>
        <v>1</v>
      </c>
      <c r="H4256" s="88"/>
      <c r="I4256" s="88"/>
      <c r="J4256" s="78">
        <f>MAX(K4256:Q4256)</f>
        <v>1</v>
      </c>
      <c r="K4256" s="88">
        <v>1</v>
      </c>
      <c r="L4256" s="88"/>
      <c r="M4256" s="88"/>
      <c r="N4256" s="88"/>
      <c r="O4256" s="88"/>
      <c r="P4256" s="88"/>
      <c r="Q4256" s="88"/>
      <c r="R4256" s="78">
        <f>MAX(S4256:W4256)</f>
        <v>0</v>
      </c>
      <c r="S4256" s="88"/>
      <c r="T4256" s="88"/>
      <c r="U4256" s="88"/>
      <c r="V4256" s="88"/>
      <c r="W4256" s="88"/>
    </row>
    <row r="4257" spans="2:23" s="0" customFormat="0" ht="15">
      <c r="B4257" s="87" t="s">
        <v>1</v>
      </c>
      <c r="C4257" s="88" t="s">
        <v>5259</v>
      </c>
      <c r="D4257" s="88">
        <v>22934551</v>
      </c>
      <c r="E4257" s="88" t="s">
        <v>61</v>
      </c>
      <c r="F4257" s="88">
        <v>0</v>
      </c>
      <c r="G4257" s="78">
        <f>MAX(H4257,I4257,J4257)</f>
        <v>1</v>
      </c>
      <c r="H4257" s="88"/>
      <c r="I4257" s="88"/>
      <c r="J4257" s="78">
        <f>MAX(K4257:Q4257)</f>
        <v>1</v>
      </c>
      <c r="K4257" s="88">
        <v>1</v>
      </c>
      <c r="L4257" s="88"/>
      <c r="M4257" s="88"/>
      <c r="N4257" s="88"/>
      <c r="O4257" s="88"/>
      <c r="P4257" s="88"/>
      <c r="Q4257" s="88"/>
      <c r="R4257" s="78">
        <f>MAX(S4257:W4257)</f>
        <v>0</v>
      </c>
      <c r="S4257" s="88"/>
      <c r="T4257" s="88"/>
      <c r="U4257" s="88"/>
      <c r="V4257" s="88"/>
      <c r="W4257" s="88"/>
    </row>
    <row r="4258" spans="2:23" s="0" customFormat="0" ht="15">
      <c r="B4258" s="87" t="s">
        <v>1</v>
      </c>
      <c r="C4258" s="88" t="s">
        <v>5259</v>
      </c>
      <c r="D4258" s="88" t="s">
        <v>2255</v>
      </c>
      <c r="E4258" s="88" t="s">
        <v>61</v>
      </c>
      <c r="F4258" s="88">
        <v>0</v>
      </c>
      <c r="G4258" s="78">
        <f>MAX(H4258,I4258,J4258)</f>
        <v>1</v>
      </c>
      <c r="H4258" s="88"/>
      <c r="I4258" s="88"/>
      <c r="J4258" s="78">
        <f>MAX(K4258:Q4258)</f>
        <v>1</v>
      </c>
      <c r="K4258" s="88">
        <v>1</v>
      </c>
      <c r="L4258" s="88"/>
      <c r="M4258" s="88"/>
      <c r="N4258" s="88"/>
      <c r="O4258" s="88"/>
      <c r="P4258" s="88"/>
      <c r="Q4258" s="88"/>
      <c r="R4258" s="78">
        <f>MAX(S4258:W4258)</f>
        <v>0</v>
      </c>
      <c r="S4258" s="88"/>
      <c r="T4258" s="88"/>
      <c r="U4258" s="88"/>
      <c r="V4258" s="88"/>
      <c r="W4258" s="88"/>
    </row>
    <row r="4259" spans="2:23" s="0" customFormat="0" ht="15">
      <c r="B4259" s="87" t="s">
        <v>1</v>
      </c>
      <c r="C4259" s="88" t="s">
        <v>5259</v>
      </c>
      <c r="D4259" s="88">
        <v>21046345</v>
      </c>
      <c r="E4259" s="88" t="s">
        <v>61</v>
      </c>
      <c r="F4259" s="88">
        <v>0</v>
      </c>
      <c r="G4259" s="78">
        <f>MAX(H4259,I4259,J4259)</f>
        <v>1</v>
      </c>
      <c r="H4259" s="88"/>
      <c r="I4259" s="88"/>
      <c r="J4259" s="78">
        <f>MAX(K4259:Q4259)</f>
        <v>1</v>
      </c>
      <c r="K4259" s="88">
        <v>1</v>
      </c>
      <c r="L4259" s="88"/>
      <c r="M4259" s="88"/>
      <c r="N4259" s="88"/>
      <c r="O4259" s="88"/>
      <c r="P4259" s="88"/>
      <c r="Q4259" s="88"/>
      <c r="R4259" s="78">
        <f>MAX(S4259:W4259)</f>
        <v>0</v>
      </c>
      <c r="S4259" s="88"/>
      <c r="T4259" s="88"/>
      <c r="U4259" s="88"/>
      <c r="V4259" s="88"/>
      <c r="W4259" s="88"/>
    </row>
    <row r="4260" spans="2:23" s="0" customFormat="0" ht="15">
      <c r="B4260" s="87" t="s">
        <v>1</v>
      </c>
      <c r="C4260" s="88" t="s">
        <v>5259</v>
      </c>
      <c r="D4260" s="88" t="s">
        <v>4437</v>
      </c>
      <c r="E4260" s="88" t="s">
        <v>61</v>
      </c>
      <c r="F4260" s="88">
        <v>0</v>
      </c>
      <c r="G4260" s="78">
        <f>MAX(H4260,I4260,J4260)</f>
        <v>0</v>
      </c>
      <c r="H4260" s="88"/>
      <c r="I4260" s="88"/>
      <c r="J4260" s="78">
        <f>MAX(K4260:Q4260)</f>
        <v>0</v>
      </c>
      <c r="K4260" s="88"/>
      <c r="L4260" s="88"/>
      <c r="M4260" s="88"/>
      <c r="N4260" s="88"/>
      <c r="O4260" s="88"/>
      <c r="P4260" s="88"/>
      <c r="Q4260" s="88"/>
      <c r="R4260" s="78">
        <f>MAX(S4260:W4260)</f>
        <v>1</v>
      </c>
      <c r="S4260" s="88"/>
      <c r="T4260" s="88"/>
      <c r="U4260" s="88">
        <v>1</v>
      </c>
      <c r="V4260" s="88"/>
      <c r="W4260" s="88"/>
    </row>
    <row r="4261" spans="2:23" s="0" customFormat="0" ht="15">
      <c r="B4261" s="87" t="s">
        <v>1</v>
      </c>
      <c r="C4261" s="88" t="s">
        <v>5259</v>
      </c>
      <c r="D4261" s="88" t="s">
        <v>4925</v>
      </c>
      <c r="E4261" s="88" t="s">
        <v>61</v>
      </c>
      <c r="F4261" s="88">
        <v>0</v>
      </c>
      <c r="G4261" s="78">
        <f>MAX(H4261,I4261,J4261)</f>
        <v>0</v>
      </c>
      <c r="H4261" s="88"/>
      <c r="I4261" s="88"/>
      <c r="J4261" s="78">
        <f>MAX(K4261:Q4261)</f>
        <v>0</v>
      </c>
      <c r="K4261" s="88"/>
      <c r="L4261" s="88"/>
      <c r="M4261" s="88"/>
      <c r="N4261" s="88"/>
      <c r="O4261" s="88"/>
      <c r="P4261" s="88"/>
      <c r="Q4261" s="88"/>
      <c r="R4261" s="78">
        <f>MAX(S4261:W4261)</f>
        <v>1</v>
      </c>
      <c r="S4261" s="88"/>
      <c r="T4261" s="88"/>
      <c r="U4261" s="88">
        <v>1</v>
      </c>
      <c r="V4261" s="88"/>
      <c r="W4261" s="88"/>
    </row>
    <row r="4262" spans="2:23" s="0" customFormat="0" ht="15">
      <c r="B4262" s="87" t="s">
        <v>1</v>
      </c>
      <c r="C4262" s="88" t="s">
        <v>5259</v>
      </c>
      <c r="D4262" s="88">
        <v>14352945</v>
      </c>
      <c r="E4262" s="88" t="s">
        <v>61</v>
      </c>
      <c r="F4262" s="88">
        <v>0</v>
      </c>
      <c r="G4262" s="78">
        <f>MAX(H4262,I4262,J4262)</f>
        <v>1</v>
      </c>
      <c r="H4262" s="88"/>
      <c r="I4262" s="88"/>
      <c r="J4262" s="78">
        <f>MAX(K4262:Q4262)</f>
        <v>1</v>
      </c>
      <c r="K4262" s="88">
        <v>1</v>
      </c>
      <c r="L4262" s="88"/>
      <c r="M4262" s="88"/>
      <c r="N4262" s="88"/>
      <c r="O4262" s="88"/>
      <c r="P4262" s="88"/>
      <c r="Q4262" s="88"/>
      <c r="R4262" s="78">
        <f>MAX(S4262:W4262)</f>
        <v>0</v>
      </c>
      <c r="S4262" s="88"/>
      <c r="T4262" s="88"/>
      <c r="U4262" s="88"/>
      <c r="V4262" s="88"/>
      <c r="W4262" s="88"/>
    </row>
    <row r="4263" spans="2:23" s="0" customFormat="0" ht="15">
      <c r="B4263" s="87" t="s">
        <v>1</v>
      </c>
      <c r="C4263" s="88" t="s">
        <v>5259</v>
      </c>
      <c r="D4263" s="88">
        <v>12817903</v>
      </c>
      <c r="E4263" s="88" t="s">
        <v>61</v>
      </c>
      <c r="F4263" s="88">
        <v>0</v>
      </c>
      <c r="G4263" s="78">
        <f>MAX(H4263,I4263,J4263)</f>
        <v>0</v>
      </c>
      <c r="H4263" s="88"/>
      <c r="I4263" s="88"/>
      <c r="J4263" s="78">
        <f>MAX(K4263:Q4263)</f>
        <v>0</v>
      </c>
      <c r="K4263" s="88"/>
      <c r="L4263" s="88"/>
      <c r="M4263" s="88"/>
      <c r="N4263" s="88"/>
      <c r="O4263" s="88"/>
      <c r="P4263" s="88"/>
      <c r="Q4263" s="88"/>
      <c r="R4263" s="78">
        <f>MAX(S4263:W4263)</f>
        <v>1</v>
      </c>
      <c r="S4263" s="88"/>
      <c r="T4263" s="88"/>
      <c r="U4263" s="88">
        <v>1</v>
      </c>
      <c r="V4263" s="88"/>
      <c r="W4263" s="88"/>
    </row>
    <row r="4264" spans="2:23" s="0" customFormat="0" ht="15">
      <c r="B4264" s="87" t="s">
        <v>1</v>
      </c>
      <c r="C4264" s="88" t="s">
        <v>5259</v>
      </c>
      <c r="D4264" s="88" t="s">
        <v>4927</v>
      </c>
      <c r="E4264" s="88" t="s">
        <v>61</v>
      </c>
      <c r="F4264" s="88">
        <v>0</v>
      </c>
      <c r="G4264" s="78">
        <f>MAX(H4264,I4264,J4264)</f>
        <v>0</v>
      </c>
      <c r="H4264" s="88"/>
      <c r="I4264" s="88"/>
      <c r="J4264" s="78">
        <f>MAX(K4264:Q4264)</f>
        <v>0</v>
      </c>
      <c r="K4264" s="88"/>
      <c r="L4264" s="88"/>
      <c r="M4264" s="88"/>
      <c r="N4264" s="88"/>
      <c r="O4264" s="88"/>
      <c r="P4264" s="88"/>
      <c r="Q4264" s="88"/>
      <c r="R4264" s="78">
        <f>MAX(S4264:W4264)</f>
        <v>1</v>
      </c>
      <c r="S4264" s="88"/>
      <c r="T4264" s="88"/>
      <c r="U4264" s="88">
        <v>1</v>
      </c>
      <c r="V4264" s="88"/>
      <c r="W4264" s="88"/>
    </row>
    <row r="4265" spans="2:23" s="0" customFormat="0" ht="15">
      <c r="B4265" s="87" t="s">
        <v>1</v>
      </c>
      <c r="C4265" s="88" t="s">
        <v>5259</v>
      </c>
      <c r="D4265" s="88">
        <v>7509056</v>
      </c>
      <c r="E4265" s="88" t="s">
        <v>61</v>
      </c>
      <c r="F4265" s="88">
        <v>0</v>
      </c>
      <c r="G4265" s="78">
        <f>MAX(H4265,I4265,J4265)</f>
        <v>1</v>
      </c>
      <c r="H4265" s="88"/>
      <c r="I4265" s="88"/>
      <c r="J4265" s="78">
        <f>MAX(K4265:Q4265)</f>
        <v>1</v>
      </c>
      <c r="K4265" s="88">
        <v>1</v>
      </c>
      <c r="L4265" s="88"/>
      <c r="M4265" s="88"/>
      <c r="N4265" s="88"/>
      <c r="O4265" s="88"/>
      <c r="P4265" s="88"/>
      <c r="Q4265" s="88"/>
      <c r="R4265" s="78">
        <f>MAX(S4265:W4265)</f>
        <v>0</v>
      </c>
      <c r="S4265" s="88"/>
      <c r="T4265" s="88"/>
      <c r="U4265" s="88"/>
      <c r="V4265" s="88"/>
      <c r="W4265" s="88"/>
    </row>
    <row r="4266" spans="2:23" s="0" customFormat="0" ht="15">
      <c r="B4266" s="87" t="s">
        <v>1</v>
      </c>
      <c r="C4266" s="88" t="s">
        <v>5259</v>
      </c>
      <c r="D4266" s="88">
        <v>20942440</v>
      </c>
      <c r="E4266" s="88" t="s">
        <v>61</v>
      </c>
      <c r="F4266" s="88">
        <v>0</v>
      </c>
      <c r="G4266" s="78">
        <f>MAX(H4266,I4266,J4266)</f>
        <v>1</v>
      </c>
      <c r="H4266" s="88"/>
      <c r="I4266" s="88"/>
      <c r="J4266" s="78">
        <f>MAX(K4266:Q4266)</f>
        <v>1</v>
      </c>
      <c r="K4266" s="88">
        <v>1</v>
      </c>
      <c r="L4266" s="88"/>
      <c r="M4266" s="88"/>
      <c r="N4266" s="88"/>
      <c r="O4266" s="88"/>
      <c r="P4266" s="88"/>
      <c r="Q4266" s="88"/>
      <c r="R4266" s="78">
        <f>MAX(S4266:W4266)</f>
        <v>0</v>
      </c>
      <c r="S4266" s="88"/>
      <c r="T4266" s="88"/>
      <c r="U4266" s="88"/>
      <c r="V4266" s="88"/>
      <c r="W4266" s="88"/>
    </row>
    <row r="4267" spans="2:23" s="0" customFormat="0" ht="15">
      <c r="B4267" s="87" t="s">
        <v>1</v>
      </c>
      <c r="C4267" s="88" t="s">
        <v>5259</v>
      </c>
      <c r="D4267" s="88">
        <v>17355614</v>
      </c>
      <c r="E4267" s="88" t="s">
        <v>61</v>
      </c>
      <c r="F4267" s="88">
        <v>0</v>
      </c>
      <c r="G4267" s="78">
        <f>MAX(H4267,I4267,J4267)</f>
        <v>1</v>
      </c>
      <c r="H4267" s="88"/>
      <c r="I4267" s="88"/>
      <c r="J4267" s="78">
        <f>MAX(K4267:Q4267)</f>
        <v>1</v>
      </c>
      <c r="K4267" s="88">
        <v>1</v>
      </c>
      <c r="L4267" s="88"/>
      <c r="M4267" s="88"/>
      <c r="N4267" s="88"/>
      <c r="O4267" s="88"/>
      <c r="P4267" s="88"/>
      <c r="Q4267" s="88"/>
      <c r="R4267" s="78">
        <f>MAX(S4267:W4267)</f>
        <v>0</v>
      </c>
      <c r="S4267" s="88"/>
      <c r="T4267" s="88"/>
      <c r="U4267" s="88"/>
      <c r="V4267" s="88"/>
      <c r="W4267" s="88"/>
    </row>
    <row r="4268" spans="2:23" s="0" customFormat="0" ht="15">
      <c r="B4268" s="87" t="s">
        <v>1</v>
      </c>
      <c r="C4268" s="88" t="s">
        <v>5259</v>
      </c>
      <c r="D4268" s="88">
        <v>19666405</v>
      </c>
      <c r="E4268" s="88" t="s">
        <v>61</v>
      </c>
      <c r="F4268" s="88">
        <v>0</v>
      </c>
      <c r="G4268" s="78">
        <f>MAX(H4268,I4268,J4268)</f>
        <v>0</v>
      </c>
      <c r="H4268" s="88"/>
      <c r="I4268" s="88"/>
      <c r="J4268" s="78">
        <f>MAX(K4268:Q4268)</f>
        <v>0</v>
      </c>
      <c r="K4268" s="88"/>
      <c r="L4268" s="88"/>
      <c r="M4268" s="88"/>
      <c r="N4268" s="88"/>
      <c r="O4268" s="88"/>
      <c r="P4268" s="88"/>
      <c r="Q4268" s="88"/>
      <c r="R4268" s="78">
        <f>MAX(S4268:W4268)</f>
        <v>1</v>
      </c>
      <c r="S4268" s="88"/>
      <c r="T4268" s="88"/>
      <c r="U4268" s="88">
        <v>1</v>
      </c>
      <c r="V4268" s="88"/>
      <c r="W4268" s="88"/>
    </row>
    <row r="4269" spans="2:23" s="0" customFormat="0" ht="15">
      <c r="B4269" s="87" t="s">
        <v>1</v>
      </c>
      <c r="C4269" s="88" t="s">
        <v>5259</v>
      </c>
      <c r="D4269" s="88">
        <v>14275608</v>
      </c>
      <c r="E4269" s="88" t="s">
        <v>61</v>
      </c>
      <c r="F4269" s="88">
        <v>0</v>
      </c>
      <c r="G4269" s="78">
        <f>MAX(H4269,I4269,J4269)</f>
        <v>1</v>
      </c>
      <c r="H4269" s="88"/>
      <c r="I4269" s="88"/>
      <c r="J4269" s="78">
        <f>MAX(K4269:Q4269)</f>
        <v>1</v>
      </c>
      <c r="K4269" s="88">
        <v>1</v>
      </c>
      <c r="L4269" s="88"/>
      <c r="M4269" s="88"/>
      <c r="N4269" s="88"/>
      <c r="O4269" s="88"/>
      <c r="P4269" s="88"/>
      <c r="Q4269" s="88"/>
      <c r="R4269" s="78">
        <f>MAX(S4269:W4269)</f>
        <v>0</v>
      </c>
      <c r="S4269" s="88"/>
      <c r="T4269" s="88"/>
      <c r="U4269" s="88"/>
      <c r="V4269" s="88"/>
      <c r="W4269" s="88"/>
    </row>
    <row r="4270" spans="2:23" s="0" customFormat="0" ht="15">
      <c r="B4270" s="87" t="s">
        <v>1</v>
      </c>
      <c r="C4270" s="88" t="s">
        <v>5259</v>
      </c>
      <c r="D4270" s="88" t="s">
        <v>4930</v>
      </c>
      <c r="E4270" s="88" t="s">
        <v>61</v>
      </c>
      <c r="F4270" s="88">
        <v>0</v>
      </c>
      <c r="G4270" s="78">
        <f>MAX(H4270,I4270,J4270)</f>
        <v>0</v>
      </c>
      <c r="H4270" s="88"/>
      <c r="I4270" s="88"/>
      <c r="J4270" s="78">
        <f>MAX(K4270:Q4270)</f>
        <v>0</v>
      </c>
      <c r="K4270" s="88"/>
      <c r="L4270" s="88"/>
      <c r="M4270" s="88"/>
      <c r="N4270" s="88"/>
      <c r="O4270" s="88"/>
      <c r="P4270" s="88"/>
      <c r="Q4270" s="88"/>
      <c r="R4270" s="78">
        <f>MAX(S4270:W4270)</f>
        <v>1</v>
      </c>
      <c r="S4270" s="88"/>
      <c r="T4270" s="88"/>
      <c r="U4270" s="88">
        <v>1</v>
      </c>
      <c r="V4270" s="88"/>
      <c r="W4270" s="88"/>
    </row>
    <row r="4271" spans="2:23" s="0" customFormat="0" ht="15">
      <c r="B4271" s="87" t="s">
        <v>1</v>
      </c>
      <c r="C4271" s="88" t="s">
        <v>5259</v>
      </c>
      <c r="D4271" s="88">
        <v>23613618</v>
      </c>
      <c r="E4271" s="88" t="s">
        <v>61</v>
      </c>
      <c r="F4271" s="88">
        <v>0</v>
      </c>
      <c r="G4271" s="78">
        <f>MAX(H4271,I4271,J4271)</f>
        <v>1</v>
      </c>
      <c r="H4271" s="88"/>
      <c r="I4271" s="88"/>
      <c r="J4271" s="78">
        <f>MAX(K4271:Q4271)</f>
        <v>1</v>
      </c>
      <c r="K4271" s="88">
        <v>1</v>
      </c>
      <c r="L4271" s="88"/>
      <c r="M4271" s="88"/>
      <c r="N4271" s="88"/>
      <c r="O4271" s="88"/>
      <c r="P4271" s="88"/>
      <c r="Q4271" s="88"/>
      <c r="R4271" s="78">
        <f>MAX(S4271:W4271)</f>
        <v>0</v>
      </c>
      <c r="S4271" s="88"/>
      <c r="T4271" s="88"/>
      <c r="U4271" s="88"/>
      <c r="V4271" s="88"/>
      <c r="W4271" s="88"/>
    </row>
    <row r="4272" spans="2:23" s="0" customFormat="0" ht="15">
      <c r="B4272" s="87" t="s">
        <v>1</v>
      </c>
      <c r="C4272" s="88" t="s">
        <v>5259</v>
      </c>
      <c r="D4272" s="88">
        <v>13563455</v>
      </c>
      <c r="E4272" s="88" t="s">
        <v>61</v>
      </c>
      <c r="F4272" s="88">
        <v>0</v>
      </c>
      <c r="G4272" s="78">
        <f>MAX(H4272,I4272,J4272)</f>
        <v>1</v>
      </c>
      <c r="H4272" s="88"/>
      <c r="I4272" s="88"/>
      <c r="J4272" s="78">
        <f>MAX(K4272:Q4272)</f>
        <v>1</v>
      </c>
      <c r="K4272" s="88">
        <v>1</v>
      </c>
      <c r="L4272" s="88"/>
      <c r="M4272" s="88"/>
      <c r="N4272" s="88"/>
      <c r="O4272" s="88"/>
      <c r="P4272" s="88"/>
      <c r="Q4272" s="88"/>
      <c r="R4272" s="78">
        <f>MAX(S4272:W4272)</f>
        <v>0</v>
      </c>
      <c r="S4272" s="88"/>
      <c r="T4272" s="88"/>
      <c r="U4272" s="88"/>
      <c r="V4272" s="88"/>
      <c r="W4272" s="88"/>
    </row>
    <row r="4273" spans="2:23" s="0" customFormat="0" ht="15">
      <c r="B4273" s="87" t="s">
        <v>1</v>
      </c>
      <c r="C4273" s="88" t="s">
        <v>5259</v>
      </c>
      <c r="D4273" s="88">
        <v>23513473</v>
      </c>
      <c r="E4273" s="88" t="s">
        <v>61</v>
      </c>
      <c r="F4273" s="88">
        <v>0</v>
      </c>
      <c r="G4273" s="78">
        <f>MAX(H4273,I4273,J4273)</f>
        <v>1</v>
      </c>
      <c r="H4273" s="88"/>
      <c r="I4273" s="88"/>
      <c r="J4273" s="78">
        <f>MAX(K4273:Q4273)</f>
        <v>1</v>
      </c>
      <c r="K4273" s="88">
        <v>1</v>
      </c>
      <c r="L4273" s="88"/>
      <c r="M4273" s="88"/>
      <c r="N4273" s="88"/>
      <c r="O4273" s="88"/>
      <c r="P4273" s="88"/>
      <c r="Q4273" s="88"/>
      <c r="R4273" s="78">
        <f>MAX(S4273:W4273)</f>
        <v>0</v>
      </c>
      <c r="S4273" s="88"/>
      <c r="T4273" s="88"/>
      <c r="U4273" s="88"/>
      <c r="V4273" s="88"/>
      <c r="W4273" s="88"/>
    </row>
    <row r="4274" spans="2:23" s="0" customFormat="0" ht="15">
      <c r="B4274" s="87" t="s">
        <v>1</v>
      </c>
      <c r="C4274" s="88" t="s">
        <v>5259</v>
      </c>
      <c r="D4274" s="88">
        <v>20215777</v>
      </c>
      <c r="E4274" s="88" t="s">
        <v>61</v>
      </c>
      <c r="F4274" s="88">
        <v>0</v>
      </c>
      <c r="G4274" s="78">
        <f>MAX(H4274,I4274,J4274)</f>
        <v>1</v>
      </c>
      <c r="H4274" s="88"/>
      <c r="I4274" s="88"/>
      <c r="J4274" s="78">
        <f>MAX(K4274:Q4274)</f>
        <v>1</v>
      </c>
      <c r="K4274" s="88">
        <v>1</v>
      </c>
      <c r="L4274" s="88"/>
      <c r="M4274" s="88"/>
      <c r="N4274" s="88"/>
      <c r="O4274" s="88"/>
      <c r="P4274" s="88"/>
      <c r="Q4274" s="88"/>
      <c r="R4274" s="78">
        <f>MAX(S4274:W4274)</f>
        <v>0</v>
      </c>
      <c r="S4274" s="88"/>
      <c r="T4274" s="88"/>
      <c r="U4274" s="88"/>
      <c r="V4274" s="88"/>
      <c r="W4274" s="88"/>
    </row>
    <row r="4275" spans="2:23" s="0" customFormat="0" ht="15">
      <c r="B4275" s="87" t="s">
        <v>1</v>
      </c>
      <c r="C4275" s="88" t="s">
        <v>5259</v>
      </c>
      <c r="D4275" s="88">
        <v>16974692</v>
      </c>
      <c r="E4275" s="88" t="s">
        <v>61</v>
      </c>
      <c r="F4275" s="88">
        <v>0</v>
      </c>
      <c r="G4275" s="78">
        <f>MAX(H4275,I4275,J4275)</f>
        <v>0</v>
      </c>
      <c r="H4275" s="88"/>
      <c r="I4275" s="88"/>
      <c r="J4275" s="78">
        <f>MAX(K4275:Q4275)</f>
        <v>0</v>
      </c>
      <c r="K4275" s="88"/>
      <c r="L4275" s="88"/>
      <c r="M4275" s="88"/>
      <c r="N4275" s="88"/>
      <c r="O4275" s="88"/>
      <c r="P4275" s="88"/>
      <c r="Q4275" s="88"/>
      <c r="R4275" s="78">
        <f>MAX(S4275:W4275)</f>
        <v>1</v>
      </c>
      <c r="S4275" s="88"/>
      <c r="T4275" s="88"/>
      <c r="U4275" s="88">
        <v>1</v>
      </c>
      <c r="V4275" s="88"/>
      <c r="W4275" s="88"/>
    </row>
    <row r="4276" spans="2:23" s="0" customFormat="0" ht="15">
      <c r="B4276" s="87" t="s">
        <v>1</v>
      </c>
      <c r="C4276" s="88" t="s">
        <v>5259</v>
      </c>
      <c r="D4276" s="88">
        <v>813657</v>
      </c>
      <c r="E4276" s="88" t="s">
        <v>61</v>
      </c>
      <c r="F4276" s="88">
        <v>0</v>
      </c>
      <c r="G4276" s="78">
        <f>MAX(H4276,I4276,J4276)</f>
        <v>0</v>
      </c>
      <c r="H4276" s="88"/>
      <c r="I4276" s="88"/>
      <c r="J4276" s="78">
        <f>MAX(K4276:Q4276)</f>
        <v>0</v>
      </c>
      <c r="K4276" s="88"/>
      <c r="L4276" s="88"/>
      <c r="M4276" s="88"/>
      <c r="N4276" s="88"/>
      <c r="O4276" s="88"/>
      <c r="P4276" s="88"/>
      <c r="Q4276" s="88"/>
      <c r="R4276" s="78">
        <f>MAX(S4276:W4276)</f>
        <v>1</v>
      </c>
      <c r="S4276" s="88"/>
      <c r="T4276" s="88"/>
      <c r="U4276" s="88">
        <v>1</v>
      </c>
      <c r="V4276" s="88"/>
      <c r="W4276" s="88"/>
    </row>
    <row r="4277" spans="2:23" s="0" customFormat="0" ht="15">
      <c r="B4277" s="87" t="s">
        <v>1</v>
      </c>
      <c r="C4277" s="88" t="s">
        <v>5259</v>
      </c>
      <c r="D4277" s="88" t="s">
        <v>4771</v>
      </c>
      <c r="E4277" s="88" t="s">
        <v>61</v>
      </c>
      <c r="F4277" s="88">
        <v>0</v>
      </c>
      <c r="G4277" s="78">
        <f>MAX(H4277,I4277,J4277)</f>
        <v>0</v>
      </c>
      <c r="H4277" s="88"/>
      <c r="I4277" s="88"/>
      <c r="J4277" s="78">
        <f>MAX(K4277:Q4277)</f>
        <v>0</v>
      </c>
      <c r="K4277" s="88"/>
      <c r="L4277" s="88"/>
      <c r="M4277" s="88"/>
      <c r="N4277" s="88"/>
      <c r="O4277" s="88"/>
      <c r="P4277" s="88"/>
      <c r="Q4277" s="88"/>
      <c r="R4277" s="78">
        <f>MAX(S4277:W4277)</f>
        <v>1</v>
      </c>
      <c r="S4277" s="88"/>
      <c r="T4277" s="88"/>
      <c r="U4277" s="88">
        <v>1</v>
      </c>
      <c r="V4277" s="88"/>
      <c r="W4277" s="88"/>
    </row>
    <row r="4278" spans="2:23" s="0" customFormat="0" ht="15">
      <c r="B4278" s="87" t="s">
        <v>1</v>
      </c>
      <c r="C4278" s="88" t="s">
        <v>5259</v>
      </c>
      <c r="D4278" s="88">
        <v>17255180</v>
      </c>
      <c r="E4278" s="88" t="s">
        <v>61</v>
      </c>
      <c r="F4278" s="88">
        <v>0</v>
      </c>
      <c r="G4278" s="78">
        <f>MAX(H4278,I4278,J4278)</f>
        <v>1</v>
      </c>
      <c r="H4278" s="88"/>
      <c r="I4278" s="88"/>
      <c r="J4278" s="78">
        <f>MAX(K4278:Q4278)</f>
        <v>1</v>
      </c>
      <c r="K4278" s="88">
        <v>1</v>
      </c>
      <c r="L4278" s="88"/>
      <c r="M4278" s="88"/>
      <c r="N4278" s="88"/>
      <c r="O4278" s="88"/>
      <c r="P4278" s="88"/>
      <c r="Q4278" s="88"/>
      <c r="R4278" s="78">
        <f>MAX(S4278:W4278)</f>
        <v>0</v>
      </c>
      <c r="S4278" s="88"/>
      <c r="T4278" s="88"/>
      <c r="U4278" s="88"/>
      <c r="V4278" s="88"/>
      <c r="W4278" s="88"/>
    </row>
    <row r="4279" spans="2:23" s="0" customFormat="0" ht="15">
      <c r="B4279" s="87" t="s">
        <v>1</v>
      </c>
      <c r="C4279" s="88" t="s">
        <v>5259</v>
      </c>
      <c r="D4279" s="88">
        <v>22676179</v>
      </c>
      <c r="E4279" s="88" t="s">
        <v>61</v>
      </c>
      <c r="F4279" s="88">
        <v>0</v>
      </c>
      <c r="G4279" s="78">
        <f>MAX(H4279,I4279,J4279)</f>
        <v>1</v>
      </c>
      <c r="H4279" s="88"/>
      <c r="I4279" s="88"/>
      <c r="J4279" s="78">
        <f>MAX(K4279:Q4279)</f>
        <v>1</v>
      </c>
      <c r="K4279" s="88">
        <v>1</v>
      </c>
      <c r="L4279" s="88"/>
      <c r="M4279" s="88"/>
      <c r="N4279" s="88"/>
      <c r="O4279" s="88"/>
      <c r="P4279" s="88"/>
      <c r="Q4279" s="88"/>
      <c r="R4279" s="78">
        <f>MAX(S4279:W4279)</f>
        <v>0</v>
      </c>
      <c r="S4279" s="88"/>
      <c r="T4279" s="88"/>
      <c r="U4279" s="88"/>
      <c r="V4279" s="88"/>
      <c r="W4279" s="88"/>
    </row>
    <row r="4280" spans="2:23" s="0" customFormat="0" ht="15">
      <c r="B4280" s="87" t="s">
        <v>1</v>
      </c>
      <c r="C4280" s="88" t="s">
        <v>5259</v>
      </c>
      <c r="D4280" s="88">
        <v>14683362</v>
      </c>
      <c r="E4280" s="88" t="s">
        <v>61</v>
      </c>
      <c r="F4280" s="88">
        <v>0</v>
      </c>
      <c r="G4280" s="78">
        <f>MAX(H4280,I4280,J4280)</f>
        <v>1</v>
      </c>
      <c r="H4280" s="88"/>
      <c r="I4280" s="88"/>
      <c r="J4280" s="78">
        <f>MAX(K4280:Q4280)</f>
        <v>1</v>
      </c>
      <c r="K4280" s="88">
        <v>1</v>
      </c>
      <c r="L4280" s="88"/>
      <c r="M4280" s="88"/>
      <c r="N4280" s="88"/>
      <c r="O4280" s="88"/>
      <c r="P4280" s="88"/>
      <c r="Q4280" s="88"/>
      <c r="R4280" s="78">
        <f>MAX(S4280:W4280)</f>
        <v>0</v>
      </c>
      <c r="S4280" s="88"/>
      <c r="T4280" s="88"/>
      <c r="U4280" s="88"/>
      <c r="V4280" s="88"/>
      <c r="W4280" s="88"/>
    </row>
    <row r="4281" spans="2:23" s="0" customFormat="0" ht="15">
      <c r="B4281" s="87" t="s">
        <v>1</v>
      </c>
      <c r="C4281" s="88" t="s">
        <v>5259</v>
      </c>
      <c r="D4281" s="88" t="s">
        <v>4407</v>
      </c>
      <c r="E4281" s="88" t="s">
        <v>61</v>
      </c>
      <c r="F4281" s="88">
        <v>0</v>
      </c>
      <c r="G4281" s="78">
        <f>MAX(H4281,I4281,J4281)</f>
        <v>0</v>
      </c>
      <c r="H4281" s="88"/>
      <c r="I4281" s="88"/>
      <c r="J4281" s="78">
        <f>MAX(K4281:Q4281)</f>
        <v>0</v>
      </c>
      <c r="K4281" s="88"/>
      <c r="L4281" s="88"/>
      <c r="M4281" s="88"/>
      <c r="N4281" s="88"/>
      <c r="O4281" s="88"/>
      <c r="P4281" s="88"/>
      <c r="Q4281" s="88"/>
      <c r="R4281" s="78">
        <f>MAX(S4281:W4281)</f>
        <v>1</v>
      </c>
      <c r="S4281" s="88"/>
      <c r="T4281" s="88"/>
      <c r="U4281" s="88">
        <v>1</v>
      </c>
      <c r="V4281" s="88"/>
      <c r="W4281" s="88"/>
    </row>
    <row r="4282" spans="2:23" s="0" customFormat="0" ht="15">
      <c r="B4282" s="87" t="s">
        <v>1</v>
      </c>
      <c r="C4282" s="88" t="s">
        <v>5259</v>
      </c>
      <c r="D4282" s="88" t="s">
        <v>4709</v>
      </c>
      <c r="E4282" s="88" t="s">
        <v>61</v>
      </c>
      <c r="F4282" s="88">
        <v>0</v>
      </c>
      <c r="G4282" s="78">
        <f>MAX(H4282,I4282,J4282)</f>
        <v>0</v>
      </c>
      <c r="H4282" s="88"/>
      <c r="I4282" s="88"/>
      <c r="J4282" s="78">
        <f>MAX(K4282:Q4282)</f>
        <v>0</v>
      </c>
      <c r="K4282" s="88"/>
      <c r="L4282" s="88"/>
      <c r="M4282" s="88"/>
      <c r="N4282" s="88"/>
      <c r="O4282" s="88"/>
      <c r="P4282" s="88"/>
      <c r="Q4282" s="88"/>
      <c r="R4282" s="78">
        <f>MAX(S4282:W4282)</f>
        <v>1</v>
      </c>
      <c r="S4282" s="88"/>
      <c r="T4282" s="88"/>
      <c r="U4282" s="88">
        <v>1</v>
      </c>
      <c r="V4282" s="88"/>
      <c r="W4282" s="88"/>
    </row>
    <row r="4283" spans="2:23" s="0" customFormat="0" ht="15">
      <c r="B4283" s="87" t="s">
        <v>1</v>
      </c>
      <c r="C4283" s="88" t="s">
        <v>5259</v>
      </c>
      <c r="D4283" s="88">
        <v>23528331</v>
      </c>
      <c r="E4283" s="88" t="s">
        <v>61</v>
      </c>
      <c r="F4283" s="88">
        <v>0</v>
      </c>
      <c r="G4283" s="78">
        <f>MAX(H4283,I4283,J4283)</f>
        <v>1</v>
      </c>
      <c r="H4283" s="88"/>
      <c r="I4283" s="88"/>
      <c r="J4283" s="78">
        <f>MAX(K4283:Q4283)</f>
        <v>1</v>
      </c>
      <c r="K4283" s="88">
        <v>1</v>
      </c>
      <c r="L4283" s="88"/>
      <c r="M4283" s="88"/>
      <c r="N4283" s="88"/>
      <c r="O4283" s="88"/>
      <c r="P4283" s="88"/>
      <c r="Q4283" s="88"/>
      <c r="R4283" s="78">
        <f>MAX(S4283:W4283)</f>
        <v>0</v>
      </c>
      <c r="S4283" s="88"/>
      <c r="T4283" s="88"/>
      <c r="U4283" s="88"/>
      <c r="V4283" s="88"/>
      <c r="W4283" s="88"/>
    </row>
    <row r="4284" spans="2:23" s="0" customFormat="0" ht="15">
      <c r="B4284" s="87" t="s">
        <v>1</v>
      </c>
      <c r="C4284" s="88" t="s">
        <v>5259</v>
      </c>
      <c r="D4284" s="88">
        <v>18992190</v>
      </c>
      <c r="E4284" s="88" t="s">
        <v>61</v>
      </c>
      <c r="F4284" s="88">
        <v>0</v>
      </c>
      <c r="G4284" s="78">
        <f>MAX(H4284,I4284,J4284)</f>
        <v>1</v>
      </c>
      <c r="H4284" s="88"/>
      <c r="I4284" s="88"/>
      <c r="J4284" s="78">
        <f>MAX(K4284:Q4284)</f>
        <v>1</v>
      </c>
      <c r="K4284" s="88">
        <v>1</v>
      </c>
      <c r="L4284" s="88"/>
      <c r="M4284" s="88"/>
      <c r="N4284" s="88"/>
      <c r="O4284" s="88"/>
      <c r="P4284" s="88"/>
      <c r="Q4284" s="88"/>
      <c r="R4284" s="78">
        <f>MAX(S4284:W4284)</f>
        <v>0</v>
      </c>
      <c r="S4284" s="88"/>
      <c r="T4284" s="88"/>
      <c r="U4284" s="88"/>
      <c r="V4284" s="88"/>
      <c r="W4284" s="88"/>
    </row>
    <row r="4285" spans="2:23" s="0" customFormat="0" ht="15">
      <c r="B4285" s="87" t="s">
        <v>1</v>
      </c>
      <c r="C4285" s="88" t="s">
        <v>5259</v>
      </c>
      <c r="D4285" s="88">
        <v>22623648</v>
      </c>
      <c r="E4285" s="88" t="s">
        <v>61</v>
      </c>
      <c r="F4285" s="88">
        <v>0</v>
      </c>
      <c r="G4285" s="78">
        <f>MAX(H4285,I4285,J4285)</f>
        <v>0</v>
      </c>
      <c r="H4285" s="88"/>
      <c r="I4285" s="88"/>
      <c r="J4285" s="78">
        <f>MAX(K4285:Q4285)</f>
        <v>0</v>
      </c>
      <c r="K4285" s="88"/>
      <c r="L4285" s="88"/>
      <c r="M4285" s="88"/>
      <c r="N4285" s="88"/>
      <c r="O4285" s="88"/>
      <c r="P4285" s="88"/>
      <c r="Q4285" s="88"/>
      <c r="R4285" s="78">
        <f>MAX(S4285:W4285)</f>
        <v>1</v>
      </c>
      <c r="S4285" s="88"/>
      <c r="T4285" s="88"/>
      <c r="U4285" s="88">
        <v>1</v>
      </c>
      <c r="V4285" s="88"/>
      <c r="W4285" s="88"/>
    </row>
    <row r="4286" spans="2:23" s="0" customFormat="0" ht="15">
      <c r="B4286" s="87" t="s">
        <v>1</v>
      </c>
      <c r="C4286" s="88" t="s">
        <v>5259</v>
      </c>
      <c r="D4286" s="88" t="s">
        <v>4934</v>
      </c>
      <c r="E4286" s="88" t="s">
        <v>61</v>
      </c>
      <c r="F4286" s="88">
        <v>0</v>
      </c>
      <c r="G4286" s="78">
        <f>MAX(H4286,I4286,J4286)</f>
        <v>0</v>
      </c>
      <c r="H4286" s="88"/>
      <c r="I4286" s="88"/>
      <c r="J4286" s="78">
        <f>MAX(K4286:Q4286)</f>
        <v>0</v>
      </c>
      <c r="K4286" s="88"/>
      <c r="L4286" s="88"/>
      <c r="M4286" s="88"/>
      <c r="N4286" s="88"/>
      <c r="O4286" s="88"/>
      <c r="P4286" s="88"/>
      <c r="Q4286" s="88"/>
      <c r="R4286" s="78">
        <f>MAX(S4286:W4286)</f>
        <v>1</v>
      </c>
      <c r="S4286" s="88"/>
      <c r="T4286" s="88"/>
      <c r="U4286" s="88">
        <v>1</v>
      </c>
      <c r="V4286" s="88"/>
      <c r="W4286" s="88"/>
    </row>
    <row r="4287" spans="2:23" s="0" customFormat="0" ht="15">
      <c r="B4287" s="87" t="s">
        <v>1</v>
      </c>
      <c r="C4287" s="88" t="s">
        <v>5259</v>
      </c>
      <c r="D4287" s="88" t="s">
        <v>1202</v>
      </c>
      <c r="E4287" s="88" t="s">
        <v>61</v>
      </c>
      <c r="F4287" s="88">
        <v>0</v>
      </c>
      <c r="G4287" s="78">
        <f>MAX(H4287,I4287,J4287)</f>
        <v>1</v>
      </c>
      <c r="H4287" s="88"/>
      <c r="I4287" s="88"/>
      <c r="J4287" s="78">
        <f>MAX(K4287:Q4287)</f>
        <v>1</v>
      </c>
      <c r="K4287" s="88">
        <v>1</v>
      </c>
      <c r="L4287" s="88"/>
      <c r="M4287" s="88"/>
      <c r="N4287" s="88"/>
      <c r="O4287" s="88"/>
      <c r="P4287" s="88"/>
      <c r="Q4287" s="88"/>
      <c r="R4287" s="78">
        <f>MAX(S4287:W4287)</f>
        <v>0</v>
      </c>
      <c r="S4287" s="88"/>
      <c r="T4287" s="88"/>
      <c r="U4287" s="88"/>
      <c r="V4287" s="88"/>
      <c r="W4287" s="88"/>
    </row>
    <row r="4288" spans="2:23" s="0" customFormat="0" ht="15">
      <c r="B4288" s="87" t="s">
        <v>1</v>
      </c>
      <c r="C4288" s="88" t="s">
        <v>5259</v>
      </c>
      <c r="D4288" s="88">
        <v>12041225</v>
      </c>
      <c r="E4288" s="88" t="s">
        <v>61</v>
      </c>
      <c r="F4288" s="88">
        <v>0</v>
      </c>
      <c r="G4288" s="78">
        <f>MAX(H4288,I4288,J4288)</f>
        <v>1</v>
      </c>
      <c r="H4288" s="88"/>
      <c r="I4288" s="88"/>
      <c r="J4288" s="78">
        <f>MAX(K4288:Q4288)</f>
        <v>1</v>
      </c>
      <c r="K4288" s="88">
        <v>1</v>
      </c>
      <c r="L4288" s="88"/>
      <c r="M4288" s="88"/>
      <c r="N4288" s="88"/>
      <c r="O4288" s="88"/>
      <c r="P4288" s="88"/>
      <c r="Q4288" s="88"/>
      <c r="R4288" s="78">
        <f>MAX(S4288:W4288)</f>
        <v>0</v>
      </c>
      <c r="S4288" s="88"/>
      <c r="T4288" s="88"/>
      <c r="U4288" s="88"/>
      <c r="V4288" s="88"/>
      <c r="W4288" s="88"/>
    </row>
    <row r="4289" spans="2:23" s="0" customFormat="0" ht="15">
      <c r="B4289" s="87" t="s">
        <v>1</v>
      </c>
      <c r="C4289" s="88" t="s">
        <v>5259</v>
      </c>
      <c r="D4289" s="88">
        <v>24738982</v>
      </c>
      <c r="E4289" s="88" t="s">
        <v>61</v>
      </c>
      <c r="F4289" s="88">
        <v>0</v>
      </c>
      <c r="G4289" s="78">
        <f>MAX(H4289,I4289,J4289)</f>
        <v>1</v>
      </c>
      <c r="H4289" s="88"/>
      <c r="I4289" s="88"/>
      <c r="J4289" s="78">
        <f>MAX(K4289:Q4289)</f>
        <v>1</v>
      </c>
      <c r="K4289" s="88">
        <v>1</v>
      </c>
      <c r="L4289" s="88"/>
      <c r="M4289" s="88"/>
      <c r="N4289" s="88"/>
      <c r="O4289" s="88"/>
      <c r="P4289" s="88"/>
      <c r="Q4289" s="88"/>
      <c r="R4289" s="78">
        <f>MAX(S4289:W4289)</f>
        <v>0</v>
      </c>
      <c r="S4289" s="88"/>
      <c r="T4289" s="88"/>
      <c r="U4289" s="88"/>
      <c r="V4289" s="88"/>
      <c r="W4289" s="88"/>
    </row>
    <row r="4290" spans="2:23" s="0" customFormat="0" ht="15">
      <c r="B4290" s="87" t="s">
        <v>1</v>
      </c>
      <c r="C4290" s="88" t="s">
        <v>5259</v>
      </c>
      <c r="D4290" s="88">
        <v>24139078</v>
      </c>
      <c r="E4290" s="88" t="s">
        <v>61</v>
      </c>
      <c r="F4290" s="88">
        <v>0</v>
      </c>
      <c r="G4290" s="78">
        <f>MAX(H4290,I4290,J4290)</f>
        <v>0</v>
      </c>
      <c r="H4290" s="88"/>
      <c r="I4290" s="88"/>
      <c r="J4290" s="78">
        <f>MAX(K4290:Q4290)</f>
        <v>0</v>
      </c>
      <c r="K4290" s="88"/>
      <c r="L4290" s="88"/>
      <c r="M4290" s="88"/>
      <c r="N4290" s="88"/>
      <c r="O4290" s="88"/>
      <c r="P4290" s="88"/>
      <c r="Q4290" s="88"/>
      <c r="R4290" s="78">
        <f>MAX(S4290:W4290)</f>
        <v>1</v>
      </c>
      <c r="S4290" s="88"/>
      <c r="T4290" s="88"/>
      <c r="U4290" s="88">
        <v>1</v>
      </c>
      <c r="V4290" s="88"/>
      <c r="W4290" s="88"/>
    </row>
    <row r="4291" spans="2:23" s="0" customFormat="0" ht="15">
      <c r="B4291" s="87" t="s">
        <v>1</v>
      </c>
      <c r="C4291" s="88" t="s">
        <v>5259</v>
      </c>
      <c r="D4291" s="88">
        <v>19035757</v>
      </c>
      <c r="E4291" s="88" t="s">
        <v>61</v>
      </c>
      <c r="F4291" s="88">
        <v>0</v>
      </c>
      <c r="G4291" s="78">
        <f>MAX(H4291,I4291,J4291)</f>
        <v>1</v>
      </c>
      <c r="H4291" s="88"/>
      <c r="I4291" s="88"/>
      <c r="J4291" s="78">
        <f>MAX(K4291:Q4291)</f>
        <v>1</v>
      </c>
      <c r="K4291" s="88">
        <v>1</v>
      </c>
      <c r="L4291" s="88"/>
      <c r="M4291" s="88"/>
      <c r="N4291" s="88"/>
      <c r="O4291" s="88"/>
      <c r="P4291" s="88"/>
      <c r="Q4291" s="88"/>
      <c r="R4291" s="78">
        <f>MAX(S4291:W4291)</f>
        <v>0</v>
      </c>
      <c r="S4291" s="88"/>
      <c r="T4291" s="88"/>
      <c r="U4291" s="88"/>
      <c r="V4291" s="88"/>
      <c r="W4291" s="88"/>
    </row>
    <row r="4292" spans="2:23" s="0" customFormat="0" ht="15">
      <c r="B4292" s="87" t="s">
        <v>1</v>
      </c>
      <c r="C4292" s="88" t="s">
        <v>5259</v>
      </c>
      <c r="D4292" s="88" t="s">
        <v>3796</v>
      </c>
      <c r="E4292" s="88" t="s">
        <v>61</v>
      </c>
      <c r="F4292" s="88">
        <v>0</v>
      </c>
      <c r="G4292" s="78">
        <f>MAX(H4292,I4292,J4292)</f>
        <v>0</v>
      </c>
      <c r="H4292" s="88"/>
      <c r="I4292" s="88"/>
      <c r="J4292" s="78">
        <f>MAX(K4292:Q4292)</f>
        <v>0</v>
      </c>
      <c r="K4292" s="88"/>
      <c r="L4292" s="88"/>
      <c r="M4292" s="88"/>
      <c r="N4292" s="88"/>
      <c r="O4292" s="88"/>
      <c r="P4292" s="88"/>
      <c r="Q4292" s="88"/>
      <c r="R4292" s="78">
        <f>MAX(S4292:W4292)</f>
        <v>1</v>
      </c>
      <c r="S4292" s="88"/>
      <c r="T4292" s="88"/>
      <c r="U4292" s="88">
        <v>1</v>
      </c>
      <c r="V4292" s="88"/>
      <c r="W4292" s="88"/>
    </row>
    <row r="4293" spans="2:23" s="0" customFormat="0" ht="15">
      <c r="B4293" s="87" t="s">
        <v>1</v>
      </c>
      <c r="C4293" s="88" t="s">
        <v>5259</v>
      </c>
      <c r="D4293" s="88">
        <v>13285034</v>
      </c>
      <c r="E4293" s="88" t="s">
        <v>61</v>
      </c>
      <c r="F4293" s="88">
        <v>0</v>
      </c>
      <c r="G4293" s="78">
        <f>MAX(H4293,I4293,J4293)</f>
        <v>0</v>
      </c>
      <c r="H4293" s="88"/>
      <c r="I4293" s="88"/>
      <c r="J4293" s="78">
        <f>MAX(K4293:Q4293)</f>
        <v>0</v>
      </c>
      <c r="K4293" s="88"/>
      <c r="L4293" s="88"/>
      <c r="M4293" s="88"/>
      <c r="N4293" s="88"/>
      <c r="O4293" s="88"/>
      <c r="P4293" s="88"/>
      <c r="Q4293" s="88"/>
      <c r="R4293" s="78">
        <f>MAX(S4293:W4293)</f>
        <v>1</v>
      </c>
      <c r="S4293" s="88"/>
      <c r="T4293" s="88"/>
      <c r="U4293" s="88">
        <v>1</v>
      </c>
      <c r="V4293" s="88"/>
      <c r="W4293" s="88"/>
    </row>
    <row r="4294" spans="2:23" s="0" customFormat="0" ht="15">
      <c r="B4294" s="87" t="s">
        <v>1</v>
      </c>
      <c r="C4294" s="88" t="s">
        <v>5259</v>
      </c>
      <c r="D4294" s="88">
        <v>6429424</v>
      </c>
      <c r="E4294" s="88" t="s">
        <v>61</v>
      </c>
      <c r="F4294" s="88">
        <v>0</v>
      </c>
      <c r="G4294" s="78">
        <f>MAX(H4294,I4294,J4294)</f>
        <v>1</v>
      </c>
      <c r="H4294" s="88"/>
      <c r="I4294" s="88"/>
      <c r="J4294" s="78">
        <f>MAX(K4294:Q4294)</f>
        <v>1</v>
      </c>
      <c r="K4294" s="88">
        <v>1</v>
      </c>
      <c r="L4294" s="88"/>
      <c r="M4294" s="88"/>
      <c r="N4294" s="88"/>
      <c r="O4294" s="88"/>
      <c r="P4294" s="88"/>
      <c r="Q4294" s="88"/>
      <c r="R4294" s="78">
        <f>MAX(S4294:W4294)</f>
        <v>0</v>
      </c>
      <c r="S4294" s="88"/>
      <c r="T4294" s="88"/>
      <c r="U4294" s="88"/>
      <c r="V4294" s="88"/>
      <c r="W4294" s="88"/>
    </row>
    <row r="4295" spans="2:23" s="0" customFormat="0" ht="15">
      <c r="B4295" s="87" t="s">
        <v>1</v>
      </c>
      <c r="C4295" s="88" t="s">
        <v>5259</v>
      </c>
      <c r="D4295" s="88" t="s">
        <v>1153</v>
      </c>
      <c r="E4295" s="88" t="s">
        <v>61</v>
      </c>
      <c r="F4295" s="88">
        <v>0</v>
      </c>
      <c r="G4295" s="78">
        <f>MAX(H4295,I4295,J4295)</f>
        <v>1</v>
      </c>
      <c r="H4295" s="88"/>
      <c r="I4295" s="88"/>
      <c r="J4295" s="78">
        <f>MAX(K4295:Q4295)</f>
        <v>1</v>
      </c>
      <c r="K4295" s="88">
        <v>1</v>
      </c>
      <c r="L4295" s="88"/>
      <c r="M4295" s="88"/>
      <c r="N4295" s="88"/>
      <c r="O4295" s="88"/>
      <c r="P4295" s="88"/>
      <c r="Q4295" s="88"/>
      <c r="R4295" s="78">
        <f>MAX(S4295:W4295)</f>
        <v>0</v>
      </c>
      <c r="S4295" s="88"/>
      <c r="T4295" s="88"/>
      <c r="U4295" s="88"/>
      <c r="V4295" s="88"/>
      <c r="W4295" s="88"/>
    </row>
    <row r="4296" spans="2:23" s="0" customFormat="0" ht="15">
      <c r="B4296" s="87" t="s">
        <v>1</v>
      </c>
      <c r="C4296" s="88" t="s">
        <v>5259</v>
      </c>
      <c r="D4296" s="88" t="s">
        <v>4937</v>
      </c>
      <c r="E4296" s="88" t="s">
        <v>61</v>
      </c>
      <c r="F4296" s="88">
        <v>0</v>
      </c>
      <c r="G4296" s="78">
        <f>MAX(H4296,I4296,J4296)</f>
        <v>0</v>
      </c>
      <c r="H4296" s="88"/>
      <c r="I4296" s="88"/>
      <c r="J4296" s="78">
        <f>MAX(K4296:Q4296)</f>
        <v>0</v>
      </c>
      <c r="K4296" s="88"/>
      <c r="L4296" s="88"/>
      <c r="M4296" s="88"/>
      <c r="N4296" s="88"/>
      <c r="O4296" s="88"/>
      <c r="P4296" s="88"/>
      <c r="Q4296" s="88"/>
      <c r="R4296" s="78">
        <f>MAX(S4296:W4296)</f>
        <v>1</v>
      </c>
      <c r="S4296" s="88"/>
      <c r="T4296" s="88"/>
      <c r="U4296" s="88">
        <v>1</v>
      </c>
      <c r="V4296" s="88"/>
      <c r="W4296" s="88"/>
    </row>
    <row r="4297" spans="2:23" s="0" customFormat="0" ht="15">
      <c r="B4297" s="87" t="s">
        <v>1</v>
      </c>
      <c r="C4297" s="88" t="s">
        <v>5259</v>
      </c>
      <c r="D4297" s="88">
        <v>24747510</v>
      </c>
      <c r="E4297" s="88" t="s">
        <v>61</v>
      </c>
      <c r="F4297" s="88">
        <v>0</v>
      </c>
      <c r="G4297" s="78">
        <f>MAX(H4297,I4297,J4297)</f>
        <v>1</v>
      </c>
      <c r="H4297" s="88"/>
      <c r="I4297" s="88"/>
      <c r="J4297" s="78">
        <f>MAX(K4297:Q4297)</f>
        <v>1</v>
      </c>
      <c r="K4297" s="88">
        <v>1</v>
      </c>
      <c r="L4297" s="88"/>
      <c r="M4297" s="88"/>
      <c r="N4297" s="88"/>
      <c r="O4297" s="88"/>
      <c r="P4297" s="88"/>
      <c r="Q4297" s="88"/>
      <c r="R4297" s="78">
        <f>MAX(S4297:W4297)</f>
        <v>0</v>
      </c>
      <c r="S4297" s="88"/>
      <c r="T4297" s="88"/>
      <c r="U4297" s="88"/>
      <c r="V4297" s="88"/>
      <c r="W4297" s="88"/>
    </row>
    <row r="4298" spans="2:23" s="0" customFormat="0" ht="15">
      <c r="B4298" s="87" t="s">
        <v>1</v>
      </c>
      <c r="C4298" s="88" t="s">
        <v>5259</v>
      </c>
      <c r="D4298" s="88">
        <v>14559428</v>
      </c>
      <c r="E4298" s="88" t="s">
        <v>61</v>
      </c>
      <c r="F4298" s="88">
        <v>0</v>
      </c>
      <c r="G4298" s="78">
        <f>MAX(H4298,I4298,J4298)</f>
        <v>1</v>
      </c>
      <c r="H4298" s="88"/>
      <c r="I4298" s="88"/>
      <c r="J4298" s="78">
        <f>MAX(K4298:Q4298)</f>
        <v>1</v>
      </c>
      <c r="K4298" s="88">
        <v>1</v>
      </c>
      <c r="L4298" s="88"/>
      <c r="M4298" s="88"/>
      <c r="N4298" s="88"/>
      <c r="O4298" s="88"/>
      <c r="P4298" s="88"/>
      <c r="Q4298" s="88"/>
      <c r="R4298" s="78">
        <f>MAX(S4298:W4298)</f>
        <v>0</v>
      </c>
      <c r="S4298" s="88"/>
      <c r="T4298" s="88"/>
      <c r="U4298" s="88"/>
      <c r="V4298" s="88"/>
      <c r="W4298" s="88"/>
    </row>
    <row r="4299" spans="2:23" s="0" customFormat="0" ht="15">
      <c r="B4299" s="87" t="s">
        <v>1</v>
      </c>
      <c r="C4299" s="88" t="s">
        <v>5259</v>
      </c>
      <c r="D4299" s="88" t="s">
        <v>2536</v>
      </c>
      <c r="E4299" s="88" t="s">
        <v>61</v>
      </c>
      <c r="F4299" s="88">
        <v>0</v>
      </c>
      <c r="G4299" s="78">
        <f>MAX(H4299,I4299,J4299)</f>
        <v>1</v>
      </c>
      <c r="H4299" s="88"/>
      <c r="I4299" s="88"/>
      <c r="J4299" s="78">
        <f>MAX(K4299:Q4299)</f>
        <v>1</v>
      </c>
      <c r="K4299" s="88">
        <v>1</v>
      </c>
      <c r="L4299" s="88"/>
      <c r="M4299" s="88"/>
      <c r="N4299" s="88"/>
      <c r="O4299" s="88"/>
      <c r="P4299" s="88"/>
      <c r="Q4299" s="88"/>
      <c r="R4299" s="78">
        <f>MAX(S4299:W4299)</f>
        <v>0</v>
      </c>
      <c r="S4299" s="88"/>
      <c r="T4299" s="88"/>
      <c r="U4299" s="88"/>
      <c r="V4299" s="88"/>
      <c r="W4299" s="88"/>
    </row>
    <row r="4300" spans="2:23" s="0" customFormat="0" ht="15">
      <c r="B4300" s="87" t="s">
        <v>1</v>
      </c>
      <c r="C4300" s="88" t="s">
        <v>5259</v>
      </c>
      <c r="D4300" s="88" t="s">
        <v>2538</v>
      </c>
      <c r="E4300" s="88" t="s">
        <v>61</v>
      </c>
      <c r="F4300" s="88">
        <v>0</v>
      </c>
      <c r="G4300" s="78">
        <f>MAX(H4300,I4300,J4300)</f>
        <v>1</v>
      </c>
      <c r="H4300" s="88"/>
      <c r="I4300" s="88"/>
      <c r="J4300" s="78">
        <f>MAX(K4300:Q4300)</f>
        <v>1</v>
      </c>
      <c r="K4300" s="88">
        <v>1</v>
      </c>
      <c r="L4300" s="88"/>
      <c r="M4300" s="88"/>
      <c r="N4300" s="88"/>
      <c r="O4300" s="88"/>
      <c r="P4300" s="88"/>
      <c r="Q4300" s="88"/>
      <c r="R4300" s="78">
        <f>MAX(S4300:W4300)</f>
        <v>0</v>
      </c>
      <c r="S4300" s="88"/>
      <c r="T4300" s="88"/>
      <c r="U4300" s="88"/>
      <c r="V4300" s="88"/>
      <c r="W4300" s="88"/>
    </row>
    <row r="4301" spans="2:23" s="0" customFormat="0" ht="15">
      <c r="B4301" s="87" t="s">
        <v>1</v>
      </c>
      <c r="C4301" s="88" t="s">
        <v>5259</v>
      </c>
      <c r="D4301" s="88" t="s">
        <v>4651</v>
      </c>
      <c r="E4301" s="88" t="s">
        <v>61</v>
      </c>
      <c r="F4301" s="88">
        <v>0</v>
      </c>
      <c r="G4301" s="78">
        <f>MAX(H4301,I4301,J4301)</f>
        <v>0</v>
      </c>
      <c r="H4301" s="88"/>
      <c r="I4301" s="88"/>
      <c r="J4301" s="78">
        <f>MAX(K4301:Q4301)</f>
        <v>0</v>
      </c>
      <c r="K4301" s="88"/>
      <c r="L4301" s="88"/>
      <c r="M4301" s="88"/>
      <c r="N4301" s="88"/>
      <c r="O4301" s="88"/>
      <c r="P4301" s="88"/>
      <c r="Q4301" s="88"/>
      <c r="R4301" s="78">
        <f>MAX(S4301:W4301)</f>
        <v>1</v>
      </c>
      <c r="S4301" s="88"/>
      <c r="T4301" s="88"/>
      <c r="U4301" s="88">
        <v>1</v>
      </c>
      <c r="V4301" s="88"/>
      <c r="W4301" s="88"/>
    </row>
    <row r="4302" spans="2:23" s="0" customFormat="0" ht="15">
      <c r="B4302" s="87" t="s">
        <v>1</v>
      </c>
      <c r="C4302" s="88" t="s">
        <v>5259</v>
      </c>
      <c r="D4302" s="88">
        <v>12200139</v>
      </c>
      <c r="E4302" s="88" t="s">
        <v>61</v>
      </c>
      <c r="F4302" s="88">
        <v>0</v>
      </c>
      <c r="G4302" s="78">
        <f>MAX(H4302,I4302,J4302)</f>
        <v>1</v>
      </c>
      <c r="H4302" s="88"/>
      <c r="I4302" s="88"/>
      <c r="J4302" s="78">
        <f>MAX(K4302:Q4302)</f>
        <v>1</v>
      </c>
      <c r="K4302" s="88">
        <v>1</v>
      </c>
      <c r="L4302" s="88"/>
      <c r="M4302" s="88"/>
      <c r="N4302" s="88"/>
      <c r="O4302" s="88"/>
      <c r="P4302" s="88"/>
      <c r="Q4302" s="88"/>
      <c r="R4302" s="78">
        <f>MAX(S4302:W4302)</f>
        <v>0</v>
      </c>
      <c r="S4302" s="88"/>
      <c r="T4302" s="88"/>
      <c r="U4302" s="88"/>
      <c r="V4302" s="88"/>
      <c r="W4302" s="88"/>
    </row>
    <row r="4303" spans="2:23" s="0" customFormat="0" ht="15">
      <c r="B4303" s="87" t="s">
        <v>1</v>
      </c>
      <c r="C4303" s="88" t="s">
        <v>5259</v>
      </c>
      <c r="D4303" s="88" t="s">
        <v>4939</v>
      </c>
      <c r="E4303" s="88" t="s">
        <v>61</v>
      </c>
      <c r="F4303" s="88">
        <v>0</v>
      </c>
      <c r="G4303" s="78">
        <f>MAX(H4303,I4303,J4303)</f>
        <v>0</v>
      </c>
      <c r="H4303" s="88"/>
      <c r="I4303" s="88"/>
      <c r="J4303" s="78">
        <f>MAX(K4303:Q4303)</f>
        <v>0</v>
      </c>
      <c r="K4303" s="88"/>
      <c r="L4303" s="88"/>
      <c r="M4303" s="88"/>
      <c r="N4303" s="88"/>
      <c r="O4303" s="88"/>
      <c r="P4303" s="88"/>
      <c r="Q4303" s="88"/>
      <c r="R4303" s="78">
        <f>MAX(S4303:W4303)</f>
        <v>1</v>
      </c>
      <c r="S4303" s="88"/>
      <c r="T4303" s="88"/>
      <c r="U4303" s="88">
        <v>1</v>
      </c>
      <c r="V4303" s="88"/>
      <c r="W4303" s="88"/>
    </row>
    <row r="4304" spans="2:23" s="0" customFormat="0" ht="15">
      <c r="B4304" s="87" t="s">
        <v>1</v>
      </c>
      <c r="C4304" s="88" t="s">
        <v>5259</v>
      </c>
      <c r="D4304" s="88">
        <v>12505494</v>
      </c>
      <c r="E4304" s="88" t="s">
        <v>61</v>
      </c>
      <c r="F4304" s="88">
        <v>0</v>
      </c>
      <c r="G4304" s="78">
        <f>MAX(H4304,I4304,J4304)</f>
        <v>1</v>
      </c>
      <c r="H4304" s="88"/>
      <c r="I4304" s="88"/>
      <c r="J4304" s="78">
        <f>MAX(K4304:Q4304)</f>
        <v>1</v>
      </c>
      <c r="K4304" s="88">
        <v>1</v>
      </c>
      <c r="L4304" s="88"/>
      <c r="M4304" s="88"/>
      <c r="N4304" s="88"/>
      <c r="O4304" s="88"/>
      <c r="P4304" s="88"/>
      <c r="Q4304" s="88"/>
      <c r="R4304" s="78">
        <f>MAX(S4304:W4304)</f>
        <v>0</v>
      </c>
      <c r="S4304" s="88"/>
      <c r="T4304" s="88"/>
      <c r="U4304" s="88"/>
      <c r="V4304" s="88"/>
      <c r="W4304" s="88"/>
    </row>
    <row r="4305" spans="2:23" s="0" customFormat="0" ht="15">
      <c r="B4305" s="87" t="s">
        <v>1</v>
      </c>
      <c r="C4305" s="88" t="s">
        <v>5259</v>
      </c>
      <c r="D4305" s="88">
        <v>16974927</v>
      </c>
      <c r="E4305" s="88" t="s">
        <v>61</v>
      </c>
      <c r="F4305" s="88">
        <v>0</v>
      </c>
      <c r="G4305" s="78">
        <f>MAX(H4305,I4305,J4305)</f>
        <v>0</v>
      </c>
      <c r="H4305" s="88"/>
      <c r="I4305" s="88"/>
      <c r="J4305" s="78">
        <f>MAX(K4305:Q4305)</f>
        <v>0</v>
      </c>
      <c r="K4305" s="88"/>
      <c r="L4305" s="88"/>
      <c r="M4305" s="88"/>
      <c r="N4305" s="88"/>
      <c r="O4305" s="88"/>
      <c r="P4305" s="88"/>
      <c r="Q4305" s="88"/>
      <c r="R4305" s="78">
        <f>MAX(S4305:W4305)</f>
        <v>1</v>
      </c>
      <c r="S4305" s="88"/>
      <c r="T4305" s="88"/>
      <c r="U4305" s="88">
        <v>1</v>
      </c>
      <c r="V4305" s="88"/>
      <c r="W4305" s="88"/>
    </row>
    <row r="4306" spans="2:23" s="0" customFormat="0" ht="15">
      <c r="B4306" s="87" t="s">
        <v>1</v>
      </c>
      <c r="C4306" s="88" t="s">
        <v>5259</v>
      </c>
      <c r="D4306" s="88">
        <v>21257169</v>
      </c>
      <c r="E4306" s="88" t="s">
        <v>61</v>
      </c>
      <c r="F4306" s="88">
        <v>0</v>
      </c>
      <c r="G4306" s="78">
        <f>MAX(H4306,I4306,J4306)</f>
        <v>1</v>
      </c>
      <c r="H4306" s="88"/>
      <c r="I4306" s="88"/>
      <c r="J4306" s="78">
        <f>MAX(K4306:Q4306)</f>
        <v>1</v>
      </c>
      <c r="K4306" s="88">
        <v>1</v>
      </c>
      <c r="L4306" s="88"/>
      <c r="M4306" s="88"/>
      <c r="N4306" s="88"/>
      <c r="O4306" s="88"/>
      <c r="P4306" s="88"/>
      <c r="Q4306" s="88"/>
      <c r="R4306" s="78">
        <f>MAX(S4306:W4306)</f>
        <v>0</v>
      </c>
      <c r="S4306" s="88"/>
      <c r="T4306" s="88"/>
      <c r="U4306" s="88"/>
      <c r="V4306" s="88"/>
      <c r="W4306" s="88"/>
    </row>
    <row r="4307" spans="2:23" s="0" customFormat="0" ht="15">
      <c r="B4307" s="87" t="s">
        <v>1</v>
      </c>
      <c r="C4307" s="88" t="s">
        <v>5259</v>
      </c>
      <c r="D4307" s="88">
        <v>6759856</v>
      </c>
      <c r="E4307" s="88" t="s">
        <v>61</v>
      </c>
      <c r="F4307" s="88">
        <v>0</v>
      </c>
      <c r="G4307" s="78">
        <f>MAX(H4307,I4307,J4307)</f>
        <v>0</v>
      </c>
      <c r="H4307" s="88"/>
      <c r="I4307" s="88"/>
      <c r="J4307" s="78">
        <f>MAX(K4307:Q4307)</f>
        <v>0</v>
      </c>
      <c r="K4307" s="88"/>
      <c r="L4307" s="88"/>
      <c r="M4307" s="88"/>
      <c r="N4307" s="88"/>
      <c r="O4307" s="88"/>
      <c r="P4307" s="88"/>
      <c r="Q4307" s="88"/>
      <c r="R4307" s="78">
        <f>MAX(S4307:W4307)</f>
        <v>1</v>
      </c>
      <c r="S4307" s="88"/>
      <c r="T4307" s="88"/>
      <c r="U4307" s="88">
        <v>1</v>
      </c>
      <c r="V4307" s="88"/>
      <c r="W4307" s="88"/>
    </row>
    <row r="4308" spans="2:23" s="0" customFormat="0" ht="15">
      <c r="B4308" s="87" t="s">
        <v>1</v>
      </c>
      <c r="C4308" s="88" t="s">
        <v>5259</v>
      </c>
      <c r="D4308" s="88">
        <v>20819692</v>
      </c>
      <c r="E4308" s="88" t="s">
        <v>61</v>
      </c>
      <c r="F4308" s="88">
        <v>0</v>
      </c>
      <c r="G4308" s="78">
        <f>MAX(H4308,I4308,J4308)</f>
        <v>0</v>
      </c>
      <c r="H4308" s="88"/>
      <c r="I4308" s="88"/>
      <c r="J4308" s="78">
        <f>MAX(K4308:Q4308)</f>
        <v>0</v>
      </c>
      <c r="K4308" s="88"/>
      <c r="L4308" s="88"/>
      <c r="M4308" s="88"/>
      <c r="N4308" s="88"/>
      <c r="O4308" s="88"/>
      <c r="P4308" s="88"/>
      <c r="Q4308" s="88"/>
      <c r="R4308" s="78">
        <f>MAX(S4308:W4308)</f>
        <v>1</v>
      </c>
      <c r="S4308" s="88"/>
      <c r="T4308" s="88"/>
      <c r="U4308" s="88">
        <v>1</v>
      </c>
      <c r="V4308" s="88"/>
      <c r="W4308" s="88"/>
    </row>
    <row r="4309" spans="2:23" s="0" customFormat="0" ht="15">
      <c r="B4309" s="87" t="s">
        <v>1</v>
      </c>
      <c r="C4309" s="88" t="s">
        <v>5259</v>
      </c>
      <c r="D4309" s="88">
        <v>21276264</v>
      </c>
      <c r="E4309" s="88" t="s">
        <v>61</v>
      </c>
      <c r="F4309" s="88">
        <v>0</v>
      </c>
      <c r="G4309" s="78">
        <f>MAX(H4309,I4309,J4309)</f>
        <v>1</v>
      </c>
      <c r="H4309" s="88"/>
      <c r="I4309" s="88"/>
      <c r="J4309" s="78">
        <f>MAX(K4309:Q4309)</f>
        <v>1</v>
      </c>
      <c r="K4309" s="88">
        <v>1</v>
      </c>
      <c r="L4309" s="88"/>
      <c r="M4309" s="88"/>
      <c r="N4309" s="88"/>
      <c r="O4309" s="88"/>
      <c r="P4309" s="88"/>
      <c r="Q4309" s="88"/>
      <c r="R4309" s="78">
        <f>MAX(S4309:W4309)</f>
        <v>0</v>
      </c>
      <c r="S4309" s="88"/>
      <c r="T4309" s="88"/>
      <c r="U4309" s="88"/>
      <c r="V4309" s="88"/>
      <c r="W4309" s="88"/>
    </row>
    <row r="4310" spans="2:23" s="0" customFormat="0" ht="15">
      <c r="B4310" s="87" t="s">
        <v>1</v>
      </c>
      <c r="C4310" s="88" t="s">
        <v>5259</v>
      </c>
      <c r="D4310" s="88" t="s">
        <v>2541</v>
      </c>
      <c r="E4310" s="88" t="s">
        <v>61</v>
      </c>
      <c r="F4310" s="88">
        <v>0</v>
      </c>
      <c r="G4310" s="78">
        <f>MAX(H4310,I4310,J4310)</f>
        <v>1</v>
      </c>
      <c r="H4310" s="88"/>
      <c r="I4310" s="88"/>
      <c r="J4310" s="78">
        <f>MAX(K4310:Q4310)</f>
        <v>1</v>
      </c>
      <c r="K4310" s="88">
        <v>1</v>
      </c>
      <c r="L4310" s="88"/>
      <c r="M4310" s="88"/>
      <c r="N4310" s="88"/>
      <c r="O4310" s="88"/>
      <c r="P4310" s="88"/>
      <c r="Q4310" s="88"/>
      <c r="R4310" s="78">
        <f>MAX(S4310:W4310)</f>
        <v>0</v>
      </c>
      <c r="S4310" s="88"/>
      <c r="T4310" s="88"/>
      <c r="U4310" s="88"/>
      <c r="V4310" s="88"/>
      <c r="W4310" s="88"/>
    </row>
    <row r="4311" spans="2:23" s="0" customFormat="0" ht="15">
      <c r="B4311" s="87" t="s">
        <v>1</v>
      </c>
      <c r="C4311" s="88" t="s">
        <v>5259</v>
      </c>
      <c r="D4311" s="88">
        <v>14676162</v>
      </c>
      <c r="E4311" s="88" t="s">
        <v>61</v>
      </c>
      <c r="F4311" s="88">
        <v>0</v>
      </c>
      <c r="G4311" s="78">
        <f>MAX(H4311,I4311,J4311)</f>
        <v>1</v>
      </c>
      <c r="H4311" s="88"/>
      <c r="I4311" s="88"/>
      <c r="J4311" s="78">
        <f>MAX(K4311:Q4311)</f>
        <v>1</v>
      </c>
      <c r="K4311" s="88">
        <v>1</v>
      </c>
      <c r="L4311" s="88"/>
      <c r="M4311" s="88"/>
      <c r="N4311" s="88"/>
      <c r="O4311" s="88"/>
      <c r="P4311" s="88"/>
      <c r="Q4311" s="88"/>
      <c r="R4311" s="78">
        <f>MAX(S4311:W4311)</f>
        <v>0</v>
      </c>
      <c r="S4311" s="88"/>
      <c r="T4311" s="88"/>
      <c r="U4311" s="88"/>
      <c r="V4311" s="88"/>
      <c r="W4311" s="88"/>
    </row>
    <row r="4312" spans="2:23" s="0" customFormat="0" ht="15">
      <c r="B4312" s="87" t="s">
        <v>1</v>
      </c>
      <c r="C4312" s="88" t="s">
        <v>5259</v>
      </c>
      <c r="D4312" s="88">
        <v>18978138</v>
      </c>
      <c r="E4312" s="88" t="s">
        <v>61</v>
      </c>
      <c r="F4312" s="88">
        <v>0</v>
      </c>
      <c r="G4312" s="78">
        <f>MAX(H4312,I4312,J4312)</f>
        <v>1</v>
      </c>
      <c r="H4312" s="88"/>
      <c r="I4312" s="88"/>
      <c r="J4312" s="78">
        <f>MAX(K4312:Q4312)</f>
        <v>1</v>
      </c>
      <c r="K4312" s="88">
        <v>1</v>
      </c>
      <c r="L4312" s="88"/>
      <c r="M4312" s="88"/>
      <c r="N4312" s="88"/>
      <c r="O4312" s="88"/>
      <c r="P4312" s="88"/>
      <c r="Q4312" s="88"/>
      <c r="R4312" s="78">
        <f>MAX(S4312:W4312)</f>
        <v>0</v>
      </c>
      <c r="S4312" s="88"/>
      <c r="T4312" s="88"/>
      <c r="U4312" s="88"/>
      <c r="V4312" s="88"/>
      <c r="W4312" s="88"/>
    </row>
    <row r="4313" spans="2:23" s="0" customFormat="0" ht="15">
      <c r="B4313" s="87" t="s">
        <v>1</v>
      </c>
      <c r="C4313" s="88" t="s">
        <v>5259</v>
      </c>
      <c r="D4313" s="88">
        <v>23415378</v>
      </c>
      <c r="E4313" s="88" t="s">
        <v>61</v>
      </c>
      <c r="F4313" s="88">
        <v>0</v>
      </c>
      <c r="G4313" s="78">
        <f>MAX(H4313,I4313,J4313)</f>
        <v>1</v>
      </c>
      <c r="H4313" s="88"/>
      <c r="I4313" s="88"/>
      <c r="J4313" s="78">
        <f>MAX(K4313:Q4313)</f>
        <v>1</v>
      </c>
      <c r="K4313" s="88">
        <v>1</v>
      </c>
      <c r="L4313" s="88"/>
      <c r="M4313" s="88"/>
      <c r="N4313" s="88"/>
      <c r="O4313" s="88"/>
      <c r="P4313" s="88"/>
      <c r="Q4313" s="88"/>
      <c r="R4313" s="78">
        <f>MAX(S4313:W4313)</f>
        <v>0</v>
      </c>
      <c r="S4313" s="88"/>
      <c r="T4313" s="88"/>
      <c r="U4313" s="88"/>
      <c r="V4313" s="88"/>
      <c r="W4313" s="88"/>
    </row>
    <row r="4314" spans="2:23" s="0" customFormat="0" ht="15">
      <c r="B4314" s="87" t="s">
        <v>1</v>
      </c>
      <c r="C4314" s="88" t="s">
        <v>5259</v>
      </c>
      <c r="D4314" s="88">
        <v>11938366</v>
      </c>
      <c r="E4314" s="88" t="s">
        <v>61</v>
      </c>
      <c r="F4314" s="88">
        <v>0</v>
      </c>
      <c r="G4314" s="78">
        <f>MAX(H4314,I4314,J4314)</f>
        <v>1</v>
      </c>
      <c r="H4314" s="88"/>
      <c r="I4314" s="88"/>
      <c r="J4314" s="78">
        <f>MAX(K4314:Q4314)</f>
        <v>1</v>
      </c>
      <c r="K4314" s="88">
        <v>1</v>
      </c>
      <c r="L4314" s="88"/>
      <c r="M4314" s="88"/>
      <c r="N4314" s="88"/>
      <c r="O4314" s="88"/>
      <c r="P4314" s="88"/>
      <c r="Q4314" s="88"/>
      <c r="R4314" s="78">
        <f>MAX(S4314:W4314)</f>
        <v>0</v>
      </c>
      <c r="S4314" s="88"/>
      <c r="T4314" s="88"/>
      <c r="U4314" s="88"/>
      <c r="V4314" s="88"/>
      <c r="W4314" s="88"/>
    </row>
    <row r="4315" spans="2:23" s="0" customFormat="0" ht="15">
      <c r="B4315" s="87" t="s">
        <v>1</v>
      </c>
      <c r="C4315" s="88" t="s">
        <v>5259</v>
      </c>
      <c r="D4315" s="88">
        <v>20627507</v>
      </c>
      <c r="E4315" s="88" t="s">
        <v>61</v>
      </c>
      <c r="F4315" s="88">
        <v>0</v>
      </c>
      <c r="G4315" s="78">
        <f>MAX(H4315,I4315,J4315)</f>
        <v>1</v>
      </c>
      <c r="H4315" s="88"/>
      <c r="I4315" s="88"/>
      <c r="J4315" s="78">
        <f>MAX(K4315:Q4315)</f>
        <v>1</v>
      </c>
      <c r="K4315" s="88">
        <v>1</v>
      </c>
      <c r="L4315" s="88"/>
      <c r="M4315" s="88"/>
      <c r="N4315" s="88"/>
      <c r="O4315" s="88"/>
      <c r="P4315" s="88"/>
      <c r="Q4315" s="88"/>
      <c r="R4315" s="78">
        <f>MAX(S4315:W4315)</f>
        <v>0</v>
      </c>
      <c r="S4315" s="88"/>
      <c r="T4315" s="88"/>
      <c r="U4315" s="88"/>
      <c r="V4315" s="88"/>
      <c r="W4315" s="88"/>
    </row>
    <row r="4316" spans="2:23" s="0" customFormat="0" ht="15">
      <c r="B4316" s="87" t="s">
        <v>1</v>
      </c>
      <c r="C4316" s="88" t="s">
        <v>5259</v>
      </c>
      <c r="D4316" s="88" t="s">
        <v>4943</v>
      </c>
      <c r="E4316" s="88" t="s">
        <v>61</v>
      </c>
      <c r="F4316" s="88">
        <v>0</v>
      </c>
      <c r="G4316" s="78">
        <f>MAX(H4316,I4316,J4316)</f>
        <v>0</v>
      </c>
      <c r="H4316" s="88"/>
      <c r="I4316" s="88"/>
      <c r="J4316" s="78">
        <f>MAX(K4316:Q4316)</f>
        <v>0</v>
      </c>
      <c r="K4316" s="88"/>
      <c r="L4316" s="88"/>
      <c r="M4316" s="88"/>
      <c r="N4316" s="88"/>
      <c r="O4316" s="88"/>
      <c r="P4316" s="88"/>
      <c r="Q4316" s="88"/>
      <c r="R4316" s="78">
        <f>MAX(S4316:W4316)</f>
        <v>1</v>
      </c>
      <c r="S4316" s="88"/>
      <c r="T4316" s="88"/>
      <c r="U4316" s="88">
        <v>1</v>
      </c>
      <c r="V4316" s="88"/>
      <c r="W4316" s="88"/>
    </row>
    <row r="4317" spans="2:23" s="0" customFormat="0" ht="15">
      <c r="B4317" s="87" t="s">
        <v>1</v>
      </c>
      <c r="C4317" s="88" t="s">
        <v>5259</v>
      </c>
      <c r="D4317" s="88">
        <v>22000591</v>
      </c>
      <c r="E4317" s="88" t="s">
        <v>61</v>
      </c>
      <c r="F4317" s="88">
        <v>0</v>
      </c>
      <c r="G4317" s="78">
        <f>MAX(H4317,I4317,J4317)</f>
        <v>1</v>
      </c>
      <c r="H4317" s="88"/>
      <c r="I4317" s="88"/>
      <c r="J4317" s="78">
        <f>MAX(K4317:Q4317)</f>
        <v>1</v>
      </c>
      <c r="K4317" s="88">
        <v>1</v>
      </c>
      <c r="L4317" s="88"/>
      <c r="M4317" s="88"/>
      <c r="N4317" s="88"/>
      <c r="O4317" s="88"/>
      <c r="P4317" s="88"/>
      <c r="Q4317" s="88"/>
      <c r="R4317" s="78">
        <f>MAX(S4317:W4317)</f>
        <v>0</v>
      </c>
      <c r="S4317" s="88"/>
      <c r="T4317" s="88"/>
      <c r="U4317" s="88"/>
      <c r="V4317" s="88"/>
      <c r="W4317" s="88"/>
    </row>
    <row r="4318" spans="2:23" s="0" customFormat="0" ht="15">
      <c r="B4318" s="87" t="s">
        <v>1</v>
      </c>
      <c r="C4318" s="88" t="s">
        <v>5259</v>
      </c>
      <c r="D4318" s="88" t="s">
        <v>2544</v>
      </c>
      <c r="E4318" s="88" t="s">
        <v>61</v>
      </c>
      <c r="F4318" s="88">
        <v>0</v>
      </c>
      <c r="G4318" s="78">
        <f>MAX(H4318,I4318,J4318)</f>
        <v>1</v>
      </c>
      <c r="H4318" s="88"/>
      <c r="I4318" s="88"/>
      <c r="J4318" s="78">
        <f>MAX(K4318:Q4318)</f>
        <v>1</v>
      </c>
      <c r="K4318" s="88">
        <v>1</v>
      </c>
      <c r="L4318" s="88"/>
      <c r="M4318" s="88"/>
      <c r="N4318" s="88"/>
      <c r="O4318" s="88"/>
      <c r="P4318" s="88"/>
      <c r="Q4318" s="88"/>
      <c r="R4318" s="78">
        <f>MAX(S4318:W4318)</f>
        <v>0</v>
      </c>
      <c r="S4318" s="88"/>
      <c r="T4318" s="88"/>
      <c r="U4318" s="88"/>
      <c r="V4318" s="88"/>
      <c r="W4318" s="88"/>
    </row>
    <row r="4319" spans="2:23" s="0" customFormat="0" ht="15">
      <c r="B4319" s="87" t="s">
        <v>1</v>
      </c>
      <c r="C4319" s="88" t="s">
        <v>5259</v>
      </c>
      <c r="D4319" s="88">
        <v>20285513</v>
      </c>
      <c r="E4319" s="88" t="s">
        <v>61</v>
      </c>
      <c r="F4319" s="88">
        <v>0</v>
      </c>
      <c r="G4319" s="78">
        <f>MAX(H4319,I4319,J4319)</f>
        <v>1</v>
      </c>
      <c r="H4319" s="88"/>
      <c r="I4319" s="88"/>
      <c r="J4319" s="78">
        <f>MAX(K4319:Q4319)</f>
        <v>1</v>
      </c>
      <c r="K4319" s="88">
        <v>1</v>
      </c>
      <c r="L4319" s="88"/>
      <c r="M4319" s="88"/>
      <c r="N4319" s="88"/>
      <c r="O4319" s="88"/>
      <c r="P4319" s="88"/>
      <c r="Q4319" s="88"/>
      <c r="R4319" s="78">
        <f>MAX(S4319:W4319)</f>
        <v>0</v>
      </c>
      <c r="S4319" s="88"/>
      <c r="T4319" s="88"/>
      <c r="U4319" s="88"/>
      <c r="V4319" s="88"/>
      <c r="W4319" s="88"/>
    </row>
    <row r="4320" spans="2:23" s="0" customFormat="0" ht="15">
      <c r="B4320" s="87" t="s">
        <v>1</v>
      </c>
      <c r="C4320" s="88" t="s">
        <v>5259</v>
      </c>
      <c r="D4320" s="88" t="s">
        <v>3185</v>
      </c>
      <c r="E4320" s="88" t="s">
        <v>61</v>
      </c>
      <c r="F4320" s="88">
        <v>0</v>
      </c>
      <c r="G4320" s="78">
        <f>MAX(H4320,I4320,J4320)</f>
        <v>1</v>
      </c>
      <c r="H4320" s="88"/>
      <c r="I4320" s="88"/>
      <c r="J4320" s="78">
        <f>MAX(K4320:Q4320)</f>
        <v>1</v>
      </c>
      <c r="K4320" s="88"/>
      <c r="L4320" s="88"/>
      <c r="M4320" s="88"/>
      <c r="N4320" s="88"/>
      <c r="O4320" s="88"/>
      <c r="P4320" s="88"/>
      <c r="Q4320" s="88">
        <v>1</v>
      </c>
      <c r="R4320" s="78">
        <f>MAX(S4320:W4320)</f>
        <v>0</v>
      </c>
      <c r="S4320" s="88"/>
      <c r="T4320" s="88"/>
      <c r="U4320" s="88"/>
      <c r="V4320" s="88"/>
      <c r="W4320" s="88"/>
    </row>
    <row r="4321" spans="2:23" s="0" customFormat="0" ht="15">
      <c r="B4321" s="87" t="s">
        <v>1</v>
      </c>
      <c r="C4321" s="88" t="s">
        <v>5259</v>
      </c>
      <c r="D4321" s="88">
        <v>7065944</v>
      </c>
      <c r="E4321" s="88" t="s">
        <v>61</v>
      </c>
      <c r="F4321" s="88">
        <v>0</v>
      </c>
      <c r="G4321" s="78">
        <f>MAX(H4321,I4321,J4321)</f>
        <v>0</v>
      </c>
      <c r="H4321" s="88"/>
      <c r="I4321" s="88"/>
      <c r="J4321" s="78">
        <f>MAX(K4321:Q4321)</f>
        <v>0</v>
      </c>
      <c r="K4321" s="88"/>
      <c r="L4321" s="88"/>
      <c r="M4321" s="88"/>
      <c r="N4321" s="88"/>
      <c r="O4321" s="88"/>
      <c r="P4321" s="88"/>
      <c r="Q4321" s="88"/>
      <c r="R4321" s="78">
        <f>MAX(S4321:W4321)</f>
        <v>1</v>
      </c>
      <c r="S4321" s="88"/>
      <c r="T4321" s="88"/>
      <c r="U4321" s="88">
        <v>1</v>
      </c>
      <c r="V4321" s="88"/>
      <c r="W4321" s="88"/>
    </row>
    <row r="4322" spans="2:23" s="0" customFormat="0" ht="15">
      <c r="B4322" s="87" t="s">
        <v>1</v>
      </c>
      <c r="C4322" s="88" t="s">
        <v>5259</v>
      </c>
      <c r="D4322" s="88" t="s">
        <v>4433</v>
      </c>
      <c r="E4322" s="88" t="s">
        <v>61</v>
      </c>
      <c r="F4322" s="88">
        <v>0</v>
      </c>
      <c r="G4322" s="78">
        <f>MAX(H4322,I4322,J4322)</f>
        <v>0</v>
      </c>
      <c r="H4322" s="88"/>
      <c r="I4322" s="88"/>
      <c r="J4322" s="78">
        <f>MAX(K4322:Q4322)</f>
        <v>0</v>
      </c>
      <c r="K4322" s="88"/>
      <c r="L4322" s="88"/>
      <c r="M4322" s="88"/>
      <c r="N4322" s="88"/>
      <c r="O4322" s="88"/>
      <c r="P4322" s="88"/>
      <c r="Q4322" s="88"/>
      <c r="R4322" s="78">
        <f>MAX(S4322:W4322)</f>
        <v>1</v>
      </c>
      <c r="S4322" s="88"/>
      <c r="T4322" s="88"/>
      <c r="U4322" s="88">
        <v>1</v>
      </c>
      <c r="V4322" s="88"/>
      <c r="W4322" s="88"/>
    </row>
    <row r="4323" spans="2:23" s="0" customFormat="0" ht="15">
      <c r="B4323" s="87" t="s">
        <v>1</v>
      </c>
      <c r="C4323" s="88" t="s">
        <v>5259</v>
      </c>
      <c r="D4323" s="88">
        <v>2290894</v>
      </c>
      <c r="E4323" s="88" t="s">
        <v>61</v>
      </c>
      <c r="F4323" s="88">
        <v>0</v>
      </c>
      <c r="G4323" s="78">
        <f>MAX(H4323,I4323,J4323)</f>
        <v>0</v>
      </c>
      <c r="H4323" s="88"/>
      <c r="I4323" s="88"/>
      <c r="J4323" s="78">
        <f>MAX(K4323:Q4323)</f>
        <v>0</v>
      </c>
      <c r="K4323" s="88"/>
      <c r="L4323" s="88"/>
      <c r="M4323" s="88"/>
      <c r="N4323" s="88"/>
      <c r="O4323" s="88"/>
      <c r="P4323" s="88"/>
      <c r="Q4323" s="88"/>
      <c r="R4323" s="78">
        <f>MAX(S4323:W4323)</f>
        <v>1</v>
      </c>
      <c r="S4323" s="88"/>
      <c r="T4323" s="88"/>
      <c r="U4323" s="88">
        <v>1</v>
      </c>
      <c r="V4323" s="88"/>
      <c r="W4323" s="88"/>
    </row>
    <row r="4324" spans="2:23" s="0" customFormat="0" ht="15">
      <c r="B4324" s="87" t="s">
        <v>1</v>
      </c>
      <c r="C4324" s="88" t="s">
        <v>5259</v>
      </c>
      <c r="D4324" s="88" t="s">
        <v>4946</v>
      </c>
      <c r="E4324" s="88" t="s">
        <v>61</v>
      </c>
      <c r="F4324" s="88">
        <v>0</v>
      </c>
      <c r="G4324" s="78">
        <f>MAX(H4324,I4324,J4324)</f>
        <v>0</v>
      </c>
      <c r="H4324" s="88"/>
      <c r="I4324" s="88"/>
      <c r="J4324" s="78">
        <f>MAX(K4324:Q4324)</f>
        <v>0</v>
      </c>
      <c r="K4324" s="88"/>
      <c r="L4324" s="88"/>
      <c r="M4324" s="88"/>
      <c r="N4324" s="88"/>
      <c r="O4324" s="88"/>
      <c r="P4324" s="88"/>
      <c r="Q4324" s="88"/>
      <c r="R4324" s="78">
        <f>MAX(S4324:W4324)</f>
        <v>1</v>
      </c>
      <c r="S4324" s="88"/>
      <c r="T4324" s="88"/>
      <c r="U4324" s="88">
        <v>1</v>
      </c>
      <c r="V4324" s="88"/>
      <c r="W4324" s="88"/>
    </row>
    <row r="4325" spans="2:23" s="0" customFormat="0" ht="15">
      <c r="B4325" s="87" t="s">
        <v>1</v>
      </c>
      <c r="C4325" s="88" t="s">
        <v>5259</v>
      </c>
      <c r="D4325" s="88">
        <v>17170632</v>
      </c>
      <c r="E4325" s="88" t="s">
        <v>61</v>
      </c>
      <c r="F4325" s="88">
        <v>0</v>
      </c>
      <c r="G4325" s="78">
        <f>MAX(H4325,I4325,J4325)</f>
        <v>1</v>
      </c>
      <c r="H4325" s="88"/>
      <c r="I4325" s="88"/>
      <c r="J4325" s="78">
        <f>MAX(K4325:Q4325)</f>
        <v>1</v>
      </c>
      <c r="K4325" s="88">
        <v>1</v>
      </c>
      <c r="L4325" s="88"/>
      <c r="M4325" s="88"/>
      <c r="N4325" s="88"/>
      <c r="O4325" s="88"/>
      <c r="P4325" s="88"/>
      <c r="Q4325" s="88"/>
      <c r="R4325" s="78">
        <f>MAX(S4325:W4325)</f>
        <v>0</v>
      </c>
      <c r="S4325" s="88"/>
      <c r="T4325" s="88"/>
      <c r="U4325" s="88"/>
      <c r="V4325" s="88"/>
      <c r="W4325" s="88"/>
    </row>
    <row r="4326" spans="2:23" s="0" customFormat="0" ht="15">
      <c r="B4326" s="87" t="s">
        <v>1</v>
      </c>
      <c r="C4326" s="88" t="s">
        <v>5259</v>
      </c>
      <c r="D4326" s="88" t="s">
        <v>2546</v>
      </c>
      <c r="E4326" s="88" t="s">
        <v>61</v>
      </c>
      <c r="F4326" s="88">
        <v>0</v>
      </c>
      <c r="G4326" s="78">
        <f>MAX(H4326,I4326,J4326)</f>
        <v>1</v>
      </c>
      <c r="H4326" s="88"/>
      <c r="I4326" s="88"/>
      <c r="J4326" s="78">
        <f>MAX(K4326:Q4326)</f>
        <v>1</v>
      </c>
      <c r="K4326" s="88">
        <v>1</v>
      </c>
      <c r="L4326" s="88"/>
      <c r="M4326" s="88"/>
      <c r="N4326" s="88"/>
      <c r="O4326" s="88"/>
      <c r="P4326" s="88"/>
      <c r="Q4326" s="88"/>
      <c r="R4326" s="78">
        <f>MAX(S4326:W4326)</f>
        <v>0</v>
      </c>
      <c r="S4326" s="88"/>
      <c r="T4326" s="88"/>
      <c r="U4326" s="88"/>
      <c r="V4326" s="88"/>
      <c r="W4326" s="88"/>
    </row>
    <row r="4327" spans="2:23" s="0" customFormat="0" ht="15">
      <c r="B4327" s="87" t="s">
        <v>1</v>
      </c>
      <c r="C4327" s="88" t="s">
        <v>5259</v>
      </c>
      <c r="D4327" s="88">
        <v>17785897</v>
      </c>
      <c r="E4327" s="88" t="s">
        <v>61</v>
      </c>
      <c r="F4327" s="88">
        <v>0</v>
      </c>
      <c r="G4327" s="78">
        <f>MAX(H4327,I4327,J4327)</f>
        <v>1</v>
      </c>
      <c r="H4327" s="88"/>
      <c r="I4327" s="88"/>
      <c r="J4327" s="78">
        <f>MAX(K4327:Q4327)</f>
        <v>1</v>
      </c>
      <c r="K4327" s="88">
        <v>1</v>
      </c>
      <c r="L4327" s="88"/>
      <c r="M4327" s="88"/>
      <c r="N4327" s="88"/>
      <c r="O4327" s="88"/>
      <c r="P4327" s="88"/>
      <c r="Q4327" s="88"/>
      <c r="R4327" s="78">
        <f>MAX(S4327:W4327)</f>
        <v>0</v>
      </c>
      <c r="S4327" s="88"/>
      <c r="T4327" s="88"/>
      <c r="U4327" s="88"/>
      <c r="V4327" s="88"/>
      <c r="W4327" s="88"/>
    </row>
    <row r="4328" spans="2:23" s="0" customFormat="0" ht="15">
      <c r="B4328" s="87" t="s">
        <v>1</v>
      </c>
      <c r="C4328" s="88" t="s">
        <v>5259</v>
      </c>
      <c r="D4328" s="88" t="s">
        <v>437</v>
      </c>
      <c r="E4328" s="88" t="s">
        <v>61</v>
      </c>
      <c r="F4328" s="88">
        <v>0</v>
      </c>
      <c r="G4328" s="78">
        <f>MAX(H4328,I4328,J4328)</f>
        <v>1</v>
      </c>
      <c r="H4328" s="88"/>
      <c r="I4328" s="88"/>
      <c r="J4328" s="78">
        <f>MAX(K4328:Q4328)</f>
        <v>1</v>
      </c>
      <c r="K4328" s="88">
        <v>1</v>
      </c>
      <c r="L4328" s="88"/>
      <c r="M4328" s="88"/>
      <c r="N4328" s="88"/>
      <c r="O4328" s="88"/>
      <c r="P4328" s="88"/>
      <c r="Q4328" s="88"/>
      <c r="R4328" s="78">
        <f>MAX(S4328:W4328)</f>
        <v>0</v>
      </c>
      <c r="S4328" s="88"/>
      <c r="T4328" s="88"/>
      <c r="U4328" s="88"/>
      <c r="V4328" s="88"/>
      <c r="W4328" s="88"/>
    </row>
    <row r="4329" spans="2:23" s="0" customFormat="0" ht="15">
      <c r="B4329" s="87" t="s">
        <v>1</v>
      </c>
      <c r="C4329" s="88" t="s">
        <v>5259</v>
      </c>
      <c r="D4329" s="88">
        <v>23248120</v>
      </c>
      <c r="E4329" s="88" t="s">
        <v>61</v>
      </c>
      <c r="F4329" s="88">
        <v>0</v>
      </c>
      <c r="G4329" s="78">
        <f>MAX(H4329,I4329,J4329)</f>
        <v>1</v>
      </c>
      <c r="H4329" s="88"/>
      <c r="I4329" s="88"/>
      <c r="J4329" s="78">
        <f>MAX(K4329:Q4329)</f>
        <v>1</v>
      </c>
      <c r="K4329" s="88">
        <v>1</v>
      </c>
      <c r="L4329" s="88"/>
      <c r="M4329" s="88"/>
      <c r="N4329" s="88"/>
      <c r="O4329" s="88"/>
      <c r="P4329" s="88"/>
      <c r="Q4329" s="88"/>
      <c r="R4329" s="78">
        <f>MAX(S4329:W4329)</f>
        <v>0</v>
      </c>
      <c r="S4329" s="88"/>
      <c r="T4329" s="88"/>
      <c r="U4329" s="88"/>
      <c r="V4329" s="88"/>
      <c r="W4329" s="88"/>
    </row>
    <row r="4330" spans="2:23" s="0" customFormat="0" ht="15">
      <c r="B4330" s="87" t="s">
        <v>1</v>
      </c>
      <c r="C4330" s="88" t="s">
        <v>5259</v>
      </c>
      <c r="D4330" s="88">
        <v>13449119</v>
      </c>
      <c r="E4330" s="88" t="s">
        <v>61</v>
      </c>
      <c r="F4330" s="88">
        <v>0</v>
      </c>
      <c r="G4330" s="78">
        <f>MAX(H4330,I4330,J4330)</f>
        <v>1</v>
      </c>
      <c r="H4330" s="88"/>
      <c r="I4330" s="88"/>
      <c r="J4330" s="78">
        <f>MAX(K4330:Q4330)</f>
        <v>1</v>
      </c>
      <c r="K4330" s="88">
        <v>1</v>
      </c>
      <c r="L4330" s="88"/>
      <c r="M4330" s="88"/>
      <c r="N4330" s="88"/>
      <c r="O4330" s="88"/>
      <c r="P4330" s="88"/>
      <c r="Q4330" s="88"/>
      <c r="R4330" s="78">
        <f>MAX(S4330:W4330)</f>
        <v>0</v>
      </c>
      <c r="S4330" s="88"/>
      <c r="T4330" s="88"/>
      <c r="U4330" s="88"/>
      <c r="V4330" s="88"/>
      <c r="W4330" s="88"/>
    </row>
    <row r="4331" spans="2:23" s="0" customFormat="0" ht="15">
      <c r="B4331" s="87" t="s">
        <v>1</v>
      </c>
      <c r="C4331" s="88" t="s">
        <v>5259</v>
      </c>
      <c r="D4331" s="88">
        <v>17134490</v>
      </c>
      <c r="E4331" s="88" t="s">
        <v>61</v>
      </c>
      <c r="F4331" s="88">
        <v>0</v>
      </c>
      <c r="G4331" s="78">
        <f>MAX(H4331,I4331,J4331)</f>
        <v>1</v>
      </c>
      <c r="H4331" s="88"/>
      <c r="I4331" s="88"/>
      <c r="J4331" s="78">
        <f>MAX(K4331:Q4331)</f>
        <v>1</v>
      </c>
      <c r="K4331" s="88">
        <v>1</v>
      </c>
      <c r="L4331" s="88"/>
      <c r="M4331" s="88"/>
      <c r="N4331" s="88"/>
      <c r="O4331" s="88"/>
      <c r="P4331" s="88"/>
      <c r="Q4331" s="88"/>
      <c r="R4331" s="78">
        <f>MAX(S4331:W4331)</f>
        <v>0</v>
      </c>
      <c r="S4331" s="88"/>
      <c r="T4331" s="88"/>
      <c r="U4331" s="88"/>
      <c r="V4331" s="88"/>
      <c r="W4331" s="88"/>
    </row>
    <row r="4332" spans="2:23" s="0" customFormat="0" ht="15">
      <c r="B4332" s="87" t="s">
        <v>1</v>
      </c>
      <c r="C4332" s="88" t="s">
        <v>5259</v>
      </c>
      <c r="D4332" s="88">
        <v>18638793</v>
      </c>
      <c r="E4332" s="88" t="s">
        <v>61</v>
      </c>
      <c r="F4332" s="88">
        <v>0</v>
      </c>
      <c r="G4332" s="78">
        <f>MAX(H4332,I4332,J4332)</f>
        <v>1</v>
      </c>
      <c r="H4332" s="88"/>
      <c r="I4332" s="88"/>
      <c r="J4332" s="78">
        <f>MAX(K4332:Q4332)</f>
        <v>1</v>
      </c>
      <c r="K4332" s="88">
        <v>1</v>
      </c>
      <c r="L4332" s="88"/>
      <c r="M4332" s="88"/>
      <c r="N4332" s="88"/>
      <c r="O4332" s="88"/>
      <c r="P4332" s="88"/>
      <c r="Q4332" s="88"/>
      <c r="R4332" s="78">
        <f>MAX(S4332:W4332)</f>
        <v>0</v>
      </c>
      <c r="S4332" s="88"/>
      <c r="T4332" s="88"/>
      <c r="U4332" s="88"/>
      <c r="V4332" s="88"/>
      <c r="W4332" s="88"/>
    </row>
    <row r="4333" spans="2:23" s="0" customFormat="0" ht="15">
      <c r="B4333" s="87" t="s">
        <v>1</v>
      </c>
      <c r="C4333" s="88" t="s">
        <v>5259</v>
      </c>
      <c r="D4333" s="88">
        <v>23207407</v>
      </c>
      <c r="E4333" s="88" t="s">
        <v>61</v>
      </c>
      <c r="F4333" s="88">
        <v>0</v>
      </c>
      <c r="G4333" s="78">
        <f>MAX(H4333,I4333,J4333)</f>
        <v>1</v>
      </c>
      <c r="H4333" s="88"/>
      <c r="I4333" s="88"/>
      <c r="J4333" s="78">
        <f>MAX(K4333:Q4333)</f>
        <v>1</v>
      </c>
      <c r="K4333" s="88">
        <v>1</v>
      </c>
      <c r="L4333" s="88"/>
      <c r="M4333" s="88"/>
      <c r="N4333" s="88"/>
      <c r="O4333" s="88"/>
      <c r="P4333" s="88"/>
      <c r="Q4333" s="88"/>
      <c r="R4333" s="78">
        <f>MAX(S4333:W4333)</f>
        <v>0</v>
      </c>
      <c r="S4333" s="88"/>
      <c r="T4333" s="88"/>
      <c r="U4333" s="88"/>
      <c r="V4333" s="88"/>
      <c r="W4333" s="88"/>
    </row>
    <row r="4334" spans="2:23" s="0" customFormat="0" ht="15">
      <c r="B4334" s="87" t="s">
        <v>1</v>
      </c>
      <c r="C4334" s="88" t="s">
        <v>5259</v>
      </c>
      <c r="D4334" s="88">
        <v>24355439</v>
      </c>
      <c r="E4334" s="88" t="s">
        <v>61</v>
      </c>
      <c r="F4334" s="88">
        <v>0</v>
      </c>
      <c r="G4334" s="78">
        <f>MAX(H4334,I4334,J4334)</f>
        <v>1</v>
      </c>
      <c r="H4334" s="88"/>
      <c r="I4334" s="88"/>
      <c r="J4334" s="78">
        <f>MAX(K4334:Q4334)</f>
        <v>1</v>
      </c>
      <c r="K4334" s="88">
        <v>1</v>
      </c>
      <c r="L4334" s="88"/>
      <c r="M4334" s="88"/>
      <c r="N4334" s="88"/>
      <c r="O4334" s="88"/>
      <c r="P4334" s="88"/>
      <c r="Q4334" s="88"/>
      <c r="R4334" s="78">
        <f>MAX(S4334:W4334)</f>
        <v>0</v>
      </c>
      <c r="S4334" s="88"/>
      <c r="T4334" s="88"/>
      <c r="U4334" s="88"/>
      <c r="V4334" s="88"/>
      <c r="W4334" s="88"/>
    </row>
    <row r="4335" spans="2:23" s="0" customFormat="0" ht="15">
      <c r="B4335" s="87" t="s">
        <v>1</v>
      </c>
      <c r="C4335" s="88" t="s">
        <v>5259</v>
      </c>
      <c r="D4335" s="88">
        <v>20801543</v>
      </c>
      <c r="E4335" s="88" t="s">
        <v>61</v>
      </c>
      <c r="F4335" s="88">
        <v>0</v>
      </c>
      <c r="G4335" s="78">
        <f>MAX(H4335,I4335,J4335)</f>
        <v>1</v>
      </c>
      <c r="H4335" s="88"/>
      <c r="I4335" s="88"/>
      <c r="J4335" s="78">
        <f>MAX(K4335:Q4335)</f>
        <v>1</v>
      </c>
      <c r="K4335" s="88">
        <v>1</v>
      </c>
      <c r="L4335" s="88"/>
      <c r="M4335" s="88"/>
      <c r="N4335" s="88"/>
      <c r="O4335" s="88"/>
      <c r="P4335" s="88"/>
      <c r="Q4335" s="88"/>
      <c r="R4335" s="78">
        <f>MAX(S4335:W4335)</f>
        <v>0</v>
      </c>
      <c r="S4335" s="88"/>
      <c r="T4335" s="88"/>
      <c r="U4335" s="88"/>
      <c r="V4335" s="88"/>
      <c r="W4335" s="88"/>
    </row>
    <row r="4336" spans="2:23" s="0" customFormat="0" ht="15">
      <c r="B4336" s="87" t="s">
        <v>1</v>
      </c>
      <c r="C4336" s="88" t="s">
        <v>5259</v>
      </c>
      <c r="D4336" s="88" t="s">
        <v>2550</v>
      </c>
      <c r="E4336" s="88" t="s">
        <v>61</v>
      </c>
      <c r="F4336" s="88">
        <v>0</v>
      </c>
      <c r="G4336" s="78">
        <f>MAX(H4336,I4336,J4336)</f>
        <v>1</v>
      </c>
      <c r="H4336" s="88"/>
      <c r="I4336" s="88"/>
      <c r="J4336" s="78">
        <f>MAX(K4336:Q4336)</f>
        <v>1</v>
      </c>
      <c r="K4336" s="88">
        <v>1</v>
      </c>
      <c r="L4336" s="88"/>
      <c r="M4336" s="88"/>
      <c r="N4336" s="88"/>
      <c r="O4336" s="88"/>
      <c r="P4336" s="88"/>
      <c r="Q4336" s="88"/>
      <c r="R4336" s="78">
        <f>MAX(S4336:W4336)</f>
        <v>0</v>
      </c>
      <c r="S4336" s="88"/>
      <c r="T4336" s="88"/>
      <c r="U4336" s="88"/>
      <c r="V4336" s="88"/>
      <c r="W4336" s="88"/>
    </row>
    <row r="4337" spans="2:23" s="0" customFormat="0" ht="15">
      <c r="B4337" s="87" t="s">
        <v>1</v>
      </c>
      <c r="C4337" s="88" t="s">
        <v>5259</v>
      </c>
      <c r="D4337" s="88" t="s">
        <v>2552</v>
      </c>
      <c r="E4337" s="88" t="s">
        <v>61</v>
      </c>
      <c r="F4337" s="88">
        <v>0</v>
      </c>
      <c r="G4337" s="78">
        <f>MAX(H4337,I4337,J4337)</f>
        <v>1</v>
      </c>
      <c r="H4337" s="88"/>
      <c r="I4337" s="88"/>
      <c r="J4337" s="78">
        <f>MAX(K4337:Q4337)</f>
        <v>1</v>
      </c>
      <c r="K4337" s="88">
        <v>1</v>
      </c>
      <c r="L4337" s="88"/>
      <c r="M4337" s="88"/>
      <c r="N4337" s="88"/>
      <c r="O4337" s="88"/>
      <c r="P4337" s="88"/>
      <c r="Q4337" s="88"/>
      <c r="R4337" s="78">
        <f>MAX(S4337:W4337)</f>
        <v>0</v>
      </c>
      <c r="S4337" s="88"/>
      <c r="T4337" s="88"/>
      <c r="U4337" s="88"/>
      <c r="V4337" s="88"/>
      <c r="W4337" s="88"/>
    </row>
    <row r="4338" spans="2:23" s="0" customFormat="0" ht="15">
      <c r="B4338" s="87" t="s">
        <v>1</v>
      </c>
      <c r="C4338" s="88" t="s">
        <v>5259</v>
      </c>
      <c r="D4338" s="88" t="s">
        <v>3202</v>
      </c>
      <c r="E4338" s="88" t="s">
        <v>61</v>
      </c>
      <c r="F4338" s="88">
        <v>0</v>
      </c>
      <c r="G4338" s="78">
        <f>MAX(H4338,I4338,J4338)</f>
        <v>0</v>
      </c>
      <c r="H4338" s="88"/>
      <c r="I4338" s="88"/>
      <c r="J4338" s="78">
        <f>MAX(K4338:Q4338)</f>
        <v>0</v>
      </c>
      <c r="K4338" s="88"/>
      <c r="L4338" s="88"/>
      <c r="M4338" s="88"/>
      <c r="N4338" s="88"/>
      <c r="O4338" s="88"/>
      <c r="P4338" s="88"/>
      <c r="Q4338" s="88"/>
      <c r="R4338" s="78">
        <f>MAX(S4338:W4338)</f>
        <v>1</v>
      </c>
      <c r="S4338" s="88"/>
      <c r="T4338" s="88"/>
      <c r="U4338" s="88"/>
      <c r="V4338" s="88">
        <v>1</v>
      </c>
      <c r="W4338" s="88"/>
    </row>
    <row r="4339" spans="2:23" s="0" customFormat="0" ht="15">
      <c r="B4339" s="87" t="s">
        <v>1</v>
      </c>
      <c r="C4339" s="88" t="s">
        <v>5259</v>
      </c>
      <c r="D4339" s="88">
        <v>21227977</v>
      </c>
      <c r="E4339" s="88" t="s">
        <v>61</v>
      </c>
      <c r="F4339" s="88">
        <v>0</v>
      </c>
      <c r="G4339" s="78">
        <f>MAX(H4339,I4339,J4339)</f>
        <v>1</v>
      </c>
      <c r="H4339" s="88"/>
      <c r="I4339" s="88"/>
      <c r="J4339" s="78">
        <f>MAX(K4339:Q4339)</f>
        <v>1</v>
      </c>
      <c r="K4339" s="88"/>
      <c r="L4339" s="88"/>
      <c r="M4339" s="88">
        <v>1</v>
      </c>
      <c r="N4339" s="88"/>
      <c r="O4339" s="88"/>
      <c r="P4339" s="88"/>
      <c r="Q4339" s="88"/>
      <c r="R4339" s="78">
        <f>MAX(S4339:W4339)</f>
        <v>0</v>
      </c>
      <c r="S4339" s="88"/>
      <c r="T4339" s="88"/>
      <c r="U4339" s="88"/>
      <c r="V4339" s="88"/>
      <c r="W4339" s="88"/>
    </row>
    <row r="4340" spans="2:23" s="0" customFormat="0" ht="15">
      <c r="B4340" s="87" t="s">
        <v>1</v>
      </c>
      <c r="C4340" s="88" t="s">
        <v>5259</v>
      </c>
      <c r="D4340" s="88">
        <v>20591970</v>
      </c>
      <c r="E4340" s="88" t="s">
        <v>61</v>
      </c>
      <c r="F4340" s="88">
        <v>0</v>
      </c>
      <c r="G4340" s="78">
        <f>MAX(H4340,I4340,J4340)</f>
        <v>1</v>
      </c>
      <c r="H4340" s="88"/>
      <c r="I4340" s="88"/>
      <c r="J4340" s="78">
        <f>MAX(K4340:Q4340)</f>
        <v>1</v>
      </c>
      <c r="K4340" s="88">
        <v>1</v>
      </c>
      <c r="L4340" s="88"/>
      <c r="M4340" s="88"/>
      <c r="N4340" s="88"/>
      <c r="O4340" s="88"/>
      <c r="P4340" s="88"/>
      <c r="Q4340" s="88"/>
      <c r="R4340" s="78">
        <f>MAX(S4340:W4340)</f>
        <v>0</v>
      </c>
      <c r="S4340" s="88"/>
      <c r="T4340" s="88"/>
      <c r="U4340" s="88"/>
      <c r="V4340" s="88"/>
      <c r="W4340" s="88"/>
    </row>
    <row r="4341" spans="2:23" s="0" customFormat="0" ht="15">
      <c r="B4341" s="87" t="s">
        <v>1</v>
      </c>
      <c r="C4341" s="88" t="s">
        <v>5259</v>
      </c>
      <c r="D4341" s="88" t="s">
        <v>4948</v>
      </c>
      <c r="E4341" s="88" t="s">
        <v>61</v>
      </c>
      <c r="F4341" s="88">
        <v>0</v>
      </c>
      <c r="G4341" s="78">
        <f>MAX(H4341,I4341,J4341)</f>
        <v>0</v>
      </c>
      <c r="H4341" s="88"/>
      <c r="I4341" s="88"/>
      <c r="J4341" s="78">
        <f>MAX(K4341:Q4341)</f>
        <v>0</v>
      </c>
      <c r="K4341" s="88"/>
      <c r="L4341" s="88"/>
      <c r="M4341" s="88"/>
      <c r="N4341" s="88"/>
      <c r="O4341" s="88"/>
      <c r="P4341" s="88"/>
      <c r="Q4341" s="88"/>
      <c r="R4341" s="78">
        <f>MAX(S4341:W4341)</f>
        <v>1</v>
      </c>
      <c r="S4341" s="88"/>
      <c r="T4341" s="88"/>
      <c r="U4341" s="88">
        <v>1</v>
      </c>
      <c r="V4341" s="88"/>
      <c r="W4341" s="88"/>
    </row>
    <row r="4342" spans="2:23" s="0" customFormat="0" ht="15">
      <c r="B4342" s="87" t="s">
        <v>1</v>
      </c>
      <c r="C4342" s="88" t="s">
        <v>5259</v>
      </c>
      <c r="D4342" s="88">
        <v>21226550</v>
      </c>
      <c r="E4342" s="88" t="s">
        <v>61</v>
      </c>
      <c r="F4342" s="88">
        <v>0</v>
      </c>
      <c r="G4342" s="78">
        <f>MAX(H4342,I4342,J4342)</f>
        <v>1</v>
      </c>
      <c r="H4342" s="88"/>
      <c r="I4342" s="88"/>
      <c r="J4342" s="78">
        <f>MAX(K4342:Q4342)</f>
        <v>1</v>
      </c>
      <c r="K4342" s="88">
        <v>1</v>
      </c>
      <c r="L4342" s="88"/>
      <c r="M4342" s="88"/>
      <c r="N4342" s="88"/>
      <c r="O4342" s="88"/>
      <c r="P4342" s="88"/>
      <c r="Q4342" s="88"/>
      <c r="R4342" s="78">
        <f>MAX(S4342:W4342)</f>
        <v>0</v>
      </c>
      <c r="S4342" s="88"/>
      <c r="T4342" s="88"/>
      <c r="U4342" s="88"/>
      <c r="V4342" s="88"/>
      <c r="W4342" s="88"/>
    </row>
    <row r="4343" spans="2:23" s="0" customFormat="0" ht="15">
      <c r="B4343" s="87" t="s">
        <v>1</v>
      </c>
      <c r="C4343" s="88" t="s">
        <v>5259</v>
      </c>
      <c r="D4343" s="88">
        <v>19686821</v>
      </c>
      <c r="E4343" s="88" t="s">
        <v>61</v>
      </c>
      <c r="F4343" s="88">
        <v>0</v>
      </c>
      <c r="G4343" s="78">
        <f>MAX(H4343,I4343,J4343)</f>
        <v>1</v>
      </c>
      <c r="H4343" s="88"/>
      <c r="I4343" s="88"/>
      <c r="J4343" s="78">
        <f>MAX(K4343:Q4343)</f>
        <v>1</v>
      </c>
      <c r="K4343" s="88">
        <v>1</v>
      </c>
      <c r="L4343" s="88"/>
      <c r="M4343" s="88"/>
      <c r="N4343" s="88"/>
      <c r="O4343" s="88"/>
      <c r="P4343" s="88"/>
      <c r="Q4343" s="88"/>
      <c r="R4343" s="78">
        <f>MAX(S4343:W4343)</f>
        <v>0</v>
      </c>
      <c r="S4343" s="88"/>
      <c r="T4343" s="88"/>
      <c r="U4343" s="88"/>
      <c r="V4343" s="88"/>
      <c r="W4343" s="88"/>
    </row>
    <row r="4344" spans="2:23" s="0" customFormat="0" ht="15">
      <c r="B4344" s="87" t="s">
        <v>1</v>
      </c>
      <c r="C4344" s="88" t="s">
        <v>5259</v>
      </c>
      <c r="D4344" s="88">
        <v>11798103</v>
      </c>
      <c r="E4344" s="88" t="s">
        <v>61</v>
      </c>
      <c r="F4344" s="88">
        <v>0</v>
      </c>
      <c r="G4344" s="78">
        <f>MAX(H4344,I4344,J4344)</f>
        <v>1</v>
      </c>
      <c r="H4344" s="88"/>
      <c r="I4344" s="88"/>
      <c r="J4344" s="78">
        <f>MAX(K4344:Q4344)</f>
        <v>1</v>
      </c>
      <c r="K4344" s="88">
        <v>1</v>
      </c>
      <c r="L4344" s="88"/>
      <c r="M4344" s="88"/>
      <c r="N4344" s="88"/>
      <c r="O4344" s="88"/>
      <c r="P4344" s="88"/>
      <c r="Q4344" s="88"/>
      <c r="R4344" s="78">
        <f>MAX(S4344:W4344)</f>
        <v>0</v>
      </c>
      <c r="S4344" s="88"/>
      <c r="T4344" s="88"/>
      <c r="U4344" s="88"/>
      <c r="V4344" s="88"/>
      <c r="W4344" s="88"/>
    </row>
    <row r="4345" spans="2:23" s="0" customFormat="0" ht="15">
      <c r="B4345" s="87" t="s">
        <v>1</v>
      </c>
      <c r="C4345" s="88" t="s">
        <v>5259</v>
      </c>
      <c r="D4345" s="88">
        <v>4530720</v>
      </c>
      <c r="E4345" s="88" t="s">
        <v>61</v>
      </c>
      <c r="F4345" s="88">
        <v>0</v>
      </c>
      <c r="G4345" s="78">
        <f>MAX(H4345,I4345,J4345)</f>
        <v>0</v>
      </c>
      <c r="H4345" s="88"/>
      <c r="I4345" s="88"/>
      <c r="J4345" s="78">
        <f>MAX(K4345:Q4345)</f>
        <v>0</v>
      </c>
      <c r="K4345" s="88"/>
      <c r="L4345" s="88"/>
      <c r="M4345" s="88"/>
      <c r="N4345" s="88"/>
      <c r="O4345" s="88"/>
      <c r="P4345" s="88"/>
      <c r="Q4345" s="88"/>
      <c r="R4345" s="78">
        <f>MAX(S4345:W4345)</f>
        <v>1</v>
      </c>
      <c r="S4345" s="88"/>
      <c r="T4345" s="88"/>
      <c r="U4345" s="88">
        <v>1</v>
      </c>
      <c r="V4345" s="88"/>
      <c r="W4345" s="88"/>
    </row>
    <row r="4346" spans="2:23" s="0" customFormat="0" ht="15">
      <c r="B4346" s="87" t="s">
        <v>1</v>
      </c>
      <c r="C4346" s="88" t="s">
        <v>5259</v>
      </c>
      <c r="D4346" s="88">
        <v>6590851</v>
      </c>
      <c r="E4346" s="88" t="s">
        <v>61</v>
      </c>
      <c r="F4346" s="88">
        <v>0</v>
      </c>
      <c r="G4346" s="78">
        <f>MAX(H4346,I4346,J4346)</f>
        <v>1</v>
      </c>
      <c r="H4346" s="88"/>
      <c r="I4346" s="88"/>
      <c r="J4346" s="78">
        <f>MAX(K4346:Q4346)</f>
        <v>1</v>
      </c>
      <c r="K4346" s="88">
        <v>1</v>
      </c>
      <c r="L4346" s="88"/>
      <c r="M4346" s="88"/>
      <c r="N4346" s="88"/>
      <c r="O4346" s="88"/>
      <c r="P4346" s="88"/>
      <c r="Q4346" s="88"/>
      <c r="R4346" s="78">
        <f>MAX(S4346:W4346)</f>
        <v>0</v>
      </c>
      <c r="S4346" s="88"/>
      <c r="T4346" s="88"/>
      <c r="U4346" s="88"/>
      <c r="V4346" s="88"/>
      <c r="W4346" s="88"/>
    </row>
    <row r="4347" spans="2:23" s="0" customFormat="0" ht="15">
      <c r="B4347" s="87" t="s">
        <v>1</v>
      </c>
      <c r="C4347" s="88" t="s">
        <v>5259</v>
      </c>
      <c r="D4347" s="88">
        <v>22520327</v>
      </c>
      <c r="E4347" s="88" t="s">
        <v>61</v>
      </c>
      <c r="F4347" s="88">
        <v>0</v>
      </c>
      <c r="G4347" s="78">
        <f>MAX(H4347,I4347,J4347)</f>
        <v>1</v>
      </c>
      <c r="H4347" s="88"/>
      <c r="I4347" s="88"/>
      <c r="J4347" s="78">
        <f>MAX(K4347:Q4347)</f>
        <v>1</v>
      </c>
      <c r="K4347" s="88">
        <v>1</v>
      </c>
      <c r="L4347" s="88"/>
      <c r="M4347" s="88"/>
      <c r="N4347" s="88"/>
      <c r="O4347" s="88"/>
      <c r="P4347" s="88"/>
      <c r="Q4347" s="88"/>
      <c r="R4347" s="78">
        <f>MAX(S4347:W4347)</f>
        <v>0</v>
      </c>
      <c r="S4347" s="88"/>
      <c r="T4347" s="88"/>
      <c r="U4347" s="88"/>
      <c r="V4347" s="88"/>
      <c r="W4347" s="88"/>
    </row>
    <row r="4348" spans="2:23" s="0" customFormat="0" ht="15">
      <c r="B4348" s="87" t="s">
        <v>1</v>
      </c>
      <c r="C4348" s="88" t="s">
        <v>5259</v>
      </c>
      <c r="D4348" s="88" t="s">
        <v>3648</v>
      </c>
      <c r="E4348" s="88" t="s">
        <v>61</v>
      </c>
      <c r="F4348" s="88">
        <v>0</v>
      </c>
      <c r="G4348" s="78">
        <f>MAX(H4348,I4348,J4348)</f>
        <v>0</v>
      </c>
      <c r="H4348" s="88"/>
      <c r="I4348" s="88"/>
      <c r="J4348" s="78">
        <f>MAX(K4348:Q4348)</f>
        <v>0</v>
      </c>
      <c r="K4348" s="88"/>
      <c r="L4348" s="88"/>
      <c r="M4348" s="88"/>
      <c r="N4348" s="88"/>
      <c r="O4348" s="88"/>
      <c r="P4348" s="88"/>
      <c r="Q4348" s="88"/>
      <c r="R4348" s="78">
        <f>MAX(S4348:W4348)</f>
        <v>1</v>
      </c>
      <c r="S4348" s="88"/>
      <c r="T4348" s="88"/>
      <c r="U4348" s="88">
        <v>1</v>
      </c>
      <c r="V4348" s="88"/>
      <c r="W4348" s="88"/>
    </row>
    <row r="4349" spans="2:23" s="0" customFormat="0" ht="15">
      <c r="B4349" s="87" t="s">
        <v>1</v>
      </c>
      <c r="C4349" s="88" t="s">
        <v>5259</v>
      </c>
      <c r="D4349" s="88">
        <v>10931330</v>
      </c>
      <c r="E4349" s="88" t="s">
        <v>61</v>
      </c>
      <c r="F4349" s="88">
        <v>0</v>
      </c>
      <c r="G4349" s="78">
        <f>MAX(H4349,I4349,J4349)</f>
        <v>1</v>
      </c>
      <c r="H4349" s="88"/>
      <c r="I4349" s="88"/>
      <c r="J4349" s="78">
        <f>MAX(K4349:Q4349)</f>
        <v>1</v>
      </c>
      <c r="K4349" s="88"/>
      <c r="L4349" s="88"/>
      <c r="M4349" s="88">
        <v>1</v>
      </c>
      <c r="N4349" s="88"/>
      <c r="O4349" s="88"/>
      <c r="P4349" s="88"/>
      <c r="Q4349" s="88"/>
      <c r="R4349" s="78">
        <f>MAX(S4349:W4349)</f>
        <v>0</v>
      </c>
      <c r="S4349" s="88"/>
      <c r="T4349" s="88"/>
      <c r="U4349" s="88"/>
      <c r="V4349" s="88"/>
      <c r="W4349" s="88"/>
    </row>
    <row r="4350" spans="2:23" s="0" customFormat="0" ht="15">
      <c r="B4350" s="87" t="s">
        <v>1</v>
      </c>
      <c r="C4350" s="88" t="s">
        <v>5259</v>
      </c>
      <c r="D4350" s="88">
        <v>7663108</v>
      </c>
      <c r="E4350" s="88" t="s">
        <v>61</v>
      </c>
      <c r="F4350" s="88">
        <v>0</v>
      </c>
      <c r="G4350" s="78">
        <f>MAX(H4350,I4350,J4350)</f>
        <v>1</v>
      </c>
      <c r="H4350" s="88"/>
      <c r="I4350" s="88"/>
      <c r="J4350" s="78">
        <f>MAX(K4350:Q4350)</f>
        <v>1</v>
      </c>
      <c r="K4350" s="88">
        <v>1</v>
      </c>
      <c r="L4350" s="88"/>
      <c r="M4350" s="88"/>
      <c r="N4350" s="88"/>
      <c r="O4350" s="88"/>
      <c r="P4350" s="88"/>
      <c r="Q4350" s="88"/>
      <c r="R4350" s="78">
        <f>MAX(S4350:W4350)</f>
        <v>0</v>
      </c>
      <c r="S4350" s="88"/>
      <c r="T4350" s="88"/>
      <c r="U4350" s="88"/>
      <c r="V4350" s="88"/>
      <c r="W4350" s="88"/>
    </row>
    <row r="4351" spans="2:23" s="0" customFormat="0" ht="15">
      <c r="B4351" s="87" t="s">
        <v>1</v>
      </c>
      <c r="C4351" s="88" t="s">
        <v>5259</v>
      </c>
      <c r="D4351" s="88">
        <v>19612063</v>
      </c>
      <c r="E4351" s="88" t="s">
        <v>61</v>
      </c>
      <c r="F4351" s="88">
        <v>0</v>
      </c>
      <c r="G4351" s="78">
        <f>MAX(H4351,I4351,J4351)</f>
        <v>1</v>
      </c>
      <c r="H4351" s="88"/>
      <c r="I4351" s="88"/>
      <c r="J4351" s="78">
        <f>MAX(K4351:Q4351)</f>
        <v>1</v>
      </c>
      <c r="K4351" s="88">
        <v>1</v>
      </c>
      <c r="L4351" s="88"/>
      <c r="M4351" s="88"/>
      <c r="N4351" s="88"/>
      <c r="O4351" s="88"/>
      <c r="P4351" s="88"/>
      <c r="Q4351" s="88"/>
      <c r="R4351" s="78">
        <f>MAX(S4351:W4351)</f>
        <v>0</v>
      </c>
      <c r="S4351" s="88"/>
      <c r="T4351" s="88"/>
      <c r="U4351" s="88"/>
      <c r="V4351" s="88"/>
      <c r="W4351" s="88"/>
    </row>
    <row r="4352" spans="2:23" s="0" customFormat="0" ht="15">
      <c r="B4352" s="87" t="s">
        <v>1</v>
      </c>
      <c r="C4352" s="88" t="s">
        <v>5259</v>
      </c>
      <c r="D4352" s="88" t="s">
        <v>2560</v>
      </c>
      <c r="E4352" s="88" t="s">
        <v>61</v>
      </c>
      <c r="F4352" s="88">
        <v>0</v>
      </c>
      <c r="G4352" s="78">
        <f>MAX(H4352,I4352,J4352)</f>
        <v>1</v>
      </c>
      <c r="H4352" s="88"/>
      <c r="I4352" s="88"/>
      <c r="J4352" s="78">
        <f>MAX(K4352:Q4352)</f>
        <v>1</v>
      </c>
      <c r="K4352" s="88">
        <v>1</v>
      </c>
      <c r="L4352" s="88"/>
      <c r="M4352" s="88"/>
      <c r="N4352" s="88"/>
      <c r="O4352" s="88"/>
      <c r="P4352" s="88"/>
      <c r="Q4352" s="88"/>
      <c r="R4352" s="78">
        <f>MAX(S4352:W4352)</f>
        <v>0</v>
      </c>
      <c r="S4352" s="88"/>
      <c r="T4352" s="88"/>
      <c r="U4352" s="88"/>
      <c r="V4352" s="88"/>
      <c r="W4352" s="88"/>
    </row>
    <row r="4353" spans="2:23" s="0" customFormat="0" ht="15">
      <c r="B4353" s="87" t="s">
        <v>1</v>
      </c>
      <c r="C4353" s="88" t="s">
        <v>5259</v>
      </c>
      <c r="D4353" s="88">
        <v>7820431</v>
      </c>
      <c r="E4353" s="88" t="s">
        <v>61</v>
      </c>
      <c r="F4353" s="88">
        <v>0</v>
      </c>
      <c r="G4353" s="78">
        <f>MAX(H4353,I4353,J4353)</f>
        <v>1</v>
      </c>
      <c r="H4353" s="88"/>
      <c r="I4353" s="88"/>
      <c r="J4353" s="78">
        <f>MAX(K4353:Q4353)</f>
        <v>1</v>
      </c>
      <c r="K4353" s="88">
        <v>1</v>
      </c>
      <c r="L4353" s="88"/>
      <c r="M4353" s="88"/>
      <c r="N4353" s="88"/>
      <c r="O4353" s="88"/>
      <c r="P4353" s="88"/>
      <c r="Q4353" s="88"/>
      <c r="R4353" s="78">
        <f>MAX(S4353:W4353)</f>
        <v>0</v>
      </c>
      <c r="S4353" s="88"/>
      <c r="T4353" s="88"/>
      <c r="U4353" s="88"/>
      <c r="V4353" s="88"/>
      <c r="W4353" s="88"/>
    </row>
    <row r="4354" spans="2:23" s="0" customFormat="0" ht="15">
      <c r="B4354" s="87" t="s">
        <v>1</v>
      </c>
      <c r="C4354" s="88" t="s">
        <v>5259</v>
      </c>
      <c r="D4354" s="88">
        <v>22055798</v>
      </c>
      <c r="E4354" s="88" t="s">
        <v>61</v>
      </c>
      <c r="F4354" s="88">
        <v>0</v>
      </c>
      <c r="G4354" s="78">
        <f>MAX(H4354,I4354,J4354)</f>
        <v>1</v>
      </c>
      <c r="H4354" s="88"/>
      <c r="I4354" s="88"/>
      <c r="J4354" s="78">
        <f>MAX(K4354:Q4354)</f>
        <v>1</v>
      </c>
      <c r="K4354" s="88">
        <v>1</v>
      </c>
      <c r="L4354" s="88"/>
      <c r="M4354" s="88"/>
      <c r="N4354" s="88"/>
      <c r="O4354" s="88"/>
      <c r="P4354" s="88"/>
      <c r="Q4354" s="88"/>
      <c r="R4354" s="78">
        <f>MAX(S4354:W4354)</f>
        <v>0</v>
      </c>
      <c r="S4354" s="88"/>
      <c r="T4354" s="88"/>
      <c r="U4354" s="88"/>
      <c r="V4354" s="88"/>
      <c r="W4354" s="88"/>
    </row>
    <row r="4355" spans="2:23" s="0" customFormat="0" ht="15">
      <c r="B4355" s="87" t="s">
        <v>1</v>
      </c>
      <c r="C4355" s="88" t="s">
        <v>5259</v>
      </c>
      <c r="D4355" s="88" t="s">
        <v>2562</v>
      </c>
      <c r="E4355" s="88" t="s">
        <v>61</v>
      </c>
      <c r="F4355" s="88">
        <v>0</v>
      </c>
      <c r="G4355" s="78">
        <f>MAX(H4355,I4355,J4355)</f>
        <v>1</v>
      </c>
      <c r="H4355" s="88"/>
      <c r="I4355" s="88"/>
      <c r="J4355" s="78">
        <f>MAX(K4355:Q4355)</f>
        <v>1</v>
      </c>
      <c r="K4355" s="88">
        <v>1</v>
      </c>
      <c r="L4355" s="88"/>
      <c r="M4355" s="88"/>
      <c r="N4355" s="88"/>
      <c r="O4355" s="88"/>
      <c r="P4355" s="88"/>
      <c r="Q4355" s="88"/>
      <c r="R4355" s="78">
        <f>MAX(S4355:W4355)</f>
        <v>0</v>
      </c>
      <c r="S4355" s="88"/>
      <c r="T4355" s="88"/>
      <c r="U4355" s="88"/>
      <c r="V4355" s="88"/>
      <c r="W4355" s="88"/>
    </row>
    <row r="4356" spans="2:23" s="0" customFormat="0" ht="15">
      <c r="B4356" s="87" t="s">
        <v>1</v>
      </c>
      <c r="C4356" s="88" t="s">
        <v>5259</v>
      </c>
      <c r="D4356" s="88">
        <v>10578240</v>
      </c>
      <c r="E4356" s="88" t="s">
        <v>61</v>
      </c>
      <c r="F4356" s="88">
        <v>0</v>
      </c>
      <c r="G4356" s="78">
        <f>MAX(H4356,I4356,J4356)</f>
        <v>1</v>
      </c>
      <c r="H4356" s="88"/>
      <c r="I4356" s="88"/>
      <c r="J4356" s="78">
        <f>MAX(K4356:Q4356)</f>
        <v>1</v>
      </c>
      <c r="K4356" s="88">
        <v>1</v>
      </c>
      <c r="L4356" s="88"/>
      <c r="M4356" s="88"/>
      <c r="N4356" s="88"/>
      <c r="O4356" s="88"/>
      <c r="P4356" s="88"/>
      <c r="Q4356" s="88"/>
      <c r="R4356" s="78">
        <f>MAX(S4356:W4356)</f>
        <v>0</v>
      </c>
      <c r="S4356" s="88"/>
      <c r="T4356" s="88"/>
      <c r="U4356" s="88"/>
      <c r="V4356" s="88"/>
      <c r="W4356" s="88"/>
    </row>
    <row r="4357" spans="2:23" s="0" customFormat="0" ht="15">
      <c r="B4357" s="87" t="s">
        <v>1</v>
      </c>
      <c r="C4357" s="88" t="s">
        <v>5259</v>
      </c>
      <c r="D4357" s="88">
        <v>5110635</v>
      </c>
      <c r="E4357" s="88" t="s">
        <v>61</v>
      </c>
      <c r="F4357" s="88">
        <v>0</v>
      </c>
      <c r="G4357" s="78">
        <f>MAX(H4357,I4357,J4357)</f>
        <v>1</v>
      </c>
      <c r="H4357" s="88"/>
      <c r="I4357" s="88"/>
      <c r="J4357" s="78">
        <f>MAX(K4357:Q4357)</f>
        <v>1</v>
      </c>
      <c r="K4357" s="88">
        <v>1</v>
      </c>
      <c r="L4357" s="88"/>
      <c r="M4357" s="88"/>
      <c r="N4357" s="88"/>
      <c r="O4357" s="88"/>
      <c r="P4357" s="88"/>
      <c r="Q4357" s="88"/>
      <c r="R4357" s="78">
        <f>MAX(S4357:W4357)</f>
        <v>0</v>
      </c>
      <c r="S4357" s="88"/>
      <c r="T4357" s="88"/>
      <c r="U4357" s="88"/>
      <c r="V4357" s="88"/>
      <c r="W4357" s="88"/>
    </row>
    <row r="4358" spans="2:23" s="0" customFormat="0" ht="15">
      <c r="B4358" s="87" t="s">
        <v>1</v>
      </c>
      <c r="C4358" s="88" t="s">
        <v>5259</v>
      </c>
      <c r="D4358" s="88">
        <v>18055851</v>
      </c>
      <c r="E4358" s="88" t="s">
        <v>61</v>
      </c>
      <c r="F4358" s="88">
        <v>0</v>
      </c>
      <c r="G4358" s="78">
        <f>MAX(H4358,I4358,J4358)</f>
        <v>1</v>
      </c>
      <c r="H4358" s="88"/>
      <c r="I4358" s="88"/>
      <c r="J4358" s="78">
        <f>MAX(K4358:Q4358)</f>
        <v>1</v>
      </c>
      <c r="K4358" s="88">
        <v>1</v>
      </c>
      <c r="L4358" s="88"/>
      <c r="M4358" s="88"/>
      <c r="N4358" s="88"/>
      <c r="O4358" s="88"/>
      <c r="P4358" s="88"/>
      <c r="Q4358" s="88"/>
      <c r="R4358" s="78">
        <f>MAX(S4358:W4358)</f>
        <v>0</v>
      </c>
      <c r="S4358" s="88"/>
      <c r="T4358" s="88"/>
      <c r="U4358" s="88"/>
      <c r="V4358" s="88"/>
      <c r="W4358" s="88"/>
    </row>
    <row r="4359" spans="2:23" s="0" customFormat="0" ht="15">
      <c r="B4359" s="87" t="s">
        <v>1</v>
      </c>
      <c r="C4359" s="88" t="s">
        <v>5259</v>
      </c>
      <c r="D4359" s="88" t="s">
        <v>752</v>
      </c>
      <c r="E4359" s="88" t="s">
        <v>61</v>
      </c>
      <c r="F4359" s="88">
        <v>0</v>
      </c>
      <c r="G4359" s="78">
        <f>MAX(H4359,I4359,J4359)</f>
        <v>1</v>
      </c>
      <c r="H4359" s="88"/>
      <c r="I4359" s="88"/>
      <c r="J4359" s="78">
        <f>MAX(K4359:Q4359)</f>
        <v>1</v>
      </c>
      <c r="K4359" s="88">
        <v>1</v>
      </c>
      <c r="L4359" s="88"/>
      <c r="M4359" s="88"/>
      <c r="N4359" s="88"/>
      <c r="O4359" s="88"/>
      <c r="P4359" s="88"/>
      <c r="Q4359" s="88"/>
      <c r="R4359" s="78">
        <f>MAX(S4359:W4359)</f>
        <v>0</v>
      </c>
      <c r="S4359" s="88"/>
      <c r="T4359" s="88"/>
      <c r="U4359" s="88"/>
      <c r="V4359" s="88"/>
      <c r="W4359" s="88"/>
    </row>
    <row r="4360" spans="2:23" s="0" customFormat="0" ht="15">
      <c r="B4360" s="87" t="s">
        <v>1</v>
      </c>
      <c r="C4360" s="88" t="s">
        <v>5259</v>
      </c>
      <c r="D4360" s="88">
        <v>21521373</v>
      </c>
      <c r="E4360" s="88" t="s">
        <v>61</v>
      </c>
      <c r="F4360" s="88">
        <v>0</v>
      </c>
      <c r="G4360" s="78">
        <f>MAX(H4360,I4360,J4360)</f>
        <v>1</v>
      </c>
      <c r="H4360" s="88"/>
      <c r="I4360" s="88"/>
      <c r="J4360" s="78">
        <f>MAX(K4360:Q4360)</f>
        <v>1</v>
      </c>
      <c r="K4360" s="88">
        <v>1</v>
      </c>
      <c r="L4360" s="88"/>
      <c r="M4360" s="88"/>
      <c r="N4360" s="88"/>
      <c r="O4360" s="88"/>
      <c r="P4360" s="88"/>
      <c r="Q4360" s="88"/>
      <c r="R4360" s="78">
        <f>MAX(S4360:W4360)</f>
        <v>0</v>
      </c>
      <c r="S4360" s="88"/>
      <c r="T4360" s="88"/>
      <c r="U4360" s="88"/>
      <c r="V4360" s="88"/>
      <c r="W4360" s="88"/>
    </row>
    <row r="4361" spans="2:23" s="0" customFormat="0" ht="15">
      <c r="B4361" s="87" t="s">
        <v>1</v>
      </c>
      <c r="C4361" s="88" t="s">
        <v>5259</v>
      </c>
      <c r="D4361" s="88">
        <v>7663108</v>
      </c>
      <c r="E4361" s="88" t="s">
        <v>61</v>
      </c>
      <c r="F4361" s="88">
        <v>0</v>
      </c>
      <c r="G4361" s="78">
        <f>MAX(H4361,I4361,J4361)</f>
        <v>1</v>
      </c>
      <c r="H4361" s="88"/>
      <c r="I4361" s="88"/>
      <c r="J4361" s="78">
        <f>MAX(K4361:Q4361)</f>
        <v>1</v>
      </c>
      <c r="K4361" s="88">
        <v>1</v>
      </c>
      <c r="L4361" s="88"/>
      <c r="M4361" s="88"/>
      <c r="N4361" s="88"/>
      <c r="O4361" s="88"/>
      <c r="P4361" s="88"/>
      <c r="Q4361" s="88"/>
      <c r="R4361" s="78">
        <f>MAX(S4361:W4361)</f>
        <v>0</v>
      </c>
      <c r="S4361" s="88"/>
      <c r="T4361" s="88"/>
      <c r="U4361" s="88"/>
      <c r="V4361" s="88"/>
      <c r="W4361" s="88"/>
    </row>
    <row r="4362" spans="2:23" s="0" customFormat="0" ht="15">
      <c r="B4362" s="87" t="s">
        <v>1</v>
      </c>
      <c r="C4362" s="88" t="s">
        <v>5259</v>
      </c>
      <c r="D4362" s="88">
        <v>4310929</v>
      </c>
      <c r="E4362" s="88" t="s">
        <v>61</v>
      </c>
      <c r="F4362" s="88">
        <v>0</v>
      </c>
      <c r="G4362" s="78">
        <f>MAX(H4362,I4362,J4362)</f>
        <v>1</v>
      </c>
      <c r="H4362" s="88"/>
      <c r="I4362" s="88"/>
      <c r="J4362" s="78">
        <f>MAX(K4362:Q4362)</f>
        <v>1</v>
      </c>
      <c r="K4362" s="88">
        <v>1</v>
      </c>
      <c r="L4362" s="88"/>
      <c r="M4362" s="88"/>
      <c r="N4362" s="88"/>
      <c r="O4362" s="88"/>
      <c r="P4362" s="88"/>
      <c r="Q4362" s="88"/>
      <c r="R4362" s="78">
        <f>MAX(S4362:W4362)</f>
        <v>0</v>
      </c>
      <c r="S4362" s="88"/>
      <c r="T4362" s="88"/>
      <c r="U4362" s="88"/>
      <c r="V4362" s="88"/>
      <c r="W4362" s="88"/>
    </row>
    <row r="4363" spans="2:23" s="0" customFormat="0" ht="15">
      <c r="B4363" s="87" t="s">
        <v>1</v>
      </c>
      <c r="C4363" s="88" t="s">
        <v>5259</v>
      </c>
      <c r="D4363" s="88" t="s">
        <v>1806</v>
      </c>
      <c r="E4363" s="88" t="s">
        <v>61</v>
      </c>
      <c r="F4363" s="88">
        <v>0</v>
      </c>
      <c r="G4363" s="78">
        <f>MAX(H4363,I4363,J4363)</f>
        <v>1</v>
      </c>
      <c r="H4363" s="88"/>
      <c r="I4363" s="88"/>
      <c r="J4363" s="78">
        <f>MAX(K4363:Q4363)</f>
        <v>1</v>
      </c>
      <c r="K4363" s="88">
        <v>1</v>
      </c>
      <c r="L4363" s="88"/>
      <c r="M4363" s="88"/>
      <c r="N4363" s="88"/>
      <c r="O4363" s="88"/>
      <c r="P4363" s="88"/>
      <c r="Q4363" s="88"/>
      <c r="R4363" s="78">
        <f>MAX(S4363:W4363)</f>
        <v>0</v>
      </c>
      <c r="S4363" s="88"/>
      <c r="T4363" s="88"/>
      <c r="U4363" s="88"/>
      <c r="V4363" s="88"/>
      <c r="W4363" s="88"/>
    </row>
    <row r="4364" spans="2:23" s="0" customFormat="0" ht="15">
      <c r="B4364" s="87" t="s">
        <v>1</v>
      </c>
      <c r="C4364" s="88" t="s">
        <v>5259</v>
      </c>
      <c r="D4364" s="88" t="s">
        <v>3169</v>
      </c>
      <c r="E4364" s="88" t="s">
        <v>61</v>
      </c>
      <c r="F4364" s="88">
        <v>0</v>
      </c>
      <c r="G4364" s="78">
        <f>MAX(H4364,I4364,J4364)</f>
        <v>1</v>
      </c>
      <c r="H4364" s="88"/>
      <c r="I4364" s="88"/>
      <c r="J4364" s="78">
        <f>MAX(K4364:Q4364)</f>
        <v>1</v>
      </c>
      <c r="K4364" s="88"/>
      <c r="L4364" s="88"/>
      <c r="M4364" s="88"/>
      <c r="N4364" s="88"/>
      <c r="O4364" s="88">
        <v>1</v>
      </c>
      <c r="P4364" s="88"/>
      <c r="Q4364" s="88"/>
      <c r="R4364" s="78">
        <f>MAX(S4364:W4364)</f>
        <v>0</v>
      </c>
      <c r="S4364" s="88"/>
      <c r="T4364" s="88"/>
      <c r="U4364" s="88"/>
      <c r="V4364" s="88"/>
      <c r="W4364" s="88"/>
    </row>
    <row r="4365" spans="2:23" s="0" customFormat="0" ht="15">
      <c r="B4365" s="87" t="s">
        <v>1</v>
      </c>
      <c r="C4365" s="88" t="s">
        <v>5259</v>
      </c>
      <c r="D4365" s="88">
        <v>18657604</v>
      </c>
      <c r="E4365" s="88" t="s">
        <v>61</v>
      </c>
      <c r="F4365" s="88">
        <v>0</v>
      </c>
      <c r="G4365" s="78">
        <f>MAX(H4365,I4365,J4365)</f>
        <v>1</v>
      </c>
      <c r="H4365" s="88"/>
      <c r="I4365" s="88"/>
      <c r="J4365" s="78">
        <f>MAX(K4365:Q4365)</f>
        <v>1</v>
      </c>
      <c r="K4365" s="88">
        <v>1</v>
      </c>
      <c r="L4365" s="88"/>
      <c r="M4365" s="88"/>
      <c r="N4365" s="88"/>
      <c r="O4365" s="88"/>
      <c r="P4365" s="88"/>
      <c r="Q4365" s="88"/>
      <c r="R4365" s="78">
        <f>MAX(S4365:W4365)</f>
        <v>0</v>
      </c>
      <c r="S4365" s="88"/>
      <c r="T4365" s="88"/>
      <c r="U4365" s="88"/>
      <c r="V4365" s="88"/>
      <c r="W4365" s="88"/>
    </row>
    <row r="4366" spans="2:23" s="0" customFormat="0" ht="15">
      <c r="B4366" s="87" t="s">
        <v>1</v>
      </c>
      <c r="C4366" s="88" t="s">
        <v>5259</v>
      </c>
      <c r="D4366" s="88">
        <v>24432378</v>
      </c>
      <c r="E4366" s="88" t="s">
        <v>61</v>
      </c>
      <c r="F4366" s="88">
        <v>0</v>
      </c>
      <c r="G4366" s="78">
        <f>MAX(H4366,I4366,J4366)</f>
        <v>1</v>
      </c>
      <c r="H4366" s="88"/>
      <c r="I4366" s="88"/>
      <c r="J4366" s="78">
        <f>MAX(K4366:Q4366)</f>
        <v>1</v>
      </c>
      <c r="K4366" s="88">
        <v>1</v>
      </c>
      <c r="L4366" s="88"/>
      <c r="M4366" s="88"/>
      <c r="N4366" s="88"/>
      <c r="O4366" s="88"/>
      <c r="P4366" s="88"/>
      <c r="Q4366" s="88"/>
      <c r="R4366" s="78">
        <f>MAX(S4366:W4366)</f>
        <v>0</v>
      </c>
      <c r="S4366" s="88"/>
      <c r="T4366" s="88"/>
      <c r="U4366" s="88"/>
      <c r="V4366" s="88"/>
      <c r="W4366" s="88"/>
    </row>
    <row r="4367" spans="2:23" s="0" customFormat="0" ht="15">
      <c r="B4367" s="87" t="s">
        <v>1</v>
      </c>
      <c r="C4367" s="88" t="s">
        <v>5259</v>
      </c>
      <c r="D4367" s="88" t="s">
        <v>4400</v>
      </c>
      <c r="E4367" s="88" t="s">
        <v>61</v>
      </c>
      <c r="F4367" s="88">
        <v>0</v>
      </c>
      <c r="G4367" s="78">
        <f>MAX(H4367,I4367,J4367)</f>
        <v>0</v>
      </c>
      <c r="H4367" s="88"/>
      <c r="I4367" s="88"/>
      <c r="J4367" s="78">
        <f>MAX(K4367:Q4367)</f>
        <v>0</v>
      </c>
      <c r="K4367" s="88"/>
      <c r="L4367" s="88"/>
      <c r="M4367" s="88"/>
      <c r="N4367" s="88"/>
      <c r="O4367" s="88"/>
      <c r="P4367" s="88"/>
      <c r="Q4367" s="88"/>
      <c r="R4367" s="78">
        <f>MAX(S4367:W4367)</f>
        <v>1</v>
      </c>
      <c r="S4367" s="88"/>
      <c r="T4367" s="88"/>
      <c r="U4367" s="88">
        <v>1</v>
      </c>
      <c r="V4367" s="88"/>
      <c r="W4367" s="88"/>
    </row>
    <row r="4368" spans="2:23" s="0" customFormat="0" ht="15">
      <c r="B4368" s="87" t="s">
        <v>1</v>
      </c>
      <c r="C4368" s="88" t="s">
        <v>5259</v>
      </c>
      <c r="D4368" s="88">
        <v>19748440</v>
      </c>
      <c r="E4368" s="88" t="s">
        <v>61</v>
      </c>
      <c r="F4368" s="88">
        <v>0</v>
      </c>
      <c r="G4368" s="78">
        <f>MAX(H4368,I4368,J4368)</f>
        <v>1</v>
      </c>
      <c r="H4368" s="88"/>
      <c r="I4368" s="88"/>
      <c r="J4368" s="78">
        <f>MAX(K4368:Q4368)</f>
        <v>1</v>
      </c>
      <c r="K4368" s="88">
        <v>1</v>
      </c>
      <c r="L4368" s="88"/>
      <c r="M4368" s="88"/>
      <c r="N4368" s="88"/>
      <c r="O4368" s="88"/>
      <c r="P4368" s="88"/>
      <c r="Q4368" s="88"/>
      <c r="R4368" s="78">
        <f>MAX(S4368:W4368)</f>
        <v>0</v>
      </c>
      <c r="S4368" s="88"/>
      <c r="T4368" s="88"/>
      <c r="U4368" s="88"/>
      <c r="V4368" s="88"/>
      <c r="W4368" s="88"/>
    </row>
    <row r="4369" spans="2:23" s="0" customFormat="0" ht="15">
      <c r="B4369" s="87" t="s">
        <v>1</v>
      </c>
      <c r="C4369" s="88" t="s">
        <v>5259</v>
      </c>
      <c r="D4369" s="88">
        <v>21089955</v>
      </c>
      <c r="E4369" s="88" t="s">
        <v>61</v>
      </c>
      <c r="F4369" s="88">
        <v>0</v>
      </c>
      <c r="G4369" s="78">
        <f>MAX(H4369,I4369,J4369)</f>
        <v>1</v>
      </c>
      <c r="H4369" s="88"/>
      <c r="I4369" s="88"/>
      <c r="J4369" s="78">
        <f>MAX(K4369:Q4369)</f>
        <v>1</v>
      </c>
      <c r="K4369" s="88">
        <v>1</v>
      </c>
      <c r="L4369" s="88"/>
      <c r="M4369" s="88"/>
      <c r="N4369" s="88"/>
      <c r="O4369" s="88"/>
      <c r="P4369" s="88"/>
      <c r="Q4369" s="88"/>
      <c r="R4369" s="78">
        <f>MAX(S4369:W4369)</f>
        <v>0</v>
      </c>
      <c r="S4369" s="88"/>
      <c r="T4369" s="88"/>
      <c r="U4369" s="88"/>
      <c r="V4369" s="88"/>
      <c r="W4369" s="88"/>
    </row>
    <row r="4370" spans="2:23" s="0" customFormat="0" ht="15">
      <c r="B4370" s="87" t="s">
        <v>1</v>
      </c>
      <c r="C4370" s="88" t="s">
        <v>5259</v>
      </c>
      <c r="D4370" s="88" t="s">
        <v>4950</v>
      </c>
      <c r="E4370" s="88" t="s">
        <v>61</v>
      </c>
      <c r="F4370" s="88">
        <v>0</v>
      </c>
      <c r="G4370" s="78">
        <f>MAX(H4370,I4370,J4370)</f>
        <v>0</v>
      </c>
      <c r="H4370" s="88"/>
      <c r="I4370" s="88"/>
      <c r="J4370" s="78">
        <f>MAX(K4370:Q4370)</f>
        <v>0</v>
      </c>
      <c r="K4370" s="88"/>
      <c r="L4370" s="88"/>
      <c r="M4370" s="88"/>
      <c r="N4370" s="88"/>
      <c r="O4370" s="88"/>
      <c r="P4370" s="88"/>
      <c r="Q4370" s="88"/>
      <c r="R4370" s="78">
        <f>MAX(S4370:W4370)</f>
        <v>1</v>
      </c>
      <c r="S4370" s="88"/>
      <c r="T4370" s="88"/>
      <c r="U4370" s="88">
        <v>1</v>
      </c>
      <c r="V4370" s="88"/>
      <c r="W4370" s="88"/>
    </row>
    <row r="4371" spans="2:23" s="0" customFormat="0" ht="15">
      <c r="B4371" s="87" t="s">
        <v>1</v>
      </c>
      <c r="C4371" s="88" t="s">
        <v>5259</v>
      </c>
      <c r="D4371" s="88">
        <v>16064048</v>
      </c>
      <c r="E4371" s="88" t="s">
        <v>61</v>
      </c>
      <c r="F4371" s="88">
        <v>0</v>
      </c>
      <c r="G4371" s="78">
        <f>MAX(H4371,I4371,J4371)</f>
        <v>1</v>
      </c>
      <c r="H4371" s="88"/>
      <c r="I4371" s="88"/>
      <c r="J4371" s="78">
        <f>MAX(K4371:Q4371)</f>
        <v>1</v>
      </c>
      <c r="K4371" s="88">
        <v>1</v>
      </c>
      <c r="L4371" s="88"/>
      <c r="M4371" s="88"/>
      <c r="N4371" s="88"/>
      <c r="O4371" s="88"/>
      <c r="P4371" s="88"/>
      <c r="Q4371" s="88"/>
      <c r="R4371" s="78">
        <f>MAX(S4371:W4371)</f>
        <v>0</v>
      </c>
      <c r="S4371" s="88"/>
      <c r="T4371" s="88"/>
      <c r="U4371" s="88"/>
      <c r="V4371" s="88"/>
      <c r="W4371" s="88"/>
    </row>
    <row r="4372" spans="2:23" s="0" customFormat="0" ht="15">
      <c r="B4372" s="87" t="s">
        <v>1</v>
      </c>
      <c r="C4372" s="88" t="s">
        <v>5259</v>
      </c>
      <c r="D4372" s="88" t="s">
        <v>2473</v>
      </c>
      <c r="E4372" s="88" t="s">
        <v>61</v>
      </c>
      <c r="F4372" s="88">
        <v>0</v>
      </c>
      <c r="G4372" s="78">
        <f>MAX(H4372,I4372,J4372)</f>
        <v>1</v>
      </c>
      <c r="H4372" s="88"/>
      <c r="I4372" s="88"/>
      <c r="J4372" s="78">
        <f>MAX(K4372:Q4372)</f>
        <v>1</v>
      </c>
      <c r="K4372" s="88">
        <v>1</v>
      </c>
      <c r="L4372" s="88"/>
      <c r="M4372" s="88"/>
      <c r="N4372" s="88"/>
      <c r="O4372" s="88"/>
      <c r="P4372" s="88"/>
      <c r="Q4372" s="88"/>
      <c r="R4372" s="78">
        <f>MAX(S4372:W4372)</f>
        <v>0</v>
      </c>
      <c r="S4372" s="88"/>
      <c r="T4372" s="88"/>
      <c r="U4372" s="88"/>
      <c r="V4372" s="88"/>
      <c r="W4372" s="88"/>
    </row>
    <row r="4373" spans="2:23" s="0" customFormat="0" ht="15">
      <c r="B4373" s="87" t="s">
        <v>1</v>
      </c>
      <c r="C4373" s="88" t="s">
        <v>5259</v>
      </c>
      <c r="D4373" s="88">
        <v>11984772</v>
      </c>
      <c r="E4373" s="88" t="s">
        <v>61</v>
      </c>
      <c r="F4373" s="88">
        <v>0</v>
      </c>
      <c r="G4373" s="78">
        <f>MAX(H4373,I4373,J4373)</f>
        <v>1</v>
      </c>
      <c r="H4373" s="88"/>
      <c r="I4373" s="88"/>
      <c r="J4373" s="78">
        <f>MAX(K4373:Q4373)</f>
        <v>1</v>
      </c>
      <c r="K4373" s="88">
        <v>1</v>
      </c>
      <c r="L4373" s="88"/>
      <c r="M4373" s="88"/>
      <c r="N4373" s="88"/>
      <c r="O4373" s="88"/>
      <c r="P4373" s="88"/>
      <c r="Q4373" s="88"/>
      <c r="R4373" s="78">
        <f>MAX(S4373:W4373)</f>
        <v>0</v>
      </c>
      <c r="S4373" s="88"/>
      <c r="T4373" s="88"/>
      <c r="U4373" s="88"/>
      <c r="V4373" s="88"/>
      <c r="W4373" s="88"/>
    </row>
    <row r="4374" spans="2:23" s="0" customFormat="0" ht="15">
      <c r="B4374" s="87" t="s">
        <v>1</v>
      </c>
      <c r="C4374" s="88" t="s">
        <v>5259</v>
      </c>
      <c r="D4374" s="88" t="s">
        <v>2544</v>
      </c>
      <c r="E4374" s="88" t="s">
        <v>61</v>
      </c>
      <c r="F4374" s="88">
        <v>0</v>
      </c>
      <c r="G4374" s="78">
        <f>MAX(H4374,I4374,J4374)</f>
        <v>1</v>
      </c>
      <c r="H4374" s="88"/>
      <c r="I4374" s="88"/>
      <c r="J4374" s="78">
        <f>MAX(K4374:Q4374)</f>
        <v>1</v>
      </c>
      <c r="K4374" s="88">
        <v>1</v>
      </c>
      <c r="L4374" s="88"/>
      <c r="M4374" s="88"/>
      <c r="N4374" s="88"/>
      <c r="O4374" s="88"/>
      <c r="P4374" s="88"/>
      <c r="Q4374" s="88"/>
      <c r="R4374" s="78">
        <f>MAX(S4374:W4374)</f>
        <v>0</v>
      </c>
      <c r="S4374" s="88"/>
      <c r="T4374" s="88"/>
      <c r="U4374" s="88"/>
      <c r="V4374" s="88"/>
      <c r="W4374" s="88"/>
    </row>
    <row r="4375" spans="2:23" s="0" customFormat="0" ht="15">
      <c r="B4375" s="87" t="s">
        <v>1</v>
      </c>
      <c r="C4375" s="88" t="s">
        <v>5259</v>
      </c>
      <c r="D4375" s="88">
        <v>14620691</v>
      </c>
      <c r="E4375" s="88" t="s">
        <v>61</v>
      </c>
      <c r="F4375" s="88">
        <v>0</v>
      </c>
      <c r="G4375" s="78">
        <f>MAX(H4375,I4375,J4375)</f>
        <v>1</v>
      </c>
      <c r="H4375" s="88"/>
      <c r="I4375" s="88"/>
      <c r="J4375" s="78">
        <f>MAX(K4375:Q4375)</f>
        <v>1</v>
      </c>
      <c r="K4375" s="88">
        <v>1</v>
      </c>
      <c r="L4375" s="88"/>
      <c r="M4375" s="88"/>
      <c r="N4375" s="88"/>
      <c r="O4375" s="88"/>
      <c r="P4375" s="88"/>
      <c r="Q4375" s="88"/>
      <c r="R4375" s="78">
        <f>MAX(S4375:W4375)</f>
        <v>0</v>
      </c>
      <c r="S4375" s="88"/>
      <c r="T4375" s="88"/>
      <c r="U4375" s="88"/>
      <c r="V4375" s="88"/>
      <c r="W4375" s="88"/>
    </row>
    <row r="4376" spans="2:23" s="0" customFormat="0" ht="15">
      <c r="B4376" s="87" t="s">
        <v>1</v>
      </c>
      <c r="C4376" s="88" t="s">
        <v>5259</v>
      </c>
      <c r="D4376" s="88">
        <v>11388706</v>
      </c>
      <c r="E4376" s="88" t="s">
        <v>61</v>
      </c>
      <c r="F4376" s="88">
        <v>0</v>
      </c>
      <c r="G4376" s="78">
        <f>MAX(H4376,I4376,J4376)</f>
        <v>1</v>
      </c>
      <c r="H4376" s="88"/>
      <c r="I4376" s="88"/>
      <c r="J4376" s="78">
        <f>MAX(K4376:Q4376)</f>
        <v>1</v>
      </c>
      <c r="K4376" s="88">
        <v>1</v>
      </c>
      <c r="L4376" s="88"/>
      <c r="M4376" s="88"/>
      <c r="N4376" s="88"/>
      <c r="O4376" s="88"/>
      <c r="P4376" s="88"/>
      <c r="Q4376" s="88"/>
      <c r="R4376" s="78">
        <f>MAX(S4376:W4376)</f>
        <v>0</v>
      </c>
      <c r="S4376" s="88"/>
      <c r="T4376" s="88"/>
      <c r="U4376" s="88"/>
      <c r="V4376" s="88"/>
      <c r="W4376" s="88"/>
    </row>
    <row r="4377" spans="2:23" s="0" customFormat="0" ht="15">
      <c r="B4377" s="87" t="s">
        <v>1</v>
      </c>
      <c r="C4377" s="88" t="s">
        <v>5259</v>
      </c>
      <c r="D4377" s="88">
        <v>24423127</v>
      </c>
      <c r="E4377" s="88" t="s">
        <v>61</v>
      </c>
      <c r="F4377" s="88">
        <v>0</v>
      </c>
      <c r="G4377" s="78">
        <f>MAX(H4377,I4377,J4377)</f>
        <v>1</v>
      </c>
      <c r="H4377" s="88"/>
      <c r="I4377" s="88"/>
      <c r="J4377" s="78">
        <f>MAX(K4377:Q4377)</f>
        <v>1</v>
      </c>
      <c r="K4377" s="88">
        <v>1</v>
      </c>
      <c r="L4377" s="88"/>
      <c r="M4377" s="88"/>
      <c r="N4377" s="88"/>
      <c r="O4377" s="88"/>
      <c r="P4377" s="88"/>
      <c r="Q4377" s="88"/>
      <c r="R4377" s="78">
        <f>MAX(S4377:W4377)</f>
        <v>0</v>
      </c>
      <c r="S4377" s="88"/>
      <c r="T4377" s="88"/>
      <c r="U4377" s="88"/>
      <c r="V4377" s="88"/>
      <c r="W4377" s="88"/>
    </row>
    <row r="4378" spans="2:23" s="0" customFormat="0" ht="15">
      <c r="B4378" s="87" t="s">
        <v>1</v>
      </c>
      <c r="C4378" s="88" t="s">
        <v>5259</v>
      </c>
      <c r="D4378" s="88" t="s">
        <v>4921</v>
      </c>
      <c r="E4378" s="88" t="s">
        <v>61</v>
      </c>
      <c r="F4378" s="88">
        <v>0</v>
      </c>
      <c r="G4378" s="78">
        <f>MAX(H4378,I4378,J4378)</f>
        <v>0</v>
      </c>
      <c r="H4378" s="88"/>
      <c r="I4378" s="88"/>
      <c r="J4378" s="78">
        <f>MAX(K4378:Q4378)</f>
        <v>0</v>
      </c>
      <c r="K4378" s="88"/>
      <c r="L4378" s="88"/>
      <c r="M4378" s="88"/>
      <c r="N4378" s="88"/>
      <c r="O4378" s="88"/>
      <c r="P4378" s="88"/>
      <c r="Q4378" s="88"/>
      <c r="R4378" s="78">
        <f>MAX(S4378:W4378)</f>
        <v>1</v>
      </c>
      <c r="S4378" s="88"/>
      <c r="T4378" s="88"/>
      <c r="U4378" s="88">
        <v>1</v>
      </c>
      <c r="V4378" s="88"/>
      <c r="W4378" s="88"/>
    </row>
    <row r="4379" spans="2:23" s="0" customFormat="0" ht="15">
      <c r="B4379" s="87" t="s">
        <v>1</v>
      </c>
      <c r="C4379" s="88" t="s">
        <v>5259</v>
      </c>
      <c r="D4379" s="88">
        <v>19155670</v>
      </c>
      <c r="E4379" s="88" t="s">
        <v>61</v>
      </c>
      <c r="F4379" s="88">
        <v>0</v>
      </c>
      <c r="G4379" s="78">
        <f>MAX(H4379,I4379,J4379)</f>
        <v>1</v>
      </c>
      <c r="H4379" s="88"/>
      <c r="I4379" s="88"/>
      <c r="J4379" s="78">
        <f>MAX(K4379:Q4379)</f>
        <v>1</v>
      </c>
      <c r="K4379" s="88">
        <v>1</v>
      </c>
      <c r="L4379" s="88"/>
      <c r="M4379" s="88"/>
      <c r="N4379" s="88"/>
      <c r="O4379" s="88"/>
      <c r="P4379" s="88"/>
      <c r="Q4379" s="88"/>
      <c r="R4379" s="78">
        <f>MAX(S4379:W4379)</f>
        <v>0</v>
      </c>
      <c r="S4379" s="88"/>
      <c r="T4379" s="88"/>
      <c r="U4379" s="88"/>
      <c r="V4379" s="88"/>
      <c r="W4379" s="88"/>
    </row>
    <row r="4380" spans="2:23" s="0" customFormat="0" ht="15">
      <c r="B4380" s="87" t="s">
        <v>1</v>
      </c>
      <c r="C4380" s="88" t="s">
        <v>5259</v>
      </c>
      <c r="D4380" s="88">
        <v>12147490</v>
      </c>
      <c r="E4380" s="88" t="s">
        <v>61</v>
      </c>
      <c r="F4380" s="88">
        <v>0</v>
      </c>
      <c r="G4380" s="78">
        <f>MAX(H4380,I4380,J4380)</f>
        <v>1</v>
      </c>
      <c r="H4380" s="88"/>
      <c r="I4380" s="88"/>
      <c r="J4380" s="78">
        <f>MAX(K4380:Q4380)</f>
        <v>1</v>
      </c>
      <c r="K4380" s="88">
        <v>1</v>
      </c>
      <c r="L4380" s="88"/>
      <c r="M4380" s="88"/>
      <c r="N4380" s="88"/>
      <c r="O4380" s="88"/>
      <c r="P4380" s="88"/>
      <c r="Q4380" s="88"/>
      <c r="R4380" s="78">
        <f>MAX(S4380:W4380)</f>
        <v>0</v>
      </c>
      <c r="S4380" s="88"/>
      <c r="T4380" s="88"/>
      <c r="U4380" s="88"/>
      <c r="V4380" s="88"/>
      <c r="W4380" s="88"/>
    </row>
    <row r="4381" spans="2:23" s="0" customFormat="0" ht="15">
      <c r="B4381" s="87" t="s">
        <v>1</v>
      </c>
      <c r="C4381" s="88" t="s">
        <v>5259</v>
      </c>
      <c r="D4381" s="88">
        <v>14954232</v>
      </c>
      <c r="E4381" s="88" t="s">
        <v>61</v>
      </c>
      <c r="F4381" s="88">
        <v>0</v>
      </c>
      <c r="G4381" s="78">
        <f>MAX(H4381,I4381,J4381)</f>
        <v>1</v>
      </c>
      <c r="H4381" s="88"/>
      <c r="I4381" s="88"/>
      <c r="J4381" s="78">
        <f>MAX(K4381:Q4381)</f>
        <v>1</v>
      </c>
      <c r="K4381" s="88">
        <v>1</v>
      </c>
      <c r="L4381" s="88"/>
      <c r="M4381" s="88"/>
      <c r="N4381" s="88"/>
      <c r="O4381" s="88"/>
      <c r="P4381" s="88"/>
      <c r="Q4381" s="88"/>
      <c r="R4381" s="78">
        <f>MAX(S4381:W4381)</f>
        <v>0</v>
      </c>
      <c r="S4381" s="88"/>
      <c r="T4381" s="88"/>
      <c r="U4381" s="88"/>
      <c r="V4381" s="88"/>
      <c r="W4381" s="88"/>
    </row>
    <row r="4382" spans="2:23" s="0" customFormat="0" ht="15">
      <c r="B4382" s="87" t="s">
        <v>1</v>
      </c>
      <c r="C4382" s="88" t="s">
        <v>5259</v>
      </c>
      <c r="D4382" s="88">
        <v>17939593</v>
      </c>
      <c r="E4382" s="88" t="s">
        <v>61</v>
      </c>
      <c r="F4382" s="88">
        <v>0</v>
      </c>
      <c r="G4382" s="78">
        <f>MAX(H4382,I4382,J4382)</f>
        <v>1</v>
      </c>
      <c r="H4382" s="88"/>
      <c r="I4382" s="88"/>
      <c r="J4382" s="78">
        <f>MAX(K4382:Q4382)</f>
        <v>1</v>
      </c>
      <c r="K4382" s="88">
        <v>1</v>
      </c>
      <c r="L4382" s="88"/>
      <c r="M4382" s="88"/>
      <c r="N4382" s="88"/>
      <c r="O4382" s="88"/>
      <c r="P4382" s="88"/>
      <c r="Q4382" s="88"/>
      <c r="R4382" s="78">
        <f>MAX(S4382:W4382)</f>
        <v>0</v>
      </c>
      <c r="S4382" s="88"/>
      <c r="T4382" s="88"/>
      <c r="U4382" s="88"/>
      <c r="V4382" s="88"/>
      <c r="W4382" s="88"/>
    </row>
    <row r="4383" spans="2:23" s="0" customFormat="0" ht="15">
      <c r="B4383" s="87" t="s">
        <v>1</v>
      </c>
      <c r="C4383" s="88" t="s">
        <v>5259</v>
      </c>
      <c r="D4383" s="88">
        <v>25200623</v>
      </c>
      <c r="E4383" s="88" t="s">
        <v>61</v>
      </c>
      <c r="F4383" s="88">
        <v>0</v>
      </c>
      <c r="G4383" s="78">
        <f>MAX(H4383,I4383,J4383)</f>
        <v>1</v>
      </c>
      <c r="H4383" s="88"/>
      <c r="I4383" s="88"/>
      <c r="J4383" s="78">
        <f>MAX(K4383:Q4383)</f>
        <v>1</v>
      </c>
      <c r="K4383" s="88"/>
      <c r="L4383" s="88"/>
      <c r="M4383" s="88">
        <v>1</v>
      </c>
      <c r="N4383" s="88"/>
      <c r="O4383" s="88"/>
      <c r="P4383" s="88"/>
      <c r="Q4383" s="88"/>
      <c r="R4383" s="78">
        <f>MAX(S4383:W4383)</f>
        <v>0</v>
      </c>
      <c r="S4383" s="88"/>
      <c r="T4383" s="88"/>
      <c r="U4383" s="88"/>
      <c r="V4383" s="88"/>
      <c r="W4383" s="88"/>
    </row>
    <row r="4384" spans="2:23" s="0" customFormat="0" ht="15">
      <c r="B4384" s="87" t="s">
        <v>1</v>
      </c>
      <c r="C4384" s="88" t="s">
        <v>5259</v>
      </c>
      <c r="D4384" s="88">
        <v>18188305</v>
      </c>
      <c r="E4384" s="88" t="s">
        <v>61</v>
      </c>
      <c r="F4384" s="88">
        <v>0</v>
      </c>
      <c r="G4384" s="78">
        <f>MAX(H4384,I4384,J4384)</f>
        <v>1</v>
      </c>
      <c r="H4384" s="88"/>
      <c r="I4384" s="88"/>
      <c r="J4384" s="78">
        <f>MAX(K4384:Q4384)</f>
        <v>1</v>
      </c>
      <c r="K4384" s="88">
        <v>1</v>
      </c>
      <c r="L4384" s="88"/>
      <c r="M4384" s="88"/>
      <c r="N4384" s="88"/>
      <c r="O4384" s="88"/>
      <c r="P4384" s="88"/>
      <c r="Q4384" s="88"/>
      <c r="R4384" s="78">
        <f>MAX(S4384:W4384)</f>
        <v>0</v>
      </c>
      <c r="S4384" s="88"/>
      <c r="T4384" s="88"/>
      <c r="U4384" s="88"/>
      <c r="V4384" s="88"/>
      <c r="W4384" s="88"/>
    </row>
    <row r="4385" spans="2:23" s="0" customFormat="0" ht="15">
      <c r="B4385" s="87" t="s">
        <v>1</v>
      </c>
      <c r="C4385" s="88" t="s">
        <v>5259</v>
      </c>
      <c r="D4385" s="88">
        <v>16975009</v>
      </c>
      <c r="E4385" s="88" t="s">
        <v>61</v>
      </c>
      <c r="F4385" s="88">
        <v>0</v>
      </c>
      <c r="G4385" s="78">
        <f>MAX(H4385,I4385,J4385)</f>
        <v>1</v>
      </c>
      <c r="H4385" s="88"/>
      <c r="I4385" s="88"/>
      <c r="J4385" s="78">
        <f>MAX(K4385:Q4385)</f>
        <v>1</v>
      </c>
      <c r="K4385" s="88">
        <v>1</v>
      </c>
      <c r="L4385" s="88"/>
      <c r="M4385" s="88"/>
      <c r="N4385" s="88"/>
      <c r="O4385" s="88"/>
      <c r="P4385" s="88"/>
      <c r="Q4385" s="88"/>
      <c r="R4385" s="78">
        <f>MAX(S4385:W4385)</f>
        <v>0</v>
      </c>
      <c r="S4385" s="88"/>
      <c r="T4385" s="88"/>
      <c r="U4385" s="88"/>
      <c r="V4385" s="88"/>
      <c r="W4385" s="88"/>
    </row>
    <row r="4386" spans="2:23" s="0" customFormat="0" ht="15">
      <c r="B4386" s="87" t="s">
        <v>1</v>
      </c>
      <c r="C4386" s="88" t="s">
        <v>5259</v>
      </c>
      <c r="D4386" s="88" t="s">
        <v>3700</v>
      </c>
      <c r="E4386" s="88" t="s">
        <v>61</v>
      </c>
      <c r="F4386" s="88">
        <v>0</v>
      </c>
      <c r="G4386" s="78">
        <f>MAX(H4386,I4386,J4386)</f>
        <v>0</v>
      </c>
      <c r="H4386" s="88"/>
      <c r="I4386" s="88"/>
      <c r="J4386" s="78">
        <f>MAX(K4386:Q4386)</f>
        <v>0</v>
      </c>
      <c r="K4386" s="88"/>
      <c r="L4386" s="88"/>
      <c r="M4386" s="88"/>
      <c r="N4386" s="88"/>
      <c r="O4386" s="88"/>
      <c r="P4386" s="88"/>
      <c r="Q4386" s="88"/>
      <c r="R4386" s="78">
        <f>MAX(S4386:W4386)</f>
        <v>1</v>
      </c>
      <c r="S4386" s="88"/>
      <c r="T4386" s="88"/>
      <c r="U4386" s="88">
        <v>1</v>
      </c>
      <c r="V4386" s="88"/>
      <c r="W4386" s="88"/>
    </row>
    <row r="4387" spans="2:23" s="0" customFormat="0" ht="15">
      <c r="B4387" s="87" t="s">
        <v>1</v>
      </c>
      <c r="C4387" s="88" t="s">
        <v>5259</v>
      </c>
      <c r="D4387" s="88">
        <v>18913657</v>
      </c>
      <c r="E4387" s="88" t="s">
        <v>61</v>
      </c>
      <c r="F4387" s="88">
        <v>0</v>
      </c>
      <c r="G4387" s="78">
        <f>MAX(H4387,I4387,J4387)</f>
        <v>0</v>
      </c>
      <c r="H4387" s="88"/>
      <c r="I4387" s="88"/>
      <c r="J4387" s="78">
        <f>MAX(K4387:Q4387)</f>
        <v>0</v>
      </c>
      <c r="K4387" s="88"/>
      <c r="L4387" s="88"/>
      <c r="M4387" s="88"/>
      <c r="N4387" s="88"/>
      <c r="O4387" s="88"/>
      <c r="P4387" s="88"/>
      <c r="Q4387" s="88"/>
      <c r="R4387" s="78">
        <f>MAX(S4387:W4387)</f>
        <v>1</v>
      </c>
      <c r="S4387" s="88"/>
      <c r="T4387" s="88"/>
      <c r="U4387" s="88">
        <v>1</v>
      </c>
      <c r="V4387" s="88"/>
      <c r="W4387" s="88"/>
    </row>
    <row r="4388" spans="2:23" s="0" customFormat="0" ht="15">
      <c r="B4388" s="87" t="s">
        <v>1</v>
      </c>
      <c r="C4388" s="88" t="s">
        <v>5259</v>
      </c>
      <c r="D4388" s="88">
        <v>17478578</v>
      </c>
      <c r="E4388" s="88" t="s">
        <v>61</v>
      </c>
      <c r="F4388" s="88">
        <v>0</v>
      </c>
      <c r="G4388" s="78">
        <f>MAX(H4388,I4388,J4388)</f>
        <v>1</v>
      </c>
      <c r="H4388" s="88"/>
      <c r="I4388" s="88"/>
      <c r="J4388" s="78">
        <f>MAX(K4388:Q4388)</f>
        <v>1</v>
      </c>
      <c r="K4388" s="88">
        <v>1</v>
      </c>
      <c r="L4388" s="88"/>
      <c r="M4388" s="88"/>
      <c r="N4388" s="88"/>
      <c r="O4388" s="88"/>
      <c r="P4388" s="88"/>
      <c r="Q4388" s="88"/>
      <c r="R4388" s="78">
        <f>MAX(S4388:W4388)</f>
        <v>0</v>
      </c>
      <c r="S4388" s="88"/>
      <c r="T4388" s="88"/>
      <c r="U4388" s="88"/>
      <c r="V4388" s="88"/>
      <c r="W4388" s="88"/>
    </row>
    <row r="4389" spans="2:23" s="0" customFormat="0" ht="15">
      <c r="B4389" s="87" t="s">
        <v>1</v>
      </c>
      <c r="C4389" s="88" t="s">
        <v>5259</v>
      </c>
      <c r="D4389" s="88" t="s">
        <v>4953</v>
      </c>
      <c r="E4389" s="88" t="s">
        <v>61</v>
      </c>
      <c r="F4389" s="88">
        <v>0</v>
      </c>
      <c r="G4389" s="78">
        <f>MAX(H4389,I4389,J4389)</f>
        <v>0</v>
      </c>
      <c r="H4389" s="88"/>
      <c r="I4389" s="88"/>
      <c r="J4389" s="78">
        <f>MAX(K4389:Q4389)</f>
        <v>0</v>
      </c>
      <c r="K4389" s="88"/>
      <c r="L4389" s="88"/>
      <c r="M4389" s="88"/>
      <c r="N4389" s="88"/>
      <c r="O4389" s="88"/>
      <c r="P4389" s="88"/>
      <c r="Q4389" s="88"/>
      <c r="R4389" s="78">
        <f>MAX(S4389:W4389)</f>
        <v>1</v>
      </c>
      <c r="S4389" s="88"/>
      <c r="T4389" s="88"/>
      <c r="U4389" s="88">
        <v>1</v>
      </c>
      <c r="V4389" s="88"/>
      <c r="W4389" s="88"/>
    </row>
    <row r="4390" spans="2:23" s="0" customFormat="0" ht="15">
      <c r="B4390" s="87" t="s">
        <v>1</v>
      </c>
      <c r="C4390" s="88" t="s">
        <v>5259</v>
      </c>
      <c r="D4390" s="88">
        <v>13637351</v>
      </c>
      <c r="E4390" s="88" t="s">
        <v>61</v>
      </c>
      <c r="F4390" s="88">
        <v>0</v>
      </c>
      <c r="G4390" s="78">
        <f>MAX(H4390,I4390,J4390)</f>
        <v>1</v>
      </c>
      <c r="H4390" s="88"/>
      <c r="I4390" s="88"/>
      <c r="J4390" s="78">
        <f>MAX(K4390:Q4390)</f>
        <v>1</v>
      </c>
      <c r="K4390" s="88">
        <v>1</v>
      </c>
      <c r="L4390" s="88"/>
      <c r="M4390" s="88"/>
      <c r="N4390" s="88"/>
      <c r="O4390" s="88"/>
      <c r="P4390" s="88"/>
      <c r="Q4390" s="88"/>
      <c r="R4390" s="78">
        <f>MAX(S4390:W4390)</f>
        <v>0</v>
      </c>
      <c r="S4390" s="88"/>
      <c r="T4390" s="88"/>
      <c r="U4390" s="88"/>
      <c r="V4390" s="88"/>
      <c r="W4390" s="88"/>
    </row>
    <row r="4391" spans="2:23" s="0" customFormat="0" ht="15">
      <c r="B4391" s="87" t="s">
        <v>1</v>
      </c>
      <c r="C4391" s="88" t="s">
        <v>5259</v>
      </c>
      <c r="D4391" s="88">
        <v>11386216</v>
      </c>
      <c r="E4391" s="88" t="s">
        <v>61</v>
      </c>
      <c r="F4391" s="88">
        <v>0</v>
      </c>
      <c r="G4391" s="78">
        <f>MAX(H4391,I4391,J4391)</f>
        <v>1</v>
      </c>
      <c r="H4391" s="88"/>
      <c r="I4391" s="88"/>
      <c r="J4391" s="78">
        <f>MAX(K4391:Q4391)</f>
        <v>1</v>
      </c>
      <c r="K4391" s="88">
        <v>1</v>
      </c>
      <c r="L4391" s="88"/>
      <c r="M4391" s="88"/>
      <c r="N4391" s="88"/>
      <c r="O4391" s="88"/>
      <c r="P4391" s="88"/>
      <c r="Q4391" s="88"/>
      <c r="R4391" s="78">
        <f>MAX(S4391:W4391)</f>
        <v>0</v>
      </c>
      <c r="S4391" s="88"/>
      <c r="T4391" s="88"/>
      <c r="U4391" s="88"/>
      <c r="V4391" s="88"/>
      <c r="W4391" s="88"/>
    </row>
    <row r="4392" spans="2:23" s="0" customFormat="0" ht="15">
      <c r="B4392" s="87" t="s">
        <v>1</v>
      </c>
      <c r="C4392" s="88" t="s">
        <v>5259</v>
      </c>
      <c r="D4392" s="88">
        <v>20996856</v>
      </c>
      <c r="E4392" s="88" t="s">
        <v>61</v>
      </c>
      <c r="F4392" s="88">
        <v>0</v>
      </c>
      <c r="G4392" s="78">
        <f>MAX(H4392,I4392,J4392)</f>
        <v>1</v>
      </c>
      <c r="H4392" s="88"/>
      <c r="I4392" s="88"/>
      <c r="J4392" s="78">
        <f>MAX(K4392:Q4392)</f>
        <v>1</v>
      </c>
      <c r="K4392" s="88">
        <v>1</v>
      </c>
      <c r="L4392" s="88"/>
      <c r="M4392" s="88"/>
      <c r="N4392" s="88"/>
      <c r="O4392" s="88"/>
      <c r="P4392" s="88"/>
      <c r="Q4392" s="88"/>
      <c r="R4392" s="78">
        <f>MAX(S4392:W4392)</f>
        <v>0</v>
      </c>
      <c r="S4392" s="88"/>
      <c r="T4392" s="88"/>
      <c r="U4392" s="88"/>
      <c r="V4392" s="88"/>
      <c r="W4392" s="88"/>
    </row>
    <row r="4393" spans="2:23" s="0" customFormat="0" ht="15">
      <c r="B4393" s="87" t="s">
        <v>1</v>
      </c>
      <c r="C4393" s="88" t="s">
        <v>5259</v>
      </c>
      <c r="D4393" s="88" t="s">
        <v>2223</v>
      </c>
      <c r="E4393" s="88" t="s">
        <v>61</v>
      </c>
      <c r="F4393" s="88">
        <v>0</v>
      </c>
      <c r="G4393" s="78">
        <f>MAX(H4393,I4393,J4393)</f>
        <v>1</v>
      </c>
      <c r="H4393" s="88"/>
      <c r="I4393" s="88"/>
      <c r="J4393" s="78">
        <f>MAX(K4393:Q4393)</f>
        <v>1</v>
      </c>
      <c r="K4393" s="88">
        <v>1</v>
      </c>
      <c r="L4393" s="88"/>
      <c r="M4393" s="88"/>
      <c r="N4393" s="88"/>
      <c r="O4393" s="88"/>
      <c r="P4393" s="88"/>
      <c r="Q4393" s="88"/>
      <c r="R4393" s="78">
        <f>MAX(S4393:W4393)</f>
        <v>0</v>
      </c>
      <c r="S4393" s="88"/>
      <c r="T4393" s="88"/>
      <c r="U4393" s="88"/>
      <c r="V4393" s="88"/>
      <c r="W4393" s="88"/>
    </row>
    <row r="4394" spans="2:23" s="0" customFormat="0" ht="15">
      <c r="B4394" s="87" t="s">
        <v>1</v>
      </c>
      <c r="C4394" s="88" t="s">
        <v>5259</v>
      </c>
      <c r="D4394" s="88" t="s">
        <v>2463</v>
      </c>
      <c r="E4394" s="88" t="s">
        <v>61</v>
      </c>
      <c r="F4394" s="88">
        <v>0</v>
      </c>
      <c r="G4394" s="78">
        <f>MAX(H4394,I4394,J4394)</f>
        <v>1</v>
      </c>
      <c r="H4394" s="88"/>
      <c r="I4394" s="88"/>
      <c r="J4394" s="78">
        <f>MAX(K4394:Q4394)</f>
        <v>1</v>
      </c>
      <c r="K4394" s="88">
        <v>1</v>
      </c>
      <c r="L4394" s="88"/>
      <c r="M4394" s="88"/>
      <c r="N4394" s="88"/>
      <c r="O4394" s="88"/>
      <c r="P4394" s="88"/>
      <c r="Q4394" s="88"/>
      <c r="R4394" s="78">
        <f>MAX(S4394:W4394)</f>
        <v>0</v>
      </c>
      <c r="S4394" s="88"/>
      <c r="T4394" s="88"/>
      <c r="U4394" s="88"/>
      <c r="V4394" s="88"/>
      <c r="W4394" s="88"/>
    </row>
    <row r="4395" spans="2:23" s="0" customFormat="0" ht="15">
      <c r="B4395" s="87" t="s">
        <v>1</v>
      </c>
      <c r="C4395" s="88" t="s">
        <v>5259</v>
      </c>
      <c r="D4395" s="88" t="s">
        <v>2574</v>
      </c>
      <c r="E4395" s="88" t="s">
        <v>61</v>
      </c>
      <c r="F4395" s="88">
        <v>0</v>
      </c>
      <c r="G4395" s="78">
        <f>MAX(H4395,I4395,J4395)</f>
        <v>1</v>
      </c>
      <c r="H4395" s="88"/>
      <c r="I4395" s="88"/>
      <c r="J4395" s="78">
        <f>MAX(K4395:Q4395)</f>
        <v>1</v>
      </c>
      <c r="K4395" s="88">
        <v>1</v>
      </c>
      <c r="L4395" s="88"/>
      <c r="M4395" s="88"/>
      <c r="N4395" s="88"/>
      <c r="O4395" s="88"/>
      <c r="P4395" s="88"/>
      <c r="Q4395" s="88"/>
      <c r="R4395" s="78">
        <f>MAX(S4395:W4395)</f>
        <v>0</v>
      </c>
      <c r="S4395" s="88"/>
      <c r="T4395" s="88"/>
      <c r="U4395" s="88"/>
      <c r="V4395" s="88"/>
      <c r="W4395" s="88"/>
    </row>
    <row r="4396" spans="2:23" s="0" customFormat="0" ht="15">
      <c r="B4396" s="87" t="s">
        <v>1</v>
      </c>
      <c r="C4396" s="88" t="s">
        <v>5259</v>
      </c>
      <c r="D4396" s="88" t="s">
        <v>4955</v>
      </c>
      <c r="E4396" s="88" t="s">
        <v>61</v>
      </c>
      <c r="F4396" s="88">
        <v>0</v>
      </c>
      <c r="G4396" s="78">
        <f>MAX(H4396,I4396,J4396)</f>
        <v>0</v>
      </c>
      <c r="H4396" s="88"/>
      <c r="I4396" s="88"/>
      <c r="J4396" s="78">
        <f>MAX(K4396:Q4396)</f>
        <v>0</v>
      </c>
      <c r="K4396" s="88"/>
      <c r="L4396" s="88"/>
      <c r="M4396" s="88"/>
      <c r="N4396" s="88"/>
      <c r="O4396" s="88"/>
      <c r="P4396" s="88"/>
      <c r="Q4396" s="88"/>
      <c r="R4396" s="78">
        <f>MAX(S4396:W4396)</f>
        <v>1</v>
      </c>
      <c r="S4396" s="88"/>
      <c r="T4396" s="88"/>
      <c r="U4396" s="88">
        <v>1</v>
      </c>
      <c r="V4396" s="88"/>
      <c r="W4396" s="88"/>
    </row>
    <row r="4397" spans="2:23" s="0" customFormat="0" ht="15">
      <c r="B4397" s="87" t="s">
        <v>1</v>
      </c>
      <c r="C4397" s="88" t="s">
        <v>5259</v>
      </c>
      <c r="D4397" s="88" t="s">
        <v>4364</v>
      </c>
      <c r="E4397" s="88" t="s">
        <v>61</v>
      </c>
      <c r="F4397" s="88">
        <v>0</v>
      </c>
      <c r="G4397" s="78">
        <f>MAX(H4397,I4397,J4397)</f>
        <v>0</v>
      </c>
      <c r="H4397" s="88"/>
      <c r="I4397" s="88"/>
      <c r="J4397" s="78">
        <f>MAX(K4397:Q4397)</f>
        <v>0</v>
      </c>
      <c r="K4397" s="88"/>
      <c r="L4397" s="88"/>
      <c r="M4397" s="88"/>
      <c r="N4397" s="88"/>
      <c r="O4397" s="88"/>
      <c r="P4397" s="88"/>
      <c r="Q4397" s="88"/>
      <c r="R4397" s="78">
        <f>MAX(S4397:W4397)</f>
        <v>1</v>
      </c>
      <c r="S4397" s="88"/>
      <c r="T4397" s="88"/>
      <c r="U4397" s="88">
        <v>1</v>
      </c>
      <c r="V4397" s="88"/>
      <c r="W4397" s="88"/>
    </row>
    <row r="4398" spans="2:23" s="0" customFormat="0" ht="15">
      <c r="B4398" s="87" t="s">
        <v>1</v>
      </c>
      <c r="C4398" s="88" t="s">
        <v>5259</v>
      </c>
      <c r="D4398" s="88">
        <v>12833960</v>
      </c>
      <c r="E4398" s="88" t="s">
        <v>61</v>
      </c>
      <c r="F4398" s="88">
        <v>0</v>
      </c>
      <c r="G4398" s="78">
        <f>MAX(H4398,I4398,J4398)</f>
        <v>1</v>
      </c>
      <c r="H4398" s="88"/>
      <c r="I4398" s="88"/>
      <c r="J4398" s="78">
        <f>MAX(K4398:Q4398)</f>
        <v>1</v>
      </c>
      <c r="K4398" s="88">
        <v>1</v>
      </c>
      <c r="L4398" s="88"/>
      <c r="M4398" s="88"/>
      <c r="N4398" s="88"/>
      <c r="O4398" s="88"/>
      <c r="P4398" s="88"/>
      <c r="Q4398" s="88"/>
      <c r="R4398" s="78">
        <f>MAX(S4398:W4398)</f>
        <v>0</v>
      </c>
      <c r="S4398" s="88"/>
      <c r="T4398" s="88"/>
      <c r="U4398" s="88"/>
      <c r="V4398" s="88"/>
      <c r="W4398" s="88"/>
    </row>
    <row r="4399" spans="2:23" s="0" customFormat="0" ht="15">
      <c r="B4399" s="87" t="s">
        <v>1</v>
      </c>
      <c r="C4399" s="88" t="s">
        <v>5259</v>
      </c>
      <c r="D4399" s="88" t="s">
        <v>2277</v>
      </c>
      <c r="E4399" s="88" t="s">
        <v>61</v>
      </c>
      <c r="F4399" s="88">
        <v>0</v>
      </c>
      <c r="G4399" s="78">
        <f>MAX(H4399,I4399,J4399)</f>
        <v>1</v>
      </c>
      <c r="H4399" s="88"/>
      <c r="I4399" s="88"/>
      <c r="J4399" s="78">
        <f>MAX(K4399:Q4399)</f>
        <v>1</v>
      </c>
      <c r="K4399" s="88">
        <v>1</v>
      </c>
      <c r="L4399" s="88"/>
      <c r="M4399" s="88"/>
      <c r="N4399" s="88"/>
      <c r="O4399" s="88"/>
      <c r="P4399" s="88"/>
      <c r="Q4399" s="88"/>
      <c r="R4399" s="78">
        <f>MAX(S4399:W4399)</f>
        <v>0</v>
      </c>
      <c r="S4399" s="88"/>
      <c r="T4399" s="88"/>
      <c r="U4399" s="88"/>
      <c r="V4399" s="88"/>
      <c r="W4399" s="88"/>
    </row>
    <row r="4400" spans="2:23" s="0" customFormat="0" ht="15">
      <c r="B4400" s="87" t="s">
        <v>1</v>
      </c>
      <c r="C4400" s="88" t="s">
        <v>5259</v>
      </c>
      <c r="D4400" s="88">
        <v>630159</v>
      </c>
      <c r="E4400" s="88" t="s">
        <v>61</v>
      </c>
      <c r="F4400" s="88">
        <v>0</v>
      </c>
      <c r="G4400" s="78">
        <f>MAX(H4400,I4400,J4400)</f>
        <v>1</v>
      </c>
      <c r="H4400" s="88"/>
      <c r="I4400" s="88"/>
      <c r="J4400" s="78">
        <f>MAX(K4400:Q4400)</f>
        <v>1</v>
      </c>
      <c r="K4400" s="88">
        <v>1</v>
      </c>
      <c r="L4400" s="88"/>
      <c r="M4400" s="88"/>
      <c r="N4400" s="88"/>
      <c r="O4400" s="88"/>
      <c r="P4400" s="88"/>
      <c r="Q4400" s="88"/>
      <c r="R4400" s="78">
        <f>MAX(S4400:W4400)</f>
        <v>0</v>
      </c>
      <c r="S4400" s="88"/>
      <c r="T4400" s="88"/>
      <c r="U4400" s="88"/>
      <c r="V4400" s="88"/>
      <c r="W4400" s="88"/>
    </row>
    <row r="4401" spans="2:23" s="0" customFormat="0" ht="15">
      <c r="B4401" s="87" t="s">
        <v>1</v>
      </c>
      <c r="C4401" s="88" t="s">
        <v>5259</v>
      </c>
      <c r="D4401" s="88" t="s">
        <v>4530</v>
      </c>
      <c r="E4401" s="88" t="s">
        <v>61</v>
      </c>
      <c r="F4401" s="88">
        <v>0</v>
      </c>
      <c r="G4401" s="78">
        <f>MAX(H4401,I4401,J4401)</f>
        <v>0</v>
      </c>
      <c r="H4401" s="88"/>
      <c r="I4401" s="88"/>
      <c r="J4401" s="78">
        <f>MAX(K4401:Q4401)</f>
        <v>0</v>
      </c>
      <c r="K4401" s="88"/>
      <c r="L4401" s="88"/>
      <c r="M4401" s="88"/>
      <c r="N4401" s="88"/>
      <c r="O4401" s="88"/>
      <c r="P4401" s="88"/>
      <c r="Q4401" s="88"/>
      <c r="R4401" s="78">
        <f>MAX(S4401:W4401)</f>
        <v>1</v>
      </c>
      <c r="S4401" s="88"/>
      <c r="T4401" s="88"/>
      <c r="U4401" s="88">
        <v>1</v>
      </c>
      <c r="V4401" s="88"/>
      <c r="W4401" s="88"/>
    </row>
    <row r="4402" spans="2:23" s="0" customFormat="0" ht="15">
      <c r="B4402" s="87" t="s">
        <v>1</v>
      </c>
      <c r="C4402" s="88" t="s">
        <v>5259</v>
      </c>
      <c r="D4402" s="88">
        <v>7169615</v>
      </c>
      <c r="E4402" s="88" t="s">
        <v>61</v>
      </c>
      <c r="F4402" s="88">
        <v>0</v>
      </c>
      <c r="G4402" s="78">
        <f>MAX(H4402,I4402,J4402)</f>
        <v>1</v>
      </c>
      <c r="H4402" s="88"/>
      <c r="I4402" s="88"/>
      <c r="J4402" s="78">
        <f>MAX(K4402:Q4402)</f>
        <v>1</v>
      </c>
      <c r="K4402" s="88">
        <v>1</v>
      </c>
      <c r="L4402" s="88"/>
      <c r="M4402" s="88"/>
      <c r="N4402" s="88"/>
      <c r="O4402" s="88"/>
      <c r="P4402" s="88"/>
      <c r="Q4402" s="88"/>
      <c r="R4402" s="78">
        <f>MAX(S4402:W4402)</f>
        <v>0</v>
      </c>
      <c r="S4402" s="88"/>
      <c r="T4402" s="88"/>
      <c r="U4402" s="88"/>
      <c r="V4402" s="88"/>
      <c r="W4402" s="88"/>
    </row>
    <row r="4403" spans="2:23" s="0" customFormat="0" ht="15">
      <c r="B4403" s="87" t="s">
        <v>1</v>
      </c>
      <c r="C4403" s="88" t="s">
        <v>5259</v>
      </c>
      <c r="D4403" s="88">
        <v>24865540</v>
      </c>
      <c r="E4403" s="88" t="s">
        <v>61</v>
      </c>
      <c r="F4403" s="88">
        <v>0</v>
      </c>
      <c r="G4403" s="78">
        <f>MAX(H4403,I4403,J4403)</f>
        <v>1</v>
      </c>
      <c r="H4403" s="88"/>
      <c r="I4403" s="88"/>
      <c r="J4403" s="78">
        <f>MAX(K4403:Q4403)</f>
        <v>1</v>
      </c>
      <c r="K4403" s="88">
        <v>1</v>
      </c>
      <c r="L4403" s="88"/>
      <c r="M4403" s="88"/>
      <c r="N4403" s="88"/>
      <c r="O4403" s="88"/>
      <c r="P4403" s="88"/>
      <c r="Q4403" s="88"/>
      <c r="R4403" s="78">
        <f>MAX(S4403:W4403)</f>
        <v>0</v>
      </c>
      <c r="S4403" s="88"/>
      <c r="T4403" s="88"/>
      <c r="U4403" s="88"/>
      <c r="V4403" s="88"/>
      <c r="W4403" s="88"/>
    </row>
    <row r="4404" spans="2:23" s="0" customFormat="0" ht="15">
      <c r="B4404" s="87" t="s">
        <v>1</v>
      </c>
      <c r="C4404" s="88" t="s">
        <v>5259</v>
      </c>
      <c r="D4404" s="88">
        <v>13326754</v>
      </c>
      <c r="E4404" s="88" t="s">
        <v>61</v>
      </c>
      <c r="F4404" s="88">
        <v>0</v>
      </c>
      <c r="G4404" s="78">
        <f>MAX(H4404,I4404,J4404)</f>
        <v>1</v>
      </c>
      <c r="H4404" s="88"/>
      <c r="I4404" s="88"/>
      <c r="J4404" s="78">
        <f>MAX(K4404:Q4404)</f>
        <v>1</v>
      </c>
      <c r="K4404" s="88">
        <v>1</v>
      </c>
      <c r="L4404" s="88"/>
      <c r="M4404" s="88"/>
      <c r="N4404" s="88"/>
      <c r="O4404" s="88"/>
      <c r="P4404" s="88"/>
      <c r="Q4404" s="88"/>
      <c r="R4404" s="78">
        <f>MAX(S4404:W4404)</f>
        <v>0</v>
      </c>
      <c r="S4404" s="88"/>
      <c r="T4404" s="88"/>
      <c r="U4404" s="88"/>
      <c r="V4404" s="88"/>
      <c r="W4404" s="88"/>
    </row>
    <row r="4405" spans="2:23" s="0" customFormat="0" ht="15">
      <c r="B4405" s="87" t="s">
        <v>1</v>
      </c>
      <c r="C4405" s="88" t="s">
        <v>5259</v>
      </c>
      <c r="D4405" s="88">
        <v>7591116</v>
      </c>
      <c r="E4405" s="88" t="s">
        <v>61</v>
      </c>
      <c r="F4405" s="88">
        <v>0</v>
      </c>
      <c r="G4405" s="78">
        <f>MAX(H4405,I4405,J4405)</f>
        <v>1</v>
      </c>
      <c r="H4405" s="88"/>
      <c r="I4405" s="88"/>
      <c r="J4405" s="78">
        <f>MAX(K4405:Q4405)</f>
        <v>1</v>
      </c>
      <c r="K4405" s="88">
        <v>1</v>
      </c>
      <c r="L4405" s="88"/>
      <c r="M4405" s="88"/>
      <c r="N4405" s="88"/>
      <c r="O4405" s="88"/>
      <c r="P4405" s="88"/>
      <c r="Q4405" s="88"/>
      <c r="R4405" s="78">
        <f>MAX(S4405:W4405)</f>
        <v>0</v>
      </c>
      <c r="S4405" s="88"/>
      <c r="T4405" s="88"/>
      <c r="U4405" s="88"/>
      <c r="V4405" s="88"/>
      <c r="W4405" s="88"/>
    </row>
    <row r="4406" spans="2:23" s="0" customFormat="0" ht="15">
      <c r="B4406" s="87" t="s">
        <v>1</v>
      </c>
      <c r="C4406" s="88" t="s">
        <v>5259</v>
      </c>
      <c r="D4406" s="88">
        <v>18760720</v>
      </c>
      <c r="E4406" s="88" t="s">
        <v>61</v>
      </c>
      <c r="F4406" s="88">
        <v>0</v>
      </c>
      <c r="G4406" s="78">
        <f>MAX(H4406,I4406,J4406)</f>
        <v>1</v>
      </c>
      <c r="H4406" s="88"/>
      <c r="I4406" s="88"/>
      <c r="J4406" s="78">
        <f>MAX(K4406:Q4406)</f>
        <v>1</v>
      </c>
      <c r="K4406" s="88">
        <v>1</v>
      </c>
      <c r="L4406" s="88"/>
      <c r="M4406" s="88"/>
      <c r="N4406" s="88"/>
      <c r="O4406" s="88"/>
      <c r="P4406" s="88"/>
      <c r="Q4406" s="88"/>
      <c r="R4406" s="78">
        <f>MAX(S4406:W4406)</f>
        <v>0</v>
      </c>
      <c r="S4406" s="88"/>
      <c r="T4406" s="88"/>
      <c r="U4406" s="88"/>
      <c r="V4406" s="88"/>
      <c r="W4406" s="88"/>
    </row>
    <row r="4407" spans="2:23" s="0" customFormat="0" ht="15">
      <c r="B4407" s="87" t="s">
        <v>1</v>
      </c>
      <c r="C4407" s="88" t="s">
        <v>5259</v>
      </c>
      <c r="D4407" s="88" t="s">
        <v>2582</v>
      </c>
      <c r="E4407" s="88" t="s">
        <v>61</v>
      </c>
      <c r="F4407" s="88">
        <v>0</v>
      </c>
      <c r="G4407" s="78">
        <f>MAX(H4407,I4407,J4407)</f>
        <v>1</v>
      </c>
      <c r="H4407" s="88"/>
      <c r="I4407" s="88"/>
      <c r="J4407" s="78">
        <f>MAX(K4407:Q4407)</f>
        <v>1</v>
      </c>
      <c r="K4407" s="88">
        <v>1</v>
      </c>
      <c r="L4407" s="88"/>
      <c r="M4407" s="88"/>
      <c r="N4407" s="88"/>
      <c r="O4407" s="88"/>
      <c r="P4407" s="88"/>
      <c r="Q4407" s="88"/>
      <c r="R4407" s="78">
        <f>MAX(S4407:W4407)</f>
        <v>0</v>
      </c>
      <c r="S4407" s="88"/>
      <c r="T4407" s="88"/>
      <c r="U4407" s="88"/>
      <c r="V4407" s="88"/>
      <c r="W4407" s="88"/>
    </row>
    <row r="4408" spans="2:23" s="0" customFormat="0" ht="15">
      <c r="B4408" s="87" t="s">
        <v>1</v>
      </c>
      <c r="C4408" s="88" t="s">
        <v>5259</v>
      </c>
      <c r="D4408" s="88">
        <v>14504643</v>
      </c>
      <c r="E4408" s="88" t="s">
        <v>61</v>
      </c>
      <c r="F4408" s="88">
        <v>0</v>
      </c>
      <c r="G4408" s="78">
        <f>MAX(H4408,I4408,J4408)</f>
        <v>0</v>
      </c>
      <c r="H4408" s="88"/>
      <c r="I4408" s="88"/>
      <c r="J4408" s="78">
        <f>MAX(K4408:Q4408)</f>
        <v>0</v>
      </c>
      <c r="K4408" s="88"/>
      <c r="L4408" s="88"/>
      <c r="M4408" s="88"/>
      <c r="N4408" s="88"/>
      <c r="O4408" s="88"/>
      <c r="P4408" s="88"/>
      <c r="Q4408" s="88"/>
      <c r="R4408" s="78">
        <f>MAX(S4408:W4408)</f>
        <v>1</v>
      </c>
      <c r="S4408" s="88"/>
      <c r="T4408" s="88"/>
      <c r="U4408" s="88">
        <v>1</v>
      </c>
      <c r="V4408" s="88"/>
      <c r="W4408" s="88"/>
    </row>
    <row r="4409" spans="2:23" s="0" customFormat="0" ht="15">
      <c r="B4409" s="87" t="s">
        <v>1</v>
      </c>
      <c r="C4409" s="88" t="s">
        <v>5259</v>
      </c>
      <c r="D4409" s="88">
        <v>4797581</v>
      </c>
      <c r="E4409" s="88" t="s">
        <v>61</v>
      </c>
      <c r="F4409" s="88">
        <v>0</v>
      </c>
      <c r="G4409" s="78">
        <f>MAX(H4409,I4409,J4409)</f>
        <v>0</v>
      </c>
      <c r="H4409" s="88"/>
      <c r="I4409" s="88"/>
      <c r="J4409" s="78">
        <f>MAX(K4409:Q4409)</f>
        <v>0</v>
      </c>
      <c r="K4409" s="88"/>
      <c r="L4409" s="88"/>
      <c r="M4409" s="88"/>
      <c r="N4409" s="88"/>
      <c r="O4409" s="88"/>
      <c r="P4409" s="88"/>
      <c r="Q4409" s="88"/>
      <c r="R4409" s="78">
        <f>MAX(S4409:W4409)</f>
        <v>1</v>
      </c>
      <c r="S4409" s="88"/>
      <c r="T4409" s="88"/>
      <c r="U4409" s="88">
        <v>1</v>
      </c>
      <c r="V4409" s="88"/>
      <c r="W4409" s="88"/>
    </row>
    <row r="4410" spans="2:23" s="0" customFormat="0" ht="15">
      <c r="B4410" s="87" t="s">
        <v>1</v>
      </c>
      <c r="C4410" s="88" t="s">
        <v>5259</v>
      </c>
      <c r="D4410" s="88" t="s">
        <v>3869</v>
      </c>
      <c r="E4410" s="88" t="s">
        <v>61</v>
      </c>
      <c r="F4410" s="88">
        <v>0</v>
      </c>
      <c r="G4410" s="78">
        <f>MAX(H4410,I4410,J4410)</f>
        <v>0</v>
      </c>
      <c r="H4410" s="88"/>
      <c r="I4410" s="88"/>
      <c r="J4410" s="78">
        <f>MAX(K4410:Q4410)</f>
        <v>0</v>
      </c>
      <c r="K4410" s="88"/>
      <c r="L4410" s="88"/>
      <c r="M4410" s="88"/>
      <c r="N4410" s="88"/>
      <c r="O4410" s="88"/>
      <c r="P4410" s="88"/>
      <c r="Q4410" s="88"/>
      <c r="R4410" s="78">
        <f>MAX(S4410:W4410)</f>
        <v>1</v>
      </c>
      <c r="S4410" s="88"/>
      <c r="T4410" s="88"/>
      <c r="U4410" s="88">
        <v>1</v>
      </c>
      <c r="V4410" s="88"/>
      <c r="W4410" s="88"/>
    </row>
    <row r="4411" spans="2:23" s="0" customFormat="0" ht="15">
      <c r="B4411" s="87" t="s">
        <v>1</v>
      </c>
      <c r="C4411" s="88" t="s">
        <v>5259</v>
      </c>
      <c r="D4411" s="88" t="s">
        <v>186</v>
      </c>
      <c r="E4411" s="88" t="s">
        <v>61</v>
      </c>
      <c r="F4411" s="88">
        <v>0</v>
      </c>
      <c r="G4411" s="78">
        <f>MAX(H4411,I4411,J4411)</f>
        <v>1</v>
      </c>
      <c r="H4411" s="88"/>
      <c r="I4411" s="88"/>
      <c r="J4411" s="78">
        <f>MAX(K4411:Q4411)</f>
        <v>1</v>
      </c>
      <c r="K4411" s="88">
        <v>1</v>
      </c>
      <c r="L4411" s="88"/>
      <c r="M4411" s="88"/>
      <c r="N4411" s="88"/>
      <c r="O4411" s="88"/>
      <c r="P4411" s="88"/>
      <c r="Q4411" s="88"/>
      <c r="R4411" s="78">
        <f>MAX(S4411:W4411)</f>
        <v>0</v>
      </c>
      <c r="S4411" s="88"/>
      <c r="T4411" s="88"/>
      <c r="U4411" s="88"/>
      <c r="V4411" s="88"/>
      <c r="W4411" s="88"/>
    </row>
    <row r="4412" spans="2:23" s="0" customFormat="0" ht="15">
      <c r="B4412" s="87" t="s">
        <v>1</v>
      </c>
      <c r="C4412" s="88" t="s">
        <v>5259</v>
      </c>
      <c r="D4412" s="88" t="s">
        <v>3050</v>
      </c>
      <c r="E4412" s="88" t="s">
        <v>61</v>
      </c>
      <c r="F4412" s="88">
        <v>0</v>
      </c>
      <c r="G4412" s="78">
        <f>MAX(H4412,I4412,J4412)</f>
        <v>1</v>
      </c>
      <c r="H4412" s="88"/>
      <c r="I4412" s="88"/>
      <c r="J4412" s="78">
        <f>MAX(K4412:Q4412)</f>
        <v>1</v>
      </c>
      <c r="K4412" s="88"/>
      <c r="L4412" s="88">
        <v>1</v>
      </c>
      <c r="M4412" s="88"/>
      <c r="N4412" s="88"/>
      <c r="O4412" s="88"/>
      <c r="P4412" s="88"/>
      <c r="Q4412" s="88"/>
      <c r="R4412" s="78">
        <f>MAX(S4412:W4412)</f>
        <v>0</v>
      </c>
      <c r="S4412" s="88"/>
      <c r="T4412" s="88"/>
      <c r="U4412" s="88"/>
      <c r="V4412" s="88"/>
      <c r="W4412" s="88"/>
    </row>
    <row r="4413" spans="2:23" s="0" customFormat="0" ht="15">
      <c r="B4413" s="87" t="s">
        <v>1</v>
      </c>
      <c r="C4413" s="88" t="s">
        <v>5259</v>
      </c>
      <c r="D4413" s="88">
        <v>19686822</v>
      </c>
      <c r="E4413" s="88" t="s">
        <v>61</v>
      </c>
      <c r="F4413" s="88">
        <v>0</v>
      </c>
      <c r="G4413" s="78">
        <f>MAX(H4413,I4413,J4413)</f>
        <v>1</v>
      </c>
      <c r="H4413" s="88"/>
      <c r="I4413" s="88"/>
      <c r="J4413" s="78">
        <f>MAX(K4413:Q4413)</f>
        <v>1</v>
      </c>
      <c r="K4413" s="88">
        <v>1</v>
      </c>
      <c r="L4413" s="88"/>
      <c r="M4413" s="88"/>
      <c r="N4413" s="88"/>
      <c r="O4413" s="88"/>
      <c r="P4413" s="88"/>
      <c r="Q4413" s="88"/>
      <c r="R4413" s="78">
        <f>MAX(S4413:W4413)</f>
        <v>0</v>
      </c>
      <c r="S4413" s="88"/>
      <c r="T4413" s="88"/>
      <c r="U4413" s="88"/>
      <c r="V4413" s="88"/>
      <c r="W4413" s="88"/>
    </row>
    <row r="4414" spans="2:23" s="0" customFormat="0" ht="15">
      <c r="B4414" s="87" t="s">
        <v>1</v>
      </c>
      <c r="C4414" s="88" t="s">
        <v>5259</v>
      </c>
      <c r="D4414" s="88">
        <v>18047814</v>
      </c>
      <c r="E4414" s="88" t="s">
        <v>61</v>
      </c>
      <c r="F4414" s="88">
        <v>0</v>
      </c>
      <c r="G4414" s="78">
        <f>MAX(H4414,I4414,J4414)</f>
        <v>1</v>
      </c>
      <c r="H4414" s="88"/>
      <c r="I4414" s="88"/>
      <c r="J4414" s="78">
        <f>MAX(K4414:Q4414)</f>
        <v>1</v>
      </c>
      <c r="K4414" s="88">
        <v>1</v>
      </c>
      <c r="L4414" s="88"/>
      <c r="M4414" s="88"/>
      <c r="N4414" s="88"/>
      <c r="O4414" s="88"/>
      <c r="P4414" s="88"/>
      <c r="Q4414" s="88"/>
      <c r="R4414" s="78">
        <f>MAX(S4414:W4414)</f>
        <v>0</v>
      </c>
      <c r="S4414" s="88"/>
      <c r="T4414" s="88"/>
      <c r="U4414" s="88"/>
      <c r="V4414" s="88"/>
      <c r="W4414" s="88"/>
    </row>
    <row r="4415" spans="2:23" s="0" customFormat="0" ht="15">
      <c r="B4415" s="87" t="s">
        <v>1</v>
      </c>
      <c r="C4415" s="88" t="s">
        <v>5259</v>
      </c>
      <c r="D4415" s="88" t="s">
        <v>4441</v>
      </c>
      <c r="E4415" s="88" t="s">
        <v>61</v>
      </c>
      <c r="F4415" s="88">
        <v>0</v>
      </c>
      <c r="G4415" s="78">
        <f>MAX(H4415,I4415,J4415)</f>
        <v>0</v>
      </c>
      <c r="H4415" s="88"/>
      <c r="I4415" s="88"/>
      <c r="J4415" s="78">
        <f>MAX(K4415:Q4415)</f>
        <v>0</v>
      </c>
      <c r="K4415" s="88"/>
      <c r="L4415" s="88"/>
      <c r="M4415" s="88"/>
      <c r="N4415" s="88"/>
      <c r="O4415" s="88"/>
      <c r="P4415" s="88"/>
      <c r="Q4415" s="88"/>
      <c r="R4415" s="78">
        <f>MAX(S4415:W4415)</f>
        <v>1</v>
      </c>
      <c r="S4415" s="88"/>
      <c r="T4415" s="88"/>
      <c r="U4415" s="88">
        <v>1</v>
      </c>
      <c r="V4415" s="88"/>
      <c r="W4415" s="88"/>
    </row>
    <row r="4416" spans="2:23" s="0" customFormat="0" ht="15">
      <c r="B4416" s="87" t="s">
        <v>1</v>
      </c>
      <c r="C4416" s="88" t="s">
        <v>5259</v>
      </c>
      <c r="D4416" s="88" t="s">
        <v>934</v>
      </c>
      <c r="E4416" s="88" t="s">
        <v>61</v>
      </c>
      <c r="F4416" s="88">
        <v>0</v>
      </c>
      <c r="G4416" s="78">
        <f>MAX(H4416,I4416,J4416)</f>
        <v>1</v>
      </c>
      <c r="H4416" s="88"/>
      <c r="I4416" s="88"/>
      <c r="J4416" s="78">
        <f>MAX(K4416:Q4416)</f>
        <v>1</v>
      </c>
      <c r="K4416" s="88">
        <v>1</v>
      </c>
      <c r="L4416" s="88"/>
      <c r="M4416" s="88"/>
      <c r="N4416" s="88"/>
      <c r="O4416" s="88"/>
      <c r="P4416" s="88"/>
      <c r="Q4416" s="88"/>
      <c r="R4416" s="78">
        <f>MAX(S4416:W4416)</f>
        <v>0</v>
      </c>
      <c r="S4416" s="88"/>
      <c r="T4416" s="88"/>
      <c r="U4416" s="88"/>
      <c r="V4416" s="88"/>
      <c r="W4416" s="88"/>
    </row>
    <row r="4417" spans="2:23" s="0" customFormat="0" ht="15">
      <c r="B4417" s="87" t="s">
        <v>1</v>
      </c>
      <c r="C4417" s="88" t="s">
        <v>5259</v>
      </c>
      <c r="D4417" s="88">
        <v>17296778</v>
      </c>
      <c r="E4417" s="88" t="s">
        <v>61</v>
      </c>
      <c r="F4417" s="88">
        <v>0</v>
      </c>
      <c r="G4417" s="78">
        <f>MAX(H4417,I4417,J4417)</f>
        <v>1</v>
      </c>
      <c r="H4417" s="88"/>
      <c r="I4417" s="88"/>
      <c r="J4417" s="78">
        <f>MAX(K4417:Q4417)</f>
        <v>1</v>
      </c>
      <c r="K4417" s="88">
        <v>1</v>
      </c>
      <c r="L4417" s="88"/>
      <c r="M4417" s="88"/>
      <c r="N4417" s="88"/>
      <c r="O4417" s="88"/>
      <c r="P4417" s="88"/>
      <c r="Q4417" s="88"/>
      <c r="R4417" s="78">
        <f>MAX(S4417:W4417)</f>
        <v>0</v>
      </c>
      <c r="S4417" s="88"/>
      <c r="T4417" s="88"/>
      <c r="U4417" s="88"/>
      <c r="V4417" s="88"/>
      <c r="W4417" s="88"/>
    </row>
    <row r="4418" spans="2:23" s="0" customFormat="0" ht="15">
      <c r="B4418" s="87" t="s">
        <v>1</v>
      </c>
      <c r="C4418" s="88" t="s">
        <v>5259</v>
      </c>
      <c r="D4418" s="88">
        <v>20925605</v>
      </c>
      <c r="E4418" s="88" t="s">
        <v>61</v>
      </c>
      <c r="F4418" s="88">
        <v>0</v>
      </c>
      <c r="G4418" s="78">
        <f>MAX(H4418,I4418,J4418)</f>
        <v>1</v>
      </c>
      <c r="H4418" s="88"/>
      <c r="I4418" s="88"/>
      <c r="J4418" s="78">
        <f>MAX(K4418:Q4418)</f>
        <v>1</v>
      </c>
      <c r="K4418" s="88">
        <v>1</v>
      </c>
      <c r="L4418" s="88"/>
      <c r="M4418" s="88"/>
      <c r="N4418" s="88"/>
      <c r="O4418" s="88"/>
      <c r="P4418" s="88"/>
      <c r="Q4418" s="88"/>
      <c r="R4418" s="78">
        <f>MAX(S4418:W4418)</f>
        <v>0</v>
      </c>
      <c r="S4418" s="88"/>
      <c r="T4418" s="88"/>
      <c r="U4418" s="88"/>
      <c r="V4418" s="88"/>
      <c r="W4418" s="88"/>
    </row>
    <row r="4419" spans="2:23" s="0" customFormat="0" ht="15">
      <c r="B4419" s="87" t="s">
        <v>1</v>
      </c>
      <c r="C4419" s="88" t="s">
        <v>5259</v>
      </c>
      <c r="D4419" s="88">
        <v>11798507</v>
      </c>
      <c r="E4419" s="88" t="s">
        <v>61</v>
      </c>
      <c r="F4419" s="88">
        <v>0</v>
      </c>
      <c r="G4419" s="78">
        <f>MAX(H4419,I4419,J4419)</f>
        <v>1</v>
      </c>
      <c r="H4419" s="88"/>
      <c r="I4419" s="88"/>
      <c r="J4419" s="78">
        <f>MAX(K4419:Q4419)</f>
        <v>1</v>
      </c>
      <c r="K4419" s="88">
        <v>1</v>
      </c>
      <c r="L4419" s="88"/>
      <c r="M4419" s="88"/>
      <c r="N4419" s="88"/>
      <c r="O4419" s="88"/>
      <c r="P4419" s="88"/>
      <c r="Q4419" s="88"/>
      <c r="R4419" s="78">
        <f>MAX(S4419:W4419)</f>
        <v>0</v>
      </c>
      <c r="S4419" s="88"/>
      <c r="T4419" s="88"/>
      <c r="U4419" s="88"/>
      <c r="V4419" s="88"/>
      <c r="W4419" s="88"/>
    </row>
    <row r="4420" spans="2:23" s="0" customFormat="0" ht="15">
      <c r="B4420" s="87" t="s">
        <v>1</v>
      </c>
      <c r="C4420" s="88" t="s">
        <v>5259</v>
      </c>
      <c r="D4420" s="88" t="s">
        <v>1508</v>
      </c>
      <c r="E4420" s="88" t="s">
        <v>61</v>
      </c>
      <c r="F4420" s="88">
        <v>0</v>
      </c>
      <c r="G4420" s="78">
        <f>MAX(H4420,I4420,J4420)</f>
        <v>1</v>
      </c>
      <c r="H4420" s="88"/>
      <c r="I4420" s="88"/>
      <c r="J4420" s="78">
        <f>MAX(K4420:Q4420)</f>
        <v>1</v>
      </c>
      <c r="K4420" s="88">
        <v>1</v>
      </c>
      <c r="L4420" s="88"/>
      <c r="M4420" s="88"/>
      <c r="N4420" s="88"/>
      <c r="O4420" s="88"/>
      <c r="P4420" s="88"/>
      <c r="Q4420" s="88"/>
      <c r="R4420" s="78">
        <f>MAX(S4420:W4420)</f>
        <v>0</v>
      </c>
      <c r="S4420" s="88"/>
      <c r="T4420" s="88"/>
      <c r="U4420" s="88"/>
      <c r="V4420" s="88"/>
      <c r="W4420" s="88"/>
    </row>
    <row r="4421" spans="2:23" s="0" customFormat="0" ht="15">
      <c r="B4421" s="87" t="s">
        <v>1</v>
      </c>
      <c r="C4421" s="88" t="s">
        <v>5259</v>
      </c>
      <c r="D4421" s="88">
        <v>22211284</v>
      </c>
      <c r="E4421" s="88" t="s">
        <v>61</v>
      </c>
      <c r="F4421" s="88">
        <v>0</v>
      </c>
      <c r="G4421" s="78">
        <f>MAX(H4421,I4421,J4421)</f>
        <v>1</v>
      </c>
      <c r="H4421" s="88"/>
      <c r="I4421" s="88"/>
      <c r="J4421" s="78">
        <f>MAX(K4421:Q4421)</f>
        <v>1</v>
      </c>
      <c r="K4421" s="88">
        <v>1</v>
      </c>
      <c r="L4421" s="88"/>
      <c r="M4421" s="88"/>
      <c r="N4421" s="88"/>
      <c r="O4421" s="88"/>
      <c r="P4421" s="88"/>
      <c r="Q4421" s="88"/>
      <c r="R4421" s="78">
        <f>MAX(S4421:W4421)</f>
        <v>0</v>
      </c>
      <c r="S4421" s="88"/>
      <c r="T4421" s="88"/>
      <c r="U4421" s="88"/>
      <c r="V4421" s="88"/>
      <c r="W4421" s="88"/>
    </row>
    <row r="4422" spans="2:23" s="0" customFormat="0" ht="15">
      <c r="B4422" s="87" t="s">
        <v>1</v>
      </c>
      <c r="C4422" s="88" t="s">
        <v>5259</v>
      </c>
      <c r="D4422" s="88" t="s">
        <v>3382</v>
      </c>
      <c r="E4422" s="88" t="s">
        <v>61</v>
      </c>
      <c r="F4422" s="88">
        <v>0</v>
      </c>
      <c r="G4422" s="78">
        <f>MAX(H4422,I4422,J4422)</f>
        <v>0</v>
      </c>
      <c r="H4422" s="88"/>
      <c r="I4422" s="88"/>
      <c r="J4422" s="78">
        <f>MAX(K4422:Q4422)</f>
        <v>0</v>
      </c>
      <c r="K4422" s="88"/>
      <c r="L4422" s="88"/>
      <c r="M4422" s="88"/>
      <c r="N4422" s="88"/>
      <c r="O4422" s="88"/>
      <c r="P4422" s="88"/>
      <c r="Q4422" s="88"/>
      <c r="R4422" s="78">
        <f>MAX(S4422:W4422)</f>
        <v>1</v>
      </c>
      <c r="S4422" s="88"/>
      <c r="T4422" s="88"/>
      <c r="U4422" s="88">
        <v>1</v>
      </c>
      <c r="V4422" s="88"/>
      <c r="W4422" s="88"/>
    </row>
    <row r="4423" spans="2:23" s="0" customFormat="0" ht="15">
      <c r="B4423" s="87" t="s">
        <v>1</v>
      </c>
      <c r="C4423" s="88" t="s">
        <v>5259</v>
      </c>
      <c r="D4423" s="88">
        <v>14692677</v>
      </c>
      <c r="E4423" s="88" t="s">
        <v>61</v>
      </c>
      <c r="F4423" s="88">
        <v>0</v>
      </c>
      <c r="G4423" s="78">
        <f>MAX(H4423,I4423,J4423)</f>
        <v>1</v>
      </c>
      <c r="H4423" s="88"/>
      <c r="I4423" s="88"/>
      <c r="J4423" s="78">
        <f>MAX(K4423:Q4423)</f>
        <v>1</v>
      </c>
      <c r="K4423" s="88">
        <v>1</v>
      </c>
      <c r="L4423" s="88"/>
      <c r="M4423" s="88"/>
      <c r="N4423" s="88"/>
      <c r="O4423" s="88"/>
      <c r="P4423" s="88"/>
      <c r="Q4423" s="88"/>
      <c r="R4423" s="78">
        <f>MAX(S4423:W4423)</f>
        <v>0</v>
      </c>
      <c r="S4423" s="88"/>
      <c r="T4423" s="88"/>
      <c r="U4423" s="88"/>
      <c r="V4423" s="88"/>
      <c r="W4423" s="88"/>
    </row>
    <row r="4424" spans="2:23" s="0" customFormat="0" ht="15">
      <c r="B4424" s="87" t="s">
        <v>1</v>
      </c>
      <c r="C4424" s="88" t="s">
        <v>5259</v>
      </c>
      <c r="D4424" s="88">
        <v>19647685</v>
      </c>
      <c r="E4424" s="88" t="s">
        <v>61</v>
      </c>
      <c r="F4424" s="88">
        <v>0</v>
      </c>
      <c r="G4424" s="78">
        <f>MAX(H4424,I4424,J4424)</f>
        <v>1</v>
      </c>
      <c r="H4424" s="88"/>
      <c r="I4424" s="88"/>
      <c r="J4424" s="78">
        <f>MAX(K4424:Q4424)</f>
        <v>1</v>
      </c>
      <c r="K4424" s="88">
        <v>1</v>
      </c>
      <c r="L4424" s="88"/>
      <c r="M4424" s="88"/>
      <c r="N4424" s="88"/>
      <c r="O4424" s="88"/>
      <c r="P4424" s="88"/>
      <c r="Q4424" s="88"/>
      <c r="R4424" s="78">
        <f>MAX(S4424:W4424)</f>
        <v>0</v>
      </c>
      <c r="S4424" s="88"/>
      <c r="T4424" s="88"/>
      <c r="U4424" s="88"/>
      <c r="V4424" s="88"/>
      <c r="W4424" s="88"/>
    </row>
    <row r="4425" spans="2:23" s="0" customFormat="0" ht="15">
      <c r="B4425" s="87" t="s">
        <v>1</v>
      </c>
      <c r="C4425" s="88" t="s">
        <v>5259</v>
      </c>
      <c r="D4425" s="88" t="s">
        <v>1956</v>
      </c>
      <c r="E4425" s="88" t="s">
        <v>61</v>
      </c>
      <c r="F4425" s="88">
        <v>0</v>
      </c>
      <c r="G4425" s="78">
        <f>MAX(H4425,I4425,J4425)</f>
        <v>1</v>
      </c>
      <c r="H4425" s="88"/>
      <c r="I4425" s="88"/>
      <c r="J4425" s="78">
        <f>MAX(K4425:Q4425)</f>
        <v>1</v>
      </c>
      <c r="K4425" s="88">
        <v>1</v>
      </c>
      <c r="L4425" s="88"/>
      <c r="M4425" s="88"/>
      <c r="N4425" s="88"/>
      <c r="O4425" s="88"/>
      <c r="P4425" s="88"/>
      <c r="Q4425" s="88"/>
      <c r="R4425" s="78">
        <f>MAX(S4425:W4425)</f>
        <v>0</v>
      </c>
      <c r="S4425" s="88"/>
      <c r="T4425" s="88"/>
      <c r="U4425" s="88"/>
      <c r="V4425" s="88"/>
      <c r="W4425" s="88"/>
    </row>
    <row r="4426" spans="2:23" s="0" customFormat="0" ht="15">
      <c r="B4426" s="87" t="s">
        <v>1</v>
      </c>
      <c r="C4426" s="88" t="s">
        <v>5259</v>
      </c>
      <c r="D4426" s="88" t="s">
        <v>4958</v>
      </c>
      <c r="E4426" s="88" t="s">
        <v>61</v>
      </c>
      <c r="F4426" s="88">
        <v>0</v>
      </c>
      <c r="G4426" s="78">
        <f>MAX(H4426,I4426,J4426)</f>
        <v>0</v>
      </c>
      <c r="H4426" s="88"/>
      <c r="I4426" s="88"/>
      <c r="J4426" s="78">
        <f>MAX(K4426:Q4426)</f>
        <v>0</v>
      </c>
      <c r="K4426" s="88"/>
      <c r="L4426" s="88"/>
      <c r="M4426" s="88"/>
      <c r="N4426" s="88"/>
      <c r="O4426" s="88"/>
      <c r="P4426" s="88"/>
      <c r="Q4426" s="88"/>
      <c r="R4426" s="78">
        <f>MAX(S4426:W4426)</f>
        <v>1</v>
      </c>
      <c r="S4426" s="88"/>
      <c r="T4426" s="88"/>
      <c r="U4426" s="88">
        <v>1</v>
      </c>
      <c r="V4426" s="88"/>
      <c r="W4426" s="88"/>
    </row>
    <row r="4427" spans="2:23" s="0" customFormat="0" ht="15">
      <c r="B4427" s="87" t="s">
        <v>1</v>
      </c>
      <c r="C4427" s="88" t="s">
        <v>5259</v>
      </c>
      <c r="D4427" s="88">
        <v>16973570</v>
      </c>
      <c r="E4427" s="88" t="s">
        <v>61</v>
      </c>
      <c r="F4427" s="88">
        <v>0</v>
      </c>
      <c r="G4427" s="78">
        <f>MAX(H4427,I4427,J4427)</f>
        <v>1</v>
      </c>
      <c r="H4427" s="88"/>
      <c r="I4427" s="88"/>
      <c r="J4427" s="78">
        <f>MAX(K4427:Q4427)</f>
        <v>1</v>
      </c>
      <c r="K4427" s="88">
        <v>1</v>
      </c>
      <c r="L4427" s="88"/>
      <c r="M4427" s="88"/>
      <c r="N4427" s="88"/>
      <c r="O4427" s="88"/>
      <c r="P4427" s="88"/>
      <c r="Q4427" s="88"/>
      <c r="R4427" s="78">
        <f>MAX(S4427:W4427)</f>
        <v>0</v>
      </c>
      <c r="S4427" s="88"/>
      <c r="T4427" s="88"/>
      <c r="U4427" s="88"/>
      <c r="V4427" s="88"/>
      <c r="W4427" s="88"/>
    </row>
    <row r="4428" spans="2:23" s="0" customFormat="0" ht="15">
      <c r="B4428" s="87" t="s">
        <v>1</v>
      </c>
      <c r="C4428" s="88" t="s">
        <v>5259</v>
      </c>
      <c r="D4428" s="88">
        <v>11866824</v>
      </c>
      <c r="E4428" s="88" t="s">
        <v>61</v>
      </c>
      <c r="F4428" s="88">
        <v>0</v>
      </c>
      <c r="G4428" s="78">
        <f>MAX(H4428,I4428,J4428)</f>
        <v>1</v>
      </c>
      <c r="H4428" s="88"/>
      <c r="I4428" s="88"/>
      <c r="J4428" s="78">
        <f>MAX(K4428:Q4428)</f>
        <v>1</v>
      </c>
      <c r="K4428" s="88">
        <v>1</v>
      </c>
      <c r="L4428" s="88"/>
      <c r="M4428" s="88"/>
      <c r="N4428" s="88"/>
      <c r="O4428" s="88"/>
      <c r="P4428" s="88"/>
      <c r="Q4428" s="88"/>
      <c r="R4428" s="78">
        <f>MAX(S4428:W4428)</f>
        <v>0</v>
      </c>
      <c r="S4428" s="88"/>
      <c r="T4428" s="88"/>
      <c r="U4428" s="88"/>
      <c r="V4428" s="88"/>
      <c r="W4428" s="88"/>
    </row>
    <row r="4429" spans="2:23" s="0" customFormat="0" ht="15">
      <c r="B4429" s="87" t="s">
        <v>1</v>
      </c>
      <c r="C4429" s="88" t="s">
        <v>5259</v>
      </c>
      <c r="D4429" s="88" t="s">
        <v>1788</v>
      </c>
      <c r="E4429" s="88" t="s">
        <v>61</v>
      </c>
      <c r="F4429" s="88">
        <v>0</v>
      </c>
      <c r="G4429" s="78">
        <f>MAX(H4429,I4429,J4429)</f>
        <v>1</v>
      </c>
      <c r="H4429" s="88"/>
      <c r="I4429" s="88"/>
      <c r="J4429" s="78">
        <f>MAX(K4429:Q4429)</f>
        <v>1</v>
      </c>
      <c r="K4429" s="88">
        <v>1</v>
      </c>
      <c r="L4429" s="88"/>
      <c r="M4429" s="88"/>
      <c r="N4429" s="88"/>
      <c r="O4429" s="88"/>
      <c r="P4429" s="88"/>
      <c r="Q4429" s="88"/>
      <c r="R4429" s="78">
        <f>MAX(S4429:W4429)</f>
        <v>0</v>
      </c>
      <c r="S4429" s="88"/>
      <c r="T4429" s="88"/>
      <c r="U4429" s="88"/>
      <c r="V4429" s="88"/>
      <c r="W4429" s="88"/>
    </row>
    <row r="4430" spans="2:23" s="0" customFormat="0" ht="15">
      <c r="B4430" s="87" t="s">
        <v>1</v>
      </c>
      <c r="C4430" s="88" t="s">
        <v>5259</v>
      </c>
      <c r="D4430" s="88">
        <v>21045590</v>
      </c>
      <c r="E4430" s="88" t="s">
        <v>61</v>
      </c>
      <c r="F4430" s="88">
        <v>0</v>
      </c>
      <c r="G4430" s="78">
        <f>MAX(H4430,I4430,J4430)</f>
        <v>1</v>
      </c>
      <c r="H4430" s="88"/>
      <c r="I4430" s="88"/>
      <c r="J4430" s="78">
        <f>MAX(K4430:Q4430)</f>
        <v>1</v>
      </c>
      <c r="K4430" s="88">
        <v>1</v>
      </c>
      <c r="L4430" s="88"/>
      <c r="M4430" s="88"/>
      <c r="N4430" s="88"/>
      <c r="O4430" s="88"/>
      <c r="P4430" s="88"/>
      <c r="Q4430" s="88"/>
      <c r="R4430" s="78">
        <f>MAX(S4430:W4430)</f>
        <v>0</v>
      </c>
      <c r="S4430" s="88"/>
      <c r="T4430" s="88"/>
      <c r="U4430" s="88"/>
      <c r="V4430" s="88"/>
      <c r="W4430" s="88"/>
    </row>
    <row r="4431" spans="2:23" s="0" customFormat="0" ht="15">
      <c r="B4431" s="87" t="s">
        <v>1</v>
      </c>
      <c r="C4431" s="88" t="s">
        <v>5259</v>
      </c>
      <c r="D4431" s="88">
        <v>24824154</v>
      </c>
      <c r="E4431" s="88" t="s">
        <v>61</v>
      </c>
      <c r="F4431" s="88">
        <v>0</v>
      </c>
      <c r="G4431" s="78">
        <f>MAX(H4431,I4431,J4431)</f>
        <v>1</v>
      </c>
      <c r="H4431" s="88"/>
      <c r="I4431" s="88"/>
      <c r="J4431" s="78">
        <f>MAX(K4431:Q4431)</f>
        <v>1</v>
      </c>
      <c r="K4431" s="88">
        <v>1</v>
      </c>
      <c r="L4431" s="88"/>
      <c r="M4431" s="88"/>
      <c r="N4431" s="88"/>
      <c r="O4431" s="88"/>
      <c r="P4431" s="88"/>
      <c r="Q4431" s="88"/>
      <c r="R4431" s="78">
        <f>MAX(S4431:W4431)</f>
        <v>0</v>
      </c>
      <c r="S4431" s="88"/>
      <c r="T4431" s="88"/>
      <c r="U4431" s="88"/>
      <c r="V4431" s="88"/>
      <c r="W4431" s="88"/>
    </row>
    <row r="4432" spans="2:23" s="0" customFormat="0" ht="15">
      <c r="B4432" s="87" t="s">
        <v>1</v>
      </c>
      <c r="C4432" s="88" t="s">
        <v>5259</v>
      </c>
      <c r="D4432" s="88">
        <v>17246494</v>
      </c>
      <c r="E4432" s="88" t="s">
        <v>61</v>
      </c>
      <c r="F4432" s="88">
        <v>0</v>
      </c>
      <c r="G4432" s="78">
        <f>MAX(H4432,I4432,J4432)</f>
        <v>1</v>
      </c>
      <c r="H4432" s="88"/>
      <c r="I4432" s="88"/>
      <c r="J4432" s="78">
        <f>MAX(K4432:Q4432)</f>
        <v>1</v>
      </c>
      <c r="K4432" s="88">
        <v>1</v>
      </c>
      <c r="L4432" s="88"/>
      <c r="M4432" s="88"/>
      <c r="N4432" s="88"/>
      <c r="O4432" s="88"/>
      <c r="P4432" s="88"/>
      <c r="Q4432" s="88"/>
      <c r="R4432" s="78">
        <f>MAX(S4432:W4432)</f>
        <v>0</v>
      </c>
      <c r="S4432" s="88"/>
      <c r="T4432" s="88"/>
      <c r="U4432" s="88"/>
      <c r="V4432" s="88"/>
      <c r="W4432" s="88"/>
    </row>
    <row r="4433" spans="2:23" s="0" customFormat="0" ht="15">
      <c r="B4433" s="87" t="s">
        <v>1</v>
      </c>
      <c r="C4433" s="88" t="s">
        <v>5259</v>
      </c>
      <c r="D4433" s="88">
        <v>22623660</v>
      </c>
      <c r="E4433" s="88" t="s">
        <v>61</v>
      </c>
      <c r="F4433" s="88">
        <v>0</v>
      </c>
      <c r="G4433" s="78">
        <f>MAX(H4433,I4433,J4433)</f>
        <v>0</v>
      </c>
      <c r="H4433" s="88"/>
      <c r="I4433" s="88"/>
      <c r="J4433" s="78">
        <f>MAX(K4433:Q4433)</f>
        <v>0</v>
      </c>
      <c r="K4433" s="88"/>
      <c r="L4433" s="88"/>
      <c r="M4433" s="88"/>
      <c r="N4433" s="88"/>
      <c r="O4433" s="88"/>
      <c r="P4433" s="88"/>
      <c r="Q4433" s="88"/>
      <c r="R4433" s="78">
        <f>MAX(S4433:W4433)</f>
        <v>1</v>
      </c>
      <c r="S4433" s="88"/>
      <c r="T4433" s="88"/>
      <c r="U4433" s="88">
        <v>1</v>
      </c>
      <c r="V4433" s="88"/>
      <c r="W4433" s="88"/>
    </row>
    <row r="4434" spans="2:23" s="0" customFormat="0" ht="15">
      <c r="B4434" s="87" t="s">
        <v>1</v>
      </c>
      <c r="C4434" s="88" t="s">
        <v>5259</v>
      </c>
      <c r="D4434" s="88">
        <v>20579161</v>
      </c>
      <c r="E4434" s="88" t="s">
        <v>61</v>
      </c>
      <c r="F4434" s="88">
        <v>0</v>
      </c>
      <c r="G4434" s="78">
        <f>MAX(H4434,I4434,J4434)</f>
        <v>1</v>
      </c>
      <c r="H4434" s="88"/>
      <c r="I4434" s="88"/>
      <c r="J4434" s="78">
        <f>MAX(K4434:Q4434)</f>
        <v>1</v>
      </c>
      <c r="K4434" s="88">
        <v>1</v>
      </c>
      <c r="L4434" s="88"/>
      <c r="M4434" s="88"/>
      <c r="N4434" s="88"/>
      <c r="O4434" s="88"/>
      <c r="P4434" s="88"/>
      <c r="Q4434" s="88"/>
      <c r="R4434" s="78">
        <f>MAX(S4434:W4434)</f>
        <v>0</v>
      </c>
      <c r="S4434" s="88"/>
      <c r="T4434" s="88"/>
      <c r="U4434" s="88"/>
      <c r="V4434" s="88"/>
      <c r="W4434" s="88"/>
    </row>
    <row r="4435" spans="2:23" s="0" customFormat="0" ht="15">
      <c r="B4435" s="87" t="s">
        <v>1</v>
      </c>
      <c r="C4435" s="88" t="s">
        <v>5259</v>
      </c>
      <c r="D4435" s="88" t="s">
        <v>4961</v>
      </c>
      <c r="E4435" s="88" t="s">
        <v>61</v>
      </c>
      <c r="F4435" s="88">
        <v>0</v>
      </c>
      <c r="G4435" s="78">
        <f>MAX(H4435,I4435,J4435)</f>
        <v>0</v>
      </c>
      <c r="H4435" s="88"/>
      <c r="I4435" s="88"/>
      <c r="J4435" s="78">
        <f>MAX(K4435:Q4435)</f>
        <v>0</v>
      </c>
      <c r="K4435" s="88"/>
      <c r="L4435" s="88"/>
      <c r="M4435" s="88"/>
      <c r="N4435" s="88"/>
      <c r="O4435" s="88"/>
      <c r="P4435" s="88"/>
      <c r="Q4435" s="88"/>
      <c r="R4435" s="78">
        <f>MAX(S4435:W4435)</f>
        <v>1</v>
      </c>
      <c r="S4435" s="88"/>
      <c r="T4435" s="88"/>
      <c r="U4435" s="88">
        <v>1</v>
      </c>
      <c r="V4435" s="88"/>
      <c r="W4435" s="88"/>
    </row>
    <row r="4436" spans="2:23" s="0" customFormat="0" ht="15">
      <c r="B4436" s="87" t="s">
        <v>1</v>
      </c>
      <c r="C4436" s="88" t="s">
        <v>5259</v>
      </c>
      <c r="D4436" s="88" t="s">
        <v>4811</v>
      </c>
      <c r="E4436" s="88" t="s">
        <v>61</v>
      </c>
      <c r="F4436" s="88">
        <v>0</v>
      </c>
      <c r="G4436" s="78">
        <f>MAX(H4436,I4436,J4436)</f>
        <v>0</v>
      </c>
      <c r="H4436" s="88"/>
      <c r="I4436" s="88"/>
      <c r="J4436" s="78">
        <f>MAX(K4436:Q4436)</f>
        <v>0</v>
      </c>
      <c r="K4436" s="88"/>
      <c r="L4436" s="88"/>
      <c r="M4436" s="88"/>
      <c r="N4436" s="88"/>
      <c r="O4436" s="88"/>
      <c r="P4436" s="88"/>
      <c r="Q4436" s="88"/>
      <c r="R4436" s="78">
        <f>MAX(S4436:W4436)</f>
        <v>1</v>
      </c>
      <c r="S4436" s="88"/>
      <c r="T4436" s="88"/>
      <c r="U4436" s="88">
        <v>1</v>
      </c>
      <c r="V4436" s="88"/>
      <c r="W4436" s="88"/>
    </row>
    <row r="4437" spans="2:23" s="0" customFormat="0" ht="15">
      <c r="B4437" s="87" t="s">
        <v>1</v>
      </c>
      <c r="C4437" s="88" t="s">
        <v>5259</v>
      </c>
      <c r="D4437" s="88" t="s">
        <v>4963</v>
      </c>
      <c r="E4437" s="88" t="s">
        <v>61</v>
      </c>
      <c r="F4437" s="88">
        <v>0</v>
      </c>
      <c r="G4437" s="78">
        <f>MAX(H4437,I4437,J4437)</f>
        <v>0</v>
      </c>
      <c r="H4437" s="88"/>
      <c r="I4437" s="88"/>
      <c r="J4437" s="78">
        <f>MAX(K4437:Q4437)</f>
        <v>0</v>
      </c>
      <c r="K4437" s="88"/>
      <c r="L4437" s="88"/>
      <c r="M4437" s="88"/>
      <c r="N4437" s="88"/>
      <c r="O4437" s="88"/>
      <c r="P4437" s="88"/>
      <c r="Q4437" s="88"/>
      <c r="R4437" s="78">
        <f>MAX(S4437:W4437)</f>
        <v>1</v>
      </c>
      <c r="S4437" s="88"/>
      <c r="T4437" s="88"/>
      <c r="U4437" s="88">
        <v>1</v>
      </c>
      <c r="V4437" s="88"/>
      <c r="W4437" s="88"/>
    </row>
    <row r="4438" spans="2:23" s="0" customFormat="0" ht="15">
      <c r="B4438" s="87" t="s">
        <v>1</v>
      </c>
      <c r="C4438" s="88" t="s">
        <v>5259</v>
      </c>
      <c r="D4438" s="88" t="s">
        <v>4965</v>
      </c>
      <c r="E4438" s="88" t="s">
        <v>61</v>
      </c>
      <c r="F4438" s="88">
        <v>0</v>
      </c>
      <c r="G4438" s="78">
        <f>MAX(H4438,I4438,J4438)</f>
        <v>0</v>
      </c>
      <c r="H4438" s="88"/>
      <c r="I4438" s="88"/>
      <c r="J4438" s="78">
        <f>MAX(K4438:Q4438)</f>
        <v>0</v>
      </c>
      <c r="K4438" s="88"/>
      <c r="L4438" s="88"/>
      <c r="M4438" s="88"/>
      <c r="N4438" s="88"/>
      <c r="O4438" s="88"/>
      <c r="P4438" s="88"/>
      <c r="Q4438" s="88"/>
      <c r="R4438" s="78">
        <f>MAX(S4438:W4438)</f>
        <v>1</v>
      </c>
      <c r="S4438" s="88"/>
      <c r="T4438" s="88"/>
      <c r="U4438" s="88">
        <v>1</v>
      </c>
      <c r="V4438" s="88"/>
      <c r="W4438" s="88"/>
    </row>
    <row r="4439" spans="2:23" s="0" customFormat="0" ht="15">
      <c r="B4439" s="87" t="s">
        <v>1</v>
      </c>
      <c r="C4439" s="88" t="s">
        <v>5259</v>
      </c>
      <c r="D4439" s="88" t="s">
        <v>232</v>
      </c>
      <c r="E4439" s="88" t="s">
        <v>61</v>
      </c>
      <c r="F4439" s="88">
        <v>0</v>
      </c>
      <c r="G4439" s="78">
        <f>MAX(H4439,I4439,J4439)</f>
        <v>1</v>
      </c>
      <c r="H4439" s="88"/>
      <c r="I4439" s="88"/>
      <c r="J4439" s="78">
        <f>MAX(K4439:Q4439)</f>
        <v>1</v>
      </c>
      <c r="K4439" s="88">
        <v>1</v>
      </c>
      <c r="L4439" s="88"/>
      <c r="M4439" s="88"/>
      <c r="N4439" s="88"/>
      <c r="O4439" s="88"/>
      <c r="P4439" s="88"/>
      <c r="Q4439" s="88"/>
      <c r="R4439" s="78">
        <f>MAX(S4439:W4439)</f>
        <v>0</v>
      </c>
      <c r="S4439" s="88"/>
      <c r="T4439" s="88"/>
      <c r="U4439" s="88"/>
      <c r="V4439" s="88"/>
      <c r="W4439" s="88"/>
    </row>
    <row r="4440" spans="2:23" s="0" customFormat="0" ht="15">
      <c r="B4440" s="87" t="s">
        <v>1</v>
      </c>
      <c r="C4440" s="88" t="s">
        <v>5259</v>
      </c>
      <c r="D4440" s="88" t="s">
        <v>4217</v>
      </c>
      <c r="E4440" s="88" t="s">
        <v>61</v>
      </c>
      <c r="F4440" s="88">
        <v>0</v>
      </c>
      <c r="G4440" s="78">
        <f>MAX(H4440,I4440,J4440)</f>
        <v>0</v>
      </c>
      <c r="H4440" s="88"/>
      <c r="I4440" s="88"/>
      <c r="J4440" s="78">
        <f>MAX(K4440:Q4440)</f>
        <v>0</v>
      </c>
      <c r="K4440" s="88"/>
      <c r="L4440" s="88"/>
      <c r="M4440" s="88"/>
      <c r="N4440" s="88"/>
      <c r="O4440" s="88"/>
      <c r="P4440" s="88"/>
      <c r="Q4440" s="88"/>
      <c r="R4440" s="78">
        <f>MAX(S4440:W4440)</f>
        <v>1</v>
      </c>
      <c r="S4440" s="88"/>
      <c r="T4440" s="88"/>
      <c r="U4440" s="88">
        <v>1</v>
      </c>
      <c r="V4440" s="88"/>
      <c r="W4440" s="88"/>
    </row>
    <row r="4441" spans="2:23" s="0" customFormat="0" ht="15">
      <c r="B4441" s="87" t="s">
        <v>1</v>
      </c>
      <c r="C4441" s="88" t="s">
        <v>5259</v>
      </c>
      <c r="D4441" s="88" t="s">
        <v>3805</v>
      </c>
      <c r="E4441" s="88" t="s">
        <v>61</v>
      </c>
      <c r="F4441" s="88">
        <v>0</v>
      </c>
      <c r="G4441" s="78">
        <f>MAX(H4441,I4441,J4441)</f>
        <v>0</v>
      </c>
      <c r="H4441" s="88"/>
      <c r="I4441" s="88"/>
      <c r="J4441" s="78">
        <f>MAX(K4441:Q4441)</f>
        <v>0</v>
      </c>
      <c r="K4441" s="88"/>
      <c r="L4441" s="88"/>
      <c r="M4441" s="88"/>
      <c r="N4441" s="88"/>
      <c r="O4441" s="88"/>
      <c r="P4441" s="88"/>
      <c r="Q4441" s="88"/>
      <c r="R4441" s="78">
        <f>MAX(S4441:W4441)</f>
        <v>1</v>
      </c>
      <c r="S4441" s="88"/>
      <c r="T4441" s="88"/>
      <c r="U4441" s="88">
        <v>1</v>
      </c>
      <c r="V4441" s="88"/>
      <c r="W4441" s="88"/>
    </row>
    <row r="4442" spans="2:23" s="0" customFormat="0" ht="15">
      <c r="B4442" s="87" t="s">
        <v>1</v>
      </c>
      <c r="C4442" s="88" t="s">
        <v>5259</v>
      </c>
      <c r="D4442" s="88">
        <v>17468382</v>
      </c>
      <c r="E4442" s="88" t="s">
        <v>61</v>
      </c>
      <c r="F4442" s="88">
        <v>0</v>
      </c>
      <c r="G4442" s="78">
        <f>MAX(H4442,I4442,J4442)</f>
        <v>1</v>
      </c>
      <c r="H4442" s="88"/>
      <c r="I4442" s="88"/>
      <c r="J4442" s="78">
        <f>MAX(K4442:Q4442)</f>
        <v>1</v>
      </c>
      <c r="K4442" s="88">
        <v>1</v>
      </c>
      <c r="L4442" s="88"/>
      <c r="M4442" s="88"/>
      <c r="N4442" s="88"/>
      <c r="O4442" s="88"/>
      <c r="P4442" s="88"/>
      <c r="Q4442" s="88"/>
      <c r="R4442" s="78">
        <f>MAX(S4442:W4442)</f>
        <v>0</v>
      </c>
      <c r="S4442" s="88"/>
      <c r="T4442" s="88"/>
      <c r="U4442" s="88"/>
      <c r="V4442" s="88"/>
      <c r="W4442" s="88"/>
    </row>
    <row r="4443" spans="2:23" s="0" customFormat="0" ht="15">
      <c r="B4443" s="87" t="s">
        <v>1</v>
      </c>
      <c r="C4443" s="88" t="s">
        <v>5259</v>
      </c>
      <c r="D4443" s="88" t="s">
        <v>4807</v>
      </c>
      <c r="E4443" s="88" t="s">
        <v>61</v>
      </c>
      <c r="F4443" s="88">
        <v>0</v>
      </c>
      <c r="G4443" s="78">
        <f>MAX(H4443,I4443,J4443)</f>
        <v>0</v>
      </c>
      <c r="H4443" s="88"/>
      <c r="I4443" s="88"/>
      <c r="J4443" s="78">
        <f>MAX(K4443:Q4443)</f>
        <v>0</v>
      </c>
      <c r="K4443" s="88"/>
      <c r="L4443" s="88"/>
      <c r="M4443" s="88"/>
      <c r="N4443" s="88"/>
      <c r="O4443" s="88"/>
      <c r="P4443" s="88"/>
      <c r="Q4443" s="88"/>
      <c r="R4443" s="78">
        <f>MAX(S4443:W4443)</f>
        <v>1</v>
      </c>
      <c r="S4443" s="88"/>
      <c r="T4443" s="88"/>
      <c r="U4443" s="88">
        <v>1</v>
      </c>
      <c r="V4443" s="88"/>
      <c r="W4443" s="88"/>
    </row>
    <row r="4444" spans="2:23" s="0" customFormat="0" ht="15">
      <c r="B4444" s="87" t="s">
        <v>1</v>
      </c>
      <c r="C4444" s="88" t="s">
        <v>5259</v>
      </c>
      <c r="D4444" s="88">
        <v>21236159</v>
      </c>
      <c r="E4444" s="88" t="s">
        <v>61</v>
      </c>
      <c r="F4444" s="88">
        <v>0</v>
      </c>
      <c r="G4444" s="78">
        <f>MAX(H4444,I4444,J4444)</f>
        <v>1</v>
      </c>
      <c r="H4444" s="88"/>
      <c r="I4444" s="88"/>
      <c r="J4444" s="78">
        <f>MAX(K4444:Q4444)</f>
        <v>1</v>
      </c>
      <c r="K4444" s="88">
        <v>1</v>
      </c>
      <c r="L4444" s="88"/>
      <c r="M4444" s="88"/>
      <c r="N4444" s="88"/>
      <c r="O4444" s="88"/>
      <c r="P4444" s="88"/>
      <c r="Q4444" s="88"/>
      <c r="R4444" s="78">
        <f>MAX(S4444:W4444)</f>
        <v>0</v>
      </c>
      <c r="S4444" s="88"/>
      <c r="T4444" s="88"/>
      <c r="U4444" s="88"/>
      <c r="V4444" s="88"/>
      <c r="W4444" s="88"/>
    </row>
    <row r="4445" spans="2:23" s="0" customFormat="0" ht="15">
      <c r="B4445" s="87" t="s">
        <v>1</v>
      </c>
      <c r="C4445" s="88" t="s">
        <v>5259</v>
      </c>
      <c r="D4445" s="88" t="s">
        <v>3773</v>
      </c>
      <c r="E4445" s="88" t="s">
        <v>61</v>
      </c>
      <c r="F4445" s="88">
        <v>0</v>
      </c>
      <c r="G4445" s="78">
        <f>MAX(H4445,I4445,J4445)</f>
        <v>0</v>
      </c>
      <c r="H4445" s="88"/>
      <c r="I4445" s="88"/>
      <c r="J4445" s="78">
        <f>MAX(K4445:Q4445)</f>
        <v>0</v>
      </c>
      <c r="K4445" s="88"/>
      <c r="L4445" s="88"/>
      <c r="M4445" s="88"/>
      <c r="N4445" s="88"/>
      <c r="O4445" s="88"/>
      <c r="P4445" s="88"/>
      <c r="Q4445" s="88"/>
      <c r="R4445" s="78">
        <f>MAX(S4445:W4445)</f>
        <v>1</v>
      </c>
      <c r="S4445" s="88"/>
      <c r="T4445" s="88"/>
      <c r="U4445" s="88">
        <v>1</v>
      </c>
      <c r="V4445" s="88"/>
      <c r="W4445" s="88"/>
    </row>
    <row r="4446" spans="2:23" s="0" customFormat="0" ht="15">
      <c r="B4446" s="87" t="s">
        <v>1</v>
      </c>
      <c r="C4446" s="88" t="s">
        <v>5259</v>
      </c>
      <c r="D4446" s="88">
        <v>23207412</v>
      </c>
      <c r="E4446" s="88" t="s">
        <v>61</v>
      </c>
      <c r="F4446" s="88">
        <v>0</v>
      </c>
      <c r="G4446" s="78">
        <f>MAX(H4446,I4446,J4446)</f>
        <v>1</v>
      </c>
      <c r="H4446" s="88"/>
      <c r="I4446" s="88"/>
      <c r="J4446" s="78">
        <f>MAX(K4446:Q4446)</f>
        <v>1</v>
      </c>
      <c r="K4446" s="88">
        <v>1</v>
      </c>
      <c r="L4446" s="88"/>
      <c r="M4446" s="88"/>
      <c r="N4446" s="88"/>
      <c r="O4446" s="88"/>
      <c r="P4446" s="88"/>
      <c r="Q4446" s="88"/>
      <c r="R4446" s="78">
        <f>MAX(S4446:W4446)</f>
        <v>0</v>
      </c>
      <c r="S4446" s="88"/>
      <c r="T4446" s="88"/>
      <c r="U4446" s="88"/>
      <c r="V4446" s="88"/>
      <c r="W4446" s="88"/>
    </row>
    <row r="4447" spans="2:23" s="0" customFormat="0" ht="15">
      <c r="B4447" s="87" t="s">
        <v>1</v>
      </c>
      <c r="C4447" s="88" t="s">
        <v>5259</v>
      </c>
      <c r="D4447" s="88">
        <v>13303727</v>
      </c>
      <c r="E4447" s="88" t="s">
        <v>61</v>
      </c>
      <c r="F4447" s="88">
        <v>0</v>
      </c>
      <c r="G4447" s="78">
        <f>MAX(H4447,I4447,J4447)</f>
        <v>1</v>
      </c>
      <c r="H4447" s="88"/>
      <c r="I4447" s="88"/>
      <c r="J4447" s="78">
        <f>MAX(K4447:Q4447)</f>
        <v>1</v>
      </c>
      <c r="K4447" s="88">
        <v>1</v>
      </c>
      <c r="L4447" s="88"/>
      <c r="M4447" s="88"/>
      <c r="N4447" s="88"/>
      <c r="O4447" s="88"/>
      <c r="P4447" s="88"/>
      <c r="Q4447" s="88"/>
      <c r="R4447" s="78">
        <f>MAX(S4447:W4447)</f>
        <v>0</v>
      </c>
      <c r="S4447" s="88"/>
      <c r="T4447" s="88"/>
      <c r="U4447" s="88"/>
      <c r="V4447" s="88"/>
      <c r="W4447" s="88"/>
    </row>
    <row r="4448" spans="2:23" s="0" customFormat="0" ht="15">
      <c r="B4448" s="87" t="s">
        <v>1</v>
      </c>
      <c r="C4448" s="88" t="s">
        <v>5259</v>
      </c>
      <c r="D4448" s="88" t="s">
        <v>4506</v>
      </c>
      <c r="E4448" s="88" t="s">
        <v>61</v>
      </c>
      <c r="F4448" s="88">
        <v>0</v>
      </c>
      <c r="G4448" s="78">
        <f>MAX(H4448,I4448,J4448)</f>
        <v>0</v>
      </c>
      <c r="H4448" s="88"/>
      <c r="I4448" s="88"/>
      <c r="J4448" s="78">
        <f>MAX(K4448:Q4448)</f>
        <v>0</v>
      </c>
      <c r="K4448" s="88"/>
      <c r="L4448" s="88"/>
      <c r="M4448" s="88"/>
      <c r="N4448" s="88"/>
      <c r="O4448" s="88"/>
      <c r="P4448" s="88"/>
      <c r="Q4448" s="88"/>
      <c r="R4448" s="78">
        <f>MAX(S4448:W4448)</f>
        <v>1</v>
      </c>
      <c r="S4448" s="88"/>
      <c r="T4448" s="88"/>
      <c r="U4448" s="88">
        <v>1</v>
      </c>
      <c r="V4448" s="88"/>
      <c r="W4448" s="88"/>
    </row>
    <row r="4449" spans="2:23" s="0" customFormat="0" ht="15">
      <c r="B4449" s="87" t="s">
        <v>1</v>
      </c>
      <c r="C4449" s="88" t="s">
        <v>5259</v>
      </c>
      <c r="D4449" s="88" t="s">
        <v>919</v>
      </c>
      <c r="E4449" s="88" t="s">
        <v>61</v>
      </c>
      <c r="F4449" s="88">
        <v>0</v>
      </c>
      <c r="G4449" s="78">
        <f>MAX(H4449,I4449,J4449)</f>
        <v>1</v>
      </c>
      <c r="H4449" s="88"/>
      <c r="I4449" s="88"/>
      <c r="J4449" s="78">
        <f>MAX(K4449:Q4449)</f>
        <v>1</v>
      </c>
      <c r="K4449" s="88">
        <v>1</v>
      </c>
      <c r="L4449" s="88"/>
      <c r="M4449" s="88"/>
      <c r="N4449" s="88"/>
      <c r="O4449" s="88"/>
      <c r="P4449" s="88"/>
      <c r="Q4449" s="88"/>
      <c r="R4449" s="78">
        <f>MAX(S4449:W4449)</f>
        <v>0</v>
      </c>
      <c r="S4449" s="88"/>
      <c r="T4449" s="88"/>
      <c r="U4449" s="88"/>
      <c r="V4449" s="88"/>
      <c r="W4449" s="88"/>
    </row>
    <row r="4450" spans="2:23" s="0" customFormat="0" ht="15">
      <c r="B4450" s="87" t="s">
        <v>1</v>
      </c>
      <c r="C4450" s="88" t="s">
        <v>5259</v>
      </c>
      <c r="D4450" s="88">
        <v>19714580</v>
      </c>
      <c r="E4450" s="88" t="s">
        <v>61</v>
      </c>
      <c r="F4450" s="88">
        <v>0</v>
      </c>
      <c r="G4450" s="78">
        <f>MAX(H4450,I4450,J4450)</f>
        <v>1</v>
      </c>
      <c r="H4450" s="88"/>
      <c r="I4450" s="88"/>
      <c r="J4450" s="78">
        <f>MAX(K4450:Q4450)</f>
        <v>1</v>
      </c>
      <c r="K4450" s="88"/>
      <c r="L4450" s="88"/>
      <c r="M4450" s="88"/>
      <c r="N4450" s="88"/>
      <c r="O4450" s="88">
        <v>1</v>
      </c>
      <c r="P4450" s="88"/>
      <c r="Q4450" s="88"/>
      <c r="R4450" s="78">
        <f>MAX(S4450:W4450)</f>
        <v>0</v>
      </c>
      <c r="S4450" s="88"/>
      <c r="T4450" s="88"/>
      <c r="U4450" s="88"/>
      <c r="V4450" s="88"/>
      <c r="W4450" s="88"/>
    </row>
    <row r="4451" spans="2:23" s="0" customFormat="0" ht="15">
      <c r="B4451" s="87" t="s">
        <v>1</v>
      </c>
      <c r="C4451" s="88" t="s">
        <v>5259</v>
      </c>
      <c r="D4451" s="88" t="s">
        <v>2235</v>
      </c>
      <c r="E4451" s="88" t="s">
        <v>61</v>
      </c>
      <c r="F4451" s="88">
        <v>0</v>
      </c>
      <c r="G4451" s="78">
        <f>MAX(H4451,I4451,J4451)</f>
        <v>1</v>
      </c>
      <c r="H4451" s="88"/>
      <c r="I4451" s="88"/>
      <c r="J4451" s="78">
        <f>MAX(K4451:Q4451)</f>
        <v>1</v>
      </c>
      <c r="K4451" s="88">
        <v>1</v>
      </c>
      <c r="L4451" s="88"/>
      <c r="M4451" s="88"/>
      <c r="N4451" s="88"/>
      <c r="O4451" s="88"/>
      <c r="P4451" s="88"/>
      <c r="Q4451" s="88"/>
      <c r="R4451" s="78">
        <f>MAX(S4451:W4451)</f>
        <v>0</v>
      </c>
      <c r="S4451" s="88"/>
      <c r="T4451" s="88"/>
      <c r="U4451" s="88"/>
      <c r="V4451" s="88"/>
      <c r="W4451" s="88"/>
    </row>
    <row r="4452" spans="2:23" s="0" customFormat="0" ht="15">
      <c r="B4452" s="87" t="s">
        <v>1</v>
      </c>
      <c r="C4452" s="88" t="s">
        <v>5259</v>
      </c>
      <c r="D4452" s="88" t="s">
        <v>2119</v>
      </c>
      <c r="E4452" s="88" t="s">
        <v>61</v>
      </c>
      <c r="F4452" s="88">
        <v>0</v>
      </c>
      <c r="G4452" s="78">
        <f>MAX(H4452,I4452,J4452)</f>
        <v>1</v>
      </c>
      <c r="H4452" s="88"/>
      <c r="I4452" s="88"/>
      <c r="J4452" s="78">
        <f>MAX(K4452:Q4452)</f>
        <v>1</v>
      </c>
      <c r="K4452" s="88">
        <v>1</v>
      </c>
      <c r="L4452" s="88"/>
      <c r="M4452" s="88"/>
      <c r="N4452" s="88"/>
      <c r="O4452" s="88"/>
      <c r="P4452" s="88"/>
      <c r="Q4452" s="88"/>
      <c r="R4452" s="78">
        <f>MAX(S4452:W4452)</f>
        <v>0</v>
      </c>
      <c r="S4452" s="88"/>
      <c r="T4452" s="88"/>
      <c r="U4452" s="88"/>
      <c r="V4452" s="88"/>
      <c r="W4452" s="88"/>
    </row>
    <row r="4453" spans="2:23" s="0" customFormat="0" ht="15">
      <c r="B4453" s="87" t="s">
        <v>1</v>
      </c>
      <c r="C4453" s="88" t="s">
        <v>5259</v>
      </c>
      <c r="D4453" s="88">
        <v>24190973</v>
      </c>
      <c r="E4453" s="88" t="s">
        <v>61</v>
      </c>
      <c r="F4453" s="88">
        <v>0</v>
      </c>
      <c r="G4453" s="78">
        <f>MAX(H4453,I4453,J4453)</f>
        <v>1</v>
      </c>
      <c r="H4453" s="88"/>
      <c r="I4453" s="88"/>
      <c r="J4453" s="78">
        <f>MAX(K4453:Q4453)</f>
        <v>1</v>
      </c>
      <c r="K4453" s="88">
        <v>1</v>
      </c>
      <c r="L4453" s="88"/>
      <c r="M4453" s="88"/>
      <c r="N4453" s="88"/>
      <c r="O4453" s="88"/>
      <c r="P4453" s="88"/>
      <c r="Q4453" s="88"/>
      <c r="R4453" s="78">
        <f>MAX(S4453:W4453)</f>
        <v>0</v>
      </c>
      <c r="S4453" s="88"/>
      <c r="T4453" s="88"/>
      <c r="U4453" s="88"/>
      <c r="V4453" s="88"/>
      <c r="W4453" s="88"/>
    </row>
    <row r="4454" spans="2:23" s="0" customFormat="0" ht="15">
      <c r="B4454" s="87" t="s">
        <v>1</v>
      </c>
      <c r="C4454" s="88" t="s">
        <v>5259</v>
      </c>
      <c r="D4454" s="88" t="s">
        <v>2591</v>
      </c>
      <c r="E4454" s="88" t="s">
        <v>61</v>
      </c>
      <c r="F4454" s="88">
        <v>0</v>
      </c>
      <c r="G4454" s="78">
        <f>MAX(H4454,I4454,J4454)</f>
        <v>1</v>
      </c>
      <c r="H4454" s="88"/>
      <c r="I4454" s="88"/>
      <c r="J4454" s="78">
        <f>MAX(K4454:Q4454)</f>
        <v>1</v>
      </c>
      <c r="K4454" s="88">
        <v>1</v>
      </c>
      <c r="L4454" s="88"/>
      <c r="M4454" s="88"/>
      <c r="N4454" s="88"/>
      <c r="O4454" s="88"/>
      <c r="P4454" s="88"/>
      <c r="Q4454" s="88"/>
      <c r="R4454" s="78">
        <f>MAX(S4454:W4454)</f>
        <v>0</v>
      </c>
      <c r="S4454" s="88"/>
      <c r="T4454" s="88"/>
      <c r="U4454" s="88"/>
      <c r="V4454" s="88"/>
      <c r="W4454" s="88"/>
    </row>
    <row r="4455" spans="2:23" s="0" customFormat="0" ht="15">
      <c r="B4455" s="87" t="s">
        <v>1</v>
      </c>
      <c r="C4455" s="88" t="s">
        <v>5259</v>
      </c>
      <c r="D4455" s="88">
        <v>16974053</v>
      </c>
      <c r="E4455" s="88" t="s">
        <v>61</v>
      </c>
      <c r="F4455" s="88">
        <v>0</v>
      </c>
      <c r="G4455" s="78">
        <f>MAX(H4455,I4455,J4455)</f>
        <v>0</v>
      </c>
      <c r="H4455" s="88"/>
      <c r="I4455" s="88"/>
      <c r="J4455" s="78">
        <f>MAX(K4455:Q4455)</f>
        <v>0</v>
      </c>
      <c r="K4455" s="88"/>
      <c r="L4455" s="88"/>
      <c r="M4455" s="88"/>
      <c r="N4455" s="88"/>
      <c r="O4455" s="88"/>
      <c r="P4455" s="88"/>
      <c r="Q4455" s="88"/>
      <c r="R4455" s="78">
        <f>MAX(S4455:W4455)</f>
        <v>1</v>
      </c>
      <c r="S4455" s="88"/>
      <c r="T4455" s="88"/>
      <c r="U4455" s="88">
        <v>1</v>
      </c>
      <c r="V4455" s="88"/>
      <c r="W4455" s="88"/>
    </row>
    <row r="4456" spans="2:23" s="0" customFormat="0" ht="15">
      <c r="B4456" s="87" t="s">
        <v>1</v>
      </c>
      <c r="C4456" s="88" t="s">
        <v>5259</v>
      </c>
      <c r="D4456" s="88">
        <v>19743068</v>
      </c>
      <c r="E4456" s="88" t="s">
        <v>61</v>
      </c>
      <c r="F4456" s="88">
        <v>0</v>
      </c>
      <c r="G4456" s="78">
        <f>MAX(H4456,I4456,J4456)</f>
        <v>1</v>
      </c>
      <c r="H4456" s="88"/>
      <c r="I4456" s="88"/>
      <c r="J4456" s="78">
        <f>MAX(K4456:Q4456)</f>
        <v>1</v>
      </c>
      <c r="K4456" s="88">
        <v>1</v>
      </c>
      <c r="L4456" s="88"/>
      <c r="M4456" s="88"/>
      <c r="N4456" s="88"/>
      <c r="O4456" s="88"/>
      <c r="P4456" s="88"/>
      <c r="Q4456" s="88"/>
      <c r="R4456" s="78">
        <f>MAX(S4456:W4456)</f>
        <v>0</v>
      </c>
      <c r="S4456" s="88"/>
      <c r="T4456" s="88"/>
      <c r="U4456" s="88"/>
      <c r="V4456" s="88"/>
      <c r="W4456" s="88"/>
    </row>
    <row r="4457" spans="2:23" s="0" customFormat="0" ht="15">
      <c r="B4457" s="87" t="s">
        <v>1</v>
      </c>
      <c r="C4457" s="88" t="s">
        <v>5259</v>
      </c>
      <c r="D4457" s="88">
        <v>18594112</v>
      </c>
      <c r="E4457" s="88" t="s">
        <v>61</v>
      </c>
      <c r="F4457" s="88">
        <v>0</v>
      </c>
      <c r="G4457" s="78">
        <f>MAX(H4457,I4457,J4457)</f>
        <v>1</v>
      </c>
      <c r="H4457" s="88"/>
      <c r="I4457" s="88"/>
      <c r="J4457" s="78">
        <f>MAX(K4457:Q4457)</f>
        <v>1</v>
      </c>
      <c r="K4457" s="88">
        <v>1</v>
      </c>
      <c r="L4457" s="88"/>
      <c r="M4457" s="88"/>
      <c r="N4457" s="88"/>
      <c r="O4457" s="88"/>
      <c r="P4457" s="88"/>
      <c r="Q4457" s="88"/>
      <c r="R4457" s="78">
        <f>MAX(S4457:W4457)</f>
        <v>0</v>
      </c>
      <c r="S4457" s="88"/>
      <c r="T4457" s="88"/>
      <c r="U4457" s="88"/>
      <c r="V4457" s="88"/>
      <c r="W4457" s="88"/>
    </row>
    <row r="4458" spans="2:23" s="0" customFormat="0" ht="15">
      <c r="B4458" s="87" t="s">
        <v>1</v>
      </c>
      <c r="C4458" s="88" t="s">
        <v>5259</v>
      </c>
      <c r="D4458" s="88">
        <v>13711234</v>
      </c>
      <c r="E4458" s="88" t="s">
        <v>61</v>
      </c>
      <c r="F4458" s="88">
        <v>0</v>
      </c>
      <c r="G4458" s="78">
        <f>MAX(H4458,I4458,J4458)</f>
        <v>1</v>
      </c>
      <c r="H4458" s="88"/>
      <c r="I4458" s="88"/>
      <c r="J4458" s="78">
        <f>MAX(K4458:Q4458)</f>
        <v>1</v>
      </c>
      <c r="K4458" s="88">
        <v>1</v>
      </c>
      <c r="L4458" s="88"/>
      <c r="M4458" s="88"/>
      <c r="N4458" s="88"/>
      <c r="O4458" s="88"/>
      <c r="P4458" s="88"/>
      <c r="Q4458" s="88"/>
      <c r="R4458" s="78">
        <f>MAX(S4458:W4458)</f>
        <v>0</v>
      </c>
      <c r="S4458" s="88"/>
      <c r="T4458" s="88"/>
      <c r="U4458" s="88"/>
      <c r="V4458" s="88"/>
      <c r="W4458" s="88"/>
    </row>
    <row r="4459" spans="2:23" s="0" customFormat="0" ht="15">
      <c r="B4459" s="87" t="s">
        <v>1</v>
      </c>
      <c r="C4459" s="88" t="s">
        <v>5259</v>
      </c>
      <c r="D4459" s="88" t="s">
        <v>874</v>
      </c>
      <c r="E4459" s="88" t="s">
        <v>61</v>
      </c>
      <c r="F4459" s="88">
        <v>0</v>
      </c>
      <c r="G4459" s="78">
        <f>MAX(H4459,I4459,J4459)</f>
        <v>1</v>
      </c>
      <c r="H4459" s="88"/>
      <c r="I4459" s="88"/>
      <c r="J4459" s="78">
        <f>MAX(K4459:Q4459)</f>
        <v>1</v>
      </c>
      <c r="K4459" s="88">
        <v>1</v>
      </c>
      <c r="L4459" s="88"/>
      <c r="M4459" s="88"/>
      <c r="N4459" s="88"/>
      <c r="O4459" s="88"/>
      <c r="P4459" s="88"/>
      <c r="Q4459" s="88"/>
      <c r="R4459" s="78">
        <f>MAX(S4459:W4459)</f>
        <v>0</v>
      </c>
      <c r="S4459" s="88"/>
      <c r="T4459" s="88"/>
      <c r="U4459" s="88"/>
      <c r="V4459" s="88"/>
      <c r="W4459" s="88"/>
    </row>
    <row r="4460" spans="2:23" s="0" customFormat="0" ht="15">
      <c r="B4460" s="87" t="s">
        <v>1</v>
      </c>
      <c r="C4460" s="88" t="s">
        <v>5259</v>
      </c>
      <c r="D4460" s="88">
        <v>10407144</v>
      </c>
      <c r="E4460" s="88" t="s">
        <v>61</v>
      </c>
      <c r="F4460" s="88">
        <v>0</v>
      </c>
      <c r="G4460" s="78">
        <f>MAX(H4460,I4460,J4460)</f>
        <v>1</v>
      </c>
      <c r="H4460" s="88"/>
      <c r="I4460" s="88"/>
      <c r="J4460" s="78">
        <f>MAX(K4460:Q4460)</f>
        <v>1</v>
      </c>
      <c r="K4460" s="88">
        <v>1</v>
      </c>
      <c r="L4460" s="88"/>
      <c r="M4460" s="88"/>
      <c r="N4460" s="88"/>
      <c r="O4460" s="88"/>
      <c r="P4460" s="88"/>
      <c r="Q4460" s="88"/>
      <c r="R4460" s="78">
        <f>MAX(S4460:W4460)</f>
        <v>0</v>
      </c>
      <c r="S4460" s="88"/>
      <c r="T4460" s="88"/>
      <c r="U4460" s="88"/>
      <c r="V4460" s="88"/>
      <c r="W4460" s="88"/>
    </row>
    <row r="4461" spans="2:23" s="0" customFormat="0" ht="15">
      <c r="B4461" s="87" t="s">
        <v>1</v>
      </c>
      <c r="C4461" s="88" t="s">
        <v>5259</v>
      </c>
      <c r="D4461" s="88">
        <v>22554064</v>
      </c>
      <c r="E4461" s="88" t="s">
        <v>61</v>
      </c>
      <c r="F4461" s="88">
        <v>0</v>
      </c>
      <c r="G4461" s="78">
        <f>MAX(H4461,I4461,J4461)</f>
        <v>1</v>
      </c>
      <c r="H4461" s="88"/>
      <c r="I4461" s="88"/>
      <c r="J4461" s="78">
        <f>MAX(K4461:Q4461)</f>
        <v>1</v>
      </c>
      <c r="K4461" s="88">
        <v>1</v>
      </c>
      <c r="L4461" s="88"/>
      <c r="M4461" s="88"/>
      <c r="N4461" s="88"/>
      <c r="O4461" s="88"/>
      <c r="P4461" s="88"/>
      <c r="Q4461" s="88"/>
      <c r="R4461" s="78">
        <f>MAX(S4461:W4461)</f>
        <v>0</v>
      </c>
      <c r="S4461" s="88"/>
      <c r="T4461" s="88"/>
      <c r="U4461" s="88"/>
      <c r="V4461" s="88"/>
      <c r="W4461" s="88"/>
    </row>
    <row r="4462" spans="2:23" s="0" customFormat="0" ht="15">
      <c r="B4462" s="87" t="s">
        <v>1</v>
      </c>
      <c r="C4462" s="88" t="s">
        <v>5259</v>
      </c>
      <c r="D4462" s="88" t="s">
        <v>4939</v>
      </c>
      <c r="E4462" s="88" t="s">
        <v>61</v>
      </c>
      <c r="F4462" s="88">
        <v>0</v>
      </c>
      <c r="G4462" s="78">
        <f>MAX(H4462,I4462,J4462)</f>
        <v>0</v>
      </c>
      <c r="H4462" s="88"/>
      <c r="I4462" s="88"/>
      <c r="J4462" s="78">
        <f>MAX(K4462:Q4462)</f>
        <v>0</v>
      </c>
      <c r="K4462" s="88"/>
      <c r="L4462" s="88"/>
      <c r="M4462" s="88"/>
      <c r="N4462" s="88"/>
      <c r="O4462" s="88"/>
      <c r="P4462" s="88"/>
      <c r="Q4462" s="88"/>
      <c r="R4462" s="78">
        <f>MAX(S4462:W4462)</f>
        <v>1</v>
      </c>
      <c r="S4462" s="88"/>
      <c r="T4462" s="88"/>
      <c r="U4462" s="88">
        <v>1</v>
      </c>
      <c r="V4462" s="88"/>
      <c r="W4462" s="88"/>
    </row>
    <row r="4463" spans="2:23" s="0" customFormat="0" ht="15">
      <c r="B4463" s="87" t="s">
        <v>1</v>
      </c>
      <c r="C4463" s="88" t="s">
        <v>5259</v>
      </c>
      <c r="D4463" s="88">
        <v>23543699</v>
      </c>
      <c r="E4463" s="88" t="s">
        <v>61</v>
      </c>
      <c r="F4463" s="88">
        <v>0</v>
      </c>
      <c r="G4463" s="78">
        <f>MAX(H4463,I4463,J4463)</f>
        <v>1</v>
      </c>
      <c r="H4463" s="88"/>
      <c r="I4463" s="88"/>
      <c r="J4463" s="78">
        <f>MAX(K4463:Q4463)</f>
        <v>1</v>
      </c>
      <c r="K4463" s="88">
        <v>1</v>
      </c>
      <c r="L4463" s="88"/>
      <c r="M4463" s="88"/>
      <c r="N4463" s="88"/>
      <c r="O4463" s="88"/>
      <c r="P4463" s="88"/>
      <c r="Q4463" s="88"/>
      <c r="R4463" s="78">
        <f>MAX(S4463:W4463)</f>
        <v>0</v>
      </c>
      <c r="S4463" s="88"/>
      <c r="T4463" s="88"/>
      <c r="U4463" s="88"/>
      <c r="V4463" s="88"/>
      <c r="W4463" s="88"/>
    </row>
    <row r="4464" spans="2:23" s="0" customFormat="0" ht="15">
      <c r="B4464" s="87" t="s">
        <v>1</v>
      </c>
      <c r="C4464" s="88" t="s">
        <v>5259</v>
      </c>
      <c r="D4464" s="88" t="s">
        <v>4967</v>
      </c>
      <c r="E4464" s="88" t="s">
        <v>61</v>
      </c>
      <c r="F4464" s="88">
        <v>0</v>
      </c>
      <c r="G4464" s="78">
        <f>MAX(H4464,I4464,J4464)</f>
        <v>0</v>
      </c>
      <c r="H4464" s="88"/>
      <c r="I4464" s="88"/>
      <c r="J4464" s="78">
        <f>MAX(K4464:Q4464)</f>
        <v>0</v>
      </c>
      <c r="K4464" s="88"/>
      <c r="L4464" s="88"/>
      <c r="M4464" s="88"/>
      <c r="N4464" s="88"/>
      <c r="O4464" s="88"/>
      <c r="P4464" s="88"/>
      <c r="Q4464" s="88"/>
      <c r="R4464" s="78">
        <f>MAX(S4464:W4464)</f>
        <v>1</v>
      </c>
      <c r="S4464" s="88"/>
      <c r="T4464" s="88"/>
      <c r="U4464" s="88">
        <v>1</v>
      </c>
      <c r="V4464" s="88"/>
      <c r="W4464" s="88"/>
    </row>
    <row r="4465" spans="2:23" s="0" customFormat="0" ht="15">
      <c r="B4465" s="87" t="s">
        <v>1</v>
      </c>
      <c r="C4465" s="88" t="s">
        <v>5259</v>
      </c>
      <c r="D4465" s="88" t="s">
        <v>4135</v>
      </c>
      <c r="E4465" s="88" t="s">
        <v>61</v>
      </c>
      <c r="F4465" s="88">
        <v>0</v>
      </c>
      <c r="G4465" s="78">
        <f>MAX(H4465,I4465,J4465)</f>
        <v>0</v>
      </c>
      <c r="H4465" s="88"/>
      <c r="I4465" s="88"/>
      <c r="J4465" s="78">
        <f>MAX(K4465:Q4465)</f>
        <v>0</v>
      </c>
      <c r="K4465" s="88"/>
      <c r="L4465" s="88"/>
      <c r="M4465" s="88"/>
      <c r="N4465" s="88"/>
      <c r="O4465" s="88"/>
      <c r="P4465" s="88"/>
      <c r="Q4465" s="88"/>
      <c r="R4465" s="78">
        <f>MAX(S4465:W4465)</f>
        <v>1</v>
      </c>
      <c r="S4465" s="88"/>
      <c r="T4465" s="88"/>
      <c r="U4465" s="88">
        <v>1</v>
      </c>
      <c r="V4465" s="88"/>
      <c r="W4465" s="88"/>
    </row>
    <row r="4466" spans="2:23" s="0" customFormat="0" ht="15">
      <c r="B4466" s="87" t="s">
        <v>1</v>
      </c>
      <c r="C4466" s="88" t="s">
        <v>5259</v>
      </c>
      <c r="D4466" s="88">
        <v>22927565</v>
      </c>
      <c r="E4466" s="88" t="s">
        <v>61</v>
      </c>
      <c r="F4466" s="88">
        <v>0</v>
      </c>
      <c r="G4466" s="78">
        <f>MAX(H4466,I4466,J4466)</f>
        <v>0</v>
      </c>
      <c r="H4466" s="88"/>
      <c r="I4466" s="88"/>
      <c r="J4466" s="78">
        <f>MAX(K4466:Q4466)</f>
        <v>0</v>
      </c>
      <c r="K4466" s="88"/>
      <c r="L4466" s="88"/>
      <c r="M4466" s="88"/>
      <c r="N4466" s="88"/>
      <c r="O4466" s="88"/>
      <c r="P4466" s="88"/>
      <c r="Q4466" s="88"/>
      <c r="R4466" s="78">
        <f>MAX(S4466:W4466)</f>
        <v>1</v>
      </c>
      <c r="S4466" s="88"/>
      <c r="T4466" s="88"/>
      <c r="U4466" s="88">
        <v>1</v>
      </c>
      <c r="V4466" s="88"/>
      <c r="W4466" s="88"/>
    </row>
    <row r="4467" spans="2:23" s="0" customFormat="0" ht="15">
      <c r="B4467" s="87" t="s">
        <v>1</v>
      </c>
      <c r="C4467" s="88" t="s">
        <v>5259</v>
      </c>
      <c r="D4467" s="88">
        <v>23351454</v>
      </c>
      <c r="E4467" s="88" t="s">
        <v>61</v>
      </c>
      <c r="F4467" s="88">
        <v>0</v>
      </c>
      <c r="G4467" s="78">
        <f>MAX(H4467,I4467,J4467)</f>
        <v>1</v>
      </c>
      <c r="H4467" s="88"/>
      <c r="I4467" s="88"/>
      <c r="J4467" s="78">
        <f>MAX(K4467:Q4467)</f>
        <v>1</v>
      </c>
      <c r="K4467" s="88">
        <v>1</v>
      </c>
      <c r="L4467" s="88"/>
      <c r="M4467" s="88"/>
      <c r="N4467" s="88"/>
      <c r="O4467" s="88"/>
      <c r="P4467" s="88"/>
      <c r="Q4467" s="88"/>
      <c r="R4467" s="78">
        <f>MAX(S4467:W4467)</f>
        <v>0</v>
      </c>
      <c r="S4467" s="88"/>
      <c r="T4467" s="88"/>
      <c r="U4467" s="88"/>
      <c r="V4467" s="88"/>
      <c r="W4467" s="88"/>
    </row>
    <row r="4468" spans="2:23" s="0" customFormat="0" ht="15">
      <c r="B4468" s="87" t="s">
        <v>1</v>
      </c>
      <c r="C4468" s="88" t="s">
        <v>5259</v>
      </c>
      <c r="D4468" s="88">
        <v>4085814</v>
      </c>
      <c r="E4468" s="88" t="s">
        <v>61</v>
      </c>
      <c r="F4468" s="88">
        <v>0</v>
      </c>
      <c r="G4468" s="78">
        <f>MAX(H4468,I4468,J4468)</f>
        <v>0</v>
      </c>
      <c r="H4468" s="88"/>
      <c r="I4468" s="88"/>
      <c r="J4468" s="78">
        <f>MAX(K4468:Q4468)</f>
        <v>0</v>
      </c>
      <c r="K4468" s="88"/>
      <c r="L4468" s="88"/>
      <c r="M4468" s="88"/>
      <c r="N4468" s="88"/>
      <c r="O4468" s="88"/>
      <c r="P4468" s="88"/>
      <c r="Q4468" s="88"/>
      <c r="R4468" s="78">
        <f>MAX(S4468:W4468)</f>
        <v>1</v>
      </c>
      <c r="S4468" s="88"/>
      <c r="T4468" s="88"/>
      <c r="U4468" s="88">
        <v>1</v>
      </c>
      <c r="V4468" s="88"/>
      <c r="W4468" s="88"/>
    </row>
    <row r="4469" spans="2:23" s="0" customFormat="0" ht="15">
      <c r="B4469" s="87" t="s">
        <v>1</v>
      </c>
      <c r="C4469" s="88" t="s">
        <v>5259</v>
      </c>
      <c r="D4469" s="88">
        <v>14384096</v>
      </c>
      <c r="E4469" s="88" t="s">
        <v>61</v>
      </c>
      <c r="F4469" s="88">
        <v>0</v>
      </c>
      <c r="G4469" s="78">
        <f>MAX(H4469,I4469,J4469)</f>
        <v>1</v>
      </c>
      <c r="H4469" s="88"/>
      <c r="I4469" s="88"/>
      <c r="J4469" s="78">
        <f>MAX(K4469:Q4469)</f>
        <v>1</v>
      </c>
      <c r="K4469" s="88">
        <v>1</v>
      </c>
      <c r="L4469" s="88"/>
      <c r="M4469" s="88"/>
      <c r="N4469" s="88"/>
      <c r="O4469" s="88"/>
      <c r="P4469" s="88"/>
      <c r="Q4469" s="88"/>
      <c r="R4469" s="78">
        <f>MAX(S4469:W4469)</f>
        <v>0</v>
      </c>
      <c r="S4469" s="88"/>
      <c r="T4469" s="88"/>
      <c r="U4469" s="88"/>
      <c r="V4469" s="88"/>
      <c r="W4469" s="88"/>
    </row>
    <row r="4470" spans="2:23" s="0" customFormat="0" ht="15">
      <c r="B4470" s="87" t="s">
        <v>1</v>
      </c>
      <c r="C4470" s="88" t="s">
        <v>5259</v>
      </c>
      <c r="D4470" s="88">
        <v>11479489</v>
      </c>
      <c r="E4470" s="88" t="s">
        <v>61</v>
      </c>
      <c r="F4470" s="88">
        <v>0</v>
      </c>
      <c r="G4470" s="78">
        <f>MAX(H4470,I4470,J4470)</f>
        <v>1</v>
      </c>
      <c r="H4470" s="88"/>
      <c r="I4470" s="88"/>
      <c r="J4470" s="78">
        <f>MAX(K4470:Q4470)</f>
        <v>1</v>
      </c>
      <c r="K4470" s="88">
        <v>1</v>
      </c>
      <c r="L4470" s="88"/>
      <c r="M4470" s="88"/>
      <c r="N4470" s="88"/>
      <c r="O4470" s="88"/>
      <c r="P4470" s="88"/>
      <c r="Q4470" s="88"/>
      <c r="R4470" s="78">
        <f>MAX(S4470:W4470)</f>
        <v>0</v>
      </c>
      <c r="S4470" s="88"/>
      <c r="T4470" s="88"/>
      <c r="U4470" s="88"/>
      <c r="V4470" s="88"/>
      <c r="W4470" s="88"/>
    </row>
    <row r="4471" spans="2:23" s="0" customFormat="0" ht="15">
      <c r="B4471" s="87" t="s">
        <v>1</v>
      </c>
      <c r="C4471" s="88" t="s">
        <v>5259</v>
      </c>
      <c r="D4471" s="88" t="s">
        <v>1524</v>
      </c>
      <c r="E4471" s="88" t="s">
        <v>61</v>
      </c>
      <c r="F4471" s="88">
        <v>0</v>
      </c>
      <c r="G4471" s="78">
        <f>MAX(H4471,I4471,J4471)</f>
        <v>1</v>
      </c>
      <c r="H4471" s="88"/>
      <c r="I4471" s="88"/>
      <c r="J4471" s="78">
        <f>MAX(K4471:Q4471)</f>
        <v>1</v>
      </c>
      <c r="K4471" s="88">
        <v>1</v>
      </c>
      <c r="L4471" s="88"/>
      <c r="M4471" s="88"/>
      <c r="N4471" s="88"/>
      <c r="O4471" s="88"/>
      <c r="P4471" s="88"/>
      <c r="Q4471" s="88"/>
      <c r="R4471" s="78">
        <f>MAX(S4471:W4471)</f>
        <v>0</v>
      </c>
      <c r="S4471" s="88"/>
      <c r="T4471" s="88"/>
      <c r="U4471" s="88"/>
      <c r="V4471" s="88"/>
      <c r="W4471" s="88"/>
    </row>
    <row r="4472" spans="2:23" s="0" customFormat="0" ht="15">
      <c r="B4472" s="87" t="s">
        <v>1</v>
      </c>
      <c r="C4472" s="88" t="s">
        <v>5259</v>
      </c>
      <c r="D4472" s="88">
        <v>2628622</v>
      </c>
      <c r="E4472" s="88" t="s">
        <v>61</v>
      </c>
      <c r="F4472" s="88">
        <v>0</v>
      </c>
      <c r="G4472" s="78">
        <f>MAX(H4472,I4472,J4472)</f>
        <v>1</v>
      </c>
      <c r="H4472" s="88"/>
      <c r="I4472" s="88"/>
      <c r="J4472" s="78">
        <f>MAX(K4472:Q4472)</f>
        <v>1</v>
      </c>
      <c r="K4472" s="88">
        <v>1</v>
      </c>
      <c r="L4472" s="88"/>
      <c r="M4472" s="88"/>
      <c r="N4472" s="88"/>
      <c r="O4472" s="88"/>
      <c r="P4472" s="88"/>
      <c r="Q4472" s="88"/>
      <c r="R4472" s="78">
        <f>MAX(S4472:W4472)</f>
        <v>0</v>
      </c>
      <c r="S4472" s="88"/>
      <c r="T4472" s="88"/>
      <c r="U4472" s="88"/>
      <c r="V4472" s="88"/>
      <c r="W4472" s="88"/>
    </row>
    <row r="4473" spans="2:23" s="0" customFormat="0" ht="15">
      <c r="B4473" s="87" t="s">
        <v>1</v>
      </c>
      <c r="C4473" s="88" t="s">
        <v>5259</v>
      </c>
      <c r="D4473" s="88" t="s">
        <v>4443</v>
      </c>
      <c r="E4473" s="88" t="s">
        <v>61</v>
      </c>
      <c r="F4473" s="88">
        <v>0</v>
      </c>
      <c r="G4473" s="78">
        <f>MAX(H4473,I4473,J4473)</f>
        <v>0</v>
      </c>
      <c r="H4473" s="88"/>
      <c r="I4473" s="88"/>
      <c r="J4473" s="78">
        <f>MAX(K4473:Q4473)</f>
        <v>0</v>
      </c>
      <c r="K4473" s="88"/>
      <c r="L4473" s="88"/>
      <c r="M4473" s="88"/>
      <c r="N4473" s="88"/>
      <c r="O4473" s="88"/>
      <c r="P4473" s="88"/>
      <c r="Q4473" s="88"/>
      <c r="R4473" s="78">
        <f>MAX(S4473:W4473)</f>
        <v>1</v>
      </c>
      <c r="S4473" s="88"/>
      <c r="T4473" s="88"/>
      <c r="U4473" s="88">
        <v>1</v>
      </c>
      <c r="V4473" s="88"/>
      <c r="W4473" s="88"/>
    </row>
    <row r="4474" spans="2:23" s="0" customFormat="0" ht="15">
      <c r="B4474" s="87" t="s">
        <v>1</v>
      </c>
      <c r="C4474" s="88" t="s">
        <v>5259</v>
      </c>
      <c r="D4474" s="88">
        <v>22017486</v>
      </c>
      <c r="E4474" s="88" t="s">
        <v>61</v>
      </c>
      <c r="F4474" s="88">
        <v>0</v>
      </c>
      <c r="G4474" s="78">
        <f>MAX(H4474,I4474,J4474)</f>
        <v>1</v>
      </c>
      <c r="H4474" s="88"/>
      <c r="I4474" s="88"/>
      <c r="J4474" s="78">
        <f>MAX(K4474:Q4474)</f>
        <v>1</v>
      </c>
      <c r="K4474" s="88">
        <v>1</v>
      </c>
      <c r="L4474" s="88"/>
      <c r="M4474" s="88"/>
      <c r="N4474" s="88"/>
      <c r="O4474" s="88"/>
      <c r="P4474" s="88"/>
      <c r="Q4474" s="88"/>
      <c r="R4474" s="78">
        <f>MAX(S4474:W4474)</f>
        <v>0</v>
      </c>
      <c r="S4474" s="88"/>
      <c r="T4474" s="88"/>
      <c r="U4474" s="88"/>
      <c r="V4474" s="88"/>
      <c r="W4474" s="88"/>
    </row>
    <row r="4475" spans="2:23" s="0" customFormat="0" ht="15">
      <c r="B4475" s="87" t="s">
        <v>1</v>
      </c>
      <c r="C4475" s="88" t="s">
        <v>5259</v>
      </c>
      <c r="D4475" s="88" t="s">
        <v>3267</v>
      </c>
      <c r="E4475" s="88" t="s">
        <v>61</v>
      </c>
      <c r="F4475" s="88">
        <v>0</v>
      </c>
      <c r="G4475" s="78">
        <f>MAX(H4475,I4475,J4475)</f>
        <v>0</v>
      </c>
      <c r="H4475" s="88"/>
      <c r="I4475" s="88"/>
      <c r="J4475" s="78">
        <f>MAX(K4475:Q4475)</f>
        <v>0</v>
      </c>
      <c r="K4475" s="88"/>
      <c r="L4475" s="88"/>
      <c r="M4475" s="88"/>
      <c r="N4475" s="88"/>
      <c r="O4475" s="88"/>
      <c r="P4475" s="88"/>
      <c r="Q4475" s="88"/>
      <c r="R4475" s="78">
        <f>MAX(S4475:W4475)</f>
        <v>1</v>
      </c>
      <c r="S4475" s="88"/>
      <c r="T4475" s="88"/>
      <c r="U4475" s="88"/>
      <c r="V4475" s="88">
        <v>1</v>
      </c>
      <c r="W4475" s="88"/>
    </row>
    <row r="4476" spans="2:23" s="0" customFormat="0" ht="15">
      <c r="B4476" s="87" t="s">
        <v>1</v>
      </c>
      <c r="C4476" s="88" t="s">
        <v>5259</v>
      </c>
      <c r="D4476" s="88" t="s">
        <v>2597</v>
      </c>
      <c r="E4476" s="88" t="s">
        <v>61</v>
      </c>
      <c r="F4476" s="88">
        <v>0</v>
      </c>
      <c r="G4476" s="78">
        <f>MAX(H4476,I4476,J4476)</f>
        <v>1</v>
      </c>
      <c r="H4476" s="88"/>
      <c r="I4476" s="88"/>
      <c r="J4476" s="78">
        <f>MAX(K4476:Q4476)</f>
        <v>1</v>
      </c>
      <c r="K4476" s="88">
        <v>1</v>
      </c>
      <c r="L4476" s="88"/>
      <c r="M4476" s="88"/>
      <c r="N4476" s="88"/>
      <c r="O4476" s="88"/>
      <c r="P4476" s="88"/>
      <c r="Q4476" s="88"/>
      <c r="R4476" s="78">
        <f>MAX(S4476:W4476)</f>
        <v>0</v>
      </c>
      <c r="S4476" s="88"/>
      <c r="T4476" s="88"/>
      <c r="U4476" s="88"/>
      <c r="V4476" s="88"/>
      <c r="W4476" s="88"/>
    </row>
    <row r="4477" spans="2:23" s="0" customFormat="0" ht="15">
      <c r="B4477" s="87" t="s">
        <v>1</v>
      </c>
      <c r="C4477" s="88" t="s">
        <v>5259</v>
      </c>
      <c r="D4477" s="88">
        <v>23936142</v>
      </c>
      <c r="E4477" s="88" t="s">
        <v>61</v>
      </c>
      <c r="F4477" s="88">
        <v>0</v>
      </c>
      <c r="G4477" s="78">
        <f>MAX(H4477,I4477,J4477)</f>
        <v>1</v>
      </c>
      <c r="H4477" s="88"/>
      <c r="I4477" s="88"/>
      <c r="J4477" s="78">
        <f>MAX(K4477:Q4477)</f>
        <v>1</v>
      </c>
      <c r="K4477" s="88">
        <v>1</v>
      </c>
      <c r="L4477" s="88"/>
      <c r="M4477" s="88"/>
      <c r="N4477" s="88"/>
      <c r="O4477" s="88"/>
      <c r="P4477" s="88"/>
      <c r="Q4477" s="88"/>
      <c r="R4477" s="78">
        <f>MAX(S4477:W4477)</f>
        <v>0</v>
      </c>
      <c r="S4477" s="88"/>
      <c r="T4477" s="88"/>
      <c r="U4477" s="88"/>
      <c r="V4477" s="88"/>
      <c r="W4477" s="88"/>
    </row>
    <row r="4478" spans="2:23" s="0" customFormat="0" ht="15">
      <c r="B4478" s="87" t="s">
        <v>1</v>
      </c>
      <c r="C4478" s="88" t="s">
        <v>5259</v>
      </c>
      <c r="D4478" s="88" t="s">
        <v>2599</v>
      </c>
      <c r="E4478" s="88" t="s">
        <v>61</v>
      </c>
      <c r="F4478" s="88">
        <v>0</v>
      </c>
      <c r="G4478" s="78">
        <f>MAX(H4478,I4478,J4478)</f>
        <v>1</v>
      </c>
      <c r="H4478" s="88"/>
      <c r="I4478" s="88"/>
      <c r="J4478" s="78">
        <f>MAX(K4478:Q4478)</f>
        <v>1</v>
      </c>
      <c r="K4478" s="88">
        <v>1</v>
      </c>
      <c r="L4478" s="88"/>
      <c r="M4478" s="88"/>
      <c r="N4478" s="88"/>
      <c r="O4478" s="88"/>
      <c r="P4478" s="88"/>
      <c r="Q4478" s="88"/>
      <c r="R4478" s="78">
        <f>MAX(S4478:W4478)</f>
        <v>0</v>
      </c>
      <c r="S4478" s="88"/>
      <c r="T4478" s="88"/>
      <c r="U4478" s="88"/>
      <c r="V4478" s="88"/>
      <c r="W4478" s="88"/>
    </row>
    <row r="4479" spans="2:23" s="0" customFormat="0" ht="15">
      <c r="B4479" s="87" t="s">
        <v>1</v>
      </c>
      <c r="C4479" s="88" t="s">
        <v>5259</v>
      </c>
      <c r="D4479" s="88" t="s">
        <v>4969</v>
      </c>
      <c r="E4479" s="88" t="s">
        <v>61</v>
      </c>
      <c r="F4479" s="88">
        <v>0</v>
      </c>
      <c r="G4479" s="78">
        <f>MAX(H4479,I4479,J4479)</f>
        <v>0</v>
      </c>
      <c r="H4479" s="88"/>
      <c r="I4479" s="88"/>
      <c r="J4479" s="78">
        <f>MAX(K4479:Q4479)</f>
        <v>0</v>
      </c>
      <c r="K4479" s="88"/>
      <c r="L4479" s="88"/>
      <c r="M4479" s="88"/>
      <c r="N4479" s="88"/>
      <c r="O4479" s="88"/>
      <c r="P4479" s="88"/>
      <c r="Q4479" s="88"/>
      <c r="R4479" s="78">
        <f>MAX(S4479:W4479)</f>
        <v>1</v>
      </c>
      <c r="S4479" s="88"/>
      <c r="T4479" s="88"/>
      <c r="U4479" s="88">
        <v>1</v>
      </c>
      <c r="V4479" s="88"/>
      <c r="W4479" s="88"/>
    </row>
    <row r="4480" spans="2:23" s="0" customFormat="0" ht="15">
      <c r="B4480" s="87" t="s">
        <v>1</v>
      </c>
      <c r="C4480" s="88" t="s">
        <v>5259</v>
      </c>
      <c r="D4480" s="88">
        <v>11094842</v>
      </c>
      <c r="E4480" s="88" t="s">
        <v>61</v>
      </c>
      <c r="F4480" s="88">
        <v>0</v>
      </c>
      <c r="G4480" s="78">
        <f>MAX(H4480,I4480,J4480)</f>
        <v>0</v>
      </c>
      <c r="H4480" s="88"/>
      <c r="I4480" s="88"/>
      <c r="J4480" s="78">
        <f>MAX(K4480:Q4480)</f>
        <v>0</v>
      </c>
      <c r="K4480" s="88"/>
      <c r="L4480" s="88"/>
      <c r="M4480" s="88"/>
      <c r="N4480" s="88"/>
      <c r="O4480" s="88"/>
      <c r="P4480" s="88"/>
      <c r="Q4480" s="88"/>
      <c r="R4480" s="78">
        <f>MAX(S4480:W4480)</f>
        <v>1</v>
      </c>
      <c r="S4480" s="88"/>
      <c r="T4480" s="88"/>
      <c r="U4480" s="88">
        <v>1</v>
      </c>
      <c r="V4480" s="88"/>
      <c r="W4480" s="88"/>
    </row>
    <row r="4481" spans="2:23" s="0" customFormat="0" ht="15">
      <c r="B4481" s="87" t="s">
        <v>1</v>
      </c>
      <c r="C4481" s="88" t="s">
        <v>5259</v>
      </c>
      <c r="D4481" s="88" t="s">
        <v>2601</v>
      </c>
      <c r="E4481" s="88" t="s">
        <v>61</v>
      </c>
      <c r="F4481" s="88">
        <v>0</v>
      </c>
      <c r="G4481" s="78">
        <f>MAX(H4481,I4481,J4481)</f>
        <v>1</v>
      </c>
      <c r="H4481" s="88"/>
      <c r="I4481" s="88"/>
      <c r="J4481" s="78">
        <f>MAX(K4481:Q4481)</f>
        <v>1</v>
      </c>
      <c r="K4481" s="88">
        <v>1</v>
      </c>
      <c r="L4481" s="88"/>
      <c r="M4481" s="88"/>
      <c r="N4481" s="88"/>
      <c r="O4481" s="88"/>
      <c r="P4481" s="88"/>
      <c r="Q4481" s="88"/>
      <c r="R4481" s="78">
        <f>MAX(S4481:W4481)</f>
        <v>0</v>
      </c>
      <c r="S4481" s="88"/>
      <c r="T4481" s="88"/>
      <c r="U4481" s="88"/>
      <c r="V4481" s="88"/>
      <c r="W4481" s="88"/>
    </row>
    <row r="4482" spans="2:23" s="0" customFormat="0" ht="15">
      <c r="B4482" s="87" t="s">
        <v>1</v>
      </c>
      <c r="C4482" s="88" t="s">
        <v>5259</v>
      </c>
      <c r="D4482" s="88">
        <v>18768984</v>
      </c>
      <c r="E4482" s="88" t="s">
        <v>61</v>
      </c>
      <c r="F4482" s="88">
        <v>0</v>
      </c>
      <c r="G4482" s="78">
        <f>MAX(H4482,I4482,J4482)</f>
        <v>1</v>
      </c>
      <c r="H4482" s="88"/>
      <c r="I4482" s="88"/>
      <c r="J4482" s="78">
        <f>MAX(K4482:Q4482)</f>
        <v>1</v>
      </c>
      <c r="K4482" s="88">
        <v>1</v>
      </c>
      <c r="L4482" s="88"/>
      <c r="M4482" s="88"/>
      <c r="N4482" s="88"/>
      <c r="O4482" s="88"/>
      <c r="P4482" s="88"/>
      <c r="Q4482" s="88"/>
      <c r="R4482" s="78">
        <f>MAX(S4482:W4482)</f>
        <v>0</v>
      </c>
      <c r="S4482" s="88"/>
      <c r="T4482" s="88"/>
      <c r="U4482" s="88"/>
      <c r="V4482" s="88"/>
      <c r="W4482" s="88"/>
    </row>
    <row r="4483" spans="2:23" s="0" customFormat="0" ht="15">
      <c r="B4483" s="87" t="s">
        <v>1</v>
      </c>
      <c r="C4483" s="88" t="s">
        <v>5259</v>
      </c>
      <c r="D4483" s="88" t="s">
        <v>1044</v>
      </c>
      <c r="E4483" s="88" t="s">
        <v>61</v>
      </c>
      <c r="F4483" s="88">
        <v>0</v>
      </c>
      <c r="G4483" s="78">
        <f>MAX(H4483,I4483,J4483)</f>
        <v>1</v>
      </c>
      <c r="H4483" s="88"/>
      <c r="I4483" s="88"/>
      <c r="J4483" s="78">
        <f>MAX(K4483:Q4483)</f>
        <v>1</v>
      </c>
      <c r="K4483" s="88">
        <v>1</v>
      </c>
      <c r="L4483" s="88"/>
      <c r="M4483" s="88"/>
      <c r="N4483" s="88"/>
      <c r="O4483" s="88"/>
      <c r="P4483" s="88"/>
      <c r="Q4483" s="88"/>
      <c r="R4483" s="78">
        <f>MAX(S4483:W4483)</f>
        <v>0</v>
      </c>
      <c r="S4483" s="88"/>
      <c r="T4483" s="88"/>
      <c r="U4483" s="88"/>
      <c r="V4483" s="88"/>
      <c r="W4483" s="88"/>
    </row>
    <row r="4484" spans="2:23" s="0" customFormat="0" ht="15">
      <c r="B4484" s="87" t="s">
        <v>1</v>
      </c>
      <c r="C4484" s="88" t="s">
        <v>5259</v>
      </c>
      <c r="D4484" s="88">
        <v>14851913</v>
      </c>
      <c r="E4484" s="88" t="s">
        <v>61</v>
      </c>
      <c r="F4484" s="88">
        <v>0</v>
      </c>
      <c r="G4484" s="78">
        <f>MAX(H4484,I4484,J4484)</f>
        <v>1</v>
      </c>
      <c r="H4484" s="88"/>
      <c r="I4484" s="88"/>
      <c r="J4484" s="78">
        <f>MAX(K4484:Q4484)</f>
        <v>1</v>
      </c>
      <c r="K4484" s="88">
        <v>1</v>
      </c>
      <c r="L4484" s="88"/>
      <c r="M4484" s="88"/>
      <c r="N4484" s="88"/>
      <c r="O4484" s="88"/>
      <c r="P4484" s="88"/>
      <c r="Q4484" s="88"/>
      <c r="R4484" s="78">
        <f>MAX(S4484:W4484)</f>
        <v>0</v>
      </c>
      <c r="S4484" s="88"/>
      <c r="T4484" s="88"/>
      <c r="U4484" s="88"/>
      <c r="V4484" s="88"/>
      <c r="W4484" s="88"/>
    </row>
    <row r="4485" spans="2:23" s="0" customFormat="0" ht="15">
      <c r="B4485" s="87" t="s">
        <v>1</v>
      </c>
      <c r="C4485" s="88" t="s">
        <v>5259</v>
      </c>
      <c r="D4485" s="88">
        <v>22185540</v>
      </c>
      <c r="E4485" s="88" t="s">
        <v>61</v>
      </c>
      <c r="F4485" s="88">
        <v>0</v>
      </c>
      <c r="G4485" s="78">
        <f>MAX(H4485,I4485,J4485)</f>
        <v>1</v>
      </c>
      <c r="H4485" s="88"/>
      <c r="I4485" s="88"/>
      <c r="J4485" s="78">
        <f>MAX(K4485:Q4485)</f>
        <v>1</v>
      </c>
      <c r="K4485" s="88">
        <v>1</v>
      </c>
      <c r="L4485" s="88"/>
      <c r="M4485" s="88"/>
      <c r="N4485" s="88"/>
      <c r="O4485" s="88"/>
      <c r="P4485" s="88"/>
      <c r="Q4485" s="88"/>
      <c r="R4485" s="78">
        <f>MAX(S4485:W4485)</f>
        <v>0</v>
      </c>
      <c r="S4485" s="88"/>
      <c r="T4485" s="88"/>
      <c r="U4485" s="88"/>
      <c r="V4485" s="88"/>
      <c r="W4485" s="88"/>
    </row>
    <row r="4486" spans="2:23" s="0" customFormat="0" ht="15">
      <c r="B4486" s="87" t="s">
        <v>1</v>
      </c>
      <c r="C4486" s="88" t="s">
        <v>5259</v>
      </c>
      <c r="D4486" s="88">
        <v>20902600</v>
      </c>
      <c r="E4486" s="88" t="s">
        <v>61</v>
      </c>
      <c r="F4486" s="88">
        <v>0</v>
      </c>
      <c r="G4486" s="78">
        <f>MAX(H4486,I4486,J4486)</f>
        <v>1</v>
      </c>
      <c r="H4486" s="88"/>
      <c r="I4486" s="88"/>
      <c r="J4486" s="78">
        <f>MAX(K4486:Q4486)</f>
        <v>1</v>
      </c>
      <c r="K4486" s="88">
        <v>1</v>
      </c>
      <c r="L4486" s="88"/>
      <c r="M4486" s="88"/>
      <c r="N4486" s="88"/>
      <c r="O4486" s="88"/>
      <c r="P4486" s="88"/>
      <c r="Q4486" s="88"/>
      <c r="R4486" s="78">
        <f>MAX(S4486:W4486)</f>
        <v>0</v>
      </c>
      <c r="S4486" s="88"/>
      <c r="T4486" s="88"/>
      <c r="U4486" s="88"/>
      <c r="V4486" s="88"/>
      <c r="W4486" s="88"/>
    </row>
    <row r="4487" spans="2:23" s="0" customFormat="0" ht="15">
      <c r="B4487" s="87" t="s">
        <v>1</v>
      </c>
      <c r="C4487" s="88" t="s">
        <v>5259</v>
      </c>
      <c r="D4487" s="88">
        <v>20668384</v>
      </c>
      <c r="E4487" s="88" t="s">
        <v>61</v>
      </c>
      <c r="F4487" s="88">
        <v>0</v>
      </c>
      <c r="G4487" s="78">
        <f>MAX(H4487,I4487,J4487)</f>
        <v>1</v>
      </c>
      <c r="H4487" s="88"/>
      <c r="I4487" s="88"/>
      <c r="J4487" s="78">
        <f>MAX(K4487:Q4487)</f>
        <v>1</v>
      </c>
      <c r="K4487" s="88">
        <v>1</v>
      </c>
      <c r="L4487" s="88"/>
      <c r="M4487" s="88"/>
      <c r="N4487" s="88"/>
      <c r="O4487" s="88"/>
      <c r="P4487" s="88"/>
      <c r="Q4487" s="88"/>
      <c r="R4487" s="78">
        <f>MAX(S4487:W4487)</f>
        <v>0</v>
      </c>
      <c r="S4487" s="88"/>
      <c r="T4487" s="88"/>
      <c r="U4487" s="88"/>
      <c r="V4487" s="88"/>
      <c r="W4487" s="88"/>
    </row>
    <row r="4488" spans="2:23" s="0" customFormat="0" ht="15">
      <c r="B4488" s="87" t="s">
        <v>1</v>
      </c>
      <c r="C4488" s="88" t="s">
        <v>5259</v>
      </c>
      <c r="D4488" s="88">
        <v>19074346</v>
      </c>
      <c r="E4488" s="88" t="s">
        <v>61</v>
      </c>
      <c r="F4488" s="88">
        <v>0</v>
      </c>
      <c r="G4488" s="78">
        <f>MAX(H4488,I4488,J4488)</f>
        <v>1</v>
      </c>
      <c r="H4488" s="88"/>
      <c r="I4488" s="88"/>
      <c r="J4488" s="78">
        <f>MAX(K4488:Q4488)</f>
        <v>1</v>
      </c>
      <c r="K4488" s="88">
        <v>1</v>
      </c>
      <c r="L4488" s="88"/>
      <c r="M4488" s="88"/>
      <c r="N4488" s="88"/>
      <c r="O4488" s="88"/>
      <c r="P4488" s="88"/>
      <c r="Q4488" s="88"/>
      <c r="R4488" s="78">
        <f>MAX(S4488:W4488)</f>
        <v>0</v>
      </c>
      <c r="S4488" s="88"/>
      <c r="T4488" s="88"/>
      <c r="U4488" s="88"/>
      <c r="V4488" s="88"/>
      <c r="W4488" s="88"/>
    </row>
    <row r="4489" spans="2:23" s="0" customFormat="0" ht="15">
      <c r="B4489" s="87" t="s">
        <v>1</v>
      </c>
      <c r="C4489" s="88" t="s">
        <v>5259</v>
      </c>
      <c r="D4489" s="88">
        <v>14526947</v>
      </c>
      <c r="E4489" s="88" t="s">
        <v>61</v>
      </c>
      <c r="F4489" s="88">
        <v>0</v>
      </c>
      <c r="G4489" s="78">
        <f>MAX(H4489,I4489,J4489)</f>
        <v>1</v>
      </c>
      <c r="H4489" s="88"/>
      <c r="I4489" s="88"/>
      <c r="J4489" s="78">
        <f>MAX(K4489:Q4489)</f>
        <v>1</v>
      </c>
      <c r="K4489" s="88">
        <v>1</v>
      </c>
      <c r="L4489" s="88"/>
      <c r="M4489" s="88"/>
      <c r="N4489" s="88"/>
      <c r="O4489" s="88"/>
      <c r="P4489" s="88"/>
      <c r="Q4489" s="88"/>
      <c r="R4489" s="78">
        <f>MAX(S4489:W4489)</f>
        <v>0</v>
      </c>
      <c r="S4489" s="88"/>
      <c r="T4489" s="88"/>
      <c r="U4489" s="88"/>
      <c r="V4489" s="88"/>
      <c r="W4489" s="88"/>
    </row>
    <row r="4490" spans="2:23" s="0" customFormat="0" ht="15">
      <c r="B4490" s="87" t="s">
        <v>1</v>
      </c>
      <c r="C4490" s="88" t="s">
        <v>5259</v>
      </c>
      <c r="D4490" s="88">
        <v>8959372</v>
      </c>
      <c r="E4490" s="88" t="s">
        <v>61</v>
      </c>
      <c r="F4490" s="88">
        <v>0</v>
      </c>
      <c r="G4490" s="78">
        <f>MAX(H4490,I4490,J4490)</f>
        <v>1</v>
      </c>
      <c r="H4490" s="88"/>
      <c r="I4490" s="88"/>
      <c r="J4490" s="78">
        <f>MAX(K4490:Q4490)</f>
        <v>1</v>
      </c>
      <c r="K4490" s="88">
        <v>1</v>
      </c>
      <c r="L4490" s="88"/>
      <c r="M4490" s="88"/>
      <c r="N4490" s="88"/>
      <c r="O4490" s="88"/>
      <c r="P4490" s="88"/>
      <c r="Q4490" s="88"/>
      <c r="R4490" s="78">
        <f>MAX(S4490:W4490)</f>
        <v>0</v>
      </c>
      <c r="S4490" s="88"/>
      <c r="T4490" s="88"/>
      <c r="U4490" s="88"/>
      <c r="V4490" s="88"/>
      <c r="W4490" s="88"/>
    </row>
    <row r="4491" spans="2:23" s="0" customFormat="0" ht="15">
      <c r="B4491" s="87" t="s">
        <v>1</v>
      </c>
      <c r="C4491" s="88" t="s">
        <v>5259</v>
      </c>
      <c r="D4491" s="88" t="s">
        <v>2608</v>
      </c>
      <c r="E4491" s="88" t="s">
        <v>61</v>
      </c>
      <c r="F4491" s="88">
        <v>0</v>
      </c>
      <c r="G4491" s="78">
        <f>MAX(H4491,I4491,J4491)</f>
        <v>1</v>
      </c>
      <c r="H4491" s="88"/>
      <c r="I4491" s="88"/>
      <c r="J4491" s="78">
        <f>MAX(K4491:Q4491)</f>
        <v>1</v>
      </c>
      <c r="K4491" s="88">
        <v>1</v>
      </c>
      <c r="L4491" s="88"/>
      <c r="M4491" s="88"/>
      <c r="N4491" s="88"/>
      <c r="O4491" s="88"/>
      <c r="P4491" s="88"/>
      <c r="Q4491" s="88"/>
      <c r="R4491" s="78">
        <f>MAX(S4491:W4491)</f>
        <v>0</v>
      </c>
      <c r="S4491" s="88"/>
      <c r="T4491" s="88"/>
      <c r="U4491" s="88"/>
      <c r="V4491" s="88"/>
      <c r="W4491" s="88"/>
    </row>
    <row r="4492" spans="2:23" s="0" customFormat="0" ht="15">
      <c r="B4492" s="87" t="s">
        <v>1</v>
      </c>
      <c r="C4492" s="88" t="s">
        <v>5259</v>
      </c>
      <c r="D4492" s="88">
        <v>7065943</v>
      </c>
      <c r="E4492" s="88" t="s">
        <v>61</v>
      </c>
      <c r="F4492" s="88">
        <v>0</v>
      </c>
      <c r="G4492" s="78">
        <f>MAX(H4492,I4492,J4492)</f>
        <v>0</v>
      </c>
      <c r="H4492" s="88"/>
      <c r="I4492" s="88"/>
      <c r="J4492" s="78">
        <f>MAX(K4492:Q4492)</f>
        <v>0</v>
      </c>
      <c r="K4492" s="88"/>
      <c r="L4492" s="88"/>
      <c r="M4492" s="88"/>
      <c r="N4492" s="88"/>
      <c r="O4492" s="88"/>
      <c r="P4492" s="88"/>
      <c r="Q4492" s="88"/>
      <c r="R4492" s="78">
        <f>MAX(S4492:W4492)</f>
        <v>1</v>
      </c>
      <c r="S4492" s="88"/>
      <c r="T4492" s="88"/>
      <c r="U4492" s="88">
        <v>1</v>
      </c>
      <c r="V4492" s="88"/>
      <c r="W4492" s="88"/>
    </row>
    <row r="4493" spans="2:23" s="0" customFormat="0" ht="15">
      <c r="B4493" s="87" t="s">
        <v>1</v>
      </c>
      <c r="C4493" s="88" t="s">
        <v>5259</v>
      </c>
      <c r="D4493" s="88">
        <v>9870815</v>
      </c>
      <c r="E4493" s="88" t="s">
        <v>61</v>
      </c>
      <c r="F4493" s="88">
        <v>0</v>
      </c>
      <c r="G4493" s="78">
        <f>MAX(H4493,I4493,J4493)</f>
        <v>1</v>
      </c>
      <c r="H4493" s="88"/>
      <c r="I4493" s="88"/>
      <c r="J4493" s="78">
        <f>MAX(K4493:Q4493)</f>
        <v>1</v>
      </c>
      <c r="K4493" s="88">
        <v>1</v>
      </c>
      <c r="L4493" s="88"/>
      <c r="M4493" s="88"/>
      <c r="N4493" s="88"/>
      <c r="O4493" s="88"/>
      <c r="P4493" s="88"/>
      <c r="Q4493" s="88"/>
      <c r="R4493" s="78">
        <f>MAX(S4493:W4493)</f>
        <v>0</v>
      </c>
      <c r="S4493" s="88"/>
      <c r="T4493" s="88"/>
      <c r="U4493" s="88"/>
      <c r="V4493" s="88"/>
      <c r="W4493" s="88"/>
    </row>
    <row r="4494" spans="2:23" s="0" customFormat="0" ht="15">
      <c r="B4494" s="87" t="s">
        <v>1</v>
      </c>
      <c r="C4494" s="88" t="s">
        <v>5259</v>
      </c>
      <c r="D4494" s="88" t="s">
        <v>896</v>
      </c>
      <c r="E4494" s="88" t="s">
        <v>61</v>
      </c>
      <c r="F4494" s="88">
        <v>0</v>
      </c>
      <c r="G4494" s="78">
        <f>MAX(H4494,I4494,J4494)</f>
        <v>1</v>
      </c>
      <c r="H4494" s="88"/>
      <c r="I4494" s="88"/>
      <c r="J4494" s="78">
        <f>MAX(K4494:Q4494)</f>
        <v>1</v>
      </c>
      <c r="K4494" s="88">
        <v>1</v>
      </c>
      <c r="L4494" s="88"/>
      <c r="M4494" s="88"/>
      <c r="N4494" s="88"/>
      <c r="O4494" s="88"/>
      <c r="P4494" s="88"/>
      <c r="Q4494" s="88"/>
      <c r="R4494" s="78">
        <f>MAX(S4494:W4494)</f>
        <v>0</v>
      </c>
      <c r="S4494" s="88"/>
      <c r="T4494" s="88"/>
      <c r="U4494" s="88"/>
      <c r="V4494" s="88"/>
      <c r="W4494" s="88"/>
    </row>
    <row r="4495" spans="2:23" s="0" customFormat="0" ht="15">
      <c r="B4495" s="87" t="s">
        <v>1</v>
      </c>
      <c r="C4495" s="88" t="s">
        <v>5259</v>
      </c>
      <c r="D4495" s="88" t="s">
        <v>1822</v>
      </c>
      <c r="E4495" s="88" t="s">
        <v>61</v>
      </c>
      <c r="F4495" s="88">
        <v>0</v>
      </c>
      <c r="G4495" s="78">
        <f>MAX(H4495,I4495,J4495)</f>
        <v>1</v>
      </c>
      <c r="H4495" s="88"/>
      <c r="I4495" s="88"/>
      <c r="J4495" s="78">
        <f>MAX(K4495:Q4495)</f>
        <v>1</v>
      </c>
      <c r="K4495" s="88">
        <v>1</v>
      </c>
      <c r="L4495" s="88"/>
      <c r="M4495" s="88"/>
      <c r="N4495" s="88"/>
      <c r="O4495" s="88"/>
      <c r="P4495" s="88"/>
      <c r="Q4495" s="88"/>
      <c r="R4495" s="78">
        <f>MAX(S4495:W4495)</f>
        <v>0</v>
      </c>
      <c r="S4495" s="88"/>
      <c r="T4495" s="88"/>
      <c r="U4495" s="88"/>
      <c r="V4495" s="88"/>
      <c r="W4495" s="88"/>
    </row>
    <row r="4496" spans="2:23" s="0" customFormat="0" ht="15">
      <c r="B4496" s="87" t="s">
        <v>1</v>
      </c>
      <c r="C4496" s="88" t="s">
        <v>5259</v>
      </c>
      <c r="D4496" s="88" t="s">
        <v>3359</v>
      </c>
      <c r="E4496" s="88" t="s">
        <v>61</v>
      </c>
      <c r="F4496" s="88">
        <v>0</v>
      </c>
      <c r="G4496" s="78">
        <f>MAX(H4496,I4496,J4496)</f>
        <v>0</v>
      </c>
      <c r="H4496" s="88"/>
      <c r="I4496" s="88"/>
      <c r="J4496" s="78">
        <f>MAX(K4496:Q4496)</f>
        <v>0</v>
      </c>
      <c r="K4496" s="88"/>
      <c r="L4496" s="88"/>
      <c r="M4496" s="88"/>
      <c r="N4496" s="88"/>
      <c r="O4496" s="88"/>
      <c r="P4496" s="88"/>
      <c r="Q4496" s="88"/>
      <c r="R4496" s="78">
        <f>MAX(S4496:W4496)</f>
        <v>1</v>
      </c>
      <c r="S4496" s="88"/>
      <c r="T4496" s="88"/>
      <c r="U4496" s="88">
        <v>1</v>
      </c>
      <c r="V4496" s="88"/>
      <c r="W4496" s="88"/>
    </row>
    <row r="4497" spans="2:23" s="0" customFormat="0" ht="15">
      <c r="B4497" s="87" t="s">
        <v>1</v>
      </c>
      <c r="C4497" s="88" t="s">
        <v>5259</v>
      </c>
      <c r="D4497" s="88">
        <v>2073509</v>
      </c>
      <c r="E4497" s="88" t="s">
        <v>61</v>
      </c>
      <c r="F4497" s="88">
        <v>0</v>
      </c>
      <c r="G4497" s="78">
        <f>MAX(H4497,I4497,J4497)</f>
        <v>1</v>
      </c>
      <c r="H4497" s="88"/>
      <c r="I4497" s="88"/>
      <c r="J4497" s="78">
        <f>MAX(K4497:Q4497)</f>
        <v>1</v>
      </c>
      <c r="K4497" s="88">
        <v>1</v>
      </c>
      <c r="L4497" s="88"/>
      <c r="M4497" s="88"/>
      <c r="N4497" s="88"/>
      <c r="O4497" s="88"/>
      <c r="P4497" s="88"/>
      <c r="Q4497" s="88"/>
      <c r="R4497" s="78">
        <f>MAX(S4497:W4497)</f>
        <v>0</v>
      </c>
      <c r="S4497" s="88"/>
      <c r="T4497" s="88"/>
      <c r="U4497" s="88"/>
      <c r="V4497" s="88"/>
      <c r="W4497" s="88"/>
    </row>
    <row r="4498" spans="2:23" s="0" customFormat="0" ht="15">
      <c r="B4498" s="87" t="s">
        <v>1</v>
      </c>
      <c r="C4498" s="88" t="s">
        <v>5259</v>
      </c>
      <c r="D4498" s="88">
        <v>11418404</v>
      </c>
      <c r="E4498" s="88" t="s">
        <v>61</v>
      </c>
      <c r="F4498" s="88">
        <v>0</v>
      </c>
      <c r="G4498" s="78">
        <f>MAX(H4498,I4498,J4498)</f>
        <v>1</v>
      </c>
      <c r="H4498" s="88"/>
      <c r="I4498" s="88"/>
      <c r="J4498" s="78">
        <f>MAX(K4498:Q4498)</f>
        <v>1</v>
      </c>
      <c r="K4498" s="88">
        <v>1</v>
      </c>
      <c r="L4498" s="88"/>
      <c r="M4498" s="88"/>
      <c r="N4498" s="88"/>
      <c r="O4498" s="88"/>
      <c r="P4498" s="88"/>
      <c r="Q4498" s="88"/>
      <c r="R4498" s="78">
        <f>MAX(S4498:W4498)</f>
        <v>0</v>
      </c>
      <c r="S4498" s="88"/>
      <c r="T4498" s="88"/>
      <c r="U4498" s="88"/>
      <c r="V4498" s="88"/>
      <c r="W4498" s="88"/>
    </row>
    <row r="4499" spans="2:23" s="0" customFormat="0" ht="15">
      <c r="B4499" s="87" t="s">
        <v>1</v>
      </c>
      <c r="C4499" s="88" t="s">
        <v>5259</v>
      </c>
      <c r="D4499" s="88">
        <v>21365025</v>
      </c>
      <c r="E4499" s="88" t="s">
        <v>61</v>
      </c>
      <c r="F4499" s="88">
        <v>0</v>
      </c>
      <c r="G4499" s="78">
        <f>MAX(H4499,I4499,J4499)</f>
        <v>1</v>
      </c>
      <c r="H4499" s="88"/>
      <c r="I4499" s="88"/>
      <c r="J4499" s="78">
        <f>MAX(K4499:Q4499)</f>
        <v>1</v>
      </c>
      <c r="K4499" s="88">
        <v>1</v>
      </c>
      <c r="L4499" s="88"/>
      <c r="M4499" s="88"/>
      <c r="N4499" s="88"/>
      <c r="O4499" s="88"/>
      <c r="P4499" s="88"/>
      <c r="Q4499" s="88"/>
      <c r="R4499" s="78">
        <f>MAX(S4499:W4499)</f>
        <v>0</v>
      </c>
      <c r="S4499" s="88"/>
      <c r="T4499" s="88"/>
      <c r="U4499" s="88"/>
      <c r="V4499" s="88"/>
      <c r="W4499" s="88"/>
    </row>
    <row r="4500" spans="2:23" s="0" customFormat="0" ht="15">
      <c r="B4500" s="87" t="s">
        <v>1</v>
      </c>
      <c r="C4500" s="88" t="s">
        <v>5259</v>
      </c>
      <c r="D4500" s="88" t="s">
        <v>4971</v>
      </c>
      <c r="E4500" s="88" t="s">
        <v>61</v>
      </c>
      <c r="F4500" s="88">
        <v>0</v>
      </c>
      <c r="G4500" s="78">
        <f>MAX(H4500,I4500,J4500)</f>
        <v>0</v>
      </c>
      <c r="H4500" s="88"/>
      <c r="I4500" s="88"/>
      <c r="J4500" s="78">
        <f>MAX(K4500:Q4500)</f>
        <v>0</v>
      </c>
      <c r="K4500" s="88"/>
      <c r="L4500" s="88"/>
      <c r="M4500" s="88"/>
      <c r="N4500" s="88"/>
      <c r="O4500" s="88"/>
      <c r="P4500" s="88"/>
      <c r="Q4500" s="88"/>
      <c r="R4500" s="78">
        <f>MAX(S4500:W4500)</f>
        <v>1</v>
      </c>
      <c r="S4500" s="88"/>
      <c r="T4500" s="88"/>
      <c r="U4500" s="88">
        <v>1</v>
      </c>
      <c r="V4500" s="88"/>
      <c r="W4500" s="88"/>
    </row>
    <row r="4501" spans="2:23" s="0" customFormat="0" ht="15">
      <c r="B4501" s="87" t="s">
        <v>1</v>
      </c>
      <c r="C4501" s="88" t="s">
        <v>5259</v>
      </c>
      <c r="D4501" s="88">
        <v>22554592</v>
      </c>
      <c r="E4501" s="88" t="s">
        <v>61</v>
      </c>
      <c r="F4501" s="88">
        <v>0</v>
      </c>
      <c r="G4501" s="78">
        <f>MAX(H4501,I4501,J4501)</f>
        <v>0</v>
      </c>
      <c r="H4501" s="88"/>
      <c r="I4501" s="88"/>
      <c r="J4501" s="78">
        <f>MAX(K4501:Q4501)</f>
        <v>0</v>
      </c>
      <c r="K4501" s="88"/>
      <c r="L4501" s="88"/>
      <c r="M4501" s="88"/>
      <c r="N4501" s="88"/>
      <c r="O4501" s="88"/>
      <c r="P4501" s="88"/>
      <c r="Q4501" s="88"/>
      <c r="R4501" s="78">
        <f>MAX(S4501:W4501)</f>
        <v>1</v>
      </c>
      <c r="S4501" s="88"/>
      <c r="T4501" s="88"/>
      <c r="U4501" s="88">
        <v>1</v>
      </c>
      <c r="V4501" s="88"/>
      <c r="W4501" s="88"/>
    </row>
    <row r="4502" spans="2:23" s="0" customFormat="0" ht="15">
      <c r="B4502" s="87" t="s">
        <v>1</v>
      </c>
      <c r="C4502" s="88" t="s">
        <v>5259</v>
      </c>
      <c r="D4502" s="88" t="s">
        <v>4973</v>
      </c>
      <c r="E4502" s="88" t="s">
        <v>61</v>
      </c>
      <c r="F4502" s="88">
        <v>0</v>
      </c>
      <c r="G4502" s="78">
        <f>MAX(H4502,I4502,J4502)</f>
        <v>0</v>
      </c>
      <c r="H4502" s="88"/>
      <c r="I4502" s="88"/>
      <c r="J4502" s="78">
        <f>MAX(K4502:Q4502)</f>
        <v>0</v>
      </c>
      <c r="K4502" s="88"/>
      <c r="L4502" s="88"/>
      <c r="M4502" s="88"/>
      <c r="N4502" s="88"/>
      <c r="O4502" s="88"/>
      <c r="P4502" s="88"/>
      <c r="Q4502" s="88"/>
      <c r="R4502" s="78">
        <f>MAX(S4502:W4502)</f>
        <v>1</v>
      </c>
      <c r="S4502" s="88"/>
      <c r="T4502" s="88"/>
      <c r="U4502" s="88">
        <v>1</v>
      </c>
      <c r="V4502" s="88"/>
      <c r="W4502" s="88"/>
    </row>
    <row r="4503" spans="2:23" s="0" customFormat="0" ht="15">
      <c r="B4503" s="87" t="s">
        <v>1</v>
      </c>
      <c r="C4503" s="88" t="s">
        <v>5259</v>
      </c>
      <c r="D4503" s="88">
        <v>17490485</v>
      </c>
      <c r="E4503" s="88" t="s">
        <v>61</v>
      </c>
      <c r="F4503" s="88">
        <v>0</v>
      </c>
      <c r="G4503" s="78">
        <f>MAX(H4503,I4503,J4503)</f>
        <v>1</v>
      </c>
      <c r="H4503" s="88"/>
      <c r="I4503" s="88"/>
      <c r="J4503" s="78">
        <f>MAX(K4503:Q4503)</f>
        <v>1</v>
      </c>
      <c r="K4503" s="88">
        <v>1</v>
      </c>
      <c r="L4503" s="88"/>
      <c r="M4503" s="88"/>
      <c r="N4503" s="88"/>
      <c r="O4503" s="88"/>
      <c r="P4503" s="88"/>
      <c r="Q4503" s="88"/>
      <c r="R4503" s="78">
        <f>MAX(S4503:W4503)</f>
        <v>0</v>
      </c>
      <c r="S4503" s="88"/>
      <c r="T4503" s="88"/>
      <c r="U4503" s="88"/>
      <c r="V4503" s="88"/>
      <c r="W4503" s="88"/>
    </row>
    <row r="4504" spans="2:23" s="0" customFormat="0" ht="15">
      <c r="B4504" s="87" t="s">
        <v>1</v>
      </c>
      <c r="C4504" s="88" t="s">
        <v>5259</v>
      </c>
      <c r="D4504" s="88">
        <v>17809766</v>
      </c>
      <c r="E4504" s="88" t="s">
        <v>61</v>
      </c>
      <c r="F4504" s="88">
        <v>0</v>
      </c>
      <c r="G4504" s="78">
        <f>MAX(H4504,I4504,J4504)</f>
        <v>1</v>
      </c>
      <c r="H4504" s="88"/>
      <c r="I4504" s="88"/>
      <c r="J4504" s="78">
        <f>MAX(K4504:Q4504)</f>
        <v>1</v>
      </c>
      <c r="K4504" s="88"/>
      <c r="L4504" s="88">
        <v>1</v>
      </c>
      <c r="M4504" s="88"/>
      <c r="N4504" s="88"/>
      <c r="O4504" s="88"/>
      <c r="P4504" s="88"/>
      <c r="Q4504" s="88"/>
      <c r="R4504" s="78">
        <f>MAX(S4504:W4504)</f>
        <v>0</v>
      </c>
      <c r="S4504" s="88"/>
      <c r="T4504" s="88"/>
      <c r="U4504" s="88"/>
      <c r="V4504" s="88"/>
      <c r="W4504" s="88"/>
    </row>
    <row r="4505" spans="2:23" s="0" customFormat="0" ht="15">
      <c r="B4505" s="87" t="s">
        <v>1</v>
      </c>
      <c r="C4505" s="88" t="s">
        <v>5259</v>
      </c>
      <c r="D4505" s="88" t="s">
        <v>4975</v>
      </c>
      <c r="E4505" s="88" t="s">
        <v>61</v>
      </c>
      <c r="F4505" s="88">
        <v>0</v>
      </c>
      <c r="G4505" s="78">
        <f>MAX(H4505,I4505,J4505)</f>
        <v>0</v>
      </c>
      <c r="H4505" s="88"/>
      <c r="I4505" s="88"/>
      <c r="J4505" s="78">
        <f>MAX(K4505:Q4505)</f>
        <v>0</v>
      </c>
      <c r="K4505" s="88"/>
      <c r="L4505" s="88"/>
      <c r="M4505" s="88"/>
      <c r="N4505" s="88"/>
      <c r="O4505" s="88"/>
      <c r="P4505" s="88"/>
      <c r="Q4505" s="88"/>
      <c r="R4505" s="78">
        <f>MAX(S4505:W4505)</f>
        <v>1</v>
      </c>
      <c r="S4505" s="88"/>
      <c r="T4505" s="88"/>
      <c r="U4505" s="88">
        <v>1</v>
      </c>
      <c r="V4505" s="88"/>
      <c r="W4505" s="88"/>
    </row>
    <row r="4506" spans="2:23" s="0" customFormat="0" ht="15">
      <c r="B4506" s="87" t="s">
        <v>1</v>
      </c>
      <c r="C4506" s="88" t="s">
        <v>5259</v>
      </c>
      <c r="D4506" s="88" t="s">
        <v>2601</v>
      </c>
      <c r="E4506" s="88" t="s">
        <v>61</v>
      </c>
      <c r="F4506" s="88">
        <v>0</v>
      </c>
      <c r="G4506" s="78">
        <f>MAX(H4506,I4506,J4506)</f>
        <v>1</v>
      </c>
      <c r="H4506" s="88"/>
      <c r="I4506" s="88"/>
      <c r="J4506" s="78">
        <f>MAX(K4506:Q4506)</f>
        <v>1</v>
      </c>
      <c r="K4506" s="88">
        <v>1</v>
      </c>
      <c r="L4506" s="88"/>
      <c r="M4506" s="88"/>
      <c r="N4506" s="88"/>
      <c r="O4506" s="88"/>
      <c r="P4506" s="88"/>
      <c r="Q4506" s="88"/>
      <c r="R4506" s="78">
        <f>MAX(S4506:W4506)</f>
        <v>0</v>
      </c>
      <c r="S4506" s="88"/>
      <c r="T4506" s="88"/>
      <c r="U4506" s="88"/>
      <c r="V4506" s="88"/>
      <c r="W4506" s="88"/>
    </row>
    <row r="4507" spans="2:23" s="0" customFormat="0" ht="15">
      <c r="B4507" s="87" t="s">
        <v>1</v>
      </c>
      <c r="C4507" s="88" t="s">
        <v>5259</v>
      </c>
      <c r="D4507" s="88" t="s">
        <v>3299</v>
      </c>
      <c r="E4507" s="88" t="s">
        <v>61</v>
      </c>
      <c r="F4507" s="88">
        <v>0</v>
      </c>
      <c r="G4507" s="78">
        <f>MAX(H4507,I4507,J4507)</f>
        <v>0</v>
      </c>
      <c r="H4507" s="88"/>
      <c r="I4507" s="88"/>
      <c r="J4507" s="78">
        <f>MAX(K4507:Q4507)</f>
        <v>0</v>
      </c>
      <c r="K4507" s="88"/>
      <c r="L4507" s="88"/>
      <c r="M4507" s="88"/>
      <c r="N4507" s="88"/>
      <c r="O4507" s="88"/>
      <c r="P4507" s="88"/>
      <c r="Q4507" s="88"/>
      <c r="R4507" s="78">
        <f>MAX(S4507:W4507)</f>
        <v>1</v>
      </c>
      <c r="S4507" s="88"/>
      <c r="T4507" s="88"/>
      <c r="U4507" s="88">
        <v>1</v>
      </c>
      <c r="V4507" s="88"/>
      <c r="W4507" s="88"/>
    </row>
    <row r="4508" spans="2:23" s="0" customFormat="0" ht="15">
      <c r="B4508" s="87" t="s">
        <v>1</v>
      </c>
      <c r="C4508" s="88" t="s">
        <v>5259</v>
      </c>
      <c r="D4508" s="88" t="s">
        <v>2612</v>
      </c>
      <c r="E4508" s="88" t="s">
        <v>61</v>
      </c>
      <c r="F4508" s="88">
        <v>0</v>
      </c>
      <c r="G4508" s="78">
        <f>MAX(H4508,I4508,J4508)</f>
        <v>1</v>
      </c>
      <c r="H4508" s="88"/>
      <c r="I4508" s="88"/>
      <c r="J4508" s="78">
        <f>MAX(K4508:Q4508)</f>
        <v>1</v>
      </c>
      <c r="K4508" s="88">
        <v>1</v>
      </c>
      <c r="L4508" s="88"/>
      <c r="M4508" s="88"/>
      <c r="N4508" s="88"/>
      <c r="O4508" s="88"/>
      <c r="P4508" s="88"/>
      <c r="Q4508" s="88"/>
      <c r="R4508" s="78">
        <f>MAX(S4508:W4508)</f>
        <v>0</v>
      </c>
      <c r="S4508" s="88"/>
      <c r="T4508" s="88"/>
      <c r="U4508" s="88"/>
      <c r="V4508" s="88"/>
      <c r="W4508" s="88"/>
    </row>
    <row r="4509" spans="2:23" s="0" customFormat="0" ht="15">
      <c r="B4509" s="87" t="s">
        <v>1</v>
      </c>
      <c r="C4509" s="88" t="s">
        <v>5259</v>
      </c>
      <c r="D4509" s="88" t="s">
        <v>4977</v>
      </c>
      <c r="E4509" s="88" t="s">
        <v>61</v>
      </c>
      <c r="F4509" s="88">
        <v>0</v>
      </c>
      <c r="G4509" s="78">
        <f>MAX(H4509,I4509,J4509)</f>
        <v>0</v>
      </c>
      <c r="H4509" s="88"/>
      <c r="I4509" s="88"/>
      <c r="J4509" s="78">
        <f>MAX(K4509:Q4509)</f>
        <v>0</v>
      </c>
      <c r="K4509" s="88"/>
      <c r="L4509" s="88"/>
      <c r="M4509" s="88"/>
      <c r="N4509" s="88"/>
      <c r="O4509" s="88"/>
      <c r="P4509" s="88"/>
      <c r="Q4509" s="88"/>
      <c r="R4509" s="78">
        <f>MAX(S4509:W4509)</f>
        <v>1</v>
      </c>
      <c r="S4509" s="88"/>
      <c r="T4509" s="88"/>
      <c r="U4509" s="88">
        <v>1</v>
      </c>
      <c r="V4509" s="88"/>
      <c r="W4509" s="88"/>
    </row>
    <row r="4510" spans="2:23" s="0" customFormat="0" ht="15">
      <c r="B4510" s="87" t="s">
        <v>1</v>
      </c>
      <c r="C4510" s="88" t="s">
        <v>5259</v>
      </c>
      <c r="D4510" s="88" t="s">
        <v>2614</v>
      </c>
      <c r="E4510" s="88" t="s">
        <v>61</v>
      </c>
      <c r="F4510" s="88">
        <v>0</v>
      </c>
      <c r="G4510" s="78">
        <f>MAX(H4510,I4510,J4510)</f>
        <v>1</v>
      </c>
      <c r="H4510" s="88"/>
      <c r="I4510" s="88"/>
      <c r="J4510" s="78">
        <f>MAX(K4510:Q4510)</f>
        <v>1</v>
      </c>
      <c r="K4510" s="88">
        <v>1</v>
      </c>
      <c r="L4510" s="88"/>
      <c r="M4510" s="88"/>
      <c r="N4510" s="88"/>
      <c r="O4510" s="88"/>
      <c r="P4510" s="88"/>
      <c r="Q4510" s="88"/>
      <c r="R4510" s="78">
        <f>MAX(S4510:W4510)</f>
        <v>0</v>
      </c>
      <c r="S4510" s="88"/>
      <c r="T4510" s="88"/>
      <c r="U4510" s="88"/>
      <c r="V4510" s="88"/>
      <c r="W4510" s="88"/>
    </row>
    <row r="4511" spans="2:23" s="0" customFormat="0" ht="15">
      <c r="B4511" s="87" t="s">
        <v>1</v>
      </c>
      <c r="C4511" s="88" t="s">
        <v>5259</v>
      </c>
      <c r="D4511" s="88">
        <v>13098149</v>
      </c>
      <c r="E4511" s="88" t="s">
        <v>61</v>
      </c>
      <c r="F4511" s="88">
        <v>0</v>
      </c>
      <c r="G4511" s="78">
        <f>MAX(H4511,I4511,J4511)</f>
        <v>1</v>
      </c>
      <c r="H4511" s="88"/>
      <c r="I4511" s="88"/>
      <c r="J4511" s="78">
        <f>MAX(K4511:Q4511)</f>
        <v>1</v>
      </c>
      <c r="K4511" s="88">
        <v>1</v>
      </c>
      <c r="L4511" s="88"/>
      <c r="M4511" s="88"/>
      <c r="N4511" s="88"/>
      <c r="O4511" s="88"/>
      <c r="P4511" s="88"/>
      <c r="Q4511" s="88"/>
      <c r="R4511" s="78">
        <f>MAX(S4511:W4511)</f>
        <v>0</v>
      </c>
      <c r="S4511" s="88"/>
      <c r="T4511" s="88"/>
      <c r="U4511" s="88"/>
      <c r="V4511" s="88"/>
      <c r="W4511" s="88"/>
    </row>
    <row r="4512" spans="2:23" s="0" customFormat="0" ht="15">
      <c r="B4512" s="87" t="s">
        <v>1</v>
      </c>
      <c r="C4512" s="88" t="s">
        <v>5259</v>
      </c>
      <c r="D4512" s="88" t="s">
        <v>221</v>
      </c>
      <c r="E4512" s="88" t="s">
        <v>61</v>
      </c>
      <c r="F4512" s="88">
        <v>0</v>
      </c>
      <c r="G4512" s="78">
        <f>MAX(H4512,I4512,J4512)</f>
        <v>1</v>
      </c>
      <c r="H4512" s="88"/>
      <c r="I4512" s="88"/>
      <c r="J4512" s="78">
        <f>MAX(K4512:Q4512)</f>
        <v>1</v>
      </c>
      <c r="K4512" s="88">
        <v>1</v>
      </c>
      <c r="L4512" s="88"/>
      <c r="M4512" s="88"/>
      <c r="N4512" s="88"/>
      <c r="O4512" s="88"/>
      <c r="P4512" s="88"/>
      <c r="Q4512" s="88"/>
      <c r="R4512" s="78">
        <f>MAX(S4512:W4512)</f>
        <v>0</v>
      </c>
      <c r="S4512" s="88"/>
      <c r="T4512" s="88"/>
      <c r="U4512" s="88"/>
      <c r="V4512" s="88"/>
      <c r="W4512" s="88"/>
    </row>
    <row r="4513" spans="2:23" s="0" customFormat="0" ht="15">
      <c r="B4513" s="87" t="s">
        <v>1</v>
      </c>
      <c r="C4513" s="88" t="s">
        <v>5259</v>
      </c>
      <c r="D4513" s="88">
        <v>21237289</v>
      </c>
      <c r="E4513" s="88" t="s">
        <v>61</v>
      </c>
      <c r="F4513" s="88">
        <v>0</v>
      </c>
      <c r="G4513" s="78">
        <f>MAX(H4513,I4513,J4513)</f>
        <v>1</v>
      </c>
      <c r="H4513" s="88"/>
      <c r="I4513" s="88"/>
      <c r="J4513" s="78">
        <f>MAX(K4513:Q4513)</f>
        <v>1</v>
      </c>
      <c r="K4513" s="88">
        <v>1</v>
      </c>
      <c r="L4513" s="88"/>
      <c r="M4513" s="88"/>
      <c r="N4513" s="88"/>
      <c r="O4513" s="88"/>
      <c r="P4513" s="88"/>
      <c r="Q4513" s="88"/>
      <c r="R4513" s="78">
        <f>MAX(S4513:W4513)</f>
        <v>0</v>
      </c>
      <c r="S4513" s="88"/>
      <c r="T4513" s="88"/>
      <c r="U4513" s="88"/>
      <c r="V4513" s="88"/>
      <c r="W4513" s="88"/>
    </row>
    <row r="4514" spans="2:23" s="0" customFormat="0" ht="15">
      <c r="B4514" s="87" t="s">
        <v>1</v>
      </c>
      <c r="C4514" s="88" t="s">
        <v>5259</v>
      </c>
      <c r="D4514" s="88">
        <v>18055851</v>
      </c>
      <c r="E4514" s="88" t="s">
        <v>61</v>
      </c>
      <c r="F4514" s="88">
        <v>0</v>
      </c>
      <c r="G4514" s="78">
        <f>MAX(H4514,I4514,J4514)</f>
        <v>1</v>
      </c>
      <c r="H4514" s="88"/>
      <c r="I4514" s="88"/>
      <c r="J4514" s="78">
        <f>MAX(K4514:Q4514)</f>
        <v>1</v>
      </c>
      <c r="K4514" s="88">
        <v>1</v>
      </c>
      <c r="L4514" s="88"/>
      <c r="M4514" s="88"/>
      <c r="N4514" s="88"/>
      <c r="O4514" s="88"/>
      <c r="P4514" s="88"/>
      <c r="Q4514" s="88"/>
      <c r="R4514" s="78">
        <f>MAX(S4514:W4514)</f>
        <v>0</v>
      </c>
      <c r="S4514" s="88"/>
      <c r="T4514" s="88"/>
      <c r="U4514" s="88"/>
      <c r="V4514" s="88"/>
      <c r="W4514" s="88"/>
    </row>
    <row r="4515" spans="2:23" s="0" customFormat="0" ht="15">
      <c r="B4515" s="87" t="s">
        <v>1</v>
      </c>
      <c r="C4515" s="88" t="s">
        <v>5259</v>
      </c>
      <c r="D4515" s="88" t="s">
        <v>1680</v>
      </c>
      <c r="E4515" s="88" t="s">
        <v>61</v>
      </c>
      <c r="F4515" s="88">
        <v>0</v>
      </c>
      <c r="G4515" s="78">
        <f>MAX(H4515,I4515,J4515)</f>
        <v>1</v>
      </c>
      <c r="H4515" s="88"/>
      <c r="I4515" s="88"/>
      <c r="J4515" s="78">
        <f>MAX(K4515:Q4515)</f>
        <v>1</v>
      </c>
      <c r="K4515" s="88">
        <v>1</v>
      </c>
      <c r="L4515" s="88"/>
      <c r="M4515" s="88"/>
      <c r="N4515" s="88"/>
      <c r="O4515" s="88"/>
      <c r="P4515" s="88"/>
      <c r="Q4515" s="88"/>
      <c r="R4515" s="78">
        <f>MAX(S4515:W4515)</f>
        <v>0</v>
      </c>
      <c r="S4515" s="88"/>
      <c r="T4515" s="88"/>
      <c r="U4515" s="88"/>
      <c r="V4515" s="88"/>
      <c r="W4515" s="88"/>
    </row>
    <row r="4516" spans="2:23" s="0" customFormat="0" ht="15">
      <c r="B4516" s="87" t="s">
        <v>1</v>
      </c>
      <c r="C4516" s="88" t="s">
        <v>5259</v>
      </c>
      <c r="D4516" s="88">
        <v>21836613</v>
      </c>
      <c r="E4516" s="88" t="s">
        <v>61</v>
      </c>
      <c r="F4516" s="88">
        <v>0</v>
      </c>
      <c r="G4516" s="78">
        <f>MAX(H4516,I4516,J4516)</f>
        <v>1</v>
      </c>
      <c r="H4516" s="88"/>
      <c r="I4516" s="88"/>
      <c r="J4516" s="78">
        <f>MAX(K4516:Q4516)</f>
        <v>1</v>
      </c>
      <c r="K4516" s="88">
        <v>1</v>
      </c>
      <c r="L4516" s="88"/>
      <c r="M4516" s="88"/>
      <c r="N4516" s="88"/>
      <c r="O4516" s="88"/>
      <c r="P4516" s="88"/>
      <c r="Q4516" s="88"/>
      <c r="R4516" s="78">
        <f>MAX(S4516:W4516)</f>
        <v>0</v>
      </c>
      <c r="S4516" s="88"/>
      <c r="T4516" s="88"/>
      <c r="U4516" s="88"/>
      <c r="V4516" s="88"/>
      <c r="W4516" s="88"/>
    </row>
    <row r="4517" spans="2:23" s="0" customFormat="0" ht="15">
      <c r="B4517" s="87" t="s">
        <v>1</v>
      </c>
      <c r="C4517" s="88" t="s">
        <v>5259</v>
      </c>
      <c r="D4517" s="88">
        <v>24923220</v>
      </c>
      <c r="E4517" s="88" t="s">
        <v>61</v>
      </c>
      <c r="F4517" s="88">
        <v>0</v>
      </c>
      <c r="G4517" s="78">
        <f>MAX(H4517,I4517,J4517)</f>
        <v>1</v>
      </c>
      <c r="H4517" s="88"/>
      <c r="I4517" s="88"/>
      <c r="J4517" s="78">
        <f>MAX(K4517:Q4517)</f>
        <v>1</v>
      </c>
      <c r="K4517" s="88">
        <v>1</v>
      </c>
      <c r="L4517" s="88"/>
      <c r="M4517" s="88"/>
      <c r="N4517" s="88"/>
      <c r="O4517" s="88"/>
      <c r="P4517" s="88"/>
      <c r="Q4517" s="88"/>
      <c r="R4517" s="78">
        <f>MAX(S4517:W4517)</f>
        <v>0</v>
      </c>
      <c r="S4517" s="88"/>
      <c r="T4517" s="88"/>
      <c r="U4517" s="88"/>
      <c r="V4517" s="88"/>
      <c r="W4517" s="88"/>
    </row>
    <row r="4518" spans="2:23" s="0" customFormat="0" ht="15">
      <c r="B4518" s="87" t="s">
        <v>1</v>
      </c>
      <c r="C4518" s="88" t="s">
        <v>5259</v>
      </c>
      <c r="D4518" s="88" t="s">
        <v>4979</v>
      </c>
      <c r="E4518" s="88" t="s">
        <v>61</v>
      </c>
      <c r="F4518" s="88">
        <v>0</v>
      </c>
      <c r="G4518" s="78">
        <f>MAX(H4518,I4518,J4518)</f>
        <v>0</v>
      </c>
      <c r="H4518" s="88"/>
      <c r="I4518" s="88"/>
      <c r="J4518" s="78">
        <f>MAX(K4518:Q4518)</f>
        <v>0</v>
      </c>
      <c r="K4518" s="88"/>
      <c r="L4518" s="88"/>
      <c r="M4518" s="88"/>
      <c r="N4518" s="88"/>
      <c r="O4518" s="88"/>
      <c r="P4518" s="88"/>
      <c r="Q4518" s="88"/>
      <c r="R4518" s="78">
        <f>MAX(S4518:W4518)</f>
        <v>1</v>
      </c>
      <c r="S4518" s="88"/>
      <c r="T4518" s="88"/>
      <c r="U4518" s="88">
        <v>1</v>
      </c>
      <c r="V4518" s="88"/>
      <c r="W4518" s="88"/>
    </row>
    <row r="4519" spans="2:23" s="0" customFormat="0" ht="15">
      <c r="B4519" s="87" t="s">
        <v>1</v>
      </c>
      <c r="C4519" s="88" t="s">
        <v>5259</v>
      </c>
      <c r="D4519" s="88" t="s">
        <v>4377</v>
      </c>
      <c r="E4519" s="88" t="s">
        <v>61</v>
      </c>
      <c r="F4519" s="88">
        <v>0</v>
      </c>
      <c r="G4519" s="78">
        <f>MAX(H4519,I4519,J4519)</f>
        <v>0</v>
      </c>
      <c r="H4519" s="88"/>
      <c r="I4519" s="88"/>
      <c r="J4519" s="78">
        <f>MAX(K4519:Q4519)</f>
        <v>0</v>
      </c>
      <c r="K4519" s="88"/>
      <c r="L4519" s="88"/>
      <c r="M4519" s="88"/>
      <c r="N4519" s="88"/>
      <c r="O4519" s="88"/>
      <c r="P4519" s="88"/>
      <c r="Q4519" s="88"/>
      <c r="R4519" s="78">
        <f>MAX(S4519:W4519)</f>
        <v>1</v>
      </c>
      <c r="S4519" s="88"/>
      <c r="T4519" s="88"/>
      <c r="U4519" s="88">
        <v>1</v>
      </c>
      <c r="V4519" s="88"/>
      <c r="W4519" s="88"/>
    </row>
    <row r="4520" spans="2:23" s="0" customFormat="0" ht="15">
      <c r="B4520" s="87" t="s">
        <v>1</v>
      </c>
      <c r="C4520" s="88" t="s">
        <v>5259</v>
      </c>
      <c r="D4520" s="88">
        <v>1551421</v>
      </c>
      <c r="E4520" s="88" t="s">
        <v>61</v>
      </c>
      <c r="F4520" s="88">
        <v>0</v>
      </c>
      <c r="G4520" s="78">
        <f>MAX(H4520,I4520,J4520)</f>
        <v>0</v>
      </c>
      <c r="H4520" s="88"/>
      <c r="I4520" s="88"/>
      <c r="J4520" s="78">
        <f>MAX(K4520:Q4520)</f>
        <v>0</v>
      </c>
      <c r="K4520" s="88"/>
      <c r="L4520" s="88"/>
      <c r="M4520" s="88"/>
      <c r="N4520" s="88"/>
      <c r="O4520" s="88"/>
      <c r="P4520" s="88"/>
      <c r="Q4520" s="88"/>
      <c r="R4520" s="78">
        <f>MAX(S4520:W4520)</f>
        <v>1</v>
      </c>
      <c r="S4520" s="88"/>
      <c r="T4520" s="88"/>
      <c r="U4520" s="88">
        <v>1</v>
      </c>
      <c r="V4520" s="88"/>
      <c r="W4520" s="88"/>
    </row>
    <row r="4521" spans="2:23" s="0" customFormat="0" ht="15">
      <c r="B4521" s="87" t="s">
        <v>1</v>
      </c>
      <c r="C4521" s="88" t="s">
        <v>5259</v>
      </c>
      <c r="D4521" s="88">
        <v>12294996</v>
      </c>
      <c r="E4521" s="88" t="s">
        <v>61</v>
      </c>
      <c r="F4521" s="88">
        <v>0</v>
      </c>
      <c r="G4521" s="78">
        <f>MAX(H4521,I4521,J4521)</f>
        <v>1</v>
      </c>
      <c r="H4521" s="88"/>
      <c r="I4521" s="88"/>
      <c r="J4521" s="78">
        <f>MAX(K4521:Q4521)</f>
        <v>1</v>
      </c>
      <c r="K4521" s="88">
        <v>1</v>
      </c>
      <c r="L4521" s="88"/>
      <c r="M4521" s="88"/>
      <c r="N4521" s="88"/>
      <c r="O4521" s="88"/>
      <c r="P4521" s="88"/>
      <c r="Q4521" s="88"/>
      <c r="R4521" s="78">
        <f>MAX(S4521:W4521)</f>
        <v>0</v>
      </c>
      <c r="S4521" s="88"/>
      <c r="T4521" s="88"/>
      <c r="U4521" s="88"/>
      <c r="V4521" s="88"/>
      <c r="W4521" s="88"/>
    </row>
    <row r="4522" spans="2:23" s="0" customFormat="0" ht="15">
      <c r="B4522" s="87" t="s">
        <v>1</v>
      </c>
      <c r="C4522" s="88" t="s">
        <v>5259</v>
      </c>
      <c r="D4522" s="88" t="s">
        <v>4402</v>
      </c>
      <c r="E4522" s="88" t="s">
        <v>61</v>
      </c>
      <c r="F4522" s="88">
        <v>0</v>
      </c>
      <c r="G4522" s="78">
        <f>MAX(H4522,I4522,J4522)</f>
        <v>0</v>
      </c>
      <c r="H4522" s="88"/>
      <c r="I4522" s="88"/>
      <c r="J4522" s="78">
        <f>MAX(K4522:Q4522)</f>
        <v>0</v>
      </c>
      <c r="K4522" s="88"/>
      <c r="L4522" s="88"/>
      <c r="M4522" s="88"/>
      <c r="N4522" s="88"/>
      <c r="O4522" s="88"/>
      <c r="P4522" s="88"/>
      <c r="Q4522" s="88"/>
      <c r="R4522" s="78">
        <f>MAX(S4522:W4522)</f>
        <v>1</v>
      </c>
      <c r="S4522" s="88"/>
      <c r="T4522" s="88"/>
      <c r="U4522" s="88">
        <v>1</v>
      </c>
      <c r="V4522" s="88"/>
      <c r="W4522" s="88"/>
    </row>
    <row r="4523" spans="2:23" s="0" customFormat="0" ht="15">
      <c r="B4523" s="87" t="s">
        <v>1</v>
      </c>
      <c r="C4523" s="88" t="s">
        <v>5259</v>
      </c>
      <c r="D4523" s="88">
        <v>8364977</v>
      </c>
      <c r="E4523" s="88" t="s">
        <v>61</v>
      </c>
      <c r="F4523" s="88">
        <v>0</v>
      </c>
      <c r="G4523" s="78">
        <f>MAX(H4523,I4523,J4523)</f>
        <v>0</v>
      </c>
      <c r="H4523" s="88"/>
      <c r="I4523" s="88"/>
      <c r="J4523" s="78">
        <f>MAX(K4523:Q4523)</f>
        <v>0</v>
      </c>
      <c r="K4523" s="88"/>
      <c r="L4523" s="88"/>
      <c r="M4523" s="88"/>
      <c r="N4523" s="88"/>
      <c r="O4523" s="88"/>
      <c r="P4523" s="88"/>
      <c r="Q4523" s="88"/>
      <c r="R4523" s="78">
        <f>MAX(S4523:W4523)</f>
        <v>1</v>
      </c>
      <c r="S4523" s="88"/>
      <c r="T4523" s="88"/>
      <c r="U4523" s="88">
        <v>1</v>
      </c>
      <c r="V4523" s="88"/>
      <c r="W4523" s="88"/>
    </row>
    <row r="4524" spans="2:23" s="0" customFormat="0" ht="15">
      <c r="B4524" s="87" t="s">
        <v>1</v>
      </c>
      <c r="C4524" s="88" t="s">
        <v>5259</v>
      </c>
      <c r="D4524" s="88">
        <v>18568285</v>
      </c>
      <c r="E4524" s="88" t="s">
        <v>61</v>
      </c>
      <c r="F4524" s="88">
        <v>0</v>
      </c>
      <c r="G4524" s="78">
        <f>MAX(H4524,I4524,J4524)</f>
        <v>1</v>
      </c>
      <c r="H4524" s="88"/>
      <c r="I4524" s="88"/>
      <c r="J4524" s="78">
        <f>MAX(K4524:Q4524)</f>
        <v>1</v>
      </c>
      <c r="K4524" s="88">
        <v>1</v>
      </c>
      <c r="L4524" s="88"/>
      <c r="M4524" s="88"/>
      <c r="N4524" s="88"/>
      <c r="O4524" s="88"/>
      <c r="P4524" s="88"/>
      <c r="Q4524" s="88"/>
      <c r="R4524" s="78">
        <f>MAX(S4524:W4524)</f>
        <v>0</v>
      </c>
      <c r="S4524" s="88"/>
      <c r="T4524" s="88"/>
      <c r="U4524" s="88"/>
      <c r="V4524" s="88"/>
      <c r="W4524" s="88"/>
    </row>
    <row r="4525" spans="2:23" s="0" customFormat="0" ht="15">
      <c r="B4525" s="87" t="s">
        <v>1</v>
      </c>
      <c r="C4525" s="88" t="s">
        <v>5259</v>
      </c>
      <c r="D4525" s="88">
        <v>19566679</v>
      </c>
      <c r="E4525" s="88" t="s">
        <v>61</v>
      </c>
      <c r="F4525" s="88">
        <v>0</v>
      </c>
      <c r="G4525" s="78">
        <f>MAX(H4525,I4525,J4525)</f>
        <v>1</v>
      </c>
      <c r="H4525" s="88"/>
      <c r="I4525" s="88"/>
      <c r="J4525" s="78">
        <f>MAX(K4525:Q4525)</f>
        <v>1</v>
      </c>
      <c r="K4525" s="88">
        <v>1</v>
      </c>
      <c r="L4525" s="88"/>
      <c r="M4525" s="88"/>
      <c r="N4525" s="88"/>
      <c r="O4525" s="88"/>
      <c r="P4525" s="88"/>
      <c r="Q4525" s="88"/>
      <c r="R4525" s="78">
        <f>MAX(S4525:W4525)</f>
        <v>0</v>
      </c>
      <c r="S4525" s="88"/>
      <c r="T4525" s="88"/>
      <c r="U4525" s="88"/>
      <c r="V4525" s="88"/>
      <c r="W4525" s="88"/>
    </row>
    <row r="4526" spans="2:23" s="0" customFormat="0" ht="15">
      <c r="B4526" s="87" t="s">
        <v>1</v>
      </c>
      <c r="C4526" s="88" t="s">
        <v>5259</v>
      </c>
      <c r="D4526" s="88">
        <v>21838363</v>
      </c>
      <c r="E4526" s="88" t="s">
        <v>61</v>
      </c>
      <c r="F4526" s="88">
        <v>0</v>
      </c>
      <c r="G4526" s="78">
        <f>MAX(H4526,I4526,J4526)</f>
        <v>1</v>
      </c>
      <c r="H4526" s="88"/>
      <c r="I4526" s="88"/>
      <c r="J4526" s="78">
        <f>MAX(K4526:Q4526)</f>
        <v>1</v>
      </c>
      <c r="K4526" s="88">
        <v>1</v>
      </c>
      <c r="L4526" s="88"/>
      <c r="M4526" s="88"/>
      <c r="N4526" s="88"/>
      <c r="O4526" s="88"/>
      <c r="P4526" s="88"/>
      <c r="Q4526" s="88"/>
      <c r="R4526" s="78">
        <f>MAX(S4526:W4526)</f>
        <v>0</v>
      </c>
      <c r="S4526" s="88"/>
      <c r="T4526" s="88"/>
      <c r="U4526" s="88"/>
      <c r="V4526" s="88"/>
      <c r="W4526" s="88"/>
    </row>
    <row r="4527" spans="2:23" s="0" customFormat="0" ht="15">
      <c r="B4527" s="87" t="s">
        <v>1</v>
      </c>
      <c r="C4527" s="88" t="s">
        <v>5259</v>
      </c>
      <c r="D4527" s="88">
        <v>24178485</v>
      </c>
      <c r="E4527" s="88" t="s">
        <v>61</v>
      </c>
      <c r="F4527" s="88">
        <v>0</v>
      </c>
      <c r="G4527" s="78">
        <f>MAX(H4527,I4527,J4527)</f>
        <v>1</v>
      </c>
      <c r="H4527" s="88"/>
      <c r="I4527" s="88"/>
      <c r="J4527" s="78">
        <f>MAX(K4527:Q4527)</f>
        <v>1</v>
      </c>
      <c r="K4527" s="88">
        <v>1</v>
      </c>
      <c r="L4527" s="88"/>
      <c r="M4527" s="88"/>
      <c r="N4527" s="88"/>
      <c r="O4527" s="88"/>
      <c r="P4527" s="88"/>
      <c r="Q4527" s="88"/>
      <c r="R4527" s="78">
        <f>MAX(S4527:W4527)</f>
        <v>0</v>
      </c>
      <c r="S4527" s="88"/>
      <c r="T4527" s="88"/>
      <c r="U4527" s="88"/>
      <c r="V4527" s="88"/>
      <c r="W4527" s="88"/>
    </row>
    <row r="4528" spans="2:23" s="0" customFormat="0" ht="15">
      <c r="B4528" s="87" t="s">
        <v>1</v>
      </c>
      <c r="C4528" s="88" t="s">
        <v>5259</v>
      </c>
      <c r="D4528" s="88" t="s">
        <v>4982</v>
      </c>
      <c r="E4528" s="88" t="s">
        <v>61</v>
      </c>
      <c r="F4528" s="88">
        <v>0</v>
      </c>
      <c r="G4528" s="78">
        <f>MAX(H4528,I4528,J4528)</f>
        <v>0</v>
      </c>
      <c r="H4528" s="88"/>
      <c r="I4528" s="88"/>
      <c r="J4528" s="78">
        <f>MAX(K4528:Q4528)</f>
        <v>0</v>
      </c>
      <c r="K4528" s="88"/>
      <c r="L4528" s="88"/>
      <c r="M4528" s="88"/>
      <c r="N4528" s="88"/>
      <c r="O4528" s="88"/>
      <c r="P4528" s="88"/>
      <c r="Q4528" s="88"/>
      <c r="R4528" s="78">
        <f>MAX(S4528:W4528)</f>
        <v>1</v>
      </c>
      <c r="S4528" s="88"/>
      <c r="T4528" s="88"/>
      <c r="U4528" s="88">
        <v>1</v>
      </c>
      <c r="V4528" s="88"/>
      <c r="W4528" s="88"/>
    </row>
    <row r="4529" spans="2:23" s="0" customFormat="0" ht="15">
      <c r="B4529" s="87" t="s">
        <v>1</v>
      </c>
      <c r="C4529" s="88" t="s">
        <v>5259</v>
      </c>
      <c r="D4529" s="88" t="s">
        <v>2618</v>
      </c>
      <c r="E4529" s="88" t="s">
        <v>61</v>
      </c>
      <c r="F4529" s="88">
        <v>0</v>
      </c>
      <c r="G4529" s="78">
        <f>MAX(H4529,I4529,J4529)</f>
        <v>1</v>
      </c>
      <c r="H4529" s="88"/>
      <c r="I4529" s="88"/>
      <c r="J4529" s="78">
        <f>MAX(K4529:Q4529)</f>
        <v>1</v>
      </c>
      <c r="K4529" s="88">
        <v>1</v>
      </c>
      <c r="L4529" s="88"/>
      <c r="M4529" s="88"/>
      <c r="N4529" s="88"/>
      <c r="O4529" s="88"/>
      <c r="P4529" s="88"/>
      <c r="Q4529" s="88"/>
      <c r="R4529" s="78">
        <f>MAX(S4529:W4529)</f>
        <v>0</v>
      </c>
      <c r="S4529" s="88"/>
      <c r="T4529" s="88"/>
      <c r="U4529" s="88"/>
      <c r="V4529" s="88"/>
      <c r="W4529" s="88"/>
    </row>
    <row r="4530" spans="2:23" s="0" customFormat="0" ht="15">
      <c r="B4530" s="87" t="s">
        <v>1</v>
      </c>
      <c r="C4530" s="88" t="s">
        <v>5259</v>
      </c>
      <c r="D4530" s="88">
        <v>24867329</v>
      </c>
      <c r="E4530" s="88" t="s">
        <v>61</v>
      </c>
      <c r="F4530" s="88">
        <v>0</v>
      </c>
      <c r="G4530" s="78">
        <f>MAX(H4530,I4530,J4530)</f>
        <v>1</v>
      </c>
      <c r="H4530" s="88"/>
      <c r="I4530" s="88"/>
      <c r="J4530" s="78">
        <f>MAX(K4530:Q4530)</f>
        <v>1</v>
      </c>
      <c r="K4530" s="88">
        <v>1</v>
      </c>
      <c r="L4530" s="88"/>
      <c r="M4530" s="88"/>
      <c r="N4530" s="88"/>
      <c r="O4530" s="88"/>
      <c r="P4530" s="88"/>
      <c r="Q4530" s="88"/>
      <c r="R4530" s="78">
        <f>MAX(S4530:W4530)</f>
        <v>0</v>
      </c>
      <c r="S4530" s="88"/>
      <c r="T4530" s="88"/>
      <c r="U4530" s="88"/>
      <c r="V4530" s="88"/>
      <c r="W4530" s="88"/>
    </row>
    <row r="4531" spans="2:23" s="0" customFormat="0" ht="15">
      <c r="B4531" s="87" t="s">
        <v>1</v>
      </c>
      <c r="C4531" s="88" t="s">
        <v>5259</v>
      </c>
      <c r="D4531" s="88" t="s">
        <v>4864</v>
      </c>
      <c r="E4531" s="88" t="s">
        <v>61</v>
      </c>
      <c r="F4531" s="88">
        <v>0</v>
      </c>
      <c r="G4531" s="78">
        <f>MAX(H4531,I4531,J4531)</f>
        <v>0</v>
      </c>
      <c r="H4531" s="88"/>
      <c r="I4531" s="88"/>
      <c r="J4531" s="78">
        <f>MAX(K4531:Q4531)</f>
        <v>0</v>
      </c>
      <c r="K4531" s="88"/>
      <c r="L4531" s="88"/>
      <c r="M4531" s="88"/>
      <c r="N4531" s="88"/>
      <c r="O4531" s="88"/>
      <c r="P4531" s="88"/>
      <c r="Q4531" s="88"/>
      <c r="R4531" s="78">
        <f>MAX(S4531:W4531)</f>
        <v>1</v>
      </c>
      <c r="S4531" s="88"/>
      <c r="T4531" s="88"/>
      <c r="U4531" s="88">
        <v>1</v>
      </c>
      <c r="V4531" s="88"/>
      <c r="W4531" s="88"/>
    </row>
    <row r="4532" spans="2:23" s="0" customFormat="0" ht="15">
      <c r="B4532" s="87" t="s">
        <v>1</v>
      </c>
      <c r="C4532" s="88" t="s">
        <v>5259</v>
      </c>
      <c r="D4532" s="88" t="s">
        <v>3086</v>
      </c>
      <c r="E4532" s="88" t="s">
        <v>61</v>
      </c>
      <c r="F4532" s="88">
        <v>0</v>
      </c>
      <c r="G4532" s="78">
        <f>MAX(H4532,I4532,J4532)</f>
        <v>1</v>
      </c>
      <c r="H4532" s="88"/>
      <c r="I4532" s="88"/>
      <c r="J4532" s="78">
        <f>MAX(K4532:Q4532)</f>
        <v>1</v>
      </c>
      <c r="K4532" s="88"/>
      <c r="L4532" s="88"/>
      <c r="M4532" s="88">
        <v>1</v>
      </c>
      <c r="N4532" s="88"/>
      <c r="O4532" s="88"/>
      <c r="P4532" s="88"/>
      <c r="Q4532" s="88"/>
      <c r="R4532" s="78">
        <f>MAX(S4532:W4532)</f>
        <v>0</v>
      </c>
      <c r="S4532" s="88"/>
      <c r="T4532" s="88"/>
      <c r="U4532" s="88"/>
      <c r="V4532" s="88"/>
      <c r="W4532" s="88"/>
    </row>
    <row r="4533" spans="2:23" s="0" customFormat="0" ht="15">
      <c r="B4533" s="87" t="s">
        <v>1</v>
      </c>
      <c r="C4533" s="88" t="s">
        <v>5259</v>
      </c>
      <c r="D4533" s="88" t="s">
        <v>4984</v>
      </c>
      <c r="E4533" s="88" t="s">
        <v>61</v>
      </c>
      <c r="F4533" s="88">
        <v>0</v>
      </c>
      <c r="G4533" s="78">
        <f>MAX(H4533,I4533,J4533)</f>
        <v>0</v>
      </c>
      <c r="H4533" s="88"/>
      <c r="I4533" s="88"/>
      <c r="J4533" s="78">
        <f>MAX(K4533:Q4533)</f>
        <v>0</v>
      </c>
      <c r="K4533" s="88"/>
      <c r="L4533" s="88"/>
      <c r="M4533" s="88"/>
      <c r="N4533" s="88"/>
      <c r="O4533" s="88"/>
      <c r="P4533" s="88"/>
      <c r="Q4533" s="88"/>
      <c r="R4533" s="78">
        <f>MAX(S4533:W4533)</f>
        <v>1</v>
      </c>
      <c r="S4533" s="88"/>
      <c r="T4533" s="88"/>
      <c r="U4533" s="88">
        <v>1</v>
      </c>
      <c r="V4533" s="88"/>
      <c r="W4533" s="88"/>
    </row>
    <row r="4534" spans="2:23" s="0" customFormat="0" ht="15">
      <c r="B4534" s="87" t="s">
        <v>1</v>
      </c>
      <c r="C4534" s="88" t="s">
        <v>5259</v>
      </c>
      <c r="D4534" s="88">
        <v>224422</v>
      </c>
      <c r="E4534" s="88" t="s">
        <v>61</v>
      </c>
      <c r="F4534" s="88">
        <v>0</v>
      </c>
      <c r="G4534" s="78">
        <f>MAX(H4534,I4534,J4534)</f>
        <v>1</v>
      </c>
      <c r="H4534" s="88"/>
      <c r="I4534" s="88"/>
      <c r="J4534" s="78">
        <f>MAX(K4534:Q4534)</f>
        <v>1</v>
      </c>
      <c r="K4534" s="88">
        <v>1</v>
      </c>
      <c r="L4534" s="88"/>
      <c r="M4534" s="88"/>
      <c r="N4534" s="88"/>
      <c r="O4534" s="88"/>
      <c r="P4534" s="88"/>
      <c r="Q4534" s="88"/>
      <c r="R4534" s="78">
        <f>MAX(S4534:W4534)</f>
        <v>0</v>
      </c>
      <c r="S4534" s="88"/>
      <c r="T4534" s="88"/>
      <c r="U4534" s="88"/>
      <c r="V4534" s="88"/>
      <c r="W4534" s="88"/>
    </row>
    <row r="4535" spans="2:23" s="0" customFormat="0" ht="15">
      <c r="B4535" s="87" t="s">
        <v>1</v>
      </c>
      <c r="C4535" s="88" t="s">
        <v>5259</v>
      </c>
      <c r="D4535" s="88" t="s">
        <v>3293</v>
      </c>
      <c r="E4535" s="88" t="s">
        <v>61</v>
      </c>
      <c r="F4535" s="88">
        <v>0</v>
      </c>
      <c r="G4535" s="78">
        <f>MAX(H4535,I4535,J4535)</f>
        <v>0</v>
      </c>
      <c r="H4535" s="88"/>
      <c r="I4535" s="88"/>
      <c r="J4535" s="78">
        <f>MAX(K4535:Q4535)</f>
        <v>0</v>
      </c>
      <c r="K4535" s="88"/>
      <c r="L4535" s="88"/>
      <c r="M4535" s="88"/>
      <c r="N4535" s="88"/>
      <c r="O4535" s="88"/>
      <c r="P4535" s="88"/>
      <c r="Q4535" s="88"/>
      <c r="R4535" s="78">
        <f>MAX(S4535:W4535)</f>
        <v>1</v>
      </c>
      <c r="S4535" s="88"/>
      <c r="T4535" s="88"/>
      <c r="U4535" s="88">
        <v>1</v>
      </c>
      <c r="V4535" s="88"/>
      <c r="W4535" s="88"/>
    </row>
    <row r="4536" spans="2:23" s="0" customFormat="0" ht="15">
      <c r="B4536" s="87" t="s">
        <v>1</v>
      </c>
      <c r="C4536" s="88" t="s">
        <v>5259</v>
      </c>
      <c r="D4536" s="88" t="s">
        <v>1749</v>
      </c>
      <c r="E4536" s="88" t="s">
        <v>61</v>
      </c>
      <c r="F4536" s="88">
        <v>0</v>
      </c>
      <c r="G4536" s="78">
        <f>MAX(H4536,I4536,J4536)</f>
        <v>1</v>
      </c>
      <c r="H4536" s="88"/>
      <c r="I4536" s="88"/>
      <c r="J4536" s="78">
        <f>MAX(K4536:Q4536)</f>
        <v>1</v>
      </c>
      <c r="K4536" s="88">
        <v>1</v>
      </c>
      <c r="L4536" s="88"/>
      <c r="M4536" s="88"/>
      <c r="N4536" s="88"/>
      <c r="O4536" s="88"/>
      <c r="P4536" s="88"/>
      <c r="Q4536" s="88"/>
      <c r="R4536" s="78">
        <f>MAX(S4536:W4536)</f>
        <v>0</v>
      </c>
      <c r="S4536" s="88"/>
      <c r="T4536" s="88"/>
      <c r="U4536" s="88"/>
      <c r="V4536" s="88"/>
      <c r="W4536" s="88"/>
    </row>
    <row r="4537" spans="2:23" s="0" customFormat="0" ht="15">
      <c r="B4537" s="87" t="s">
        <v>1</v>
      </c>
      <c r="C4537" s="88" t="s">
        <v>5259</v>
      </c>
      <c r="D4537" s="88">
        <v>16974691</v>
      </c>
      <c r="E4537" s="88" t="s">
        <v>61</v>
      </c>
      <c r="F4537" s="88">
        <v>0</v>
      </c>
      <c r="G4537" s="78">
        <f>MAX(H4537,I4537,J4537)</f>
        <v>0</v>
      </c>
      <c r="H4537" s="88"/>
      <c r="I4537" s="88"/>
      <c r="J4537" s="78">
        <f>MAX(K4537:Q4537)</f>
        <v>0</v>
      </c>
      <c r="K4537" s="88"/>
      <c r="L4537" s="88"/>
      <c r="M4537" s="88"/>
      <c r="N4537" s="88"/>
      <c r="O4537" s="88"/>
      <c r="P4537" s="88"/>
      <c r="Q4537" s="88"/>
      <c r="R4537" s="78">
        <f>MAX(S4537:W4537)</f>
        <v>1</v>
      </c>
      <c r="S4537" s="88"/>
      <c r="T4537" s="88"/>
      <c r="U4537" s="88">
        <v>1</v>
      </c>
      <c r="V4537" s="88"/>
      <c r="W4537" s="88"/>
    </row>
    <row r="4538" spans="2:23" s="0" customFormat="0" ht="15">
      <c r="B4538" s="87" t="s">
        <v>1</v>
      </c>
      <c r="C4538" s="88" t="s">
        <v>5259</v>
      </c>
      <c r="D4538" s="88" t="s">
        <v>2621</v>
      </c>
      <c r="E4538" s="88" t="s">
        <v>61</v>
      </c>
      <c r="F4538" s="88">
        <v>0</v>
      </c>
      <c r="G4538" s="78">
        <f>MAX(H4538,I4538,J4538)</f>
        <v>1</v>
      </c>
      <c r="H4538" s="88"/>
      <c r="I4538" s="88"/>
      <c r="J4538" s="78">
        <f>MAX(K4538:Q4538)</f>
        <v>1</v>
      </c>
      <c r="K4538" s="88">
        <v>1</v>
      </c>
      <c r="L4538" s="88"/>
      <c r="M4538" s="88"/>
      <c r="N4538" s="88"/>
      <c r="O4538" s="88"/>
      <c r="P4538" s="88"/>
      <c r="Q4538" s="88"/>
      <c r="R4538" s="78">
        <f>MAX(S4538:W4538)</f>
        <v>0</v>
      </c>
      <c r="S4538" s="88"/>
      <c r="T4538" s="88"/>
      <c r="U4538" s="88"/>
      <c r="V4538" s="88"/>
      <c r="W4538" s="88"/>
    </row>
    <row r="4539" spans="2:23" s="0" customFormat="0" ht="15">
      <c r="B4539" s="87" t="s">
        <v>1</v>
      </c>
      <c r="C4539" s="88" t="s">
        <v>5259</v>
      </c>
      <c r="D4539" s="88" t="s">
        <v>4421</v>
      </c>
      <c r="E4539" s="88" t="s">
        <v>61</v>
      </c>
      <c r="F4539" s="88">
        <v>0</v>
      </c>
      <c r="G4539" s="78">
        <f>MAX(H4539,I4539,J4539)</f>
        <v>0</v>
      </c>
      <c r="H4539" s="88"/>
      <c r="I4539" s="88"/>
      <c r="J4539" s="78">
        <f>MAX(K4539:Q4539)</f>
        <v>0</v>
      </c>
      <c r="K4539" s="88"/>
      <c r="L4539" s="88"/>
      <c r="M4539" s="88"/>
      <c r="N4539" s="88"/>
      <c r="O4539" s="88"/>
      <c r="P4539" s="88"/>
      <c r="Q4539" s="88"/>
      <c r="R4539" s="78">
        <f>MAX(S4539:W4539)</f>
        <v>1</v>
      </c>
      <c r="S4539" s="88"/>
      <c r="T4539" s="88"/>
      <c r="U4539" s="88">
        <v>1</v>
      </c>
      <c r="V4539" s="88"/>
      <c r="W4539" s="88"/>
    </row>
    <row r="4540" spans="2:23" s="0" customFormat="0" ht="15">
      <c r="B4540" s="87" t="s">
        <v>1</v>
      </c>
      <c r="C4540" s="88" t="s">
        <v>5259</v>
      </c>
      <c r="D4540" s="88">
        <v>20810865</v>
      </c>
      <c r="E4540" s="88" t="s">
        <v>61</v>
      </c>
      <c r="F4540" s="88">
        <v>0</v>
      </c>
      <c r="G4540" s="78">
        <f>MAX(H4540,I4540,J4540)</f>
        <v>1</v>
      </c>
      <c r="H4540" s="88"/>
      <c r="I4540" s="88"/>
      <c r="J4540" s="78">
        <f>MAX(K4540:Q4540)</f>
        <v>1</v>
      </c>
      <c r="K4540" s="88">
        <v>1</v>
      </c>
      <c r="L4540" s="88"/>
      <c r="M4540" s="88"/>
      <c r="N4540" s="88"/>
      <c r="O4540" s="88"/>
      <c r="P4540" s="88"/>
      <c r="Q4540" s="88"/>
      <c r="R4540" s="78">
        <f>MAX(S4540:W4540)</f>
        <v>0</v>
      </c>
      <c r="S4540" s="88"/>
      <c r="T4540" s="88"/>
      <c r="U4540" s="88"/>
      <c r="V4540" s="88"/>
      <c r="W4540" s="88"/>
    </row>
    <row r="4541" spans="2:23" s="0" customFormat="0" ht="15">
      <c r="B4541" s="87" t="s">
        <v>1</v>
      </c>
      <c r="C4541" s="88" t="s">
        <v>5259</v>
      </c>
      <c r="D4541" s="88">
        <v>14942238</v>
      </c>
      <c r="E4541" s="88" t="s">
        <v>61</v>
      </c>
      <c r="F4541" s="88">
        <v>0</v>
      </c>
      <c r="G4541" s="78">
        <f>MAX(H4541,I4541,J4541)</f>
        <v>1</v>
      </c>
      <c r="H4541" s="88"/>
      <c r="I4541" s="88"/>
      <c r="J4541" s="78">
        <f>MAX(K4541:Q4541)</f>
        <v>1</v>
      </c>
      <c r="K4541" s="88">
        <v>1</v>
      </c>
      <c r="L4541" s="88"/>
      <c r="M4541" s="88"/>
      <c r="N4541" s="88"/>
      <c r="O4541" s="88"/>
      <c r="P4541" s="88"/>
      <c r="Q4541" s="88"/>
      <c r="R4541" s="78">
        <f>MAX(S4541:W4541)</f>
        <v>0</v>
      </c>
      <c r="S4541" s="88"/>
      <c r="T4541" s="88"/>
      <c r="U4541" s="88"/>
      <c r="V4541" s="88"/>
      <c r="W4541" s="88"/>
    </row>
    <row r="4542" spans="2:23" s="0" customFormat="0" ht="15">
      <c r="B4542" s="87" t="s">
        <v>1</v>
      </c>
      <c r="C4542" s="88" t="s">
        <v>5259</v>
      </c>
      <c r="D4542" s="88">
        <v>21105300</v>
      </c>
      <c r="E4542" s="88" t="s">
        <v>61</v>
      </c>
      <c r="F4542" s="88">
        <v>0</v>
      </c>
      <c r="G4542" s="78">
        <f>MAX(H4542,I4542,J4542)</f>
        <v>1</v>
      </c>
      <c r="H4542" s="88"/>
      <c r="I4542" s="88"/>
      <c r="J4542" s="78">
        <f>MAX(K4542:Q4542)</f>
        <v>1</v>
      </c>
      <c r="K4542" s="88">
        <v>1</v>
      </c>
      <c r="L4542" s="88"/>
      <c r="M4542" s="88"/>
      <c r="N4542" s="88"/>
      <c r="O4542" s="88"/>
      <c r="P4542" s="88"/>
      <c r="Q4542" s="88"/>
      <c r="R4542" s="78">
        <f>MAX(S4542:W4542)</f>
        <v>0</v>
      </c>
      <c r="S4542" s="88"/>
      <c r="T4542" s="88"/>
      <c r="U4542" s="88"/>
      <c r="V4542" s="88"/>
      <c r="W4542" s="88"/>
    </row>
    <row r="4543" spans="2:23" s="0" customFormat="0" ht="15">
      <c r="B4543" s="87" t="s">
        <v>1</v>
      </c>
      <c r="C4543" s="88" t="s">
        <v>5259</v>
      </c>
      <c r="D4543" s="88" t="s">
        <v>1511</v>
      </c>
      <c r="E4543" s="88" t="s">
        <v>61</v>
      </c>
      <c r="F4543" s="88">
        <v>0</v>
      </c>
      <c r="G4543" s="78">
        <f>MAX(H4543,I4543,J4543)</f>
        <v>1</v>
      </c>
      <c r="H4543" s="88"/>
      <c r="I4543" s="88"/>
      <c r="J4543" s="78">
        <f>MAX(K4543:Q4543)</f>
        <v>1</v>
      </c>
      <c r="K4543" s="88">
        <v>1</v>
      </c>
      <c r="L4543" s="88"/>
      <c r="M4543" s="88"/>
      <c r="N4543" s="88"/>
      <c r="O4543" s="88"/>
      <c r="P4543" s="88"/>
      <c r="Q4543" s="88"/>
      <c r="R4543" s="78">
        <f>MAX(S4543:W4543)</f>
        <v>0</v>
      </c>
      <c r="S4543" s="88"/>
      <c r="T4543" s="88"/>
      <c r="U4543" s="88"/>
      <c r="V4543" s="88"/>
      <c r="W4543" s="88"/>
    </row>
    <row r="4544" spans="2:23" s="0" customFormat="0" ht="15">
      <c r="B4544" s="87" t="s">
        <v>1</v>
      </c>
      <c r="C4544" s="88" t="s">
        <v>5259</v>
      </c>
      <c r="D4544" s="88" t="s">
        <v>3452</v>
      </c>
      <c r="E4544" s="88" t="s">
        <v>61</v>
      </c>
      <c r="F4544" s="88">
        <v>0</v>
      </c>
      <c r="G4544" s="78">
        <f>MAX(H4544,I4544,J4544)</f>
        <v>0</v>
      </c>
      <c r="H4544" s="88"/>
      <c r="I4544" s="88"/>
      <c r="J4544" s="78">
        <f>MAX(K4544:Q4544)</f>
        <v>0</v>
      </c>
      <c r="K4544" s="88"/>
      <c r="L4544" s="88"/>
      <c r="M4544" s="88"/>
      <c r="N4544" s="88"/>
      <c r="O4544" s="88"/>
      <c r="P4544" s="88"/>
      <c r="Q4544" s="88"/>
      <c r="R4544" s="78">
        <f>MAX(S4544:W4544)</f>
        <v>1</v>
      </c>
      <c r="S4544" s="88"/>
      <c r="T4544" s="88"/>
      <c r="U4544" s="88">
        <v>1</v>
      </c>
      <c r="V4544" s="88"/>
      <c r="W4544" s="88"/>
    </row>
    <row r="4545" spans="2:23" s="0" customFormat="0" ht="15">
      <c r="B4545" s="87" t="s">
        <v>1</v>
      </c>
      <c r="C4545" s="88" t="s">
        <v>5259</v>
      </c>
      <c r="D4545" s="88">
        <v>7065940</v>
      </c>
      <c r="E4545" s="88" t="s">
        <v>61</v>
      </c>
      <c r="F4545" s="88">
        <v>0</v>
      </c>
      <c r="G4545" s="78">
        <f>MAX(H4545,I4545,J4545)</f>
        <v>0</v>
      </c>
      <c r="H4545" s="88"/>
      <c r="I4545" s="88"/>
      <c r="J4545" s="78">
        <f>MAX(K4545:Q4545)</f>
        <v>0</v>
      </c>
      <c r="K4545" s="88"/>
      <c r="L4545" s="88"/>
      <c r="M4545" s="88"/>
      <c r="N4545" s="88"/>
      <c r="O4545" s="88"/>
      <c r="P4545" s="88"/>
      <c r="Q4545" s="88"/>
      <c r="R4545" s="78">
        <f>MAX(S4545:W4545)</f>
        <v>1</v>
      </c>
      <c r="S4545" s="88"/>
      <c r="T4545" s="88"/>
      <c r="U4545" s="88">
        <v>1</v>
      </c>
      <c r="V4545" s="88"/>
      <c r="W4545" s="88"/>
    </row>
    <row r="4546" spans="2:23" s="0" customFormat="0" ht="15">
      <c r="B4546" s="87" t="s">
        <v>1</v>
      </c>
      <c r="C4546" s="88" t="s">
        <v>5259</v>
      </c>
      <c r="D4546" s="88">
        <v>23625022</v>
      </c>
      <c r="E4546" s="88" t="s">
        <v>61</v>
      </c>
      <c r="F4546" s="88">
        <v>0</v>
      </c>
      <c r="G4546" s="78">
        <f>MAX(H4546,I4546,J4546)</f>
        <v>1</v>
      </c>
      <c r="H4546" s="88"/>
      <c r="I4546" s="88"/>
      <c r="J4546" s="78">
        <f>MAX(K4546:Q4546)</f>
        <v>1</v>
      </c>
      <c r="K4546" s="88">
        <v>1</v>
      </c>
      <c r="L4546" s="88"/>
      <c r="M4546" s="88"/>
      <c r="N4546" s="88"/>
      <c r="O4546" s="88"/>
      <c r="P4546" s="88"/>
      <c r="Q4546" s="88"/>
      <c r="R4546" s="78">
        <f>MAX(S4546:W4546)</f>
        <v>0</v>
      </c>
      <c r="S4546" s="88"/>
      <c r="T4546" s="88"/>
      <c r="U4546" s="88"/>
      <c r="V4546" s="88"/>
      <c r="W4546" s="88"/>
    </row>
    <row r="4547" spans="2:23" s="0" customFormat="0" ht="15">
      <c r="B4547" s="87" t="s">
        <v>1</v>
      </c>
      <c r="C4547" s="88" t="s">
        <v>5259</v>
      </c>
      <c r="D4547" s="88">
        <v>22892551</v>
      </c>
      <c r="E4547" s="88" t="s">
        <v>61</v>
      </c>
      <c r="F4547" s="88">
        <v>0</v>
      </c>
      <c r="G4547" s="78">
        <f>MAX(H4547,I4547,J4547)</f>
        <v>1</v>
      </c>
      <c r="H4547" s="88"/>
      <c r="I4547" s="88"/>
      <c r="J4547" s="78">
        <f>MAX(K4547:Q4547)</f>
        <v>1</v>
      </c>
      <c r="K4547" s="88">
        <v>1</v>
      </c>
      <c r="L4547" s="88"/>
      <c r="M4547" s="88"/>
      <c r="N4547" s="88"/>
      <c r="O4547" s="88"/>
      <c r="P4547" s="88"/>
      <c r="Q4547" s="88"/>
      <c r="R4547" s="78">
        <f>MAX(S4547:W4547)</f>
        <v>0</v>
      </c>
      <c r="S4547" s="88"/>
      <c r="T4547" s="88"/>
      <c r="U4547" s="88"/>
      <c r="V4547" s="88"/>
      <c r="W4547" s="88"/>
    </row>
    <row r="4548" spans="2:23" s="0" customFormat="0" ht="15">
      <c r="B4548" s="87" t="s">
        <v>1</v>
      </c>
      <c r="C4548" s="88" t="s">
        <v>5259</v>
      </c>
      <c r="D4548" s="88" t="s">
        <v>761</v>
      </c>
      <c r="E4548" s="88" t="s">
        <v>61</v>
      </c>
      <c r="F4548" s="88">
        <v>0</v>
      </c>
      <c r="G4548" s="78">
        <f>MAX(H4548,I4548,J4548)</f>
        <v>1</v>
      </c>
      <c r="H4548" s="88"/>
      <c r="I4548" s="88"/>
      <c r="J4548" s="78">
        <f>MAX(K4548:Q4548)</f>
        <v>1</v>
      </c>
      <c r="K4548" s="88">
        <v>1</v>
      </c>
      <c r="L4548" s="88"/>
      <c r="M4548" s="88"/>
      <c r="N4548" s="88"/>
      <c r="O4548" s="88"/>
      <c r="P4548" s="88"/>
      <c r="Q4548" s="88"/>
      <c r="R4548" s="78">
        <f>MAX(S4548:W4548)</f>
        <v>0</v>
      </c>
      <c r="S4548" s="88"/>
      <c r="T4548" s="88"/>
      <c r="U4548" s="88"/>
      <c r="V4548" s="88"/>
      <c r="W4548" s="88"/>
    </row>
    <row r="4549" spans="2:23" s="0" customFormat="0" ht="15">
      <c r="B4549" s="87" t="s">
        <v>1</v>
      </c>
      <c r="C4549" s="88" t="s">
        <v>5259</v>
      </c>
      <c r="D4549" s="88">
        <v>22554211</v>
      </c>
      <c r="E4549" s="88" t="s">
        <v>61</v>
      </c>
      <c r="F4549" s="88">
        <v>0</v>
      </c>
      <c r="G4549" s="78">
        <f>MAX(H4549,I4549,J4549)</f>
        <v>0</v>
      </c>
      <c r="H4549" s="88"/>
      <c r="I4549" s="88"/>
      <c r="J4549" s="78">
        <f>MAX(K4549:Q4549)</f>
        <v>0</v>
      </c>
      <c r="K4549" s="88"/>
      <c r="L4549" s="88"/>
      <c r="M4549" s="88"/>
      <c r="N4549" s="88"/>
      <c r="O4549" s="88"/>
      <c r="P4549" s="88"/>
      <c r="Q4549" s="88"/>
      <c r="R4549" s="78">
        <f>MAX(S4549:W4549)</f>
        <v>1</v>
      </c>
      <c r="S4549" s="88"/>
      <c r="T4549" s="88"/>
      <c r="U4549" s="88">
        <v>1</v>
      </c>
      <c r="V4549" s="88"/>
      <c r="W4549" s="88"/>
    </row>
    <row r="4550" spans="2:23" s="0" customFormat="0" ht="15">
      <c r="B4550" s="87" t="s">
        <v>1</v>
      </c>
      <c r="C4550" s="88" t="s">
        <v>5259</v>
      </c>
      <c r="D4550" s="88" t="s">
        <v>1615</v>
      </c>
      <c r="E4550" s="88" t="s">
        <v>61</v>
      </c>
      <c r="F4550" s="88">
        <v>0</v>
      </c>
      <c r="G4550" s="78">
        <f>MAX(H4550,I4550,J4550)</f>
        <v>1</v>
      </c>
      <c r="H4550" s="88"/>
      <c r="I4550" s="88"/>
      <c r="J4550" s="78">
        <f>MAX(K4550:Q4550)</f>
        <v>1</v>
      </c>
      <c r="K4550" s="88">
        <v>1</v>
      </c>
      <c r="L4550" s="88"/>
      <c r="M4550" s="88"/>
      <c r="N4550" s="88"/>
      <c r="O4550" s="88"/>
      <c r="P4550" s="88"/>
      <c r="Q4550" s="88"/>
      <c r="R4550" s="78">
        <f>MAX(S4550:W4550)</f>
        <v>0</v>
      </c>
      <c r="S4550" s="88"/>
      <c r="T4550" s="88"/>
      <c r="U4550" s="88"/>
      <c r="V4550" s="88"/>
      <c r="W4550" s="88"/>
    </row>
    <row r="4551" spans="2:23" s="0" customFormat="0" ht="15">
      <c r="B4551" s="87" t="s">
        <v>1</v>
      </c>
      <c r="C4551" s="88" t="s">
        <v>5259</v>
      </c>
      <c r="D4551" s="88" t="s">
        <v>1274</v>
      </c>
      <c r="E4551" s="88" t="s">
        <v>61</v>
      </c>
      <c r="F4551" s="88">
        <v>0</v>
      </c>
      <c r="G4551" s="78">
        <f>MAX(H4551,I4551,J4551)</f>
        <v>1</v>
      </c>
      <c r="H4551" s="88"/>
      <c r="I4551" s="88"/>
      <c r="J4551" s="78">
        <f>MAX(K4551:Q4551)</f>
        <v>1</v>
      </c>
      <c r="K4551" s="88">
        <v>1</v>
      </c>
      <c r="L4551" s="88"/>
      <c r="M4551" s="88"/>
      <c r="N4551" s="88"/>
      <c r="O4551" s="88"/>
      <c r="P4551" s="88"/>
      <c r="Q4551" s="88"/>
      <c r="R4551" s="78">
        <f>MAX(S4551:W4551)</f>
        <v>0</v>
      </c>
      <c r="S4551" s="88"/>
      <c r="T4551" s="88"/>
      <c r="U4551" s="88"/>
      <c r="V4551" s="88"/>
      <c r="W4551" s="88"/>
    </row>
    <row r="4552" spans="2:23" s="0" customFormat="0" ht="15">
      <c r="B4552" s="87" t="s">
        <v>1</v>
      </c>
      <c r="C4552" s="88" t="s">
        <v>5259</v>
      </c>
      <c r="D4552" s="88" t="s">
        <v>4855</v>
      </c>
      <c r="E4552" s="88" t="s">
        <v>61</v>
      </c>
      <c r="F4552" s="88">
        <v>0</v>
      </c>
      <c r="G4552" s="78">
        <f>MAX(H4552,I4552,J4552)</f>
        <v>0</v>
      </c>
      <c r="H4552" s="88"/>
      <c r="I4552" s="88"/>
      <c r="J4552" s="78">
        <f>MAX(K4552:Q4552)</f>
        <v>0</v>
      </c>
      <c r="K4552" s="88"/>
      <c r="L4552" s="88"/>
      <c r="M4552" s="88"/>
      <c r="N4552" s="88"/>
      <c r="O4552" s="88"/>
      <c r="P4552" s="88"/>
      <c r="Q4552" s="88"/>
      <c r="R4552" s="78">
        <f>MAX(S4552:W4552)</f>
        <v>1</v>
      </c>
      <c r="S4552" s="88"/>
      <c r="T4552" s="88"/>
      <c r="U4552" s="88">
        <v>1</v>
      </c>
      <c r="V4552" s="88"/>
      <c r="W4552" s="88"/>
    </row>
    <row r="4553" spans="2:23" s="0" customFormat="0" ht="15">
      <c r="B4553" s="87" t="s">
        <v>1</v>
      </c>
      <c r="C4553" s="88" t="s">
        <v>5259</v>
      </c>
      <c r="D4553" s="88">
        <v>16209406</v>
      </c>
      <c r="E4553" s="88" t="s">
        <v>61</v>
      </c>
      <c r="F4553" s="88">
        <v>0</v>
      </c>
      <c r="G4553" s="78">
        <f>MAX(H4553,I4553,J4553)</f>
        <v>1</v>
      </c>
      <c r="H4553" s="88"/>
      <c r="I4553" s="88"/>
      <c r="J4553" s="78">
        <f>MAX(K4553:Q4553)</f>
        <v>1</v>
      </c>
      <c r="K4553" s="88">
        <v>1</v>
      </c>
      <c r="L4553" s="88"/>
      <c r="M4553" s="88"/>
      <c r="N4553" s="88"/>
      <c r="O4553" s="88"/>
      <c r="P4553" s="88"/>
      <c r="Q4553" s="88"/>
      <c r="R4553" s="78">
        <f>MAX(S4553:W4553)</f>
        <v>0</v>
      </c>
      <c r="S4553" s="88"/>
      <c r="T4553" s="88"/>
      <c r="U4553" s="88"/>
      <c r="V4553" s="88"/>
      <c r="W4553" s="88"/>
    </row>
    <row r="4554" spans="2:23" s="0" customFormat="0" ht="15">
      <c r="B4554" s="87" t="s">
        <v>1</v>
      </c>
      <c r="C4554" s="88" t="s">
        <v>5259</v>
      </c>
      <c r="D4554" s="88" t="s">
        <v>4986</v>
      </c>
      <c r="E4554" s="88" t="s">
        <v>61</v>
      </c>
      <c r="F4554" s="88">
        <v>0</v>
      </c>
      <c r="G4554" s="78">
        <f>MAX(H4554,I4554,J4554)</f>
        <v>0</v>
      </c>
      <c r="H4554" s="88"/>
      <c r="I4554" s="88"/>
      <c r="J4554" s="78">
        <f>MAX(K4554:Q4554)</f>
        <v>0</v>
      </c>
      <c r="K4554" s="88"/>
      <c r="L4554" s="88"/>
      <c r="M4554" s="88"/>
      <c r="N4554" s="88"/>
      <c r="O4554" s="88"/>
      <c r="P4554" s="88"/>
      <c r="Q4554" s="88"/>
      <c r="R4554" s="78">
        <f>MAX(S4554:W4554)</f>
        <v>1</v>
      </c>
      <c r="S4554" s="88"/>
      <c r="T4554" s="88"/>
      <c r="U4554" s="88">
        <v>1</v>
      </c>
      <c r="V4554" s="88"/>
      <c r="W4554" s="88"/>
    </row>
    <row r="4555" spans="2:23" s="0" customFormat="0" ht="15">
      <c r="B4555" s="87" t="s">
        <v>1</v>
      </c>
      <c r="C4555" s="88" t="s">
        <v>5259</v>
      </c>
      <c r="D4555" s="88">
        <v>23510510</v>
      </c>
      <c r="E4555" s="88" t="s">
        <v>61</v>
      </c>
      <c r="F4555" s="88">
        <v>0</v>
      </c>
      <c r="G4555" s="78">
        <f>MAX(H4555,I4555,J4555)</f>
        <v>1</v>
      </c>
      <c r="H4555" s="88"/>
      <c r="I4555" s="88"/>
      <c r="J4555" s="78">
        <f>MAX(K4555:Q4555)</f>
        <v>1</v>
      </c>
      <c r="K4555" s="88">
        <v>1</v>
      </c>
      <c r="L4555" s="88"/>
      <c r="M4555" s="88"/>
      <c r="N4555" s="88"/>
      <c r="O4555" s="88"/>
      <c r="P4555" s="88"/>
      <c r="Q4555" s="88"/>
      <c r="R4555" s="78">
        <f>MAX(S4555:W4555)</f>
        <v>0</v>
      </c>
      <c r="S4555" s="88"/>
      <c r="T4555" s="88"/>
      <c r="U4555" s="88"/>
      <c r="V4555" s="88"/>
      <c r="W4555" s="88"/>
    </row>
    <row r="4556" spans="2:23" s="0" customFormat="0" ht="15">
      <c r="B4556" s="87" t="s">
        <v>1</v>
      </c>
      <c r="C4556" s="88" t="s">
        <v>5259</v>
      </c>
      <c r="D4556" s="88" t="s">
        <v>4192</v>
      </c>
      <c r="E4556" s="88" t="s">
        <v>61</v>
      </c>
      <c r="F4556" s="88">
        <v>0</v>
      </c>
      <c r="G4556" s="78">
        <f>MAX(H4556,I4556,J4556)</f>
        <v>0</v>
      </c>
      <c r="H4556" s="88"/>
      <c r="I4556" s="88"/>
      <c r="J4556" s="78">
        <f>MAX(K4556:Q4556)</f>
        <v>0</v>
      </c>
      <c r="K4556" s="88"/>
      <c r="L4556" s="88"/>
      <c r="M4556" s="88"/>
      <c r="N4556" s="88"/>
      <c r="O4556" s="88"/>
      <c r="P4556" s="88"/>
      <c r="Q4556" s="88"/>
      <c r="R4556" s="78">
        <f>MAX(S4556:W4556)</f>
        <v>1</v>
      </c>
      <c r="S4556" s="88"/>
      <c r="T4556" s="88"/>
      <c r="U4556" s="88">
        <v>1</v>
      </c>
      <c r="V4556" s="88"/>
      <c r="W4556" s="88"/>
    </row>
    <row r="4557" spans="2:23" s="0" customFormat="0" ht="15">
      <c r="B4557" s="87" t="s">
        <v>1</v>
      </c>
      <c r="C4557" s="88" t="s">
        <v>5259</v>
      </c>
      <c r="D4557" s="88">
        <v>12606189</v>
      </c>
      <c r="E4557" s="88" t="s">
        <v>61</v>
      </c>
      <c r="F4557" s="88">
        <v>0</v>
      </c>
      <c r="G4557" s="78">
        <f>MAX(H4557,I4557,J4557)</f>
        <v>1</v>
      </c>
      <c r="H4557" s="88"/>
      <c r="I4557" s="88"/>
      <c r="J4557" s="78">
        <f>MAX(K4557:Q4557)</f>
        <v>1</v>
      </c>
      <c r="K4557" s="88">
        <v>1</v>
      </c>
      <c r="L4557" s="88"/>
      <c r="M4557" s="88"/>
      <c r="N4557" s="88"/>
      <c r="O4557" s="88"/>
      <c r="P4557" s="88"/>
      <c r="Q4557" s="88"/>
      <c r="R4557" s="78">
        <f>MAX(S4557:W4557)</f>
        <v>0</v>
      </c>
      <c r="S4557" s="88"/>
      <c r="T4557" s="88"/>
      <c r="U4557" s="88"/>
      <c r="V4557" s="88"/>
      <c r="W4557" s="88"/>
    </row>
    <row r="4558" spans="2:23" s="0" customFormat="0" ht="15">
      <c r="B4558" s="87" t="s">
        <v>1</v>
      </c>
      <c r="C4558" s="88" t="s">
        <v>5259</v>
      </c>
      <c r="D4558" s="88">
        <v>13452757</v>
      </c>
      <c r="E4558" s="88" t="s">
        <v>61</v>
      </c>
      <c r="F4558" s="88">
        <v>0</v>
      </c>
      <c r="G4558" s="78">
        <f>MAX(H4558,I4558,J4558)</f>
        <v>1</v>
      </c>
      <c r="H4558" s="88"/>
      <c r="I4558" s="88"/>
      <c r="J4558" s="78">
        <f>MAX(K4558:Q4558)</f>
        <v>1</v>
      </c>
      <c r="K4558" s="88">
        <v>1</v>
      </c>
      <c r="L4558" s="88"/>
      <c r="M4558" s="88"/>
      <c r="N4558" s="88"/>
      <c r="O4558" s="88"/>
      <c r="P4558" s="88"/>
      <c r="Q4558" s="88"/>
      <c r="R4558" s="78">
        <f>MAX(S4558:W4558)</f>
        <v>0</v>
      </c>
      <c r="S4558" s="88"/>
      <c r="T4558" s="88"/>
      <c r="U4558" s="88"/>
      <c r="V4558" s="88"/>
      <c r="W4558" s="88"/>
    </row>
    <row r="4559" spans="2:23" s="0" customFormat="0" ht="15">
      <c r="B4559" s="87" t="s">
        <v>1</v>
      </c>
      <c r="C4559" s="88" t="s">
        <v>5259</v>
      </c>
      <c r="D4559" s="88">
        <v>15815020</v>
      </c>
      <c r="E4559" s="88" t="s">
        <v>61</v>
      </c>
      <c r="F4559" s="88">
        <v>0</v>
      </c>
      <c r="G4559" s="78">
        <f>MAX(H4559,I4559,J4559)</f>
        <v>1</v>
      </c>
      <c r="H4559" s="88"/>
      <c r="I4559" s="88"/>
      <c r="J4559" s="78">
        <f>MAX(K4559:Q4559)</f>
        <v>1</v>
      </c>
      <c r="K4559" s="88">
        <v>1</v>
      </c>
      <c r="L4559" s="88"/>
      <c r="M4559" s="88"/>
      <c r="N4559" s="88"/>
      <c r="O4559" s="88"/>
      <c r="P4559" s="88"/>
      <c r="Q4559" s="88"/>
      <c r="R4559" s="78">
        <f>MAX(S4559:W4559)</f>
        <v>0</v>
      </c>
      <c r="S4559" s="88"/>
      <c r="T4559" s="88"/>
      <c r="U4559" s="88"/>
      <c r="V4559" s="88"/>
      <c r="W4559" s="88"/>
    </row>
    <row r="4560" spans="2:23" s="0" customFormat="0" ht="15">
      <c r="B4560" s="87" t="s">
        <v>1</v>
      </c>
      <c r="C4560" s="88" t="s">
        <v>5259</v>
      </c>
      <c r="D4560" s="88">
        <v>21534674</v>
      </c>
      <c r="E4560" s="88" t="s">
        <v>61</v>
      </c>
      <c r="F4560" s="88">
        <v>0</v>
      </c>
      <c r="G4560" s="78">
        <f>MAX(H4560,I4560,J4560)</f>
        <v>1</v>
      </c>
      <c r="H4560" s="88"/>
      <c r="I4560" s="88"/>
      <c r="J4560" s="78">
        <f>MAX(K4560:Q4560)</f>
        <v>1</v>
      </c>
      <c r="K4560" s="88">
        <v>1</v>
      </c>
      <c r="L4560" s="88"/>
      <c r="M4560" s="88"/>
      <c r="N4560" s="88"/>
      <c r="O4560" s="88"/>
      <c r="P4560" s="88"/>
      <c r="Q4560" s="88"/>
      <c r="R4560" s="78">
        <f>MAX(S4560:W4560)</f>
        <v>0</v>
      </c>
      <c r="S4560" s="88"/>
      <c r="T4560" s="88"/>
      <c r="U4560" s="88"/>
      <c r="V4560" s="88"/>
      <c r="W4560" s="88"/>
    </row>
    <row r="4561" spans="2:23" s="0" customFormat="0" ht="15">
      <c r="B4561" s="87" t="s">
        <v>1</v>
      </c>
      <c r="C4561" s="88" t="s">
        <v>5259</v>
      </c>
      <c r="D4561" s="88" t="s">
        <v>4988</v>
      </c>
      <c r="E4561" s="88" t="s">
        <v>61</v>
      </c>
      <c r="F4561" s="88">
        <v>0</v>
      </c>
      <c r="G4561" s="78">
        <f>MAX(H4561,I4561,J4561)</f>
        <v>0</v>
      </c>
      <c r="H4561" s="88"/>
      <c r="I4561" s="88"/>
      <c r="J4561" s="78">
        <f>MAX(K4561:Q4561)</f>
        <v>0</v>
      </c>
      <c r="K4561" s="88"/>
      <c r="L4561" s="88"/>
      <c r="M4561" s="88"/>
      <c r="N4561" s="88"/>
      <c r="O4561" s="88"/>
      <c r="P4561" s="88"/>
      <c r="Q4561" s="88"/>
      <c r="R4561" s="78">
        <f>MAX(S4561:W4561)</f>
        <v>1</v>
      </c>
      <c r="S4561" s="88"/>
      <c r="T4561" s="88"/>
      <c r="U4561" s="88">
        <v>1</v>
      </c>
      <c r="V4561" s="88"/>
      <c r="W4561" s="88"/>
    </row>
    <row r="4562" spans="2:23" s="0" customFormat="0" ht="15">
      <c r="B4562" s="87" t="s">
        <v>1</v>
      </c>
      <c r="C4562" s="88" t="s">
        <v>5259</v>
      </c>
      <c r="D4562" s="88">
        <v>13428954</v>
      </c>
      <c r="E4562" s="88" t="s">
        <v>61</v>
      </c>
      <c r="F4562" s="88">
        <v>0</v>
      </c>
      <c r="G4562" s="78">
        <f>MAX(H4562,I4562,J4562)</f>
        <v>1</v>
      </c>
      <c r="H4562" s="88"/>
      <c r="I4562" s="88"/>
      <c r="J4562" s="78">
        <f>MAX(K4562:Q4562)</f>
        <v>1</v>
      </c>
      <c r="K4562" s="88">
        <v>1</v>
      </c>
      <c r="L4562" s="88"/>
      <c r="M4562" s="88"/>
      <c r="N4562" s="88"/>
      <c r="O4562" s="88"/>
      <c r="P4562" s="88"/>
      <c r="Q4562" s="88"/>
      <c r="R4562" s="78">
        <f>MAX(S4562:W4562)</f>
        <v>0</v>
      </c>
      <c r="S4562" s="88"/>
      <c r="T4562" s="88"/>
      <c r="U4562" s="88"/>
      <c r="V4562" s="88"/>
      <c r="W4562" s="88"/>
    </row>
    <row r="4563" spans="2:23" s="0" customFormat="0" ht="15">
      <c r="B4563" s="87" t="s">
        <v>1</v>
      </c>
      <c r="C4563" s="88" t="s">
        <v>5259</v>
      </c>
      <c r="D4563" s="88" t="s">
        <v>2399</v>
      </c>
      <c r="E4563" s="88" t="s">
        <v>61</v>
      </c>
      <c r="F4563" s="88">
        <v>0</v>
      </c>
      <c r="G4563" s="78">
        <f>MAX(H4563,I4563,J4563)</f>
        <v>1</v>
      </c>
      <c r="H4563" s="88"/>
      <c r="I4563" s="88"/>
      <c r="J4563" s="78">
        <f>MAX(K4563:Q4563)</f>
        <v>1</v>
      </c>
      <c r="K4563" s="88">
        <v>1</v>
      </c>
      <c r="L4563" s="88"/>
      <c r="M4563" s="88"/>
      <c r="N4563" s="88"/>
      <c r="O4563" s="88"/>
      <c r="P4563" s="88"/>
      <c r="Q4563" s="88"/>
      <c r="R4563" s="78">
        <f>MAX(S4563:W4563)</f>
        <v>0</v>
      </c>
      <c r="S4563" s="88"/>
      <c r="T4563" s="88"/>
      <c r="U4563" s="88"/>
      <c r="V4563" s="88"/>
      <c r="W4563" s="88"/>
    </row>
    <row r="4564" spans="2:23" s="0" customFormat="0" ht="15">
      <c r="B4564" s="87" t="s">
        <v>1</v>
      </c>
      <c r="C4564" s="88" t="s">
        <v>5259</v>
      </c>
      <c r="D4564" s="88" t="s">
        <v>1901</v>
      </c>
      <c r="E4564" s="88" t="s">
        <v>61</v>
      </c>
      <c r="F4564" s="88">
        <v>0</v>
      </c>
      <c r="G4564" s="78">
        <f>MAX(H4564,I4564,J4564)</f>
        <v>1</v>
      </c>
      <c r="H4564" s="88"/>
      <c r="I4564" s="88"/>
      <c r="J4564" s="78">
        <f>MAX(K4564:Q4564)</f>
        <v>1</v>
      </c>
      <c r="K4564" s="88">
        <v>1</v>
      </c>
      <c r="L4564" s="88"/>
      <c r="M4564" s="88"/>
      <c r="N4564" s="88"/>
      <c r="O4564" s="88"/>
      <c r="P4564" s="88"/>
      <c r="Q4564" s="88"/>
      <c r="R4564" s="78">
        <f>MAX(S4564:W4564)</f>
        <v>0</v>
      </c>
      <c r="S4564" s="88"/>
      <c r="T4564" s="88"/>
      <c r="U4564" s="88"/>
      <c r="V4564" s="88"/>
      <c r="W4564" s="88"/>
    </row>
    <row r="4565" spans="2:23" s="0" customFormat="0" ht="15">
      <c r="B4565" s="87" t="s">
        <v>1</v>
      </c>
      <c r="C4565" s="88" t="s">
        <v>5259</v>
      </c>
      <c r="D4565" s="88" t="s">
        <v>4990</v>
      </c>
      <c r="E4565" s="88" t="s">
        <v>61</v>
      </c>
      <c r="F4565" s="88">
        <v>0</v>
      </c>
      <c r="G4565" s="78">
        <f>MAX(H4565,I4565,J4565)</f>
        <v>0</v>
      </c>
      <c r="H4565" s="88"/>
      <c r="I4565" s="88"/>
      <c r="J4565" s="78">
        <f>MAX(K4565:Q4565)</f>
        <v>0</v>
      </c>
      <c r="K4565" s="88"/>
      <c r="L4565" s="88"/>
      <c r="M4565" s="88"/>
      <c r="N4565" s="88"/>
      <c r="O4565" s="88"/>
      <c r="P4565" s="88"/>
      <c r="Q4565" s="88"/>
      <c r="R4565" s="78">
        <f>MAX(S4565:W4565)</f>
        <v>1</v>
      </c>
      <c r="S4565" s="88"/>
      <c r="T4565" s="88"/>
      <c r="U4565" s="88">
        <v>1</v>
      </c>
      <c r="V4565" s="88"/>
      <c r="W4565" s="88"/>
    </row>
    <row r="4566" spans="2:23" s="0" customFormat="0" ht="15">
      <c r="B4566" s="87" t="s">
        <v>1</v>
      </c>
      <c r="C4566" s="88" t="s">
        <v>5259</v>
      </c>
      <c r="D4566" s="88">
        <v>4151959</v>
      </c>
      <c r="E4566" s="88" t="s">
        <v>61</v>
      </c>
      <c r="F4566" s="88">
        <v>0</v>
      </c>
      <c r="G4566" s="78">
        <f>MAX(H4566,I4566,J4566)</f>
        <v>1</v>
      </c>
      <c r="H4566" s="88"/>
      <c r="I4566" s="88"/>
      <c r="J4566" s="78">
        <f>MAX(K4566:Q4566)</f>
        <v>1</v>
      </c>
      <c r="K4566" s="88">
        <v>1</v>
      </c>
      <c r="L4566" s="88"/>
      <c r="M4566" s="88"/>
      <c r="N4566" s="88"/>
      <c r="O4566" s="88"/>
      <c r="P4566" s="88"/>
      <c r="Q4566" s="88"/>
      <c r="R4566" s="78">
        <f>MAX(S4566:W4566)</f>
        <v>0</v>
      </c>
      <c r="S4566" s="88"/>
      <c r="T4566" s="88"/>
      <c r="U4566" s="88"/>
      <c r="V4566" s="88"/>
      <c r="W4566" s="88"/>
    </row>
    <row r="4567" spans="2:23" s="0" customFormat="0" ht="15">
      <c r="B4567" s="87" t="s">
        <v>1</v>
      </c>
      <c r="C4567" s="88" t="s">
        <v>5259</v>
      </c>
      <c r="D4567" s="88" t="s">
        <v>4485</v>
      </c>
      <c r="E4567" s="88" t="s">
        <v>61</v>
      </c>
      <c r="F4567" s="88">
        <v>0</v>
      </c>
      <c r="G4567" s="78">
        <f>MAX(H4567,I4567,J4567)</f>
        <v>0</v>
      </c>
      <c r="H4567" s="88"/>
      <c r="I4567" s="88"/>
      <c r="J4567" s="78">
        <f>MAX(K4567:Q4567)</f>
        <v>0</v>
      </c>
      <c r="K4567" s="88"/>
      <c r="L4567" s="88"/>
      <c r="M4567" s="88"/>
      <c r="N4567" s="88"/>
      <c r="O4567" s="88"/>
      <c r="P4567" s="88"/>
      <c r="Q4567" s="88"/>
      <c r="R4567" s="78">
        <f>MAX(S4567:W4567)</f>
        <v>1</v>
      </c>
      <c r="S4567" s="88"/>
      <c r="T4567" s="88"/>
      <c r="U4567" s="88">
        <v>1</v>
      </c>
      <c r="V4567" s="88"/>
      <c r="W4567" s="88"/>
    </row>
    <row r="4568" spans="2:23" s="0" customFormat="0" ht="15">
      <c r="B4568" s="87" t="s">
        <v>1</v>
      </c>
      <c r="C4568" s="88" t="s">
        <v>5259</v>
      </c>
      <c r="D4568" s="88">
        <v>22554193</v>
      </c>
      <c r="E4568" s="88" t="s">
        <v>61</v>
      </c>
      <c r="F4568" s="88">
        <v>0</v>
      </c>
      <c r="G4568" s="78">
        <f>MAX(H4568,I4568,J4568)</f>
        <v>0</v>
      </c>
      <c r="H4568" s="88"/>
      <c r="I4568" s="88"/>
      <c r="J4568" s="78">
        <f>MAX(K4568:Q4568)</f>
        <v>0</v>
      </c>
      <c r="K4568" s="88"/>
      <c r="L4568" s="88"/>
      <c r="M4568" s="88"/>
      <c r="N4568" s="88"/>
      <c r="O4568" s="88"/>
      <c r="P4568" s="88"/>
      <c r="Q4568" s="88"/>
      <c r="R4568" s="78">
        <f>MAX(S4568:W4568)</f>
        <v>1</v>
      </c>
      <c r="S4568" s="88"/>
      <c r="T4568" s="88"/>
      <c r="U4568" s="88">
        <v>1</v>
      </c>
      <c r="V4568" s="88"/>
      <c r="W4568" s="88"/>
    </row>
    <row r="4569" spans="2:23" s="0" customFormat="0" ht="15">
      <c r="B4569" s="87" t="s">
        <v>1</v>
      </c>
      <c r="C4569" s="88" t="s">
        <v>5259</v>
      </c>
      <c r="D4569" s="88">
        <v>19653090</v>
      </c>
      <c r="E4569" s="88" t="s">
        <v>61</v>
      </c>
      <c r="F4569" s="88">
        <v>0</v>
      </c>
      <c r="G4569" s="78">
        <f>MAX(H4569,I4569,J4569)</f>
        <v>1</v>
      </c>
      <c r="H4569" s="88"/>
      <c r="I4569" s="88"/>
      <c r="J4569" s="78">
        <f>MAX(K4569:Q4569)</f>
        <v>1</v>
      </c>
      <c r="K4569" s="88">
        <v>1</v>
      </c>
      <c r="L4569" s="88"/>
      <c r="M4569" s="88"/>
      <c r="N4569" s="88"/>
      <c r="O4569" s="88"/>
      <c r="P4569" s="88"/>
      <c r="Q4569" s="88"/>
      <c r="R4569" s="78">
        <f>MAX(S4569:W4569)</f>
        <v>0</v>
      </c>
      <c r="S4569" s="88"/>
      <c r="T4569" s="88"/>
      <c r="U4569" s="88"/>
      <c r="V4569" s="88"/>
      <c r="W4569" s="88"/>
    </row>
    <row r="4570" spans="2:23" s="0" customFormat="0" ht="15">
      <c r="B4570" s="87" t="s">
        <v>1</v>
      </c>
      <c r="C4570" s="88" t="s">
        <v>5259</v>
      </c>
      <c r="D4570" s="88">
        <v>18423528</v>
      </c>
      <c r="E4570" s="88" t="s">
        <v>61</v>
      </c>
      <c r="F4570" s="88">
        <v>0</v>
      </c>
      <c r="G4570" s="78">
        <f>MAX(H4570,I4570,J4570)</f>
        <v>0</v>
      </c>
      <c r="H4570" s="88"/>
      <c r="I4570" s="88"/>
      <c r="J4570" s="78">
        <f>MAX(K4570:Q4570)</f>
        <v>0</v>
      </c>
      <c r="K4570" s="88"/>
      <c r="L4570" s="88"/>
      <c r="M4570" s="88"/>
      <c r="N4570" s="88"/>
      <c r="O4570" s="88"/>
      <c r="P4570" s="88"/>
      <c r="Q4570" s="88"/>
      <c r="R4570" s="78">
        <f>MAX(S4570:W4570)</f>
        <v>1</v>
      </c>
      <c r="S4570" s="88"/>
      <c r="T4570" s="88"/>
      <c r="U4570" s="88">
        <v>1</v>
      </c>
      <c r="V4570" s="88"/>
      <c r="W4570" s="88"/>
    </row>
    <row r="4571" spans="2:23" s="0" customFormat="0" ht="15">
      <c r="B4571" s="87" t="s">
        <v>1</v>
      </c>
      <c r="C4571" s="88" t="s">
        <v>5259</v>
      </c>
      <c r="D4571" s="88" t="s">
        <v>4750</v>
      </c>
      <c r="E4571" s="88" t="s">
        <v>61</v>
      </c>
      <c r="F4571" s="88">
        <v>0</v>
      </c>
      <c r="G4571" s="78">
        <f>MAX(H4571,I4571,J4571)</f>
        <v>0</v>
      </c>
      <c r="H4571" s="88"/>
      <c r="I4571" s="88"/>
      <c r="J4571" s="78">
        <f>MAX(K4571:Q4571)</f>
        <v>0</v>
      </c>
      <c r="K4571" s="88"/>
      <c r="L4571" s="88"/>
      <c r="M4571" s="88"/>
      <c r="N4571" s="88"/>
      <c r="O4571" s="88"/>
      <c r="P4571" s="88"/>
      <c r="Q4571" s="88"/>
      <c r="R4571" s="78">
        <f>MAX(S4571:W4571)</f>
        <v>1</v>
      </c>
      <c r="S4571" s="88"/>
      <c r="T4571" s="88"/>
      <c r="U4571" s="88">
        <v>1</v>
      </c>
      <c r="V4571" s="88"/>
      <c r="W4571" s="88"/>
    </row>
    <row r="4572" spans="2:23" s="0" customFormat="0" ht="15">
      <c r="B4572" s="87" t="s">
        <v>1</v>
      </c>
      <c r="C4572" s="88" t="s">
        <v>5259</v>
      </c>
      <c r="D4572" s="88" t="s">
        <v>1990</v>
      </c>
      <c r="E4572" s="88" t="s">
        <v>61</v>
      </c>
      <c r="F4572" s="88">
        <v>0</v>
      </c>
      <c r="G4572" s="78">
        <f>MAX(H4572,I4572,J4572)</f>
        <v>1</v>
      </c>
      <c r="H4572" s="88"/>
      <c r="I4572" s="88"/>
      <c r="J4572" s="78">
        <f>MAX(K4572:Q4572)</f>
        <v>1</v>
      </c>
      <c r="K4572" s="88">
        <v>1</v>
      </c>
      <c r="L4572" s="88"/>
      <c r="M4572" s="88"/>
      <c r="N4572" s="88"/>
      <c r="O4572" s="88"/>
      <c r="P4572" s="88"/>
      <c r="Q4572" s="88"/>
      <c r="R4572" s="78">
        <f>MAX(S4572:W4572)</f>
        <v>0</v>
      </c>
      <c r="S4572" s="88"/>
      <c r="T4572" s="88"/>
      <c r="U4572" s="88"/>
      <c r="V4572" s="88"/>
      <c r="W4572" s="88"/>
    </row>
    <row r="4573" spans="2:23" s="0" customFormat="0" ht="15">
      <c r="B4573" s="87" t="s">
        <v>1</v>
      </c>
      <c r="C4573" s="88" t="s">
        <v>5259</v>
      </c>
      <c r="D4573" s="88">
        <v>14504617</v>
      </c>
      <c r="E4573" s="88" t="s">
        <v>61</v>
      </c>
      <c r="F4573" s="88">
        <v>0</v>
      </c>
      <c r="G4573" s="78">
        <f>MAX(H4573,I4573,J4573)</f>
        <v>0</v>
      </c>
      <c r="H4573" s="88"/>
      <c r="I4573" s="88"/>
      <c r="J4573" s="78">
        <f>MAX(K4573:Q4573)</f>
        <v>0</v>
      </c>
      <c r="K4573" s="88"/>
      <c r="L4573" s="88"/>
      <c r="M4573" s="88"/>
      <c r="N4573" s="88"/>
      <c r="O4573" s="88"/>
      <c r="P4573" s="88"/>
      <c r="Q4573" s="88"/>
      <c r="R4573" s="78">
        <f>MAX(S4573:W4573)</f>
        <v>1</v>
      </c>
      <c r="S4573" s="88"/>
      <c r="T4573" s="88"/>
      <c r="U4573" s="88">
        <v>1</v>
      </c>
      <c r="V4573" s="88"/>
      <c r="W4573" s="88"/>
    </row>
    <row r="4574" spans="2:23" s="0" customFormat="0" ht="15">
      <c r="B4574" s="87" t="s">
        <v>1</v>
      </c>
      <c r="C4574" s="88" t="s">
        <v>5259</v>
      </c>
      <c r="D4574" s="88" t="s">
        <v>2226</v>
      </c>
      <c r="E4574" s="88" t="s">
        <v>61</v>
      </c>
      <c r="F4574" s="88">
        <v>0</v>
      </c>
      <c r="G4574" s="78">
        <f>MAX(H4574,I4574,J4574)</f>
        <v>1</v>
      </c>
      <c r="H4574" s="88"/>
      <c r="I4574" s="88"/>
      <c r="J4574" s="78">
        <f>MAX(K4574:Q4574)</f>
        <v>1</v>
      </c>
      <c r="K4574" s="88">
        <v>1</v>
      </c>
      <c r="L4574" s="88"/>
      <c r="M4574" s="88"/>
      <c r="N4574" s="88"/>
      <c r="O4574" s="88"/>
      <c r="P4574" s="88"/>
      <c r="Q4574" s="88"/>
      <c r="R4574" s="78">
        <f>MAX(S4574:W4574)</f>
        <v>0</v>
      </c>
      <c r="S4574" s="88"/>
      <c r="T4574" s="88"/>
      <c r="U4574" s="88"/>
      <c r="V4574" s="88"/>
      <c r="W4574" s="88"/>
    </row>
    <row r="4575" spans="2:23" s="0" customFormat="0" ht="15">
      <c r="B4575" s="87" t="s">
        <v>1</v>
      </c>
      <c r="C4575" s="88" t="s">
        <v>5259</v>
      </c>
      <c r="D4575" s="88" t="s">
        <v>4977</v>
      </c>
      <c r="E4575" s="88" t="s">
        <v>61</v>
      </c>
      <c r="F4575" s="88">
        <v>0</v>
      </c>
      <c r="G4575" s="78">
        <f>MAX(H4575,I4575,J4575)</f>
        <v>0</v>
      </c>
      <c r="H4575" s="88"/>
      <c r="I4575" s="88"/>
      <c r="J4575" s="78">
        <f>MAX(K4575:Q4575)</f>
        <v>0</v>
      </c>
      <c r="K4575" s="88"/>
      <c r="L4575" s="88"/>
      <c r="M4575" s="88"/>
      <c r="N4575" s="88"/>
      <c r="O4575" s="88"/>
      <c r="P4575" s="88"/>
      <c r="Q4575" s="88"/>
      <c r="R4575" s="78">
        <f>MAX(S4575:W4575)</f>
        <v>1</v>
      </c>
      <c r="S4575" s="88"/>
      <c r="T4575" s="88"/>
      <c r="U4575" s="88">
        <v>1</v>
      </c>
      <c r="V4575" s="88"/>
      <c r="W4575" s="88"/>
    </row>
    <row r="4576" spans="2:23" s="0" customFormat="0" ht="15">
      <c r="B4576" s="87" t="s">
        <v>1</v>
      </c>
      <c r="C4576" s="88" t="s">
        <v>5259</v>
      </c>
      <c r="D4576" s="88" t="s">
        <v>921</v>
      </c>
      <c r="E4576" s="88" t="s">
        <v>61</v>
      </c>
      <c r="F4576" s="88">
        <v>0</v>
      </c>
      <c r="G4576" s="78">
        <f>MAX(H4576,I4576,J4576)</f>
        <v>1</v>
      </c>
      <c r="H4576" s="88"/>
      <c r="I4576" s="88"/>
      <c r="J4576" s="78">
        <f>MAX(K4576:Q4576)</f>
        <v>1</v>
      </c>
      <c r="K4576" s="88">
        <v>1</v>
      </c>
      <c r="L4576" s="88"/>
      <c r="M4576" s="88"/>
      <c r="N4576" s="88"/>
      <c r="O4576" s="88"/>
      <c r="P4576" s="88"/>
      <c r="Q4576" s="88"/>
      <c r="R4576" s="78">
        <f>MAX(S4576:W4576)</f>
        <v>0</v>
      </c>
      <c r="S4576" s="88"/>
      <c r="T4576" s="88"/>
      <c r="U4576" s="88"/>
      <c r="V4576" s="88"/>
      <c r="W4576" s="88"/>
    </row>
    <row r="4577" spans="2:23" s="0" customFormat="0" ht="15">
      <c r="B4577" s="87" t="s">
        <v>1</v>
      </c>
      <c r="C4577" s="88" t="s">
        <v>5259</v>
      </c>
      <c r="D4577" s="88" t="s">
        <v>4707</v>
      </c>
      <c r="E4577" s="88" t="s">
        <v>61</v>
      </c>
      <c r="F4577" s="88">
        <v>0</v>
      </c>
      <c r="G4577" s="78">
        <f>MAX(H4577,I4577,J4577)</f>
        <v>0</v>
      </c>
      <c r="H4577" s="88"/>
      <c r="I4577" s="88"/>
      <c r="J4577" s="78">
        <f>MAX(K4577:Q4577)</f>
        <v>0</v>
      </c>
      <c r="K4577" s="88"/>
      <c r="L4577" s="88"/>
      <c r="M4577" s="88"/>
      <c r="N4577" s="88"/>
      <c r="O4577" s="88"/>
      <c r="P4577" s="88"/>
      <c r="Q4577" s="88"/>
      <c r="R4577" s="78">
        <f>MAX(S4577:W4577)</f>
        <v>1</v>
      </c>
      <c r="S4577" s="88"/>
      <c r="T4577" s="88"/>
      <c r="U4577" s="88">
        <v>1</v>
      </c>
      <c r="V4577" s="88"/>
      <c r="W4577" s="88"/>
    </row>
    <row r="4578" spans="2:23" s="0" customFormat="0" ht="15">
      <c r="B4578" s="87" t="s">
        <v>1</v>
      </c>
      <c r="C4578" s="88" t="s">
        <v>5259</v>
      </c>
      <c r="D4578" s="88" t="s">
        <v>4255</v>
      </c>
      <c r="E4578" s="88" t="s">
        <v>61</v>
      </c>
      <c r="F4578" s="88">
        <v>0</v>
      </c>
      <c r="G4578" s="78">
        <f>MAX(H4578,I4578,J4578)</f>
        <v>0</v>
      </c>
      <c r="H4578" s="88"/>
      <c r="I4578" s="88"/>
      <c r="J4578" s="78">
        <f>MAX(K4578:Q4578)</f>
        <v>0</v>
      </c>
      <c r="K4578" s="88"/>
      <c r="L4578" s="88"/>
      <c r="M4578" s="88"/>
      <c r="N4578" s="88"/>
      <c r="O4578" s="88"/>
      <c r="P4578" s="88"/>
      <c r="Q4578" s="88"/>
      <c r="R4578" s="78">
        <f>MAX(S4578:W4578)</f>
        <v>1</v>
      </c>
      <c r="S4578" s="88"/>
      <c r="T4578" s="88"/>
      <c r="U4578" s="88">
        <v>1</v>
      </c>
      <c r="V4578" s="88"/>
      <c r="W4578" s="88"/>
    </row>
    <row r="4579" spans="2:23" s="0" customFormat="0" ht="15">
      <c r="B4579" s="87" t="s">
        <v>1</v>
      </c>
      <c r="C4579" s="88" t="s">
        <v>5259</v>
      </c>
      <c r="D4579" s="88" t="s">
        <v>1656</v>
      </c>
      <c r="E4579" s="88" t="s">
        <v>61</v>
      </c>
      <c r="F4579" s="88">
        <v>0</v>
      </c>
      <c r="G4579" s="78">
        <f>MAX(H4579,I4579,J4579)</f>
        <v>1</v>
      </c>
      <c r="H4579" s="88"/>
      <c r="I4579" s="88"/>
      <c r="J4579" s="78">
        <f>MAX(K4579:Q4579)</f>
        <v>1</v>
      </c>
      <c r="K4579" s="88">
        <v>1</v>
      </c>
      <c r="L4579" s="88"/>
      <c r="M4579" s="88"/>
      <c r="N4579" s="88"/>
      <c r="O4579" s="88"/>
      <c r="P4579" s="88"/>
      <c r="Q4579" s="88"/>
      <c r="R4579" s="78">
        <f>MAX(S4579:W4579)</f>
        <v>0</v>
      </c>
      <c r="S4579" s="88"/>
      <c r="T4579" s="88"/>
      <c r="U4579" s="88"/>
      <c r="V4579" s="88"/>
      <c r="W4579" s="88"/>
    </row>
    <row r="4580" spans="2:23" s="0" customFormat="0" ht="15">
      <c r="B4580" s="87" t="s">
        <v>1</v>
      </c>
      <c r="C4580" s="88" t="s">
        <v>5259</v>
      </c>
      <c r="D4580" s="88" t="s">
        <v>4785</v>
      </c>
      <c r="E4580" s="88" t="s">
        <v>61</v>
      </c>
      <c r="F4580" s="88">
        <v>0</v>
      </c>
      <c r="G4580" s="78">
        <f>MAX(H4580,I4580,J4580)</f>
        <v>0</v>
      </c>
      <c r="H4580" s="88"/>
      <c r="I4580" s="88"/>
      <c r="J4580" s="78">
        <f>MAX(K4580:Q4580)</f>
        <v>0</v>
      </c>
      <c r="K4580" s="88"/>
      <c r="L4580" s="88"/>
      <c r="M4580" s="88"/>
      <c r="N4580" s="88"/>
      <c r="O4580" s="88"/>
      <c r="P4580" s="88"/>
      <c r="Q4580" s="88"/>
      <c r="R4580" s="78">
        <f>MAX(S4580:W4580)</f>
        <v>1</v>
      </c>
      <c r="S4580" s="88"/>
      <c r="T4580" s="88"/>
      <c r="U4580" s="88">
        <v>1</v>
      </c>
      <c r="V4580" s="88"/>
      <c r="W4580" s="88"/>
    </row>
    <row r="4581" spans="2:23" s="0" customFormat="0" ht="15">
      <c r="B4581" s="87" t="s">
        <v>1</v>
      </c>
      <c r="C4581" s="88" t="s">
        <v>5259</v>
      </c>
      <c r="D4581" s="88" t="s">
        <v>3269</v>
      </c>
      <c r="E4581" s="88" t="s">
        <v>61</v>
      </c>
      <c r="F4581" s="88">
        <v>0</v>
      </c>
      <c r="G4581" s="78">
        <f>MAX(H4581,I4581,J4581)</f>
        <v>0</v>
      </c>
      <c r="H4581" s="88"/>
      <c r="I4581" s="88"/>
      <c r="J4581" s="78">
        <f>MAX(K4581:Q4581)</f>
        <v>0</v>
      </c>
      <c r="K4581" s="88"/>
      <c r="L4581" s="88"/>
      <c r="M4581" s="88"/>
      <c r="N4581" s="88"/>
      <c r="O4581" s="88"/>
      <c r="P4581" s="88"/>
      <c r="Q4581" s="88"/>
      <c r="R4581" s="78">
        <f>MAX(S4581:W4581)</f>
        <v>1</v>
      </c>
      <c r="S4581" s="88"/>
      <c r="T4581" s="88"/>
      <c r="U4581" s="88"/>
      <c r="V4581" s="88">
        <v>1</v>
      </c>
      <c r="W4581" s="88"/>
    </row>
    <row r="4582" spans="2:23" s="0" customFormat="0" ht="15">
      <c r="B4582" s="87" t="s">
        <v>1</v>
      </c>
      <c r="C4582" s="88" t="s">
        <v>5259</v>
      </c>
      <c r="D4582" s="88">
        <v>19843127</v>
      </c>
      <c r="E4582" s="88" t="s">
        <v>61</v>
      </c>
      <c r="F4582" s="88">
        <v>0</v>
      </c>
      <c r="G4582" s="78">
        <f>MAX(H4582,I4582,J4582)</f>
        <v>1</v>
      </c>
      <c r="H4582" s="88"/>
      <c r="I4582" s="88"/>
      <c r="J4582" s="78">
        <f>MAX(K4582:Q4582)</f>
        <v>1</v>
      </c>
      <c r="K4582" s="88">
        <v>1</v>
      </c>
      <c r="L4582" s="88"/>
      <c r="M4582" s="88"/>
      <c r="N4582" s="88"/>
      <c r="O4582" s="88"/>
      <c r="P4582" s="88"/>
      <c r="Q4582" s="88"/>
      <c r="R4582" s="78">
        <f>MAX(S4582:W4582)</f>
        <v>0</v>
      </c>
      <c r="S4582" s="88"/>
      <c r="T4582" s="88"/>
      <c r="U4582" s="88"/>
      <c r="V4582" s="88"/>
      <c r="W4582" s="88"/>
    </row>
    <row r="4583" spans="2:23" s="0" customFormat="0" ht="15">
      <c r="B4583" s="87" t="s">
        <v>1</v>
      </c>
      <c r="C4583" s="88" t="s">
        <v>5259</v>
      </c>
      <c r="D4583" s="88">
        <v>12610612</v>
      </c>
      <c r="E4583" s="88" t="s">
        <v>61</v>
      </c>
      <c r="F4583" s="88">
        <v>0</v>
      </c>
      <c r="G4583" s="78">
        <f>MAX(H4583,I4583,J4583)</f>
        <v>1</v>
      </c>
      <c r="H4583" s="88"/>
      <c r="I4583" s="88"/>
      <c r="J4583" s="78">
        <f>MAX(K4583:Q4583)</f>
        <v>1</v>
      </c>
      <c r="K4583" s="88">
        <v>1</v>
      </c>
      <c r="L4583" s="88"/>
      <c r="M4583" s="88"/>
      <c r="N4583" s="88"/>
      <c r="O4583" s="88"/>
      <c r="P4583" s="88"/>
      <c r="Q4583" s="88"/>
      <c r="R4583" s="78">
        <f>MAX(S4583:W4583)</f>
        <v>0</v>
      </c>
      <c r="S4583" s="88"/>
      <c r="T4583" s="88"/>
      <c r="U4583" s="88"/>
      <c r="V4583" s="88"/>
      <c r="W4583" s="88"/>
    </row>
    <row r="4584" spans="2:23" s="0" customFormat="0" ht="15">
      <c r="B4584" s="87" t="s">
        <v>1</v>
      </c>
      <c r="C4584" s="88" t="s">
        <v>5259</v>
      </c>
      <c r="D4584" s="88" t="s">
        <v>1239</v>
      </c>
      <c r="E4584" s="88" t="s">
        <v>61</v>
      </c>
      <c r="F4584" s="88">
        <v>0</v>
      </c>
      <c r="G4584" s="78">
        <f>MAX(H4584,I4584,J4584)</f>
        <v>1</v>
      </c>
      <c r="H4584" s="88"/>
      <c r="I4584" s="88"/>
      <c r="J4584" s="78">
        <f>MAX(K4584:Q4584)</f>
        <v>1</v>
      </c>
      <c r="K4584" s="88">
        <v>1</v>
      </c>
      <c r="L4584" s="88"/>
      <c r="M4584" s="88"/>
      <c r="N4584" s="88"/>
      <c r="O4584" s="88"/>
      <c r="P4584" s="88"/>
      <c r="Q4584" s="88"/>
      <c r="R4584" s="78">
        <f>MAX(S4584:W4584)</f>
        <v>0</v>
      </c>
      <c r="S4584" s="88"/>
      <c r="T4584" s="88"/>
      <c r="U4584" s="88"/>
      <c r="V4584" s="88"/>
      <c r="W4584" s="88"/>
    </row>
    <row r="4585" spans="2:23" s="0" customFormat="0" ht="15">
      <c r="B4585" s="87" t="s">
        <v>1</v>
      </c>
      <c r="C4585" s="88" t="s">
        <v>5259</v>
      </c>
      <c r="D4585" s="88" t="s">
        <v>4992</v>
      </c>
      <c r="E4585" s="88" t="s">
        <v>61</v>
      </c>
      <c r="F4585" s="88">
        <v>0</v>
      </c>
      <c r="G4585" s="78">
        <f>MAX(H4585,I4585,J4585)</f>
        <v>0</v>
      </c>
      <c r="H4585" s="88"/>
      <c r="I4585" s="88"/>
      <c r="J4585" s="78">
        <f>MAX(K4585:Q4585)</f>
        <v>0</v>
      </c>
      <c r="K4585" s="88"/>
      <c r="L4585" s="88"/>
      <c r="M4585" s="88"/>
      <c r="N4585" s="88"/>
      <c r="O4585" s="88"/>
      <c r="P4585" s="88"/>
      <c r="Q4585" s="88"/>
      <c r="R4585" s="78">
        <f>MAX(S4585:W4585)</f>
        <v>1</v>
      </c>
      <c r="S4585" s="88"/>
      <c r="T4585" s="88"/>
      <c r="U4585" s="88">
        <v>1</v>
      </c>
      <c r="V4585" s="88"/>
      <c r="W4585" s="88"/>
    </row>
    <row r="4586" spans="2:23" s="0" customFormat="0" ht="15">
      <c r="B4586" s="87" t="s">
        <v>1</v>
      </c>
      <c r="C4586" s="88" t="s">
        <v>5259</v>
      </c>
      <c r="D4586" s="88" t="s">
        <v>4994</v>
      </c>
      <c r="E4586" s="88" t="s">
        <v>61</v>
      </c>
      <c r="F4586" s="88">
        <v>0</v>
      </c>
      <c r="G4586" s="78">
        <f>MAX(H4586,I4586,J4586)</f>
        <v>0</v>
      </c>
      <c r="H4586" s="88"/>
      <c r="I4586" s="88"/>
      <c r="J4586" s="78">
        <f>MAX(K4586:Q4586)</f>
        <v>0</v>
      </c>
      <c r="K4586" s="88"/>
      <c r="L4586" s="88"/>
      <c r="M4586" s="88"/>
      <c r="N4586" s="88"/>
      <c r="O4586" s="88"/>
      <c r="P4586" s="88"/>
      <c r="Q4586" s="88"/>
      <c r="R4586" s="78">
        <f>MAX(S4586:W4586)</f>
        <v>1</v>
      </c>
      <c r="S4586" s="88"/>
      <c r="T4586" s="88"/>
      <c r="U4586" s="88">
        <v>1</v>
      </c>
      <c r="V4586" s="88"/>
      <c r="W4586" s="88"/>
    </row>
    <row r="4587" spans="2:23" s="0" customFormat="0" ht="15">
      <c r="B4587" s="87" t="s">
        <v>1</v>
      </c>
      <c r="C4587" s="88" t="s">
        <v>5259</v>
      </c>
      <c r="D4587" s="88">
        <v>19743067</v>
      </c>
      <c r="E4587" s="88" t="s">
        <v>61</v>
      </c>
      <c r="F4587" s="88">
        <v>0</v>
      </c>
      <c r="G4587" s="78">
        <f>MAX(H4587,I4587,J4587)</f>
        <v>1</v>
      </c>
      <c r="H4587" s="88"/>
      <c r="I4587" s="88"/>
      <c r="J4587" s="78">
        <f>MAX(K4587:Q4587)</f>
        <v>1</v>
      </c>
      <c r="K4587" s="88">
        <v>1</v>
      </c>
      <c r="L4587" s="88"/>
      <c r="M4587" s="88"/>
      <c r="N4587" s="88"/>
      <c r="O4587" s="88"/>
      <c r="P4587" s="88"/>
      <c r="Q4587" s="88"/>
      <c r="R4587" s="78">
        <f>MAX(S4587:W4587)</f>
        <v>0</v>
      </c>
      <c r="S4587" s="88"/>
      <c r="T4587" s="88"/>
      <c r="U4587" s="88"/>
      <c r="V4587" s="88"/>
      <c r="W4587" s="88"/>
    </row>
    <row r="4588" spans="2:23" s="0" customFormat="0" ht="15">
      <c r="B4588" s="87" t="s">
        <v>1</v>
      </c>
      <c r="C4588" s="88" t="s">
        <v>5259</v>
      </c>
      <c r="D4588" s="88">
        <v>19494656</v>
      </c>
      <c r="E4588" s="88" t="s">
        <v>61</v>
      </c>
      <c r="F4588" s="88">
        <v>0</v>
      </c>
      <c r="G4588" s="78">
        <f>MAX(H4588,I4588,J4588)</f>
        <v>1</v>
      </c>
      <c r="H4588" s="88"/>
      <c r="I4588" s="88"/>
      <c r="J4588" s="78">
        <f>MAX(K4588:Q4588)</f>
        <v>1</v>
      </c>
      <c r="K4588" s="88">
        <v>1</v>
      </c>
      <c r="L4588" s="88"/>
      <c r="M4588" s="88"/>
      <c r="N4588" s="88"/>
      <c r="O4588" s="88"/>
      <c r="P4588" s="88"/>
      <c r="Q4588" s="88"/>
      <c r="R4588" s="78">
        <f>MAX(S4588:W4588)</f>
        <v>0</v>
      </c>
      <c r="S4588" s="88"/>
      <c r="T4588" s="88"/>
      <c r="U4588" s="88"/>
      <c r="V4588" s="88"/>
      <c r="W4588" s="88"/>
    </row>
    <row r="4589" spans="2:23" s="0" customFormat="0" ht="15">
      <c r="B4589" s="87" t="s">
        <v>1</v>
      </c>
      <c r="C4589" s="88" t="s">
        <v>5259</v>
      </c>
      <c r="D4589" s="88">
        <v>23545454</v>
      </c>
      <c r="E4589" s="88" t="s">
        <v>61</v>
      </c>
      <c r="F4589" s="88">
        <v>0</v>
      </c>
      <c r="G4589" s="78">
        <f>MAX(H4589,I4589,J4589)</f>
        <v>1</v>
      </c>
      <c r="H4589" s="88"/>
      <c r="I4589" s="88"/>
      <c r="J4589" s="78">
        <f>MAX(K4589:Q4589)</f>
        <v>1</v>
      </c>
      <c r="K4589" s="88">
        <v>1</v>
      </c>
      <c r="L4589" s="88"/>
      <c r="M4589" s="88"/>
      <c r="N4589" s="88"/>
      <c r="O4589" s="88"/>
      <c r="P4589" s="88"/>
      <c r="Q4589" s="88"/>
      <c r="R4589" s="78">
        <f>MAX(S4589:W4589)</f>
        <v>0</v>
      </c>
      <c r="S4589" s="88"/>
      <c r="T4589" s="88"/>
      <c r="U4589" s="88"/>
      <c r="V4589" s="88"/>
      <c r="W4589" s="88"/>
    </row>
    <row r="4590" spans="2:23" s="0" customFormat="0" ht="15">
      <c r="B4590" s="87" t="s">
        <v>1</v>
      </c>
      <c r="C4590" s="88" t="s">
        <v>5259</v>
      </c>
      <c r="D4590" s="88" t="s">
        <v>2630</v>
      </c>
      <c r="E4590" s="88" t="s">
        <v>61</v>
      </c>
      <c r="F4590" s="88">
        <v>0</v>
      </c>
      <c r="G4590" s="78">
        <f>MAX(H4590,I4590,J4590)</f>
        <v>1</v>
      </c>
      <c r="H4590" s="88"/>
      <c r="I4590" s="88"/>
      <c r="J4590" s="78">
        <f>MAX(K4590:Q4590)</f>
        <v>1</v>
      </c>
      <c r="K4590" s="88">
        <v>1</v>
      </c>
      <c r="L4590" s="88"/>
      <c r="M4590" s="88"/>
      <c r="N4590" s="88"/>
      <c r="O4590" s="88"/>
      <c r="P4590" s="88"/>
      <c r="Q4590" s="88"/>
      <c r="R4590" s="78">
        <f>MAX(S4590:W4590)</f>
        <v>0</v>
      </c>
      <c r="S4590" s="88"/>
      <c r="T4590" s="88"/>
      <c r="U4590" s="88"/>
      <c r="V4590" s="88"/>
      <c r="W4590" s="88"/>
    </row>
    <row r="4591" spans="2:23" s="0" customFormat="0" ht="15">
      <c r="B4591" s="87" t="s">
        <v>1</v>
      </c>
      <c r="C4591" s="88" t="s">
        <v>5259</v>
      </c>
      <c r="D4591" s="88">
        <v>20204088</v>
      </c>
      <c r="E4591" s="88" t="s">
        <v>61</v>
      </c>
      <c r="F4591" s="88">
        <v>0</v>
      </c>
      <c r="G4591" s="78">
        <f>MAX(H4591,I4591,J4591)</f>
        <v>1</v>
      </c>
      <c r="H4591" s="88"/>
      <c r="I4591" s="88"/>
      <c r="J4591" s="78">
        <f>MAX(K4591:Q4591)</f>
        <v>1</v>
      </c>
      <c r="K4591" s="88">
        <v>1</v>
      </c>
      <c r="L4591" s="88"/>
      <c r="M4591" s="88"/>
      <c r="N4591" s="88"/>
      <c r="O4591" s="88"/>
      <c r="P4591" s="88"/>
      <c r="Q4591" s="88"/>
      <c r="R4591" s="78">
        <f>MAX(S4591:W4591)</f>
        <v>0</v>
      </c>
      <c r="S4591" s="88"/>
      <c r="T4591" s="88"/>
      <c r="U4591" s="88"/>
      <c r="V4591" s="88"/>
      <c r="W4591" s="88"/>
    </row>
    <row r="4592" spans="2:23" s="0" customFormat="0" ht="15">
      <c r="B4592" s="87" t="s">
        <v>1</v>
      </c>
      <c r="C4592" s="88" t="s">
        <v>5259</v>
      </c>
      <c r="D4592" s="88">
        <v>13721933</v>
      </c>
      <c r="E4592" s="88" t="s">
        <v>61</v>
      </c>
      <c r="F4592" s="88">
        <v>0</v>
      </c>
      <c r="G4592" s="78">
        <f>MAX(H4592,I4592,J4592)</f>
        <v>1</v>
      </c>
      <c r="H4592" s="88"/>
      <c r="I4592" s="88"/>
      <c r="J4592" s="78">
        <f>MAX(K4592:Q4592)</f>
        <v>1</v>
      </c>
      <c r="K4592" s="88">
        <v>1</v>
      </c>
      <c r="L4592" s="88"/>
      <c r="M4592" s="88"/>
      <c r="N4592" s="88"/>
      <c r="O4592" s="88"/>
      <c r="P4592" s="88"/>
      <c r="Q4592" s="88"/>
      <c r="R4592" s="78">
        <f>MAX(S4592:W4592)</f>
        <v>0</v>
      </c>
      <c r="S4592" s="88"/>
      <c r="T4592" s="88"/>
      <c r="U4592" s="88"/>
      <c r="V4592" s="88"/>
      <c r="W4592" s="88"/>
    </row>
    <row r="4593" spans="2:23" s="0" customFormat="0" ht="15">
      <c r="B4593" s="87" t="s">
        <v>1</v>
      </c>
      <c r="C4593" s="88" t="s">
        <v>5259</v>
      </c>
      <c r="D4593" s="88">
        <v>10661715</v>
      </c>
      <c r="E4593" s="88" t="s">
        <v>61</v>
      </c>
      <c r="F4593" s="88">
        <v>0</v>
      </c>
      <c r="G4593" s="78">
        <f>MAX(H4593,I4593,J4593)</f>
        <v>1</v>
      </c>
      <c r="H4593" s="88"/>
      <c r="I4593" s="88"/>
      <c r="J4593" s="78">
        <f>MAX(K4593:Q4593)</f>
        <v>1</v>
      </c>
      <c r="K4593" s="88">
        <v>1</v>
      </c>
      <c r="L4593" s="88"/>
      <c r="M4593" s="88"/>
      <c r="N4593" s="88"/>
      <c r="O4593" s="88"/>
      <c r="P4593" s="88"/>
      <c r="Q4593" s="88"/>
      <c r="R4593" s="78">
        <f>MAX(S4593:W4593)</f>
        <v>0</v>
      </c>
      <c r="S4593" s="88"/>
      <c r="T4593" s="88"/>
      <c r="U4593" s="88"/>
      <c r="V4593" s="88"/>
      <c r="W4593" s="88"/>
    </row>
    <row r="4594" spans="2:23" s="0" customFormat="0" ht="15">
      <c r="B4594" s="87" t="s">
        <v>1</v>
      </c>
      <c r="C4594" s="88" t="s">
        <v>5259</v>
      </c>
      <c r="D4594" s="88">
        <v>12792348</v>
      </c>
      <c r="E4594" s="88" t="s">
        <v>61</v>
      </c>
      <c r="F4594" s="88">
        <v>0</v>
      </c>
      <c r="G4594" s="78">
        <f>MAX(H4594,I4594,J4594)</f>
        <v>1</v>
      </c>
      <c r="H4594" s="88"/>
      <c r="I4594" s="88"/>
      <c r="J4594" s="78">
        <f>MAX(K4594:Q4594)</f>
        <v>1</v>
      </c>
      <c r="K4594" s="88">
        <v>1</v>
      </c>
      <c r="L4594" s="88"/>
      <c r="M4594" s="88"/>
      <c r="N4594" s="88"/>
      <c r="O4594" s="88"/>
      <c r="P4594" s="88"/>
      <c r="Q4594" s="88"/>
      <c r="R4594" s="78">
        <f>MAX(S4594:W4594)</f>
        <v>0</v>
      </c>
      <c r="S4594" s="88"/>
      <c r="T4594" s="88"/>
      <c r="U4594" s="88"/>
      <c r="V4594" s="88"/>
      <c r="W4594" s="88"/>
    </row>
    <row r="4595" spans="2:23" s="0" customFormat="0" ht="15">
      <c r="B4595" s="87" t="s">
        <v>1</v>
      </c>
      <c r="C4595" s="88" t="s">
        <v>5259</v>
      </c>
      <c r="D4595" s="88">
        <v>20631186</v>
      </c>
      <c r="E4595" s="88" t="s">
        <v>61</v>
      </c>
      <c r="F4595" s="88">
        <v>0</v>
      </c>
      <c r="G4595" s="78">
        <f>MAX(H4595,I4595,J4595)</f>
        <v>1</v>
      </c>
      <c r="H4595" s="88"/>
      <c r="I4595" s="88"/>
      <c r="J4595" s="78">
        <f>MAX(K4595:Q4595)</f>
        <v>1</v>
      </c>
      <c r="K4595" s="88">
        <v>1</v>
      </c>
      <c r="L4595" s="88"/>
      <c r="M4595" s="88"/>
      <c r="N4595" s="88"/>
      <c r="O4595" s="88"/>
      <c r="P4595" s="88"/>
      <c r="Q4595" s="88"/>
      <c r="R4595" s="78">
        <f>MAX(S4595:W4595)</f>
        <v>0</v>
      </c>
      <c r="S4595" s="88"/>
      <c r="T4595" s="88"/>
      <c r="U4595" s="88"/>
      <c r="V4595" s="88"/>
      <c r="W4595" s="88"/>
    </row>
    <row r="4596" spans="2:23" s="0" customFormat="0" ht="15">
      <c r="B4596" s="87" t="s">
        <v>1</v>
      </c>
      <c r="C4596" s="88" t="s">
        <v>5259</v>
      </c>
      <c r="D4596" s="88" t="s">
        <v>4782</v>
      </c>
      <c r="E4596" s="88" t="s">
        <v>61</v>
      </c>
      <c r="F4596" s="88">
        <v>0</v>
      </c>
      <c r="G4596" s="78">
        <f>MAX(H4596,I4596,J4596)</f>
        <v>0</v>
      </c>
      <c r="H4596" s="88"/>
      <c r="I4596" s="88"/>
      <c r="J4596" s="78">
        <f>MAX(K4596:Q4596)</f>
        <v>0</v>
      </c>
      <c r="K4596" s="88"/>
      <c r="L4596" s="88"/>
      <c r="M4596" s="88"/>
      <c r="N4596" s="88"/>
      <c r="O4596" s="88"/>
      <c r="P4596" s="88"/>
      <c r="Q4596" s="88"/>
      <c r="R4596" s="78">
        <f>MAX(S4596:W4596)</f>
        <v>1</v>
      </c>
      <c r="S4596" s="88"/>
      <c r="T4596" s="88"/>
      <c r="U4596" s="88">
        <v>1</v>
      </c>
      <c r="V4596" s="88"/>
      <c r="W4596" s="88"/>
    </row>
    <row r="4597" spans="2:23" s="0" customFormat="0" ht="15">
      <c r="B4597" s="87" t="s">
        <v>1</v>
      </c>
      <c r="C4597" s="88" t="s">
        <v>5259</v>
      </c>
      <c r="D4597" s="88">
        <v>13244697</v>
      </c>
      <c r="E4597" s="88" t="s">
        <v>61</v>
      </c>
      <c r="F4597" s="88">
        <v>0</v>
      </c>
      <c r="G4597" s="78">
        <f>MAX(H4597,I4597,J4597)</f>
        <v>1</v>
      </c>
      <c r="H4597" s="88"/>
      <c r="I4597" s="88"/>
      <c r="J4597" s="78">
        <f>MAX(K4597:Q4597)</f>
        <v>1</v>
      </c>
      <c r="K4597" s="88">
        <v>1</v>
      </c>
      <c r="L4597" s="88"/>
      <c r="M4597" s="88"/>
      <c r="N4597" s="88"/>
      <c r="O4597" s="88"/>
      <c r="P4597" s="88"/>
      <c r="Q4597" s="88"/>
      <c r="R4597" s="78">
        <f>MAX(S4597:W4597)</f>
        <v>0</v>
      </c>
      <c r="S4597" s="88"/>
      <c r="T4597" s="88"/>
      <c r="U4597" s="88"/>
      <c r="V4597" s="88"/>
      <c r="W4597" s="88"/>
    </row>
    <row r="4598" spans="2:23" s="0" customFormat="0" ht="15">
      <c r="B4598" s="87" t="s">
        <v>1</v>
      </c>
      <c r="C4598" s="88" t="s">
        <v>5259</v>
      </c>
      <c r="D4598" s="88" t="s">
        <v>4996</v>
      </c>
      <c r="E4598" s="88" t="s">
        <v>61</v>
      </c>
      <c r="F4598" s="88">
        <v>0</v>
      </c>
      <c r="G4598" s="78">
        <f>MAX(H4598,I4598,J4598)</f>
        <v>0</v>
      </c>
      <c r="H4598" s="88"/>
      <c r="I4598" s="88"/>
      <c r="J4598" s="78">
        <f>MAX(K4598:Q4598)</f>
        <v>0</v>
      </c>
      <c r="K4598" s="88"/>
      <c r="L4598" s="88"/>
      <c r="M4598" s="88"/>
      <c r="N4598" s="88"/>
      <c r="O4598" s="88"/>
      <c r="P4598" s="88"/>
      <c r="Q4598" s="88"/>
      <c r="R4598" s="78">
        <f>MAX(S4598:W4598)</f>
        <v>1</v>
      </c>
      <c r="S4598" s="88"/>
      <c r="T4598" s="88"/>
      <c r="U4598" s="88">
        <v>1</v>
      </c>
      <c r="V4598" s="88"/>
      <c r="W4598" s="88"/>
    </row>
    <row r="4599" spans="2:23" s="0" customFormat="0" ht="15">
      <c r="B4599" s="87" t="s">
        <v>1</v>
      </c>
      <c r="C4599" s="88" t="s">
        <v>5259</v>
      </c>
      <c r="D4599" s="88">
        <v>22554506</v>
      </c>
      <c r="E4599" s="88" t="s">
        <v>61</v>
      </c>
      <c r="F4599" s="88">
        <v>0</v>
      </c>
      <c r="G4599" s="78">
        <f>MAX(H4599,I4599,J4599)</f>
        <v>0</v>
      </c>
      <c r="H4599" s="88"/>
      <c r="I4599" s="88"/>
      <c r="J4599" s="78">
        <f>MAX(K4599:Q4599)</f>
        <v>0</v>
      </c>
      <c r="K4599" s="88"/>
      <c r="L4599" s="88"/>
      <c r="M4599" s="88"/>
      <c r="N4599" s="88"/>
      <c r="O4599" s="88"/>
      <c r="P4599" s="88"/>
      <c r="Q4599" s="88"/>
      <c r="R4599" s="78">
        <f>MAX(S4599:W4599)</f>
        <v>1</v>
      </c>
      <c r="S4599" s="88"/>
      <c r="T4599" s="88"/>
      <c r="U4599" s="88">
        <v>1</v>
      </c>
      <c r="V4599" s="88"/>
      <c r="W4599" s="88"/>
    </row>
    <row r="4600" spans="2:23" s="0" customFormat="0" ht="15">
      <c r="B4600" s="87" t="s">
        <v>1</v>
      </c>
      <c r="C4600" s="88" t="s">
        <v>5259</v>
      </c>
      <c r="D4600" s="88" t="s">
        <v>4678</v>
      </c>
      <c r="E4600" s="88" t="s">
        <v>61</v>
      </c>
      <c r="F4600" s="88">
        <v>0</v>
      </c>
      <c r="G4600" s="78">
        <f>MAX(H4600,I4600,J4600)</f>
        <v>0</v>
      </c>
      <c r="H4600" s="88"/>
      <c r="I4600" s="88"/>
      <c r="J4600" s="78">
        <f>MAX(K4600:Q4600)</f>
        <v>0</v>
      </c>
      <c r="K4600" s="88"/>
      <c r="L4600" s="88"/>
      <c r="M4600" s="88"/>
      <c r="N4600" s="88"/>
      <c r="O4600" s="88"/>
      <c r="P4600" s="88"/>
      <c r="Q4600" s="88"/>
      <c r="R4600" s="78">
        <f>MAX(S4600:W4600)</f>
        <v>1</v>
      </c>
      <c r="S4600" s="88"/>
      <c r="T4600" s="88"/>
      <c r="U4600" s="88">
        <v>1</v>
      </c>
      <c r="V4600" s="88"/>
      <c r="W4600" s="88"/>
    </row>
    <row r="4601" spans="2:23" s="0" customFormat="0" ht="15">
      <c r="B4601" s="87" t="s">
        <v>1</v>
      </c>
      <c r="C4601" s="88" t="s">
        <v>5259</v>
      </c>
      <c r="D4601" s="88">
        <v>14256169</v>
      </c>
      <c r="E4601" s="88" t="s">
        <v>61</v>
      </c>
      <c r="F4601" s="88">
        <v>0</v>
      </c>
      <c r="G4601" s="78">
        <f>MAX(H4601,I4601,J4601)</f>
        <v>1</v>
      </c>
      <c r="H4601" s="88"/>
      <c r="I4601" s="88"/>
      <c r="J4601" s="78">
        <f>MAX(K4601:Q4601)</f>
        <v>1</v>
      </c>
      <c r="K4601" s="88">
        <v>1</v>
      </c>
      <c r="L4601" s="88"/>
      <c r="M4601" s="88"/>
      <c r="N4601" s="88"/>
      <c r="O4601" s="88"/>
      <c r="P4601" s="88"/>
      <c r="Q4601" s="88"/>
      <c r="R4601" s="78">
        <f>MAX(S4601:W4601)</f>
        <v>0</v>
      </c>
      <c r="S4601" s="88"/>
      <c r="T4601" s="88"/>
      <c r="U4601" s="88"/>
      <c r="V4601" s="88"/>
      <c r="W4601" s="88"/>
    </row>
    <row r="4602" spans="2:23" s="0" customFormat="0" ht="15">
      <c r="B4602" s="87" t="s">
        <v>1</v>
      </c>
      <c r="C4602" s="88" t="s">
        <v>5259</v>
      </c>
      <c r="D4602" s="88">
        <v>16974684</v>
      </c>
      <c r="E4602" s="88" t="s">
        <v>61</v>
      </c>
      <c r="F4602" s="88">
        <v>0</v>
      </c>
      <c r="G4602" s="78">
        <f>MAX(H4602,I4602,J4602)</f>
        <v>0</v>
      </c>
      <c r="H4602" s="88"/>
      <c r="I4602" s="88"/>
      <c r="J4602" s="78">
        <f>MAX(K4602:Q4602)</f>
        <v>0</v>
      </c>
      <c r="K4602" s="88"/>
      <c r="L4602" s="88"/>
      <c r="M4602" s="88"/>
      <c r="N4602" s="88"/>
      <c r="O4602" s="88"/>
      <c r="P4602" s="88"/>
      <c r="Q4602" s="88"/>
      <c r="R4602" s="78">
        <f>MAX(S4602:W4602)</f>
        <v>1</v>
      </c>
      <c r="S4602" s="88"/>
      <c r="T4602" s="88"/>
      <c r="U4602" s="88">
        <v>1</v>
      </c>
      <c r="V4602" s="88"/>
      <c r="W4602" s="88"/>
    </row>
    <row r="4603" spans="2:23" s="0" customFormat="0" ht="15">
      <c r="B4603" s="87" t="s">
        <v>1</v>
      </c>
      <c r="C4603" s="88" t="s">
        <v>5259</v>
      </c>
      <c r="D4603" s="88">
        <v>11986935</v>
      </c>
      <c r="E4603" s="88" t="s">
        <v>61</v>
      </c>
      <c r="F4603" s="88">
        <v>0</v>
      </c>
      <c r="G4603" s="78">
        <f>MAX(H4603,I4603,J4603)</f>
        <v>1</v>
      </c>
      <c r="H4603" s="88"/>
      <c r="I4603" s="88"/>
      <c r="J4603" s="78">
        <f>MAX(K4603:Q4603)</f>
        <v>1</v>
      </c>
      <c r="K4603" s="88">
        <v>1</v>
      </c>
      <c r="L4603" s="88"/>
      <c r="M4603" s="88"/>
      <c r="N4603" s="88"/>
      <c r="O4603" s="88"/>
      <c r="P4603" s="88"/>
      <c r="Q4603" s="88"/>
      <c r="R4603" s="78">
        <f>MAX(S4603:W4603)</f>
        <v>0</v>
      </c>
      <c r="S4603" s="88"/>
      <c r="T4603" s="88"/>
      <c r="U4603" s="88"/>
      <c r="V4603" s="88"/>
      <c r="W4603" s="88"/>
    </row>
    <row r="4604" spans="2:23" s="0" customFormat="0" ht="15">
      <c r="B4604" s="87" t="s">
        <v>1</v>
      </c>
      <c r="C4604" s="88" t="s">
        <v>5259</v>
      </c>
      <c r="D4604" s="88">
        <v>606023</v>
      </c>
      <c r="E4604" s="88" t="s">
        <v>61</v>
      </c>
      <c r="F4604" s="88">
        <v>0</v>
      </c>
      <c r="G4604" s="78">
        <f>MAX(H4604,I4604,J4604)</f>
        <v>1</v>
      </c>
      <c r="H4604" s="88"/>
      <c r="I4604" s="88"/>
      <c r="J4604" s="78">
        <f>MAX(K4604:Q4604)</f>
        <v>1</v>
      </c>
      <c r="K4604" s="88">
        <v>1</v>
      </c>
      <c r="L4604" s="88"/>
      <c r="M4604" s="88"/>
      <c r="N4604" s="88"/>
      <c r="O4604" s="88"/>
      <c r="P4604" s="88"/>
      <c r="Q4604" s="88"/>
      <c r="R4604" s="78">
        <f>MAX(S4604:W4604)</f>
        <v>0</v>
      </c>
      <c r="S4604" s="88"/>
      <c r="T4604" s="88"/>
      <c r="U4604" s="88"/>
      <c r="V4604" s="88"/>
      <c r="W4604" s="88"/>
    </row>
    <row r="4605" spans="2:23" s="0" customFormat="0" ht="15">
      <c r="B4605" s="87" t="s">
        <v>1</v>
      </c>
      <c r="C4605" s="88" t="s">
        <v>5259</v>
      </c>
      <c r="D4605" s="88" t="s">
        <v>4998</v>
      </c>
      <c r="E4605" s="88" t="s">
        <v>61</v>
      </c>
      <c r="F4605" s="88">
        <v>0</v>
      </c>
      <c r="G4605" s="78">
        <f>MAX(H4605,I4605,J4605)</f>
        <v>0</v>
      </c>
      <c r="H4605" s="88"/>
      <c r="I4605" s="88"/>
      <c r="J4605" s="78">
        <f>MAX(K4605:Q4605)</f>
        <v>0</v>
      </c>
      <c r="K4605" s="88"/>
      <c r="L4605" s="88"/>
      <c r="M4605" s="88"/>
      <c r="N4605" s="88"/>
      <c r="O4605" s="88"/>
      <c r="P4605" s="88"/>
      <c r="Q4605" s="88"/>
      <c r="R4605" s="78">
        <f>MAX(S4605:W4605)</f>
        <v>1</v>
      </c>
      <c r="S4605" s="88"/>
      <c r="T4605" s="88"/>
      <c r="U4605" s="88">
        <v>1</v>
      </c>
      <c r="V4605" s="88"/>
      <c r="W4605" s="88"/>
    </row>
    <row r="4606" spans="2:23" s="0" customFormat="0" ht="15">
      <c r="B4606" s="87" t="s">
        <v>1</v>
      </c>
      <c r="C4606" s="88" t="s">
        <v>5259</v>
      </c>
      <c r="D4606" s="88">
        <v>16974675</v>
      </c>
      <c r="E4606" s="88" t="s">
        <v>61</v>
      </c>
      <c r="F4606" s="88">
        <v>0</v>
      </c>
      <c r="G4606" s="78">
        <f>MAX(H4606,I4606,J4606)</f>
        <v>0</v>
      </c>
      <c r="H4606" s="88"/>
      <c r="I4606" s="88"/>
      <c r="J4606" s="78">
        <f>MAX(K4606:Q4606)</f>
        <v>0</v>
      </c>
      <c r="K4606" s="88"/>
      <c r="L4606" s="88"/>
      <c r="M4606" s="88"/>
      <c r="N4606" s="88"/>
      <c r="O4606" s="88"/>
      <c r="P4606" s="88"/>
      <c r="Q4606" s="88"/>
      <c r="R4606" s="78">
        <f>MAX(S4606:W4606)</f>
        <v>1</v>
      </c>
      <c r="S4606" s="88"/>
      <c r="T4606" s="88"/>
      <c r="U4606" s="88">
        <v>1</v>
      </c>
      <c r="V4606" s="88"/>
      <c r="W4606" s="88"/>
    </row>
    <row r="4607" spans="2:23" s="0" customFormat="0" ht="15">
      <c r="B4607" s="87" t="s">
        <v>1</v>
      </c>
      <c r="C4607" s="88" t="s">
        <v>5259</v>
      </c>
      <c r="D4607" s="88">
        <v>22698145</v>
      </c>
      <c r="E4607" s="88" t="s">
        <v>61</v>
      </c>
      <c r="F4607" s="88">
        <v>0</v>
      </c>
      <c r="G4607" s="78">
        <f>MAX(H4607,I4607,J4607)</f>
        <v>1</v>
      </c>
      <c r="H4607" s="88"/>
      <c r="I4607" s="88"/>
      <c r="J4607" s="78">
        <f>MAX(K4607:Q4607)</f>
        <v>1</v>
      </c>
      <c r="K4607" s="88">
        <v>1</v>
      </c>
      <c r="L4607" s="88"/>
      <c r="M4607" s="88"/>
      <c r="N4607" s="88"/>
      <c r="O4607" s="88"/>
      <c r="P4607" s="88"/>
      <c r="Q4607" s="88"/>
      <c r="R4607" s="78">
        <f>MAX(S4607:W4607)</f>
        <v>0</v>
      </c>
      <c r="S4607" s="88"/>
      <c r="T4607" s="88"/>
      <c r="U4607" s="88"/>
      <c r="V4607" s="88"/>
      <c r="W4607" s="88"/>
    </row>
    <row r="4608" spans="2:23" s="0" customFormat="0" ht="15">
      <c r="B4608" s="87" t="s">
        <v>1</v>
      </c>
      <c r="C4608" s="88" t="s">
        <v>5259</v>
      </c>
      <c r="D4608" s="88">
        <v>22455331</v>
      </c>
      <c r="E4608" s="88" t="s">
        <v>61</v>
      </c>
      <c r="F4608" s="88">
        <v>0</v>
      </c>
      <c r="G4608" s="78">
        <f>MAX(H4608,I4608,J4608)</f>
        <v>1</v>
      </c>
      <c r="H4608" s="88"/>
      <c r="I4608" s="88"/>
      <c r="J4608" s="78">
        <f>MAX(K4608:Q4608)</f>
        <v>1</v>
      </c>
      <c r="K4608" s="88">
        <v>1</v>
      </c>
      <c r="L4608" s="88"/>
      <c r="M4608" s="88"/>
      <c r="N4608" s="88"/>
      <c r="O4608" s="88"/>
      <c r="P4608" s="88"/>
      <c r="Q4608" s="88"/>
      <c r="R4608" s="78">
        <f>MAX(S4608:W4608)</f>
        <v>0</v>
      </c>
      <c r="S4608" s="88"/>
      <c r="T4608" s="88"/>
      <c r="U4608" s="88"/>
      <c r="V4608" s="88"/>
      <c r="W4608" s="88"/>
    </row>
    <row r="4609" spans="2:23" s="0" customFormat="0" ht="15">
      <c r="B4609" s="87" t="s">
        <v>1</v>
      </c>
      <c r="C4609" s="88" t="s">
        <v>5259</v>
      </c>
      <c r="D4609" s="88">
        <v>24769619</v>
      </c>
      <c r="E4609" s="88" t="s">
        <v>61</v>
      </c>
      <c r="F4609" s="88">
        <v>0</v>
      </c>
      <c r="G4609" s="78">
        <f>MAX(H4609,I4609,J4609)</f>
        <v>1</v>
      </c>
      <c r="H4609" s="88"/>
      <c r="I4609" s="88"/>
      <c r="J4609" s="78">
        <f>MAX(K4609:Q4609)</f>
        <v>1</v>
      </c>
      <c r="K4609" s="88">
        <v>1</v>
      </c>
      <c r="L4609" s="88"/>
      <c r="M4609" s="88"/>
      <c r="N4609" s="88"/>
      <c r="O4609" s="88"/>
      <c r="P4609" s="88"/>
      <c r="Q4609" s="88"/>
      <c r="R4609" s="78">
        <f>MAX(S4609:W4609)</f>
        <v>0</v>
      </c>
      <c r="S4609" s="88"/>
      <c r="T4609" s="88"/>
      <c r="U4609" s="88"/>
      <c r="V4609" s="88"/>
      <c r="W4609" s="88"/>
    </row>
    <row r="4610" spans="2:23" s="0" customFormat="0" ht="15">
      <c r="B4610" s="87" t="s">
        <v>1</v>
      </c>
      <c r="C4610" s="88" t="s">
        <v>5259</v>
      </c>
      <c r="D4610" s="88" t="s">
        <v>2642</v>
      </c>
      <c r="E4610" s="88" t="s">
        <v>61</v>
      </c>
      <c r="F4610" s="88">
        <v>0</v>
      </c>
      <c r="G4610" s="78">
        <f>MAX(H4610,I4610,J4610)</f>
        <v>1</v>
      </c>
      <c r="H4610" s="88"/>
      <c r="I4610" s="88"/>
      <c r="J4610" s="78">
        <f>MAX(K4610:Q4610)</f>
        <v>1</v>
      </c>
      <c r="K4610" s="88">
        <v>1</v>
      </c>
      <c r="L4610" s="88"/>
      <c r="M4610" s="88"/>
      <c r="N4610" s="88"/>
      <c r="O4610" s="88"/>
      <c r="P4610" s="88"/>
      <c r="Q4610" s="88"/>
      <c r="R4610" s="78">
        <f>MAX(S4610:W4610)</f>
        <v>0</v>
      </c>
      <c r="S4610" s="88"/>
      <c r="T4610" s="88"/>
      <c r="U4610" s="88"/>
      <c r="V4610" s="88"/>
      <c r="W4610" s="88"/>
    </row>
    <row r="4611" spans="2:23" s="0" customFormat="0" ht="15">
      <c r="B4611" s="87" t="s">
        <v>1</v>
      </c>
      <c r="C4611" s="88" t="s">
        <v>5259</v>
      </c>
      <c r="D4611" s="88">
        <v>17252200</v>
      </c>
      <c r="E4611" s="88" t="s">
        <v>61</v>
      </c>
      <c r="F4611" s="88">
        <v>0</v>
      </c>
      <c r="G4611" s="78">
        <f>MAX(H4611,I4611,J4611)</f>
        <v>1</v>
      </c>
      <c r="H4611" s="88"/>
      <c r="I4611" s="88"/>
      <c r="J4611" s="78">
        <f>MAX(K4611:Q4611)</f>
        <v>1</v>
      </c>
      <c r="K4611" s="88">
        <v>1</v>
      </c>
      <c r="L4611" s="88"/>
      <c r="M4611" s="88"/>
      <c r="N4611" s="88"/>
      <c r="O4611" s="88"/>
      <c r="P4611" s="88"/>
      <c r="Q4611" s="88"/>
      <c r="R4611" s="78">
        <f>MAX(S4611:W4611)</f>
        <v>0</v>
      </c>
      <c r="S4611" s="88"/>
      <c r="T4611" s="88"/>
      <c r="U4611" s="88"/>
      <c r="V4611" s="88"/>
      <c r="W4611" s="88"/>
    </row>
    <row r="4612" spans="2:23" s="0" customFormat="0" ht="15">
      <c r="B4612" s="87" t="s">
        <v>1</v>
      </c>
      <c r="C4612" s="88" t="s">
        <v>5259</v>
      </c>
      <c r="D4612" s="88">
        <v>25200623</v>
      </c>
      <c r="E4612" s="88" t="s">
        <v>61</v>
      </c>
      <c r="F4612" s="88">
        <v>0</v>
      </c>
      <c r="G4612" s="78">
        <f>MAX(H4612,I4612,J4612)</f>
        <v>1</v>
      </c>
      <c r="H4612" s="88"/>
      <c r="I4612" s="88"/>
      <c r="J4612" s="78">
        <f>MAX(K4612:Q4612)</f>
        <v>1</v>
      </c>
      <c r="K4612" s="88"/>
      <c r="L4612" s="88"/>
      <c r="M4612" s="88">
        <v>1</v>
      </c>
      <c r="N4612" s="88"/>
      <c r="O4612" s="88"/>
      <c r="P4612" s="88"/>
      <c r="Q4612" s="88"/>
      <c r="R4612" s="78">
        <f>MAX(S4612:W4612)</f>
        <v>0</v>
      </c>
      <c r="S4612" s="88"/>
      <c r="T4612" s="88"/>
      <c r="U4612" s="88"/>
      <c r="V4612" s="88"/>
      <c r="W4612" s="88"/>
    </row>
    <row r="4613" spans="2:23" s="0" customFormat="0" ht="15">
      <c r="B4613" s="87" t="s">
        <v>1</v>
      </c>
      <c r="C4613" s="88" t="s">
        <v>5259</v>
      </c>
      <c r="D4613" s="88">
        <v>23134848</v>
      </c>
      <c r="E4613" s="88" t="s">
        <v>61</v>
      </c>
      <c r="F4613" s="88">
        <v>0</v>
      </c>
      <c r="G4613" s="78">
        <f>MAX(H4613,I4613,J4613)</f>
        <v>1</v>
      </c>
      <c r="H4613" s="88"/>
      <c r="I4613" s="88"/>
      <c r="J4613" s="78">
        <f>MAX(K4613:Q4613)</f>
        <v>1</v>
      </c>
      <c r="K4613" s="88">
        <v>1</v>
      </c>
      <c r="L4613" s="88"/>
      <c r="M4613" s="88"/>
      <c r="N4613" s="88"/>
      <c r="O4613" s="88"/>
      <c r="P4613" s="88"/>
      <c r="Q4613" s="88"/>
      <c r="R4613" s="78">
        <f>MAX(S4613:W4613)</f>
        <v>0</v>
      </c>
      <c r="S4613" s="88"/>
      <c r="T4613" s="88"/>
      <c r="U4613" s="88"/>
      <c r="V4613" s="88"/>
      <c r="W4613" s="88"/>
    </row>
    <row r="4614" spans="2:23" s="0" customFormat="0" ht="15">
      <c r="B4614" s="87" t="s">
        <v>1</v>
      </c>
      <c r="C4614" s="88" t="s">
        <v>5259</v>
      </c>
      <c r="D4614" s="88">
        <v>20630023</v>
      </c>
      <c r="E4614" s="88" t="s">
        <v>61</v>
      </c>
      <c r="F4614" s="88">
        <v>0</v>
      </c>
      <c r="G4614" s="78">
        <f>MAX(H4614,I4614,J4614)</f>
        <v>1</v>
      </c>
      <c r="H4614" s="88"/>
      <c r="I4614" s="88"/>
      <c r="J4614" s="78">
        <f>MAX(K4614:Q4614)</f>
        <v>1</v>
      </c>
      <c r="K4614" s="88">
        <v>1</v>
      </c>
      <c r="L4614" s="88"/>
      <c r="M4614" s="88"/>
      <c r="N4614" s="88"/>
      <c r="O4614" s="88"/>
      <c r="P4614" s="88"/>
      <c r="Q4614" s="88"/>
      <c r="R4614" s="78">
        <f>MAX(S4614:W4614)</f>
        <v>0</v>
      </c>
      <c r="S4614" s="88"/>
      <c r="T4614" s="88"/>
      <c r="U4614" s="88"/>
      <c r="V4614" s="88"/>
      <c r="W4614" s="88"/>
    </row>
    <row r="4615" spans="2:23" s="0" customFormat="0" ht="15">
      <c r="B4615" s="87" t="s">
        <v>1</v>
      </c>
      <c r="C4615" s="88" t="s">
        <v>5259</v>
      </c>
      <c r="D4615" s="88">
        <v>23212108</v>
      </c>
      <c r="E4615" s="88" t="s">
        <v>61</v>
      </c>
      <c r="F4615" s="88">
        <v>0</v>
      </c>
      <c r="G4615" s="78">
        <f>MAX(H4615,I4615,J4615)</f>
        <v>1</v>
      </c>
      <c r="H4615" s="88"/>
      <c r="I4615" s="88"/>
      <c r="J4615" s="78">
        <f>MAX(K4615:Q4615)</f>
        <v>1</v>
      </c>
      <c r="K4615" s="88">
        <v>1</v>
      </c>
      <c r="L4615" s="88"/>
      <c r="M4615" s="88"/>
      <c r="N4615" s="88"/>
      <c r="O4615" s="88"/>
      <c r="P4615" s="88"/>
      <c r="Q4615" s="88"/>
      <c r="R4615" s="78">
        <f>MAX(S4615:W4615)</f>
        <v>0</v>
      </c>
      <c r="S4615" s="88"/>
      <c r="T4615" s="88"/>
      <c r="U4615" s="88"/>
      <c r="V4615" s="88"/>
      <c r="W4615" s="88"/>
    </row>
    <row r="4616" spans="2:23" s="0" customFormat="0" ht="15">
      <c r="B4616" s="87" t="s">
        <v>1</v>
      </c>
      <c r="C4616" s="88" t="s">
        <v>5259</v>
      </c>
      <c r="D4616" s="88">
        <v>22028344</v>
      </c>
      <c r="E4616" s="88" t="s">
        <v>61</v>
      </c>
      <c r="F4616" s="88">
        <v>0</v>
      </c>
      <c r="G4616" s="78">
        <f>MAX(H4616,I4616,J4616)</f>
        <v>1</v>
      </c>
      <c r="H4616" s="88"/>
      <c r="I4616" s="88"/>
      <c r="J4616" s="78">
        <f>MAX(K4616:Q4616)</f>
        <v>1</v>
      </c>
      <c r="K4616" s="88">
        <v>1</v>
      </c>
      <c r="L4616" s="88"/>
      <c r="M4616" s="88"/>
      <c r="N4616" s="88"/>
      <c r="O4616" s="88"/>
      <c r="P4616" s="88"/>
      <c r="Q4616" s="88"/>
      <c r="R4616" s="78">
        <f>MAX(S4616:W4616)</f>
        <v>0</v>
      </c>
      <c r="S4616" s="88"/>
      <c r="T4616" s="88"/>
      <c r="U4616" s="88"/>
      <c r="V4616" s="88"/>
      <c r="W4616" s="88"/>
    </row>
    <row r="4617" spans="2:23" s="0" customFormat="0" ht="15">
      <c r="B4617" s="87" t="s">
        <v>1</v>
      </c>
      <c r="C4617" s="88" t="s">
        <v>5259</v>
      </c>
      <c r="D4617" s="88">
        <v>15219111</v>
      </c>
      <c r="E4617" s="88" t="s">
        <v>61</v>
      </c>
      <c r="F4617" s="88">
        <v>0</v>
      </c>
      <c r="G4617" s="78">
        <f>MAX(H4617,I4617,J4617)</f>
        <v>1</v>
      </c>
      <c r="H4617" s="88"/>
      <c r="I4617" s="88"/>
      <c r="J4617" s="78">
        <f>MAX(K4617:Q4617)</f>
        <v>1</v>
      </c>
      <c r="K4617" s="88">
        <v>1</v>
      </c>
      <c r="L4617" s="88"/>
      <c r="M4617" s="88"/>
      <c r="N4617" s="88"/>
      <c r="O4617" s="88"/>
      <c r="P4617" s="88"/>
      <c r="Q4617" s="88"/>
      <c r="R4617" s="78">
        <f>MAX(S4617:W4617)</f>
        <v>0</v>
      </c>
      <c r="S4617" s="88"/>
      <c r="T4617" s="88"/>
      <c r="U4617" s="88"/>
      <c r="V4617" s="88"/>
      <c r="W4617" s="88"/>
    </row>
    <row r="4618" spans="2:23" s="0" customFormat="0" ht="15">
      <c r="B4618" s="87" t="s">
        <v>1</v>
      </c>
      <c r="C4618" s="88" t="s">
        <v>5259</v>
      </c>
      <c r="D4618" s="88">
        <v>17619867</v>
      </c>
      <c r="E4618" s="88" t="s">
        <v>61</v>
      </c>
      <c r="F4618" s="88">
        <v>0</v>
      </c>
      <c r="G4618" s="78">
        <f>MAX(H4618,I4618,J4618)</f>
        <v>0</v>
      </c>
      <c r="H4618" s="88"/>
      <c r="I4618" s="88"/>
      <c r="J4618" s="78">
        <f>MAX(K4618:Q4618)</f>
        <v>0</v>
      </c>
      <c r="K4618" s="88"/>
      <c r="L4618" s="88"/>
      <c r="M4618" s="88"/>
      <c r="N4618" s="88"/>
      <c r="O4618" s="88"/>
      <c r="P4618" s="88"/>
      <c r="Q4618" s="88"/>
      <c r="R4618" s="78">
        <f>MAX(S4618:W4618)</f>
        <v>1</v>
      </c>
      <c r="S4618" s="88"/>
      <c r="T4618" s="88"/>
      <c r="U4618" s="88">
        <v>1</v>
      </c>
      <c r="V4618" s="88"/>
      <c r="W4618" s="88"/>
    </row>
    <row r="4619" spans="2:23" s="0" customFormat="0" ht="15">
      <c r="B4619" s="87" t="s">
        <v>1</v>
      </c>
      <c r="C4619" s="88" t="s">
        <v>5259</v>
      </c>
      <c r="D4619" s="88">
        <v>18923343</v>
      </c>
      <c r="E4619" s="88" t="s">
        <v>61</v>
      </c>
      <c r="F4619" s="88">
        <v>0</v>
      </c>
      <c r="G4619" s="78">
        <f>MAX(H4619,I4619,J4619)</f>
        <v>1</v>
      </c>
      <c r="H4619" s="88"/>
      <c r="I4619" s="88"/>
      <c r="J4619" s="78">
        <f>MAX(K4619:Q4619)</f>
        <v>1</v>
      </c>
      <c r="K4619" s="88">
        <v>1</v>
      </c>
      <c r="L4619" s="88"/>
      <c r="M4619" s="88"/>
      <c r="N4619" s="88"/>
      <c r="O4619" s="88"/>
      <c r="P4619" s="88"/>
      <c r="Q4619" s="88"/>
      <c r="R4619" s="78">
        <f>MAX(S4619:W4619)</f>
        <v>0</v>
      </c>
      <c r="S4619" s="88"/>
      <c r="T4619" s="88"/>
      <c r="U4619" s="88"/>
      <c r="V4619" s="88"/>
      <c r="W4619" s="88"/>
    </row>
    <row r="4620" spans="2:23" s="0" customFormat="0" ht="15">
      <c r="B4620" s="87" t="s">
        <v>1</v>
      </c>
      <c r="C4620" s="88" t="s">
        <v>5259</v>
      </c>
      <c r="D4620" s="88" t="s">
        <v>1899</v>
      </c>
      <c r="E4620" s="88" t="s">
        <v>61</v>
      </c>
      <c r="F4620" s="88">
        <v>0</v>
      </c>
      <c r="G4620" s="78">
        <f>MAX(H4620,I4620,J4620)</f>
        <v>1</v>
      </c>
      <c r="H4620" s="88"/>
      <c r="I4620" s="88"/>
      <c r="J4620" s="78">
        <f>MAX(K4620:Q4620)</f>
        <v>1</v>
      </c>
      <c r="K4620" s="88">
        <v>1</v>
      </c>
      <c r="L4620" s="88"/>
      <c r="M4620" s="88"/>
      <c r="N4620" s="88"/>
      <c r="O4620" s="88"/>
      <c r="P4620" s="88"/>
      <c r="Q4620" s="88"/>
      <c r="R4620" s="78">
        <f>MAX(S4620:W4620)</f>
        <v>0</v>
      </c>
      <c r="S4620" s="88"/>
      <c r="T4620" s="88"/>
      <c r="U4620" s="88"/>
      <c r="V4620" s="88"/>
      <c r="W4620" s="88"/>
    </row>
    <row r="4621" spans="2:23" s="0" customFormat="0" ht="15">
      <c r="B4621" s="87" t="s">
        <v>1</v>
      </c>
      <c r="C4621" s="88" t="s">
        <v>5259</v>
      </c>
      <c r="D4621" s="88" t="s">
        <v>2647</v>
      </c>
      <c r="E4621" s="88" t="s">
        <v>61</v>
      </c>
      <c r="F4621" s="88">
        <v>0</v>
      </c>
      <c r="G4621" s="78">
        <f>MAX(H4621,I4621,J4621)</f>
        <v>1</v>
      </c>
      <c r="H4621" s="88"/>
      <c r="I4621" s="88"/>
      <c r="J4621" s="78">
        <f>MAX(K4621:Q4621)</f>
        <v>1</v>
      </c>
      <c r="K4621" s="88">
        <v>1</v>
      </c>
      <c r="L4621" s="88"/>
      <c r="M4621" s="88"/>
      <c r="N4621" s="88"/>
      <c r="O4621" s="88"/>
      <c r="P4621" s="88"/>
      <c r="Q4621" s="88"/>
      <c r="R4621" s="78">
        <f>MAX(S4621:W4621)</f>
        <v>0</v>
      </c>
      <c r="S4621" s="88"/>
      <c r="T4621" s="88"/>
      <c r="U4621" s="88"/>
      <c r="V4621" s="88"/>
      <c r="W4621" s="88"/>
    </row>
    <row r="4622" spans="2:23" s="0" customFormat="0" ht="15">
      <c r="B4622" s="87" t="s">
        <v>1</v>
      </c>
      <c r="C4622" s="88" t="s">
        <v>5259</v>
      </c>
      <c r="D4622" s="88">
        <v>23170669</v>
      </c>
      <c r="E4622" s="88" t="s">
        <v>61</v>
      </c>
      <c r="F4622" s="88">
        <v>0</v>
      </c>
      <c r="G4622" s="78">
        <f>MAX(H4622,I4622,J4622)</f>
        <v>1</v>
      </c>
      <c r="H4622" s="88"/>
      <c r="I4622" s="88"/>
      <c r="J4622" s="78">
        <f>MAX(K4622:Q4622)</f>
        <v>1</v>
      </c>
      <c r="K4622" s="88">
        <v>1</v>
      </c>
      <c r="L4622" s="88"/>
      <c r="M4622" s="88"/>
      <c r="N4622" s="88"/>
      <c r="O4622" s="88"/>
      <c r="P4622" s="88"/>
      <c r="Q4622" s="88"/>
      <c r="R4622" s="78">
        <f>MAX(S4622:W4622)</f>
        <v>0</v>
      </c>
      <c r="S4622" s="88"/>
      <c r="T4622" s="88"/>
      <c r="U4622" s="88"/>
      <c r="V4622" s="88"/>
      <c r="W4622" s="88"/>
    </row>
    <row r="4623" spans="2:23" s="0" customFormat="0" ht="15">
      <c r="B4623" s="87" t="s">
        <v>1</v>
      </c>
      <c r="C4623" s="88" t="s">
        <v>5259</v>
      </c>
      <c r="D4623" s="88">
        <v>11522747</v>
      </c>
      <c r="E4623" s="88" t="s">
        <v>61</v>
      </c>
      <c r="F4623" s="88">
        <v>0</v>
      </c>
      <c r="G4623" s="78">
        <f>MAX(H4623,I4623,J4623)</f>
        <v>1</v>
      </c>
      <c r="H4623" s="88"/>
      <c r="I4623" s="88"/>
      <c r="J4623" s="78">
        <f>MAX(K4623:Q4623)</f>
        <v>1</v>
      </c>
      <c r="K4623" s="88">
        <v>1</v>
      </c>
      <c r="L4623" s="88"/>
      <c r="M4623" s="88"/>
      <c r="N4623" s="88"/>
      <c r="O4623" s="88"/>
      <c r="P4623" s="88"/>
      <c r="Q4623" s="88"/>
      <c r="R4623" s="78">
        <f>MAX(S4623:W4623)</f>
        <v>0</v>
      </c>
      <c r="S4623" s="88"/>
      <c r="T4623" s="88"/>
      <c r="U4623" s="88"/>
      <c r="V4623" s="88"/>
      <c r="W4623" s="88"/>
    </row>
    <row r="4624" spans="2:23" s="0" customFormat="0" ht="15">
      <c r="B4624" s="87" t="s">
        <v>1</v>
      </c>
      <c r="C4624" s="88" t="s">
        <v>5259</v>
      </c>
      <c r="D4624" s="88" t="s">
        <v>5000</v>
      </c>
      <c r="E4624" s="88" t="s">
        <v>61</v>
      </c>
      <c r="F4624" s="88">
        <v>0</v>
      </c>
      <c r="G4624" s="78">
        <f>MAX(H4624,I4624,J4624)</f>
        <v>0</v>
      </c>
      <c r="H4624" s="88"/>
      <c r="I4624" s="88"/>
      <c r="J4624" s="78">
        <f>MAX(K4624:Q4624)</f>
        <v>0</v>
      </c>
      <c r="K4624" s="88"/>
      <c r="L4624" s="88"/>
      <c r="M4624" s="88"/>
      <c r="N4624" s="88"/>
      <c r="O4624" s="88"/>
      <c r="P4624" s="88"/>
      <c r="Q4624" s="88"/>
      <c r="R4624" s="78">
        <f>MAX(S4624:W4624)</f>
        <v>1</v>
      </c>
      <c r="S4624" s="88"/>
      <c r="T4624" s="88"/>
      <c r="U4624" s="88">
        <v>1</v>
      </c>
      <c r="V4624" s="88"/>
      <c r="W4624" s="88"/>
    </row>
    <row r="4625" spans="2:23" s="0" customFormat="0" ht="15">
      <c r="B4625" s="87" t="s">
        <v>1</v>
      </c>
      <c r="C4625" s="88" t="s">
        <v>5259</v>
      </c>
      <c r="D4625" s="88">
        <v>21999296</v>
      </c>
      <c r="E4625" s="88" t="s">
        <v>61</v>
      </c>
      <c r="F4625" s="88">
        <v>0</v>
      </c>
      <c r="G4625" s="78">
        <f>MAX(H4625,I4625,J4625)</f>
        <v>1</v>
      </c>
      <c r="H4625" s="88"/>
      <c r="I4625" s="88"/>
      <c r="J4625" s="78">
        <f>MAX(K4625:Q4625)</f>
        <v>1</v>
      </c>
      <c r="K4625" s="88">
        <v>1</v>
      </c>
      <c r="L4625" s="88"/>
      <c r="M4625" s="88"/>
      <c r="N4625" s="88"/>
      <c r="O4625" s="88"/>
      <c r="P4625" s="88"/>
      <c r="Q4625" s="88"/>
      <c r="R4625" s="78">
        <f>MAX(S4625:W4625)</f>
        <v>0</v>
      </c>
      <c r="S4625" s="88"/>
      <c r="T4625" s="88"/>
      <c r="U4625" s="88"/>
      <c r="V4625" s="88"/>
      <c r="W4625" s="88"/>
    </row>
    <row r="4626" spans="2:23" s="0" customFormat="0" ht="15">
      <c r="B4626" s="87" t="s">
        <v>1</v>
      </c>
      <c r="C4626" s="88" t="s">
        <v>5259</v>
      </c>
      <c r="D4626" s="88">
        <v>17020265</v>
      </c>
      <c r="E4626" s="88" t="s">
        <v>61</v>
      </c>
      <c r="F4626" s="88">
        <v>0</v>
      </c>
      <c r="G4626" s="78">
        <f>MAX(H4626,I4626,J4626)</f>
        <v>1</v>
      </c>
      <c r="H4626" s="88"/>
      <c r="I4626" s="88"/>
      <c r="J4626" s="78">
        <f>MAX(K4626:Q4626)</f>
        <v>1</v>
      </c>
      <c r="K4626" s="88">
        <v>1</v>
      </c>
      <c r="L4626" s="88"/>
      <c r="M4626" s="88"/>
      <c r="N4626" s="88"/>
      <c r="O4626" s="88"/>
      <c r="P4626" s="88"/>
      <c r="Q4626" s="88"/>
      <c r="R4626" s="78">
        <f>MAX(S4626:W4626)</f>
        <v>0</v>
      </c>
      <c r="S4626" s="88"/>
      <c r="T4626" s="88"/>
      <c r="U4626" s="88"/>
      <c r="V4626" s="88"/>
      <c r="W4626" s="88"/>
    </row>
    <row r="4627" spans="2:23" s="0" customFormat="0" ht="15">
      <c r="B4627" s="87" t="s">
        <v>1</v>
      </c>
      <c r="C4627" s="88" t="s">
        <v>5259</v>
      </c>
      <c r="D4627" s="88">
        <v>20993770</v>
      </c>
      <c r="E4627" s="88" t="s">
        <v>61</v>
      </c>
      <c r="F4627" s="88">
        <v>0</v>
      </c>
      <c r="G4627" s="78">
        <f>MAX(H4627,I4627,J4627)</f>
        <v>1</v>
      </c>
      <c r="H4627" s="88"/>
      <c r="I4627" s="88"/>
      <c r="J4627" s="78">
        <f>MAX(K4627:Q4627)</f>
        <v>1</v>
      </c>
      <c r="K4627" s="88">
        <v>1</v>
      </c>
      <c r="L4627" s="88"/>
      <c r="M4627" s="88"/>
      <c r="N4627" s="88"/>
      <c r="O4627" s="88"/>
      <c r="P4627" s="88"/>
      <c r="Q4627" s="88"/>
      <c r="R4627" s="78">
        <f>MAX(S4627:W4627)</f>
        <v>0</v>
      </c>
      <c r="S4627" s="88"/>
      <c r="T4627" s="88"/>
      <c r="U4627" s="88"/>
      <c r="V4627" s="88"/>
      <c r="W4627" s="88"/>
    </row>
    <row r="4628" spans="2:23" s="0" customFormat="0" ht="15">
      <c r="B4628" s="87" t="s">
        <v>1</v>
      </c>
      <c r="C4628" s="88" t="s">
        <v>5259</v>
      </c>
      <c r="D4628" s="88" t="s">
        <v>4787</v>
      </c>
      <c r="E4628" s="88" t="s">
        <v>61</v>
      </c>
      <c r="F4628" s="88">
        <v>0</v>
      </c>
      <c r="G4628" s="78">
        <f>MAX(H4628,I4628,J4628)</f>
        <v>0</v>
      </c>
      <c r="H4628" s="88"/>
      <c r="I4628" s="88"/>
      <c r="J4628" s="78">
        <f>MAX(K4628:Q4628)</f>
        <v>0</v>
      </c>
      <c r="K4628" s="88"/>
      <c r="L4628" s="88"/>
      <c r="M4628" s="88"/>
      <c r="N4628" s="88"/>
      <c r="O4628" s="88"/>
      <c r="P4628" s="88"/>
      <c r="Q4628" s="88"/>
      <c r="R4628" s="78">
        <f>MAX(S4628:W4628)</f>
        <v>1</v>
      </c>
      <c r="S4628" s="88"/>
      <c r="T4628" s="88"/>
      <c r="U4628" s="88">
        <v>1</v>
      </c>
      <c r="V4628" s="88"/>
      <c r="W4628" s="88"/>
    </row>
    <row r="4629" spans="2:23" s="0" customFormat="0" ht="15">
      <c r="B4629" s="87" t="s">
        <v>1</v>
      </c>
      <c r="C4629" s="88" t="s">
        <v>5259</v>
      </c>
      <c r="D4629" s="88">
        <v>21006783</v>
      </c>
      <c r="E4629" s="88" t="s">
        <v>61</v>
      </c>
      <c r="F4629" s="88">
        <v>0</v>
      </c>
      <c r="G4629" s="78">
        <f>MAX(H4629,I4629,J4629)</f>
        <v>1</v>
      </c>
      <c r="H4629" s="88"/>
      <c r="I4629" s="88"/>
      <c r="J4629" s="78">
        <f>MAX(K4629:Q4629)</f>
        <v>1</v>
      </c>
      <c r="K4629" s="88">
        <v>1</v>
      </c>
      <c r="L4629" s="88"/>
      <c r="M4629" s="88"/>
      <c r="N4629" s="88"/>
      <c r="O4629" s="88"/>
      <c r="P4629" s="88"/>
      <c r="Q4629" s="88"/>
      <c r="R4629" s="78">
        <f>MAX(S4629:W4629)</f>
        <v>0</v>
      </c>
      <c r="S4629" s="88"/>
      <c r="T4629" s="88"/>
      <c r="U4629" s="88"/>
      <c r="V4629" s="88"/>
      <c r="W4629" s="88"/>
    </row>
    <row r="4630" spans="2:23" s="0" customFormat="0" ht="15">
      <c r="B4630" s="87" t="s">
        <v>1</v>
      </c>
      <c r="C4630" s="88" t="s">
        <v>5259</v>
      </c>
      <c r="D4630" s="88">
        <v>13112162</v>
      </c>
      <c r="E4630" s="88" t="s">
        <v>61</v>
      </c>
      <c r="F4630" s="88">
        <v>0</v>
      </c>
      <c r="G4630" s="78">
        <f>MAX(H4630,I4630,J4630)</f>
        <v>1</v>
      </c>
      <c r="H4630" s="88"/>
      <c r="I4630" s="88"/>
      <c r="J4630" s="78">
        <f>MAX(K4630:Q4630)</f>
        <v>1</v>
      </c>
      <c r="K4630" s="88">
        <v>1</v>
      </c>
      <c r="L4630" s="88"/>
      <c r="M4630" s="88"/>
      <c r="N4630" s="88"/>
      <c r="O4630" s="88"/>
      <c r="P4630" s="88"/>
      <c r="Q4630" s="88"/>
      <c r="R4630" s="78">
        <f>MAX(S4630:W4630)</f>
        <v>0</v>
      </c>
      <c r="S4630" s="88"/>
      <c r="T4630" s="88"/>
      <c r="U4630" s="88"/>
      <c r="V4630" s="88"/>
      <c r="W4630" s="88"/>
    </row>
    <row r="4631" spans="2:23" s="0" customFormat="0" ht="15">
      <c r="B4631" s="87" t="s">
        <v>1</v>
      </c>
      <c r="C4631" s="88" t="s">
        <v>5259</v>
      </c>
      <c r="D4631" s="88">
        <v>18701432</v>
      </c>
      <c r="E4631" s="88" t="s">
        <v>61</v>
      </c>
      <c r="F4631" s="88">
        <v>0</v>
      </c>
      <c r="G4631" s="78">
        <f>MAX(H4631,I4631,J4631)</f>
        <v>1</v>
      </c>
      <c r="H4631" s="88"/>
      <c r="I4631" s="88"/>
      <c r="J4631" s="78">
        <f>MAX(K4631:Q4631)</f>
        <v>1</v>
      </c>
      <c r="K4631" s="88">
        <v>1</v>
      </c>
      <c r="L4631" s="88"/>
      <c r="M4631" s="88"/>
      <c r="N4631" s="88"/>
      <c r="O4631" s="88"/>
      <c r="P4631" s="88"/>
      <c r="Q4631" s="88"/>
      <c r="R4631" s="78">
        <f>MAX(S4631:W4631)</f>
        <v>0</v>
      </c>
      <c r="S4631" s="88"/>
      <c r="T4631" s="88"/>
      <c r="U4631" s="88"/>
      <c r="V4631" s="88"/>
      <c r="W4631" s="88"/>
    </row>
    <row r="4632" spans="2:23" s="0" customFormat="0" ht="15">
      <c r="B4632" s="87" t="s">
        <v>1</v>
      </c>
      <c r="C4632" s="88" t="s">
        <v>5259</v>
      </c>
      <c r="D4632" s="88" t="s">
        <v>5002</v>
      </c>
      <c r="E4632" s="88" t="s">
        <v>61</v>
      </c>
      <c r="F4632" s="88">
        <v>0</v>
      </c>
      <c r="G4632" s="78">
        <f>MAX(H4632,I4632,J4632)</f>
        <v>0</v>
      </c>
      <c r="H4632" s="88"/>
      <c r="I4632" s="88"/>
      <c r="J4632" s="78">
        <f>MAX(K4632:Q4632)</f>
        <v>0</v>
      </c>
      <c r="K4632" s="88"/>
      <c r="L4632" s="88"/>
      <c r="M4632" s="88"/>
      <c r="N4632" s="88"/>
      <c r="O4632" s="88"/>
      <c r="P4632" s="88"/>
      <c r="Q4632" s="88"/>
      <c r="R4632" s="78">
        <f>MAX(S4632:W4632)</f>
        <v>1</v>
      </c>
      <c r="S4632" s="88"/>
      <c r="T4632" s="88"/>
      <c r="U4632" s="88">
        <v>1</v>
      </c>
      <c r="V4632" s="88"/>
      <c r="W4632" s="88"/>
    </row>
    <row r="4633" spans="2:23" s="0" customFormat="0" ht="15">
      <c r="B4633" s="87" t="s">
        <v>1</v>
      </c>
      <c r="C4633" s="88" t="s">
        <v>5259</v>
      </c>
      <c r="D4633" s="88">
        <v>6350672</v>
      </c>
      <c r="E4633" s="88" t="s">
        <v>61</v>
      </c>
      <c r="F4633" s="88">
        <v>0</v>
      </c>
      <c r="G4633" s="78">
        <f>MAX(H4633,I4633,J4633)</f>
        <v>1</v>
      </c>
      <c r="H4633" s="88"/>
      <c r="I4633" s="88"/>
      <c r="J4633" s="78">
        <f>MAX(K4633:Q4633)</f>
        <v>1</v>
      </c>
      <c r="K4633" s="88">
        <v>1</v>
      </c>
      <c r="L4633" s="88"/>
      <c r="M4633" s="88"/>
      <c r="N4633" s="88"/>
      <c r="O4633" s="88"/>
      <c r="P4633" s="88"/>
      <c r="Q4633" s="88"/>
      <c r="R4633" s="78">
        <f>MAX(S4633:W4633)</f>
        <v>0</v>
      </c>
      <c r="S4633" s="88"/>
      <c r="T4633" s="88"/>
      <c r="U4633" s="88"/>
      <c r="V4633" s="88"/>
      <c r="W4633" s="88"/>
    </row>
    <row r="4634" spans="2:23" s="0" customFormat="0" ht="15">
      <c r="B4634" s="87" t="s">
        <v>1</v>
      </c>
      <c r="C4634" s="88" t="s">
        <v>5259</v>
      </c>
      <c r="D4634" s="88">
        <v>17055919</v>
      </c>
      <c r="E4634" s="88" t="s">
        <v>61</v>
      </c>
      <c r="F4634" s="88">
        <v>0</v>
      </c>
      <c r="G4634" s="78">
        <f>MAX(H4634,I4634,J4634)</f>
        <v>1</v>
      </c>
      <c r="H4634" s="88"/>
      <c r="I4634" s="88"/>
      <c r="J4634" s="78">
        <f>MAX(K4634:Q4634)</f>
        <v>1</v>
      </c>
      <c r="K4634" s="88">
        <v>1</v>
      </c>
      <c r="L4634" s="88"/>
      <c r="M4634" s="88"/>
      <c r="N4634" s="88"/>
      <c r="O4634" s="88"/>
      <c r="P4634" s="88"/>
      <c r="Q4634" s="88"/>
      <c r="R4634" s="78">
        <f>MAX(S4634:W4634)</f>
        <v>0</v>
      </c>
      <c r="S4634" s="88"/>
      <c r="T4634" s="88"/>
      <c r="U4634" s="88"/>
      <c r="V4634" s="88"/>
      <c r="W4634" s="88"/>
    </row>
    <row r="4635" spans="2:23" s="0" customFormat="0" ht="15">
      <c r="B4635" s="87" t="s">
        <v>1</v>
      </c>
      <c r="C4635" s="88" t="s">
        <v>5259</v>
      </c>
      <c r="D4635" s="88" t="s">
        <v>2650</v>
      </c>
      <c r="E4635" s="88" t="s">
        <v>61</v>
      </c>
      <c r="F4635" s="88">
        <v>0</v>
      </c>
      <c r="G4635" s="78">
        <f>MAX(H4635,I4635,J4635)</f>
        <v>1</v>
      </c>
      <c r="H4635" s="88"/>
      <c r="I4635" s="88"/>
      <c r="J4635" s="78">
        <f>MAX(K4635:Q4635)</f>
        <v>1</v>
      </c>
      <c r="K4635" s="88">
        <v>1</v>
      </c>
      <c r="L4635" s="88"/>
      <c r="M4635" s="88"/>
      <c r="N4635" s="88"/>
      <c r="O4635" s="88"/>
      <c r="P4635" s="88"/>
      <c r="Q4635" s="88"/>
      <c r="R4635" s="78">
        <f>MAX(S4635:W4635)</f>
        <v>0</v>
      </c>
      <c r="S4635" s="88"/>
      <c r="T4635" s="88"/>
      <c r="U4635" s="88"/>
      <c r="V4635" s="88"/>
      <c r="W4635" s="88"/>
    </row>
    <row r="4636" spans="2:23" s="0" customFormat="0" ht="15">
      <c r="B4636" s="87" t="s">
        <v>1</v>
      </c>
      <c r="C4636" s="88" t="s">
        <v>5259</v>
      </c>
      <c r="D4636" s="88">
        <v>15493714</v>
      </c>
      <c r="E4636" s="88" t="s">
        <v>61</v>
      </c>
      <c r="F4636" s="88">
        <v>0</v>
      </c>
      <c r="G4636" s="78">
        <f>MAX(H4636,I4636,J4636)</f>
        <v>1</v>
      </c>
      <c r="H4636" s="88"/>
      <c r="I4636" s="88"/>
      <c r="J4636" s="78">
        <f>MAX(K4636:Q4636)</f>
        <v>1</v>
      </c>
      <c r="K4636" s="88">
        <v>1</v>
      </c>
      <c r="L4636" s="88"/>
      <c r="M4636" s="88"/>
      <c r="N4636" s="88"/>
      <c r="O4636" s="88"/>
      <c r="P4636" s="88"/>
      <c r="Q4636" s="88"/>
      <c r="R4636" s="78">
        <f>MAX(S4636:W4636)</f>
        <v>0</v>
      </c>
      <c r="S4636" s="88"/>
      <c r="T4636" s="88"/>
      <c r="U4636" s="88"/>
      <c r="V4636" s="88"/>
      <c r="W4636" s="88"/>
    </row>
    <row r="4637" spans="2:23" s="0" customFormat="0" ht="15">
      <c r="B4637" s="87" t="s">
        <v>1</v>
      </c>
      <c r="C4637" s="88" t="s">
        <v>5259</v>
      </c>
      <c r="D4637" s="88">
        <v>8383612</v>
      </c>
      <c r="E4637" s="88" t="s">
        <v>61</v>
      </c>
      <c r="F4637" s="88">
        <v>0</v>
      </c>
      <c r="G4637" s="78">
        <f>MAX(H4637,I4637,J4637)</f>
        <v>1</v>
      </c>
      <c r="H4637" s="88"/>
      <c r="I4637" s="88"/>
      <c r="J4637" s="78">
        <f>MAX(K4637:Q4637)</f>
        <v>1</v>
      </c>
      <c r="K4637" s="88">
        <v>1</v>
      </c>
      <c r="L4637" s="88"/>
      <c r="M4637" s="88"/>
      <c r="N4637" s="88"/>
      <c r="O4637" s="88"/>
      <c r="P4637" s="88"/>
      <c r="Q4637" s="88"/>
      <c r="R4637" s="78">
        <f>MAX(S4637:W4637)</f>
        <v>0</v>
      </c>
      <c r="S4637" s="88"/>
      <c r="T4637" s="88"/>
      <c r="U4637" s="88"/>
      <c r="V4637" s="88"/>
      <c r="W4637" s="88"/>
    </row>
    <row r="4638" spans="2:23" s="0" customFormat="0" ht="15">
      <c r="B4638" s="87" t="s">
        <v>1</v>
      </c>
      <c r="C4638" s="88" t="s">
        <v>5259</v>
      </c>
      <c r="D4638" s="88">
        <v>22554514</v>
      </c>
      <c r="E4638" s="88" t="s">
        <v>61</v>
      </c>
      <c r="F4638" s="88">
        <v>0</v>
      </c>
      <c r="G4638" s="78">
        <f>MAX(H4638,I4638,J4638)</f>
        <v>0</v>
      </c>
      <c r="H4638" s="88"/>
      <c r="I4638" s="88"/>
      <c r="J4638" s="78">
        <f>MAX(K4638:Q4638)</f>
        <v>0</v>
      </c>
      <c r="K4638" s="88"/>
      <c r="L4638" s="88"/>
      <c r="M4638" s="88"/>
      <c r="N4638" s="88"/>
      <c r="O4638" s="88"/>
      <c r="P4638" s="88"/>
      <c r="Q4638" s="88"/>
      <c r="R4638" s="78">
        <f>MAX(S4638:W4638)</f>
        <v>1</v>
      </c>
      <c r="S4638" s="88"/>
      <c r="T4638" s="88"/>
      <c r="U4638" s="88">
        <v>1</v>
      </c>
      <c r="V4638" s="88"/>
      <c r="W4638" s="88"/>
    </row>
    <row r="4639" spans="2:23" s="0" customFormat="0" ht="15">
      <c r="B4639" s="87" t="s">
        <v>1</v>
      </c>
      <c r="C4639" s="88" t="s">
        <v>5259</v>
      </c>
      <c r="D4639" s="88" t="s">
        <v>3599</v>
      </c>
      <c r="E4639" s="88" t="s">
        <v>61</v>
      </c>
      <c r="F4639" s="88">
        <v>0</v>
      </c>
      <c r="G4639" s="78">
        <f>MAX(H4639,I4639,J4639)</f>
        <v>0</v>
      </c>
      <c r="H4639" s="88"/>
      <c r="I4639" s="88"/>
      <c r="J4639" s="78">
        <f>MAX(K4639:Q4639)</f>
        <v>0</v>
      </c>
      <c r="K4639" s="88"/>
      <c r="L4639" s="88"/>
      <c r="M4639" s="88"/>
      <c r="N4639" s="88"/>
      <c r="O4639" s="88"/>
      <c r="P4639" s="88"/>
      <c r="Q4639" s="88"/>
      <c r="R4639" s="78">
        <f>MAX(S4639:W4639)</f>
        <v>1</v>
      </c>
      <c r="S4639" s="88"/>
      <c r="T4639" s="88"/>
      <c r="U4639" s="88">
        <v>1</v>
      </c>
      <c r="V4639" s="88"/>
      <c r="W4639" s="88"/>
    </row>
    <row r="4640" spans="2:23" s="0" customFormat="0" ht="15">
      <c r="B4640" s="87" t="s">
        <v>1</v>
      </c>
      <c r="C4640" s="88" t="s">
        <v>5259</v>
      </c>
      <c r="D4640" s="88">
        <v>22081352</v>
      </c>
      <c r="E4640" s="88" t="s">
        <v>61</v>
      </c>
      <c r="F4640" s="88">
        <v>0</v>
      </c>
      <c r="G4640" s="78">
        <f>MAX(H4640,I4640,J4640)</f>
        <v>1</v>
      </c>
      <c r="H4640" s="88"/>
      <c r="I4640" s="88"/>
      <c r="J4640" s="78">
        <f>MAX(K4640:Q4640)</f>
        <v>1</v>
      </c>
      <c r="K4640" s="88">
        <v>1</v>
      </c>
      <c r="L4640" s="88"/>
      <c r="M4640" s="88"/>
      <c r="N4640" s="88"/>
      <c r="O4640" s="88"/>
      <c r="P4640" s="88"/>
      <c r="Q4640" s="88"/>
      <c r="R4640" s="78">
        <f>MAX(S4640:W4640)</f>
        <v>0</v>
      </c>
      <c r="S4640" s="88"/>
      <c r="T4640" s="88"/>
      <c r="U4640" s="88"/>
      <c r="V4640" s="88"/>
      <c r="W4640" s="88"/>
    </row>
    <row r="4641" spans="2:23" s="0" customFormat="0" ht="15">
      <c r="B4641" s="87" t="s">
        <v>1</v>
      </c>
      <c r="C4641" s="88" t="s">
        <v>5259</v>
      </c>
      <c r="D4641" s="88" t="s">
        <v>4969</v>
      </c>
      <c r="E4641" s="88" t="s">
        <v>61</v>
      </c>
      <c r="F4641" s="88">
        <v>0</v>
      </c>
      <c r="G4641" s="78">
        <f>MAX(H4641,I4641,J4641)</f>
        <v>0</v>
      </c>
      <c r="H4641" s="88"/>
      <c r="I4641" s="88"/>
      <c r="J4641" s="78">
        <f>MAX(K4641:Q4641)</f>
        <v>0</v>
      </c>
      <c r="K4641" s="88"/>
      <c r="L4641" s="88"/>
      <c r="M4641" s="88"/>
      <c r="N4641" s="88"/>
      <c r="O4641" s="88"/>
      <c r="P4641" s="88"/>
      <c r="Q4641" s="88"/>
      <c r="R4641" s="78">
        <f>MAX(S4641:W4641)</f>
        <v>1</v>
      </c>
      <c r="S4641" s="88"/>
      <c r="T4641" s="88"/>
      <c r="U4641" s="88">
        <v>1</v>
      </c>
      <c r="V4641" s="88"/>
      <c r="W4641" s="88"/>
    </row>
    <row r="4642" spans="2:23" s="0" customFormat="0" ht="15">
      <c r="B4642" s="87" t="s">
        <v>1</v>
      </c>
      <c r="C4642" s="88" t="s">
        <v>5259</v>
      </c>
      <c r="D4642" s="88" t="s">
        <v>4260</v>
      </c>
      <c r="E4642" s="88" t="s">
        <v>61</v>
      </c>
      <c r="F4642" s="88">
        <v>0</v>
      </c>
      <c r="G4642" s="78">
        <f>MAX(H4642,I4642,J4642)</f>
        <v>0</v>
      </c>
      <c r="H4642" s="88"/>
      <c r="I4642" s="88"/>
      <c r="J4642" s="78">
        <f>MAX(K4642:Q4642)</f>
        <v>0</v>
      </c>
      <c r="K4642" s="88"/>
      <c r="L4642" s="88"/>
      <c r="M4642" s="88"/>
      <c r="N4642" s="88"/>
      <c r="O4642" s="88"/>
      <c r="P4642" s="88"/>
      <c r="Q4642" s="88"/>
      <c r="R4642" s="78">
        <f>MAX(S4642:W4642)</f>
        <v>1</v>
      </c>
      <c r="S4642" s="88"/>
      <c r="T4642" s="88"/>
      <c r="U4642" s="88">
        <v>1</v>
      </c>
      <c r="V4642" s="88"/>
      <c r="W4642" s="88"/>
    </row>
    <row r="4643" spans="2:23" s="0" customFormat="0" ht="15">
      <c r="B4643" s="87" t="s">
        <v>1</v>
      </c>
      <c r="C4643" s="88" t="s">
        <v>5259</v>
      </c>
      <c r="D4643" s="88" t="s">
        <v>4833</v>
      </c>
      <c r="E4643" s="88" t="s">
        <v>61</v>
      </c>
      <c r="F4643" s="88">
        <v>0</v>
      </c>
      <c r="G4643" s="78">
        <f>MAX(H4643,I4643,J4643)</f>
        <v>0</v>
      </c>
      <c r="H4643" s="88"/>
      <c r="I4643" s="88"/>
      <c r="J4643" s="78">
        <f>MAX(K4643:Q4643)</f>
        <v>0</v>
      </c>
      <c r="K4643" s="88"/>
      <c r="L4643" s="88"/>
      <c r="M4643" s="88"/>
      <c r="N4643" s="88"/>
      <c r="O4643" s="88"/>
      <c r="P4643" s="88"/>
      <c r="Q4643" s="88"/>
      <c r="R4643" s="78">
        <f>MAX(S4643:W4643)</f>
        <v>1</v>
      </c>
      <c r="S4643" s="88"/>
      <c r="T4643" s="88"/>
      <c r="U4643" s="88">
        <v>1</v>
      </c>
      <c r="V4643" s="88"/>
      <c r="W4643" s="88"/>
    </row>
    <row r="4644" spans="2:23" s="0" customFormat="0" ht="15">
      <c r="B4644" s="87" t="s">
        <v>1</v>
      </c>
      <c r="C4644" s="88" t="s">
        <v>5259</v>
      </c>
      <c r="D4644" s="88">
        <v>24747314</v>
      </c>
      <c r="E4644" s="88" t="s">
        <v>61</v>
      </c>
      <c r="F4644" s="88">
        <v>0</v>
      </c>
      <c r="G4644" s="78">
        <f>MAX(H4644,I4644,J4644)</f>
        <v>1</v>
      </c>
      <c r="H4644" s="88"/>
      <c r="I4644" s="88"/>
      <c r="J4644" s="78">
        <f>MAX(K4644:Q4644)</f>
        <v>1</v>
      </c>
      <c r="K4644" s="88">
        <v>1</v>
      </c>
      <c r="L4644" s="88"/>
      <c r="M4644" s="88"/>
      <c r="N4644" s="88"/>
      <c r="O4644" s="88"/>
      <c r="P4644" s="88"/>
      <c r="Q4644" s="88"/>
      <c r="R4644" s="78">
        <f>MAX(S4644:W4644)</f>
        <v>0</v>
      </c>
      <c r="S4644" s="88"/>
      <c r="T4644" s="88"/>
      <c r="U4644" s="88"/>
      <c r="V4644" s="88"/>
      <c r="W4644" s="88"/>
    </row>
    <row r="4645" spans="2:23" s="0" customFormat="0" ht="15">
      <c r="B4645" s="87" t="s">
        <v>1</v>
      </c>
      <c r="C4645" s="88" t="s">
        <v>5259</v>
      </c>
      <c r="D4645" s="88" t="s">
        <v>2391</v>
      </c>
      <c r="E4645" s="88" t="s">
        <v>61</v>
      </c>
      <c r="F4645" s="88">
        <v>0</v>
      </c>
      <c r="G4645" s="78">
        <f>MAX(H4645,I4645,J4645)</f>
        <v>1</v>
      </c>
      <c r="H4645" s="88"/>
      <c r="I4645" s="88"/>
      <c r="J4645" s="78">
        <f>MAX(K4645:Q4645)</f>
        <v>1</v>
      </c>
      <c r="K4645" s="88">
        <v>1</v>
      </c>
      <c r="L4645" s="88"/>
      <c r="M4645" s="88"/>
      <c r="N4645" s="88"/>
      <c r="O4645" s="88"/>
      <c r="P4645" s="88"/>
      <c r="Q4645" s="88"/>
      <c r="R4645" s="78">
        <f>MAX(S4645:W4645)</f>
        <v>0</v>
      </c>
      <c r="S4645" s="88"/>
      <c r="T4645" s="88"/>
      <c r="U4645" s="88"/>
      <c r="V4645" s="88"/>
      <c r="W4645" s="88"/>
    </row>
    <row r="4646" spans="2:23" s="0" customFormat="0" ht="15">
      <c r="B4646" s="87" t="s">
        <v>1</v>
      </c>
      <c r="C4646" s="88" t="s">
        <v>5259</v>
      </c>
      <c r="D4646" s="88">
        <v>19476392</v>
      </c>
      <c r="E4646" s="88" t="s">
        <v>61</v>
      </c>
      <c r="F4646" s="88">
        <v>0</v>
      </c>
      <c r="G4646" s="78">
        <f>MAX(H4646,I4646,J4646)</f>
        <v>1</v>
      </c>
      <c r="H4646" s="88"/>
      <c r="I4646" s="88"/>
      <c r="J4646" s="78">
        <f>MAX(K4646:Q4646)</f>
        <v>1</v>
      </c>
      <c r="K4646" s="88">
        <v>1</v>
      </c>
      <c r="L4646" s="88"/>
      <c r="M4646" s="88"/>
      <c r="N4646" s="88"/>
      <c r="O4646" s="88"/>
      <c r="P4646" s="88"/>
      <c r="Q4646" s="88"/>
      <c r="R4646" s="78">
        <f>MAX(S4646:W4646)</f>
        <v>0</v>
      </c>
      <c r="S4646" s="88"/>
      <c r="T4646" s="88"/>
      <c r="U4646" s="88"/>
      <c r="V4646" s="88"/>
      <c r="W4646" s="88"/>
    </row>
    <row r="4647" spans="2:23" s="0" customFormat="0" ht="15">
      <c r="B4647" s="87" t="s">
        <v>1</v>
      </c>
      <c r="C4647" s="88" t="s">
        <v>5259</v>
      </c>
      <c r="D4647" s="88">
        <v>1693856</v>
      </c>
      <c r="E4647" s="88" t="s">
        <v>61</v>
      </c>
      <c r="F4647" s="88">
        <v>0</v>
      </c>
      <c r="G4647" s="78">
        <f>MAX(H4647,I4647,J4647)</f>
        <v>1</v>
      </c>
      <c r="H4647" s="88"/>
      <c r="I4647" s="88"/>
      <c r="J4647" s="78">
        <f>MAX(K4647:Q4647)</f>
        <v>1</v>
      </c>
      <c r="K4647" s="88">
        <v>1</v>
      </c>
      <c r="L4647" s="88"/>
      <c r="M4647" s="88"/>
      <c r="N4647" s="88"/>
      <c r="O4647" s="88"/>
      <c r="P4647" s="88"/>
      <c r="Q4647" s="88"/>
      <c r="R4647" s="78">
        <f>MAX(S4647:W4647)</f>
        <v>0</v>
      </c>
      <c r="S4647" s="88"/>
      <c r="T4647" s="88"/>
      <c r="U4647" s="88"/>
      <c r="V4647" s="88"/>
      <c r="W4647" s="88"/>
    </row>
    <row r="4648" spans="2:23" s="0" customFormat="0" ht="15">
      <c r="B4648" s="87" t="s">
        <v>1</v>
      </c>
      <c r="C4648" s="88" t="s">
        <v>5259</v>
      </c>
      <c r="D4648" s="88" t="s">
        <v>3372</v>
      </c>
      <c r="E4648" s="88" t="s">
        <v>61</v>
      </c>
      <c r="F4648" s="88">
        <v>0</v>
      </c>
      <c r="G4648" s="78">
        <f>MAX(H4648,I4648,J4648)</f>
        <v>0</v>
      </c>
      <c r="H4648" s="88"/>
      <c r="I4648" s="88"/>
      <c r="J4648" s="78">
        <f>MAX(K4648:Q4648)</f>
        <v>0</v>
      </c>
      <c r="K4648" s="88"/>
      <c r="L4648" s="88"/>
      <c r="M4648" s="88"/>
      <c r="N4648" s="88"/>
      <c r="O4648" s="88"/>
      <c r="P4648" s="88"/>
      <c r="Q4648" s="88"/>
      <c r="R4648" s="78">
        <f>MAX(S4648:W4648)</f>
        <v>1</v>
      </c>
      <c r="S4648" s="88"/>
      <c r="T4648" s="88"/>
      <c r="U4648" s="88">
        <v>1</v>
      </c>
      <c r="V4648" s="88"/>
      <c r="W4648" s="88"/>
    </row>
    <row r="4649" spans="2:23" s="0" customFormat="0" ht="15">
      <c r="B4649" s="87" t="s">
        <v>1</v>
      </c>
      <c r="C4649" s="88" t="s">
        <v>5259</v>
      </c>
      <c r="D4649" s="88">
        <v>19334513</v>
      </c>
      <c r="E4649" s="88" t="s">
        <v>61</v>
      </c>
      <c r="F4649" s="88">
        <v>0</v>
      </c>
      <c r="G4649" s="78">
        <f>MAX(H4649,I4649,J4649)</f>
        <v>1</v>
      </c>
      <c r="H4649" s="88"/>
      <c r="I4649" s="88"/>
      <c r="J4649" s="78">
        <f>MAX(K4649:Q4649)</f>
        <v>1</v>
      </c>
      <c r="K4649" s="88">
        <v>1</v>
      </c>
      <c r="L4649" s="88"/>
      <c r="M4649" s="88"/>
      <c r="N4649" s="88"/>
      <c r="O4649" s="88"/>
      <c r="P4649" s="88"/>
      <c r="Q4649" s="88"/>
      <c r="R4649" s="78">
        <f>MAX(S4649:W4649)</f>
        <v>0</v>
      </c>
      <c r="S4649" s="88"/>
      <c r="T4649" s="88"/>
      <c r="U4649" s="88"/>
      <c r="V4649" s="88"/>
      <c r="W4649" s="88"/>
    </row>
    <row r="4650" spans="2:23" s="0" customFormat="0" ht="15">
      <c r="B4650" s="87" t="s">
        <v>1</v>
      </c>
      <c r="C4650" s="88" t="s">
        <v>5259</v>
      </c>
      <c r="D4650" s="88">
        <v>19573516</v>
      </c>
      <c r="E4650" s="88" t="s">
        <v>61</v>
      </c>
      <c r="F4650" s="88">
        <v>0</v>
      </c>
      <c r="G4650" s="78">
        <f>MAX(H4650,I4650,J4650)</f>
        <v>1</v>
      </c>
      <c r="H4650" s="88"/>
      <c r="I4650" s="88"/>
      <c r="J4650" s="78">
        <f>MAX(K4650:Q4650)</f>
        <v>1</v>
      </c>
      <c r="K4650" s="88">
        <v>1</v>
      </c>
      <c r="L4650" s="88"/>
      <c r="M4650" s="88"/>
      <c r="N4650" s="88"/>
      <c r="O4650" s="88"/>
      <c r="P4650" s="88"/>
      <c r="Q4650" s="88"/>
      <c r="R4650" s="78">
        <f>MAX(S4650:W4650)</f>
        <v>0</v>
      </c>
      <c r="S4650" s="88"/>
      <c r="T4650" s="88"/>
      <c r="U4650" s="88"/>
      <c r="V4650" s="88"/>
      <c r="W4650" s="88"/>
    </row>
    <row r="4651" spans="2:23" s="0" customFormat="0" ht="15">
      <c r="B4651" s="87" t="s">
        <v>1</v>
      </c>
      <c r="C4651" s="88" t="s">
        <v>5259</v>
      </c>
      <c r="D4651" s="88">
        <v>6845989</v>
      </c>
      <c r="E4651" s="88" t="s">
        <v>61</v>
      </c>
      <c r="F4651" s="88">
        <v>0</v>
      </c>
      <c r="G4651" s="78">
        <f>MAX(H4651,I4651,J4651)</f>
        <v>1</v>
      </c>
      <c r="H4651" s="88"/>
      <c r="I4651" s="88"/>
      <c r="J4651" s="78">
        <f>MAX(K4651:Q4651)</f>
        <v>1</v>
      </c>
      <c r="K4651" s="88">
        <v>1</v>
      </c>
      <c r="L4651" s="88"/>
      <c r="M4651" s="88"/>
      <c r="N4651" s="88"/>
      <c r="O4651" s="88"/>
      <c r="P4651" s="88"/>
      <c r="Q4651" s="88"/>
      <c r="R4651" s="78">
        <f>MAX(S4651:W4651)</f>
        <v>0</v>
      </c>
      <c r="S4651" s="88"/>
      <c r="T4651" s="88"/>
      <c r="U4651" s="88"/>
      <c r="V4651" s="88"/>
      <c r="W4651" s="88"/>
    </row>
    <row r="4652" spans="2:23" s="0" customFormat="0" ht="15">
      <c r="B4652" s="87" t="s">
        <v>1</v>
      </c>
      <c r="C4652" s="88" t="s">
        <v>5259</v>
      </c>
      <c r="D4652" s="88">
        <v>22554110</v>
      </c>
      <c r="E4652" s="88" t="s">
        <v>61</v>
      </c>
      <c r="F4652" s="88">
        <v>0</v>
      </c>
      <c r="G4652" s="78">
        <f>MAX(H4652,I4652,J4652)</f>
        <v>0</v>
      </c>
      <c r="H4652" s="88"/>
      <c r="I4652" s="88"/>
      <c r="J4652" s="78">
        <f>MAX(K4652:Q4652)</f>
        <v>0</v>
      </c>
      <c r="K4652" s="88"/>
      <c r="L4652" s="88"/>
      <c r="M4652" s="88"/>
      <c r="N4652" s="88"/>
      <c r="O4652" s="88"/>
      <c r="P4652" s="88"/>
      <c r="Q4652" s="88"/>
      <c r="R4652" s="78">
        <f>MAX(S4652:W4652)</f>
        <v>1</v>
      </c>
      <c r="S4652" s="88"/>
      <c r="T4652" s="88"/>
      <c r="U4652" s="88">
        <v>1</v>
      </c>
      <c r="V4652" s="88"/>
      <c r="W4652" s="88"/>
    </row>
    <row r="4653" spans="2:23" s="0" customFormat="0" ht="15">
      <c r="B4653" s="87" t="s">
        <v>1</v>
      </c>
      <c r="C4653" s="88" t="s">
        <v>5259</v>
      </c>
      <c r="D4653" s="88">
        <v>21722265</v>
      </c>
      <c r="E4653" s="88" t="s">
        <v>61</v>
      </c>
      <c r="F4653" s="88">
        <v>0</v>
      </c>
      <c r="G4653" s="78">
        <f>MAX(H4653,I4653,J4653)</f>
        <v>1</v>
      </c>
      <c r="H4653" s="88"/>
      <c r="I4653" s="88"/>
      <c r="J4653" s="78">
        <f>MAX(K4653:Q4653)</f>
        <v>1</v>
      </c>
      <c r="K4653" s="88">
        <v>1</v>
      </c>
      <c r="L4653" s="88"/>
      <c r="M4653" s="88"/>
      <c r="N4653" s="88"/>
      <c r="O4653" s="88"/>
      <c r="P4653" s="88"/>
      <c r="Q4653" s="88"/>
      <c r="R4653" s="78">
        <f>MAX(S4653:W4653)</f>
        <v>0</v>
      </c>
      <c r="S4653" s="88"/>
      <c r="T4653" s="88"/>
      <c r="U4653" s="88"/>
      <c r="V4653" s="88"/>
      <c r="W4653" s="88"/>
    </row>
    <row r="4654" spans="2:23" s="0" customFormat="0" ht="15">
      <c r="B4654" s="87" t="s">
        <v>1</v>
      </c>
      <c r="C4654" s="88" t="s">
        <v>5259</v>
      </c>
      <c r="D4654" s="88" t="s">
        <v>3886</v>
      </c>
      <c r="E4654" s="88" t="s">
        <v>61</v>
      </c>
      <c r="F4654" s="88">
        <v>0</v>
      </c>
      <c r="G4654" s="78">
        <f>MAX(H4654,I4654,J4654)</f>
        <v>0</v>
      </c>
      <c r="H4654" s="88"/>
      <c r="I4654" s="88"/>
      <c r="J4654" s="78">
        <f>MAX(K4654:Q4654)</f>
        <v>0</v>
      </c>
      <c r="K4654" s="88"/>
      <c r="L4654" s="88"/>
      <c r="M4654" s="88"/>
      <c r="N4654" s="88"/>
      <c r="O4654" s="88"/>
      <c r="P4654" s="88"/>
      <c r="Q4654" s="88"/>
      <c r="R4654" s="78">
        <f>MAX(S4654:W4654)</f>
        <v>1</v>
      </c>
      <c r="S4654" s="88"/>
      <c r="T4654" s="88"/>
      <c r="U4654" s="88">
        <v>1</v>
      </c>
      <c r="V4654" s="88"/>
      <c r="W4654" s="88"/>
    </row>
    <row r="4655" spans="2:23" s="0" customFormat="0" ht="15">
      <c r="B4655" s="87" t="s">
        <v>1</v>
      </c>
      <c r="C4655" s="88" t="s">
        <v>5259</v>
      </c>
      <c r="D4655" s="88">
        <v>13109400</v>
      </c>
      <c r="E4655" s="88" t="s">
        <v>61</v>
      </c>
      <c r="F4655" s="88">
        <v>0</v>
      </c>
      <c r="G4655" s="78">
        <f>MAX(H4655,I4655,J4655)</f>
        <v>1</v>
      </c>
      <c r="H4655" s="88"/>
      <c r="I4655" s="88"/>
      <c r="J4655" s="78">
        <f>MAX(K4655:Q4655)</f>
        <v>1</v>
      </c>
      <c r="K4655" s="88">
        <v>1</v>
      </c>
      <c r="L4655" s="88"/>
      <c r="M4655" s="88"/>
      <c r="N4655" s="88"/>
      <c r="O4655" s="88"/>
      <c r="P4655" s="88"/>
      <c r="Q4655" s="88"/>
      <c r="R4655" s="78">
        <f>MAX(S4655:W4655)</f>
        <v>0</v>
      </c>
      <c r="S4655" s="88"/>
      <c r="T4655" s="88"/>
      <c r="U4655" s="88"/>
      <c r="V4655" s="88"/>
      <c r="W4655" s="88"/>
    </row>
    <row r="4656" spans="2:23" s="0" customFormat="0" ht="15">
      <c r="B4656" s="87" t="s">
        <v>1</v>
      </c>
      <c r="C4656" s="88" t="s">
        <v>5259</v>
      </c>
      <c r="D4656" s="88" t="s">
        <v>1555</v>
      </c>
      <c r="E4656" s="88" t="s">
        <v>61</v>
      </c>
      <c r="F4656" s="88">
        <v>0</v>
      </c>
      <c r="G4656" s="78">
        <f>MAX(H4656,I4656,J4656)</f>
        <v>1</v>
      </c>
      <c r="H4656" s="88"/>
      <c r="I4656" s="88"/>
      <c r="J4656" s="78">
        <f>MAX(K4656:Q4656)</f>
        <v>1</v>
      </c>
      <c r="K4656" s="88">
        <v>1</v>
      </c>
      <c r="L4656" s="88"/>
      <c r="M4656" s="88"/>
      <c r="N4656" s="88"/>
      <c r="O4656" s="88"/>
      <c r="P4656" s="88"/>
      <c r="Q4656" s="88"/>
      <c r="R4656" s="78">
        <f>MAX(S4656:W4656)</f>
        <v>0</v>
      </c>
      <c r="S4656" s="88"/>
      <c r="T4656" s="88"/>
      <c r="U4656" s="88"/>
      <c r="V4656" s="88"/>
      <c r="W4656" s="88"/>
    </row>
    <row r="4657" spans="2:23" s="0" customFormat="0" ht="15">
      <c r="B4657" s="87" t="s">
        <v>1</v>
      </c>
      <c r="C4657" s="88" t="s">
        <v>5259</v>
      </c>
      <c r="D4657" s="88">
        <v>16974680</v>
      </c>
      <c r="E4657" s="88" t="s">
        <v>61</v>
      </c>
      <c r="F4657" s="88">
        <v>0</v>
      </c>
      <c r="G4657" s="78">
        <f>MAX(H4657,I4657,J4657)</f>
        <v>0</v>
      </c>
      <c r="H4657" s="88"/>
      <c r="I4657" s="88"/>
      <c r="J4657" s="78">
        <f>MAX(K4657:Q4657)</f>
        <v>0</v>
      </c>
      <c r="K4657" s="88"/>
      <c r="L4657" s="88"/>
      <c r="M4657" s="88"/>
      <c r="N4657" s="88"/>
      <c r="O4657" s="88"/>
      <c r="P4657" s="88"/>
      <c r="Q4657" s="88"/>
      <c r="R4657" s="78">
        <f>MAX(S4657:W4657)</f>
        <v>1</v>
      </c>
      <c r="S4657" s="88"/>
      <c r="T4657" s="88"/>
      <c r="U4657" s="88">
        <v>1</v>
      </c>
      <c r="V4657" s="88"/>
      <c r="W4657" s="88"/>
    </row>
    <row r="4658" spans="2:23" s="0" customFormat="0" ht="15">
      <c r="B4658" s="87" t="s">
        <v>1</v>
      </c>
      <c r="C4658" s="88" t="s">
        <v>5259</v>
      </c>
      <c r="D4658" s="88">
        <v>455581</v>
      </c>
      <c r="E4658" s="88" t="s">
        <v>61</v>
      </c>
      <c r="F4658" s="88">
        <v>0</v>
      </c>
      <c r="G4658" s="78">
        <f>MAX(H4658,I4658,J4658)</f>
        <v>1</v>
      </c>
      <c r="H4658" s="88"/>
      <c r="I4658" s="88"/>
      <c r="J4658" s="78">
        <f>MAX(K4658:Q4658)</f>
        <v>1</v>
      </c>
      <c r="K4658" s="88">
        <v>1</v>
      </c>
      <c r="L4658" s="88"/>
      <c r="M4658" s="88"/>
      <c r="N4658" s="88"/>
      <c r="O4658" s="88"/>
      <c r="P4658" s="88"/>
      <c r="Q4658" s="88"/>
      <c r="R4658" s="78">
        <f>MAX(S4658:W4658)</f>
        <v>0</v>
      </c>
      <c r="S4658" s="88"/>
      <c r="T4658" s="88"/>
      <c r="U4658" s="88"/>
      <c r="V4658" s="88"/>
      <c r="W4658" s="88"/>
    </row>
    <row r="4659" spans="2:23" s="0" customFormat="0" ht="15">
      <c r="B4659" s="87" t="s">
        <v>1</v>
      </c>
      <c r="C4659" s="88" t="s">
        <v>5259</v>
      </c>
      <c r="D4659" s="88">
        <v>17101589</v>
      </c>
      <c r="E4659" s="88" t="s">
        <v>61</v>
      </c>
      <c r="F4659" s="88">
        <v>0</v>
      </c>
      <c r="G4659" s="78">
        <f>MAX(H4659,I4659,J4659)</f>
        <v>1</v>
      </c>
      <c r="H4659" s="88"/>
      <c r="I4659" s="88"/>
      <c r="J4659" s="78">
        <f>MAX(K4659:Q4659)</f>
        <v>1</v>
      </c>
      <c r="K4659" s="88">
        <v>1</v>
      </c>
      <c r="L4659" s="88"/>
      <c r="M4659" s="88"/>
      <c r="N4659" s="88"/>
      <c r="O4659" s="88"/>
      <c r="P4659" s="88"/>
      <c r="Q4659" s="88"/>
      <c r="R4659" s="78">
        <f>MAX(S4659:W4659)</f>
        <v>0</v>
      </c>
      <c r="S4659" s="88"/>
      <c r="T4659" s="88"/>
      <c r="U4659" s="88"/>
      <c r="V4659" s="88"/>
      <c r="W4659" s="88"/>
    </row>
    <row r="4660" spans="2:23" s="0" customFormat="0" ht="15">
      <c r="B4660" s="87" t="s">
        <v>1</v>
      </c>
      <c r="C4660" s="88" t="s">
        <v>5259</v>
      </c>
      <c r="D4660" s="88" t="s">
        <v>2201</v>
      </c>
      <c r="E4660" s="88" t="s">
        <v>61</v>
      </c>
      <c r="F4660" s="88">
        <v>0</v>
      </c>
      <c r="G4660" s="78">
        <f>MAX(H4660,I4660,J4660)</f>
        <v>1</v>
      </c>
      <c r="H4660" s="88"/>
      <c r="I4660" s="88"/>
      <c r="J4660" s="78">
        <f>MAX(K4660:Q4660)</f>
        <v>1</v>
      </c>
      <c r="K4660" s="88">
        <v>1</v>
      </c>
      <c r="L4660" s="88"/>
      <c r="M4660" s="88"/>
      <c r="N4660" s="88"/>
      <c r="O4660" s="88"/>
      <c r="P4660" s="88"/>
      <c r="Q4660" s="88"/>
      <c r="R4660" s="78">
        <f>MAX(S4660:W4660)</f>
        <v>0</v>
      </c>
      <c r="S4660" s="88"/>
      <c r="T4660" s="88"/>
      <c r="U4660" s="88"/>
      <c r="V4660" s="88"/>
      <c r="W4660" s="88"/>
    </row>
    <row r="4661" spans="2:23" s="0" customFormat="0" ht="15">
      <c r="B4661" s="87" t="s">
        <v>1</v>
      </c>
      <c r="C4661" s="88" t="s">
        <v>5259</v>
      </c>
      <c r="D4661" s="88" t="s">
        <v>5005</v>
      </c>
      <c r="E4661" s="88" t="s">
        <v>61</v>
      </c>
      <c r="F4661" s="88">
        <v>0</v>
      </c>
      <c r="G4661" s="78">
        <f>MAX(H4661,I4661,J4661)</f>
        <v>0</v>
      </c>
      <c r="H4661" s="88"/>
      <c r="I4661" s="88"/>
      <c r="J4661" s="78">
        <f>MAX(K4661:Q4661)</f>
        <v>0</v>
      </c>
      <c r="K4661" s="88"/>
      <c r="L4661" s="88"/>
      <c r="M4661" s="88"/>
      <c r="N4661" s="88"/>
      <c r="O4661" s="88"/>
      <c r="P4661" s="88"/>
      <c r="Q4661" s="88"/>
      <c r="R4661" s="78">
        <f>MAX(S4661:W4661)</f>
        <v>1</v>
      </c>
      <c r="S4661" s="88"/>
      <c r="T4661" s="88"/>
      <c r="U4661" s="88">
        <v>1</v>
      </c>
      <c r="V4661" s="88"/>
      <c r="W4661" s="88"/>
    </row>
    <row r="4662" spans="2:23" s="0" customFormat="0" ht="15">
      <c r="B4662" s="87" t="s">
        <v>1</v>
      </c>
      <c r="C4662" s="88" t="s">
        <v>5259</v>
      </c>
      <c r="D4662" s="88" t="s">
        <v>2478</v>
      </c>
      <c r="E4662" s="88" t="s">
        <v>61</v>
      </c>
      <c r="F4662" s="88">
        <v>0</v>
      </c>
      <c r="G4662" s="78">
        <f>MAX(H4662,I4662,J4662)</f>
        <v>1</v>
      </c>
      <c r="H4662" s="88"/>
      <c r="I4662" s="88"/>
      <c r="J4662" s="78">
        <f>MAX(K4662:Q4662)</f>
        <v>1</v>
      </c>
      <c r="K4662" s="88">
        <v>1</v>
      </c>
      <c r="L4662" s="88"/>
      <c r="M4662" s="88"/>
      <c r="N4662" s="88"/>
      <c r="O4662" s="88"/>
      <c r="P4662" s="88"/>
      <c r="Q4662" s="88"/>
      <c r="R4662" s="78">
        <f>MAX(S4662:W4662)</f>
        <v>0</v>
      </c>
      <c r="S4662" s="88"/>
      <c r="T4662" s="88"/>
      <c r="U4662" s="88"/>
      <c r="V4662" s="88"/>
      <c r="W4662" s="88"/>
    </row>
    <row r="4663" spans="2:23" s="0" customFormat="0" ht="15">
      <c r="B4663" s="87" t="s">
        <v>1</v>
      </c>
      <c r="C4663" s="88" t="s">
        <v>5259</v>
      </c>
      <c r="D4663" s="88">
        <v>13167407</v>
      </c>
      <c r="E4663" s="88" t="s">
        <v>61</v>
      </c>
      <c r="F4663" s="88">
        <v>0</v>
      </c>
      <c r="G4663" s="78">
        <f>MAX(H4663,I4663,J4663)</f>
        <v>1</v>
      </c>
      <c r="H4663" s="88"/>
      <c r="I4663" s="88"/>
      <c r="J4663" s="78">
        <f>MAX(K4663:Q4663)</f>
        <v>1</v>
      </c>
      <c r="K4663" s="88">
        <v>1</v>
      </c>
      <c r="L4663" s="88"/>
      <c r="M4663" s="88"/>
      <c r="N4663" s="88"/>
      <c r="O4663" s="88"/>
      <c r="P4663" s="88"/>
      <c r="Q4663" s="88"/>
      <c r="R4663" s="78">
        <f>MAX(S4663:W4663)</f>
        <v>0</v>
      </c>
      <c r="S4663" s="88"/>
      <c r="T4663" s="88"/>
      <c r="U4663" s="88"/>
      <c r="V4663" s="88"/>
      <c r="W4663" s="88"/>
    </row>
    <row r="4664" spans="2:23" s="0" customFormat="0" ht="15">
      <c r="B4664" s="87" t="s">
        <v>1</v>
      </c>
      <c r="C4664" s="88" t="s">
        <v>5259</v>
      </c>
      <c r="D4664" s="88">
        <v>12177002</v>
      </c>
      <c r="E4664" s="88" t="s">
        <v>61</v>
      </c>
      <c r="F4664" s="88">
        <v>0</v>
      </c>
      <c r="G4664" s="78">
        <f>MAX(H4664,I4664,J4664)</f>
        <v>1</v>
      </c>
      <c r="H4664" s="88"/>
      <c r="I4664" s="88"/>
      <c r="J4664" s="78">
        <f>MAX(K4664:Q4664)</f>
        <v>1</v>
      </c>
      <c r="K4664" s="88">
        <v>1</v>
      </c>
      <c r="L4664" s="88"/>
      <c r="M4664" s="88"/>
      <c r="N4664" s="88"/>
      <c r="O4664" s="88"/>
      <c r="P4664" s="88"/>
      <c r="Q4664" s="88"/>
      <c r="R4664" s="78">
        <f>MAX(S4664:W4664)</f>
        <v>0</v>
      </c>
      <c r="S4664" s="88"/>
      <c r="T4664" s="88"/>
      <c r="U4664" s="88"/>
      <c r="V4664" s="88"/>
      <c r="W4664" s="88"/>
    </row>
    <row r="4665" spans="2:23" s="0" customFormat="0" ht="15">
      <c r="B4665" s="87" t="s">
        <v>1</v>
      </c>
      <c r="C4665" s="88" t="s">
        <v>5259</v>
      </c>
      <c r="D4665" s="88" t="s">
        <v>1952</v>
      </c>
      <c r="E4665" s="88" t="s">
        <v>61</v>
      </c>
      <c r="F4665" s="88">
        <v>0</v>
      </c>
      <c r="G4665" s="78">
        <f>MAX(H4665,I4665,J4665)</f>
        <v>1</v>
      </c>
      <c r="H4665" s="88"/>
      <c r="I4665" s="88"/>
      <c r="J4665" s="78">
        <f>MAX(K4665:Q4665)</f>
        <v>1</v>
      </c>
      <c r="K4665" s="88">
        <v>1</v>
      </c>
      <c r="L4665" s="88"/>
      <c r="M4665" s="88"/>
      <c r="N4665" s="88"/>
      <c r="O4665" s="88"/>
      <c r="P4665" s="88"/>
      <c r="Q4665" s="88"/>
      <c r="R4665" s="78">
        <f>MAX(S4665:W4665)</f>
        <v>0</v>
      </c>
      <c r="S4665" s="88"/>
      <c r="T4665" s="88"/>
      <c r="U4665" s="88"/>
      <c r="V4665" s="88"/>
      <c r="W4665" s="88"/>
    </row>
    <row r="4666" spans="2:23" s="0" customFormat="0" ht="15">
      <c r="B4666" s="87" t="s">
        <v>1</v>
      </c>
      <c r="C4666" s="88" t="s">
        <v>5259</v>
      </c>
      <c r="D4666" s="88" t="s">
        <v>3817</v>
      </c>
      <c r="E4666" s="88" t="s">
        <v>61</v>
      </c>
      <c r="F4666" s="88">
        <v>0</v>
      </c>
      <c r="G4666" s="78">
        <f>MAX(H4666,I4666,J4666)</f>
        <v>0</v>
      </c>
      <c r="H4666" s="88"/>
      <c r="I4666" s="88"/>
      <c r="J4666" s="78">
        <f>MAX(K4666:Q4666)</f>
        <v>0</v>
      </c>
      <c r="K4666" s="88"/>
      <c r="L4666" s="88"/>
      <c r="M4666" s="88"/>
      <c r="N4666" s="88"/>
      <c r="O4666" s="88"/>
      <c r="P4666" s="88"/>
      <c r="Q4666" s="88"/>
      <c r="R4666" s="78">
        <f>MAX(S4666:W4666)</f>
        <v>1</v>
      </c>
      <c r="S4666" s="88"/>
      <c r="T4666" s="88"/>
      <c r="U4666" s="88">
        <v>1</v>
      </c>
      <c r="V4666" s="88"/>
      <c r="W4666" s="88"/>
    </row>
    <row r="4667" spans="2:23" s="0" customFormat="0" ht="15">
      <c r="B4667" s="87" t="s">
        <v>1</v>
      </c>
      <c r="C4667" s="88" t="s">
        <v>5259</v>
      </c>
      <c r="D4667" s="88" t="s">
        <v>3390</v>
      </c>
      <c r="E4667" s="88" t="s">
        <v>61</v>
      </c>
      <c r="F4667" s="88">
        <v>0</v>
      </c>
      <c r="G4667" s="78">
        <f>MAX(H4667,I4667,J4667)</f>
        <v>0</v>
      </c>
      <c r="H4667" s="88"/>
      <c r="I4667" s="88"/>
      <c r="J4667" s="78">
        <f>MAX(K4667:Q4667)</f>
        <v>0</v>
      </c>
      <c r="K4667" s="88"/>
      <c r="L4667" s="88"/>
      <c r="M4667" s="88"/>
      <c r="N4667" s="88"/>
      <c r="O4667" s="88"/>
      <c r="P4667" s="88"/>
      <c r="Q4667" s="88"/>
      <c r="R4667" s="78">
        <f>MAX(S4667:W4667)</f>
        <v>1</v>
      </c>
      <c r="S4667" s="88"/>
      <c r="T4667" s="88"/>
      <c r="U4667" s="88">
        <v>1</v>
      </c>
      <c r="V4667" s="88"/>
      <c r="W4667" s="88"/>
    </row>
    <row r="4668" spans="2:23" s="0" customFormat="0" ht="15">
      <c r="B4668" s="87" t="s">
        <v>1</v>
      </c>
      <c r="C4668" s="88" t="s">
        <v>5259</v>
      </c>
      <c r="D4668" s="88" t="s">
        <v>2180</v>
      </c>
      <c r="E4668" s="88" t="s">
        <v>61</v>
      </c>
      <c r="F4668" s="88">
        <v>0</v>
      </c>
      <c r="G4668" s="78">
        <f>MAX(H4668,I4668,J4668)</f>
        <v>1</v>
      </c>
      <c r="H4668" s="88"/>
      <c r="I4668" s="88"/>
      <c r="J4668" s="78">
        <f>MAX(K4668:Q4668)</f>
        <v>1</v>
      </c>
      <c r="K4668" s="88">
        <v>1</v>
      </c>
      <c r="L4668" s="88"/>
      <c r="M4668" s="88"/>
      <c r="N4668" s="88"/>
      <c r="O4668" s="88"/>
      <c r="P4668" s="88"/>
      <c r="Q4668" s="88"/>
      <c r="R4668" s="78">
        <f>MAX(S4668:W4668)</f>
        <v>0</v>
      </c>
      <c r="S4668" s="88"/>
      <c r="T4668" s="88"/>
      <c r="U4668" s="88"/>
      <c r="V4668" s="88"/>
      <c r="W4668" s="88"/>
    </row>
    <row r="4669" spans="2:23" s="0" customFormat="0" ht="15">
      <c r="B4669" s="87" t="s">
        <v>1</v>
      </c>
      <c r="C4669" s="88" t="s">
        <v>5259</v>
      </c>
      <c r="D4669" s="88" t="s">
        <v>4215</v>
      </c>
      <c r="E4669" s="88" t="s">
        <v>61</v>
      </c>
      <c r="F4669" s="88">
        <v>0</v>
      </c>
      <c r="G4669" s="78">
        <f>MAX(H4669,I4669,J4669)</f>
        <v>0</v>
      </c>
      <c r="H4669" s="88"/>
      <c r="I4669" s="88"/>
      <c r="J4669" s="78">
        <f>MAX(K4669:Q4669)</f>
        <v>0</v>
      </c>
      <c r="K4669" s="88"/>
      <c r="L4669" s="88"/>
      <c r="M4669" s="88"/>
      <c r="N4669" s="88"/>
      <c r="O4669" s="88"/>
      <c r="P4669" s="88"/>
      <c r="Q4669" s="88"/>
      <c r="R4669" s="78">
        <f>MAX(S4669:W4669)</f>
        <v>1</v>
      </c>
      <c r="S4669" s="88"/>
      <c r="T4669" s="88"/>
      <c r="U4669" s="88">
        <v>1</v>
      </c>
      <c r="V4669" s="88"/>
      <c r="W4669" s="88"/>
    </row>
    <row r="4670" spans="2:23" s="0" customFormat="0" ht="15">
      <c r="B4670" s="87" t="s">
        <v>1</v>
      </c>
      <c r="C4670" s="88" t="s">
        <v>5259</v>
      </c>
      <c r="D4670" s="88">
        <v>17020835</v>
      </c>
      <c r="E4670" s="88" t="s">
        <v>61</v>
      </c>
      <c r="F4670" s="88">
        <v>0</v>
      </c>
      <c r="G4670" s="78">
        <f>MAX(H4670,I4670,J4670)</f>
        <v>1</v>
      </c>
      <c r="H4670" s="88"/>
      <c r="I4670" s="88"/>
      <c r="J4670" s="78">
        <f>MAX(K4670:Q4670)</f>
        <v>1</v>
      </c>
      <c r="K4670" s="88">
        <v>1</v>
      </c>
      <c r="L4670" s="88"/>
      <c r="M4670" s="88"/>
      <c r="N4670" s="88"/>
      <c r="O4670" s="88"/>
      <c r="P4670" s="88"/>
      <c r="Q4670" s="88"/>
      <c r="R4670" s="78">
        <f>MAX(S4670:W4670)</f>
        <v>0</v>
      </c>
      <c r="S4670" s="88"/>
      <c r="T4670" s="88"/>
      <c r="U4670" s="88"/>
      <c r="V4670" s="88"/>
      <c r="W4670" s="88"/>
    </row>
    <row r="4671" spans="2:23" s="0" customFormat="0" ht="15">
      <c r="B4671" s="87" t="s">
        <v>1</v>
      </c>
      <c r="C4671" s="88" t="s">
        <v>5259</v>
      </c>
      <c r="D4671" s="88" t="s">
        <v>2608</v>
      </c>
      <c r="E4671" s="88" t="s">
        <v>61</v>
      </c>
      <c r="F4671" s="88">
        <v>0</v>
      </c>
      <c r="G4671" s="78">
        <f>MAX(H4671,I4671,J4671)</f>
        <v>1</v>
      </c>
      <c r="H4671" s="88"/>
      <c r="I4671" s="88"/>
      <c r="J4671" s="78">
        <f>MAX(K4671:Q4671)</f>
        <v>1</v>
      </c>
      <c r="K4671" s="88">
        <v>1</v>
      </c>
      <c r="L4671" s="88"/>
      <c r="M4671" s="88"/>
      <c r="N4671" s="88"/>
      <c r="O4671" s="88"/>
      <c r="P4671" s="88"/>
      <c r="Q4671" s="88"/>
      <c r="R4671" s="78">
        <f>MAX(S4671:W4671)</f>
        <v>0</v>
      </c>
      <c r="S4671" s="88"/>
      <c r="T4671" s="88"/>
      <c r="U4671" s="88"/>
      <c r="V4671" s="88"/>
      <c r="W4671" s="88"/>
    </row>
    <row r="4672" spans="2:23" s="0" customFormat="0" ht="15">
      <c r="B4672" s="87" t="s">
        <v>1</v>
      </c>
      <c r="C4672" s="88" t="s">
        <v>5259</v>
      </c>
      <c r="D4672" s="88" t="s">
        <v>5007</v>
      </c>
      <c r="E4672" s="88" t="s">
        <v>61</v>
      </c>
      <c r="F4672" s="88">
        <v>0</v>
      </c>
      <c r="G4672" s="78">
        <f>MAX(H4672,I4672,J4672)</f>
        <v>0</v>
      </c>
      <c r="H4672" s="88"/>
      <c r="I4672" s="88"/>
      <c r="J4672" s="78">
        <f>MAX(K4672:Q4672)</f>
        <v>0</v>
      </c>
      <c r="K4672" s="88"/>
      <c r="L4672" s="88"/>
      <c r="M4672" s="88"/>
      <c r="N4672" s="88"/>
      <c r="O4672" s="88"/>
      <c r="P4672" s="88"/>
      <c r="Q4672" s="88"/>
      <c r="R4672" s="78">
        <f>MAX(S4672:W4672)</f>
        <v>1</v>
      </c>
      <c r="S4672" s="88"/>
      <c r="T4672" s="88"/>
      <c r="U4672" s="88">
        <v>1</v>
      </c>
      <c r="V4672" s="88"/>
      <c r="W4672" s="88"/>
    </row>
    <row r="4673" spans="2:23" s="0" customFormat="0" ht="15">
      <c r="B4673" s="87" t="s">
        <v>1</v>
      </c>
      <c r="C4673" s="88" t="s">
        <v>5259</v>
      </c>
      <c r="D4673" s="88" t="s">
        <v>1569</v>
      </c>
      <c r="E4673" s="88" t="s">
        <v>61</v>
      </c>
      <c r="F4673" s="88">
        <v>0</v>
      </c>
      <c r="G4673" s="78">
        <f>MAX(H4673,I4673,J4673)</f>
        <v>1</v>
      </c>
      <c r="H4673" s="88"/>
      <c r="I4673" s="88"/>
      <c r="J4673" s="78">
        <f>MAX(K4673:Q4673)</f>
        <v>1</v>
      </c>
      <c r="K4673" s="88">
        <v>1</v>
      </c>
      <c r="L4673" s="88"/>
      <c r="M4673" s="88"/>
      <c r="N4673" s="88"/>
      <c r="O4673" s="88"/>
      <c r="P4673" s="88"/>
      <c r="Q4673" s="88"/>
      <c r="R4673" s="78">
        <f>MAX(S4673:W4673)</f>
        <v>0</v>
      </c>
      <c r="S4673" s="88"/>
      <c r="T4673" s="88"/>
      <c r="U4673" s="88"/>
      <c r="V4673" s="88"/>
      <c r="W4673" s="88"/>
    </row>
    <row r="4674" spans="2:23" s="0" customFormat="0" ht="15">
      <c r="B4674" s="87" t="s">
        <v>1</v>
      </c>
      <c r="C4674" s="88" t="s">
        <v>5259</v>
      </c>
      <c r="D4674" s="88" t="s">
        <v>5009</v>
      </c>
      <c r="E4674" s="88" t="s">
        <v>61</v>
      </c>
      <c r="F4674" s="88">
        <v>0</v>
      </c>
      <c r="G4674" s="78">
        <f>MAX(H4674,I4674,J4674)</f>
        <v>0</v>
      </c>
      <c r="H4674" s="88"/>
      <c r="I4674" s="88"/>
      <c r="J4674" s="78">
        <f>MAX(K4674:Q4674)</f>
        <v>0</v>
      </c>
      <c r="K4674" s="88"/>
      <c r="L4674" s="88"/>
      <c r="M4674" s="88"/>
      <c r="N4674" s="88"/>
      <c r="O4674" s="88"/>
      <c r="P4674" s="88"/>
      <c r="Q4674" s="88"/>
      <c r="R4674" s="78">
        <f>MAX(S4674:W4674)</f>
        <v>1</v>
      </c>
      <c r="S4674" s="88"/>
      <c r="T4674" s="88"/>
      <c r="U4674" s="88">
        <v>1</v>
      </c>
      <c r="V4674" s="88"/>
      <c r="W4674" s="88"/>
    </row>
    <row r="4675" spans="2:23" s="0" customFormat="0" ht="15">
      <c r="B4675" s="87" t="s">
        <v>1</v>
      </c>
      <c r="C4675" s="88" t="s">
        <v>5259</v>
      </c>
      <c r="D4675" s="88">
        <v>22466874</v>
      </c>
      <c r="E4675" s="88" t="s">
        <v>61</v>
      </c>
      <c r="F4675" s="88">
        <v>0</v>
      </c>
      <c r="G4675" s="78">
        <f>MAX(H4675,I4675,J4675)</f>
        <v>1</v>
      </c>
      <c r="H4675" s="88"/>
      <c r="I4675" s="88"/>
      <c r="J4675" s="78">
        <f>MAX(K4675:Q4675)</f>
        <v>1</v>
      </c>
      <c r="K4675" s="88">
        <v>1</v>
      </c>
      <c r="L4675" s="88"/>
      <c r="M4675" s="88"/>
      <c r="N4675" s="88"/>
      <c r="O4675" s="88"/>
      <c r="P4675" s="88"/>
      <c r="Q4675" s="88"/>
      <c r="R4675" s="78">
        <f>MAX(S4675:W4675)</f>
        <v>0</v>
      </c>
      <c r="S4675" s="88"/>
      <c r="T4675" s="88"/>
      <c r="U4675" s="88"/>
      <c r="V4675" s="88"/>
      <c r="W4675" s="88"/>
    </row>
    <row r="4676" spans="2:23" s="0" customFormat="0" ht="15">
      <c r="B4676" s="87" t="s">
        <v>1</v>
      </c>
      <c r="C4676" s="88" t="s">
        <v>5259</v>
      </c>
      <c r="D4676" s="88">
        <v>21704763</v>
      </c>
      <c r="E4676" s="88" t="s">
        <v>61</v>
      </c>
      <c r="F4676" s="88">
        <v>0</v>
      </c>
      <c r="G4676" s="78">
        <f>MAX(H4676,I4676,J4676)</f>
        <v>1</v>
      </c>
      <c r="H4676" s="88"/>
      <c r="I4676" s="88"/>
      <c r="J4676" s="78">
        <f>MAX(K4676:Q4676)</f>
        <v>1</v>
      </c>
      <c r="K4676" s="88">
        <v>1</v>
      </c>
      <c r="L4676" s="88"/>
      <c r="M4676" s="88"/>
      <c r="N4676" s="88"/>
      <c r="O4676" s="88"/>
      <c r="P4676" s="88"/>
      <c r="Q4676" s="88"/>
      <c r="R4676" s="78">
        <f>MAX(S4676:W4676)</f>
        <v>0</v>
      </c>
      <c r="S4676" s="88"/>
      <c r="T4676" s="88"/>
      <c r="U4676" s="88"/>
      <c r="V4676" s="88"/>
      <c r="W4676" s="88"/>
    </row>
    <row r="4677" spans="2:23" s="0" customFormat="0" ht="15">
      <c r="B4677" s="87" t="s">
        <v>1</v>
      </c>
      <c r="C4677" s="88" t="s">
        <v>5259</v>
      </c>
      <c r="D4677" s="88" t="s">
        <v>5011</v>
      </c>
      <c r="E4677" s="88" t="s">
        <v>61</v>
      </c>
      <c r="F4677" s="88">
        <v>0</v>
      </c>
      <c r="G4677" s="78">
        <f>MAX(H4677,I4677,J4677)</f>
        <v>0</v>
      </c>
      <c r="H4677" s="88"/>
      <c r="I4677" s="88"/>
      <c r="J4677" s="78">
        <f>MAX(K4677:Q4677)</f>
        <v>0</v>
      </c>
      <c r="K4677" s="88"/>
      <c r="L4677" s="88"/>
      <c r="M4677" s="88"/>
      <c r="N4677" s="88"/>
      <c r="O4677" s="88"/>
      <c r="P4677" s="88"/>
      <c r="Q4677" s="88"/>
      <c r="R4677" s="78">
        <f>MAX(S4677:W4677)</f>
        <v>1</v>
      </c>
      <c r="S4677" s="88"/>
      <c r="T4677" s="88"/>
      <c r="U4677" s="88">
        <v>1</v>
      </c>
      <c r="V4677" s="88"/>
      <c r="W4677" s="88"/>
    </row>
    <row r="4678" spans="2:23" s="0" customFormat="0" ht="15">
      <c r="B4678" s="87" t="s">
        <v>1</v>
      </c>
      <c r="C4678" s="88" t="s">
        <v>5259</v>
      </c>
      <c r="D4678" s="88">
        <v>19863533</v>
      </c>
      <c r="E4678" s="88" t="s">
        <v>61</v>
      </c>
      <c r="F4678" s="88">
        <v>0</v>
      </c>
      <c r="G4678" s="78">
        <f>MAX(H4678,I4678,J4678)</f>
        <v>1</v>
      </c>
      <c r="H4678" s="88"/>
      <c r="I4678" s="88"/>
      <c r="J4678" s="78">
        <f>MAX(K4678:Q4678)</f>
        <v>1</v>
      </c>
      <c r="K4678" s="88">
        <v>1</v>
      </c>
      <c r="L4678" s="88"/>
      <c r="M4678" s="88"/>
      <c r="N4678" s="88"/>
      <c r="O4678" s="88"/>
      <c r="P4678" s="88"/>
      <c r="Q4678" s="88"/>
      <c r="R4678" s="78">
        <f>MAX(S4678:W4678)</f>
        <v>0</v>
      </c>
      <c r="S4678" s="88"/>
      <c r="T4678" s="88"/>
      <c r="U4678" s="88"/>
      <c r="V4678" s="88"/>
      <c r="W4678" s="88"/>
    </row>
    <row r="4679" spans="2:23" s="0" customFormat="0" ht="15">
      <c r="B4679" s="87" t="s">
        <v>1</v>
      </c>
      <c r="C4679" s="88" t="s">
        <v>5259</v>
      </c>
      <c r="D4679" s="88" t="s">
        <v>4409</v>
      </c>
      <c r="E4679" s="88" t="s">
        <v>61</v>
      </c>
      <c r="F4679" s="88">
        <v>0</v>
      </c>
      <c r="G4679" s="78">
        <f>MAX(H4679,I4679,J4679)</f>
        <v>0</v>
      </c>
      <c r="H4679" s="88"/>
      <c r="I4679" s="88"/>
      <c r="J4679" s="78">
        <f>MAX(K4679:Q4679)</f>
        <v>0</v>
      </c>
      <c r="K4679" s="88"/>
      <c r="L4679" s="88"/>
      <c r="M4679" s="88"/>
      <c r="N4679" s="88"/>
      <c r="O4679" s="88"/>
      <c r="P4679" s="88"/>
      <c r="Q4679" s="88"/>
      <c r="R4679" s="78">
        <f>MAX(S4679:W4679)</f>
        <v>1</v>
      </c>
      <c r="S4679" s="88"/>
      <c r="T4679" s="88"/>
      <c r="U4679" s="88">
        <v>1</v>
      </c>
      <c r="V4679" s="88"/>
      <c r="W4679" s="88"/>
    </row>
    <row r="4680" spans="2:23" s="0" customFormat="0" ht="15">
      <c r="B4680" s="87" t="s">
        <v>1</v>
      </c>
      <c r="C4680" s="88" t="s">
        <v>5259</v>
      </c>
      <c r="D4680" s="88">
        <v>19863554</v>
      </c>
      <c r="E4680" s="88" t="s">
        <v>61</v>
      </c>
      <c r="F4680" s="88">
        <v>0</v>
      </c>
      <c r="G4680" s="78">
        <f>MAX(H4680,I4680,J4680)</f>
        <v>1</v>
      </c>
      <c r="H4680" s="88"/>
      <c r="I4680" s="88"/>
      <c r="J4680" s="78">
        <f>MAX(K4680:Q4680)</f>
        <v>1</v>
      </c>
      <c r="K4680" s="88">
        <v>1</v>
      </c>
      <c r="L4680" s="88"/>
      <c r="M4680" s="88"/>
      <c r="N4680" s="88"/>
      <c r="O4680" s="88"/>
      <c r="P4680" s="88"/>
      <c r="Q4680" s="88"/>
      <c r="R4680" s="78">
        <f>MAX(S4680:W4680)</f>
        <v>0</v>
      </c>
      <c r="S4680" s="88"/>
      <c r="T4680" s="88"/>
      <c r="U4680" s="88"/>
      <c r="V4680" s="88"/>
      <c r="W4680" s="88"/>
    </row>
    <row r="4681" spans="2:23" s="0" customFormat="0" ht="15">
      <c r="B4681" s="87" t="s">
        <v>1</v>
      </c>
      <c r="C4681" s="88" t="s">
        <v>5259</v>
      </c>
      <c r="D4681" s="88">
        <v>19602155</v>
      </c>
      <c r="E4681" s="88" t="s">
        <v>61</v>
      </c>
      <c r="F4681" s="88">
        <v>0</v>
      </c>
      <c r="G4681" s="78">
        <f>MAX(H4681,I4681,J4681)</f>
        <v>1</v>
      </c>
      <c r="H4681" s="88"/>
      <c r="I4681" s="88"/>
      <c r="J4681" s="78">
        <f>MAX(K4681:Q4681)</f>
        <v>1</v>
      </c>
      <c r="K4681" s="88">
        <v>1</v>
      </c>
      <c r="L4681" s="88"/>
      <c r="M4681" s="88"/>
      <c r="N4681" s="88"/>
      <c r="O4681" s="88"/>
      <c r="P4681" s="88"/>
      <c r="Q4681" s="88"/>
      <c r="R4681" s="78">
        <f>MAX(S4681:W4681)</f>
        <v>0</v>
      </c>
      <c r="S4681" s="88"/>
      <c r="T4681" s="88"/>
      <c r="U4681" s="88"/>
      <c r="V4681" s="88"/>
      <c r="W4681" s="88"/>
    </row>
    <row r="4682" spans="2:23" s="0" customFormat="0" ht="15">
      <c r="B4682" s="87" t="s">
        <v>1</v>
      </c>
      <c r="C4682" s="88" t="s">
        <v>5259</v>
      </c>
      <c r="D4682" s="88">
        <v>22913218</v>
      </c>
      <c r="E4682" s="88" t="s">
        <v>61</v>
      </c>
      <c r="F4682" s="88">
        <v>0</v>
      </c>
      <c r="G4682" s="78">
        <f>MAX(H4682,I4682,J4682)</f>
        <v>1</v>
      </c>
      <c r="H4682" s="88"/>
      <c r="I4682" s="88"/>
      <c r="J4682" s="78">
        <f>MAX(K4682:Q4682)</f>
        <v>1</v>
      </c>
      <c r="K4682" s="88">
        <v>1</v>
      </c>
      <c r="L4682" s="88"/>
      <c r="M4682" s="88"/>
      <c r="N4682" s="88"/>
      <c r="O4682" s="88"/>
      <c r="P4682" s="88"/>
      <c r="Q4682" s="88"/>
      <c r="R4682" s="78">
        <f>MAX(S4682:W4682)</f>
        <v>0</v>
      </c>
      <c r="S4682" s="88"/>
      <c r="T4682" s="88"/>
      <c r="U4682" s="88"/>
      <c r="V4682" s="88"/>
      <c r="W4682" s="88"/>
    </row>
    <row r="4683" spans="2:23" s="0" customFormat="0" ht="15">
      <c r="B4683" s="87" t="s">
        <v>1</v>
      </c>
      <c r="C4683" s="88" t="s">
        <v>5259</v>
      </c>
      <c r="D4683" s="88">
        <v>19863499</v>
      </c>
      <c r="E4683" s="88" t="s">
        <v>61</v>
      </c>
      <c r="F4683" s="88">
        <v>0</v>
      </c>
      <c r="G4683" s="78">
        <f>MAX(H4683,I4683,J4683)</f>
        <v>0</v>
      </c>
      <c r="H4683" s="88"/>
      <c r="I4683" s="88"/>
      <c r="J4683" s="78">
        <f>MAX(K4683:Q4683)</f>
        <v>0</v>
      </c>
      <c r="K4683" s="88"/>
      <c r="L4683" s="88"/>
      <c r="M4683" s="88"/>
      <c r="N4683" s="88"/>
      <c r="O4683" s="88"/>
      <c r="P4683" s="88"/>
      <c r="Q4683" s="88"/>
      <c r="R4683" s="78">
        <f>MAX(S4683:W4683)</f>
        <v>1</v>
      </c>
      <c r="S4683" s="88"/>
      <c r="T4683" s="88"/>
      <c r="U4683" s="88">
        <v>1</v>
      </c>
      <c r="V4683" s="88"/>
      <c r="W4683" s="88"/>
    </row>
    <row r="4684" spans="2:23" s="0" customFormat="0" ht="15">
      <c r="B4684" s="87" t="s">
        <v>1</v>
      </c>
      <c r="C4684" s="88" t="s">
        <v>5259</v>
      </c>
      <c r="D4684" s="88">
        <v>4300429</v>
      </c>
      <c r="E4684" s="88" t="s">
        <v>61</v>
      </c>
      <c r="F4684" s="88">
        <v>0</v>
      </c>
      <c r="G4684" s="78">
        <f>MAX(H4684,I4684,J4684)</f>
        <v>1</v>
      </c>
      <c r="H4684" s="88"/>
      <c r="I4684" s="88"/>
      <c r="J4684" s="78">
        <f>MAX(K4684:Q4684)</f>
        <v>1</v>
      </c>
      <c r="K4684" s="88">
        <v>1</v>
      </c>
      <c r="L4684" s="88"/>
      <c r="M4684" s="88"/>
      <c r="N4684" s="88"/>
      <c r="O4684" s="88"/>
      <c r="P4684" s="88"/>
      <c r="Q4684" s="88"/>
      <c r="R4684" s="78">
        <f>MAX(S4684:W4684)</f>
        <v>0</v>
      </c>
      <c r="S4684" s="88"/>
      <c r="T4684" s="88"/>
      <c r="U4684" s="88"/>
      <c r="V4684" s="88"/>
      <c r="W4684" s="88"/>
    </row>
    <row r="4685" spans="2:23" s="0" customFormat="0" ht="15">
      <c r="B4685" s="87" t="s">
        <v>1</v>
      </c>
      <c r="C4685" s="88" t="s">
        <v>5259</v>
      </c>
      <c r="D4685" s="88">
        <v>17398317</v>
      </c>
      <c r="E4685" s="88" t="s">
        <v>61</v>
      </c>
      <c r="F4685" s="88">
        <v>0</v>
      </c>
      <c r="G4685" s="78">
        <f>MAX(H4685,I4685,J4685)</f>
        <v>1</v>
      </c>
      <c r="H4685" s="88"/>
      <c r="I4685" s="88"/>
      <c r="J4685" s="78">
        <f>MAX(K4685:Q4685)</f>
        <v>1</v>
      </c>
      <c r="K4685" s="88">
        <v>1</v>
      </c>
      <c r="L4685" s="88"/>
      <c r="M4685" s="88"/>
      <c r="N4685" s="88"/>
      <c r="O4685" s="88"/>
      <c r="P4685" s="88"/>
      <c r="Q4685" s="88"/>
      <c r="R4685" s="78">
        <f>MAX(S4685:W4685)</f>
        <v>0</v>
      </c>
      <c r="S4685" s="88"/>
      <c r="T4685" s="88"/>
      <c r="U4685" s="88"/>
      <c r="V4685" s="88"/>
      <c r="W4685" s="88"/>
    </row>
    <row r="4686" spans="2:23" s="0" customFormat="0" ht="15">
      <c r="B4686" s="87" t="s">
        <v>1</v>
      </c>
      <c r="C4686" s="88" t="s">
        <v>5259</v>
      </c>
      <c r="D4686" s="88">
        <v>14578157</v>
      </c>
      <c r="E4686" s="88" t="s">
        <v>61</v>
      </c>
      <c r="F4686" s="88">
        <v>0</v>
      </c>
      <c r="G4686" s="78">
        <f>MAX(H4686,I4686,J4686)</f>
        <v>0</v>
      </c>
      <c r="H4686" s="88"/>
      <c r="I4686" s="88"/>
      <c r="J4686" s="78">
        <f>MAX(K4686:Q4686)</f>
        <v>0</v>
      </c>
      <c r="K4686" s="88"/>
      <c r="L4686" s="88"/>
      <c r="M4686" s="88"/>
      <c r="N4686" s="88"/>
      <c r="O4686" s="88"/>
      <c r="P4686" s="88"/>
      <c r="Q4686" s="88"/>
      <c r="R4686" s="78">
        <f>MAX(S4686:W4686)</f>
        <v>1</v>
      </c>
      <c r="S4686" s="88"/>
      <c r="T4686" s="88"/>
      <c r="U4686" s="88">
        <v>1</v>
      </c>
      <c r="V4686" s="88"/>
      <c r="W4686" s="88"/>
    </row>
    <row r="4687" spans="2:23" s="0" customFormat="0" ht="15">
      <c r="B4687" s="87" t="s">
        <v>1</v>
      </c>
      <c r="C4687" s="88" t="s">
        <v>5259</v>
      </c>
      <c r="D4687" s="88">
        <v>13658089</v>
      </c>
      <c r="E4687" s="88" t="s">
        <v>61</v>
      </c>
      <c r="F4687" s="88">
        <v>0</v>
      </c>
      <c r="G4687" s="78">
        <f>MAX(H4687,I4687,J4687)</f>
        <v>1</v>
      </c>
      <c r="H4687" s="88"/>
      <c r="I4687" s="88"/>
      <c r="J4687" s="78">
        <f>MAX(K4687:Q4687)</f>
        <v>1</v>
      </c>
      <c r="K4687" s="88">
        <v>1</v>
      </c>
      <c r="L4687" s="88"/>
      <c r="M4687" s="88"/>
      <c r="N4687" s="88"/>
      <c r="O4687" s="88"/>
      <c r="P4687" s="88"/>
      <c r="Q4687" s="88"/>
      <c r="R4687" s="78">
        <f>MAX(S4687:W4687)</f>
        <v>0</v>
      </c>
      <c r="S4687" s="88"/>
      <c r="T4687" s="88"/>
      <c r="U4687" s="88"/>
      <c r="V4687" s="88"/>
      <c r="W4687" s="88"/>
    </row>
    <row r="4688" spans="2:23" s="0" customFormat="0" ht="15">
      <c r="B4688" s="87" t="s">
        <v>1</v>
      </c>
      <c r="C4688" s="88" t="s">
        <v>5259</v>
      </c>
      <c r="D4688" s="88" t="s">
        <v>2663</v>
      </c>
      <c r="E4688" s="88" t="s">
        <v>61</v>
      </c>
      <c r="F4688" s="88">
        <v>0</v>
      </c>
      <c r="G4688" s="78">
        <f>MAX(H4688,I4688,J4688)</f>
        <v>1</v>
      </c>
      <c r="H4688" s="88"/>
      <c r="I4688" s="88"/>
      <c r="J4688" s="78">
        <f>MAX(K4688:Q4688)</f>
        <v>1</v>
      </c>
      <c r="K4688" s="88">
        <v>1</v>
      </c>
      <c r="L4688" s="88"/>
      <c r="M4688" s="88"/>
      <c r="N4688" s="88"/>
      <c r="O4688" s="88"/>
      <c r="P4688" s="88"/>
      <c r="Q4688" s="88"/>
      <c r="R4688" s="78">
        <f>MAX(S4688:W4688)</f>
        <v>0</v>
      </c>
      <c r="S4688" s="88"/>
      <c r="T4688" s="88"/>
      <c r="U4688" s="88"/>
      <c r="V4688" s="88"/>
      <c r="W4688" s="88"/>
    </row>
    <row r="4689" spans="2:23" s="0" customFormat="0" ht="15">
      <c r="B4689" s="87" t="s">
        <v>1</v>
      </c>
      <c r="C4689" s="88" t="s">
        <v>5259</v>
      </c>
      <c r="D4689" s="88" t="s">
        <v>3607</v>
      </c>
      <c r="E4689" s="88" t="s">
        <v>61</v>
      </c>
      <c r="F4689" s="88">
        <v>0</v>
      </c>
      <c r="G4689" s="78">
        <f>MAX(H4689,I4689,J4689)</f>
        <v>0</v>
      </c>
      <c r="H4689" s="88"/>
      <c r="I4689" s="88"/>
      <c r="J4689" s="78">
        <f>MAX(K4689:Q4689)</f>
        <v>0</v>
      </c>
      <c r="K4689" s="88"/>
      <c r="L4689" s="88"/>
      <c r="M4689" s="88"/>
      <c r="N4689" s="88"/>
      <c r="O4689" s="88"/>
      <c r="P4689" s="88"/>
      <c r="Q4689" s="88"/>
      <c r="R4689" s="78">
        <f>MAX(S4689:W4689)</f>
        <v>1</v>
      </c>
      <c r="S4689" s="88"/>
      <c r="T4689" s="88"/>
      <c r="U4689" s="88">
        <v>1</v>
      </c>
      <c r="V4689" s="88"/>
      <c r="W4689" s="88"/>
    </row>
    <row r="4690" spans="2:23" s="0" customFormat="0" ht="15">
      <c r="B4690" s="87" t="s">
        <v>1</v>
      </c>
      <c r="C4690" s="88" t="s">
        <v>5259</v>
      </c>
      <c r="D4690" s="88">
        <v>23654834</v>
      </c>
      <c r="E4690" s="88" t="s">
        <v>61</v>
      </c>
      <c r="F4690" s="88">
        <v>0</v>
      </c>
      <c r="G4690" s="78">
        <f>MAX(H4690,I4690,J4690)</f>
        <v>1</v>
      </c>
      <c r="H4690" s="88"/>
      <c r="I4690" s="88"/>
      <c r="J4690" s="78">
        <f>MAX(K4690:Q4690)</f>
        <v>1</v>
      </c>
      <c r="K4690" s="88">
        <v>1</v>
      </c>
      <c r="L4690" s="88"/>
      <c r="M4690" s="88"/>
      <c r="N4690" s="88"/>
      <c r="O4690" s="88"/>
      <c r="P4690" s="88"/>
      <c r="Q4690" s="88"/>
      <c r="R4690" s="78">
        <f>MAX(S4690:W4690)</f>
        <v>0</v>
      </c>
      <c r="S4690" s="88"/>
      <c r="T4690" s="88"/>
      <c r="U4690" s="88"/>
      <c r="V4690" s="88"/>
      <c r="W4690" s="88"/>
    </row>
    <row r="4691" spans="2:23" s="0" customFormat="0" ht="15">
      <c r="B4691" s="87" t="s">
        <v>1</v>
      </c>
      <c r="C4691" s="88" t="s">
        <v>5259</v>
      </c>
      <c r="D4691" s="88">
        <v>19929932</v>
      </c>
      <c r="E4691" s="88" t="s">
        <v>61</v>
      </c>
      <c r="F4691" s="88">
        <v>0</v>
      </c>
      <c r="G4691" s="78">
        <f>MAX(H4691,I4691,J4691)</f>
        <v>1</v>
      </c>
      <c r="H4691" s="88"/>
      <c r="I4691" s="88"/>
      <c r="J4691" s="78">
        <f>MAX(K4691:Q4691)</f>
        <v>1</v>
      </c>
      <c r="K4691" s="88">
        <v>1</v>
      </c>
      <c r="L4691" s="88"/>
      <c r="M4691" s="88"/>
      <c r="N4691" s="88"/>
      <c r="O4691" s="88"/>
      <c r="P4691" s="88"/>
      <c r="Q4691" s="88"/>
      <c r="R4691" s="78">
        <f>MAX(S4691:W4691)</f>
        <v>0</v>
      </c>
      <c r="S4691" s="88"/>
      <c r="T4691" s="88"/>
      <c r="U4691" s="88"/>
      <c r="V4691" s="88"/>
      <c r="W4691" s="88"/>
    </row>
    <row r="4692" spans="2:23" s="0" customFormat="0" ht="15">
      <c r="B4692" s="87" t="s">
        <v>1</v>
      </c>
      <c r="C4692" s="88" t="s">
        <v>5259</v>
      </c>
      <c r="D4692" s="88" t="s">
        <v>2666</v>
      </c>
      <c r="E4692" s="88" t="s">
        <v>61</v>
      </c>
      <c r="F4692" s="88">
        <v>0</v>
      </c>
      <c r="G4692" s="78">
        <f>MAX(H4692,I4692,J4692)</f>
        <v>1</v>
      </c>
      <c r="H4692" s="88"/>
      <c r="I4692" s="88"/>
      <c r="J4692" s="78">
        <f>MAX(K4692:Q4692)</f>
        <v>1</v>
      </c>
      <c r="K4692" s="88">
        <v>1</v>
      </c>
      <c r="L4692" s="88"/>
      <c r="M4692" s="88"/>
      <c r="N4692" s="88"/>
      <c r="O4692" s="88"/>
      <c r="P4692" s="88"/>
      <c r="Q4692" s="88"/>
      <c r="R4692" s="78">
        <f>MAX(S4692:W4692)</f>
        <v>0</v>
      </c>
      <c r="S4692" s="88"/>
      <c r="T4692" s="88"/>
      <c r="U4692" s="88"/>
      <c r="V4692" s="88"/>
      <c r="W4692" s="88"/>
    </row>
    <row r="4693" spans="2:23" s="0" customFormat="0" ht="15">
      <c r="B4693" s="87" t="s">
        <v>1</v>
      </c>
      <c r="C4693" s="88" t="s">
        <v>5259</v>
      </c>
      <c r="D4693" s="88" t="s">
        <v>4866</v>
      </c>
      <c r="E4693" s="88" t="s">
        <v>61</v>
      </c>
      <c r="F4693" s="88">
        <v>0</v>
      </c>
      <c r="G4693" s="78">
        <f>MAX(H4693,I4693,J4693)</f>
        <v>0</v>
      </c>
      <c r="H4693" s="88"/>
      <c r="I4693" s="88"/>
      <c r="J4693" s="78">
        <f>MAX(K4693:Q4693)</f>
        <v>0</v>
      </c>
      <c r="K4693" s="88"/>
      <c r="L4693" s="88"/>
      <c r="M4693" s="88"/>
      <c r="N4693" s="88"/>
      <c r="O4693" s="88"/>
      <c r="P4693" s="88"/>
      <c r="Q4693" s="88"/>
      <c r="R4693" s="78">
        <f>MAX(S4693:W4693)</f>
        <v>1</v>
      </c>
      <c r="S4693" s="88"/>
      <c r="T4693" s="88"/>
      <c r="U4693" s="88">
        <v>1</v>
      </c>
      <c r="V4693" s="88"/>
      <c r="W4693" s="88"/>
    </row>
    <row r="4694" spans="2:23" s="0" customFormat="0" ht="15">
      <c r="B4694" s="87" t="s">
        <v>1</v>
      </c>
      <c r="C4694" s="88" t="s">
        <v>5259</v>
      </c>
      <c r="D4694" s="88">
        <v>22062042</v>
      </c>
      <c r="E4694" s="88" t="s">
        <v>61</v>
      </c>
      <c r="F4694" s="88">
        <v>0</v>
      </c>
      <c r="G4694" s="78">
        <f>MAX(H4694,I4694,J4694)</f>
        <v>1</v>
      </c>
      <c r="H4694" s="88"/>
      <c r="I4694" s="88"/>
      <c r="J4694" s="78">
        <f>MAX(K4694:Q4694)</f>
        <v>1</v>
      </c>
      <c r="K4694" s="88">
        <v>1</v>
      </c>
      <c r="L4694" s="88"/>
      <c r="M4694" s="88"/>
      <c r="N4694" s="88"/>
      <c r="O4694" s="88"/>
      <c r="P4694" s="88"/>
      <c r="Q4694" s="88"/>
      <c r="R4694" s="78">
        <f>MAX(S4694:W4694)</f>
        <v>0</v>
      </c>
      <c r="S4694" s="88"/>
      <c r="T4694" s="88"/>
      <c r="U4694" s="88"/>
      <c r="V4694" s="88"/>
      <c r="W4694" s="88"/>
    </row>
    <row r="4695" spans="2:23" s="0" customFormat="0" ht="15">
      <c r="B4695" s="87" t="s">
        <v>1</v>
      </c>
      <c r="C4695" s="88" t="s">
        <v>5259</v>
      </c>
      <c r="D4695" s="88" t="s">
        <v>5013</v>
      </c>
      <c r="E4695" s="88" t="s">
        <v>61</v>
      </c>
      <c r="F4695" s="88">
        <v>0</v>
      </c>
      <c r="G4695" s="78">
        <f>MAX(H4695,I4695,J4695)</f>
        <v>0</v>
      </c>
      <c r="H4695" s="88"/>
      <c r="I4695" s="88"/>
      <c r="J4695" s="78">
        <f>MAX(K4695:Q4695)</f>
        <v>0</v>
      </c>
      <c r="K4695" s="88"/>
      <c r="L4695" s="88"/>
      <c r="M4695" s="88"/>
      <c r="N4695" s="88"/>
      <c r="O4695" s="88"/>
      <c r="P4695" s="88"/>
      <c r="Q4695" s="88"/>
      <c r="R4695" s="78">
        <f>MAX(S4695:W4695)</f>
        <v>1</v>
      </c>
      <c r="S4695" s="88"/>
      <c r="T4695" s="88"/>
      <c r="U4695" s="88">
        <v>1</v>
      </c>
      <c r="V4695" s="88"/>
      <c r="W4695" s="88"/>
    </row>
    <row r="4696" spans="2:23" s="0" customFormat="0" ht="15">
      <c r="B4696" s="87" t="s">
        <v>1</v>
      </c>
      <c r="C4696" s="88" t="s">
        <v>5259</v>
      </c>
      <c r="D4696" s="88">
        <v>16974894</v>
      </c>
      <c r="E4696" s="88" t="s">
        <v>61</v>
      </c>
      <c r="F4696" s="88">
        <v>0</v>
      </c>
      <c r="G4696" s="78">
        <f>MAX(H4696,I4696,J4696)</f>
        <v>0</v>
      </c>
      <c r="H4696" s="88"/>
      <c r="I4696" s="88"/>
      <c r="J4696" s="78">
        <f>MAX(K4696:Q4696)</f>
        <v>0</v>
      </c>
      <c r="K4696" s="88"/>
      <c r="L4696" s="88"/>
      <c r="M4696" s="88"/>
      <c r="N4696" s="88"/>
      <c r="O4696" s="88"/>
      <c r="P4696" s="88"/>
      <c r="Q4696" s="88"/>
      <c r="R4696" s="78">
        <f>MAX(S4696:W4696)</f>
        <v>1</v>
      </c>
      <c r="S4696" s="88"/>
      <c r="T4696" s="88"/>
      <c r="U4696" s="88"/>
      <c r="V4696" s="88">
        <v>1</v>
      </c>
      <c r="W4696" s="88"/>
    </row>
    <row r="4697" spans="2:23" s="0" customFormat="0" ht="15">
      <c r="B4697" s="87" t="s">
        <v>1</v>
      </c>
      <c r="C4697" s="88" t="s">
        <v>5259</v>
      </c>
      <c r="D4697" s="88" t="s">
        <v>1635</v>
      </c>
      <c r="E4697" s="88" t="s">
        <v>61</v>
      </c>
      <c r="F4697" s="88">
        <v>0</v>
      </c>
      <c r="G4697" s="78">
        <f>MAX(H4697,I4697,J4697)</f>
        <v>1</v>
      </c>
      <c r="H4697" s="88"/>
      <c r="I4697" s="88"/>
      <c r="J4697" s="78">
        <f>MAX(K4697:Q4697)</f>
        <v>1</v>
      </c>
      <c r="K4697" s="88">
        <v>1</v>
      </c>
      <c r="L4697" s="88"/>
      <c r="M4697" s="88"/>
      <c r="N4697" s="88"/>
      <c r="O4697" s="88"/>
      <c r="P4697" s="88"/>
      <c r="Q4697" s="88"/>
      <c r="R4697" s="78">
        <f>MAX(S4697:W4697)</f>
        <v>0</v>
      </c>
      <c r="S4697" s="88"/>
      <c r="T4697" s="88"/>
      <c r="U4697" s="88"/>
      <c r="V4697" s="88"/>
      <c r="W4697" s="88"/>
    </row>
    <row r="4698" spans="2:23" s="0" customFormat="0" ht="15">
      <c r="B4698" s="87" t="s">
        <v>1</v>
      </c>
      <c r="C4698" s="88" t="s">
        <v>5259</v>
      </c>
      <c r="D4698" s="88">
        <v>22554416</v>
      </c>
      <c r="E4698" s="88" t="s">
        <v>61</v>
      </c>
      <c r="F4698" s="88">
        <v>0</v>
      </c>
      <c r="G4698" s="78">
        <f>MAX(H4698,I4698,J4698)</f>
        <v>0</v>
      </c>
      <c r="H4698" s="88"/>
      <c r="I4698" s="88"/>
      <c r="J4698" s="78">
        <f>MAX(K4698:Q4698)</f>
        <v>0</v>
      </c>
      <c r="K4698" s="88"/>
      <c r="L4698" s="88"/>
      <c r="M4698" s="88"/>
      <c r="N4698" s="88"/>
      <c r="O4698" s="88"/>
      <c r="P4698" s="88"/>
      <c r="Q4698" s="88"/>
      <c r="R4698" s="78">
        <f>MAX(S4698:W4698)</f>
        <v>1</v>
      </c>
      <c r="S4698" s="88"/>
      <c r="T4698" s="88"/>
      <c r="U4698" s="88">
        <v>1</v>
      </c>
      <c r="V4698" s="88"/>
      <c r="W4698" s="88"/>
    </row>
    <row r="4699" spans="2:23" s="0" customFormat="0" ht="15">
      <c r="B4699" s="87" t="s">
        <v>1</v>
      </c>
      <c r="C4699" s="88" t="s">
        <v>5259</v>
      </c>
      <c r="D4699" s="88" t="s">
        <v>5015</v>
      </c>
      <c r="E4699" s="88" t="s">
        <v>61</v>
      </c>
      <c r="F4699" s="88">
        <v>0</v>
      </c>
      <c r="G4699" s="78">
        <f>MAX(H4699,I4699,J4699)</f>
        <v>0</v>
      </c>
      <c r="H4699" s="88"/>
      <c r="I4699" s="88"/>
      <c r="J4699" s="78">
        <f>MAX(K4699:Q4699)</f>
        <v>0</v>
      </c>
      <c r="K4699" s="88"/>
      <c r="L4699" s="88"/>
      <c r="M4699" s="88"/>
      <c r="N4699" s="88"/>
      <c r="O4699" s="88"/>
      <c r="P4699" s="88"/>
      <c r="Q4699" s="88"/>
      <c r="R4699" s="78">
        <f>MAX(S4699:W4699)</f>
        <v>1</v>
      </c>
      <c r="S4699" s="88"/>
      <c r="T4699" s="88"/>
      <c r="U4699" s="88">
        <v>1</v>
      </c>
      <c r="V4699" s="88"/>
      <c r="W4699" s="88"/>
    </row>
    <row r="4700" spans="2:23" s="0" customFormat="0" ht="15">
      <c r="B4700" s="87" t="s">
        <v>1</v>
      </c>
      <c r="C4700" s="88" t="s">
        <v>5259</v>
      </c>
      <c r="D4700" s="88">
        <v>19013622</v>
      </c>
      <c r="E4700" s="88" t="s">
        <v>61</v>
      </c>
      <c r="F4700" s="88">
        <v>0</v>
      </c>
      <c r="G4700" s="78">
        <f>MAX(H4700,I4700,J4700)</f>
        <v>1</v>
      </c>
      <c r="H4700" s="88"/>
      <c r="I4700" s="88"/>
      <c r="J4700" s="78">
        <f>MAX(K4700:Q4700)</f>
        <v>1</v>
      </c>
      <c r="K4700" s="88">
        <v>1</v>
      </c>
      <c r="L4700" s="88"/>
      <c r="M4700" s="88"/>
      <c r="N4700" s="88"/>
      <c r="O4700" s="88"/>
      <c r="P4700" s="88"/>
      <c r="Q4700" s="88"/>
      <c r="R4700" s="78">
        <f>MAX(S4700:W4700)</f>
        <v>0</v>
      </c>
      <c r="S4700" s="88"/>
      <c r="T4700" s="88"/>
      <c r="U4700" s="88"/>
      <c r="V4700" s="88"/>
      <c r="W4700" s="88"/>
    </row>
    <row r="4701" spans="2:23" s="0" customFormat="0" ht="15">
      <c r="B4701" s="87" t="s">
        <v>1</v>
      </c>
      <c r="C4701" s="88" t="s">
        <v>5259</v>
      </c>
      <c r="D4701" s="88" t="s">
        <v>4417</v>
      </c>
      <c r="E4701" s="88" t="s">
        <v>61</v>
      </c>
      <c r="F4701" s="88">
        <v>0</v>
      </c>
      <c r="G4701" s="78">
        <f>MAX(H4701,I4701,J4701)</f>
        <v>0</v>
      </c>
      <c r="H4701" s="88"/>
      <c r="I4701" s="88"/>
      <c r="J4701" s="78">
        <f>MAX(K4701:Q4701)</f>
        <v>0</v>
      </c>
      <c r="K4701" s="88"/>
      <c r="L4701" s="88"/>
      <c r="M4701" s="88"/>
      <c r="N4701" s="88"/>
      <c r="O4701" s="88"/>
      <c r="P4701" s="88"/>
      <c r="Q4701" s="88"/>
      <c r="R4701" s="78">
        <f>MAX(S4701:W4701)</f>
        <v>1</v>
      </c>
      <c r="S4701" s="88"/>
      <c r="T4701" s="88"/>
      <c r="U4701" s="88">
        <v>1</v>
      </c>
      <c r="V4701" s="88"/>
      <c r="W4701" s="88"/>
    </row>
    <row r="4702" spans="2:23" s="0" customFormat="0" ht="15">
      <c r="B4702" s="87" t="s">
        <v>1</v>
      </c>
      <c r="C4702" s="88" t="s">
        <v>5259</v>
      </c>
      <c r="D4702" s="88">
        <v>488603</v>
      </c>
      <c r="E4702" s="88" t="s">
        <v>61</v>
      </c>
      <c r="F4702" s="88">
        <v>0</v>
      </c>
      <c r="G4702" s="78">
        <f>MAX(H4702,I4702,J4702)</f>
        <v>1</v>
      </c>
      <c r="H4702" s="88"/>
      <c r="I4702" s="88"/>
      <c r="J4702" s="78">
        <f>MAX(K4702:Q4702)</f>
        <v>1</v>
      </c>
      <c r="K4702" s="88">
        <v>1</v>
      </c>
      <c r="L4702" s="88"/>
      <c r="M4702" s="88"/>
      <c r="N4702" s="88"/>
      <c r="O4702" s="88"/>
      <c r="P4702" s="88"/>
      <c r="Q4702" s="88"/>
      <c r="R4702" s="78">
        <f>MAX(S4702:W4702)</f>
        <v>0</v>
      </c>
      <c r="S4702" s="88"/>
      <c r="T4702" s="88"/>
      <c r="U4702" s="88"/>
      <c r="V4702" s="88"/>
      <c r="W4702" s="88"/>
    </row>
    <row r="4703" spans="2:23" s="0" customFormat="0" ht="15">
      <c r="B4703" s="87" t="s">
        <v>1</v>
      </c>
      <c r="C4703" s="88" t="s">
        <v>5259</v>
      </c>
      <c r="D4703" s="88">
        <v>14742106</v>
      </c>
      <c r="E4703" s="88" t="s">
        <v>61</v>
      </c>
      <c r="F4703" s="88">
        <v>0</v>
      </c>
      <c r="G4703" s="78">
        <f>MAX(H4703,I4703,J4703)</f>
        <v>1</v>
      </c>
      <c r="H4703" s="88"/>
      <c r="I4703" s="88"/>
      <c r="J4703" s="78">
        <f>MAX(K4703:Q4703)</f>
        <v>1</v>
      </c>
      <c r="K4703" s="88">
        <v>1</v>
      </c>
      <c r="L4703" s="88"/>
      <c r="M4703" s="88"/>
      <c r="N4703" s="88"/>
      <c r="O4703" s="88"/>
      <c r="P4703" s="88"/>
      <c r="Q4703" s="88"/>
      <c r="R4703" s="78">
        <f>MAX(S4703:W4703)</f>
        <v>0</v>
      </c>
      <c r="S4703" s="88"/>
      <c r="T4703" s="88"/>
      <c r="U4703" s="88"/>
      <c r="V4703" s="88"/>
      <c r="W4703" s="88"/>
    </row>
    <row r="4704" spans="2:23" s="0" customFormat="0" ht="15">
      <c r="B4704" s="87" t="s">
        <v>1</v>
      </c>
      <c r="C4704" s="88" t="s">
        <v>5259</v>
      </c>
      <c r="D4704" s="88">
        <v>24601963</v>
      </c>
      <c r="E4704" s="88" t="s">
        <v>61</v>
      </c>
      <c r="F4704" s="88">
        <v>0</v>
      </c>
      <c r="G4704" s="78">
        <f>MAX(H4704,I4704,J4704)</f>
        <v>1</v>
      </c>
      <c r="H4704" s="88"/>
      <c r="I4704" s="88"/>
      <c r="J4704" s="78">
        <f>MAX(K4704:Q4704)</f>
        <v>1</v>
      </c>
      <c r="K4704" s="88">
        <v>1</v>
      </c>
      <c r="L4704" s="88"/>
      <c r="M4704" s="88"/>
      <c r="N4704" s="88"/>
      <c r="O4704" s="88"/>
      <c r="P4704" s="88"/>
      <c r="Q4704" s="88"/>
      <c r="R4704" s="78">
        <f>MAX(S4704:W4704)</f>
        <v>0</v>
      </c>
      <c r="S4704" s="88"/>
      <c r="T4704" s="88"/>
      <c r="U4704" s="88"/>
      <c r="V4704" s="88"/>
      <c r="W4704" s="88"/>
    </row>
    <row r="4705" spans="2:23" s="0" customFormat="0" ht="15">
      <c r="B4705" s="87" t="s">
        <v>1</v>
      </c>
      <c r="C4705" s="88" t="s">
        <v>5259</v>
      </c>
      <c r="D4705" s="88">
        <v>22361562</v>
      </c>
      <c r="E4705" s="88" t="s">
        <v>61</v>
      </c>
      <c r="F4705" s="88">
        <v>0</v>
      </c>
      <c r="G4705" s="78">
        <f>MAX(H4705,I4705,J4705)</f>
        <v>1</v>
      </c>
      <c r="H4705" s="88"/>
      <c r="I4705" s="88"/>
      <c r="J4705" s="78">
        <f>MAX(K4705:Q4705)</f>
        <v>1</v>
      </c>
      <c r="K4705" s="88">
        <v>1</v>
      </c>
      <c r="L4705" s="88"/>
      <c r="M4705" s="88"/>
      <c r="N4705" s="88"/>
      <c r="O4705" s="88"/>
      <c r="P4705" s="88"/>
      <c r="Q4705" s="88"/>
      <c r="R4705" s="78">
        <f>MAX(S4705:W4705)</f>
        <v>0</v>
      </c>
      <c r="S4705" s="88"/>
      <c r="T4705" s="88"/>
      <c r="U4705" s="88"/>
      <c r="V4705" s="88"/>
      <c r="W4705" s="88"/>
    </row>
    <row r="4706" spans="2:23" s="0" customFormat="0" ht="15">
      <c r="B4706" s="87" t="s">
        <v>1</v>
      </c>
      <c r="C4706" s="88" t="s">
        <v>5259</v>
      </c>
      <c r="D4706" s="88" t="s">
        <v>5017</v>
      </c>
      <c r="E4706" s="88" t="s">
        <v>61</v>
      </c>
      <c r="F4706" s="88">
        <v>0</v>
      </c>
      <c r="G4706" s="78">
        <f>MAX(H4706,I4706,J4706)</f>
        <v>0</v>
      </c>
      <c r="H4706" s="88"/>
      <c r="I4706" s="88"/>
      <c r="J4706" s="78">
        <f>MAX(K4706:Q4706)</f>
        <v>0</v>
      </c>
      <c r="K4706" s="88"/>
      <c r="L4706" s="88"/>
      <c r="M4706" s="88"/>
      <c r="N4706" s="88"/>
      <c r="O4706" s="88"/>
      <c r="P4706" s="88"/>
      <c r="Q4706" s="88"/>
      <c r="R4706" s="78">
        <f>MAX(S4706:W4706)</f>
        <v>1</v>
      </c>
      <c r="S4706" s="88"/>
      <c r="T4706" s="88"/>
      <c r="U4706" s="88">
        <v>1</v>
      </c>
      <c r="V4706" s="88"/>
      <c r="W4706" s="88"/>
    </row>
    <row r="4707" spans="2:23" s="0" customFormat="0" ht="15">
      <c r="B4707" s="87" t="s">
        <v>1</v>
      </c>
      <c r="C4707" s="88" t="s">
        <v>5259</v>
      </c>
      <c r="D4707" s="88">
        <v>21753703</v>
      </c>
      <c r="E4707" s="88" t="s">
        <v>61</v>
      </c>
      <c r="F4707" s="88">
        <v>0</v>
      </c>
      <c r="G4707" s="78">
        <f>MAX(H4707,I4707,J4707)</f>
        <v>1</v>
      </c>
      <c r="H4707" s="88"/>
      <c r="I4707" s="88"/>
      <c r="J4707" s="78">
        <f>MAX(K4707:Q4707)</f>
        <v>1</v>
      </c>
      <c r="K4707" s="88">
        <v>1</v>
      </c>
      <c r="L4707" s="88"/>
      <c r="M4707" s="88"/>
      <c r="N4707" s="88"/>
      <c r="O4707" s="88"/>
      <c r="P4707" s="88"/>
      <c r="Q4707" s="88"/>
      <c r="R4707" s="78">
        <f>MAX(S4707:W4707)</f>
        <v>0</v>
      </c>
      <c r="S4707" s="88"/>
      <c r="T4707" s="88"/>
      <c r="U4707" s="88"/>
      <c r="V4707" s="88"/>
      <c r="W4707" s="88"/>
    </row>
    <row r="4708" spans="2:23" s="0" customFormat="0" ht="15">
      <c r="B4708" s="87" t="s">
        <v>1</v>
      </c>
      <c r="C4708" s="88" t="s">
        <v>5259</v>
      </c>
      <c r="D4708" s="88" t="s">
        <v>5019</v>
      </c>
      <c r="E4708" s="88" t="s">
        <v>61</v>
      </c>
      <c r="F4708" s="88">
        <v>0</v>
      </c>
      <c r="G4708" s="78">
        <f>MAX(H4708,I4708,J4708)</f>
        <v>0</v>
      </c>
      <c r="H4708" s="88"/>
      <c r="I4708" s="88"/>
      <c r="J4708" s="78">
        <f>MAX(K4708:Q4708)</f>
        <v>0</v>
      </c>
      <c r="K4708" s="88"/>
      <c r="L4708" s="88"/>
      <c r="M4708" s="88"/>
      <c r="N4708" s="88"/>
      <c r="O4708" s="88"/>
      <c r="P4708" s="88"/>
      <c r="Q4708" s="88"/>
      <c r="R4708" s="78">
        <f>MAX(S4708:W4708)</f>
        <v>1</v>
      </c>
      <c r="S4708" s="88"/>
      <c r="T4708" s="88"/>
      <c r="U4708" s="88">
        <v>1</v>
      </c>
      <c r="V4708" s="88"/>
      <c r="W4708" s="88"/>
    </row>
    <row r="4709" spans="2:23" s="0" customFormat="0" ht="15">
      <c r="B4709" s="87" t="s">
        <v>1</v>
      </c>
      <c r="C4709" s="88" t="s">
        <v>5259</v>
      </c>
      <c r="D4709" s="88">
        <v>16974602</v>
      </c>
      <c r="E4709" s="88" t="s">
        <v>61</v>
      </c>
      <c r="F4709" s="88">
        <v>0</v>
      </c>
      <c r="G4709" s="78">
        <f>MAX(H4709,I4709,J4709)</f>
        <v>0</v>
      </c>
      <c r="H4709" s="88"/>
      <c r="I4709" s="88"/>
      <c r="J4709" s="78">
        <f>MAX(K4709:Q4709)</f>
        <v>0</v>
      </c>
      <c r="K4709" s="88"/>
      <c r="L4709" s="88"/>
      <c r="M4709" s="88"/>
      <c r="N4709" s="88"/>
      <c r="O4709" s="88"/>
      <c r="P4709" s="88"/>
      <c r="Q4709" s="88"/>
      <c r="R4709" s="78">
        <f>MAX(S4709:W4709)</f>
        <v>1</v>
      </c>
      <c r="S4709" s="88"/>
      <c r="T4709" s="88"/>
      <c r="U4709" s="88">
        <v>1</v>
      </c>
      <c r="V4709" s="88"/>
      <c r="W4709" s="88"/>
    </row>
    <row r="4710" spans="2:23" s="0" customFormat="0" ht="15">
      <c r="B4710" s="87" t="s">
        <v>1</v>
      </c>
      <c r="C4710" s="88" t="s">
        <v>5259</v>
      </c>
      <c r="D4710" s="88" t="s">
        <v>5015</v>
      </c>
      <c r="E4710" s="88" t="s">
        <v>61</v>
      </c>
      <c r="F4710" s="88">
        <v>0</v>
      </c>
      <c r="G4710" s="78">
        <f>MAX(H4710,I4710,J4710)</f>
        <v>0</v>
      </c>
      <c r="H4710" s="88"/>
      <c r="I4710" s="88"/>
      <c r="J4710" s="78">
        <f>MAX(K4710:Q4710)</f>
        <v>0</v>
      </c>
      <c r="K4710" s="88"/>
      <c r="L4710" s="88"/>
      <c r="M4710" s="88"/>
      <c r="N4710" s="88"/>
      <c r="O4710" s="88"/>
      <c r="P4710" s="88"/>
      <c r="Q4710" s="88"/>
      <c r="R4710" s="78">
        <f>MAX(S4710:W4710)</f>
        <v>1</v>
      </c>
      <c r="S4710" s="88"/>
      <c r="T4710" s="88"/>
      <c r="U4710" s="88">
        <v>1</v>
      </c>
      <c r="V4710" s="88"/>
      <c r="W4710" s="88"/>
    </row>
    <row r="4711" spans="2:23" s="0" customFormat="0" ht="15">
      <c r="B4711" s="87" t="s">
        <v>1</v>
      </c>
      <c r="C4711" s="88" t="s">
        <v>5259</v>
      </c>
      <c r="D4711" s="88">
        <v>4219959</v>
      </c>
      <c r="E4711" s="88" t="s">
        <v>61</v>
      </c>
      <c r="F4711" s="88">
        <v>0</v>
      </c>
      <c r="G4711" s="78">
        <f>MAX(H4711,I4711,J4711)</f>
        <v>0</v>
      </c>
      <c r="H4711" s="88"/>
      <c r="I4711" s="88"/>
      <c r="J4711" s="78">
        <f>MAX(K4711:Q4711)</f>
        <v>0</v>
      </c>
      <c r="K4711" s="88"/>
      <c r="L4711" s="88"/>
      <c r="M4711" s="88"/>
      <c r="N4711" s="88"/>
      <c r="O4711" s="88"/>
      <c r="P4711" s="88"/>
      <c r="Q4711" s="88"/>
      <c r="R4711" s="78">
        <f>MAX(S4711:W4711)</f>
        <v>1</v>
      </c>
      <c r="S4711" s="88"/>
      <c r="T4711" s="88"/>
      <c r="U4711" s="88">
        <v>1</v>
      </c>
      <c r="V4711" s="88"/>
      <c r="W4711" s="88"/>
    </row>
    <row r="4712" spans="2:23" s="0" customFormat="0" ht="15">
      <c r="B4712" s="87" t="s">
        <v>1</v>
      </c>
      <c r="C4712" s="88" t="s">
        <v>5259</v>
      </c>
      <c r="D4712" s="88" t="s">
        <v>3269</v>
      </c>
      <c r="E4712" s="88" t="s">
        <v>61</v>
      </c>
      <c r="F4712" s="88">
        <v>0</v>
      </c>
      <c r="G4712" s="78">
        <f>MAX(H4712,I4712,J4712)</f>
        <v>0</v>
      </c>
      <c r="H4712" s="88"/>
      <c r="I4712" s="88"/>
      <c r="J4712" s="78">
        <f>MAX(K4712:Q4712)</f>
        <v>0</v>
      </c>
      <c r="K4712" s="88"/>
      <c r="L4712" s="88"/>
      <c r="M4712" s="88"/>
      <c r="N4712" s="88"/>
      <c r="O4712" s="88"/>
      <c r="P4712" s="88"/>
      <c r="Q4712" s="88"/>
      <c r="R4712" s="78">
        <f>MAX(S4712:W4712)</f>
        <v>1</v>
      </c>
      <c r="S4712" s="88"/>
      <c r="T4712" s="88"/>
      <c r="U4712" s="88"/>
      <c r="V4712" s="88">
        <v>1</v>
      </c>
      <c r="W4712" s="88"/>
    </row>
    <row r="4713" spans="2:23" s="0" customFormat="0" ht="15">
      <c r="B4713" s="87" t="s">
        <v>1</v>
      </c>
      <c r="C4713" s="88" t="s">
        <v>5259</v>
      </c>
      <c r="D4713" s="88">
        <v>15637323</v>
      </c>
      <c r="E4713" s="88" t="s">
        <v>61</v>
      </c>
      <c r="F4713" s="88">
        <v>0</v>
      </c>
      <c r="G4713" s="78">
        <f>MAX(H4713,I4713,J4713)</f>
        <v>1</v>
      </c>
      <c r="H4713" s="88"/>
      <c r="I4713" s="88"/>
      <c r="J4713" s="78">
        <f>MAX(K4713:Q4713)</f>
        <v>1</v>
      </c>
      <c r="K4713" s="88">
        <v>1</v>
      </c>
      <c r="L4713" s="88"/>
      <c r="M4713" s="88"/>
      <c r="N4713" s="88"/>
      <c r="O4713" s="88"/>
      <c r="P4713" s="88"/>
      <c r="Q4713" s="88"/>
      <c r="R4713" s="78">
        <f>MAX(S4713:W4713)</f>
        <v>0</v>
      </c>
      <c r="S4713" s="88"/>
      <c r="T4713" s="88"/>
      <c r="U4713" s="88"/>
      <c r="V4713" s="88"/>
      <c r="W4713" s="88"/>
    </row>
    <row r="4714" spans="2:23" s="0" customFormat="0" ht="15">
      <c r="B4714" s="87" t="s">
        <v>1</v>
      </c>
      <c r="C4714" s="88" t="s">
        <v>5259</v>
      </c>
      <c r="D4714" s="88">
        <v>21740949</v>
      </c>
      <c r="E4714" s="88" t="s">
        <v>61</v>
      </c>
      <c r="F4714" s="88">
        <v>0</v>
      </c>
      <c r="G4714" s="78">
        <f>MAX(H4714,I4714,J4714)</f>
        <v>1</v>
      </c>
      <c r="H4714" s="88"/>
      <c r="I4714" s="88"/>
      <c r="J4714" s="78">
        <f>MAX(K4714:Q4714)</f>
        <v>1</v>
      </c>
      <c r="K4714" s="88">
        <v>1</v>
      </c>
      <c r="L4714" s="88"/>
      <c r="M4714" s="88"/>
      <c r="N4714" s="88"/>
      <c r="O4714" s="88"/>
      <c r="P4714" s="88"/>
      <c r="Q4714" s="88"/>
      <c r="R4714" s="78">
        <f>MAX(S4714:W4714)</f>
        <v>0</v>
      </c>
      <c r="S4714" s="88"/>
      <c r="T4714" s="88"/>
      <c r="U4714" s="88"/>
      <c r="V4714" s="88"/>
      <c r="W4714" s="88"/>
    </row>
    <row r="4715" spans="2:23" s="0" customFormat="0" ht="15">
      <c r="B4715" s="87" t="s">
        <v>1</v>
      </c>
      <c r="C4715" s="88" t="s">
        <v>5259</v>
      </c>
      <c r="D4715" s="88">
        <v>21742335</v>
      </c>
      <c r="E4715" s="88" t="s">
        <v>61</v>
      </c>
      <c r="F4715" s="88">
        <v>0</v>
      </c>
      <c r="G4715" s="78">
        <f>MAX(H4715,I4715,J4715)</f>
        <v>1</v>
      </c>
      <c r="H4715" s="88"/>
      <c r="I4715" s="88"/>
      <c r="J4715" s="78">
        <f>MAX(K4715:Q4715)</f>
        <v>1</v>
      </c>
      <c r="K4715" s="88">
        <v>1</v>
      </c>
      <c r="L4715" s="88"/>
      <c r="M4715" s="88"/>
      <c r="N4715" s="88"/>
      <c r="O4715" s="88"/>
      <c r="P4715" s="88"/>
      <c r="Q4715" s="88"/>
      <c r="R4715" s="78">
        <f>MAX(S4715:W4715)</f>
        <v>0</v>
      </c>
      <c r="S4715" s="88"/>
      <c r="T4715" s="88"/>
      <c r="U4715" s="88"/>
      <c r="V4715" s="88"/>
      <c r="W4715" s="88"/>
    </row>
    <row r="4716" spans="2:23" s="0" customFormat="0" ht="15">
      <c r="B4716" s="87" t="s">
        <v>1</v>
      </c>
      <c r="C4716" s="88" t="s">
        <v>5259</v>
      </c>
      <c r="D4716" s="88">
        <v>21917533</v>
      </c>
      <c r="E4716" s="88" t="s">
        <v>61</v>
      </c>
      <c r="F4716" s="88">
        <v>0</v>
      </c>
      <c r="G4716" s="78">
        <f>MAX(H4716,I4716,J4716)</f>
        <v>1</v>
      </c>
      <c r="H4716" s="88"/>
      <c r="I4716" s="88"/>
      <c r="J4716" s="78">
        <f>MAX(K4716:Q4716)</f>
        <v>1</v>
      </c>
      <c r="K4716" s="88">
        <v>1</v>
      </c>
      <c r="L4716" s="88"/>
      <c r="M4716" s="88"/>
      <c r="N4716" s="88"/>
      <c r="O4716" s="88"/>
      <c r="P4716" s="88"/>
      <c r="Q4716" s="88"/>
      <c r="R4716" s="78">
        <f>MAX(S4716:W4716)</f>
        <v>0</v>
      </c>
      <c r="S4716" s="88"/>
      <c r="T4716" s="88"/>
      <c r="U4716" s="88"/>
      <c r="V4716" s="88"/>
      <c r="W4716" s="88"/>
    </row>
    <row r="4717" spans="2:23" s="0" customFormat="0" ht="15">
      <c r="B4717" s="87" t="s">
        <v>1</v>
      </c>
      <c r="C4717" s="88" t="s">
        <v>5259</v>
      </c>
      <c r="D4717" s="88">
        <v>21227556</v>
      </c>
      <c r="E4717" s="88" t="s">
        <v>61</v>
      </c>
      <c r="F4717" s="88">
        <v>0</v>
      </c>
      <c r="G4717" s="78">
        <f>MAX(H4717,I4717,J4717)</f>
        <v>1</v>
      </c>
      <c r="H4717" s="88"/>
      <c r="I4717" s="88"/>
      <c r="J4717" s="78">
        <f>MAX(K4717:Q4717)</f>
        <v>1</v>
      </c>
      <c r="K4717" s="88">
        <v>1</v>
      </c>
      <c r="L4717" s="88"/>
      <c r="M4717" s="88"/>
      <c r="N4717" s="88"/>
      <c r="O4717" s="88"/>
      <c r="P4717" s="88"/>
      <c r="Q4717" s="88"/>
      <c r="R4717" s="78">
        <f>MAX(S4717:W4717)</f>
        <v>0</v>
      </c>
      <c r="S4717" s="88"/>
      <c r="T4717" s="88"/>
      <c r="U4717" s="88"/>
      <c r="V4717" s="88"/>
      <c r="W4717" s="88"/>
    </row>
    <row r="4718" spans="2:23" s="0" customFormat="0" ht="15">
      <c r="B4718" s="87" t="s">
        <v>1</v>
      </c>
      <c r="C4718" s="88" t="s">
        <v>5259</v>
      </c>
      <c r="D4718" s="88">
        <v>18714525</v>
      </c>
      <c r="E4718" s="88" t="s">
        <v>61</v>
      </c>
      <c r="F4718" s="88">
        <v>0</v>
      </c>
      <c r="G4718" s="78">
        <f>MAX(H4718,I4718,J4718)</f>
        <v>1</v>
      </c>
      <c r="H4718" s="88"/>
      <c r="I4718" s="88"/>
      <c r="J4718" s="78">
        <f>MAX(K4718:Q4718)</f>
        <v>1</v>
      </c>
      <c r="K4718" s="88">
        <v>1</v>
      </c>
      <c r="L4718" s="88"/>
      <c r="M4718" s="88"/>
      <c r="N4718" s="88"/>
      <c r="O4718" s="88"/>
      <c r="P4718" s="88"/>
      <c r="Q4718" s="88"/>
      <c r="R4718" s="78">
        <f>MAX(S4718:W4718)</f>
        <v>0</v>
      </c>
      <c r="S4718" s="88"/>
      <c r="T4718" s="88"/>
      <c r="U4718" s="88"/>
      <c r="V4718" s="88"/>
      <c r="W4718" s="88"/>
    </row>
    <row r="4719" spans="2:23" s="0" customFormat="0" ht="15">
      <c r="B4719" s="87" t="s">
        <v>1</v>
      </c>
      <c r="C4719" s="88" t="s">
        <v>5259</v>
      </c>
      <c r="D4719" s="88" t="s">
        <v>1903</v>
      </c>
      <c r="E4719" s="88" t="s">
        <v>61</v>
      </c>
      <c r="F4719" s="88">
        <v>0</v>
      </c>
      <c r="G4719" s="78">
        <f>MAX(H4719,I4719,J4719)</f>
        <v>1</v>
      </c>
      <c r="H4719" s="88"/>
      <c r="I4719" s="88"/>
      <c r="J4719" s="78">
        <f>MAX(K4719:Q4719)</f>
        <v>1</v>
      </c>
      <c r="K4719" s="88">
        <v>1</v>
      </c>
      <c r="L4719" s="88"/>
      <c r="M4719" s="88"/>
      <c r="N4719" s="88"/>
      <c r="O4719" s="88"/>
      <c r="P4719" s="88"/>
      <c r="Q4719" s="88"/>
      <c r="R4719" s="78">
        <f>MAX(S4719:W4719)</f>
        <v>0</v>
      </c>
      <c r="S4719" s="88"/>
      <c r="T4719" s="88"/>
      <c r="U4719" s="88"/>
      <c r="V4719" s="88"/>
      <c r="W4719" s="88"/>
    </row>
    <row r="4720" spans="2:23" s="0" customFormat="0" ht="15">
      <c r="B4720" s="87" t="s">
        <v>1</v>
      </c>
      <c r="C4720" s="88" t="s">
        <v>5259</v>
      </c>
      <c r="D4720" s="88" t="s">
        <v>622</v>
      </c>
      <c r="E4720" s="88" t="s">
        <v>61</v>
      </c>
      <c r="F4720" s="88">
        <v>0</v>
      </c>
      <c r="G4720" s="78">
        <f>MAX(H4720,I4720,J4720)</f>
        <v>1</v>
      </c>
      <c r="H4720" s="88"/>
      <c r="I4720" s="88"/>
      <c r="J4720" s="78">
        <f>MAX(K4720:Q4720)</f>
        <v>1</v>
      </c>
      <c r="K4720" s="88">
        <v>1</v>
      </c>
      <c r="L4720" s="88"/>
      <c r="M4720" s="88"/>
      <c r="N4720" s="88"/>
      <c r="O4720" s="88"/>
      <c r="P4720" s="88"/>
      <c r="Q4720" s="88"/>
      <c r="R4720" s="78">
        <f>MAX(S4720:W4720)</f>
        <v>0</v>
      </c>
      <c r="S4720" s="88"/>
      <c r="T4720" s="88"/>
      <c r="U4720" s="88"/>
      <c r="V4720" s="88"/>
      <c r="W4720" s="88"/>
    </row>
    <row r="4721" spans="2:23" s="0" customFormat="0" ht="15">
      <c r="B4721" s="87" t="s">
        <v>1</v>
      </c>
      <c r="C4721" s="88" t="s">
        <v>5259</v>
      </c>
      <c r="D4721" s="88" t="s">
        <v>4705</v>
      </c>
      <c r="E4721" s="88" t="s">
        <v>61</v>
      </c>
      <c r="F4721" s="88">
        <v>0</v>
      </c>
      <c r="G4721" s="78">
        <f>MAX(H4721,I4721,J4721)</f>
        <v>0</v>
      </c>
      <c r="H4721" s="88"/>
      <c r="I4721" s="88"/>
      <c r="J4721" s="78">
        <f>MAX(K4721:Q4721)</f>
        <v>0</v>
      </c>
      <c r="K4721" s="88"/>
      <c r="L4721" s="88"/>
      <c r="M4721" s="88"/>
      <c r="N4721" s="88"/>
      <c r="O4721" s="88"/>
      <c r="P4721" s="88"/>
      <c r="Q4721" s="88"/>
      <c r="R4721" s="78">
        <f>MAX(S4721:W4721)</f>
        <v>1</v>
      </c>
      <c r="S4721" s="88"/>
      <c r="T4721" s="88"/>
      <c r="U4721" s="88">
        <v>1</v>
      </c>
      <c r="V4721" s="88"/>
      <c r="W4721" s="88"/>
    </row>
    <row r="4722" spans="2:23" s="0" customFormat="0" ht="15">
      <c r="B4722" s="87" t="s">
        <v>1</v>
      </c>
      <c r="C4722" s="88" t="s">
        <v>5259</v>
      </c>
      <c r="D4722" s="88" t="s">
        <v>2353</v>
      </c>
      <c r="E4722" s="88" t="s">
        <v>61</v>
      </c>
      <c r="F4722" s="88">
        <v>0</v>
      </c>
      <c r="G4722" s="78">
        <f>MAX(H4722,I4722,J4722)</f>
        <v>1</v>
      </c>
      <c r="H4722" s="88"/>
      <c r="I4722" s="88"/>
      <c r="J4722" s="78">
        <f>MAX(K4722:Q4722)</f>
        <v>1</v>
      </c>
      <c r="K4722" s="88">
        <v>1</v>
      </c>
      <c r="L4722" s="88"/>
      <c r="M4722" s="88"/>
      <c r="N4722" s="88"/>
      <c r="O4722" s="88"/>
      <c r="P4722" s="88"/>
      <c r="Q4722" s="88"/>
      <c r="R4722" s="78">
        <f>MAX(S4722:W4722)</f>
        <v>0</v>
      </c>
      <c r="S4722" s="88"/>
      <c r="T4722" s="88"/>
      <c r="U4722" s="88"/>
      <c r="V4722" s="88"/>
      <c r="W4722" s="88"/>
    </row>
    <row r="4723" spans="2:23" s="0" customFormat="0" ht="15">
      <c r="B4723" s="87" t="s">
        <v>1</v>
      </c>
      <c r="C4723" s="88" t="s">
        <v>5259</v>
      </c>
      <c r="D4723" s="88">
        <v>16080750</v>
      </c>
      <c r="E4723" s="88" t="s">
        <v>61</v>
      </c>
      <c r="F4723" s="88">
        <v>0</v>
      </c>
      <c r="G4723" s="78">
        <f>MAX(H4723,I4723,J4723)</f>
        <v>1</v>
      </c>
      <c r="H4723" s="88"/>
      <c r="I4723" s="88"/>
      <c r="J4723" s="78">
        <f>MAX(K4723:Q4723)</f>
        <v>1</v>
      </c>
      <c r="K4723" s="88">
        <v>1</v>
      </c>
      <c r="L4723" s="88"/>
      <c r="M4723" s="88"/>
      <c r="N4723" s="88"/>
      <c r="O4723" s="88"/>
      <c r="P4723" s="88"/>
      <c r="Q4723" s="88"/>
      <c r="R4723" s="78">
        <f>MAX(S4723:W4723)</f>
        <v>0</v>
      </c>
      <c r="S4723" s="88"/>
      <c r="T4723" s="88"/>
      <c r="U4723" s="88"/>
      <c r="V4723" s="88"/>
      <c r="W4723" s="88"/>
    </row>
    <row r="4724" spans="2:23" s="0" customFormat="0" ht="15">
      <c r="B4724" s="87" t="s">
        <v>1</v>
      </c>
      <c r="C4724" s="88" t="s">
        <v>5259</v>
      </c>
      <c r="D4724" s="88" t="s">
        <v>3698</v>
      </c>
      <c r="E4724" s="88" t="s">
        <v>61</v>
      </c>
      <c r="F4724" s="88">
        <v>0</v>
      </c>
      <c r="G4724" s="78">
        <f>MAX(H4724,I4724,J4724)</f>
        <v>0</v>
      </c>
      <c r="H4724" s="88"/>
      <c r="I4724" s="88"/>
      <c r="J4724" s="78">
        <f>MAX(K4724:Q4724)</f>
        <v>0</v>
      </c>
      <c r="K4724" s="88"/>
      <c r="L4724" s="88"/>
      <c r="M4724" s="88"/>
      <c r="N4724" s="88"/>
      <c r="O4724" s="88"/>
      <c r="P4724" s="88"/>
      <c r="Q4724" s="88"/>
      <c r="R4724" s="78">
        <f>MAX(S4724:W4724)</f>
        <v>1</v>
      </c>
      <c r="S4724" s="88"/>
      <c r="T4724" s="88"/>
      <c r="U4724" s="88">
        <v>1</v>
      </c>
      <c r="V4724" s="88"/>
      <c r="W4724" s="88"/>
    </row>
    <row r="4725" spans="2:23" s="0" customFormat="0" ht="15">
      <c r="B4725" s="87" t="s">
        <v>1</v>
      </c>
      <c r="C4725" s="88" t="s">
        <v>5259</v>
      </c>
      <c r="D4725" s="88" t="s">
        <v>2672</v>
      </c>
      <c r="E4725" s="88" t="s">
        <v>61</v>
      </c>
      <c r="F4725" s="88">
        <v>0</v>
      </c>
      <c r="G4725" s="78">
        <f>MAX(H4725,I4725,J4725)</f>
        <v>1</v>
      </c>
      <c r="H4725" s="88"/>
      <c r="I4725" s="88"/>
      <c r="J4725" s="78">
        <f>MAX(K4725:Q4725)</f>
        <v>1</v>
      </c>
      <c r="K4725" s="88">
        <v>1</v>
      </c>
      <c r="L4725" s="88"/>
      <c r="M4725" s="88"/>
      <c r="N4725" s="88"/>
      <c r="O4725" s="88"/>
      <c r="P4725" s="88"/>
      <c r="Q4725" s="88"/>
      <c r="R4725" s="78">
        <f>MAX(S4725:W4725)</f>
        <v>0</v>
      </c>
      <c r="S4725" s="88"/>
      <c r="T4725" s="88"/>
      <c r="U4725" s="88"/>
      <c r="V4725" s="88"/>
      <c r="W4725" s="88"/>
    </row>
    <row r="4726" spans="2:23" s="0" customFormat="0" ht="15">
      <c r="B4726" s="87" t="s">
        <v>1</v>
      </c>
      <c r="C4726" s="88" t="s">
        <v>5259</v>
      </c>
      <c r="D4726" s="88">
        <v>19216269</v>
      </c>
      <c r="E4726" s="88" t="s">
        <v>61</v>
      </c>
      <c r="F4726" s="88">
        <v>0</v>
      </c>
      <c r="G4726" s="78">
        <f>MAX(H4726,I4726,J4726)</f>
        <v>0</v>
      </c>
      <c r="H4726" s="88"/>
      <c r="I4726" s="88"/>
      <c r="J4726" s="78">
        <f>MAX(K4726:Q4726)</f>
        <v>0</v>
      </c>
      <c r="K4726" s="88"/>
      <c r="L4726" s="88"/>
      <c r="M4726" s="88"/>
      <c r="N4726" s="88"/>
      <c r="O4726" s="88"/>
      <c r="P4726" s="88"/>
      <c r="Q4726" s="88"/>
      <c r="R4726" s="78">
        <f>MAX(S4726:W4726)</f>
        <v>1</v>
      </c>
      <c r="S4726" s="88"/>
      <c r="T4726" s="88"/>
      <c r="U4726" s="88">
        <v>1</v>
      </c>
      <c r="V4726" s="88"/>
      <c r="W4726" s="88"/>
    </row>
    <row r="4727" spans="2:23" s="0" customFormat="0" ht="15">
      <c r="B4727" s="87" t="s">
        <v>1</v>
      </c>
      <c r="C4727" s="88" t="s">
        <v>5259</v>
      </c>
      <c r="D4727" s="88" t="s">
        <v>2674</v>
      </c>
      <c r="E4727" s="88" t="s">
        <v>61</v>
      </c>
      <c r="F4727" s="88">
        <v>0</v>
      </c>
      <c r="G4727" s="78">
        <f>MAX(H4727,I4727,J4727)</f>
        <v>1</v>
      </c>
      <c r="H4727" s="88"/>
      <c r="I4727" s="88"/>
      <c r="J4727" s="78">
        <f>MAX(K4727:Q4727)</f>
        <v>1</v>
      </c>
      <c r="K4727" s="88">
        <v>1</v>
      </c>
      <c r="L4727" s="88"/>
      <c r="M4727" s="88"/>
      <c r="N4727" s="88"/>
      <c r="O4727" s="88"/>
      <c r="P4727" s="88"/>
      <c r="Q4727" s="88"/>
      <c r="R4727" s="78">
        <f>MAX(S4727:W4727)</f>
        <v>0</v>
      </c>
      <c r="S4727" s="88"/>
      <c r="T4727" s="88"/>
      <c r="U4727" s="88"/>
      <c r="V4727" s="88"/>
      <c r="W4727" s="88"/>
    </row>
    <row r="4728" spans="2:23" s="0" customFormat="0" ht="15">
      <c r="B4728" s="87" t="s">
        <v>1</v>
      </c>
      <c r="C4728" s="88" t="s">
        <v>5259</v>
      </c>
      <c r="D4728" s="88">
        <v>22554461</v>
      </c>
      <c r="E4728" s="88" t="s">
        <v>61</v>
      </c>
      <c r="F4728" s="88">
        <v>0</v>
      </c>
      <c r="G4728" s="78">
        <f>MAX(H4728,I4728,J4728)</f>
        <v>0</v>
      </c>
      <c r="H4728" s="88"/>
      <c r="I4728" s="88"/>
      <c r="J4728" s="78">
        <f>MAX(K4728:Q4728)</f>
        <v>0</v>
      </c>
      <c r="K4728" s="88"/>
      <c r="L4728" s="88"/>
      <c r="M4728" s="88"/>
      <c r="N4728" s="88"/>
      <c r="O4728" s="88"/>
      <c r="P4728" s="88"/>
      <c r="Q4728" s="88"/>
      <c r="R4728" s="78">
        <f>MAX(S4728:W4728)</f>
        <v>1</v>
      </c>
      <c r="S4728" s="88"/>
      <c r="T4728" s="88"/>
      <c r="U4728" s="88">
        <v>1</v>
      </c>
      <c r="V4728" s="88"/>
      <c r="W4728" s="88"/>
    </row>
    <row r="4729" spans="2:23" s="0" customFormat="0" ht="15">
      <c r="B4729" s="87" t="s">
        <v>1</v>
      </c>
      <c r="C4729" s="88" t="s">
        <v>5259</v>
      </c>
      <c r="D4729" s="88" t="s">
        <v>3357</v>
      </c>
      <c r="E4729" s="88" t="s">
        <v>61</v>
      </c>
      <c r="F4729" s="88">
        <v>0</v>
      </c>
      <c r="G4729" s="78">
        <f>MAX(H4729,I4729,J4729)</f>
        <v>0</v>
      </c>
      <c r="H4729" s="88"/>
      <c r="I4729" s="88"/>
      <c r="J4729" s="78">
        <f>MAX(K4729:Q4729)</f>
        <v>0</v>
      </c>
      <c r="K4729" s="88"/>
      <c r="L4729" s="88"/>
      <c r="M4729" s="88"/>
      <c r="N4729" s="88"/>
      <c r="O4729" s="88"/>
      <c r="P4729" s="88"/>
      <c r="Q4729" s="88"/>
      <c r="R4729" s="78">
        <f>MAX(S4729:W4729)</f>
        <v>1</v>
      </c>
      <c r="S4729" s="88"/>
      <c r="T4729" s="88"/>
      <c r="U4729" s="88">
        <v>1</v>
      </c>
      <c r="V4729" s="88"/>
      <c r="W4729" s="88"/>
    </row>
    <row r="4730" spans="2:23" s="0" customFormat="0" ht="15">
      <c r="B4730" s="87" t="s">
        <v>1</v>
      </c>
      <c r="C4730" s="88" t="s">
        <v>5259</v>
      </c>
      <c r="D4730" s="88">
        <v>18764711</v>
      </c>
      <c r="E4730" s="88" t="s">
        <v>61</v>
      </c>
      <c r="F4730" s="88">
        <v>0</v>
      </c>
      <c r="G4730" s="78">
        <f>MAX(H4730,I4730,J4730)</f>
        <v>1</v>
      </c>
      <c r="H4730" s="88"/>
      <c r="I4730" s="88"/>
      <c r="J4730" s="78">
        <f>MAX(K4730:Q4730)</f>
        <v>1</v>
      </c>
      <c r="K4730" s="88">
        <v>1</v>
      </c>
      <c r="L4730" s="88"/>
      <c r="M4730" s="88"/>
      <c r="N4730" s="88"/>
      <c r="O4730" s="88"/>
      <c r="P4730" s="88"/>
      <c r="Q4730" s="88"/>
      <c r="R4730" s="78">
        <f>MAX(S4730:W4730)</f>
        <v>0</v>
      </c>
      <c r="S4730" s="88"/>
      <c r="T4730" s="88"/>
      <c r="U4730" s="88"/>
      <c r="V4730" s="88"/>
      <c r="W4730" s="88"/>
    </row>
    <row r="4731" spans="2:23" s="0" customFormat="0" ht="15">
      <c r="B4731" s="87" t="s">
        <v>1</v>
      </c>
      <c r="C4731" s="88" t="s">
        <v>5259</v>
      </c>
      <c r="D4731" s="88" t="s">
        <v>4973</v>
      </c>
      <c r="E4731" s="88" t="s">
        <v>61</v>
      </c>
      <c r="F4731" s="88">
        <v>0</v>
      </c>
      <c r="G4731" s="78">
        <f>MAX(H4731,I4731,J4731)</f>
        <v>0</v>
      </c>
      <c r="H4731" s="88"/>
      <c r="I4731" s="88"/>
      <c r="J4731" s="78">
        <f>MAX(K4731:Q4731)</f>
        <v>0</v>
      </c>
      <c r="K4731" s="88"/>
      <c r="L4731" s="88"/>
      <c r="M4731" s="88"/>
      <c r="N4731" s="88"/>
      <c r="O4731" s="88"/>
      <c r="P4731" s="88"/>
      <c r="Q4731" s="88"/>
      <c r="R4731" s="78">
        <f>MAX(S4731:W4731)</f>
        <v>1</v>
      </c>
      <c r="S4731" s="88"/>
      <c r="T4731" s="88"/>
      <c r="U4731" s="88">
        <v>1</v>
      </c>
      <c r="V4731" s="88"/>
      <c r="W4731" s="88"/>
    </row>
    <row r="4732" spans="2:23" s="0" customFormat="0" ht="15">
      <c r="B4732" s="87" t="s">
        <v>1</v>
      </c>
      <c r="C4732" s="88" t="s">
        <v>5259</v>
      </c>
      <c r="D4732" s="88">
        <v>13136867</v>
      </c>
      <c r="E4732" s="88" t="s">
        <v>61</v>
      </c>
      <c r="F4732" s="88">
        <v>0</v>
      </c>
      <c r="G4732" s="78">
        <f>MAX(H4732,I4732,J4732)</f>
        <v>1</v>
      </c>
      <c r="H4732" s="88"/>
      <c r="I4732" s="88"/>
      <c r="J4732" s="78">
        <f>MAX(K4732:Q4732)</f>
        <v>1</v>
      </c>
      <c r="K4732" s="88">
        <v>1</v>
      </c>
      <c r="L4732" s="88"/>
      <c r="M4732" s="88"/>
      <c r="N4732" s="88"/>
      <c r="O4732" s="88"/>
      <c r="P4732" s="88"/>
      <c r="Q4732" s="88"/>
      <c r="R4732" s="78">
        <f>MAX(S4732:W4732)</f>
        <v>0</v>
      </c>
      <c r="S4732" s="88"/>
      <c r="T4732" s="88"/>
      <c r="U4732" s="88"/>
      <c r="V4732" s="88"/>
      <c r="W4732" s="88"/>
    </row>
    <row r="4733" spans="2:23" s="0" customFormat="0" ht="15">
      <c r="B4733" s="87" t="s">
        <v>1</v>
      </c>
      <c r="C4733" s="88" t="s">
        <v>5259</v>
      </c>
      <c r="D4733" s="88" t="s">
        <v>5023</v>
      </c>
      <c r="E4733" s="88" t="s">
        <v>61</v>
      </c>
      <c r="F4733" s="88">
        <v>0</v>
      </c>
      <c r="G4733" s="78">
        <f>MAX(H4733,I4733,J4733)</f>
        <v>0</v>
      </c>
      <c r="H4733" s="88"/>
      <c r="I4733" s="88"/>
      <c r="J4733" s="78">
        <f>MAX(K4733:Q4733)</f>
        <v>0</v>
      </c>
      <c r="K4733" s="88"/>
      <c r="L4733" s="88"/>
      <c r="M4733" s="88"/>
      <c r="N4733" s="88"/>
      <c r="O4733" s="88"/>
      <c r="P4733" s="88"/>
      <c r="Q4733" s="88"/>
      <c r="R4733" s="78">
        <f>MAX(S4733:W4733)</f>
        <v>1</v>
      </c>
      <c r="S4733" s="88"/>
      <c r="T4733" s="88"/>
      <c r="U4733" s="88">
        <v>1</v>
      </c>
      <c r="V4733" s="88"/>
      <c r="W4733" s="88"/>
    </row>
    <row r="4734" spans="2:23" s="0" customFormat="0" ht="15">
      <c r="B4734" s="87" t="s">
        <v>1</v>
      </c>
      <c r="C4734" s="88" t="s">
        <v>5259</v>
      </c>
      <c r="D4734" s="88" t="s">
        <v>2541</v>
      </c>
      <c r="E4734" s="88" t="s">
        <v>61</v>
      </c>
      <c r="F4734" s="88">
        <v>0</v>
      </c>
      <c r="G4734" s="78">
        <f>MAX(H4734,I4734,J4734)</f>
        <v>1</v>
      </c>
      <c r="H4734" s="88"/>
      <c r="I4734" s="88"/>
      <c r="J4734" s="78">
        <f>MAX(K4734:Q4734)</f>
        <v>1</v>
      </c>
      <c r="K4734" s="88">
        <v>1</v>
      </c>
      <c r="L4734" s="88"/>
      <c r="M4734" s="88"/>
      <c r="N4734" s="88"/>
      <c r="O4734" s="88"/>
      <c r="P4734" s="88"/>
      <c r="Q4734" s="88"/>
      <c r="R4734" s="78">
        <f>MAX(S4734:W4734)</f>
        <v>0</v>
      </c>
      <c r="S4734" s="88"/>
      <c r="T4734" s="88"/>
      <c r="U4734" s="88"/>
      <c r="V4734" s="88"/>
      <c r="W4734" s="88"/>
    </row>
    <row r="4735" spans="2:23" s="0" customFormat="0" ht="15">
      <c r="B4735" s="87" t="s">
        <v>1</v>
      </c>
      <c r="C4735" s="88" t="s">
        <v>5259</v>
      </c>
      <c r="D4735" s="88">
        <v>21247047</v>
      </c>
      <c r="E4735" s="88" t="s">
        <v>61</v>
      </c>
      <c r="F4735" s="88">
        <v>0</v>
      </c>
      <c r="G4735" s="78">
        <f>MAX(H4735,I4735,J4735)</f>
        <v>1</v>
      </c>
      <c r="H4735" s="88"/>
      <c r="I4735" s="88"/>
      <c r="J4735" s="78">
        <f>MAX(K4735:Q4735)</f>
        <v>1</v>
      </c>
      <c r="K4735" s="88">
        <v>1</v>
      </c>
      <c r="L4735" s="88"/>
      <c r="M4735" s="88"/>
      <c r="N4735" s="88"/>
      <c r="O4735" s="88"/>
      <c r="P4735" s="88"/>
      <c r="Q4735" s="88"/>
      <c r="R4735" s="78">
        <f>MAX(S4735:W4735)</f>
        <v>0</v>
      </c>
      <c r="S4735" s="88"/>
      <c r="T4735" s="88"/>
      <c r="U4735" s="88"/>
      <c r="V4735" s="88"/>
      <c r="W4735" s="88"/>
    </row>
    <row r="4736" spans="2:23" s="0" customFormat="0" ht="15">
      <c r="B4736" s="87" t="s">
        <v>1</v>
      </c>
      <c r="C4736" s="88" t="s">
        <v>5259</v>
      </c>
      <c r="D4736" s="88" t="s">
        <v>4314</v>
      </c>
      <c r="E4736" s="88" t="s">
        <v>61</v>
      </c>
      <c r="F4736" s="88">
        <v>0</v>
      </c>
      <c r="G4736" s="78">
        <f>MAX(H4736,I4736,J4736)</f>
        <v>0</v>
      </c>
      <c r="H4736" s="88"/>
      <c r="I4736" s="88"/>
      <c r="J4736" s="78">
        <f>MAX(K4736:Q4736)</f>
        <v>0</v>
      </c>
      <c r="K4736" s="88"/>
      <c r="L4736" s="88"/>
      <c r="M4736" s="88"/>
      <c r="N4736" s="88"/>
      <c r="O4736" s="88"/>
      <c r="P4736" s="88"/>
      <c r="Q4736" s="88"/>
      <c r="R4736" s="78">
        <f>MAX(S4736:W4736)</f>
        <v>1</v>
      </c>
      <c r="S4736" s="88"/>
      <c r="T4736" s="88"/>
      <c r="U4736" s="88">
        <v>1</v>
      </c>
      <c r="V4736" s="88"/>
      <c r="W4736" s="88"/>
    </row>
    <row r="4737" spans="2:23" s="0" customFormat="0" ht="15">
      <c r="B4737" s="87" t="s">
        <v>1</v>
      </c>
      <c r="C4737" s="88" t="s">
        <v>5259</v>
      </c>
      <c r="D4737" s="88">
        <v>15456588</v>
      </c>
      <c r="E4737" s="88" t="s">
        <v>61</v>
      </c>
      <c r="F4737" s="88">
        <v>0</v>
      </c>
      <c r="G4737" s="78">
        <f>MAX(H4737,I4737,J4737)</f>
        <v>1</v>
      </c>
      <c r="H4737" s="88"/>
      <c r="I4737" s="88"/>
      <c r="J4737" s="78">
        <f>MAX(K4737:Q4737)</f>
        <v>1</v>
      </c>
      <c r="K4737" s="88">
        <v>1</v>
      </c>
      <c r="L4737" s="88"/>
      <c r="M4737" s="88"/>
      <c r="N4737" s="88"/>
      <c r="O4737" s="88"/>
      <c r="P4737" s="88"/>
      <c r="Q4737" s="88"/>
      <c r="R4737" s="78">
        <f>MAX(S4737:W4737)</f>
        <v>0</v>
      </c>
      <c r="S4737" s="88"/>
      <c r="T4737" s="88"/>
      <c r="U4737" s="88"/>
      <c r="V4737" s="88"/>
      <c r="W4737" s="88"/>
    </row>
    <row r="4738" spans="2:23" s="0" customFormat="0" ht="15">
      <c r="B4738" s="87" t="s">
        <v>1</v>
      </c>
      <c r="C4738" s="88" t="s">
        <v>5259</v>
      </c>
      <c r="D4738" s="88">
        <v>2983248</v>
      </c>
      <c r="E4738" s="88" t="s">
        <v>61</v>
      </c>
      <c r="F4738" s="88">
        <v>0</v>
      </c>
      <c r="G4738" s="78">
        <f>MAX(H4738,I4738,J4738)</f>
        <v>1</v>
      </c>
      <c r="H4738" s="88"/>
      <c r="I4738" s="88"/>
      <c r="J4738" s="78">
        <f>MAX(K4738:Q4738)</f>
        <v>1</v>
      </c>
      <c r="K4738" s="88"/>
      <c r="L4738" s="88"/>
      <c r="M4738" s="88">
        <v>1</v>
      </c>
      <c r="N4738" s="88"/>
      <c r="O4738" s="88"/>
      <c r="P4738" s="88"/>
      <c r="Q4738" s="88"/>
      <c r="R4738" s="78">
        <f>MAX(S4738:W4738)</f>
        <v>0</v>
      </c>
      <c r="S4738" s="88"/>
      <c r="T4738" s="88"/>
      <c r="U4738" s="88"/>
      <c r="V4738" s="88"/>
      <c r="W4738" s="88"/>
    </row>
    <row r="4739" spans="2:23" s="0" customFormat="0" ht="15">
      <c r="B4739" s="87" t="s">
        <v>1</v>
      </c>
      <c r="C4739" s="88" t="s">
        <v>5259</v>
      </c>
      <c r="D4739" s="88">
        <v>24432662</v>
      </c>
      <c r="E4739" s="88" t="s">
        <v>61</v>
      </c>
      <c r="F4739" s="88">
        <v>0</v>
      </c>
      <c r="G4739" s="78">
        <f>MAX(H4739,I4739,J4739)</f>
        <v>1</v>
      </c>
      <c r="H4739" s="88"/>
      <c r="I4739" s="88"/>
      <c r="J4739" s="78">
        <f>MAX(K4739:Q4739)</f>
        <v>1</v>
      </c>
      <c r="K4739" s="88">
        <v>1</v>
      </c>
      <c r="L4739" s="88"/>
      <c r="M4739" s="88"/>
      <c r="N4739" s="88"/>
      <c r="O4739" s="88"/>
      <c r="P4739" s="88"/>
      <c r="Q4739" s="88"/>
      <c r="R4739" s="78">
        <f>MAX(S4739:W4739)</f>
        <v>0</v>
      </c>
      <c r="S4739" s="88"/>
      <c r="T4739" s="88"/>
      <c r="U4739" s="88"/>
      <c r="V4739" s="88"/>
      <c r="W4739" s="88"/>
    </row>
    <row r="4740" spans="2:23" s="0" customFormat="0" ht="15">
      <c r="B4740" s="87" t="s">
        <v>1</v>
      </c>
      <c r="C4740" s="88" t="s">
        <v>5259</v>
      </c>
      <c r="D4740" s="88">
        <v>19485230</v>
      </c>
      <c r="E4740" s="88" t="s">
        <v>61</v>
      </c>
      <c r="F4740" s="88">
        <v>0</v>
      </c>
      <c r="G4740" s="78">
        <f>MAX(H4740,I4740,J4740)</f>
        <v>1</v>
      </c>
      <c r="H4740" s="88"/>
      <c r="I4740" s="88"/>
      <c r="J4740" s="78">
        <f>MAX(K4740:Q4740)</f>
        <v>1</v>
      </c>
      <c r="K4740" s="88">
        <v>1</v>
      </c>
      <c r="L4740" s="88"/>
      <c r="M4740" s="88"/>
      <c r="N4740" s="88"/>
      <c r="O4740" s="88"/>
      <c r="P4740" s="88"/>
      <c r="Q4740" s="88"/>
      <c r="R4740" s="78">
        <f>MAX(S4740:W4740)</f>
        <v>0</v>
      </c>
      <c r="S4740" s="88"/>
      <c r="T4740" s="88"/>
      <c r="U4740" s="88"/>
      <c r="V4740" s="88"/>
      <c r="W4740" s="88"/>
    </row>
    <row r="4741" spans="2:23" s="0" customFormat="0" ht="15">
      <c r="B4741" s="87" t="s">
        <v>1</v>
      </c>
      <c r="C4741" s="88" t="s">
        <v>5259</v>
      </c>
      <c r="D4741" s="88">
        <v>8675037</v>
      </c>
      <c r="E4741" s="88" t="s">
        <v>61</v>
      </c>
      <c r="F4741" s="88">
        <v>0</v>
      </c>
      <c r="G4741" s="78">
        <f>MAX(H4741,I4741,J4741)</f>
        <v>1</v>
      </c>
      <c r="H4741" s="88"/>
      <c r="I4741" s="88"/>
      <c r="J4741" s="78">
        <f>MAX(K4741:Q4741)</f>
        <v>1</v>
      </c>
      <c r="K4741" s="88">
        <v>1</v>
      </c>
      <c r="L4741" s="88"/>
      <c r="M4741" s="88"/>
      <c r="N4741" s="88"/>
      <c r="O4741" s="88"/>
      <c r="P4741" s="88"/>
      <c r="Q4741" s="88"/>
      <c r="R4741" s="78">
        <f>MAX(S4741:W4741)</f>
        <v>0</v>
      </c>
      <c r="S4741" s="88"/>
      <c r="T4741" s="88"/>
      <c r="U4741" s="88"/>
      <c r="V4741" s="88"/>
      <c r="W4741" s="88"/>
    </row>
    <row r="4742" spans="2:23" s="0" customFormat="0" ht="15">
      <c r="B4742" s="87" t="s">
        <v>1</v>
      </c>
      <c r="C4742" s="88" t="s">
        <v>5259</v>
      </c>
      <c r="D4742" s="88">
        <v>22033217</v>
      </c>
      <c r="E4742" s="88" t="s">
        <v>61</v>
      </c>
      <c r="F4742" s="88">
        <v>0</v>
      </c>
      <c r="G4742" s="78">
        <f>MAX(H4742,I4742,J4742)</f>
        <v>1</v>
      </c>
      <c r="H4742" s="88"/>
      <c r="I4742" s="88"/>
      <c r="J4742" s="78">
        <f>MAX(K4742:Q4742)</f>
        <v>1</v>
      </c>
      <c r="K4742" s="88">
        <v>1</v>
      </c>
      <c r="L4742" s="88"/>
      <c r="M4742" s="88"/>
      <c r="N4742" s="88"/>
      <c r="O4742" s="88"/>
      <c r="P4742" s="88"/>
      <c r="Q4742" s="88"/>
      <c r="R4742" s="78">
        <f>MAX(S4742:W4742)</f>
        <v>0</v>
      </c>
      <c r="S4742" s="88"/>
      <c r="T4742" s="88"/>
      <c r="U4742" s="88"/>
      <c r="V4742" s="88"/>
      <c r="W4742" s="88"/>
    </row>
    <row r="4743" spans="2:23" s="0" customFormat="0" ht="15">
      <c r="B4743" s="87" t="s">
        <v>1</v>
      </c>
      <c r="C4743" s="88" t="s">
        <v>5259</v>
      </c>
      <c r="D4743" s="88" t="s">
        <v>5025</v>
      </c>
      <c r="E4743" s="88" t="s">
        <v>61</v>
      </c>
      <c r="F4743" s="88">
        <v>0</v>
      </c>
      <c r="G4743" s="78">
        <f>MAX(H4743,I4743,J4743)</f>
        <v>0</v>
      </c>
      <c r="H4743" s="88"/>
      <c r="I4743" s="88"/>
      <c r="J4743" s="78">
        <f>MAX(K4743:Q4743)</f>
        <v>0</v>
      </c>
      <c r="K4743" s="88"/>
      <c r="L4743" s="88"/>
      <c r="M4743" s="88"/>
      <c r="N4743" s="88"/>
      <c r="O4743" s="88"/>
      <c r="P4743" s="88"/>
      <c r="Q4743" s="88"/>
      <c r="R4743" s="78">
        <f>MAX(S4743:W4743)</f>
        <v>1</v>
      </c>
      <c r="S4743" s="88"/>
      <c r="T4743" s="88"/>
      <c r="U4743" s="88">
        <v>1</v>
      </c>
      <c r="V4743" s="88"/>
      <c r="W4743" s="88"/>
    </row>
    <row r="4744" spans="2:23" s="0" customFormat="0" ht="15">
      <c r="B4744" s="87" t="s">
        <v>1</v>
      </c>
      <c r="C4744" s="88" t="s">
        <v>5259</v>
      </c>
      <c r="D4744" s="88" t="s">
        <v>723</v>
      </c>
      <c r="E4744" s="88" t="s">
        <v>61</v>
      </c>
      <c r="F4744" s="88">
        <v>0</v>
      </c>
      <c r="G4744" s="78">
        <f>MAX(H4744,I4744,J4744)</f>
        <v>1</v>
      </c>
      <c r="H4744" s="88"/>
      <c r="I4744" s="88"/>
      <c r="J4744" s="78">
        <f>MAX(K4744:Q4744)</f>
        <v>1</v>
      </c>
      <c r="K4744" s="88">
        <v>1</v>
      </c>
      <c r="L4744" s="88"/>
      <c r="M4744" s="88"/>
      <c r="N4744" s="88"/>
      <c r="O4744" s="88"/>
      <c r="P4744" s="88"/>
      <c r="Q4744" s="88"/>
      <c r="R4744" s="78">
        <f>MAX(S4744:W4744)</f>
        <v>0</v>
      </c>
      <c r="S4744" s="88"/>
      <c r="T4744" s="88"/>
      <c r="U4744" s="88"/>
      <c r="V4744" s="88"/>
      <c r="W4744" s="88"/>
    </row>
    <row r="4745" spans="2:23" s="0" customFormat="0" ht="15">
      <c r="B4745" s="87" t="s">
        <v>1</v>
      </c>
      <c r="C4745" s="88" t="s">
        <v>5259</v>
      </c>
      <c r="D4745" s="88" t="s">
        <v>2682</v>
      </c>
      <c r="E4745" s="88" t="s">
        <v>61</v>
      </c>
      <c r="F4745" s="88">
        <v>0</v>
      </c>
      <c r="G4745" s="78">
        <f>MAX(H4745,I4745,J4745)</f>
        <v>1</v>
      </c>
      <c r="H4745" s="88"/>
      <c r="I4745" s="88"/>
      <c r="J4745" s="78">
        <f>MAX(K4745:Q4745)</f>
        <v>1</v>
      </c>
      <c r="K4745" s="88">
        <v>1</v>
      </c>
      <c r="L4745" s="88"/>
      <c r="M4745" s="88"/>
      <c r="N4745" s="88"/>
      <c r="O4745" s="88"/>
      <c r="P4745" s="88"/>
      <c r="Q4745" s="88"/>
      <c r="R4745" s="78">
        <f>MAX(S4745:W4745)</f>
        <v>0</v>
      </c>
      <c r="S4745" s="88"/>
      <c r="T4745" s="88"/>
      <c r="U4745" s="88"/>
      <c r="V4745" s="88"/>
      <c r="W4745" s="88"/>
    </row>
    <row r="4746" spans="2:23" s="0" customFormat="0" ht="15">
      <c r="B4746" s="87" t="s">
        <v>1</v>
      </c>
      <c r="C4746" s="88" t="s">
        <v>5259</v>
      </c>
      <c r="D4746" s="88" t="s">
        <v>515</v>
      </c>
      <c r="E4746" s="88" t="s">
        <v>61</v>
      </c>
      <c r="F4746" s="88">
        <v>0</v>
      </c>
      <c r="G4746" s="78">
        <f>MAX(H4746,I4746,J4746)</f>
        <v>1</v>
      </c>
      <c r="H4746" s="88"/>
      <c r="I4746" s="88"/>
      <c r="J4746" s="78">
        <f>MAX(K4746:Q4746)</f>
        <v>1</v>
      </c>
      <c r="K4746" s="88">
        <v>1</v>
      </c>
      <c r="L4746" s="88"/>
      <c r="M4746" s="88"/>
      <c r="N4746" s="88"/>
      <c r="O4746" s="88"/>
      <c r="P4746" s="88"/>
      <c r="Q4746" s="88"/>
      <c r="R4746" s="78">
        <f>MAX(S4746:W4746)</f>
        <v>0</v>
      </c>
      <c r="S4746" s="88"/>
      <c r="T4746" s="88"/>
      <c r="U4746" s="88"/>
      <c r="V4746" s="88"/>
      <c r="W4746" s="88"/>
    </row>
    <row r="4747" spans="2:23" s="0" customFormat="0" ht="15">
      <c r="B4747" s="87" t="s">
        <v>1</v>
      </c>
      <c r="C4747" s="88" t="s">
        <v>5259</v>
      </c>
      <c r="D4747" s="88" t="s">
        <v>2684</v>
      </c>
      <c r="E4747" s="88" t="s">
        <v>61</v>
      </c>
      <c r="F4747" s="88">
        <v>0</v>
      </c>
      <c r="G4747" s="78">
        <f>MAX(H4747,I4747,J4747)</f>
        <v>1</v>
      </c>
      <c r="H4747" s="88"/>
      <c r="I4747" s="88"/>
      <c r="J4747" s="78">
        <f>MAX(K4747:Q4747)</f>
        <v>1</v>
      </c>
      <c r="K4747" s="88">
        <v>1</v>
      </c>
      <c r="L4747" s="88"/>
      <c r="M4747" s="88"/>
      <c r="N4747" s="88"/>
      <c r="O4747" s="88"/>
      <c r="P4747" s="88"/>
      <c r="Q4747" s="88"/>
      <c r="R4747" s="78">
        <f>MAX(S4747:W4747)</f>
        <v>0</v>
      </c>
      <c r="S4747" s="88"/>
      <c r="T4747" s="88"/>
      <c r="U4747" s="88"/>
      <c r="V4747" s="88"/>
      <c r="W4747" s="88"/>
    </row>
    <row r="4748" spans="2:23" s="0" customFormat="0" ht="15">
      <c r="B4748" s="87" t="s">
        <v>1</v>
      </c>
      <c r="C4748" s="88" t="s">
        <v>5259</v>
      </c>
      <c r="D4748" s="88">
        <v>15798271</v>
      </c>
      <c r="E4748" s="88" t="s">
        <v>61</v>
      </c>
      <c r="F4748" s="88">
        <v>0</v>
      </c>
      <c r="G4748" s="78">
        <f>MAX(H4748,I4748,J4748)</f>
        <v>1</v>
      </c>
      <c r="H4748" s="88"/>
      <c r="I4748" s="88"/>
      <c r="J4748" s="78">
        <f>MAX(K4748:Q4748)</f>
        <v>1</v>
      </c>
      <c r="K4748" s="88">
        <v>1</v>
      </c>
      <c r="L4748" s="88"/>
      <c r="M4748" s="88"/>
      <c r="N4748" s="88"/>
      <c r="O4748" s="88"/>
      <c r="P4748" s="88"/>
      <c r="Q4748" s="88"/>
      <c r="R4748" s="78">
        <f>MAX(S4748:W4748)</f>
        <v>0</v>
      </c>
      <c r="S4748" s="88"/>
      <c r="T4748" s="88"/>
      <c r="U4748" s="88"/>
      <c r="V4748" s="88"/>
      <c r="W4748" s="88"/>
    </row>
    <row r="4749" spans="2:23" s="0" customFormat="0" ht="15">
      <c r="B4749" s="87" t="s">
        <v>1</v>
      </c>
      <c r="C4749" s="88" t="s">
        <v>5259</v>
      </c>
      <c r="D4749" s="88" t="s">
        <v>4637</v>
      </c>
      <c r="E4749" s="88" t="s">
        <v>61</v>
      </c>
      <c r="F4749" s="88">
        <v>0</v>
      </c>
      <c r="G4749" s="78">
        <f>MAX(H4749,I4749,J4749)</f>
        <v>0</v>
      </c>
      <c r="H4749" s="88"/>
      <c r="I4749" s="88"/>
      <c r="J4749" s="78">
        <f>MAX(K4749:Q4749)</f>
        <v>0</v>
      </c>
      <c r="K4749" s="88"/>
      <c r="L4749" s="88"/>
      <c r="M4749" s="88"/>
      <c r="N4749" s="88"/>
      <c r="O4749" s="88"/>
      <c r="P4749" s="88"/>
      <c r="Q4749" s="88"/>
      <c r="R4749" s="78">
        <f>MAX(S4749:W4749)</f>
        <v>1</v>
      </c>
      <c r="S4749" s="88"/>
      <c r="T4749" s="88"/>
      <c r="U4749" s="88">
        <v>1</v>
      </c>
      <c r="V4749" s="88"/>
      <c r="W4749" s="88"/>
    </row>
    <row r="4750" spans="2:23" s="0" customFormat="0" ht="15">
      <c r="B4750" s="87" t="s">
        <v>1</v>
      </c>
      <c r="C4750" s="88" t="s">
        <v>5259</v>
      </c>
      <c r="D4750" s="88">
        <v>15887203</v>
      </c>
      <c r="E4750" s="88" t="s">
        <v>61</v>
      </c>
      <c r="F4750" s="88">
        <v>0</v>
      </c>
      <c r="G4750" s="78">
        <f>MAX(H4750,I4750,J4750)</f>
        <v>1</v>
      </c>
      <c r="H4750" s="88"/>
      <c r="I4750" s="88"/>
      <c r="J4750" s="78">
        <f>MAX(K4750:Q4750)</f>
        <v>1</v>
      </c>
      <c r="K4750" s="88">
        <v>1</v>
      </c>
      <c r="L4750" s="88"/>
      <c r="M4750" s="88"/>
      <c r="N4750" s="88"/>
      <c r="O4750" s="88"/>
      <c r="P4750" s="88"/>
      <c r="Q4750" s="88"/>
      <c r="R4750" s="78">
        <f>MAX(S4750:W4750)</f>
        <v>0</v>
      </c>
      <c r="S4750" s="88"/>
      <c r="T4750" s="88"/>
      <c r="U4750" s="88"/>
      <c r="V4750" s="88"/>
      <c r="W4750" s="88"/>
    </row>
    <row r="4751" spans="2:23" s="0" customFormat="0" ht="15">
      <c r="B4751" s="87" t="s">
        <v>1</v>
      </c>
      <c r="C4751" s="88" t="s">
        <v>5259</v>
      </c>
      <c r="D4751" s="88">
        <v>17290604</v>
      </c>
      <c r="E4751" s="88" t="s">
        <v>61</v>
      </c>
      <c r="F4751" s="88">
        <v>0</v>
      </c>
      <c r="G4751" s="78">
        <f>MAX(H4751,I4751,J4751)</f>
        <v>1</v>
      </c>
      <c r="H4751" s="88"/>
      <c r="I4751" s="88"/>
      <c r="J4751" s="78">
        <f>MAX(K4751:Q4751)</f>
        <v>1</v>
      </c>
      <c r="K4751" s="88">
        <v>1</v>
      </c>
      <c r="L4751" s="88"/>
      <c r="M4751" s="88"/>
      <c r="N4751" s="88"/>
      <c r="O4751" s="88"/>
      <c r="P4751" s="88"/>
      <c r="Q4751" s="88"/>
      <c r="R4751" s="78">
        <f>MAX(S4751:W4751)</f>
        <v>0</v>
      </c>
      <c r="S4751" s="88"/>
      <c r="T4751" s="88"/>
      <c r="U4751" s="88"/>
      <c r="V4751" s="88"/>
      <c r="W4751" s="88"/>
    </row>
    <row r="4752" spans="2:23" s="0" customFormat="0" ht="15">
      <c r="B4752" s="87" t="s">
        <v>1</v>
      </c>
      <c r="C4752" s="88" t="s">
        <v>5259</v>
      </c>
      <c r="D4752" s="88" t="s">
        <v>5027</v>
      </c>
      <c r="E4752" s="88" t="s">
        <v>61</v>
      </c>
      <c r="F4752" s="88">
        <v>0</v>
      </c>
      <c r="G4752" s="78">
        <f>MAX(H4752,I4752,J4752)</f>
        <v>0</v>
      </c>
      <c r="H4752" s="88"/>
      <c r="I4752" s="88"/>
      <c r="J4752" s="78">
        <f>MAX(K4752:Q4752)</f>
        <v>0</v>
      </c>
      <c r="K4752" s="88"/>
      <c r="L4752" s="88"/>
      <c r="M4752" s="88"/>
      <c r="N4752" s="88"/>
      <c r="O4752" s="88"/>
      <c r="P4752" s="88"/>
      <c r="Q4752" s="88"/>
      <c r="R4752" s="78">
        <f>MAX(S4752:W4752)</f>
        <v>1</v>
      </c>
      <c r="S4752" s="88"/>
      <c r="T4752" s="88"/>
      <c r="U4752" s="88">
        <v>1</v>
      </c>
      <c r="V4752" s="88"/>
      <c r="W4752" s="88"/>
    </row>
    <row r="4753" spans="2:23" s="0" customFormat="0" ht="15">
      <c r="B4753" s="87" t="s">
        <v>1</v>
      </c>
      <c r="C4753" s="88" t="s">
        <v>5259</v>
      </c>
      <c r="D4753" s="88" t="s">
        <v>5029</v>
      </c>
      <c r="E4753" s="88" t="s">
        <v>61</v>
      </c>
      <c r="F4753" s="88">
        <v>0</v>
      </c>
      <c r="G4753" s="78">
        <f>MAX(H4753,I4753,J4753)</f>
        <v>0</v>
      </c>
      <c r="H4753" s="88"/>
      <c r="I4753" s="88"/>
      <c r="J4753" s="78">
        <f>MAX(K4753:Q4753)</f>
        <v>0</v>
      </c>
      <c r="K4753" s="88"/>
      <c r="L4753" s="88"/>
      <c r="M4753" s="88"/>
      <c r="N4753" s="88"/>
      <c r="O4753" s="88"/>
      <c r="P4753" s="88"/>
      <c r="Q4753" s="88"/>
      <c r="R4753" s="78">
        <f>MAX(S4753:W4753)</f>
        <v>1</v>
      </c>
      <c r="S4753" s="88"/>
      <c r="T4753" s="88"/>
      <c r="U4753" s="88">
        <v>1</v>
      </c>
      <c r="V4753" s="88"/>
      <c r="W4753" s="88"/>
    </row>
    <row r="4754" spans="2:23" s="0" customFormat="0" ht="15">
      <c r="B4754" s="87" t="s">
        <v>1</v>
      </c>
      <c r="C4754" s="88" t="s">
        <v>5259</v>
      </c>
      <c r="D4754" s="88">
        <v>18009033</v>
      </c>
      <c r="E4754" s="88" t="s">
        <v>61</v>
      </c>
      <c r="F4754" s="88">
        <v>0</v>
      </c>
      <c r="G4754" s="78">
        <f>MAX(H4754,I4754,J4754)</f>
        <v>1</v>
      </c>
      <c r="H4754" s="88"/>
      <c r="I4754" s="88"/>
      <c r="J4754" s="78">
        <f>MAX(K4754:Q4754)</f>
        <v>1</v>
      </c>
      <c r="K4754" s="88">
        <v>1</v>
      </c>
      <c r="L4754" s="88"/>
      <c r="M4754" s="88"/>
      <c r="N4754" s="88"/>
      <c r="O4754" s="88"/>
      <c r="P4754" s="88"/>
      <c r="Q4754" s="88"/>
      <c r="R4754" s="78">
        <f>MAX(S4754:W4754)</f>
        <v>0</v>
      </c>
      <c r="S4754" s="88"/>
      <c r="T4754" s="88"/>
      <c r="U4754" s="88"/>
      <c r="V4754" s="88"/>
      <c r="W4754" s="88"/>
    </row>
    <row r="4755" spans="2:23" s="0" customFormat="0" ht="15">
      <c r="B4755" s="87" t="s">
        <v>1</v>
      </c>
      <c r="C4755" s="88" t="s">
        <v>5259</v>
      </c>
      <c r="D4755" s="88" t="s">
        <v>5031</v>
      </c>
      <c r="E4755" s="88" t="s">
        <v>61</v>
      </c>
      <c r="F4755" s="88">
        <v>0</v>
      </c>
      <c r="G4755" s="78">
        <f>MAX(H4755,I4755,J4755)</f>
        <v>0</v>
      </c>
      <c r="H4755" s="88"/>
      <c r="I4755" s="88"/>
      <c r="J4755" s="78">
        <f>MAX(K4755:Q4755)</f>
        <v>0</v>
      </c>
      <c r="K4755" s="88"/>
      <c r="L4755" s="88"/>
      <c r="M4755" s="88"/>
      <c r="N4755" s="88"/>
      <c r="O4755" s="88"/>
      <c r="P4755" s="88"/>
      <c r="Q4755" s="88"/>
      <c r="R4755" s="78">
        <f>MAX(S4755:W4755)</f>
        <v>1</v>
      </c>
      <c r="S4755" s="88"/>
      <c r="T4755" s="88"/>
      <c r="U4755" s="88">
        <v>1</v>
      </c>
      <c r="V4755" s="88"/>
      <c r="W4755" s="88"/>
    </row>
    <row r="4756" spans="2:23" s="0" customFormat="0" ht="15">
      <c r="B4756" s="87" t="s">
        <v>1</v>
      </c>
      <c r="C4756" s="88" t="s">
        <v>5259</v>
      </c>
      <c r="D4756" s="88" t="s">
        <v>5033</v>
      </c>
      <c r="E4756" s="88" t="s">
        <v>61</v>
      </c>
      <c r="F4756" s="88">
        <v>0</v>
      </c>
      <c r="G4756" s="78">
        <f>MAX(H4756,I4756,J4756)</f>
        <v>0</v>
      </c>
      <c r="H4756" s="88"/>
      <c r="I4756" s="88"/>
      <c r="J4756" s="78">
        <f>MAX(K4756:Q4756)</f>
        <v>0</v>
      </c>
      <c r="K4756" s="88"/>
      <c r="L4756" s="88"/>
      <c r="M4756" s="88"/>
      <c r="N4756" s="88"/>
      <c r="O4756" s="88"/>
      <c r="P4756" s="88"/>
      <c r="Q4756" s="88"/>
      <c r="R4756" s="78">
        <f>MAX(S4756:W4756)</f>
        <v>1</v>
      </c>
      <c r="S4756" s="88"/>
      <c r="T4756" s="88"/>
      <c r="U4756" s="88">
        <v>1</v>
      </c>
      <c r="V4756" s="88"/>
      <c r="W4756" s="88"/>
    </row>
    <row r="4757" spans="2:23" s="0" customFormat="0" ht="15">
      <c r="B4757" s="87" t="s">
        <v>1</v>
      </c>
      <c r="C4757" s="88" t="s">
        <v>5259</v>
      </c>
      <c r="D4757" s="88">
        <v>16974123</v>
      </c>
      <c r="E4757" s="88" t="s">
        <v>61</v>
      </c>
      <c r="F4757" s="88">
        <v>0</v>
      </c>
      <c r="G4757" s="78">
        <f>MAX(H4757,I4757,J4757)</f>
        <v>0</v>
      </c>
      <c r="H4757" s="88"/>
      <c r="I4757" s="88"/>
      <c r="J4757" s="78">
        <f>MAX(K4757:Q4757)</f>
        <v>0</v>
      </c>
      <c r="K4757" s="88"/>
      <c r="L4757" s="88"/>
      <c r="M4757" s="88"/>
      <c r="N4757" s="88"/>
      <c r="O4757" s="88"/>
      <c r="P4757" s="88"/>
      <c r="Q4757" s="88"/>
      <c r="R4757" s="78">
        <f>MAX(S4757:W4757)</f>
        <v>1</v>
      </c>
      <c r="S4757" s="88"/>
      <c r="T4757" s="88"/>
      <c r="U4757" s="88">
        <v>1</v>
      </c>
      <c r="V4757" s="88"/>
      <c r="W4757" s="88"/>
    </row>
    <row r="4758" spans="2:23" s="0" customFormat="0" ht="15">
      <c r="B4758" s="87" t="s">
        <v>1</v>
      </c>
      <c r="C4758" s="88" t="s">
        <v>5259</v>
      </c>
      <c r="D4758" s="88" t="s">
        <v>5035</v>
      </c>
      <c r="E4758" s="88" t="s">
        <v>61</v>
      </c>
      <c r="F4758" s="88">
        <v>0</v>
      </c>
      <c r="G4758" s="78">
        <f>MAX(H4758,I4758,J4758)</f>
        <v>0</v>
      </c>
      <c r="H4758" s="88"/>
      <c r="I4758" s="88"/>
      <c r="J4758" s="78">
        <f>MAX(K4758:Q4758)</f>
        <v>0</v>
      </c>
      <c r="K4758" s="88"/>
      <c r="L4758" s="88"/>
      <c r="M4758" s="88"/>
      <c r="N4758" s="88"/>
      <c r="O4758" s="88"/>
      <c r="P4758" s="88"/>
      <c r="Q4758" s="88"/>
      <c r="R4758" s="78">
        <f>MAX(S4758:W4758)</f>
        <v>1</v>
      </c>
      <c r="S4758" s="88"/>
      <c r="T4758" s="88"/>
      <c r="U4758" s="88">
        <v>1</v>
      </c>
      <c r="V4758" s="88"/>
      <c r="W4758" s="88"/>
    </row>
    <row r="4759" spans="2:23" s="0" customFormat="0" ht="15">
      <c r="B4759" s="87" t="s">
        <v>1</v>
      </c>
      <c r="C4759" s="88" t="s">
        <v>5259</v>
      </c>
      <c r="D4759" s="88" t="s">
        <v>1230</v>
      </c>
      <c r="E4759" s="88" t="s">
        <v>61</v>
      </c>
      <c r="F4759" s="88">
        <v>0</v>
      </c>
      <c r="G4759" s="78">
        <f>MAX(H4759,I4759,J4759)</f>
        <v>1</v>
      </c>
      <c r="H4759" s="88"/>
      <c r="I4759" s="88"/>
      <c r="J4759" s="78">
        <f>MAX(K4759:Q4759)</f>
        <v>1</v>
      </c>
      <c r="K4759" s="88">
        <v>1</v>
      </c>
      <c r="L4759" s="88"/>
      <c r="M4759" s="88"/>
      <c r="N4759" s="88"/>
      <c r="O4759" s="88"/>
      <c r="P4759" s="88"/>
      <c r="Q4759" s="88"/>
      <c r="R4759" s="78">
        <f>MAX(S4759:W4759)</f>
        <v>0</v>
      </c>
      <c r="S4759" s="88"/>
      <c r="T4759" s="88"/>
      <c r="U4759" s="88"/>
      <c r="V4759" s="88"/>
      <c r="W4759" s="88"/>
    </row>
    <row r="4760" spans="2:23" s="0" customFormat="0" ht="15">
      <c r="B4760" s="87" t="s">
        <v>1</v>
      </c>
      <c r="C4760" s="88" t="s">
        <v>5259</v>
      </c>
      <c r="D4760" s="88" t="s">
        <v>3155</v>
      </c>
      <c r="E4760" s="88" t="s">
        <v>61</v>
      </c>
      <c r="F4760" s="88">
        <v>0</v>
      </c>
      <c r="G4760" s="78">
        <f>MAX(H4760,I4760,J4760)</f>
        <v>1</v>
      </c>
      <c r="H4760" s="88"/>
      <c r="I4760" s="88"/>
      <c r="J4760" s="78">
        <f>MAX(K4760:Q4760)</f>
        <v>1</v>
      </c>
      <c r="K4760" s="88"/>
      <c r="L4760" s="88"/>
      <c r="M4760" s="88"/>
      <c r="N4760" s="88"/>
      <c r="O4760" s="88">
        <v>1</v>
      </c>
      <c r="P4760" s="88"/>
      <c r="Q4760" s="88"/>
      <c r="R4760" s="78">
        <f>MAX(S4760:W4760)</f>
        <v>0</v>
      </c>
      <c r="S4760" s="88"/>
      <c r="T4760" s="88"/>
      <c r="U4760" s="88"/>
      <c r="V4760" s="88"/>
      <c r="W4760" s="88"/>
    </row>
    <row r="4761" spans="2:23" s="0" customFormat="0" ht="15">
      <c r="B4761" s="87" t="s">
        <v>1</v>
      </c>
      <c r="C4761" s="88" t="s">
        <v>5259</v>
      </c>
      <c r="D4761" s="88">
        <v>22081367</v>
      </c>
      <c r="E4761" s="88" t="s">
        <v>61</v>
      </c>
      <c r="F4761" s="88">
        <v>0</v>
      </c>
      <c r="G4761" s="78">
        <f>MAX(H4761,I4761,J4761)</f>
        <v>1</v>
      </c>
      <c r="H4761" s="88"/>
      <c r="I4761" s="88"/>
      <c r="J4761" s="78">
        <f>MAX(K4761:Q4761)</f>
        <v>1</v>
      </c>
      <c r="K4761" s="88">
        <v>1</v>
      </c>
      <c r="L4761" s="88"/>
      <c r="M4761" s="88"/>
      <c r="N4761" s="88"/>
      <c r="O4761" s="88"/>
      <c r="P4761" s="88"/>
      <c r="Q4761" s="88"/>
      <c r="R4761" s="78">
        <f>MAX(S4761:W4761)</f>
        <v>0</v>
      </c>
      <c r="S4761" s="88"/>
      <c r="T4761" s="88"/>
      <c r="U4761" s="88"/>
      <c r="V4761" s="88"/>
      <c r="W4761" s="88"/>
    </row>
    <row r="4762" spans="2:23" s="0" customFormat="0" ht="15">
      <c r="B4762" s="87" t="s">
        <v>1</v>
      </c>
      <c r="C4762" s="88" t="s">
        <v>5259</v>
      </c>
      <c r="D4762" s="88" t="s">
        <v>3334</v>
      </c>
      <c r="E4762" s="88" t="s">
        <v>61</v>
      </c>
      <c r="F4762" s="88">
        <v>0</v>
      </c>
      <c r="G4762" s="78">
        <f>MAX(H4762,I4762,J4762)</f>
        <v>0</v>
      </c>
      <c r="H4762" s="88"/>
      <c r="I4762" s="88"/>
      <c r="J4762" s="78">
        <f>MAX(K4762:Q4762)</f>
        <v>0</v>
      </c>
      <c r="K4762" s="88"/>
      <c r="L4762" s="88"/>
      <c r="M4762" s="88"/>
      <c r="N4762" s="88"/>
      <c r="O4762" s="88"/>
      <c r="P4762" s="88"/>
      <c r="Q4762" s="88"/>
      <c r="R4762" s="78">
        <f>MAX(S4762:W4762)</f>
        <v>1</v>
      </c>
      <c r="S4762" s="88"/>
      <c r="T4762" s="88"/>
      <c r="U4762" s="88">
        <v>1</v>
      </c>
      <c r="V4762" s="88"/>
      <c r="W4762" s="88"/>
    </row>
    <row r="4763" spans="2:23" s="0" customFormat="0" ht="15">
      <c r="B4763" s="87" t="s">
        <v>1</v>
      </c>
      <c r="C4763" s="88" t="s">
        <v>5259</v>
      </c>
      <c r="D4763" s="88" t="s">
        <v>5037</v>
      </c>
      <c r="E4763" s="88" t="s">
        <v>61</v>
      </c>
      <c r="F4763" s="88">
        <v>0</v>
      </c>
      <c r="G4763" s="78">
        <f>MAX(H4763,I4763,J4763)</f>
        <v>0</v>
      </c>
      <c r="H4763" s="88"/>
      <c r="I4763" s="88"/>
      <c r="J4763" s="78">
        <f>MAX(K4763:Q4763)</f>
        <v>0</v>
      </c>
      <c r="K4763" s="88"/>
      <c r="L4763" s="88"/>
      <c r="M4763" s="88"/>
      <c r="N4763" s="88"/>
      <c r="O4763" s="88"/>
      <c r="P4763" s="88"/>
      <c r="Q4763" s="88"/>
      <c r="R4763" s="78">
        <f>MAX(S4763:W4763)</f>
        <v>1</v>
      </c>
      <c r="S4763" s="88"/>
      <c r="T4763" s="88"/>
      <c r="U4763" s="88">
        <v>1</v>
      </c>
      <c r="V4763" s="88"/>
      <c r="W4763" s="88"/>
    </row>
    <row r="4764" spans="2:23" s="0" customFormat="0" ht="15">
      <c r="B4764" s="87" t="s">
        <v>1</v>
      </c>
      <c r="C4764" s="88" t="s">
        <v>5259</v>
      </c>
      <c r="D4764" s="88">
        <v>15148669</v>
      </c>
      <c r="E4764" s="88" t="s">
        <v>61</v>
      </c>
      <c r="F4764" s="88">
        <v>0</v>
      </c>
      <c r="G4764" s="78">
        <f>MAX(H4764,I4764,J4764)</f>
        <v>1</v>
      </c>
      <c r="H4764" s="88"/>
      <c r="I4764" s="88"/>
      <c r="J4764" s="78">
        <f>MAX(K4764:Q4764)</f>
        <v>1</v>
      </c>
      <c r="K4764" s="88">
        <v>1</v>
      </c>
      <c r="L4764" s="88"/>
      <c r="M4764" s="88"/>
      <c r="N4764" s="88"/>
      <c r="O4764" s="88"/>
      <c r="P4764" s="88"/>
      <c r="Q4764" s="88"/>
      <c r="R4764" s="78">
        <f>MAX(S4764:W4764)</f>
        <v>0</v>
      </c>
      <c r="S4764" s="88"/>
      <c r="T4764" s="88"/>
      <c r="U4764" s="88"/>
      <c r="V4764" s="88"/>
      <c r="W4764" s="88"/>
    </row>
    <row r="4765" spans="2:23" s="0" customFormat="0" ht="15">
      <c r="B4765" s="87" t="s">
        <v>1</v>
      </c>
      <c r="C4765" s="88" t="s">
        <v>5259</v>
      </c>
      <c r="D4765" s="88" t="s">
        <v>2393</v>
      </c>
      <c r="E4765" s="88" t="s">
        <v>61</v>
      </c>
      <c r="F4765" s="88">
        <v>0</v>
      </c>
      <c r="G4765" s="78">
        <f>MAX(H4765,I4765,J4765)</f>
        <v>1</v>
      </c>
      <c r="H4765" s="88"/>
      <c r="I4765" s="88"/>
      <c r="J4765" s="78">
        <f>MAX(K4765:Q4765)</f>
        <v>1</v>
      </c>
      <c r="K4765" s="88">
        <v>1</v>
      </c>
      <c r="L4765" s="88"/>
      <c r="M4765" s="88"/>
      <c r="N4765" s="88"/>
      <c r="O4765" s="88"/>
      <c r="P4765" s="88"/>
      <c r="Q4765" s="88"/>
      <c r="R4765" s="78">
        <f>MAX(S4765:W4765)</f>
        <v>0</v>
      </c>
      <c r="S4765" s="88"/>
      <c r="T4765" s="88"/>
      <c r="U4765" s="88"/>
      <c r="V4765" s="88"/>
      <c r="W4765" s="88"/>
    </row>
    <row r="4766" spans="2:23" s="0" customFormat="0" ht="15">
      <c r="B4766" s="87" t="s">
        <v>1</v>
      </c>
      <c r="C4766" s="88" t="s">
        <v>5259</v>
      </c>
      <c r="D4766" s="88" t="s">
        <v>4190</v>
      </c>
      <c r="E4766" s="88" t="s">
        <v>61</v>
      </c>
      <c r="F4766" s="88">
        <v>0</v>
      </c>
      <c r="G4766" s="78">
        <f>MAX(H4766,I4766,J4766)</f>
        <v>0</v>
      </c>
      <c r="H4766" s="88"/>
      <c r="I4766" s="88"/>
      <c r="J4766" s="78">
        <f>MAX(K4766:Q4766)</f>
        <v>0</v>
      </c>
      <c r="K4766" s="88"/>
      <c r="L4766" s="88"/>
      <c r="M4766" s="88"/>
      <c r="N4766" s="88"/>
      <c r="O4766" s="88"/>
      <c r="P4766" s="88"/>
      <c r="Q4766" s="88"/>
      <c r="R4766" s="78">
        <f>MAX(S4766:W4766)</f>
        <v>1</v>
      </c>
      <c r="S4766" s="88"/>
      <c r="T4766" s="88"/>
      <c r="U4766" s="88">
        <v>1</v>
      </c>
      <c r="V4766" s="88"/>
      <c r="W4766" s="88"/>
    </row>
    <row r="4767" spans="2:23" s="0" customFormat="0" ht="15">
      <c r="B4767" s="87" t="s">
        <v>1</v>
      </c>
      <c r="C4767" s="88" t="s">
        <v>5259</v>
      </c>
      <c r="D4767" s="88">
        <v>21644220</v>
      </c>
      <c r="E4767" s="88" t="s">
        <v>61</v>
      </c>
      <c r="F4767" s="88">
        <v>0</v>
      </c>
      <c r="G4767" s="78">
        <f>MAX(H4767,I4767,J4767)</f>
        <v>1</v>
      </c>
      <c r="H4767" s="88"/>
      <c r="I4767" s="88"/>
      <c r="J4767" s="78">
        <f>MAX(K4767:Q4767)</f>
        <v>1</v>
      </c>
      <c r="K4767" s="88">
        <v>1</v>
      </c>
      <c r="L4767" s="88"/>
      <c r="M4767" s="88"/>
      <c r="N4767" s="88"/>
      <c r="O4767" s="88"/>
      <c r="P4767" s="88"/>
      <c r="Q4767" s="88"/>
      <c r="R4767" s="78">
        <f>MAX(S4767:W4767)</f>
        <v>0</v>
      </c>
      <c r="S4767" s="88"/>
      <c r="T4767" s="88"/>
      <c r="U4767" s="88"/>
      <c r="V4767" s="88"/>
      <c r="W4767" s="88"/>
    </row>
    <row r="4768" spans="2:23" s="0" customFormat="0" ht="15">
      <c r="B4768" s="87" t="s">
        <v>1</v>
      </c>
      <c r="C4768" s="88" t="s">
        <v>5259</v>
      </c>
      <c r="D4768" s="88" t="s">
        <v>5039</v>
      </c>
      <c r="E4768" s="88" t="s">
        <v>61</v>
      </c>
      <c r="F4768" s="88">
        <v>0</v>
      </c>
      <c r="G4768" s="78">
        <f>MAX(H4768,I4768,J4768)</f>
        <v>0</v>
      </c>
      <c r="H4768" s="88"/>
      <c r="I4768" s="88"/>
      <c r="J4768" s="78">
        <f>MAX(K4768:Q4768)</f>
        <v>0</v>
      </c>
      <c r="K4768" s="88"/>
      <c r="L4768" s="88"/>
      <c r="M4768" s="88"/>
      <c r="N4768" s="88"/>
      <c r="O4768" s="88"/>
      <c r="P4768" s="88"/>
      <c r="Q4768" s="88"/>
      <c r="R4768" s="78">
        <f>MAX(S4768:W4768)</f>
        <v>1</v>
      </c>
      <c r="S4768" s="88"/>
      <c r="T4768" s="88"/>
      <c r="U4768" s="88">
        <v>1</v>
      </c>
      <c r="V4768" s="88"/>
      <c r="W4768" s="88"/>
    </row>
    <row r="4769" spans="2:23" s="0" customFormat="0" ht="15">
      <c r="B4769" s="87" t="s">
        <v>1</v>
      </c>
      <c r="C4769" s="88" t="s">
        <v>5259</v>
      </c>
      <c r="D4769" s="88">
        <v>17095269</v>
      </c>
      <c r="E4769" s="88" t="s">
        <v>61</v>
      </c>
      <c r="F4769" s="88">
        <v>0</v>
      </c>
      <c r="G4769" s="78">
        <f>MAX(H4769,I4769,J4769)</f>
        <v>1</v>
      </c>
      <c r="H4769" s="88"/>
      <c r="I4769" s="88"/>
      <c r="J4769" s="78">
        <f>MAX(K4769:Q4769)</f>
        <v>1</v>
      </c>
      <c r="K4769" s="88">
        <v>1</v>
      </c>
      <c r="L4769" s="88"/>
      <c r="M4769" s="88"/>
      <c r="N4769" s="88"/>
      <c r="O4769" s="88"/>
      <c r="P4769" s="88"/>
      <c r="Q4769" s="88"/>
      <c r="R4769" s="78">
        <f>MAX(S4769:W4769)</f>
        <v>0</v>
      </c>
      <c r="S4769" s="88"/>
      <c r="T4769" s="88"/>
      <c r="U4769" s="88"/>
      <c r="V4769" s="88"/>
      <c r="W4769" s="88"/>
    </row>
    <row r="4770" spans="2:23" s="0" customFormat="0" ht="15">
      <c r="B4770" s="87" t="s">
        <v>1</v>
      </c>
      <c r="C4770" s="88" t="s">
        <v>5259</v>
      </c>
      <c r="D4770" s="88" t="s">
        <v>4479</v>
      </c>
      <c r="E4770" s="88" t="s">
        <v>61</v>
      </c>
      <c r="F4770" s="88">
        <v>0</v>
      </c>
      <c r="G4770" s="78">
        <f>MAX(H4770,I4770,J4770)</f>
        <v>0</v>
      </c>
      <c r="H4770" s="88"/>
      <c r="I4770" s="88"/>
      <c r="J4770" s="78">
        <f>MAX(K4770:Q4770)</f>
        <v>0</v>
      </c>
      <c r="K4770" s="88"/>
      <c r="L4770" s="88"/>
      <c r="M4770" s="88"/>
      <c r="N4770" s="88"/>
      <c r="O4770" s="88"/>
      <c r="P4770" s="88"/>
      <c r="Q4770" s="88"/>
      <c r="R4770" s="78">
        <f>MAX(S4770:W4770)</f>
        <v>1</v>
      </c>
      <c r="S4770" s="88"/>
      <c r="T4770" s="88"/>
      <c r="U4770" s="88">
        <v>1</v>
      </c>
      <c r="V4770" s="88"/>
      <c r="W4770" s="88"/>
    </row>
    <row r="4771" spans="2:23" s="0" customFormat="0" ht="15">
      <c r="B4771" s="87" t="s">
        <v>1</v>
      </c>
      <c r="C4771" s="88" t="s">
        <v>5259</v>
      </c>
      <c r="D4771" s="88" t="s">
        <v>3176</v>
      </c>
      <c r="E4771" s="88" t="s">
        <v>61</v>
      </c>
      <c r="F4771" s="88">
        <v>0</v>
      </c>
      <c r="G4771" s="78">
        <f>MAX(H4771,I4771,J4771)</f>
        <v>1</v>
      </c>
      <c r="H4771" s="88"/>
      <c r="I4771" s="88"/>
      <c r="J4771" s="78">
        <f>MAX(K4771:Q4771)</f>
        <v>1</v>
      </c>
      <c r="K4771" s="88"/>
      <c r="L4771" s="88"/>
      <c r="M4771" s="88"/>
      <c r="N4771" s="88"/>
      <c r="O4771" s="88">
        <v>1</v>
      </c>
      <c r="P4771" s="88"/>
      <c r="Q4771" s="88"/>
      <c r="R4771" s="78">
        <f>MAX(S4771:W4771)</f>
        <v>0</v>
      </c>
      <c r="S4771" s="88"/>
      <c r="T4771" s="88"/>
      <c r="U4771" s="88"/>
      <c r="V4771" s="88"/>
      <c r="W4771" s="88"/>
    </row>
    <row r="4772" spans="2:23" s="0" customFormat="0" ht="15">
      <c r="B4772" s="87" t="s">
        <v>1</v>
      </c>
      <c r="C4772" s="88" t="s">
        <v>5259</v>
      </c>
      <c r="D4772" s="88">
        <v>6599957</v>
      </c>
      <c r="E4772" s="88" t="s">
        <v>61</v>
      </c>
      <c r="F4772" s="88">
        <v>0</v>
      </c>
      <c r="G4772" s="78">
        <f>MAX(H4772,I4772,J4772)</f>
        <v>0</v>
      </c>
      <c r="H4772" s="88"/>
      <c r="I4772" s="88"/>
      <c r="J4772" s="78">
        <f>MAX(K4772:Q4772)</f>
        <v>0</v>
      </c>
      <c r="K4772" s="88"/>
      <c r="L4772" s="88"/>
      <c r="M4772" s="88"/>
      <c r="N4772" s="88"/>
      <c r="O4772" s="88"/>
      <c r="P4772" s="88"/>
      <c r="Q4772" s="88"/>
      <c r="R4772" s="78">
        <f>MAX(S4772:W4772)</f>
        <v>1</v>
      </c>
      <c r="S4772" s="88"/>
      <c r="T4772" s="88"/>
      <c r="U4772" s="88">
        <v>1</v>
      </c>
      <c r="V4772" s="88"/>
      <c r="W4772" s="88"/>
    </row>
    <row r="4773" spans="2:23" s="0" customFormat="0" ht="15">
      <c r="B4773" s="87" t="s">
        <v>1</v>
      </c>
      <c r="C4773" s="88" t="s">
        <v>5259</v>
      </c>
      <c r="D4773" s="88" t="s">
        <v>258</v>
      </c>
      <c r="E4773" s="88" t="s">
        <v>61</v>
      </c>
      <c r="F4773" s="88">
        <v>0</v>
      </c>
      <c r="G4773" s="78">
        <f>MAX(H4773,I4773,J4773)</f>
        <v>1</v>
      </c>
      <c r="H4773" s="88"/>
      <c r="I4773" s="88"/>
      <c r="J4773" s="78">
        <f>MAX(K4773:Q4773)</f>
        <v>1</v>
      </c>
      <c r="K4773" s="88">
        <v>1</v>
      </c>
      <c r="L4773" s="88"/>
      <c r="M4773" s="88"/>
      <c r="N4773" s="88"/>
      <c r="O4773" s="88"/>
      <c r="P4773" s="88"/>
      <c r="Q4773" s="88"/>
      <c r="R4773" s="78">
        <f>MAX(S4773:W4773)</f>
        <v>0</v>
      </c>
      <c r="S4773" s="88"/>
      <c r="T4773" s="88"/>
      <c r="U4773" s="88"/>
      <c r="V4773" s="88"/>
      <c r="W4773" s="88"/>
    </row>
    <row r="4774" spans="2:23" s="0" customFormat="0" ht="15">
      <c r="B4774" s="87" t="s">
        <v>1</v>
      </c>
      <c r="C4774" s="88" t="s">
        <v>5259</v>
      </c>
      <c r="D4774" s="88">
        <v>8584154</v>
      </c>
      <c r="E4774" s="88" t="s">
        <v>61</v>
      </c>
      <c r="F4774" s="88">
        <v>0</v>
      </c>
      <c r="G4774" s="78">
        <f>MAX(H4774,I4774,J4774)</f>
        <v>1</v>
      </c>
      <c r="H4774" s="88"/>
      <c r="I4774" s="88"/>
      <c r="J4774" s="78">
        <f>MAX(K4774:Q4774)</f>
        <v>1</v>
      </c>
      <c r="K4774" s="88">
        <v>1</v>
      </c>
      <c r="L4774" s="88"/>
      <c r="M4774" s="88"/>
      <c r="N4774" s="88"/>
      <c r="O4774" s="88"/>
      <c r="P4774" s="88"/>
      <c r="Q4774" s="88"/>
      <c r="R4774" s="78">
        <f>MAX(S4774:W4774)</f>
        <v>0</v>
      </c>
      <c r="S4774" s="88"/>
      <c r="T4774" s="88"/>
      <c r="U4774" s="88"/>
      <c r="V4774" s="88"/>
      <c r="W4774" s="88"/>
    </row>
    <row r="4775" spans="2:23" s="0" customFormat="0" ht="15">
      <c r="B4775" s="87" t="s">
        <v>1</v>
      </c>
      <c r="C4775" s="88" t="s">
        <v>5259</v>
      </c>
      <c r="D4775" s="88" t="s">
        <v>4481</v>
      </c>
      <c r="E4775" s="88" t="s">
        <v>61</v>
      </c>
      <c r="F4775" s="88">
        <v>0</v>
      </c>
      <c r="G4775" s="78">
        <f>MAX(H4775,I4775,J4775)</f>
        <v>0</v>
      </c>
      <c r="H4775" s="88"/>
      <c r="I4775" s="88"/>
      <c r="J4775" s="78">
        <f>MAX(K4775:Q4775)</f>
        <v>0</v>
      </c>
      <c r="K4775" s="88"/>
      <c r="L4775" s="88"/>
      <c r="M4775" s="88"/>
      <c r="N4775" s="88"/>
      <c r="O4775" s="88"/>
      <c r="P4775" s="88"/>
      <c r="Q4775" s="88"/>
      <c r="R4775" s="78">
        <f>MAX(S4775:W4775)</f>
        <v>1</v>
      </c>
      <c r="S4775" s="88"/>
      <c r="T4775" s="88"/>
      <c r="U4775" s="88">
        <v>1</v>
      </c>
      <c r="V4775" s="88"/>
      <c r="W4775" s="88"/>
    </row>
    <row r="4776" spans="2:23" s="0" customFormat="0" ht="15">
      <c r="B4776" s="87" t="s">
        <v>1</v>
      </c>
      <c r="C4776" s="88" t="s">
        <v>5259</v>
      </c>
      <c r="D4776" s="88">
        <v>12657547</v>
      </c>
      <c r="E4776" s="88" t="s">
        <v>61</v>
      </c>
      <c r="F4776" s="88">
        <v>0</v>
      </c>
      <c r="G4776" s="78">
        <f>MAX(H4776,I4776,J4776)</f>
        <v>1</v>
      </c>
      <c r="H4776" s="88"/>
      <c r="I4776" s="88"/>
      <c r="J4776" s="78">
        <f>MAX(K4776:Q4776)</f>
        <v>1</v>
      </c>
      <c r="K4776" s="88">
        <v>1</v>
      </c>
      <c r="L4776" s="88"/>
      <c r="M4776" s="88"/>
      <c r="N4776" s="88"/>
      <c r="O4776" s="88"/>
      <c r="P4776" s="88"/>
      <c r="Q4776" s="88"/>
      <c r="R4776" s="78">
        <f>MAX(S4776:W4776)</f>
        <v>0</v>
      </c>
      <c r="S4776" s="88"/>
      <c r="T4776" s="88"/>
      <c r="U4776" s="88"/>
      <c r="V4776" s="88"/>
      <c r="W4776" s="88"/>
    </row>
    <row r="4777" spans="2:23" s="0" customFormat="0" ht="15">
      <c r="B4777" s="87" t="s">
        <v>1</v>
      </c>
      <c r="C4777" s="88" t="s">
        <v>5259</v>
      </c>
      <c r="D4777" s="88">
        <v>17491187</v>
      </c>
      <c r="E4777" s="88" t="s">
        <v>61</v>
      </c>
      <c r="F4777" s="88">
        <v>0</v>
      </c>
      <c r="G4777" s="78">
        <f>MAX(H4777,I4777,J4777)</f>
        <v>1</v>
      </c>
      <c r="H4777" s="88"/>
      <c r="I4777" s="88"/>
      <c r="J4777" s="78">
        <f>MAX(K4777:Q4777)</f>
        <v>1</v>
      </c>
      <c r="K4777" s="88">
        <v>1</v>
      </c>
      <c r="L4777" s="88"/>
      <c r="M4777" s="88"/>
      <c r="N4777" s="88"/>
      <c r="O4777" s="88"/>
      <c r="P4777" s="88"/>
      <c r="Q4777" s="88"/>
      <c r="R4777" s="78">
        <f>MAX(S4777:W4777)</f>
        <v>0</v>
      </c>
      <c r="S4777" s="88"/>
      <c r="T4777" s="88"/>
      <c r="U4777" s="88"/>
      <c r="V4777" s="88"/>
      <c r="W4777" s="88"/>
    </row>
    <row r="4778" spans="2:23" s="0" customFormat="0" ht="15">
      <c r="B4778" s="87" t="s">
        <v>1</v>
      </c>
      <c r="C4778" s="88" t="s">
        <v>5259</v>
      </c>
      <c r="D4778" s="88">
        <v>14121289</v>
      </c>
      <c r="E4778" s="88" t="s">
        <v>61</v>
      </c>
      <c r="F4778" s="88">
        <v>0</v>
      </c>
      <c r="G4778" s="78">
        <f>MAX(H4778,I4778,J4778)</f>
        <v>1</v>
      </c>
      <c r="H4778" s="88"/>
      <c r="I4778" s="88"/>
      <c r="J4778" s="78">
        <f>MAX(K4778:Q4778)</f>
        <v>1</v>
      </c>
      <c r="K4778" s="88"/>
      <c r="L4778" s="88"/>
      <c r="M4778" s="88"/>
      <c r="N4778" s="88"/>
      <c r="O4778" s="88">
        <v>1</v>
      </c>
      <c r="P4778" s="88"/>
      <c r="Q4778" s="88"/>
      <c r="R4778" s="78">
        <f>MAX(S4778:W4778)</f>
        <v>0</v>
      </c>
      <c r="S4778" s="88"/>
      <c r="T4778" s="88"/>
      <c r="U4778" s="88"/>
      <c r="V4778" s="88"/>
      <c r="W4778" s="88"/>
    </row>
    <row r="4779" spans="2:23" s="0" customFormat="0" ht="15">
      <c r="B4779" s="87" t="s">
        <v>1</v>
      </c>
      <c r="C4779" s="88" t="s">
        <v>5259</v>
      </c>
      <c r="D4779" s="88" t="s">
        <v>4836</v>
      </c>
      <c r="E4779" s="88" t="s">
        <v>61</v>
      </c>
      <c r="F4779" s="88">
        <v>0</v>
      </c>
      <c r="G4779" s="78">
        <f>MAX(H4779,I4779,J4779)</f>
        <v>0</v>
      </c>
      <c r="H4779" s="88"/>
      <c r="I4779" s="88"/>
      <c r="J4779" s="78">
        <f>MAX(K4779:Q4779)</f>
        <v>0</v>
      </c>
      <c r="K4779" s="88"/>
      <c r="L4779" s="88"/>
      <c r="M4779" s="88"/>
      <c r="N4779" s="88"/>
      <c r="O4779" s="88"/>
      <c r="P4779" s="88"/>
      <c r="Q4779" s="88"/>
      <c r="R4779" s="78">
        <f>MAX(S4779:W4779)</f>
        <v>1</v>
      </c>
      <c r="S4779" s="88"/>
      <c r="T4779" s="88"/>
      <c r="U4779" s="88">
        <v>1</v>
      </c>
      <c r="V4779" s="88"/>
      <c r="W4779" s="88"/>
    </row>
    <row r="4780" spans="2:23" s="0" customFormat="0" ht="15">
      <c r="B4780" s="87" t="s">
        <v>1</v>
      </c>
      <c r="C4780" s="88" t="s">
        <v>5259</v>
      </c>
      <c r="D4780" s="88" t="s">
        <v>4661</v>
      </c>
      <c r="E4780" s="88" t="s">
        <v>61</v>
      </c>
      <c r="F4780" s="88">
        <v>0</v>
      </c>
      <c r="G4780" s="78">
        <f>MAX(H4780,I4780,J4780)</f>
        <v>0</v>
      </c>
      <c r="H4780" s="88"/>
      <c r="I4780" s="88"/>
      <c r="J4780" s="78">
        <f>MAX(K4780:Q4780)</f>
        <v>0</v>
      </c>
      <c r="K4780" s="88"/>
      <c r="L4780" s="88"/>
      <c r="M4780" s="88"/>
      <c r="N4780" s="88"/>
      <c r="O4780" s="88"/>
      <c r="P4780" s="88"/>
      <c r="Q4780" s="88"/>
      <c r="R4780" s="78">
        <f>MAX(S4780:W4780)</f>
        <v>1</v>
      </c>
      <c r="S4780" s="88"/>
      <c r="T4780" s="88"/>
      <c r="U4780" s="88">
        <v>1</v>
      </c>
      <c r="V4780" s="88"/>
      <c r="W4780" s="88"/>
    </row>
    <row r="4781" spans="2:23" s="0" customFormat="0" ht="15">
      <c r="B4781" s="87" t="s">
        <v>1</v>
      </c>
      <c r="C4781" s="88" t="s">
        <v>5259</v>
      </c>
      <c r="D4781" s="88">
        <v>19203904</v>
      </c>
      <c r="E4781" s="88" t="s">
        <v>61</v>
      </c>
      <c r="F4781" s="88">
        <v>0</v>
      </c>
      <c r="G4781" s="78">
        <f>MAX(H4781,I4781,J4781)</f>
        <v>1</v>
      </c>
      <c r="H4781" s="88"/>
      <c r="I4781" s="88"/>
      <c r="J4781" s="78">
        <f>MAX(K4781:Q4781)</f>
        <v>1</v>
      </c>
      <c r="K4781" s="88">
        <v>1</v>
      </c>
      <c r="L4781" s="88"/>
      <c r="M4781" s="88"/>
      <c r="N4781" s="88"/>
      <c r="O4781" s="88"/>
      <c r="P4781" s="88"/>
      <c r="Q4781" s="88"/>
      <c r="R4781" s="78">
        <f>MAX(S4781:W4781)</f>
        <v>0</v>
      </c>
      <c r="S4781" s="88"/>
      <c r="T4781" s="88"/>
      <c r="U4781" s="88"/>
      <c r="V4781" s="88"/>
      <c r="W4781" s="88"/>
    </row>
    <row r="4782" spans="2:23" s="0" customFormat="0" ht="15">
      <c r="B4782" s="87" t="s">
        <v>1</v>
      </c>
      <c r="C4782" s="88" t="s">
        <v>5259</v>
      </c>
      <c r="D4782" s="88">
        <v>9126831</v>
      </c>
      <c r="E4782" s="88" t="s">
        <v>61</v>
      </c>
      <c r="F4782" s="88">
        <v>0</v>
      </c>
      <c r="G4782" s="78">
        <f>MAX(H4782,I4782,J4782)</f>
        <v>1</v>
      </c>
      <c r="H4782" s="88"/>
      <c r="I4782" s="88"/>
      <c r="J4782" s="78">
        <f>MAX(K4782:Q4782)</f>
        <v>1</v>
      </c>
      <c r="K4782" s="88">
        <v>1</v>
      </c>
      <c r="L4782" s="88"/>
      <c r="M4782" s="88"/>
      <c r="N4782" s="88"/>
      <c r="O4782" s="88"/>
      <c r="P4782" s="88"/>
      <c r="Q4782" s="88"/>
      <c r="R4782" s="78">
        <f>MAX(S4782:W4782)</f>
        <v>0</v>
      </c>
      <c r="S4782" s="88"/>
      <c r="T4782" s="88"/>
      <c r="U4782" s="88"/>
      <c r="V4782" s="88"/>
      <c r="W4782" s="88"/>
    </row>
    <row r="4783" spans="2:23" s="0" customFormat="0" ht="15">
      <c r="B4783" s="87" t="s">
        <v>1</v>
      </c>
      <c r="C4783" s="88" t="s">
        <v>5259</v>
      </c>
      <c r="D4783" s="88">
        <v>14122091</v>
      </c>
      <c r="E4783" s="88" t="s">
        <v>61</v>
      </c>
      <c r="F4783" s="88">
        <v>0</v>
      </c>
      <c r="G4783" s="78">
        <f>MAX(H4783,I4783,J4783)</f>
        <v>1</v>
      </c>
      <c r="H4783" s="88"/>
      <c r="I4783" s="88"/>
      <c r="J4783" s="78">
        <f>MAX(K4783:Q4783)</f>
        <v>1</v>
      </c>
      <c r="K4783" s="88">
        <v>1</v>
      </c>
      <c r="L4783" s="88"/>
      <c r="M4783" s="88"/>
      <c r="N4783" s="88"/>
      <c r="O4783" s="88"/>
      <c r="P4783" s="88"/>
      <c r="Q4783" s="88"/>
      <c r="R4783" s="78">
        <f>MAX(S4783:W4783)</f>
        <v>0</v>
      </c>
      <c r="S4783" s="88"/>
      <c r="T4783" s="88"/>
      <c r="U4783" s="88"/>
      <c r="V4783" s="88"/>
      <c r="W4783" s="88"/>
    </row>
    <row r="4784" spans="2:23" s="0" customFormat="0" ht="15">
      <c r="B4784" s="87" t="s">
        <v>1</v>
      </c>
      <c r="C4784" s="88" t="s">
        <v>5259</v>
      </c>
      <c r="D4784" s="88">
        <v>18702634</v>
      </c>
      <c r="E4784" s="88" t="s">
        <v>61</v>
      </c>
      <c r="F4784" s="88">
        <v>0</v>
      </c>
      <c r="G4784" s="78">
        <f>MAX(H4784,I4784,J4784)</f>
        <v>1</v>
      </c>
      <c r="H4784" s="88"/>
      <c r="I4784" s="88"/>
      <c r="J4784" s="78">
        <f>MAX(K4784:Q4784)</f>
        <v>1</v>
      </c>
      <c r="K4784" s="88">
        <v>1</v>
      </c>
      <c r="L4784" s="88"/>
      <c r="M4784" s="88"/>
      <c r="N4784" s="88"/>
      <c r="O4784" s="88"/>
      <c r="P4784" s="88"/>
      <c r="Q4784" s="88"/>
      <c r="R4784" s="78">
        <f>MAX(S4784:W4784)</f>
        <v>0</v>
      </c>
      <c r="S4784" s="88"/>
      <c r="T4784" s="88"/>
      <c r="U4784" s="88"/>
      <c r="V4784" s="88"/>
      <c r="W4784" s="88"/>
    </row>
    <row r="4785" spans="2:23" s="0" customFormat="0" ht="15">
      <c r="B4785" s="87" t="s">
        <v>1</v>
      </c>
      <c r="C4785" s="88" t="s">
        <v>5259</v>
      </c>
      <c r="D4785" s="88" t="s">
        <v>4324</v>
      </c>
      <c r="E4785" s="88" t="s">
        <v>61</v>
      </c>
      <c r="F4785" s="88">
        <v>0</v>
      </c>
      <c r="G4785" s="78">
        <f>MAX(H4785,I4785,J4785)</f>
        <v>0</v>
      </c>
      <c r="H4785" s="88"/>
      <c r="I4785" s="88"/>
      <c r="J4785" s="78">
        <f>MAX(K4785:Q4785)</f>
        <v>0</v>
      </c>
      <c r="K4785" s="88"/>
      <c r="L4785" s="88"/>
      <c r="M4785" s="88"/>
      <c r="N4785" s="88"/>
      <c r="O4785" s="88"/>
      <c r="P4785" s="88"/>
      <c r="Q4785" s="88"/>
      <c r="R4785" s="78">
        <f>MAX(S4785:W4785)</f>
        <v>1</v>
      </c>
      <c r="S4785" s="88"/>
      <c r="T4785" s="88"/>
      <c r="U4785" s="88">
        <v>1</v>
      </c>
      <c r="V4785" s="88"/>
      <c r="W4785" s="88"/>
    </row>
    <row r="4786" spans="2:23" s="0" customFormat="0" ht="15">
      <c r="B4786" s="87" t="s">
        <v>1</v>
      </c>
      <c r="C4786" s="88" t="s">
        <v>5259</v>
      </c>
      <c r="D4786" s="88">
        <v>12544779</v>
      </c>
      <c r="E4786" s="88" t="s">
        <v>61</v>
      </c>
      <c r="F4786" s="88">
        <v>0</v>
      </c>
      <c r="G4786" s="78">
        <f>MAX(H4786,I4786,J4786)</f>
        <v>1</v>
      </c>
      <c r="H4786" s="88"/>
      <c r="I4786" s="88"/>
      <c r="J4786" s="78">
        <f>MAX(K4786:Q4786)</f>
        <v>1</v>
      </c>
      <c r="K4786" s="88">
        <v>1</v>
      </c>
      <c r="L4786" s="88"/>
      <c r="M4786" s="88"/>
      <c r="N4786" s="88"/>
      <c r="O4786" s="88"/>
      <c r="P4786" s="88"/>
      <c r="Q4786" s="88"/>
      <c r="R4786" s="78">
        <f>MAX(S4786:W4786)</f>
        <v>0</v>
      </c>
      <c r="S4786" s="88"/>
      <c r="T4786" s="88"/>
      <c r="U4786" s="88"/>
      <c r="V4786" s="88"/>
      <c r="W4786" s="88"/>
    </row>
    <row r="4787" spans="2:23" s="0" customFormat="0" ht="15">
      <c r="B4787" s="87" t="s">
        <v>1</v>
      </c>
      <c r="C4787" s="88" t="s">
        <v>5259</v>
      </c>
      <c r="D4787" s="88">
        <v>17020309</v>
      </c>
      <c r="E4787" s="88" t="s">
        <v>61</v>
      </c>
      <c r="F4787" s="88">
        <v>0</v>
      </c>
      <c r="G4787" s="78">
        <f>MAX(H4787,I4787,J4787)</f>
        <v>1</v>
      </c>
      <c r="H4787" s="88"/>
      <c r="I4787" s="88"/>
      <c r="J4787" s="78">
        <f>MAX(K4787:Q4787)</f>
        <v>1</v>
      </c>
      <c r="K4787" s="88">
        <v>1</v>
      </c>
      <c r="L4787" s="88"/>
      <c r="M4787" s="88"/>
      <c r="N4787" s="88"/>
      <c r="O4787" s="88"/>
      <c r="P4787" s="88"/>
      <c r="Q4787" s="88"/>
      <c r="R4787" s="78">
        <f>MAX(S4787:W4787)</f>
        <v>0</v>
      </c>
      <c r="S4787" s="88"/>
      <c r="T4787" s="88"/>
      <c r="U4787" s="88"/>
      <c r="V4787" s="88"/>
      <c r="W4787" s="88"/>
    </row>
    <row r="4788" spans="2:23" s="0" customFormat="0" ht="15">
      <c r="B4788" s="87" t="s">
        <v>1</v>
      </c>
      <c r="C4788" s="88" t="s">
        <v>5259</v>
      </c>
      <c r="D4788" s="88" t="s">
        <v>3306</v>
      </c>
      <c r="E4788" s="88" t="s">
        <v>61</v>
      </c>
      <c r="F4788" s="88">
        <v>0</v>
      </c>
      <c r="G4788" s="78">
        <f>MAX(H4788,I4788,J4788)</f>
        <v>0</v>
      </c>
      <c r="H4788" s="88"/>
      <c r="I4788" s="88"/>
      <c r="J4788" s="78">
        <f>MAX(K4788:Q4788)</f>
        <v>0</v>
      </c>
      <c r="K4788" s="88"/>
      <c r="L4788" s="88"/>
      <c r="M4788" s="88"/>
      <c r="N4788" s="88"/>
      <c r="O4788" s="88"/>
      <c r="P4788" s="88"/>
      <c r="Q4788" s="88"/>
      <c r="R4788" s="78">
        <f>MAX(S4788:W4788)</f>
        <v>1</v>
      </c>
      <c r="S4788" s="88"/>
      <c r="T4788" s="88"/>
      <c r="U4788" s="88">
        <v>1</v>
      </c>
      <c r="V4788" s="88"/>
      <c r="W4788" s="88"/>
    </row>
    <row r="4789" spans="2:23" s="0" customFormat="0" ht="15">
      <c r="B4789" s="87" t="s">
        <v>1</v>
      </c>
      <c r="C4789" s="88" t="s">
        <v>5259</v>
      </c>
      <c r="D4789" s="88">
        <v>22246382</v>
      </c>
      <c r="E4789" s="88" t="s">
        <v>61</v>
      </c>
      <c r="F4789" s="88">
        <v>0</v>
      </c>
      <c r="G4789" s="78">
        <f>MAX(H4789,I4789,J4789)</f>
        <v>1</v>
      </c>
      <c r="H4789" s="88"/>
      <c r="I4789" s="88"/>
      <c r="J4789" s="78">
        <f>MAX(K4789:Q4789)</f>
        <v>1</v>
      </c>
      <c r="K4789" s="88">
        <v>1</v>
      </c>
      <c r="L4789" s="88"/>
      <c r="M4789" s="88"/>
      <c r="N4789" s="88"/>
      <c r="O4789" s="88"/>
      <c r="P4789" s="88"/>
      <c r="Q4789" s="88"/>
      <c r="R4789" s="78">
        <f>MAX(S4789:W4789)</f>
        <v>0</v>
      </c>
      <c r="S4789" s="88"/>
      <c r="T4789" s="88"/>
      <c r="U4789" s="88"/>
      <c r="V4789" s="88"/>
      <c r="W4789" s="88"/>
    </row>
    <row r="4790" spans="2:23" s="0" customFormat="0" ht="15">
      <c r="B4790" s="87" t="s">
        <v>1</v>
      </c>
      <c r="C4790" s="88" t="s">
        <v>5259</v>
      </c>
      <c r="D4790" s="88" t="s">
        <v>3303</v>
      </c>
      <c r="E4790" s="88" t="s">
        <v>61</v>
      </c>
      <c r="F4790" s="88">
        <v>0</v>
      </c>
      <c r="G4790" s="78">
        <f>MAX(H4790,I4790,J4790)</f>
        <v>0</v>
      </c>
      <c r="H4790" s="88"/>
      <c r="I4790" s="88"/>
      <c r="J4790" s="78">
        <f>MAX(K4790:Q4790)</f>
        <v>0</v>
      </c>
      <c r="K4790" s="88"/>
      <c r="L4790" s="88"/>
      <c r="M4790" s="88"/>
      <c r="N4790" s="88"/>
      <c r="O4790" s="88"/>
      <c r="P4790" s="88"/>
      <c r="Q4790" s="88"/>
      <c r="R4790" s="78">
        <f>MAX(S4790:W4790)</f>
        <v>1</v>
      </c>
      <c r="S4790" s="88"/>
      <c r="T4790" s="88"/>
      <c r="U4790" s="88">
        <v>1</v>
      </c>
      <c r="V4790" s="88"/>
      <c r="W4790" s="88"/>
    </row>
    <row r="4791" spans="2:23" s="0" customFormat="0" ht="15">
      <c r="B4791" s="87" t="s">
        <v>1</v>
      </c>
      <c r="C4791" s="88" t="s">
        <v>5259</v>
      </c>
      <c r="D4791" s="88">
        <v>19863537</v>
      </c>
      <c r="E4791" s="88" t="s">
        <v>61</v>
      </c>
      <c r="F4791" s="88">
        <v>0</v>
      </c>
      <c r="G4791" s="78">
        <f>MAX(H4791,I4791,J4791)</f>
        <v>1</v>
      </c>
      <c r="H4791" s="88"/>
      <c r="I4791" s="88"/>
      <c r="J4791" s="78">
        <f>MAX(K4791:Q4791)</f>
        <v>1</v>
      </c>
      <c r="K4791" s="88">
        <v>1</v>
      </c>
      <c r="L4791" s="88"/>
      <c r="M4791" s="88"/>
      <c r="N4791" s="88"/>
      <c r="O4791" s="88"/>
      <c r="P4791" s="88"/>
      <c r="Q4791" s="88"/>
      <c r="R4791" s="78">
        <f>MAX(S4791:W4791)</f>
        <v>0</v>
      </c>
      <c r="S4791" s="88"/>
      <c r="T4791" s="88"/>
      <c r="U4791" s="88"/>
      <c r="V4791" s="88"/>
      <c r="W4791" s="88"/>
    </row>
    <row r="4792" spans="2:23" s="0" customFormat="0" ht="15">
      <c r="B4792" s="87" t="s">
        <v>1</v>
      </c>
      <c r="C4792" s="88" t="s">
        <v>5259</v>
      </c>
      <c r="D4792" s="88" t="s">
        <v>190</v>
      </c>
      <c r="E4792" s="88" t="s">
        <v>61</v>
      </c>
      <c r="F4792" s="88">
        <v>0</v>
      </c>
      <c r="G4792" s="78">
        <f>MAX(H4792,I4792,J4792)</f>
        <v>1</v>
      </c>
      <c r="H4792" s="88"/>
      <c r="I4792" s="88"/>
      <c r="J4792" s="78">
        <f>MAX(K4792:Q4792)</f>
        <v>1</v>
      </c>
      <c r="K4792" s="88">
        <v>1</v>
      </c>
      <c r="L4792" s="88"/>
      <c r="M4792" s="88"/>
      <c r="N4792" s="88"/>
      <c r="O4792" s="88"/>
      <c r="P4792" s="88"/>
      <c r="Q4792" s="88"/>
      <c r="R4792" s="78">
        <f>MAX(S4792:W4792)</f>
        <v>0</v>
      </c>
      <c r="S4792" s="88"/>
      <c r="T4792" s="88"/>
      <c r="U4792" s="88"/>
      <c r="V4792" s="88"/>
      <c r="W4792" s="88"/>
    </row>
    <row r="4793" spans="2:23" s="0" customFormat="0" ht="15">
      <c r="B4793" s="87" t="s">
        <v>1</v>
      </c>
      <c r="C4793" s="88" t="s">
        <v>5259</v>
      </c>
      <c r="D4793" s="88">
        <v>12853219</v>
      </c>
      <c r="E4793" s="88" t="s">
        <v>61</v>
      </c>
      <c r="F4793" s="88">
        <v>0</v>
      </c>
      <c r="G4793" s="78">
        <f>MAX(H4793,I4793,J4793)</f>
        <v>1</v>
      </c>
      <c r="H4793" s="88"/>
      <c r="I4793" s="88"/>
      <c r="J4793" s="78">
        <f>MAX(K4793:Q4793)</f>
        <v>1</v>
      </c>
      <c r="K4793" s="88">
        <v>1</v>
      </c>
      <c r="L4793" s="88"/>
      <c r="M4793" s="88"/>
      <c r="N4793" s="88"/>
      <c r="O4793" s="88"/>
      <c r="P4793" s="88"/>
      <c r="Q4793" s="88"/>
      <c r="R4793" s="78">
        <f>MAX(S4793:W4793)</f>
        <v>0</v>
      </c>
      <c r="S4793" s="88"/>
      <c r="T4793" s="88"/>
      <c r="U4793" s="88"/>
      <c r="V4793" s="88"/>
      <c r="W4793" s="88"/>
    </row>
    <row r="4794" spans="2:23" s="0" customFormat="0" ht="15">
      <c r="B4794" s="87" t="s">
        <v>1</v>
      </c>
      <c r="C4794" s="88" t="s">
        <v>5259</v>
      </c>
      <c r="D4794" s="88">
        <v>17849963</v>
      </c>
      <c r="E4794" s="88" t="s">
        <v>61</v>
      </c>
      <c r="F4794" s="88">
        <v>0</v>
      </c>
      <c r="G4794" s="78">
        <f>MAX(H4794,I4794,J4794)</f>
        <v>0</v>
      </c>
      <c r="H4794" s="88"/>
      <c r="I4794" s="88"/>
      <c r="J4794" s="78">
        <f>MAX(K4794:Q4794)</f>
        <v>0</v>
      </c>
      <c r="K4794" s="88"/>
      <c r="L4794" s="88"/>
      <c r="M4794" s="88"/>
      <c r="N4794" s="88"/>
      <c r="O4794" s="88"/>
      <c r="P4794" s="88"/>
      <c r="Q4794" s="88"/>
      <c r="R4794" s="78">
        <f>MAX(S4794:W4794)</f>
        <v>1</v>
      </c>
      <c r="S4794" s="88"/>
      <c r="T4794" s="88"/>
      <c r="U4794" s="88">
        <v>1</v>
      </c>
      <c r="V4794" s="88"/>
      <c r="W4794" s="88"/>
    </row>
    <row r="4795" spans="2:23" s="0" customFormat="0" ht="15">
      <c r="B4795" s="87" t="s">
        <v>1</v>
      </c>
      <c r="C4795" s="88" t="s">
        <v>5259</v>
      </c>
      <c r="D4795" s="88">
        <v>18423593</v>
      </c>
      <c r="E4795" s="88" t="s">
        <v>61</v>
      </c>
      <c r="F4795" s="88">
        <v>0</v>
      </c>
      <c r="G4795" s="78">
        <f>MAX(H4795,I4795,J4795)</f>
        <v>0</v>
      </c>
      <c r="H4795" s="88"/>
      <c r="I4795" s="88"/>
      <c r="J4795" s="78">
        <f>MAX(K4795:Q4795)</f>
        <v>0</v>
      </c>
      <c r="K4795" s="88"/>
      <c r="L4795" s="88"/>
      <c r="M4795" s="88"/>
      <c r="N4795" s="88"/>
      <c r="O4795" s="88"/>
      <c r="P4795" s="88"/>
      <c r="Q4795" s="88"/>
      <c r="R4795" s="78">
        <f>MAX(S4795:W4795)</f>
        <v>1</v>
      </c>
      <c r="S4795" s="88"/>
      <c r="T4795" s="88"/>
      <c r="U4795" s="88">
        <v>1</v>
      </c>
      <c r="V4795" s="88"/>
      <c r="W4795" s="88"/>
    </row>
    <row r="4796" spans="2:23" s="0" customFormat="0" ht="15">
      <c r="B4796" s="87" t="s">
        <v>1</v>
      </c>
      <c r="C4796" s="88" t="s">
        <v>5259</v>
      </c>
      <c r="D4796" s="88">
        <v>20904570</v>
      </c>
      <c r="E4796" s="88" t="s">
        <v>61</v>
      </c>
      <c r="F4796" s="88">
        <v>0</v>
      </c>
      <c r="G4796" s="78">
        <f>MAX(H4796,I4796,J4796)</f>
        <v>1</v>
      </c>
      <c r="H4796" s="88"/>
      <c r="I4796" s="88"/>
      <c r="J4796" s="78">
        <f>MAX(K4796:Q4796)</f>
        <v>1</v>
      </c>
      <c r="K4796" s="88"/>
      <c r="L4796" s="88"/>
      <c r="M4796" s="88">
        <v>1</v>
      </c>
      <c r="N4796" s="88"/>
      <c r="O4796" s="88"/>
      <c r="P4796" s="88"/>
      <c r="Q4796" s="88"/>
      <c r="R4796" s="78">
        <f>MAX(S4796:W4796)</f>
        <v>0</v>
      </c>
      <c r="S4796" s="88"/>
      <c r="T4796" s="88"/>
      <c r="U4796" s="88"/>
      <c r="V4796" s="88"/>
      <c r="W4796" s="88"/>
    </row>
    <row r="4797" spans="2:23" s="0" customFormat="0" ht="15">
      <c r="B4797" s="87" t="s">
        <v>1</v>
      </c>
      <c r="C4797" s="88" t="s">
        <v>5259</v>
      </c>
      <c r="D4797" s="88">
        <v>13123509</v>
      </c>
      <c r="E4797" s="88" t="s">
        <v>61</v>
      </c>
      <c r="F4797" s="88">
        <v>0</v>
      </c>
      <c r="G4797" s="78">
        <f>MAX(H4797,I4797,J4797)</f>
        <v>1</v>
      </c>
      <c r="H4797" s="88"/>
      <c r="I4797" s="88"/>
      <c r="J4797" s="78">
        <f>MAX(K4797:Q4797)</f>
        <v>1</v>
      </c>
      <c r="K4797" s="88">
        <v>1</v>
      </c>
      <c r="L4797" s="88"/>
      <c r="M4797" s="88"/>
      <c r="N4797" s="88"/>
      <c r="O4797" s="88"/>
      <c r="P4797" s="88"/>
      <c r="Q4797" s="88"/>
      <c r="R4797" s="78">
        <f>MAX(S4797:W4797)</f>
        <v>0</v>
      </c>
      <c r="S4797" s="88"/>
      <c r="T4797" s="88"/>
      <c r="U4797" s="88"/>
      <c r="V4797" s="88"/>
      <c r="W4797" s="88"/>
    </row>
    <row r="4798" spans="2:23" s="0" customFormat="0" ht="15">
      <c r="B4798" s="87" t="s">
        <v>1</v>
      </c>
      <c r="C4798" s="88" t="s">
        <v>5259</v>
      </c>
      <c r="D4798" s="88" t="s">
        <v>4872</v>
      </c>
      <c r="E4798" s="88" t="s">
        <v>61</v>
      </c>
      <c r="F4798" s="88">
        <v>0</v>
      </c>
      <c r="G4798" s="78">
        <f>MAX(H4798,I4798,J4798)</f>
        <v>0</v>
      </c>
      <c r="H4798" s="88"/>
      <c r="I4798" s="88"/>
      <c r="J4798" s="78">
        <f>MAX(K4798:Q4798)</f>
        <v>0</v>
      </c>
      <c r="K4798" s="88"/>
      <c r="L4798" s="88"/>
      <c r="M4798" s="88"/>
      <c r="N4798" s="88"/>
      <c r="O4798" s="88"/>
      <c r="P4798" s="88"/>
      <c r="Q4798" s="88"/>
      <c r="R4798" s="78">
        <f>MAX(S4798:W4798)</f>
        <v>1</v>
      </c>
      <c r="S4798" s="88"/>
      <c r="T4798" s="88"/>
      <c r="U4798" s="88">
        <v>1</v>
      </c>
      <c r="V4798" s="88"/>
      <c r="W4798" s="88"/>
    </row>
    <row r="4799" spans="2:23" s="0" customFormat="0" ht="15">
      <c r="B4799" s="87" t="s">
        <v>1</v>
      </c>
      <c r="C4799" s="88" t="s">
        <v>5259</v>
      </c>
      <c r="D4799" s="88">
        <v>17407831</v>
      </c>
      <c r="E4799" s="88" t="s">
        <v>61</v>
      </c>
      <c r="F4799" s="88">
        <v>0</v>
      </c>
      <c r="G4799" s="78">
        <f>MAX(H4799,I4799,J4799)</f>
        <v>1</v>
      </c>
      <c r="H4799" s="88"/>
      <c r="I4799" s="88"/>
      <c r="J4799" s="78">
        <f>MAX(K4799:Q4799)</f>
        <v>1</v>
      </c>
      <c r="K4799" s="88">
        <v>1</v>
      </c>
      <c r="L4799" s="88"/>
      <c r="M4799" s="88"/>
      <c r="N4799" s="88"/>
      <c r="O4799" s="88"/>
      <c r="P4799" s="88"/>
      <c r="Q4799" s="88"/>
      <c r="R4799" s="78">
        <f>MAX(S4799:W4799)</f>
        <v>0</v>
      </c>
      <c r="S4799" s="88"/>
      <c r="T4799" s="88"/>
      <c r="U4799" s="88"/>
      <c r="V4799" s="88"/>
      <c r="W4799" s="88"/>
    </row>
    <row r="4800" spans="2:23" s="0" customFormat="0" ht="15">
      <c r="B4800" s="87" t="s">
        <v>1</v>
      </c>
      <c r="C4800" s="88" t="s">
        <v>5259</v>
      </c>
      <c r="D4800" s="88">
        <v>24247289</v>
      </c>
      <c r="E4800" s="88" t="s">
        <v>61</v>
      </c>
      <c r="F4800" s="88">
        <v>0</v>
      </c>
      <c r="G4800" s="78">
        <f>MAX(H4800,I4800,J4800)</f>
        <v>1</v>
      </c>
      <c r="H4800" s="88"/>
      <c r="I4800" s="88"/>
      <c r="J4800" s="78">
        <f>MAX(K4800:Q4800)</f>
        <v>1</v>
      </c>
      <c r="K4800" s="88">
        <v>1</v>
      </c>
      <c r="L4800" s="88"/>
      <c r="M4800" s="88"/>
      <c r="N4800" s="88"/>
      <c r="O4800" s="88"/>
      <c r="P4800" s="88"/>
      <c r="Q4800" s="88"/>
      <c r="R4800" s="78">
        <f>MAX(S4800:W4800)</f>
        <v>0</v>
      </c>
      <c r="S4800" s="88"/>
      <c r="T4800" s="88"/>
      <c r="U4800" s="88"/>
      <c r="V4800" s="88"/>
      <c r="W4800" s="88"/>
    </row>
    <row r="4801" spans="2:23" s="0" customFormat="0" ht="15">
      <c r="B4801" s="87" t="s">
        <v>1</v>
      </c>
      <c r="C4801" s="88" t="s">
        <v>5259</v>
      </c>
      <c r="D4801" s="88">
        <v>16642340</v>
      </c>
      <c r="E4801" s="88" t="s">
        <v>61</v>
      </c>
      <c r="F4801" s="88">
        <v>0</v>
      </c>
      <c r="G4801" s="78">
        <f>MAX(H4801,I4801,J4801)</f>
        <v>1</v>
      </c>
      <c r="H4801" s="88"/>
      <c r="I4801" s="88"/>
      <c r="J4801" s="78">
        <f>MAX(K4801:Q4801)</f>
        <v>1</v>
      </c>
      <c r="K4801" s="88">
        <v>1</v>
      </c>
      <c r="L4801" s="88"/>
      <c r="M4801" s="88"/>
      <c r="N4801" s="88"/>
      <c r="O4801" s="88"/>
      <c r="P4801" s="88"/>
      <c r="Q4801" s="88"/>
      <c r="R4801" s="78">
        <f>MAX(S4801:W4801)</f>
        <v>0</v>
      </c>
      <c r="S4801" s="88"/>
      <c r="T4801" s="88"/>
      <c r="U4801" s="88"/>
      <c r="V4801" s="88"/>
      <c r="W4801" s="88"/>
    </row>
    <row r="4802" spans="2:23" s="0" customFormat="0" ht="15">
      <c r="B4802" s="87" t="s">
        <v>1</v>
      </c>
      <c r="C4802" s="88" t="s">
        <v>5259</v>
      </c>
      <c r="D4802" s="88">
        <v>13167407</v>
      </c>
      <c r="E4802" s="88" t="s">
        <v>61</v>
      </c>
      <c r="F4802" s="88">
        <v>0</v>
      </c>
      <c r="G4802" s="78">
        <f>MAX(H4802,I4802,J4802)</f>
        <v>1</v>
      </c>
      <c r="H4802" s="88"/>
      <c r="I4802" s="88"/>
      <c r="J4802" s="78">
        <f>MAX(K4802:Q4802)</f>
        <v>1</v>
      </c>
      <c r="K4802" s="88">
        <v>1</v>
      </c>
      <c r="L4802" s="88"/>
      <c r="M4802" s="88"/>
      <c r="N4802" s="88"/>
      <c r="O4802" s="88"/>
      <c r="P4802" s="88"/>
      <c r="Q4802" s="88"/>
      <c r="R4802" s="78">
        <f>MAX(S4802:W4802)</f>
        <v>0</v>
      </c>
      <c r="S4802" s="88"/>
      <c r="T4802" s="88"/>
      <c r="U4802" s="88"/>
      <c r="V4802" s="88"/>
      <c r="W4802" s="88"/>
    </row>
    <row r="4803" spans="2:23" s="0" customFormat="0" ht="15">
      <c r="B4803" s="87" t="s">
        <v>1</v>
      </c>
      <c r="C4803" s="88" t="s">
        <v>5259</v>
      </c>
      <c r="D4803" s="88" t="s">
        <v>5042</v>
      </c>
      <c r="E4803" s="88" t="s">
        <v>61</v>
      </c>
      <c r="F4803" s="88">
        <v>0</v>
      </c>
      <c r="G4803" s="78">
        <f>MAX(H4803,I4803,J4803)</f>
        <v>0</v>
      </c>
      <c r="H4803" s="88"/>
      <c r="I4803" s="88"/>
      <c r="J4803" s="78">
        <f>MAX(K4803:Q4803)</f>
        <v>0</v>
      </c>
      <c r="K4803" s="88"/>
      <c r="L4803" s="88"/>
      <c r="M4803" s="88"/>
      <c r="N4803" s="88"/>
      <c r="O4803" s="88"/>
      <c r="P4803" s="88"/>
      <c r="Q4803" s="88"/>
      <c r="R4803" s="78">
        <f>MAX(S4803:W4803)</f>
        <v>1</v>
      </c>
      <c r="S4803" s="88"/>
      <c r="T4803" s="88"/>
      <c r="U4803" s="88">
        <v>1</v>
      </c>
      <c r="V4803" s="88"/>
      <c r="W4803" s="88"/>
    </row>
    <row r="4804" spans="2:23" s="0" customFormat="0" ht="15">
      <c r="B4804" s="87" t="s">
        <v>1</v>
      </c>
      <c r="C4804" s="88" t="s">
        <v>5259</v>
      </c>
      <c r="D4804" s="88" t="s">
        <v>5044</v>
      </c>
      <c r="E4804" s="88" t="s">
        <v>61</v>
      </c>
      <c r="F4804" s="88">
        <v>0</v>
      </c>
      <c r="G4804" s="78">
        <f>MAX(H4804,I4804,J4804)</f>
        <v>0</v>
      </c>
      <c r="H4804" s="88"/>
      <c r="I4804" s="88"/>
      <c r="J4804" s="78">
        <f>MAX(K4804:Q4804)</f>
        <v>0</v>
      </c>
      <c r="K4804" s="88"/>
      <c r="L4804" s="88"/>
      <c r="M4804" s="88"/>
      <c r="N4804" s="88"/>
      <c r="O4804" s="88"/>
      <c r="P4804" s="88"/>
      <c r="Q4804" s="88"/>
      <c r="R4804" s="78">
        <f>MAX(S4804:W4804)</f>
        <v>1</v>
      </c>
      <c r="S4804" s="88"/>
      <c r="T4804" s="88"/>
      <c r="U4804" s="88">
        <v>1</v>
      </c>
      <c r="V4804" s="88"/>
      <c r="W4804" s="88"/>
    </row>
    <row r="4805" spans="2:23" s="0" customFormat="0" ht="15">
      <c r="B4805" s="87" t="s">
        <v>1</v>
      </c>
      <c r="C4805" s="88" t="s">
        <v>5259</v>
      </c>
      <c r="D4805" s="88">
        <v>11359229</v>
      </c>
      <c r="E4805" s="88" t="s">
        <v>61</v>
      </c>
      <c r="F4805" s="88">
        <v>0</v>
      </c>
      <c r="G4805" s="78">
        <f>MAX(H4805,I4805,J4805)</f>
        <v>1</v>
      </c>
      <c r="H4805" s="88"/>
      <c r="I4805" s="88"/>
      <c r="J4805" s="78">
        <f>MAX(K4805:Q4805)</f>
        <v>1</v>
      </c>
      <c r="K4805" s="88">
        <v>1</v>
      </c>
      <c r="L4805" s="88"/>
      <c r="M4805" s="88"/>
      <c r="N4805" s="88"/>
      <c r="O4805" s="88"/>
      <c r="P4805" s="88"/>
      <c r="Q4805" s="88"/>
      <c r="R4805" s="78">
        <f>MAX(S4805:W4805)</f>
        <v>0</v>
      </c>
      <c r="S4805" s="88"/>
      <c r="T4805" s="88"/>
      <c r="U4805" s="88"/>
      <c r="V4805" s="88"/>
      <c r="W4805" s="88"/>
    </row>
    <row r="4806" spans="2:23" s="0" customFormat="0" ht="15">
      <c r="B4806" s="87" t="s">
        <v>1</v>
      </c>
      <c r="C4806" s="88" t="s">
        <v>5259</v>
      </c>
      <c r="D4806" s="88">
        <v>20668384</v>
      </c>
      <c r="E4806" s="88" t="s">
        <v>61</v>
      </c>
      <c r="F4806" s="88">
        <v>0</v>
      </c>
      <c r="G4806" s="78">
        <f>MAX(H4806,I4806,J4806)</f>
        <v>1</v>
      </c>
      <c r="H4806" s="88"/>
      <c r="I4806" s="88"/>
      <c r="J4806" s="78">
        <f>MAX(K4806:Q4806)</f>
        <v>1</v>
      </c>
      <c r="K4806" s="88">
        <v>1</v>
      </c>
      <c r="L4806" s="88"/>
      <c r="M4806" s="88"/>
      <c r="N4806" s="88"/>
      <c r="O4806" s="88"/>
      <c r="P4806" s="88"/>
      <c r="Q4806" s="88"/>
      <c r="R4806" s="78">
        <f>MAX(S4806:W4806)</f>
        <v>0</v>
      </c>
      <c r="S4806" s="88"/>
      <c r="T4806" s="88"/>
      <c r="U4806" s="88"/>
      <c r="V4806" s="88"/>
      <c r="W4806" s="88"/>
    </row>
    <row r="4807" spans="2:23" s="0" customFormat="0" ht="15">
      <c r="B4807" s="87" t="s">
        <v>1</v>
      </c>
      <c r="C4807" s="88" t="s">
        <v>5259</v>
      </c>
      <c r="D4807" s="88">
        <v>6350660</v>
      </c>
      <c r="E4807" s="88" t="s">
        <v>61</v>
      </c>
      <c r="F4807" s="88">
        <v>0</v>
      </c>
      <c r="G4807" s="78">
        <f>MAX(H4807,I4807,J4807)</f>
        <v>1</v>
      </c>
      <c r="H4807" s="88"/>
      <c r="I4807" s="88"/>
      <c r="J4807" s="78">
        <f>MAX(K4807:Q4807)</f>
        <v>1</v>
      </c>
      <c r="K4807" s="88">
        <v>1</v>
      </c>
      <c r="L4807" s="88"/>
      <c r="M4807" s="88"/>
      <c r="N4807" s="88"/>
      <c r="O4807" s="88"/>
      <c r="P4807" s="88"/>
      <c r="Q4807" s="88"/>
      <c r="R4807" s="78">
        <f>MAX(S4807:W4807)</f>
        <v>0</v>
      </c>
      <c r="S4807" s="88"/>
      <c r="T4807" s="88"/>
      <c r="U4807" s="88"/>
      <c r="V4807" s="88"/>
      <c r="W4807" s="88"/>
    </row>
    <row r="4808" spans="2:23" s="0" customFormat="0" ht="15">
      <c r="B4808" s="87" t="s">
        <v>1</v>
      </c>
      <c r="C4808" s="88" t="s">
        <v>5259</v>
      </c>
      <c r="D4808" s="88">
        <v>17542240</v>
      </c>
      <c r="E4808" s="88" t="s">
        <v>61</v>
      </c>
      <c r="F4808" s="88">
        <v>0</v>
      </c>
      <c r="G4808" s="78">
        <f>MAX(H4808,I4808,J4808)</f>
        <v>1</v>
      </c>
      <c r="H4808" s="88"/>
      <c r="I4808" s="88"/>
      <c r="J4808" s="78">
        <f>MAX(K4808:Q4808)</f>
        <v>1</v>
      </c>
      <c r="K4808" s="88">
        <v>1</v>
      </c>
      <c r="L4808" s="88"/>
      <c r="M4808" s="88"/>
      <c r="N4808" s="88"/>
      <c r="O4808" s="88"/>
      <c r="P4808" s="88"/>
      <c r="Q4808" s="88"/>
      <c r="R4808" s="78">
        <f>MAX(S4808:W4808)</f>
        <v>0</v>
      </c>
      <c r="S4808" s="88"/>
      <c r="T4808" s="88"/>
      <c r="U4808" s="88"/>
      <c r="V4808" s="88"/>
      <c r="W4808" s="88"/>
    </row>
    <row r="4809" spans="2:23" s="0" customFormat="0" ht="15">
      <c r="B4809" s="87" t="s">
        <v>1</v>
      </c>
      <c r="C4809" s="88" t="s">
        <v>5259</v>
      </c>
      <c r="D4809" s="88">
        <v>9424878</v>
      </c>
      <c r="E4809" s="88" t="s">
        <v>61</v>
      </c>
      <c r="F4809" s="88">
        <v>0</v>
      </c>
      <c r="G4809" s="78">
        <f>MAX(H4809,I4809,J4809)</f>
        <v>1</v>
      </c>
      <c r="H4809" s="88"/>
      <c r="I4809" s="88"/>
      <c r="J4809" s="78">
        <f>MAX(K4809:Q4809)</f>
        <v>1</v>
      </c>
      <c r="K4809" s="88">
        <v>1</v>
      </c>
      <c r="L4809" s="88"/>
      <c r="M4809" s="88"/>
      <c r="N4809" s="88"/>
      <c r="O4809" s="88"/>
      <c r="P4809" s="88"/>
      <c r="Q4809" s="88"/>
      <c r="R4809" s="78">
        <f>MAX(S4809:W4809)</f>
        <v>0</v>
      </c>
      <c r="S4809" s="88"/>
      <c r="T4809" s="88"/>
      <c r="U4809" s="88"/>
      <c r="V4809" s="88"/>
      <c r="W4809" s="88"/>
    </row>
    <row r="4810" spans="2:23" s="0" customFormat="0" ht="15">
      <c r="B4810" s="87" t="s">
        <v>1</v>
      </c>
      <c r="C4810" s="88" t="s">
        <v>5259</v>
      </c>
      <c r="D4810" s="88" t="s">
        <v>2697</v>
      </c>
      <c r="E4810" s="88" t="s">
        <v>61</v>
      </c>
      <c r="F4810" s="88">
        <v>0</v>
      </c>
      <c r="G4810" s="78">
        <f>MAX(H4810,I4810,J4810)</f>
        <v>1</v>
      </c>
      <c r="H4810" s="88"/>
      <c r="I4810" s="88"/>
      <c r="J4810" s="78">
        <f>MAX(K4810:Q4810)</f>
        <v>1</v>
      </c>
      <c r="K4810" s="88">
        <v>1</v>
      </c>
      <c r="L4810" s="88"/>
      <c r="M4810" s="88"/>
      <c r="N4810" s="88"/>
      <c r="O4810" s="88"/>
      <c r="P4810" s="88"/>
      <c r="Q4810" s="88"/>
      <c r="R4810" s="78">
        <f>MAX(S4810:W4810)</f>
        <v>0</v>
      </c>
      <c r="S4810" s="88"/>
      <c r="T4810" s="88"/>
      <c r="U4810" s="88"/>
      <c r="V4810" s="88"/>
      <c r="W4810" s="88"/>
    </row>
    <row r="4811" spans="2:23" s="0" customFormat="0" ht="15">
      <c r="B4811" s="87" t="s">
        <v>1</v>
      </c>
      <c r="C4811" s="88" t="s">
        <v>5259</v>
      </c>
      <c r="D4811" s="88">
        <v>17470939</v>
      </c>
      <c r="E4811" s="88" t="s">
        <v>61</v>
      </c>
      <c r="F4811" s="88">
        <v>0</v>
      </c>
      <c r="G4811" s="78">
        <f>MAX(H4811,I4811,J4811)</f>
        <v>1</v>
      </c>
      <c r="H4811" s="88"/>
      <c r="I4811" s="88"/>
      <c r="J4811" s="78">
        <f>MAX(K4811:Q4811)</f>
        <v>1</v>
      </c>
      <c r="K4811" s="88">
        <v>1</v>
      </c>
      <c r="L4811" s="88"/>
      <c r="M4811" s="88"/>
      <c r="N4811" s="88"/>
      <c r="O4811" s="88"/>
      <c r="P4811" s="88"/>
      <c r="Q4811" s="88"/>
      <c r="R4811" s="78">
        <f>MAX(S4811:W4811)</f>
        <v>0</v>
      </c>
      <c r="S4811" s="88"/>
      <c r="T4811" s="88"/>
      <c r="U4811" s="88"/>
      <c r="V4811" s="88"/>
      <c r="W4811" s="88"/>
    </row>
    <row r="4812" spans="2:23" s="0" customFormat="0" ht="15">
      <c r="B4812" s="87" t="s">
        <v>1</v>
      </c>
      <c r="C4812" s="88" t="s">
        <v>5259</v>
      </c>
      <c r="D4812" s="88">
        <v>21851167</v>
      </c>
      <c r="E4812" s="88" t="s">
        <v>61</v>
      </c>
      <c r="F4812" s="88">
        <v>0</v>
      </c>
      <c r="G4812" s="78">
        <f>MAX(H4812,I4812,J4812)</f>
        <v>1</v>
      </c>
      <c r="H4812" s="88"/>
      <c r="I4812" s="88"/>
      <c r="J4812" s="78">
        <f>MAX(K4812:Q4812)</f>
        <v>1</v>
      </c>
      <c r="K4812" s="88">
        <v>1</v>
      </c>
      <c r="L4812" s="88"/>
      <c r="M4812" s="88"/>
      <c r="N4812" s="88"/>
      <c r="O4812" s="88"/>
      <c r="P4812" s="88"/>
      <c r="Q4812" s="88"/>
      <c r="R4812" s="78">
        <f>MAX(S4812:W4812)</f>
        <v>0</v>
      </c>
      <c r="S4812" s="88"/>
      <c r="T4812" s="88"/>
      <c r="U4812" s="88"/>
      <c r="V4812" s="88"/>
      <c r="W4812" s="88"/>
    </row>
    <row r="4813" spans="2:23" s="0" customFormat="0" ht="15">
      <c r="B4813" s="87" t="s">
        <v>1</v>
      </c>
      <c r="C4813" s="88" t="s">
        <v>5259</v>
      </c>
      <c r="D4813" s="88" t="s">
        <v>5033</v>
      </c>
      <c r="E4813" s="88" t="s">
        <v>61</v>
      </c>
      <c r="F4813" s="88">
        <v>0</v>
      </c>
      <c r="G4813" s="78">
        <f>MAX(H4813,I4813,J4813)</f>
        <v>0</v>
      </c>
      <c r="H4813" s="88"/>
      <c r="I4813" s="88"/>
      <c r="J4813" s="78">
        <f>MAX(K4813:Q4813)</f>
        <v>0</v>
      </c>
      <c r="K4813" s="88"/>
      <c r="L4813" s="88"/>
      <c r="M4813" s="88"/>
      <c r="N4813" s="88"/>
      <c r="O4813" s="88"/>
      <c r="P4813" s="88"/>
      <c r="Q4813" s="88"/>
      <c r="R4813" s="78">
        <f>MAX(S4813:W4813)</f>
        <v>1</v>
      </c>
      <c r="S4813" s="88"/>
      <c r="T4813" s="88"/>
      <c r="U4813" s="88">
        <v>1</v>
      </c>
      <c r="V4813" s="88"/>
      <c r="W4813" s="88"/>
    </row>
    <row r="4814" spans="2:23" s="0" customFormat="0" ht="15">
      <c r="B4814" s="87" t="s">
        <v>1</v>
      </c>
      <c r="C4814" s="88" t="s">
        <v>5259</v>
      </c>
      <c r="D4814" s="88" t="s">
        <v>4971</v>
      </c>
      <c r="E4814" s="88" t="s">
        <v>61</v>
      </c>
      <c r="F4814" s="88">
        <v>0</v>
      </c>
      <c r="G4814" s="78">
        <f>MAX(H4814,I4814,J4814)</f>
        <v>0</v>
      </c>
      <c r="H4814" s="88"/>
      <c r="I4814" s="88"/>
      <c r="J4814" s="78">
        <f>MAX(K4814:Q4814)</f>
        <v>0</v>
      </c>
      <c r="K4814" s="88"/>
      <c r="L4814" s="88"/>
      <c r="M4814" s="88"/>
      <c r="N4814" s="88"/>
      <c r="O4814" s="88"/>
      <c r="P4814" s="88"/>
      <c r="Q4814" s="88"/>
      <c r="R4814" s="78">
        <f>MAX(S4814:W4814)</f>
        <v>1</v>
      </c>
      <c r="S4814" s="88"/>
      <c r="T4814" s="88"/>
      <c r="U4814" s="88">
        <v>1</v>
      </c>
      <c r="V4814" s="88"/>
      <c r="W4814" s="88"/>
    </row>
    <row r="4815" spans="2:23" s="0" customFormat="0" ht="15">
      <c r="B4815" s="87" t="s">
        <v>1</v>
      </c>
      <c r="C4815" s="88" t="s">
        <v>5259</v>
      </c>
      <c r="D4815" s="88">
        <v>16199153</v>
      </c>
      <c r="E4815" s="88" t="s">
        <v>61</v>
      </c>
      <c r="F4815" s="88">
        <v>0</v>
      </c>
      <c r="G4815" s="78">
        <f>MAX(H4815,I4815,J4815)</f>
        <v>1</v>
      </c>
      <c r="H4815" s="88"/>
      <c r="I4815" s="88"/>
      <c r="J4815" s="78">
        <f>MAX(K4815:Q4815)</f>
        <v>1</v>
      </c>
      <c r="K4815" s="88">
        <v>1</v>
      </c>
      <c r="L4815" s="88"/>
      <c r="M4815" s="88"/>
      <c r="N4815" s="88"/>
      <c r="O4815" s="88"/>
      <c r="P4815" s="88"/>
      <c r="Q4815" s="88"/>
      <c r="R4815" s="78">
        <f>MAX(S4815:W4815)</f>
        <v>0</v>
      </c>
      <c r="S4815" s="88"/>
      <c r="T4815" s="88"/>
      <c r="U4815" s="88"/>
      <c r="V4815" s="88"/>
      <c r="W4815" s="88"/>
    </row>
    <row r="4816" spans="2:23" s="0" customFormat="0" ht="15">
      <c r="B4816" s="87" t="s">
        <v>1</v>
      </c>
      <c r="C4816" s="88" t="s">
        <v>5259</v>
      </c>
      <c r="D4816" s="88">
        <v>3130048</v>
      </c>
      <c r="E4816" s="88" t="s">
        <v>61</v>
      </c>
      <c r="F4816" s="88">
        <v>0</v>
      </c>
      <c r="G4816" s="78">
        <f>MAX(H4816,I4816,J4816)</f>
        <v>0</v>
      </c>
      <c r="H4816" s="88"/>
      <c r="I4816" s="88"/>
      <c r="J4816" s="78">
        <f>MAX(K4816:Q4816)</f>
        <v>0</v>
      </c>
      <c r="K4816" s="88"/>
      <c r="L4816" s="88"/>
      <c r="M4816" s="88"/>
      <c r="N4816" s="88"/>
      <c r="O4816" s="88"/>
      <c r="P4816" s="88"/>
      <c r="Q4816" s="88"/>
      <c r="R4816" s="78">
        <f>MAX(S4816:W4816)</f>
        <v>1</v>
      </c>
      <c r="S4816" s="88"/>
      <c r="T4816" s="88"/>
      <c r="U4816" s="88">
        <v>1</v>
      </c>
      <c r="V4816" s="88"/>
      <c r="W4816" s="88"/>
    </row>
    <row r="4817" spans="2:23" s="0" customFormat="0" ht="15">
      <c r="B4817" s="87" t="s">
        <v>1</v>
      </c>
      <c r="C4817" s="88" t="s">
        <v>5259</v>
      </c>
      <c r="D4817" s="88" t="s">
        <v>4205</v>
      </c>
      <c r="E4817" s="88" t="s">
        <v>61</v>
      </c>
      <c r="F4817" s="88">
        <v>0</v>
      </c>
      <c r="G4817" s="78">
        <f>MAX(H4817,I4817,J4817)</f>
        <v>0</v>
      </c>
      <c r="H4817" s="88"/>
      <c r="I4817" s="88"/>
      <c r="J4817" s="78">
        <f>MAX(K4817:Q4817)</f>
        <v>0</v>
      </c>
      <c r="K4817" s="88"/>
      <c r="L4817" s="88"/>
      <c r="M4817" s="88"/>
      <c r="N4817" s="88"/>
      <c r="O4817" s="88"/>
      <c r="P4817" s="88"/>
      <c r="Q4817" s="88"/>
      <c r="R4817" s="78">
        <f>MAX(S4817:W4817)</f>
        <v>1</v>
      </c>
      <c r="S4817" s="88"/>
      <c r="T4817" s="88"/>
      <c r="U4817" s="88">
        <v>1</v>
      </c>
      <c r="V4817" s="88"/>
      <c r="W4817" s="88"/>
    </row>
    <row r="4818" spans="2:23" s="0" customFormat="0" ht="15">
      <c r="B4818" s="87" t="s">
        <v>1</v>
      </c>
      <c r="C4818" s="88" t="s">
        <v>5259</v>
      </c>
      <c r="D4818" s="88" t="s">
        <v>4996</v>
      </c>
      <c r="E4818" s="88" t="s">
        <v>61</v>
      </c>
      <c r="F4818" s="88">
        <v>0</v>
      </c>
      <c r="G4818" s="78">
        <f>MAX(H4818,I4818,J4818)</f>
        <v>0</v>
      </c>
      <c r="H4818" s="88"/>
      <c r="I4818" s="88"/>
      <c r="J4818" s="78">
        <f>MAX(K4818:Q4818)</f>
        <v>0</v>
      </c>
      <c r="K4818" s="88"/>
      <c r="L4818" s="88"/>
      <c r="M4818" s="88"/>
      <c r="N4818" s="88"/>
      <c r="O4818" s="88"/>
      <c r="P4818" s="88"/>
      <c r="Q4818" s="88"/>
      <c r="R4818" s="78">
        <f>MAX(S4818:W4818)</f>
        <v>1</v>
      </c>
      <c r="S4818" s="88"/>
      <c r="T4818" s="88"/>
      <c r="U4818" s="88">
        <v>1</v>
      </c>
      <c r="V4818" s="88"/>
      <c r="W4818" s="88"/>
    </row>
    <row r="4819" spans="2:23" s="0" customFormat="0" ht="15">
      <c r="B4819" s="87" t="s">
        <v>1</v>
      </c>
      <c r="C4819" s="88" t="s">
        <v>5259</v>
      </c>
      <c r="D4819" s="88">
        <v>23457587</v>
      </c>
      <c r="E4819" s="88" t="s">
        <v>61</v>
      </c>
      <c r="F4819" s="88">
        <v>0</v>
      </c>
      <c r="G4819" s="78">
        <f>MAX(H4819,I4819,J4819)</f>
        <v>1</v>
      </c>
      <c r="H4819" s="88"/>
      <c r="I4819" s="88"/>
      <c r="J4819" s="78">
        <f>MAX(K4819:Q4819)</f>
        <v>1</v>
      </c>
      <c r="K4819" s="88">
        <v>1</v>
      </c>
      <c r="L4819" s="88"/>
      <c r="M4819" s="88"/>
      <c r="N4819" s="88"/>
      <c r="O4819" s="88"/>
      <c r="P4819" s="88"/>
      <c r="Q4819" s="88"/>
      <c r="R4819" s="78">
        <f>MAX(S4819:W4819)</f>
        <v>0</v>
      </c>
      <c r="S4819" s="88"/>
      <c r="T4819" s="88"/>
      <c r="U4819" s="88"/>
      <c r="V4819" s="88"/>
      <c r="W4819" s="88"/>
    </row>
    <row r="4820" spans="2:23" s="0" customFormat="0" ht="15">
      <c r="B4820" s="87" t="s">
        <v>1</v>
      </c>
      <c r="C4820" s="88" t="s">
        <v>5259</v>
      </c>
      <c r="D4820" s="88">
        <v>18788641</v>
      </c>
      <c r="E4820" s="88" t="s">
        <v>61</v>
      </c>
      <c r="F4820" s="88">
        <v>0</v>
      </c>
      <c r="G4820" s="78">
        <f>MAX(H4820,I4820,J4820)</f>
        <v>1</v>
      </c>
      <c r="H4820" s="88"/>
      <c r="I4820" s="88"/>
      <c r="J4820" s="78">
        <f>MAX(K4820:Q4820)</f>
        <v>1</v>
      </c>
      <c r="K4820" s="88">
        <v>1</v>
      </c>
      <c r="L4820" s="88"/>
      <c r="M4820" s="88"/>
      <c r="N4820" s="88"/>
      <c r="O4820" s="88"/>
      <c r="P4820" s="88"/>
      <c r="Q4820" s="88"/>
      <c r="R4820" s="78">
        <f>MAX(S4820:W4820)</f>
        <v>0</v>
      </c>
      <c r="S4820" s="88"/>
      <c r="T4820" s="88"/>
      <c r="U4820" s="88"/>
      <c r="V4820" s="88"/>
      <c r="W4820" s="88"/>
    </row>
    <row r="4821" spans="2:23" s="0" customFormat="0" ht="15">
      <c r="B4821" s="87" t="s">
        <v>1</v>
      </c>
      <c r="C4821" s="88" t="s">
        <v>5259</v>
      </c>
      <c r="D4821" s="88" t="s">
        <v>5046</v>
      </c>
      <c r="E4821" s="88" t="s">
        <v>61</v>
      </c>
      <c r="F4821" s="88">
        <v>0</v>
      </c>
      <c r="G4821" s="78">
        <f>MAX(H4821,I4821,J4821)</f>
        <v>0</v>
      </c>
      <c r="H4821" s="88"/>
      <c r="I4821" s="88"/>
      <c r="J4821" s="78">
        <f>MAX(K4821:Q4821)</f>
        <v>0</v>
      </c>
      <c r="K4821" s="88"/>
      <c r="L4821" s="88"/>
      <c r="M4821" s="88"/>
      <c r="N4821" s="88"/>
      <c r="O4821" s="88"/>
      <c r="P4821" s="88"/>
      <c r="Q4821" s="88"/>
      <c r="R4821" s="78">
        <f>MAX(S4821:W4821)</f>
        <v>1</v>
      </c>
      <c r="S4821" s="88"/>
      <c r="T4821" s="88"/>
      <c r="U4821" s="88">
        <v>1</v>
      </c>
      <c r="V4821" s="88"/>
      <c r="W4821" s="88"/>
    </row>
    <row r="4822" spans="2:23" s="0" customFormat="0" ht="15">
      <c r="B4822" s="87" t="s">
        <v>1</v>
      </c>
      <c r="C4822" s="88" t="s">
        <v>5259</v>
      </c>
      <c r="D4822" s="88">
        <v>15645431</v>
      </c>
      <c r="E4822" s="88" t="s">
        <v>61</v>
      </c>
      <c r="F4822" s="88">
        <v>0</v>
      </c>
      <c r="G4822" s="78">
        <f>MAX(H4822,I4822,J4822)</f>
        <v>1</v>
      </c>
      <c r="H4822" s="88"/>
      <c r="I4822" s="88"/>
      <c r="J4822" s="78">
        <f>MAX(K4822:Q4822)</f>
        <v>1</v>
      </c>
      <c r="K4822" s="88">
        <v>1</v>
      </c>
      <c r="L4822" s="88"/>
      <c r="M4822" s="88"/>
      <c r="N4822" s="88"/>
      <c r="O4822" s="88"/>
      <c r="P4822" s="88"/>
      <c r="Q4822" s="88"/>
      <c r="R4822" s="78">
        <f>MAX(S4822:W4822)</f>
        <v>0</v>
      </c>
      <c r="S4822" s="88"/>
      <c r="T4822" s="88"/>
      <c r="U4822" s="88"/>
      <c r="V4822" s="88"/>
      <c r="W4822" s="88"/>
    </row>
    <row r="4823" spans="2:23" s="0" customFormat="0" ht="15">
      <c r="B4823" s="87" t="s">
        <v>1</v>
      </c>
      <c r="C4823" s="88" t="s">
        <v>5259</v>
      </c>
      <c r="D4823" s="88">
        <v>18764711</v>
      </c>
      <c r="E4823" s="88" t="s">
        <v>61</v>
      </c>
      <c r="F4823" s="88">
        <v>0</v>
      </c>
      <c r="G4823" s="78">
        <f>MAX(H4823,I4823,J4823)</f>
        <v>1</v>
      </c>
      <c r="H4823" s="88"/>
      <c r="I4823" s="88"/>
      <c r="J4823" s="78">
        <f>MAX(K4823:Q4823)</f>
        <v>1</v>
      </c>
      <c r="K4823" s="88">
        <v>1</v>
      </c>
      <c r="L4823" s="88"/>
      <c r="M4823" s="88"/>
      <c r="N4823" s="88"/>
      <c r="O4823" s="88"/>
      <c r="P4823" s="88"/>
      <c r="Q4823" s="88"/>
      <c r="R4823" s="78">
        <f>MAX(S4823:W4823)</f>
        <v>0</v>
      </c>
      <c r="S4823" s="88"/>
      <c r="T4823" s="88"/>
      <c r="U4823" s="88"/>
      <c r="V4823" s="88"/>
      <c r="W4823" s="88"/>
    </row>
    <row r="4824" spans="2:23" s="0" customFormat="0" ht="15">
      <c r="B4824" s="87" t="s">
        <v>1</v>
      </c>
      <c r="C4824" s="88" t="s">
        <v>5259</v>
      </c>
      <c r="D4824" s="88">
        <v>13524479</v>
      </c>
      <c r="E4824" s="88" t="s">
        <v>61</v>
      </c>
      <c r="F4824" s="88">
        <v>0</v>
      </c>
      <c r="G4824" s="78">
        <f>MAX(H4824,I4824,J4824)</f>
        <v>1</v>
      </c>
      <c r="H4824" s="88"/>
      <c r="I4824" s="88"/>
      <c r="J4824" s="78">
        <f>MAX(K4824:Q4824)</f>
        <v>1</v>
      </c>
      <c r="K4824" s="88">
        <v>1</v>
      </c>
      <c r="L4824" s="88"/>
      <c r="M4824" s="88"/>
      <c r="N4824" s="88"/>
      <c r="O4824" s="88"/>
      <c r="P4824" s="88"/>
      <c r="Q4824" s="88"/>
      <c r="R4824" s="78">
        <f>MAX(S4824:W4824)</f>
        <v>0</v>
      </c>
      <c r="S4824" s="88"/>
      <c r="T4824" s="88"/>
      <c r="U4824" s="88"/>
      <c r="V4824" s="88"/>
      <c r="W4824" s="88"/>
    </row>
    <row r="4825" spans="2:23" s="0" customFormat="0" ht="15">
      <c r="B4825" s="87" t="s">
        <v>1</v>
      </c>
      <c r="C4825" s="88" t="s">
        <v>5259</v>
      </c>
      <c r="D4825" s="88">
        <v>22554481</v>
      </c>
      <c r="E4825" s="88" t="s">
        <v>61</v>
      </c>
      <c r="F4825" s="88">
        <v>0</v>
      </c>
      <c r="G4825" s="78">
        <f>MAX(H4825,I4825,J4825)</f>
        <v>0</v>
      </c>
      <c r="H4825" s="88"/>
      <c r="I4825" s="88"/>
      <c r="J4825" s="78">
        <f>MAX(K4825:Q4825)</f>
        <v>0</v>
      </c>
      <c r="K4825" s="88"/>
      <c r="L4825" s="88"/>
      <c r="M4825" s="88"/>
      <c r="N4825" s="88"/>
      <c r="O4825" s="88"/>
      <c r="P4825" s="88"/>
      <c r="Q4825" s="88"/>
      <c r="R4825" s="78">
        <f>MAX(S4825:W4825)</f>
        <v>1</v>
      </c>
      <c r="S4825" s="88"/>
      <c r="T4825" s="88"/>
      <c r="U4825" s="88">
        <v>1</v>
      </c>
      <c r="V4825" s="88"/>
      <c r="W4825" s="88"/>
    </row>
    <row r="4826" spans="2:23" s="0" customFormat="0" ht="15">
      <c r="B4826" s="87" t="s">
        <v>1</v>
      </c>
      <c r="C4826" s="88" t="s">
        <v>5259</v>
      </c>
      <c r="D4826" s="88" t="s">
        <v>5049</v>
      </c>
      <c r="E4826" s="88" t="s">
        <v>61</v>
      </c>
      <c r="F4826" s="88">
        <v>0</v>
      </c>
      <c r="G4826" s="78">
        <f>MAX(H4826,I4826,J4826)</f>
        <v>0</v>
      </c>
      <c r="H4826" s="88"/>
      <c r="I4826" s="88"/>
      <c r="J4826" s="78">
        <f>MAX(K4826:Q4826)</f>
        <v>0</v>
      </c>
      <c r="K4826" s="88"/>
      <c r="L4826" s="88"/>
      <c r="M4826" s="88"/>
      <c r="N4826" s="88"/>
      <c r="O4826" s="88"/>
      <c r="P4826" s="88"/>
      <c r="Q4826" s="88"/>
      <c r="R4826" s="78">
        <f>MAX(S4826:W4826)</f>
        <v>1</v>
      </c>
      <c r="S4826" s="88"/>
      <c r="T4826" s="88"/>
      <c r="U4826" s="88">
        <v>1</v>
      </c>
      <c r="V4826" s="88"/>
      <c r="W4826" s="88"/>
    </row>
    <row r="4827" spans="2:23" s="0" customFormat="0" ht="15">
      <c r="B4827" s="87" t="s">
        <v>1</v>
      </c>
      <c r="C4827" s="88" t="s">
        <v>5259</v>
      </c>
      <c r="D4827" s="88" t="s">
        <v>981</v>
      </c>
      <c r="E4827" s="88" t="s">
        <v>61</v>
      </c>
      <c r="F4827" s="88">
        <v>0</v>
      </c>
      <c r="G4827" s="78">
        <f>MAX(H4827,I4827,J4827)</f>
        <v>1</v>
      </c>
      <c r="H4827" s="88"/>
      <c r="I4827" s="88"/>
      <c r="J4827" s="78">
        <f>MAX(K4827:Q4827)</f>
        <v>1</v>
      </c>
      <c r="K4827" s="88">
        <v>1</v>
      </c>
      <c r="L4827" s="88"/>
      <c r="M4827" s="88"/>
      <c r="N4827" s="88"/>
      <c r="O4827" s="88"/>
      <c r="P4827" s="88"/>
      <c r="Q4827" s="88"/>
      <c r="R4827" s="78">
        <f>MAX(S4827:W4827)</f>
        <v>0</v>
      </c>
      <c r="S4827" s="88"/>
      <c r="T4827" s="88"/>
      <c r="U4827" s="88"/>
      <c r="V4827" s="88"/>
      <c r="W4827" s="88"/>
    </row>
    <row r="4828" spans="2:23" s="0" customFormat="0" ht="15">
      <c r="B4828" s="87" t="s">
        <v>1</v>
      </c>
      <c r="C4828" s="88" t="s">
        <v>5259</v>
      </c>
      <c r="D4828" s="88">
        <v>261329</v>
      </c>
      <c r="E4828" s="88" t="s">
        <v>61</v>
      </c>
      <c r="F4828" s="88">
        <v>0</v>
      </c>
      <c r="G4828" s="78">
        <f>MAX(H4828,I4828,J4828)</f>
        <v>1</v>
      </c>
      <c r="H4828" s="88"/>
      <c r="I4828" s="88"/>
      <c r="J4828" s="78">
        <f>MAX(K4828:Q4828)</f>
        <v>1</v>
      </c>
      <c r="K4828" s="88">
        <v>1</v>
      </c>
      <c r="L4828" s="88"/>
      <c r="M4828" s="88"/>
      <c r="N4828" s="88"/>
      <c r="O4828" s="88"/>
      <c r="P4828" s="88"/>
      <c r="Q4828" s="88"/>
      <c r="R4828" s="78">
        <f>MAX(S4828:W4828)</f>
        <v>0</v>
      </c>
      <c r="S4828" s="88"/>
      <c r="T4828" s="88"/>
      <c r="U4828" s="88"/>
      <c r="V4828" s="88"/>
      <c r="W4828" s="88"/>
    </row>
    <row r="4829" spans="2:23" s="0" customFormat="0" ht="15">
      <c r="B4829" s="87" t="s">
        <v>1</v>
      </c>
      <c r="C4829" s="88" t="s">
        <v>5259</v>
      </c>
      <c r="D4829" s="88">
        <v>20971137</v>
      </c>
      <c r="E4829" s="88" t="s">
        <v>61</v>
      </c>
      <c r="F4829" s="88">
        <v>0</v>
      </c>
      <c r="G4829" s="78">
        <f>MAX(H4829,I4829,J4829)</f>
        <v>1</v>
      </c>
      <c r="H4829" s="88"/>
      <c r="I4829" s="88"/>
      <c r="J4829" s="78">
        <f>MAX(K4829:Q4829)</f>
        <v>1</v>
      </c>
      <c r="K4829" s="88">
        <v>1</v>
      </c>
      <c r="L4829" s="88"/>
      <c r="M4829" s="88"/>
      <c r="N4829" s="88"/>
      <c r="O4829" s="88"/>
      <c r="P4829" s="88"/>
      <c r="Q4829" s="88"/>
      <c r="R4829" s="78">
        <f>MAX(S4829:W4829)</f>
        <v>0</v>
      </c>
      <c r="S4829" s="88"/>
      <c r="T4829" s="88"/>
      <c r="U4829" s="88"/>
      <c r="V4829" s="88"/>
      <c r="W4829" s="88"/>
    </row>
    <row r="4830" spans="2:23" s="0" customFormat="0" ht="15">
      <c r="B4830" s="87" t="s">
        <v>1</v>
      </c>
      <c r="C4830" s="88" t="s">
        <v>5259</v>
      </c>
      <c r="D4830" s="88">
        <v>16128864</v>
      </c>
      <c r="E4830" s="88" t="s">
        <v>61</v>
      </c>
      <c r="F4830" s="88">
        <v>0</v>
      </c>
      <c r="G4830" s="78">
        <f>MAX(H4830,I4830,J4830)</f>
        <v>1</v>
      </c>
      <c r="H4830" s="88"/>
      <c r="I4830" s="88"/>
      <c r="J4830" s="78">
        <f>MAX(K4830:Q4830)</f>
        <v>1</v>
      </c>
      <c r="K4830" s="88">
        <v>1</v>
      </c>
      <c r="L4830" s="88"/>
      <c r="M4830" s="88"/>
      <c r="N4830" s="88"/>
      <c r="O4830" s="88"/>
      <c r="P4830" s="88"/>
      <c r="Q4830" s="88"/>
      <c r="R4830" s="78">
        <f>MAX(S4830:W4830)</f>
        <v>0</v>
      </c>
      <c r="S4830" s="88"/>
      <c r="T4830" s="88"/>
      <c r="U4830" s="88"/>
      <c r="V4830" s="88"/>
      <c r="W4830" s="88"/>
    </row>
    <row r="4831" spans="2:23" s="0" customFormat="0" ht="15">
      <c r="B4831" s="87" t="s">
        <v>1</v>
      </c>
      <c r="C4831" s="88" t="s">
        <v>5259</v>
      </c>
      <c r="D4831" s="88">
        <v>22554542</v>
      </c>
      <c r="E4831" s="88" t="s">
        <v>61</v>
      </c>
      <c r="F4831" s="88">
        <v>0</v>
      </c>
      <c r="G4831" s="78">
        <f>MAX(H4831,I4831,J4831)</f>
        <v>0</v>
      </c>
      <c r="H4831" s="88"/>
      <c r="I4831" s="88"/>
      <c r="J4831" s="78">
        <f>MAX(K4831:Q4831)</f>
        <v>0</v>
      </c>
      <c r="K4831" s="88"/>
      <c r="L4831" s="88"/>
      <c r="M4831" s="88"/>
      <c r="N4831" s="88"/>
      <c r="O4831" s="88"/>
      <c r="P4831" s="88"/>
      <c r="Q4831" s="88"/>
      <c r="R4831" s="78">
        <f>MAX(S4831:W4831)</f>
        <v>1</v>
      </c>
      <c r="S4831" s="88"/>
      <c r="T4831" s="88"/>
      <c r="U4831" s="88">
        <v>1</v>
      </c>
      <c r="V4831" s="88"/>
      <c r="W4831" s="88"/>
    </row>
    <row r="4832" spans="2:23" s="0" customFormat="0" ht="15">
      <c r="B4832" s="87" t="s">
        <v>1</v>
      </c>
      <c r="C4832" s="88" t="s">
        <v>5259</v>
      </c>
      <c r="D4832" s="88" t="s">
        <v>5013</v>
      </c>
      <c r="E4832" s="88" t="s">
        <v>61</v>
      </c>
      <c r="F4832" s="88">
        <v>0</v>
      </c>
      <c r="G4832" s="78">
        <f>MAX(H4832,I4832,J4832)</f>
        <v>0</v>
      </c>
      <c r="H4832" s="88"/>
      <c r="I4832" s="88"/>
      <c r="J4832" s="78">
        <f>MAX(K4832:Q4832)</f>
        <v>0</v>
      </c>
      <c r="K4832" s="88"/>
      <c r="L4832" s="88"/>
      <c r="M4832" s="88"/>
      <c r="N4832" s="88"/>
      <c r="O4832" s="88"/>
      <c r="P4832" s="88"/>
      <c r="Q4832" s="88"/>
      <c r="R4832" s="78">
        <f>MAX(S4832:W4832)</f>
        <v>1</v>
      </c>
      <c r="S4832" s="88"/>
      <c r="T4832" s="88"/>
      <c r="U4832" s="88">
        <v>1</v>
      </c>
      <c r="V4832" s="88"/>
      <c r="W4832" s="88"/>
    </row>
    <row r="4833" spans="2:23" s="0" customFormat="0" ht="15">
      <c r="B4833" s="87" t="s">
        <v>1</v>
      </c>
      <c r="C4833" s="88" t="s">
        <v>5259</v>
      </c>
      <c r="D4833" s="88">
        <v>11911975</v>
      </c>
      <c r="E4833" s="88" t="s">
        <v>61</v>
      </c>
      <c r="F4833" s="88">
        <v>0</v>
      </c>
      <c r="G4833" s="78">
        <f>MAX(H4833,I4833,J4833)</f>
        <v>1</v>
      </c>
      <c r="H4833" s="88"/>
      <c r="I4833" s="88"/>
      <c r="J4833" s="78">
        <f>MAX(K4833:Q4833)</f>
        <v>1</v>
      </c>
      <c r="K4833" s="88">
        <v>1</v>
      </c>
      <c r="L4833" s="88"/>
      <c r="M4833" s="88"/>
      <c r="N4833" s="88"/>
      <c r="O4833" s="88"/>
      <c r="P4833" s="88"/>
      <c r="Q4833" s="88"/>
      <c r="R4833" s="78">
        <f>MAX(S4833:W4833)</f>
        <v>0</v>
      </c>
      <c r="S4833" s="88"/>
      <c r="T4833" s="88"/>
      <c r="U4833" s="88"/>
      <c r="V4833" s="88"/>
      <c r="W4833" s="88"/>
    </row>
    <row r="4834" spans="2:23" s="0" customFormat="0" ht="15">
      <c r="B4834" s="87" t="s">
        <v>1</v>
      </c>
      <c r="C4834" s="88" t="s">
        <v>5259</v>
      </c>
      <c r="D4834" s="88">
        <v>4467280</v>
      </c>
      <c r="E4834" s="88" t="s">
        <v>61</v>
      </c>
      <c r="F4834" s="88">
        <v>0</v>
      </c>
      <c r="G4834" s="78">
        <f>MAX(H4834,I4834,J4834)</f>
        <v>0</v>
      </c>
      <c r="H4834" s="88"/>
      <c r="I4834" s="88"/>
      <c r="J4834" s="78">
        <f>MAX(K4834:Q4834)</f>
        <v>0</v>
      </c>
      <c r="K4834" s="88"/>
      <c r="L4834" s="88"/>
      <c r="M4834" s="88"/>
      <c r="N4834" s="88"/>
      <c r="O4834" s="88"/>
      <c r="P4834" s="88"/>
      <c r="Q4834" s="88"/>
      <c r="R4834" s="78">
        <f>MAX(S4834:W4834)</f>
        <v>1</v>
      </c>
      <c r="S4834" s="88"/>
      <c r="T4834" s="88"/>
      <c r="U4834" s="88">
        <v>1</v>
      </c>
      <c r="V4834" s="88"/>
      <c r="W4834" s="88"/>
    </row>
    <row r="4835" spans="2:23" s="0" customFormat="0" ht="15">
      <c r="B4835" s="87" t="s">
        <v>1</v>
      </c>
      <c r="C4835" s="88" t="s">
        <v>5259</v>
      </c>
      <c r="D4835" s="88">
        <v>16974881</v>
      </c>
      <c r="E4835" s="88" t="s">
        <v>61</v>
      </c>
      <c r="F4835" s="88">
        <v>0</v>
      </c>
      <c r="G4835" s="78">
        <f>MAX(H4835,I4835,J4835)</f>
        <v>0</v>
      </c>
      <c r="H4835" s="88"/>
      <c r="I4835" s="88"/>
      <c r="J4835" s="78">
        <f>MAX(K4835:Q4835)</f>
        <v>0</v>
      </c>
      <c r="K4835" s="88"/>
      <c r="L4835" s="88"/>
      <c r="M4835" s="88"/>
      <c r="N4835" s="88"/>
      <c r="O4835" s="88"/>
      <c r="P4835" s="88"/>
      <c r="Q4835" s="88"/>
      <c r="R4835" s="78">
        <f>MAX(S4835:W4835)</f>
        <v>1</v>
      </c>
      <c r="S4835" s="88"/>
      <c r="T4835" s="88"/>
      <c r="U4835" s="88">
        <v>1</v>
      </c>
      <c r="V4835" s="88"/>
      <c r="W4835" s="88"/>
    </row>
    <row r="4836" spans="2:23" s="0" customFormat="0" ht="15">
      <c r="B4836" s="87" t="s">
        <v>1</v>
      </c>
      <c r="C4836" s="88" t="s">
        <v>5259</v>
      </c>
      <c r="D4836" s="88">
        <v>3625061</v>
      </c>
      <c r="E4836" s="88" t="s">
        <v>61</v>
      </c>
      <c r="F4836" s="88">
        <v>0</v>
      </c>
      <c r="G4836" s="78">
        <f>MAX(H4836,I4836,J4836)</f>
        <v>1</v>
      </c>
      <c r="H4836" s="88"/>
      <c r="I4836" s="88"/>
      <c r="J4836" s="78">
        <f>MAX(K4836:Q4836)</f>
        <v>1</v>
      </c>
      <c r="K4836" s="88">
        <v>1</v>
      </c>
      <c r="L4836" s="88"/>
      <c r="M4836" s="88"/>
      <c r="N4836" s="88"/>
      <c r="O4836" s="88"/>
      <c r="P4836" s="88"/>
      <c r="Q4836" s="88"/>
      <c r="R4836" s="78">
        <f>MAX(S4836:W4836)</f>
        <v>0</v>
      </c>
      <c r="S4836" s="88"/>
      <c r="T4836" s="88"/>
      <c r="U4836" s="88"/>
      <c r="V4836" s="88"/>
      <c r="W4836" s="88"/>
    </row>
    <row r="4837" spans="2:23" s="0" customFormat="0" ht="15">
      <c r="B4837" s="87" t="s">
        <v>1</v>
      </c>
      <c r="C4837" s="88" t="s">
        <v>5259</v>
      </c>
      <c r="D4837" s="88" t="s">
        <v>5052</v>
      </c>
      <c r="E4837" s="88" t="s">
        <v>61</v>
      </c>
      <c r="F4837" s="88">
        <v>0</v>
      </c>
      <c r="G4837" s="78">
        <f>MAX(H4837,I4837,J4837)</f>
        <v>0</v>
      </c>
      <c r="H4837" s="88"/>
      <c r="I4837" s="88"/>
      <c r="J4837" s="78">
        <f>MAX(K4837:Q4837)</f>
        <v>0</v>
      </c>
      <c r="K4837" s="88"/>
      <c r="L4837" s="88"/>
      <c r="M4837" s="88"/>
      <c r="N4837" s="88"/>
      <c r="O4837" s="88"/>
      <c r="P4837" s="88"/>
      <c r="Q4837" s="88"/>
      <c r="R4837" s="78">
        <f>MAX(S4837:W4837)</f>
        <v>1</v>
      </c>
      <c r="S4837" s="88"/>
      <c r="T4837" s="88"/>
      <c r="U4837" s="88">
        <v>1</v>
      </c>
      <c r="V4837" s="88"/>
      <c r="W4837" s="88"/>
    </row>
    <row r="4838" spans="2:23" s="0" customFormat="0" ht="15">
      <c r="B4838" s="87" t="s">
        <v>1</v>
      </c>
      <c r="C4838" s="88" t="s">
        <v>5259</v>
      </c>
      <c r="D4838" s="88">
        <v>17481459</v>
      </c>
      <c r="E4838" s="88" t="s">
        <v>61</v>
      </c>
      <c r="F4838" s="88">
        <v>0</v>
      </c>
      <c r="G4838" s="78">
        <f>MAX(H4838,I4838,J4838)</f>
        <v>1</v>
      </c>
      <c r="H4838" s="88"/>
      <c r="I4838" s="88"/>
      <c r="J4838" s="78">
        <f>MAX(K4838:Q4838)</f>
        <v>1</v>
      </c>
      <c r="K4838" s="88">
        <v>1</v>
      </c>
      <c r="L4838" s="88"/>
      <c r="M4838" s="88"/>
      <c r="N4838" s="88"/>
      <c r="O4838" s="88"/>
      <c r="P4838" s="88"/>
      <c r="Q4838" s="88"/>
      <c r="R4838" s="78">
        <f>MAX(S4838:W4838)</f>
        <v>0</v>
      </c>
      <c r="S4838" s="88"/>
      <c r="T4838" s="88"/>
      <c r="U4838" s="88"/>
      <c r="V4838" s="88"/>
      <c r="W4838" s="88"/>
    </row>
    <row r="4839" spans="2:23" s="0" customFormat="0" ht="15">
      <c r="B4839" s="87" t="s">
        <v>1</v>
      </c>
      <c r="C4839" s="88" t="s">
        <v>5259</v>
      </c>
      <c r="D4839" s="88">
        <v>20798798</v>
      </c>
      <c r="E4839" s="88" t="s">
        <v>61</v>
      </c>
      <c r="F4839" s="88">
        <v>0</v>
      </c>
      <c r="G4839" s="78">
        <f>MAX(H4839,I4839,J4839)</f>
        <v>1</v>
      </c>
      <c r="H4839" s="88"/>
      <c r="I4839" s="88"/>
      <c r="J4839" s="78">
        <f>MAX(K4839:Q4839)</f>
        <v>1</v>
      </c>
      <c r="K4839" s="88">
        <v>1</v>
      </c>
      <c r="L4839" s="88"/>
      <c r="M4839" s="88"/>
      <c r="N4839" s="88"/>
      <c r="O4839" s="88"/>
      <c r="P4839" s="88"/>
      <c r="Q4839" s="88"/>
      <c r="R4839" s="78">
        <f>MAX(S4839:W4839)</f>
        <v>0</v>
      </c>
      <c r="S4839" s="88"/>
      <c r="T4839" s="88"/>
      <c r="U4839" s="88"/>
      <c r="V4839" s="88"/>
      <c r="W4839" s="88"/>
    </row>
    <row r="4840" spans="2:23" s="0" customFormat="0" ht="15">
      <c r="B4840" s="87" t="s">
        <v>1</v>
      </c>
      <c r="C4840" s="88" t="s">
        <v>5259</v>
      </c>
      <c r="D4840" s="88" t="s">
        <v>5054</v>
      </c>
      <c r="E4840" s="88" t="s">
        <v>61</v>
      </c>
      <c r="F4840" s="88">
        <v>0</v>
      </c>
      <c r="G4840" s="78">
        <f>MAX(H4840,I4840,J4840)</f>
        <v>0</v>
      </c>
      <c r="H4840" s="88"/>
      <c r="I4840" s="88"/>
      <c r="J4840" s="78">
        <f>MAX(K4840:Q4840)</f>
        <v>0</v>
      </c>
      <c r="K4840" s="88"/>
      <c r="L4840" s="88"/>
      <c r="M4840" s="88"/>
      <c r="N4840" s="88"/>
      <c r="O4840" s="88"/>
      <c r="P4840" s="88"/>
      <c r="Q4840" s="88"/>
      <c r="R4840" s="78">
        <f>MAX(S4840:W4840)</f>
        <v>1</v>
      </c>
      <c r="S4840" s="88"/>
      <c r="T4840" s="88"/>
      <c r="U4840" s="88">
        <v>1</v>
      </c>
      <c r="V4840" s="88"/>
      <c r="W4840" s="88"/>
    </row>
    <row r="4841" spans="2:23" s="0" customFormat="0" ht="15">
      <c r="B4841" s="87" t="s">
        <v>1</v>
      </c>
      <c r="C4841" s="88" t="s">
        <v>5259</v>
      </c>
      <c r="D4841" s="88">
        <v>18041120</v>
      </c>
      <c r="E4841" s="88" t="s">
        <v>61</v>
      </c>
      <c r="F4841" s="88">
        <v>0</v>
      </c>
      <c r="G4841" s="78">
        <f>MAX(H4841,I4841,J4841)</f>
        <v>1</v>
      </c>
      <c r="H4841" s="88"/>
      <c r="I4841" s="88"/>
      <c r="J4841" s="78">
        <f>MAX(K4841:Q4841)</f>
        <v>1</v>
      </c>
      <c r="K4841" s="88"/>
      <c r="L4841" s="88"/>
      <c r="M4841" s="88">
        <v>1</v>
      </c>
      <c r="N4841" s="88"/>
      <c r="O4841" s="88"/>
      <c r="P4841" s="88"/>
      <c r="Q4841" s="88"/>
      <c r="R4841" s="78">
        <f>MAX(S4841:W4841)</f>
        <v>0</v>
      </c>
      <c r="S4841" s="88"/>
      <c r="T4841" s="88"/>
      <c r="U4841" s="88"/>
      <c r="V4841" s="88"/>
      <c r="W4841" s="88"/>
    </row>
    <row r="4842" spans="2:23" s="0" customFormat="0" ht="15">
      <c r="B4842" s="87" t="s">
        <v>1</v>
      </c>
      <c r="C4842" s="88" t="s">
        <v>5259</v>
      </c>
      <c r="D4842" s="88">
        <v>21637003</v>
      </c>
      <c r="E4842" s="88" t="s">
        <v>61</v>
      </c>
      <c r="F4842" s="88">
        <v>0</v>
      </c>
      <c r="G4842" s="78">
        <f>MAX(H4842,I4842,J4842)</f>
        <v>0</v>
      </c>
      <c r="H4842" s="88"/>
      <c r="I4842" s="88"/>
      <c r="J4842" s="78">
        <f>MAX(K4842:Q4842)</f>
        <v>0</v>
      </c>
      <c r="K4842" s="88"/>
      <c r="L4842" s="88"/>
      <c r="M4842" s="88"/>
      <c r="N4842" s="88"/>
      <c r="O4842" s="88"/>
      <c r="P4842" s="88"/>
      <c r="Q4842" s="88"/>
      <c r="R4842" s="78">
        <f>MAX(S4842:W4842)</f>
        <v>1</v>
      </c>
      <c r="S4842" s="88"/>
      <c r="T4842" s="88"/>
      <c r="U4842" s="88">
        <v>1</v>
      </c>
      <c r="V4842" s="88"/>
      <c r="W4842" s="88"/>
    </row>
    <row r="4843" spans="2:23" s="0" customFormat="0" ht="15">
      <c r="B4843" s="87" t="s">
        <v>1</v>
      </c>
      <c r="C4843" s="88" t="s">
        <v>5259</v>
      </c>
      <c r="D4843" s="88" t="s">
        <v>3971</v>
      </c>
      <c r="E4843" s="88" t="s">
        <v>61</v>
      </c>
      <c r="F4843" s="88">
        <v>0</v>
      </c>
      <c r="G4843" s="78">
        <f>MAX(H4843,I4843,J4843)</f>
        <v>0</v>
      </c>
      <c r="H4843" s="88"/>
      <c r="I4843" s="88"/>
      <c r="J4843" s="78">
        <f>MAX(K4843:Q4843)</f>
        <v>0</v>
      </c>
      <c r="K4843" s="88"/>
      <c r="L4843" s="88"/>
      <c r="M4843" s="88"/>
      <c r="N4843" s="88"/>
      <c r="O4843" s="88"/>
      <c r="P4843" s="88"/>
      <c r="Q4843" s="88"/>
      <c r="R4843" s="78">
        <f>MAX(S4843:W4843)</f>
        <v>1</v>
      </c>
      <c r="S4843" s="88"/>
      <c r="T4843" s="88"/>
      <c r="U4843" s="88">
        <v>1</v>
      </c>
      <c r="V4843" s="88"/>
      <c r="W4843" s="88"/>
    </row>
    <row r="4844" spans="2:23" s="0" customFormat="0" ht="15">
      <c r="B4844" s="87" t="s">
        <v>1</v>
      </c>
      <c r="C4844" s="88" t="s">
        <v>5259</v>
      </c>
      <c r="D4844" s="88">
        <v>16058106</v>
      </c>
      <c r="E4844" s="88" t="s">
        <v>61</v>
      </c>
      <c r="F4844" s="88">
        <v>0</v>
      </c>
      <c r="G4844" s="78">
        <f>MAX(H4844,I4844,J4844)</f>
        <v>1</v>
      </c>
      <c r="H4844" s="88"/>
      <c r="I4844" s="88"/>
      <c r="J4844" s="78">
        <f>MAX(K4844:Q4844)</f>
        <v>1</v>
      </c>
      <c r="K4844" s="88">
        <v>1</v>
      </c>
      <c r="L4844" s="88"/>
      <c r="M4844" s="88"/>
      <c r="N4844" s="88"/>
      <c r="O4844" s="88"/>
      <c r="P4844" s="88"/>
      <c r="Q4844" s="88"/>
      <c r="R4844" s="78">
        <f>MAX(S4844:W4844)</f>
        <v>0</v>
      </c>
      <c r="S4844" s="88"/>
      <c r="T4844" s="88"/>
      <c r="U4844" s="88"/>
      <c r="V4844" s="88"/>
      <c r="W4844" s="88"/>
    </row>
    <row r="4845" spans="2:23" s="0" customFormat="0" ht="15">
      <c r="B4845" s="87" t="s">
        <v>1</v>
      </c>
      <c r="C4845" s="88" t="s">
        <v>5259</v>
      </c>
      <c r="D4845" s="88">
        <v>20647449</v>
      </c>
      <c r="E4845" s="88" t="s">
        <v>61</v>
      </c>
      <c r="F4845" s="88">
        <v>0</v>
      </c>
      <c r="G4845" s="78">
        <f>MAX(H4845,I4845,J4845)</f>
        <v>1</v>
      </c>
      <c r="H4845" s="88"/>
      <c r="I4845" s="88"/>
      <c r="J4845" s="78">
        <f>MAX(K4845:Q4845)</f>
        <v>1</v>
      </c>
      <c r="K4845" s="88">
        <v>1</v>
      </c>
      <c r="L4845" s="88"/>
      <c r="M4845" s="88"/>
      <c r="N4845" s="88"/>
      <c r="O4845" s="88"/>
      <c r="P4845" s="88"/>
      <c r="Q4845" s="88"/>
      <c r="R4845" s="78">
        <f>MAX(S4845:W4845)</f>
        <v>0</v>
      </c>
      <c r="S4845" s="88"/>
      <c r="T4845" s="88"/>
      <c r="U4845" s="88"/>
      <c r="V4845" s="88"/>
      <c r="W4845" s="88"/>
    </row>
    <row r="4846" spans="2:23" s="0" customFormat="0" ht="15">
      <c r="B4846" s="87" t="s">
        <v>1</v>
      </c>
      <c r="C4846" s="88" t="s">
        <v>5259</v>
      </c>
      <c r="D4846" s="88">
        <v>18724774</v>
      </c>
      <c r="E4846" s="88" t="s">
        <v>61</v>
      </c>
      <c r="F4846" s="88">
        <v>0</v>
      </c>
      <c r="G4846" s="78">
        <f>MAX(H4846,I4846,J4846)</f>
        <v>1</v>
      </c>
      <c r="H4846" s="88"/>
      <c r="I4846" s="88"/>
      <c r="J4846" s="78">
        <f>MAX(K4846:Q4846)</f>
        <v>1</v>
      </c>
      <c r="K4846" s="88">
        <v>1</v>
      </c>
      <c r="L4846" s="88"/>
      <c r="M4846" s="88"/>
      <c r="N4846" s="88"/>
      <c r="O4846" s="88"/>
      <c r="P4846" s="88"/>
      <c r="Q4846" s="88"/>
      <c r="R4846" s="78">
        <f>MAX(S4846:W4846)</f>
        <v>0</v>
      </c>
      <c r="S4846" s="88"/>
      <c r="T4846" s="88"/>
      <c r="U4846" s="88"/>
      <c r="V4846" s="88"/>
      <c r="W4846" s="88"/>
    </row>
    <row r="4847" spans="2:23" s="0" customFormat="0" ht="15">
      <c r="B4847" s="87" t="s">
        <v>1</v>
      </c>
      <c r="C4847" s="88" t="s">
        <v>5259</v>
      </c>
      <c r="D4847" s="88">
        <v>4881645</v>
      </c>
      <c r="E4847" s="88" t="s">
        <v>61</v>
      </c>
      <c r="F4847" s="88">
        <v>0</v>
      </c>
      <c r="G4847" s="78">
        <f>MAX(H4847,I4847,J4847)</f>
        <v>1</v>
      </c>
      <c r="H4847" s="88"/>
      <c r="I4847" s="88"/>
      <c r="J4847" s="78">
        <f>MAX(K4847:Q4847)</f>
        <v>1</v>
      </c>
      <c r="K4847" s="88">
        <v>1</v>
      </c>
      <c r="L4847" s="88"/>
      <c r="M4847" s="88"/>
      <c r="N4847" s="88"/>
      <c r="O4847" s="88"/>
      <c r="P4847" s="88"/>
      <c r="Q4847" s="88"/>
      <c r="R4847" s="78">
        <f>MAX(S4847:W4847)</f>
        <v>0</v>
      </c>
      <c r="S4847" s="88"/>
      <c r="T4847" s="88"/>
      <c r="U4847" s="88"/>
      <c r="V4847" s="88"/>
      <c r="W4847" s="88"/>
    </row>
    <row r="4848" spans="2:23" s="0" customFormat="0" ht="15">
      <c r="B4848" s="87" t="s">
        <v>1</v>
      </c>
      <c r="C4848" s="88" t="s">
        <v>5259</v>
      </c>
      <c r="D4848" s="88">
        <v>12177002</v>
      </c>
      <c r="E4848" s="88" t="s">
        <v>61</v>
      </c>
      <c r="F4848" s="88">
        <v>0</v>
      </c>
      <c r="G4848" s="78">
        <f>MAX(H4848,I4848,J4848)</f>
        <v>1</v>
      </c>
      <c r="H4848" s="88"/>
      <c r="I4848" s="88"/>
      <c r="J4848" s="78">
        <f>MAX(K4848:Q4848)</f>
        <v>1</v>
      </c>
      <c r="K4848" s="88">
        <v>1</v>
      </c>
      <c r="L4848" s="88"/>
      <c r="M4848" s="88"/>
      <c r="N4848" s="88"/>
      <c r="O4848" s="88"/>
      <c r="P4848" s="88"/>
      <c r="Q4848" s="88"/>
      <c r="R4848" s="78">
        <f>MAX(S4848:W4848)</f>
        <v>0</v>
      </c>
      <c r="S4848" s="88"/>
      <c r="T4848" s="88"/>
      <c r="U4848" s="88"/>
      <c r="V4848" s="88"/>
      <c r="W4848" s="88"/>
    </row>
    <row r="4849" spans="2:23" s="0" customFormat="0" ht="15">
      <c r="B4849" s="87" t="s">
        <v>1</v>
      </c>
      <c r="C4849" s="88" t="s">
        <v>5259</v>
      </c>
      <c r="D4849" s="88">
        <v>24432378</v>
      </c>
      <c r="E4849" s="88" t="s">
        <v>61</v>
      </c>
      <c r="F4849" s="88">
        <v>0</v>
      </c>
      <c r="G4849" s="78">
        <f>MAX(H4849,I4849,J4849)</f>
        <v>1</v>
      </c>
      <c r="H4849" s="88"/>
      <c r="I4849" s="88"/>
      <c r="J4849" s="78">
        <f>MAX(K4849:Q4849)</f>
        <v>1</v>
      </c>
      <c r="K4849" s="88">
        <v>1</v>
      </c>
      <c r="L4849" s="88"/>
      <c r="M4849" s="88"/>
      <c r="N4849" s="88"/>
      <c r="O4849" s="88"/>
      <c r="P4849" s="88"/>
      <c r="Q4849" s="88"/>
      <c r="R4849" s="78">
        <f>MAX(S4849:W4849)</f>
        <v>0</v>
      </c>
      <c r="S4849" s="88"/>
      <c r="T4849" s="88"/>
      <c r="U4849" s="88"/>
      <c r="V4849" s="88"/>
      <c r="W4849" s="88"/>
    </row>
    <row r="4850" spans="2:23" s="0" customFormat="0" ht="15">
      <c r="B4850" s="87" t="s">
        <v>1</v>
      </c>
      <c r="C4850" s="88" t="s">
        <v>5259</v>
      </c>
      <c r="D4850" s="88">
        <v>22927476</v>
      </c>
      <c r="E4850" s="88" t="s">
        <v>61</v>
      </c>
      <c r="F4850" s="88">
        <v>0</v>
      </c>
      <c r="G4850" s="78">
        <f>MAX(H4850,I4850,J4850)</f>
        <v>1</v>
      </c>
      <c r="H4850" s="88"/>
      <c r="I4850" s="88"/>
      <c r="J4850" s="78">
        <f>MAX(K4850:Q4850)</f>
        <v>1</v>
      </c>
      <c r="K4850" s="88">
        <v>1</v>
      </c>
      <c r="L4850" s="88"/>
      <c r="M4850" s="88"/>
      <c r="N4850" s="88"/>
      <c r="O4850" s="88"/>
      <c r="P4850" s="88"/>
      <c r="Q4850" s="88"/>
      <c r="R4850" s="78">
        <f>MAX(S4850:W4850)</f>
        <v>0</v>
      </c>
      <c r="S4850" s="88"/>
      <c r="T4850" s="88"/>
      <c r="U4850" s="88"/>
      <c r="V4850" s="88"/>
      <c r="W4850" s="88"/>
    </row>
    <row r="4851" spans="2:23" s="0" customFormat="0" ht="15">
      <c r="B4851" s="87" t="s">
        <v>1</v>
      </c>
      <c r="C4851" s="88" t="s">
        <v>5259</v>
      </c>
      <c r="D4851" s="88">
        <v>22698143</v>
      </c>
      <c r="E4851" s="88" t="s">
        <v>61</v>
      </c>
      <c r="F4851" s="88">
        <v>0</v>
      </c>
      <c r="G4851" s="78">
        <f>MAX(H4851,I4851,J4851)</f>
        <v>1</v>
      </c>
      <c r="H4851" s="88"/>
      <c r="I4851" s="88"/>
      <c r="J4851" s="78">
        <f>MAX(K4851:Q4851)</f>
        <v>1</v>
      </c>
      <c r="K4851" s="88">
        <v>1</v>
      </c>
      <c r="L4851" s="88"/>
      <c r="M4851" s="88"/>
      <c r="N4851" s="88"/>
      <c r="O4851" s="88"/>
      <c r="P4851" s="88"/>
      <c r="Q4851" s="88"/>
      <c r="R4851" s="78">
        <f>MAX(S4851:W4851)</f>
        <v>0</v>
      </c>
      <c r="S4851" s="88"/>
      <c r="T4851" s="88"/>
      <c r="U4851" s="88"/>
      <c r="V4851" s="88"/>
      <c r="W4851" s="88"/>
    </row>
    <row r="4852" spans="2:23" s="0" customFormat="0" ht="15">
      <c r="B4852" s="87" t="s">
        <v>1</v>
      </c>
      <c r="C4852" s="88" t="s">
        <v>5259</v>
      </c>
      <c r="D4852" s="88">
        <v>18651825</v>
      </c>
      <c r="E4852" s="88" t="s">
        <v>61</v>
      </c>
      <c r="F4852" s="88">
        <v>0</v>
      </c>
      <c r="G4852" s="78">
        <f>MAX(H4852,I4852,J4852)</f>
        <v>1</v>
      </c>
      <c r="H4852" s="88"/>
      <c r="I4852" s="88"/>
      <c r="J4852" s="78">
        <f>MAX(K4852:Q4852)</f>
        <v>1</v>
      </c>
      <c r="K4852" s="88">
        <v>1</v>
      </c>
      <c r="L4852" s="88"/>
      <c r="M4852" s="88"/>
      <c r="N4852" s="88"/>
      <c r="O4852" s="88"/>
      <c r="P4852" s="88"/>
      <c r="Q4852" s="88"/>
      <c r="R4852" s="78">
        <f>MAX(S4852:W4852)</f>
        <v>0</v>
      </c>
      <c r="S4852" s="88"/>
      <c r="T4852" s="88"/>
      <c r="U4852" s="88"/>
      <c r="V4852" s="88"/>
      <c r="W4852" s="88"/>
    </row>
    <row r="4853" spans="2:23" s="0" customFormat="0" ht="15">
      <c r="B4853" s="87" t="s">
        <v>1</v>
      </c>
      <c r="C4853" s="88" t="s">
        <v>5259</v>
      </c>
      <c r="D4853" s="88" t="s">
        <v>4739</v>
      </c>
      <c r="E4853" s="88" t="s">
        <v>61</v>
      </c>
      <c r="F4853" s="88">
        <v>0</v>
      </c>
      <c r="G4853" s="78">
        <f>MAX(H4853,I4853,J4853)</f>
        <v>0</v>
      </c>
      <c r="H4853" s="88"/>
      <c r="I4853" s="88"/>
      <c r="J4853" s="78">
        <f>MAX(K4853:Q4853)</f>
        <v>0</v>
      </c>
      <c r="K4853" s="88"/>
      <c r="L4853" s="88"/>
      <c r="M4853" s="88"/>
      <c r="N4853" s="88"/>
      <c r="O4853" s="88"/>
      <c r="P4853" s="88"/>
      <c r="Q4853" s="88"/>
      <c r="R4853" s="78">
        <f>MAX(S4853:W4853)</f>
        <v>1</v>
      </c>
      <c r="S4853" s="88"/>
      <c r="T4853" s="88"/>
      <c r="U4853" s="88">
        <v>1</v>
      </c>
      <c r="V4853" s="88"/>
      <c r="W4853" s="88"/>
    </row>
    <row r="4854" spans="2:23" s="0" customFormat="0" ht="15">
      <c r="B4854" s="87" t="s">
        <v>1</v>
      </c>
      <c r="C4854" s="88" t="s">
        <v>5259</v>
      </c>
      <c r="D4854" s="88">
        <v>9443127</v>
      </c>
      <c r="E4854" s="88" t="s">
        <v>61</v>
      </c>
      <c r="F4854" s="88">
        <v>0</v>
      </c>
      <c r="G4854" s="78">
        <f>MAX(H4854,I4854,J4854)</f>
        <v>1</v>
      </c>
      <c r="H4854" s="88"/>
      <c r="I4854" s="88"/>
      <c r="J4854" s="78">
        <f>MAX(K4854:Q4854)</f>
        <v>1</v>
      </c>
      <c r="K4854" s="88"/>
      <c r="L4854" s="88">
        <v>1</v>
      </c>
      <c r="M4854" s="88"/>
      <c r="N4854" s="88"/>
      <c r="O4854" s="88"/>
      <c r="P4854" s="88"/>
      <c r="Q4854" s="88"/>
      <c r="R4854" s="78">
        <f>MAX(S4854:W4854)</f>
        <v>0</v>
      </c>
      <c r="S4854" s="88"/>
      <c r="T4854" s="88"/>
      <c r="U4854" s="88"/>
      <c r="V4854" s="88"/>
      <c r="W4854" s="88"/>
    </row>
    <row r="4855" spans="2:23" s="0" customFormat="0" ht="15">
      <c r="B4855" s="87" t="s">
        <v>1</v>
      </c>
      <c r="C4855" s="88" t="s">
        <v>5259</v>
      </c>
      <c r="D4855" s="88">
        <v>20113244</v>
      </c>
      <c r="E4855" s="88" t="s">
        <v>61</v>
      </c>
      <c r="F4855" s="88">
        <v>0</v>
      </c>
      <c r="G4855" s="78">
        <f>MAX(H4855,I4855,J4855)</f>
        <v>0</v>
      </c>
      <c r="H4855" s="88"/>
      <c r="I4855" s="88"/>
      <c r="J4855" s="78">
        <f>MAX(K4855:Q4855)</f>
        <v>0</v>
      </c>
      <c r="K4855" s="88"/>
      <c r="L4855" s="88"/>
      <c r="M4855" s="88"/>
      <c r="N4855" s="88"/>
      <c r="O4855" s="88"/>
      <c r="P4855" s="88"/>
      <c r="Q4855" s="88"/>
      <c r="R4855" s="78">
        <f>MAX(S4855:W4855)</f>
        <v>1</v>
      </c>
      <c r="S4855" s="88"/>
      <c r="T4855" s="88"/>
      <c r="U4855" s="88">
        <v>1</v>
      </c>
      <c r="V4855" s="88"/>
      <c r="W4855" s="88"/>
    </row>
    <row r="4856" spans="2:23" s="0" customFormat="0" ht="15">
      <c r="B4856" s="87" t="s">
        <v>1</v>
      </c>
      <c r="C4856" s="88" t="s">
        <v>5259</v>
      </c>
      <c r="D4856" s="88">
        <v>23654834</v>
      </c>
      <c r="E4856" s="88" t="s">
        <v>61</v>
      </c>
      <c r="F4856" s="88">
        <v>0</v>
      </c>
      <c r="G4856" s="78">
        <f>MAX(H4856,I4856,J4856)</f>
        <v>1</v>
      </c>
      <c r="H4856" s="88"/>
      <c r="I4856" s="88"/>
      <c r="J4856" s="78">
        <f>MAX(K4856:Q4856)</f>
        <v>1</v>
      </c>
      <c r="K4856" s="88">
        <v>1</v>
      </c>
      <c r="L4856" s="88"/>
      <c r="M4856" s="88"/>
      <c r="N4856" s="88"/>
      <c r="O4856" s="88"/>
      <c r="P4856" s="88"/>
      <c r="Q4856" s="88"/>
      <c r="R4856" s="78">
        <f>MAX(S4856:W4856)</f>
        <v>0</v>
      </c>
      <c r="S4856" s="88"/>
      <c r="T4856" s="88"/>
      <c r="U4856" s="88"/>
      <c r="V4856" s="88"/>
      <c r="W4856" s="88"/>
    </row>
    <row r="4857" spans="2:23" s="0" customFormat="0" ht="15">
      <c r="B4857" s="87" t="s">
        <v>1</v>
      </c>
      <c r="C4857" s="88" t="s">
        <v>5259</v>
      </c>
      <c r="D4857" s="88">
        <v>23299441</v>
      </c>
      <c r="E4857" s="88" t="s">
        <v>61</v>
      </c>
      <c r="F4857" s="88">
        <v>0</v>
      </c>
      <c r="G4857" s="78">
        <f>MAX(H4857,I4857,J4857)</f>
        <v>1</v>
      </c>
      <c r="H4857" s="88"/>
      <c r="I4857" s="88"/>
      <c r="J4857" s="78">
        <f>MAX(K4857:Q4857)</f>
        <v>1</v>
      </c>
      <c r="K4857" s="88">
        <v>1</v>
      </c>
      <c r="L4857" s="88"/>
      <c r="M4857" s="88"/>
      <c r="N4857" s="88"/>
      <c r="O4857" s="88"/>
      <c r="P4857" s="88"/>
      <c r="Q4857" s="88"/>
      <c r="R4857" s="78">
        <f>MAX(S4857:W4857)</f>
        <v>0</v>
      </c>
      <c r="S4857" s="88"/>
      <c r="T4857" s="88"/>
      <c r="U4857" s="88"/>
      <c r="V4857" s="88"/>
      <c r="W4857" s="88"/>
    </row>
    <row r="4858" spans="2:23" s="0" customFormat="0" ht="15">
      <c r="B4858" s="87" t="s">
        <v>1</v>
      </c>
      <c r="C4858" s="88" t="s">
        <v>5259</v>
      </c>
      <c r="D4858" s="88" t="s">
        <v>2110</v>
      </c>
      <c r="E4858" s="88" t="s">
        <v>61</v>
      </c>
      <c r="F4858" s="88">
        <v>0</v>
      </c>
      <c r="G4858" s="78">
        <f>MAX(H4858,I4858,J4858)</f>
        <v>1</v>
      </c>
      <c r="H4858" s="88"/>
      <c r="I4858" s="88"/>
      <c r="J4858" s="78">
        <f>MAX(K4858:Q4858)</f>
        <v>1</v>
      </c>
      <c r="K4858" s="88">
        <v>1</v>
      </c>
      <c r="L4858" s="88"/>
      <c r="M4858" s="88"/>
      <c r="N4858" s="88"/>
      <c r="O4858" s="88"/>
      <c r="P4858" s="88"/>
      <c r="Q4858" s="88"/>
      <c r="R4858" s="78">
        <f>MAX(S4858:W4858)</f>
        <v>0</v>
      </c>
      <c r="S4858" s="88"/>
      <c r="T4858" s="88"/>
      <c r="U4858" s="88"/>
      <c r="V4858" s="88"/>
      <c r="W4858" s="88"/>
    </row>
    <row r="4859" spans="2:23" s="0" customFormat="0" ht="15">
      <c r="B4859" s="87" t="s">
        <v>1</v>
      </c>
      <c r="C4859" s="88" t="s">
        <v>5259</v>
      </c>
      <c r="D4859" s="88" t="s">
        <v>4381</v>
      </c>
      <c r="E4859" s="88" t="s">
        <v>61</v>
      </c>
      <c r="F4859" s="88">
        <v>0</v>
      </c>
      <c r="G4859" s="78">
        <f>MAX(H4859,I4859,J4859)</f>
        <v>0</v>
      </c>
      <c r="H4859" s="88"/>
      <c r="I4859" s="88"/>
      <c r="J4859" s="78">
        <f>MAX(K4859:Q4859)</f>
        <v>0</v>
      </c>
      <c r="K4859" s="88"/>
      <c r="L4859" s="88"/>
      <c r="M4859" s="88"/>
      <c r="N4859" s="88"/>
      <c r="O4859" s="88"/>
      <c r="P4859" s="88"/>
      <c r="Q4859" s="88"/>
      <c r="R4859" s="78">
        <f>MAX(S4859:W4859)</f>
        <v>1</v>
      </c>
      <c r="S4859" s="88"/>
      <c r="T4859" s="88"/>
      <c r="U4859" s="88">
        <v>1</v>
      </c>
      <c r="V4859" s="88"/>
      <c r="W4859" s="88"/>
    </row>
    <row r="4860" spans="2:23" s="0" customFormat="0" ht="15">
      <c r="B4860" s="87" t="s">
        <v>1</v>
      </c>
      <c r="C4860" s="88" t="s">
        <v>5259</v>
      </c>
      <c r="D4860" s="88">
        <v>21521372</v>
      </c>
      <c r="E4860" s="88" t="s">
        <v>61</v>
      </c>
      <c r="F4860" s="88">
        <v>0</v>
      </c>
      <c r="G4860" s="78">
        <f>MAX(H4860,I4860,J4860)</f>
        <v>1</v>
      </c>
      <c r="H4860" s="88"/>
      <c r="I4860" s="88"/>
      <c r="J4860" s="78">
        <f>MAX(K4860:Q4860)</f>
        <v>1</v>
      </c>
      <c r="K4860" s="88">
        <v>1</v>
      </c>
      <c r="L4860" s="88"/>
      <c r="M4860" s="88"/>
      <c r="N4860" s="88"/>
      <c r="O4860" s="88"/>
      <c r="P4860" s="88"/>
      <c r="Q4860" s="88"/>
      <c r="R4860" s="78">
        <f>MAX(S4860:W4860)</f>
        <v>0</v>
      </c>
      <c r="S4860" s="88"/>
      <c r="T4860" s="88"/>
      <c r="U4860" s="88"/>
      <c r="V4860" s="88"/>
      <c r="W4860" s="88"/>
    </row>
    <row r="4861" spans="2:23" s="0" customFormat="0" ht="15">
      <c r="B4861" s="87" t="s">
        <v>1</v>
      </c>
      <c r="C4861" s="88" t="s">
        <v>5259</v>
      </c>
      <c r="D4861" s="88">
        <v>22857467</v>
      </c>
      <c r="E4861" s="88" t="s">
        <v>61</v>
      </c>
      <c r="F4861" s="88">
        <v>0</v>
      </c>
      <c r="G4861" s="78">
        <f>MAX(H4861,I4861,J4861)</f>
        <v>1</v>
      </c>
      <c r="H4861" s="88"/>
      <c r="I4861" s="88"/>
      <c r="J4861" s="78">
        <f>MAX(K4861:Q4861)</f>
        <v>1</v>
      </c>
      <c r="K4861" s="88">
        <v>1</v>
      </c>
      <c r="L4861" s="88"/>
      <c r="M4861" s="88"/>
      <c r="N4861" s="88"/>
      <c r="O4861" s="88"/>
      <c r="P4861" s="88"/>
      <c r="Q4861" s="88"/>
      <c r="R4861" s="78">
        <f>MAX(S4861:W4861)</f>
        <v>0</v>
      </c>
      <c r="S4861" s="88"/>
      <c r="T4861" s="88"/>
      <c r="U4861" s="88"/>
      <c r="V4861" s="88"/>
      <c r="W4861" s="88"/>
    </row>
    <row r="4862" spans="2:23" s="0" customFormat="0" ht="15">
      <c r="B4862" s="87" t="s">
        <v>1</v>
      </c>
      <c r="C4862" s="88" t="s">
        <v>5259</v>
      </c>
      <c r="D4862" s="88">
        <v>12256073</v>
      </c>
      <c r="E4862" s="88" t="s">
        <v>61</v>
      </c>
      <c r="F4862" s="88">
        <v>0</v>
      </c>
      <c r="G4862" s="78">
        <f>MAX(H4862,I4862,J4862)</f>
        <v>1</v>
      </c>
      <c r="H4862" s="88"/>
      <c r="I4862" s="88"/>
      <c r="J4862" s="78">
        <f>MAX(K4862:Q4862)</f>
        <v>1</v>
      </c>
      <c r="K4862" s="88">
        <v>1</v>
      </c>
      <c r="L4862" s="88"/>
      <c r="M4862" s="88"/>
      <c r="N4862" s="88"/>
      <c r="O4862" s="88"/>
      <c r="P4862" s="88"/>
      <c r="Q4862" s="88"/>
      <c r="R4862" s="78">
        <f>MAX(S4862:W4862)</f>
        <v>0</v>
      </c>
      <c r="S4862" s="88"/>
      <c r="T4862" s="88"/>
      <c r="U4862" s="88"/>
      <c r="V4862" s="88"/>
      <c r="W4862" s="88"/>
    </row>
    <row r="4863" spans="2:23" s="0" customFormat="0" ht="15">
      <c r="B4863" s="87" t="s">
        <v>1</v>
      </c>
      <c r="C4863" s="88" t="s">
        <v>5259</v>
      </c>
      <c r="D4863" s="88">
        <v>16974693</v>
      </c>
      <c r="E4863" s="88" t="s">
        <v>61</v>
      </c>
      <c r="F4863" s="88">
        <v>0</v>
      </c>
      <c r="G4863" s="78">
        <f>MAX(H4863,I4863,J4863)</f>
        <v>0</v>
      </c>
      <c r="H4863" s="88"/>
      <c r="I4863" s="88"/>
      <c r="J4863" s="78">
        <f>MAX(K4863:Q4863)</f>
        <v>0</v>
      </c>
      <c r="K4863" s="88"/>
      <c r="L4863" s="88"/>
      <c r="M4863" s="88"/>
      <c r="N4863" s="88"/>
      <c r="O4863" s="88"/>
      <c r="P4863" s="88"/>
      <c r="Q4863" s="88"/>
      <c r="R4863" s="78">
        <f>MAX(S4863:W4863)</f>
        <v>1</v>
      </c>
      <c r="S4863" s="88"/>
      <c r="T4863" s="88"/>
      <c r="U4863" s="88">
        <v>1</v>
      </c>
      <c r="V4863" s="88"/>
      <c r="W4863" s="88"/>
    </row>
    <row r="4864" spans="2:23" s="0" customFormat="0" ht="15">
      <c r="B4864" s="87" t="s">
        <v>1</v>
      </c>
      <c r="C4864" s="88" t="s">
        <v>5259</v>
      </c>
      <c r="D4864" s="88" t="s">
        <v>3352</v>
      </c>
      <c r="E4864" s="88" t="s">
        <v>61</v>
      </c>
      <c r="F4864" s="88">
        <v>0</v>
      </c>
      <c r="G4864" s="78">
        <f>MAX(H4864,I4864,J4864)</f>
        <v>0</v>
      </c>
      <c r="H4864" s="88"/>
      <c r="I4864" s="88"/>
      <c r="J4864" s="78">
        <f>MAX(K4864:Q4864)</f>
        <v>0</v>
      </c>
      <c r="K4864" s="88"/>
      <c r="L4864" s="88"/>
      <c r="M4864" s="88"/>
      <c r="N4864" s="88"/>
      <c r="O4864" s="88"/>
      <c r="P4864" s="88"/>
      <c r="Q4864" s="88"/>
      <c r="R4864" s="78">
        <f>MAX(S4864:W4864)</f>
        <v>1</v>
      </c>
      <c r="S4864" s="88"/>
      <c r="T4864" s="88"/>
      <c r="U4864" s="88">
        <v>1</v>
      </c>
      <c r="V4864" s="88"/>
      <c r="W4864" s="88"/>
    </row>
    <row r="4865" spans="2:23" s="0" customFormat="0" ht="15">
      <c r="B4865" s="87" t="s">
        <v>1</v>
      </c>
      <c r="C4865" s="88" t="s">
        <v>5259</v>
      </c>
      <c r="D4865" s="88">
        <v>19686821</v>
      </c>
      <c r="E4865" s="88" t="s">
        <v>61</v>
      </c>
      <c r="F4865" s="88">
        <v>0</v>
      </c>
      <c r="G4865" s="78">
        <f>MAX(H4865,I4865,J4865)</f>
        <v>1</v>
      </c>
      <c r="H4865" s="88"/>
      <c r="I4865" s="88"/>
      <c r="J4865" s="78">
        <f>MAX(K4865:Q4865)</f>
        <v>1</v>
      </c>
      <c r="K4865" s="88">
        <v>1</v>
      </c>
      <c r="L4865" s="88"/>
      <c r="M4865" s="88"/>
      <c r="N4865" s="88"/>
      <c r="O4865" s="88"/>
      <c r="P4865" s="88"/>
      <c r="Q4865" s="88"/>
      <c r="R4865" s="78">
        <f>MAX(S4865:W4865)</f>
        <v>0</v>
      </c>
      <c r="S4865" s="88"/>
      <c r="T4865" s="88"/>
      <c r="U4865" s="88"/>
      <c r="V4865" s="88"/>
      <c r="W4865" s="88"/>
    </row>
    <row r="4866" spans="2:23" s="0" customFormat="0" ht="15">
      <c r="B4866" s="87" t="s">
        <v>1</v>
      </c>
      <c r="C4866" s="88" t="s">
        <v>5259</v>
      </c>
      <c r="D4866" s="88" t="s">
        <v>5058</v>
      </c>
      <c r="E4866" s="88" t="s">
        <v>61</v>
      </c>
      <c r="F4866" s="88">
        <v>0</v>
      </c>
      <c r="G4866" s="78">
        <f>MAX(H4866,I4866,J4866)</f>
        <v>0</v>
      </c>
      <c r="H4866" s="88"/>
      <c r="I4866" s="88"/>
      <c r="J4866" s="78">
        <f>MAX(K4866:Q4866)</f>
        <v>0</v>
      </c>
      <c r="K4866" s="88"/>
      <c r="L4866" s="88"/>
      <c r="M4866" s="88"/>
      <c r="N4866" s="88"/>
      <c r="O4866" s="88"/>
      <c r="P4866" s="88"/>
      <c r="Q4866" s="88"/>
      <c r="R4866" s="78">
        <f>MAX(S4866:W4866)</f>
        <v>1</v>
      </c>
      <c r="S4866" s="88"/>
      <c r="T4866" s="88"/>
      <c r="U4866" s="88">
        <v>1</v>
      </c>
      <c r="V4866" s="88"/>
      <c r="W4866" s="88"/>
    </row>
    <row r="4867" spans="2:23" s="0" customFormat="0" ht="15">
      <c r="B4867" s="87" t="s">
        <v>1</v>
      </c>
      <c r="C4867" s="88" t="s">
        <v>5259</v>
      </c>
      <c r="D4867" s="88">
        <v>17346000</v>
      </c>
      <c r="E4867" s="88" t="s">
        <v>61</v>
      </c>
      <c r="F4867" s="88">
        <v>0</v>
      </c>
      <c r="G4867" s="78">
        <f>MAX(H4867,I4867,J4867)</f>
        <v>1</v>
      </c>
      <c r="H4867" s="88"/>
      <c r="I4867" s="88"/>
      <c r="J4867" s="78">
        <f>MAX(K4867:Q4867)</f>
        <v>1</v>
      </c>
      <c r="K4867" s="88">
        <v>1</v>
      </c>
      <c r="L4867" s="88"/>
      <c r="M4867" s="88"/>
      <c r="N4867" s="88"/>
      <c r="O4867" s="88"/>
      <c r="P4867" s="88"/>
      <c r="Q4867" s="88"/>
      <c r="R4867" s="78">
        <f>MAX(S4867:W4867)</f>
        <v>0</v>
      </c>
      <c r="S4867" s="88"/>
      <c r="T4867" s="88"/>
      <c r="U4867" s="88"/>
      <c r="V4867" s="88"/>
      <c r="W4867" s="88"/>
    </row>
    <row r="4868" spans="2:23" s="0" customFormat="0" ht="15">
      <c r="B4868" s="87" t="s">
        <v>1</v>
      </c>
      <c r="C4868" s="88" t="s">
        <v>5259</v>
      </c>
      <c r="D4868" s="88">
        <v>18073286</v>
      </c>
      <c r="E4868" s="88" t="s">
        <v>61</v>
      </c>
      <c r="F4868" s="88">
        <v>0</v>
      </c>
      <c r="G4868" s="78">
        <f>MAX(H4868,I4868,J4868)</f>
        <v>1</v>
      </c>
      <c r="H4868" s="88"/>
      <c r="I4868" s="88"/>
      <c r="J4868" s="78">
        <f>MAX(K4868:Q4868)</f>
        <v>1</v>
      </c>
      <c r="K4868" s="88">
        <v>1</v>
      </c>
      <c r="L4868" s="88"/>
      <c r="M4868" s="88"/>
      <c r="N4868" s="88"/>
      <c r="O4868" s="88"/>
      <c r="P4868" s="88"/>
      <c r="Q4868" s="88"/>
      <c r="R4868" s="78">
        <f>MAX(S4868:W4868)</f>
        <v>0</v>
      </c>
      <c r="S4868" s="88"/>
      <c r="T4868" s="88"/>
      <c r="U4868" s="88"/>
      <c r="V4868" s="88"/>
      <c r="W4868" s="88"/>
    </row>
    <row r="4869" spans="2:23" s="0" customFormat="0" ht="15">
      <c r="B4869" s="87" t="s">
        <v>1</v>
      </c>
      <c r="C4869" s="88" t="s">
        <v>5259</v>
      </c>
      <c r="D4869" s="88">
        <v>14897112</v>
      </c>
      <c r="E4869" s="88" t="s">
        <v>61</v>
      </c>
      <c r="F4869" s="88">
        <v>0</v>
      </c>
      <c r="G4869" s="78">
        <f>MAX(H4869,I4869,J4869)</f>
        <v>1</v>
      </c>
      <c r="H4869" s="88"/>
      <c r="I4869" s="88"/>
      <c r="J4869" s="78">
        <f>MAX(K4869:Q4869)</f>
        <v>1</v>
      </c>
      <c r="K4869" s="88">
        <v>1</v>
      </c>
      <c r="L4869" s="88"/>
      <c r="M4869" s="88"/>
      <c r="N4869" s="88"/>
      <c r="O4869" s="88"/>
      <c r="P4869" s="88"/>
      <c r="Q4869" s="88"/>
      <c r="R4869" s="78">
        <f>MAX(S4869:W4869)</f>
        <v>0</v>
      </c>
      <c r="S4869" s="88"/>
      <c r="T4869" s="88"/>
      <c r="U4869" s="88"/>
      <c r="V4869" s="88"/>
      <c r="W4869" s="88"/>
    </row>
    <row r="4870" spans="2:23" s="0" customFormat="0" ht="15">
      <c r="B4870" s="87" t="s">
        <v>1</v>
      </c>
      <c r="C4870" s="88" t="s">
        <v>5259</v>
      </c>
      <c r="D4870" s="88">
        <v>17328098</v>
      </c>
      <c r="E4870" s="88" t="s">
        <v>61</v>
      </c>
      <c r="F4870" s="88">
        <v>0</v>
      </c>
      <c r="G4870" s="78">
        <f>MAX(H4870,I4870,J4870)</f>
        <v>1</v>
      </c>
      <c r="H4870" s="88"/>
      <c r="I4870" s="88"/>
      <c r="J4870" s="78">
        <f>MAX(K4870:Q4870)</f>
        <v>1</v>
      </c>
      <c r="K4870" s="88">
        <v>1</v>
      </c>
      <c r="L4870" s="88"/>
      <c r="M4870" s="88"/>
      <c r="N4870" s="88"/>
      <c r="O4870" s="88"/>
      <c r="P4870" s="88"/>
      <c r="Q4870" s="88"/>
      <c r="R4870" s="78">
        <f>MAX(S4870:W4870)</f>
        <v>0</v>
      </c>
      <c r="S4870" s="88"/>
      <c r="T4870" s="88"/>
      <c r="U4870" s="88"/>
      <c r="V4870" s="88"/>
      <c r="W4870" s="88"/>
    </row>
    <row r="4871" spans="2:23" s="0" customFormat="0" ht="15">
      <c r="B4871" s="87" t="s">
        <v>1</v>
      </c>
      <c r="C4871" s="88" t="s">
        <v>5259</v>
      </c>
      <c r="D4871" s="88" t="s">
        <v>5060</v>
      </c>
      <c r="E4871" s="88" t="s">
        <v>61</v>
      </c>
      <c r="F4871" s="88">
        <v>0</v>
      </c>
      <c r="G4871" s="78">
        <f>MAX(H4871,I4871,J4871)</f>
        <v>0</v>
      </c>
      <c r="H4871" s="88"/>
      <c r="I4871" s="88"/>
      <c r="J4871" s="78">
        <f>MAX(K4871:Q4871)</f>
        <v>0</v>
      </c>
      <c r="K4871" s="88"/>
      <c r="L4871" s="88"/>
      <c r="M4871" s="88"/>
      <c r="N4871" s="88"/>
      <c r="O4871" s="88"/>
      <c r="P4871" s="88"/>
      <c r="Q4871" s="88"/>
      <c r="R4871" s="78">
        <f>MAX(S4871:W4871)</f>
        <v>1</v>
      </c>
      <c r="S4871" s="88"/>
      <c r="T4871" s="88"/>
      <c r="U4871" s="88">
        <v>1</v>
      </c>
      <c r="V4871" s="88"/>
      <c r="W4871" s="88"/>
    </row>
    <row r="4872" spans="2:23" s="0" customFormat="0" ht="15">
      <c r="B4872" s="87" t="s">
        <v>1</v>
      </c>
      <c r="C4872" s="88" t="s">
        <v>5259</v>
      </c>
      <c r="D4872" s="88">
        <v>15888940</v>
      </c>
      <c r="E4872" s="88" t="s">
        <v>61</v>
      </c>
      <c r="F4872" s="88">
        <v>0</v>
      </c>
      <c r="G4872" s="78">
        <f>MAX(H4872,I4872,J4872)</f>
        <v>1</v>
      </c>
      <c r="H4872" s="88"/>
      <c r="I4872" s="88"/>
      <c r="J4872" s="78">
        <f>MAX(K4872:Q4872)</f>
        <v>1</v>
      </c>
      <c r="K4872" s="88">
        <v>1</v>
      </c>
      <c r="L4872" s="88"/>
      <c r="M4872" s="88"/>
      <c r="N4872" s="88"/>
      <c r="O4872" s="88"/>
      <c r="P4872" s="88"/>
      <c r="Q4872" s="88"/>
      <c r="R4872" s="78">
        <f>MAX(S4872:W4872)</f>
        <v>0</v>
      </c>
      <c r="S4872" s="88"/>
      <c r="T4872" s="88"/>
      <c r="U4872" s="88"/>
      <c r="V4872" s="88"/>
      <c r="W4872" s="88"/>
    </row>
    <row r="4873" spans="2:23" s="0" customFormat="0" ht="15">
      <c r="B4873" s="87" t="s">
        <v>1</v>
      </c>
      <c r="C4873" s="88" t="s">
        <v>5259</v>
      </c>
      <c r="D4873" s="88">
        <v>22554298</v>
      </c>
      <c r="E4873" s="88" t="s">
        <v>61</v>
      </c>
      <c r="F4873" s="88">
        <v>0</v>
      </c>
      <c r="G4873" s="78">
        <f>MAX(H4873,I4873,J4873)</f>
        <v>0</v>
      </c>
      <c r="H4873" s="88"/>
      <c r="I4873" s="88"/>
      <c r="J4873" s="78">
        <f>MAX(K4873:Q4873)</f>
        <v>0</v>
      </c>
      <c r="K4873" s="88"/>
      <c r="L4873" s="88"/>
      <c r="M4873" s="88"/>
      <c r="N4873" s="88"/>
      <c r="O4873" s="88"/>
      <c r="P4873" s="88"/>
      <c r="Q4873" s="88"/>
      <c r="R4873" s="78">
        <f>MAX(S4873:W4873)</f>
        <v>1</v>
      </c>
      <c r="S4873" s="88"/>
      <c r="T4873" s="88"/>
      <c r="U4873" s="88"/>
      <c r="V4873" s="88">
        <v>1</v>
      </c>
      <c r="W4873" s="88"/>
    </row>
    <row r="4874" spans="2:23" s="0" customFormat="0" ht="15">
      <c r="B4874" s="87" t="s">
        <v>1</v>
      </c>
      <c r="C4874" s="88" t="s">
        <v>5259</v>
      </c>
      <c r="D4874" s="88" t="s">
        <v>2710</v>
      </c>
      <c r="E4874" s="88" t="s">
        <v>61</v>
      </c>
      <c r="F4874" s="88">
        <v>0</v>
      </c>
      <c r="G4874" s="78">
        <f>MAX(H4874,I4874,J4874)</f>
        <v>1</v>
      </c>
      <c r="H4874" s="88"/>
      <c r="I4874" s="88"/>
      <c r="J4874" s="78">
        <f>MAX(K4874:Q4874)</f>
        <v>1</v>
      </c>
      <c r="K4874" s="88">
        <v>1</v>
      </c>
      <c r="L4874" s="88"/>
      <c r="M4874" s="88"/>
      <c r="N4874" s="88"/>
      <c r="O4874" s="88"/>
      <c r="P4874" s="88"/>
      <c r="Q4874" s="88"/>
      <c r="R4874" s="78">
        <f>MAX(S4874:W4874)</f>
        <v>0</v>
      </c>
      <c r="S4874" s="88"/>
      <c r="T4874" s="88"/>
      <c r="U4874" s="88"/>
      <c r="V4874" s="88"/>
      <c r="W4874" s="88"/>
    </row>
    <row r="4875" spans="2:23" s="0" customFormat="0" ht="15">
      <c r="B4875" s="87" t="s">
        <v>1</v>
      </c>
      <c r="C4875" s="88" t="s">
        <v>5259</v>
      </c>
      <c r="D4875" s="88" t="s">
        <v>3992</v>
      </c>
      <c r="E4875" s="88" t="s">
        <v>61</v>
      </c>
      <c r="F4875" s="88">
        <v>0</v>
      </c>
      <c r="G4875" s="78">
        <f>MAX(H4875,I4875,J4875)</f>
        <v>0</v>
      </c>
      <c r="H4875" s="88"/>
      <c r="I4875" s="88"/>
      <c r="J4875" s="78">
        <f>MAX(K4875:Q4875)</f>
        <v>0</v>
      </c>
      <c r="K4875" s="88"/>
      <c r="L4875" s="88"/>
      <c r="M4875" s="88"/>
      <c r="N4875" s="88"/>
      <c r="O4875" s="88"/>
      <c r="P4875" s="88"/>
      <c r="Q4875" s="88"/>
      <c r="R4875" s="78">
        <f>MAX(S4875:W4875)</f>
        <v>1</v>
      </c>
      <c r="S4875" s="88"/>
      <c r="T4875" s="88"/>
      <c r="U4875" s="88">
        <v>1</v>
      </c>
      <c r="V4875" s="88"/>
      <c r="W4875" s="88"/>
    </row>
    <row r="4876" spans="2:23" s="0" customFormat="0" ht="15">
      <c r="B4876" s="87" t="s">
        <v>1</v>
      </c>
      <c r="C4876" s="88" t="s">
        <v>5259</v>
      </c>
      <c r="D4876" s="88">
        <v>14674577</v>
      </c>
      <c r="E4876" s="88" t="s">
        <v>61</v>
      </c>
      <c r="F4876" s="88">
        <v>0</v>
      </c>
      <c r="G4876" s="78">
        <f>MAX(H4876,I4876,J4876)</f>
        <v>1</v>
      </c>
      <c r="H4876" s="88"/>
      <c r="I4876" s="88"/>
      <c r="J4876" s="78">
        <f>MAX(K4876:Q4876)</f>
        <v>1</v>
      </c>
      <c r="K4876" s="88">
        <v>1</v>
      </c>
      <c r="L4876" s="88"/>
      <c r="M4876" s="88"/>
      <c r="N4876" s="88"/>
      <c r="O4876" s="88"/>
      <c r="P4876" s="88"/>
      <c r="Q4876" s="88"/>
      <c r="R4876" s="78">
        <f>MAX(S4876:W4876)</f>
        <v>0</v>
      </c>
      <c r="S4876" s="88"/>
      <c r="T4876" s="88"/>
      <c r="U4876" s="88"/>
      <c r="V4876" s="88"/>
      <c r="W4876" s="88"/>
    </row>
    <row r="4877" spans="2:23" s="0" customFormat="0" ht="15">
      <c r="B4877" s="87" t="s">
        <v>1</v>
      </c>
      <c r="C4877" s="88" t="s">
        <v>5259</v>
      </c>
      <c r="D4877" s="88">
        <v>4079035</v>
      </c>
      <c r="E4877" s="88" t="s">
        <v>61</v>
      </c>
      <c r="F4877" s="88">
        <v>0</v>
      </c>
      <c r="G4877" s="78">
        <f>MAX(H4877,I4877,J4877)</f>
        <v>1</v>
      </c>
      <c r="H4877" s="88"/>
      <c r="I4877" s="88"/>
      <c r="J4877" s="78">
        <f>MAX(K4877:Q4877)</f>
        <v>1</v>
      </c>
      <c r="K4877" s="88">
        <v>1</v>
      </c>
      <c r="L4877" s="88"/>
      <c r="M4877" s="88"/>
      <c r="N4877" s="88"/>
      <c r="O4877" s="88"/>
      <c r="P4877" s="88"/>
      <c r="Q4877" s="88"/>
      <c r="R4877" s="78">
        <f>MAX(S4877:W4877)</f>
        <v>0</v>
      </c>
      <c r="S4877" s="88"/>
      <c r="T4877" s="88"/>
      <c r="U4877" s="88"/>
      <c r="V4877" s="88"/>
      <c r="W4877" s="88"/>
    </row>
    <row r="4878" spans="2:23" s="0" customFormat="0" ht="15">
      <c r="B4878" s="87" t="s">
        <v>1</v>
      </c>
      <c r="C4878" s="88" t="s">
        <v>5259</v>
      </c>
      <c r="D4878" s="88">
        <v>22623653</v>
      </c>
      <c r="E4878" s="88" t="s">
        <v>61</v>
      </c>
      <c r="F4878" s="88">
        <v>0</v>
      </c>
      <c r="G4878" s="78">
        <f>MAX(H4878,I4878,J4878)</f>
        <v>0</v>
      </c>
      <c r="H4878" s="88"/>
      <c r="I4878" s="88"/>
      <c r="J4878" s="78">
        <f>MAX(K4878:Q4878)</f>
        <v>0</v>
      </c>
      <c r="K4878" s="88"/>
      <c r="L4878" s="88"/>
      <c r="M4878" s="88"/>
      <c r="N4878" s="88"/>
      <c r="O4878" s="88"/>
      <c r="P4878" s="88"/>
      <c r="Q4878" s="88"/>
      <c r="R4878" s="78">
        <f>MAX(S4878:W4878)</f>
        <v>1</v>
      </c>
      <c r="S4878" s="88"/>
      <c r="T4878" s="88"/>
      <c r="U4878" s="88">
        <v>1</v>
      </c>
      <c r="V4878" s="88"/>
      <c r="W4878" s="88"/>
    </row>
    <row r="4879" spans="2:23" s="0" customFormat="0" ht="15">
      <c r="B4879" s="87" t="s">
        <v>1</v>
      </c>
      <c r="C4879" s="88" t="s">
        <v>5259</v>
      </c>
      <c r="D4879" s="88">
        <v>12012728</v>
      </c>
      <c r="E4879" s="88" t="s">
        <v>61</v>
      </c>
      <c r="F4879" s="88">
        <v>0</v>
      </c>
      <c r="G4879" s="78">
        <f>MAX(H4879,I4879,J4879)</f>
        <v>1</v>
      </c>
      <c r="H4879" s="88"/>
      <c r="I4879" s="88"/>
      <c r="J4879" s="78">
        <f>MAX(K4879:Q4879)</f>
        <v>1</v>
      </c>
      <c r="K4879" s="88">
        <v>1</v>
      </c>
      <c r="L4879" s="88"/>
      <c r="M4879" s="88"/>
      <c r="N4879" s="88"/>
      <c r="O4879" s="88"/>
      <c r="P4879" s="88"/>
      <c r="Q4879" s="88"/>
      <c r="R4879" s="78">
        <f>MAX(S4879:W4879)</f>
        <v>0</v>
      </c>
      <c r="S4879" s="88"/>
      <c r="T4879" s="88"/>
      <c r="U4879" s="88"/>
      <c r="V4879" s="88"/>
      <c r="W4879" s="88"/>
    </row>
    <row r="4880" spans="2:23" s="0" customFormat="0" ht="15">
      <c r="B4880" s="87" t="s">
        <v>1</v>
      </c>
      <c r="C4880" s="88" t="s">
        <v>5259</v>
      </c>
      <c r="D4880" s="88">
        <v>14165699</v>
      </c>
      <c r="E4880" s="88" t="s">
        <v>61</v>
      </c>
      <c r="F4880" s="88">
        <v>0</v>
      </c>
      <c r="G4880" s="78">
        <f>MAX(H4880,I4880,J4880)</f>
        <v>1</v>
      </c>
      <c r="H4880" s="88"/>
      <c r="I4880" s="88"/>
      <c r="J4880" s="78">
        <f>MAX(K4880:Q4880)</f>
        <v>1</v>
      </c>
      <c r="K4880" s="88">
        <v>1</v>
      </c>
      <c r="L4880" s="88"/>
      <c r="M4880" s="88"/>
      <c r="N4880" s="88"/>
      <c r="O4880" s="88"/>
      <c r="P4880" s="88"/>
      <c r="Q4880" s="88"/>
      <c r="R4880" s="78">
        <f>MAX(S4880:W4880)</f>
        <v>0</v>
      </c>
      <c r="S4880" s="88"/>
      <c r="T4880" s="88"/>
      <c r="U4880" s="88"/>
      <c r="V4880" s="88"/>
      <c r="W4880" s="88"/>
    </row>
    <row r="4881" spans="2:23" s="0" customFormat="0" ht="15">
      <c r="B4881" s="87" t="s">
        <v>1</v>
      </c>
      <c r="C4881" s="88" t="s">
        <v>5259</v>
      </c>
      <c r="D4881" s="88" t="s">
        <v>5063</v>
      </c>
      <c r="E4881" s="88" t="s">
        <v>61</v>
      </c>
      <c r="F4881" s="88">
        <v>0</v>
      </c>
      <c r="G4881" s="78">
        <f>MAX(H4881,I4881,J4881)</f>
        <v>0</v>
      </c>
      <c r="H4881" s="88"/>
      <c r="I4881" s="88"/>
      <c r="J4881" s="78">
        <f>MAX(K4881:Q4881)</f>
        <v>0</v>
      </c>
      <c r="K4881" s="88"/>
      <c r="L4881" s="88"/>
      <c r="M4881" s="88"/>
      <c r="N4881" s="88"/>
      <c r="O4881" s="88"/>
      <c r="P4881" s="88"/>
      <c r="Q4881" s="88"/>
      <c r="R4881" s="78">
        <f>MAX(S4881:W4881)</f>
        <v>1</v>
      </c>
      <c r="S4881" s="88"/>
      <c r="T4881" s="88"/>
      <c r="U4881" s="88">
        <v>1</v>
      </c>
      <c r="V4881" s="88"/>
      <c r="W4881" s="88"/>
    </row>
    <row r="4882" spans="2:23" s="0" customFormat="0" ht="15">
      <c r="B4882" s="87" t="s">
        <v>1</v>
      </c>
      <c r="C4882" s="88" t="s">
        <v>5259</v>
      </c>
      <c r="D4882" s="88">
        <v>15445565</v>
      </c>
      <c r="E4882" s="88" t="s">
        <v>61</v>
      </c>
      <c r="F4882" s="88">
        <v>0</v>
      </c>
      <c r="G4882" s="78">
        <f>MAX(H4882,I4882,J4882)</f>
        <v>1</v>
      </c>
      <c r="H4882" s="88"/>
      <c r="I4882" s="88"/>
      <c r="J4882" s="78">
        <f>MAX(K4882:Q4882)</f>
        <v>1</v>
      </c>
      <c r="K4882" s="88">
        <v>1</v>
      </c>
      <c r="L4882" s="88"/>
      <c r="M4882" s="88"/>
      <c r="N4882" s="88"/>
      <c r="O4882" s="88"/>
      <c r="P4882" s="88"/>
      <c r="Q4882" s="88"/>
      <c r="R4882" s="78">
        <f>MAX(S4882:W4882)</f>
        <v>0</v>
      </c>
      <c r="S4882" s="88"/>
      <c r="T4882" s="88"/>
      <c r="U4882" s="88"/>
      <c r="V4882" s="88"/>
      <c r="W4882" s="88"/>
    </row>
    <row r="4883" spans="2:23" s="0" customFormat="0" ht="15">
      <c r="B4883" s="87" t="s">
        <v>1</v>
      </c>
      <c r="C4883" s="88" t="s">
        <v>5259</v>
      </c>
      <c r="D4883" s="88">
        <v>22623653</v>
      </c>
      <c r="E4883" s="88" t="s">
        <v>61</v>
      </c>
      <c r="F4883" s="88">
        <v>0</v>
      </c>
      <c r="G4883" s="78">
        <f>MAX(H4883,I4883,J4883)</f>
        <v>0</v>
      </c>
      <c r="H4883" s="88"/>
      <c r="I4883" s="88"/>
      <c r="J4883" s="78">
        <f>MAX(K4883:Q4883)</f>
        <v>0</v>
      </c>
      <c r="K4883" s="88"/>
      <c r="L4883" s="88"/>
      <c r="M4883" s="88"/>
      <c r="N4883" s="88"/>
      <c r="O4883" s="88"/>
      <c r="P4883" s="88"/>
      <c r="Q4883" s="88"/>
      <c r="R4883" s="78">
        <f>MAX(S4883:W4883)</f>
        <v>1</v>
      </c>
      <c r="S4883" s="88"/>
      <c r="T4883" s="88"/>
      <c r="U4883" s="88">
        <v>1</v>
      </c>
      <c r="V4883" s="88"/>
      <c r="W4883" s="88"/>
    </row>
    <row r="4884" spans="2:23" s="0" customFormat="0" ht="15">
      <c r="B4884" s="87" t="s">
        <v>1</v>
      </c>
      <c r="C4884" s="88" t="s">
        <v>5259</v>
      </c>
      <c r="D4884" s="88" t="s">
        <v>4458</v>
      </c>
      <c r="E4884" s="88" t="s">
        <v>61</v>
      </c>
      <c r="F4884" s="88">
        <v>0</v>
      </c>
      <c r="G4884" s="78">
        <f>MAX(H4884,I4884,J4884)</f>
        <v>0</v>
      </c>
      <c r="H4884" s="88"/>
      <c r="I4884" s="88"/>
      <c r="J4884" s="78">
        <f>MAX(K4884:Q4884)</f>
        <v>0</v>
      </c>
      <c r="K4884" s="88"/>
      <c r="L4884" s="88"/>
      <c r="M4884" s="88"/>
      <c r="N4884" s="88"/>
      <c r="O4884" s="88"/>
      <c r="P4884" s="88"/>
      <c r="Q4884" s="88"/>
      <c r="R4884" s="78">
        <f>MAX(S4884:W4884)</f>
        <v>1</v>
      </c>
      <c r="S4884" s="88"/>
      <c r="T4884" s="88"/>
      <c r="U4884" s="88">
        <v>1</v>
      </c>
      <c r="V4884" s="88"/>
      <c r="W4884" s="88"/>
    </row>
    <row r="4885" spans="2:23" s="0" customFormat="0" ht="15">
      <c r="B4885" s="87" t="s">
        <v>1</v>
      </c>
      <c r="C4885" s="88" t="s">
        <v>5259</v>
      </c>
      <c r="D4885" s="88">
        <v>23264061</v>
      </c>
      <c r="E4885" s="88" t="s">
        <v>61</v>
      </c>
      <c r="F4885" s="88">
        <v>0</v>
      </c>
      <c r="G4885" s="78">
        <f>MAX(H4885,I4885,J4885)</f>
        <v>1</v>
      </c>
      <c r="H4885" s="88"/>
      <c r="I4885" s="88"/>
      <c r="J4885" s="78">
        <f>MAX(K4885:Q4885)</f>
        <v>1</v>
      </c>
      <c r="K4885" s="88">
        <v>1</v>
      </c>
      <c r="L4885" s="88"/>
      <c r="M4885" s="88"/>
      <c r="N4885" s="88"/>
      <c r="O4885" s="88"/>
      <c r="P4885" s="88"/>
      <c r="Q4885" s="88"/>
      <c r="R4885" s="78">
        <f>MAX(S4885:W4885)</f>
        <v>0</v>
      </c>
      <c r="S4885" s="88"/>
      <c r="T4885" s="88"/>
      <c r="U4885" s="88"/>
      <c r="V4885" s="88"/>
      <c r="W4885" s="88"/>
    </row>
    <row r="4886" spans="2:23" s="0" customFormat="0" ht="15">
      <c r="B4886" s="87" t="s">
        <v>1</v>
      </c>
      <c r="C4886" s="88" t="s">
        <v>5259</v>
      </c>
      <c r="D4886" s="88" t="s">
        <v>4368</v>
      </c>
      <c r="E4886" s="88" t="s">
        <v>61</v>
      </c>
      <c r="F4886" s="88">
        <v>0</v>
      </c>
      <c r="G4886" s="78">
        <f>MAX(H4886,I4886,J4886)</f>
        <v>0</v>
      </c>
      <c r="H4886" s="88"/>
      <c r="I4886" s="88"/>
      <c r="J4886" s="78">
        <f>MAX(K4886:Q4886)</f>
        <v>0</v>
      </c>
      <c r="K4886" s="88"/>
      <c r="L4886" s="88"/>
      <c r="M4886" s="88"/>
      <c r="N4886" s="88"/>
      <c r="O4886" s="88"/>
      <c r="P4886" s="88"/>
      <c r="Q4886" s="88"/>
      <c r="R4886" s="78">
        <f>MAX(S4886:W4886)</f>
        <v>1</v>
      </c>
      <c r="S4886" s="88"/>
      <c r="T4886" s="88"/>
      <c r="U4886" s="88">
        <v>1</v>
      </c>
      <c r="V4886" s="88"/>
      <c r="W4886" s="88"/>
    </row>
    <row r="4887" spans="2:23" s="0" customFormat="0" ht="15">
      <c r="B4887" s="87" t="s">
        <v>1</v>
      </c>
      <c r="C4887" s="88" t="s">
        <v>5259</v>
      </c>
      <c r="D4887" s="88">
        <v>13321922</v>
      </c>
      <c r="E4887" s="88" t="s">
        <v>61</v>
      </c>
      <c r="F4887" s="88">
        <v>0</v>
      </c>
      <c r="G4887" s="78">
        <f>MAX(H4887,I4887,J4887)</f>
        <v>1</v>
      </c>
      <c r="H4887" s="88"/>
      <c r="I4887" s="88"/>
      <c r="J4887" s="78">
        <f>MAX(K4887:Q4887)</f>
        <v>1</v>
      </c>
      <c r="K4887" s="88">
        <v>1</v>
      </c>
      <c r="L4887" s="88"/>
      <c r="M4887" s="88"/>
      <c r="N4887" s="88"/>
      <c r="O4887" s="88"/>
      <c r="P4887" s="88"/>
      <c r="Q4887" s="88"/>
      <c r="R4887" s="78">
        <f>MAX(S4887:W4887)</f>
        <v>0</v>
      </c>
      <c r="S4887" s="88"/>
      <c r="T4887" s="88"/>
      <c r="U4887" s="88"/>
      <c r="V4887" s="88"/>
      <c r="W4887" s="88"/>
    </row>
    <row r="4888" spans="2:23" s="0" customFormat="0" ht="15">
      <c r="B4888" s="87" t="s">
        <v>1</v>
      </c>
      <c r="C4888" s="88" t="s">
        <v>5259</v>
      </c>
      <c r="D4888" s="88">
        <v>19184780</v>
      </c>
      <c r="E4888" s="88" t="s">
        <v>61</v>
      </c>
      <c r="F4888" s="88">
        <v>0</v>
      </c>
      <c r="G4888" s="78">
        <f>MAX(H4888,I4888,J4888)</f>
        <v>1</v>
      </c>
      <c r="H4888" s="88"/>
      <c r="I4888" s="88"/>
      <c r="J4888" s="78">
        <f>MAX(K4888:Q4888)</f>
        <v>1</v>
      </c>
      <c r="K4888" s="88">
        <v>1</v>
      </c>
      <c r="L4888" s="88"/>
      <c r="M4888" s="88"/>
      <c r="N4888" s="88"/>
      <c r="O4888" s="88"/>
      <c r="P4888" s="88"/>
      <c r="Q4888" s="88"/>
      <c r="R4888" s="78">
        <f>MAX(S4888:W4888)</f>
        <v>0</v>
      </c>
      <c r="S4888" s="88"/>
      <c r="T4888" s="88"/>
      <c r="U4888" s="88"/>
      <c r="V4888" s="88"/>
      <c r="W4888" s="88"/>
    </row>
    <row r="4889" spans="2:23" s="0" customFormat="0" ht="15">
      <c r="B4889" s="87" t="s">
        <v>1</v>
      </c>
      <c r="C4889" s="88" t="s">
        <v>5259</v>
      </c>
      <c r="D4889" s="88">
        <v>14504610</v>
      </c>
      <c r="E4889" s="88" t="s">
        <v>61</v>
      </c>
      <c r="F4889" s="88">
        <v>0</v>
      </c>
      <c r="G4889" s="78">
        <f>MAX(H4889,I4889,J4889)</f>
        <v>1</v>
      </c>
      <c r="H4889" s="88"/>
      <c r="I4889" s="88"/>
      <c r="J4889" s="78">
        <f>MAX(K4889:Q4889)</f>
        <v>1</v>
      </c>
      <c r="K4889" s="88">
        <v>1</v>
      </c>
      <c r="L4889" s="88"/>
      <c r="M4889" s="88"/>
      <c r="N4889" s="88"/>
      <c r="O4889" s="88"/>
      <c r="P4889" s="88"/>
      <c r="Q4889" s="88"/>
      <c r="R4889" s="78">
        <f>MAX(S4889:W4889)</f>
        <v>0</v>
      </c>
      <c r="S4889" s="88"/>
      <c r="T4889" s="88"/>
      <c r="U4889" s="88"/>
      <c r="V4889" s="88"/>
      <c r="W4889" s="88"/>
    </row>
    <row r="4890" spans="2:23" s="0" customFormat="0" ht="15">
      <c r="B4890" s="87" t="s">
        <v>1</v>
      </c>
      <c r="C4890" s="88" t="s">
        <v>5259</v>
      </c>
      <c r="D4890" s="88">
        <v>19486457</v>
      </c>
      <c r="E4890" s="88" t="s">
        <v>61</v>
      </c>
      <c r="F4890" s="88">
        <v>0</v>
      </c>
      <c r="G4890" s="78">
        <f>MAX(H4890,I4890,J4890)</f>
        <v>1</v>
      </c>
      <c r="H4890" s="88"/>
      <c r="I4890" s="88"/>
      <c r="J4890" s="78">
        <f>MAX(K4890:Q4890)</f>
        <v>1</v>
      </c>
      <c r="K4890" s="88">
        <v>1</v>
      </c>
      <c r="L4890" s="88"/>
      <c r="M4890" s="88"/>
      <c r="N4890" s="88"/>
      <c r="O4890" s="88"/>
      <c r="P4890" s="88"/>
      <c r="Q4890" s="88"/>
      <c r="R4890" s="78">
        <f>MAX(S4890:W4890)</f>
        <v>0</v>
      </c>
      <c r="S4890" s="88"/>
      <c r="T4890" s="88"/>
      <c r="U4890" s="88"/>
      <c r="V4890" s="88"/>
      <c r="W4890" s="88"/>
    </row>
    <row r="4891" spans="2:23" s="0" customFormat="0" ht="15">
      <c r="B4891" s="87" t="s">
        <v>1</v>
      </c>
      <c r="C4891" s="88" t="s">
        <v>5259</v>
      </c>
      <c r="D4891" s="88" t="s">
        <v>1976</v>
      </c>
      <c r="E4891" s="88" t="s">
        <v>61</v>
      </c>
      <c r="F4891" s="88">
        <v>0</v>
      </c>
      <c r="G4891" s="78">
        <f>MAX(H4891,I4891,J4891)</f>
        <v>1</v>
      </c>
      <c r="H4891" s="88"/>
      <c r="I4891" s="88"/>
      <c r="J4891" s="78">
        <f>MAX(K4891:Q4891)</f>
        <v>1</v>
      </c>
      <c r="K4891" s="88">
        <v>1</v>
      </c>
      <c r="L4891" s="88"/>
      <c r="M4891" s="88"/>
      <c r="N4891" s="88"/>
      <c r="O4891" s="88"/>
      <c r="P4891" s="88"/>
      <c r="Q4891" s="88"/>
      <c r="R4891" s="78">
        <f>MAX(S4891:W4891)</f>
        <v>0</v>
      </c>
      <c r="S4891" s="88"/>
      <c r="T4891" s="88"/>
      <c r="U4891" s="88"/>
      <c r="V4891" s="88"/>
      <c r="W4891" s="88"/>
    </row>
    <row r="4892" spans="2:23" s="0" customFormat="0" ht="15">
      <c r="B4892" s="87" t="s">
        <v>1</v>
      </c>
      <c r="C4892" s="88" t="s">
        <v>5259</v>
      </c>
      <c r="D4892" s="88" t="s">
        <v>5065</v>
      </c>
      <c r="E4892" s="88" t="s">
        <v>61</v>
      </c>
      <c r="F4892" s="88">
        <v>0</v>
      </c>
      <c r="G4892" s="78">
        <f>MAX(H4892,I4892,J4892)</f>
        <v>0</v>
      </c>
      <c r="H4892" s="88"/>
      <c r="I4892" s="88"/>
      <c r="J4892" s="78">
        <f>MAX(K4892:Q4892)</f>
        <v>0</v>
      </c>
      <c r="K4892" s="88"/>
      <c r="L4892" s="88"/>
      <c r="M4892" s="88"/>
      <c r="N4892" s="88"/>
      <c r="O4892" s="88"/>
      <c r="P4892" s="88"/>
      <c r="Q4892" s="88"/>
      <c r="R4892" s="78">
        <f>MAX(S4892:W4892)</f>
        <v>1</v>
      </c>
      <c r="S4892" s="88"/>
      <c r="T4892" s="88"/>
      <c r="U4892" s="88">
        <v>1</v>
      </c>
      <c r="V4892" s="88"/>
      <c r="W4892" s="88"/>
    </row>
    <row r="4893" spans="2:23" s="0" customFormat="0" ht="15">
      <c r="B4893" s="87" t="s">
        <v>1</v>
      </c>
      <c r="C4893" s="88" t="s">
        <v>5259</v>
      </c>
      <c r="D4893" s="88">
        <v>12749535</v>
      </c>
      <c r="E4893" s="88" t="s">
        <v>61</v>
      </c>
      <c r="F4893" s="88">
        <v>0</v>
      </c>
      <c r="G4893" s="78">
        <f>MAX(H4893,I4893,J4893)</f>
        <v>1</v>
      </c>
      <c r="H4893" s="88"/>
      <c r="I4893" s="88"/>
      <c r="J4893" s="78">
        <f>MAX(K4893:Q4893)</f>
        <v>1</v>
      </c>
      <c r="K4893" s="88">
        <v>1</v>
      </c>
      <c r="L4893" s="88"/>
      <c r="M4893" s="88"/>
      <c r="N4893" s="88"/>
      <c r="O4893" s="88"/>
      <c r="P4893" s="88"/>
      <c r="Q4893" s="88"/>
      <c r="R4893" s="78">
        <f>MAX(S4893:W4893)</f>
        <v>0</v>
      </c>
      <c r="S4893" s="88"/>
      <c r="T4893" s="88"/>
      <c r="U4893" s="88"/>
      <c r="V4893" s="88"/>
      <c r="W4893" s="88"/>
    </row>
    <row r="4894" spans="2:23" s="0" customFormat="0" ht="15">
      <c r="B4894" s="87" t="s">
        <v>1</v>
      </c>
      <c r="C4894" s="88" t="s">
        <v>5259</v>
      </c>
      <c r="D4894" s="88">
        <v>2294874</v>
      </c>
      <c r="E4894" s="88" t="s">
        <v>61</v>
      </c>
      <c r="F4894" s="88">
        <v>0</v>
      </c>
      <c r="G4894" s="78">
        <f>MAX(H4894,I4894,J4894)</f>
        <v>1</v>
      </c>
      <c r="H4894" s="88"/>
      <c r="I4894" s="88"/>
      <c r="J4894" s="78">
        <f>MAX(K4894:Q4894)</f>
        <v>1</v>
      </c>
      <c r="K4894" s="88">
        <v>1</v>
      </c>
      <c r="L4894" s="88"/>
      <c r="M4894" s="88"/>
      <c r="N4894" s="88"/>
      <c r="O4894" s="88"/>
      <c r="P4894" s="88"/>
      <c r="Q4894" s="88"/>
      <c r="R4894" s="78">
        <f>MAX(S4894:W4894)</f>
        <v>0</v>
      </c>
      <c r="S4894" s="88"/>
      <c r="T4894" s="88"/>
      <c r="U4894" s="88"/>
      <c r="V4894" s="88"/>
      <c r="W4894" s="88"/>
    </row>
    <row r="4895" spans="2:23" s="0" customFormat="0" ht="15">
      <c r="B4895" s="87" t="s">
        <v>1</v>
      </c>
      <c r="C4895" s="88" t="s">
        <v>5259</v>
      </c>
      <c r="D4895" s="88">
        <v>556907</v>
      </c>
      <c r="E4895" s="88" t="s">
        <v>61</v>
      </c>
      <c r="F4895" s="88">
        <v>0</v>
      </c>
      <c r="G4895" s="78">
        <f>MAX(H4895,I4895,J4895)</f>
        <v>1</v>
      </c>
      <c r="H4895" s="88"/>
      <c r="I4895" s="88"/>
      <c r="J4895" s="78">
        <f>MAX(K4895:Q4895)</f>
        <v>1</v>
      </c>
      <c r="K4895" s="88">
        <v>1</v>
      </c>
      <c r="L4895" s="88"/>
      <c r="M4895" s="88"/>
      <c r="N4895" s="88"/>
      <c r="O4895" s="88"/>
      <c r="P4895" s="88"/>
      <c r="Q4895" s="88"/>
      <c r="R4895" s="78">
        <f>MAX(S4895:W4895)</f>
        <v>0</v>
      </c>
      <c r="S4895" s="88"/>
      <c r="T4895" s="88"/>
      <c r="U4895" s="88"/>
      <c r="V4895" s="88"/>
      <c r="W4895" s="88"/>
    </row>
    <row r="4896" spans="2:23" s="0" customFormat="0" ht="15">
      <c r="B4896" s="87" t="s">
        <v>1</v>
      </c>
      <c r="C4896" s="88" t="s">
        <v>5259</v>
      </c>
      <c r="D4896" s="88">
        <v>741516</v>
      </c>
      <c r="E4896" s="88" t="s">
        <v>61</v>
      </c>
      <c r="F4896" s="88">
        <v>0</v>
      </c>
      <c r="G4896" s="78">
        <f>MAX(H4896,I4896,J4896)</f>
        <v>0</v>
      </c>
      <c r="H4896" s="88"/>
      <c r="I4896" s="88"/>
      <c r="J4896" s="78">
        <f>MAX(K4896:Q4896)</f>
        <v>0</v>
      </c>
      <c r="K4896" s="88"/>
      <c r="L4896" s="88"/>
      <c r="M4896" s="88"/>
      <c r="N4896" s="88"/>
      <c r="O4896" s="88"/>
      <c r="P4896" s="88"/>
      <c r="Q4896" s="88"/>
      <c r="R4896" s="78">
        <f>MAX(S4896:W4896)</f>
        <v>1</v>
      </c>
      <c r="S4896" s="88"/>
      <c r="T4896" s="88"/>
      <c r="U4896" s="88">
        <v>1</v>
      </c>
      <c r="V4896" s="88"/>
      <c r="W4896" s="88"/>
    </row>
    <row r="4897" spans="2:23" s="0" customFormat="0" ht="15">
      <c r="B4897" s="87" t="s">
        <v>1</v>
      </c>
      <c r="C4897" s="88" t="s">
        <v>5259</v>
      </c>
      <c r="D4897" s="88">
        <v>20647448</v>
      </c>
      <c r="E4897" s="88" t="s">
        <v>61</v>
      </c>
      <c r="F4897" s="88">
        <v>0</v>
      </c>
      <c r="G4897" s="78">
        <f>MAX(H4897,I4897,J4897)</f>
        <v>1</v>
      </c>
      <c r="H4897" s="88"/>
      <c r="I4897" s="88"/>
      <c r="J4897" s="78">
        <f>MAX(K4897:Q4897)</f>
        <v>1</v>
      </c>
      <c r="K4897" s="88">
        <v>1</v>
      </c>
      <c r="L4897" s="88"/>
      <c r="M4897" s="88"/>
      <c r="N4897" s="88"/>
      <c r="O4897" s="88"/>
      <c r="P4897" s="88"/>
      <c r="Q4897" s="88"/>
      <c r="R4897" s="78">
        <f>MAX(S4897:W4897)</f>
        <v>0</v>
      </c>
      <c r="S4897" s="88"/>
      <c r="T4897" s="88"/>
      <c r="U4897" s="88"/>
      <c r="V4897" s="88"/>
      <c r="W4897" s="88"/>
    </row>
    <row r="4898" spans="2:23" s="0" customFormat="0" ht="15">
      <c r="B4898" s="87" t="s">
        <v>1</v>
      </c>
      <c r="C4898" s="88" t="s">
        <v>5259</v>
      </c>
      <c r="D4898" s="88">
        <v>18101061</v>
      </c>
      <c r="E4898" s="88" t="s">
        <v>61</v>
      </c>
      <c r="F4898" s="88">
        <v>0</v>
      </c>
      <c r="G4898" s="78">
        <f>MAX(H4898,I4898,J4898)</f>
        <v>1</v>
      </c>
      <c r="H4898" s="88"/>
      <c r="I4898" s="88"/>
      <c r="J4898" s="78">
        <f>MAX(K4898:Q4898)</f>
        <v>1</v>
      </c>
      <c r="K4898" s="88">
        <v>1</v>
      </c>
      <c r="L4898" s="88"/>
      <c r="M4898" s="88"/>
      <c r="N4898" s="88"/>
      <c r="O4898" s="88"/>
      <c r="P4898" s="88"/>
      <c r="Q4898" s="88"/>
      <c r="R4898" s="78">
        <f>MAX(S4898:W4898)</f>
        <v>0</v>
      </c>
      <c r="S4898" s="88"/>
      <c r="T4898" s="88"/>
      <c r="U4898" s="88"/>
      <c r="V4898" s="88"/>
      <c r="W4898" s="88"/>
    </row>
    <row r="4899" spans="2:23" s="0" customFormat="0" ht="15">
      <c r="B4899" s="87" t="s">
        <v>1</v>
      </c>
      <c r="C4899" s="88" t="s">
        <v>5259</v>
      </c>
      <c r="D4899" s="88">
        <v>9454013</v>
      </c>
      <c r="E4899" s="88" t="s">
        <v>61</v>
      </c>
      <c r="F4899" s="88">
        <v>0</v>
      </c>
      <c r="G4899" s="78">
        <f>MAX(H4899,I4899,J4899)</f>
        <v>1</v>
      </c>
      <c r="H4899" s="88"/>
      <c r="I4899" s="88"/>
      <c r="J4899" s="78">
        <f>MAX(K4899:Q4899)</f>
        <v>1</v>
      </c>
      <c r="K4899" s="88">
        <v>1</v>
      </c>
      <c r="L4899" s="88"/>
      <c r="M4899" s="88"/>
      <c r="N4899" s="88"/>
      <c r="O4899" s="88"/>
      <c r="P4899" s="88"/>
      <c r="Q4899" s="88"/>
      <c r="R4899" s="78">
        <f>MAX(S4899:W4899)</f>
        <v>0</v>
      </c>
      <c r="S4899" s="88"/>
      <c r="T4899" s="88"/>
      <c r="U4899" s="88"/>
      <c r="V4899" s="88"/>
      <c r="W4899" s="88"/>
    </row>
    <row r="4900" spans="2:23" s="0" customFormat="0" ht="15">
      <c r="B4900" s="87" t="s">
        <v>1</v>
      </c>
      <c r="C4900" s="88" t="s">
        <v>5259</v>
      </c>
      <c r="D4900" s="88">
        <v>16711402</v>
      </c>
      <c r="E4900" s="88" t="s">
        <v>61</v>
      </c>
      <c r="F4900" s="88">
        <v>0</v>
      </c>
      <c r="G4900" s="78">
        <f>MAX(H4900,I4900,J4900)</f>
        <v>1</v>
      </c>
      <c r="H4900" s="88"/>
      <c r="I4900" s="88"/>
      <c r="J4900" s="78">
        <f>MAX(K4900:Q4900)</f>
        <v>1</v>
      </c>
      <c r="K4900" s="88">
        <v>1</v>
      </c>
      <c r="L4900" s="88"/>
      <c r="M4900" s="88"/>
      <c r="N4900" s="88"/>
      <c r="O4900" s="88"/>
      <c r="P4900" s="88"/>
      <c r="Q4900" s="88"/>
      <c r="R4900" s="78">
        <f>MAX(S4900:W4900)</f>
        <v>0</v>
      </c>
      <c r="S4900" s="88"/>
      <c r="T4900" s="88"/>
      <c r="U4900" s="88"/>
      <c r="V4900" s="88"/>
      <c r="W4900" s="88"/>
    </row>
    <row r="4901" spans="2:23" s="0" customFormat="0" ht="15">
      <c r="B4901" s="87" t="s">
        <v>1</v>
      </c>
      <c r="C4901" s="88" t="s">
        <v>5259</v>
      </c>
      <c r="D4901" s="88">
        <v>15307241</v>
      </c>
      <c r="E4901" s="88" t="s">
        <v>61</v>
      </c>
      <c r="F4901" s="88">
        <v>0</v>
      </c>
      <c r="G4901" s="78">
        <f>MAX(H4901,I4901,J4901)</f>
        <v>1</v>
      </c>
      <c r="H4901" s="88"/>
      <c r="I4901" s="88"/>
      <c r="J4901" s="78">
        <f>MAX(K4901:Q4901)</f>
        <v>1</v>
      </c>
      <c r="K4901" s="88">
        <v>1</v>
      </c>
      <c r="L4901" s="88"/>
      <c r="M4901" s="88"/>
      <c r="N4901" s="88"/>
      <c r="O4901" s="88"/>
      <c r="P4901" s="88"/>
      <c r="Q4901" s="88"/>
      <c r="R4901" s="78">
        <f>MAX(S4901:W4901)</f>
        <v>0</v>
      </c>
      <c r="S4901" s="88"/>
      <c r="T4901" s="88"/>
      <c r="U4901" s="88"/>
      <c r="V4901" s="88"/>
      <c r="W4901" s="88"/>
    </row>
    <row r="4902" spans="2:23" s="0" customFormat="0" ht="15">
      <c r="B4902" s="87" t="s">
        <v>1</v>
      </c>
      <c r="C4902" s="88" t="s">
        <v>5259</v>
      </c>
      <c r="D4902" s="88">
        <v>16974060</v>
      </c>
      <c r="E4902" s="88" t="s">
        <v>61</v>
      </c>
      <c r="F4902" s="88">
        <v>0</v>
      </c>
      <c r="G4902" s="78">
        <f>MAX(H4902,I4902,J4902)</f>
        <v>0</v>
      </c>
      <c r="H4902" s="88"/>
      <c r="I4902" s="88"/>
      <c r="J4902" s="78">
        <f>MAX(K4902:Q4902)</f>
        <v>0</v>
      </c>
      <c r="K4902" s="88"/>
      <c r="L4902" s="88"/>
      <c r="M4902" s="88"/>
      <c r="N4902" s="88"/>
      <c r="O4902" s="88"/>
      <c r="P4902" s="88"/>
      <c r="Q4902" s="88"/>
      <c r="R4902" s="78">
        <f>MAX(S4902:W4902)</f>
        <v>1</v>
      </c>
      <c r="S4902" s="88"/>
      <c r="T4902" s="88"/>
      <c r="U4902" s="88">
        <v>1</v>
      </c>
      <c r="V4902" s="88"/>
      <c r="W4902" s="88"/>
    </row>
    <row r="4903" spans="2:23" s="0" customFormat="0" ht="15">
      <c r="B4903" s="87" t="s">
        <v>1</v>
      </c>
      <c r="C4903" s="88" t="s">
        <v>5259</v>
      </c>
      <c r="D4903" s="88">
        <v>24728975</v>
      </c>
      <c r="E4903" s="88" t="s">
        <v>61</v>
      </c>
      <c r="F4903" s="88">
        <v>0</v>
      </c>
      <c r="G4903" s="78">
        <f>MAX(H4903,I4903,J4903)</f>
        <v>1</v>
      </c>
      <c r="H4903" s="88"/>
      <c r="I4903" s="88"/>
      <c r="J4903" s="78">
        <f>MAX(K4903:Q4903)</f>
        <v>1</v>
      </c>
      <c r="K4903" s="88"/>
      <c r="L4903" s="88">
        <v>1</v>
      </c>
      <c r="M4903" s="88"/>
      <c r="N4903" s="88"/>
      <c r="O4903" s="88"/>
      <c r="P4903" s="88"/>
      <c r="Q4903" s="88"/>
      <c r="R4903" s="78">
        <f>MAX(S4903:W4903)</f>
        <v>0</v>
      </c>
      <c r="S4903" s="88"/>
      <c r="T4903" s="88"/>
      <c r="U4903" s="88"/>
      <c r="V4903" s="88"/>
      <c r="W4903" s="88"/>
    </row>
    <row r="4904" spans="2:23" s="0" customFormat="0" ht="15">
      <c r="B4904" s="87" t="s">
        <v>1</v>
      </c>
      <c r="C4904" s="88" t="s">
        <v>5259</v>
      </c>
      <c r="D4904" s="88">
        <v>20763534</v>
      </c>
      <c r="E4904" s="88" t="s">
        <v>61</v>
      </c>
      <c r="F4904" s="88">
        <v>0</v>
      </c>
      <c r="G4904" s="78">
        <f>MAX(H4904,I4904,J4904)</f>
        <v>1</v>
      </c>
      <c r="H4904" s="88"/>
      <c r="I4904" s="88"/>
      <c r="J4904" s="78">
        <f>MAX(K4904:Q4904)</f>
        <v>1</v>
      </c>
      <c r="K4904" s="88">
        <v>1</v>
      </c>
      <c r="L4904" s="88"/>
      <c r="M4904" s="88"/>
      <c r="N4904" s="88"/>
      <c r="O4904" s="88"/>
      <c r="P4904" s="88"/>
      <c r="Q4904" s="88"/>
      <c r="R4904" s="78">
        <f>MAX(S4904:W4904)</f>
        <v>0</v>
      </c>
      <c r="S4904" s="88"/>
      <c r="T4904" s="88"/>
      <c r="U4904" s="88"/>
      <c r="V4904" s="88"/>
      <c r="W4904" s="88"/>
    </row>
    <row r="4905" spans="2:23" s="0" customFormat="0" ht="15">
      <c r="B4905" s="87" t="s">
        <v>1</v>
      </c>
      <c r="C4905" s="88" t="s">
        <v>5259</v>
      </c>
      <c r="D4905" s="88" t="s">
        <v>5067</v>
      </c>
      <c r="E4905" s="88" t="s">
        <v>61</v>
      </c>
      <c r="F4905" s="88">
        <v>0</v>
      </c>
      <c r="G4905" s="78">
        <f>MAX(H4905,I4905,J4905)</f>
        <v>0</v>
      </c>
      <c r="H4905" s="88"/>
      <c r="I4905" s="88"/>
      <c r="J4905" s="78">
        <f>MAX(K4905:Q4905)</f>
        <v>0</v>
      </c>
      <c r="K4905" s="88"/>
      <c r="L4905" s="88"/>
      <c r="M4905" s="88"/>
      <c r="N4905" s="88"/>
      <c r="O4905" s="88"/>
      <c r="P4905" s="88"/>
      <c r="Q4905" s="88"/>
      <c r="R4905" s="78">
        <f>MAX(S4905:W4905)</f>
        <v>1</v>
      </c>
      <c r="S4905" s="88"/>
      <c r="T4905" s="88"/>
      <c r="U4905" s="88">
        <v>1</v>
      </c>
      <c r="V4905" s="88"/>
      <c r="W4905" s="88"/>
    </row>
    <row r="4906" spans="2:23" s="0" customFormat="0" ht="15">
      <c r="B4906" s="87" t="s">
        <v>1</v>
      </c>
      <c r="C4906" s="88" t="s">
        <v>5259</v>
      </c>
      <c r="D4906" s="88" t="s">
        <v>4925</v>
      </c>
      <c r="E4906" s="88" t="s">
        <v>61</v>
      </c>
      <c r="F4906" s="88">
        <v>0</v>
      </c>
      <c r="G4906" s="78">
        <f>MAX(H4906,I4906,J4906)</f>
        <v>0</v>
      </c>
      <c r="H4906" s="88"/>
      <c r="I4906" s="88"/>
      <c r="J4906" s="78">
        <f>MAX(K4906:Q4906)</f>
        <v>0</v>
      </c>
      <c r="K4906" s="88"/>
      <c r="L4906" s="88"/>
      <c r="M4906" s="88"/>
      <c r="N4906" s="88"/>
      <c r="O4906" s="88"/>
      <c r="P4906" s="88"/>
      <c r="Q4906" s="88"/>
      <c r="R4906" s="78">
        <f>MAX(S4906:W4906)</f>
        <v>1</v>
      </c>
      <c r="S4906" s="88"/>
      <c r="T4906" s="88"/>
      <c r="U4906" s="88">
        <v>1</v>
      </c>
      <c r="V4906" s="88"/>
      <c r="W4906" s="88"/>
    </row>
    <row r="4907" spans="2:23" s="0" customFormat="0" ht="15">
      <c r="B4907" s="87" t="s">
        <v>1</v>
      </c>
      <c r="C4907" s="88" t="s">
        <v>5259</v>
      </c>
      <c r="D4907" s="88" t="s">
        <v>1533</v>
      </c>
      <c r="E4907" s="88" t="s">
        <v>61</v>
      </c>
      <c r="F4907" s="88">
        <v>0</v>
      </c>
      <c r="G4907" s="78">
        <f>MAX(H4907,I4907,J4907)</f>
        <v>1</v>
      </c>
      <c r="H4907" s="88"/>
      <c r="I4907" s="88"/>
      <c r="J4907" s="78">
        <f>MAX(K4907:Q4907)</f>
        <v>1</v>
      </c>
      <c r="K4907" s="88">
        <v>1</v>
      </c>
      <c r="L4907" s="88"/>
      <c r="M4907" s="88"/>
      <c r="N4907" s="88"/>
      <c r="O4907" s="88"/>
      <c r="P4907" s="88"/>
      <c r="Q4907" s="88"/>
      <c r="R4907" s="78">
        <f>MAX(S4907:W4907)</f>
        <v>0</v>
      </c>
      <c r="S4907" s="88"/>
      <c r="T4907" s="88"/>
      <c r="U4907" s="88"/>
      <c r="V4907" s="88"/>
      <c r="W4907" s="88"/>
    </row>
    <row r="4908" spans="2:23" s="0" customFormat="0" ht="15">
      <c r="B4908" s="87" t="s">
        <v>1</v>
      </c>
      <c r="C4908" s="88" t="s">
        <v>5259</v>
      </c>
      <c r="D4908" s="88">
        <v>17619857</v>
      </c>
      <c r="E4908" s="88" t="s">
        <v>61</v>
      </c>
      <c r="F4908" s="88">
        <v>0</v>
      </c>
      <c r="G4908" s="78">
        <f>MAX(H4908,I4908,J4908)</f>
        <v>1</v>
      </c>
      <c r="H4908" s="88"/>
      <c r="I4908" s="88"/>
      <c r="J4908" s="78">
        <f>MAX(K4908:Q4908)</f>
        <v>1</v>
      </c>
      <c r="K4908" s="88">
        <v>1</v>
      </c>
      <c r="L4908" s="88"/>
      <c r="M4908" s="88"/>
      <c r="N4908" s="88"/>
      <c r="O4908" s="88"/>
      <c r="P4908" s="88"/>
      <c r="Q4908" s="88"/>
      <c r="R4908" s="78">
        <f>MAX(S4908:W4908)</f>
        <v>0</v>
      </c>
      <c r="S4908" s="88"/>
      <c r="T4908" s="88"/>
      <c r="U4908" s="88"/>
      <c r="V4908" s="88"/>
      <c r="W4908" s="88"/>
    </row>
    <row r="4909" spans="2:23" s="0" customFormat="0" ht="15">
      <c r="B4909" s="87" t="s">
        <v>1</v>
      </c>
      <c r="C4909" s="88" t="s">
        <v>5259</v>
      </c>
      <c r="D4909" s="88" t="s">
        <v>2716</v>
      </c>
      <c r="E4909" s="88" t="s">
        <v>61</v>
      </c>
      <c r="F4909" s="88">
        <v>0</v>
      </c>
      <c r="G4909" s="78">
        <f>MAX(H4909,I4909,J4909)</f>
        <v>1</v>
      </c>
      <c r="H4909" s="88"/>
      <c r="I4909" s="88"/>
      <c r="J4909" s="78">
        <f>MAX(K4909:Q4909)</f>
        <v>1</v>
      </c>
      <c r="K4909" s="88">
        <v>1</v>
      </c>
      <c r="L4909" s="88"/>
      <c r="M4909" s="88"/>
      <c r="N4909" s="88"/>
      <c r="O4909" s="88"/>
      <c r="P4909" s="88"/>
      <c r="Q4909" s="88"/>
      <c r="R4909" s="78">
        <f>MAX(S4909:W4909)</f>
        <v>0</v>
      </c>
      <c r="S4909" s="88"/>
      <c r="T4909" s="88"/>
      <c r="U4909" s="88"/>
      <c r="V4909" s="88"/>
      <c r="W4909" s="88"/>
    </row>
    <row r="4910" spans="2:23" s="0" customFormat="0" ht="15">
      <c r="B4910" s="87" t="s">
        <v>1</v>
      </c>
      <c r="C4910" s="88" t="s">
        <v>5259</v>
      </c>
      <c r="D4910" s="88">
        <v>2644357</v>
      </c>
      <c r="E4910" s="88" t="s">
        <v>61</v>
      </c>
      <c r="F4910" s="88">
        <v>0</v>
      </c>
      <c r="G4910" s="78">
        <f>MAX(H4910,I4910,J4910)</f>
        <v>0</v>
      </c>
      <c r="H4910" s="88"/>
      <c r="I4910" s="88"/>
      <c r="J4910" s="78">
        <f>MAX(K4910:Q4910)</f>
        <v>0</v>
      </c>
      <c r="K4910" s="88"/>
      <c r="L4910" s="88"/>
      <c r="M4910" s="88"/>
      <c r="N4910" s="88"/>
      <c r="O4910" s="88"/>
      <c r="P4910" s="88"/>
      <c r="Q4910" s="88"/>
      <c r="R4910" s="78">
        <f>MAX(S4910:W4910)</f>
        <v>1</v>
      </c>
      <c r="S4910" s="88"/>
      <c r="T4910" s="88"/>
      <c r="U4910" s="88">
        <v>1</v>
      </c>
      <c r="V4910" s="88"/>
      <c r="W4910" s="88"/>
    </row>
    <row r="4911" spans="2:23" s="0" customFormat="0" ht="15">
      <c r="B4911" s="87" t="s">
        <v>1</v>
      </c>
      <c r="C4911" s="88" t="s">
        <v>5259</v>
      </c>
      <c r="D4911" s="88">
        <v>23488989</v>
      </c>
      <c r="E4911" s="88" t="s">
        <v>61</v>
      </c>
      <c r="F4911" s="88">
        <v>0</v>
      </c>
      <c r="G4911" s="78">
        <f>MAX(H4911,I4911,J4911)</f>
        <v>1</v>
      </c>
      <c r="H4911" s="88"/>
      <c r="I4911" s="88"/>
      <c r="J4911" s="78">
        <f>MAX(K4911:Q4911)</f>
        <v>1</v>
      </c>
      <c r="K4911" s="88">
        <v>1</v>
      </c>
      <c r="L4911" s="88"/>
      <c r="M4911" s="88"/>
      <c r="N4911" s="88"/>
      <c r="O4911" s="88"/>
      <c r="P4911" s="88"/>
      <c r="Q4911" s="88"/>
      <c r="R4911" s="78">
        <f>MAX(S4911:W4911)</f>
        <v>0</v>
      </c>
      <c r="S4911" s="88"/>
      <c r="T4911" s="88"/>
      <c r="U4911" s="88"/>
      <c r="V4911" s="88"/>
      <c r="W4911" s="88"/>
    </row>
    <row r="4912" spans="2:23" s="0" customFormat="0" ht="15">
      <c r="B4912" s="87" t="s">
        <v>1</v>
      </c>
      <c r="C4912" s="88" t="s">
        <v>5259</v>
      </c>
      <c r="D4912" s="88" t="s">
        <v>2546</v>
      </c>
      <c r="E4912" s="88" t="s">
        <v>61</v>
      </c>
      <c r="F4912" s="88">
        <v>0</v>
      </c>
      <c r="G4912" s="78">
        <f>MAX(H4912,I4912,J4912)</f>
        <v>1</v>
      </c>
      <c r="H4912" s="88"/>
      <c r="I4912" s="88"/>
      <c r="J4912" s="78">
        <f>MAX(K4912:Q4912)</f>
        <v>1</v>
      </c>
      <c r="K4912" s="88">
        <v>1</v>
      </c>
      <c r="L4912" s="88"/>
      <c r="M4912" s="88"/>
      <c r="N4912" s="88"/>
      <c r="O4912" s="88"/>
      <c r="P4912" s="88"/>
      <c r="Q4912" s="88"/>
      <c r="R4912" s="78">
        <f>MAX(S4912:W4912)</f>
        <v>0</v>
      </c>
      <c r="S4912" s="88"/>
      <c r="T4912" s="88"/>
      <c r="U4912" s="88"/>
      <c r="V4912" s="88"/>
      <c r="W4912" s="88"/>
    </row>
    <row r="4913" spans="2:23" s="0" customFormat="0" ht="15">
      <c r="B4913" s="87" t="s">
        <v>1</v>
      </c>
      <c r="C4913" s="88" t="s">
        <v>5259</v>
      </c>
      <c r="D4913" s="88" t="s">
        <v>4815</v>
      </c>
      <c r="E4913" s="88" t="s">
        <v>61</v>
      </c>
      <c r="F4913" s="88">
        <v>0</v>
      </c>
      <c r="G4913" s="78">
        <f>MAX(H4913,I4913,J4913)</f>
        <v>0</v>
      </c>
      <c r="H4913" s="88"/>
      <c r="I4913" s="88"/>
      <c r="J4913" s="78">
        <f>MAX(K4913:Q4913)</f>
        <v>0</v>
      </c>
      <c r="K4913" s="88"/>
      <c r="L4913" s="88"/>
      <c r="M4913" s="88"/>
      <c r="N4913" s="88"/>
      <c r="O4913" s="88"/>
      <c r="P4913" s="88"/>
      <c r="Q4913" s="88"/>
      <c r="R4913" s="78">
        <f>MAX(S4913:W4913)</f>
        <v>1</v>
      </c>
      <c r="S4913" s="88"/>
      <c r="T4913" s="88"/>
      <c r="U4913" s="88">
        <v>1</v>
      </c>
      <c r="V4913" s="88"/>
      <c r="W4913" s="88"/>
    </row>
    <row r="4914" spans="2:23" s="0" customFormat="0" ht="15">
      <c r="B4914" s="87" t="s">
        <v>1</v>
      </c>
      <c r="C4914" s="88" t="s">
        <v>5259</v>
      </c>
      <c r="D4914" s="88">
        <v>17555097</v>
      </c>
      <c r="E4914" s="88" t="s">
        <v>61</v>
      </c>
      <c r="F4914" s="88">
        <v>0</v>
      </c>
      <c r="G4914" s="78">
        <f>MAX(H4914,I4914,J4914)</f>
        <v>1</v>
      </c>
      <c r="H4914" s="88"/>
      <c r="I4914" s="88"/>
      <c r="J4914" s="78">
        <f>MAX(K4914:Q4914)</f>
        <v>1</v>
      </c>
      <c r="K4914" s="88"/>
      <c r="L4914" s="88">
        <v>1</v>
      </c>
      <c r="M4914" s="88"/>
      <c r="N4914" s="88"/>
      <c r="O4914" s="88"/>
      <c r="P4914" s="88"/>
      <c r="Q4914" s="88"/>
      <c r="R4914" s="78">
        <f>MAX(S4914:W4914)</f>
        <v>0</v>
      </c>
      <c r="S4914" s="88"/>
      <c r="T4914" s="88"/>
      <c r="U4914" s="88"/>
      <c r="V4914" s="88"/>
      <c r="W4914" s="88"/>
    </row>
    <row r="4915" spans="2:23" s="0" customFormat="0" ht="15">
      <c r="B4915" s="87" t="s">
        <v>1</v>
      </c>
      <c r="C4915" s="88" t="s">
        <v>5259</v>
      </c>
      <c r="D4915" s="88">
        <v>13102389</v>
      </c>
      <c r="E4915" s="88" t="s">
        <v>61</v>
      </c>
      <c r="F4915" s="88">
        <v>0</v>
      </c>
      <c r="G4915" s="78">
        <f>MAX(H4915,I4915,J4915)</f>
        <v>1</v>
      </c>
      <c r="H4915" s="88"/>
      <c r="I4915" s="88"/>
      <c r="J4915" s="78">
        <f>MAX(K4915:Q4915)</f>
        <v>1</v>
      </c>
      <c r="K4915" s="88">
        <v>1</v>
      </c>
      <c r="L4915" s="88"/>
      <c r="M4915" s="88"/>
      <c r="N4915" s="88"/>
      <c r="O4915" s="88"/>
      <c r="P4915" s="88"/>
      <c r="Q4915" s="88"/>
      <c r="R4915" s="78">
        <f>MAX(S4915:W4915)</f>
        <v>0</v>
      </c>
      <c r="S4915" s="88"/>
      <c r="T4915" s="88"/>
      <c r="U4915" s="88"/>
      <c r="V4915" s="88"/>
      <c r="W4915" s="88"/>
    </row>
    <row r="4916" spans="2:23" s="0" customFormat="0" ht="15">
      <c r="B4916" s="87" t="s">
        <v>1</v>
      </c>
      <c r="C4916" s="88" t="s">
        <v>5259</v>
      </c>
      <c r="D4916" s="88" t="s">
        <v>2718</v>
      </c>
      <c r="E4916" s="88" t="s">
        <v>61</v>
      </c>
      <c r="F4916" s="88">
        <v>0</v>
      </c>
      <c r="G4916" s="78">
        <f>MAX(H4916,I4916,J4916)</f>
        <v>1</v>
      </c>
      <c r="H4916" s="88"/>
      <c r="I4916" s="88"/>
      <c r="J4916" s="78">
        <f>MAX(K4916:Q4916)</f>
        <v>1</v>
      </c>
      <c r="K4916" s="88">
        <v>1</v>
      </c>
      <c r="L4916" s="88"/>
      <c r="M4916" s="88"/>
      <c r="N4916" s="88"/>
      <c r="O4916" s="88"/>
      <c r="P4916" s="88"/>
      <c r="Q4916" s="88"/>
      <c r="R4916" s="78">
        <f>MAX(S4916:W4916)</f>
        <v>0</v>
      </c>
      <c r="S4916" s="88"/>
      <c r="T4916" s="88"/>
      <c r="U4916" s="88"/>
      <c r="V4916" s="88"/>
      <c r="W4916" s="88"/>
    </row>
    <row r="4917" spans="2:23" s="0" customFormat="0" ht="15">
      <c r="B4917" s="87" t="s">
        <v>1</v>
      </c>
      <c r="C4917" s="88" t="s">
        <v>5259</v>
      </c>
      <c r="D4917" s="88">
        <v>22554490</v>
      </c>
      <c r="E4917" s="88" t="s">
        <v>61</v>
      </c>
      <c r="F4917" s="88">
        <v>0</v>
      </c>
      <c r="G4917" s="78">
        <f>MAX(H4917,I4917,J4917)</f>
        <v>0</v>
      </c>
      <c r="H4917" s="88"/>
      <c r="I4917" s="88"/>
      <c r="J4917" s="78">
        <f>MAX(K4917:Q4917)</f>
        <v>0</v>
      </c>
      <c r="K4917" s="88"/>
      <c r="L4917" s="88"/>
      <c r="M4917" s="88"/>
      <c r="N4917" s="88"/>
      <c r="O4917" s="88"/>
      <c r="P4917" s="88"/>
      <c r="Q4917" s="88"/>
      <c r="R4917" s="78">
        <f>MAX(S4917:W4917)</f>
        <v>1</v>
      </c>
      <c r="S4917" s="88"/>
      <c r="T4917" s="88"/>
      <c r="U4917" s="88">
        <v>1</v>
      </c>
      <c r="V4917" s="88"/>
      <c r="W4917" s="88"/>
    </row>
    <row r="4918" spans="2:23" s="0" customFormat="0" ht="15">
      <c r="B4918" s="87" t="s">
        <v>1</v>
      </c>
      <c r="C4918" s="88" t="s">
        <v>5259</v>
      </c>
      <c r="D4918" s="88">
        <v>18555381</v>
      </c>
      <c r="E4918" s="88" t="s">
        <v>61</v>
      </c>
      <c r="F4918" s="88">
        <v>0</v>
      </c>
      <c r="G4918" s="78">
        <f>MAX(H4918,I4918,J4918)</f>
        <v>1</v>
      </c>
      <c r="H4918" s="88"/>
      <c r="I4918" s="88"/>
      <c r="J4918" s="78">
        <f>MAX(K4918:Q4918)</f>
        <v>1</v>
      </c>
      <c r="K4918" s="88">
        <v>1</v>
      </c>
      <c r="L4918" s="88"/>
      <c r="M4918" s="88"/>
      <c r="N4918" s="88"/>
      <c r="O4918" s="88"/>
      <c r="P4918" s="88"/>
      <c r="Q4918" s="88"/>
      <c r="R4918" s="78">
        <f>MAX(S4918:W4918)</f>
        <v>0</v>
      </c>
      <c r="S4918" s="88"/>
      <c r="T4918" s="88"/>
      <c r="U4918" s="88"/>
      <c r="V4918" s="88"/>
      <c r="W4918" s="88"/>
    </row>
    <row r="4919" spans="2:23" s="0" customFormat="0" ht="15">
      <c r="B4919" s="87" t="s">
        <v>1</v>
      </c>
      <c r="C4919" s="88" t="s">
        <v>5259</v>
      </c>
      <c r="D4919" s="88" t="s">
        <v>5071</v>
      </c>
      <c r="E4919" s="88" t="s">
        <v>61</v>
      </c>
      <c r="F4919" s="88">
        <v>0</v>
      </c>
      <c r="G4919" s="78">
        <f>MAX(H4919,I4919,J4919)</f>
        <v>0</v>
      </c>
      <c r="H4919" s="88"/>
      <c r="I4919" s="88"/>
      <c r="J4919" s="78">
        <f>MAX(K4919:Q4919)</f>
        <v>0</v>
      </c>
      <c r="K4919" s="88"/>
      <c r="L4919" s="88"/>
      <c r="M4919" s="88"/>
      <c r="N4919" s="88"/>
      <c r="O4919" s="88"/>
      <c r="P4919" s="88"/>
      <c r="Q4919" s="88"/>
      <c r="R4919" s="78">
        <f>MAX(S4919:W4919)</f>
        <v>1</v>
      </c>
      <c r="S4919" s="88"/>
      <c r="T4919" s="88"/>
      <c r="U4919" s="88">
        <v>1</v>
      </c>
      <c r="V4919" s="88"/>
      <c r="W4919" s="88"/>
    </row>
    <row r="4920" spans="2:23" s="0" customFormat="0" ht="15">
      <c r="B4920" s="87" t="s">
        <v>1</v>
      </c>
      <c r="C4920" s="88" t="s">
        <v>5259</v>
      </c>
      <c r="D4920" s="88">
        <v>6429424</v>
      </c>
      <c r="E4920" s="88" t="s">
        <v>61</v>
      </c>
      <c r="F4920" s="88">
        <v>0</v>
      </c>
      <c r="G4920" s="78">
        <f>MAX(H4920,I4920,J4920)</f>
        <v>1</v>
      </c>
      <c r="H4920" s="88"/>
      <c r="I4920" s="88"/>
      <c r="J4920" s="78">
        <f>MAX(K4920:Q4920)</f>
        <v>1</v>
      </c>
      <c r="K4920" s="88">
        <v>1</v>
      </c>
      <c r="L4920" s="88"/>
      <c r="M4920" s="88"/>
      <c r="N4920" s="88"/>
      <c r="O4920" s="88"/>
      <c r="P4920" s="88"/>
      <c r="Q4920" s="88"/>
      <c r="R4920" s="78">
        <f>MAX(S4920:W4920)</f>
        <v>0</v>
      </c>
      <c r="S4920" s="88"/>
      <c r="T4920" s="88"/>
      <c r="U4920" s="88"/>
      <c r="V4920" s="88"/>
      <c r="W4920" s="88"/>
    </row>
    <row r="4921" spans="2:23" s="0" customFormat="0" ht="15">
      <c r="B4921" s="87" t="s">
        <v>1</v>
      </c>
      <c r="C4921" s="88" t="s">
        <v>5259</v>
      </c>
      <c r="D4921" s="88" t="s">
        <v>5073</v>
      </c>
      <c r="E4921" s="88" t="s">
        <v>61</v>
      </c>
      <c r="F4921" s="88">
        <v>0</v>
      </c>
      <c r="G4921" s="78">
        <f>MAX(H4921,I4921,J4921)</f>
        <v>0</v>
      </c>
      <c r="H4921" s="88"/>
      <c r="I4921" s="88"/>
      <c r="J4921" s="78">
        <f>MAX(K4921:Q4921)</f>
        <v>0</v>
      </c>
      <c r="K4921" s="88"/>
      <c r="L4921" s="88"/>
      <c r="M4921" s="88"/>
      <c r="N4921" s="88"/>
      <c r="O4921" s="88"/>
      <c r="P4921" s="88"/>
      <c r="Q4921" s="88"/>
      <c r="R4921" s="78">
        <f>MAX(S4921:W4921)</f>
        <v>1</v>
      </c>
      <c r="S4921" s="88"/>
      <c r="T4921" s="88"/>
      <c r="U4921" s="88">
        <v>1</v>
      </c>
      <c r="V4921" s="88"/>
      <c r="W4921" s="88"/>
    </row>
    <row r="4922" spans="2:23" s="0" customFormat="0" ht="15">
      <c r="B4922" s="87" t="s">
        <v>1</v>
      </c>
      <c r="C4922" s="88" t="s">
        <v>5259</v>
      </c>
      <c r="D4922" s="88">
        <v>20986313</v>
      </c>
      <c r="E4922" s="88" t="s">
        <v>61</v>
      </c>
      <c r="F4922" s="88">
        <v>0</v>
      </c>
      <c r="G4922" s="78">
        <f>MAX(H4922,I4922,J4922)</f>
        <v>1</v>
      </c>
      <c r="H4922" s="88"/>
      <c r="I4922" s="88"/>
      <c r="J4922" s="78">
        <f>MAX(K4922:Q4922)</f>
        <v>1</v>
      </c>
      <c r="K4922" s="88">
        <v>1</v>
      </c>
      <c r="L4922" s="88"/>
      <c r="M4922" s="88"/>
      <c r="N4922" s="88"/>
      <c r="O4922" s="88"/>
      <c r="P4922" s="88"/>
      <c r="Q4922" s="88"/>
      <c r="R4922" s="78">
        <f>MAX(S4922:W4922)</f>
        <v>0</v>
      </c>
      <c r="S4922" s="88"/>
      <c r="T4922" s="88"/>
      <c r="U4922" s="88"/>
      <c r="V4922" s="88"/>
      <c r="W4922" s="88"/>
    </row>
    <row r="4923" spans="2:23" s="0" customFormat="0" ht="15">
      <c r="B4923" s="87" t="s">
        <v>1</v>
      </c>
      <c r="C4923" s="88" t="s">
        <v>5259</v>
      </c>
      <c r="D4923" s="88">
        <v>22554099</v>
      </c>
      <c r="E4923" s="88" t="s">
        <v>61</v>
      </c>
      <c r="F4923" s="88">
        <v>0</v>
      </c>
      <c r="G4923" s="78">
        <f>MAX(H4923,I4923,J4923)</f>
        <v>0</v>
      </c>
      <c r="H4923" s="88"/>
      <c r="I4923" s="88"/>
      <c r="J4923" s="78">
        <f>MAX(K4923:Q4923)</f>
        <v>0</v>
      </c>
      <c r="K4923" s="88"/>
      <c r="L4923" s="88"/>
      <c r="M4923" s="88"/>
      <c r="N4923" s="88"/>
      <c r="O4923" s="88"/>
      <c r="P4923" s="88"/>
      <c r="Q4923" s="88"/>
      <c r="R4923" s="78">
        <f>MAX(S4923:W4923)</f>
        <v>1</v>
      </c>
      <c r="S4923" s="88"/>
      <c r="T4923" s="88"/>
      <c r="U4923" s="88">
        <v>1</v>
      </c>
      <c r="V4923" s="88"/>
      <c r="W4923" s="88"/>
    </row>
    <row r="4924" spans="2:23" s="0" customFormat="0" ht="15">
      <c r="B4924" s="87" t="s">
        <v>1</v>
      </c>
      <c r="C4924" s="88" t="s">
        <v>5259</v>
      </c>
      <c r="D4924" s="88">
        <v>2924639</v>
      </c>
      <c r="E4924" s="88" t="s">
        <v>61</v>
      </c>
      <c r="F4924" s="88">
        <v>0</v>
      </c>
      <c r="G4924" s="78">
        <f>MAX(H4924,I4924,J4924)</f>
        <v>1</v>
      </c>
      <c r="H4924" s="88"/>
      <c r="I4924" s="88"/>
      <c r="J4924" s="78">
        <f>MAX(K4924:Q4924)</f>
        <v>1</v>
      </c>
      <c r="K4924" s="88">
        <v>1</v>
      </c>
      <c r="L4924" s="88"/>
      <c r="M4924" s="88"/>
      <c r="N4924" s="88"/>
      <c r="O4924" s="88"/>
      <c r="P4924" s="88"/>
      <c r="Q4924" s="88"/>
      <c r="R4924" s="78">
        <f>MAX(S4924:W4924)</f>
        <v>0</v>
      </c>
      <c r="S4924" s="88"/>
      <c r="T4924" s="88"/>
      <c r="U4924" s="88"/>
      <c r="V4924" s="88"/>
      <c r="W4924" s="88"/>
    </row>
    <row r="4925" spans="2:23" s="0" customFormat="0" ht="15">
      <c r="B4925" s="87" t="s">
        <v>1</v>
      </c>
      <c r="C4925" s="88" t="s">
        <v>5259</v>
      </c>
      <c r="D4925" s="88" t="s">
        <v>2722</v>
      </c>
      <c r="E4925" s="88" t="s">
        <v>61</v>
      </c>
      <c r="F4925" s="88">
        <v>0</v>
      </c>
      <c r="G4925" s="78">
        <f>MAX(H4925,I4925,J4925)</f>
        <v>1</v>
      </c>
      <c r="H4925" s="88"/>
      <c r="I4925" s="88"/>
      <c r="J4925" s="78">
        <f>MAX(K4925:Q4925)</f>
        <v>1</v>
      </c>
      <c r="K4925" s="88">
        <v>1</v>
      </c>
      <c r="L4925" s="88"/>
      <c r="M4925" s="88"/>
      <c r="N4925" s="88"/>
      <c r="O4925" s="88"/>
      <c r="P4925" s="88"/>
      <c r="Q4925" s="88"/>
      <c r="R4925" s="78">
        <f>MAX(S4925:W4925)</f>
        <v>0</v>
      </c>
      <c r="S4925" s="88"/>
      <c r="T4925" s="88"/>
      <c r="U4925" s="88"/>
      <c r="V4925" s="88"/>
      <c r="W4925" s="88"/>
    </row>
    <row r="4926" spans="2:23" s="0" customFormat="0" ht="15">
      <c r="B4926" s="87" t="s">
        <v>1</v>
      </c>
      <c r="C4926" s="88" t="s">
        <v>5259</v>
      </c>
      <c r="D4926" s="88">
        <v>23237422</v>
      </c>
      <c r="E4926" s="88" t="s">
        <v>61</v>
      </c>
      <c r="F4926" s="88">
        <v>0</v>
      </c>
      <c r="G4926" s="78">
        <f>MAX(H4926,I4926,J4926)</f>
        <v>1</v>
      </c>
      <c r="H4926" s="88"/>
      <c r="I4926" s="88"/>
      <c r="J4926" s="78">
        <f>MAX(K4926:Q4926)</f>
        <v>1</v>
      </c>
      <c r="K4926" s="88">
        <v>1</v>
      </c>
      <c r="L4926" s="88"/>
      <c r="M4926" s="88"/>
      <c r="N4926" s="88"/>
      <c r="O4926" s="88"/>
      <c r="P4926" s="88"/>
      <c r="Q4926" s="88"/>
      <c r="R4926" s="78">
        <f>MAX(S4926:W4926)</f>
        <v>0</v>
      </c>
      <c r="S4926" s="88"/>
      <c r="T4926" s="88"/>
      <c r="U4926" s="88"/>
      <c r="V4926" s="88"/>
      <c r="W4926" s="88"/>
    </row>
    <row r="4927" spans="2:23" s="0" customFormat="0" ht="15">
      <c r="B4927" s="87" t="s">
        <v>1</v>
      </c>
      <c r="C4927" s="88" t="s">
        <v>5259</v>
      </c>
      <c r="D4927" s="88">
        <v>1902559</v>
      </c>
      <c r="E4927" s="88" t="s">
        <v>61</v>
      </c>
      <c r="F4927" s="88">
        <v>0</v>
      </c>
      <c r="G4927" s="78">
        <f>MAX(H4927,I4927,J4927)</f>
        <v>1</v>
      </c>
      <c r="H4927" s="88"/>
      <c r="I4927" s="88"/>
      <c r="J4927" s="78">
        <f>MAX(K4927:Q4927)</f>
        <v>1</v>
      </c>
      <c r="K4927" s="88">
        <v>1</v>
      </c>
      <c r="L4927" s="88"/>
      <c r="M4927" s="88"/>
      <c r="N4927" s="88"/>
      <c r="O4927" s="88"/>
      <c r="P4927" s="88"/>
      <c r="Q4927" s="88"/>
      <c r="R4927" s="78">
        <f>MAX(S4927:W4927)</f>
        <v>0</v>
      </c>
      <c r="S4927" s="88"/>
      <c r="T4927" s="88"/>
      <c r="U4927" s="88"/>
      <c r="V4927" s="88"/>
      <c r="W4927" s="88"/>
    </row>
    <row r="4928" spans="2:23" s="0" customFormat="0" ht="15">
      <c r="B4928" s="87" t="s">
        <v>1</v>
      </c>
      <c r="C4928" s="88" t="s">
        <v>5259</v>
      </c>
      <c r="D4928" s="88" t="s">
        <v>1917</v>
      </c>
      <c r="E4928" s="88" t="s">
        <v>61</v>
      </c>
      <c r="F4928" s="88">
        <v>0</v>
      </c>
      <c r="G4928" s="78">
        <f>MAX(H4928,I4928,J4928)</f>
        <v>1</v>
      </c>
      <c r="H4928" s="88"/>
      <c r="I4928" s="88"/>
      <c r="J4928" s="78">
        <f>MAX(K4928:Q4928)</f>
        <v>1</v>
      </c>
      <c r="K4928" s="88">
        <v>1</v>
      </c>
      <c r="L4928" s="88"/>
      <c r="M4928" s="88"/>
      <c r="N4928" s="88"/>
      <c r="O4928" s="88"/>
      <c r="P4928" s="88"/>
      <c r="Q4928" s="88"/>
      <c r="R4928" s="78">
        <f>MAX(S4928:W4928)</f>
        <v>0</v>
      </c>
      <c r="S4928" s="88"/>
      <c r="T4928" s="88"/>
      <c r="U4928" s="88"/>
      <c r="V4928" s="88"/>
      <c r="W4928" s="88"/>
    </row>
    <row r="4929" spans="2:23" s="0" customFormat="0" ht="15">
      <c r="B4929" s="87" t="s">
        <v>1</v>
      </c>
      <c r="C4929" s="88" t="s">
        <v>5259</v>
      </c>
      <c r="D4929" s="88" t="s">
        <v>1755</v>
      </c>
      <c r="E4929" s="88" t="s">
        <v>61</v>
      </c>
      <c r="F4929" s="88">
        <v>0</v>
      </c>
      <c r="G4929" s="78">
        <f>MAX(H4929,I4929,J4929)</f>
        <v>1</v>
      </c>
      <c r="H4929" s="88"/>
      <c r="I4929" s="88"/>
      <c r="J4929" s="78">
        <f>MAX(K4929:Q4929)</f>
        <v>1</v>
      </c>
      <c r="K4929" s="88">
        <v>1</v>
      </c>
      <c r="L4929" s="88"/>
      <c r="M4929" s="88"/>
      <c r="N4929" s="88"/>
      <c r="O4929" s="88"/>
      <c r="P4929" s="88"/>
      <c r="Q4929" s="88"/>
      <c r="R4929" s="78">
        <f>MAX(S4929:W4929)</f>
        <v>0</v>
      </c>
      <c r="S4929" s="88"/>
      <c r="T4929" s="88"/>
      <c r="U4929" s="88"/>
      <c r="V4929" s="88"/>
      <c r="W4929" s="88"/>
    </row>
    <row r="4930" spans="2:23" s="0" customFormat="0" ht="15">
      <c r="B4930" s="87" t="s">
        <v>1</v>
      </c>
      <c r="C4930" s="88" t="s">
        <v>5259</v>
      </c>
      <c r="D4930" s="88" t="s">
        <v>4590</v>
      </c>
      <c r="E4930" s="88" t="s">
        <v>61</v>
      </c>
      <c r="F4930" s="88">
        <v>0</v>
      </c>
      <c r="G4930" s="78">
        <f>MAX(H4930,I4930,J4930)</f>
        <v>0</v>
      </c>
      <c r="H4930" s="88"/>
      <c r="I4930" s="88"/>
      <c r="J4930" s="78">
        <f>MAX(K4930:Q4930)</f>
        <v>0</v>
      </c>
      <c r="K4930" s="88"/>
      <c r="L4930" s="88"/>
      <c r="M4930" s="88"/>
      <c r="N4930" s="88"/>
      <c r="O4930" s="88"/>
      <c r="P4930" s="88"/>
      <c r="Q4930" s="88"/>
      <c r="R4930" s="78">
        <f>MAX(S4930:W4930)</f>
        <v>1</v>
      </c>
      <c r="S4930" s="88"/>
      <c r="T4930" s="88"/>
      <c r="U4930" s="88">
        <v>1</v>
      </c>
      <c r="V4930" s="88"/>
      <c r="W4930" s="88"/>
    </row>
    <row r="4931" spans="2:23" s="0" customFormat="0" ht="15">
      <c r="B4931" s="87" t="s">
        <v>1</v>
      </c>
      <c r="C4931" s="88" t="s">
        <v>5259</v>
      </c>
      <c r="D4931" s="88" t="s">
        <v>2724</v>
      </c>
      <c r="E4931" s="88" t="s">
        <v>61</v>
      </c>
      <c r="F4931" s="88">
        <v>0</v>
      </c>
      <c r="G4931" s="78">
        <f>MAX(H4931,I4931,J4931)</f>
        <v>1</v>
      </c>
      <c r="H4931" s="88"/>
      <c r="I4931" s="88"/>
      <c r="J4931" s="78">
        <f>MAX(K4931:Q4931)</f>
        <v>1</v>
      </c>
      <c r="K4931" s="88">
        <v>1</v>
      </c>
      <c r="L4931" s="88"/>
      <c r="M4931" s="88"/>
      <c r="N4931" s="88"/>
      <c r="O4931" s="88"/>
      <c r="P4931" s="88"/>
      <c r="Q4931" s="88"/>
      <c r="R4931" s="78">
        <f>MAX(S4931:W4931)</f>
        <v>0</v>
      </c>
      <c r="S4931" s="88"/>
      <c r="T4931" s="88"/>
      <c r="U4931" s="88"/>
      <c r="V4931" s="88"/>
      <c r="W4931" s="88"/>
    </row>
    <row r="4932" spans="2:23" s="0" customFormat="0" ht="15">
      <c r="B4932" s="87" t="s">
        <v>1</v>
      </c>
      <c r="C4932" s="88" t="s">
        <v>5259</v>
      </c>
      <c r="D4932" s="88" t="s">
        <v>4491</v>
      </c>
      <c r="E4932" s="88" t="s">
        <v>61</v>
      </c>
      <c r="F4932" s="88">
        <v>0</v>
      </c>
      <c r="G4932" s="78">
        <f>MAX(H4932,I4932,J4932)</f>
        <v>0</v>
      </c>
      <c r="H4932" s="88"/>
      <c r="I4932" s="88"/>
      <c r="J4932" s="78">
        <f>MAX(K4932:Q4932)</f>
        <v>0</v>
      </c>
      <c r="K4932" s="88"/>
      <c r="L4932" s="88"/>
      <c r="M4932" s="88"/>
      <c r="N4932" s="88"/>
      <c r="O4932" s="88"/>
      <c r="P4932" s="88"/>
      <c r="Q4932" s="88"/>
      <c r="R4932" s="78">
        <f>MAX(S4932:W4932)</f>
        <v>1</v>
      </c>
      <c r="S4932" s="88"/>
      <c r="T4932" s="88"/>
      <c r="U4932" s="88">
        <v>1</v>
      </c>
      <c r="V4932" s="88"/>
      <c r="W4932" s="88"/>
    </row>
    <row r="4933" spans="2:23" s="0" customFormat="0" ht="15">
      <c r="B4933" s="87" t="s">
        <v>1</v>
      </c>
      <c r="C4933" s="88" t="s">
        <v>5259</v>
      </c>
      <c r="D4933" s="88" t="s">
        <v>824</v>
      </c>
      <c r="E4933" s="88" t="s">
        <v>61</v>
      </c>
      <c r="F4933" s="88">
        <v>0</v>
      </c>
      <c r="G4933" s="78">
        <f>MAX(H4933,I4933,J4933)</f>
        <v>1</v>
      </c>
      <c r="H4933" s="88"/>
      <c r="I4933" s="88"/>
      <c r="J4933" s="78">
        <f>MAX(K4933:Q4933)</f>
        <v>1</v>
      </c>
      <c r="K4933" s="88">
        <v>1</v>
      </c>
      <c r="L4933" s="88"/>
      <c r="M4933" s="88"/>
      <c r="N4933" s="88"/>
      <c r="O4933" s="88"/>
      <c r="P4933" s="88"/>
      <c r="Q4933" s="88"/>
      <c r="R4933" s="78">
        <f>MAX(S4933:W4933)</f>
        <v>0</v>
      </c>
      <c r="S4933" s="88"/>
      <c r="T4933" s="88"/>
      <c r="U4933" s="88"/>
      <c r="V4933" s="88"/>
      <c r="W4933" s="88"/>
    </row>
    <row r="4934" spans="2:23" s="0" customFormat="0" ht="15">
      <c r="B4934" s="87" t="s">
        <v>1</v>
      </c>
      <c r="C4934" s="88" t="s">
        <v>5259</v>
      </c>
      <c r="D4934" s="88">
        <v>16972044</v>
      </c>
      <c r="E4934" s="88" t="s">
        <v>61</v>
      </c>
      <c r="F4934" s="88">
        <v>0</v>
      </c>
      <c r="G4934" s="78">
        <f>MAX(H4934,I4934,J4934)</f>
        <v>1</v>
      </c>
      <c r="H4934" s="88"/>
      <c r="I4934" s="88"/>
      <c r="J4934" s="78">
        <f>MAX(K4934:Q4934)</f>
        <v>1</v>
      </c>
      <c r="K4934" s="88">
        <v>1</v>
      </c>
      <c r="L4934" s="88"/>
      <c r="M4934" s="88"/>
      <c r="N4934" s="88"/>
      <c r="O4934" s="88"/>
      <c r="P4934" s="88"/>
      <c r="Q4934" s="88"/>
      <c r="R4934" s="78">
        <f>MAX(S4934:W4934)</f>
        <v>0</v>
      </c>
      <c r="S4934" s="88"/>
      <c r="T4934" s="88"/>
      <c r="U4934" s="88"/>
      <c r="V4934" s="88"/>
      <c r="W4934" s="88"/>
    </row>
    <row r="4935" spans="2:23" s="0" customFormat="0" ht="15">
      <c r="B4935" s="87" t="s">
        <v>1</v>
      </c>
      <c r="C4935" s="88" t="s">
        <v>5259</v>
      </c>
      <c r="D4935" s="88">
        <v>23159574</v>
      </c>
      <c r="E4935" s="88" t="s">
        <v>61</v>
      </c>
      <c r="F4935" s="88">
        <v>0</v>
      </c>
      <c r="G4935" s="78">
        <f>MAX(H4935,I4935,J4935)</f>
        <v>1</v>
      </c>
      <c r="H4935" s="88"/>
      <c r="I4935" s="88"/>
      <c r="J4935" s="78">
        <f>MAX(K4935:Q4935)</f>
        <v>1</v>
      </c>
      <c r="K4935" s="88">
        <v>1</v>
      </c>
      <c r="L4935" s="88"/>
      <c r="M4935" s="88"/>
      <c r="N4935" s="88"/>
      <c r="O4935" s="88"/>
      <c r="P4935" s="88"/>
      <c r="Q4935" s="88"/>
      <c r="R4935" s="78">
        <f>MAX(S4935:W4935)</f>
        <v>0</v>
      </c>
      <c r="S4935" s="88"/>
      <c r="T4935" s="88"/>
      <c r="U4935" s="88"/>
      <c r="V4935" s="88"/>
      <c r="W4935" s="88"/>
    </row>
    <row r="4936" spans="2:23" s="0" customFormat="0" ht="15">
      <c r="B4936" s="87" t="s">
        <v>1</v>
      </c>
      <c r="C4936" s="88" t="s">
        <v>5259</v>
      </c>
      <c r="D4936" s="88">
        <v>14921124</v>
      </c>
      <c r="E4936" s="88" t="s">
        <v>61</v>
      </c>
      <c r="F4936" s="88">
        <v>0</v>
      </c>
      <c r="G4936" s="78">
        <f>MAX(H4936,I4936,J4936)</f>
        <v>1</v>
      </c>
      <c r="H4936" s="88"/>
      <c r="I4936" s="88"/>
      <c r="J4936" s="78">
        <f>MAX(K4936:Q4936)</f>
        <v>1</v>
      </c>
      <c r="K4936" s="88">
        <v>1</v>
      </c>
      <c r="L4936" s="88"/>
      <c r="M4936" s="88"/>
      <c r="N4936" s="88"/>
      <c r="O4936" s="88"/>
      <c r="P4936" s="88"/>
      <c r="Q4936" s="88"/>
      <c r="R4936" s="78">
        <f>MAX(S4936:W4936)</f>
        <v>0</v>
      </c>
      <c r="S4936" s="88"/>
      <c r="T4936" s="88"/>
      <c r="U4936" s="88"/>
      <c r="V4936" s="88"/>
      <c r="W4936" s="88"/>
    </row>
    <row r="4937" spans="2:23" s="0" customFormat="0" ht="15">
      <c r="B4937" s="87" t="s">
        <v>1</v>
      </c>
      <c r="C4937" s="88" t="s">
        <v>5259</v>
      </c>
      <c r="D4937" s="88" t="s">
        <v>4489</v>
      </c>
      <c r="E4937" s="88" t="s">
        <v>61</v>
      </c>
      <c r="F4937" s="88">
        <v>0</v>
      </c>
      <c r="G4937" s="78">
        <f>MAX(H4937,I4937,J4937)</f>
        <v>0</v>
      </c>
      <c r="H4937" s="88"/>
      <c r="I4937" s="88"/>
      <c r="J4937" s="78">
        <f>MAX(K4937:Q4937)</f>
        <v>0</v>
      </c>
      <c r="K4937" s="88"/>
      <c r="L4937" s="88"/>
      <c r="M4937" s="88"/>
      <c r="N4937" s="88"/>
      <c r="O4937" s="88"/>
      <c r="P4937" s="88"/>
      <c r="Q4937" s="88"/>
      <c r="R4937" s="78">
        <f>MAX(S4937:W4937)</f>
        <v>1</v>
      </c>
      <c r="S4937" s="88"/>
      <c r="T4937" s="88"/>
      <c r="U4937" s="88">
        <v>1</v>
      </c>
      <c r="V4937" s="88"/>
      <c r="W4937" s="88"/>
    </row>
    <row r="4938" spans="2:23" s="0" customFormat="0" ht="15">
      <c r="B4938" s="87" t="s">
        <v>1</v>
      </c>
      <c r="C4938" s="88" t="s">
        <v>5259</v>
      </c>
      <c r="D4938" s="88">
        <v>20630023</v>
      </c>
      <c r="E4938" s="88" t="s">
        <v>61</v>
      </c>
      <c r="F4938" s="88">
        <v>0</v>
      </c>
      <c r="G4938" s="78">
        <f>MAX(H4938,I4938,J4938)</f>
        <v>1</v>
      </c>
      <c r="H4938" s="88"/>
      <c r="I4938" s="88"/>
      <c r="J4938" s="78">
        <f>MAX(K4938:Q4938)</f>
        <v>1</v>
      </c>
      <c r="K4938" s="88">
        <v>1</v>
      </c>
      <c r="L4938" s="88"/>
      <c r="M4938" s="88"/>
      <c r="N4938" s="88"/>
      <c r="O4938" s="88"/>
      <c r="P4938" s="88"/>
      <c r="Q4938" s="88"/>
      <c r="R4938" s="78">
        <f>MAX(S4938:W4938)</f>
        <v>0</v>
      </c>
      <c r="S4938" s="88"/>
      <c r="T4938" s="88"/>
      <c r="U4938" s="88"/>
      <c r="V4938" s="88"/>
      <c r="W4938" s="88"/>
    </row>
    <row r="4939" spans="2:23" s="0" customFormat="0" ht="15">
      <c r="B4939" s="87" t="s">
        <v>1</v>
      </c>
      <c r="C4939" s="88" t="s">
        <v>5259</v>
      </c>
      <c r="D4939" s="88" t="s">
        <v>3973</v>
      </c>
      <c r="E4939" s="88" t="s">
        <v>61</v>
      </c>
      <c r="F4939" s="88">
        <v>0</v>
      </c>
      <c r="G4939" s="78">
        <f>MAX(H4939,I4939,J4939)</f>
        <v>0</v>
      </c>
      <c r="H4939" s="88"/>
      <c r="I4939" s="88"/>
      <c r="J4939" s="78">
        <f>MAX(K4939:Q4939)</f>
        <v>0</v>
      </c>
      <c r="K4939" s="88"/>
      <c r="L4939" s="88"/>
      <c r="M4939" s="88"/>
      <c r="N4939" s="88"/>
      <c r="O4939" s="88"/>
      <c r="P4939" s="88"/>
      <c r="Q4939" s="88"/>
      <c r="R4939" s="78">
        <f>MAX(S4939:W4939)</f>
        <v>1</v>
      </c>
      <c r="S4939" s="88"/>
      <c r="T4939" s="88"/>
      <c r="U4939" s="88">
        <v>1</v>
      </c>
      <c r="V4939" s="88"/>
      <c r="W4939" s="88"/>
    </row>
    <row r="4940" spans="2:23" s="0" customFormat="0" ht="15">
      <c r="B4940" s="87" t="s">
        <v>1</v>
      </c>
      <c r="C4940" s="88" t="s">
        <v>5259</v>
      </c>
      <c r="D4940" s="88">
        <v>8917854</v>
      </c>
      <c r="E4940" s="88" t="s">
        <v>61</v>
      </c>
      <c r="F4940" s="88">
        <v>0</v>
      </c>
      <c r="G4940" s="78">
        <f>MAX(H4940,I4940,J4940)</f>
        <v>1</v>
      </c>
      <c r="H4940" s="88"/>
      <c r="I4940" s="88"/>
      <c r="J4940" s="78">
        <f>MAX(K4940:Q4940)</f>
        <v>1</v>
      </c>
      <c r="K4940" s="88">
        <v>1</v>
      </c>
      <c r="L4940" s="88"/>
      <c r="M4940" s="88"/>
      <c r="N4940" s="88"/>
      <c r="O4940" s="88"/>
      <c r="P4940" s="88"/>
      <c r="Q4940" s="88"/>
      <c r="R4940" s="78">
        <f>MAX(S4940:W4940)</f>
        <v>0</v>
      </c>
      <c r="S4940" s="88"/>
      <c r="T4940" s="88"/>
      <c r="U4940" s="88"/>
      <c r="V4940" s="88"/>
      <c r="W4940" s="88"/>
    </row>
    <row r="4941" spans="2:23" s="0" customFormat="0" ht="15">
      <c r="B4941" s="87" t="s">
        <v>1</v>
      </c>
      <c r="C4941" s="88" t="s">
        <v>5259</v>
      </c>
      <c r="D4941" s="88" t="s">
        <v>5076</v>
      </c>
      <c r="E4941" s="88" t="s">
        <v>61</v>
      </c>
      <c r="F4941" s="88">
        <v>0</v>
      </c>
      <c r="G4941" s="78">
        <f>MAX(H4941,I4941,J4941)</f>
        <v>0</v>
      </c>
      <c r="H4941" s="88"/>
      <c r="I4941" s="88"/>
      <c r="J4941" s="78">
        <f>MAX(K4941:Q4941)</f>
        <v>0</v>
      </c>
      <c r="K4941" s="88"/>
      <c r="L4941" s="88"/>
      <c r="M4941" s="88"/>
      <c r="N4941" s="88"/>
      <c r="O4941" s="88"/>
      <c r="P4941" s="88"/>
      <c r="Q4941" s="88"/>
      <c r="R4941" s="78">
        <f>MAX(S4941:W4941)</f>
        <v>1</v>
      </c>
      <c r="S4941" s="88"/>
      <c r="T4941" s="88"/>
      <c r="U4941" s="88">
        <v>1</v>
      </c>
      <c r="V4941" s="88"/>
      <c r="W4941" s="88"/>
    </row>
    <row r="4942" spans="2:23" s="0" customFormat="0" ht="15">
      <c r="B4942" s="87" t="s">
        <v>1</v>
      </c>
      <c r="C4942" s="88" t="s">
        <v>5259</v>
      </c>
      <c r="D4942" s="88" t="s">
        <v>3528</v>
      </c>
      <c r="E4942" s="88" t="s">
        <v>61</v>
      </c>
      <c r="F4942" s="88">
        <v>0</v>
      </c>
      <c r="G4942" s="78">
        <f>MAX(H4942,I4942,J4942)</f>
        <v>0</v>
      </c>
      <c r="H4942" s="88"/>
      <c r="I4942" s="88"/>
      <c r="J4942" s="78">
        <f>MAX(K4942:Q4942)</f>
        <v>0</v>
      </c>
      <c r="K4942" s="88"/>
      <c r="L4942" s="88"/>
      <c r="M4942" s="88"/>
      <c r="N4942" s="88"/>
      <c r="O4942" s="88"/>
      <c r="P4942" s="88"/>
      <c r="Q4942" s="88"/>
      <c r="R4942" s="78">
        <f>MAX(S4942:W4942)</f>
        <v>1</v>
      </c>
      <c r="S4942" s="88"/>
      <c r="T4942" s="88"/>
      <c r="U4942" s="88">
        <v>1</v>
      </c>
      <c r="V4942" s="88"/>
      <c r="W4942" s="88"/>
    </row>
    <row r="4943" spans="2:23" s="0" customFormat="0" ht="15">
      <c r="B4943" s="87" t="s">
        <v>1</v>
      </c>
      <c r="C4943" s="88" t="s">
        <v>5259</v>
      </c>
      <c r="D4943" s="88" t="s">
        <v>864</v>
      </c>
      <c r="E4943" s="88" t="s">
        <v>61</v>
      </c>
      <c r="F4943" s="88">
        <v>0</v>
      </c>
      <c r="G4943" s="78">
        <f>MAX(H4943,I4943,J4943)</f>
        <v>1</v>
      </c>
      <c r="H4943" s="88"/>
      <c r="I4943" s="88"/>
      <c r="J4943" s="78">
        <f>MAX(K4943:Q4943)</f>
        <v>1</v>
      </c>
      <c r="K4943" s="88">
        <v>1</v>
      </c>
      <c r="L4943" s="88"/>
      <c r="M4943" s="88"/>
      <c r="N4943" s="88"/>
      <c r="O4943" s="88"/>
      <c r="P4943" s="88"/>
      <c r="Q4943" s="88"/>
      <c r="R4943" s="78">
        <f>MAX(S4943:W4943)</f>
        <v>0</v>
      </c>
      <c r="S4943" s="88"/>
      <c r="T4943" s="88"/>
      <c r="U4943" s="88"/>
      <c r="V4943" s="88"/>
      <c r="W4943" s="88"/>
    </row>
    <row r="4944" spans="2:23" s="0" customFormat="0" ht="15">
      <c r="B4944" s="87" t="s">
        <v>1</v>
      </c>
      <c r="C4944" s="88" t="s">
        <v>5259</v>
      </c>
      <c r="D4944" s="88">
        <v>17398317</v>
      </c>
      <c r="E4944" s="88" t="s">
        <v>61</v>
      </c>
      <c r="F4944" s="88">
        <v>0</v>
      </c>
      <c r="G4944" s="78">
        <f>MAX(H4944,I4944,J4944)</f>
        <v>1</v>
      </c>
      <c r="H4944" s="88"/>
      <c r="I4944" s="88"/>
      <c r="J4944" s="78">
        <f>MAX(K4944:Q4944)</f>
        <v>1</v>
      </c>
      <c r="K4944" s="88">
        <v>1</v>
      </c>
      <c r="L4944" s="88"/>
      <c r="M4944" s="88"/>
      <c r="N4944" s="88"/>
      <c r="O4944" s="88"/>
      <c r="P4944" s="88"/>
      <c r="Q4944" s="88"/>
      <c r="R4944" s="78">
        <f>MAX(S4944:W4944)</f>
        <v>0</v>
      </c>
      <c r="S4944" s="88"/>
      <c r="T4944" s="88"/>
      <c r="U4944" s="88"/>
      <c r="V4944" s="88"/>
      <c r="W4944" s="88"/>
    </row>
    <row r="4945" spans="2:23" s="0" customFormat="0" ht="15">
      <c r="B4945" s="87" t="s">
        <v>1</v>
      </c>
      <c r="C4945" s="88" t="s">
        <v>5259</v>
      </c>
      <c r="D4945" s="88">
        <v>16963941</v>
      </c>
      <c r="E4945" s="88" t="s">
        <v>61</v>
      </c>
      <c r="F4945" s="88">
        <v>0</v>
      </c>
      <c r="G4945" s="78">
        <f>MAX(H4945,I4945,J4945)</f>
        <v>1</v>
      </c>
      <c r="H4945" s="88"/>
      <c r="I4945" s="88"/>
      <c r="J4945" s="78">
        <f>MAX(K4945:Q4945)</f>
        <v>1</v>
      </c>
      <c r="K4945" s="88">
        <v>1</v>
      </c>
      <c r="L4945" s="88"/>
      <c r="M4945" s="88"/>
      <c r="N4945" s="88"/>
      <c r="O4945" s="88"/>
      <c r="P4945" s="88"/>
      <c r="Q4945" s="88"/>
      <c r="R4945" s="78">
        <f>MAX(S4945:W4945)</f>
        <v>0</v>
      </c>
      <c r="S4945" s="88"/>
      <c r="T4945" s="88"/>
      <c r="U4945" s="88"/>
      <c r="V4945" s="88"/>
      <c r="W4945" s="88"/>
    </row>
    <row r="4946" spans="2:23" s="0" customFormat="0" ht="15">
      <c r="B4946" s="87" t="s">
        <v>1</v>
      </c>
      <c r="C4946" s="88" t="s">
        <v>5259</v>
      </c>
      <c r="D4946" s="88">
        <v>2924639</v>
      </c>
      <c r="E4946" s="88" t="s">
        <v>61</v>
      </c>
      <c r="F4946" s="88">
        <v>0</v>
      </c>
      <c r="G4946" s="78">
        <f>MAX(H4946,I4946,J4946)</f>
        <v>1</v>
      </c>
      <c r="H4946" s="88"/>
      <c r="I4946" s="88"/>
      <c r="J4946" s="78">
        <f>MAX(K4946:Q4946)</f>
        <v>1</v>
      </c>
      <c r="K4946" s="88">
        <v>1</v>
      </c>
      <c r="L4946" s="88"/>
      <c r="M4946" s="88"/>
      <c r="N4946" s="88"/>
      <c r="O4946" s="88"/>
      <c r="P4946" s="88"/>
      <c r="Q4946" s="88"/>
      <c r="R4946" s="78">
        <f>MAX(S4946:W4946)</f>
        <v>0</v>
      </c>
      <c r="S4946" s="88"/>
      <c r="T4946" s="88"/>
      <c r="U4946" s="88"/>
      <c r="V4946" s="88"/>
      <c r="W4946" s="88"/>
    </row>
    <row r="4947" spans="2:23" s="0" customFormat="0" ht="15">
      <c r="B4947" s="87" t="s">
        <v>1</v>
      </c>
      <c r="C4947" s="88" t="s">
        <v>5259</v>
      </c>
      <c r="D4947" s="88" t="s">
        <v>4598</v>
      </c>
      <c r="E4947" s="88" t="s">
        <v>61</v>
      </c>
      <c r="F4947" s="88">
        <v>0</v>
      </c>
      <c r="G4947" s="78">
        <f>MAX(H4947,I4947,J4947)</f>
        <v>0</v>
      </c>
      <c r="H4947" s="88"/>
      <c r="I4947" s="88"/>
      <c r="J4947" s="78">
        <f>MAX(K4947:Q4947)</f>
        <v>0</v>
      </c>
      <c r="K4947" s="88"/>
      <c r="L4947" s="88"/>
      <c r="M4947" s="88"/>
      <c r="N4947" s="88"/>
      <c r="O4947" s="88"/>
      <c r="P4947" s="88"/>
      <c r="Q4947" s="88"/>
      <c r="R4947" s="78">
        <f>MAX(S4947:W4947)</f>
        <v>1</v>
      </c>
      <c r="S4947" s="88"/>
      <c r="T4947" s="88"/>
      <c r="U4947" s="88">
        <v>1</v>
      </c>
      <c r="V4947" s="88"/>
      <c r="W4947" s="88"/>
    </row>
    <row r="4948" spans="2:23" s="0" customFormat="0" ht="15">
      <c r="B4948" s="87" t="s">
        <v>1</v>
      </c>
      <c r="C4948" s="88" t="s">
        <v>5259</v>
      </c>
      <c r="D4948" s="88" t="s">
        <v>1608</v>
      </c>
      <c r="E4948" s="88" t="s">
        <v>61</v>
      </c>
      <c r="F4948" s="88">
        <v>0</v>
      </c>
      <c r="G4948" s="78">
        <f>MAX(H4948,I4948,J4948)</f>
        <v>1</v>
      </c>
      <c r="H4948" s="88"/>
      <c r="I4948" s="88"/>
      <c r="J4948" s="78">
        <f>MAX(K4948:Q4948)</f>
        <v>1</v>
      </c>
      <c r="K4948" s="88">
        <v>1</v>
      </c>
      <c r="L4948" s="88"/>
      <c r="M4948" s="88"/>
      <c r="N4948" s="88"/>
      <c r="O4948" s="88"/>
      <c r="P4948" s="88"/>
      <c r="Q4948" s="88"/>
      <c r="R4948" s="78">
        <f>MAX(S4948:W4948)</f>
        <v>0</v>
      </c>
      <c r="S4948" s="88"/>
      <c r="T4948" s="88"/>
      <c r="U4948" s="88"/>
      <c r="V4948" s="88"/>
      <c r="W4948" s="88"/>
    </row>
    <row r="4949" spans="2:23" s="0" customFormat="0" ht="15">
      <c r="B4949" s="87" t="s">
        <v>1</v>
      </c>
      <c r="C4949" s="88" t="s">
        <v>5259</v>
      </c>
      <c r="D4949" s="88">
        <v>14041518</v>
      </c>
      <c r="E4949" s="88" t="s">
        <v>61</v>
      </c>
      <c r="F4949" s="88">
        <v>0</v>
      </c>
      <c r="G4949" s="78">
        <f>MAX(H4949,I4949,J4949)</f>
        <v>1</v>
      </c>
      <c r="H4949" s="88"/>
      <c r="I4949" s="88"/>
      <c r="J4949" s="78">
        <f>MAX(K4949:Q4949)</f>
        <v>1</v>
      </c>
      <c r="K4949" s="88">
        <v>1</v>
      </c>
      <c r="L4949" s="88"/>
      <c r="M4949" s="88"/>
      <c r="N4949" s="88"/>
      <c r="O4949" s="88"/>
      <c r="P4949" s="88"/>
      <c r="Q4949" s="88"/>
      <c r="R4949" s="78">
        <f>MAX(S4949:W4949)</f>
        <v>0</v>
      </c>
      <c r="S4949" s="88"/>
      <c r="T4949" s="88"/>
      <c r="U4949" s="88"/>
      <c r="V4949" s="88"/>
      <c r="W4949" s="88"/>
    </row>
    <row r="4950" spans="2:23" s="0" customFormat="0" ht="15">
      <c r="B4950" s="87" t="s">
        <v>1</v>
      </c>
      <c r="C4950" s="88" t="s">
        <v>5259</v>
      </c>
      <c r="D4950" s="88">
        <v>21045688</v>
      </c>
      <c r="E4950" s="88" t="s">
        <v>61</v>
      </c>
      <c r="F4950" s="88">
        <v>0</v>
      </c>
      <c r="G4950" s="78">
        <f>MAX(H4950,I4950,J4950)</f>
        <v>1</v>
      </c>
      <c r="H4950" s="88"/>
      <c r="I4950" s="88"/>
      <c r="J4950" s="78">
        <f>MAX(K4950:Q4950)</f>
        <v>1</v>
      </c>
      <c r="K4950" s="88">
        <v>1</v>
      </c>
      <c r="L4950" s="88"/>
      <c r="M4950" s="88"/>
      <c r="N4950" s="88"/>
      <c r="O4950" s="88"/>
      <c r="P4950" s="88"/>
      <c r="Q4950" s="88"/>
      <c r="R4950" s="78">
        <f>MAX(S4950:W4950)</f>
        <v>0</v>
      </c>
      <c r="S4950" s="88"/>
      <c r="T4950" s="88"/>
      <c r="U4950" s="88"/>
      <c r="V4950" s="88"/>
      <c r="W4950" s="88"/>
    </row>
    <row r="4951" spans="2:23" s="0" customFormat="0" ht="15">
      <c r="B4951" s="87" t="s">
        <v>1</v>
      </c>
      <c r="C4951" s="88" t="s">
        <v>5259</v>
      </c>
      <c r="D4951" s="88" t="s">
        <v>483</v>
      </c>
      <c r="E4951" s="88" t="s">
        <v>61</v>
      </c>
      <c r="F4951" s="88">
        <v>0</v>
      </c>
      <c r="G4951" s="78">
        <f>MAX(H4951,I4951,J4951)</f>
        <v>1</v>
      </c>
      <c r="H4951" s="88"/>
      <c r="I4951" s="88"/>
      <c r="J4951" s="78">
        <f>MAX(K4951:Q4951)</f>
        <v>1</v>
      </c>
      <c r="K4951" s="88">
        <v>1</v>
      </c>
      <c r="L4951" s="88"/>
      <c r="M4951" s="88"/>
      <c r="N4951" s="88"/>
      <c r="O4951" s="88"/>
      <c r="P4951" s="88"/>
      <c r="Q4951" s="88"/>
      <c r="R4951" s="78">
        <f>MAX(S4951:W4951)</f>
        <v>0</v>
      </c>
      <c r="S4951" s="88"/>
      <c r="T4951" s="88"/>
      <c r="U4951" s="88"/>
      <c r="V4951" s="88"/>
      <c r="W4951" s="88"/>
    </row>
    <row r="4952" spans="2:23" s="0" customFormat="0" ht="15">
      <c r="B4952" s="87" t="s">
        <v>1</v>
      </c>
      <c r="C4952" s="88" t="s">
        <v>5259</v>
      </c>
      <c r="D4952" s="88">
        <v>19216294</v>
      </c>
      <c r="E4952" s="88" t="s">
        <v>61</v>
      </c>
      <c r="F4952" s="88">
        <v>0</v>
      </c>
      <c r="G4952" s="78">
        <f>MAX(H4952,I4952,J4952)</f>
        <v>0</v>
      </c>
      <c r="H4952" s="88"/>
      <c r="I4952" s="88"/>
      <c r="J4952" s="78">
        <f>MAX(K4952:Q4952)</f>
        <v>0</v>
      </c>
      <c r="K4952" s="88"/>
      <c r="L4952" s="88"/>
      <c r="M4952" s="88"/>
      <c r="N4952" s="88"/>
      <c r="O4952" s="88"/>
      <c r="P4952" s="88"/>
      <c r="Q4952" s="88"/>
      <c r="R4952" s="78">
        <f>MAX(S4952:W4952)</f>
        <v>1</v>
      </c>
      <c r="S4952" s="88"/>
      <c r="T4952" s="88"/>
      <c r="U4952" s="88">
        <v>1</v>
      </c>
      <c r="V4952" s="88"/>
      <c r="W4952" s="88"/>
    </row>
    <row r="4953" spans="2:23" s="0" customFormat="0" ht="15">
      <c r="B4953" s="87" t="s">
        <v>1</v>
      </c>
      <c r="C4953" s="88" t="s">
        <v>5259</v>
      </c>
      <c r="D4953" s="88">
        <v>17170631</v>
      </c>
      <c r="E4953" s="88" t="s">
        <v>61</v>
      </c>
      <c r="F4953" s="88">
        <v>0</v>
      </c>
      <c r="G4953" s="78">
        <f>MAX(H4953,I4953,J4953)</f>
        <v>1</v>
      </c>
      <c r="H4953" s="88"/>
      <c r="I4953" s="88"/>
      <c r="J4953" s="78">
        <f>MAX(K4953:Q4953)</f>
        <v>1</v>
      </c>
      <c r="K4953" s="88">
        <v>1</v>
      </c>
      <c r="L4953" s="88"/>
      <c r="M4953" s="88"/>
      <c r="N4953" s="88"/>
      <c r="O4953" s="88"/>
      <c r="P4953" s="88"/>
      <c r="Q4953" s="88"/>
      <c r="R4953" s="78">
        <f>MAX(S4953:W4953)</f>
        <v>0</v>
      </c>
      <c r="S4953" s="88"/>
      <c r="T4953" s="88"/>
      <c r="U4953" s="88"/>
      <c r="V4953" s="88"/>
      <c r="W4953" s="88"/>
    </row>
    <row r="4954" spans="2:23" s="0" customFormat="0" ht="15">
      <c r="B4954" s="87" t="s">
        <v>1</v>
      </c>
      <c r="C4954" s="88" t="s">
        <v>5259</v>
      </c>
      <c r="D4954" s="88" t="s">
        <v>4828</v>
      </c>
      <c r="E4954" s="88" t="s">
        <v>61</v>
      </c>
      <c r="F4954" s="88">
        <v>0</v>
      </c>
      <c r="G4954" s="78">
        <f>MAX(H4954,I4954,J4954)</f>
        <v>0</v>
      </c>
      <c r="H4954" s="88"/>
      <c r="I4954" s="88"/>
      <c r="J4954" s="78">
        <f>MAX(K4954:Q4954)</f>
        <v>0</v>
      </c>
      <c r="K4954" s="88"/>
      <c r="L4954" s="88"/>
      <c r="M4954" s="88"/>
      <c r="N4954" s="88"/>
      <c r="O4954" s="88"/>
      <c r="P4954" s="88"/>
      <c r="Q4954" s="88"/>
      <c r="R4954" s="78">
        <f>MAX(S4954:W4954)</f>
        <v>1</v>
      </c>
      <c r="S4954" s="88"/>
      <c r="T4954" s="88"/>
      <c r="U4954" s="88">
        <v>1</v>
      </c>
      <c r="V4954" s="88"/>
      <c r="W4954" s="88"/>
    </row>
    <row r="4955" spans="2:23" s="0" customFormat="0" ht="15">
      <c r="B4955" s="87" t="s">
        <v>1</v>
      </c>
      <c r="C4955" s="88" t="s">
        <v>5259</v>
      </c>
      <c r="D4955" s="88" t="s">
        <v>4502</v>
      </c>
      <c r="E4955" s="88" t="s">
        <v>61</v>
      </c>
      <c r="F4955" s="88">
        <v>0</v>
      </c>
      <c r="G4955" s="78">
        <f>MAX(H4955,I4955,J4955)</f>
        <v>0</v>
      </c>
      <c r="H4955" s="88"/>
      <c r="I4955" s="88"/>
      <c r="J4955" s="78">
        <f>MAX(K4955:Q4955)</f>
        <v>0</v>
      </c>
      <c r="K4955" s="88"/>
      <c r="L4955" s="88"/>
      <c r="M4955" s="88"/>
      <c r="N4955" s="88"/>
      <c r="O4955" s="88"/>
      <c r="P4955" s="88"/>
      <c r="Q4955" s="88"/>
      <c r="R4955" s="78">
        <f>MAX(S4955:W4955)</f>
        <v>1</v>
      </c>
      <c r="S4955" s="88"/>
      <c r="T4955" s="88"/>
      <c r="U4955" s="88">
        <v>1</v>
      </c>
      <c r="V4955" s="88"/>
      <c r="W4955" s="88"/>
    </row>
    <row r="4956" spans="2:23" s="0" customFormat="0" ht="15">
      <c r="B4956" s="87" t="s">
        <v>1</v>
      </c>
      <c r="C4956" s="88" t="s">
        <v>5259</v>
      </c>
      <c r="D4956" s="88">
        <v>22554160</v>
      </c>
      <c r="E4956" s="88" t="s">
        <v>61</v>
      </c>
      <c r="F4956" s="88">
        <v>0</v>
      </c>
      <c r="G4956" s="78">
        <f>MAX(H4956,I4956,J4956)</f>
        <v>0</v>
      </c>
      <c r="H4956" s="88"/>
      <c r="I4956" s="88"/>
      <c r="J4956" s="78">
        <f>MAX(K4956:Q4956)</f>
        <v>0</v>
      </c>
      <c r="K4956" s="88"/>
      <c r="L4956" s="88"/>
      <c r="M4956" s="88"/>
      <c r="N4956" s="88"/>
      <c r="O4956" s="88"/>
      <c r="P4956" s="88"/>
      <c r="Q4956" s="88"/>
      <c r="R4956" s="78">
        <f>MAX(S4956:W4956)</f>
        <v>1</v>
      </c>
      <c r="S4956" s="88"/>
      <c r="T4956" s="88"/>
      <c r="U4956" s="88">
        <v>1</v>
      </c>
      <c r="V4956" s="88"/>
      <c r="W4956" s="88"/>
    </row>
    <row r="4957" spans="2:23" s="0" customFormat="0" ht="15">
      <c r="B4957" s="87" t="s">
        <v>1</v>
      </c>
      <c r="C4957" s="88" t="s">
        <v>5259</v>
      </c>
      <c r="D4957" s="88">
        <v>22185637</v>
      </c>
      <c r="E4957" s="88" t="s">
        <v>61</v>
      </c>
      <c r="F4957" s="88">
        <v>0</v>
      </c>
      <c r="G4957" s="78">
        <f>MAX(H4957,I4957,J4957)</f>
        <v>1</v>
      </c>
      <c r="H4957" s="88"/>
      <c r="I4957" s="88"/>
      <c r="J4957" s="78">
        <f>MAX(K4957:Q4957)</f>
        <v>1</v>
      </c>
      <c r="K4957" s="88"/>
      <c r="L4957" s="88"/>
      <c r="M4957" s="88">
        <v>1</v>
      </c>
      <c r="N4957" s="88"/>
      <c r="O4957" s="88"/>
      <c r="P4957" s="88"/>
      <c r="Q4957" s="88"/>
      <c r="R4957" s="78">
        <f>MAX(S4957:W4957)</f>
        <v>0</v>
      </c>
      <c r="S4957" s="88"/>
      <c r="T4957" s="88"/>
      <c r="U4957" s="88"/>
      <c r="V4957" s="88"/>
      <c r="W4957" s="88"/>
    </row>
    <row r="4958" spans="2:23" s="0" customFormat="0" ht="15">
      <c r="B4958" s="87" t="s">
        <v>1</v>
      </c>
      <c r="C4958" s="88" t="s">
        <v>5259</v>
      </c>
      <c r="D4958" s="88" t="s">
        <v>5078</v>
      </c>
      <c r="E4958" s="88" t="s">
        <v>61</v>
      </c>
      <c r="F4958" s="88">
        <v>0</v>
      </c>
      <c r="G4958" s="78">
        <f>MAX(H4958,I4958,J4958)</f>
        <v>0</v>
      </c>
      <c r="H4958" s="88"/>
      <c r="I4958" s="88"/>
      <c r="J4958" s="78">
        <f>MAX(K4958:Q4958)</f>
        <v>0</v>
      </c>
      <c r="K4958" s="88"/>
      <c r="L4958" s="88"/>
      <c r="M4958" s="88"/>
      <c r="N4958" s="88"/>
      <c r="O4958" s="88"/>
      <c r="P4958" s="88"/>
      <c r="Q4958" s="88"/>
      <c r="R4958" s="78">
        <f>MAX(S4958:W4958)</f>
        <v>1</v>
      </c>
      <c r="S4958" s="88"/>
      <c r="T4958" s="88"/>
      <c r="U4958" s="88">
        <v>1</v>
      </c>
      <c r="V4958" s="88"/>
      <c r="W4958" s="88"/>
    </row>
    <row r="4959" spans="2:23" s="0" customFormat="0" ht="15">
      <c r="B4959" s="87" t="s">
        <v>1</v>
      </c>
      <c r="C4959" s="88" t="s">
        <v>5259</v>
      </c>
      <c r="D4959" s="88">
        <v>21994047</v>
      </c>
      <c r="E4959" s="88" t="s">
        <v>61</v>
      </c>
      <c r="F4959" s="88">
        <v>0</v>
      </c>
      <c r="G4959" s="78">
        <f>MAX(H4959,I4959,J4959)</f>
        <v>1</v>
      </c>
      <c r="H4959" s="88"/>
      <c r="I4959" s="88"/>
      <c r="J4959" s="78">
        <f>MAX(K4959:Q4959)</f>
        <v>1</v>
      </c>
      <c r="K4959" s="88">
        <v>1</v>
      </c>
      <c r="L4959" s="88"/>
      <c r="M4959" s="88"/>
      <c r="N4959" s="88"/>
      <c r="O4959" s="88"/>
      <c r="P4959" s="88"/>
      <c r="Q4959" s="88"/>
      <c r="R4959" s="78">
        <f>MAX(S4959:W4959)</f>
        <v>0</v>
      </c>
      <c r="S4959" s="88"/>
      <c r="T4959" s="88"/>
      <c r="U4959" s="88"/>
      <c r="V4959" s="88"/>
      <c r="W4959" s="88"/>
    </row>
    <row r="4960" spans="2:23" s="0" customFormat="0" ht="15">
      <c r="B4960" s="87" t="s">
        <v>1</v>
      </c>
      <c r="C4960" s="88" t="s">
        <v>5259</v>
      </c>
      <c r="D4960" s="88" t="s">
        <v>3892</v>
      </c>
      <c r="E4960" s="88" t="s">
        <v>61</v>
      </c>
      <c r="F4960" s="88">
        <v>0</v>
      </c>
      <c r="G4960" s="78">
        <f>MAX(H4960,I4960,J4960)</f>
        <v>0</v>
      </c>
      <c r="H4960" s="88"/>
      <c r="I4960" s="88"/>
      <c r="J4960" s="78">
        <f>MAX(K4960:Q4960)</f>
        <v>0</v>
      </c>
      <c r="K4960" s="88"/>
      <c r="L4960" s="88"/>
      <c r="M4960" s="88"/>
      <c r="N4960" s="88"/>
      <c r="O4960" s="88"/>
      <c r="P4960" s="88"/>
      <c r="Q4960" s="88"/>
      <c r="R4960" s="78">
        <f>MAX(S4960:W4960)</f>
        <v>1</v>
      </c>
      <c r="S4960" s="88"/>
      <c r="T4960" s="88"/>
      <c r="U4960" s="88">
        <v>1</v>
      </c>
      <c r="V4960" s="88"/>
      <c r="W4960" s="88"/>
    </row>
    <row r="4961" spans="2:23" s="0" customFormat="0" ht="15">
      <c r="B4961" s="87" t="s">
        <v>1</v>
      </c>
      <c r="C4961" s="88" t="s">
        <v>5259</v>
      </c>
      <c r="D4961" s="88">
        <v>20253637</v>
      </c>
      <c r="E4961" s="88" t="s">
        <v>61</v>
      </c>
      <c r="F4961" s="88">
        <v>0</v>
      </c>
      <c r="G4961" s="78">
        <f>MAX(H4961,I4961,J4961)</f>
        <v>1</v>
      </c>
      <c r="H4961" s="88"/>
      <c r="I4961" s="88"/>
      <c r="J4961" s="78">
        <f>MAX(K4961:Q4961)</f>
        <v>1</v>
      </c>
      <c r="K4961" s="88">
        <v>1</v>
      </c>
      <c r="L4961" s="88"/>
      <c r="M4961" s="88"/>
      <c r="N4961" s="88"/>
      <c r="O4961" s="88"/>
      <c r="P4961" s="88"/>
      <c r="Q4961" s="88"/>
      <c r="R4961" s="78">
        <f>MAX(S4961:W4961)</f>
        <v>0</v>
      </c>
      <c r="S4961" s="88"/>
      <c r="T4961" s="88"/>
      <c r="U4961" s="88"/>
      <c r="V4961" s="88"/>
      <c r="W4961" s="88"/>
    </row>
    <row r="4962" spans="2:23" s="0" customFormat="0" ht="15">
      <c r="B4962" s="87" t="s">
        <v>1</v>
      </c>
      <c r="C4962" s="88" t="s">
        <v>5259</v>
      </c>
      <c r="D4962" s="88">
        <v>7811728</v>
      </c>
      <c r="E4962" s="88" t="s">
        <v>61</v>
      </c>
      <c r="F4962" s="88">
        <v>0</v>
      </c>
      <c r="G4962" s="78">
        <f>MAX(H4962,I4962,J4962)</f>
        <v>1</v>
      </c>
      <c r="H4962" s="88"/>
      <c r="I4962" s="88"/>
      <c r="J4962" s="78">
        <f>MAX(K4962:Q4962)</f>
        <v>1</v>
      </c>
      <c r="K4962" s="88">
        <v>1</v>
      </c>
      <c r="L4962" s="88"/>
      <c r="M4962" s="88"/>
      <c r="N4962" s="88"/>
      <c r="O4962" s="88"/>
      <c r="P4962" s="88"/>
      <c r="Q4962" s="88"/>
      <c r="R4962" s="78">
        <f>MAX(S4962:W4962)</f>
        <v>0</v>
      </c>
      <c r="S4962" s="88"/>
      <c r="T4962" s="88"/>
      <c r="U4962" s="88"/>
      <c r="V4962" s="88"/>
      <c r="W4962" s="88"/>
    </row>
    <row r="4963" spans="2:23" s="0" customFormat="0" ht="15">
      <c r="B4963" s="87" t="s">
        <v>1</v>
      </c>
      <c r="C4963" s="88" t="s">
        <v>5259</v>
      </c>
      <c r="D4963" s="88">
        <v>19503968</v>
      </c>
      <c r="E4963" s="88" t="s">
        <v>61</v>
      </c>
      <c r="F4963" s="88">
        <v>0</v>
      </c>
      <c r="G4963" s="78">
        <f>MAX(H4963,I4963,J4963)</f>
        <v>1</v>
      </c>
      <c r="H4963" s="88"/>
      <c r="I4963" s="88"/>
      <c r="J4963" s="78">
        <f>MAX(K4963:Q4963)</f>
        <v>1</v>
      </c>
      <c r="K4963" s="88">
        <v>1</v>
      </c>
      <c r="L4963" s="88"/>
      <c r="M4963" s="88"/>
      <c r="N4963" s="88"/>
      <c r="O4963" s="88"/>
      <c r="P4963" s="88"/>
      <c r="Q4963" s="88"/>
      <c r="R4963" s="78">
        <f>MAX(S4963:W4963)</f>
        <v>0</v>
      </c>
      <c r="S4963" s="88"/>
      <c r="T4963" s="88"/>
      <c r="U4963" s="88"/>
      <c r="V4963" s="88"/>
      <c r="W4963" s="88"/>
    </row>
    <row r="4964" spans="2:23" s="0" customFormat="0" ht="15">
      <c r="B4964" s="87" t="s">
        <v>1</v>
      </c>
      <c r="C4964" s="88" t="s">
        <v>5259</v>
      </c>
      <c r="D4964" s="88">
        <v>3515308</v>
      </c>
      <c r="E4964" s="88" t="s">
        <v>61</v>
      </c>
      <c r="F4964" s="88">
        <v>0</v>
      </c>
      <c r="G4964" s="78">
        <f>MAX(H4964,I4964,J4964)</f>
        <v>1</v>
      </c>
      <c r="H4964" s="88"/>
      <c r="I4964" s="88"/>
      <c r="J4964" s="78">
        <f>MAX(K4964:Q4964)</f>
        <v>1</v>
      </c>
      <c r="K4964" s="88">
        <v>1</v>
      </c>
      <c r="L4964" s="88"/>
      <c r="M4964" s="88"/>
      <c r="N4964" s="88"/>
      <c r="O4964" s="88"/>
      <c r="P4964" s="88"/>
      <c r="Q4964" s="88"/>
      <c r="R4964" s="78">
        <f>MAX(S4964:W4964)</f>
        <v>0</v>
      </c>
      <c r="S4964" s="88"/>
      <c r="T4964" s="88"/>
      <c r="U4964" s="88"/>
      <c r="V4964" s="88"/>
      <c r="W4964" s="88"/>
    </row>
    <row r="4965" spans="2:23" s="0" customFormat="0" ht="15">
      <c r="B4965" s="87" t="s">
        <v>1</v>
      </c>
      <c r="C4965" s="88" t="s">
        <v>5259</v>
      </c>
      <c r="D4965" s="88">
        <v>4279957</v>
      </c>
      <c r="E4965" s="88" t="s">
        <v>61</v>
      </c>
      <c r="F4965" s="88">
        <v>0</v>
      </c>
      <c r="G4965" s="78">
        <f>MAX(H4965,I4965,J4965)</f>
        <v>0</v>
      </c>
      <c r="H4965" s="88"/>
      <c r="I4965" s="88"/>
      <c r="J4965" s="78">
        <f>MAX(K4965:Q4965)</f>
        <v>0</v>
      </c>
      <c r="K4965" s="88"/>
      <c r="L4965" s="88"/>
      <c r="M4965" s="88"/>
      <c r="N4965" s="88"/>
      <c r="O4965" s="88"/>
      <c r="P4965" s="88"/>
      <c r="Q4965" s="88"/>
      <c r="R4965" s="78">
        <f>MAX(S4965:W4965)</f>
        <v>1</v>
      </c>
      <c r="S4965" s="88"/>
      <c r="T4965" s="88"/>
      <c r="U4965" s="88"/>
      <c r="V4965" s="88">
        <v>1</v>
      </c>
      <c r="W4965" s="88"/>
    </row>
    <row r="4966" spans="2:23" s="0" customFormat="0" ht="15">
      <c r="B4966" s="87" t="s">
        <v>1</v>
      </c>
      <c r="C4966" s="88" t="s">
        <v>5259</v>
      </c>
      <c r="D4966" s="88">
        <v>24408435</v>
      </c>
      <c r="E4966" s="88" t="s">
        <v>61</v>
      </c>
      <c r="F4966" s="88">
        <v>0</v>
      </c>
      <c r="G4966" s="78">
        <f>MAX(H4966,I4966,J4966)</f>
        <v>1</v>
      </c>
      <c r="H4966" s="88"/>
      <c r="I4966" s="88"/>
      <c r="J4966" s="78">
        <f>MAX(K4966:Q4966)</f>
        <v>1</v>
      </c>
      <c r="K4966" s="88">
        <v>1</v>
      </c>
      <c r="L4966" s="88"/>
      <c r="M4966" s="88"/>
      <c r="N4966" s="88"/>
      <c r="O4966" s="88"/>
      <c r="P4966" s="88"/>
      <c r="Q4966" s="88"/>
      <c r="R4966" s="78">
        <f>MAX(S4966:W4966)</f>
        <v>0</v>
      </c>
      <c r="S4966" s="88"/>
      <c r="T4966" s="88"/>
      <c r="U4966" s="88"/>
      <c r="V4966" s="88"/>
      <c r="W4966" s="88"/>
    </row>
    <row r="4967" spans="2:23" s="0" customFormat="0" ht="15">
      <c r="B4967" s="87" t="s">
        <v>1</v>
      </c>
      <c r="C4967" s="88" t="s">
        <v>5259</v>
      </c>
      <c r="D4967" s="88">
        <v>11757687</v>
      </c>
      <c r="E4967" s="88" t="s">
        <v>61</v>
      </c>
      <c r="F4967" s="88">
        <v>0</v>
      </c>
      <c r="G4967" s="78">
        <f>MAX(H4967,I4967,J4967)</f>
        <v>0</v>
      </c>
      <c r="H4967" s="88"/>
      <c r="I4967" s="88"/>
      <c r="J4967" s="78">
        <f>MAX(K4967:Q4967)</f>
        <v>0</v>
      </c>
      <c r="K4967" s="88"/>
      <c r="L4967" s="88"/>
      <c r="M4967" s="88"/>
      <c r="N4967" s="88"/>
      <c r="O4967" s="88"/>
      <c r="P4967" s="88"/>
      <c r="Q4967" s="88"/>
      <c r="R4967" s="78">
        <f>MAX(S4967:W4967)</f>
        <v>1</v>
      </c>
      <c r="S4967" s="88"/>
      <c r="T4967" s="88"/>
      <c r="U4967" s="88">
        <v>1</v>
      </c>
      <c r="V4967" s="88"/>
      <c r="W4967" s="88"/>
    </row>
    <row r="4968" spans="2:23" s="0" customFormat="0" ht="15">
      <c r="B4968" s="87" t="s">
        <v>1</v>
      </c>
      <c r="C4968" s="88" t="s">
        <v>5259</v>
      </c>
      <c r="D4968" s="88">
        <v>15342010</v>
      </c>
      <c r="E4968" s="88" t="s">
        <v>61</v>
      </c>
      <c r="F4968" s="88">
        <v>0</v>
      </c>
      <c r="G4968" s="78">
        <f>MAX(H4968,I4968,J4968)</f>
        <v>1</v>
      </c>
      <c r="H4968" s="88"/>
      <c r="I4968" s="88"/>
      <c r="J4968" s="78">
        <f>MAX(K4968:Q4968)</f>
        <v>1</v>
      </c>
      <c r="K4968" s="88">
        <v>1</v>
      </c>
      <c r="L4968" s="88"/>
      <c r="M4968" s="88"/>
      <c r="N4968" s="88"/>
      <c r="O4968" s="88"/>
      <c r="P4968" s="88"/>
      <c r="Q4968" s="88"/>
      <c r="R4968" s="78">
        <f>MAX(S4968:W4968)</f>
        <v>0</v>
      </c>
      <c r="S4968" s="88"/>
      <c r="T4968" s="88"/>
      <c r="U4968" s="88"/>
      <c r="V4968" s="88"/>
      <c r="W4968" s="88"/>
    </row>
    <row r="4969" spans="2:23" s="0" customFormat="0" ht="15">
      <c r="B4969" s="87" t="s">
        <v>1</v>
      </c>
      <c r="C4969" s="88" t="s">
        <v>5259</v>
      </c>
      <c r="D4969" s="88" t="s">
        <v>868</v>
      </c>
      <c r="E4969" s="88" t="s">
        <v>61</v>
      </c>
      <c r="F4969" s="88">
        <v>0</v>
      </c>
      <c r="G4969" s="78">
        <f>MAX(H4969,I4969,J4969)</f>
        <v>1</v>
      </c>
      <c r="H4969" s="88"/>
      <c r="I4969" s="88"/>
      <c r="J4969" s="78">
        <f>MAX(K4969:Q4969)</f>
        <v>1</v>
      </c>
      <c r="K4969" s="88">
        <v>1</v>
      </c>
      <c r="L4969" s="88"/>
      <c r="M4969" s="88"/>
      <c r="N4969" s="88"/>
      <c r="O4969" s="88"/>
      <c r="P4969" s="88"/>
      <c r="Q4969" s="88"/>
      <c r="R4969" s="78">
        <f>MAX(S4969:W4969)</f>
        <v>0</v>
      </c>
      <c r="S4969" s="88"/>
      <c r="T4969" s="88"/>
      <c r="U4969" s="88"/>
      <c r="V4969" s="88"/>
      <c r="W4969" s="88"/>
    </row>
    <row r="4970" spans="2:23" s="0" customFormat="0" ht="15">
      <c r="B4970" s="87" t="s">
        <v>1</v>
      </c>
      <c r="C4970" s="88" t="s">
        <v>5259</v>
      </c>
      <c r="D4970" s="88" t="s">
        <v>3852</v>
      </c>
      <c r="E4970" s="88" t="s">
        <v>61</v>
      </c>
      <c r="F4970" s="88">
        <v>0</v>
      </c>
      <c r="G4970" s="78">
        <f>MAX(H4970,I4970,J4970)</f>
        <v>0</v>
      </c>
      <c r="H4970" s="88"/>
      <c r="I4970" s="88"/>
      <c r="J4970" s="78">
        <f>MAX(K4970:Q4970)</f>
        <v>0</v>
      </c>
      <c r="K4970" s="88"/>
      <c r="L4970" s="88"/>
      <c r="M4970" s="88"/>
      <c r="N4970" s="88"/>
      <c r="O4970" s="88"/>
      <c r="P4970" s="88"/>
      <c r="Q4970" s="88"/>
      <c r="R4970" s="78">
        <f>MAX(S4970:W4970)</f>
        <v>1</v>
      </c>
      <c r="S4970" s="88"/>
      <c r="T4970" s="88"/>
      <c r="U4970" s="88">
        <v>1</v>
      </c>
      <c r="V4970" s="88"/>
      <c r="W4970" s="88"/>
    </row>
    <row r="4971" spans="2:23" s="0" customFormat="0" ht="15">
      <c r="B4971" s="87" t="s">
        <v>1</v>
      </c>
      <c r="C4971" s="88" t="s">
        <v>5259</v>
      </c>
      <c r="D4971" s="88">
        <v>19714686</v>
      </c>
      <c r="E4971" s="88" t="s">
        <v>61</v>
      </c>
      <c r="F4971" s="88">
        <v>0</v>
      </c>
      <c r="G4971" s="78">
        <f>MAX(H4971,I4971,J4971)</f>
        <v>1</v>
      </c>
      <c r="H4971" s="88"/>
      <c r="I4971" s="88"/>
      <c r="J4971" s="78">
        <f>MAX(K4971:Q4971)</f>
        <v>1</v>
      </c>
      <c r="K4971" s="88">
        <v>1</v>
      </c>
      <c r="L4971" s="88"/>
      <c r="M4971" s="88"/>
      <c r="N4971" s="88"/>
      <c r="O4971" s="88"/>
      <c r="P4971" s="88"/>
      <c r="Q4971" s="88"/>
      <c r="R4971" s="78">
        <f>MAX(S4971:W4971)</f>
        <v>0</v>
      </c>
      <c r="S4971" s="88"/>
      <c r="T4971" s="88"/>
      <c r="U4971" s="88"/>
      <c r="V4971" s="88"/>
      <c r="W4971" s="88"/>
    </row>
    <row r="4972" spans="2:23" s="0" customFormat="0" ht="15">
      <c r="B4972" s="87" t="s">
        <v>1</v>
      </c>
      <c r="C4972" s="88" t="s">
        <v>5259</v>
      </c>
      <c r="D4972" s="88">
        <v>17860436</v>
      </c>
      <c r="E4972" s="88" t="s">
        <v>61</v>
      </c>
      <c r="F4972" s="88">
        <v>0</v>
      </c>
      <c r="G4972" s="78">
        <f>MAX(H4972,I4972,J4972)</f>
        <v>1</v>
      </c>
      <c r="H4972" s="88"/>
      <c r="I4972" s="88"/>
      <c r="J4972" s="78">
        <f>MAX(K4972:Q4972)</f>
        <v>1</v>
      </c>
      <c r="K4972" s="88">
        <v>1</v>
      </c>
      <c r="L4972" s="88"/>
      <c r="M4972" s="88"/>
      <c r="N4972" s="88"/>
      <c r="O4972" s="88"/>
      <c r="P4972" s="88"/>
      <c r="Q4972" s="88"/>
      <c r="R4972" s="78">
        <f>MAX(S4972:W4972)</f>
        <v>0</v>
      </c>
      <c r="S4972" s="88"/>
      <c r="T4972" s="88"/>
      <c r="U4972" s="88"/>
      <c r="V4972" s="88"/>
      <c r="W4972" s="88"/>
    </row>
    <row r="4973" spans="2:23" s="0" customFormat="0" ht="15">
      <c r="B4973" s="87" t="s">
        <v>1</v>
      </c>
      <c r="C4973" s="88" t="s">
        <v>5259</v>
      </c>
      <c r="D4973" s="88" t="s">
        <v>3206</v>
      </c>
      <c r="E4973" s="88" t="s">
        <v>61</v>
      </c>
      <c r="F4973" s="88">
        <v>0</v>
      </c>
      <c r="G4973" s="78">
        <f>MAX(H4973,I4973,J4973)</f>
        <v>0</v>
      </c>
      <c r="H4973" s="88"/>
      <c r="I4973" s="88"/>
      <c r="J4973" s="78">
        <f>MAX(K4973:Q4973)</f>
        <v>0</v>
      </c>
      <c r="K4973" s="88"/>
      <c r="L4973" s="88"/>
      <c r="M4973" s="88"/>
      <c r="N4973" s="88"/>
      <c r="O4973" s="88"/>
      <c r="P4973" s="88"/>
      <c r="Q4973" s="88"/>
      <c r="R4973" s="78">
        <f>MAX(S4973:W4973)</f>
        <v>1</v>
      </c>
      <c r="S4973" s="88"/>
      <c r="T4973" s="88"/>
      <c r="U4973" s="88"/>
      <c r="V4973" s="88">
        <v>1</v>
      </c>
      <c r="W4973" s="88"/>
    </row>
    <row r="4974" spans="2:23" s="0" customFormat="0" ht="15">
      <c r="B4974" s="87" t="s">
        <v>1</v>
      </c>
      <c r="C4974" s="88" t="s">
        <v>5259</v>
      </c>
      <c r="D4974" s="88" t="s">
        <v>2591</v>
      </c>
      <c r="E4974" s="88" t="s">
        <v>61</v>
      </c>
      <c r="F4974" s="88">
        <v>0</v>
      </c>
      <c r="G4974" s="78">
        <f>MAX(H4974,I4974,J4974)</f>
        <v>1</v>
      </c>
      <c r="H4974" s="88"/>
      <c r="I4974" s="88"/>
      <c r="J4974" s="78">
        <f>MAX(K4974:Q4974)</f>
        <v>1</v>
      </c>
      <c r="K4974" s="88">
        <v>1</v>
      </c>
      <c r="L4974" s="88"/>
      <c r="M4974" s="88"/>
      <c r="N4974" s="88"/>
      <c r="O4974" s="88"/>
      <c r="P4974" s="88"/>
      <c r="Q4974" s="88"/>
      <c r="R4974" s="78">
        <f>MAX(S4974:W4974)</f>
        <v>0</v>
      </c>
      <c r="S4974" s="88"/>
      <c r="T4974" s="88"/>
      <c r="U4974" s="88"/>
      <c r="V4974" s="88"/>
      <c r="W4974" s="88"/>
    </row>
    <row r="4975" spans="2:23" s="0" customFormat="0" ht="15">
      <c r="B4975" s="87" t="s">
        <v>1</v>
      </c>
      <c r="C4975" s="88" t="s">
        <v>5259</v>
      </c>
      <c r="D4975" s="88" t="s">
        <v>4990</v>
      </c>
      <c r="E4975" s="88" t="s">
        <v>61</v>
      </c>
      <c r="F4975" s="88">
        <v>0</v>
      </c>
      <c r="G4975" s="78">
        <f>MAX(H4975,I4975,J4975)</f>
        <v>0</v>
      </c>
      <c r="H4975" s="88"/>
      <c r="I4975" s="88"/>
      <c r="J4975" s="78">
        <f>MAX(K4975:Q4975)</f>
        <v>0</v>
      </c>
      <c r="K4975" s="88"/>
      <c r="L4975" s="88"/>
      <c r="M4975" s="88"/>
      <c r="N4975" s="88"/>
      <c r="O4975" s="88"/>
      <c r="P4975" s="88"/>
      <c r="Q4975" s="88"/>
      <c r="R4975" s="78">
        <f>MAX(S4975:W4975)</f>
        <v>1</v>
      </c>
      <c r="S4975" s="88"/>
      <c r="T4975" s="88"/>
      <c r="U4975" s="88">
        <v>1</v>
      </c>
      <c r="V4975" s="88"/>
      <c r="W4975" s="88"/>
    </row>
    <row r="4976" spans="2:23" s="0" customFormat="0" ht="15">
      <c r="B4976" s="87" t="s">
        <v>1</v>
      </c>
      <c r="C4976" s="88" t="s">
        <v>5259</v>
      </c>
      <c r="D4976" s="88">
        <v>18931659</v>
      </c>
      <c r="E4976" s="88" t="s">
        <v>61</v>
      </c>
      <c r="F4976" s="88">
        <v>0</v>
      </c>
      <c r="G4976" s="78">
        <f>MAX(H4976,I4976,J4976)</f>
        <v>1</v>
      </c>
      <c r="H4976" s="88"/>
      <c r="I4976" s="88"/>
      <c r="J4976" s="78">
        <f>MAX(K4976:Q4976)</f>
        <v>1</v>
      </c>
      <c r="K4976" s="88">
        <v>1</v>
      </c>
      <c r="L4976" s="88"/>
      <c r="M4976" s="88"/>
      <c r="N4976" s="88"/>
      <c r="O4976" s="88"/>
      <c r="P4976" s="88"/>
      <c r="Q4976" s="88"/>
      <c r="R4976" s="78">
        <f>MAX(S4976:W4976)</f>
        <v>0</v>
      </c>
      <c r="S4976" s="88"/>
      <c r="T4976" s="88"/>
      <c r="U4976" s="88"/>
      <c r="V4976" s="88"/>
      <c r="W4976" s="88"/>
    </row>
    <row r="4977" spans="2:23" s="0" customFormat="0" ht="15">
      <c r="B4977" s="87" t="s">
        <v>1</v>
      </c>
      <c r="C4977" s="88" t="s">
        <v>5259</v>
      </c>
      <c r="D4977" s="88">
        <v>21457733</v>
      </c>
      <c r="E4977" s="88" t="s">
        <v>61</v>
      </c>
      <c r="F4977" s="88">
        <v>0</v>
      </c>
      <c r="G4977" s="78">
        <f>MAX(H4977,I4977,J4977)</f>
        <v>1</v>
      </c>
      <c r="H4977" s="88"/>
      <c r="I4977" s="88"/>
      <c r="J4977" s="78">
        <f>MAX(K4977:Q4977)</f>
        <v>1</v>
      </c>
      <c r="K4977" s="88">
        <v>1</v>
      </c>
      <c r="L4977" s="88"/>
      <c r="M4977" s="88"/>
      <c r="N4977" s="88"/>
      <c r="O4977" s="88"/>
      <c r="P4977" s="88"/>
      <c r="Q4977" s="88"/>
      <c r="R4977" s="78">
        <f>MAX(S4977:W4977)</f>
        <v>0</v>
      </c>
      <c r="S4977" s="88"/>
      <c r="T4977" s="88"/>
      <c r="U4977" s="88"/>
      <c r="V4977" s="88"/>
      <c r="W4977" s="88"/>
    </row>
    <row r="4978" spans="2:23" s="0" customFormat="0" ht="15">
      <c r="B4978" s="87" t="s">
        <v>1</v>
      </c>
      <c r="C4978" s="88" t="s">
        <v>5259</v>
      </c>
      <c r="D4978" s="88" t="s">
        <v>5080</v>
      </c>
      <c r="E4978" s="88" t="s">
        <v>61</v>
      </c>
      <c r="F4978" s="88">
        <v>0</v>
      </c>
      <c r="G4978" s="78">
        <f>MAX(H4978,I4978,J4978)</f>
        <v>0</v>
      </c>
      <c r="H4978" s="88"/>
      <c r="I4978" s="88"/>
      <c r="J4978" s="78">
        <f>MAX(K4978:Q4978)</f>
        <v>0</v>
      </c>
      <c r="K4978" s="88"/>
      <c r="L4978" s="88"/>
      <c r="M4978" s="88"/>
      <c r="N4978" s="88"/>
      <c r="O4978" s="88"/>
      <c r="P4978" s="88"/>
      <c r="Q4978" s="88"/>
      <c r="R4978" s="78">
        <f>MAX(S4978:W4978)</f>
        <v>1</v>
      </c>
      <c r="S4978" s="88"/>
      <c r="T4978" s="88"/>
      <c r="U4978" s="88">
        <v>1</v>
      </c>
      <c r="V4978" s="88"/>
      <c r="W4978" s="88"/>
    </row>
    <row r="4979" spans="2:23" s="0" customFormat="0" ht="15">
      <c r="B4979" s="87" t="s">
        <v>1</v>
      </c>
      <c r="C4979" s="88" t="s">
        <v>5259</v>
      </c>
      <c r="D4979" s="88" t="s">
        <v>2735</v>
      </c>
      <c r="E4979" s="88" t="s">
        <v>61</v>
      </c>
      <c r="F4979" s="88">
        <v>0</v>
      </c>
      <c r="G4979" s="78">
        <f>MAX(H4979,I4979,J4979)</f>
        <v>1</v>
      </c>
      <c r="H4979" s="88"/>
      <c r="I4979" s="88"/>
      <c r="J4979" s="78">
        <f>MAX(K4979:Q4979)</f>
        <v>1</v>
      </c>
      <c r="K4979" s="88">
        <v>1</v>
      </c>
      <c r="L4979" s="88"/>
      <c r="M4979" s="88"/>
      <c r="N4979" s="88"/>
      <c r="O4979" s="88"/>
      <c r="P4979" s="88"/>
      <c r="Q4979" s="88"/>
      <c r="R4979" s="78">
        <f>MAX(S4979:W4979)</f>
        <v>0</v>
      </c>
      <c r="S4979" s="88"/>
      <c r="T4979" s="88"/>
      <c r="U4979" s="88"/>
      <c r="V4979" s="88"/>
      <c r="W4979" s="88"/>
    </row>
    <row r="4980" spans="2:23" s="0" customFormat="0" ht="15">
      <c r="B4980" s="87" t="s">
        <v>1</v>
      </c>
      <c r="C4980" s="88" t="s">
        <v>5259</v>
      </c>
      <c r="D4980" s="88">
        <v>16963941</v>
      </c>
      <c r="E4980" s="88" t="s">
        <v>61</v>
      </c>
      <c r="F4980" s="88">
        <v>0</v>
      </c>
      <c r="G4980" s="78">
        <f>MAX(H4980,I4980,J4980)</f>
        <v>1</v>
      </c>
      <c r="H4980" s="88"/>
      <c r="I4980" s="88"/>
      <c r="J4980" s="78">
        <f>MAX(K4980:Q4980)</f>
        <v>1</v>
      </c>
      <c r="K4980" s="88">
        <v>1</v>
      </c>
      <c r="L4980" s="88"/>
      <c r="M4980" s="88"/>
      <c r="N4980" s="88"/>
      <c r="O4980" s="88"/>
      <c r="P4980" s="88"/>
      <c r="Q4980" s="88"/>
      <c r="R4980" s="78">
        <f>MAX(S4980:W4980)</f>
        <v>0</v>
      </c>
      <c r="S4980" s="88"/>
      <c r="T4980" s="88"/>
      <c r="U4980" s="88"/>
      <c r="V4980" s="88"/>
      <c r="W4980" s="88"/>
    </row>
    <row r="4981" spans="2:23" s="0" customFormat="0" ht="15">
      <c r="B4981" s="87" t="s">
        <v>1</v>
      </c>
      <c r="C4981" s="88" t="s">
        <v>5259</v>
      </c>
      <c r="D4981" s="88">
        <v>16166347</v>
      </c>
      <c r="E4981" s="88" t="s">
        <v>61</v>
      </c>
      <c r="F4981" s="88">
        <v>0</v>
      </c>
      <c r="G4981" s="78">
        <f>MAX(H4981,I4981,J4981)</f>
        <v>1</v>
      </c>
      <c r="H4981" s="88"/>
      <c r="I4981" s="88"/>
      <c r="J4981" s="78">
        <f>MAX(K4981:Q4981)</f>
        <v>1</v>
      </c>
      <c r="K4981" s="88">
        <v>1</v>
      </c>
      <c r="L4981" s="88"/>
      <c r="M4981" s="88"/>
      <c r="N4981" s="88"/>
      <c r="O4981" s="88"/>
      <c r="P4981" s="88"/>
      <c r="Q4981" s="88"/>
      <c r="R4981" s="78">
        <f>MAX(S4981:W4981)</f>
        <v>0</v>
      </c>
      <c r="S4981" s="88"/>
      <c r="T4981" s="88"/>
      <c r="U4981" s="88"/>
      <c r="V4981" s="88"/>
      <c r="W4981" s="88"/>
    </row>
    <row r="4982" spans="2:23" s="0" customFormat="0" ht="15">
      <c r="B4982" s="87" t="s">
        <v>1</v>
      </c>
      <c r="C4982" s="88" t="s">
        <v>5259</v>
      </c>
      <c r="D4982" s="88" t="s">
        <v>3301</v>
      </c>
      <c r="E4982" s="88" t="s">
        <v>61</v>
      </c>
      <c r="F4982" s="88">
        <v>0</v>
      </c>
      <c r="G4982" s="78">
        <f>MAX(H4982,I4982,J4982)</f>
        <v>0</v>
      </c>
      <c r="H4982" s="88"/>
      <c r="I4982" s="88"/>
      <c r="J4982" s="78">
        <f>MAX(K4982:Q4982)</f>
        <v>0</v>
      </c>
      <c r="K4982" s="88"/>
      <c r="L4982" s="88"/>
      <c r="M4982" s="88"/>
      <c r="N4982" s="88"/>
      <c r="O4982" s="88"/>
      <c r="P4982" s="88"/>
      <c r="Q4982" s="88"/>
      <c r="R4982" s="78">
        <f>MAX(S4982:W4982)</f>
        <v>1</v>
      </c>
      <c r="S4982" s="88"/>
      <c r="T4982" s="88"/>
      <c r="U4982" s="88">
        <v>1</v>
      </c>
      <c r="V4982" s="88"/>
      <c r="W4982" s="88"/>
    </row>
    <row r="4983" spans="2:23" s="0" customFormat="0" ht="15">
      <c r="B4983" s="87" t="s">
        <v>1</v>
      </c>
      <c r="C4983" s="88" t="s">
        <v>5259</v>
      </c>
      <c r="D4983" s="88" t="s">
        <v>3272</v>
      </c>
      <c r="E4983" s="88" t="s">
        <v>61</v>
      </c>
      <c r="F4983" s="88">
        <v>0</v>
      </c>
      <c r="G4983" s="78">
        <f>MAX(H4983,I4983,J4983)</f>
        <v>0</v>
      </c>
      <c r="H4983" s="88"/>
      <c r="I4983" s="88"/>
      <c r="J4983" s="78">
        <f>MAX(K4983:Q4983)</f>
        <v>0</v>
      </c>
      <c r="K4983" s="88"/>
      <c r="L4983" s="88"/>
      <c r="M4983" s="88"/>
      <c r="N4983" s="88"/>
      <c r="O4983" s="88"/>
      <c r="P4983" s="88"/>
      <c r="Q4983" s="88"/>
      <c r="R4983" s="78">
        <f>MAX(S4983:W4983)</f>
        <v>1</v>
      </c>
      <c r="S4983" s="88"/>
      <c r="T4983" s="88"/>
      <c r="U4983" s="88"/>
      <c r="V4983" s="88">
        <v>1</v>
      </c>
      <c r="W4983" s="88"/>
    </row>
    <row r="4984" spans="2:23" s="0" customFormat="0" ht="15">
      <c r="B4984" s="87" t="s">
        <v>1</v>
      </c>
      <c r="C4984" s="88" t="s">
        <v>5259</v>
      </c>
      <c r="D4984" s="88">
        <v>19969512</v>
      </c>
      <c r="E4984" s="88" t="s">
        <v>61</v>
      </c>
      <c r="F4984" s="88">
        <v>0</v>
      </c>
      <c r="G4984" s="78">
        <f>MAX(H4984,I4984,J4984)</f>
        <v>1</v>
      </c>
      <c r="H4984" s="88"/>
      <c r="I4984" s="88"/>
      <c r="J4984" s="78">
        <f>MAX(K4984:Q4984)</f>
        <v>1</v>
      </c>
      <c r="K4984" s="88">
        <v>1</v>
      </c>
      <c r="L4984" s="88"/>
      <c r="M4984" s="88"/>
      <c r="N4984" s="88"/>
      <c r="O4984" s="88"/>
      <c r="P4984" s="88"/>
      <c r="Q4984" s="88"/>
      <c r="R4984" s="78">
        <f>MAX(S4984:W4984)</f>
        <v>0</v>
      </c>
      <c r="S4984" s="88"/>
      <c r="T4984" s="88"/>
      <c r="U4984" s="88"/>
      <c r="V4984" s="88"/>
      <c r="W4984" s="88"/>
    </row>
    <row r="4985" spans="2:23" s="0" customFormat="0" ht="15">
      <c r="B4985" s="87" t="s">
        <v>1</v>
      </c>
      <c r="C4985" s="88" t="s">
        <v>5259</v>
      </c>
      <c r="D4985" s="88">
        <v>22463789</v>
      </c>
      <c r="E4985" s="88" t="s">
        <v>61</v>
      </c>
      <c r="F4985" s="88">
        <v>0</v>
      </c>
      <c r="G4985" s="78">
        <f>MAX(H4985,I4985,J4985)</f>
        <v>1</v>
      </c>
      <c r="H4985" s="88"/>
      <c r="I4985" s="88"/>
      <c r="J4985" s="78">
        <f>MAX(K4985:Q4985)</f>
        <v>1</v>
      </c>
      <c r="K4985" s="88">
        <v>1</v>
      </c>
      <c r="L4985" s="88"/>
      <c r="M4985" s="88"/>
      <c r="N4985" s="88"/>
      <c r="O4985" s="88"/>
      <c r="P4985" s="88"/>
      <c r="Q4985" s="88"/>
      <c r="R4985" s="78">
        <f>MAX(S4985:W4985)</f>
        <v>0</v>
      </c>
      <c r="S4985" s="88"/>
      <c r="T4985" s="88"/>
      <c r="U4985" s="88"/>
      <c r="V4985" s="88"/>
      <c r="W4985" s="88"/>
    </row>
    <row r="4986" spans="2:23" s="0" customFormat="0" ht="15">
      <c r="B4986" s="87" t="s">
        <v>1</v>
      </c>
      <c r="C4986" s="88" t="s">
        <v>5259</v>
      </c>
      <c r="D4986" s="88">
        <v>2644548</v>
      </c>
      <c r="E4986" s="88" t="s">
        <v>61</v>
      </c>
      <c r="F4986" s="88">
        <v>0</v>
      </c>
      <c r="G4986" s="78">
        <f>MAX(H4986,I4986,J4986)</f>
        <v>0</v>
      </c>
      <c r="H4986" s="88"/>
      <c r="I4986" s="88"/>
      <c r="J4986" s="78">
        <f>MAX(K4986:Q4986)</f>
        <v>0</v>
      </c>
      <c r="K4986" s="88"/>
      <c r="L4986" s="88"/>
      <c r="M4986" s="88"/>
      <c r="N4986" s="88"/>
      <c r="O4986" s="88"/>
      <c r="P4986" s="88"/>
      <c r="Q4986" s="88"/>
      <c r="R4986" s="78">
        <f>MAX(S4986:W4986)</f>
        <v>1</v>
      </c>
      <c r="S4986" s="88"/>
      <c r="T4986" s="88"/>
      <c r="U4986" s="88">
        <v>1</v>
      </c>
      <c r="V4986" s="88"/>
      <c r="W4986" s="88"/>
    </row>
    <row r="4987" spans="2:23" s="0" customFormat="0" ht="15">
      <c r="B4987" s="87" t="s">
        <v>1</v>
      </c>
      <c r="C4987" s="88" t="s">
        <v>5259</v>
      </c>
      <c r="D4987" s="88">
        <v>19664799</v>
      </c>
      <c r="E4987" s="88" t="s">
        <v>61</v>
      </c>
      <c r="F4987" s="88">
        <v>0</v>
      </c>
      <c r="G4987" s="78">
        <f>MAX(H4987,I4987,J4987)</f>
        <v>1</v>
      </c>
      <c r="H4987" s="88"/>
      <c r="I4987" s="88"/>
      <c r="J4987" s="78">
        <f>MAX(K4987:Q4987)</f>
        <v>1</v>
      </c>
      <c r="K4987" s="88">
        <v>1</v>
      </c>
      <c r="L4987" s="88"/>
      <c r="M4987" s="88"/>
      <c r="N4987" s="88"/>
      <c r="O4987" s="88"/>
      <c r="P4987" s="88"/>
      <c r="Q4987" s="88"/>
      <c r="R4987" s="78">
        <f>MAX(S4987:W4987)</f>
        <v>0</v>
      </c>
      <c r="S4987" s="88"/>
      <c r="T4987" s="88"/>
      <c r="U4987" s="88"/>
      <c r="V4987" s="88"/>
      <c r="W4987" s="88"/>
    </row>
    <row r="4988" spans="2:23" s="0" customFormat="0" ht="15">
      <c r="B4988" s="87" t="s">
        <v>1</v>
      </c>
      <c r="C4988" s="88" t="s">
        <v>5259</v>
      </c>
      <c r="D4988" s="88" t="s">
        <v>4915</v>
      </c>
      <c r="E4988" s="88" t="s">
        <v>61</v>
      </c>
      <c r="F4988" s="88">
        <v>0</v>
      </c>
      <c r="G4988" s="78">
        <f>MAX(H4988,I4988,J4988)</f>
        <v>0</v>
      </c>
      <c r="H4988" s="88"/>
      <c r="I4988" s="88"/>
      <c r="J4988" s="78">
        <f>MAX(K4988:Q4988)</f>
        <v>0</v>
      </c>
      <c r="K4988" s="88"/>
      <c r="L4988" s="88"/>
      <c r="M4988" s="88"/>
      <c r="N4988" s="88"/>
      <c r="O4988" s="88"/>
      <c r="P4988" s="88"/>
      <c r="Q4988" s="88"/>
      <c r="R4988" s="78">
        <f>MAX(S4988:W4988)</f>
        <v>1</v>
      </c>
      <c r="S4988" s="88"/>
      <c r="T4988" s="88"/>
      <c r="U4988" s="88">
        <v>1</v>
      </c>
      <c r="V4988" s="88"/>
      <c r="W4988" s="88"/>
    </row>
    <row r="4989" spans="2:23" s="0" customFormat="0" ht="15">
      <c r="B4989" s="87" t="s">
        <v>1</v>
      </c>
      <c r="C4989" s="88" t="s">
        <v>5259</v>
      </c>
      <c r="D4989" s="88" t="s">
        <v>5083</v>
      </c>
      <c r="E4989" s="88" t="s">
        <v>61</v>
      </c>
      <c r="F4989" s="88">
        <v>0</v>
      </c>
      <c r="G4989" s="78">
        <f>MAX(H4989,I4989,J4989)</f>
        <v>0</v>
      </c>
      <c r="H4989" s="88"/>
      <c r="I4989" s="88"/>
      <c r="J4989" s="78">
        <f>MAX(K4989:Q4989)</f>
        <v>0</v>
      </c>
      <c r="K4989" s="88"/>
      <c r="L4989" s="88"/>
      <c r="M4989" s="88"/>
      <c r="N4989" s="88"/>
      <c r="O4989" s="88"/>
      <c r="P4989" s="88"/>
      <c r="Q4989" s="88"/>
      <c r="R4989" s="78">
        <f>MAX(S4989:W4989)</f>
        <v>1</v>
      </c>
      <c r="S4989" s="88"/>
      <c r="T4989" s="88"/>
      <c r="U4989" s="88">
        <v>1</v>
      </c>
      <c r="V4989" s="88"/>
      <c r="W4989" s="88"/>
    </row>
    <row r="4990" spans="2:23" s="0" customFormat="0" ht="15">
      <c r="B4990" s="87" t="s">
        <v>1</v>
      </c>
      <c r="C4990" s="88" t="s">
        <v>5259</v>
      </c>
      <c r="D4990" s="88" t="s">
        <v>2061</v>
      </c>
      <c r="E4990" s="88" t="s">
        <v>61</v>
      </c>
      <c r="F4990" s="88">
        <v>0</v>
      </c>
      <c r="G4990" s="78">
        <f>MAX(H4990,I4990,J4990)</f>
        <v>1</v>
      </c>
      <c r="H4990" s="88"/>
      <c r="I4990" s="88"/>
      <c r="J4990" s="78">
        <f>MAX(K4990:Q4990)</f>
        <v>1</v>
      </c>
      <c r="K4990" s="88">
        <v>1</v>
      </c>
      <c r="L4990" s="88"/>
      <c r="M4990" s="88"/>
      <c r="N4990" s="88"/>
      <c r="O4990" s="88"/>
      <c r="P4990" s="88"/>
      <c r="Q4990" s="88"/>
      <c r="R4990" s="78">
        <f>MAX(S4990:W4990)</f>
        <v>0</v>
      </c>
      <c r="S4990" s="88"/>
      <c r="T4990" s="88"/>
      <c r="U4990" s="88"/>
      <c r="V4990" s="88"/>
      <c r="W4990" s="88"/>
    </row>
    <row r="4991" spans="2:23" s="0" customFormat="0" ht="15">
      <c r="B4991" s="87" t="s">
        <v>1</v>
      </c>
      <c r="C4991" s="88" t="s">
        <v>5259</v>
      </c>
      <c r="D4991" s="88" t="s">
        <v>5085</v>
      </c>
      <c r="E4991" s="88" t="s">
        <v>61</v>
      </c>
      <c r="F4991" s="88">
        <v>0</v>
      </c>
      <c r="G4991" s="78">
        <f>MAX(H4991,I4991,J4991)</f>
        <v>0</v>
      </c>
      <c r="H4991" s="88"/>
      <c r="I4991" s="88"/>
      <c r="J4991" s="78">
        <f>MAX(K4991:Q4991)</f>
        <v>0</v>
      </c>
      <c r="K4991" s="88"/>
      <c r="L4991" s="88"/>
      <c r="M4991" s="88"/>
      <c r="N4991" s="88"/>
      <c r="O4991" s="88"/>
      <c r="P4991" s="88"/>
      <c r="Q4991" s="88"/>
      <c r="R4991" s="78">
        <f>MAX(S4991:W4991)</f>
        <v>1</v>
      </c>
      <c r="S4991" s="88"/>
      <c r="T4991" s="88"/>
      <c r="U4991" s="88">
        <v>1</v>
      </c>
      <c r="V4991" s="88"/>
      <c r="W4991" s="88"/>
    </row>
    <row r="4992" spans="2:23" s="0" customFormat="0" ht="15">
      <c r="B4992" s="87" t="s">
        <v>1</v>
      </c>
      <c r="C4992" s="88" t="s">
        <v>5259</v>
      </c>
      <c r="D4992" s="88">
        <v>22410558</v>
      </c>
      <c r="E4992" s="88" t="s">
        <v>61</v>
      </c>
      <c r="F4992" s="88">
        <v>0</v>
      </c>
      <c r="G4992" s="78">
        <f>MAX(H4992,I4992,J4992)</f>
        <v>1</v>
      </c>
      <c r="H4992" s="88"/>
      <c r="I4992" s="88"/>
      <c r="J4992" s="78">
        <f>MAX(K4992:Q4992)</f>
        <v>1</v>
      </c>
      <c r="K4992" s="88">
        <v>1</v>
      </c>
      <c r="L4992" s="88"/>
      <c r="M4992" s="88"/>
      <c r="N4992" s="88"/>
      <c r="O4992" s="88"/>
      <c r="P4992" s="88"/>
      <c r="Q4992" s="88"/>
      <c r="R4992" s="78">
        <f>MAX(S4992:W4992)</f>
        <v>0</v>
      </c>
      <c r="S4992" s="88"/>
      <c r="T4992" s="88"/>
      <c r="U4992" s="88"/>
      <c r="V4992" s="88"/>
      <c r="W4992" s="88"/>
    </row>
    <row r="4993" spans="2:23" s="0" customFormat="0" ht="15">
      <c r="B4993" s="87" t="s">
        <v>1</v>
      </c>
      <c r="C4993" s="88" t="s">
        <v>5259</v>
      </c>
      <c r="D4993" s="88">
        <v>12633911</v>
      </c>
      <c r="E4993" s="88" t="s">
        <v>61</v>
      </c>
      <c r="F4993" s="88">
        <v>0</v>
      </c>
      <c r="G4993" s="78">
        <f>MAX(H4993,I4993,J4993)</f>
        <v>1</v>
      </c>
      <c r="H4993" s="88"/>
      <c r="I4993" s="88"/>
      <c r="J4993" s="78">
        <f>MAX(K4993:Q4993)</f>
        <v>1</v>
      </c>
      <c r="K4993" s="88">
        <v>1</v>
      </c>
      <c r="L4993" s="88"/>
      <c r="M4993" s="88"/>
      <c r="N4993" s="88"/>
      <c r="O4993" s="88"/>
      <c r="P4993" s="88"/>
      <c r="Q4993" s="88"/>
      <c r="R4993" s="78">
        <f>MAX(S4993:W4993)</f>
        <v>0</v>
      </c>
      <c r="S4993" s="88"/>
      <c r="T4993" s="88"/>
      <c r="U4993" s="88"/>
      <c r="V4993" s="88"/>
      <c r="W4993" s="88"/>
    </row>
    <row r="4994" spans="2:23" s="0" customFormat="0" ht="15">
      <c r="B4994" s="87" t="s">
        <v>1</v>
      </c>
      <c r="C4994" s="88" t="s">
        <v>5259</v>
      </c>
      <c r="D4994" s="88">
        <v>18152805</v>
      </c>
      <c r="E4994" s="88" t="s">
        <v>61</v>
      </c>
      <c r="F4994" s="88">
        <v>0</v>
      </c>
      <c r="G4994" s="78">
        <f>MAX(H4994,I4994,J4994)</f>
        <v>1</v>
      </c>
      <c r="H4994" s="88"/>
      <c r="I4994" s="88"/>
      <c r="J4994" s="78">
        <f>MAX(K4994:Q4994)</f>
        <v>1</v>
      </c>
      <c r="K4994" s="88">
        <v>1</v>
      </c>
      <c r="L4994" s="88"/>
      <c r="M4994" s="88"/>
      <c r="N4994" s="88"/>
      <c r="O4994" s="88"/>
      <c r="P4994" s="88"/>
      <c r="Q4994" s="88"/>
      <c r="R4994" s="78">
        <f>MAX(S4994:W4994)</f>
        <v>0</v>
      </c>
      <c r="S4994" s="88"/>
      <c r="T4994" s="88"/>
      <c r="U4994" s="88"/>
      <c r="V4994" s="88"/>
      <c r="W4994" s="88"/>
    </row>
    <row r="4995" spans="2:23" s="0" customFormat="0" ht="15">
      <c r="B4995" s="87" t="s">
        <v>1</v>
      </c>
      <c r="C4995" s="88" t="s">
        <v>5259</v>
      </c>
      <c r="D4995" s="88" t="s">
        <v>5087</v>
      </c>
      <c r="E4995" s="88" t="s">
        <v>61</v>
      </c>
      <c r="F4995" s="88">
        <v>0</v>
      </c>
      <c r="G4995" s="78">
        <f>MAX(H4995,I4995,J4995)</f>
        <v>0</v>
      </c>
      <c r="H4995" s="88"/>
      <c r="I4995" s="88"/>
      <c r="J4995" s="78">
        <f>MAX(K4995:Q4995)</f>
        <v>0</v>
      </c>
      <c r="K4995" s="88"/>
      <c r="L4995" s="88"/>
      <c r="M4995" s="88"/>
      <c r="N4995" s="88"/>
      <c r="O4995" s="88"/>
      <c r="P4995" s="88"/>
      <c r="Q4995" s="88"/>
      <c r="R4995" s="78">
        <f>MAX(S4995:W4995)</f>
        <v>1</v>
      </c>
      <c r="S4995" s="88"/>
      <c r="T4995" s="88"/>
      <c r="U4995" s="88">
        <v>1</v>
      </c>
      <c r="V4995" s="88"/>
      <c r="W4995" s="88"/>
    </row>
    <row r="4996" spans="2:23" s="0" customFormat="0" ht="15">
      <c r="B4996" s="87" t="s">
        <v>1</v>
      </c>
      <c r="C4996" s="88" t="s">
        <v>5259</v>
      </c>
      <c r="D4996" s="88">
        <v>23595946</v>
      </c>
      <c r="E4996" s="88" t="s">
        <v>61</v>
      </c>
      <c r="F4996" s="88">
        <v>0</v>
      </c>
      <c r="G4996" s="78">
        <f>MAX(H4996,I4996,J4996)</f>
        <v>1</v>
      </c>
      <c r="H4996" s="88"/>
      <c r="I4996" s="88"/>
      <c r="J4996" s="78">
        <f>MAX(K4996:Q4996)</f>
        <v>1</v>
      </c>
      <c r="K4996" s="88">
        <v>1</v>
      </c>
      <c r="L4996" s="88"/>
      <c r="M4996" s="88"/>
      <c r="N4996" s="88"/>
      <c r="O4996" s="88"/>
      <c r="P4996" s="88"/>
      <c r="Q4996" s="88"/>
      <c r="R4996" s="78">
        <f>MAX(S4996:W4996)</f>
        <v>0</v>
      </c>
      <c r="S4996" s="88"/>
      <c r="T4996" s="88"/>
      <c r="U4996" s="88"/>
      <c r="V4996" s="88"/>
      <c r="W4996" s="88"/>
    </row>
    <row r="4997" spans="2:23" s="0" customFormat="0" ht="15">
      <c r="B4997" s="87" t="s">
        <v>1</v>
      </c>
      <c r="C4997" s="88" t="s">
        <v>5259</v>
      </c>
      <c r="D4997" s="88">
        <v>18684448</v>
      </c>
      <c r="E4997" s="88" t="s">
        <v>61</v>
      </c>
      <c r="F4997" s="88">
        <v>0</v>
      </c>
      <c r="G4997" s="78">
        <f>MAX(H4997,I4997,J4997)</f>
        <v>1</v>
      </c>
      <c r="H4997" s="88"/>
      <c r="I4997" s="88"/>
      <c r="J4997" s="78">
        <f>MAX(K4997:Q4997)</f>
        <v>1</v>
      </c>
      <c r="K4997" s="88">
        <v>1</v>
      </c>
      <c r="L4997" s="88"/>
      <c r="M4997" s="88"/>
      <c r="N4997" s="88"/>
      <c r="O4997" s="88"/>
      <c r="P4997" s="88"/>
      <c r="Q4997" s="88"/>
      <c r="R4997" s="78">
        <f>MAX(S4997:W4997)</f>
        <v>0</v>
      </c>
      <c r="S4997" s="88"/>
      <c r="T4997" s="88"/>
      <c r="U4997" s="88"/>
      <c r="V4997" s="88"/>
      <c r="W4997" s="88"/>
    </row>
    <row r="4998" spans="2:23" s="0" customFormat="0" ht="15">
      <c r="B4998" s="87" t="s">
        <v>1</v>
      </c>
      <c r="C4998" s="88" t="s">
        <v>5259</v>
      </c>
      <c r="D4998" s="88">
        <v>21917532</v>
      </c>
      <c r="E4998" s="88" t="s">
        <v>61</v>
      </c>
      <c r="F4998" s="88">
        <v>0</v>
      </c>
      <c r="G4998" s="78">
        <f>MAX(H4998,I4998,J4998)</f>
        <v>1</v>
      </c>
      <c r="H4998" s="88"/>
      <c r="I4998" s="88"/>
      <c r="J4998" s="78">
        <f>MAX(K4998:Q4998)</f>
        <v>1</v>
      </c>
      <c r="K4998" s="88">
        <v>1</v>
      </c>
      <c r="L4998" s="88"/>
      <c r="M4998" s="88"/>
      <c r="N4998" s="88"/>
      <c r="O4998" s="88"/>
      <c r="P4998" s="88"/>
      <c r="Q4998" s="88"/>
      <c r="R4998" s="78">
        <f>MAX(S4998:W4998)</f>
        <v>0</v>
      </c>
      <c r="S4998" s="88"/>
      <c r="T4998" s="88"/>
      <c r="U4998" s="88"/>
      <c r="V4998" s="88"/>
      <c r="W4998" s="88"/>
    </row>
    <row r="4999" spans="2:23" s="0" customFormat="0" ht="15">
      <c r="B4999" s="87" t="s">
        <v>1</v>
      </c>
      <c r="C4999" s="88" t="s">
        <v>5259</v>
      </c>
      <c r="D4999" s="88" t="s">
        <v>2618</v>
      </c>
      <c r="E4999" s="88" t="s">
        <v>61</v>
      </c>
      <c r="F4999" s="88">
        <v>0</v>
      </c>
      <c r="G4999" s="78">
        <f>MAX(H4999,I4999,J4999)</f>
        <v>1</v>
      </c>
      <c r="H4999" s="88"/>
      <c r="I4999" s="88"/>
      <c r="J4999" s="78">
        <f>MAX(K4999:Q4999)</f>
        <v>1</v>
      </c>
      <c r="K4999" s="88">
        <v>1</v>
      </c>
      <c r="L4999" s="88"/>
      <c r="M4999" s="88"/>
      <c r="N4999" s="88"/>
      <c r="O4999" s="88"/>
      <c r="P4999" s="88"/>
      <c r="Q4999" s="88"/>
      <c r="R4999" s="78">
        <f>MAX(S4999:W4999)</f>
        <v>0</v>
      </c>
      <c r="S4999" s="88"/>
      <c r="T4999" s="88"/>
      <c r="U4999" s="88"/>
      <c r="V4999" s="88"/>
      <c r="W4999" s="88"/>
    </row>
    <row r="5000" spans="2:23" s="0" customFormat="0" ht="15">
      <c r="B5000" s="87" t="s">
        <v>1</v>
      </c>
      <c r="C5000" s="88" t="s">
        <v>5259</v>
      </c>
      <c r="D5000" s="88" t="s">
        <v>4838</v>
      </c>
      <c r="E5000" s="88" t="s">
        <v>61</v>
      </c>
      <c r="F5000" s="88">
        <v>0</v>
      </c>
      <c r="G5000" s="78">
        <f>MAX(H5000,I5000,J5000)</f>
        <v>0</v>
      </c>
      <c r="H5000" s="88"/>
      <c r="I5000" s="88"/>
      <c r="J5000" s="78">
        <f>MAX(K5000:Q5000)</f>
        <v>0</v>
      </c>
      <c r="K5000" s="88"/>
      <c r="L5000" s="88"/>
      <c r="M5000" s="88"/>
      <c r="N5000" s="88"/>
      <c r="O5000" s="88"/>
      <c r="P5000" s="88"/>
      <c r="Q5000" s="88"/>
      <c r="R5000" s="78">
        <f>MAX(S5000:W5000)</f>
        <v>1</v>
      </c>
      <c r="S5000" s="88"/>
      <c r="T5000" s="88"/>
      <c r="U5000" s="88">
        <v>1</v>
      </c>
      <c r="V5000" s="88"/>
      <c r="W5000" s="88"/>
    </row>
    <row r="5001" spans="2:23" s="0" customFormat="0" ht="15">
      <c r="B5001" s="87" t="s">
        <v>1</v>
      </c>
      <c r="C5001" s="88" t="s">
        <v>5259</v>
      </c>
      <c r="D5001" s="88">
        <v>22554459</v>
      </c>
      <c r="E5001" s="88" t="s">
        <v>61</v>
      </c>
      <c r="F5001" s="88">
        <v>0</v>
      </c>
      <c r="G5001" s="78">
        <f>MAX(H5001,I5001,J5001)</f>
        <v>0</v>
      </c>
      <c r="H5001" s="88"/>
      <c r="I5001" s="88"/>
      <c r="J5001" s="78">
        <f>MAX(K5001:Q5001)</f>
        <v>0</v>
      </c>
      <c r="K5001" s="88"/>
      <c r="L5001" s="88"/>
      <c r="M5001" s="88"/>
      <c r="N5001" s="88"/>
      <c r="O5001" s="88"/>
      <c r="P5001" s="88"/>
      <c r="Q5001" s="88"/>
      <c r="R5001" s="78">
        <f>MAX(S5001:W5001)</f>
        <v>1</v>
      </c>
      <c r="S5001" s="88"/>
      <c r="T5001" s="88"/>
      <c r="U5001" s="88">
        <v>1</v>
      </c>
      <c r="V5001" s="88"/>
      <c r="W5001" s="88"/>
    </row>
    <row r="5002" spans="2:23" s="0" customFormat="0" ht="15">
      <c r="B5002" s="87" t="s">
        <v>1</v>
      </c>
      <c r="C5002" s="88" t="s">
        <v>5259</v>
      </c>
      <c r="D5002" s="88" t="s">
        <v>2740</v>
      </c>
      <c r="E5002" s="88" t="s">
        <v>61</v>
      </c>
      <c r="F5002" s="88">
        <v>0</v>
      </c>
      <c r="G5002" s="78">
        <f>MAX(H5002,I5002,J5002)</f>
        <v>1</v>
      </c>
      <c r="H5002" s="88"/>
      <c r="I5002" s="88"/>
      <c r="J5002" s="78">
        <f>MAX(K5002:Q5002)</f>
        <v>1</v>
      </c>
      <c r="K5002" s="88">
        <v>1</v>
      </c>
      <c r="L5002" s="88"/>
      <c r="M5002" s="88"/>
      <c r="N5002" s="88"/>
      <c r="O5002" s="88"/>
      <c r="P5002" s="88"/>
      <c r="Q5002" s="88"/>
      <c r="R5002" s="78">
        <f>MAX(S5002:W5002)</f>
        <v>0</v>
      </c>
      <c r="S5002" s="88"/>
      <c r="T5002" s="88"/>
      <c r="U5002" s="88"/>
      <c r="V5002" s="88"/>
      <c r="W5002" s="88"/>
    </row>
    <row r="5003" spans="2:23" s="0" customFormat="0" ht="15">
      <c r="B5003" s="87" t="s">
        <v>1</v>
      </c>
      <c r="C5003" s="88" t="s">
        <v>5259</v>
      </c>
      <c r="D5003" s="88" t="s">
        <v>4656</v>
      </c>
      <c r="E5003" s="88" t="s">
        <v>61</v>
      </c>
      <c r="F5003" s="88">
        <v>0</v>
      </c>
      <c r="G5003" s="78">
        <f>MAX(H5003,I5003,J5003)</f>
        <v>0</v>
      </c>
      <c r="H5003" s="88"/>
      <c r="I5003" s="88"/>
      <c r="J5003" s="78">
        <f>MAX(K5003:Q5003)</f>
        <v>0</v>
      </c>
      <c r="K5003" s="88"/>
      <c r="L5003" s="88"/>
      <c r="M5003" s="88"/>
      <c r="N5003" s="88"/>
      <c r="O5003" s="88"/>
      <c r="P5003" s="88"/>
      <c r="Q5003" s="88"/>
      <c r="R5003" s="78">
        <f>MAX(S5003:W5003)</f>
        <v>1</v>
      </c>
      <c r="S5003" s="88"/>
      <c r="T5003" s="88"/>
      <c r="U5003" s="88">
        <v>1</v>
      </c>
      <c r="V5003" s="88"/>
      <c r="W5003" s="88"/>
    </row>
    <row r="5004" spans="2:23" s="0" customFormat="0" ht="15">
      <c r="B5004" s="87" t="s">
        <v>1</v>
      </c>
      <c r="C5004" s="88" t="s">
        <v>5259</v>
      </c>
      <c r="D5004" s="88" t="s">
        <v>5089</v>
      </c>
      <c r="E5004" s="88" t="s">
        <v>61</v>
      </c>
      <c r="F5004" s="88">
        <v>0</v>
      </c>
      <c r="G5004" s="78">
        <f>MAX(H5004,I5004,J5004)</f>
        <v>0</v>
      </c>
      <c r="H5004" s="88"/>
      <c r="I5004" s="88"/>
      <c r="J5004" s="78">
        <f>MAX(K5004:Q5004)</f>
        <v>0</v>
      </c>
      <c r="K5004" s="88"/>
      <c r="L5004" s="88"/>
      <c r="M5004" s="88"/>
      <c r="N5004" s="88"/>
      <c r="O5004" s="88"/>
      <c r="P5004" s="88"/>
      <c r="Q5004" s="88"/>
      <c r="R5004" s="78">
        <f>MAX(S5004:W5004)</f>
        <v>1</v>
      </c>
      <c r="S5004" s="88"/>
      <c r="T5004" s="88"/>
      <c r="U5004" s="88">
        <v>1</v>
      </c>
      <c r="V5004" s="88"/>
      <c r="W5004" s="88"/>
    </row>
    <row r="5005" spans="2:23" s="0" customFormat="0" ht="15">
      <c r="B5005" s="87" t="s">
        <v>1</v>
      </c>
      <c r="C5005" s="88" t="s">
        <v>5259</v>
      </c>
      <c r="D5005" s="88">
        <v>13551324</v>
      </c>
      <c r="E5005" s="88" t="s">
        <v>61</v>
      </c>
      <c r="F5005" s="88">
        <v>0</v>
      </c>
      <c r="G5005" s="78">
        <f>MAX(H5005,I5005,J5005)</f>
        <v>1</v>
      </c>
      <c r="H5005" s="88"/>
      <c r="I5005" s="88"/>
      <c r="J5005" s="78">
        <f>MAX(K5005:Q5005)</f>
        <v>1</v>
      </c>
      <c r="K5005" s="88">
        <v>1</v>
      </c>
      <c r="L5005" s="88"/>
      <c r="M5005" s="88"/>
      <c r="N5005" s="88"/>
      <c r="O5005" s="88"/>
      <c r="P5005" s="88"/>
      <c r="Q5005" s="88"/>
      <c r="R5005" s="78">
        <f>MAX(S5005:W5005)</f>
        <v>0</v>
      </c>
      <c r="S5005" s="88"/>
      <c r="T5005" s="88"/>
      <c r="U5005" s="88"/>
      <c r="V5005" s="88"/>
      <c r="W5005" s="88"/>
    </row>
    <row r="5006" spans="2:23" s="0" customFormat="0" ht="15">
      <c r="B5006" s="87" t="s">
        <v>1</v>
      </c>
      <c r="C5006" s="88" t="s">
        <v>5259</v>
      </c>
      <c r="D5006" s="88">
        <v>11082668</v>
      </c>
      <c r="E5006" s="88" t="s">
        <v>61</v>
      </c>
      <c r="F5006" s="88">
        <v>0</v>
      </c>
      <c r="G5006" s="78">
        <f>MAX(H5006,I5006,J5006)</f>
        <v>1</v>
      </c>
      <c r="H5006" s="88"/>
      <c r="I5006" s="88"/>
      <c r="J5006" s="78">
        <f>MAX(K5006:Q5006)</f>
        <v>1</v>
      </c>
      <c r="K5006" s="88">
        <v>1</v>
      </c>
      <c r="L5006" s="88"/>
      <c r="M5006" s="88"/>
      <c r="N5006" s="88"/>
      <c r="O5006" s="88"/>
      <c r="P5006" s="88"/>
      <c r="Q5006" s="88"/>
      <c r="R5006" s="78">
        <f>MAX(S5006:W5006)</f>
        <v>0</v>
      </c>
      <c r="S5006" s="88"/>
      <c r="T5006" s="88"/>
      <c r="U5006" s="88"/>
      <c r="V5006" s="88"/>
      <c r="W5006" s="88"/>
    </row>
    <row r="5007" spans="2:23" s="0" customFormat="0" ht="15">
      <c r="B5007" s="87" t="s">
        <v>1</v>
      </c>
      <c r="C5007" s="88" t="s">
        <v>5259</v>
      </c>
      <c r="D5007" s="88" t="s">
        <v>3195</v>
      </c>
      <c r="E5007" s="88" t="s">
        <v>61</v>
      </c>
      <c r="F5007" s="88">
        <v>0</v>
      </c>
      <c r="G5007" s="78">
        <f>MAX(H5007,I5007,J5007)</f>
        <v>0</v>
      </c>
      <c r="H5007" s="88"/>
      <c r="I5007" s="88"/>
      <c r="J5007" s="78">
        <f>MAX(K5007:Q5007)</f>
        <v>0</v>
      </c>
      <c r="K5007" s="88"/>
      <c r="L5007" s="88"/>
      <c r="M5007" s="88"/>
      <c r="N5007" s="88"/>
      <c r="O5007" s="88"/>
      <c r="P5007" s="88"/>
      <c r="Q5007" s="88"/>
      <c r="R5007" s="78">
        <f>MAX(S5007:W5007)</f>
        <v>1</v>
      </c>
      <c r="S5007" s="88"/>
      <c r="T5007" s="88"/>
      <c r="U5007" s="88"/>
      <c r="V5007" s="88">
        <v>1</v>
      </c>
      <c r="W5007" s="88"/>
    </row>
    <row r="5008" spans="2:23" s="0" customFormat="0" ht="15">
      <c r="B5008" s="87" t="s">
        <v>1</v>
      </c>
      <c r="C5008" s="88" t="s">
        <v>5259</v>
      </c>
      <c r="D5008" s="88">
        <v>476261</v>
      </c>
      <c r="E5008" s="88" t="s">
        <v>61</v>
      </c>
      <c r="F5008" s="88">
        <v>0</v>
      </c>
      <c r="G5008" s="78">
        <f>MAX(H5008,I5008,J5008)</f>
        <v>1</v>
      </c>
      <c r="H5008" s="88"/>
      <c r="I5008" s="88"/>
      <c r="J5008" s="78">
        <f>MAX(K5008:Q5008)</f>
        <v>1</v>
      </c>
      <c r="K5008" s="88">
        <v>1</v>
      </c>
      <c r="L5008" s="88"/>
      <c r="M5008" s="88"/>
      <c r="N5008" s="88"/>
      <c r="O5008" s="88"/>
      <c r="P5008" s="88"/>
      <c r="Q5008" s="88"/>
      <c r="R5008" s="78">
        <f>MAX(S5008:W5008)</f>
        <v>0</v>
      </c>
      <c r="S5008" s="88"/>
      <c r="T5008" s="88"/>
      <c r="U5008" s="88"/>
      <c r="V5008" s="88"/>
      <c r="W5008" s="88"/>
    </row>
    <row r="5009" spans="2:23" s="0" customFormat="0" ht="15">
      <c r="B5009" s="87" t="s">
        <v>1</v>
      </c>
      <c r="C5009" s="88" t="s">
        <v>5259</v>
      </c>
      <c r="D5009" s="88">
        <v>15018891</v>
      </c>
      <c r="E5009" s="88" t="s">
        <v>61</v>
      </c>
      <c r="F5009" s="88">
        <v>0</v>
      </c>
      <c r="G5009" s="78">
        <f>MAX(H5009,I5009,J5009)</f>
        <v>1</v>
      </c>
      <c r="H5009" s="88"/>
      <c r="I5009" s="88"/>
      <c r="J5009" s="78">
        <f>MAX(K5009:Q5009)</f>
        <v>1</v>
      </c>
      <c r="K5009" s="88">
        <v>1</v>
      </c>
      <c r="L5009" s="88"/>
      <c r="M5009" s="88"/>
      <c r="N5009" s="88"/>
      <c r="O5009" s="88"/>
      <c r="P5009" s="88"/>
      <c r="Q5009" s="88"/>
      <c r="R5009" s="78">
        <f>MAX(S5009:W5009)</f>
        <v>0</v>
      </c>
      <c r="S5009" s="88"/>
      <c r="T5009" s="88"/>
      <c r="U5009" s="88"/>
      <c r="V5009" s="88"/>
      <c r="W5009" s="88"/>
    </row>
    <row r="5010" spans="2:23" s="0" customFormat="0" ht="15">
      <c r="B5010" s="87" t="s">
        <v>1</v>
      </c>
      <c r="C5010" s="88" t="s">
        <v>5259</v>
      </c>
      <c r="D5010" s="88">
        <v>19854529</v>
      </c>
      <c r="E5010" s="88" t="s">
        <v>61</v>
      </c>
      <c r="F5010" s="88">
        <v>0</v>
      </c>
      <c r="G5010" s="78">
        <f>MAX(H5010,I5010,J5010)</f>
        <v>1</v>
      </c>
      <c r="H5010" s="88"/>
      <c r="I5010" s="88"/>
      <c r="J5010" s="78">
        <f>MAX(K5010:Q5010)</f>
        <v>1</v>
      </c>
      <c r="K5010" s="88">
        <v>1</v>
      </c>
      <c r="L5010" s="88"/>
      <c r="M5010" s="88"/>
      <c r="N5010" s="88"/>
      <c r="O5010" s="88"/>
      <c r="P5010" s="88"/>
      <c r="Q5010" s="88"/>
      <c r="R5010" s="78">
        <f>MAX(S5010:W5010)</f>
        <v>0</v>
      </c>
      <c r="S5010" s="88"/>
      <c r="T5010" s="88"/>
      <c r="U5010" s="88"/>
      <c r="V5010" s="88"/>
      <c r="W5010" s="88"/>
    </row>
    <row r="5011" spans="2:23" s="0" customFormat="0" ht="15">
      <c r="B5011" s="87" t="s">
        <v>1</v>
      </c>
      <c r="C5011" s="88" t="s">
        <v>5259</v>
      </c>
      <c r="D5011" s="88">
        <v>13384013</v>
      </c>
      <c r="E5011" s="88" t="s">
        <v>61</v>
      </c>
      <c r="F5011" s="88">
        <v>0</v>
      </c>
      <c r="G5011" s="78">
        <f>MAX(H5011,I5011,J5011)</f>
        <v>1</v>
      </c>
      <c r="H5011" s="88"/>
      <c r="I5011" s="88"/>
      <c r="J5011" s="78">
        <f>MAX(K5011:Q5011)</f>
        <v>1</v>
      </c>
      <c r="K5011" s="88">
        <v>1</v>
      </c>
      <c r="L5011" s="88"/>
      <c r="M5011" s="88"/>
      <c r="N5011" s="88"/>
      <c r="O5011" s="88"/>
      <c r="P5011" s="88"/>
      <c r="Q5011" s="88"/>
      <c r="R5011" s="78">
        <f>MAX(S5011:W5011)</f>
        <v>0</v>
      </c>
      <c r="S5011" s="88"/>
      <c r="T5011" s="88"/>
      <c r="U5011" s="88"/>
      <c r="V5011" s="88"/>
      <c r="W5011" s="88"/>
    </row>
    <row r="5012" spans="2:23" s="0" customFormat="0" ht="15">
      <c r="B5012" s="87" t="s">
        <v>1</v>
      </c>
      <c r="C5012" s="88" t="s">
        <v>5259</v>
      </c>
      <c r="D5012" s="88">
        <v>19155670</v>
      </c>
      <c r="E5012" s="88" t="s">
        <v>61</v>
      </c>
      <c r="F5012" s="88">
        <v>0</v>
      </c>
      <c r="G5012" s="78">
        <f>MAX(H5012,I5012,J5012)</f>
        <v>1</v>
      </c>
      <c r="H5012" s="88"/>
      <c r="I5012" s="88"/>
      <c r="J5012" s="78">
        <f>MAX(K5012:Q5012)</f>
        <v>1</v>
      </c>
      <c r="K5012" s="88">
        <v>1</v>
      </c>
      <c r="L5012" s="88"/>
      <c r="M5012" s="88"/>
      <c r="N5012" s="88"/>
      <c r="O5012" s="88"/>
      <c r="P5012" s="88"/>
      <c r="Q5012" s="88"/>
      <c r="R5012" s="78">
        <f>MAX(S5012:W5012)</f>
        <v>0</v>
      </c>
      <c r="S5012" s="88"/>
      <c r="T5012" s="88"/>
      <c r="U5012" s="88"/>
      <c r="V5012" s="88"/>
      <c r="W5012" s="88"/>
    </row>
    <row r="5013" spans="2:23" s="0" customFormat="0" ht="15">
      <c r="B5013" s="87" t="s">
        <v>1</v>
      </c>
      <c r="C5013" s="88" t="s">
        <v>5259</v>
      </c>
      <c r="D5013" s="88" t="s">
        <v>3597</v>
      </c>
      <c r="E5013" s="88" t="s">
        <v>61</v>
      </c>
      <c r="F5013" s="88">
        <v>0</v>
      </c>
      <c r="G5013" s="78">
        <f>MAX(H5013,I5013,J5013)</f>
        <v>0</v>
      </c>
      <c r="H5013" s="88"/>
      <c r="I5013" s="88"/>
      <c r="J5013" s="78">
        <f>MAX(K5013:Q5013)</f>
        <v>0</v>
      </c>
      <c r="K5013" s="88"/>
      <c r="L5013" s="88"/>
      <c r="M5013" s="88"/>
      <c r="N5013" s="88"/>
      <c r="O5013" s="88"/>
      <c r="P5013" s="88"/>
      <c r="Q5013" s="88"/>
      <c r="R5013" s="78">
        <f>MAX(S5013:W5013)</f>
        <v>1</v>
      </c>
      <c r="S5013" s="88"/>
      <c r="T5013" s="88"/>
      <c r="U5013" s="88">
        <v>1</v>
      </c>
      <c r="V5013" s="88"/>
      <c r="W5013" s="88"/>
    </row>
    <row r="5014" spans="2:23" s="0" customFormat="0" ht="15">
      <c r="B5014" s="87" t="s">
        <v>1</v>
      </c>
      <c r="C5014" s="88" t="s">
        <v>5259</v>
      </c>
      <c r="D5014" s="88" t="s">
        <v>2746</v>
      </c>
      <c r="E5014" s="88" t="s">
        <v>61</v>
      </c>
      <c r="F5014" s="88">
        <v>0</v>
      </c>
      <c r="G5014" s="78">
        <f>MAX(H5014,I5014,J5014)</f>
        <v>1</v>
      </c>
      <c r="H5014" s="88"/>
      <c r="I5014" s="88"/>
      <c r="J5014" s="78">
        <f>MAX(K5014:Q5014)</f>
        <v>1</v>
      </c>
      <c r="K5014" s="88">
        <v>1</v>
      </c>
      <c r="L5014" s="88"/>
      <c r="M5014" s="88"/>
      <c r="N5014" s="88"/>
      <c r="O5014" s="88"/>
      <c r="P5014" s="88"/>
      <c r="Q5014" s="88"/>
      <c r="R5014" s="78">
        <f>MAX(S5014:W5014)</f>
        <v>0</v>
      </c>
      <c r="S5014" s="88"/>
      <c r="T5014" s="88"/>
      <c r="U5014" s="88"/>
      <c r="V5014" s="88"/>
      <c r="W5014" s="88"/>
    </row>
    <row r="5015" spans="2:23" s="0" customFormat="0" ht="15">
      <c r="B5015" s="87" t="s">
        <v>1</v>
      </c>
      <c r="C5015" s="88" t="s">
        <v>5259</v>
      </c>
      <c r="D5015" s="88">
        <v>8140507</v>
      </c>
      <c r="E5015" s="88" t="s">
        <v>61</v>
      </c>
      <c r="F5015" s="88">
        <v>0</v>
      </c>
      <c r="G5015" s="78">
        <f>MAX(H5015,I5015,J5015)</f>
        <v>1</v>
      </c>
      <c r="H5015" s="88"/>
      <c r="I5015" s="88"/>
      <c r="J5015" s="78">
        <f>MAX(K5015:Q5015)</f>
        <v>1</v>
      </c>
      <c r="K5015" s="88">
        <v>1</v>
      </c>
      <c r="L5015" s="88"/>
      <c r="M5015" s="88"/>
      <c r="N5015" s="88"/>
      <c r="O5015" s="88"/>
      <c r="P5015" s="88"/>
      <c r="Q5015" s="88"/>
      <c r="R5015" s="78">
        <f>MAX(S5015:W5015)</f>
        <v>0</v>
      </c>
      <c r="S5015" s="88"/>
      <c r="T5015" s="88"/>
      <c r="U5015" s="88"/>
      <c r="V5015" s="88"/>
      <c r="W5015" s="88"/>
    </row>
    <row r="5016" spans="2:23" s="0" customFormat="0" ht="15">
      <c r="B5016" s="87" t="s">
        <v>1</v>
      </c>
      <c r="C5016" s="88" t="s">
        <v>5259</v>
      </c>
      <c r="D5016" s="88" t="s">
        <v>4108</v>
      </c>
      <c r="E5016" s="88" t="s">
        <v>61</v>
      </c>
      <c r="F5016" s="88">
        <v>0</v>
      </c>
      <c r="G5016" s="78">
        <f>MAX(H5016,I5016,J5016)</f>
        <v>0</v>
      </c>
      <c r="H5016" s="88"/>
      <c r="I5016" s="88"/>
      <c r="J5016" s="78">
        <f>MAX(K5016:Q5016)</f>
        <v>0</v>
      </c>
      <c r="K5016" s="88"/>
      <c r="L5016" s="88"/>
      <c r="M5016" s="88"/>
      <c r="N5016" s="88"/>
      <c r="O5016" s="88"/>
      <c r="P5016" s="88"/>
      <c r="Q5016" s="88"/>
      <c r="R5016" s="78">
        <f>MAX(S5016:W5016)</f>
        <v>1</v>
      </c>
      <c r="S5016" s="88"/>
      <c r="T5016" s="88"/>
      <c r="U5016" s="88">
        <v>1</v>
      </c>
      <c r="V5016" s="88"/>
      <c r="W5016" s="88"/>
    </row>
    <row r="5017" spans="2:23" s="0" customFormat="0" ht="15">
      <c r="B5017" s="87" t="s">
        <v>1</v>
      </c>
      <c r="C5017" s="88" t="s">
        <v>5259</v>
      </c>
      <c r="D5017" s="88">
        <v>18037285</v>
      </c>
      <c r="E5017" s="88" t="s">
        <v>61</v>
      </c>
      <c r="F5017" s="88">
        <v>0</v>
      </c>
      <c r="G5017" s="78">
        <f>MAX(H5017,I5017,J5017)</f>
        <v>0</v>
      </c>
      <c r="H5017" s="88"/>
      <c r="I5017" s="88"/>
      <c r="J5017" s="78">
        <f>MAX(K5017:Q5017)</f>
        <v>0</v>
      </c>
      <c r="K5017" s="88"/>
      <c r="L5017" s="88"/>
      <c r="M5017" s="88"/>
      <c r="N5017" s="88"/>
      <c r="O5017" s="88"/>
      <c r="P5017" s="88"/>
      <c r="Q5017" s="88"/>
      <c r="R5017" s="78">
        <f>MAX(S5017:W5017)</f>
        <v>1</v>
      </c>
      <c r="S5017" s="88"/>
      <c r="T5017" s="88"/>
      <c r="U5017" s="88">
        <v>1</v>
      </c>
      <c r="V5017" s="88"/>
      <c r="W5017" s="88"/>
    </row>
    <row r="5018" spans="2:23" s="0" customFormat="0" ht="15">
      <c r="B5018" s="87" t="s">
        <v>1</v>
      </c>
      <c r="C5018" s="88" t="s">
        <v>5259</v>
      </c>
      <c r="D5018" s="88" t="s">
        <v>3514</v>
      </c>
      <c r="E5018" s="88" t="s">
        <v>61</v>
      </c>
      <c r="F5018" s="88">
        <v>0</v>
      </c>
      <c r="G5018" s="78">
        <f>MAX(H5018,I5018,J5018)</f>
        <v>0</v>
      </c>
      <c r="H5018" s="88"/>
      <c r="I5018" s="88"/>
      <c r="J5018" s="78">
        <f>MAX(K5018:Q5018)</f>
        <v>0</v>
      </c>
      <c r="K5018" s="88"/>
      <c r="L5018" s="88"/>
      <c r="M5018" s="88"/>
      <c r="N5018" s="88"/>
      <c r="O5018" s="88"/>
      <c r="P5018" s="88"/>
      <c r="Q5018" s="88"/>
      <c r="R5018" s="78">
        <f>MAX(S5018:W5018)</f>
        <v>1</v>
      </c>
      <c r="S5018" s="88"/>
      <c r="T5018" s="88"/>
      <c r="U5018" s="88">
        <v>1</v>
      </c>
      <c r="V5018" s="88"/>
      <c r="W5018" s="88"/>
    </row>
    <row r="5019" spans="2:23" s="0" customFormat="0" ht="15">
      <c r="B5019" s="87" t="s">
        <v>1</v>
      </c>
      <c r="C5019" s="88" t="s">
        <v>5259</v>
      </c>
      <c r="D5019" s="88" t="s">
        <v>5091</v>
      </c>
      <c r="E5019" s="88" t="s">
        <v>61</v>
      </c>
      <c r="F5019" s="88">
        <v>0</v>
      </c>
      <c r="G5019" s="78">
        <f>MAX(H5019,I5019,J5019)</f>
        <v>0</v>
      </c>
      <c r="H5019" s="88"/>
      <c r="I5019" s="88"/>
      <c r="J5019" s="78">
        <f>MAX(K5019:Q5019)</f>
        <v>0</v>
      </c>
      <c r="K5019" s="88"/>
      <c r="L5019" s="88"/>
      <c r="M5019" s="88"/>
      <c r="N5019" s="88"/>
      <c r="O5019" s="88"/>
      <c r="P5019" s="88"/>
      <c r="Q5019" s="88"/>
      <c r="R5019" s="78">
        <f>MAX(S5019:W5019)</f>
        <v>1</v>
      </c>
      <c r="S5019" s="88"/>
      <c r="T5019" s="88"/>
      <c r="U5019" s="88">
        <v>1</v>
      </c>
      <c r="V5019" s="88"/>
      <c r="W5019" s="88"/>
    </row>
    <row r="5020" spans="2:23" s="0" customFormat="0" ht="15">
      <c r="B5020" s="87" t="s">
        <v>1</v>
      </c>
      <c r="C5020" s="88" t="s">
        <v>5259</v>
      </c>
      <c r="D5020" s="88">
        <v>18550857</v>
      </c>
      <c r="E5020" s="88" t="s">
        <v>61</v>
      </c>
      <c r="F5020" s="88">
        <v>0</v>
      </c>
      <c r="G5020" s="78">
        <f>MAX(H5020,I5020,J5020)</f>
        <v>1</v>
      </c>
      <c r="H5020" s="88"/>
      <c r="I5020" s="88"/>
      <c r="J5020" s="78">
        <f>MAX(K5020:Q5020)</f>
        <v>1</v>
      </c>
      <c r="K5020" s="88">
        <v>1</v>
      </c>
      <c r="L5020" s="88"/>
      <c r="M5020" s="88"/>
      <c r="N5020" s="88"/>
      <c r="O5020" s="88"/>
      <c r="P5020" s="88"/>
      <c r="Q5020" s="88"/>
      <c r="R5020" s="78">
        <f>MAX(S5020:W5020)</f>
        <v>0</v>
      </c>
      <c r="S5020" s="88"/>
      <c r="T5020" s="88"/>
      <c r="U5020" s="88"/>
      <c r="V5020" s="88"/>
      <c r="W5020" s="88"/>
    </row>
    <row r="5021" spans="2:23" s="0" customFormat="0" ht="15">
      <c r="B5021" s="87" t="s">
        <v>1</v>
      </c>
      <c r="C5021" s="88" t="s">
        <v>5259</v>
      </c>
      <c r="D5021" s="88">
        <v>16192333</v>
      </c>
      <c r="E5021" s="88" t="s">
        <v>61</v>
      </c>
      <c r="F5021" s="88">
        <v>0</v>
      </c>
      <c r="G5021" s="78">
        <f>MAX(H5021,I5021,J5021)</f>
        <v>1</v>
      </c>
      <c r="H5021" s="88"/>
      <c r="I5021" s="88"/>
      <c r="J5021" s="78">
        <f>MAX(K5021:Q5021)</f>
        <v>1</v>
      </c>
      <c r="K5021" s="88">
        <v>1</v>
      </c>
      <c r="L5021" s="88"/>
      <c r="M5021" s="88"/>
      <c r="N5021" s="88"/>
      <c r="O5021" s="88"/>
      <c r="P5021" s="88"/>
      <c r="Q5021" s="88"/>
      <c r="R5021" s="78">
        <f>MAX(S5021:W5021)</f>
        <v>0</v>
      </c>
      <c r="S5021" s="88"/>
      <c r="T5021" s="88"/>
      <c r="U5021" s="88"/>
      <c r="V5021" s="88"/>
      <c r="W5021" s="88"/>
    </row>
    <row r="5022" spans="2:23" s="0" customFormat="0" ht="15">
      <c r="B5022" s="87" t="s">
        <v>1</v>
      </c>
      <c r="C5022" s="88" t="s">
        <v>5259</v>
      </c>
      <c r="D5022" s="88">
        <v>7065952</v>
      </c>
      <c r="E5022" s="88" t="s">
        <v>61</v>
      </c>
      <c r="F5022" s="88">
        <v>0</v>
      </c>
      <c r="G5022" s="78">
        <f>MAX(H5022,I5022,J5022)</f>
        <v>0</v>
      </c>
      <c r="H5022" s="88"/>
      <c r="I5022" s="88"/>
      <c r="J5022" s="78">
        <f>MAX(K5022:Q5022)</f>
        <v>0</v>
      </c>
      <c r="K5022" s="88"/>
      <c r="L5022" s="88"/>
      <c r="M5022" s="88"/>
      <c r="N5022" s="88"/>
      <c r="O5022" s="88"/>
      <c r="P5022" s="88"/>
      <c r="Q5022" s="88"/>
      <c r="R5022" s="78">
        <f>MAX(S5022:W5022)</f>
        <v>1</v>
      </c>
      <c r="S5022" s="88"/>
      <c r="T5022" s="88"/>
      <c r="U5022" s="88">
        <v>1</v>
      </c>
      <c r="V5022" s="88"/>
      <c r="W5022" s="88"/>
    </row>
    <row r="5023" spans="2:23" s="0" customFormat="0" ht="15">
      <c r="B5023" s="87" t="s">
        <v>1</v>
      </c>
      <c r="C5023" s="88" t="s">
        <v>5259</v>
      </c>
      <c r="D5023" s="88">
        <v>14591488</v>
      </c>
      <c r="E5023" s="88" t="s">
        <v>61</v>
      </c>
      <c r="F5023" s="88">
        <v>0</v>
      </c>
      <c r="G5023" s="78">
        <f>MAX(H5023,I5023,J5023)</f>
        <v>1</v>
      </c>
      <c r="H5023" s="88"/>
      <c r="I5023" s="88"/>
      <c r="J5023" s="78">
        <f>MAX(K5023:Q5023)</f>
        <v>1</v>
      </c>
      <c r="K5023" s="88">
        <v>1</v>
      </c>
      <c r="L5023" s="88"/>
      <c r="M5023" s="88"/>
      <c r="N5023" s="88"/>
      <c r="O5023" s="88"/>
      <c r="P5023" s="88"/>
      <c r="Q5023" s="88"/>
      <c r="R5023" s="78">
        <f>MAX(S5023:W5023)</f>
        <v>0</v>
      </c>
      <c r="S5023" s="88"/>
      <c r="T5023" s="88"/>
      <c r="U5023" s="88"/>
      <c r="V5023" s="88"/>
      <c r="W5023" s="88"/>
    </row>
    <row r="5024" spans="2:23" s="0" customFormat="0" ht="15">
      <c r="B5024" s="87" t="s">
        <v>1</v>
      </c>
      <c r="C5024" s="88" t="s">
        <v>5259</v>
      </c>
      <c r="D5024" s="88">
        <v>20691835</v>
      </c>
      <c r="E5024" s="88" t="s">
        <v>61</v>
      </c>
      <c r="F5024" s="88">
        <v>0</v>
      </c>
      <c r="G5024" s="78">
        <f>MAX(H5024,I5024,J5024)</f>
        <v>1</v>
      </c>
      <c r="H5024" s="88"/>
      <c r="I5024" s="88"/>
      <c r="J5024" s="78">
        <f>MAX(K5024:Q5024)</f>
        <v>1</v>
      </c>
      <c r="K5024" s="88">
        <v>1</v>
      </c>
      <c r="L5024" s="88"/>
      <c r="M5024" s="88"/>
      <c r="N5024" s="88"/>
      <c r="O5024" s="88"/>
      <c r="P5024" s="88"/>
      <c r="Q5024" s="88"/>
      <c r="R5024" s="78">
        <f>MAX(S5024:W5024)</f>
        <v>0</v>
      </c>
      <c r="S5024" s="88"/>
      <c r="T5024" s="88"/>
      <c r="U5024" s="88"/>
      <c r="V5024" s="88"/>
      <c r="W5024" s="88"/>
    </row>
    <row r="5025" spans="2:23" s="0" customFormat="0" ht="15">
      <c r="B5025" s="87" t="s">
        <v>1</v>
      </c>
      <c r="C5025" s="88" t="s">
        <v>5259</v>
      </c>
      <c r="D5025" s="88">
        <v>21811316</v>
      </c>
      <c r="E5025" s="88" t="s">
        <v>61</v>
      </c>
      <c r="F5025" s="88">
        <v>0</v>
      </c>
      <c r="G5025" s="78">
        <f>MAX(H5025,I5025,J5025)</f>
        <v>1</v>
      </c>
      <c r="H5025" s="88"/>
      <c r="I5025" s="88"/>
      <c r="J5025" s="78">
        <f>MAX(K5025:Q5025)</f>
        <v>1</v>
      </c>
      <c r="K5025" s="88">
        <v>1</v>
      </c>
      <c r="L5025" s="88"/>
      <c r="M5025" s="88"/>
      <c r="N5025" s="88"/>
      <c r="O5025" s="88"/>
      <c r="P5025" s="88"/>
      <c r="Q5025" s="88"/>
      <c r="R5025" s="78">
        <f>MAX(S5025:W5025)</f>
        <v>0</v>
      </c>
      <c r="S5025" s="88"/>
      <c r="T5025" s="88"/>
      <c r="U5025" s="88"/>
      <c r="V5025" s="88"/>
      <c r="W5025" s="88"/>
    </row>
    <row r="5026" spans="2:23" s="0" customFormat="0" ht="15">
      <c r="B5026" s="87" t="s">
        <v>1</v>
      </c>
      <c r="C5026" s="88" t="s">
        <v>5259</v>
      </c>
      <c r="D5026" s="88">
        <v>17267347</v>
      </c>
      <c r="E5026" s="88" t="s">
        <v>61</v>
      </c>
      <c r="F5026" s="88">
        <v>0</v>
      </c>
      <c r="G5026" s="78">
        <f>MAX(H5026,I5026,J5026)</f>
        <v>1</v>
      </c>
      <c r="H5026" s="88"/>
      <c r="I5026" s="88"/>
      <c r="J5026" s="78">
        <f>MAX(K5026:Q5026)</f>
        <v>1</v>
      </c>
      <c r="K5026" s="88">
        <v>1</v>
      </c>
      <c r="L5026" s="88"/>
      <c r="M5026" s="88"/>
      <c r="N5026" s="88"/>
      <c r="O5026" s="88"/>
      <c r="P5026" s="88"/>
      <c r="Q5026" s="88"/>
      <c r="R5026" s="78">
        <f>MAX(S5026:W5026)</f>
        <v>0</v>
      </c>
      <c r="S5026" s="88"/>
      <c r="T5026" s="88"/>
      <c r="U5026" s="88"/>
      <c r="V5026" s="88"/>
      <c r="W5026" s="88"/>
    </row>
    <row r="5027" spans="2:23" s="0" customFormat="0" ht="15">
      <c r="B5027" s="87" t="s">
        <v>1</v>
      </c>
      <c r="C5027" s="88" t="s">
        <v>5259</v>
      </c>
      <c r="D5027" s="88">
        <v>488603</v>
      </c>
      <c r="E5027" s="88" t="s">
        <v>61</v>
      </c>
      <c r="F5027" s="88">
        <v>0</v>
      </c>
      <c r="G5027" s="78">
        <f>MAX(H5027,I5027,J5027)</f>
        <v>1</v>
      </c>
      <c r="H5027" s="88"/>
      <c r="I5027" s="88"/>
      <c r="J5027" s="78">
        <f>MAX(K5027:Q5027)</f>
        <v>1</v>
      </c>
      <c r="K5027" s="88">
        <v>1</v>
      </c>
      <c r="L5027" s="88"/>
      <c r="M5027" s="88"/>
      <c r="N5027" s="88"/>
      <c r="O5027" s="88"/>
      <c r="P5027" s="88"/>
      <c r="Q5027" s="88"/>
      <c r="R5027" s="78">
        <f>MAX(S5027:W5027)</f>
        <v>0</v>
      </c>
      <c r="S5027" s="88"/>
      <c r="T5027" s="88"/>
      <c r="U5027" s="88"/>
      <c r="V5027" s="88"/>
      <c r="W5027" s="88"/>
    </row>
    <row r="5028" spans="2:23" s="0" customFormat="0" ht="15">
      <c r="B5028" s="87" t="s">
        <v>1</v>
      </c>
      <c r="C5028" s="88" t="s">
        <v>5259</v>
      </c>
      <c r="D5028" s="88">
        <v>17795766</v>
      </c>
      <c r="E5028" s="88" t="s">
        <v>61</v>
      </c>
      <c r="F5028" s="88">
        <v>0</v>
      </c>
      <c r="G5028" s="78">
        <f>MAX(H5028,I5028,J5028)</f>
        <v>1</v>
      </c>
      <c r="H5028" s="88"/>
      <c r="I5028" s="88"/>
      <c r="J5028" s="78">
        <f>MAX(K5028:Q5028)</f>
        <v>1</v>
      </c>
      <c r="K5028" s="88">
        <v>1</v>
      </c>
      <c r="L5028" s="88"/>
      <c r="M5028" s="88"/>
      <c r="N5028" s="88"/>
      <c r="O5028" s="88"/>
      <c r="P5028" s="88"/>
      <c r="Q5028" s="88"/>
      <c r="R5028" s="78">
        <f>MAX(S5028:W5028)</f>
        <v>0</v>
      </c>
      <c r="S5028" s="88"/>
      <c r="T5028" s="88"/>
      <c r="U5028" s="88"/>
      <c r="V5028" s="88"/>
      <c r="W5028" s="88"/>
    </row>
    <row r="5029" spans="2:23" s="0" customFormat="0" ht="15">
      <c r="B5029" s="87" t="s">
        <v>1</v>
      </c>
      <c r="C5029" s="88" t="s">
        <v>5259</v>
      </c>
      <c r="D5029" s="88">
        <v>6831738</v>
      </c>
      <c r="E5029" s="88" t="s">
        <v>61</v>
      </c>
      <c r="F5029" s="88">
        <v>0</v>
      </c>
      <c r="G5029" s="78">
        <f>MAX(H5029,I5029,J5029)</f>
        <v>1</v>
      </c>
      <c r="H5029" s="88"/>
      <c r="I5029" s="88"/>
      <c r="J5029" s="78">
        <f>MAX(K5029:Q5029)</f>
        <v>1</v>
      </c>
      <c r="K5029" s="88">
        <v>1</v>
      </c>
      <c r="L5029" s="88"/>
      <c r="M5029" s="88"/>
      <c r="N5029" s="88"/>
      <c r="O5029" s="88"/>
      <c r="P5029" s="88"/>
      <c r="Q5029" s="88"/>
      <c r="R5029" s="78">
        <f>MAX(S5029:W5029)</f>
        <v>0</v>
      </c>
      <c r="S5029" s="88"/>
      <c r="T5029" s="88"/>
      <c r="U5029" s="88"/>
      <c r="V5029" s="88"/>
      <c r="W5029" s="88"/>
    </row>
    <row r="5030" spans="2:23" s="0" customFormat="0" ht="15">
      <c r="B5030" s="87" t="s">
        <v>1</v>
      </c>
      <c r="C5030" s="88" t="s">
        <v>5259</v>
      </c>
      <c r="D5030" s="88" t="s">
        <v>1025</v>
      </c>
      <c r="E5030" s="88" t="s">
        <v>61</v>
      </c>
      <c r="F5030" s="88">
        <v>0</v>
      </c>
      <c r="G5030" s="78">
        <f>MAX(H5030,I5030,J5030)</f>
        <v>1</v>
      </c>
      <c r="H5030" s="88"/>
      <c r="I5030" s="88"/>
      <c r="J5030" s="78">
        <f>MAX(K5030:Q5030)</f>
        <v>1</v>
      </c>
      <c r="K5030" s="88">
        <v>1</v>
      </c>
      <c r="L5030" s="88"/>
      <c r="M5030" s="88"/>
      <c r="N5030" s="88"/>
      <c r="O5030" s="88"/>
      <c r="P5030" s="88"/>
      <c r="Q5030" s="88"/>
      <c r="R5030" s="78">
        <f>MAX(S5030:W5030)</f>
        <v>0</v>
      </c>
      <c r="S5030" s="88"/>
      <c r="T5030" s="88"/>
      <c r="U5030" s="88"/>
      <c r="V5030" s="88"/>
      <c r="W5030" s="88"/>
    </row>
    <row r="5031" spans="2:23" s="0" customFormat="0" ht="15">
      <c r="B5031" s="87" t="s">
        <v>1</v>
      </c>
      <c r="C5031" s="88" t="s">
        <v>5259</v>
      </c>
      <c r="D5031" s="88">
        <v>22246375</v>
      </c>
      <c r="E5031" s="88" t="s">
        <v>61</v>
      </c>
      <c r="F5031" s="88">
        <v>0</v>
      </c>
      <c r="G5031" s="78">
        <f>MAX(H5031,I5031,J5031)</f>
        <v>1</v>
      </c>
      <c r="H5031" s="88"/>
      <c r="I5031" s="88"/>
      <c r="J5031" s="78">
        <f>MAX(K5031:Q5031)</f>
        <v>1</v>
      </c>
      <c r="K5031" s="88"/>
      <c r="L5031" s="88">
        <v>1</v>
      </c>
      <c r="M5031" s="88"/>
      <c r="N5031" s="88"/>
      <c r="O5031" s="88"/>
      <c r="P5031" s="88"/>
      <c r="Q5031" s="88"/>
      <c r="R5031" s="78">
        <f>MAX(S5031:W5031)</f>
        <v>0</v>
      </c>
      <c r="S5031" s="88"/>
      <c r="T5031" s="88"/>
      <c r="U5031" s="88"/>
      <c r="V5031" s="88"/>
      <c r="W5031" s="88"/>
    </row>
    <row r="5032" spans="2:23" s="0" customFormat="0" ht="15">
      <c r="B5032" s="87" t="s">
        <v>1</v>
      </c>
      <c r="C5032" s="88" t="s">
        <v>5259</v>
      </c>
      <c r="D5032" s="88">
        <v>23207343</v>
      </c>
      <c r="E5032" s="88" t="s">
        <v>61</v>
      </c>
      <c r="F5032" s="88">
        <v>0</v>
      </c>
      <c r="G5032" s="78">
        <f>MAX(H5032,I5032,J5032)</f>
        <v>0</v>
      </c>
      <c r="H5032" s="88"/>
      <c r="I5032" s="88"/>
      <c r="J5032" s="78">
        <f>MAX(K5032:Q5032)</f>
        <v>0</v>
      </c>
      <c r="K5032" s="88"/>
      <c r="L5032" s="88"/>
      <c r="M5032" s="88"/>
      <c r="N5032" s="88"/>
      <c r="O5032" s="88"/>
      <c r="P5032" s="88"/>
      <c r="Q5032" s="88"/>
      <c r="R5032" s="78">
        <f>MAX(S5032:W5032)</f>
        <v>1</v>
      </c>
      <c r="S5032" s="88"/>
      <c r="T5032" s="88"/>
      <c r="U5032" s="88">
        <v>1</v>
      </c>
      <c r="V5032" s="88"/>
      <c r="W5032" s="88"/>
    </row>
    <row r="5033" spans="2:23" s="0" customFormat="0" ht="15">
      <c r="B5033" s="87" t="s">
        <v>1</v>
      </c>
      <c r="C5033" s="88" t="s">
        <v>5259</v>
      </c>
      <c r="D5033" s="88" t="s">
        <v>2159</v>
      </c>
      <c r="E5033" s="88" t="s">
        <v>61</v>
      </c>
      <c r="F5033" s="88">
        <v>0</v>
      </c>
      <c r="G5033" s="78">
        <f>MAX(H5033,I5033,J5033)</f>
        <v>1</v>
      </c>
      <c r="H5033" s="88"/>
      <c r="I5033" s="88"/>
      <c r="J5033" s="78">
        <f>MAX(K5033:Q5033)</f>
        <v>1</v>
      </c>
      <c r="K5033" s="88">
        <v>1</v>
      </c>
      <c r="L5033" s="88"/>
      <c r="M5033" s="88"/>
      <c r="N5033" s="88"/>
      <c r="O5033" s="88"/>
      <c r="P5033" s="88"/>
      <c r="Q5033" s="88"/>
      <c r="R5033" s="78">
        <f>MAX(S5033:W5033)</f>
        <v>0</v>
      </c>
      <c r="S5033" s="88"/>
      <c r="T5033" s="88"/>
      <c r="U5033" s="88"/>
      <c r="V5033" s="88"/>
      <c r="W5033" s="88"/>
    </row>
    <row r="5034" spans="2:23" s="0" customFormat="0" ht="15">
      <c r="B5034" s="87" t="s">
        <v>1</v>
      </c>
      <c r="C5034" s="88" t="s">
        <v>5259</v>
      </c>
      <c r="D5034" s="88">
        <v>17236825</v>
      </c>
      <c r="E5034" s="88" t="s">
        <v>61</v>
      </c>
      <c r="F5034" s="88">
        <v>0</v>
      </c>
      <c r="G5034" s="78">
        <f>MAX(H5034,I5034,J5034)</f>
        <v>1</v>
      </c>
      <c r="H5034" s="88"/>
      <c r="I5034" s="88"/>
      <c r="J5034" s="78">
        <f>MAX(K5034:Q5034)</f>
        <v>1</v>
      </c>
      <c r="K5034" s="88">
        <v>1</v>
      </c>
      <c r="L5034" s="88"/>
      <c r="M5034" s="88"/>
      <c r="N5034" s="88"/>
      <c r="O5034" s="88"/>
      <c r="P5034" s="88"/>
      <c r="Q5034" s="88"/>
      <c r="R5034" s="78">
        <f>MAX(S5034:W5034)</f>
        <v>0</v>
      </c>
      <c r="S5034" s="88"/>
      <c r="T5034" s="88"/>
      <c r="U5034" s="88"/>
      <c r="V5034" s="88"/>
      <c r="W5034" s="88"/>
    </row>
    <row r="5035" spans="2:23" s="0" customFormat="0" ht="15">
      <c r="B5035" s="87" t="s">
        <v>1</v>
      </c>
      <c r="C5035" s="88" t="s">
        <v>5259</v>
      </c>
      <c r="D5035" s="88" t="s">
        <v>2035</v>
      </c>
      <c r="E5035" s="88" t="s">
        <v>61</v>
      </c>
      <c r="F5035" s="88">
        <v>0</v>
      </c>
      <c r="G5035" s="78">
        <f>MAX(H5035,I5035,J5035)</f>
        <v>1</v>
      </c>
      <c r="H5035" s="88"/>
      <c r="I5035" s="88"/>
      <c r="J5035" s="78">
        <f>MAX(K5035:Q5035)</f>
        <v>1</v>
      </c>
      <c r="K5035" s="88">
        <v>1</v>
      </c>
      <c r="L5035" s="88"/>
      <c r="M5035" s="88"/>
      <c r="N5035" s="88"/>
      <c r="O5035" s="88"/>
      <c r="P5035" s="88"/>
      <c r="Q5035" s="88"/>
      <c r="R5035" s="78">
        <f>MAX(S5035:W5035)</f>
        <v>0</v>
      </c>
      <c r="S5035" s="88"/>
      <c r="T5035" s="88"/>
      <c r="U5035" s="88"/>
      <c r="V5035" s="88"/>
      <c r="W5035" s="88"/>
    </row>
    <row r="5036" spans="2:23" s="0" customFormat="0" ht="15">
      <c r="B5036" s="87" t="s">
        <v>1</v>
      </c>
      <c r="C5036" s="88" t="s">
        <v>5259</v>
      </c>
      <c r="D5036" s="88">
        <v>23207341</v>
      </c>
      <c r="E5036" s="88" t="s">
        <v>61</v>
      </c>
      <c r="F5036" s="88">
        <v>0</v>
      </c>
      <c r="G5036" s="78">
        <f>MAX(H5036,I5036,J5036)</f>
        <v>1</v>
      </c>
      <c r="H5036" s="88"/>
      <c r="I5036" s="88"/>
      <c r="J5036" s="78">
        <f>MAX(K5036:Q5036)</f>
        <v>1</v>
      </c>
      <c r="K5036" s="88">
        <v>1</v>
      </c>
      <c r="L5036" s="88"/>
      <c r="M5036" s="88"/>
      <c r="N5036" s="88"/>
      <c r="O5036" s="88"/>
      <c r="P5036" s="88"/>
      <c r="Q5036" s="88"/>
      <c r="R5036" s="78">
        <f>MAX(S5036:W5036)</f>
        <v>0</v>
      </c>
      <c r="S5036" s="88"/>
      <c r="T5036" s="88"/>
      <c r="U5036" s="88"/>
      <c r="V5036" s="88"/>
      <c r="W5036" s="88"/>
    </row>
    <row r="5037" spans="2:23" s="0" customFormat="0" ht="15">
      <c r="B5037" s="87" t="s">
        <v>1</v>
      </c>
      <c r="C5037" s="88" t="s">
        <v>5259</v>
      </c>
      <c r="D5037" s="88">
        <v>13340381</v>
      </c>
      <c r="E5037" s="88" t="s">
        <v>61</v>
      </c>
      <c r="F5037" s="88">
        <v>0</v>
      </c>
      <c r="G5037" s="78">
        <f>MAX(H5037,I5037,J5037)</f>
        <v>1</v>
      </c>
      <c r="H5037" s="88"/>
      <c r="I5037" s="88"/>
      <c r="J5037" s="78">
        <f>MAX(K5037:Q5037)</f>
        <v>1</v>
      </c>
      <c r="K5037" s="88">
        <v>1</v>
      </c>
      <c r="L5037" s="88"/>
      <c r="M5037" s="88"/>
      <c r="N5037" s="88"/>
      <c r="O5037" s="88"/>
      <c r="P5037" s="88"/>
      <c r="Q5037" s="88"/>
      <c r="R5037" s="78">
        <f>MAX(S5037:W5037)</f>
        <v>0</v>
      </c>
      <c r="S5037" s="88"/>
      <c r="T5037" s="88"/>
      <c r="U5037" s="88"/>
      <c r="V5037" s="88"/>
      <c r="W5037" s="88"/>
    </row>
    <row r="5038" spans="2:23" s="0" customFormat="0" ht="15">
      <c r="B5038" s="87" t="s">
        <v>1</v>
      </c>
      <c r="C5038" s="88" t="s">
        <v>5259</v>
      </c>
      <c r="D5038" s="88">
        <v>17634082</v>
      </c>
      <c r="E5038" s="88" t="s">
        <v>61</v>
      </c>
      <c r="F5038" s="88">
        <v>0</v>
      </c>
      <c r="G5038" s="78">
        <f>MAX(H5038,I5038,J5038)</f>
        <v>1</v>
      </c>
      <c r="H5038" s="88"/>
      <c r="I5038" s="88"/>
      <c r="J5038" s="78">
        <f>MAX(K5038:Q5038)</f>
        <v>1</v>
      </c>
      <c r="K5038" s="88">
        <v>1</v>
      </c>
      <c r="L5038" s="88"/>
      <c r="M5038" s="88"/>
      <c r="N5038" s="88"/>
      <c r="O5038" s="88"/>
      <c r="P5038" s="88"/>
      <c r="Q5038" s="88"/>
      <c r="R5038" s="78">
        <f>MAX(S5038:W5038)</f>
        <v>0</v>
      </c>
      <c r="S5038" s="88"/>
      <c r="T5038" s="88"/>
      <c r="U5038" s="88"/>
      <c r="V5038" s="88"/>
      <c r="W5038" s="88"/>
    </row>
    <row r="5039" spans="2:23" s="0" customFormat="0" ht="15">
      <c r="B5039" s="87" t="s">
        <v>1</v>
      </c>
      <c r="C5039" s="88" t="s">
        <v>5259</v>
      </c>
      <c r="D5039" s="88">
        <v>22963703</v>
      </c>
      <c r="E5039" s="88" t="s">
        <v>61</v>
      </c>
      <c r="F5039" s="88">
        <v>0</v>
      </c>
      <c r="G5039" s="78">
        <f>MAX(H5039,I5039,J5039)</f>
        <v>1</v>
      </c>
      <c r="H5039" s="88"/>
      <c r="I5039" s="88"/>
      <c r="J5039" s="78">
        <f>MAX(K5039:Q5039)</f>
        <v>1</v>
      </c>
      <c r="K5039" s="88">
        <v>1</v>
      </c>
      <c r="L5039" s="88"/>
      <c r="M5039" s="88"/>
      <c r="N5039" s="88"/>
      <c r="O5039" s="88"/>
      <c r="P5039" s="88"/>
      <c r="Q5039" s="88"/>
      <c r="R5039" s="78">
        <f>MAX(S5039:W5039)</f>
        <v>0</v>
      </c>
      <c r="S5039" s="88"/>
      <c r="T5039" s="88"/>
      <c r="U5039" s="88"/>
      <c r="V5039" s="88"/>
      <c r="W5039" s="88"/>
    </row>
    <row r="5040" spans="2:23" s="0" customFormat="0" ht="15">
      <c r="B5040" s="87" t="s">
        <v>1</v>
      </c>
      <c r="C5040" s="88" t="s">
        <v>5259</v>
      </c>
      <c r="D5040" s="88" t="s">
        <v>4240</v>
      </c>
      <c r="E5040" s="88" t="s">
        <v>61</v>
      </c>
      <c r="F5040" s="88">
        <v>0</v>
      </c>
      <c r="G5040" s="78">
        <f>MAX(H5040,I5040,J5040)</f>
        <v>0</v>
      </c>
      <c r="H5040" s="88"/>
      <c r="I5040" s="88"/>
      <c r="J5040" s="78">
        <f>MAX(K5040:Q5040)</f>
        <v>0</v>
      </c>
      <c r="K5040" s="88"/>
      <c r="L5040" s="88"/>
      <c r="M5040" s="88"/>
      <c r="N5040" s="88"/>
      <c r="O5040" s="88"/>
      <c r="P5040" s="88"/>
      <c r="Q5040" s="88"/>
      <c r="R5040" s="78">
        <f>MAX(S5040:W5040)</f>
        <v>1</v>
      </c>
      <c r="S5040" s="88"/>
      <c r="T5040" s="88"/>
      <c r="U5040" s="88">
        <v>1</v>
      </c>
      <c r="V5040" s="88"/>
      <c r="W5040" s="88"/>
    </row>
    <row r="5041" spans="2:23" s="0" customFormat="0" ht="15">
      <c r="B5041" s="87" t="s">
        <v>1</v>
      </c>
      <c r="C5041" s="88" t="s">
        <v>5259</v>
      </c>
      <c r="D5041" s="88">
        <v>22266463</v>
      </c>
      <c r="E5041" s="88" t="s">
        <v>61</v>
      </c>
      <c r="F5041" s="88">
        <v>0</v>
      </c>
      <c r="G5041" s="78">
        <f>MAX(H5041,I5041,J5041)</f>
        <v>1</v>
      </c>
      <c r="H5041" s="88"/>
      <c r="I5041" s="88"/>
      <c r="J5041" s="78">
        <f>MAX(K5041:Q5041)</f>
        <v>1</v>
      </c>
      <c r="K5041" s="88">
        <v>1</v>
      </c>
      <c r="L5041" s="88"/>
      <c r="M5041" s="88"/>
      <c r="N5041" s="88"/>
      <c r="O5041" s="88"/>
      <c r="P5041" s="88"/>
      <c r="Q5041" s="88"/>
      <c r="R5041" s="78">
        <f>MAX(S5041:W5041)</f>
        <v>0</v>
      </c>
      <c r="S5041" s="88"/>
      <c r="T5041" s="88"/>
      <c r="U5041" s="88"/>
      <c r="V5041" s="88"/>
      <c r="W5041" s="88"/>
    </row>
    <row r="5042" spans="2:23" s="0" customFormat="0" ht="15">
      <c r="B5042" s="87" t="s">
        <v>1</v>
      </c>
      <c r="C5042" s="88" t="s">
        <v>5259</v>
      </c>
      <c r="D5042" s="88" t="s">
        <v>5093</v>
      </c>
      <c r="E5042" s="88" t="s">
        <v>61</v>
      </c>
      <c r="F5042" s="88">
        <v>0</v>
      </c>
      <c r="G5042" s="78">
        <f>MAX(H5042,I5042,J5042)</f>
        <v>0</v>
      </c>
      <c r="H5042" s="88"/>
      <c r="I5042" s="88"/>
      <c r="J5042" s="78">
        <f>MAX(K5042:Q5042)</f>
        <v>0</v>
      </c>
      <c r="K5042" s="88"/>
      <c r="L5042" s="88"/>
      <c r="M5042" s="88"/>
      <c r="N5042" s="88"/>
      <c r="O5042" s="88"/>
      <c r="P5042" s="88"/>
      <c r="Q5042" s="88"/>
      <c r="R5042" s="78">
        <f>MAX(S5042:W5042)</f>
        <v>1</v>
      </c>
      <c r="S5042" s="88"/>
      <c r="T5042" s="88"/>
      <c r="U5042" s="88">
        <v>1</v>
      </c>
      <c r="V5042" s="88"/>
      <c r="W5042" s="88"/>
    </row>
    <row r="5043" spans="2:23" s="0" customFormat="0" ht="15">
      <c r="B5043" s="87" t="s">
        <v>1</v>
      </c>
      <c r="C5043" s="88" t="s">
        <v>5259</v>
      </c>
      <c r="D5043" s="88" t="s">
        <v>1996</v>
      </c>
      <c r="E5043" s="88" t="s">
        <v>61</v>
      </c>
      <c r="F5043" s="88">
        <v>0</v>
      </c>
      <c r="G5043" s="78">
        <f>MAX(H5043,I5043,J5043)</f>
        <v>1</v>
      </c>
      <c r="H5043" s="88"/>
      <c r="I5043" s="88"/>
      <c r="J5043" s="78">
        <f>MAX(K5043:Q5043)</f>
        <v>1</v>
      </c>
      <c r="K5043" s="88">
        <v>1</v>
      </c>
      <c r="L5043" s="88"/>
      <c r="M5043" s="88"/>
      <c r="N5043" s="88"/>
      <c r="O5043" s="88"/>
      <c r="P5043" s="88"/>
      <c r="Q5043" s="88"/>
      <c r="R5043" s="78">
        <f>MAX(S5043:W5043)</f>
        <v>0</v>
      </c>
      <c r="S5043" s="88"/>
      <c r="T5043" s="88"/>
      <c r="U5043" s="88"/>
      <c r="V5043" s="88"/>
      <c r="W5043" s="88"/>
    </row>
    <row r="5044" spans="2:23" s="0" customFormat="0" ht="15">
      <c r="B5044" s="87" t="s">
        <v>1</v>
      </c>
      <c r="C5044" s="88" t="s">
        <v>5259</v>
      </c>
      <c r="D5044" s="88">
        <v>22259428</v>
      </c>
      <c r="E5044" s="88" t="s">
        <v>61</v>
      </c>
      <c r="F5044" s="88">
        <v>0</v>
      </c>
      <c r="G5044" s="78">
        <f>MAX(H5044,I5044,J5044)</f>
        <v>1</v>
      </c>
      <c r="H5044" s="88"/>
      <c r="I5044" s="88"/>
      <c r="J5044" s="78">
        <f>MAX(K5044:Q5044)</f>
        <v>1</v>
      </c>
      <c r="K5044" s="88">
        <v>1</v>
      </c>
      <c r="L5044" s="88"/>
      <c r="M5044" s="88"/>
      <c r="N5044" s="88"/>
      <c r="O5044" s="88"/>
      <c r="P5044" s="88"/>
      <c r="Q5044" s="88"/>
      <c r="R5044" s="78">
        <f>MAX(S5044:W5044)</f>
        <v>0</v>
      </c>
      <c r="S5044" s="88"/>
      <c r="T5044" s="88"/>
      <c r="U5044" s="88"/>
      <c r="V5044" s="88"/>
      <c r="W5044" s="88"/>
    </row>
    <row r="5045" spans="2:23" s="0" customFormat="0" ht="15">
      <c r="B5045" s="87" t="s">
        <v>1</v>
      </c>
      <c r="C5045" s="88" t="s">
        <v>5259</v>
      </c>
      <c r="D5045" s="88">
        <v>6292911</v>
      </c>
      <c r="E5045" s="88" t="s">
        <v>61</v>
      </c>
      <c r="F5045" s="88">
        <v>0</v>
      </c>
      <c r="G5045" s="78">
        <f>MAX(H5045,I5045,J5045)</f>
        <v>1</v>
      </c>
      <c r="H5045" s="88"/>
      <c r="I5045" s="88"/>
      <c r="J5045" s="78">
        <f>MAX(K5045:Q5045)</f>
        <v>1</v>
      </c>
      <c r="K5045" s="88">
        <v>1</v>
      </c>
      <c r="L5045" s="88"/>
      <c r="M5045" s="88"/>
      <c r="N5045" s="88"/>
      <c r="O5045" s="88"/>
      <c r="P5045" s="88"/>
      <c r="Q5045" s="88"/>
      <c r="R5045" s="78">
        <f>MAX(S5045:W5045)</f>
        <v>0</v>
      </c>
      <c r="S5045" s="88"/>
      <c r="T5045" s="88"/>
      <c r="U5045" s="88"/>
      <c r="V5045" s="88"/>
      <c r="W5045" s="88"/>
    </row>
    <row r="5046" spans="2:23" s="0" customFormat="0" ht="15">
      <c r="B5046" s="87" t="s">
        <v>1</v>
      </c>
      <c r="C5046" s="88" t="s">
        <v>5259</v>
      </c>
      <c r="D5046" s="88">
        <v>21127133</v>
      </c>
      <c r="E5046" s="88" t="s">
        <v>61</v>
      </c>
      <c r="F5046" s="88">
        <v>0</v>
      </c>
      <c r="G5046" s="78">
        <f>MAX(H5046,I5046,J5046)</f>
        <v>1</v>
      </c>
      <c r="H5046" s="88"/>
      <c r="I5046" s="88"/>
      <c r="J5046" s="78">
        <f>MAX(K5046:Q5046)</f>
        <v>1</v>
      </c>
      <c r="K5046" s="88">
        <v>1</v>
      </c>
      <c r="L5046" s="88"/>
      <c r="M5046" s="88"/>
      <c r="N5046" s="88"/>
      <c r="O5046" s="88"/>
      <c r="P5046" s="88"/>
      <c r="Q5046" s="88"/>
      <c r="R5046" s="78">
        <f>MAX(S5046:W5046)</f>
        <v>0</v>
      </c>
      <c r="S5046" s="88"/>
      <c r="T5046" s="88"/>
      <c r="U5046" s="88"/>
      <c r="V5046" s="88"/>
      <c r="W5046" s="88"/>
    </row>
    <row r="5047" spans="2:23" s="0" customFormat="0" ht="15">
      <c r="B5047" s="87" t="s">
        <v>1</v>
      </c>
      <c r="C5047" s="88" t="s">
        <v>5259</v>
      </c>
      <c r="D5047" s="88">
        <v>19319314</v>
      </c>
      <c r="E5047" s="88" t="s">
        <v>61</v>
      </c>
      <c r="F5047" s="88">
        <v>0</v>
      </c>
      <c r="G5047" s="78">
        <f>MAX(H5047,I5047,J5047)</f>
        <v>1</v>
      </c>
      <c r="H5047" s="88"/>
      <c r="I5047" s="88"/>
      <c r="J5047" s="78">
        <f>MAX(K5047:Q5047)</f>
        <v>1</v>
      </c>
      <c r="K5047" s="88">
        <v>1</v>
      </c>
      <c r="L5047" s="88"/>
      <c r="M5047" s="88"/>
      <c r="N5047" s="88"/>
      <c r="O5047" s="88"/>
      <c r="P5047" s="88"/>
      <c r="Q5047" s="88"/>
      <c r="R5047" s="78">
        <f>MAX(S5047:W5047)</f>
        <v>0</v>
      </c>
      <c r="S5047" s="88"/>
      <c r="T5047" s="88"/>
      <c r="U5047" s="88"/>
      <c r="V5047" s="88"/>
      <c r="W5047" s="88"/>
    </row>
    <row r="5048" spans="2:23" s="0" customFormat="0" ht="15">
      <c r="B5048" s="87" t="s">
        <v>1</v>
      </c>
      <c r="C5048" s="88" t="s">
        <v>5259</v>
      </c>
      <c r="D5048" s="88">
        <v>14591485</v>
      </c>
      <c r="E5048" s="88" t="s">
        <v>61</v>
      </c>
      <c r="F5048" s="88">
        <v>0</v>
      </c>
      <c r="G5048" s="78">
        <f>MAX(H5048,I5048,J5048)</f>
        <v>1</v>
      </c>
      <c r="H5048" s="88"/>
      <c r="I5048" s="88"/>
      <c r="J5048" s="78">
        <f>MAX(K5048:Q5048)</f>
        <v>1</v>
      </c>
      <c r="K5048" s="88">
        <v>1</v>
      </c>
      <c r="L5048" s="88"/>
      <c r="M5048" s="88"/>
      <c r="N5048" s="88"/>
      <c r="O5048" s="88"/>
      <c r="P5048" s="88"/>
      <c r="Q5048" s="88"/>
      <c r="R5048" s="78">
        <f>MAX(S5048:W5048)</f>
        <v>0</v>
      </c>
      <c r="S5048" s="88"/>
      <c r="T5048" s="88"/>
      <c r="U5048" s="88"/>
      <c r="V5048" s="88"/>
      <c r="W5048" s="88"/>
    </row>
    <row r="5049" spans="2:23" s="0" customFormat="0" ht="15">
      <c r="B5049" s="87" t="s">
        <v>1</v>
      </c>
      <c r="C5049" s="88" t="s">
        <v>5259</v>
      </c>
      <c r="D5049" s="88">
        <v>17296039</v>
      </c>
      <c r="E5049" s="88" t="s">
        <v>61</v>
      </c>
      <c r="F5049" s="88">
        <v>0</v>
      </c>
      <c r="G5049" s="78">
        <f>MAX(H5049,I5049,J5049)</f>
        <v>1</v>
      </c>
      <c r="H5049" s="88"/>
      <c r="I5049" s="88"/>
      <c r="J5049" s="78">
        <f>MAX(K5049:Q5049)</f>
        <v>1</v>
      </c>
      <c r="K5049" s="88">
        <v>1</v>
      </c>
      <c r="L5049" s="88"/>
      <c r="M5049" s="88"/>
      <c r="N5049" s="88"/>
      <c r="O5049" s="88"/>
      <c r="P5049" s="88"/>
      <c r="Q5049" s="88"/>
      <c r="R5049" s="78">
        <f>MAX(S5049:W5049)</f>
        <v>0</v>
      </c>
      <c r="S5049" s="88"/>
      <c r="T5049" s="88"/>
      <c r="U5049" s="88"/>
      <c r="V5049" s="88"/>
      <c r="W5049" s="88"/>
    </row>
    <row r="5050" spans="2:23" s="0" customFormat="0" ht="15">
      <c r="B5050" s="87" t="s">
        <v>1</v>
      </c>
      <c r="C5050" s="88" t="s">
        <v>5259</v>
      </c>
      <c r="D5050" s="88">
        <v>21230807</v>
      </c>
      <c r="E5050" s="88" t="s">
        <v>61</v>
      </c>
      <c r="F5050" s="88">
        <v>0</v>
      </c>
      <c r="G5050" s="78">
        <f>MAX(H5050,I5050,J5050)</f>
        <v>1</v>
      </c>
      <c r="H5050" s="88"/>
      <c r="I5050" s="88"/>
      <c r="J5050" s="78">
        <f>MAX(K5050:Q5050)</f>
        <v>1</v>
      </c>
      <c r="K5050" s="88">
        <v>1</v>
      </c>
      <c r="L5050" s="88"/>
      <c r="M5050" s="88"/>
      <c r="N5050" s="88"/>
      <c r="O5050" s="88"/>
      <c r="P5050" s="88"/>
      <c r="Q5050" s="88"/>
      <c r="R5050" s="78">
        <f>MAX(S5050:W5050)</f>
        <v>0</v>
      </c>
      <c r="S5050" s="88"/>
      <c r="T5050" s="88"/>
      <c r="U5050" s="88"/>
      <c r="V5050" s="88"/>
      <c r="W5050" s="88"/>
    </row>
    <row r="5051" spans="2:23" s="0" customFormat="0" ht="15">
      <c r="B5051" s="87" t="s">
        <v>1</v>
      </c>
      <c r="C5051" s="88" t="s">
        <v>5259</v>
      </c>
      <c r="D5051" s="88" t="s">
        <v>1641</v>
      </c>
      <c r="E5051" s="88" t="s">
        <v>61</v>
      </c>
      <c r="F5051" s="88">
        <v>0</v>
      </c>
      <c r="G5051" s="78">
        <f>MAX(H5051,I5051,J5051)</f>
        <v>1</v>
      </c>
      <c r="H5051" s="88"/>
      <c r="I5051" s="88"/>
      <c r="J5051" s="78">
        <f>MAX(K5051:Q5051)</f>
        <v>1</v>
      </c>
      <c r="K5051" s="88">
        <v>1</v>
      </c>
      <c r="L5051" s="88"/>
      <c r="M5051" s="88"/>
      <c r="N5051" s="88"/>
      <c r="O5051" s="88"/>
      <c r="P5051" s="88"/>
      <c r="Q5051" s="88"/>
      <c r="R5051" s="78">
        <f>MAX(S5051:W5051)</f>
        <v>0</v>
      </c>
      <c r="S5051" s="88"/>
      <c r="T5051" s="88"/>
      <c r="U5051" s="88"/>
      <c r="V5051" s="88"/>
      <c r="W5051" s="88"/>
    </row>
    <row r="5052" spans="2:23" s="0" customFormat="0" ht="15">
      <c r="B5052" s="87" t="s">
        <v>1</v>
      </c>
      <c r="C5052" s="88" t="s">
        <v>5259</v>
      </c>
      <c r="D5052" s="88" t="s">
        <v>3769</v>
      </c>
      <c r="E5052" s="88" t="s">
        <v>61</v>
      </c>
      <c r="F5052" s="88">
        <v>0</v>
      </c>
      <c r="G5052" s="78">
        <f>MAX(H5052,I5052,J5052)</f>
        <v>0</v>
      </c>
      <c r="H5052" s="88"/>
      <c r="I5052" s="88"/>
      <c r="J5052" s="78">
        <f>MAX(K5052:Q5052)</f>
        <v>0</v>
      </c>
      <c r="K5052" s="88"/>
      <c r="L5052" s="88"/>
      <c r="M5052" s="88"/>
      <c r="N5052" s="88"/>
      <c r="O5052" s="88"/>
      <c r="P5052" s="88"/>
      <c r="Q5052" s="88"/>
      <c r="R5052" s="78">
        <f>MAX(S5052:W5052)</f>
        <v>1</v>
      </c>
      <c r="S5052" s="88"/>
      <c r="T5052" s="88"/>
      <c r="U5052" s="88">
        <v>1</v>
      </c>
      <c r="V5052" s="88"/>
      <c r="W5052" s="88"/>
    </row>
    <row r="5053" spans="2:23" s="0" customFormat="0" ht="15">
      <c r="B5053" s="87" t="s">
        <v>1</v>
      </c>
      <c r="C5053" s="88" t="s">
        <v>5259</v>
      </c>
      <c r="D5053" s="88" t="s">
        <v>4164</v>
      </c>
      <c r="E5053" s="88" t="s">
        <v>61</v>
      </c>
      <c r="F5053" s="88">
        <v>0</v>
      </c>
      <c r="G5053" s="78">
        <f>MAX(H5053,I5053,J5053)</f>
        <v>0</v>
      </c>
      <c r="H5053" s="88"/>
      <c r="I5053" s="88"/>
      <c r="J5053" s="78">
        <f>MAX(K5053:Q5053)</f>
        <v>0</v>
      </c>
      <c r="K5053" s="88"/>
      <c r="L5053" s="88"/>
      <c r="M5053" s="88"/>
      <c r="N5053" s="88"/>
      <c r="O5053" s="88"/>
      <c r="P5053" s="88"/>
      <c r="Q5053" s="88"/>
      <c r="R5053" s="78">
        <f>MAX(S5053:W5053)</f>
        <v>1</v>
      </c>
      <c r="S5053" s="88"/>
      <c r="T5053" s="88"/>
      <c r="U5053" s="88">
        <v>1</v>
      </c>
      <c r="V5053" s="88"/>
      <c r="W5053" s="88"/>
    </row>
    <row r="5054" spans="2:23" s="0" customFormat="0" ht="15">
      <c r="B5054" s="87" t="s">
        <v>1</v>
      </c>
      <c r="C5054" s="88" t="s">
        <v>5259</v>
      </c>
      <c r="D5054" s="88">
        <v>21238959</v>
      </c>
      <c r="E5054" s="88" t="s">
        <v>61</v>
      </c>
      <c r="F5054" s="88">
        <v>0</v>
      </c>
      <c r="G5054" s="78">
        <f>MAX(H5054,I5054,J5054)</f>
        <v>1</v>
      </c>
      <c r="H5054" s="88"/>
      <c r="I5054" s="88"/>
      <c r="J5054" s="78">
        <f>MAX(K5054:Q5054)</f>
        <v>1</v>
      </c>
      <c r="K5054" s="88">
        <v>1</v>
      </c>
      <c r="L5054" s="88"/>
      <c r="M5054" s="88"/>
      <c r="N5054" s="88"/>
      <c r="O5054" s="88"/>
      <c r="P5054" s="88"/>
      <c r="Q5054" s="88"/>
      <c r="R5054" s="78">
        <f>MAX(S5054:W5054)</f>
        <v>0</v>
      </c>
      <c r="S5054" s="88"/>
      <c r="T5054" s="88"/>
      <c r="U5054" s="88"/>
      <c r="V5054" s="88"/>
      <c r="W5054" s="88"/>
    </row>
    <row r="5055" spans="2:23" s="0" customFormat="0" ht="15">
      <c r="B5055" s="87" t="s">
        <v>1</v>
      </c>
      <c r="C5055" s="88" t="s">
        <v>5259</v>
      </c>
      <c r="D5055" s="88">
        <v>23207309</v>
      </c>
      <c r="E5055" s="88" t="s">
        <v>61</v>
      </c>
      <c r="F5055" s="88">
        <v>0</v>
      </c>
      <c r="G5055" s="78">
        <f>MAX(H5055,I5055,J5055)</f>
        <v>1</v>
      </c>
      <c r="H5055" s="88"/>
      <c r="I5055" s="88"/>
      <c r="J5055" s="78">
        <f>MAX(K5055:Q5055)</f>
        <v>1</v>
      </c>
      <c r="K5055" s="88">
        <v>1</v>
      </c>
      <c r="L5055" s="88"/>
      <c r="M5055" s="88"/>
      <c r="N5055" s="88"/>
      <c r="O5055" s="88"/>
      <c r="P5055" s="88"/>
      <c r="Q5055" s="88"/>
      <c r="R5055" s="78">
        <f>MAX(S5055:W5055)</f>
        <v>0</v>
      </c>
      <c r="S5055" s="88"/>
      <c r="T5055" s="88"/>
      <c r="U5055" s="88"/>
      <c r="V5055" s="88"/>
      <c r="W5055" s="88"/>
    </row>
    <row r="5056" spans="2:23" s="0" customFormat="0" ht="15">
      <c r="B5056" s="87" t="s">
        <v>1</v>
      </c>
      <c r="C5056" s="88" t="s">
        <v>5259</v>
      </c>
      <c r="D5056" s="88" t="s">
        <v>1752</v>
      </c>
      <c r="E5056" s="88" t="s">
        <v>61</v>
      </c>
      <c r="F5056" s="88">
        <v>0</v>
      </c>
      <c r="G5056" s="78">
        <f>MAX(H5056,I5056,J5056)</f>
        <v>1</v>
      </c>
      <c r="H5056" s="88"/>
      <c r="I5056" s="88"/>
      <c r="J5056" s="78">
        <f>MAX(K5056:Q5056)</f>
        <v>1</v>
      </c>
      <c r="K5056" s="88">
        <v>1</v>
      </c>
      <c r="L5056" s="88"/>
      <c r="M5056" s="88"/>
      <c r="N5056" s="88"/>
      <c r="O5056" s="88"/>
      <c r="P5056" s="88"/>
      <c r="Q5056" s="88"/>
      <c r="R5056" s="78">
        <f>MAX(S5056:W5056)</f>
        <v>0</v>
      </c>
      <c r="S5056" s="88"/>
      <c r="T5056" s="88"/>
      <c r="U5056" s="88"/>
      <c r="V5056" s="88"/>
      <c r="W5056" s="88"/>
    </row>
    <row r="5057" spans="2:23" s="0" customFormat="0" ht="15">
      <c r="B5057" s="87" t="s">
        <v>1</v>
      </c>
      <c r="C5057" s="88" t="s">
        <v>5259</v>
      </c>
      <c r="D5057" s="88">
        <v>21860320</v>
      </c>
      <c r="E5057" s="88" t="s">
        <v>61</v>
      </c>
      <c r="F5057" s="88">
        <v>0</v>
      </c>
      <c r="G5057" s="78">
        <f>MAX(H5057,I5057,J5057)</f>
        <v>1</v>
      </c>
      <c r="H5057" s="88"/>
      <c r="I5057" s="88"/>
      <c r="J5057" s="78">
        <f>MAX(K5057:Q5057)</f>
        <v>1</v>
      </c>
      <c r="K5057" s="88">
        <v>1</v>
      </c>
      <c r="L5057" s="88"/>
      <c r="M5057" s="88"/>
      <c r="N5057" s="88"/>
      <c r="O5057" s="88"/>
      <c r="P5057" s="88"/>
      <c r="Q5057" s="88"/>
      <c r="R5057" s="78">
        <f>MAX(S5057:W5057)</f>
        <v>0</v>
      </c>
      <c r="S5057" s="88"/>
      <c r="T5057" s="88"/>
      <c r="U5057" s="88"/>
      <c r="V5057" s="88"/>
      <c r="W5057" s="88"/>
    </row>
    <row r="5058" spans="2:23" s="0" customFormat="0" ht="15">
      <c r="B5058" s="87" t="s">
        <v>1</v>
      </c>
      <c r="C5058" s="88" t="s">
        <v>5259</v>
      </c>
      <c r="D5058" s="88" t="s">
        <v>4859</v>
      </c>
      <c r="E5058" s="88" t="s">
        <v>61</v>
      </c>
      <c r="F5058" s="88">
        <v>0</v>
      </c>
      <c r="G5058" s="78">
        <f>MAX(H5058,I5058,J5058)</f>
        <v>0</v>
      </c>
      <c r="H5058" s="88"/>
      <c r="I5058" s="88"/>
      <c r="J5058" s="78">
        <f>MAX(K5058:Q5058)</f>
        <v>0</v>
      </c>
      <c r="K5058" s="88"/>
      <c r="L5058" s="88"/>
      <c r="M5058" s="88"/>
      <c r="N5058" s="88"/>
      <c r="O5058" s="88"/>
      <c r="P5058" s="88"/>
      <c r="Q5058" s="88"/>
      <c r="R5058" s="78">
        <f>MAX(S5058:W5058)</f>
        <v>1</v>
      </c>
      <c r="S5058" s="88"/>
      <c r="T5058" s="88"/>
      <c r="U5058" s="88">
        <v>1</v>
      </c>
      <c r="V5058" s="88"/>
      <c r="W5058" s="88"/>
    </row>
    <row r="5059" spans="2:23" s="0" customFormat="0" ht="15">
      <c r="B5059" s="87" t="s">
        <v>1</v>
      </c>
      <c r="C5059" s="88" t="s">
        <v>5259</v>
      </c>
      <c r="D5059" s="88">
        <v>19003893</v>
      </c>
      <c r="E5059" s="88" t="s">
        <v>61</v>
      </c>
      <c r="F5059" s="88">
        <v>0</v>
      </c>
      <c r="G5059" s="78">
        <f>MAX(H5059,I5059,J5059)</f>
        <v>1</v>
      </c>
      <c r="H5059" s="88"/>
      <c r="I5059" s="88"/>
      <c r="J5059" s="78">
        <f>MAX(K5059:Q5059)</f>
        <v>1</v>
      </c>
      <c r="K5059" s="88">
        <v>1</v>
      </c>
      <c r="L5059" s="88"/>
      <c r="M5059" s="88"/>
      <c r="N5059" s="88"/>
      <c r="O5059" s="88"/>
      <c r="P5059" s="88"/>
      <c r="Q5059" s="88"/>
      <c r="R5059" s="78">
        <f>MAX(S5059:W5059)</f>
        <v>0</v>
      </c>
      <c r="S5059" s="88"/>
      <c r="T5059" s="88"/>
      <c r="U5059" s="88"/>
      <c r="V5059" s="88"/>
      <c r="W5059" s="88"/>
    </row>
    <row r="5060" spans="2:23" s="0" customFormat="0" ht="15">
      <c r="B5060" s="87" t="s">
        <v>1</v>
      </c>
      <c r="C5060" s="88" t="s">
        <v>5259</v>
      </c>
      <c r="D5060" s="88">
        <v>12334819</v>
      </c>
      <c r="E5060" s="88" t="s">
        <v>61</v>
      </c>
      <c r="F5060" s="88">
        <v>0</v>
      </c>
      <c r="G5060" s="78">
        <f>MAX(H5060,I5060,J5060)</f>
        <v>1</v>
      </c>
      <c r="H5060" s="88"/>
      <c r="I5060" s="88"/>
      <c r="J5060" s="78">
        <f>MAX(K5060:Q5060)</f>
        <v>1</v>
      </c>
      <c r="K5060" s="88">
        <v>1</v>
      </c>
      <c r="L5060" s="88"/>
      <c r="M5060" s="88"/>
      <c r="N5060" s="88"/>
      <c r="O5060" s="88"/>
      <c r="P5060" s="88"/>
      <c r="Q5060" s="88"/>
      <c r="R5060" s="78">
        <f>MAX(S5060:W5060)</f>
        <v>0</v>
      </c>
      <c r="S5060" s="88"/>
      <c r="T5060" s="88"/>
      <c r="U5060" s="88"/>
      <c r="V5060" s="88"/>
      <c r="W5060" s="88"/>
    </row>
    <row r="5061" spans="2:23" s="0" customFormat="0" ht="15">
      <c r="B5061" s="87" t="s">
        <v>1</v>
      </c>
      <c r="C5061" s="88" t="s">
        <v>5259</v>
      </c>
      <c r="D5061" s="88">
        <v>17267345</v>
      </c>
      <c r="E5061" s="88" t="s">
        <v>61</v>
      </c>
      <c r="F5061" s="88">
        <v>0</v>
      </c>
      <c r="G5061" s="78">
        <f>MAX(H5061,I5061,J5061)</f>
        <v>1</v>
      </c>
      <c r="H5061" s="88"/>
      <c r="I5061" s="88"/>
      <c r="J5061" s="78">
        <f>MAX(K5061:Q5061)</f>
        <v>1</v>
      </c>
      <c r="K5061" s="88">
        <v>1</v>
      </c>
      <c r="L5061" s="88"/>
      <c r="M5061" s="88"/>
      <c r="N5061" s="88"/>
      <c r="O5061" s="88"/>
      <c r="P5061" s="88"/>
      <c r="Q5061" s="88"/>
      <c r="R5061" s="78">
        <f>MAX(S5061:W5061)</f>
        <v>0</v>
      </c>
      <c r="S5061" s="88"/>
      <c r="T5061" s="88"/>
      <c r="U5061" s="88"/>
      <c r="V5061" s="88"/>
      <c r="W5061" s="88"/>
    </row>
    <row r="5062" spans="2:23" s="0" customFormat="0" ht="15">
      <c r="B5062" s="87" t="s">
        <v>1</v>
      </c>
      <c r="C5062" s="88" t="s">
        <v>5259</v>
      </c>
      <c r="D5062" s="88">
        <v>13162715</v>
      </c>
      <c r="E5062" s="88" t="s">
        <v>61</v>
      </c>
      <c r="F5062" s="88">
        <v>0</v>
      </c>
      <c r="G5062" s="78">
        <f>MAX(H5062,I5062,J5062)</f>
        <v>1</v>
      </c>
      <c r="H5062" s="88"/>
      <c r="I5062" s="88"/>
      <c r="J5062" s="78">
        <f>MAX(K5062:Q5062)</f>
        <v>1</v>
      </c>
      <c r="K5062" s="88">
        <v>1</v>
      </c>
      <c r="L5062" s="88"/>
      <c r="M5062" s="88"/>
      <c r="N5062" s="88"/>
      <c r="O5062" s="88"/>
      <c r="P5062" s="88"/>
      <c r="Q5062" s="88"/>
      <c r="R5062" s="78">
        <f>MAX(S5062:W5062)</f>
        <v>0</v>
      </c>
      <c r="S5062" s="88"/>
      <c r="T5062" s="88"/>
      <c r="U5062" s="88"/>
      <c r="V5062" s="88"/>
      <c r="W5062" s="88"/>
    </row>
    <row r="5063" spans="2:23" s="0" customFormat="0" ht="15">
      <c r="B5063" s="87" t="s">
        <v>1</v>
      </c>
      <c r="C5063" s="88" t="s">
        <v>5259</v>
      </c>
      <c r="D5063" s="88">
        <v>14352945</v>
      </c>
      <c r="E5063" s="88" t="s">
        <v>61</v>
      </c>
      <c r="F5063" s="88">
        <v>0</v>
      </c>
      <c r="G5063" s="78">
        <f>MAX(H5063,I5063,J5063)</f>
        <v>1</v>
      </c>
      <c r="H5063" s="88"/>
      <c r="I5063" s="88"/>
      <c r="J5063" s="78">
        <f>MAX(K5063:Q5063)</f>
        <v>1</v>
      </c>
      <c r="K5063" s="88">
        <v>1</v>
      </c>
      <c r="L5063" s="88"/>
      <c r="M5063" s="88"/>
      <c r="N5063" s="88"/>
      <c r="O5063" s="88"/>
      <c r="P5063" s="88"/>
      <c r="Q5063" s="88"/>
      <c r="R5063" s="78">
        <f>MAX(S5063:W5063)</f>
        <v>0</v>
      </c>
      <c r="S5063" s="88"/>
      <c r="T5063" s="88"/>
      <c r="U5063" s="88"/>
      <c r="V5063" s="88"/>
      <c r="W5063" s="88"/>
    </row>
    <row r="5064" spans="2:23" s="0" customFormat="0" ht="15">
      <c r="B5064" s="87" t="s">
        <v>1</v>
      </c>
      <c r="C5064" s="88" t="s">
        <v>5259</v>
      </c>
      <c r="D5064" s="88">
        <v>3797504</v>
      </c>
      <c r="E5064" s="88" t="s">
        <v>61</v>
      </c>
      <c r="F5064" s="88">
        <v>0</v>
      </c>
      <c r="G5064" s="78">
        <f>MAX(H5064,I5064,J5064)</f>
        <v>1</v>
      </c>
      <c r="H5064" s="88"/>
      <c r="I5064" s="88"/>
      <c r="J5064" s="78">
        <f>MAX(K5064:Q5064)</f>
        <v>1</v>
      </c>
      <c r="K5064" s="88">
        <v>1</v>
      </c>
      <c r="L5064" s="88"/>
      <c r="M5064" s="88"/>
      <c r="N5064" s="88"/>
      <c r="O5064" s="88"/>
      <c r="P5064" s="88"/>
      <c r="Q5064" s="88"/>
      <c r="R5064" s="78">
        <f>MAX(S5064:W5064)</f>
        <v>0</v>
      </c>
      <c r="S5064" s="88"/>
      <c r="T5064" s="88"/>
      <c r="U5064" s="88"/>
      <c r="V5064" s="88"/>
      <c r="W5064" s="88"/>
    </row>
    <row r="5065" spans="2:23" s="0" customFormat="0" ht="15">
      <c r="B5065" s="87" t="s">
        <v>1</v>
      </c>
      <c r="C5065" s="88" t="s">
        <v>5259</v>
      </c>
      <c r="D5065" s="88" t="s">
        <v>928</v>
      </c>
      <c r="E5065" s="88" t="s">
        <v>61</v>
      </c>
      <c r="F5065" s="88">
        <v>0</v>
      </c>
      <c r="G5065" s="78">
        <f>MAX(H5065,I5065,J5065)</f>
        <v>1</v>
      </c>
      <c r="H5065" s="88"/>
      <c r="I5065" s="88"/>
      <c r="J5065" s="78">
        <f>MAX(K5065:Q5065)</f>
        <v>1</v>
      </c>
      <c r="K5065" s="88">
        <v>1</v>
      </c>
      <c r="L5065" s="88"/>
      <c r="M5065" s="88"/>
      <c r="N5065" s="88"/>
      <c r="O5065" s="88"/>
      <c r="P5065" s="88"/>
      <c r="Q5065" s="88"/>
      <c r="R5065" s="78">
        <f>MAX(S5065:W5065)</f>
        <v>0</v>
      </c>
      <c r="S5065" s="88"/>
      <c r="T5065" s="88"/>
      <c r="U5065" s="88"/>
      <c r="V5065" s="88"/>
      <c r="W5065" s="88"/>
    </row>
    <row r="5066" spans="2:23" s="0" customFormat="0" ht="15">
      <c r="B5066" s="87" t="s">
        <v>1</v>
      </c>
      <c r="C5066" s="88" t="s">
        <v>5259</v>
      </c>
      <c r="D5066" s="88" t="s">
        <v>337</v>
      </c>
      <c r="E5066" s="88" t="s">
        <v>61</v>
      </c>
      <c r="F5066" s="88">
        <v>0</v>
      </c>
      <c r="G5066" s="78">
        <f>MAX(H5066,I5066,J5066)</f>
        <v>1</v>
      </c>
      <c r="H5066" s="88"/>
      <c r="I5066" s="88"/>
      <c r="J5066" s="78">
        <f>MAX(K5066:Q5066)</f>
        <v>1</v>
      </c>
      <c r="K5066" s="88">
        <v>1</v>
      </c>
      <c r="L5066" s="88"/>
      <c r="M5066" s="88"/>
      <c r="N5066" s="88"/>
      <c r="O5066" s="88"/>
      <c r="P5066" s="88"/>
      <c r="Q5066" s="88"/>
      <c r="R5066" s="78">
        <f>MAX(S5066:W5066)</f>
        <v>0</v>
      </c>
      <c r="S5066" s="88"/>
      <c r="T5066" s="88"/>
      <c r="U5066" s="88"/>
      <c r="V5066" s="88"/>
      <c r="W5066" s="88"/>
    </row>
    <row r="5067" spans="2:23" s="0" customFormat="0" ht="15">
      <c r="B5067" s="87" t="s">
        <v>1</v>
      </c>
      <c r="C5067" s="88" t="s">
        <v>5259</v>
      </c>
      <c r="D5067" s="88" t="s">
        <v>2475</v>
      </c>
      <c r="E5067" s="88" t="s">
        <v>61</v>
      </c>
      <c r="F5067" s="88">
        <v>0</v>
      </c>
      <c r="G5067" s="78">
        <f>MAX(H5067,I5067,J5067)</f>
        <v>1</v>
      </c>
      <c r="H5067" s="88"/>
      <c r="I5067" s="88"/>
      <c r="J5067" s="78">
        <f>MAX(K5067:Q5067)</f>
        <v>1</v>
      </c>
      <c r="K5067" s="88">
        <v>1</v>
      </c>
      <c r="L5067" s="88"/>
      <c r="M5067" s="88"/>
      <c r="N5067" s="88"/>
      <c r="O5067" s="88"/>
      <c r="P5067" s="88"/>
      <c r="Q5067" s="88"/>
      <c r="R5067" s="78">
        <f>MAX(S5067:W5067)</f>
        <v>0</v>
      </c>
      <c r="S5067" s="88"/>
      <c r="T5067" s="88"/>
      <c r="U5067" s="88"/>
      <c r="V5067" s="88"/>
      <c r="W5067" s="88"/>
    </row>
    <row r="5068" spans="2:23" s="0" customFormat="0" ht="15">
      <c r="B5068" s="87" t="s">
        <v>1</v>
      </c>
      <c r="C5068" s="88" t="s">
        <v>5259</v>
      </c>
      <c r="D5068" s="88">
        <v>22554081</v>
      </c>
      <c r="E5068" s="88" t="s">
        <v>61</v>
      </c>
      <c r="F5068" s="88">
        <v>0</v>
      </c>
      <c r="G5068" s="78">
        <f>MAX(H5068,I5068,J5068)</f>
        <v>0</v>
      </c>
      <c r="H5068" s="88"/>
      <c r="I5068" s="88"/>
      <c r="J5068" s="78">
        <f>MAX(K5068:Q5068)</f>
        <v>0</v>
      </c>
      <c r="K5068" s="88"/>
      <c r="L5068" s="88"/>
      <c r="M5068" s="88"/>
      <c r="N5068" s="88"/>
      <c r="O5068" s="88"/>
      <c r="P5068" s="88"/>
      <c r="Q5068" s="88"/>
      <c r="R5068" s="78">
        <f>MAX(S5068:W5068)</f>
        <v>1</v>
      </c>
      <c r="S5068" s="88"/>
      <c r="T5068" s="88"/>
      <c r="U5068" s="88">
        <v>1</v>
      </c>
      <c r="V5068" s="88"/>
      <c r="W5068" s="88"/>
    </row>
    <row r="5069" spans="2:23" s="0" customFormat="0" ht="15">
      <c r="B5069" s="87" t="s">
        <v>1</v>
      </c>
      <c r="C5069" s="88" t="s">
        <v>5259</v>
      </c>
      <c r="D5069" s="88">
        <v>20993773</v>
      </c>
      <c r="E5069" s="88" t="s">
        <v>61</v>
      </c>
      <c r="F5069" s="88">
        <v>0</v>
      </c>
      <c r="G5069" s="78">
        <f>MAX(H5069,I5069,J5069)</f>
        <v>1</v>
      </c>
      <c r="H5069" s="88"/>
      <c r="I5069" s="88"/>
      <c r="J5069" s="78">
        <f>MAX(K5069:Q5069)</f>
        <v>1</v>
      </c>
      <c r="K5069" s="88">
        <v>1</v>
      </c>
      <c r="L5069" s="88"/>
      <c r="M5069" s="88"/>
      <c r="N5069" s="88"/>
      <c r="O5069" s="88"/>
      <c r="P5069" s="88"/>
      <c r="Q5069" s="88"/>
      <c r="R5069" s="78">
        <f>MAX(S5069:W5069)</f>
        <v>0</v>
      </c>
      <c r="S5069" s="88"/>
      <c r="T5069" s="88"/>
      <c r="U5069" s="88"/>
      <c r="V5069" s="88"/>
      <c r="W5069" s="88"/>
    </row>
    <row r="5070" spans="2:23" s="0" customFormat="0" ht="15">
      <c r="B5070" s="87" t="s">
        <v>1</v>
      </c>
      <c r="C5070" s="88" t="s">
        <v>5259</v>
      </c>
      <c r="D5070" s="88" t="s">
        <v>4930</v>
      </c>
      <c r="E5070" s="88" t="s">
        <v>61</v>
      </c>
      <c r="F5070" s="88">
        <v>0</v>
      </c>
      <c r="G5070" s="78">
        <f>MAX(H5070,I5070,J5070)</f>
        <v>0</v>
      </c>
      <c r="H5070" s="88"/>
      <c r="I5070" s="88"/>
      <c r="J5070" s="78">
        <f>MAX(K5070:Q5070)</f>
        <v>0</v>
      </c>
      <c r="K5070" s="88"/>
      <c r="L5070" s="88"/>
      <c r="M5070" s="88"/>
      <c r="N5070" s="88"/>
      <c r="O5070" s="88"/>
      <c r="P5070" s="88"/>
      <c r="Q5070" s="88"/>
      <c r="R5070" s="78">
        <f>MAX(S5070:W5070)</f>
        <v>1</v>
      </c>
      <c r="S5070" s="88"/>
      <c r="T5070" s="88"/>
      <c r="U5070" s="88">
        <v>1</v>
      </c>
      <c r="V5070" s="88"/>
      <c r="W5070" s="88"/>
    </row>
    <row r="5071" spans="2:23" s="0" customFormat="0" ht="15">
      <c r="B5071" s="87" t="s">
        <v>1</v>
      </c>
      <c r="C5071" s="88" t="s">
        <v>5259</v>
      </c>
      <c r="D5071" s="88">
        <v>13220916</v>
      </c>
      <c r="E5071" s="88" t="s">
        <v>61</v>
      </c>
      <c r="F5071" s="88">
        <v>0</v>
      </c>
      <c r="G5071" s="78">
        <f>MAX(H5071,I5071,J5071)</f>
        <v>1</v>
      </c>
      <c r="H5071" s="88"/>
      <c r="I5071" s="88"/>
      <c r="J5071" s="78">
        <f>MAX(K5071:Q5071)</f>
        <v>1</v>
      </c>
      <c r="K5071" s="88">
        <v>1</v>
      </c>
      <c r="L5071" s="88"/>
      <c r="M5071" s="88"/>
      <c r="N5071" s="88"/>
      <c r="O5071" s="88"/>
      <c r="P5071" s="88"/>
      <c r="Q5071" s="88"/>
      <c r="R5071" s="78">
        <f>MAX(S5071:W5071)</f>
        <v>0</v>
      </c>
      <c r="S5071" s="88"/>
      <c r="T5071" s="88"/>
      <c r="U5071" s="88"/>
      <c r="V5071" s="88"/>
      <c r="W5071" s="88"/>
    </row>
    <row r="5072" spans="2:23" s="0" customFormat="0" ht="15">
      <c r="B5072" s="87" t="s">
        <v>1</v>
      </c>
      <c r="C5072" s="88" t="s">
        <v>5259</v>
      </c>
      <c r="D5072" s="88" t="s">
        <v>2536</v>
      </c>
      <c r="E5072" s="88" t="s">
        <v>61</v>
      </c>
      <c r="F5072" s="88">
        <v>0</v>
      </c>
      <c r="G5072" s="78">
        <f>MAX(H5072,I5072,J5072)</f>
        <v>1</v>
      </c>
      <c r="H5072" s="88"/>
      <c r="I5072" s="88"/>
      <c r="J5072" s="78">
        <f>MAX(K5072:Q5072)</f>
        <v>1</v>
      </c>
      <c r="K5072" s="88">
        <v>1</v>
      </c>
      <c r="L5072" s="88"/>
      <c r="M5072" s="88"/>
      <c r="N5072" s="88"/>
      <c r="O5072" s="88"/>
      <c r="P5072" s="88"/>
      <c r="Q5072" s="88"/>
      <c r="R5072" s="78">
        <f>MAX(S5072:W5072)</f>
        <v>0</v>
      </c>
      <c r="S5072" s="88"/>
      <c r="T5072" s="88"/>
      <c r="U5072" s="88"/>
      <c r="V5072" s="88"/>
      <c r="W5072" s="88"/>
    </row>
    <row r="5073" spans="2:23" s="0" customFormat="0" ht="15">
      <c r="B5073" s="87" t="s">
        <v>1</v>
      </c>
      <c r="C5073" s="88" t="s">
        <v>5259</v>
      </c>
      <c r="D5073" s="88" t="s">
        <v>3888</v>
      </c>
      <c r="E5073" s="88" t="s">
        <v>61</v>
      </c>
      <c r="F5073" s="88">
        <v>0</v>
      </c>
      <c r="G5073" s="78">
        <f>MAX(H5073,I5073,J5073)</f>
        <v>0</v>
      </c>
      <c r="H5073" s="88"/>
      <c r="I5073" s="88"/>
      <c r="J5073" s="78">
        <f>MAX(K5073:Q5073)</f>
        <v>0</v>
      </c>
      <c r="K5073" s="88"/>
      <c r="L5073" s="88"/>
      <c r="M5073" s="88"/>
      <c r="N5073" s="88"/>
      <c r="O5073" s="88"/>
      <c r="P5073" s="88"/>
      <c r="Q5073" s="88"/>
      <c r="R5073" s="78">
        <f>MAX(S5073:W5073)</f>
        <v>1</v>
      </c>
      <c r="S5073" s="88"/>
      <c r="T5073" s="88"/>
      <c r="U5073" s="88">
        <v>1</v>
      </c>
      <c r="V5073" s="88"/>
      <c r="W5073" s="88"/>
    </row>
    <row r="5074" spans="2:23" s="0" customFormat="0" ht="15">
      <c r="B5074" s="87" t="s">
        <v>1</v>
      </c>
      <c r="C5074" s="88" t="s">
        <v>5259</v>
      </c>
      <c r="D5074" s="88">
        <v>18657665</v>
      </c>
      <c r="E5074" s="88" t="s">
        <v>61</v>
      </c>
      <c r="F5074" s="88">
        <v>0</v>
      </c>
      <c r="G5074" s="78">
        <f>MAX(H5074,I5074,J5074)</f>
        <v>1</v>
      </c>
      <c r="H5074" s="88"/>
      <c r="I5074" s="88"/>
      <c r="J5074" s="78">
        <f>MAX(K5074:Q5074)</f>
        <v>1</v>
      </c>
      <c r="K5074" s="88">
        <v>1</v>
      </c>
      <c r="L5074" s="88"/>
      <c r="M5074" s="88"/>
      <c r="N5074" s="88"/>
      <c r="O5074" s="88"/>
      <c r="P5074" s="88"/>
      <c r="Q5074" s="88"/>
      <c r="R5074" s="78">
        <f>MAX(S5074:W5074)</f>
        <v>0</v>
      </c>
      <c r="S5074" s="88"/>
      <c r="T5074" s="88"/>
      <c r="U5074" s="88"/>
      <c r="V5074" s="88"/>
      <c r="W5074" s="88"/>
    </row>
    <row r="5075" spans="2:23" s="0" customFormat="0" ht="15">
      <c r="B5075" s="87" t="s">
        <v>1</v>
      </c>
      <c r="C5075" s="88" t="s">
        <v>5259</v>
      </c>
      <c r="D5075" s="88">
        <v>21563202</v>
      </c>
      <c r="E5075" s="88" t="s">
        <v>61</v>
      </c>
      <c r="F5075" s="88">
        <v>0</v>
      </c>
      <c r="G5075" s="78">
        <f>MAX(H5075,I5075,J5075)</f>
        <v>1</v>
      </c>
      <c r="H5075" s="88"/>
      <c r="I5075" s="88"/>
      <c r="J5075" s="78">
        <f>MAX(K5075:Q5075)</f>
        <v>1</v>
      </c>
      <c r="K5075" s="88">
        <v>1</v>
      </c>
      <c r="L5075" s="88"/>
      <c r="M5075" s="88"/>
      <c r="N5075" s="88"/>
      <c r="O5075" s="88"/>
      <c r="P5075" s="88"/>
      <c r="Q5075" s="88"/>
      <c r="R5075" s="78">
        <f>MAX(S5075:W5075)</f>
        <v>0</v>
      </c>
      <c r="S5075" s="88"/>
      <c r="T5075" s="88"/>
      <c r="U5075" s="88"/>
      <c r="V5075" s="88"/>
      <c r="W5075" s="88"/>
    </row>
    <row r="5076" spans="2:23" s="0" customFormat="0" ht="15">
      <c r="B5076" s="87" t="s">
        <v>1</v>
      </c>
      <c r="C5076" s="88" t="s">
        <v>5259</v>
      </c>
      <c r="D5076" s="88">
        <v>17069409</v>
      </c>
      <c r="E5076" s="88" t="s">
        <v>61</v>
      </c>
      <c r="F5076" s="88">
        <v>0</v>
      </c>
      <c r="G5076" s="78">
        <f>MAX(H5076,I5076,J5076)</f>
        <v>1</v>
      </c>
      <c r="H5076" s="88"/>
      <c r="I5076" s="88"/>
      <c r="J5076" s="78">
        <f>MAX(K5076:Q5076)</f>
        <v>1</v>
      </c>
      <c r="K5076" s="88">
        <v>1</v>
      </c>
      <c r="L5076" s="88"/>
      <c r="M5076" s="88"/>
      <c r="N5076" s="88"/>
      <c r="O5076" s="88"/>
      <c r="P5076" s="88"/>
      <c r="Q5076" s="88"/>
      <c r="R5076" s="78">
        <f>MAX(S5076:W5076)</f>
        <v>0</v>
      </c>
      <c r="S5076" s="88"/>
      <c r="T5076" s="88"/>
      <c r="U5076" s="88"/>
      <c r="V5076" s="88"/>
      <c r="W5076" s="88"/>
    </row>
    <row r="5077" spans="2:23" s="0" customFormat="0" ht="15">
      <c r="B5077" s="87" t="s">
        <v>1</v>
      </c>
      <c r="C5077" s="88" t="s">
        <v>5259</v>
      </c>
      <c r="D5077" s="88" t="s">
        <v>5096</v>
      </c>
      <c r="E5077" s="88" t="s">
        <v>61</v>
      </c>
      <c r="F5077" s="88">
        <v>0</v>
      </c>
      <c r="G5077" s="78">
        <f>MAX(H5077,I5077,J5077)</f>
        <v>0</v>
      </c>
      <c r="H5077" s="88"/>
      <c r="I5077" s="88"/>
      <c r="J5077" s="78">
        <f>MAX(K5077:Q5077)</f>
        <v>0</v>
      </c>
      <c r="K5077" s="88"/>
      <c r="L5077" s="88"/>
      <c r="M5077" s="88"/>
      <c r="N5077" s="88"/>
      <c r="O5077" s="88"/>
      <c r="P5077" s="88"/>
      <c r="Q5077" s="88"/>
      <c r="R5077" s="78">
        <f>MAX(S5077:W5077)</f>
        <v>1</v>
      </c>
      <c r="S5077" s="88"/>
      <c r="T5077" s="88"/>
      <c r="U5077" s="88">
        <v>1</v>
      </c>
      <c r="V5077" s="88"/>
      <c r="W5077" s="88"/>
    </row>
    <row r="5078" spans="2:23" s="0" customFormat="0" ht="15">
      <c r="B5078" s="87" t="s">
        <v>1</v>
      </c>
      <c r="C5078" s="88" t="s">
        <v>5259</v>
      </c>
      <c r="D5078" s="88" t="s">
        <v>2369</v>
      </c>
      <c r="E5078" s="88" t="s">
        <v>61</v>
      </c>
      <c r="F5078" s="88">
        <v>0</v>
      </c>
      <c r="G5078" s="78">
        <f>MAX(H5078,I5078,J5078)</f>
        <v>1</v>
      </c>
      <c r="H5078" s="88"/>
      <c r="I5078" s="88"/>
      <c r="J5078" s="78">
        <f>MAX(K5078:Q5078)</f>
        <v>1</v>
      </c>
      <c r="K5078" s="88">
        <v>1</v>
      </c>
      <c r="L5078" s="88"/>
      <c r="M5078" s="88"/>
      <c r="N5078" s="88"/>
      <c r="O5078" s="88"/>
      <c r="P5078" s="88"/>
      <c r="Q5078" s="88"/>
      <c r="R5078" s="78">
        <f>MAX(S5078:W5078)</f>
        <v>0</v>
      </c>
      <c r="S5078" s="88"/>
      <c r="T5078" s="88"/>
      <c r="U5078" s="88"/>
      <c r="V5078" s="88"/>
      <c r="W5078" s="88"/>
    </row>
    <row r="5079" spans="2:23" s="0" customFormat="0" ht="15">
      <c r="B5079" s="87" t="s">
        <v>1</v>
      </c>
      <c r="C5079" s="88" t="s">
        <v>5259</v>
      </c>
      <c r="D5079" s="88">
        <v>21742335</v>
      </c>
      <c r="E5079" s="88" t="s">
        <v>61</v>
      </c>
      <c r="F5079" s="88">
        <v>0</v>
      </c>
      <c r="G5079" s="78">
        <f>MAX(H5079,I5079,J5079)</f>
        <v>1</v>
      </c>
      <c r="H5079" s="88"/>
      <c r="I5079" s="88"/>
      <c r="J5079" s="78">
        <f>MAX(K5079:Q5079)</f>
        <v>1</v>
      </c>
      <c r="K5079" s="88">
        <v>1</v>
      </c>
      <c r="L5079" s="88"/>
      <c r="M5079" s="88"/>
      <c r="N5079" s="88"/>
      <c r="O5079" s="88"/>
      <c r="P5079" s="88"/>
      <c r="Q5079" s="88"/>
      <c r="R5079" s="78">
        <f>MAX(S5079:W5079)</f>
        <v>0</v>
      </c>
      <c r="S5079" s="88"/>
      <c r="T5079" s="88"/>
      <c r="U5079" s="88"/>
      <c r="V5079" s="88"/>
      <c r="W5079" s="88"/>
    </row>
    <row r="5080" spans="2:23" s="0" customFormat="0" ht="15">
      <c r="B5080" s="87" t="s">
        <v>1</v>
      </c>
      <c r="C5080" s="88" t="s">
        <v>5259</v>
      </c>
      <c r="D5080" s="88">
        <v>17901009</v>
      </c>
      <c r="E5080" s="88" t="s">
        <v>61</v>
      </c>
      <c r="F5080" s="88">
        <v>0</v>
      </c>
      <c r="G5080" s="78">
        <f>MAX(H5080,I5080,J5080)</f>
        <v>1</v>
      </c>
      <c r="H5080" s="88"/>
      <c r="I5080" s="88"/>
      <c r="J5080" s="78">
        <f>MAX(K5080:Q5080)</f>
        <v>1</v>
      </c>
      <c r="K5080" s="88">
        <v>1</v>
      </c>
      <c r="L5080" s="88"/>
      <c r="M5080" s="88"/>
      <c r="N5080" s="88"/>
      <c r="O5080" s="88"/>
      <c r="P5080" s="88"/>
      <c r="Q5080" s="88"/>
      <c r="R5080" s="78">
        <f>MAX(S5080:W5080)</f>
        <v>0</v>
      </c>
      <c r="S5080" s="88"/>
      <c r="T5080" s="88"/>
      <c r="U5080" s="88"/>
      <c r="V5080" s="88"/>
      <c r="W5080" s="88"/>
    </row>
    <row r="5081" spans="2:23" s="0" customFormat="0" ht="15">
      <c r="B5081" s="87" t="s">
        <v>1</v>
      </c>
      <c r="C5081" s="88" t="s">
        <v>5259</v>
      </c>
      <c r="D5081" s="88">
        <v>23248120</v>
      </c>
      <c r="E5081" s="88" t="s">
        <v>61</v>
      </c>
      <c r="F5081" s="88">
        <v>0</v>
      </c>
      <c r="G5081" s="78">
        <f>MAX(H5081,I5081,J5081)</f>
        <v>1</v>
      </c>
      <c r="H5081" s="88"/>
      <c r="I5081" s="88"/>
      <c r="J5081" s="78">
        <f>MAX(K5081:Q5081)</f>
        <v>1</v>
      </c>
      <c r="K5081" s="88">
        <v>1</v>
      </c>
      <c r="L5081" s="88"/>
      <c r="M5081" s="88"/>
      <c r="N5081" s="88"/>
      <c r="O5081" s="88"/>
      <c r="P5081" s="88"/>
      <c r="Q5081" s="88"/>
      <c r="R5081" s="78">
        <f>MAX(S5081:W5081)</f>
        <v>0</v>
      </c>
      <c r="S5081" s="88"/>
      <c r="T5081" s="88"/>
      <c r="U5081" s="88"/>
      <c r="V5081" s="88"/>
      <c r="W5081" s="88"/>
    </row>
    <row r="5082" spans="2:23" s="0" customFormat="0" ht="15">
      <c r="B5082" s="87" t="s">
        <v>1</v>
      </c>
      <c r="C5082" s="88" t="s">
        <v>5259</v>
      </c>
      <c r="D5082" s="88">
        <v>15834520</v>
      </c>
      <c r="E5082" s="88" t="s">
        <v>61</v>
      </c>
      <c r="F5082" s="88">
        <v>0</v>
      </c>
      <c r="G5082" s="78">
        <f>MAX(H5082,I5082,J5082)</f>
        <v>1</v>
      </c>
      <c r="H5082" s="88"/>
      <c r="I5082" s="88"/>
      <c r="J5082" s="78">
        <f>MAX(K5082:Q5082)</f>
        <v>1</v>
      </c>
      <c r="K5082" s="88">
        <v>1</v>
      </c>
      <c r="L5082" s="88"/>
      <c r="M5082" s="88"/>
      <c r="N5082" s="88"/>
      <c r="O5082" s="88"/>
      <c r="P5082" s="88"/>
      <c r="Q5082" s="88"/>
      <c r="R5082" s="78">
        <f>MAX(S5082:W5082)</f>
        <v>0</v>
      </c>
      <c r="S5082" s="88"/>
      <c r="T5082" s="88"/>
      <c r="U5082" s="88"/>
      <c r="V5082" s="88"/>
      <c r="W5082" s="88"/>
    </row>
    <row r="5083" spans="2:23" s="0" customFormat="0" ht="15">
      <c r="B5083" s="87" t="s">
        <v>1</v>
      </c>
      <c r="C5083" s="88" t="s">
        <v>5259</v>
      </c>
      <c r="D5083" s="88">
        <v>6924798</v>
      </c>
      <c r="E5083" s="88" t="s">
        <v>61</v>
      </c>
      <c r="F5083" s="88">
        <v>0</v>
      </c>
      <c r="G5083" s="78">
        <f>MAX(H5083,I5083,J5083)</f>
        <v>1</v>
      </c>
      <c r="H5083" s="88"/>
      <c r="I5083" s="88"/>
      <c r="J5083" s="78">
        <f>MAX(K5083:Q5083)</f>
        <v>1</v>
      </c>
      <c r="K5083" s="88">
        <v>1</v>
      </c>
      <c r="L5083" s="88"/>
      <c r="M5083" s="88"/>
      <c r="N5083" s="88"/>
      <c r="O5083" s="88"/>
      <c r="P5083" s="88"/>
      <c r="Q5083" s="88"/>
      <c r="R5083" s="78">
        <f>MAX(S5083:W5083)</f>
        <v>0</v>
      </c>
      <c r="S5083" s="88"/>
      <c r="T5083" s="88"/>
      <c r="U5083" s="88"/>
      <c r="V5083" s="88"/>
      <c r="W5083" s="88"/>
    </row>
    <row r="5084" spans="2:23" s="0" customFormat="0" ht="15">
      <c r="B5084" s="87" t="s">
        <v>1</v>
      </c>
      <c r="C5084" s="88" t="s">
        <v>5259</v>
      </c>
      <c r="D5084" s="88" t="s">
        <v>4627</v>
      </c>
      <c r="E5084" s="88" t="s">
        <v>61</v>
      </c>
      <c r="F5084" s="88">
        <v>0</v>
      </c>
      <c r="G5084" s="78">
        <f>MAX(H5084,I5084,J5084)</f>
        <v>0</v>
      </c>
      <c r="H5084" s="88"/>
      <c r="I5084" s="88"/>
      <c r="J5084" s="78">
        <f>MAX(K5084:Q5084)</f>
        <v>0</v>
      </c>
      <c r="K5084" s="88"/>
      <c r="L5084" s="88"/>
      <c r="M5084" s="88"/>
      <c r="N5084" s="88"/>
      <c r="O5084" s="88"/>
      <c r="P5084" s="88"/>
      <c r="Q5084" s="88"/>
      <c r="R5084" s="78">
        <f>MAX(S5084:W5084)</f>
        <v>1</v>
      </c>
      <c r="S5084" s="88"/>
      <c r="T5084" s="88"/>
      <c r="U5084" s="88">
        <v>1</v>
      </c>
      <c r="V5084" s="88"/>
      <c r="W5084" s="88"/>
    </row>
    <row r="5085" spans="2:23" s="0" customFormat="0" ht="15">
      <c r="B5085" s="87" t="s">
        <v>1</v>
      </c>
      <c r="C5085" s="88" t="s">
        <v>5259</v>
      </c>
      <c r="D5085" s="88" t="s">
        <v>2266</v>
      </c>
      <c r="E5085" s="88" t="s">
        <v>61</v>
      </c>
      <c r="F5085" s="88">
        <v>0</v>
      </c>
      <c r="G5085" s="78">
        <f>MAX(H5085,I5085,J5085)</f>
        <v>1</v>
      </c>
      <c r="H5085" s="88"/>
      <c r="I5085" s="88"/>
      <c r="J5085" s="78">
        <f>MAX(K5085:Q5085)</f>
        <v>1</v>
      </c>
      <c r="K5085" s="88">
        <v>1</v>
      </c>
      <c r="L5085" s="88"/>
      <c r="M5085" s="88"/>
      <c r="N5085" s="88"/>
      <c r="O5085" s="88"/>
      <c r="P5085" s="88"/>
      <c r="Q5085" s="88"/>
      <c r="R5085" s="78">
        <f>MAX(S5085:W5085)</f>
        <v>0</v>
      </c>
      <c r="S5085" s="88"/>
      <c r="T5085" s="88"/>
      <c r="U5085" s="88"/>
      <c r="V5085" s="88"/>
      <c r="W5085" s="88"/>
    </row>
    <row r="5086" spans="2:23" s="0" customFormat="0" ht="15">
      <c r="B5086" s="87" t="s">
        <v>1</v>
      </c>
      <c r="C5086" s="88" t="s">
        <v>5259</v>
      </c>
      <c r="D5086" s="88">
        <v>21736767</v>
      </c>
      <c r="E5086" s="88" t="s">
        <v>61</v>
      </c>
      <c r="F5086" s="88">
        <v>0</v>
      </c>
      <c r="G5086" s="78">
        <f>MAX(H5086,I5086,J5086)</f>
        <v>1</v>
      </c>
      <c r="H5086" s="88"/>
      <c r="I5086" s="88"/>
      <c r="J5086" s="78">
        <f>MAX(K5086:Q5086)</f>
        <v>1</v>
      </c>
      <c r="K5086" s="88">
        <v>1</v>
      </c>
      <c r="L5086" s="88"/>
      <c r="M5086" s="88"/>
      <c r="N5086" s="88"/>
      <c r="O5086" s="88"/>
      <c r="P5086" s="88"/>
      <c r="Q5086" s="88"/>
      <c r="R5086" s="78">
        <f>MAX(S5086:W5086)</f>
        <v>0</v>
      </c>
      <c r="S5086" s="88"/>
      <c r="T5086" s="88"/>
      <c r="U5086" s="88"/>
      <c r="V5086" s="88"/>
      <c r="W5086" s="88"/>
    </row>
    <row r="5087" spans="2:23" s="0" customFormat="0" ht="15">
      <c r="B5087" s="87" t="s">
        <v>1</v>
      </c>
      <c r="C5087" s="88" t="s">
        <v>5259</v>
      </c>
      <c r="D5087" s="88">
        <v>19664799</v>
      </c>
      <c r="E5087" s="88" t="s">
        <v>61</v>
      </c>
      <c r="F5087" s="88">
        <v>0</v>
      </c>
      <c r="G5087" s="78">
        <f>MAX(H5087,I5087,J5087)</f>
        <v>1</v>
      </c>
      <c r="H5087" s="88"/>
      <c r="I5087" s="88"/>
      <c r="J5087" s="78">
        <f>MAX(K5087:Q5087)</f>
        <v>1</v>
      </c>
      <c r="K5087" s="88">
        <v>1</v>
      </c>
      <c r="L5087" s="88"/>
      <c r="M5087" s="88"/>
      <c r="N5087" s="88"/>
      <c r="O5087" s="88"/>
      <c r="P5087" s="88"/>
      <c r="Q5087" s="88"/>
      <c r="R5087" s="78">
        <f>MAX(S5087:W5087)</f>
        <v>0</v>
      </c>
      <c r="S5087" s="88"/>
      <c r="T5087" s="88"/>
      <c r="U5087" s="88"/>
      <c r="V5087" s="88"/>
      <c r="W5087" s="88"/>
    </row>
    <row r="5088" spans="2:23" s="0" customFormat="0" ht="15">
      <c r="B5088" s="87" t="s">
        <v>1</v>
      </c>
      <c r="C5088" s="88" t="s">
        <v>5259</v>
      </c>
      <c r="D5088" s="88">
        <v>20928443</v>
      </c>
      <c r="E5088" s="88" t="s">
        <v>61</v>
      </c>
      <c r="F5088" s="88">
        <v>0</v>
      </c>
      <c r="G5088" s="78">
        <f>MAX(H5088,I5088,J5088)</f>
        <v>1</v>
      </c>
      <c r="H5088" s="88"/>
      <c r="I5088" s="88"/>
      <c r="J5088" s="78">
        <f>MAX(K5088:Q5088)</f>
        <v>1</v>
      </c>
      <c r="K5088" s="88">
        <v>1</v>
      </c>
      <c r="L5088" s="88"/>
      <c r="M5088" s="88"/>
      <c r="N5088" s="88"/>
      <c r="O5088" s="88"/>
      <c r="P5088" s="88"/>
      <c r="Q5088" s="88"/>
      <c r="R5088" s="78">
        <f>MAX(S5088:W5088)</f>
        <v>0</v>
      </c>
      <c r="S5088" s="88"/>
      <c r="T5088" s="88"/>
      <c r="U5088" s="88"/>
      <c r="V5088" s="88"/>
      <c r="W5088" s="88"/>
    </row>
    <row r="5089" spans="2:23" s="0" customFormat="0" ht="15">
      <c r="B5089" s="87" t="s">
        <v>1</v>
      </c>
      <c r="C5089" s="88" t="s">
        <v>5259</v>
      </c>
      <c r="D5089" s="88">
        <v>19612064</v>
      </c>
      <c r="E5089" s="88" t="s">
        <v>61</v>
      </c>
      <c r="F5089" s="88">
        <v>0</v>
      </c>
      <c r="G5089" s="78">
        <f>MAX(H5089,I5089,J5089)</f>
        <v>1</v>
      </c>
      <c r="H5089" s="88"/>
      <c r="I5089" s="88"/>
      <c r="J5089" s="78">
        <f>MAX(K5089:Q5089)</f>
        <v>1</v>
      </c>
      <c r="K5089" s="88">
        <v>1</v>
      </c>
      <c r="L5089" s="88"/>
      <c r="M5089" s="88"/>
      <c r="N5089" s="88"/>
      <c r="O5089" s="88"/>
      <c r="P5089" s="88"/>
      <c r="Q5089" s="88"/>
      <c r="R5089" s="78">
        <f>MAX(S5089:W5089)</f>
        <v>0</v>
      </c>
      <c r="S5089" s="88"/>
      <c r="T5089" s="88"/>
      <c r="U5089" s="88"/>
      <c r="V5089" s="88"/>
      <c r="W5089" s="88"/>
    </row>
    <row r="5090" spans="2:23" s="0" customFormat="0" ht="15">
      <c r="B5090" s="87" t="s">
        <v>1</v>
      </c>
      <c r="C5090" s="88" t="s">
        <v>5259</v>
      </c>
      <c r="D5090" s="88" t="s">
        <v>2764</v>
      </c>
      <c r="E5090" s="88" t="s">
        <v>61</v>
      </c>
      <c r="F5090" s="88">
        <v>0</v>
      </c>
      <c r="G5090" s="78">
        <f>MAX(H5090,I5090,J5090)</f>
        <v>1</v>
      </c>
      <c r="H5090" s="88"/>
      <c r="I5090" s="88"/>
      <c r="J5090" s="78">
        <f>MAX(K5090:Q5090)</f>
        <v>1</v>
      </c>
      <c r="K5090" s="88">
        <v>1</v>
      </c>
      <c r="L5090" s="88"/>
      <c r="M5090" s="88"/>
      <c r="N5090" s="88"/>
      <c r="O5090" s="88"/>
      <c r="P5090" s="88"/>
      <c r="Q5090" s="88"/>
      <c r="R5090" s="78">
        <f>MAX(S5090:W5090)</f>
        <v>0</v>
      </c>
      <c r="S5090" s="88"/>
      <c r="T5090" s="88"/>
      <c r="U5090" s="88"/>
      <c r="V5090" s="88"/>
      <c r="W5090" s="88"/>
    </row>
    <row r="5091" spans="2:23" s="0" customFormat="0" ht="15">
      <c r="B5091" s="87" t="s">
        <v>1</v>
      </c>
      <c r="C5091" s="88" t="s">
        <v>5259</v>
      </c>
      <c r="D5091" s="88" t="s">
        <v>1808</v>
      </c>
      <c r="E5091" s="88" t="s">
        <v>61</v>
      </c>
      <c r="F5091" s="88">
        <v>0</v>
      </c>
      <c r="G5091" s="78">
        <f>MAX(H5091,I5091,J5091)</f>
        <v>1</v>
      </c>
      <c r="H5091" s="88"/>
      <c r="I5091" s="88"/>
      <c r="J5091" s="78">
        <f>MAX(K5091:Q5091)</f>
        <v>1</v>
      </c>
      <c r="K5091" s="88">
        <v>1</v>
      </c>
      <c r="L5091" s="88"/>
      <c r="M5091" s="88"/>
      <c r="N5091" s="88"/>
      <c r="O5091" s="88"/>
      <c r="P5091" s="88"/>
      <c r="Q5091" s="88"/>
      <c r="R5091" s="78">
        <f>MAX(S5091:W5091)</f>
        <v>0</v>
      </c>
      <c r="S5091" s="88"/>
      <c r="T5091" s="88"/>
      <c r="U5091" s="88"/>
      <c r="V5091" s="88"/>
      <c r="W5091" s="88"/>
    </row>
    <row r="5092" spans="2:23" s="0" customFormat="0" ht="15">
      <c r="B5092" s="87" t="s">
        <v>1</v>
      </c>
      <c r="C5092" s="88" t="s">
        <v>5259</v>
      </c>
      <c r="D5092" s="88">
        <v>15456588</v>
      </c>
      <c r="E5092" s="88" t="s">
        <v>61</v>
      </c>
      <c r="F5092" s="88">
        <v>0</v>
      </c>
      <c r="G5092" s="78">
        <f>MAX(H5092,I5092,J5092)</f>
        <v>1</v>
      </c>
      <c r="H5092" s="88"/>
      <c r="I5092" s="88"/>
      <c r="J5092" s="78">
        <f>MAX(K5092:Q5092)</f>
        <v>1</v>
      </c>
      <c r="K5092" s="88">
        <v>1</v>
      </c>
      <c r="L5092" s="88"/>
      <c r="M5092" s="88"/>
      <c r="N5092" s="88"/>
      <c r="O5092" s="88"/>
      <c r="P5092" s="88"/>
      <c r="Q5092" s="88"/>
      <c r="R5092" s="78">
        <f>MAX(S5092:W5092)</f>
        <v>0</v>
      </c>
      <c r="S5092" s="88"/>
      <c r="T5092" s="88"/>
      <c r="U5092" s="88"/>
      <c r="V5092" s="88"/>
      <c r="W5092" s="88"/>
    </row>
    <row r="5093" spans="2:23" s="0" customFormat="0" ht="15">
      <c r="B5093" s="87" t="s">
        <v>1</v>
      </c>
      <c r="C5093" s="88" t="s">
        <v>5259</v>
      </c>
      <c r="D5093" s="88">
        <v>23675253</v>
      </c>
      <c r="E5093" s="88" t="s">
        <v>61</v>
      </c>
      <c r="F5093" s="88">
        <v>0</v>
      </c>
      <c r="G5093" s="78">
        <f>MAX(H5093,I5093,J5093)</f>
        <v>1</v>
      </c>
      <c r="H5093" s="88"/>
      <c r="I5093" s="88"/>
      <c r="J5093" s="78">
        <f>MAX(K5093:Q5093)</f>
        <v>1</v>
      </c>
      <c r="K5093" s="88">
        <v>1</v>
      </c>
      <c r="L5093" s="88"/>
      <c r="M5093" s="88"/>
      <c r="N5093" s="88"/>
      <c r="O5093" s="88"/>
      <c r="P5093" s="88"/>
      <c r="Q5093" s="88"/>
      <c r="R5093" s="78">
        <f>MAX(S5093:W5093)</f>
        <v>0</v>
      </c>
      <c r="S5093" s="88"/>
      <c r="T5093" s="88"/>
      <c r="U5093" s="88"/>
      <c r="V5093" s="88"/>
      <c r="W5093" s="88"/>
    </row>
    <row r="5094" spans="2:23" s="0" customFormat="0" ht="15">
      <c r="B5094" s="87" t="s">
        <v>1</v>
      </c>
      <c r="C5094" s="88" t="s">
        <v>5259</v>
      </c>
      <c r="D5094" s="88">
        <v>14902956</v>
      </c>
      <c r="E5094" s="88" t="s">
        <v>61</v>
      </c>
      <c r="F5094" s="88">
        <v>0</v>
      </c>
      <c r="G5094" s="78">
        <f>MAX(H5094,I5094,J5094)</f>
        <v>0</v>
      </c>
      <c r="H5094" s="88"/>
      <c r="I5094" s="88"/>
      <c r="J5094" s="78">
        <f>MAX(K5094:Q5094)</f>
        <v>0</v>
      </c>
      <c r="K5094" s="88"/>
      <c r="L5094" s="88"/>
      <c r="M5094" s="88"/>
      <c r="N5094" s="88"/>
      <c r="O5094" s="88"/>
      <c r="P5094" s="88"/>
      <c r="Q5094" s="88"/>
      <c r="R5094" s="78">
        <f>MAX(S5094:W5094)</f>
        <v>1</v>
      </c>
      <c r="S5094" s="88"/>
      <c r="T5094" s="88"/>
      <c r="U5094" s="88">
        <v>1</v>
      </c>
      <c r="V5094" s="88"/>
      <c r="W5094" s="88"/>
    </row>
    <row r="5095" spans="2:23" s="0" customFormat="0" ht="15">
      <c r="B5095" s="87" t="s">
        <v>1</v>
      </c>
      <c r="C5095" s="88" t="s">
        <v>5259</v>
      </c>
      <c r="D5095" s="88">
        <v>11252201</v>
      </c>
      <c r="E5095" s="88" t="s">
        <v>61</v>
      </c>
      <c r="F5095" s="88">
        <v>0</v>
      </c>
      <c r="G5095" s="78">
        <f>MAX(H5095,I5095,J5095)</f>
        <v>1</v>
      </c>
      <c r="H5095" s="88"/>
      <c r="I5095" s="88"/>
      <c r="J5095" s="78">
        <f>MAX(K5095:Q5095)</f>
        <v>1</v>
      </c>
      <c r="K5095" s="88">
        <v>1</v>
      </c>
      <c r="L5095" s="88"/>
      <c r="M5095" s="88"/>
      <c r="N5095" s="88"/>
      <c r="O5095" s="88"/>
      <c r="P5095" s="88"/>
      <c r="Q5095" s="88"/>
      <c r="R5095" s="78">
        <f>MAX(S5095:W5095)</f>
        <v>0</v>
      </c>
      <c r="S5095" s="88"/>
      <c r="T5095" s="88"/>
      <c r="U5095" s="88"/>
      <c r="V5095" s="88"/>
      <c r="W5095" s="88"/>
    </row>
    <row r="5096" spans="2:23" s="0" customFormat="0" ht="15">
      <c r="B5096" s="87" t="s">
        <v>1</v>
      </c>
      <c r="C5096" s="88" t="s">
        <v>5259</v>
      </c>
      <c r="D5096" s="88" t="s">
        <v>2328</v>
      </c>
      <c r="E5096" s="88" t="s">
        <v>61</v>
      </c>
      <c r="F5096" s="88">
        <v>0</v>
      </c>
      <c r="G5096" s="78">
        <f>MAX(H5096,I5096,J5096)</f>
        <v>1</v>
      </c>
      <c r="H5096" s="88"/>
      <c r="I5096" s="88"/>
      <c r="J5096" s="78">
        <f>MAX(K5096:Q5096)</f>
        <v>1</v>
      </c>
      <c r="K5096" s="88">
        <v>1</v>
      </c>
      <c r="L5096" s="88"/>
      <c r="M5096" s="88"/>
      <c r="N5096" s="88"/>
      <c r="O5096" s="88"/>
      <c r="P5096" s="88"/>
      <c r="Q5096" s="88"/>
      <c r="R5096" s="78">
        <f>MAX(S5096:W5096)</f>
        <v>0</v>
      </c>
      <c r="S5096" s="88"/>
      <c r="T5096" s="88"/>
      <c r="U5096" s="88"/>
      <c r="V5096" s="88"/>
      <c r="W5096" s="88"/>
    </row>
    <row r="5097" spans="2:23" s="0" customFormat="0" ht="15">
      <c r="B5097" s="87" t="s">
        <v>1</v>
      </c>
      <c r="C5097" s="88" t="s">
        <v>5259</v>
      </c>
      <c r="D5097" s="88" t="s">
        <v>5025</v>
      </c>
      <c r="E5097" s="88" t="s">
        <v>61</v>
      </c>
      <c r="F5097" s="88">
        <v>0</v>
      </c>
      <c r="G5097" s="78">
        <f>MAX(H5097,I5097,J5097)</f>
        <v>0</v>
      </c>
      <c r="H5097" s="88"/>
      <c r="I5097" s="88"/>
      <c r="J5097" s="78">
        <f>MAX(K5097:Q5097)</f>
        <v>0</v>
      </c>
      <c r="K5097" s="88"/>
      <c r="L5097" s="88"/>
      <c r="M5097" s="88"/>
      <c r="N5097" s="88"/>
      <c r="O5097" s="88"/>
      <c r="P5097" s="88"/>
      <c r="Q5097" s="88"/>
      <c r="R5097" s="78">
        <f>MAX(S5097:W5097)</f>
        <v>1</v>
      </c>
      <c r="S5097" s="88"/>
      <c r="T5097" s="88"/>
      <c r="U5097" s="88">
        <v>1</v>
      </c>
      <c r="V5097" s="88"/>
      <c r="W5097" s="88"/>
    </row>
    <row r="5098" spans="2:23" s="0" customFormat="0" ht="15">
      <c r="B5098" s="87" t="s">
        <v>1</v>
      </c>
      <c r="C5098" s="88" t="s">
        <v>5259</v>
      </c>
      <c r="D5098" s="88">
        <v>19498823</v>
      </c>
      <c r="E5098" s="88" t="s">
        <v>61</v>
      </c>
      <c r="F5098" s="88">
        <v>0</v>
      </c>
      <c r="G5098" s="78">
        <f>MAX(H5098,I5098,J5098)</f>
        <v>1</v>
      </c>
      <c r="H5098" s="88"/>
      <c r="I5098" s="88"/>
      <c r="J5098" s="78">
        <f>MAX(K5098:Q5098)</f>
        <v>1</v>
      </c>
      <c r="K5098" s="88">
        <v>1</v>
      </c>
      <c r="L5098" s="88"/>
      <c r="M5098" s="88"/>
      <c r="N5098" s="88"/>
      <c r="O5098" s="88"/>
      <c r="P5098" s="88"/>
      <c r="Q5098" s="88"/>
      <c r="R5098" s="78">
        <f>MAX(S5098:W5098)</f>
        <v>0</v>
      </c>
      <c r="S5098" s="88"/>
      <c r="T5098" s="88"/>
      <c r="U5098" s="88"/>
      <c r="V5098" s="88"/>
      <c r="W5098" s="88"/>
    </row>
    <row r="5099" spans="2:23" s="0" customFormat="0" ht="15">
      <c r="B5099" s="87" t="s">
        <v>1</v>
      </c>
      <c r="C5099" s="88" t="s">
        <v>5259</v>
      </c>
      <c r="D5099" s="88">
        <v>4934205</v>
      </c>
      <c r="E5099" s="88" t="s">
        <v>61</v>
      </c>
      <c r="F5099" s="88">
        <v>0</v>
      </c>
      <c r="G5099" s="78">
        <f>MAX(H5099,I5099,J5099)</f>
        <v>1</v>
      </c>
      <c r="H5099" s="88"/>
      <c r="I5099" s="88"/>
      <c r="J5099" s="78">
        <f>MAX(K5099:Q5099)</f>
        <v>1</v>
      </c>
      <c r="K5099" s="88">
        <v>1</v>
      </c>
      <c r="L5099" s="88"/>
      <c r="M5099" s="88"/>
      <c r="N5099" s="88"/>
      <c r="O5099" s="88"/>
      <c r="P5099" s="88"/>
      <c r="Q5099" s="88"/>
      <c r="R5099" s="78">
        <f>MAX(S5099:W5099)</f>
        <v>0</v>
      </c>
      <c r="S5099" s="88"/>
      <c r="T5099" s="88"/>
      <c r="U5099" s="88"/>
      <c r="V5099" s="88"/>
      <c r="W5099" s="88"/>
    </row>
    <row r="5100" spans="2:23" s="0" customFormat="0" ht="15">
      <c r="B5100" s="87" t="s">
        <v>1</v>
      </c>
      <c r="C5100" s="88" t="s">
        <v>5259</v>
      </c>
      <c r="D5100" s="88">
        <v>16209406</v>
      </c>
      <c r="E5100" s="88" t="s">
        <v>61</v>
      </c>
      <c r="F5100" s="88">
        <v>0</v>
      </c>
      <c r="G5100" s="78">
        <f>MAX(H5100,I5100,J5100)</f>
        <v>1</v>
      </c>
      <c r="H5100" s="88"/>
      <c r="I5100" s="88"/>
      <c r="J5100" s="78">
        <f>MAX(K5100:Q5100)</f>
        <v>1</v>
      </c>
      <c r="K5100" s="88">
        <v>1</v>
      </c>
      <c r="L5100" s="88"/>
      <c r="M5100" s="88"/>
      <c r="N5100" s="88"/>
      <c r="O5100" s="88"/>
      <c r="P5100" s="88"/>
      <c r="Q5100" s="88"/>
      <c r="R5100" s="78">
        <f>MAX(S5100:W5100)</f>
        <v>0</v>
      </c>
      <c r="S5100" s="88"/>
      <c r="T5100" s="88"/>
      <c r="U5100" s="88"/>
      <c r="V5100" s="88"/>
      <c r="W5100" s="88"/>
    </row>
    <row r="5101" spans="2:23" s="0" customFormat="0" ht="15">
      <c r="B5101" s="87" t="s">
        <v>1</v>
      </c>
      <c r="C5101" s="88" t="s">
        <v>5259</v>
      </c>
      <c r="D5101" s="88">
        <v>20370879</v>
      </c>
      <c r="E5101" s="88" t="s">
        <v>61</v>
      </c>
      <c r="F5101" s="88">
        <v>0</v>
      </c>
      <c r="G5101" s="78">
        <f>MAX(H5101,I5101,J5101)</f>
        <v>1</v>
      </c>
      <c r="H5101" s="88"/>
      <c r="I5101" s="88"/>
      <c r="J5101" s="78">
        <f>MAX(K5101:Q5101)</f>
        <v>1</v>
      </c>
      <c r="K5101" s="88">
        <v>1</v>
      </c>
      <c r="L5101" s="88"/>
      <c r="M5101" s="88"/>
      <c r="N5101" s="88"/>
      <c r="O5101" s="88"/>
      <c r="P5101" s="88"/>
      <c r="Q5101" s="88"/>
      <c r="R5101" s="78">
        <f>MAX(S5101:W5101)</f>
        <v>0</v>
      </c>
      <c r="S5101" s="88"/>
      <c r="T5101" s="88"/>
      <c r="U5101" s="88"/>
      <c r="V5101" s="88"/>
      <c r="W5101" s="88"/>
    </row>
    <row r="5102" spans="2:23" s="0" customFormat="0" ht="15">
      <c r="B5102" s="87" t="s">
        <v>1</v>
      </c>
      <c r="C5102" s="88" t="s">
        <v>5259</v>
      </c>
      <c r="D5102" s="88">
        <v>24931064</v>
      </c>
      <c r="E5102" s="88" t="s">
        <v>61</v>
      </c>
      <c r="F5102" s="88">
        <v>0</v>
      </c>
      <c r="G5102" s="78">
        <f>MAX(H5102,I5102,J5102)</f>
        <v>1</v>
      </c>
      <c r="H5102" s="88"/>
      <c r="I5102" s="88"/>
      <c r="J5102" s="78">
        <f>MAX(K5102:Q5102)</f>
        <v>1</v>
      </c>
      <c r="K5102" s="88">
        <v>1</v>
      </c>
      <c r="L5102" s="88"/>
      <c r="M5102" s="88"/>
      <c r="N5102" s="88"/>
      <c r="O5102" s="88"/>
      <c r="P5102" s="88"/>
      <c r="Q5102" s="88"/>
      <c r="R5102" s="78">
        <f>MAX(S5102:W5102)</f>
        <v>0</v>
      </c>
      <c r="S5102" s="88"/>
      <c r="T5102" s="88"/>
      <c r="U5102" s="88"/>
      <c r="V5102" s="88"/>
      <c r="W5102" s="88"/>
    </row>
    <row r="5103" spans="2:23" s="0" customFormat="0" ht="15">
      <c r="B5103" s="87" t="s">
        <v>1</v>
      </c>
      <c r="C5103" s="88" t="s">
        <v>5259</v>
      </c>
      <c r="D5103" s="88">
        <v>22289596</v>
      </c>
      <c r="E5103" s="88" t="s">
        <v>61</v>
      </c>
      <c r="F5103" s="88">
        <v>0</v>
      </c>
      <c r="G5103" s="78">
        <f>MAX(H5103,I5103,J5103)</f>
        <v>1</v>
      </c>
      <c r="H5103" s="88"/>
      <c r="I5103" s="88"/>
      <c r="J5103" s="78">
        <f>MAX(K5103:Q5103)</f>
        <v>1</v>
      </c>
      <c r="K5103" s="88">
        <v>1</v>
      </c>
      <c r="L5103" s="88"/>
      <c r="M5103" s="88"/>
      <c r="N5103" s="88"/>
      <c r="O5103" s="88"/>
      <c r="P5103" s="88"/>
      <c r="Q5103" s="88"/>
      <c r="R5103" s="78">
        <f>MAX(S5103:W5103)</f>
        <v>0</v>
      </c>
      <c r="S5103" s="88"/>
      <c r="T5103" s="88"/>
      <c r="U5103" s="88"/>
      <c r="V5103" s="88"/>
      <c r="W5103" s="88"/>
    </row>
    <row r="5104" spans="2:23" s="0" customFormat="0" ht="15">
      <c r="B5104" s="87" t="s">
        <v>1</v>
      </c>
      <c r="C5104" s="88" t="s">
        <v>5259</v>
      </c>
      <c r="D5104" s="88">
        <v>22246383</v>
      </c>
      <c r="E5104" s="88" t="s">
        <v>61</v>
      </c>
      <c r="F5104" s="88">
        <v>0</v>
      </c>
      <c r="G5104" s="78">
        <f>MAX(H5104,I5104,J5104)</f>
        <v>1</v>
      </c>
      <c r="H5104" s="88"/>
      <c r="I5104" s="88"/>
      <c r="J5104" s="78">
        <f>MAX(K5104:Q5104)</f>
        <v>1</v>
      </c>
      <c r="K5104" s="88">
        <v>1</v>
      </c>
      <c r="L5104" s="88"/>
      <c r="M5104" s="88"/>
      <c r="N5104" s="88"/>
      <c r="O5104" s="88"/>
      <c r="P5104" s="88"/>
      <c r="Q5104" s="88"/>
      <c r="R5104" s="78">
        <f>MAX(S5104:W5104)</f>
        <v>0</v>
      </c>
      <c r="S5104" s="88"/>
      <c r="T5104" s="88"/>
      <c r="U5104" s="88"/>
      <c r="V5104" s="88"/>
      <c r="W5104" s="88"/>
    </row>
    <row r="5105" spans="2:23" s="0" customFormat="0" ht="15">
      <c r="B5105" s="87" t="s">
        <v>1</v>
      </c>
      <c r="C5105" s="88" t="s">
        <v>5259</v>
      </c>
      <c r="D5105" s="88">
        <v>12519276</v>
      </c>
      <c r="E5105" s="88" t="s">
        <v>61</v>
      </c>
      <c r="F5105" s="88">
        <v>0</v>
      </c>
      <c r="G5105" s="78">
        <f>MAX(H5105,I5105,J5105)</f>
        <v>1</v>
      </c>
      <c r="H5105" s="88"/>
      <c r="I5105" s="88"/>
      <c r="J5105" s="78">
        <f>MAX(K5105:Q5105)</f>
        <v>1</v>
      </c>
      <c r="K5105" s="88">
        <v>1</v>
      </c>
      <c r="L5105" s="88"/>
      <c r="M5105" s="88"/>
      <c r="N5105" s="88"/>
      <c r="O5105" s="88"/>
      <c r="P5105" s="88"/>
      <c r="Q5105" s="88"/>
      <c r="R5105" s="78">
        <f>MAX(S5105:W5105)</f>
        <v>0</v>
      </c>
      <c r="S5105" s="88"/>
      <c r="T5105" s="88"/>
      <c r="U5105" s="88"/>
      <c r="V5105" s="88"/>
      <c r="W5105" s="88"/>
    </row>
    <row r="5106" spans="2:23" s="0" customFormat="0" ht="15">
      <c r="B5106" s="87" t="s">
        <v>1</v>
      </c>
      <c r="C5106" s="88" t="s">
        <v>5259</v>
      </c>
      <c r="D5106" s="88">
        <v>13524479</v>
      </c>
      <c r="E5106" s="88" t="s">
        <v>61</v>
      </c>
      <c r="F5106" s="88">
        <v>0</v>
      </c>
      <c r="G5106" s="78">
        <f>MAX(H5106,I5106,J5106)</f>
        <v>1</v>
      </c>
      <c r="H5106" s="88"/>
      <c r="I5106" s="88"/>
      <c r="J5106" s="78">
        <f>MAX(K5106:Q5106)</f>
        <v>1</v>
      </c>
      <c r="K5106" s="88">
        <v>1</v>
      </c>
      <c r="L5106" s="88"/>
      <c r="M5106" s="88"/>
      <c r="N5106" s="88"/>
      <c r="O5106" s="88"/>
      <c r="P5106" s="88"/>
      <c r="Q5106" s="88"/>
      <c r="R5106" s="78">
        <f>MAX(S5106:W5106)</f>
        <v>0</v>
      </c>
      <c r="S5106" s="88"/>
      <c r="T5106" s="88"/>
      <c r="U5106" s="88"/>
      <c r="V5106" s="88"/>
      <c r="W5106" s="88"/>
    </row>
    <row r="5107" spans="2:23" s="0" customFormat="0" ht="15">
      <c r="B5107" s="87" t="s">
        <v>1</v>
      </c>
      <c r="C5107" s="88" t="s">
        <v>5259</v>
      </c>
      <c r="D5107" s="88" t="s">
        <v>4849</v>
      </c>
      <c r="E5107" s="88" t="s">
        <v>61</v>
      </c>
      <c r="F5107" s="88">
        <v>0</v>
      </c>
      <c r="G5107" s="78">
        <f>MAX(H5107,I5107,J5107)</f>
        <v>0</v>
      </c>
      <c r="H5107" s="88"/>
      <c r="I5107" s="88"/>
      <c r="J5107" s="78">
        <f>MAX(K5107:Q5107)</f>
        <v>0</v>
      </c>
      <c r="K5107" s="88"/>
      <c r="L5107" s="88"/>
      <c r="M5107" s="88"/>
      <c r="N5107" s="88"/>
      <c r="O5107" s="88"/>
      <c r="P5107" s="88"/>
      <c r="Q5107" s="88"/>
      <c r="R5107" s="78">
        <f>MAX(S5107:W5107)</f>
        <v>1</v>
      </c>
      <c r="S5107" s="88"/>
      <c r="T5107" s="88"/>
      <c r="U5107" s="88">
        <v>1</v>
      </c>
      <c r="V5107" s="88"/>
      <c r="W5107" s="88"/>
    </row>
    <row r="5108" spans="2:23" s="0" customFormat="0" ht="15">
      <c r="B5108" s="87" t="s">
        <v>1</v>
      </c>
      <c r="C5108" s="88" t="s">
        <v>5259</v>
      </c>
      <c r="D5108" s="88">
        <v>21736767</v>
      </c>
      <c r="E5108" s="88" t="s">
        <v>61</v>
      </c>
      <c r="F5108" s="88">
        <v>0</v>
      </c>
      <c r="G5108" s="78">
        <f>MAX(H5108,I5108,J5108)</f>
        <v>1</v>
      </c>
      <c r="H5108" s="88"/>
      <c r="I5108" s="88"/>
      <c r="J5108" s="78">
        <f>MAX(K5108:Q5108)</f>
        <v>1</v>
      </c>
      <c r="K5108" s="88">
        <v>1</v>
      </c>
      <c r="L5108" s="88"/>
      <c r="M5108" s="88"/>
      <c r="N5108" s="88"/>
      <c r="O5108" s="88"/>
      <c r="P5108" s="88"/>
      <c r="Q5108" s="88"/>
      <c r="R5108" s="78">
        <f>MAX(S5108:W5108)</f>
        <v>0</v>
      </c>
      <c r="S5108" s="88"/>
      <c r="T5108" s="88"/>
      <c r="U5108" s="88"/>
      <c r="V5108" s="88"/>
      <c r="W5108" s="88"/>
    </row>
    <row r="5109" spans="2:23" s="0" customFormat="0" ht="15">
      <c r="B5109" s="87" t="s">
        <v>1</v>
      </c>
      <c r="C5109" s="88" t="s">
        <v>5259</v>
      </c>
      <c r="D5109" s="88">
        <v>19641203</v>
      </c>
      <c r="E5109" s="88" t="s">
        <v>61</v>
      </c>
      <c r="F5109" s="88">
        <v>0</v>
      </c>
      <c r="G5109" s="78">
        <f>MAX(H5109,I5109,J5109)</f>
        <v>1</v>
      </c>
      <c r="H5109" s="88"/>
      <c r="I5109" s="88"/>
      <c r="J5109" s="78">
        <f>MAX(K5109:Q5109)</f>
        <v>1</v>
      </c>
      <c r="K5109" s="88">
        <v>1</v>
      </c>
      <c r="L5109" s="88"/>
      <c r="M5109" s="88"/>
      <c r="N5109" s="88"/>
      <c r="O5109" s="88"/>
      <c r="P5109" s="88"/>
      <c r="Q5109" s="88"/>
      <c r="R5109" s="78">
        <f>MAX(S5109:W5109)</f>
        <v>0</v>
      </c>
      <c r="S5109" s="88"/>
      <c r="T5109" s="88"/>
      <c r="U5109" s="88"/>
      <c r="V5109" s="88"/>
      <c r="W5109" s="88"/>
    </row>
    <row r="5110" spans="2:23" s="0" customFormat="0" ht="15">
      <c r="B5110" s="87" t="s">
        <v>1</v>
      </c>
      <c r="C5110" s="88" t="s">
        <v>5259</v>
      </c>
      <c r="D5110" s="88" t="s">
        <v>5098</v>
      </c>
      <c r="E5110" s="88" t="s">
        <v>61</v>
      </c>
      <c r="F5110" s="88">
        <v>0</v>
      </c>
      <c r="G5110" s="78">
        <f>MAX(H5110,I5110,J5110)</f>
        <v>0</v>
      </c>
      <c r="H5110" s="88"/>
      <c r="I5110" s="88"/>
      <c r="J5110" s="78">
        <f>MAX(K5110:Q5110)</f>
        <v>0</v>
      </c>
      <c r="K5110" s="88"/>
      <c r="L5110" s="88"/>
      <c r="M5110" s="88"/>
      <c r="N5110" s="88"/>
      <c r="O5110" s="88"/>
      <c r="P5110" s="88"/>
      <c r="Q5110" s="88"/>
      <c r="R5110" s="78">
        <f>MAX(S5110:W5110)</f>
        <v>1</v>
      </c>
      <c r="S5110" s="88"/>
      <c r="T5110" s="88"/>
      <c r="U5110" s="88">
        <v>1</v>
      </c>
      <c r="V5110" s="88"/>
      <c r="W5110" s="88"/>
    </row>
    <row r="5111" spans="2:23" s="0" customFormat="0" ht="15">
      <c r="B5111" s="87" t="s">
        <v>1</v>
      </c>
      <c r="C5111" s="88" t="s">
        <v>5259</v>
      </c>
      <c r="D5111" s="88">
        <v>10875059</v>
      </c>
      <c r="E5111" s="88" t="s">
        <v>61</v>
      </c>
      <c r="F5111" s="88">
        <v>0</v>
      </c>
      <c r="G5111" s="78">
        <f>MAX(H5111,I5111,J5111)</f>
        <v>1</v>
      </c>
      <c r="H5111" s="88"/>
      <c r="I5111" s="88"/>
      <c r="J5111" s="78">
        <f>MAX(K5111:Q5111)</f>
        <v>1</v>
      </c>
      <c r="K5111" s="88">
        <v>1</v>
      </c>
      <c r="L5111" s="88"/>
      <c r="M5111" s="88"/>
      <c r="N5111" s="88"/>
      <c r="O5111" s="88"/>
      <c r="P5111" s="88"/>
      <c r="Q5111" s="88"/>
      <c r="R5111" s="78">
        <f>MAX(S5111:W5111)</f>
        <v>0</v>
      </c>
      <c r="S5111" s="88"/>
      <c r="T5111" s="88"/>
      <c r="U5111" s="88"/>
      <c r="V5111" s="88"/>
      <c r="W5111" s="88"/>
    </row>
    <row r="5112" spans="2:23" s="0" customFormat="0" ht="15">
      <c r="B5112" s="87" t="s">
        <v>1</v>
      </c>
      <c r="C5112" s="88" t="s">
        <v>5259</v>
      </c>
      <c r="D5112" s="88" t="s">
        <v>5100</v>
      </c>
      <c r="E5112" s="88" t="s">
        <v>61</v>
      </c>
      <c r="F5112" s="88">
        <v>0</v>
      </c>
      <c r="G5112" s="78">
        <f>MAX(H5112,I5112,J5112)</f>
        <v>0</v>
      </c>
      <c r="H5112" s="88"/>
      <c r="I5112" s="88"/>
      <c r="J5112" s="78">
        <f>MAX(K5112:Q5112)</f>
        <v>0</v>
      </c>
      <c r="K5112" s="88"/>
      <c r="L5112" s="88"/>
      <c r="M5112" s="88"/>
      <c r="N5112" s="88"/>
      <c r="O5112" s="88"/>
      <c r="P5112" s="88"/>
      <c r="Q5112" s="88"/>
      <c r="R5112" s="78">
        <f>MAX(S5112:W5112)</f>
        <v>1</v>
      </c>
      <c r="S5112" s="88"/>
      <c r="T5112" s="88"/>
      <c r="U5112" s="88">
        <v>1</v>
      </c>
      <c r="V5112" s="88"/>
      <c r="W5112" s="88"/>
    </row>
    <row r="5113" spans="2:23" s="0" customFormat="0" ht="15">
      <c r="B5113" s="87" t="s">
        <v>1</v>
      </c>
      <c r="C5113" s="88" t="s">
        <v>5259</v>
      </c>
      <c r="D5113" s="88">
        <v>20113237</v>
      </c>
      <c r="E5113" s="88" t="s">
        <v>61</v>
      </c>
      <c r="F5113" s="88">
        <v>0</v>
      </c>
      <c r="G5113" s="78">
        <f>MAX(H5113,I5113,J5113)</f>
        <v>0</v>
      </c>
      <c r="H5113" s="88"/>
      <c r="I5113" s="88"/>
      <c r="J5113" s="78">
        <f>MAX(K5113:Q5113)</f>
        <v>0</v>
      </c>
      <c r="K5113" s="88"/>
      <c r="L5113" s="88"/>
      <c r="M5113" s="88"/>
      <c r="N5113" s="88"/>
      <c r="O5113" s="88"/>
      <c r="P5113" s="88"/>
      <c r="Q5113" s="88"/>
      <c r="R5113" s="78">
        <f>MAX(S5113:W5113)</f>
        <v>1</v>
      </c>
      <c r="S5113" s="88"/>
      <c r="T5113" s="88"/>
      <c r="U5113" s="88">
        <v>1</v>
      </c>
      <c r="V5113" s="88"/>
      <c r="W5113" s="88"/>
    </row>
    <row r="5114" spans="2:23" s="0" customFormat="0" ht="15">
      <c r="B5114" s="87" t="s">
        <v>1</v>
      </c>
      <c r="C5114" s="88" t="s">
        <v>5259</v>
      </c>
      <c r="D5114" s="88">
        <v>8173683</v>
      </c>
      <c r="E5114" s="88" t="s">
        <v>61</v>
      </c>
      <c r="F5114" s="88">
        <v>0</v>
      </c>
      <c r="G5114" s="78">
        <f>MAX(H5114,I5114,J5114)</f>
        <v>1</v>
      </c>
      <c r="H5114" s="88"/>
      <c r="I5114" s="88"/>
      <c r="J5114" s="78">
        <f>MAX(K5114:Q5114)</f>
        <v>1</v>
      </c>
      <c r="K5114" s="88">
        <v>1</v>
      </c>
      <c r="L5114" s="88"/>
      <c r="M5114" s="88"/>
      <c r="N5114" s="88"/>
      <c r="O5114" s="88"/>
      <c r="P5114" s="88"/>
      <c r="Q5114" s="88"/>
      <c r="R5114" s="78">
        <f>MAX(S5114:W5114)</f>
        <v>0</v>
      </c>
      <c r="S5114" s="88"/>
      <c r="T5114" s="88"/>
      <c r="U5114" s="88"/>
      <c r="V5114" s="88"/>
      <c r="W5114" s="88"/>
    </row>
    <row r="5115" spans="2:23" s="0" customFormat="0" ht="15">
      <c r="B5115" s="87" t="s">
        <v>1</v>
      </c>
      <c r="C5115" s="88" t="s">
        <v>5259</v>
      </c>
      <c r="D5115" s="88">
        <v>23531113</v>
      </c>
      <c r="E5115" s="88" t="s">
        <v>61</v>
      </c>
      <c r="F5115" s="88">
        <v>0</v>
      </c>
      <c r="G5115" s="78">
        <f>MAX(H5115,I5115,J5115)</f>
        <v>1</v>
      </c>
      <c r="H5115" s="88"/>
      <c r="I5115" s="88"/>
      <c r="J5115" s="78">
        <f>MAX(K5115:Q5115)</f>
        <v>1</v>
      </c>
      <c r="K5115" s="88">
        <v>1</v>
      </c>
      <c r="L5115" s="88"/>
      <c r="M5115" s="88"/>
      <c r="N5115" s="88"/>
      <c r="O5115" s="88"/>
      <c r="P5115" s="88"/>
      <c r="Q5115" s="88"/>
      <c r="R5115" s="78">
        <f>MAX(S5115:W5115)</f>
        <v>0</v>
      </c>
      <c r="S5115" s="88"/>
      <c r="T5115" s="88"/>
      <c r="U5115" s="88"/>
      <c r="V5115" s="88"/>
      <c r="W5115" s="88"/>
    </row>
    <row r="5116" spans="2:23" s="0" customFormat="0" ht="15">
      <c r="B5116" s="87" t="s">
        <v>1</v>
      </c>
      <c r="C5116" s="88" t="s">
        <v>5259</v>
      </c>
      <c r="D5116" s="88">
        <v>11841708</v>
      </c>
      <c r="E5116" s="88" t="s">
        <v>61</v>
      </c>
      <c r="F5116" s="88">
        <v>0</v>
      </c>
      <c r="G5116" s="78">
        <f>MAX(H5116,I5116,J5116)</f>
        <v>1</v>
      </c>
      <c r="H5116" s="88"/>
      <c r="I5116" s="88"/>
      <c r="J5116" s="78">
        <f>MAX(K5116:Q5116)</f>
        <v>1</v>
      </c>
      <c r="K5116" s="88">
        <v>1</v>
      </c>
      <c r="L5116" s="88"/>
      <c r="M5116" s="88"/>
      <c r="N5116" s="88"/>
      <c r="O5116" s="88"/>
      <c r="P5116" s="88"/>
      <c r="Q5116" s="88"/>
      <c r="R5116" s="78">
        <f>MAX(S5116:W5116)</f>
        <v>0</v>
      </c>
      <c r="S5116" s="88"/>
      <c r="T5116" s="88"/>
      <c r="U5116" s="88"/>
      <c r="V5116" s="88"/>
      <c r="W5116" s="88"/>
    </row>
    <row r="5117" spans="2:23" s="0" customFormat="0" ht="15">
      <c r="B5117" s="87" t="s">
        <v>1</v>
      </c>
      <c r="C5117" s="88" t="s">
        <v>5259</v>
      </c>
      <c r="D5117" s="88">
        <v>8439558</v>
      </c>
      <c r="E5117" s="88" t="s">
        <v>61</v>
      </c>
      <c r="F5117" s="88">
        <v>0</v>
      </c>
      <c r="G5117" s="78">
        <f>MAX(H5117,I5117,J5117)</f>
        <v>1</v>
      </c>
      <c r="H5117" s="88"/>
      <c r="I5117" s="88"/>
      <c r="J5117" s="78">
        <f>MAX(K5117:Q5117)</f>
        <v>1</v>
      </c>
      <c r="K5117" s="88">
        <v>1</v>
      </c>
      <c r="L5117" s="88"/>
      <c r="M5117" s="88"/>
      <c r="N5117" s="88"/>
      <c r="O5117" s="88"/>
      <c r="P5117" s="88"/>
      <c r="Q5117" s="88"/>
      <c r="R5117" s="78">
        <f>MAX(S5117:W5117)</f>
        <v>0</v>
      </c>
      <c r="S5117" s="88"/>
      <c r="T5117" s="88"/>
      <c r="U5117" s="88"/>
      <c r="V5117" s="88"/>
      <c r="W5117" s="88"/>
    </row>
    <row r="5118" spans="2:23" s="0" customFormat="0" ht="15">
      <c r="B5118" s="87" t="s">
        <v>1</v>
      </c>
      <c r="C5118" s="88" t="s">
        <v>5259</v>
      </c>
      <c r="D5118" s="88">
        <v>5422637</v>
      </c>
      <c r="E5118" s="88" t="s">
        <v>61</v>
      </c>
      <c r="F5118" s="88">
        <v>0</v>
      </c>
      <c r="G5118" s="78">
        <f>MAX(H5118,I5118,J5118)</f>
        <v>0</v>
      </c>
      <c r="H5118" s="88"/>
      <c r="I5118" s="88"/>
      <c r="J5118" s="78">
        <f>MAX(K5118:Q5118)</f>
        <v>0</v>
      </c>
      <c r="K5118" s="88"/>
      <c r="L5118" s="88"/>
      <c r="M5118" s="88"/>
      <c r="N5118" s="88"/>
      <c r="O5118" s="88"/>
      <c r="P5118" s="88"/>
      <c r="Q5118" s="88"/>
      <c r="R5118" s="78">
        <f>MAX(S5118:W5118)</f>
        <v>1</v>
      </c>
      <c r="S5118" s="88"/>
      <c r="T5118" s="88"/>
      <c r="U5118" s="88">
        <v>1</v>
      </c>
      <c r="V5118" s="88"/>
      <c r="W5118" s="88"/>
    </row>
    <row r="5119" spans="2:23" s="0" customFormat="0" ht="15">
      <c r="B5119" s="87" t="s">
        <v>1</v>
      </c>
      <c r="C5119" s="88" t="s">
        <v>5259</v>
      </c>
      <c r="D5119" s="88" t="s">
        <v>2253</v>
      </c>
      <c r="E5119" s="88" t="s">
        <v>61</v>
      </c>
      <c r="F5119" s="88">
        <v>0</v>
      </c>
      <c r="G5119" s="78">
        <f>MAX(H5119,I5119,J5119)</f>
        <v>1</v>
      </c>
      <c r="H5119" s="88"/>
      <c r="I5119" s="88"/>
      <c r="J5119" s="78">
        <f>MAX(K5119:Q5119)</f>
        <v>1</v>
      </c>
      <c r="K5119" s="88">
        <v>1</v>
      </c>
      <c r="L5119" s="88"/>
      <c r="M5119" s="88"/>
      <c r="N5119" s="88"/>
      <c r="O5119" s="88"/>
      <c r="P5119" s="88"/>
      <c r="Q5119" s="88"/>
      <c r="R5119" s="78">
        <f>MAX(S5119:W5119)</f>
        <v>0</v>
      </c>
      <c r="S5119" s="88"/>
      <c r="T5119" s="88"/>
      <c r="U5119" s="88"/>
      <c r="V5119" s="88"/>
      <c r="W5119" s="88"/>
    </row>
    <row r="5120" spans="2:23" s="0" customFormat="0" ht="15">
      <c r="B5120" s="87" t="s">
        <v>1</v>
      </c>
      <c r="C5120" s="88" t="s">
        <v>5259</v>
      </c>
      <c r="D5120" s="88">
        <v>18768984</v>
      </c>
      <c r="E5120" s="88" t="s">
        <v>61</v>
      </c>
      <c r="F5120" s="88">
        <v>0</v>
      </c>
      <c r="G5120" s="78">
        <f>MAX(H5120,I5120,J5120)</f>
        <v>1</v>
      </c>
      <c r="H5120" s="88"/>
      <c r="I5120" s="88"/>
      <c r="J5120" s="78">
        <f>MAX(K5120:Q5120)</f>
        <v>1</v>
      </c>
      <c r="K5120" s="88">
        <v>1</v>
      </c>
      <c r="L5120" s="88"/>
      <c r="M5120" s="88"/>
      <c r="N5120" s="88"/>
      <c r="O5120" s="88"/>
      <c r="P5120" s="88"/>
      <c r="Q5120" s="88"/>
      <c r="R5120" s="78">
        <f>MAX(S5120:W5120)</f>
        <v>0</v>
      </c>
      <c r="S5120" s="88"/>
      <c r="T5120" s="88"/>
      <c r="U5120" s="88"/>
      <c r="V5120" s="88"/>
      <c r="W5120" s="88"/>
    </row>
    <row r="5121" spans="2:23" s="0" customFormat="0" ht="15">
      <c r="B5121" s="87" t="s">
        <v>1</v>
      </c>
      <c r="C5121" s="88" t="s">
        <v>5259</v>
      </c>
      <c r="D5121" s="88">
        <v>13044717</v>
      </c>
      <c r="E5121" s="88" t="s">
        <v>61</v>
      </c>
      <c r="F5121" s="88">
        <v>0</v>
      </c>
      <c r="G5121" s="78">
        <f>MAX(H5121,I5121,J5121)</f>
        <v>1</v>
      </c>
      <c r="H5121" s="88"/>
      <c r="I5121" s="88"/>
      <c r="J5121" s="78">
        <f>MAX(K5121:Q5121)</f>
        <v>1</v>
      </c>
      <c r="K5121" s="88">
        <v>1</v>
      </c>
      <c r="L5121" s="88"/>
      <c r="M5121" s="88"/>
      <c r="N5121" s="88"/>
      <c r="O5121" s="88"/>
      <c r="P5121" s="88"/>
      <c r="Q5121" s="88"/>
      <c r="R5121" s="78">
        <f>MAX(S5121:W5121)</f>
        <v>0</v>
      </c>
      <c r="S5121" s="88"/>
      <c r="T5121" s="88"/>
      <c r="U5121" s="88"/>
      <c r="V5121" s="88"/>
      <c r="W5121" s="88"/>
    </row>
    <row r="5122" spans="2:23" s="0" customFormat="0" ht="15">
      <c r="B5122" s="87" t="s">
        <v>1</v>
      </c>
      <c r="C5122" s="88" t="s">
        <v>5259</v>
      </c>
      <c r="D5122" s="88">
        <v>20505301</v>
      </c>
      <c r="E5122" s="88" t="s">
        <v>61</v>
      </c>
      <c r="F5122" s="88">
        <v>0</v>
      </c>
      <c r="G5122" s="78">
        <f>MAX(H5122,I5122,J5122)</f>
        <v>1</v>
      </c>
      <c r="H5122" s="88"/>
      <c r="I5122" s="88"/>
      <c r="J5122" s="78">
        <f>MAX(K5122:Q5122)</f>
        <v>1</v>
      </c>
      <c r="K5122" s="88">
        <v>1</v>
      </c>
      <c r="L5122" s="88"/>
      <c r="M5122" s="88"/>
      <c r="N5122" s="88"/>
      <c r="O5122" s="88"/>
      <c r="P5122" s="88"/>
      <c r="Q5122" s="88"/>
      <c r="R5122" s="78">
        <f>MAX(S5122:W5122)</f>
        <v>0</v>
      </c>
      <c r="S5122" s="88"/>
      <c r="T5122" s="88"/>
      <c r="U5122" s="88"/>
      <c r="V5122" s="88"/>
      <c r="W5122" s="88"/>
    </row>
    <row r="5123" spans="2:23" s="0" customFormat="0" ht="15">
      <c r="B5123" s="87" t="s">
        <v>1</v>
      </c>
      <c r="C5123" s="88" t="s">
        <v>5259</v>
      </c>
      <c r="D5123" s="88">
        <v>21906280</v>
      </c>
      <c r="E5123" s="88" t="s">
        <v>61</v>
      </c>
      <c r="F5123" s="88">
        <v>0</v>
      </c>
      <c r="G5123" s="78">
        <f>MAX(H5123,I5123,J5123)</f>
        <v>1</v>
      </c>
      <c r="H5123" s="88"/>
      <c r="I5123" s="88"/>
      <c r="J5123" s="78">
        <f>MAX(K5123:Q5123)</f>
        <v>1</v>
      </c>
      <c r="K5123" s="88">
        <v>1</v>
      </c>
      <c r="L5123" s="88"/>
      <c r="M5123" s="88"/>
      <c r="N5123" s="88"/>
      <c r="O5123" s="88"/>
      <c r="P5123" s="88"/>
      <c r="Q5123" s="88"/>
      <c r="R5123" s="78">
        <f>MAX(S5123:W5123)</f>
        <v>0</v>
      </c>
      <c r="S5123" s="88"/>
      <c r="T5123" s="88"/>
      <c r="U5123" s="88"/>
      <c r="V5123" s="88"/>
      <c r="W5123" s="88"/>
    </row>
    <row r="5124" spans="2:23" s="0" customFormat="0" ht="15">
      <c r="B5124" s="87" t="s">
        <v>1</v>
      </c>
      <c r="C5124" s="88" t="s">
        <v>5259</v>
      </c>
      <c r="D5124" s="88" t="s">
        <v>3239</v>
      </c>
      <c r="E5124" s="88" t="s">
        <v>61</v>
      </c>
      <c r="F5124" s="88">
        <v>0</v>
      </c>
      <c r="G5124" s="78">
        <f>MAX(H5124,I5124,J5124)</f>
        <v>0</v>
      </c>
      <c r="H5124" s="88"/>
      <c r="I5124" s="88"/>
      <c r="J5124" s="78">
        <f>MAX(K5124:Q5124)</f>
        <v>0</v>
      </c>
      <c r="K5124" s="88"/>
      <c r="L5124" s="88"/>
      <c r="M5124" s="88"/>
      <c r="N5124" s="88"/>
      <c r="O5124" s="88"/>
      <c r="P5124" s="88"/>
      <c r="Q5124" s="88"/>
      <c r="R5124" s="78">
        <f>MAX(S5124:W5124)</f>
        <v>1</v>
      </c>
      <c r="S5124" s="88"/>
      <c r="T5124" s="88"/>
      <c r="U5124" s="88"/>
      <c r="V5124" s="88">
        <v>1</v>
      </c>
      <c r="W5124" s="88"/>
    </row>
    <row r="5125" spans="2:23" s="0" customFormat="0" ht="15">
      <c r="B5125" s="87" t="s">
        <v>1</v>
      </c>
      <c r="C5125" s="88" t="s">
        <v>5259</v>
      </c>
      <c r="D5125" s="88">
        <v>12667442</v>
      </c>
      <c r="E5125" s="88" t="s">
        <v>61</v>
      </c>
      <c r="F5125" s="88">
        <v>0</v>
      </c>
      <c r="G5125" s="78">
        <f>MAX(H5125,I5125,J5125)</f>
        <v>1</v>
      </c>
      <c r="H5125" s="88"/>
      <c r="I5125" s="88"/>
      <c r="J5125" s="78">
        <f>MAX(K5125:Q5125)</f>
        <v>1</v>
      </c>
      <c r="K5125" s="88">
        <v>1</v>
      </c>
      <c r="L5125" s="88"/>
      <c r="M5125" s="88"/>
      <c r="N5125" s="88"/>
      <c r="O5125" s="88"/>
      <c r="P5125" s="88"/>
      <c r="Q5125" s="88"/>
      <c r="R5125" s="78">
        <f>MAX(S5125:W5125)</f>
        <v>0</v>
      </c>
      <c r="S5125" s="88"/>
      <c r="T5125" s="88"/>
      <c r="U5125" s="88"/>
      <c r="V5125" s="88"/>
      <c r="W5125" s="88"/>
    </row>
    <row r="5126" spans="2:23" s="0" customFormat="0" ht="15">
      <c r="B5126" s="87" t="s">
        <v>1</v>
      </c>
      <c r="C5126" s="88" t="s">
        <v>5259</v>
      </c>
      <c r="D5126" s="88">
        <v>20541270</v>
      </c>
      <c r="E5126" s="88" t="s">
        <v>61</v>
      </c>
      <c r="F5126" s="88">
        <v>0</v>
      </c>
      <c r="G5126" s="78">
        <f>MAX(H5126,I5126,J5126)</f>
        <v>1</v>
      </c>
      <c r="H5126" s="88"/>
      <c r="I5126" s="88"/>
      <c r="J5126" s="78">
        <f>MAX(K5126:Q5126)</f>
        <v>1</v>
      </c>
      <c r="K5126" s="88">
        <v>1</v>
      </c>
      <c r="L5126" s="88"/>
      <c r="M5126" s="88"/>
      <c r="N5126" s="88"/>
      <c r="O5126" s="88"/>
      <c r="P5126" s="88"/>
      <c r="Q5126" s="88"/>
      <c r="R5126" s="78">
        <f>MAX(S5126:W5126)</f>
        <v>0</v>
      </c>
      <c r="S5126" s="88"/>
      <c r="T5126" s="88"/>
      <c r="U5126" s="88"/>
      <c r="V5126" s="88"/>
      <c r="W5126" s="88"/>
    </row>
    <row r="5127" spans="2:23" s="0" customFormat="0" ht="15">
      <c r="B5127" s="87" t="s">
        <v>1</v>
      </c>
      <c r="C5127" s="88" t="s">
        <v>5259</v>
      </c>
      <c r="D5127" s="88" t="s">
        <v>3262</v>
      </c>
      <c r="E5127" s="88" t="s">
        <v>61</v>
      </c>
      <c r="F5127" s="88">
        <v>0</v>
      </c>
      <c r="G5127" s="78">
        <f>MAX(H5127,I5127,J5127)</f>
        <v>0</v>
      </c>
      <c r="H5127" s="88"/>
      <c r="I5127" s="88"/>
      <c r="J5127" s="78">
        <f>MAX(K5127:Q5127)</f>
        <v>0</v>
      </c>
      <c r="K5127" s="88"/>
      <c r="L5127" s="88"/>
      <c r="M5127" s="88"/>
      <c r="N5127" s="88"/>
      <c r="O5127" s="88"/>
      <c r="P5127" s="88"/>
      <c r="Q5127" s="88"/>
      <c r="R5127" s="78">
        <f>MAX(S5127:W5127)</f>
        <v>1</v>
      </c>
      <c r="S5127" s="88"/>
      <c r="T5127" s="88"/>
      <c r="U5127" s="88"/>
      <c r="V5127" s="88">
        <v>1</v>
      </c>
      <c r="W5127" s="88"/>
    </row>
    <row r="5128" spans="2:23" s="0" customFormat="0" ht="15">
      <c r="B5128" s="87" t="s">
        <v>1</v>
      </c>
      <c r="C5128" s="88" t="s">
        <v>5259</v>
      </c>
      <c r="D5128" s="88">
        <v>21999296</v>
      </c>
      <c r="E5128" s="88" t="s">
        <v>61</v>
      </c>
      <c r="F5128" s="88">
        <v>0</v>
      </c>
      <c r="G5128" s="78">
        <f>MAX(H5128,I5128,J5128)</f>
        <v>1</v>
      </c>
      <c r="H5128" s="88"/>
      <c r="I5128" s="88"/>
      <c r="J5128" s="78">
        <f>MAX(K5128:Q5128)</f>
        <v>1</v>
      </c>
      <c r="K5128" s="88">
        <v>1</v>
      </c>
      <c r="L5128" s="88"/>
      <c r="M5128" s="88"/>
      <c r="N5128" s="88"/>
      <c r="O5128" s="88"/>
      <c r="P5128" s="88"/>
      <c r="Q5128" s="88"/>
      <c r="R5128" s="78">
        <f>MAX(S5128:W5128)</f>
        <v>0</v>
      </c>
      <c r="S5128" s="88"/>
      <c r="T5128" s="88"/>
      <c r="U5128" s="88"/>
      <c r="V5128" s="88"/>
      <c r="W5128" s="88"/>
    </row>
    <row r="5129" spans="2:23" s="0" customFormat="0" ht="15">
      <c r="B5129" s="87" t="s">
        <v>1</v>
      </c>
      <c r="C5129" s="88" t="s">
        <v>5259</v>
      </c>
      <c r="D5129" s="88" t="s">
        <v>4373</v>
      </c>
      <c r="E5129" s="88" t="s">
        <v>61</v>
      </c>
      <c r="F5129" s="88">
        <v>0</v>
      </c>
      <c r="G5129" s="78">
        <f>MAX(H5129,I5129,J5129)</f>
        <v>0</v>
      </c>
      <c r="H5129" s="88"/>
      <c r="I5129" s="88"/>
      <c r="J5129" s="78">
        <f>MAX(K5129:Q5129)</f>
        <v>0</v>
      </c>
      <c r="K5129" s="88"/>
      <c r="L5129" s="88"/>
      <c r="M5129" s="88"/>
      <c r="N5129" s="88"/>
      <c r="O5129" s="88"/>
      <c r="P5129" s="88"/>
      <c r="Q5129" s="88"/>
      <c r="R5129" s="78">
        <f>MAX(S5129:W5129)</f>
        <v>1</v>
      </c>
      <c r="S5129" s="88"/>
      <c r="T5129" s="88"/>
      <c r="U5129" s="88">
        <v>1</v>
      </c>
      <c r="V5129" s="88"/>
      <c r="W5129" s="88"/>
    </row>
    <row r="5130" spans="2:23" s="0" customFormat="0" ht="15">
      <c r="B5130" s="87" t="s">
        <v>1</v>
      </c>
      <c r="C5130" s="88" t="s">
        <v>5259</v>
      </c>
      <c r="D5130" s="88">
        <v>14897748</v>
      </c>
      <c r="E5130" s="88" t="s">
        <v>61</v>
      </c>
      <c r="F5130" s="88">
        <v>0</v>
      </c>
      <c r="G5130" s="78">
        <f>MAX(H5130,I5130,J5130)</f>
        <v>1</v>
      </c>
      <c r="H5130" s="88"/>
      <c r="I5130" s="88"/>
      <c r="J5130" s="78">
        <f>MAX(K5130:Q5130)</f>
        <v>1</v>
      </c>
      <c r="K5130" s="88">
        <v>1</v>
      </c>
      <c r="L5130" s="88"/>
      <c r="M5130" s="88"/>
      <c r="N5130" s="88"/>
      <c r="O5130" s="88"/>
      <c r="P5130" s="88"/>
      <c r="Q5130" s="88"/>
      <c r="R5130" s="78">
        <f>MAX(S5130:W5130)</f>
        <v>0</v>
      </c>
      <c r="S5130" s="88"/>
      <c r="T5130" s="88"/>
      <c r="U5130" s="88"/>
      <c r="V5130" s="88"/>
      <c r="W5130" s="88"/>
    </row>
    <row r="5131" spans="2:23" s="0" customFormat="0" ht="15">
      <c r="B5131" s="87" t="s">
        <v>1</v>
      </c>
      <c r="C5131" s="88" t="s">
        <v>5259</v>
      </c>
      <c r="D5131" s="88">
        <v>24477235</v>
      </c>
      <c r="E5131" s="88" t="s">
        <v>61</v>
      </c>
      <c r="F5131" s="88">
        <v>0</v>
      </c>
      <c r="G5131" s="78">
        <f>MAX(H5131,I5131,J5131)</f>
        <v>1</v>
      </c>
      <c r="H5131" s="88"/>
      <c r="I5131" s="88"/>
      <c r="J5131" s="78">
        <f>MAX(K5131:Q5131)</f>
        <v>1</v>
      </c>
      <c r="K5131" s="88">
        <v>1</v>
      </c>
      <c r="L5131" s="88"/>
      <c r="M5131" s="88"/>
      <c r="N5131" s="88"/>
      <c r="O5131" s="88"/>
      <c r="P5131" s="88"/>
      <c r="Q5131" s="88"/>
      <c r="R5131" s="78">
        <f>MAX(S5131:W5131)</f>
        <v>0</v>
      </c>
      <c r="S5131" s="88"/>
      <c r="T5131" s="88"/>
      <c r="U5131" s="88"/>
      <c r="V5131" s="88"/>
      <c r="W5131" s="88"/>
    </row>
    <row r="5132" spans="2:23" s="0" customFormat="0" ht="15">
      <c r="B5132" s="87" t="s">
        <v>1</v>
      </c>
      <c r="C5132" s="88" t="s">
        <v>5259</v>
      </c>
      <c r="D5132" s="88">
        <v>19162906</v>
      </c>
      <c r="E5132" s="88" t="s">
        <v>61</v>
      </c>
      <c r="F5132" s="88">
        <v>0</v>
      </c>
      <c r="G5132" s="78">
        <f>MAX(H5132,I5132,J5132)</f>
        <v>1</v>
      </c>
      <c r="H5132" s="88"/>
      <c r="I5132" s="88"/>
      <c r="J5132" s="78">
        <f>MAX(K5132:Q5132)</f>
        <v>1</v>
      </c>
      <c r="K5132" s="88">
        <v>1</v>
      </c>
      <c r="L5132" s="88"/>
      <c r="M5132" s="88"/>
      <c r="N5132" s="88"/>
      <c r="O5132" s="88"/>
      <c r="P5132" s="88"/>
      <c r="Q5132" s="88"/>
      <c r="R5132" s="78">
        <f>MAX(S5132:W5132)</f>
        <v>0</v>
      </c>
      <c r="S5132" s="88"/>
      <c r="T5132" s="88"/>
      <c r="U5132" s="88"/>
      <c r="V5132" s="88"/>
      <c r="W5132" s="88"/>
    </row>
    <row r="5133" spans="2:23" s="0" customFormat="0" ht="15">
      <c r="B5133" s="87" t="s">
        <v>1</v>
      </c>
      <c r="C5133" s="88" t="s">
        <v>5259</v>
      </c>
      <c r="D5133" s="88" t="s">
        <v>1414</v>
      </c>
      <c r="E5133" s="88" t="s">
        <v>61</v>
      </c>
      <c r="F5133" s="88">
        <v>0</v>
      </c>
      <c r="G5133" s="78">
        <f>MAX(H5133,I5133,J5133)</f>
        <v>1</v>
      </c>
      <c r="H5133" s="88"/>
      <c r="I5133" s="88"/>
      <c r="J5133" s="78">
        <f>MAX(K5133:Q5133)</f>
        <v>1</v>
      </c>
      <c r="K5133" s="88">
        <v>1</v>
      </c>
      <c r="L5133" s="88"/>
      <c r="M5133" s="88"/>
      <c r="N5133" s="88"/>
      <c r="O5133" s="88"/>
      <c r="P5133" s="88"/>
      <c r="Q5133" s="88"/>
      <c r="R5133" s="78">
        <f>MAX(S5133:W5133)</f>
        <v>0</v>
      </c>
      <c r="S5133" s="88"/>
      <c r="T5133" s="88"/>
      <c r="U5133" s="88"/>
      <c r="V5133" s="88"/>
      <c r="W5133" s="88"/>
    </row>
    <row r="5134" spans="2:23" s="0" customFormat="0" ht="15">
      <c r="B5134" s="87" t="s">
        <v>1</v>
      </c>
      <c r="C5134" s="88" t="s">
        <v>5259</v>
      </c>
      <c r="D5134" s="88">
        <v>18745959</v>
      </c>
      <c r="E5134" s="88" t="s">
        <v>61</v>
      </c>
      <c r="F5134" s="88">
        <v>0</v>
      </c>
      <c r="G5134" s="78">
        <f>MAX(H5134,I5134,J5134)</f>
        <v>1</v>
      </c>
      <c r="H5134" s="88"/>
      <c r="I5134" s="88"/>
      <c r="J5134" s="78">
        <f>MAX(K5134:Q5134)</f>
        <v>1</v>
      </c>
      <c r="K5134" s="88">
        <v>1</v>
      </c>
      <c r="L5134" s="88"/>
      <c r="M5134" s="88"/>
      <c r="N5134" s="88"/>
      <c r="O5134" s="88"/>
      <c r="P5134" s="88"/>
      <c r="Q5134" s="88"/>
      <c r="R5134" s="78">
        <f>MAX(S5134:W5134)</f>
        <v>0</v>
      </c>
      <c r="S5134" s="88"/>
      <c r="T5134" s="88"/>
      <c r="U5134" s="88"/>
      <c r="V5134" s="88"/>
      <c r="W5134" s="88"/>
    </row>
    <row r="5135" spans="2:23" s="0" customFormat="0" ht="15">
      <c r="B5135" s="87" t="s">
        <v>1</v>
      </c>
      <c r="C5135" s="88" t="s">
        <v>5259</v>
      </c>
      <c r="D5135" s="88">
        <v>14276868</v>
      </c>
      <c r="E5135" s="88" t="s">
        <v>61</v>
      </c>
      <c r="F5135" s="88">
        <v>0</v>
      </c>
      <c r="G5135" s="78">
        <f>MAX(H5135,I5135,J5135)</f>
        <v>1</v>
      </c>
      <c r="H5135" s="88"/>
      <c r="I5135" s="88"/>
      <c r="J5135" s="78">
        <f>MAX(K5135:Q5135)</f>
        <v>1</v>
      </c>
      <c r="K5135" s="88">
        <v>1</v>
      </c>
      <c r="L5135" s="88"/>
      <c r="M5135" s="88"/>
      <c r="N5135" s="88"/>
      <c r="O5135" s="88"/>
      <c r="P5135" s="88"/>
      <c r="Q5135" s="88"/>
      <c r="R5135" s="78">
        <f>MAX(S5135:W5135)</f>
        <v>0</v>
      </c>
      <c r="S5135" s="88"/>
      <c r="T5135" s="88"/>
      <c r="U5135" s="88"/>
      <c r="V5135" s="88"/>
      <c r="W5135" s="88"/>
    </row>
    <row r="5136" spans="2:23" s="0" customFormat="0" ht="15">
      <c r="B5136" s="87" t="s">
        <v>1</v>
      </c>
      <c r="C5136" s="88" t="s">
        <v>5259</v>
      </c>
      <c r="D5136" s="88" t="s">
        <v>2666</v>
      </c>
      <c r="E5136" s="88" t="s">
        <v>61</v>
      </c>
      <c r="F5136" s="88">
        <v>0</v>
      </c>
      <c r="G5136" s="78">
        <f>MAX(H5136,I5136,J5136)</f>
        <v>1</v>
      </c>
      <c r="H5136" s="88"/>
      <c r="I5136" s="88"/>
      <c r="J5136" s="78">
        <f>MAX(K5136:Q5136)</f>
        <v>1</v>
      </c>
      <c r="K5136" s="88">
        <v>1</v>
      </c>
      <c r="L5136" s="88"/>
      <c r="M5136" s="88"/>
      <c r="N5136" s="88"/>
      <c r="O5136" s="88"/>
      <c r="P5136" s="88"/>
      <c r="Q5136" s="88"/>
      <c r="R5136" s="78">
        <f>MAX(S5136:W5136)</f>
        <v>0</v>
      </c>
      <c r="S5136" s="88"/>
      <c r="T5136" s="88"/>
      <c r="U5136" s="88"/>
      <c r="V5136" s="88"/>
      <c r="W5136" s="88"/>
    </row>
    <row r="5137" spans="2:23" s="0" customFormat="0" ht="15">
      <c r="B5137" s="87" t="s">
        <v>1</v>
      </c>
      <c r="C5137" s="88" t="s">
        <v>5259</v>
      </c>
      <c r="D5137" s="88">
        <v>22964845</v>
      </c>
      <c r="E5137" s="88" t="s">
        <v>61</v>
      </c>
      <c r="F5137" s="88">
        <v>0</v>
      </c>
      <c r="G5137" s="78">
        <f>MAX(H5137,I5137,J5137)</f>
        <v>1</v>
      </c>
      <c r="H5137" s="88"/>
      <c r="I5137" s="88"/>
      <c r="J5137" s="78">
        <f>MAX(K5137:Q5137)</f>
        <v>1</v>
      </c>
      <c r="K5137" s="88">
        <v>1</v>
      </c>
      <c r="L5137" s="88"/>
      <c r="M5137" s="88"/>
      <c r="N5137" s="88"/>
      <c r="O5137" s="88"/>
      <c r="P5137" s="88"/>
      <c r="Q5137" s="88"/>
      <c r="R5137" s="78">
        <f>MAX(S5137:W5137)</f>
        <v>0</v>
      </c>
      <c r="S5137" s="88"/>
      <c r="T5137" s="88"/>
      <c r="U5137" s="88"/>
      <c r="V5137" s="88"/>
      <c r="W5137" s="88"/>
    </row>
    <row r="5138" spans="2:23" s="0" customFormat="0" ht="15">
      <c r="B5138" s="87" t="s">
        <v>1</v>
      </c>
      <c r="C5138" s="88" t="s">
        <v>5259</v>
      </c>
      <c r="D5138" s="88">
        <v>20370879</v>
      </c>
      <c r="E5138" s="88" t="s">
        <v>61</v>
      </c>
      <c r="F5138" s="88">
        <v>0</v>
      </c>
      <c r="G5138" s="78">
        <f>MAX(H5138,I5138,J5138)</f>
        <v>1</v>
      </c>
      <c r="H5138" s="88"/>
      <c r="I5138" s="88"/>
      <c r="J5138" s="78">
        <f>MAX(K5138:Q5138)</f>
        <v>1</v>
      </c>
      <c r="K5138" s="88">
        <v>1</v>
      </c>
      <c r="L5138" s="88"/>
      <c r="M5138" s="88"/>
      <c r="N5138" s="88"/>
      <c r="O5138" s="88"/>
      <c r="P5138" s="88"/>
      <c r="Q5138" s="88"/>
      <c r="R5138" s="78">
        <f>MAX(S5138:W5138)</f>
        <v>0</v>
      </c>
      <c r="S5138" s="88"/>
      <c r="T5138" s="88"/>
      <c r="U5138" s="88"/>
      <c r="V5138" s="88"/>
      <c r="W5138" s="88"/>
    </row>
    <row r="5139" spans="2:23" s="0" customFormat="0" ht="15">
      <c r="B5139" s="87" t="s">
        <v>1</v>
      </c>
      <c r="C5139" s="88" t="s">
        <v>5259</v>
      </c>
      <c r="D5139" s="88">
        <v>12774289</v>
      </c>
      <c r="E5139" s="88" t="s">
        <v>61</v>
      </c>
      <c r="F5139" s="88">
        <v>0</v>
      </c>
      <c r="G5139" s="78">
        <f>MAX(H5139,I5139,J5139)</f>
        <v>1</v>
      </c>
      <c r="H5139" s="88"/>
      <c r="I5139" s="88"/>
      <c r="J5139" s="78">
        <f>MAX(K5139:Q5139)</f>
        <v>1</v>
      </c>
      <c r="K5139" s="88">
        <v>1</v>
      </c>
      <c r="L5139" s="88"/>
      <c r="M5139" s="88"/>
      <c r="N5139" s="88"/>
      <c r="O5139" s="88"/>
      <c r="P5139" s="88"/>
      <c r="Q5139" s="88"/>
      <c r="R5139" s="78">
        <f>MAX(S5139:W5139)</f>
        <v>0</v>
      </c>
      <c r="S5139" s="88"/>
      <c r="T5139" s="88"/>
      <c r="U5139" s="88"/>
      <c r="V5139" s="88"/>
      <c r="W5139" s="88"/>
    </row>
    <row r="5140" spans="2:23" s="0" customFormat="0" ht="15">
      <c r="B5140" s="87" t="s">
        <v>1</v>
      </c>
      <c r="C5140" s="88" t="s">
        <v>5259</v>
      </c>
      <c r="D5140" s="88" t="s">
        <v>1478</v>
      </c>
      <c r="E5140" s="88" t="s">
        <v>61</v>
      </c>
      <c r="F5140" s="88">
        <v>0</v>
      </c>
      <c r="G5140" s="78">
        <f>MAX(H5140,I5140,J5140)</f>
        <v>1</v>
      </c>
      <c r="H5140" s="88"/>
      <c r="I5140" s="88"/>
      <c r="J5140" s="78">
        <f>MAX(K5140:Q5140)</f>
        <v>1</v>
      </c>
      <c r="K5140" s="88">
        <v>1</v>
      </c>
      <c r="L5140" s="88"/>
      <c r="M5140" s="88"/>
      <c r="N5140" s="88"/>
      <c r="O5140" s="88"/>
      <c r="P5140" s="88"/>
      <c r="Q5140" s="88"/>
      <c r="R5140" s="78">
        <f>MAX(S5140:W5140)</f>
        <v>0</v>
      </c>
      <c r="S5140" s="88"/>
      <c r="T5140" s="88"/>
      <c r="U5140" s="88"/>
      <c r="V5140" s="88"/>
      <c r="W5140" s="88"/>
    </row>
    <row r="5141" spans="2:23" s="0" customFormat="0" ht="15">
      <c r="B5141" s="87" t="s">
        <v>1</v>
      </c>
      <c r="C5141" s="88" t="s">
        <v>5259</v>
      </c>
      <c r="D5141" s="88" t="s">
        <v>4265</v>
      </c>
      <c r="E5141" s="88" t="s">
        <v>61</v>
      </c>
      <c r="F5141" s="88">
        <v>0</v>
      </c>
      <c r="G5141" s="78">
        <f>MAX(H5141,I5141,J5141)</f>
        <v>0</v>
      </c>
      <c r="H5141" s="88"/>
      <c r="I5141" s="88"/>
      <c r="J5141" s="78">
        <f>MAX(K5141:Q5141)</f>
        <v>0</v>
      </c>
      <c r="K5141" s="88"/>
      <c r="L5141" s="88"/>
      <c r="M5141" s="88"/>
      <c r="N5141" s="88"/>
      <c r="O5141" s="88"/>
      <c r="P5141" s="88"/>
      <c r="Q5141" s="88"/>
      <c r="R5141" s="78">
        <f>MAX(S5141:W5141)</f>
        <v>1</v>
      </c>
      <c r="S5141" s="88"/>
      <c r="T5141" s="88"/>
      <c r="U5141" s="88">
        <v>1</v>
      </c>
      <c r="V5141" s="88"/>
      <c r="W5141" s="88"/>
    </row>
    <row r="5142" spans="2:23" s="0" customFormat="0" ht="15">
      <c r="B5142" s="87" t="s">
        <v>1</v>
      </c>
      <c r="C5142" s="88" t="s">
        <v>5259</v>
      </c>
      <c r="D5142" s="88">
        <v>22317281</v>
      </c>
      <c r="E5142" s="88" t="s">
        <v>61</v>
      </c>
      <c r="F5142" s="88">
        <v>0</v>
      </c>
      <c r="G5142" s="78">
        <f>MAX(H5142,I5142,J5142)</f>
        <v>1</v>
      </c>
      <c r="H5142" s="88"/>
      <c r="I5142" s="88"/>
      <c r="J5142" s="78">
        <f>MAX(K5142:Q5142)</f>
        <v>1</v>
      </c>
      <c r="K5142" s="88">
        <v>1</v>
      </c>
      <c r="L5142" s="88"/>
      <c r="M5142" s="88"/>
      <c r="N5142" s="88"/>
      <c r="O5142" s="88"/>
      <c r="P5142" s="88"/>
      <c r="Q5142" s="88"/>
      <c r="R5142" s="78">
        <f>MAX(S5142:W5142)</f>
        <v>0</v>
      </c>
      <c r="S5142" s="88"/>
      <c r="T5142" s="88"/>
      <c r="U5142" s="88"/>
      <c r="V5142" s="88"/>
      <c r="W5142" s="88"/>
    </row>
    <row r="5143" spans="2:23" s="0" customFormat="0" ht="15">
      <c r="B5143" s="87" t="s">
        <v>1</v>
      </c>
      <c r="C5143" s="88" t="s">
        <v>5259</v>
      </c>
      <c r="D5143" s="88" t="s">
        <v>5102</v>
      </c>
      <c r="E5143" s="88" t="s">
        <v>61</v>
      </c>
      <c r="F5143" s="88">
        <v>0</v>
      </c>
      <c r="G5143" s="78">
        <f>MAX(H5143,I5143,J5143)</f>
        <v>0</v>
      </c>
      <c r="H5143" s="88"/>
      <c r="I5143" s="88"/>
      <c r="J5143" s="78">
        <f>MAX(K5143:Q5143)</f>
        <v>0</v>
      </c>
      <c r="K5143" s="88"/>
      <c r="L5143" s="88"/>
      <c r="M5143" s="88"/>
      <c r="N5143" s="88"/>
      <c r="O5143" s="88"/>
      <c r="P5143" s="88"/>
      <c r="Q5143" s="88"/>
      <c r="R5143" s="78">
        <f>MAX(S5143:W5143)</f>
        <v>1</v>
      </c>
      <c r="S5143" s="88"/>
      <c r="T5143" s="88"/>
      <c r="U5143" s="88">
        <v>1</v>
      </c>
      <c r="V5143" s="88"/>
      <c r="W5143" s="88"/>
    </row>
    <row r="5144" spans="2:23" s="0" customFormat="0" ht="15">
      <c r="B5144" s="87" t="s">
        <v>1</v>
      </c>
      <c r="C5144" s="88" t="s">
        <v>5259</v>
      </c>
      <c r="D5144" s="88" t="s">
        <v>5104</v>
      </c>
      <c r="E5144" s="88" t="s">
        <v>61</v>
      </c>
      <c r="F5144" s="88">
        <v>0</v>
      </c>
      <c r="G5144" s="78">
        <f>MAX(H5144,I5144,J5144)</f>
        <v>0</v>
      </c>
      <c r="H5144" s="88"/>
      <c r="I5144" s="88"/>
      <c r="J5144" s="78">
        <f>MAX(K5144:Q5144)</f>
        <v>0</v>
      </c>
      <c r="K5144" s="88"/>
      <c r="L5144" s="88"/>
      <c r="M5144" s="88"/>
      <c r="N5144" s="88"/>
      <c r="O5144" s="88"/>
      <c r="P5144" s="88"/>
      <c r="Q5144" s="88"/>
      <c r="R5144" s="78">
        <f>MAX(S5144:W5144)</f>
        <v>1</v>
      </c>
      <c r="S5144" s="88"/>
      <c r="T5144" s="88"/>
      <c r="U5144" s="88">
        <v>1</v>
      </c>
      <c r="V5144" s="88"/>
      <c r="W5144" s="88"/>
    </row>
    <row r="5145" spans="2:23" s="0" customFormat="0" ht="15">
      <c r="B5145" s="87" t="s">
        <v>1</v>
      </c>
      <c r="C5145" s="88" t="s">
        <v>5259</v>
      </c>
      <c r="D5145" s="88">
        <v>19202938</v>
      </c>
      <c r="E5145" s="88" t="s">
        <v>61</v>
      </c>
      <c r="F5145" s="88">
        <v>0</v>
      </c>
      <c r="G5145" s="78">
        <f>MAX(H5145,I5145,J5145)</f>
        <v>1</v>
      </c>
      <c r="H5145" s="88"/>
      <c r="I5145" s="88"/>
      <c r="J5145" s="78">
        <f>MAX(K5145:Q5145)</f>
        <v>1</v>
      </c>
      <c r="K5145" s="88"/>
      <c r="L5145" s="88"/>
      <c r="M5145" s="88"/>
      <c r="N5145" s="88"/>
      <c r="O5145" s="88">
        <v>1</v>
      </c>
      <c r="P5145" s="88"/>
      <c r="Q5145" s="88"/>
      <c r="R5145" s="78">
        <f>MAX(S5145:W5145)</f>
        <v>0</v>
      </c>
      <c r="S5145" s="88"/>
      <c r="T5145" s="88"/>
      <c r="U5145" s="88"/>
      <c r="V5145" s="88"/>
      <c r="W5145" s="88"/>
    </row>
    <row r="5146" spans="2:23" s="0" customFormat="0" ht="15">
      <c r="B5146" s="87" t="s">
        <v>1</v>
      </c>
      <c r="C5146" s="88" t="s">
        <v>5259</v>
      </c>
      <c r="D5146" s="88">
        <v>7065911</v>
      </c>
      <c r="E5146" s="88" t="s">
        <v>61</v>
      </c>
      <c r="F5146" s="88">
        <v>0</v>
      </c>
      <c r="G5146" s="78">
        <f>MAX(H5146,I5146,J5146)</f>
        <v>0</v>
      </c>
      <c r="H5146" s="88"/>
      <c r="I5146" s="88"/>
      <c r="J5146" s="78">
        <f>MAX(K5146:Q5146)</f>
        <v>0</v>
      </c>
      <c r="K5146" s="88"/>
      <c r="L5146" s="88"/>
      <c r="M5146" s="88"/>
      <c r="N5146" s="88"/>
      <c r="O5146" s="88"/>
      <c r="P5146" s="88"/>
      <c r="Q5146" s="88"/>
      <c r="R5146" s="78">
        <f>MAX(S5146:W5146)</f>
        <v>1</v>
      </c>
      <c r="S5146" s="88"/>
      <c r="T5146" s="88"/>
      <c r="U5146" s="88">
        <v>1</v>
      </c>
      <c r="V5146" s="88"/>
      <c r="W5146" s="88"/>
    </row>
    <row r="5147" spans="2:23" s="0" customFormat="0" ht="15">
      <c r="B5147" s="87" t="s">
        <v>1</v>
      </c>
      <c r="C5147" s="88" t="s">
        <v>5259</v>
      </c>
      <c r="D5147" s="88" t="s">
        <v>4955</v>
      </c>
      <c r="E5147" s="88" t="s">
        <v>61</v>
      </c>
      <c r="F5147" s="88">
        <v>0</v>
      </c>
      <c r="G5147" s="78">
        <f>MAX(H5147,I5147,J5147)</f>
        <v>0</v>
      </c>
      <c r="H5147" s="88"/>
      <c r="I5147" s="88"/>
      <c r="J5147" s="78">
        <f>MAX(K5147:Q5147)</f>
        <v>0</v>
      </c>
      <c r="K5147" s="88"/>
      <c r="L5147" s="88"/>
      <c r="M5147" s="88"/>
      <c r="N5147" s="88"/>
      <c r="O5147" s="88"/>
      <c r="P5147" s="88"/>
      <c r="Q5147" s="88"/>
      <c r="R5147" s="78">
        <f>MAX(S5147:W5147)</f>
        <v>1</v>
      </c>
      <c r="S5147" s="88"/>
      <c r="T5147" s="88"/>
      <c r="U5147" s="88">
        <v>1</v>
      </c>
      <c r="V5147" s="88"/>
      <c r="W5147" s="88"/>
    </row>
    <row r="5148" spans="2:23" s="0" customFormat="0" ht="15">
      <c r="B5148" s="87" t="s">
        <v>1</v>
      </c>
      <c r="C5148" s="88" t="s">
        <v>5259</v>
      </c>
      <c r="D5148" s="88" t="s">
        <v>4548</v>
      </c>
      <c r="E5148" s="88" t="s">
        <v>61</v>
      </c>
      <c r="F5148" s="88">
        <v>0</v>
      </c>
      <c r="G5148" s="78">
        <f>MAX(H5148,I5148,J5148)</f>
        <v>0</v>
      </c>
      <c r="H5148" s="88"/>
      <c r="I5148" s="88"/>
      <c r="J5148" s="78">
        <f>MAX(K5148:Q5148)</f>
        <v>0</v>
      </c>
      <c r="K5148" s="88"/>
      <c r="L5148" s="88"/>
      <c r="M5148" s="88"/>
      <c r="N5148" s="88"/>
      <c r="O5148" s="88"/>
      <c r="P5148" s="88"/>
      <c r="Q5148" s="88"/>
      <c r="R5148" s="78">
        <f>MAX(S5148:W5148)</f>
        <v>1</v>
      </c>
      <c r="S5148" s="88"/>
      <c r="T5148" s="88"/>
      <c r="U5148" s="88">
        <v>1</v>
      </c>
      <c r="V5148" s="88"/>
      <c r="W5148" s="88"/>
    </row>
    <row r="5149" spans="2:23" s="0" customFormat="0" ht="15">
      <c r="B5149" s="87" t="s">
        <v>1</v>
      </c>
      <c r="C5149" s="88" t="s">
        <v>5259</v>
      </c>
      <c r="D5149" s="88" t="s">
        <v>5096</v>
      </c>
      <c r="E5149" s="88" t="s">
        <v>61</v>
      </c>
      <c r="F5149" s="88">
        <v>0</v>
      </c>
      <c r="G5149" s="78">
        <f>MAX(H5149,I5149,J5149)</f>
        <v>0</v>
      </c>
      <c r="H5149" s="88"/>
      <c r="I5149" s="88"/>
      <c r="J5149" s="78">
        <f>MAX(K5149:Q5149)</f>
        <v>0</v>
      </c>
      <c r="K5149" s="88"/>
      <c r="L5149" s="88"/>
      <c r="M5149" s="88"/>
      <c r="N5149" s="88"/>
      <c r="O5149" s="88"/>
      <c r="P5149" s="88"/>
      <c r="Q5149" s="88"/>
      <c r="R5149" s="78">
        <f>MAX(S5149:W5149)</f>
        <v>1</v>
      </c>
      <c r="S5149" s="88"/>
      <c r="T5149" s="88"/>
      <c r="U5149" s="88">
        <v>1</v>
      </c>
      <c r="V5149" s="88"/>
      <c r="W5149" s="88"/>
    </row>
    <row r="5150" spans="2:23" s="0" customFormat="0" ht="15">
      <c r="B5150" s="87" t="s">
        <v>1</v>
      </c>
      <c r="C5150" s="88" t="s">
        <v>5259</v>
      </c>
      <c r="D5150" s="88">
        <v>22554099</v>
      </c>
      <c r="E5150" s="88" t="s">
        <v>61</v>
      </c>
      <c r="F5150" s="88">
        <v>0</v>
      </c>
      <c r="G5150" s="78">
        <f>MAX(H5150,I5150,J5150)</f>
        <v>0</v>
      </c>
      <c r="H5150" s="88"/>
      <c r="I5150" s="88"/>
      <c r="J5150" s="78">
        <f>MAX(K5150:Q5150)</f>
        <v>0</v>
      </c>
      <c r="K5150" s="88"/>
      <c r="L5150" s="88"/>
      <c r="M5150" s="88"/>
      <c r="N5150" s="88"/>
      <c r="O5150" s="88"/>
      <c r="P5150" s="88"/>
      <c r="Q5150" s="88"/>
      <c r="R5150" s="78">
        <f>MAX(S5150:W5150)</f>
        <v>1</v>
      </c>
      <c r="S5150" s="88"/>
      <c r="T5150" s="88"/>
      <c r="U5150" s="88">
        <v>1</v>
      </c>
      <c r="V5150" s="88"/>
      <c r="W5150" s="88"/>
    </row>
    <row r="5151" spans="2:23" s="0" customFormat="0" ht="15">
      <c r="B5151" s="87" t="s">
        <v>1</v>
      </c>
      <c r="C5151" s="88" t="s">
        <v>5259</v>
      </c>
      <c r="D5151" s="88">
        <v>21322737</v>
      </c>
      <c r="E5151" s="88" t="s">
        <v>61</v>
      </c>
      <c r="F5151" s="88">
        <v>0</v>
      </c>
      <c r="G5151" s="78">
        <f>MAX(H5151,I5151,J5151)</f>
        <v>1</v>
      </c>
      <c r="H5151" s="88"/>
      <c r="I5151" s="88"/>
      <c r="J5151" s="78">
        <f>MAX(K5151:Q5151)</f>
        <v>1</v>
      </c>
      <c r="K5151" s="88">
        <v>1</v>
      </c>
      <c r="L5151" s="88"/>
      <c r="M5151" s="88"/>
      <c r="N5151" s="88"/>
      <c r="O5151" s="88"/>
      <c r="P5151" s="88"/>
      <c r="Q5151" s="88"/>
      <c r="R5151" s="78">
        <f>MAX(S5151:W5151)</f>
        <v>0</v>
      </c>
      <c r="S5151" s="88"/>
      <c r="T5151" s="88"/>
      <c r="U5151" s="88"/>
      <c r="V5151" s="88"/>
      <c r="W5151" s="88"/>
    </row>
    <row r="5152" spans="2:23" s="0" customFormat="0" ht="15">
      <c r="B5152" s="87" t="s">
        <v>1</v>
      </c>
      <c r="C5152" s="88" t="s">
        <v>5259</v>
      </c>
      <c r="D5152" s="88" t="s">
        <v>2467</v>
      </c>
      <c r="E5152" s="88" t="s">
        <v>61</v>
      </c>
      <c r="F5152" s="88">
        <v>0</v>
      </c>
      <c r="G5152" s="78">
        <f>MAX(H5152,I5152,J5152)</f>
        <v>1</v>
      </c>
      <c r="H5152" s="88"/>
      <c r="I5152" s="88"/>
      <c r="J5152" s="78">
        <f>MAX(K5152:Q5152)</f>
        <v>1</v>
      </c>
      <c r="K5152" s="88">
        <v>1</v>
      </c>
      <c r="L5152" s="88"/>
      <c r="M5152" s="88"/>
      <c r="N5152" s="88"/>
      <c r="O5152" s="88"/>
      <c r="P5152" s="88"/>
      <c r="Q5152" s="88"/>
      <c r="R5152" s="78">
        <f>MAX(S5152:W5152)</f>
        <v>0</v>
      </c>
      <c r="S5152" s="88"/>
      <c r="T5152" s="88"/>
      <c r="U5152" s="88"/>
      <c r="V5152" s="88"/>
      <c r="W5152" s="88"/>
    </row>
    <row r="5153" spans="2:23" s="0" customFormat="0" ht="15">
      <c r="B5153" s="87" t="s">
        <v>1</v>
      </c>
      <c r="C5153" s="88" t="s">
        <v>5259</v>
      </c>
      <c r="D5153" s="88" t="s">
        <v>5071</v>
      </c>
      <c r="E5153" s="88" t="s">
        <v>61</v>
      </c>
      <c r="F5153" s="88">
        <v>0</v>
      </c>
      <c r="G5153" s="78">
        <f>MAX(H5153,I5153,J5153)</f>
        <v>0</v>
      </c>
      <c r="H5153" s="88"/>
      <c r="I5153" s="88"/>
      <c r="J5153" s="78">
        <f>MAX(K5153:Q5153)</f>
        <v>0</v>
      </c>
      <c r="K5153" s="88"/>
      <c r="L5153" s="88"/>
      <c r="M5153" s="88"/>
      <c r="N5153" s="88"/>
      <c r="O5153" s="88"/>
      <c r="P5153" s="88"/>
      <c r="Q5153" s="88"/>
      <c r="R5153" s="78">
        <f>MAX(S5153:W5153)</f>
        <v>1</v>
      </c>
      <c r="S5153" s="88"/>
      <c r="T5153" s="88"/>
      <c r="U5153" s="88">
        <v>1</v>
      </c>
      <c r="V5153" s="88"/>
      <c r="W5153" s="88"/>
    </row>
    <row r="5154" spans="2:23" s="0" customFormat="0" ht="15">
      <c r="B5154" s="87" t="s">
        <v>1</v>
      </c>
      <c r="C5154" s="88" t="s">
        <v>5259</v>
      </c>
      <c r="D5154" s="88" t="s">
        <v>3419</v>
      </c>
      <c r="E5154" s="88" t="s">
        <v>61</v>
      </c>
      <c r="F5154" s="88">
        <v>0</v>
      </c>
      <c r="G5154" s="78">
        <f>MAX(H5154,I5154,J5154)</f>
        <v>0</v>
      </c>
      <c r="H5154" s="88"/>
      <c r="I5154" s="88"/>
      <c r="J5154" s="78">
        <f>MAX(K5154:Q5154)</f>
        <v>0</v>
      </c>
      <c r="K5154" s="88"/>
      <c r="L5154" s="88"/>
      <c r="M5154" s="88"/>
      <c r="N5154" s="88"/>
      <c r="O5154" s="88"/>
      <c r="P5154" s="88"/>
      <c r="Q5154" s="88"/>
      <c r="R5154" s="78">
        <f>MAX(S5154:W5154)</f>
        <v>1</v>
      </c>
      <c r="S5154" s="88"/>
      <c r="T5154" s="88"/>
      <c r="U5154" s="88">
        <v>1</v>
      </c>
      <c r="V5154" s="88"/>
      <c r="W5154" s="88"/>
    </row>
    <row r="5155" spans="2:23" s="0" customFormat="0" ht="15">
      <c r="B5155" s="87" t="s">
        <v>1</v>
      </c>
      <c r="C5155" s="88" t="s">
        <v>5259</v>
      </c>
      <c r="D5155" s="88" t="s">
        <v>5031</v>
      </c>
      <c r="E5155" s="88" t="s">
        <v>61</v>
      </c>
      <c r="F5155" s="88">
        <v>0</v>
      </c>
      <c r="G5155" s="78">
        <f>MAX(H5155,I5155,J5155)</f>
        <v>0</v>
      </c>
      <c r="H5155" s="88"/>
      <c r="I5155" s="88"/>
      <c r="J5155" s="78">
        <f>MAX(K5155:Q5155)</f>
        <v>0</v>
      </c>
      <c r="K5155" s="88"/>
      <c r="L5155" s="88"/>
      <c r="M5155" s="88"/>
      <c r="N5155" s="88"/>
      <c r="O5155" s="88"/>
      <c r="P5155" s="88"/>
      <c r="Q5155" s="88"/>
      <c r="R5155" s="78">
        <f>MAX(S5155:W5155)</f>
        <v>1</v>
      </c>
      <c r="S5155" s="88"/>
      <c r="T5155" s="88"/>
      <c r="U5155" s="88">
        <v>1</v>
      </c>
      <c r="V5155" s="88"/>
      <c r="W5155" s="88"/>
    </row>
    <row r="5156" spans="2:23" s="0" customFormat="0" ht="15">
      <c r="B5156" s="87" t="s">
        <v>1</v>
      </c>
      <c r="C5156" s="88" t="s">
        <v>5259</v>
      </c>
      <c r="D5156" s="88" t="s">
        <v>5054</v>
      </c>
      <c r="E5156" s="88" t="s">
        <v>61</v>
      </c>
      <c r="F5156" s="88">
        <v>0</v>
      </c>
      <c r="G5156" s="78">
        <f>MAX(H5156,I5156,J5156)</f>
        <v>0</v>
      </c>
      <c r="H5156" s="88"/>
      <c r="I5156" s="88"/>
      <c r="J5156" s="78">
        <f>MAX(K5156:Q5156)</f>
        <v>0</v>
      </c>
      <c r="K5156" s="88"/>
      <c r="L5156" s="88"/>
      <c r="M5156" s="88"/>
      <c r="N5156" s="88"/>
      <c r="O5156" s="88"/>
      <c r="P5156" s="88"/>
      <c r="Q5156" s="88"/>
      <c r="R5156" s="78">
        <f>MAX(S5156:W5156)</f>
        <v>1</v>
      </c>
      <c r="S5156" s="88"/>
      <c r="T5156" s="88"/>
      <c r="U5156" s="88">
        <v>1</v>
      </c>
      <c r="V5156" s="88"/>
      <c r="W5156" s="88"/>
    </row>
    <row r="5157" spans="2:23" s="0" customFormat="0" ht="15">
      <c r="B5157" s="87" t="s">
        <v>1</v>
      </c>
      <c r="C5157" s="88" t="s">
        <v>5259</v>
      </c>
      <c r="D5157" s="88">
        <v>24304012</v>
      </c>
      <c r="E5157" s="88" t="s">
        <v>61</v>
      </c>
      <c r="F5157" s="88">
        <v>0</v>
      </c>
      <c r="G5157" s="78">
        <f>MAX(H5157,I5157,J5157)</f>
        <v>1</v>
      </c>
      <c r="H5157" s="88"/>
      <c r="I5157" s="88"/>
      <c r="J5157" s="78">
        <f>MAX(K5157:Q5157)</f>
        <v>1</v>
      </c>
      <c r="K5157" s="88">
        <v>1</v>
      </c>
      <c r="L5157" s="88"/>
      <c r="M5157" s="88"/>
      <c r="N5157" s="88"/>
      <c r="O5157" s="88"/>
      <c r="P5157" s="88"/>
      <c r="Q5157" s="88"/>
      <c r="R5157" s="78">
        <f>MAX(S5157:W5157)</f>
        <v>0</v>
      </c>
      <c r="S5157" s="88"/>
      <c r="T5157" s="88"/>
      <c r="U5157" s="88"/>
      <c r="V5157" s="88"/>
      <c r="W5157" s="88"/>
    </row>
    <row r="5158" spans="2:23" s="0" customFormat="0" ht="15">
      <c r="B5158" s="87" t="s">
        <v>1</v>
      </c>
      <c r="C5158" s="88" t="s">
        <v>5259</v>
      </c>
      <c r="D5158" s="88">
        <v>8941452</v>
      </c>
      <c r="E5158" s="88" t="s">
        <v>61</v>
      </c>
      <c r="F5158" s="88">
        <v>0</v>
      </c>
      <c r="G5158" s="78">
        <f>MAX(H5158,I5158,J5158)</f>
        <v>1</v>
      </c>
      <c r="H5158" s="88"/>
      <c r="I5158" s="88"/>
      <c r="J5158" s="78">
        <f>MAX(K5158:Q5158)</f>
        <v>1</v>
      </c>
      <c r="K5158" s="88">
        <v>1</v>
      </c>
      <c r="L5158" s="88"/>
      <c r="M5158" s="88"/>
      <c r="N5158" s="88"/>
      <c r="O5158" s="88"/>
      <c r="P5158" s="88"/>
      <c r="Q5158" s="88"/>
      <c r="R5158" s="78">
        <f>MAX(S5158:W5158)</f>
        <v>0</v>
      </c>
      <c r="S5158" s="88"/>
      <c r="T5158" s="88"/>
      <c r="U5158" s="88"/>
      <c r="V5158" s="88"/>
      <c r="W5158" s="88"/>
    </row>
    <row r="5159" spans="2:23" s="0" customFormat="0" ht="15">
      <c r="B5159" s="87" t="s">
        <v>1</v>
      </c>
      <c r="C5159" s="88" t="s">
        <v>5259</v>
      </c>
      <c r="D5159" s="88">
        <v>21555127</v>
      </c>
      <c r="E5159" s="88" t="s">
        <v>61</v>
      </c>
      <c r="F5159" s="88">
        <v>0</v>
      </c>
      <c r="G5159" s="78">
        <f>MAX(H5159,I5159,J5159)</f>
        <v>1</v>
      </c>
      <c r="H5159" s="88"/>
      <c r="I5159" s="88"/>
      <c r="J5159" s="78">
        <f>MAX(K5159:Q5159)</f>
        <v>1</v>
      </c>
      <c r="K5159" s="88">
        <v>1</v>
      </c>
      <c r="L5159" s="88"/>
      <c r="M5159" s="88"/>
      <c r="N5159" s="88"/>
      <c r="O5159" s="88"/>
      <c r="P5159" s="88"/>
      <c r="Q5159" s="88"/>
      <c r="R5159" s="78">
        <f>MAX(S5159:W5159)</f>
        <v>0</v>
      </c>
      <c r="S5159" s="88"/>
      <c r="T5159" s="88"/>
      <c r="U5159" s="88"/>
      <c r="V5159" s="88"/>
      <c r="W5159" s="88"/>
    </row>
    <row r="5160" spans="2:23" s="0" customFormat="0" ht="15">
      <c r="B5160" s="87" t="s">
        <v>1</v>
      </c>
      <c r="C5160" s="88" t="s">
        <v>5259</v>
      </c>
      <c r="D5160" s="88">
        <v>17392711</v>
      </c>
      <c r="E5160" s="88" t="s">
        <v>61</v>
      </c>
      <c r="F5160" s="88">
        <v>0</v>
      </c>
      <c r="G5160" s="78">
        <f>MAX(H5160,I5160,J5160)</f>
        <v>1</v>
      </c>
      <c r="H5160" s="88"/>
      <c r="I5160" s="88"/>
      <c r="J5160" s="78">
        <f>MAX(K5160:Q5160)</f>
        <v>1</v>
      </c>
      <c r="K5160" s="88">
        <v>1</v>
      </c>
      <c r="L5160" s="88"/>
      <c r="M5160" s="88"/>
      <c r="N5160" s="88"/>
      <c r="O5160" s="88"/>
      <c r="P5160" s="88"/>
      <c r="Q5160" s="88"/>
      <c r="R5160" s="78">
        <f>MAX(S5160:W5160)</f>
        <v>0</v>
      </c>
      <c r="S5160" s="88"/>
      <c r="T5160" s="88"/>
      <c r="U5160" s="88"/>
      <c r="V5160" s="88"/>
      <c r="W5160" s="88"/>
    </row>
    <row r="5161" spans="2:23" s="0" customFormat="0" ht="15">
      <c r="B5161" s="87" t="s">
        <v>1</v>
      </c>
      <c r="C5161" s="88" t="s">
        <v>5259</v>
      </c>
      <c r="D5161" s="88">
        <v>21282457</v>
      </c>
      <c r="E5161" s="88" t="s">
        <v>61</v>
      </c>
      <c r="F5161" s="88">
        <v>0</v>
      </c>
      <c r="G5161" s="78">
        <f>MAX(H5161,I5161,J5161)</f>
        <v>1</v>
      </c>
      <c r="H5161" s="88"/>
      <c r="I5161" s="88"/>
      <c r="J5161" s="78">
        <f>MAX(K5161:Q5161)</f>
        <v>1</v>
      </c>
      <c r="K5161" s="88">
        <v>1</v>
      </c>
      <c r="L5161" s="88"/>
      <c r="M5161" s="88"/>
      <c r="N5161" s="88"/>
      <c r="O5161" s="88"/>
      <c r="P5161" s="88"/>
      <c r="Q5161" s="88"/>
      <c r="R5161" s="78">
        <f>MAX(S5161:W5161)</f>
        <v>0</v>
      </c>
      <c r="S5161" s="88"/>
      <c r="T5161" s="88"/>
      <c r="U5161" s="88"/>
      <c r="V5161" s="88"/>
      <c r="W5161" s="88"/>
    </row>
    <row r="5162" spans="2:23" s="0" customFormat="0" ht="15">
      <c r="B5162" s="87" t="s">
        <v>1</v>
      </c>
      <c r="C5162" s="88" t="s">
        <v>5259</v>
      </c>
      <c r="D5162" s="88" t="s">
        <v>1730</v>
      </c>
      <c r="E5162" s="88" t="s">
        <v>61</v>
      </c>
      <c r="F5162" s="88">
        <v>0</v>
      </c>
      <c r="G5162" s="78">
        <f>MAX(H5162,I5162,J5162)</f>
        <v>1</v>
      </c>
      <c r="H5162" s="88"/>
      <c r="I5162" s="88"/>
      <c r="J5162" s="78">
        <f>MAX(K5162:Q5162)</f>
        <v>1</v>
      </c>
      <c r="K5162" s="88">
        <v>1</v>
      </c>
      <c r="L5162" s="88"/>
      <c r="M5162" s="88"/>
      <c r="N5162" s="88"/>
      <c r="O5162" s="88"/>
      <c r="P5162" s="88"/>
      <c r="Q5162" s="88"/>
      <c r="R5162" s="78">
        <f>MAX(S5162:W5162)</f>
        <v>0</v>
      </c>
      <c r="S5162" s="88"/>
      <c r="T5162" s="88"/>
      <c r="U5162" s="88"/>
      <c r="V5162" s="88"/>
      <c r="W5162" s="88"/>
    </row>
    <row r="5163" spans="2:23" s="0" customFormat="0" ht="15">
      <c r="B5163" s="87" t="s">
        <v>1</v>
      </c>
      <c r="C5163" s="88" t="s">
        <v>5259</v>
      </c>
      <c r="D5163" s="88">
        <v>18760720</v>
      </c>
      <c r="E5163" s="88" t="s">
        <v>61</v>
      </c>
      <c r="F5163" s="88">
        <v>0</v>
      </c>
      <c r="G5163" s="78">
        <f>MAX(H5163,I5163,J5163)</f>
        <v>1</v>
      </c>
      <c r="H5163" s="88"/>
      <c r="I5163" s="88"/>
      <c r="J5163" s="78">
        <f>MAX(K5163:Q5163)</f>
        <v>1</v>
      </c>
      <c r="K5163" s="88">
        <v>1</v>
      </c>
      <c r="L5163" s="88"/>
      <c r="M5163" s="88"/>
      <c r="N5163" s="88"/>
      <c r="O5163" s="88"/>
      <c r="P5163" s="88"/>
      <c r="Q5163" s="88"/>
      <c r="R5163" s="78">
        <f>MAX(S5163:W5163)</f>
        <v>0</v>
      </c>
      <c r="S5163" s="88"/>
      <c r="T5163" s="88"/>
      <c r="U5163" s="88"/>
      <c r="V5163" s="88"/>
      <c r="W5163" s="88"/>
    </row>
    <row r="5164" spans="2:23" s="0" customFormat="0" ht="15">
      <c r="B5164" s="87" t="s">
        <v>1</v>
      </c>
      <c r="C5164" s="88" t="s">
        <v>5259</v>
      </c>
      <c r="D5164" s="88">
        <v>2986422</v>
      </c>
      <c r="E5164" s="88" t="s">
        <v>61</v>
      </c>
      <c r="F5164" s="88">
        <v>0</v>
      </c>
      <c r="G5164" s="78">
        <f>MAX(H5164,I5164,J5164)</f>
        <v>0</v>
      </c>
      <c r="H5164" s="88"/>
      <c r="I5164" s="88"/>
      <c r="J5164" s="78">
        <f>MAX(K5164:Q5164)</f>
        <v>0</v>
      </c>
      <c r="K5164" s="88"/>
      <c r="L5164" s="88"/>
      <c r="M5164" s="88"/>
      <c r="N5164" s="88"/>
      <c r="O5164" s="88"/>
      <c r="P5164" s="88"/>
      <c r="Q5164" s="88"/>
      <c r="R5164" s="78">
        <f>MAX(S5164:W5164)</f>
        <v>1</v>
      </c>
      <c r="S5164" s="88"/>
      <c r="T5164" s="88"/>
      <c r="U5164" s="88">
        <v>1</v>
      </c>
      <c r="V5164" s="88"/>
      <c r="W5164" s="88"/>
    </row>
    <row r="5165" spans="2:23" s="0" customFormat="0" ht="15">
      <c r="B5165" s="87" t="s">
        <v>1</v>
      </c>
      <c r="C5165" s="88" t="s">
        <v>5259</v>
      </c>
      <c r="D5165" s="88">
        <v>16974057</v>
      </c>
      <c r="E5165" s="88" t="s">
        <v>61</v>
      </c>
      <c r="F5165" s="88">
        <v>0</v>
      </c>
      <c r="G5165" s="78">
        <f>MAX(H5165,I5165,J5165)</f>
        <v>0</v>
      </c>
      <c r="H5165" s="88"/>
      <c r="I5165" s="88"/>
      <c r="J5165" s="78">
        <f>MAX(K5165:Q5165)</f>
        <v>0</v>
      </c>
      <c r="K5165" s="88"/>
      <c r="L5165" s="88"/>
      <c r="M5165" s="88"/>
      <c r="N5165" s="88"/>
      <c r="O5165" s="88"/>
      <c r="P5165" s="88"/>
      <c r="Q5165" s="88"/>
      <c r="R5165" s="78">
        <f>MAX(S5165:W5165)</f>
        <v>1</v>
      </c>
      <c r="S5165" s="88"/>
      <c r="T5165" s="88"/>
      <c r="U5165" s="88">
        <v>1</v>
      </c>
      <c r="V5165" s="88"/>
      <c r="W5165" s="88"/>
    </row>
    <row r="5166" spans="2:23" s="0" customFormat="0" ht="15">
      <c r="B5166" s="87" t="s">
        <v>1</v>
      </c>
      <c r="C5166" s="88" t="s">
        <v>5259</v>
      </c>
      <c r="D5166" s="88">
        <v>20942445</v>
      </c>
      <c r="E5166" s="88" t="s">
        <v>61</v>
      </c>
      <c r="F5166" s="88">
        <v>0</v>
      </c>
      <c r="G5166" s="78">
        <f>MAX(H5166,I5166,J5166)</f>
        <v>1</v>
      </c>
      <c r="H5166" s="88"/>
      <c r="I5166" s="88"/>
      <c r="J5166" s="78">
        <f>MAX(K5166:Q5166)</f>
        <v>1</v>
      </c>
      <c r="K5166" s="88">
        <v>1</v>
      </c>
      <c r="L5166" s="88"/>
      <c r="M5166" s="88"/>
      <c r="N5166" s="88"/>
      <c r="O5166" s="88"/>
      <c r="P5166" s="88"/>
      <c r="Q5166" s="88"/>
      <c r="R5166" s="78">
        <f>MAX(S5166:W5166)</f>
        <v>0</v>
      </c>
      <c r="S5166" s="88"/>
      <c r="T5166" s="88"/>
      <c r="U5166" s="88"/>
      <c r="V5166" s="88"/>
      <c r="W5166" s="88"/>
    </row>
    <row r="5167" spans="2:23" s="0" customFormat="0" ht="15">
      <c r="B5167" s="87" t="s">
        <v>1</v>
      </c>
      <c r="C5167" s="88" t="s">
        <v>5259</v>
      </c>
      <c r="D5167" s="88" t="s">
        <v>5108</v>
      </c>
      <c r="E5167" s="88" t="s">
        <v>61</v>
      </c>
      <c r="F5167" s="88">
        <v>0</v>
      </c>
      <c r="G5167" s="78">
        <f>MAX(H5167,I5167,J5167)</f>
        <v>0</v>
      </c>
      <c r="H5167" s="88"/>
      <c r="I5167" s="88"/>
      <c r="J5167" s="78">
        <f>MAX(K5167:Q5167)</f>
        <v>0</v>
      </c>
      <c r="K5167" s="88"/>
      <c r="L5167" s="88"/>
      <c r="M5167" s="88"/>
      <c r="N5167" s="88"/>
      <c r="O5167" s="88"/>
      <c r="P5167" s="88"/>
      <c r="Q5167" s="88"/>
      <c r="R5167" s="78">
        <f>MAX(S5167:W5167)</f>
        <v>1</v>
      </c>
      <c r="S5167" s="88"/>
      <c r="T5167" s="88"/>
      <c r="U5167" s="88">
        <v>1</v>
      </c>
      <c r="V5167" s="88"/>
      <c r="W5167" s="88"/>
    </row>
    <row r="5168" spans="2:23" s="0" customFormat="0" ht="15">
      <c r="B5168" s="87" t="s">
        <v>1</v>
      </c>
      <c r="C5168" s="88" t="s">
        <v>5259</v>
      </c>
      <c r="D5168" s="88">
        <v>15869357</v>
      </c>
      <c r="E5168" s="88" t="s">
        <v>61</v>
      </c>
      <c r="F5168" s="88">
        <v>0</v>
      </c>
      <c r="G5168" s="78">
        <f>MAX(H5168,I5168,J5168)</f>
        <v>1</v>
      </c>
      <c r="H5168" s="88"/>
      <c r="I5168" s="88"/>
      <c r="J5168" s="78">
        <f>MAX(K5168:Q5168)</f>
        <v>1</v>
      </c>
      <c r="K5168" s="88">
        <v>1</v>
      </c>
      <c r="L5168" s="88"/>
      <c r="M5168" s="88"/>
      <c r="N5168" s="88"/>
      <c r="O5168" s="88"/>
      <c r="P5168" s="88"/>
      <c r="Q5168" s="88"/>
      <c r="R5168" s="78">
        <f>MAX(S5168:W5168)</f>
        <v>0</v>
      </c>
      <c r="S5168" s="88"/>
      <c r="T5168" s="88"/>
      <c r="U5168" s="88"/>
      <c r="V5168" s="88"/>
      <c r="W5168" s="88"/>
    </row>
    <row r="5169" spans="2:23" s="0" customFormat="0" ht="15">
      <c r="B5169" s="87" t="s">
        <v>1</v>
      </c>
      <c r="C5169" s="88" t="s">
        <v>5259</v>
      </c>
      <c r="D5169" s="88" t="s">
        <v>5110</v>
      </c>
      <c r="E5169" s="88" t="s">
        <v>61</v>
      </c>
      <c r="F5169" s="88">
        <v>0</v>
      </c>
      <c r="G5169" s="78">
        <f>MAX(H5169,I5169,J5169)</f>
        <v>0</v>
      </c>
      <c r="H5169" s="88"/>
      <c r="I5169" s="88"/>
      <c r="J5169" s="78">
        <f>MAX(K5169:Q5169)</f>
        <v>0</v>
      </c>
      <c r="K5169" s="88"/>
      <c r="L5169" s="88"/>
      <c r="M5169" s="88"/>
      <c r="N5169" s="88"/>
      <c r="O5169" s="88"/>
      <c r="P5169" s="88"/>
      <c r="Q5169" s="88"/>
      <c r="R5169" s="78">
        <f>MAX(S5169:W5169)</f>
        <v>1</v>
      </c>
      <c r="S5169" s="88"/>
      <c r="T5169" s="88"/>
      <c r="U5169" s="88">
        <v>1</v>
      </c>
      <c r="V5169" s="88"/>
      <c r="W5169" s="88"/>
    </row>
    <row r="5170" spans="2:23" s="0" customFormat="0" ht="15">
      <c r="B5170" s="87" t="s">
        <v>1</v>
      </c>
      <c r="C5170" s="88" t="s">
        <v>5259</v>
      </c>
      <c r="D5170" s="88">
        <v>22029360</v>
      </c>
      <c r="E5170" s="88" t="s">
        <v>61</v>
      </c>
      <c r="F5170" s="88">
        <v>0</v>
      </c>
      <c r="G5170" s="78">
        <f>MAX(H5170,I5170,J5170)</f>
        <v>1</v>
      </c>
      <c r="H5170" s="88"/>
      <c r="I5170" s="88"/>
      <c r="J5170" s="78">
        <f>MAX(K5170:Q5170)</f>
        <v>1</v>
      </c>
      <c r="K5170" s="88">
        <v>1</v>
      </c>
      <c r="L5170" s="88"/>
      <c r="M5170" s="88"/>
      <c r="N5170" s="88"/>
      <c r="O5170" s="88"/>
      <c r="P5170" s="88"/>
      <c r="Q5170" s="88"/>
      <c r="R5170" s="78">
        <f>MAX(S5170:W5170)</f>
        <v>0</v>
      </c>
      <c r="S5170" s="88"/>
      <c r="T5170" s="88"/>
      <c r="U5170" s="88"/>
      <c r="V5170" s="88"/>
      <c r="W5170" s="88"/>
    </row>
    <row r="5171" spans="2:23" s="0" customFormat="0" ht="15">
      <c r="B5171" s="87" t="s">
        <v>1</v>
      </c>
      <c r="C5171" s="88" t="s">
        <v>5259</v>
      </c>
      <c r="D5171" s="88">
        <v>22211284</v>
      </c>
      <c r="E5171" s="88" t="s">
        <v>61</v>
      </c>
      <c r="F5171" s="88">
        <v>0</v>
      </c>
      <c r="G5171" s="78">
        <f>MAX(H5171,I5171,J5171)</f>
        <v>1</v>
      </c>
      <c r="H5171" s="88"/>
      <c r="I5171" s="88"/>
      <c r="J5171" s="78">
        <f>MAX(K5171:Q5171)</f>
        <v>1</v>
      </c>
      <c r="K5171" s="88">
        <v>1</v>
      </c>
      <c r="L5171" s="88"/>
      <c r="M5171" s="88"/>
      <c r="N5171" s="88"/>
      <c r="O5171" s="88"/>
      <c r="P5171" s="88"/>
      <c r="Q5171" s="88"/>
      <c r="R5171" s="78">
        <f>MAX(S5171:W5171)</f>
        <v>0</v>
      </c>
      <c r="S5171" s="88"/>
      <c r="T5171" s="88"/>
      <c r="U5171" s="88"/>
      <c r="V5171" s="88"/>
      <c r="W5171" s="88"/>
    </row>
    <row r="5172" spans="2:23" s="0" customFormat="0" ht="15">
      <c r="B5172" s="87" t="s">
        <v>1</v>
      </c>
      <c r="C5172" s="88" t="s">
        <v>5259</v>
      </c>
      <c r="D5172" s="88" t="s">
        <v>4843</v>
      </c>
      <c r="E5172" s="88" t="s">
        <v>61</v>
      </c>
      <c r="F5172" s="88">
        <v>0</v>
      </c>
      <c r="G5172" s="78">
        <f>MAX(H5172,I5172,J5172)</f>
        <v>0</v>
      </c>
      <c r="H5172" s="88"/>
      <c r="I5172" s="88"/>
      <c r="J5172" s="78">
        <f>MAX(K5172:Q5172)</f>
        <v>0</v>
      </c>
      <c r="K5172" s="88"/>
      <c r="L5172" s="88"/>
      <c r="M5172" s="88"/>
      <c r="N5172" s="88"/>
      <c r="O5172" s="88"/>
      <c r="P5172" s="88"/>
      <c r="Q5172" s="88"/>
      <c r="R5172" s="78">
        <f>MAX(S5172:W5172)</f>
        <v>1</v>
      </c>
      <c r="S5172" s="88"/>
      <c r="T5172" s="88"/>
      <c r="U5172" s="88">
        <v>1</v>
      </c>
      <c r="V5172" s="88"/>
      <c r="W5172" s="88"/>
    </row>
    <row r="5173" spans="2:23" s="0" customFormat="0" ht="15">
      <c r="B5173" s="87" t="s">
        <v>1</v>
      </c>
      <c r="C5173" s="88" t="s">
        <v>5259</v>
      </c>
      <c r="D5173" s="88">
        <v>22554296</v>
      </c>
      <c r="E5173" s="88" t="s">
        <v>61</v>
      </c>
      <c r="F5173" s="88">
        <v>0</v>
      </c>
      <c r="G5173" s="78">
        <f>MAX(H5173,I5173,J5173)</f>
        <v>0</v>
      </c>
      <c r="H5173" s="88"/>
      <c r="I5173" s="88"/>
      <c r="J5173" s="78">
        <f>MAX(K5173:Q5173)</f>
        <v>0</v>
      </c>
      <c r="K5173" s="88"/>
      <c r="L5173" s="88"/>
      <c r="M5173" s="88"/>
      <c r="N5173" s="88"/>
      <c r="O5173" s="88"/>
      <c r="P5173" s="88"/>
      <c r="Q5173" s="88"/>
      <c r="R5173" s="78">
        <f>MAX(S5173:W5173)</f>
        <v>1</v>
      </c>
      <c r="S5173" s="88"/>
      <c r="T5173" s="88"/>
      <c r="U5173" s="88">
        <v>1</v>
      </c>
      <c r="V5173" s="88"/>
      <c r="W5173" s="88"/>
    </row>
    <row r="5174" spans="2:23" s="0" customFormat="0" ht="15">
      <c r="B5174" s="87" t="s">
        <v>1</v>
      </c>
      <c r="C5174" s="88" t="s">
        <v>5259</v>
      </c>
      <c r="D5174" s="88" t="s">
        <v>2781</v>
      </c>
      <c r="E5174" s="88" t="s">
        <v>61</v>
      </c>
      <c r="F5174" s="88">
        <v>0</v>
      </c>
      <c r="G5174" s="78">
        <f>MAX(H5174,I5174,J5174)</f>
        <v>1</v>
      </c>
      <c r="H5174" s="88"/>
      <c r="I5174" s="88"/>
      <c r="J5174" s="78">
        <f>MAX(K5174:Q5174)</f>
        <v>1</v>
      </c>
      <c r="K5174" s="88">
        <v>1</v>
      </c>
      <c r="L5174" s="88"/>
      <c r="M5174" s="88"/>
      <c r="N5174" s="88"/>
      <c r="O5174" s="88"/>
      <c r="P5174" s="88"/>
      <c r="Q5174" s="88"/>
      <c r="R5174" s="78">
        <f>MAX(S5174:W5174)</f>
        <v>0</v>
      </c>
      <c r="S5174" s="88"/>
      <c r="T5174" s="88"/>
      <c r="U5174" s="88"/>
      <c r="V5174" s="88"/>
      <c r="W5174" s="88"/>
    </row>
    <row r="5175" spans="2:23" s="0" customFormat="0" ht="15">
      <c r="B5175" s="87" t="s">
        <v>1</v>
      </c>
      <c r="C5175" s="88" t="s">
        <v>5259</v>
      </c>
      <c r="D5175" s="88" t="s">
        <v>1000</v>
      </c>
      <c r="E5175" s="88" t="s">
        <v>61</v>
      </c>
      <c r="F5175" s="88">
        <v>0</v>
      </c>
      <c r="G5175" s="78">
        <f>MAX(H5175,I5175,J5175)</f>
        <v>1</v>
      </c>
      <c r="H5175" s="88"/>
      <c r="I5175" s="88"/>
      <c r="J5175" s="78">
        <f>MAX(K5175:Q5175)</f>
        <v>1</v>
      </c>
      <c r="K5175" s="88">
        <v>1</v>
      </c>
      <c r="L5175" s="88"/>
      <c r="M5175" s="88"/>
      <c r="N5175" s="88"/>
      <c r="O5175" s="88"/>
      <c r="P5175" s="88"/>
      <c r="Q5175" s="88"/>
      <c r="R5175" s="78">
        <f>MAX(S5175:W5175)</f>
        <v>0</v>
      </c>
      <c r="S5175" s="88"/>
      <c r="T5175" s="88"/>
      <c r="U5175" s="88"/>
      <c r="V5175" s="88"/>
      <c r="W5175" s="88"/>
    </row>
    <row r="5176" spans="2:23" s="0" customFormat="0" ht="15">
      <c r="B5176" s="87" t="s">
        <v>1</v>
      </c>
      <c r="C5176" s="88" t="s">
        <v>5259</v>
      </c>
      <c r="D5176" s="88">
        <v>17055915</v>
      </c>
      <c r="E5176" s="88" t="s">
        <v>61</v>
      </c>
      <c r="F5176" s="88">
        <v>0</v>
      </c>
      <c r="G5176" s="78">
        <f>MAX(H5176,I5176,J5176)</f>
        <v>1</v>
      </c>
      <c r="H5176" s="88"/>
      <c r="I5176" s="88"/>
      <c r="J5176" s="78">
        <f>MAX(K5176:Q5176)</f>
        <v>1</v>
      </c>
      <c r="K5176" s="88">
        <v>1</v>
      </c>
      <c r="L5176" s="88"/>
      <c r="M5176" s="88"/>
      <c r="N5176" s="88"/>
      <c r="O5176" s="88"/>
      <c r="P5176" s="88"/>
      <c r="Q5176" s="88"/>
      <c r="R5176" s="78">
        <f>MAX(S5176:W5176)</f>
        <v>0</v>
      </c>
      <c r="S5176" s="88"/>
      <c r="T5176" s="88"/>
      <c r="U5176" s="88"/>
      <c r="V5176" s="88"/>
      <c r="W5176" s="88"/>
    </row>
    <row r="5177" spans="2:23" s="0" customFormat="0" ht="15">
      <c r="B5177" s="87" t="s">
        <v>1</v>
      </c>
      <c r="C5177" s="88" t="s">
        <v>5259</v>
      </c>
      <c r="D5177" s="88" t="s">
        <v>2506</v>
      </c>
      <c r="E5177" s="88" t="s">
        <v>61</v>
      </c>
      <c r="F5177" s="88">
        <v>0</v>
      </c>
      <c r="G5177" s="78">
        <f>MAX(H5177,I5177,J5177)</f>
        <v>1</v>
      </c>
      <c r="H5177" s="88"/>
      <c r="I5177" s="88"/>
      <c r="J5177" s="78">
        <f>MAX(K5177:Q5177)</f>
        <v>1</v>
      </c>
      <c r="K5177" s="88">
        <v>1</v>
      </c>
      <c r="L5177" s="88"/>
      <c r="M5177" s="88"/>
      <c r="N5177" s="88"/>
      <c r="O5177" s="88"/>
      <c r="P5177" s="88"/>
      <c r="Q5177" s="88"/>
      <c r="R5177" s="78">
        <f>MAX(S5177:W5177)</f>
        <v>0</v>
      </c>
      <c r="S5177" s="88"/>
      <c r="T5177" s="88"/>
      <c r="U5177" s="88"/>
      <c r="V5177" s="88"/>
      <c r="W5177" s="88"/>
    </row>
    <row r="5178" spans="2:23" s="0" customFormat="0" ht="15">
      <c r="B5178" s="87" t="s">
        <v>1</v>
      </c>
      <c r="C5178" s="88" t="s">
        <v>5259</v>
      </c>
      <c r="D5178" s="88">
        <v>22723302</v>
      </c>
      <c r="E5178" s="88" t="s">
        <v>61</v>
      </c>
      <c r="F5178" s="88">
        <v>0</v>
      </c>
      <c r="G5178" s="78">
        <f>MAX(H5178,I5178,J5178)</f>
        <v>1</v>
      </c>
      <c r="H5178" s="88"/>
      <c r="I5178" s="88"/>
      <c r="J5178" s="78">
        <f>MAX(K5178:Q5178)</f>
        <v>1</v>
      </c>
      <c r="K5178" s="88">
        <v>1</v>
      </c>
      <c r="L5178" s="88"/>
      <c r="M5178" s="88"/>
      <c r="N5178" s="88"/>
      <c r="O5178" s="88"/>
      <c r="P5178" s="88"/>
      <c r="Q5178" s="88"/>
      <c r="R5178" s="78">
        <f>MAX(S5178:W5178)</f>
        <v>0</v>
      </c>
      <c r="S5178" s="88"/>
      <c r="T5178" s="88"/>
      <c r="U5178" s="88"/>
      <c r="V5178" s="88"/>
      <c r="W5178" s="88"/>
    </row>
    <row r="5179" spans="2:23" s="0" customFormat="0" ht="15">
      <c r="B5179" s="87" t="s">
        <v>1</v>
      </c>
      <c r="C5179" s="88" t="s">
        <v>5259</v>
      </c>
      <c r="D5179" s="88" t="s">
        <v>4861</v>
      </c>
      <c r="E5179" s="88" t="s">
        <v>61</v>
      </c>
      <c r="F5179" s="88">
        <v>0</v>
      </c>
      <c r="G5179" s="78">
        <f>MAX(H5179,I5179,J5179)</f>
        <v>0</v>
      </c>
      <c r="H5179" s="88"/>
      <c r="I5179" s="88"/>
      <c r="J5179" s="78">
        <f>MAX(K5179:Q5179)</f>
        <v>0</v>
      </c>
      <c r="K5179" s="88"/>
      <c r="L5179" s="88"/>
      <c r="M5179" s="88"/>
      <c r="N5179" s="88"/>
      <c r="O5179" s="88"/>
      <c r="P5179" s="88"/>
      <c r="Q5179" s="88"/>
      <c r="R5179" s="78">
        <f>MAX(S5179:W5179)</f>
        <v>1</v>
      </c>
      <c r="S5179" s="88"/>
      <c r="T5179" s="88"/>
      <c r="U5179" s="88">
        <v>1</v>
      </c>
      <c r="V5179" s="88"/>
      <c r="W5179" s="88"/>
    </row>
    <row r="5180" spans="2:23" s="0" customFormat="0" ht="15">
      <c r="B5180" s="87" t="s">
        <v>1</v>
      </c>
      <c r="C5180" s="88" t="s">
        <v>5259</v>
      </c>
      <c r="D5180" s="88">
        <v>11821209</v>
      </c>
      <c r="E5180" s="88" t="s">
        <v>61</v>
      </c>
      <c r="F5180" s="88">
        <v>0</v>
      </c>
      <c r="G5180" s="78">
        <f>MAX(H5180,I5180,J5180)</f>
        <v>1</v>
      </c>
      <c r="H5180" s="88"/>
      <c r="I5180" s="88"/>
      <c r="J5180" s="78">
        <f>MAX(K5180:Q5180)</f>
        <v>1</v>
      </c>
      <c r="K5180" s="88">
        <v>1</v>
      </c>
      <c r="L5180" s="88"/>
      <c r="M5180" s="88"/>
      <c r="N5180" s="88"/>
      <c r="O5180" s="88"/>
      <c r="P5180" s="88"/>
      <c r="Q5180" s="88"/>
      <c r="R5180" s="78">
        <f>MAX(S5180:W5180)</f>
        <v>0</v>
      </c>
      <c r="S5180" s="88"/>
      <c r="T5180" s="88"/>
      <c r="U5180" s="88"/>
      <c r="V5180" s="88"/>
      <c r="W5180" s="88"/>
    </row>
    <row r="5181" spans="2:23" s="0" customFormat="0" ht="15">
      <c r="B5181" s="87" t="s">
        <v>1</v>
      </c>
      <c r="C5181" s="88" t="s">
        <v>5259</v>
      </c>
      <c r="D5181" s="88" t="s">
        <v>3861</v>
      </c>
      <c r="E5181" s="88" t="s">
        <v>61</v>
      </c>
      <c r="F5181" s="88">
        <v>0</v>
      </c>
      <c r="G5181" s="78">
        <f>MAX(H5181,I5181,J5181)</f>
        <v>0</v>
      </c>
      <c r="H5181" s="88"/>
      <c r="I5181" s="88"/>
      <c r="J5181" s="78">
        <f>MAX(K5181:Q5181)</f>
        <v>0</v>
      </c>
      <c r="K5181" s="88"/>
      <c r="L5181" s="88"/>
      <c r="M5181" s="88"/>
      <c r="N5181" s="88"/>
      <c r="O5181" s="88"/>
      <c r="P5181" s="88"/>
      <c r="Q5181" s="88"/>
      <c r="R5181" s="78">
        <f>MAX(S5181:W5181)</f>
        <v>1</v>
      </c>
      <c r="S5181" s="88"/>
      <c r="T5181" s="88"/>
      <c r="U5181" s="88">
        <v>1</v>
      </c>
      <c r="V5181" s="88"/>
      <c r="W5181" s="88"/>
    </row>
    <row r="5182" spans="2:23" s="0" customFormat="0" ht="15">
      <c r="B5182" s="87" t="s">
        <v>1</v>
      </c>
      <c r="C5182" s="88" t="s">
        <v>5259</v>
      </c>
      <c r="D5182" s="88">
        <v>9511665</v>
      </c>
      <c r="E5182" s="88" t="s">
        <v>61</v>
      </c>
      <c r="F5182" s="88">
        <v>0</v>
      </c>
      <c r="G5182" s="78">
        <f>MAX(H5182,I5182,J5182)</f>
        <v>1</v>
      </c>
      <c r="H5182" s="88"/>
      <c r="I5182" s="88"/>
      <c r="J5182" s="78">
        <f>MAX(K5182:Q5182)</f>
        <v>1</v>
      </c>
      <c r="K5182" s="88">
        <v>1</v>
      </c>
      <c r="L5182" s="88"/>
      <c r="M5182" s="88"/>
      <c r="N5182" s="88"/>
      <c r="O5182" s="88"/>
      <c r="P5182" s="88"/>
      <c r="Q5182" s="88"/>
      <c r="R5182" s="78">
        <f>MAX(S5182:W5182)</f>
        <v>0</v>
      </c>
      <c r="S5182" s="88"/>
      <c r="T5182" s="88"/>
      <c r="U5182" s="88"/>
      <c r="V5182" s="88"/>
      <c r="W5182" s="88"/>
    </row>
    <row r="5183" spans="2:23" s="0" customFormat="0" ht="15">
      <c r="B5183" s="87" t="s">
        <v>1</v>
      </c>
      <c r="C5183" s="88" t="s">
        <v>5259</v>
      </c>
      <c r="D5183" s="88" t="s">
        <v>3242</v>
      </c>
      <c r="E5183" s="88" t="s">
        <v>61</v>
      </c>
      <c r="F5183" s="88">
        <v>0</v>
      </c>
      <c r="G5183" s="78">
        <f>MAX(H5183,I5183,J5183)</f>
        <v>0</v>
      </c>
      <c r="H5183" s="88"/>
      <c r="I5183" s="88"/>
      <c r="J5183" s="78">
        <f>MAX(K5183:Q5183)</f>
        <v>0</v>
      </c>
      <c r="K5183" s="88"/>
      <c r="L5183" s="88"/>
      <c r="M5183" s="88"/>
      <c r="N5183" s="88"/>
      <c r="O5183" s="88"/>
      <c r="P5183" s="88"/>
      <c r="Q5183" s="88"/>
      <c r="R5183" s="78">
        <f>MAX(S5183:W5183)</f>
        <v>1</v>
      </c>
      <c r="S5183" s="88"/>
      <c r="T5183" s="88"/>
      <c r="U5183" s="88"/>
      <c r="V5183" s="88">
        <v>1</v>
      </c>
      <c r="W5183" s="88"/>
    </row>
    <row r="5184" spans="2:23" s="0" customFormat="0" ht="15">
      <c r="B5184" s="87" t="s">
        <v>1</v>
      </c>
      <c r="C5184" s="88" t="s">
        <v>5259</v>
      </c>
      <c r="D5184" s="88">
        <v>14767410</v>
      </c>
      <c r="E5184" s="88" t="s">
        <v>61</v>
      </c>
      <c r="F5184" s="88">
        <v>0</v>
      </c>
      <c r="G5184" s="78">
        <f>MAX(H5184,I5184,J5184)</f>
        <v>1</v>
      </c>
      <c r="H5184" s="88"/>
      <c r="I5184" s="88"/>
      <c r="J5184" s="78">
        <f>MAX(K5184:Q5184)</f>
        <v>1</v>
      </c>
      <c r="K5184" s="88">
        <v>1</v>
      </c>
      <c r="L5184" s="88"/>
      <c r="M5184" s="88"/>
      <c r="N5184" s="88"/>
      <c r="O5184" s="88"/>
      <c r="P5184" s="88"/>
      <c r="Q5184" s="88"/>
      <c r="R5184" s="78">
        <f>MAX(S5184:W5184)</f>
        <v>0</v>
      </c>
      <c r="S5184" s="88"/>
      <c r="T5184" s="88"/>
      <c r="U5184" s="88"/>
      <c r="V5184" s="88"/>
      <c r="W5184" s="88"/>
    </row>
    <row r="5185" spans="2:23" s="0" customFormat="0" ht="15">
      <c r="B5185" s="87" t="s">
        <v>1</v>
      </c>
      <c r="C5185" s="88" t="s">
        <v>5259</v>
      </c>
      <c r="D5185" s="88" t="s">
        <v>4527</v>
      </c>
      <c r="E5185" s="88" t="s">
        <v>61</v>
      </c>
      <c r="F5185" s="88">
        <v>0</v>
      </c>
      <c r="G5185" s="78">
        <f>MAX(H5185,I5185,J5185)</f>
        <v>0</v>
      </c>
      <c r="H5185" s="88"/>
      <c r="I5185" s="88"/>
      <c r="J5185" s="78">
        <f>MAX(K5185:Q5185)</f>
        <v>0</v>
      </c>
      <c r="K5185" s="88"/>
      <c r="L5185" s="88"/>
      <c r="M5185" s="88"/>
      <c r="N5185" s="88"/>
      <c r="O5185" s="88"/>
      <c r="P5185" s="88"/>
      <c r="Q5185" s="88"/>
      <c r="R5185" s="78">
        <f>MAX(S5185:W5185)</f>
        <v>1</v>
      </c>
      <c r="S5185" s="88"/>
      <c r="T5185" s="88"/>
      <c r="U5185" s="88">
        <v>1</v>
      </c>
      <c r="V5185" s="88"/>
      <c r="W5185" s="88"/>
    </row>
    <row r="5186" spans="2:23" s="0" customFormat="0" ht="15">
      <c r="B5186" s="87" t="s">
        <v>1</v>
      </c>
      <c r="C5186" s="88" t="s">
        <v>5259</v>
      </c>
      <c r="D5186" s="88">
        <v>17147379</v>
      </c>
      <c r="E5186" s="88" t="s">
        <v>61</v>
      </c>
      <c r="F5186" s="88">
        <v>0</v>
      </c>
      <c r="G5186" s="78">
        <f>MAX(H5186,I5186,J5186)</f>
        <v>1</v>
      </c>
      <c r="H5186" s="88"/>
      <c r="I5186" s="88"/>
      <c r="J5186" s="78">
        <f>MAX(K5186:Q5186)</f>
        <v>1</v>
      </c>
      <c r="K5186" s="88">
        <v>1</v>
      </c>
      <c r="L5186" s="88"/>
      <c r="M5186" s="88"/>
      <c r="N5186" s="88"/>
      <c r="O5186" s="88"/>
      <c r="P5186" s="88"/>
      <c r="Q5186" s="88"/>
      <c r="R5186" s="78">
        <f>MAX(S5186:W5186)</f>
        <v>0</v>
      </c>
      <c r="S5186" s="88"/>
      <c r="T5186" s="88"/>
      <c r="U5186" s="88"/>
      <c r="V5186" s="88"/>
      <c r="W5186" s="88"/>
    </row>
    <row r="5187" spans="2:23" s="0" customFormat="0" ht="15">
      <c r="B5187" s="87" t="s">
        <v>1</v>
      </c>
      <c r="C5187" s="88" t="s">
        <v>5259</v>
      </c>
      <c r="D5187" s="88">
        <v>203287</v>
      </c>
      <c r="E5187" s="88" t="s">
        <v>61</v>
      </c>
      <c r="F5187" s="88">
        <v>0</v>
      </c>
      <c r="G5187" s="78">
        <f>MAX(H5187,I5187,J5187)</f>
        <v>1</v>
      </c>
      <c r="H5187" s="88"/>
      <c r="I5187" s="88"/>
      <c r="J5187" s="78">
        <f>MAX(K5187:Q5187)</f>
        <v>1</v>
      </c>
      <c r="K5187" s="88">
        <v>1</v>
      </c>
      <c r="L5187" s="88"/>
      <c r="M5187" s="88"/>
      <c r="N5187" s="88"/>
      <c r="O5187" s="88"/>
      <c r="P5187" s="88"/>
      <c r="Q5187" s="88"/>
      <c r="R5187" s="78">
        <f>MAX(S5187:W5187)</f>
        <v>0</v>
      </c>
      <c r="S5187" s="88"/>
      <c r="T5187" s="88"/>
      <c r="U5187" s="88"/>
      <c r="V5187" s="88"/>
      <c r="W5187" s="88"/>
    </row>
    <row r="5188" spans="2:23" s="0" customFormat="0" ht="15">
      <c r="B5188" s="87" t="s">
        <v>1</v>
      </c>
      <c r="C5188" s="88" t="s">
        <v>5259</v>
      </c>
      <c r="D5188" s="88">
        <v>20892696</v>
      </c>
      <c r="E5188" s="88" t="s">
        <v>61</v>
      </c>
      <c r="F5188" s="88">
        <v>0</v>
      </c>
      <c r="G5188" s="78">
        <f>MAX(H5188,I5188,J5188)</f>
        <v>1</v>
      </c>
      <c r="H5188" s="88"/>
      <c r="I5188" s="88"/>
      <c r="J5188" s="78">
        <f>MAX(K5188:Q5188)</f>
        <v>1</v>
      </c>
      <c r="K5188" s="88">
        <v>1</v>
      </c>
      <c r="L5188" s="88"/>
      <c r="M5188" s="88"/>
      <c r="N5188" s="88"/>
      <c r="O5188" s="88"/>
      <c r="P5188" s="88"/>
      <c r="Q5188" s="88"/>
      <c r="R5188" s="78">
        <f>MAX(S5188:W5188)</f>
        <v>0</v>
      </c>
      <c r="S5188" s="88"/>
      <c r="T5188" s="88"/>
      <c r="U5188" s="88"/>
      <c r="V5188" s="88"/>
      <c r="W5188" s="88"/>
    </row>
    <row r="5189" spans="2:23" s="0" customFormat="0" ht="15">
      <c r="B5189" s="87" t="s">
        <v>1</v>
      </c>
      <c r="C5189" s="88" t="s">
        <v>5259</v>
      </c>
      <c r="D5189" s="88">
        <v>22554345</v>
      </c>
      <c r="E5189" s="88" t="s">
        <v>61</v>
      </c>
      <c r="F5189" s="88">
        <v>0</v>
      </c>
      <c r="G5189" s="78">
        <f>MAX(H5189,I5189,J5189)</f>
        <v>0</v>
      </c>
      <c r="H5189" s="88"/>
      <c r="I5189" s="88"/>
      <c r="J5189" s="78">
        <f>MAX(K5189:Q5189)</f>
        <v>0</v>
      </c>
      <c r="K5189" s="88"/>
      <c r="L5189" s="88"/>
      <c r="M5189" s="88"/>
      <c r="N5189" s="88"/>
      <c r="O5189" s="88"/>
      <c r="P5189" s="88"/>
      <c r="Q5189" s="88"/>
      <c r="R5189" s="78">
        <f>MAX(S5189:W5189)</f>
        <v>1</v>
      </c>
      <c r="S5189" s="88"/>
      <c r="T5189" s="88"/>
      <c r="U5189" s="88"/>
      <c r="V5189" s="88">
        <v>1</v>
      </c>
      <c r="W5189" s="88"/>
    </row>
    <row r="5190" spans="2:23" s="0" customFormat="0" ht="15">
      <c r="B5190" s="87" t="s">
        <v>1</v>
      </c>
      <c r="C5190" s="88" t="s">
        <v>5259</v>
      </c>
      <c r="D5190" s="88" t="s">
        <v>3767</v>
      </c>
      <c r="E5190" s="88" t="s">
        <v>61</v>
      </c>
      <c r="F5190" s="88">
        <v>0</v>
      </c>
      <c r="G5190" s="78">
        <f>MAX(H5190,I5190,J5190)</f>
        <v>0</v>
      </c>
      <c r="H5190" s="88"/>
      <c r="I5190" s="88"/>
      <c r="J5190" s="78">
        <f>MAX(K5190:Q5190)</f>
        <v>0</v>
      </c>
      <c r="K5190" s="88"/>
      <c r="L5190" s="88"/>
      <c r="M5190" s="88"/>
      <c r="N5190" s="88"/>
      <c r="O5190" s="88"/>
      <c r="P5190" s="88"/>
      <c r="Q5190" s="88"/>
      <c r="R5190" s="78">
        <f>MAX(S5190:W5190)</f>
        <v>1</v>
      </c>
      <c r="S5190" s="88"/>
      <c r="T5190" s="88"/>
      <c r="U5190" s="88">
        <v>1</v>
      </c>
      <c r="V5190" s="88"/>
      <c r="W5190" s="88"/>
    </row>
    <row r="5191" spans="2:23" s="0" customFormat="0" ht="15">
      <c r="B5191" s="87" t="s">
        <v>1</v>
      </c>
      <c r="C5191" s="88" t="s">
        <v>5259</v>
      </c>
      <c r="D5191" s="88">
        <v>23134853</v>
      </c>
      <c r="E5191" s="88" t="s">
        <v>61</v>
      </c>
      <c r="F5191" s="88">
        <v>0</v>
      </c>
      <c r="G5191" s="78">
        <f>MAX(H5191,I5191,J5191)</f>
        <v>1</v>
      </c>
      <c r="H5191" s="88"/>
      <c r="I5191" s="88"/>
      <c r="J5191" s="78">
        <f>MAX(K5191:Q5191)</f>
        <v>1</v>
      </c>
      <c r="K5191" s="88"/>
      <c r="L5191" s="88"/>
      <c r="M5191" s="88">
        <v>1</v>
      </c>
      <c r="N5191" s="88"/>
      <c r="O5191" s="88"/>
      <c r="P5191" s="88"/>
      <c r="Q5191" s="88"/>
      <c r="R5191" s="78">
        <f>MAX(S5191:W5191)</f>
        <v>0</v>
      </c>
      <c r="S5191" s="88"/>
      <c r="T5191" s="88"/>
      <c r="U5191" s="88"/>
      <c r="V5191" s="88"/>
      <c r="W5191" s="88"/>
    </row>
    <row r="5192" spans="2:23" s="0" customFormat="0" ht="15">
      <c r="B5192" s="87" t="s">
        <v>1</v>
      </c>
      <c r="C5192" s="88" t="s">
        <v>5259</v>
      </c>
      <c r="D5192" s="88">
        <v>16080840</v>
      </c>
      <c r="E5192" s="88" t="s">
        <v>61</v>
      </c>
      <c r="F5192" s="88">
        <v>0</v>
      </c>
      <c r="G5192" s="78">
        <f>MAX(H5192,I5192,J5192)</f>
        <v>1</v>
      </c>
      <c r="H5192" s="88"/>
      <c r="I5192" s="88"/>
      <c r="J5192" s="78">
        <f>MAX(K5192:Q5192)</f>
        <v>1</v>
      </c>
      <c r="K5192" s="88">
        <v>1</v>
      </c>
      <c r="L5192" s="88"/>
      <c r="M5192" s="88"/>
      <c r="N5192" s="88"/>
      <c r="O5192" s="88"/>
      <c r="P5192" s="88"/>
      <c r="Q5192" s="88"/>
      <c r="R5192" s="78">
        <f>MAX(S5192:W5192)</f>
        <v>0</v>
      </c>
      <c r="S5192" s="88"/>
      <c r="T5192" s="88"/>
      <c r="U5192" s="88"/>
      <c r="V5192" s="88"/>
      <c r="W5192" s="88"/>
    </row>
    <row r="5193" spans="2:23" s="0" customFormat="0" ht="15">
      <c r="B5193" s="87" t="s">
        <v>1</v>
      </c>
      <c r="C5193" s="88" t="s">
        <v>5259</v>
      </c>
      <c r="D5193" s="88" t="s">
        <v>2697</v>
      </c>
      <c r="E5193" s="88" t="s">
        <v>61</v>
      </c>
      <c r="F5193" s="88">
        <v>0</v>
      </c>
      <c r="G5193" s="78">
        <f>MAX(H5193,I5193,J5193)</f>
        <v>1</v>
      </c>
      <c r="H5193" s="88"/>
      <c r="I5193" s="88"/>
      <c r="J5193" s="78">
        <f>MAX(K5193:Q5193)</f>
        <v>1</v>
      </c>
      <c r="K5193" s="88">
        <v>1</v>
      </c>
      <c r="L5193" s="88"/>
      <c r="M5193" s="88"/>
      <c r="N5193" s="88"/>
      <c r="O5193" s="88"/>
      <c r="P5193" s="88"/>
      <c r="Q5193" s="88"/>
      <c r="R5193" s="78">
        <f>MAX(S5193:W5193)</f>
        <v>0</v>
      </c>
      <c r="S5193" s="88"/>
      <c r="T5193" s="88"/>
      <c r="U5193" s="88"/>
      <c r="V5193" s="88"/>
      <c r="W5193" s="88"/>
    </row>
    <row r="5194" spans="2:23" s="0" customFormat="0" ht="15">
      <c r="B5194" s="87" t="s">
        <v>1</v>
      </c>
      <c r="C5194" s="88" t="s">
        <v>5259</v>
      </c>
      <c r="D5194" s="88" t="s">
        <v>389</v>
      </c>
      <c r="E5194" s="88" t="s">
        <v>61</v>
      </c>
      <c r="F5194" s="88">
        <v>0</v>
      </c>
      <c r="G5194" s="78">
        <f>MAX(H5194,I5194,J5194)</f>
        <v>1</v>
      </c>
      <c r="H5194" s="88"/>
      <c r="I5194" s="88"/>
      <c r="J5194" s="78">
        <f>MAX(K5194:Q5194)</f>
        <v>1</v>
      </c>
      <c r="K5194" s="88">
        <v>1</v>
      </c>
      <c r="L5194" s="88"/>
      <c r="M5194" s="88"/>
      <c r="N5194" s="88"/>
      <c r="O5194" s="88"/>
      <c r="P5194" s="88"/>
      <c r="Q5194" s="88"/>
      <c r="R5194" s="78">
        <f>MAX(S5194:W5194)</f>
        <v>0</v>
      </c>
      <c r="S5194" s="88"/>
      <c r="T5194" s="88"/>
      <c r="U5194" s="88"/>
      <c r="V5194" s="88"/>
      <c r="W5194" s="88"/>
    </row>
    <row r="5195" spans="2:23" s="0" customFormat="0" ht="15">
      <c r="B5195" s="87" t="s">
        <v>1</v>
      </c>
      <c r="C5195" s="88" t="s">
        <v>5259</v>
      </c>
      <c r="D5195" s="88" t="s">
        <v>803</v>
      </c>
      <c r="E5195" s="88" t="s">
        <v>61</v>
      </c>
      <c r="F5195" s="88">
        <v>0</v>
      </c>
      <c r="G5195" s="78">
        <f>MAX(H5195,I5195,J5195)</f>
        <v>1</v>
      </c>
      <c r="H5195" s="88"/>
      <c r="I5195" s="88"/>
      <c r="J5195" s="78">
        <f>MAX(K5195:Q5195)</f>
        <v>1</v>
      </c>
      <c r="K5195" s="88">
        <v>1</v>
      </c>
      <c r="L5195" s="88"/>
      <c r="M5195" s="88"/>
      <c r="N5195" s="88"/>
      <c r="O5195" s="88"/>
      <c r="P5195" s="88"/>
      <c r="Q5195" s="88"/>
      <c r="R5195" s="78">
        <f>MAX(S5195:W5195)</f>
        <v>0</v>
      </c>
      <c r="S5195" s="88"/>
      <c r="T5195" s="88"/>
      <c r="U5195" s="88"/>
      <c r="V5195" s="88"/>
      <c r="W5195" s="88"/>
    </row>
    <row r="5196" spans="2:23" s="0" customFormat="0" ht="15">
      <c r="B5196" s="87" t="s">
        <v>1</v>
      </c>
      <c r="C5196" s="88" t="s">
        <v>5259</v>
      </c>
      <c r="D5196" s="88">
        <v>15540828</v>
      </c>
      <c r="E5196" s="88" t="s">
        <v>61</v>
      </c>
      <c r="F5196" s="88">
        <v>0</v>
      </c>
      <c r="G5196" s="78">
        <f>MAX(H5196,I5196,J5196)</f>
        <v>1</v>
      </c>
      <c r="H5196" s="88"/>
      <c r="I5196" s="88"/>
      <c r="J5196" s="78">
        <f>MAX(K5196:Q5196)</f>
        <v>1</v>
      </c>
      <c r="K5196" s="88">
        <v>1</v>
      </c>
      <c r="L5196" s="88"/>
      <c r="M5196" s="88"/>
      <c r="N5196" s="88"/>
      <c r="O5196" s="88"/>
      <c r="P5196" s="88"/>
      <c r="Q5196" s="88"/>
      <c r="R5196" s="78">
        <f>MAX(S5196:W5196)</f>
        <v>0</v>
      </c>
      <c r="S5196" s="88"/>
      <c r="T5196" s="88"/>
      <c r="U5196" s="88"/>
      <c r="V5196" s="88"/>
      <c r="W5196" s="88"/>
    </row>
    <row r="5197" spans="2:23" s="0" customFormat="0" ht="15">
      <c r="B5197" s="87" t="s">
        <v>1</v>
      </c>
      <c r="C5197" s="88" t="s">
        <v>5259</v>
      </c>
      <c r="D5197" s="88" t="s">
        <v>2196</v>
      </c>
      <c r="E5197" s="88" t="s">
        <v>61</v>
      </c>
      <c r="F5197" s="88">
        <v>0</v>
      </c>
      <c r="G5197" s="78">
        <f>MAX(H5197,I5197,J5197)</f>
        <v>1</v>
      </c>
      <c r="H5197" s="88"/>
      <c r="I5197" s="88"/>
      <c r="J5197" s="78">
        <f>MAX(K5197:Q5197)</f>
        <v>1</v>
      </c>
      <c r="K5197" s="88">
        <v>1</v>
      </c>
      <c r="L5197" s="88"/>
      <c r="M5197" s="88"/>
      <c r="N5197" s="88"/>
      <c r="O5197" s="88"/>
      <c r="P5197" s="88"/>
      <c r="Q5197" s="88"/>
      <c r="R5197" s="78">
        <f>MAX(S5197:W5197)</f>
        <v>0</v>
      </c>
      <c r="S5197" s="88"/>
      <c r="T5197" s="88"/>
      <c r="U5197" s="88"/>
      <c r="V5197" s="88"/>
      <c r="W5197" s="88"/>
    </row>
    <row r="5198" spans="2:23" s="0" customFormat="0" ht="15">
      <c r="B5198" s="87" t="s">
        <v>1</v>
      </c>
      <c r="C5198" s="88" t="s">
        <v>5259</v>
      </c>
      <c r="D5198" s="88">
        <v>22623663</v>
      </c>
      <c r="E5198" s="88" t="s">
        <v>61</v>
      </c>
      <c r="F5198" s="88">
        <v>0</v>
      </c>
      <c r="G5198" s="78">
        <f>MAX(H5198,I5198,J5198)</f>
        <v>0</v>
      </c>
      <c r="H5198" s="88"/>
      <c r="I5198" s="88"/>
      <c r="J5198" s="78">
        <f>MAX(K5198:Q5198)</f>
        <v>0</v>
      </c>
      <c r="K5198" s="88"/>
      <c r="L5198" s="88"/>
      <c r="M5198" s="88"/>
      <c r="N5198" s="88"/>
      <c r="O5198" s="88"/>
      <c r="P5198" s="88"/>
      <c r="Q5198" s="88"/>
      <c r="R5198" s="78">
        <f>MAX(S5198:W5198)</f>
        <v>1</v>
      </c>
      <c r="S5198" s="88"/>
      <c r="T5198" s="88"/>
      <c r="U5198" s="88">
        <v>1</v>
      </c>
      <c r="V5198" s="88"/>
      <c r="W5198" s="88"/>
    </row>
    <row r="5199" spans="2:23" s="0" customFormat="0" ht="15">
      <c r="B5199" s="87" t="s">
        <v>1</v>
      </c>
      <c r="C5199" s="88" t="s">
        <v>5259</v>
      </c>
      <c r="D5199" s="88">
        <v>262358</v>
      </c>
      <c r="E5199" s="88" t="s">
        <v>61</v>
      </c>
      <c r="F5199" s="88">
        <v>0</v>
      </c>
      <c r="G5199" s="78">
        <f>MAX(H5199,I5199,J5199)</f>
        <v>1</v>
      </c>
      <c r="H5199" s="88"/>
      <c r="I5199" s="88"/>
      <c r="J5199" s="78">
        <f>MAX(K5199:Q5199)</f>
        <v>1</v>
      </c>
      <c r="K5199" s="88"/>
      <c r="L5199" s="88"/>
      <c r="M5199" s="88"/>
      <c r="N5199" s="88">
        <v>1</v>
      </c>
      <c r="O5199" s="88"/>
      <c r="P5199" s="88"/>
      <c r="Q5199" s="88"/>
      <c r="R5199" s="78">
        <f>MAX(S5199:W5199)</f>
        <v>0</v>
      </c>
      <c r="S5199" s="88"/>
      <c r="T5199" s="88"/>
      <c r="U5199" s="88"/>
      <c r="V5199" s="88"/>
      <c r="W5199" s="88"/>
    </row>
    <row r="5200" spans="2:23" s="0" customFormat="0" ht="15">
      <c r="B5200" s="87" t="s">
        <v>1</v>
      </c>
      <c r="C5200" s="88" t="s">
        <v>5259</v>
      </c>
      <c r="D5200" s="88" t="s">
        <v>5112</v>
      </c>
      <c r="E5200" s="88" t="s">
        <v>61</v>
      </c>
      <c r="F5200" s="88">
        <v>0</v>
      </c>
      <c r="G5200" s="78">
        <f>MAX(H5200,I5200,J5200)</f>
        <v>0</v>
      </c>
      <c r="H5200" s="88"/>
      <c r="I5200" s="88"/>
      <c r="J5200" s="78">
        <f>MAX(K5200:Q5200)</f>
        <v>0</v>
      </c>
      <c r="K5200" s="88"/>
      <c r="L5200" s="88"/>
      <c r="M5200" s="88"/>
      <c r="N5200" s="88"/>
      <c r="O5200" s="88"/>
      <c r="P5200" s="88"/>
      <c r="Q5200" s="88"/>
      <c r="R5200" s="78">
        <f>MAX(S5200:W5200)</f>
        <v>1</v>
      </c>
      <c r="S5200" s="88"/>
      <c r="T5200" s="88"/>
      <c r="U5200" s="88">
        <v>1</v>
      </c>
      <c r="V5200" s="88"/>
      <c r="W5200" s="88"/>
    </row>
    <row r="5201" spans="2:23" s="0" customFormat="0" ht="15">
      <c r="B5201" s="87" t="s">
        <v>1</v>
      </c>
      <c r="C5201" s="88" t="s">
        <v>5259</v>
      </c>
      <c r="D5201" s="88">
        <v>22554274</v>
      </c>
      <c r="E5201" s="88" t="s">
        <v>61</v>
      </c>
      <c r="F5201" s="88">
        <v>0</v>
      </c>
      <c r="G5201" s="78">
        <f>MAX(H5201,I5201,J5201)</f>
        <v>0</v>
      </c>
      <c r="H5201" s="88"/>
      <c r="I5201" s="88"/>
      <c r="J5201" s="78">
        <f>MAX(K5201:Q5201)</f>
        <v>0</v>
      </c>
      <c r="K5201" s="88"/>
      <c r="L5201" s="88"/>
      <c r="M5201" s="88"/>
      <c r="N5201" s="88"/>
      <c r="O5201" s="88"/>
      <c r="P5201" s="88"/>
      <c r="Q5201" s="88"/>
      <c r="R5201" s="78">
        <f>MAX(S5201:W5201)</f>
        <v>1</v>
      </c>
      <c r="S5201" s="88"/>
      <c r="T5201" s="88"/>
      <c r="U5201" s="88">
        <v>1</v>
      </c>
      <c r="V5201" s="88"/>
      <c r="W5201" s="88"/>
    </row>
    <row r="5202" spans="2:23" s="0" customFormat="0" ht="15">
      <c r="B5202" s="87" t="s">
        <v>1</v>
      </c>
      <c r="C5202" s="88" t="s">
        <v>5259</v>
      </c>
      <c r="D5202" s="88">
        <v>22213236</v>
      </c>
      <c r="E5202" s="88" t="s">
        <v>61</v>
      </c>
      <c r="F5202" s="88">
        <v>0</v>
      </c>
      <c r="G5202" s="78">
        <f>MAX(H5202,I5202,J5202)</f>
        <v>1</v>
      </c>
      <c r="H5202" s="88"/>
      <c r="I5202" s="88"/>
      <c r="J5202" s="78">
        <f>MAX(K5202:Q5202)</f>
        <v>1</v>
      </c>
      <c r="K5202" s="88">
        <v>1</v>
      </c>
      <c r="L5202" s="88"/>
      <c r="M5202" s="88"/>
      <c r="N5202" s="88"/>
      <c r="O5202" s="88"/>
      <c r="P5202" s="88"/>
      <c r="Q5202" s="88"/>
      <c r="R5202" s="78">
        <f>MAX(S5202:W5202)</f>
        <v>0</v>
      </c>
      <c r="S5202" s="88"/>
      <c r="T5202" s="88"/>
      <c r="U5202" s="88"/>
      <c r="V5202" s="88"/>
      <c r="W5202" s="88"/>
    </row>
    <row r="5203" spans="2:23" s="0" customFormat="0" ht="15">
      <c r="B5203" s="87" t="s">
        <v>1</v>
      </c>
      <c r="C5203" s="88" t="s">
        <v>5259</v>
      </c>
      <c r="D5203" s="88">
        <v>17095257</v>
      </c>
      <c r="E5203" s="88" t="s">
        <v>61</v>
      </c>
      <c r="F5203" s="88">
        <v>0</v>
      </c>
      <c r="G5203" s="78">
        <f>MAX(H5203,I5203,J5203)</f>
        <v>1</v>
      </c>
      <c r="H5203" s="88"/>
      <c r="I5203" s="88"/>
      <c r="J5203" s="78">
        <f>MAX(K5203:Q5203)</f>
        <v>1</v>
      </c>
      <c r="K5203" s="88">
        <v>1</v>
      </c>
      <c r="L5203" s="88"/>
      <c r="M5203" s="88"/>
      <c r="N5203" s="88"/>
      <c r="O5203" s="88"/>
      <c r="P5203" s="88"/>
      <c r="Q5203" s="88"/>
      <c r="R5203" s="78">
        <f>MAX(S5203:W5203)</f>
        <v>0</v>
      </c>
      <c r="S5203" s="88"/>
      <c r="T5203" s="88"/>
      <c r="U5203" s="88"/>
      <c r="V5203" s="88"/>
      <c r="W5203" s="88"/>
    </row>
    <row r="5204" spans="2:23" s="0" customFormat="0" ht="15">
      <c r="B5204" s="87" t="s">
        <v>1</v>
      </c>
      <c r="C5204" s="88" t="s">
        <v>5259</v>
      </c>
      <c r="D5204" s="88" t="s">
        <v>2094</v>
      </c>
      <c r="E5204" s="88" t="s">
        <v>61</v>
      </c>
      <c r="F5204" s="88">
        <v>0</v>
      </c>
      <c r="G5204" s="78">
        <f>MAX(H5204,I5204,J5204)</f>
        <v>1</v>
      </c>
      <c r="H5204" s="88"/>
      <c r="I5204" s="88"/>
      <c r="J5204" s="78">
        <f>MAX(K5204:Q5204)</f>
        <v>1</v>
      </c>
      <c r="K5204" s="88">
        <v>1</v>
      </c>
      <c r="L5204" s="88"/>
      <c r="M5204" s="88"/>
      <c r="N5204" s="88"/>
      <c r="O5204" s="88"/>
      <c r="P5204" s="88"/>
      <c r="Q5204" s="88"/>
      <c r="R5204" s="78">
        <f>MAX(S5204:W5204)</f>
        <v>0</v>
      </c>
      <c r="S5204" s="88"/>
      <c r="T5204" s="88"/>
      <c r="U5204" s="88"/>
      <c r="V5204" s="88"/>
      <c r="W5204" s="88"/>
    </row>
    <row r="5205" spans="2:23" s="0" customFormat="0" ht="15">
      <c r="B5205" s="87" t="s">
        <v>1</v>
      </c>
      <c r="C5205" s="88" t="s">
        <v>5259</v>
      </c>
      <c r="D5205" s="88">
        <v>22865681</v>
      </c>
      <c r="E5205" s="88" t="s">
        <v>61</v>
      </c>
      <c r="F5205" s="88">
        <v>0</v>
      </c>
      <c r="G5205" s="78">
        <f>MAX(H5205,I5205,J5205)</f>
        <v>1</v>
      </c>
      <c r="H5205" s="88"/>
      <c r="I5205" s="88"/>
      <c r="J5205" s="78">
        <f>MAX(K5205:Q5205)</f>
        <v>1</v>
      </c>
      <c r="K5205" s="88">
        <v>1</v>
      </c>
      <c r="L5205" s="88"/>
      <c r="M5205" s="88"/>
      <c r="N5205" s="88"/>
      <c r="O5205" s="88"/>
      <c r="P5205" s="88"/>
      <c r="Q5205" s="88"/>
      <c r="R5205" s="78">
        <f>MAX(S5205:W5205)</f>
        <v>0</v>
      </c>
      <c r="S5205" s="88"/>
      <c r="T5205" s="88"/>
      <c r="U5205" s="88"/>
      <c r="V5205" s="88"/>
      <c r="W5205" s="88"/>
    </row>
    <row r="5206" spans="2:23" s="0" customFormat="0" ht="15">
      <c r="B5206" s="87" t="s">
        <v>1</v>
      </c>
      <c r="C5206" s="88" t="s">
        <v>5259</v>
      </c>
      <c r="D5206" s="88" t="s">
        <v>4798</v>
      </c>
      <c r="E5206" s="88" t="s">
        <v>61</v>
      </c>
      <c r="F5206" s="88">
        <v>0</v>
      </c>
      <c r="G5206" s="78">
        <f>MAX(H5206,I5206,J5206)</f>
        <v>0</v>
      </c>
      <c r="H5206" s="88"/>
      <c r="I5206" s="88"/>
      <c r="J5206" s="78">
        <f>MAX(K5206:Q5206)</f>
        <v>0</v>
      </c>
      <c r="K5206" s="88"/>
      <c r="L5206" s="88"/>
      <c r="M5206" s="88"/>
      <c r="N5206" s="88"/>
      <c r="O5206" s="88"/>
      <c r="P5206" s="88"/>
      <c r="Q5206" s="88"/>
      <c r="R5206" s="78">
        <f>MAX(S5206:W5206)</f>
        <v>1</v>
      </c>
      <c r="S5206" s="88"/>
      <c r="T5206" s="88"/>
      <c r="U5206" s="88">
        <v>1</v>
      </c>
      <c r="V5206" s="88"/>
      <c r="W5206" s="88"/>
    </row>
    <row r="5207" spans="2:23" s="0" customFormat="0" ht="15">
      <c r="B5207" s="87" t="s">
        <v>1</v>
      </c>
      <c r="C5207" s="88" t="s">
        <v>5259</v>
      </c>
      <c r="D5207" s="88">
        <v>15839017</v>
      </c>
      <c r="E5207" s="88" t="s">
        <v>61</v>
      </c>
      <c r="F5207" s="88">
        <v>0</v>
      </c>
      <c r="G5207" s="78">
        <f>MAX(H5207,I5207,J5207)</f>
        <v>1</v>
      </c>
      <c r="H5207" s="88"/>
      <c r="I5207" s="88"/>
      <c r="J5207" s="78">
        <f>MAX(K5207:Q5207)</f>
        <v>1</v>
      </c>
      <c r="K5207" s="88">
        <v>1</v>
      </c>
      <c r="L5207" s="88"/>
      <c r="M5207" s="88"/>
      <c r="N5207" s="88"/>
      <c r="O5207" s="88"/>
      <c r="P5207" s="88"/>
      <c r="Q5207" s="88"/>
      <c r="R5207" s="78">
        <f>MAX(S5207:W5207)</f>
        <v>0</v>
      </c>
      <c r="S5207" s="88"/>
      <c r="T5207" s="88"/>
      <c r="U5207" s="88"/>
      <c r="V5207" s="88"/>
      <c r="W5207" s="88"/>
    </row>
    <row r="5208" spans="2:23" s="0" customFormat="0" ht="15">
      <c r="B5208" s="87" t="s">
        <v>1</v>
      </c>
      <c r="C5208" s="88" t="s">
        <v>5259</v>
      </c>
      <c r="D5208" s="88">
        <v>17782763</v>
      </c>
      <c r="E5208" s="88" t="s">
        <v>61</v>
      </c>
      <c r="F5208" s="88">
        <v>0</v>
      </c>
      <c r="G5208" s="78">
        <f>MAX(H5208,I5208,J5208)</f>
        <v>1</v>
      </c>
      <c r="H5208" s="88"/>
      <c r="I5208" s="88"/>
      <c r="J5208" s="78">
        <f>MAX(K5208:Q5208)</f>
        <v>1</v>
      </c>
      <c r="K5208" s="88">
        <v>1</v>
      </c>
      <c r="L5208" s="88"/>
      <c r="M5208" s="88"/>
      <c r="N5208" s="88"/>
      <c r="O5208" s="88"/>
      <c r="P5208" s="88"/>
      <c r="Q5208" s="88"/>
      <c r="R5208" s="78">
        <f>MAX(S5208:W5208)</f>
        <v>0</v>
      </c>
      <c r="S5208" s="88"/>
      <c r="T5208" s="88"/>
      <c r="U5208" s="88"/>
      <c r="V5208" s="88"/>
      <c r="W5208" s="88"/>
    </row>
    <row r="5209" spans="2:23" s="0" customFormat="0" ht="15">
      <c r="B5209" s="87" t="s">
        <v>1</v>
      </c>
      <c r="C5209" s="88" t="s">
        <v>5259</v>
      </c>
      <c r="D5209" s="88" t="s">
        <v>1992</v>
      </c>
      <c r="E5209" s="88" t="s">
        <v>61</v>
      </c>
      <c r="F5209" s="88">
        <v>0</v>
      </c>
      <c r="G5209" s="78">
        <f>MAX(H5209,I5209,J5209)</f>
        <v>1</v>
      </c>
      <c r="H5209" s="88"/>
      <c r="I5209" s="88"/>
      <c r="J5209" s="78">
        <f>MAX(K5209:Q5209)</f>
        <v>1</v>
      </c>
      <c r="K5209" s="88">
        <v>1</v>
      </c>
      <c r="L5209" s="88"/>
      <c r="M5209" s="88"/>
      <c r="N5209" s="88"/>
      <c r="O5209" s="88"/>
      <c r="P5209" s="88"/>
      <c r="Q5209" s="88"/>
      <c r="R5209" s="78">
        <f>MAX(S5209:W5209)</f>
        <v>0</v>
      </c>
      <c r="S5209" s="88"/>
      <c r="T5209" s="88"/>
      <c r="U5209" s="88"/>
      <c r="V5209" s="88"/>
      <c r="W5209" s="88"/>
    </row>
    <row r="5210" spans="2:23" s="0" customFormat="0" ht="15">
      <c r="B5210" s="87" t="s">
        <v>1</v>
      </c>
      <c r="C5210" s="88" t="s">
        <v>5259</v>
      </c>
      <c r="D5210" s="88">
        <v>13102511</v>
      </c>
      <c r="E5210" s="88" t="s">
        <v>61</v>
      </c>
      <c r="F5210" s="88">
        <v>0</v>
      </c>
      <c r="G5210" s="78">
        <f>MAX(H5210,I5210,J5210)</f>
        <v>1</v>
      </c>
      <c r="H5210" s="88"/>
      <c r="I5210" s="88"/>
      <c r="J5210" s="78">
        <f>MAX(K5210:Q5210)</f>
        <v>1</v>
      </c>
      <c r="K5210" s="88">
        <v>1</v>
      </c>
      <c r="L5210" s="88"/>
      <c r="M5210" s="88"/>
      <c r="N5210" s="88"/>
      <c r="O5210" s="88"/>
      <c r="P5210" s="88"/>
      <c r="Q5210" s="88"/>
      <c r="R5210" s="78">
        <f>MAX(S5210:W5210)</f>
        <v>0</v>
      </c>
      <c r="S5210" s="88"/>
      <c r="T5210" s="88"/>
      <c r="U5210" s="88"/>
      <c r="V5210" s="88"/>
      <c r="W5210" s="88"/>
    </row>
    <row r="5211" spans="2:23" s="0" customFormat="0" ht="15">
      <c r="B5211" s="87" t="s">
        <v>1</v>
      </c>
      <c r="C5211" s="88" t="s">
        <v>5259</v>
      </c>
      <c r="D5211" s="88" t="s">
        <v>648</v>
      </c>
      <c r="E5211" s="88" t="s">
        <v>61</v>
      </c>
      <c r="F5211" s="88">
        <v>0</v>
      </c>
      <c r="G5211" s="78">
        <f>MAX(H5211,I5211,J5211)</f>
        <v>1</v>
      </c>
      <c r="H5211" s="88"/>
      <c r="I5211" s="88"/>
      <c r="J5211" s="78">
        <f>MAX(K5211:Q5211)</f>
        <v>1</v>
      </c>
      <c r="K5211" s="88">
        <v>1</v>
      </c>
      <c r="L5211" s="88"/>
      <c r="M5211" s="88"/>
      <c r="N5211" s="88"/>
      <c r="O5211" s="88"/>
      <c r="P5211" s="88"/>
      <c r="Q5211" s="88"/>
      <c r="R5211" s="78">
        <f>MAX(S5211:W5211)</f>
        <v>0</v>
      </c>
      <c r="S5211" s="88"/>
      <c r="T5211" s="88"/>
      <c r="U5211" s="88"/>
      <c r="V5211" s="88"/>
      <c r="W5211" s="88"/>
    </row>
    <row r="5212" spans="2:23" s="0" customFormat="0" ht="15">
      <c r="B5212" s="87" t="s">
        <v>1</v>
      </c>
      <c r="C5212" s="88" t="s">
        <v>5259</v>
      </c>
      <c r="D5212" s="88">
        <v>23162553</v>
      </c>
      <c r="E5212" s="88" t="s">
        <v>61</v>
      </c>
      <c r="F5212" s="88">
        <v>0</v>
      </c>
      <c r="G5212" s="78">
        <f>MAX(H5212,I5212,J5212)</f>
        <v>1</v>
      </c>
      <c r="H5212" s="88"/>
      <c r="I5212" s="88"/>
      <c r="J5212" s="78">
        <f>MAX(K5212:Q5212)</f>
        <v>1</v>
      </c>
      <c r="K5212" s="88">
        <v>1</v>
      </c>
      <c r="L5212" s="88"/>
      <c r="M5212" s="88"/>
      <c r="N5212" s="88"/>
      <c r="O5212" s="88"/>
      <c r="P5212" s="88"/>
      <c r="Q5212" s="88"/>
      <c r="R5212" s="78">
        <f>MAX(S5212:W5212)</f>
        <v>0</v>
      </c>
      <c r="S5212" s="88"/>
      <c r="T5212" s="88"/>
      <c r="U5212" s="88"/>
      <c r="V5212" s="88"/>
      <c r="W5212" s="88"/>
    </row>
    <row r="5213" spans="2:23" s="0" customFormat="0" ht="15">
      <c r="B5213" s="87" t="s">
        <v>1</v>
      </c>
      <c r="C5213" s="88" t="s">
        <v>5259</v>
      </c>
      <c r="D5213" s="88" t="s">
        <v>4737</v>
      </c>
      <c r="E5213" s="88" t="s">
        <v>61</v>
      </c>
      <c r="F5213" s="88">
        <v>0</v>
      </c>
      <c r="G5213" s="78">
        <f>MAX(H5213,I5213,J5213)</f>
        <v>0</v>
      </c>
      <c r="H5213" s="88"/>
      <c r="I5213" s="88"/>
      <c r="J5213" s="78">
        <f>MAX(K5213:Q5213)</f>
        <v>0</v>
      </c>
      <c r="K5213" s="88"/>
      <c r="L5213" s="88"/>
      <c r="M5213" s="88"/>
      <c r="N5213" s="88"/>
      <c r="O5213" s="88"/>
      <c r="P5213" s="88"/>
      <c r="Q5213" s="88"/>
      <c r="R5213" s="78">
        <f>MAX(S5213:W5213)</f>
        <v>1</v>
      </c>
      <c r="S5213" s="88"/>
      <c r="T5213" s="88"/>
      <c r="U5213" s="88">
        <v>1</v>
      </c>
      <c r="V5213" s="88"/>
      <c r="W5213" s="88"/>
    </row>
    <row r="5214" spans="2:23" s="0" customFormat="0" ht="15">
      <c r="B5214" s="87" t="s">
        <v>1</v>
      </c>
      <c r="C5214" s="88" t="s">
        <v>5259</v>
      </c>
      <c r="D5214" s="88">
        <v>18052009</v>
      </c>
      <c r="E5214" s="88" t="s">
        <v>61</v>
      </c>
      <c r="F5214" s="88">
        <v>0</v>
      </c>
      <c r="G5214" s="78">
        <f>MAX(H5214,I5214,J5214)</f>
        <v>1</v>
      </c>
      <c r="H5214" s="88"/>
      <c r="I5214" s="88"/>
      <c r="J5214" s="78">
        <f>MAX(K5214:Q5214)</f>
        <v>1</v>
      </c>
      <c r="K5214" s="88">
        <v>1</v>
      </c>
      <c r="L5214" s="88"/>
      <c r="M5214" s="88"/>
      <c r="N5214" s="88"/>
      <c r="O5214" s="88"/>
      <c r="P5214" s="88"/>
      <c r="Q5214" s="88"/>
      <c r="R5214" s="78">
        <f>MAX(S5214:W5214)</f>
        <v>0</v>
      </c>
      <c r="S5214" s="88"/>
      <c r="T5214" s="88"/>
      <c r="U5214" s="88"/>
      <c r="V5214" s="88"/>
      <c r="W5214" s="88"/>
    </row>
    <row r="5215" spans="2:23" s="0" customFormat="0" ht="15">
      <c r="B5215" s="87" t="s">
        <v>1</v>
      </c>
      <c r="C5215" s="88" t="s">
        <v>5259</v>
      </c>
      <c r="D5215" s="88">
        <v>24176488</v>
      </c>
      <c r="E5215" s="88" t="s">
        <v>61</v>
      </c>
      <c r="F5215" s="88">
        <v>0</v>
      </c>
      <c r="G5215" s="78">
        <f>MAX(H5215,I5215,J5215)</f>
        <v>1</v>
      </c>
      <c r="H5215" s="88"/>
      <c r="I5215" s="88"/>
      <c r="J5215" s="78">
        <f>MAX(K5215:Q5215)</f>
        <v>1</v>
      </c>
      <c r="K5215" s="88">
        <v>1</v>
      </c>
      <c r="L5215" s="88"/>
      <c r="M5215" s="88"/>
      <c r="N5215" s="88"/>
      <c r="O5215" s="88"/>
      <c r="P5215" s="88"/>
      <c r="Q5215" s="88"/>
      <c r="R5215" s="78">
        <f>MAX(S5215:W5215)</f>
        <v>0</v>
      </c>
      <c r="S5215" s="88"/>
      <c r="T5215" s="88"/>
      <c r="U5215" s="88"/>
      <c r="V5215" s="88"/>
      <c r="W5215" s="88"/>
    </row>
    <row r="5216" spans="2:23" s="0" customFormat="0" ht="15">
      <c r="B5216" s="87" t="s">
        <v>1</v>
      </c>
      <c r="C5216" s="88" t="s">
        <v>5259</v>
      </c>
      <c r="D5216" s="88">
        <v>8584176</v>
      </c>
      <c r="E5216" s="88" t="s">
        <v>61</v>
      </c>
      <c r="F5216" s="88">
        <v>0</v>
      </c>
      <c r="G5216" s="78">
        <f>MAX(H5216,I5216,J5216)</f>
        <v>1</v>
      </c>
      <c r="H5216" s="88"/>
      <c r="I5216" s="88"/>
      <c r="J5216" s="78">
        <f>MAX(K5216:Q5216)</f>
        <v>1</v>
      </c>
      <c r="K5216" s="88">
        <v>1</v>
      </c>
      <c r="L5216" s="88"/>
      <c r="M5216" s="88"/>
      <c r="N5216" s="88"/>
      <c r="O5216" s="88"/>
      <c r="P5216" s="88"/>
      <c r="Q5216" s="88"/>
      <c r="R5216" s="78">
        <f>MAX(S5216:W5216)</f>
        <v>0</v>
      </c>
      <c r="S5216" s="88"/>
      <c r="T5216" s="88"/>
      <c r="U5216" s="88"/>
      <c r="V5216" s="88"/>
      <c r="W5216" s="88"/>
    </row>
    <row r="5217" spans="2:23" s="0" customFormat="0" ht="15">
      <c r="B5217" s="87" t="s">
        <v>1</v>
      </c>
      <c r="C5217" s="88" t="s">
        <v>5259</v>
      </c>
      <c r="D5217" s="88" t="s">
        <v>2788</v>
      </c>
      <c r="E5217" s="88" t="s">
        <v>61</v>
      </c>
      <c r="F5217" s="88">
        <v>0</v>
      </c>
      <c r="G5217" s="78">
        <f>MAX(H5217,I5217,J5217)</f>
        <v>1</v>
      </c>
      <c r="H5217" s="88"/>
      <c r="I5217" s="88"/>
      <c r="J5217" s="78">
        <f>MAX(K5217:Q5217)</f>
        <v>1</v>
      </c>
      <c r="K5217" s="88">
        <v>1</v>
      </c>
      <c r="L5217" s="88"/>
      <c r="M5217" s="88"/>
      <c r="N5217" s="88"/>
      <c r="O5217" s="88"/>
      <c r="P5217" s="88"/>
      <c r="Q5217" s="88"/>
      <c r="R5217" s="78">
        <f>MAX(S5217:W5217)</f>
        <v>0</v>
      </c>
      <c r="S5217" s="88"/>
      <c r="T5217" s="88"/>
      <c r="U5217" s="88"/>
      <c r="V5217" s="88"/>
      <c r="W5217" s="88"/>
    </row>
    <row r="5218" spans="2:23" s="0" customFormat="0" ht="15">
      <c r="B5218" s="87" t="s">
        <v>1</v>
      </c>
      <c r="C5218" s="88" t="s">
        <v>5259</v>
      </c>
      <c r="D5218" s="88" t="s">
        <v>5114</v>
      </c>
      <c r="E5218" s="88" t="s">
        <v>61</v>
      </c>
      <c r="F5218" s="88">
        <v>0</v>
      </c>
      <c r="G5218" s="78">
        <f>MAX(H5218,I5218,J5218)</f>
        <v>0</v>
      </c>
      <c r="H5218" s="88"/>
      <c r="I5218" s="88"/>
      <c r="J5218" s="78">
        <f>MAX(K5218:Q5218)</f>
        <v>0</v>
      </c>
      <c r="K5218" s="88"/>
      <c r="L5218" s="88"/>
      <c r="M5218" s="88"/>
      <c r="N5218" s="88"/>
      <c r="O5218" s="88"/>
      <c r="P5218" s="88"/>
      <c r="Q5218" s="88"/>
      <c r="R5218" s="78">
        <f>MAX(S5218:W5218)</f>
        <v>1</v>
      </c>
      <c r="S5218" s="88"/>
      <c r="T5218" s="88"/>
      <c r="U5218" s="88">
        <v>1</v>
      </c>
      <c r="V5218" s="88"/>
      <c r="W5218" s="88"/>
    </row>
    <row r="5219" spans="2:23" s="0" customFormat="0" ht="15">
      <c r="B5219" s="87" t="s">
        <v>1</v>
      </c>
      <c r="C5219" s="88" t="s">
        <v>5259</v>
      </c>
      <c r="D5219" s="88">
        <v>12488134</v>
      </c>
      <c r="E5219" s="88" t="s">
        <v>61</v>
      </c>
      <c r="F5219" s="88">
        <v>0</v>
      </c>
      <c r="G5219" s="78">
        <f>MAX(H5219,I5219,J5219)</f>
        <v>0</v>
      </c>
      <c r="H5219" s="88"/>
      <c r="I5219" s="88"/>
      <c r="J5219" s="78">
        <f>MAX(K5219:Q5219)</f>
        <v>0</v>
      </c>
      <c r="K5219" s="88"/>
      <c r="L5219" s="88"/>
      <c r="M5219" s="88"/>
      <c r="N5219" s="88"/>
      <c r="O5219" s="88"/>
      <c r="P5219" s="88"/>
      <c r="Q5219" s="88"/>
      <c r="R5219" s="78">
        <f>MAX(S5219:W5219)</f>
        <v>1</v>
      </c>
      <c r="S5219" s="88"/>
      <c r="T5219" s="88"/>
      <c r="U5219" s="88"/>
      <c r="V5219" s="88">
        <v>1</v>
      </c>
      <c r="W5219" s="88"/>
    </row>
    <row r="5220" spans="2:23" s="0" customFormat="0" ht="15">
      <c r="B5220" s="87" t="s">
        <v>1</v>
      </c>
      <c r="C5220" s="88" t="s">
        <v>5259</v>
      </c>
      <c r="D5220" s="88">
        <v>22902513</v>
      </c>
      <c r="E5220" s="88" t="s">
        <v>61</v>
      </c>
      <c r="F5220" s="88">
        <v>0</v>
      </c>
      <c r="G5220" s="78">
        <f>MAX(H5220,I5220,J5220)</f>
        <v>1</v>
      </c>
      <c r="H5220" s="88"/>
      <c r="I5220" s="88"/>
      <c r="J5220" s="78">
        <f>MAX(K5220:Q5220)</f>
        <v>1</v>
      </c>
      <c r="K5220" s="88">
        <v>1</v>
      </c>
      <c r="L5220" s="88"/>
      <c r="M5220" s="88"/>
      <c r="N5220" s="88"/>
      <c r="O5220" s="88"/>
      <c r="P5220" s="88"/>
      <c r="Q5220" s="88"/>
      <c r="R5220" s="78">
        <f>MAX(S5220:W5220)</f>
        <v>0</v>
      </c>
      <c r="S5220" s="88"/>
      <c r="T5220" s="88"/>
      <c r="U5220" s="88"/>
      <c r="V5220" s="88"/>
      <c r="W5220" s="88"/>
    </row>
    <row r="5221" spans="2:23" s="0" customFormat="0" ht="15">
      <c r="B5221" s="87" t="s">
        <v>1</v>
      </c>
      <c r="C5221" s="88" t="s">
        <v>5259</v>
      </c>
      <c r="D5221" s="88" t="s">
        <v>1580</v>
      </c>
      <c r="E5221" s="88" t="s">
        <v>61</v>
      </c>
      <c r="F5221" s="88">
        <v>0</v>
      </c>
      <c r="G5221" s="78">
        <f>MAX(H5221,I5221,J5221)</f>
        <v>1</v>
      </c>
      <c r="H5221" s="88"/>
      <c r="I5221" s="88"/>
      <c r="J5221" s="78">
        <f>MAX(K5221:Q5221)</f>
        <v>1</v>
      </c>
      <c r="K5221" s="88">
        <v>1</v>
      </c>
      <c r="L5221" s="88"/>
      <c r="M5221" s="88"/>
      <c r="N5221" s="88"/>
      <c r="O5221" s="88"/>
      <c r="P5221" s="88"/>
      <c r="Q5221" s="88"/>
      <c r="R5221" s="78">
        <f>MAX(S5221:W5221)</f>
        <v>0</v>
      </c>
      <c r="S5221" s="88"/>
      <c r="T5221" s="88"/>
      <c r="U5221" s="88"/>
      <c r="V5221" s="88"/>
      <c r="W5221" s="88"/>
    </row>
    <row r="5222" spans="2:23" s="0" customFormat="0" ht="15">
      <c r="B5222" s="87" t="s">
        <v>1</v>
      </c>
      <c r="C5222" s="88" t="s">
        <v>5259</v>
      </c>
      <c r="D5222" s="88">
        <v>17012996</v>
      </c>
      <c r="E5222" s="88" t="s">
        <v>61</v>
      </c>
      <c r="F5222" s="88">
        <v>0</v>
      </c>
      <c r="G5222" s="78">
        <f>MAX(H5222,I5222,J5222)</f>
        <v>1</v>
      </c>
      <c r="H5222" s="88"/>
      <c r="I5222" s="88"/>
      <c r="J5222" s="78">
        <f>MAX(K5222:Q5222)</f>
        <v>1</v>
      </c>
      <c r="K5222" s="88">
        <v>1</v>
      </c>
      <c r="L5222" s="88"/>
      <c r="M5222" s="88"/>
      <c r="N5222" s="88"/>
      <c r="O5222" s="88"/>
      <c r="P5222" s="88"/>
      <c r="Q5222" s="88"/>
      <c r="R5222" s="78">
        <f>MAX(S5222:W5222)</f>
        <v>0</v>
      </c>
      <c r="S5222" s="88"/>
      <c r="T5222" s="88"/>
      <c r="U5222" s="88"/>
      <c r="V5222" s="88"/>
      <c r="W5222" s="88"/>
    </row>
    <row r="5223" spans="2:23" s="0" customFormat="0" ht="15">
      <c r="B5223" s="87" t="s">
        <v>1</v>
      </c>
      <c r="C5223" s="88" t="s">
        <v>5259</v>
      </c>
      <c r="D5223" s="88">
        <v>14805194</v>
      </c>
      <c r="E5223" s="88" t="s">
        <v>61</v>
      </c>
      <c r="F5223" s="88">
        <v>0</v>
      </c>
      <c r="G5223" s="78">
        <f>MAX(H5223,I5223,J5223)</f>
        <v>1</v>
      </c>
      <c r="H5223" s="88"/>
      <c r="I5223" s="88"/>
      <c r="J5223" s="78">
        <f>MAX(K5223:Q5223)</f>
        <v>1</v>
      </c>
      <c r="K5223" s="88">
        <v>1</v>
      </c>
      <c r="L5223" s="88"/>
      <c r="M5223" s="88"/>
      <c r="N5223" s="88"/>
      <c r="O5223" s="88"/>
      <c r="P5223" s="88"/>
      <c r="Q5223" s="88"/>
      <c r="R5223" s="78">
        <f>MAX(S5223:W5223)</f>
        <v>0</v>
      </c>
      <c r="S5223" s="88"/>
      <c r="T5223" s="88"/>
      <c r="U5223" s="88"/>
      <c r="V5223" s="88"/>
      <c r="W5223" s="88"/>
    </row>
    <row r="5224" spans="2:23" s="0" customFormat="0" ht="15">
      <c r="B5224" s="87" t="s">
        <v>1</v>
      </c>
      <c r="C5224" s="88" t="s">
        <v>5259</v>
      </c>
      <c r="D5224" s="88">
        <v>6831738</v>
      </c>
      <c r="E5224" s="88" t="s">
        <v>61</v>
      </c>
      <c r="F5224" s="88">
        <v>0</v>
      </c>
      <c r="G5224" s="78">
        <f>MAX(H5224,I5224,J5224)</f>
        <v>1</v>
      </c>
      <c r="H5224" s="88"/>
      <c r="I5224" s="88"/>
      <c r="J5224" s="78">
        <f>MAX(K5224:Q5224)</f>
        <v>1</v>
      </c>
      <c r="K5224" s="88">
        <v>1</v>
      </c>
      <c r="L5224" s="88"/>
      <c r="M5224" s="88"/>
      <c r="N5224" s="88"/>
      <c r="O5224" s="88"/>
      <c r="P5224" s="88"/>
      <c r="Q5224" s="88"/>
      <c r="R5224" s="78">
        <f>MAX(S5224:W5224)</f>
        <v>0</v>
      </c>
      <c r="S5224" s="88"/>
      <c r="T5224" s="88"/>
      <c r="U5224" s="88"/>
      <c r="V5224" s="88"/>
      <c r="W5224" s="88"/>
    </row>
    <row r="5225" spans="2:23" s="0" customFormat="0" ht="15">
      <c r="B5225" s="87" t="s">
        <v>1</v>
      </c>
      <c r="C5225" s="88" t="s">
        <v>5259</v>
      </c>
      <c r="D5225" s="88">
        <v>21005390</v>
      </c>
      <c r="E5225" s="88" t="s">
        <v>61</v>
      </c>
      <c r="F5225" s="88">
        <v>0</v>
      </c>
      <c r="G5225" s="78">
        <f>MAX(H5225,I5225,J5225)</f>
        <v>1</v>
      </c>
      <c r="H5225" s="88"/>
      <c r="I5225" s="88"/>
      <c r="J5225" s="78">
        <f>MAX(K5225:Q5225)</f>
        <v>1</v>
      </c>
      <c r="K5225" s="88">
        <v>1</v>
      </c>
      <c r="L5225" s="88"/>
      <c r="M5225" s="88"/>
      <c r="N5225" s="88"/>
      <c r="O5225" s="88"/>
      <c r="P5225" s="88"/>
      <c r="Q5225" s="88"/>
      <c r="R5225" s="78">
        <f>MAX(S5225:W5225)</f>
        <v>0</v>
      </c>
      <c r="S5225" s="88"/>
      <c r="T5225" s="88"/>
      <c r="U5225" s="88"/>
      <c r="V5225" s="88"/>
      <c r="W5225" s="88"/>
    </row>
    <row r="5226" spans="2:23" s="0" customFormat="0" ht="15">
      <c r="B5226" s="87" t="s">
        <v>1</v>
      </c>
      <c r="C5226" s="88" t="s">
        <v>5259</v>
      </c>
      <c r="D5226" s="88" t="s">
        <v>1326</v>
      </c>
      <c r="E5226" s="88" t="s">
        <v>61</v>
      </c>
      <c r="F5226" s="88">
        <v>0</v>
      </c>
      <c r="G5226" s="78">
        <f>MAX(H5226,I5226,J5226)</f>
        <v>1</v>
      </c>
      <c r="H5226" s="88"/>
      <c r="I5226" s="88"/>
      <c r="J5226" s="78">
        <f>MAX(K5226:Q5226)</f>
        <v>1</v>
      </c>
      <c r="K5226" s="88">
        <v>1</v>
      </c>
      <c r="L5226" s="88"/>
      <c r="M5226" s="88"/>
      <c r="N5226" s="88"/>
      <c r="O5226" s="88"/>
      <c r="P5226" s="88"/>
      <c r="Q5226" s="88"/>
      <c r="R5226" s="78">
        <f>MAX(S5226:W5226)</f>
        <v>0</v>
      </c>
      <c r="S5226" s="88"/>
      <c r="T5226" s="88"/>
      <c r="U5226" s="88"/>
      <c r="V5226" s="88"/>
      <c r="W5226" s="88"/>
    </row>
    <row r="5227" spans="2:23" s="0" customFormat="0" ht="15">
      <c r="B5227" s="87" t="s">
        <v>1</v>
      </c>
      <c r="C5227" s="88" t="s">
        <v>5259</v>
      </c>
      <c r="D5227" s="88">
        <v>21736766</v>
      </c>
      <c r="E5227" s="88" t="s">
        <v>61</v>
      </c>
      <c r="F5227" s="88">
        <v>0</v>
      </c>
      <c r="G5227" s="78">
        <f>MAX(H5227,I5227,J5227)</f>
        <v>1</v>
      </c>
      <c r="H5227" s="88"/>
      <c r="I5227" s="88"/>
      <c r="J5227" s="78">
        <f>MAX(K5227:Q5227)</f>
        <v>1</v>
      </c>
      <c r="K5227" s="88">
        <v>1</v>
      </c>
      <c r="L5227" s="88"/>
      <c r="M5227" s="88"/>
      <c r="N5227" s="88"/>
      <c r="O5227" s="88"/>
      <c r="P5227" s="88"/>
      <c r="Q5227" s="88"/>
      <c r="R5227" s="78">
        <f>MAX(S5227:W5227)</f>
        <v>0</v>
      </c>
      <c r="S5227" s="88"/>
      <c r="T5227" s="88"/>
      <c r="U5227" s="88"/>
      <c r="V5227" s="88"/>
      <c r="W5227" s="88"/>
    </row>
    <row r="5228" spans="2:23" s="0" customFormat="0" ht="15">
      <c r="B5228" s="87" t="s">
        <v>1</v>
      </c>
      <c r="C5228" s="88" t="s">
        <v>5259</v>
      </c>
      <c r="D5228" s="88" t="s">
        <v>2647</v>
      </c>
      <c r="E5228" s="88" t="s">
        <v>61</v>
      </c>
      <c r="F5228" s="88">
        <v>0</v>
      </c>
      <c r="G5228" s="78">
        <f>MAX(H5228,I5228,J5228)</f>
        <v>1</v>
      </c>
      <c r="H5228" s="88"/>
      <c r="I5228" s="88"/>
      <c r="J5228" s="78">
        <f>MAX(K5228:Q5228)</f>
        <v>1</v>
      </c>
      <c r="K5228" s="88">
        <v>1</v>
      </c>
      <c r="L5228" s="88"/>
      <c r="M5228" s="88"/>
      <c r="N5228" s="88"/>
      <c r="O5228" s="88"/>
      <c r="P5228" s="88"/>
      <c r="Q5228" s="88"/>
      <c r="R5228" s="78">
        <f>MAX(S5228:W5228)</f>
        <v>0</v>
      </c>
      <c r="S5228" s="88"/>
      <c r="T5228" s="88"/>
      <c r="U5228" s="88"/>
      <c r="V5228" s="88"/>
      <c r="W5228" s="88"/>
    </row>
    <row r="5229" spans="2:23" s="0" customFormat="0" ht="15">
      <c r="B5229" s="87" t="s">
        <v>1</v>
      </c>
      <c r="C5229" s="88" t="s">
        <v>5259</v>
      </c>
      <c r="D5229" s="88" t="s">
        <v>5116</v>
      </c>
      <c r="E5229" s="88" t="s">
        <v>61</v>
      </c>
      <c r="F5229" s="88">
        <v>0</v>
      </c>
      <c r="G5229" s="78">
        <f>MAX(H5229,I5229,J5229)</f>
        <v>0</v>
      </c>
      <c r="H5229" s="88"/>
      <c r="I5229" s="88"/>
      <c r="J5229" s="78">
        <f>MAX(K5229:Q5229)</f>
        <v>0</v>
      </c>
      <c r="K5229" s="88"/>
      <c r="L5229" s="88"/>
      <c r="M5229" s="88"/>
      <c r="N5229" s="88"/>
      <c r="O5229" s="88"/>
      <c r="P5229" s="88"/>
      <c r="Q5229" s="88"/>
      <c r="R5229" s="78">
        <f>MAX(S5229:W5229)</f>
        <v>1</v>
      </c>
      <c r="S5229" s="88"/>
      <c r="T5229" s="88"/>
      <c r="U5229" s="88">
        <v>1</v>
      </c>
      <c r="V5229" s="88"/>
      <c r="W5229" s="88"/>
    </row>
    <row r="5230" spans="2:23" s="0" customFormat="0" ht="15">
      <c r="B5230" s="87" t="s">
        <v>1</v>
      </c>
      <c r="C5230" s="88" t="s">
        <v>5259</v>
      </c>
      <c r="D5230" s="88">
        <v>12266947</v>
      </c>
      <c r="E5230" s="88" t="s">
        <v>61</v>
      </c>
      <c r="F5230" s="88">
        <v>0</v>
      </c>
      <c r="G5230" s="78">
        <f>MAX(H5230,I5230,J5230)</f>
        <v>1</v>
      </c>
      <c r="H5230" s="88"/>
      <c r="I5230" s="88"/>
      <c r="J5230" s="78">
        <f>MAX(K5230:Q5230)</f>
        <v>1</v>
      </c>
      <c r="K5230" s="88">
        <v>1</v>
      </c>
      <c r="L5230" s="88"/>
      <c r="M5230" s="88"/>
      <c r="N5230" s="88"/>
      <c r="O5230" s="88"/>
      <c r="P5230" s="88"/>
      <c r="Q5230" s="88"/>
      <c r="R5230" s="78">
        <f>MAX(S5230:W5230)</f>
        <v>0</v>
      </c>
      <c r="S5230" s="88"/>
      <c r="T5230" s="88"/>
      <c r="U5230" s="88"/>
      <c r="V5230" s="88"/>
      <c r="W5230" s="88"/>
    </row>
    <row r="5231" spans="2:23" s="0" customFormat="0" ht="15">
      <c r="B5231" s="87" t="s">
        <v>1</v>
      </c>
      <c r="C5231" s="88" t="s">
        <v>5259</v>
      </c>
      <c r="D5231" s="88" t="s">
        <v>4927</v>
      </c>
      <c r="E5231" s="88" t="s">
        <v>61</v>
      </c>
      <c r="F5231" s="88">
        <v>0</v>
      </c>
      <c r="G5231" s="78">
        <f>MAX(H5231,I5231,J5231)</f>
        <v>0</v>
      </c>
      <c r="H5231" s="88"/>
      <c r="I5231" s="88"/>
      <c r="J5231" s="78">
        <f>MAX(K5231:Q5231)</f>
        <v>0</v>
      </c>
      <c r="K5231" s="88"/>
      <c r="L5231" s="88"/>
      <c r="M5231" s="88"/>
      <c r="N5231" s="88"/>
      <c r="O5231" s="88"/>
      <c r="P5231" s="88"/>
      <c r="Q5231" s="88"/>
      <c r="R5231" s="78">
        <f>MAX(S5231:W5231)</f>
        <v>1</v>
      </c>
      <c r="S5231" s="88"/>
      <c r="T5231" s="88"/>
      <c r="U5231" s="88">
        <v>1</v>
      </c>
      <c r="V5231" s="88"/>
      <c r="W5231" s="88"/>
    </row>
    <row r="5232" spans="2:23" s="0" customFormat="0" ht="15">
      <c r="B5232" s="87" t="s">
        <v>1</v>
      </c>
      <c r="C5232" s="88" t="s">
        <v>5259</v>
      </c>
      <c r="D5232" s="88" t="s">
        <v>4248</v>
      </c>
      <c r="E5232" s="88" t="s">
        <v>61</v>
      </c>
      <c r="F5232" s="88">
        <v>0</v>
      </c>
      <c r="G5232" s="78">
        <f>MAX(H5232,I5232,J5232)</f>
        <v>0</v>
      </c>
      <c r="H5232" s="88"/>
      <c r="I5232" s="88"/>
      <c r="J5232" s="78">
        <f>MAX(K5232:Q5232)</f>
        <v>0</v>
      </c>
      <c r="K5232" s="88"/>
      <c r="L5232" s="88"/>
      <c r="M5232" s="88"/>
      <c r="N5232" s="88"/>
      <c r="O5232" s="88"/>
      <c r="P5232" s="88"/>
      <c r="Q5232" s="88"/>
      <c r="R5232" s="78">
        <f>MAX(S5232:W5232)</f>
        <v>1</v>
      </c>
      <c r="S5232" s="88"/>
      <c r="T5232" s="88"/>
      <c r="U5232" s="88">
        <v>1</v>
      </c>
      <c r="V5232" s="88"/>
      <c r="W5232" s="88"/>
    </row>
    <row r="5233" spans="2:23" s="0" customFormat="0" ht="15">
      <c r="B5233" s="87" t="s">
        <v>1</v>
      </c>
      <c r="C5233" s="88" t="s">
        <v>5259</v>
      </c>
      <c r="D5233" s="88" t="s">
        <v>665</v>
      </c>
      <c r="E5233" s="88" t="s">
        <v>61</v>
      </c>
      <c r="F5233" s="88">
        <v>0</v>
      </c>
      <c r="G5233" s="78">
        <f>MAX(H5233,I5233,J5233)</f>
        <v>1</v>
      </c>
      <c r="H5233" s="88"/>
      <c r="I5233" s="88"/>
      <c r="J5233" s="78">
        <f>MAX(K5233:Q5233)</f>
        <v>1</v>
      </c>
      <c r="K5233" s="88">
        <v>1</v>
      </c>
      <c r="L5233" s="88"/>
      <c r="M5233" s="88"/>
      <c r="N5233" s="88"/>
      <c r="O5233" s="88"/>
      <c r="P5233" s="88"/>
      <c r="Q5233" s="88"/>
      <c r="R5233" s="78">
        <f>MAX(S5233:W5233)</f>
        <v>0</v>
      </c>
      <c r="S5233" s="88"/>
      <c r="T5233" s="88"/>
      <c r="U5233" s="88"/>
      <c r="V5233" s="88"/>
      <c r="W5233" s="88"/>
    </row>
    <row r="5234" spans="2:23" s="0" customFormat="0" ht="15">
      <c r="B5234" s="87" t="s">
        <v>1</v>
      </c>
      <c r="C5234" s="88" t="s">
        <v>5259</v>
      </c>
      <c r="D5234" s="88">
        <v>18762283</v>
      </c>
      <c r="E5234" s="88" t="s">
        <v>61</v>
      </c>
      <c r="F5234" s="88">
        <v>0</v>
      </c>
      <c r="G5234" s="78">
        <f>MAX(H5234,I5234,J5234)</f>
        <v>1</v>
      </c>
      <c r="H5234" s="88"/>
      <c r="I5234" s="88"/>
      <c r="J5234" s="78">
        <f>MAX(K5234:Q5234)</f>
        <v>1</v>
      </c>
      <c r="K5234" s="88">
        <v>1</v>
      </c>
      <c r="L5234" s="88"/>
      <c r="M5234" s="88"/>
      <c r="N5234" s="88"/>
      <c r="O5234" s="88"/>
      <c r="P5234" s="88"/>
      <c r="Q5234" s="88"/>
      <c r="R5234" s="78">
        <f>MAX(S5234:W5234)</f>
        <v>0</v>
      </c>
      <c r="S5234" s="88"/>
      <c r="T5234" s="88"/>
      <c r="U5234" s="88"/>
      <c r="V5234" s="88"/>
      <c r="W5234" s="88"/>
    </row>
    <row r="5235" spans="2:23" s="0" customFormat="0" ht="15">
      <c r="B5235" s="87" t="s">
        <v>1</v>
      </c>
      <c r="C5235" s="88" t="s">
        <v>5259</v>
      </c>
      <c r="D5235" s="88" t="s">
        <v>5118</v>
      </c>
      <c r="E5235" s="88" t="s">
        <v>61</v>
      </c>
      <c r="F5235" s="88">
        <v>0</v>
      </c>
      <c r="G5235" s="78">
        <f>MAX(H5235,I5235,J5235)</f>
        <v>0</v>
      </c>
      <c r="H5235" s="88"/>
      <c r="I5235" s="88"/>
      <c r="J5235" s="78">
        <f>MAX(K5235:Q5235)</f>
        <v>0</v>
      </c>
      <c r="K5235" s="88"/>
      <c r="L5235" s="88"/>
      <c r="M5235" s="88"/>
      <c r="N5235" s="88"/>
      <c r="O5235" s="88"/>
      <c r="P5235" s="88"/>
      <c r="Q5235" s="88"/>
      <c r="R5235" s="78">
        <f>MAX(S5235:W5235)</f>
        <v>1</v>
      </c>
      <c r="S5235" s="88"/>
      <c r="T5235" s="88"/>
      <c r="U5235" s="88">
        <v>1</v>
      </c>
      <c r="V5235" s="88"/>
      <c r="W5235" s="88"/>
    </row>
    <row r="5236" spans="2:23" s="0" customFormat="0" ht="15">
      <c r="B5236" s="87" t="s">
        <v>1</v>
      </c>
      <c r="C5236" s="88" t="s">
        <v>5259</v>
      </c>
      <c r="D5236" s="88">
        <v>20819692</v>
      </c>
      <c r="E5236" s="88" t="s">
        <v>61</v>
      </c>
      <c r="F5236" s="88">
        <v>0</v>
      </c>
      <c r="G5236" s="78">
        <f>MAX(H5236,I5236,J5236)</f>
        <v>0</v>
      </c>
      <c r="H5236" s="88"/>
      <c r="I5236" s="88"/>
      <c r="J5236" s="78">
        <f>MAX(K5236:Q5236)</f>
        <v>0</v>
      </c>
      <c r="K5236" s="88"/>
      <c r="L5236" s="88"/>
      <c r="M5236" s="88"/>
      <c r="N5236" s="88"/>
      <c r="O5236" s="88"/>
      <c r="P5236" s="88"/>
      <c r="Q5236" s="88"/>
      <c r="R5236" s="78">
        <f>MAX(S5236:W5236)</f>
        <v>1</v>
      </c>
      <c r="S5236" s="88"/>
      <c r="T5236" s="88"/>
      <c r="U5236" s="88">
        <v>1</v>
      </c>
      <c r="V5236" s="88"/>
      <c r="W5236" s="88"/>
    </row>
    <row r="5237" spans="2:23" s="0" customFormat="0" ht="15">
      <c r="B5237" s="87" t="s">
        <v>1</v>
      </c>
      <c r="C5237" s="88" t="s">
        <v>5259</v>
      </c>
      <c r="D5237" s="88">
        <v>14418870</v>
      </c>
      <c r="E5237" s="88" t="s">
        <v>61</v>
      </c>
      <c r="F5237" s="88">
        <v>0</v>
      </c>
      <c r="G5237" s="78">
        <f>MAX(H5237,I5237,J5237)</f>
        <v>1</v>
      </c>
      <c r="H5237" s="88"/>
      <c r="I5237" s="88"/>
      <c r="J5237" s="78">
        <f>MAX(K5237:Q5237)</f>
        <v>1</v>
      </c>
      <c r="K5237" s="88">
        <v>1</v>
      </c>
      <c r="L5237" s="88"/>
      <c r="M5237" s="88"/>
      <c r="N5237" s="88"/>
      <c r="O5237" s="88"/>
      <c r="P5237" s="88"/>
      <c r="Q5237" s="88"/>
      <c r="R5237" s="78">
        <f>MAX(S5237:W5237)</f>
        <v>0</v>
      </c>
      <c r="S5237" s="88"/>
      <c r="T5237" s="88"/>
      <c r="U5237" s="88"/>
      <c r="V5237" s="88"/>
      <c r="W5237" s="88"/>
    </row>
    <row r="5238" spans="2:23" s="0" customFormat="0" ht="15">
      <c r="B5238" s="87" t="s">
        <v>1</v>
      </c>
      <c r="C5238" s="88" t="s">
        <v>5259</v>
      </c>
      <c r="D5238" s="88" t="s">
        <v>2795</v>
      </c>
      <c r="E5238" s="88" t="s">
        <v>61</v>
      </c>
      <c r="F5238" s="88">
        <v>0</v>
      </c>
      <c r="G5238" s="78">
        <f>MAX(H5238,I5238,J5238)</f>
        <v>1</v>
      </c>
      <c r="H5238" s="88"/>
      <c r="I5238" s="88"/>
      <c r="J5238" s="78">
        <f>MAX(K5238:Q5238)</f>
        <v>1</v>
      </c>
      <c r="K5238" s="88">
        <v>1</v>
      </c>
      <c r="L5238" s="88"/>
      <c r="M5238" s="88"/>
      <c r="N5238" s="88"/>
      <c r="O5238" s="88"/>
      <c r="P5238" s="88"/>
      <c r="Q5238" s="88"/>
      <c r="R5238" s="78">
        <f>MAX(S5238:W5238)</f>
        <v>0</v>
      </c>
      <c r="S5238" s="88"/>
      <c r="T5238" s="88"/>
      <c r="U5238" s="88"/>
      <c r="V5238" s="88"/>
      <c r="W5238" s="88"/>
    </row>
    <row r="5239" spans="2:23" s="0" customFormat="0" ht="15">
      <c r="B5239" s="87" t="s">
        <v>1</v>
      </c>
      <c r="C5239" s="88" t="s">
        <v>5259</v>
      </c>
      <c r="D5239" s="88" t="s">
        <v>2520</v>
      </c>
      <c r="E5239" s="88" t="s">
        <v>61</v>
      </c>
      <c r="F5239" s="88">
        <v>0</v>
      </c>
      <c r="G5239" s="78">
        <f>MAX(H5239,I5239,J5239)</f>
        <v>1</v>
      </c>
      <c r="H5239" s="88"/>
      <c r="I5239" s="88"/>
      <c r="J5239" s="78">
        <f>MAX(K5239:Q5239)</f>
        <v>1</v>
      </c>
      <c r="K5239" s="88">
        <v>1</v>
      </c>
      <c r="L5239" s="88"/>
      <c r="M5239" s="88"/>
      <c r="N5239" s="88"/>
      <c r="O5239" s="88"/>
      <c r="P5239" s="88"/>
      <c r="Q5239" s="88"/>
      <c r="R5239" s="78">
        <f>MAX(S5239:W5239)</f>
        <v>0</v>
      </c>
      <c r="S5239" s="88"/>
      <c r="T5239" s="88"/>
      <c r="U5239" s="88"/>
      <c r="V5239" s="88"/>
      <c r="W5239" s="88"/>
    </row>
    <row r="5240" spans="2:23" s="0" customFormat="0" ht="15">
      <c r="B5240" s="87" t="s">
        <v>1</v>
      </c>
      <c r="C5240" s="88" t="s">
        <v>5259</v>
      </c>
      <c r="D5240" s="88" t="s">
        <v>5120</v>
      </c>
      <c r="E5240" s="88" t="s">
        <v>61</v>
      </c>
      <c r="F5240" s="88">
        <v>0</v>
      </c>
      <c r="G5240" s="78">
        <f>MAX(H5240,I5240,J5240)</f>
        <v>0</v>
      </c>
      <c r="H5240" s="88"/>
      <c r="I5240" s="88"/>
      <c r="J5240" s="78">
        <f>MAX(K5240:Q5240)</f>
        <v>0</v>
      </c>
      <c r="K5240" s="88"/>
      <c r="L5240" s="88"/>
      <c r="M5240" s="88"/>
      <c r="N5240" s="88"/>
      <c r="O5240" s="88"/>
      <c r="P5240" s="88"/>
      <c r="Q5240" s="88"/>
      <c r="R5240" s="78">
        <f>MAX(S5240:W5240)</f>
        <v>1</v>
      </c>
      <c r="S5240" s="88"/>
      <c r="T5240" s="88"/>
      <c r="U5240" s="88">
        <v>1</v>
      </c>
      <c r="V5240" s="88"/>
      <c r="W5240" s="88"/>
    </row>
    <row r="5241" spans="2:23" s="0" customFormat="0" ht="15">
      <c r="B5241" s="87" t="s">
        <v>1</v>
      </c>
      <c r="C5241" s="88" t="s">
        <v>5259</v>
      </c>
      <c r="D5241" s="88" t="s">
        <v>2171</v>
      </c>
      <c r="E5241" s="88" t="s">
        <v>61</v>
      </c>
      <c r="F5241" s="88">
        <v>0</v>
      </c>
      <c r="G5241" s="78">
        <f>MAX(H5241,I5241,J5241)</f>
        <v>1</v>
      </c>
      <c r="H5241" s="88"/>
      <c r="I5241" s="88"/>
      <c r="J5241" s="78">
        <f>MAX(K5241:Q5241)</f>
        <v>1</v>
      </c>
      <c r="K5241" s="88">
        <v>1</v>
      </c>
      <c r="L5241" s="88"/>
      <c r="M5241" s="88"/>
      <c r="N5241" s="88"/>
      <c r="O5241" s="88"/>
      <c r="P5241" s="88"/>
      <c r="Q5241" s="88"/>
      <c r="R5241" s="78">
        <f>MAX(S5241:W5241)</f>
        <v>0</v>
      </c>
      <c r="S5241" s="88"/>
      <c r="T5241" s="88"/>
      <c r="U5241" s="88"/>
      <c r="V5241" s="88"/>
      <c r="W5241" s="88"/>
    </row>
    <row r="5242" spans="2:23" s="0" customFormat="0" ht="15">
      <c r="B5242" s="87" t="s">
        <v>1</v>
      </c>
      <c r="C5242" s="88" t="s">
        <v>5259</v>
      </c>
      <c r="D5242" s="88">
        <v>20233235</v>
      </c>
      <c r="E5242" s="88" t="s">
        <v>61</v>
      </c>
      <c r="F5242" s="88">
        <v>0</v>
      </c>
      <c r="G5242" s="78">
        <f>MAX(H5242,I5242,J5242)</f>
        <v>1</v>
      </c>
      <c r="H5242" s="88"/>
      <c r="I5242" s="88"/>
      <c r="J5242" s="78">
        <f>MAX(K5242:Q5242)</f>
        <v>1</v>
      </c>
      <c r="K5242" s="88">
        <v>1</v>
      </c>
      <c r="L5242" s="88"/>
      <c r="M5242" s="88"/>
      <c r="N5242" s="88"/>
      <c r="O5242" s="88"/>
      <c r="P5242" s="88"/>
      <c r="Q5242" s="88"/>
      <c r="R5242" s="78">
        <f>MAX(S5242:W5242)</f>
        <v>0</v>
      </c>
      <c r="S5242" s="88"/>
      <c r="T5242" s="88"/>
      <c r="U5242" s="88"/>
      <c r="V5242" s="88"/>
      <c r="W5242" s="88"/>
    </row>
    <row r="5243" spans="2:23" s="0" customFormat="0" ht="15">
      <c r="B5243" s="87" t="s">
        <v>1</v>
      </c>
      <c r="C5243" s="88" t="s">
        <v>5259</v>
      </c>
      <c r="D5243" s="88">
        <v>7062459</v>
      </c>
      <c r="E5243" s="88" t="s">
        <v>61</v>
      </c>
      <c r="F5243" s="88">
        <v>0</v>
      </c>
      <c r="G5243" s="78">
        <f>MAX(H5243,I5243,J5243)</f>
        <v>1</v>
      </c>
      <c r="H5243" s="88"/>
      <c r="I5243" s="88"/>
      <c r="J5243" s="78">
        <f>MAX(K5243:Q5243)</f>
        <v>1</v>
      </c>
      <c r="K5243" s="88">
        <v>1</v>
      </c>
      <c r="L5243" s="88"/>
      <c r="M5243" s="88"/>
      <c r="N5243" s="88"/>
      <c r="O5243" s="88"/>
      <c r="P5243" s="88"/>
      <c r="Q5243" s="88"/>
      <c r="R5243" s="78">
        <f>MAX(S5243:W5243)</f>
        <v>0</v>
      </c>
      <c r="S5243" s="88"/>
      <c r="T5243" s="88"/>
      <c r="U5243" s="88"/>
      <c r="V5243" s="88"/>
      <c r="W5243" s="88"/>
    </row>
    <row r="5244" spans="2:23" s="0" customFormat="0" ht="15">
      <c r="B5244" s="87" t="s">
        <v>1</v>
      </c>
      <c r="C5244" s="88" t="s">
        <v>5259</v>
      </c>
      <c r="D5244" s="88">
        <v>15148670</v>
      </c>
      <c r="E5244" s="88" t="s">
        <v>61</v>
      </c>
      <c r="F5244" s="88">
        <v>0</v>
      </c>
      <c r="G5244" s="78">
        <f>MAX(H5244,I5244,J5244)</f>
        <v>0</v>
      </c>
      <c r="H5244" s="88"/>
      <c r="I5244" s="88"/>
      <c r="J5244" s="78">
        <f>MAX(K5244:Q5244)</f>
        <v>0</v>
      </c>
      <c r="K5244" s="88"/>
      <c r="L5244" s="88"/>
      <c r="M5244" s="88"/>
      <c r="N5244" s="88"/>
      <c r="O5244" s="88"/>
      <c r="P5244" s="88"/>
      <c r="Q5244" s="88"/>
      <c r="R5244" s="78">
        <f>MAX(S5244:W5244)</f>
        <v>1</v>
      </c>
      <c r="S5244" s="88"/>
      <c r="T5244" s="88"/>
      <c r="U5244" s="88">
        <v>1</v>
      </c>
      <c r="V5244" s="88"/>
      <c r="W5244" s="88"/>
    </row>
    <row r="5245" spans="2:23" s="0" customFormat="0" ht="15">
      <c r="B5245" s="87" t="s">
        <v>1</v>
      </c>
      <c r="C5245" s="88" t="s">
        <v>5259</v>
      </c>
      <c r="D5245" s="88" t="s">
        <v>1544</v>
      </c>
      <c r="E5245" s="88" t="s">
        <v>61</v>
      </c>
      <c r="F5245" s="88">
        <v>0</v>
      </c>
      <c r="G5245" s="78">
        <f>MAX(H5245,I5245,J5245)</f>
        <v>1</v>
      </c>
      <c r="H5245" s="88"/>
      <c r="I5245" s="88"/>
      <c r="J5245" s="78">
        <f>MAX(K5245:Q5245)</f>
        <v>1</v>
      </c>
      <c r="K5245" s="88">
        <v>1</v>
      </c>
      <c r="L5245" s="88"/>
      <c r="M5245" s="88"/>
      <c r="N5245" s="88"/>
      <c r="O5245" s="88"/>
      <c r="P5245" s="88"/>
      <c r="Q5245" s="88"/>
      <c r="R5245" s="78">
        <f>MAX(S5245:W5245)</f>
        <v>0</v>
      </c>
      <c r="S5245" s="88"/>
      <c r="T5245" s="88"/>
      <c r="U5245" s="88"/>
      <c r="V5245" s="88"/>
      <c r="W5245" s="88"/>
    </row>
    <row r="5246" spans="2:23" s="0" customFormat="0" ht="15">
      <c r="B5246" s="87" t="s">
        <v>1</v>
      </c>
      <c r="C5246" s="88" t="s">
        <v>5259</v>
      </c>
      <c r="D5246" s="88" t="s">
        <v>1471</v>
      </c>
      <c r="E5246" s="88" t="s">
        <v>61</v>
      </c>
      <c r="F5246" s="88">
        <v>0</v>
      </c>
      <c r="G5246" s="78">
        <f>MAX(H5246,I5246,J5246)</f>
        <v>1</v>
      </c>
      <c r="H5246" s="88"/>
      <c r="I5246" s="88"/>
      <c r="J5246" s="78">
        <f>MAX(K5246:Q5246)</f>
        <v>1</v>
      </c>
      <c r="K5246" s="88">
        <v>1</v>
      </c>
      <c r="L5246" s="88"/>
      <c r="M5246" s="88"/>
      <c r="N5246" s="88"/>
      <c r="O5246" s="88"/>
      <c r="P5246" s="88"/>
      <c r="Q5246" s="88"/>
      <c r="R5246" s="78">
        <f>MAX(S5246:W5246)</f>
        <v>0</v>
      </c>
      <c r="S5246" s="88"/>
      <c r="T5246" s="88"/>
      <c r="U5246" s="88"/>
      <c r="V5246" s="88"/>
      <c r="W5246" s="88"/>
    </row>
    <row r="5247" spans="2:23" s="0" customFormat="0" ht="15">
      <c r="B5247" s="87" t="s">
        <v>1</v>
      </c>
      <c r="C5247" s="88" t="s">
        <v>5259</v>
      </c>
      <c r="D5247" s="88">
        <v>14946321</v>
      </c>
      <c r="E5247" s="88" t="s">
        <v>61</v>
      </c>
      <c r="F5247" s="88">
        <v>0</v>
      </c>
      <c r="G5247" s="78">
        <f>MAX(H5247,I5247,J5247)</f>
        <v>1</v>
      </c>
      <c r="H5247" s="88"/>
      <c r="I5247" s="88"/>
      <c r="J5247" s="78">
        <f>MAX(K5247:Q5247)</f>
        <v>1</v>
      </c>
      <c r="K5247" s="88">
        <v>1</v>
      </c>
      <c r="L5247" s="88"/>
      <c r="M5247" s="88"/>
      <c r="N5247" s="88"/>
      <c r="O5247" s="88"/>
      <c r="P5247" s="88"/>
      <c r="Q5247" s="88"/>
      <c r="R5247" s="78">
        <f>MAX(S5247:W5247)</f>
        <v>0</v>
      </c>
      <c r="S5247" s="88"/>
      <c r="T5247" s="88"/>
      <c r="U5247" s="88"/>
      <c r="V5247" s="88"/>
      <c r="W5247" s="88"/>
    </row>
    <row r="5248" spans="2:23" s="0" customFormat="0" ht="15">
      <c r="B5248" s="87" t="s">
        <v>1</v>
      </c>
      <c r="C5248" s="88" t="s">
        <v>5259</v>
      </c>
      <c r="D5248" s="88" t="s">
        <v>5089</v>
      </c>
      <c r="E5248" s="88" t="s">
        <v>61</v>
      </c>
      <c r="F5248" s="88">
        <v>0</v>
      </c>
      <c r="G5248" s="78">
        <f>MAX(H5248,I5248,J5248)</f>
        <v>0</v>
      </c>
      <c r="H5248" s="88"/>
      <c r="I5248" s="88"/>
      <c r="J5248" s="78">
        <f>MAX(K5248:Q5248)</f>
        <v>0</v>
      </c>
      <c r="K5248" s="88"/>
      <c r="L5248" s="88"/>
      <c r="M5248" s="88"/>
      <c r="N5248" s="88"/>
      <c r="O5248" s="88"/>
      <c r="P5248" s="88"/>
      <c r="Q5248" s="88"/>
      <c r="R5248" s="78">
        <f>MAX(S5248:W5248)</f>
        <v>1</v>
      </c>
      <c r="S5248" s="88"/>
      <c r="T5248" s="88"/>
      <c r="U5248" s="88">
        <v>1</v>
      </c>
      <c r="V5248" s="88"/>
      <c r="W5248" s="88"/>
    </row>
    <row r="5249" spans="2:23" s="0" customFormat="0" ht="15">
      <c r="B5249" s="87" t="s">
        <v>1</v>
      </c>
      <c r="C5249" s="88" t="s">
        <v>5259</v>
      </c>
      <c r="D5249" s="88">
        <v>8247517</v>
      </c>
      <c r="E5249" s="88" t="s">
        <v>61</v>
      </c>
      <c r="F5249" s="88">
        <v>0</v>
      </c>
      <c r="G5249" s="78">
        <f>MAX(H5249,I5249,J5249)</f>
        <v>1</v>
      </c>
      <c r="H5249" s="88"/>
      <c r="I5249" s="88"/>
      <c r="J5249" s="78">
        <f>MAX(K5249:Q5249)</f>
        <v>1</v>
      </c>
      <c r="K5249" s="88">
        <v>1</v>
      </c>
      <c r="L5249" s="88"/>
      <c r="M5249" s="88"/>
      <c r="N5249" s="88"/>
      <c r="O5249" s="88"/>
      <c r="P5249" s="88"/>
      <c r="Q5249" s="88"/>
      <c r="R5249" s="78">
        <f>MAX(S5249:W5249)</f>
        <v>0</v>
      </c>
      <c r="S5249" s="88"/>
      <c r="T5249" s="88"/>
      <c r="U5249" s="88"/>
      <c r="V5249" s="88"/>
      <c r="W5249" s="88"/>
    </row>
    <row r="5250" spans="2:23" s="0" customFormat="0" ht="15">
      <c r="B5250" s="87" t="s">
        <v>1</v>
      </c>
      <c r="C5250" s="88" t="s">
        <v>5259</v>
      </c>
      <c r="D5250" s="88">
        <v>870797</v>
      </c>
      <c r="E5250" s="88" t="s">
        <v>61</v>
      </c>
      <c r="F5250" s="88">
        <v>0</v>
      </c>
      <c r="G5250" s="78">
        <f>MAX(H5250,I5250,J5250)</f>
        <v>0</v>
      </c>
      <c r="H5250" s="88"/>
      <c r="I5250" s="88"/>
      <c r="J5250" s="78">
        <f>MAX(K5250:Q5250)</f>
        <v>0</v>
      </c>
      <c r="K5250" s="88"/>
      <c r="L5250" s="88"/>
      <c r="M5250" s="88"/>
      <c r="N5250" s="88"/>
      <c r="O5250" s="88"/>
      <c r="P5250" s="88"/>
      <c r="Q5250" s="88"/>
      <c r="R5250" s="78">
        <f>MAX(S5250:W5250)</f>
        <v>1</v>
      </c>
      <c r="S5250" s="88"/>
      <c r="T5250" s="88"/>
      <c r="U5250" s="88">
        <v>1</v>
      </c>
      <c r="V5250" s="88"/>
      <c r="W5250" s="88"/>
    </row>
    <row r="5251" spans="2:23" s="0" customFormat="0" ht="15">
      <c r="B5251" s="87" t="s">
        <v>1</v>
      </c>
      <c r="C5251" s="88" t="s">
        <v>5259</v>
      </c>
      <c r="D5251" s="88">
        <v>22444256</v>
      </c>
      <c r="E5251" s="88" t="s">
        <v>61</v>
      </c>
      <c r="F5251" s="88">
        <v>0</v>
      </c>
      <c r="G5251" s="78">
        <f>MAX(H5251,I5251,J5251)</f>
        <v>1</v>
      </c>
      <c r="H5251" s="88"/>
      <c r="I5251" s="88"/>
      <c r="J5251" s="78">
        <f>MAX(K5251:Q5251)</f>
        <v>1</v>
      </c>
      <c r="K5251" s="88">
        <v>1</v>
      </c>
      <c r="L5251" s="88"/>
      <c r="M5251" s="88"/>
      <c r="N5251" s="88"/>
      <c r="O5251" s="88"/>
      <c r="P5251" s="88"/>
      <c r="Q5251" s="88"/>
      <c r="R5251" s="78">
        <f>MAX(S5251:W5251)</f>
        <v>0</v>
      </c>
      <c r="S5251" s="88"/>
      <c r="T5251" s="88"/>
      <c r="U5251" s="88"/>
      <c r="V5251" s="88"/>
      <c r="W5251" s="88"/>
    </row>
    <row r="5252" spans="2:23" s="0" customFormat="0" ht="15">
      <c r="B5252" s="87" t="s">
        <v>1</v>
      </c>
      <c r="C5252" s="88" t="s">
        <v>5259</v>
      </c>
      <c r="D5252" s="88">
        <v>21391641</v>
      </c>
      <c r="E5252" s="88" t="s">
        <v>61</v>
      </c>
      <c r="F5252" s="88">
        <v>0</v>
      </c>
      <c r="G5252" s="78">
        <f>MAX(H5252,I5252,J5252)</f>
        <v>1</v>
      </c>
      <c r="H5252" s="88"/>
      <c r="I5252" s="88"/>
      <c r="J5252" s="78">
        <f>MAX(K5252:Q5252)</f>
        <v>1</v>
      </c>
      <c r="K5252" s="88">
        <v>1</v>
      </c>
      <c r="L5252" s="88"/>
      <c r="M5252" s="88"/>
      <c r="N5252" s="88"/>
      <c r="O5252" s="88"/>
      <c r="P5252" s="88"/>
      <c r="Q5252" s="88"/>
      <c r="R5252" s="78">
        <f>MAX(S5252:W5252)</f>
        <v>0</v>
      </c>
      <c r="S5252" s="88"/>
      <c r="T5252" s="88"/>
      <c r="U5252" s="88"/>
      <c r="V5252" s="88"/>
      <c r="W5252" s="88"/>
    </row>
    <row r="5253" spans="2:23" s="0" customFormat="0" ht="15">
      <c r="B5253" s="87" t="s">
        <v>1</v>
      </c>
      <c r="C5253" s="88" t="s">
        <v>5259</v>
      </c>
      <c r="D5253" s="88" t="s">
        <v>4404</v>
      </c>
      <c r="E5253" s="88" t="s">
        <v>61</v>
      </c>
      <c r="F5253" s="88">
        <v>0</v>
      </c>
      <c r="G5253" s="78">
        <f>MAX(H5253,I5253,J5253)</f>
        <v>0</v>
      </c>
      <c r="H5253" s="88"/>
      <c r="I5253" s="88"/>
      <c r="J5253" s="78">
        <f>MAX(K5253:Q5253)</f>
        <v>0</v>
      </c>
      <c r="K5253" s="88"/>
      <c r="L5253" s="88"/>
      <c r="M5253" s="88"/>
      <c r="N5253" s="88"/>
      <c r="O5253" s="88"/>
      <c r="P5253" s="88"/>
      <c r="Q5253" s="88"/>
      <c r="R5253" s="78">
        <f>MAX(S5253:W5253)</f>
        <v>1</v>
      </c>
      <c r="S5253" s="88"/>
      <c r="T5253" s="88"/>
      <c r="U5253" s="88">
        <v>1</v>
      </c>
      <c r="V5253" s="88"/>
      <c r="W5253" s="88"/>
    </row>
    <row r="5254" spans="2:23" s="0" customFormat="0" ht="15">
      <c r="B5254" s="87" t="s">
        <v>1</v>
      </c>
      <c r="C5254" s="88" t="s">
        <v>5259</v>
      </c>
      <c r="D5254" s="88" t="s">
        <v>4604</v>
      </c>
      <c r="E5254" s="88" t="s">
        <v>61</v>
      </c>
      <c r="F5254" s="88">
        <v>0</v>
      </c>
      <c r="G5254" s="78">
        <f>MAX(H5254,I5254,J5254)</f>
        <v>0</v>
      </c>
      <c r="H5254" s="88"/>
      <c r="I5254" s="88"/>
      <c r="J5254" s="78">
        <f>MAX(K5254:Q5254)</f>
        <v>0</v>
      </c>
      <c r="K5254" s="88"/>
      <c r="L5254" s="88"/>
      <c r="M5254" s="88"/>
      <c r="N5254" s="88"/>
      <c r="O5254" s="88"/>
      <c r="P5254" s="88"/>
      <c r="Q5254" s="88"/>
      <c r="R5254" s="78">
        <f>MAX(S5254:W5254)</f>
        <v>1</v>
      </c>
      <c r="S5254" s="88"/>
      <c r="T5254" s="88"/>
      <c r="U5254" s="88">
        <v>1</v>
      </c>
      <c r="V5254" s="88"/>
      <c r="W5254" s="88"/>
    </row>
    <row r="5255" spans="2:23" s="0" customFormat="0" ht="15">
      <c r="B5255" s="87" t="s">
        <v>1</v>
      </c>
      <c r="C5255" s="88" t="s">
        <v>5259</v>
      </c>
      <c r="D5255" s="88">
        <v>15329729</v>
      </c>
      <c r="E5255" s="88" t="s">
        <v>61</v>
      </c>
      <c r="F5255" s="88">
        <v>0</v>
      </c>
      <c r="G5255" s="78">
        <f>MAX(H5255,I5255,J5255)</f>
        <v>1</v>
      </c>
      <c r="H5255" s="88"/>
      <c r="I5255" s="88"/>
      <c r="J5255" s="78">
        <f>MAX(K5255:Q5255)</f>
        <v>1</v>
      </c>
      <c r="K5255" s="88">
        <v>1</v>
      </c>
      <c r="L5255" s="88"/>
      <c r="M5255" s="88"/>
      <c r="N5255" s="88"/>
      <c r="O5255" s="88"/>
      <c r="P5255" s="88"/>
      <c r="Q5255" s="88"/>
      <c r="R5255" s="78">
        <f>MAX(S5255:W5255)</f>
        <v>0</v>
      </c>
      <c r="S5255" s="88"/>
      <c r="T5255" s="88"/>
      <c r="U5255" s="88"/>
      <c r="V5255" s="88"/>
      <c r="W5255" s="88"/>
    </row>
    <row r="5256" spans="2:23" s="0" customFormat="0" ht="15">
      <c r="B5256" s="87" t="s">
        <v>1</v>
      </c>
      <c r="C5256" s="88" t="s">
        <v>5259</v>
      </c>
      <c r="D5256" s="88" t="s">
        <v>4022</v>
      </c>
      <c r="E5256" s="88" t="s">
        <v>61</v>
      </c>
      <c r="F5256" s="88">
        <v>0</v>
      </c>
      <c r="G5256" s="78">
        <f>MAX(H5256,I5256,J5256)</f>
        <v>0</v>
      </c>
      <c r="H5256" s="88"/>
      <c r="I5256" s="88"/>
      <c r="J5256" s="78">
        <f>MAX(K5256:Q5256)</f>
        <v>0</v>
      </c>
      <c r="K5256" s="88"/>
      <c r="L5256" s="88"/>
      <c r="M5256" s="88"/>
      <c r="N5256" s="88"/>
      <c r="O5256" s="88"/>
      <c r="P5256" s="88"/>
      <c r="Q5256" s="88"/>
      <c r="R5256" s="78">
        <f>MAX(S5256:W5256)</f>
        <v>1</v>
      </c>
      <c r="S5256" s="88"/>
      <c r="T5256" s="88"/>
      <c r="U5256" s="88">
        <v>1</v>
      </c>
      <c r="V5256" s="88"/>
      <c r="W5256" s="88"/>
    </row>
    <row r="5257" spans="2:23" s="0" customFormat="0" ht="15">
      <c r="B5257" s="87" t="s">
        <v>1</v>
      </c>
      <c r="C5257" s="88" t="s">
        <v>5259</v>
      </c>
      <c r="D5257" s="88">
        <v>24139330</v>
      </c>
      <c r="E5257" s="88" t="s">
        <v>61</v>
      </c>
      <c r="F5257" s="88">
        <v>0</v>
      </c>
      <c r="G5257" s="78">
        <f>MAX(H5257,I5257,J5257)</f>
        <v>0</v>
      </c>
      <c r="H5257" s="88"/>
      <c r="I5257" s="88"/>
      <c r="J5257" s="78">
        <f>MAX(K5257:Q5257)</f>
        <v>0</v>
      </c>
      <c r="K5257" s="88"/>
      <c r="L5257" s="88"/>
      <c r="M5257" s="88"/>
      <c r="N5257" s="88"/>
      <c r="O5257" s="88"/>
      <c r="P5257" s="88"/>
      <c r="Q5257" s="88"/>
      <c r="R5257" s="78">
        <f>MAX(S5257:W5257)</f>
        <v>1</v>
      </c>
      <c r="S5257" s="88"/>
      <c r="T5257" s="88"/>
      <c r="U5257" s="88">
        <v>1</v>
      </c>
      <c r="V5257" s="88"/>
      <c r="W5257" s="88"/>
    </row>
    <row r="5258" spans="2:23" s="0" customFormat="0" ht="15">
      <c r="B5258" s="87" t="s">
        <v>1</v>
      </c>
      <c r="C5258" s="88" t="s">
        <v>5259</v>
      </c>
      <c r="D5258" s="88">
        <v>21507543</v>
      </c>
      <c r="E5258" s="88" t="s">
        <v>61</v>
      </c>
      <c r="F5258" s="88">
        <v>0</v>
      </c>
      <c r="G5258" s="78">
        <f>MAX(H5258,I5258,J5258)</f>
        <v>1</v>
      </c>
      <c r="H5258" s="88"/>
      <c r="I5258" s="88"/>
      <c r="J5258" s="78">
        <f>MAX(K5258:Q5258)</f>
        <v>1</v>
      </c>
      <c r="K5258" s="88">
        <v>1</v>
      </c>
      <c r="L5258" s="88"/>
      <c r="M5258" s="88"/>
      <c r="N5258" s="88"/>
      <c r="O5258" s="88"/>
      <c r="P5258" s="88"/>
      <c r="Q5258" s="88"/>
      <c r="R5258" s="78">
        <f>MAX(S5258:W5258)</f>
        <v>0</v>
      </c>
      <c r="S5258" s="88"/>
      <c r="T5258" s="88"/>
      <c r="U5258" s="88"/>
      <c r="V5258" s="88"/>
      <c r="W5258" s="88"/>
    </row>
    <row r="5259" spans="2:23" s="0" customFormat="0" ht="15">
      <c r="B5259" s="87" t="s">
        <v>1</v>
      </c>
      <c r="C5259" s="88" t="s">
        <v>5259</v>
      </c>
      <c r="D5259" s="88">
        <v>19619422</v>
      </c>
      <c r="E5259" s="88" t="s">
        <v>61</v>
      </c>
      <c r="F5259" s="88">
        <v>0</v>
      </c>
      <c r="G5259" s="78">
        <f>MAX(H5259,I5259,J5259)</f>
        <v>1</v>
      </c>
      <c r="H5259" s="88"/>
      <c r="I5259" s="88"/>
      <c r="J5259" s="78">
        <f>MAX(K5259:Q5259)</f>
        <v>1</v>
      </c>
      <c r="K5259" s="88">
        <v>1</v>
      </c>
      <c r="L5259" s="88"/>
      <c r="M5259" s="88"/>
      <c r="N5259" s="88"/>
      <c r="O5259" s="88"/>
      <c r="P5259" s="88"/>
      <c r="Q5259" s="88"/>
      <c r="R5259" s="78">
        <f>MAX(S5259:W5259)</f>
        <v>0</v>
      </c>
      <c r="S5259" s="88"/>
      <c r="T5259" s="88"/>
      <c r="U5259" s="88"/>
      <c r="V5259" s="88"/>
      <c r="W5259" s="88"/>
    </row>
    <row r="5260" spans="2:23" s="0" customFormat="0" ht="15">
      <c r="B5260" s="87" t="s">
        <v>1</v>
      </c>
      <c r="C5260" s="88" t="s">
        <v>5259</v>
      </c>
      <c r="D5260" s="88" t="s">
        <v>4072</v>
      </c>
      <c r="E5260" s="88" t="s">
        <v>61</v>
      </c>
      <c r="F5260" s="88">
        <v>0</v>
      </c>
      <c r="G5260" s="78">
        <f>MAX(H5260,I5260,J5260)</f>
        <v>0</v>
      </c>
      <c r="H5260" s="88"/>
      <c r="I5260" s="88"/>
      <c r="J5260" s="78">
        <f>MAX(K5260:Q5260)</f>
        <v>0</v>
      </c>
      <c r="K5260" s="88"/>
      <c r="L5260" s="88"/>
      <c r="M5260" s="88"/>
      <c r="N5260" s="88"/>
      <c r="O5260" s="88"/>
      <c r="P5260" s="88"/>
      <c r="Q5260" s="88"/>
      <c r="R5260" s="78">
        <f>MAX(S5260:W5260)</f>
        <v>1</v>
      </c>
      <c r="S5260" s="88"/>
      <c r="T5260" s="88"/>
      <c r="U5260" s="88">
        <v>1</v>
      </c>
      <c r="V5260" s="88"/>
      <c r="W5260" s="88"/>
    </row>
    <row r="5261" spans="2:23" s="0" customFormat="0" ht="15">
      <c r="B5261" s="87" t="s">
        <v>1</v>
      </c>
      <c r="C5261" s="88" t="s">
        <v>5259</v>
      </c>
      <c r="D5261" s="88" t="s">
        <v>4359</v>
      </c>
      <c r="E5261" s="88" t="s">
        <v>61</v>
      </c>
      <c r="F5261" s="88">
        <v>0</v>
      </c>
      <c r="G5261" s="78">
        <f>MAX(H5261,I5261,J5261)</f>
        <v>0</v>
      </c>
      <c r="H5261" s="88"/>
      <c r="I5261" s="88"/>
      <c r="J5261" s="78">
        <f>MAX(K5261:Q5261)</f>
        <v>0</v>
      </c>
      <c r="K5261" s="88"/>
      <c r="L5261" s="88"/>
      <c r="M5261" s="88"/>
      <c r="N5261" s="88"/>
      <c r="O5261" s="88"/>
      <c r="P5261" s="88"/>
      <c r="Q5261" s="88"/>
      <c r="R5261" s="78">
        <f>MAX(S5261:W5261)</f>
        <v>1</v>
      </c>
      <c r="S5261" s="88"/>
      <c r="T5261" s="88"/>
      <c r="U5261" s="88">
        <v>1</v>
      </c>
      <c r="V5261" s="88"/>
      <c r="W5261" s="88"/>
    </row>
    <row r="5262" spans="2:23" s="0" customFormat="0" ht="15">
      <c r="B5262" s="87" t="s">
        <v>1</v>
      </c>
      <c r="C5262" s="88" t="s">
        <v>5259</v>
      </c>
      <c r="D5262" s="88">
        <v>11413498</v>
      </c>
      <c r="E5262" s="88" t="s">
        <v>61</v>
      </c>
      <c r="F5262" s="88">
        <v>0</v>
      </c>
      <c r="G5262" s="78">
        <f>MAX(H5262,I5262,J5262)</f>
        <v>1</v>
      </c>
      <c r="H5262" s="88"/>
      <c r="I5262" s="88"/>
      <c r="J5262" s="78">
        <f>MAX(K5262:Q5262)</f>
        <v>1</v>
      </c>
      <c r="K5262" s="88">
        <v>1</v>
      </c>
      <c r="L5262" s="88"/>
      <c r="M5262" s="88"/>
      <c r="N5262" s="88"/>
      <c r="O5262" s="88"/>
      <c r="P5262" s="88"/>
      <c r="Q5262" s="88"/>
      <c r="R5262" s="78">
        <f>MAX(S5262:W5262)</f>
        <v>0</v>
      </c>
      <c r="S5262" s="88"/>
      <c r="T5262" s="88"/>
      <c r="U5262" s="88"/>
      <c r="V5262" s="88"/>
      <c r="W5262" s="88"/>
    </row>
    <row r="5263" spans="2:23" s="0" customFormat="0" ht="15">
      <c r="B5263" s="87" t="s">
        <v>1</v>
      </c>
      <c r="C5263" s="88" t="s">
        <v>5259</v>
      </c>
      <c r="D5263" s="88">
        <v>13275738</v>
      </c>
      <c r="E5263" s="88" t="s">
        <v>61</v>
      </c>
      <c r="F5263" s="88">
        <v>0</v>
      </c>
      <c r="G5263" s="78">
        <f>MAX(H5263,I5263,J5263)</f>
        <v>1</v>
      </c>
      <c r="H5263" s="88"/>
      <c r="I5263" s="88"/>
      <c r="J5263" s="78">
        <f>MAX(K5263:Q5263)</f>
        <v>1</v>
      </c>
      <c r="K5263" s="88">
        <v>1</v>
      </c>
      <c r="L5263" s="88"/>
      <c r="M5263" s="88"/>
      <c r="N5263" s="88"/>
      <c r="O5263" s="88"/>
      <c r="P5263" s="88"/>
      <c r="Q5263" s="88"/>
      <c r="R5263" s="78">
        <f>MAX(S5263:W5263)</f>
        <v>0</v>
      </c>
      <c r="S5263" s="88"/>
      <c r="T5263" s="88"/>
      <c r="U5263" s="88"/>
      <c r="V5263" s="88"/>
      <c r="W5263" s="88"/>
    </row>
    <row r="5264" spans="2:23" s="0" customFormat="0" ht="15">
      <c r="B5264" s="87" t="s">
        <v>1</v>
      </c>
      <c r="C5264" s="88" t="s">
        <v>5259</v>
      </c>
      <c r="D5264" s="88">
        <v>17602723</v>
      </c>
      <c r="E5264" s="88" t="s">
        <v>61</v>
      </c>
      <c r="F5264" s="88">
        <v>0</v>
      </c>
      <c r="G5264" s="78">
        <f>MAX(H5264,I5264,J5264)</f>
        <v>1</v>
      </c>
      <c r="H5264" s="88"/>
      <c r="I5264" s="88"/>
      <c r="J5264" s="78">
        <f>MAX(K5264:Q5264)</f>
        <v>1</v>
      </c>
      <c r="K5264" s="88">
        <v>1</v>
      </c>
      <c r="L5264" s="88"/>
      <c r="M5264" s="88"/>
      <c r="N5264" s="88"/>
      <c r="O5264" s="88"/>
      <c r="P5264" s="88"/>
      <c r="Q5264" s="88"/>
      <c r="R5264" s="78">
        <f>MAX(S5264:W5264)</f>
        <v>0</v>
      </c>
      <c r="S5264" s="88"/>
      <c r="T5264" s="88"/>
      <c r="U5264" s="88"/>
      <c r="V5264" s="88"/>
      <c r="W5264" s="88"/>
    </row>
    <row r="5265" spans="2:23" s="0" customFormat="0" ht="15">
      <c r="B5265" s="87" t="s">
        <v>1</v>
      </c>
      <c r="C5265" s="88" t="s">
        <v>5259</v>
      </c>
      <c r="D5265" s="88">
        <v>22273777</v>
      </c>
      <c r="E5265" s="88" t="s">
        <v>61</v>
      </c>
      <c r="F5265" s="88">
        <v>0</v>
      </c>
      <c r="G5265" s="78">
        <f>MAX(H5265,I5265,J5265)</f>
        <v>1</v>
      </c>
      <c r="H5265" s="88"/>
      <c r="I5265" s="88"/>
      <c r="J5265" s="78">
        <f>MAX(K5265:Q5265)</f>
        <v>1</v>
      </c>
      <c r="K5265" s="88">
        <v>1</v>
      </c>
      <c r="L5265" s="88"/>
      <c r="M5265" s="88"/>
      <c r="N5265" s="88"/>
      <c r="O5265" s="88"/>
      <c r="P5265" s="88"/>
      <c r="Q5265" s="88"/>
      <c r="R5265" s="78">
        <f>MAX(S5265:W5265)</f>
        <v>0</v>
      </c>
      <c r="S5265" s="88"/>
      <c r="T5265" s="88"/>
      <c r="U5265" s="88"/>
      <c r="V5265" s="88"/>
      <c r="W5265" s="88"/>
    </row>
    <row r="5266" spans="2:23" s="0" customFormat="0" ht="15">
      <c r="B5266" s="87" t="s">
        <v>1</v>
      </c>
      <c r="C5266" s="88" t="s">
        <v>5259</v>
      </c>
      <c r="D5266" s="88">
        <v>13302590</v>
      </c>
      <c r="E5266" s="88" t="s">
        <v>61</v>
      </c>
      <c r="F5266" s="88">
        <v>0</v>
      </c>
      <c r="G5266" s="78">
        <f>MAX(H5266,I5266,J5266)</f>
        <v>1</v>
      </c>
      <c r="H5266" s="88"/>
      <c r="I5266" s="88"/>
      <c r="J5266" s="78">
        <f>MAX(K5266:Q5266)</f>
        <v>1</v>
      </c>
      <c r="K5266" s="88">
        <v>1</v>
      </c>
      <c r="L5266" s="88"/>
      <c r="M5266" s="88"/>
      <c r="N5266" s="88"/>
      <c r="O5266" s="88"/>
      <c r="P5266" s="88"/>
      <c r="Q5266" s="88"/>
      <c r="R5266" s="78">
        <f>MAX(S5266:W5266)</f>
        <v>0</v>
      </c>
      <c r="S5266" s="88"/>
      <c r="T5266" s="88"/>
      <c r="U5266" s="88"/>
      <c r="V5266" s="88"/>
      <c r="W5266" s="88"/>
    </row>
    <row r="5267" spans="2:23" s="0" customFormat="0" ht="15">
      <c r="B5267" s="87" t="s">
        <v>1</v>
      </c>
      <c r="C5267" s="88" t="s">
        <v>5259</v>
      </c>
      <c r="D5267" s="88">
        <v>22676178</v>
      </c>
      <c r="E5267" s="88" t="s">
        <v>61</v>
      </c>
      <c r="F5267" s="88">
        <v>0</v>
      </c>
      <c r="G5267" s="78">
        <f>MAX(H5267,I5267,J5267)</f>
        <v>1</v>
      </c>
      <c r="H5267" s="88"/>
      <c r="I5267" s="88"/>
      <c r="J5267" s="78">
        <f>MAX(K5267:Q5267)</f>
        <v>1</v>
      </c>
      <c r="K5267" s="88">
        <v>1</v>
      </c>
      <c r="L5267" s="88"/>
      <c r="M5267" s="88"/>
      <c r="N5267" s="88"/>
      <c r="O5267" s="88"/>
      <c r="P5267" s="88"/>
      <c r="Q5267" s="88"/>
      <c r="R5267" s="78">
        <f>MAX(S5267:W5267)</f>
        <v>0</v>
      </c>
      <c r="S5267" s="88"/>
      <c r="T5267" s="88"/>
      <c r="U5267" s="88"/>
      <c r="V5267" s="88"/>
      <c r="W5267" s="88"/>
    </row>
    <row r="5268" spans="2:23" s="0" customFormat="0" ht="15">
      <c r="B5268" s="87" t="s">
        <v>1</v>
      </c>
      <c r="C5268" s="88" t="s">
        <v>5259</v>
      </c>
      <c r="D5268" s="88">
        <v>16682604</v>
      </c>
      <c r="E5268" s="88" t="s">
        <v>61</v>
      </c>
      <c r="F5268" s="88">
        <v>0</v>
      </c>
      <c r="G5268" s="78">
        <f>MAX(H5268,I5268,J5268)</f>
        <v>1</v>
      </c>
      <c r="H5268" s="88"/>
      <c r="I5268" s="88"/>
      <c r="J5268" s="78">
        <f>MAX(K5268:Q5268)</f>
        <v>1</v>
      </c>
      <c r="K5268" s="88">
        <v>1</v>
      </c>
      <c r="L5268" s="88"/>
      <c r="M5268" s="88"/>
      <c r="N5268" s="88"/>
      <c r="O5268" s="88"/>
      <c r="P5268" s="88"/>
      <c r="Q5268" s="88"/>
      <c r="R5268" s="78">
        <f>MAX(S5268:W5268)</f>
        <v>0</v>
      </c>
      <c r="S5268" s="88"/>
      <c r="T5268" s="88"/>
      <c r="U5268" s="88"/>
      <c r="V5268" s="88"/>
      <c r="W5268" s="88"/>
    </row>
    <row r="5269" spans="2:23" s="0" customFormat="0" ht="15">
      <c r="B5269" s="87" t="s">
        <v>1</v>
      </c>
      <c r="C5269" s="88" t="s">
        <v>5259</v>
      </c>
      <c r="D5269" s="88">
        <v>20679275</v>
      </c>
      <c r="E5269" s="88" t="s">
        <v>61</v>
      </c>
      <c r="F5269" s="88">
        <v>0</v>
      </c>
      <c r="G5269" s="78">
        <f>MAX(H5269,I5269,J5269)</f>
        <v>1</v>
      </c>
      <c r="H5269" s="88"/>
      <c r="I5269" s="88"/>
      <c r="J5269" s="78">
        <f>MAX(K5269:Q5269)</f>
        <v>1</v>
      </c>
      <c r="K5269" s="88">
        <v>1</v>
      </c>
      <c r="L5269" s="88"/>
      <c r="M5269" s="88"/>
      <c r="N5269" s="88"/>
      <c r="O5269" s="88"/>
      <c r="P5269" s="88"/>
      <c r="Q5269" s="88"/>
      <c r="R5269" s="78">
        <f>MAX(S5269:W5269)</f>
        <v>0</v>
      </c>
      <c r="S5269" s="88"/>
      <c r="T5269" s="88"/>
      <c r="U5269" s="88"/>
      <c r="V5269" s="88"/>
      <c r="W5269" s="88"/>
    </row>
    <row r="5270" spans="2:23" s="0" customFormat="0" ht="15">
      <c r="B5270" s="87" t="s">
        <v>1</v>
      </c>
      <c r="C5270" s="88" t="s">
        <v>5259</v>
      </c>
      <c r="D5270" s="88" t="s">
        <v>3650</v>
      </c>
      <c r="E5270" s="88" t="s">
        <v>61</v>
      </c>
      <c r="F5270" s="88">
        <v>0</v>
      </c>
      <c r="G5270" s="78">
        <f>MAX(H5270,I5270,J5270)</f>
        <v>0</v>
      </c>
      <c r="H5270" s="88"/>
      <c r="I5270" s="88"/>
      <c r="J5270" s="78">
        <f>MAX(K5270:Q5270)</f>
        <v>0</v>
      </c>
      <c r="K5270" s="88"/>
      <c r="L5270" s="88"/>
      <c r="M5270" s="88"/>
      <c r="N5270" s="88"/>
      <c r="O5270" s="88"/>
      <c r="P5270" s="88"/>
      <c r="Q5270" s="88"/>
      <c r="R5270" s="78">
        <f>MAX(S5270:W5270)</f>
        <v>1</v>
      </c>
      <c r="S5270" s="88"/>
      <c r="T5270" s="88"/>
      <c r="U5270" s="88">
        <v>1</v>
      </c>
      <c r="V5270" s="88"/>
      <c r="W5270" s="88"/>
    </row>
    <row r="5271" spans="2:23" s="0" customFormat="0" ht="15">
      <c r="B5271" s="87" t="s">
        <v>1</v>
      </c>
      <c r="C5271" s="88" t="s">
        <v>5259</v>
      </c>
      <c r="D5271" s="88" t="s">
        <v>5122</v>
      </c>
      <c r="E5271" s="88" t="s">
        <v>61</v>
      </c>
      <c r="F5271" s="88">
        <v>0</v>
      </c>
      <c r="G5271" s="78">
        <f>MAX(H5271,I5271,J5271)</f>
        <v>0</v>
      </c>
      <c r="H5271" s="88"/>
      <c r="I5271" s="88"/>
      <c r="J5271" s="78">
        <f>MAX(K5271:Q5271)</f>
        <v>0</v>
      </c>
      <c r="K5271" s="88"/>
      <c r="L5271" s="88"/>
      <c r="M5271" s="88"/>
      <c r="N5271" s="88"/>
      <c r="O5271" s="88"/>
      <c r="P5271" s="88"/>
      <c r="Q5271" s="88"/>
      <c r="R5271" s="78">
        <f>MAX(S5271:W5271)</f>
        <v>1</v>
      </c>
      <c r="S5271" s="88"/>
      <c r="T5271" s="88"/>
      <c r="U5271" s="88">
        <v>1</v>
      </c>
      <c r="V5271" s="88"/>
      <c r="W5271" s="88"/>
    </row>
    <row r="5272" spans="2:23" s="0" customFormat="0" ht="15">
      <c r="B5272" s="87" t="s">
        <v>1</v>
      </c>
      <c r="C5272" s="88" t="s">
        <v>5259</v>
      </c>
      <c r="D5272" s="88">
        <v>9322301</v>
      </c>
      <c r="E5272" s="88" t="s">
        <v>61</v>
      </c>
      <c r="F5272" s="88">
        <v>0</v>
      </c>
      <c r="G5272" s="78">
        <f>MAX(H5272,I5272,J5272)</f>
        <v>1</v>
      </c>
      <c r="H5272" s="88"/>
      <c r="I5272" s="88"/>
      <c r="J5272" s="78">
        <f>MAX(K5272:Q5272)</f>
        <v>1</v>
      </c>
      <c r="K5272" s="88">
        <v>1</v>
      </c>
      <c r="L5272" s="88"/>
      <c r="M5272" s="88"/>
      <c r="N5272" s="88"/>
      <c r="O5272" s="88"/>
      <c r="P5272" s="88"/>
      <c r="Q5272" s="88"/>
      <c r="R5272" s="78">
        <f>MAX(S5272:W5272)</f>
        <v>0</v>
      </c>
      <c r="S5272" s="88"/>
      <c r="T5272" s="88"/>
      <c r="U5272" s="88"/>
      <c r="V5272" s="88"/>
      <c r="W5272" s="88"/>
    </row>
    <row r="5273" spans="2:23" s="0" customFormat="0" ht="15">
      <c r="B5273" s="87" t="s">
        <v>1</v>
      </c>
      <c r="C5273" s="88" t="s">
        <v>5259</v>
      </c>
      <c r="D5273" s="88">
        <v>13482143</v>
      </c>
      <c r="E5273" s="88" t="s">
        <v>61</v>
      </c>
      <c r="F5273" s="88">
        <v>0</v>
      </c>
      <c r="G5273" s="78">
        <f>MAX(H5273,I5273,J5273)</f>
        <v>1</v>
      </c>
      <c r="H5273" s="88"/>
      <c r="I5273" s="88"/>
      <c r="J5273" s="78">
        <f>MAX(K5273:Q5273)</f>
        <v>1</v>
      </c>
      <c r="K5273" s="88">
        <v>1</v>
      </c>
      <c r="L5273" s="88"/>
      <c r="M5273" s="88"/>
      <c r="N5273" s="88"/>
      <c r="O5273" s="88"/>
      <c r="P5273" s="88"/>
      <c r="Q5273" s="88"/>
      <c r="R5273" s="78">
        <f>MAX(S5273:W5273)</f>
        <v>0</v>
      </c>
      <c r="S5273" s="88"/>
      <c r="T5273" s="88"/>
      <c r="U5273" s="88"/>
      <c r="V5273" s="88"/>
      <c r="W5273" s="88"/>
    </row>
    <row r="5274" spans="2:23" s="0" customFormat="0" ht="15">
      <c r="B5274" s="87" t="s">
        <v>1</v>
      </c>
      <c r="C5274" s="88" t="s">
        <v>5259</v>
      </c>
      <c r="D5274" s="88" t="s">
        <v>3960</v>
      </c>
      <c r="E5274" s="88" t="s">
        <v>61</v>
      </c>
      <c r="F5274" s="88">
        <v>0</v>
      </c>
      <c r="G5274" s="78">
        <f>MAX(H5274,I5274,J5274)</f>
        <v>0</v>
      </c>
      <c r="H5274" s="88"/>
      <c r="I5274" s="88"/>
      <c r="J5274" s="78">
        <f>MAX(K5274:Q5274)</f>
        <v>0</v>
      </c>
      <c r="K5274" s="88"/>
      <c r="L5274" s="88"/>
      <c r="M5274" s="88"/>
      <c r="N5274" s="88"/>
      <c r="O5274" s="88"/>
      <c r="P5274" s="88"/>
      <c r="Q5274" s="88"/>
      <c r="R5274" s="78">
        <f>MAX(S5274:W5274)</f>
        <v>1</v>
      </c>
      <c r="S5274" s="88"/>
      <c r="T5274" s="88"/>
      <c r="U5274" s="88">
        <v>1</v>
      </c>
      <c r="V5274" s="88"/>
      <c r="W5274" s="88"/>
    </row>
    <row r="5275" spans="2:23" s="0" customFormat="0" ht="15">
      <c r="B5275" s="87" t="s">
        <v>1</v>
      </c>
      <c r="C5275" s="88" t="s">
        <v>5259</v>
      </c>
      <c r="D5275" s="88">
        <v>17012996</v>
      </c>
      <c r="E5275" s="88" t="s">
        <v>61</v>
      </c>
      <c r="F5275" s="88">
        <v>0</v>
      </c>
      <c r="G5275" s="78">
        <f>MAX(H5275,I5275,J5275)</f>
        <v>1</v>
      </c>
      <c r="H5275" s="88"/>
      <c r="I5275" s="88"/>
      <c r="J5275" s="78">
        <f>MAX(K5275:Q5275)</f>
        <v>1</v>
      </c>
      <c r="K5275" s="88">
        <v>1</v>
      </c>
      <c r="L5275" s="88"/>
      <c r="M5275" s="88"/>
      <c r="N5275" s="88"/>
      <c r="O5275" s="88"/>
      <c r="P5275" s="88"/>
      <c r="Q5275" s="88"/>
      <c r="R5275" s="78">
        <f>MAX(S5275:W5275)</f>
        <v>0</v>
      </c>
      <c r="S5275" s="88"/>
      <c r="T5275" s="88"/>
      <c r="U5275" s="88"/>
      <c r="V5275" s="88"/>
      <c r="W5275" s="88"/>
    </row>
    <row r="5276" spans="2:23" s="0" customFormat="0" ht="15">
      <c r="B5276" s="87" t="s">
        <v>1</v>
      </c>
      <c r="C5276" s="88" t="s">
        <v>5259</v>
      </c>
      <c r="D5276" s="88" t="s">
        <v>3040</v>
      </c>
      <c r="E5276" s="88" t="s">
        <v>61</v>
      </c>
      <c r="F5276" s="88">
        <v>0</v>
      </c>
      <c r="G5276" s="78">
        <f>MAX(H5276,I5276,J5276)</f>
        <v>1</v>
      </c>
      <c r="H5276" s="88"/>
      <c r="I5276" s="88"/>
      <c r="J5276" s="78">
        <f>MAX(K5276:Q5276)</f>
        <v>1</v>
      </c>
      <c r="K5276" s="88"/>
      <c r="L5276" s="88">
        <v>1</v>
      </c>
      <c r="M5276" s="88"/>
      <c r="N5276" s="88"/>
      <c r="O5276" s="88"/>
      <c r="P5276" s="88"/>
      <c r="Q5276" s="88"/>
      <c r="R5276" s="78">
        <f>MAX(S5276:W5276)</f>
        <v>0</v>
      </c>
      <c r="S5276" s="88"/>
      <c r="T5276" s="88"/>
      <c r="U5276" s="88"/>
      <c r="V5276" s="88"/>
      <c r="W5276" s="88"/>
    </row>
    <row r="5277" spans="2:23" s="0" customFormat="0" ht="15">
      <c r="B5277" s="87" t="s">
        <v>1</v>
      </c>
      <c r="C5277" s="88" t="s">
        <v>5259</v>
      </c>
      <c r="D5277" s="88" t="s">
        <v>4035</v>
      </c>
      <c r="E5277" s="88" t="s">
        <v>61</v>
      </c>
      <c r="F5277" s="88">
        <v>0</v>
      </c>
      <c r="G5277" s="78">
        <f>MAX(H5277,I5277,J5277)</f>
        <v>0</v>
      </c>
      <c r="H5277" s="88"/>
      <c r="I5277" s="88"/>
      <c r="J5277" s="78">
        <f>MAX(K5277:Q5277)</f>
        <v>0</v>
      </c>
      <c r="K5277" s="88"/>
      <c r="L5277" s="88"/>
      <c r="M5277" s="88"/>
      <c r="N5277" s="88"/>
      <c r="O5277" s="88"/>
      <c r="P5277" s="88"/>
      <c r="Q5277" s="88"/>
      <c r="R5277" s="78">
        <f>MAX(S5277:W5277)</f>
        <v>1</v>
      </c>
      <c r="S5277" s="88"/>
      <c r="T5277" s="88"/>
      <c r="U5277" s="88">
        <v>1</v>
      </c>
      <c r="V5277" s="88"/>
      <c r="W5277" s="88"/>
    </row>
    <row r="5278" spans="2:23" s="0" customFormat="0" ht="15">
      <c r="B5278" s="87" t="s">
        <v>1</v>
      </c>
      <c r="C5278" s="88" t="s">
        <v>5259</v>
      </c>
      <c r="D5278" s="88">
        <v>14504624</v>
      </c>
      <c r="E5278" s="88" t="s">
        <v>61</v>
      </c>
      <c r="F5278" s="88">
        <v>0</v>
      </c>
      <c r="G5278" s="78">
        <f>MAX(H5278,I5278,J5278)</f>
        <v>0</v>
      </c>
      <c r="H5278" s="88"/>
      <c r="I5278" s="88"/>
      <c r="J5278" s="78">
        <f>MAX(K5278:Q5278)</f>
        <v>0</v>
      </c>
      <c r="K5278" s="88"/>
      <c r="L5278" s="88"/>
      <c r="M5278" s="88"/>
      <c r="N5278" s="88"/>
      <c r="O5278" s="88"/>
      <c r="P5278" s="88"/>
      <c r="Q5278" s="88"/>
      <c r="R5278" s="78">
        <f>MAX(S5278:W5278)</f>
        <v>1</v>
      </c>
      <c r="S5278" s="88"/>
      <c r="T5278" s="88"/>
      <c r="U5278" s="88">
        <v>1</v>
      </c>
      <c r="V5278" s="88"/>
      <c r="W5278" s="88"/>
    </row>
    <row r="5279" spans="2:23" s="0" customFormat="0" ht="15">
      <c r="B5279" s="87" t="s">
        <v>1</v>
      </c>
      <c r="C5279" s="88" t="s">
        <v>5259</v>
      </c>
      <c r="D5279" s="88">
        <v>22623667</v>
      </c>
      <c r="E5279" s="88" t="s">
        <v>61</v>
      </c>
      <c r="F5279" s="88">
        <v>0</v>
      </c>
      <c r="G5279" s="78">
        <f>MAX(H5279,I5279,J5279)</f>
        <v>0</v>
      </c>
      <c r="H5279" s="88"/>
      <c r="I5279" s="88"/>
      <c r="J5279" s="78">
        <f>MAX(K5279:Q5279)</f>
        <v>0</v>
      </c>
      <c r="K5279" s="88"/>
      <c r="L5279" s="88"/>
      <c r="M5279" s="88"/>
      <c r="N5279" s="88"/>
      <c r="O5279" s="88"/>
      <c r="P5279" s="88"/>
      <c r="Q5279" s="88"/>
      <c r="R5279" s="78">
        <f>MAX(S5279:W5279)</f>
        <v>1</v>
      </c>
      <c r="S5279" s="88"/>
      <c r="T5279" s="88"/>
      <c r="U5279" s="88">
        <v>1</v>
      </c>
      <c r="V5279" s="88"/>
      <c r="W5279" s="88"/>
    </row>
    <row r="5280" spans="2:23" s="0" customFormat="0" ht="15">
      <c r="B5280" s="87" t="s">
        <v>1</v>
      </c>
      <c r="C5280" s="88" t="s">
        <v>5259</v>
      </c>
      <c r="D5280" s="88">
        <v>14496882</v>
      </c>
      <c r="E5280" s="88" t="s">
        <v>61</v>
      </c>
      <c r="F5280" s="88">
        <v>0</v>
      </c>
      <c r="G5280" s="78">
        <f>MAX(H5280,I5280,J5280)</f>
        <v>1</v>
      </c>
      <c r="H5280" s="88"/>
      <c r="I5280" s="88"/>
      <c r="J5280" s="78">
        <f>MAX(K5280:Q5280)</f>
        <v>1</v>
      </c>
      <c r="K5280" s="88">
        <v>1</v>
      </c>
      <c r="L5280" s="88"/>
      <c r="M5280" s="88"/>
      <c r="N5280" s="88"/>
      <c r="O5280" s="88"/>
      <c r="P5280" s="88"/>
      <c r="Q5280" s="88"/>
      <c r="R5280" s="78">
        <f>MAX(S5280:W5280)</f>
        <v>0</v>
      </c>
      <c r="S5280" s="88"/>
      <c r="T5280" s="88"/>
      <c r="U5280" s="88"/>
      <c r="V5280" s="88"/>
      <c r="W5280" s="88"/>
    </row>
    <row r="5281" spans="2:23" s="0" customFormat="0" ht="15">
      <c r="B5281" s="87" t="s">
        <v>1</v>
      </c>
      <c r="C5281" s="88" t="s">
        <v>5259</v>
      </c>
      <c r="D5281" s="88" t="s">
        <v>5125</v>
      </c>
      <c r="E5281" s="88" t="s">
        <v>61</v>
      </c>
      <c r="F5281" s="88">
        <v>0</v>
      </c>
      <c r="G5281" s="78">
        <f>MAX(H5281,I5281,J5281)</f>
        <v>0</v>
      </c>
      <c r="H5281" s="88"/>
      <c r="I5281" s="88"/>
      <c r="J5281" s="78">
        <f>MAX(K5281:Q5281)</f>
        <v>0</v>
      </c>
      <c r="K5281" s="88"/>
      <c r="L5281" s="88"/>
      <c r="M5281" s="88"/>
      <c r="N5281" s="88"/>
      <c r="O5281" s="88"/>
      <c r="P5281" s="88"/>
      <c r="Q5281" s="88"/>
      <c r="R5281" s="78">
        <f>MAX(S5281:W5281)</f>
        <v>1</v>
      </c>
      <c r="S5281" s="88"/>
      <c r="T5281" s="88"/>
      <c r="U5281" s="88">
        <v>1</v>
      </c>
      <c r="V5281" s="88"/>
      <c r="W5281" s="88"/>
    </row>
    <row r="5282" spans="2:23" s="0" customFormat="0" ht="15">
      <c r="B5282" s="87" t="s">
        <v>1</v>
      </c>
      <c r="C5282" s="88" t="s">
        <v>5259</v>
      </c>
      <c r="D5282" s="88">
        <v>15798271</v>
      </c>
      <c r="E5282" s="88" t="s">
        <v>61</v>
      </c>
      <c r="F5282" s="88">
        <v>0</v>
      </c>
      <c r="G5282" s="78">
        <f>MAX(H5282,I5282,J5282)</f>
        <v>1</v>
      </c>
      <c r="H5282" s="88"/>
      <c r="I5282" s="88"/>
      <c r="J5282" s="78">
        <f>MAX(K5282:Q5282)</f>
        <v>1</v>
      </c>
      <c r="K5282" s="88">
        <v>1</v>
      </c>
      <c r="L5282" s="88"/>
      <c r="M5282" s="88"/>
      <c r="N5282" s="88"/>
      <c r="O5282" s="88"/>
      <c r="P5282" s="88"/>
      <c r="Q5282" s="88"/>
      <c r="R5282" s="78">
        <f>MAX(S5282:W5282)</f>
        <v>0</v>
      </c>
      <c r="S5282" s="88"/>
      <c r="T5282" s="88"/>
      <c r="U5282" s="88"/>
      <c r="V5282" s="88"/>
      <c r="W5282" s="88"/>
    </row>
    <row r="5283" spans="2:23" s="0" customFormat="0" ht="15">
      <c r="B5283" s="87" t="s">
        <v>1</v>
      </c>
      <c r="C5283" s="88" t="s">
        <v>5259</v>
      </c>
      <c r="D5283" s="88">
        <v>22554344</v>
      </c>
      <c r="E5283" s="88" t="s">
        <v>61</v>
      </c>
      <c r="F5283" s="88">
        <v>0</v>
      </c>
      <c r="G5283" s="78">
        <f>MAX(H5283,I5283,J5283)</f>
        <v>0</v>
      </c>
      <c r="H5283" s="88"/>
      <c r="I5283" s="88"/>
      <c r="J5283" s="78">
        <f>MAX(K5283:Q5283)</f>
        <v>0</v>
      </c>
      <c r="K5283" s="88"/>
      <c r="L5283" s="88"/>
      <c r="M5283" s="88"/>
      <c r="N5283" s="88"/>
      <c r="O5283" s="88"/>
      <c r="P5283" s="88"/>
      <c r="Q5283" s="88"/>
      <c r="R5283" s="78">
        <f>MAX(S5283:W5283)</f>
        <v>1</v>
      </c>
      <c r="S5283" s="88"/>
      <c r="T5283" s="88"/>
      <c r="U5283" s="88">
        <v>1</v>
      </c>
      <c r="V5283" s="88"/>
      <c r="W5283" s="88"/>
    </row>
    <row r="5284" spans="2:23" s="0" customFormat="0" ht="15">
      <c r="B5284" s="87" t="s">
        <v>1</v>
      </c>
      <c r="C5284" s="88" t="s">
        <v>5259</v>
      </c>
      <c r="D5284" s="88">
        <v>11583646</v>
      </c>
      <c r="E5284" s="88" t="s">
        <v>61</v>
      </c>
      <c r="F5284" s="88">
        <v>0</v>
      </c>
      <c r="G5284" s="78">
        <f>MAX(H5284,I5284,J5284)</f>
        <v>1</v>
      </c>
      <c r="H5284" s="88"/>
      <c r="I5284" s="88"/>
      <c r="J5284" s="78">
        <f>MAX(K5284:Q5284)</f>
        <v>1</v>
      </c>
      <c r="K5284" s="88">
        <v>1</v>
      </c>
      <c r="L5284" s="88"/>
      <c r="M5284" s="88"/>
      <c r="N5284" s="88"/>
      <c r="O5284" s="88"/>
      <c r="P5284" s="88"/>
      <c r="Q5284" s="88"/>
      <c r="R5284" s="78">
        <f>MAX(S5284:W5284)</f>
        <v>0</v>
      </c>
      <c r="S5284" s="88"/>
      <c r="T5284" s="88"/>
      <c r="U5284" s="88"/>
      <c r="V5284" s="88"/>
      <c r="W5284" s="88"/>
    </row>
    <row r="5285" spans="2:23" s="0" customFormat="0" ht="15">
      <c r="B5285" s="87" t="s">
        <v>1</v>
      </c>
      <c r="C5285" s="88" t="s">
        <v>5259</v>
      </c>
      <c r="D5285" s="88" t="s">
        <v>2805</v>
      </c>
      <c r="E5285" s="88" t="s">
        <v>61</v>
      </c>
      <c r="F5285" s="88">
        <v>0</v>
      </c>
      <c r="G5285" s="78">
        <f>MAX(H5285,I5285,J5285)</f>
        <v>1</v>
      </c>
      <c r="H5285" s="88"/>
      <c r="I5285" s="88"/>
      <c r="J5285" s="78">
        <f>MAX(K5285:Q5285)</f>
        <v>1</v>
      </c>
      <c r="K5285" s="88">
        <v>1</v>
      </c>
      <c r="L5285" s="88"/>
      <c r="M5285" s="88"/>
      <c r="N5285" s="88"/>
      <c r="O5285" s="88"/>
      <c r="P5285" s="88"/>
      <c r="Q5285" s="88"/>
      <c r="R5285" s="78">
        <f>MAX(S5285:W5285)</f>
        <v>0</v>
      </c>
      <c r="S5285" s="88"/>
      <c r="T5285" s="88"/>
      <c r="U5285" s="88"/>
      <c r="V5285" s="88"/>
      <c r="W5285" s="88"/>
    </row>
    <row r="5286" spans="2:23" s="0" customFormat="0" ht="15">
      <c r="B5286" s="87" t="s">
        <v>1</v>
      </c>
      <c r="C5286" s="88" t="s">
        <v>5259</v>
      </c>
      <c r="D5286" s="88">
        <v>23170668</v>
      </c>
      <c r="E5286" s="88" t="s">
        <v>61</v>
      </c>
      <c r="F5286" s="88">
        <v>0</v>
      </c>
      <c r="G5286" s="78">
        <f>MAX(H5286,I5286,J5286)</f>
        <v>1</v>
      </c>
      <c r="H5286" s="88"/>
      <c r="I5286" s="88"/>
      <c r="J5286" s="78">
        <f>MAX(K5286:Q5286)</f>
        <v>1</v>
      </c>
      <c r="K5286" s="88">
        <v>1</v>
      </c>
      <c r="L5286" s="88"/>
      <c r="M5286" s="88"/>
      <c r="N5286" s="88"/>
      <c r="O5286" s="88"/>
      <c r="P5286" s="88"/>
      <c r="Q5286" s="88"/>
      <c r="R5286" s="78">
        <f>MAX(S5286:W5286)</f>
        <v>0</v>
      </c>
      <c r="S5286" s="88"/>
      <c r="T5286" s="88"/>
      <c r="U5286" s="88"/>
      <c r="V5286" s="88"/>
      <c r="W5286" s="88"/>
    </row>
    <row r="5287" spans="2:23" s="0" customFormat="0" ht="15">
      <c r="B5287" s="87" t="s">
        <v>1</v>
      </c>
      <c r="C5287" s="88" t="s">
        <v>5259</v>
      </c>
      <c r="D5287" s="88">
        <v>2264351</v>
      </c>
      <c r="E5287" s="88" t="s">
        <v>61</v>
      </c>
      <c r="F5287" s="88">
        <v>0</v>
      </c>
      <c r="G5287" s="78">
        <f>MAX(H5287,I5287,J5287)</f>
        <v>0</v>
      </c>
      <c r="H5287" s="88"/>
      <c r="I5287" s="88"/>
      <c r="J5287" s="78">
        <f>MAX(K5287:Q5287)</f>
        <v>0</v>
      </c>
      <c r="K5287" s="88"/>
      <c r="L5287" s="88"/>
      <c r="M5287" s="88"/>
      <c r="N5287" s="88"/>
      <c r="O5287" s="88"/>
      <c r="P5287" s="88"/>
      <c r="Q5287" s="88"/>
      <c r="R5287" s="78">
        <f>MAX(S5287:W5287)</f>
        <v>1</v>
      </c>
      <c r="S5287" s="88"/>
      <c r="T5287" s="88"/>
      <c r="U5287" s="88">
        <v>1</v>
      </c>
      <c r="V5287" s="88"/>
      <c r="W5287" s="88"/>
    </row>
    <row r="5288" spans="2:23" s="0" customFormat="0" ht="15">
      <c r="B5288" s="87" t="s">
        <v>1</v>
      </c>
      <c r="C5288" s="88" t="s">
        <v>5259</v>
      </c>
      <c r="D5288" s="88">
        <v>17614602</v>
      </c>
      <c r="E5288" s="88" t="s">
        <v>61</v>
      </c>
      <c r="F5288" s="88">
        <v>0</v>
      </c>
      <c r="G5288" s="78">
        <f>MAX(H5288,I5288,J5288)</f>
        <v>1</v>
      </c>
      <c r="H5288" s="88"/>
      <c r="I5288" s="88"/>
      <c r="J5288" s="78">
        <f>MAX(K5288:Q5288)</f>
        <v>1</v>
      </c>
      <c r="K5288" s="88">
        <v>1</v>
      </c>
      <c r="L5288" s="88"/>
      <c r="M5288" s="88"/>
      <c r="N5288" s="88"/>
      <c r="O5288" s="88"/>
      <c r="P5288" s="88"/>
      <c r="Q5288" s="88"/>
      <c r="R5288" s="78">
        <f>MAX(S5288:W5288)</f>
        <v>0</v>
      </c>
      <c r="S5288" s="88"/>
      <c r="T5288" s="88"/>
      <c r="U5288" s="88"/>
      <c r="V5288" s="88"/>
      <c r="W5288" s="88"/>
    </row>
    <row r="5289" spans="2:23" s="0" customFormat="0" ht="15">
      <c r="B5289" s="87" t="s">
        <v>1</v>
      </c>
      <c r="C5289" s="88" t="s">
        <v>5259</v>
      </c>
      <c r="D5289" s="88" t="s">
        <v>2764</v>
      </c>
      <c r="E5289" s="88" t="s">
        <v>61</v>
      </c>
      <c r="F5289" s="88">
        <v>0</v>
      </c>
      <c r="G5289" s="78">
        <f>MAX(H5289,I5289,J5289)</f>
        <v>1</v>
      </c>
      <c r="H5289" s="88"/>
      <c r="I5289" s="88"/>
      <c r="J5289" s="78">
        <f>MAX(K5289:Q5289)</f>
        <v>1</v>
      </c>
      <c r="K5289" s="88">
        <v>1</v>
      </c>
      <c r="L5289" s="88"/>
      <c r="M5289" s="88"/>
      <c r="N5289" s="88"/>
      <c r="O5289" s="88"/>
      <c r="P5289" s="88"/>
      <c r="Q5289" s="88"/>
      <c r="R5289" s="78">
        <f>MAX(S5289:W5289)</f>
        <v>0</v>
      </c>
      <c r="S5289" s="88"/>
      <c r="T5289" s="88"/>
      <c r="U5289" s="88"/>
      <c r="V5289" s="88"/>
      <c r="W5289" s="88"/>
    </row>
    <row r="5290" spans="2:23" s="0" customFormat="0" ht="15">
      <c r="B5290" s="87" t="s">
        <v>1</v>
      </c>
      <c r="C5290" s="88" t="s">
        <v>5259</v>
      </c>
      <c r="D5290" s="88">
        <v>22106685</v>
      </c>
      <c r="E5290" s="88" t="s">
        <v>61</v>
      </c>
      <c r="F5290" s="88">
        <v>0</v>
      </c>
      <c r="G5290" s="78">
        <f>MAX(H5290,I5290,J5290)</f>
        <v>1</v>
      </c>
      <c r="H5290" s="88"/>
      <c r="I5290" s="88"/>
      <c r="J5290" s="78">
        <f>MAX(K5290:Q5290)</f>
        <v>1</v>
      </c>
      <c r="K5290" s="88">
        <v>1</v>
      </c>
      <c r="L5290" s="88"/>
      <c r="M5290" s="88"/>
      <c r="N5290" s="88"/>
      <c r="O5290" s="88"/>
      <c r="P5290" s="88"/>
      <c r="Q5290" s="88"/>
      <c r="R5290" s="78">
        <f>MAX(S5290:W5290)</f>
        <v>0</v>
      </c>
      <c r="S5290" s="88"/>
      <c r="T5290" s="88"/>
      <c r="U5290" s="88"/>
      <c r="V5290" s="88"/>
      <c r="W5290" s="88"/>
    </row>
    <row r="5291" spans="2:23" s="0" customFormat="0" ht="15">
      <c r="B5291" s="87" t="s">
        <v>1</v>
      </c>
      <c r="C5291" s="88" t="s">
        <v>5259</v>
      </c>
      <c r="D5291" s="88">
        <v>9818321</v>
      </c>
      <c r="E5291" s="88" t="s">
        <v>61</v>
      </c>
      <c r="F5291" s="88">
        <v>0</v>
      </c>
      <c r="G5291" s="78">
        <f>MAX(H5291,I5291,J5291)</f>
        <v>1</v>
      </c>
      <c r="H5291" s="88"/>
      <c r="I5291" s="88"/>
      <c r="J5291" s="78">
        <f>MAX(K5291:Q5291)</f>
        <v>1</v>
      </c>
      <c r="K5291" s="88">
        <v>1</v>
      </c>
      <c r="L5291" s="88"/>
      <c r="M5291" s="88"/>
      <c r="N5291" s="88"/>
      <c r="O5291" s="88"/>
      <c r="P5291" s="88"/>
      <c r="Q5291" s="88"/>
      <c r="R5291" s="78">
        <f>MAX(S5291:W5291)</f>
        <v>0</v>
      </c>
      <c r="S5291" s="88"/>
      <c r="T5291" s="88"/>
      <c r="U5291" s="88"/>
      <c r="V5291" s="88"/>
      <c r="W5291" s="88"/>
    </row>
    <row r="5292" spans="2:23" s="0" customFormat="0" ht="15">
      <c r="B5292" s="87" t="s">
        <v>1</v>
      </c>
      <c r="C5292" s="88" t="s">
        <v>5259</v>
      </c>
      <c r="D5292" s="88">
        <v>13656300</v>
      </c>
      <c r="E5292" s="88" t="s">
        <v>61</v>
      </c>
      <c r="F5292" s="88">
        <v>0</v>
      </c>
      <c r="G5292" s="78">
        <f>MAX(H5292,I5292,J5292)</f>
        <v>1</v>
      </c>
      <c r="H5292" s="88"/>
      <c r="I5292" s="88"/>
      <c r="J5292" s="78">
        <f>MAX(K5292:Q5292)</f>
        <v>1</v>
      </c>
      <c r="K5292" s="88">
        <v>1</v>
      </c>
      <c r="L5292" s="88"/>
      <c r="M5292" s="88"/>
      <c r="N5292" s="88"/>
      <c r="O5292" s="88"/>
      <c r="P5292" s="88"/>
      <c r="Q5292" s="88"/>
      <c r="R5292" s="78">
        <f>MAX(S5292:W5292)</f>
        <v>0</v>
      </c>
      <c r="S5292" s="88"/>
      <c r="T5292" s="88"/>
      <c r="U5292" s="88"/>
      <c r="V5292" s="88"/>
      <c r="W5292" s="88"/>
    </row>
    <row r="5293" spans="2:23" s="0" customFormat="0" ht="15">
      <c r="B5293" s="87" t="s">
        <v>1</v>
      </c>
      <c r="C5293" s="88" t="s">
        <v>5259</v>
      </c>
      <c r="D5293" s="88">
        <v>11372165</v>
      </c>
      <c r="E5293" s="88" t="s">
        <v>61</v>
      </c>
      <c r="F5293" s="88">
        <v>0</v>
      </c>
      <c r="G5293" s="78">
        <f>MAX(H5293,I5293,J5293)</f>
        <v>1</v>
      </c>
      <c r="H5293" s="88"/>
      <c r="I5293" s="88"/>
      <c r="J5293" s="78">
        <f>MAX(K5293:Q5293)</f>
        <v>1</v>
      </c>
      <c r="K5293" s="88">
        <v>1</v>
      </c>
      <c r="L5293" s="88"/>
      <c r="M5293" s="88"/>
      <c r="N5293" s="88"/>
      <c r="O5293" s="88"/>
      <c r="P5293" s="88"/>
      <c r="Q5293" s="88"/>
      <c r="R5293" s="78">
        <f>MAX(S5293:W5293)</f>
        <v>0</v>
      </c>
      <c r="S5293" s="88"/>
      <c r="T5293" s="88"/>
      <c r="U5293" s="88"/>
      <c r="V5293" s="88"/>
      <c r="W5293" s="88"/>
    </row>
    <row r="5294" spans="2:23" s="0" customFormat="0" ht="15">
      <c r="B5294" s="87" t="s">
        <v>1</v>
      </c>
      <c r="C5294" s="88" t="s">
        <v>5259</v>
      </c>
      <c r="D5294" s="88">
        <v>16974055</v>
      </c>
      <c r="E5294" s="88" t="s">
        <v>61</v>
      </c>
      <c r="F5294" s="88">
        <v>0</v>
      </c>
      <c r="G5294" s="78">
        <f>MAX(H5294,I5294,J5294)</f>
        <v>0</v>
      </c>
      <c r="H5294" s="88"/>
      <c r="I5294" s="88"/>
      <c r="J5294" s="78">
        <f>MAX(K5294:Q5294)</f>
        <v>0</v>
      </c>
      <c r="K5294" s="88"/>
      <c r="L5294" s="88"/>
      <c r="M5294" s="88"/>
      <c r="N5294" s="88"/>
      <c r="O5294" s="88"/>
      <c r="P5294" s="88"/>
      <c r="Q5294" s="88"/>
      <c r="R5294" s="78">
        <f>MAX(S5294:W5294)</f>
        <v>1</v>
      </c>
      <c r="S5294" s="88"/>
      <c r="T5294" s="88"/>
      <c r="U5294" s="88">
        <v>1</v>
      </c>
      <c r="V5294" s="88"/>
      <c r="W5294" s="88"/>
    </row>
    <row r="5295" spans="2:23" s="0" customFormat="0" ht="15">
      <c r="B5295" s="87" t="s">
        <v>1</v>
      </c>
      <c r="C5295" s="88" t="s">
        <v>5259</v>
      </c>
      <c r="D5295" s="88" t="s">
        <v>1603</v>
      </c>
      <c r="E5295" s="88" t="s">
        <v>61</v>
      </c>
      <c r="F5295" s="88">
        <v>0</v>
      </c>
      <c r="G5295" s="78">
        <f>MAX(H5295,I5295,J5295)</f>
        <v>1</v>
      </c>
      <c r="H5295" s="88"/>
      <c r="I5295" s="88"/>
      <c r="J5295" s="78">
        <f>MAX(K5295:Q5295)</f>
        <v>1</v>
      </c>
      <c r="K5295" s="88">
        <v>1</v>
      </c>
      <c r="L5295" s="88"/>
      <c r="M5295" s="88"/>
      <c r="N5295" s="88"/>
      <c r="O5295" s="88"/>
      <c r="P5295" s="88"/>
      <c r="Q5295" s="88"/>
      <c r="R5295" s="78">
        <f>MAX(S5295:W5295)</f>
        <v>0</v>
      </c>
      <c r="S5295" s="88"/>
      <c r="T5295" s="88"/>
      <c r="U5295" s="88"/>
      <c r="V5295" s="88"/>
      <c r="W5295" s="88"/>
    </row>
    <row r="5296" spans="2:23" s="0" customFormat="0" ht="15">
      <c r="B5296" s="87" t="s">
        <v>1</v>
      </c>
      <c r="C5296" s="88" t="s">
        <v>5259</v>
      </c>
      <c r="D5296" s="88" t="s">
        <v>1618</v>
      </c>
      <c r="E5296" s="88" t="s">
        <v>61</v>
      </c>
      <c r="F5296" s="88">
        <v>0</v>
      </c>
      <c r="G5296" s="78">
        <f>MAX(H5296,I5296,J5296)</f>
        <v>1</v>
      </c>
      <c r="H5296" s="88"/>
      <c r="I5296" s="88"/>
      <c r="J5296" s="78">
        <f>MAX(K5296:Q5296)</f>
        <v>1</v>
      </c>
      <c r="K5296" s="88">
        <v>1</v>
      </c>
      <c r="L5296" s="88"/>
      <c r="M5296" s="88"/>
      <c r="N5296" s="88"/>
      <c r="O5296" s="88"/>
      <c r="P5296" s="88"/>
      <c r="Q5296" s="88"/>
      <c r="R5296" s="78">
        <f>MAX(S5296:W5296)</f>
        <v>0</v>
      </c>
      <c r="S5296" s="88"/>
      <c r="T5296" s="88"/>
      <c r="U5296" s="88"/>
      <c r="V5296" s="88"/>
      <c r="W5296" s="88"/>
    </row>
    <row r="5297" spans="2:23" s="0" customFormat="0" ht="15">
      <c r="B5297" s="87" t="s">
        <v>1</v>
      </c>
      <c r="C5297" s="88" t="s">
        <v>5259</v>
      </c>
      <c r="D5297" s="88" t="s">
        <v>4958</v>
      </c>
      <c r="E5297" s="88" t="s">
        <v>61</v>
      </c>
      <c r="F5297" s="88">
        <v>0</v>
      </c>
      <c r="G5297" s="78">
        <f>MAX(H5297,I5297,J5297)</f>
        <v>0</v>
      </c>
      <c r="H5297" s="88"/>
      <c r="I5297" s="88"/>
      <c r="J5297" s="78">
        <f>MAX(K5297:Q5297)</f>
        <v>0</v>
      </c>
      <c r="K5297" s="88"/>
      <c r="L5297" s="88"/>
      <c r="M5297" s="88"/>
      <c r="N5297" s="88"/>
      <c r="O5297" s="88"/>
      <c r="P5297" s="88"/>
      <c r="Q5297" s="88"/>
      <c r="R5297" s="78">
        <f>MAX(S5297:W5297)</f>
        <v>1</v>
      </c>
      <c r="S5297" s="88"/>
      <c r="T5297" s="88"/>
      <c r="U5297" s="88">
        <v>1</v>
      </c>
      <c r="V5297" s="88"/>
      <c r="W5297" s="88"/>
    </row>
    <row r="5298" spans="2:23" s="0" customFormat="0" ht="15">
      <c r="B5298" s="87" t="s">
        <v>1</v>
      </c>
      <c r="C5298" s="88" t="s">
        <v>5259</v>
      </c>
      <c r="D5298" s="88">
        <v>22520327</v>
      </c>
      <c r="E5298" s="88" t="s">
        <v>61</v>
      </c>
      <c r="F5298" s="88">
        <v>0</v>
      </c>
      <c r="G5298" s="78">
        <f>MAX(H5298,I5298,J5298)</f>
        <v>1</v>
      </c>
      <c r="H5298" s="88"/>
      <c r="I5298" s="88"/>
      <c r="J5298" s="78">
        <f>MAX(K5298:Q5298)</f>
        <v>1</v>
      </c>
      <c r="K5298" s="88">
        <v>1</v>
      </c>
      <c r="L5298" s="88"/>
      <c r="M5298" s="88"/>
      <c r="N5298" s="88"/>
      <c r="O5298" s="88"/>
      <c r="P5298" s="88"/>
      <c r="Q5298" s="88"/>
      <c r="R5298" s="78">
        <f>MAX(S5298:W5298)</f>
        <v>0</v>
      </c>
      <c r="S5298" s="88"/>
      <c r="T5298" s="88"/>
      <c r="U5298" s="88"/>
      <c r="V5298" s="88"/>
      <c r="W5298" s="88"/>
    </row>
    <row r="5299" spans="2:23" s="0" customFormat="0" ht="15">
      <c r="B5299" s="87" t="s">
        <v>1</v>
      </c>
      <c r="C5299" s="88" t="s">
        <v>5259</v>
      </c>
      <c r="D5299" s="88">
        <v>23482942</v>
      </c>
      <c r="E5299" s="88" t="s">
        <v>61</v>
      </c>
      <c r="F5299" s="88">
        <v>0</v>
      </c>
      <c r="G5299" s="78">
        <f>MAX(H5299,I5299,J5299)</f>
        <v>1</v>
      </c>
      <c r="H5299" s="88"/>
      <c r="I5299" s="88"/>
      <c r="J5299" s="78">
        <f>MAX(K5299:Q5299)</f>
        <v>1</v>
      </c>
      <c r="K5299" s="88">
        <v>1</v>
      </c>
      <c r="L5299" s="88"/>
      <c r="M5299" s="88"/>
      <c r="N5299" s="88"/>
      <c r="O5299" s="88"/>
      <c r="P5299" s="88"/>
      <c r="Q5299" s="88"/>
      <c r="R5299" s="78">
        <f>MAX(S5299:W5299)</f>
        <v>0</v>
      </c>
      <c r="S5299" s="88"/>
      <c r="T5299" s="88"/>
      <c r="U5299" s="88"/>
      <c r="V5299" s="88"/>
      <c r="W5299" s="88"/>
    </row>
    <row r="5300" spans="2:23" s="0" customFormat="0" ht="15">
      <c r="B5300" s="87" t="s">
        <v>1</v>
      </c>
      <c r="C5300" s="88" t="s">
        <v>5259</v>
      </c>
      <c r="D5300" s="88">
        <v>22413270</v>
      </c>
      <c r="E5300" s="88" t="s">
        <v>61</v>
      </c>
      <c r="F5300" s="88">
        <v>0</v>
      </c>
      <c r="G5300" s="78">
        <f>MAX(H5300,I5300,J5300)</f>
        <v>1</v>
      </c>
      <c r="H5300" s="88"/>
      <c r="I5300" s="88"/>
      <c r="J5300" s="78">
        <f>MAX(K5300:Q5300)</f>
        <v>1</v>
      </c>
      <c r="K5300" s="88"/>
      <c r="L5300" s="88"/>
      <c r="M5300" s="88">
        <v>1</v>
      </c>
      <c r="N5300" s="88"/>
      <c r="O5300" s="88"/>
      <c r="P5300" s="88"/>
      <c r="Q5300" s="88"/>
      <c r="R5300" s="78">
        <f>MAX(S5300:W5300)</f>
        <v>0</v>
      </c>
      <c r="S5300" s="88"/>
      <c r="T5300" s="88"/>
      <c r="U5300" s="88"/>
      <c r="V5300" s="88"/>
      <c r="W5300" s="88"/>
    </row>
    <row r="5301" spans="2:23" s="0" customFormat="0" ht="15">
      <c r="B5301" s="87" t="s">
        <v>1</v>
      </c>
      <c r="C5301" s="88" t="s">
        <v>5259</v>
      </c>
      <c r="D5301" s="88" t="s">
        <v>5128</v>
      </c>
      <c r="E5301" s="88" t="s">
        <v>61</v>
      </c>
      <c r="F5301" s="88">
        <v>0</v>
      </c>
      <c r="G5301" s="78">
        <f>MAX(H5301,I5301,J5301)</f>
        <v>0</v>
      </c>
      <c r="H5301" s="88"/>
      <c r="I5301" s="88"/>
      <c r="J5301" s="78">
        <f>MAX(K5301:Q5301)</f>
        <v>0</v>
      </c>
      <c r="K5301" s="88"/>
      <c r="L5301" s="88"/>
      <c r="M5301" s="88"/>
      <c r="N5301" s="88"/>
      <c r="O5301" s="88"/>
      <c r="P5301" s="88"/>
      <c r="Q5301" s="88"/>
      <c r="R5301" s="78">
        <f>MAX(S5301:W5301)</f>
        <v>1</v>
      </c>
      <c r="S5301" s="88"/>
      <c r="T5301" s="88"/>
      <c r="U5301" s="88">
        <v>1</v>
      </c>
      <c r="V5301" s="88"/>
      <c r="W5301" s="88"/>
    </row>
    <row r="5302" spans="2:23" s="0" customFormat="0" ht="15">
      <c r="B5302" s="87" t="s">
        <v>1</v>
      </c>
      <c r="C5302" s="88" t="s">
        <v>5259</v>
      </c>
      <c r="D5302" s="88">
        <v>10849654</v>
      </c>
      <c r="E5302" s="88" t="s">
        <v>61</v>
      </c>
      <c r="F5302" s="88">
        <v>0</v>
      </c>
      <c r="G5302" s="78">
        <f>MAX(H5302,I5302,J5302)</f>
        <v>1</v>
      </c>
      <c r="H5302" s="88"/>
      <c r="I5302" s="88"/>
      <c r="J5302" s="78">
        <f>MAX(K5302:Q5302)</f>
        <v>1</v>
      </c>
      <c r="K5302" s="88">
        <v>1</v>
      </c>
      <c r="L5302" s="88"/>
      <c r="M5302" s="88"/>
      <c r="N5302" s="88"/>
      <c r="O5302" s="88"/>
      <c r="P5302" s="88"/>
      <c r="Q5302" s="88"/>
      <c r="R5302" s="78">
        <f>MAX(S5302:W5302)</f>
        <v>0</v>
      </c>
      <c r="S5302" s="88"/>
      <c r="T5302" s="88"/>
      <c r="U5302" s="88"/>
      <c r="V5302" s="88"/>
      <c r="W5302" s="88"/>
    </row>
    <row r="5303" spans="2:23" s="0" customFormat="0" ht="15">
      <c r="B5303" s="87" t="s">
        <v>1</v>
      </c>
      <c r="C5303" s="88" t="s">
        <v>5259</v>
      </c>
      <c r="D5303" s="88">
        <v>22227999</v>
      </c>
      <c r="E5303" s="88" t="s">
        <v>61</v>
      </c>
      <c r="F5303" s="88">
        <v>0</v>
      </c>
      <c r="G5303" s="78">
        <f>MAX(H5303,I5303,J5303)</f>
        <v>1</v>
      </c>
      <c r="H5303" s="88"/>
      <c r="I5303" s="88"/>
      <c r="J5303" s="78">
        <f>MAX(K5303:Q5303)</f>
        <v>1</v>
      </c>
      <c r="K5303" s="88">
        <v>1</v>
      </c>
      <c r="L5303" s="88"/>
      <c r="M5303" s="88"/>
      <c r="N5303" s="88"/>
      <c r="O5303" s="88"/>
      <c r="P5303" s="88"/>
      <c r="Q5303" s="88"/>
      <c r="R5303" s="78">
        <f>MAX(S5303:W5303)</f>
        <v>0</v>
      </c>
      <c r="S5303" s="88"/>
      <c r="T5303" s="88"/>
      <c r="U5303" s="88"/>
      <c r="V5303" s="88"/>
      <c r="W5303" s="88"/>
    </row>
    <row r="5304" spans="2:23" s="0" customFormat="0" ht="15">
      <c r="B5304" s="87" t="s">
        <v>1</v>
      </c>
      <c r="C5304" s="88" t="s">
        <v>5259</v>
      </c>
      <c r="D5304" s="88">
        <v>22554106</v>
      </c>
      <c r="E5304" s="88" t="s">
        <v>61</v>
      </c>
      <c r="F5304" s="88">
        <v>0</v>
      </c>
      <c r="G5304" s="78">
        <f>MAX(H5304,I5304,J5304)</f>
        <v>0</v>
      </c>
      <c r="H5304" s="88"/>
      <c r="I5304" s="88"/>
      <c r="J5304" s="78">
        <f>MAX(K5304:Q5304)</f>
        <v>0</v>
      </c>
      <c r="K5304" s="88"/>
      <c r="L5304" s="88"/>
      <c r="M5304" s="88"/>
      <c r="N5304" s="88"/>
      <c r="O5304" s="88"/>
      <c r="P5304" s="88"/>
      <c r="Q5304" s="88"/>
      <c r="R5304" s="78">
        <f>MAX(S5304:W5304)</f>
        <v>1</v>
      </c>
      <c r="S5304" s="88"/>
      <c r="T5304" s="88"/>
      <c r="U5304" s="88">
        <v>1</v>
      </c>
      <c r="V5304" s="88"/>
      <c r="W5304" s="88"/>
    </row>
    <row r="5305" spans="2:23" s="0" customFormat="0" ht="15">
      <c r="B5305" s="87" t="s">
        <v>1</v>
      </c>
      <c r="C5305" s="88" t="s">
        <v>5259</v>
      </c>
      <c r="D5305" s="88" t="s">
        <v>5058</v>
      </c>
      <c r="E5305" s="88" t="s">
        <v>61</v>
      </c>
      <c r="F5305" s="88">
        <v>0</v>
      </c>
      <c r="G5305" s="78">
        <f>MAX(H5305,I5305,J5305)</f>
        <v>0</v>
      </c>
      <c r="H5305" s="88"/>
      <c r="I5305" s="88"/>
      <c r="J5305" s="78">
        <f>MAX(K5305:Q5305)</f>
        <v>0</v>
      </c>
      <c r="K5305" s="88"/>
      <c r="L5305" s="88"/>
      <c r="M5305" s="88"/>
      <c r="N5305" s="88"/>
      <c r="O5305" s="88"/>
      <c r="P5305" s="88"/>
      <c r="Q5305" s="88"/>
      <c r="R5305" s="78">
        <f>MAX(S5305:W5305)</f>
        <v>1</v>
      </c>
      <c r="S5305" s="88"/>
      <c r="T5305" s="88"/>
      <c r="U5305" s="88">
        <v>1</v>
      </c>
      <c r="V5305" s="88"/>
      <c r="W5305" s="88"/>
    </row>
    <row r="5306" spans="2:23" s="0" customFormat="0" ht="15">
      <c r="B5306" s="87" t="s">
        <v>1</v>
      </c>
      <c r="C5306" s="88" t="s">
        <v>5259</v>
      </c>
      <c r="D5306" s="88" t="s">
        <v>5130</v>
      </c>
      <c r="E5306" s="88" t="s">
        <v>61</v>
      </c>
      <c r="F5306" s="88">
        <v>0</v>
      </c>
      <c r="G5306" s="78">
        <f>MAX(H5306,I5306,J5306)</f>
        <v>0</v>
      </c>
      <c r="H5306" s="88"/>
      <c r="I5306" s="88"/>
      <c r="J5306" s="78">
        <f>MAX(K5306:Q5306)</f>
        <v>0</v>
      </c>
      <c r="K5306" s="88"/>
      <c r="L5306" s="88"/>
      <c r="M5306" s="88"/>
      <c r="N5306" s="88"/>
      <c r="O5306" s="88"/>
      <c r="P5306" s="88"/>
      <c r="Q5306" s="88"/>
      <c r="R5306" s="78">
        <f>MAX(S5306:W5306)</f>
        <v>1</v>
      </c>
      <c r="S5306" s="88"/>
      <c r="T5306" s="88"/>
      <c r="U5306" s="88">
        <v>1</v>
      </c>
      <c r="V5306" s="88"/>
      <c r="W5306" s="88"/>
    </row>
    <row r="5307" spans="2:23" s="0" customFormat="0" ht="15">
      <c r="B5307" s="87" t="s">
        <v>1</v>
      </c>
      <c r="C5307" s="88" t="s">
        <v>5259</v>
      </c>
      <c r="D5307" s="88">
        <v>21874281</v>
      </c>
      <c r="E5307" s="88" t="s">
        <v>61</v>
      </c>
      <c r="F5307" s="88">
        <v>0</v>
      </c>
      <c r="G5307" s="78">
        <f>MAX(H5307,I5307,J5307)</f>
        <v>1</v>
      </c>
      <c r="H5307" s="88"/>
      <c r="I5307" s="88"/>
      <c r="J5307" s="78">
        <f>MAX(K5307:Q5307)</f>
        <v>1</v>
      </c>
      <c r="K5307" s="88">
        <v>1</v>
      </c>
      <c r="L5307" s="88"/>
      <c r="M5307" s="88"/>
      <c r="N5307" s="88"/>
      <c r="O5307" s="88"/>
      <c r="P5307" s="88"/>
      <c r="Q5307" s="88"/>
      <c r="R5307" s="78">
        <f>MAX(S5307:W5307)</f>
        <v>0</v>
      </c>
      <c r="S5307" s="88"/>
      <c r="T5307" s="88"/>
      <c r="U5307" s="88"/>
      <c r="V5307" s="88"/>
      <c r="W5307" s="88"/>
    </row>
    <row r="5308" spans="2:23" s="0" customFormat="0" ht="15">
      <c r="B5308" s="87" t="s">
        <v>1</v>
      </c>
      <c r="C5308" s="88" t="s">
        <v>5259</v>
      </c>
      <c r="D5308" s="88">
        <v>22554226</v>
      </c>
      <c r="E5308" s="88" t="s">
        <v>61</v>
      </c>
      <c r="F5308" s="88">
        <v>0</v>
      </c>
      <c r="G5308" s="78">
        <f>MAX(H5308,I5308,J5308)</f>
        <v>0</v>
      </c>
      <c r="H5308" s="88"/>
      <c r="I5308" s="88"/>
      <c r="J5308" s="78">
        <f>MAX(K5308:Q5308)</f>
        <v>0</v>
      </c>
      <c r="K5308" s="88"/>
      <c r="L5308" s="88"/>
      <c r="M5308" s="88"/>
      <c r="N5308" s="88"/>
      <c r="O5308" s="88"/>
      <c r="P5308" s="88"/>
      <c r="Q5308" s="88"/>
      <c r="R5308" s="78">
        <f>MAX(S5308:W5308)</f>
        <v>1</v>
      </c>
      <c r="S5308" s="88"/>
      <c r="T5308" s="88"/>
      <c r="U5308" s="88">
        <v>1</v>
      </c>
      <c r="V5308" s="88"/>
      <c r="W5308" s="88"/>
    </row>
    <row r="5309" spans="2:23" s="0" customFormat="0" ht="15">
      <c r="B5309" s="87" t="s">
        <v>1</v>
      </c>
      <c r="C5309" s="88" t="s">
        <v>5259</v>
      </c>
      <c r="D5309" s="88">
        <v>15646987</v>
      </c>
      <c r="E5309" s="88" t="s">
        <v>61</v>
      </c>
      <c r="F5309" s="88">
        <v>0</v>
      </c>
      <c r="G5309" s="78">
        <f>MAX(H5309,I5309,J5309)</f>
        <v>1</v>
      </c>
      <c r="H5309" s="88"/>
      <c r="I5309" s="88"/>
      <c r="J5309" s="78">
        <f>MAX(K5309:Q5309)</f>
        <v>1</v>
      </c>
      <c r="K5309" s="88">
        <v>1</v>
      </c>
      <c r="L5309" s="88"/>
      <c r="M5309" s="88"/>
      <c r="N5309" s="88"/>
      <c r="O5309" s="88"/>
      <c r="P5309" s="88"/>
      <c r="Q5309" s="88"/>
      <c r="R5309" s="78">
        <f>MAX(S5309:W5309)</f>
        <v>0</v>
      </c>
      <c r="S5309" s="88"/>
      <c r="T5309" s="88"/>
      <c r="U5309" s="88"/>
      <c r="V5309" s="88"/>
      <c r="W5309" s="88"/>
    </row>
    <row r="5310" spans="2:23" s="0" customFormat="0" ht="15">
      <c r="B5310" s="87" t="s">
        <v>1</v>
      </c>
      <c r="C5310" s="88" t="s">
        <v>5259</v>
      </c>
      <c r="D5310" s="88">
        <v>4934205</v>
      </c>
      <c r="E5310" s="88" t="s">
        <v>61</v>
      </c>
      <c r="F5310" s="88">
        <v>0</v>
      </c>
      <c r="G5310" s="78">
        <f>MAX(H5310,I5310,J5310)</f>
        <v>1</v>
      </c>
      <c r="H5310" s="88"/>
      <c r="I5310" s="88"/>
      <c r="J5310" s="78">
        <f>MAX(K5310:Q5310)</f>
        <v>1</v>
      </c>
      <c r="K5310" s="88">
        <v>1</v>
      </c>
      <c r="L5310" s="88"/>
      <c r="M5310" s="88"/>
      <c r="N5310" s="88"/>
      <c r="O5310" s="88"/>
      <c r="P5310" s="88"/>
      <c r="Q5310" s="88"/>
      <c r="R5310" s="78">
        <f>MAX(S5310:W5310)</f>
        <v>0</v>
      </c>
      <c r="S5310" s="88"/>
      <c r="T5310" s="88"/>
      <c r="U5310" s="88"/>
      <c r="V5310" s="88"/>
      <c r="W5310" s="88"/>
    </row>
    <row r="5311" spans="2:23" s="0" customFormat="0" ht="15">
      <c r="B5311" s="87" t="s">
        <v>1</v>
      </c>
      <c r="C5311" s="88" t="s">
        <v>5259</v>
      </c>
      <c r="D5311" s="88">
        <v>21329474</v>
      </c>
      <c r="E5311" s="88" t="s">
        <v>61</v>
      </c>
      <c r="F5311" s="88">
        <v>0</v>
      </c>
      <c r="G5311" s="78">
        <f>MAX(H5311,I5311,J5311)</f>
        <v>1</v>
      </c>
      <c r="H5311" s="88"/>
      <c r="I5311" s="88"/>
      <c r="J5311" s="78">
        <f>MAX(K5311:Q5311)</f>
        <v>1</v>
      </c>
      <c r="K5311" s="88">
        <v>1</v>
      </c>
      <c r="L5311" s="88"/>
      <c r="M5311" s="88"/>
      <c r="N5311" s="88"/>
      <c r="O5311" s="88"/>
      <c r="P5311" s="88"/>
      <c r="Q5311" s="88"/>
      <c r="R5311" s="78">
        <f>MAX(S5311:W5311)</f>
        <v>0</v>
      </c>
      <c r="S5311" s="88"/>
      <c r="T5311" s="88"/>
      <c r="U5311" s="88"/>
      <c r="V5311" s="88"/>
      <c r="W5311" s="88"/>
    </row>
    <row r="5312" spans="2:23" s="0" customFormat="0" ht="15">
      <c r="B5312" s="87" t="s">
        <v>1</v>
      </c>
      <c r="C5312" s="88" t="s">
        <v>5259</v>
      </c>
      <c r="D5312" s="88">
        <v>20847807</v>
      </c>
      <c r="E5312" s="88" t="s">
        <v>61</v>
      </c>
      <c r="F5312" s="88">
        <v>0</v>
      </c>
      <c r="G5312" s="78">
        <f>MAX(H5312,I5312,J5312)</f>
        <v>1</v>
      </c>
      <c r="H5312" s="88"/>
      <c r="I5312" s="88"/>
      <c r="J5312" s="78">
        <f>MAX(K5312:Q5312)</f>
        <v>1</v>
      </c>
      <c r="K5312" s="88">
        <v>1</v>
      </c>
      <c r="L5312" s="88"/>
      <c r="M5312" s="88"/>
      <c r="N5312" s="88"/>
      <c r="O5312" s="88"/>
      <c r="P5312" s="88"/>
      <c r="Q5312" s="88"/>
      <c r="R5312" s="78">
        <f>MAX(S5312:W5312)</f>
        <v>0</v>
      </c>
      <c r="S5312" s="88"/>
      <c r="T5312" s="88"/>
      <c r="U5312" s="88"/>
      <c r="V5312" s="88"/>
      <c r="W5312" s="88"/>
    </row>
    <row r="5313" spans="2:23" s="0" customFormat="0" ht="15">
      <c r="B5313" s="87" t="s">
        <v>1</v>
      </c>
      <c r="C5313" s="88" t="s">
        <v>5259</v>
      </c>
      <c r="D5313" s="88" t="s">
        <v>4508</v>
      </c>
      <c r="E5313" s="88" t="s">
        <v>61</v>
      </c>
      <c r="F5313" s="88">
        <v>0</v>
      </c>
      <c r="G5313" s="78">
        <f>MAX(H5313,I5313,J5313)</f>
        <v>0</v>
      </c>
      <c r="H5313" s="88"/>
      <c r="I5313" s="88"/>
      <c r="J5313" s="78">
        <f>MAX(K5313:Q5313)</f>
        <v>0</v>
      </c>
      <c r="K5313" s="88"/>
      <c r="L5313" s="88"/>
      <c r="M5313" s="88"/>
      <c r="N5313" s="88"/>
      <c r="O5313" s="88"/>
      <c r="P5313" s="88"/>
      <c r="Q5313" s="88"/>
      <c r="R5313" s="78">
        <f>MAX(S5313:W5313)</f>
        <v>1</v>
      </c>
      <c r="S5313" s="88"/>
      <c r="T5313" s="88"/>
      <c r="U5313" s="88">
        <v>1</v>
      </c>
      <c r="V5313" s="88"/>
      <c r="W5313" s="88"/>
    </row>
    <row r="5314" spans="2:23" s="0" customFormat="0" ht="15">
      <c r="B5314" s="87" t="s">
        <v>1</v>
      </c>
      <c r="C5314" s="88" t="s">
        <v>5259</v>
      </c>
      <c r="D5314" s="88">
        <v>16963936</v>
      </c>
      <c r="E5314" s="88" t="s">
        <v>61</v>
      </c>
      <c r="F5314" s="88">
        <v>0</v>
      </c>
      <c r="G5314" s="78">
        <f>MAX(H5314,I5314,J5314)</f>
        <v>1</v>
      </c>
      <c r="H5314" s="88"/>
      <c r="I5314" s="88"/>
      <c r="J5314" s="78">
        <f>MAX(K5314:Q5314)</f>
        <v>1</v>
      </c>
      <c r="K5314" s="88">
        <v>1</v>
      </c>
      <c r="L5314" s="88"/>
      <c r="M5314" s="88"/>
      <c r="N5314" s="88"/>
      <c r="O5314" s="88"/>
      <c r="P5314" s="88"/>
      <c r="Q5314" s="88"/>
      <c r="R5314" s="78">
        <f>MAX(S5314:W5314)</f>
        <v>0</v>
      </c>
      <c r="S5314" s="88"/>
      <c r="T5314" s="88"/>
      <c r="U5314" s="88"/>
      <c r="V5314" s="88"/>
      <c r="W5314" s="88"/>
    </row>
    <row r="5315" spans="2:23" s="0" customFormat="0" ht="15">
      <c r="B5315" s="87" t="s">
        <v>1</v>
      </c>
      <c r="C5315" s="88" t="s">
        <v>5259</v>
      </c>
      <c r="D5315" s="88" t="s">
        <v>784</v>
      </c>
      <c r="E5315" s="88" t="s">
        <v>61</v>
      </c>
      <c r="F5315" s="88">
        <v>0</v>
      </c>
      <c r="G5315" s="78">
        <f>MAX(H5315,I5315,J5315)</f>
        <v>1</v>
      </c>
      <c r="H5315" s="88"/>
      <c r="I5315" s="88"/>
      <c r="J5315" s="78">
        <f>MAX(K5315:Q5315)</f>
        <v>1</v>
      </c>
      <c r="K5315" s="88">
        <v>1</v>
      </c>
      <c r="L5315" s="88"/>
      <c r="M5315" s="88"/>
      <c r="N5315" s="88"/>
      <c r="O5315" s="88"/>
      <c r="P5315" s="88"/>
      <c r="Q5315" s="88"/>
      <c r="R5315" s="78">
        <f>MAX(S5315:W5315)</f>
        <v>0</v>
      </c>
      <c r="S5315" s="88"/>
      <c r="T5315" s="88"/>
      <c r="U5315" s="88"/>
      <c r="V5315" s="88"/>
      <c r="W5315" s="88"/>
    </row>
    <row r="5316" spans="2:23" s="0" customFormat="0" ht="15">
      <c r="B5316" s="87" t="s">
        <v>1</v>
      </c>
      <c r="C5316" s="88" t="s">
        <v>5259</v>
      </c>
      <c r="D5316" s="88">
        <v>22623660</v>
      </c>
      <c r="E5316" s="88" t="s">
        <v>61</v>
      </c>
      <c r="F5316" s="88">
        <v>0</v>
      </c>
      <c r="G5316" s="78">
        <f>MAX(H5316,I5316,J5316)</f>
        <v>0</v>
      </c>
      <c r="H5316" s="88"/>
      <c r="I5316" s="88"/>
      <c r="J5316" s="78">
        <f>MAX(K5316:Q5316)</f>
        <v>0</v>
      </c>
      <c r="K5316" s="88"/>
      <c r="L5316" s="88"/>
      <c r="M5316" s="88"/>
      <c r="N5316" s="88"/>
      <c r="O5316" s="88"/>
      <c r="P5316" s="88"/>
      <c r="Q5316" s="88"/>
      <c r="R5316" s="78">
        <f>MAX(S5316:W5316)</f>
        <v>1</v>
      </c>
      <c r="S5316" s="88"/>
      <c r="T5316" s="88"/>
      <c r="U5316" s="88">
        <v>1</v>
      </c>
      <c r="V5316" s="88"/>
      <c r="W5316" s="88"/>
    </row>
    <row r="5317" spans="2:23" s="0" customFormat="0" ht="15">
      <c r="B5317" s="87" t="s">
        <v>1</v>
      </c>
      <c r="C5317" s="88" t="s">
        <v>5259</v>
      </c>
      <c r="D5317" s="88">
        <v>14620691</v>
      </c>
      <c r="E5317" s="88" t="s">
        <v>61</v>
      </c>
      <c r="F5317" s="88">
        <v>0</v>
      </c>
      <c r="G5317" s="78">
        <f>MAX(H5317,I5317,J5317)</f>
        <v>1</v>
      </c>
      <c r="H5317" s="88"/>
      <c r="I5317" s="88"/>
      <c r="J5317" s="78">
        <f>MAX(K5317:Q5317)</f>
        <v>1</v>
      </c>
      <c r="K5317" s="88">
        <v>1</v>
      </c>
      <c r="L5317" s="88"/>
      <c r="M5317" s="88"/>
      <c r="N5317" s="88"/>
      <c r="O5317" s="88"/>
      <c r="P5317" s="88"/>
      <c r="Q5317" s="88"/>
      <c r="R5317" s="78">
        <f>MAX(S5317:W5317)</f>
        <v>0</v>
      </c>
      <c r="S5317" s="88"/>
      <c r="T5317" s="88"/>
      <c r="U5317" s="88"/>
      <c r="V5317" s="88"/>
      <c r="W5317" s="88"/>
    </row>
    <row r="5318" spans="2:23" s="0" customFormat="0" ht="15">
      <c r="B5318" s="87" t="s">
        <v>1</v>
      </c>
      <c r="C5318" s="88" t="s">
        <v>5259</v>
      </c>
      <c r="D5318" s="88" t="s">
        <v>2682</v>
      </c>
      <c r="E5318" s="88" t="s">
        <v>61</v>
      </c>
      <c r="F5318" s="88">
        <v>0</v>
      </c>
      <c r="G5318" s="78">
        <f>MAX(H5318,I5318,J5318)</f>
        <v>1</v>
      </c>
      <c r="H5318" s="88"/>
      <c r="I5318" s="88"/>
      <c r="J5318" s="78">
        <f>MAX(K5318:Q5318)</f>
        <v>1</v>
      </c>
      <c r="K5318" s="88">
        <v>1</v>
      </c>
      <c r="L5318" s="88"/>
      <c r="M5318" s="88"/>
      <c r="N5318" s="88"/>
      <c r="O5318" s="88"/>
      <c r="P5318" s="88"/>
      <c r="Q5318" s="88"/>
      <c r="R5318" s="78">
        <f>MAX(S5318:W5318)</f>
        <v>0</v>
      </c>
      <c r="S5318" s="88"/>
      <c r="T5318" s="88"/>
      <c r="U5318" s="88"/>
      <c r="V5318" s="88"/>
      <c r="W5318" s="88"/>
    </row>
    <row r="5319" spans="2:23" s="0" customFormat="0" ht="15">
      <c r="B5319" s="87" t="s">
        <v>1</v>
      </c>
      <c r="C5319" s="88" t="s">
        <v>5259</v>
      </c>
      <c r="D5319" s="88">
        <v>24432662</v>
      </c>
      <c r="E5319" s="88" t="s">
        <v>61</v>
      </c>
      <c r="F5319" s="88">
        <v>0</v>
      </c>
      <c r="G5319" s="78">
        <f>MAX(H5319,I5319,J5319)</f>
        <v>1</v>
      </c>
      <c r="H5319" s="88"/>
      <c r="I5319" s="88"/>
      <c r="J5319" s="78">
        <f>MAX(K5319:Q5319)</f>
        <v>1</v>
      </c>
      <c r="K5319" s="88">
        <v>1</v>
      </c>
      <c r="L5319" s="88"/>
      <c r="M5319" s="88"/>
      <c r="N5319" s="88"/>
      <c r="O5319" s="88"/>
      <c r="P5319" s="88"/>
      <c r="Q5319" s="88"/>
      <c r="R5319" s="78">
        <f>MAX(S5319:W5319)</f>
        <v>0</v>
      </c>
      <c r="S5319" s="88"/>
      <c r="T5319" s="88"/>
      <c r="U5319" s="88"/>
      <c r="V5319" s="88"/>
      <c r="W5319" s="88"/>
    </row>
    <row r="5320" spans="2:23" s="0" customFormat="0" ht="15">
      <c r="B5320" s="87" t="s">
        <v>1</v>
      </c>
      <c r="C5320" s="88" t="s">
        <v>5259</v>
      </c>
      <c r="D5320" s="88" t="s">
        <v>4300</v>
      </c>
      <c r="E5320" s="88" t="s">
        <v>61</v>
      </c>
      <c r="F5320" s="88">
        <v>0</v>
      </c>
      <c r="G5320" s="78">
        <f>MAX(H5320,I5320,J5320)</f>
        <v>0</v>
      </c>
      <c r="H5320" s="88"/>
      <c r="I5320" s="88"/>
      <c r="J5320" s="78">
        <f>MAX(K5320:Q5320)</f>
        <v>0</v>
      </c>
      <c r="K5320" s="88"/>
      <c r="L5320" s="88"/>
      <c r="M5320" s="88"/>
      <c r="N5320" s="88"/>
      <c r="O5320" s="88"/>
      <c r="P5320" s="88"/>
      <c r="Q5320" s="88"/>
      <c r="R5320" s="78">
        <f>MAX(S5320:W5320)</f>
        <v>1</v>
      </c>
      <c r="S5320" s="88"/>
      <c r="T5320" s="88"/>
      <c r="U5320" s="88">
        <v>1</v>
      </c>
      <c r="V5320" s="88"/>
      <c r="W5320" s="88"/>
    </row>
    <row r="5321" spans="2:23" s="0" customFormat="0" ht="15">
      <c r="B5321" s="87" t="s">
        <v>1</v>
      </c>
      <c r="C5321" s="88" t="s">
        <v>5259</v>
      </c>
      <c r="D5321" s="88" t="s">
        <v>1659</v>
      </c>
      <c r="E5321" s="88" t="s">
        <v>61</v>
      </c>
      <c r="F5321" s="88">
        <v>0</v>
      </c>
      <c r="G5321" s="78">
        <f>MAX(H5321,I5321,J5321)</f>
        <v>1</v>
      </c>
      <c r="H5321" s="88"/>
      <c r="I5321" s="88"/>
      <c r="J5321" s="78">
        <f>MAX(K5321:Q5321)</f>
        <v>1</v>
      </c>
      <c r="K5321" s="88">
        <v>1</v>
      </c>
      <c r="L5321" s="88"/>
      <c r="M5321" s="88"/>
      <c r="N5321" s="88"/>
      <c r="O5321" s="88"/>
      <c r="P5321" s="88"/>
      <c r="Q5321" s="88"/>
      <c r="R5321" s="78">
        <f>MAX(S5321:W5321)</f>
        <v>0</v>
      </c>
      <c r="S5321" s="88"/>
      <c r="T5321" s="88"/>
      <c r="U5321" s="88"/>
      <c r="V5321" s="88"/>
      <c r="W5321" s="88"/>
    </row>
    <row r="5322" spans="2:23" s="0" customFormat="0" ht="15">
      <c r="B5322" s="87" t="s">
        <v>1</v>
      </c>
      <c r="C5322" s="88" t="s">
        <v>5259</v>
      </c>
      <c r="D5322" s="88" t="s">
        <v>3690</v>
      </c>
      <c r="E5322" s="88" t="s">
        <v>61</v>
      </c>
      <c r="F5322" s="88">
        <v>0</v>
      </c>
      <c r="G5322" s="78">
        <f>MAX(H5322,I5322,J5322)</f>
        <v>0</v>
      </c>
      <c r="H5322" s="88"/>
      <c r="I5322" s="88"/>
      <c r="J5322" s="78">
        <f>MAX(K5322:Q5322)</f>
        <v>0</v>
      </c>
      <c r="K5322" s="88"/>
      <c r="L5322" s="88"/>
      <c r="M5322" s="88"/>
      <c r="N5322" s="88"/>
      <c r="O5322" s="88"/>
      <c r="P5322" s="88"/>
      <c r="Q5322" s="88"/>
      <c r="R5322" s="78">
        <f>MAX(S5322:W5322)</f>
        <v>1</v>
      </c>
      <c r="S5322" s="88"/>
      <c r="T5322" s="88"/>
      <c r="U5322" s="88">
        <v>1</v>
      </c>
      <c r="V5322" s="88"/>
      <c r="W5322" s="88"/>
    </row>
    <row r="5323" spans="2:23" s="0" customFormat="0" ht="15">
      <c r="B5323" s="87" t="s">
        <v>1</v>
      </c>
      <c r="C5323" s="88" t="s">
        <v>5259</v>
      </c>
      <c r="D5323" s="88">
        <v>23264059</v>
      </c>
      <c r="E5323" s="88" t="s">
        <v>61</v>
      </c>
      <c r="F5323" s="88">
        <v>0</v>
      </c>
      <c r="G5323" s="78">
        <f>MAX(H5323,I5323,J5323)</f>
        <v>1</v>
      </c>
      <c r="H5323" s="88"/>
      <c r="I5323" s="88"/>
      <c r="J5323" s="78">
        <f>MAX(K5323:Q5323)</f>
        <v>1</v>
      </c>
      <c r="K5323" s="88">
        <v>1</v>
      </c>
      <c r="L5323" s="88"/>
      <c r="M5323" s="88"/>
      <c r="N5323" s="88"/>
      <c r="O5323" s="88"/>
      <c r="P5323" s="88"/>
      <c r="Q5323" s="88"/>
      <c r="R5323" s="78">
        <f>MAX(S5323:W5323)</f>
        <v>0</v>
      </c>
      <c r="S5323" s="88"/>
      <c r="T5323" s="88"/>
      <c r="U5323" s="88"/>
      <c r="V5323" s="88"/>
      <c r="W5323" s="88"/>
    </row>
    <row r="5324" spans="2:23" s="0" customFormat="0" ht="15">
      <c r="B5324" s="87" t="s">
        <v>1</v>
      </c>
      <c r="C5324" s="88" t="s">
        <v>5259</v>
      </c>
      <c r="D5324" s="88">
        <v>22623692</v>
      </c>
      <c r="E5324" s="88" t="s">
        <v>61</v>
      </c>
      <c r="F5324" s="88">
        <v>0</v>
      </c>
      <c r="G5324" s="78">
        <f>MAX(H5324,I5324,J5324)</f>
        <v>0</v>
      </c>
      <c r="H5324" s="88"/>
      <c r="I5324" s="88"/>
      <c r="J5324" s="78">
        <f>MAX(K5324:Q5324)</f>
        <v>0</v>
      </c>
      <c r="K5324" s="88"/>
      <c r="L5324" s="88"/>
      <c r="M5324" s="88"/>
      <c r="N5324" s="88"/>
      <c r="O5324" s="88"/>
      <c r="P5324" s="88"/>
      <c r="Q5324" s="88"/>
      <c r="R5324" s="78">
        <f>MAX(S5324:W5324)</f>
        <v>1</v>
      </c>
      <c r="S5324" s="88"/>
      <c r="T5324" s="88"/>
      <c r="U5324" s="88">
        <v>1</v>
      </c>
      <c r="V5324" s="88"/>
      <c r="W5324" s="88"/>
    </row>
    <row r="5325" spans="2:23" s="0" customFormat="0" ht="15">
      <c r="B5325" s="87" t="s">
        <v>1</v>
      </c>
      <c r="C5325" s="88" t="s">
        <v>5259</v>
      </c>
      <c r="D5325" s="88">
        <v>15929001</v>
      </c>
      <c r="E5325" s="88" t="s">
        <v>61</v>
      </c>
      <c r="F5325" s="88">
        <v>0</v>
      </c>
      <c r="G5325" s="78">
        <f>MAX(H5325,I5325,J5325)</f>
        <v>1</v>
      </c>
      <c r="H5325" s="88"/>
      <c r="I5325" s="88"/>
      <c r="J5325" s="78">
        <f>MAX(K5325:Q5325)</f>
        <v>1</v>
      </c>
      <c r="K5325" s="88">
        <v>1</v>
      </c>
      <c r="L5325" s="88"/>
      <c r="M5325" s="88"/>
      <c r="N5325" s="88"/>
      <c r="O5325" s="88"/>
      <c r="P5325" s="88"/>
      <c r="Q5325" s="88"/>
      <c r="R5325" s="78">
        <f>MAX(S5325:W5325)</f>
        <v>0</v>
      </c>
      <c r="S5325" s="88"/>
      <c r="T5325" s="88"/>
      <c r="U5325" s="88"/>
      <c r="V5325" s="88"/>
      <c r="W5325" s="88"/>
    </row>
    <row r="5326" spans="2:23" s="0" customFormat="0" ht="15">
      <c r="B5326" s="87" t="s">
        <v>1</v>
      </c>
      <c r="C5326" s="88" t="s">
        <v>5259</v>
      </c>
      <c r="D5326" s="88" t="s">
        <v>3997</v>
      </c>
      <c r="E5326" s="88" t="s">
        <v>61</v>
      </c>
      <c r="F5326" s="88">
        <v>0</v>
      </c>
      <c r="G5326" s="78">
        <f>MAX(H5326,I5326,J5326)</f>
        <v>0</v>
      </c>
      <c r="H5326" s="88"/>
      <c r="I5326" s="88"/>
      <c r="J5326" s="78">
        <f>MAX(K5326:Q5326)</f>
        <v>0</v>
      </c>
      <c r="K5326" s="88"/>
      <c r="L5326" s="88"/>
      <c r="M5326" s="88"/>
      <c r="N5326" s="88"/>
      <c r="O5326" s="88"/>
      <c r="P5326" s="88"/>
      <c r="Q5326" s="88"/>
      <c r="R5326" s="78">
        <f>MAX(S5326:W5326)</f>
        <v>1</v>
      </c>
      <c r="S5326" s="88"/>
      <c r="T5326" s="88"/>
      <c r="U5326" s="88">
        <v>1</v>
      </c>
      <c r="V5326" s="88"/>
      <c r="W5326" s="88"/>
    </row>
    <row r="5327" spans="2:23" s="0" customFormat="0" ht="15">
      <c r="B5327" s="87" t="s">
        <v>1</v>
      </c>
      <c r="C5327" s="88" t="s">
        <v>5259</v>
      </c>
      <c r="D5327" s="88" t="s">
        <v>4154</v>
      </c>
      <c r="E5327" s="88" t="s">
        <v>61</v>
      </c>
      <c r="F5327" s="88">
        <v>0</v>
      </c>
      <c r="G5327" s="78">
        <f>MAX(H5327,I5327,J5327)</f>
        <v>0</v>
      </c>
      <c r="H5327" s="88"/>
      <c r="I5327" s="88"/>
      <c r="J5327" s="78">
        <f>MAX(K5327:Q5327)</f>
        <v>0</v>
      </c>
      <c r="K5327" s="88"/>
      <c r="L5327" s="88"/>
      <c r="M5327" s="88"/>
      <c r="N5327" s="88"/>
      <c r="O5327" s="88"/>
      <c r="P5327" s="88"/>
      <c r="Q5327" s="88"/>
      <c r="R5327" s="78">
        <f>MAX(S5327:W5327)</f>
        <v>1</v>
      </c>
      <c r="S5327" s="88"/>
      <c r="T5327" s="88"/>
      <c r="U5327" s="88">
        <v>1</v>
      </c>
      <c r="V5327" s="88"/>
      <c r="W5327" s="88"/>
    </row>
    <row r="5328" spans="2:23" s="0" customFormat="0" ht="15">
      <c r="B5328" s="87" t="s">
        <v>1</v>
      </c>
      <c r="C5328" s="88" t="s">
        <v>5259</v>
      </c>
      <c r="D5328" s="88">
        <v>2644548</v>
      </c>
      <c r="E5328" s="88" t="s">
        <v>61</v>
      </c>
      <c r="F5328" s="88">
        <v>0</v>
      </c>
      <c r="G5328" s="78">
        <f>MAX(H5328,I5328,J5328)</f>
        <v>0</v>
      </c>
      <c r="H5328" s="88"/>
      <c r="I5328" s="88"/>
      <c r="J5328" s="78">
        <f>MAX(K5328:Q5328)</f>
        <v>0</v>
      </c>
      <c r="K5328" s="88"/>
      <c r="L5328" s="88"/>
      <c r="M5328" s="88"/>
      <c r="N5328" s="88"/>
      <c r="O5328" s="88"/>
      <c r="P5328" s="88"/>
      <c r="Q5328" s="88"/>
      <c r="R5328" s="78">
        <f>MAX(S5328:W5328)</f>
        <v>1</v>
      </c>
      <c r="S5328" s="88"/>
      <c r="T5328" s="88"/>
      <c r="U5328" s="88">
        <v>1</v>
      </c>
      <c r="V5328" s="88"/>
      <c r="W5328" s="88"/>
    </row>
    <row r="5329" spans="2:23" s="0" customFormat="0" ht="15">
      <c r="B5329" s="87" t="s">
        <v>1</v>
      </c>
      <c r="C5329" s="88" t="s">
        <v>5259</v>
      </c>
      <c r="D5329" s="88">
        <v>22554127</v>
      </c>
      <c r="E5329" s="88" t="s">
        <v>61</v>
      </c>
      <c r="F5329" s="88">
        <v>0</v>
      </c>
      <c r="G5329" s="78">
        <f>MAX(H5329,I5329,J5329)</f>
        <v>1</v>
      </c>
      <c r="H5329" s="88"/>
      <c r="I5329" s="88"/>
      <c r="J5329" s="78">
        <f>MAX(K5329:Q5329)</f>
        <v>1</v>
      </c>
      <c r="K5329" s="88">
        <v>1</v>
      </c>
      <c r="L5329" s="88"/>
      <c r="M5329" s="88"/>
      <c r="N5329" s="88"/>
      <c r="O5329" s="88"/>
      <c r="P5329" s="88"/>
      <c r="Q5329" s="88"/>
      <c r="R5329" s="78">
        <f>MAX(S5329:W5329)</f>
        <v>0</v>
      </c>
      <c r="S5329" s="88"/>
      <c r="T5329" s="88"/>
      <c r="U5329" s="88"/>
      <c r="V5329" s="88"/>
      <c r="W5329" s="88"/>
    </row>
    <row r="5330" spans="2:23" s="0" customFormat="0" ht="15">
      <c r="B5330" s="87" t="s">
        <v>1</v>
      </c>
      <c r="C5330" s="88" t="s">
        <v>5259</v>
      </c>
      <c r="D5330" s="88" t="s">
        <v>3258</v>
      </c>
      <c r="E5330" s="88" t="s">
        <v>61</v>
      </c>
      <c r="F5330" s="88">
        <v>0</v>
      </c>
      <c r="G5330" s="78">
        <f>MAX(H5330,I5330,J5330)</f>
        <v>0</v>
      </c>
      <c r="H5330" s="88"/>
      <c r="I5330" s="88"/>
      <c r="J5330" s="78">
        <f>MAX(K5330:Q5330)</f>
        <v>0</v>
      </c>
      <c r="K5330" s="88"/>
      <c r="L5330" s="88"/>
      <c r="M5330" s="88"/>
      <c r="N5330" s="88"/>
      <c r="O5330" s="88"/>
      <c r="P5330" s="88"/>
      <c r="Q5330" s="88"/>
      <c r="R5330" s="78">
        <f>MAX(S5330:W5330)</f>
        <v>1</v>
      </c>
      <c r="S5330" s="88"/>
      <c r="T5330" s="88"/>
      <c r="U5330" s="88"/>
      <c r="V5330" s="88">
        <v>1</v>
      </c>
      <c r="W5330" s="88"/>
    </row>
    <row r="5331" spans="2:23" s="0" customFormat="0" ht="15">
      <c r="B5331" s="87" t="s">
        <v>1</v>
      </c>
      <c r="C5331" s="88" t="s">
        <v>5259</v>
      </c>
      <c r="D5331" s="88">
        <v>12246861</v>
      </c>
      <c r="E5331" s="88" t="s">
        <v>61</v>
      </c>
      <c r="F5331" s="88">
        <v>0</v>
      </c>
      <c r="G5331" s="78">
        <f>MAX(H5331,I5331,J5331)</f>
        <v>1</v>
      </c>
      <c r="H5331" s="88"/>
      <c r="I5331" s="88"/>
      <c r="J5331" s="78">
        <f>MAX(K5331:Q5331)</f>
        <v>1</v>
      </c>
      <c r="K5331" s="88">
        <v>1</v>
      </c>
      <c r="L5331" s="88"/>
      <c r="M5331" s="88"/>
      <c r="N5331" s="88"/>
      <c r="O5331" s="88"/>
      <c r="P5331" s="88"/>
      <c r="Q5331" s="88"/>
      <c r="R5331" s="78">
        <f>MAX(S5331:W5331)</f>
        <v>0</v>
      </c>
      <c r="S5331" s="88"/>
      <c r="T5331" s="88"/>
      <c r="U5331" s="88"/>
      <c r="V5331" s="88"/>
      <c r="W5331" s="88"/>
    </row>
    <row r="5332" spans="2:23" s="0" customFormat="0" ht="15">
      <c r="B5332" s="87" t="s">
        <v>1</v>
      </c>
      <c r="C5332" s="88" t="s">
        <v>5259</v>
      </c>
      <c r="D5332" s="88">
        <v>19612116</v>
      </c>
      <c r="E5332" s="88" t="s">
        <v>61</v>
      </c>
      <c r="F5332" s="88">
        <v>0</v>
      </c>
      <c r="G5332" s="78">
        <f>MAX(H5332,I5332,J5332)</f>
        <v>1</v>
      </c>
      <c r="H5332" s="88"/>
      <c r="I5332" s="88"/>
      <c r="J5332" s="78">
        <f>MAX(K5332:Q5332)</f>
        <v>1</v>
      </c>
      <c r="K5332" s="88">
        <v>1</v>
      </c>
      <c r="L5332" s="88"/>
      <c r="M5332" s="88"/>
      <c r="N5332" s="88"/>
      <c r="O5332" s="88"/>
      <c r="P5332" s="88"/>
      <c r="Q5332" s="88"/>
      <c r="R5332" s="78">
        <f>MAX(S5332:W5332)</f>
        <v>0</v>
      </c>
      <c r="S5332" s="88"/>
      <c r="T5332" s="88"/>
      <c r="U5332" s="88"/>
      <c r="V5332" s="88"/>
      <c r="W5332" s="88"/>
    </row>
    <row r="5333" spans="2:23" s="0" customFormat="0" ht="15">
      <c r="B5333" s="87" t="s">
        <v>1</v>
      </c>
      <c r="C5333" s="88" t="s">
        <v>5259</v>
      </c>
      <c r="D5333" s="88">
        <v>18762285</v>
      </c>
      <c r="E5333" s="88" t="s">
        <v>61</v>
      </c>
      <c r="F5333" s="88">
        <v>0</v>
      </c>
      <c r="G5333" s="78">
        <f>MAX(H5333,I5333,J5333)</f>
        <v>1</v>
      </c>
      <c r="H5333" s="88"/>
      <c r="I5333" s="88"/>
      <c r="J5333" s="78">
        <f>MAX(K5333:Q5333)</f>
        <v>1</v>
      </c>
      <c r="K5333" s="88">
        <v>1</v>
      </c>
      <c r="L5333" s="88"/>
      <c r="M5333" s="88"/>
      <c r="N5333" s="88"/>
      <c r="O5333" s="88"/>
      <c r="P5333" s="88"/>
      <c r="Q5333" s="88"/>
      <c r="R5333" s="78">
        <f>MAX(S5333:W5333)</f>
        <v>0</v>
      </c>
      <c r="S5333" s="88"/>
      <c r="T5333" s="88"/>
      <c r="U5333" s="88"/>
      <c r="V5333" s="88"/>
      <c r="W5333" s="88"/>
    </row>
    <row r="5334" spans="2:23" s="0" customFormat="0" ht="15">
      <c r="B5334" s="87" t="s">
        <v>1</v>
      </c>
      <c r="C5334" s="88" t="s">
        <v>5259</v>
      </c>
      <c r="D5334" s="88">
        <v>25094363</v>
      </c>
      <c r="E5334" s="88" t="s">
        <v>61</v>
      </c>
      <c r="F5334" s="88">
        <v>0</v>
      </c>
      <c r="G5334" s="78">
        <f>MAX(H5334,I5334,J5334)</f>
        <v>0</v>
      </c>
      <c r="H5334" s="88"/>
      <c r="I5334" s="88"/>
      <c r="J5334" s="78">
        <f>MAX(K5334:Q5334)</f>
        <v>0</v>
      </c>
      <c r="K5334" s="88"/>
      <c r="L5334" s="88"/>
      <c r="M5334" s="88"/>
      <c r="N5334" s="88"/>
      <c r="O5334" s="88"/>
      <c r="P5334" s="88"/>
      <c r="Q5334" s="88"/>
      <c r="R5334" s="78">
        <f>MAX(S5334:W5334)</f>
        <v>1</v>
      </c>
      <c r="S5334" s="88"/>
      <c r="T5334" s="88"/>
      <c r="U5334" s="88">
        <v>1</v>
      </c>
      <c r="V5334" s="88"/>
      <c r="W5334" s="88"/>
    </row>
    <row r="5335" spans="2:23" s="0" customFormat="0" ht="15">
      <c r="B5335" s="87" t="s">
        <v>1</v>
      </c>
      <c r="C5335" s="88" t="s">
        <v>5259</v>
      </c>
      <c r="D5335" s="88">
        <v>5043377</v>
      </c>
      <c r="E5335" s="88" t="s">
        <v>61</v>
      </c>
      <c r="F5335" s="88">
        <v>0</v>
      </c>
      <c r="G5335" s="78">
        <f>MAX(H5335,I5335,J5335)</f>
        <v>1</v>
      </c>
      <c r="H5335" s="88"/>
      <c r="I5335" s="88"/>
      <c r="J5335" s="78">
        <f>MAX(K5335:Q5335)</f>
        <v>1</v>
      </c>
      <c r="K5335" s="88">
        <v>1</v>
      </c>
      <c r="L5335" s="88"/>
      <c r="M5335" s="88"/>
      <c r="N5335" s="88"/>
      <c r="O5335" s="88"/>
      <c r="P5335" s="88"/>
      <c r="Q5335" s="88"/>
      <c r="R5335" s="78">
        <f>MAX(S5335:W5335)</f>
        <v>0</v>
      </c>
      <c r="S5335" s="88"/>
      <c r="T5335" s="88"/>
      <c r="U5335" s="88"/>
      <c r="V5335" s="88"/>
      <c r="W5335" s="88"/>
    </row>
    <row r="5336" spans="2:23" s="0" customFormat="0" ht="15">
      <c r="B5336" s="87" t="s">
        <v>1</v>
      </c>
      <c r="C5336" s="88" t="s">
        <v>5259</v>
      </c>
      <c r="D5336" s="88">
        <v>19567751</v>
      </c>
      <c r="E5336" s="88" t="s">
        <v>61</v>
      </c>
      <c r="F5336" s="88">
        <v>0</v>
      </c>
      <c r="G5336" s="78">
        <f>MAX(H5336,I5336,J5336)</f>
        <v>1</v>
      </c>
      <c r="H5336" s="88"/>
      <c r="I5336" s="88"/>
      <c r="J5336" s="78">
        <f>MAX(K5336:Q5336)</f>
        <v>1</v>
      </c>
      <c r="K5336" s="88">
        <v>1</v>
      </c>
      <c r="L5336" s="88"/>
      <c r="M5336" s="88"/>
      <c r="N5336" s="88"/>
      <c r="O5336" s="88"/>
      <c r="P5336" s="88"/>
      <c r="Q5336" s="88"/>
      <c r="R5336" s="78">
        <f>MAX(S5336:W5336)</f>
        <v>0</v>
      </c>
      <c r="S5336" s="88"/>
      <c r="T5336" s="88"/>
      <c r="U5336" s="88"/>
      <c r="V5336" s="88"/>
      <c r="W5336" s="88"/>
    </row>
    <row r="5337" spans="2:23" s="0" customFormat="0" ht="15">
      <c r="B5337" s="87" t="s">
        <v>1</v>
      </c>
      <c r="C5337" s="88" t="s">
        <v>5259</v>
      </c>
      <c r="D5337" s="88">
        <v>17849962</v>
      </c>
      <c r="E5337" s="88" t="s">
        <v>61</v>
      </c>
      <c r="F5337" s="88">
        <v>0</v>
      </c>
      <c r="G5337" s="78">
        <f>MAX(H5337,I5337,J5337)</f>
        <v>0</v>
      </c>
      <c r="H5337" s="88"/>
      <c r="I5337" s="88"/>
      <c r="J5337" s="78">
        <f>MAX(K5337:Q5337)</f>
        <v>0</v>
      </c>
      <c r="K5337" s="88"/>
      <c r="L5337" s="88"/>
      <c r="M5337" s="88"/>
      <c r="N5337" s="88"/>
      <c r="O5337" s="88"/>
      <c r="P5337" s="88"/>
      <c r="Q5337" s="88"/>
      <c r="R5337" s="78">
        <f>MAX(S5337:W5337)</f>
        <v>1</v>
      </c>
      <c r="S5337" s="88"/>
      <c r="T5337" s="88"/>
      <c r="U5337" s="88">
        <v>1</v>
      </c>
      <c r="V5337" s="88"/>
      <c r="W5337" s="88"/>
    </row>
    <row r="5338" spans="2:23" s="0" customFormat="0" ht="15">
      <c r="B5338" s="87" t="s">
        <v>1</v>
      </c>
      <c r="C5338" s="88" t="s">
        <v>5259</v>
      </c>
      <c r="D5338" s="88">
        <v>22124822</v>
      </c>
      <c r="E5338" s="88" t="s">
        <v>61</v>
      </c>
      <c r="F5338" s="88">
        <v>0</v>
      </c>
      <c r="G5338" s="78">
        <f>MAX(H5338,I5338,J5338)</f>
        <v>1</v>
      </c>
      <c r="H5338" s="88"/>
      <c r="I5338" s="88"/>
      <c r="J5338" s="78">
        <f>MAX(K5338:Q5338)</f>
        <v>1</v>
      </c>
      <c r="K5338" s="88">
        <v>1</v>
      </c>
      <c r="L5338" s="88"/>
      <c r="M5338" s="88"/>
      <c r="N5338" s="88"/>
      <c r="O5338" s="88"/>
      <c r="P5338" s="88"/>
      <c r="Q5338" s="88"/>
      <c r="R5338" s="78">
        <f>MAX(S5338:W5338)</f>
        <v>0</v>
      </c>
      <c r="S5338" s="88"/>
      <c r="T5338" s="88"/>
      <c r="U5338" s="88"/>
      <c r="V5338" s="88"/>
      <c r="W5338" s="88"/>
    </row>
    <row r="5339" spans="2:23" s="0" customFormat="0" ht="15">
      <c r="B5339" s="87" t="s">
        <v>1</v>
      </c>
      <c r="C5339" s="88" t="s">
        <v>5259</v>
      </c>
      <c r="D5339" s="88">
        <v>16729319</v>
      </c>
      <c r="E5339" s="88" t="s">
        <v>61</v>
      </c>
      <c r="F5339" s="88">
        <v>0</v>
      </c>
      <c r="G5339" s="78">
        <f>MAX(H5339,I5339,J5339)</f>
        <v>1</v>
      </c>
      <c r="H5339" s="88"/>
      <c r="I5339" s="88"/>
      <c r="J5339" s="78">
        <f>MAX(K5339:Q5339)</f>
        <v>1</v>
      </c>
      <c r="K5339" s="88">
        <v>1</v>
      </c>
      <c r="L5339" s="88"/>
      <c r="M5339" s="88"/>
      <c r="N5339" s="88"/>
      <c r="O5339" s="88"/>
      <c r="P5339" s="88"/>
      <c r="Q5339" s="88"/>
      <c r="R5339" s="78">
        <f>MAX(S5339:W5339)</f>
        <v>0</v>
      </c>
      <c r="S5339" s="88"/>
      <c r="T5339" s="88"/>
      <c r="U5339" s="88"/>
      <c r="V5339" s="88"/>
      <c r="W5339" s="88"/>
    </row>
    <row r="5340" spans="2:23" s="0" customFormat="0" ht="15">
      <c r="B5340" s="87" t="s">
        <v>1</v>
      </c>
      <c r="C5340" s="88" t="s">
        <v>5259</v>
      </c>
      <c r="D5340" s="88">
        <v>21027851</v>
      </c>
      <c r="E5340" s="88" t="s">
        <v>61</v>
      </c>
      <c r="F5340" s="88">
        <v>0</v>
      </c>
      <c r="G5340" s="78">
        <f>MAX(H5340,I5340,J5340)</f>
        <v>0</v>
      </c>
      <c r="H5340" s="88"/>
      <c r="I5340" s="88"/>
      <c r="J5340" s="78">
        <f>MAX(K5340:Q5340)</f>
        <v>0</v>
      </c>
      <c r="K5340" s="88"/>
      <c r="L5340" s="88"/>
      <c r="M5340" s="88"/>
      <c r="N5340" s="88"/>
      <c r="O5340" s="88"/>
      <c r="P5340" s="88"/>
      <c r="Q5340" s="88"/>
      <c r="R5340" s="78">
        <f>MAX(S5340:W5340)</f>
        <v>1</v>
      </c>
      <c r="S5340" s="88"/>
      <c r="T5340" s="88"/>
      <c r="U5340" s="88">
        <v>1</v>
      </c>
      <c r="V5340" s="88"/>
      <c r="W5340" s="88"/>
    </row>
    <row r="5341" spans="2:23" s="0" customFormat="0" ht="15">
      <c r="B5341" s="87" t="s">
        <v>1</v>
      </c>
      <c r="C5341" s="88" t="s">
        <v>5259</v>
      </c>
      <c r="D5341" s="88" t="s">
        <v>2815</v>
      </c>
      <c r="E5341" s="88" t="s">
        <v>61</v>
      </c>
      <c r="F5341" s="88">
        <v>0</v>
      </c>
      <c r="G5341" s="78">
        <f>MAX(H5341,I5341,J5341)</f>
        <v>1</v>
      </c>
      <c r="H5341" s="88"/>
      <c r="I5341" s="88"/>
      <c r="J5341" s="78">
        <f>MAX(K5341:Q5341)</f>
        <v>1</v>
      </c>
      <c r="K5341" s="88">
        <v>1</v>
      </c>
      <c r="L5341" s="88"/>
      <c r="M5341" s="88"/>
      <c r="N5341" s="88"/>
      <c r="O5341" s="88"/>
      <c r="P5341" s="88"/>
      <c r="Q5341" s="88"/>
      <c r="R5341" s="78">
        <f>MAX(S5341:W5341)</f>
        <v>0</v>
      </c>
      <c r="S5341" s="88"/>
      <c r="T5341" s="88"/>
      <c r="U5341" s="88"/>
      <c r="V5341" s="88"/>
      <c r="W5341" s="88"/>
    </row>
    <row r="5342" spans="2:23" s="0" customFormat="0" ht="15">
      <c r="B5342" s="87" t="s">
        <v>1</v>
      </c>
      <c r="C5342" s="88" t="s">
        <v>5259</v>
      </c>
      <c r="D5342" s="88">
        <v>14504641</v>
      </c>
      <c r="E5342" s="88" t="s">
        <v>61</v>
      </c>
      <c r="F5342" s="88">
        <v>0</v>
      </c>
      <c r="G5342" s="78">
        <f>MAX(H5342,I5342,J5342)</f>
        <v>0</v>
      </c>
      <c r="H5342" s="88"/>
      <c r="I5342" s="88"/>
      <c r="J5342" s="78">
        <f>MAX(K5342:Q5342)</f>
        <v>0</v>
      </c>
      <c r="K5342" s="88"/>
      <c r="L5342" s="88"/>
      <c r="M5342" s="88"/>
      <c r="N5342" s="88"/>
      <c r="O5342" s="88"/>
      <c r="P5342" s="88"/>
      <c r="Q5342" s="88"/>
      <c r="R5342" s="78">
        <f>MAX(S5342:W5342)</f>
        <v>1</v>
      </c>
      <c r="S5342" s="88"/>
      <c r="T5342" s="88"/>
      <c r="U5342" s="88">
        <v>1</v>
      </c>
      <c r="V5342" s="88"/>
      <c r="W5342" s="88"/>
    </row>
    <row r="5343" spans="2:23" s="0" customFormat="0" ht="15">
      <c r="B5343" s="87" t="s">
        <v>1</v>
      </c>
      <c r="C5343" s="88" t="s">
        <v>5259</v>
      </c>
      <c r="D5343" s="88" t="s">
        <v>4845</v>
      </c>
      <c r="E5343" s="88" t="s">
        <v>61</v>
      </c>
      <c r="F5343" s="88">
        <v>0</v>
      </c>
      <c r="G5343" s="78">
        <f>MAX(H5343,I5343,J5343)</f>
        <v>0</v>
      </c>
      <c r="H5343" s="88"/>
      <c r="I5343" s="88"/>
      <c r="J5343" s="78">
        <f>MAX(K5343:Q5343)</f>
        <v>0</v>
      </c>
      <c r="K5343" s="88"/>
      <c r="L5343" s="88"/>
      <c r="M5343" s="88"/>
      <c r="N5343" s="88"/>
      <c r="O5343" s="88"/>
      <c r="P5343" s="88"/>
      <c r="Q5343" s="88"/>
      <c r="R5343" s="78">
        <f>MAX(S5343:W5343)</f>
        <v>1</v>
      </c>
      <c r="S5343" s="88"/>
      <c r="T5343" s="88"/>
      <c r="U5343" s="88">
        <v>1</v>
      </c>
      <c r="V5343" s="88"/>
      <c r="W5343" s="88"/>
    </row>
    <row r="5344" spans="2:23" s="0" customFormat="0" ht="15">
      <c r="B5344" s="87" t="s">
        <v>1</v>
      </c>
      <c r="C5344" s="88" t="s">
        <v>5259</v>
      </c>
      <c r="D5344" s="88">
        <v>20440739</v>
      </c>
      <c r="E5344" s="88" t="s">
        <v>61</v>
      </c>
      <c r="F5344" s="88">
        <v>0</v>
      </c>
      <c r="G5344" s="78">
        <f>MAX(H5344,I5344,J5344)</f>
        <v>1</v>
      </c>
      <c r="H5344" s="88"/>
      <c r="I5344" s="88"/>
      <c r="J5344" s="78">
        <f>MAX(K5344:Q5344)</f>
        <v>1</v>
      </c>
      <c r="K5344" s="88">
        <v>1</v>
      </c>
      <c r="L5344" s="88"/>
      <c r="M5344" s="88"/>
      <c r="N5344" s="88"/>
      <c r="O5344" s="88"/>
      <c r="P5344" s="88"/>
      <c r="Q5344" s="88"/>
      <c r="R5344" s="78">
        <f>MAX(S5344:W5344)</f>
        <v>0</v>
      </c>
      <c r="S5344" s="88"/>
      <c r="T5344" s="88"/>
      <c r="U5344" s="88"/>
      <c r="V5344" s="88"/>
      <c r="W5344" s="88"/>
    </row>
    <row r="5345" spans="2:23" s="0" customFormat="0" ht="15">
      <c r="B5345" s="87" t="s">
        <v>1</v>
      </c>
      <c r="C5345" s="88" t="s">
        <v>5259</v>
      </c>
      <c r="D5345" s="88">
        <v>15869357</v>
      </c>
      <c r="E5345" s="88" t="s">
        <v>61</v>
      </c>
      <c r="F5345" s="88">
        <v>0</v>
      </c>
      <c r="G5345" s="78">
        <f>MAX(H5345,I5345,J5345)</f>
        <v>1</v>
      </c>
      <c r="H5345" s="88"/>
      <c r="I5345" s="88"/>
      <c r="J5345" s="78">
        <f>MAX(K5345:Q5345)</f>
        <v>1</v>
      </c>
      <c r="K5345" s="88">
        <v>1</v>
      </c>
      <c r="L5345" s="88"/>
      <c r="M5345" s="88"/>
      <c r="N5345" s="88"/>
      <c r="O5345" s="88"/>
      <c r="P5345" s="88"/>
      <c r="Q5345" s="88"/>
      <c r="R5345" s="78">
        <f>MAX(S5345:W5345)</f>
        <v>0</v>
      </c>
      <c r="S5345" s="88"/>
      <c r="T5345" s="88"/>
      <c r="U5345" s="88"/>
      <c r="V5345" s="88"/>
      <c r="W5345" s="88"/>
    </row>
    <row r="5346" spans="2:23" s="0" customFormat="0" ht="15">
      <c r="B5346" s="87" t="s">
        <v>1</v>
      </c>
      <c r="C5346" s="88" t="s">
        <v>5259</v>
      </c>
      <c r="D5346" s="88">
        <v>17776713</v>
      </c>
      <c r="E5346" s="88" t="s">
        <v>61</v>
      </c>
      <c r="F5346" s="88">
        <v>0</v>
      </c>
      <c r="G5346" s="78">
        <f>MAX(H5346,I5346,J5346)</f>
        <v>1</v>
      </c>
      <c r="H5346" s="88"/>
      <c r="I5346" s="88"/>
      <c r="J5346" s="78">
        <f>MAX(K5346:Q5346)</f>
        <v>1</v>
      </c>
      <c r="K5346" s="88">
        <v>1</v>
      </c>
      <c r="L5346" s="88"/>
      <c r="M5346" s="88"/>
      <c r="N5346" s="88"/>
      <c r="O5346" s="88"/>
      <c r="P5346" s="88"/>
      <c r="Q5346" s="88"/>
      <c r="R5346" s="78">
        <f>MAX(S5346:W5346)</f>
        <v>0</v>
      </c>
      <c r="S5346" s="88"/>
      <c r="T5346" s="88"/>
      <c r="U5346" s="88"/>
      <c r="V5346" s="88"/>
      <c r="W5346" s="88"/>
    </row>
    <row r="5347" spans="2:23" s="0" customFormat="0" ht="15">
      <c r="B5347" s="87" t="s">
        <v>1</v>
      </c>
      <c r="C5347" s="88" t="s">
        <v>5259</v>
      </c>
      <c r="D5347" s="88">
        <v>21834589</v>
      </c>
      <c r="E5347" s="88" t="s">
        <v>61</v>
      </c>
      <c r="F5347" s="88">
        <v>0</v>
      </c>
      <c r="G5347" s="78">
        <f>MAX(H5347,I5347,J5347)</f>
        <v>1</v>
      </c>
      <c r="H5347" s="88"/>
      <c r="I5347" s="88"/>
      <c r="J5347" s="78">
        <f>MAX(K5347:Q5347)</f>
        <v>1</v>
      </c>
      <c r="K5347" s="88"/>
      <c r="L5347" s="88">
        <v>1</v>
      </c>
      <c r="M5347" s="88"/>
      <c r="N5347" s="88"/>
      <c r="O5347" s="88"/>
      <c r="P5347" s="88"/>
      <c r="Q5347" s="88"/>
      <c r="R5347" s="78">
        <f>MAX(S5347:W5347)</f>
        <v>0</v>
      </c>
      <c r="S5347" s="88"/>
      <c r="T5347" s="88"/>
      <c r="U5347" s="88"/>
      <c r="V5347" s="88"/>
      <c r="W5347" s="88"/>
    </row>
    <row r="5348" spans="2:23" s="0" customFormat="0" ht="15">
      <c r="B5348" s="87" t="s">
        <v>1</v>
      </c>
      <c r="C5348" s="88" t="s">
        <v>5259</v>
      </c>
      <c r="D5348" s="88" t="s">
        <v>3571</v>
      </c>
      <c r="E5348" s="88" t="s">
        <v>61</v>
      </c>
      <c r="F5348" s="88">
        <v>0</v>
      </c>
      <c r="G5348" s="78">
        <f>MAX(H5348,I5348,J5348)</f>
        <v>0</v>
      </c>
      <c r="H5348" s="88"/>
      <c r="I5348" s="88"/>
      <c r="J5348" s="78">
        <f>MAX(K5348:Q5348)</f>
        <v>0</v>
      </c>
      <c r="K5348" s="88"/>
      <c r="L5348" s="88"/>
      <c r="M5348" s="88"/>
      <c r="N5348" s="88"/>
      <c r="O5348" s="88"/>
      <c r="P5348" s="88"/>
      <c r="Q5348" s="88"/>
      <c r="R5348" s="78">
        <f>MAX(S5348:W5348)</f>
        <v>1</v>
      </c>
      <c r="S5348" s="88"/>
      <c r="T5348" s="88"/>
      <c r="U5348" s="88">
        <v>1</v>
      </c>
      <c r="V5348" s="88"/>
      <c r="W5348" s="88"/>
    </row>
    <row r="5349" spans="2:23" s="0" customFormat="0" ht="15">
      <c r="B5349" s="87" t="s">
        <v>1</v>
      </c>
      <c r="C5349" s="88" t="s">
        <v>5259</v>
      </c>
      <c r="D5349" s="88">
        <v>14504632</v>
      </c>
      <c r="E5349" s="88" t="s">
        <v>61</v>
      </c>
      <c r="F5349" s="88">
        <v>0</v>
      </c>
      <c r="G5349" s="78">
        <f>MAX(H5349,I5349,J5349)</f>
        <v>0</v>
      </c>
      <c r="H5349" s="88"/>
      <c r="I5349" s="88"/>
      <c r="J5349" s="78">
        <f>MAX(K5349:Q5349)</f>
        <v>0</v>
      </c>
      <c r="K5349" s="88"/>
      <c r="L5349" s="88"/>
      <c r="M5349" s="88"/>
      <c r="N5349" s="88"/>
      <c r="O5349" s="88"/>
      <c r="P5349" s="88"/>
      <c r="Q5349" s="88"/>
      <c r="R5349" s="78">
        <f>MAX(S5349:W5349)</f>
        <v>1</v>
      </c>
      <c r="S5349" s="88"/>
      <c r="T5349" s="88"/>
      <c r="U5349" s="88">
        <v>1</v>
      </c>
      <c r="V5349" s="88"/>
      <c r="W5349" s="88"/>
    </row>
    <row r="5350" spans="2:23" s="0" customFormat="0" ht="15">
      <c r="B5350" s="87" t="s">
        <v>1</v>
      </c>
      <c r="C5350" s="88" t="s">
        <v>5259</v>
      </c>
      <c r="D5350" s="88" t="s">
        <v>3825</v>
      </c>
      <c r="E5350" s="88" t="s">
        <v>61</v>
      </c>
      <c r="F5350" s="88">
        <v>0</v>
      </c>
      <c r="G5350" s="78">
        <f>MAX(H5350,I5350,J5350)</f>
        <v>0</v>
      </c>
      <c r="H5350" s="88"/>
      <c r="I5350" s="88"/>
      <c r="J5350" s="78">
        <f>MAX(K5350:Q5350)</f>
        <v>0</v>
      </c>
      <c r="K5350" s="88"/>
      <c r="L5350" s="88"/>
      <c r="M5350" s="88"/>
      <c r="N5350" s="88"/>
      <c r="O5350" s="88"/>
      <c r="P5350" s="88"/>
      <c r="Q5350" s="88"/>
      <c r="R5350" s="78">
        <f>MAX(S5350:W5350)</f>
        <v>1</v>
      </c>
      <c r="S5350" s="88"/>
      <c r="T5350" s="88"/>
      <c r="U5350" s="88">
        <v>1</v>
      </c>
      <c r="V5350" s="88"/>
      <c r="W5350" s="88"/>
    </row>
    <row r="5351" spans="2:23" s="0" customFormat="0" ht="15">
      <c r="B5351" s="87" t="s">
        <v>1</v>
      </c>
      <c r="C5351" s="88" t="s">
        <v>5259</v>
      </c>
      <c r="D5351" s="88">
        <v>23858823</v>
      </c>
      <c r="E5351" s="88" t="s">
        <v>61</v>
      </c>
      <c r="F5351" s="88">
        <v>0</v>
      </c>
      <c r="G5351" s="78">
        <f>MAX(H5351,I5351,J5351)</f>
        <v>1</v>
      </c>
      <c r="H5351" s="88"/>
      <c r="I5351" s="88"/>
      <c r="J5351" s="78">
        <f>MAX(K5351:Q5351)</f>
        <v>1</v>
      </c>
      <c r="K5351" s="88">
        <v>1</v>
      </c>
      <c r="L5351" s="88"/>
      <c r="M5351" s="88"/>
      <c r="N5351" s="88"/>
      <c r="O5351" s="88"/>
      <c r="P5351" s="88"/>
      <c r="Q5351" s="88"/>
      <c r="R5351" s="78">
        <f>MAX(S5351:W5351)</f>
        <v>0</v>
      </c>
      <c r="S5351" s="88"/>
      <c r="T5351" s="88"/>
      <c r="U5351" s="88"/>
      <c r="V5351" s="88"/>
      <c r="W5351" s="88"/>
    </row>
    <row r="5352" spans="2:23" s="0" customFormat="0" ht="15">
      <c r="B5352" s="87" t="s">
        <v>1</v>
      </c>
      <c r="C5352" s="88" t="s">
        <v>5259</v>
      </c>
      <c r="D5352" s="88" t="s">
        <v>3432</v>
      </c>
      <c r="E5352" s="88" t="s">
        <v>61</v>
      </c>
      <c r="F5352" s="88">
        <v>0</v>
      </c>
      <c r="G5352" s="78">
        <f>MAX(H5352,I5352,J5352)</f>
        <v>0</v>
      </c>
      <c r="H5352" s="88"/>
      <c r="I5352" s="88"/>
      <c r="J5352" s="78">
        <f>MAX(K5352:Q5352)</f>
        <v>0</v>
      </c>
      <c r="K5352" s="88"/>
      <c r="L5352" s="88"/>
      <c r="M5352" s="88"/>
      <c r="N5352" s="88"/>
      <c r="O5352" s="88"/>
      <c r="P5352" s="88"/>
      <c r="Q5352" s="88"/>
      <c r="R5352" s="78">
        <f>MAX(S5352:W5352)</f>
        <v>1</v>
      </c>
      <c r="S5352" s="88"/>
      <c r="T5352" s="88"/>
      <c r="U5352" s="88">
        <v>1</v>
      </c>
      <c r="V5352" s="88"/>
      <c r="W5352" s="88"/>
    </row>
    <row r="5353" spans="2:23" s="0" customFormat="0" ht="15">
      <c r="B5353" s="87" t="s">
        <v>1</v>
      </c>
      <c r="C5353" s="88" t="s">
        <v>5259</v>
      </c>
      <c r="D5353" s="88">
        <v>23523014</v>
      </c>
      <c r="E5353" s="88" t="s">
        <v>61</v>
      </c>
      <c r="F5353" s="88">
        <v>0</v>
      </c>
      <c r="G5353" s="78">
        <f>MAX(H5353,I5353,J5353)</f>
        <v>1</v>
      </c>
      <c r="H5353" s="88"/>
      <c r="I5353" s="88"/>
      <c r="J5353" s="78">
        <f>MAX(K5353:Q5353)</f>
        <v>1</v>
      </c>
      <c r="K5353" s="88">
        <v>1</v>
      </c>
      <c r="L5353" s="88"/>
      <c r="M5353" s="88"/>
      <c r="N5353" s="88"/>
      <c r="O5353" s="88"/>
      <c r="P5353" s="88"/>
      <c r="Q5353" s="88"/>
      <c r="R5353" s="78">
        <f>MAX(S5353:W5353)</f>
        <v>0</v>
      </c>
      <c r="S5353" s="88"/>
      <c r="T5353" s="88"/>
      <c r="U5353" s="88"/>
      <c r="V5353" s="88"/>
      <c r="W5353" s="88"/>
    </row>
    <row r="5354" spans="2:23" s="0" customFormat="0" ht="15">
      <c r="B5354" s="87" t="s">
        <v>1</v>
      </c>
      <c r="C5354" s="88" t="s">
        <v>5259</v>
      </c>
      <c r="D5354" s="88">
        <v>13272904</v>
      </c>
      <c r="E5354" s="88" t="s">
        <v>61</v>
      </c>
      <c r="F5354" s="88">
        <v>0</v>
      </c>
      <c r="G5354" s="78">
        <f>MAX(H5354,I5354,J5354)</f>
        <v>1</v>
      </c>
      <c r="H5354" s="88"/>
      <c r="I5354" s="88"/>
      <c r="J5354" s="78">
        <f>MAX(K5354:Q5354)</f>
        <v>1</v>
      </c>
      <c r="K5354" s="88">
        <v>1</v>
      </c>
      <c r="L5354" s="88"/>
      <c r="M5354" s="88"/>
      <c r="N5354" s="88"/>
      <c r="O5354" s="88"/>
      <c r="P5354" s="88"/>
      <c r="Q5354" s="88"/>
      <c r="R5354" s="78">
        <f>MAX(S5354:W5354)</f>
        <v>0</v>
      </c>
      <c r="S5354" s="88"/>
      <c r="T5354" s="88"/>
      <c r="U5354" s="88"/>
      <c r="V5354" s="88"/>
      <c r="W5354" s="88"/>
    </row>
    <row r="5355" spans="2:23" s="0" customFormat="0" ht="15">
      <c r="B5355" s="87" t="s">
        <v>1</v>
      </c>
      <c r="C5355" s="88" t="s">
        <v>5259</v>
      </c>
      <c r="D5355" s="88">
        <v>13715879</v>
      </c>
      <c r="E5355" s="88" t="s">
        <v>61</v>
      </c>
      <c r="F5355" s="88">
        <v>0</v>
      </c>
      <c r="G5355" s="78">
        <f>MAX(H5355,I5355,J5355)</f>
        <v>1</v>
      </c>
      <c r="H5355" s="88"/>
      <c r="I5355" s="88"/>
      <c r="J5355" s="78">
        <f>MAX(K5355:Q5355)</f>
        <v>1</v>
      </c>
      <c r="K5355" s="88">
        <v>1</v>
      </c>
      <c r="L5355" s="88"/>
      <c r="M5355" s="88"/>
      <c r="N5355" s="88"/>
      <c r="O5355" s="88"/>
      <c r="P5355" s="88"/>
      <c r="Q5355" s="88"/>
      <c r="R5355" s="78">
        <f>MAX(S5355:W5355)</f>
        <v>0</v>
      </c>
      <c r="S5355" s="88"/>
      <c r="T5355" s="88"/>
      <c r="U5355" s="88"/>
      <c r="V5355" s="88"/>
      <c r="W5355" s="88"/>
    </row>
    <row r="5356" spans="2:23" s="0" customFormat="0" ht="15">
      <c r="B5356" s="87" t="s">
        <v>1</v>
      </c>
      <c r="C5356" s="88" t="s">
        <v>5259</v>
      </c>
      <c r="D5356" s="88">
        <v>388150</v>
      </c>
      <c r="E5356" s="88" t="s">
        <v>61</v>
      </c>
      <c r="F5356" s="88">
        <v>0</v>
      </c>
      <c r="G5356" s="78">
        <f>MAX(H5356,I5356,J5356)</f>
        <v>1</v>
      </c>
      <c r="H5356" s="88"/>
      <c r="I5356" s="88"/>
      <c r="J5356" s="78">
        <f>MAX(K5356:Q5356)</f>
        <v>1</v>
      </c>
      <c r="K5356" s="88">
        <v>1</v>
      </c>
      <c r="L5356" s="88"/>
      <c r="M5356" s="88"/>
      <c r="N5356" s="88"/>
      <c r="O5356" s="88"/>
      <c r="P5356" s="88"/>
      <c r="Q5356" s="88"/>
      <c r="R5356" s="78">
        <f>MAX(S5356:W5356)</f>
        <v>0</v>
      </c>
      <c r="S5356" s="88"/>
      <c r="T5356" s="88"/>
      <c r="U5356" s="88"/>
      <c r="V5356" s="88"/>
      <c r="W5356" s="88"/>
    </row>
    <row r="5357" spans="2:23" s="0" customFormat="0" ht="15">
      <c r="B5357" s="87" t="s">
        <v>1</v>
      </c>
      <c r="C5357" s="88" t="s">
        <v>5259</v>
      </c>
      <c r="D5357" s="88">
        <v>238624</v>
      </c>
      <c r="E5357" s="88" t="s">
        <v>61</v>
      </c>
      <c r="F5357" s="88">
        <v>0</v>
      </c>
      <c r="G5357" s="78">
        <f>MAX(H5357,I5357,J5357)</f>
        <v>1</v>
      </c>
      <c r="H5357" s="88"/>
      <c r="I5357" s="88"/>
      <c r="J5357" s="78">
        <f>MAX(K5357:Q5357)</f>
        <v>1</v>
      </c>
      <c r="K5357" s="88">
        <v>1</v>
      </c>
      <c r="L5357" s="88"/>
      <c r="M5357" s="88"/>
      <c r="N5357" s="88"/>
      <c r="O5357" s="88"/>
      <c r="P5357" s="88"/>
      <c r="Q5357" s="88"/>
      <c r="R5357" s="78">
        <f>MAX(S5357:W5357)</f>
        <v>0</v>
      </c>
      <c r="S5357" s="88"/>
      <c r="T5357" s="88"/>
      <c r="U5357" s="88"/>
      <c r="V5357" s="88"/>
      <c r="W5357" s="88"/>
    </row>
    <row r="5358" spans="2:23" s="0" customFormat="0" ht="15">
      <c r="B5358" s="87" t="s">
        <v>1</v>
      </c>
      <c r="C5358" s="88" t="s">
        <v>5259</v>
      </c>
      <c r="D5358" s="88" t="s">
        <v>1312</v>
      </c>
      <c r="E5358" s="88" t="s">
        <v>61</v>
      </c>
      <c r="F5358" s="88">
        <v>0</v>
      </c>
      <c r="G5358" s="78">
        <f>MAX(H5358,I5358,J5358)</f>
        <v>1</v>
      </c>
      <c r="H5358" s="88"/>
      <c r="I5358" s="88"/>
      <c r="J5358" s="78">
        <f>MAX(K5358:Q5358)</f>
        <v>1</v>
      </c>
      <c r="K5358" s="88">
        <v>1</v>
      </c>
      <c r="L5358" s="88"/>
      <c r="M5358" s="88"/>
      <c r="N5358" s="88"/>
      <c r="O5358" s="88"/>
      <c r="P5358" s="88"/>
      <c r="Q5358" s="88"/>
      <c r="R5358" s="78">
        <f>MAX(S5358:W5358)</f>
        <v>0</v>
      </c>
      <c r="S5358" s="88"/>
      <c r="T5358" s="88"/>
      <c r="U5358" s="88"/>
      <c r="V5358" s="88"/>
      <c r="W5358" s="88"/>
    </row>
    <row r="5359" spans="2:23" s="0" customFormat="0" ht="15">
      <c r="B5359" s="87" t="s">
        <v>1</v>
      </c>
      <c r="C5359" s="88" t="s">
        <v>5259</v>
      </c>
      <c r="D5359" s="88" t="s">
        <v>2294</v>
      </c>
      <c r="E5359" s="88" t="s">
        <v>61</v>
      </c>
      <c r="F5359" s="88">
        <v>0</v>
      </c>
      <c r="G5359" s="78">
        <f>MAX(H5359,I5359,J5359)</f>
        <v>1</v>
      </c>
      <c r="H5359" s="88"/>
      <c r="I5359" s="88"/>
      <c r="J5359" s="78">
        <f>MAX(K5359:Q5359)</f>
        <v>1</v>
      </c>
      <c r="K5359" s="88">
        <v>1</v>
      </c>
      <c r="L5359" s="88"/>
      <c r="M5359" s="88"/>
      <c r="N5359" s="88"/>
      <c r="O5359" s="88"/>
      <c r="P5359" s="88"/>
      <c r="Q5359" s="88"/>
      <c r="R5359" s="78">
        <f>MAX(S5359:W5359)</f>
        <v>0</v>
      </c>
      <c r="S5359" s="88"/>
      <c r="T5359" s="88"/>
      <c r="U5359" s="88"/>
      <c r="V5359" s="88"/>
      <c r="W5359" s="88"/>
    </row>
    <row r="5360" spans="2:23" s="0" customFormat="0" ht="15">
      <c r="B5360" s="87" t="s">
        <v>1</v>
      </c>
      <c r="C5360" s="88" t="s">
        <v>5259</v>
      </c>
      <c r="D5360" s="88">
        <v>22554210</v>
      </c>
      <c r="E5360" s="88" t="s">
        <v>61</v>
      </c>
      <c r="F5360" s="88">
        <v>0</v>
      </c>
      <c r="G5360" s="78">
        <f>MAX(H5360,I5360,J5360)</f>
        <v>0</v>
      </c>
      <c r="H5360" s="88"/>
      <c r="I5360" s="88"/>
      <c r="J5360" s="78">
        <f>MAX(K5360:Q5360)</f>
        <v>0</v>
      </c>
      <c r="K5360" s="88"/>
      <c r="L5360" s="88"/>
      <c r="M5360" s="88"/>
      <c r="N5360" s="88"/>
      <c r="O5360" s="88"/>
      <c r="P5360" s="88"/>
      <c r="Q5360" s="88"/>
      <c r="R5360" s="78">
        <f>MAX(S5360:W5360)</f>
        <v>1</v>
      </c>
      <c r="S5360" s="88"/>
      <c r="T5360" s="88"/>
      <c r="U5360" s="88">
        <v>1</v>
      </c>
      <c r="V5360" s="88"/>
      <c r="W5360" s="88"/>
    </row>
    <row r="5361" spans="2:23" s="0" customFormat="0" ht="15">
      <c r="B5361" s="87" t="s">
        <v>1</v>
      </c>
      <c r="C5361" s="88" t="s">
        <v>5259</v>
      </c>
      <c r="D5361" s="88" t="s">
        <v>3078</v>
      </c>
      <c r="E5361" s="88" t="s">
        <v>61</v>
      </c>
      <c r="F5361" s="88">
        <v>0</v>
      </c>
      <c r="G5361" s="78">
        <f>MAX(H5361,I5361,J5361)</f>
        <v>1</v>
      </c>
      <c r="H5361" s="88"/>
      <c r="I5361" s="88"/>
      <c r="J5361" s="78">
        <f>MAX(K5361:Q5361)</f>
        <v>1</v>
      </c>
      <c r="K5361" s="88"/>
      <c r="L5361" s="88"/>
      <c r="M5361" s="88">
        <v>1</v>
      </c>
      <c r="N5361" s="88"/>
      <c r="O5361" s="88"/>
      <c r="P5361" s="88"/>
      <c r="Q5361" s="88"/>
      <c r="R5361" s="78">
        <f>MAX(S5361:W5361)</f>
        <v>0</v>
      </c>
      <c r="S5361" s="88"/>
      <c r="T5361" s="88"/>
      <c r="U5361" s="88"/>
      <c r="V5361" s="88"/>
      <c r="W5361" s="88"/>
    </row>
    <row r="5362" spans="2:23" s="0" customFormat="0" ht="15">
      <c r="B5362" s="87" t="s">
        <v>1</v>
      </c>
      <c r="C5362" s="88" t="s">
        <v>5259</v>
      </c>
      <c r="D5362" s="88" t="s">
        <v>2348</v>
      </c>
      <c r="E5362" s="88" t="s">
        <v>61</v>
      </c>
      <c r="F5362" s="88">
        <v>0</v>
      </c>
      <c r="G5362" s="78">
        <f>MAX(H5362,I5362,J5362)</f>
        <v>1</v>
      </c>
      <c r="H5362" s="88"/>
      <c r="I5362" s="88"/>
      <c r="J5362" s="78">
        <f>MAX(K5362:Q5362)</f>
        <v>1</v>
      </c>
      <c r="K5362" s="88">
        <v>1</v>
      </c>
      <c r="L5362" s="88"/>
      <c r="M5362" s="88"/>
      <c r="N5362" s="88"/>
      <c r="O5362" s="88"/>
      <c r="P5362" s="88"/>
      <c r="Q5362" s="88"/>
      <c r="R5362" s="78">
        <f>MAX(S5362:W5362)</f>
        <v>0</v>
      </c>
      <c r="S5362" s="88"/>
      <c r="T5362" s="88"/>
      <c r="U5362" s="88"/>
      <c r="V5362" s="88"/>
      <c r="W5362" s="88"/>
    </row>
    <row r="5363" spans="2:23" s="0" customFormat="0" ht="15">
      <c r="B5363" s="87" t="s">
        <v>1</v>
      </c>
      <c r="C5363" s="88" t="s">
        <v>5259</v>
      </c>
      <c r="D5363" s="88">
        <v>23543699</v>
      </c>
      <c r="E5363" s="88" t="s">
        <v>61</v>
      </c>
      <c r="F5363" s="88">
        <v>0</v>
      </c>
      <c r="G5363" s="78">
        <f>MAX(H5363,I5363,J5363)</f>
        <v>1</v>
      </c>
      <c r="H5363" s="88"/>
      <c r="I5363" s="88"/>
      <c r="J5363" s="78">
        <f>MAX(K5363:Q5363)</f>
        <v>1</v>
      </c>
      <c r="K5363" s="88">
        <v>1</v>
      </c>
      <c r="L5363" s="88"/>
      <c r="M5363" s="88"/>
      <c r="N5363" s="88"/>
      <c r="O5363" s="88"/>
      <c r="P5363" s="88"/>
      <c r="Q5363" s="88"/>
      <c r="R5363" s="78">
        <f>MAX(S5363:W5363)</f>
        <v>0</v>
      </c>
      <c r="S5363" s="88"/>
      <c r="T5363" s="88"/>
      <c r="U5363" s="88"/>
      <c r="V5363" s="88"/>
      <c r="W5363" s="88"/>
    </row>
    <row r="5364" spans="2:23" s="0" customFormat="0" ht="15">
      <c r="B5364" s="87" t="s">
        <v>1</v>
      </c>
      <c r="C5364" s="88" t="s">
        <v>5259</v>
      </c>
      <c r="D5364" s="88">
        <v>11821210</v>
      </c>
      <c r="E5364" s="88" t="s">
        <v>61</v>
      </c>
      <c r="F5364" s="88">
        <v>0</v>
      </c>
      <c r="G5364" s="78">
        <f>MAX(H5364,I5364,J5364)</f>
        <v>1</v>
      </c>
      <c r="H5364" s="88"/>
      <c r="I5364" s="88"/>
      <c r="J5364" s="78">
        <f>MAX(K5364:Q5364)</f>
        <v>1</v>
      </c>
      <c r="K5364" s="88">
        <v>1</v>
      </c>
      <c r="L5364" s="88"/>
      <c r="M5364" s="88"/>
      <c r="N5364" s="88"/>
      <c r="O5364" s="88"/>
      <c r="P5364" s="88"/>
      <c r="Q5364" s="88"/>
      <c r="R5364" s="78">
        <f>MAX(S5364:W5364)</f>
        <v>0</v>
      </c>
      <c r="S5364" s="88"/>
      <c r="T5364" s="88"/>
      <c r="U5364" s="88"/>
      <c r="V5364" s="88"/>
      <c r="W5364" s="88"/>
    </row>
    <row r="5365" spans="2:23" s="0" customFormat="0" ht="15">
      <c r="B5365" s="87" t="s">
        <v>1</v>
      </c>
      <c r="C5365" s="88" t="s">
        <v>5259</v>
      </c>
      <c r="D5365" s="88">
        <v>14591485</v>
      </c>
      <c r="E5365" s="88" t="s">
        <v>61</v>
      </c>
      <c r="F5365" s="88">
        <v>0</v>
      </c>
      <c r="G5365" s="78">
        <f>MAX(H5365,I5365,J5365)</f>
        <v>1</v>
      </c>
      <c r="H5365" s="88"/>
      <c r="I5365" s="88"/>
      <c r="J5365" s="78">
        <f>MAX(K5365:Q5365)</f>
        <v>1</v>
      </c>
      <c r="K5365" s="88">
        <v>1</v>
      </c>
      <c r="L5365" s="88"/>
      <c r="M5365" s="88"/>
      <c r="N5365" s="88"/>
      <c r="O5365" s="88"/>
      <c r="P5365" s="88"/>
      <c r="Q5365" s="88"/>
      <c r="R5365" s="78">
        <f>MAX(S5365:W5365)</f>
        <v>0</v>
      </c>
      <c r="S5365" s="88"/>
      <c r="T5365" s="88"/>
      <c r="U5365" s="88"/>
      <c r="V5365" s="88"/>
      <c r="W5365" s="88"/>
    </row>
    <row r="5366" spans="2:23" s="0" customFormat="0" ht="15">
      <c r="B5366" s="87" t="s">
        <v>1</v>
      </c>
      <c r="C5366" s="88" t="s">
        <v>5259</v>
      </c>
      <c r="D5366" s="88" t="s">
        <v>3913</v>
      </c>
      <c r="E5366" s="88" t="s">
        <v>61</v>
      </c>
      <c r="F5366" s="88">
        <v>0</v>
      </c>
      <c r="G5366" s="78">
        <f>MAX(H5366,I5366,J5366)</f>
        <v>0</v>
      </c>
      <c r="H5366" s="88"/>
      <c r="I5366" s="88"/>
      <c r="J5366" s="78">
        <f>MAX(K5366:Q5366)</f>
        <v>0</v>
      </c>
      <c r="K5366" s="88"/>
      <c r="L5366" s="88"/>
      <c r="M5366" s="88"/>
      <c r="N5366" s="88"/>
      <c r="O5366" s="88"/>
      <c r="P5366" s="88"/>
      <c r="Q5366" s="88"/>
      <c r="R5366" s="78">
        <f>MAX(S5366:W5366)</f>
        <v>1</v>
      </c>
      <c r="S5366" s="88"/>
      <c r="T5366" s="88"/>
      <c r="U5366" s="88">
        <v>1</v>
      </c>
      <c r="V5366" s="88"/>
      <c r="W5366" s="88"/>
    </row>
    <row r="5367" spans="2:23" s="0" customFormat="0" ht="15">
      <c r="B5367" s="87" t="s">
        <v>1</v>
      </c>
      <c r="C5367" s="88" t="s">
        <v>5259</v>
      </c>
      <c r="D5367" s="88">
        <v>14851179</v>
      </c>
      <c r="E5367" s="88" t="s">
        <v>61</v>
      </c>
      <c r="F5367" s="88">
        <v>0</v>
      </c>
      <c r="G5367" s="78">
        <f>MAX(H5367,I5367,J5367)</f>
        <v>1</v>
      </c>
      <c r="H5367" s="88"/>
      <c r="I5367" s="88"/>
      <c r="J5367" s="78">
        <f>MAX(K5367:Q5367)</f>
        <v>1</v>
      </c>
      <c r="K5367" s="88">
        <v>1</v>
      </c>
      <c r="L5367" s="88"/>
      <c r="M5367" s="88"/>
      <c r="N5367" s="88"/>
      <c r="O5367" s="88"/>
      <c r="P5367" s="88"/>
      <c r="Q5367" s="88"/>
      <c r="R5367" s="78">
        <f>MAX(S5367:W5367)</f>
        <v>0</v>
      </c>
      <c r="S5367" s="88"/>
      <c r="T5367" s="88"/>
      <c r="U5367" s="88"/>
      <c r="V5367" s="88"/>
      <c r="W5367" s="88"/>
    </row>
    <row r="5368" spans="2:23" s="0" customFormat="0" ht="15">
      <c r="B5368" s="87" t="s">
        <v>1</v>
      </c>
      <c r="C5368" s="88" t="s">
        <v>5259</v>
      </c>
      <c r="D5368" s="88" t="s">
        <v>3670</v>
      </c>
      <c r="E5368" s="88" t="s">
        <v>61</v>
      </c>
      <c r="F5368" s="88">
        <v>0</v>
      </c>
      <c r="G5368" s="78">
        <f>MAX(H5368,I5368,J5368)</f>
        <v>0</v>
      </c>
      <c r="H5368" s="88"/>
      <c r="I5368" s="88"/>
      <c r="J5368" s="78">
        <f>MAX(K5368:Q5368)</f>
        <v>0</v>
      </c>
      <c r="K5368" s="88"/>
      <c r="L5368" s="88"/>
      <c r="M5368" s="88"/>
      <c r="N5368" s="88"/>
      <c r="O5368" s="88"/>
      <c r="P5368" s="88"/>
      <c r="Q5368" s="88"/>
      <c r="R5368" s="78">
        <f>MAX(S5368:W5368)</f>
        <v>1</v>
      </c>
      <c r="S5368" s="88"/>
      <c r="T5368" s="88"/>
      <c r="U5368" s="88">
        <v>1</v>
      </c>
      <c r="V5368" s="88"/>
      <c r="W5368" s="88"/>
    </row>
    <row r="5369" spans="2:23" s="0" customFormat="0" ht="15">
      <c r="B5369" s="87" t="s">
        <v>1</v>
      </c>
      <c r="C5369" s="88" t="s">
        <v>5259</v>
      </c>
      <c r="D5369" s="88">
        <v>21669715</v>
      </c>
      <c r="E5369" s="88" t="s">
        <v>61</v>
      </c>
      <c r="F5369" s="88">
        <v>0</v>
      </c>
      <c r="G5369" s="78">
        <f>MAX(H5369,I5369,J5369)</f>
        <v>1</v>
      </c>
      <c r="H5369" s="88"/>
      <c r="I5369" s="88"/>
      <c r="J5369" s="78">
        <f>MAX(K5369:Q5369)</f>
        <v>1</v>
      </c>
      <c r="K5369" s="88">
        <v>1</v>
      </c>
      <c r="L5369" s="88"/>
      <c r="M5369" s="88"/>
      <c r="N5369" s="88"/>
      <c r="O5369" s="88"/>
      <c r="P5369" s="88"/>
      <c r="Q5369" s="88"/>
      <c r="R5369" s="78">
        <f>MAX(S5369:W5369)</f>
        <v>0</v>
      </c>
      <c r="S5369" s="88"/>
      <c r="T5369" s="88"/>
      <c r="U5369" s="88"/>
      <c r="V5369" s="88"/>
      <c r="W5369" s="88"/>
    </row>
    <row r="5370" spans="2:23" s="0" customFormat="0" ht="15">
      <c r="B5370" s="87" t="s">
        <v>1</v>
      </c>
      <c r="C5370" s="88" t="s">
        <v>5259</v>
      </c>
      <c r="D5370" s="88" t="s">
        <v>5133</v>
      </c>
      <c r="E5370" s="88" t="s">
        <v>61</v>
      </c>
      <c r="F5370" s="88">
        <v>0</v>
      </c>
      <c r="G5370" s="78">
        <f>MAX(H5370,I5370,J5370)</f>
        <v>0</v>
      </c>
      <c r="H5370" s="88"/>
      <c r="I5370" s="88"/>
      <c r="J5370" s="78">
        <f>MAX(K5370:Q5370)</f>
        <v>0</v>
      </c>
      <c r="K5370" s="88"/>
      <c r="L5370" s="88"/>
      <c r="M5370" s="88"/>
      <c r="N5370" s="88"/>
      <c r="O5370" s="88"/>
      <c r="P5370" s="88"/>
      <c r="Q5370" s="88"/>
      <c r="R5370" s="78">
        <f>MAX(S5370:W5370)</f>
        <v>1</v>
      </c>
      <c r="S5370" s="88"/>
      <c r="T5370" s="88"/>
      <c r="U5370" s="88">
        <v>1</v>
      </c>
      <c r="V5370" s="88"/>
      <c r="W5370" s="88"/>
    </row>
    <row r="5371" spans="2:23" s="0" customFormat="0" ht="15">
      <c r="B5371" s="87" t="s">
        <v>1</v>
      </c>
      <c r="C5371" s="88" t="s">
        <v>5259</v>
      </c>
      <c r="D5371" s="88">
        <v>18746165</v>
      </c>
      <c r="E5371" s="88" t="s">
        <v>61</v>
      </c>
      <c r="F5371" s="88">
        <v>0</v>
      </c>
      <c r="G5371" s="78">
        <f>MAX(H5371,I5371,J5371)</f>
        <v>0</v>
      </c>
      <c r="H5371" s="88"/>
      <c r="I5371" s="88"/>
      <c r="J5371" s="78">
        <f>MAX(K5371:Q5371)</f>
        <v>0</v>
      </c>
      <c r="K5371" s="88"/>
      <c r="L5371" s="88"/>
      <c r="M5371" s="88"/>
      <c r="N5371" s="88"/>
      <c r="O5371" s="88"/>
      <c r="P5371" s="88"/>
      <c r="Q5371" s="88"/>
      <c r="R5371" s="78">
        <f>MAX(S5371:W5371)</f>
        <v>1</v>
      </c>
      <c r="S5371" s="88"/>
      <c r="T5371" s="88"/>
      <c r="U5371" s="88">
        <v>1</v>
      </c>
      <c r="V5371" s="88"/>
      <c r="W5371" s="88"/>
    </row>
    <row r="5372" spans="2:23" s="0" customFormat="0" ht="15">
      <c r="B5372" s="87" t="s">
        <v>1</v>
      </c>
      <c r="C5372" s="88" t="s">
        <v>5259</v>
      </c>
      <c r="D5372" s="88" t="s">
        <v>5136</v>
      </c>
      <c r="E5372" s="88" t="s">
        <v>61</v>
      </c>
      <c r="F5372" s="88">
        <v>0</v>
      </c>
      <c r="G5372" s="78">
        <f>MAX(H5372,I5372,J5372)</f>
        <v>0</v>
      </c>
      <c r="H5372" s="88"/>
      <c r="I5372" s="88"/>
      <c r="J5372" s="78">
        <f>MAX(K5372:Q5372)</f>
        <v>0</v>
      </c>
      <c r="K5372" s="88"/>
      <c r="L5372" s="88"/>
      <c r="M5372" s="88"/>
      <c r="N5372" s="88"/>
      <c r="O5372" s="88"/>
      <c r="P5372" s="88"/>
      <c r="Q5372" s="88"/>
      <c r="R5372" s="78">
        <f>MAX(S5372:W5372)</f>
        <v>1</v>
      </c>
      <c r="S5372" s="88"/>
      <c r="T5372" s="88"/>
      <c r="U5372" s="88">
        <v>1</v>
      </c>
      <c r="V5372" s="88"/>
      <c r="W5372" s="88"/>
    </row>
    <row r="5373" spans="2:23" s="0" customFormat="0" ht="15">
      <c r="B5373" s="87" t="s">
        <v>1</v>
      </c>
      <c r="C5373" s="88" t="s">
        <v>5259</v>
      </c>
      <c r="D5373" s="88">
        <v>15798267</v>
      </c>
      <c r="E5373" s="88" t="s">
        <v>61</v>
      </c>
      <c r="F5373" s="88">
        <v>0</v>
      </c>
      <c r="G5373" s="78">
        <f>MAX(H5373,I5373,J5373)</f>
        <v>1</v>
      </c>
      <c r="H5373" s="88"/>
      <c r="I5373" s="88"/>
      <c r="J5373" s="78">
        <f>MAX(K5373:Q5373)</f>
        <v>1</v>
      </c>
      <c r="K5373" s="88">
        <v>1</v>
      </c>
      <c r="L5373" s="88"/>
      <c r="M5373" s="88"/>
      <c r="N5373" s="88"/>
      <c r="O5373" s="88"/>
      <c r="P5373" s="88"/>
      <c r="Q5373" s="88"/>
      <c r="R5373" s="78">
        <f>MAX(S5373:W5373)</f>
        <v>0</v>
      </c>
      <c r="S5373" s="88"/>
      <c r="T5373" s="88"/>
      <c r="U5373" s="88"/>
      <c r="V5373" s="88"/>
      <c r="W5373" s="88"/>
    </row>
    <row r="5374" spans="2:23" s="0" customFormat="0" ht="15">
      <c r="B5374" s="87" t="s">
        <v>1</v>
      </c>
      <c r="C5374" s="88" t="s">
        <v>5259</v>
      </c>
      <c r="D5374" s="88">
        <v>15497495</v>
      </c>
      <c r="E5374" s="88" t="s">
        <v>61</v>
      </c>
      <c r="F5374" s="88">
        <v>0</v>
      </c>
      <c r="G5374" s="78">
        <f>MAX(H5374,I5374,J5374)</f>
        <v>1</v>
      </c>
      <c r="H5374" s="88"/>
      <c r="I5374" s="88"/>
      <c r="J5374" s="78">
        <f>MAX(K5374:Q5374)</f>
        <v>1</v>
      </c>
      <c r="K5374" s="88">
        <v>1</v>
      </c>
      <c r="L5374" s="88"/>
      <c r="M5374" s="88"/>
      <c r="N5374" s="88"/>
      <c r="O5374" s="88"/>
      <c r="P5374" s="88"/>
      <c r="Q5374" s="88"/>
      <c r="R5374" s="78">
        <f>MAX(S5374:W5374)</f>
        <v>0</v>
      </c>
      <c r="S5374" s="88"/>
      <c r="T5374" s="88"/>
      <c r="U5374" s="88"/>
      <c r="V5374" s="88"/>
      <c r="W5374" s="88"/>
    </row>
    <row r="5375" spans="2:23" s="0" customFormat="0" ht="15">
      <c r="B5375" s="87" t="s">
        <v>1</v>
      </c>
      <c r="C5375" s="88" t="s">
        <v>5259</v>
      </c>
      <c r="D5375" s="88" t="s">
        <v>1540</v>
      </c>
      <c r="E5375" s="88" t="s">
        <v>61</v>
      </c>
      <c r="F5375" s="88">
        <v>0</v>
      </c>
      <c r="G5375" s="78">
        <f>MAX(H5375,I5375,J5375)</f>
        <v>1</v>
      </c>
      <c r="H5375" s="88"/>
      <c r="I5375" s="88"/>
      <c r="J5375" s="78">
        <f>MAX(K5375:Q5375)</f>
        <v>1</v>
      </c>
      <c r="K5375" s="88">
        <v>1</v>
      </c>
      <c r="L5375" s="88"/>
      <c r="M5375" s="88"/>
      <c r="N5375" s="88"/>
      <c r="O5375" s="88"/>
      <c r="P5375" s="88"/>
      <c r="Q5375" s="88"/>
      <c r="R5375" s="78">
        <f>MAX(S5375:W5375)</f>
        <v>0</v>
      </c>
      <c r="S5375" s="88"/>
      <c r="T5375" s="88"/>
      <c r="U5375" s="88"/>
      <c r="V5375" s="88"/>
      <c r="W5375" s="88"/>
    </row>
    <row r="5376" spans="2:23" s="0" customFormat="0" ht="15">
      <c r="B5376" s="87" t="s">
        <v>1</v>
      </c>
      <c r="C5376" s="88" t="s">
        <v>5259</v>
      </c>
      <c r="D5376" s="88">
        <v>12495004</v>
      </c>
      <c r="E5376" s="88" t="s">
        <v>61</v>
      </c>
      <c r="F5376" s="88">
        <v>0</v>
      </c>
      <c r="G5376" s="78">
        <f>MAX(H5376,I5376,J5376)</f>
        <v>1</v>
      </c>
      <c r="H5376" s="88"/>
      <c r="I5376" s="88"/>
      <c r="J5376" s="78">
        <f>MAX(K5376:Q5376)</f>
        <v>1</v>
      </c>
      <c r="K5376" s="88">
        <v>1</v>
      </c>
      <c r="L5376" s="88"/>
      <c r="M5376" s="88"/>
      <c r="N5376" s="88"/>
      <c r="O5376" s="88"/>
      <c r="P5376" s="88"/>
      <c r="Q5376" s="88"/>
      <c r="R5376" s="78">
        <f>MAX(S5376:W5376)</f>
        <v>0</v>
      </c>
      <c r="S5376" s="88"/>
      <c r="T5376" s="88"/>
      <c r="U5376" s="88"/>
      <c r="V5376" s="88"/>
      <c r="W5376" s="88"/>
    </row>
    <row r="5377" spans="2:23" s="0" customFormat="0" ht="15">
      <c r="B5377" s="87" t="s">
        <v>1</v>
      </c>
      <c r="C5377" s="88" t="s">
        <v>5259</v>
      </c>
      <c r="D5377" s="88">
        <v>17100995</v>
      </c>
      <c r="E5377" s="88" t="s">
        <v>61</v>
      </c>
      <c r="F5377" s="88">
        <v>0</v>
      </c>
      <c r="G5377" s="78">
        <f>MAX(H5377,I5377,J5377)</f>
        <v>1</v>
      </c>
      <c r="H5377" s="88"/>
      <c r="I5377" s="88"/>
      <c r="J5377" s="78">
        <f>MAX(K5377:Q5377)</f>
        <v>1</v>
      </c>
      <c r="K5377" s="88">
        <v>1</v>
      </c>
      <c r="L5377" s="88"/>
      <c r="M5377" s="88"/>
      <c r="N5377" s="88"/>
      <c r="O5377" s="88"/>
      <c r="P5377" s="88"/>
      <c r="Q5377" s="88"/>
      <c r="R5377" s="78">
        <f>MAX(S5377:W5377)</f>
        <v>0</v>
      </c>
      <c r="S5377" s="88"/>
      <c r="T5377" s="88"/>
      <c r="U5377" s="88"/>
      <c r="V5377" s="88"/>
      <c r="W5377" s="88"/>
    </row>
    <row r="5378" spans="2:23" s="0" customFormat="0" ht="15">
      <c r="B5378" s="87" t="s">
        <v>1</v>
      </c>
      <c r="C5378" s="88" t="s">
        <v>5259</v>
      </c>
      <c r="D5378" s="88" t="s">
        <v>1804</v>
      </c>
      <c r="E5378" s="88" t="s">
        <v>61</v>
      </c>
      <c r="F5378" s="88">
        <v>0</v>
      </c>
      <c r="G5378" s="78">
        <f>MAX(H5378,I5378,J5378)</f>
        <v>1</v>
      </c>
      <c r="H5378" s="88"/>
      <c r="I5378" s="88"/>
      <c r="J5378" s="78">
        <f>MAX(K5378:Q5378)</f>
        <v>1</v>
      </c>
      <c r="K5378" s="88">
        <v>1</v>
      </c>
      <c r="L5378" s="88"/>
      <c r="M5378" s="88"/>
      <c r="N5378" s="88"/>
      <c r="O5378" s="88"/>
      <c r="P5378" s="88"/>
      <c r="Q5378" s="88"/>
      <c r="R5378" s="78">
        <f>MAX(S5378:W5378)</f>
        <v>0</v>
      </c>
      <c r="S5378" s="88"/>
      <c r="T5378" s="88"/>
      <c r="U5378" s="88"/>
      <c r="V5378" s="88"/>
      <c r="W5378" s="88"/>
    </row>
    <row r="5379" spans="2:23" s="0" customFormat="0" ht="15">
      <c r="B5379" s="87" t="s">
        <v>1</v>
      </c>
      <c r="C5379" s="88" t="s">
        <v>5259</v>
      </c>
      <c r="D5379" s="88">
        <v>17170630</v>
      </c>
      <c r="E5379" s="88" t="s">
        <v>61</v>
      </c>
      <c r="F5379" s="88">
        <v>0</v>
      </c>
      <c r="G5379" s="78">
        <f>MAX(H5379,I5379,J5379)</f>
        <v>1</v>
      </c>
      <c r="H5379" s="88"/>
      <c r="I5379" s="88"/>
      <c r="J5379" s="78">
        <f>MAX(K5379:Q5379)</f>
        <v>1</v>
      </c>
      <c r="K5379" s="88">
        <v>1</v>
      </c>
      <c r="L5379" s="88"/>
      <c r="M5379" s="88"/>
      <c r="N5379" s="88"/>
      <c r="O5379" s="88"/>
      <c r="P5379" s="88"/>
      <c r="Q5379" s="88"/>
      <c r="R5379" s="78">
        <f>MAX(S5379:W5379)</f>
        <v>0</v>
      </c>
      <c r="S5379" s="88"/>
      <c r="T5379" s="88"/>
      <c r="U5379" s="88"/>
      <c r="V5379" s="88"/>
      <c r="W5379" s="88"/>
    </row>
    <row r="5380" spans="2:23" s="0" customFormat="0" ht="15">
      <c r="B5380" s="87" t="s">
        <v>1</v>
      </c>
      <c r="C5380" s="88" t="s">
        <v>5259</v>
      </c>
      <c r="D5380" s="88" t="s">
        <v>3490</v>
      </c>
      <c r="E5380" s="88" t="s">
        <v>61</v>
      </c>
      <c r="F5380" s="88">
        <v>0</v>
      </c>
      <c r="G5380" s="78">
        <f>MAX(H5380,I5380,J5380)</f>
        <v>0</v>
      </c>
      <c r="H5380" s="88"/>
      <c r="I5380" s="88"/>
      <c r="J5380" s="78">
        <f>MAX(K5380:Q5380)</f>
        <v>0</v>
      </c>
      <c r="K5380" s="88"/>
      <c r="L5380" s="88"/>
      <c r="M5380" s="88"/>
      <c r="N5380" s="88"/>
      <c r="O5380" s="88"/>
      <c r="P5380" s="88"/>
      <c r="Q5380" s="88"/>
      <c r="R5380" s="78">
        <f>MAX(S5380:W5380)</f>
        <v>1</v>
      </c>
      <c r="S5380" s="88"/>
      <c r="T5380" s="88"/>
      <c r="U5380" s="88">
        <v>1</v>
      </c>
      <c r="V5380" s="88"/>
      <c r="W5380" s="88"/>
    </row>
    <row r="5381" spans="2:23" s="0" customFormat="0" ht="15">
      <c r="B5381" s="87" t="s">
        <v>1</v>
      </c>
      <c r="C5381" s="88" t="s">
        <v>5259</v>
      </c>
      <c r="D5381" s="88">
        <v>21150137</v>
      </c>
      <c r="E5381" s="88" t="s">
        <v>61</v>
      </c>
      <c r="F5381" s="88">
        <v>0</v>
      </c>
      <c r="G5381" s="78">
        <f>MAX(H5381,I5381,J5381)</f>
        <v>1</v>
      </c>
      <c r="H5381" s="88"/>
      <c r="I5381" s="88"/>
      <c r="J5381" s="78">
        <f>MAX(K5381:Q5381)</f>
        <v>1</v>
      </c>
      <c r="K5381" s="88">
        <v>1</v>
      </c>
      <c r="L5381" s="88"/>
      <c r="M5381" s="88"/>
      <c r="N5381" s="88"/>
      <c r="O5381" s="88"/>
      <c r="P5381" s="88"/>
      <c r="Q5381" s="88"/>
      <c r="R5381" s="78">
        <f>MAX(S5381:W5381)</f>
        <v>0</v>
      </c>
      <c r="S5381" s="88"/>
      <c r="T5381" s="88"/>
      <c r="U5381" s="88"/>
      <c r="V5381" s="88"/>
      <c r="W5381" s="88"/>
    </row>
    <row r="5382" spans="2:23" s="0" customFormat="0" ht="15">
      <c r="B5382" s="87" t="s">
        <v>1</v>
      </c>
      <c r="C5382" s="88" t="s">
        <v>5259</v>
      </c>
      <c r="D5382" s="88" t="s">
        <v>5138</v>
      </c>
      <c r="E5382" s="88" t="s">
        <v>61</v>
      </c>
      <c r="F5382" s="88">
        <v>0</v>
      </c>
      <c r="G5382" s="78">
        <f>MAX(H5382,I5382,J5382)</f>
        <v>0</v>
      </c>
      <c r="H5382" s="88"/>
      <c r="I5382" s="88"/>
      <c r="J5382" s="78">
        <f>MAX(K5382:Q5382)</f>
        <v>0</v>
      </c>
      <c r="K5382" s="88"/>
      <c r="L5382" s="88"/>
      <c r="M5382" s="88"/>
      <c r="N5382" s="88"/>
      <c r="O5382" s="88"/>
      <c r="P5382" s="88"/>
      <c r="Q5382" s="88"/>
      <c r="R5382" s="78">
        <f>MAX(S5382:W5382)</f>
        <v>1</v>
      </c>
      <c r="S5382" s="88"/>
      <c r="T5382" s="88"/>
      <c r="U5382" s="88">
        <v>1</v>
      </c>
      <c r="V5382" s="88"/>
      <c r="W5382" s="88"/>
    </row>
    <row r="5383" spans="2:23" s="0" customFormat="0" ht="15">
      <c r="B5383" s="87" t="s">
        <v>1</v>
      </c>
      <c r="C5383" s="88" t="s">
        <v>5259</v>
      </c>
      <c r="D5383" s="88">
        <v>21040218</v>
      </c>
      <c r="E5383" s="88" t="s">
        <v>61</v>
      </c>
      <c r="F5383" s="88">
        <v>0</v>
      </c>
      <c r="G5383" s="78">
        <f>MAX(H5383,I5383,J5383)</f>
        <v>1</v>
      </c>
      <c r="H5383" s="88"/>
      <c r="I5383" s="88"/>
      <c r="J5383" s="78">
        <f>MAX(K5383:Q5383)</f>
        <v>1</v>
      </c>
      <c r="K5383" s="88">
        <v>1</v>
      </c>
      <c r="L5383" s="88"/>
      <c r="M5383" s="88"/>
      <c r="N5383" s="88"/>
      <c r="O5383" s="88"/>
      <c r="P5383" s="88"/>
      <c r="Q5383" s="88"/>
      <c r="R5383" s="78">
        <f>MAX(S5383:W5383)</f>
        <v>0</v>
      </c>
      <c r="S5383" s="88"/>
      <c r="T5383" s="88"/>
      <c r="U5383" s="88"/>
      <c r="V5383" s="88"/>
      <c r="W5383" s="88"/>
    </row>
    <row r="5384" spans="2:23" s="0" customFormat="0" ht="15">
      <c r="B5384" s="87" t="s">
        <v>1</v>
      </c>
      <c r="C5384" s="88" t="s">
        <v>5259</v>
      </c>
      <c r="D5384" s="88" t="s">
        <v>4741</v>
      </c>
      <c r="E5384" s="88" t="s">
        <v>61</v>
      </c>
      <c r="F5384" s="88">
        <v>0</v>
      </c>
      <c r="G5384" s="78">
        <f>MAX(H5384,I5384,J5384)</f>
        <v>0</v>
      </c>
      <c r="H5384" s="88"/>
      <c r="I5384" s="88"/>
      <c r="J5384" s="78">
        <f>MAX(K5384:Q5384)</f>
        <v>0</v>
      </c>
      <c r="K5384" s="88"/>
      <c r="L5384" s="88"/>
      <c r="M5384" s="88"/>
      <c r="N5384" s="88"/>
      <c r="O5384" s="88"/>
      <c r="P5384" s="88"/>
      <c r="Q5384" s="88"/>
      <c r="R5384" s="78">
        <f>MAX(S5384:W5384)</f>
        <v>1</v>
      </c>
      <c r="S5384" s="88"/>
      <c r="T5384" s="88"/>
      <c r="U5384" s="88">
        <v>1</v>
      </c>
      <c r="V5384" s="88"/>
      <c r="W5384" s="88"/>
    </row>
    <row r="5385" spans="2:23" s="0" customFormat="0" ht="15">
      <c r="B5385" s="87" t="s">
        <v>1</v>
      </c>
      <c r="C5385" s="88" t="s">
        <v>5259</v>
      </c>
      <c r="D5385" s="88">
        <v>21644220</v>
      </c>
      <c r="E5385" s="88" t="s">
        <v>61</v>
      </c>
      <c r="F5385" s="88">
        <v>0</v>
      </c>
      <c r="G5385" s="78">
        <f>MAX(H5385,I5385,J5385)</f>
        <v>1</v>
      </c>
      <c r="H5385" s="88"/>
      <c r="I5385" s="88"/>
      <c r="J5385" s="78">
        <f>MAX(K5385:Q5385)</f>
        <v>1</v>
      </c>
      <c r="K5385" s="88">
        <v>1</v>
      </c>
      <c r="L5385" s="88"/>
      <c r="M5385" s="88"/>
      <c r="N5385" s="88"/>
      <c r="O5385" s="88"/>
      <c r="P5385" s="88"/>
      <c r="Q5385" s="88"/>
      <c r="R5385" s="78">
        <f>MAX(S5385:W5385)</f>
        <v>0</v>
      </c>
      <c r="S5385" s="88"/>
      <c r="T5385" s="88"/>
      <c r="U5385" s="88"/>
      <c r="V5385" s="88"/>
      <c r="W5385" s="88"/>
    </row>
    <row r="5386" spans="2:23" s="0" customFormat="0" ht="15">
      <c r="B5386" s="87" t="s">
        <v>1</v>
      </c>
      <c r="C5386" s="88" t="s">
        <v>5259</v>
      </c>
      <c r="D5386" s="88">
        <v>17619874</v>
      </c>
      <c r="E5386" s="88" t="s">
        <v>61</v>
      </c>
      <c r="F5386" s="88">
        <v>0</v>
      </c>
      <c r="G5386" s="78">
        <f>MAX(H5386,I5386,J5386)</f>
        <v>0</v>
      </c>
      <c r="H5386" s="88"/>
      <c r="I5386" s="88"/>
      <c r="J5386" s="78">
        <f>MAX(K5386:Q5386)</f>
        <v>0</v>
      </c>
      <c r="K5386" s="88"/>
      <c r="L5386" s="88"/>
      <c r="M5386" s="88"/>
      <c r="N5386" s="88"/>
      <c r="O5386" s="88"/>
      <c r="P5386" s="88"/>
      <c r="Q5386" s="88"/>
      <c r="R5386" s="78">
        <f>MAX(S5386:W5386)</f>
        <v>1</v>
      </c>
      <c r="S5386" s="88"/>
      <c r="T5386" s="88"/>
      <c r="U5386" s="88">
        <v>1</v>
      </c>
      <c r="V5386" s="88"/>
      <c r="W5386" s="88"/>
    </row>
    <row r="5387" spans="2:23" s="0" customFormat="0" ht="15">
      <c r="B5387" s="87" t="s">
        <v>1</v>
      </c>
      <c r="C5387" s="88" t="s">
        <v>5259</v>
      </c>
      <c r="D5387" s="88" t="s">
        <v>2823</v>
      </c>
      <c r="E5387" s="88" t="s">
        <v>61</v>
      </c>
      <c r="F5387" s="88">
        <v>0</v>
      </c>
      <c r="G5387" s="78">
        <f>MAX(H5387,I5387,J5387)</f>
        <v>1</v>
      </c>
      <c r="H5387" s="88"/>
      <c r="I5387" s="88"/>
      <c r="J5387" s="78">
        <f>MAX(K5387:Q5387)</f>
        <v>1</v>
      </c>
      <c r="K5387" s="88">
        <v>1</v>
      </c>
      <c r="L5387" s="88"/>
      <c r="M5387" s="88"/>
      <c r="N5387" s="88"/>
      <c r="O5387" s="88"/>
      <c r="P5387" s="88"/>
      <c r="Q5387" s="88"/>
      <c r="R5387" s="78">
        <f>MAX(S5387:W5387)</f>
        <v>0</v>
      </c>
      <c r="S5387" s="88"/>
      <c r="T5387" s="88"/>
      <c r="U5387" s="88"/>
      <c r="V5387" s="88"/>
      <c r="W5387" s="88"/>
    </row>
    <row r="5388" spans="2:23" s="0" customFormat="0" ht="15">
      <c r="B5388" s="87" t="s">
        <v>1</v>
      </c>
      <c r="C5388" s="88" t="s">
        <v>5259</v>
      </c>
      <c r="D5388" s="88">
        <v>12296910</v>
      </c>
      <c r="E5388" s="88" t="s">
        <v>61</v>
      </c>
      <c r="F5388" s="88">
        <v>0</v>
      </c>
      <c r="G5388" s="78">
        <f>MAX(H5388,I5388,J5388)</f>
        <v>1</v>
      </c>
      <c r="H5388" s="88"/>
      <c r="I5388" s="88"/>
      <c r="J5388" s="78">
        <f>MAX(K5388:Q5388)</f>
        <v>1</v>
      </c>
      <c r="K5388" s="88">
        <v>1</v>
      </c>
      <c r="L5388" s="88"/>
      <c r="M5388" s="88"/>
      <c r="N5388" s="88"/>
      <c r="O5388" s="88"/>
      <c r="P5388" s="88"/>
      <c r="Q5388" s="88"/>
      <c r="R5388" s="78">
        <f>MAX(S5388:W5388)</f>
        <v>0</v>
      </c>
      <c r="S5388" s="88"/>
      <c r="T5388" s="88"/>
      <c r="U5388" s="88"/>
      <c r="V5388" s="88"/>
      <c r="W5388" s="88"/>
    </row>
    <row r="5389" spans="2:23" s="0" customFormat="0" ht="15">
      <c r="B5389" s="87" t="s">
        <v>1</v>
      </c>
      <c r="C5389" s="88" t="s">
        <v>5259</v>
      </c>
      <c r="D5389" s="88">
        <v>11986525</v>
      </c>
      <c r="E5389" s="88" t="s">
        <v>61</v>
      </c>
      <c r="F5389" s="88">
        <v>0</v>
      </c>
      <c r="G5389" s="78">
        <f>MAX(H5389,I5389,J5389)</f>
        <v>1</v>
      </c>
      <c r="H5389" s="88"/>
      <c r="I5389" s="88"/>
      <c r="J5389" s="78">
        <f>MAX(K5389:Q5389)</f>
        <v>1</v>
      </c>
      <c r="K5389" s="88">
        <v>1</v>
      </c>
      <c r="L5389" s="88"/>
      <c r="M5389" s="88"/>
      <c r="N5389" s="88"/>
      <c r="O5389" s="88"/>
      <c r="P5389" s="88"/>
      <c r="Q5389" s="88"/>
      <c r="R5389" s="78">
        <f>MAX(S5389:W5389)</f>
        <v>0</v>
      </c>
      <c r="S5389" s="88"/>
      <c r="T5389" s="88"/>
      <c r="U5389" s="88"/>
      <c r="V5389" s="88"/>
      <c r="W5389" s="88"/>
    </row>
    <row r="5390" spans="2:23" s="0" customFormat="0" ht="15">
      <c r="B5390" s="87" t="s">
        <v>1</v>
      </c>
      <c r="C5390" s="88" t="s">
        <v>5259</v>
      </c>
      <c r="D5390" s="88">
        <v>24430401</v>
      </c>
      <c r="E5390" s="88" t="s">
        <v>61</v>
      </c>
      <c r="F5390" s="88">
        <v>0</v>
      </c>
      <c r="G5390" s="78">
        <f>MAX(H5390,I5390,J5390)</f>
        <v>1</v>
      </c>
      <c r="H5390" s="88"/>
      <c r="I5390" s="88"/>
      <c r="J5390" s="78">
        <f>MAX(K5390:Q5390)</f>
        <v>1</v>
      </c>
      <c r="K5390" s="88">
        <v>1</v>
      </c>
      <c r="L5390" s="88"/>
      <c r="M5390" s="88"/>
      <c r="N5390" s="88"/>
      <c r="O5390" s="88"/>
      <c r="P5390" s="88"/>
      <c r="Q5390" s="88"/>
      <c r="R5390" s="78">
        <f>MAX(S5390:W5390)</f>
        <v>0</v>
      </c>
      <c r="S5390" s="88"/>
      <c r="T5390" s="88"/>
      <c r="U5390" s="88"/>
      <c r="V5390" s="88"/>
      <c r="W5390" s="88"/>
    </row>
    <row r="5391" spans="2:23" s="0" customFormat="0" ht="15">
      <c r="B5391" s="87" t="s">
        <v>1</v>
      </c>
      <c r="C5391" s="88" t="s">
        <v>5259</v>
      </c>
      <c r="D5391" s="88">
        <v>14593298</v>
      </c>
      <c r="E5391" s="88" t="s">
        <v>61</v>
      </c>
      <c r="F5391" s="88">
        <v>0</v>
      </c>
      <c r="G5391" s="78">
        <f>MAX(H5391,I5391,J5391)</f>
        <v>1</v>
      </c>
      <c r="H5391" s="88"/>
      <c r="I5391" s="88"/>
      <c r="J5391" s="78">
        <f>MAX(K5391:Q5391)</f>
        <v>1</v>
      </c>
      <c r="K5391" s="88">
        <v>1</v>
      </c>
      <c r="L5391" s="88"/>
      <c r="M5391" s="88"/>
      <c r="N5391" s="88"/>
      <c r="O5391" s="88"/>
      <c r="P5391" s="88"/>
      <c r="Q5391" s="88"/>
      <c r="R5391" s="78">
        <f>MAX(S5391:W5391)</f>
        <v>0</v>
      </c>
      <c r="S5391" s="88"/>
      <c r="T5391" s="88"/>
      <c r="U5391" s="88"/>
      <c r="V5391" s="88"/>
      <c r="W5391" s="88"/>
    </row>
    <row r="5392" spans="2:23" s="0" customFormat="0" ht="15">
      <c r="B5392" s="87" t="s">
        <v>1</v>
      </c>
      <c r="C5392" s="88" t="s">
        <v>5259</v>
      </c>
      <c r="D5392" s="88">
        <v>16636569</v>
      </c>
      <c r="E5392" s="88" t="s">
        <v>61</v>
      </c>
      <c r="F5392" s="88">
        <v>0</v>
      </c>
      <c r="G5392" s="78">
        <f>MAX(H5392,I5392,J5392)</f>
        <v>1</v>
      </c>
      <c r="H5392" s="88"/>
      <c r="I5392" s="88"/>
      <c r="J5392" s="78">
        <f>MAX(K5392:Q5392)</f>
        <v>1</v>
      </c>
      <c r="K5392" s="88">
        <v>1</v>
      </c>
      <c r="L5392" s="88"/>
      <c r="M5392" s="88"/>
      <c r="N5392" s="88"/>
      <c r="O5392" s="88"/>
      <c r="P5392" s="88"/>
      <c r="Q5392" s="88"/>
      <c r="R5392" s="78">
        <f>MAX(S5392:W5392)</f>
        <v>0</v>
      </c>
      <c r="S5392" s="88"/>
      <c r="T5392" s="88"/>
      <c r="U5392" s="88"/>
      <c r="V5392" s="88"/>
      <c r="W5392" s="88"/>
    </row>
    <row r="5393" spans="2:23" s="0" customFormat="0" ht="15">
      <c r="B5393" s="87" t="s">
        <v>1</v>
      </c>
      <c r="C5393" s="88" t="s">
        <v>5259</v>
      </c>
      <c r="D5393" s="88">
        <v>16992081</v>
      </c>
      <c r="E5393" s="88" t="s">
        <v>61</v>
      </c>
      <c r="F5393" s="88">
        <v>0</v>
      </c>
      <c r="G5393" s="78">
        <f>MAX(H5393,I5393,J5393)</f>
        <v>1</v>
      </c>
      <c r="H5393" s="88"/>
      <c r="I5393" s="88"/>
      <c r="J5393" s="78">
        <f>MAX(K5393:Q5393)</f>
        <v>1</v>
      </c>
      <c r="K5393" s="88">
        <v>1</v>
      </c>
      <c r="L5393" s="88"/>
      <c r="M5393" s="88"/>
      <c r="N5393" s="88"/>
      <c r="O5393" s="88"/>
      <c r="P5393" s="88"/>
      <c r="Q5393" s="88"/>
      <c r="R5393" s="78">
        <f>MAX(S5393:W5393)</f>
        <v>0</v>
      </c>
      <c r="S5393" s="88"/>
      <c r="T5393" s="88"/>
      <c r="U5393" s="88"/>
      <c r="V5393" s="88"/>
      <c r="W5393" s="88"/>
    </row>
    <row r="5394" spans="2:23" s="0" customFormat="0" ht="15">
      <c r="B5394" s="87" t="s">
        <v>1</v>
      </c>
      <c r="C5394" s="88" t="s">
        <v>5259</v>
      </c>
      <c r="D5394" s="88" t="s">
        <v>5023</v>
      </c>
      <c r="E5394" s="88" t="s">
        <v>61</v>
      </c>
      <c r="F5394" s="88">
        <v>0</v>
      </c>
      <c r="G5394" s="78">
        <f>MAX(H5394,I5394,J5394)</f>
        <v>0</v>
      </c>
      <c r="H5394" s="88"/>
      <c r="I5394" s="88"/>
      <c r="J5394" s="78">
        <f>MAX(K5394:Q5394)</f>
        <v>0</v>
      </c>
      <c r="K5394" s="88"/>
      <c r="L5394" s="88"/>
      <c r="M5394" s="88"/>
      <c r="N5394" s="88"/>
      <c r="O5394" s="88"/>
      <c r="P5394" s="88"/>
      <c r="Q5394" s="88"/>
      <c r="R5394" s="78">
        <f>MAX(S5394:W5394)</f>
        <v>1</v>
      </c>
      <c r="S5394" s="88"/>
      <c r="T5394" s="88"/>
      <c r="U5394" s="88">
        <v>1</v>
      </c>
      <c r="V5394" s="88"/>
      <c r="W5394" s="88"/>
    </row>
    <row r="5395" spans="2:23" s="0" customFormat="0" ht="15">
      <c r="B5395" s="87" t="s">
        <v>1</v>
      </c>
      <c r="C5395" s="88" t="s">
        <v>5259</v>
      </c>
      <c r="D5395" s="88">
        <v>6924798</v>
      </c>
      <c r="E5395" s="88" t="s">
        <v>61</v>
      </c>
      <c r="F5395" s="88">
        <v>0</v>
      </c>
      <c r="G5395" s="78">
        <f>MAX(H5395,I5395,J5395)</f>
        <v>1</v>
      </c>
      <c r="H5395" s="88"/>
      <c r="I5395" s="88"/>
      <c r="J5395" s="78">
        <f>MAX(K5395:Q5395)</f>
        <v>1</v>
      </c>
      <c r="K5395" s="88">
        <v>1</v>
      </c>
      <c r="L5395" s="88"/>
      <c r="M5395" s="88"/>
      <c r="N5395" s="88"/>
      <c r="O5395" s="88"/>
      <c r="P5395" s="88"/>
      <c r="Q5395" s="88"/>
      <c r="R5395" s="78">
        <f>MAX(S5395:W5395)</f>
        <v>0</v>
      </c>
      <c r="S5395" s="88"/>
      <c r="T5395" s="88"/>
      <c r="U5395" s="88"/>
      <c r="V5395" s="88"/>
      <c r="W5395" s="88"/>
    </row>
    <row r="5396" spans="2:23" s="0" customFormat="0" ht="15">
      <c r="B5396" s="87" t="s">
        <v>1</v>
      </c>
      <c r="C5396" s="88" t="s">
        <v>5259</v>
      </c>
      <c r="D5396" s="88" t="s">
        <v>5140</v>
      </c>
      <c r="E5396" s="88" t="s">
        <v>61</v>
      </c>
      <c r="F5396" s="88">
        <v>0</v>
      </c>
      <c r="G5396" s="78">
        <f>MAX(H5396,I5396,J5396)</f>
        <v>0</v>
      </c>
      <c r="H5396" s="88"/>
      <c r="I5396" s="88"/>
      <c r="J5396" s="78">
        <f>MAX(K5396:Q5396)</f>
        <v>0</v>
      </c>
      <c r="K5396" s="88"/>
      <c r="L5396" s="88"/>
      <c r="M5396" s="88"/>
      <c r="N5396" s="88"/>
      <c r="O5396" s="88"/>
      <c r="P5396" s="88"/>
      <c r="Q5396" s="88"/>
      <c r="R5396" s="78">
        <f>MAX(S5396:W5396)</f>
        <v>1</v>
      </c>
      <c r="S5396" s="88"/>
      <c r="T5396" s="88"/>
      <c r="U5396" s="88">
        <v>1</v>
      </c>
      <c r="V5396" s="88"/>
      <c r="W5396" s="88"/>
    </row>
    <row r="5397" spans="2:23" s="0" customFormat="0" ht="15">
      <c r="B5397" s="87" t="s">
        <v>1</v>
      </c>
      <c r="C5397" s="88" t="s">
        <v>5259</v>
      </c>
      <c r="D5397" s="88">
        <v>14430635</v>
      </c>
      <c r="E5397" s="88" t="s">
        <v>61</v>
      </c>
      <c r="F5397" s="88">
        <v>0</v>
      </c>
      <c r="G5397" s="78">
        <f>MAX(H5397,I5397,J5397)</f>
        <v>1</v>
      </c>
      <c r="H5397" s="88"/>
      <c r="I5397" s="88"/>
      <c r="J5397" s="78">
        <f>MAX(K5397:Q5397)</f>
        <v>1</v>
      </c>
      <c r="K5397" s="88">
        <v>1</v>
      </c>
      <c r="L5397" s="88"/>
      <c r="M5397" s="88"/>
      <c r="N5397" s="88"/>
      <c r="O5397" s="88"/>
      <c r="P5397" s="88"/>
      <c r="Q5397" s="88"/>
      <c r="R5397" s="78">
        <f>MAX(S5397:W5397)</f>
        <v>0</v>
      </c>
      <c r="S5397" s="88"/>
      <c r="T5397" s="88"/>
      <c r="U5397" s="88"/>
      <c r="V5397" s="88"/>
      <c r="W5397" s="88"/>
    </row>
    <row r="5398" spans="2:23" s="0" customFormat="0" ht="15">
      <c r="B5398" s="87" t="s">
        <v>1</v>
      </c>
      <c r="C5398" s="88" t="s">
        <v>5259</v>
      </c>
      <c r="D5398" s="88">
        <v>4601775</v>
      </c>
      <c r="E5398" s="88" t="s">
        <v>61</v>
      </c>
      <c r="F5398" s="88">
        <v>0</v>
      </c>
      <c r="G5398" s="78">
        <f>MAX(H5398,I5398,J5398)</f>
        <v>1</v>
      </c>
      <c r="H5398" s="88"/>
      <c r="I5398" s="88"/>
      <c r="J5398" s="78">
        <f>MAX(K5398:Q5398)</f>
        <v>1</v>
      </c>
      <c r="K5398" s="88">
        <v>1</v>
      </c>
      <c r="L5398" s="88"/>
      <c r="M5398" s="88"/>
      <c r="N5398" s="88"/>
      <c r="O5398" s="88"/>
      <c r="P5398" s="88"/>
      <c r="Q5398" s="88"/>
      <c r="R5398" s="78">
        <f>MAX(S5398:W5398)</f>
        <v>0</v>
      </c>
      <c r="S5398" s="88"/>
      <c r="T5398" s="88"/>
      <c r="U5398" s="88"/>
      <c r="V5398" s="88"/>
      <c r="W5398" s="88"/>
    </row>
    <row r="5399" spans="2:23" s="0" customFormat="0" ht="15">
      <c r="B5399" s="87" t="s">
        <v>1</v>
      </c>
      <c r="C5399" s="88" t="s">
        <v>5259</v>
      </c>
      <c r="D5399" s="88">
        <v>12130969</v>
      </c>
      <c r="E5399" s="88" t="s">
        <v>61</v>
      </c>
      <c r="F5399" s="88">
        <v>0</v>
      </c>
      <c r="G5399" s="78">
        <f>MAX(H5399,I5399,J5399)</f>
        <v>0</v>
      </c>
      <c r="H5399" s="88"/>
      <c r="I5399" s="88"/>
      <c r="J5399" s="78">
        <f>MAX(K5399:Q5399)</f>
        <v>0</v>
      </c>
      <c r="K5399" s="88"/>
      <c r="L5399" s="88"/>
      <c r="M5399" s="88"/>
      <c r="N5399" s="88"/>
      <c r="O5399" s="88"/>
      <c r="P5399" s="88"/>
      <c r="Q5399" s="88"/>
      <c r="R5399" s="78">
        <f>MAX(S5399:W5399)</f>
        <v>1</v>
      </c>
      <c r="S5399" s="88"/>
      <c r="T5399" s="88"/>
      <c r="U5399" s="88">
        <v>1</v>
      </c>
      <c r="V5399" s="88"/>
      <c r="W5399" s="88"/>
    </row>
    <row r="5400" spans="2:23" s="0" customFormat="0" ht="15">
      <c r="B5400" s="87" t="s">
        <v>1</v>
      </c>
      <c r="C5400" s="88" t="s">
        <v>5259</v>
      </c>
      <c r="D5400" s="88">
        <v>19622097</v>
      </c>
      <c r="E5400" s="88" t="s">
        <v>61</v>
      </c>
      <c r="F5400" s="88">
        <v>0</v>
      </c>
      <c r="G5400" s="78">
        <f>MAX(H5400,I5400,J5400)</f>
        <v>1</v>
      </c>
      <c r="H5400" s="88"/>
      <c r="I5400" s="88"/>
      <c r="J5400" s="78">
        <f>MAX(K5400:Q5400)</f>
        <v>1</v>
      </c>
      <c r="K5400" s="88">
        <v>1</v>
      </c>
      <c r="L5400" s="88"/>
      <c r="M5400" s="88"/>
      <c r="N5400" s="88"/>
      <c r="O5400" s="88"/>
      <c r="P5400" s="88"/>
      <c r="Q5400" s="88"/>
      <c r="R5400" s="78">
        <f>MAX(S5400:W5400)</f>
        <v>0</v>
      </c>
      <c r="S5400" s="88"/>
      <c r="T5400" s="88"/>
      <c r="U5400" s="88"/>
      <c r="V5400" s="88"/>
      <c r="W5400" s="88"/>
    </row>
    <row r="5401" spans="2:23" s="0" customFormat="0" ht="15">
      <c r="B5401" s="87" t="s">
        <v>1</v>
      </c>
      <c r="C5401" s="88" t="s">
        <v>5259</v>
      </c>
      <c r="D5401" s="88">
        <v>11879433</v>
      </c>
      <c r="E5401" s="88" t="s">
        <v>61</v>
      </c>
      <c r="F5401" s="88">
        <v>0</v>
      </c>
      <c r="G5401" s="78">
        <f>MAX(H5401,I5401,J5401)</f>
        <v>1</v>
      </c>
      <c r="H5401" s="88"/>
      <c r="I5401" s="88"/>
      <c r="J5401" s="78">
        <f>MAX(K5401:Q5401)</f>
        <v>1</v>
      </c>
      <c r="K5401" s="88">
        <v>1</v>
      </c>
      <c r="L5401" s="88"/>
      <c r="M5401" s="88"/>
      <c r="N5401" s="88"/>
      <c r="O5401" s="88"/>
      <c r="P5401" s="88"/>
      <c r="Q5401" s="88"/>
      <c r="R5401" s="78">
        <f>MAX(S5401:W5401)</f>
        <v>0</v>
      </c>
      <c r="S5401" s="88"/>
      <c r="T5401" s="88"/>
      <c r="U5401" s="88"/>
      <c r="V5401" s="88"/>
      <c r="W5401" s="88"/>
    </row>
    <row r="5402" spans="2:23" s="0" customFormat="0" ht="15">
      <c r="B5402" s="87" t="s">
        <v>1</v>
      </c>
      <c r="C5402" s="88" t="s">
        <v>5259</v>
      </c>
      <c r="D5402" s="88" t="s">
        <v>5142</v>
      </c>
      <c r="E5402" s="88" t="s">
        <v>61</v>
      </c>
      <c r="F5402" s="88">
        <v>0</v>
      </c>
      <c r="G5402" s="78">
        <f>MAX(H5402,I5402,J5402)</f>
        <v>0</v>
      </c>
      <c r="H5402" s="88"/>
      <c r="I5402" s="88"/>
      <c r="J5402" s="78">
        <f>MAX(K5402:Q5402)</f>
        <v>0</v>
      </c>
      <c r="K5402" s="88"/>
      <c r="L5402" s="88"/>
      <c r="M5402" s="88"/>
      <c r="N5402" s="88"/>
      <c r="O5402" s="88"/>
      <c r="P5402" s="88"/>
      <c r="Q5402" s="88"/>
      <c r="R5402" s="78">
        <f>MAX(S5402:W5402)</f>
        <v>1</v>
      </c>
      <c r="S5402" s="88"/>
      <c r="T5402" s="88"/>
      <c r="U5402" s="88">
        <v>1</v>
      </c>
      <c r="V5402" s="88"/>
      <c r="W5402" s="88"/>
    </row>
    <row r="5403" spans="2:23" s="0" customFormat="0" ht="15">
      <c r="B5403" s="87" t="s">
        <v>1</v>
      </c>
      <c r="C5403" s="88" t="s">
        <v>5259</v>
      </c>
      <c r="D5403" s="88">
        <v>21743792</v>
      </c>
      <c r="E5403" s="88" t="s">
        <v>61</v>
      </c>
      <c r="F5403" s="88">
        <v>0</v>
      </c>
      <c r="G5403" s="78">
        <f>MAX(H5403,I5403,J5403)</f>
        <v>1</v>
      </c>
      <c r="H5403" s="88"/>
      <c r="I5403" s="88"/>
      <c r="J5403" s="78">
        <f>MAX(K5403:Q5403)</f>
        <v>1</v>
      </c>
      <c r="K5403" s="88">
        <v>1</v>
      </c>
      <c r="L5403" s="88"/>
      <c r="M5403" s="88"/>
      <c r="N5403" s="88"/>
      <c r="O5403" s="88"/>
      <c r="P5403" s="88"/>
      <c r="Q5403" s="88"/>
      <c r="R5403" s="78">
        <f>MAX(S5403:W5403)</f>
        <v>0</v>
      </c>
      <c r="S5403" s="88"/>
      <c r="T5403" s="88"/>
      <c r="U5403" s="88"/>
      <c r="V5403" s="88"/>
      <c r="W5403" s="88"/>
    </row>
    <row r="5404" spans="2:23" s="0" customFormat="0" ht="15">
      <c r="B5404" s="87" t="s">
        <v>1</v>
      </c>
      <c r="C5404" s="88" t="s">
        <v>5259</v>
      </c>
      <c r="D5404" s="88" t="s">
        <v>5144</v>
      </c>
      <c r="E5404" s="88" t="s">
        <v>61</v>
      </c>
      <c r="F5404" s="88">
        <v>0</v>
      </c>
      <c r="G5404" s="78">
        <f>MAX(H5404,I5404,J5404)</f>
        <v>0</v>
      </c>
      <c r="H5404" s="88"/>
      <c r="I5404" s="88"/>
      <c r="J5404" s="78">
        <f>MAX(K5404:Q5404)</f>
        <v>0</v>
      </c>
      <c r="K5404" s="88"/>
      <c r="L5404" s="88"/>
      <c r="M5404" s="88"/>
      <c r="N5404" s="88"/>
      <c r="O5404" s="88"/>
      <c r="P5404" s="88"/>
      <c r="Q5404" s="88"/>
      <c r="R5404" s="78">
        <f>MAX(S5404:W5404)</f>
        <v>1</v>
      </c>
      <c r="S5404" s="88"/>
      <c r="T5404" s="88"/>
      <c r="U5404" s="88">
        <v>1</v>
      </c>
      <c r="V5404" s="88"/>
      <c r="W5404" s="88"/>
    </row>
    <row r="5405" spans="2:23" s="0" customFormat="0" ht="15">
      <c r="B5405" s="87" t="s">
        <v>1</v>
      </c>
      <c r="C5405" s="88" t="s">
        <v>5259</v>
      </c>
      <c r="D5405" s="88" t="s">
        <v>4724</v>
      </c>
      <c r="E5405" s="88" t="s">
        <v>61</v>
      </c>
      <c r="F5405" s="88">
        <v>0</v>
      </c>
      <c r="G5405" s="78">
        <f>MAX(H5405,I5405,J5405)</f>
        <v>0</v>
      </c>
      <c r="H5405" s="88"/>
      <c r="I5405" s="88"/>
      <c r="J5405" s="78">
        <f>MAX(K5405:Q5405)</f>
        <v>0</v>
      </c>
      <c r="K5405" s="88"/>
      <c r="L5405" s="88"/>
      <c r="M5405" s="88"/>
      <c r="N5405" s="88"/>
      <c r="O5405" s="88"/>
      <c r="P5405" s="88"/>
      <c r="Q5405" s="88"/>
      <c r="R5405" s="78">
        <f>MAX(S5405:W5405)</f>
        <v>1</v>
      </c>
      <c r="S5405" s="88"/>
      <c r="T5405" s="88"/>
      <c r="U5405" s="88">
        <v>1</v>
      </c>
      <c r="V5405" s="88"/>
      <c r="W5405" s="88"/>
    </row>
    <row r="5406" spans="2:23" s="0" customFormat="0" ht="15">
      <c r="B5406" s="87" t="s">
        <v>1</v>
      </c>
      <c r="C5406" s="88" t="s">
        <v>5259</v>
      </c>
      <c r="D5406" s="88">
        <v>1551415</v>
      </c>
      <c r="E5406" s="88" t="s">
        <v>61</v>
      </c>
      <c r="F5406" s="88">
        <v>0</v>
      </c>
      <c r="G5406" s="78">
        <f>MAX(H5406,I5406,J5406)</f>
        <v>0</v>
      </c>
      <c r="H5406" s="88"/>
      <c r="I5406" s="88"/>
      <c r="J5406" s="78">
        <f>MAX(K5406:Q5406)</f>
        <v>0</v>
      </c>
      <c r="K5406" s="88"/>
      <c r="L5406" s="88"/>
      <c r="M5406" s="88"/>
      <c r="N5406" s="88"/>
      <c r="O5406" s="88"/>
      <c r="P5406" s="88"/>
      <c r="Q5406" s="88"/>
      <c r="R5406" s="78">
        <f>MAX(S5406:W5406)</f>
        <v>1</v>
      </c>
      <c r="S5406" s="88"/>
      <c r="T5406" s="88"/>
      <c r="U5406" s="88">
        <v>1</v>
      </c>
      <c r="V5406" s="88"/>
      <c r="W5406" s="88"/>
    </row>
    <row r="5407" spans="2:23" s="0" customFormat="0" ht="15">
      <c r="B5407" s="87" t="s">
        <v>1</v>
      </c>
      <c r="C5407" s="88" t="s">
        <v>5259</v>
      </c>
      <c r="D5407" s="88" t="s">
        <v>2331</v>
      </c>
      <c r="E5407" s="88" t="s">
        <v>61</v>
      </c>
      <c r="F5407" s="88">
        <v>0</v>
      </c>
      <c r="G5407" s="78">
        <f>MAX(H5407,I5407,J5407)</f>
        <v>1</v>
      </c>
      <c r="H5407" s="88"/>
      <c r="I5407" s="88"/>
      <c r="J5407" s="78">
        <f>MAX(K5407:Q5407)</f>
        <v>1</v>
      </c>
      <c r="K5407" s="88">
        <v>1</v>
      </c>
      <c r="L5407" s="88"/>
      <c r="M5407" s="88"/>
      <c r="N5407" s="88"/>
      <c r="O5407" s="88"/>
      <c r="P5407" s="88"/>
      <c r="Q5407" s="88"/>
      <c r="R5407" s="78">
        <f>MAX(S5407:W5407)</f>
        <v>0</v>
      </c>
      <c r="S5407" s="88"/>
      <c r="T5407" s="88"/>
      <c r="U5407" s="88"/>
      <c r="V5407" s="88"/>
      <c r="W5407" s="88"/>
    </row>
    <row r="5408" spans="2:23" s="0" customFormat="0" ht="15">
      <c r="B5408" s="87" t="s">
        <v>1</v>
      </c>
      <c r="C5408" s="88" t="s">
        <v>5259</v>
      </c>
      <c r="D5408" s="88">
        <v>15533513</v>
      </c>
      <c r="E5408" s="88" t="s">
        <v>61</v>
      </c>
      <c r="F5408" s="88">
        <v>0</v>
      </c>
      <c r="G5408" s="78">
        <f>MAX(H5408,I5408,J5408)</f>
        <v>1</v>
      </c>
      <c r="H5408" s="88"/>
      <c r="I5408" s="88"/>
      <c r="J5408" s="78">
        <f>MAX(K5408:Q5408)</f>
        <v>1</v>
      </c>
      <c r="K5408" s="88">
        <v>1</v>
      </c>
      <c r="L5408" s="88"/>
      <c r="M5408" s="88"/>
      <c r="N5408" s="88"/>
      <c r="O5408" s="88"/>
      <c r="P5408" s="88"/>
      <c r="Q5408" s="88"/>
      <c r="R5408" s="78">
        <f>MAX(S5408:W5408)</f>
        <v>0</v>
      </c>
      <c r="S5408" s="88"/>
      <c r="T5408" s="88"/>
      <c r="U5408" s="88"/>
      <c r="V5408" s="88"/>
      <c r="W5408" s="88"/>
    </row>
    <row r="5409" spans="2:23" s="0" customFormat="0" ht="15">
      <c r="B5409" s="87" t="s">
        <v>1</v>
      </c>
      <c r="C5409" s="88" t="s">
        <v>5259</v>
      </c>
      <c r="D5409" s="88">
        <v>19216281</v>
      </c>
      <c r="E5409" s="88" t="s">
        <v>61</v>
      </c>
      <c r="F5409" s="88">
        <v>0</v>
      </c>
      <c r="G5409" s="78">
        <f>MAX(H5409,I5409,J5409)</f>
        <v>1</v>
      </c>
      <c r="H5409" s="88"/>
      <c r="I5409" s="88"/>
      <c r="J5409" s="78">
        <f>MAX(K5409:Q5409)</f>
        <v>1</v>
      </c>
      <c r="K5409" s="88">
        <v>1</v>
      </c>
      <c r="L5409" s="88"/>
      <c r="M5409" s="88"/>
      <c r="N5409" s="88"/>
      <c r="O5409" s="88"/>
      <c r="P5409" s="88"/>
      <c r="Q5409" s="88"/>
      <c r="R5409" s="78">
        <f>MAX(S5409:W5409)</f>
        <v>0</v>
      </c>
      <c r="S5409" s="88"/>
      <c r="T5409" s="88"/>
      <c r="U5409" s="88"/>
      <c r="V5409" s="88"/>
      <c r="W5409" s="88"/>
    </row>
    <row r="5410" spans="2:23" s="0" customFormat="0" ht="15">
      <c r="B5410" s="87" t="s">
        <v>1</v>
      </c>
      <c r="C5410" s="88" t="s">
        <v>5259</v>
      </c>
      <c r="D5410" s="88">
        <v>3853226</v>
      </c>
      <c r="E5410" s="88" t="s">
        <v>61</v>
      </c>
      <c r="F5410" s="88">
        <v>0</v>
      </c>
      <c r="G5410" s="78">
        <f>MAX(H5410,I5410,J5410)</f>
        <v>1</v>
      </c>
      <c r="H5410" s="88"/>
      <c r="I5410" s="88"/>
      <c r="J5410" s="78">
        <f>MAX(K5410:Q5410)</f>
        <v>1</v>
      </c>
      <c r="K5410" s="88">
        <v>1</v>
      </c>
      <c r="L5410" s="88"/>
      <c r="M5410" s="88"/>
      <c r="N5410" s="88"/>
      <c r="O5410" s="88"/>
      <c r="P5410" s="88"/>
      <c r="Q5410" s="88"/>
      <c r="R5410" s="78">
        <f>MAX(S5410:W5410)</f>
        <v>0</v>
      </c>
      <c r="S5410" s="88"/>
      <c r="T5410" s="88"/>
      <c r="U5410" s="88"/>
      <c r="V5410" s="88"/>
      <c r="W5410" s="88"/>
    </row>
    <row r="5411" spans="2:23" s="0" customFormat="0" ht="15">
      <c r="B5411" s="87" t="s">
        <v>1</v>
      </c>
      <c r="C5411" s="88" t="s">
        <v>5259</v>
      </c>
      <c r="D5411" s="88">
        <v>10661715</v>
      </c>
      <c r="E5411" s="88" t="s">
        <v>61</v>
      </c>
      <c r="F5411" s="88">
        <v>0</v>
      </c>
      <c r="G5411" s="78">
        <f>MAX(H5411,I5411,J5411)</f>
        <v>1</v>
      </c>
      <c r="H5411" s="88"/>
      <c r="I5411" s="88"/>
      <c r="J5411" s="78">
        <f>MAX(K5411:Q5411)</f>
        <v>1</v>
      </c>
      <c r="K5411" s="88">
        <v>1</v>
      </c>
      <c r="L5411" s="88"/>
      <c r="M5411" s="88"/>
      <c r="N5411" s="88"/>
      <c r="O5411" s="88"/>
      <c r="P5411" s="88"/>
      <c r="Q5411" s="88"/>
      <c r="R5411" s="78">
        <f>MAX(S5411:W5411)</f>
        <v>0</v>
      </c>
      <c r="S5411" s="88"/>
      <c r="T5411" s="88"/>
      <c r="U5411" s="88"/>
      <c r="V5411" s="88"/>
      <c r="W5411" s="88"/>
    </row>
    <row r="5412" spans="2:23" s="0" customFormat="0" ht="15">
      <c r="B5412" s="87" t="s">
        <v>1</v>
      </c>
      <c r="C5412" s="88" t="s">
        <v>5259</v>
      </c>
      <c r="D5412" s="88">
        <v>14339647</v>
      </c>
      <c r="E5412" s="88" t="s">
        <v>61</v>
      </c>
      <c r="F5412" s="88">
        <v>0</v>
      </c>
      <c r="G5412" s="78">
        <f>MAX(H5412,I5412,J5412)</f>
        <v>1</v>
      </c>
      <c r="H5412" s="88"/>
      <c r="I5412" s="88"/>
      <c r="J5412" s="78">
        <f>MAX(K5412:Q5412)</f>
        <v>1</v>
      </c>
      <c r="K5412" s="88">
        <v>1</v>
      </c>
      <c r="L5412" s="88"/>
      <c r="M5412" s="88"/>
      <c r="N5412" s="88"/>
      <c r="O5412" s="88"/>
      <c r="P5412" s="88"/>
      <c r="Q5412" s="88"/>
      <c r="R5412" s="78">
        <f>MAX(S5412:W5412)</f>
        <v>0</v>
      </c>
      <c r="S5412" s="88"/>
      <c r="T5412" s="88"/>
      <c r="U5412" s="88"/>
      <c r="V5412" s="88"/>
      <c r="W5412" s="88"/>
    </row>
    <row r="5413" spans="2:23" s="0" customFormat="0" ht="15">
      <c r="B5413" s="87" t="s">
        <v>1</v>
      </c>
      <c r="C5413" s="88" t="s">
        <v>5259</v>
      </c>
      <c r="D5413" s="88">
        <v>7497465</v>
      </c>
      <c r="E5413" s="88" t="s">
        <v>61</v>
      </c>
      <c r="F5413" s="88">
        <v>0</v>
      </c>
      <c r="G5413" s="78">
        <f>MAX(H5413,I5413,J5413)</f>
        <v>1</v>
      </c>
      <c r="H5413" s="88"/>
      <c r="I5413" s="88"/>
      <c r="J5413" s="78">
        <f>MAX(K5413:Q5413)</f>
        <v>1</v>
      </c>
      <c r="K5413" s="88">
        <v>1</v>
      </c>
      <c r="L5413" s="88"/>
      <c r="M5413" s="88"/>
      <c r="N5413" s="88"/>
      <c r="O5413" s="88"/>
      <c r="P5413" s="88"/>
      <c r="Q5413" s="88"/>
      <c r="R5413" s="78">
        <f>MAX(S5413:W5413)</f>
        <v>0</v>
      </c>
      <c r="S5413" s="88"/>
      <c r="T5413" s="88"/>
      <c r="U5413" s="88"/>
      <c r="V5413" s="88"/>
      <c r="W5413" s="88"/>
    </row>
    <row r="5414" spans="2:23" s="0" customFormat="0" ht="15">
      <c r="B5414" s="87" t="s">
        <v>1</v>
      </c>
      <c r="C5414" s="88" t="s">
        <v>5259</v>
      </c>
      <c r="D5414" s="88">
        <v>21736823</v>
      </c>
      <c r="E5414" s="88" t="s">
        <v>61</v>
      </c>
      <c r="F5414" s="88">
        <v>0</v>
      </c>
      <c r="G5414" s="78">
        <f>MAX(H5414,I5414,J5414)</f>
        <v>1</v>
      </c>
      <c r="H5414" s="88"/>
      <c r="I5414" s="88"/>
      <c r="J5414" s="78">
        <f>MAX(K5414:Q5414)</f>
        <v>1</v>
      </c>
      <c r="K5414" s="88">
        <v>1</v>
      </c>
      <c r="L5414" s="88"/>
      <c r="M5414" s="88"/>
      <c r="N5414" s="88"/>
      <c r="O5414" s="88"/>
      <c r="P5414" s="88"/>
      <c r="Q5414" s="88"/>
      <c r="R5414" s="78">
        <f>MAX(S5414:W5414)</f>
        <v>0</v>
      </c>
      <c r="S5414" s="88"/>
      <c r="T5414" s="88"/>
      <c r="U5414" s="88"/>
      <c r="V5414" s="88"/>
      <c r="W5414" s="88"/>
    </row>
    <row r="5415" spans="2:23" s="0" customFormat="0" ht="15">
      <c r="B5415" s="87" t="s">
        <v>1</v>
      </c>
      <c r="C5415" s="88" t="s">
        <v>5259</v>
      </c>
      <c r="D5415" s="88" t="s">
        <v>3618</v>
      </c>
      <c r="E5415" s="88" t="s">
        <v>61</v>
      </c>
      <c r="F5415" s="88">
        <v>0</v>
      </c>
      <c r="G5415" s="78">
        <f>MAX(H5415,I5415,J5415)</f>
        <v>0</v>
      </c>
      <c r="H5415" s="88"/>
      <c r="I5415" s="88"/>
      <c r="J5415" s="78">
        <f>MAX(K5415:Q5415)</f>
        <v>0</v>
      </c>
      <c r="K5415" s="88"/>
      <c r="L5415" s="88"/>
      <c r="M5415" s="88"/>
      <c r="N5415" s="88"/>
      <c r="O5415" s="88"/>
      <c r="P5415" s="88"/>
      <c r="Q5415" s="88"/>
      <c r="R5415" s="78">
        <f>MAX(S5415:W5415)</f>
        <v>1</v>
      </c>
      <c r="S5415" s="88"/>
      <c r="T5415" s="88"/>
      <c r="U5415" s="88">
        <v>1</v>
      </c>
      <c r="V5415" s="88"/>
      <c r="W5415" s="88"/>
    </row>
    <row r="5416" spans="2:23" s="0" customFormat="0" ht="15">
      <c r="B5416" s="87" t="s">
        <v>1</v>
      </c>
      <c r="C5416" s="88" t="s">
        <v>5259</v>
      </c>
      <c r="D5416" s="88" t="s">
        <v>3198</v>
      </c>
      <c r="E5416" s="88" t="s">
        <v>61</v>
      </c>
      <c r="F5416" s="88">
        <v>0</v>
      </c>
      <c r="G5416" s="78">
        <f>MAX(H5416,I5416,J5416)</f>
        <v>0</v>
      </c>
      <c r="H5416" s="88"/>
      <c r="I5416" s="88"/>
      <c r="J5416" s="78">
        <f>MAX(K5416:Q5416)</f>
        <v>0</v>
      </c>
      <c r="K5416" s="88"/>
      <c r="L5416" s="88"/>
      <c r="M5416" s="88"/>
      <c r="N5416" s="88"/>
      <c r="O5416" s="88"/>
      <c r="P5416" s="88"/>
      <c r="Q5416" s="88"/>
      <c r="R5416" s="78">
        <f>MAX(S5416:W5416)</f>
        <v>1</v>
      </c>
      <c r="S5416" s="88"/>
      <c r="T5416" s="88"/>
      <c r="U5416" s="88"/>
      <c r="V5416" s="88">
        <v>1</v>
      </c>
      <c r="W5416" s="88"/>
    </row>
    <row r="5417" spans="2:23" s="0" customFormat="0" ht="15">
      <c r="B5417" s="87" t="s">
        <v>1</v>
      </c>
      <c r="C5417" s="88" t="s">
        <v>5259</v>
      </c>
      <c r="D5417" s="88">
        <v>15774239</v>
      </c>
      <c r="E5417" s="88" t="s">
        <v>61</v>
      </c>
      <c r="F5417" s="88">
        <v>0</v>
      </c>
      <c r="G5417" s="78">
        <f>MAX(H5417,I5417,J5417)</f>
        <v>1</v>
      </c>
      <c r="H5417" s="88"/>
      <c r="I5417" s="88"/>
      <c r="J5417" s="78">
        <f>MAX(K5417:Q5417)</f>
        <v>1</v>
      </c>
      <c r="K5417" s="88">
        <v>1</v>
      </c>
      <c r="L5417" s="88"/>
      <c r="M5417" s="88"/>
      <c r="N5417" s="88"/>
      <c r="O5417" s="88"/>
      <c r="P5417" s="88"/>
      <c r="Q5417" s="88"/>
      <c r="R5417" s="78">
        <f>MAX(S5417:W5417)</f>
        <v>0</v>
      </c>
      <c r="S5417" s="88"/>
      <c r="T5417" s="88"/>
      <c r="U5417" s="88"/>
      <c r="V5417" s="88"/>
      <c r="W5417" s="88"/>
    </row>
    <row r="5418" spans="2:23" s="0" customFormat="0" ht="15">
      <c r="B5418" s="87" t="s">
        <v>1</v>
      </c>
      <c r="C5418" s="88" t="s">
        <v>5259</v>
      </c>
      <c r="D5418" s="88" t="s">
        <v>2832</v>
      </c>
      <c r="E5418" s="88" t="s">
        <v>61</v>
      </c>
      <c r="F5418" s="88">
        <v>0</v>
      </c>
      <c r="G5418" s="78">
        <f>MAX(H5418,I5418,J5418)</f>
        <v>1</v>
      </c>
      <c r="H5418" s="88"/>
      <c r="I5418" s="88"/>
      <c r="J5418" s="78">
        <f>MAX(K5418:Q5418)</f>
        <v>1</v>
      </c>
      <c r="K5418" s="88">
        <v>1</v>
      </c>
      <c r="L5418" s="88"/>
      <c r="M5418" s="88"/>
      <c r="N5418" s="88"/>
      <c r="O5418" s="88"/>
      <c r="P5418" s="88"/>
      <c r="Q5418" s="88"/>
      <c r="R5418" s="78">
        <f>MAX(S5418:W5418)</f>
        <v>0</v>
      </c>
      <c r="S5418" s="88"/>
      <c r="T5418" s="88"/>
      <c r="U5418" s="88"/>
      <c r="V5418" s="88"/>
      <c r="W5418" s="88"/>
    </row>
    <row r="5419" spans="2:23" s="0" customFormat="0" ht="15">
      <c r="B5419" s="87" t="s">
        <v>1</v>
      </c>
      <c r="C5419" s="88" t="s">
        <v>5259</v>
      </c>
      <c r="D5419" s="88" t="s">
        <v>4874</v>
      </c>
      <c r="E5419" s="88" t="s">
        <v>61</v>
      </c>
      <c r="F5419" s="88">
        <v>0</v>
      </c>
      <c r="G5419" s="78">
        <f>MAX(H5419,I5419,J5419)</f>
        <v>0</v>
      </c>
      <c r="H5419" s="88"/>
      <c r="I5419" s="88"/>
      <c r="J5419" s="78">
        <f>MAX(K5419:Q5419)</f>
        <v>0</v>
      </c>
      <c r="K5419" s="88"/>
      <c r="L5419" s="88"/>
      <c r="M5419" s="88"/>
      <c r="N5419" s="88"/>
      <c r="O5419" s="88"/>
      <c r="P5419" s="88"/>
      <c r="Q5419" s="88"/>
      <c r="R5419" s="78">
        <f>MAX(S5419:W5419)</f>
        <v>1</v>
      </c>
      <c r="S5419" s="88"/>
      <c r="T5419" s="88"/>
      <c r="U5419" s="88">
        <v>1</v>
      </c>
      <c r="V5419" s="88"/>
      <c r="W5419" s="88"/>
    </row>
    <row r="5420" spans="2:23" s="0" customFormat="0" ht="15">
      <c r="B5420" s="87" t="s">
        <v>1</v>
      </c>
      <c r="C5420" s="88" t="s">
        <v>5259</v>
      </c>
      <c r="D5420" s="88">
        <v>16729319</v>
      </c>
      <c r="E5420" s="88" t="s">
        <v>61</v>
      </c>
      <c r="F5420" s="88">
        <v>0</v>
      </c>
      <c r="G5420" s="78">
        <f>MAX(H5420,I5420,J5420)</f>
        <v>1</v>
      </c>
      <c r="H5420" s="88"/>
      <c r="I5420" s="88"/>
      <c r="J5420" s="78">
        <f>MAX(K5420:Q5420)</f>
        <v>1</v>
      </c>
      <c r="K5420" s="88">
        <v>1</v>
      </c>
      <c r="L5420" s="88"/>
      <c r="M5420" s="88"/>
      <c r="N5420" s="88"/>
      <c r="O5420" s="88"/>
      <c r="P5420" s="88"/>
      <c r="Q5420" s="88"/>
      <c r="R5420" s="78">
        <f>MAX(S5420:W5420)</f>
        <v>0</v>
      </c>
      <c r="S5420" s="88"/>
      <c r="T5420" s="88"/>
      <c r="U5420" s="88"/>
      <c r="V5420" s="88"/>
      <c r="W5420" s="88"/>
    </row>
    <row r="5421" spans="2:23" s="0" customFormat="0" ht="15">
      <c r="B5421" s="87" t="s">
        <v>1</v>
      </c>
      <c r="C5421" s="88" t="s">
        <v>5259</v>
      </c>
      <c r="D5421" s="88">
        <v>21301526</v>
      </c>
      <c r="E5421" s="88" t="s">
        <v>61</v>
      </c>
      <c r="F5421" s="88">
        <v>0</v>
      </c>
      <c r="G5421" s="78">
        <f>MAX(H5421,I5421,J5421)</f>
        <v>0</v>
      </c>
      <c r="H5421" s="88"/>
      <c r="I5421" s="88"/>
      <c r="J5421" s="78">
        <f>MAX(K5421:Q5421)</f>
        <v>0</v>
      </c>
      <c r="K5421" s="88"/>
      <c r="L5421" s="88"/>
      <c r="M5421" s="88"/>
      <c r="N5421" s="88"/>
      <c r="O5421" s="88"/>
      <c r="P5421" s="88"/>
      <c r="Q5421" s="88"/>
      <c r="R5421" s="78">
        <f>MAX(S5421:W5421)</f>
        <v>1</v>
      </c>
      <c r="S5421" s="88"/>
      <c r="T5421" s="88"/>
      <c r="U5421" s="88">
        <v>1</v>
      </c>
      <c r="V5421" s="88"/>
      <c r="W5421" s="88"/>
    </row>
    <row r="5422" spans="2:23" s="0" customFormat="0" ht="15">
      <c r="B5422" s="87" t="s">
        <v>1</v>
      </c>
      <c r="C5422" s="88" t="s">
        <v>5259</v>
      </c>
      <c r="D5422" s="88">
        <v>13700915</v>
      </c>
      <c r="E5422" s="88" t="s">
        <v>61</v>
      </c>
      <c r="F5422" s="88">
        <v>0</v>
      </c>
      <c r="G5422" s="78">
        <f>MAX(H5422,I5422,J5422)</f>
        <v>1</v>
      </c>
      <c r="H5422" s="88"/>
      <c r="I5422" s="88"/>
      <c r="J5422" s="78">
        <f>MAX(K5422:Q5422)</f>
        <v>1</v>
      </c>
      <c r="K5422" s="88">
        <v>1</v>
      </c>
      <c r="L5422" s="88"/>
      <c r="M5422" s="88"/>
      <c r="N5422" s="88"/>
      <c r="O5422" s="88"/>
      <c r="P5422" s="88"/>
      <c r="Q5422" s="88"/>
      <c r="R5422" s="78">
        <f>MAX(S5422:W5422)</f>
        <v>0</v>
      </c>
      <c r="S5422" s="88"/>
      <c r="T5422" s="88"/>
      <c r="U5422" s="88"/>
      <c r="V5422" s="88"/>
      <c r="W5422" s="88"/>
    </row>
    <row r="5423" spans="2:23" s="0" customFormat="0" ht="15">
      <c r="B5423" s="87" t="s">
        <v>1</v>
      </c>
      <c r="C5423" s="88" t="s">
        <v>5259</v>
      </c>
      <c r="D5423" s="88" t="s">
        <v>4594</v>
      </c>
      <c r="E5423" s="88" t="s">
        <v>61</v>
      </c>
      <c r="F5423" s="88">
        <v>0</v>
      </c>
      <c r="G5423" s="78">
        <f>MAX(H5423,I5423,J5423)</f>
        <v>0</v>
      </c>
      <c r="H5423" s="88"/>
      <c r="I5423" s="88"/>
      <c r="J5423" s="78">
        <f>MAX(K5423:Q5423)</f>
        <v>0</v>
      </c>
      <c r="K5423" s="88"/>
      <c r="L5423" s="88"/>
      <c r="M5423" s="88"/>
      <c r="N5423" s="88"/>
      <c r="O5423" s="88"/>
      <c r="P5423" s="88"/>
      <c r="Q5423" s="88"/>
      <c r="R5423" s="78">
        <f>MAX(S5423:W5423)</f>
        <v>1</v>
      </c>
      <c r="S5423" s="88"/>
      <c r="T5423" s="88"/>
      <c r="U5423" s="88">
        <v>1</v>
      </c>
      <c r="V5423" s="88"/>
      <c r="W5423" s="88"/>
    </row>
    <row r="5424" spans="2:23" s="0" customFormat="0" ht="15">
      <c r="B5424" s="87" t="s">
        <v>1</v>
      </c>
      <c r="C5424" s="88" t="s">
        <v>5259</v>
      </c>
      <c r="D5424" s="88" t="s">
        <v>4963</v>
      </c>
      <c r="E5424" s="88" t="s">
        <v>61</v>
      </c>
      <c r="F5424" s="88">
        <v>0</v>
      </c>
      <c r="G5424" s="78">
        <f>MAX(H5424,I5424,J5424)</f>
        <v>0</v>
      </c>
      <c r="H5424" s="88"/>
      <c r="I5424" s="88"/>
      <c r="J5424" s="78">
        <f>MAX(K5424:Q5424)</f>
        <v>0</v>
      </c>
      <c r="K5424" s="88"/>
      <c r="L5424" s="88"/>
      <c r="M5424" s="88"/>
      <c r="N5424" s="88"/>
      <c r="O5424" s="88"/>
      <c r="P5424" s="88"/>
      <c r="Q5424" s="88"/>
      <c r="R5424" s="78">
        <f>MAX(S5424:W5424)</f>
        <v>1</v>
      </c>
      <c r="S5424" s="88"/>
      <c r="T5424" s="88"/>
      <c r="U5424" s="88">
        <v>1</v>
      </c>
      <c r="V5424" s="88"/>
      <c r="W5424" s="88"/>
    </row>
    <row r="5425" spans="2:23" s="0" customFormat="0" ht="15">
      <c r="B5425" s="87" t="s">
        <v>1</v>
      </c>
      <c r="C5425" s="88" t="s">
        <v>5259</v>
      </c>
      <c r="D5425" s="88">
        <v>2614752</v>
      </c>
      <c r="E5425" s="88" t="s">
        <v>61</v>
      </c>
      <c r="F5425" s="88">
        <v>0</v>
      </c>
      <c r="G5425" s="78">
        <f>MAX(H5425,I5425,J5425)</f>
        <v>1</v>
      </c>
      <c r="H5425" s="88"/>
      <c r="I5425" s="88"/>
      <c r="J5425" s="78">
        <f>MAX(K5425:Q5425)</f>
        <v>1</v>
      </c>
      <c r="K5425" s="88">
        <v>1</v>
      </c>
      <c r="L5425" s="88"/>
      <c r="M5425" s="88"/>
      <c r="N5425" s="88"/>
      <c r="O5425" s="88"/>
      <c r="P5425" s="88"/>
      <c r="Q5425" s="88"/>
      <c r="R5425" s="78">
        <f>MAX(S5425:W5425)</f>
        <v>0</v>
      </c>
      <c r="S5425" s="88"/>
      <c r="T5425" s="88"/>
      <c r="U5425" s="88"/>
      <c r="V5425" s="88"/>
      <c r="W5425" s="88"/>
    </row>
    <row r="5426" spans="2:23" s="0" customFormat="0" ht="15">
      <c r="B5426" s="87" t="s">
        <v>1</v>
      </c>
      <c r="C5426" s="88" t="s">
        <v>5259</v>
      </c>
      <c r="D5426" s="88">
        <v>19159975</v>
      </c>
      <c r="E5426" s="88" t="s">
        <v>61</v>
      </c>
      <c r="F5426" s="88">
        <v>0</v>
      </c>
      <c r="G5426" s="78">
        <f>MAX(H5426,I5426,J5426)</f>
        <v>1</v>
      </c>
      <c r="H5426" s="88"/>
      <c r="I5426" s="88"/>
      <c r="J5426" s="78">
        <f>MAX(K5426:Q5426)</f>
        <v>1</v>
      </c>
      <c r="K5426" s="88">
        <v>1</v>
      </c>
      <c r="L5426" s="88"/>
      <c r="M5426" s="88"/>
      <c r="N5426" s="88"/>
      <c r="O5426" s="88"/>
      <c r="P5426" s="88"/>
      <c r="Q5426" s="88"/>
      <c r="R5426" s="78">
        <f>MAX(S5426:W5426)</f>
        <v>0</v>
      </c>
      <c r="S5426" s="88"/>
      <c r="T5426" s="88"/>
      <c r="U5426" s="88"/>
      <c r="V5426" s="88"/>
      <c r="W5426" s="88"/>
    </row>
    <row r="5427" spans="2:23" s="0" customFormat="0" ht="15">
      <c r="B5427" s="87" t="s">
        <v>1</v>
      </c>
      <c r="C5427" s="88" t="s">
        <v>5259</v>
      </c>
      <c r="D5427" s="88" t="s">
        <v>3905</v>
      </c>
      <c r="E5427" s="88" t="s">
        <v>61</v>
      </c>
      <c r="F5427" s="88">
        <v>0</v>
      </c>
      <c r="G5427" s="78">
        <f>MAX(H5427,I5427,J5427)</f>
        <v>0</v>
      </c>
      <c r="H5427" s="88"/>
      <c r="I5427" s="88"/>
      <c r="J5427" s="78">
        <f>MAX(K5427:Q5427)</f>
        <v>0</v>
      </c>
      <c r="K5427" s="88"/>
      <c r="L5427" s="88"/>
      <c r="M5427" s="88"/>
      <c r="N5427" s="88"/>
      <c r="O5427" s="88"/>
      <c r="P5427" s="88"/>
      <c r="Q5427" s="88"/>
      <c r="R5427" s="78">
        <f>MAX(S5427:W5427)</f>
        <v>1</v>
      </c>
      <c r="S5427" s="88"/>
      <c r="T5427" s="88"/>
      <c r="U5427" s="88">
        <v>1</v>
      </c>
      <c r="V5427" s="88"/>
      <c r="W5427" s="88"/>
    </row>
    <row r="5428" spans="2:23" s="0" customFormat="0" ht="15">
      <c r="B5428" s="87" t="s">
        <v>1</v>
      </c>
      <c r="C5428" s="88" t="s">
        <v>5259</v>
      </c>
      <c r="D5428" s="88" t="s">
        <v>4634</v>
      </c>
      <c r="E5428" s="88" t="s">
        <v>61</v>
      </c>
      <c r="F5428" s="88">
        <v>0</v>
      </c>
      <c r="G5428" s="78">
        <f>MAX(H5428,I5428,J5428)</f>
        <v>0</v>
      </c>
      <c r="H5428" s="88"/>
      <c r="I5428" s="88"/>
      <c r="J5428" s="78">
        <f>MAX(K5428:Q5428)</f>
        <v>0</v>
      </c>
      <c r="K5428" s="88"/>
      <c r="L5428" s="88"/>
      <c r="M5428" s="88"/>
      <c r="N5428" s="88"/>
      <c r="O5428" s="88"/>
      <c r="P5428" s="88"/>
      <c r="Q5428" s="88"/>
      <c r="R5428" s="78">
        <f>MAX(S5428:W5428)</f>
        <v>1</v>
      </c>
      <c r="S5428" s="88"/>
      <c r="T5428" s="88"/>
      <c r="U5428" s="88">
        <v>1</v>
      </c>
      <c r="V5428" s="88"/>
      <c r="W5428" s="88"/>
    </row>
    <row r="5429" spans="2:23" s="0" customFormat="0" ht="15">
      <c r="B5429" s="87" t="s">
        <v>1</v>
      </c>
      <c r="C5429" s="88" t="s">
        <v>5259</v>
      </c>
      <c r="D5429" s="88">
        <v>13298084</v>
      </c>
      <c r="E5429" s="88" t="s">
        <v>61</v>
      </c>
      <c r="F5429" s="88">
        <v>0</v>
      </c>
      <c r="G5429" s="78">
        <f>MAX(H5429,I5429,J5429)</f>
        <v>1</v>
      </c>
      <c r="H5429" s="88"/>
      <c r="I5429" s="88"/>
      <c r="J5429" s="78">
        <f>MAX(K5429:Q5429)</f>
        <v>1</v>
      </c>
      <c r="K5429" s="88">
        <v>1</v>
      </c>
      <c r="L5429" s="88"/>
      <c r="M5429" s="88"/>
      <c r="N5429" s="88"/>
      <c r="O5429" s="88"/>
      <c r="P5429" s="88"/>
      <c r="Q5429" s="88"/>
      <c r="R5429" s="78">
        <f>MAX(S5429:W5429)</f>
        <v>0</v>
      </c>
      <c r="S5429" s="88"/>
      <c r="T5429" s="88"/>
      <c r="U5429" s="88"/>
      <c r="V5429" s="88"/>
      <c r="W5429" s="88"/>
    </row>
    <row r="5430" spans="2:23" s="0" customFormat="0" ht="15">
      <c r="B5430" s="87" t="s">
        <v>1</v>
      </c>
      <c r="C5430" s="88" t="s">
        <v>5259</v>
      </c>
      <c r="D5430" s="88" t="s">
        <v>1942</v>
      </c>
      <c r="E5430" s="88" t="s">
        <v>61</v>
      </c>
      <c r="F5430" s="88">
        <v>0</v>
      </c>
      <c r="G5430" s="78">
        <f>MAX(H5430,I5430,J5430)</f>
        <v>1</v>
      </c>
      <c r="H5430" s="88"/>
      <c r="I5430" s="88"/>
      <c r="J5430" s="78">
        <f>MAX(K5430:Q5430)</f>
        <v>1</v>
      </c>
      <c r="K5430" s="88">
        <v>1</v>
      </c>
      <c r="L5430" s="88"/>
      <c r="M5430" s="88"/>
      <c r="N5430" s="88"/>
      <c r="O5430" s="88"/>
      <c r="P5430" s="88"/>
      <c r="Q5430" s="88"/>
      <c r="R5430" s="78">
        <f>MAX(S5430:W5430)</f>
        <v>0</v>
      </c>
      <c r="S5430" s="88"/>
      <c r="T5430" s="88"/>
      <c r="U5430" s="88"/>
      <c r="V5430" s="88"/>
      <c r="W5430" s="88"/>
    </row>
    <row r="5431" spans="2:23" s="0" customFormat="0" ht="15">
      <c r="B5431" s="87" t="s">
        <v>1</v>
      </c>
      <c r="C5431" s="88" t="s">
        <v>5259</v>
      </c>
      <c r="D5431" s="88">
        <v>19567738</v>
      </c>
      <c r="E5431" s="88" t="s">
        <v>61</v>
      </c>
      <c r="F5431" s="88">
        <v>0</v>
      </c>
      <c r="G5431" s="78">
        <f>MAX(H5431,I5431,J5431)</f>
        <v>1</v>
      </c>
      <c r="H5431" s="88"/>
      <c r="I5431" s="88"/>
      <c r="J5431" s="78">
        <f>MAX(K5431:Q5431)</f>
        <v>1</v>
      </c>
      <c r="K5431" s="88">
        <v>1</v>
      </c>
      <c r="L5431" s="88"/>
      <c r="M5431" s="88"/>
      <c r="N5431" s="88"/>
      <c r="O5431" s="88"/>
      <c r="P5431" s="88"/>
      <c r="Q5431" s="88"/>
      <c r="R5431" s="78">
        <f>MAX(S5431:W5431)</f>
        <v>0</v>
      </c>
      <c r="S5431" s="88"/>
      <c r="T5431" s="88"/>
      <c r="U5431" s="88"/>
      <c r="V5431" s="88"/>
      <c r="W5431" s="88"/>
    </row>
    <row r="5432" spans="2:23" s="0" customFormat="0" ht="15">
      <c r="B5432" s="87" t="s">
        <v>1</v>
      </c>
      <c r="C5432" s="88" t="s">
        <v>5259</v>
      </c>
      <c r="D5432" s="88">
        <v>21151580</v>
      </c>
      <c r="E5432" s="88" t="s">
        <v>61</v>
      </c>
      <c r="F5432" s="88">
        <v>0</v>
      </c>
      <c r="G5432" s="78">
        <f>MAX(H5432,I5432,J5432)</f>
        <v>1</v>
      </c>
      <c r="H5432" s="88"/>
      <c r="I5432" s="88"/>
      <c r="J5432" s="78">
        <f>MAX(K5432:Q5432)</f>
        <v>1</v>
      </c>
      <c r="K5432" s="88">
        <v>1</v>
      </c>
      <c r="L5432" s="88"/>
      <c r="M5432" s="88"/>
      <c r="N5432" s="88"/>
      <c r="O5432" s="88"/>
      <c r="P5432" s="88"/>
      <c r="Q5432" s="88"/>
      <c r="R5432" s="78">
        <f>MAX(S5432:W5432)</f>
        <v>0</v>
      </c>
      <c r="S5432" s="88"/>
      <c r="T5432" s="88"/>
      <c r="U5432" s="88"/>
      <c r="V5432" s="88"/>
      <c r="W5432" s="88"/>
    </row>
    <row r="5433" spans="2:23" s="0" customFormat="0" ht="15">
      <c r="B5433" s="87" t="s">
        <v>1</v>
      </c>
      <c r="C5433" s="88" t="s">
        <v>5259</v>
      </c>
      <c r="D5433" s="88">
        <v>24304012</v>
      </c>
      <c r="E5433" s="88" t="s">
        <v>61</v>
      </c>
      <c r="F5433" s="88">
        <v>0</v>
      </c>
      <c r="G5433" s="78">
        <f>MAX(H5433,I5433,J5433)</f>
        <v>1</v>
      </c>
      <c r="H5433" s="88"/>
      <c r="I5433" s="88"/>
      <c r="J5433" s="78">
        <f>MAX(K5433:Q5433)</f>
        <v>1</v>
      </c>
      <c r="K5433" s="88">
        <v>1</v>
      </c>
      <c r="L5433" s="88"/>
      <c r="M5433" s="88"/>
      <c r="N5433" s="88"/>
      <c r="O5433" s="88"/>
      <c r="P5433" s="88"/>
      <c r="Q5433" s="88"/>
      <c r="R5433" s="78">
        <f>MAX(S5433:W5433)</f>
        <v>0</v>
      </c>
      <c r="S5433" s="88"/>
      <c r="T5433" s="88"/>
      <c r="U5433" s="88"/>
      <c r="V5433" s="88"/>
      <c r="W5433" s="88"/>
    </row>
    <row r="5434" spans="2:23" s="0" customFormat="0" ht="15">
      <c r="B5434" s="87" t="s">
        <v>1</v>
      </c>
      <c r="C5434" s="88" t="s">
        <v>5259</v>
      </c>
      <c r="D5434" s="88">
        <v>21834546</v>
      </c>
      <c r="E5434" s="88" t="s">
        <v>61</v>
      </c>
      <c r="F5434" s="88">
        <v>0</v>
      </c>
      <c r="G5434" s="78">
        <f>MAX(H5434,I5434,J5434)</f>
        <v>1</v>
      </c>
      <c r="H5434" s="88"/>
      <c r="I5434" s="88"/>
      <c r="J5434" s="78">
        <f>MAX(K5434:Q5434)</f>
        <v>1</v>
      </c>
      <c r="K5434" s="88">
        <v>1</v>
      </c>
      <c r="L5434" s="88"/>
      <c r="M5434" s="88"/>
      <c r="N5434" s="88"/>
      <c r="O5434" s="88"/>
      <c r="P5434" s="88"/>
      <c r="Q5434" s="88"/>
      <c r="R5434" s="78">
        <f>MAX(S5434:W5434)</f>
        <v>0</v>
      </c>
      <c r="S5434" s="88"/>
      <c r="T5434" s="88"/>
      <c r="U5434" s="88"/>
      <c r="V5434" s="88"/>
      <c r="W5434" s="88"/>
    </row>
    <row r="5435" spans="2:23" s="0" customFormat="0" ht="15">
      <c r="B5435" s="87" t="s">
        <v>1</v>
      </c>
      <c r="C5435" s="88" t="s">
        <v>5259</v>
      </c>
      <c r="D5435" s="88">
        <v>4653284</v>
      </c>
      <c r="E5435" s="88" t="s">
        <v>61</v>
      </c>
      <c r="F5435" s="88">
        <v>0</v>
      </c>
      <c r="G5435" s="78">
        <f>MAX(H5435,I5435,J5435)</f>
        <v>1</v>
      </c>
      <c r="H5435" s="88"/>
      <c r="I5435" s="88"/>
      <c r="J5435" s="78">
        <f>MAX(K5435:Q5435)</f>
        <v>1</v>
      </c>
      <c r="K5435" s="88">
        <v>1</v>
      </c>
      <c r="L5435" s="88"/>
      <c r="M5435" s="88"/>
      <c r="N5435" s="88"/>
      <c r="O5435" s="88"/>
      <c r="P5435" s="88"/>
      <c r="Q5435" s="88"/>
      <c r="R5435" s="78">
        <f>MAX(S5435:W5435)</f>
        <v>0</v>
      </c>
      <c r="S5435" s="88"/>
      <c r="T5435" s="88"/>
      <c r="U5435" s="88"/>
      <c r="V5435" s="88"/>
      <c r="W5435" s="88"/>
    </row>
    <row r="5436" spans="2:23" s="0" customFormat="0" ht="15">
      <c r="B5436" s="87" t="s">
        <v>1</v>
      </c>
      <c r="C5436" s="88" t="s">
        <v>5259</v>
      </c>
      <c r="D5436" s="88" t="s">
        <v>2837</v>
      </c>
      <c r="E5436" s="88" t="s">
        <v>61</v>
      </c>
      <c r="F5436" s="88">
        <v>0</v>
      </c>
      <c r="G5436" s="78">
        <f>MAX(H5436,I5436,J5436)</f>
        <v>1</v>
      </c>
      <c r="H5436" s="88"/>
      <c r="I5436" s="88"/>
      <c r="J5436" s="78">
        <f>MAX(K5436:Q5436)</f>
        <v>1</v>
      </c>
      <c r="K5436" s="88">
        <v>1</v>
      </c>
      <c r="L5436" s="88"/>
      <c r="M5436" s="88"/>
      <c r="N5436" s="88"/>
      <c r="O5436" s="88"/>
      <c r="P5436" s="88"/>
      <c r="Q5436" s="88"/>
      <c r="R5436" s="78">
        <f>MAX(S5436:W5436)</f>
        <v>0</v>
      </c>
      <c r="S5436" s="88"/>
      <c r="T5436" s="88"/>
      <c r="U5436" s="88"/>
      <c r="V5436" s="88"/>
      <c r="W5436" s="88"/>
    </row>
    <row r="5437" spans="2:23" s="0" customFormat="0" ht="15">
      <c r="B5437" s="87" t="s">
        <v>1</v>
      </c>
      <c r="C5437" s="88" t="s">
        <v>5259</v>
      </c>
      <c r="D5437" s="88">
        <v>7823379</v>
      </c>
      <c r="E5437" s="88" t="s">
        <v>61</v>
      </c>
      <c r="F5437" s="88">
        <v>0</v>
      </c>
      <c r="G5437" s="78">
        <f>MAX(H5437,I5437,J5437)</f>
        <v>1</v>
      </c>
      <c r="H5437" s="88"/>
      <c r="I5437" s="88"/>
      <c r="J5437" s="78">
        <f>MAX(K5437:Q5437)</f>
        <v>1</v>
      </c>
      <c r="K5437" s="88">
        <v>1</v>
      </c>
      <c r="L5437" s="88"/>
      <c r="M5437" s="88"/>
      <c r="N5437" s="88"/>
      <c r="O5437" s="88"/>
      <c r="P5437" s="88"/>
      <c r="Q5437" s="88"/>
      <c r="R5437" s="78">
        <f>MAX(S5437:W5437)</f>
        <v>0</v>
      </c>
      <c r="S5437" s="88"/>
      <c r="T5437" s="88"/>
      <c r="U5437" s="88"/>
      <c r="V5437" s="88"/>
      <c r="W5437" s="88"/>
    </row>
    <row r="5438" spans="2:23" s="0" customFormat="0" ht="15">
      <c r="B5438" s="87" t="s">
        <v>1</v>
      </c>
      <c r="C5438" s="88" t="s">
        <v>5259</v>
      </c>
      <c r="D5438" s="88" t="s">
        <v>2597</v>
      </c>
      <c r="E5438" s="88" t="s">
        <v>61</v>
      </c>
      <c r="F5438" s="88">
        <v>0</v>
      </c>
      <c r="G5438" s="78">
        <f>MAX(H5438,I5438,J5438)</f>
        <v>1</v>
      </c>
      <c r="H5438" s="88"/>
      <c r="I5438" s="88"/>
      <c r="J5438" s="78">
        <f>MAX(K5438:Q5438)</f>
        <v>1</v>
      </c>
      <c r="K5438" s="88">
        <v>1</v>
      </c>
      <c r="L5438" s="88"/>
      <c r="M5438" s="88"/>
      <c r="N5438" s="88"/>
      <c r="O5438" s="88"/>
      <c r="P5438" s="88"/>
      <c r="Q5438" s="88"/>
      <c r="R5438" s="78">
        <f>MAX(S5438:W5438)</f>
        <v>0</v>
      </c>
      <c r="S5438" s="88"/>
      <c r="T5438" s="88"/>
      <c r="U5438" s="88"/>
      <c r="V5438" s="88"/>
      <c r="W5438" s="88"/>
    </row>
    <row r="5439" spans="2:23" s="0" customFormat="0" ht="15">
      <c r="B5439" s="87" t="s">
        <v>1</v>
      </c>
      <c r="C5439" s="88" t="s">
        <v>5259</v>
      </c>
      <c r="D5439" s="88">
        <v>20844759</v>
      </c>
      <c r="E5439" s="88" t="s">
        <v>61</v>
      </c>
      <c r="F5439" s="88">
        <v>0</v>
      </c>
      <c r="G5439" s="78">
        <f>MAX(H5439,I5439,J5439)</f>
        <v>1</v>
      </c>
      <c r="H5439" s="88"/>
      <c r="I5439" s="88"/>
      <c r="J5439" s="78">
        <f>MAX(K5439:Q5439)</f>
        <v>1</v>
      </c>
      <c r="K5439" s="88">
        <v>1</v>
      </c>
      <c r="L5439" s="88"/>
      <c r="M5439" s="88"/>
      <c r="N5439" s="88"/>
      <c r="O5439" s="88"/>
      <c r="P5439" s="88"/>
      <c r="Q5439" s="88"/>
      <c r="R5439" s="78">
        <f>MAX(S5439:W5439)</f>
        <v>0</v>
      </c>
      <c r="S5439" s="88"/>
      <c r="T5439" s="88"/>
      <c r="U5439" s="88"/>
      <c r="V5439" s="88"/>
      <c r="W5439" s="88"/>
    </row>
    <row r="5440" spans="2:23" s="0" customFormat="0" ht="15">
      <c r="B5440" s="87" t="s">
        <v>1</v>
      </c>
      <c r="C5440" s="88" t="s">
        <v>5259</v>
      </c>
      <c r="D5440" s="88" t="s">
        <v>2839</v>
      </c>
      <c r="E5440" s="88" t="s">
        <v>61</v>
      </c>
      <c r="F5440" s="88">
        <v>0</v>
      </c>
      <c r="G5440" s="78">
        <f>MAX(H5440,I5440,J5440)</f>
        <v>1</v>
      </c>
      <c r="H5440" s="88"/>
      <c r="I5440" s="88"/>
      <c r="J5440" s="78">
        <f>MAX(K5440:Q5440)</f>
        <v>1</v>
      </c>
      <c r="K5440" s="88">
        <v>1</v>
      </c>
      <c r="L5440" s="88"/>
      <c r="M5440" s="88"/>
      <c r="N5440" s="88"/>
      <c r="O5440" s="88"/>
      <c r="P5440" s="88"/>
      <c r="Q5440" s="88"/>
      <c r="R5440" s="78">
        <f>MAX(S5440:W5440)</f>
        <v>0</v>
      </c>
      <c r="S5440" s="88"/>
      <c r="T5440" s="88"/>
      <c r="U5440" s="88"/>
      <c r="V5440" s="88"/>
      <c r="W5440" s="88"/>
    </row>
    <row r="5441" spans="2:23" s="0" customFormat="0" ht="15">
      <c r="B5441" s="87" t="s">
        <v>1</v>
      </c>
      <c r="C5441" s="88" t="s">
        <v>5259</v>
      </c>
      <c r="D5441" s="88">
        <v>19666469</v>
      </c>
      <c r="E5441" s="88" t="s">
        <v>61</v>
      </c>
      <c r="F5441" s="88">
        <v>0</v>
      </c>
      <c r="G5441" s="78">
        <f>MAX(H5441,I5441,J5441)</f>
        <v>1</v>
      </c>
      <c r="H5441" s="88"/>
      <c r="I5441" s="88"/>
      <c r="J5441" s="78">
        <f>MAX(K5441:Q5441)</f>
        <v>1</v>
      </c>
      <c r="K5441" s="88">
        <v>1</v>
      </c>
      <c r="L5441" s="88"/>
      <c r="M5441" s="88"/>
      <c r="N5441" s="88"/>
      <c r="O5441" s="88"/>
      <c r="P5441" s="88"/>
      <c r="Q5441" s="88"/>
      <c r="R5441" s="78">
        <f>MAX(S5441:W5441)</f>
        <v>0</v>
      </c>
      <c r="S5441" s="88"/>
      <c r="T5441" s="88"/>
      <c r="U5441" s="88"/>
      <c r="V5441" s="88"/>
      <c r="W5441" s="88"/>
    </row>
    <row r="5442" spans="2:23" s="0" customFormat="0" ht="15">
      <c r="B5442" s="87" t="s">
        <v>1</v>
      </c>
      <c r="C5442" s="88" t="s">
        <v>5259</v>
      </c>
      <c r="D5442" s="88" t="s">
        <v>1958</v>
      </c>
      <c r="E5442" s="88" t="s">
        <v>61</v>
      </c>
      <c r="F5442" s="88">
        <v>0</v>
      </c>
      <c r="G5442" s="78">
        <f>MAX(H5442,I5442,J5442)</f>
        <v>1</v>
      </c>
      <c r="H5442" s="88"/>
      <c r="I5442" s="88"/>
      <c r="J5442" s="78">
        <f>MAX(K5442:Q5442)</f>
        <v>1</v>
      </c>
      <c r="K5442" s="88">
        <v>1</v>
      </c>
      <c r="L5442" s="88"/>
      <c r="M5442" s="88"/>
      <c r="N5442" s="88"/>
      <c r="O5442" s="88"/>
      <c r="P5442" s="88"/>
      <c r="Q5442" s="88"/>
      <c r="R5442" s="78">
        <f>MAX(S5442:W5442)</f>
        <v>0</v>
      </c>
      <c r="S5442" s="88"/>
      <c r="T5442" s="88"/>
      <c r="U5442" s="88"/>
      <c r="V5442" s="88"/>
      <c r="W5442" s="88"/>
    </row>
    <row r="5443" spans="2:23" s="0" customFormat="0" ht="15">
      <c r="B5443" s="87" t="s">
        <v>1</v>
      </c>
      <c r="C5443" s="88" t="s">
        <v>5259</v>
      </c>
      <c r="D5443" s="88">
        <v>22554249</v>
      </c>
      <c r="E5443" s="88" t="s">
        <v>61</v>
      </c>
      <c r="F5443" s="88">
        <v>0</v>
      </c>
      <c r="G5443" s="78">
        <f>MAX(H5443,I5443,J5443)</f>
        <v>0</v>
      </c>
      <c r="H5443" s="88"/>
      <c r="I5443" s="88"/>
      <c r="J5443" s="78">
        <f>MAX(K5443:Q5443)</f>
        <v>0</v>
      </c>
      <c r="K5443" s="88"/>
      <c r="L5443" s="88"/>
      <c r="M5443" s="88"/>
      <c r="N5443" s="88"/>
      <c r="O5443" s="88"/>
      <c r="P5443" s="88"/>
      <c r="Q5443" s="88"/>
      <c r="R5443" s="78">
        <f>MAX(S5443:W5443)</f>
        <v>1</v>
      </c>
      <c r="S5443" s="88"/>
      <c r="T5443" s="88"/>
      <c r="U5443" s="88">
        <v>1</v>
      </c>
      <c r="V5443" s="88"/>
      <c r="W5443" s="88"/>
    </row>
    <row r="5444" spans="2:23" s="0" customFormat="0" ht="15">
      <c r="B5444" s="87" t="s">
        <v>1</v>
      </c>
      <c r="C5444" s="88" t="s">
        <v>5259</v>
      </c>
      <c r="D5444" s="88" t="s">
        <v>4298</v>
      </c>
      <c r="E5444" s="88" t="s">
        <v>61</v>
      </c>
      <c r="F5444" s="88">
        <v>0</v>
      </c>
      <c r="G5444" s="78">
        <f>MAX(H5444,I5444,J5444)</f>
        <v>0</v>
      </c>
      <c r="H5444" s="88"/>
      <c r="I5444" s="88"/>
      <c r="J5444" s="78">
        <f>MAX(K5444:Q5444)</f>
        <v>0</v>
      </c>
      <c r="K5444" s="88"/>
      <c r="L5444" s="88"/>
      <c r="M5444" s="88"/>
      <c r="N5444" s="88"/>
      <c r="O5444" s="88"/>
      <c r="P5444" s="88"/>
      <c r="Q5444" s="88"/>
      <c r="R5444" s="78">
        <f>MAX(S5444:W5444)</f>
        <v>1</v>
      </c>
      <c r="S5444" s="88"/>
      <c r="T5444" s="88"/>
      <c r="U5444" s="88">
        <v>1</v>
      </c>
      <c r="V5444" s="88"/>
      <c r="W5444" s="88"/>
    </row>
    <row r="5445" spans="2:23" s="0" customFormat="0" ht="15">
      <c r="B5445" s="87" t="s">
        <v>1</v>
      </c>
      <c r="C5445" s="88" t="s">
        <v>5259</v>
      </c>
      <c r="D5445" s="88">
        <v>16627758</v>
      </c>
      <c r="E5445" s="88" t="s">
        <v>61</v>
      </c>
      <c r="F5445" s="88">
        <v>0</v>
      </c>
      <c r="G5445" s="78">
        <f>MAX(H5445,I5445,J5445)</f>
        <v>1</v>
      </c>
      <c r="H5445" s="88"/>
      <c r="I5445" s="88"/>
      <c r="J5445" s="78">
        <f>MAX(K5445:Q5445)</f>
        <v>1</v>
      </c>
      <c r="K5445" s="88">
        <v>1</v>
      </c>
      <c r="L5445" s="88"/>
      <c r="M5445" s="88"/>
      <c r="N5445" s="88"/>
      <c r="O5445" s="88"/>
      <c r="P5445" s="88"/>
      <c r="Q5445" s="88"/>
      <c r="R5445" s="78">
        <f>MAX(S5445:W5445)</f>
        <v>0</v>
      </c>
      <c r="S5445" s="88"/>
      <c r="T5445" s="88"/>
      <c r="U5445" s="88"/>
      <c r="V5445" s="88"/>
      <c r="W5445" s="88"/>
    </row>
    <row r="5446" spans="2:23" s="0" customFormat="0" ht="15">
      <c r="B5446" s="87" t="s">
        <v>1</v>
      </c>
      <c r="C5446" s="88" t="s">
        <v>5259</v>
      </c>
      <c r="D5446" s="88" t="s">
        <v>4714</v>
      </c>
      <c r="E5446" s="88" t="s">
        <v>61</v>
      </c>
      <c r="F5446" s="88">
        <v>0</v>
      </c>
      <c r="G5446" s="78">
        <f>MAX(H5446,I5446,J5446)</f>
        <v>0</v>
      </c>
      <c r="H5446" s="88"/>
      <c r="I5446" s="88"/>
      <c r="J5446" s="78">
        <f>MAX(K5446:Q5446)</f>
        <v>0</v>
      </c>
      <c r="K5446" s="88"/>
      <c r="L5446" s="88"/>
      <c r="M5446" s="88"/>
      <c r="N5446" s="88"/>
      <c r="O5446" s="88"/>
      <c r="P5446" s="88"/>
      <c r="Q5446" s="88"/>
      <c r="R5446" s="78">
        <f>MAX(S5446:W5446)</f>
        <v>1</v>
      </c>
      <c r="S5446" s="88"/>
      <c r="T5446" s="88"/>
      <c r="U5446" s="88">
        <v>1</v>
      </c>
      <c r="V5446" s="88"/>
      <c r="W5446" s="88"/>
    </row>
    <row r="5447" spans="2:23" s="0" customFormat="0" ht="15">
      <c r="B5447" s="87" t="s">
        <v>1</v>
      </c>
      <c r="C5447" s="88" t="s">
        <v>5259</v>
      </c>
      <c r="D5447" s="88">
        <v>22623674</v>
      </c>
      <c r="E5447" s="88" t="s">
        <v>61</v>
      </c>
      <c r="F5447" s="88">
        <v>0</v>
      </c>
      <c r="G5447" s="78">
        <f>MAX(H5447,I5447,J5447)</f>
        <v>0</v>
      </c>
      <c r="H5447" s="88"/>
      <c r="I5447" s="88"/>
      <c r="J5447" s="78">
        <f>MAX(K5447:Q5447)</f>
        <v>0</v>
      </c>
      <c r="K5447" s="88"/>
      <c r="L5447" s="88"/>
      <c r="M5447" s="88"/>
      <c r="N5447" s="88"/>
      <c r="O5447" s="88"/>
      <c r="P5447" s="88"/>
      <c r="Q5447" s="88"/>
      <c r="R5447" s="78">
        <f>MAX(S5447:W5447)</f>
        <v>1</v>
      </c>
      <c r="S5447" s="88"/>
      <c r="T5447" s="88"/>
      <c r="U5447" s="88">
        <v>1</v>
      </c>
      <c r="V5447" s="88"/>
      <c r="W5447" s="88"/>
    </row>
    <row r="5448" spans="2:23" s="0" customFormat="0" ht="15">
      <c r="B5448" s="87" t="s">
        <v>1</v>
      </c>
      <c r="C5448" s="88" t="s">
        <v>5259</v>
      </c>
      <c r="D5448" s="88">
        <v>4172301</v>
      </c>
      <c r="E5448" s="88" t="s">
        <v>61</v>
      </c>
      <c r="F5448" s="88">
        <v>0</v>
      </c>
      <c r="G5448" s="78">
        <f>MAX(H5448,I5448,J5448)</f>
        <v>0</v>
      </c>
      <c r="H5448" s="88"/>
      <c r="I5448" s="88"/>
      <c r="J5448" s="78">
        <f>MAX(K5448:Q5448)</f>
        <v>0</v>
      </c>
      <c r="K5448" s="88"/>
      <c r="L5448" s="88"/>
      <c r="M5448" s="88"/>
      <c r="N5448" s="88"/>
      <c r="O5448" s="88"/>
      <c r="P5448" s="88"/>
      <c r="Q5448" s="88"/>
      <c r="R5448" s="78">
        <f>MAX(S5448:W5448)</f>
        <v>1</v>
      </c>
      <c r="S5448" s="88"/>
      <c r="T5448" s="88"/>
      <c r="U5448" s="88"/>
      <c r="V5448" s="88">
        <v>1</v>
      </c>
      <c r="W5448" s="88"/>
    </row>
    <row r="5449" spans="2:23" s="0" customFormat="0" ht="15">
      <c r="B5449" s="87" t="s">
        <v>1</v>
      </c>
      <c r="C5449" s="88" t="s">
        <v>5259</v>
      </c>
      <c r="D5449" s="88">
        <v>4470999</v>
      </c>
      <c r="E5449" s="88" t="s">
        <v>61</v>
      </c>
      <c r="F5449" s="88">
        <v>0</v>
      </c>
      <c r="G5449" s="78">
        <f>MAX(H5449,I5449,J5449)</f>
        <v>1</v>
      </c>
      <c r="H5449" s="88"/>
      <c r="I5449" s="88"/>
      <c r="J5449" s="78">
        <f>MAX(K5449:Q5449)</f>
        <v>1</v>
      </c>
      <c r="K5449" s="88">
        <v>1</v>
      </c>
      <c r="L5449" s="88"/>
      <c r="M5449" s="88"/>
      <c r="N5449" s="88"/>
      <c r="O5449" s="88"/>
      <c r="P5449" s="88"/>
      <c r="Q5449" s="88"/>
      <c r="R5449" s="78">
        <f>MAX(S5449:W5449)</f>
        <v>0</v>
      </c>
      <c r="S5449" s="88"/>
      <c r="T5449" s="88"/>
      <c r="U5449" s="88"/>
      <c r="V5449" s="88"/>
      <c r="W5449" s="88"/>
    </row>
    <row r="5450" spans="2:23" s="0" customFormat="0" ht="15">
      <c r="B5450" s="87" t="s">
        <v>1</v>
      </c>
      <c r="C5450" s="88" t="s">
        <v>5259</v>
      </c>
      <c r="D5450" s="88" t="s">
        <v>1243</v>
      </c>
      <c r="E5450" s="88" t="s">
        <v>61</v>
      </c>
      <c r="F5450" s="88">
        <v>0</v>
      </c>
      <c r="G5450" s="78">
        <f>MAX(H5450,I5450,J5450)</f>
        <v>1</v>
      </c>
      <c r="H5450" s="88"/>
      <c r="I5450" s="88"/>
      <c r="J5450" s="78">
        <f>MAX(K5450:Q5450)</f>
        <v>1</v>
      </c>
      <c r="K5450" s="88">
        <v>1</v>
      </c>
      <c r="L5450" s="88"/>
      <c r="M5450" s="88"/>
      <c r="N5450" s="88"/>
      <c r="O5450" s="88"/>
      <c r="P5450" s="88"/>
      <c r="Q5450" s="88"/>
      <c r="R5450" s="78">
        <f>MAX(S5450:W5450)</f>
        <v>0</v>
      </c>
      <c r="S5450" s="88"/>
      <c r="T5450" s="88"/>
      <c r="U5450" s="88"/>
      <c r="V5450" s="88"/>
      <c r="W5450" s="88"/>
    </row>
    <row r="5451" spans="2:23" s="0" customFormat="0" ht="15">
      <c r="B5451" s="87" t="s">
        <v>1</v>
      </c>
      <c r="C5451" s="88" t="s">
        <v>5259</v>
      </c>
      <c r="D5451" s="88" t="s">
        <v>4821</v>
      </c>
      <c r="E5451" s="88" t="s">
        <v>61</v>
      </c>
      <c r="F5451" s="88">
        <v>0</v>
      </c>
      <c r="G5451" s="78">
        <f>MAX(H5451,I5451,J5451)</f>
        <v>0</v>
      </c>
      <c r="H5451" s="88"/>
      <c r="I5451" s="88"/>
      <c r="J5451" s="78">
        <f>MAX(K5451:Q5451)</f>
        <v>0</v>
      </c>
      <c r="K5451" s="88"/>
      <c r="L5451" s="88"/>
      <c r="M5451" s="88"/>
      <c r="N5451" s="88"/>
      <c r="O5451" s="88"/>
      <c r="P5451" s="88"/>
      <c r="Q5451" s="88"/>
      <c r="R5451" s="78">
        <f>MAX(S5451:W5451)</f>
        <v>1</v>
      </c>
      <c r="S5451" s="88"/>
      <c r="T5451" s="88"/>
      <c r="U5451" s="88">
        <v>1</v>
      </c>
      <c r="V5451" s="88"/>
      <c r="W5451" s="88"/>
    </row>
    <row r="5452" spans="2:23" s="0" customFormat="0" ht="15">
      <c r="B5452" s="87" t="s">
        <v>1</v>
      </c>
      <c r="C5452" s="88" t="s">
        <v>5259</v>
      </c>
      <c r="D5452" s="88">
        <v>22028344</v>
      </c>
      <c r="E5452" s="88" t="s">
        <v>61</v>
      </c>
      <c r="F5452" s="88">
        <v>0</v>
      </c>
      <c r="G5452" s="78">
        <f>MAX(H5452,I5452,J5452)</f>
        <v>1</v>
      </c>
      <c r="H5452" s="88"/>
      <c r="I5452" s="88"/>
      <c r="J5452" s="78">
        <f>MAX(K5452:Q5452)</f>
        <v>1</v>
      </c>
      <c r="K5452" s="88">
        <v>1</v>
      </c>
      <c r="L5452" s="88"/>
      <c r="M5452" s="88"/>
      <c r="N5452" s="88"/>
      <c r="O5452" s="88"/>
      <c r="P5452" s="88"/>
      <c r="Q5452" s="88"/>
      <c r="R5452" s="78">
        <f>MAX(S5452:W5452)</f>
        <v>0</v>
      </c>
      <c r="S5452" s="88"/>
      <c r="T5452" s="88"/>
      <c r="U5452" s="88"/>
      <c r="V5452" s="88"/>
      <c r="W5452" s="88"/>
    </row>
    <row r="5453" spans="2:23" s="0" customFormat="0" ht="15">
      <c r="B5453" s="87" t="s">
        <v>1</v>
      </c>
      <c r="C5453" s="88" t="s">
        <v>5259</v>
      </c>
      <c r="D5453" s="88" t="s">
        <v>2069</v>
      </c>
      <c r="E5453" s="88" t="s">
        <v>61</v>
      </c>
      <c r="F5453" s="88">
        <v>0</v>
      </c>
      <c r="G5453" s="78">
        <f>MAX(H5453,I5453,J5453)</f>
        <v>1</v>
      </c>
      <c r="H5453" s="88"/>
      <c r="I5453" s="88"/>
      <c r="J5453" s="78">
        <f>MAX(K5453:Q5453)</f>
        <v>1</v>
      </c>
      <c r="K5453" s="88">
        <v>1</v>
      </c>
      <c r="L5453" s="88"/>
      <c r="M5453" s="88"/>
      <c r="N5453" s="88"/>
      <c r="O5453" s="88"/>
      <c r="P5453" s="88"/>
      <c r="Q5453" s="88"/>
      <c r="R5453" s="78">
        <f>MAX(S5453:W5453)</f>
        <v>0</v>
      </c>
      <c r="S5453" s="88"/>
      <c r="T5453" s="88"/>
      <c r="U5453" s="88"/>
      <c r="V5453" s="88"/>
      <c r="W5453" s="88"/>
    </row>
    <row r="5454" spans="2:23" s="0" customFormat="0" ht="15">
      <c r="B5454" s="87" t="s">
        <v>1</v>
      </c>
      <c r="C5454" s="88" t="s">
        <v>5259</v>
      </c>
      <c r="D5454" s="88" t="s">
        <v>2843</v>
      </c>
      <c r="E5454" s="88" t="s">
        <v>61</v>
      </c>
      <c r="F5454" s="88">
        <v>0</v>
      </c>
      <c r="G5454" s="78">
        <f>MAX(H5454,I5454,J5454)</f>
        <v>1</v>
      </c>
      <c r="H5454" s="88"/>
      <c r="I5454" s="88"/>
      <c r="J5454" s="78">
        <f>MAX(K5454:Q5454)</f>
        <v>1</v>
      </c>
      <c r="K5454" s="88">
        <v>1</v>
      </c>
      <c r="L5454" s="88"/>
      <c r="M5454" s="88"/>
      <c r="N5454" s="88"/>
      <c r="O5454" s="88"/>
      <c r="P5454" s="88"/>
      <c r="Q5454" s="88"/>
      <c r="R5454" s="78">
        <f>MAX(S5454:W5454)</f>
        <v>0</v>
      </c>
      <c r="S5454" s="88"/>
      <c r="T5454" s="88"/>
      <c r="U5454" s="88"/>
      <c r="V5454" s="88"/>
      <c r="W5454" s="88"/>
    </row>
    <row r="5455" spans="2:23" s="0" customFormat="0" ht="15">
      <c r="B5455" s="87" t="s">
        <v>1</v>
      </c>
      <c r="C5455" s="88" t="s">
        <v>5259</v>
      </c>
      <c r="D5455" s="88">
        <v>21382664</v>
      </c>
      <c r="E5455" s="88" t="s">
        <v>61</v>
      </c>
      <c r="F5455" s="88">
        <v>0</v>
      </c>
      <c r="G5455" s="78">
        <f>MAX(H5455,I5455,J5455)</f>
        <v>0</v>
      </c>
      <c r="H5455" s="88"/>
      <c r="I5455" s="88"/>
      <c r="J5455" s="78">
        <f>MAX(K5455:Q5455)</f>
        <v>0</v>
      </c>
      <c r="K5455" s="88"/>
      <c r="L5455" s="88"/>
      <c r="M5455" s="88"/>
      <c r="N5455" s="88"/>
      <c r="O5455" s="88"/>
      <c r="P5455" s="88"/>
      <c r="Q5455" s="88"/>
      <c r="R5455" s="78">
        <f>MAX(S5455:W5455)</f>
        <v>1</v>
      </c>
      <c r="S5455" s="88"/>
      <c r="T5455" s="88"/>
      <c r="U5455" s="88">
        <v>1</v>
      </c>
      <c r="V5455" s="88"/>
      <c r="W5455" s="88"/>
    </row>
    <row r="5456" spans="2:23" s="0" customFormat="0" ht="15">
      <c r="B5456" s="87" t="s">
        <v>1</v>
      </c>
      <c r="C5456" s="88" t="s">
        <v>5259</v>
      </c>
      <c r="D5456" s="88" t="s">
        <v>5147</v>
      </c>
      <c r="E5456" s="88" t="s">
        <v>61</v>
      </c>
      <c r="F5456" s="88">
        <v>0</v>
      </c>
      <c r="G5456" s="78">
        <f>MAX(H5456,I5456,J5456)</f>
        <v>0</v>
      </c>
      <c r="H5456" s="88"/>
      <c r="I5456" s="88"/>
      <c r="J5456" s="78">
        <f>MAX(K5456:Q5456)</f>
        <v>0</v>
      </c>
      <c r="K5456" s="88"/>
      <c r="L5456" s="88"/>
      <c r="M5456" s="88"/>
      <c r="N5456" s="88"/>
      <c r="O5456" s="88"/>
      <c r="P5456" s="88"/>
      <c r="Q5456" s="88"/>
      <c r="R5456" s="78">
        <f>MAX(S5456:W5456)</f>
        <v>1</v>
      </c>
      <c r="S5456" s="88"/>
      <c r="T5456" s="88"/>
      <c r="U5456" s="88">
        <v>1</v>
      </c>
      <c r="V5456" s="88"/>
      <c r="W5456" s="88"/>
    </row>
    <row r="5457" spans="2:23" s="0" customFormat="0" ht="15">
      <c r="B5457" s="87" t="s">
        <v>1</v>
      </c>
      <c r="C5457" s="88" t="s">
        <v>5259</v>
      </c>
      <c r="D5457" s="88">
        <v>19486469</v>
      </c>
      <c r="E5457" s="88" t="s">
        <v>61</v>
      </c>
      <c r="F5457" s="88">
        <v>0</v>
      </c>
      <c r="G5457" s="78">
        <f>MAX(H5457,I5457,J5457)</f>
        <v>1</v>
      </c>
      <c r="H5457" s="88"/>
      <c r="I5457" s="88"/>
      <c r="J5457" s="78">
        <f>MAX(K5457:Q5457)</f>
        <v>1</v>
      </c>
      <c r="K5457" s="88">
        <v>1</v>
      </c>
      <c r="L5457" s="88"/>
      <c r="M5457" s="88"/>
      <c r="N5457" s="88"/>
      <c r="O5457" s="88"/>
      <c r="P5457" s="88"/>
      <c r="Q5457" s="88"/>
      <c r="R5457" s="78">
        <f>MAX(S5457:W5457)</f>
        <v>0</v>
      </c>
      <c r="S5457" s="88"/>
      <c r="T5457" s="88"/>
      <c r="U5457" s="88"/>
      <c r="V5457" s="88"/>
      <c r="W5457" s="88"/>
    </row>
    <row r="5458" spans="2:23" s="0" customFormat="0" ht="15">
      <c r="B5458" s="87" t="s">
        <v>1</v>
      </c>
      <c r="C5458" s="88" t="s">
        <v>5259</v>
      </c>
      <c r="D5458" s="88">
        <v>11386216</v>
      </c>
      <c r="E5458" s="88" t="s">
        <v>61</v>
      </c>
      <c r="F5458" s="88">
        <v>0</v>
      </c>
      <c r="G5458" s="78">
        <f>MAX(H5458,I5458,J5458)</f>
        <v>1</v>
      </c>
      <c r="H5458" s="88"/>
      <c r="I5458" s="88"/>
      <c r="J5458" s="78">
        <f>MAX(K5458:Q5458)</f>
        <v>1</v>
      </c>
      <c r="K5458" s="88">
        <v>1</v>
      </c>
      <c r="L5458" s="88"/>
      <c r="M5458" s="88"/>
      <c r="N5458" s="88"/>
      <c r="O5458" s="88"/>
      <c r="P5458" s="88"/>
      <c r="Q5458" s="88"/>
      <c r="R5458" s="78">
        <f>MAX(S5458:W5458)</f>
        <v>0</v>
      </c>
      <c r="S5458" s="88"/>
      <c r="T5458" s="88"/>
      <c r="U5458" s="88"/>
      <c r="V5458" s="88"/>
      <c r="W5458" s="88"/>
    </row>
    <row r="5459" spans="2:23" s="0" customFormat="0" ht="15">
      <c r="B5459" s="87" t="s">
        <v>1</v>
      </c>
      <c r="C5459" s="88" t="s">
        <v>5259</v>
      </c>
      <c r="D5459" s="88">
        <v>21990809</v>
      </c>
      <c r="E5459" s="88" t="s">
        <v>61</v>
      </c>
      <c r="F5459" s="88">
        <v>0</v>
      </c>
      <c r="G5459" s="78">
        <f>MAX(H5459,I5459,J5459)</f>
        <v>1</v>
      </c>
      <c r="H5459" s="88"/>
      <c r="I5459" s="88"/>
      <c r="J5459" s="78">
        <f>MAX(K5459:Q5459)</f>
        <v>1</v>
      </c>
      <c r="K5459" s="88">
        <v>1</v>
      </c>
      <c r="L5459" s="88"/>
      <c r="M5459" s="88"/>
      <c r="N5459" s="88"/>
      <c r="O5459" s="88"/>
      <c r="P5459" s="88"/>
      <c r="Q5459" s="88"/>
      <c r="R5459" s="78">
        <f>MAX(S5459:W5459)</f>
        <v>0</v>
      </c>
      <c r="S5459" s="88"/>
      <c r="T5459" s="88"/>
      <c r="U5459" s="88"/>
      <c r="V5459" s="88"/>
      <c r="W5459" s="88"/>
    </row>
    <row r="5460" spans="2:23" s="0" customFormat="0" ht="15">
      <c r="B5460" s="87" t="s">
        <v>1</v>
      </c>
      <c r="C5460" s="88" t="s">
        <v>5259</v>
      </c>
      <c r="D5460" s="88">
        <v>21550423</v>
      </c>
      <c r="E5460" s="88" t="s">
        <v>61</v>
      </c>
      <c r="F5460" s="88">
        <v>0</v>
      </c>
      <c r="G5460" s="78">
        <f>MAX(H5460,I5460,J5460)</f>
        <v>1</v>
      </c>
      <c r="H5460" s="88"/>
      <c r="I5460" s="88"/>
      <c r="J5460" s="78">
        <f>MAX(K5460:Q5460)</f>
        <v>1</v>
      </c>
      <c r="K5460" s="88">
        <v>1</v>
      </c>
      <c r="L5460" s="88"/>
      <c r="M5460" s="88"/>
      <c r="N5460" s="88"/>
      <c r="O5460" s="88"/>
      <c r="P5460" s="88"/>
      <c r="Q5460" s="88"/>
      <c r="R5460" s="78">
        <f>MAX(S5460:W5460)</f>
        <v>0</v>
      </c>
      <c r="S5460" s="88"/>
      <c r="T5460" s="88"/>
      <c r="U5460" s="88"/>
      <c r="V5460" s="88"/>
      <c r="W5460" s="88"/>
    </row>
    <row r="5461" spans="2:23" s="0" customFormat="0" ht="15">
      <c r="B5461" s="87" t="s">
        <v>1</v>
      </c>
      <c r="C5461" s="88" t="s">
        <v>5259</v>
      </c>
      <c r="D5461" s="88">
        <v>22266463</v>
      </c>
      <c r="E5461" s="88" t="s">
        <v>61</v>
      </c>
      <c r="F5461" s="88">
        <v>0</v>
      </c>
      <c r="G5461" s="78">
        <f>MAX(H5461,I5461,J5461)</f>
        <v>1</v>
      </c>
      <c r="H5461" s="88"/>
      <c r="I5461" s="88"/>
      <c r="J5461" s="78">
        <f>MAX(K5461:Q5461)</f>
        <v>1</v>
      </c>
      <c r="K5461" s="88">
        <v>1</v>
      </c>
      <c r="L5461" s="88"/>
      <c r="M5461" s="88"/>
      <c r="N5461" s="88"/>
      <c r="O5461" s="88"/>
      <c r="P5461" s="88"/>
      <c r="Q5461" s="88"/>
      <c r="R5461" s="78">
        <f>MAX(S5461:W5461)</f>
        <v>0</v>
      </c>
      <c r="S5461" s="88"/>
      <c r="T5461" s="88"/>
      <c r="U5461" s="88"/>
      <c r="V5461" s="88"/>
      <c r="W5461" s="88"/>
    </row>
    <row r="5462" spans="2:23" s="0" customFormat="0" ht="15">
      <c r="B5462" s="87" t="s">
        <v>1</v>
      </c>
      <c r="C5462" s="88" t="s">
        <v>5259</v>
      </c>
      <c r="D5462" s="88">
        <v>22554268</v>
      </c>
      <c r="E5462" s="88" t="s">
        <v>61</v>
      </c>
      <c r="F5462" s="88">
        <v>0</v>
      </c>
      <c r="G5462" s="78">
        <f>MAX(H5462,I5462,J5462)</f>
        <v>0</v>
      </c>
      <c r="H5462" s="88"/>
      <c r="I5462" s="88"/>
      <c r="J5462" s="78">
        <f>MAX(K5462:Q5462)</f>
        <v>0</v>
      </c>
      <c r="K5462" s="88"/>
      <c r="L5462" s="88"/>
      <c r="M5462" s="88"/>
      <c r="N5462" s="88"/>
      <c r="O5462" s="88"/>
      <c r="P5462" s="88"/>
      <c r="Q5462" s="88"/>
      <c r="R5462" s="78">
        <f>MAX(S5462:W5462)</f>
        <v>1</v>
      </c>
      <c r="S5462" s="88"/>
      <c r="T5462" s="88"/>
      <c r="U5462" s="88">
        <v>1</v>
      </c>
      <c r="V5462" s="88"/>
      <c r="W5462" s="88"/>
    </row>
    <row r="5463" spans="2:23" s="0" customFormat="0" ht="15">
      <c r="B5463" s="87" t="s">
        <v>1</v>
      </c>
      <c r="C5463" s="88" t="s">
        <v>5259</v>
      </c>
      <c r="D5463" s="88" t="s">
        <v>2845</v>
      </c>
      <c r="E5463" s="88" t="s">
        <v>61</v>
      </c>
      <c r="F5463" s="88">
        <v>0</v>
      </c>
      <c r="G5463" s="78">
        <f>MAX(H5463,I5463,J5463)</f>
        <v>1</v>
      </c>
      <c r="H5463" s="88"/>
      <c r="I5463" s="88"/>
      <c r="J5463" s="78">
        <f>MAX(K5463:Q5463)</f>
        <v>1</v>
      </c>
      <c r="K5463" s="88">
        <v>1</v>
      </c>
      <c r="L5463" s="88"/>
      <c r="M5463" s="88"/>
      <c r="N5463" s="88"/>
      <c r="O5463" s="88"/>
      <c r="P5463" s="88"/>
      <c r="Q5463" s="88"/>
      <c r="R5463" s="78">
        <f>MAX(S5463:W5463)</f>
        <v>0</v>
      </c>
      <c r="S5463" s="88"/>
      <c r="T5463" s="88"/>
      <c r="U5463" s="88"/>
      <c r="V5463" s="88"/>
      <c r="W5463" s="88"/>
    </row>
    <row r="5464" spans="2:23" s="0" customFormat="0" ht="15">
      <c r="B5464" s="87" t="s">
        <v>1</v>
      </c>
      <c r="C5464" s="88" t="s">
        <v>5259</v>
      </c>
      <c r="D5464" s="88">
        <v>21301521</v>
      </c>
      <c r="E5464" s="88" t="s">
        <v>61</v>
      </c>
      <c r="F5464" s="88">
        <v>0</v>
      </c>
      <c r="G5464" s="78">
        <f>MAX(H5464,I5464,J5464)</f>
        <v>1</v>
      </c>
      <c r="H5464" s="88"/>
      <c r="I5464" s="88"/>
      <c r="J5464" s="78">
        <f>MAX(K5464:Q5464)</f>
        <v>1</v>
      </c>
      <c r="K5464" s="88">
        <v>1</v>
      </c>
      <c r="L5464" s="88"/>
      <c r="M5464" s="88"/>
      <c r="N5464" s="88"/>
      <c r="O5464" s="88"/>
      <c r="P5464" s="88"/>
      <c r="Q5464" s="88"/>
      <c r="R5464" s="78">
        <f>MAX(S5464:W5464)</f>
        <v>0</v>
      </c>
      <c r="S5464" s="88"/>
      <c r="T5464" s="88"/>
      <c r="U5464" s="88"/>
      <c r="V5464" s="88"/>
      <c r="W5464" s="88"/>
    </row>
    <row r="5465" spans="2:23" s="0" customFormat="0" ht="15">
      <c r="B5465" s="87" t="s">
        <v>1</v>
      </c>
      <c r="C5465" s="88" t="s">
        <v>5259</v>
      </c>
      <c r="D5465" s="88" t="s">
        <v>576</v>
      </c>
      <c r="E5465" s="88" t="s">
        <v>61</v>
      </c>
      <c r="F5465" s="88">
        <v>0</v>
      </c>
      <c r="G5465" s="78">
        <f>MAX(H5465,I5465,J5465)</f>
        <v>1</v>
      </c>
      <c r="H5465" s="88"/>
      <c r="I5465" s="88"/>
      <c r="J5465" s="78">
        <f>MAX(K5465:Q5465)</f>
        <v>1</v>
      </c>
      <c r="K5465" s="88">
        <v>1</v>
      </c>
      <c r="L5465" s="88"/>
      <c r="M5465" s="88"/>
      <c r="N5465" s="88"/>
      <c r="O5465" s="88"/>
      <c r="P5465" s="88"/>
      <c r="Q5465" s="88"/>
      <c r="R5465" s="78">
        <f>MAX(S5465:W5465)</f>
        <v>0</v>
      </c>
      <c r="S5465" s="88"/>
      <c r="T5465" s="88"/>
      <c r="U5465" s="88"/>
      <c r="V5465" s="88"/>
      <c r="W5465" s="88"/>
    </row>
    <row r="5466" spans="2:23" s="0" customFormat="0" ht="15">
      <c r="B5466" s="87" t="s">
        <v>1</v>
      </c>
      <c r="C5466" s="88" t="s">
        <v>5259</v>
      </c>
      <c r="D5466" s="88" t="s">
        <v>1487</v>
      </c>
      <c r="E5466" s="88" t="s">
        <v>61</v>
      </c>
      <c r="F5466" s="88">
        <v>0</v>
      </c>
      <c r="G5466" s="78">
        <f>MAX(H5466,I5466,J5466)</f>
        <v>1</v>
      </c>
      <c r="H5466" s="88"/>
      <c r="I5466" s="88"/>
      <c r="J5466" s="78">
        <f>MAX(K5466:Q5466)</f>
        <v>1</v>
      </c>
      <c r="K5466" s="88">
        <v>1</v>
      </c>
      <c r="L5466" s="88"/>
      <c r="M5466" s="88"/>
      <c r="N5466" s="88"/>
      <c r="O5466" s="88"/>
      <c r="P5466" s="88"/>
      <c r="Q5466" s="88"/>
      <c r="R5466" s="78">
        <f>MAX(S5466:W5466)</f>
        <v>0</v>
      </c>
      <c r="S5466" s="88"/>
      <c r="T5466" s="88"/>
      <c r="U5466" s="88"/>
      <c r="V5466" s="88"/>
      <c r="W5466" s="88"/>
    </row>
    <row r="5467" spans="2:23" s="0" customFormat="0" ht="15">
      <c r="B5467" s="87" t="s">
        <v>1</v>
      </c>
      <c r="C5467" s="88" t="s">
        <v>5259</v>
      </c>
      <c r="D5467" s="88">
        <v>18943962</v>
      </c>
      <c r="E5467" s="88" t="s">
        <v>61</v>
      </c>
      <c r="F5467" s="88">
        <v>0</v>
      </c>
      <c r="G5467" s="78">
        <f>MAX(H5467,I5467,J5467)</f>
        <v>1</v>
      </c>
      <c r="H5467" s="88"/>
      <c r="I5467" s="88"/>
      <c r="J5467" s="78">
        <f>MAX(K5467:Q5467)</f>
        <v>1</v>
      </c>
      <c r="K5467" s="88">
        <v>1</v>
      </c>
      <c r="L5467" s="88"/>
      <c r="M5467" s="88"/>
      <c r="N5467" s="88"/>
      <c r="O5467" s="88"/>
      <c r="P5467" s="88"/>
      <c r="Q5467" s="88"/>
      <c r="R5467" s="78">
        <f>MAX(S5467:W5467)</f>
        <v>0</v>
      </c>
      <c r="S5467" s="88"/>
      <c r="T5467" s="88"/>
      <c r="U5467" s="88"/>
      <c r="V5467" s="88"/>
      <c r="W5467" s="88"/>
    </row>
    <row r="5468" spans="2:23" s="0" customFormat="0" ht="15">
      <c r="B5468" s="87" t="s">
        <v>1</v>
      </c>
      <c r="C5468" s="88" t="s">
        <v>5259</v>
      </c>
      <c r="D5468" s="88" t="s">
        <v>351</v>
      </c>
      <c r="E5468" s="88" t="s">
        <v>61</v>
      </c>
      <c r="F5468" s="88">
        <v>0</v>
      </c>
      <c r="G5468" s="78">
        <f>MAX(H5468,I5468,J5468)</f>
        <v>1</v>
      </c>
      <c r="H5468" s="88"/>
      <c r="I5468" s="88"/>
      <c r="J5468" s="78">
        <f>MAX(K5468:Q5468)</f>
        <v>1</v>
      </c>
      <c r="K5468" s="88">
        <v>1</v>
      </c>
      <c r="L5468" s="88"/>
      <c r="M5468" s="88"/>
      <c r="N5468" s="88"/>
      <c r="O5468" s="88"/>
      <c r="P5468" s="88"/>
      <c r="Q5468" s="88"/>
      <c r="R5468" s="78">
        <f>MAX(S5468:W5468)</f>
        <v>0</v>
      </c>
      <c r="S5468" s="88"/>
      <c r="T5468" s="88"/>
      <c r="U5468" s="88"/>
      <c r="V5468" s="88"/>
      <c r="W5468" s="88"/>
    </row>
    <row r="5469" spans="2:23" s="0" customFormat="0" ht="15">
      <c r="B5469" s="87" t="s">
        <v>1</v>
      </c>
      <c r="C5469" s="88" t="s">
        <v>5259</v>
      </c>
      <c r="D5469" s="88">
        <v>18746165</v>
      </c>
      <c r="E5469" s="88" t="s">
        <v>61</v>
      </c>
      <c r="F5469" s="88">
        <v>0</v>
      </c>
      <c r="G5469" s="78">
        <f>MAX(H5469,I5469,J5469)</f>
        <v>0</v>
      </c>
      <c r="H5469" s="88"/>
      <c r="I5469" s="88"/>
      <c r="J5469" s="78">
        <f>MAX(K5469:Q5469)</f>
        <v>0</v>
      </c>
      <c r="K5469" s="88"/>
      <c r="L5469" s="88"/>
      <c r="M5469" s="88"/>
      <c r="N5469" s="88"/>
      <c r="O5469" s="88"/>
      <c r="P5469" s="88"/>
      <c r="Q5469" s="88"/>
      <c r="R5469" s="78">
        <f>MAX(S5469:W5469)</f>
        <v>1</v>
      </c>
      <c r="S5469" s="88"/>
      <c r="T5469" s="88"/>
      <c r="U5469" s="88">
        <v>1</v>
      </c>
      <c r="V5469" s="88"/>
      <c r="W5469" s="88"/>
    </row>
    <row r="5470" spans="2:23" s="0" customFormat="0" ht="15">
      <c r="B5470" s="87" t="s">
        <v>1</v>
      </c>
      <c r="C5470" s="88" t="s">
        <v>5259</v>
      </c>
      <c r="D5470" s="88">
        <v>1551608</v>
      </c>
      <c r="E5470" s="88" t="s">
        <v>61</v>
      </c>
      <c r="F5470" s="88">
        <v>0</v>
      </c>
      <c r="G5470" s="78">
        <f>MAX(H5470,I5470,J5470)</f>
        <v>0</v>
      </c>
      <c r="H5470" s="88"/>
      <c r="I5470" s="88"/>
      <c r="J5470" s="78">
        <f>MAX(K5470:Q5470)</f>
        <v>0</v>
      </c>
      <c r="K5470" s="88"/>
      <c r="L5470" s="88"/>
      <c r="M5470" s="88"/>
      <c r="N5470" s="88"/>
      <c r="O5470" s="88"/>
      <c r="P5470" s="88"/>
      <c r="Q5470" s="88"/>
      <c r="R5470" s="78">
        <f>MAX(S5470:W5470)</f>
        <v>1</v>
      </c>
      <c r="S5470" s="88"/>
      <c r="T5470" s="88"/>
      <c r="U5470" s="88">
        <v>1</v>
      </c>
      <c r="V5470" s="88"/>
      <c r="W5470" s="88"/>
    </row>
    <row r="5471" spans="2:23" s="0" customFormat="0" ht="15">
      <c r="B5471" s="87" t="s">
        <v>1</v>
      </c>
      <c r="C5471" s="88" t="s">
        <v>5259</v>
      </c>
      <c r="D5471" s="88" t="s">
        <v>5144</v>
      </c>
      <c r="E5471" s="88" t="s">
        <v>61</v>
      </c>
      <c r="F5471" s="88">
        <v>0</v>
      </c>
      <c r="G5471" s="78">
        <f>MAX(H5471,I5471,J5471)</f>
        <v>0</v>
      </c>
      <c r="H5471" s="88"/>
      <c r="I5471" s="88"/>
      <c r="J5471" s="78">
        <f>MAX(K5471:Q5471)</f>
        <v>0</v>
      </c>
      <c r="K5471" s="88"/>
      <c r="L5471" s="88"/>
      <c r="M5471" s="88"/>
      <c r="N5471" s="88"/>
      <c r="O5471" s="88"/>
      <c r="P5471" s="88"/>
      <c r="Q5471" s="88"/>
      <c r="R5471" s="78">
        <f>MAX(S5471:W5471)</f>
        <v>1</v>
      </c>
      <c r="S5471" s="88"/>
      <c r="T5471" s="88"/>
      <c r="U5471" s="88">
        <v>1</v>
      </c>
      <c r="V5471" s="88"/>
      <c r="W5471" s="88"/>
    </row>
    <row r="5472" spans="2:23" s="0" customFormat="0" ht="15">
      <c r="B5472" s="87" t="s">
        <v>1</v>
      </c>
      <c r="C5472" s="88" t="s">
        <v>5259</v>
      </c>
      <c r="D5472" s="88">
        <v>14265324</v>
      </c>
      <c r="E5472" s="88" t="s">
        <v>61</v>
      </c>
      <c r="F5472" s="88">
        <v>0</v>
      </c>
      <c r="G5472" s="78">
        <f>MAX(H5472,I5472,J5472)</f>
        <v>1</v>
      </c>
      <c r="H5472" s="88"/>
      <c r="I5472" s="88"/>
      <c r="J5472" s="78">
        <f>MAX(K5472:Q5472)</f>
        <v>1</v>
      </c>
      <c r="K5472" s="88">
        <v>1</v>
      </c>
      <c r="L5472" s="88"/>
      <c r="M5472" s="88"/>
      <c r="N5472" s="88"/>
      <c r="O5472" s="88"/>
      <c r="P5472" s="88"/>
      <c r="Q5472" s="88"/>
      <c r="R5472" s="78">
        <f>MAX(S5472:W5472)</f>
        <v>0</v>
      </c>
      <c r="S5472" s="88"/>
      <c r="T5472" s="88"/>
      <c r="U5472" s="88"/>
      <c r="V5472" s="88"/>
      <c r="W5472" s="88"/>
    </row>
    <row r="5473" spans="2:23" s="0" customFormat="0" ht="15">
      <c r="B5473" s="87" t="s">
        <v>1</v>
      </c>
      <c r="C5473" s="88" t="s">
        <v>5259</v>
      </c>
      <c r="D5473" s="88" t="s">
        <v>1772</v>
      </c>
      <c r="E5473" s="88" t="s">
        <v>61</v>
      </c>
      <c r="F5473" s="88">
        <v>0</v>
      </c>
      <c r="G5473" s="78">
        <f>MAX(H5473,I5473,J5473)</f>
        <v>1</v>
      </c>
      <c r="H5473" s="88"/>
      <c r="I5473" s="88"/>
      <c r="J5473" s="78">
        <f>MAX(K5473:Q5473)</f>
        <v>1</v>
      </c>
      <c r="K5473" s="88">
        <v>1</v>
      </c>
      <c r="L5473" s="88"/>
      <c r="M5473" s="88"/>
      <c r="N5473" s="88"/>
      <c r="O5473" s="88"/>
      <c r="P5473" s="88"/>
      <c r="Q5473" s="88"/>
      <c r="R5473" s="78">
        <f>MAX(S5473:W5473)</f>
        <v>0</v>
      </c>
      <c r="S5473" s="88"/>
      <c r="T5473" s="88"/>
      <c r="U5473" s="88"/>
      <c r="V5473" s="88"/>
      <c r="W5473" s="88"/>
    </row>
    <row r="5474" spans="2:23" s="0" customFormat="0" ht="15">
      <c r="B5474" s="87" t="s">
        <v>1</v>
      </c>
      <c r="C5474" s="88" t="s">
        <v>5259</v>
      </c>
      <c r="D5474" s="88">
        <v>11986525</v>
      </c>
      <c r="E5474" s="88" t="s">
        <v>61</v>
      </c>
      <c r="F5474" s="88">
        <v>0</v>
      </c>
      <c r="G5474" s="78">
        <f>MAX(H5474,I5474,J5474)</f>
        <v>1</v>
      </c>
      <c r="H5474" s="88"/>
      <c r="I5474" s="88"/>
      <c r="J5474" s="78">
        <f>MAX(K5474:Q5474)</f>
        <v>1</v>
      </c>
      <c r="K5474" s="88">
        <v>1</v>
      </c>
      <c r="L5474" s="88"/>
      <c r="M5474" s="88"/>
      <c r="N5474" s="88"/>
      <c r="O5474" s="88"/>
      <c r="P5474" s="88"/>
      <c r="Q5474" s="88"/>
      <c r="R5474" s="78">
        <f>MAX(S5474:W5474)</f>
        <v>0</v>
      </c>
      <c r="S5474" s="88"/>
      <c r="T5474" s="88"/>
      <c r="U5474" s="88"/>
      <c r="V5474" s="88"/>
      <c r="W5474" s="88"/>
    </row>
    <row r="5475" spans="2:23" s="0" customFormat="0" ht="15">
      <c r="B5475" s="87" t="s">
        <v>1</v>
      </c>
      <c r="C5475" s="88" t="s">
        <v>5259</v>
      </c>
      <c r="D5475" s="88">
        <v>20505301</v>
      </c>
      <c r="E5475" s="88" t="s">
        <v>61</v>
      </c>
      <c r="F5475" s="88">
        <v>0</v>
      </c>
      <c r="G5475" s="78">
        <f>MAX(H5475,I5475,J5475)</f>
        <v>1</v>
      </c>
      <c r="H5475" s="88"/>
      <c r="I5475" s="88"/>
      <c r="J5475" s="78">
        <f>MAX(K5475:Q5475)</f>
        <v>1</v>
      </c>
      <c r="K5475" s="88">
        <v>1</v>
      </c>
      <c r="L5475" s="88"/>
      <c r="M5475" s="88"/>
      <c r="N5475" s="88"/>
      <c r="O5475" s="88"/>
      <c r="P5475" s="88"/>
      <c r="Q5475" s="88"/>
      <c r="R5475" s="78">
        <f>MAX(S5475:W5475)</f>
        <v>0</v>
      </c>
      <c r="S5475" s="88"/>
      <c r="T5475" s="88"/>
      <c r="U5475" s="88"/>
      <c r="V5475" s="88"/>
      <c r="W5475" s="88"/>
    </row>
    <row r="5476" spans="2:23" s="0" customFormat="0" ht="15">
      <c r="B5476" s="87" t="s">
        <v>1</v>
      </c>
      <c r="C5476" s="88" t="s">
        <v>5259</v>
      </c>
      <c r="D5476" s="88">
        <v>12057777</v>
      </c>
      <c r="E5476" s="88" t="s">
        <v>61</v>
      </c>
      <c r="F5476" s="88">
        <v>0</v>
      </c>
      <c r="G5476" s="78">
        <f>MAX(H5476,I5476,J5476)</f>
        <v>1</v>
      </c>
      <c r="H5476" s="88"/>
      <c r="I5476" s="88"/>
      <c r="J5476" s="78">
        <f>MAX(K5476:Q5476)</f>
        <v>1</v>
      </c>
      <c r="K5476" s="88">
        <v>1</v>
      </c>
      <c r="L5476" s="88"/>
      <c r="M5476" s="88"/>
      <c r="N5476" s="88"/>
      <c r="O5476" s="88"/>
      <c r="P5476" s="88"/>
      <c r="Q5476" s="88"/>
      <c r="R5476" s="78">
        <f>MAX(S5476:W5476)</f>
        <v>0</v>
      </c>
      <c r="S5476" s="88"/>
      <c r="T5476" s="88"/>
      <c r="U5476" s="88"/>
      <c r="V5476" s="88"/>
      <c r="W5476" s="88"/>
    </row>
    <row r="5477" spans="2:23" s="0" customFormat="0" ht="15">
      <c r="B5477" s="87" t="s">
        <v>1</v>
      </c>
      <c r="C5477" s="88" t="s">
        <v>5259</v>
      </c>
      <c r="D5477" s="88">
        <v>24865540</v>
      </c>
      <c r="E5477" s="88" t="s">
        <v>61</v>
      </c>
      <c r="F5477" s="88">
        <v>0</v>
      </c>
      <c r="G5477" s="78">
        <f>MAX(H5477,I5477,J5477)</f>
        <v>1</v>
      </c>
      <c r="H5477" s="88"/>
      <c r="I5477" s="88"/>
      <c r="J5477" s="78">
        <f>MAX(K5477:Q5477)</f>
        <v>1</v>
      </c>
      <c r="K5477" s="88">
        <v>1</v>
      </c>
      <c r="L5477" s="88"/>
      <c r="M5477" s="88"/>
      <c r="N5477" s="88"/>
      <c r="O5477" s="88"/>
      <c r="P5477" s="88"/>
      <c r="Q5477" s="88"/>
      <c r="R5477" s="78">
        <f>MAX(S5477:W5477)</f>
        <v>0</v>
      </c>
      <c r="S5477" s="88"/>
      <c r="T5477" s="88"/>
      <c r="U5477" s="88"/>
      <c r="V5477" s="88"/>
      <c r="W5477" s="88"/>
    </row>
    <row r="5478" spans="2:23" s="0" customFormat="0" ht="15">
      <c r="B5478" s="87" t="s">
        <v>1</v>
      </c>
      <c r="C5478" s="88" t="s">
        <v>5259</v>
      </c>
      <c r="D5478" s="88">
        <v>24748733</v>
      </c>
      <c r="E5478" s="88" t="s">
        <v>61</v>
      </c>
      <c r="F5478" s="88">
        <v>0</v>
      </c>
      <c r="G5478" s="78">
        <f>MAX(H5478,I5478,J5478)</f>
        <v>0</v>
      </c>
      <c r="H5478" s="88"/>
      <c r="I5478" s="88"/>
      <c r="J5478" s="78">
        <f>MAX(K5478:Q5478)</f>
        <v>0</v>
      </c>
      <c r="K5478" s="88"/>
      <c r="L5478" s="88"/>
      <c r="M5478" s="88"/>
      <c r="N5478" s="88"/>
      <c r="O5478" s="88"/>
      <c r="P5478" s="88"/>
      <c r="Q5478" s="88"/>
      <c r="R5478" s="78">
        <f>MAX(S5478:W5478)</f>
        <v>1</v>
      </c>
      <c r="S5478" s="88"/>
      <c r="T5478" s="88"/>
      <c r="U5478" s="88">
        <v>1</v>
      </c>
      <c r="V5478" s="88"/>
      <c r="W5478" s="88"/>
    </row>
    <row r="5479" spans="2:23" s="0" customFormat="0" ht="15">
      <c r="B5479" s="87" t="s">
        <v>1</v>
      </c>
      <c r="C5479" s="88" t="s">
        <v>5259</v>
      </c>
      <c r="D5479" s="88">
        <v>7065941</v>
      </c>
      <c r="E5479" s="88" t="s">
        <v>61</v>
      </c>
      <c r="F5479" s="88">
        <v>0</v>
      </c>
      <c r="G5479" s="78">
        <f>MAX(H5479,I5479,J5479)</f>
        <v>0</v>
      </c>
      <c r="H5479" s="88"/>
      <c r="I5479" s="88"/>
      <c r="J5479" s="78">
        <f>MAX(K5479:Q5479)</f>
        <v>0</v>
      </c>
      <c r="K5479" s="88"/>
      <c r="L5479" s="88"/>
      <c r="M5479" s="88"/>
      <c r="N5479" s="88"/>
      <c r="O5479" s="88"/>
      <c r="P5479" s="88"/>
      <c r="Q5479" s="88"/>
      <c r="R5479" s="78">
        <f>MAX(S5479:W5479)</f>
        <v>1</v>
      </c>
      <c r="S5479" s="88"/>
      <c r="T5479" s="88"/>
      <c r="U5479" s="88">
        <v>1</v>
      </c>
      <c r="V5479" s="88"/>
      <c r="W5479" s="88"/>
    </row>
    <row r="5480" spans="2:23" s="0" customFormat="0" ht="15">
      <c r="B5480" s="87" t="s">
        <v>1</v>
      </c>
      <c r="C5480" s="88" t="s">
        <v>5259</v>
      </c>
      <c r="D5480" s="88" t="s">
        <v>1668</v>
      </c>
      <c r="E5480" s="88" t="s">
        <v>61</v>
      </c>
      <c r="F5480" s="88">
        <v>0</v>
      </c>
      <c r="G5480" s="78">
        <f>MAX(H5480,I5480,J5480)</f>
        <v>1</v>
      </c>
      <c r="H5480" s="88"/>
      <c r="I5480" s="88"/>
      <c r="J5480" s="78">
        <f>MAX(K5480:Q5480)</f>
        <v>1</v>
      </c>
      <c r="K5480" s="88">
        <v>1</v>
      </c>
      <c r="L5480" s="88"/>
      <c r="M5480" s="88"/>
      <c r="N5480" s="88"/>
      <c r="O5480" s="88"/>
      <c r="P5480" s="88"/>
      <c r="Q5480" s="88"/>
      <c r="R5480" s="78">
        <f>MAX(S5480:W5480)</f>
        <v>0</v>
      </c>
      <c r="S5480" s="88"/>
      <c r="T5480" s="88"/>
      <c r="U5480" s="88"/>
      <c r="V5480" s="88"/>
      <c r="W5480" s="88"/>
    </row>
    <row r="5481" spans="2:23" s="0" customFormat="0" ht="15">
      <c r="B5481" s="87" t="s">
        <v>1</v>
      </c>
      <c r="C5481" s="88" t="s">
        <v>5259</v>
      </c>
      <c r="D5481" s="88" t="s">
        <v>5151</v>
      </c>
      <c r="E5481" s="88" t="s">
        <v>61</v>
      </c>
      <c r="F5481" s="88">
        <v>0</v>
      </c>
      <c r="G5481" s="78">
        <f>MAX(H5481,I5481,J5481)</f>
        <v>0</v>
      </c>
      <c r="H5481" s="88"/>
      <c r="I5481" s="88"/>
      <c r="J5481" s="78">
        <f>MAX(K5481:Q5481)</f>
        <v>0</v>
      </c>
      <c r="K5481" s="88"/>
      <c r="L5481" s="88"/>
      <c r="M5481" s="88"/>
      <c r="N5481" s="88"/>
      <c r="O5481" s="88"/>
      <c r="P5481" s="88"/>
      <c r="Q5481" s="88"/>
      <c r="R5481" s="78">
        <f>MAX(S5481:W5481)</f>
        <v>1</v>
      </c>
      <c r="S5481" s="88"/>
      <c r="T5481" s="88"/>
      <c r="U5481" s="88">
        <v>1</v>
      </c>
      <c r="V5481" s="88"/>
      <c r="W5481" s="88"/>
    </row>
    <row r="5482" spans="2:23" s="0" customFormat="0" ht="15">
      <c r="B5482" s="87" t="s">
        <v>1</v>
      </c>
      <c r="C5482" s="88" t="s">
        <v>5259</v>
      </c>
      <c r="D5482" s="88">
        <v>15802732</v>
      </c>
      <c r="E5482" s="88" t="s">
        <v>61</v>
      </c>
      <c r="F5482" s="88">
        <v>0</v>
      </c>
      <c r="G5482" s="78">
        <f>MAX(H5482,I5482,J5482)</f>
        <v>1</v>
      </c>
      <c r="H5482" s="88"/>
      <c r="I5482" s="88"/>
      <c r="J5482" s="78">
        <f>MAX(K5482:Q5482)</f>
        <v>1</v>
      </c>
      <c r="K5482" s="88"/>
      <c r="L5482" s="88">
        <v>1</v>
      </c>
      <c r="M5482" s="88"/>
      <c r="N5482" s="88"/>
      <c r="O5482" s="88"/>
      <c r="P5482" s="88"/>
      <c r="Q5482" s="88"/>
      <c r="R5482" s="78">
        <f>MAX(S5482:W5482)</f>
        <v>0</v>
      </c>
      <c r="S5482" s="88"/>
      <c r="T5482" s="88"/>
      <c r="U5482" s="88"/>
      <c r="V5482" s="88"/>
      <c r="W5482" s="88"/>
    </row>
    <row r="5483" spans="2:23" s="0" customFormat="0" ht="15">
      <c r="B5483" s="87" t="s">
        <v>1</v>
      </c>
      <c r="C5483" s="88" t="s">
        <v>5259</v>
      </c>
      <c r="D5483" s="88" t="s">
        <v>3845</v>
      </c>
      <c r="E5483" s="88" t="s">
        <v>61</v>
      </c>
      <c r="F5483" s="88">
        <v>0</v>
      </c>
      <c r="G5483" s="78">
        <f>MAX(H5483,I5483,J5483)</f>
        <v>0</v>
      </c>
      <c r="H5483" s="88"/>
      <c r="I5483" s="88"/>
      <c r="J5483" s="78">
        <f>MAX(K5483:Q5483)</f>
        <v>0</v>
      </c>
      <c r="K5483" s="88"/>
      <c r="L5483" s="88"/>
      <c r="M5483" s="88"/>
      <c r="N5483" s="88"/>
      <c r="O5483" s="88"/>
      <c r="P5483" s="88"/>
      <c r="Q5483" s="88"/>
      <c r="R5483" s="78">
        <f>MAX(S5483:W5483)</f>
        <v>1</v>
      </c>
      <c r="S5483" s="88"/>
      <c r="T5483" s="88"/>
      <c r="U5483" s="88">
        <v>1</v>
      </c>
      <c r="V5483" s="88"/>
      <c r="W5483" s="88"/>
    </row>
    <row r="5484" spans="2:23" s="0" customFormat="0" ht="15">
      <c r="B5484" s="87" t="s">
        <v>1</v>
      </c>
      <c r="C5484" s="88" t="s">
        <v>5259</v>
      </c>
      <c r="D5484" s="88">
        <v>20173124</v>
      </c>
      <c r="E5484" s="88" t="s">
        <v>61</v>
      </c>
      <c r="F5484" s="88">
        <v>0</v>
      </c>
      <c r="G5484" s="78">
        <f>MAX(H5484,I5484,J5484)</f>
        <v>1</v>
      </c>
      <c r="H5484" s="88"/>
      <c r="I5484" s="88"/>
      <c r="J5484" s="78">
        <f>MAX(K5484:Q5484)</f>
        <v>1</v>
      </c>
      <c r="K5484" s="88">
        <v>1</v>
      </c>
      <c r="L5484" s="88"/>
      <c r="M5484" s="88"/>
      <c r="N5484" s="88"/>
      <c r="O5484" s="88"/>
      <c r="P5484" s="88"/>
      <c r="Q5484" s="88"/>
      <c r="R5484" s="78">
        <f>MAX(S5484:W5484)</f>
        <v>0</v>
      </c>
      <c r="S5484" s="88"/>
      <c r="T5484" s="88"/>
      <c r="U5484" s="88"/>
      <c r="V5484" s="88"/>
      <c r="W5484" s="88"/>
    </row>
    <row r="5485" spans="2:23" s="0" customFormat="0" ht="15">
      <c r="B5485" s="87" t="s">
        <v>1</v>
      </c>
      <c r="C5485" s="88" t="s">
        <v>5259</v>
      </c>
      <c r="D5485" s="88">
        <v>23824584</v>
      </c>
      <c r="E5485" s="88" t="s">
        <v>61</v>
      </c>
      <c r="F5485" s="88">
        <v>0</v>
      </c>
      <c r="G5485" s="78">
        <f>MAX(H5485,I5485,J5485)</f>
        <v>1</v>
      </c>
      <c r="H5485" s="88"/>
      <c r="I5485" s="88"/>
      <c r="J5485" s="78">
        <f>MAX(K5485:Q5485)</f>
        <v>1</v>
      </c>
      <c r="K5485" s="88">
        <v>1</v>
      </c>
      <c r="L5485" s="88"/>
      <c r="M5485" s="88"/>
      <c r="N5485" s="88"/>
      <c r="O5485" s="88"/>
      <c r="P5485" s="88"/>
      <c r="Q5485" s="88"/>
      <c r="R5485" s="78">
        <f>MAX(S5485:W5485)</f>
        <v>0</v>
      </c>
      <c r="S5485" s="88"/>
      <c r="T5485" s="88"/>
      <c r="U5485" s="88"/>
      <c r="V5485" s="88"/>
      <c r="W5485" s="88"/>
    </row>
    <row r="5486" spans="2:23" s="0" customFormat="0" ht="15">
      <c r="B5486" s="87" t="s">
        <v>1</v>
      </c>
      <c r="C5486" s="88" t="s">
        <v>5259</v>
      </c>
      <c r="D5486" s="88">
        <v>13443990</v>
      </c>
      <c r="E5486" s="88" t="s">
        <v>61</v>
      </c>
      <c r="F5486" s="88">
        <v>0</v>
      </c>
      <c r="G5486" s="78">
        <f>MAX(H5486,I5486,J5486)</f>
        <v>1</v>
      </c>
      <c r="H5486" s="88"/>
      <c r="I5486" s="88"/>
      <c r="J5486" s="78">
        <f>MAX(K5486:Q5486)</f>
        <v>1</v>
      </c>
      <c r="K5486" s="88">
        <v>1</v>
      </c>
      <c r="L5486" s="88"/>
      <c r="M5486" s="88"/>
      <c r="N5486" s="88"/>
      <c r="O5486" s="88"/>
      <c r="P5486" s="88"/>
      <c r="Q5486" s="88"/>
      <c r="R5486" s="78">
        <f>MAX(S5486:W5486)</f>
        <v>0</v>
      </c>
      <c r="S5486" s="88"/>
      <c r="T5486" s="88"/>
      <c r="U5486" s="88"/>
      <c r="V5486" s="88"/>
      <c r="W5486" s="88"/>
    </row>
    <row r="5487" spans="2:23" s="0" customFormat="0" ht="15">
      <c r="B5487" s="87" t="s">
        <v>1</v>
      </c>
      <c r="C5487" s="88" t="s">
        <v>5259</v>
      </c>
      <c r="D5487" s="88">
        <v>13162985</v>
      </c>
      <c r="E5487" s="88" t="s">
        <v>61</v>
      </c>
      <c r="F5487" s="88">
        <v>0</v>
      </c>
      <c r="G5487" s="78">
        <f>MAX(H5487,I5487,J5487)</f>
        <v>1</v>
      </c>
      <c r="H5487" s="88"/>
      <c r="I5487" s="88"/>
      <c r="J5487" s="78">
        <f>MAX(K5487:Q5487)</f>
        <v>1</v>
      </c>
      <c r="K5487" s="88">
        <v>1</v>
      </c>
      <c r="L5487" s="88"/>
      <c r="M5487" s="88"/>
      <c r="N5487" s="88"/>
      <c r="O5487" s="88"/>
      <c r="P5487" s="88"/>
      <c r="Q5487" s="88"/>
      <c r="R5487" s="78">
        <f>MAX(S5487:W5487)</f>
        <v>0</v>
      </c>
      <c r="S5487" s="88"/>
      <c r="T5487" s="88"/>
      <c r="U5487" s="88"/>
      <c r="V5487" s="88"/>
      <c r="W5487" s="88"/>
    </row>
    <row r="5488" spans="2:23" s="0" customFormat="0" ht="15">
      <c r="B5488" s="87" t="s">
        <v>1</v>
      </c>
      <c r="C5488" s="88" t="s">
        <v>5259</v>
      </c>
      <c r="D5488" s="88" t="s">
        <v>2823</v>
      </c>
      <c r="E5488" s="88" t="s">
        <v>61</v>
      </c>
      <c r="F5488" s="88">
        <v>0</v>
      </c>
      <c r="G5488" s="78">
        <f>MAX(H5488,I5488,J5488)</f>
        <v>1</v>
      </c>
      <c r="H5488" s="88"/>
      <c r="I5488" s="88"/>
      <c r="J5488" s="78">
        <f>MAX(K5488:Q5488)</f>
        <v>1</v>
      </c>
      <c r="K5488" s="88">
        <v>1</v>
      </c>
      <c r="L5488" s="88"/>
      <c r="M5488" s="88"/>
      <c r="N5488" s="88"/>
      <c r="O5488" s="88"/>
      <c r="P5488" s="88"/>
      <c r="Q5488" s="88"/>
      <c r="R5488" s="78">
        <f>MAX(S5488:W5488)</f>
        <v>0</v>
      </c>
      <c r="S5488" s="88"/>
      <c r="T5488" s="88"/>
      <c r="U5488" s="88"/>
      <c r="V5488" s="88"/>
      <c r="W5488" s="88"/>
    </row>
    <row r="5489" spans="2:23" s="0" customFormat="0" ht="15">
      <c r="B5489" s="87" t="s">
        <v>1</v>
      </c>
      <c r="C5489" s="88" t="s">
        <v>5259</v>
      </c>
      <c r="D5489" s="88" t="s">
        <v>806</v>
      </c>
      <c r="E5489" s="88" t="s">
        <v>61</v>
      </c>
      <c r="F5489" s="88">
        <v>0</v>
      </c>
      <c r="G5489" s="78">
        <f>MAX(H5489,I5489,J5489)</f>
        <v>1</v>
      </c>
      <c r="H5489" s="88"/>
      <c r="I5489" s="88"/>
      <c r="J5489" s="78">
        <f>MAX(K5489:Q5489)</f>
        <v>1</v>
      </c>
      <c r="K5489" s="88">
        <v>1</v>
      </c>
      <c r="L5489" s="88"/>
      <c r="M5489" s="88"/>
      <c r="N5489" s="88"/>
      <c r="O5489" s="88"/>
      <c r="P5489" s="88"/>
      <c r="Q5489" s="88"/>
      <c r="R5489" s="78">
        <f>MAX(S5489:W5489)</f>
        <v>0</v>
      </c>
      <c r="S5489" s="88"/>
      <c r="T5489" s="88"/>
      <c r="U5489" s="88"/>
      <c r="V5489" s="88"/>
      <c r="W5489" s="88"/>
    </row>
    <row r="5490" spans="2:23" s="0" customFormat="0" ht="15">
      <c r="B5490" s="87" t="s">
        <v>1</v>
      </c>
      <c r="C5490" s="88" t="s">
        <v>5259</v>
      </c>
      <c r="D5490" s="88">
        <v>19133186</v>
      </c>
      <c r="E5490" s="88" t="s">
        <v>61</v>
      </c>
      <c r="F5490" s="88">
        <v>0</v>
      </c>
      <c r="G5490" s="78">
        <f>MAX(H5490,I5490,J5490)</f>
        <v>1</v>
      </c>
      <c r="H5490" s="88"/>
      <c r="I5490" s="88"/>
      <c r="J5490" s="78">
        <f>MAX(K5490:Q5490)</f>
        <v>1</v>
      </c>
      <c r="K5490" s="88">
        <v>1</v>
      </c>
      <c r="L5490" s="88"/>
      <c r="M5490" s="88"/>
      <c r="N5490" s="88"/>
      <c r="O5490" s="88"/>
      <c r="P5490" s="88"/>
      <c r="Q5490" s="88"/>
      <c r="R5490" s="78">
        <f>MAX(S5490:W5490)</f>
        <v>0</v>
      </c>
      <c r="S5490" s="88"/>
      <c r="T5490" s="88"/>
      <c r="U5490" s="88"/>
      <c r="V5490" s="88"/>
      <c r="W5490" s="88"/>
    </row>
    <row r="5491" spans="2:23" s="0" customFormat="0" ht="15">
      <c r="B5491" s="87" t="s">
        <v>1</v>
      </c>
      <c r="C5491" s="88" t="s">
        <v>5259</v>
      </c>
      <c r="D5491" s="88" t="s">
        <v>5112</v>
      </c>
      <c r="E5491" s="88" t="s">
        <v>61</v>
      </c>
      <c r="F5491" s="88">
        <v>0</v>
      </c>
      <c r="G5491" s="78">
        <f>MAX(H5491,I5491,J5491)</f>
        <v>0</v>
      </c>
      <c r="H5491" s="88"/>
      <c r="I5491" s="88"/>
      <c r="J5491" s="78">
        <f>MAX(K5491:Q5491)</f>
        <v>0</v>
      </c>
      <c r="K5491" s="88"/>
      <c r="L5491" s="88"/>
      <c r="M5491" s="88"/>
      <c r="N5491" s="88"/>
      <c r="O5491" s="88"/>
      <c r="P5491" s="88"/>
      <c r="Q5491" s="88"/>
      <c r="R5491" s="78">
        <f>MAX(S5491:W5491)</f>
        <v>1</v>
      </c>
      <c r="S5491" s="88"/>
      <c r="T5491" s="88"/>
      <c r="U5491" s="88">
        <v>1</v>
      </c>
      <c r="V5491" s="88"/>
      <c r="W5491" s="88"/>
    </row>
    <row r="5492" spans="2:23" s="0" customFormat="0" ht="15">
      <c r="B5492" s="87" t="s">
        <v>1</v>
      </c>
      <c r="C5492" s="88" t="s">
        <v>5259</v>
      </c>
      <c r="D5492" s="88" t="s">
        <v>4194</v>
      </c>
      <c r="E5492" s="88" t="s">
        <v>61</v>
      </c>
      <c r="F5492" s="88">
        <v>0</v>
      </c>
      <c r="G5492" s="78">
        <f>MAX(H5492,I5492,J5492)</f>
        <v>0</v>
      </c>
      <c r="H5492" s="88"/>
      <c r="I5492" s="88"/>
      <c r="J5492" s="78">
        <f>MAX(K5492:Q5492)</f>
        <v>0</v>
      </c>
      <c r="K5492" s="88"/>
      <c r="L5492" s="88"/>
      <c r="M5492" s="88"/>
      <c r="N5492" s="88"/>
      <c r="O5492" s="88"/>
      <c r="P5492" s="88"/>
      <c r="Q5492" s="88"/>
      <c r="R5492" s="78">
        <f>MAX(S5492:W5492)</f>
        <v>1</v>
      </c>
      <c r="S5492" s="88"/>
      <c r="T5492" s="88"/>
      <c r="U5492" s="88">
        <v>1</v>
      </c>
      <c r="V5492" s="88"/>
      <c r="W5492" s="88"/>
    </row>
    <row r="5493" spans="2:23" s="0" customFormat="0" ht="15">
      <c r="B5493" s="87" t="s">
        <v>1</v>
      </c>
      <c r="C5493" s="88" t="s">
        <v>5259</v>
      </c>
      <c r="D5493" s="88">
        <v>14504614</v>
      </c>
      <c r="E5493" s="88" t="s">
        <v>61</v>
      </c>
      <c r="F5493" s="88">
        <v>0</v>
      </c>
      <c r="G5493" s="78">
        <f>MAX(H5493,I5493,J5493)</f>
        <v>0</v>
      </c>
      <c r="H5493" s="88"/>
      <c r="I5493" s="88"/>
      <c r="J5493" s="78">
        <f>MAX(K5493:Q5493)</f>
        <v>0</v>
      </c>
      <c r="K5493" s="88"/>
      <c r="L5493" s="88"/>
      <c r="M5493" s="88"/>
      <c r="N5493" s="88"/>
      <c r="O5493" s="88"/>
      <c r="P5493" s="88"/>
      <c r="Q5493" s="88"/>
      <c r="R5493" s="78">
        <f>MAX(S5493:W5493)</f>
        <v>1</v>
      </c>
      <c r="S5493" s="88"/>
      <c r="T5493" s="88"/>
      <c r="U5493" s="88">
        <v>1</v>
      </c>
      <c r="V5493" s="88"/>
      <c r="W5493" s="88"/>
    </row>
    <row r="5494" spans="2:23" s="0" customFormat="0" ht="15">
      <c r="B5494" s="87" t="s">
        <v>1</v>
      </c>
      <c r="C5494" s="88" t="s">
        <v>5259</v>
      </c>
      <c r="D5494" s="88">
        <v>2986422</v>
      </c>
      <c r="E5494" s="88" t="s">
        <v>61</v>
      </c>
      <c r="F5494" s="88">
        <v>0</v>
      </c>
      <c r="G5494" s="78">
        <f>MAX(H5494,I5494,J5494)</f>
        <v>0</v>
      </c>
      <c r="H5494" s="88"/>
      <c r="I5494" s="88"/>
      <c r="J5494" s="78">
        <f>MAX(K5494:Q5494)</f>
        <v>0</v>
      </c>
      <c r="K5494" s="88"/>
      <c r="L5494" s="88"/>
      <c r="M5494" s="88"/>
      <c r="N5494" s="88"/>
      <c r="O5494" s="88"/>
      <c r="P5494" s="88"/>
      <c r="Q5494" s="88"/>
      <c r="R5494" s="78">
        <f>MAX(S5494:W5494)</f>
        <v>1</v>
      </c>
      <c r="S5494" s="88"/>
      <c r="T5494" s="88"/>
      <c r="U5494" s="88">
        <v>1</v>
      </c>
      <c r="V5494" s="88"/>
      <c r="W5494" s="88"/>
    </row>
    <row r="5495" spans="2:23" s="0" customFormat="0" ht="15">
      <c r="B5495" s="87" t="s">
        <v>1</v>
      </c>
      <c r="C5495" s="88" t="s">
        <v>5259</v>
      </c>
      <c r="D5495" s="88" t="s">
        <v>3350</v>
      </c>
      <c r="E5495" s="88" t="s">
        <v>61</v>
      </c>
      <c r="F5495" s="88">
        <v>0</v>
      </c>
      <c r="G5495" s="78">
        <f>MAX(H5495,I5495,J5495)</f>
        <v>0</v>
      </c>
      <c r="H5495" s="88"/>
      <c r="I5495" s="88"/>
      <c r="J5495" s="78">
        <f>MAX(K5495:Q5495)</f>
        <v>0</v>
      </c>
      <c r="K5495" s="88"/>
      <c r="L5495" s="88"/>
      <c r="M5495" s="88"/>
      <c r="N5495" s="88"/>
      <c r="O5495" s="88"/>
      <c r="P5495" s="88"/>
      <c r="Q5495" s="88"/>
      <c r="R5495" s="78">
        <f>MAX(S5495:W5495)</f>
        <v>1</v>
      </c>
      <c r="S5495" s="88"/>
      <c r="T5495" s="88"/>
      <c r="U5495" s="88">
        <v>1</v>
      </c>
      <c r="V5495" s="88"/>
      <c r="W5495" s="88"/>
    </row>
    <row r="5496" spans="2:23" s="0" customFormat="0" ht="15">
      <c r="B5496" s="87" t="s">
        <v>1</v>
      </c>
      <c r="C5496" s="88" t="s">
        <v>5259</v>
      </c>
      <c r="D5496" s="88">
        <v>20527484</v>
      </c>
      <c r="E5496" s="88" t="s">
        <v>61</v>
      </c>
      <c r="F5496" s="88">
        <v>0</v>
      </c>
      <c r="G5496" s="78">
        <f>MAX(H5496,I5496,J5496)</f>
        <v>1</v>
      </c>
      <c r="H5496" s="88"/>
      <c r="I5496" s="88"/>
      <c r="J5496" s="78">
        <f>MAX(K5496:Q5496)</f>
        <v>1</v>
      </c>
      <c r="K5496" s="88">
        <v>1</v>
      </c>
      <c r="L5496" s="88"/>
      <c r="M5496" s="88"/>
      <c r="N5496" s="88"/>
      <c r="O5496" s="88"/>
      <c r="P5496" s="88"/>
      <c r="Q5496" s="88"/>
      <c r="R5496" s="78">
        <f>MAX(S5496:W5496)</f>
        <v>0</v>
      </c>
      <c r="S5496" s="88"/>
      <c r="T5496" s="88"/>
      <c r="U5496" s="88"/>
      <c r="V5496" s="88"/>
      <c r="W5496" s="88"/>
    </row>
    <row r="5497" spans="2:23" s="0" customFormat="0" ht="15">
      <c r="B5497" s="87" t="s">
        <v>1</v>
      </c>
      <c r="C5497" s="88" t="s">
        <v>5259</v>
      </c>
      <c r="D5497" s="88" t="s">
        <v>4269</v>
      </c>
      <c r="E5497" s="88" t="s">
        <v>61</v>
      </c>
      <c r="F5497" s="88">
        <v>0</v>
      </c>
      <c r="G5497" s="78">
        <f>MAX(H5497,I5497,J5497)</f>
        <v>0</v>
      </c>
      <c r="H5497" s="88"/>
      <c r="I5497" s="88"/>
      <c r="J5497" s="78">
        <f>MAX(K5497:Q5497)</f>
        <v>0</v>
      </c>
      <c r="K5497" s="88"/>
      <c r="L5497" s="88"/>
      <c r="M5497" s="88"/>
      <c r="N5497" s="88"/>
      <c r="O5497" s="88"/>
      <c r="P5497" s="88"/>
      <c r="Q5497" s="88"/>
      <c r="R5497" s="78">
        <f>MAX(S5497:W5497)</f>
        <v>1</v>
      </c>
      <c r="S5497" s="88"/>
      <c r="T5497" s="88"/>
      <c r="U5497" s="88">
        <v>1</v>
      </c>
      <c r="V5497" s="88"/>
      <c r="W5497" s="88"/>
    </row>
    <row r="5498" spans="2:23" s="0" customFormat="0" ht="15">
      <c r="B5498" s="87" t="s">
        <v>1</v>
      </c>
      <c r="C5498" s="88" t="s">
        <v>5259</v>
      </c>
      <c r="D5498" s="88" t="s">
        <v>3445</v>
      </c>
      <c r="E5498" s="88" t="s">
        <v>61</v>
      </c>
      <c r="F5498" s="88">
        <v>0</v>
      </c>
      <c r="G5498" s="78">
        <f>MAX(H5498,I5498,J5498)</f>
        <v>0</v>
      </c>
      <c r="H5498" s="88"/>
      <c r="I5498" s="88"/>
      <c r="J5498" s="78">
        <f>MAX(K5498:Q5498)</f>
        <v>0</v>
      </c>
      <c r="K5498" s="88"/>
      <c r="L5498" s="88"/>
      <c r="M5498" s="88"/>
      <c r="N5498" s="88"/>
      <c r="O5498" s="88"/>
      <c r="P5498" s="88"/>
      <c r="Q5498" s="88"/>
      <c r="R5498" s="78">
        <f>MAX(S5498:W5498)</f>
        <v>1</v>
      </c>
      <c r="S5498" s="88"/>
      <c r="T5498" s="88"/>
      <c r="U5498" s="88">
        <v>1</v>
      </c>
      <c r="V5498" s="88"/>
      <c r="W5498" s="88"/>
    </row>
    <row r="5499" spans="2:23" s="0" customFormat="0" ht="15">
      <c r="B5499" s="87" t="s">
        <v>1</v>
      </c>
      <c r="C5499" s="88" t="s">
        <v>5259</v>
      </c>
      <c r="D5499" s="88">
        <v>22444256</v>
      </c>
      <c r="E5499" s="88" t="s">
        <v>61</v>
      </c>
      <c r="F5499" s="88">
        <v>0</v>
      </c>
      <c r="G5499" s="78">
        <f>MAX(H5499,I5499,J5499)</f>
        <v>1</v>
      </c>
      <c r="H5499" s="88"/>
      <c r="I5499" s="88"/>
      <c r="J5499" s="78">
        <f>MAX(K5499:Q5499)</f>
        <v>1</v>
      </c>
      <c r="K5499" s="88">
        <v>1</v>
      </c>
      <c r="L5499" s="88"/>
      <c r="M5499" s="88"/>
      <c r="N5499" s="88"/>
      <c r="O5499" s="88"/>
      <c r="P5499" s="88"/>
      <c r="Q5499" s="88"/>
      <c r="R5499" s="78">
        <f>MAX(S5499:W5499)</f>
        <v>0</v>
      </c>
      <c r="S5499" s="88"/>
      <c r="T5499" s="88"/>
      <c r="U5499" s="88"/>
      <c r="V5499" s="88"/>
      <c r="W5499" s="88"/>
    </row>
    <row r="5500" spans="2:23" s="0" customFormat="0" ht="15">
      <c r="B5500" s="87" t="s">
        <v>1</v>
      </c>
      <c r="C5500" s="88" t="s">
        <v>5259</v>
      </c>
      <c r="D5500" s="88" t="s">
        <v>4943</v>
      </c>
      <c r="E5500" s="88" t="s">
        <v>61</v>
      </c>
      <c r="F5500" s="88">
        <v>0</v>
      </c>
      <c r="G5500" s="78">
        <f>MAX(H5500,I5500,J5500)</f>
        <v>0</v>
      </c>
      <c r="H5500" s="88"/>
      <c r="I5500" s="88"/>
      <c r="J5500" s="78">
        <f>MAX(K5500:Q5500)</f>
        <v>0</v>
      </c>
      <c r="K5500" s="88"/>
      <c r="L5500" s="88"/>
      <c r="M5500" s="88"/>
      <c r="N5500" s="88"/>
      <c r="O5500" s="88"/>
      <c r="P5500" s="88"/>
      <c r="Q5500" s="88"/>
      <c r="R5500" s="78">
        <f>MAX(S5500:W5500)</f>
        <v>1</v>
      </c>
      <c r="S5500" s="88"/>
      <c r="T5500" s="88"/>
      <c r="U5500" s="88">
        <v>1</v>
      </c>
      <c r="V5500" s="88"/>
      <c r="W5500" s="88"/>
    </row>
    <row r="5501" spans="2:23" s="0" customFormat="0" ht="15">
      <c r="B5501" s="87" t="s">
        <v>1</v>
      </c>
      <c r="C5501" s="88" t="s">
        <v>5259</v>
      </c>
      <c r="D5501" s="88" t="s">
        <v>5017</v>
      </c>
      <c r="E5501" s="88" t="s">
        <v>61</v>
      </c>
      <c r="F5501" s="88">
        <v>0</v>
      </c>
      <c r="G5501" s="78">
        <f>MAX(H5501,I5501,J5501)</f>
        <v>0</v>
      </c>
      <c r="H5501" s="88"/>
      <c r="I5501" s="88"/>
      <c r="J5501" s="78">
        <f>MAX(K5501:Q5501)</f>
        <v>0</v>
      </c>
      <c r="K5501" s="88"/>
      <c r="L5501" s="88"/>
      <c r="M5501" s="88"/>
      <c r="N5501" s="88"/>
      <c r="O5501" s="88"/>
      <c r="P5501" s="88"/>
      <c r="Q5501" s="88"/>
      <c r="R5501" s="78">
        <f>MAX(S5501:W5501)</f>
        <v>1</v>
      </c>
      <c r="S5501" s="88"/>
      <c r="T5501" s="88"/>
      <c r="U5501" s="88">
        <v>1</v>
      </c>
      <c r="V5501" s="88"/>
      <c r="W5501" s="88"/>
    </row>
    <row r="5502" spans="2:23" s="0" customFormat="0" ht="15">
      <c r="B5502" s="87" t="s">
        <v>1</v>
      </c>
      <c r="C5502" s="88" t="s">
        <v>5259</v>
      </c>
      <c r="D5502" s="88">
        <v>11248835</v>
      </c>
      <c r="E5502" s="88" t="s">
        <v>61</v>
      </c>
      <c r="F5502" s="88">
        <v>0</v>
      </c>
      <c r="G5502" s="78">
        <f>MAX(H5502,I5502,J5502)</f>
        <v>0</v>
      </c>
      <c r="H5502" s="88"/>
      <c r="I5502" s="88"/>
      <c r="J5502" s="78">
        <f>MAX(K5502:Q5502)</f>
        <v>0</v>
      </c>
      <c r="K5502" s="88"/>
      <c r="L5502" s="88"/>
      <c r="M5502" s="88"/>
      <c r="N5502" s="88"/>
      <c r="O5502" s="88"/>
      <c r="P5502" s="88"/>
      <c r="Q5502" s="88"/>
      <c r="R5502" s="78">
        <f>MAX(S5502:W5502)</f>
        <v>1</v>
      </c>
      <c r="S5502" s="88"/>
      <c r="T5502" s="88"/>
      <c r="U5502" s="88">
        <v>1</v>
      </c>
      <c r="V5502" s="88"/>
      <c r="W5502" s="88"/>
    </row>
    <row r="5503" spans="2:23" s="0" customFormat="0" ht="15">
      <c r="B5503" s="87" t="s">
        <v>1</v>
      </c>
      <c r="C5503" s="88" t="s">
        <v>5259</v>
      </c>
      <c r="D5503" s="88" t="s">
        <v>3145</v>
      </c>
      <c r="E5503" s="88" t="s">
        <v>61</v>
      </c>
      <c r="F5503" s="88">
        <v>0</v>
      </c>
      <c r="G5503" s="78">
        <f>MAX(H5503,I5503,J5503)</f>
        <v>1</v>
      </c>
      <c r="H5503" s="88"/>
      <c r="I5503" s="88"/>
      <c r="J5503" s="78">
        <f>MAX(K5503:Q5503)</f>
        <v>1</v>
      </c>
      <c r="K5503" s="88"/>
      <c r="L5503" s="88"/>
      <c r="M5503" s="88"/>
      <c r="N5503" s="88">
        <v>1</v>
      </c>
      <c r="O5503" s="88"/>
      <c r="P5503" s="88"/>
      <c r="Q5503" s="88"/>
      <c r="R5503" s="78">
        <f>MAX(S5503:W5503)</f>
        <v>0</v>
      </c>
      <c r="S5503" s="88"/>
      <c r="T5503" s="88"/>
      <c r="U5503" s="88"/>
      <c r="V5503" s="88"/>
      <c r="W5503" s="88"/>
    </row>
    <row r="5504" spans="2:23" s="0" customFormat="0" ht="15">
      <c r="B5504" s="87" t="s">
        <v>1</v>
      </c>
      <c r="C5504" s="88" t="s">
        <v>5259</v>
      </c>
      <c r="D5504" s="88">
        <v>16991015</v>
      </c>
      <c r="E5504" s="88" t="s">
        <v>61</v>
      </c>
      <c r="F5504" s="88">
        <v>0</v>
      </c>
      <c r="G5504" s="78">
        <f>MAX(H5504,I5504,J5504)</f>
        <v>1</v>
      </c>
      <c r="H5504" s="88"/>
      <c r="I5504" s="88"/>
      <c r="J5504" s="78">
        <f>MAX(K5504:Q5504)</f>
        <v>1</v>
      </c>
      <c r="K5504" s="88">
        <v>1</v>
      </c>
      <c r="L5504" s="88"/>
      <c r="M5504" s="88"/>
      <c r="N5504" s="88"/>
      <c r="O5504" s="88"/>
      <c r="P5504" s="88"/>
      <c r="Q5504" s="88"/>
      <c r="R5504" s="78">
        <f>MAX(S5504:W5504)</f>
        <v>0</v>
      </c>
      <c r="S5504" s="88"/>
      <c r="T5504" s="88"/>
      <c r="U5504" s="88"/>
      <c r="V5504" s="88"/>
      <c r="W5504" s="88"/>
    </row>
    <row r="5505" spans="2:23" s="0" customFormat="0" ht="15">
      <c r="B5505" s="87" t="s">
        <v>1</v>
      </c>
      <c r="C5505" s="88" t="s">
        <v>5259</v>
      </c>
      <c r="D5505" s="88" t="s">
        <v>1853</v>
      </c>
      <c r="E5505" s="88" t="s">
        <v>61</v>
      </c>
      <c r="F5505" s="88">
        <v>0</v>
      </c>
      <c r="G5505" s="78">
        <f>MAX(H5505,I5505,J5505)</f>
        <v>1</v>
      </c>
      <c r="H5505" s="88"/>
      <c r="I5505" s="88"/>
      <c r="J5505" s="78">
        <f>MAX(K5505:Q5505)</f>
        <v>1</v>
      </c>
      <c r="K5505" s="88">
        <v>1</v>
      </c>
      <c r="L5505" s="88"/>
      <c r="M5505" s="88"/>
      <c r="N5505" s="88"/>
      <c r="O5505" s="88"/>
      <c r="P5505" s="88"/>
      <c r="Q5505" s="88"/>
      <c r="R5505" s="78">
        <f>MAX(S5505:W5505)</f>
        <v>0</v>
      </c>
      <c r="S5505" s="88"/>
      <c r="T5505" s="88"/>
      <c r="U5505" s="88"/>
      <c r="V5505" s="88"/>
      <c r="W5505" s="88"/>
    </row>
    <row r="5506" spans="2:23" s="0" customFormat="0" ht="15">
      <c r="B5506" s="87" t="s">
        <v>1</v>
      </c>
      <c r="C5506" s="88" t="s">
        <v>5259</v>
      </c>
      <c r="D5506" s="88">
        <v>21738090</v>
      </c>
      <c r="E5506" s="88" t="s">
        <v>61</v>
      </c>
      <c r="F5506" s="88">
        <v>0</v>
      </c>
      <c r="G5506" s="78">
        <f>MAX(H5506,I5506,J5506)</f>
        <v>1</v>
      </c>
      <c r="H5506" s="88"/>
      <c r="I5506" s="88"/>
      <c r="J5506" s="78">
        <f>MAX(K5506:Q5506)</f>
        <v>1</v>
      </c>
      <c r="K5506" s="88">
        <v>1</v>
      </c>
      <c r="L5506" s="88"/>
      <c r="M5506" s="88"/>
      <c r="N5506" s="88"/>
      <c r="O5506" s="88"/>
      <c r="P5506" s="88"/>
      <c r="Q5506" s="88"/>
      <c r="R5506" s="78">
        <f>MAX(S5506:W5506)</f>
        <v>0</v>
      </c>
      <c r="S5506" s="88"/>
      <c r="T5506" s="88"/>
      <c r="U5506" s="88"/>
      <c r="V5506" s="88"/>
      <c r="W5506" s="88"/>
    </row>
    <row r="5507" spans="2:23" s="0" customFormat="0" ht="15">
      <c r="B5507" s="87" t="s">
        <v>1</v>
      </c>
      <c r="C5507" s="88" t="s">
        <v>5259</v>
      </c>
      <c r="D5507" s="88">
        <v>11812756</v>
      </c>
      <c r="E5507" s="88" t="s">
        <v>61</v>
      </c>
      <c r="F5507" s="88">
        <v>0</v>
      </c>
      <c r="G5507" s="78">
        <f>MAX(H5507,I5507,J5507)</f>
        <v>1</v>
      </c>
      <c r="H5507" s="88"/>
      <c r="I5507" s="88"/>
      <c r="J5507" s="78">
        <f>MAX(K5507:Q5507)</f>
        <v>1</v>
      </c>
      <c r="K5507" s="88">
        <v>1</v>
      </c>
      <c r="L5507" s="88"/>
      <c r="M5507" s="88"/>
      <c r="N5507" s="88"/>
      <c r="O5507" s="88"/>
      <c r="P5507" s="88"/>
      <c r="Q5507" s="88"/>
      <c r="R5507" s="78">
        <f>MAX(S5507:W5507)</f>
        <v>0</v>
      </c>
      <c r="S5507" s="88"/>
      <c r="T5507" s="88"/>
      <c r="U5507" s="88"/>
      <c r="V5507" s="88"/>
      <c r="W5507" s="88"/>
    </row>
    <row r="5508" spans="2:23" s="0" customFormat="0" ht="15">
      <c r="B5508" s="87" t="s">
        <v>1</v>
      </c>
      <c r="C5508" s="88" t="s">
        <v>5259</v>
      </c>
      <c r="D5508" s="88">
        <v>18690554</v>
      </c>
      <c r="E5508" s="88" t="s">
        <v>61</v>
      </c>
      <c r="F5508" s="88">
        <v>0</v>
      </c>
      <c r="G5508" s="78">
        <f>MAX(H5508,I5508,J5508)</f>
        <v>1</v>
      </c>
      <c r="H5508" s="88"/>
      <c r="I5508" s="88"/>
      <c r="J5508" s="78">
        <f>MAX(K5508:Q5508)</f>
        <v>1</v>
      </c>
      <c r="K5508" s="88">
        <v>1</v>
      </c>
      <c r="L5508" s="88"/>
      <c r="M5508" s="88"/>
      <c r="N5508" s="88"/>
      <c r="O5508" s="88"/>
      <c r="P5508" s="88"/>
      <c r="Q5508" s="88"/>
      <c r="R5508" s="78">
        <f>MAX(S5508:W5508)</f>
        <v>0</v>
      </c>
      <c r="S5508" s="88"/>
      <c r="T5508" s="88"/>
      <c r="U5508" s="88"/>
      <c r="V5508" s="88"/>
      <c r="W5508" s="88"/>
    </row>
    <row r="5509" spans="2:23" s="0" customFormat="0" ht="15">
      <c r="B5509" s="87" t="s">
        <v>1</v>
      </c>
      <c r="C5509" s="88" t="s">
        <v>5259</v>
      </c>
      <c r="D5509" s="88" t="s">
        <v>901</v>
      </c>
      <c r="E5509" s="88" t="s">
        <v>61</v>
      </c>
      <c r="F5509" s="88">
        <v>0</v>
      </c>
      <c r="G5509" s="78">
        <f>MAX(H5509,I5509,J5509)</f>
        <v>1</v>
      </c>
      <c r="H5509" s="88"/>
      <c r="I5509" s="88"/>
      <c r="J5509" s="78">
        <f>MAX(K5509:Q5509)</f>
        <v>1</v>
      </c>
      <c r="K5509" s="88">
        <v>1</v>
      </c>
      <c r="L5509" s="88"/>
      <c r="M5509" s="88"/>
      <c r="N5509" s="88"/>
      <c r="O5509" s="88"/>
      <c r="P5509" s="88"/>
      <c r="Q5509" s="88"/>
      <c r="R5509" s="78">
        <f>MAX(S5509:W5509)</f>
        <v>0</v>
      </c>
      <c r="S5509" s="88"/>
      <c r="T5509" s="88"/>
      <c r="U5509" s="88"/>
      <c r="V5509" s="88"/>
      <c r="W5509" s="88"/>
    </row>
    <row r="5510" spans="2:23" s="0" customFormat="0" ht="15">
      <c r="B5510" s="87" t="s">
        <v>1</v>
      </c>
      <c r="C5510" s="88" t="s">
        <v>5259</v>
      </c>
      <c r="D5510" s="88">
        <v>18702636</v>
      </c>
      <c r="E5510" s="88" t="s">
        <v>61</v>
      </c>
      <c r="F5510" s="88">
        <v>0</v>
      </c>
      <c r="G5510" s="78">
        <f>MAX(H5510,I5510,J5510)</f>
        <v>1</v>
      </c>
      <c r="H5510" s="88"/>
      <c r="I5510" s="88"/>
      <c r="J5510" s="78">
        <f>MAX(K5510:Q5510)</f>
        <v>1</v>
      </c>
      <c r="K5510" s="88">
        <v>1</v>
      </c>
      <c r="L5510" s="88"/>
      <c r="M5510" s="88"/>
      <c r="N5510" s="88"/>
      <c r="O5510" s="88"/>
      <c r="P5510" s="88"/>
      <c r="Q5510" s="88"/>
      <c r="R5510" s="78">
        <f>MAX(S5510:W5510)</f>
        <v>0</v>
      </c>
      <c r="S5510" s="88"/>
      <c r="T5510" s="88"/>
      <c r="U5510" s="88"/>
      <c r="V5510" s="88"/>
      <c r="W5510" s="88"/>
    </row>
    <row r="5511" spans="2:23" s="0" customFormat="0" ht="15">
      <c r="B5511" s="87" t="s">
        <v>1</v>
      </c>
      <c r="C5511" s="88" t="s">
        <v>5259</v>
      </c>
      <c r="D5511" s="88" t="s">
        <v>4122</v>
      </c>
      <c r="E5511" s="88" t="s">
        <v>61</v>
      </c>
      <c r="F5511" s="88">
        <v>0</v>
      </c>
      <c r="G5511" s="78">
        <f>MAX(H5511,I5511,J5511)</f>
        <v>0</v>
      </c>
      <c r="H5511" s="88"/>
      <c r="I5511" s="88"/>
      <c r="J5511" s="78">
        <f>MAX(K5511:Q5511)</f>
        <v>0</v>
      </c>
      <c r="K5511" s="88"/>
      <c r="L5511" s="88"/>
      <c r="M5511" s="88"/>
      <c r="N5511" s="88"/>
      <c r="O5511" s="88"/>
      <c r="P5511" s="88"/>
      <c r="Q5511" s="88"/>
      <c r="R5511" s="78">
        <f>MAX(S5511:W5511)</f>
        <v>1</v>
      </c>
      <c r="S5511" s="88"/>
      <c r="T5511" s="88"/>
      <c r="U5511" s="88">
        <v>1</v>
      </c>
      <c r="V5511" s="88"/>
      <c r="W5511" s="88"/>
    </row>
    <row r="5512" spans="2:23" s="0" customFormat="0" ht="15">
      <c r="B5512" s="87" t="s">
        <v>1</v>
      </c>
      <c r="C5512" s="88" t="s">
        <v>5259</v>
      </c>
      <c r="D5512" s="88">
        <v>23732708</v>
      </c>
      <c r="E5512" s="88" t="s">
        <v>61</v>
      </c>
      <c r="F5512" s="88">
        <v>0</v>
      </c>
      <c r="G5512" s="78">
        <f>MAX(H5512,I5512,J5512)</f>
        <v>1</v>
      </c>
      <c r="H5512" s="88"/>
      <c r="I5512" s="88"/>
      <c r="J5512" s="78">
        <f>MAX(K5512:Q5512)</f>
        <v>1</v>
      </c>
      <c r="K5512" s="88">
        <v>1</v>
      </c>
      <c r="L5512" s="88"/>
      <c r="M5512" s="88"/>
      <c r="N5512" s="88"/>
      <c r="O5512" s="88"/>
      <c r="P5512" s="88"/>
      <c r="Q5512" s="88"/>
      <c r="R5512" s="78">
        <f>MAX(S5512:W5512)</f>
        <v>0</v>
      </c>
      <c r="S5512" s="88"/>
      <c r="T5512" s="88"/>
      <c r="U5512" s="88"/>
      <c r="V5512" s="88"/>
      <c r="W5512" s="88"/>
    </row>
    <row r="5513" spans="2:23" s="0" customFormat="0" ht="15">
      <c r="B5513" s="87" t="s">
        <v>1</v>
      </c>
      <c r="C5513" s="88" t="s">
        <v>5259</v>
      </c>
      <c r="D5513" s="88">
        <v>4187635</v>
      </c>
      <c r="E5513" s="88" t="s">
        <v>61</v>
      </c>
      <c r="F5513" s="88">
        <v>0</v>
      </c>
      <c r="G5513" s="78">
        <f>MAX(H5513,I5513,J5513)</f>
        <v>1</v>
      </c>
      <c r="H5513" s="88"/>
      <c r="I5513" s="88"/>
      <c r="J5513" s="78">
        <f>MAX(K5513:Q5513)</f>
        <v>1</v>
      </c>
      <c r="K5513" s="88">
        <v>1</v>
      </c>
      <c r="L5513" s="88"/>
      <c r="M5513" s="88"/>
      <c r="N5513" s="88"/>
      <c r="O5513" s="88"/>
      <c r="P5513" s="88"/>
      <c r="Q5513" s="88"/>
      <c r="R5513" s="78">
        <f>MAX(S5513:W5513)</f>
        <v>0</v>
      </c>
      <c r="S5513" s="88"/>
      <c r="T5513" s="88"/>
      <c r="U5513" s="88"/>
      <c r="V5513" s="88"/>
      <c r="W5513" s="88"/>
    </row>
    <row r="5514" spans="2:23" s="0" customFormat="0" ht="15">
      <c r="B5514" s="87" t="s">
        <v>1</v>
      </c>
      <c r="C5514" s="88" t="s">
        <v>5259</v>
      </c>
      <c r="D5514" s="88">
        <v>22857474</v>
      </c>
      <c r="E5514" s="88" t="s">
        <v>61</v>
      </c>
      <c r="F5514" s="88">
        <v>0</v>
      </c>
      <c r="G5514" s="78">
        <f>MAX(H5514,I5514,J5514)</f>
        <v>1</v>
      </c>
      <c r="H5514" s="88"/>
      <c r="I5514" s="88"/>
      <c r="J5514" s="78">
        <f>MAX(K5514:Q5514)</f>
        <v>1</v>
      </c>
      <c r="K5514" s="88">
        <v>1</v>
      </c>
      <c r="L5514" s="88"/>
      <c r="M5514" s="88"/>
      <c r="N5514" s="88"/>
      <c r="O5514" s="88"/>
      <c r="P5514" s="88"/>
      <c r="Q5514" s="88"/>
      <c r="R5514" s="78">
        <f>MAX(S5514:W5514)</f>
        <v>0</v>
      </c>
      <c r="S5514" s="88"/>
      <c r="T5514" s="88"/>
      <c r="U5514" s="88"/>
      <c r="V5514" s="88"/>
      <c r="W5514" s="88"/>
    </row>
    <row r="5515" spans="2:23" s="0" customFormat="0" ht="15">
      <c r="B5515" s="87" t="s">
        <v>1</v>
      </c>
      <c r="C5515" s="88" t="s">
        <v>5259</v>
      </c>
      <c r="D5515" s="88">
        <v>13443990</v>
      </c>
      <c r="E5515" s="88" t="s">
        <v>61</v>
      </c>
      <c r="F5515" s="88">
        <v>0</v>
      </c>
      <c r="G5515" s="78">
        <f>MAX(H5515,I5515,J5515)</f>
        <v>1</v>
      </c>
      <c r="H5515" s="88"/>
      <c r="I5515" s="88"/>
      <c r="J5515" s="78">
        <f>MAX(K5515:Q5515)</f>
        <v>1</v>
      </c>
      <c r="K5515" s="88">
        <v>1</v>
      </c>
      <c r="L5515" s="88"/>
      <c r="M5515" s="88"/>
      <c r="N5515" s="88"/>
      <c r="O5515" s="88"/>
      <c r="P5515" s="88"/>
      <c r="Q5515" s="88"/>
      <c r="R5515" s="78">
        <f>MAX(S5515:W5515)</f>
        <v>0</v>
      </c>
      <c r="S5515" s="88"/>
      <c r="T5515" s="88"/>
      <c r="U5515" s="88"/>
      <c r="V5515" s="88"/>
      <c r="W5515" s="88"/>
    </row>
    <row r="5516" spans="2:23" s="0" customFormat="0" ht="15">
      <c r="B5516" s="87" t="s">
        <v>1</v>
      </c>
      <c r="C5516" s="88" t="s">
        <v>5259</v>
      </c>
      <c r="D5516" s="88">
        <v>14428839</v>
      </c>
      <c r="E5516" s="88" t="s">
        <v>61</v>
      </c>
      <c r="F5516" s="88">
        <v>0</v>
      </c>
      <c r="G5516" s="78">
        <f>MAX(H5516,I5516,J5516)</f>
        <v>1</v>
      </c>
      <c r="H5516" s="88"/>
      <c r="I5516" s="88"/>
      <c r="J5516" s="78">
        <f>MAX(K5516:Q5516)</f>
        <v>1</v>
      </c>
      <c r="K5516" s="88">
        <v>1</v>
      </c>
      <c r="L5516" s="88"/>
      <c r="M5516" s="88"/>
      <c r="N5516" s="88"/>
      <c r="O5516" s="88"/>
      <c r="P5516" s="88"/>
      <c r="Q5516" s="88"/>
      <c r="R5516" s="78">
        <f>MAX(S5516:W5516)</f>
        <v>0</v>
      </c>
      <c r="S5516" s="88"/>
      <c r="T5516" s="88"/>
      <c r="U5516" s="88"/>
      <c r="V5516" s="88"/>
      <c r="W5516" s="88"/>
    </row>
    <row r="5517" spans="2:23" s="0" customFormat="0" ht="15">
      <c r="B5517" s="87" t="s">
        <v>1</v>
      </c>
      <c r="C5517" s="88" t="s">
        <v>5259</v>
      </c>
      <c r="D5517" s="88">
        <v>22320616</v>
      </c>
      <c r="E5517" s="88" t="s">
        <v>61</v>
      </c>
      <c r="F5517" s="88">
        <v>0</v>
      </c>
      <c r="G5517" s="78">
        <f>MAX(H5517,I5517,J5517)</f>
        <v>1</v>
      </c>
      <c r="H5517" s="88"/>
      <c r="I5517" s="88"/>
      <c r="J5517" s="78">
        <f>MAX(K5517:Q5517)</f>
        <v>1</v>
      </c>
      <c r="K5517" s="88">
        <v>1</v>
      </c>
      <c r="L5517" s="88"/>
      <c r="M5517" s="88"/>
      <c r="N5517" s="88"/>
      <c r="O5517" s="88"/>
      <c r="P5517" s="88"/>
      <c r="Q5517" s="88"/>
      <c r="R5517" s="78">
        <f>MAX(S5517:W5517)</f>
        <v>0</v>
      </c>
      <c r="S5517" s="88"/>
      <c r="T5517" s="88"/>
      <c r="U5517" s="88"/>
      <c r="V5517" s="88"/>
      <c r="W5517" s="88"/>
    </row>
    <row r="5518" spans="2:23" s="0" customFormat="0" ht="15">
      <c r="B5518" s="87" t="s">
        <v>1</v>
      </c>
      <c r="C5518" s="88" t="s">
        <v>5259</v>
      </c>
      <c r="D5518" s="88">
        <v>14455838</v>
      </c>
      <c r="E5518" s="88" t="s">
        <v>61</v>
      </c>
      <c r="F5518" s="88">
        <v>0</v>
      </c>
      <c r="G5518" s="78">
        <f>MAX(H5518,I5518,J5518)</f>
        <v>1</v>
      </c>
      <c r="H5518" s="88"/>
      <c r="I5518" s="88"/>
      <c r="J5518" s="78">
        <f>MAX(K5518:Q5518)</f>
        <v>1</v>
      </c>
      <c r="K5518" s="88">
        <v>1</v>
      </c>
      <c r="L5518" s="88"/>
      <c r="M5518" s="88"/>
      <c r="N5518" s="88"/>
      <c r="O5518" s="88"/>
      <c r="P5518" s="88"/>
      <c r="Q5518" s="88"/>
      <c r="R5518" s="78">
        <f>MAX(S5518:W5518)</f>
        <v>0</v>
      </c>
      <c r="S5518" s="88"/>
      <c r="T5518" s="88"/>
      <c r="U5518" s="88"/>
      <c r="V5518" s="88"/>
      <c r="W5518" s="88"/>
    </row>
    <row r="5519" spans="2:23" s="0" customFormat="0" ht="15">
      <c r="B5519" s="87" t="s">
        <v>1</v>
      </c>
      <c r="C5519" s="88" t="s">
        <v>5259</v>
      </c>
      <c r="D5519" s="88" t="s">
        <v>4464</v>
      </c>
      <c r="E5519" s="88" t="s">
        <v>61</v>
      </c>
      <c r="F5519" s="88">
        <v>0</v>
      </c>
      <c r="G5519" s="78">
        <f>MAX(H5519,I5519,J5519)</f>
        <v>0</v>
      </c>
      <c r="H5519" s="88"/>
      <c r="I5519" s="88"/>
      <c r="J5519" s="78">
        <f>MAX(K5519:Q5519)</f>
        <v>0</v>
      </c>
      <c r="K5519" s="88"/>
      <c r="L5519" s="88"/>
      <c r="M5519" s="88"/>
      <c r="N5519" s="88"/>
      <c r="O5519" s="88"/>
      <c r="P5519" s="88"/>
      <c r="Q5519" s="88"/>
      <c r="R5519" s="78">
        <f>MAX(S5519:W5519)</f>
        <v>1</v>
      </c>
      <c r="S5519" s="88"/>
      <c r="T5519" s="88"/>
      <c r="U5519" s="88">
        <v>1</v>
      </c>
      <c r="V5519" s="88"/>
      <c r="W5519" s="88"/>
    </row>
    <row r="5520" spans="2:23" s="0" customFormat="0" ht="15">
      <c r="B5520" s="87" t="s">
        <v>1</v>
      </c>
      <c r="C5520" s="88" t="s">
        <v>5259</v>
      </c>
      <c r="D5520" s="88">
        <v>11519512</v>
      </c>
      <c r="E5520" s="88" t="s">
        <v>61</v>
      </c>
      <c r="F5520" s="88">
        <v>0</v>
      </c>
      <c r="G5520" s="78">
        <f>MAX(H5520,I5520,J5520)</f>
        <v>1</v>
      </c>
      <c r="H5520" s="88"/>
      <c r="I5520" s="88"/>
      <c r="J5520" s="78">
        <f>MAX(K5520:Q5520)</f>
        <v>1</v>
      </c>
      <c r="K5520" s="88">
        <v>1</v>
      </c>
      <c r="L5520" s="88"/>
      <c r="M5520" s="88"/>
      <c r="N5520" s="88"/>
      <c r="O5520" s="88"/>
      <c r="P5520" s="88"/>
      <c r="Q5520" s="88"/>
      <c r="R5520" s="78">
        <f>MAX(S5520:W5520)</f>
        <v>0</v>
      </c>
      <c r="S5520" s="88"/>
      <c r="T5520" s="88"/>
      <c r="U5520" s="88"/>
      <c r="V5520" s="88"/>
      <c r="W5520" s="88"/>
    </row>
    <row r="5521" spans="2:23" s="0" customFormat="0" ht="15">
      <c r="B5521" s="87" t="s">
        <v>1</v>
      </c>
      <c r="C5521" s="88" t="s">
        <v>5259</v>
      </c>
      <c r="D5521" s="88" t="s">
        <v>1464</v>
      </c>
      <c r="E5521" s="88" t="s">
        <v>61</v>
      </c>
      <c r="F5521" s="88">
        <v>0</v>
      </c>
      <c r="G5521" s="78">
        <f>MAX(H5521,I5521,J5521)</f>
        <v>1</v>
      </c>
      <c r="H5521" s="88"/>
      <c r="I5521" s="88"/>
      <c r="J5521" s="78">
        <f>MAX(K5521:Q5521)</f>
        <v>1</v>
      </c>
      <c r="K5521" s="88">
        <v>1</v>
      </c>
      <c r="L5521" s="88"/>
      <c r="M5521" s="88"/>
      <c r="N5521" s="88"/>
      <c r="O5521" s="88"/>
      <c r="P5521" s="88"/>
      <c r="Q5521" s="88"/>
      <c r="R5521" s="78">
        <f>MAX(S5521:W5521)</f>
        <v>0</v>
      </c>
      <c r="S5521" s="88"/>
      <c r="T5521" s="88"/>
      <c r="U5521" s="88"/>
      <c r="V5521" s="88"/>
      <c r="W5521" s="88"/>
    </row>
    <row r="5522" spans="2:23" s="0" customFormat="0" ht="15">
      <c r="B5522" s="87" t="s">
        <v>1</v>
      </c>
      <c r="C5522" s="88" t="s">
        <v>5259</v>
      </c>
      <c r="D5522" s="88" t="s">
        <v>2854</v>
      </c>
      <c r="E5522" s="88" t="s">
        <v>61</v>
      </c>
      <c r="F5522" s="88">
        <v>0</v>
      </c>
      <c r="G5522" s="78">
        <f>MAX(H5522,I5522,J5522)</f>
        <v>1</v>
      </c>
      <c r="H5522" s="88"/>
      <c r="I5522" s="88"/>
      <c r="J5522" s="78">
        <f>MAX(K5522:Q5522)</f>
        <v>1</v>
      </c>
      <c r="K5522" s="88">
        <v>1</v>
      </c>
      <c r="L5522" s="88"/>
      <c r="M5522" s="88"/>
      <c r="N5522" s="88"/>
      <c r="O5522" s="88"/>
      <c r="P5522" s="88"/>
      <c r="Q5522" s="88"/>
      <c r="R5522" s="78">
        <f>MAX(S5522:W5522)</f>
        <v>0</v>
      </c>
      <c r="S5522" s="88"/>
      <c r="T5522" s="88"/>
      <c r="U5522" s="88"/>
      <c r="V5522" s="88"/>
      <c r="W5522" s="88"/>
    </row>
    <row r="5523" spans="2:23" s="0" customFormat="0" ht="15">
      <c r="B5523" s="87" t="s">
        <v>1</v>
      </c>
      <c r="C5523" s="88" t="s">
        <v>5259</v>
      </c>
      <c r="D5523" s="88" t="s">
        <v>3968</v>
      </c>
      <c r="E5523" s="88" t="s">
        <v>61</v>
      </c>
      <c r="F5523" s="88">
        <v>0</v>
      </c>
      <c r="G5523" s="78">
        <f>MAX(H5523,I5523,J5523)</f>
        <v>0</v>
      </c>
      <c r="H5523" s="88"/>
      <c r="I5523" s="88"/>
      <c r="J5523" s="78">
        <f>MAX(K5523:Q5523)</f>
        <v>0</v>
      </c>
      <c r="K5523" s="88"/>
      <c r="L5523" s="88"/>
      <c r="M5523" s="88"/>
      <c r="N5523" s="88"/>
      <c r="O5523" s="88"/>
      <c r="P5523" s="88"/>
      <c r="Q5523" s="88"/>
      <c r="R5523" s="78">
        <f>MAX(S5523:W5523)</f>
        <v>1</v>
      </c>
      <c r="S5523" s="88"/>
      <c r="T5523" s="88"/>
      <c r="U5523" s="88">
        <v>1</v>
      </c>
      <c r="V5523" s="88"/>
      <c r="W5523" s="88"/>
    </row>
    <row r="5524" spans="2:23" s="0" customFormat="0" ht="15">
      <c r="B5524" s="87" t="s">
        <v>1</v>
      </c>
      <c r="C5524" s="88" t="s">
        <v>5259</v>
      </c>
      <c r="D5524" s="88">
        <v>22623667</v>
      </c>
      <c r="E5524" s="88" t="s">
        <v>61</v>
      </c>
      <c r="F5524" s="88">
        <v>0</v>
      </c>
      <c r="G5524" s="78">
        <f>MAX(H5524,I5524,J5524)</f>
        <v>0</v>
      </c>
      <c r="H5524" s="88"/>
      <c r="I5524" s="88"/>
      <c r="J5524" s="78">
        <f>MAX(K5524:Q5524)</f>
        <v>0</v>
      </c>
      <c r="K5524" s="88"/>
      <c r="L5524" s="88"/>
      <c r="M5524" s="88"/>
      <c r="N5524" s="88"/>
      <c r="O5524" s="88"/>
      <c r="P5524" s="88"/>
      <c r="Q5524" s="88"/>
      <c r="R5524" s="78">
        <f>MAX(S5524:W5524)</f>
        <v>1</v>
      </c>
      <c r="S5524" s="88"/>
      <c r="T5524" s="88"/>
      <c r="U5524" s="88">
        <v>1</v>
      </c>
      <c r="V5524" s="88"/>
      <c r="W5524" s="88"/>
    </row>
    <row r="5525" spans="2:23" s="0" customFormat="0" ht="15">
      <c r="B5525" s="87" t="s">
        <v>1</v>
      </c>
      <c r="C5525" s="88" t="s">
        <v>5259</v>
      </c>
      <c r="D5525" s="88" t="s">
        <v>2856</v>
      </c>
      <c r="E5525" s="88" t="s">
        <v>61</v>
      </c>
      <c r="F5525" s="88">
        <v>0</v>
      </c>
      <c r="G5525" s="78">
        <f>MAX(H5525,I5525,J5525)</f>
        <v>1</v>
      </c>
      <c r="H5525" s="88"/>
      <c r="I5525" s="88"/>
      <c r="J5525" s="78">
        <f>MAX(K5525:Q5525)</f>
        <v>1</v>
      </c>
      <c r="K5525" s="88">
        <v>1</v>
      </c>
      <c r="L5525" s="88"/>
      <c r="M5525" s="88"/>
      <c r="N5525" s="88"/>
      <c r="O5525" s="88"/>
      <c r="P5525" s="88"/>
      <c r="Q5525" s="88"/>
      <c r="R5525" s="78">
        <f>MAX(S5525:W5525)</f>
        <v>0</v>
      </c>
      <c r="S5525" s="88"/>
      <c r="T5525" s="88"/>
      <c r="U5525" s="88"/>
      <c r="V5525" s="88"/>
      <c r="W5525" s="88"/>
    </row>
    <row r="5526" spans="2:23" s="0" customFormat="0" ht="15">
      <c r="B5526" s="87" t="s">
        <v>1</v>
      </c>
      <c r="C5526" s="88" t="s">
        <v>5259</v>
      </c>
      <c r="D5526" s="88">
        <v>12295258</v>
      </c>
      <c r="E5526" s="88" t="s">
        <v>61</v>
      </c>
      <c r="F5526" s="88">
        <v>0</v>
      </c>
      <c r="G5526" s="78">
        <f>MAX(H5526,I5526,J5526)</f>
        <v>1</v>
      </c>
      <c r="H5526" s="88"/>
      <c r="I5526" s="88"/>
      <c r="J5526" s="78">
        <f>MAX(K5526:Q5526)</f>
        <v>1</v>
      </c>
      <c r="K5526" s="88">
        <v>1</v>
      </c>
      <c r="L5526" s="88"/>
      <c r="M5526" s="88"/>
      <c r="N5526" s="88"/>
      <c r="O5526" s="88"/>
      <c r="P5526" s="88"/>
      <c r="Q5526" s="88"/>
      <c r="R5526" s="78">
        <f>MAX(S5526:W5526)</f>
        <v>0</v>
      </c>
      <c r="S5526" s="88"/>
      <c r="T5526" s="88"/>
      <c r="U5526" s="88"/>
      <c r="V5526" s="88"/>
      <c r="W5526" s="88"/>
    </row>
    <row r="5527" spans="2:23" s="0" customFormat="0" ht="15">
      <c r="B5527" s="87" t="s">
        <v>1</v>
      </c>
      <c r="C5527" s="88" t="s">
        <v>5259</v>
      </c>
      <c r="D5527" s="88" t="s">
        <v>631</v>
      </c>
      <c r="E5527" s="88" t="s">
        <v>61</v>
      </c>
      <c r="F5527" s="88">
        <v>0</v>
      </c>
      <c r="G5527" s="78">
        <f>MAX(H5527,I5527,J5527)</f>
        <v>1</v>
      </c>
      <c r="H5527" s="88"/>
      <c r="I5527" s="88"/>
      <c r="J5527" s="78">
        <f>MAX(K5527:Q5527)</f>
        <v>1</v>
      </c>
      <c r="K5527" s="88">
        <v>1</v>
      </c>
      <c r="L5527" s="88"/>
      <c r="M5527" s="88"/>
      <c r="N5527" s="88"/>
      <c r="O5527" s="88"/>
      <c r="P5527" s="88"/>
      <c r="Q5527" s="88"/>
      <c r="R5527" s="78">
        <f>MAX(S5527:W5527)</f>
        <v>0</v>
      </c>
      <c r="S5527" s="88"/>
      <c r="T5527" s="88"/>
      <c r="U5527" s="88"/>
      <c r="V5527" s="88"/>
      <c r="W5527" s="88"/>
    </row>
    <row r="5528" spans="2:23" s="0" customFormat="0" ht="15">
      <c r="B5528" s="87" t="s">
        <v>1</v>
      </c>
      <c r="C5528" s="88" t="s">
        <v>5259</v>
      </c>
      <c r="D5528" s="88" t="s">
        <v>1377</v>
      </c>
      <c r="E5528" s="88" t="s">
        <v>61</v>
      </c>
      <c r="F5528" s="88">
        <v>0</v>
      </c>
      <c r="G5528" s="78">
        <f>MAX(H5528,I5528,J5528)</f>
        <v>1</v>
      </c>
      <c r="H5528" s="88"/>
      <c r="I5528" s="88"/>
      <c r="J5528" s="78">
        <f>MAX(K5528:Q5528)</f>
        <v>1</v>
      </c>
      <c r="K5528" s="88">
        <v>1</v>
      </c>
      <c r="L5528" s="88"/>
      <c r="M5528" s="88"/>
      <c r="N5528" s="88"/>
      <c r="O5528" s="88"/>
      <c r="P5528" s="88"/>
      <c r="Q5528" s="88"/>
      <c r="R5528" s="78">
        <f>MAX(S5528:W5528)</f>
        <v>0</v>
      </c>
      <c r="S5528" s="88"/>
      <c r="T5528" s="88"/>
      <c r="U5528" s="88"/>
      <c r="V5528" s="88"/>
      <c r="W5528" s="88"/>
    </row>
    <row r="5529" spans="2:23" s="0" customFormat="0" ht="15">
      <c r="B5529" s="87" t="s">
        <v>1</v>
      </c>
      <c r="C5529" s="88" t="s">
        <v>5259</v>
      </c>
      <c r="D5529" s="88">
        <v>22554205</v>
      </c>
      <c r="E5529" s="88" t="s">
        <v>61</v>
      </c>
      <c r="F5529" s="88">
        <v>0</v>
      </c>
      <c r="G5529" s="78">
        <f>MAX(H5529,I5529,J5529)</f>
        <v>0</v>
      </c>
      <c r="H5529" s="88"/>
      <c r="I5529" s="88"/>
      <c r="J5529" s="78">
        <f>MAX(K5529:Q5529)</f>
        <v>0</v>
      </c>
      <c r="K5529" s="88"/>
      <c r="L5529" s="88"/>
      <c r="M5529" s="88"/>
      <c r="N5529" s="88"/>
      <c r="O5529" s="88"/>
      <c r="P5529" s="88"/>
      <c r="Q5529" s="88"/>
      <c r="R5529" s="78">
        <f>MAX(S5529:W5529)</f>
        <v>1</v>
      </c>
      <c r="S5529" s="88"/>
      <c r="T5529" s="88"/>
      <c r="U5529" s="88">
        <v>1</v>
      </c>
      <c r="V5529" s="88"/>
      <c r="W5529" s="88"/>
    </row>
    <row r="5530" spans="2:23" s="0" customFormat="0" ht="15">
      <c r="B5530" s="87" t="s">
        <v>1</v>
      </c>
      <c r="C5530" s="88" t="s">
        <v>5259</v>
      </c>
      <c r="D5530" s="88" t="s">
        <v>1112</v>
      </c>
      <c r="E5530" s="88" t="s">
        <v>61</v>
      </c>
      <c r="F5530" s="88">
        <v>0</v>
      </c>
      <c r="G5530" s="78">
        <f>MAX(H5530,I5530,J5530)</f>
        <v>1</v>
      </c>
      <c r="H5530" s="88"/>
      <c r="I5530" s="88"/>
      <c r="J5530" s="78">
        <f>MAX(K5530:Q5530)</f>
        <v>1</v>
      </c>
      <c r="K5530" s="88">
        <v>1</v>
      </c>
      <c r="L5530" s="88"/>
      <c r="M5530" s="88"/>
      <c r="N5530" s="88"/>
      <c r="O5530" s="88"/>
      <c r="P5530" s="88"/>
      <c r="Q5530" s="88"/>
      <c r="R5530" s="78">
        <f>MAX(S5530:W5530)</f>
        <v>0</v>
      </c>
      <c r="S5530" s="88"/>
      <c r="T5530" s="88"/>
      <c r="U5530" s="88"/>
      <c r="V5530" s="88"/>
      <c r="W5530" s="88"/>
    </row>
    <row r="5531" spans="2:23" s="0" customFormat="0" ht="15">
      <c r="B5531" s="87" t="s">
        <v>1</v>
      </c>
      <c r="C5531" s="88" t="s">
        <v>5259</v>
      </c>
      <c r="D5531" s="88" t="s">
        <v>2371</v>
      </c>
      <c r="E5531" s="88" t="s">
        <v>61</v>
      </c>
      <c r="F5531" s="88">
        <v>0</v>
      </c>
      <c r="G5531" s="78">
        <f>MAX(H5531,I5531,J5531)</f>
        <v>1</v>
      </c>
      <c r="H5531" s="88"/>
      <c r="I5531" s="88"/>
      <c r="J5531" s="78">
        <f>MAX(K5531:Q5531)</f>
        <v>1</v>
      </c>
      <c r="K5531" s="88">
        <v>1</v>
      </c>
      <c r="L5531" s="88"/>
      <c r="M5531" s="88"/>
      <c r="N5531" s="88"/>
      <c r="O5531" s="88"/>
      <c r="P5531" s="88"/>
      <c r="Q5531" s="88"/>
      <c r="R5531" s="78">
        <f>MAX(S5531:W5531)</f>
        <v>0</v>
      </c>
      <c r="S5531" s="88"/>
      <c r="T5531" s="88"/>
      <c r="U5531" s="88"/>
      <c r="V5531" s="88"/>
      <c r="W5531" s="88"/>
    </row>
    <row r="5532" spans="2:23" s="0" customFormat="0" ht="15">
      <c r="B5532" s="87" t="s">
        <v>1</v>
      </c>
      <c r="C5532" s="88" t="s">
        <v>5259</v>
      </c>
      <c r="D5532" s="88">
        <v>18812115</v>
      </c>
      <c r="E5532" s="88" t="s">
        <v>61</v>
      </c>
      <c r="F5532" s="88">
        <v>0</v>
      </c>
      <c r="G5532" s="78">
        <f>MAX(H5532,I5532,J5532)</f>
        <v>1</v>
      </c>
      <c r="H5532" s="88"/>
      <c r="I5532" s="88"/>
      <c r="J5532" s="78">
        <f>MAX(K5532:Q5532)</f>
        <v>1</v>
      </c>
      <c r="K5532" s="88">
        <v>1</v>
      </c>
      <c r="L5532" s="88"/>
      <c r="M5532" s="88"/>
      <c r="N5532" s="88"/>
      <c r="O5532" s="88"/>
      <c r="P5532" s="88"/>
      <c r="Q5532" s="88"/>
      <c r="R5532" s="78">
        <f>MAX(S5532:W5532)</f>
        <v>0</v>
      </c>
      <c r="S5532" s="88"/>
      <c r="T5532" s="88"/>
      <c r="U5532" s="88"/>
      <c r="V5532" s="88"/>
      <c r="W5532" s="88"/>
    </row>
    <row r="5533" spans="2:23" s="0" customFormat="0" ht="15">
      <c r="B5533" s="87" t="s">
        <v>1</v>
      </c>
      <c r="C5533" s="88" t="s">
        <v>5259</v>
      </c>
      <c r="D5533" s="88" t="s">
        <v>4051</v>
      </c>
      <c r="E5533" s="88" t="s">
        <v>61</v>
      </c>
      <c r="F5533" s="88">
        <v>0</v>
      </c>
      <c r="G5533" s="78">
        <f>MAX(H5533,I5533,J5533)</f>
        <v>0</v>
      </c>
      <c r="H5533" s="88"/>
      <c r="I5533" s="88"/>
      <c r="J5533" s="78">
        <f>MAX(K5533:Q5533)</f>
        <v>0</v>
      </c>
      <c r="K5533" s="88"/>
      <c r="L5533" s="88"/>
      <c r="M5533" s="88"/>
      <c r="N5533" s="88"/>
      <c r="O5533" s="88"/>
      <c r="P5533" s="88"/>
      <c r="Q5533" s="88"/>
      <c r="R5533" s="78">
        <f>MAX(S5533:W5533)</f>
        <v>1</v>
      </c>
      <c r="S5533" s="88"/>
      <c r="T5533" s="88"/>
      <c r="U5533" s="88">
        <v>1</v>
      </c>
      <c r="V5533" s="88"/>
      <c r="W5533" s="88"/>
    </row>
    <row r="5534" spans="2:23" s="0" customFormat="0" ht="15">
      <c r="B5534" s="87" t="s">
        <v>1</v>
      </c>
      <c r="C5534" s="88" t="s">
        <v>5259</v>
      </c>
      <c r="D5534" s="88" t="s">
        <v>4752</v>
      </c>
      <c r="E5534" s="88" t="s">
        <v>61</v>
      </c>
      <c r="F5534" s="88">
        <v>0</v>
      </c>
      <c r="G5534" s="78">
        <f>MAX(H5534,I5534,J5534)</f>
        <v>0</v>
      </c>
      <c r="H5534" s="88"/>
      <c r="I5534" s="88"/>
      <c r="J5534" s="78">
        <f>MAX(K5534:Q5534)</f>
        <v>0</v>
      </c>
      <c r="K5534" s="88"/>
      <c r="L5534" s="88"/>
      <c r="M5534" s="88"/>
      <c r="N5534" s="88"/>
      <c r="O5534" s="88"/>
      <c r="P5534" s="88"/>
      <c r="Q5534" s="88"/>
      <c r="R5534" s="78">
        <f>MAX(S5534:W5534)</f>
        <v>1</v>
      </c>
      <c r="S5534" s="88"/>
      <c r="T5534" s="88"/>
      <c r="U5534" s="88">
        <v>1</v>
      </c>
      <c r="V5534" s="88"/>
      <c r="W5534" s="88"/>
    </row>
    <row r="5535" spans="2:23" s="0" customFormat="0" ht="15">
      <c r="B5535" s="87" t="s">
        <v>1</v>
      </c>
      <c r="C5535" s="88" t="s">
        <v>5259</v>
      </c>
      <c r="D5535" s="88">
        <v>4148457</v>
      </c>
      <c r="E5535" s="88" t="s">
        <v>61</v>
      </c>
      <c r="F5535" s="88">
        <v>0</v>
      </c>
      <c r="G5535" s="78">
        <f>MAX(H5535,I5535,J5535)</f>
        <v>1</v>
      </c>
      <c r="H5535" s="88"/>
      <c r="I5535" s="88"/>
      <c r="J5535" s="78">
        <f>MAX(K5535:Q5535)</f>
        <v>1</v>
      </c>
      <c r="K5535" s="88">
        <v>1</v>
      </c>
      <c r="L5535" s="88"/>
      <c r="M5535" s="88"/>
      <c r="N5535" s="88"/>
      <c r="O5535" s="88"/>
      <c r="P5535" s="88"/>
      <c r="Q5535" s="88"/>
      <c r="R5535" s="78">
        <f>MAX(S5535:W5535)</f>
        <v>0</v>
      </c>
      <c r="S5535" s="88"/>
      <c r="T5535" s="88"/>
      <c r="U5535" s="88"/>
      <c r="V5535" s="88"/>
      <c r="W5535" s="88"/>
    </row>
    <row r="5536" spans="2:23" s="0" customFormat="0" ht="15">
      <c r="B5536" s="87" t="s">
        <v>1</v>
      </c>
      <c r="C5536" s="88" t="s">
        <v>5259</v>
      </c>
      <c r="D5536" s="88">
        <v>21610161</v>
      </c>
      <c r="E5536" s="88" t="s">
        <v>61</v>
      </c>
      <c r="F5536" s="88">
        <v>0</v>
      </c>
      <c r="G5536" s="78">
        <f>MAX(H5536,I5536,J5536)</f>
        <v>1</v>
      </c>
      <c r="H5536" s="88"/>
      <c r="I5536" s="88"/>
      <c r="J5536" s="78">
        <f>MAX(K5536:Q5536)</f>
        <v>1</v>
      </c>
      <c r="K5536" s="88">
        <v>1</v>
      </c>
      <c r="L5536" s="88"/>
      <c r="M5536" s="88"/>
      <c r="N5536" s="88"/>
      <c r="O5536" s="88"/>
      <c r="P5536" s="88"/>
      <c r="Q5536" s="88"/>
      <c r="R5536" s="78">
        <f>MAX(S5536:W5536)</f>
        <v>0</v>
      </c>
      <c r="S5536" s="88"/>
      <c r="T5536" s="88"/>
      <c r="U5536" s="88"/>
      <c r="V5536" s="88"/>
      <c r="W5536" s="88"/>
    </row>
    <row r="5537" spans="2:23" s="0" customFormat="0" ht="15">
      <c r="B5537" s="87" t="s">
        <v>1</v>
      </c>
      <c r="C5537" s="88" t="s">
        <v>5259</v>
      </c>
      <c r="D5537" s="88">
        <v>21226545</v>
      </c>
      <c r="E5537" s="88" t="s">
        <v>61</v>
      </c>
      <c r="F5537" s="88">
        <v>0</v>
      </c>
      <c r="G5537" s="78">
        <f>MAX(H5537,I5537,J5537)</f>
        <v>1</v>
      </c>
      <c r="H5537" s="88"/>
      <c r="I5537" s="88"/>
      <c r="J5537" s="78">
        <f>MAX(K5537:Q5537)</f>
        <v>1</v>
      </c>
      <c r="K5537" s="88">
        <v>1</v>
      </c>
      <c r="L5537" s="88"/>
      <c r="M5537" s="88"/>
      <c r="N5537" s="88"/>
      <c r="O5537" s="88"/>
      <c r="P5537" s="88"/>
      <c r="Q5537" s="88"/>
      <c r="R5537" s="78">
        <f>MAX(S5537:W5537)</f>
        <v>0</v>
      </c>
      <c r="S5537" s="88"/>
      <c r="T5537" s="88"/>
      <c r="U5537" s="88"/>
      <c r="V5537" s="88"/>
      <c r="W5537" s="88"/>
    </row>
    <row r="5538" spans="2:23" s="0" customFormat="0" ht="15">
      <c r="B5538" s="87" t="s">
        <v>1</v>
      </c>
      <c r="C5538" s="88" t="s">
        <v>5259</v>
      </c>
      <c r="D5538" s="88" t="s">
        <v>5153</v>
      </c>
      <c r="E5538" s="88" t="s">
        <v>61</v>
      </c>
      <c r="F5538" s="88">
        <v>0</v>
      </c>
      <c r="G5538" s="78">
        <f>MAX(H5538,I5538,J5538)</f>
        <v>0</v>
      </c>
      <c r="H5538" s="88"/>
      <c r="I5538" s="88"/>
      <c r="J5538" s="78">
        <f>MAX(K5538:Q5538)</f>
        <v>0</v>
      </c>
      <c r="K5538" s="88"/>
      <c r="L5538" s="88"/>
      <c r="M5538" s="88"/>
      <c r="N5538" s="88"/>
      <c r="O5538" s="88"/>
      <c r="P5538" s="88"/>
      <c r="Q5538" s="88"/>
      <c r="R5538" s="78">
        <f>MAX(S5538:W5538)</f>
        <v>1</v>
      </c>
      <c r="S5538" s="88"/>
      <c r="T5538" s="88"/>
      <c r="U5538" s="88">
        <v>1</v>
      </c>
      <c r="V5538" s="88"/>
      <c r="W5538" s="88"/>
    </row>
    <row r="5539" spans="2:23" s="0" customFormat="0" ht="15">
      <c r="B5539" s="87" t="s">
        <v>1</v>
      </c>
      <c r="C5539" s="88" t="s">
        <v>5259</v>
      </c>
      <c r="D5539" s="88">
        <v>12200139</v>
      </c>
      <c r="E5539" s="88" t="s">
        <v>61</v>
      </c>
      <c r="F5539" s="88">
        <v>0</v>
      </c>
      <c r="G5539" s="78">
        <f>MAX(H5539,I5539,J5539)</f>
        <v>1</v>
      </c>
      <c r="H5539" s="88"/>
      <c r="I5539" s="88"/>
      <c r="J5539" s="78">
        <f>MAX(K5539:Q5539)</f>
        <v>1</v>
      </c>
      <c r="K5539" s="88">
        <v>1</v>
      </c>
      <c r="L5539" s="88"/>
      <c r="M5539" s="88"/>
      <c r="N5539" s="88"/>
      <c r="O5539" s="88"/>
      <c r="P5539" s="88"/>
      <c r="Q5539" s="88"/>
      <c r="R5539" s="78">
        <f>MAX(S5539:W5539)</f>
        <v>0</v>
      </c>
      <c r="S5539" s="88"/>
      <c r="T5539" s="88"/>
      <c r="U5539" s="88"/>
      <c r="V5539" s="88"/>
      <c r="W5539" s="88"/>
    </row>
    <row r="5540" spans="2:23" s="0" customFormat="0" ht="15">
      <c r="B5540" s="87" t="s">
        <v>1</v>
      </c>
      <c r="C5540" s="88" t="s">
        <v>5259</v>
      </c>
      <c r="D5540" s="88" t="s">
        <v>3147</v>
      </c>
      <c r="E5540" s="88" t="s">
        <v>61</v>
      </c>
      <c r="F5540" s="88">
        <v>0</v>
      </c>
      <c r="G5540" s="78">
        <f>MAX(H5540,I5540,J5540)</f>
        <v>1</v>
      </c>
      <c r="H5540" s="88"/>
      <c r="I5540" s="88"/>
      <c r="J5540" s="78">
        <f>MAX(K5540:Q5540)</f>
        <v>1</v>
      </c>
      <c r="K5540" s="88"/>
      <c r="L5540" s="88"/>
      <c r="M5540" s="88"/>
      <c r="N5540" s="88">
        <v>1</v>
      </c>
      <c r="O5540" s="88"/>
      <c r="P5540" s="88"/>
      <c r="Q5540" s="88"/>
      <c r="R5540" s="78">
        <f>MAX(S5540:W5540)</f>
        <v>0</v>
      </c>
      <c r="S5540" s="88"/>
      <c r="T5540" s="88"/>
      <c r="U5540" s="88"/>
      <c r="V5540" s="88"/>
      <c r="W5540" s="88"/>
    </row>
    <row r="5541" spans="2:23" s="0" customFormat="0" ht="15">
      <c r="B5541" s="87" t="s">
        <v>1</v>
      </c>
      <c r="C5541" s="88" t="s">
        <v>5259</v>
      </c>
      <c r="D5541" s="88">
        <v>21565432</v>
      </c>
      <c r="E5541" s="88" t="s">
        <v>61</v>
      </c>
      <c r="F5541" s="88">
        <v>0</v>
      </c>
      <c r="G5541" s="78">
        <f>MAX(H5541,I5541,J5541)</f>
        <v>1</v>
      </c>
      <c r="H5541" s="88"/>
      <c r="I5541" s="88"/>
      <c r="J5541" s="78">
        <f>MAX(K5541:Q5541)</f>
        <v>1</v>
      </c>
      <c r="K5541" s="88">
        <v>1</v>
      </c>
      <c r="L5541" s="88"/>
      <c r="M5541" s="88"/>
      <c r="N5541" s="88"/>
      <c r="O5541" s="88"/>
      <c r="P5541" s="88"/>
      <c r="Q5541" s="88"/>
      <c r="R5541" s="78">
        <f>MAX(S5541:W5541)</f>
        <v>0</v>
      </c>
      <c r="S5541" s="88"/>
      <c r="T5541" s="88"/>
      <c r="U5541" s="88"/>
      <c r="V5541" s="88"/>
      <c r="W5541" s="88"/>
    </row>
    <row r="5542" spans="2:23" s="0" customFormat="0" ht="15">
      <c r="B5542" s="87" t="s">
        <v>1</v>
      </c>
      <c r="C5542" s="88" t="s">
        <v>5259</v>
      </c>
      <c r="D5542" s="88" t="s">
        <v>1102</v>
      </c>
      <c r="E5542" s="88" t="s">
        <v>61</v>
      </c>
      <c r="F5542" s="88">
        <v>0</v>
      </c>
      <c r="G5542" s="78">
        <f>MAX(H5542,I5542,J5542)</f>
        <v>1</v>
      </c>
      <c r="H5542" s="88"/>
      <c r="I5542" s="88"/>
      <c r="J5542" s="78">
        <f>MAX(K5542:Q5542)</f>
        <v>1</v>
      </c>
      <c r="K5542" s="88">
        <v>1</v>
      </c>
      <c r="L5542" s="88"/>
      <c r="M5542" s="88"/>
      <c r="N5542" s="88"/>
      <c r="O5542" s="88"/>
      <c r="P5542" s="88"/>
      <c r="Q5542" s="88"/>
      <c r="R5542" s="78">
        <f>MAX(S5542:W5542)</f>
        <v>0</v>
      </c>
      <c r="S5542" s="88"/>
      <c r="T5542" s="88"/>
      <c r="U5542" s="88"/>
      <c r="V5542" s="88"/>
      <c r="W5542" s="88"/>
    </row>
    <row r="5543" spans="2:23" s="0" customFormat="0" ht="15">
      <c r="B5543" s="87" t="s">
        <v>1</v>
      </c>
      <c r="C5543" s="88" t="s">
        <v>5259</v>
      </c>
      <c r="D5543" s="88">
        <v>17136271</v>
      </c>
      <c r="E5543" s="88" t="s">
        <v>61</v>
      </c>
      <c r="F5543" s="88">
        <v>0</v>
      </c>
      <c r="G5543" s="78">
        <f>MAX(H5543,I5543,J5543)</f>
        <v>1</v>
      </c>
      <c r="H5543" s="88"/>
      <c r="I5543" s="88"/>
      <c r="J5543" s="78">
        <f>MAX(K5543:Q5543)</f>
        <v>1</v>
      </c>
      <c r="K5543" s="88">
        <v>1</v>
      </c>
      <c r="L5543" s="88"/>
      <c r="M5543" s="88"/>
      <c r="N5543" s="88"/>
      <c r="O5543" s="88"/>
      <c r="P5543" s="88"/>
      <c r="Q5543" s="88"/>
      <c r="R5543" s="78">
        <f>MAX(S5543:W5543)</f>
        <v>0</v>
      </c>
      <c r="S5543" s="88"/>
      <c r="T5543" s="88"/>
      <c r="U5543" s="88"/>
      <c r="V5543" s="88"/>
      <c r="W5543" s="88"/>
    </row>
    <row r="5544" spans="2:23" s="0" customFormat="0" ht="15">
      <c r="B5544" s="87" t="s">
        <v>1</v>
      </c>
      <c r="C5544" s="88" t="s">
        <v>5259</v>
      </c>
      <c r="D5544" s="88">
        <v>14504631</v>
      </c>
      <c r="E5544" s="88" t="s">
        <v>61</v>
      </c>
      <c r="F5544" s="88">
        <v>0</v>
      </c>
      <c r="G5544" s="78">
        <f>MAX(H5544,I5544,J5544)</f>
        <v>1</v>
      </c>
      <c r="H5544" s="88"/>
      <c r="I5544" s="88"/>
      <c r="J5544" s="78">
        <f>MAX(K5544:Q5544)</f>
        <v>1</v>
      </c>
      <c r="K5544" s="88">
        <v>1</v>
      </c>
      <c r="L5544" s="88"/>
      <c r="M5544" s="88"/>
      <c r="N5544" s="88"/>
      <c r="O5544" s="88"/>
      <c r="P5544" s="88"/>
      <c r="Q5544" s="88"/>
      <c r="R5544" s="78">
        <f>MAX(S5544:W5544)</f>
        <v>0</v>
      </c>
      <c r="S5544" s="88"/>
      <c r="T5544" s="88"/>
      <c r="U5544" s="88"/>
      <c r="V5544" s="88"/>
      <c r="W5544" s="88"/>
    </row>
    <row r="5545" spans="2:23" s="0" customFormat="0" ht="15">
      <c r="B5545" s="87" t="s">
        <v>1</v>
      </c>
      <c r="C5545" s="88" t="s">
        <v>5259</v>
      </c>
      <c r="D5545" s="88">
        <v>11252237</v>
      </c>
      <c r="E5545" s="88" t="s">
        <v>61</v>
      </c>
      <c r="F5545" s="88">
        <v>0</v>
      </c>
      <c r="G5545" s="78">
        <f>MAX(H5545,I5545,J5545)</f>
        <v>1</v>
      </c>
      <c r="H5545" s="88"/>
      <c r="I5545" s="88"/>
      <c r="J5545" s="78">
        <f>MAX(K5545:Q5545)</f>
        <v>1</v>
      </c>
      <c r="K5545" s="88">
        <v>1</v>
      </c>
      <c r="L5545" s="88"/>
      <c r="M5545" s="88"/>
      <c r="N5545" s="88"/>
      <c r="O5545" s="88"/>
      <c r="P5545" s="88"/>
      <c r="Q5545" s="88"/>
      <c r="R5545" s="78">
        <f>MAX(S5545:W5545)</f>
        <v>0</v>
      </c>
      <c r="S5545" s="88"/>
      <c r="T5545" s="88"/>
      <c r="U5545" s="88"/>
      <c r="V5545" s="88"/>
      <c r="W5545" s="88"/>
    </row>
    <row r="5546" spans="2:23" s="0" customFormat="0" ht="15">
      <c r="B5546" s="87" t="s">
        <v>1</v>
      </c>
      <c r="C5546" s="88" t="s">
        <v>5259</v>
      </c>
      <c r="D5546" s="88">
        <v>24831379</v>
      </c>
      <c r="E5546" s="88" t="s">
        <v>61</v>
      </c>
      <c r="F5546" s="88">
        <v>0</v>
      </c>
      <c r="G5546" s="78">
        <f>MAX(H5546,I5546,J5546)</f>
        <v>1</v>
      </c>
      <c r="H5546" s="88"/>
      <c r="I5546" s="88"/>
      <c r="J5546" s="78">
        <f>MAX(K5546:Q5546)</f>
        <v>1</v>
      </c>
      <c r="K5546" s="88">
        <v>1</v>
      </c>
      <c r="L5546" s="88"/>
      <c r="M5546" s="88"/>
      <c r="N5546" s="88"/>
      <c r="O5546" s="88"/>
      <c r="P5546" s="88"/>
      <c r="Q5546" s="88"/>
      <c r="R5546" s="78">
        <f>MAX(S5546:W5546)</f>
        <v>0</v>
      </c>
      <c r="S5546" s="88"/>
      <c r="T5546" s="88"/>
      <c r="U5546" s="88"/>
      <c r="V5546" s="88"/>
      <c r="W5546" s="88"/>
    </row>
    <row r="5547" spans="2:23" s="0" customFormat="0" ht="15">
      <c r="B5547" s="87" t="s">
        <v>1</v>
      </c>
      <c r="C5547" s="88" t="s">
        <v>5259</v>
      </c>
      <c r="D5547" s="88">
        <v>12182640</v>
      </c>
      <c r="E5547" s="88" t="s">
        <v>61</v>
      </c>
      <c r="F5547" s="88">
        <v>0</v>
      </c>
      <c r="G5547" s="78">
        <f>MAX(H5547,I5547,J5547)</f>
        <v>1</v>
      </c>
      <c r="H5547" s="88"/>
      <c r="I5547" s="88"/>
      <c r="J5547" s="78">
        <f>MAX(K5547:Q5547)</f>
        <v>1</v>
      </c>
      <c r="K5547" s="88">
        <v>1</v>
      </c>
      <c r="L5547" s="88"/>
      <c r="M5547" s="88"/>
      <c r="N5547" s="88"/>
      <c r="O5547" s="88"/>
      <c r="P5547" s="88"/>
      <c r="Q5547" s="88"/>
      <c r="R5547" s="78">
        <f>MAX(S5547:W5547)</f>
        <v>0</v>
      </c>
      <c r="S5547" s="88"/>
      <c r="T5547" s="88"/>
      <c r="U5547" s="88"/>
      <c r="V5547" s="88"/>
      <c r="W5547" s="88"/>
    </row>
    <row r="5548" spans="2:23" s="0" customFormat="0" ht="15">
      <c r="B5548" s="87" t="s">
        <v>1</v>
      </c>
      <c r="C5548" s="88" t="s">
        <v>5259</v>
      </c>
      <c r="D5548" s="88">
        <v>14257093</v>
      </c>
      <c r="E5548" s="88" t="s">
        <v>61</v>
      </c>
      <c r="F5548" s="88">
        <v>0</v>
      </c>
      <c r="G5548" s="78">
        <f>MAX(H5548,I5548,J5548)</f>
        <v>1</v>
      </c>
      <c r="H5548" s="88"/>
      <c r="I5548" s="88"/>
      <c r="J5548" s="78">
        <f>MAX(K5548:Q5548)</f>
        <v>1</v>
      </c>
      <c r="K5548" s="88">
        <v>1</v>
      </c>
      <c r="L5548" s="88"/>
      <c r="M5548" s="88"/>
      <c r="N5548" s="88"/>
      <c r="O5548" s="88"/>
      <c r="P5548" s="88"/>
      <c r="Q5548" s="88"/>
      <c r="R5548" s="78">
        <f>MAX(S5548:W5548)</f>
        <v>0</v>
      </c>
      <c r="S5548" s="88"/>
      <c r="T5548" s="88"/>
      <c r="U5548" s="88"/>
      <c r="V5548" s="88"/>
      <c r="W5548" s="88"/>
    </row>
    <row r="5549" spans="2:23" s="0" customFormat="0" ht="15">
      <c r="B5549" s="87" t="s">
        <v>1</v>
      </c>
      <c r="C5549" s="88" t="s">
        <v>5259</v>
      </c>
      <c r="D5549" s="88">
        <v>15469247</v>
      </c>
      <c r="E5549" s="88" t="s">
        <v>61</v>
      </c>
      <c r="F5549" s="88">
        <v>0</v>
      </c>
      <c r="G5549" s="78">
        <f>MAX(H5549,I5549,J5549)</f>
        <v>1</v>
      </c>
      <c r="H5549" s="88"/>
      <c r="I5549" s="88"/>
      <c r="J5549" s="78">
        <f>MAX(K5549:Q5549)</f>
        <v>1</v>
      </c>
      <c r="K5549" s="88">
        <v>1</v>
      </c>
      <c r="L5549" s="88"/>
      <c r="M5549" s="88"/>
      <c r="N5549" s="88"/>
      <c r="O5549" s="88"/>
      <c r="P5549" s="88"/>
      <c r="Q5549" s="88"/>
      <c r="R5549" s="78">
        <f>MAX(S5549:W5549)</f>
        <v>0</v>
      </c>
      <c r="S5549" s="88"/>
      <c r="T5549" s="88"/>
      <c r="U5549" s="88"/>
      <c r="V5549" s="88"/>
      <c r="W5549" s="88"/>
    </row>
    <row r="5550" spans="2:23" s="0" customFormat="0" ht="15">
      <c r="B5550" s="87" t="s">
        <v>1</v>
      </c>
      <c r="C5550" s="88" t="s">
        <v>5259</v>
      </c>
      <c r="D5550" s="88">
        <v>16974687</v>
      </c>
      <c r="E5550" s="88" t="s">
        <v>61</v>
      </c>
      <c r="F5550" s="88">
        <v>0</v>
      </c>
      <c r="G5550" s="78">
        <f>MAX(H5550,I5550,J5550)</f>
        <v>0</v>
      </c>
      <c r="H5550" s="88"/>
      <c r="I5550" s="88"/>
      <c r="J5550" s="78">
        <f>MAX(K5550:Q5550)</f>
        <v>0</v>
      </c>
      <c r="K5550" s="88"/>
      <c r="L5550" s="88"/>
      <c r="M5550" s="88"/>
      <c r="N5550" s="88"/>
      <c r="O5550" s="88"/>
      <c r="P5550" s="88"/>
      <c r="Q5550" s="88"/>
      <c r="R5550" s="78">
        <f>MAX(S5550:W5550)</f>
        <v>1</v>
      </c>
      <c r="S5550" s="88"/>
      <c r="T5550" s="88"/>
      <c r="U5550" s="88">
        <v>1</v>
      </c>
      <c r="V5550" s="88"/>
      <c r="W5550" s="88"/>
    </row>
    <row r="5551" spans="2:23" s="0" customFormat="0" ht="15">
      <c r="B5551" s="87" t="s">
        <v>1</v>
      </c>
      <c r="C5551" s="88" t="s">
        <v>5259</v>
      </c>
      <c r="D5551" s="88" t="s">
        <v>414</v>
      </c>
      <c r="E5551" s="88" t="s">
        <v>61</v>
      </c>
      <c r="F5551" s="88">
        <v>0</v>
      </c>
      <c r="G5551" s="78">
        <f>MAX(H5551,I5551,J5551)</f>
        <v>1</v>
      </c>
      <c r="H5551" s="88"/>
      <c r="I5551" s="88"/>
      <c r="J5551" s="78">
        <f>MAX(K5551:Q5551)</f>
        <v>1</v>
      </c>
      <c r="K5551" s="88">
        <v>1</v>
      </c>
      <c r="L5551" s="88"/>
      <c r="M5551" s="88"/>
      <c r="N5551" s="88"/>
      <c r="O5551" s="88"/>
      <c r="P5551" s="88"/>
      <c r="Q5551" s="88"/>
      <c r="R5551" s="78">
        <f>MAX(S5551:W5551)</f>
        <v>0</v>
      </c>
      <c r="S5551" s="88"/>
      <c r="T5551" s="88"/>
      <c r="U5551" s="88"/>
      <c r="V5551" s="88"/>
      <c r="W5551" s="88"/>
    </row>
    <row r="5552" spans="2:23" s="0" customFormat="0" ht="15">
      <c r="B5552" s="87" t="s">
        <v>1</v>
      </c>
      <c r="C5552" s="88" t="s">
        <v>5259</v>
      </c>
      <c r="D5552" s="88">
        <v>13093830</v>
      </c>
      <c r="E5552" s="88" t="s">
        <v>61</v>
      </c>
      <c r="F5552" s="88">
        <v>0</v>
      </c>
      <c r="G5552" s="78">
        <f>MAX(H5552,I5552,J5552)</f>
        <v>1</v>
      </c>
      <c r="H5552" s="88"/>
      <c r="I5552" s="88"/>
      <c r="J5552" s="78">
        <f>MAX(K5552:Q5552)</f>
        <v>1</v>
      </c>
      <c r="K5552" s="88">
        <v>1</v>
      </c>
      <c r="L5552" s="88"/>
      <c r="M5552" s="88"/>
      <c r="N5552" s="88"/>
      <c r="O5552" s="88"/>
      <c r="P5552" s="88"/>
      <c r="Q5552" s="88"/>
      <c r="R5552" s="78">
        <f>MAX(S5552:W5552)</f>
        <v>0</v>
      </c>
      <c r="S5552" s="88"/>
      <c r="T5552" s="88"/>
      <c r="U5552" s="88"/>
      <c r="V5552" s="88"/>
      <c r="W5552" s="88"/>
    </row>
    <row r="5553" spans="2:23" s="0" customFormat="0" ht="15">
      <c r="B5553" s="87" t="s">
        <v>1</v>
      </c>
      <c r="C5553" s="88" t="s">
        <v>5259</v>
      </c>
      <c r="D5553" s="88" t="s">
        <v>2864</v>
      </c>
      <c r="E5553" s="88" t="s">
        <v>61</v>
      </c>
      <c r="F5553" s="88">
        <v>0</v>
      </c>
      <c r="G5553" s="78">
        <f>MAX(H5553,I5553,J5553)</f>
        <v>1</v>
      </c>
      <c r="H5553" s="88"/>
      <c r="I5553" s="88"/>
      <c r="J5553" s="78">
        <f>MAX(K5553:Q5553)</f>
        <v>1</v>
      </c>
      <c r="K5553" s="88">
        <v>1</v>
      </c>
      <c r="L5553" s="88"/>
      <c r="M5553" s="88"/>
      <c r="N5553" s="88"/>
      <c r="O5553" s="88"/>
      <c r="P5553" s="88"/>
      <c r="Q5553" s="88"/>
      <c r="R5553" s="78">
        <f>MAX(S5553:W5553)</f>
        <v>0</v>
      </c>
      <c r="S5553" s="88"/>
      <c r="T5553" s="88"/>
      <c r="U5553" s="88"/>
      <c r="V5553" s="88"/>
      <c r="W5553" s="88"/>
    </row>
    <row r="5554" spans="2:23" s="0" customFormat="0" ht="15">
      <c r="B5554" s="87" t="s">
        <v>1</v>
      </c>
      <c r="C5554" s="88" t="s">
        <v>5259</v>
      </c>
      <c r="D5554" s="88" t="s">
        <v>5155</v>
      </c>
      <c r="E5554" s="88" t="s">
        <v>61</v>
      </c>
      <c r="F5554" s="88">
        <v>0</v>
      </c>
      <c r="G5554" s="78">
        <f>MAX(H5554,I5554,J5554)</f>
        <v>0</v>
      </c>
      <c r="H5554" s="88"/>
      <c r="I5554" s="88"/>
      <c r="J5554" s="78">
        <f>MAX(K5554:Q5554)</f>
        <v>0</v>
      </c>
      <c r="K5554" s="88"/>
      <c r="L5554" s="88"/>
      <c r="M5554" s="88"/>
      <c r="N5554" s="88"/>
      <c r="O5554" s="88"/>
      <c r="P5554" s="88"/>
      <c r="Q5554" s="88"/>
      <c r="R5554" s="78">
        <f>MAX(S5554:W5554)</f>
        <v>1</v>
      </c>
      <c r="S5554" s="88"/>
      <c r="T5554" s="88"/>
      <c r="U5554" s="88">
        <v>1</v>
      </c>
      <c r="V5554" s="88"/>
      <c r="W5554" s="88"/>
    </row>
    <row r="5555" spans="2:23" s="0" customFormat="0" ht="15">
      <c r="B5555" s="87" t="s">
        <v>1</v>
      </c>
      <c r="C5555" s="88" t="s">
        <v>5259</v>
      </c>
      <c r="D5555" s="88">
        <v>18051828</v>
      </c>
      <c r="E5555" s="88" t="s">
        <v>61</v>
      </c>
      <c r="F5555" s="88">
        <v>0</v>
      </c>
      <c r="G5555" s="78">
        <f>MAX(H5555,I5555,J5555)</f>
        <v>1</v>
      </c>
      <c r="H5555" s="88"/>
      <c r="I5555" s="88"/>
      <c r="J5555" s="78">
        <f>MAX(K5555:Q5555)</f>
        <v>1</v>
      </c>
      <c r="K5555" s="88">
        <v>1</v>
      </c>
      <c r="L5555" s="88"/>
      <c r="M5555" s="88"/>
      <c r="N5555" s="88"/>
      <c r="O5555" s="88"/>
      <c r="P5555" s="88"/>
      <c r="Q5555" s="88"/>
      <c r="R5555" s="78">
        <f>MAX(S5555:W5555)</f>
        <v>0</v>
      </c>
      <c r="S5555" s="88"/>
      <c r="T5555" s="88"/>
      <c r="U5555" s="88"/>
      <c r="V5555" s="88"/>
      <c r="W5555" s="88"/>
    </row>
    <row r="5556" spans="2:23" s="0" customFormat="0" ht="15">
      <c r="B5556" s="87" t="s">
        <v>1</v>
      </c>
      <c r="C5556" s="88" t="s">
        <v>5259</v>
      </c>
      <c r="D5556" s="88" t="s">
        <v>4469</v>
      </c>
      <c r="E5556" s="88" t="s">
        <v>61</v>
      </c>
      <c r="F5556" s="88">
        <v>0</v>
      </c>
      <c r="G5556" s="78">
        <f>MAX(H5556,I5556,J5556)</f>
        <v>0</v>
      </c>
      <c r="H5556" s="88"/>
      <c r="I5556" s="88"/>
      <c r="J5556" s="78">
        <f>MAX(K5556:Q5556)</f>
        <v>0</v>
      </c>
      <c r="K5556" s="88"/>
      <c r="L5556" s="88"/>
      <c r="M5556" s="88"/>
      <c r="N5556" s="88"/>
      <c r="O5556" s="88"/>
      <c r="P5556" s="88"/>
      <c r="Q5556" s="88"/>
      <c r="R5556" s="78">
        <f>MAX(S5556:W5556)</f>
        <v>1</v>
      </c>
      <c r="S5556" s="88"/>
      <c r="T5556" s="88"/>
      <c r="U5556" s="88">
        <v>1</v>
      </c>
      <c r="V5556" s="88"/>
      <c r="W5556" s="88"/>
    </row>
    <row r="5557" spans="2:23" s="0" customFormat="0" ht="15">
      <c r="B5557" s="87" t="s">
        <v>1</v>
      </c>
      <c r="C5557" s="88" t="s">
        <v>5259</v>
      </c>
      <c r="D5557" s="88" t="s">
        <v>4819</v>
      </c>
      <c r="E5557" s="88" t="s">
        <v>61</v>
      </c>
      <c r="F5557" s="88">
        <v>0</v>
      </c>
      <c r="G5557" s="78">
        <f>MAX(H5557,I5557,J5557)</f>
        <v>0</v>
      </c>
      <c r="H5557" s="88"/>
      <c r="I5557" s="88"/>
      <c r="J5557" s="78">
        <f>MAX(K5557:Q5557)</f>
        <v>0</v>
      </c>
      <c r="K5557" s="88"/>
      <c r="L5557" s="88"/>
      <c r="M5557" s="88"/>
      <c r="N5557" s="88"/>
      <c r="O5557" s="88"/>
      <c r="P5557" s="88"/>
      <c r="Q5557" s="88"/>
      <c r="R5557" s="78">
        <f>MAX(S5557:W5557)</f>
        <v>1</v>
      </c>
      <c r="S5557" s="88"/>
      <c r="T5557" s="88"/>
      <c r="U5557" s="88">
        <v>1</v>
      </c>
      <c r="V5557" s="88"/>
      <c r="W5557" s="88"/>
    </row>
    <row r="5558" spans="2:23" s="0" customFormat="0" ht="15">
      <c r="B5558" s="87" t="s">
        <v>1</v>
      </c>
      <c r="C5558" s="88" t="s">
        <v>5259</v>
      </c>
      <c r="D5558" s="88">
        <v>16137739</v>
      </c>
      <c r="E5558" s="88" t="s">
        <v>61</v>
      </c>
      <c r="F5558" s="88">
        <v>0</v>
      </c>
      <c r="G5558" s="78">
        <f>MAX(H5558,I5558,J5558)</f>
        <v>1</v>
      </c>
      <c r="H5558" s="88"/>
      <c r="I5558" s="88"/>
      <c r="J5558" s="78">
        <f>MAX(K5558:Q5558)</f>
        <v>1</v>
      </c>
      <c r="K5558" s="88">
        <v>1</v>
      </c>
      <c r="L5558" s="88"/>
      <c r="M5558" s="88"/>
      <c r="N5558" s="88"/>
      <c r="O5558" s="88"/>
      <c r="P5558" s="88"/>
      <c r="Q5558" s="88"/>
      <c r="R5558" s="78">
        <f>MAX(S5558:W5558)</f>
        <v>0</v>
      </c>
      <c r="S5558" s="88"/>
      <c r="T5558" s="88"/>
      <c r="U5558" s="88"/>
      <c r="V5558" s="88"/>
      <c r="W5558" s="88"/>
    </row>
    <row r="5559" spans="2:23" s="0" customFormat="0" ht="15">
      <c r="B5559" s="87" t="s">
        <v>1</v>
      </c>
      <c r="C5559" s="88" t="s">
        <v>5259</v>
      </c>
      <c r="D5559" s="88" t="s">
        <v>3568</v>
      </c>
      <c r="E5559" s="88" t="s">
        <v>61</v>
      </c>
      <c r="F5559" s="88">
        <v>0</v>
      </c>
      <c r="G5559" s="78">
        <f>MAX(H5559,I5559,J5559)</f>
        <v>0</v>
      </c>
      <c r="H5559" s="88"/>
      <c r="I5559" s="88"/>
      <c r="J5559" s="78">
        <f>MAX(K5559:Q5559)</f>
        <v>0</v>
      </c>
      <c r="K5559" s="88"/>
      <c r="L5559" s="88"/>
      <c r="M5559" s="88"/>
      <c r="N5559" s="88"/>
      <c r="O5559" s="88"/>
      <c r="P5559" s="88"/>
      <c r="Q5559" s="88"/>
      <c r="R5559" s="78">
        <f>MAX(S5559:W5559)</f>
        <v>1</v>
      </c>
      <c r="S5559" s="88"/>
      <c r="T5559" s="88"/>
      <c r="U5559" s="88">
        <v>1</v>
      </c>
      <c r="V5559" s="88"/>
      <c r="W5559" s="88"/>
    </row>
    <row r="5560" spans="2:23" s="0" customFormat="0" ht="15">
      <c r="B5560" s="87" t="s">
        <v>1</v>
      </c>
      <c r="C5560" s="88" t="s">
        <v>5259</v>
      </c>
      <c r="D5560" s="88">
        <v>22361562</v>
      </c>
      <c r="E5560" s="88" t="s">
        <v>61</v>
      </c>
      <c r="F5560" s="88">
        <v>0</v>
      </c>
      <c r="G5560" s="78">
        <f>MAX(H5560,I5560,J5560)</f>
        <v>1</v>
      </c>
      <c r="H5560" s="88"/>
      <c r="I5560" s="88"/>
      <c r="J5560" s="78">
        <f>MAX(K5560:Q5560)</f>
        <v>1</v>
      </c>
      <c r="K5560" s="88">
        <v>1</v>
      </c>
      <c r="L5560" s="88"/>
      <c r="M5560" s="88"/>
      <c r="N5560" s="88"/>
      <c r="O5560" s="88"/>
      <c r="P5560" s="88"/>
      <c r="Q5560" s="88"/>
      <c r="R5560" s="78">
        <f>MAX(S5560:W5560)</f>
        <v>0</v>
      </c>
      <c r="S5560" s="88"/>
      <c r="T5560" s="88"/>
      <c r="U5560" s="88"/>
      <c r="V5560" s="88"/>
      <c r="W5560" s="88"/>
    </row>
    <row r="5561" spans="2:23" s="0" customFormat="0" ht="15">
      <c r="B5561" s="87" t="s">
        <v>1</v>
      </c>
      <c r="C5561" s="88" t="s">
        <v>5259</v>
      </c>
      <c r="D5561" s="88">
        <v>19739607</v>
      </c>
      <c r="E5561" s="88" t="s">
        <v>61</v>
      </c>
      <c r="F5561" s="88">
        <v>0</v>
      </c>
      <c r="G5561" s="78">
        <f>MAX(H5561,I5561,J5561)</f>
        <v>1</v>
      </c>
      <c r="H5561" s="88"/>
      <c r="I5561" s="88"/>
      <c r="J5561" s="78">
        <f>MAX(K5561:Q5561)</f>
        <v>1</v>
      </c>
      <c r="K5561" s="88">
        <v>1</v>
      </c>
      <c r="L5561" s="88"/>
      <c r="M5561" s="88"/>
      <c r="N5561" s="88"/>
      <c r="O5561" s="88"/>
      <c r="P5561" s="88"/>
      <c r="Q5561" s="88"/>
      <c r="R5561" s="78">
        <f>MAX(S5561:W5561)</f>
        <v>0</v>
      </c>
      <c r="S5561" s="88"/>
      <c r="T5561" s="88"/>
      <c r="U5561" s="88"/>
      <c r="V5561" s="88"/>
      <c r="W5561" s="88"/>
    </row>
    <row r="5562" spans="2:23" s="0" customFormat="0" ht="15">
      <c r="B5562" s="87" t="s">
        <v>1</v>
      </c>
      <c r="C5562" s="88" t="s">
        <v>5259</v>
      </c>
      <c r="D5562" s="88" t="s">
        <v>2444</v>
      </c>
      <c r="E5562" s="88" t="s">
        <v>61</v>
      </c>
      <c r="F5562" s="88">
        <v>0</v>
      </c>
      <c r="G5562" s="78">
        <f>MAX(H5562,I5562,J5562)</f>
        <v>1</v>
      </c>
      <c r="H5562" s="88"/>
      <c r="I5562" s="88"/>
      <c r="J5562" s="78">
        <f>MAX(K5562:Q5562)</f>
        <v>1</v>
      </c>
      <c r="K5562" s="88">
        <v>1</v>
      </c>
      <c r="L5562" s="88"/>
      <c r="M5562" s="88"/>
      <c r="N5562" s="88"/>
      <c r="O5562" s="88"/>
      <c r="P5562" s="88"/>
      <c r="Q5562" s="88"/>
      <c r="R5562" s="78">
        <f>MAX(S5562:W5562)</f>
        <v>0</v>
      </c>
      <c r="S5562" s="88"/>
      <c r="T5562" s="88"/>
      <c r="U5562" s="88"/>
      <c r="V5562" s="88"/>
      <c r="W5562" s="88"/>
    </row>
    <row r="5563" spans="2:23" s="0" customFormat="0" ht="15">
      <c r="B5563" s="87" t="s">
        <v>1</v>
      </c>
      <c r="C5563" s="88" t="s">
        <v>5259</v>
      </c>
      <c r="D5563" s="88">
        <v>16974682</v>
      </c>
      <c r="E5563" s="88" t="s">
        <v>61</v>
      </c>
      <c r="F5563" s="88">
        <v>0</v>
      </c>
      <c r="G5563" s="78">
        <f>MAX(H5563,I5563,J5563)</f>
        <v>0</v>
      </c>
      <c r="H5563" s="88"/>
      <c r="I5563" s="88"/>
      <c r="J5563" s="78">
        <f>MAX(K5563:Q5563)</f>
        <v>0</v>
      </c>
      <c r="K5563" s="88"/>
      <c r="L5563" s="88"/>
      <c r="M5563" s="88"/>
      <c r="N5563" s="88"/>
      <c r="O5563" s="88"/>
      <c r="P5563" s="88"/>
      <c r="Q5563" s="88"/>
      <c r="R5563" s="78">
        <f>MAX(S5563:W5563)</f>
        <v>1</v>
      </c>
      <c r="S5563" s="88"/>
      <c r="T5563" s="88"/>
      <c r="U5563" s="88">
        <v>1</v>
      </c>
      <c r="V5563" s="88"/>
      <c r="W5563" s="88"/>
    </row>
    <row r="5564" spans="2:23" s="0" customFormat="0" ht="15">
      <c r="B5564" s="87" t="s">
        <v>1</v>
      </c>
      <c r="C5564" s="88" t="s">
        <v>5259</v>
      </c>
      <c r="D5564" s="88" t="s">
        <v>4722</v>
      </c>
      <c r="E5564" s="88" t="s">
        <v>61</v>
      </c>
      <c r="F5564" s="88">
        <v>0</v>
      </c>
      <c r="G5564" s="78">
        <f>MAX(H5564,I5564,J5564)</f>
        <v>0</v>
      </c>
      <c r="H5564" s="88"/>
      <c r="I5564" s="88"/>
      <c r="J5564" s="78">
        <f>MAX(K5564:Q5564)</f>
        <v>0</v>
      </c>
      <c r="K5564" s="88"/>
      <c r="L5564" s="88"/>
      <c r="M5564" s="88"/>
      <c r="N5564" s="88"/>
      <c r="O5564" s="88"/>
      <c r="P5564" s="88"/>
      <c r="Q5564" s="88"/>
      <c r="R5564" s="78">
        <f>MAX(S5564:W5564)</f>
        <v>1</v>
      </c>
      <c r="S5564" s="88"/>
      <c r="T5564" s="88"/>
      <c r="U5564" s="88">
        <v>1</v>
      </c>
      <c r="V5564" s="88"/>
      <c r="W5564" s="88"/>
    </row>
    <row r="5565" spans="2:23" s="0" customFormat="0" ht="15">
      <c r="B5565" s="87" t="s">
        <v>1</v>
      </c>
      <c r="C5565" s="88" t="s">
        <v>5259</v>
      </c>
      <c r="D5565" s="88">
        <v>21457733</v>
      </c>
      <c r="E5565" s="88" t="s">
        <v>61</v>
      </c>
      <c r="F5565" s="88">
        <v>0</v>
      </c>
      <c r="G5565" s="78">
        <f>MAX(H5565,I5565,J5565)</f>
        <v>1</v>
      </c>
      <c r="H5565" s="88"/>
      <c r="I5565" s="88"/>
      <c r="J5565" s="78">
        <f>MAX(K5565:Q5565)</f>
        <v>1</v>
      </c>
      <c r="K5565" s="88">
        <v>1</v>
      </c>
      <c r="L5565" s="88"/>
      <c r="M5565" s="88"/>
      <c r="N5565" s="88"/>
      <c r="O5565" s="88"/>
      <c r="P5565" s="88"/>
      <c r="Q5565" s="88"/>
      <c r="R5565" s="78">
        <f>MAX(S5565:W5565)</f>
        <v>0</v>
      </c>
      <c r="S5565" s="88"/>
      <c r="T5565" s="88"/>
      <c r="U5565" s="88"/>
      <c r="V5565" s="88"/>
      <c r="W5565" s="88"/>
    </row>
    <row r="5566" spans="2:23" s="0" customFormat="0" ht="15">
      <c r="B5566" s="87" t="s">
        <v>1</v>
      </c>
      <c r="C5566" s="88" t="s">
        <v>5259</v>
      </c>
      <c r="D5566" s="88">
        <v>23118780</v>
      </c>
      <c r="E5566" s="88" t="s">
        <v>61</v>
      </c>
      <c r="F5566" s="88">
        <v>0</v>
      </c>
      <c r="G5566" s="78">
        <f>MAX(H5566,I5566,J5566)</f>
        <v>1</v>
      </c>
      <c r="H5566" s="88"/>
      <c r="I5566" s="88"/>
      <c r="J5566" s="78">
        <f>MAX(K5566:Q5566)</f>
        <v>1</v>
      </c>
      <c r="K5566" s="88">
        <v>1</v>
      </c>
      <c r="L5566" s="88"/>
      <c r="M5566" s="88"/>
      <c r="N5566" s="88"/>
      <c r="O5566" s="88"/>
      <c r="P5566" s="88"/>
      <c r="Q5566" s="88"/>
      <c r="R5566" s="78">
        <f>MAX(S5566:W5566)</f>
        <v>0</v>
      </c>
      <c r="S5566" s="88"/>
      <c r="T5566" s="88"/>
      <c r="U5566" s="88"/>
      <c r="V5566" s="88"/>
      <c r="W5566" s="88"/>
    </row>
    <row r="5567" spans="2:23" s="0" customFormat="0" ht="15">
      <c r="B5567" s="87" t="s">
        <v>1</v>
      </c>
      <c r="C5567" s="88" t="s">
        <v>5259</v>
      </c>
      <c r="D5567" s="88">
        <v>24748824</v>
      </c>
      <c r="E5567" s="88" t="s">
        <v>61</v>
      </c>
      <c r="F5567" s="88">
        <v>0</v>
      </c>
      <c r="G5567" s="78">
        <f>MAX(H5567,I5567,J5567)</f>
        <v>1</v>
      </c>
      <c r="H5567" s="88"/>
      <c r="I5567" s="88"/>
      <c r="J5567" s="78">
        <f>MAX(K5567:Q5567)</f>
        <v>1</v>
      </c>
      <c r="K5567" s="88">
        <v>1</v>
      </c>
      <c r="L5567" s="88"/>
      <c r="M5567" s="88"/>
      <c r="N5567" s="88"/>
      <c r="O5567" s="88"/>
      <c r="P5567" s="88"/>
      <c r="Q5567" s="88"/>
      <c r="R5567" s="78">
        <f>MAX(S5567:W5567)</f>
        <v>0</v>
      </c>
      <c r="S5567" s="88"/>
      <c r="T5567" s="88"/>
      <c r="U5567" s="88"/>
      <c r="V5567" s="88"/>
      <c r="W5567" s="88"/>
    </row>
    <row r="5568" spans="2:23" s="0" customFormat="0" ht="15">
      <c r="B5568" s="87" t="s">
        <v>1</v>
      </c>
      <c r="C5568" s="88" t="s">
        <v>5259</v>
      </c>
      <c r="D5568" s="88" t="s">
        <v>5158</v>
      </c>
      <c r="E5568" s="88" t="s">
        <v>61</v>
      </c>
      <c r="F5568" s="88">
        <v>0</v>
      </c>
      <c r="G5568" s="78">
        <f>MAX(H5568,I5568,J5568)</f>
        <v>0</v>
      </c>
      <c r="H5568" s="88"/>
      <c r="I5568" s="88"/>
      <c r="J5568" s="78">
        <f>MAX(K5568:Q5568)</f>
        <v>0</v>
      </c>
      <c r="K5568" s="88"/>
      <c r="L5568" s="88"/>
      <c r="M5568" s="88"/>
      <c r="N5568" s="88"/>
      <c r="O5568" s="88"/>
      <c r="P5568" s="88"/>
      <c r="Q5568" s="88"/>
      <c r="R5568" s="78">
        <f>MAX(S5568:W5568)</f>
        <v>1</v>
      </c>
      <c r="S5568" s="88"/>
      <c r="T5568" s="88"/>
      <c r="U5568" s="88">
        <v>1</v>
      </c>
      <c r="V5568" s="88"/>
      <c r="W5568" s="88"/>
    </row>
    <row r="5569" spans="2:23" s="0" customFormat="0" ht="15">
      <c r="B5569" s="87" t="s">
        <v>1</v>
      </c>
      <c r="C5569" s="88" t="s">
        <v>5259</v>
      </c>
      <c r="D5569" s="88" t="s">
        <v>5160</v>
      </c>
      <c r="E5569" s="88" t="s">
        <v>61</v>
      </c>
      <c r="F5569" s="88">
        <v>0</v>
      </c>
      <c r="G5569" s="78">
        <f>MAX(H5569,I5569,J5569)</f>
        <v>0</v>
      </c>
      <c r="H5569" s="88"/>
      <c r="I5569" s="88"/>
      <c r="J5569" s="78">
        <f>MAX(K5569:Q5569)</f>
        <v>0</v>
      </c>
      <c r="K5569" s="88"/>
      <c r="L5569" s="88"/>
      <c r="M5569" s="88"/>
      <c r="N5569" s="88"/>
      <c r="O5569" s="88"/>
      <c r="P5569" s="88"/>
      <c r="Q5569" s="88"/>
      <c r="R5569" s="78">
        <f>MAX(S5569:W5569)</f>
        <v>1</v>
      </c>
      <c r="S5569" s="88"/>
      <c r="T5569" s="88"/>
      <c r="U5569" s="88">
        <v>1</v>
      </c>
      <c r="V5569" s="88"/>
      <c r="W5569" s="88"/>
    </row>
    <row r="5570" spans="2:23" s="0" customFormat="0" ht="15">
      <c r="B5570" s="87" t="s">
        <v>1</v>
      </c>
      <c r="C5570" s="88" t="s">
        <v>5259</v>
      </c>
      <c r="D5570" s="88">
        <v>21282228</v>
      </c>
      <c r="E5570" s="88" t="s">
        <v>61</v>
      </c>
      <c r="F5570" s="88">
        <v>0</v>
      </c>
      <c r="G5570" s="78">
        <f>MAX(H5570,I5570,J5570)</f>
        <v>1</v>
      </c>
      <c r="H5570" s="88"/>
      <c r="I5570" s="88"/>
      <c r="J5570" s="78">
        <f>MAX(K5570:Q5570)</f>
        <v>1</v>
      </c>
      <c r="K5570" s="88">
        <v>1</v>
      </c>
      <c r="L5570" s="88"/>
      <c r="M5570" s="88"/>
      <c r="N5570" s="88"/>
      <c r="O5570" s="88"/>
      <c r="P5570" s="88"/>
      <c r="Q5570" s="88"/>
      <c r="R5570" s="78">
        <f>MAX(S5570:W5570)</f>
        <v>0</v>
      </c>
      <c r="S5570" s="88"/>
      <c r="T5570" s="88"/>
      <c r="U5570" s="88"/>
      <c r="V5570" s="88"/>
      <c r="W5570" s="88"/>
    </row>
    <row r="5571" spans="2:23" s="0" customFormat="0" ht="15">
      <c r="B5571" s="87" t="s">
        <v>1</v>
      </c>
      <c r="C5571" s="88" t="s">
        <v>5259</v>
      </c>
      <c r="D5571" s="88" t="s">
        <v>2867</v>
      </c>
      <c r="E5571" s="88" t="s">
        <v>61</v>
      </c>
      <c r="F5571" s="88">
        <v>0</v>
      </c>
      <c r="G5571" s="78">
        <f>MAX(H5571,I5571,J5571)</f>
        <v>1</v>
      </c>
      <c r="H5571" s="88"/>
      <c r="I5571" s="88"/>
      <c r="J5571" s="78">
        <f>MAX(K5571:Q5571)</f>
        <v>1</v>
      </c>
      <c r="K5571" s="88">
        <v>1</v>
      </c>
      <c r="L5571" s="88"/>
      <c r="M5571" s="88"/>
      <c r="N5571" s="88"/>
      <c r="O5571" s="88"/>
      <c r="P5571" s="88"/>
      <c r="Q5571" s="88"/>
      <c r="R5571" s="78">
        <f>MAX(S5571:W5571)</f>
        <v>0</v>
      </c>
      <c r="S5571" s="88"/>
      <c r="T5571" s="88"/>
      <c r="U5571" s="88"/>
      <c r="V5571" s="88"/>
      <c r="W5571" s="88"/>
    </row>
    <row r="5572" spans="2:23" s="0" customFormat="0" ht="15">
      <c r="B5572" s="87" t="s">
        <v>1</v>
      </c>
      <c r="C5572" s="88" t="s">
        <v>5259</v>
      </c>
      <c r="D5572" s="88">
        <v>13627396</v>
      </c>
      <c r="E5572" s="88" t="s">
        <v>61</v>
      </c>
      <c r="F5572" s="88">
        <v>0</v>
      </c>
      <c r="G5572" s="78">
        <f>MAX(H5572,I5572,J5572)</f>
        <v>1</v>
      </c>
      <c r="H5572" s="88"/>
      <c r="I5572" s="88"/>
      <c r="J5572" s="78">
        <f>MAX(K5572:Q5572)</f>
        <v>1</v>
      </c>
      <c r="K5572" s="88">
        <v>1</v>
      </c>
      <c r="L5572" s="88"/>
      <c r="M5572" s="88"/>
      <c r="N5572" s="88"/>
      <c r="O5572" s="88"/>
      <c r="P5572" s="88"/>
      <c r="Q5572" s="88"/>
      <c r="R5572" s="78">
        <f>MAX(S5572:W5572)</f>
        <v>0</v>
      </c>
      <c r="S5572" s="88"/>
      <c r="T5572" s="88"/>
      <c r="U5572" s="88"/>
      <c r="V5572" s="88"/>
      <c r="W5572" s="88"/>
    </row>
    <row r="5573" spans="2:23" s="0" customFormat="0" ht="15">
      <c r="B5573" s="87" t="s">
        <v>1</v>
      </c>
      <c r="C5573" s="88" t="s">
        <v>5259</v>
      </c>
      <c r="D5573" s="88" t="s">
        <v>2870</v>
      </c>
      <c r="E5573" s="88" t="s">
        <v>61</v>
      </c>
      <c r="F5573" s="88">
        <v>0</v>
      </c>
      <c r="G5573" s="78">
        <f>MAX(H5573,I5573,J5573)</f>
        <v>1</v>
      </c>
      <c r="H5573" s="88"/>
      <c r="I5573" s="88"/>
      <c r="J5573" s="78">
        <f>MAX(K5573:Q5573)</f>
        <v>1</v>
      </c>
      <c r="K5573" s="88">
        <v>1</v>
      </c>
      <c r="L5573" s="88"/>
      <c r="M5573" s="88"/>
      <c r="N5573" s="88"/>
      <c r="O5573" s="88"/>
      <c r="P5573" s="88"/>
      <c r="Q5573" s="88"/>
      <c r="R5573" s="78">
        <f>MAX(S5573:W5573)</f>
        <v>0</v>
      </c>
      <c r="S5573" s="88"/>
      <c r="T5573" s="88"/>
      <c r="U5573" s="88"/>
      <c r="V5573" s="88"/>
      <c r="W5573" s="88"/>
    </row>
    <row r="5574" spans="2:23" s="0" customFormat="0" ht="15">
      <c r="B5574" s="87" t="s">
        <v>1</v>
      </c>
      <c r="C5574" s="88" t="s">
        <v>5259</v>
      </c>
      <c r="D5574" s="88" t="s">
        <v>2046</v>
      </c>
      <c r="E5574" s="88" t="s">
        <v>61</v>
      </c>
      <c r="F5574" s="88">
        <v>0</v>
      </c>
      <c r="G5574" s="78">
        <f>MAX(H5574,I5574,J5574)</f>
        <v>1</v>
      </c>
      <c r="H5574" s="88"/>
      <c r="I5574" s="88"/>
      <c r="J5574" s="78">
        <f>MAX(K5574:Q5574)</f>
        <v>1</v>
      </c>
      <c r="K5574" s="88">
        <v>1</v>
      </c>
      <c r="L5574" s="88"/>
      <c r="M5574" s="88"/>
      <c r="N5574" s="88"/>
      <c r="O5574" s="88"/>
      <c r="P5574" s="88"/>
      <c r="Q5574" s="88"/>
      <c r="R5574" s="78">
        <f>MAX(S5574:W5574)</f>
        <v>0</v>
      </c>
      <c r="S5574" s="88"/>
      <c r="T5574" s="88"/>
      <c r="U5574" s="88"/>
      <c r="V5574" s="88"/>
      <c r="W5574" s="88"/>
    </row>
    <row r="5575" spans="2:23" s="0" customFormat="0" ht="15">
      <c r="B5575" s="87" t="s">
        <v>1</v>
      </c>
      <c r="C5575" s="88" t="s">
        <v>5259</v>
      </c>
      <c r="D5575" s="88" t="s">
        <v>5100</v>
      </c>
      <c r="E5575" s="88" t="s">
        <v>61</v>
      </c>
      <c r="F5575" s="88">
        <v>0</v>
      </c>
      <c r="G5575" s="78">
        <f>MAX(H5575,I5575,J5575)</f>
        <v>0</v>
      </c>
      <c r="H5575" s="88"/>
      <c r="I5575" s="88"/>
      <c r="J5575" s="78">
        <f>MAX(K5575:Q5575)</f>
        <v>0</v>
      </c>
      <c r="K5575" s="88"/>
      <c r="L5575" s="88"/>
      <c r="M5575" s="88"/>
      <c r="N5575" s="88"/>
      <c r="O5575" s="88"/>
      <c r="P5575" s="88"/>
      <c r="Q5575" s="88"/>
      <c r="R5575" s="78">
        <f>MAX(S5575:W5575)</f>
        <v>1</v>
      </c>
      <c r="S5575" s="88"/>
      <c r="T5575" s="88"/>
      <c r="U5575" s="88">
        <v>1</v>
      </c>
      <c r="V5575" s="88"/>
      <c r="W5575" s="88"/>
    </row>
    <row r="5576" spans="2:23" s="0" customFormat="0" ht="15">
      <c r="B5576" s="87" t="s">
        <v>1</v>
      </c>
      <c r="C5576" s="88" t="s">
        <v>5259</v>
      </c>
      <c r="D5576" s="88">
        <v>10504442</v>
      </c>
      <c r="E5576" s="88" t="s">
        <v>61</v>
      </c>
      <c r="F5576" s="88">
        <v>0</v>
      </c>
      <c r="G5576" s="78">
        <f>MAX(H5576,I5576,J5576)</f>
        <v>1</v>
      </c>
      <c r="H5576" s="88"/>
      <c r="I5576" s="88"/>
      <c r="J5576" s="78">
        <f>MAX(K5576:Q5576)</f>
        <v>1</v>
      </c>
      <c r="K5576" s="88">
        <v>1</v>
      </c>
      <c r="L5576" s="88"/>
      <c r="M5576" s="88"/>
      <c r="N5576" s="88"/>
      <c r="O5576" s="88"/>
      <c r="P5576" s="88"/>
      <c r="Q5576" s="88"/>
      <c r="R5576" s="78">
        <f>MAX(S5576:W5576)</f>
        <v>0</v>
      </c>
      <c r="S5576" s="88"/>
      <c r="T5576" s="88"/>
      <c r="U5576" s="88"/>
      <c r="V5576" s="88"/>
      <c r="W5576" s="88"/>
    </row>
    <row r="5577" spans="2:23" s="0" customFormat="0" ht="15">
      <c r="B5577" s="87" t="s">
        <v>1</v>
      </c>
      <c r="C5577" s="88" t="s">
        <v>5259</v>
      </c>
      <c r="D5577" s="88" t="s">
        <v>5044</v>
      </c>
      <c r="E5577" s="88" t="s">
        <v>61</v>
      </c>
      <c r="F5577" s="88">
        <v>0</v>
      </c>
      <c r="G5577" s="78">
        <f>MAX(H5577,I5577,J5577)</f>
        <v>0</v>
      </c>
      <c r="H5577" s="88"/>
      <c r="I5577" s="88"/>
      <c r="J5577" s="78">
        <f>MAX(K5577:Q5577)</f>
        <v>0</v>
      </c>
      <c r="K5577" s="88"/>
      <c r="L5577" s="88"/>
      <c r="M5577" s="88"/>
      <c r="N5577" s="88"/>
      <c r="O5577" s="88"/>
      <c r="P5577" s="88"/>
      <c r="Q5577" s="88"/>
      <c r="R5577" s="78">
        <f>MAX(S5577:W5577)</f>
        <v>1</v>
      </c>
      <c r="S5577" s="88"/>
      <c r="T5577" s="88"/>
      <c r="U5577" s="88">
        <v>1</v>
      </c>
      <c r="V5577" s="88"/>
      <c r="W5577" s="88"/>
    </row>
    <row r="5578" spans="2:23" s="0" customFormat="0" ht="15">
      <c r="B5578" s="87" t="s">
        <v>1</v>
      </c>
      <c r="C5578" s="88" t="s">
        <v>5259</v>
      </c>
      <c r="D5578" s="88" t="s">
        <v>2087</v>
      </c>
      <c r="E5578" s="88" t="s">
        <v>61</v>
      </c>
      <c r="F5578" s="88">
        <v>0</v>
      </c>
      <c r="G5578" s="78">
        <f>MAX(H5578,I5578,J5578)</f>
        <v>1</v>
      </c>
      <c r="H5578" s="88"/>
      <c r="I5578" s="88"/>
      <c r="J5578" s="78">
        <f>MAX(K5578:Q5578)</f>
        <v>1</v>
      </c>
      <c r="K5578" s="88">
        <v>1</v>
      </c>
      <c r="L5578" s="88"/>
      <c r="M5578" s="88"/>
      <c r="N5578" s="88"/>
      <c r="O5578" s="88"/>
      <c r="P5578" s="88"/>
      <c r="Q5578" s="88"/>
      <c r="R5578" s="78">
        <f>MAX(S5578:W5578)</f>
        <v>0</v>
      </c>
      <c r="S5578" s="88"/>
      <c r="T5578" s="88"/>
      <c r="U5578" s="88"/>
      <c r="V5578" s="88"/>
      <c r="W5578" s="88"/>
    </row>
    <row r="5579" spans="2:23" s="0" customFormat="0" ht="15">
      <c r="B5579" s="87" t="s">
        <v>1</v>
      </c>
      <c r="C5579" s="88" t="s">
        <v>5259</v>
      </c>
      <c r="D5579" s="88">
        <v>5036274</v>
      </c>
      <c r="E5579" s="88" t="s">
        <v>61</v>
      </c>
      <c r="F5579" s="88">
        <v>0</v>
      </c>
      <c r="G5579" s="78">
        <f>MAX(H5579,I5579,J5579)</f>
        <v>0</v>
      </c>
      <c r="H5579" s="88"/>
      <c r="I5579" s="88"/>
      <c r="J5579" s="78">
        <f>MAX(K5579:Q5579)</f>
        <v>0</v>
      </c>
      <c r="K5579" s="88"/>
      <c r="L5579" s="88"/>
      <c r="M5579" s="88"/>
      <c r="N5579" s="88"/>
      <c r="O5579" s="88"/>
      <c r="P5579" s="88"/>
      <c r="Q5579" s="88"/>
      <c r="R5579" s="78">
        <f>MAX(S5579:W5579)</f>
        <v>1</v>
      </c>
      <c r="S5579" s="88"/>
      <c r="T5579" s="88"/>
      <c r="U5579" s="88">
        <v>1</v>
      </c>
      <c r="V5579" s="88"/>
      <c r="W5579" s="88"/>
    </row>
    <row r="5580" spans="2:23" s="0" customFormat="0" ht="15">
      <c r="B5580" s="87" t="s">
        <v>1</v>
      </c>
      <c r="C5580" s="88" t="s">
        <v>5259</v>
      </c>
      <c r="D5580" s="88" t="s">
        <v>5158</v>
      </c>
      <c r="E5580" s="88" t="s">
        <v>61</v>
      </c>
      <c r="F5580" s="88">
        <v>0</v>
      </c>
      <c r="G5580" s="78">
        <f>MAX(H5580,I5580,J5580)</f>
        <v>0</v>
      </c>
      <c r="H5580" s="88"/>
      <c r="I5580" s="88"/>
      <c r="J5580" s="78">
        <f>MAX(K5580:Q5580)</f>
        <v>0</v>
      </c>
      <c r="K5580" s="88"/>
      <c r="L5580" s="88"/>
      <c r="M5580" s="88"/>
      <c r="N5580" s="88"/>
      <c r="O5580" s="88"/>
      <c r="P5580" s="88"/>
      <c r="Q5580" s="88"/>
      <c r="R5580" s="78">
        <f>MAX(S5580:W5580)</f>
        <v>1</v>
      </c>
      <c r="S5580" s="88"/>
      <c r="T5580" s="88"/>
      <c r="U5580" s="88">
        <v>1</v>
      </c>
      <c r="V5580" s="88"/>
      <c r="W5580" s="88"/>
    </row>
    <row r="5581" spans="2:23" s="0" customFormat="0" ht="15">
      <c r="B5581" s="87" t="s">
        <v>1</v>
      </c>
      <c r="C5581" s="88" t="s">
        <v>5259</v>
      </c>
      <c r="D5581" s="88">
        <v>4087439</v>
      </c>
      <c r="E5581" s="88" t="s">
        <v>61</v>
      </c>
      <c r="F5581" s="88">
        <v>0</v>
      </c>
      <c r="G5581" s="78">
        <f>MAX(H5581,I5581,J5581)</f>
        <v>1</v>
      </c>
      <c r="H5581" s="88"/>
      <c r="I5581" s="88"/>
      <c r="J5581" s="78">
        <f>MAX(K5581:Q5581)</f>
        <v>1</v>
      </c>
      <c r="K5581" s="88">
        <v>1</v>
      </c>
      <c r="L5581" s="88"/>
      <c r="M5581" s="88"/>
      <c r="N5581" s="88"/>
      <c r="O5581" s="88"/>
      <c r="P5581" s="88"/>
      <c r="Q5581" s="88"/>
      <c r="R5581" s="78">
        <f>MAX(S5581:W5581)</f>
        <v>0</v>
      </c>
      <c r="S5581" s="88"/>
      <c r="T5581" s="88"/>
      <c r="U5581" s="88"/>
      <c r="V5581" s="88"/>
      <c r="W5581" s="88"/>
    </row>
    <row r="5582" spans="2:23" s="0" customFormat="0" ht="15">
      <c r="B5582" s="87" t="s">
        <v>1</v>
      </c>
      <c r="C5582" s="88" t="s">
        <v>5259</v>
      </c>
      <c r="D5582" s="88">
        <v>14504603</v>
      </c>
      <c r="E5582" s="88" t="s">
        <v>61</v>
      </c>
      <c r="F5582" s="88">
        <v>0</v>
      </c>
      <c r="G5582" s="78">
        <f>MAX(H5582,I5582,J5582)</f>
        <v>1</v>
      </c>
      <c r="H5582" s="88"/>
      <c r="I5582" s="88"/>
      <c r="J5582" s="78">
        <f>MAX(K5582:Q5582)</f>
        <v>1</v>
      </c>
      <c r="K5582" s="88">
        <v>1</v>
      </c>
      <c r="L5582" s="88"/>
      <c r="M5582" s="88"/>
      <c r="N5582" s="88"/>
      <c r="O5582" s="88"/>
      <c r="P5582" s="88"/>
      <c r="Q5582" s="88"/>
      <c r="R5582" s="78">
        <f>MAX(S5582:W5582)</f>
        <v>0</v>
      </c>
      <c r="S5582" s="88"/>
      <c r="T5582" s="88"/>
      <c r="U5582" s="88"/>
      <c r="V5582" s="88"/>
      <c r="W5582" s="88"/>
    </row>
    <row r="5583" spans="2:23" s="0" customFormat="0" ht="15">
      <c r="B5583" s="87" t="s">
        <v>1</v>
      </c>
      <c r="C5583" s="88" t="s">
        <v>5259</v>
      </c>
      <c r="D5583" s="88" t="s">
        <v>972</v>
      </c>
      <c r="E5583" s="88" t="s">
        <v>61</v>
      </c>
      <c r="F5583" s="88">
        <v>0</v>
      </c>
      <c r="G5583" s="78">
        <f>MAX(H5583,I5583,J5583)</f>
        <v>1</v>
      </c>
      <c r="H5583" s="88"/>
      <c r="I5583" s="88"/>
      <c r="J5583" s="78">
        <f>MAX(K5583:Q5583)</f>
        <v>1</v>
      </c>
      <c r="K5583" s="88">
        <v>1</v>
      </c>
      <c r="L5583" s="88"/>
      <c r="M5583" s="88"/>
      <c r="N5583" s="88"/>
      <c r="O5583" s="88"/>
      <c r="P5583" s="88"/>
      <c r="Q5583" s="88"/>
      <c r="R5583" s="78">
        <f>MAX(S5583:W5583)</f>
        <v>0</v>
      </c>
      <c r="S5583" s="88"/>
      <c r="T5583" s="88"/>
      <c r="U5583" s="88"/>
      <c r="V5583" s="88"/>
      <c r="W5583" s="88"/>
    </row>
    <row r="5584" spans="2:23" s="0" customFormat="0" ht="15">
      <c r="B5584" s="87" t="s">
        <v>1</v>
      </c>
      <c r="C5584" s="88" t="s">
        <v>5259</v>
      </c>
      <c r="D5584" s="88">
        <v>14897748</v>
      </c>
      <c r="E5584" s="88" t="s">
        <v>61</v>
      </c>
      <c r="F5584" s="88">
        <v>0</v>
      </c>
      <c r="G5584" s="78">
        <f>MAX(H5584,I5584,J5584)</f>
        <v>1</v>
      </c>
      <c r="H5584" s="88"/>
      <c r="I5584" s="88"/>
      <c r="J5584" s="78">
        <f>MAX(K5584:Q5584)</f>
        <v>1</v>
      </c>
      <c r="K5584" s="88">
        <v>1</v>
      </c>
      <c r="L5584" s="88"/>
      <c r="M5584" s="88"/>
      <c r="N5584" s="88"/>
      <c r="O5584" s="88"/>
      <c r="P5584" s="88"/>
      <c r="Q5584" s="88"/>
      <c r="R5584" s="78">
        <f>MAX(S5584:W5584)</f>
        <v>0</v>
      </c>
      <c r="S5584" s="88"/>
      <c r="T5584" s="88"/>
      <c r="U5584" s="88"/>
      <c r="V5584" s="88"/>
      <c r="W5584" s="88"/>
    </row>
    <row r="5585" spans="2:23" s="0" customFormat="0" ht="15">
      <c r="B5585" s="87" t="s">
        <v>1</v>
      </c>
      <c r="C5585" s="88" t="s">
        <v>5259</v>
      </c>
      <c r="D5585" s="88">
        <v>11009660</v>
      </c>
      <c r="E5585" s="88" t="s">
        <v>61</v>
      </c>
      <c r="F5585" s="88">
        <v>0</v>
      </c>
      <c r="G5585" s="78">
        <f>MAX(H5585,I5585,J5585)</f>
        <v>1</v>
      </c>
      <c r="H5585" s="88"/>
      <c r="I5585" s="88"/>
      <c r="J5585" s="78">
        <f>MAX(K5585:Q5585)</f>
        <v>1</v>
      </c>
      <c r="K5585" s="88">
        <v>1</v>
      </c>
      <c r="L5585" s="88"/>
      <c r="M5585" s="88"/>
      <c r="N5585" s="88"/>
      <c r="O5585" s="88"/>
      <c r="P5585" s="88"/>
      <c r="Q5585" s="88"/>
      <c r="R5585" s="78">
        <f>MAX(S5585:W5585)</f>
        <v>0</v>
      </c>
      <c r="S5585" s="88"/>
      <c r="T5585" s="88"/>
      <c r="U5585" s="88"/>
      <c r="V5585" s="88"/>
      <c r="W5585" s="88"/>
    </row>
    <row r="5586" spans="2:23" s="0" customFormat="0" ht="15">
      <c r="B5586" s="87" t="s">
        <v>1</v>
      </c>
      <c r="C5586" s="88" t="s">
        <v>5259</v>
      </c>
      <c r="D5586" s="88">
        <v>761910</v>
      </c>
      <c r="E5586" s="88" t="s">
        <v>61</v>
      </c>
      <c r="F5586" s="88">
        <v>0</v>
      </c>
      <c r="G5586" s="78">
        <f>MAX(H5586,I5586,J5586)</f>
        <v>1</v>
      </c>
      <c r="H5586" s="88"/>
      <c r="I5586" s="88"/>
      <c r="J5586" s="78">
        <f>MAX(K5586:Q5586)</f>
        <v>1</v>
      </c>
      <c r="K5586" s="88">
        <v>1</v>
      </c>
      <c r="L5586" s="88"/>
      <c r="M5586" s="88"/>
      <c r="N5586" s="88"/>
      <c r="O5586" s="88"/>
      <c r="P5586" s="88"/>
      <c r="Q5586" s="88"/>
      <c r="R5586" s="78">
        <f>MAX(S5586:W5586)</f>
        <v>0</v>
      </c>
      <c r="S5586" s="88"/>
      <c r="T5586" s="88"/>
      <c r="U5586" s="88"/>
      <c r="V5586" s="88"/>
      <c r="W5586" s="88"/>
    </row>
    <row r="5587" spans="2:23" s="0" customFormat="0" ht="15">
      <c r="B5587" s="87" t="s">
        <v>1</v>
      </c>
      <c r="C5587" s="88" t="s">
        <v>5259</v>
      </c>
      <c r="D5587" s="88" t="s">
        <v>700</v>
      </c>
      <c r="E5587" s="88" t="s">
        <v>61</v>
      </c>
      <c r="F5587" s="88">
        <v>0</v>
      </c>
      <c r="G5587" s="78">
        <f>MAX(H5587,I5587,J5587)</f>
        <v>1</v>
      </c>
      <c r="H5587" s="88"/>
      <c r="I5587" s="88"/>
      <c r="J5587" s="78">
        <f>MAX(K5587:Q5587)</f>
        <v>1</v>
      </c>
      <c r="K5587" s="88">
        <v>1</v>
      </c>
      <c r="L5587" s="88"/>
      <c r="M5587" s="88"/>
      <c r="N5587" s="88"/>
      <c r="O5587" s="88"/>
      <c r="P5587" s="88"/>
      <c r="Q5587" s="88"/>
      <c r="R5587" s="78">
        <f>MAX(S5587:W5587)</f>
        <v>0</v>
      </c>
      <c r="S5587" s="88"/>
      <c r="T5587" s="88"/>
      <c r="U5587" s="88"/>
      <c r="V5587" s="88"/>
      <c r="W5587" s="88"/>
    </row>
    <row r="5588" spans="2:23" s="0" customFormat="0" ht="15">
      <c r="B5588" s="87" t="s">
        <v>1</v>
      </c>
      <c r="C5588" s="88" t="s">
        <v>5259</v>
      </c>
      <c r="D5588" s="88">
        <v>20538925</v>
      </c>
      <c r="E5588" s="88" t="s">
        <v>61</v>
      </c>
      <c r="F5588" s="88">
        <v>0</v>
      </c>
      <c r="G5588" s="78">
        <f>MAX(H5588,I5588,J5588)</f>
        <v>1</v>
      </c>
      <c r="H5588" s="88"/>
      <c r="I5588" s="88"/>
      <c r="J5588" s="78">
        <f>MAX(K5588:Q5588)</f>
        <v>1</v>
      </c>
      <c r="K5588" s="88">
        <v>1</v>
      </c>
      <c r="L5588" s="88"/>
      <c r="M5588" s="88"/>
      <c r="N5588" s="88"/>
      <c r="O5588" s="88"/>
      <c r="P5588" s="88"/>
      <c r="Q5588" s="88"/>
      <c r="R5588" s="78">
        <f>MAX(S5588:W5588)</f>
        <v>0</v>
      </c>
      <c r="S5588" s="88"/>
      <c r="T5588" s="88"/>
      <c r="U5588" s="88"/>
      <c r="V5588" s="88"/>
      <c r="W5588" s="88"/>
    </row>
    <row r="5589" spans="2:23" s="0" customFormat="0" ht="15">
      <c r="B5589" s="87" t="s">
        <v>1</v>
      </c>
      <c r="C5589" s="88" t="s">
        <v>5259</v>
      </c>
      <c r="D5589" s="88">
        <v>22930280</v>
      </c>
      <c r="E5589" s="88" t="s">
        <v>61</v>
      </c>
      <c r="F5589" s="88">
        <v>0</v>
      </c>
      <c r="G5589" s="78">
        <f>MAX(H5589,I5589,J5589)</f>
        <v>1</v>
      </c>
      <c r="H5589" s="88"/>
      <c r="I5589" s="88"/>
      <c r="J5589" s="78">
        <f>MAX(K5589:Q5589)</f>
        <v>1</v>
      </c>
      <c r="K5589" s="88">
        <v>1</v>
      </c>
      <c r="L5589" s="88"/>
      <c r="M5589" s="88"/>
      <c r="N5589" s="88"/>
      <c r="O5589" s="88"/>
      <c r="P5589" s="88"/>
      <c r="Q5589" s="88"/>
      <c r="R5589" s="78">
        <f>MAX(S5589:W5589)</f>
        <v>0</v>
      </c>
      <c r="S5589" s="88"/>
      <c r="T5589" s="88"/>
      <c r="U5589" s="88"/>
      <c r="V5589" s="88"/>
      <c r="W5589" s="88"/>
    </row>
    <row r="5590" spans="2:23" s="0" customFormat="0" ht="15">
      <c r="B5590" s="87" t="s">
        <v>1</v>
      </c>
      <c r="C5590" s="88" t="s">
        <v>5259</v>
      </c>
      <c r="D5590" s="88" t="s">
        <v>1935</v>
      </c>
      <c r="E5590" s="88" t="s">
        <v>61</v>
      </c>
      <c r="F5590" s="88">
        <v>0</v>
      </c>
      <c r="G5590" s="78">
        <f>MAX(H5590,I5590,J5590)</f>
        <v>1</v>
      </c>
      <c r="H5590" s="88"/>
      <c r="I5590" s="88"/>
      <c r="J5590" s="78">
        <f>MAX(K5590:Q5590)</f>
        <v>1</v>
      </c>
      <c r="K5590" s="88">
        <v>1</v>
      </c>
      <c r="L5590" s="88"/>
      <c r="M5590" s="88"/>
      <c r="N5590" s="88"/>
      <c r="O5590" s="88"/>
      <c r="P5590" s="88"/>
      <c r="Q5590" s="88"/>
      <c r="R5590" s="78">
        <f>MAX(S5590:W5590)</f>
        <v>0</v>
      </c>
      <c r="S5590" s="88"/>
      <c r="T5590" s="88"/>
      <c r="U5590" s="88"/>
      <c r="V5590" s="88"/>
      <c r="W5590" s="88"/>
    </row>
    <row r="5591" spans="2:23" s="0" customFormat="0" ht="15">
      <c r="B5591" s="87" t="s">
        <v>1</v>
      </c>
      <c r="C5591" s="88" t="s">
        <v>5259</v>
      </c>
      <c r="D5591" s="88">
        <v>7347500</v>
      </c>
      <c r="E5591" s="88" t="s">
        <v>61</v>
      </c>
      <c r="F5591" s="88">
        <v>0</v>
      </c>
      <c r="G5591" s="78">
        <f>MAX(H5591,I5591,J5591)</f>
        <v>1</v>
      </c>
      <c r="H5591" s="88"/>
      <c r="I5591" s="88"/>
      <c r="J5591" s="78">
        <f>MAX(K5591:Q5591)</f>
        <v>1</v>
      </c>
      <c r="K5591" s="88">
        <v>1</v>
      </c>
      <c r="L5591" s="88"/>
      <c r="M5591" s="88"/>
      <c r="N5591" s="88"/>
      <c r="O5591" s="88"/>
      <c r="P5591" s="88"/>
      <c r="Q5591" s="88"/>
      <c r="R5591" s="78">
        <f>MAX(S5591:W5591)</f>
        <v>0</v>
      </c>
      <c r="S5591" s="88"/>
      <c r="T5591" s="88"/>
      <c r="U5591" s="88"/>
      <c r="V5591" s="88"/>
      <c r="W5591" s="88"/>
    </row>
    <row r="5592" spans="2:23" s="0" customFormat="0" ht="15">
      <c r="B5592" s="87" t="s">
        <v>1</v>
      </c>
      <c r="C5592" s="88" t="s">
        <v>5259</v>
      </c>
      <c r="D5592" s="88">
        <v>22623701</v>
      </c>
      <c r="E5592" s="88" t="s">
        <v>61</v>
      </c>
      <c r="F5592" s="88">
        <v>0</v>
      </c>
      <c r="G5592" s="78">
        <f>MAX(H5592,I5592,J5592)</f>
        <v>0</v>
      </c>
      <c r="H5592" s="88"/>
      <c r="I5592" s="88"/>
      <c r="J5592" s="78">
        <f>MAX(K5592:Q5592)</f>
        <v>0</v>
      </c>
      <c r="K5592" s="88"/>
      <c r="L5592" s="88"/>
      <c r="M5592" s="88"/>
      <c r="N5592" s="88"/>
      <c r="O5592" s="88"/>
      <c r="P5592" s="88"/>
      <c r="Q5592" s="88"/>
      <c r="R5592" s="78">
        <f>MAX(S5592:W5592)</f>
        <v>1</v>
      </c>
      <c r="S5592" s="88"/>
      <c r="T5592" s="88"/>
      <c r="U5592" s="88">
        <v>1</v>
      </c>
      <c r="V5592" s="88"/>
      <c r="W5592" s="88"/>
    </row>
    <row r="5593" spans="2:23" s="0" customFormat="0" ht="15">
      <c r="B5593" s="87" t="s">
        <v>1</v>
      </c>
      <c r="C5593" s="88" t="s">
        <v>5259</v>
      </c>
      <c r="D5593" s="88">
        <v>8842299</v>
      </c>
      <c r="E5593" s="88" t="s">
        <v>61</v>
      </c>
      <c r="F5593" s="88">
        <v>0</v>
      </c>
      <c r="G5593" s="78">
        <f>MAX(H5593,I5593,J5593)</f>
        <v>0</v>
      </c>
      <c r="H5593" s="88"/>
      <c r="I5593" s="88"/>
      <c r="J5593" s="78">
        <f>MAX(K5593:Q5593)</f>
        <v>0</v>
      </c>
      <c r="K5593" s="88"/>
      <c r="L5593" s="88"/>
      <c r="M5593" s="88"/>
      <c r="N5593" s="88"/>
      <c r="O5593" s="88"/>
      <c r="P5593" s="88"/>
      <c r="Q5593" s="88"/>
      <c r="R5593" s="78">
        <f>MAX(S5593:W5593)</f>
        <v>1</v>
      </c>
      <c r="S5593" s="88"/>
      <c r="T5593" s="88"/>
      <c r="U5593" s="88">
        <v>1</v>
      </c>
      <c r="V5593" s="88"/>
      <c r="W5593" s="88"/>
    </row>
    <row r="5594" spans="2:23" s="0" customFormat="0" ht="15">
      <c r="B5594" s="87" t="s">
        <v>1</v>
      </c>
      <c r="C5594" s="88" t="s">
        <v>5259</v>
      </c>
      <c r="D5594" s="88" t="s">
        <v>1397</v>
      </c>
      <c r="E5594" s="88" t="s">
        <v>61</v>
      </c>
      <c r="F5594" s="88">
        <v>0</v>
      </c>
      <c r="G5594" s="78">
        <f>MAX(H5594,I5594,J5594)</f>
        <v>1</v>
      </c>
      <c r="H5594" s="88"/>
      <c r="I5594" s="88"/>
      <c r="J5594" s="78">
        <f>MAX(K5594:Q5594)</f>
        <v>1</v>
      </c>
      <c r="K5594" s="88">
        <v>1</v>
      </c>
      <c r="L5594" s="88"/>
      <c r="M5594" s="88"/>
      <c r="N5594" s="88"/>
      <c r="O5594" s="88"/>
      <c r="P5594" s="88"/>
      <c r="Q5594" s="88"/>
      <c r="R5594" s="78">
        <f>MAX(S5594:W5594)</f>
        <v>0</v>
      </c>
      <c r="S5594" s="88"/>
      <c r="T5594" s="88"/>
      <c r="U5594" s="88"/>
      <c r="V5594" s="88"/>
      <c r="W5594" s="88"/>
    </row>
    <row r="5595" spans="2:23" s="0" customFormat="0" ht="15">
      <c r="B5595" s="87" t="s">
        <v>1</v>
      </c>
      <c r="C5595" s="88" t="s">
        <v>5259</v>
      </c>
      <c r="D5595" s="88" t="s">
        <v>5108</v>
      </c>
      <c r="E5595" s="88" t="s">
        <v>61</v>
      </c>
      <c r="F5595" s="88">
        <v>0</v>
      </c>
      <c r="G5595" s="78">
        <f>MAX(H5595,I5595,J5595)</f>
        <v>0</v>
      </c>
      <c r="H5595" s="88"/>
      <c r="I5595" s="88"/>
      <c r="J5595" s="78">
        <f>MAX(K5595:Q5595)</f>
        <v>0</v>
      </c>
      <c r="K5595" s="88"/>
      <c r="L5595" s="88"/>
      <c r="M5595" s="88"/>
      <c r="N5595" s="88"/>
      <c r="O5595" s="88"/>
      <c r="P5595" s="88"/>
      <c r="Q5595" s="88"/>
      <c r="R5595" s="78">
        <f>MAX(S5595:W5595)</f>
        <v>1</v>
      </c>
      <c r="S5595" s="88"/>
      <c r="T5595" s="88"/>
      <c r="U5595" s="88">
        <v>1</v>
      </c>
      <c r="V5595" s="88"/>
      <c r="W5595" s="88"/>
    </row>
    <row r="5596" spans="2:23" s="0" customFormat="0" ht="15">
      <c r="B5596" s="87" t="s">
        <v>1</v>
      </c>
      <c r="C5596" s="88" t="s">
        <v>5259</v>
      </c>
      <c r="D5596" s="88">
        <v>19118061</v>
      </c>
      <c r="E5596" s="88" t="s">
        <v>61</v>
      </c>
      <c r="F5596" s="88">
        <v>0</v>
      </c>
      <c r="G5596" s="78">
        <f>MAX(H5596,I5596,J5596)</f>
        <v>1</v>
      </c>
      <c r="H5596" s="88"/>
      <c r="I5596" s="88"/>
      <c r="J5596" s="78">
        <f>MAX(K5596:Q5596)</f>
        <v>1</v>
      </c>
      <c r="K5596" s="88">
        <v>1</v>
      </c>
      <c r="L5596" s="88"/>
      <c r="M5596" s="88"/>
      <c r="N5596" s="88"/>
      <c r="O5596" s="88"/>
      <c r="P5596" s="88"/>
      <c r="Q5596" s="88"/>
      <c r="R5596" s="78">
        <f>MAX(S5596:W5596)</f>
        <v>0</v>
      </c>
      <c r="S5596" s="88"/>
      <c r="T5596" s="88"/>
      <c r="U5596" s="88"/>
      <c r="V5596" s="88"/>
      <c r="W5596" s="88"/>
    </row>
    <row r="5597" spans="2:23" s="0" customFormat="0" ht="15">
      <c r="B5597" s="87" t="s">
        <v>1</v>
      </c>
      <c r="C5597" s="88" t="s">
        <v>5259</v>
      </c>
      <c r="D5597" s="88" t="s">
        <v>2435</v>
      </c>
      <c r="E5597" s="88" t="s">
        <v>61</v>
      </c>
      <c r="F5597" s="88">
        <v>0</v>
      </c>
      <c r="G5597" s="78">
        <f>MAX(H5597,I5597,J5597)</f>
        <v>1</v>
      </c>
      <c r="H5597" s="88"/>
      <c r="I5597" s="88"/>
      <c r="J5597" s="78">
        <f>MAX(K5597:Q5597)</f>
        <v>1</v>
      </c>
      <c r="K5597" s="88">
        <v>1</v>
      </c>
      <c r="L5597" s="88"/>
      <c r="M5597" s="88"/>
      <c r="N5597" s="88"/>
      <c r="O5597" s="88"/>
      <c r="P5597" s="88"/>
      <c r="Q5597" s="88"/>
      <c r="R5597" s="78">
        <f>MAX(S5597:W5597)</f>
        <v>0</v>
      </c>
      <c r="S5597" s="88"/>
      <c r="T5597" s="88"/>
      <c r="U5597" s="88"/>
      <c r="V5597" s="88"/>
      <c r="W5597" s="88"/>
    </row>
    <row r="5598" spans="2:23" s="0" customFormat="0" ht="15">
      <c r="B5598" s="87" t="s">
        <v>1</v>
      </c>
      <c r="C5598" s="88" t="s">
        <v>5259</v>
      </c>
      <c r="D5598" s="88" t="s">
        <v>4246</v>
      </c>
      <c r="E5598" s="88" t="s">
        <v>61</v>
      </c>
      <c r="F5598" s="88">
        <v>0</v>
      </c>
      <c r="G5598" s="78">
        <f>MAX(H5598,I5598,J5598)</f>
        <v>0</v>
      </c>
      <c r="H5598" s="88"/>
      <c r="I5598" s="88"/>
      <c r="J5598" s="78">
        <f>MAX(K5598:Q5598)</f>
        <v>0</v>
      </c>
      <c r="K5598" s="88"/>
      <c r="L5598" s="88"/>
      <c r="M5598" s="88"/>
      <c r="N5598" s="88"/>
      <c r="O5598" s="88"/>
      <c r="P5598" s="88"/>
      <c r="Q5598" s="88"/>
      <c r="R5598" s="78">
        <f>MAX(S5598:W5598)</f>
        <v>1</v>
      </c>
      <c r="S5598" s="88"/>
      <c r="T5598" s="88"/>
      <c r="U5598" s="88">
        <v>1</v>
      </c>
      <c r="V5598" s="88"/>
      <c r="W5598" s="88"/>
    </row>
    <row r="5599" spans="2:23" s="0" customFormat="0" ht="15">
      <c r="B5599" s="87" t="s">
        <v>1</v>
      </c>
      <c r="C5599" s="88" t="s">
        <v>5259</v>
      </c>
      <c r="D5599" s="88">
        <v>20527484</v>
      </c>
      <c r="E5599" s="88" t="s">
        <v>61</v>
      </c>
      <c r="F5599" s="88">
        <v>0</v>
      </c>
      <c r="G5599" s="78">
        <f>MAX(H5599,I5599,J5599)</f>
        <v>1</v>
      </c>
      <c r="H5599" s="88"/>
      <c r="I5599" s="88"/>
      <c r="J5599" s="78">
        <f>MAX(K5599:Q5599)</f>
        <v>1</v>
      </c>
      <c r="K5599" s="88">
        <v>1</v>
      </c>
      <c r="L5599" s="88"/>
      <c r="M5599" s="88"/>
      <c r="N5599" s="88"/>
      <c r="O5599" s="88"/>
      <c r="P5599" s="88"/>
      <c r="Q5599" s="88"/>
      <c r="R5599" s="78">
        <f>MAX(S5599:W5599)</f>
        <v>0</v>
      </c>
      <c r="S5599" s="88"/>
      <c r="T5599" s="88"/>
      <c r="U5599" s="88"/>
      <c r="V5599" s="88"/>
      <c r="W5599" s="88"/>
    </row>
    <row r="5600" spans="2:23" s="0" customFormat="0" ht="15">
      <c r="B5600" s="87" t="s">
        <v>1</v>
      </c>
      <c r="C5600" s="88" t="s">
        <v>5259</v>
      </c>
      <c r="D5600" s="88">
        <v>22698144</v>
      </c>
      <c r="E5600" s="88" t="s">
        <v>61</v>
      </c>
      <c r="F5600" s="88">
        <v>0</v>
      </c>
      <c r="G5600" s="78">
        <f>MAX(H5600,I5600,J5600)</f>
        <v>1</v>
      </c>
      <c r="H5600" s="88"/>
      <c r="I5600" s="88"/>
      <c r="J5600" s="78">
        <f>MAX(K5600:Q5600)</f>
        <v>1</v>
      </c>
      <c r="K5600" s="88">
        <v>1</v>
      </c>
      <c r="L5600" s="88"/>
      <c r="M5600" s="88"/>
      <c r="N5600" s="88"/>
      <c r="O5600" s="88"/>
      <c r="P5600" s="88"/>
      <c r="Q5600" s="88"/>
      <c r="R5600" s="78">
        <f>MAX(S5600:W5600)</f>
        <v>0</v>
      </c>
      <c r="S5600" s="88"/>
      <c r="T5600" s="88"/>
      <c r="U5600" s="88"/>
      <c r="V5600" s="88"/>
      <c r="W5600" s="88"/>
    </row>
    <row r="5601" spans="2:23" s="0" customFormat="0" ht="15">
      <c r="B5601" s="87" t="s">
        <v>1</v>
      </c>
      <c r="C5601" s="88" t="s">
        <v>5259</v>
      </c>
      <c r="D5601" s="88">
        <v>12782438</v>
      </c>
      <c r="E5601" s="88" t="s">
        <v>61</v>
      </c>
      <c r="F5601" s="88">
        <v>0</v>
      </c>
      <c r="G5601" s="78">
        <f>MAX(H5601,I5601,J5601)</f>
        <v>1</v>
      </c>
      <c r="H5601" s="88"/>
      <c r="I5601" s="88"/>
      <c r="J5601" s="78">
        <f>MAX(K5601:Q5601)</f>
        <v>1</v>
      </c>
      <c r="K5601" s="88">
        <v>1</v>
      </c>
      <c r="L5601" s="88"/>
      <c r="M5601" s="88"/>
      <c r="N5601" s="88"/>
      <c r="O5601" s="88"/>
      <c r="P5601" s="88"/>
      <c r="Q5601" s="88"/>
      <c r="R5601" s="78">
        <f>MAX(S5601:W5601)</f>
        <v>0</v>
      </c>
      <c r="S5601" s="88"/>
      <c r="T5601" s="88"/>
      <c r="U5601" s="88"/>
      <c r="V5601" s="88"/>
      <c r="W5601" s="88"/>
    </row>
    <row r="5602" spans="2:23" s="0" customFormat="0" ht="15">
      <c r="B5602" s="87" t="s">
        <v>1</v>
      </c>
      <c r="C5602" s="88" t="s">
        <v>5259</v>
      </c>
      <c r="D5602" s="88">
        <v>20861079</v>
      </c>
      <c r="E5602" s="88" t="s">
        <v>61</v>
      </c>
      <c r="F5602" s="88">
        <v>0</v>
      </c>
      <c r="G5602" s="78">
        <f>MAX(H5602,I5602,J5602)</f>
        <v>1</v>
      </c>
      <c r="H5602" s="88"/>
      <c r="I5602" s="88"/>
      <c r="J5602" s="78">
        <f>MAX(K5602:Q5602)</f>
        <v>1</v>
      </c>
      <c r="K5602" s="88">
        <v>1</v>
      </c>
      <c r="L5602" s="88"/>
      <c r="M5602" s="88"/>
      <c r="N5602" s="88"/>
      <c r="O5602" s="88"/>
      <c r="P5602" s="88"/>
      <c r="Q5602" s="88"/>
      <c r="R5602" s="78">
        <f>MAX(S5602:W5602)</f>
        <v>0</v>
      </c>
      <c r="S5602" s="88"/>
      <c r="T5602" s="88"/>
      <c r="U5602" s="88"/>
      <c r="V5602" s="88"/>
      <c r="W5602" s="88"/>
    </row>
    <row r="5603" spans="2:23" s="0" customFormat="0" ht="15">
      <c r="B5603" s="87" t="s">
        <v>1</v>
      </c>
      <c r="C5603" s="88" t="s">
        <v>5259</v>
      </c>
      <c r="D5603" s="88">
        <v>19602322</v>
      </c>
      <c r="E5603" s="88" t="s">
        <v>61</v>
      </c>
      <c r="F5603" s="88">
        <v>0</v>
      </c>
      <c r="G5603" s="78">
        <f>MAX(H5603,I5603,J5603)</f>
        <v>1</v>
      </c>
      <c r="H5603" s="88"/>
      <c r="I5603" s="88"/>
      <c r="J5603" s="78">
        <f>MAX(K5603:Q5603)</f>
        <v>1</v>
      </c>
      <c r="K5603" s="88">
        <v>1</v>
      </c>
      <c r="L5603" s="88"/>
      <c r="M5603" s="88"/>
      <c r="N5603" s="88"/>
      <c r="O5603" s="88"/>
      <c r="P5603" s="88"/>
      <c r="Q5603" s="88"/>
      <c r="R5603" s="78">
        <f>MAX(S5603:W5603)</f>
        <v>0</v>
      </c>
      <c r="S5603" s="88"/>
      <c r="T5603" s="88"/>
      <c r="U5603" s="88"/>
      <c r="V5603" s="88"/>
      <c r="W5603" s="88"/>
    </row>
    <row r="5604" spans="2:23" s="0" customFormat="0" ht="15">
      <c r="B5604" s="87" t="s">
        <v>1</v>
      </c>
      <c r="C5604" s="88" t="s">
        <v>5259</v>
      </c>
      <c r="D5604" s="88" t="s">
        <v>3989</v>
      </c>
      <c r="E5604" s="88" t="s">
        <v>61</v>
      </c>
      <c r="F5604" s="88">
        <v>0</v>
      </c>
      <c r="G5604" s="78">
        <f>MAX(H5604,I5604,J5604)</f>
        <v>0</v>
      </c>
      <c r="H5604" s="88"/>
      <c r="I5604" s="88"/>
      <c r="J5604" s="78">
        <f>MAX(K5604:Q5604)</f>
        <v>0</v>
      </c>
      <c r="K5604" s="88"/>
      <c r="L5604" s="88"/>
      <c r="M5604" s="88"/>
      <c r="N5604" s="88"/>
      <c r="O5604" s="88"/>
      <c r="P5604" s="88"/>
      <c r="Q5604" s="88"/>
      <c r="R5604" s="78">
        <f>MAX(S5604:W5604)</f>
        <v>1</v>
      </c>
      <c r="S5604" s="88"/>
      <c r="T5604" s="88"/>
      <c r="U5604" s="88">
        <v>1</v>
      </c>
      <c r="V5604" s="88"/>
      <c r="W5604" s="88"/>
    </row>
    <row r="5605" spans="2:23" s="0" customFormat="0" ht="15">
      <c r="B5605" s="87" t="s">
        <v>1</v>
      </c>
      <c r="C5605" s="88" t="s">
        <v>5259</v>
      </c>
      <c r="D5605" s="88" t="s">
        <v>3338</v>
      </c>
      <c r="E5605" s="88" t="s">
        <v>61</v>
      </c>
      <c r="F5605" s="88">
        <v>0</v>
      </c>
      <c r="G5605" s="78">
        <f>MAX(H5605,I5605,J5605)</f>
        <v>0</v>
      </c>
      <c r="H5605" s="88"/>
      <c r="I5605" s="88"/>
      <c r="J5605" s="78">
        <f>MAX(K5605:Q5605)</f>
        <v>0</v>
      </c>
      <c r="K5605" s="88"/>
      <c r="L5605" s="88"/>
      <c r="M5605" s="88"/>
      <c r="N5605" s="88"/>
      <c r="O5605" s="88"/>
      <c r="P5605" s="88"/>
      <c r="Q5605" s="88"/>
      <c r="R5605" s="78">
        <f>MAX(S5605:W5605)</f>
        <v>1</v>
      </c>
      <c r="S5605" s="88"/>
      <c r="T5605" s="88"/>
      <c r="U5605" s="88">
        <v>1</v>
      </c>
      <c r="V5605" s="88"/>
      <c r="W5605" s="88"/>
    </row>
    <row r="5606" spans="2:23" s="0" customFormat="0" ht="15">
      <c r="B5606" s="87" t="s">
        <v>1</v>
      </c>
      <c r="C5606" s="88" t="s">
        <v>5259</v>
      </c>
      <c r="D5606" s="88">
        <v>15307241</v>
      </c>
      <c r="E5606" s="88" t="s">
        <v>61</v>
      </c>
      <c r="F5606" s="88">
        <v>0</v>
      </c>
      <c r="G5606" s="78">
        <f>MAX(H5606,I5606,J5606)</f>
        <v>1</v>
      </c>
      <c r="H5606" s="88"/>
      <c r="I5606" s="88"/>
      <c r="J5606" s="78">
        <f>MAX(K5606:Q5606)</f>
        <v>1</v>
      </c>
      <c r="K5606" s="88">
        <v>1</v>
      </c>
      <c r="L5606" s="88"/>
      <c r="M5606" s="88"/>
      <c r="N5606" s="88"/>
      <c r="O5606" s="88"/>
      <c r="P5606" s="88"/>
      <c r="Q5606" s="88"/>
      <c r="R5606" s="78">
        <f>MAX(S5606:W5606)</f>
        <v>0</v>
      </c>
      <c r="S5606" s="88"/>
      <c r="T5606" s="88"/>
      <c r="U5606" s="88"/>
      <c r="V5606" s="88"/>
      <c r="W5606" s="88"/>
    </row>
    <row r="5607" spans="2:23" s="0" customFormat="0" ht="15">
      <c r="B5607" s="87" t="s">
        <v>1</v>
      </c>
      <c r="C5607" s="88" t="s">
        <v>5259</v>
      </c>
      <c r="D5607" s="88">
        <v>24423127</v>
      </c>
      <c r="E5607" s="88" t="s">
        <v>61</v>
      </c>
      <c r="F5607" s="88">
        <v>0</v>
      </c>
      <c r="G5607" s="78">
        <f>MAX(H5607,I5607,J5607)</f>
        <v>1</v>
      </c>
      <c r="H5607" s="88"/>
      <c r="I5607" s="88"/>
      <c r="J5607" s="78">
        <f>MAX(K5607:Q5607)</f>
        <v>1</v>
      </c>
      <c r="K5607" s="88">
        <v>1</v>
      </c>
      <c r="L5607" s="88"/>
      <c r="M5607" s="88"/>
      <c r="N5607" s="88"/>
      <c r="O5607" s="88"/>
      <c r="P5607" s="88"/>
      <c r="Q5607" s="88"/>
      <c r="R5607" s="78">
        <f>MAX(S5607:W5607)</f>
        <v>0</v>
      </c>
      <c r="S5607" s="88"/>
      <c r="T5607" s="88"/>
      <c r="U5607" s="88"/>
      <c r="V5607" s="88"/>
      <c r="W5607" s="88"/>
    </row>
    <row r="5608" spans="2:23" s="0" customFormat="0" ht="15">
      <c r="B5608" s="87" t="s">
        <v>1</v>
      </c>
      <c r="C5608" s="88" t="s">
        <v>5259</v>
      </c>
      <c r="D5608" s="88">
        <v>23482886</v>
      </c>
      <c r="E5608" s="88" t="s">
        <v>61</v>
      </c>
      <c r="F5608" s="88">
        <v>0</v>
      </c>
      <c r="G5608" s="78">
        <f>MAX(H5608,I5608,J5608)</f>
        <v>1</v>
      </c>
      <c r="H5608" s="88"/>
      <c r="I5608" s="88"/>
      <c r="J5608" s="78">
        <f>MAX(K5608:Q5608)</f>
        <v>1</v>
      </c>
      <c r="K5608" s="88">
        <v>1</v>
      </c>
      <c r="L5608" s="88"/>
      <c r="M5608" s="88"/>
      <c r="N5608" s="88"/>
      <c r="O5608" s="88"/>
      <c r="P5608" s="88"/>
      <c r="Q5608" s="88"/>
      <c r="R5608" s="78">
        <f>MAX(S5608:W5608)</f>
        <v>0</v>
      </c>
      <c r="S5608" s="88"/>
      <c r="T5608" s="88"/>
      <c r="U5608" s="88"/>
      <c r="V5608" s="88"/>
      <c r="W5608" s="88"/>
    </row>
    <row r="5609" spans="2:23" s="0" customFormat="0" ht="15">
      <c r="B5609" s="87" t="s">
        <v>1</v>
      </c>
      <c r="C5609" s="88" t="s">
        <v>5259</v>
      </c>
      <c r="D5609" s="88">
        <v>22926236</v>
      </c>
      <c r="E5609" s="88" t="s">
        <v>61</v>
      </c>
      <c r="F5609" s="88">
        <v>0</v>
      </c>
      <c r="G5609" s="78">
        <f>MAX(H5609,I5609,J5609)</f>
        <v>1</v>
      </c>
      <c r="H5609" s="88"/>
      <c r="I5609" s="88"/>
      <c r="J5609" s="78">
        <f>MAX(K5609:Q5609)</f>
        <v>1</v>
      </c>
      <c r="K5609" s="88">
        <v>1</v>
      </c>
      <c r="L5609" s="88"/>
      <c r="M5609" s="88"/>
      <c r="N5609" s="88"/>
      <c r="O5609" s="88"/>
      <c r="P5609" s="88"/>
      <c r="Q5609" s="88"/>
      <c r="R5609" s="78">
        <f>MAX(S5609:W5609)</f>
        <v>0</v>
      </c>
      <c r="S5609" s="88"/>
      <c r="T5609" s="88"/>
      <c r="U5609" s="88"/>
      <c r="V5609" s="88"/>
      <c r="W5609" s="88"/>
    </row>
    <row r="5610" spans="2:23" s="0" customFormat="0" ht="15">
      <c r="B5610" s="87" t="s">
        <v>1</v>
      </c>
      <c r="C5610" s="88" t="s">
        <v>5259</v>
      </c>
      <c r="D5610" s="88">
        <v>21301521</v>
      </c>
      <c r="E5610" s="88" t="s">
        <v>61</v>
      </c>
      <c r="F5610" s="88">
        <v>0</v>
      </c>
      <c r="G5610" s="78">
        <f>MAX(H5610,I5610,J5610)</f>
        <v>1</v>
      </c>
      <c r="H5610" s="88"/>
      <c r="I5610" s="88"/>
      <c r="J5610" s="78">
        <f>MAX(K5610:Q5610)</f>
        <v>1</v>
      </c>
      <c r="K5610" s="88">
        <v>1</v>
      </c>
      <c r="L5610" s="88"/>
      <c r="M5610" s="88"/>
      <c r="N5610" s="88"/>
      <c r="O5610" s="88"/>
      <c r="P5610" s="88"/>
      <c r="Q5610" s="88"/>
      <c r="R5610" s="78">
        <f>MAX(S5610:W5610)</f>
        <v>0</v>
      </c>
      <c r="S5610" s="88"/>
      <c r="T5610" s="88"/>
      <c r="U5610" s="88"/>
      <c r="V5610" s="88"/>
      <c r="W5610" s="88"/>
    </row>
    <row r="5611" spans="2:23" s="0" customFormat="0" ht="15">
      <c r="B5611" s="87" t="s">
        <v>1</v>
      </c>
      <c r="C5611" s="88" t="s">
        <v>5259</v>
      </c>
      <c r="D5611" s="88">
        <v>6842237</v>
      </c>
      <c r="E5611" s="88" t="s">
        <v>61</v>
      </c>
      <c r="F5611" s="88">
        <v>0</v>
      </c>
      <c r="G5611" s="78">
        <f>MAX(H5611,I5611,J5611)</f>
        <v>1</v>
      </c>
      <c r="H5611" s="88"/>
      <c r="I5611" s="88"/>
      <c r="J5611" s="78">
        <f>MAX(K5611:Q5611)</f>
        <v>1</v>
      </c>
      <c r="K5611" s="88">
        <v>1</v>
      </c>
      <c r="L5611" s="88"/>
      <c r="M5611" s="88"/>
      <c r="N5611" s="88"/>
      <c r="O5611" s="88"/>
      <c r="P5611" s="88"/>
      <c r="Q5611" s="88"/>
      <c r="R5611" s="78">
        <f>MAX(S5611:W5611)</f>
        <v>0</v>
      </c>
      <c r="S5611" s="88"/>
      <c r="T5611" s="88"/>
      <c r="U5611" s="88"/>
      <c r="V5611" s="88"/>
      <c r="W5611" s="88"/>
    </row>
    <row r="5612" spans="2:23" s="0" customFormat="0" ht="15">
      <c r="B5612" s="87" t="s">
        <v>1</v>
      </c>
      <c r="C5612" s="88" t="s">
        <v>5259</v>
      </c>
      <c r="D5612" s="88" t="s">
        <v>1241</v>
      </c>
      <c r="E5612" s="88" t="s">
        <v>61</v>
      </c>
      <c r="F5612" s="88">
        <v>0</v>
      </c>
      <c r="G5612" s="78">
        <f>MAX(H5612,I5612,J5612)</f>
        <v>1</v>
      </c>
      <c r="H5612" s="88"/>
      <c r="I5612" s="88"/>
      <c r="J5612" s="78">
        <f>MAX(K5612:Q5612)</f>
        <v>1</v>
      </c>
      <c r="K5612" s="88">
        <v>1</v>
      </c>
      <c r="L5612" s="88"/>
      <c r="M5612" s="88"/>
      <c r="N5612" s="88"/>
      <c r="O5612" s="88"/>
      <c r="P5612" s="88"/>
      <c r="Q5612" s="88"/>
      <c r="R5612" s="78">
        <f>MAX(S5612:W5612)</f>
        <v>0</v>
      </c>
      <c r="S5612" s="88"/>
      <c r="T5612" s="88"/>
      <c r="U5612" s="88"/>
      <c r="V5612" s="88"/>
      <c r="W5612" s="88"/>
    </row>
    <row r="5613" spans="2:23" s="0" customFormat="0" ht="15">
      <c r="B5613" s="87" t="s">
        <v>1</v>
      </c>
      <c r="C5613" s="88" t="s">
        <v>5259</v>
      </c>
      <c r="D5613" s="88">
        <v>16588743</v>
      </c>
      <c r="E5613" s="88" t="s">
        <v>61</v>
      </c>
      <c r="F5613" s="88">
        <v>0</v>
      </c>
      <c r="G5613" s="78">
        <f>MAX(H5613,I5613,J5613)</f>
        <v>1</v>
      </c>
      <c r="H5613" s="88"/>
      <c r="I5613" s="88"/>
      <c r="J5613" s="78">
        <f>MAX(K5613:Q5613)</f>
        <v>1</v>
      </c>
      <c r="K5613" s="88">
        <v>1</v>
      </c>
      <c r="L5613" s="88"/>
      <c r="M5613" s="88"/>
      <c r="N5613" s="88"/>
      <c r="O5613" s="88"/>
      <c r="P5613" s="88"/>
      <c r="Q5613" s="88"/>
      <c r="R5613" s="78">
        <f>MAX(S5613:W5613)</f>
        <v>0</v>
      </c>
      <c r="S5613" s="88"/>
      <c r="T5613" s="88"/>
      <c r="U5613" s="88"/>
      <c r="V5613" s="88"/>
      <c r="W5613" s="88"/>
    </row>
    <row r="5614" spans="2:23" s="0" customFormat="0" ht="15">
      <c r="B5614" s="87" t="s">
        <v>1</v>
      </c>
      <c r="C5614" s="88" t="s">
        <v>5259</v>
      </c>
      <c r="D5614" s="88">
        <v>19622097</v>
      </c>
      <c r="E5614" s="88" t="s">
        <v>61</v>
      </c>
      <c r="F5614" s="88">
        <v>0</v>
      </c>
      <c r="G5614" s="78">
        <f>MAX(H5614,I5614,J5614)</f>
        <v>1</v>
      </c>
      <c r="H5614" s="88"/>
      <c r="I5614" s="88"/>
      <c r="J5614" s="78">
        <f>MAX(K5614:Q5614)</f>
        <v>1</v>
      </c>
      <c r="K5614" s="88">
        <v>1</v>
      </c>
      <c r="L5614" s="88"/>
      <c r="M5614" s="88"/>
      <c r="N5614" s="88"/>
      <c r="O5614" s="88"/>
      <c r="P5614" s="88"/>
      <c r="Q5614" s="88"/>
      <c r="R5614" s="78">
        <f>MAX(S5614:W5614)</f>
        <v>0</v>
      </c>
      <c r="S5614" s="88"/>
      <c r="T5614" s="88"/>
      <c r="U5614" s="88"/>
      <c r="V5614" s="88"/>
      <c r="W5614" s="88"/>
    </row>
    <row r="5615" spans="2:23" s="0" customFormat="0" ht="15">
      <c r="B5615" s="87" t="s">
        <v>1</v>
      </c>
      <c r="C5615" s="88" t="s">
        <v>5259</v>
      </c>
      <c r="D5615" s="88">
        <v>23043029</v>
      </c>
      <c r="E5615" s="88" t="s">
        <v>61</v>
      </c>
      <c r="F5615" s="88">
        <v>0</v>
      </c>
      <c r="G5615" s="78">
        <f>MAX(H5615,I5615,J5615)</f>
        <v>1</v>
      </c>
      <c r="H5615" s="88"/>
      <c r="I5615" s="88"/>
      <c r="J5615" s="78">
        <f>MAX(K5615:Q5615)</f>
        <v>1</v>
      </c>
      <c r="K5615" s="88">
        <v>1</v>
      </c>
      <c r="L5615" s="88"/>
      <c r="M5615" s="88"/>
      <c r="N5615" s="88"/>
      <c r="O5615" s="88"/>
      <c r="P5615" s="88"/>
      <c r="Q5615" s="88"/>
      <c r="R5615" s="78">
        <f>MAX(S5615:W5615)</f>
        <v>0</v>
      </c>
      <c r="S5615" s="88"/>
      <c r="T5615" s="88"/>
      <c r="U5615" s="88"/>
      <c r="V5615" s="88"/>
      <c r="W5615" s="88"/>
    </row>
    <row r="5616" spans="2:23" s="0" customFormat="0" ht="15">
      <c r="B5616" s="87" t="s">
        <v>1</v>
      </c>
      <c r="C5616" s="88" t="s">
        <v>5259</v>
      </c>
      <c r="D5616" s="88">
        <v>17985727</v>
      </c>
      <c r="E5616" s="88" t="s">
        <v>61</v>
      </c>
      <c r="F5616" s="88">
        <v>0</v>
      </c>
      <c r="G5616" s="78">
        <f>MAX(H5616,I5616,J5616)</f>
        <v>1</v>
      </c>
      <c r="H5616" s="88"/>
      <c r="I5616" s="88"/>
      <c r="J5616" s="78">
        <f>MAX(K5616:Q5616)</f>
        <v>1</v>
      </c>
      <c r="K5616" s="88">
        <v>1</v>
      </c>
      <c r="L5616" s="88"/>
      <c r="M5616" s="88"/>
      <c r="N5616" s="88"/>
      <c r="O5616" s="88"/>
      <c r="P5616" s="88"/>
      <c r="Q5616" s="88"/>
      <c r="R5616" s="78">
        <f>MAX(S5616:W5616)</f>
        <v>0</v>
      </c>
      <c r="S5616" s="88"/>
      <c r="T5616" s="88"/>
      <c r="U5616" s="88"/>
      <c r="V5616" s="88"/>
      <c r="W5616" s="88"/>
    </row>
    <row r="5617" spans="2:23" s="0" customFormat="0" ht="15">
      <c r="B5617" s="87" t="s">
        <v>1</v>
      </c>
      <c r="C5617" s="88" t="s">
        <v>5259</v>
      </c>
      <c r="D5617" s="88" t="s">
        <v>5162</v>
      </c>
      <c r="E5617" s="88" t="s">
        <v>61</v>
      </c>
      <c r="F5617" s="88">
        <v>0</v>
      </c>
      <c r="G5617" s="78">
        <f>MAX(H5617,I5617,J5617)</f>
        <v>0</v>
      </c>
      <c r="H5617" s="88"/>
      <c r="I5617" s="88"/>
      <c r="J5617" s="78">
        <f>MAX(K5617:Q5617)</f>
        <v>0</v>
      </c>
      <c r="K5617" s="88"/>
      <c r="L5617" s="88"/>
      <c r="M5617" s="88"/>
      <c r="N5617" s="88"/>
      <c r="O5617" s="88"/>
      <c r="P5617" s="88"/>
      <c r="Q5617" s="88"/>
      <c r="R5617" s="78">
        <f>MAX(S5617:W5617)</f>
        <v>1</v>
      </c>
      <c r="S5617" s="88"/>
      <c r="T5617" s="88"/>
      <c r="U5617" s="88">
        <v>1</v>
      </c>
      <c r="V5617" s="88"/>
      <c r="W5617" s="88"/>
    </row>
    <row r="5618" spans="2:23" s="0" customFormat="0" ht="15">
      <c r="B5618" s="87" t="s">
        <v>1</v>
      </c>
      <c r="C5618" s="88" t="s">
        <v>5259</v>
      </c>
      <c r="D5618" s="88" t="s">
        <v>4669</v>
      </c>
      <c r="E5618" s="88" t="s">
        <v>61</v>
      </c>
      <c r="F5618" s="88">
        <v>0</v>
      </c>
      <c r="G5618" s="78">
        <f>MAX(H5618,I5618,J5618)</f>
        <v>0</v>
      </c>
      <c r="H5618" s="88"/>
      <c r="I5618" s="88"/>
      <c r="J5618" s="78">
        <f>MAX(K5618:Q5618)</f>
        <v>0</v>
      </c>
      <c r="K5618" s="88"/>
      <c r="L5618" s="88"/>
      <c r="M5618" s="88"/>
      <c r="N5618" s="88"/>
      <c r="O5618" s="88"/>
      <c r="P5618" s="88"/>
      <c r="Q5618" s="88"/>
      <c r="R5618" s="78">
        <f>MAX(S5618:W5618)</f>
        <v>1</v>
      </c>
      <c r="S5618" s="88"/>
      <c r="T5618" s="88"/>
      <c r="U5618" s="88">
        <v>1</v>
      </c>
      <c r="V5618" s="88"/>
      <c r="W5618" s="88"/>
    </row>
    <row r="5619" spans="2:23" s="0" customFormat="0" ht="15">
      <c r="B5619" s="87" t="s">
        <v>1</v>
      </c>
      <c r="C5619" s="88" t="s">
        <v>5259</v>
      </c>
      <c r="D5619" s="88" t="s">
        <v>3533</v>
      </c>
      <c r="E5619" s="88" t="s">
        <v>61</v>
      </c>
      <c r="F5619" s="88">
        <v>0</v>
      </c>
      <c r="G5619" s="78">
        <f>MAX(H5619,I5619,J5619)</f>
        <v>0</v>
      </c>
      <c r="H5619" s="88"/>
      <c r="I5619" s="88"/>
      <c r="J5619" s="78">
        <f>MAX(K5619:Q5619)</f>
        <v>0</v>
      </c>
      <c r="K5619" s="88"/>
      <c r="L5619" s="88"/>
      <c r="M5619" s="88"/>
      <c r="N5619" s="88"/>
      <c r="O5619" s="88"/>
      <c r="P5619" s="88"/>
      <c r="Q5619" s="88"/>
      <c r="R5619" s="78">
        <f>MAX(S5619:W5619)</f>
        <v>1</v>
      </c>
      <c r="S5619" s="88"/>
      <c r="T5619" s="88"/>
      <c r="U5619" s="88">
        <v>1</v>
      </c>
      <c r="V5619" s="88"/>
      <c r="W5619" s="88"/>
    </row>
    <row r="5620" spans="2:23" s="0" customFormat="0" ht="15">
      <c r="B5620" s="87" t="s">
        <v>1</v>
      </c>
      <c r="C5620" s="88" t="s">
        <v>5259</v>
      </c>
      <c r="D5620" s="88" t="s">
        <v>3392</v>
      </c>
      <c r="E5620" s="88" t="s">
        <v>61</v>
      </c>
      <c r="F5620" s="88">
        <v>0</v>
      </c>
      <c r="G5620" s="78">
        <f>MAX(H5620,I5620,J5620)</f>
        <v>0</v>
      </c>
      <c r="H5620" s="88"/>
      <c r="I5620" s="88"/>
      <c r="J5620" s="78">
        <f>MAX(K5620:Q5620)</f>
        <v>0</v>
      </c>
      <c r="K5620" s="88"/>
      <c r="L5620" s="88"/>
      <c r="M5620" s="88"/>
      <c r="N5620" s="88"/>
      <c r="O5620" s="88"/>
      <c r="P5620" s="88"/>
      <c r="Q5620" s="88"/>
      <c r="R5620" s="78">
        <f>MAX(S5620:W5620)</f>
        <v>1</v>
      </c>
      <c r="S5620" s="88"/>
      <c r="T5620" s="88"/>
      <c r="U5620" s="88">
        <v>1</v>
      </c>
      <c r="V5620" s="88"/>
      <c r="W5620" s="88"/>
    </row>
    <row r="5621" spans="2:23" s="0" customFormat="0" ht="15">
      <c r="B5621" s="87" t="s">
        <v>1</v>
      </c>
      <c r="C5621" s="88" t="s">
        <v>5259</v>
      </c>
      <c r="D5621" s="88">
        <v>11258732</v>
      </c>
      <c r="E5621" s="88" t="s">
        <v>61</v>
      </c>
      <c r="F5621" s="88">
        <v>0</v>
      </c>
      <c r="G5621" s="78">
        <f>MAX(H5621,I5621,J5621)</f>
        <v>1</v>
      </c>
      <c r="H5621" s="88"/>
      <c r="I5621" s="88"/>
      <c r="J5621" s="78">
        <f>MAX(K5621:Q5621)</f>
        <v>1</v>
      </c>
      <c r="K5621" s="88">
        <v>1</v>
      </c>
      <c r="L5621" s="88"/>
      <c r="M5621" s="88"/>
      <c r="N5621" s="88"/>
      <c r="O5621" s="88"/>
      <c r="P5621" s="88"/>
      <c r="Q5621" s="88"/>
      <c r="R5621" s="78">
        <f>MAX(S5621:W5621)</f>
        <v>0</v>
      </c>
      <c r="S5621" s="88"/>
      <c r="T5621" s="88"/>
      <c r="U5621" s="88"/>
      <c r="V5621" s="88"/>
      <c r="W5621" s="88"/>
    </row>
    <row r="5622" spans="2:23" s="0" customFormat="0" ht="15">
      <c r="B5622" s="87" t="s">
        <v>1</v>
      </c>
      <c r="C5622" s="88" t="s">
        <v>5259</v>
      </c>
      <c r="D5622" s="88">
        <v>4061418</v>
      </c>
      <c r="E5622" s="88" t="s">
        <v>61</v>
      </c>
      <c r="F5622" s="88">
        <v>0</v>
      </c>
      <c r="G5622" s="78">
        <f>MAX(H5622,I5622,J5622)</f>
        <v>1</v>
      </c>
      <c r="H5622" s="88"/>
      <c r="I5622" s="88"/>
      <c r="J5622" s="78">
        <f>MAX(K5622:Q5622)</f>
        <v>1</v>
      </c>
      <c r="K5622" s="88">
        <v>1</v>
      </c>
      <c r="L5622" s="88"/>
      <c r="M5622" s="88"/>
      <c r="N5622" s="88"/>
      <c r="O5622" s="88"/>
      <c r="P5622" s="88"/>
      <c r="Q5622" s="88"/>
      <c r="R5622" s="78">
        <f>MAX(S5622:W5622)</f>
        <v>0</v>
      </c>
      <c r="S5622" s="88"/>
      <c r="T5622" s="88"/>
      <c r="U5622" s="88"/>
      <c r="V5622" s="88"/>
      <c r="W5622" s="88"/>
    </row>
    <row r="5623" spans="2:23" s="0" customFormat="0" ht="15">
      <c r="B5623" s="87" t="s">
        <v>1</v>
      </c>
      <c r="C5623" s="88" t="s">
        <v>5259</v>
      </c>
      <c r="D5623" s="88" t="s">
        <v>4676</v>
      </c>
      <c r="E5623" s="88" t="s">
        <v>61</v>
      </c>
      <c r="F5623" s="88">
        <v>0</v>
      </c>
      <c r="G5623" s="78">
        <f>MAX(H5623,I5623,J5623)</f>
        <v>0</v>
      </c>
      <c r="H5623" s="88"/>
      <c r="I5623" s="88"/>
      <c r="J5623" s="78">
        <f>MAX(K5623:Q5623)</f>
        <v>0</v>
      </c>
      <c r="K5623" s="88"/>
      <c r="L5623" s="88"/>
      <c r="M5623" s="88"/>
      <c r="N5623" s="88"/>
      <c r="O5623" s="88"/>
      <c r="P5623" s="88"/>
      <c r="Q5623" s="88"/>
      <c r="R5623" s="78">
        <f>MAX(S5623:W5623)</f>
        <v>1</v>
      </c>
      <c r="S5623" s="88"/>
      <c r="T5623" s="88"/>
      <c r="U5623" s="88">
        <v>1</v>
      </c>
      <c r="V5623" s="88"/>
      <c r="W5623" s="88"/>
    </row>
    <row r="5624" spans="2:23" s="0" customFormat="0" ht="15">
      <c r="B5624" s="87" t="s">
        <v>1</v>
      </c>
      <c r="C5624" s="88" t="s">
        <v>5259</v>
      </c>
      <c r="D5624" s="88" t="s">
        <v>5164</v>
      </c>
      <c r="E5624" s="88" t="s">
        <v>61</v>
      </c>
      <c r="F5624" s="88">
        <v>0</v>
      </c>
      <c r="G5624" s="78">
        <f>MAX(H5624,I5624,J5624)</f>
        <v>0</v>
      </c>
      <c r="H5624" s="88"/>
      <c r="I5624" s="88"/>
      <c r="J5624" s="78">
        <f>MAX(K5624:Q5624)</f>
        <v>0</v>
      </c>
      <c r="K5624" s="88"/>
      <c r="L5624" s="88"/>
      <c r="M5624" s="88"/>
      <c r="N5624" s="88"/>
      <c r="O5624" s="88"/>
      <c r="P5624" s="88"/>
      <c r="Q5624" s="88"/>
      <c r="R5624" s="78">
        <f>MAX(S5624:W5624)</f>
        <v>1</v>
      </c>
      <c r="S5624" s="88"/>
      <c r="T5624" s="88"/>
      <c r="U5624" s="88">
        <v>1</v>
      </c>
      <c r="V5624" s="88"/>
      <c r="W5624" s="88"/>
    </row>
    <row r="5625" spans="2:23" s="0" customFormat="0" ht="15">
      <c r="B5625" s="87" t="s">
        <v>1</v>
      </c>
      <c r="C5625" s="88" t="s">
        <v>5259</v>
      </c>
      <c r="D5625" s="88">
        <v>8904920</v>
      </c>
      <c r="E5625" s="88" t="s">
        <v>61</v>
      </c>
      <c r="F5625" s="88">
        <v>0</v>
      </c>
      <c r="G5625" s="78">
        <f>MAX(H5625,I5625,J5625)</f>
        <v>1</v>
      </c>
      <c r="H5625" s="88"/>
      <c r="I5625" s="88"/>
      <c r="J5625" s="78">
        <f>MAX(K5625:Q5625)</f>
        <v>1</v>
      </c>
      <c r="K5625" s="88">
        <v>1</v>
      </c>
      <c r="L5625" s="88"/>
      <c r="M5625" s="88"/>
      <c r="N5625" s="88"/>
      <c r="O5625" s="88"/>
      <c r="P5625" s="88"/>
      <c r="Q5625" s="88"/>
      <c r="R5625" s="78">
        <f>MAX(S5625:W5625)</f>
        <v>0</v>
      </c>
      <c r="S5625" s="88"/>
      <c r="T5625" s="88"/>
      <c r="U5625" s="88"/>
      <c r="V5625" s="88"/>
      <c r="W5625" s="88"/>
    </row>
    <row r="5626" spans="2:23" s="0" customFormat="0" ht="15">
      <c r="B5626" s="87" t="s">
        <v>1</v>
      </c>
      <c r="C5626" s="88" t="s">
        <v>5259</v>
      </c>
      <c r="D5626" s="88">
        <v>15124171</v>
      </c>
      <c r="E5626" s="88" t="s">
        <v>61</v>
      </c>
      <c r="F5626" s="88">
        <v>0</v>
      </c>
      <c r="G5626" s="78">
        <f>MAX(H5626,I5626,J5626)</f>
        <v>1</v>
      </c>
      <c r="H5626" s="88"/>
      <c r="I5626" s="88"/>
      <c r="J5626" s="78">
        <f>MAX(K5626:Q5626)</f>
        <v>1</v>
      </c>
      <c r="K5626" s="88">
        <v>1</v>
      </c>
      <c r="L5626" s="88"/>
      <c r="M5626" s="88"/>
      <c r="N5626" s="88"/>
      <c r="O5626" s="88"/>
      <c r="P5626" s="88"/>
      <c r="Q5626" s="88"/>
      <c r="R5626" s="78">
        <f>MAX(S5626:W5626)</f>
        <v>0</v>
      </c>
      <c r="S5626" s="88"/>
      <c r="T5626" s="88"/>
      <c r="U5626" s="88"/>
      <c r="V5626" s="88"/>
      <c r="W5626" s="88"/>
    </row>
    <row r="5627" spans="2:23" s="0" customFormat="0" ht="15">
      <c r="B5627" s="87" t="s">
        <v>1</v>
      </c>
      <c r="C5627" s="88" t="s">
        <v>5259</v>
      </c>
      <c r="D5627" s="88">
        <v>15329729</v>
      </c>
      <c r="E5627" s="88" t="s">
        <v>61</v>
      </c>
      <c r="F5627" s="88">
        <v>0</v>
      </c>
      <c r="G5627" s="78">
        <f>MAX(H5627,I5627,J5627)</f>
        <v>1</v>
      </c>
      <c r="H5627" s="88"/>
      <c r="I5627" s="88"/>
      <c r="J5627" s="78">
        <f>MAX(K5627:Q5627)</f>
        <v>1</v>
      </c>
      <c r="K5627" s="88">
        <v>1</v>
      </c>
      <c r="L5627" s="88"/>
      <c r="M5627" s="88"/>
      <c r="N5627" s="88"/>
      <c r="O5627" s="88"/>
      <c r="P5627" s="88"/>
      <c r="Q5627" s="88"/>
      <c r="R5627" s="78">
        <f>MAX(S5627:W5627)</f>
        <v>0</v>
      </c>
      <c r="S5627" s="88"/>
      <c r="T5627" s="88"/>
      <c r="U5627" s="88"/>
      <c r="V5627" s="88"/>
      <c r="W5627" s="88"/>
    </row>
    <row r="5628" spans="2:23" s="0" customFormat="0" ht="15">
      <c r="B5628" s="87" t="s">
        <v>1</v>
      </c>
      <c r="C5628" s="88" t="s">
        <v>5259</v>
      </c>
      <c r="D5628" s="88">
        <v>24423126</v>
      </c>
      <c r="E5628" s="88" t="s">
        <v>61</v>
      </c>
      <c r="F5628" s="88">
        <v>0</v>
      </c>
      <c r="G5628" s="78">
        <f>MAX(H5628,I5628,J5628)</f>
        <v>1</v>
      </c>
      <c r="H5628" s="88"/>
      <c r="I5628" s="88"/>
      <c r="J5628" s="78">
        <f>MAX(K5628:Q5628)</f>
        <v>1</v>
      </c>
      <c r="K5628" s="88">
        <v>1</v>
      </c>
      <c r="L5628" s="88"/>
      <c r="M5628" s="88"/>
      <c r="N5628" s="88"/>
      <c r="O5628" s="88"/>
      <c r="P5628" s="88"/>
      <c r="Q5628" s="88"/>
      <c r="R5628" s="78">
        <f>MAX(S5628:W5628)</f>
        <v>0</v>
      </c>
      <c r="S5628" s="88"/>
      <c r="T5628" s="88"/>
      <c r="U5628" s="88"/>
      <c r="V5628" s="88"/>
      <c r="W5628" s="88"/>
    </row>
    <row r="5629" spans="2:23" s="0" customFormat="0" ht="15">
      <c r="B5629" s="87" t="s">
        <v>1</v>
      </c>
      <c r="C5629" s="88" t="s">
        <v>5259</v>
      </c>
      <c r="D5629" s="88" t="s">
        <v>4994</v>
      </c>
      <c r="E5629" s="88" t="s">
        <v>61</v>
      </c>
      <c r="F5629" s="88">
        <v>0</v>
      </c>
      <c r="G5629" s="78">
        <f>MAX(H5629,I5629,J5629)</f>
        <v>0</v>
      </c>
      <c r="H5629" s="88"/>
      <c r="I5629" s="88"/>
      <c r="J5629" s="78">
        <f>MAX(K5629:Q5629)</f>
        <v>0</v>
      </c>
      <c r="K5629" s="88"/>
      <c r="L5629" s="88"/>
      <c r="M5629" s="88"/>
      <c r="N5629" s="88"/>
      <c r="O5629" s="88"/>
      <c r="P5629" s="88"/>
      <c r="Q5629" s="88"/>
      <c r="R5629" s="78">
        <f>MAX(S5629:W5629)</f>
        <v>1</v>
      </c>
      <c r="S5629" s="88"/>
      <c r="T5629" s="88"/>
      <c r="U5629" s="88">
        <v>1</v>
      </c>
      <c r="V5629" s="88"/>
      <c r="W5629" s="88"/>
    </row>
    <row r="5630" spans="2:23" s="0" customFormat="0" ht="15">
      <c r="B5630" s="87" t="s">
        <v>1</v>
      </c>
      <c r="C5630" s="88" t="s">
        <v>5259</v>
      </c>
      <c r="D5630" s="88">
        <v>14122089</v>
      </c>
      <c r="E5630" s="88" t="s">
        <v>61</v>
      </c>
      <c r="F5630" s="88">
        <v>0</v>
      </c>
      <c r="G5630" s="78">
        <f>MAX(H5630,I5630,J5630)</f>
        <v>1</v>
      </c>
      <c r="H5630" s="88"/>
      <c r="I5630" s="88"/>
      <c r="J5630" s="78">
        <f>MAX(K5630:Q5630)</f>
        <v>1</v>
      </c>
      <c r="K5630" s="88">
        <v>1</v>
      </c>
      <c r="L5630" s="88"/>
      <c r="M5630" s="88"/>
      <c r="N5630" s="88"/>
      <c r="O5630" s="88"/>
      <c r="P5630" s="88"/>
      <c r="Q5630" s="88"/>
      <c r="R5630" s="78">
        <f>MAX(S5630:W5630)</f>
        <v>0</v>
      </c>
      <c r="S5630" s="88"/>
      <c r="T5630" s="88"/>
      <c r="U5630" s="88"/>
      <c r="V5630" s="88"/>
      <c r="W5630" s="88"/>
    </row>
    <row r="5631" spans="2:23" s="0" customFormat="0" ht="15">
      <c r="B5631" s="87" t="s">
        <v>1</v>
      </c>
      <c r="C5631" s="88" t="s">
        <v>5259</v>
      </c>
      <c r="D5631" s="88" t="s">
        <v>2881</v>
      </c>
      <c r="E5631" s="88" t="s">
        <v>61</v>
      </c>
      <c r="F5631" s="88">
        <v>0</v>
      </c>
      <c r="G5631" s="78">
        <f>MAX(H5631,I5631,J5631)</f>
        <v>1</v>
      </c>
      <c r="H5631" s="88"/>
      <c r="I5631" s="88"/>
      <c r="J5631" s="78">
        <f>MAX(K5631:Q5631)</f>
        <v>1</v>
      </c>
      <c r="K5631" s="88">
        <v>1</v>
      </c>
      <c r="L5631" s="88"/>
      <c r="M5631" s="88"/>
      <c r="N5631" s="88"/>
      <c r="O5631" s="88"/>
      <c r="P5631" s="88"/>
      <c r="Q5631" s="88"/>
      <c r="R5631" s="78">
        <f>MAX(S5631:W5631)</f>
        <v>0</v>
      </c>
      <c r="S5631" s="88"/>
      <c r="T5631" s="88"/>
      <c r="U5631" s="88"/>
      <c r="V5631" s="88"/>
      <c r="W5631" s="88"/>
    </row>
    <row r="5632" spans="2:23" s="0" customFormat="0" ht="15">
      <c r="B5632" s="87" t="s">
        <v>1</v>
      </c>
      <c r="C5632" s="88" t="s">
        <v>5259</v>
      </c>
      <c r="D5632" s="88">
        <v>17126672</v>
      </c>
      <c r="E5632" s="88" t="s">
        <v>61</v>
      </c>
      <c r="F5632" s="88">
        <v>0</v>
      </c>
      <c r="G5632" s="78">
        <f>MAX(H5632,I5632,J5632)</f>
        <v>1</v>
      </c>
      <c r="H5632" s="88"/>
      <c r="I5632" s="88"/>
      <c r="J5632" s="78">
        <f>MAX(K5632:Q5632)</f>
        <v>1</v>
      </c>
      <c r="K5632" s="88">
        <v>1</v>
      </c>
      <c r="L5632" s="88"/>
      <c r="M5632" s="88"/>
      <c r="N5632" s="88"/>
      <c r="O5632" s="88"/>
      <c r="P5632" s="88"/>
      <c r="Q5632" s="88"/>
      <c r="R5632" s="78">
        <f>MAX(S5632:W5632)</f>
        <v>0</v>
      </c>
      <c r="S5632" s="88"/>
      <c r="T5632" s="88"/>
      <c r="U5632" s="88"/>
      <c r="V5632" s="88"/>
      <c r="W5632" s="88"/>
    </row>
    <row r="5633" spans="2:23" s="0" customFormat="0" ht="15">
      <c r="B5633" s="87" t="s">
        <v>1</v>
      </c>
      <c r="C5633" s="88" t="s">
        <v>5259</v>
      </c>
      <c r="D5633" s="88">
        <v>18152805</v>
      </c>
      <c r="E5633" s="88" t="s">
        <v>61</v>
      </c>
      <c r="F5633" s="88">
        <v>0</v>
      </c>
      <c r="G5633" s="78">
        <f>MAX(H5633,I5633,J5633)</f>
        <v>1</v>
      </c>
      <c r="H5633" s="88"/>
      <c r="I5633" s="88"/>
      <c r="J5633" s="78">
        <f>MAX(K5633:Q5633)</f>
        <v>1</v>
      </c>
      <c r="K5633" s="88">
        <v>1</v>
      </c>
      <c r="L5633" s="88"/>
      <c r="M5633" s="88"/>
      <c r="N5633" s="88"/>
      <c r="O5633" s="88"/>
      <c r="P5633" s="88"/>
      <c r="Q5633" s="88"/>
      <c r="R5633" s="78">
        <f>MAX(S5633:W5633)</f>
        <v>0</v>
      </c>
      <c r="S5633" s="88"/>
      <c r="T5633" s="88"/>
      <c r="U5633" s="88"/>
      <c r="V5633" s="88"/>
      <c r="W5633" s="88"/>
    </row>
    <row r="5634" spans="2:23" s="0" customFormat="0" ht="15">
      <c r="B5634" s="87" t="s">
        <v>1</v>
      </c>
      <c r="C5634" s="88" t="s">
        <v>5259</v>
      </c>
      <c r="D5634" s="88">
        <v>15099701</v>
      </c>
      <c r="E5634" s="88" t="s">
        <v>61</v>
      </c>
      <c r="F5634" s="88">
        <v>0</v>
      </c>
      <c r="G5634" s="78">
        <f>MAX(H5634,I5634,J5634)</f>
        <v>0</v>
      </c>
      <c r="H5634" s="88"/>
      <c r="I5634" s="88"/>
      <c r="J5634" s="78">
        <f>MAX(K5634:Q5634)</f>
        <v>0</v>
      </c>
      <c r="K5634" s="88"/>
      <c r="L5634" s="88"/>
      <c r="M5634" s="88"/>
      <c r="N5634" s="88"/>
      <c r="O5634" s="88"/>
      <c r="P5634" s="88"/>
      <c r="Q5634" s="88"/>
      <c r="R5634" s="78">
        <f>MAX(S5634:W5634)</f>
        <v>1</v>
      </c>
      <c r="S5634" s="88"/>
      <c r="T5634" s="88"/>
      <c r="U5634" s="88">
        <v>1</v>
      </c>
      <c r="V5634" s="88"/>
      <c r="W5634" s="88"/>
    </row>
    <row r="5635" spans="2:23" s="0" customFormat="0" ht="15">
      <c r="B5635" s="87" t="s">
        <v>1</v>
      </c>
      <c r="C5635" s="88" t="s">
        <v>5259</v>
      </c>
      <c r="D5635" s="88">
        <v>22317447</v>
      </c>
      <c r="E5635" s="88" t="s">
        <v>61</v>
      </c>
      <c r="F5635" s="88">
        <v>0</v>
      </c>
      <c r="G5635" s="78">
        <f>MAX(H5635,I5635,J5635)</f>
        <v>1</v>
      </c>
      <c r="H5635" s="88"/>
      <c r="I5635" s="88"/>
      <c r="J5635" s="78">
        <f>MAX(K5635:Q5635)</f>
        <v>1</v>
      </c>
      <c r="K5635" s="88">
        <v>1</v>
      </c>
      <c r="L5635" s="88"/>
      <c r="M5635" s="88"/>
      <c r="N5635" s="88"/>
      <c r="O5635" s="88"/>
      <c r="P5635" s="88"/>
      <c r="Q5635" s="88"/>
      <c r="R5635" s="78">
        <f>MAX(S5635:W5635)</f>
        <v>0</v>
      </c>
      <c r="S5635" s="88"/>
      <c r="T5635" s="88"/>
      <c r="U5635" s="88"/>
      <c r="V5635" s="88"/>
      <c r="W5635" s="88"/>
    </row>
    <row r="5636" spans="2:23" s="0" customFormat="0" ht="15">
      <c r="B5636" s="87" t="s">
        <v>1</v>
      </c>
      <c r="C5636" s="88" t="s">
        <v>5259</v>
      </c>
      <c r="D5636" s="88" t="s">
        <v>4982</v>
      </c>
      <c r="E5636" s="88" t="s">
        <v>61</v>
      </c>
      <c r="F5636" s="88">
        <v>0</v>
      </c>
      <c r="G5636" s="78">
        <f>MAX(H5636,I5636,J5636)</f>
        <v>0</v>
      </c>
      <c r="H5636" s="88"/>
      <c r="I5636" s="88"/>
      <c r="J5636" s="78">
        <f>MAX(K5636:Q5636)</f>
        <v>0</v>
      </c>
      <c r="K5636" s="88"/>
      <c r="L5636" s="88"/>
      <c r="M5636" s="88"/>
      <c r="N5636" s="88"/>
      <c r="O5636" s="88"/>
      <c r="P5636" s="88"/>
      <c r="Q5636" s="88"/>
      <c r="R5636" s="78">
        <f>MAX(S5636:W5636)</f>
        <v>1</v>
      </c>
      <c r="S5636" s="88"/>
      <c r="T5636" s="88"/>
      <c r="U5636" s="88">
        <v>1</v>
      </c>
      <c r="V5636" s="88"/>
      <c r="W5636" s="88"/>
    </row>
    <row r="5637" spans="2:23" s="0" customFormat="0" ht="15">
      <c r="B5637" s="87" t="s">
        <v>1</v>
      </c>
      <c r="C5637" s="88" t="s">
        <v>5259</v>
      </c>
      <c r="D5637" s="88" t="s">
        <v>1207</v>
      </c>
      <c r="E5637" s="88" t="s">
        <v>61</v>
      </c>
      <c r="F5637" s="88">
        <v>0</v>
      </c>
      <c r="G5637" s="78">
        <f>MAX(H5637,I5637,J5637)</f>
        <v>1</v>
      </c>
      <c r="H5637" s="88"/>
      <c r="I5637" s="88"/>
      <c r="J5637" s="78">
        <f>MAX(K5637:Q5637)</f>
        <v>1</v>
      </c>
      <c r="K5637" s="88">
        <v>1</v>
      </c>
      <c r="L5637" s="88"/>
      <c r="M5637" s="88"/>
      <c r="N5637" s="88"/>
      <c r="O5637" s="88"/>
      <c r="P5637" s="88"/>
      <c r="Q5637" s="88"/>
      <c r="R5637" s="78">
        <f>MAX(S5637:W5637)</f>
        <v>0</v>
      </c>
      <c r="S5637" s="88"/>
      <c r="T5637" s="88"/>
      <c r="U5637" s="88"/>
      <c r="V5637" s="88"/>
      <c r="W5637" s="88"/>
    </row>
    <row r="5638" spans="2:23" s="0" customFormat="0" ht="15">
      <c r="B5638" s="87" t="s">
        <v>1</v>
      </c>
      <c r="C5638" s="88" t="s">
        <v>5259</v>
      </c>
      <c r="D5638" s="88">
        <v>2215067</v>
      </c>
      <c r="E5638" s="88" t="s">
        <v>61</v>
      </c>
      <c r="F5638" s="88">
        <v>0</v>
      </c>
      <c r="G5638" s="78">
        <f>MAX(H5638,I5638,J5638)</f>
        <v>0</v>
      </c>
      <c r="H5638" s="88"/>
      <c r="I5638" s="88"/>
      <c r="J5638" s="78">
        <f>MAX(K5638:Q5638)</f>
        <v>0</v>
      </c>
      <c r="K5638" s="88"/>
      <c r="L5638" s="88"/>
      <c r="M5638" s="88"/>
      <c r="N5638" s="88"/>
      <c r="O5638" s="88"/>
      <c r="P5638" s="88"/>
      <c r="Q5638" s="88"/>
      <c r="R5638" s="78">
        <f>MAX(S5638:W5638)</f>
        <v>1</v>
      </c>
      <c r="S5638" s="88"/>
      <c r="T5638" s="88"/>
      <c r="U5638" s="88">
        <v>1</v>
      </c>
      <c r="V5638" s="88"/>
      <c r="W5638" s="88"/>
    </row>
    <row r="5639" spans="2:23" s="0" customFormat="0" ht="15">
      <c r="B5639" s="87" t="s">
        <v>1</v>
      </c>
      <c r="C5639" s="88" t="s">
        <v>5259</v>
      </c>
      <c r="D5639" s="88">
        <v>14526947</v>
      </c>
      <c r="E5639" s="88" t="s">
        <v>61</v>
      </c>
      <c r="F5639" s="88">
        <v>0</v>
      </c>
      <c r="G5639" s="78">
        <f>MAX(H5639,I5639,J5639)</f>
        <v>1</v>
      </c>
      <c r="H5639" s="88"/>
      <c r="I5639" s="88"/>
      <c r="J5639" s="78">
        <f>MAX(K5639:Q5639)</f>
        <v>1</v>
      </c>
      <c r="K5639" s="88">
        <v>1</v>
      </c>
      <c r="L5639" s="88"/>
      <c r="M5639" s="88"/>
      <c r="N5639" s="88"/>
      <c r="O5639" s="88"/>
      <c r="P5639" s="88"/>
      <c r="Q5639" s="88"/>
      <c r="R5639" s="78">
        <f>MAX(S5639:W5639)</f>
        <v>0</v>
      </c>
      <c r="S5639" s="88"/>
      <c r="T5639" s="88"/>
      <c r="U5639" s="88"/>
      <c r="V5639" s="88"/>
      <c r="W5639" s="88"/>
    </row>
    <row r="5640" spans="2:23" s="0" customFormat="0" ht="15">
      <c r="B5640" s="87" t="s">
        <v>1</v>
      </c>
      <c r="C5640" s="88" t="s">
        <v>5259</v>
      </c>
      <c r="D5640" s="88" t="s">
        <v>5091</v>
      </c>
      <c r="E5640" s="88" t="s">
        <v>61</v>
      </c>
      <c r="F5640" s="88">
        <v>0</v>
      </c>
      <c r="G5640" s="78">
        <f>MAX(H5640,I5640,J5640)</f>
        <v>0</v>
      </c>
      <c r="H5640" s="88"/>
      <c r="I5640" s="88"/>
      <c r="J5640" s="78">
        <f>MAX(K5640:Q5640)</f>
        <v>0</v>
      </c>
      <c r="K5640" s="88"/>
      <c r="L5640" s="88"/>
      <c r="M5640" s="88"/>
      <c r="N5640" s="88"/>
      <c r="O5640" s="88"/>
      <c r="P5640" s="88"/>
      <c r="Q5640" s="88"/>
      <c r="R5640" s="78">
        <f>MAX(S5640:W5640)</f>
        <v>1</v>
      </c>
      <c r="S5640" s="88"/>
      <c r="T5640" s="88"/>
      <c r="U5640" s="88">
        <v>1</v>
      </c>
      <c r="V5640" s="88"/>
      <c r="W5640" s="88"/>
    </row>
    <row r="5641" spans="2:23" s="0" customFormat="0" ht="15">
      <c r="B5641" s="87" t="s">
        <v>1</v>
      </c>
      <c r="C5641" s="88" t="s">
        <v>5259</v>
      </c>
      <c r="D5641" s="88" t="s">
        <v>2029</v>
      </c>
      <c r="E5641" s="88" t="s">
        <v>61</v>
      </c>
      <c r="F5641" s="88">
        <v>0</v>
      </c>
      <c r="G5641" s="78">
        <f>MAX(H5641,I5641,J5641)</f>
        <v>1</v>
      </c>
      <c r="H5641" s="88"/>
      <c r="I5641" s="88"/>
      <c r="J5641" s="78">
        <f>MAX(K5641:Q5641)</f>
        <v>1</v>
      </c>
      <c r="K5641" s="88">
        <v>1</v>
      </c>
      <c r="L5641" s="88"/>
      <c r="M5641" s="88"/>
      <c r="N5641" s="88"/>
      <c r="O5641" s="88"/>
      <c r="P5641" s="88"/>
      <c r="Q5641" s="88"/>
      <c r="R5641" s="78">
        <f>MAX(S5641:W5641)</f>
        <v>0</v>
      </c>
      <c r="S5641" s="88"/>
      <c r="T5641" s="88"/>
      <c r="U5641" s="88"/>
      <c r="V5641" s="88"/>
      <c r="W5641" s="88"/>
    </row>
    <row r="5642" spans="2:23" s="0" customFormat="0" ht="15">
      <c r="B5642" s="87" t="s">
        <v>1</v>
      </c>
      <c r="C5642" s="88" t="s">
        <v>5259</v>
      </c>
      <c r="D5642" s="88">
        <v>16974058</v>
      </c>
      <c r="E5642" s="88" t="s">
        <v>61</v>
      </c>
      <c r="F5642" s="88">
        <v>0</v>
      </c>
      <c r="G5642" s="78">
        <f>MAX(H5642,I5642,J5642)</f>
        <v>0</v>
      </c>
      <c r="H5642" s="88"/>
      <c r="I5642" s="88"/>
      <c r="J5642" s="78">
        <f>MAX(K5642:Q5642)</f>
        <v>0</v>
      </c>
      <c r="K5642" s="88"/>
      <c r="L5642" s="88"/>
      <c r="M5642" s="88"/>
      <c r="N5642" s="88"/>
      <c r="O5642" s="88"/>
      <c r="P5642" s="88"/>
      <c r="Q5642" s="88"/>
      <c r="R5642" s="78">
        <f>MAX(S5642:W5642)</f>
        <v>1</v>
      </c>
      <c r="S5642" s="88"/>
      <c r="T5642" s="88"/>
      <c r="U5642" s="88">
        <v>1</v>
      </c>
      <c r="V5642" s="88"/>
      <c r="W5642" s="88"/>
    </row>
    <row r="5643" spans="2:23" s="0" customFormat="0" ht="15">
      <c r="B5643" s="87" t="s">
        <v>1</v>
      </c>
      <c r="C5643" s="88" t="s">
        <v>5259</v>
      </c>
      <c r="D5643" s="88">
        <v>13412742</v>
      </c>
      <c r="E5643" s="88" t="s">
        <v>61</v>
      </c>
      <c r="F5643" s="88">
        <v>0</v>
      </c>
      <c r="G5643" s="78">
        <f>MAX(H5643,I5643,J5643)</f>
        <v>1</v>
      </c>
      <c r="H5643" s="88"/>
      <c r="I5643" s="88"/>
      <c r="J5643" s="78">
        <f>MAX(K5643:Q5643)</f>
        <v>1</v>
      </c>
      <c r="K5643" s="88">
        <v>1</v>
      </c>
      <c r="L5643" s="88"/>
      <c r="M5643" s="88"/>
      <c r="N5643" s="88"/>
      <c r="O5643" s="88"/>
      <c r="P5643" s="88"/>
      <c r="Q5643" s="88"/>
      <c r="R5643" s="78">
        <f>MAX(S5643:W5643)</f>
        <v>0</v>
      </c>
      <c r="S5643" s="88"/>
      <c r="T5643" s="88"/>
      <c r="U5643" s="88"/>
      <c r="V5643" s="88"/>
      <c r="W5643" s="88"/>
    </row>
    <row r="5644" spans="2:23" s="0" customFormat="0" ht="15">
      <c r="B5644" s="87" t="s">
        <v>1</v>
      </c>
      <c r="C5644" s="88" t="s">
        <v>5259</v>
      </c>
      <c r="D5644" s="88">
        <v>21150138</v>
      </c>
      <c r="E5644" s="88" t="s">
        <v>61</v>
      </c>
      <c r="F5644" s="88">
        <v>0</v>
      </c>
      <c r="G5644" s="78">
        <f>MAX(H5644,I5644,J5644)</f>
        <v>1</v>
      </c>
      <c r="H5644" s="88"/>
      <c r="I5644" s="88"/>
      <c r="J5644" s="78">
        <f>MAX(K5644:Q5644)</f>
        <v>1</v>
      </c>
      <c r="K5644" s="88">
        <v>1</v>
      </c>
      <c r="L5644" s="88"/>
      <c r="M5644" s="88"/>
      <c r="N5644" s="88"/>
      <c r="O5644" s="88"/>
      <c r="P5644" s="88"/>
      <c r="Q5644" s="88"/>
      <c r="R5644" s="78">
        <f>MAX(S5644:W5644)</f>
        <v>0</v>
      </c>
      <c r="S5644" s="88"/>
      <c r="T5644" s="88"/>
      <c r="U5644" s="88"/>
      <c r="V5644" s="88"/>
      <c r="W5644" s="88"/>
    </row>
    <row r="5645" spans="2:23" s="0" customFormat="0" ht="15">
      <c r="B5645" s="87" t="s">
        <v>1</v>
      </c>
      <c r="C5645" s="88" t="s">
        <v>5259</v>
      </c>
      <c r="D5645" s="88" t="s">
        <v>2317</v>
      </c>
      <c r="E5645" s="88" t="s">
        <v>61</v>
      </c>
      <c r="F5645" s="88">
        <v>0</v>
      </c>
      <c r="G5645" s="78">
        <f>MAX(H5645,I5645,J5645)</f>
        <v>1</v>
      </c>
      <c r="H5645" s="88"/>
      <c r="I5645" s="88"/>
      <c r="J5645" s="78">
        <f>MAX(K5645:Q5645)</f>
        <v>1</v>
      </c>
      <c r="K5645" s="88">
        <v>1</v>
      </c>
      <c r="L5645" s="88"/>
      <c r="M5645" s="88"/>
      <c r="N5645" s="88"/>
      <c r="O5645" s="88"/>
      <c r="P5645" s="88"/>
      <c r="Q5645" s="88"/>
      <c r="R5645" s="78">
        <f>MAX(S5645:W5645)</f>
        <v>0</v>
      </c>
      <c r="S5645" s="88"/>
      <c r="T5645" s="88"/>
      <c r="U5645" s="88"/>
      <c r="V5645" s="88"/>
      <c r="W5645" s="88"/>
    </row>
    <row r="5646" spans="2:23" s="0" customFormat="0" ht="15">
      <c r="B5646" s="87" t="s">
        <v>1</v>
      </c>
      <c r="C5646" s="88" t="s">
        <v>5259</v>
      </c>
      <c r="D5646" s="88" t="s">
        <v>2885</v>
      </c>
      <c r="E5646" s="88" t="s">
        <v>61</v>
      </c>
      <c r="F5646" s="88">
        <v>0</v>
      </c>
      <c r="G5646" s="78">
        <f>MAX(H5646,I5646,J5646)</f>
        <v>1</v>
      </c>
      <c r="H5646" s="88"/>
      <c r="I5646" s="88"/>
      <c r="J5646" s="78">
        <f>MAX(K5646:Q5646)</f>
        <v>1</v>
      </c>
      <c r="K5646" s="88">
        <v>1</v>
      </c>
      <c r="L5646" s="88"/>
      <c r="M5646" s="88"/>
      <c r="N5646" s="88"/>
      <c r="O5646" s="88"/>
      <c r="P5646" s="88"/>
      <c r="Q5646" s="88"/>
      <c r="R5646" s="78">
        <f>MAX(S5646:W5646)</f>
        <v>0</v>
      </c>
      <c r="S5646" s="88"/>
      <c r="T5646" s="88"/>
      <c r="U5646" s="88"/>
      <c r="V5646" s="88"/>
      <c r="W5646" s="88"/>
    </row>
    <row r="5647" spans="2:23" s="0" customFormat="0" ht="15">
      <c r="B5647" s="87" t="s">
        <v>1</v>
      </c>
      <c r="C5647" s="88" t="s">
        <v>5259</v>
      </c>
      <c r="D5647" s="88">
        <v>25212139</v>
      </c>
      <c r="E5647" s="88" t="s">
        <v>61</v>
      </c>
      <c r="F5647" s="88">
        <v>0</v>
      </c>
      <c r="G5647" s="78">
        <f>MAX(H5647,I5647,J5647)</f>
        <v>1</v>
      </c>
      <c r="H5647" s="88"/>
      <c r="I5647" s="88"/>
      <c r="J5647" s="78">
        <f>MAX(K5647:Q5647)</f>
        <v>1</v>
      </c>
      <c r="K5647" s="88">
        <v>1</v>
      </c>
      <c r="L5647" s="88"/>
      <c r="M5647" s="88"/>
      <c r="N5647" s="88"/>
      <c r="O5647" s="88"/>
      <c r="P5647" s="88"/>
      <c r="Q5647" s="88"/>
      <c r="R5647" s="78">
        <f>MAX(S5647:W5647)</f>
        <v>0</v>
      </c>
      <c r="S5647" s="88"/>
      <c r="T5647" s="88"/>
      <c r="U5647" s="88"/>
      <c r="V5647" s="88"/>
      <c r="W5647" s="88"/>
    </row>
    <row r="5648" spans="2:23" s="0" customFormat="0" ht="15">
      <c r="B5648" s="87" t="s">
        <v>1</v>
      </c>
      <c r="C5648" s="88" t="s">
        <v>5259</v>
      </c>
      <c r="D5648" s="88" t="s">
        <v>2888</v>
      </c>
      <c r="E5648" s="88" t="s">
        <v>61</v>
      </c>
      <c r="F5648" s="88">
        <v>0</v>
      </c>
      <c r="G5648" s="78">
        <f>MAX(H5648,I5648,J5648)</f>
        <v>1</v>
      </c>
      <c r="H5648" s="88"/>
      <c r="I5648" s="88"/>
      <c r="J5648" s="78">
        <f>MAX(K5648:Q5648)</f>
        <v>1</v>
      </c>
      <c r="K5648" s="88">
        <v>1</v>
      </c>
      <c r="L5648" s="88"/>
      <c r="M5648" s="88"/>
      <c r="N5648" s="88"/>
      <c r="O5648" s="88"/>
      <c r="P5648" s="88"/>
      <c r="Q5648" s="88"/>
      <c r="R5648" s="78">
        <f>MAX(S5648:W5648)</f>
        <v>0</v>
      </c>
      <c r="S5648" s="88"/>
      <c r="T5648" s="88"/>
      <c r="U5648" s="88"/>
      <c r="V5648" s="88"/>
      <c r="W5648" s="88"/>
    </row>
    <row r="5649" spans="2:23" s="0" customFormat="0" ht="15">
      <c r="B5649" s="87" t="s">
        <v>1</v>
      </c>
      <c r="C5649" s="88" t="s">
        <v>5259</v>
      </c>
      <c r="D5649" s="88" t="s">
        <v>1496</v>
      </c>
      <c r="E5649" s="88" t="s">
        <v>61</v>
      </c>
      <c r="F5649" s="88">
        <v>0</v>
      </c>
      <c r="G5649" s="78">
        <f>MAX(H5649,I5649,J5649)</f>
        <v>1</v>
      </c>
      <c r="H5649" s="88"/>
      <c r="I5649" s="88"/>
      <c r="J5649" s="78">
        <f>MAX(K5649:Q5649)</f>
        <v>1</v>
      </c>
      <c r="K5649" s="88">
        <v>1</v>
      </c>
      <c r="L5649" s="88"/>
      <c r="M5649" s="88"/>
      <c r="N5649" s="88"/>
      <c r="O5649" s="88"/>
      <c r="P5649" s="88"/>
      <c r="Q5649" s="88"/>
      <c r="R5649" s="78">
        <f>MAX(S5649:W5649)</f>
        <v>0</v>
      </c>
      <c r="S5649" s="88"/>
      <c r="T5649" s="88"/>
      <c r="U5649" s="88"/>
      <c r="V5649" s="88"/>
      <c r="W5649" s="88"/>
    </row>
    <row r="5650" spans="2:23" s="0" customFormat="0" ht="15">
      <c r="B5650" s="87" t="s">
        <v>1</v>
      </c>
      <c r="C5650" s="88" t="s">
        <v>5259</v>
      </c>
      <c r="D5650" s="88">
        <v>22817934</v>
      </c>
      <c r="E5650" s="88" t="s">
        <v>61</v>
      </c>
      <c r="F5650" s="88">
        <v>0</v>
      </c>
      <c r="G5650" s="78">
        <f>MAX(H5650,I5650,J5650)</f>
        <v>1</v>
      </c>
      <c r="H5650" s="88"/>
      <c r="I5650" s="88"/>
      <c r="J5650" s="78">
        <f>MAX(K5650:Q5650)</f>
        <v>1</v>
      </c>
      <c r="K5650" s="88">
        <v>1</v>
      </c>
      <c r="L5650" s="88"/>
      <c r="M5650" s="88"/>
      <c r="N5650" s="88"/>
      <c r="O5650" s="88"/>
      <c r="P5650" s="88"/>
      <c r="Q5650" s="88"/>
      <c r="R5650" s="78">
        <f>MAX(S5650:W5650)</f>
        <v>0</v>
      </c>
      <c r="S5650" s="88"/>
      <c r="T5650" s="88"/>
      <c r="U5650" s="88"/>
      <c r="V5650" s="88"/>
      <c r="W5650" s="88"/>
    </row>
    <row r="5651" spans="2:23" s="0" customFormat="0" ht="15">
      <c r="B5651" s="87" t="s">
        <v>1</v>
      </c>
      <c r="C5651" s="88" t="s">
        <v>5259</v>
      </c>
      <c r="D5651" s="88" t="s">
        <v>4826</v>
      </c>
      <c r="E5651" s="88" t="s">
        <v>61</v>
      </c>
      <c r="F5651" s="88">
        <v>0</v>
      </c>
      <c r="G5651" s="78">
        <f>MAX(H5651,I5651,J5651)</f>
        <v>0</v>
      </c>
      <c r="H5651" s="88"/>
      <c r="I5651" s="88"/>
      <c r="J5651" s="78">
        <f>MAX(K5651:Q5651)</f>
        <v>0</v>
      </c>
      <c r="K5651" s="88"/>
      <c r="L5651" s="88"/>
      <c r="M5651" s="88"/>
      <c r="N5651" s="88"/>
      <c r="O5651" s="88"/>
      <c r="P5651" s="88"/>
      <c r="Q5651" s="88"/>
      <c r="R5651" s="78">
        <f>MAX(S5651:W5651)</f>
        <v>1</v>
      </c>
      <c r="S5651" s="88"/>
      <c r="T5651" s="88"/>
      <c r="U5651" s="88">
        <v>1</v>
      </c>
      <c r="V5651" s="88"/>
      <c r="W5651" s="88"/>
    </row>
    <row r="5652" spans="2:23" s="0" customFormat="0" ht="15">
      <c r="B5652" s="87" t="s">
        <v>1</v>
      </c>
      <c r="C5652" s="88" t="s">
        <v>5259</v>
      </c>
      <c r="D5652" s="88">
        <v>7065945</v>
      </c>
      <c r="E5652" s="88" t="s">
        <v>61</v>
      </c>
      <c r="F5652" s="88">
        <v>0</v>
      </c>
      <c r="G5652" s="78">
        <f>MAX(H5652,I5652,J5652)</f>
        <v>0</v>
      </c>
      <c r="H5652" s="88"/>
      <c r="I5652" s="88"/>
      <c r="J5652" s="78">
        <f>MAX(K5652:Q5652)</f>
        <v>0</v>
      </c>
      <c r="K5652" s="88"/>
      <c r="L5652" s="88"/>
      <c r="M5652" s="88"/>
      <c r="N5652" s="88"/>
      <c r="O5652" s="88"/>
      <c r="P5652" s="88"/>
      <c r="Q5652" s="88"/>
      <c r="R5652" s="78">
        <f>MAX(S5652:W5652)</f>
        <v>1</v>
      </c>
      <c r="S5652" s="88"/>
      <c r="T5652" s="88"/>
      <c r="U5652" s="88">
        <v>1</v>
      </c>
      <c r="V5652" s="88"/>
      <c r="W5652" s="88"/>
    </row>
    <row r="5653" spans="2:23" s="0" customFormat="0" ht="15">
      <c r="B5653" s="87" t="s">
        <v>1</v>
      </c>
      <c r="C5653" s="88" t="s">
        <v>5259</v>
      </c>
      <c r="D5653" s="88" t="s">
        <v>2508</v>
      </c>
      <c r="E5653" s="88" t="s">
        <v>61</v>
      </c>
      <c r="F5653" s="88">
        <v>0</v>
      </c>
      <c r="G5653" s="78">
        <f>MAX(H5653,I5653,J5653)</f>
        <v>1</v>
      </c>
      <c r="H5653" s="88"/>
      <c r="I5653" s="88"/>
      <c r="J5653" s="78">
        <f>MAX(K5653:Q5653)</f>
        <v>1</v>
      </c>
      <c r="K5653" s="88">
        <v>1</v>
      </c>
      <c r="L5653" s="88"/>
      <c r="M5653" s="88"/>
      <c r="N5653" s="88"/>
      <c r="O5653" s="88"/>
      <c r="P5653" s="88"/>
      <c r="Q5653" s="88"/>
      <c r="R5653" s="78">
        <f>MAX(S5653:W5653)</f>
        <v>0</v>
      </c>
      <c r="S5653" s="88"/>
      <c r="T5653" s="88"/>
      <c r="U5653" s="88"/>
      <c r="V5653" s="88"/>
      <c r="W5653" s="88"/>
    </row>
    <row r="5654" spans="2:23" s="0" customFormat="0" ht="15">
      <c r="B5654" s="87" t="s">
        <v>1</v>
      </c>
      <c r="C5654" s="88" t="s">
        <v>5259</v>
      </c>
      <c r="D5654" s="88" t="s">
        <v>5166</v>
      </c>
      <c r="E5654" s="88" t="s">
        <v>61</v>
      </c>
      <c r="F5654" s="88">
        <v>0</v>
      </c>
      <c r="G5654" s="78">
        <f>MAX(H5654,I5654,J5654)</f>
        <v>0</v>
      </c>
      <c r="H5654" s="88"/>
      <c r="I5654" s="88"/>
      <c r="J5654" s="78">
        <f>MAX(K5654:Q5654)</f>
        <v>0</v>
      </c>
      <c r="K5654" s="88"/>
      <c r="L5654" s="88"/>
      <c r="M5654" s="88"/>
      <c r="N5654" s="88"/>
      <c r="O5654" s="88"/>
      <c r="P5654" s="88"/>
      <c r="Q5654" s="88"/>
      <c r="R5654" s="78">
        <f>MAX(S5654:W5654)</f>
        <v>1</v>
      </c>
      <c r="S5654" s="88"/>
      <c r="T5654" s="88"/>
      <c r="U5654" s="88">
        <v>1</v>
      </c>
      <c r="V5654" s="88"/>
      <c r="W5654" s="88"/>
    </row>
    <row r="5655" spans="2:23" s="0" customFormat="0" ht="15">
      <c r="B5655" s="87" t="s">
        <v>1</v>
      </c>
      <c r="C5655" s="88" t="s">
        <v>5259</v>
      </c>
      <c r="D5655" s="88">
        <v>24426297</v>
      </c>
      <c r="E5655" s="88" t="s">
        <v>61</v>
      </c>
      <c r="F5655" s="88">
        <v>0</v>
      </c>
      <c r="G5655" s="78">
        <f>MAX(H5655,I5655,J5655)</f>
        <v>1</v>
      </c>
      <c r="H5655" s="88"/>
      <c r="I5655" s="88"/>
      <c r="J5655" s="78">
        <f>MAX(K5655:Q5655)</f>
        <v>1</v>
      </c>
      <c r="K5655" s="88">
        <v>1</v>
      </c>
      <c r="L5655" s="88"/>
      <c r="M5655" s="88"/>
      <c r="N5655" s="88"/>
      <c r="O5655" s="88"/>
      <c r="P5655" s="88"/>
      <c r="Q5655" s="88"/>
      <c r="R5655" s="78">
        <f>MAX(S5655:W5655)</f>
        <v>0</v>
      </c>
      <c r="S5655" s="88"/>
      <c r="T5655" s="88"/>
      <c r="U5655" s="88"/>
      <c r="V5655" s="88"/>
      <c r="W5655" s="88"/>
    </row>
    <row r="5656" spans="2:23" s="0" customFormat="0" ht="15">
      <c r="B5656" s="87" t="s">
        <v>1</v>
      </c>
      <c r="C5656" s="88" t="s">
        <v>5259</v>
      </c>
      <c r="D5656" s="88" t="s">
        <v>4277</v>
      </c>
      <c r="E5656" s="88" t="s">
        <v>61</v>
      </c>
      <c r="F5656" s="88">
        <v>0</v>
      </c>
      <c r="G5656" s="78">
        <f>MAX(H5656,I5656,J5656)</f>
        <v>0</v>
      </c>
      <c r="H5656" s="88"/>
      <c r="I5656" s="88"/>
      <c r="J5656" s="78">
        <f>MAX(K5656:Q5656)</f>
        <v>0</v>
      </c>
      <c r="K5656" s="88"/>
      <c r="L5656" s="88"/>
      <c r="M5656" s="88"/>
      <c r="N5656" s="88"/>
      <c r="O5656" s="88"/>
      <c r="P5656" s="88"/>
      <c r="Q5656" s="88"/>
      <c r="R5656" s="78">
        <f>MAX(S5656:W5656)</f>
        <v>1</v>
      </c>
      <c r="S5656" s="88"/>
      <c r="T5656" s="88"/>
      <c r="U5656" s="88">
        <v>1</v>
      </c>
      <c r="V5656" s="88"/>
      <c r="W5656" s="88"/>
    </row>
    <row r="5657" spans="2:23" s="0" customFormat="0" ht="15">
      <c r="B5657" s="87" t="s">
        <v>1</v>
      </c>
      <c r="C5657" s="88" t="s">
        <v>5259</v>
      </c>
      <c r="D5657" s="88" t="s">
        <v>4178</v>
      </c>
      <c r="E5657" s="88" t="s">
        <v>61</v>
      </c>
      <c r="F5657" s="88">
        <v>0</v>
      </c>
      <c r="G5657" s="78">
        <f>MAX(H5657,I5657,J5657)</f>
        <v>0</v>
      </c>
      <c r="H5657" s="88"/>
      <c r="I5657" s="88"/>
      <c r="J5657" s="78">
        <f>MAX(K5657:Q5657)</f>
        <v>0</v>
      </c>
      <c r="K5657" s="88"/>
      <c r="L5657" s="88"/>
      <c r="M5657" s="88"/>
      <c r="N5657" s="88"/>
      <c r="O5657" s="88"/>
      <c r="P5657" s="88"/>
      <c r="Q5657" s="88"/>
      <c r="R5657" s="78">
        <f>MAX(S5657:W5657)</f>
        <v>1</v>
      </c>
      <c r="S5657" s="88"/>
      <c r="T5657" s="88"/>
      <c r="U5657" s="88">
        <v>1</v>
      </c>
      <c r="V5657" s="88"/>
      <c r="W5657" s="88"/>
    </row>
    <row r="5658" spans="2:23" s="0" customFormat="0" ht="15">
      <c r="B5658" s="87" t="s">
        <v>1</v>
      </c>
      <c r="C5658" s="88" t="s">
        <v>5259</v>
      </c>
      <c r="D5658" s="88" t="s">
        <v>1249</v>
      </c>
      <c r="E5658" s="88" t="s">
        <v>61</v>
      </c>
      <c r="F5658" s="88">
        <v>0</v>
      </c>
      <c r="G5658" s="78">
        <f>MAX(H5658,I5658,J5658)</f>
        <v>1</v>
      </c>
      <c r="H5658" s="88"/>
      <c r="I5658" s="88"/>
      <c r="J5658" s="78">
        <f>MAX(K5658:Q5658)</f>
        <v>1</v>
      </c>
      <c r="K5658" s="88">
        <v>1</v>
      </c>
      <c r="L5658" s="88"/>
      <c r="M5658" s="88"/>
      <c r="N5658" s="88"/>
      <c r="O5658" s="88"/>
      <c r="P5658" s="88"/>
      <c r="Q5658" s="88"/>
      <c r="R5658" s="78">
        <f>MAX(S5658:W5658)</f>
        <v>0</v>
      </c>
      <c r="S5658" s="88"/>
      <c r="T5658" s="88"/>
      <c r="U5658" s="88"/>
      <c r="V5658" s="88"/>
      <c r="W5658" s="88"/>
    </row>
    <row r="5659" spans="2:23" s="0" customFormat="0" ht="15">
      <c r="B5659" s="87" t="s">
        <v>1</v>
      </c>
      <c r="C5659" s="88" t="s">
        <v>5259</v>
      </c>
      <c r="D5659" s="88">
        <v>23724588</v>
      </c>
      <c r="E5659" s="88" t="s">
        <v>61</v>
      </c>
      <c r="F5659" s="88">
        <v>0</v>
      </c>
      <c r="G5659" s="78">
        <f>MAX(H5659,I5659,J5659)</f>
        <v>1</v>
      </c>
      <c r="H5659" s="88"/>
      <c r="I5659" s="88"/>
      <c r="J5659" s="78">
        <f>MAX(K5659:Q5659)</f>
        <v>1</v>
      </c>
      <c r="K5659" s="88">
        <v>1</v>
      </c>
      <c r="L5659" s="88"/>
      <c r="M5659" s="88"/>
      <c r="N5659" s="88"/>
      <c r="O5659" s="88"/>
      <c r="P5659" s="88"/>
      <c r="Q5659" s="88"/>
      <c r="R5659" s="78">
        <f>MAX(S5659:W5659)</f>
        <v>0</v>
      </c>
      <c r="S5659" s="88"/>
      <c r="T5659" s="88"/>
      <c r="U5659" s="88"/>
      <c r="V5659" s="88"/>
      <c r="W5659" s="88"/>
    </row>
    <row r="5660" spans="2:23" s="0" customFormat="0" ht="15">
      <c r="B5660" s="87" t="s">
        <v>1</v>
      </c>
      <c r="C5660" s="88" t="s">
        <v>5259</v>
      </c>
      <c r="D5660" s="88">
        <v>476261</v>
      </c>
      <c r="E5660" s="88" t="s">
        <v>61</v>
      </c>
      <c r="F5660" s="88">
        <v>0</v>
      </c>
      <c r="G5660" s="78">
        <f>MAX(H5660,I5660,J5660)</f>
        <v>1</v>
      </c>
      <c r="H5660" s="88"/>
      <c r="I5660" s="88"/>
      <c r="J5660" s="78">
        <f>MAX(K5660:Q5660)</f>
        <v>1</v>
      </c>
      <c r="K5660" s="88">
        <v>1</v>
      </c>
      <c r="L5660" s="88"/>
      <c r="M5660" s="88"/>
      <c r="N5660" s="88"/>
      <c r="O5660" s="88"/>
      <c r="P5660" s="88"/>
      <c r="Q5660" s="88"/>
      <c r="R5660" s="78">
        <f>MAX(S5660:W5660)</f>
        <v>0</v>
      </c>
      <c r="S5660" s="88"/>
      <c r="T5660" s="88"/>
      <c r="U5660" s="88"/>
      <c r="V5660" s="88"/>
      <c r="W5660" s="88"/>
    </row>
    <row r="5661" spans="2:23" s="0" customFormat="0" ht="15">
      <c r="B5661" s="87" t="s">
        <v>1</v>
      </c>
      <c r="C5661" s="88" t="s">
        <v>5259</v>
      </c>
      <c r="D5661" s="88">
        <v>14383862</v>
      </c>
      <c r="E5661" s="88" t="s">
        <v>61</v>
      </c>
      <c r="F5661" s="88">
        <v>0</v>
      </c>
      <c r="G5661" s="78">
        <f>MAX(H5661,I5661,J5661)</f>
        <v>1</v>
      </c>
      <c r="H5661" s="88"/>
      <c r="I5661" s="88"/>
      <c r="J5661" s="78">
        <f>MAX(K5661:Q5661)</f>
        <v>1</v>
      </c>
      <c r="K5661" s="88">
        <v>1</v>
      </c>
      <c r="L5661" s="88"/>
      <c r="M5661" s="88"/>
      <c r="N5661" s="88"/>
      <c r="O5661" s="88"/>
      <c r="P5661" s="88"/>
      <c r="Q5661" s="88"/>
      <c r="R5661" s="78">
        <f>MAX(S5661:W5661)</f>
        <v>0</v>
      </c>
      <c r="S5661" s="88"/>
      <c r="T5661" s="88"/>
      <c r="U5661" s="88"/>
      <c r="V5661" s="88"/>
      <c r="W5661" s="88"/>
    </row>
    <row r="5662" spans="2:23" s="0" customFormat="0" ht="15">
      <c r="B5662" s="87" t="s">
        <v>1</v>
      </c>
      <c r="C5662" s="88" t="s">
        <v>5259</v>
      </c>
      <c r="D5662" s="88">
        <v>17089606</v>
      </c>
      <c r="E5662" s="88" t="s">
        <v>61</v>
      </c>
      <c r="F5662" s="88">
        <v>0</v>
      </c>
      <c r="G5662" s="78">
        <f>MAX(H5662,I5662,J5662)</f>
        <v>1</v>
      </c>
      <c r="H5662" s="88"/>
      <c r="I5662" s="88"/>
      <c r="J5662" s="78">
        <f>MAX(K5662:Q5662)</f>
        <v>1</v>
      </c>
      <c r="K5662" s="88">
        <v>1</v>
      </c>
      <c r="L5662" s="88"/>
      <c r="M5662" s="88"/>
      <c r="N5662" s="88"/>
      <c r="O5662" s="88"/>
      <c r="P5662" s="88"/>
      <c r="Q5662" s="88"/>
      <c r="R5662" s="78">
        <f>MAX(S5662:W5662)</f>
        <v>0</v>
      </c>
      <c r="S5662" s="88"/>
      <c r="T5662" s="88"/>
      <c r="U5662" s="88"/>
      <c r="V5662" s="88"/>
      <c r="W5662" s="88"/>
    </row>
    <row r="5663" spans="2:23" s="0" customFormat="0" ht="15">
      <c r="B5663" s="87" t="s">
        <v>1</v>
      </c>
      <c r="C5663" s="88" t="s">
        <v>5259</v>
      </c>
      <c r="D5663" s="88" t="s">
        <v>1179</v>
      </c>
      <c r="E5663" s="88" t="s">
        <v>61</v>
      </c>
      <c r="F5663" s="88">
        <v>0</v>
      </c>
      <c r="G5663" s="78">
        <f>MAX(H5663,I5663,J5663)</f>
        <v>1</v>
      </c>
      <c r="H5663" s="88"/>
      <c r="I5663" s="88"/>
      <c r="J5663" s="78">
        <f>MAX(K5663:Q5663)</f>
        <v>1</v>
      </c>
      <c r="K5663" s="88">
        <v>1</v>
      </c>
      <c r="L5663" s="88"/>
      <c r="M5663" s="88"/>
      <c r="N5663" s="88"/>
      <c r="O5663" s="88"/>
      <c r="P5663" s="88"/>
      <c r="Q5663" s="88"/>
      <c r="R5663" s="78">
        <f>MAX(S5663:W5663)</f>
        <v>0</v>
      </c>
      <c r="S5663" s="88"/>
      <c r="T5663" s="88"/>
      <c r="U5663" s="88"/>
      <c r="V5663" s="88"/>
      <c r="W5663" s="88"/>
    </row>
    <row r="5664" spans="2:23" s="0" customFormat="0" ht="15">
      <c r="B5664" s="87" t="s">
        <v>1</v>
      </c>
      <c r="C5664" s="88" t="s">
        <v>5259</v>
      </c>
      <c r="D5664" s="88">
        <v>14256170</v>
      </c>
      <c r="E5664" s="88" t="s">
        <v>61</v>
      </c>
      <c r="F5664" s="88">
        <v>0</v>
      </c>
      <c r="G5664" s="78">
        <f>MAX(H5664,I5664,J5664)</f>
        <v>1</v>
      </c>
      <c r="H5664" s="88"/>
      <c r="I5664" s="88"/>
      <c r="J5664" s="78">
        <f>MAX(K5664:Q5664)</f>
        <v>1</v>
      </c>
      <c r="K5664" s="88">
        <v>1</v>
      </c>
      <c r="L5664" s="88"/>
      <c r="M5664" s="88"/>
      <c r="N5664" s="88"/>
      <c r="O5664" s="88"/>
      <c r="P5664" s="88"/>
      <c r="Q5664" s="88"/>
      <c r="R5664" s="78">
        <f>MAX(S5664:W5664)</f>
        <v>0</v>
      </c>
      <c r="S5664" s="88"/>
      <c r="T5664" s="88"/>
      <c r="U5664" s="88"/>
      <c r="V5664" s="88"/>
      <c r="W5664" s="88"/>
    </row>
    <row r="5665" spans="2:23" s="0" customFormat="0" ht="15">
      <c r="B5665" s="87" t="s">
        <v>1</v>
      </c>
      <c r="C5665" s="88" t="s">
        <v>5259</v>
      </c>
      <c r="D5665" s="88" t="s">
        <v>1482</v>
      </c>
      <c r="E5665" s="88" t="s">
        <v>61</v>
      </c>
      <c r="F5665" s="88">
        <v>0</v>
      </c>
      <c r="G5665" s="78">
        <f>MAX(H5665,I5665,J5665)</f>
        <v>1</v>
      </c>
      <c r="H5665" s="88"/>
      <c r="I5665" s="88"/>
      <c r="J5665" s="78">
        <f>MAX(K5665:Q5665)</f>
        <v>1</v>
      </c>
      <c r="K5665" s="88">
        <v>1</v>
      </c>
      <c r="L5665" s="88"/>
      <c r="M5665" s="88"/>
      <c r="N5665" s="88"/>
      <c r="O5665" s="88"/>
      <c r="P5665" s="88"/>
      <c r="Q5665" s="88"/>
      <c r="R5665" s="78">
        <f>MAX(S5665:W5665)</f>
        <v>0</v>
      </c>
      <c r="S5665" s="88"/>
      <c r="T5665" s="88"/>
      <c r="U5665" s="88"/>
      <c r="V5665" s="88"/>
      <c r="W5665" s="88"/>
    </row>
    <row r="5666" spans="2:23" s="0" customFormat="0" ht="15">
      <c r="B5666" s="87" t="s">
        <v>1</v>
      </c>
      <c r="C5666" s="88" t="s">
        <v>5259</v>
      </c>
      <c r="D5666" s="88">
        <v>7333092</v>
      </c>
      <c r="E5666" s="88" t="s">
        <v>61</v>
      </c>
      <c r="F5666" s="88">
        <v>0</v>
      </c>
      <c r="G5666" s="78">
        <f>MAX(H5666,I5666,J5666)</f>
        <v>1</v>
      </c>
      <c r="H5666" s="88"/>
      <c r="I5666" s="88"/>
      <c r="J5666" s="78">
        <f>MAX(K5666:Q5666)</f>
        <v>1</v>
      </c>
      <c r="K5666" s="88">
        <v>1</v>
      </c>
      <c r="L5666" s="88"/>
      <c r="M5666" s="88"/>
      <c r="N5666" s="88"/>
      <c r="O5666" s="88"/>
      <c r="P5666" s="88"/>
      <c r="Q5666" s="88"/>
      <c r="R5666" s="78">
        <f>MAX(S5666:W5666)</f>
        <v>0</v>
      </c>
      <c r="S5666" s="88"/>
      <c r="T5666" s="88"/>
      <c r="U5666" s="88"/>
      <c r="V5666" s="88"/>
      <c r="W5666" s="88"/>
    </row>
    <row r="5667" spans="2:23" s="0" customFormat="0" ht="15">
      <c r="B5667" s="87" t="s">
        <v>1</v>
      </c>
      <c r="C5667" s="88" t="s">
        <v>5259</v>
      </c>
      <c r="D5667" s="88" t="s">
        <v>253</v>
      </c>
      <c r="E5667" s="88" t="s">
        <v>61</v>
      </c>
      <c r="F5667" s="88">
        <v>0</v>
      </c>
      <c r="G5667" s="78">
        <f>MAX(H5667,I5667,J5667)</f>
        <v>1</v>
      </c>
      <c r="H5667" s="88"/>
      <c r="I5667" s="88"/>
      <c r="J5667" s="78">
        <f>MAX(K5667:Q5667)</f>
        <v>1</v>
      </c>
      <c r="K5667" s="88">
        <v>1</v>
      </c>
      <c r="L5667" s="88"/>
      <c r="M5667" s="88"/>
      <c r="N5667" s="88"/>
      <c r="O5667" s="88"/>
      <c r="P5667" s="88"/>
      <c r="Q5667" s="88"/>
      <c r="R5667" s="78">
        <f>MAX(S5667:W5667)</f>
        <v>0</v>
      </c>
      <c r="S5667" s="88"/>
      <c r="T5667" s="88"/>
      <c r="U5667" s="88"/>
      <c r="V5667" s="88"/>
      <c r="W5667" s="88"/>
    </row>
    <row r="5668" spans="2:23" s="0" customFormat="0" ht="15">
      <c r="B5668" s="87" t="s">
        <v>1</v>
      </c>
      <c r="C5668" s="88" t="s">
        <v>5259</v>
      </c>
      <c r="D5668" s="88">
        <v>630159</v>
      </c>
      <c r="E5668" s="88" t="s">
        <v>61</v>
      </c>
      <c r="F5668" s="88">
        <v>0</v>
      </c>
      <c r="G5668" s="78">
        <f>MAX(H5668,I5668,J5668)</f>
        <v>1</v>
      </c>
      <c r="H5668" s="88"/>
      <c r="I5668" s="88"/>
      <c r="J5668" s="78">
        <f>MAX(K5668:Q5668)</f>
        <v>1</v>
      </c>
      <c r="K5668" s="88">
        <v>1</v>
      </c>
      <c r="L5668" s="88"/>
      <c r="M5668" s="88"/>
      <c r="N5668" s="88"/>
      <c r="O5668" s="88"/>
      <c r="P5668" s="88"/>
      <c r="Q5668" s="88"/>
      <c r="R5668" s="78">
        <f>MAX(S5668:W5668)</f>
        <v>0</v>
      </c>
      <c r="S5668" s="88"/>
      <c r="T5668" s="88"/>
      <c r="U5668" s="88"/>
      <c r="V5668" s="88"/>
      <c r="W5668" s="88"/>
    </row>
    <row r="5669" spans="2:23" s="0" customFormat="0" ht="15">
      <c r="B5669" s="87" t="s">
        <v>1</v>
      </c>
      <c r="C5669" s="88" t="s">
        <v>5259</v>
      </c>
      <c r="D5669" s="88">
        <v>1551610</v>
      </c>
      <c r="E5669" s="88" t="s">
        <v>61</v>
      </c>
      <c r="F5669" s="88">
        <v>0</v>
      </c>
      <c r="G5669" s="78">
        <f>MAX(H5669,I5669,J5669)</f>
        <v>0</v>
      </c>
      <c r="H5669" s="88"/>
      <c r="I5669" s="88"/>
      <c r="J5669" s="78">
        <f>MAX(K5669:Q5669)</f>
        <v>0</v>
      </c>
      <c r="K5669" s="88"/>
      <c r="L5669" s="88"/>
      <c r="M5669" s="88"/>
      <c r="N5669" s="88"/>
      <c r="O5669" s="88"/>
      <c r="P5669" s="88"/>
      <c r="Q5669" s="88"/>
      <c r="R5669" s="78">
        <f>MAX(S5669:W5669)</f>
        <v>1</v>
      </c>
      <c r="S5669" s="88"/>
      <c r="T5669" s="88"/>
      <c r="U5669" s="88">
        <v>1</v>
      </c>
      <c r="V5669" s="88"/>
      <c r="W5669" s="88"/>
    </row>
    <row r="5670" spans="2:23" s="0" customFormat="0" ht="15">
      <c r="B5670" s="87" t="s">
        <v>1</v>
      </c>
      <c r="C5670" s="88" t="s">
        <v>5259</v>
      </c>
      <c r="D5670" s="88" t="s">
        <v>4333</v>
      </c>
      <c r="E5670" s="88" t="s">
        <v>61</v>
      </c>
      <c r="F5670" s="88">
        <v>0</v>
      </c>
      <c r="G5670" s="78">
        <f>MAX(H5670,I5670,J5670)</f>
        <v>0</v>
      </c>
      <c r="H5670" s="88"/>
      <c r="I5670" s="88"/>
      <c r="J5670" s="78">
        <f>MAX(K5670:Q5670)</f>
        <v>0</v>
      </c>
      <c r="K5670" s="88"/>
      <c r="L5670" s="88"/>
      <c r="M5670" s="88"/>
      <c r="N5670" s="88"/>
      <c r="O5670" s="88"/>
      <c r="P5670" s="88"/>
      <c r="Q5670" s="88"/>
      <c r="R5670" s="78">
        <f>MAX(S5670:W5670)</f>
        <v>1</v>
      </c>
      <c r="S5670" s="88"/>
      <c r="T5670" s="88"/>
      <c r="U5670" s="88">
        <v>1</v>
      </c>
      <c r="V5670" s="88"/>
      <c r="W5670" s="88"/>
    </row>
    <row r="5671" spans="2:23" s="0" customFormat="0" ht="15">
      <c r="B5671" s="87" t="s">
        <v>1</v>
      </c>
      <c r="C5671" s="88" t="s">
        <v>5259</v>
      </c>
      <c r="D5671" s="88" t="s">
        <v>5005</v>
      </c>
      <c r="E5671" s="88" t="s">
        <v>61</v>
      </c>
      <c r="F5671" s="88">
        <v>0</v>
      </c>
      <c r="G5671" s="78">
        <f>MAX(H5671,I5671,J5671)</f>
        <v>0</v>
      </c>
      <c r="H5671" s="88"/>
      <c r="I5671" s="88"/>
      <c r="J5671" s="78">
        <f>MAX(K5671:Q5671)</f>
        <v>0</v>
      </c>
      <c r="K5671" s="88"/>
      <c r="L5671" s="88"/>
      <c r="M5671" s="88"/>
      <c r="N5671" s="88"/>
      <c r="O5671" s="88"/>
      <c r="P5671" s="88"/>
      <c r="Q5671" s="88"/>
      <c r="R5671" s="78">
        <f>MAX(S5671:W5671)</f>
        <v>1</v>
      </c>
      <c r="S5671" s="88"/>
      <c r="T5671" s="88"/>
      <c r="U5671" s="88">
        <v>1</v>
      </c>
      <c r="V5671" s="88"/>
      <c r="W5671" s="88"/>
    </row>
    <row r="5672" spans="2:23" s="0" customFormat="0" ht="15">
      <c r="B5672" s="87" t="s">
        <v>1</v>
      </c>
      <c r="C5672" s="88" t="s">
        <v>5259</v>
      </c>
      <c r="D5672" s="88">
        <v>17876603</v>
      </c>
      <c r="E5672" s="88" t="s">
        <v>61</v>
      </c>
      <c r="F5672" s="88">
        <v>0</v>
      </c>
      <c r="G5672" s="78">
        <f>MAX(H5672,I5672,J5672)</f>
        <v>1</v>
      </c>
      <c r="H5672" s="88"/>
      <c r="I5672" s="88"/>
      <c r="J5672" s="78">
        <f>MAX(K5672:Q5672)</f>
        <v>1</v>
      </c>
      <c r="K5672" s="88">
        <v>1</v>
      </c>
      <c r="L5672" s="88"/>
      <c r="M5672" s="88"/>
      <c r="N5672" s="88"/>
      <c r="O5672" s="88"/>
      <c r="P5672" s="88"/>
      <c r="Q5672" s="88"/>
      <c r="R5672" s="78">
        <f>MAX(S5672:W5672)</f>
        <v>0</v>
      </c>
      <c r="S5672" s="88"/>
      <c r="T5672" s="88"/>
      <c r="U5672" s="88"/>
      <c r="V5672" s="88"/>
      <c r="W5672" s="88"/>
    </row>
    <row r="5673" spans="2:23" s="0" customFormat="0" ht="15">
      <c r="B5673" s="87" t="s">
        <v>1</v>
      </c>
      <c r="C5673" s="88" t="s">
        <v>5259</v>
      </c>
      <c r="D5673" s="88">
        <v>19215387</v>
      </c>
      <c r="E5673" s="88" t="s">
        <v>61</v>
      </c>
      <c r="F5673" s="88">
        <v>0</v>
      </c>
      <c r="G5673" s="78">
        <f>MAX(H5673,I5673,J5673)</f>
        <v>1</v>
      </c>
      <c r="H5673" s="88"/>
      <c r="I5673" s="88"/>
      <c r="J5673" s="78">
        <f>MAX(K5673:Q5673)</f>
        <v>1</v>
      </c>
      <c r="K5673" s="88">
        <v>1</v>
      </c>
      <c r="L5673" s="88"/>
      <c r="M5673" s="88"/>
      <c r="N5673" s="88"/>
      <c r="O5673" s="88"/>
      <c r="P5673" s="88"/>
      <c r="Q5673" s="88"/>
      <c r="R5673" s="78">
        <f>MAX(S5673:W5673)</f>
        <v>0</v>
      </c>
      <c r="S5673" s="88"/>
      <c r="T5673" s="88"/>
      <c r="U5673" s="88"/>
      <c r="V5673" s="88"/>
      <c r="W5673" s="88"/>
    </row>
    <row r="5674" spans="2:23" s="0" customFormat="0" ht="15">
      <c r="B5674" s="87" t="s">
        <v>1</v>
      </c>
      <c r="C5674" s="88" t="s">
        <v>5259</v>
      </c>
      <c r="D5674" s="88">
        <v>19686291</v>
      </c>
      <c r="E5674" s="88" t="s">
        <v>61</v>
      </c>
      <c r="F5674" s="88">
        <v>0</v>
      </c>
      <c r="G5674" s="78">
        <f>MAX(H5674,I5674,J5674)</f>
        <v>1</v>
      </c>
      <c r="H5674" s="88"/>
      <c r="I5674" s="88"/>
      <c r="J5674" s="78">
        <f>MAX(K5674:Q5674)</f>
        <v>1</v>
      </c>
      <c r="K5674" s="88">
        <v>1</v>
      </c>
      <c r="L5674" s="88"/>
      <c r="M5674" s="88"/>
      <c r="N5674" s="88"/>
      <c r="O5674" s="88"/>
      <c r="P5674" s="88"/>
      <c r="Q5674" s="88"/>
      <c r="R5674" s="78">
        <f>MAX(S5674:W5674)</f>
        <v>0</v>
      </c>
      <c r="S5674" s="88"/>
      <c r="T5674" s="88"/>
      <c r="U5674" s="88"/>
      <c r="V5674" s="88"/>
      <c r="W5674" s="88"/>
    </row>
    <row r="5675" spans="2:23" s="0" customFormat="0" ht="15">
      <c r="B5675" s="87" t="s">
        <v>1</v>
      </c>
      <c r="C5675" s="88" t="s">
        <v>5259</v>
      </c>
      <c r="D5675" s="88">
        <v>15468825</v>
      </c>
      <c r="E5675" s="88" t="s">
        <v>61</v>
      </c>
      <c r="F5675" s="88">
        <v>0</v>
      </c>
      <c r="G5675" s="78">
        <f>MAX(H5675,I5675,J5675)</f>
        <v>1</v>
      </c>
      <c r="H5675" s="88"/>
      <c r="I5675" s="88"/>
      <c r="J5675" s="78">
        <f>MAX(K5675:Q5675)</f>
        <v>1</v>
      </c>
      <c r="K5675" s="88">
        <v>1</v>
      </c>
      <c r="L5675" s="88"/>
      <c r="M5675" s="88"/>
      <c r="N5675" s="88"/>
      <c r="O5675" s="88"/>
      <c r="P5675" s="88"/>
      <c r="Q5675" s="88"/>
      <c r="R5675" s="78">
        <f>MAX(S5675:W5675)</f>
        <v>0</v>
      </c>
      <c r="S5675" s="88"/>
      <c r="T5675" s="88"/>
      <c r="U5675" s="88"/>
      <c r="V5675" s="88"/>
      <c r="W5675" s="88"/>
    </row>
    <row r="5676" spans="2:23" s="0" customFormat="0" ht="15">
      <c r="B5676" s="87" t="s">
        <v>1</v>
      </c>
      <c r="C5676" s="88" t="s">
        <v>5259</v>
      </c>
      <c r="D5676" s="88">
        <v>18812115</v>
      </c>
      <c r="E5676" s="88" t="s">
        <v>61</v>
      </c>
      <c r="F5676" s="88">
        <v>0</v>
      </c>
      <c r="G5676" s="78">
        <f>MAX(H5676,I5676,J5676)</f>
        <v>1</v>
      </c>
      <c r="H5676" s="88"/>
      <c r="I5676" s="88"/>
      <c r="J5676" s="78">
        <f>MAX(K5676:Q5676)</f>
        <v>1</v>
      </c>
      <c r="K5676" s="88">
        <v>1</v>
      </c>
      <c r="L5676" s="88"/>
      <c r="M5676" s="88"/>
      <c r="N5676" s="88"/>
      <c r="O5676" s="88"/>
      <c r="P5676" s="88"/>
      <c r="Q5676" s="88"/>
      <c r="R5676" s="78">
        <f>MAX(S5676:W5676)</f>
        <v>0</v>
      </c>
      <c r="S5676" s="88"/>
      <c r="T5676" s="88"/>
      <c r="U5676" s="88"/>
      <c r="V5676" s="88"/>
      <c r="W5676" s="88"/>
    </row>
    <row r="5677" spans="2:23" s="0" customFormat="0" ht="15">
      <c r="B5677" s="87" t="s">
        <v>1</v>
      </c>
      <c r="C5677" s="88" t="s">
        <v>5259</v>
      </c>
      <c r="D5677" s="88">
        <v>12767430</v>
      </c>
      <c r="E5677" s="88" t="s">
        <v>61</v>
      </c>
      <c r="F5677" s="88">
        <v>0</v>
      </c>
      <c r="G5677" s="78">
        <f>MAX(H5677,I5677,J5677)</f>
        <v>1</v>
      </c>
      <c r="H5677" s="88"/>
      <c r="I5677" s="88"/>
      <c r="J5677" s="78">
        <f>MAX(K5677:Q5677)</f>
        <v>1</v>
      </c>
      <c r="K5677" s="88">
        <v>1</v>
      </c>
      <c r="L5677" s="88"/>
      <c r="M5677" s="88"/>
      <c r="N5677" s="88"/>
      <c r="O5677" s="88"/>
      <c r="P5677" s="88"/>
      <c r="Q5677" s="88"/>
      <c r="R5677" s="78">
        <f>MAX(S5677:W5677)</f>
        <v>0</v>
      </c>
      <c r="S5677" s="88"/>
      <c r="T5677" s="88"/>
      <c r="U5677" s="88"/>
      <c r="V5677" s="88"/>
      <c r="W5677" s="88"/>
    </row>
    <row r="5678" spans="2:23" s="0" customFormat="0" ht="15">
      <c r="B5678" s="87" t="s">
        <v>1</v>
      </c>
      <c r="C5678" s="88" t="s">
        <v>5259</v>
      </c>
      <c r="D5678" s="88">
        <v>22554261</v>
      </c>
      <c r="E5678" s="88" t="s">
        <v>61</v>
      </c>
      <c r="F5678" s="88">
        <v>0</v>
      </c>
      <c r="G5678" s="78">
        <f>MAX(H5678,I5678,J5678)</f>
        <v>0</v>
      </c>
      <c r="H5678" s="88"/>
      <c r="I5678" s="88"/>
      <c r="J5678" s="78">
        <f>MAX(K5678:Q5678)</f>
        <v>0</v>
      </c>
      <c r="K5678" s="88"/>
      <c r="L5678" s="88"/>
      <c r="M5678" s="88"/>
      <c r="N5678" s="88"/>
      <c r="O5678" s="88"/>
      <c r="P5678" s="88"/>
      <c r="Q5678" s="88"/>
      <c r="R5678" s="78">
        <f>MAX(S5678:W5678)</f>
        <v>1</v>
      </c>
      <c r="S5678" s="88"/>
      <c r="T5678" s="88"/>
      <c r="U5678" s="88">
        <v>1</v>
      </c>
      <c r="V5678" s="88"/>
      <c r="W5678" s="88"/>
    </row>
    <row r="5679" spans="2:23" s="0" customFormat="0" ht="15">
      <c r="B5679" s="87" t="s">
        <v>1</v>
      </c>
      <c r="C5679" s="88" t="s">
        <v>5259</v>
      </c>
      <c r="D5679" s="88" t="s">
        <v>3909</v>
      </c>
      <c r="E5679" s="88" t="s">
        <v>61</v>
      </c>
      <c r="F5679" s="88">
        <v>0</v>
      </c>
      <c r="G5679" s="78">
        <f>MAX(H5679,I5679,J5679)</f>
        <v>0</v>
      </c>
      <c r="H5679" s="88"/>
      <c r="I5679" s="88"/>
      <c r="J5679" s="78">
        <f>MAX(K5679:Q5679)</f>
        <v>0</v>
      </c>
      <c r="K5679" s="88"/>
      <c r="L5679" s="88"/>
      <c r="M5679" s="88"/>
      <c r="N5679" s="88"/>
      <c r="O5679" s="88"/>
      <c r="P5679" s="88"/>
      <c r="Q5679" s="88"/>
      <c r="R5679" s="78">
        <f>MAX(S5679:W5679)</f>
        <v>1</v>
      </c>
      <c r="S5679" s="88"/>
      <c r="T5679" s="88"/>
      <c r="U5679" s="88">
        <v>1</v>
      </c>
      <c r="V5679" s="88"/>
      <c r="W5679" s="88"/>
    </row>
    <row r="5680" spans="2:23" s="0" customFormat="0" ht="15">
      <c r="B5680" s="87" t="s">
        <v>1</v>
      </c>
      <c r="C5680" s="88" t="s">
        <v>5259</v>
      </c>
      <c r="D5680" s="88">
        <v>12894598</v>
      </c>
      <c r="E5680" s="88" t="s">
        <v>61</v>
      </c>
      <c r="F5680" s="88">
        <v>0</v>
      </c>
      <c r="G5680" s="78">
        <f>MAX(H5680,I5680,J5680)</f>
        <v>1</v>
      </c>
      <c r="H5680" s="88"/>
      <c r="I5680" s="88"/>
      <c r="J5680" s="78">
        <f>MAX(K5680:Q5680)</f>
        <v>1</v>
      </c>
      <c r="K5680" s="88">
        <v>1</v>
      </c>
      <c r="L5680" s="88"/>
      <c r="M5680" s="88"/>
      <c r="N5680" s="88"/>
      <c r="O5680" s="88"/>
      <c r="P5680" s="88"/>
      <c r="Q5680" s="88"/>
      <c r="R5680" s="78">
        <f>MAX(S5680:W5680)</f>
        <v>0</v>
      </c>
      <c r="S5680" s="88"/>
      <c r="T5680" s="88"/>
      <c r="U5680" s="88"/>
      <c r="V5680" s="88"/>
      <c r="W5680" s="88"/>
    </row>
    <row r="5681" spans="2:23" s="0" customFormat="0" ht="15">
      <c r="B5681" s="87" t="s">
        <v>1</v>
      </c>
      <c r="C5681" s="88" t="s">
        <v>5259</v>
      </c>
      <c r="D5681" s="88">
        <v>10900818</v>
      </c>
      <c r="E5681" s="88" t="s">
        <v>61</v>
      </c>
      <c r="F5681" s="88">
        <v>0</v>
      </c>
      <c r="G5681" s="78">
        <f>MAX(H5681,I5681,J5681)</f>
        <v>1</v>
      </c>
      <c r="H5681" s="88"/>
      <c r="I5681" s="88"/>
      <c r="J5681" s="78">
        <f>MAX(K5681:Q5681)</f>
        <v>1</v>
      </c>
      <c r="K5681" s="88">
        <v>1</v>
      </c>
      <c r="L5681" s="88"/>
      <c r="M5681" s="88"/>
      <c r="N5681" s="88"/>
      <c r="O5681" s="88"/>
      <c r="P5681" s="88"/>
      <c r="Q5681" s="88"/>
      <c r="R5681" s="78">
        <f>MAX(S5681:W5681)</f>
        <v>0</v>
      </c>
      <c r="S5681" s="88"/>
      <c r="T5681" s="88"/>
      <c r="U5681" s="88"/>
      <c r="V5681" s="88"/>
      <c r="W5681" s="88"/>
    </row>
    <row r="5682" spans="2:23" s="0" customFormat="0" ht="15">
      <c r="B5682" s="87" t="s">
        <v>1</v>
      </c>
      <c r="C5682" s="88" t="s">
        <v>5259</v>
      </c>
      <c r="D5682" s="88">
        <v>21736823</v>
      </c>
      <c r="E5682" s="88" t="s">
        <v>61</v>
      </c>
      <c r="F5682" s="88">
        <v>0</v>
      </c>
      <c r="G5682" s="78">
        <f>MAX(H5682,I5682,J5682)</f>
        <v>1</v>
      </c>
      <c r="H5682" s="88"/>
      <c r="I5682" s="88"/>
      <c r="J5682" s="78">
        <f>MAX(K5682:Q5682)</f>
        <v>1</v>
      </c>
      <c r="K5682" s="88">
        <v>1</v>
      </c>
      <c r="L5682" s="88"/>
      <c r="M5682" s="88"/>
      <c r="N5682" s="88"/>
      <c r="O5682" s="88"/>
      <c r="P5682" s="88"/>
      <c r="Q5682" s="88"/>
      <c r="R5682" s="78">
        <f>MAX(S5682:W5682)</f>
        <v>0</v>
      </c>
      <c r="S5682" s="88"/>
      <c r="T5682" s="88"/>
      <c r="U5682" s="88"/>
      <c r="V5682" s="88"/>
      <c r="W5682" s="88"/>
    </row>
    <row r="5683" spans="2:23" s="0" customFormat="0" ht="15">
      <c r="B5683" s="87" t="s">
        <v>1</v>
      </c>
      <c r="C5683" s="88" t="s">
        <v>5259</v>
      </c>
      <c r="D5683" s="88">
        <v>19657742</v>
      </c>
      <c r="E5683" s="88" t="s">
        <v>61</v>
      </c>
      <c r="F5683" s="88">
        <v>0</v>
      </c>
      <c r="G5683" s="78">
        <f>MAX(H5683,I5683,J5683)</f>
        <v>1</v>
      </c>
      <c r="H5683" s="88"/>
      <c r="I5683" s="88"/>
      <c r="J5683" s="78">
        <f>MAX(K5683:Q5683)</f>
        <v>1</v>
      </c>
      <c r="K5683" s="88">
        <v>1</v>
      </c>
      <c r="L5683" s="88"/>
      <c r="M5683" s="88"/>
      <c r="N5683" s="88"/>
      <c r="O5683" s="88"/>
      <c r="P5683" s="88"/>
      <c r="Q5683" s="88"/>
      <c r="R5683" s="78">
        <f>MAX(S5683:W5683)</f>
        <v>0</v>
      </c>
      <c r="S5683" s="88"/>
      <c r="T5683" s="88"/>
      <c r="U5683" s="88"/>
      <c r="V5683" s="88"/>
      <c r="W5683" s="88"/>
    </row>
    <row r="5684" spans="2:23" s="0" customFormat="0" ht="15">
      <c r="B5684" s="87" t="s">
        <v>1</v>
      </c>
      <c r="C5684" s="88" t="s">
        <v>5259</v>
      </c>
      <c r="D5684" s="88" t="s">
        <v>2740</v>
      </c>
      <c r="E5684" s="88" t="s">
        <v>61</v>
      </c>
      <c r="F5684" s="88">
        <v>0</v>
      </c>
      <c r="G5684" s="78">
        <f>MAX(H5684,I5684,J5684)</f>
        <v>1</v>
      </c>
      <c r="H5684" s="88"/>
      <c r="I5684" s="88"/>
      <c r="J5684" s="78">
        <f>MAX(K5684:Q5684)</f>
        <v>1</v>
      </c>
      <c r="K5684" s="88">
        <v>1</v>
      </c>
      <c r="L5684" s="88"/>
      <c r="M5684" s="88"/>
      <c r="N5684" s="88"/>
      <c r="O5684" s="88"/>
      <c r="P5684" s="88"/>
      <c r="Q5684" s="88"/>
      <c r="R5684" s="78">
        <f>MAX(S5684:W5684)</f>
        <v>0</v>
      </c>
      <c r="S5684" s="88"/>
      <c r="T5684" s="88"/>
      <c r="U5684" s="88"/>
      <c r="V5684" s="88"/>
      <c r="W5684" s="88"/>
    </row>
    <row r="5685" spans="2:23" s="0" customFormat="0" ht="15">
      <c r="B5685" s="87" t="s">
        <v>1</v>
      </c>
      <c r="C5685" s="88" t="s">
        <v>5259</v>
      </c>
      <c r="D5685" s="88">
        <v>6955862</v>
      </c>
      <c r="E5685" s="88" t="s">
        <v>61</v>
      </c>
      <c r="F5685" s="88">
        <v>0</v>
      </c>
      <c r="G5685" s="78">
        <f>MAX(H5685,I5685,J5685)</f>
        <v>0</v>
      </c>
      <c r="H5685" s="88"/>
      <c r="I5685" s="88"/>
      <c r="J5685" s="78">
        <f>MAX(K5685:Q5685)</f>
        <v>0</v>
      </c>
      <c r="K5685" s="88"/>
      <c r="L5685" s="88"/>
      <c r="M5685" s="88"/>
      <c r="N5685" s="88"/>
      <c r="O5685" s="88"/>
      <c r="P5685" s="88"/>
      <c r="Q5685" s="88"/>
      <c r="R5685" s="78">
        <f>MAX(S5685:W5685)</f>
        <v>1</v>
      </c>
      <c r="S5685" s="88"/>
      <c r="T5685" s="88"/>
      <c r="U5685" s="88">
        <v>1</v>
      </c>
      <c r="V5685" s="88"/>
      <c r="W5685" s="88"/>
    </row>
    <row r="5686" spans="2:23" s="0" customFormat="0" ht="15">
      <c r="B5686" s="87" t="s">
        <v>1</v>
      </c>
      <c r="C5686" s="88" t="s">
        <v>5259</v>
      </c>
      <c r="D5686" s="88">
        <v>1921710</v>
      </c>
      <c r="E5686" s="88" t="s">
        <v>61</v>
      </c>
      <c r="F5686" s="88">
        <v>0</v>
      </c>
      <c r="G5686" s="78">
        <f>MAX(H5686,I5686,J5686)</f>
        <v>0</v>
      </c>
      <c r="H5686" s="88"/>
      <c r="I5686" s="88"/>
      <c r="J5686" s="78">
        <f>MAX(K5686:Q5686)</f>
        <v>0</v>
      </c>
      <c r="K5686" s="88"/>
      <c r="L5686" s="88"/>
      <c r="M5686" s="88"/>
      <c r="N5686" s="88"/>
      <c r="O5686" s="88"/>
      <c r="P5686" s="88"/>
      <c r="Q5686" s="88"/>
      <c r="R5686" s="78">
        <f>MAX(S5686:W5686)</f>
        <v>1</v>
      </c>
      <c r="S5686" s="88"/>
      <c r="T5686" s="88"/>
      <c r="U5686" s="88">
        <v>1</v>
      </c>
      <c r="V5686" s="88"/>
      <c r="W5686" s="88"/>
    </row>
    <row r="5687" spans="2:23" s="0" customFormat="0" ht="15">
      <c r="B5687" s="87" t="s">
        <v>1</v>
      </c>
      <c r="C5687" s="88" t="s">
        <v>5259</v>
      </c>
      <c r="D5687" s="88">
        <v>17634084</v>
      </c>
      <c r="E5687" s="88" t="s">
        <v>61</v>
      </c>
      <c r="F5687" s="88">
        <v>0</v>
      </c>
      <c r="G5687" s="78">
        <f>MAX(H5687,I5687,J5687)</f>
        <v>1</v>
      </c>
      <c r="H5687" s="88"/>
      <c r="I5687" s="88"/>
      <c r="J5687" s="78">
        <f>MAX(K5687:Q5687)</f>
        <v>1</v>
      </c>
      <c r="K5687" s="88">
        <v>1</v>
      </c>
      <c r="L5687" s="88"/>
      <c r="M5687" s="88"/>
      <c r="N5687" s="88"/>
      <c r="O5687" s="88"/>
      <c r="P5687" s="88"/>
      <c r="Q5687" s="88"/>
      <c r="R5687" s="78">
        <f>MAX(S5687:W5687)</f>
        <v>0</v>
      </c>
      <c r="S5687" s="88"/>
      <c r="T5687" s="88"/>
      <c r="U5687" s="88"/>
      <c r="V5687" s="88"/>
      <c r="W5687" s="88"/>
    </row>
    <row r="5688" spans="2:23" s="0" customFormat="0" ht="15">
      <c r="B5688" s="87" t="s">
        <v>1</v>
      </c>
      <c r="C5688" s="88" t="s">
        <v>5259</v>
      </c>
      <c r="D5688" s="88" t="s">
        <v>661</v>
      </c>
      <c r="E5688" s="88" t="s">
        <v>61</v>
      </c>
      <c r="F5688" s="88">
        <v>0</v>
      </c>
      <c r="G5688" s="78">
        <f>MAX(H5688,I5688,J5688)</f>
        <v>1</v>
      </c>
      <c r="H5688" s="88"/>
      <c r="I5688" s="88"/>
      <c r="J5688" s="78">
        <f>MAX(K5688:Q5688)</f>
        <v>1</v>
      </c>
      <c r="K5688" s="88">
        <v>1</v>
      </c>
      <c r="L5688" s="88"/>
      <c r="M5688" s="88"/>
      <c r="N5688" s="88"/>
      <c r="O5688" s="88"/>
      <c r="P5688" s="88"/>
      <c r="Q5688" s="88"/>
      <c r="R5688" s="78">
        <f>MAX(S5688:W5688)</f>
        <v>0</v>
      </c>
      <c r="S5688" s="88"/>
      <c r="T5688" s="88"/>
      <c r="U5688" s="88"/>
      <c r="V5688" s="88"/>
      <c r="W5688" s="88"/>
    </row>
    <row r="5689" spans="2:23" s="0" customFormat="0" ht="15">
      <c r="B5689" s="87" t="s">
        <v>1</v>
      </c>
      <c r="C5689" s="88" t="s">
        <v>5259</v>
      </c>
      <c r="D5689" s="88">
        <v>23675253</v>
      </c>
      <c r="E5689" s="88" t="s">
        <v>61</v>
      </c>
      <c r="F5689" s="88">
        <v>0</v>
      </c>
      <c r="G5689" s="78">
        <f>MAX(H5689,I5689,J5689)</f>
        <v>1</v>
      </c>
      <c r="H5689" s="88"/>
      <c r="I5689" s="88"/>
      <c r="J5689" s="78">
        <f>MAX(K5689:Q5689)</f>
        <v>1</v>
      </c>
      <c r="K5689" s="88">
        <v>1</v>
      </c>
      <c r="L5689" s="88"/>
      <c r="M5689" s="88"/>
      <c r="N5689" s="88"/>
      <c r="O5689" s="88"/>
      <c r="P5689" s="88"/>
      <c r="Q5689" s="88"/>
      <c r="R5689" s="78">
        <f>MAX(S5689:W5689)</f>
        <v>0</v>
      </c>
      <c r="S5689" s="88"/>
      <c r="T5689" s="88"/>
      <c r="U5689" s="88"/>
      <c r="V5689" s="88"/>
      <c r="W5689" s="88"/>
    </row>
    <row r="5690" spans="2:23" s="0" customFormat="0" ht="15">
      <c r="B5690" s="87" t="s">
        <v>1</v>
      </c>
      <c r="C5690" s="88" t="s">
        <v>5259</v>
      </c>
      <c r="D5690" s="88" t="s">
        <v>5168</v>
      </c>
      <c r="E5690" s="88" t="s">
        <v>61</v>
      </c>
      <c r="F5690" s="88">
        <v>0</v>
      </c>
      <c r="G5690" s="78">
        <f>MAX(H5690,I5690,J5690)</f>
        <v>0</v>
      </c>
      <c r="H5690" s="88"/>
      <c r="I5690" s="88"/>
      <c r="J5690" s="78">
        <f>MAX(K5690:Q5690)</f>
        <v>0</v>
      </c>
      <c r="K5690" s="88"/>
      <c r="L5690" s="88"/>
      <c r="M5690" s="88"/>
      <c r="N5690" s="88"/>
      <c r="O5690" s="88"/>
      <c r="P5690" s="88"/>
      <c r="Q5690" s="88"/>
      <c r="R5690" s="78">
        <f>MAX(S5690:W5690)</f>
        <v>1</v>
      </c>
      <c r="S5690" s="88"/>
      <c r="T5690" s="88"/>
      <c r="U5690" s="88">
        <v>1</v>
      </c>
      <c r="V5690" s="88"/>
      <c r="W5690" s="88"/>
    </row>
    <row r="5691" spans="2:23" s="0" customFormat="0" ht="15">
      <c r="B5691" s="87" t="s">
        <v>1</v>
      </c>
      <c r="C5691" s="88" t="s">
        <v>5259</v>
      </c>
      <c r="D5691" s="88">
        <v>18771484</v>
      </c>
      <c r="E5691" s="88" t="s">
        <v>61</v>
      </c>
      <c r="F5691" s="88">
        <v>0</v>
      </c>
      <c r="G5691" s="78">
        <f>MAX(H5691,I5691,J5691)</f>
        <v>1</v>
      </c>
      <c r="H5691" s="88"/>
      <c r="I5691" s="88"/>
      <c r="J5691" s="78">
        <f>MAX(K5691:Q5691)</f>
        <v>1</v>
      </c>
      <c r="K5691" s="88">
        <v>1</v>
      </c>
      <c r="L5691" s="88"/>
      <c r="M5691" s="88"/>
      <c r="N5691" s="88"/>
      <c r="O5691" s="88"/>
      <c r="P5691" s="88"/>
      <c r="Q5691" s="88"/>
      <c r="R5691" s="78">
        <f>MAX(S5691:W5691)</f>
        <v>0</v>
      </c>
      <c r="S5691" s="88"/>
      <c r="T5691" s="88"/>
      <c r="U5691" s="88"/>
      <c r="V5691" s="88"/>
      <c r="W5691" s="88"/>
    </row>
    <row r="5692" spans="2:23" s="0" customFormat="0" ht="15">
      <c r="B5692" s="87" t="s">
        <v>1</v>
      </c>
      <c r="C5692" s="88" t="s">
        <v>5259</v>
      </c>
      <c r="D5692" s="88" t="s">
        <v>435</v>
      </c>
      <c r="E5692" s="88" t="s">
        <v>61</v>
      </c>
      <c r="F5692" s="88">
        <v>0</v>
      </c>
      <c r="G5692" s="78">
        <f>MAX(H5692,I5692,J5692)</f>
        <v>1</v>
      </c>
      <c r="H5692" s="88"/>
      <c r="I5692" s="88"/>
      <c r="J5692" s="78">
        <f>MAX(K5692:Q5692)</f>
        <v>1</v>
      </c>
      <c r="K5692" s="88">
        <v>1</v>
      </c>
      <c r="L5692" s="88"/>
      <c r="M5692" s="88"/>
      <c r="N5692" s="88"/>
      <c r="O5692" s="88"/>
      <c r="P5692" s="88"/>
      <c r="Q5692" s="88"/>
      <c r="R5692" s="78">
        <f>MAX(S5692:W5692)</f>
        <v>0</v>
      </c>
      <c r="S5692" s="88"/>
      <c r="T5692" s="88"/>
      <c r="U5692" s="88"/>
      <c r="V5692" s="88"/>
      <c r="W5692" s="88"/>
    </row>
    <row r="5693" spans="2:23" s="0" customFormat="0" ht="15">
      <c r="B5693" s="87" t="s">
        <v>1</v>
      </c>
      <c r="C5693" s="88" t="s">
        <v>5259</v>
      </c>
      <c r="D5693" s="88" t="s">
        <v>1084</v>
      </c>
      <c r="E5693" s="88" t="s">
        <v>61</v>
      </c>
      <c r="F5693" s="88">
        <v>0</v>
      </c>
      <c r="G5693" s="78">
        <f>MAX(H5693,I5693,J5693)</f>
        <v>1</v>
      </c>
      <c r="H5693" s="88"/>
      <c r="I5693" s="88"/>
      <c r="J5693" s="78">
        <f>MAX(K5693:Q5693)</f>
        <v>1</v>
      </c>
      <c r="K5693" s="88">
        <v>1</v>
      </c>
      <c r="L5693" s="88"/>
      <c r="M5693" s="88"/>
      <c r="N5693" s="88"/>
      <c r="O5693" s="88"/>
      <c r="P5693" s="88"/>
      <c r="Q5693" s="88"/>
      <c r="R5693" s="78">
        <f>MAX(S5693:W5693)</f>
        <v>0</v>
      </c>
      <c r="S5693" s="88"/>
      <c r="T5693" s="88"/>
      <c r="U5693" s="88"/>
      <c r="V5693" s="88"/>
      <c r="W5693" s="88"/>
    </row>
    <row r="5694" spans="2:23" s="0" customFormat="0" ht="15">
      <c r="B5694" s="87" t="s">
        <v>1</v>
      </c>
      <c r="C5694" s="88" t="s">
        <v>5259</v>
      </c>
      <c r="D5694" s="88" t="s">
        <v>4883</v>
      </c>
      <c r="E5694" s="88" t="s">
        <v>61</v>
      </c>
      <c r="F5694" s="88">
        <v>0</v>
      </c>
      <c r="G5694" s="78">
        <f>MAX(H5694,I5694,J5694)</f>
        <v>0</v>
      </c>
      <c r="H5694" s="88"/>
      <c r="I5694" s="88"/>
      <c r="J5694" s="78">
        <f>MAX(K5694:Q5694)</f>
        <v>0</v>
      </c>
      <c r="K5694" s="88"/>
      <c r="L5694" s="88"/>
      <c r="M5694" s="88"/>
      <c r="N5694" s="88"/>
      <c r="O5694" s="88"/>
      <c r="P5694" s="88"/>
      <c r="Q5694" s="88"/>
      <c r="R5694" s="78">
        <f>MAX(S5694:W5694)</f>
        <v>1</v>
      </c>
      <c r="S5694" s="88"/>
      <c r="T5694" s="88"/>
      <c r="U5694" s="88">
        <v>1</v>
      </c>
      <c r="V5694" s="88"/>
      <c r="W5694" s="88"/>
    </row>
    <row r="5695" spans="2:23" s="0" customFormat="0" ht="15">
      <c r="B5695" s="87" t="s">
        <v>1</v>
      </c>
      <c r="C5695" s="88" t="s">
        <v>5259</v>
      </c>
      <c r="D5695" s="88">
        <v>16636569</v>
      </c>
      <c r="E5695" s="88" t="s">
        <v>61</v>
      </c>
      <c r="F5695" s="88">
        <v>0</v>
      </c>
      <c r="G5695" s="78">
        <f>MAX(H5695,I5695,J5695)</f>
        <v>1</v>
      </c>
      <c r="H5695" s="88"/>
      <c r="I5695" s="88"/>
      <c r="J5695" s="78">
        <f>MAX(K5695:Q5695)</f>
        <v>1</v>
      </c>
      <c r="K5695" s="88">
        <v>1</v>
      </c>
      <c r="L5695" s="88"/>
      <c r="M5695" s="88"/>
      <c r="N5695" s="88"/>
      <c r="O5695" s="88"/>
      <c r="P5695" s="88"/>
      <c r="Q5695" s="88"/>
      <c r="R5695" s="78">
        <f>MAX(S5695:W5695)</f>
        <v>0</v>
      </c>
      <c r="S5695" s="88"/>
      <c r="T5695" s="88"/>
      <c r="U5695" s="88"/>
      <c r="V5695" s="88"/>
      <c r="W5695" s="88"/>
    </row>
    <row r="5696" spans="2:23" s="0" customFormat="0" ht="15">
      <c r="B5696" s="87" t="s">
        <v>1</v>
      </c>
      <c r="C5696" s="88" t="s">
        <v>5259</v>
      </c>
      <c r="D5696" s="88" t="s">
        <v>2815</v>
      </c>
      <c r="E5696" s="88" t="s">
        <v>61</v>
      </c>
      <c r="F5696" s="88">
        <v>0</v>
      </c>
      <c r="G5696" s="78">
        <f>MAX(H5696,I5696,J5696)</f>
        <v>1</v>
      </c>
      <c r="H5696" s="88"/>
      <c r="I5696" s="88"/>
      <c r="J5696" s="78">
        <f>MAX(K5696:Q5696)</f>
        <v>1</v>
      </c>
      <c r="K5696" s="88">
        <v>1</v>
      </c>
      <c r="L5696" s="88"/>
      <c r="M5696" s="88"/>
      <c r="N5696" s="88"/>
      <c r="O5696" s="88"/>
      <c r="P5696" s="88"/>
      <c r="Q5696" s="88"/>
      <c r="R5696" s="78">
        <f>MAX(S5696:W5696)</f>
        <v>0</v>
      </c>
      <c r="S5696" s="88"/>
      <c r="T5696" s="88"/>
      <c r="U5696" s="88"/>
      <c r="V5696" s="88"/>
      <c r="W5696" s="88"/>
    </row>
    <row r="5697" spans="2:23" s="0" customFormat="0" ht="15">
      <c r="B5697" s="87" t="s">
        <v>1</v>
      </c>
      <c r="C5697" s="88" t="s">
        <v>5259</v>
      </c>
      <c r="D5697" s="88" t="s">
        <v>2870</v>
      </c>
      <c r="E5697" s="88" t="s">
        <v>61</v>
      </c>
      <c r="F5697" s="88">
        <v>0</v>
      </c>
      <c r="G5697" s="78">
        <f>MAX(H5697,I5697,J5697)</f>
        <v>1</v>
      </c>
      <c r="H5697" s="88"/>
      <c r="I5697" s="88"/>
      <c r="J5697" s="78">
        <f>MAX(K5697:Q5697)</f>
        <v>1</v>
      </c>
      <c r="K5697" s="88">
        <v>1</v>
      </c>
      <c r="L5697" s="88"/>
      <c r="M5697" s="88"/>
      <c r="N5697" s="88"/>
      <c r="O5697" s="88"/>
      <c r="P5697" s="88"/>
      <c r="Q5697" s="88"/>
      <c r="R5697" s="78">
        <f>MAX(S5697:W5697)</f>
        <v>0</v>
      </c>
      <c r="S5697" s="88"/>
      <c r="T5697" s="88"/>
      <c r="U5697" s="88"/>
      <c r="V5697" s="88"/>
      <c r="W5697" s="88"/>
    </row>
    <row r="5698" spans="2:23" s="0" customFormat="0" ht="15">
      <c r="B5698" s="87" t="s">
        <v>1</v>
      </c>
      <c r="C5698" s="88" t="s">
        <v>5259</v>
      </c>
      <c r="D5698" s="88" t="s">
        <v>3684</v>
      </c>
      <c r="E5698" s="88" t="s">
        <v>61</v>
      </c>
      <c r="F5698" s="88">
        <v>0</v>
      </c>
      <c r="G5698" s="78">
        <f>MAX(H5698,I5698,J5698)</f>
        <v>0</v>
      </c>
      <c r="H5698" s="88"/>
      <c r="I5698" s="88"/>
      <c r="J5698" s="78">
        <f>MAX(K5698:Q5698)</f>
        <v>0</v>
      </c>
      <c r="K5698" s="88"/>
      <c r="L5698" s="88"/>
      <c r="M5698" s="88"/>
      <c r="N5698" s="88"/>
      <c r="O5698" s="88"/>
      <c r="P5698" s="88"/>
      <c r="Q5698" s="88"/>
      <c r="R5698" s="78">
        <f>MAX(S5698:W5698)</f>
        <v>1</v>
      </c>
      <c r="S5698" s="88"/>
      <c r="T5698" s="88"/>
      <c r="U5698" s="88">
        <v>1</v>
      </c>
      <c r="V5698" s="88"/>
      <c r="W5698" s="88"/>
    </row>
    <row r="5699" spans="2:23" s="0" customFormat="0" ht="15">
      <c r="B5699" s="87" t="s">
        <v>1</v>
      </c>
      <c r="C5699" s="88" t="s">
        <v>5259</v>
      </c>
      <c r="D5699" s="88">
        <v>12942096</v>
      </c>
      <c r="E5699" s="88" t="s">
        <v>61</v>
      </c>
      <c r="F5699" s="88">
        <v>0</v>
      </c>
      <c r="G5699" s="78">
        <f>MAX(H5699,I5699,J5699)</f>
        <v>1</v>
      </c>
      <c r="H5699" s="88"/>
      <c r="I5699" s="88"/>
      <c r="J5699" s="78">
        <f>MAX(K5699:Q5699)</f>
        <v>1</v>
      </c>
      <c r="K5699" s="88">
        <v>1</v>
      </c>
      <c r="L5699" s="88"/>
      <c r="M5699" s="88"/>
      <c r="N5699" s="88"/>
      <c r="O5699" s="88"/>
      <c r="P5699" s="88"/>
      <c r="Q5699" s="88"/>
      <c r="R5699" s="78">
        <f>MAX(S5699:W5699)</f>
        <v>0</v>
      </c>
      <c r="S5699" s="88"/>
      <c r="T5699" s="88"/>
      <c r="U5699" s="88"/>
      <c r="V5699" s="88"/>
      <c r="W5699" s="88"/>
    </row>
    <row r="5700" spans="2:23" s="0" customFormat="0" ht="15">
      <c r="B5700" s="87" t="s">
        <v>1</v>
      </c>
      <c r="C5700" s="88" t="s">
        <v>5259</v>
      </c>
      <c r="D5700" s="88" t="s">
        <v>3709</v>
      </c>
      <c r="E5700" s="88" t="s">
        <v>61</v>
      </c>
      <c r="F5700" s="88">
        <v>0</v>
      </c>
      <c r="G5700" s="78">
        <f>MAX(H5700,I5700,J5700)</f>
        <v>0</v>
      </c>
      <c r="H5700" s="88"/>
      <c r="I5700" s="88"/>
      <c r="J5700" s="78">
        <f>MAX(K5700:Q5700)</f>
        <v>0</v>
      </c>
      <c r="K5700" s="88"/>
      <c r="L5700" s="88"/>
      <c r="M5700" s="88"/>
      <c r="N5700" s="88"/>
      <c r="O5700" s="88"/>
      <c r="P5700" s="88"/>
      <c r="Q5700" s="88"/>
      <c r="R5700" s="78">
        <f>MAX(S5700:W5700)</f>
        <v>1</v>
      </c>
      <c r="S5700" s="88"/>
      <c r="T5700" s="88"/>
      <c r="U5700" s="88">
        <v>1</v>
      </c>
      <c r="V5700" s="88"/>
      <c r="W5700" s="88"/>
    </row>
    <row r="5701" spans="2:23" s="0" customFormat="0" ht="15">
      <c r="B5701" s="87" t="s">
        <v>1</v>
      </c>
      <c r="C5701" s="88" t="s">
        <v>5259</v>
      </c>
      <c r="D5701" s="88">
        <v>23118781</v>
      </c>
      <c r="E5701" s="88" t="s">
        <v>61</v>
      </c>
      <c r="F5701" s="88">
        <v>0</v>
      </c>
      <c r="G5701" s="78">
        <f>MAX(H5701,I5701,J5701)</f>
        <v>1</v>
      </c>
      <c r="H5701" s="88"/>
      <c r="I5701" s="88"/>
      <c r="J5701" s="78">
        <f>MAX(K5701:Q5701)</f>
        <v>1</v>
      </c>
      <c r="K5701" s="88">
        <v>1</v>
      </c>
      <c r="L5701" s="88"/>
      <c r="M5701" s="88"/>
      <c r="N5701" s="88"/>
      <c r="O5701" s="88"/>
      <c r="P5701" s="88"/>
      <c r="Q5701" s="88"/>
      <c r="R5701" s="78">
        <f>MAX(S5701:W5701)</f>
        <v>0</v>
      </c>
      <c r="S5701" s="88"/>
      <c r="T5701" s="88"/>
      <c r="U5701" s="88"/>
      <c r="V5701" s="88"/>
      <c r="W5701" s="88"/>
    </row>
    <row r="5702" spans="2:23" s="0" customFormat="0" ht="15">
      <c r="B5702" s="87" t="s">
        <v>1</v>
      </c>
      <c r="C5702" s="88" t="s">
        <v>5259</v>
      </c>
      <c r="D5702" s="88">
        <v>8543657</v>
      </c>
      <c r="E5702" s="88" t="s">
        <v>61</v>
      </c>
      <c r="F5702" s="88">
        <v>0</v>
      </c>
      <c r="G5702" s="78">
        <f>MAX(H5702,I5702,J5702)</f>
        <v>1</v>
      </c>
      <c r="H5702" s="88"/>
      <c r="I5702" s="88"/>
      <c r="J5702" s="78">
        <f>MAX(K5702:Q5702)</f>
        <v>1</v>
      </c>
      <c r="K5702" s="88">
        <v>1</v>
      </c>
      <c r="L5702" s="88"/>
      <c r="M5702" s="88"/>
      <c r="N5702" s="88"/>
      <c r="O5702" s="88"/>
      <c r="P5702" s="88"/>
      <c r="Q5702" s="88"/>
      <c r="R5702" s="78">
        <f>MAX(S5702:W5702)</f>
        <v>0</v>
      </c>
      <c r="S5702" s="88"/>
      <c r="T5702" s="88"/>
      <c r="U5702" s="88"/>
      <c r="V5702" s="88"/>
      <c r="W5702" s="88"/>
    </row>
    <row r="5703" spans="2:23" s="0" customFormat="0" ht="15">
      <c r="B5703" s="87" t="s">
        <v>1</v>
      </c>
      <c r="C5703" s="88" t="s">
        <v>5259</v>
      </c>
      <c r="D5703" s="88">
        <v>7162170</v>
      </c>
      <c r="E5703" s="88" t="s">
        <v>61</v>
      </c>
      <c r="F5703" s="88">
        <v>0</v>
      </c>
      <c r="G5703" s="78">
        <f>MAX(H5703,I5703,J5703)</f>
        <v>1</v>
      </c>
      <c r="H5703" s="88"/>
      <c r="I5703" s="88"/>
      <c r="J5703" s="78">
        <f>MAX(K5703:Q5703)</f>
        <v>1</v>
      </c>
      <c r="K5703" s="88">
        <v>1</v>
      </c>
      <c r="L5703" s="88"/>
      <c r="M5703" s="88"/>
      <c r="N5703" s="88"/>
      <c r="O5703" s="88"/>
      <c r="P5703" s="88"/>
      <c r="Q5703" s="88"/>
      <c r="R5703" s="78">
        <f>MAX(S5703:W5703)</f>
        <v>0</v>
      </c>
      <c r="S5703" s="88"/>
      <c r="T5703" s="88"/>
      <c r="U5703" s="88"/>
      <c r="V5703" s="88"/>
      <c r="W5703" s="88"/>
    </row>
    <row r="5704" spans="2:23" s="0" customFormat="0" ht="15">
      <c r="B5704" s="87" t="s">
        <v>1</v>
      </c>
      <c r="C5704" s="88" t="s">
        <v>5259</v>
      </c>
      <c r="D5704" s="88" t="s">
        <v>3176</v>
      </c>
      <c r="E5704" s="88" t="s">
        <v>61</v>
      </c>
      <c r="F5704" s="88">
        <v>0</v>
      </c>
      <c r="G5704" s="78">
        <f>MAX(H5704,I5704,J5704)</f>
        <v>1</v>
      </c>
      <c r="H5704" s="88"/>
      <c r="I5704" s="88"/>
      <c r="J5704" s="78">
        <f>MAX(K5704:Q5704)</f>
        <v>1</v>
      </c>
      <c r="K5704" s="88"/>
      <c r="L5704" s="88"/>
      <c r="M5704" s="88"/>
      <c r="N5704" s="88"/>
      <c r="O5704" s="88">
        <v>1</v>
      </c>
      <c r="P5704" s="88"/>
      <c r="Q5704" s="88"/>
      <c r="R5704" s="78">
        <f>MAX(S5704:W5704)</f>
        <v>0</v>
      </c>
      <c r="S5704" s="88"/>
      <c r="T5704" s="88"/>
      <c r="U5704" s="88"/>
      <c r="V5704" s="88"/>
      <c r="W5704" s="88"/>
    </row>
    <row r="5705" spans="2:23" s="0" customFormat="0" ht="15">
      <c r="B5705" s="87" t="s">
        <v>1</v>
      </c>
      <c r="C5705" s="88" t="s">
        <v>5259</v>
      </c>
      <c r="D5705" s="88">
        <v>5110635</v>
      </c>
      <c r="E5705" s="88" t="s">
        <v>61</v>
      </c>
      <c r="F5705" s="88">
        <v>0</v>
      </c>
      <c r="G5705" s="78">
        <f>MAX(H5705,I5705,J5705)</f>
        <v>1</v>
      </c>
      <c r="H5705" s="88"/>
      <c r="I5705" s="88"/>
      <c r="J5705" s="78">
        <f>MAX(K5705:Q5705)</f>
        <v>1</v>
      </c>
      <c r="K5705" s="88">
        <v>1</v>
      </c>
      <c r="L5705" s="88"/>
      <c r="M5705" s="88"/>
      <c r="N5705" s="88"/>
      <c r="O5705" s="88"/>
      <c r="P5705" s="88"/>
      <c r="Q5705" s="88"/>
      <c r="R5705" s="78">
        <f>MAX(S5705:W5705)</f>
        <v>0</v>
      </c>
      <c r="S5705" s="88"/>
      <c r="T5705" s="88"/>
      <c r="U5705" s="88"/>
      <c r="V5705" s="88"/>
      <c r="W5705" s="88"/>
    </row>
    <row r="5706" spans="2:23" s="0" customFormat="0" ht="15">
      <c r="B5706" s="87" t="s">
        <v>1</v>
      </c>
      <c r="C5706" s="88" t="s">
        <v>5259</v>
      </c>
      <c r="D5706" s="88" t="s">
        <v>476</v>
      </c>
      <c r="E5706" s="88" t="s">
        <v>61</v>
      </c>
      <c r="F5706" s="88">
        <v>0</v>
      </c>
      <c r="G5706" s="78">
        <f>MAX(H5706,I5706,J5706)</f>
        <v>1</v>
      </c>
      <c r="H5706" s="88"/>
      <c r="I5706" s="88"/>
      <c r="J5706" s="78">
        <f>MAX(K5706:Q5706)</f>
        <v>1</v>
      </c>
      <c r="K5706" s="88">
        <v>1</v>
      </c>
      <c r="L5706" s="88"/>
      <c r="M5706" s="88"/>
      <c r="N5706" s="88"/>
      <c r="O5706" s="88"/>
      <c r="P5706" s="88"/>
      <c r="Q5706" s="88"/>
      <c r="R5706" s="78">
        <f>MAX(S5706:W5706)</f>
        <v>0</v>
      </c>
      <c r="S5706" s="88"/>
      <c r="T5706" s="88"/>
      <c r="U5706" s="88"/>
      <c r="V5706" s="88"/>
      <c r="W5706" s="88"/>
    </row>
    <row r="5707" spans="2:23" s="0" customFormat="0" ht="15">
      <c r="B5707" s="87" t="s">
        <v>1</v>
      </c>
      <c r="C5707" s="88" t="s">
        <v>5259</v>
      </c>
      <c r="D5707" s="88" t="s">
        <v>5000</v>
      </c>
      <c r="E5707" s="88" t="s">
        <v>61</v>
      </c>
      <c r="F5707" s="88">
        <v>0</v>
      </c>
      <c r="G5707" s="78">
        <f>MAX(H5707,I5707,J5707)</f>
        <v>0</v>
      </c>
      <c r="H5707" s="88"/>
      <c r="I5707" s="88"/>
      <c r="J5707" s="78">
        <f>MAX(K5707:Q5707)</f>
        <v>0</v>
      </c>
      <c r="K5707" s="88"/>
      <c r="L5707" s="88"/>
      <c r="M5707" s="88"/>
      <c r="N5707" s="88"/>
      <c r="O5707" s="88"/>
      <c r="P5707" s="88"/>
      <c r="Q5707" s="88"/>
      <c r="R5707" s="78">
        <f>MAX(S5707:W5707)</f>
        <v>1</v>
      </c>
      <c r="S5707" s="88"/>
      <c r="T5707" s="88"/>
      <c r="U5707" s="88">
        <v>1</v>
      </c>
      <c r="V5707" s="88"/>
      <c r="W5707" s="88"/>
    </row>
    <row r="5708" spans="2:23" s="0" customFormat="0" ht="15">
      <c r="B5708" s="87" t="s">
        <v>1</v>
      </c>
      <c r="C5708" s="88" t="s">
        <v>5259</v>
      </c>
      <c r="D5708" s="88">
        <v>7497465</v>
      </c>
      <c r="E5708" s="88" t="s">
        <v>61</v>
      </c>
      <c r="F5708" s="88">
        <v>0</v>
      </c>
      <c r="G5708" s="78">
        <f>MAX(H5708,I5708,J5708)</f>
        <v>1</v>
      </c>
      <c r="H5708" s="88"/>
      <c r="I5708" s="88"/>
      <c r="J5708" s="78">
        <f>MAX(K5708:Q5708)</f>
        <v>1</v>
      </c>
      <c r="K5708" s="88">
        <v>1</v>
      </c>
      <c r="L5708" s="88"/>
      <c r="M5708" s="88"/>
      <c r="N5708" s="88"/>
      <c r="O5708" s="88"/>
      <c r="P5708" s="88"/>
      <c r="Q5708" s="88"/>
      <c r="R5708" s="78">
        <f>MAX(S5708:W5708)</f>
        <v>0</v>
      </c>
      <c r="S5708" s="88"/>
      <c r="T5708" s="88"/>
      <c r="U5708" s="88"/>
      <c r="V5708" s="88"/>
      <c r="W5708" s="88"/>
    </row>
    <row r="5709" spans="2:23" s="0" customFormat="0" ht="15">
      <c r="B5709" s="87" t="s">
        <v>1</v>
      </c>
      <c r="C5709" s="88" t="s">
        <v>5259</v>
      </c>
      <c r="D5709" s="88" t="s">
        <v>4142</v>
      </c>
      <c r="E5709" s="88" t="s">
        <v>61</v>
      </c>
      <c r="F5709" s="88">
        <v>0</v>
      </c>
      <c r="G5709" s="78">
        <f>MAX(H5709,I5709,J5709)</f>
        <v>0</v>
      </c>
      <c r="H5709" s="88"/>
      <c r="I5709" s="88"/>
      <c r="J5709" s="78">
        <f>MAX(K5709:Q5709)</f>
        <v>0</v>
      </c>
      <c r="K5709" s="88"/>
      <c r="L5709" s="88"/>
      <c r="M5709" s="88"/>
      <c r="N5709" s="88"/>
      <c r="O5709" s="88"/>
      <c r="P5709" s="88"/>
      <c r="Q5709" s="88"/>
      <c r="R5709" s="78">
        <f>MAX(S5709:W5709)</f>
        <v>1</v>
      </c>
      <c r="S5709" s="88"/>
      <c r="T5709" s="88"/>
      <c r="U5709" s="88">
        <v>1</v>
      </c>
      <c r="V5709" s="88"/>
      <c r="W5709" s="88"/>
    </row>
    <row r="5710" spans="2:23" s="0" customFormat="0" ht="15">
      <c r="B5710" s="87" t="s">
        <v>1</v>
      </c>
      <c r="C5710" s="88" t="s">
        <v>5259</v>
      </c>
      <c r="D5710" s="88">
        <v>1551412</v>
      </c>
      <c r="E5710" s="88" t="s">
        <v>61</v>
      </c>
      <c r="F5710" s="88">
        <v>0</v>
      </c>
      <c r="G5710" s="78">
        <f>MAX(H5710,I5710,J5710)</f>
        <v>0</v>
      </c>
      <c r="H5710" s="88"/>
      <c r="I5710" s="88"/>
      <c r="J5710" s="78">
        <f>MAX(K5710:Q5710)</f>
        <v>0</v>
      </c>
      <c r="K5710" s="88"/>
      <c r="L5710" s="88"/>
      <c r="M5710" s="88"/>
      <c r="N5710" s="88"/>
      <c r="O5710" s="88"/>
      <c r="P5710" s="88"/>
      <c r="Q5710" s="88"/>
      <c r="R5710" s="78">
        <f>MAX(S5710:W5710)</f>
        <v>1</v>
      </c>
      <c r="S5710" s="88"/>
      <c r="T5710" s="88"/>
      <c r="U5710" s="88">
        <v>1</v>
      </c>
      <c r="V5710" s="88"/>
      <c r="W5710" s="88"/>
    </row>
    <row r="5711" spans="2:23" s="0" customFormat="0" ht="15">
      <c r="B5711" s="87" t="s">
        <v>1</v>
      </c>
      <c r="C5711" s="88" t="s">
        <v>5259</v>
      </c>
      <c r="D5711" s="88">
        <v>12398504</v>
      </c>
      <c r="E5711" s="88" t="s">
        <v>61</v>
      </c>
      <c r="F5711" s="88">
        <v>0</v>
      </c>
      <c r="G5711" s="78">
        <f>MAX(H5711,I5711,J5711)</f>
        <v>1</v>
      </c>
      <c r="H5711" s="88"/>
      <c r="I5711" s="88"/>
      <c r="J5711" s="78">
        <f>MAX(K5711:Q5711)</f>
        <v>1</v>
      </c>
      <c r="K5711" s="88">
        <v>1</v>
      </c>
      <c r="L5711" s="88"/>
      <c r="M5711" s="88"/>
      <c r="N5711" s="88"/>
      <c r="O5711" s="88"/>
      <c r="P5711" s="88"/>
      <c r="Q5711" s="88"/>
      <c r="R5711" s="78">
        <f>MAX(S5711:W5711)</f>
        <v>0</v>
      </c>
      <c r="S5711" s="88"/>
      <c r="T5711" s="88"/>
      <c r="U5711" s="88"/>
      <c r="V5711" s="88"/>
      <c r="W5711" s="88"/>
    </row>
    <row r="5712" spans="2:23" s="0" customFormat="0" ht="15">
      <c r="B5712" s="87" t="s">
        <v>1</v>
      </c>
      <c r="C5712" s="88" t="s">
        <v>5259</v>
      </c>
      <c r="D5712" s="88">
        <v>18944109</v>
      </c>
      <c r="E5712" s="88" t="s">
        <v>61</v>
      </c>
      <c r="F5712" s="88">
        <v>0</v>
      </c>
      <c r="G5712" s="78">
        <f>MAX(H5712,I5712,J5712)</f>
        <v>1</v>
      </c>
      <c r="H5712" s="88"/>
      <c r="I5712" s="88"/>
      <c r="J5712" s="78">
        <f>MAX(K5712:Q5712)</f>
        <v>1</v>
      </c>
      <c r="K5712" s="88">
        <v>1</v>
      </c>
      <c r="L5712" s="88"/>
      <c r="M5712" s="88"/>
      <c r="N5712" s="88"/>
      <c r="O5712" s="88"/>
      <c r="P5712" s="88"/>
      <c r="Q5712" s="88"/>
      <c r="R5712" s="78">
        <f>MAX(S5712:W5712)</f>
        <v>0</v>
      </c>
      <c r="S5712" s="88"/>
      <c r="T5712" s="88"/>
      <c r="U5712" s="88"/>
      <c r="V5712" s="88"/>
      <c r="W5712" s="88"/>
    </row>
    <row r="5713" spans="2:23" s="0" customFormat="0" ht="15">
      <c r="B5713" s="87" t="s">
        <v>1</v>
      </c>
      <c r="C5713" s="88" t="s">
        <v>5259</v>
      </c>
      <c r="D5713" s="88">
        <v>15341920</v>
      </c>
      <c r="E5713" s="88" t="s">
        <v>61</v>
      </c>
      <c r="F5713" s="88">
        <v>0</v>
      </c>
      <c r="G5713" s="78">
        <f>MAX(H5713,I5713,J5713)</f>
        <v>0</v>
      </c>
      <c r="H5713" s="88"/>
      <c r="I5713" s="88"/>
      <c r="J5713" s="78">
        <f>MAX(K5713:Q5713)</f>
        <v>0</v>
      </c>
      <c r="K5713" s="88"/>
      <c r="L5713" s="88"/>
      <c r="M5713" s="88"/>
      <c r="N5713" s="88"/>
      <c r="O5713" s="88"/>
      <c r="P5713" s="88"/>
      <c r="Q5713" s="88"/>
      <c r="R5713" s="78">
        <f>MAX(S5713:W5713)</f>
        <v>1</v>
      </c>
      <c r="S5713" s="88"/>
      <c r="T5713" s="88"/>
      <c r="U5713" s="88"/>
      <c r="V5713" s="88">
        <v>1</v>
      </c>
      <c r="W5713" s="88"/>
    </row>
    <row r="5714" spans="2:23" s="0" customFormat="0" ht="15">
      <c r="B5714" s="87" t="s">
        <v>1</v>
      </c>
      <c r="C5714" s="88" t="s">
        <v>5259</v>
      </c>
      <c r="D5714" s="88">
        <v>11899219</v>
      </c>
      <c r="E5714" s="88" t="s">
        <v>61</v>
      </c>
      <c r="F5714" s="88">
        <v>0</v>
      </c>
      <c r="G5714" s="78">
        <f>MAX(H5714,I5714,J5714)</f>
        <v>1</v>
      </c>
      <c r="H5714" s="88"/>
      <c r="I5714" s="88"/>
      <c r="J5714" s="78">
        <f>MAX(K5714:Q5714)</f>
        <v>1</v>
      </c>
      <c r="K5714" s="88">
        <v>1</v>
      </c>
      <c r="L5714" s="88"/>
      <c r="M5714" s="88"/>
      <c r="N5714" s="88"/>
      <c r="O5714" s="88"/>
      <c r="P5714" s="88"/>
      <c r="Q5714" s="88"/>
      <c r="R5714" s="78">
        <f>MAX(S5714:W5714)</f>
        <v>0</v>
      </c>
      <c r="S5714" s="88"/>
      <c r="T5714" s="88"/>
      <c r="U5714" s="88"/>
      <c r="V5714" s="88"/>
      <c r="W5714" s="88"/>
    </row>
    <row r="5715" spans="2:23" s="0" customFormat="0" ht="15">
      <c r="B5715" s="87" t="s">
        <v>1</v>
      </c>
      <c r="C5715" s="88" t="s">
        <v>5259</v>
      </c>
      <c r="D5715" s="88">
        <v>20658178</v>
      </c>
      <c r="E5715" s="88" t="s">
        <v>61</v>
      </c>
      <c r="F5715" s="88">
        <v>0</v>
      </c>
      <c r="G5715" s="78">
        <f>MAX(H5715,I5715,J5715)</f>
        <v>1</v>
      </c>
      <c r="H5715" s="88"/>
      <c r="I5715" s="88"/>
      <c r="J5715" s="78">
        <f>MAX(K5715:Q5715)</f>
        <v>1</v>
      </c>
      <c r="K5715" s="88">
        <v>1</v>
      </c>
      <c r="L5715" s="88"/>
      <c r="M5715" s="88"/>
      <c r="N5715" s="88"/>
      <c r="O5715" s="88"/>
      <c r="P5715" s="88"/>
      <c r="Q5715" s="88"/>
      <c r="R5715" s="78">
        <f>MAX(S5715:W5715)</f>
        <v>0</v>
      </c>
      <c r="S5715" s="88"/>
      <c r="T5715" s="88"/>
      <c r="U5715" s="88"/>
      <c r="V5715" s="88"/>
      <c r="W5715" s="88"/>
    </row>
    <row r="5716" spans="2:23" s="0" customFormat="0" ht="15">
      <c r="B5716" s="87" t="s">
        <v>1</v>
      </c>
      <c r="C5716" s="88" t="s">
        <v>5259</v>
      </c>
      <c r="D5716" s="88">
        <v>20370878</v>
      </c>
      <c r="E5716" s="88" t="s">
        <v>61</v>
      </c>
      <c r="F5716" s="88">
        <v>0</v>
      </c>
      <c r="G5716" s="78">
        <f>MAX(H5716,I5716,J5716)</f>
        <v>1</v>
      </c>
      <c r="H5716" s="88"/>
      <c r="I5716" s="88"/>
      <c r="J5716" s="78">
        <f>MAX(K5716:Q5716)</f>
        <v>1</v>
      </c>
      <c r="K5716" s="88">
        <v>1</v>
      </c>
      <c r="L5716" s="88"/>
      <c r="M5716" s="88"/>
      <c r="N5716" s="88"/>
      <c r="O5716" s="88"/>
      <c r="P5716" s="88"/>
      <c r="Q5716" s="88"/>
      <c r="R5716" s="78">
        <f>MAX(S5716:W5716)</f>
        <v>0</v>
      </c>
      <c r="S5716" s="88"/>
      <c r="T5716" s="88"/>
      <c r="U5716" s="88"/>
      <c r="V5716" s="88"/>
      <c r="W5716" s="88"/>
    </row>
    <row r="5717" spans="2:23" s="0" customFormat="0" ht="15">
      <c r="B5717" s="87" t="s">
        <v>1</v>
      </c>
      <c r="C5717" s="88" t="s">
        <v>5259</v>
      </c>
      <c r="D5717" s="88" t="s">
        <v>2867</v>
      </c>
      <c r="E5717" s="88" t="s">
        <v>61</v>
      </c>
      <c r="F5717" s="88">
        <v>0</v>
      </c>
      <c r="G5717" s="78">
        <f>MAX(H5717,I5717,J5717)</f>
        <v>1</v>
      </c>
      <c r="H5717" s="88"/>
      <c r="I5717" s="88"/>
      <c r="J5717" s="78">
        <f>MAX(K5717:Q5717)</f>
        <v>1</v>
      </c>
      <c r="K5717" s="88">
        <v>1</v>
      </c>
      <c r="L5717" s="88"/>
      <c r="M5717" s="88"/>
      <c r="N5717" s="88"/>
      <c r="O5717" s="88"/>
      <c r="P5717" s="88"/>
      <c r="Q5717" s="88"/>
      <c r="R5717" s="78">
        <f>MAX(S5717:W5717)</f>
        <v>0</v>
      </c>
      <c r="S5717" s="88"/>
      <c r="T5717" s="88"/>
      <c r="U5717" s="88"/>
      <c r="V5717" s="88"/>
      <c r="W5717" s="88"/>
    </row>
    <row r="5718" spans="2:23" s="0" customFormat="0" ht="15">
      <c r="B5718" s="87" t="s">
        <v>1</v>
      </c>
      <c r="C5718" s="88" t="s">
        <v>5259</v>
      </c>
      <c r="D5718" s="88" t="s">
        <v>4649</v>
      </c>
      <c r="E5718" s="88" t="s">
        <v>61</v>
      </c>
      <c r="F5718" s="88">
        <v>0</v>
      </c>
      <c r="G5718" s="78">
        <f>MAX(H5718,I5718,J5718)</f>
        <v>0</v>
      </c>
      <c r="H5718" s="88"/>
      <c r="I5718" s="88"/>
      <c r="J5718" s="78">
        <f>MAX(K5718:Q5718)</f>
        <v>0</v>
      </c>
      <c r="K5718" s="88"/>
      <c r="L5718" s="88"/>
      <c r="M5718" s="88"/>
      <c r="N5718" s="88"/>
      <c r="O5718" s="88"/>
      <c r="P5718" s="88"/>
      <c r="Q5718" s="88"/>
      <c r="R5718" s="78">
        <f>MAX(S5718:W5718)</f>
        <v>1</v>
      </c>
      <c r="S5718" s="88"/>
      <c r="T5718" s="88"/>
      <c r="U5718" s="88">
        <v>1</v>
      </c>
      <c r="V5718" s="88"/>
      <c r="W5718" s="88"/>
    </row>
    <row r="5719" spans="2:23" s="0" customFormat="0" ht="15">
      <c r="B5719" s="87" t="s">
        <v>1</v>
      </c>
      <c r="C5719" s="88" t="s">
        <v>5259</v>
      </c>
      <c r="D5719" s="88" t="s">
        <v>1710</v>
      </c>
      <c r="E5719" s="88" t="s">
        <v>61</v>
      </c>
      <c r="F5719" s="88">
        <v>0</v>
      </c>
      <c r="G5719" s="78">
        <f>MAX(H5719,I5719,J5719)</f>
        <v>1</v>
      </c>
      <c r="H5719" s="88"/>
      <c r="I5719" s="88"/>
      <c r="J5719" s="78">
        <f>MAX(K5719:Q5719)</f>
        <v>1</v>
      </c>
      <c r="K5719" s="88">
        <v>1</v>
      </c>
      <c r="L5719" s="88"/>
      <c r="M5719" s="88"/>
      <c r="N5719" s="88"/>
      <c r="O5719" s="88"/>
      <c r="P5719" s="88"/>
      <c r="Q5719" s="88"/>
      <c r="R5719" s="78">
        <f>MAX(S5719:W5719)</f>
        <v>0</v>
      </c>
      <c r="S5719" s="88"/>
      <c r="T5719" s="88"/>
      <c r="U5719" s="88"/>
      <c r="V5719" s="88"/>
      <c r="W5719" s="88"/>
    </row>
    <row r="5720" spans="2:23" s="0" customFormat="0" ht="15">
      <c r="B5720" s="87" t="s">
        <v>1</v>
      </c>
      <c r="C5720" s="88" t="s">
        <v>5259</v>
      </c>
      <c r="D5720" s="88">
        <v>1928022</v>
      </c>
      <c r="E5720" s="88" t="s">
        <v>61</v>
      </c>
      <c r="F5720" s="88">
        <v>0</v>
      </c>
      <c r="G5720" s="78">
        <f>MAX(H5720,I5720,J5720)</f>
        <v>0</v>
      </c>
      <c r="H5720" s="88"/>
      <c r="I5720" s="88"/>
      <c r="J5720" s="78">
        <f>MAX(K5720:Q5720)</f>
        <v>0</v>
      </c>
      <c r="K5720" s="88"/>
      <c r="L5720" s="88"/>
      <c r="M5720" s="88"/>
      <c r="N5720" s="88"/>
      <c r="O5720" s="88"/>
      <c r="P5720" s="88"/>
      <c r="Q5720" s="88"/>
      <c r="R5720" s="78">
        <f>MAX(S5720:W5720)</f>
        <v>1</v>
      </c>
      <c r="S5720" s="88"/>
      <c r="T5720" s="88"/>
      <c r="U5720" s="88">
        <v>1</v>
      </c>
      <c r="V5720" s="88"/>
      <c r="W5720" s="88"/>
    </row>
    <row r="5721" spans="2:23" s="0" customFormat="0" ht="15">
      <c r="B5721" s="87" t="s">
        <v>1</v>
      </c>
      <c r="C5721" s="88" t="s">
        <v>5259</v>
      </c>
      <c r="D5721" s="88">
        <v>20708336</v>
      </c>
      <c r="E5721" s="88" t="s">
        <v>61</v>
      </c>
      <c r="F5721" s="88">
        <v>0</v>
      </c>
      <c r="G5721" s="78">
        <f>MAX(H5721,I5721,J5721)</f>
        <v>1</v>
      </c>
      <c r="H5721" s="88"/>
      <c r="I5721" s="88"/>
      <c r="J5721" s="78">
        <f>MAX(K5721:Q5721)</f>
        <v>1</v>
      </c>
      <c r="K5721" s="88">
        <v>1</v>
      </c>
      <c r="L5721" s="88"/>
      <c r="M5721" s="88"/>
      <c r="N5721" s="88"/>
      <c r="O5721" s="88"/>
      <c r="P5721" s="88"/>
      <c r="Q5721" s="88"/>
      <c r="R5721" s="78">
        <f>MAX(S5721:W5721)</f>
        <v>0</v>
      </c>
      <c r="S5721" s="88"/>
      <c r="T5721" s="88"/>
      <c r="U5721" s="88"/>
      <c r="V5721" s="88"/>
      <c r="W5721" s="88"/>
    </row>
    <row r="5722" spans="2:23" s="0" customFormat="0" ht="15">
      <c r="B5722" s="87" t="s">
        <v>1</v>
      </c>
      <c r="C5722" s="88" t="s">
        <v>5259</v>
      </c>
      <c r="D5722" s="88" t="s">
        <v>4302</v>
      </c>
      <c r="E5722" s="88" t="s">
        <v>61</v>
      </c>
      <c r="F5722" s="88">
        <v>0</v>
      </c>
      <c r="G5722" s="78">
        <f>MAX(H5722,I5722,J5722)</f>
        <v>0</v>
      </c>
      <c r="H5722" s="88"/>
      <c r="I5722" s="88"/>
      <c r="J5722" s="78">
        <f>MAX(K5722:Q5722)</f>
        <v>0</v>
      </c>
      <c r="K5722" s="88"/>
      <c r="L5722" s="88"/>
      <c r="M5722" s="88"/>
      <c r="N5722" s="88"/>
      <c r="O5722" s="88"/>
      <c r="P5722" s="88"/>
      <c r="Q5722" s="88"/>
      <c r="R5722" s="78">
        <f>MAX(S5722:W5722)</f>
        <v>1</v>
      </c>
      <c r="S5722" s="88"/>
      <c r="T5722" s="88"/>
      <c r="U5722" s="88">
        <v>1</v>
      </c>
      <c r="V5722" s="88"/>
      <c r="W5722" s="88"/>
    </row>
    <row r="5723" spans="2:23" s="0" customFormat="0" ht="15">
      <c r="B5723" s="87" t="s">
        <v>1</v>
      </c>
      <c r="C5723" s="88" t="s">
        <v>5259</v>
      </c>
      <c r="D5723" s="88">
        <v>23045956</v>
      </c>
      <c r="E5723" s="88" t="s">
        <v>61</v>
      </c>
      <c r="F5723" s="88">
        <v>0</v>
      </c>
      <c r="G5723" s="78">
        <f>MAX(H5723,I5723,J5723)</f>
        <v>1</v>
      </c>
      <c r="H5723" s="88"/>
      <c r="I5723" s="88"/>
      <c r="J5723" s="78">
        <f>MAX(K5723:Q5723)</f>
        <v>1</v>
      </c>
      <c r="K5723" s="88"/>
      <c r="L5723" s="88"/>
      <c r="M5723" s="88">
        <v>1</v>
      </c>
      <c r="N5723" s="88"/>
      <c r="O5723" s="88"/>
      <c r="P5723" s="88"/>
      <c r="Q5723" s="88"/>
      <c r="R5723" s="78">
        <f>MAX(S5723:W5723)</f>
        <v>0</v>
      </c>
      <c r="S5723" s="88"/>
      <c r="T5723" s="88"/>
      <c r="U5723" s="88"/>
      <c r="V5723" s="88"/>
      <c r="W5723" s="88"/>
    </row>
    <row r="5724" spans="2:23" s="0" customFormat="0" ht="15">
      <c r="B5724" s="87" t="s">
        <v>1</v>
      </c>
      <c r="C5724" s="88" t="s">
        <v>5259</v>
      </c>
      <c r="D5724" s="88">
        <v>8416920</v>
      </c>
      <c r="E5724" s="88" t="s">
        <v>61</v>
      </c>
      <c r="F5724" s="88">
        <v>0</v>
      </c>
      <c r="G5724" s="78">
        <f>MAX(H5724,I5724,J5724)</f>
        <v>1</v>
      </c>
      <c r="H5724" s="88"/>
      <c r="I5724" s="88"/>
      <c r="J5724" s="78">
        <f>MAX(K5724:Q5724)</f>
        <v>1</v>
      </c>
      <c r="K5724" s="88">
        <v>1</v>
      </c>
      <c r="L5724" s="88"/>
      <c r="M5724" s="88"/>
      <c r="N5724" s="88"/>
      <c r="O5724" s="88"/>
      <c r="P5724" s="88"/>
      <c r="Q5724" s="88"/>
      <c r="R5724" s="78">
        <f>MAX(S5724:W5724)</f>
        <v>0</v>
      </c>
      <c r="S5724" s="88"/>
      <c r="T5724" s="88"/>
      <c r="U5724" s="88"/>
      <c r="V5724" s="88"/>
      <c r="W5724" s="88"/>
    </row>
    <row r="5725" spans="2:23" s="0" customFormat="0" ht="15">
      <c r="B5725" s="87" t="s">
        <v>1</v>
      </c>
      <c r="C5725" s="88" t="s">
        <v>5259</v>
      </c>
      <c r="D5725" s="88">
        <v>14690505</v>
      </c>
      <c r="E5725" s="88" t="s">
        <v>61</v>
      </c>
      <c r="F5725" s="88">
        <v>0</v>
      </c>
      <c r="G5725" s="78">
        <f>MAX(H5725,I5725,J5725)</f>
        <v>1</v>
      </c>
      <c r="H5725" s="88"/>
      <c r="I5725" s="88"/>
      <c r="J5725" s="78">
        <f>MAX(K5725:Q5725)</f>
        <v>1</v>
      </c>
      <c r="K5725" s="88">
        <v>1</v>
      </c>
      <c r="L5725" s="88"/>
      <c r="M5725" s="88"/>
      <c r="N5725" s="88"/>
      <c r="O5725" s="88"/>
      <c r="P5725" s="88"/>
      <c r="Q5725" s="88"/>
      <c r="R5725" s="78">
        <f>MAX(S5725:W5725)</f>
        <v>0</v>
      </c>
      <c r="S5725" s="88"/>
      <c r="T5725" s="88"/>
      <c r="U5725" s="88"/>
      <c r="V5725" s="88"/>
      <c r="W5725" s="88"/>
    </row>
    <row r="5726" spans="2:23" s="0" customFormat="0" ht="15">
      <c r="B5726" s="87" t="s">
        <v>1</v>
      </c>
      <c r="C5726" s="88" t="s">
        <v>5259</v>
      </c>
      <c r="D5726" s="88">
        <v>21743758</v>
      </c>
      <c r="E5726" s="88" t="s">
        <v>61</v>
      </c>
      <c r="F5726" s="88">
        <v>0</v>
      </c>
      <c r="G5726" s="78">
        <f>MAX(H5726,I5726,J5726)</f>
        <v>1</v>
      </c>
      <c r="H5726" s="88"/>
      <c r="I5726" s="88"/>
      <c r="J5726" s="78">
        <f>MAX(K5726:Q5726)</f>
        <v>1</v>
      </c>
      <c r="K5726" s="88">
        <v>1</v>
      </c>
      <c r="L5726" s="88"/>
      <c r="M5726" s="88"/>
      <c r="N5726" s="88"/>
      <c r="O5726" s="88"/>
      <c r="P5726" s="88"/>
      <c r="Q5726" s="88"/>
      <c r="R5726" s="78">
        <f>MAX(S5726:W5726)</f>
        <v>0</v>
      </c>
      <c r="S5726" s="88"/>
      <c r="T5726" s="88"/>
      <c r="U5726" s="88"/>
      <c r="V5726" s="88"/>
      <c r="W5726" s="88"/>
    </row>
    <row r="5727" spans="2:23" s="0" customFormat="0" ht="15">
      <c r="B5727" s="87" t="s">
        <v>1</v>
      </c>
      <c r="C5727" s="88" t="s">
        <v>5259</v>
      </c>
      <c r="D5727" s="88">
        <v>16637778</v>
      </c>
      <c r="E5727" s="88" t="s">
        <v>61</v>
      </c>
      <c r="F5727" s="88">
        <v>0</v>
      </c>
      <c r="G5727" s="78">
        <f>MAX(H5727,I5727,J5727)</f>
        <v>1</v>
      </c>
      <c r="H5727" s="88"/>
      <c r="I5727" s="88"/>
      <c r="J5727" s="78">
        <f>MAX(K5727:Q5727)</f>
        <v>1</v>
      </c>
      <c r="K5727" s="88">
        <v>1</v>
      </c>
      <c r="L5727" s="88"/>
      <c r="M5727" s="88"/>
      <c r="N5727" s="88"/>
      <c r="O5727" s="88"/>
      <c r="P5727" s="88"/>
      <c r="Q5727" s="88"/>
      <c r="R5727" s="78">
        <f>MAX(S5727:W5727)</f>
        <v>0</v>
      </c>
      <c r="S5727" s="88"/>
      <c r="T5727" s="88"/>
      <c r="U5727" s="88"/>
      <c r="V5727" s="88"/>
      <c r="W5727" s="88"/>
    </row>
    <row r="5728" spans="2:23" s="0" customFormat="0" ht="15">
      <c r="B5728" s="87" t="s">
        <v>1</v>
      </c>
      <c r="C5728" s="88" t="s">
        <v>5259</v>
      </c>
      <c r="D5728" s="88">
        <v>15645431</v>
      </c>
      <c r="E5728" s="88" t="s">
        <v>61</v>
      </c>
      <c r="F5728" s="88">
        <v>0</v>
      </c>
      <c r="G5728" s="78">
        <f>MAX(H5728,I5728,J5728)</f>
        <v>1</v>
      </c>
      <c r="H5728" s="88"/>
      <c r="I5728" s="88"/>
      <c r="J5728" s="78">
        <f>MAX(K5728:Q5728)</f>
        <v>1</v>
      </c>
      <c r="K5728" s="88">
        <v>1</v>
      </c>
      <c r="L5728" s="88"/>
      <c r="M5728" s="88"/>
      <c r="N5728" s="88"/>
      <c r="O5728" s="88"/>
      <c r="P5728" s="88"/>
      <c r="Q5728" s="88"/>
      <c r="R5728" s="78">
        <f>MAX(S5728:W5728)</f>
        <v>0</v>
      </c>
      <c r="S5728" s="88"/>
      <c r="T5728" s="88"/>
      <c r="U5728" s="88"/>
      <c r="V5728" s="88"/>
      <c r="W5728" s="88"/>
    </row>
    <row r="5729" spans="2:23" s="0" customFormat="0" ht="15">
      <c r="B5729" s="87" t="s">
        <v>1</v>
      </c>
      <c r="C5729" s="88" t="s">
        <v>5259</v>
      </c>
      <c r="D5729" s="88">
        <v>23673151</v>
      </c>
      <c r="E5729" s="88" t="s">
        <v>61</v>
      </c>
      <c r="F5729" s="88">
        <v>0</v>
      </c>
      <c r="G5729" s="78">
        <f>MAX(H5729,I5729,J5729)</f>
        <v>1</v>
      </c>
      <c r="H5729" s="88"/>
      <c r="I5729" s="88"/>
      <c r="J5729" s="78">
        <f>MAX(K5729:Q5729)</f>
        <v>1</v>
      </c>
      <c r="K5729" s="88"/>
      <c r="L5729" s="88"/>
      <c r="M5729" s="88"/>
      <c r="N5729" s="88"/>
      <c r="O5729" s="88">
        <v>1</v>
      </c>
      <c r="P5729" s="88"/>
      <c r="Q5729" s="88"/>
      <c r="R5729" s="78">
        <f>MAX(S5729:W5729)</f>
        <v>0</v>
      </c>
      <c r="S5729" s="88"/>
      <c r="T5729" s="88"/>
      <c r="U5729" s="88"/>
      <c r="V5729" s="88"/>
      <c r="W5729" s="88"/>
    </row>
    <row r="5730" spans="2:23" s="0" customFormat="0" ht="15">
      <c r="B5730" s="87" t="s">
        <v>1</v>
      </c>
      <c r="C5730" s="88" t="s">
        <v>5259</v>
      </c>
      <c r="D5730" s="88" t="s">
        <v>3237</v>
      </c>
      <c r="E5730" s="88" t="s">
        <v>61</v>
      </c>
      <c r="F5730" s="88">
        <v>0</v>
      </c>
      <c r="G5730" s="78">
        <f>MAX(H5730,I5730,J5730)</f>
        <v>0</v>
      </c>
      <c r="H5730" s="88"/>
      <c r="I5730" s="88"/>
      <c r="J5730" s="78">
        <f>MAX(K5730:Q5730)</f>
        <v>0</v>
      </c>
      <c r="K5730" s="88"/>
      <c r="L5730" s="88"/>
      <c r="M5730" s="88"/>
      <c r="N5730" s="88"/>
      <c r="O5730" s="88"/>
      <c r="P5730" s="88"/>
      <c r="Q5730" s="88"/>
      <c r="R5730" s="78">
        <f>MAX(S5730:W5730)</f>
        <v>1</v>
      </c>
      <c r="S5730" s="88"/>
      <c r="T5730" s="88"/>
      <c r="U5730" s="88"/>
      <c r="V5730" s="88">
        <v>1</v>
      </c>
      <c r="W5730" s="88"/>
    </row>
    <row r="5731" spans="2:23" s="0" customFormat="0" ht="15">
      <c r="B5731" s="87" t="s">
        <v>1</v>
      </c>
      <c r="C5731" s="88" t="s">
        <v>5259</v>
      </c>
      <c r="D5731" s="88">
        <v>19806895</v>
      </c>
      <c r="E5731" s="88" t="s">
        <v>61</v>
      </c>
      <c r="F5731" s="88">
        <v>0</v>
      </c>
      <c r="G5731" s="78">
        <f>MAX(H5731,I5731,J5731)</f>
        <v>1</v>
      </c>
      <c r="H5731" s="88"/>
      <c r="I5731" s="88"/>
      <c r="J5731" s="78">
        <f>MAX(K5731:Q5731)</f>
        <v>1</v>
      </c>
      <c r="K5731" s="88">
        <v>1</v>
      </c>
      <c r="L5731" s="88"/>
      <c r="M5731" s="88"/>
      <c r="N5731" s="88"/>
      <c r="O5731" s="88"/>
      <c r="P5731" s="88"/>
      <c r="Q5731" s="88"/>
      <c r="R5731" s="78">
        <f>MAX(S5731:W5731)</f>
        <v>0</v>
      </c>
      <c r="S5731" s="88"/>
      <c r="T5731" s="88"/>
      <c r="U5731" s="88"/>
      <c r="V5731" s="88"/>
      <c r="W5731" s="88"/>
    </row>
    <row r="5732" spans="2:23" s="0" customFormat="0" ht="15">
      <c r="B5732" s="87" t="s">
        <v>1</v>
      </c>
      <c r="C5732" s="88" t="s">
        <v>5259</v>
      </c>
      <c r="D5732" s="88">
        <v>7065947</v>
      </c>
      <c r="E5732" s="88" t="s">
        <v>61</v>
      </c>
      <c r="F5732" s="88">
        <v>0</v>
      </c>
      <c r="G5732" s="78">
        <f>MAX(H5732,I5732,J5732)</f>
        <v>0</v>
      </c>
      <c r="H5732" s="88"/>
      <c r="I5732" s="88"/>
      <c r="J5732" s="78">
        <f>MAX(K5732:Q5732)</f>
        <v>0</v>
      </c>
      <c r="K5732" s="88"/>
      <c r="L5732" s="88"/>
      <c r="M5732" s="88"/>
      <c r="N5732" s="88"/>
      <c r="O5732" s="88"/>
      <c r="P5732" s="88"/>
      <c r="Q5732" s="88"/>
      <c r="R5732" s="78">
        <f>MAX(S5732:W5732)</f>
        <v>1</v>
      </c>
      <c r="S5732" s="88"/>
      <c r="T5732" s="88"/>
      <c r="U5732" s="88">
        <v>1</v>
      </c>
      <c r="V5732" s="88"/>
      <c r="W5732" s="88"/>
    </row>
    <row r="5733" spans="2:23" s="0" customFormat="0" ht="15">
      <c r="B5733" s="87" t="s">
        <v>1</v>
      </c>
      <c r="C5733" s="88" t="s">
        <v>5259</v>
      </c>
      <c r="D5733" s="88" t="s">
        <v>2599</v>
      </c>
      <c r="E5733" s="88" t="s">
        <v>61</v>
      </c>
      <c r="F5733" s="88">
        <v>0</v>
      </c>
      <c r="G5733" s="78">
        <f>MAX(H5733,I5733,J5733)</f>
        <v>1</v>
      </c>
      <c r="H5733" s="88"/>
      <c r="I5733" s="88"/>
      <c r="J5733" s="78">
        <f>MAX(K5733:Q5733)</f>
        <v>1</v>
      </c>
      <c r="K5733" s="88">
        <v>1</v>
      </c>
      <c r="L5733" s="88"/>
      <c r="M5733" s="88"/>
      <c r="N5733" s="88"/>
      <c r="O5733" s="88"/>
      <c r="P5733" s="88"/>
      <c r="Q5733" s="88"/>
      <c r="R5733" s="78">
        <f>MAX(S5733:W5733)</f>
        <v>0</v>
      </c>
      <c r="S5733" s="88"/>
      <c r="T5733" s="88"/>
      <c r="U5733" s="88"/>
      <c r="V5733" s="88"/>
      <c r="W5733" s="88"/>
    </row>
    <row r="5734" spans="2:23" s="0" customFormat="0" ht="15">
      <c r="B5734" s="87" t="s">
        <v>1</v>
      </c>
      <c r="C5734" s="88" t="s">
        <v>5259</v>
      </c>
      <c r="D5734" s="88" t="s">
        <v>2901</v>
      </c>
      <c r="E5734" s="88" t="s">
        <v>61</v>
      </c>
      <c r="F5734" s="88">
        <v>0</v>
      </c>
      <c r="G5734" s="78">
        <f>MAX(H5734,I5734,J5734)</f>
        <v>1</v>
      </c>
      <c r="H5734" s="88"/>
      <c r="I5734" s="88"/>
      <c r="J5734" s="78">
        <f>MAX(K5734:Q5734)</f>
        <v>1</v>
      </c>
      <c r="K5734" s="88">
        <v>1</v>
      </c>
      <c r="L5734" s="88"/>
      <c r="M5734" s="88"/>
      <c r="N5734" s="88"/>
      <c r="O5734" s="88"/>
      <c r="P5734" s="88"/>
      <c r="Q5734" s="88"/>
      <c r="R5734" s="78">
        <f>MAX(S5734:W5734)</f>
        <v>0</v>
      </c>
      <c r="S5734" s="88"/>
      <c r="T5734" s="88"/>
      <c r="U5734" s="88"/>
      <c r="V5734" s="88"/>
      <c r="W5734" s="88"/>
    </row>
    <row r="5735" spans="2:23" s="0" customFormat="0" ht="15">
      <c r="B5735" s="87" t="s">
        <v>1</v>
      </c>
      <c r="C5735" s="88" t="s">
        <v>5259</v>
      </c>
      <c r="D5735" s="88">
        <v>4151959</v>
      </c>
      <c r="E5735" s="88" t="s">
        <v>61</v>
      </c>
      <c r="F5735" s="88">
        <v>0</v>
      </c>
      <c r="G5735" s="78">
        <f>MAX(H5735,I5735,J5735)</f>
        <v>1</v>
      </c>
      <c r="H5735" s="88"/>
      <c r="I5735" s="88"/>
      <c r="J5735" s="78">
        <f>MAX(K5735:Q5735)</f>
        <v>1</v>
      </c>
      <c r="K5735" s="88">
        <v>1</v>
      </c>
      <c r="L5735" s="88"/>
      <c r="M5735" s="88"/>
      <c r="N5735" s="88"/>
      <c r="O5735" s="88"/>
      <c r="P5735" s="88"/>
      <c r="Q5735" s="88"/>
      <c r="R5735" s="78">
        <f>MAX(S5735:W5735)</f>
        <v>0</v>
      </c>
      <c r="S5735" s="88"/>
      <c r="T5735" s="88"/>
      <c r="U5735" s="88"/>
      <c r="V5735" s="88"/>
      <c r="W5735" s="88"/>
    </row>
    <row r="5736" spans="2:23" s="0" customFormat="0" ht="15">
      <c r="B5736" s="87" t="s">
        <v>1</v>
      </c>
      <c r="C5736" s="88" t="s">
        <v>5259</v>
      </c>
      <c r="D5736" s="88" t="s">
        <v>3216</v>
      </c>
      <c r="E5736" s="88" t="s">
        <v>61</v>
      </c>
      <c r="F5736" s="88">
        <v>0</v>
      </c>
      <c r="G5736" s="78">
        <f>MAX(H5736,I5736,J5736)</f>
        <v>0</v>
      </c>
      <c r="H5736" s="88"/>
      <c r="I5736" s="88"/>
      <c r="J5736" s="78">
        <f>MAX(K5736:Q5736)</f>
        <v>0</v>
      </c>
      <c r="K5736" s="88"/>
      <c r="L5736" s="88"/>
      <c r="M5736" s="88"/>
      <c r="N5736" s="88"/>
      <c r="O5736" s="88"/>
      <c r="P5736" s="88"/>
      <c r="Q5736" s="88"/>
      <c r="R5736" s="78">
        <f>MAX(S5736:W5736)</f>
        <v>1</v>
      </c>
      <c r="S5736" s="88"/>
      <c r="T5736" s="88"/>
      <c r="U5736" s="88"/>
      <c r="V5736" s="88">
        <v>1</v>
      </c>
      <c r="W5736" s="88"/>
    </row>
    <row r="5737" spans="2:23" s="0" customFormat="0" ht="15">
      <c r="B5737" s="87" t="s">
        <v>1</v>
      </c>
      <c r="C5737" s="88" t="s">
        <v>5259</v>
      </c>
      <c r="D5737" s="88">
        <v>4329873</v>
      </c>
      <c r="E5737" s="88" t="s">
        <v>61</v>
      </c>
      <c r="F5737" s="88">
        <v>0</v>
      </c>
      <c r="G5737" s="78">
        <f>MAX(H5737,I5737,J5737)</f>
        <v>1</v>
      </c>
      <c r="H5737" s="88"/>
      <c r="I5737" s="88"/>
      <c r="J5737" s="78">
        <f>MAX(K5737:Q5737)</f>
        <v>1</v>
      </c>
      <c r="K5737" s="88">
        <v>1</v>
      </c>
      <c r="L5737" s="88"/>
      <c r="M5737" s="88"/>
      <c r="N5737" s="88"/>
      <c r="O5737" s="88"/>
      <c r="P5737" s="88"/>
      <c r="Q5737" s="88"/>
      <c r="R5737" s="78">
        <f>MAX(S5737:W5737)</f>
        <v>0</v>
      </c>
      <c r="S5737" s="88"/>
      <c r="T5737" s="88"/>
      <c r="U5737" s="88"/>
      <c r="V5737" s="88"/>
      <c r="W5737" s="88"/>
    </row>
    <row r="5738" spans="2:23" s="0" customFormat="0" ht="15">
      <c r="B5738" s="87" t="s">
        <v>1</v>
      </c>
      <c r="C5738" s="88" t="s">
        <v>5259</v>
      </c>
      <c r="D5738" s="88">
        <v>23482886</v>
      </c>
      <c r="E5738" s="88" t="s">
        <v>61</v>
      </c>
      <c r="F5738" s="88">
        <v>0</v>
      </c>
      <c r="G5738" s="78">
        <f>MAX(H5738,I5738,J5738)</f>
        <v>1</v>
      </c>
      <c r="H5738" s="88"/>
      <c r="I5738" s="88"/>
      <c r="J5738" s="78">
        <f>MAX(K5738:Q5738)</f>
        <v>1</v>
      </c>
      <c r="K5738" s="88">
        <v>1</v>
      </c>
      <c r="L5738" s="88"/>
      <c r="M5738" s="88"/>
      <c r="N5738" s="88"/>
      <c r="O5738" s="88"/>
      <c r="P5738" s="88"/>
      <c r="Q5738" s="88"/>
      <c r="R5738" s="78">
        <f>MAX(S5738:W5738)</f>
        <v>0</v>
      </c>
      <c r="S5738" s="88"/>
      <c r="T5738" s="88"/>
      <c r="U5738" s="88"/>
      <c r="V5738" s="88"/>
      <c r="W5738" s="88"/>
    </row>
    <row r="5739" spans="2:23" s="0" customFormat="0" ht="15">
      <c r="B5739" s="87" t="s">
        <v>1</v>
      </c>
      <c r="C5739" s="88" t="s">
        <v>5259</v>
      </c>
      <c r="D5739" s="88" t="s">
        <v>3842</v>
      </c>
      <c r="E5739" s="88" t="s">
        <v>61</v>
      </c>
      <c r="F5739" s="88">
        <v>0</v>
      </c>
      <c r="G5739" s="78">
        <f>MAX(H5739,I5739,J5739)</f>
        <v>0</v>
      </c>
      <c r="H5739" s="88"/>
      <c r="I5739" s="88"/>
      <c r="J5739" s="78">
        <f>MAX(K5739:Q5739)</f>
        <v>0</v>
      </c>
      <c r="K5739" s="88"/>
      <c r="L5739" s="88"/>
      <c r="M5739" s="88"/>
      <c r="N5739" s="88"/>
      <c r="O5739" s="88"/>
      <c r="P5739" s="88"/>
      <c r="Q5739" s="88"/>
      <c r="R5739" s="78">
        <f>MAX(S5739:W5739)</f>
        <v>1</v>
      </c>
      <c r="S5739" s="88"/>
      <c r="T5739" s="88"/>
      <c r="U5739" s="88">
        <v>1</v>
      </c>
      <c r="V5739" s="88"/>
      <c r="W5739" s="88"/>
    </row>
    <row r="5740" spans="2:23" s="0" customFormat="0" ht="15">
      <c r="B5740" s="87" t="s">
        <v>1</v>
      </c>
      <c r="C5740" s="88" t="s">
        <v>5259</v>
      </c>
      <c r="D5740" s="88">
        <v>19178554</v>
      </c>
      <c r="E5740" s="88" t="s">
        <v>61</v>
      </c>
      <c r="F5740" s="88">
        <v>0</v>
      </c>
      <c r="G5740" s="78">
        <f>MAX(H5740,I5740,J5740)</f>
        <v>1</v>
      </c>
      <c r="H5740" s="88"/>
      <c r="I5740" s="88"/>
      <c r="J5740" s="78">
        <f>MAX(K5740:Q5740)</f>
        <v>1</v>
      </c>
      <c r="K5740" s="88">
        <v>1</v>
      </c>
      <c r="L5740" s="88"/>
      <c r="M5740" s="88"/>
      <c r="N5740" s="88"/>
      <c r="O5740" s="88"/>
      <c r="P5740" s="88"/>
      <c r="Q5740" s="88"/>
      <c r="R5740" s="78">
        <f>MAX(S5740:W5740)</f>
        <v>0</v>
      </c>
      <c r="S5740" s="88"/>
      <c r="T5740" s="88"/>
      <c r="U5740" s="88"/>
      <c r="V5740" s="88"/>
      <c r="W5740" s="88"/>
    </row>
    <row r="5741" spans="2:23" s="0" customFormat="0" ht="15">
      <c r="B5741" s="87" t="s">
        <v>1</v>
      </c>
      <c r="C5741" s="88" t="s">
        <v>5259</v>
      </c>
      <c r="D5741" s="88">
        <v>24178931</v>
      </c>
      <c r="E5741" s="88" t="s">
        <v>61</v>
      </c>
      <c r="F5741" s="88">
        <v>0</v>
      </c>
      <c r="G5741" s="78">
        <f>MAX(H5741,I5741,J5741)</f>
        <v>1</v>
      </c>
      <c r="H5741" s="88"/>
      <c r="I5741" s="88"/>
      <c r="J5741" s="78">
        <f>MAX(K5741:Q5741)</f>
        <v>1</v>
      </c>
      <c r="K5741" s="88">
        <v>1</v>
      </c>
      <c r="L5741" s="88"/>
      <c r="M5741" s="88"/>
      <c r="N5741" s="88"/>
      <c r="O5741" s="88"/>
      <c r="P5741" s="88"/>
      <c r="Q5741" s="88"/>
      <c r="R5741" s="78">
        <f>MAX(S5741:W5741)</f>
        <v>0</v>
      </c>
      <c r="S5741" s="88"/>
      <c r="T5741" s="88"/>
      <c r="U5741" s="88"/>
      <c r="V5741" s="88"/>
      <c r="W5741" s="88"/>
    </row>
    <row r="5742" spans="2:23" s="0" customFormat="0" ht="15">
      <c r="B5742" s="87" t="s">
        <v>1</v>
      </c>
      <c r="C5742" s="88" t="s">
        <v>5259</v>
      </c>
      <c r="D5742" s="88">
        <v>13285034</v>
      </c>
      <c r="E5742" s="88" t="s">
        <v>61</v>
      </c>
      <c r="F5742" s="88">
        <v>0</v>
      </c>
      <c r="G5742" s="78">
        <f>MAX(H5742,I5742,J5742)</f>
        <v>0</v>
      </c>
      <c r="H5742" s="88"/>
      <c r="I5742" s="88"/>
      <c r="J5742" s="78">
        <f>MAX(K5742:Q5742)</f>
        <v>0</v>
      </c>
      <c r="K5742" s="88"/>
      <c r="L5742" s="88"/>
      <c r="M5742" s="88"/>
      <c r="N5742" s="88"/>
      <c r="O5742" s="88"/>
      <c r="P5742" s="88"/>
      <c r="Q5742" s="88"/>
      <c r="R5742" s="78">
        <f>MAX(S5742:W5742)</f>
        <v>1</v>
      </c>
      <c r="S5742" s="88"/>
      <c r="T5742" s="88"/>
      <c r="U5742" s="88">
        <v>1</v>
      </c>
      <c r="V5742" s="88"/>
      <c r="W5742" s="88"/>
    </row>
    <row r="5743" spans="2:23" s="0" customFormat="0" ht="15">
      <c r="B5743" s="87" t="s">
        <v>1</v>
      </c>
      <c r="C5743" s="88" t="s">
        <v>5259</v>
      </c>
      <c r="D5743" s="88">
        <v>22554418</v>
      </c>
      <c r="E5743" s="88" t="s">
        <v>61</v>
      </c>
      <c r="F5743" s="88">
        <v>0</v>
      </c>
      <c r="G5743" s="78">
        <f>MAX(H5743,I5743,J5743)</f>
        <v>0</v>
      </c>
      <c r="H5743" s="88"/>
      <c r="I5743" s="88"/>
      <c r="J5743" s="78">
        <f>MAX(K5743:Q5743)</f>
        <v>0</v>
      </c>
      <c r="K5743" s="88"/>
      <c r="L5743" s="88"/>
      <c r="M5743" s="88"/>
      <c r="N5743" s="88"/>
      <c r="O5743" s="88"/>
      <c r="P5743" s="88"/>
      <c r="Q5743" s="88"/>
      <c r="R5743" s="78">
        <f>MAX(S5743:W5743)</f>
        <v>1</v>
      </c>
      <c r="S5743" s="88"/>
      <c r="T5743" s="88"/>
      <c r="U5743" s="88">
        <v>1</v>
      </c>
      <c r="V5743" s="88"/>
      <c r="W5743" s="88"/>
    </row>
    <row r="5744" spans="2:23" s="0" customFormat="0" ht="15">
      <c r="B5744" s="87" t="s">
        <v>1</v>
      </c>
      <c r="C5744" s="88" t="s">
        <v>5259</v>
      </c>
      <c r="D5744" s="88" t="s">
        <v>5122</v>
      </c>
      <c r="E5744" s="88" t="s">
        <v>61</v>
      </c>
      <c r="F5744" s="88">
        <v>0</v>
      </c>
      <c r="G5744" s="78">
        <f>MAX(H5744,I5744,J5744)</f>
        <v>0</v>
      </c>
      <c r="H5744" s="88"/>
      <c r="I5744" s="88"/>
      <c r="J5744" s="78">
        <f>MAX(K5744:Q5744)</f>
        <v>0</v>
      </c>
      <c r="K5744" s="88"/>
      <c r="L5744" s="88"/>
      <c r="M5744" s="88"/>
      <c r="N5744" s="88"/>
      <c r="O5744" s="88"/>
      <c r="P5744" s="88"/>
      <c r="Q5744" s="88"/>
      <c r="R5744" s="78">
        <f>MAX(S5744:W5744)</f>
        <v>1</v>
      </c>
      <c r="S5744" s="88"/>
      <c r="T5744" s="88"/>
      <c r="U5744" s="88">
        <v>1</v>
      </c>
      <c r="V5744" s="88"/>
      <c r="W5744" s="88"/>
    </row>
    <row r="5745" spans="2:23" s="0" customFormat="0" ht="15">
      <c r="B5745" s="87" t="s">
        <v>1</v>
      </c>
      <c r="C5745" s="88" t="s">
        <v>5259</v>
      </c>
      <c r="D5745" s="88">
        <v>21244054</v>
      </c>
      <c r="E5745" s="88" t="s">
        <v>61</v>
      </c>
      <c r="F5745" s="88">
        <v>0</v>
      </c>
      <c r="G5745" s="78">
        <f>MAX(H5745,I5745,J5745)</f>
        <v>1</v>
      </c>
      <c r="H5745" s="88"/>
      <c r="I5745" s="88"/>
      <c r="J5745" s="78">
        <f>MAX(K5745:Q5745)</f>
        <v>1</v>
      </c>
      <c r="K5745" s="88"/>
      <c r="L5745" s="88"/>
      <c r="M5745" s="88"/>
      <c r="N5745" s="88"/>
      <c r="O5745" s="88">
        <v>1</v>
      </c>
      <c r="P5745" s="88"/>
      <c r="Q5745" s="88"/>
      <c r="R5745" s="78">
        <f>MAX(S5745:W5745)</f>
        <v>0</v>
      </c>
      <c r="S5745" s="88"/>
      <c r="T5745" s="88"/>
      <c r="U5745" s="88"/>
      <c r="V5745" s="88"/>
      <c r="W5745" s="88"/>
    </row>
    <row r="5746" spans="2:23" s="0" customFormat="0" ht="15">
      <c r="B5746" s="87" t="s">
        <v>1</v>
      </c>
      <c r="C5746" s="88" t="s">
        <v>5259</v>
      </c>
      <c r="D5746" s="88">
        <v>14370170</v>
      </c>
      <c r="E5746" s="88" t="s">
        <v>61</v>
      </c>
      <c r="F5746" s="88">
        <v>0</v>
      </c>
      <c r="G5746" s="78">
        <f>MAX(H5746,I5746,J5746)</f>
        <v>1</v>
      </c>
      <c r="H5746" s="88"/>
      <c r="I5746" s="88"/>
      <c r="J5746" s="78">
        <f>MAX(K5746:Q5746)</f>
        <v>1</v>
      </c>
      <c r="K5746" s="88">
        <v>1</v>
      </c>
      <c r="L5746" s="88"/>
      <c r="M5746" s="88"/>
      <c r="N5746" s="88"/>
      <c r="O5746" s="88"/>
      <c r="P5746" s="88"/>
      <c r="Q5746" s="88"/>
      <c r="R5746" s="78">
        <f>MAX(S5746:W5746)</f>
        <v>0</v>
      </c>
      <c r="S5746" s="88"/>
      <c r="T5746" s="88"/>
      <c r="U5746" s="88"/>
      <c r="V5746" s="88"/>
      <c r="W5746" s="88"/>
    </row>
    <row r="5747" spans="2:23" s="0" customFormat="0" ht="15">
      <c r="B5747" s="87" t="s">
        <v>1</v>
      </c>
      <c r="C5747" s="88" t="s">
        <v>5259</v>
      </c>
      <c r="D5747" s="88">
        <v>18423591</v>
      </c>
      <c r="E5747" s="88" t="s">
        <v>61</v>
      </c>
      <c r="F5747" s="88">
        <v>0</v>
      </c>
      <c r="G5747" s="78">
        <f>MAX(H5747,I5747,J5747)</f>
        <v>0</v>
      </c>
      <c r="H5747" s="88"/>
      <c r="I5747" s="88"/>
      <c r="J5747" s="78">
        <f>MAX(K5747:Q5747)</f>
        <v>0</v>
      </c>
      <c r="K5747" s="88"/>
      <c r="L5747" s="88"/>
      <c r="M5747" s="88"/>
      <c r="N5747" s="88"/>
      <c r="O5747" s="88"/>
      <c r="P5747" s="88"/>
      <c r="Q5747" s="88"/>
      <c r="R5747" s="78">
        <f>MAX(S5747:W5747)</f>
        <v>1</v>
      </c>
      <c r="S5747" s="88"/>
      <c r="T5747" s="88"/>
      <c r="U5747" s="88">
        <v>1</v>
      </c>
      <c r="V5747" s="88"/>
      <c r="W5747" s="88"/>
    </row>
    <row r="5748" spans="2:23" s="0" customFormat="0" ht="15">
      <c r="B5748" s="87" t="s">
        <v>1</v>
      </c>
      <c r="C5748" s="88" t="s">
        <v>5259</v>
      </c>
      <c r="D5748" s="88">
        <v>16137739</v>
      </c>
      <c r="E5748" s="88" t="s">
        <v>61</v>
      </c>
      <c r="F5748" s="88">
        <v>0</v>
      </c>
      <c r="G5748" s="78">
        <f>MAX(H5748,I5748,J5748)</f>
        <v>1</v>
      </c>
      <c r="H5748" s="88"/>
      <c r="I5748" s="88"/>
      <c r="J5748" s="78">
        <f>MAX(K5748:Q5748)</f>
        <v>1</v>
      </c>
      <c r="K5748" s="88">
        <v>1</v>
      </c>
      <c r="L5748" s="88"/>
      <c r="M5748" s="88"/>
      <c r="N5748" s="88"/>
      <c r="O5748" s="88"/>
      <c r="P5748" s="88"/>
      <c r="Q5748" s="88"/>
      <c r="R5748" s="78">
        <f>MAX(S5748:W5748)</f>
        <v>0</v>
      </c>
      <c r="S5748" s="88"/>
      <c r="T5748" s="88"/>
      <c r="U5748" s="88"/>
      <c r="V5748" s="88"/>
      <c r="W5748" s="88"/>
    </row>
    <row r="5749" spans="2:23" s="0" customFormat="0" ht="15">
      <c r="B5749" s="87" t="s">
        <v>1</v>
      </c>
      <c r="C5749" s="88" t="s">
        <v>5259</v>
      </c>
      <c r="D5749" s="88" t="s">
        <v>949</v>
      </c>
      <c r="E5749" s="88" t="s">
        <v>61</v>
      </c>
      <c r="F5749" s="88">
        <v>0</v>
      </c>
      <c r="G5749" s="78">
        <f>MAX(H5749,I5749,J5749)</f>
        <v>1</v>
      </c>
      <c r="H5749" s="88"/>
      <c r="I5749" s="88"/>
      <c r="J5749" s="78">
        <f>MAX(K5749:Q5749)</f>
        <v>1</v>
      </c>
      <c r="K5749" s="88">
        <v>1</v>
      </c>
      <c r="L5749" s="88"/>
      <c r="M5749" s="88"/>
      <c r="N5749" s="88"/>
      <c r="O5749" s="88"/>
      <c r="P5749" s="88"/>
      <c r="Q5749" s="88"/>
      <c r="R5749" s="78">
        <f>MAX(S5749:W5749)</f>
        <v>0</v>
      </c>
      <c r="S5749" s="88"/>
      <c r="T5749" s="88"/>
      <c r="U5749" s="88"/>
      <c r="V5749" s="88"/>
      <c r="W5749" s="88"/>
    </row>
    <row r="5750" spans="2:23" s="0" customFormat="0" ht="15">
      <c r="B5750" s="87" t="s">
        <v>1</v>
      </c>
      <c r="C5750" s="88" t="s">
        <v>5259</v>
      </c>
      <c r="D5750" s="88">
        <v>24343663</v>
      </c>
      <c r="E5750" s="88" t="s">
        <v>61</v>
      </c>
      <c r="F5750" s="88">
        <v>0</v>
      </c>
      <c r="G5750" s="78">
        <f>MAX(H5750,I5750,J5750)</f>
        <v>1</v>
      </c>
      <c r="H5750" s="88"/>
      <c r="I5750" s="88"/>
      <c r="J5750" s="78">
        <f>MAX(K5750:Q5750)</f>
        <v>1</v>
      </c>
      <c r="K5750" s="88"/>
      <c r="L5750" s="88"/>
      <c r="M5750" s="88">
        <v>1</v>
      </c>
      <c r="N5750" s="88"/>
      <c r="O5750" s="88"/>
      <c r="P5750" s="88"/>
      <c r="Q5750" s="88"/>
      <c r="R5750" s="78">
        <f>MAX(S5750:W5750)</f>
        <v>0</v>
      </c>
      <c r="S5750" s="88"/>
      <c r="T5750" s="88"/>
      <c r="U5750" s="88"/>
      <c r="V5750" s="88"/>
      <c r="W5750" s="88"/>
    </row>
    <row r="5751" spans="2:23" s="0" customFormat="0" ht="15">
      <c r="B5751" s="87" t="s">
        <v>1</v>
      </c>
      <c r="C5751" s="88" t="s">
        <v>5259</v>
      </c>
      <c r="D5751" s="88">
        <v>4446147</v>
      </c>
      <c r="E5751" s="88" t="s">
        <v>61</v>
      </c>
      <c r="F5751" s="88">
        <v>0</v>
      </c>
      <c r="G5751" s="78">
        <f>MAX(H5751,I5751,J5751)</f>
        <v>1</v>
      </c>
      <c r="H5751" s="88"/>
      <c r="I5751" s="88"/>
      <c r="J5751" s="78">
        <f>MAX(K5751:Q5751)</f>
        <v>1</v>
      </c>
      <c r="K5751" s="88">
        <v>1</v>
      </c>
      <c r="L5751" s="88"/>
      <c r="M5751" s="88"/>
      <c r="N5751" s="88"/>
      <c r="O5751" s="88"/>
      <c r="P5751" s="88"/>
      <c r="Q5751" s="88"/>
      <c r="R5751" s="78">
        <f>MAX(S5751:W5751)</f>
        <v>0</v>
      </c>
      <c r="S5751" s="88"/>
      <c r="T5751" s="88"/>
      <c r="U5751" s="88"/>
      <c r="V5751" s="88"/>
      <c r="W5751" s="88"/>
    </row>
    <row r="5752" spans="2:23" s="0" customFormat="0" ht="15">
      <c r="B5752" s="87" t="s">
        <v>1</v>
      </c>
      <c r="C5752" s="88" t="s">
        <v>5259</v>
      </c>
      <c r="D5752" s="88" t="s">
        <v>2232</v>
      </c>
      <c r="E5752" s="88" t="s">
        <v>61</v>
      </c>
      <c r="F5752" s="88">
        <v>0</v>
      </c>
      <c r="G5752" s="78">
        <f>MAX(H5752,I5752,J5752)</f>
        <v>1</v>
      </c>
      <c r="H5752" s="88"/>
      <c r="I5752" s="88"/>
      <c r="J5752" s="78">
        <f>MAX(K5752:Q5752)</f>
        <v>1</v>
      </c>
      <c r="K5752" s="88">
        <v>1</v>
      </c>
      <c r="L5752" s="88"/>
      <c r="M5752" s="88"/>
      <c r="N5752" s="88"/>
      <c r="O5752" s="88"/>
      <c r="P5752" s="88"/>
      <c r="Q5752" s="88"/>
      <c r="R5752" s="78">
        <f>MAX(S5752:W5752)</f>
        <v>0</v>
      </c>
      <c r="S5752" s="88"/>
      <c r="T5752" s="88"/>
      <c r="U5752" s="88"/>
      <c r="V5752" s="88"/>
      <c r="W5752" s="88"/>
    </row>
    <row r="5753" spans="2:23" s="0" customFormat="0" ht="15">
      <c r="B5753" s="87" t="s">
        <v>1</v>
      </c>
      <c r="C5753" s="88" t="s">
        <v>5259</v>
      </c>
      <c r="D5753" s="88">
        <v>22554457</v>
      </c>
      <c r="E5753" s="88" t="s">
        <v>61</v>
      </c>
      <c r="F5753" s="88">
        <v>0</v>
      </c>
      <c r="G5753" s="78">
        <f>MAX(H5753,I5753,J5753)</f>
        <v>0</v>
      </c>
      <c r="H5753" s="88"/>
      <c r="I5753" s="88"/>
      <c r="J5753" s="78">
        <f>MAX(K5753:Q5753)</f>
        <v>0</v>
      </c>
      <c r="K5753" s="88"/>
      <c r="L5753" s="88"/>
      <c r="M5753" s="88"/>
      <c r="N5753" s="88"/>
      <c r="O5753" s="88"/>
      <c r="P5753" s="88"/>
      <c r="Q5753" s="88"/>
      <c r="R5753" s="78">
        <f>MAX(S5753:W5753)</f>
        <v>1</v>
      </c>
      <c r="S5753" s="88"/>
      <c r="T5753" s="88"/>
      <c r="U5753" s="88">
        <v>1</v>
      </c>
      <c r="V5753" s="88"/>
      <c r="W5753" s="88"/>
    </row>
    <row r="5754" spans="2:23" s="0" customFormat="0" ht="15">
      <c r="B5754" s="87" t="s">
        <v>1</v>
      </c>
      <c r="C5754" s="88" t="s">
        <v>5259</v>
      </c>
      <c r="D5754" s="88" t="s">
        <v>4398</v>
      </c>
      <c r="E5754" s="88" t="s">
        <v>61</v>
      </c>
      <c r="F5754" s="88">
        <v>0</v>
      </c>
      <c r="G5754" s="78">
        <f>MAX(H5754,I5754,J5754)</f>
        <v>0</v>
      </c>
      <c r="H5754" s="88"/>
      <c r="I5754" s="88"/>
      <c r="J5754" s="78">
        <f>MAX(K5754:Q5754)</f>
        <v>0</v>
      </c>
      <c r="K5754" s="88"/>
      <c r="L5754" s="88"/>
      <c r="M5754" s="88"/>
      <c r="N5754" s="88"/>
      <c r="O5754" s="88"/>
      <c r="P5754" s="88"/>
      <c r="Q5754" s="88"/>
      <c r="R5754" s="78">
        <f>MAX(S5754:W5754)</f>
        <v>1</v>
      </c>
      <c r="S5754" s="88"/>
      <c r="T5754" s="88"/>
      <c r="U5754" s="88">
        <v>1</v>
      </c>
      <c r="V5754" s="88"/>
      <c r="W5754" s="88"/>
    </row>
    <row r="5755" spans="2:23" s="0" customFormat="0" ht="15">
      <c r="B5755" s="87" t="s">
        <v>1</v>
      </c>
      <c r="C5755" s="88" t="s">
        <v>5259</v>
      </c>
      <c r="D5755" s="88">
        <v>21227977</v>
      </c>
      <c r="E5755" s="88" t="s">
        <v>61</v>
      </c>
      <c r="F5755" s="88">
        <v>0</v>
      </c>
      <c r="G5755" s="78">
        <f>MAX(H5755,I5755,J5755)</f>
        <v>1</v>
      </c>
      <c r="H5755" s="88"/>
      <c r="I5755" s="88"/>
      <c r="J5755" s="78">
        <f>MAX(K5755:Q5755)</f>
        <v>1</v>
      </c>
      <c r="K5755" s="88"/>
      <c r="L5755" s="88"/>
      <c r="M5755" s="88">
        <v>1</v>
      </c>
      <c r="N5755" s="88"/>
      <c r="O5755" s="88"/>
      <c r="P5755" s="88"/>
      <c r="Q5755" s="88"/>
      <c r="R5755" s="78">
        <f>MAX(S5755:W5755)</f>
        <v>0</v>
      </c>
      <c r="S5755" s="88"/>
      <c r="T5755" s="88"/>
      <c r="U5755" s="88"/>
      <c r="V5755" s="88"/>
      <c r="W5755" s="88"/>
    </row>
    <row r="5756" spans="2:23" s="0" customFormat="0" ht="15">
      <c r="B5756" s="87" t="s">
        <v>1</v>
      </c>
      <c r="C5756" s="88" t="s">
        <v>5259</v>
      </c>
      <c r="D5756" s="88">
        <v>22081352</v>
      </c>
      <c r="E5756" s="88" t="s">
        <v>61</v>
      </c>
      <c r="F5756" s="88">
        <v>0</v>
      </c>
      <c r="G5756" s="78">
        <f>MAX(H5756,I5756,J5756)</f>
        <v>1</v>
      </c>
      <c r="H5756" s="88"/>
      <c r="I5756" s="88"/>
      <c r="J5756" s="78">
        <f>MAX(K5756:Q5756)</f>
        <v>1</v>
      </c>
      <c r="K5756" s="88">
        <v>1</v>
      </c>
      <c r="L5756" s="88"/>
      <c r="M5756" s="88"/>
      <c r="N5756" s="88"/>
      <c r="O5756" s="88"/>
      <c r="P5756" s="88"/>
      <c r="Q5756" s="88"/>
      <c r="R5756" s="78">
        <f>MAX(S5756:W5756)</f>
        <v>0</v>
      </c>
      <c r="S5756" s="88"/>
      <c r="T5756" s="88"/>
      <c r="U5756" s="88"/>
      <c r="V5756" s="88"/>
      <c r="W5756" s="88"/>
    </row>
    <row r="5757" spans="2:23" s="0" customFormat="0" ht="15">
      <c r="B5757" s="87" t="s">
        <v>1</v>
      </c>
      <c r="C5757" s="88" t="s">
        <v>5259</v>
      </c>
      <c r="D5757" s="88">
        <v>15839016</v>
      </c>
      <c r="E5757" s="88" t="s">
        <v>61</v>
      </c>
      <c r="F5757" s="88">
        <v>0</v>
      </c>
      <c r="G5757" s="78">
        <f>MAX(H5757,I5757,J5757)</f>
        <v>1</v>
      </c>
      <c r="H5757" s="88"/>
      <c r="I5757" s="88"/>
      <c r="J5757" s="78">
        <f>MAX(K5757:Q5757)</f>
        <v>1</v>
      </c>
      <c r="K5757" s="88">
        <v>1</v>
      </c>
      <c r="L5757" s="88"/>
      <c r="M5757" s="88"/>
      <c r="N5757" s="88"/>
      <c r="O5757" s="88"/>
      <c r="P5757" s="88"/>
      <c r="Q5757" s="88"/>
      <c r="R5757" s="78">
        <f>MAX(S5757:W5757)</f>
        <v>0</v>
      </c>
      <c r="S5757" s="88"/>
      <c r="T5757" s="88"/>
      <c r="U5757" s="88"/>
      <c r="V5757" s="88"/>
      <c r="W5757" s="88"/>
    </row>
    <row r="5758" spans="2:23" s="0" customFormat="0" ht="15">
      <c r="B5758" s="87" t="s">
        <v>1</v>
      </c>
      <c r="C5758" s="88" t="s">
        <v>5259</v>
      </c>
      <c r="D5758" s="88" t="s">
        <v>3723</v>
      </c>
      <c r="E5758" s="88" t="s">
        <v>61</v>
      </c>
      <c r="F5758" s="88">
        <v>0</v>
      </c>
      <c r="G5758" s="78">
        <f>MAX(H5758,I5758,J5758)</f>
        <v>0</v>
      </c>
      <c r="H5758" s="88"/>
      <c r="I5758" s="88"/>
      <c r="J5758" s="78">
        <f>MAX(K5758:Q5758)</f>
        <v>0</v>
      </c>
      <c r="K5758" s="88"/>
      <c r="L5758" s="88"/>
      <c r="M5758" s="88"/>
      <c r="N5758" s="88"/>
      <c r="O5758" s="88"/>
      <c r="P5758" s="88"/>
      <c r="Q5758" s="88"/>
      <c r="R5758" s="78">
        <f>MAX(S5758:W5758)</f>
        <v>1</v>
      </c>
      <c r="S5758" s="88"/>
      <c r="T5758" s="88"/>
      <c r="U5758" s="88">
        <v>1</v>
      </c>
      <c r="V5758" s="88"/>
      <c r="W5758" s="88"/>
    </row>
    <row r="5759" spans="2:23" s="0" customFormat="0" ht="15">
      <c r="B5759" s="87" t="s">
        <v>1</v>
      </c>
      <c r="C5759" s="88" t="s">
        <v>5259</v>
      </c>
      <c r="D5759" s="88">
        <v>19118061</v>
      </c>
      <c r="E5759" s="88" t="s">
        <v>61</v>
      </c>
      <c r="F5759" s="88">
        <v>0</v>
      </c>
      <c r="G5759" s="78">
        <f>MAX(H5759,I5759,J5759)</f>
        <v>1</v>
      </c>
      <c r="H5759" s="88"/>
      <c r="I5759" s="88"/>
      <c r="J5759" s="78">
        <f>MAX(K5759:Q5759)</f>
        <v>1</v>
      </c>
      <c r="K5759" s="88">
        <v>1</v>
      </c>
      <c r="L5759" s="88"/>
      <c r="M5759" s="88"/>
      <c r="N5759" s="88"/>
      <c r="O5759" s="88"/>
      <c r="P5759" s="88"/>
      <c r="Q5759" s="88"/>
      <c r="R5759" s="78">
        <f>MAX(S5759:W5759)</f>
        <v>0</v>
      </c>
      <c r="S5759" s="88"/>
      <c r="T5759" s="88"/>
      <c r="U5759" s="88"/>
      <c r="V5759" s="88"/>
      <c r="W5759" s="88"/>
    </row>
    <row r="5760" spans="2:23" s="0" customFormat="0" ht="15">
      <c r="B5760" s="87" t="s">
        <v>1</v>
      </c>
      <c r="C5760" s="88" t="s">
        <v>5259</v>
      </c>
      <c r="D5760" s="88">
        <v>14071393</v>
      </c>
      <c r="E5760" s="88" t="s">
        <v>61</v>
      </c>
      <c r="F5760" s="88">
        <v>0</v>
      </c>
      <c r="G5760" s="78">
        <f>MAX(H5760,I5760,J5760)</f>
        <v>0</v>
      </c>
      <c r="H5760" s="88"/>
      <c r="I5760" s="88"/>
      <c r="J5760" s="78">
        <f>MAX(K5760:Q5760)</f>
        <v>0</v>
      </c>
      <c r="K5760" s="88"/>
      <c r="L5760" s="88"/>
      <c r="M5760" s="88"/>
      <c r="N5760" s="88"/>
      <c r="O5760" s="88"/>
      <c r="P5760" s="88"/>
      <c r="Q5760" s="88"/>
      <c r="R5760" s="78">
        <f>MAX(S5760:W5760)</f>
        <v>1</v>
      </c>
      <c r="S5760" s="88"/>
      <c r="T5760" s="88"/>
      <c r="U5760" s="88"/>
      <c r="V5760" s="88">
        <v>1</v>
      </c>
      <c r="W5760" s="88"/>
    </row>
    <row r="5761" spans="2:23" s="0" customFormat="0" ht="15">
      <c r="B5761" s="87" t="s">
        <v>1</v>
      </c>
      <c r="C5761" s="88" t="s">
        <v>5259</v>
      </c>
      <c r="D5761" s="88">
        <v>12295257</v>
      </c>
      <c r="E5761" s="88" t="s">
        <v>61</v>
      </c>
      <c r="F5761" s="88">
        <v>0</v>
      </c>
      <c r="G5761" s="78">
        <f>MAX(H5761,I5761,J5761)</f>
        <v>1</v>
      </c>
      <c r="H5761" s="88"/>
      <c r="I5761" s="88"/>
      <c r="J5761" s="78">
        <f>MAX(K5761:Q5761)</f>
        <v>1</v>
      </c>
      <c r="K5761" s="88">
        <v>1</v>
      </c>
      <c r="L5761" s="88"/>
      <c r="M5761" s="88"/>
      <c r="N5761" s="88"/>
      <c r="O5761" s="88"/>
      <c r="P5761" s="88"/>
      <c r="Q5761" s="88"/>
      <c r="R5761" s="78">
        <f>MAX(S5761:W5761)</f>
        <v>0</v>
      </c>
      <c r="S5761" s="88"/>
      <c r="T5761" s="88"/>
      <c r="U5761" s="88"/>
      <c r="V5761" s="88"/>
      <c r="W5761" s="88"/>
    </row>
    <row r="5762" spans="2:23" s="0" customFormat="0" ht="15">
      <c r="B5762" s="87" t="s">
        <v>1</v>
      </c>
      <c r="C5762" s="88" t="s">
        <v>5259</v>
      </c>
      <c r="D5762" s="88">
        <v>13718524</v>
      </c>
      <c r="E5762" s="88" t="s">
        <v>61</v>
      </c>
      <c r="F5762" s="88">
        <v>0</v>
      </c>
      <c r="G5762" s="78">
        <f>MAX(H5762,I5762,J5762)</f>
        <v>1</v>
      </c>
      <c r="H5762" s="88"/>
      <c r="I5762" s="88"/>
      <c r="J5762" s="78">
        <f>MAX(K5762:Q5762)</f>
        <v>1</v>
      </c>
      <c r="K5762" s="88">
        <v>1</v>
      </c>
      <c r="L5762" s="88"/>
      <c r="M5762" s="88"/>
      <c r="N5762" s="88"/>
      <c r="O5762" s="88"/>
      <c r="P5762" s="88"/>
      <c r="Q5762" s="88"/>
      <c r="R5762" s="78">
        <f>MAX(S5762:W5762)</f>
        <v>0</v>
      </c>
      <c r="S5762" s="88"/>
      <c r="T5762" s="88"/>
      <c r="U5762" s="88"/>
      <c r="V5762" s="88"/>
      <c r="W5762" s="88"/>
    </row>
    <row r="5763" spans="2:23" s="0" customFormat="0" ht="15">
      <c r="B5763" s="87" t="s">
        <v>1</v>
      </c>
      <c r="C5763" s="88" t="s">
        <v>5259</v>
      </c>
      <c r="D5763" s="88">
        <v>13272904</v>
      </c>
      <c r="E5763" s="88" t="s">
        <v>61</v>
      </c>
      <c r="F5763" s="88">
        <v>0</v>
      </c>
      <c r="G5763" s="78">
        <f>MAX(H5763,I5763,J5763)</f>
        <v>1</v>
      </c>
      <c r="H5763" s="88"/>
      <c r="I5763" s="88"/>
      <c r="J5763" s="78">
        <f>MAX(K5763:Q5763)</f>
        <v>1</v>
      </c>
      <c r="K5763" s="88">
        <v>1</v>
      </c>
      <c r="L5763" s="88"/>
      <c r="M5763" s="88"/>
      <c r="N5763" s="88"/>
      <c r="O5763" s="88"/>
      <c r="P5763" s="88"/>
      <c r="Q5763" s="88"/>
      <c r="R5763" s="78">
        <f>MAX(S5763:W5763)</f>
        <v>0</v>
      </c>
      <c r="S5763" s="88"/>
      <c r="T5763" s="88"/>
      <c r="U5763" s="88"/>
      <c r="V5763" s="88"/>
      <c r="W5763" s="88"/>
    </row>
    <row r="5764" spans="2:23" s="0" customFormat="0" ht="15">
      <c r="B5764" s="87" t="s">
        <v>1</v>
      </c>
      <c r="C5764" s="88" t="s">
        <v>5259</v>
      </c>
      <c r="D5764" s="88">
        <v>19132588</v>
      </c>
      <c r="E5764" s="88" t="s">
        <v>61</v>
      </c>
      <c r="F5764" s="88">
        <v>0</v>
      </c>
      <c r="G5764" s="78">
        <f>MAX(H5764,I5764,J5764)</f>
        <v>1</v>
      </c>
      <c r="H5764" s="88"/>
      <c r="I5764" s="88"/>
      <c r="J5764" s="78">
        <f>MAX(K5764:Q5764)</f>
        <v>1</v>
      </c>
      <c r="K5764" s="88">
        <v>1</v>
      </c>
      <c r="L5764" s="88"/>
      <c r="M5764" s="88"/>
      <c r="N5764" s="88"/>
      <c r="O5764" s="88"/>
      <c r="P5764" s="88"/>
      <c r="Q5764" s="88"/>
      <c r="R5764" s="78">
        <f>MAX(S5764:W5764)</f>
        <v>0</v>
      </c>
      <c r="S5764" s="88"/>
      <c r="T5764" s="88"/>
      <c r="U5764" s="88"/>
      <c r="V5764" s="88"/>
      <c r="W5764" s="88"/>
    </row>
    <row r="5765" spans="2:23" s="0" customFormat="0" ht="15">
      <c r="B5765" s="87" t="s">
        <v>1</v>
      </c>
      <c r="C5765" s="88" t="s">
        <v>5259</v>
      </c>
      <c r="D5765" s="88" t="s">
        <v>2906</v>
      </c>
      <c r="E5765" s="88" t="s">
        <v>61</v>
      </c>
      <c r="F5765" s="88">
        <v>0</v>
      </c>
      <c r="G5765" s="78">
        <f>MAX(H5765,I5765,J5765)</f>
        <v>1</v>
      </c>
      <c r="H5765" s="88"/>
      <c r="I5765" s="88"/>
      <c r="J5765" s="78">
        <f>MAX(K5765:Q5765)</f>
        <v>1</v>
      </c>
      <c r="K5765" s="88">
        <v>1</v>
      </c>
      <c r="L5765" s="88"/>
      <c r="M5765" s="88"/>
      <c r="N5765" s="88"/>
      <c r="O5765" s="88"/>
      <c r="P5765" s="88"/>
      <c r="Q5765" s="88"/>
      <c r="R5765" s="78">
        <f>MAX(S5765:W5765)</f>
        <v>0</v>
      </c>
      <c r="S5765" s="88"/>
      <c r="T5765" s="88"/>
      <c r="U5765" s="88"/>
      <c r="V5765" s="88"/>
      <c r="W5765" s="88"/>
    </row>
    <row r="5766" spans="2:23" s="0" customFormat="0" ht="15">
      <c r="B5766" s="87" t="s">
        <v>1</v>
      </c>
      <c r="C5766" s="88" t="s">
        <v>5259</v>
      </c>
      <c r="D5766" s="88">
        <v>22700042</v>
      </c>
      <c r="E5766" s="88" t="s">
        <v>61</v>
      </c>
      <c r="F5766" s="88">
        <v>0</v>
      </c>
      <c r="G5766" s="78">
        <f>MAX(H5766,I5766,J5766)</f>
        <v>1</v>
      </c>
      <c r="H5766" s="88"/>
      <c r="I5766" s="88"/>
      <c r="J5766" s="78">
        <f>MAX(K5766:Q5766)</f>
        <v>1</v>
      </c>
      <c r="K5766" s="88">
        <v>1</v>
      </c>
      <c r="L5766" s="88"/>
      <c r="M5766" s="88"/>
      <c r="N5766" s="88"/>
      <c r="O5766" s="88"/>
      <c r="P5766" s="88"/>
      <c r="Q5766" s="88"/>
      <c r="R5766" s="78">
        <f>MAX(S5766:W5766)</f>
        <v>0</v>
      </c>
      <c r="S5766" s="88"/>
      <c r="T5766" s="88"/>
      <c r="U5766" s="88"/>
      <c r="V5766" s="88"/>
      <c r="W5766" s="88"/>
    </row>
    <row r="5767" spans="2:23" s="0" customFormat="0" ht="15">
      <c r="B5767" s="87" t="s">
        <v>1</v>
      </c>
      <c r="C5767" s="88" t="s">
        <v>5259</v>
      </c>
      <c r="D5767" s="88">
        <v>24738981</v>
      </c>
      <c r="E5767" s="88" t="s">
        <v>61</v>
      </c>
      <c r="F5767" s="88">
        <v>0</v>
      </c>
      <c r="G5767" s="78">
        <f>MAX(H5767,I5767,J5767)</f>
        <v>1</v>
      </c>
      <c r="H5767" s="88"/>
      <c r="I5767" s="88"/>
      <c r="J5767" s="78">
        <f>MAX(K5767:Q5767)</f>
        <v>1</v>
      </c>
      <c r="K5767" s="88">
        <v>1</v>
      </c>
      <c r="L5767" s="88"/>
      <c r="M5767" s="88"/>
      <c r="N5767" s="88"/>
      <c r="O5767" s="88"/>
      <c r="P5767" s="88"/>
      <c r="Q5767" s="88"/>
      <c r="R5767" s="78">
        <f>MAX(S5767:W5767)</f>
        <v>0</v>
      </c>
      <c r="S5767" s="88"/>
      <c r="T5767" s="88"/>
      <c r="U5767" s="88"/>
      <c r="V5767" s="88"/>
      <c r="W5767" s="88"/>
    </row>
    <row r="5768" spans="2:23" s="0" customFormat="0" ht="15">
      <c r="B5768" s="87" t="s">
        <v>1</v>
      </c>
      <c r="C5768" s="88" t="s">
        <v>5259</v>
      </c>
      <c r="D5768" s="88">
        <v>22554310</v>
      </c>
      <c r="E5768" s="88" t="s">
        <v>61</v>
      </c>
      <c r="F5768" s="88">
        <v>0</v>
      </c>
      <c r="G5768" s="78">
        <f>MAX(H5768,I5768,J5768)</f>
        <v>0</v>
      </c>
      <c r="H5768" s="88"/>
      <c r="I5768" s="88"/>
      <c r="J5768" s="78">
        <f>MAX(K5768:Q5768)</f>
        <v>0</v>
      </c>
      <c r="K5768" s="88"/>
      <c r="L5768" s="88"/>
      <c r="M5768" s="88"/>
      <c r="N5768" s="88"/>
      <c r="O5768" s="88"/>
      <c r="P5768" s="88"/>
      <c r="Q5768" s="88"/>
      <c r="R5768" s="78">
        <f>MAX(S5768:W5768)</f>
        <v>1</v>
      </c>
      <c r="S5768" s="88"/>
      <c r="T5768" s="88"/>
      <c r="U5768" s="88">
        <v>1</v>
      </c>
      <c r="V5768" s="88"/>
      <c r="W5768" s="88"/>
    </row>
    <row r="5769" spans="2:23" s="0" customFormat="0" ht="15">
      <c r="B5769" s="87" t="s">
        <v>1</v>
      </c>
      <c r="C5769" s="88" t="s">
        <v>5259</v>
      </c>
      <c r="D5769" s="88">
        <v>21637003</v>
      </c>
      <c r="E5769" s="88" t="s">
        <v>61</v>
      </c>
      <c r="F5769" s="88">
        <v>0</v>
      </c>
      <c r="G5769" s="78">
        <f>MAX(H5769,I5769,J5769)</f>
        <v>0</v>
      </c>
      <c r="H5769" s="88"/>
      <c r="I5769" s="88"/>
      <c r="J5769" s="78">
        <f>MAX(K5769:Q5769)</f>
        <v>0</v>
      </c>
      <c r="K5769" s="88"/>
      <c r="L5769" s="88"/>
      <c r="M5769" s="88"/>
      <c r="N5769" s="88"/>
      <c r="O5769" s="88"/>
      <c r="P5769" s="88"/>
      <c r="Q5769" s="88"/>
      <c r="R5769" s="78">
        <f>MAX(S5769:W5769)</f>
        <v>1</v>
      </c>
      <c r="S5769" s="88"/>
      <c r="T5769" s="88"/>
      <c r="U5769" s="88">
        <v>1</v>
      </c>
      <c r="V5769" s="88"/>
      <c r="W5769" s="88"/>
    </row>
    <row r="5770" spans="2:23" s="0" customFormat="0" ht="15">
      <c r="B5770" s="87" t="s">
        <v>1</v>
      </c>
      <c r="C5770" s="88" t="s">
        <v>5259</v>
      </c>
      <c r="D5770" s="88" t="s">
        <v>4053</v>
      </c>
      <c r="E5770" s="88" t="s">
        <v>61</v>
      </c>
      <c r="F5770" s="88">
        <v>0</v>
      </c>
      <c r="G5770" s="78">
        <f>MAX(H5770,I5770,J5770)</f>
        <v>0</v>
      </c>
      <c r="H5770" s="88"/>
      <c r="I5770" s="88"/>
      <c r="J5770" s="78">
        <f>MAX(K5770:Q5770)</f>
        <v>0</v>
      </c>
      <c r="K5770" s="88"/>
      <c r="L5770" s="88"/>
      <c r="M5770" s="88"/>
      <c r="N5770" s="88"/>
      <c r="O5770" s="88"/>
      <c r="P5770" s="88"/>
      <c r="Q5770" s="88"/>
      <c r="R5770" s="78">
        <f>MAX(S5770:W5770)</f>
        <v>1</v>
      </c>
      <c r="S5770" s="88"/>
      <c r="T5770" s="88"/>
      <c r="U5770" s="88">
        <v>1</v>
      </c>
      <c r="V5770" s="88"/>
      <c r="W5770" s="88"/>
    </row>
    <row r="5771" spans="2:23" s="0" customFormat="0" ht="15">
      <c r="B5771" s="87" t="s">
        <v>1</v>
      </c>
      <c r="C5771" s="88" t="s">
        <v>5259</v>
      </c>
      <c r="D5771" s="88">
        <v>21521372</v>
      </c>
      <c r="E5771" s="88" t="s">
        <v>61</v>
      </c>
      <c r="F5771" s="88">
        <v>0</v>
      </c>
      <c r="G5771" s="78">
        <f>MAX(H5771,I5771,J5771)</f>
        <v>1</v>
      </c>
      <c r="H5771" s="88"/>
      <c r="I5771" s="88"/>
      <c r="J5771" s="78">
        <f>MAX(K5771:Q5771)</f>
        <v>1</v>
      </c>
      <c r="K5771" s="88">
        <v>1</v>
      </c>
      <c r="L5771" s="88"/>
      <c r="M5771" s="88"/>
      <c r="N5771" s="88"/>
      <c r="O5771" s="88"/>
      <c r="P5771" s="88"/>
      <c r="Q5771" s="88"/>
      <c r="R5771" s="78">
        <f>MAX(S5771:W5771)</f>
        <v>0</v>
      </c>
      <c r="S5771" s="88"/>
      <c r="T5771" s="88"/>
      <c r="U5771" s="88"/>
      <c r="V5771" s="88"/>
      <c r="W5771" s="88"/>
    </row>
    <row r="5772" spans="2:23" s="0" customFormat="0" ht="15">
      <c r="B5772" s="87" t="s">
        <v>1</v>
      </c>
      <c r="C5772" s="88" t="s">
        <v>5259</v>
      </c>
      <c r="D5772" s="88">
        <v>21519218</v>
      </c>
      <c r="E5772" s="88" t="s">
        <v>61</v>
      </c>
      <c r="F5772" s="88">
        <v>0</v>
      </c>
      <c r="G5772" s="78">
        <f>MAX(H5772,I5772,J5772)</f>
        <v>1</v>
      </c>
      <c r="H5772" s="88"/>
      <c r="I5772" s="88"/>
      <c r="J5772" s="78">
        <f>MAX(K5772:Q5772)</f>
        <v>1</v>
      </c>
      <c r="K5772" s="88">
        <v>1</v>
      </c>
      <c r="L5772" s="88"/>
      <c r="M5772" s="88"/>
      <c r="N5772" s="88"/>
      <c r="O5772" s="88"/>
      <c r="P5772" s="88"/>
      <c r="Q5772" s="88"/>
      <c r="R5772" s="78">
        <f>MAX(S5772:W5772)</f>
        <v>0</v>
      </c>
      <c r="S5772" s="88"/>
      <c r="T5772" s="88"/>
      <c r="U5772" s="88"/>
      <c r="V5772" s="88"/>
      <c r="W5772" s="88"/>
    </row>
    <row r="5773" spans="2:23" s="0" customFormat="0" ht="15">
      <c r="B5773" s="87" t="s">
        <v>1</v>
      </c>
      <c r="C5773" s="88" t="s">
        <v>5259</v>
      </c>
      <c r="D5773" s="88" t="s">
        <v>1338</v>
      </c>
      <c r="E5773" s="88" t="s">
        <v>61</v>
      </c>
      <c r="F5773" s="88">
        <v>0</v>
      </c>
      <c r="G5773" s="78">
        <f>MAX(H5773,I5773,J5773)</f>
        <v>1</v>
      </c>
      <c r="H5773" s="88"/>
      <c r="I5773" s="88"/>
      <c r="J5773" s="78">
        <f>MAX(K5773:Q5773)</f>
        <v>1</v>
      </c>
      <c r="K5773" s="88">
        <v>1</v>
      </c>
      <c r="L5773" s="88"/>
      <c r="M5773" s="88"/>
      <c r="N5773" s="88"/>
      <c r="O5773" s="88"/>
      <c r="P5773" s="88"/>
      <c r="Q5773" s="88"/>
      <c r="R5773" s="78">
        <f>MAX(S5773:W5773)</f>
        <v>0</v>
      </c>
      <c r="S5773" s="88"/>
      <c r="T5773" s="88"/>
      <c r="U5773" s="88"/>
      <c r="V5773" s="88"/>
      <c r="W5773" s="88"/>
    </row>
    <row r="5774" spans="2:23" s="0" customFormat="0" ht="15">
      <c r="B5774" s="87" t="s">
        <v>1</v>
      </c>
      <c r="C5774" s="88" t="s">
        <v>5259</v>
      </c>
      <c r="D5774" s="88" t="s">
        <v>4140</v>
      </c>
      <c r="E5774" s="88" t="s">
        <v>61</v>
      </c>
      <c r="F5774" s="88">
        <v>0</v>
      </c>
      <c r="G5774" s="78">
        <f>MAX(H5774,I5774,J5774)</f>
        <v>0</v>
      </c>
      <c r="H5774" s="88"/>
      <c r="I5774" s="88"/>
      <c r="J5774" s="78">
        <f>MAX(K5774:Q5774)</f>
        <v>0</v>
      </c>
      <c r="K5774" s="88"/>
      <c r="L5774" s="88"/>
      <c r="M5774" s="88"/>
      <c r="N5774" s="88"/>
      <c r="O5774" s="88"/>
      <c r="P5774" s="88"/>
      <c r="Q5774" s="88"/>
      <c r="R5774" s="78">
        <f>MAX(S5774:W5774)</f>
        <v>1</v>
      </c>
      <c r="S5774" s="88"/>
      <c r="T5774" s="88"/>
      <c r="U5774" s="88">
        <v>1</v>
      </c>
      <c r="V5774" s="88"/>
      <c r="W5774" s="88"/>
    </row>
    <row r="5775" spans="2:23" s="0" customFormat="0" ht="15">
      <c r="B5775" s="87" t="s">
        <v>1</v>
      </c>
      <c r="C5775" s="88" t="s">
        <v>5259</v>
      </c>
      <c r="D5775" s="88">
        <v>8896432</v>
      </c>
      <c r="E5775" s="88" t="s">
        <v>61</v>
      </c>
      <c r="F5775" s="88">
        <v>0</v>
      </c>
      <c r="G5775" s="78">
        <f>MAX(H5775,I5775,J5775)</f>
        <v>1</v>
      </c>
      <c r="H5775" s="88"/>
      <c r="I5775" s="88"/>
      <c r="J5775" s="78">
        <f>MAX(K5775:Q5775)</f>
        <v>1</v>
      </c>
      <c r="K5775" s="88">
        <v>1</v>
      </c>
      <c r="L5775" s="88"/>
      <c r="M5775" s="88"/>
      <c r="N5775" s="88"/>
      <c r="O5775" s="88"/>
      <c r="P5775" s="88"/>
      <c r="Q5775" s="88"/>
      <c r="R5775" s="78">
        <f>MAX(S5775:W5775)</f>
        <v>0</v>
      </c>
      <c r="S5775" s="88"/>
      <c r="T5775" s="88"/>
      <c r="U5775" s="88"/>
      <c r="V5775" s="88"/>
      <c r="W5775" s="88"/>
    </row>
    <row r="5776" spans="2:23" s="0" customFormat="0" ht="15">
      <c r="B5776" s="87" t="s">
        <v>1</v>
      </c>
      <c r="C5776" s="88" t="s">
        <v>5259</v>
      </c>
      <c r="D5776" s="88" t="s">
        <v>5171</v>
      </c>
      <c r="E5776" s="88" t="s">
        <v>61</v>
      </c>
      <c r="F5776" s="88">
        <v>0</v>
      </c>
      <c r="G5776" s="78">
        <f>MAX(H5776,I5776,J5776)</f>
        <v>0</v>
      </c>
      <c r="H5776" s="88"/>
      <c r="I5776" s="88"/>
      <c r="J5776" s="78">
        <f>MAX(K5776:Q5776)</f>
        <v>0</v>
      </c>
      <c r="K5776" s="88"/>
      <c r="L5776" s="88"/>
      <c r="M5776" s="88"/>
      <c r="N5776" s="88"/>
      <c r="O5776" s="88"/>
      <c r="P5776" s="88"/>
      <c r="Q5776" s="88"/>
      <c r="R5776" s="78">
        <f>MAX(S5776:W5776)</f>
        <v>1</v>
      </c>
      <c r="S5776" s="88"/>
      <c r="T5776" s="88"/>
      <c r="U5776" s="88">
        <v>1</v>
      </c>
      <c r="V5776" s="88"/>
      <c r="W5776" s="88"/>
    </row>
    <row r="5777" spans="2:23" s="0" customFormat="0" ht="15">
      <c r="B5777" s="87" t="s">
        <v>1</v>
      </c>
      <c r="C5777" s="88" t="s">
        <v>5259</v>
      </c>
      <c r="D5777" s="88" t="s">
        <v>2239</v>
      </c>
      <c r="E5777" s="88" t="s">
        <v>61</v>
      </c>
      <c r="F5777" s="88">
        <v>0</v>
      </c>
      <c r="G5777" s="78">
        <f>MAX(H5777,I5777,J5777)</f>
        <v>1</v>
      </c>
      <c r="H5777" s="88"/>
      <c r="I5777" s="88"/>
      <c r="J5777" s="78">
        <f>MAX(K5777:Q5777)</f>
        <v>1</v>
      </c>
      <c r="K5777" s="88">
        <v>1</v>
      </c>
      <c r="L5777" s="88"/>
      <c r="M5777" s="88"/>
      <c r="N5777" s="88"/>
      <c r="O5777" s="88"/>
      <c r="P5777" s="88"/>
      <c r="Q5777" s="88"/>
      <c r="R5777" s="78">
        <f>MAX(S5777:W5777)</f>
        <v>0</v>
      </c>
      <c r="S5777" s="88"/>
      <c r="T5777" s="88"/>
      <c r="U5777" s="88"/>
      <c r="V5777" s="88"/>
      <c r="W5777" s="88"/>
    </row>
    <row r="5778" spans="2:23" s="0" customFormat="0" ht="15">
      <c r="B5778" s="87" t="s">
        <v>1</v>
      </c>
      <c r="C5778" s="88" t="s">
        <v>5259</v>
      </c>
      <c r="D5778" s="88">
        <v>21151211</v>
      </c>
      <c r="E5778" s="88" t="s">
        <v>61</v>
      </c>
      <c r="F5778" s="88">
        <v>0</v>
      </c>
      <c r="G5778" s="78">
        <f>MAX(H5778,I5778,J5778)</f>
        <v>1</v>
      </c>
      <c r="H5778" s="88"/>
      <c r="I5778" s="88"/>
      <c r="J5778" s="78">
        <f>MAX(K5778:Q5778)</f>
        <v>1</v>
      </c>
      <c r="K5778" s="88">
        <v>1</v>
      </c>
      <c r="L5778" s="88"/>
      <c r="M5778" s="88"/>
      <c r="N5778" s="88"/>
      <c r="O5778" s="88"/>
      <c r="P5778" s="88"/>
      <c r="Q5778" s="88"/>
      <c r="R5778" s="78">
        <f>MAX(S5778:W5778)</f>
        <v>0</v>
      </c>
      <c r="S5778" s="88"/>
      <c r="T5778" s="88"/>
      <c r="U5778" s="88"/>
      <c r="V5778" s="88"/>
      <c r="W5778" s="88"/>
    </row>
    <row r="5779" spans="2:23" s="0" customFormat="0" ht="15">
      <c r="B5779" s="87" t="s">
        <v>1</v>
      </c>
      <c r="C5779" s="88" t="s">
        <v>5259</v>
      </c>
      <c r="D5779" s="88">
        <v>22069574</v>
      </c>
      <c r="E5779" s="88" t="s">
        <v>61</v>
      </c>
      <c r="F5779" s="88">
        <v>0</v>
      </c>
      <c r="G5779" s="78">
        <f>MAX(H5779,I5779,J5779)</f>
        <v>1</v>
      </c>
      <c r="H5779" s="88"/>
      <c r="I5779" s="88"/>
      <c r="J5779" s="78">
        <f>MAX(K5779:Q5779)</f>
        <v>1</v>
      </c>
      <c r="K5779" s="88">
        <v>1</v>
      </c>
      <c r="L5779" s="88"/>
      <c r="M5779" s="88"/>
      <c r="N5779" s="88"/>
      <c r="O5779" s="88"/>
      <c r="P5779" s="88"/>
      <c r="Q5779" s="88"/>
      <c r="R5779" s="78">
        <f>MAX(S5779:W5779)</f>
        <v>0</v>
      </c>
      <c r="S5779" s="88"/>
      <c r="T5779" s="88"/>
      <c r="U5779" s="88"/>
      <c r="V5779" s="88"/>
      <c r="W5779" s="88"/>
    </row>
    <row r="5780" spans="2:23" s="0" customFormat="0" ht="15">
      <c r="B5780" s="87" t="s">
        <v>1</v>
      </c>
      <c r="C5780" s="88" t="s">
        <v>5259</v>
      </c>
      <c r="D5780" s="88">
        <v>23364894</v>
      </c>
      <c r="E5780" s="88" t="s">
        <v>61</v>
      </c>
      <c r="F5780" s="88">
        <v>0</v>
      </c>
      <c r="G5780" s="78">
        <f>MAX(H5780,I5780,J5780)</f>
        <v>1</v>
      </c>
      <c r="H5780" s="88"/>
      <c r="I5780" s="88"/>
      <c r="J5780" s="78">
        <f>MAX(K5780:Q5780)</f>
        <v>1</v>
      </c>
      <c r="K5780" s="88">
        <v>1</v>
      </c>
      <c r="L5780" s="88"/>
      <c r="M5780" s="88"/>
      <c r="N5780" s="88"/>
      <c r="O5780" s="88"/>
      <c r="P5780" s="88"/>
      <c r="Q5780" s="88"/>
      <c r="R5780" s="78">
        <f>MAX(S5780:W5780)</f>
        <v>0</v>
      </c>
      <c r="S5780" s="88"/>
      <c r="T5780" s="88"/>
      <c r="U5780" s="88"/>
      <c r="V5780" s="88"/>
      <c r="W5780" s="88"/>
    </row>
    <row r="5781" spans="2:23" s="0" customFormat="0" ht="15">
      <c r="B5781" s="87" t="s">
        <v>1</v>
      </c>
      <c r="C5781" s="88" t="s">
        <v>5259</v>
      </c>
      <c r="D5781" s="88">
        <v>23351454</v>
      </c>
      <c r="E5781" s="88" t="s">
        <v>61</v>
      </c>
      <c r="F5781" s="88">
        <v>0</v>
      </c>
      <c r="G5781" s="78">
        <f>MAX(H5781,I5781,J5781)</f>
        <v>1</v>
      </c>
      <c r="H5781" s="88"/>
      <c r="I5781" s="88"/>
      <c r="J5781" s="78">
        <f>MAX(K5781:Q5781)</f>
        <v>1</v>
      </c>
      <c r="K5781" s="88">
        <v>1</v>
      </c>
      <c r="L5781" s="88"/>
      <c r="M5781" s="88"/>
      <c r="N5781" s="88"/>
      <c r="O5781" s="88"/>
      <c r="P5781" s="88"/>
      <c r="Q5781" s="88"/>
      <c r="R5781" s="78">
        <f>MAX(S5781:W5781)</f>
        <v>0</v>
      </c>
      <c r="S5781" s="88"/>
      <c r="T5781" s="88"/>
      <c r="U5781" s="88"/>
      <c r="V5781" s="88"/>
      <c r="W5781" s="88"/>
    </row>
    <row r="5782" spans="2:23" s="0" customFormat="0" ht="15">
      <c r="B5782" s="87" t="s">
        <v>1</v>
      </c>
      <c r="C5782" s="88" t="s">
        <v>5259</v>
      </c>
      <c r="D5782" s="88" t="s">
        <v>2909</v>
      </c>
      <c r="E5782" s="88" t="s">
        <v>61</v>
      </c>
      <c r="F5782" s="88">
        <v>0</v>
      </c>
      <c r="G5782" s="78">
        <f>MAX(H5782,I5782,J5782)</f>
        <v>1</v>
      </c>
      <c r="H5782" s="88"/>
      <c r="I5782" s="88"/>
      <c r="J5782" s="78">
        <f>MAX(K5782:Q5782)</f>
        <v>1</v>
      </c>
      <c r="K5782" s="88">
        <v>1</v>
      </c>
      <c r="L5782" s="88"/>
      <c r="M5782" s="88"/>
      <c r="N5782" s="88"/>
      <c r="O5782" s="88"/>
      <c r="P5782" s="88"/>
      <c r="Q5782" s="88"/>
      <c r="R5782" s="78">
        <f>MAX(S5782:W5782)</f>
        <v>0</v>
      </c>
      <c r="S5782" s="88"/>
      <c r="T5782" s="88"/>
      <c r="U5782" s="88"/>
      <c r="V5782" s="88"/>
      <c r="W5782" s="88"/>
    </row>
    <row r="5783" spans="2:23" s="0" customFormat="0" ht="15">
      <c r="B5783" s="87" t="s">
        <v>1</v>
      </c>
      <c r="C5783" s="88" t="s">
        <v>5259</v>
      </c>
      <c r="D5783" s="88">
        <v>24306016</v>
      </c>
      <c r="E5783" s="88" t="s">
        <v>61</v>
      </c>
      <c r="F5783" s="88">
        <v>0</v>
      </c>
      <c r="G5783" s="78">
        <f>MAX(H5783,I5783,J5783)</f>
        <v>1</v>
      </c>
      <c r="H5783" s="88"/>
      <c r="I5783" s="88"/>
      <c r="J5783" s="78">
        <f>MAX(K5783:Q5783)</f>
        <v>1</v>
      </c>
      <c r="K5783" s="88"/>
      <c r="L5783" s="88"/>
      <c r="M5783" s="88">
        <v>1</v>
      </c>
      <c r="N5783" s="88"/>
      <c r="O5783" s="88"/>
      <c r="P5783" s="88"/>
      <c r="Q5783" s="88"/>
      <c r="R5783" s="78">
        <f>MAX(S5783:W5783)</f>
        <v>0</v>
      </c>
      <c r="S5783" s="88"/>
      <c r="T5783" s="88"/>
      <c r="U5783" s="88"/>
      <c r="V5783" s="88"/>
      <c r="W5783" s="88"/>
    </row>
    <row r="5784" spans="2:23" s="0" customFormat="0" ht="15">
      <c r="B5784" s="87" t="s">
        <v>1</v>
      </c>
      <c r="C5784" s="88" t="s">
        <v>5259</v>
      </c>
      <c r="D5784" s="88">
        <v>12061918</v>
      </c>
      <c r="E5784" s="88" t="s">
        <v>61</v>
      </c>
      <c r="F5784" s="88">
        <v>0</v>
      </c>
      <c r="G5784" s="78">
        <f>MAX(H5784,I5784,J5784)</f>
        <v>1</v>
      </c>
      <c r="H5784" s="88"/>
      <c r="I5784" s="88"/>
      <c r="J5784" s="78">
        <f>MAX(K5784:Q5784)</f>
        <v>1</v>
      </c>
      <c r="K5784" s="88">
        <v>1</v>
      </c>
      <c r="L5784" s="88"/>
      <c r="M5784" s="88"/>
      <c r="N5784" s="88"/>
      <c r="O5784" s="88"/>
      <c r="P5784" s="88"/>
      <c r="Q5784" s="88"/>
      <c r="R5784" s="78">
        <f>MAX(S5784:W5784)</f>
        <v>0</v>
      </c>
      <c r="S5784" s="88"/>
      <c r="T5784" s="88"/>
      <c r="U5784" s="88"/>
      <c r="V5784" s="88"/>
      <c r="W5784" s="88"/>
    </row>
    <row r="5785" spans="2:23" s="0" customFormat="0" ht="15">
      <c r="B5785" s="87" t="s">
        <v>1</v>
      </c>
      <c r="C5785" s="88" t="s">
        <v>5259</v>
      </c>
      <c r="D5785" s="88">
        <v>3796112</v>
      </c>
      <c r="E5785" s="88" t="s">
        <v>61</v>
      </c>
      <c r="F5785" s="88">
        <v>0</v>
      </c>
      <c r="G5785" s="78">
        <f>MAX(H5785,I5785,J5785)</f>
        <v>1</v>
      </c>
      <c r="H5785" s="88"/>
      <c r="I5785" s="88"/>
      <c r="J5785" s="78">
        <f>MAX(K5785:Q5785)</f>
        <v>1</v>
      </c>
      <c r="K5785" s="88">
        <v>1</v>
      </c>
      <c r="L5785" s="88"/>
      <c r="M5785" s="88"/>
      <c r="N5785" s="88"/>
      <c r="O5785" s="88"/>
      <c r="P5785" s="88"/>
      <c r="Q5785" s="88"/>
      <c r="R5785" s="78">
        <f>MAX(S5785:W5785)</f>
        <v>0</v>
      </c>
      <c r="S5785" s="88"/>
      <c r="T5785" s="88"/>
      <c r="U5785" s="88"/>
      <c r="V5785" s="88"/>
      <c r="W5785" s="88"/>
    </row>
    <row r="5786" spans="2:23" s="0" customFormat="0" ht="15">
      <c r="B5786" s="87" t="s">
        <v>1</v>
      </c>
      <c r="C5786" s="88" t="s">
        <v>5259</v>
      </c>
      <c r="D5786" s="88">
        <v>21507541</v>
      </c>
      <c r="E5786" s="88" t="s">
        <v>61</v>
      </c>
      <c r="F5786" s="88">
        <v>0</v>
      </c>
      <c r="G5786" s="78">
        <f>MAX(H5786,I5786,J5786)</f>
        <v>1</v>
      </c>
      <c r="H5786" s="88"/>
      <c r="I5786" s="88"/>
      <c r="J5786" s="78">
        <f>MAX(K5786:Q5786)</f>
        <v>1</v>
      </c>
      <c r="K5786" s="88">
        <v>1</v>
      </c>
      <c r="L5786" s="88"/>
      <c r="M5786" s="88"/>
      <c r="N5786" s="88"/>
      <c r="O5786" s="88"/>
      <c r="P5786" s="88"/>
      <c r="Q5786" s="88"/>
      <c r="R5786" s="78">
        <f>MAX(S5786:W5786)</f>
        <v>0</v>
      </c>
      <c r="S5786" s="88"/>
      <c r="T5786" s="88"/>
      <c r="U5786" s="88"/>
      <c r="V5786" s="88"/>
      <c r="W5786" s="88"/>
    </row>
    <row r="5787" spans="2:23" s="0" customFormat="0" ht="15">
      <c r="B5787" s="87" t="s">
        <v>1</v>
      </c>
      <c r="C5787" s="88" t="s">
        <v>5259</v>
      </c>
      <c r="D5787" s="88">
        <v>23306339</v>
      </c>
      <c r="E5787" s="88" t="s">
        <v>61</v>
      </c>
      <c r="F5787" s="88">
        <v>0</v>
      </c>
      <c r="G5787" s="78">
        <f>MAX(H5787,I5787,J5787)</f>
        <v>1</v>
      </c>
      <c r="H5787" s="88"/>
      <c r="I5787" s="88"/>
      <c r="J5787" s="78">
        <f>MAX(K5787:Q5787)</f>
        <v>1</v>
      </c>
      <c r="K5787" s="88"/>
      <c r="L5787" s="88"/>
      <c r="M5787" s="88">
        <v>1</v>
      </c>
      <c r="N5787" s="88"/>
      <c r="O5787" s="88"/>
      <c r="P5787" s="88"/>
      <c r="Q5787" s="88"/>
      <c r="R5787" s="78">
        <f>MAX(S5787:W5787)</f>
        <v>0</v>
      </c>
      <c r="S5787" s="88"/>
      <c r="T5787" s="88"/>
      <c r="U5787" s="88"/>
      <c r="V5787" s="88"/>
      <c r="W5787" s="88"/>
    </row>
    <row r="5788" spans="2:23" s="0" customFormat="0" ht="15">
      <c r="B5788" s="87" t="s">
        <v>1</v>
      </c>
      <c r="C5788" s="88" t="s">
        <v>5259</v>
      </c>
      <c r="D5788" s="88">
        <v>24263604</v>
      </c>
      <c r="E5788" s="88" t="s">
        <v>61</v>
      </c>
      <c r="F5788" s="88">
        <v>0</v>
      </c>
      <c r="G5788" s="78">
        <f>MAX(H5788,I5788,J5788)</f>
        <v>1</v>
      </c>
      <c r="H5788" s="88"/>
      <c r="I5788" s="88"/>
      <c r="J5788" s="78">
        <f>MAX(K5788:Q5788)</f>
        <v>1</v>
      </c>
      <c r="K5788" s="88">
        <v>1</v>
      </c>
      <c r="L5788" s="88"/>
      <c r="M5788" s="88"/>
      <c r="N5788" s="88"/>
      <c r="O5788" s="88"/>
      <c r="P5788" s="88"/>
      <c r="Q5788" s="88"/>
      <c r="R5788" s="78">
        <f>MAX(S5788:W5788)</f>
        <v>0</v>
      </c>
      <c r="S5788" s="88"/>
      <c r="T5788" s="88"/>
      <c r="U5788" s="88"/>
      <c r="V5788" s="88"/>
      <c r="W5788" s="88"/>
    </row>
    <row r="5789" spans="2:23" s="0" customFormat="0" ht="15">
      <c r="B5789" s="87" t="s">
        <v>1</v>
      </c>
      <c r="C5789" s="88" t="s">
        <v>5259</v>
      </c>
      <c r="D5789" s="88">
        <v>12738122</v>
      </c>
      <c r="E5789" s="88" t="s">
        <v>61</v>
      </c>
      <c r="F5789" s="88">
        <v>0</v>
      </c>
      <c r="G5789" s="78">
        <f>MAX(H5789,I5789,J5789)</f>
        <v>1</v>
      </c>
      <c r="H5789" s="88"/>
      <c r="I5789" s="88"/>
      <c r="J5789" s="78">
        <f>MAX(K5789:Q5789)</f>
        <v>1</v>
      </c>
      <c r="K5789" s="88">
        <v>1</v>
      </c>
      <c r="L5789" s="88"/>
      <c r="M5789" s="88"/>
      <c r="N5789" s="88"/>
      <c r="O5789" s="88"/>
      <c r="P5789" s="88"/>
      <c r="Q5789" s="88"/>
      <c r="R5789" s="78">
        <f>MAX(S5789:W5789)</f>
        <v>0</v>
      </c>
      <c r="S5789" s="88"/>
      <c r="T5789" s="88"/>
      <c r="U5789" s="88"/>
      <c r="V5789" s="88"/>
      <c r="W5789" s="88"/>
    </row>
    <row r="5790" spans="2:23" s="0" customFormat="0" ht="15">
      <c r="B5790" s="87" t="s">
        <v>1</v>
      </c>
      <c r="C5790" s="88" t="s">
        <v>5259</v>
      </c>
      <c r="D5790" s="88">
        <v>20810865</v>
      </c>
      <c r="E5790" s="88" t="s">
        <v>61</v>
      </c>
      <c r="F5790" s="88">
        <v>0</v>
      </c>
      <c r="G5790" s="78">
        <f>MAX(H5790,I5790,J5790)</f>
        <v>1</v>
      </c>
      <c r="H5790" s="88"/>
      <c r="I5790" s="88"/>
      <c r="J5790" s="78">
        <f>MAX(K5790:Q5790)</f>
        <v>1</v>
      </c>
      <c r="K5790" s="88">
        <v>1</v>
      </c>
      <c r="L5790" s="88"/>
      <c r="M5790" s="88"/>
      <c r="N5790" s="88"/>
      <c r="O5790" s="88"/>
      <c r="P5790" s="88"/>
      <c r="Q5790" s="88"/>
      <c r="R5790" s="78">
        <f>MAX(S5790:W5790)</f>
        <v>0</v>
      </c>
      <c r="S5790" s="88"/>
      <c r="T5790" s="88"/>
      <c r="U5790" s="88"/>
      <c r="V5790" s="88"/>
      <c r="W5790" s="88"/>
    </row>
    <row r="5791" spans="2:23" s="0" customFormat="0" ht="15">
      <c r="B5791" s="87" t="s">
        <v>1</v>
      </c>
      <c r="C5791" s="88" t="s">
        <v>5259</v>
      </c>
      <c r="D5791" s="88" t="s">
        <v>2735</v>
      </c>
      <c r="E5791" s="88" t="s">
        <v>61</v>
      </c>
      <c r="F5791" s="88">
        <v>0</v>
      </c>
      <c r="G5791" s="78">
        <f>MAX(H5791,I5791,J5791)</f>
        <v>1</v>
      </c>
      <c r="H5791" s="88"/>
      <c r="I5791" s="88"/>
      <c r="J5791" s="78">
        <f>MAX(K5791:Q5791)</f>
        <v>1</v>
      </c>
      <c r="K5791" s="88">
        <v>1</v>
      </c>
      <c r="L5791" s="88"/>
      <c r="M5791" s="88"/>
      <c r="N5791" s="88"/>
      <c r="O5791" s="88"/>
      <c r="P5791" s="88"/>
      <c r="Q5791" s="88"/>
      <c r="R5791" s="78">
        <f>MAX(S5791:W5791)</f>
        <v>0</v>
      </c>
      <c r="S5791" s="88"/>
      <c r="T5791" s="88"/>
      <c r="U5791" s="88"/>
      <c r="V5791" s="88"/>
      <c r="W5791" s="88"/>
    </row>
    <row r="5792" spans="2:23" s="0" customFormat="0" ht="15">
      <c r="B5792" s="87" t="s">
        <v>1</v>
      </c>
      <c r="C5792" s="88" t="s">
        <v>5259</v>
      </c>
      <c r="D5792" s="88">
        <v>14818854</v>
      </c>
      <c r="E5792" s="88" t="s">
        <v>61</v>
      </c>
      <c r="F5792" s="88">
        <v>0</v>
      </c>
      <c r="G5792" s="78">
        <f>MAX(H5792,I5792,J5792)</f>
        <v>1</v>
      </c>
      <c r="H5792" s="88"/>
      <c r="I5792" s="88"/>
      <c r="J5792" s="78">
        <f>MAX(K5792:Q5792)</f>
        <v>1</v>
      </c>
      <c r="K5792" s="88">
        <v>1</v>
      </c>
      <c r="L5792" s="88"/>
      <c r="M5792" s="88"/>
      <c r="N5792" s="88"/>
      <c r="O5792" s="88"/>
      <c r="P5792" s="88"/>
      <c r="Q5792" s="88"/>
      <c r="R5792" s="78">
        <f>MAX(S5792:W5792)</f>
        <v>0</v>
      </c>
      <c r="S5792" s="88"/>
      <c r="T5792" s="88"/>
      <c r="U5792" s="88"/>
      <c r="V5792" s="88"/>
      <c r="W5792" s="88"/>
    </row>
    <row r="5793" spans="2:23" s="0" customFormat="0" ht="15">
      <c r="B5793" s="87" t="s">
        <v>1</v>
      </c>
      <c r="C5793" s="88" t="s">
        <v>5259</v>
      </c>
      <c r="D5793" s="88" t="s">
        <v>5173</v>
      </c>
      <c r="E5793" s="88" t="s">
        <v>61</v>
      </c>
      <c r="F5793" s="88">
        <v>0</v>
      </c>
      <c r="G5793" s="78">
        <f>MAX(H5793,I5793,J5793)</f>
        <v>0</v>
      </c>
      <c r="H5793" s="88"/>
      <c r="I5793" s="88"/>
      <c r="J5793" s="78">
        <f>MAX(K5793:Q5793)</f>
        <v>0</v>
      </c>
      <c r="K5793" s="88"/>
      <c r="L5793" s="88"/>
      <c r="M5793" s="88"/>
      <c r="N5793" s="88"/>
      <c r="O5793" s="88"/>
      <c r="P5793" s="88"/>
      <c r="Q5793" s="88"/>
      <c r="R5793" s="78">
        <f>MAX(S5793:W5793)</f>
        <v>1</v>
      </c>
      <c r="S5793" s="88"/>
      <c r="T5793" s="88"/>
      <c r="U5793" s="88">
        <v>1</v>
      </c>
      <c r="V5793" s="88"/>
      <c r="W5793" s="88"/>
    </row>
    <row r="5794" spans="2:23" s="0" customFormat="0" ht="15">
      <c r="B5794" s="87" t="s">
        <v>1</v>
      </c>
      <c r="C5794" s="88" t="s">
        <v>5259</v>
      </c>
      <c r="D5794" s="88">
        <v>17619857</v>
      </c>
      <c r="E5794" s="88" t="s">
        <v>61</v>
      </c>
      <c r="F5794" s="88">
        <v>0</v>
      </c>
      <c r="G5794" s="78">
        <f>MAX(H5794,I5794,J5794)</f>
        <v>1</v>
      </c>
      <c r="H5794" s="88"/>
      <c r="I5794" s="88"/>
      <c r="J5794" s="78">
        <f>MAX(K5794:Q5794)</f>
        <v>1</v>
      </c>
      <c r="K5794" s="88">
        <v>1</v>
      </c>
      <c r="L5794" s="88"/>
      <c r="M5794" s="88"/>
      <c r="N5794" s="88"/>
      <c r="O5794" s="88"/>
      <c r="P5794" s="88"/>
      <c r="Q5794" s="88"/>
      <c r="R5794" s="78">
        <f>MAX(S5794:W5794)</f>
        <v>0</v>
      </c>
      <c r="S5794" s="88"/>
      <c r="T5794" s="88"/>
      <c r="U5794" s="88"/>
      <c r="V5794" s="88"/>
      <c r="W5794" s="88"/>
    </row>
    <row r="5795" spans="2:23" s="0" customFormat="0" ht="15">
      <c r="B5795" s="87" t="s">
        <v>1</v>
      </c>
      <c r="C5795" s="88" t="s">
        <v>5259</v>
      </c>
      <c r="D5795" s="88" t="s">
        <v>4555</v>
      </c>
      <c r="E5795" s="88" t="s">
        <v>61</v>
      </c>
      <c r="F5795" s="88">
        <v>0</v>
      </c>
      <c r="G5795" s="78">
        <f>MAX(H5795,I5795,J5795)</f>
        <v>0</v>
      </c>
      <c r="H5795" s="88"/>
      <c r="I5795" s="88"/>
      <c r="J5795" s="78">
        <f>MAX(K5795:Q5795)</f>
        <v>0</v>
      </c>
      <c r="K5795" s="88"/>
      <c r="L5795" s="88"/>
      <c r="M5795" s="88"/>
      <c r="N5795" s="88"/>
      <c r="O5795" s="88"/>
      <c r="P5795" s="88"/>
      <c r="Q5795" s="88"/>
      <c r="R5795" s="78">
        <f>MAX(S5795:W5795)</f>
        <v>1</v>
      </c>
      <c r="S5795" s="88"/>
      <c r="T5795" s="88"/>
      <c r="U5795" s="88">
        <v>1</v>
      </c>
      <c r="V5795" s="88"/>
      <c r="W5795" s="88"/>
    </row>
    <row r="5796" spans="2:23" s="0" customFormat="0" ht="15">
      <c r="B5796" s="87" t="s">
        <v>1</v>
      </c>
      <c r="C5796" s="88" t="s">
        <v>5259</v>
      </c>
      <c r="D5796" s="88" t="s">
        <v>353</v>
      </c>
      <c r="E5796" s="88" t="s">
        <v>61</v>
      </c>
      <c r="F5796" s="88">
        <v>0</v>
      </c>
      <c r="G5796" s="78">
        <f>MAX(H5796,I5796,J5796)</f>
        <v>1</v>
      </c>
      <c r="H5796" s="88"/>
      <c r="I5796" s="88"/>
      <c r="J5796" s="78">
        <f>MAX(K5796:Q5796)</f>
        <v>1</v>
      </c>
      <c r="K5796" s="88">
        <v>1</v>
      </c>
      <c r="L5796" s="88"/>
      <c r="M5796" s="88"/>
      <c r="N5796" s="88"/>
      <c r="O5796" s="88"/>
      <c r="P5796" s="88"/>
      <c r="Q5796" s="88"/>
      <c r="R5796" s="78">
        <f>MAX(S5796:W5796)</f>
        <v>0</v>
      </c>
      <c r="S5796" s="88"/>
      <c r="T5796" s="88"/>
      <c r="U5796" s="88"/>
      <c r="V5796" s="88"/>
      <c r="W5796" s="88"/>
    </row>
    <row r="5797" spans="2:23" s="0" customFormat="0" ht="15">
      <c r="B5797" s="87" t="s">
        <v>1</v>
      </c>
      <c r="C5797" s="88" t="s">
        <v>5259</v>
      </c>
      <c r="D5797" s="88">
        <v>7178602</v>
      </c>
      <c r="E5797" s="88" t="s">
        <v>61</v>
      </c>
      <c r="F5797" s="88">
        <v>0</v>
      </c>
      <c r="G5797" s="78">
        <f>MAX(H5797,I5797,J5797)</f>
        <v>1</v>
      </c>
      <c r="H5797" s="88"/>
      <c r="I5797" s="88"/>
      <c r="J5797" s="78">
        <f>MAX(K5797:Q5797)</f>
        <v>1</v>
      </c>
      <c r="K5797" s="88">
        <v>1</v>
      </c>
      <c r="L5797" s="88"/>
      <c r="M5797" s="88"/>
      <c r="N5797" s="88"/>
      <c r="O5797" s="88"/>
      <c r="P5797" s="88"/>
      <c r="Q5797" s="88"/>
      <c r="R5797" s="78">
        <f>MAX(S5797:W5797)</f>
        <v>0</v>
      </c>
      <c r="S5797" s="88"/>
      <c r="T5797" s="88"/>
      <c r="U5797" s="88"/>
      <c r="V5797" s="88"/>
      <c r="W5797" s="88"/>
    </row>
    <row r="5798" spans="2:23" s="0" customFormat="0" ht="15">
      <c r="B5798" s="87" t="s">
        <v>1</v>
      </c>
      <c r="C5798" s="88" t="s">
        <v>5259</v>
      </c>
      <c r="D5798" s="88">
        <v>22554210</v>
      </c>
      <c r="E5798" s="88" t="s">
        <v>61</v>
      </c>
      <c r="F5798" s="88">
        <v>0</v>
      </c>
      <c r="G5798" s="78">
        <f>MAX(H5798,I5798,J5798)</f>
        <v>0</v>
      </c>
      <c r="H5798" s="88"/>
      <c r="I5798" s="88"/>
      <c r="J5798" s="78">
        <f>MAX(K5798:Q5798)</f>
        <v>0</v>
      </c>
      <c r="K5798" s="88"/>
      <c r="L5798" s="88"/>
      <c r="M5798" s="88"/>
      <c r="N5798" s="88"/>
      <c r="O5798" s="88"/>
      <c r="P5798" s="88"/>
      <c r="Q5798" s="88"/>
      <c r="R5798" s="78">
        <f>MAX(S5798:W5798)</f>
        <v>1</v>
      </c>
      <c r="S5798" s="88"/>
      <c r="T5798" s="88"/>
      <c r="U5798" s="88">
        <v>1</v>
      </c>
      <c r="V5798" s="88"/>
      <c r="W5798" s="88"/>
    </row>
    <row r="5799" spans="2:23" s="0" customFormat="0" ht="15">
      <c r="B5799" s="87" t="s">
        <v>1</v>
      </c>
      <c r="C5799" s="88" t="s">
        <v>5259</v>
      </c>
      <c r="D5799" s="88" t="s">
        <v>5175</v>
      </c>
      <c r="E5799" s="88" t="s">
        <v>61</v>
      </c>
      <c r="F5799" s="88">
        <v>0</v>
      </c>
      <c r="G5799" s="78">
        <f>MAX(H5799,I5799,J5799)</f>
        <v>0</v>
      </c>
      <c r="H5799" s="88"/>
      <c r="I5799" s="88"/>
      <c r="J5799" s="78">
        <f>MAX(K5799:Q5799)</f>
        <v>0</v>
      </c>
      <c r="K5799" s="88"/>
      <c r="L5799" s="88"/>
      <c r="M5799" s="88"/>
      <c r="N5799" s="88"/>
      <c r="O5799" s="88"/>
      <c r="P5799" s="88"/>
      <c r="Q5799" s="88"/>
      <c r="R5799" s="78">
        <f>MAX(S5799:W5799)</f>
        <v>1</v>
      </c>
      <c r="S5799" s="88"/>
      <c r="T5799" s="88"/>
      <c r="U5799" s="88">
        <v>1</v>
      </c>
      <c r="V5799" s="88"/>
      <c r="W5799" s="88"/>
    </row>
    <row r="5800" spans="2:23" s="0" customFormat="0" ht="15">
      <c r="B5800" s="87" t="s">
        <v>1</v>
      </c>
      <c r="C5800" s="88" t="s">
        <v>5259</v>
      </c>
      <c r="D5800" s="88">
        <v>23353688</v>
      </c>
      <c r="E5800" s="88" t="s">
        <v>61</v>
      </c>
      <c r="F5800" s="88">
        <v>0</v>
      </c>
      <c r="G5800" s="78">
        <f>MAX(H5800,I5800,J5800)</f>
        <v>1</v>
      </c>
      <c r="H5800" s="88"/>
      <c r="I5800" s="88"/>
      <c r="J5800" s="78">
        <f>MAX(K5800:Q5800)</f>
        <v>1</v>
      </c>
      <c r="K5800" s="88">
        <v>1</v>
      </c>
      <c r="L5800" s="88"/>
      <c r="M5800" s="88"/>
      <c r="N5800" s="88"/>
      <c r="O5800" s="88"/>
      <c r="P5800" s="88"/>
      <c r="Q5800" s="88"/>
      <c r="R5800" s="78">
        <f>MAX(S5800:W5800)</f>
        <v>0</v>
      </c>
      <c r="S5800" s="88"/>
      <c r="T5800" s="88"/>
      <c r="U5800" s="88"/>
      <c r="V5800" s="88"/>
      <c r="W5800" s="88"/>
    </row>
    <row r="5801" spans="2:23" s="0" customFormat="0" ht="15">
      <c r="B5801" s="87" t="s">
        <v>1</v>
      </c>
      <c r="C5801" s="88" t="s">
        <v>5259</v>
      </c>
      <c r="D5801" s="88" t="s">
        <v>2914</v>
      </c>
      <c r="E5801" s="88" t="s">
        <v>61</v>
      </c>
      <c r="F5801" s="88">
        <v>0</v>
      </c>
      <c r="G5801" s="78">
        <f>MAX(H5801,I5801,J5801)</f>
        <v>1</v>
      </c>
      <c r="H5801" s="88"/>
      <c r="I5801" s="88"/>
      <c r="J5801" s="78">
        <f>MAX(K5801:Q5801)</f>
        <v>1</v>
      </c>
      <c r="K5801" s="88">
        <v>1</v>
      </c>
      <c r="L5801" s="88"/>
      <c r="M5801" s="88"/>
      <c r="N5801" s="88"/>
      <c r="O5801" s="88"/>
      <c r="P5801" s="88"/>
      <c r="Q5801" s="88"/>
      <c r="R5801" s="78">
        <f>MAX(S5801:W5801)</f>
        <v>0</v>
      </c>
      <c r="S5801" s="88"/>
      <c r="T5801" s="88"/>
      <c r="U5801" s="88"/>
      <c r="V5801" s="88"/>
      <c r="W5801" s="88"/>
    </row>
    <row r="5802" spans="2:23" s="0" customFormat="0" ht="15">
      <c r="B5802" s="87" t="s">
        <v>1</v>
      </c>
      <c r="C5802" s="88" t="s">
        <v>5259</v>
      </c>
      <c r="D5802" s="88">
        <v>14410290</v>
      </c>
      <c r="E5802" s="88" t="s">
        <v>61</v>
      </c>
      <c r="F5802" s="88">
        <v>0</v>
      </c>
      <c r="G5802" s="78">
        <f>MAX(H5802,I5802,J5802)</f>
        <v>1</v>
      </c>
      <c r="H5802" s="88"/>
      <c r="I5802" s="88"/>
      <c r="J5802" s="78">
        <f>MAX(K5802:Q5802)</f>
        <v>1</v>
      </c>
      <c r="K5802" s="88">
        <v>1</v>
      </c>
      <c r="L5802" s="88"/>
      <c r="M5802" s="88"/>
      <c r="N5802" s="88"/>
      <c r="O5802" s="88"/>
      <c r="P5802" s="88"/>
      <c r="Q5802" s="88"/>
      <c r="R5802" s="78">
        <f>MAX(S5802:W5802)</f>
        <v>0</v>
      </c>
      <c r="S5802" s="88"/>
      <c r="T5802" s="88"/>
      <c r="U5802" s="88"/>
      <c r="V5802" s="88"/>
      <c r="W5802" s="88"/>
    </row>
    <row r="5803" spans="2:23" s="0" customFormat="0" ht="15">
      <c r="B5803" s="87" t="s">
        <v>1</v>
      </c>
      <c r="C5803" s="88" t="s">
        <v>5259</v>
      </c>
      <c r="D5803" s="88" t="s">
        <v>2837</v>
      </c>
      <c r="E5803" s="88" t="s">
        <v>61</v>
      </c>
      <c r="F5803" s="88">
        <v>0</v>
      </c>
      <c r="G5803" s="78">
        <f>MAX(H5803,I5803,J5803)</f>
        <v>1</v>
      </c>
      <c r="H5803" s="88"/>
      <c r="I5803" s="88"/>
      <c r="J5803" s="78">
        <f>MAX(K5803:Q5803)</f>
        <v>1</v>
      </c>
      <c r="K5803" s="88">
        <v>1</v>
      </c>
      <c r="L5803" s="88"/>
      <c r="M5803" s="88"/>
      <c r="N5803" s="88"/>
      <c r="O5803" s="88"/>
      <c r="P5803" s="88"/>
      <c r="Q5803" s="88"/>
      <c r="R5803" s="78">
        <f>MAX(S5803:W5803)</f>
        <v>0</v>
      </c>
      <c r="S5803" s="88"/>
      <c r="T5803" s="88"/>
      <c r="U5803" s="88"/>
      <c r="V5803" s="88"/>
      <c r="W5803" s="88"/>
    </row>
    <row r="5804" spans="2:23" s="0" customFormat="0" ht="15">
      <c r="B5804" s="87" t="s">
        <v>1</v>
      </c>
      <c r="C5804" s="88" t="s">
        <v>5259</v>
      </c>
      <c r="D5804" s="88" t="s">
        <v>5133</v>
      </c>
      <c r="E5804" s="88" t="s">
        <v>61</v>
      </c>
      <c r="F5804" s="88">
        <v>0</v>
      </c>
      <c r="G5804" s="78">
        <f>MAX(H5804,I5804,J5804)</f>
        <v>0</v>
      </c>
      <c r="H5804" s="88"/>
      <c r="I5804" s="88"/>
      <c r="J5804" s="78">
        <f>MAX(K5804:Q5804)</f>
        <v>0</v>
      </c>
      <c r="K5804" s="88"/>
      <c r="L5804" s="88"/>
      <c r="M5804" s="88"/>
      <c r="N5804" s="88"/>
      <c r="O5804" s="88"/>
      <c r="P5804" s="88"/>
      <c r="Q5804" s="88"/>
      <c r="R5804" s="78">
        <f>MAX(S5804:W5804)</f>
        <v>1</v>
      </c>
      <c r="S5804" s="88"/>
      <c r="T5804" s="88"/>
      <c r="U5804" s="88">
        <v>1</v>
      </c>
      <c r="V5804" s="88"/>
      <c r="W5804" s="88"/>
    </row>
    <row r="5805" spans="2:23" s="0" customFormat="0" ht="15">
      <c r="B5805" s="87" t="s">
        <v>1</v>
      </c>
      <c r="C5805" s="88" t="s">
        <v>5259</v>
      </c>
      <c r="D5805" s="88" t="s">
        <v>3739</v>
      </c>
      <c r="E5805" s="88" t="s">
        <v>61</v>
      </c>
      <c r="F5805" s="88">
        <v>0</v>
      </c>
      <c r="G5805" s="78">
        <f>MAX(H5805,I5805,J5805)</f>
        <v>0</v>
      </c>
      <c r="H5805" s="88"/>
      <c r="I5805" s="88"/>
      <c r="J5805" s="78">
        <f>MAX(K5805:Q5805)</f>
        <v>0</v>
      </c>
      <c r="K5805" s="88"/>
      <c r="L5805" s="88"/>
      <c r="M5805" s="88"/>
      <c r="N5805" s="88"/>
      <c r="O5805" s="88"/>
      <c r="P5805" s="88"/>
      <c r="Q5805" s="88"/>
      <c r="R5805" s="78">
        <f>MAX(S5805:W5805)</f>
        <v>1</v>
      </c>
      <c r="S5805" s="88"/>
      <c r="T5805" s="88"/>
      <c r="U5805" s="88">
        <v>1</v>
      </c>
      <c r="V5805" s="88"/>
      <c r="W5805" s="88"/>
    </row>
    <row r="5806" spans="2:23" s="0" customFormat="0" ht="15">
      <c r="B5806" s="87" t="s">
        <v>1</v>
      </c>
      <c r="C5806" s="88" t="s">
        <v>5259</v>
      </c>
      <c r="D5806" s="88">
        <v>20959890</v>
      </c>
      <c r="E5806" s="88" t="s">
        <v>61</v>
      </c>
      <c r="F5806" s="88">
        <v>0</v>
      </c>
      <c r="G5806" s="78">
        <f>MAX(H5806,I5806,J5806)</f>
        <v>1</v>
      </c>
      <c r="H5806" s="88"/>
      <c r="I5806" s="88"/>
      <c r="J5806" s="78">
        <f>MAX(K5806:Q5806)</f>
        <v>1</v>
      </c>
      <c r="K5806" s="88">
        <v>1</v>
      </c>
      <c r="L5806" s="88"/>
      <c r="M5806" s="88"/>
      <c r="N5806" s="88"/>
      <c r="O5806" s="88"/>
      <c r="P5806" s="88"/>
      <c r="Q5806" s="88"/>
      <c r="R5806" s="78">
        <f>MAX(S5806:W5806)</f>
        <v>0</v>
      </c>
      <c r="S5806" s="88"/>
      <c r="T5806" s="88"/>
      <c r="U5806" s="88"/>
      <c r="V5806" s="88"/>
      <c r="W5806" s="88"/>
    </row>
    <row r="5807" spans="2:23" s="0" customFormat="0" ht="15">
      <c r="B5807" s="87" t="s">
        <v>1</v>
      </c>
      <c r="C5807" s="88" t="s">
        <v>5259</v>
      </c>
      <c r="D5807" s="88">
        <v>19746433</v>
      </c>
      <c r="E5807" s="88" t="s">
        <v>61</v>
      </c>
      <c r="F5807" s="88">
        <v>0</v>
      </c>
      <c r="G5807" s="78">
        <f>MAX(H5807,I5807,J5807)</f>
        <v>1</v>
      </c>
      <c r="H5807" s="88"/>
      <c r="I5807" s="88"/>
      <c r="J5807" s="78">
        <f>MAX(K5807:Q5807)</f>
        <v>1</v>
      </c>
      <c r="K5807" s="88">
        <v>1</v>
      </c>
      <c r="L5807" s="88"/>
      <c r="M5807" s="88"/>
      <c r="N5807" s="88"/>
      <c r="O5807" s="88"/>
      <c r="P5807" s="88"/>
      <c r="Q5807" s="88"/>
      <c r="R5807" s="78">
        <f>MAX(S5807:W5807)</f>
        <v>0</v>
      </c>
      <c r="S5807" s="88"/>
      <c r="T5807" s="88"/>
      <c r="U5807" s="88"/>
      <c r="V5807" s="88"/>
      <c r="W5807" s="88"/>
    </row>
    <row r="5808" spans="2:23" s="0" customFormat="0" ht="15">
      <c r="B5808" s="87" t="s">
        <v>1</v>
      </c>
      <c r="C5808" s="88" t="s">
        <v>5259</v>
      </c>
      <c r="D5808" s="88">
        <v>14729825</v>
      </c>
      <c r="E5808" s="88" t="s">
        <v>61</v>
      </c>
      <c r="F5808" s="88">
        <v>0</v>
      </c>
      <c r="G5808" s="78">
        <f>MAX(H5808,I5808,J5808)</f>
        <v>1</v>
      </c>
      <c r="H5808" s="88"/>
      <c r="I5808" s="88"/>
      <c r="J5808" s="78">
        <f>MAX(K5808:Q5808)</f>
        <v>1</v>
      </c>
      <c r="K5808" s="88">
        <v>1</v>
      </c>
      <c r="L5808" s="88"/>
      <c r="M5808" s="88"/>
      <c r="N5808" s="88"/>
      <c r="O5808" s="88"/>
      <c r="P5808" s="88"/>
      <c r="Q5808" s="88"/>
      <c r="R5808" s="78">
        <f>MAX(S5808:W5808)</f>
        <v>0</v>
      </c>
      <c r="S5808" s="88"/>
      <c r="T5808" s="88"/>
      <c r="U5808" s="88"/>
      <c r="V5808" s="88"/>
      <c r="W5808" s="88"/>
    </row>
    <row r="5809" spans="2:23" s="0" customFormat="0" ht="15">
      <c r="B5809" s="87" t="s">
        <v>1</v>
      </c>
      <c r="C5809" s="88" t="s">
        <v>5259</v>
      </c>
      <c r="D5809" s="88">
        <v>7480978</v>
      </c>
      <c r="E5809" s="88" t="s">
        <v>61</v>
      </c>
      <c r="F5809" s="88">
        <v>0</v>
      </c>
      <c r="G5809" s="78">
        <f>MAX(H5809,I5809,J5809)</f>
        <v>1</v>
      </c>
      <c r="H5809" s="88"/>
      <c r="I5809" s="88"/>
      <c r="J5809" s="78">
        <f>MAX(K5809:Q5809)</f>
        <v>1</v>
      </c>
      <c r="K5809" s="88"/>
      <c r="L5809" s="88"/>
      <c r="M5809" s="88"/>
      <c r="N5809" s="88"/>
      <c r="O5809" s="88">
        <v>1</v>
      </c>
      <c r="P5809" s="88"/>
      <c r="Q5809" s="88"/>
      <c r="R5809" s="78">
        <f>MAX(S5809:W5809)</f>
        <v>0</v>
      </c>
      <c r="S5809" s="88"/>
      <c r="T5809" s="88"/>
      <c r="U5809" s="88"/>
      <c r="V5809" s="88"/>
      <c r="W5809" s="88"/>
    </row>
    <row r="5810" spans="2:23" s="0" customFormat="0" ht="15">
      <c r="B5810" s="87" t="s">
        <v>1</v>
      </c>
      <c r="C5810" s="88" t="s">
        <v>5259</v>
      </c>
      <c r="D5810" s="88">
        <v>12331144</v>
      </c>
      <c r="E5810" s="88" t="s">
        <v>61</v>
      </c>
      <c r="F5810" s="88">
        <v>0</v>
      </c>
      <c r="G5810" s="78">
        <f>MAX(H5810,I5810,J5810)</f>
        <v>1</v>
      </c>
      <c r="H5810" s="88"/>
      <c r="I5810" s="88"/>
      <c r="J5810" s="78">
        <f>MAX(K5810:Q5810)</f>
        <v>1</v>
      </c>
      <c r="K5810" s="88">
        <v>1</v>
      </c>
      <c r="L5810" s="88"/>
      <c r="M5810" s="88"/>
      <c r="N5810" s="88"/>
      <c r="O5810" s="88"/>
      <c r="P5810" s="88"/>
      <c r="Q5810" s="88"/>
      <c r="R5810" s="78">
        <f>MAX(S5810:W5810)</f>
        <v>0</v>
      </c>
      <c r="S5810" s="88"/>
      <c r="T5810" s="88"/>
      <c r="U5810" s="88"/>
      <c r="V5810" s="88"/>
      <c r="W5810" s="88"/>
    </row>
    <row r="5811" spans="2:23" s="0" customFormat="0" ht="15">
      <c r="B5811" s="87" t="s">
        <v>1</v>
      </c>
      <c r="C5811" s="88" t="s">
        <v>5259</v>
      </c>
      <c r="D5811" s="88" t="s">
        <v>1632</v>
      </c>
      <c r="E5811" s="88" t="s">
        <v>61</v>
      </c>
      <c r="F5811" s="88">
        <v>0</v>
      </c>
      <c r="G5811" s="78">
        <f>MAX(H5811,I5811,J5811)</f>
        <v>1</v>
      </c>
      <c r="H5811" s="88"/>
      <c r="I5811" s="88"/>
      <c r="J5811" s="78">
        <f>MAX(K5811:Q5811)</f>
        <v>1</v>
      </c>
      <c r="K5811" s="88">
        <v>1</v>
      </c>
      <c r="L5811" s="88"/>
      <c r="M5811" s="88"/>
      <c r="N5811" s="88"/>
      <c r="O5811" s="88"/>
      <c r="P5811" s="88"/>
      <c r="Q5811" s="88"/>
      <c r="R5811" s="78">
        <f>MAX(S5811:W5811)</f>
        <v>0</v>
      </c>
      <c r="S5811" s="88"/>
      <c r="T5811" s="88"/>
      <c r="U5811" s="88"/>
      <c r="V5811" s="88"/>
      <c r="W5811" s="88"/>
    </row>
    <row r="5812" spans="2:23" s="0" customFormat="0" ht="15">
      <c r="B5812" s="87" t="s">
        <v>1</v>
      </c>
      <c r="C5812" s="88" t="s">
        <v>5259</v>
      </c>
      <c r="D5812" s="88">
        <v>19031474</v>
      </c>
      <c r="E5812" s="88" t="s">
        <v>61</v>
      </c>
      <c r="F5812" s="88">
        <v>0</v>
      </c>
      <c r="G5812" s="78">
        <f>MAX(H5812,I5812,J5812)</f>
        <v>1</v>
      </c>
      <c r="H5812" s="88"/>
      <c r="I5812" s="88"/>
      <c r="J5812" s="78">
        <f>MAX(K5812:Q5812)</f>
        <v>1</v>
      </c>
      <c r="K5812" s="88">
        <v>1</v>
      </c>
      <c r="L5812" s="88"/>
      <c r="M5812" s="88"/>
      <c r="N5812" s="88"/>
      <c r="O5812" s="88"/>
      <c r="P5812" s="88"/>
      <c r="Q5812" s="88"/>
      <c r="R5812" s="78">
        <f>MAX(S5812:W5812)</f>
        <v>0</v>
      </c>
      <c r="S5812" s="88"/>
      <c r="T5812" s="88"/>
      <c r="U5812" s="88"/>
      <c r="V5812" s="88"/>
      <c r="W5812" s="88"/>
    </row>
    <row r="5813" spans="2:23" s="0" customFormat="0" ht="15">
      <c r="B5813" s="87" t="s">
        <v>1</v>
      </c>
      <c r="C5813" s="88" t="s">
        <v>5259</v>
      </c>
      <c r="D5813" s="88" t="s">
        <v>2724</v>
      </c>
      <c r="E5813" s="88" t="s">
        <v>61</v>
      </c>
      <c r="F5813" s="88">
        <v>0</v>
      </c>
      <c r="G5813" s="78">
        <f>MAX(H5813,I5813,J5813)</f>
        <v>1</v>
      </c>
      <c r="H5813" s="88"/>
      <c r="I5813" s="88"/>
      <c r="J5813" s="78">
        <f>MAX(K5813:Q5813)</f>
        <v>1</v>
      </c>
      <c r="K5813" s="88">
        <v>1</v>
      </c>
      <c r="L5813" s="88"/>
      <c r="M5813" s="88"/>
      <c r="N5813" s="88"/>
      <c r="O5813" s="88"/>
      <c r="P5813" s="88"/>
      <c r="Q5813" s="88"/>
      <c r="R5813" s="78">
        <f>MAX(S5813:W5813)</f>
        <v>0</v>
      </c>
      <c r="S5813" s="88"/>
      <c r="T5813" s="88"/>
      <c r="U5813" s="88"/>
      <c r="V5813" s="88"/>
      <c r="W5813" s="88"/>
    </row>
    <row r="5814" spans="2:23" s="0" customFormat="0" ht="15">
      <c r="B5814" s="87" t="s">
        <v>1</v>
      </c>
      <c r="C5814" s="88" t="s">
        <v>5259</v>
      </c>
      <c r="D5814" s="88" t="s">
        <v>3640</v>
      </c>
      <c r="E5814" s="88" t="s">
        <v>61</v>
      </c>
      <c r="F5814" s="88">
        <v>0</v>
      </c>
      <c r="G5814" s="78">
        <f>MAX(H5814,I5814,J5814)</f>
        <v>0</v>
      </c>
      <c r="H5814" s="88"/>
      <c r="I5814" s="88"/>
      <c r="J5814" s="78">
        <f>MAX(K5814:Q5814)</f>
        <v>0</v>
      </c>
      <c r="K5814" s="88"/>
      <c r="L5814" s="88"/>
      <c r="M5814" s="88"/>
      <c r="N5814" s="88"/>
      <c r="O5814" s="88"/>
      <c r="P5814" s="88"/>
      <c r="Q5814" s="88"/>
      <c r="R5814" s="78">
        <f>MAX(S5814:W5814)</f>
        <v>1</v>
      </c>
      <c r="S5814" s="88"/>
      <c r="T5814" s="88"/>
      <c r="U5814" s="88">
        <v>1</v>
      </c>
      <c r="V5814" s="88"/>
      <c r="W5814" s="88"/>
    </row>
    <row r="5815" spans="2:23" s="0" customFormat="0" ht="15">
      <c r="B5815" s="87" t="s">
        <v>1</v>
      </c>
      <c r="C5815" s="88" t="s">
        <v>5259</v>
      </c>
      <c r="D5815" s="88" t="s">
        <v>3276</v>
      </c>
      <c r="E5815" s="88" t="s">
        <v>61</v>
      </c>
      <c r="F5815" s="88">
        <v>0</v>
      </c>
      <c r="G5815" s="78">
        <f>MAX(H5815,I5815,J5815)</f>
        <v>0</v>
      </c>
      <c r="H5815" s="88"/>
      <c r="I5815" s="88"/>
      <c r="J5815" s="78">
        <f>MAX(K5815:Q5815)</f>
        <v>0</v>
      </c>
      <c r="K5815" s="88"/>
      <c r="L5815" s="88"/>
      <c r="M5815" s="88"/>
      <c r="N5815" s="88"/>
      <c r="O5815" s="88"/>
      <c r="P5815" s="88"/>
      <c r="Q5815" s="88"/>
      <c r="R5815" s="78">
        <f>MAX(S5815:W5815)</f>
        <v>1</v>
      </c>
      <c r="S5815" s="88"/>
      <c r="T5815" s="88"/>
      <c r="U5815" s="88"/>
      <c r="V5815" s="88">
        <v>1</v>
      </c>
      <c r="W5815" s="88"/>
    </row>
    <row r="5816" spans="2:23" s="0" customFormat="0" ht="15">
      <c r="B5816" s="87" t="s">
        <v>1</v>
      </c>
      <c r="C5816" s="88" t="s">
        <v>5259</v>
      </c>
      <c r="D5816" s="88">
        <v>11238601</v>
      </c>
      <c r="E5816" s="88" t="s">
        <v>61</v>
      </c>
      <c r="F5816" s="88">
        <v>0</v>
      </c>
      <c r="G5816" s="78">
        <f>MAX(H5816,I5816,J5816)</f>
        <v>1</v>
      </c>
      <c r="H5816" s="88"/>
      <c r="I5816" s="88"/>
      <c r="J5816" s="78">
        <f>MAX(K5816:Q5816)</f>
        <v>1</v>
      </c>
      <c r="K5816" s="88">
        <v>1</v>
      </c>
      <c r="L5816" s="88"/>
      <c r="M5816" s="88"/>
      <c r="N5816" s="88"/>
      <c r="O5816" s="88"/>
      <c r="P5816" s="88"/>
      <c r="Q5816" s="88"/>
      <c r="R5816" s="78">
        <f>MAX(S5816:W5816)</f>
        <v>0</v>
      </c>
      <c r="S5816" s="88"/>
      <c r="T5816" s="88"/>
      <c r="U5816" s="88"/>
      <c r="V5816" s="88"/>
      <c r="W5816" s="88"/>
    </row>
    <row r="5817" spans="2:23" s="0" customFormat="0" ht="15">
      <c r="B5817" s="87" t="s">
        <v>1</v>
      </c>
      <c r="C5817" s="88" t="s">
        <v>5259</v>
      </c>
      <c r="D5817" s="88">
        <v>17901012</v>
      </c>
      <c r="E5817" s="88" t="s">
        <v>61</v>
      </c>
      <c r="F5817" s="88">
        <v>0</v>
      </c>
      <c r="G5817" s="78">
        <f>MAX(H5817,I5817,J5817)</f>
        <v>1</v>
      </c>
      <c r="H5817" s="88"/>
      <c r="I5817" s="88"/>
      <c r="J5817" s="78">
        <f>MAX(K5817:Q5817)</f>
        <v>1</v>
      </c>
      <c r="K5817" s="88"/>
      <c r="L5817" s="88"/>
      <c r="M5817" s="88"/>
      <c r="N5817" s="88"/>
      <c r="O5817" s="88">
        <v>1</v>
      </c>
      <c r="P5817" s="88"/>
      <c r="Q5817" s="88"/>
      <c r="R5817" s="78">
        <f>MAX(S5817:W5817)</f>
        <v>0</v>
      </c>
      <c r="S5817" s="88"/>
      <c r="T5817" s="88"/>
      <c r="U5817" s="88"/>
      <c r="V5817" s="88"/>
      <c r="W5817" s="88"/>
    </row>
    <row r="5818" spans="2:23" s="0" customFormat="0" ht="15">
      <c r="B5818" s="87" t="s">
        <v>1</v>
      </c>
      <c r="C5818" s="88" t="s">
        <v>5259</v>
      </c>
      <c r="D5818" s="88" t="s">
        <v>5177</v>
      </c>
      <c r="E5818" s="88" t="s">
        <v>61</v>
      </c>
      <c r="F5818" s="88">
        <v>0</v>
      </c>
      <c r="G5818" s="78">
        <f>MAX(H5818,I5818,J5818)</f>
        <v>0</v>
      </c>
      <c r="H5818" s="88"/>
      <c r="I5818" s="88"/>
      <c r="J5818" s="78">
        <f>MAX(K5818:Q5818)</f>
        <v>0</v>
      </c>
      <c r="K5818" s="88"/>
      <c r="L5818" s="88"/>
      <c r="M5818" s="88"/>
      <c r="N5818" s="88"/>
      <c r="O5818" s="88"/>
      <c r="P5818" s="88"/>
      <c r="Q5818" s="88"/>
      <c r="R5818" s="78">
        <f>MAX(S5818:W5818)</f>
        <v>1</v>
      </c>
      <c r="S5818" s="88"/>
      <c r="T5818" s="88"/>
      <c r="U5818" s="88">
        <v>1</v>
      </c>
      <c r="V5818" s="88"/>
      <c r="W5818" s="88"/>
    </row>
    <row r="5819" spans="2:23" s="0" customFormat="0" ht="15">
      <c r="B5819" s="87" t="s">
        <v>1</v>
      </c>
      <c r="C5819" s="88" t="s">
        <v>5259</v>
      </c>
      <c r="D5819" s="88">
        <v>10566104</v>
      </c>
      <c r="E5819" s="88" t="s">
        <v>61</v>
      </c>
      <c r="F5819" s="88">
        <v>0</v>
      </c>
      <c r="G5819" s="78">
        <f>MAX(H5819,I5819,J5819)</f>
        <v>1</v>
      </c>
      <c r="H5819" s="88"/>
      <c r="I5819" s="88"/>
      <c r="J5819" s="78">
        <f>MAX(K5819:Q5819)</f>
        <v>1</v>
      </c>
      <c r="K5819" s="88">
        <v>1</v>
      </c>
      <c r="L5819" s="88"/>
      <c r="M5819" s="88"/>
      <c r="N5819" s="88"/>
      <c r="O5819" s="88"/>
      <c r="P5819" s="88"/>
      <c r="Q5819" s="88"/>
      <c r="R5819" s="78">
        <f>MAX(S5819:W5819)</f>
        <v>0</v>
      </c>
      <c r="S5819" s="88"/>
      <c r="T5819" s="88"/>
      <c r="U5819" s="88"/>
      <c r="V5819" s="88"/>
      <c r="W5819" s="88"/>
    </row>
    <row r="5820" spans="2:23" s="0" customFormat="0" ht="15">
      <c r="B5820" s="87" t="s">
        <v>1</v>
      </c>
      <c r="C5820" s="88" t="s">
        <v>5259</v>
      </c>
      <c r="D5820" s="88" t="s">
        <v>2917</v>
      </c>
      <c r="E5820" s="88" t="s">
        <v>61</v>
      </c>
      <c r="F5820" s="88">
        <v>0</v>
      </c>
      <c r="G5820" s="78">
        <f>MAX(H5820,I5820,J5820)</f>
        <v>1</v>
      </c>
      <c r="H5820" s="88"/>
      <c r="I5820" s="88"/>
      <c r="J5820" s="78">
        <f>MAX(K5820:Q5820)</f>
        <v>1</v>
      </c>
      <c r="K5820" s="88">
        <v>1</v>
      </c>
      <c r="L5820" s="88"/>
      <c r="M5820" s="88"/>
      <c r="N5820" s="88"/>
      <c r="O5820" s="88"/>
      <c r="P5820" s="88"/>
      <c r="Q5820" s="88"/>
      <c r="R5820" s="78">
        <f>MAX(S5820:W5820)</f>
        <v>0</v>
      </c>
      <c r="S5820" s="88"/>
      <c r="T5820" s="88"/>
      <c r="U5820" s="88"/>
      <c r="V5820" s="88"/>
      <c r="W5820" s="88"/>
    </row>
    <row r="5821" spans="2:23" s="0" customFormat="0" ht="15">
      <c r="B5821" s="87" t="s">
        <v>1</v>
      </c>
      <c r="C5821" s="88" t="s">
        <v>5259</v>
      </c>
      <c r="D5821" s="88">
        <v>13321967</v>
      </c>
      <c r="E5821" s="88" t="s">
        <v>61</v>
      </c>
      <c r="F5821" s="88">
        <v>0</v>
      </c>
      <c r="G5821" s="78">
        <f>MAX(H5821,I5821,J5821)</f>
        <v>1</v>
      </c>
      <c r="H5821" s="88"/>
      <c r="I5821" s="88"/>
      <c r="J5821" s="78">
        <f>MAX(K5821:Q5821)</f>
        <v>1</v>
      </c>
      <c r="K5821" s="88">
        <v>1</v>
      </c>
      <c r="L5821" s="88"/>
      <c r="M5821" s="88"/>
      <c r="N5821" s="88"/>
      <c r="O5821" s="88"/>
      <c r="P5821" s="88"/>
      <c r="Q5821" s="88"/>
      <c r="R5821" s="78">
        <f>MAX(S5821:W5821)</f>
        <v>0</v>
      </c>
      <c r="S5821" s="88"/>
      <c r="T5821" s="88"/>
      <c r="U5821" s="88"/>
      <c r="V5821" s="88"/>
      <c r="W5821" s="88"/>
    </row>
    <row r="5822" spans="2:23" s="0" customFormat="0" ht="15">
      <c r="B5822" s="87" t="s">
        <v>1</v>
      </c>
      <c r="C5822" s="88" t="s">
        <v>5259</v>
      </c>
      <c r="D5822" s="88" t="s">
        <v>2788</v>
      </c>
      <c r="E5822" s="88" t="s">
        <v>61</v>
      </c>
      <c r="F5822" s="88">
        <v>0</v>
      </c>
      <c r="G5822" s="78">
        <f>MAX(H5822,I5822,J5822)</f>
        <v>1</v>
      </c>
      <c r="H5822" s="88"/>
      <c r="I5822" s="88"/>
      <c r="J5822" s="78">
        <f>MAX(K5822:Q5822)</f>
        <v>1</v>
      </c>
      <c r="K5822" s="88">
        <v>1</v>
      </c>
      <c r="L5822" s="88"/>
      <c r="M5822" s="88"/>
      <c r="N5822" s="88"/>
      <c r="O5822" s="88"/>
      <c r="P5822" s="88"/>
      <c r="Q5822" s="88"/>
      <c r="R5822" s="78">
        <f>MAX(S5822:W5822)</f>
        <v>0</v>
      </c>
      <c r="S5822" s="88"/>
      <c r="T5822" s="88"/>
      <c r="U5822" s="88"/>
      <c r="V5822" s="88"/>
      <c r="W5822" s="88"/>
    </row>
    <row r="5823" spans="2:23" s="0" customFormat="0" ht="15">
      <c r="B5823" s="87" t="s">
        <v>1</v>
      </c>
      <c r="C5823" s="88" t="s">
        <v>5259</v>
      </c>
      <c r="D5823" s="88" t="s">
        <v>2612</v>
      </c>
      <c r="E5823" s="88" t="s">
        <v>61</v>
      </c>
      <c r="F5823" s="88">
        <v>0</v>
      </c>
      <c r="G5823" s="78">
        <f>MAX(H5823,I5823,J5823)</f>
        <v>1</v>
      </c>
      <c r="H5823" s="88"/>
      <c r="I5823" s="88"/>
      <c r="J5823" s="78">
        <f>MAX(K5823:Q5823)</f>
        <v>1</v>
      </c>
      <c r="K5823" s="88">
        <v>1</v>
      </c>
      <c r="L5823" s="88"/>
      <c r="M5823" s="88"/>
      <c r="N5823" s="88"/>
      <c r="O5823" s="88"/>
      <c r="P5823" s="88"/>
      <c r="Q5823" s="88"/>
      <c r="R5823" s="78">
        <f>MAX(S5823:W5823)</f>
        <v>0</v>
      </c>
      <c r="S5823" s="88"/>
      <c r="T5823" s="88"/>
      <c r="U5823" s="88"/>
      <c r="V5823" s="88"/>
      <c r="W5823" s="88"/>
    </row>
    <row r="5824" spans="2:23" s="0" customFormat="0" ht="15">
      <c r="B5824" s="87" t="s">
        <v>1</v>
      </c>
      <c r="C5824" s="88" t="s">
        <v>5259</v>
      </c>
      <c r="D5824" s="88">
        <v>19481694</v>
      </c>
      <c r="E5824" s="88" t="s">
        <v>61</v>
      </c>
      <c r="F5824" s="88">
        <v>0</v>
      </c>
      <c r="G5824" s="78">
        <f>MAX(H5824,I5824,J5824)</f>
        <v>1</v>
      </c>
      <c r="H5824" s="88"/>
      <c r="I5824" s="88"/>
      <c r="J5824" s="78">
        <f>MAX(K5824:Q5824)</f>
        <v>1</v>
      </c>
      <c r="K5824" s="88">
        <v>1</v>
      </c>
      <c r="L5824" s="88"/>
      <c r="M5824" s="88"/>
      <c r="N5824" s="88"/>
      <c r="O5824" s="88"/>
      <c r="P5824" s="88"/>
      <c r="Q5824" s="88"/>
      <c r="R5824" s="78">
        <f>MAX(S5824:W5824)</f>
        <v>0</v>
      </c>
      <c r="S5824" s="88"/>
      <c r="T5824" s="88"/>
      <c r="U5824" s="88"/>
      <c r="V5824" s="88"/>
      <c r="W5824" s="88"/>
    </row>
    <row r="5825" spans="2:23" s="0" customFormat="0" ht="15">
      <c r="B5825" s="87" t="s">
        <v>1</v>
      </c>
      <c r="C5825" s="88" t="s">
        <v>5259</v>
      </c>
      <c r="D5825" s="88" t="s">
        <v>2921</v>
      </c>
      <c r="E5825" s="88" t="s">
        <v>61</v>
      </c>
      <c r="F5825" s="88">
        <v>0</v>
      </c>
      <c r="G5825" s="78">
        <f>MAX(H5825,I5825,J5825)</f>
        <v>1</v>
      </c>
      <c r="H5825" s="88"/>
      <c r="I5825" s="88"/>
      <c r="J5825" s="78">
        <f>MAX(K5825:Q5825)</f>
        <v>1</v>
      </c>
      <c r="K5825" s="88">
        <v>1</v>
      </c>
      <c r="L5825" s="88"/>
      <c r="M5825" s="88"/>
      <c r="N5825" s="88"/>
      <c r="O5825" s="88"/>
      <c r="P5825" s="88"/>
      <c r="Q5825" s="88"/>
      <c r="R5825" s="78">
        <f>MAX(S5825:W5825)</f>
        <v>0</v>
      </c>
      <c r="S5825" s="88"/>
      <c r="T5825" s="88"/>
      <c r="U5825" s="88"/>
      <c r="V5825" s="88"/>
      <c r="W5825" s="88"/>
    </row>
    <row r="5826" spans="2:23" s="0" customFormat="0" ht="15">
      <c r="B5826" s="87" t="s">
        <v>1</v>
      </c>
      <c r="C5826" s="88" t="s">
        <v>5259</v>
      </c>
      <c r="D5826" s="88">
        <v>23523014</v>
      </c>
      <c r="E5826" s="88" t="s">
        <v>61</v>
      </c>
      <c r="F5826" s="88">
        <v>0</v>
      </c>
      <c r="G5826" s="78">
        <f>MAX(H5826,I5826,J5826)</f>
        <v>1</v>
      </c>
      <c r="H5826" s="88"/>
      <c r="I5826" s="88"/>
      <c r="J5826" s="78">
        <f>MAX(K5826:Q5826)</f>
        <v>1</v>
      </c>
      <c r="K5826" s="88">
        <v>1</v>
      </c>
      <c r="L5826" s="88"/>
      <c r="M5826" s="88"/>
      <c r="N5826" s="88"/>
      <c r="O5826" s="88"/>
      <c r="P5826" s="88"/>
      <c r="Q5826" s="88"/>
      <c r="R5826" s="78">
        <f>MAX(S5826:W5826)</f>
        <v>0</v>
      </c>
      <c r="S5826" s="88"/>
      <c r="T5826" s="88"/>
      <c r="U5826" s="88"/>
      <c r="V5826" s="88"/>
      <c r="W5826" s="88"/>
    </row>
    <row r="5827" spans="2:23" s="0" customFormat="0" ht="15">
      <c r="B5827" s="87" t="s">
        <v>1</v>
      </c>
      <c r="C5827" s="88" t="s">
        <v>5259</v>
      </c>
      <c r="D5827" s="88">
        <v>17351106</v>
      </c>
      <c r="E5827" s="88" t="s">
        <v>61</v>
      </c>
      <c r="F5827" s="88">
        <v>0</v>
      </c>
      <c r="G5827" s="78">
        <f>MAX(H5827,I5827,J5827)</f>
        <v>1</v>
      </c>
      <c r="H5827" s="88"/>
      <c r="I5827" s="88"/>
      <c r="J5827" s="78">
        <f>MAX(K5827:Q5827)</f>
        <v>1</v>
      </c>
      <c r="K5827" s="88">
        <v>1</v>
      </c>
      <c r="L5827" s="88"/>
      <c r="M5827" s="88"/>
      <c r="N5827" s="88"/>
      <c r="O5827" s="88"/>
      <c r="P5827" s="88"/>
      <c r="Q5827" s="88"/>
      <c r="R5827" s="78">
        <f>MAX(S5827:W5827)</f>
        <v>0</v>
      </c>
      <c r="S5827" s="88"/>
      <c r="T5827" s="88"/>
      <c r="U5827" s="88"/>
      <c r="V5827" s="88"/>
      <c r="W5827" s="88"/>
    </row>
    <row r="5828" spans="2:23" s="0" customFormat="0" ht="15">
      <c r="B5828" s="87" t="s">
        <v>1</v>
      </c>
      <c r="C5828" s="88" t="s">
        <v>5259</v>
      </c>
      <c r="D5828" s="88" t="s">
        <v>3278</v>
      </c>
      <c r="E5828" s="88" t="s">
        <v>61</v>
      </c>
      <c r="F5828" s="88">
        <v>0</v>
      </c>
      <c r="G5828" s="78">
        <f>MAX(H5828,I5828,J5828)</f>
        <v>0</v>
      </c>
      <c r="H5828" s="88"/>
      <c r="I5828" s="88"/>
      <c r="J5828" s="78">
        <f>MAX(K5828:Q5828)</f>
        <v>0</v>
      </c>
      <c r="K5828" s="88"/>
      <c r="L5828" s="88"/>
      <c r="M5828" s="88"/>
      <c r="N5828" s="88"/>
      <c r="O5828" s="88"/>
      <c r="P5828" s="88"/>
      <c r="Q5828" s="88"/>
      <c r="R5828" s="78">
        <f>MAX(S5828:W5828)</f>
        <v>1</v>
      </c>
      <c r="S5828" s="88"/>
      <c r="T5828" s="88"/>
      <c r="U5828" s="88"/>
      <c r="V5828" s="88">
        <v>1</v>
      </c>
      <c r="W5828" s="88"/>
    </row>
    <row r="5829" spans="2:23" s="0" customFormat="0" ht="15">
      <c r="B5829" s="87" t="s">
        <v>1</v>
      </c>
      <c r="C5829" s="88" t="s">
        <v>5259</v>
      </c>
      <c r="D5829" s="88">
        <v>22623681</v>
      </c>
      <c r="E5829" s="88" t="s">
        <v>61</v>
      </c>
      <c r="F5829" s="88">
        <v>0</v>
      </c>
      <c r="G5829" s="78">
        <f>MAX(H5829,I5829,J5829)</f>
        <v>0</v>
      </c>
      <c r="H5829" s="88"/>
      <c r="I5829" s="88"/>
      <c r="J5829" s="78">
        <f>MAX(K5829:Q5829)</f>
        <v>0</v>
      </c>
      <c r="K5829" s="88"/>
      <c r="L5829" s="88"/>
      <c r="M5829" s="88"/>
      <c r="N5829" s="88"/>
      <c r="O5829" s="88"/>
      <c r="P5829" s="88"/>
      <c r="Q5829" s="88"/>
      <c r="R5829" s="78">
        <f>MAX(S5829:W5829)</f>
        <v>1</v>
      </c>
      <c r="S5829" s="88"/>
      <c r="T5829" s="88"/>
      <c r="U5829" s="88">
        <v>1</v>
      </c>
      <c r="V5829" s="88"/>
      <c r="W5829" s="88"/>
    </row>
    <row r="5830" spans="2:23" s="0" customFormat="0" ht="15">
      <c r="B5830" s="87" t="s">
        <v>1</v>
      </c>
      <c r="C5830" s="88" t="s">
        <v>5259</v>
      </c>
      <c r="D5830" s="88">
        <v>22859504</v>
      </c>
      <c r="E5830" s="88" t="s">
        <v>61</v>
      </c>
      <c r="F5830" s="88">
        <v>0</v>
      </c>
      <c r="G5830" s="78">
        <f>MAX(H5830,I5830,J5830)</f>
        <v>1</v>
      </c>
      <c r="H5830" s="88"/>
      <c r="I5830" s="88"/>
      <c r="J5830" s="78">
        <f>MAX(K5830:Q5830)</f>
        <v>1</v>
      </c>
      <c r="K5830" s="88">
        <v>1</v>
      </c>
      <c r="L5830" s="88"/>
      <c r="M5830" s="88"/>
      <c r="N5830" s="88"/>
      <c r="O5830" s="88"/>
      <c r="P5830" s="88"/>
      <c r="Q5830" s="88"/>
      <c r="R5830" s="78">
        <f>MAX(S5830:W5830)</f>
        <v>0</v>
      </c>
      <c r="S5830" s="88"/>
      <c r="T5830" s="88"/>
      <c r="U5830" s="88"/>
      <c r="V5830" s="88"/>
      <c r="W5830" s="88"/>
    </row>
    <row r="5831" spans="2:23" s="0" customFormat="0" ht="15">
      <c r="B5831" s="87" t="s">
        <v>1</v>
      </c>
      <c r="C5831" s="88" t="s">
        <v>5259</v>
      </c>
      <c r="D5831" s="88">
        <v>19863503</v>
      </c>
      <c r="E5831" s="88" t="s">
        <v>61</v>
      </c>
      <c r="F5831" s="88">
        <v>0</v>
      </c>
      <c r="G5831" s="78">
        <f>MAX(H5831,I5831,J5831)</f>
        <v>0</v>
      </c>
      <c r="H5831" s="88"/>
      <c r="I5831" s="88"/>
      <c r="J5831" s="78">
        <f>MAX(K5831:Q5831)</f>
        <v>0</v>
      </c>
      <c r="K5831" s="88"/>
      <c r="L5831" s="88"/>
      <c r="M5831" s="88"/>
      <c r="N5831" s="88"/>
      <c r="O5831" s="88"/>
      <c r="P5831" s="88"/>
      <c r="Q5831" s="88"/>
      <c r="R5831" s="78">
        <f>MAX(S5831:W5831)</f>
        <v>1</v>
      </c>
      <c r="S5831" s="88"/>
      <c r="T5831" s="88"/>
      <c r="U5831" s="88">
        <v>1</v>
      </c>
      <c r="V5831" s="88"/>
      <c r="W5831" s="88"/>
    </row>
    <row r="5832" spans="2:23" s="0" customFormat="0" ht="15">
      <c r="B5832" s="87" t="s">
        <v>1</v>
      </c>
      <c r="C5832" s="88" t="s">
        <v>5259</v>
      </c>
      <c r="D5832" s="88">
        <v>22554314</v>
      </c>
      <c r="E5832" s="88" t="s">
        <v>61</v>
      </c>
      <c r="F5832" s="88">
        <v>0</v>
      </c>
      <c r="G5832" s="78">
        <f>MAX(H5832,I5832,J5832)</f>
        <v>0</v>
      </c>
      <c r="H5832" s="88"/>
      <c r="I5832" s="88"/>
      <c r="J5832" s="78">
        <f>MAX(K5832:Q5832)</f>
        <v>0</v>
      </c>
      <c r="K5832" s="88"/>
      <c r="L5832" s="88"/>
      <c r="M5832" s="88"/>
      <c r="N5832" s="88"/>
      <c r="O5832" s="88"/>
      <c r="P5832" s="88"/>
      <c r="Q5832" s="88"/>
      <c r="R5832" s="78">
        <f>MAX(S5832:W5832)</f>
        <v>1</v>
      </c>
      <c r="S5832" s="88"/>
      <c r="T5832" s="88"/>
      <c r="U5832" s="88">
        <v>1</v>
      </c>
      <c r="V5832" s="88"/>
      <c r="W5832" s="88"/>
    </row>
    <row r="5833" spans="2:23" s="0" customFormat="0" ht="15">
      <c r="B5833" s="87" t="s">
        <v>1</v>
      </c>
      <c r="C5833" s="88" t="s">
        <v>5259</v>
      </c>
      <c r="D5833" s="88">
        <v>7065944</v>
      </c>
      <c r="E5833" s="88" t="s">
        <v>61</v>
      </c>
      <c r="F5833" s="88">
        <v>0</v>
      </c>
      <c r="G5833" s="78">
        <f>MAX(H5833,I5833,J5833)</f>
        <v>0</v>
      </c>
      <c r="H5833" s="88"/>
      <c r="I5833" s="88"/>
      <c r="J5833" s="78">
        <f>MAX(K5833:Q5833)</f>
        <v>0</v>
      </c>
      <c r="K5833" s="88"/>
      <c r="L5833" s="88"/>
      <c r="M5833" s="88"/>
      <c r="N5833" s="88"/>
      <c r="O5833" s="88"/>
      <c r="P5833" s="88"/>
      <c r="Q5833" s="88"/>
      <c r="R5833" s="78">
        <f>MAX(S5833:W5833)</f>
        <v>1</v>
      </c>
      <c r="S5833" s="88"/>
      <c r="T5833" s="88"/>
      <c r="U5833" s="88">
        <v>1</v>
      </c>
      <c r="V5833" s="88"/>
      <c r="W5833" s="88"/>
    </row>
    <row r="5834" spans="2:23" s="0" customFormat="0" ht="15">
      <c r="B5834" s="87" t="s">
        <v>1</v>
      </c>
      <c r="C5834" s="88" t="s">
        <v>5259</v>
      </c>
      <c r="D5834" s="88">
        <v>17100995</v>
      </c>
      <c r="E5834" s="88" t="s">
        <v>61</v>
      </c>
      <c r="F5834" s="88">
        <v>0</v>
      </c>
      <c r="G5834" s="78">
        <f>MAX(H5834,I5834,J5834)</f>
        <v>1</v>
      </c>
      <c r="H5834" s="88"/>
      <c r="I5834" s="88"/>
      <c r="J5834" s="78">
        <f>MAX(K5834:Q5834)</f>
        <v>1</v>
      </c>
      <c r="K5834" s="88">
        <v>1</v>
      </c>
      <c r="L5834" s="88"/>
      <c r="M5834" s="88"/>
      <c r="N5834" s="88"/>
      <c r="O5834" s="88"/>
      <c r="P5834" s="88"/>
      <c r="Q5834" s="88"/>
      <c r="R5834" s="78">
        <f>MAX(S5834:W5834)</f>
        <v>0</v>
      </c>
      <c r="S5834" s="88"/>
      <c r="T5834" s="88"/>
      <c r="U5834" s="88"/>
      <c r="V5834" s="88"/>
      <c r="W5834" s="88"/>
    </row>
    <row r="5835" spans="2:23" s="0" customFormat="0" ht="15">
      <c r="B5835" s="87" t="s">
        <v>1</v>
      </c>
      <c r="C5835" s="88" t="s">
        <v>5259</v>
      </c>
      <c r="D5835" s="88">
        <v>9487915</v>
      </c>
      <c r="E5835" s="88" t="s">
        <v>61</v>
      </c>
      <c r="F5835" s="88">
        <v>0</v>
      </c>
      <c r="G5835" s="78">
        <f>MAX(H5835,I5835,J5835)</f>
        <v>1</v>
      </c>
      <c r="H5835" s="88"/>
      <c r="I5835" s="88"/>
      <c r="J5835" s="78">
        <f>MAX(K5835:Q5835)</f>
        <v>1</v>
      </c>
      <c r="K5835" s="88">
        <v>1</v>
      </c>
      <c r="L5835" s="88"/>
      <c r="M5835" s="88"/>
      <c r="N5835" s="88"/>
      <c r="O5835" s="88"/>
      <c r="P5835" s="88"/>
      <c r="Q5835" s="88"/>
      <c r="R5835" s="78">
        <f>MAX(S5835:W5835)</f>
        <v>0</v>
      </c>
      <c r="S5835" s="88"/>
      <c r="T5835" s="88"/>
      <c r="U5835" s="88"/>
      <c r="V5835" s="88"/>
      <c r="W5835" s="88"/>
    </row>
    <row r="5836" spans="2:23" s="0" customFormat="0" ht="15">
      <c r="B5836" s="87" t="s">
        <v>1</v>
      </c>
      <c r="C5836" s="88" t="s">
        <v>5259</v>
      </c>
      <c r="D5836" s="88" t="s">
        <v>4625</v>
      </c>
      <c r="E5836" s="88" t="s">
        <v>61</v>
      </c>
      <c r="F5836" s="88">
        <v>0</v>
      </c>
      <c r="G5836" s="78">
        <f>MAX(H5836,I5836,J5836)</f>
        <v>0</v>
      </c>
      <c r="H5836" s="88"/>
      <c r="I5836" s="88"/>
      <c r="J5836" s="78">
        <f>MAX(K5836:Q5836)</f>
        <v>0</v>
      </c>
      <c r="K5836" s="88"/>
      <c r="L5836" s="88"/>
      <c r="M5836" s="88"/>
      <c r="N5836" s="88"/>
      <c r="O5836" s="88"/>
      <c r="P5836" s="88"/>
      <c r="Q5836" s="88"/>
      <c r="R5836" s="78">
        <f>MAX(S5836:W5836)</f>
        <v>1</v>
      </c>
      <c r="S5836" s="88"/>
      <c r="T5836" s="88"/>
      <c r="U5836" s="88">
        <v>1</v>
      </c>
      <c r="V5836" s="88"/>
      <c r="W5836" s="88"/>
    </row>
    <row r="5837" spans="2:23" s="0" customFormat="0" ht="15">
      <c r="B5837" s="87" t="s">
        <v>1</v>
      </c>
      <c r="C5837" s="88" t="s">
        <v>5259</v>
      </c>
      <c r="D5837" s="88">
        <v>18407518</v>
      </c>
      <c r="E5837" s="88" t="s">
        <v>61</v>
      </c>
      <c r="F5837" s="88">
        <v>0</v>
      </c>
      <c r="G5837" s="78">
        <f>MAX(H5837,I5837,J5837)</f>
        <v>1</v>
      </c>
      <c r="H5837" s="88"/>
      <c r="I5837" s="88"/>
      <c r="J5837" s="78">
        <f>MAX(K5837:Q5837)</f>
        <v>1</v>
      </c>
      <c r="K5837" s="88">
        <v>1</v>
      </c>
      <c r="L5837" s="88"/>
      <c r="M5837" s="88"/>
      <c r="N5837" s="88"/>
      <c r="O5837" s="88"/>
      <c r="P5837" s="88"/>
      <c r="Q5837" s="88"/>
      <c r="R5837" s="78">
        <f>MAX(S5837:W5837)</f>
        <v>0</v>
      </c>
      <c r="S5837" s="88"/>
      <c r="T5837" s="88"/>
      <c r="U5837" s="88"/>
      <c r="V5837" s="88"/>
      <c r="W5837" s="88"/>
    </row>
    <row r="5838" spans="2:23" s="0" customFormat="0" ht="15">
      <c r="B5838" s="87" t="s">
        <v>1</v>
      </c>
      <c r="C5838" s="88" t="s">
        <v>5259</v>
      </c>
      <c r="D5838" s="88" t="s">
        <v>4000</v>
      </c>
      <c r="E5838" s="88" t="s">
        <v>61</v>
      </c>
      <c r="F5838" s="88">
        <v>0</v>
      </c>
      <c r="G5838" s="78">
        <f>MAX(H5838,I5838,J5838)</f>
        <v>0</v>
      </c>
      <c r="H5838" s="88"/>
      <c r="I5838" s="88"/>
      <c r="J5838" s="78">
        <f>MAX(K5838:Q5838)</f>
        <v>0</v>
      </c>
      <c r="K5838" s="88"/>
      <c r="L5838" s="88"/>
      <c r="M5838" s="88"/>
      <c r="N5838" s="88"/>
      <c r="O5838" s="88"/>
      <c r="P5838" s="88"/>
      <c r="Q5838" s="88"/>
      <c r="R5838" s="78">
        <f>MAX(S5838:W5838)</f>
        <v>1</v>
      </c>
      <c r="S5838" s="88"/>
      <c r="T5838" s="88"/>
      <c r="U5838" s="88">
        <v>1</v>
      </c>
      <c r="V5838" s="88"/>
      <c r="W5838" s="88"/>
    </row>
    <row r="5839" spans="2:23" s="0" customFormat="0" ht="15">
      <c r="B5839" s="87" t="s">
        <v>1</v>
      </c>
      <c r="C5839" s="88" t="s">
        <v>5259</v>
      </c>
      <c r="D5839" s="88">
        <v>22106684</v>
      </c>
      <c r="E5839" s="88" t="s">
        <v>61</v>
      </c>
      <c r="F5839" s="88">
        <v>0</v>
      </c>
      <c r="G5839" s="78">
        <f>MAX(H5839,I5839,J5839)</f>
        <v>1</v>
      </c>
      <c r="H5839" s="88"/>
      <c r="I5839" s="88"/>
      <c r="J5839" s="78">
        <f>MAX(K5839:Q5839)</f>
        <v>1</v>
      </c>
      <c r="K5839" s="88">
        <v>1</v>
      </c>
      <c r="L5839" s="88"/>
      <c r="M5839" s="88"/>
      <c r="N5839" s="88"/>
      <c r="O5839" s="88"/>
      <c r="P5839" s="88"/>
      <c r="Q5839" s="88"/>
      <c r="R5839" s="78">
        <f>MAX(S5839:W5839)</f>
        <v>0</v>
      </c>
      <c r="S5839" s="88"/>
      <c r="T5839" s="88"/>
      <c r="U5839" s="88"/>
      <c r="V5839" s="88"/>
      <c r="W5839" s="88"/>
    </row>
    <row r="5840" spans="2:23" s="0" customFormat="0" ht="15">
      <c r="B5840" s="87" t="s">
        <v>1</v>
      </c>
      <c r="C5840" s="88" t="s">
        <v>5259</v>
      </c>
      <c r="D5840" s="88">
        <v>8941452</v>
      </c>
      <c r="E5840" s="88" t="s">
        <v>61</v>
      </c>
      <c r="F5840" s="88">
        <v>0</v>
      </c>
      <c r="G5840" s="78">
        <f>MAX(H5840,I5840,J5840)</f>
        <v>1</v>
      </c>
      <c r="H5840" s="88"/>
      <c r="I5840" s="88"/>
      <c r="J5840" s="78">
        <f>MAX(K5840:Q5840)</f>
        <v>1</v>
      </c>
      <c r="K5840" s="88">
        <v>1</v>
      </c>
      <c r="L5840" s="88"/>
      <c r="M5840" s="88"/>
      <c r="N5840" s="88"/>
      <c r="O5840" s="88"/>
      <c r="P5840" s="88"/>
      <c r="Q5840" s="88"/>
      <c r="R5840" s="78">
        <f>MAX(S5840:W5840)</f>
        <v>0</v>
      </c>
      <c r="S5840" s="88"/>
      <c r="T5840" s="88"/>
      <c r="U5840" s="88"/>
      <c r="V5840" s="88"/>
      <c r="W5840" s="88"/>
    </row>
    <row r="5841" spans="2:23" s="0" customFormat="0" ht="15">
      <c r="B5841" s="87" t="s">
        <v>1</v>
      </c>
      <c r="C5841" s="88" t="s">
        <v>5259</v>
      </c>
      <c r="D5841" s="88" t="s">
        <v>4967</v>
      </c>
      <c r="E5841" s="88" t="s">
        <v>61</v>
      </c>
      <c r="F5841" s="88">
        <v>0</v>
      </c>
      <c r="G5841" s="78">
        <f>MAX(H5841,I5841,J5841)</f>
        <v>0</v>
      </c>
      <c r="H5841" s="88"/>
      <c r="I5841" s="88"/>
      <c r="J5841" s="78">
        <f>MAX(K5841:Q5841)</f>
        <v>0</v>
      </c>
      <c r="K5841" s="88"/>
      <c r="L5841" s="88"/>
      <c r="M5841" s="88"/>
      <c r="N5841" s="88"/>
      <c r="O5841" s="88"/>
      <c r="P5841" s="88"/>
      <c r="Q5841" s="88"/>
      <c r="R5841" s="78">
        <f>MAX(S5841:W5841)</f>
        <v>1</v>
      </c>
      <c r="S5841" s="88"/>
      <c r="T5841" s="88"/>
      <c r="U5841" s="88">
        <v>1</v>
      </c>
      <c r="V5841" s="88"/>
      <c r="W5841" s="88"/>
    </row>
    <row r="5842" spans="2:23" s="0" customFormat="0" ht="15">
      <c r="B5842" s="87" t="s">
        <v>1</v>
      </c>
      <c r="C5842" s="88" t="s">
        <v>5259</v>
      </c>
      <c r="D5842" s="88" t="s">
        <v>1485</v>
      </c>
      <c r="E5842" s="88" t="s">
        <v>61</v>
      </c>
      <c r="F5842" s="88">
        <v>0</v>
      </c>
      <c r="G5842" s="78">
        <f>MAX(H5842,I5842,J5842)</f>
        <v>1</v>
      </c>
      <c r="H5842" s="88"/>
      <c r="I5842" s="88"/>
      <c r="J5842" s="78">
        <f>MAX(K5842:Q5842)</f>
        <v>1</v>
      </c>
      <c r="K5842" s="88">
        <v>1</v>
      </c>
      <c r="L5842" s="88"/>
      <c r="M5842" s="88"/>
      <c r="N5842" s="88"/>
      <c r="O5842" s="88"/>
      <c r="P5842" s="88"/>
      <c r="Q5842" s="88"/>
      <c r="R5842" s="78">
        <f>MAX(S5842:W5842)</f>
        <v>0</v>
      </c>
      <c r="S5842" s="88"/>
      <c r="T5842" s="88"/>
      <c r="U5842" s="88"/>
      <c r="V5842" s="88"/>
      <c r="W5842" s="88"/>
    </row>
    <row r="5843" spans="2:23" s="0" customFormat="0" ht="15">
      <c r="B5843" s="87" t="s">
        <v>1</v>
      </c>
      <c r="C5843" s="88" t="s">
        <v>5259</v>
      </c>
      <c r="D5843" s="88">
        <v>20708336</v>
      </c>
      <c r="E5843" s="88" t="s">
        <v>61</v>
      </c>
      <c r="F5843" s="88">
        <v>0</v>
      </c>
      <c r="G5843" s="78">
        <f>MAX(H5843,I5843,J5843)</f>
        <v>1</v>
      </c>
      <c r="H5843" s="88"/>
      <c r="I5843" s="88"/>
      <c r="J5843" s="78">
        <f>MAX(K5843:Q5843)</f>
        <v>1</v>
      </c>
      <c r="K5843" s="88">
        <v>1</v>
      </c>
      <c r="L5843" s="88"/>
      <c r="M5843" s="88"/>
      <c r="N5843" s="88"/>
      <c r="O5843" s="88"/>
      <c r="P5843" s="88"/>
      <c r="Q5843" s="88"/>
      <c r="R5843" s="78">
        <f>MAX(S5843:W5843)</f>
        <v>0</v>
      </c>
      <c r="S5843" s="88"/>
      <c r="T5843" s="88"/>
      <c r="U5843" s="88"/>
      <c r="V5843" s="88"/>
      <c r="W5843" s="88"/>
    </row>
    <row r="5844" spans="2:23" s="0" customFormat="0" ht="15">
      <c r="B5844" s="87" t="s">
        <v>1</v>
      </c>
      <c r="C5844" s="88" t="s">
        <v>5259</v>
      </c>
      <c r="D5844" s="88">
        <v>24222203</v>
      </c>
      <c r="E5844" s="88" t="s">
        <v>61</v>
      </c>
      <c r="F5844" s="88">
        <v>0</v>
      </c>
      <c r="G5844" s="78">
        <f>MAX(H5844,I5844,J5844)</f>
        <v>1</v>
      </c>
      <c r="H5844" s="88"/>
      <c r="I5844" s="88"/>
      <c r="J5844" s="78">
        <f>MAX(K5844:Q5844)</f>
        <v>1</v>
      </c>
      <c r="K5844" s="88">
        <v>1</v>
      </c>
      <c r="L5844" s="88"/>
      <c r="M5844" s="88"/>
      <c r="N5844" s="88"/>
      <c r="O5844" s="88"/>
      <c r="P5844" s="88"/>
      <c r="Q5844" s="88"/>
      <c r="R5844" s="78">
        <f>MAX(S5844:W5844)</f>
        <v>0</v>
      </c>
      <c r="S5844" s="88"/>
      <c r="T5844" s="88"/>
      <c r="U5844" s="88"/>
      <c r="V5844" s="88"/>
      <c r="W5844" s="88"/>
    </row>
    <row r="5845" spans="2:23" s="0" customFormat="0" ht="15">
      <c r="B5845" s="87" t="s">
        <v>1</v>
      </c>
      <c r="C5845" s="88" t="s">
        <v>5259</v>
      </c>
      <c r="D5845" s="88">
        <v>22713415</v>
      </c>
      <c r="E5845" s="88" t="s">
        <v>61</v>
      </c>
      <c r="F5845" s="88">
        <v>0</v>
      </c>
      <c r="G5845" s="78">
        <f>MAX(H5845,I5845,J5845)</f>
        <v>1</v>
      </c>
      <c r="H5845" s="88"/>
      <c r="I5845" s="88"/>
      <c r="J5845" s="78">
        <f>MAX(K5845:Q5845)</f>
        <v>1</v>
      </c>
      <c r="K5845" s="88">
        <v>1</v>
      </c>
      <c r="L5845" s="88"/>
      <c r="M5845" s="88"/>
      <c r="N5845" s="88"/>
      <c r="O5845" s="88"/>
      <c r="P5845" s="88"/>
      <c r="Q5845" s="88"/>
      <c r="R5845" s="78">
        <f>MAX(S5845:W5845)</f>
        <v>0</v>
      </c>
      <c r="S5845" s="88"/>
      <c r="T5845" s="88"/>
      <c r="U5845" s="88"/>
      <c r="V5845" s="88"/>
      <c r="W5845" s="88"/>
    </row>
    <row r="5846" spans="2:23" s="0" customFormat="0" ht="15">
      <c r="B5846" s="87" t="s">
        <v>1</v>
      </c>
      <c r="C5846" s="88" t="s">
        <v>5259</v>
      </c>
      <c r="D5846" s="88">
        <v>19612063</v>
      </c>
      <c r="E5846" s="88" t="s">
        <v>61</v>
      </c>
      <c r="F5846" s="88">
        <v>0</v>
      </c>
      <c r="G5846" s="78">
        <f>MAX(H5846,I5846,J5846)</f>
        <v>1</v>
      </c>
      <c r="H5846" s="88"/>
      <c r="I5846" s="88"/>
      <c r="J5846" s="78">
        <f>MAX(K5846:Q5846)</f>
        <v>1</v>
      </c>
      <c r="K5846" s="88">
        <v>1</v>
      </c>
      <c r="L5846" s="88"/>
      <c r="M5846" s="88"/>
      <c r="N5846" s="88"/>
      <c r="O5846" s="88"/>
      <c r="P5846" s="88"/>
      <c r="Q5846" s="88"/>
      <c r="R5846" s="78">
        <f>MAX(S5846:W5846)</f>
        <v>0</v>
      </c>
      <c r="S5846" s="88"/>
      <c r="T5846" s="88"/>
      <c r="U5846" s="88"/>
      <c r="V5846" s="88"/>
      <c r="W5846" s="88"/>
    </row>
    <row r="5847" spans="2:23" s="0" customFormat="0" ht="15">
      <c r="B5847" s="87" t="s">
        <v>1</v>
      </c>
      <c r="C5847" s="88" t="s">
        <v>5259</v>
      </c>
      <c r="D5847" s="88">
        <v>22623706</v>
      </c>
      <c r="E5847" s="88" t="s">
        <v>61</v>
      </c>
      <c r="F5847" s="88">
        <v>0</v>
      </c>
      <c r="G5847" s="78">
        <f>MAX(H5847,I5847,J5847)</f>
        <v>0</v>
      </c>
      <c r="H5847" s="88"/>
      <c r="I5847" s="88"/>
      <c r="J5847" s="78">
        <f>MAX(K5847:Q5847)</f>
        <v>0</v>
      </c>
      <c r="K5847" s="88"/>
      <c r="L5847" s="88"/>
      <c r="M5847" s="88"/>
      <c r="N5847" s="88"/>
      <c r="O5847" s="88"/>
      <c r="P5847" s="88"/>
      <c r="Q5847" s="88"/>
      <c r="R5847" s="78">
        <f>MAX(S5847:W5847)</f>
        <v>1</v>
      </c>
      <c r="S5847" s="88"/>
      <c r="T5847" s="88"/>
      <c r="U5847" s="88">
        <v>1</v>
      </c>
      <c r="V5847" s="88"/>
      <c r="W5847" s="88"/>
    </row>
    <row r="5848" spans="2:23" s="0" customFormat="0" ht="15">
      <c r="B5848" s="87" t="s">
        <v>1</v>
      </c>
      <c r="C5848" s="88" t="s">
        <v>5259</v>
      </c>
      <c r="D5848" s="88">
        <v>22062088</v>
      </c>
      <c r="E5848" s="88" t="s">
        <v>61</v>
      </c>
      <c r="F5848" s="88">
        <v>0</v>
      </c>
      <c r="G5848" s="78">
        <f>MAX(H5848,I5848,J5848)</f>
        <v>1</v>
      </c>
      <c r="H5848" s="88"/>
      <c r="I5848" s="88"/>
      <c r="J5848" s="78">
        <f>MAX(K5848:Q5848)</f>
        <v>1</v>
      </c>
      <c r="K5848" s="88">
        <v>1</v>
      </c>
      <c r="L5848" s="88"/>
      <c r="M5848" s="88"/>
      <c r="N5848" s="88"/>
      <c r="O5848" s="88"/>
      <c r="P5848" s="88"/>
      <c r="Q5848" s="88"/>
      <c r="R5848" s="78">
        <f>MAX(S5848:W5848)</f>
        <v>0</v>
      </c>
      <c r="S5848" s="88"/>
      <c r="T5848" s="88"/>
      <c r="U5848" s="88"/>
      <c r="V5848" s="88"/>
      <c r="W5848" s="88"/>
    </row>
    <row r="5849" spans="2:23" s="0" customFormat="0" ht="15">
      <c r="B5849" s="87" t="s">
        <v>1</v>
      </c>
      <c r="C5849" s="88" t="s">
        <v>5259</v>
      </c>
      <c r="D5849" s="88" t="s">
        <v>3152</v>
      </c>
      <c r="E5849" s="88" t="s">
        <v>61</v>
      </c>
      <c r="F5849" s="88">
        <v>0</v>
      </c>
      <c r="G5849" s="78">
        <f>MAX(H5849,I5849,J5849)</f>
        <v>1</v>
      </c>
      <c r="H5849" s="88"/>
      <c r="I5849" s="88"/>
      <c r="J5849" s="78">
        <f>MAX(K5849:Q5849)</f>
        <v>1</v>
      </c>
      <c r="K5849" s="88"/>
      <c r="L5849" s="88"/>
      <c r="M5849" s="88"/>
      <c r="N5849" s="88">
        <v>1</v>
      </c>
      <c r="O5849" s="88"/>
      <c r="P5849" s="88"/>
      <c r="Q5849" s="88"/>
      <c r="R5849" s="78">
        <f>MAX(S5849:W5849)</f>
        <v>0</v>
      </c>
      <c r="S5849" s="88"/>
      <c r="T5849" s="88"/>
      <c r="U5849" s="88"/>
      <c r="V5849" s="88"/>
      <c r="W5849" s="88"/>
    </row>
    <row r="5850" spans="2:23" s="0" customFormat="0" ht="15">
      <c r="B5850" s="87" t="s">
        <v>1</v>
      </c>
      <c r="C5850" s="88" t="s">
        <v>5259</v>
      </c>
      <c r="D5850" s="88">
        <v>7162170</v>
      </c>
      <c r="E5850" s="88" t="s">
        <v>61</v>
      </c>
      <c r="F5850" s="88">
        <v>0</v>
      </c>
      <c r="G5850" s="78">
        <f>MAX(H5850,I5850,J5850)</f>
        <v>1</v>
      </c>
      <c r="H5850" s="88"/>
      <c r="I5850" s="88"/>
      <c r="J5850" s="78">
        <f>MAX(K5850:Q5850)</f>
        <v>1</v>
      </c>
      <c r="K5850" s="88">
        <v>1</v>
      </c>
      <c r="L5850" s="88"/>
      <c r="M5850" s="88"/>
      <c r="N5850" s="88"/>
      <c r="O5850" s="88"/>
      <c r="P5850" s="88"/>
      <c r="Q5850" s="88"/>
      <c r="R5850" s="78">
        <f>MAX(S5850:W5850)</f>
        <v>0</v>
      </c>
      <c r="S5850" s="88"/>
      <c r="T5850" s="88"/>
      <c r="U5850" s="88"/>
      <c r="V5850" s="88"/>
      <c r="W5850" s="88"/>
    </row>
    <row r="5851" spans="2:23" s="0" customFormat="0" ht="15">
      <c r="B5851" s="87" t="s">
        <v>1</v>
      </c>
      <c r="C5851" s="88" t="s">
        <v>5259</v>
      </c>
      <c r="D5851" s="88">
        <v>20374630</v>
      </c>
      <c r="E5851" s="88" t="s">
        <v>61</v>
      </c>
      <c r="F5851" s="88">
        <v>0</v>
      </c>
      <c r="G5851" s="78">
        <f>MAX(H5851,I5851,J5851)</f>
        <v>1</v>
      </c>
      <c r="H5851" s="88"/>
      <c r="I5851" s="88"/>
      <c r="J5851" s="78">
        <f>MAX(K5851:Q5851)</f>
        <v>1</v>
      </c>
      <c r="K5851" s="88">
        <v>1</v>
      </c>
      <c r="L5851" s="88"/>
      <c r="M5851" s="88"/>
      <c r="N5851" s="88"/>
      <c r="O5851" s="88"/>
      <c r="P5851" s="88"/>
      <c r="Q5851" s="88"/>
      <c r="R5851" s="78">
        <f>MAX(S5851:W5851)</f>
        <v>0</v>
      </c>
      <c r="S5851" s="88"/>
      <c r="T5851" s="88"/>
      <c r="U5851" s="88"/>
      <c r="V5851" s="88"/>
      <c r="W5851" s="88"/>
    </row>
    <row r="5852" spans="2:23" s="0" customFormat="0" ht="15">
      <c r="B5852" s="87" t="s">
        <v>1</v>
      </c>
      <c r="C5852" s="88" t="s">
        <v>5259</v>
      </c>
      <c r="D5852" s="88">
        <v>17619849</v>
      </c>
      <c r="E5852" s="88" t="s">
        <v>61</v>
      </c>
      <c r="F5852" s="88">
        <v>0</v>
      </c>
      <c r="G5852" s="78">
        <f>MAX(H5852,I5852,J5852)</f>
        <v>0</v>
      </c>
      <c r="H5852" s="88"/>
      <c r="I5852" s="88"/>
      <c r="J5852" s="78">
        <f>MAX(K5852:Q5852)</f>
        <v>0</v>
      </c>
      <c r="K5852" s="88"/>
      <c r="L5852" s="88"/>
      <c r="M5852" s="88"/>
      <c r="N5852" s="88"/>
      <c r="O5852" s="88"/>
      <c r="P5852" s="88"/>
      <c r="Q5852" s="88"/>
      <c r="R5852" s="78">
        <f>MAX(S5852:W5852)</f>
        <v>1</v>
      </c>
      <c r="S5852" s="88"/>
      <c r="T5852" s="88"/>
      <c r="U5852" s="88">
        <v>1</v>
      </c>
      <c r="V5852" s="88"/>
      <c r="W5852" s="88"/>
    </row>
    <row r="5853" spans="2:23" s="0" customFormat="0" ht="15">
      <c r="B5853" s="87" t="s">
        <v>1</v>
      </c>
      <c r="C5853" s="88" t="s">
        <v>5259</v>
      </c>
      <c r="D5853" s="88" t="s">
        <v>4065</v>
      </c>
      <c r="E5853" s="88" t="s">
        <v>61</v>
      </c>
      <c r="F5853" s="88">
        <v>0</v>
      </c>
      <c r="G5853" s="78">
        <f>MAX(H5853,I5853,J5853)</f>
        <v>0</v>
      </c>
      <c r="H5853" s="88"/>
      <c r="I5853" s="88"/>
      <c r="J5853" s="78">
        <f>MAX(K5853:Q5853)</f>
        <v>0</v>
      </c>
      <c r="K5853" s="88"/>
      <c r="L5853" s="88"/>
      <c r="M5853" s="88"/>
      <c r="N5853" s="88"/>
      <c r="O5853" s="88"/>
      <c r="P5853" s="88"/>
      <c r="Q5853" s="88"/>
      <c r="R5853" s="78">
        <f>MAX(S5853:W5853)</f>
        <v>1</v>
      </c>
      <c r="S5853" s="88"/>
      <c r="T5853" s="88"/>
      <c r="U5853" s="88">
        <v>1</v>
      </c>
      <c r="V5853" s="88"/>
      <c r="W5853" s="88"/>
    </row>
    <row r="5854" spans="2:23" s="0" customFormat="0" ht="15">
      <c r="B5854" s="87" t="s">
        <v>1</v>
      </c>
      <c r="C5854" s="88" t="s">
        <v>5259</v>
      </c>
      <c r="D5854" s="88" t="s">
        <v>5180</v>
      </c>
      <c r="E5854" s="88" t="s">
        <v>61</v>
      </c>
      <c r="F5854" s="88">
        <v>0</v>
      </c>
      <c r="G5854" s="78">
        <f>MAX(H5854,I5854,J5854)</f>
        <v>0</v>
      </c>
      <c r="H5854" s="88"/>
      <c r="I5854" s="88"/>
      <c r="J5854" s="78">
        <f>MAX(K5854:Q5854)</f>
        <v>0</v>
      </c>
      <c r="K5854" s="88"/>
      <c r="L5854" s="88"/>
      <c r="M5854" s="88"/>
      <c r="N5854" s="88"/>
      <c r="O5854" s="88"/>
      <c r="P5854" s="88"/>
      <c r="Q5854" s="88"/>
      <c r="R5854" s="78">
        <f>MAX(S5854:W5854)</f>
        <v>1</v>
      </c>
      <c r="S5854" s="88"/>
      <c r="T5854" s="88"/>
      <c r="U5854" s="88">
        <v>1</v>
      </c>
      <c r="V5854" s="88"/>
      <c r="W5854" s="88"/>
    </row>
    <row r="5855" spans="2:23" s="0" customFormat="0" ht="15">
      <c r="B5855" s="87" t="s">
        <v>1</v>
      </c>
      <c r="C5855" s="88" t="s">
        <v>5259</v>
      </c>
      <c r="D5855" s="88">
        <v>16974894</v>
      </c>
      <c r="E5855" s="88" t="s">
        <v>61</v>
      </c>
      <c r="F5855" s="88">
        <v>0</v>
      </c>
      <c r="G5855" s="78">
        <f>MAX(H5855,I5855,J5855)</f>
        <v>0</v>
      </c>
      <c r="H5855" s="88"/>
      <c r="I5855" s="88"/>
      <c r="J5855" s="78">
        <f>MAX(K5855:Q5855)</f>
        <v>0</v>
      </c>
      <c r="K5855" s="88"/>
      <c r="L5855" s="88"/>
      <c r="M5855" s="88"/>
      <c r="N5855" s="88"/>
      <c r="O5855" s="88"/>
      <c r="P5855" s="88"/>
      <c r="Q5855" s="88"/>
      <c r="R5855" s="78">
        <f>MAX(S5855:W5855)</f>
        <v>1</v>
      </c>
      <c r="S5855" s="88"/>
      <c r="T5855" s="88"/>
      <c r="U5855" s="88"/>
      <c r="V5855" s="88">
        <v>1</v>
      </c>
      <c r="W5855" s="88"/>
    </row>
    <row r="5856" spans="2:23" s="0" customFormat="0" ht="15">
      <c r="B5856" s="87" t="s">
        <v>1</v>
      </c>
      <c r="C5856" s="88" t="s">
        <v>5259</v>
      </c>
      <c r="D5856" s="88">
        <v>7178667</v>
      </c>
      <c r="E5856" s="88" t="s">
        <v>61</v>
      </c>
      <c r="F5856" s="88">
        <v>0</v>
      </c>
      <c r="G5856" s="78">
        <f>MAX(H5856,I5856,J5856)</f>
        <v>1</v>
      </c>
      <c r="H5856" s="88"/>
      <c r="I5856" s="88"/>
      <c r="J5856" s="78">
        <f>MAX(K5856:Q5856)</f>
        <v>1</v>
      </c>
      <c r="K5856" s="88">
        <v>1</v>
      </c>
      <c r="L5856" s="88"/>
      <c r="M5856" s="88"/>
      <c r="N5856" s="88"/>
      <c r="O5856" s="88"/>
      <c r="P5856" s="88"/>
      <c r="Q5856" s="88"/>
      <c r="R5856" s="78">
        <f>MAX(S5856:W5856)</f>
        <v>0</v>
      </c>
      <c r="S5856" s="88"/>
      <c r="T5856" s="88"/>
      <c r="U5856" s="88"/>
      <c r="V5856" s="88"/>
      <c r="W5856" s="88"/>
    </row>
    <row r="5857" spans="2:23" s="0" customFormat="0" ht="15">
      <c r="B5857" s="87" t="s">
        <v>1</v>
      </c>
      <c r="C5857" s="88" t="s">
        <v>5259</v>
      </c>
      <c r="D5857" s="88" t="s">
        <v>2574</v>
      </c>
      <c r="E5857" s="88" t="s">
        <v>61</v>
      </c>
      <c r="F5857" s="88">
        <v>0</v>
      </c>
      <c r="G5857" s="78">
        <f>MAX(H5857,I5857,J5857)</f>
        <v>1</v>
      </c>
      <c r="H5857" s="88"/>
      <c r="I5857" s="88"/>
      <c r="J5857" s="78">
        <f>MAX(K5857:Q5857)</f>
        <v>1</v>
      </c>
      <c r="K5857" s="88">
        <v>1</v>
      </c>
      <c r="L5857" s="88"/>
      <c r="M5857" s="88"/>
      <c r="N5857" s="88"/>
      <c r="O5857" s="88"/>
      <c r="P5857" s="88"/>
      <c r="Q5857" s="88"/>
      <c r="R5857" s="78">
        <f>MAX(S5857:W5857)</f>
        <v>0</v>
      </c>
      <c r="S5857" s="88"/>
      <c r="T5857" s="88"/>
      <c r="U5857" s="88"/>
      <c r="V5857" s="88"/>
      <c r="W5857" s="88"/>
    </row>
    <row r="5858" spans="2:23" s="0" customFormat="0" ht="15">
      <c r="B5858" s="87" t="s">
        <v>1</v>
      </c>
      <c r="C5858" s="88" t="s">
        <v>5259</v>
      </c>
      <c r="D5858" s="88">
        <v>7591116</v>
      </c>
      <c r="E5858" s="88" t="s">
        <v>61</v>
      </c>
      <c r="F5858" s="88">
        <v>0</v>
      </c>
      <c r="G5858" s="78">
        <f>MAX(H5858,I5858,J5858)</f>
        <v>1</v>
      </c>
      <c r="H5858" s="88"/>
      <c r="I5858" s="88"/>
      <c r="J5858" s="78">
        <f>MAX(K5858:Q5858)</f>
        <v>1</v>
      </c>
      <c r="K5858" s="88">
        <v>1</v>
      </c>
      <c r="L5858" s="88"/>
      <c r="M5858" s="88"/>
      <c r="N5858" s="88"/>
      <c r="O5858" s="88"/>
      <c r="P5858" s="88"/>
      <c r="Q5858" s="88"/>
      <c r="R5858" s="78">
        <f>MAX(S5858:W5858)</f>
        <v>0</v>
      </c>
      <c r="S5858" s="88"/>
      <c r="T5858" s="88"/>
      <c r="U5858" s="88"/>
      <c r="V5858" s="88"/>
      <c r="W5858" s="88"/>
    </row>
    <row r="5859" spans="2:23" s="0" customFormat="0" ht="15">
      <c r="B5859" s="87" t="s">
        <v>1</v>
      </c>
      <c r="C5859" s="88" t="s">
        <v>5259</v>
      </c>
      <c r="D5859" s="88" t="s">
        <v>1104</v>
      </c>
      <c r="E5859" s="88" t="s">
        <v>61</v>
      </c>
      <c r="F5859" s="88">
        <v>0</v>
      </c>
      <c r="G5859" s="78">
        <f>MAX(H5859,I5859,J5859)</f>
        <v>1</v>
      </c>
      <c r="H5859" s="88"/>
      <c r="I5859" s="88"/>
      <c r="J5859" s="78">
        <f>MAX(K5859:Q5859)</f>
        <v>1</v>
      </c>
      <c r="K5859" s="88">
        <v>1</v>
      </c>
      <c r="L5859" s="88"/>
      <c r="M5859" s="88"/>
      <c r="N5859" s="88"/>
      <c r="O5859" s="88"/>
      <c r="P5859" s="88"/>
      <c r="Q5859" s="88"/>
      <c r="R5859" s="78">
        <f>MAX(S5859:W5859)</f>
        <v>0</v>
      </c>
      <c r="S5859" s="88"/>
      <c r="T5859" s="88"/>
      <c r="U5859" s="88"/>
      <c r="V5859" s="88"/>
      <c r="W5859" s="88"/>
    </row>
    <row r="5860" spans="2:23" s="0" customFormat="0" ht="15">
      <c r="B5860" s="87" t="s">
        <v>1</v>
      </c>
      <c r="C5860" s="88" t="s">
        <v>5259</v>
      </c>
      <c r="D5860" s="88">
        <v>14418870</v>
      </c>
      <c r="E5860" s="88" t="s">
        <v>61</v>
      </c>
      <c r="F5860" s="88">
        <v>0</v>
      </c>
      <c r="G5860" s="78">
        <f>MAX(H5860,I5860,J5860)</f>
        <v>1</v>
      </c>
      <c r="H5860" s="88"/>
      <c r="I5860" s="88"/>
      <c r="J5860" s="78">
        <f>MAX(K5860:Q5860)</f>
        <v>1</v>
      </c>
      <c r="K5860" s="88">
        <v>1</v>
      </c>
      <c r="L5860" s="88"/>
      <c r="M5860" s="88"/>
      <c r="N5860" s="88"/>
      <c r="O5860" s="88"/>
      <c r="P5860" s="88"/>
      <c r="Q5860" s="88"/>
      <c r="R5860" s="78">
        <f>MAX(S5860:W5860)</f>
        <v>0</v>
      </c>
      <c r="S5860" s="88"/>
      <c r="T5860" s="88"/>
      <c r="U5860" s="88"/>
      <c r="V5860" s="88"/>
      <c r="W5860" s="88"/>
    </row>
    <row r="5861" spans="2:23" s="0" customFormat="0" ht="15">
      <c r="B5861" s="87" t="s">
        <v>1</v>
      </c>
      <c r="C5861" s="88" t="s">
        <v>5259</v>
      </c>
      <c r="D5861" s="88" t="s">
        <v>4665</v>
      </c>
      <c r="E5861" s="88" t="s">
        <v>61</v>
      </c>
      <c r="F5861" s="88">
        <v>0</v>
      </c>
      <c r="G5861" s="78">
        <f>MAX(H5861,I5861,J5861)</f>
        <v>0</v>
      </c>
      <c r="H5861" s="88"/>
      <c r="I5861" s="88"/>
      <c r="J5861" s="78">
        <f>MAX(K5861:Q5861)</f>
        <v>0</v>
      </c>
      <c r="K5861" s="88"/>
      <c r="L5861" s="88"/>
      <c r="M5861" s="88"/>
      <c r="N5861" s="88"/>
      <c r="O5861" s="88"/>
      <c r="P5861" s="88"/>
      <c r="Q5861" s="88"/>
      <c r="R5861" s="78">
        <f>MAX(S5861:W5861)</f>
        <v>1</v>
      </c>
      <c r="S5861" s="88"/>
      <c r="T5861" s="88"/>
      <c r="U5861" s="88">
        <v>1</v>
      </c>
      <c r="V5861" s="88"/>
      <c r="W5861" s="88"/>
    </row>
    <row r="5862" spans="2:23" s="0" customFormat="0" ht="15">
      <c r="B5862" s="87" t="s">
        <v>1</v>
      </c>
      <c r="C5862" s="88" t="s">
        <v>5259</v>
      </c>
      <c r="D5862" s="88">
        <v>15533513</v>
      </c>
      <c r="E5862" s="88" t="s">
        <v>61</v>
      </c>
      <c r="F5862" s="88">
        <v>0</v>
      </c>
      <c r="G5862" s="78">
        <f>MAX(H5862,I5862,J5862)</f>
        <v>1</v>
      </c>
      <c r="H5862" s="88"/>
      <c r="I5862" s="88"/>
      <c r="J5862" s="78">
        <f>MAX(K5862:Q5862)</f>
        <v>1</v>
      </c>
      <c r="K5862" s="88">
        <v>1</v>
      </c>
      <c r="L5862" s="88"/>
      <c r="M5862" s="88"/>
      <c r="N5862" s="88"/>
      <c r="O5862" s="88"/>
      <c r="P5862" s="88"/>
      <c r="Q5862" s="88"/>
      <c r="R5862" s="78">
        <f>MAX(S5862:W5862)</f>
        <v>0</v>
      </c>
      <c r="S5862" s="88"/>
      <c r="T5862" s="88"/>
      <c r="U5862" s="88"/>
      <c r="V5862" s="88"/>
      <c r="W5862" s="88"/>
    </row>
    <row r="5863" spans="2:23" s="0" customFormat="0" ht="15">
      <c r="B5863" s="87" t="s">
        <v>1</v>
      </c>
      <c r="C5863" s="88" t="s">
        <v>5259</v>
      </c>
      <c r="D5863" s="88">
        <v>5109850</v>
      </c>
      <c r="E5863" s="88" t="s">
        <v>61</v>
      </c>
      <c r="F5863" s="88">
        <v>0</v>
      </c>
      <c r="G5863" s="78">
        <f>MAX(H5863,I5863,J5863)</f>
        <v>1</v>
      </c>
      <c r="H5863" s="88"/>
      <c r="I5863" s="88"/>
      <c r="J5863" s="78">
        <f>MAX(K5863:Q5863)</f>
        <v>1</v>
      </c>
      <c r="K5863" s="88">
        <v>1</v>
      </c>
      <c r="L5863" s="88"/>
      <c r="M5863" s="88"/>
      <c r="N5863" s="88"/>
      <c r="O5863" s="88"/>
      <c r="P5863" s="88"/>
      <c r="Q5863" s="88"/>
      <c r="R5863" s="78">
        <f>MAX(S5863:W5863)</f>
        <v>0</v>
      </c>
      <c r="S5863" s="88"/>
      <c r="T5863" s="88"/>
      <c r="U5863" s="88"/>
      <c r="V5863" s="88"/>
      <c r="W5863" s="88"/>
    </row>
    <row r="5864" spans="2:23" s="0" customFormat="0" ht="15">
      <c r="B5864" s="87" t="s">
        <v>1</v>
      </c>
      <c r="C5864" s="88" t="s">
        <v>5259</v>
      </c>
      <c r="D5864" s="88">
        <v>14504605</v>
      </c>
      <c r="E5864" s="88" t="s">
        <v>61</v>
      </c>
      <c r="F5864" s="88">
        <v>0</v>
      </c>
      <c r="G5864" s="78">
        <f>MAX(H5864,I5864,J5864)</f>
        <v>1</v>
      </c>
      <c r="H5864" s="88"/>
      <c r="I5864" s="88"/>
      <c r="J5864" s="78">
        <f>MAX(K5864:Q5864)</f>
        <v>1</v>
      </c>
      <c r="K5864" s="88"/>
      <c r="L5864" s="88">
        <v>1</v>
      </c>
      <c r="M5864" s="88"/>
      <c r="N5864" s="88"/>
      <c r="O5864" s="88"/>
      <c r="P5864" s="88"/>
      <c r="Q5864" s="88"/>
      <c r="R5864" s="78">
        <f>MAX(S5864:W5864)</f>
        <v>0</v>
      </c>
      <c r="S5864" s="88"/>
      <c r="T5864" s="88"/>
      <c r="U5864" s="88"/>
      <c r="V5864" s="88"/>
      <c r="W5864" s="88"/>
    </row>
    <row r="5865" spans="2:23" s="0" customFormat="0" ht="15">
      <c r="B5865" s="87" t="s">
        <v>1</v>
      </c>
      <c r="C5865" s="88" t="s">
        <v>5259</v>
      </c>
      <c r="D5865" s="88" t="s">
        <v>2339</v>
      </c>
      <c r="E5865" s="88" t="s">
        <v>61</v>
      </c>
      <c r="F5865" s="88">
        <v>0</v>
      </c>
      <c r="G5865" s="78">
        <f>MAX(H5865,I5865,J5865)</f>
        <v>1</v>
      </c>
      <c r="H5865" s="88"/>
      <c r="I5865" s="88"/>
      <c r="J5865" s="78">
        <f>MAX(K5865:Q5865)</f>
        <v>1</v>
      </c>
      <c r="K5865" s="88">
        <v>1</v>
      </c>
      <c r="L5865" s="88"/>
      <c r="M5865" s="88"/>
      <c r="N5865" s="88"/>
      <c r="O5865" s="88"/>
      <c r="P5865" s="88"/>
      <c r="Q5865" s="88"/>
      <c r="R5865" s="78">
        <f>MAX(S5865:W5865)</f>
        <v>0</v>
      </c>
      <c r="S5865" s="88"/>
      <c r="T5865" s="88"/>
      <c r="U5865" s="88"/>
      <c r="V5865" s="88"/>
      <c r="W5865" s="88"/>
    </row>
    <row r="5866" spans="2:23" s="0" customFormat="0" ht="15">
      <c r="B5866" s="87" t="s">
        <v>1</v>
      </c>
      <c r="C5866" s="88" t="s">
        <v>5259</v>
      </c>
      <c r="D5866" s="88">
        <v>20113244</v>
      </c>
      <c r="E5866" s="88" t="s">
        <v>61</v>
      </c>
      <c r="F5866" s="88">
        <v>0</v>
      </c>
      <c r="G5866" s="78">
        <f>MAX(H5866,I5866,J5866)</f>
        <v>0</v>
      </c>
      <c r="H5866" s="88"/>
      <c r="I5866" s="88"/>
      <c r="J5866" s="78">
        <f>MAX(K5866:Q5866)</f>
        <v>0</v>
      </c>
      <c r="K5866" s="88"/>
      <c r="L5866" s="88"/>
      <c r="M5866" s="88"/>
      <c r="N5866" s="88"/>
      <c r="O5866" s="88"/>
      <c r="P5866" s="88"/>
      <c r="Q5866" s="88"/>
      <c r="R5866" s="78">
        <f>MAX(S5866:W5866)</f>
        <v>1</v>
      </c>
      <c r="S5866" s="88"/>
      <c r="T5866" s="88"/>
      <c r="U5866" s="88">
        <v>1</v>
      </c>
      <c r="V5866" s="88"/>
      <c r="W5866" s="88"/>
    </row>
    <row r="5867" spans="2:23" s="0" customFormat="0" ht="15">
      <c r="B5867" s="87" t="s">
        <v>1</v>
      </c>
      <c r="C5867" s="88" t="s">
        <v>5259</v>
      </c>
      <c r="D5867" s="88">
        <v>17164391</v>
      </c>
      <c r="E5867" s="88" t="s">
        <v>61</v>
      </c>
      <c r="F5867" s="88">
        <v>0</v>
      </c>
      <c r="G5867" s="78">
        <f>MAX(H5867,I5867,J5867)</f>
        <v>1</v>
      </c>
      <c r="H5867" s="88"/>
      <c r="I5867" s="88"/>
      <c r="J5867" s="78">
        <f>MAX(K5867:Q5867)</f>
        <v>1</v>
      </c>
      <c r="K5867" s="88">
        <v>1</v>
      </c>
      <c r="L5867" s="88"/>
      <c r="M5867" s="88"/>
      <c r="N5867" s="88"/>
      <c r="O5867" s="88"/>
      <c r="P5867" s="88"/>
      <c r="Q5867" s="88"/>
      <c r="R5867" s="78">
        <f>MAX(S5867:W5867)</f>
        <v>0</v>
      </c>
      <c r="S5867" s="88"/>
      <c r="T5867" s="88"/>
      <c r="U5867" s="88"/>
      <c r="V5867" s="88"/>
      <c r="W5867" s="88"/>
    </row>
    <row r="5868" spans="2:23" s="0" customFormat="0" ht="15">
      <c r="B5868" s="87" t="s">
        <v>1</v>
      </c>
      <c r="C5868" s="88" t="s">
        <v>5259</v>
      </c>
      <c r="D5868" s="88">
        <v>11821205</v>
      </c>
      <c r="E5868" s="88" t="s">
        <v>61</v>
      </c>
      <c r="F5868" s="88">
        <v>0</v>
      </c>
      <c r="G5868" s="78">
        <f>MAX(H5868,I5868,J5868)</f>
        <v>1</v>
      </c>
      <c r="H5868" s="88"/>
      <c r="I5868" s="88"/>
      <c r="J5868" s="78">
        <f>MAX(K5868:Q5868)</f>
        <v>1</v>
      </c>
      <c r="K5868" s="88">
        <v>1</v>
      </c>
      <c r="L5868" s="88"/>
      <c r="M5868" s="88"/>
      <c r="N5868" s="88"/>
      <c r="O5868" s="88"/>
      <c r="P5868" s="88"/>
      <c r="Q5868" s="88"/>
      <c r="R5868" s="78">
        <f>MAX(S5868:W5868)</f>
        <v>0</v>
      </c>
      <c r="S5868" s="88"/>
      <c r="T5868" s="88"/>
      <c r="U5868" s="88"/>
      <c r="V5868" s="88"/>
      <c r="W5868" s="88"/>
    </row>
    <row r="5869" spans="2:23" s="0" customFormat="0" ht="15">
      <c r="B5869" s="87" t="s">
        <v>1</v>
      </c>
      <c r="C5869" s="88" t="s">
        <v>5259</v>
      </c>
      <c r="D5869" s="88" t="s">
        <v>4726</v>
      </c>
      <c r="E5869" s="88" t="s">
        <v>61</v>
      </c>
      <c r="F5869" s="88">
        <v>0</v>
      </c>
      <c r="G5869" s="78">
        <f>MAX(H5869,I5869,J5869)</f>
        <v>0</v>
      </c>
      <c r="H5869" s="88"/>
      <c r="I5869" s="88"/>
      <c r="J5869" s="78">
        <f>MAX(K5869:Q5869)</f>
        <v>0</v>
      </c>
      <c r="K5869" s="88"/>
      <c r="L5869" s="88"/>
      <c r="M5869" s="88"/>
      <c r="N5869" s="88"/>
      <c r="O5869" s="88"/>
      <c r="P5869" s="88"/>
      <c r="Q5869" s="88"/>
      <c r="R5869" s="78">
        <f>MAX(S5869:W5869)</f>
        <v>1</v>
      </c>
      <c r="S5869" s="88"/>
      <c r="T5869" s="88"/>
      <c r="U5869" s="88">
        <v>1</v>
      </c>
      <c r="V5869" s="88"/>
      <c r="W5869" s="88"/>
    </row>
    <row r="5870" spans="2:23" s="0" customFormat="0" ht="15">
      <c r="B5870" s="87" t="s">
        <v>1</v>
      </c>
      <c r="C5870" s="88" t="s">
        <v>5259</v>
      </c>
      <c r="D5870" s="88">
        <v>813656</v>
      </c>
      <c r="E5870" s="88" t="s">
        <v>61</v>
      </c>
      <c r="F5870" s="88">
        <v>0</v>
      </c>
      <c r="G5870" s="78">
        <f>MAX(H5870,I5870,J5870)</f>
        <v>0</v>
      </c>
      <c r="H5870" s="88"/>
      <c r="I5870" s="88"/>
      <c r="J5870" s="78">
        <f>MAX(K5870:Q5870)</f>
        <v>0</v>
      </c>
      <c r="K5870" s="88"/>
      <c r="L5870" s="88"/>
      <c r="M5870" s="88"/>
      <c r="N5870" s="88"/>
      <c r="O5870" s="88"/>
      <c r="P5870" s="88"/>
      <c r="Q5870" s="88"/>
      <c r="R5870" s="78">
        <f>MAX(S5870:W5870)</f>
        <v>1</v>
      </c>
      <c r="S5870" s="88"/>
      <c r="T5870" s="88"/>
      <c r="U5870" s="88">
        <v>1</v>
      </c>
      <c r="V5870" s="88"/>
      <c r="W5870" s="88"/>
    </row>
    <row r="5871" spans="2:23" s="0" customFormat="0" ht="15">
      <c r="B5871" s="87" t="s">
        <v>1</v>
      </c>
      <c r="C5871" s="88" t="s">
        <v>5259</v>
      </c>
      <c r="D5871" s="88" t="s">
        <v>2384</v>
      </c>
      <c r="E5871" s="88" t="s">
        <v>61</v>
      </c>
      <c r="F5871" s="88">
        <v>0</v>
      </c>
      <c r="G5871" s="78">
        <f>MAX(H5871,I5871,J5871)</f>
        <v>1</v>
      </c>
      <c r="H5871" s="88"/>
      <c r="I5871" s="88"/>
      <c r="J5871" s="78">
        <f>MAX(K5871:Q5871)</f>
        <v>1</v>
      </c>
      <c r="K5871" s="88">
        <v>1</v>
      </c>
      <c r="L5871" s="88"/>
      <c r="M5871" s="88"/>
      <c r="N5871" s="88"/>
      <c r="O5871" s="88"/>
      <c r="P5871" s="88"/>
      <c r="Q5871" s="88"/>
      <c r="R5871" s="78">
        <f>MAX(S5871:W5871)</f>
        <v>0</v>
      </c>
      <c r="S5871" s="88"/>
      <c r="T5871" s="88"/>
      <c r="U5871" s="88"/>
      <c r="V5871" s="88"/>
      <c r="W5871" s="88"/>
    </row>
    <row r="5872" spans="2:23" s="0" customFormat="0" ht="15">
      <c r="B5872" s="87" t="s">
        <v>1</v>
      </c>
      <c r="C5872" s="88" t="s">
        <v>5259</v>
      </c>
      <c r="D5872" s="88">
        <v>18944109</v>
      </c>
      <c r="E5872" s="88" t="s">
        <v>61</v>
      </c>
      <c r="F5872" s="88">
        <v>0</v>
      </c>
      <c r="G5872" s="78">
        <f>MAX(H5872,I5872,J5872)</f>
        <v>1</v>
      </c>
      <c r="H5872" s="88"/>
      <c r="I5872" s="88"/>
      <c r="J5872" s="78">
        <f>MAX(K5872:Q5872)</f>
        <v>1</v>
      </c>
      <c r="K5872" s="88">
        <v>1</v>
      </c>
      <c r="L5872" s="88"/>
      <c r="M5872" s="88"/>
      <c r="N5872" s="88"/>
      <c r="O5872" s="88"/>
      <c r="P5872" s="88"/>
      <c r="Q5872" s="88"/>
      <c r="R5872" s="78">
        <f>MAX(S5872:W5872)</f>
        <v>0</v>
      </c>
      <c r="S5872" s="88"/>
      <c r="T5872" s="88"/>
      <c r="U5872" s="88"/>
      <c r="V5872" s="88"/>
      <c r="W5872" s="88"/>
    </row>
    <row r="5873" spans="2:23" s="0" customFormat="0" ht="15">
      <c r="B5873" s="87" t="s">
        <v>1</v>
      </c>
      <c r="C5873" s="88" t="s">
        <v>5259</v>
      </c>
      <c r="D5873" s="88">
        <v>21883382</v>
      </c>
      <c r="E5873" s="88" t="s">
        <v>61</v>
      </c>
      <c r="F5873" s="88">
        <v>0</v>
      </c>
      <c r="G5873" s="78">
        <f>MAX(H5873,I5873,J5873)</f>
        <v>1</v>
      </c>
      <c r="H5873" s="88"/>
      <c r="I5873" s="88"/>
      <c r="J5873" s="78">
        <f>MAX(K5873:Q5873)</f>
        <v>1</v>
      </c>
      <c r="K5873" s="88">
        <v>1</v>
      </c>
      <c r="L5873" s="88"/>
      <c r="M5873" s="88"/>
      <c r="N5873" s="88"/>
      <c r="O5873" s="88"/>
      <c r="P5873" s="88"/>
      <c r="Q5873" s="88"/>
      <c r="R5873" s="78">
        <f>MAX(S5873:W5873)</f>
        <v>0</v>
      </c>
      <c r="S5873" s="88"/>
      <c r="T5873" s="88"/>
      <c r="U5873" s="88"/>
      <c r="V5873" s="88"/>
      <c r="W5873" s="88"/>
    </row>
    <row r="5874" spans="2:23" s="0" customFormat="0" ht="15">
      <c r="B5874" s="87" t="s">
        <v>1</v>
      </c>
      <c r="C5874" s="88" t="s">
        <v>5259</v>
      </c>
      <c r="D5874" s="88">
        <v>21230807</v>
      </c>
      <c r="E5874" s="88" t="s">
        <v>61</v>
      </c>
      <c r="F5874" s="88">
        <v>0</v>
      </c>
      <c r="G5874" s="78">
        <f>MAX(H5874,I5874,J5874)</f>
        <v>1</v>
      </c>
      <c r="H5874" s="88"/>
      <c r="I5874" s="88"/>
      <c r="J5874" s="78">
        <f>MAX(K5874:Q5874)</f>
        <v>1</v>
      </c>
      <c r="K5874" s="88">
        <v>1</v>
      </c>
      <c r="L5874" s="88"/>
      <c r="M5874" s="88"/>
      <c r="N5874" s="88"/>
      <c r="O5874" s="88"/>
      <c r="P5874" s="88"/>
      <c r="Q5874" s="88"/>
      <c r="R5874" s="78">
        <f>MAX(S5874:W5874)</f>
        <v>0</v>
      </c>
      <c r="S5874" s="88"/>
      <c r="T5874" s="88"/>
      <c r="U5874" s="88"/>
      <c r="V5874" s="88"/>
      <c r="W5874" s="88"/>
    </row>
    <row r="5875" spans="2:23" s="0" customFormat="0" ht="15">
      <c r="B5875" s="87" t="s">
        <v>1</v>
      </c>
      <c r="C5875" s="88" t="s">
        <v>5259</v>
      </c>
      <c r="D5875" s="88">
        <v>13724713</v>
      </c>
      <c r="E5875" s="88" t="s">
        <v>61</v>
      </c>
      <c r="F5875" s="88">
        <v>0</v>
      </c>
      <c r="G5875" s="78">
        <f>MAX(H5875,I5875,J5875)</f>
        <v>1</v>
      </c>
      <c r="H5875" s="88"/>
      <c r="I5875" s="88"/>
      <c r="J5875" s="78">
        <f>MAX(K5875:Q5875)</f>
        <v>1</v>
      </c>
      <c r="K5875" s="88">
        <v>1</v>
      </c>
      <c r="L5875" s="88"/>
      <c r="M5875" s="88"/>
      <c r="N5875" s="88"/>
      <c r="O5875" s="88"/>
      <c r="P5875" s="88"/>
      <c r="Q5875" s="88"/>
      <c r="R5875" s="78">
        <f>MAX(S5875:W5875)</f>
        <v>0</v>
      </c>
      <c r="S5875" s="88"/>
      <c r="T5875" s="88"/>
      <c r="U5875" s="88"/>
      <c r="V5875" s="88"/>
      <c r="W5875" s="88"/>
    </row>
    <row r="5876" spans="2:23" s="0" customFormat="0" ht="15">
      <c r="B5876" s="87" t="s">
        <v>1</v>
      </c>
      <c r="C5876" s="88" t="s">
        <v>5259</v>
      </c>
      <c r="D5876" s="88">
        <v>12200157</v>
      </c>
      <c r="E5876" s="88" t="s">
        <v>61</v>
      </c>
      <c r="F5876" s="88">
        <v>0</v>
      </c>
      <c r="G5876" s="78">
        <f>MAX(H5876,I5876,J5876)</f>
        <v>1</v>
      </c>
      <c r="H5876" s="88"/>
      <c r="I5876" s="88"/>
      <c r="J5876" s="78">
        <f>MAX(K5876:Q5876)</f>
        <v>1</v>
      </c>
      <c r="K5876" s="88">
        <v>1</v>
      </c>
      <c r="L5876" s="88"/>
      <c r="M5876" s="88"/>
      <c r="N5876" s="88"/>
      <c r="O5876" s="88"/>
      <c r="P5876" s="88"/>
      <c r="Q5876" s="88"/>
      <c r="R5876" s="78">
        <f>MAX(S5876:W5876)</f>
        <v>0</v>
      </c>
      <c r="S5876" s="88"/>
      <c r="T5876" s="88"/>
      <c r="U5876" s="88"/>
      <c r="V5876" s="88"/>
      <c r="W5876" s="88"/>
    </row>
    <row r="5877" spans="2:23" s="0" customFormat="0" ht="15">
      <c r="B5877" s="87" t="s">
        <v>1</v>
      </c>
      <c r="C5877" s="88" t="s">
        <v>5259</v>
      </c>
      <c r="D5877" s="88" t="s">
        <v>5177</v>
      </c>
      <c r="E5877" s="88" t="s">
        <v>61</v>
      </c>
      <c r="F5877" s="88">
        <v>0</v>
      </c>
      <c r="G5877" s="78">
        <f>MAX(H5877,I5877,J5877)</f>
        <v>0</v>
      </c>
      <c r="H5877" s="88"/>
      <c r="I5877" s="88"/>
      <c r="J5877" s="78">
        <f>MAX(K5877:Q5877)</f>
        <v>0</v>
      </c>
      <c r="K5877" s="88"/>
      <c r="L5877" s="88"/>
      <c r="M5877" s="88"/>
      <c r="N5877" s="88"/>
      <c r="O5877" s="88"/>
      <c r="P5877" s="88"/>
      <c r="Q5877" s="88"/>
      <c r="R5877" s="78">
        <f>MAX(S5877:W5877)</f>
        <v>1</v>
      </c>
      <c r="S5877" s="88"/>
      <c r="T5877" s="88"/>
      <c r="U5877" s="88">
        <v>1</v>
      </c>
      <c r="V5877" s="88"/>
      <c r="W5877" s="88"/>
    </row>
    <row r="5878" spans="2:23" s="0" customFormat="0" ht="15">
      <c r="B5878" s="87" t="s">
        <v>1</v>
      </c>
      <c r="C5878" s="88" t="s">
        <v>5259</v>
      </c>
      <c r="D5878" s="88">
        <v>15456462</v>
      </c>
      <c r="E5878" s="88" t="s">
        <v>61</v>
      </c>
      <c r="F5878" s="88">
        <v>0</v>
      </c>
      <c r="G5878" s="78">
        <f>MAX(H5878,I5878,J5878)</f>
        <v>1</v>
      </c>
      <c r="H5878" s="88"/>
      <c r="I5878" s="88"/>
      <c r="J5878" s="78">
        <f>MAX(K5878:Q5878)</f>
        <v>1</v>
      </c>
      <c r="K5878" s="88">
        <v>1</v>
      </c>
      <c r="L5878" s="88"/>
      <c r="M5878" s="88"/>
      <c r="N5878" s="88"/>
      <c r="O5878" s="88"/>
      <c r="P5878" s="88"/>
      <c r="Q5878" s="88"/>
      <c r="R5878" s="78">
        <f>MAX(S5878:W5878)</f>
        <v>0</v>
      </c>
      <c r="S5878" s="88"/>
      <c r="T5878" s="88"/>
      <c r="U5878" s="88"/>
      <c r="V5878" s="88"/>
      <c r="W5878" s="88"/>
    </row>
    <row r="5879" spans="2:23" s="0" customFormat="0" ht="15">
      <c r="B5879" s="87" t="s">
        <v>1</v>
      </c>
      <c r="C5879" s="88" t="s">
        <v>5259</v>
      </c>
      <c r="D5879" s="88">
        <v>24779556</v>
      </c>
      <c r="E5879" s="88" t="s">
        <v>61</v>
      </c>
      <c r="F5879" s="88">
        <v>0</v>
      </c>
      <c r="G5879" s="78">
        <f>MAX(H5879,I5879,J5879)</f>
        <v>1</v>
      </c>
      <c r="H5879" s="88"/>
      <c r="I5879" s="88"/>
      <c r="J5879" s="78">
        <f>MAX(K5879:Q5879)</f>
        <v>1</v>
      </c>
      <c r="K5879" s="88">
        <v>1</v>
      </c>
      <c r="L5879" s="88"/>
      <c r="M5879" s="88"/>
      <c r="N5879" s="88"/>
      <c r="O5879" s="88"/>
      <c r="P5879" s="88"/>
      <c r="Q5879" s="88"/>
      <c r="R5879" s="78">
        <f>MAX(S5879:W5879)</f>
        <v>0</v>
      </c>
      <c r="S5879" s="88"/>
      <c r="T5879" s="88"/>
      <c r="U5879" s="88"/>
      <c r="V5879" s="88"/>
      <c r="W5879" s="88"/>
    </row>
    <row r="5880" spans="2:23" s="0" customFormat="0" ht="15">
      <c r="B5880" s="87" t="s">
        <v>1</v>
      </c>
      <c r="C5880" s="88" t="s">
        <v>5259</v>
      </c>
      <c r="D5880" s="88">
        <v>22246382</v>
      </c>
      <c r="E5880" s="88" t="s">
        <v>61</v>
      </c>
      <c r="F5880" s="88">
        <v>0</v>
      </c>
      <c r="G5880" s="78">
        <f>MAX(H5880,I5880,J5880)</f>
        <v>1</v>
      </c>
      <c r="H5880" s="88"/>
      <c r="I5880" s="88"/>
      <c r="J5880" s="78">
        <f>MAX(K5880:Q5880)</f>
        <v>1</v>
      </c>
      <c r="K5880" s="88">
        <v>1</v>
      </c>
      <c r="L5880" s="88"/>
      <c r="M5880" s="88"/>
      <c r="N5880" s="88"/>
      <c r="O5880" s="88"/>
      <c r="P5880" s="88"/>
      <c r="Q5880" s="88"/>
      <c r="R5880" s="78">
        <f>MAX(S5880:W5880)</f>
        <v>0</v>
      </c>
      <c r="S5880" s="88"/>
      <c r="T5880" s="88"/>
      <c r="U5880" s="88"/>
      <c r="V5880" s="88"/>
      <c r="W5880" s="88"/>
    </row>
    <row r="5881" spans="2:23" s="0" customFormat="0" ht="15">
      <c r="B5881" s="87" t="s">
        <v>1</v>
      </c>
      <c r="C5881" s="88" t="s">
        <v>5259</v>
      </c>
      <c r="D5881" s="88" t="s">
        <v>2854</v>
      </c>
      <c r="E5881" s="88" t="s">
        <v>61</v>
      </c>
      <c r="F5881" s="88">
        <v>0</v>
      </c>
      <c r="G5881" s="78">
        <f>MAX(H5881,I5881,J5881)</f>
        <v>1</v>
      </c>
      <c r="H5881" s="88"/>
      <c r="I5881" s="88"/>
      <c r="J5881" s="78">
        <f>MAX(K5881:Q5881)</f>
        <v>1</v>
      </c>
      <c r="K5881" s="88">
        <v>1</v>
      </c>
      <c r="L5881" s="88"/>
      <c r="M5881" s="88"/>
      <c r="N5881" s="88"/>
      <c r="O5881" s="88"/>
      <c r="P5881" s="88"/>
      <c r="Q5881" s="88"/>
      <c r="R5881" s="78">
        <f>MAX(S5881:W5881)</f>
        <v>0</v>
      </c>
      <c r="S5881" s="88"/>
      <c r="T5881" s="88"/>
      <c r="U5881" s="88"/>
      <c r="V5881" s="88"/>
      <c r="W5881" s="88"/>
    </row>
    <row r="5882" spans="2:23" s="0" customFormat="0" ht="15">
      <c r="B5882" s="87" t="s">
        <v>1</v>
      </c>
      <c r="C5882" s="88" t="s">
        <v>5259</v>
      </c>
      <c r="D5882" s="88">
        <v>14897112</v>
      </c>
      <c r="E5882" s="88" t="s">
        <v>61</v>
      </c>
      <c r="F5882" s="88">
        <v>0</v>
      </c>
      <c r="G5882" s="78">
        <f>MAX(H5882,I5882,J5882)</f>
        <v>1</v>
      </c>
      <c r="H5882" s="88"/>
      <c r="I5882" s="88"/>
      <c r="J5882" s="78">
        <f>MAX(K5882:Q5882)</f>
        <v>1</v>
      </c>
      <c r="K5882" s="88">
        <v>1</v>
      </c>
      <c r="L5882" s="88"/>
      <c r="M5882" s="88"/>
      <c r="N5882" s="88"/>
      <c r="O5882" s="88"/>
      <c r="P5882" s="88"/>
      <c r="Q5882" s="88"/>
      <c r="R5882" s="78">
        <f>MAX(S5882:W5882)</f>
        <v>0</v>
      </c>
      <c r="S5882" s="88"/>
      <c r="T5882" s="88"/>
      <c r="U5882" s="88"/>
      <c r="V5882" s="88"/>
      <c r="W5882" s="88"/>
    </row>
    <row r="5883" spans="2:23" s="0" customFormat="0" ht="15">
      <c r="B5883" s="87" t="s">
        <v>1</v>
      </c>
      <c r="C5883" s="88" t="s">
        <v>5259</v>
      </c>
      <c r="D5883" s="88">
        <v>21276188</v>
      </c>
      <c r="E5883" s="88" t="s">
        <v>61</v>
      </c>
      <c r="F5883" s="88">
        <v>0</v>
      </c>
      <c r="G5883" s="78">
        <f>MAX(H5883,I5883,J5883)</f>
        <v>1</v>
      </c>
      <c r="H5883" s="88"/>
      <c r="I5883" s="88"/>
      <c r="J5883" s="78">
        <f>MAX(K5883:Q5883)</f>
        <v>1</v>
      </c>
      <c r="K5883" s="88">
        <v>1</v>
      </c>
      <c r="L5883" s="88"/>
      <c r="M5883" s="88"/>
      <c r="N5883" s="88"/>
      <c r="O5883" s="88"/>
      <c r="P5883" s="88"/>
      <c r="Q5883" s="88"/>
      <c r="R5883" s="78">
        <f>MAX(S5883:W5883)</f>
        <v>0</v>
      </c>
      <c r="S5883" s="88"/>
      <c r="T5883" s="88"/>
      <c r="U5883" s="88"/>
      <c r="V5883" s="88"/>
      <c r="W5883" s="88"/>
    </row>
    <row r="5884" spans="2:23" s="0" customFormat="0" ht="15">
      <c r="B5884" s="87" t="s">
        <v>1</v>
      </c>
      <c r="C5884" s="88" t="s">
        <v>5259</v>
      </c>
      <c r="D5884" s="88">
        <v>22927476</v>
      </c>
      <c r="E5884" s="88" t="s">
        <v>61</v>
      </c>
      <c r="F5884" s="88">
        <v>0</v>
      </c>
      <c r="G5884" s="78">
        <f>MAX(H5884,I5884,J5884)</f>
        <v>1</v>
      </c>
      <c r="H5884" s="88"/>
      <c r="I5884" s="88"/>
      <c r="J5884" s="78">
        <f>MAX(K5884:Q5884)</f>
        <v>1</v>
      </c>
      <c r="K5884" s="88">
        <v>1</v>
      </c>
      <c r="L5884" s="88"/>
      <c r="M5884" s="88"/>
      <c r="N5884" s="88"/>
      <c r="O5884" s="88"/>
      <c r="P5884" s="88"/>
      <c r="Q5884" s="88"/>
      <c r="R5884" s="78">
        <f>MAX(S5884:W5884)</f>
        <v>0</v>
      </c>
      <c r="S5884" s="88"/>
      <c r="T5884" s="88"/>
      <c r="U5884" s="88"/>
      <c r="V5884" s="88"/>
      <c r="W5884" s="88"/>
    </row>
    <row r="5885" spans="2:23" s="0" customFormat="0" ht="15">
      <c r="B5885" s="87" t="s">
        <v>1</v>
      </c>
      <c r="C5885" s="88" t="s">
        <v>5259</v>
      </c>
      <c r="D5885" s="88">
        <v>7836586</v>
      </c>
      <c r="E5885" s="88" t="s">
        <v>61</v>
      </c>
      <c r="F5885" s="88">
        <v>0</v>
      </c>
      <c r="G5885" s="78">
        <f>MAX(H5885,I5885,J5885)</f>
        <v>1</v>
      </c>
      <c r="H5885" s="88"/>
      <c r="I5885" s="88"/>
      <c r="J5885" s="78">
        <f>MAX(K5885:Q5885)</f>
        <v>1</v>
      </c>
      <c r="K5885" s="88">
        <v>1</v>
      </c>
      <c r="L5885" s="88"/>
      <c r="M5885" s="88"/>
      <c r="N5885" s="88"/>
      <c r="O5885" s="88"/>
      <c r="P5885" s="88"/>
      <c r="Q5885" s="88"/>
      <c r="R5885" s="78">
        <f>MAX(S5885:W5885)</f>
        <v>0</v>
      </c>
      <c r="S5885" s="88"/>
      <c r="T5885" s="88"/>
      <c r="U5885" s="88"/>
      <c r="V5885" s="88"/>
      <c r="W5885" s="88"/>
    </row>
    <row r="5886" spans="2:23" s="0" customFormat="0" ht="15">
      <c r="B5886" s="87" t="s">
        <v>1</v>
      </c>
      <c r="C5886" s="88" t="s">
        <v>5259</v>
      </c>
      <c r="D5886" s="88" t="s">
        <v>4984</v>
      </c>
      <c r="E5886" s="88" t="s">
        <v>61</v>
      </c>
      <c r="F5886" s="88">
        <v>0</v>
      </c>
      <c r="G5886" s="78">
        <f>MAX(H5886,I5886,J5886)</f>
        <v>0</v>
      </c>
      <c r="H5886" s="88"/>
      <c r="I5886" s="88"/>
      <c r="J5886" s="78">
        <f>MAX(K5886:Q5886)</f>
        <v>0</v>
      </c>
      <c r="K5886" s="88"/>
      <c r="L5886" s="88"/>
      <c r="M5886" s="88"/>
      <c r="N5886" s="88"/>
      <c r="O5886" s="88"/>
      <c r="P5886" s="88"/>
      <c r="Q5886" s="88"/>
      <c r="R5886" s="78">
        <f>MAX(S5886:W5886)</f>
        <v>1</v>
      </c>
      <c r="S5886" s="88"/>
      <c r="T5886" s="88"/>
      <c r="U5886" s="88">
        <v>1</v>
      </c>
      <c r="V5886" s="88"/>
      <c r="W5886" s="88"/>
    </row>
    <row r="5887" spans="2:23" s="0" customFormat="0" ht="15">
      <c r="B5887" s="87" t="s">
        <v>1</v>
      </c>
      <c r="C5887" s="88" t="s">
        <v>5259</v>
      </c>
      <c r="D5887" s="88">
        <v>22070884</v>
      </c>
      <c r="E5887" s="88" t="s">
        <v>61</v>
      </c>
      <c r="F5887" s="88">
        <v>0</v>
      </c>
      <c r="G5887" s="78">
        <f>MAX(H5887,I5887,J5887)</f>
        <v>1</v>
      </c>
      <c r="H5887" s="88"/>
      <c r="I5887" s="88"/>
      <c r="J5887" s="78">
        <f>MAX(K5887:Q5887)</f>
        <v>1</v>
      </c>
      <c r="K5887" s="88">
        <v>1</v>
      </c>
      <c r="L5887" s="88"/>
      <c r="M5887" s="88"/>
      <c r="N5887" s="88"/>
      <c r="O5887" s="88"/>
      <c r="P5887" s="88"/>
      <c r="Q5887" s="88"/>
      <c r="R5887" s="78">
        <f>MAX(S5887:W5887)</f>
        <v>0</v>
      </c>
      <c r="S5887" s="88"/>
      <c r="T5887" s="88"/>
      <c r="U5887" s="88"/>
      <c r="V5887" s="88"/>
      <c r="W5887" s="88"/>
    </row>
    <row r="5888" spans="2:23" s="0" customFormat="0" ht="15">
      <c r="B5888" s="87" t="s">
        <v>1</v>
      </c>
      <c r="C5888" s="88" t="s">
        <v>5259</v>
      </c>
      <c r="D5888" s="88">
        <v>20903489</v>
      </c>
      <c r="E5888" s="88" t="s">
        <v>61</v>
      </c>
      <c r="F5888" s="88">
        <v>0</v>
      </c>
      <c r="G5888" s="78">
        <f>MAX(H5888,I5888,J5888)</f>
        <v>1</v>
      </c>
      <c r="H5888" s="88"/>
      <c r="I5888" s="88"/>
      <c r="J5888" s="78">
        <f>MAX(K5888:Q5888)</f>
        <v>1</v>
      </c>
      <c r="K5888" s="88">
        <v>1</v>
      </c>
      <c r="L5888" s="88"/>
      <c r="M5888" s="88"/>
      <c r="N5888" s="88"/>
      <c r="O5888" s="88"/>
      <c r="P5888" s="88"/>
      <c r="Q5888" s="88"/>
      <c r="R5888" s="78">
        <f>MAX(S5888:W5888)</f>
        <v>0</v>
      </c>
      <c r="S5888" s="88"/>
      <c r="T5888" s="88"/>
      <c r="U5888" s="88"/>
      <c r="V5888" s="88"/>
      <c r="W5888" s="88"/>
    </row>
    <row r="5889" spans="2:23" s="0" customFormat="0" ht="15">
      <c r="B5889" s="87" t="s">
        <v>1</v>
      </c>
      <c r="C5889" s="88" t="s">
        <v>5259</v>
      </c>
      <c r="D5889" s="88" t="s">
        <v>3276</v>
      </c>
      <c r="E5889" s="88" t="s">
        <v>61</v>
      </c>
      <c r="F5889" s="88">
        <v>0</v>
      </c>
      <c r="G5889" s="78">
        <f>MAX(H5889,I5889,J5889)</f>
        <v>0</v>
      </c>
      <c r="H5889" s="88"/>
      <c r="I5889" s="88"/>
      <c r="J5889" s="78">
        <f>MAX(K5889:Q5889)</f>
        <v>0</v>
      </c>
      <c r="K5889" s="88"/>
      <c r="L5889" s="88"/>
      <c r="M5889" s="88"/>
      <c r="N5889" s="88"/>
      <c r="O5889" s="88"/>
      <c r="P5889" s="88"/>
      <c r="Q5889" s="88"/>
      <c r="R5889" s="78">
        <f>MAX(S5889:W5889)</f>
        <v>1</v>
      </c>
      <c r="S5889" s="88"/>
      <c r="T5889" s="88"/>
      <c r="U5889" s="88"/>
      <c r="V5889" s="88">
        <v>1</v>
      </c>
      <c r="W5889" s="88"/>
    </row>
    <row r="5890" spans="2:23" s="0" customFormat="0" ht="15">
      <c r="B5890" s="87" t="s">
        <v>1</v>
      </c>
      <c r="C5890" s="88" t="s">
        <v>5259</v>
      </c>
      <c r="D5890" s="88" t="s">
        <v>2927</v>
      </c>
      <c r="E5890" s="88" t="s">
        <v>61</v>
      </c>
      <c r="F5890" s="88">
        <v>0</v>
      </c>
      <c r="G5890" s="78">
        <f>MAX(H5890,I5890,J5890)</f>
        <v>1</v>
      </c>
      <c r="H5890" s="88"/>
      <c r="I5890" s="88"/>
      <c r="J5890" s="78">
        <f>MAX(K5890:Q5890)</f>
        <v>1</v>
      </c>
      <c r="K5890" s="88">
        <v>1</v>
      </c>
      <c r="L5890" s="88"/>
      <c r="M5890" s="88"/>
      <c r="N5890" s="88"/>
      <c r="O5890" s="88"/>
      <c r="P5890" s="88"/>
      <c r="Q5890" s="88"/>
      <c r="R5890" s="78">
        <f>MAX(S5890:W5890)</f>
        <v>0</v>
      </c>
      <c r="S5890" s="88"/>
      <c r="T5890" s="88"/>
      <c r="U5890" s="88"/>
      <c r="V5890" s="88"/>
      <c r="W5890" s="88"/>
    </row>
    <row r="5891" spans="2:23" s="0" customFormat="0" ht="15">
      <c r="B5891" s="87" t="s">
        <v>1</v>
      </c>
      <c r="C5891" s="88" t="s">
        <v>5259</v>
      </c>
      <c r="D5891" s="88">
        <v>16974057</v>
      </c>
      <c r="E5891" s="88" t="s">
        <v>61</v>
      </c>
      <c r="F5891" s="88">
        <v>0</v>
      </c>
      <c r="G5891" s="78">
        <f>MAX(H5891,I5891,J5891)</f>
        <v>0</v>
      </c>
      <c r="H5891" s="88"/>
      <c r="I5891" s="88"/>
      <c r="J5891" s="78">
        <f>MAX(K5891:Q5891)</f>
        <v>0</v>
      </c>
      <c r="K5891" s="88"/>
      <c r="L5891" s="88"/>
      <c r="M5891" s="88"/>
      <c r="N5891" s="88"/>
      <c r="O5891" s="88"/>
      <c r="P5891" s="88"/>
      <c r="Q5891" s="88"/>
      <c r="R5891" s="78">
        <f>MAX(S5891:W5891)</f>
        <v>1</v>
      </c>
      <c r="S5891" s="88"/>
      <c r="T5891" s="88"/>
      <c r="U5891" s="88">
        <v>1</v>
      </c>
      <c r="V5891" s="88"/>
      <c r="W5891" s="88"/>
    </row>
    <row r="5892" spans="2:23" s="0" customFormat="0" ht="15">
      <c r="B5892" s="87" t="s">
        <v>1</v>
      </c>
      <c r="C5892" s="88" t="s">
        <v>5259</v>
      </c>
      <c r="D5892" s="88" t="s">
        <v>4427</v>
      </c>
      <c r="E5892" s="88" t="s">
        <v>61</v>
      </c>
      <c r="F5892" s="88">
        <v>0</v>
      </c>
      <c r="G5892" s="78">
        <f>MAX(H5892,I5892,J5892)</f>
        <v>0</v>
      </c>
      <c r="H5892" s="88"/>
      <c r="I5892" s="88"/>
      <c r="J5892" s="78">
        <f>MAX(K5892:Q5892)</f>
        <v>0</v>
      </c>
      <c r="K5892" s="88"/>
      <c r="L5892" s="88"/>
      <c r="M5892" s="88"/>
      <c r="N5892" s="88"/>
      <c r="O5892" s="88"/>
      <c r="P5892" s="88"/>
      <c r="Q5892" s="88"/>
      <c r="R5892" s="78">
        <f>MAX(S5892:W5892)</f>
        <v>1</v>
      </c>
      <c r="S5892" s="88"/>
      <c r="T5892" s="88"/>
      <c r="U5892" s="88">
        <v>1</v>
      </c>
      <c r="V5892" s="88"/>
      <c r="W5892" s="88"/>
    </row>
    <row r="5893" spans="2:23" s="0" customFormat="0" ht="15">
      <c r="B5893" s="87" t="s">
        <v>1</v>
      </c>
      <c r="C5893" s="88" t="s">
        <v>5259</v>
      </c>
      <c r="D5893" s="88" t="s">
        <v>5183</v>
      </c>
      <c r="E5893" s="88" t="s">
        <v>61</v>
      </c>
      <c r="F5893" s="88">
        <v>0</v>
      </c>
      <c r="G5893" s="78">
        <f>MAX(H5893,I5893,J5893)</f>
        <v>0</v>
      </c>
      <c r="H5893" s="88"/>
      <c r="I5893" s="88"/>
      <c r="J5893" s="78">
        <f>MAX(K5893:Q5893)</f>
        <v>0</v>
      </c>
      <c r="K5893" s="88"/>
      <c r="L5893" s="88"/>
      <c r="M5893" s="88"/>
      <c r="N5893" s="88"/>
      <c r="O5893" s="88"/>
      <c r="P5893" s="88"/>
      <c r="Q5893" s="88"/>
      <c r="R5893" s="78">
        <f>MAX(S5893:W5893)</f>
        <v>1</v>
      </c>
      <c r="S5893" s="88"/>
      <c r="T5893" s="88"/>
      <c r="U5893" s="88">
        <v>1</v>
      </c>
      <c r="V5893" s="88"/>
      <c r="W5893" s="88"/>
    </row>
    <row r="5894" spans="2:23" s="0" customFormat="0" ht="15">
      <c r="B5894" s="87" t="s">
        <v>1</v>
      </c>
      <c r="C5894" s="88" t="s">
        <v>5259</v>
      </c>
      <c r="D5894" s="88">
        <v>16991015</v>
      </c>
      <c r="E5894" s="88" t="s">
        <v>61</v>
      </c>
      <c r="F5894" s="88">
        <v>0</v>
      </c>
      <c r="G5894" s="78">
        <f>MAX(H5894,I5894,J5894)</f>
        <v>1</v>
      </c>
      <c r="H5894" s="88"/>
      <c r="I5894" s="88"/>
      <c r="J5894" s="78">
        <f>MAX(K5894:Q5894)</f>
        <v>1</v>
      </c>
      <c r="K5894" s="88">
        <v>1</v>
      </c>
      <c r="L5894" s="88"/>
      <c r="M5894" s="88"/>
      <c r="N5894" s="88"/>
      <c r="O5894" s="88"/>
      <c r="P5894" s="88"/>
      <c r="Q5894" s="88"/>
      <c r="R5894" s="78">
        <f>MAX(S5894:W5894)</f>
        <v>0</v>
      </c>
      <c r="S5894" s="88"/>
      <c r="T5894" s="88"/>
      <c r="U5894" s="88"/>
      <c r="V5894" s="88"/>
      <c r="W5894" s="88"/>
    </row>
    <row r="5895" spans="2:23" s="0" customFormat="0" ht="15">
      <c r="B5895" s="87" t="s">
        <v>1</v>
      </c>
      <c r="C5895" s="88" t="s">
        <v>5259</v>
      </c>
      <c r="D5895" s="88" t="s">
        <v>1565</v>
      </c>
      <c r="E5895" s="88" t="s">
        <v>61</v>
      </c>
      <c r="F5895" s="88">
        <v>0</v>
      </c>
      <c r="G5895" s="78">
        <f>MAX(H5895,I5895,J5895)</f>
        <v>1</v>
      </c>
      <c r="H5895" s="88"/>
      <c r="I5895" s="88"/>
      <c r="J5895" s="78">
        <f>MAX(K5895:Q5895)</f>
        <v>1</v>
      </c>
      <c r="K5895" s="88">
        <v>1</v>
      </c>
      <c r="L5895" s="88"/>
      <c r="M5895" s="88"/>
      <c r="N5895" s="88"/>
      <c r="O5895" s="88"/>
      <c r="P5895" s="88"/>
      <c r="Q5895" s="88"/>
      <c r="R5895" s="78">
        <f>MAX(S5895:W5895)</f>
        <v>0</v>
      </c>
      <c r="S5895" s="88"/>
      <c r="T5895" s="88"/>
      <c r="U5895" s="88"/>
      <c r="V5895" s="88"/>
      <c r="W5895" s="88"/>
    </row>
    <row r="5896" spans="2:23" s="0" customFormat="0" ht="15">
      <c r="B5896" s="87" t="s">
        <v>1</v>
      </c>
      <c r="C5896" s="88" t="s">
        <v>5259</v>
      </c>
      <c r="D5896" s="88">
        <v>18941272</v>
      </c>
      <c r="E5896" s="88" t="s">
        <v>61</v>
      </c>
      <c r="F5896" s="88">
        <v>0</v>
      </c>
      <c r="G5896" s="78">
        <f>MAX(H5896,I5896,J5896)</f>
        <v>1</v>
      </c>
      <c r="H5896" s="88"/>
      <c r="I5896" s="88"/>
      <c r="J5896" s="78">
        <f>MAX(K5896:Q5896)</f>
        <v>1</v>
      </c>
      <c r="K5896" s="88">
        <v>1</v>
      </c>
      <c r="L5896" s="88"/>
      <c r="M5896" s="88"/>
      <c r="N5896" s="88"/>
      <c r="O5896" s="88"/>
      <c r="P5896" s="88"/>
      <c r="Q5896" s="88"/>
      <c r="R5896" s="78">
        <f>MAX(S5896:W5896)</f>
        <v>0</v>
      </c>
      <c r="S5896" s="88"/>
      <c r="T5896" s="88"/>
      <c r="U5896" s="88"/>
      <c r="V5896" s="88"/>
      <c r="W5896" s="88"/>
    </row>
    <row r="5897" spans="2:23" s="0" customFormat="0" ht="15">
      <c r="B5897" s="87" t="s">
        <v>1</v>
      </c>
      <c r="C5897" s="88" t="s">
        <v>5259</v>
      </c>
      <c r="D5897" s="88">
        <v>17401113</v>
      </c>
      <c r="E5897" s="88" t="s">
        <v>61</v>
      </c>
      <c r="F5897" s="88">
        <v>0</v>
      </c>
      <c r="G5897" s="78">
        <f>MAX(H5897,I5897,J5897)</f>
        <v>1</v>
      </c>
      <c r="H5897" s="88"/>
      <c r="I5897" s="88"/>
      <c r="J5897" s="78">
        <f>MAX(K5897:Q5897)</f>
        <v>1</v>
      </c>
      <c r="K5897" s="88">
        <v>1</v>
      </c>
      <c r="L5897" s="88"/>
      <c r="M5897" s="88"/>
      <c r="N5897" s="88"/>
      <c r="O5897" s="88"/>
      <c r="P5897" s="88"/>
      <c r="Q5897" s="88"/>
      <c r="R5897" s="78">
        <f>MAX(S5897:W5897)</f>
        <v>0</v>
      </c>
      <c r="S5897" s="88"/>
      <c r="T5897" s="88"/>
      <c r="U5897" s="88"/>
      <c r="V5897" s="88"/>
      <c r="W5897" s="88"/>
    </row>
    <row r="5898" spans="2:23" s="0" customFormat="0" ht="15">
      <c r="B5898" s="87" t="s">
        <v>1</v>
      </c>
      <c r="C5898" s="88" t="s">
        <v>5259</v>
      </c>
      <c r="D5898" s="88" t="s">
        <v>2101</v>
      </c>
      <c r="E5898" s="88" t="s">
        <v>61</v>
      </c>
      <c r="F5898" s="88">
        <v>0</v>
      </c>
      <c r="G5898" s="78">
        <f>MAX(H5898,I5898,J5898)</f>
        <v>1</v>
      </c>
      <c r="H5898" s="88"/>
      <c r="I5898" s="88"/>
      <c r="J5898" s="78">
        <f>MAX(K5898:Q5898)</f>
        <v>1</v>
      </c>
      <c r="K5898" s="88">
        <v>1</v>
      </c>
      <c r="L5898" s="88"/>
      <c r="M5898" s="88"/>
      <c r="N5898" s="88"/>
      <c r="O5898" s="88"/>
      <c r="P5898" s="88"/>
      <c r="Q5898" s="88"/>
      <c r="R5898" s="78">
        <f>MAX(S5898:W5898)</f>
        <v>0</v>
      </c>
      <c r="S5898" s="88"/>
      <c r="T5898" s="88"/>
      <c r="U5898" s="88"/>
      <c r="V5898" s="88"/>
      <c r="W5898" s="88"/>
    </row>
    <row r="5899" spans="2:23" s="0" customFormat="0" ht="15">
      <c r="B5899" s="87" t="s">
        <v>1</v>
      </c>
      <c r="C5899" s="88" t="s">
        <v>5259</v>
      </c>
      <c r="D5899" s="88">
        <v>22554343</v>
      </c>
      <c r="E5899" s="88" t="s">
        <v>61</v>
      </c>
      <c r="F5899" s="88">
        <v>0</v>
      </c>
      <c r="G5899" s="78">
        <f>MAX(H5899,I5899,J5899)</f>
        <v>0</v>
      </c>
      <c r="H5899" s="88"/>
      <c r="I5899" s="88"/>
      <c r="J5899" s="78">
        <f>MAX(K5899:Q5899)</f>
        <v>0</v>
      </c>
      <c r="K5899" s="88"/>
      <c r="L5899" s="88"/>
      <c r="M5899" s="88"/>
      <c r="N5899" s="88"/>
      <c r="O5899" s="88"/>
      <c r="P5899" s="88"/>
      <c r="Q5899" s="88"/>
      <c r="R5899" s="78">
        <f>MAX(S5899:W5899)</f>
        <v>1</v>
      </c>
      <c r="S5899" s="88"/>
      <c r="T5899" s="88"/>
      <c r="U5899" s="88">
        <v>1</v>
      </c>
      <c r="V5899" s="88"/>
      <c r="W5899" s="88"/>
    </row>
    <row r="5900" spans="2:23" s="0" customFormat="0" ht="15">
      <c r="B5900" s="87" t="s">
        <v>1</v>
      </c>
      <c r="C5900" s="88" t="s">
        <v>5259</v>
      </c>
      <c r="D5900" s="88" t="s">
        <v>2363</v>
      </c>
      <c r="E5900" s="88" t="s">
        <v>61</v>
      </c>
      <c r="F5900" s="88">
        <v>0</v>
      </c>
      <c r="G5900" s="78">
        <f>MAX(H5900,I5900,J5900)</f>
        <v>1</v>
      </c>
      <c r="H5900" s="88"/>
      <c r="I5900" s="88"/>
      <c r="J5900" s="78">
        <f>MAX(K5900:Q5900)</f>
        <v>1</v>
      </c>
      <c r="K5900" s="88">
        <v>1</v>
      </c>
      <c r="L5900" s="88"/>
      <c r="M5900" s="88"/>
      <c r="N5900" s="88"/>
      <c r="O5900" s="88"/>
      <c r="P5900" s="88"/>
      <c r="Q5900" s="88"/>
      <c r="R5900" s="78">
        <f>MAX(S5900:W5900)</f>
        <v>0</v>
      </c>
      <c r="S5900" s="88"/>
      <c r="T5900" s="88"/>
      <c r="U5900" s="88"/>
      <c r="V5900" s="88"/>
      <c r="W5900" s="88"/>
    </row>
    <row r="5901" spans="2:23" s="0" customFormat="0" ht="15">
      <c r="B5901" s="87" t="s">
        <v>1</v>
      </c>
      <c r="C5901" s="88" t="s">
        <v>5259</v>
      </c>
      <c r="D5901" s="88">
        <v>19599196</v>
      </c>
      <c r="E5901" s="88" t="s">
        <v>61</v>
      </c>
      <c r="F5901" s="88">
        <v>0</v>
      </c>
      <c r="G5901" s="78">
        <f>MAX(H5901,I5901,J5901)</f>
        <v>1</v>
      </c>
      <c r="H5901" s="88"/>
      <c r="I5901" s="88"/>
      <c r="J5901" s="78">
        <f>MAX(K5901:Q5901)</f>
        <v>1</v>
      </c>
      <c r="K5901" s="88">
        <v>1</v>
      </c>
      <c r="L5901" s="88"/>
      <c r="M5901" s="88"/>
      <c r="N5901" s="88"/>
      <c r="O5901" s="88"/>
      <c r="P5901" s="88"/>
      <c r="Q5901" s="88"/>
      <c r="R5901" s="78">
        <f>MAX(S5901:W5901)</f>
        <v>0</v>
      </c>
      <c r="S5901" s="88"/>
      <c r="T5901" s="88"/>
      <c r="U5901" s="88"/>
      <c r="V5901" s="88"/>
      <c r="W5901" s="88"/>
    </row>
    <row r="5902" spans="2:23" s="0" customFormat="0" ht="15">
      <c r="B5902" s="87" t="s">
        <v>1</v>
      </c>
      <c r="C5902" s="88" t="s">
        <v>5259</v>
      </c>
      <c r="D5902" s="88">
        <v>22554475</v>
      </c>
      <c r="E5902" s="88" t="s">
        <v>61</v>
      </c>
      <c r="F5902" s="88">
        <v>0</v>
      </c>
      <c r="G5902" s="78">
        <f>MAX(H5902,I5902,J5902)</f>
        <v>0</v>
      </c>
      <c r="H5902" s="88"/>
      <c r="I5902" s="88"/>
      <c r="J5902" s="78">
        <f>MAX(K5902:Q5902)</f>
        <v>0</v>
      </c>
      <c r="K5902" s="88"/>
      <c r="L5902" s="88"/>
      <c r="M5902" s="88"/>
      <c r="N5902" s="88"/>
      <c r="O5902" s="88"/>
      <c r="P5902" s="88"/>
      <c r="Q5902" s="88"/>
      <c r="R5902" s="78">
        <f>MAX(S5902:W5902)</f>
        <v>1</v>
      </c>
      <c r="S5902" s="88"/>
      <c r="T5902" s="88"/>
      <c r="U5902" s="88">
        <v>1</v>
      </c>
      <c r="V5902" s="88"/>
      <c r="W5902" s="88"/>
    </row>
    <row r="5903" spans="2:23" s="0" customFormat="0" ht="15">
      <c r="B5903" s="87" t="s">
        <v>1</v>
      </c>
      <c r="C5903" s="88" t="s">
        <v>5259</v>
      </c>
      <c r="D5903" s="88" t="s">
        <v>5185</v>
      </c>
      <c r="E5903" s="88" t="s">
        <v>61</v>
      </c>
      <c r="F5903" s="88">
        <v>0</v>
      </c>
      <c r="G5903" s="78">
        <f>MAX(H5903,I5903,J5903)</f>
        <v>0</v>
      </c>
      <c r="H5903" s="88"/>
      <c r="I5903" s="88"/>
      <c r="J5903" s="78">
        <f>MAX(K5903:Q5903)</f>
        <v>0</v>
      </c>
      <c r="K5903" s="88"/>
      <c r="L5903" s="88"/>
      <c r="M5903" s="88"/>
      <c r="N5903" s="88"/>
      <c r="O5903" s="88"/>
      <c r="P5903" s="88"/>
      <c r="Q5903" s="88"/>
      <c r="R5903" s="78">
        <f>MAX(S5903:W5903)</f>
        <v>1</v>
      </c>
      <c r="S5903" s="88"/>
      <c r="T5903" s="88"/>
      <c r="U5903" s="88">
        <v>1</v>
      </c>
      <c r="V5903" s="88"/>
      <c r="W5903" s="88"/>
    </row>
    <row r="5904" spans="2:23" s="0" customFormat="0" ht="15">
      <c r="B5904" s="87" t="s">
        <v>1</v>
      </c>
      <c r="C5904" s="88" t="s">
        <v>5259</v>
      </c>
      <c r="D5904" s="88">
        <v>12266947</v>
      </c>
      <c r="E5904" s="88" t="s">
        <v>61</v>
      </c>
      <c r="F5904" s="88">
        <v>0</v>
      </c>
      <c r="G5904" s="78">
        <f>MAX(H5904,I5904,J5904)</f>
        <v>1</v>
      </c>
      <c r="H5904" s="88"/>
      <c r="I5904" s="88"/>
      <c r="J5904" s="78">
        <f>MAX(K5904:Q5904)</f>
        <v>1</v>
      </c>
      <c r="K5904" s="88">
        <v>1</v>
      </c>
      <c r="L5904" s="88"/>
      <c r="M5904" s="88"/>
      <c r="N5904" s="88"/>
      <c r="O5904" s="88"/>
      <c r="P5904" s="88"/>
      <c r="Q5904" s="88"/>
      <c r="R5904" s="78">
        <f>MAX(S5904:W5904)</f>
        <v>0</v>
      </c>
      <c r="S5904" s="88"/>
      <c r="T5904" s="88"/>
      <c r="U5904" s="88"/>
      <c r="V5904" s="88"/>
      <c r="W5904" s="88"/>
    </row>
    <row r="5905" spans="2:23" s="0" customFormat="0" ht="15">
      <c r="B5905" s="87" t="s">
        <v>1</v>
      </c>
      <c r="C5905" s="88" t="s">
        <v>5259</v>
      </c>
      <c r="D5905" s="88">
        <v>19714686</v>
      </c>
      <c r="E5905" s="88" t="s">
        <v>61</v>
      </c>
      <c r="F5905" s="88">
        <v>0</v>
      </c>
      <c r="G5905" s="78">
        <f>MAX(H5905,I5905,J5905)</f>
        <v>1</v>
      </c>
      <c r="H5905" s="88"/>
      <c r="I5905" s="88"/>
      <c r="J5905" s="78">
        <f>MAX(K5905:Q5905)</f>
        <v>1</v>
      </c>
      <c r="K5905" s="88">
        <v>1</v>
      </c>
      <c r="L5905" s="88"/>
      <c r="M5905" s="88"/>
      <c r="N5905" s="88"/>
      <c r="O5905" s="88"/>
      <c r="P5905" s="88"/>
      <c r="Q5905" s="88"/>
      <c r="R5905" s="78">
        <f>MAX(S5905:W5905)</f>
        <v>0</v>
      </c>
      <c r="S5905" s="88"/>
      <c r="T5905" s="88"/>
      <c r="U5905" s="88"/>
      <c r="V5905" s="88"/>
      <c r="W5905" s="88"/>
    </row>
    <row r="5906" spans="2:23" s="0" customFormat="0" ht="15">
      <c r="B5906" s="87" t="s">
        <v>1</v>
      </c>
      <c r="C5906" s="88" t="s">
        <v>5259</v>
      </c>
      <c r="D5906" s="88">
        <v>11100305</v>
      </c>
      <c r="E5906" s="88" t="s">
        <v>61</v>
      </c>
      <c r="F5906" s="88">
        <v>0</v>
      </c>
      <c r="G5906" s="78">
        <f>MAX(H5906,I5906,J5906)</f>
        <v>0</v>
      </c>
      <c r="H5906" s="88"/>
      <c r="I5906" s="88"/>
      <c r="J5906" s="78">
        <f>MAX(K5906:Q5906)</f>
        <v>0</v>
      </c>
      <c r="K5906" s="88"/>
      <c r="L5906" s="88"/>
      <c r="M5906" s="88"/>
      <c r="N5906" s="88"/>
      <c r="O5906" s="88"/>
      <c r="P5906" s="88"/>
      <c r="Q5906" s="88"/>
      <c r="R5906" s="78">
        <f>MAX(S5906:W5906)</f>
        <v>1</v>
      </c>
      <c r="S5906" s="88"/>
      <c r="T5906" s="88"/>
      <c r="U5906" s="88">
        <v>1</v>
      </c>
      <c r="V5906" s="88"/>
      <c r="W5906" s="88"/>
    </row>
    <row r="5907" spans="2:23" s="0" customFormat="0" ht="15">
      <c r="B5907" s="87" t="s">
        <v>1</v>
      </c>
      <c r="C5907" s="88" t="s">
        <v>5259</v>
      </c>
      <c r="D5907" s="88" t="s">
        <v>2452</v>
      </c>
      <c r="E5907" s="88" t="s">
        <v>61</v>
      </c>
      <c r="F5907" s="88">
        <v>0</v>
      </c>
      <c r="G5907" s="78">
        <f>MAX(H5907,I5907,J5907)</f>
        <v>1</v>
      </c>
      <c r="H5907" s="88"/>
      <c r="I5907" s="88"/>
      <c r="J5907" s="78">
        <f>MAX(K5907:Q5907)</f>
        <v>1</v>
      </c>
      <c r="K5907" s="88">
        <v>1</v>
      </c>
      <c r="L5907" s="88"/>
      <c r="M5907" s="88"/>
      <c r="N5907" s="88"/>
      <c r="O5907" s="88"/>
      <c r="P5907" s="88"/>
      <c r="Q5907" s="88"/>
      <c r="R5907" s="78">
        <f>MAX(S5907:W5907)</f>
        <v>0</v>
      </c>
      <c r="S5907" s="88"/>
      <c r="T5907" s="88"/>
      <c r="U5907" s="88"/>
      <c r="V5907" s="88"/>
      <c r="W5907" s="88"/>
    </row>
    <row r="5908" spans="2:23" s="0" customFormat="0" ht="15">
      <c r="B5908" s="87" t="s">
        <v>1</v>
      </c>
      <c r="C5908" s="88" t="s">
        <v>5259</v>
      </c>
      <c r="D5908" s="88" t="s">
        <v>1041</v>
      </c>
      <c r="E5908" s="88" t="s">
        <v>61</v>
      </c>
      <c r="F5908" s="88">
        <v>0</v>
      </c>
      <c r="G5908" s="78">
        <f>MAX(H5908,I5908,J5908)</f>
        <v>1</v>
      </c>
      <c r="H5908" s="88"/>
      <c r="I5908" s="88"/>
      <c r="J5908" s="78">
        <f>MAX(K5908:Q5908)</f>
        <v>1</v>
      </c>
      <c r="K5908" s="88">
        <v>1</v>
      </c>
      <c r="L5908" s="88"/>
      <c r="M5908" s="88"/>
      <c r="N5908" s="88"/>
      <c r="O5908" s="88"/>
      <c r="P5908" s="88"/>
      <c r="Q5908" s="88"/>
      <c r="R5908" s="78">
        <f>MAX(S5908:W5908)</f>
        <v>0</v>
      </c>
      <c r="S5908" s="88"/>
      <c r="T5908" s="88"/>
      <c r="U5908" s="88"/>
      <c r="V5908" s="88"/>
      <c r="W5908" s="88"/>
    </row>
    <row r="5909" spans="2:23" s="0" customFormat="0" ht="15">
      <c r="B5909" s="87" t="s">
        <v>1</v>
      </c>
      <c r="C5909" s="88" t="s">
        <v>5259</v>
      </c>
      <c r="D5909" s="88">
        <v>21329474</v>
      </c>
      <c r="E5909" s="88" t="s">
        <v>61</v>
      </c>
      <c r="F5909" s="88">
        <v>0</v>
      </c>
      <c r="G5909" s="78">
        <f>MAX(H5909,I5909,J5909)</f>
        <v>1</v>
      </c>
      <c r="H5909" s="88"/>
      <c r="I5909" s="88"/>
      <c r="J5909" s="78">
        <f>MAX(K5909:Q5909)</f>
        <v>1</v>
      </c>
      <c r="K5909" s="88">
        <v>1</v>
      </c>
      <c r="L5909" s="88"/>
      <c r="M5909" s="88"/>
      <c r="N5909" s="88"/>
      <c r="O5909" s="88"/>
      <c r="P5909" s="88"/>
      <c r="Q5909" s="88"/>
      <c r="R5909" s="78">
        <f>MAX(S5909:W5909)</f>
        <v>0</v>
      </c>
      <c r="S5909" s="88"/>
      <c r="T5909" s="88"/>
      <c r="U5909" s="88"/>
      <c r="V5909" s="88"/>
      <c r="W5909" s="88"/>
    </row>
    <row r="5910" spans="2:23" s="0" customFormat="0" ht="15">
      <c r="B5910" s="87" t="s">
        <v>1</v>
      </c>
      <c r="C5910" s="88" t="s">
        <v>5259</v>
      </c>
      <c r="D5910" s="88" t="s">
        <v>3938</v>
      </c>
      <c r="E5910" s="88" t="s">
        <v>61</v>
      </c>
      <c r="F5910" s="88">
        <v>0</v>
      </c>
      <c r="G5910" s="78">
        <f>MAX(H5910,I5910,J5910)</f>
        <v>0</v>
      </c>
      <c r="H5910" s="88"/>
      <c r="I5910" s="88"/>
      <c r="J5910" s="78">
        <f>MAX(K5910:Q5910)</f>
        <v>0</v>
      </c>
      <c r="K5910" s="88"/>
      <c r="L5910" s="88"/>
      <c r="M5910" s="88"/>
      <c r="N5910" s="88"/>
      <c r="O5910" s="88"/>
      <c r="P5910" s="88"/>
      <c r="Q5910" s="88"/>
      <c r="R5910" s="78">
        <f>MAX(S5910:W5910)</f>
        <v>1</v>
      </c>
      <c r="S5910" s="88"/>
      <c r="T5910" s="88"/>
      <c r="U5910" s="88">
        <v>1</v>
      </c>
      <c r="V5910" s="88"/>
      <c r="W5910" s="88"/>
    </row>
    <row r="5911" spans="2:23" s="0" customFormat="0" ht="15">
      <c r="B5911" s="87" t="s">
        <v>1</v>
      </c>
      <c r="C5911" s="88" t="s">
        <v>5259</v>
      </c>
      <c r="D5911" s="88">
        <v>13412749</v>
      </c>
      <c r="E5911" s="88" t="s">
        <v>61</v>
      </c>
      <c r="F5911" s="88">
        <v>0</v>
      </c>
      <c r="G5911" s="78">
        <f>MAX(H5911,I5911,J5911)</f>
        <v>1</v>
      </c>
      <c r="H5911" s="88"/>
      <c r="I5911" s="88"/>
      <c r="J5911" s="78">
        <f>MAX(K5911:Q5911)</f>
        <v>1</v>
      </c>
      <c r="K5911" s="88">
        <v>1</v>
      </c>
      <c r="L5911" s="88"/>
      <c r="M5911" s="88"/>
      <c r="N5911" s="88"/>
      <c r="O5911" s="88"/>
      <c r="P5911" s="88"/>
      <c r="Q5911" s="88"/>
      <c r="R5911" s="78">
        <f>MAX(S5911:W5911)</f>
        <v>0</v>
      </c>
      <c r="S5911" s="88"/>
      <c r="T5911" s="88"/>
      <c r="U5911" s="88"/>
      <c r="V5911" s="88"/>
      <c r="W5911" s="88"/>
    </row>
    <row r="5912" spans="2:23" s="0" customFormat="0" ht="15">
      <c r="B5912" s="87" t="s">
        <v>1</v>
      </c>
      <c r="C5912" s="88" t="s">
        <v>5259</v>
      </c>
      <c r="D5912" s="88">
        <v>21565432</v>
      </c>
      <c r="E5912" s="88" t="s">
        <v>61</v>
      </c>
      <c r="F5912" s="88">
        <v>0</v>
      </c>
      <c r="G5912" s="78">
        <f>MAX(H5912,I5912,J5912)</f>
        <v>1</v>
      </c>
      <c r="H5912" s="88"/>
      <c r="I5912" s="88"/>
      <c r="J5912" s="78">
        <f>MAX(K5912:Q5912)</f>
        <v>1</v>
      </c>
      <c r="K5912" s="88">
        <v>1</v>
      </c>
      <c r="L5912" s="88"/>
      <c r="M5912" s="88"/>
      <c r="N5912" s="88"/>
      <c r="O5912" s="88"/>
      <c r="P5912" s="88"/>
      <c r="Q5912" s="88"/>
      <c r="R5912" s="78">
        <f>MAX(S5912:W5912)</f>
        <v>0</v>
      </c>
      <c r="S5912" s="88"/>
      <c r="T5912" s="88"/>
      <c r="U5912" s="88"/>
      <c r="V5912" s="88"/>
      <c r="W5912" s="88"/>
    </row>
    <row r="5913" spans="2:23" s="0" customFormat="0" ht="15">
      <c r="B5913" s="87" t="s">
        <v>1</v>
      </c>
      <c r="C5913" s="88" t="s">
        <v>5259</v>
      </c>
      <c r="D5913" s="88">
        <v>14812095</v>
      </c>
      <c r="E5913" s="88" t="s">
        <v>61</v>
      </c>
      <c r="F5913" s="88">
        <v>0</v>
      </c>
      <c r="G5913" s="78">
        <f>MAX(H5913,I5913,J5913)</f>
        <v>1</v>
      </c>
      <c r="H5913" s="88"/>
      <c r="I5913" s="88"/>
      <c r="J5913" s="78">
        <f>MAX(K5913:Q5913)</f>
        <v>1</v>
      </c>
      <c r="K5913" s="88"/>
      <c r="L5913" s="88"/>
      <c r="M5913" s="88"/>
      <c r="N5913" s="88"/>
      <c r="O5913" s="88">
        <v>1</v>
      </c>
      <c r="P5913" s="88"/>
      <c r="Q5913" s="88"/>
      <c r="R5913" s="78">
        <f>MAX(S5913:W5913)</f>
        <v>0</v>
      </c>
      <c r="S5913" s="88"/>
      <c r="T5913" s="88"/>
      <c r="U5913" s="88"/>
      <c r="V5913" s="88"/>
      <c r="W5913" s="88"/>
    </row>
    <row r="5914" spans="2:23" s="0" customFormat="0" ht="15">
      <c r="B5914" s="87" t="s">
        <v>1</v>
      </c>
      <c r="C5914" s="88" t="s">
        <v>5259</v>
      </c>
      <c r="D5914" s="88" t="s">
        <v>3256</v>
      </c>
      <c r="E5914" s="88" t="s">
        <v>61</v>
      </c>
      <c r="F5914" s="88">
        <v>0</v>
      </c>
      <c r="G5914" s="78">
        <f>MAX(H5914,I5914,J5914)</f>
        <v>0</v>
      </c>
      <c r="H5914" s="88"/>
      <c r="I5914" s="88"/>
      <c r="J5914" s="78">
        <f>MAX(K5914:Q5914)</f>
        <v>0</v>
      </c>
      <c r="K5914" s="88"/>
      <c r="L5914" s="88"/>
      <c r="M5914" s="88"/>
      <c r="N5914" s="88"/>
      <c r="O5914" s="88"/>
      <c r="P5914" s="88"/>
      <c r="Q5914" s="88"/>
      <c r="R5914" s="78">
        <f>MAX(S5914:W5914)</f>
        <v>1</v>
      </c>
      <c r="S5914" s="88"/>
      <c r="T5914" s="88"/>
      <c r="U5914" s="88"/>
      <c r="V5914" s="88">
        <v>1</v>
      </c>
      <c r="W5914" s="88"/>
    </row>
    <row r="5915" spans="2:23" s="0" customFormat="0" ht="15">
      <c r="B5915" s="87" t="s">
        <v>1</v>
      </c>
      <c r="C5915" s="88" t="s">
        <v>5259</v>
      </c>
      <c r="D5915" s="88">
        <v>7065941</v>
      </c>
      <c r="E5915" s="88" t="s">
        <v>61</v>
      </c>
      <c r="F5915" s="88">
        <v>0</v>
      </c>
      <c r="G5915" s="78">
        <f>MAX(H5915,I5915,J5915)</f>
        <v>0</v>
      </c>
      <c r="H5915" s="88"/>
      <c r="I5915" s="88"/>
      <c r="J5915" s="78">
        <f>MAX(K5915:Q5915)</f>
        <v>0</v>
      </c>
      <c r="K5915" s="88"/>
      <c r="L5915" s="88"/>
      <c r="M5915" s="88"/>
      <c r="N5915" s="88"/>
      <c r="O5915" s="88"/>
      <c r="P5915" s="88"/>
      <c r="Q5915" s="88"/>
      <c r="R5915" s="78">
        <f>MAX(S5915:W5915)</f>
        <v>1</v>
      </c>
      <c r="S5915" s="88"/>
      <c r="T5915" s="88"/>
      <c r="U5915" s="88">
        <v>1</v>
      </c>
      <c r="V5915" s="88"/>
      <c r="W5915" s="88"/>
    </row>
    <row r="5916" spans="2:23" s="0" customFormat="0" ht="15">
      <c r="B5916" s="87" t="s">
        <v>1</v>
      </c>
      <c r="C5916" s="88" t="s">
        <v>5259</v>
      </c>
      <c r="D5916" s="88">
        <v>17807209</v>
      </c>
      <c r="E5916" s="88" t="s">
        <v>61</v>
      </c>
      <c r="F5916" s="88">
        <v>0</v>
      </c>
      <c r="G5916" s="78">
        <f>MAX(H5916,I5916,J5916)</f>
        <v>1</v>
      </c>
      <c r="H5916" s="88"/>
      <c r="I5916" s="88"/>
      <c r="J5916" s="78">
        <f>MAX(K5916:Q5916)</f>
        <v>1</v>
      </c>
      <c r="K5916" s="88">
        <v>1</v>
      </c>
      <c r="L5916" s="88"/>
      <c r="M5916" s="88"/>
      <c r="N5916" s="88"/>
      <c r="O5916" s="88"/>
      <c r="P5916" s="88"/>
      <c r="Q5916" s="88"/>
      <c r="R5916" s="78">
        <f>MAX(S5916:W5916)</f>
        <v>0</v>
      </c>
      <c r="S5916" s="88"/>
      <c r="T5916" s="88"/>
      <c r="U5916" s="88"/>
      <c r="V5916" s="88"/>
      <c r="W5916" s="88"/>
    </row>
    <row r="5917" spans="2:23" s="0" customFormat="0" ht="15">
      <c r="B5917" s="87" t="s">
        <v>1</v>
      </c>
      <c r="C5917" s="88" t="s">
        <v>5259</v>
      </c>
      <c r="D5917" s="88" t="s">
        <v>3752</v>
      </c>
      <c r="E5917" s="88" t="s">
        <v>61</v>
      </c>
      <c r="F5917" s="88">
        <v>0</v>
      </c>
      <c r="G5917" s="78">
        <f>MAX(H5917,I5917,J5917)</f>
        <v>0</v>
      </c>
      <c r="H5917" s="88"/>
      <c r="I5917" s="88"/>
      <c r="J5917" s="78">
        <f>MAX(K5917:Q5917)</f>
        <v>0</v>
      </c>
      <c r="K5917" s="88"/>
      <c r="L5917" s="88"/>
      <c r="M5917" s="88"/>
      <c r="N5917" s="88"/>
      <c r="O5917" s="88"/>
      <c r="P5917" s="88"/>
      <c r="Q5917" s="88"/>
      <c r="R5917" s="78">
        <f>MAX(S5917:W5917)</f>
        <v>1</v>
      </c>
      <c r="S5917" s="88"/>
      <c r="T5917" s="88"/>
      <c r="U5917" s="88">
        <v>1</v>
      </c>
      <c r="V5917" s="88"/>
      <c r="W5917" s="88"/>
    </row>
    <row r="5918" spans="2:23" s="0" customFormat="0" ht="15">
      <c r="B5918" s="87" t="s">
        <v>1</v>
      </c>
      <c r="C5918" s="88" t="s">
        <v>5259</v>
      </c>
      <c r="D5918" s="88">
        <v>18091585</v>
      </c>
      <c r="E5918" s="88" t="s">
        <v>61</v>
      </c>
      <c r="F5918" s="88">
        <v>0</v>
      </c>
      <c r="G5918" s="78">
        <f>MAX(H5918,I5918,J5918)</f>
        <v>1</v>
      </c>
      <c r="H5918" s="88"/>
      <c r="I5918" s="88"/>
      <c r="J5918" s="78">
        <f>MAX(K5918:Q5918)</f>
        <v>1</v>
      </c>
      <c r="K5918" s="88">
        <v>1</v>
      </c>
      <c r="L5918" s="88"/>
      <c r="M5918" s="88"/>
      <c r="N5918" s="88"/>
      <c r="O5918" s="88"/>
      <c r="P5918" s="88"/>
      <c r="Q5918" s="88"/>
      <c r="R5918" s="78">
        <f>MAX(S5918:W5918)</f>
        <v>0</v>
      </c>
      <c r="S5918" s="88"/>
      <c r="T5918" s="88"/>
      <c r="U5918" s="88"/>
      <c r="V5918" s="88"/>
      <c r="W5918" s="88"/>
    </row>
    <row r="5919" spans="2:23" s="0" customFormat="0" ht="15">
      <c r="B5919" s="87" t="s">
        <v>1</v>
      </c>
      <c r="C5919" s="88" t="s">
        <v>5259</v>
      </c>
      <c r="D5919" s="88">
        <v>12074508</v>
      </c>
      <c r="E5919" s="88" t="s">
        <v>61</v>
      </c>
      <c r="F5919" s="88">
        <v>0</v>
      </c>
      <c r="G5919" s="78">
        <f>MAX(H5919,I5919,J5919)</f>
        <v>1</v>
      </c>
      <c r="H5919" s="88"/>
      <c r="I5919" s="88"/>
      <c r="J5919" s="78">
        <f>MAX(K5919:Q5919)</f>
        <v>1</v>
      </c>
      <c r="K5919" s="88">
        <v>1</v>
      </c>
      <c r="L5919" s="88"/>
      <c r="M5919" s="88"/>
      <c r="N5919" s="88"/>
      <c r="O5919" s="88"/>
      <c r="P5919" s="88"/>
      <c r="Q5919" s="88"/>
      <c r="R5919" s="78">
        <f>MAX(S5919:W5919)</f>
        <v>0</v>
      </c>
      <c r="S5919" s="88"/>
      <c r="T5919" s="88"/>
      <c r="U5919" s="88"/>
      <c r="V5919" s="88"/>
      <c r="W5919" s="88"/>
    </row>
    <row r="5920" spans="2:23" s="0" customFormat="0" ht="15">
      <c r="B5920" s="87" t="s">
        <v>1</v>
      </c>
      <c r="C5920" s="88" t="s">
        <v>5259</v>
      </c>
      <c r="D5920" s="88" t="s">
        <v>5147</v>
      </c>
      <c r="E5920" s="88" t="s">
        <v>61</v>
      </c>
      <c r="F5920" s="88">
        <v>0</v>
      </c>
      <c r="G5920" s="78">
        <f>MAX(H5920,I5920,J5920)</f>
        <v>0</v>
      </c>
      <c r="H5920" s="88"/>
      <c r="I5920" s="88"/>
      <c r="J5920" s="78">
        <f>MAX(K5920:Q5920)</f>
        <v>0</v>
      </c>
      <c r="K5920" s="88"/>
      <c r="L5920" s="88"/>
      <c r="M5920" s="88"/>
      <c r="N5920" s="88"/>
      <c r="O5920" s="88"/>
      <c r="P5920" s="88"/>
      <c r="Q5920" s="88"/>
      <c r="R5920" s="78">
        <f>MAX(S5920:W5920)</f>
        <v>1</v>
      </c>
      <c r="S5920" s="88"/>
      <c r="T5920" s="88"/>
      <c r="U5920" s="88">
        <v>1</v>
      </c>
      <c r="V5920" s="88"/>
      <c r="W5920" s="88"/>
    </row>
    <row r="5921" spans="2:23" s="0" customFormat="0" ht="15">
      <c r="B5921" s="87" t="s">
        <v>1</v>
      </c>
      <c r="C5921" s="88" t="s">
        <v>5259</v>
      </c>
      <c r="D5921" s="88">
        <v>20594292</v>
      </c>
      <c r="E5921" s="88" t="s">
        <v>61</v>
      </c>
      <c r="F5921" s="88">
        <v>0</v>
      </c>
      <c r="G5921" s="78">
        <f>MAX(H5921,I5921,J5921)</f>
        <v>1</v>
      </c>
      <c r="H5921" s="88"/>
      <c r="I5921" s="88"/>
      <c r="J5921" s="78">
        <f>MAX(K5921:Q5921)</f>
        <v>1</v>
      </c>
      <c r="K5921" s="88">
        <v>1</v>
      </c>
      <c r="L5921" s="88"/>
      <c r="M5921" s="88"/>
      <c r="N5921" s="88"/>
      <c r="O5921" s="88"/>
      <c r="P5921" s="88"/>
      <c r="Q5921" s="88"/>
      <c r="R5921" s="78">
        <f>MAX(S5921:W5921)</f>
        <v>0</v>
      </c>
      <c r="S5921" s="88"/>
      <c r="T5921" s="88"/>
      <c r="U5921" s="88"/>
      <c r="V5921" s="88"/>
      <c r="W5921" s="88"/>
    </row>
    <row r="5922" spans="2:23" s="0" customFormat="0" ht="15">
      <c r="B5922" s="87" t="s">
        <v>1</v>
      </c>
      <c r="C5922" s="88" t="s">
        <v>5259</v>
      </c>
      <c r="D5922" s="88" t="s">
        <v>4175</v>
      </c>
      <c r="E5922" s="88" t="s">
        <v>61</v>
      </c>
      <c r="F5922" s="88">
        <v>0</v>
      </c>
      <c r="G5922" s="78">
        <f>MAX(H5922,I5922,J5922)</f>
        <v>0</v>
      </c>
      <c r="H5922" s="88"/>
      <c r="I5922" s="88"/>
      <c r="J5922" s="78">
        <f>MAX(K5922:Q5922)</f>
        <v>0</v>
      </c>
      <c r="K5922" s="88"/>
      <c r="L5922" s="88"/>
      <c r="M5922" s="88"/>
      <c r="N5922" s="88"/>
      <c r="O5922" s="88"/>
      <c r="P5922" s="88"/>
      <c r="Q5922" s="88"/>
      <c r="R5922" s="78">
        <f>MAX(S5922:W5922)</f>
        <v>1</v>
      </c>
      <c r="S5922" s="88"/>
      <c r="T5922" s="88"/>
      <c r="U5922" s="88">
        <v>1</v>
      </c>
      <c r="V5922" s="88"/>
      <c r="W5922" s="88"/>
    </row>
    <row r="5923" spans="2:23" s="0" customFormat="0" ht="15">
      <c r="B5923" s="87" t="s">
        <v>1</v>
      </c>
      <c r="C5923" s="88" t="s">
        <v>5259</v>
      </c>
      <c r="D5923" s="88">
        <v>21027809</v>
      </c>
      <c r="E5923" s="88" t="s">
        <v>61</v>
      </c>
      <c r="F5923" s="88">
        <v>0</v>
      </c>
      <c r="G5923" s="78">
        <f>MAX(H5923,I5923,J5923)</f>
        <v>0</v>
      </c>
      <c r="H5923" s="88"/>
      <c r="I5923" s="88"/>
      <c r="J5923" s="78">
        <f>MAX(K5923:Q5923)</f>
        <v>0</v>
      </c>
      <c r="K5923" s="88"/>
      <c r="L5923" s="88"/>
      <c r="M5923" s="88"/>
      <c r="N5923" s="88"/>
      <c r="O5923" s="88"/>
      <c r="P5923" s="88"/>
      <c r="Q5923" s="88"/>
      <c r="R5923" s="78">
        <f>MAX(S5923:W5923)</f>
        <v>1</v>
      </c>
      <c r="S5923" s="88"/>
      <c r="T5923" s="88"/>
      <c r="U5923" s="88">
        <v>1</v>
      </c>
      <c r="V5923" s="88"/>
      <c r="W5923" s="88"/>
    </row>
    <row r="5924" spans="2:23" s="0" customFormat="0" ht="15">
      <c r="B5924" s="87" t="s">
        <v>1</v>
      </c>
      <c r="C5924" s="88" t="s">
        <v>5259</v>
      </c>
      <c r="D5924" s="88">
        <v>4107885</v>
      </c>
      <c r="E5924" s="88" t="s">
        <v>61</v>
      </c>
      <c r="F5924" s="88">
        <v>0</v>
      </c>
      <c r="G5924" s="78">
        <f>MAX(H5924,I5924,J5924)</f>
        <v>1</v>
      </c>
      <c r="H5924" s="88"/>
      <c r="I5924" s="88"/>
      <c r="J5924" s="78">
        <f>MAX(K5924:Q5924)</f>
        <v>1</v>
      </c>
      <c r="K5924" s="88">
        <v>1</v>
      </c>
      <c r="L5924" s="88"/>
      <c r="M5924" s="88"/>
      <c r="N5924" s="88"/>
      <c r="O5924" s="88"/>
      <c r="P5924" s="88"/>
      <c r="Q5924" s="88"/>
      <c r="R5924" s="78">
        <f>MAX(S5924:W5924)</f>
        <v>0</v>
      </c>
      <c r="S5924" s="88"/>
      <c r="T5924" s="88"/>
      <c r="U5924" s="88"/>
      <c r="V5924" s="88"/>
      <c r="W5924" s="88"/>
    </row>
    <row r="5925" spans="2:23" s="0" customFormat="0" ht="15">
      <c r="B5925" s="87" t="s">
        <v>1</v>
      </c>
      <c r="C5925" s="88" t="s">
        <v>5259</v>
      </c>
      <c r="D5925" s="88">
        <v>12833960</v>
      </c>
      <c r="E5925" s="88" t="s">
        <v>61</v>
      </c>
      <c r="F5925" s="88">
        <v>0</v>
      </c>
      <c r="G5925" s="78">
        <f>MAX(H5925,I5925,J5925)</f>
        <v>1</v>
      </c>
      <c r="H5925" s="88"/>
      <c r="I5925" s="88"/>
      <c r="J5925" s="78">
        <f>MAX(K5925:Q5925)</f>
        <v>1</v>
      </c>
      <c r="K5925" s="88">
        <v>1</v>
      </c>
      <c r="L5925" s="88"/>
      <c r="M5925" s="88"/>
      <c r="N5925" s="88"/>
      <c r="O5925" s="88"/>
      <c r="P5925" s="88"/>
      <c r="Q5925" s="88"/>
      <c r="R5925" s="78">
        <f>MAX(S5925:W5925)</f>
        <v>0</v>
      </c>
      <c r="S5925" s="88"/>
      <c r="T5925" s="88"/>
      <c r="U5925" s="88"/>
      <c r="V5925" s="88"/>
      <c r="W5925" s="88"/>
    </row>
    <row r="5926" spans="2:23" s="0" customFormat="0" ht="15">
      <c r="B5926" s="87" t="s">
        <v>1</v>
      </c>
      <c r="C5926" s="88" t="s">
        <v>5259</v>
      </c>
      <c r="D5926" s="88" t="s">
        <v>1623</v>
      </c>
      <c r="E5926" s="88" t="s">
        <v>61</v>
      </c>
      <c r="F5926" s="88">
        <v>0</v>
      </c>
      <c r="G5926" s="78">
        <f>MAX(H5926,I5926,J5926)</f>
        <v>1</v>
      </c>
      <c r="H5926" s="88"/>
      <c r="I5926" s="88"/>
      <c r="J5926" s="78">
        <f>MAX(K5926:Q5926)</f>
        <v>1</v>
      </c>
      <c r="K5926" s="88">
        <v>1</v>
      </c>
      <c r="L5926" s="88"/>
      <c r="M5926" s="88"/>
      <c r="N5926" s="88"/>
      <c r="O5926" s="88"/>
      <c r="P5926" s="88"/>
      <c r="Q5926" s="88"/>
      <c r="R5926" s="78">
        <f>MAX(S5926:W5926)</f>
        <v>0</v>
      </c>
      <c r="S5926" s="88"/>
      <c r="T5926" s="88"/>
      <c r="U5926" s="88"/>
      <c r="V5926" s="88"/>
      <c r="W5926" s="88"/>
    </row>
    <row r="5927" spans="2:23" s="0" customFormat="0" ht="15">
      <c r="B5927" s="87" t="s">
        <v>1</v>
      </c>
      <c r="C5927" s="88" t="s">
        <v>5259</v>
      </c>
      <c r="D5927" s="88" t="s">
        <v>5189</v>
      </c>
      <c r="E5927" s="88" t="s">
        <v>61</v>
      </c>
      <c r="F5927" s="88">
        <v>0</v>
      </c>
      <c r="G5927" s="78">
        <f>MAX(H5927,I5927,J5927)</f>
        <v>0</v>
      </c>
      <c r="H5927" s="88"/>
      <c r="I5927" s="88"/>
      <c r="J5927" s="78">
        <f>MAX(K5927:Q5927)</f>
        <v>0</v>
      </c>
      <c r="K5927" s="88"/>
      <c r="L5927" s="88"/>
      <c r="M5927" s="88"/>
      <c r="N5927" s="88"/>
      <c r="O5927" s="88"/>
      <c r="P5927" s="88"/>
      <c r="Q5927" s="88"/>
      <c r="R5927" s="78">
        <f>MAX(S5927:W5927)</f>
        <v>1</v>
      </c>
      <c r="S5927" s="88"/>
      <c r="T5927" s="88"/>
      <c r="U5927" s="88">
        <v>1</v>
      </c>
      <c r="V5927" s="88"/>
      <c r="W5927" s="88"/>
    </row>
    <row r="5928" spans="2:23" s="0" customFormat="0" ht="15">
      <c r="B5928" s="87" t="s">
        <v>1</v>
      </c>
      <c r="C5928" s="88" t="s">
        <v>5259</v>
      </c>
      <c r="D5928" s="88" t="s">
        <v>5191</v>
      </c>
      <c r="E5928" s="88" t="s">
        <v>61</v>
      </c>
      <c r="F5928" s="88">
        <v>0</v>
      </c>
      <c r="G5928" s="78">
        <f>MAX(H5928,I5928,J5928)</f>
        <v>0</v>
      </c>
      <c r="H5928" s="88"/>
      <c r="I5928" s="88"/>
      <c r="J5928" s="78">
        <f>MAX(K5928:Q5928)</f>
        <v>0</v>
      </c>
      <c r="K5928" s="88"/>
      <c r="L5928" s="88"/>
      <c r="M5928" s="88"/>
      <c r="N5928" s="88"/>
      <c r="O5928" s="88"/>
      <c r="P5928" s="88"/>
      <c r="Q5928" s="88"/>
      <c r="R5928" s="78">
        <f>MAX(S5928:W5928)</f>
        <v>1</v>
      </c>
      <c r="S5928" s="88"/>
      <c r="T5928" s="88"/>
      <c r="U5928" s="88">
        <v>1</v>
      </c>
      <c r="V5928" s="88"/>
      <c r="W5928" s="88"/>
    </row>
    <row r="5929" spans="2:23" s="0" customFormat="0" ht="15">
      <c r="B5929" s="87" t="s">
        <v>1</v>
      </c>
      <c r="C5929" s="88" t="s">
        <v>5259</v>
      </c>
      <c r="D5929" s="88">
        <v>17634083</v>
      </c>
      <c r="E5929" s="88" t="s">
        <v>61</v>
      </c>
      <c r="F5929" s="88">
        <v>0</v>
      </c>
      <c r="G5929" s="78">
        <f>MAX(H5929,I5929,J5929)</f>
        <v>1</v>
      </c>
      <c r="H5929" s="88"/>
      <c r="I5929" s="88"/>
      <c r="J5929" s="78">
        <f>MAX(K5929:Q5929)</f>
        <v>1</v>
      </c>
      <c r="K5929" s="88">
        <v>1</v>
      </c>
      <c r="L5929" s="88"/>
      <c r="M5929" s="88"/>
      <c r="N5929" s="88"/>
      <c r="O5929" s="88"/>
      <c r="P5929" s="88"/>
      <c r="Q5929" s="88"/>
      <c r="R5929" s="78">
        <f>MAX(S5929:W5929)</f>
        <v>0</v>
      </c>
      <c r="S5929" s="88"/>
      <c r="T5929" s="88"/>
      <c r="U5929" s="88"/>
      <c r="V5929" s="88"/>
      <c r="W5929" s="88"/>
    </row>
    <row r="5930" spans="2:23" s="0" customFormat="0" ht="15">
      <c r="B5930" s="87" t="s">
        <v>1</v>
      </c>
      <c r="C5930" s="88" t="s">
        <v>5259</v>
      </c>
      <c r="D5930" s="88" t="s">
        <v>5002</v>
      </c>
      <c r="E5930" s="88" t="s">
        <v>61</v>
      </c>
      <c r="F5930" s="88">
        <v>0</v>
      </c>
      <c r="G5930" s="78">
        <f>MAX(H5930,I5930,J5930)</f>
        <v>0</v>
      </c>
      <c r="H5930" s="88"/>
      <c r="I5930" s="88"/>
      <c r="J5930" s="78">
        <f>MAX(K5930:Q5930)</f>
        <v>0</v>
      </c>
      <c r="K5930" s="88"/>
      <c r="L5930" s="88"/>
      <c r="M5930" s="88"/>
      <c r="N5930" s="88"/>
      <c r="O5930" s="88"/>
      <c r="P5930" s="88"/>
      <c r="Q5930" s="88"/>
      <c r="R5930" s="78">
        <f>MAX(S5930:W5930)</f>
        <v>1</v>
      </c>
      <c r="S5930" s="88"/>
      <c r="T5930" s="88"/>
      <c r="U5930" s="88">
        <v>1</v>
      </c>
      <c r="V5930" s="88"/>
      <c r="W5930" s="88"/>
    </row>
    <row r="5931" spans="2:23" s="0" customFormat="0" ht="15">
      <c r="B5931" s="87" t="s">
        <v>1</v>
      </c>
      <c r="C5931" s="88" t="s">
        <v>5259</v>
      </c>
      <c r="D5931" s="88" t="s">
        <v>1171</v>
      </c>
      <c r="E5931" s="88" t="s">
        <v>61</v>
      </c>
      <c r="F5931" s="88">
        <v>0</v>
      </c>
      <c r="G5931" s="78">
        <f>MAX(H5931,I5931,J5931)</f>
        <v>1</v>
      </c>
      <c r="H5931" s="88"/>
      <c r="I5931" s="88"/>
      <c r="J5931" s="78">
        <f>MAX(K5931:Q5931)</f>
        <v>1</v>
      </c>
      <c r="K5931" s="88">
        <v>1</v>
      </c>
      <c r="L5931" s="88"/>
      <c r="M5931" s="88"/>
      <c r="N5931" s="88"/>
      <c r="O5931" s="88"/>
      <c r="P5931" s="88"/>
      <c r="Q5931" s="88"/>
      <c r="R5931" s="78">
        <f>MAX(S5931:W5931)</f>
        <v>0</v>
      </c>
      <c r="S5931" s="88"/>
      <c r="T5931" s="88"/>
      <c r="U5931" s="88"/>
      <c r="V5931" s="88"/>
      <c r="W5931" s="88"/>
    </row>
    <row r="5932" spans="2:23" s="0" customFormat="0" ht="15">
      <c r="B5932" s="87" t="s">
        <v>1</v>
      </c>
      <c r="C5932" s="88" t="s">
        <v>5259</v>
      </c>
      <c r="D5932" s="88" t="s">
        <v>2929</v>
      </c>
      <c r="E5932" s="88" t="s">
        <v>61</v>
      </c>
      <c r="F5932" s="88">
        <v>0</v>
      </c>
      <c r="G5932" s="78">
        <f>MAX(H5932,I5932,J5932)</f>
        <v>1</v>
      </c>
      <c r="H5932" s="88"/>
      <c r="I5932" s="88"/>
      <c r="J5932" s="78">
        <f>MAX(K5932:Q5932)</f>
        <v>1</v>
      </c>
      <c r="K5932" s="88">
        <v>1</v>
      </c>
      <c r="L5932" s="88"/>
      <c r="M5932" s="88"/>
      <c r="N5932" s="88"/>
      <c r="O5932" s="88"/>
      <c r="P5932" s="88"/>
      <c r="Q5932" s="88"/>
      <c r="R5932" s="78">
        <f>MAX(S5932:W5932)</f>
        <v>0</v>
      </c>
      <c r="S5932" s="88"/>
      <c r="T5932" s="88"/>
      <c r="U5932" s="88"/>
      <c r="V5932" s="88"/>
      <c r="W5932" s="88"/>
    </row>
    <row r="5933" spans="2:23" s="0" customFormat="0" ht="15">
      <c r="B5933" s="87" t="s">
        <v>1</v>
      </c>
      <c r="C5933" s="88" t="s">
        <v>5259</v>
      </c>
      <c r="D5933" s="88" t="s">
        <v>5042</v>
      </c>
      <c r="E5933" s="88" t="s">
        <v>61</v>
      </c>
      <c r="F5933" s="88">
        <v>0</v>
      </c>
      <c r="G5933" s="78">
        <f>MAX(H5933,I5933,J5933)</f>
        <v>0</v>
      </c>
      <c r="H5933" s="88"/>
      <c r="I5933" s="88"/>
      <c r="J5933" s="78">
        <f>MAX(K5933:Q5933)</f>
        <v>0</v>
      </c>
      <c r="K5933" s="88"/>
      <c r="L5933" s="88"/>
      <c r="M5933" s="88"/>
      <c r="N5933" s="88"/>
      <c r="O5933" s="88"/>
      <c r="P5933" s="88"/>
      <c r="Q5933" s="88"/>
      <c r="R5933" s="78">
        <f>MAX(S5933:W5933)</f>
        <v>1</v>
      </c>
      <c r="S5933" s="88"/>
      <c r="T5933" s="88"/>
      <c r="U5933" s="88">
        <v>1</v>
      </c>
      <c r="V5933" s="88"/>
      <c r="W5933" s="88"/>
    </row>
    <row r="5934" spans="2:23" s="0" customFormat="0" ht="15">
      <c r="B5934" s="87" t="s">
        <v>1</v>
      </c>
      <c r="C5934" s="88" t="s">
        <v>5259</v>
      </c>
      <c r="D5934" s="88">
        <v>16974682</v>
      </c>
      <c r="E5934" s="88" t="s">
        <v>61</v>
      </c>
      <c r="F5934" s="88">
        <v>0</v>
      </c>
      <c r="G5934" s="78">
        <f>MAX(H5934,I5934,J5934)</f>
        <v>0</v>
      </c>
      <c r="H5934" s="88"/>
      <c r="I5934" s="88"/>
      <c r="J5934" s="78">
        <f>MAX(K5934:Q5934)</f>
        <v>0</v>
      </c>
      <c r="K5934" s="88"/>
      <c r="L5934" s="88"/>
      <c r="M5934" s="88"/>
      <c r="N5934" s="88"/>
      <c r="O5934" s="88"/>
      <c r="P5934" s="88"/>
      <c r="Q5934" s="88"/>
      <c r="R5934" s="78">
        <f>MAX(S5934:W5934)</f>
        <v>1</v>
      </c>
      <c r="S5934" s="88"/>
      <c r="T5934" s="88"/>
      <c r="U5934" s="88">
        <v>1</v>
      </c>
      <c r="V5934" s="88"/>
      <c r="W5934" s="88"/>
    </row>
    <row r="5935" spans="2:23" s="0" customFormat="0" ht="15">
      <c r="B5935" s="87" t="s">
        <v>1</v>
      </c>
      <c r="C5935" s="88" t="s">
        <v>5259</v>
      </c>
      <c r="D5935" s="88">
        <v>13102511</v>
      </c>
      <c r="E5935" s="88" t="s">
        <v>61</v>
      </c>
      <c r="F5935" s="88">
        <v>0</v>
      </c>
      <c r="G5935" s="78">
        <f>MAX(H5935,I5935,J5935)</f>
        <v>1</v>
      </c>
      <c r="H5935" s="88"/>
      <c r="I5935" s="88"/>
      <c r="J5935" s="78">
        <f>MAX(K5935:Q5935)</f>
        <v>1</v>
      </c>
      <c r="K5935" s="88">
        <v>1</v>
      </c>
      <c r="L5935" s="88"/>
      <c r="M5935" s="88"/>
      <c r="N5935" s="88"/>
      <c r="O5935" s="88"/>
      <c r="P5935" s="88"/>
      <c r="Q5935" s="88"/>
      <c r="R5935" s="78">
        <f>MAX(S5935:W5935)</f>
        <v>0</v>
      </c>
      <c r="S5935" s="88"/>
      <c r="T5935" s="88"/>
      <c r="U5935" s="88"/>
      <c r="V5935" s="88"/>
      <c r="W5935" s="88"/>
    </row>
    <row r="5936" spans="2:23" s="0" customFormat="0" ht="15">
      <c r="B5936" s="87" t="s">
        <v>1</v>
      </c>
      <c r="C5936" s="88" t="s">
        <v>5259</v>
      </c>
      <c r="D5936" s="88">
        <v>20186857</v>
      </c>
      <c r="E5936" s="88" t="s">
        <v>61</v>
      </c>
      <c r="F5936" s="88">
        <v>0</v>
      </c>
      <c r="G5936" s="78">
        <f>MAX(H5936,I5936,J5936)</f>
        <v>1</v>
      </c>
      <c r="H5936" s="88"/>
      <c r="I5936" s="88"/>
      <c r="J5936" s="78">
        <f>MAX(K5936:Q5936)</f>
        <v>1</v>
      </c>
      <c r="K5936" s="88">
        <v>1</v>
      </c>
      <c r="L5936" s="88"/>
      <c r="M5936" s="88"/>
      <c r="N5936" s="88"/>
      <c r="O5936" s="88"/>
      <c r="P5936" s="88"/>
      <c r="Q5936" s="88"/>
      <c r="R5936" s="78">
        <f>MAX(S5936:W5936)</f>
        <v>0</v>
      </c>
      <c r="S5936" s="88"/>
      <c r="T5936" s="88"/>
      <c r="U5936" s="88"/>
      <c r="V5936" s="88"/>
      <c r="W5936" s="88"/>
    </row>
    <row r="5937" spans="2:23" s="0" customFormat="0" ht="15">
      <c r="B5937" s="87" t="s">
        <v>1</v>
      </c>
      <c r="C5937" s="88" t="s">
        <v>5259</v>
      </c>
      <c r="D5937" s="88">
        <v>22623654</v>
      </c>
      <c r="E5937" s="88" t="s">
        <v>61</v>
      </c>
      <c r="F5937" s="88">
        <v>0</v>
      </c>
      <c r="G5937" s="78">
        <f>MAX(H5937,I5937,J5937)</f>
        <v>0</v>
      </c>
      <c r="H5937" s="88"/>
      <c r="I5937" s="88"/>
      <c r="J5937" s="78">
        <f>MAX(K5937:Q5937)</f>
        <v>0</v>
      </c>
      <c r="K5937" s="88"/>
      <c r="L5937" s="88"/>
      <c r="M5937" s="88"/>
      <c r="N5937" s="88"/>
      <c r="O5937" s="88"/>
      <c r="P5937" s="88"/>
      <c r="Q5937" s="88"/>
      <c r="R5937" s="78">
        <f>MAX(S5937:W5937)</f>
        <v>1</v>
      </c>
      <c r="S5937" s="88"/>
      <c r="T5937" s="88"/>
      <c r="U5937" s="88">
        <v>1</v>
      </c>
      <c r="V5937" s="88"/>
      <c r="W5937" s="88"/>
    </row>
    <row r="5938" spans="2:23" s="0" customFormat="0" ht="15">
      <c r="B5938" s="87" t="s">
        <v>1</v>
      </c>
      <c r="C5938" s="88" t="s">
        <v>5259</v>
      </c>
      <c r="D5938" s="88">
        <v>22927558</v>
      </c>
      <c r="E5938" s="88" t="s">
        <v>61</v>
      </c>
      <c r="F5938" s="88">
        <v>0</v>
      </c>
      <c r="G5938" s="78">
        <f>MAX(H5938,I5938,J5938)</f>
        <v>1</v>
      </c>
      <c r="H5938" s="88"/>
      <c r="I5938" s="88"/>
      <c r="J5938" s="78">
        <f>MAX(K5938:Q5938)</f>
        <v>1</v>
      </c>
      <c r="K5938" s="88">
        <v>1</v>
      </c>
      <c r="L5938" s="88"/>
      <c r="M5938" s="88"/>
      <c r="N5938" s="88"/>
      <c r="O5938" s="88"/>
      <c r="P5938" s="88"/>
      <c r="Q5938" s="88"/>
      <c r="R5938" s="78">
        <f>MAX(S5938:W5938)</f>
        <v>0</v>
      </c>
      <c r="S5938" s="88"/>
      <c r="T5938" s="88"/>
      <c r="U5938" s="88"/>
      <c r="V5938" s="88"/>
      <c r="W5938" s="88"/>
    </row>
    <row r="5939" spans="2:23" s="0" customFormat="0" ht="15">
      <c r="B5939" s="87" t="s">
        <v>1</v>
      </c>
      <c r="C5939" s="88" t="s">
        <v>5259</v>
      </c>
      <c r="D5939" s="88">
        <v>278397</v>
      </c>
      <c r="E5939" s="88" t="s">
        <v>61</v>
      </c>
      <c r="F5939" s="88">
        <v>0</v>
      </c>
      <c r="G5939" s="78">
        <f>MAX(H5939,I5939,J5939)</f>
        <v>0</v>
      </c>
      <c r="H5939" s="88"/>
      <c r="I5939" s="88"/>
      <c r="J5939" s="78">
        <f>MAX(K5939:Q5939)</f>
        <v>0</v>
      </c>
      <c r="K5939" s="88"/>
      <c r="L5939" s="88"/>
      <c r="M5939" s="88"/>
      <c r="N5939" s="88"/>
      <c r="O5939" s="88"/>
      <c r="P5939" s="88"/>
      <c r="Q5939" s="88"/>
      <c r="R5939" s="78">
        <f>MAX(S5939:W5939)</f>
        <v>1</v>
      </c>
      <c r="S5939" s="88"/>
      <c r="T5939" s="88"/>
      <c r="U5939" s="88">
        <v>1</v>
      </c>
      <c r="V5939" s="88"/>
      <c r="W5939" s="88"/>
    </row>
    <row r="5940" spans="2:23" s="0" customFormat="0" ht="15">
      <c r="B5940" s="87" t="s">
        <v>1</v>
      </c>
      <c r="C5940" s="88" t="s">
        <v>5259</v>
      </c>
      <c r="D5940" s="88" t="s">
        <v>882</v>
      </c>
      <c r="E5940" s="88" t="s">
        <v>61</v>
      </c>
      <c r="F5940" s="88">
        <v>0</v>
      </c>
      <c r="G5940" s="78">
        <f>MAX(H5940,I5940,J5940)</f>
        <v>1</v>
      </c>
      <c r="H5940" s="88"/>
      <c r="I5940" s="88"/>
      <c r="J5940" s="78">
        <f>MAX(K5940:Q5940)</f>
        <v>1</v>
      </c>
      <c r="K5940" s="88">
        <v>1</v>
      </c>
      <c r="L5940" s="88"/>
      <c r="M5940" s="88"/>
      <c r="N5940" s="88"/>
      <c r="O5940" s="88"/>
      <c r="P5940" s="88"/>
      <c r="Q5940" s="88"/>
      <c r="R5940" s="78">
        <f>MAX(S5940:W5940)</f>
        <v>0</v>
      </c>
      <c r="S5940" s="88"/>
      <c r="T5940" s="88"/>
      <c r="U5940" s="88"/>
      <c r="V5940" s="88"/>
      <c r="W5940" s="88"/>
    </row>
    <row r="5941" spans="2:23" s="0" customFormat="0" ht="15">
      <c r="B5941" s="87" t="s">
        <v>1</v>
      </c>
      <c r="C5941" s="88" t="s">
        <v>5259</v>
      </c>
      <c r="D5941" s="88">
        <v>13477624</v>
      </c>
      <c r="E5941" s="88" t="s">
        <v>61</v>
      </c>
      <c r="F5941" s="88">
        <v>0</v>
      </c>
      <c r="G5941" s="78">
        <f>MAX(H5941,I5941,J5941)</f>
        <v>1</v>
      </c>
      <c r="H5941" s="88"/>
      <c r="I5941" s="88"/>
      <c r="J5941" s="78">
        <f>MAX(K5941:Q5941)</f>
        <v>1</v>
      </c>
      <c r="K5941" s="88">
        <v>1</v>
      </c>
      <c r="L5941" s="88"/>
      <c r="M5941" s="88"/>
      <c r="N5941" s="88"/>
      <c r="O5941" s="88"/>
      <c r="P5941" s="88"/>
      <c r="Q5941" s="88"/>
      <c r="R5941" s="78">
        <f>MAX(S5941:W5941)</f>
        <v>0</v>
      </c>
      <c r="S5941" s="88"/>
      <c r="T5941" s="88"/>
      <c r="U5941" s="88"/>
      <c r="V5941" s="88"/>
      <c r="W5941" s="88"/>
    </row>
    <row r="5942" spans="2:23" s="0" customFormat="0" ht="15">
      <c r="B5942" s="87" t="s">
        <v>1</v>
      </c>
      <c r="C5942" s="88" t="s">
        <v>5259</v>
      </c>
      <c r="D5942" s="88">
        <v>1929203</v>
      </c>
      <c r="E5942" s="88" t="s">
        <v>61</v>
      </c>
      <c r="F5942" s="88">
        <v>0</v>
      </c>
      <c r="G5942" s="78">
        <f>MAX(H5942,I5942,J5942)</f>
        <v>0</v>
      </c>
      <c r="H5942" s="88"/>
      <c r="I5942" s="88"/>
      <c r="J5942" s="78">
        <f>MAX(K5942:Q5942)</f>
        <v>0</v>
      </c>
      <c r="K5942" s="88"/>
      <c r="L5942" s="88"/>
      <c r="M5942" s="88"/>
      <c r="N5942" s="88"/>
      <c r="O5942" s="88"/>
      <c r="P5942" s="88"/>
      <c r="Q5942" s="88"/>
      <c r="R5942" s="78">
        <f>MAX(S5942:W5942)</f>
        <v>1</v>
      </c>
      <c r="S5942" s="88"/>
      <c r="T5942" s="88"/>
      <c r="U5942" s="88">
        <v>1</v>
      </c>
      <c r="V5942" s="88"/>
      <c r="W5942" s="88"/>
    </row>
    <row r="5943" spans="2:23" s="0" customFormat="0" ht="15">
      <c r="B5943" s="87" t="s">
        <v>1</v>
      </c>
      <c r="C5943" s="88" t="s">
        <v>5259</v>
      </c>
      <c r="D5943" s="88" t="s">
        <v>2901</v>
      </c>
      <c r="E5943" s="88" t="s">
        <v>61</v>
      </c>
      <c r="F5943" s="88">
        <v>0</v>
      </c>
      <c r="G5943" s="78">
        <f>MAX(H5943,I5943,J5943)</f>
        <v>1</v>
      </c>
      <c r="H5943" s="88"/>
      <c r="I5943" s="88"/>
      <c r="J5943" s="78">
        <f>MAX(K5943:Q5943)</f>
        <v>1</v>
      </c>
      <c r="K5943" s="88">
        <v>1</v>
      </c>
      <c r="L5943" s="88"/>
      <c r="M5943" s="88"/>
      <c r="N5943" s="88"/>
      <c r="O5943" s="88"/>
      <c r="P5943" s="88"/>
      <c r="Q5943" s="88"/>
      <c r="R5943" s="78">
        <f>MAX(S5943:W5943)</f>
        <v>0</v>
      </c>
      <c r="S5943" s="88"/>
      <c r="T5943" s="88"/>
      <c r="U5943" s="88"/>
      <c r="V5943" s="88"/>
      <c r="W5943" s="88"/>
    </row>
    <row r="5944" spans="2:23" s="0" customFormat="0" ht="15">
      <c r="B5944" s="87" t="s">
        <v>1</v>
      </c>
      <c r="C5944" s="88" t="s">
        <v>5259</v>
      </c>
      <c r="D5944" s="88" t="s">
        <v>2932</v>
      </c>
      <c r="E5944" s="88" t="s">
        <v>61</v>
      </c>
      <c r="F5944" s="88">
        <v>0</v>
      </c>
      <c r="G5944" s="78">
        <f>MAX(H5944,I5944,J5944)</f>
        <v>1</v>
      </c>
      <c r="H5944" s="88"/>
      <c r="I5944" s="88"/>
      <c r="J5944" s="78">
        <f>MAX(K5944:Q5944)</f>
        <v>1</v>
      </c>
      <c r="K5944" s="88">
        <v>1</v>
      </c>
      <c r="L5944" s="88"/>
      <c r="M5944" s="88"/>
      <c r="N5944" s="88"/>
      <c r="O5944" s="88"/>
      <c r="P5944" s="88"/>
      <c r="Q5944" s="88"/>
      <c r="R5944" s="78">
        <f>MAX(S5944:W5944)</f>
        <v>0</v>
      </c>
      <c r="S5944" s="88"/>
      <c r="T5944" s="88"/>
      <c r="U5944" s="88"/>
      <c r="V5944" s="88"/>
      <c r="W5944" s="88"/>
    </row>
    <row r="5945" spans="2:23" s="0" customFormat="0" ht="15">
      <c r="B5945" s="87" t="s">
        <v>1</v>
      </c>
      <c r="C5945" s="88" t="s">
        <v>5259</v>
      </c>
      <c r="D5945" s="88" t="s">
        <v>4213</v>
      </c>
      <c r="E5945" s="88" t="s">
        <v>61</v>
      </c>
      <c r="F5945" s="88">
        <v>0</v>
      </c>
      <c r="G5945" s="78">
        <f>MAX(H5945,I5945,J5945)</f>
        <v>0</v>
      </c>
      <c r="H5945" s="88"/>
      <c r="I5945" s="88"/>
      <c r="J5945" s="78">
        <f>MAX(K5945:Q5945)</f>
        <v>0</v>
      </c>
      <c r="K5945" s="88"/>
      <c r="L5945" s="88"/>
      <c r="M5945" s="88"/>
      <c r="N5945" s="88"/>
      <c r="O5945" s="88"/>
      <c r="P5945" s="88"/>
      <c r="Q5945" s="88"/>
      <c r="R5945" s="78">
        <f>MAX(S5945:W5945)</f>
        <v>1</v>
      </c>
      <c r="S5945" s="88"/>
      <c r="T5945" s="88"/>
      <c r="U5945" s="88">
        <v>1</v>
      </c>
      <c r="V5945" s="88"/>
      <c r="W5945" s="88"/>
    </row>
    <row r="5946" spans="2:23" s="0" customFormat="0" ht="15">
      <c r="B5946" s="87" t="s">
        <v>1</v>
      </c>
      <c r="C5946" s="88" t="s">
        <v>5259</v>
      </c>
      <c r="D5946" s="88">
        <v>22448713</v>
      </c>
      <c r="E5946" s="88" t="s">
        <v>61</v>
      </c>
      <c r="F5946" s="88">
        <v>0</v>
      </c>
      <c r="G5946" s="78">
        <f>MAX(H5946,I5946,J5946)</f>
        <v>1</v>
      </c>
      <c r="H5946" s="88"/>
      <c r="I5946" s="88"/>
      <c r="J5946" s="78">
        <f>MAX(K5946:Q5946)</f>
        <v>1</v>
      </c>
      <c r="K5946" s="88">
        <v>1</v>
      </c>
      <c r="L5946" s="88"/>
      <c r="M5946" s="88"/>
      <c r="N5946" s="88"/>
      <c r="O5946" s="88"/>
      <c r="P5946" s="88"/>
      <c r="Q5946" s="88"/>
      <c r="R5946" s="78">
        <f>MAX(S5946:W5946)</f>
        <v>0</v>
      </c>
      <c r="S5946" s="88"/>
      <c r="T5946" s="88"/>
      <c r="U5946" s="88"/>
      <c r="V5946" s="88"/>
      <c r="W5946" s="88"/>
    </row>
    <row r="5947" spans="2:23" s="0" customFormat="0" ht="15">
      <c r="B5947" s="87" t="s">
        <v>1</v>
      </c>
      <c r="C5947" s="88" t="s">
        <v>5259</v>
      </c>
      <c r="D5947" s="88">
        <v>12187977</v>
      </c>
      <c r="E5947" s="88" t="s">
        <v>61</v>
      </c>
      <c r="F5947" s="88">
        <v>0</v>
      </c>
      <c r="G5947" s="78">
        <f>MAX(H5947,I5947,J5947)</f>
        <v>1</v>
      </c>
      <c r="H5947" s="88"/>
      <c r="I5947" s="88"/>
      <c r="J5947" s="78">
        <f>MAX(K5947:Q5947)</f>
        <v>1</v>
      </c>
      <c r="K5947" s="88">
        <v>1</v>
      </c>
      <c r="L5947" s="88"/>
      <c r="M5947" s="88"/>
      <c r="N5947" s="88"/>
      <c r="O5947" s="88"/>
      <c r="P5947" s="88"/>
      <c r="Q5947" s="88"/>
      <c r="R5947" s="78">
        <f>MAX(S5947:W5947)</f>
        <v>0</v>
      </c>
      <c r="S5947" s="88"/>
      <c r="T5947" s="88"/>
      <c r="U5947" s="88"/>
      <c r="V5947" s="88"/>
      <c r="W5947" s="88"/>
    </row>
    <row r="5948" spans="2:23" s="0" customFormat="0" ht="15">
      <c r="B5948" s="87" t="s">
        <v>1</v>
      </c>
      <c r="C5948" s="88" t="s">
        <v>5259</v>
      </c>
      <c r="D5948" s="88" t="s">
        <v>4336</v>
      </c>
      <c r="E5948" s="88" t="s">
        <v>61</v>
      </c>
      <c r="F5948" s="88">
        <v>0</v>
      </c>
      <c r="G5948" s="78">
        <f>MAX(H5948,I5948,J5948)</f>
        <v>0</v>
      </c>
      <c r="H5948" s="88"/>
      <c r="I5948" s="88"/>
      <c r="J5948" s="78">
        <f>MAX(K5948:Q5948)</f>
        <v>0</v>
      </c>
      <c r="K5948" s="88"/>
      <c r="L5948" s="88"/>
      <c r="M5948" s="88"/>
      <c r="N5948" s="88"/>
      <c r="O5948" s="88"/>
      <c r="P5948" s="88"/>
      <c r="Q5948" s="88"/>
      <c r="R5948" s="78">
        <f>MAX(S5948:W5948)</f>
        <v>1</v>
      </c>
      <c r="S5948" s="88"/>
      <c r="T5948" s="88"/>
      <c r="U5948" s="88">
        <v>1</v>
      </c>
      <c r="V5948" s="88"/>
      <c r="W5948" s="88"/>
    </row>
    <row r="5949" spans="2:23" s="0" customFormat="0" ht="15">
      <c r="B5949" s="87" t="s">
        <v>1</v>
      </c>
      <c r="C5949" s="88" t="s">
        <v>5259</v>
      </c>
      <c r="D5949" s="88">
        <v>6648242</v>
      </c>
      <c r="E5949" s="88" t="s">
        <v>61</v>
      </c>
      <c r="F5949" s="88">
        <v>0</v>
      </c>
      <c r="G5949" s="78">
        <f>MAX(H5949,I5949,J5949)</f>
        <v>1</v>
      </c>
      <c r="H5949" s="88"/>
      <c r="I5949" s="88"/>
      <c r="J5949" s="78">
        <f>MAX(K5949:Q5949)</f>
        <v>1</v>
      </c>
      <c r="K5949" s="88">
        <v>1</v>
      </c>
      <c r="L5949" s="88"/>
      <c r="M5949" s="88"/>
      <c r="N5949" s="88"/>
      <c r="O5949" s="88"/>
      <c r="P5949" s="88"/>
      <c r="Q5949" s="88"/>
      <c r="R5949" s="78">
        <f>MAX(S5949:W5949)</f>
        <v>0</v>
      </c>
      <c r="S5949" s="88"/>
      <c r="T5949" s="88"/>
      <c r="U5949" s="88"/>
      <c r="V5949" s="88"/>
      <c r="W5949" s="88"/>
    </row>
    <row r="5950" spans="2:23" s="0" customFormat="0" ht="15">
      <c r="B5950" s="87" t="s">
        <v>1</v>
      </c>
      <c r="C5950" s="88" t="s">
        <v>5259</v>
      </c>
      <c r="D5950" s="88" t="s">
        <v>3702</v>
      </c>
      <c r="E5950" s="88" t="s">
        <v>61</v>
      </c>
      <c r="F5950" s="88">
        <v>0</v>
      </c>
      <c r="G5950" s="78">
        <f>MAX(H5950,I5950,J5950)</f>
        <v>0</v>
      </c>
      <c r="H5950" s="88"/>
      <c r="I5950" s="88"/>
      <c r="J5950" s="78">
        <f>MAX(K5950:Q5950)</f>
        <v>0</v>
      </c>
      <c r="K5950" s="88"/>
      <c r="L5950" s="88"/>
      <c r="M5950" s="88"/>
      <c r="N5950" s="88"/>
      <c r="O5950" s="88"/>
      <c r="P5950" s="88"/>
      <c r="Q5950" s="88"/>
      <c r="R5950" s="78">
        <f>MAX(S5950:W5950)</f>
        <v>1</v>
      </c>
      <c r="S5950" s="88"/>
      <c r="T5950" s="88"/>
      <c r="U5950" s="88">
        <v>1</v>
      </c>
      <c r="V5950" s="88"/>
      <c r="W5950" s="88"/>
    </row>
    <row r="5951" spans="2:23" s="0" customFormat="0" ht="15">
      <c r="B5951" s="87" t="s">
        <v>1</v>
      </c>
      <c r="C5951" s="88" t="s">
        <v>5259</v>
      </c>
      <c r="D5951" s="88">
        <v>14059598</v>
      </c>
      <c r="E5951" s="88" t="s">
        <v>61</v>
      </c>
      <c r="F5951" s="88">
        <v>0</v>
      </c>
      <c r="G5951" s="78">
        <f>MAX(H5951,I5951,J5951)</f>
        <v>1</v>
      </c>
      <c r="H5951" s="88"/>
      <c r="I5951" s="88"/>
      <c r="J5951" s="78">
        <f>MAX(K5951:Q5951)</f>
        <v>1</v>
      </c>
      <c r="K5951" s="88">
        <v>1</v>
      </c>
      <c r="L5951" s="88"/>
      <c r="M5951" s="88"/>
      <c r="N5951" s="88"/>
      <c r="O5951" s="88"/>
      <c r="P5951" s="88"/>
      <c r="Q5951" s="88"/>
      <c r="R5951" s="78">
        <f>MAX(S5951:W5951)</f>
        <v>0</v>
      </c>
      <c r="S5951" s="88"/>
      <c r="T5951" s="88"/>
      <c r="U5951" s="88"/>
      <c r="V5951" s="88"/>
      <c r="W5951" s="88"/>
    </row>
    <row r="5952" spans="2:23" s="0" customFormat="0" ht="15">
      <c r="B5952" s="87" t="s">
        <v>1</v>
      </c>
      <c r="C5952" s="88" t="s">
        <v>5259</v>
      </c>
      <c r="D5952" s="88">
        <v>9399325</v>
      </c>
      <c r="E5952" s="88" t="s">
        <v>61</v>
      </c>
      <c r="F5952" s="88">
        <v>0</v>
      </c>
      <c r="G5952" s="78">
        <f>MAX(H5952,I5952,J5952)</f>
        <v>1</v>
      </c>
      <c r="H5952" s="88"/>
      <c r="I5952" s="88"/>
      <c r="J5952" s="78">
        <f>MAX(K5952:Q5952)</f>
        <v>1</v>
      </c>
      <c r="K5952" s="88">
        <v>1</v>
      </c>
      <c r="L5952" s="88"/>
      <c r="M5952" s="88"/>
      <c r="N5952" s="88"/>
      <c r="O5952" s="88"/>
      <c r="P5952" s="88"/>
      <c r="Q5952" s="88"/>
      <c r="R5952" s="78">
        <f>MAX(S5952:W5952)</f>
        <v>0</v>
      </c>
      <c r="S5952" s="88"/>
      <c r="T5952" s="88"/>
      <c r="U5952" s="88"/>
      <c r="V5952" s="88"/>
      <c r="W5952" s="88"/>
    </row>
    <row r="5953" spans="2:23" s="0" customFormat="0" ht="15">
      <c r="B5953" s="87" t="s">
        <v>1</v>
      </c>
      <c r="C5953" s="88" t="s">
        <v>5259</v>
      </c>
      <c r="D5953" s="88">
        <v>12256073</v>
      </c>
      <c r="E5953" s="88" t="s">
        <v>61</v>
      </c>
      <c r="F5953" s="88">
        <v>0</v>
      </c>
      <c r="G5953" s="78">
        <f>MAX(H5953,I5953,J5953)</f>
        <v>1</v>
      </c>
      <c r="H5953" s="88"/>
      <c r="I5953" s="88"/>
      <c r="J5953" s="78">
        <f>MAX(K5953:Q5953)</f>
        <v>1</v>
      </c>
      <c r="K5953" s="88">
        <v>1</v>
      </c>
      <c r="L5953" s="88"/>
      <c r="M5953" s="88"/>
      <c r="N5953" s="88"/>
      <c r="O5953" s="88"/>
      <c r="P5953" s="88"/>
      <c r="Q5953" s="88"/>
      <c r="R5953" s="78">
        <f>MAX(S5953:W5953)</f>
        <v>0</v>
      </c>
      <c r="S5953" s="88"/>
      <c r="T5953" s="88"/>
      <c r="U5953" s="88"/>
      <c r="V5953" s="88"/>
      <c r="W5953" s="88"/>
    </row>
    <row r="5954" spans="2:23" s="0" customFormat="0" ht="15">
      <c r="B5954" s="87" t="s">
        <v>1</v>
      </c>
      <c r="C5954" s="88" t="s">
        <v>5259</v>
      </c>
      <c r="D5954" s="88" t="s">
        <v>4055</v>
      </c>
      <c r="E5954" s="88" t="s">
        <v>61</v>
      </c>
      <c r="F5954" s="88">
        <v>0</v>
      </c>
      <c r="G5954" s="78">
        <f>MAX(H5954,I5954,J5954)</f>
        <v>0</v>
      </c>
      <c r="H5954" s="88"/>
      <c r="I5954" s="88"/>
      <c r="J5954" s="78">
        <f>MAX(K5954:Q5954)</f>
        <v>0</v>
      </c>
      <c r="K5954" s="88"/>
      <c r="L5954" s="88"/>
      <c r="M5954" s="88"/>
      <c r="N5954" s="88"/>
      <c r="O5954" s="88"/>
      <c r="P5954" s="88"/>
      <c r="Q5954" s="88"/>
      <c r="R5954" s="78">
        <f>MAX(S5954:W5954)</f>
        <v>1</v>
      </c>
      <c r="S5954" s="88"/>
      <c r="T5954" s="88"/>
      <c r="U5954" s="88">
        <v>1</v>
      </c>
      <c r="V5954" s="88"/>
      <c r="W5954" s="88"/>
    </row>
    <row r="5955" spans="2:23" s="0" customFormat="0" ht="15">
      <c r="B5955" s="87" t="s">
        <v>1</v>
      </c>
      <c r="C5955" s="88" t="s">
        <v>5259</v>
      </c>
      <c r="D5955" s="88" t="s">
        <v>990</v>
      </c>
      <c r="E5955" s="88" t="s">
        <v>61</v>
      </c>
      <c r="F5955" s="88">
        <v>0</v>
      </c>
      <c r="G5955" s="78">
        <f>MAX(H5955,I5955,J5955)</f>
        <v>1</v>
      </c>
      <c r="H5955" s="88"/>
      <c r="I5955" s="88"/>
      <c r="J5955" s="78">
        <f>MAX(K5955:Q5955)</f>
        <v>1</v>
      </c>
      <c r="K5955" s="88">
        <v>1</v>
      </c>
      <c r="L5955" s="88"/>
      <c r="M5955" s="88"/>
      <c r="N5955" s="88"/>
      <c r="O5955" s="88"/>
      <c r="P5955" s="88"/>
      <c r="Q5955" s="88"/>
      <c r="R5955" s="78">
        <f>MAX(S5955:W5955)</f>
        <v>0</v>
      </c>
      <c r="S5955" s="88"/>
      <c r="T5955" s="88"/>
      <c r="U5955" s="88"/>
      <c r="V5955" s="88"/>
      <c r="W5955" s="88"/>
    </row>
    <row r="5956" spans="2:23" s="0" customFormat="0" ht="15">
      <c r="B5956" s="87" t="s">
        <v>1</v>
      </c>
      <c r="C5956" s="88" t="s">
        <v>5259</v>
      </c>
      <c r="D5956" s="88">
        <v>17985727</v>
      </c>
      <c r="E5956" s="88" t="s">
        <v>61</v>
      </c>
      <c r="F5956" s="88">
        <v>0</v>
      </c>
      <c r="G5956" s="78">
        <f>MAX(H5956,I5956,J5956)</f>
        <v>1</v>
      </c>
      <c r="H5956" s="88"/>
      <c r="I5956" s="88"/>
      <c r="J5956" s="78">
        <f>MAX(K5956:Q5956)</f>
        <v>1</v>
      </c>
      <c r="K5956" s="88">
        <v>1</v>
      </c>
      <c r="L5956" s="88"/>
      <c r="M5956" s="88"/>
      <c r="N5956" s="88"/>
      <c r="O5956" s="88"/>
      <c r="P5956" s="88"/>
      <c r="Q5956" s="88"/>
      <c r="R5956" s="78">
        <f>MAX(S5956:W5956)</f>
        <v>0</v>
      </c>
      <c r="S5956" s="88"/>
      <c r="T5956" s="88"/>
      <c r="U5956" s="88"/>
      <c r="V5956" s="88"/>
      <c r="W5956" s="88"/>
    </row>
    <row r="5957" spans="2:23" s="0" customFormat="0" ht="15">
      <c r="B5957" s="87" t="s">
        <v>1</v>
      </c>
      <c r="C5957" s="88" t="s">
        <v>5259</v>
      </c>
      <c r="D5957" s="88">
        <v>24359615</v>
      </c>
      <c r="E5957" s="88" t="s">
        <v>61</v>
      </c>
      <c r="F5957" s="88">
        <v>0</v>
      </c>
      <c r="G5957" s="78">
        <f>MAX(H5957,I5957,J5957)</f>
        <v>1</v>
      </c>
      <c r="H5957" s="88"/>
      <c r="I5957" s="88"/>
      <c r="J5957" s="78">
        <f>MAX(K5957:Q5957)</f>
        <v>1</v>
      </c>
      <c r="K5957" s="88">
        <v>1</v>
      </c>
      <c r="L5957" s="88"/>
      <c r="M5957" s="88"/>
      <c r="N5957" s="88"/>
      <c r="O5957" s="88"/>
      <c r="P5957" s="88"/>
      <c r="Q5957" s="88"/>
      <c r="R5957" s="78">
        <f>MAX(S5957:W5957)</f>
        <v>0</v>
      </c>
      <c r="S5957" s="88"/>
      <c r="T5957" s="88"/>
      <c r="U5957" s="88"/>
      <c r="V5957" s="88"/>
      <c r="W5957" s="88"/>
    </row>
    <row r="5958" spans="2:23" s="0" customFormat="0" ht="15">
      <c r="B5958" s="87" t="s">
        <v>1</v>
      </c>
      <c r="C5958" s="88" t="s">
        <v>5259</v>
      </c>
      <c r="D5958" s="88" t="s">
        <v>4853</v>
      </c>
      <c r="E5958" s="88" t="s">
        <v>61</v>
      </c>
      <c r="F5958" s="88">
        <v>0</v>
      </c>
      <c r="G5958" s="78">
        <f>MAX(H5958,I5958,J5958)</f>
        <v>0</v>
      </c>
      <c r="H5958" s="88"/>
      <c r="I5958" s="88"/>
      <c r="J5958" s="78">
        <f>MAX(K5958:Q5958)</f>
        <v>0</v>
      </c>
      <c r="K5958" s="88"/>
      <c r="L5958" s="88"/>
      <c r="M5958" s="88"/>
      <c r="N5958" s="88"/>
      <c r="O5958" s="88"/>
      <c r="P5958" s="88"/>
      <c r="Q5958" s="88"/>
      <c r="R5958" s="78">
        <f>MAX(S5958:W5958)</f>
        <v>1</v>
      </c>
      <c r="S5958" s="88"/>
      <c r="T5958" s="88"/>
      <c r="U5958" s="88">
        <v>1</v>
      </c>
      <c r="V5958" s="88"/>
      <c r="W5958" s="88"/>
    </row>
    <row r="5959" spans="2:23" s="0" customFormat="0" ht="15">
      <c r="B5959" s="87" t="s">
        <v>1</v>
      </c>
      <c r="C5959" s="88" t="s">
        <v>5259</v>
      </c>
      <c r="D5959" s="88">
        <v>21054753</v>
      </c>
      <c r="E5959" s="88" t="s">
        <v>61</v>
      </c>
      <c r="F5959" s="88">
        <v>0</v>
      </c>
      <c r="G5959" s="78">
        <f>MAX(H5959,I5959,J5959)</f>
        <v>1</v>
      </c>
      <c r="H5959" s="88"/>
      <c r="I5959" s="88"/>
      <c r="J5959" s="78">
        <f>MAX(K5959:Q5959)</f>
        <v>1</v>
      </c>
      <c r="K5959" s="88">
        <v>1</v>
      </c>
      <c r="L5959" s="88"/>
      <c r="M5959" s="88"/>
      <c r="N5959" s="88"/>
      <c r="O5959" s="88"/>
      <c r="P5959" s="88"/>
      <c r="Q5959" s="88"/>
      <c r="R5959" s="78">
        <f>MAX(S5959:W5959)</f>
        <v>0</v>
      </c>
      <c r="S5959" s="88"/>
      <c r="T5959" s="88"/>
      <c r="U5959" s="88"/>
      <c r="V5959" s="88"/>
      <c r="W5959" s="88"/>
    </row>
    <row r="5960" spans="2:23" s="0" customFormat="0" ht="15">
      <c r="B5960" s="87" t="s">
        <v>1</v>
      </c>
      <c r="C5960" s="88" t="s">
        <v>5259</v>
      </c>
      <c r="D5960" s="88">
        <v>24769619</v>
      </c>
      <c r="E5960" s="88" t="s">
        <v>61</v>
      </c>
      <c r="F5960" s="88">
        <v>0</v>
      </c>
      <c r="G5960" s="78">
        <f>MAX(H5960,I5960,J5960)</f>
        <v>1</v>
      </c>
      <c r="H5960" s="88"/>
      <c r="I5960" s="88"/>
      <c r="J5960" s="78">
        <f>MAX(K5960:Q5960)</f>
        <v>1</v>
      </c>
      <c r="K5960" s="88">
        <v>1</v>
      </c>
      <c r="L5960" s="88"/>
      <c r="M5960" s="88"/>
      <c r="N5960" s="88"/>
      <c r="O5960" s="88"/>
      <c r="P5960" s="88"/>
      <c r="Q5960" s="88"/>
      <c r="R5960" s="78">
        <f>MAX(S5960:W5960)</f>
        <v>0</v>
      </c>
      <c r="S5960" s="88"/>
      <c r="T5960" s="88"/>
      <c r="U5960" s="88"/>
      <c r="V5960" s="88"/>
      <c r="W5960" s="88"/>
    </row>
    <row r="5961" spans="2:23" s="0" customFormat="0" ht="15">
      <c r="B5961" s="87" t="s">
        <v>1</v>
      </c>
      <c r="C5961" s="88" t="s">
        <v>5259</v>
      </c>
      <c r="D5961" s="88" t="s">
        <v>4712</v>
      </c>
      <c r="E5961" s="88" t="s">
        <v>61</v>
      </c>
      <c r="F5961" s="88">
        <v>0</v>
      </c>
      <c r="G5961" s="78">
        <f>MAX(H5961,I5961,J5961)</f>
        <v>0</v>
      </c>
      <c r="H5961" s="88"/>
      <c r="I5961" s="88"/>
      <c r="J5961" s="78">
        <f>MAX(K5961:Q5961)</f>
        <v>0</v>
      </c>
      <c r="K5961" s="88"/>
      <c r="L5961" s="88"/>
      <c r="M5961" s="88"/>
      <c r="N5961" s="88"/>
      <c r="O5961" s="88"/>
      <c r="P5961" s="88"/>
      <c r="Q5961" s="88"/>
      <c r="R5961" s="78">
        <f>MAX(S5961:W5961)</f>
        <v>1</v>
      </c>
      <c r="S5961" s="88"/>
      <c r="T5961" s="88"/>
      <c r="U5961" s="88">
        <v>1</v>
      </c>
      <c r="V5961" s="88"/>
      <c r="W5961" s="88"/>
    </row>
    <row r="5962" spans="2:23" s="0" customFormat="0" ht="15">
      <c r="B5962" s="87" t="s">
        <v>1</v>
      </c>
      <c r="C5962" s="88" t="s">
        <v>5259</v>
      </c>
      <c r="D5962" s="88">
        <v>18647860</v>
      </c>
      <c r="E5962" s="88" t="s">
        <v>61</v>
      </c>
      <c r="F5962" s="88">
        <v>0</v>
      </c>
      <c r="G5962" s="78">
        <f>MAX(H5962,I5962,J5962)</f>
        <v>1</v>
      </c>
      <c r="H5962" s="88"/>
      <c r="I5962" s="88"/>
      <c r="J5962" s="78">
        <f>MAX(K5962:Q5962)</f>
        <v>1</v>
      </c>
      <c r="K5962" s="88">
        <v>1</v>
      </c>
      <c r="L5962" s="88"/>
      <c r="M5962" s="88"/>
      <c r="N5962" s="88"/>
      <c r="O5962" s="88"/>
      <c r="P5962" s="88"/>
      <c r="Q5962" s="88"/>
      <c r="R5962" s="78">
        <f>MAX(S5962:W5962)</f>
        <v>0</v>
      </c>
      <c r="S5962" s="88"/>
      <c r="T5962" s="88"/>
      <c r="U5962" s="88"/>
      <c r="V5962" s="88"/>
      <c r="W5962" s="88"/>
    </row>
    <row r="5963" spans="2:23" s="0" customFormat="0" ht="15">
      <c r="B5963" s="87" t="s">
        <v>1</v>
      </c>
      <c r="C5963" s="88" t="s">
        <v>5259</v>
      </c>
      <c r="D5963" s="88" t="s">
        <v>5173</v>
      </c>
      <c r="E5963" s="88" t="s">
        <v>61</v>
      </c>
      <c r="F5963" s="88">
        <v>0</v>
      </c>
      <c r="G5963" s="78">
        <f>MAX(H5963,I5963,J5963)</f>
        <v>0</v>
      </c>
      <c r="H5963" s="88"/>
      <c r="I5963" s="88"/>
      <c r="J5963" s="78">
        <f>MAX(K5963:Q5963)</f>
        <v>0</v>
      </c>
      <c r="K5963" s="88"/>
      <c r="L5963" s="88"/>
      <c r="M5963" s="88"/>
      <c r="N5963" s="88"/>
      <c r="O5963" s="88"/>
      <c r="P5963" s="88"/>
      <c r="Q5963" s="88"/>
      <c r="R5963" s="78">
        <f>MAX(S5963:W5963)</f>
        <v>1</v>
      </c>
      <c r="S5963" s="88"/>
      <c r="T5963" s="88"/>
      <c r="U5963" s="88">
        <v>1</v>
      </c>
      <c r="V5963" s="88"/>
      <c r="W5963" s="88"/>
    </row>
    <row r="5964" spans="2:23" s="0" customFormat="0" ht="15">
      <c r="B5964" s="87" t="s">
        <v>1</v>
      </c>
      <c r="C5964" s="88" t="s">
        <v>5259</v>
      </c>
      <c r="D5964" s="88" t="s">
        <v>1365</v>
      </c>
      <c r="E5964" s="88" t="s">
        <v>61</v>
      </c>
      <c r="F5964" s="88">
        <v>0</v>
      </c>
      <c r="G5964" s="78">
        <f>MAX(H5964,I5964,J5964)</f>
        <v>1</v>
      </c>
      <c r="H5964" s="88"/>
      <c r="I5964" s="88"/>
      <c r="J5964" s="78">
        <f>MAX(K5964:Q5964)</f>
        <v>1</v>
      </c>
      <c r="K5964" s="88">
        <v>1</v>
      </c>
      <c r="L5964" s="88"/>
      <c r="M5964" s="88"/>
      <c r="N5964" s="88"/>
      <c r="O5964" s="88"/>
      <c r="P5964" s="88"/>
      <c r="Q5964" s="88"/>
      <c r="R5964" s="78">
        <f>MAX(S5964:W5964)</f>
        <v>0</v>
      </c>
      <c r="S5964" s="88"/>
      <c r="T5964" s="88"/>
      <c r="U5964" s="88"/>
      <c r="V5964" s="88"/>
      <c r="W5964" s="88"/>
    </row>
    <row r="5965" spans="2:23" s="0" customFormat="0" ht="15">
      <c r="B5965" s="87" t="s">
        <v>1</v>
      </c>
      <c r="C5965" s="88" t="s">
        <v>5259</v>
      </c>
      <c r="D5965" s="88">
        <v>11354555</v>
      </c>
      <c r="E5965" s="88" t="s">
        <v>61</v>
      </c>
      <c r="F5965" s="88">
        <v>0</v>
      </c>
      <c r="G5965" s="78">
        <f>MAX(H5965,I5965,J5965)</f>
        <v>1</v>
      </c>
      <c r="H5965" s="88"/>
      <c r="I5965" s="88"/>
      <c r="J5965" s="78">
        <f>MAX(K5965:Q5965)</f>
        <v>1</v>
      </c>
      <c r="K5965" s="88">
        <v>1</v>
      </c>
      <c r="L5965" s="88"/>
      <c r="M5965" s="88"/>
      <c r="N5965" s="88"/>
      <c r="O5965" s="88"/>
      <c r="P5965" s="88"/>
      <c r="Q5965" s="88"/>
      <c r="R5965" s="78">
        <f>MAX(S5965:W5965)</f>
        <v>0</v>
      </c>
      <c r="S5965" s="88"/>
      <c r="T5965" s="88"/>
      <c r="U5965" s="88"/>
      <c r="V5965" s="88"/>
      <c r="W5965" s="88"/>
    </row>
    <row r="5966" spans="2:23" s="0" customFormat="0" ht="15">
      <c r="B5966" s="87" t="s">
        <v>1</v>
      </c>
      <c r="C5966" s="88" t="s">
        <v>5259</v>
      </c>
      <c r="D5966" s="88">
        <v>13113069</v>
      </c>
      <c r="E5966" s="88" t="s">
        <v>61</v>
      </c>
      <c r="F5966" s="88">
        <v>0</v>
      </c>
      <c r="G5966" s="78">
        <f>MAX(H5966,I5966,J5966)</f>
        <v>1</v>
      </c>
      <c r="H5966" s="88"/>
      <c r="I5966" s="88"/>
      <c r="J5966" s="78">
        <f>MAX(K5966:Q5966)</f>
        <v>1</v>
      </c>
      <c r="K5966" s="88">
        <v>1</v>
      </c>
      <c r="L5966" s="88"/>
      <c r="M5966" s="88"/>
      <c r="N5966" s="88"/>
      <c r="O5966" s="88"/>
      <c r="P5966" s="88"/>
      <c r="Q5966" s="88"/>
      <c r="R5966" s="78">
        <f>MAX(S5966:W5966)</f>
        <v>0</v>
      </c>
      <c r="S5966" s="88"/>
      <c r="T5966" s="88"/>
      <c r="U5966" s="88"/>
      <c r="V5966" s="88"/>
      <c r="W5966" s="88"/>
    </row>
    <row r="5967" spans="2:23" s="0" customFormat="0" ht="15">
      <c r="B5967" s="87" t="s">
        <v>1</v>
      </c>
      <c r="C5967" s="88" t="s">
        <v>5259</v>
      </c>
      <c r="D5967" s="88" t="s">
        <v>3883</v>
      </c>
      <c r="E5967" s="88" t="s">
        <v>61</v>
      </c>
      <c r="F5967" s="88">
        <v>0</v>
      </c>
      <c r="G5967" s="78">
        <f>MAX(H5967,I5967,J5967)</f>
        <v>0</v>
      </c>
      <c r="H5967" s="88"/>
      <c r="I5967" s="88"/>
      <c r="J5967" s="78">
        <f>MAX(K5967:Q5967)</f>
        <v>0</v>
      </c>
      <c r="K5967" s="88"/>
      <c r="L5967" s="88"/>
      <c r="M5967" s="88"/>
      <c r="N5967" s="88"/>
      <c r="O5967" s="88"/>
      <c r="P5967" s="88"/>
      <c r="Q5967" s="88"/>
      <c r="R5967" s="78">
        <f>MAX(S5967:W5967)</f>
        <v>1</v>
      </c>
      <c r="S5967" s="88"/>
      <c r="T5967" s="88"/>
      <c r="U5967" s="88">
        <v>1</v>
      </c>
      <c r="V5967" s="88"/>
      <c r="W5967" s="88"/>
    </row>
    <row r="5968" spans="2:23" s="0" customFormat="0" ht="15">
      <c r="B5968" s="87" t="s">
        <v>1</v>
      </c>
      <c r="C5968" s="88" t="s">
        <v>5259</v>
      </c>
      <c r="D5968" s="88">
        <v>15325609</v>
      </c>
      <c r="E5968" s="88" t="s">
        <v>61</v>
      </c>
      <c r="F5968" s="88">
        <v>0</v>
      </c>
      <c r="G5968" s="78">
        <f>MAX(H5968,I5968,J5968)</f>
        <v>1</v>
      </c>
      <c r="H5968" s="88"/>
      <c r="I5968" s="88"/>
      <c r="J5968" s="78">
        <f>MAX(K5968:Q5968)</f>
        <v>1</v>
      </c>
      <c r="K5968" s="88">
        <v>1</v>
      </c>
      <c r="L5968" s="88"/>
      <c r="M5968" s="88"/>
      <c r="N5968" s="88"/>
      <c r="O5968" s="88"/>
      <c r="P5968" s="88"/>
      <c r="Q5968" s="88"/>
      <c r="R5968" s="78">
        <f>MAX(S5968:W5968)</f>
        <v>0</v>
      </c>
      <c r="S5968" s="88"/>
      <c r="T5968" s="88"/>
      <c r="U5968" s="88"/>
      <c r="V5968" s="88"/>
      <c r="W5968" s="88"/>
    </row>
    <row r="5969" spans="2:23" s="0" customFormat="0" ht="15">
      <c r="B5969" s="87" t="s">
        <v>1</v>
      </c>
      <c r="C5969" s="88" t="s">
        <v>5259</v>
      </c>
      <c r="D5969" s="88" t="s">
        <v>2939</v>
      </c>
      <c r="E5969" s="88" t="s">
        <v>61</v>
      </c>
      <c r="F5969" s="88">
        <v>0</v>
      </c>
      <c r="G5969" s="78">
        <f>MAX(H5969,I5969,J5969)</f>
        <v>1</v>
      </c>
      <c r="H5969" s="88"/>
      <c r="I5969" s="88"/>
      <c r="J5969" s="78">
        <f>MAX(K5969:Q5969)</f>
        <v>1</v>
      </c>
      <c r="K5969" s="88">
        <v>1</v>
      </c>
      <c r="L5969" s="88"/>
      <c r="M5969" s="88"/>
      <c r="N5969" s="88"/>
      <c r="O5969" s="88"/>
      <c r="P5969" s="88"/>
      <c r="Q5969" s="88"/>
      <c r="R5969" s="78">
        <f>MAX(S5969:W5969)</f>
        <v>0</v>
      </c>
      <c r="S5969" s="88"/>
      <c r="T5969" s="88"/>
      <c r="U5969" s="88"/>
      <c r="V5969" s="88"/>
      <c r="W5969" s="88"/>
    </row>
    <row r="5970" spans="2:23" s="0" customFormat="0" ht="15">
      <c r="B5970" s="87" t="s">
        <v>1</v>
      </c>
      <c r="C5970" s="88" t="s">
        <v>5259</v>
      </c>
      <c r="D5970" s="88">
        <v>2290881</v>
      </c>
      <c r="E5970" s="88" t="s">
        <v>61</v>
      </c>
      <c r="F5970" s="88">
        <v>0</v>
      </c>
      <c r="G5970" s="78">
        <f>MAX(H5970,I5970,J5970)</f>
        <v>0</v>
      </c>
      <c r="H5970" s="88"/>
      <c r="I5970" s="88"/>
      <c r="J5970" s="78">
        <f>MAX(K5970:Q5970)</f>
        <v>0</v>
      </c>
      <c r="K5970" s="88"/>
      <c r="L5970" s="88"/>
      <c r="M5970" s="88"/>
      <c r="N5970" s="88"/>
      <c r="O5970" s="88"/>
      <c r="P5970" s="88"/>
      <c r="Q5970" s="88"/>
      <c r="R5970" s="78">
        <f>MAX(S5970:W5970)</f>
        <v>1</v>
      </c>
      <c r="S5970" s="88"/>
      <c r="T5970" s="88"/>
      <c r="U5970" s="88">
        <v>1</v>
      </c>
      <c r="V5970" s="88"/>
      <c r="W5970" s="88"/>
    </row>
    <row r="5971" spans="2:23" s="0" customFormat="0" ht="15">
      <c r="B5971" s="87" t="s">
        <v>1</v>
      </c>
      <c r="C5971" s="88" t="s">
        <v>5259</v>
      </c>
      <c r="D5971" s="88">
        <v>22424958</v>
      </c>
      <c r="E5971" s="88" t="s">
        <v>61</v>
      </c>
      <c r="F5971" s="88">
        <v>0</v>
      </c>
      <c r="G5971" s="78">
        <f>MAX(H5971,I5971,J5971)</f>
        <v>1</v>
      </c>
      <c r="H5971" s="88"/>
      <c r="I5971" s="88"/>
      <c r="J5971" s="78">
        <f>MAX(K5971:Q5971)</f>
        <v>1</v>
      </c>
      <c r="K5971" s="88">
        <v>1</v>
      </c>
      <c r="L5971" s="88"/>
      <c r="M5971" s="88"/>
      <c r="N5971" s="88"/>
      <c r="O5971" s="88"/>
      <c r="P5971" s="88"/>
      <c r="Q5971" s="88"/>
      <c r="R5971" s="78">
        <f>MAX(S5971:W5971)</f>
        <v>0</v>
      </c>
      <c r="S5971" s="88"/>
      <c r="T5971" s="88"/>
      <c r="U5971" s="88"/>
      <c r="V5971" s="88"/>
      <c r="W5971" s="88"/>
    </row>
    <row r="5972" spans="2:23" s="0" customFormat="0" ht="15">
      <c r="B5972" s="87" t="s">
        <v>1</v>
      </c>
      <c r="C5972" s="88" t="s">
        <v>5259</v>
      </c>
      <c r="D5972" s="88">
        <v>17050704</v>
      </c>
      <c r="E5972" s="88" t="s">
        <v>61</v>
      </c>
      <c r="F5972" s="88">
        <v>0</v>
      </c>
      <c r="G5972" s="78">
        <f>MAX(H5972,I5972,J5972)</f>
        <v>1</v>
      </c>
      <c r="H5972" s="88"/>
      <c r="I5972" s="88"/>
      <c r="J5972" s="78">
        <f>MAX(K5972:Q5972)</f>
        <v>1</v>
      </c>
      <c r="K5972" s="88">
        <v>1</v>
      </c>
      <c r="L5972" s="88"/>
      <c r="M5972" s="88"/>
      <c r="N5972" s="88"/>
      <c r="O5972" s="88"/>
      <c r="P5972" s="88"/>
      <c r="Q5972" s="88"/>
      <c r="R5972" s="78">
        <f>MAX(S5972:W5972)</f>
        <v>0</v>
      </c>
      <c r="S5972" s="88"/>
      <c r="T5972" s="88"/>
      <c r="U5972" s="88"/>
      <c r="V5972" s="88"/>
      <c r="W5972" s="88"/>
    </row>
    <row r="5973" spans="2:23" s="0" customFormat="0" ht="15">
      <c r="B5973" s="87" t="s">
        <v>1</v>
      </c>
      <c r="C5973" s="88" t="s">
        <v>5259</v>
      </c>
      <c r="D5973" s="88" t="s">
        <v>463</v>
      </c>
      <c r="E5973" s="88" t="s">
        <v>61</v>
      </c>
      <c r="F5973" s="88">
        <v>0</v>
      </c>
      <c r="G5973" s="78">
        <f>MAX(H5973,I5973,J5973)</f>
        <v>1</v>
      </c>
      <c r="H5973" s="88"/>
      <c r="I5973" s="88"/>
      <c r="J5973" s="78">
        <f>MAX(K5973:Q5973)</f>
        <v>1</v>
      </c>
      <c r="K5973" s="88">
        <v>1</v>
      </c>
      <c r="L5973" s="88"/>
      <c r="M5973" s="88"/>
      <c r="N5973" s="88"/>
      <c r="O5973" s="88"/>
      <c r="P5973" s="88"/>
      <c r="Q5973" s="88"/>
      <c r="R5973" s="78">
        <f>MAX(S5973:W5973)</f>
        <v>0</v>
      </c>
      <c r="S5973" s="88"/>
      <c r="T5973" s="88"/>
      <c r="U5973" s="88"/>
      <c r="V5973" s="88"/>
      <c r="W5973" s="88"/>
    </row>
    <row r="5974" spans="2:23" s="0" customFormat="0" ht="15">
      <c r="B5974" s="87" t="s">
        <v>1</v>
      </c>
      <c r="C5974" s="88" t="s">
        <v>5259</v>
      </c>
      <c r="D5974" s="88">
        <v>16973990</v>
      </c>
      <c r="E5974" s="88" t="s">
        <v>61</v>
      </c>
      <c r="F5974" s="88">
        <v>0</v>
      </c>
      <c r="G5974" s="78">
        <f>MAX(H5974,I5974,J5974)</f>
        <v>1</v>
      </c>
      <c r="H5974" s="88"/>
      <c r="I5974" s="88"/>
      <c r="J5974" s="78">
        <f>MAX(K5974:Q5974)</f>
        <v>1</v>
      </c>
      <c r="K5974" s="88"/>
      <c r="L5974" s="88"/>
      <c r="M5974" s="88"/>
      <c r="N5974" s="88"/>
      <c r="O5974" s="88"/>
      <c r="P5974" s="88">
        <v>1</v>
      </c>
      <c r="Q5974" s="88"/>
      <c r="R5974" s="78">
        <f>MAX(S5974:W5974)</f>
        <v>0</v>
      </c>
      <c r="S5974" s="88"/>
      <c r="T5974" s="88"/>
      <c r="U5974" s="88"/>
      <c r="V5974" s="88"/>
      <c r="W5974" s="88"/>
    </row>
    <row r="5975" spans="2:23" s="0" customFormat="0" ht="15">
      <c r="B5975" s="87" t="s">
        <v>1</v>
      </c>
      <c r="C5975" s="88" t="s">
        <v>5259</v>
      </c>
      <c r="D5975" s="88">
        <v>1551571</v>
      </c>
      <c r="E5975" s="88" t="s">
        <v>61</v>
      </c>
      <c r="F5975" s="88">
        <v>0</v>
      </c>
      <c r="G5975" s="78">
        <f>MAX(H5975,I5975,J5975)</f>
        <v>0</v>
      </c>
      <c r="H5975" s="88"/>
      <c r="I5975" s="88"/>
      <c r="J5975" s="78">
        <f>MAX(K5975:Q5975)</f>
        <v>0</v>
      </c>
      <c r="K5975" s="88"/>
      <c r="L5975" s="88"/>
      <c r="M5975" s="88"/>
      <c r="N5975" s="88"/>
      <c r="O5975" s="88"/>
      <c r="P5975" s="88"/>
      <c r="Q5975" s="88"/>
      <c r="R5975" s="78">
        <f>MAX(S5975:W5975)</f>
        <v>1</v>
      </c>
      <c r="S5975" s="88"/>
      <c r="T5975" s="88"/>
      <c r="U5975" s="88">
        <v>1</v>
      </c>
      <c r="V5975" s="88"/>
      <c r="W5975" s="88"/>
    </row>
    <row r="5976" spans="2:23" s="0" customFormat="0" ht="15">
      <c r="B5976" s="87" t="s">
        <v>1</v>
      </c>
      <c r="C5976" s="88" t="s">
        <v>5259</v>
      </c>
      <c r="D5976" s="88">
        <v>8513859</v>
      </c>
      <c r="E5976" s="88" t="s">
        <v>61</v>
      </c>
      <c r="F5976" s="88">
        <v>0</v>
      </c>
      <c r="G5976" s="78">
        <f>MAX(H5976,I5976,J5976)</f>
        <v>1</v>
      </c>
      <c r="H5976" s="88"/>
      <c r="I5976" s="88"/>
      <c r="J5976" s="78">
        <f>MAX(K5976:Q5976)</f>
        <v>1</v>
      </c>
      <c r="K5976" s="88">
        <v>1</v>
      </c>
      <c r="L5976" s="88"/>
      <c r="M5976" s="88"/>
      <c r="N5976" s="88"/>
      <c r="O5976" s="88"/>
      <c r="P5976" s="88"/>
      <c r="Q5976" s="88"/>
      <c r="R5976" s="78">
        <f>MAX(S5976:W5976)</f>
        <v>0</v>
      </c>
      <c r="S5976" s="88"/>
      <c r="T5976" s="88"/>
      <c r="U5976" s="88"/>
      <c r="V5976" s="88"/>
      <c r="W5976" s="88"/>
    </row>
    <row r="5977" spans="2:23" s="0" customFormat="0" ht="15">
      <c r="B5977" s="87" t="s">
        <v>1</v>
      </c>
      <c r="C5977" s="88" t="s">
        <v>5259</v>
      </c>
      <c r="D5977" s="88">
        <v>24453175</v>
      </c>
      <c r="E5977" s="88" t="s">
        <v>61</v>
      </c>
      <c r="F5977" s="88">
        <v>0</v>
      </c>
      <c r="G5977" s="78">
        <f>MAX(H5977,I5977,J5977)</f>
        <v>1</v>
      </c>
      <c r="H5977" s="88"/>
      <c r="I5977" s="88"/>
      <c r="J5977" s="78">
        <f>MAX(K5977:Q5977)</f>
        <v>1</v>
      </c>
      <c r="K5977" s="88">
        <v>1</v>
      </c>
      <c r="L5977" s="88"/>
      <c r="M5977" s="88"/>
      <c r="N5977" s="88"/>
      <c r="O5977" s="88"/>
      <c r="P5977" s="88"/>
      <c r="Q5977" s="88"/>
      <c r="R5977" s="78">
        <f>MAX(S5977:W5977)</f>
        <v>0</v>
      </c>
      <c r="S5977" s="88"/>
      <c r="T5977" s="88"/>
      <c r="U5977" s="88"/>
      <c r="V5977" s="88"/>
      <c r="W5977" s="88"/>
    </row>
    <row r="5978" spans="2:23" s="0" customFormat="0" ht="15">
      <c r="B5978" s="87" t="s">
        <v>1</v>
      </c>
      <c r="C5978" s="88" t="s">
        <v>5259</v>
      </c>
      <c r="D5978" s="88">
        <v>7852994</v>
      </c>
      <c r="E5978" s="88" t="s">
        <v>61</v>
      </c>
      <c r="F5978" s="88">
        <v>0</v>
      </c>
      <c r="G5978" s="78">
        <f>MAX(H5978,I5978,J5978)</f>
        <v>1</v>
      </c>
      <c r="H5978" s="88"/>
      <c r="I5978" s="88"/>
      <c r="J5978" s="78">
        <f>MAX(K5978:Q5978)</f>
        <v>1</v>
      </c>
      <c r="K5978" s="88">
        <v>1</v>
      </c>
      <c r="L5978" s="88"/>
      <c r="M5978" s="88"/>
      <c r="N5978" s="88"/>
      <c r="O5978" s="88"/>
      <c r="P5978" s="88"/>
      <c r="Q5978" s="88"/>
      <c r="R5978" s="78">
        <f>MAX(S5978:W5978)</f>
        <v>0</v>
      </c>
      <c r="S5978" s="88"/>
      <c r="T5978" s="88"/>
      <c r="U5978" s="88"/>
      <c r="V5978" s="88"/>
      <c r="W5978" s="88"/>
    </row>
    <row r="5979" spans="2:23" s="0" customFormat="0" ht="15">
      <c r="B5979" s="87" t="s">
        <v>1</v>
      </c>
      <c r="C5979" s="88" t="s">
        <v>5259</v>
      </c>
      <c r="D5979" s="88" t="s">
        <v>2650</v>
      </c>
      <c r="E5979" s="88" t="s">
        <v>61</v>
      </c>
      <c r="F5979" s="88">
        <v>0</v>
      </c>
      <c r="G5979" s="78">
        <f>MAX(H5979,I5979,J5979)</f>
        <v>1</v>
      </c>
      <c r="H5979" s="88"/>
      <c r="I5979" s="88"/>
      <c r="J5979" s="78">
        <f>MAX(K5979:Q5979)</f>
        <v>1</v>
      </c>
      <c r="K5979" s="88">
        <v>1</v>
      </c>
      <c r="L5979" s="88"/>
      <c r="M5979" s="88"/>
      <c r="N5979" s="88"/>
      <c r="O5979" s="88"/>
      <c r="P5979" s="88"/>
      <c r="Q5979" s="88"/>
      <c r="R5979" s="78">
        <f>MAX(S5979:W5979)</f>
        <v>0</v>
      </c>
      <c r="S5979" s="88"/>
      <c r="T5979" s="88"/>
      <c r="U5979" s="88"/>
      <c r="V5979" s="88"/>
      <c r="W5979" s="88"/>
    </row>
    <row r="5980" spans="2:23" s="0" customFormat="0" ht="15">
      <c r="B5980" s="87" t="s">
        <v>1</v>
      </c>
      <c r="C5980" s="88" t="s">
        <v>5259</v>
      </c>
      <c r="D5980" s="88">
        <v>11813146</v>
      </c>
      <c r="E5980" s="88" t="s">
        <v>61</v>
      </c>
      <c r="F5980" s="88">
        <v>0</v>
      </c>
      <c r="G5980" s="78">
        <f>MAX(H5980,I5980,J5980)</f>
        <v>1</v>
      </c>
      <c r="H5980" s="88"/>
      <c r="I5980" s="88"/>
      <c r="J5980" s="78">
        <f>MAX(K5980:Q5980)</f>
        <v>1</v>
      </c>
      <c r="K5980" s="88">
        <v>1</v>
      </c>
      <c r="L5980" s="88"/>
      <c r="M5980" s="88"/>
      <c r="N5980" s="88"/>
      <c r="O5980" s="88"/>
      <c r="P5980" s="88"/>
      <c r="Q5980" s="88"/>
      <c r="R5980" s="78">
        <f>MAX(S5980:W5980)</f>
        <v>0</v>
      </c>
      <c r="S5980" s="88"/>
      <c r="T5980" s="88"/>
      <c r="U5980" s="88"/>
      <c r="V5980" s="88"/>
      <c r="W5980" s="88"/>
    </row>
    <row r="5981" spans="2:23" s="0" customFormat="0" ht="15">
      <c r="B5981" s="87" t="s">
        <v>1</v>
      </c>
      <c r="C5981" s="88" t="s">
        <v>5259</v>
      </c>
      <c r="D5981" s="88">
        <v>14418869</v>
      </c>
      <c r="E5981" s="88" t="s">
        <v>61</v>
      </c>
      <c r="F5981" s="88">
        <v>0</v>
      </c>
      <c r="G5981" s="78">
        <f>MAX(H5981,I5981,J5981)</f>
        <v>1</v>
      </c>
      <c r="H5981" s="88"/>
      <c r="I5981" s="88"/>
      <c r="J5981" s="78">
        <f>MAX(K5981:Q5981)</f>
        <v>1</v>
      </c>
      <c r="K5981" s="88">
        <v>1</v>
      </c>
      <c r="L5981" s="88"/>
      <c r="M5981" s="88"/>
      <c r="N5981" s="88"/>
      <c r="O5981" s="88"/>
      <c r="P5981" s="88"/>
      <c r="Q5981" s="88"/>
      <c r="R5981" s="78">
        <f>MAX(S5981:W5981)</f>
        <v>0</v>
      </c>
      <c r="S5981" s="88"/>
      <c r="T5981" s="88"/>
      <c r="U5981" s="88"/>
      <c r="V5981" s="88"/>
      <c r="W5981" s="88"/>
    </row>
    <row r="5982" spans="2:23" s="0" customFormat="0" ht="15">
      <c r="B5982" s="87" t="s">
        <v>1</v>
      </c>
      <c r="C5982" s="88" t="s">
        <v>5259</v>
      </c>
      <c r="D5982" s="88">
        <v>24735912</v>
      </c>
      <c r="E5982" s="88" t="s">
        <v>61</v>
      </c>
      <c r="F5982" s="88">
        <v>0</v>
      </c>
      <c r="G5982" s="78">
        <f>MAX(H5982,I5982,J5982)</f>
        <v>1</v>
      </c>
      <c r="H5982" s="88"/>
      <c r="I5982" s="88"/>
      <c r="J5982" s="78">
        <f>MAX(K5982:Q5982)</f>
        <v>1</v>
      </c>
      <c r="K5982" s="88">
        <v>1</v>
      </c>
      <c r="L5982" s="88"/>
      <c r="M5982" s="88"/>
      <c r="N5982" s="88"/>
      <c r="O5982" s="88"/>
      <c r="P5982" s="88"/>
      <c r="Q5982" s="88"/>
      <c r="R5982" s="78">
        <f>MAX(S5982:W5982)</f>
        <v>0</v>
      </c>
      <c r="S5982" s="88"/>
      <c r="T5982" s="88"/>
      <c r="U5982" s="88"/>
      <c r="V5982" s="88"/>
      <c r="W5982" s="88"/>
    </row>
    <row r="5983" spans="2:23" s="0" customFormat="0" ht="15">
      <c r="B5983" s="87" t="s">
        <v>1</v>
      </c>
      <c r="C5983" s="88" t="s">
        <v>5259</v>
      </c>
      <c r="D5983" s="88" t="s">
        <v>3401</v>
      </c>
      <c r="E5983" s="88" t="s">
        <v>61</v>
      </c>
      <c r="F5983" s="88">
        <v>0</v>
      </c>
      <c r="G5983" s="78">
        <f>MAX(H5983,I5983,J5983)</f>
        <v>0</v>
      </c>
      <c r="H5983" s="88"/>
      <c r="I5983" s="88"/>
      <c r="J5983" s="78">
        <f>MAX(K5983:Q5983)</f>
        <v>0</v>
      </c>
      <c r="K5983" s="88"/>
      <c r="L5983" s="88"/>
      <c r="M5983" s="88"/>
      <c r="N5983" s="88"/>
      <c r="O5983" s="88"/>
      <c r="P5983" s="88"/>
      <c r="Q5983" s="88"/>
      <c r="R5983" s="78">
        <f>MAX(S5983:W5983)</f>
        <v>1</v>
      </c>
      <c r="S5983" s="88"/>
      <c r="T5983" s="88"/>
      <c r="U5983" s="88">
        <v>1</v>
      </c>
      <c r="V5983" s="88"/>
      <c r="W5983" s="88"/>
    </row>
    <row r="5984" spans="2:23" s="0" customFormat="0" ht="15">
      <c r="B5984" s="87" t="s">
        <v>1</v>
      </c>
      <c r="C5984" s="88" t="s">
        <v>5259</v>
      </c>
      <c r="D5984" s="88" t="s">
        <v>1046</v>
      </c>
      <c r="E5984" s="88" t="s">
        <v>61</v>
      </c>
      <c r="F5984" s="88">
        <v>0</v>
      </c>
      <c r="G5984" s="78">
        <f>MAX(H5984,I5984,J5984)</f>
        <v>1</v>
      </c>
      <c r="H5984" s="88"/>
      <c r="I5984" s="88"/>
      <c r="J5984" s="78">
        <f>MAX(K5984:Q5984)</f>
        <v>1</v>
      </c>
      <c r="K5984" s="88">
        <v>1</v>
      </c>
      <c r="L5984" s="88"/>
      <c r="M5984" s="88"/>
      <c r="N5984" s="88"/>
      <c r="O5984" s="88"/>
      <c r="P5984" s="88"/>
      <c r="Q5984" s="88"/>
      <c r="R5984" s="78">
        <f>MAX(S5984:W5984)</f>
        <v>0</v>
      </c>
      <c r="S5984" s="88"/>
      <c r="T5984" s="88"/>
      <c r="U5984" s="88"/>
      <c r="V5984" s="88"/>
      <c r="W5984" s="88"/>
    </row>
    <row r="5985" spans="2:23" s="0" customFormat="0" ht="15">
      <c r="B5985" s="87" t="s">
        <v>1</v>
      </c>
      <c r="C5985" s="88" t="s">
        <v>5259</v>
      </c>
      <c r="D5985" s="88" t="s">
        <v>5162</v>
      </c>
      <c r="E5985" s="88" t="s">
        <v>61</v>
      </c>
      <c r="F5985" s="88">
        <v>0</v>
      </c>
      <c r="G5985" s="78">
        <f>MAX(H5985,I5985,J5985)</f>
        <v>0</v>
      </c>
      <c r="H5985" s="88"/>
      <c r="I5985" s="88"/>
      <c r="J5985" s="78">
        <f>MAX(K5985:Q5985)</f>
        <v>0</v>
      </c>
      <c r="K5985" s="88"/>
      <c r="L5985" s="88"/>
      <c r="M5985" s="88"/>
      <c r="N5985" s="88"/>
      <c r="O5985" s="88"/>
      <c r="P5985" s="88"/>
      <c r="Q5985" s="88"/>
      <c r="R5985" s="78">
        <f>MAX(S5985:W5985)</f>
        <v>1</v>
      </c>
      <c r="S5985" s="88"/>
      <c r="T5985" s="88"/>
      <c r="U5985" s="88">
        <v>1</v>
      </c>
      <c r="V5985" s="88"/>
      <c r="W5985" s="88"/>
    </row>
    <row r="5986" spans="2:23" s="0" customFormat="0" ht="15">
      <c r="B5986" s="87" t="s">
        <v>1</v>
      </c>
      <c r="C5986" s="88" t="s">
        <v>5259</v>
      </c>
      <c r="D5986" s="88">
        <v>16974742</v>
      </c>
      <c r="E5986" s="88" t="s">
        <v>61</v>
      </c>
      <c r="F5986" s="88">
        <v>0</v>
      </c>
      <c r="G5986" s="78">
        <f>MAX(H5986,I5986,J5986)</f>
        <v>0</v>
      </c>
      <c r="H5986" s="88"/>
      <c r="I5986" s="88"/>
      <c r="J5986" s="78">
        <f>MAX(K5986:Q5986)</f>
        <v>0</v>
      </c>
      <c r="K5986" s="88"/>
      <c r="L5986" s="88"/>
      <c r="M5986" s="88"/>
      <c r="N5986" s="88"/>
      <c r="O5986" s="88"/>
      <c r="P5986" s="88"/>
      <c r="Q5986" s="88"/>
      <c r="R5986" s="78">
        <f>MAX(S5986:W5986)</f>
        <v>1</v>
      </c>
      <c r="S5986" s="88"/>
      <c r="T5986" s="88"/>
      <c r="U5986" s="88">
        <v>1</v>
      </c>
      <c r="V5986" s="88"/>
      <c r="W5986" s="88"/>
    </row>
    <row r="5987" spans="2:23" s="0" customFormat="0" ht="15">
      <c r="B5987" s="87" t="s">
        <v>1</v>
      </c>
      <c r="C5987" s="88" t="s">
        <v>5259</v>
      </c>
      <c r="D5987" s="88" t="s">
        <v>2373</v>
      </c>
      <c r="E5987" s="88" t="s">
        <v>61</v>
      </c>
      <c r="F5987" s="88">
        <v>0</v>
      </c>
      <c r="G5987" s="78">
        <f>MAX(H5987,I5987,J5987)</f>
        <v>1</v>
      </c>
      <c r="H5987" s="88"/>
      <c r="I5987" s="88"/>
      <c r="J5987" s="78">
        <f>MAX(K5987:Q5987)</f>
        <v>1</v>
      </c>
      <c r="K5987" s="88">
        <v>1</v>
      </c>
      <c r="L5987" s="88"/>
      <c r="M5987" s="88"/>
      <c r="N5987" s="88"/>
      <c r="O5987" s="88"/>
      <c r="P5987" s="88"/>
      <c r="Q5987" s="88"/>
      <c r="R5987" s="78">
        <f>MAX(S5987:W5987)</f>
        <v>0</v>
      </c>
      <c r="S5987" s="88"/>
      <c r="T5987" s="88"/>
      <c r="U5987" s="88"/>
      <c r="V5987" s="88"/>
      <c r="W5987" s="88"/>
    </row>
    <row r="5988" spans="2:23" s="0" customFormat="0" ht="15">
      <c r="B5988" s="87" t="s">
        <v>1</v>
      </c>
      <c r="C5988" s="88" t="s">
        <v>5259</v>
      </c>
      <c r="D5988" s="88" t="s">
        <v>1399</v>
      </c>
      <c r="E5988" s="88" t="s">
        <v>61</v>
      </c>
      <c r="F5988" s="88">
        <v>0</v>
      </c>
      <c r="G5988" s="78">
        <f>MAX(H5988,I5988,J5988)</f>
        <v>1</v>
      </c>
      <c r="H5988" s="88"/>
      <c r="I5988" s="88"/>
      <c r="J5988" s="78">
        <f>MAX(K5988:Q5988)</f>
        <v>1</v>
      </c>
      <c r="K5988" s="88">
        <v>1</v>
      </c>
      <c r="L5988" s="88"/>
      <c r="M5988" s="88"/>
      <c r="N5988" s="88"/>
      <c r="O5988" s="88"/>
      <c r="P5988" s="88"/>
      <c r="Q5988" s="88"/>
      <c r="R5988" s="78">
        <f>MAX(S5988:W5988)</f>
        <v>0</v>
      </c>
      <c r="S5988" s="88"/>
      <c r="T5988" s="88"/>
      <c r="U5988" s="88"/>
      <c r="V5988" s="88"/>
      <c r="W5988" s="88"/>
    </row>
    <row r="5989" spans="2:23" s="0" customFormat="0" ht="15">
      <c r="B5989" s="87" t="s">
        <v>1</v>
      </c>
      <c r="C5989" s="88" t="s">
        <v>5259</v>
      </c>
      <c r="D5989" s="88">
        <v>6542693</v>
      </c>
      <c r="E5989" s="88" t="s">
        <v>61</v>
      </c>
      <c r="F5989" s="88">
        <v>0</v>
      </c>
      <c r="G5989" s="78">
        <f>MAX(H5989,I5989,J5989)</f>
        <v>1</v>
      </c>
      <c r="H5989" s="88"/>
      <c r="I5989" s="88"/>
      <c r="J5989" s="78">
        <f>MAX(K5989:Q5989)</f>
        <v>1</v>
      </c>
      <c r="K5989" s="88">
        <v>1</v>
      </c>
      <c r="L5989" s="88"/>
      <c r="M5989" s="88"/>
      <c r="N5989" s="88"/>
      <c r="O5989" s="88"/>
      <c r="P5989" s="88"/>
      <c r="Q5989" s="88"/>
      <c r="R5989" s="78">
        <f>MAX(S5989:W5989)</f>
        <v>0</v>
      </c>
      <c r="S5989" s="88"/>
      <c r="T5989" s="88"/>
      <c r="U5989" s="88"/>
      <c r="V5989" s="88"/>
      <c r="W5989" s="88"/>
    </row>
    <row r="5990" spans="2:23" s="0" customFormat="0" ht="15">
      <c r="B5990" s="87" t="s">
        <v>1</v>
      </c>
      <c r="C5990" s="88" t="s">
        <v>5259</v>
      </c>
      <c r="D5990" s="88" t="s">
        <v>5130</v>
      </c>
      <c r="E5990" s="88" t="s">
        <v>61</v>
      </c>
      <c r="F5990" s="88">
        <v>0</v>
      </c>
      <c r="G5990" s="78">
        <f>MAX(H5990,I5990,J5990)</f>
        <v>0</v>
      </c>
      <c r="H5990" s="88"/>
      <c r="I5990" s="88"/>
      <c r="J5990" s="78">
        <f>MAX(K5990:Q5990)</f>
        <v>0</v>
      </c>
      <c r="K5990" s="88"/>
      <c r="L5990" s="88"/>
      <c r="M5990" s="88"/>
      <c r="N5990" s="88"/>
      <c r="O5990" s="88"/>
      <c r="P5990" s="88"/>
      <c r="Q5990" s="88"/>
      <c r="R5990" s="78">
        <f>MAX(S5990:W5990)</f>
        <v>1</v>
      </c>
      <c r="S5990" s="88"/>
      <c r="T5990" s="88"/>
      <c r="U5990" s="88">
        <v>1</v>
      </c>
      <c r="V5990" s="88"/>
      <c r="W5990" s="88"/>
    </row>
    <row r="5991" spans="2:23" s="0" customFormat="0" ht="15">
      <c r="B5991" s="87" t="s">
        <v>1</v>
      </c>
      <c r="C5991" s="88" t="s">
        <v>5259</v>
      </c>
      <c r="D5991" s="88">
        <v>19216269</v>
      </c>
      <c r="E5991" s="88" t="s">
        <v>61</v>
      </c>
      <c r="F5991" s="88">
        <v>0</v>
      </c>
      <c r="G5991" s="78">
        <f>MAX(H5991,I5991,J5991)</f>
        <v>0</v>
      </c>
      <c r="H5991" s="88"/>
      <c r="I5991" s="88"/>
      <c r="J5991" s="78">
        <f>MAX(K5991:Q5991)</f>
        <v>0</v>
      </c>
      <c r="K5991" s="88"/>
      <c r="L5991" s="88"/>
      <c r="M5991" s="88"/>
      <c r="N5991" s="88"/>
      <c r="O5991" s="88"/>
      <c r="P5991" s="88"/>
      <c r="Q5991" s="88"/>
      <c r="R5991" s="78">
        <f>MAX(S5991:W5991)</f>
        <v>1</v>
      </c>
      <c r="S5991" s="88"/>
      <c r="T5991" s="88"/>
      <c r="U5991" s="88">
        <v>1</v>
      </c>
      <c r="V5991" s="88"/>
      <c r="W5991" s="88"/>
    </row>
    <row r="5992" spans="2:23" s="0" customFormat="0" ht="15">
      <c r="B5992" s="87" t="s">
        <v>1</v>
      </c>
      <c r="C5992" s="88" t="s">
        <v>5259</v>
      </c>
      <c r="D5992" s="88">
        <v>17753274</v>
      </c>
      <c r="E5992" s="88" t="s">
        <v>61</v>
      </c>
      <c r="F5992" s="88">
        <v>0</v>
      </c>
      <c r="G5992" s="78">
        <f>MAX(H5992,I5992,J5992)</f>
        <v>1</v>
      </c>
      <c r="H5992" s="88"/>
      <c r="I5992" s="88"/>
      <c r="J5992" s="78">
        <f>MAX(K5992:Q5992)</f>
        <v>1</v>
      </c>
      <c r="K5992" s="88">
        <v>1</v>
      </c>
      <c r="L5992" s="88"/>
      <c r="M5992" s="88"/>
      <c r="N5992" s="88"/>
      <c r="O5992" s="88"/>
      <c r="P5992" s="88"/>
      <c r="Q5992" s="88"/>
      <c r="R5992" s="78">
        <f>MAX(S5992:W5992)</f>
        <v>0</v>
      </c>
      <c r="S5992" s="88"/>
      <c r="T5992" s="88"/>
      <c r="U5992" s="88"/>
      <c r="V5992" s="88"/>
      <c r="W5992" s="88"/>
    </row>
    <row r="5993" spans="2:23" s="0" customFormat="0" ht="15">
      <c r="B5993" s="87" t="s">
        <v>1</v>
      </c>
      <c r="C5993" s="88" t="s">
        <v>5259</v>
      </c>
      <c r="D5993" s="88" t="s">
        <v>5193</v>
      </c>
      <c r="E5993" s="88" t="s">
        <v>61</v>
      </c>
      <c r="F5993" s="88">
        <v>0</v>
      </c>
      <c r="G5993" s="78">
        <f>MAX(H5993,I5993,J5993)</f>
        <v>0</v>
      </c>
      <c r="H5993" s="88"/>
      <c r="I5993" s="88"/>
      <c r="J5993" s="78">
        <f>MAX(K5993:Q5993)</f>
        <v>0</v>
      </c>
      <c r="K5993" s="88"/>
      <c r="L5993" s="88"/>
      <c r="M5993" s="88"/>
      <c r="N5993" s="88"/>
      <c r="O5993" s="88"/>
      <c r="P5993" s="88"/>
      <c r="Q5993" s="88"/>
      <c r="R5993" s="78">
        <f>MAX(S5993:W5993)</f>
        <v>1</v>
      </c>
      <c r="S5993" s="88"/>
      <c r="T5993" s="88"/>
      <c r="U5993" s="88">
        <v>1</v>
      </c>
      <c r="V5993" s="88"/>
      <c r="W5993" s="88"/>
    </row>
    <row r="5994" spans="2:23" s="0" customFormat="0" ht="15">
      <c r="B5994" s="87" t="s">
        <v>1</v>
      </c>
      <c r="C5994" s="88" t="s">
        <v>5259</v>
      </c>
      <c r="D5994" s="88" t="s">
        <v>2672</v>
      </c>
      <c r="E5994" s="88" t="s">
        <v>61</v>
      </c>
      <c r="F5994" s="88">
        <v>0</v>
      </c>
      <c r="G5994" s="78">
        <f>MAX(H5994,I5994,J5994)</f>
        <v>1</v>
      </c>
      <c r="H5994" s="88"/>
      <c r="I5994" s="88"/>
      <c r="J5994" s="78">
        <f>MAX(K5994:Q5994)</f>
        <v>1</v>
      </c>
      <c r="K5994" s="88">
        <v>1</v>
      </c>
      <c r="L5994" s="88"/>
      <c r="M5994" s="88"/>
      <c r="N5994" s="88"/>
      <c r="O5994" s="88"/>
      <c r="P5994" s="88"/>
      <c r="Q5994" s="88"/>
      <c r="R5994" s="78">
        <f>MAX(S5994:W5994)</f>
        <v>0</v>
      </c>
      <c r="S5994" s="88"/>
      <c r="T5994" s="88"/>
      <c r="U5994" s="88"/>
      <c r="V5994" s="88"/>
      <c r="W5994" s="88"/>
    </row>
    <row r="5995" spans="2:23" s="0" customFormat="0" ht="15">
      <c r="B5995" s="87" t="s">
        <v>1</v>
      </c>
      <c r="C5995" s="88" t="s">
        <v>5259</v>
      </c>
      <c r="D5995" s="88" t="s">
        <v>3881</v>
      </c>
      <c r="E5995" s="88" t="s">
        <v>61</v>
      </c>
      <c r="F5995" s="88">
        <v>0</v>
      </c>
      <c r="G5995" s="78">
        <f>MAX(H5995,I5995,J5995)</f>
        <v>0</v>
      </c>
      <c r="H5995" s="88"/>
      <c r="I5995" s="88"/>
      <c r="J5995" s="78">
        <f>MAX(K5995:Q5995)</f>
        <v>0</v>
      </c>
      <c r="K5995" s="88"/>
      <c r="L5995" s="88"/>
      <c r="M5995" s="88"/>
      <c r="N5995" s="88"/>
      <c r="O5995" s="88"/>
      <c r="P5995" s="88"/>
      <c r="Q5995" s="88"/>
      <c r="R5995" s="78">
        <f>MAX(S5995:W5995)</f>
        <v>1</v>
      </c>
      <c r="S5995" s="88"/>
      <c r="T5995" s="88"/>
      <c r="U5995" s="88">
        <v>1</v>
      </c>
      <c r="V5995" s="88"/>
      <c r="W5995" s="88"/>
    </row>
    <row r="5996" spans="2:23" s="0" customFormat="0" ht="15">
      <c r="B5996" s="87" t="s">
        <v>1</v>
      </c>
      <c r="C5996" s="88" t="s">
        <v>5259</v>
      </c>
      <c r="D5996" s="88">
        <v>22522718</v>
      </c>
      <c r="E5996" s="88" t="s">
        <v>61</v>
      </c>
      <c r="F5996" s="88">
        <v>0</v>
      </c>
      <c r="G5996" s="78">
        <f>MAX(H5996,I5996,J5996)</f>
        <v>1</v>
      </c>
      <c r="H5996" s="88"/>
      <c r="I5996" s="88"/>
      <c r="J5996" s="78">
        <f>MAX(K5996:Q5996)</f>
        <v>1</v>
      </c>
      <c r="K5996" s="88">
        <v>1</v>
      </c>
      <c r="L5996" s="88"/>
      <c r="M5996" s="88"/>
      <c r="N5996" s="88"/>
      <c r="O5996" s="88"/>
      <c r="P5996" s="88"/>
      <c r="Q5996" s="88"/>
      <c r="R5996" s="78">
        <f>MAX(S5996:W5996)</f>
        <v>0</v>
      </c>
      <c r="S5996" s="88"/>
      <c r="T5996" s="88"/>
      <c r="U5996" s="88"/>
      <c r="V5996" s="88"/>
      <c r="W5996" s="88"/>
    </row>
    <row r="5997" spans="2:23" s="0" customFormat="0" ht="15">
      <c r="B5997" s="87" t="s">
        <v>1</v>
      </c>
      <c r="C5997" s="88" t="s">
        <v>5259</v>
      </c>
      <c r="D5997" s="88" t="s">
        <v>5125</v>
      </c>
      <c r="E5997" s="88" t="s">
        <v>61</v>
      </c>
      <c r="F5997" s="88">
        <v>0</v>
      </c>
      <c r="G5997" s="78">
        <f>MAX(H5997,I5997,J5997)</f>
        <v>0</v>
      </c>
      <c r="H5997" s="88"/>
      <c r="I5997" s="88"/>
      <c r="J5997" s="78">
        <f>MAX(K5997:Q5997)</f>
        <v>0</v>
      </c>
      <c r="K5997" s="88"/>
      <c r="L5997" s="88"/>
      <c r="M5997" s="88"/>
      <c r="N5997" s="88"/>
      <c r="O5997" s="88"/>
      <c r="P5997" s="88"/>
      <c r="Q5997" s="88"/>
      <c r="R5997" s="78">
        <f>MAX(S5997:W5997)</f>
        <v>1</v>
      </c>
      <c r="S5997" s="88"/>
      <c r="T5997" s="88"/>
      <c r="U5997" s="88">
        <v>1</v>
      </c>
      <c r="V5997" s="88"/>
      <c r="W5997" s="88"/>
    </row>
    <row r="5998" spans="2:23" s="0" customFormat="0" ht="15">
      <c r="B5998" s="87" t="s">
        <v>1</v>
      </c>
      <c r="C5998" s="88" t="s">
        <v>5259</v>
      </c>
      <c r="D5998" s="88" t="s">
        <v>255</v>
      </c>
      <c r="E5998" s="88" t="s">
        <v>61</v>
      </c>
      <c r="F5998" s="88">
        <v>0</v>
      </c>
      <c r="G5998" s="78">
        <f>MAX(H5998,I5998,J5998)</f>
        <v>1</v>
      </c>
      <c r="H5998" s="88"/>
      <c r="I5998" s="88"/>
      <c r="J5998" s="78">
        <f>MAX(K5998:Q5998)</f>
        <v>1</v>
      </c>
      <c r="K5998" s="88">
        <v>1</v>
      </c>
      <c r="L5998" s="88"/>
      <c r="M5998" s="88"/>
      <c r="N5998" s="88"/>
      <c r="O5998" s="88"/>
      <c r="P5998" s="88"/>
      <c r="Q5998" s="88"/>
      <c r="R5998" s="78">
        <f>MAX(S5998:W5998)</f>
        <v>0</v>
      </c>
      <c r="S5998" s="88"/>
      <c r="T5998" s="88"/>
      <c r="U5998" s="88"/>
      <c r="V5998" s="88"/>
      <c r="W5998" s="88"/>
    </row>
    <row r="5999" spans="2:23" s="0" customFormat="0" ht="15">
      <c r="B5999" s="87" t="s">
        <v>1</v>
      </c>
      <c r="C5999" s="88" t="s">
        <v>5259</v>
      </c>
      <c r="D5999" s="88">
        <v>24176489</v>
      </c>
      <c r="E5999" s="88" t="s">
        <v>61</v>
      </c>
      <c r="F5999" s="88">
        <v>0</v>
      </c>
      <c r="G5999" s="78">
        <f>MAX(H5999,I5999,J5999)</f>
        <v>1</v>
      </c>
      <c r="H5999" s="88"/>
      <c r="I5999" s="88"/>
      <c r="J5999" s="78">
        <f>MAX(K5999:Q5999)</f>
        <v>1</v>
      </c>
      <c r="K5999" s="88">
        <v>1</v>
      </c>
      <c r="L5999" s="88"/>
      <c r="M5999" s="88"/>
      <c r="N5999" s="88"/>
      <c r="O5999" s="88"/>
      <c r="P5999" s="88"/>
      <c r="Q5999" s="88"/>
      <c r="R5999" s="78">
        <f>MAX(S5999:W5999)</f>
        <v>0</v>
      </c>
      <c r="S5999" s="88"/>
      <c r="T5999" s="88"/>
      <c r="U5999" s="88"/>
      <c r="V5999" s="88"/>
      <c r="W5999" s="88"/>
    </row>
    <row r="6000" spans="2:23" s="0" customFormat="0" ht="15">
      <c r="B6000" s="87" t="s">
        <v>1</v>
      </c>
      <c r="C6000" s="88" t="s">
        <v>5259</v>
      </c>
      <c r="D6000" s="88">
        <v>16636568</v>
      </c>
      <c r="E6000" s="88" t="s">
        <v>61</v>
      </c>
      <c r="F6000" s="88">
        <v>0</v>
      </c>
      <c r="G6000" s="78">
        <f>MAX(H6000,I6000,J6000)</f>
        <v>1</v>
      </c>
      <c r="H6000" s="88"/>
      <c r="I6000" s="88"/>
      <c r="J6000" s="78">
        <f>MAX(K6000:Q6000)</f>
        <v>1</v>
      </c>
      <c r="K6000" s="88">
        <v>1</v>
      </c>
      <c r="L6000" s="88"/>
      <c r="M6000" s="88"/>
      <c r="N6000" s="88"/>
      <c r="O6000" s="88"/>
      <c r="P6000" s="88"/>
      <c r="Q6000" s="88"/>
      <c r="R6000" s="78">
        <f>MAX(S6000:W6000)</f>
        <v>0</v>
      </c>
      <c r="S6000" s="88"/>
      <c r="T6000" s="88"/>
      <c r="U6000" s="88"/>
      <c r="V6000" s="88"/>
      <c r="W6000" s="88"/>
    </row>
    <row r="6001" spans="2:23" s="0" customFormat="0" ht="15">
      <c r="B6001" s="87" t="s">
        <v>1</v>
      </c>
      <c r="C6001" s="88" t="s">
        <v>5259</v>
      </c>
      <c r="D6001" s="88">
        <v>11418404</v>
      </c>
      <c r="E6001" s="88" t="s">
        <v>61</v>
      </c>
      <c r="F6001" s="88">
        <v>0</v>
      </c>
      <c r="G6001" s="78">
        <f>MAX(H6001,I6001,J6001)</f>
        <v>1</v>
      </c>
      <c r="H6001" s="88"/>
      <c r="I6001" s="88"/>
      <c r="J6001" s="78">
        <f>MAX(K6001:Q6001)</f>
        <v>1</v>
      </c>
      <c r="K6001" s="88">
        <v>1</v>
      </c>
      <c r="L6001" s="88"/>
      <c r="M6001" s="88"/>
      <c r="N6001" s="88"/>
      <c r="O6001" s="88"/>
      <c r="P6001" s="88"/>
      <c r="Q6001" s="88"/>
      <c r="R6001" s="78">
        <f>MAX(S6001:W6001)</f>
        <v>0</v>
      </c>
      <c r="S6001" s="88"/>
      <c r="T6001" s="88"/>
      <c r="U6001" s="88"/>
      <c r="V6001" s="88"/>
      <c r="W6001" s="88"/>
    </row>
    <row r="6002" spans="2:23" s="0" customFormat="0" ht="15">
      <c r="B6002" s="87" t="s">
        <v>1</v>
      </c>
      <c r="C6002" s="88" t="s">
        <v>5259</v>
      </c>
      <c r="D6002" s="88">
        <v>22078684</v>
      </c>
      <c r="E6002" s="88" t="s">
        <v>61</v>
      </c>
      <c r="F6002" s="88">
        <v>0</v>
      </c>
      <c r="G6002" s="78">
        <f>MAX(H6002,I6002,J6002)</f>
        <v>1</v>
      </c>
      <c r="H6002" s="88"/>
      <c r="I6002" s="88"/>
      <c r="J6002" s="78">
        <f>MAX(K6002:Q6002)</f>
        <v>1</v>
      </c>
      <c r="K6002" s="88">
        <v>1</v>
      </c>
      <c r="L6002" s="88"/>
      <c r="M6002" s="88"/>
      <c r="N6002" s="88"/>
      <c r="O6002" s="88"/>
      <c r="P6002" s="88"/>
      <c r="Q6002" s="88"/>
      <c r="R6002" s="78">
        <f>MAX(S6002:W6002)</f>
        <v>0</v>
      </c>
      <c r="S6002" s="88"/>
      <c r="T6002" s="88"/>
      <c r="U6002" s="88"/>
      <c r="V6002" s="88"/>
      <c r="W6002" s="88"/>
    </row>
    <row r="6003" spans="2:23" s="0" customFormat="0" ht="15">
      <c r="B6003" s="87" t="s">
        <v>1</v>
      </c>
      <c r="C6003" s="88" t="s">
        <v>5259</v>
      </c>
      <c r="D6003" s="88" t="s">
        <v>3686</v>
      </c>
      <c r="E6003" s="88" t="s">
        <v>61</v>
      </c>
      <c r="F6003" s="88">
        <v>0</v>
      </c>
      <c r="G6003" s="78">
        <f>MAX(H6003,I6003,J6003)</f>
        <v>0</v>
      </c>
      <c r="H6003" s="88"/>
      <c r="I6003" s="88"/>
      <c r="J6003" s="78">
        <f>MAX(K6003:Q6003)</f>
        <v>0</v>
      </c>
      <c r="K6003" s="88"/>
      <c r="L6003" s="88"/>
      <c r="M6003" s="88"/>
      <c r="N6003" s="88"/>
      <c r="O6003" s="88"/>
      <c r="P6003" s="88"/>
      <c r="Q6003" s="88"/>
      <c r="R6003" s="78">
        <f>MAX(S6003:W6003)</f>
        <v>1</v>
      </c>
      <c r="S6003" s="88"/>
      <c r="T6003" s="88"/>
      <c r="U6003" s="88">
        <v>1</v>
      </c>
      <c r="V6003" s="88"/>
      <c r="W6003" s="88"/>
    </row>
    <row r="6004" spans="2:23" s="0" customFormat="0" ht="15">
      <c r="B6004" s="87" t="s">
        <v>1</v>
      </c>
      <c r="C6004" s="88" t="s">
        <v>5259</v>
      </c>
      <c r="D6004" s="88">
        <v>22844752</v>
      </c>
      <c r="E6004" s="88" t="s">
        <v>61</v>
      </c>
      <c r="F6004" s="88">
        <v>0</v>
      </c>
      <c r="G6004" s="78">
        <f>MAX(H6004,I6004,J6004)</f>
        <v>1</v>
      </c>
      <c r="H6004" s="88"/>
      <c r="I6004" s="88"/>
      <c r="J6004" s="78">
        <f>MAX(K6004:Q6004)</f>
        <v>1</v>
      </c>
      <c r="K6004" s="88">
        <v>1</v>
      </c>
      <c r="L6004" s="88"/>
      <c r="M6004" s="88"/>
      <c r="N6004" s="88"/>
      <c r="O6004" s="88"/>
      <c r="P6004" s="88"/>
      <c r="Q6004" s="88"/>
      <c r="R6004" s="78">
        <f>MAX(S6004:W6004)</f>
        <v>0</v>
      </c>
      <c r="S6004" s="88"/>
      <c r="T6004" s="88"/>
      <c r="U6004" s="88"/>
      <c r="V6004" s="88"/>
      <c r="W6004" s="88"/>
    </row>
    <row r="6005" spans="2:23" s="0" customFormat="0" ht="15">
      <c r="B6005" s="87" t="s">
        <v>1</v>
      </c>
      <c r="C6005" s="88" t="s">
        <v>5259</v>
      </c>
      <c r="D6005" s="88">
        <v>15325609</v>
      </c>
      <c r="E6005" s="88" t="s">
        <v>61</v>
      </c>
      <c r="F6005" s="88">
        <v>0</v>
      </c>
      <c r="G6005" s="78">
        <f>MAX(H6005,I6005,J6005)</f>
        <v>1</v>
      </c>
      <c r="H6005" s="88"/>
      <c r="I6005" s="88"/>
      <c r="J6005" s="78">
        <f>MAX(K6005:Q6005)</f>
        <v>1</v>
      </c>
      <c r="K6005" s="88">
        <v>1</v>
      </c>
      <c r="L6005" s="88"/>
      <c r="M6005" s="88"/>
      <c r="N6005" s="88"/>
      <c r="O6005" s="88"/>
      <c r="P6005" s="88"/>
      <c r="Q6005" s="88"/>
      <c r="R6005" s="78">
        <f>MAX(S6005:W6005)</f>
        <v>0</v>
      </c>
      <c r="S6005" s="88"/>
      <c r="T6005" s="88"/>
      <c r="U6005" s="88"/>
      <c r="V6005" s="88"/>
      <c r="W6005" s="88"/>
    </row>
    <row r="6006" spans="2:23" s="0" customFormat="0" ht="15">
      <c r="B6006" s="87" t="s">
        <v>1</v>
      </c>
      <c r="C6006" s="88" t="s">
        <v>5259</v>
      </c>
      <c r="D6006" s="88">
        <v>23673157</v>
      </c>
      <c r="E6006" s="88" t="s">
        <v>61</v>
      </c>
      <c r="F6006" s="88">
        <v>0</v>
      </c>
      <c r="G6006" s="78">
        <f>MAX(H6006,I6006,J6006)</f>
        <v>1</v>
      </c>
      <c r="H6006" s="88"/>
      <c r="I6006" s="88"/>
      <c r="J6006" s="78">
        <f>MAX(K6006:Q6006)</f>
        <v>1</v>
      </c>
      <c r="K6006" s="88">
        <v>1</v>
      </c>
      <c r="L6006" s="88"/>
      <c r="M6006" s="88"/>
      <c r="N6006" s="88"/>
      <c r="O6006" s="88"/>
      <c r="P6006" s="88"/>
      <c r="Q6006" s="88"/>
      <c r="R6006" s="78">
        <f>MAX(S6006:W6006)</f>
        <v>0</v>
      </c>
      <c r="S6006" s="88"/>
      <c r="T6006" s="88"/>
      <c r="U6006" s="88"/>
      <c r="V6006" s="88"/>
      <c r="W6006" s="88"/>
    </row>
    <row r="6007" spans="2:23" s="0" customFormat="0" ht="15">
      <c r="B6007" s="87" t="s">
        <v>1</v>
      </c>
      <c r="C6007" s="88" t="s">
        <v>5259</v>
      </c>
      <c r="D6007" s="88">
        <v>21736766</v>
      </c>
      <c r="E6007" s="88" t="s">
        <v>61</v>
      </c>
      <c r="F6007" s="88">
        <v>0</v>
      </c>
      <c r="G6007" s="78">
        <f>MAX(H6007,I6007,J6007)</f>
        <v>1</v>
      </c>
      <c r="H6007" s="88"/>
      <c r="I6007" s="88"/>
      <c r="J6007" s="78">
        <f>MAX(K6007:Q6007)</f>
        <v>1</v>
      </c>
      <c r="K6007" s="88">
        <v>1</v>
      </c>
      <c r="L6007" s="88"/>
      <c r="M6007" s="88"/>
      <c r="N6007" s="88"/>
      <c r="O6007" s="88"/>
      <c r="P6007" s="88"/>
      <c r="Q6007" s="88"/>
      <c r="R6007" s="78">
        <f>MAX(S6007:W6007)</f>
        <v>0</v>
      </c>
      <c r="S6007" s="88"/>
      <c r="T6007" s="88"/>
      <c r="U6007" s="88"/>
      <c r="V6007" s="88"/>
      <c r="W6007" s="88"/>
    </row>
    <row r="6008" spans="2:23" s="0" customFormat="0" ht="15">
      <c r="B6008" s="87" t="s">
        <v>1</v>
      </c>
      <c r="C6008" s="88" t="s">
        <v>5259</v>
      </c>
      <c r="D6008" s="88">
        <v>22817241</v>
      </c>
      <c r="E6008" s="88" t="s">
        <v>61</v>
      </c>
      <c r="F6008" s="88">
        <v>0</v>
      </c>
      <c r="G6008" s="78">
        <f>MAX(H6008,I6008,J6008)</f>
        <v>1</v>
      </c>
      <c r="H6008" s="88"/>
      <c r="I6008" s="88"/>
      <c r="J6008" s="78">
        <f>MAX(K6008:Q6008)</f>
        <v>1</v>
      </c>
      <c r="K6008" s="88">
        <v>1</v>
      </c>
      <c r="L6008" s="88"/>
      <c r="M6008" s="88"/>
      <c r="N6008" s="88"/>
      <c r="O6008" s="88"/>
      <c r="P6008" s="88"/>
      <c r="Q6008" s="88"/>
      <c r="R6008" s="78">
        <f>MAX(S6008:W6008)</f>
        <v>0</v>
      </c>
      <c r="S6008" s="88"/>
      <c r="T6008" s="88"/>
      <c r="U6008" s="88"/>
      <c r="V6008" s="88"/>
      <c r="W6008" s="88"/>
    </row>
    <row r="6009" spans="2:23" s="0" customFormat="0" ht="15">
      <c r="B6009" s="87" t="s">
        <v>1</v>
      </c>
      <c r="C6009" s="88" t="s">
        <v>5259</v>
      </c>
      <c r="D6009" s="88">
        <v>22681321</v>
      </c>
      <c r="E6009" s="88" t="s">
        <v>61</v>
      </c>
      <c r="F6009" s="88">
        <v>0</v>
      </c>
      <c r="G6009" s="78">
        <f>MAX(H6009,I6009,J6009)</f>
        <v>1</v>
      </c>
      <c r="H6009" s="88"/>
      <c r="I6009" s="88"/>
      <c r="J6009" s="78">
        <f>MAX(K6009:Q6009)</f>
        <v>1</v>
      </c>
      <c r="K6009" s="88">
        <v>1</v>
      </c>
      <c r="L6009" s="88"/>
      <c r="M6009" s="88"/>
      <c r="N6009" s="88"/>
      <c r="O6009" s="88"/>
      <c r="P6009" s="88"/>
      <c r="Q6009" s="88"/>
      <c r="R6009" s="78">
        <f>MAX(S6009:W6009)</f>
        <v>0</v>
      </c>
      <c r="S6009" s="88"/>
      <c r="T6009" s="88"/>
      <c r="U6009" s="88"/>
      <c r="V6009" s="88"/>
      <c r="W6009" s="88"/>
    </row>
    <row r="6010" spans="2:23" s="0" customFormat="0" ht="15">
      <c r="B6010" s="87" t="s">
        <v>1</v>
      </c>
      <c r="C6010" s="88" t="s">
        <v>5259</v>
      </c>
      <c r="D6010" s="88" t="s">
        <v>3280</v>
      </c>
      <c r="E6010" s="88" t="s">
        <v>61</v>
      </c>
      <c r="F6010" s="88">
        <v>0</v>
      </c>
      <c r="G6010" s="78">
        <f>MAX(H6010,I6010,J6010)</f>
        <v>0</v>
      </c>
      <c r="H6010" s="88"/>
      <c r="I6010" s="88"/>
      <c r="J6010" s="78">
        <f>MAX(K6010:Q6010)</f>
        <v>0</v>
      </c>
      <c r="K6010" s="88"/>
      <c r="L6010" s="88"/>
      <c r="M6010" s="88"/>
      <c r="N6010" s="88"/>
      <c r="O6010" s="88"/>
      <c r="P6010" s="88"/>
      <c r="Q6010" s="88"/>
      <c r="R6010" s="78">
        <f>MAX(S6010:W6010)</f>
        <v>1</v>
      </c>
      <c r="S6010" s="88"/>
      <c r="T6010" s="88"/>
      <c r="U6010" s="88"/>
      <c r="V6010" s="88">
        <v>1</v>
      </c>
      <c r="W6010" s="88"/>
    </row>
    <row r="6011" spans="2:23" s="0" customFormat="0" ht="15">
      <c r="B6011" s="87" t="s">
        <v>1</v>
      </c>
      <c r="C6011" s="88" t="s">
        <v>5259</v>
      </c>
      <c r="D6011" s="88" t="s">
        <v>4007</v>
      </c>
      <c r="E6011" s="88" t="s">
        <v>61</v>
      </c>
      <c r="F6011" s="88">
        <v>0</v>
      </c>
      <c r="G6011" s="78">
        <f>MAX(H6011,I6011,J6011)</f>
        <v>0</v>
      </c>
      <c r="H6011" s="88"/>
      <c r="I6011" s="88"/>
      <c r="J6011" s="78">
        <f>MAX(K6011:Q6011)</f>
        <v>0</v>
      </c>
      <c r="K6011" s="88"/>
      <c r="L6011" s="88"/>
      <c r="M6011" s="88"/>
      <c r="N6011" s="88"/>
      <c r="O6011" s="88"/>
      <c r="P6011" s="88"/>
      <c r="Q6011" s="88"/>
      <c r="R6011" s="78">
        <f>MAX(S6011:W6011)</f>
        <v>1</v>
      </c>
      <c r="S6011" s="88"/>
      <c r="T6011" s="88"/>
      <c r="U6011" s="88">
        <v>1</v>
      </c>
      <c r="V6011" s="88"/>
      <c r="W6011" s="88"/>
    </row>
    <row r="6012" spans="2:23" s="0" customFormat="0" ht="15">
      <c r="B6012" s="87" t="s">
        <v>1</v>
      </c>
      <c r="C6012" s="88" t="s">
        <v>5259</v>
      </c>
      <c r="D6012" s="88">
        <v>23724588</v>
      </c>
      <c r="E6012" s="88" t="s">
        <v>61</v>
      </c>
      <c r="F6012" s="88">
        <v>0</v>
      </c>
      <c r="G6012" s="78">
        <f>MAX(H6012,I6012,J6012)</f>
        <v>1</v>
      </c>
      <c r="H6012" s="88"/>
      <c r="I6012" s="88"/>
      <c r="J6012" s="78">
        <f>MAX(K6012:Q6012)</f>
        <v>1</v>
      </c>
      <c r="K6012" s="88">
        <v>1</v>
      </c>
      <c r="L6012" s="88"/>
      <c r="M6012" s="88"/>
      <c r="N6012" s="88"/>
      <c r="O6012" s="88"/>
      <c r="P6012" s="88"/>
      <c r="Q6012" s="88"/>
      <c r="R6012" s="78">
        <f>MAX(S6012:W6012)</f>
        <v>0</v>
      </c>
      <c r="S6012" s="88"/>
      <c r="T6012" s="88"/>
      <c r="U6012" s="88"/>
      <c r="V6012" s="88"/>
      <c r="W6012" s="88"/>
    </row>
    <row r="6013" spans="2:23" s="0" customFormat="0" ht="15">
      <c r="B6013" s="87" t="s">
        <v>1</v>
      </c>
      <c r="C6013" s="88" t="s">
        <v>5259</v>
      </c>
      <c r="D6013" s="88" t="s">
        <v>3986</v>
      </c>
      <c r="E6013" s="88" t="s">
        <v>61</v>
      </c>
      <c r="F6013" s="88">
        <v>0</v>
      </c>
      <c r="G6013" s="78">
        <f>MAX(H6013,I6013,J6013)</f>
        <v>0</v>
      </c>
      <c r="H6013" s="88"/>
      <c r="I6013" s="88"/>
      <c r="J6013" s="78">
        <f>MAX(K6013:Q6013)</f>
        <v>0</v>
      </c>
      <c r="K6013" s="88"/>
      <c r="L6013" s="88"/>
      <c r="M6013" s="88"/>
      <c r="N6013" s="88"/>
      <c r="O6013" s="88"/>
      <c r="P6013" s="88"/>
      <c r="Q6013" s="88"/>
      <c r="R6013" s="78">
        <f>MAX(S6013:W6013)</f>
        <v>1</v>
      </c>
      <c r="S6013" s="88"/>
      <c r="T6013" s="88"/>
      <c r="U6013" s="88">
        <v>1</v>
      </c>
      <c r="V6013" s="88"/>
      <c r="W6013" s="88"/>
    </row>
    <row r="6014" spans="2:23" s="0" customFormat="0" ht="15">
      <c r="B6014" s="87" t="s">
        <v>1</v>
      </c>
      <c r="C6014" s="88" t="s">
        <v>5259</v>
      </c>
      <c r="D6014" s="88" t="s">
        <v>4893</v>
      </c>
      <c r="E6014" s="88" t="s">
        <v>61</v>
      </c>
      <c r="F6014" s="88">
        <v>0</v>
      </c>
      <c r="G6014" s="78">
        <f>MAX(H6014,I6014,J6014)</f>
        <v>0</v>
      </c>
      <c r="H6014" s="88"/>
      <c r="I6014" s="88"/>
      <c r="J6014" s="78">
        <f>MAX(K6014:Q6014)</f>
        <v>0</v>
      </c>
      <c r="K6014" s="88"/>
      <c r="L6014" s="88"/>
      <c r="M6014" s="88"/>
      <c r="N6014" s="88"/>
      <c r="O6014" s="88"/>
      <c r="P6014" s="88"/>
      <c r="Q6014" s="88"/>
      <c r="R6014" s="78">
        <f>MAX(S6014:W6014)</f>
        <v>1</v>
      </c>
      <c r="S6014" s="88"/>
      <c r="T6014" s="88"/>
      <c r="U6014" s="88">
        <v>1</v>
      </c>
      <c r="V6014" s="88"/>
      <c r="W6014" s="88"/>
    </row>
    <row r="6015" spans="2:23" s="0" customFormat="0" ht="15">
      <c r="B6015" s="87" t="s">
        <v>1</v>
      </c>
      <c r="C6015" s="88" t="s">
        <v>5259</v>
      </c>
      <c r="D6015" s="88" t="s">
        <v>2081</v>
      </c>
      <c r="E6015" s="88" t="s">
        <v>61</v>
      </c>
      <c r="F6015" s="88">
        <v>0</v>
      </c>
      <c r="G6015" s="78">
        <f>MAX(H6015,I6015,J6015)</f>
        <v>1</v>
      </c>
      <c r="H6015" s="88"/>
      <c r="I6015" s="88"/>
      <c r="J6015" s="78">
        <f>MAX(K6015:Q6015)</f>
        <v>1</v>
      </c>
      <c r="K6015" s="88">
        <v>1</v>
      </c>
      <c r="L6015" s="88"/>
      <c r="M6015" s="88"/>
      <c r="N6015" s="88"/>
      <c r="O6015" s="88"/>
      <c r="P6015" s="88"/>
      <c r="Q6015" s="88"/>
      <c r="R6015" s="78">
        <f>MAX(S6015:W6015)</f>
        <v>0</v>
      </c>
      <c r="S6015" s="88"/>
      <c r="T6015" s="88"/>
      <c r="U6015" s="88"/>
      <c r="V6015" s="88"/>
      <c r="W6015" s="88"/>
    </row>
    <row r="6016" spans="2:23" s="0" customFormat="0" ht="15">
      <c r="B6016" s="87" t="s">
        <v>1</v>
      </c>
      <c r="C6016" s="88" t="s">
        <v>5259</v>
      </c>
      <c r="D6016" s="88" t="s">
        <v>2270</v>
      </c>
      <c r="E6016" s="88" t="s">
        <v>61</v>
      </c>
      <c r="F6016" s="88">
        <v>0</v>
      </c>
      <c r="G6016" s="78">
        <f>MAX(H6016,I6016,J6016)</f>
        <v>1</v>
      </c>
      <c r="H6016" s="88"/>
      <c r="I6016" s="88"/>
      <c r="J6016" s="78">
        <f>MAX(K6016:Q6016)</f>
        <v>1</v>
      </c>
      <c r="K6016" s="88">
        <v>1</v>
      </c>
      <c r="L6016" s="88"/>
      <c r="M6016" s="88"/>
      <c r="N6016" s="88"/>
      <c r="O6016" s="88"/>
      <c r="P6016" s="88"/>
      <c r="Q6016" s="88"/>
      <c r="R6016" s="78">
        <f>MAX(S6016:W6016)</f>
        <v>0</v>
      </c>
      <c r="S6016" s="88"/>
      <c r="T6016" s="88"/>
      <c r="U6016" s="88"/>
      <c r="V6016" s="88"/>
      <c r="W6016" s="88"/>
    </row>
    <row r="6017" spans="2:23" s="0" customFormat="0" ht="15">
      <c r="B6017" s="87" t="s">
        <v>1</v>
      </c>
      <c r="C6017" s="88" t="s">
        <v>5259</v>
      </c>
      <c r="D6017" s="88">
        <v>24432958</v>
      </c>
      <c r="E6017" s="88" t="s">
        <v>61</v>
      </c>
      <c r="F6017" s="88">
        <v>0</v>
      </c>
      <c r="G6017" s="78">
        <f>MAX(H6017,I6017,J6017)</f>
        <v>1</v>
      </c>
      <c r="H6017" s="88"/>
      <c r="I6017" s="88"/>
      <c r="J6017" s="78">
        <f>MAX(K6017:Q6017)</f>
        <v>1</v>
      </c>
      <c r="K6017" s="88">
        <v>1</v>
      </c>
      <c r="L6017" s="88"/>
      <c r="M6017" s="88"/>
      <c r="N6017" s="88"/>
      <c r="O6017" s="88"/>
      <c r="P6017" s="88"/>
      <c r="Q6017" s="88"/>
      <c r="R6017" s="78">
        <f>MAX(S6017:W6017)</f>
        <v>0</v>
      </c>
      <c r="S6017" s="88"/>
      <c r="T6017" s="88"/>
      <c r="U6017" s="88"/>
      <c r="V6017" s="88"/>
      <c r="W6017" s="88"/>
    </row>
    <row r="6018" spans="2:23" s="0" customFormat="0" ht="15">
      <c r="B6018" s="87" t="s">
        <v>1</v>
      </c>
      <c r="C6018" s="88" t="s">
        <v>5259</v>
      </c>
      <c r="D6018" s="88">
        <v>11262381</v>
      </c>
      <c r="E6018" s="88" t="s">
        <v>61</v>
      </c>
      <c r="F6018" s="88">
        <v>0</v>
      </c>
      <c r="G6018" s="78">
        <f>MAX(H6018,I6018,J6018)</f>
        <v>1</v>
      </c>
      <c r="H6018" s="88"/>
      <c r="I6018" s="88"/>
      <c r="J6018" s="78">
        <f>MAX(K6018:Q6018)</f>
        <v>1</v>
      </c>
      <c r="K6018" s="88">
        <v>1</v>
      </c>
      <c r="L6018" s="88"/>
      <c r="M6018" s="88"/>
      <c r="N6018" s="88"/>
      <c r="O6018" s="88"/>
      <c r="P6018" s="88"/>
      <c r="Q6018" s="88"/>
      <c r="R6018" s="78">
        <f>MAX(S6018:W6018)</f>
        <v>0</v>
      </c>
      <c r="S6018" s="88"/>
      <c r="T6018" s="88"/>
      <c r="U6018" s="88"/>
      <c r="V6018" s="88"/>
      <c r="W6018" s="88"/>
    </row>
    <row r="6019" spans="2:23" s="0" customFormat="0" ht="15">
      <c r="B6019" s="87" t="s">
        <v>1</v>
      </c>
      <c r="C6019" s="88" t="s">
        <v>5259</v>
      </c>
      <c r="D6019" s="88" t="s">
        <v>3635</v>
      </c>
      <c r="E6019" s="88" t="s">
        <v>61</v>
      </c>
      <c r="F6019" s="88">
        <v>0</v>
      </c>
      <c r="G6019" s="78">
        <f>MAX(H6019,I6019,J6019)</f>
        <v>0</v>
      </c>
      <c r="H6019" s="88"/>
      <c r="I6019" s="88"/>
      <c r="J6019" s="78">
        <f>MAX(K6019:Q6019)</f>
        <v>0</v>
      </c>
      <c r="K6019" s="88"/>
      <c r="L6019" s="88"/>
      <c r="M6019" s="88"/>
      <c r="N6019" s="88"/>
      <c r="O6019" s="88"/>
      <c r="P6019" s="88"/>
      <c r="Q6019" s="88"/>
      <c r="R6019" s="78">
        <f>MAX(S6019:W6019)</f>
        <v>1</v>
      </c>
      <c r="S6019" s="88"/>
      <c r="T6019" s="88"/>
      <c r="U6019" s="88">
        <v>1</v>
      </c>
      <c r="V6019" s="88"/>
      <c r="W6019" s="88"/>
    </row>
    <row r="6020" spans="2:23" s="0" customFormat="0" ht="15">
      <c r="B6020" s="87" t="s">
        <v>1</v>
      </c>
      <c r="C6020" s="88" t="s">
        <v>5259</v>
      </c>
      <c r="D6020" s="88">
        <v>7252176</v>
      </c>
      <c r="E6020" s="88" t="s">
        <v>61</v>
      </c>
      <c r="F6020" s="88">
        <v>0</v>
      </c>
      <c r="G6020" s="78">
        <f>MAX(H6020,I6020,J6020)</f>
        <v>1</v>
      </c>
      <c r="H6020" s="88"/>
      <c r="I6020" s="88"/>
      <c r="J6020" s="78">
        <f>MAX(K6020:Q6020)</f>
        <v>1</v>
      </c>
      <c r="K6020" s="88">
        <v>1</v>
      </c>
      <c r="L6020" s="88"/>
      <c r="M6020" s="88"/>
      <c r="N6020" s="88"/>
      <c r="O6020" s="88"/>
      <c r="P6020" s="88"/>
      <c r="Q6020" s="88"/>
      <c r="R6020" s="78">
        <f>MAX(S6020:W6020)</f>
        <v>0</v>
      </c>
      <c r="S6020" s="88"/>
      <c r="T6020" s="88"/>
      <c r="U6020" s="88"/>
      <c r="V6020" s="88"/>
      <c r="W6020" s="88"/>
    </row>
    <row r="6021" spans="2:23" s="0" customFormat="0" ht="15">
      <c r="B6021" s="87" t="s">
        <v>1</v>
      </c>
      <c r="C6021" s="88" t="s">
        <v>5259</v>
      </c>
      <c r="D6021" s="88">
        <v>13340381</v>
      </c>
      <c r="E6021" s="88" t="s">
        <v>61</v>
      </c>
      <c r="F6021" s="88">
        <v>0</v>
      </c>
      <c r="G6021" s="78">
        <f>MAX(H6021,I6021,J6021)</f>
        <v>1</v>
      </c>
      <c r="H6021" s="88"/>
      <c r="I6021" s="88"/>
      <c r="J6021" s="78">
        <f>MAX(K6021:Q6021)</f>
        <v>1</v>
      </c>
      <c r="K6021" s="88">
        <v>1</v>
      </c>
      <c r="L6021" s="88"/>
      <c r="M6021" s="88"/>
      <c r="N6021" s="88"/>
      <c r="O6021" s="88"/>
      <c r="P6021" s="88"/>
      <c r="Q6021" s="88"/>
      <c r="R6021" s="78">
        <f>MAX(S6021:W6021)</f>
        <v>0</v>
      </c>
      <c r="S6021" s="88"/>
      <c r="T6021" s="88"/>
      <c r="U6021" s="88"/>
      <c r="V6021" s="88"/>
      <c r="W6021" s="88"/>
    </row>
    <row r="6022" spans="2:23" s="0" customFormat="0" ht="15">
      <c r="B6022" s="87" t="s">
        <v>1</v>
      </c>
      <c r="C6022" s="88" t="s">
        <v>5259</v>
      </c>
      <c r="D6022" s="88" t="s">
        <v>2946</v>
      </c>
      <c r="E6022" s="88" t="s">
        <v>61</v>
      </c>
      <c r="F6022" s="88">
        <v>0</v>
      </c>
      <c r="G6022" s="78">
        <f>MAX(H6022,I6022,J6022)</f>
        <v>1</v>
      </c>
      <c r="H6022" s="88"/>
      <c r="I6022" s="88"/>
      <c r="J6022" s="78">
        <f>MAX(K6022:Q6022)</f>
        <v>1</v>
      </c>
      <c r="K6022" s="88">
        <v>1</v>
      </c>
      <c r="L6022" s="88"/>
      <c r="M6022" s="88"/>
      <c r="N6022" s="88"/>
      <c r="O6022" s="88"/>
      <c r="P6022" s="88"/>
      <c r="Q6022" s="88"/>
      <c r="R6022" s="78">
        <f>MAX(S6022:W6022)</f>
        <v>0</v>
      </c>
      <c r="S6022" s="88"/>
      <c r="T6022" s="88"/>
      <c r="U6022" s="88"/>
      <c r="V6022" s="88"/>
      <c r="W6022" s="88"/>
    </row>
    <row r="6023" spans="2:23" s="0" customFormat="0" ht="15">
      <c r="B6023" s="87" t="s">
        <v>1</v>
      </c>
      <c r="C6023" s="88" t="s">
        <v>5259</v>
      </c>
      <c r="D6023" s="88">
        <v>22554515</v>
      </c>
      <c r="E6023" s="88" t="s">
        <v>61</v>
      </c>
      <c r="F6023" s="88">
        <v>0</v>
      </c>
      <c r="G6023" s="78">
        <f>MAX(H6023,I6023,J6023)</f>
        <v>0</v>
      </c>
      <c r="H6023" s="88"/>
      <c r="I6023" s="88"/>
      <c r="J6023" s="78">
        <f>MAX(K6023:Q6023)</f>
        <v>0</v>
      </c>
      <c r="K6023" s="88"/>
      <c r="L6023" s="88"/>
      <c r="M6023" s="88"/>
      <c r="N6023" s="88"/>
      <c r="O6023" s="88"/>
      <c r="P6023" s="88"/>
      <c r="Q6023" s="88"/>
      <c r="R6023" s="78">
        <f>MAX(S6023:W6023)</f>
        <v>1</v>
      </c>
      <c r="S6023" s="88"/>
      <c r="T6023" s="88"/>
      <c r="U6023" s="88">
        <v>1</v>
      </c>
      <c r="V6023" s="88"/>
      <c r="W6023" s="88"/>
    </row>
    <row r="6024" spans="2:23" s="0" customFormat="0" ht="15">
      <c r="B6024" s="87" t="s">
        <v>1</v>
      </c>
      <c r="C6024" s="88" t="s">
        <v>5259</v>
      </c>
      <c r="D6024" s="88">
        <v>17296773</v>
      </c>
      <c r="E6024" s="88" t="s">
        <v>61</v>
      </c>
      <c r="F6024" s="88">
        <v>0</v>
      </c>
      <c r="G6024" s="78">
        <f>MAX(H6024,I6024,J6024)</f>
        <v>1</v>
      </c>
      <c r="H6024" s="88"/>
      <c r="I6024" s="88"/>
      <c r="J6024" s="78">
        <f>MAX(K6024:Q6024)</f>
        <v>1</v>
      </c>
      <c r="K6024" s="88">
        <v>1</v>
      </c>
      <c r="L6024" s="88"/>
      <c r="M6024" s="88"/>
      <c r="N6024" s="88"/>
      <c r="O6024" s="88"/>
      <c r="P6024" s="88"/>
      <c r="Q6024" s="88"/>
      <c r="R6024" s="78">
        <f>MAX(S6024:W6024)</f>
        <v>0</v>
      </c>
      <c r="S6024" s="88"/>
      <c r="T6024" s="88"/>
      <c r="U6024" s="88"/>
      <c r="V6024" s="88"/>
      <c r="W6024" s="88"/>
    </row>
    <row r="6025" spans="2:23" s="0" customFormat="0" ht="15">
      <c r="B6025" s="87" t="s">
        <v>1</v>
      </c>
      <c r="C6025" s="88" t="s">
        <v>5259</v>
      </c>
      <c r="D6025" s="88" t="s">
        <v>5195</v>
      </c>
      <c r="E6025" s="88" t="s">
        <v>61</v>
      </c>
      <c r="F6025" s="88">
        <v>0</v>
      </c>
      <c r="G6025" s="78">
        <f>MAX(H6025,I6025,J6025)</f>
        <v>0</v>
      </c>
      <c r="H6025" s="88"/>
      <c r="I6025" s="88"/>
      <c r="J6025" s="78">
        <f>MAX(K6025:Q6025)</f>
        <v>0</v>
      </c>
      <c r="K6025" s="88"/>
      <c r="L6025" s="88"/>
      <c r="M6025" s="88"/>
      <c r="N6025" s="88"/>
      <c r="O6025" s="88"/>
      <c r="P6025" s="88"/>
      <c r="Q6025" s="88"/>
      <c r="R6025" s="78">
        <f>MAX(S6025:W6025)</f>
        <v>1</v>
      </c>
      <c r="S6025" s="88"/>
      <c r="T6025" s="88"/>
      <c r="U6025" s="88">
        <v>1</v>
      </c>
      <c r="V6025" s="88"/>
      <c r="W6025" s="88"/>
    </row>
    <row r="6026" spans="2:23" s="0" customFormat="0" ht="15">
      <c r="B6026" s="87" t="s">
        <v>1</v>
      </c>
      <c r="C6026" s="88" t="s">
        <v>5259</v>
      </c>
      <c r="D6026" s="88">
        <v>4121875</v>
      </c>
      <c r="E6026" s="88" t="s">
        <v>61</v>
      </c>
      <c r="F6026" s="88">
        <v>0</v>
      </c>
      <c r="G6026" s="78">
        <f>MAX(H6026,I6026,J6026)</f>
        <v>1</v>
      </c>
      <c r="H6026" s="88"/>
      <c r="I6026" s="88"/>
      <c r="J6026" s="78">
        <f>MAX(K6026:Q6026)</f>
        <v>1</v>
      </c>
      <c r="K6026" s="88">
        <v>1</v>
      </c>
      <c r="L6026" s="88"/>
      <c r="M6026" s="88"/>
      <c r="N6026" s="88"/>
      <c r="O6026" s="88"/>
      <c r="P6026" s="88"/>
      <c r="Q6026" s="88"/>
      <c r="R6026" s="78">
        <f>MAX(S6026:W6026)</f>
        <v>0</v>
      </c>
      <c r="S6026" s="88"/>
      <c r="T6026" s="88"/>
      <c r="U6026" s="88"/>
      <c r="V6026" s="88"/>
      <c r="W6026" s="88"/>
    </row>
    <row r="6027" spans="2:23" s="0" customFormat="0" ht="15">
      <c r="B6027" s="87" t="s">
        <v>1</v>
      </c>
      <c r="C6027" s="88" t="s">
        <v>5259</v>
      </c>
      <c r="D6027" s="88" t="s">
        <v>5065</v>
      </c>
      <c r="E6027" s="88" t="s">
        <v>61</v>
      </c>
      <c r="F6027" s="88">
        <v>0</v>
      </c>
      <c r="G6027" s="78">
        <f>MAX(H6027,I6027,J6027)</f>
        <v>0</v>
      </c>
      <c r="H6027" s="88"/>
      <c r="I6027" s="88"/>
      <c r="J6027" s="78">
        <f>MAX(K6027:Q6027)</f>
        <v>0</v>
      </c>
      <c r="K6027" s="88"/>
      <c r="L6027" s="88"/>
      <c r="M6027" s="88"/>
      <c r="N6027" s="88"/>
      <c r="O6027" s="88"/>
      <c r="P6027" s="88"/>
      <c r="Q6027" s="88"/>
      <c r="R6027" s="78">
        <f>MAX(S6027:W6027)</f>
        <v>1</v>
      </c>
      <c r="S6027" s="88"/>
      <c r="T6027" s="88"/>
      <c r="U6027" s="88">
        <v>1</v>
      </c>
      <c r="V6027" s="88"/>
      <c r="W6027" s="88"/>
    </row>
    <row r="6028" spans="2:23" s="0" customFormat="0" ht="15">
      <c r="B6028" s="87" t="s">
        <v>1</v>
      </c>
      <c r="C6028" s="88" t="s">
        <v>5259</v>
      </c>
      <c r="D6028" s="88">
        <v>22554511</v>
      </c>
      <c r="E6028" s="88" t="s">
        <v>61</v>
      </c>
      <c r="F6028" s="88">
        <v>0</v>
      </c>
      <c r="G6028" s="78">
        <f>MAX(H6028,I6028,J6028)</f>
        <v>0</v>
      </c>
      <c r="H6028" s="88"/>
      <c r="I6028" s="88"/>
      <c r="J6028" s="78">
        <f>MAX(K6028:Q6028)</f>
        <v>0</v>
      </c>
      <c r="K6028" s="88"/>
      <c r="L6028" s="88"/>
      <c r="M6028" s="88"/>
      <c r="N6028" s="88"/>
      <c r="O6028" s="88"/>
      <c r="P6028" s="88"/>
      <c r="Q6028" s="88"/>
      <c r="R6028" s="78">
        <f>MAX(S6028:W6028)</f>
        <v>1</v>
      </c>
      <c r="S6028" s="88"/>
      <c r="T6028" s="88"/>
      <c r="U6028" s="88">
        <v>1</v>
      </c>
      <c r="V6028" s="88"/>
      <c r="W6028" s="88"/>
    </row>
    <row r="6029" spans="2:23" s="0" customFormat="0" ht="15">
      <c r="B6029" s="87" t="s">
        <v>1</v>
      </c>
      <c r="C6029" s="88" t="s">
        <v>5259</v>
      </c>
      <c r="D6029" s="88">
        <v>23469260</v>
      </c>
      <c r="E6029" s="88" t="s">
        <v>61</v>
      </c>
      <c r="F6029" s="88">
        <v>0</v>
      </c>
      <c r="G6029" s="78">
        <f>MAX(H6029,I6029,J6029)</f>
        <v>1</v>
      </c>
      <c r="H6029" s="88"/>
      <c r="I6029" s="88"/>
      <c r="J6029" s="78">
        <f>MAX(K6029:Q6029)</f>
        <v>1</v>
      </c>
      <c r="K6029" s="88">
        <v>1</v>
      </c>
      <c r="L6029" s="88"/>
      <c r="M6029" s="88"/>
      <c r="N6029" s="88"/>
      <c r="O6029" s="88"/>
      <c r="P6029" s="88"/>
      <c r="Q6029" s="88"/>
      <c r="R6029" s="78">
        <f>MAX(S6029:W6029)</f>
        <v>0</v>
      </c>
      <c r="S6029" s="88"/>
      <c r="T6029" s="88"/>
      <c r="U6029" s="88"/>
      <c r="V6029" s="88"/>
      <c r="W6029" s="88"/>
    </row>
    <row r="6030" spans="2:23" s="0" customFormat="0" ht="15">
      <c r="B6030" s="87" t="s">
        <v>1</v>
      </c>
      <c r="C6030" s="88" t="s">
        <v>5259</v>
      </c>
      <c r="D6030" s="88">
        <v>1551603</v>
      </c>
      <c r="E6030" s="88" t="s">
        <v>61</v>
      </c>
      <c r="F6030" s="88">
        <v>0</v>
      </c>
      <c r="G6030" s="78">
        <f>MAX(H6030,I6030,J6030)</f>
        <v>0</v>
      </c>
      <c r="H6030" s="88"/>
      <c r="I6030" s="88"/>
      <c r="J6030" s="78">
        <f>MAX(K6030:Q6030)</f>
        <v>0</v>
      </c>
      <c r="K6030" s="88"/>
      <c r="L6030" s="88"/>
      <c r="M6030" s="88"/>
      <c r="N6030" s="88"/>
      <c r="O6030" s="88"/>
      <c r="P6030" s="88"/>
      <c r="Q6030" s="88"/>
      <c r="R6030" s="78">
        <f>MAX(S6030:W6030)</f>
        <v>1</v>
      </c>
      <c r="S6030" s="88"/>
      <c r="T6030" s="88"/>
      <c r="U6030" s="88">
        <v>1</v>
      </c>
      <c r="V6030" s="88"/>
      <c r="W6030" s="88"/>
    </row>
    <row r="6031" spans="2:23" s="0" customFormat="0" ht="15">
      <c r="B6031" s="87" t="s">
        <v>1</v>
      </c>
      <c r="C6031" s="88" t="s">
        <v>5259</v>
      </c>
      <c r="D6031" s="88" t="s">
        <v>455</v>
      </c>
      <c r="E6031" s="88" t="s">
        <v>61</v>
      </c>
      <c r="F6031" s="88">
        <v>0</v>
      </c>
      <c r="G6031" s="78">
        <f>MAX(H6031,I6031,J6031)</f>
        <v>1</v>
      </c>
      <c r="H6031" s="88"/>
      <c r="I6031" s="88"/>
      <c r="J6031" s="78">
        <f>MAX(K6031:Q6031)</f>
        <v>1</v>
      </c>
      <c r="K6031" s="88">
        <v>1</v>
      </c>
      <c r="L6031" s="88"/>
      <c r="M6031" s="88"/>
      <c r="N6031" s="88"/>
      <c r="O6031" s="88"/>
      <c r="P6031" s="88"/>
      <c r="Q6031" s="88"/>
      <c r="R6031" s="78">
        <f>MAX(S6031:W6031)</f>
        <v>0</v>
      </c>
      <c r="S6031" s="88"/>
      <c r="T6031" s="88"/>
      <c r="U6031" s="88"/>
      <c r="V6031" s="88"/>
      <c r="W6031" s="88"/>
    </row>
    <row r="6032" spans="2:23" s="0" customFormat="0" ht="15">
      <c r="B6032" s="87" t="s">
        <v>1</v>
      </c>
      <c r="C6032" s="88" t="s">
        <v>5259</v>
      </c>
      <c r="D6032" s="88" t="s">
        <v>1870</v>
      </c>
      <c r="E6032" s="88" t="s">
        <v>61</v>
      </c>
      <c r="F6032" s="88">
        <v>0</v>
      </c>
      <c r="G6032" s="78">
        <f>MAX(H6032,I6032,J6032)</f>
        <v>1</v>
      </c>
      <c r="H6032" s="88"/>
      <c r="I6032" s="88"/>
      <c r="J6032" s="78">
        <f>MAX(K6032:Q6032)</f>
        <v>1</v>
      </c>
      <c r="K6032" s="88">
        <v>1</v>
      </c>
      <c r="L6032" s="88"/>
      <c r="M6032" s="88"/>
      <c r="N6032" s="88"/>
      <c r="O6032" s="88"/>
      <c r="P6032" s="88"/>
      <c r="Q6032" s="88"/>
      <c r="R6032" s="78">
        <f>MAX(S6032:W6032)</f>
        <v>0</v>
      </c>
      <c r="S6032" s="88"/>
      <c r="T6032" s="88"/>
      <c r="U6032" s="88"/>
      <c r="V6032" s="88"/>
      <c r="W6032" s="88"/>
    </row>
    <row r="6033" spans="2:23" s="0" customFormat="0" ht="15">
      <c r="B6033" s="87" t="s">
        <v>1</v>
      </c>
      <c r="C6033" s="88" t="s">
        <v>5259</v>
      </c>
      <c r="D6033" s="88">
        <v>13230594</v>
      </c>
      <c r="E6033" s="88" t="s">
        <v>61</v>
      </c>
      <c r="F6033" s="88">
        <v>0</v>
      </c>
      <c r="G6033" s="78">
        <f>MAX(H6033,I6033,J6033)</f>
        <v>1</v>
      </c>
      <c r="H6033" s="88"/>
      <c r="I6033" s="88"/>
      <c r="J6033" s="78">
        <f>MAX(K6033:Q6033)</f>
        <v>1</v>
      </c>
      <c r="K6033" s="88">
        <v>1</v>
      </c>
      <c r="L6033" s="88"/>
      <c r="M6033" s="88"/>
      <c r="N6033" s="88"/>
      <c r="O6033" s="88"/>
      <c r="P6033" s="88"/>
      <c r="Q6033" s="88"/>
      <c r="R6033" s="78">
        <f>MAX(S6033:W6033)</f>
        <v>0</v>
      </c>
      <c r="S6033" s="88"/>
      <c r="T6033" s="88"/>
      <c r="U6033" s="88"/>
      <c r="V6033" s="88"/>
      <c r="W6033" s="88"/>
    </row>
    <row r="6034" spans="2:23" s="0" customFormat="0" ht="15">
      <c r="B6034" s="87" t="s">
        <v>1</v>
      </c>
      <c r="C6034" s="88" t="s">
        <v>5259</v>
      </c>
      <c r="D6034" s="88">
        <v>21719476</v>
      </c>
      <c r="E6034" s="88" t="s">
        <v>61</v>
      </c>
      <c r="F6034" s="88">
        <v>0</v>
      </c>
      <c r="G6034" s="78">
        <f>MAX(H6034,I6034,J6034)</f>
        <v>1</v>
      </c>
      <c r="H6034" s="88"/>
      <c r="I6034" s="88"/>
      <c r="J6034" s="78">
        <f>MAX(K6034:Q6034)</f>
        <v>1</v>
      </c>
      <c r="K6034" s="88">
        <v>1</v>
      </c>
      <c r="L6034" s="88"/>
      <c r="M6034" s="88"/>
      <c r="N6034" s="88"/>
      <c r="O6034" s="88"/>
      <c r="P6034" s="88"/>
      <c r="Q6034" s="88"/>
      <c r="R6034" s="78">
        <f>MAX(S6034:W6034)</f>
        <v>0</v>
      </c>
      <c r="S6034" s="88"/>
      <c r="T6034" s="88"/>
      <c r="U6034" s="88"/>
      <c r="V6034" s="88"/>
      <c r="W6034" s="88"/>
    </row>
    <row r="6035" spans="2:23" s="0" customFormat="0" ht="15">
      <c r="B6035" s="87" t="s">
        <v>1</v>
      </c>
      <c r="C6035" s="88" t="s">
        <v>5259</v>
      </c>
      <c r="D6035" s="88">
        <v>14851913</v>
      </c>
      <c r="E6035" s="88" t="s">
        <v>61</v>
      </c>
      <c r="F6035" s="88">
        <v>0</v>
      </c>
      <c r="G6035" s="78">
        <f>MAX(H6035,I6035,J6035)</f>
        <v>1</v>
      </c>
      <c r="H6035" s="88"/>
      <c r="I6035" s="88"/>
      <c r="J6035" s="78">
        <f>MAX(K6035:Q6035)</f>
        <v>1</v>
      </c>
      <c r="K6035" s="88">
        <v>1</v>
      </c>
      <c r="L6035" s="88"/>
      <c r="M6035" s="88"/>
      <c r="N6035" s="88"/>
      <c r="O6035" s="88"/>
      <c r="P6035" s="88"/>
      <c r="Q6035" s="88"/>
      <c r="R6035" s="78">
        <f>MAX(S6035:W6035)</f>
        <v>0</v>
      </c>
      <c r="S6035" s="88"/>
      <c r="T6035" s="88"/>
      <c r="U6035" s="88"/>
      <c r="V6035" s="88"/>
      <c r="W6035" s="88"/>
    </row>
    <row r="6036" spans="2:23" s="0" customFormat="0" ht="15">
      <c r="B6036" s="87" t="s">
        <v>1</v>
      </c>
      <c r="C6036" s="88" t="s">
        <v>5259</v>
      </c>
      <c r="D6036" s="88" t="s">
        <v>4582</v>
      </c>
      <c r="E6036" s="88" t="s">
        <v>61</v>
      </c>
      <c r="F6036" s="88">
        <v>0</v>
      </c>
      <c r="G6036" s="78">
        <f>MAX(H6036,I6036,J6036)</f>
        <v>0</v>
      </c>
      <c r="H6036" s="88"/>
      <c r="I6036" s="88"/>
      <c r="J6036" s="78">
        <f>MAX(K6036:Q6036)</f>
        <v>0</v>
      </c>
      <c r="K6036" s="88"/>
      <c r="L6036" s="88"/>
      <c r="M6036" s="88"/>
      <c r="N6036" s="88"/>
      <c r="O6036" s="88"/>
      <c r="P6036" s="88"/>
      <c r="Q6036" s="88"/>
      <c r="R6036" s="78">
        <f>MAX(S6036:W6036)</f>
        <v>1</v>
      </c>
      <c r="S6036" s="88"/>
      <c r="T6036" s="88"/>
      <c r="U6036" s="88">
        <v>1</v>
      </c>
      <c r="V6036" s="88"/>
      <c r="W6036" s="88"/>
    </row>
    <row r="6037" spans="2:23" s="0" customFormat="0" ht="15">
      <c r="B6037" s="87" t="s">
        <v>1</v>
      </c>
      <c r="C6037" s="88" t="s">
        <v>5259</v>
      </c>
      <c r="D6037" s="88" t="s">
        <v>4885</v>
      </c>
      <c r="E6037" s="88" t="s">
        <v>61</v>
      </c>
      <c r="F6037" s="88">
        <v>0</v>
      </c>
      <c r="G6037" s="78">
        <f>MAX(H6037,I6037,J6037)</f>
        <v>0</v>
      </c>
      <c r="H6037" s="88"/>
      <c r="I6037" s="88"/>
      <c r="J6037" s="78">
        <f>MAX(K6037:Q6037)</f>
        <v>0</v>
      </c>
      <c r="K6037" s="88"/>
      <c r="L6037" s="88"/>
      <c r="M6037" s="88"/>
      <c r="N6037" s="88"/>
      <c r="O6037" s="88"/>
      <c r="P6037" s="88"/>
      <c r="Q6037" s="88"/>
      <c r="R6037" s="78">
        <f>MAX(S6037:W6037)</f>
        <v>1</v>
      </c>
      <c r="S6037" s="88"/>
      <c r="T6037" s="88"/>
      <c r="U6037" s="88">
        <v>1</v>
      </c>
      <c r="V6037" s="88"/>
      <c r="W6037" s="88"/>
    </row>
    <row r="6038" spans="2:23" s="0" customFormat="0" ht="15">
      <c r="B6038" s="87" t="s">
        <v>1</v>
      </c>
      <c r="C6038" s="88" t="s">
        <v>5259</v>
      </c>
      <c r="D6038" s="88">
        <v>19671746</v>
      </c>
      <c r="E6038" s="88" t="s">
        <v>61</v>
      </c>
      <c r="F6038" s="88">
        <v>0</v>
      </c>
      <c r="G6038" s="78">
        <f>MAX(H6038,I6038,J6038)</f>
        <v>1</v>
      </c>
      <c r="H6038" s="88"/>
      <c r="I6038" s="88"/>
      <c r="J6038" s="78">
        <f>MAX(K6038:Q6038)</f>
        <v>1</v>
      </c>
      <c r="K6038" s="88"/>
      <c r="L6038" s="88">
        <v>1</v>
      </c>
      <c r="M6038" s="88"/>
      <c r="N6038" s="88"/>
      <c r="O6038" s="88"/>
      <c r="P6038" s="88"/>
      <c r="Q6038" s="88"/>
      <c r="R6038" s="78">
        <f>MAX(S6038:W6038)</f>
        <v>0</v>
      </c>
      <c r="S6038" s="88"/>
      <c r="T6038" s="88"/>
      <c r="U6038" s="88"/>
      <c r="V6038" s="88"/>
      <c r="W6038" s="88"/>
    </row>
    <row r="6039" spans="2:23" s="0" customFormat="0" ht="15">
      <c r="B6039" s="87" t="s">
        <v>1</v>
      </c>
      <c r="C6039" s="88" t="s">
        <v>5259</v>
      </c>
      <c r="D6039" s="88">
        <v>12962685</v>
      </c>
      <c r="E6039" s="88" t="s">
        <v>61</v>
      </c>
      <c r="F6039" s="88">
        <v>0</v>
      </c>
      <c r="G6039" s="78">
        <f>MAX(H6039,I6039,J6039)</f>
        <v>1</v>
      </c>
      <c r="H6039" s="88"/>
      <c r="I6039" s="88"/>
      <c r="J6039" s="78">
        <f>MAX(K6039:Q6039)</f>
        <v>1</v>
      </c>
      <c r="K6039" s="88">
        <v>1</v>
      </c>
      <c r="L6039" s="88"/>
      <c r="M6039" s="88"/>
      <c r="N6039" s="88"/>
      <c r="O6039" s="88"/>
      <c r="P6039" s="88"/>
      <c r="Q6039" s="88"/>
      <c r="R6039" s="78">
        <f>MAX(S6039:W6039)</f>
        <v>0</v>
      </c>
      <c r="S6039" s="88"/>
      <c r="T6039" s="88"/>
      <c r="U6039" s="88"/>
      <c r="V6039" s="88"/>
      <c r="W6039" s="88"/>
    </row>
    <row r="6040" spans="2:23" s="0" customFormat="0" ht="15">
      <c r="B6040" s="87" t="s">
        <v>1</v>
      </c>
      <c r="C6040" s="88" t="s">
        <v>5259</v>
      </c>
      <c r="D6040" s="88" t="s">
        <v>1784</v>
      </c>
      <c r="E6040" s="88" t="s">
        <v>61</v>
      </c>
      <c r="F6040" s="88">
        <v>0</v>
      </c>
      <c r="G6040" s="78">
        <f>MAX(H6040,I6040,J6040)</f>
        <v>1</v>
      </c>
      <c r="H6040" s="88"/>
      <c r="I6040" s="88"/>
      <c r="J6040" s="78">
        <f>MAX(K6040:Q6040)</f>
        <v>1</v>
      </c>
      <c r="K6040" s="88">
        <v>1</v>
      </c>
      <c r="L6040" s="88"/>
      <c r="M6040" s="88"/>
      <c r="N6040" s="88"/>
      <c r="O6040" s="88"/>
      <c r="P6040" s="88"/>
      <c r="Q6040" s="88"/>
      <c r="R6040" s="78">
        <f>MAX(S6040:W6040)</f>
        <v>0</v>
      </c>
      <c r="S6040" s="88"/>
      <c r="T6040" s="88"/>
      <c r="U6040" s="88"/>
      <c r="V6040" s="88"/>
      <c r="W6040" s="88"/>
    </row>
    <row r="6041" spans="2:23" s="0" customFormat="0" ht="15">
      <c r="B6041" s="87" t="s">
        <v>1</v>
      </c>
      <c r="C6041" s="88" t="s">
        <v>5259</v>
      </c>
      <c r="D6041" s="88" t="s">
        <v>5083</v>
      </c>
      <c r="E6041" s="88" t="s">
        <v>61</v>
      </c>
      <c r="F6041" s="88">
        <v>0</v>
      </c>
      <c r="G6041" s="78">
        <f>MAX(H6041,I6041,J6041)</f>
        <v>0</v>
      </c>
      <c r="H6041" s="88"/>
      <c r="I6041" s="88"/>
      <c r="J6041" s="78">
        <f>MAX(K6041:Q6041)</f>
        <v>0</v>
      </c>
      <c r="K6041" s="88"/>
      <c r="L6041" s="88"/>
      <c r="M6041" s="88"/>
      <c r="N6041" s="88"/>
      <c r="O6041" s="88"/>
      <c r="P6041" s="88"/>
      <c r="Q6041" s="88"/>
      <c r="R6041" s="78">
        <f>MAX(S6041:W6041)</f>
        <v>1</v>
      </c>
      <c r="S6041" s="88"/>
      <c r="T6041" s="88"/>
      <c r="U6041" s="88">
        <v>1</v>
      </c>
      <c r="V6041" s="88"/>
      <c r="W6041" s="88"/>
    </row>
    <row r="6042" spans="2:23" s="0" customFormat="0" ht="15">
      <c r="B6042" s="87" t="s">
        <v>1</v>
      </c>
      <c r="C6042" s="88" t="s">
        <v>5259</v>
      </c>
      <c r="D6042" s="88">
        <v>19579227</v>
      </c>
      <c r="E6042" s="88" t="s">
        <v>61</v>
      </c>
      <c r="F6042" s="88">
        <v>0</v>
      </c>
      <c r="G6042" s="78">
        <f>MAX(H6042,I6042,J6042)</f>
        <v>1</v>
      </c>
      <c r="H6042" s="88"/>
      <c r="I6042" s="88"/>
      <c r="J6042" s="78">
        <f>MAX(K6042:Q6042)</f>
        <v>1</v>
      </c>
      <c r="K6042" s="88">
        <v>1</v>
      </c>
      <c r="L6042" s="88"/>
      <c r="M6042" s="88"/>
      <c r="N6042" s="88"/>
      <c r="O6042" s="88"/>
      <c r="P6042" s="88"/>
      <c r="Q6042" s="88"/>
      <c r="R6042" s="78">
        <f>MAX(S6042:W6042)</f>
        <v>0</v>
      </c>
      <c r="S6042" s="88"/>
      <c r="T6042" s="88"/>
      <c r="U6042" s="88"/>
      <c r="V6042" s="88"/>
      <c r="W6042" s="88"/>
    </row>
    <row r="6043" spans="2:23" s="0" customFormat="0" ht="15">
      <c r="B6043" s="87" t="s">
        <v>1</v>
      </c>
      <c r="C6043" s="88" t="s">
        <v>5259</v>
      </c>
      <c r="D6043" s="88">
        <v>7936200</v>
      </c>
      <c r="E6043" s="88" t="s">
        <v>61</v>
      </c>
      <c r="F6043" s="88">
        <v>0</v>
      </c>
      <c r="G6043" s="78">
        <f>MAX(H6043,I6043,J6043)</f>
        <v>1</v>
      </c>
      <c r="H6043" s="88"/>
      <c r="I6043" s="88"/>
      <c r="J6043" s="78">
        <f>MAX(K6043:Q6043)</f>
        <v>1</v>
      </c>
      <c r="K6043" s="88">
        <v>1</v>
      </c>
      <c r="L6043" s="88"/>
      <c r="M6043" s="88"/>
      <c r="N6043" s="88"/>
      <c r="O6043" s="88"/>
      <c r="P6043" s="88"/>
      <c r="Q6043" s="88"/>
      <c r="R6043" s="78">
        <f>MAX(S6043:W6043)</f>
        <v>0</v>
      </c>
      <c r="S6043" s="88"/>
      <c r="T6043" s="88"/>
      <c r="U6043" s="88"/>
      <c r="V6043" s="88"/>
      <c r="W6043" s="88"/>
    </row>
    <row r="6044" spans="2:23" s="0" customFormat="0" ht="15">
      <c r="B6044" s="87" t="s">
        <v>1</v>
      </c>
      <c r="C6044" s="88" t="s">
        <v>5259</v>
      </c>
      <c r="D6044" s="88">
        <v>20243642</v>
      </c>
      <c r="E6044" s="88" t="s">
        <v>61</v>
      </c>
      <c r="F6044" s="88">
        <v>0</v>
      </c>
      <c r="G6044" s="78">
        <f>MAX(H6044,I6044,J6044)</f>
        <v>1</v>
      </c>
      <c r="H6044" s="88"/>
      <c r="I6044" s="88"/>
      <c r="J6044" s="78">
        <f>MAX(K6044:Q6044)</f>
        <v>1</v>
      </c>
      <c r="K6044" s="88">
        <v>1</v>
      </c>
      <c r="L6044" s="88"/>
      <c r="M6044" s="88"/>
      <c r="N6044" s="88"/>
      <c r="O6044" s="88"/>
      <c r="P6044" s="88"/>
      <c r="Q6044" s="88"/>
      <c r="R6044" s="78">
        <f>MAX(S6044:W6044)</f>
        <v>0</v>
      </c>
      <c r="S6044" s="88"/>
      <c r="T6044" s="88"/>
      <c r="U6044" s="88"/>
      <c r="V6044" s="88"/>
      <c r="W6044" s="88"/>
    </row>
    <row r="6045" spans="2:23" s="0" customFormat="0" ht="15">
      <c r="B6045" s="87" t="s">
        <v>1</v>
      </c>
      <c r="C6045" s="88" t="s">
        <v>5259</v>
      </c>
      <c r="D6045" s="88" t="s">
        <v>3282</v>
      </c>
      <c r="E6045" s="88" t="s">
        <v>61</v>
      </c>
      <c r="F6045" s="88">
        <v>0</v>
      </c>
      <c r="G6045" s="78">
        <f>MAX(H6045,I6045,J6045)</f>
        <v>0</v>
      </c>
      <c r="H6045" s="88"/>
      <c r="I6045" s="88"/>
      <c r="J6045" s="78">
        <f>MAX(K6045:Q6045)</f>
        <v>0</v>
      </c>
      <c r="K6045" s="88"/>
      <c r="L6045" s="88"/>
      <c r="M6045" s="88"/>
      <c r="N6045" s="88"/>
      <c r="O6045" s="88"/>
      <c r="P6045" s="88"/>
      <c r="Q6045" s="88"/>
      <c r="R6045" s="78">
        <f>MAX(S6045:W6045)</f>
        <v>1</v>
      </c>
      <c r="S6045" s="88"/>
      <c r="T6045" s="88"/>
      <c r="U6045" s="88"/>
      <c r="V6045" s="88">
        <v>1</v>
      </c>
      <c r="W6045" s="88"/>
    </row>
    <row r="6046" spans="2:23" s="0" customFormat="0" ht="15">
      <c r="B6046" s="87" t="s">
        <v>1</v>
      </c>
      <c r="C6046" s="88" t="s">
        <v>5259</v>
      </c>
      <c r="D6046" s="88">
        <v>21127133</v>
      </c>
      <c r="E6046" s="88" t="s">
        <v>61</v>
      </c>
      <c r="F6046" s="88">
        <v>0</v>
      </c>
      <c r="G6046" s="78">
        <f>MAX(H6046,I6046,J6046)</f>
        <v>1</v>
      </c>
      <c r="H6046" s="88"/>
      <c r="I6046" s="88"/>
      <c r="J6046" s="78">
        <f>MAX(K6046:Q6046)</f>
        <v>1</v>
      </c>
      <c r="K6046" s="88">
        <v>1</v>
      </c>
      <c r="L6046" s="88"/>
      <c r="M6046" s="88"/>
      <c r="N6046" s="88"/>
      <c r="O6046" s="88"/>
      <c r="P6046" s="88"/>
      <c r="Q6046" s="88"/>
      <c r="R6046" s="78">
        <f>MAX(S6046:W6046)</f>
        <v>0</v>
      </c>
      <c r="S6046" s="88"/>
      <c r="T6046" s="88"/>
      <c r="U6046" s="88"/>
      <c r="V6046" s="88"/>
      <c r="W6046" s="88"/>
    </row>
    <row r="6047" spans="2:23" s="0" customFormat="0" ht="15">
      <c r="B6047" s="87" t="s">
        <v>1</v>
      </c>
      <c r="C6047" s="88" t="s">
        <v>5259</v>
      </c>
      <c r="D6047" s="88">
        <v>9476265</v>
      </c>
      <c r="E6047" s="88" t="s">
        <v>61</v>
      </c>
      <c r="F6047" s="88">
        <v>0</v>
      </c>
      <c r="G6047" s="78">
        <f>MAX(H6047,I6047,J6047)</f>
        <v>1</v>
      </c>
      <c r="H6047" s="88"/>
      <c r="I6047" s="88"/>
      <c r="J6047" s="78">
        <f>MAX(K6047:Q6047)</f>
        <v>1</v>
      </c>
      <c r="K6047" s="88">
        <v>1</v>
      </c>
      <c r="L6047" s="88"/>
      <c r="M6047" s="88"/>
      <c r="N6047" s="88"/>
      <c r="O6047" s="88"/>
      <c r="P6047" s="88"/>
      <c r="Q6047" s="88"/>
      <c r="R6047" s="78">
        <f>MAX(S6047:W6047)</f>
        <v>0</v>
      </c>
      <c r="S6047" s="88"/>
      <c r="T6047" s="88"/>
      <c r="U6047" s="88"/>
      <c r="V6047" s="88"/>
      <c r="W6047" s="88"/>
    </row>
    <row r="6048" spans="2:23" s="0" customFormat="0" ht="15">
      <c r="B6048" s="87" t="s">
        <v>1</v>
      </c>
      <c r="C6048" s="88" t="s">
        <v>5259</v>
      </c>
      <c r="D6048" s="88">
        <v>12414185</v>
      </c>
      <c r="E6048" s="88" t="s">
        <v>61</v>
      </c>
      <c r="F6048" s="88">
        <v>0</v>
      </c>
      <c r="G6048" s="78">
        <f>MAX(H6048,I6048,J6048)</f>
        <v>1</v>
      </c>
      <c r="H6048" s="88"/>
      <c r="I6048" s="88"/>
      <c r="J6048" s="78">
        <f>MAX(K6048:Q6048)</f>
        <v>1</v>
      </c>
      <c r="K6048" s="88">
        <v>1</v>
      </c>
      <c r="L6048" s="88"/>
      <c r="M6048" s="88"/>
      <c r="N6048" s="88"/>
      <c r="O6048" s="88"/>
      <c r="P6048" s="88"/>
      <c r="Q6048" s="88"/>
      <c r="R6048" s="78">
        <f>MAX(S6048:W6048)</f>
        <v>0</v>
      </c>
      <c r="S6048" s="88"/>
      <c r="T6048" s="88"/>
      <c r="U6048" s="88"/>
      <c r="V6048" s="88"/>
      <c r="W6048" s="88"/>
    </row>
    <row r="6049" spans="2:23" s="0" customFormat="0" ht="15">
      <c r="B6049" s="87" t="s">
        <v>1</v>
      </c>
      <c r="C6049" s="88" t="s">
        <v>5259</v>
      </c>
      <c r="D6049" s="88">
        <v>22827429</v>
      </c>
      <c r="E6049" s="88" t="s">
        <v>61</v>
      </c>
      <c r="F6049" s="88">
        <v>0</v>
      </c>
      <c r="G6049" s="78">
        <f>MAX(H6049,I6049,J6049)</f>
        <v>1</v>
      </c>
      <c r="H6049" s="88"/>
      <c r="I6049" s="88"/>
      <c r="J6049" s="78">
        <f>MAX(K6049:Q6049)</f>
        <v>1</v>
      </c>
      <c r="K6049" s="88">
        <v>1</v>
      </c>
      <c r="L6049" s="88"/>
      <c r="M6049" s="88"/>
      <c r="N6049" s="88"/>
      <c r="O6049" s="88"/>
      <c r="P6049" s="88"/>
      <c r="Q6049" s="88"/>
      <c r="R6049" s="78">
        <f>MAX(S6049:W6049)</f>
        <v>0</v>
      </c>
      <c r="S6049" s="88"/>
      <c r="T6049" s="88"/>
      <c r="U6049" s="88"/>
      <c r="V6049" s="88"/>
      <c r="W6049" s="88"/>
    </row>
    <row r="6050" spans="2:23" s="0" customFormat="0" ht="15">
      <c r="B6050" s="87" t="s">
        <v>1</v>
      </c>
      <c r="C6050" s="88" t="s">
        <v>5259</v>
      </c>
      <c r="D6050" s="88">
        <v>21764314</v>
      </c>
      <c r="E6050" s="88" t="s">
        <v>61</v>
      </c>
      <c r="F6050" s="88">
        <v>0</v>
      </c>
      <c r="G6050" s="78">
        <f>MAX(H6050,I6050,J6050)</f>
        <v>1</v>
      </c>
      <c r="H6050" s="88"/>
      <c r="I6050" s="88"/>
      <c r="J6050" s="78">
        <f>MAX(K6050:Q6050)</f>
        <v>1</v>
      </c>
      <c r="K6050" s="88">
        <v>1</v>
      </c>
      <c r="L6050" s="88"/>
      <c r="M6050" s="88"/>
      <c r="N6050" s="88"/>
      <c r="O6050" s="88"/>
      <c r="P6050" s="88"/>
      <c r="Q6050" s="88"/>
      <c r="R6050" s="78">
        <f>MAX(S6050:W6050)</f>
        <v>0</v>
      </c>
      <c r="S6050" s="88"/>
      <c r="T6050" s="88"/>
      <c r="U6050" s="88"/>
      <c r="V6050" s="88"/>
      <c r="W6050" s="88"/>
    </row>
    <row r="6051" spans="2:23" s="0" customFormat="0" ht="15">
      <c r="B6051" s="87" t="s">
        <v>1</v>
      </c>
      <c r="C6051" s="88" t="s">
        <v>5259</v>
      </c>
      <c r="D6051" s="88" t="s">
        <v>4950</v>
      </c>
      <c r="E6051" s="88" t="s">
        <v>61</v>
      </c>
      <c r="F6051" s="88">
        <v>0</v>
      </c>
      <c r="G6051" s="78">
        <f>MAX(H6051,I6051,J6051)</f>
        <v>0</v>
      </c>
      <c r="H6051" s="88"/>
      <c r="I6051" s="88"/>
      <c r="J6051" s="78">
        <f>MAX(K6051:Q6051)</f>
        <v>0</v>
      </c>
      <c r="K6051" s="88"/>
      <c r="L6051" s="88"/>
      <c r="M6051" s="88"/>
      <c r="N6051" s="88"/>
      <c r="O6051" s="88"/>
      <c r="P6051" s="88"/>
      <c r="Q6051" s="88"/>
      <c r="R6051" s="78">
        <f>MAX(S6051:W6051)</f>
        <v>1</v>
      </c>
      <c r="S6051" s="88"/>
      <c r="T6051" s="88"/>
      <c r="U6051" s="88">
        <v>1</v>
      </c>
      <c r="V6051" s="88"/>
      <c r="W6051" s="88"/>
    </row>
    <row r="6052" spans="2:23" s="0" customFormat="0" ht="15">
      <c r="B6052" s="87" t="s">
        <v>1</v>
      </c>
      <c r="C6052" s="88" t="s">
        <v>5259</v>
      </c>
      <c r="D6052" s="88">
        <v>23455190</v>
      </c>
      <c r="E6052" s="88" t="s">
        <v>61</v>
      </c>
      <c r="F6052" s="88">
        <v>0</v>
      </c>
      <c r="G6052" s="78">
        <f>MAX(H6052,I6052,J6052)</f>
        <v>1</v>
      </c>
      <c r="H6052" s="88"/>
      <c r="I6052" s="88"/>
      <c r="J6052" s="78">
        <f>MAX(K6052:Q6052)</f>
        <v>1</v>
      </c>
      <c r="K6052" s="88">
        <v>1</v>
      </c>
      <c r="L6052" s="88"/>
      <c r="M6052" s="88"/>
      <c r="N6052" s="88"/>
      <c r="O6052" s="88"/>
      <c r="P6052" s="88"/>
      <c r="Q6052" s="88"/>
      <c r="R6052" s="78">
        <f>MAX(S6052:W6052)</f>
        <v>0</v>
      </c>
      <c r="S6052" s="88"/>
      <c r="T6052" s="88"/>
      <c r="U6052" s="88"/>
      <c r="V6052" s="88"/>
      <c r="W6052" s="88"/>
    </row>
    <row r="6053" spans="2:23" s="0" customFormat="0" ht="15">
      <c r="B6053" s="87" t="s">
        <v>1</v>
      </c>
      <c r="C6053" s="88" t="s">
        <v>5259</v>
      </c>
      <c r="D6053" s="88">
        <v>2644357</v>
      </c>
      <c r="E6053" s="88" t="s">
        <v>61</v>
      </c>
      <c r="F6053" s="88">
        <v>0</v>
      </c>
      <c r="G6053" s="78">
        <f>MAX(H6053,I6053,J6053)</f>
        <v>0</v>
      </c>
      <c r="H6053" s="88"/>
      <c r="I6053" s="88"/>
      <c r="J6053" s="78">
        <f>MAX(K6053:Q6053)</f>
        <v>0</v>
      </c>
      <c r="K6053" s="88"/>
      <c r="L6053" s="88"/>
      <c r="M6053" s="88"/>
      <c r="N6053" s="88"/>
      <c r="O6053" s="88"/>
      <c r="P6053" s="88"/>
      <c r="Q6053" s="88"/>
      <c r="R6053" s="78">
        <f>MAX(S6053:W6053)</f>
        <v>1</v>
      </c>
      <c r="S6053" s="88"/>
      <c r="T6053" s="88"/>
      <c r="U6053" s="88">
        <v>1</v>
      </c>
      <c r="V6053" s="88"/>
      <c r="W6053" s="88"/>
    </row>
    <row r="6054" spans="2:23" s="0" customFormat="0" ht="15">
      <c r="B6054" s="87" t="s">
        <v>1</v>
      </c>
      <c r="C6054" s="88" t="s">
        <v>5259</v>
      </c>
      <c r="D6054" s="88">
        <v>23372702</v>
      </c>
      <c r="E6054" s="88" t="s">
        <v>61</v>
      </c>
      <c r="F6054" s="88">
        <v>0</v>
      </c>
      <c r="G6054" s="78">
        <f>MAX(H6054,I6054,J6054)</f>
        <v>1</v>
      </c>
      <c r="H6054" s="88"/>
      <c r="I6054" s="88"/>
      <c r="J6054" s="78">
        <f>MAX(K6054:Q6054)</f>
        <v>1</v>
      </c>
      <c r="K6054" s="88">
        <v>1</v>
      </c>
      <c r="L6054" s="88"/>
      <c r="M6054" s="88"/>
      <c r="N6054" s="88"/>
      <c r="O6054" s="88"/>
      <c r="P6054" s="88"/>
      <c r="Q6054" s="88"/>
      <c r="R6054" s="78">
        <f>MAX(S6054:W6054)</f>
        <v>0</v>
      </c>
      <c r="S6054" s="88"/>
      <c r="T6054" s="88"/>
      <c r="U6054" s="88"/>
      <c r="V6054" s="88"/>
      <c r="W6054" s="88"/>
    </row>
    <row r="6055" spans="2:23" s="0" customFormat="0" ht="15">
      <c r="B6055" s="87" t="s">
        <v>1</v>
      </c>
      <c r="C6055" s="88" t="s">
        <v>5259</v>
      </c>
      <c r="D6055" s="88">
        <v>23848887</v>
      </c>
      <c r="E6055" s="88" t="s">
        <v>61</v>
      </c>
      <c r="F6055" s="88">
        <v>0</v>
      </c>
      <c r="G6055" s="78">
        <f>MAX(H6055,I6055,J6055)</f>
        <v>1</v>
      </c>
      <c r="H6055" s="88"/>
      <c r="I6055" s="88"/>
      <c r="J6055" s="78">
        <f>MAX(K6055:Q6055)</f>
        <v>1</v>
      </c>
      <c r="K6055" s="88"/>
      <c r="L6055" s="88"/>
      <c r="M6055" s="88">
        <v>1</v>
      </c>
      <c r="N6055" s="88"/>
      <c r="O6055" s="88"/>
      <c r="P6055" s="88"/>
      <c r="Q6055" s="88"/>
      <c r="R6055" s="78">
        <f>MAX(S6055:W6055)</f>
        <v>0</v>
      </c>
      <c r="S6055" s="88"/>
      <c r="T6055" s="88"/>
      <c r="U6055" s="88"/>
      <c r="V6055" s="88"/>
      <c r="W6055" s="88"/>
    </row>
    <row r="6056" spans="2:23" s="0" customFormat="0" ht="15">
      <c r="B6056" s="87" t="s">
        <v>1</v>
      </c>
      <c r="C6056" s="88" t="s">
        <v>5259</v>
      </c>
      <c r="D6056" s="88">
        <v>22554075</v>
      </c>
      <c r="E6056" s="88" t="s">
        <v>61</v>
      </c>
      <c r="F6056" s="88">
        <v>0</v>
      </c>
      <c r="G6056" s="78">
        <f>MAX(H6056,I6056,J6056)</f>
        <v>0</v>
      </c>
      <c r="H6056" s="88"/>
      <c r="I6056" s="88"/>
      <c r="J6056" s="78">
        <f>MAX(K6056:Q6056)</f>
        <v>0</v>
      </c>
      <c r="K6056" s="88"/>
      <c r="L6056" s="88"/>
      <c r="M6056" s="88"/>
      <c r="N6056" s="88"/>
      <c r="O6056" s="88"/>
      <c r="P6056" s="88"/>
      <c r="Q6056" s="88"/>
      <c r="R6056" s="78">
        <f>MAX(S6056:W6056)</f>
        <v>1</v>
      </c>
      <c r="S6056" s="88"/>
      <c r="T6056" s="88"/>
      <c r="U6056" s="88">
        <v>1</v>
      </c>
      <c r="V6056" s="88"/>
      <c r="W6056" s="88"/>
    </row>
    <row r="6057" spans="2:23" s="0" customFormat="0" ht="15">
      <c r="B6057" s="87" t="s">
        <v>1</v>
      </c>
      <c r="C6057" s="88" t="s">
        <v>5259</v>
      </c>
      <c r="D6057" s="88">
        <v>1551422</v>
      </c>
      <c r="E6057" s="88" t="s">
        <v>61</v>
      </c>
      <c r="F6057" s="88">
        <v>0</v>
      </c>
      <c r="G6057" s="78">
        <f>MAX(H6057,I6057,J6057)</f>
        <v>0</v>
      </c>
      <c r="H6057" s="88"/>
      <c r="I6057" s="88"/>
      <c r="J6057" s="78">
        <f>MAX(K6057:Q6057)</f>
        <v>0</v>
      </c>
      <c r="K6057" s="88"/>
      <c r="L6057" s="88"/>
      <c r="M6057" s="88"/>
      <c r="N6057" s="88"/>
      <c r="O6057" s="88"/>
      <c r="P6057" s="88"/>
      <c r="Q6057" s="88"/>
      <c r="R6057" s="78">
        <f>MAX(S6057:W6057)</f>
        <v>1</v>
      </c>
      <c r="S6057" s="88"/>
      <c r="T6057" s="88"/>
      <c r="U6057" s="88">
        <v>1</v>
      </c>
      <c r="V6057" s="88"/>
      <c r="W6057" s="88"/>
    </row>
    <row r="6058" spans="2:23" s="0" customFormat="0" ht="15">
      <c r="B6058" s="87" t="s">
        <v>1</v>
      </c>
      <c r="C6058" s="88" t="s">
        <v>5259</v>
      </c>
      <c r="D6058" s="88">
        <v>16183661</v>
      </c>
      <c r="E6058" s="88" t="s">
        <v>61</v>
      </c>
      <c r="F6058" s="88">
        <v>0</v>
      </c>
      <c r="G6058" s="78">
        <f>MAX(H6058,I6058,J6058)</f>
        <v>1</v>
      </c>
      <c r="H6058" s="88"/>
      <c r="I6058" s="88"/>
      <c r="J6058" s="78">
        <f>MAX(K6058:Q6058)</f>
        <v>1</v>
      </c>
      <c r="K6058" s="88">
        <v>1</v>
      </c>
      <c r="L6058" s="88"/>
      <c r="M6058" s="88"/>
      <c r="N6058" s="88"/>
      <c r="O6058" s="88"/>
      <c r="P6058" s="88"/>
      <c r="Q6058" s="88"/>
      <c r="R6058" s="78">
        <f>MAX(S6058:W6058)</f>
        <v>0</v>
      </c>
      <c r="S6058" s="88"/>
      <c r="T6058" s="88"/>
      <c r="U6058" s="88"/>
      <c r="V6058" s="88"/>
      <c r="W6058" s="88"/>
    </row>
    <row r="6059" spans="2:23" s="0" customFormat="0" ht="15">
      <c r="B6059" s="87" t="s">
        <v>1</v>
      </c>
      <c r="C6059" s="88" t="s">
        <v>5259</v>
      </c>
      <c r="D6059" s="88" t="s">
        <v>218</v>
      </c>
      <c r="E6059" s="88" t="s">
        <v>61</v>
      </c>
      <c r="F6059" s="88">
        <v>0</v>
      </c>
      <c r="G6059" s="78">
        <f>MAX(H6059,I6059,J6059)</f>
        <v>1</v>
      </c>
      <c r="H6059" s="88"/>
      <c r="I6059" s="88"/>
      <c r="J6059" s="78">
        <f>MAX(K6059:Q6059)</f>
        <v>1</v>
      </c>
      <c r="K6059" s="88">
        <v>1</v>
      </c>
      <c r="L6059" s="88"/>
      <c r="M6059" s="88"/>
      <c r="N6059" s="88"/>
      <c r="O6059" s="88"/>
      <c r="P6059" s="88"/>
      <c r="Q6059" s="88"/>
      <c r="R6059" s="78">
        <f>MAX(S6059:W6059)</f>
        <v>0</v>
      </c>
      <c r="S6059" s="88"/>
      <c r="T6059" s="88"/>
      <c r="U6059" s="88"/>
      <c r="V6059" s="88"/>
      <c r="W6059" s="88"/>
    </row>
    <row r="6060" spans="2:23" s="0" customFormat="0" ht="15">
      <c r="B6060" s="87" t="s">
        <v>1</v>
      </c>
      <c r="C6060" s="88" t="s">
        <v>5259</v>
      </c>
      <c r="D6060" s="88">
        <v>9529859</v>
      </c>
      <c r="E6060" s="88" t="s">
        <v>61</v>
      </c>
      <c r="F6060" s="88">
        <v>0</v>
      </c>
      <c r="G6060" s="78">
        <f>MAX(H6060,I6060,J6060)</f>
        <v>1</v>
      </c>
      <c r="H6060" s="88"/>
      <c r="I6060" s="88"/>
      <c r="J6060" s="78">
        <f>MAX(K6060:Q6060)</f>
        <v>1</v>
      </c>
      <c r="K6060" s="88">
        <v>1</v>
      </c>
      <c r="L6060" s="88"/>
      <c r="M6060" s="88"/>
      <c r="N6060" s="88"/>
      <c r="O6060" s="88"/>
      <c r="P6060" s="88"/>
      <c r="Q6060" s="88"/>
      <c r="R6060" s="78">
        <f>MAX(S6060:W6060)</f>
        <v>0</v>
      </c>
      <c r="S6060" s="88"/>
      <c r="T6060" s="88"/>
      <c r="U6060" s="88"/>
      <c r="V6060" s="88"/>
      <c r="W6060" s="88"/>
    </row>
    <row r="6061" spans="2:23" s="0" customFormat="0" ht="15">
      <c r="B6061" s="87" t="s">
        <v>1</v>
      </c>
      <c r="C6061" s="88" t="s">
        <v>5259</v>
      </c>
      <c r="D6061" s="88">
        <v>20798798</v>
      </c>
      <c r="E6061" s="88" t="s">
        <v>61</v>
      </c>
      <c r="F6061" s="88">
        <v>0</v>
      </c>
      <c r="G6061" s="78">
        <f>MAX(H6061,I6061,J6061)</f>
        <v>1</v>
      </c>
      <c r="H6061" s="88"/>
      <c r="I6061" s="88"/>
      <c r="J6061" s="78">
        <f>MAX(K6061:Q6061)</f>
        <v>1</v>
      </c>
      <c r="K6061" s="88">
        <v>1</v>
      </c>
      <c r="L6061" s="88"/>
      <c r="M6061" s="88"/>
      <c r="N6061" s="88"/>
      <c r="O6061" s="88"/>
      <c r="P6061" s="88"/>
      <c r="Q6061" s="88"/>
      <c r="R6061" s="78">
        <f>MAX(S6061:W6061)</f>
        <v>0</v>
      </c>
      <c r="S6061" s="88"/>
      <c r="T6061" s="88"/>
      <c r="U6061" s="88"/>
      <c r="V6061" s="88"/>
      <c r="W6061" s="88"/>
    </row>
    <row r="6062" spans="2:23" s="0" customFormat="0" ht="15">
      <c r="B6062" s="87" t="s">
        <v>1</v>
      </c>
      <c r="C6062" s="88" t="s">
        <v>5259</v>
      </c>
      <c r="D6062" s="88">
        <v>21024822</v>
      </c>
      <c r="E6062" s="88" t="s">
        <v>61</v>
      </c>
      <c r="F6062" s="88">
        <v>0</v>
      </c>
      <c r="G6062" s="78">
        <f>MAX(H6062,I6062,J6062)</f>
        <v>1</v>
      </c>
      <c r="H6062" s="88"/>
      <c r="I6062" s="88"/>
      <c r="J6062" s="78">
        <f>MAX(K6062:Q6062)</f>
        <v>1</v>
      </c>
      <c r="K6062" s="88">
        <v>1</v>
      </c>
      <c r="L6062" s="88"/>
      <c r="M6062" s="88"/>
      <c r="N6062" s="88"/>
      <c r="O6062" s="88"/>
      <c r="P6062" s="88"/>
      <c r="Q6062" s="88"/>
      <c r="R6062" s="78">
        <f>MAX(S6062:W6062)</f>
        <v>0</v>
      </c>
      <c r="S6062" s="88"/>
      <c r="T6062" s="88"/>
      <c r="U6062" s="88"/>
      <c r="V6062" s="88"/>
      <c r="W6062" s="88"/>
    </row>
    <row r="6063" spans="2:23" s="0" customFormat="0" ht="15">
      <c r="B6063" s="87" t="s">
        <v>1</v>
      </c>
      <c r="C6063" s="88" t="s">
        <v>5259</v>
      </c>
      <c r="D6063" s="88" t="s">
        <v>5193</v>
      </c>
      <c r="E6063" s="88" t="s">
        <v>61</v>
      </c>
      <c r="F6063" s="88">
        <v>0</v>
      </c>
      <c r="G6063" s="78">
        <f>MAX(H6063,I6063,J6063)</f>
        <v>0</v>
      </c>
      <c r="H6063" s="88"/>
      <c r="I6063" s="88"/>
      <c r="J6063" s="78">
        <f>MAX(K6063:Q6063)</f>
        <v>0</v>
      </c>
      <c r="K6063" s="88"/>
      <c r="L6063" s="88"/>
      <c r="M6063" s="88"/>
      <c r="N6063" s="88"/>
      <c r="O6063" s="88"/>
      <c r="P6063" s="88"/>
      <c r="Q6063" s="88"/>
      <c r="R6063" s="78">
        <f>MAX(S6063:W6063)</f>
        <v>1</v>
      </c>
      <c r="S6063" s="88"/>
      <c r="T6063" s="88"/>
      <c r="U6063" s="88">
        <v>1</v>
      </c>
      <c r="V6063" s="88"/>
      <c r="W6063" s="88"/>
    </row>
    <row r="6064" spans="2:23" s="0" customFormat="0" ht="15">
      <c r="B6064" s="87" t="s">
        <v>1</v>
      </c>
      <c r="C6064" s="88" t="s">
        <v>5259</v>
      </c>
      <c r="D6064" s="88">
        <v>21236160</v>
      </c>
      <c r="E6064" s="88" t="s">
        <v>61</v>
      </c>
      <c r="F6064" s="88">
        <v>0</v>
      </c>
      <c r="G6064" s="78">
        <f>MAX(H6064,I6064,J6064)</f>
        <v>1</v>
      </c>
      <c r="H6064" s="88"/>
      <c r="I6064" s="88"/>
      <c r="J6064" s="78">
        <f>MAX(K6064:Q6064)</f>
        <v>1</v>
      </c>
      <c r="K6064" s="88">
        <v>1</v>
      </c>
      <c r="L6064" s="88"/>
      <c r="M6064" s="88"/>
      <c r="N6064" s="88"/>
      <c r="O6064" s="88"/>
      <c r="P6064" s="88"/>
      <c r="Q6064" s="88"/>
      <c r="R6064" s="78">
        <f>MAX(S6064:W6064)</f>
        <v>0</v>
      </c>
      <c r="S6064" s="88"/>
      <c r="T6064" s="88"/>
      <c r="U6064" s="88"/>
      <c r="V6064" s="88"/>
      <c r="W6064" s="88"/>
    </row>
    <row r="6065" spans="2:23" s="0" customFormat="0" ht="15">
      <c r="B6065" s="87" t="s">
        <v>1</v>
      </c>
      <c r="C6065" s="88" t="s">
        <v>5259</v>
      </c>
      <c r="D6065" s="88" t="s">
        <v>5195</v>
      </c>
      <c r="E6065" s="88" t="s">
        <v>61</v>
      </c>
      <c r="F6065" s="88">
        <v>0</v>
      </c>
      <c r="G6065" s="78">
        <f>MAX(H6065,I6065,J6065)</f>
        <v>0</v>
      </c>
      <c r="H6065" s="88"/>
      <c r="I6065" s="88"/>
      <c r="J6065" s="78">
        <f>MAX(K6065:Q6065)</f>
        <v>0</v>
      </c>
      <c r="K6065" s="88"/>
      <c r="L6065" s="88"/>
      <c r="M6065" s="88"/>
      <c r="N6065" s="88"/>
      <c r="O6065" s="88"/>
      <c r="P6065" s="88"/>
      <c r="Q6065" s="88"/>
      <c r="R6065" s="78">
        <f>MAX(S6065:W6065)</f>
        <v>1</v>
      </c>
      <c r="S6065" s="88"/>
      <c r="T6065" s="88"/>
      <c r="U6065" s="88">
        <v>1</v>
      </c>
      <c r="V6065" s="88"/>
      <c r="W6065" s="88"/>
    </row>
    <row r="6066" spans="2:23" s="0" customFormat="0" ht="15">
      <c r="B6066" s="87" t="s">
        <v>1</v>
      </c>
      <c r="C6066" s="88" t="s">
        <v>5259</v>
      </c>
      <c r="D6066" s="88" t="s">
        <v>5166</v>
      </c>
      <c r="E6066" s="88" t="s">
        <v>61</v>
      </c>
      <c r="F6066" s="88">
        <v>0</v>
      </c>
      <c r="G6066" s="78">
        <f>MAX(H6066,I6066,J6066)</f>
        <v>0</v>
      </c>
      <c r="H6066" s="88"/>
      <c r="I6066" s="88"/>
      <c r="J6066" s="78">
        <f>MAX(K6066:Q6066)</f>
        <v>0</v>
      </c>
      <c r="K6066" s="88"/>
      <c r="L6066" s="88"/>
      <c r="M6066" s="88"/>
      <c r="N6066" s="88"/>
      <c r="O6066" s="88"/>
      <c r="P6066" s="88"/>
      <c r="Q6066" s="88"/>
      <c r="R6066" s="78">
        <f>MAX(S6066:W6066)</f>
        <v>1</v>
      </c>
      <c r="S6066" s="88"/>
      <c r="T6066" s="88"/>
      <c r="U6066" s="88">
        <v>1</v>
      </c>
      <c r="V6066" s="88"/>
      <c r="W6066" s="88"/>
    </row>
    <row r="6067" spans="2:23" s="0" customFormat="0" ht="15">
      <c r="B6067" s="87" t="s">
        <v>1</v>
      </c>
      <c r="C6067" s="88" t="s">
        <v>5259</v>
      </c>
      <c r="D6067" s="88">
        <v>22317281</v>
      </c>
      <c r="E6067" s="88" t="s">
        <v>61</v>
      </c>
      <c r="F6067" s="88">
        <v>0</v>
      </c>
      <c r="G6067" s="78">
        <f>MAX(H6067,I6067,J6067)</f>
        <v>1</v>
      </c>
      <c r="H6067" s="88"/>
      <c r="I6067" s="88"/>
      <c r="J6067" s="78">
        <f>MAX(K6067:Q6067)</f>
        <v>1</v>
      </c>
      <c r="K6067" s="88">
        <v>1</v>
      </c>
      <c r="L6067" s="88"/>
      <c r="M6067" s="88"/>
      <c r="N6067" s="88"/>
      <c r="O6067" s="88"/>
      <c r="P6067" s="88"/>
      <c r="Q6067" s="88"/>
      <c r="R6067" s="78">
        <f>MAX(S6067:W6067)</f>
        <v>0</v>
      </c>
      <c r="S6067" s="88"/>
      <c r="T6067" s="88"/>
      <c r="U6067" s="88"/>
      <c r="V6067" s="88"/>
      <c r="W6067" s="88"/>
    </row>
    <row r="6068" spans="2:23" s="0" customFormat="0" ht="15">
      <c r="B6068" s="87" t="s">
        <v>1</v>
      </c>
      <c r="C6068" s="88" t="s">
        <v>5259</v>
      </c>
      <c r="D6068" s="88">
        <v>23613618</v>
      </c>
      <c r="E6068" s="88" t="s">
        <v>61</v>
      </c>
      <c r="F6068" s="88">
        <v>0</v>
      </c>
      <c r="G6068" s="78">
        <f>MAX(H6068,I6068,J6068)</f>
        <v>1</v>
      </c>
      <c r="H6068" s="88"/>
      <c r="I6068" s="88"/>
      <c r="J6068" s="78">
        <f>MAX(K6068:Q6068)</f>
        <v>1</v>
      </c>
      <c r="K6068" s="88">
        <v>1</v>
      </c>
      <c r="L6068" s="88"/>
      <c r="M6068" s="88"/>
      <c r="N6068" s="88"/>
      <c r="O6068" s="88"/>
      <c r="P6068" s="88"/>
      <c r="Q6068" s="88"/>
      <c r="R6068" s="78">
        <f>MAX(S6068:W6068)</f>
        <v>0</v>
      </c>
      <c r="S6068" s="88"/>
      <c r="T6068" s="88"/>
      <c r="U6068" s="88"/>
      <c r="V6068" s="88"/>
      <c r="W6068" s="88"/>
    </row>
    <row r="6069" spans="2:23" s="0" customFormat="0" ht="15">
      <c r="B6069" s="87" t="s">
        <v>1</v>
      </c>
      <c r="C6069" s="88" t="s">
        <v>5259</v>
      </c>
      <c r="D6069" s="88" t="s">
        <v>3713</v>
      </c>
      <c r="E6069" s="88" t="s">
        <v>61</v>
      </c>
      <c r="F6069" s="88">
        <v>0</v>
      </c>
      <c r="G6069" s="78">
        <f>MAX(H6069,I6069,J6069)</f>
        <v>0</v>
      </c>
      <c r="H6069" s="88"/>
      <c r="I6069" s="88"/>
      <c r="J6069" s="78">
        <f>MAX(K6069:Q6069)</f>
        <v>0</v>
      </c>
      <c r="K6069" s="88"/>
      <c r="L6069" s="88"/>
      <c r="M6069" s="88"/>
      <c r="N6069" s="88"/>
      <c r="O6069" s="88"/>
      <c r="P6069" s="88"/>
      <c r="Q6069" s="88"/>
      <c r="R6069" s="78">
        <f>MAX(S6069:W6069)</f>
        <v>1</v>
      </c>
      <c r="S6069" s="88"/>
      <c r="T6069" s="88"/>
      <c r="U6069" s="88">
        <v>1</v>
      </c>
      <c r="V6069" s="88"/>
      <c r="W6069" s="88"/>
    </row>
    <row r="6070" spans="2:23" s="0" customFormat="0" ht="15">
      <c r="B6070" s="87" t="s">
        <v>1</v>
      </c>
      <c r="C6070" s="88" t="s">
        <v>5259</v>
      </c>
      <c r="D6070" s="88" t="s">
        <v>5198</v>
      </c>
      <c r="E6070" s="88" t="s">
        <v>61</v>
      </c>
      <c r="F6070" s="88">
        <v>0</v>
      </c>
      <c r="G6070" s="78">
        <f>MAX(H6070,I6070,J6070)</f>
        <v>0</v>
      </c>
      <c r="H6070" s="88"/>
      <c r="I6070" s="88"/>
      <c r="J6070" s="78">
        <f>MAX(K6070:Q6070)</f>
        <v>0</v>
      </c>
      <c r="K6070" s="88"/>
      <c r="L6070" s="88"/>
      <c r="M6070" s="88"/>
      <c r="N6070" s="88"/>
      <c r="O6070" s="88"/>
      <c r="P6070" s="88"/>
      <c r="Q6070" s="88"/>
      <c r="R6070" s="78">
        <f>MAX(S6070:W6070)</f>
        <v>1</v>
      </c>
      <c r="S6070" s="88"/>
      <c r="T6070" s="88"/>
      <c r="U6070" s="88">
        <v>1</v>
      </c>
      <c r="V6070" s="88"/>
      <c r="W6070" s="88"/>
    </row>
    <row r="6071" spans="2:23" s="0" customFormat="0" ht="15">
      <c r="B6071" s="87" t="s">
        <v>1</v>
      </c>
      <c r="C6071" s="88" t="s">
        <v>5259</v>
      </c>
      <c r="D6071" s="88" t="s">
        <v>2952</v>
      </c>
      <c r="E6071" s="88" t="s">
        <v>61</v>
      </c>
      <c r="F6071" s="88">
        <v>0</v>
      </c>
      <c r="G6071" s="78">
        <f>MAX(H6071,I6071,J6071)</f>
        <v>1</v>
      </c>
      <c r="H6071" s="88"/>
      <c r="I6071" s="88"/>
      <c r="J6071" s="78">
        <f>MAX(K6071:Q6071)</f>
        <v>1</v>
      </c>
      <c r="K6071" s="88">
        <v>1</v>
      </c>
      <c r="L6071" s="88"/>
      <c r="M6071" s="88"/>
      <c r="N6071" s="88"/>
      <c r="O6071" s="88"/>
      <c r="P6071" s="88"/>
      <c r="Q6071" s="88"/>
      <c r="R6071" s="78">
        <f>MAX(S6071:W6071)</f>
        <v>0</v>
      </c>
      <c r="S6071" s="88"/>
      <c r="T6071" s="88"/>
      <c r="U6071" s="88"/>
      <c r="V6071" s="88"/>
      <c r="W6071" s="88"/>
    </row>
    <row r="6072" spans="2:23" s="0" customFormat="0" ht="15">
      <c r="B6072" s="87" t="s">
        <v>1</v>
      </c>
      <c r="C6072" s="88" t="s">
        <v>5259</v>
      </c>
      <c r="D6072" s="88" t="s">
        <v>2674</v>
      </c>
      <c r="E6072" s="88" t="s">
        <v>61</v>
      </c>
      <c r="F6072" s="88">
        <v>0</v>
      </c>
      <c r="G6072" s="78">
        <f>MAX(H6072,I6072,J6072)</f>
        <v>1</v>
      </c>
      <c r="H6072" s="88"/>
      <c r="I6072" s="88"/>
      <c r="J6072" s="78">
        <f>MAX(K6072:Q6072)</f>
        <v>1</v>
      </c>
      <c r="K6072" s="88">
        <v>1</v>
      </c>
      <c r="L6072" s="88"/>
      <c r="M6072" s="88"/>
      <c r="N6072" s="88"/>
      <c r="O6072" s="88"/>
      <c r="P6072" s="88"/>
      <c r="Q6072" s="88"/>
      <c r="R6072" s="78">
        <f>MAX(S6072:W6072)</f>
        <v>0</v>
      </c>
      <c r="S6072" s="88"/>
      <c r="T6072" s="88"/>
      <c r="U6072" s="88"/>
      <c r="V6072" s="88"/>
      <c r="W6072" s="88"/>
    </row>
    <row r="6073" spans="2:23" s="0" customFormat="0" ht="15">
      <c r="B6073" s="87" t="s">
        <v>1</v>
      </c>
      <c r="C6073" s="88" t="s">
        <v>5259</v>
      </c>
      <c r="D6073" s="88" t="s">
        <v>2722</v>
      </c>
      <c r="E6073" s="88" t="s">
        <v>61</v>
      </c>
      <c r="F6073" s="88">
        <v>0</v>
      </c>
      <c r="G6073" s="78">
        <f>MAX(H6073,I6073,J6073)</f>
        <v>1</v>
      </c>
      <c r="H6073" s="88"/>
      <c r="I6073" s="88"/>
      <c r="J6073" s="78">
        <f>MAX(K6073:Q6073)</f>
        <v>1</v>
      </c>
      <c r="K6073" s="88">
        <v>1</v>
      </c>
      <c r="L6073" s="88"/>
      <c r="M6073" s="88"/>
      <c r="N6073" s="88"/>
      <c r="O6073" s="88"/>
      <c r="P6073" s="88"/>
      <c r="Q6073" s="88"/>
      <c r="R6073" s="78">
        <f>MAX(S6073:W6073)</f>
        <v>0</v>
      </c>
      <c r="S6073" s="88"/>
      <c r="T6073" s="88"/>
      <c r="U6073" s="88"/>
      <c r="V6073" s="88"/>
      <c r="W6073" s="88"/>
    </row>
    <row r="6074" spans="2:23" s="0" customFormat="0" ht="15">
      <c r="B6074" s="87" t="s">
        <v>1</v>
      </c>
      <c r="C6074" s="88" t="s">
        <v>5259</v>
      </c>
      <c r="D6074" s="88" t="s">
        <v>5037</v>
      </c>
      <c r="E6074" s="88" t="s">
        <v>61</v>
      </c>
      <c r="F6074" s="88">
        <v>0</v>
      </c>
      <c r="G6074" s="78">
        <f>MAX(H6074,I6074,J6074)</f>
        <v>0</v>
      </c>
      <c r="H6074" s="88"/>
      <c r="I6074" s="88"/>
      <c r="J6074" s="78">
        <f>MAX(K6074:Q6074)</f>
        <v>0</v>
      </c>
      <c r="K6074" s="88"/>
      <c r="L6074" s="88"/>
      <c r="M6074" s="88"/>
      <c r="N6074" s="88"/>
      <c r="O6074" s="88"/>
      <c r="P6074" s="88"/>
      <c r="Q6074" s="88"/>
      <c r="R6074" s="78">
        <f>MAX(S6074:W6074)</f>
        <v>1</v>
      </c>
      <c r="S6074" s="88"/>
      <c r="T6074" s="88"/>
      <c r="U6074" s="88">
        <v>1</v>
      </c>
      <c r="V6074" s="88"/>
      <c r="W6074" s="88"/>
    </row>
    <row r="6075" spans="2:23" s="0" customFormat="0" ht="15">
      <c r="B6075" s="87" t="s">
        <v>1</v>
      </c>
      <c r="C6075" s="88" t="s">
        <v>5259</v>
      </c>
      <c r="D6075" s="88" t="s">
        <v>829</v>
      </c>
      <c r="E6075" s="88" t="s">
        <v>61</v>
      </c>
      <c r="F6075" s="88">
        <v>0</v>
      </c>
      <c r="G6075" s="78">
        <f>MAX(H6075,I6075,J6075)</f>
        <v>1</v>
      </c>
      <c r="H6075" s="88"/>
      <c r="I6075" s="88"/>
      <c r="J6075" s="78">
        <f>MAX(K6075:Q6075)</f>
        <v>1</v>
      </c>
      <c r="K6075" s="88">
        <v>1</v>
      </c>
      <c r="L6075" s="88"/>
      <c r="M6075" s="88"/>
      <c r="N6075" s="88"/>
      <c r="O6075" s="88"/>
      <c r="P6075" s="88"/>
      <c r="Q6075" s="88"/>
      <c r="R6075" s="78">
        <f>MAX(S6075:W6075)</f>
        <v>0</v>
      </c>
      <c r="S6075" s="88"/>
      <c r="T6075" s="88"/>
      <c r="U6075" s="88"/>
      <c r="V6075" s="88"/>
      <c r="W6075" s="88"/>
    </row>
    <row r="6076" spans="2:23" s="0" customFormat="0" ht="15">
      <c r="B6076" s="87" t="s">
        <v>1</v>
      </c>
      <c r="C6076" s="88" t="s">
        <v>5259</v>
      </c>
      <c r="D6076" s="88">
        <v>741531</v>
      </c>
      <c r="E6076" s="88" t="s">
        <v>61</v>
      </c>
      <c r="F6076" s="88">
        <v>0</v>
      </c>
      <c r="G6076" s="78">
        <f>MAX(H6076,I6076,J6076)</f>
        <v>1</v>
      </c>
      <c r="H6076" s="88"/>
      <c r="I6076" s="88"/>
      <c r="J6076" s="78">
        <f>MAX(K6076:Q6076)</f>
        <v>1</v>
      </c>
      <c r="K6076" s="88">
        <v>1</v>
      </c>
      <c r="L6076" s="88"/>
      <c r="M6076" s="88"/>
      <c r="N6076" s="88"/>
      <c r="O6076" s="88"/>
      <c r="P6076" s="88"/>
      <c r="Q6076" s="88"/>
      <c r="R6076" s="78">
        <f>MAX(S6076:W6076)</f>
        <v>0</v>
      </c>
      <c r="S6076" s="88"/>
      <c r="T6076" s="88"/>
      <c r="U6076" s="88"/>
      <c r="V6076" s="88"/>
      <c r="W6076" s="88"/>
    </row>
    <row r="6077" spans="2:23" s="0" customFormat="0" ht="15">
      <c r="B6077" s="87" t="s">
        <v>1</v>
      </c>
      <c r="C6077" s="88" t="s">
        <v>5259</v>
      </c>
      <c r="D6077" s="88" t="s">
        <v>4919</v>
      </c>
      <c r="E6077" s="88" t="s">
        <v>61</v>
      </c>
      <c r="F6077" s="88">
        <v>0</v>
      </c>
      <c r="G6077" s="78">
        <f>MAX(H6077,I6077,J6077)</f>
        <v>0</v>
      </c>
      <c r="H6077" s="88"/>
      <c r="I6077" s="88"/>
      <c r="J6077" s="78">
        <f>MAX(K6077:Q6077)</f>
        <v>0</v>
      </c>
      <c r="K6077" s="88"/>
      <c r="L6077" s="88"/>
      <c r="M6077" s="88"/>
      <c r="N6077" s="88"/>
      <c r="O6077" s="88"/>
      <c r="P6077" s="88"/>
      <c r="Q6077" s="88"/>
      <c r="R6077" s="78">
        <f>MAX(S6077:W6077)</f>
        <v>1</v>
      </c>
      <c r="S6077" s="88"/>
      <c r="T6077" s="88"/>
      <c r="U6077" s="88">
        <v>1</v>
      </c>
      <c r="V6077" s="88"/>
      <c r="W6077" s="88"/>
    </row>
    <row r="6078" spans="2:23" s="0" customFormat="0" ht="15">
      <c r="B6078" s="87" t="s">
        <v>1</v>
      </c>
      <c r="C6078" s="88" t="s">
        <v>5259</v>
      </c>
      <c r="D6078" s="88">
        <v>7252176</v>
      </c>
      <c r="E6078" s="88" t="s">
        <v>61</v>
      </c>
      <c r="F6078" s="88">
        <v>0</v>
      </c>
      <c r="G6078" s="78">
        <f>MAX(H6078,I6078,J6078)</f>
        <v>1</v>
      </c>
      <c r="H6078" s="88"/>
      <c r="I6078" s="88"/>
      <c r="J6078" s="78">
        <f>MAX(K6078:Q6078)</f>
        <v>1</v>
      </c>
      <c r="K6078" s="88">
        <v>1</v>
      </c>
      <c r="L6078" s="88"/>
      <c r="M6078" s="88"/>
      <c r="N6078" s="88"/>
      <c r="O6078" s="88"/>
      <c r="P6078" s="88"/>
      <c r="Q6078" s="88"/>
      <c r="R6078" s="78">
        <f>MAX(S6078:W6078)</f>
        <v>0</v>
      </c>
      <c r="S6078" s="88"/>
      <c r="T6078" s="88"/>
      <c r="U6078" s="88"/>
      <c r="V6078" s="88"/>
      <c r="W6078" s="88"/>
    </row>
    <row r="6079" spans="2:23" s="0" customFormat="0" ht="15">
      <c r="B6079" s="87" t="s">
        <v>1</v>
      </c>
      <c r="C6079" s="88" t="s">
        <v>5259</v>
      </c>
      <c r="D6079" s="88" t="s">
        <v>3812</v>
      </c>
      <c r="E6079" s="88" t="s">
        <v>61</v>
      </c>
      <c r="F6079" s="88">
        <v>0</v>
      </c>
      <c r="G6079" s="78">
        <f>MAX(H6079,I6079,J6079)</f>
        <v>0</v>
      </c>
      <c r="H6079" s="88"/>
      <c r="I6079" s="88"/>
      <c r="J6079" s="78">
        <f>MAX(K6079:Q6079)</f>
        <v>0</v>
      </c>
      <c r="K6079" s="88"/>
      <c r="L6079" s="88"/>
      <c r="M6079" s="88"/>
      <c r="N6079" s="88"/>
      <c r="O6079" s="88"/>
      <c r="P6079" s="88"/>
      <c r="Q6079" s="88"/>
      <c r="R6079" s="78">
        <f>MAX(S6079:W6079)</f>
        <v>1</v>
      </c>
      <c r="S6079" s="88"/>
      <c r="T6079" s="88"/>
      <c r="U6079" s="88">
        <v>1</v>
      </c>
      <c r="V6079" s="88"/>
      <c r="W6079" s="88"/>
    </row>
    <row r="6080" spans="2:23" s="0" customFormat="0" ht="15">
      <c r="B6080" s="87" t="s">
        <v>1</v>
      </c>
      <c r="C6080" s="88" t="s">
        <v>5259</v>
      </c>
      <c r="D6080" s="88" t="s">
        <v>1828</v>
      </c>
      <c r="E6080" s="88" t="s">
        <v>61</v>
      </c>
      <c r="F6080" s="88">
        <v>0</v>
      </c>
      <c r="G6080" s="78">
        <f>MAX(H6080,I6080,J6080)</f>
        <v>1</v>
      </c>
      <c r="H6080" s="88"/>
      <c r="I6080" s="88"/>
      <c r="J6080" s="78">
        <f>MAX(K6080:Q6080)</f>
        <v>1</v>
      </c>
      <c r="K6080" s="88">
        <v>1</v>
      </c>
      <c r="L6080" s="88"/>
      <c r="M6080" s="88"/>
      <c r="N6080" s="88"/>
      <c r="O6080" s="88"/>
      <c r="P6080" s="88"/>
      <c r="Q6080" s="88"/>
      <c r="R6080" s="78">
        <f>MAX(S6080:W6080)</f>
        <v>0</v>
      </c>
      <c r="S6080" s="88"/>
      <c r="T6080" s="88"/>
      <c r="U6080" s="88"/>
      <c r="V6080" s="88"/>
      <c r="W6080" s="88"/>
    </row>
    <row r="6081" spans="2:23" s="0" customFormat="0" ht="15">
      <c r="B6081" s="87" t="s">
        <v>1</v>
      </c>
      <c r="C6081" s="88" t="s">
        <v>5259</v>
      </c>
      <c r="D6081" s="88" t="s">
        <v>2929</v>
      </c>
      <c r="E6081" s="88" t="s">
        <v>61</v>
      </c>
      <c r="F6081" s="88">
        <v>0</v>
      </c>
      <c r="G6081" s="78">
        <f>MAX(H6081,I6081,J6081)</f>
        <v>1</v>
      </c>
      <c r="H6081" s="88"/>
      <c r="I6081" s="88"/>
      <c r="J6081" s="78">
        <f>MAX(K6081:Q6081)</f>
        <v>1</v>
      </c>
      <c r="K6081" s="88">
        <v>1</v>
      </c>
      <c r="L6081" s="88"/>
      <c r="M6081" s="88"/>
      <c r="N6081" s="88"/>
      <c r="O6081" s="88"/>
      <c r="P6081" s="88"/>
      <c r="Q6081" s="88"/>
      <c r="R6081" s="78">
        <f>MAX(S6081:W6081)</f>
        <v>0</v>
      </c>
      <c r="S6081" s="88"/>
      <c r="T6081" s="88"/>
      <c r="U6081" s="88"/>
      <c r="V6081" s="88"/>
      <c r="W6081" s="88"/>
    </row>
    <row r="6082" spans="2:23" s="0" customFormat="0" ht="15">
      <c r="B6082" s="87" t="s">
        <v>1</v>
      </c>
      <c r="C6082" s="88" t="s">
        <v>5259</v>
      </c>
      <c r="D6082" s="88">
        <v>17172496</v>
      </c>
      <c r="E6082" s="88" t="s">
        <v>61</v>
      </c>
      <c r="F6082" s="88">
        <v>0</v>
      </c>
      <c r="G6082" s="78">
        <f>MAX(H6082,I6082,J6082)</f>
        <v>1</v>
      </c>
      <c r="H6082" s="88"/>
      <c r="I6082" s="88"/>
      <c r="J6082" s="78">
        <f>MAX(K6082:Q6082)</f>
        <v>1</v>
      </c>
      <c r="K6082" s="88">
        <v>1</v>
      </c>
      <c r="L6082" s="88"/>
      <c r="M6082" s="88"/>
      <c r="N6082" s="88"/>
      <c r="O6082" s="88"/>
      <c r="P6082" s="88"/>
      <c r="Q6082" s="88"/>
      <c r="R6082" s="78">
        <f>MAX(S6082:W6082)</f>
        <v>0</v>
      </c>
      <c r="S6082" s="88"/>
      <c r="T6082" s="88"/>
      <c r="U6082" s="88"/>
      <c r="V6082" s="88"/>
      <c r="W6082" s="88"/>
    </row>
    <row r="6083" spans="2:23" s="0" customFormat="0" ht="15">
      <c r="B6083" s="87" t="s">
        <v>1</v>
      </c>
      <c r="C6083" s="88" t="s">
        <v>5259</v>
      </c>
      <c r="D6083" s="88" t="s">
        <v>3605</v>
      </c>
      <c r="E6083" s="88" t="s">
        <v>61</v>
      </c>
      <c r="F6083" s="88">
        <v>0</v>
      </c>
      <c r="G6083" s="78">
        <f>MAX(H6083,I6083,J6083)</f>
        <v>0</v>
      </c>
      <c r="H6083" s="88"/>
      <c r="I6083" s="88"/>
      <c r="J6083" s="78">
        <f>MAX(K6083:Q6083)</f>
        <v>0</v>
      </c>
      <c r="K6083" s="88"/>
      <c r="L6083" s="88"/>
      <c r="M6083" s="88"/>
      <c r="N6083" s="88"/>
      <c r="O6083" s="88"/>
      <c r="P6083" s="88"/>
      <c r="Q6083" s="88"/>
      <c r="R6083" s="78">
        <f>MAX(S6083:W6083)</f>
        <v>1</v>
      </c>
      <c r="S6083" s="88"/>
      <c r="T6083" s="88"/>
      <c r="U6083" s="88">
        <v>1</v>
      </c>
      <c r="V6083" s="88"/>
      <c r="W6083" s="88"/>
    </row>
    <row r="6084" spans="2:23" s="0" customFormat="0" ht="15">
      <c r="B6084" s="87" t="s">
        <v>1</v>
      </c>
      <c r="C6084" s="88" t="s">
        <v>5259</v>
      </c>
      <c r="D6084" s="88">
        <v>21151212</v>
      </c>
      <c r="E6084" s="88" t="s">
        <v>61</v>
      </c>
      <c r="F6084" s="88">
        <v>0</v>
      </c>
      <c r="G6084" s="78">
        <f>MAX(H6084,I6084,J6084)</f>
        <v>1</v>
      </c>
      <c r="H6084" s="88"/>
      <c r="I6084" s="88"/>
      <c r="J6084" s="78">
        <f>MAX(K6084:Q6084)</f>
        <v>1</v>
      </c>
      <c r="K6084" s="88">
        <v>1</v>
      </c>
      <c r="L6084" s="88"/>
      <c r="M6084" s="88"/>
      <c r="N6084" s="88"/>
      <c r="O6084" s="88"/>
      <c r="P6084" s="88"/>
      <c r="Q6084" s="88"/>
      <c r="R6084" s="78">
        <f>MAX(S6084:W6084)</f>
        <v>0</v>
      </c>
      <c r="S6084" s="88"/>
      <c r="T6084" s="88"/>
      <c r="U6084" s="88"/>
      <c r="V6084" s="88"/>
      <c r="W6084" s="88"/>
    </row>
    <row r="6085" spans="2:23" s="0" customFormat="0" ht="15">
      <c r="B6085" s="87" t="s">
        <v>1</v>
      </c>
      <c r="C6085" s="88" t="s">
        <v>5259</v>
      </c>
      <c r="D6085" s="88">
        <v>20993775</v>
      </c>
      <c r="E6085" s="88" t="s">
        <v>61</v>
      </c>
      <c r="F6085" s="88">
        <v>0</v>
      </c>
      <c r="G6085" s="78">
        <f>MAX(H6085,I6085,J6085)</f>
        <v>1</v>
      </c>
      <c r="H6085" s="88"/>
      <c r="I6085" s="88"/>
      <c r="J6085" s="78">
        <f>MAX(K6085:Q6085)</f>
        <v>1</v>
      </c>
      <c r="K6085" s="88">
        <v>1</v>
      </c>
      <c r="L6085" s="88"/>
      <c r="M6085" s="88"/>
      <c r="N6085" s="88"/>
      <c r="O6085" s="88"/>
      <c r="P6085" s="88"/>
      <c r="Q6085" s="88"/>
      <c r="R6085" s="78">
        <f>MAX(S6085:W6085)</f>
        <v>0</v>
      </c>
      <c r="S6085" s="88"/>
      <c r="T6085" s="88"/>
      <c r="U6085" s="88"/>
      <c r="V6085" s="88"/>
      <c r="W6085" s="88"/>
    </row>
    <row r="6086" spans="2:23" s="0" customFormat="0" ht="15">
      <c r="B6086" s="87" t="s">
        <v>1</v>
      </c>
      <c r="C6086" s="88" t="s">
        <v>5259</v>
      </c>
      <c r="D6086" s="88" t="s">
        <v>4692</v>
      </c>
      <c r="E6086" s="88" t="s">
        <v>61</v>
      </c>
      <c r="F6086" s="88">
        <v>0</v>
      </c>
      <c r="G6086" s="78">
        <f>MAX(H6086,I6086,J6086)</f>
        <v>0</v>
      </c>
      <c r="H6086" s="88"/>
      <c r="I6086" s="88"/>
      <c r="J6086" s="78">
        <f>MAX(K6086:Q6086)</f>
        <v>0</v>
      </c>
      <c r="K6086" s="88"/>
      <c r="L6086" s="88"/>
      <c r="M6086" s="88"/>
      <c r="N6086" s="88"/>
      <c r="O6086" s="88"/>
      <c r="P6086" s="88"/>
      <c r="Q6086" s="88"/>
      <c r="R6086" s="78">
        <f>MAX(S6086:W6086)</f>
        <v>1</v>
      </c>
      <c r="S6086" s="88"/>
      <c r="T6086" s="88"/>
      <c r="U6086" s="88">
        <v>1</v>
      </c>
      <c r="V6086" s="88"/>
      <c r="W6086" s="88"/>
    </row>
    <row r="6087" spans="2:23" s="0" customFormat="0" ht="15">
      <c r="B6087" s="87" t="s">
        <v>1</v>
      </c>
      <c r="C6087" s="88" t="s">
        <v>5259</v>
      </c>
      <c r="D6087" s="88">
        <v>18923344</v>
      </c>
      <c r="E6087" s="88" t="s">
        <v>61</v>
      </c>
      <c r="F6087" s="88">
        <v>0</v>
      </c>
      <c r="G6087" s="78">
        <f>MAX(H6087,I6087,J6087)</f>
        <v>1</v>
      </c>
      <c r="H6087" s="88"/>
      <c r="I6087" s="88"/>
      <c r="J6087" s="78">
        <f>MAX(K6087:Q6087)</f>
        <v>1</v>
      </c>
      <c r="K6087" s="88">
        <v>1</v>
      </c>
      <c r="L6087" s="88"/>
      <c r="M6087" s="88"/>
      <c r="N6087" s="88"/>
      <c r="O6087" s="88"/>
      <c r="P6087" s="88"/>
      <c r="Q6087" s="88"/>
      <c r="R6087" s="78">
        <f>MAX(S6087:W6087)</f>
        <v>0</v>
      </c>
      <c r="S6087" s="88"/>
      <c r="T6087" s="88"/>
      <c r="U6087" s="88"/>
      <c r="V6087" s="88"/>
      <c r="W6087" s="88"/>
    </row>
    <row r="6088" spans="2:23" s="0" customFormat="0" ht="15">
      <c r="B6088" s="87" t="s">
        <v>1</v>
      </c>
      <c r="C6088" s="88" t="s">
        <v>5259</v>
      </c>
      <c r="D6088" s="88" t="s">
        <v>969</v>
      </c>
      <c r="E6088" s="88" t="s">
        <v>61</v>
      </c>
      <c r="F6088" s="88">
        <v>0</v>
      </c>
      <c r="G6088" s="78">
        <f>MAX(H6088,I6088,J6088)</f>
        <v>1</v>
      </c>
      <c r="H6088" s="88"/>
      <c r="I6088" s="88"/>
      <c r="J6088" s="78">
        <f>MAX(K6088:Q6088)</f>
        <v>1</v>
      </c>
      <c r="K6088" s="88">
        <v>1</v>
      </c>
      <c r="L6088" s="88"/>
      <c r="M6088" s="88"/>
      <c r="N6088" s="88"/>
      <c r="O6088" s="88"/>
      <c r="P6088" s="88"/>
      <c r="Q6088" s="88"/>
      <c r="R6088" s="78">
        <f>MAX(S6088:W6088)</f>
        <v>0</v>
      </c>
      <c r="S6088" s="88"/>
      <c r="T6088" s="88"/>
      <c r="U6088" s="88"/>
      <c r="V6088" s="88"/>
      <c r="W6088" s="88"/>
    </row>
    <row r="6089" spans="2:23" s="0" customFormat="0" ht="15">
      <c r="B6089" s="87" t="s">
        <v>1</v>
      </c>
      <c r="C6089" s="88" t="s">
        <v>5259</v>
      </c>
      <c r="D6089" s="88" t="s">
        <v>4067</v>
      </c>
      <c r="E6089" s="88" t="s">
        <v>61</v>
      </c>
      <c r="F6089" s="88">
        <v>0</v>
      </c>
      <c r="G6089" s="78">
        <f>MAX(H6089,I6089,J6089)</f>
        <v>0</v>
      </c>
      <c r="H6089" s="88"/>
      <c r="I6089" s="88"/>
      <c r="J6089" s="78">
        <f>MAX(K6089:Q6089)</f>
        <v>0</v>
      </c>
      <c r="K6089" s="88"/>
      <c r="L6089" s="88"/>
      <c r="M6089" s="88"/>
      <c r="N6089" s="88"/>
      <c r="O6089" s="88"/>
      <c r="P6089" s="88"/>
      <c r="Q6089" s="88"/>
      <c r="R6089" s="78">
        <f>MAX(S6089:W6089)</f>
        <v>1</v>
      </c>
      <c r="S6089" s="88"/>
      <c r="T6089" s="88"/>
      <c r="U6089" s="88">
        <v>1</v>
      </c>
      <c r="V6089" s="88"/>
      <c r="W6089" s="88"/>
    </row>
    <row r="6090" spans="2:23" s="0" customFormat="0" ht="15">
      <c r="B6090" s="87" t="s">
        <v>1</v>
      </c>
      <c r="C6090" s="88" t="s">
        <v>5259</v>
      </c>
      <c r="D6090" s="88">
        <v>19743067</v>
      </c>
      <c r="E6090" s="88" t="s">
        <v>61</v>
      </c>
      <c r="F6090" s="88">
        <v>0</v>
      </c>
      <c r="G6090" s="78">
        <f>MAX(H6090,I6090,J6090)</f>
        <v>1</v>
      </c>
      <c r="H6090" s="88"/>
      <c r="I6090" s="88"/>
      <c r="J6090" s="78">
        <f>MAX(K6090:Q6090)</f>
        <v>1</v>
      </c>
      <c r="K6090" s="88">
        <v>1</v>
      </c>
      <c r="L6090" s="88"/>
      <c r="M6090" s="88"/>
      <c r="N6090" s="88"/>
      <c r="O6090" s="88"/>
      <c r="P6090" s="88"/>
      <c r="Q6090" s="88"/>
      <c r="R6090" s="78">
        <f>MAX(S6090:W6090)</f>
        <v>0</v>
      </c>
      <c r="S6090" s="88"/>
      <c r="T6090" s="88"/>
      <c r="U6090" s="88"/>
      <c r="V6090" s="88"/>
      <c r="W6090" s="88"/>
    </row>
    <row r="6091" spans="2:23" s="0" customFormat="0" ht="15">
      <c r="B6091" s="87" t="s">
        <v>1</v>
      </c>
      <c r="C6091" s="88" t="s">
        <v>5259</v>
      </c>
      <c r="D6091" s="88">
        <v>12057776</v>
      </c>
      <c r="E6091" s="88" t="s">
        <v>61</v>
      </c>
      <c r="F6091" s="88">
        <v>0</v>
      </c>
      <c r="G6091" s="78">
        <f>MAX(H6091,I6091,J6091)</f>
        <v>1</v>
      </c>
      <c r="H6091" s="88"/>
      <c r="I6091" s="88"/>
      <c r="J6091" s="78">
        <f>MAX(K6091:Q6091)</f>
        <v>1</v>
      </c>
      <c r="K6091" s="88">
        <v>1</v>
      </c>
      <c r="L6091" s="88"/>
      <c r="M6091" s="88"/>
      <c r="N6091" s="88"/>
      <c r="O6091" s="88"/>
      <c r="P6091" s="88"/>
      <c r="Q6091" s="88"/>
      <c r="R6091" s="78">
        <f>MAX(S6091:W6091)</f>
        <v>0</v>
      </c>
      <c r="S6091" s="88"/>
      <c r="T6091" s="88"/>
      <c r="U6091" s="88"/>
      <c r="V6091" s="88"/>
      <c r="W6091" s="88"/>
    </row>
    <row r="6092" spans="2:23" s="0" customFormat="0" ht="15">
      <c r="B6092" s="87" t="s">
        <v>1</v>
      </c>
      <c r="C6092" s="88" t="s">
        <v>5259</v>
      </c>
      <c r="D6092" s="88">
        <v>3467211</v>
      </c>
      <c r="E6092" s="88" t="s">
        <v>61</v>
      </c>
      <c r="F6092" s="88">
        <v>0</v>
      </c>
      <c r="G6092" s="78">
        <f>MAX(H6092,I6092,J6092)</f>
        <v>1</v>
      </c>
      <c r="H6092" s="88"/>
      <c r="I6092" s="88"/>
      <c r="J6092" s="78">
        <f>MAX(K6092:Q6092)</f>
        <v>1</v>
      </c>
      <c r="K6092" s="88">
        <v>1</v>
      </c>
      <c r="L6092" s="88"/>
      <c r="M6092" s="88"/>
      <c r="N6092" s="88"/>
      <c r="O6092" s="88"/>
      <c r="P6092" s="88"/>
      <c r="Q6092" s="88"/>
      <c r="R6092" s="78">
        <f>MAX(S6092:W6092)</f>
        <v>0</v>
      </c>
      <c r="S6092" s="88"/>
      <c r="T6092" s="88"/>
      <c r="U6092" s="88"/>
      <c r="V6092" s="88"/>
      <c r="W6092" s="88"/>
    </row>
    <row r="6093" spans="2:23" s="0" customFormat="0" ht="15">
      <c r="B6093" s="87" t="s">
        <v>1</v>
      </c>
      <c r="C6093" s="88" t="s">
        <v>5259</v>
      </c>
      <c r="D6093" s="88">
        <v>23182456</v>
      </c>
      <c r="E6093" s="88" t="s">
        <v>61</v>
      </c>
      <c r="F6093" s="88">
        <v>0</v>
      </c>
      <c r="G6093" s="78">
        <f>MAX(H6093,I6093,J6093)</f>
        <v>1</v>
      </c>
      <c r="H6093" s="88"/>
      <c r="I6093" s="88"/>
      <c r="J6093" s="78">
        <f>MAX(K6093:Q6093)</f>
        <v>1</v>
      </c>
      <c r="K6093" s="88">
        <v>1</v>
      </c>
      <c r="L6093" s="88"/>
      <c r="M6093" s="88"/>
      <c r="N6093" s="88"/>
      <c r="O6093" s="88"/>
      <c r="P6093" s="88"/>
      <c r="Q6093" s="88"/>
      <c r="R6093" s="78">
        <f>MAX(S6093:W6093)</f>
        <v>0</v>
      </c>
      <c r="S6093" s="88"/>
      <c r="T6093" s="88"/>
      <c r="U6093" s="88"/>
      <c r="V6093" s="88"/>
      <c r="W6093" s="88"/>
    </row>
    <row r="6094" spans="2:23" s="0" customFormat="0" ht="15">
      <c r="B6094" s="87" t="s">
        <v>1</v>
      </c>
      <c r="C6094" s="88" t="s">
        <v>5259</v>
      </c>
      <c r="D6094" s="88" t="s">
        <v>2552</v>
      </c>
      <c r="E6094" s="88" t="s">
        <v>61</v>
      </c>
      <c r="F6094" s="88">
        <v>0</v>
      </c>
      <c r="G6094" s="78">
        <f>MAX(H6094,I6094,J6094)</f>
        <v>1</v>
      </c>
      <c r="H6094" s="88"/>
      <c r="I6094" s="88"/>
      <c r="J6094" s="78">
        <f>MAX(K6094:Q6094)</f>
        <v>1</v>
      </c>
      <c r="K6094" s="88">
        <v>1</v>
      </c>
      <c r="L6094" s="88"/>
      <c r="M6094" s="88"/>
      <c r="N6094" s="88"/>
      <c r="O6094" s="88"/>
      <c r="P6094" s="88"/>
      <c r="Q6094" s="88"/>
      <c r="R6094" s="78">
        <f>MAX(S6094:W6094)</f>
        <v>0</v>
      </c>
      <c r="S6094" s="88"/>
      <c r="T6094" s="88"/>
      <c r="U6094" s="88"/>
      <c r="V6094" s="88"/>
      <c r="W6094" s="88"/>
    </row>
    <row r="6095" spans="2:23" s="0" customFormat="0" ht="15">
      <c r="B6095" s="87" t="s">
        <v>1</v>
      </c>
      <c r="C6095" s="88" t="s">
        <v>5259</v>
      </c>
      <c r="D6095" s="88">
        <v>19159975</v>
      </c>
      <c r="E6095" s="88" t="s">
        <v>61</v>
      </c>
      <c r="F6095" s="88">
        <v>0</v>
      </c>
      <c r="G6095" s="78">
        <f>MAX(H6095,I6095,J6095)</f>
        <v>1</v>
      </c>
      <c r="H6095" s="88"/>
      <c r="I6095" s="88"/>
      <c r="J6095" s="78">
        <f>MAX(K6095:Q6095)</f>
        <v>1</v>
      </c>
      <c r="K6095" s="88">
        <v>1</v>
      </c>
      <c r="L6095" s="88"/>
      <c r="M6095" s="88"/>
      <c r="N6095" s="88"/>
      <c r="O6095" s="88"/>
      <c r="P6095" s="88"/>
      <c r="Q6095" s="88"/>
      <c r="R6095" s="78">
        <f>MAX(S6095:W6095)</f>
        <v>0</v>
      </c>
      <c r="S6095" s="88"/>
      <c r="T6095" s="88"/>
      <c r="U6095" s="88"/>
      <c r="V6095" s="88"/>
      <c r="W6095" s="88"/>
    </row>
    <row r="6096" spans="2:23" s="0" customFormat="0" ht="15">
      <c r="B6096" s="87" t="s">
        <v>1</v>
      </c>
      <c r="C6096" s="88" t="s">
        <v>5259</v>
      </c>
      <c r="D6096" s="88">
        <v>19666405</v>
      </c>
      <c r="E6096" s="88" t="s">
        <v>61</v>
      </c>
      <c r="F6096" s="88">
        <v>0</v>
      </c>
      <c r="G6096" s="78">
        <f>MAX(H6096,I6096,J6096)</f>
        <v>0</v>
      </c>
      <c r="H6096" s="88"/>
      <c r="I6096" s="88"/>
      <c r="J6096" s="78">
        <f>MAX(K6096:Q6096)</f>
        <v>0</v>
      </c>
      <c r="K6096" s="88"/>
      <c r="L6096" s="88"/>
      <c r="M6096" s="88"/>
      <c r="N6096" s="88"/>
      <c r="O6096" s="88"/>
      <c r="P6096" s="88"/>
      <c r="Q6096" s="88"/>
      <c r="R6096" s="78">
        <f>MAX(S6096:W6096)</f>
        <v>1</v>
      </c>
      <c r="S6096" s="88"/>
      <c r="T6096" s="88"/>
      <c r="U6096" s="88">
        <v>1</v>
      </c>
      <c r="V6096" s="88"/>
      <c r="W6096" s="88"/>
    </row>
    <row r="6097" spans="2:23" s="0" customFormat="0" ht="15">
      <c r="B6097" s="87" t="s">
        <v>1</v>
      </c>
      <c r="C6097" s="88" t="s">
        <v>5259</v>
      </c>
      <c r="D6097" s="88">
        <v>23207412</v>
      </c>
      <c r="E6097" s="88" t="s">
        <v>61</v>
      </c>
      <c r="F6097" s="88">
        <v>0</v>
      </c>
      <c r="G6097" s="78">
        <f>MAX(H6097,I6097,J6097)</f>
        <v>1</v>
      </c>
      <c r="H6097" s="88"/>
      <c r="I6097" s="88"/>
      <c r="J6097" s="78">
        <f>MAX(K6097:Q6097)</f>
        <v>1</v>
      </c>
      <c r="K6097" s="88">
        <v>1</v>
      </c>
      <c r="L6097" s="88"/>
      <c r="M6097" s="88"/>
      <c r="N6097" s="88"/>
      <c r="O6097" s="88"/>
      <c r="P6097" s="88"/>
      <c r="Q6097" s="88"/>
      <c r="R6097" s="78">
        <f>MAX(S6097:W6097)</f>
        <v>0</v>
      </c>
      <c r="S6097" s="88"/>
      <c r="T6097" s="88"/>
      <c r="U6097" s="88"/>
      <c r="V6097" s="88"/>
      <c r="W6097" s="88"/>
    </row>
    <row r="6098" spans="2:23" s="0" customFormat="0" ht="15">
      <c r="B6098" s="87" t="s">
        <v>1</v>
      </c>
      <c r="C6098" s="88" t="s">
        <v>5259</v>
      </c>
      <c r="D6098" s="88" t="s">
        <v>3233</v>
      </c>
      <c r="E6098" s="88" t="s">
        <v>61</v>
      </c>
      <c r="F6098" s="88">
        <v>0</v>
      </c>
      <c r="G6098" s="78">
        <f>MAX(H6098,I6098,J6098)</f>
        <v>0</v>
      </c>
      <c r="H6098" s="88"/>
      <c r="I6098" s="88"/>
      <c r="J6098" s="78">
        <f>MAX(K6098:Q6098)</f>
        <v>0</v>
      </c>
      <c r="K6098" s="88"/>
      <c r="L6098" s="88"/>
      <c r="M6098" s="88"/>
      <c r="N6098" s="88"/>
      <c r="O6098" s="88"/>
      <c r="P6098" s="88"/>
      <c r="Q6098" s="88"/>
      <c r="R6098" s="78">
        <f>MAX(S6098:W6098)</f>
        <v>1</v>
      </c>
      <c r="S6098" s="88"/>
      <c r="T6098" s="88"/>
      <c r="U6098" s="88"/>
      <c r="V6098" s="88">
        <v>1</v>
      </c>
      <c r="W6098" s="88"/>
    </row>
    <row r="6099" spans="2:23" s="0" customFormat="0" ht="15">
      <c r="B6099" s="87" t="s">
        <v>1</v>
      </c>
      <c r="C6099" s="88" t="s">
        <v>5259</v>
      </c>
      <c r="D6099" s="88" t="s">
        <v>4756</v>
      </c>
      <c r="E6099" s="88" t="s">
        <v>61</v>
      </c>
      <c r="F6099" s="88">
        <v>0</v>
      </c>
      <c r="G6099" s="78">
        <f>MAX(H6099,I6099,J6099)</f>
        <v>0</v>
      </c>
      <c r="H6099" s="88"/>
      <c r="I6099" s="88"/>
      <c r="J6099" s="78">
        <f>MAX(K6099:Q6099)</f>
        <v>0</v>
      </c>
      <c r="K6099" s="88"/>
      <c r="L6099" s="88"/>
      <c r="M6099" s="88"/>
      <c r="N6099" s="88"/>
      <c r="O6099" s="88"/>
      <c r="P6099" s="88"/>
      <c r="Q6099" s="88"/>
      <c r="R6099" s="78">
        <f>MAX(S6099:W6099)</f>
        <v>1</v>
      </c>
      <c r="S6099" s="88"/>
      <c r="T6099" s="88"/>
      <c r="U6099" s="88">
        <v>1</v>
      </c>
      <c r="V6099" s="88"/>
      <c r="W6099" s="88"/>
    </row>
    <row r="6100" spans="2:23" s="0" customFormat="0" ht="15">
      <c r="B6100" s="87" t="s">
        <v>1</v>
      </c>
      <c r="C6100" s="88" t="s">
        <v>5259</v>
      </c>
      <c r="D6100" s="88">
        <v>12061918</v>
      </c>
      <c r="E6100" s="88" t="s">
        <v>61</v>
      </c>
      <c r="F6100" s="88">
        <v>0</v>
      </c>
      <c r="G6100" s="78">
        <f>MAX(H6100,I6100,J6100)</f>
        <v>1</v>
      </c>
      <c r="H6100" s="88"/>
      <c r="I6100" s="88"/>
      <c r="J6100" s="78">
        <f>MAX(K6100:Q6100)</f>
        <v>1</v>
      </c>
      <c r="K6100" s="88">
        <v>1</v>
      </c>
      <c r="L6100" s="88"/>
      <c r="M6100" s="88"/>
      <c r="N6100" s="88"/>
      <c r="O6100" s="88"/>
      <c r="P6100" s="88"/>
      <c r="Q6100" s="88"/>
      <c r="R6100" s="78">
        <f>MAX(S6100:W6100)</f>
        <v>0</v>
      </c>
      <c r="S6100" s="88"/>
      <c r="T6100" s="88"/>
      <c r="U6100" s="88"/>
      <c r="V6100" s="88"/>
      <c r="W6100" s="88"/>
    </row>
    <row r="6101" spans="2:23" s="0" customFormat="0" ht="15">
      <c r="B6101" s="87" t="s">
        <v>1</v>
      </c>
      <c r="C6101" s="88" t="s">
        <v>5259</v>
      </c>
      <c r="D6101" s="88" t="s">
        <v>3384</v>
      </c>
      <c r="E6101" s="88" t="s">
        <v>61</v>
      </c>
      <c r="F6101" s="88">
        <v>0</v>
      </c>
      <c r="G6101" s="78">
        <f>MAX(H6101,I6101,J6101)</f>
        <v>0</v>
      </c>
      <c r="H6101" s="88"/>
      <c r="I6101" s="88"/>
      <c r="J6101" s="78">
        <f>MAX(K6101:Q6101)</f>
        <v>0</v>
      </c>
      <c r="K6101" s="88"/>
      <c r="L6101" s="88"/>
      <c r="M6101" s="88"/>
      <c r="N6101" s="88"/>
      <c r="O6101" s="88"/>
      <c r="P6101" s="88"/>
      <c r="Q6101" s="88"/>
      <c r="R6101" s="78">
        <f>MAX(S6101:W6101)</f>
        <v>1</v>
      </c>
      <c r="S6101" s="88"/>
      <c r="T6101" s="88"/>
      <c r="U6101" s="88">
        <v>1</v>
      </c>
      <c r="V6101" s="88"/>
      <c r="W6101" s="88"/>
    </row>
    <row r="6102" spans="2:23" s="0" customFormat="0" ht="15">
      <c r="B6102" s="87" t="s">
        <v>1</v>
      </c>
      <c r="C6102" s="88" t="s">
        <v>5259</v>
      </c>
      <c r="D6102" s="88">
        <v>3776280</v>
      </c>
      <c r="E6102" s="88" t="s">
        <v>61</v>
      </c>
      <c r="F6102" s="88">
        <v>0</v>
      </c>
      <c r="G6102" s="78">
        <f>MAX(H6102,I6102,J6102)</f>
        <v>0</v>
      </c>
      <c r="H6102" s="88"/>
      <c r="I6102" s="88"/>
      <c r="J6102" s="78">
        <f>MAX(K6102:Q6102)</f>
        <v>0</v>
      </c>
      <c r="K6102" s="88"/>
      <c r="L6102" s="88"/>
      <c r="M6102" s="88"/>
      <c r="N6102" s="88"/>
      <c r="O6102" s="88"/>
      <c r="P6102" s="88"/>
      <c r="Q6102" s="88"/>
      <c r="R6102" s="78">
        <f>MAX(S6102:W6102)</f>
        <v>1</v>
      </c>
      <c r="S6102" s="88"/>
      <c r="T6102" s="88"/>
      <c r="U6102" s="88">
        <v>1</v>
      </c>
      <c r="V6102" s="88"/>
      <c r="W6102" s="88"/>
    </row>
    <row r="6103" spans="2:23" s="0" customFormat="0" ht="15">
      <c r="B6103" s="87" t="s">
        <v>1</v>
      </c>
      <c r="C6103" s="88" t="s">
        <v>5259</v>
      </c>
      <c r="D6103" s="88" t="s">
        <v>1912</v>
      </c>
      <c r="E6103" s="88" t="s">
        <v>61</v>
      </c>
      <c r="F6103" s="88">
        <v>0</v>
      </c>
      <c r="G6103" s="78">
        <f>MAX(H6103,I6103,J6103)</f>
        <v>1</v>
      </c>
      <c r="H6103" s="88"/>
      <c r="I6103" s="88"/>
      <c r="J6103" s="78">
        <f>MAX(K6103:Q6103)</f>
        <v>1</v>
      </c>
      <c r="K6103" s="88">
        <v>1</v>
      </c>
      <c r="L6103" s="88"/>
      <c r="M6103" s="88"/>
      <c r="N6103" s="88"/>
      <c r="O6103" s="88"/>
      <c r="P6103" s="88"/>
      <c r="Q6103" s="88"/>
      <c r="R6103" s="78">
        <f>MAX(S6103:W6103)</f>
        <v>0</v>
      </c>
      <c r="S6103" s="88"/>
      <c r="T6103" s="88"/>
      <c r="U6103" s="88"/>
      <c r="V6103" s="88"/>
      <c r="W6103" s="88"/>
    </row>
    <row r="6104" spans="2:23" s="0" customFormat="0" ht="15">
      <c r="B6104" s="87" t="s">
        <v>1</v>
      </c>
      <c r="C6104" s="88" t="s">
        <v>5259</v>
      </c>
      <c r="D6104" s="88">
        <v>17771927</v>
      </c>
      <c r="E6104" s="88" t="s">
        <v>61</v>
      </c>
      <c r="F6104" s="88">
        <v>0</v>
      </c>
      <c r="G6104" s="78">
        <f>MAX(H6104,I6104,J6104)</f>
        <v>1</v>
      </c>
      <c r="H6104" s="88"/>
      <c r="I6104" s="88"/>
      <c r="J6104" s="78">
        <f>MAX(K6104:Q6104)</f>
        <v>1</v>
      </c>
      <c r="K6104" s="88">
        <v>1</v>
      </c>
      <c r="L6104" s="88"/>
      <c r="M6104" s="88"/>
      <c r="N6104" s="88"/>
      <c r="O6104" s="88"/>
      <c r="P6104" s="88"/>
      <c r="Q6104" s="88"/>
      <c r="R6104" s="78">
        <f>MAX(S6104:W6104)</f>
        <v>0</v>
      </c>
      <c r="S6104" s="88"/>
      <c r="T6104" s="88"/>
      <c r="U6104" s="88"/>
      <c r="V6104" s="88"/>
      <c r="W6104" s="88"/>
    </row>
    <row r="6105" spans="2:23" s="0" customFormat="0" ht="15">
      <c r="B6105" s="87" t="s">
        <v>1</v>
      </c>
      <c r="C6105" s="88" t="s">
        <v>5259</v>
      </c>
      <c r="D6105" s="88">
        <v>18719309</v>
      </c>
      <c r="E6105" s="88" t="s">
        <v>61</v>
      </c>
      <c r="F6105" s="88">
        <v>0</v>
      </c>
      <c r="G6105" s="78">
        <f>MAX(H6105,I6105,J6105)</f>
        <v>1</v>
      </c>
      <c r="H6105" s="88"/>
      <c r="I6105" s="88"/>
      <c r="J6105" s="78">
        <f>MAX(K6105:Q6105)</f>
        <v>1</v>
      </c>
      <c r="K6105" s="88">
        <v>1</v>
      </c>
      <c r="L6105" s="88"/>
      <c r="M6105" s="88"/>
      <c r="N6105" s="88"/>
      <c r="O6105" s="88"/>
      <c r="P6105" s="88"/>
      <c r="Q6105" s="88"/>
      <c r="R6105" s="78">
        <f>MAX(S6105:W6105)</f>
        <v>0</v>
      </c>
      <c r="S6105" s="88"/>
      <c r="T6105" s="88"/>
      <c r="U6105" s="88"/>
      <c r="V6105" s="88"/>
      <c r="W6105" s="88"/>
    </row>
    <row r="6106" spans="2:23" s="0" customFormat="0" ht="15">
      <c r="B6106" s="87" t="s">
        <v>1</v>
      </c>
      <c r="C6106" s="88" t="s">
        <v>5259</v>
      </c>
      <c r="D6106" s="88" t="s">
        <v>2343</v>
      </c>
      <c r="E6106" s="88" t="s">
        <v>61</v>
      </c>
      <c r="F6106" s="88">
        <v>0</v>
      </c>
      <c r="G6106" s="78">
        <f>MAX(H6106,I6106,J6106)</f>
        <v>1</v>
      </c>
      <c r="H6106" s="88"/>
      <c r="I6106" s="88"/>
      <c r="J6106" s="78">
        <f>MAX(K6106:Q6106)</f>
        <v>1</v>
      </c>
      <c r="K6106" s="88">
        <v>1</v>
      </c>
      <c r="L6106" s="88"/>
      <c r="M6106" s="88"/>
      <c r="N6106" s="88"/>
      <c r="O6106" s="88"/>
      <c r="P6106" s="88"/>
      <c r="Q6106" s="88"/>
      <c r="R6106" s="78">
        <f>MAX(S6106:W6106)</f>
        <v>0</v>
      </c>
      <c r="S6106" s="88"/>
      <c r="T6106" s="88"/>
      <c r="U6106" s="88"/>
      <c r="V6106" s="88"/>
      <c r="W6106" s="88"/>
    </row>
    <row r="6107" spans="2:23" s="0" customFormat="0" ht="15">
      <c r="B6107" s="87" t="s">
        <v>1</v>
      </c>
      <c r="C6107" s="88" t="s">
        <v>5259</v>
      </c>
      <c r="D6107" s="88" t="s">
        <v>4576</v>
      </c>
      <c r="E6107" s="88" t="s">
        <v>61</v>
      </c>
      <c r="F6107" s="88">
        <v>0</v>
      </c>
      <c r="G6107" s="78">
        <f>MAX(H6107,I6107,J6107)</f>
        <v>0</v>
      </c>
      <c r="H6107" s="88"/>
      <c r="I6107" s="88"/>
      <c r="J6107" s="78">
        <f>MAX(K6107:Q6107)</f>
        <v>0</v>
      </c>
      <c r="K6107" s="88"/>
      <c r="L6107" s="88"/>
      <c r="M6107" s="88"/>
      <c r="N6107" s="88"/>
      <c r="O6107" s="88"/>
      <c r="P6107" s="88"/>
      <c r="Q6107" s="88"/>
      <c r="R6107" s="78">
        <f>MAX(S6107:W6107)</f>
        <v>1</v>
      </c>
      <c r="S6107" s="88"/>
      <c r="T6107" s="88"/>
      <c r="U6107" s="88">
        <v>1</v>
      </c>
      <c r="V6107" s="88"/>
      <c r="W6107" s="88"/>
    </row>
    <row r="6108" spans="2:23" s="0" customFormat="0" ht="15">
      <c r="B6108" s="87" t="s">
        <v>1</v>
      </c>
      <c r="C6108" s="88" t="s">
        <v>5259</v>
      </c>
      <c r="D6108" s="88" t="s">
        <v>3830</v>
      </c>
      <c r="E6108" s="88" t="s">
        <v>61</v>
      </c>
      <c r="F6108" s="88">
        <v>0</v>
      </c>
      <c r="G6108" s="78">
        <f>MAX(H6108,I6108,J6108)</f>
        <v>0</v>
      </c>
      <c r="H6108" s="88"/>
      <c r="I6108" s="88"/>
      <c r="J6108" s="78">
        <f>MAX(K6108:Q6108)</f>
        <v>0</v>
      </c>
      <c r="K6108" s="88"/>
      <c r="L6108" s="88"/>
      <c r="M6108" s="88"/>
      <c r="N6108" s="88"/>
      <c r="O6108" s="88"/>
      <c r="P6108" s="88"/>
      <c r="Q6108" s="88"/>
      <c r="R6108" s="78">
        <f>MAX(S6108:W6108)</f>
        <v>1</v>
      </c>
      <c r="S6108" s="88"/>
      <c r="T6108" s="88"/>
      <c r="U6108" s="88">
        <v>1</v>
      </c>
      <c r="V6108" s="88"/>
      <c r="W6108" s="88"/>
    </row>
    <row r="6109" spans="2:23" s="0" customFormat="0" ht="15">
      <c r="B6109" s="87" t="s">
        <v>1</v>
      </c>
      <c r="C6109" s="88" t="s">
        <v>5259</v>
      </c>
      <c r="D6109" s="88" t="s">
        <v>4841</v>
      </c>
      <c r="E6109" s="88" t="s">
        <v>61</v>
      </c>
      <c r="F6109" s="88">
        <v>0</v>
      </c>
      <c r="G6109" s="78">
        <f>MAX(H6109,I6109,J6109)</f>
        <v>0</v>
      </c>
      <c r="H6109" s="88"/>
      <c r="I6109" s="88"/>
      <c r="J6109" s="78">
        <f>MAX(K6109:Q6109)</f>
        <v>0</v>
      </c>
      <c r="K6109" s="88"/>
      <c r="L6109" s="88"/>
      <c r="M6109" s="88"/>
      <c r="N6109" s="88"/>
      <c r="O6109" s="88"/>
      <c r="P6109" s="88"/>
      <c r="Q6109" s="88"/>
      <c r="R6109" s="78">
        <f>MAX(S6109:W6109)</f>
        <v>1</v>
      </c>
      <c r="S6109" s="88"/>
      <c r="T6109" s="88"/>
      <c r="U6109" s="88">
        <v>1</v>
      </c>
      <c r="V6109" s="88"/>
      <c r="W6109" s="88"/>
    </row>
    <row r="6110" spans="2:23" s="0" customFormat="0" ht="15">
      <c r="B6110" s="87" t="s">
        <v>1</v>
      </c>
      <c r="C6110" s="88" t="s">
        <v>5259</v>
      </c>
      <c r="D6110" s="88">
        <v>21007288</v>
      </c>
      <c r="E6110" s="88" t="s">
        <v>61</v>
      </c>
      <c r="F6110" s="88">
        <v>0</v>
      </c>
      <c r="G6110" s="78">
        <f>MAX(H6110,I6110,J6110)</f>
        <v>1</v>
      </c>
      <c r="H6110" s="88"/>
      <c r="I6110" s="88"/>
      <c r="J6110" s="78">
        <f>MAX(K6110:Q6110)</f>
        <v>1</v>
      </c>
      <c r="K6110" s="88">
        <v>1</v>
      </c>
      <c r="L6110" s="88"/>
      <c r="M6110" s="88"/>
      <c r="N6110" s="88"/>
      <c r="O6110" s="88"/>
      <c r="P6110" s="88"/>
      <c r="Q6110" s="88"/>
      <c r="R6110" s="78">
        <f>MAX(S6110:W6110)</f>
        <v>0</v>
      </c>
      <c r="S6110" s="88"/>
      <c r="T6110" s="88"/>
      <c r="U6110" s="88"/>
      <c r="V6110" s="88"/>
      <c r="W6110" s="88"/>
    </row>
    <row r="6111" spans="2:23" s="0" customFormat="0" ht="15">
      <c r="B6111" s="87" t="s">
        <v>1</v>
      </c>
      <c r="C6111" s="88" t="s">
        <v>5259</v>
      </c>
      <c r="D6111" s="88">
        <v>12828179</v>
      </c>
      <c r="E6111" s="88" t="s">
        <v>61</v>
      </c>
      <c r="F6111" s="88">
        <v>0</v>
      </c>
      <c r="G6111" s="78">
        <f>MAX(H6111,I6111,J6111)</f>
        <v>1</v>
      </c>
      <c r="H6111" s="88"/>
      <c r="I6111" s="88"/>
      <c r="J6111" s="78">
        <f>MAX(K6111:Q6111)</f>
        <v>1</v>
      </c>
      <c r="K6111" s="88">
        <v>1</v>
      </c>
      <c r="L6111" s="88"/>
      <c r="M6111" s="88"/>
      <c r="N6111" s="88"/>
      <c r="O6111" s="88"/>
      <c r="P6111" s="88"/>
      <c r="Q6111" s="88"/>
      <c r="R6111" s="78">
        <f>MAX(S6111:W6111)</f>
        <v>0</v>
      </c>
      <c r="S6111" s="88"/>
      <c r="T6111" s="88"/>
      <c r="U6111" s="88"/>
      <c r="V6111" s="88"/>
      <c r="W6111" s="88"/>
    </row>
    <row r="6112" spans="2:23" s="0" customFormat="0" ht="15">
      <c r="B6112" s="87" t="s">
        <v>1</v>
      </c>
      <c r="C6112" s="88" t="s">
        <v>5259</v>
      </c>
      <c r="D6112" s="88" t="s">
        <v>1984</v>
      </c>
      <c r="E6112" s="88" t="s">
        <v>61</v>
      </c>
      <c r="F6112" s="88">
        <v>0</v>
      </c>
      <c r="G6112" s="78">
        <f>MAX(H6112,I6112,J6112)</f>
        <v>1</v>
      </c>
      <c r="H6112" s="88"/>
      <c r="I6112" s="88"/>
      <c r="J6112" s="78">
        <f>MAX(K6112:Q6112)</f>
        <v>1</v>
      </c>
      <c r="K6112" s="88">
        <v>1</v>
      </c>
      <c r="L6112" s="88"/>
      <c r="M6112" s="88"/>
      <c r="N6112" s="88"/>
      <c r="O6112" s="88"/>
      <c r="P6112" s="88"/>
      <c r="Q6112" s="88"/>
      <c r="R6112" s="78">
        <f>MAX(S6112:W6112)</f>
        <v>0</v>
      </c>
      <c r="S6112" s="88"/>
      <c r="T6112" s="88"/>
      <c r="U6112" s="88"/>
      <c r="V6112" s="88"/>
      <c r="W6112" s="88"/>
    </row>
    <row r="6113" spans="2:23" s="0" customFormat="0" ht="15">
      <c r="B6113" s="87" t="s">
        <v>1</v>
      </c>
      <c r="C6113" s="88" t="s">
        <v>5259</v>
      </c>
      <c r="D6113" s="88">
        <v>14723457</v>
      </c>
      <c r="E6113" s="88" t="s">
        <v>61</v>
      </c>
      <c r="F6113" s="88">
        <v>0</v>
      </c>
      <c r="G6113" s="78">
        <f>MAX(H6113,I6113,J6113)</f>
        <v>1</v>
      </c>
      <c r="H6113" s="88"/>
      <c r="I6113" s="88"/>
      <c r="J6113" s="78">
        <f>MAX(K6113:Q6113)</f>
        <v>1</v>
      </c>
      <c r="K6113" s="88">
        <v>1</v>
      </c>
      <c r="L6113" s="88"/>
      <c r="M6113" s="88"/>
      <c r="N6113" s="88"/>
      <c r="O6113" s="88"/>
      <c r="P6113" s="88"/>
      <c r="Q6113" s="88"/>
      <c r="R6113" s="78">
        <f>MAX(S6113:W6113)</f>
        <v>0</v>
      </c>
      <c r="S6113" s="88"/>
      <c r="T6113" s="88"/>
      <c r="U6113" s="88"/>
      <c r="V6113" s="88"/>
      <c r="W6113" s="88"/>
    </row>
    <row r="6114" spans="2:23" s="0" customFormat="0" ht="15">
      <c r="B6114" s="87" t="s">
        <v>1</v>
      </c>
      <c r="C6114" s="88" t="s">
        <v>5259</v>
      </c>
      <c r="D6114" s="88">
        <v>17411519</v>
      </c>
      <c r="E6114" s="88" t="s">
        <v>61</v>
      </c>
      <c r="F6114" s="88">
        <v>0</v>
      </c>
      <c r="G6114" s="78">
        <f>MAX(H6114,I6114,J6114)</f>
        <v>1</v>
      </c>
      <c r="H6114" s="88"/>
      <c r="I6114" s="88"/>
      <c r="J6114" s="78">
        <f>MAX(K6114:Q6114)</f>
        <v>1</v>
      </c>
      <c r="K6114" s="88">
        <v>1</v>
      </c>
      <c r="L6114" s="88"/>
      <c r="M6114" s="88"/>
      <c r="N6114" s="88"/>
      <c r="O6114" s="88"/>
      <c r="P6114" s="88"/>
      <c r="Q6114" s="88"/>
      <c r="R6114" s="78">
        <f>MAX(S6114:W6114)</f>
        <v>0</v>
      </c>
      <c r="S6114" s="88"/>
      <c r="T6114" s="88"/>
      <c r="U6114" s="88"/>
      <c r="V6114" s="88"/>
      <c r="W6114" s="88"/>
    </row>
    <row r="6115" spans="2:23" s="0" customFormat="0" ht="15">
      <c r="B6115" s="87" t="s">
        <v>1</v>
      </c>
      <c r="C6115" s="88" t="s">
        <v>5259</v>
      </c>
      <c r="D6115" s="88" t="s">
        <v>4291</v>
      </c>
      <c r="E6115" s="88" t="s">
        <v>61</v>
      </c>
      <c r="F6115" s="88">
        <v>0</v>
      </c>
      <c r="G6115" s="78">
        <f>MAX(H6115,I6115,J6115)</f>
        <v>0</v>
      </c>
      <c r="H6115" s="88"/>
      <c r="I6115" s="88"/>
      <c r="J6115" s="78">
        <f>MAX(K6115:Q6115)</f>
        <v>0</v>
      </c>
      <c r="K6115" s="88"/>
      <c r="L6115" s="88"/>
      <c r="M6115" s="88"/>
      <c r="N6115" s="88"/>
      <c r="O6115" s="88"/>
      <c r="P6115" s="88"/>
      <c r="Q6115" s="88"/>
      <c r="R6115" s="78">
        <f>MAX(S6115:W6115)</f>
        <v>1</v>
      </c>
      <c r="S6115" s="88"/>
      <c r="T6115" s="88"/>
      <c r="U6115" s="88">
        <v>1</v>
      </c>
      <c r="V6115" s="88"/>
      <c r="W6115" s="88"/>
    </row>
    <row r="6116" spans="2:23" s="0" customFormat="0" ht="15">
      <c r="B6116" s="87" t="s">
        <v>1</v>
      </c>
      <c r="C6116" s="88" t="s">
        <v>5259</v>
      </c>
      <c r="D6116" s="88">
        <v>14383860</v>
      </c>
      <c r="E6116" s="88" t="s">
        <v>61</v>
      </c>
      <c r="F6116" s="88">
        <v>0</v>
      </c>
      <c r="G6116" s="78">
        <f>MAX(H6116,I6116,J6116)</f>
        <v>1</v>
      </c>
      <c r="H6116" s="88"/>
      <c r="I6116" s="88"/>
      <c r="J6116" s="78">
        <f>MAX(K6116:Q6116)</f>
        <v>1</v>
      </c>
      <c r="K6116" s="88">
        <v>1</v>
      </c>
      <c r="L6116" s="88"/>
      <c r="M6116" s="88"/>
      <c r="N6116" s="88"/>
      <c r="O6116" s="88"/>
      <c r="P6116" s="88"/>
      <c r="Q6116" s="88"/>
      <c r="R6116" s="78">
        <f>MAX(S6116:W6116)</f>
        <v>0</v>
      </c>
      <c r="S6116" s="88"/>
      <c r="T6116" s="88"/>
      <c r="U6116" s="88"/>
      <c r="V6116" s="88"/>
      <c r="W6116" s="88"/>
    </row>
    <row r="6117" spans="2:23" s="0" customFormat="0" ht="15">
      <c r="B6117" s="87" t="s">
        <v>1</v>
      </c>
      <c r="C6117" s="88" t="s">
        <v>5259</v>
      </c>
      <c r="D6117" s="88">
        <v>11645329</v>
      </c>
      <c r="E6117" s="88" t="s">
        <v>61</v>
      </c>
      <c r="F6117" s="88">
        <v>0</v>
      </c>
      <c r="G6117" s="78">
        <f>MAX(H6117,I6117,J6117)</f>
        <v>1</v>
      </c>
      <c r="H6117" s="88"/>
      <c r="I6117" s="88"/>
      <c r="J6117" s="78">
        <f>MAX(K6117:Q6117)</f>
        <v>1</v>
      </c>
      <c r="K6117" s="88">
        <v>1</v>
      </c>
      <c r="L6117" s="88"/>
      <c r="M6117" s="88"/>
      <c r="N6117" s="88"/>
      <c r="O6117" s="88"/>
      <c r="P6117" s="88"/>
      <c r="Q6117" s="88"/>
      <c r="R6117" s="78">
        <f>MAX(S6117:W6117)</f>
        <v>0</v>
      </c>
      <c r="S6117" s="88"/>
      <c r="T6117" s="88"/>
      <c r="U6117" s="88"/>
      <c r="V6117" s="88"/>
      <c r="W6117" s="88"/>
    </row>
    <row r="6118" spans="2:23" s="0" customFormat="0" ht="15">
      <c r="B6118" s="87" t="s">
        <v>1</v>
      </c>
      <c r="C6118" s="88" t="s">
        <v>5259</v>
      </c>
      <c r="D6118" s="88">
        <v>23365199</v>
      </c>
      <c r="E6118" s="88" t="s">
        <v>61</v>
      </c>
      <c r="F6118" s="88">
        <v>0</v>
      </c>
      <c r="G6118" s="78">
        <f>MAX(H6118,I6118,J6118)</f>
        <v>1</v>
      </c>
      <c r="H6118" s="88"/>
      <c r="I6118" s="88"/>
      <c r="J6118" s="78">
        <f>MAX(K6118:Q6118)</f>
        <v>1</v>
      </c>
      <c r="K6118" s="88">
        <v>1</v>
      </c>
      <c r="L6118" s="88"/>
      <c r="M6118" s="88"/>
      <c r="N6118" s="88"/>
      <c r="O6118" s="88"/>
      <c r="P6118" s="88"/>
      <c r="Q6118" s="88"/>
      <c r="R6118" s="78">
        <f>MAX(S6118:W6118)</f>
        <v>0</v>
      </c>
      <c r="S6118" s="88"/>
      <c r="T6118" s="88"/>
      <c r="U6118" s="88"/>
      <c r="V6118" s="88"/>
      <c r="W6118" s="88"/>
    </row>
    <row r="6119" spans="2:23" s="0" customFormat="0" ht="15">
      <c r="B6119" s="87" t="s">
        <v>1</v>
      </c>
      <c r="C6119" s="88" t="s">
        <v>5259</v>
      </c>
      <c r="D6119" s="88">
        <v>17860440</v>
      </c>
      <c r="E6119" s="88" t="s">
        <v>61</v>
      </c>
      <c r="F6119" s="88">
        <v>0</v>
      </c>
      <c r="G6119" s="78">
        <f>MAX(H6119,I6119,J6119)</f>
        <v>1</v>
      </c>
      <c r="H6119" s="88"/>
      <c r="I6119" s="88"/>
      <c r="J6119" s="78">
        <f>MAX(K6119:Q6119)</f>
        <v>1</v>
      </c>
      <c r="K6119" s="88">
        <v>1</v>
      </c>
      <c r="L6119" s="88"/>
      <c r="M6119" s="88"/>
      <c r="N6119" s="88"/>
      <c r="O6119" s="88"/>
      <c r="P6119" s="88"/>
      <c r="Q6119" s="88"/>
      <c r="R6119" s="78">
        <f>MAX(S6119:W6119)</f>
        <v>0</v>
      </c>
      <c r="S6119" s="88"/>
      <c r="T6119" s="88"/>
      <c r="U6119" s="88"/>
      <c r="V6119" s="88"/>
      <c r="W6119" s="88"/>
    </row>
    <row r="6120" spans="2:23" s="0" customFormat="0" ht="15">
      <c r="B6120" s="87" t="s">
        <v>1</v>
      </c>
      <c r="C6120" s="88" t="s">
        <v>5259</v>
      </c>
      <c r="D6120" s="88" t="s">
        <v>4608</v>
      </c>
      <c r="E6120" s="88" t="s">
        <v>61</v>
      </c>
      <c r="F6120" s="88">
        <v>0</v>
      </c>
      <c r="G6120" s="78">
        <f>MAX(H6120,I6120,J6120)</f>
        <v>0</v>
      </c>
      <c r="H6120" s="88"/>
      <c r="I6120" s="88"/>
      <c r="J6120" s="78">
        <f>MAX(K6120:Q6120)</f>
        <v>0</v>
      </c>
      <c r="K6120" s="88"/>
      <c r="L6120" s="88"/>
      <c r="M6120" s="88"/>
      <c r="N6120" s="88"/>
      <c r="O6120" s="88"/>
      <c r="P6120" s="88"/>
      <c r="Q6120" s="88"/>
      <c r="R6120" s="78">
        <f>MAX(S6120:W6120)</f>
        <v>1</v>
      </c>
      <c r="S6120" s="88"/>
      <c r="T6120" s="88"/>
      <c r="U6120" s="88">
        <v>1</v>
      </c>
      <c r="V6120" s="88"/>
      <c r="W6120" s="88"/>
    </row>
    <row r="6121" spans="2:23" s="0" customFormat="0" ht="15">
      <c r="B6121" s="87" t="s">
        <v>1</v>
      </c>
      <c r="C6121" s="88" t="s">
        <v>5259</v>
      </c>
      <c r="D6121" s="88">
        <v>17000742</v>
      </c>
      <c r="E6121" s="88" t="s">
        <v>61</v>
      </c>
      <c r="F6121" s="88">
        <v>0</v>
      </c>
      <c r="G6121" s="78">
        <f>MAX(H6121,I6121,J6121)</f>
        <v>1</v>
      </c>
      <c r="H6121" s="88"/>
      <c r="I6121" s="88"/>
      <c r="J6121" s="78">
        <f>MAX(K6121:Q6121)</f>
        <v>1</v>
      </c>
      <c r="K6121" s="88">
        <v>1</v>
      </c>
      <c r="L6121" s="88"/>
      <c r="M6121" s="88"/>
      <c r="N6121" s="88"/>
      <c r="O6121" s="88"/>
      <c r="P6121" s="88"/>
      <c r="Q6121" s="88"/>
      <c r="R6121" s="78">
        <f>MAX(S6121:W6121)</f>
        <v>0</v>
      </c>
      <c r="S6121" s="88"/>
      <c r="T6121" s="88"/>
      <c r="U6121" s="88"/>
      <c r="V6121" s="88"/>
      <c r="W6121" s="88"/>
    </row>
    <row r="6122" spans="2:23" s="0" customFormat="0" ht="15">
      <c r="B6122" s="87" t="s">
        <v>1</v>
      </c>
      <c r="C6122" s="88" t="s">
        <v>5259</v>
      </c>
      <c r="D6122" s="88">
        <v>8351094</v>
      </c>
      <c r="E6122" s="88" t="s">
        <v>61</v>
      </c>
      <c r="F6122" s="88">
        <v>0</v>
      </c>
      <c r="G6122" s="78">
        <f>MAX(H6122,I6122,J6122)</f>
        <v>1</v>
      </c>
      <c r="H6122" s="88"/>
      <c r="I6122" s="88"/>
      <c r="J6122" s="78">
        <f>MAX(K6122:Q6122)</f>
        <v>1</v>
      </c>
      <c r="K6122" s="88">
        <v>1</v>
      </c>
      <c r="L6122" s="88"/>
      <c r="M6122" s="88"/>
      <c r="N6122" s="88"/>
      <c r="O6122" s="88"/>
      <c r="P6122" s="88"/>
      <c r="Q6122" s="88"/>
      <c r="R6122" s="78">
        <f>MAX(S6122:W6122)</f>
        <v>0</v>
      </c>
      <c r="S6122" s="88"/>
      <c r="T6122" s="88"/>
      <c r="U6122" s="88"/>
      <c r="V6122" s="88"/>
      <c r="W6122" s="88"/>
    </row>
    <row r="6123" spans="2:23" s="0" customFormat="0" ht="15">
      <c r="B6123" s="87" t="s">
        <v>1</v>
      </c>
      <c r="C6123" s="88" t="s">
        <v>5259</v>
      </c>
      <c r="D6123" s="88" t="s">
        <v>5140</v>
      </c>
      <c r="E6123" s="88" t="s">
        <v>61</v>
      </c>
      <c r="F6123" s="88">
        <v>0</v>
      </c>
      <c r="G6123" s="78">
        <f>MAX(H6123,I6123,J6123)</f>
        <v>0</v>
      </c>
      <c r="H6123" s="88"/>
      <c r="I6123" s="88"/>
      <c r="J6123" s="78">
        <f>MAX(K6123:Q6123)</f>
        <v>0</v>
      </c>
      <c r="K6123" s="88"/>
      <c r="L6123" s="88"/>
      <c r="M6123" s="88"/>
      <c r="N6123" s="88"/>
      <c r="O6123" s="88"/>
      <c r="P6123" s="88"/>
      <c r="Q6123" s="88"/>
      <c r="R6123" s="78">
        <f>MAX(S6123:W6123)</f>
        <v>1</v>
      </c>
      <c r="S6123" s="88"/>
      <c r="T6123" s="88"/>
      <c r="U6123" s="88">
        <v>1</v>
      </c>
      <c r="V6123" s="88"/>
      <c r="W6123" s="88"/>
    </row>
    <row r="6124" spans="2:23" s="0" customFormat="0" ht="15">
      <c r="B6124" s="87" t="s">
        <v>1</v>
      </c>
      <c r="C6124" s="88" t="s">
        <v>5259</v>
      </c>
      <c r="D6124" s="88">
        <v>5335554</v>
      </c>
      <c r="E6124" s="88" t="s">
        <v>61</v>
      </c>
      <c r="F6124" s="88">
        <v>0</v>
      </c>
      <c r="G6124" s="78">
        <f>MAX(H6124,I6124,J6124)</f>
        <v>1</v>
      </c>
      <c r="H6124" s="88"/>
      <c r="I6124" s="88"/>
      <c r="J6124" s="78">
        <f>MAX(K6124:Q6124)</f>
        <v>1</v>
      </c>
      <c r="K6124" s="88">
        <v>1</v>
      </c>
      <c r="L6124" s="88"/>
      <c r="M6124" s="88"/>
      <c r="N6124" s="88"/>
      <c r="O6124" s="88"/>
      <c r="P6124" s="88"/>
      <c r="Q6124" s="88"/>
      <c r="R6124" s="78">
        <f>MAX(S6124:W6124)</f>
        <v>0</v>
      </c>
      <c r="S6124" s="88"/>
      <c r="T6124" s="88"/>
      <c r="U6124" s="88"/>
      <c r="V6124" s="88"/>
      <c r="W6124" s="88"/>
    </row>
    <row r="6125" spans="2:23" s="0" customFormat="0" ht="15">
      <c r="B6125" s="87" t="s">
        <v>1</v>
      </c>
      <c r="C6125" s="88" t="s">
        <v>5259</v>
      </c>
      <c r="D6125" s="88" t="s">
        <v>3220</v>
      </c>
      <c r="E6125" s="88" t="s">
        <v>61</v>
      </c>
      <c r="F6125" s="88">
        <v>0</v>
      </c>
      <c r="G6125" s="78">
        <f>MAX(H6125,I6125,J6125)</f>
        <v>0</v>
      </c>
      <c r="H6125" s="88"/>
      <c r="I6125" s="88"/>
      <c r="J6125" s="78">
        <f>MAX(K6125:Q6125)</f>
        <v>0</v>
      </c>
      <c r="K6125" s="88"/>
      <c r="L6125" s="88"/>
      <c r="M6125" s="88"/>
      <c r="N6125" s="88"/>
      <c r="O6125" s="88"/>
      <c r="P6125" s="88"/>
      <c r="Q6125" s="88"/>
      <c r="R6125" s="78">
        <f>MAX(S6125:W6125)</f>
        <v>1</v>
      </c>
      <c r="S6125" s="88"/>
      <c r="T6125" s="88"/>
      <c r="U6125" s="88"/>
      <c r="V6125" s="88">
        <v>1</v>
      </c>
      <c r="W6125" s="88"/>
    </row>
    <row r="6126" spans="2:23" s="0" customFormat="0" ht="15">
      <c r="B6126" s="87" t="s">
        <v>1</v>
      </c>
      <c r="C6126" s="88" t="s">
        <v>5259</v>
      </c>
      <c r="D6126" s="88" t="s">
        <v>4451</v>
      </c>
      <c r="E6126" s="88" t="s">
        <v>61</v>
      </c>
      <c r="F6126" s="88">
        <v>0</v>
      </c>
      <c r="G6126" s="78">
        <f>MAX(H6126,I6126,J6126)</f>
        <v>0</v>
      </c>
      <c r="H6126" s="88"/>
      <c r="I6126" s="88"/>
      <c r="J6126" s="78">
        <f>MAX(K6126:Q6126)</f>
        <v>0</v>
      </c>
      <c r="K6126" s="88"/>
      <c r="L6126" s="88"/>
      <c r="M6126" s="88"/>
      <c r="N6126" s="88"/>
      <c r="O6126" s="88"/>
      <c r="P6126" s="88"/>
      <c r="Q6126" s="88"/>
      <c r="R6126" s="78">
        <f>MAX(S6126:W6126)</f>
        <v>1</v>
      </c>
      <c r="S6126" s="88"/>
      <c r="T6126" s="88"/>
      <c r="U6126" s="88">
        <v>1</v>
      </c>
      <c r="V6126" s="88"/>
      <c r="W6126" s="88"/>
    </row>
    <row r="6127" spans="2:23" s="0" customFormat="0" ht="15">
      <c r="B6127" s="87" t="s">
        <v>1</v>
      </c>
      <c r="C6127" s="88" t="s">
        <v>5259</v>
      </c>
      <c r="D6127" s="88" t="s">
        <v>2961</v>
      </c>
      <c r="E6127" s="88" t="s">
        <v>61</v>
      </c>
      <c r="F6127" s="88">
        <v>0</v>
      </c>
      <c r="G6127" s="78">
        <f>MAX(H6127,I6127,J6127)</f>
        <v>1</v>
      </c>
      <c r="H6127" s="88"/>
      <c r="I6127" s="88"/>
      <c r="J6127" s="78">
        <f>MAX(K6127:Q6127)</f>
        <v>1</v>
      </c>
      <c r="K6127" s="88">
        <v>1</v>
      </c>
      <c r="L6127" s="88"/>
      <c r="M6127" s="88"/>
      <c r="N6127" s="88"/>
      <c r="O6127" s="88"/>
      <c r="P6127" s="88"/>
      <c r="Q6127" s="88"/>
      <c r="R6127" s="78">
        <f>MAX(S6127:W6127)</f>
        <v>0</v>
      </c>
      <c r="S6127" s="88"/>
      <c r="T6127" s="88"/>
      <c r="U6127" s="88"/>
      <c r="V6127" s="88"/>
      <c r="W6127" s="88"/>
    </row>
    <row r="6128" spans="2:23" s="0" customFormat="0" ht="15">
      <c r="B6128" s="87" t="s">
        <v>1</v>
      </c>
      <c r="C6128" s="88" t="s">
        <v>5259</v>
      </c>
      <c r="D6128" s="88">
        <v>14690505</v>
      </c>
      <c r="E6128" s="88" t="s">
        <v>61</v>
      </c>
      <c r="F6128" s="88">
        <v>0</v>
      </c>
      <c r="G6128" s="78">
        <f>MAX(H6128,I6128,J6128)</f>
        <v>1</v>
      </c>
      <c r="H6128" s="88"/>
      <c r="I6128" s="88"/>
      <c r="J6128" s="78">
        <f>MAX(K6128:Q6128)</f>
        <v>1</v>
      </c>
      <c r="K6128" s="88">
        <v>1</v>
      </c>
      <c r="L6128" s="88"/>
      <c r="M6128" s="88"/>
      <c r="N6128" s="88"/>
      <c r="O6128" s="88"/>
      <c r="P6128" s="88"/>
      <c r="Q6128" s="88"/>
      <c r="R6128" s="78">
        <f>MAX(S6128:W6128)</f>
        <v>0</v>
      </c>
      <c r="S6128" s="88"/>
      <c r="T6128" s="88"/>
      <c r="U6128" s="88"/>
      <c r="V6128" s="88"/>
      <c r="W6128" s="88"/>
    </row>
    <row r="6129" spans="2:23" s="0" customFormat="0" ht="15">
      <c r="B6129" s="87" t="s">
        <v>1</v>
      </c>
      <c r="C6129" s="88" t="s">
        <v>5259</v>
      </c>
      <c r="D6129" s="88">
        <v>19834226</v>
      </c>
      <c r="E6129" s="88" t="s">
        <v>61</v>
      </c>
      <c r="F6129" s="88">
        <v>0</v>
      </c>
      <c r="G6129" s="78">
        <f>MAX(H6129,I6129,J6129)</f>
        <v>1</v>
      </c>
      <c r="H6129" s="88"/>
      <c r="I6129" s="88"/>
      <c r="J6129" s="78">
        <f>MAX(K6129:Q6129)</f>
        <v>1</v>
      </c>
      <c r="K6129" s="88">
        <v>1</v>
      </c>
      <c r="L6129" s="88"/>
      <c r="M6129" s="88"/>
      <c r="N6129" s="88"/>
      <c r="O6129" s="88"/>
      <c r="P6129" s="88"/>
      <c r="Q6129" s="88"/>
      <c r="R6129" s="78">
        <f>MAX(S6129:W6129)</f>
        <v>0</v>
      </c>
      <c r="S6129" s="88"/>
      <c r="T6129" s="88"/>
      <c r="U6129" s="88"/>
      <c r="V6129" s="88"/>
      <c r="W6129" s="88"/>
    </row>
    <row r="6130" spans="2:23" s="0" customFormat="0" ht="15">
      <c r="B6130" s="87" t="s">
        <v>1</v>
      </c>
      <c r="C6130" s="88" t="s">
        <v>5259</v>
      </c>
      <c r="D6130" s="88">
        <v>15510671</v>
      </c>
      <c r="E6130" s="88" t="s">
        <v>61</v>
      </c>
      <c r="F6130" s="88">
        <v>0</v>
      </c>
      <c r="G6130" s="78">
        <f>MAX(H6130,I6130,J6130)</f>
        <v>0</v>
      </c>
      <c r="H6130" s="88"/>
      <c r="I6130" s="88"/>
      <c r="J6130" s="78">
        <f>MAX(K6130:Q6130)</f>
        <v>0</v>
      </c>
      <c r="K6130" s="88"/>
      <c r="L6130" s="88"/>
      <c r="M6130" s="88"/>
      <c r="N6130" s="88"/>
      <c r="O6130" s="88"/>
      <c r="P6130" s="88"/>
      <c r="Q6130" s="88"/>
      <c r="R6130" s="78">
        <f>MAX(S6130:W6130)</f>
        <v>1</v>
      </c>
      <c r="S6130" s="88"/>
      <c r="T6130" s="88"/>
      <c r="U6130" s="88"/>
      <c r="V6130" s="88">
        <v>1</v>
      </c>
      <c r="W6130" s="88"/>
    </row>
    <row r="6131" spans="2:23" s="0" customFormat="0" ht="15">
      <c r="B6131" s="87" t="s">
        <v>1</v>
      </c>
      <c r="C6131" s="88" t="s">
        <v>5259</v>
      </c>
      <c r="D6131" s="88" t="s">
        <v>4913</v>
      </c>
      <c r="E6131" s="88" t="s">
        <v>61</v>
      </c>
      <c r="F6131" s="88">
        <v>0</v>
      </c>
      <c r="G6131" s="78">
        <f>MAX(H6131,I6131,J6131)</f>
        <v>0</v>
      </c>
      <c r="H6131" s="88"/>
      <c r="I6131" s="88"/>
      <c r="J6131" s="78">
        <f>MAX(K6131:Q6131)</f>
        <v>0</v>
      </c>
      <c r="K6131" s="88"/>
      <c r="L6131" s="88"/>
      <c r="M6131" s="88"/>
      <c r="N6131" s="88"/>
      <c r="O6131" s="88"/>
      <c r="P6131" s="88"/>
      <c r="Q6131" s="88"/>
      <c r="R6131" s="78">
        <f>MAX(S6131:W6131)</f>
        <v>1</v>
      </c>
      <c r="S6131" s="88"/>
      <c r="T6131" s="88"/>
      <c r="U6131" s="88">
        <v>1</v>
      </c>
      <c r="V6131" s="88"/>
      <c r="W6131" s="88"/>
    </row>
    <row r="6132" spans="2:23" s="0" customFormat="0" ht="15">
      <c r="B6132" s="87" t="s">
        <v>1</v>
      </c>
      <c r="C6132" s="88" t="s">
        <v>5259</v>
      </c>
      <c r="D6132" s="88">
        <v>14826302</v>
      </c>
      <c r="E6132" s="88" t="s">
        <v>61</v>
      </c>
      <c r="F6132" s="88">
        <v>0</v>
      </c>
      <c r="G6132" s="78">
        <f>MAX(H6132,I6132,J6132)</f>
        <v>1</v>
      </c>
      <c r="H6132" s="88"/>
      <c r="I6132" s="88"/>
      <c r="J6132" s="78">
        <f>MAX(K6132:Q6132)</f>
        <v>1</v>
      </c>
      <c r="K6132" s="88">
        <v>1</v>
      </c>
      <c r="L6132" s="88"/>
      <c r="M6132" s="88"/>
      <c r="N6132" s="88"/>
      <c r="O6132" s="88"/>
      <c r="P6132" s="88"/>
      <c r="Q6132" s="88"/>
      <c r="R6132" s="78">
        <f>MAX(S6132:W6132)</f>
        <v>0</v>
      </c>
      <c r="S6132" s="88"/>
      <c r="T6132" s="88"/>
      <c r="U6132" s="88"/>
      <c r="V6132" s="88"/>
      <c r="W6132" s="88"/>
    </row>
    <row r="6133" spans="2:23" s="0" customFormat="0" ht="15">
      <c r="B6133" s="87" t="s">
        <v>1</v>
      </c>
      <c r="C6133" s="88" t="s">
        <v>5259</v>
      </c>
      <c r="D6133" s="88" t="s">
        <v>1292</v>
      </c>
      <c r="E6133" s="88" t="s">
        <v>61</v>
      </c>
      <c r="F6133" s="88">
        <v>0</v>
      </c>
      <c r="G6133" s="78">
        <f>MAX(H6133,I6133,J6133)</f>
        <v>1</v>
      </c>
      <c r="H6133" s="88"/>
      <c r="I6133" s="88"/>
      <c r="J6133" s="78">
        <f>MAX(K6133:Q6133)</f>
        <v>1</v>
      </c>
      <c r="K6133" s="88">
        <v>1</v>
      </c>
      <c r="L6133" s="88"/>
      <c r="M6133" s="88"/>
      <c r="N6133" s="88"/>
      <c r="O6133" s="88"/>
      <c r="P6133" s="88"/>
      <c r="Q6133" s="88"/>
      <c r="R6133" s="78">
        <f>MAX(S6133:W6133)</f>
        <v>0</v>
      </c>
      <c r="S6133" s="88"/>
      <c r="T6133" s="88"/>
      <c r="U6133" s="88"/>
      <c r="V6133" s="88"/>
      <c r="W6133" s="88"/>
    </row>
    <row r="6134" spans="2:23" s="0" customFormat="0" ht="15">
      <c r="B6134" s="87" t="s">
        <v>1</v>
      </c>
      <c r="C6134" s="88" t="s">
        <v>5259</v>
      </c>
      <c r="D6134" s="88">
        <v>11938366</v>
      </c>
      <c r="E6134" s="88" t="s">
        <v>61</v>
      </c>
      <c r="F6134" s="88">
        <v>0</v>
      </c>
      <c r="G6134" s="78">
        <f>MAX(H6134,I6134,J6134)</f>
        <v>1</v>
      </c>
      <c r="H6134" s="88"/>
      <c r="I6134" s="88"/>
      <c r="J6134" s="78">
        <f>MAX(K6134:Q6134)</f>
        <v>1</v>
      </c>
      <c r="K6134" s="88">
        <v>1</v>
      </c>
      <c r="L6134" s="88"/>
      <c r="M6134" s="88"/>
      <c r="N6134" s="88"/>
      <c r="O6134" s="88"/>
      <c r="P6134" s="88"/>
      <c r="Q6134" s="88"/>
      <c r="R6134" s="78">
        <f>MAX(S6134:W6134)</f>
        <v>0</v>
      </c>
      <c r="S6134" s="88"/>
      <c r="T6134" s="88"/>
      <c r="U6134" s="88"/>
      <c r="V6134" s="88"/>
      <c r="W6134" s="88"/>
    </row>
    <row r="6135" spans="2:23" s="0" customFormat="0" ht="15">
      <c r="B6135" s="87" t="s">
        <v>1</v>
      </c>
      <c r="C6135" s="88" t="s">
        <v>5259</v>
      </c>
      <c r="D6135" s="88" t="s">
        <v>4700</v>
      </c>
      <c r="E6135" s="88" t="s">
        <v>61</v>
      </c>
      <c r="F6135" s="88">
        <v>0</v>
      </c>
      <c r="G6135" s="78">
        <f>MAX(H6135,I6135,J6135)</f>
        <v>0</v>
      </c>
      <c r="H6135" s="88"/>
      <c r="I6135" s="88"/>
      <c r="J6135" s="78">
        <f>MAX(K6135:Q6135)</f>
        <v>0</v>
      </c>
      <c r="K6135" s="88"/>
      <c r="L6135" s="88"/>
      <c r="M6135" s="88"/>
      <c r="N6135" s="88"/>
      <c r="O6135" s="88"/>
      <c r="P6135" s="88"/>
      <c r="Q6135" s="88"/>
      <c r="R6135" s="78">
        <f>MAX(S6135:W6135)</f>
        <v>1</v>
      </c>
      <c r="S6135" s="88"/>
      <c r="T6135" s="88"/>
      <c r="U6135" s="88">
        <v>1</v>
      </c>
      <c r="V6135" s="88"/>
      <c r="W6135" s="88"/>
    </row>
    <row r="6136" spans="2:23" s="0" customFormat="0" ht="15">
      <c r="B6136" s="87" t="s">
        <v>1</v>
      </c>
      <c r="C6136" s="88" t="s">
        <v>5259</v>
      </c>
      <c r="D6136" s="88">
        <v>21329473</v>
      </c>
      <c r="E6136" s="88" t="s">
        <v>61</v>
      </c>
      <c r="F6136" s="88">
        <v>0</v>
      </c>
      <c r="G6136" s="78">
        <f>MAX(H6136,I6136,J6136)</f>
        <v>1</v>
      </c>
      <c r="H6136" s="88"/>
      <c r="I6136" s="88"/>
      <c r="J6136" s="78">
        <f>MAX(K6136:Q6136)</f>
        <v>1</v>
      </c>
      <c r="K6136" s="88">
        <v>1</v>
      </c>
      <c r="L6136" s="88"/>
      <c r="M6136" s="88"/>
      <c r="N6136" s="88"/>
      <c r="O6136" s="88"/>
      <c r="P6136" s="88"/>
      <c r="Q6136" s="88"/>
      <c r="R6136" s="78">
        <f>MAX(S6136:W6136)</f>
        <v>0</v>
      </c>
      <c r="S6136" s="88"/>
      <c r="T6136" s="88"/>
      <c r="U6136" s="88"/>
      <c r="V6136" s="88"/>
      <c r="W6136" s="88"/>
    </row>
    <row r="6137" spans="2:23" s="0" customFormat="0" ht="15">
      <c r="B6137" s="87" t="s">
        <v>1</v>
      </c>
      <c r="C6137" s="88" t="s">
        <v>5259</v>
      </c>
      <c r="D6137" s="88" t="s">
        <v>3995</v>
      </c>
      <c r="E6137" s="88" t="s">
        <v>61</v>
      </c>
      <c r="F6137" s="88">
        <v>0</v>
      </c>
      <c r="G6137" s="78">
        <f>MAX(H6137,I6137,J6137)</f>
        <v>0</v>
      </c>
      <c r="H6137" s="88"/>
      <c r="I6137" s="88"/>
      <c r="J6137" s="78">
        <f>MAX(K6137:Q6137)</f>
        <v>0</v>
      </c>
      <c r="K6137" s="88"/>
      <c r="L6137" s="88"/>
      <c r="M6137" s="88"/>
      <c r="N6137" s="88"/>
      <c r="O6137" s="88"/>
      <c r="P6137" s="88"/>
      <c r="Q6137" s="88"/>
      <c r="R6137" s="78">
        <f>MAX(S6137:W6137)</f>
        <v>1</v>
      </c>
      <c r="S6137" s="88"/>
      <c r="T6137" s="88"/>
      <c r="U6137" s="88">
        <v>1</v>
      </c>
      <c r="V6137" s="88"/>
      <c r="W6137" s="88"/>
    </row>
    <row r="6138" spans="2:23" s="0" customFormat="0" ht="15">
      <c r="B6138" s="87" t="s">
        <v>1</v>
      </c>
      <c r="C6138" s="88" t="s">
        <v>5259</v>
      </c>
      <c r="D6138" s="88">
        <v>19612116</v>
      </c>
      <c r="E6138" s="88" t="s">
        <v>61</v>
      </c>
      <c r="F6138" s="88">
        <v>0</v>
      </c>
      <c r="G6138" s="78">
        <f>MAX(H6138,I6138,J6138)</f>
        <v>1</v>
      </c>
      <c r="H6138" s="88"/>
      <c r="I6138" s="88"/>
      <c r="J6138" s="78">
        <f>MAX(K6138:Q6138)</f>
        <v>1</v>
      </c>
      <c r="K6138" s="88">
        <v>1</v>
      </c>
      <c r="L6138" s="88"/>
      <c r="M6138" s="88"/>
      <c r="N6138" s="88"/>
      <c r="O6138" s="88"/>
      <c r="P6138" s="88"/>
      <c r="Q6138" s="88"/>
      <c r="R6138" s="78">
        <f>MAX(S6138:W6138)</f>
        <v>0</v>
      </c>
      <c r="S6138" s="88"/>
      <c r="T6138" s="88"/>
      <c r="U6138" s="88"/>
      <c r="V6138" s="88"/>
      <c r="W6138" s="88"/>
    </row>
    <row r="6139" spans="2:23" s="0" customFormat="0" ht="15">
      <c r="B6139" s="87" t="s">
        <v>1</v>
      </c>
      <c r="C6139" s="88" t="s">
        <v>5259</v>
      </c>
      <c r="D6139" s="88">
        <v>20081374</v>
      </c>
      <c r="E6139" s="88" t="s">
        <v>61</v>
      </c>
      <c r="F6139" s="88">
        <v>0</v>
      </c>
      <c r="G6139" s="78">
        <f>MAX(H6139,I6139,J6139)</f>
        <v>1</v>
      </c>
      <c r="H6139" s="88"/>
      <c r="I6139" s="88"/>
      <c r="J6139" s="78">
        <f>MAX(K6139:Q6139)</f>
        <v>1</v>
      </c>
      <c r="K6139" s="88"/>
      <c r="L6139" s="88"/>
      <c r="M6139" s="88">
        <v>1</v>
      </c>
      <c r="N6139" s="88"/>
      <c r="O6139" s="88"/>
      <c r="P6139" s="88"/>
      <c r="Q6139" s="88"/>
      <c r="R6139" s="78">
        <f>MAX(S6139:W6139)</f>
        <v>0</v>
      </c>
      <c r="S6139" s="88"/>
      <c r="T6139" s="88"/>
      <c r="U6139" s="88"/>
      <c r="V6139" s="88"/>
      <c r="W6139" s="88"/>
    </row>
    <row r="6140" spans="2:23" s="0" customFormat="0" ht="15">
      <c r="B6140" s="87" t="s">
        <v>1</v>
      </c>
      <c r="C6140" s="88" t="s">
        <v>5259</v>
      </c>
      <c r="D6140" s="88" t="s">
        <v>4891</v>
      </c>
      <c r="E6140" s="88" t="s">
        <v>61</v>
      </c>
      <c r="F6140" s="88">
        <v>0</v>
      </c>
      <c r="G6140" s="78">
        <f>MAX(H6140,I6140,J6140)</f>
        <v>0</v>
      </c>
      <c r="H6140" s="88"/>
      <c r="I6140" s="88"/>
      <c r="J6140" s="78">
        <f>MAX(K6140:Q6140)</f>
        <v>0</v>
      </c>
      <c r="K6140" s="88"/>
      <c r="L6140" s="88"/>
      <c r="M6140" s="88"/>
      <c r="N6140" s="88"/>
      <c r="O6140" s="88"/>
      <c r="P6140" s="88"/>
      <c r="Q6140" s="88"/>
      <c r="R6140" s="78">
        <f>MAX(S6140:W6140)</f>
        <v>1</v>
      </c>
      <c r="S6140" s="88"/>
      <c r="T6140" s="88"/>
      <c r="U6140" s="88">
        <v>1</v>
      </c>
      <c r="V6140" s="88"/>
      <c r="W6140" s="88"/>
    </row>
    <row r="6141" spans="2:23" s="0" customFormat="0" ht="15">
      <c r="B6141" s="87" t="s">
        <v>1</v>
      </c>
      <c r="C6141" s="88" t="s">
        <v>5259</v>
      </c>
      <c r="D6141" s="88" t="s">
        <v>4439</v>
      </c>
      <c r="E6141" s="88" t="s">
        <v>61</v>
      </c>
      <c r="F6141" s="88">
        <v>0</v>
      </c>
      <c r="G6141" s="78">
        <f>MAX(H6141,I6141,J6141)</f>
        <v>0</v>
      </c>
      <c r="H6141" s="88"/>
      <c r="I6141" s="88"/>
      <c r="J6141" s="78">
        <f>MAX(K6141:Q6141)</f>
        <v>0</v>
      </c>
      <c r="K6141" s="88"/>
      <c r="L6141" s="88"/>
      <c r="M6141" s="88"/>
      <c r="N6141" s="88"/>
      <c r="O6141" s="88"/>
      <c r="P6141" s="88"/>
      <c r="Q6141" s="88"/>
      <c r="R6141" s="78">
        <f>MAX(S6141:W6141)</f>
        <v>1</v>
      </c>
      <c r="S6141" s="88"/>
      <c r="T6141" s="88"/>
      <c r="U6141" s="88">
        <v>1</v>
      </c>
      <c r="V6141" s="88"/>
      <c r="W6141" s="88"/>
    </row>
    <row r="6142" spans="2:23" s="0" customFormat="0" ht="15">
      <c r="B6142" s="87" t="s">
        <v>1</v>
      </c>
      <c r="C6142" s="88" t="s">
        <v>5259</v>
      </c>
      <c r="D6142" s="88">
        <v>2166226</v>
      </c>
      <c r="E6142" s="88" t="s">
        <v>61</v>
      </c>
      <c r="F6142" s="88">
        <v>0</v>
      </c>
      <c r="G6142" s="78">
        <f>MAX(H6142,I6142,J6142)</f>
        <v>1</v>
      </c>
      <c r="H6142" s="88"/>
      <c r="I6142" s="88"/>
      <c r="J6142" s="78">
        <f>MAX(K6142:Q6142)</f>
        <v>1</v>
      </c>
      <c r="K6142" s="88">
        <v>1</v>
      </c>
      <c r="L6142" s="88"/>
      <c r="M6142" s="88"/>
      <c r="N6142" s="88"/>
      <c r="O6142" s="88"/>
      <c r="P6142" s="88"/>
      <c r="Q6142" s="88"/>
      <c r="R6142" s="78">
        <f>MAX(S6142:W6142)</f>
        <v>0</v>
      </c>
      <c r="S6142" s="88"/>
      <c r="T6142" s="88"/>
      <c r="U6142" s="88"/>
      <c r="V6142" s="88"/>
      <c r="W6142" s="88"/>
    </row>
    <row r="6143" spans="2:23" s="0" customFormat="0" ht="15">
      <c r="B6143" s="87" t="s">
        <v>1</v>
      </c>
      <c r="C6143" s="88" t="s">
        <v>5259</v>
      </c>
      <c r="D6143" s="88" t="s">
        <v>2083</v>
      </c>
      <c r="E6143" s="88" t="s">
        <v>61</v>
      </c>
      <c r="F6143" s="88">
        <v>0</v>
      </c>
      <c r="G6143" s="78">
        <f>MAX(H6143,I6143,J6143)</f>
        <v>1</v>
      </c>
      <c r="H6143" s="88"/>
      <c r="I6143" s="88"/>
      <c r="J6143" s="78">
        <f>MAX(K6143:Q6143)</f>
        <v>1</v>
      </c>
      <c r="K6143" s="88">
        <v>1</v>
      </c>
      <c r="L6143" s="88"/>
      <c r="M6143" s="88"/>
      <c r="N6143" s="88"/>
      <c r="O6143" s="88"/>
      <c r="P6143" s="88"/>
      <c r="Q6143" s="88"/>
      <c r="R6143" s="78">
        <f>MAX(S6143:W6143)</f>
        <v>0</v>
      </c>
      <c r="S6143" s="88"/>
      <c r="T6143" s="88"/>
      <c r="U6143" s="88"/>
      <c r="V6143" s="88"/>
      <c r="W6143" s="88"/>
    </row>
    <row r="6144" spans="2:23" s="0" customFormat="0" ht="15">
      <c r="B6144" s="87" t="s">
        <v>1</v>
      </c>
      <c r="C6144" s="88" t="s">
        <v>5259</v>
      </c>
      <c r="D6144" s="88" t="s">
        <v>5128</v>
      </c>
      <c r="E6144" s="88" t="s">
        <v>61</v>
      </c>
      <c r="F6144" s="88">
        <v>0</v>
      </c>
      <c r="G6144" s="78">
        <f>MAX(H6144,I6144,J6144)</f>
        <v>0</v>
      </c>
      <c r="H6144" s="88"/>
      <c r="I6144" s="88"/>
      <c r="J6144" s="78">
        <f>MAX(K6144:Q6144)</f>
        <v>0</v>
      </c>
      <c r="K6144" s="88"/>
      <c r="L6144" s="88"/>
      <c r="M6144" s="88"/>
      <c r="N6144" s="88"/>
      <c r="O6144" s="88"/>
      <c r="P6144" s="88"/>
      <c r="Q6144" s="88"/>
      <c r="R6144" s="78">
        <f>MAX(S6144:W6144)</f>
        <v>1</v>
      </c>
      <c r="S6144" s="88"/>
      <c r="T6144" s="88"/>
      <c r="U6144" s="88">
        <v>1</v>
      </c>
      <c r="V6144" s="88"/>
      <c r="W6144" s="88"/>
    </row>
    <row r="6145" spans="2:23" s="0" customFormat="0" ht="15">
      <c r="B6145" s="87" t="s">
        <v>1</v>
      </c>
      <c r="C6145" s="88" t="s">
        <v>5259</v>
      </c>
      <c r="D6145" s="88">
        <v>23930496</v>
      </c>
      <c r="E6145" s="88" t="s">
        <v>61</v>
      </c>
      <c r="F6145" s="88">
        <v>0</v>
      </c>
      <c r="G6145" s="78">
        <f>MAX(H6145,I6145,J6145)</f>
        <v>1</v>
      </c>
      <c r="H6145" s="88"/>
      <c r="I6145" s="88"/>
      <c r="J6145" s="78">
        <f>MAX(K6145:Q6145)</f>
        <v>1</v>
      </c>
      <c r="K6145" s="88">
        <v>1</v>
      </c>
      <c r="L6145" s="88"/>
      <c r="M6145" s="88"/>
      <c r="N6145" s="88"/>
      <c r="O6145" s="88"/>
      <c r="P6145" s="88"/>
      <c r="Q6145" s="88"/>
      <c r="R6145" s="78">
        <f>MAX(S6145:W6145)</f>
        <v>0</v>
      </c>
      <c r="S6145" s="88"/>
      <c r="T6145" s="88"/>
      <c r="U6145" s="88"/>
      <c r="V6145" s="88"/>
      <c r="W6145" s="88"/>
    </row>
    <row r="6146" spans="2:23" s="0" customFormat="0" ht="15">
      <c r="B6146" s="87" t="s">
        <v>1</v>
      </c>
      <c r="C6146" s="88" t="s">
        <v>5259</v>
      </c>
      <c r="D6146" s="88" t="s">
        <v>3394</v>
      </c>
      <c r="E6146" s="88" t="s">
        <v>61</v>
      </c>
      <c r="F6146" s="88">
        <v>0</v>
      </c>
      <c r="G6146" s="78">
        <f>MAX(H6146,I6146,J6146)</f>
        <v>0</v>
      </c>
      <c r="H6146" s="88"/>
      <c r="I6146" s="88"/>
      <c r="J6146" s="78">
        <f>MAX(K6146:Q6146)</f>
        <v>0</v>
      </c>
      <c r="K6146" s="88"/>
      <c r="L6146" s="88"/>
      <c r="M6146" s="88"/>
      <c r="N6146" s="88"/>
      <c r="O6146" s="88"/>
      <c r="P6146" s="88"/>
      <c r="Q6146" s="88"/>
      <c r="R6146" s="78">
        <f>MAX(S6146:W6146)</f>
        <v>1</v>
      </c>
      <c r="S6146" s="88"/>
      <c r="T6146" s="88"/>
      <c r="U6146" s="88">
        <v>1</v>
      </c>
      <c r="V6146" s="88"/>
      <c r="W6146" s="88"/>
    </row>
    <row r="6147" spans="2:23" s="0" customFormat="0" ht="15">
      <c r="B6147" s="87" t="s">
        <v>1</v>
      </c>
      <c r="C6147" s="88" t="s">
        <v>5259</v>
      </c>
      <c r="D6147" s="88" t="s">
        <v>2965</v>
      </c>
      <c r="E6147" s="88" t="s">
        <v>61</v>
      </c>
      <c r="F6147" s="88">
        <v>0</v>
      </c>
      <c r="G6147" s="78">
        <f>MAX(H6147,I6147,J6147)</f>
        <v>1</v>
      </c>
      <c r="H6147" s="88"/>
      <c r="I6147" s="88"/>
      <c r="J6147" s="78">
        <f>MAX(K6147:Q6147)</f>
        <v>1</v>
      </c>
      <c r="K6147" s="88">
        <v>1</v>
      </c>
      <c r="L6147" s="88"/>
      <c r="M6147" s="88"/>
      <c r="N6147" s="88"/>
      <c r="O6147" s="88"/>
      <c r="P6147" s="88"/>
      <c r="Q6147" s="88"/>
      <c r="R6147" s="78">
        <f>MAX(S6147:W6147)</f>
        <v>0</v>
      </c>
      <c r="S6147" s="88"/>
      <c r="T6147" s="88"/>
      <c r="U6147" s="88"/>
      <c r="V6147" s="88"/>
      <c r="W6147" s="88"/>
    </row>
    <row r="6148" spans="2:23" s="0" customFormat="0" ht="15">
      <c r="B6148" s="87" t="s">
        <v>1</v>
      </c>
      <c r="C6148" s="88" t="s">
        <v>5259</v>
      </c>
      <c r="D6148" s="88" t="s">
        <v>2163</v>
      </c>
      <c r="E6148" s="88" t="s">
        <v>61</v>
      </c>
      <c r="F6148" s="88">
        <v>0</v>
      </c>
      <c r="G6148" s="78">
        <f>MAX(H6148,I6148,J6148)</f>
        <v>1</v>
      </c>
      <c r="H6148" s="88"/>
      <c r="I6148" s="88"/>
      <c r="J6148" s="78">
        <f>MAX(K6148:Q6148)</f>
        <v>1</v>
      </c>
      <c r="K6148" s="88">
        <v>1</v>
      </c>
      <c r="L6148" s="88"/>
      <c r="M6148" s="88"/>
      <c r="N6148" s="88"/>
      <c r="O6148" s="88"/>
      <c r="P6148" s="88"/>
      <c r="Q6148" s="88"/>
      <c r="R6148" s="78">
        <f>MAX(S6148:W6148)</f>
        <v>0</v>
      </c>
      <c r="S6148" s="88"/>
      <c r="T6148" s="88"/>
      <c r="U6148" s="88"/>
      <c r="V6148" s="88"/>
      <c r="W6148" s="88"/>
    </row>
    <row r="6149" spans="2:23" s="0" customFormat="0" ht="15">
      <c r="B6149" s="87" t="s">
        <v>1</v>
      </c>
      <c r="C6149" s="88" t="s">
        <v>5259</v>
      </c>
      <c r="D6149" s="88">
        <v>3092975</v>
      </c>
      <c r="E6149" s="88" t="s">
        <v>61</v>
      </c>
      <c r="F6149" s="88">
        <v>0</v>
      </c>
      <c r="G6149" s="78">
        <f>MAX(H6149,I6149,J6149)</f>
        <v>1</v>
      </c>
      <c r="H6149" s="88"/>
      <c r="I6149" s="88"/>
      <c r="J6149" s="78">
        <f>MAX(K6149:Q6149)</f>
        <v>1</v>
      </c>
      <c r="K6149" s="88">
        <v>1</v>
      </c>
      <c r="L6149" s="88"/>
      <c r="M6149" s="88"/>
      <c r="N6149" s="88"/>
      <c r="O6149" s="88"/>
      <c r="P6149" s="88"/>
      <c r="Q6149" s="88"/>
      <c r="R6149" s="78">
        <f>MAX(S6149:W6149)</f>
        <v>0</v>
      </c>
      <c r="S6149" s="88"/>
      <c r="T6149" s="88"/>
      <c r="U6149" s="88"/>
      <c r="V6149" s="88"/>
      <c r="W6149" s="88"/>
    </row>
    <row r="6150" spans="2:23" s="0" customFormat="0" ht="15">
      <c r="B6150" s="87" t="s">
        <v>1</v>
      </c>
      <c r="C6150" s="88" t="s">
        <v>5259</v>
      </c>
      <c r="D6150" s="88" t="s">
        <v>2440</v>
      </c>
      <c r="E6150" s="88" t="s">
        <v>61</v>
      </c>
      <c r="F6150" s="88">
        <v>0</v>
      </c>
      <c r="G6150" s="78">
        <f>MAX(H6150,I6150,J6150)</f>
        <v>1</v>
      </c>
      <c r="H6150" s="88"/>
      <c r="I6150" s="88"/>
      <c r="J6150" s="78">
        <f>MAX(K6150:Q6150)</f>
        <v>1</v>
      </c>
      <c r="K6150" s="88">
        <v>1</v>
      </c>
      <c r="L6150" s="88"/>
      <c r="M6150" s="88"/>
      <c r="N6150" s="88"/>
      <c r="O6150" s="88"/>
      <c r="P6150" s="88"/>
      <c r="Q6150" s="88"/>
      <c r="R6150" s="78">
        <f>MAX(S6150:W6150)</f>
        <v>0</v>
      </c>
      <c r="S6150" s="88"/>
      <c r="T6150" s="88"/>
      <c r="U6150" s="88"/>
      <c r="V6150" s="88"/>
      <c r="W6150" s="88"/>
    </row>
    <row r="6151" spans="2:23" s="0" customFormat="0" ht="15">
      <c r="B6151" s="87" t="s">
        <v>1</v>
      </c>
      <c r="C6151" s="88" t="s">
        <v>5259</v>
      </c>
      <c r="D6151" s="88" t="s">
        <v>4923</v>
      </c>
      <c r="E6151" s="88" t="s">
        <v>61</v>
      </c>
      <c r="F6151" s="88">
        <v>0</v>
      </c>
      <c r="G6151" s="78">
        <f>MAX(H6151,I6151,J6151)</f>
        <v>0</v>
      </c>
      <c r="H6151" s="88"/>
      <c r="I6151" s="88"/>
      <c r="J6151" s="78">
        <f>MAX(K6151:Q6151)</f>
        <v>0</v>
      </c>
      <c r="K6151" s="88"/>
      <c r="L6151" s="88"/>
      <c r="M6151" s="88"/>
      <c r="N6151" s="88"/>
      <c r="O6151" s="88"/>
      <c r="P6151" s="88"/>
      <c r="Q6151" s="88"/>
      <c r="R6151" s="78">
        <f>MAX(S6151:W6151)</f>
        <v>1</v>
      </c>
      <c r="S6151" s="88"/>
      <c r="T6151" s="88"/>
      <c r="U6151" s="88">
        <v>1</v>
      </c>
      <c r="V6151" s="88"/>
      <c r="W6151" s="88"/>
    </row>
    <row r="6152" spans="2:23" s="0" customFormat="0" ht="15">
      <c r="B6152" s="87" t="s">
        <v>1</v>
      </c>
      <c r="C6152" s="88" t="s">
        <v>5259</v>
      </c>
      <c r="D6152" s="88">
        <v>21226550</v>
      </c>
      <c r="E6152" s="88" t="s">
        <v>61</v>
      </c>
      <c r="F6152" s="88">
        <v>0</v>
      </c>
      <c r="G6152" s="78">
        <f>MAX(H6152,I6152,J6152)</f>
        <v>1</v>
      </c>
      <c r="H6152" s="88"/>
      <c r="I6152" s="88"/>
      <c r="J6152" s="78">
        <f>MAX(K6152:Q6152)</f>
        <v>1</v>
      </c>
      <c r="K6152" s="88">
        <v>1</v>
      </c>
      <c r="L6152" s="88"/>
      <c r="M6152" s="88"/>
      <c r="N6152" s="88"/>
      <c r="O6152" s="88"/>
      <c r="P6152" s="88"/>
      <c r="Q6152" s="88"/>
      <c r="R6152" s="78">
        <f>MAX(S6152:W6152)</f>
        <v>0</v>
      </c>
      <c r="S6152" s="88"/>
      <c r="T6152" s="88"/>
      <c r="U6152" s="88"/>
      <c r="V6152" s="88"/>
      <c r="W6152" s="88"/>
    </row>
    <row r="6153" spans="2:23" s="0" customFormat="0" ht="15">
      <c r="B6153" s="87" t="s">
        <v>1</v>
      </c>
      <c r="C6153" s="88" t="s">
        <v>5259</v>
      </c>
      <c r="D6153" s="88" t="s">
        <v>3374</v>
      </c>
      <c r="E6153" s="88" t="s">
        <v>61</v>
      </c>
      <c r="F6153" s="88">
        <v>0</v>
      </c>
      <c r="G6153" s="78">
        <f>MAX(H6153,I6153,J6153)</f>
        <v>0</v>
      </c>
      <c r="H6153" s="88"/>
      <c r="I6153" s="88"/>
      <c r="J6153" s="78">
        <f>MAX(K6153:Q6153)</f>
        <v>0</v>
      </c>
      <c r="K6153" s="88"/>
      <c r="L6153" s="88"/>
      <c r="M6153" s="88"/>
      <c r="N6153" s="88"/>
      <c r="O6153" s="88"/>
      <c r="P6153" s="88"/>
      <c r="Q6153" s="88"/>
      <c r="R6153" s="78">
        <f>MAX(S6153:W6153)</f>
        <v>1</v>
      </c>
      <c r="S6153" s="88"/>
      <c r="T6153" s="88"/>
      <c r="U6153" s="88">
        <v>1</v>
      </c>
      <c r="V6153" s="88"/>
      <c r="W6153" s="88"/>
    </row>
    <row r="6154" spans="2:23" s="0" customFormat="0" ht="15">
      <c r="B6154" s="87" t="s">
        <v>1</v>
      </c>
      <c r="C6154" s="88" t="s">
        <v>5259</v>
      </c>
      <c r="D6154" s="88">
        <v>22623665</v>
      </c>
      <c r="E6154" s="88" t="s">
        <v>61</v>
      </c>
      <c r="F6154" s="88">
        <v>0</v>
      </c>
      <c r="G6154" s="78">
        <f>MAX(H6154,I6154,J6154)</f>
        <v>0</v>
      </c>
      <c r="H6154" s="88"/>
      <c r="I6154" s="88"/>
      <c r="J6154" s="78">
        <f>MAX(K6154:Q6154)</f>
        <v>0</v>
      </c>
      <c r="K6154" s="88"/>
      <c r="L6154" s="88"/>
      <c r="M6154" s="88"/>
      <c r="N6154" s="88"/>
      <c r="O6154" s="88"/>
      <c r="P6154" s="88"/>
      <c r="Q6154" s="88"/>
      <c r="R6154" s="78">
        <f>MAX(S6154:W6154)</f>
        <v>1</v>
      </c>
      <c r="S6154" s="88"/>
      <c r="T6154" s="88"/>
      <c r="U6154" s="88">
        <v>1</v>
      </c>
      <c r="V6154" s="88"/>
      <c r="W6154" s="88"/>
    </row>
    <row r="6155" spans="2:23" s="0" customFormat="0" ht="15">
      <c r="B6155" s="87" t="s">
        <v>1</v>
      </c>
      <c r="C6155" s="88" t="s">
        <v>5259</v>
      </c>
      <c r="D6155" s="88" t="s">
        <v>3717</v>
      </c>
      <c r="E6155" s="88" t="s">
        <v>61</v>
      </c>
      <c r="F6155" s="88">
        <v>0</v>
      </c>
      <c r="G6155" s="78">
        <f>MAX(H6155,I6155,J6155)</f>
        <v>0</v>
      </c>
      <c r="H6155" s="88"/>
      <c r="I6155" s="88"/>
      <c r="J6155" s="78">
        <f>MAX(K6155:Q6155)</f>
        <v>0</v>
      </c>
      <c r="K6155" s="88"/>
      <c r="L6155" s="88"/>
      <c r="M6155" s="88"/>
      <c r="N6155" s="88"/>
      <c r="O6155" s="88"/>
      <c r="P6155" s="88"/>
      <c r="Q6155" s="88"/>
      <c r="R6155" s="78">
        <f>MAX(S6155:W6155)</f>
        <v>1</v>
      </c>
      <c r="S6155" s="88"/>
      <c r="T6155" s="88"/>
      <c r="U6155" s="88">
        <v>1</v>
      </c>
      <c r="V6155" s="88"/>
      <c r="W6155" s="88"/>
    </row>
    <row r="6156" spans="2:23" s="0" customFormat="0" ht="15">
      <c r="B6156" s="87" t="s">
        <v>1</v>
      </c>
      <c r="C6156" s="88" t="s">
        <v>5259</v>
      </c>
      <c r="D6156" s="88">
        <v>23673157</v>
      </c>
      <c r="E6156" s="88" t="s">
        <v>61</v>
      </c>
      <c r="F6156" s="88">
        <v>0</v>
      </c>
      <c r="G6156" s="78">
        <f>MAX(H6156,I6156,J6156)</f>
        <v>1</v>
      </c>
      <c r="H6156" s="88"/>
      <c r="I6156" s="88"/>
      <c r="J6156" s="78">
        <f>MAX(K6156:Q6156)</f>
        <v>1</v>
      </c>
      <c r="K6156" s="88">
        <v>1</v>
      </c>
      <c r="L6156" s="88"/>
      <c r="M6156" s="88"/>
      <c r="N6156" s="88"/>
      <c r="O6156" s="88"/>
      <c r="P6156" s="88"/>
      <c r="Q6156" s="88"/>
      <c r="R6156" s="78">
        <f>MAX(S6156:W6156)</f>
        <v>0</v>
      </c>
      <c r="S6156" s="88"/>
      <c r="T6156" s="88"/>
      <c r="U6156" s="88"/>
      <c r="V6156" s="88"/>
      <c r="W6156" s="88"/>
    </row>
    <row r="6157" spans="2:23" s="0" customFormat="0" ht="15">
      <c r="B6157" s="87" t="s">
        <v>1</v>
      </c>
      <c r="C6157" s="88" t="s">
        <v>5259</v>
      </c>
      <c r="D6157" s="88">
        <v>22698145</v>
      </c>
      <c r="E6157" s="88" t="s">
        <v>61</v>
      </c>
      <c r="F6157" s="88">
        <v>0</v>
      </c>
      <c r="G6157" s="78">
        <f>MAX(H6157,I6157,J6157)</f>
        <v>1</v>
      </c>
      <c r="H6157" s="88"/>
      <c r="I6157" s="88"/>
      <c r="J6157" s="78">
        <f>MAX(K6157:Q6157)</f>
        <v>1</v>
      </c>
      <c r="K6157" s="88">
        <v>1</v>
      </c>
      <c r="L6157" s="88"/>
      <c r="M6157" s="88"/>
      <c r="N6157" s="88"/>
      <c r="O6157" s="88"/>
      <c r="P6157" s="88"/>
      <c r="Q6157" s="88"/>
      <c r="R6157" s="78">
        <f>MAX(S6157:W6157)</f>
        <v>0</v>
      </c>
      <c r="S6157" s="88"/>
      <c r="T6157" s="88"/>
      <c r="U6157" s="88"/>
      <c r="V6157" s="88"/>
      <c r="W6157" s="88"/>
    </row>
    <row r="6158" spans="2:23" s="0" customFormat="0" ht="15">
      <c r="B6158" s="87" t="s">
        <v>1</v>
      </c>
      <c r="C6158" s="88" t="s">
        <v>5259</v>
      </c>
      <c r="D6158" s="88">
        <v>813656</v>
      </c>
      <c r="E6158" s="88" t="s">
        <v>61</v>
      </c>
      <c r="F6158" s="88">
        <v>0</v>
      </c>
      <c r="G6158" s="78">
        <f>MAX(H6158,I6158,J6158)</f>
        <v>0</v>
      </c>
      <c r="H6158" s="88"/>
      <c r="I6158" s="88"/>
      <c r="J6158" s="78">
        <f>MAX(K6158:Q6158)</f>
        <v>0</v>
      </c>
      <c r="K6158" s="88"/>
      <c r="L6158" s="88"/>
      <c r="M6158" s="88"/>
      <c r="N6158" s="88"/>
      <c r="O6158" s="88"/>
      <c r="P6158" s="88"/>
      <c r="Q6158" s="88"/>
      <c r="R6158" s="78">
        <f>MAX(S6158:W6158)</f>
        <v>1</v>
      </c>
      <c r="S6158" s="88"/>
      <c r="T6158" s="88"/>
      <c r="U6158" s="88">
        <v>1</v>
      </c>
      <c r="V6158" s="88"/>
      <c r="W6158" s="88"/>
    </row>
    <row r="6159" spans="2:23" s="0" customFormat="0" ht="15">
      <c r="B6159" s="87" t="s">
        <v>1</v>
      </c>
      <c r="C6159" s="88" t="s">
        <v>5259</v>
      </c>
      <c r="D6159" s="88" t="s">
        <v>3214</v>
      </c>
      <c r="E6159" s="88" t="s">
        <v>61</v>
      </c>
      <c r="F6159" s="88">
        <v>0</v>
      </c>
      <c r="G6159" s="78">
        <f>MAX(H6159,I6159,J6159)</f>
        <v>0</v>
      </c>
      <c r="H6159" s="88"/>
      <c r="I6159" s="88"/>
      <c r="J6159" s="78">
        <f>MAX(K6159:Q6159)</f>
        <v>0</v>
      </c>
      <c r="K6159" s="88"/>
      <c r="L6159" s="88"/>
      <c r="M6159" s="88"/>
      <c r="N6159" s="88"/>
      <c r="O6159" s="88"/>
      <c r="P6159" s="88"/>
      <c r="Q6159" s="88"/>
      <c r="R6159" s="78">
        <f>MAX(S6159:W6159)</f>
        <v>1</v>
      </c>
      <c r="S6159" s="88"/>
      <c r="T6159" s="88"/>
      <c r="U6159" s="88"/>
      <c r="V6159" s="88">
        <v>1</v>
      </c>
      <c r="W6159" s="88"/>
    </row>
    <row r="6160" spans="2:23" s="0" customFormat="0" ht="15">
      <c r="B6160" s="87" t="s">
        <v>1</v>
      </c>
      <c r="C6160" s="88" t="s">
        <v>5259</v>
      </c>
      <c r="D6160" s="88" t="s">
        <v>1719</v>
      </c>
      <c r="E6160" s="88" t="s">
        <v>61</v>
      </c>
      <c r="F6160" s="88">
        <v>0</v>
      </c>
      <c r="G6160" s="78">
        <f>MAX(H6160,I6160,J6160)</f>
        <v>1</v>
      </c>
      <c r="H6160" s="88"/>
      <c r="I6160" s="88"/>
      <c r="J6160" s="78">
        <f>MAX(K6160:Q6160)</f>
        <v>1</v>
      </c>
      <c r="K6160" s="88">
        <v>1</v>
      </c>
      <c r="L6160" s="88"/>
      <c r="M6160" s="88"/>
      <c r="N6160" s="88"/>
      <c r="O6160" s="88"/>
      <c r="P6160" s="88"/>
      <c r="Q6160" s="88"/>
      <c r="R6160" s="78">
        <f>MAX(S6160:W6160)</f>
        <v>0</v>
      </c>
      <c r="S6160" s="88"/>
      <c r="T6160" s="88"/>
      <c r="U6160" s="88"/>
      <c r="V6160" s="88"/>
      <c r="W6160" s="88"/>
    </row>
    <row r="6161" spans="2:23" s="0" customFormat="0" ht="15">
      <c r="B6161" s="87" t="s">
        <v>1</v>
      </c>
      <c r="C6161" s="88" t="s">
        <v>5259</v>
      </c>
      <c r="D6161" s="88" t="s">
        <v>4346</v>
      </c>
      <c r="E6161" s="88" t="s">
        <v>61</v>
      </c>
      <c r="F6161" s="88">
        <v>0</v>
      </c>
      <c r="G6161" s="78">
        <f>MAX(H6161,I6161,J6161)</f>
        <v>0</v>
      </c>
      <c r="H6161" s="88"/>
      <c r="I6161" s="88"/>
      <c r="J6161" s="78">
        <f>MAX(K6161:Q6161)</f>
        <v>0</v>
      </c>
      <c r="K6161" s="88"/>
      <c r="L6161" s="88"/>
      <c r="M6161" s="88"/>
      <c r="N6161" s="88"/>
      <c r="O6161" s="88"/>
      <c r="P6161" s="88"/>
      <c r="Q6161" s="88"/>
      <c r="R6161" s="78">
        <f>MAX(S6161:W6161)</f>
        <v>1</v>
      </c>
      <c r="S6161" s="88"/>
      <c r="T6161" s="88"/>
      <c r="U6161" s="88">
        <v>1</v>
      </c>
      <c r="V6161" s="88"/>
      <c r="W6161" s="88"/>
    </row>
    <row r="6162" spans="2:23" s="0" customFormat="0" ht="15">
      <c r="B6162" s="87" t="s">
        <v>1</v>
      </c>
      <c r="C6162" s="88" t="s">
        <v>5259</v>
      </c>
      <c r="D6162" s="88">
        <v>13726603</v>
      </c>
      <c r="E6162" s="88" t="s">
        <v>61</v>
      </c>
      <c r="F6162" s="88">
        <v>0</v>
      </c>
      <c r="G6162" s="78">
        <f>MAX(H6162,I6162,J6162)</f>
        <v>1</v>
      </c>
      <c r="H6162" s="88"/>
      <c r="I6162" s="88"/>
      <c r="J6162" s="78">
        <f>MAX(K6162:Q6162)</f>
        <v>1</v>
      </c>
      <c r="K6162" s="88">
        <v>1</v>
      </c>
      <c r="L6162" s="88"/>
      <c r="M6162" s="88"/>
      <c r="N6162" s="88"/>
      <c r="O6162" s="88"/>
      <c r="P6162" s="88"/>
      <c r="Q6162" s="88"/>
      <c r="R6162" s="78">
        <f>MAX(S6162:W6162)</f>
        <v>0</v>
      </c>
      <c r="S6162" s="88"/>
      <c r="T6162" s="88"/>
      <c r="U6162" s="88"/>
      <c r="V6162" s="88"/>
      <c r="W6162" s="88"/>
    </row>
    <row r="6163" spans="2:23" s="0" customFormat="0" ht="15">
      <c r="B6163" s="87" t="s">
        <v>1</v>
      </c>
      <c r="C6163" s="88" t="s">
        <v>5259</v>
      </c>
      <c r="D6163" s="88" t="s">
        <v>361</v>
      </c>
      <c r="E6163" s="88" t="s">
        <v>61</v>
      </c>
      <c r="F6163" s="88">
        <v>0</v>
      </c>
      <c r="G6163" s="78">
        <f>MAX(H6163,I6163,J6163)</f>
        <v>1</v>
      </c>
      <c r="H6163" s="88"/>
      <c r="I6163" s="88"/>
      <c r="J6163" s="78">
        <f>MAX(K6163:Q6163)</f>
        <v>1</v>
      </c>
      <c r="K6163" s="88">
        <v>1</v>
      </c>
      <c r="L6163" s="88"/>
      <c r="M6163" s="88"/>
      <c r="N6163" s="88"/>
      <c r="O6163" s="88"/>
      <c r="P6163" s="88"/>
      <c r="Q6163" s="88"/>
      <c r="R6163" s="78">
        <f>MAX(S6163:W6163)</f>
        <v>0</v>
      </c>
      <c r="S6163" s="88"/>
      <c r="T6163" s="88"/>
      <c r="U6163" s="88"/>
      <c r="V6163" s="88"/>
      <c r="W6163" s="88"/>
    </row>
    <row r="6164" spans="2:23" s="0" customFormat="0" ht="15">
      <c r="B6164" s="87" t="s">
        <v>1</v>
      </c>
      <c r="C6164" s="88" t="s">
        <v>5259</v>
      </c>
      <c r="D6164" s="88">
        <v>18801403</v>
      </c>
      <c r="E6164" s="88" t="s">
        <v>61</v>
      </c>
      <c r="F6164" s="88">
        <v>0</v>
      </c>
      <c r="G6164" s="78">
        <f>MAX(H6164,I6164,J6164)</f>
        <v>1</v>
      </c>
      <c r="H6164" s="88"/>
      <c r="I6164" s="88"/>
      <c r="J6164" s="78">
        <f>MAX(K6164:Q6164)</f>
        <v>1</v>
      </c>
      <c r="K6164" s="88">
        <v>1</v>
      </c>
      <c r="L6164" s="88"/>
      <c r="M6164" s="88"/>
      <c r="N6164" s="88"/>
      <c r="O6164" s="88"/>
      <c r="P6164" s="88"/>
      <c r="Q6164" s="88"/>
      <c r="R6164" s="78">
        <f>MAX(S6164:W6164)</f>
        <v>0</v>
      </c>
      <c r="S6164" s="88"/>
      <c r="T6164" s="88"/>
      <c r="U6164" s="88"/>
      <c r="V6164" s="88"/>
      <c r="W6164" s="88"/>
    </row>
    <row r="6165" spans="2:23" s="0" customFormat="0" ht="15">
      <c r="B6165" s="87" t="s">
        <v>1</v>
      </c>
      <c r="C6165" s="88" t="s">
        <v>5259</v>
      </c>
      <c r="D6165" s="88">
        <v>14577841</v>
      </c>
      <c r="E6165" s="88" t="s">
        <v>61</v>
      </c>
      <c r="F6165" s="88">
        <v>0</v>
      </c>
      <c r="G6165" s="78">
        <f>MAX(H6165,I6165,J6165)</f>
        <v>1</v>
      </c>
      <c r="H6165" s="88"/>
      <c r="I6165" s="88"/>
      <c r="J6165" s="78">
        <f>MAX(K6165:Q6165)</f>
        <v>1</v>
      </c>
      <c r="K6165" s="88">
        <v>1</v>
      </c>
      <c r="L6165" s="88"/>
      <c r="M6165" s="88"/>
      <c r="N6165" s="88"/>
      <c r="O6165" s="88"/>
      <c r="P6165" s="88"/>
      <c r="Q6165" s="88"/>
      <c r="R6165" s="78">
        <f>MAX(S6165:W6165)</f>
        <v>0</v>
      </c>
      <c r="S6165" s="88"/>
      <c r="T6165" s="88"/>
      <c r="U6165" s="88"/>
      <c r="V6165" s="88"/>
      <c r="W6165" s="88"/>
    </row>
    <row r="6166" spans="2:23" s="0" customFormat="0" ht="15">
      <c r="B6166" s="87" t="s">
        <v>1</v>
      </c>
      <c r="C6166" s="88" t="s">
        <v>5259</v>
      </c>
      <c r="D6166" s="88" t="s">
        <v>2968</v>
      </c>
      <c r="E6166" s="88" t="s">
        <v>61</v>
      </c>
      <c r="F6166" s="88">
        <v>0</v>
      </c>
      <c r="G6166" s="78">
        <f>MAX(H6166,I6166,J6166)</f>
        <v>1</v>
      </c>
      <c r="H6166" s="88"/>
      <c r="I6166" s="88"/>
      <c r="J6166" s="78">
        <f>MAX(K6166:Q6166)</f>
        <v>1</v>
      </c>
      <c r="K6166" s="88">
        <v>1</v>
      </c>
      <c r="L6166" s="88"/>
      <c r="M6166" s="88"/>
      <c r="N6166" s="88"/>
      <c r="O6166" s="88"/>
      <c r="P6166" s="88"/>
      <c r="Q6166" s="88"/>
      <c r="R6166" s="78">
        <f>MAX(S6166:W6166)</f>
        <v>0</v>
      </c>
      <c r="S6166" s="88"/>
      <c r="T6166" s="88"/>
      <c r="U6166" s="88"/>
      <c r="V6166" s="88"/>
      <c r="W6166" s="88"/>
    </row>
    <row r="6167" spans="2:23" s="0" customFormat="0" ht="15">
      <c r="B6167" s="87" t="s">
        <v>1</v>
      </c>
      <c r="C6167" s="88" t="s">
        <v>5259</v>
      </c>
      <c r="D6167" s="88">
        <v>4938090</v>
      </c>
      <c r="E6167" s="88" t="s">
        <v>61</v>
      </c>
      <c r="F6167" s="88">
        <v>0</v>
      </c>
      <c r="G6167" s="78">
        <f>MAX(H6167,I6167,J6167)</f>
        <v>1</v>
      </c>
      <c r="H6167" s="88"/>
      <c r="I6167" s="88"/>
      <c r="J6167" s="78">
        <f>MAX(K6167:Q6167)</f>
        <v>1</v>
      </c>
      <c r="K6167" s="88">
        <v>1</v>
      </c>
      <c r="L6167" s="88"/>
      <c r="M6167" s="88"/>
      <c r="N6167" s="88"/>
      <c r="O6167" s="88"/>
      <c r="P6167" s="88"/>
      <c r="Q6167" s="88"/>
      <c r="R6167" s="78">
        <f>MAX(S6167:W6167)</f>
        <v>0</v>
      </c>
      <c r="S6167" s="88"/>
      <c r="T6167" s="88"/>
      <c r="U6167" s="88"/>
      <c r="V6167" s="88"/>
      <c r="W6167" s="88"/>
    </row>
    <row r="6168" spans="2:23" s="0" customFormat="0" ht="15">
      <c r="B6168" s="87" t="s">
        <v>1</v>
      </c>
      <c r="C6168" s="88" t="s">
        <v>5259</v>
      </c>
      <c r="D6168" s="88" t="s">
        <v>1160</v>
      </c>
      <c r="E6168" s="88" t="s">
        <v>61</v>
      </c>
      <c r="F6168" s="88">
        <v>0</v>
      </c>
      <c r="G6168" s="78">
        <f>MAX(H6168,I6168,J6168)</f>
        <v>1</v>
      </c>
      <c r="H6168" s="88"/>
      <c r="I6168" s="88"/>
      <c r="J6168" s="78">
        <f>MAX(K6168:Q6168)</f>
        <v>1</v>
      </c>
      <c r="K6168" s="88">
        <v>1</v>
      </c>
      <c r="L6168" s="88"/>
      <c r="M6168" s="88"/>
      <c r="N6168" s="88"/>
      <c r="O6168" s="88"/>
      <c r="P6168" s="88"/>
      <c r="Q6168" s="88"/>
      <c r="R6168" s="78">
        <f>MAX(S6168:W6168)</f>
        <v>0</v>
      </c>
      <c r="S6168" s="88"/>
      <c r="T6168" s="88"/>
      <c r="U6168" s="88"/>
      <c r="V6168" s="88"/>
      <c r="W6168" s="88"/>
    </row>
    <row r="6169" spans="2:23" s="0" customFormat="0" ht="15">
      <c r="B6169" s="87" t="s">
        <v>1</v>
      </c>
      <c r="C6169" s="88" t="s">
        <v>5259</v>
      </c>
      <c r="D6169" s="88" t="s">
        <v>3616</v>
      </c>
      <c r="E6169" s="88" t="s">
        <v>61</v>
      </c>
      <c r="F6169" s="88">
        <v>0</v>
      </c>
      <c r="G6169" s="78">
        <f>MAX(H6169,I6169,J6169)</f>
        <v>0</v>
      </c>
      <c r="H6169" s="88"/>
      <c r="I6169" s="88"/>
      <c r="J6169" s="78">
        <f>MAX(K6169:Q6169)</f>
        <v>0</v>
      </c>
      <c r="K6169" s="88"/>
      <c r="L6169" s="88"/>
      <c r="M6169" s="88"/>
      <c r="N6169" s="88"/>
      <c r="O6169" s="88"/>
      <c r="P6169" s="88"/>
      <c r="Q6169" s="88"/>
      <c r="R6169" s="78">
        <f>MAX(S6169:W6169)</f>
        <v>1</v>
      </c>
      <c r="S6169" s="88"/>
      <c r="T6169" s="88"/>
      <c r="U6169" s="88">
        <v>1</v>
      </c>
      <c r="V6169" s="88"/>
      <c r="W6169" s="88"/>
    </row>
    <row r="6170" spans="2:23" s="0" customFormat="0" ht="15">
      <c r="B6170" s="87" t="s">
        <v>1</v>
      </c>
      <c r="C6170" s="88" t="s">
        <v>5259</v>
      </c>
      <c r="D6170" s="88">
        <v>22090046</v>
      </c>
      <c r="E6170" s="88" t="s">
        <v>61</v>
      </c>
      <c r="F6170" s="88">
        <v>0</v>
      </c>
      <c r="G6170" s="78">
        <f>MAX(H6170,I6170,J6170)</f>
        <v>1</v>
      </c>
      <c r="H6170" s="88"/>
      <c r="I6170" s="88"/>
      <c r="J6170" s="78">
        <f>MAX(K6170:Q6170)</f>
        <v>1</v>
      </c>
      <c r="K6170" s="88">
        <v>1</v>
      </c>
      <c r="L6170" s="88"/>
      <c r="M6170" s="88"/>
      <c r="N6170" s="88"/>
      <c r="O6170" s="88"/>
      <c r="P6170" s="88"/>
      <c r="Q6170" s="88"/>
      <c r="R6170" s="78">
        <f>MAX(S6170:W6170)</f>
        <v>0</v>
      </c>
      <c r="S6170" s="88"/>
      <c r="T6170" s="88"/>
      <c r="U6170" s="88"/>
      <c r="V6170" s="88"/>
      <c r="W6170" s="88"/>
    </row>
    <row r="6171" spans="2:23" s="0" customFormat="0" ht="15">
      <c r="B6171" s="87" t="s">
        <v>1</v>
      </c>
      <c r="C6171" s="88" t="s">
        <v>5259</v>
      </c>
      <c r="D6171" s="88">
        <v>24831379</v>
      </c>
      <c r="E6171" s="88" t="s">
        <v>61</v>
      </c>
      <c r="F6171" s="88">
        <v>0</v>
      </c>
      <c r="G6171" s="78">
        <f>MAX(H6171,I6171,J6171)</f>
        <v>1</v>
      </c>
      <c r="H6171" s="88"/>
      <c r="I6171" s="88"/>
      <c r="J6171" s="78">
        <f>MAX(K6171:Q6171)</f>
        <v>1</v>
      </c>
      <c r="K6171" s="88">
        <v>1</v>
      </c>
      <c r="L6171" s="88"/>
      <c r="M6171" s="88"/>
      <c r="N6171" s="88"/>
      <c r="O6171" s="88"/>
      <c r="P6171" s="88"/>
      <c r="Q6171" s="88"/>
      <c r="R6171" s="78">
        <f>MAX(S6171:W6171)</f>
        <v>0</v>
      </c>
      <c r="S6171" s="88"/>
      <c r="T6171" s="88"/>
      <c r="U6171" s="88"/>
      <c r="V6171" s="88"/>
      <c r="W6171" s="88"/>
    </row>
    <row r="6172" spans="2:23" s="0" customFormat="0" ht="15">
      <c r="B6172" s="87" t="s">
        <v>1</v>
      </c>
      <c r="C6172" s="88" t="s">
        <v>5259</v>
      </c>
      <c r="D6172" s="88">
        <v>22246375</v>
      </c>
      <c r="E6172" s="88" t="s">
        <v>61</v>
      </c>
      <c r="F6172" s="88">
        <v>0</v>
      </c>
      <c r="G6172" s="78">
        <f>MAX(H6172,I6172,J6172)</f>
        <v>1</v>
      </c>
      <c r="H6172" s="88"/>
      <c r="I6172" s="88"/>
      <c r="J6172" s="78">
        <f>MAX(K6172:Q6172)</f>
        <v>1</v>
      </c>
      <c r="K6172" s="88"/>
      <c r="L6172" s="88">
        <v>1</v>
      </c>
      <c r="M6172" s="88"/>
      <c r="N6172" s="88"/>
      <c r="O6172" s="88"/>
      <c r="P6172" s="88"/>
      <c r="Q6172" s="88"/>
      <c r="R6172" s="78">
        <f>MAX(S6172:W6172)</f>
        <v>0</v>
      </c>
      <c r="S6172" s="88"/>
      <c r="T6172" s="88"/>
      <c r="U6172" s="88"/>
      <c r="V6172" s="88"/>
      <c r="W6172" s="88"/>
    </row>
    <row r="6173" spans="2:23" s="0" customFormat="0" ht="15">
      <c r="B6173" s="87" t="s">
        <v>1</v>
      </c>
      <c r="C6173" s="88" t="s">
        <v>5259</v>
      </c>
      <c r="D6173" s="88">
        <v>22926236</v>
      </c>
      <c r="E6173" s="88" t="s">
        <v>61</v>
      </c>
      <c r="F6173" s="88">
        <v>0</v>
      </c>
      <c r="G6173" s="78">
        <f>MAX(H6173,I6173,J6173)</f>
        <v>1</v>
      </c>
      <c r="H6173" s="88"/>
      <c r="I6173" s="88"/>
      <c r="J6173" s="78">
        <f>MAX(K6173:Q6173)</f>
        <v>1</v>
      </c>
      <c r="K6173" s="88">
        <v>1</v>
      </c>
      <c r="L6173" s="88"/>
      <c r="M6173" s="88"/>
      <c r="N6173" s="88"/>
      <c r="O6173" s="88"/>
      <c r="P6173" s="88"/>
      <c r="Q6173" s="88"/>
      <c r="R6173" s="78">
        <f>MAX(S6173:W6173)</f>
        <v>0</v>
      </c>
      <c r="S6173" s="88"/>
      <c r="T6173" s="88"/>
      <c r="U6173" s="88"/>
      <c r="V6173" s="88"/>
      <c r="W6173" s="88"/>
    </row>
    <row r="6174" spans="2:23" s="0" customFormat="0" ht="15">
      <c r="B6174" s="87" t="s">
        <v>1</v>
      </c>
      <c r="C6174" s="88" t="s">
        <v>5259</v>
      </c>
      <c r="D6174" s="88" t="s">
        <v>2968</v>
      </c>
      <c r="E6174" s="88" t="s">
        <v>61</v>
      </c>
      <c r="F6174" s="88">
        <v>0</v>
      </c>
      <c r="G6174" s="78">
        <f>MAX(H6174,I6174,J6174)</f>
        <v>1</v>
      </c>
      <c r="H6174" s="88"/>
      <c r="I6174" s="88"/>
      <c r="J6174" s="78">
        <f>MAX(K6174:Q6174)</f>
        <v>1</v>
      </c>
      <c r="K6174" s="88">
        <v>1</v>
      </c>
      <c r="L6174" s="88"/>
      <c r="M6174" s="88"/>
      <c r="N6174" s="88"/>
      <c r="O6174" s="88"/>
      <c r="P6174" s="88"/>
      <c r="Q6174" s="88"/>
      <c r="R6174" s="78">
        <f>MAX(S6174:W6174)</f>
        <v>0</v>
      </c>
      <c r="S6174" s="88"/>
      <c r="T6174" s="88"/>
      <c r="U6174" s="88"/>
      <c r="V6174" s="88"/>
      <c r="W6174" s="88"/>
    </row>
    <row r="6175" spans="2:23" s="0" customFormat="0" ht="15">
      <c r="B6175" s="87" t="s">
        <v>1</v>
      </c>
      <c r="C6175" s="88" t="s">
        <v>5259</v>
      </c>
      <c r="D6175" s="88">
        <v>18718964</v>
      </c>
      <c r="E6175" s="88" t="s">
        <v>61</v>
      </c>
      <c r="F6175" s="88">
        <v>0</v>
      </c>
      <c r="G6175" s="78">
        <f>MAX(H6175,I6175,J6175)</f>
        <v>1</v>
      </c>
      <c r="H6175" s="88"/>
      <c r="I6175" s="88"/>
      <c r="J6175" s="78">
        <f>MAX(K6175:Q6175)</f>
        <v>1</v>
      </c>
      <c r="K6175" s="88">
        <v>1</v>
      </c>
      <c r="L6175" s="88"/>
      <c r="M6175" s="88"/>
      <c r="N6175" s="88"/>
      <c r="O6175" s="88"/>
      <c r="P6175" s="88"/>
      <c r="Q6175" s="88"/>
      <c r="R6175" s="78">
        <f>MAX(S6175:W6175)</f>
        <v>0</v>
      </c>
      <c r="S6175" s="88"/>
      <c r="T6175" s="88"/>
      <c r="U6175" s="88"/>
      <c r="V6175" s="88"/>
      <c r="W6175" s="88"/>
    </row>
    <row r="6176" spans="2:23" s="0" customFormat="0" ht="15">
      <c r="B6176" s="87" t="s">
        <v>1</v>
      </c>
      <c r="C6176" s="88" t="s">
        <v>5259</v>
      </c>
      <c r="D6176" s="88" t="s">
        <v>4998</v>
      </c>
      <c r="E6176" s="88" t="s">
        <v>61</v>
      </c>
      <c r="F6176" s="88">
        <v>0</v>
      </c>
      <c r="G6176" s="78">
        <f>MAX(H6176,I6176,J6176)</f>
        <v>0</v>
      </c>
      <c r="H6176" s="88"/>
      <c r="I6176" s="88"/>
      <c r="J6176" s="78">
        <f>MAX(K6176:Q6176)</f>
        <v>0</v>
      </c>
      <c r="K6176" s="88"/>
      <c r="L6176" s="88"/>
      <c r="M6176" s="88"/>
      <c r="N6176" s="88"/>
      <c r="O6176" s="88"/>
      <c r="P6176" s="88"/>
      <c r="Q6176" s="88"/>
      <c r="R6176" s="78">
        <f>MAX(S6176:W6176)</f>
        <v>1</v>
      </c>
      <c r="S6176" s="88"/>
      <c r="T6176" s="88"/>
      <c r="U6176" s="88">
        <v>1</v>
      </c>
      <c r="V6176" s="88"/>
      <c r="W6176" s="88"/>
    </row>
    <row r="6177" spans="2:23" s="0" customFormat="0" ht="15">
      <c r="B6177" s="87" t="s">
        <v>1</v>
      </c>
      <c r="C6177" s="88" t="s">
        <v>5259</v>
      </c>
      <c r="D6177" s="88">
        <v>7529282</v>
      </c>
      <c r="E6177" s="88" t="s">
        <v>61</v>
      </c>
      <c r="F6177" s="88">
        <v>0</v>
      </c>
      <c r="G6177" s="78">
        <f>MAX(H6177,I6177,J6177)</f>
        <v>1</v>
      </c>
      <c r="H6177" s="88"/>
      <c r="I6177" s="88"/>
      <c r="J6177" s="78">
        <f>MAX(K6177:Q6177)</f>
        <v>1</v>
      </c>
      <c r="K6177" s="88">
        <v>1</v>
      </c>
      <c r="L6177" s="88"/>
      <c r="M6177" s="88"/>
      <c r="N6177" s="88"/>
      <c r="O6177" s="88"/>
      <c r="P6177" s="88"/>
      <c r="Q6177" s="88"/>
      <c r="R6177" s="78">
        <f>MAX(S6177:W6177)</f>
        <v>0</v>
      </c>
      <c r="S6177" s="88"/>
      <c r="T6177" s="88"/>
      <c r="U6177" s="88"/>
      <c r="V6177" s="88"/>
      <c r="W6177" s="88"/>
    </row>
    <row r="6178" spans="2:23" s="0" customFormat="0" ht="15">
      <c r="B6178" s="87" t="s">
        <v>1</v>
      </c>
      <c r="C6178" s="88" t="s">
        <v>5259</v>
      </c>
      <c r="D6178" s="88">
        <v>4087439</v>
      </c>
      <c r="E6178" s="88" t="s">
        <v>61</v>
      </c>
      <c r="F6178" s="88">
        <v>0</v>
      </c>
      <c r="G6178" s="78">
        <f>MAX(H6178,I6178,J6178)</f>
        <v>1</v>
      </c>
      <c r="H6178" s="88"/>
      <c r="I6178" s="88"/>
      <c r="J6178" s="78">
        <f>MAX(K6178:Q6178)</f>
        <v>1</v>
      </c>
      <c r="K6178" s="88">
        <v>1</v>
      </c>
      <c r="L6178" s="88"/>
      <c r="M6178" s="88"/>
      <c r="N6178" s="88"/>
      <c r="O6178" s="88"/>
      <c r="P6178" s="88"/>
      <c r="Q6178" s="88"/>
      <c r="R6178" s="78">
        <f>MAX(S6178:W6178)</f>
        <v>0</v>
      </c>
      <c r="S6178" s="88"/>
      <c r="T6178" s="88"/>
      <c r="U6178" s="88"/>
      <c r="V6178" s="88"/>
      <c r="W6178" s="88"/>
    </row>
    <row r="6179" spans="2:23" s="0" customFormat="0" ht="15">
      <c r="B6179" s="87" t="s">
        <v>1</v>
      </c>
      <c r="C6179" s="88" t="s">
        <v>5259</v>
      </c>
      <c r="D6179" s="88" t="s">
        <v>5185</v>
      </c>
      <c r="E6179" s="88" t="s">
        <v>61</v>
      </c>
      <c r="F6179" s="88">
        <v>0</v>
      </c>
      <c r="G6179" s="78">
        <f>MAX(H6179,I6179,J6179)</f>
        <v>0</v>
      </c>
      <c r="H6179" s="88"/>
      <c r="I6179" s="88"/>
      <c r="J6179" s="78">
        <f>MAX(K6179:Q6179)</f>
        <v>0</v>
      </c>
      <c r="K6179" s="88"/>
      <c r="L6179" s="88"/>
      <c r="M6179" s="88"/>
      <c r="N6179" s="88"/>
      <c r="O6179" s="88"/>
      <c r="P6179" s="88"/>
      <c r="Q6179" s="88"/>
      <c r="R6179" s="78">
        <f>MAX(S6179:W6179)</f>
        <v>1</v>
      </c>
      <c r="S6179" s="88"/>
      <c r="T6179" s="88"/>
      <c r="U6179" s="88">
        <v>1</v>
      </c>
      <c r="V6179" s="88"/>
      <c r="W6179" s="88"/>
    </row>
    <row r="6180" spans="2:23" s="0" customFormat="0" ht="15">
      <c r="B6180" s="87" t="s">
        <v>1</v>
      </c>
      <c r="C6180" s="88" t="s">
        <v>5259</v>
      </c>
      <c r="D6180" s="88" t="s">
        <v>4988</v>
      </c>
      <c r="E6180" s="88" t="s">
        <v>61</v>
      </c>
      <c r="F6180" s="88">
        <v>0</v>
      </c>
      <c r="G6180" s="78">
        <f>MAX(H6180,I6180,J6180)</f>
        <v>0</v>
      </c>
      <c r="H6180" s="88"/>
      <c r="I6180" s="88"/>
      <c r="J6180" s="78">
        <f>MAX(K6180:Q6180)</f>
        <v>0</v>
      </c>
      <c r="K6180" s="88"/>
      <c r="L6180" s="88"/>
      <c r="M6180" s="88"/>
      <c r="N6180" s="88"/>
      <c r="O6180" s="88"/>
      <c r="P6180" s="88"/>
      <c r="Q6180" s="88"/>
      <c r="R6180" s="78">
        <f>MAX(S6180:W6180)</f>
        <v>1</v>
      </c>
      <c r="S6180" s="88"/>
      <c r="T6180" s="88"/>
      <c r="U6180" s="88">
        <v>1</v>
      </c>
      <c r="V6180" s="88"/>
      <c r="W6180" s="88"/>
    </row>
    <row r="6181" spans="2:23" s="0" customFormat="0" ht="15">
      <c r="B6181" s="87" t="s">
        <v>1</v>
      </c>
      <c r="C6181" s="88" t="s">
        <v>5259</v>
      </c>
      <c r="D6181" s="88" t="s">
        <v>3627</v>
      </c>
      <c r="E6181" s="88" t="s">
        <v>61</v>
      </c>
      <c r="F6181" s="88">
        <v>0</v>
      </c>
      <c r="G6181" s="78">
        <f>MAX(H6181,I6181,J6181)</f>
        <v>0</v>
      </c>
      <c r="H6181" s="88"/>
      <c r="I6181" s="88"/>
      <c r="J6181" s="78">
        <f>MAX(K6181:Q6181)</f>
        <v>0</v>
      </c>
      <c r="K6181" s="88"/>
      <c r="L6181" s="88"/>
      <c r="M6181" s="88"/>
      <c r="N6181" s="88"/>
      <c r="O6181" s="88"/>
      <c r="P6181" s="88"/>
      <c r="Q6181" s="88"/>
      <c r="R6181" s="78">
        <f>MAX(S6181:W6181)</f>
        <v>1</v>
      </c>
      <c r="S6181" s="88"/>
      <c r="T6181" s="88"/>
      <c r="U6181" s="88">
        <v>1</v>
      </c>
      <c r="V6181" s="88"/>
      <c r="W6181" s="88"/>
    </row>
    <row r="6182" spans="2:23" s="0" customFormat="0" ht="15">
      <c r="B6182" s="87" t="s">
        <v>1</v>
      </c>
      <c r="C6182" s="88" t="s">
        <v>5259</v>
      </c>
      <c r="D6182" s="88">
        <v>6292911</v>
      </c>
      <c r="E6182" s="88" t="s">
        <v>61</v>
      </c>
      <c r="F6182" s="88">
        <v>0</v>
      </c>
      <c r="G6182" s="78">
        <f>MAX(H6182,I6182,J6182)</f>
        <v>1</v>
      </c>
      <c r="H6182" s="88"/>
      <c r="I6182" s="88"/>
      <c r="J6182" s="78">
        <f>MAX(K6182:Q6182)</f>
        <v>1</v>
      </c>
      <c r="K6182" s="88">
        <v>1</v>
      </c>
      <c r="L6182" s="88"/>
      <c r="M6182" s="88"/>
      <c r="N6182" s="88"/>
      <c r="O6182" s="88"/>
      <c r="P6182" s="88"/>
      <c r="Q6182" s="88"/>
      <c r="R6182" s="78">
        <f>MAX(S6182:W6182)</f>
        <v>0</v>
      </c>
      <c r="S6182" s="88"/>
      <c r="T6182" s="88"/>
      <c r="U6182" s="88"/>
      <c r="V6182" s="88"/>
      <c r="W6182" s="88"/>
    </row>
    <row r="6183" spans="2:23" s="0" customFormat="0" ht="15">
      <c r="B6183" s="87" t="s">
        <v>1</v>
      </c>
      <c r="C6183" s="88" t="s">
        <v>5259</v>
      </c>
      <c r="D6183" s="88">
        <v>12296910</v>
      </c>
      <c r="E6183" s="88" t="s">
        <v>61</v>
      </c>
      <c r="F6183" s="88">
        <v>0</v>
      </c>
      <c r="G6183" s="78">
        <f>MAX(H6183,I6183,J6183)</f>
        <v>1</v>
      </c>
      <c r="H6183" s="88"/>
      <c r="I6183" s="88"/>
      <c r="J6183" s="78">
        <f>MAX(K6183:Q6183)</f>
        <v>1</v>
      </c>
      <c r="K6183" s="88">
        <v>1</v>
      </c>
      <c r="L6183" s="88"/>
      <c r="M6183" s="88"/>
      <c r="N6183" s="88"/>
      <c r="O6183" s="88"/>
      <c r="P6183" s="88"/>
      <c r="Q6183" s="88"/>
      <c r="R6183" s="78">
        <f>MAX(S6183:W6183)</f>
        <v>0</v>
      </c>
      <c r="S6183" s="88"/>
      <c r="T6183" s="88"/>
      <c r="U6183" s="88"/>
      <c r="V6183" s="88"/>
      <c r="W6183" s="88"/>
    </row>
    <row r="6184" spans="2:23" s="0" customFormat="0" ht="15">
      <c r="B6184" s="87" t="s">
        <v>1</v>
      </c>
      <c r="C6184" s="88" t="s">
        <v>5259</v>
      </c>
      <c r="D6184" s="88">
        <v>6243822</v>
      </c>
      <c r="E6184" s="88" t="s">
        <v>61</v>
      </c>
      <c r="F6184" s="88">
        <v>0</v>
      </c>
      <c r="G6184" s="78">
        <f>MAX(H6184,I6184,J6184)</f>
        <v>1</v>
      </c>
      <c r="H6184" s="88"/>
      <c r="I6184" s="88"/>
      <c r="J6184" s="78">
        <f>MAX(K6184:Q6184)</f>
        <v>1</v>
      </c>
      <c r="K6184" s="88">
        <v>1</v>
      </c>
      <c r="L6184" s="88"/>
      <c r="M6184" s="88"/>
      <c r="N6184" s="88"/>
      <c r="O6184" s="88"/>
      <c r="P6184" s="88"/>
      <c r="Q6184" s="88"/>
      <c r="R6184" s="78">
        <f>MAX(S6184:W6184)</f>
        <v>0</v>
      </c>
      <c r="S6184" s="88"/>
      <c r="T6184" s="88"/>
      <c r="U6184" s="88"/>
      <c r="V6184" s="88"/>
      <c r="W6184" s="88"/>
    </row>
    <row r="6185" spans="2:23" s="0" customFormat="0" ht="15">
      <c r="B6185" s="87" t="s">
        <v>1</v>
      </c>
      <c r="C6185" s="88" t="s">
        <v>5259</v>
      </c>
      <c r="D6185" s="88" t="s">
        <v>5180</v>
      </c>
      <c r="E6185" s="88" t="s">
        <v>61</v>
      </c>
      <c r="F6185" s="88">
        <v>0</v>
      </c>
      <c r="G6185" s="78">
        <f>MAX(H6185,I6185,J6185)</f>
        <v>0</v>
      </c>
      <c r="H6185" s="88"/>
      <c r="I6185" s="88"/>
      <c r="J6185" s="78">
        <f>MAX(K6185:Q6185)</f>
        <v>0</v>
      </c>
      <c r="K6185" s="88"/>
      <c r="L6185" s="88"/>
      <c r="M6185" s="88"/>
      <c r="N6185" s="88"/>
      <c r="O6185" s="88"/>
      <c r="P6185" s="88"/>
      <c r="Q6185" s="88"/>
      <c r="R6185" s="78">
        <f>MAX(S6185:W6185)</f>
        <v>1</v>
      </c>
      <c r="S6185" s="88"/>
      <c r="T6185" s="88"/>
      <c r="U6185" s="88">
        <v>1</v>
      </c>
      <c r="V6185" s="88"/>
      <c r="W6185" s="88"/>
    </row>
    <row r="6186" spans="2:23" s="0" customFormat="0" ht="15">
      <c r="B6186" s="87" t="s">
        <v>1</v>
      </c>
      <c r="C6186" s="88" t="s">
        <v>5259</v>
      </c>
      <c r="D6186" s="88">
        <v>22623672</v>
      </c>
      <c r="E6186" s="88" t="s">
        <v>61</v>
      </c>
      <c r="F6186" s="88">
        <v>0</v>
      </c>
      <c r="G6186" s="78">
        <f>MAX(H6186,I6186,J6186)</f>
        <v>0</v>
      </c>
      <c r="H6186" s="88"/>
      <c r="I6186" s="88"/>
      <c r="J6186" s="78">
        <f>MAX(K6186:Q6186)</f>
        <v>0</v>
      </c>
      <c r="K6186" s="88"/>
      <c r="L6186" s="88"/>
      <c r="M6186" s="88"/>
      <c r="N6186" s="88"/>
      <c r="O6186" s="88"/>
      <c r="P6186" s="88"/>
      <c r="Q6186" s="88"/>
      <c r="R6186" s="78">
        <f>MAX(S6186:W6186)</f>
        <v>1</v>
      </c>
      <c r="S6186" s="88"/>
      <c r="T6186" s="88"/>
      <c r="U6186" s="88">
        <v>1</v>
      </c>
      <c r="V6186" s="88"/>
      <c r="W6186" s="88"/>
    </row>
    <row r="6187" spans="2:23" s="0" customFormat="0" ht="15">
      <c r="B6187" s="87" t="s">
        <v>1</v>
      </c>
      <c r="C6187" s="88" t="s">
        <v>5259</v>
      </c>
      <c r="D6187" s="88" t="s">
        <v>725</v>
      </c>
      <c r="E6187" s="88" t="s">
        <v>61</v>
      </c>
      <c r="F6187" s="88">
        <v>0</v>
      </c>
      <c r="G6187" s="78">
        <f>MAX(H6187,I6187,J6187)</f>
        <v>1</v>
      </c>
      <c r="H6187" s="88"/>
      <c r="I6187" s="88"/>
      <c r="J6187" s="78">
        <f>MAX(K6187:Q6187)</f>
        <v>1</v>
      </c>
      <c r="K6187" s="88">
        <v>1</v>
      </c>
      <c r="L6187" s="88"/>
      <c r="M6187" s="88"/>
      <c r="N6187" s="88"/>
      <c r="O6187" s="88"/>
      <c r="P6187" s="88"/>
      <c r="Q6187" s="88"/>
      <c r="R6187" s="78">
        <f>MAX(S6187:W6187)</f>
        <v>0</v>
      </c>
      <c r="S6187" s="88"/>
      <c r="T6187" s="88"/>
      <c r="U6187" s="88"/>
      <c r="V6187" s="88"/>
      <c r="W6187" s="88"/>
    </row>
    <row r="6188" spans="2:23" s="0" customFormat="0" ht="15">
      <c r="B6188" s="87" t="s">
        <v>1</v>
      </c>
      <c r="C6188" s="88" t="s">
        <v>5259</v>
      </c>
      <c r="D6188" s="88" t="s">
        <v>2972</v>
      </c>
      <c r="E6188" s="88" t="s">
        <v>61</v>
      </c>
      <c r="F6188" s="88">
        <v>0</v>
      </c>
      <c r="G6188" s="78">
        <f>MAX(H6188,I6188,J6188)</f>
        <v>1</v>
      </c>
      <c r="H6188" s="88"/>
      <c r="I6188" s="88"/>
      <c r="J6188" s="78">
        <f>MAX(K6188:Q6188)</f>
        <v>1</v>
      </c>
      <c r="K6188" s="88">
        <v>1</v>
      </c>
      <c r="L6188" s="88"/>
      <c r="M6188" s="88"/>
      <c r="N6188" s="88"/>
      <c r="O6188" s="88"/>
      <c r="P6188" s="88"/>
      <c r="Q6188" s="88"/>
      <c r="R6188" s="78">
        <f>MAX(S6188:W6188)</f>
        <v>0</v>
      </c>
      <c r="S6188" s="88"/>
      <c r="T6188" s="88"/>
      <c r="U6188" s="88"/>
      <c r="V6188" s="88"/>
      <c r="W6188" s="88"/>
    </row>
    <row r="6189" spans="2:23" s="0" customFormat="0" ht="15">
      <c r="B6189" s="87" t="s">
        <v>1</v>
      </c>
      <c r="C6189" s="88" t="s">
        <v>5259</v>
      </c>
      <c r="D6189" s="88" t="s">
        <v>2974</v>
      </c>
      <c r="E6189" s="88" t="s">
        <v>61</v>
      </c>
      <c r="F6189" s="88">
        <v>0</v>
      </c>
      <c r="G6189" s="78">
        <f>MAX(H6189,I6189,J6189)</f>
        <v>1</v>
      </c>
      <c r="H6189" s="88"/>
      <c r="I6189" s="88"/>
      <c r="J6189" s="78">
        <f>MAX(K6189:Q6189)</f>
        <v>1</v>
      </c>
      <c r="K6189" s="88">
        <v>1</v>
      </c>
      <c r="L6189" s="88"/>
      <c r="M6189" s="88"/>
      <c r="N6189" s="88"/>
      <c r="O6189" s="88"/>
      <c r="P6189" s="88"/>
      <c r="Q6189" s="88"/>
      <c r="R6189" s="78">
        <f>MAX(S6189:W6189)</f>
        <v>0</v>
      </c>
      <c r="S6189" s="88"/>
      <c r="T6189" s="88"/>
      <c r="U6189" s="88"/>
      <c r="V6189" s="88"/>
      <c r="W6189" s="88"/>
    </row>
    <row r="6190" spans="2:23" s="0" customFormat="0" ht="15">
      <c r="B6190" s="87" t="s">
        <v>1</v>
      </c>
      <c r="C6190" s="88" t="s">
        <v>5259</v>
      </c>
      <c r="D6190" s="88" t="s">
        <v>4089</v>
      </c>
      <c r="E6190" s="88" t="s">
        <v>61</v>
      </c>
      <c r="F6190" s="88">
        <v>0</v>
      </c>
      <c r="G6190" s="78">
        <f>MAX(H6190,I6190,J6190)</f>
        <v>0</v>
      </c>
      <c r="H6190" s="88"/>
      <c r="I6190" s="88"/>
      <c r="J6190" s="78">
        <f>MAX(K6190:Q6190)</f>
        <v>0</v>
      </c>
      <c r="K6190" s="88"/>
      <c r="L6190" s="88"/>
      <c r="M6190" s="88"/>
      <c r="N6190" s="88"/>
      <c r="O6190" s="88"/>
      <c r="P6190" s="88"/>
      <c r="Q6190" s="88"/>
      <c r="R6190" s="78">
        <f>MAX(S6190:W6190)</f>
        <v>1</v>
      </c>
      <c r="S6190" s="88"/>
      <c r="T6190" s="88"/>
      <c r="U6190" s="88">
        <v>1</v>
      </c>
      <c r="V6190" s="88"/>
      <c r="W6190" s="88"/>
    </row>
    <row r="6191" spans="2:23" s="0" customFormat="0" ht="15">
      <c r="B6191" s="87" t="s">
        <v>1</v>
      </c>
      <c r="C6191" s="88" t="s">
        <v>5259</v>
      </c>
      <c r="D6191" s="88">
        <v>21004751</v>
      </c>
      <c r="E6191" s="88" t="s">
        <v>61</v>
      </c>
      <c r="F6191" s="88">
        <v>0</v>
      </c>
      <c r="G6191" s="78">
        <f>MAX(H6191,I6191,J6191)</f>
        <v>1</v>
      </c>
      <c r="H6191" s="88"/>
      <c r="I6191" s="88"/>
      <c r="J6191" s="78">
        <f>MAX(K6191:Q6191)</f>
        <v>1</v>
      </c>
      <c r="K6191" s="88">
        <v>1</v>
      </c>
      <c r="L6191" s="88"/>
      <c r="M6191" s="88"/>
      <c r="N6191" s="88"/>
      <c r="O6191" s="88"/>
      <c r="P6191" s="88"/>
      <c r="Q6191" s="88"/>
      <c r="R6191" s="78">
        <f>MAX(S6191:W6191)</f>
        <v>0</v>
      </c>
      <c r="S6191" s="88"/>
      <c r="T6191" s="88"/>
      <c r="U6191" s="88"/>
      <c r="V6191" s="88"/>
      <c r="W6191" s="88"/>
    </row>
    <row r="6192" spans="2:23" s="0" customFormat="0" ht="15">
      <c r="B6192" s="87" t="s">
        <v>1</v>
      </c>
      <c r="C6192" s="88" t="s">
        <v>5259</v>
      </c>
      <c r="D6192" s="88">
        <v>17753274</v>
      </c>
      <c r="E6192" s="88" t="s">
        <v>61</v>
      </c>
      <c r="F6192" s="88">
        <v>0</v>
      </c>
      <c r="G6192" s="78">
        <f>MAX(H6192,I6192,J6192)</f>
        <v>1</v>
      </c>
      <c r="H6192" s="88"/>
      <c r="I6192" s="88"/>
      <c r="J6192" s="78">
        <f>MAX(K6192:Q6192)</f>
        <v>1</v>
      </c>
      <c r="K6192" s="88">
        <v>1</v>
      </c>
      <c r="L6192" s="88"/>
      <c r="M6192" s="88"/>
      <c r="N6192" s="88"/>
      <c r="O6192" s="88"/>
      <c r="P6192" s="88"/>
      <c r="Q6192" s="88"/>
      <c r="R6192" s="78">
        <f>MAX(S6192:W6192)</f>
        <v>0</v>
      </c>
      <c r="S6192" s="88"/>
      <c r="T6192" s="88"/>
      <c r="U6192" s="88"/>
      <c r="V6192" s="88"/>
      <c r="W6192" s="88"/>
    </row>
    <row r="6193" spans="2:23" s="0" customFormat="0" ht="15">
      <c r="B6193" s="87" t="s">
        <v>1</v>
      </c>
      <c r="C6193" s="88" t="s">
        <v>5259</v>
      </c>
      <c r="D6193" s="88">
        <v>22272418</v>
      </c>
      <c r="E6193" s="88" t="s">
        <v>61</v>
      </c>
      <c r="F6193" s="88">
        <v>0</v>
      </c>
      <c r="G6193" s="78">
        <f>MAX(H6193,I6193,J6193)</f>
        <v>1</v>
      </c>
      <c r="H6193" s="88"/>
      <c r="I6193" s="88"/>
      <c r="J6193" s="78">
        <f>MAX(K6193:Q6193)</f>
        <v>1</v>
      </c>
      <c r="K6193" s="88">
        <v>1</v>
      </c>
      <c r="L6193" s="88"/>
      <c r="M6193" s="88"/>
      <c r="N6193" s="88"/>
      <c r="O6193" s="88"/>
      <c r="P6193" s="88"/>
      <c r="Q6193" s="88"/>
      <c r="R6193" s="78">
        <f>MAX(S6193:W6193)</f>
        <v>0</v>
      </c>
      <c r="S6193" s="88"/>
      <c r="T6193" s="88"/>
      <c r="U6193" s="88"/>
      <c r="V6193" s="88"/>
      <c r="W6193" s="88"/>
    </row>
    <row r="6194" spans="2:23" s="0" customFormat="0" ht="15">
      <c r="B6194" s="87" t="s">
        <v>1</v>
      </c>
      <c r="C6194" s="88" t="s">
        <v>5259</v>
      </c>
      <c r="D6194" s="88" t="s">
        <v>4979</v>
      </c>
      <c r="E6194" s="88" t="s">
        <v>61</v>
      </c>
      <c r="F6194" s="88">
        <v>0</v>
      </c>
      <c r="G6194" s="78">
        <f>MAX(H6194,I6194,J6194)</f>
        <v>0</v>
      </c>
      <c r="H6194" s="88"/>
      <c r="I6194" s="88"/>
      <c r="J6194" s="78">
        <f>MAX(K6194:Q6194)</f>
        <v>0</v>
      </c>
      <c r="K6194" s="88"/>
      <c r="L6194" s="88"/>
      <c r="M6194" s="88"/>
      <c r="N6194" s="88"/>
      <c r="O6194" s="88"/>
      <c r="P6194" s="88"/>
      <c r="Q6194" s="88"/>
      <c r="R6194" s="78">
        <f>MAX(S6194:W6194)</f>
        <v>1</v>
      </c>
      <c r="S6194" s="88"/>
      <c r="T6194" s="88"/>
      <c r="U6194" s="88">
        <v>1</v>
      </c>
      <c r="V6194" s="88"/>
      <c r="W6194" s="88"/>
    </row>
    <row r="6195" spans="2:23" s="0" customFormat="0" ht="15">
      <c r="B6195" s="87" t="s">
        <v>1</v>
      </c>
      <c r="C6195" s="88" t="s">
        <v>5259</v>
      </c>
      <c r="D6195" s="88">
        <v>6759856</v>
      </c>
      <c r="E6195" s="88" t="s">
        <v>61</v>
      </c>
      <c r="F6195" s="88">
        <v>0</v>
      </c>
      <c r="G6195" s="78">
        <f>MAX(H6195,I6195,J6195)</f>
        <v>0</v>
      </c>
      <c r="H6195" s="88"/>
      <c r="I6195" s="88"/>
      <c r="J6195" s="78">
        <f>MAX(K6195:Q6195)</f>
        <v>0</v>
      </c>
      <c r="K6195" s="88"/>
      <c r="L6195" s="88"/>
      <c r="M6195" s="88"/>
      <c r="N6195" s="88"/>
      <c r="O6195" s="88"/>
      <c r="P6195" s="88"/>
      <c r="Q6195" s="88"/>
      <c r="R6195" s="78">
        <f>MAX(S6195:W6195)</f>
        <v>1</v>
      </c>
      <c r="S6195" s="88"/>
      <c r="T6195" s="88"/>
      <c r="U6195" s="88">
        <v>1</v>
      </c>
      <c r="V6195" s="88"/>
      <c r="W6195" s="88"/>
    </row>
    <row r="6196" spans="2:23" s="0" customFormat="0" ht="15">
      <c r="B6196" s="87" t="s">
        <v>1</v>
      </c>
      <c r="C6196" s="88" t="s">
        <v>5259</v>
      </c>
      <c r="D6196" s="88">
        <v>17400151</v>
      </c>
      <c r="E6196" s="88" t="s">
        <v>61</v>
      </c>
      <c r="F6196" s="88">
        <v>0</v>
      </c>
      <c r="G6196" s="78">
        <f>MAX(H6196,I6196,J6196)</f>
        <v>1</v>
      </c>
      <c r="H6196" s="88"/>
      <c r="I6196" s="88"/>
      <c r="J6196" s="78">
        <f>MAX(K6196:Q6196)</f>
        <v>1</v>
      </c>
      <c r="K6196" s="88">
        <v>1</v>
      </c>
      <c r="L6196" s="88"/>
      <c r="M6196" s="88"/>
      <c r="N6196" s="88"/>
      <c r="O6196" s="88"/>
      <c r="P6196" s="88"/>
      <c r="Q6196" s="88"/>
      <c r="R6196" s="78">
        <f>MAX(S6196:W6196)</f>
        <v>0</v>
      </c>
      <c r="S6196" s="88"/>
      <c r="T6196" s="88"/>
      <c r="U6196" s="88"/>
      <c r="V6196" s="88"/>
      <c r="W6196" s="88"/>
    </row>
    <row r="6197" spans="2:23" s="0" customFormat="0" ht="15">
      <c r="B6197" s="87" t="s">
        <v>1</v>
      </c>
      <c r="C6197" s="88" t="s">
        <v>5259</v>
      </c>
      <c r="D6197" s="88">
        <v>22623659</v>
      </c>
      <c r="E6197" s="88" t="s">
        <v>61</v>
      </c>
      <c r="F6197" s="88">
        <v>0</v>
      </c>
      <c r="G6197" s="78">
        <f>MAX(H6197,I6197,J6197)</f>
        <v>0</v>
      </c>
      <c r="H6197" s="88"/>
      <c r="I6197" s="88"/>
      <c r="J6197" s="78">
        <f>MAX(K6197:Q6197)</f>
        <v>0</v>
      </c>
      <c r="K6197" s="88"/>
      <c r="L6197" s="88"/>
      <c r="M6197" s="88"/>
      <c r="N6197" s="88"/>
      <c r="O6197" s="88"/>
      <c r="P6197" s="88"/>
      <c r="Q6197" s="88"/>
      <c r="R6197" s="78">
        <f>MAX(S6197:W6197)</f>
        <v>1</v>
      </c>
      <c r="S6197" s="88"/>
      <c r="T6197" s="88"/>
      <c r="U6197" s="88">
        <v>1</v>
      </c>
      <c r="V6197" s="88"/>
      <c r="W6197" s="88"/>
    </row>
    <row r="6198" spans="2:23" s="0" customFormat="0" ht="15">
      <c r="B6198" s="87" t="s">
        <v>1</v>
      </c>
      <c r="C6198" s="88" t="s">
        <v>5259</v>
      </c>
      <c r="D6198" s="88" t="s">
        <v>2976</v>
      </c>
      <c r="E6198" s="88" t="s">
        <v>61</v>
      </c>
      <c r="F6198" s="88">
        <v>0</v>
      </c>
      <c r="G6198" s="78">
        <f>MAX(H6198,I6198,J6198)</f>
        <v>1</v>
      </c>
      <c r="H6198" s="88"/>
      <c r="I6198" s="88"/>
      <c r="J6198" s="78">
        <f>MAX(K6198:Q6198)</f>
        <v>1</v>
      </c>
      <c r="K6198" s="88">
        <v>1</v>
      </c>
      <c r="L6198" s="88"/>
      <c r="M6198" s="88"/>
      <c r="N6198" s="88"/>
      <c r="O6198" s="88"/>
      <c r="P6198" s="88"/>
      <c r="Q6198" s="88"/>
      <c r="R6198" s="78">
        <f>MAX(S6198:W6198)</f>
        <v>0</v>
      </c>
      <c r="S6198" s="88"/>
      <c r="T6198" s="88"/>
      <c r="U6198" s="88"/>
      <c r="V6198" s="88"/>
      <c r="W6198" s="88"/>
    </row>
    <row r="6199" spans="2:23" s="0" customFormat="0" ht="15">
      <c r="B6199" s="87" t="s">
        <v>1</v>
      </c>
      <c r="C6199" s="88" t="s">
        <v>5259</v>
      </c>
      <c r="D6199" s="88" t="s">
        <v>3313</v>
      </c>
      <c r="E6199" s="88" t="s">
        <v>61</v>
      </c>
      <c r="F6199" s="88">
        <v>0</v>
      </c>
      <c r="G6199" s="78">
        <f>MAX(H6199,I6199,J6199)</f>
        <v>0</v>
      </c>
      <c r="H6199" s="88"/>
      <c r="I6199" s="88"/>
      <c r="J6199" s="78">
        <f>MAX(K6199:Q6199)</f>
        <v>0</v>
      </c>
      <c r="K6199" s="88"/>
      <c r="L6199" s="88"/>
      <c r="M6199" s="88"/>
      <c r="N6199" s="88"/>
      <c r="O6199" s="88"/>
      <c r="P6199" s="88"/>
      <c r="Q6199" s="88"/>
      <c r="R6199" s="78">
        <f>MAX(S6199:W6199)</f>
        <v>1</v>
      </c>
      <c r="S6199" s="88"/>
      <c r="T6199" s="88"/>
      <c r="U6199" s="88">
        <v>1</v>
      </c>
      <c r="V6199" s="88"/>
      <c r="W6199" s="88"/>
    </row>
    <row r="6200" spans="2:23" s="0" customFormat="0" ht="15">
      <c r="B6200" s="87" t="s">
        <v>1</v>
      </c>
      <c r="C6200" s="88" t="s">
        <v>5259</v>
      </c>
      <c r="D6200" s="88" t="s">
        <v>4289</v>
      </c>
      <c r="E6200" s="88" t="s">
        <v>61</v>
      </c>
      <c r="F6200" s="88">
        <v>0</v>
      </c>
      <c r="G6200" s="78">
        <f>MAX(H6200,I6200,J6200)</f>
        <v>0</v>
      </c>
      <c r="H6200" s="88"/>
      <c r="I6200" s="88"/>
      <c r="J6200" s="78">
        <f>MAX(K6200:Q6200)</f>
        <v>0</v>
      </c>
      <c r="K6200" s="88"/>
      <c r="L6200" s="88"/>
      <c r="M6200" s="88"/>
      <c r="N6200" s="88"/>
      <c r="O6200" s="88"/>
      <c r="P6200" s="88"/>
      <c r="Q6200" s="88"/>
      <c r="R6200" s="78">
        <f>MAX(S6200:W6200)</f>
        <v>1</v>
      </c>
      <c r="S6200" s="88"/>
      <c r="T6200" s="88"/>
      <c r="U6200" s="88">
        <v>1</v>
      </c>
      <c r="V6200" s="88"/>
      <c r="W6200" s="88"/>
    </row>
    <row r="6201" spans="2:23" s="0" customFormat="0" ht="15">
      <c r="B6201" s="87" t="s">
        <v>1</v>
      </c>
      <c r="C6201" s="88" t="s">
        <v>5259</v>
      </c>
      <c r="D6201" s="88">
        <v>20392661</v>
      </c>
      <c r="E6201" s="88" t="s">
        <v>61</v>
      </c>
      <c r="F6201" s="88">
        <v>0</v>
      </c>
      <c r="G6201" s="78">
        <f>MAX(H6201,I6201,J6201)</f>
        <v>1</v>
      </c>
      <c r="H6201" s="88"/>
      <c r="I6201" s="88"/>
      <c r="J6201" s="78">
        <f>MAX(K6201:Q6201)</f>
        <v>1</v>
      </c>
      <c r="K6201" s="88">
        <v>1</v>
      </c>
      <c r="L6201" s="88"/>
      <c r="M6201" s="88"/>
      <c r="N6201" s="88"/>
      <c r="O6201" s="88"/>
      <c r="P6201" s="88"/>
      <c r="Q6201" s="88"/>
      <c r="R6201" s="78">
        <f>MAX(S6201:W6201)</f>
        <v>0</v>
      </c>
      <c r="S6201" s="88"/>
      <c r="T6201" s="88"/>
      <c r="U6201" s="88"/>
      <c r="V6201" s="88"/>
      <c r="W6201" s="88"/>
    </row>
    <row r="6202" spans="2:23" s="0" customFormat="0" ht="15">
      <c r="B6202" s="87" t="s">
        <v>1</v>
      </c>
      <c r="C6202" s="88" t="s">
        <v>5259</v>
      </c>
      <c r="D6202" s="88">
        <v>1669787</v>
      </c>
      <c r="E6202" s="88" t="s">
        <v>61</v>
      </c>
      <c r="F6202" s="88">
        <v>0</v>
      </c>
      <c r="G6202" s="78">
        <f>MAX(H6202,I6202,J6202)</f>
        <v>1</v>
      </c>
      <c r="H6202" s="88"/>
      <c r="I6202" s="88"/>
      <c r="J6202" s="78">
        <f>MAX(K6202:Q6202)</f>
        <v>1</v>
      </c>
      <c r="K6202" s="88">
        <v>1</v>
      </c>
      <c r="L6202" s="88"/>
      <c r="M6202" s="88"/>
      <c r="N6202" s="88"/>
      <c r="O6202" s="88"/>
      <c r="P6202" s="88"/>
      <c r="Q6202" s="88"/>
      <c r="R6202" s="78">
        <f>MAX(S6202:W6202)</f>
        <v>0</v>
      </c>
      <c r="S6202" s="88"/>
      <c r="T6202" s="88"/>
      <c r="U6202" s="88"/>
      <c r="V6202" s="88"/>
      <c r="W6202" s="88"/>
    </row>
    <row r="6203" spans="2:23" s="0" customFormat="0" ht="15">
      <c r="B6203" s="87" t="s">
        <v>1</v>
      </c>
      <c r="C6203" s="88" t="s">
        <v>5259</v>
      </c>
      <c r="D6203" s="88">
        <v>23930496</v>
      </c>
      <c r="E6203" s="88" t="s">
        <v>61</v>
      </c>
      <c r="F6203" s="88">
        <v>0</v>
      </c>
      <c r="G6203" s="78">
        <f>MAX(H6203,I6203,J6203)</f>
        <v>1</v>
      </c>
      <c r="H6203" s="88"/>
      <c r="I6203" s="88"/>
      <c r="J6203" s="78">
        <f>MAX(K6203:Q6203)</f>
        <v>1</v>
      </c>
      <c r="K6203" s="88">
        <v>1</v>
      </c>
      <c r="L6203" s="88"/>
      <c r="M6203" s="88"/>
      <c r="N6203" s="88"/>
      <c r="O6203" s="88"/>
      <c r="P6203" s="88"/>
      <c r="Q6203" s="88"/>
      <c r="R6203" s="78">
        <f>MAX(S6203:W6203)</f>
        <v>0</v>
      </c>
      <c r="S6203" s="88"/>
      <c r="T6203" s="88"/>
      <c r="U6203" s="88"/>
      <c r="V6203" s="88"/>
      <c r="W6203" s="88"/>
    </row>
    <row r="6204" spans="2:23" s="0" customFormat="0" ht="15">
      <c r="B6204" s="87" t="s">
        <v>1</v>
      </c>
      <c r="C6204" s="88" t="s">
        <v>5259</v>
      </c>
      <c r="D6204" s="88">
        <v>21150138</v>
      </c>
      <c r="E6204" s="88" t="s">
        <v>61</v>
      </c>
      <c r="F6204" s="88">
        <v>0</v>
      </c>
      <c r="G6204" s="78">
        <f>MAX(H6204,I6204,J6204)</f>
        <v>1</v>
      </c>
      <c r="H6204" s="88"/>
      <c r="I6204" s="88"/>
      <c r="J6204" s="78">
        <f>MAX(K6204:Q6204)</f>
        <v>1</v>
      </c>
      <c r="K6204" s="88">
        <v>1</v>
      </c>
      <c r="L6204" s="88"/>
      <c r="M6204" s="88"/>
      <c r="N6204" s="88"/>
      <c r="O6204" s="88"/>
      <c r="P6204" s="88"/>
      <c r="Q6204" s="88"/>
      <c r="R6204" s="78">
        <f>MAX(S6204:W6204)</f>
        <v>0</v>
      </c>
      <c r="S6204" s="88"/>
      <c r="T6204" s="88"/>
      <c r="U6204" s="88"/>
      <c r="V6204" s="88"/>
      <c r="W6204" s="88"/>
    </row>
    <row r="6205" spans="2:23" s="0" customFormat="0" ht="15">
      <c r="B6205" s="87" t="s">
        <v>1</v>
      </c>
      <c r="C6205" s="88" t="s">
        <v>5259</v>
      </c>
      <c r="D6205" s="88">
        <v>19043517</v>
      </c>
      <c r="E6205" s="88" t="s">
        <v>61</v>
      </c>
      <c r="F6205" s="88">
        <v>0</v>
      </c>
      <c r="G6205" s="78">
        <f>MAX(H6205,I6205,J6205)</f>
        <v>1</v>
      </c>
      <c r="H6205" s="88"/>
      <c r="I6205" s="88"/>
      <c r="J6205" s="78">
        <f>MAX(K6205:Q6205)</f>
        <v>1</v>
      </c>
      <c r="K6205" s="88">
        <v>1</v>
      </c>
      <c r="L6205" s="88"/>
      <c r="M6205" s="88"/>
      <c r="N6205" s="88"/>
      <c r="O6205" s="88"/>
      <c r="P6205" s="88"/>
      <c r="Q6205" s="88"/>
      <c r="R6205" s="78">
        <f>MAX(S6205:W6205)</f>
        <v>0</v>
      </c>
      <c r="S6205" s="88"/>
      <c r="T6205" s="88"/>
      <c r="U6205" s="88"/>
      <c r="V6205" s="88"/>
      <c r="W6205" s="88"/>
    </row>
    <row r="6206" spans="2:23" s="0" customFormat="0" ht="15">
      <c r="B6206" s="87" t="s">
        <v>1</v>
      </c>
      <c r="C6206" s="88" t="s">
        <v>5259</v>
      </c>
      <c r="D6206" s="88" t="s">
        <v>5011</v>
      </c>
      <c r="E6206" s="88" t="s">
        <v>61</v>
      </c>
      <c r="F6206" s="88">
        <v>0</v>
      </c>
      <c r="G6206" s="78">
        <f>MAX(H6206,I6206,J6206)</f>
        <v>0</v>
      </c>
      <c r="H6206" s="88"/>
      <c r="I6206" s="88"/>
      <c r="J6206" s="78">
        <f>MAX(K6206:Q6206)</f>
        <v>0</v>
      </c>
      <c r="K6206" s="88"/>
      <c r="L6206" s="88"/>
      <c r="M6206" s="88"/>
      <c r="N6206" s="88"/>
      <c r="O6206" s="88"/>
      <c r="P6206" s="88"/>
      <c r="Q6206" s="88"/>
      <c r="R6206" s="78">
        <f>MAX(S6206:W6206)</f>
        <v>1</v>
      </c>
      <c r="S6206" s="88"/>
      <c r="T6206" s="88"/>
      <c r="U6206" s="88">
        <v>1</v>
      </c>
      <c r="V6206" s="88"/>
      <c r="W6206" s="88"/>
    </row>
    <row r="6207" spans="2:23" s="0" customFormat="0" ht="15">
      <c r="B6207" s="87" t="s">
        <v>1</v>
      </c>
      <c r="C6207" s="88" t="s">
        <v>5259</v>
      </c>
      <c r="D6207" s="88" t="s">
        <v>2939</v>
      </c>
      <c r="E6207" s="88" t="s">
        <v>61</v>
      </c>
      <c r="F6207" s="88">
        <v>0</v>
      </c>
      <c r="G6207" s="78">
        <f>MAX(H6207,I6207,J6207)</f>
        <v>1</v>
      </c>
      <c r="H6207" s="88"/>
      <c r="I6207" s="88"/>
      <c r="J6207" s="78">
        <f>MAX(K6207:Q6207)</f>
        <v>1</v>
      </c>
      <c r="K6207" s="88">
        <v>1</v>
      </c>
      <c r="L6207" s="88"/>
      <c r="M6207" s="88"/>
      <c r="N6207" s="88"/>
      <c r="O6207" s="88"/>
      <c r="P6207" s="88"/>
      <c r="Q6207" s="88"/>
      <c r="R6207" s="78">
        <f>MAX(S6207:W6207)</f>
        <v>0</v>
      </c>
      <c r="S6207" s="88"/>
      <c r="T6207" s="88"/>
      <c r="U6207" s="88"/>
      <c r="V6207" s="88"/>
      <c r="W6207" s="88"/>
    </row>
    <row r="6208" spans="2:23" s="0" customFormat="0" ht="15">
      <c r="B6208" s="87" t="s">
        <v>1</v>
      </c>
      <c r="C6208" s="88" t="s">
        <v>5259</v>
      </c>
      <c r="D6208" s="88" t="s">
        <v>3511</v>
      </c>
      <c r="E6208" s="88" t="s">
        <v>61</v>
      </c>
      <c r="F6208" s="88">
        <v>0</v>
      </c>
      <c r="G6208" s="78">
        <f>MAX(H6208,I6208,J6208)</f>
        <v>0</v>
      </c>
      <c r="H6208" s="88"/>
      <c r="I6208" s="88"/>
      <c r="J6208" s="78">
        <f>MAX(K6208:Q6208)</f>
        <v>0</v>
      </c>
      <c r="K6208" s="88"/>
      <c r="L6208" s="88"/>
      <c r="M6208" s="88"/>
      <c r="N6208" s="88"/>
      <c r="O6208" s="88"/>
      <c r="P6208" s="88"/>
      <c r="Q6208" s="88"/>
      <c r="R6208" s="78">
        <f>MAX(S6208:W6208)</f>
        <v>1</v>
      </c>
      <c r="S6208" s="88"/>
      <c r="T6208" s="88"/>
      <c r="U6208" s="88">
        <v>1</v>
      </c>
      <c r="V6208" s="88"/>
      <c r="W6208" s="88"/>
    </row>
    <row r="6209" spans="2:23" s="0" customFormat="0" ht="15">
      <c r="B6209" s="87" t="s">
        <v>1</v>
      </c>
      <c r="C6209" s="88" t="s">
        <v>5259</v>
      </c>
      <c r="D6209" s="88">
        <v>24203931</v>
      </c>
      <c r="E6209" s="88" t="s">
        <v>61</v>
      </c>
      <c r="F6209" s="88">
        <v>0</v>
      </c>
      <c r="G6209" s="78">
        <f>MAX(H6209,I6209,J6209)</f>
        <v>1</v>
      </c>
      <c r="H6209" s="88"/>
      <c r="I6209" s="88"/>
      <c r="J6209" s="78">
        <f>MAX(K6209:Q6209)</f>
        <v>1</v>
      </c>
      <c r="K6209" s="88">
        <v>1</v>
      </c>
      <c r="L6209" s="88"/>
      <c r="M6209" s="88"/>
      <c r="N6209" s="88"/>
      <c r="O6209" s="88"/>
      <c r="P6209" s="88"/>
      <c r="Q6209" s="88"/>
      <c r="R6209" s="78">
        <f>MAX(S6209:W6209)</f>
        <v>0</v>
      </c>
      <c r="S6209" s="88"/>
      <c r="T6209" s="88"/>
      <c r="U6209" s="88"/>
      <c r="V6209" s="88"/>
      <c r="W6209" s="88"/>
    </row>
    <row r="6210" spans="2:23" s="0" customFormat="0" ht="15">
      <c r="B6210" s="87" t="s">
        <v>1</v>
      </c>
      <c r="C6210" s="88" t="s">
        <v>5259</v>
      </c>
      <c r="D6210" s="88">
        <v>6874148</v>
      </c>
      <c r="E6210" s="88" t="s">
        <v>61</v>
      </c>
      <c r="F6210" s="88">
        <v>0</v>
      </c>
      <c r="G6210" s="78">
        <f>MAX(H6210,I6210,J6210)</f>
        <v>1</v>
      </c>
      <c r="H6210" s="88"/>
      <c r="I6210" s="88"/>
      <c r="J6210" s="78">
        <f>MAX(K6210:Q6210)</f>
        <v>1</v>
      </c>
      <c r="K6210" s="88">
        <v>1</v>
      </c>
      <c r="L6210" s="88"/>
      <c r="M6210" s="88"/>
      <c r="N6210" s="88"/>
      <c r="O6210" s="88"/>
      <c r="P6210" s="88"/>
      <c r="Q6210" s="88"/>
      <c r="R6210" s="78">
        <f>MAX(S6210:W6210)</f>
        <v>0</v>
      </c>
      <c r="S6210" s="88"/>
      <c r="T6210" s="88"/>
      <c r="U6210" s="88"/>
      <c r="V6210" s="88"/>
      <c r="W6210" s="88"/>
    </row>
    <row r="6211" spans="2:23" s="0" customFormat="0" ht="15">
      <c r="B6211" s="87" t="s">
        <v>1</v>
      </c>
      <c r="C6211" s="88" t="s">
        <v>5259</v>
      </c>
      <c r="D6211" s="88">
        <v>13321922</v>
      </c>
      <c r="E6211" s="88" t="s">
        <v>61</v>
      </c>
      <c r="F6211" s="88">
        <v>0</v>
      </c>
      <c r="G6211" s="78">
        <f>MAX(H6211,I6211,J6211)</f>
        <v>1</v>
      </c>
      <c r="H6211" s="88"/>
      <c r="I6211" s="88"/>
      <c r="J6211" s="78">
        <f>MAX(K6211:Q6211)</f>
        <v>1</v>
      </c>
      <c r="K6211" s="88">
        <v>1</v>
      </c>
      <c r="L6211" s="88"/>
      <c r="M6211" s="88"/>
      <c r="N6211" s="88"/>
      <c r="O6211" s="88"/>
      <c r="P6211" s="88"/>
      <c r="Q6211" s="88"/>
      <c r="R6211" s="78">
        <f>MAX(S6211:W6211)</f>
        <v>0</v>
      </c>
      <c r="S6211" s="88"/>
      <c r="T6211" s="88"/>
      <c r="U6211" s="88"/>
      <c r="V6211" s="88"/>
      <c r="W6211" s="88"/>
    </row>
    <row r="6212" spans="2:23" s="0" customFormat="0" ht="15">
      <c r="B6212" s="87" t="s">
        <v>1</v>
      </c>
      <c r="C6212" s="88" t="s">
        <v>5259</v>
      </c>
      <c r="D6212" s="88">
        <v>11642979</v>
      </c>
      <c r="E6212" s="88" t="s">
        <v>61</v>
      </c>
      <c r="F6212" s="88">
        <v>0</v>
      </c>
      <c r="G6212" s="78">
        <f>MAX(H6212,I6212,J6212)</f>
        <v>1</v>
      </c>
      <c r="H6212" s="88"/>
      <c r="I6212" s="88"/>
      <c r="J6212" s="78">
        <f>MAX(K6212:Q6212)</f>
        <v>1</v>
      </c>
      <c r="K6212" s="88">
        <v>1</v>
      </c>
      <c r="L6212" s="88"/>
      <c r="M6212" s="88"/>
      <c r="N6212" s="88"/>
      <c r="O6212" s="88"/>
      <c r="P6212" s="88"/>
      <c r="Q6212" s="88"/>
      <c r="R6212" s="78">
        <f>MAX(S6212:W6212)</f>
        <v>0</v>
      </c>
      <c r="S6212" s="88"/>
      <c r="T6212" s="88"/>
      <c r="U6212" s="88"/>
      <c r="V6212" s="88"/>
      <c r="W6212" s="88"/>
    </row>
    <row r="6213" spans="2:23" s="0" customFormat="0" ht="15">
      <c r="B6213" s="87" t="s">
        <v>1</v>
      </c>
      <c r="C6213" s="88" t="s">
        <v>5259</v>
      </c>
      <c r="D6213" s="88">
        <v>18718604</v>
      </c>
      <c r="E6213" s="88" t="s">
        <v>61</v>
      </c>
      <c r="F6213" s="88">
        <v>0</v>
      </c>
      <c r="G6213" s="78">
        <f>MAX(H6213,I6213,J6213)</f>
        <v>1</v>
      </c>
      <c r="H6213" s="88"/>
      <c r="I6213" s="88"/>
      <c r="J6213" s="78">
        <f>MAX(K6213:Q6213)</f>
        <v>1</v>
      </c>
      <c r="K6213" s="88">
        <v>1</v>
      </c>
      <c r="L6213" s="88"/>
      <c r="M6213" s="88"/>
      <c r="N6213" s="88"/>
      <c r="O6213" s="88"/>
      <c r="P6213" s="88"/>
      <c r="Q6213" s="88"/>
      <c r="R6213" s="78">
        <f>MAX(S6213:W6213)</f>
        <v>0</v>
      </c>
      <c r="S6213" s="88"/>
      <c r="T6213" s="88"/>
      <c r="U6213" s="88"/>
      <c r="V6213" s="88"/>
      <c r="W6213" s="88"/>
    </row>
    <row r="6214" spans="2:23" s="0" customFormat="0" ht="15">
      <c r="B6214" s="87" t="s">
        <v>1</v>
      </c>
      <c r="C6214" s="88" t="s">
        <v>5259</v>
      </c>
      <c r="D6214" s="88">
        <v>17561182</v>
      </c>
      <c r="E6214" s="88" t="s">
        <v>61</v>
      </c>
      <c r="F6214" s="88">
        <v>0</v>
      </c>
      <c r="G6214" s="78">
        <f>MAX(H6214,I6214,J6214)</f>
        <v>1</v>
      </c>
      <c r="H6214" s="88"/>
      <c r="I6214" s="88"/>
      <c r="J6214" s="78">
        <f>MAX(K6214:Q6214)</f>
        <v>1</v>
      </c>
      <c r="K6214" s="88">
        <v>1</v>
      </c>
      <c r="L6214" s="88"/>
      <c r="M6214" s="88"/>
      <c r="N6214" s="88"/>
      <c r="O6214" s="88"/>
      <c r="P6214" s="88"/>
      <c r="Q6214" s="88"/>
      <c r="R6214" s="78">
        <f>MAX(S6214:W6214)</f>
        <v>0</v>
      </c>
      <c r="S6214" s="88"/>
      <c r="T6214" s="88"/>
      <c r="U6214" s="88"/>
      <c r="V6214" s="88"/>
      <c r="W6214" s="88"/>
    </row>
    <row r="6215" spans="2:23" s="0" customFormat="0" ht="15">
      <c r="B6215" s="87" t="s">
        <v>1</v>
      </c>
      <c r="C6215" s="88" t="s">
        <v>5259</v>
      </c>
      <c r="D6215" s="88" t="s">
        <v>2979</v>
      </c>
      <c r="E6215" s="88" t="s">
        <v>61</v>
      </c>
      <c r="F6215" s="88">
        <v>0</v>
      </c>
      <c r="G6215" s="78">
        <f>MAX(H6215,I6215,J6215)</f>
        <v>1</v>
      </c>
      <c r="H6215" s="88"/>
      <c r="I6215" s="88"/>
      <c r="J6215" s="78">
        <f>MAX(K6215:Q6215)</f>
        <v>1</v>
      </c>
      <c r="K6215" s="88">
        <v>1</v>
      </c>
      <c r="L6215" s="88"/>
      <c r="M6215" s="88"/>
      <c r="N6215" s="88"/>
      <c r="O6215" s="88"/>
      <c r="P6215" s="88"/>
      <c r="Q6215" s="88"/>
      <c r="R6215" s="78">
        <f>MAX(S6215:W6215)</f>
        <v>0</v>
      </c>
      <c r="S6215" s="88"/>
      <c r="T6215" s="88"/>
      <c r="U6215" s="88"/>
      <c r="V6215" s="88"/>
      <c r="W6215" s="88"/>
    </row>
    <row r="6216" spans="2:23" s="0" customFormat="0" ht="15">
      <c r="B6216" s="87" t="s">
        <v>1</v>
      </c>
      <c r="C6216" s="88" t="s">
        <v>5259</v>
      </c>
      <c r="D6216" s="88" t="s">
        <v>3282</v>
      </c>
      <c r="E6216" s="88" t="s">
        <v>61</v>
      </c>
      <c r="F6216" s="88">
        <v>0</v>
      </c>
      <c r="G6216" s="78">
        <f>MAX(H6216,I6216,J6216)</f>
        <v>0</v>
      </c>
      <c r="H6216" s="88"/>
      <c r="I6216" s="88"/>
      <c r="J6216" s="78">
        <f>MAX(K6216:Q6216)</f>
        <v>0</v>
      </c>
      <c r="K6216" s="88"/>
      <c r="L6216" s="88"/>
      <c r="M6216" s="88"/>
      <c r="N6216" s="88"/>
      <c r="O6216" s="88"/>
      <c r="P6216" s="88"/>
      <c r="Q6216" s="88"/>
      <c r="R6216" s="78">
        <f>MAX(S6216:W6216)</f>
        <v>1</v>
      </c>
      <c r="S6216" s="88"/>
      <c r="T6216" s="88"/>
      <c r="U6216" s="88"/>
      <c r="V6216" s="88">
        <v>1</v>
      </c>
      <c r="W6216" s="88"/>
    </row>
    <row r="6217" spans="2:23" s="0" customFormat="0" ht="15">
      <c r="B6217" s="87" t="s">
        <v>1</v>
      </c>
      <c r="C6217" s="88" t="s">
        <v>5259</v>
      </c>
      <c r="D6217" s="88">
        <v>11025789</v>
      </c>
      <c r="E6217" s="88" t="s">
        <v>61</v>
      </c>
      <c r="F6217" s="88">
        <v>0</v>
      </c>
      <c r="G6217" s="78">
        <f>MAX(H6217,I6217,J6217)</f>
        <v>1</v>
      </c>
      <c r="H6217" s="88"/>
      <c r="I6217" s="88"/>
      <c r="J6217" s="78">
        <f>MAX(K6217:Q6217)</f>
        <v>1</v>
      </c>
      <c r="K6217" s="88">
        <v>1</v>
      </c>
      <c r="L6217" s="88"/>
      <c r="M6217" s="88"/>
      <c r="N6217" s="88"/>
      <c r="O6217" s="88"/>
      <c r="P6217" s="88"/>
      <c r="Q6217" s="88"/>
      <c r="R6217" s="78">
        <f>MAX(S6217:W6217)</f>
        <v>0</v>
      </c>
      <c r="S6217" s="88"/>
      <c r="T6217" s="88"/>
      <c r="U6217" s="88"/>
      <c r="V6217" s="88"/>
      <c r="W6217" s="88"/>
    </row>
    <row r="6218" spans="2:23" s="0" customFormat="0" ht="15">
      <c r="B6218" s="87" t="s">
        <v>1</v>
      </c>
      <c r="C6218" s="88" t="s">
        <v>5259</v>
      </c>
      <c r="D6218" s="88">
        <v>15798267</v>
      </c>
      <c r="E6218" s="88" t="s">
        <v>61</v>
      </c>
      <c r="F6218" s="88">
        <v>0</v>
      </c>
      <c r="G6218" s="78">
        <f>MAX(H6218,I6218,J6218)</f>
        <v>1</v>
      </c>
      <c r="H6218" s="88"/>
      <c r="I6218" s="88"/>
      <c r="J6218" s="78">
        <f>MAX(K6218:Q6218)</f>
        <v>1</v>
      </c>
      <c r="K6218" s="88">
        <v>1</v>
      </c>
      <c r="L6218" s="88"/>
      <c r="M6218" s="88"/>
      <c r="N6218" s="88"/>
      <c r="O6218" s="88"/>
      <c r="P6218" s="88"/>
      <c r="Q6218" s="88"/>
      <c r="R6218" s="78">
        <f>MAX(S6218:W6218)</f>
        <v>0</v>
      </c>
      <c r="S6218" s="88"/>
      <c r="T6218" s="88"/>
      <c r="U6218" s="88"/>
      <c r="V6218" s="88"/>
      <c r="W6218" s="88"/>
    </row>
    <row r="6219" spans="2:23" s="0" customFormat="0" ht="15">
      <c r="B6219" s="87" t="s">
        <v>1</v>
      </c>
      <c r="C6219" s="88" t="s">
        <v>5259</v>
      </c>
      <c r="D6219" s="88" t="s">
        <v>5201</v>
      </c>
      <c r="E6219" s="88" t="s">
        <v>61</v>
      </c>
      <c r="F6219" s="88">
        <v>0</v>
      </c>
      <c r="G6219" s="78">
        <f>MAX(H6219,I6219,J6219)</f>
        <v>0</v>
      </c>
      <c r="H6219" s="88"/>
      <c r="I6219" s="88"/>
      <c r="J6219" s="78">
        <f>MAX(K6219:Q6219)</f>
        <v>0</v>
      </c>
      <c r="K6219" s="88"/>
      <c r="L6219" s="88"/>
      <c r="M6219" s="88"/>
      <c r="N6219" s="88"/>
      <c r="O6219" s="88"/>
      <c r="P6219" s="88"/>
      <c r="Q6219" s="88"/>
      <c r="R6219" s="78">
        <f>MAX(S6219:W6219)</f>
        <v>1</v>
      </c>
      <c r="S6219" s="88"/>
      <c r="T6219" s="88"/>
      <c r="U6219" s="88">
        <v>1</v>
      </c>
      <c r="V6219" s="88"/>
      <c r="W6219" s="88"/>
    </row>
    <row r="6220" spans="2:23" s="0" customFormat="0" ht="15">
      <c r="B6220" s="87" t="s">
        <v>1</v>
      </c>
      <c r="C6220" s="88" t="s">
        <v>5259</v>
      </c>
      <c r="D6220" s="88">
        <v>24410842</v>
      </c>
      <c r="E6220" s="88" t="s">
        <v>61</v>
      </c>
      <c r="F6220" s="88">
        <v>0</v>
      </c>
      <c r="G6220" s="78">
        <f>MAX(H6220,I6220,J6220)</f>
        <v>1</v>
      </c>
      <c r="H6220" s="88"/>
      <c r="I6220" s="88"/>
      <c r="J6220" s="78">
        <f>MAX(K6220:Q6220)</f>
        <v>1</v>
      </c>
      <c r="K6220" s="88">
        <v>1</v>
      </c>
      <c r="L6220" s="88"/>
      <c r="M6220" s="88"/>
      <c r="N6220" s="88"/>
      <c r="O6220" s="88"/>
      <c r="P6220" s="88"/>
      <c r="Q6220" s="88"/>
      <c r="R6220" s="78">
        <f>MAX(S6220:W6220)</f>
        <v>0</v>
      </c>
      <c r="S6220" s="88"/>
      <c r="T6220" s="88"/>
      <c r="U6220" s="88"/>
      <c r="V6220" s="88"/>
      <c r="W6220" s="88"/>
    </row>
    <row r="6221" spans="2:23" s="0" customFormat="0" ht="15">
      <c r="B6221" s="87" t="s">
        <v>1</v>
      </c>
      <c r="C6221" s="88" t="s">
        <v>5259</v>
      </c>
      <c r="D6221" s="88">
        <v>22063598</v>
      </c>
      <c r="E6221" s="88" t="s">
        <v>61</v>
      </c>
      <c r="F6221" s="88">
        <v>0</v>
      </c>
      <c r="G6221" s="78">
        <f>MAX(H6221,I6221,J6221)</f>
        <v>1</v>
      </c>
      <c r="H6221" s="88"/>
      <c r="I6221" s="88"/>
      <c r="J6221" s="78">
        <f>MAX(K6221:Q6221)</f>
        <v>1</v>
      </c>
      <c r="K6221" s="88">
        <v>1</v>
      </c>
      <c r="L6221" s="88"/>
      <c r="M6221" s="88"/>
      <c r="N6221" s="88"/>
      <c r="O6221" s="88"/>
      <c r="P6221" s="88"/>
      <c r="Q6221" s="88"/>
      <c r="R6221" s="78">
        <f>MAX(S6221:W6221)</f>
        <v>0</v>
      </c>
      <c r="S6221" s="88"/>
      <c r="T6221" s="88"/>
      <c r="U6221" s="88"/>
      <c r="V6221" s="88"/>
      <c r="W6221" s="88"/>
    </row>
    <row r="6222" spans="2:23" s="0" customFormat="0" ht="15">
      <c r="B6222" s="87" t="s">
        <v>1</v>
      </c>
      <c r="C6222" s="88" t="s">
        <v>5259</v>
      </c>
      <c r="D6222" s="88" t="s">
        <v>1699</v>
      </c>
      <c r="E6222" s="88" t="s">
        <v>61</v>
      </c>
      <c r="F6222" s="88">
        <v>0</v>
      </c>
      <c r="G6222" s="78">
        <f>MAX(H6222,I6222,J6222)</f>
        <v>1</v>
      </c>
      <c r="H6222" s="88"/>
      <c r="I6222" s="88"/>
      <c r="J6222" s="78">
        <f>MAX(K6222:Q6222)</f>
        <v>1</v>
      </c>
      <c r="K6222" s="88">
        <v>1</v>
      </c>
      <c r="L6222" s="88"/>
      <c r="M6222" s="88"/>
      <c r="N6222" s="88"/>
      <c r="O6222" s="88"/>
      <c r="P6222" s="88"/>
      <c r="Q6222" s="88"/>
      <c r="R6222" s="78">
        <f>MAX(S6222:W6222)</f>
        <v>0</v>
      </c>
      <c r="S6222" s="88"/>
      <c r="T6222" s="88"/>
      <c r="U6222" s="88"/>
      <c r="V6222" s="88"/>
      <c r="W6222" s="88"/>
    </row>
    <row r="6223" spans="2:23" s="0" customFormat="0" ht="15">
      <c r="B6223" s="87" t="s">
        <v>1</v>
      </c>
      <c r="C6223" s="88" t="s">
        <v>5259</v>
      </c>
      <c r="D6223" s="88">
        <v>4482503</v>
      </c>
      <c r="E6223" s="88" t="s">
        <v>61</v>
      </c>
      <c r="F6223" s="88">
        <v>0</v>
      </c>
      <c r="G6223" s="78">
        <f>MAX(H6223,I6223,J6223)</f>
        <v>1</v>
      </c>
      <c r="H6223" s="88"/>
      <c r="I6223" s="88"/>
      <c r="J6223" s="78">
        <f>MAX(K6223:Q6223)</f>
        <v>1</v>
      </c>
      <c r="K6223" s="88">
        <v>1</v>
      </c>
      <c r="L6223" s="88"/>
      <c r="M6223" s="88"/>
      <c r="N6223" s="88"/>
      <c r="O6223" s="88"/>
      <c r="P6223" s="88"/>
      <c r="Q6223" s="88"/>
      <c r="R6223" s="78">
        <f>MAX(S6223:W6223)</f>
        <v>0</v>
      </c>
      <c r="S6223" s="88"/>
      <c r="T6223" s="88"/>
      <c r="U6223" s="88"/>
      <c r="V6223" s="88"/>
      <c r="W6223" s="88"/>
    </row>
    <row r="6224" spans="2:23" s="0" customFormat="0" ht="15">
      <c r="B6224" s="87" t="s">
        <v>1</v>
      </c>
      <c r="C6224" s="88" t="s">
        <v>5259</v>
      </c>
      <c r="D6224" s="88" t="s">
        <v>4559</v>
      </c>
      <c r="E6224" s="88" t="s">
        <v>61</v>
      </c>
      <c r="F6224" s="88">
        <v>0</v>
      </c>
      <c r="G6224" s="78">
        <f>MAX(H6224,I6224,J6224)</f>
        <v>0</v>
      </c>
      <c r="H6224" s="88"/>
      <c r="I6224" s="88"/>
      <c r="J6224" s="78">
        <f>MAX(K6224:Q6224)</f>
        <v>0</v>
      </c>
      <c r="K6224" s="88"/>
      <c r="L6224" s="88"/>
      <c r="M6224" s="88"/>
      <c r="N6224" s="88"/>
      <c r="O6224" s="88"/>
      <c r="P6224" s="88"/>
      <c r="Q6224" s="88"/>
      <c r="R6224" s="78">
        <f>MAX(S6224:W6224)</f>
        <v>1</v>
      </c>
      <c r="S6224" s="88"/>
      <c r="T6224" s="88"/>
      <c r="U6224" s="88">
        <v>1</v>
      </c>
      <c r="V6224" s="88"/>
      <c r="W6224" s="88"/>
    </row>
    <row r="6225" spans="2:23" s="0" customFormat="0" ht="15">
      <c r="B6225" s="87" t="s">
        <v>1</v>
      </c>
      <c r="C6225" s="88" t="s">
        <v>5259</v>
      </c>
      <c r="D6225" s="88">
        <v>19837924</v>
      </c>
      <c r="E6225" s="88" t="s">
        <v>61</v>
      </c>
      <c r="F6225" s="88">
        <v>0</v>
      </c>
      <c r="G6225" s="78">
        <f>MAX(H6225,I6225,J6225)</f>
        <v>1</v>
      </c>
      <c r="H6225" s="88"/>
      <c r="I6225" s="88"/>
      <c r="J6225" s="78">
        <f>MAX(K6225:Q6225)</f>
        <v>1</v>
      </c>
      <c r="K6225" s="88">
        <v>1</v>
      </c>
      <c r="L6225" s="88"/>
      <c r="M6225" s="88"/>
      <c r="N6225" s="88"/>
      <c r="O6225" s="88"/>
      <c r="P6225" s="88"/>
      <c r="Q6225" s="88"/>
      <c r="R6225" s="78">
        <f>MAX(S6225:W6225)</f>
        <v>0</v>
      </c>
      <c r="S6225" s="88"/>
      <c r="T6225" s="88"/>
      <c r="U6225" s="88"/>
      <c r="V6225" s="88"/>
      <c r="W6225" s="88"/>
    </row>
    <row r="6226" spans="2:23" s="0" customFormat="0" ht="15">
      <c r="B6226" s="87" t="s">
        <v>1</v>
      </c>
      <c r="C6226" s="88" t="s">
        <v>5259</v>
      </c>
      <c r="D6226" s="88">
        <v>19474497</v>
      </c>
      <c r="E6226" s="88" t="s">
        <v>61</v>
      </c>
      <c r="F6226" s="88">
        <v>0</v>
      </c>
      <c r="G6226" s="78">
        <f>MAX(H6226,I6226,J6226)</f>
        <v>1</v>
      </c>
      <c r="H6226" s="88"/>
      <c r="I6226" s="88"/>
      <c r="J6226" s="78">
        <f>MAX(K6226:Q6226)</f>
        <v>1</v>
      </c>
      <c r="K6226" s="88">
        <v>1</v>
      </c>
      <c r="L6226" s="88"/>
      <c r="M6226" s="88"/>
      <c r="N6226" s="88"/>
      <c r="O6226" s="88"/>
      <c r="P6226" s="88"/>
      <c r="Q6226" s="88"/>
      <c r="R6226" s="78">
        <f>MAX(S6226:W6226)</f>
        <v>0</v>
      </c>
      <c r="S6226" s="88"/>
      <c r="T6226" s="88"/>
      <c r="U6226" s="88"/>
      <c r="V6226" s="88"/>
      <c r="W6226" s="88"/>
    </row>
    <row r="6227" spans="2:23" s="0" customFormat="0" ht="15">
      <c r="B6227" s="87" t="s">
        <v>1</v>
      </c>
      <c r="C6227" s="88" t="s">
        <v>5259</v>
      </c>
      <c r="D6227" s="88" t="s">
        <v>3707</v>
      </c>
      <c r="E6227" s="88" t="s">
        <v>61</v>
      </c>
      <c r="F6227" s="88">
        <v>0</v>
      </c>
      <c r="G6227" s="78">
        <f>MAX(H6227,I6227,J6227)</f>
        <v>0</v>
      </c>
      <c r="H6227" s="88"/>
      <c r="I6227" s="88"/>
      <c r="J6227" s="78">
        <f>MAX(K6227:Q6227)</f>
        <v>0</v>
      </c>
      <c r="K6227" s="88"/>
      <c r="L6227" s="88"/>
      <c r="M6227" s="88"/>
      <c r="N6227" s="88"/>
      <c r="O6227" s="88"/>
      <c r="P6227" s="88"/>
      <c r="Q6227" s="88"/>
      <c r="R6227" s="78">
        <f>MAX(S6227:W6227)</f>
        <v>1</v>
      </c>
      <c r="S6227" s="88"/>
      <c r="T6227" s="88"/>
      <c r="U6227" s="88">
        <v>1</v>
      </c>
      <c r="V6227" s="88"/>
      <c r="W6227" s="88"/>
    </row>
    <row r="6228" spans="2:23" s="0" customFormat="0" ht="15">
      <c r="B6228" s="87" t="s">
        <v>1</v>
      </c>
      <c r="C6228" s="88" t="s">
        <v>5259</v>
      </c>
      <c r="D6228" s="88">
        <v>22554081</v>
      </c>
      <c r="E6228" s="88" t="s">
        <v>61</v>
      </c>
      <c r="F6228" s="88">
        <v>0</v>
      </c>
      <c r="G6228" s="78">
        <f>MAX(H6228,I6228,J6228)</f>
        <v>0</v>
      </c>
      <c r="H6228" s="88"/>
      <c r="I6228" s="88"/>
      <c r="J6228" s="78">
        <f>MAX(K6228:Q6228)</f>
        <v>0</v>
      </c>
      <c r="K6228" s="88"/>
      <c r="L6228" s="88"/>
      <c r="M6228" s="88"/>
      <c r="N6228" s="88"/>
      <c r="O6228" s="88"/>
      <c r="P6228" s="88"/>
      <c r="Q6228" s="88"/>
      <c r="R6228" s="78">
        <f>MAX(S6228:W6228)</f>
        <v>1</v>
      </c>
      <c r="S6228" s="88"/>
      <c r="T6228" s="88"/>
      <c r="U6228" s="88">
        <v>1</v>
      </c>
      <c r="V6228" s="88"/>
      <c r="W6228" s="88"/>
    </row>
    <row r="6229" spans="2:23" s="0" customFormat="0" ht="15">
      <c r="B6229" s="87" t="s">
        <v>1</v>
      </c>
      <c r="C6229" s="88" t="s">
        <v>5259</v>
      </c>
      <c r="D6229" s="88">
        <v>15402640</v>
      </c>
      <c r="E6229" s="88" t="s">
        <v>61</v>
      </c>
      <c r="F6229" s="88">
        <v>0</v>
      </c>
      <c r="G6229" s="78">
        <f>MAX(H6229,I6229,J6229)</f>
        <v>1</v>
      </c>
      <c r="H6229" s="88"/>
      <c r="I6229" s="88"/>
      <c r="J6229" s="78">
        <f>MAX(K6229:Q6229)</f>
        <v>1</v>
      </c>
      <c r="K6229" s="88">
        <v>1</v>
      </c>
      <c r="L6229" s="88"/>
      <c r="M6229" s="88"/>
      <c r="N6229" s="88"/>
      <c r="O6229" s="88"/>
      <c r="P6229" s="88"/>
      <c r="Q6229" s="88"/>
      <c r="R6229" s="78">
        <f>MAX(S6229:W6229)</f>
        <v>0</v>
      </c>
      <c r="S6229" s="88"/>
      <c r="T6229" s="88"/>
      <c r="U6229" s="88"/>
      <c r="V6229" s="88"/>
      <c r="W6229" s="88"/>
    </row>
    <row r="6230" spans="2:23" s="0" customFormat="0" ht="15">
      <c r="B6230" s="87" t="s">
        <v>1</v>
      </c>
      <c r="C6230" s="88" t="s">
        <v>5259</v>
      </c>
      <c r="D6230" s="88">
        <v>21623035</v>
      </c>
      <c r="E6230" s="88" t="s">
        <v>61</v>
      </c>
      <c r="F6230" s="88">
        <v>0</v>
      </c>
      <c r="G6230" s="78">
        <f>MAX(H6230,I6230,J6230)</f>
        <v>1</v>
      </c>
      <c r="H6230" s="88"/>
      <c r="I6230" s="88"/>
      <c r="J6230" s="78">
        <f>MAX(K6230:Q6230)</f>
        <v>1</v>
      </c>
      <c r="K6230" s="88">
        <v>1</v>
      </c>
      <c r="L6230" s="88"/>
      <c r="M6230" s="88"/>
      <c r="N6230" s="88"/>
      <c r="O6230" s="88"/>
      <c r="P6230" s="88"/>
      <c r="Q6230" s="88"/>
      <c r="R6230" s="78">
        <f>MAX(S6230:W6230)</f>
        <v>0</v>
      </c>
      <c r="S6230" s="88"/>
      <c r="T6230" s="88"/>
      <c r="U6230" s="88"/>
      <c r="V6230" s="88"/>
      <c r="W6230" s="88"/>
    </row>
    <row r="6231" spans="2:23" s="0" customFormat="0" ht="15">
      <c r="B6231" s="87" t="s">
        <v>1</v>
      </c>
      <c r="C6231" s="88" t="s">
        <v>5259</v>
      </c>
      <c r="D6231" s="88" t="s">
        <v>4789</v>
      </c>
      <c r="E6231" s="88" t="s">
        <v>61</v>
      </c>
      <c r="F6231" s="88">
        <v>0</v>
      </c>
      <c r="G6231" s="78">
        <f>MAX(H6231,I6231,J6231)</f>
        <v>0</v>
      </c>
      <c r="H6231" s="88"/>
      <c r="I6231" s="88"/>
      <c r="J6231" s="78">
        <f>MAX(K6231:Q6231)</f>
        <v>0</v>
      </c>
      <c r="K6231" s="88"/>
      <c r="L6231" s="88"/>
      <c r="M6231" s="88"/>
      <c r="N6231" s="88"/>
      <c r="O6231" s="88"/>
      <c r="P6231" s="88"/>
      <c r="Q6231" s="88"/>
      <c r="R6231" s="78">
        <f>MAX(S6231:W6231)</f>
        <v>1</v>
      </c>
      <c r="S6231" s="88"/>
      <c r="T6231" s="88"/>
      <c r="U6231" s="88">
        <v>1</v>
      </c>
      <c r="V6231" s="88"/>
      <c r="W6231" s="88"/>
    </row>
    <row r="6232" spans="2:23" s="0" customFormat="0" ht="15">
      <c r="B6232" s="87" t="s">
        <v>1</v>
      </c>
      <c r="C6232" s="88" t="s">
        <v>5259</v>
      </c>
      <c r="D6232" s="88">
        <v>21226545</v>
      </c>
      <c r="E6232" s="88" t="s">
        <v>61</v>
      </c>
      <c r="F6232" s="88">
        <v>0</v>
      </c>
      <c r="G6232" s="78">
        <f>MAX(H6232,I6232,J6232)</f>
        <v>1</v>
      </c>
      <c r="H6232" s="88"/>
      <c r="I6232" s="88"/>
      <c r="J6232" s="78">
        <f>MAX(K6232:Q6232)</f>
        <v>1</v>
      </c>
      <c r="K6232" s="88">
        <v>1</v>
      </c>
      <c r="L6232" s="88"/>
      <c r="M6232" s="88"/>
      <c r="N6232" s="88"/>
      <c r="O6232" s="88"/>
      <c r="P6232" s="88"/>
      <c r="Q6232" s="88"/>
      <c r="R6232" s="78">
        <f>MAX(S6232:W6232)</f>
        <v>0</v>
      </c>
      <c r="S6232" s="88"/>
      <c r="T6232" s="88"/>
      <c r="U6232" s="88"/>
      <c r="V6232" s="88"/>
      <c r="W6232" s="88"/>
    </row>
    <row r="6233" spans="2:23" s="0" customFormat="0" ht="15">
      <c r="B6233" s="87" t="s">
        <v>1</v>
      </c>
      <c r="C6233" s="88" t="s">
        <v>5259</v>
      </c>
      <c r="D6233" s="88">
        <v>18126309</v>
      </c>
      <c r="E6233" s="88" t="s">
        <v>61</v>
      </c>
      <c r="F6233" s="88">
        <v>0</v>
      </c>
      <c r="G6233" s="78">
        <f>MAX(H6233,I6233,J6233)</f>
        <v>1</v>
      </c>
      <c r="H6233" s="88"/>
      <c r="I6233" s="88"/>
      <c r="J6233" s="78">
        <f>MAX(K6233:Q6233)</f>
        <v>1</v>
      </c>
      <c r="K6233" s="88"/>
      <c r="L6233" s="88"/>
      <c r="M6233" s="88">
        <v>1</v>
      </c>
      <c r="N6233" s="88"/>
      <c r="O6233" s="88"/>
      <c r="P6233" s="88"/>
      <c r="Q6233" s="88"/>
      <c r="R6233" s="78">
        <f>MAX(S6233:W6233)</f>
        <v>0</v>
      </c>
      <c r="S6233" s="88"/>
      <c r="T6233" s="88"/>
      <c r="U6233" s="88"/>
      <c r="V6233" s="88"/>
      <c r="W6233" s="88"/>
    </row>
    <row r="6234" spans="2:23" s="0" customFormat="0" ht="15">
      <c r="B6234" s="87" t="s">
        <v>1</v>
      </c>
      <c r="C6234" s="88" t="s">
        <v>5259</v>
      </c>
      <c r="D6234" s="88" t="s">
        <v>2981</v>
      </c>
      <c r="E6234" s="88" t="s">
        <v>61</v>
      </c>
      <c r="F6234" s="88">
        <v>0</v>
      </c>
      <c r="G6234" s="78">
        <f>MAX(H6234,I6234,J6234)</f>
        <v>1</v>
      </c>
      <c r="H6234" s="88"/>
      <c r="I6234" s="88"/>
      <c r="J6234" s="78">
        <f>MAX(K6234:Q6234)</f>
        <v>1</v>
      </c>
      <c r="K6234" s="88">
        <v>1</v>
      </c>
      <c r="L6234" s="88"/>
      <c r="M6234" s="88"/>
      <c r="N6234" s="88"/>
      <c r="O6234" s="88"/>
      <c r="P6234" s="88"/>
      <c r="Q6234" s="88"/>
      <c r="R6234" s="78">
        <f>MAX(S6234:W6234)</f>
        <v>0</v>
      </c>
      <c r="S6234" s="88"/>
      <c r="T6234" s="88"/>
      <c r="U6234" s="88"/>
      <c r="V6234" s="88"/>
      <c r="W6234" s="88"/>
    </row>
    <row r="6235" spans="2:23" s="0" customFormat="0" ht="15">
      <c r="B6235" s="87" t="s">
        <v>1</v>
      </c>
      <c r="C6235" s="88" t="s">
        <v>5259</v>
      </c>
      <c r="D6235" s="88">
        <v>15510671</v>
      </c>
      <c r="E6235" s="88" t="s">
        <v>61</v>
      </c>
      <c r="F6235" s="88">
        <v>0</v>
      </c>
      <c r="G6235" s="78">
        <f>MAX(H6235,I6235,J6235)</f>
        <v>0</v>
      </c>
      <c r="H6235" s="88"/>
      <c r="I6235" s="88"/>
      <c r="J6235" s="78">
        <f>MAX(K6235:Q6235)</f>
        <v>0</v>
      </c>
      <c r="K6235" s="88"/>
      <c r="L6235" s="88"/>
      <c r="M6235" s="88"/>
      <c r="N6235" s="88"/>
      <c r="O6235" s="88"/>
      <c r="P6235" s="88"/>
      <c r="Q6235" s="88"/>
      <c r="R6235" s="78">
        <f>MAX(S6235:W6235)</f>
        <v>1</v>
      </c>
      <c r="S6235" s="88"/>
      <c r="T6235" s="88"/>
      <c r="U6235" s="88"/>
      <c r="V6235" s="88">
        <v>1</v>
      </c>
      <c r="W6235" s="88"/>
    </row>
    <row r="6236" spans="2:23" s="0" customFormat="0" ht="15">
      <c r="B6236" s="87" t="s">
        <v>1</v>
      </c>
      <c r="C6236" s="88" t="s">
        <v>5259</v>
      </c>
      <c r="D6236" s="88" t="s">
        <v>1258</v>
      </c>
      <c r="E6236" s="88" t="s">
        <v>61</v>
      </c>
      <c r="F6236" s="88">
        <v>0</v>
      </c>
      <c r="G6236" s="78">
        <f>MAX(H6236,I6236,J6236)</f>
        <v>1</v>
      </c>
      <c r="H6236" s="88"/>
      <c r="I6236" s="88"/>
      <c r="J6236" s="78">
        <f>MAX(K6236:Q6236)</f>
        <v>1</v>
      </c>
      <c r="K6236" s="88">
        <v>1</v>
      </c>
      <c r="L6236" s="88"/>
      <c r="M6236" s="88"/>
      <c r="N6236" s="88"/>
      <c r="O6236" s="88"/>
      <c r="P6236" s="88"/>
      <c r="Q6236" s="88"/>
      <c r="R6236" s="78">
        <f>MAX(S6236:W6236)</f>
        <v>0</v>
      </c>
      <c r="S6236" s="88"/>
      <c r="T6236" s="88"/>
      <c r="U6236" s="88"/>
      <c r="V6236" s="88"/>
      <c r="W6236" s="88"/>
    </row>
    <row r="6237" spans="2:23" s="0" customFormat="0" ht="15">
      <c r="B6237" s="87" t="s">
        <v>1</v>
      </c>
      <c r="C6237" s="88" t="s">
        <v>5259</v>
      </c>
      <c r="D6237" s="88" t="s">
        <v>4876</v>
      </c>
      <c r="E6237" s="88" t="s">
        <v>61</v>
      </c>
      <c r="F6237" s="88">
        <v>0</v>
      </c>
      <c r="G6237" s="78">
        <f>MAX(H6237,I6237,J6237)</f>
        <v>0</v>
      </c>
      <c r="H6237" s="88"/>
      <c r="I6237" s="88"/>
      <c r="J6237" s="78">
        <f>MAX(K6237:Q6237)</f>
        <v>0</v>
      </c>
      <c r="K6237" s="88"/>
      <c r="L6237" s="88"/>
      <c r="M6237" s="88"/>
      <c r="N6237" s="88"/>
      <c r="O6237" s="88"/>
      <c r="P6237" s="88"/>
      <c r="Q6237" s="88"/>
      <c r="R6237" s="78">
        <f>MAX(S6237:W6237)</f>
        <v>1</v>
      </c>
      <c r="S6237" s="88"/>
      <c r="T6237" s="88"/>
      <c r="U6237" s="88">
        <v>1</v>
      </c>
      <c r="V6237" s="88"/>
      <c r="W6237" s="88"/>
    </row>
    <row r="6238" spans="2:23" s="0" customFormat="0" ht="15">
      <c r="B6238" s="87" t="s">
        <v>1</v>
      </c>
      <c r="C6238" s="88" t="s">
        <v>5259</v>
      </c>
      <c r="D6238" s="88" t="s">
        <v>3423</v>
      </c>
      <c r="E6238" s="88" t="s">
        <v>61</v>
      </c>
      <c r="F6238" s="88">
        <v>0</v>
      </c>
      <c r="G6238" s="78">
        <f>MAX(H6238,I6238,J6238)</f>
        <v>0</v>
      </c>
      <c r="H6238" s="88"/>
      <c r="I6238" s="88"/>
      <c r="J6238" s="78">
        <f>MAX(K6238:Q6238)</f>
        <v>0</v>
      </c>
      <c r="K6238" s="88"/>
      <c r="L6238" s="88"/>
      <c r="M6238" s="88"/>
      <c r="N6238" s="88"/>
      <c r="O6238" s="88"/>
      <c r="P6238" s="88"/>
      <c r="Q6238" s="88"/>
      <c r="R6238" s="78">
        <f>MAX(S6238:W6238)</f>
        <v>1</v>
      </c>
      <c r="S6238" s="88"/>
      <c r="T6238" s="88"/>
      <c r="U6238" s="88">
        <v>1</v>
      </c>
      <c r="V6238" s="88"/>
      <c r="W6238" s="88"/>
    </row>
    <row r="6239" spans="2:23" s="0" customFormat="0" ht="15">
      <c r="B6239" s="87" t="s">
        <v>1</v>
      </c>
      <c r="C6239" s="88" t="s">
        <v>5259</v>
      </c>
      <c r="D6239" s="88">
        <v>23212108</v>
      </c>
      <c r="E6239" s="88" t="s">
        <v>61</v>
      </c>
      <c r="F6239" s="88">
        <v>0</v>
      </c>
      <c r="G6239" s="78">
        <f>MAX(H6239,I6239,J6239)</f>
        <v>1</v>
      </c>
      <c r="H6239" s="88"/>
      <c r="I6239" s="88"/>
      <c r="J6239" s="78">
        <f>MAX(K6239:Q6239)</f>
        <v>1</v>
      </c>
      <c r="K6239" s="88">
        <v>1</v>
      </c>
      <c r="L6239" s="88"/>
      <c r="M6239" s="88"/>
      <c r="N6239" s="88"/>
      <c r="O6239" s="88"/>
      <c r="P6239" s="88"/>
      <c r="Q6239" s="88"/>
      <c r="R6239" s="78">
        <f>MAX(S6239:W6239)</f>
        <v>0</v>
      </c>
      <c r="S6239" s="88"/>
      <c r="T6239" s="88"/>
      <c r="U6239" s="88"/>
      <c r="V6239" s="88"/>
      <c r="W6239" s="88"/>
    </row>
    <row r="6240" spans="2:23" s="0" customFormat="0" ht="15">
      <c r="B6240" s="87" t="s">
        <v>1</v>
      </c>
      <c r="C6240" s="88" t="s">
        <v>5259</v>
      </c>
      <c r="D6240" s="88" t="s">
        <v>5136</v>
      </c>
      <c r="E6240" s="88" t="s">
        <v>61</v>
      </c>
      <c r="F6240" s="88">
        <v>0</v>
      </c>
      <c r="G6240" s="78">
        <f>MAX(H6240,I6240,J6240)</f>
        <v>0</v>
      </c>
      <c r="H6240" s="88"/>
      <c r="I6240" s="88"/>
      <c r="J6240" s="78">
        <f>MAX(K6240:Q6240)</f>
        <v>0</v>
      </c>
      <c r="K6240" s="88"/>
      <c r="L6240" s="88"/>
      <c r="M6240" s="88"/>
      <c r="N6240" s="88"/>
      <c r="O6240" s="88"/>
      <c r="P6240" s="88"/>
      <c r="Q6240" s="88"/>
      <c r="R6240" s="78">
        <f>MAX(S6240:W6240)</f>
        <v>1</v>
      </c>
      <c r="S6240" s="88"/>
      <c r="T6240" s="88"/>
      <c r="U6240" s="88">
        <v>1</v>
      </c>
      <c r="V6240" s="88"/>
      <c r="W6240" s="88"/>
    </row>
    <row r="6241" spans="2:23" s="0" customFormat="0" ht="15">
      <c r="B6241" s="87" t="s">
        <v>1</v>
      </c>
      <c r="C6241" s="88" t="s">
        <v>5259</v>
      </c>
      <c r="D6241" s="88">
        <v>21105300</v>
      </c>
      <c r="E6241" s="88" t="s">
        <v>61</v>
      </c>
      <c r="F6241" s="88">
        <v>0</v>
      </c>
      <c r="G6241" s="78">
        <f>MAX(H6241,I6241,J6241)</f>
        <v>1</v>
      </c>
      <c r="H6241" s="88"/>
      <c r="I6241" s="88"/>
      <c r="J6241" s="78">
        <f>MAX(K6241:Q6241)</f>
        <v>1</v>
      </c>
      <c r="K6241" s="88">
        <v>1</v>
      </c>
      <c r="L6241" s="88"/>
      <c r="M6241" s="88"/>
      <c r="N6241" s="88"/>
      <c r="O6241" s="88"/>
      <c r="P6241" s="88"/>
      <c r="Q6241" s="88"/>
      <c r="R6241" s="78">
        <f>MAX(S6241:W6241)</f>
        <v>0</v>
      </c>
      <c r="S6241" s="88"/>
      <c r="T6241" s="88"/>
      <c r="U6241" s="88"/>
      <c r="V6241" s="88"/>
      <c r="W6241" s="88"/>
    </row>
    <row r="6242" spans="2:23" s="0" customFormat="0" ht="15">
      <c r="B6242" s="87" t="s">
        <v>1</v>
      </c>
      <c r="C6242" s="88" t="s">
        <v>5259</v>
      </c>
      <c r="D6242" s="88">
        <v>8300495</v>
      </c>
      <c r="E6242" s="88" t="s">
        <v>61</v>
      </c>
      <c r="F6242" s="88">
        <v>0</v>
      </c>
      <c r="G6242" s="78">
        <f>MAX(H6242,I6242,J6242)</f>
        <v>1</v>
      </c>
      <c r="H6242" s="88"/>
      <c r="I6242" s="88"/>
      <c r="J6242" s="78">
        <f>MAX(K6242:Q6242)</f>
        <v>1</v>
      </c>
      <c r="K6242" s="88">
        <v>1</v>
      </c>
      <c r="L6242" s="88"/>
      <c r="M6242" s="88"/>
      <c r="N6242" s="88"/>
      <c r="O6242" s="88"/>
      <c r="P6242" s="88"/>
      <c r="Q6242" s="88"/>
      <c r="R6242" s="78">
        <f>MAX(S6242:W6242)</f>
        <v>0</v>
      </c>
      <c r="S6242" s="88"/>
      <c r="T6242" s="88"/>
      <c r="U6242" s="88"/>
      <c r="V6242" s="88"/>
      <c r="W6242" s="88"/>
    </row>
    <row r="6243" spans="2:23" s="0" customFormat="0" ht="15">
      <c r="B6243" s="87" t="s">
        <v>1</v>
      </c>
      <c r="C6243" s="88" t="s">
        <v>5259</v>
      </c>
      <c r="D6243" s="88">
        <v>18746155</v>
      </c>
      <c r="E6243" s="88" t="s">
        <v>61</v>
      </c>
      <c r="F6243" s="88">
        <v>0</v>
      </c>
      <c r="G6243" s="78">
        <f>MAX(H6243,I6243,J6243)</f>
        <v>0</v>
      </c>
      <c r="H6243" s="88"/>
      <c r="I6243" s="88"/>
      <c r="J6243" s="78">
        <f>MAX(K6243:Q6243)</f>
        <v>0</v>
      </c>
      <c r="K6243" s="88"/>
      <c r="L6243" s="88"/>
      <c r="M6243" s="88"/>
      <c r="N6243" s="88"/>
      <c r="O6243" s="88"/>
      <c r="P6243" s="88"/>
      <c r="Q6243" s="88"/>
      <c r="R6243" s="78">
        <f>MAX(S6243:W6243)</f>
        <v>1</v>
      </c>
      <c r="S6243" s="88"/>
      <c r="T6243" s="88"/>
      <c r="U6243" s="88">
        <v>1</v>
      </c>
      <c r="V6243" s="88"/>
      <c r="W6243" s="88"/>
    </row>
    <row r="6244" spans="2:23" s="0" customFormat="0" ht="15">
      <c r="B6244" s="87" t="s">
        <v>1</v>
      </c>
      <c r="C6244" s="88" t="s">
        <v>5259</v>
      </c>
      <c r="D6244" s="88">
        <v>17147379</v>
      </c>
      <c r="E6244" s="88" t="s">
        <v>61</v>
      </c>
      <c r="F6244" s="88">
        <v>0</v>
      </c>
      <c r="G6244" s="78">
        <f>MAX(H6244,I6244,J6244)</f>
        <v>1</v>
      </c>
      <c r="H6244" s="88"/>
      <c r="I6244" s="88"/>
      <c r="J6244" s="78">
        <f>MAX(K6244:Q6244)</f>
        <v>1</v>
      </c>
      <c r="K6244" s="88">
        <v>1</v>
      </c>
      <c r="L6244" s="88"/>
      <c r="M6244" s="88"/>
      <c r="N6244" s="88"/>
      <c r="O6244" s="88"/>
      <c r="P6244" s="88"/>
      <c r="Q6244" s="88"/>
      <c r="R6244" s="78">
        <f>MAX(S6244:W6244)</f>
        <v>0</v>
      </c>
      <c r="S6244" s="88"/>
      <c r="T6244" s="88"/>
      <c r="U6244" s="88"/>
      <c r="V6244" s="88"/>
      <c r="W6244" s="88"/>
    </row>
    <row r="6245" spans="2:23" s="0" customFormat="0" ht="15">
      <c r="B6245" s="87" t="s">
        <v>1</v>
      </c>
      <c r="C6245" s="88" t="s">
        <v>5259</v>
      </c>
      <c r="D6245" s="88" t="s">
        <v>4610</v>
      </c>
      <c r="E6245" s="88" t="s">
        <v>61</v>
      </c>
      <c r="F6245" s="88">
        <v>0</v>
      </c>
      <c r="G6245" s="78">
        <f>MAX(H6245,I6245,J6245)</f>
        <v>0</v>
      </c>
      <c r="H6245" s="88"/>
      <c r="I6245" s="88"/>
      <c r="J6245" s="78">
        <f>MAX(K6245:Q6245)</f>
        <v>0</v>
      </c>
      <c r="K6245" s="88"/>
      <c r="L6245" s="88"/>
      <c r="M6245" s="88"/>
      <c r="N6245" s="88"/>
      <c r="O6245" s="88"/>
      <c r="P6245" s="88"/>
      <c r="Q6245" s="88"/>
      <c r="R6245" s="78">
        <f>MAX(S6245:W6245)</f>
        <v>1</v>
      </c>
      <c r="S6245" s="88"/>
      <c r="T6245" s="88"/>
      <c r="U6245" s="88">
        <v>1</v>
      </c>
      <c r="V6245" s="88"/>
      <c r="W6245" s="88"/>
    </row>
    <row r="6246" spans="2:23" s="0" customFormat="0" ht="15">
      <c r="B6246" s="87" t="s">
        <v>1</v>
      </c>
      <c r="C6246" s="88" t="s">
        <v>5259</v>
      </c>
      <c r="D6246" s="88">
        <v>994430</v>
      </c>
      <c r="E6246" s="88" t="s">
        <v>61</v>
      </c>
      <c r="F6246" s="88">
        <v>0</v>
      </c>
      <c r="G6246" s="78">
        <f>MAX(H6246,I6246,J6246)</f>
        <v>0</v>
      </c>
      <c r="H6246" s="88"/>
      <c r="I6246" s="88"/>
      <c r="J6246" s="78">
        <f>MAX(K6246:Q6246)</f>
        <v>0</v>
      </c>
      <c r="K6246" s="88"/>
      <c r="L6246" s="88"/>
      <c r="M6246" s="88"/>
      <c r="N6246" s="88"/>
      <c r="O6246" s="88"/>
      <c r="P6246" s="88"/>
      <c r="Q6246" s="88"/>
      <c r="R6246" s="78">
        <f>MAX(S6246:W6246)</f>
        <v>1</v>
      </c>
      <c r="S6246" s="88"/>
      <c r="T6246" s="88"/>
      <c r="U6246" s="88">
        <v>1</v>
      </c>
      <c r="V6246" s="88"/>
      <c r="W6246" s="88"/>
    </row>
    <row r="6247" spans="2:23" s="0" customFormat="0" ht="15">
      <c r="B6247" s="87" t="s">
        <v>1</v>
      </c>
      <c r="C6247" s="88" t="s">
        <v>5259</v>
      </c>
      <c r="D6247" s="88">
        <v>13303727</v>
      </c>
      <c r="E6247" s="88" t="s">
        <v>61</v>
      </c>
      <c r="F6247" s="88">
        <v>0</v>
      </c>
      <c r="G6247" s="78">
        <f>MAX(H6247,I6247,J6247)</f>
        <v>1</v>
      </c>
      <c r="H6247" s="88"/>
      <c r="I6247" s="88"/>
      <c r="J6247" s="78">
        <f>MAX(K6247:Q6247)</f>
        <v>1</v>
      </c>
      <c r="K6247" s="88">
        <v>1</v>
      </c>
      <c r="L6247" s="88"/>
      <c r="M6247" s="88"/>
      <c r="N6247" s="88"/>
      <c r="O6247" s="88"/>
      <c r="P6247" s="88"/>
      <c r="Q6247" s="88"/>
      <c r="R6247" s="78">
        <f>MAX(S6247:W6247)</f>
        <v>0</v>
      </c>
      <c r="S6247" s="88"/>
      <c r="T6247" s="88"/>
      <c r="U6247" s="88"/>
      <c r="V6247" s="88"/>
      <c r="W6247" s="88"/>
    </row>
    <row r="6248" spans="2:23" s="0" customFormat="0" ht="15">
      <c r="B6248" s="87" t="s">
        <v>1</v>
      </c>
      <c r="C6248" s="88" t="s">
        <v>5259</v>
      </c>
      <c r="D6248" s="88">
        <v>18091439</v>
      </c>
      <c r="E6248" s="88" t="s">
        <v>61</v>
      </c>
      <c r="F6248" s="88">
        <v>0</v>
      </c>
      <c r="G6248" s="78">
        <f>MAX(H6248,I6248,J6248)</f>
        <v>1</v>
      </c>
      <c r="H6248" s="88"/>
      <c r="I6248" s="88"/>
      <c r="J6248" s="78">
        <f>MAX(K6248:Q6248)</f>
        <v>1</v>
      </c>
      <c r="K6248" s="88">
        <v>1</v>
      </c>
      <c r="L6248" s="88"/>
      <c r="M6248" s="88"/>
      <c r="N6248" s="88"/>
      <c r="O6248" s="88"/>
      <c r="P6248" s="88"/>
      <c r="Q6248" s="88"/>
      <c r="R6248" s="78">
        <f>MAX(S6248:W6248)</f>
        <v>0</v>
      </c>
      <c r="S6248" s="88"/>
      <c r="T6248" s="88"/>
      <c r="U6248" s="88"/>
      <c r="V6248" s="88"/>
      <c r="W6248" s="88"/>
    </row>
    <row r="6249" spans="2:23" s="0" customFormat="0" ht="15">
      <c r="B6249" s="87" t="s">
        <v>1</v>
      </c>
      <c r="C6249" s="88" t="s">
        <v>5259</v>
      </c>
      <c r="D6249" s="88">
        <v>4797555</v>
      </c>
      <c r="E6249" s="88" t="s">
        <v>61</v>
      </c>
      <c r="F6249" s="88">
        <v>0</v>
      </c>
      <c r="G6249" s="78">
        <f>MAX(H6249,I6249,J6249)</f>
        <v>0</v>
      </c>
      <c r="H6249" s="88"/>
      <c r="I6249" s="88"/>
      <c r="J6249" s="78">
        <f>MAX(K6249:Q6249)</f>
        <v>0</v>
      </c>
      <c r="K6249" s="88"/>
      <c r="L6249" s="88"/>
      <c r="M6249" s="88"/>
      <c r="N6249" s="88"/>
      <c r="O6249" s="88"/>
      <c r="P6249" s="88"/>
      <c r="Q6249" s="88"/>
      <c r="R6249" s="78">
        <f>MAX(S6249:W6249)</f>
        <v>1</v>
      </c>
      <c r="S6249" s="88"/>
      <c r="T6249" s="88"/>
      <c r="U6249" s="88">
        <v>1</v>
      </c>
      <c r="V6249" s="88"/>
      <c r="W6249" s="88"/>
    </row>
    <row r="6250" spans="2:23" s="0" customFormat="0" ht="15">
      <c r="B6250" s="87" t="s">
        <v>1</v>
      </c>
      <c r="C6250" s="88" t="s">
        <v>5259</v>
      </c>
      <c r="D6250" s="88" t="s">
        <v>3342</v>
      </c>
      <c r="E6250" s="88" t="s">
        <v>61</v>
      </c>
      <c r="F6250" s="88">
        <v>0</v>
      </c>
      <c r="G6250" s="78">
        <f>MAX(H6250,I6250,J6250)</f>
        <v>0</v>
      </c>
      <c r="H6250" s="88"/>
      <c r="I6250" s="88"/>
      <c r="J6250" s="78">
        <f>MAX(K6250:Q6250)</f>
        <v>0</v>
      </c>
      <c r="K6250" s="88"/>
      <c r="L6250" s="88"/>
      <c r="M6250" s="88"/>
      <c r="N6250" s="88"/>
      <c r="O6250" s="88"/>
      <c r="P6250" s="88"/>
      <c r="Q6250" s="88"/>
      <c r="R6250" s="78">
        <f>MAX(S6250:W6250)</f>
        <v>1</v>
      </c>
      <c r="S6250" s="88"/>
      <c r="T6250" s="88"/>
      <c r="U6250" s="88">
        <v>1</v>
      </c>
      <c r="V6250" s="88"/>
      <c r="W6250" s="88"/>
    </row>
    <row r="6251" spans="2:23" s="0" customFormat="0" ht="15">
      <c r="B6251" s="87" t="s">
        <v>1</v>
      </c>
      <c r="C6251" s="88" t="s">
        <v>5259</v>
      </c>
      <c r="D6251" s="88" t="s">
        <v>3317</v>
      </c>
      <c r="E6251" s="88" t="s">
        <v>61</v>
      </c>
      <c r="F6251" s="88">
        <v>0</v>
      </c>
      <c r="G6251" s="78">
        <f>MAX(H6251,I6251,J6251)</f>
        <v>0</v>
      </c>
      <c r="H6251" s="88"/>
      <c r="I6251" s="88"/>
      <c r="J6251" s="78">
        <f>MAX(K6251:Q6251)</f>
        <v>0</v>
      </c>
      <c r="K6251" s="88"/>
      <c r="L6251" s="88"/>
      <c r="M6251" s="88"/>
      <c r="N6251" s="88"/>
      <c r="O6251" s="88"/>
      <c r="P6251" s="88"/>
      <c r="Q6251" s="88"/>
      <c r="R6251" s="78">
        <f>MAX(S6251:W6251)</f>
        <v>1</v>
      </c>
      <c r="S6251" s="88"/>
      <c r="T6251" s="88"/>
      <c r="U6251" s="88">
        <v>1</v>
      </c>
      <c r="V6251" s="88"/>
      <c r="W6251" s="88"/>
    </row>
    <row r="6252" spans="2:23" s="0" customFormat="0" ht="15">
      <c r="B6252" s="87" t="s">
        <v>1</v>
      </c>
      <c r="C6252" s="88" t="s">
        <v>5259</v>
      </c>
      <c r="D6252" s="88" t="s">
        <v>655</v>
      </c>
      <c r="E6252" s="88" t="s">
        <v>61</v>
      </c>
      <c r="F6252" s="88">
        <v>0</v>
      </c>
      <c r="G6252" s="78">
        <f>MAX(H6252,I6252,J6252)</f>
        <v>1</v>
      </c>
      <c r="H6252" s="88"/>
      <c r="I6252" s="88"/>
      <c r="J6252" s="78">
        <f>MAX(K6252:Q6252)</f>
        <v>1</v>
      </c>
      <c r="K6252" s="88">
        <v>1</v>
      </c>
      <c r="L6252" s="88"/>
      <c r="M6252" s="88"/>
      <c r="N6252" s="88"/>
      <c r="O6252" s="88"/>
      <c r="P6252" s="88"/>
      <c r="Q6252" s="88"/>
      <c r="R6252" s="78">
        <f>MAX(S6252:W6252)</f>
        <v>0</v>
      </c>
      <c r="S6252" s="88"/>
      <c r="T6252" s="88"/>
      <c r="U6252" s="88"/>
      <c r="V6252" s="88"/>
      <c r="W6252" s="88"/>
    </row>
    <row r="6253" spans="2:23" s="0" customFormat="0" ht="15">
      <c r="B6253" s="87" t="s">
        <v>1</v>
      </c>
      <c r="C6253" s="88" t="s">
        <v>5259</v>
      </c>
      <c r="D6253" s="88" t="s">
        <v>5204</v>
      </c>
      <c r="E6253" s="88" t="s">
        <v>61</v>
      </c>
      <c r="F6253" s="88">
        <v>0</v>
      </c>
      <c r="G6253" s="78">
        <f>MAX(H6253,I6253,J6253)</f>
        <v>0</v>
      </c>
      <c r="H6253" s="88"/>
      <c r="I6253" s="88"/>
      <c r="J6253" s="78">
        <f>MAX(K6253:Q6253)</f>
        <v>0</v>
      </c>
      <c r="K6253" s="88"/>
      <c r="L6253" s="88"/>
      <c r="M6253" s="88"/>
      <c r="N6253" s="88"/>
      <c r="O6253" s="88"/>
      <c r="P6253" s="88"/>
      <c r="Q6253" s="88"/>
      <c r="R6253" s="78">
        <f>MAX(S6253:W6253)</f>
        <v>1</v>
      </c>
      <c r="S6253" s="88"/>
      <c r="T6253" s="88"/>
      <c r="U6253" s="88">
        <v>1</v>
      </c>
      <c r="V6253" s="88"/>
      <c r="W6253" s="88"/>
    </row>
    <row r="6254" spans="2:23" s="0" customFormat="0" ht="15">
      <c r="B6254" s="87" t="s">
        <v>1</v>
      </c>
      <c r="C6254" s="88" t="s">
        <v>5259</v>
      </c>
      <c r="D6254" s="88">
        <v>15774249</v>
      </c>
      <c r="E6254" s="88" t="s">
        <v>61</v>
      </c>
      <c r="F6254" s="88">
        <v>0</v>
      </c>
      <c r="G6254" s="78">
        <f>MAX(H6254,I6254,J6254)</f>
        <v>1</v>
      </c>
      <c r="H6254" s="88"/>
      <c r="I6254" s="88"/>
      <c r="J6254" s="78">
        <f>MAX(K6254:Q6254)</f>
        <v>1</v>
      </c>
      <c r="K6254" s="88">
        <v>1</v>
      </c>
      <c r="L6254" s="88"/>
      <c r="M6254" s="88"/>
      <c r="N6254" s="88"/>
      <c r="O6254" s="88"/>
      <c r="P6254" s="88"/>
      <c r="Q6254" s="88"/>
      <c r="R6254" s="78">
        <f>MAX(S6254:W6254)</f>
        <v>0</v>
      </c>
      <c r="S6254" s="88"/>
      <c r="T6254" s="88"/>
      <c r="U6254" s="88"/>
      <c r="V6254" s="88"/>
      <c r="W6254" s="88"/>
    </row>
    <row r="6255" spans="2:23" s="0" customFormat="0" ht="15">
      <c r="B6255" s="87" t="s">
        <v>1</v>
      </c>
      <c r="C6255" s="88" t="s">
        <v>5259</v>
      </c>
      <c r="D6255" s="88">
        <v>9529859</v>
      </c>
      <c r="E6255" s="88" t="s">
        <v>61</v>
      </c>
      <c r="F6255" s="88">
        <v>0</v>
      </c>
      <c r="G6255" s="78">
        <f>MAX(H6255,I6255,J6255)</f>
        <v>1</v>
      </c>
      <c r="H6255" s="88"/>
      <c r="I6255" s="88"/>
      <c r="J6255" s="78">
        <f>MAX(K6255:Q6255)</f>
        <v>1</v>
      </c>
      <c r="K6255" s="88">
        <v>1</v>
      </c>
      <c r="L6255" s="88"/>
      <c r="M6255" s="88"/>
      <c r="N6255" s="88"/>
      <c r="O6255" s="88"/>
      <c r="P6255" s="88"/>
      <c r="Q6255" s="88"/>
      <c r="R6255" s="78">
        <f>MAX(S6255:W6255)</f>
        <v>0</v>
      </c>
      <c r="S6255" s="88"/>
      <c r="T6255" s="88"/>
      <c r="U6255" s="88"/>
      <c r="V6255" s="88"/>
      <c r="W6255" s="88"/>
    </row>
    <row r="6256" spans="2:23" s="0" customFormat="0" ht="15">
      <c r="B6256" s="87" t="s">
        <v>1</v>
      </c>
      <c r="C6256" s="88" t="s">
        <v>5259</v>
      </c>
      <c r="D6256" s="88">
        <v>7505292</v>
      </c>
      <c r="E6256" s="88" t="s">
        <v>61</v>
      </c>
      <c r="F6256" s="88">
        <v>0</v>
      </c>
      <c r="G6256" s="78">
        <f>MAX(H6256,I6256,J6256)</f>
        <v>1</v>
      </c>
      <c r="H6256" s="88"/>
      <c r="I6256" s="88"/>
      <c r="J6256" s="78">
        <f>MAX(K6256:Q6256)</f>
        <v>1</v>
      </c>
      <c r="K6256" s="88">
        <v>1</v>
      </c>
      <c r="L6256" s="88"/>
      <c r="M6256" s="88"/>
      <c r="N6256" s="88"/>
      <c r="O6256" s="88"/>
      <c r="P6256" s="88"/>
      <c r="Q6256" s="88"/>
      <c r="R6256" s="78">
        <f>MAX(S6256:W6256)</f>
        <v>0</v>
      </c>
      <c r="S6256" s="88"/>
      <c r="T6256" s="88"/>
      <c r="U6256" s="88"/>
      <c r="V6256" s="88"/>
      <c r="W6256" s="88"/>
    </row>
    <row r="6257" spans="2:23" s="0" customFormat="0" ht="15">
      <c r="B6257" s="87" t="s">
        <v>1</v>
      </c>
      <c r="C6257" s="88" t="s">
        <v>5259</v>
      </c>
      <c r="D6257" s="88">
        <v>22843188</v>
      </c>
      <c r="E6257" s="88" t="s">
        <v>61</v>
      </c>
      <c r="F6257" s="88">
        <v>0</v>
      </c>
      <c r="G6257" s="78">
        <f>MAX(H6257,I6257,J6257)</f>
        <v>1</v>
      </c>
      <c r="H6257" s="88"/>
      <c r="I6257" s="88"/>
      <c r="J6257" s="78">
        <f>MAX(K6257:Q6257)</f>
        <v>1</v>
      </c>
      <c r="K6257" s="88">
        <v>1</v>
      </c>
      <c r="L6257" s="88"/>
      <c r="M6257" s="88"/>
      <c r="N6257" s="88"/>
      <c r="O6257" s="88"/>
      <c r="P6257" s="88"/>
      <c r="Q6257" s="88"/>
      <c r="R6257" s="78">
        <f>MAX(S6257:W6257)</f>
        <v>0</v>
      </c>
      <c r="S6257" s="88"/>
      <c r="T6257" s="88"/>
      <c r="U6257" s="88"/>
      <c r="V6257" s="88"/>
      <c r="W6257" s="88"/>
    </row>
    <row r="6258" spans="2:23" s="0" customFormat="0" ht="15">
      <c r="B6258" s="87" t="s">
        <v>1</v>
      </c>
      <c r="C6258" s="88" t="s">
        <v>5259</v>
      </c>
      <c r="D6258" s="88">
        <v>21483226</v>
      </c>
      <c r="E6258" s="88" t="s">
        <v>61</v>
      </c>
      <c r="F6258" s="88">
        <v>0</v>
      </c>
      <c r="G6258" s="78">
        <f>MAX(H6258,I6258,J6258)</f>
        <v>1</v>
      </c>
      <c r="H6258" s="88"/>
      <c r="I6258" s="88"/>
      <c r="J6258" s="78">
        <f>MAX(K6258:Q6258)</f>
        <v>1</v>
      </c>
      <c r="K6258" s="88">
        <v>1</v>
      </c>
      <c r="L6258" s="88"/>
      <c r="M6258" s="88"/>
      <c r="N6258" s="88"/>
      <c r="O6258" s="88"/>
      <c r="P6258" s="88"/>
      <c r="Q6258" s="88"/>
      <c r="R6258" s="78">
        <f>MAX(S6258:W6258)</f>
        <v>0</v>
      </c>
      <c r="S6258" s="88"/>
      <c r="T6258" s="88"/>
      <c r="U6258" s="88"/>
      <c r="V6258" s="88"/>
      <c r="W6258" s="88"/>
    </row>
    <row r="6259" spans="2:23" s="0" customFormat="0" ht="15">
      <c r="B6259" s="87" t="s">
        <v>1</v>
      </c>
      <c r="C6259" s="88" t="s">
        <v>5259</v>
      </c>
      <c r="D6259" s="88">
        <v>15477150</v>
      </c>
      <c r="E6259" s="88" t="s">
        <v>61</v>
      </c>
      <c r="F6259" s="88">
        <v>0</v>
      </c>
      <c r="G6259" s="78">
        <f>MAX(H6259,I6259,J6259)</f>
        <v>1</v>
      </c>
      <c r="H6259" s="88"/>
      <c r="I6259" s="88"/>
      <c r="J6259" s="78">
        <f>MAX(K6259:Q6259)</f>
        <v>1</v>
      </c>
      <c r="K6259" s="88">
        <v>1</v>
      </c>
      <c r="L6259" s="88"/>
      <c r="M6259" s="88"/>
      <c r="N6259" s="88"/>
      <c r="O6259" s="88"/>
      <c r="P6259" s="88"/>
      <c r="Q6259" s="88"/>
      <c r="R6259" s="78">
        <f>MAX(S6259:W6259)</f>
        <v>0</v>
      </c>
      <c r="S6259" s="88"/>
      <c r="T6259" s="88"/>
      <c r="U6259" s="88"/>
      <c r="V6259" s="88"/>
      <c r="W6259" s="88"/>
    </row>
    <row r="6260" spans="2:23" s="0" customFormat="0" ht="15">
      <c r="B6260" s="87" t="s">
        <v>1</v>
      </c>
      <c r="C6260" s="88" t="s">
        <v>5259</v>
      </c>
      <c r="D6260" s="88">
        <v>21722262</v>
      </c>
      <c r="E6260" s="88" t="s">
        <v>61</v>
      </c>
      <c r="F6260" s="88">
        <v>0</v>
      </c>
      <c r="G6260" s="78">
        <f>MAX(H6260,I6260,J6260)</f>
        <v>1</v>
      </c>
      <c r="H6260" s="88"/>
      <c r="I6260" s="88"/>
      <c r="J6260" s="78">
        <f>MAX(K6260:Q6260)</f>
        <v>1</v>
      </c>
      <c r="K6260" s="88">
        <v>1</v>
      </c>
      <c r="L6260" s="88"/>
      <c r="M6260" s="88"/>
      <c r="N6260" s="88"/>
      <c r="O6260" s="88"/>
      <c r="P6260" s="88"/>
      <c r="Q6260" s="88"/>
      <c r="R6260" s="78">
        <f>MAX(S6260:W6260)</f>
        <v>0</v>
      </c>
      <c r="S6260" s="88"/>
      <c r="T6260" s="88"/>
      <c r="U6260" s="88"/>
      <c r="V6260" s="88"/>
      <c r="W6260" s="88"/>
    </row>
    <row r="6261" spans="2:23" s="0" customFormat="0" ht="15">
      <c r="B6261" s="87" t="s">
        <v>1</v>
      </c>
      <c r="C6261" s="88" t="s">
        <v>5259</v>
      </c>
      <c r="D6261" s="88">
        <v>12962685</v>
      </c>
      <c r="E6261" s="88" t="s">
        <v>61</v>
      </c>
      <c r="F6261" s="88">
        <v>0</v>
      </c>
      <c r="G6261" s="78">
        <f>MAX(H6261,I6261,J6261)</f>
        <v>1</v>
      </c>
      <c r="H6261" s="88"/>
      <c r="I6261" s="88"/>
      <c r="J6261" s="78">
        <f>MAX(K6261:Q6261)</f>
        <v>1</v>
      </c>
      <c r="K6261" s="88">
        <v>1</v>
      </c>
      <c r="L6261" s="88"/>
      <c r="M6261" s="88"/>
      <c r="N6261" s="88"/>
      <c r="O6261" s="88"/>
      <c r="P6261" s="88"/>
      <c r="Q6261" s="88"/>
      <c r="R6261" s="78">
        <f>MAX(S6261:W6261)</f>
        <v>0</v>
      </c>
      <c r="S6261" s="88"/>
      <c r="T6261" s="88"/>
      <c r="U6261" s="88"/>
      <c r="V6261" s="88"/>
      <c r="W6261" s="88"/>
    </row>
    <row r="6262" spans="2:23" s="0" customFormat="0" ht="15">
      <c r="B6262" s="87" t="s">
        <v>1</v>
      </c>
      <c r="C6262" s="88" t="s">
        <v>5259</v>
      </c>
      <c r="D6262" s="88">
        <v>9126831</v>
      </c>
      <c r="E6262" s="88" t="s">
        <v>61</v>
      </c>
      <c r="F6262" s="88">
        <v>0</v>
      </c>
      <c r="G6262" s="78">
        <f>MAX(H6262,I6262,J6262)</f>
        <v>1</v>
      </c>
      <c r="H6262" s="88"/>
      <c r="I6262" s="88"/>
      <c r="J6262" s="78">
        <f>MAX(K6262:Q6262)</f>
        <v>1</v>
      </c>
      <c r="K6262" s="88">
        <v>1</v>
      </c>
      <c r="L6262" s="88"/>
      <c r="M6262" s="88"/>
      <c r="N6262" s="88"/>
      <c r="O6262" s="88"/>
      <c r="P6262" s="88"/>
      <c r="Q6262" s="88"/>
      <c r="R6262" s="78">
        <f>MAX(S6262:W6262)</f>
        <v>0</v>
      </c>
      <c r="S6262" s="88"/>
      <c r="T6262" s="88"/>
      <c r="U6262" s="88"/>
      <c r="V6262" s="88"/>
      <c r="W6262" s="88"/>
    </row>
    <row r="6263" spans="2:23" s="0" customFormat="0" ht="15">
      <c r="B6263" s="87" t="s">
        <v>1</v>
      </c>
      <c r="C6263" s="88" t="s">
        <v>5259</v>
      </c>
      <c r="D6263" s="88" t="s">
        <v>1095</v>
      </c>
      <c r="E6263" s="88" t="s">
        <v>61</v>
      </c>
      <c r="F6263" s="88">
        <v>0</v>
      </c>
      <c r="G6263" s="78">
        <f>MAX(H6263,I6263,J6263)</f>
        <v>1</v>
      </c>
      <c r="H6263" s="88"/>
      <c r="I6263" s="88"/>
      <c r="J6263" s="78">
        <f>MAX(K6263:Q6263)</f>
        <v>1</v>
      </c>
      <c r="K6263" s="88">
        <v>1</v>
      </c>
      <c r="L6263" s="88"/>
      <c r="M6263" s="88"/>
      <c r="N6263" s="88"/>
      <c r="O6263" s="88"/>
      <c r="P6263" s="88"/>
      <c r="Q6263" s="88"/>
      <c r="R6263" s="78">
        <f>MAX(S6263:W6263)</f>
        <v>0</v>
      </c>
      <c r="S6263" s="88"/>
      <c r="T6263" s="88"/>
      <c r="U6263" s="88"/>
      <c r="V6263" s="88"/>
      <c r="W6263" s="88"/>
    </row>
    <row r="6264" spans="2:23" s="0" customFormat="0" ht="15">
      <c r="B6264" s="87" t="s">
        <v>1</v>
      </c>
      <c r="C6264" s="88" t="s">
        <v>5259</v>
      </c>
      <c r="D6264" s="88">
        <v>19602322</v>
      </c>
      <c r="E6264" s="88" t="s">
        <v>61</v>
      </c>
      <c r="F6264" s="88">
        <v>0</v>
      </c>
      <c r="G6264" s="78">
        <f>MAX(H6264,I6264,J6264)</f>
        <v>1</v>
      </c>
      <c r="H6264" s="88"/>
      <c r="I6264" s="88"/>
      <c r="J6264" s="78">
        <f>MAX(K6264:Q6264)</f>
        <v>1</v>
      </c>
      <c r="K6264" s="88">
        <v>1</v>
      </c>
      <c r="L6264" s="88"/>
      <c r="M6264" s="88"/>
      <c r="N6264" s="88"/>
      <c r="O6264" s="88"/>
      <c r="P6264" s="88"/>
      <c r="Q6264" s="88"/>
      <c r="R6264" s="78">
        <f>MAX(S6264:W6264)</f>
        <v>0</v>
      </c>
      <c r="S6264" s="88"/>
      <c r="T6264" s="88"/>
      <c r="U6264" s="88"/>
      <c r="V6264" s="88"/>
      <c r="W6264" s="88"/>
    </row>
    <row r="6265" spans="2:23" s="0" customFormat="0" ht="15">
      <c r="B6265" s="87" t="s">
        <v>1</v>
      </c>
      <c r="C6265" s="88" t="s">
        <v>5259</v>
      </c>
      <c r="D6265" s="88">
        <v>12544779</v>
      </c>
      <c r="E6265" s="88" t="s">
        <v>61</v>
      </c>
      <c r="F6265" s="88">
        <v>0</v>
      </c>
      <c r="G6265" s="78">
        <f>MAX(H6265,I6265,J6265)</f>
        <v>1</v>
      </c>
      <c r="H6265" s="88"/>
      <c r="I6265" s="88"/>
      <c r="J6265" s="78">
        <f>MAX(K6265:Q6265)</f>
        <v>1</v>
      </c>
      <c r="K6265" s="88">
        <v>1</v>
      </c>
      <c r="L6265" s="88"/>
      <c r="M6265" s="88"/>
      <c r="N6265" s="88"/>
      <c r="O6265" s="88"/>
      <c r="P6265" s="88"/>
      <c r="Q6265" s="88"/>
      <c r="R6265" s="78">
        <f>MAX(S6265:W6265)</f>
        <v>0</v>
      </c>
      <c r="S6265" s="88"/>
      <c r="T6265" s="88"/>
      <c r="U6265" s="88"/>
      <c r="V6265" s="88"/>
      <c r="W6265" s="88"/>
    </row>
    <row r="6266" spans="2:23" s="0" customFormat="0" ht="15">
      <c r="B6266" s="87" t="s">
        <v>1</v>
      </c>
      <c r="C6266" s="88" t="s">
        <v>5259</v>
      </c>
      <c r="D6266" s="88">
        <v>22554189</v>
      </c>
      <c r="E6266" s="88" t="s">
        <v>61</v>
      </c>
      <c r="F6266" s="88">
        <v>0</v>
      </c>
      <c r="G6266" s="78">
        <f>MAX(H6266,I6266,J6266)</f>
        <v>0</v>
      </c>
      <c r="H6266" s="88"/>
      <c r="I6266" s="88"/>
      <c r="J6266" s="78">
        <f>MAX(K6266:Q6266)</f>
        <v>0</v>
      </c>
      <c r="K6266" s="88"/>
      <c r="L6266" s="88"/>
      <c r="M6266" s="88"/>
      <c r="N6266" s="88"/>
      <c r="O6266" s="88"/>
      <c r="P6266" s="88"/>
      <c r="Q6266" s="88"/>
      <c r="R6266" s="78">
        <f>MAX(S6266:W6266)</f>
        <v>1</v>
      </c>
      <c r="S6266" s="88"/>
      <c r="T6266" s="88"/>
      <c r="U6266" s="88">
        <v>1</v>
      </c>
      <c r="V6266" s="88"/>
      <c r="W6266" s="88"/>
    </row>
    <row r="6267" spans="2:23" s="0" customFormat="0" ht="15">
      <c r="B6267" s="87" t="s">
        <v>1</v>
      </c>
      <c r="C6267" s="88" t="s">
        <v>5259</v>
      </c>
      <c r="D6267" s="88" t="s">
        <v>4975</v>
      </c>
      <c r="E6267" s="88" t="s">
        <v>61</v>
      </c>
      <c r="F6267" s="88">
        <v>0</v>
      </c>
      <c r="G6267" s="78">
        <f>MAX(H6267,I6267,J6267)</f>
        <v>0</v>
      </c>
      <c r="H6267" s="88"/>
      <c r="I6267" s="88"/>
      <c r="J6267" s="78">
        <f>MAX(K6267:Q6267)</f>
        <v>0</v>
      </c>
      <c r="K6267" s="88"/>
      <c r="L6267" s="88"/>
      <c r="M6267" s="88"/>
      <c r="N6267" s="88"/>
      <c r="O6267" s="88"/>
      <c r="P6267" s="88"/>
      <c r="Q6267" s="88"/>
      <c r="R6267" s="78">
        <f>MAX(S6267:W6267)</f>
        <v>1</v>
      </c>
      <c r="S6267" s="88"/>
      <c r="T6267" s="88"/>
      <c r="U6267" s="88">
        <v>1</v>
      </c>
      <c r="V6267" s="88"/>
      <c r="W6267" s="88"/>
    </row>
    <row r="6268" spans="2:23" s="0" customFormat="0" ht="15">
      <c r="B6268" s="87" t="s">
        <v>1</v>
      </c>
      <c r="C6268" s="88" t="s">
        <v>5259</v>
      </c>
      <c r="D6268" s="88" t="s">
        <v>2986</v>
      </c>
      <c r="E6268" s="88" t="s">
        <v>61</v>
      </c>
      <c r="F6268" s="88">
        <v>0</v>
      </c>
      <c r="G6268" s="78">
        <f>MAX(H6268,I6268,J6268)</f>
        <v>1</v>
      </c>
      <c r="H6268" s="88"/>
      <c r="I6268" s="88"/>
      <c r="J6268" s="78">
        <f>MAX(K6268:Q6268)</f>
        <v>1</v>
      </c>
      <c r="K6268" s="88">
        <v>1</v>
      </c>
      <c r="L6268" s="88"/>
      <c r="M6268" s="88"/>
      <c r="N6268" s="88"/>
      <c r="O6268" s="88"/>
      <c r="P6268" s="88"/>
      <c r="Q6268" s="88"/>
      <c r="R6268" s="78">
        <f>MAX(S6268:W6268)</f>
        <v>0</v>
      </c>
      <c r="S6268" s="88"/>
      <c r="T6268" s="88"/>
      <c r="U6268" s="88"/>
      <c r="V6268" s="88"/>
      <c r="W6268" s="88"/>
    </row>
    <row r="6269" spans="2:23" s="0" customFormat="0" ht="15">
      <c r="B6269" s="87" t="s">
        <v>1</v>
      </c>
      <c r="C6269" s="88" t="s">
        <v>5259</v>
      </c>
      <c r="D6269" s="88">
        <v>11986935</v>
      </c>
      <c r="E6269" s="88" t="s">
        <v>61</v>
      </c>
      <c r="F6269" s="88">
        <v>0</v>
      </c>
      <c r="G6269" s="78">
        <f>MAX(H6269,I6269,J6269)</f>
        <v>1</v>
      </c>
      <c r="H6269" s="88"/>
      <c r="I6269" s="88"/>
      <c r="J6269" s="78">
        <f>MAX(K6269:Q6269)</f>
        <v>1</v>
      </c>
      <c r="K6269" s="88">
        <v>1</v>
      </c>
      <c r="L6269" s="88"/>
      <c r="M6269" s="88"/>
      <c r="N6269" s="88"/>
      <c r="O6269" s="88"/>
      <c r="P6269" s="88"/>
      <c r="Q6269" s="88"/>
      <c r="R6269" s="78">
        <f>MAX(S6269:W6269)</f>
        <v>0</v>
      </c>
      <c r="S6269" s="88"/>
      <c r="T6269" s="88"/>
      <c r="U6269" s="88"/>
      <c r="V6269" s="88"/>
      <c r="W6269" s="88"/>
    </row>
    <row r="6270" spans="2:23" s="0" customFormat="0" ht="15">
      <c r="B6270" s="87" t="s">
        <v>1</v>
      </c>
      <c r="C6270" s="88" t="s">
        <v>5259</v>
      </c>
      <c r="D6270" s="88" t="s">
        <v>923</v>
      </c>
      <c r="E6270" s="88" t="s">
        <v>61</v>
      </c>
      <c r="F6270" s="88">
        <v>0</v>
      </c>
      <c r="G6270" s="78">
        <f>MAX(H6270,I6270,J6270)</f>
        <v>1</v>
      </c>
      <c r="H6270" s="88"/>
      <c r="I6270" s="88"/>
      <c r="J6270" s="78">
        <f>MAX(K6270:Q6270)</f>
        <v>1</v>
      </c>
      <c r="K6270" s="88">
        <v>1</v>
      </c>
      <c r="L6270" s="88"/>
      <c r="M6270" s="88"/>
      <c r="N6270" s="88"/>
      <c r="O6270" s="88"/>
      <c r="P6270" s="88"/>
      <c r="Q6270" s="88"/>
      <c r="R6270" s="78">
        <f>MAX(S6270:W6270)</f>
        <v>0</v>
      </c>
      <c r="S6270" s="88"/>
      <c r="T6270" s="88"/>
      <c r="U6270" s="88"/>
      <c r="V6270" s="88"/>
      <c r="W6270" s="88"/>
    </row>
    <row r="6271" spans="2:23" s="0" customFormat="0" ht="15">
      <c r="B6271" s="87" t="s">
        <v>1</v>
      </c>
      <c r="C6271" s="88" t="s">
        <v>5259</v>
      </c>
      <c r="D6271" s="88">
        <v>12077015</v>
      </c>
      <c r="E6271" s="88" t="s">
        <v>61</v>
      </c>
      <c r="F6271" s="88">
        <v>0</v>
      </c>
      <c r="G6271" s="78">
        <f>MAX(H6271,I6271,J6271)</f>
        <v>1</v>
      </c>
      <c r="H6271" s="88"/>
      <c r="I6271" s="88"/>
      <c r="J6271" s="78">
        <f>MAX(K6271:Q6271)</f>
        <v>1</v>
      </c>
      <c r="K6271" s="88">
        <v>1</v>
      </c>
      <c r="L6271" s="88"/>
      <c r="M6271" s="88"/>
      <c r="N6271" s="88"/>
      <c r="O6271" s="88"/>
      <c r="P6271" s="88"/>
      <c r="Q6271" s="88"/>
      <c r="R6271" s="78">
        <f>MAX(S6271:W6271)</f>
        <v>0</v>
      </c>
      <c r="S6271" s="88"/>
      <c r="T6271" s="88"/>
      <c r="U6271" s="88"/>
      <c r="V6271" s="88"/>
      <c r="W6271" s="88"/>
    </row>
    <row r="6272" spans="2:23" s="0" customFormat="0" ht="15">
      <c r="B6272" s="87" t="s">
        <v>1</v>
      </c>
      <c r="C6272" s="88" t="s">
        <v>5259</v>
      </c>
      <c r="D6272" s="88">
        <v>14954581</v>
      </c>
      <c r="E6272" s="88" t="s">
        <v>61</v>
      </c>
      <c r="F6272" s="88">
        <v>0</v>
      </c>
      <c r="G6272" s="78">
        <f>MAX(H6272,I6272,J6272)</f>
        <v>0</v>
      </c>
      <c r="H6272" s="88"/>
      <c r="I6272" s="88"/>
      <c r="J6272" s="78">
        <f>MAX(K6272:Q6272)</f>
        <v>0</v>
      </c>
      <c r="K6272" s="88"/>
      <c r="L6272" s="88"/>
      <c r="M6272" s="88"/>
      <c r="N6272" s="88"/>
      <c r="O6272" s="88"/>
      <c r="P6272" s="88"/>
      <c r="Q6272" s="88"/>
      <c r="R6272" s="78">
        <f>MAX(S6272:W6272)</f>
        <v>1</v>
      </c>
      <c r="S6272" s="88"/>
      <c r="T6272" s="88"/>
      <c r="U6272" s="88">
        <v>1</v>
      </c>
      <c r="V6272" s="88"/>
      <c r="W6272" s="88"/>
    </row>
    <row r="6273" spans="2:23" s="0" customFormat="0" ht="15">
      <c r="B6273" s="87" t="s">
        <v>1</v>
      </c>
      <c r="C6273" s="88" t="s">
        <v>5259</v>
      </c>
      <c r="D6273" s="88" t="s">
        <v>2550</v>
      </c>
      <c r="E6273" s="88" t="s">
        <v>61</v>
      </c>
      <c r="F6273" s="88">
        <v>0</v>
      </c>
      <c r="G6273" s="78">
        <f>MAX(H6273,I6273,J6273)</f>
        <v>1</v>
      </c>
      <c r="H6273" s="88"/>
      <c r="I6273" s="88"/>
      <c r="J6273" s="78">
        <f>MAX(K6273:Q6273)</f>
        <v>1</v>
      </c>
      <c r="K6273" s="88">
        <v>1</v>
      </c>
      <c r="L6273" s="88"/>
      <c r="M6273" s="88"/>
      <c r="N6273" s="88"/>
      <c r="O6273" s="88"/>
      <c r="P6273" s="88"/>
      <c r="Q6273" s="88"/>
      <c r="R6273" s="78">
        <f>MAX(S6273:W6273)</f>
        <v>0</v>
      </c>
      <c r="S6273" s="88"/>
      <c r="T6273" s="88"/>
      <c r="U6273" s="88"/>
      <c r="V6273" s="88"/>
      <c r="W6273" s="88"/>
    </row>
    <row r="6274" spans="2:23" s="0" customFormat="0" ht="15">
      <c r="B6274" s="87" t="s">
        <v>1</v>
      </c>
      <c r="C6274" s="88" t="s">
        <v>5259</v>
      </c>
      <c r="D6274" s="88">
        <v>19133186</v>
      </c>
      <c r="E6274" s="88" t="s">
        <v>61</v>
      </c>
      <c r="F6274" s="88">
        <v>0</v>
      </c>
      <c r="G6274" s="78">
        <f>MAX(H6274,I6274,J6274)</f>
        <v>1</v>
      </c>
      <c r="H6274" s="88"/>
      <c r="I6274" s="88"/>
      <c r="J6274" s="78">
        <f>MAX(K6274:Q6274)</f>
        <v>1</v>
      </c>
      <c r="K6274" s="88">
        <v>1</v>
      </c>
      <c r="L6274" s="88"/>
      <c r="M6274" s="88"/>
      <c r="N6274" s="88"/>
      <c r="O6274" s="88"/>
      <c r="P6274" s="88"/>
      <c r="Q6274" s="88"/>
      <c r="R6274" s="78">
        <f>MAX(S6274:W6274)</f>
        <v>0</v>
      </c>
      <c r="S6274" s="88"/>
      <c r="T6274" s="88"/>
      <c r="U6274" s="88"/>
      <c r="V6274" s="88"/>
      <c r="W6274" s="88"/>
    </row>
    <row r="6275" spans="2:23" s="0" customFormat="0" ht="15">
      <c r="B6275" s="87" t="s">
        <v>1</v>
      </c>
      <c r="C6275" s="88" t="s">
        <v>5259</v>
      </c>
      <c r="D6275" s="88" t="s">
        <v>1856</v>
      </c>
      <c r="E6275" s="88" t="s">
        <v>61</v>
      </c>
      <c r="F6275" s="88">
        <v>0</v>
      </c>
      <c r="G6275" s="78">
        <f>MAX(H6275,I6275,J6275)</f>
        <v>1</v>
      </c>
      <c r="H6275" s="88"/>
      <c r="I6275" s="88"/>
      <c r="J6275" s="78">
        <f>MAX(K6275:Q6275)</f>
        <v>1</v>
      </c>
      <c r="K6275" s="88">
        <v>1</v>
      </c>
      <c r="L6275" s="88"/>
      <c r="M6275" s="88"/>
      <c r="N6275" s="88"/>
      <c r="O6275" s="88"/>
      <c r="P6275" s="88"/>
      <c r="Q6275" s="88"/>
      <c r="R6275" s="78">
        <f>MAX(S6275:W6275)</f>
        <v>0</v>
      </c>
      <c r="S6275" s="88"/>
      <c r="T6275" s="88"/>
      <c r="U6275" s="88"/>
      <c r="V6275" s="88"/>
      <c r="W6275" s="88"/>
    </row>
    <row r="6276" spans="2:23" s="0" customFormat="0" ht="15">
      <c r="B6276" s="87" t="s">
        <v>1</v>
      </c>
      <c r="C6276" s="88" t="s">
        <v>5259</v>
      </c>
      <c r="D6276" s="88" t="s">
        <v>2684</v>
      </c>
      <c r="E6276" s="88" t="s">
        <v>61</v>
      </c>
      <c r="F6276" s="88">
        <v>0</v>
      </c>
      <c r="G6276" s="78">
        <f>MAX(H6276,I6276,J6276)</f>
        <v>1</v>
      </c>
      <c r="H6276" s="88"/>
      <c r="I6276" s="88"/>
      <c r="J6276" s="78">
        <f>MAX(K6276:Q6276)</f>
        <v>1</v>
      </c>
      <c r="K6276" s="88">
        <v>1</v>
      </c>
      <c r="L6276" s="88"/>
      <c r="M6276" s="88"/>
      <c r="N6276" s="88"/>
      <c r="O6276" s="88"/>
      <c r="P6276" s="88"/>
      <c r="Q6276" s="88"/>
      <c r="R6276" s="78">
        <f>MAX(S6276:W6276)</f>
        <v>0</v>
      </c>
      <c r="S6276" s="88"/>
      <c r="T6276" s="88"/>
      <c r="U6276" s="88"/>
      <c r="V6276" s="88"/>
      <c r="W6276" s="88"/>
    </row>
    <row r="6277" spans="2:23" s="0" customFormat="0" ht="15">
      <c r="B6277" s="87" t="s">
        <v>1</v>
      </c>
      <c r="C6277" s="88" t="s">
        <v>5259</v>
      </c>
      <c r="D6277" s="88">
        <v>455581</v>
      </c>
      <c r="E6277" s="88" t="s">
        <v>61</v>
      </c>
      <c r="F6277" s="88">
        <v>0</v>
      </c>
      <c r="G6277" s="78">
        <f>MAX(H6277,I6277,J6277)</f>
        <v>1</v>
      </c>
      <c r="H6277" s="88"/>
      <c r="I6277" s="88"/>
      <c r="J6277" s="78">
        <f>MAX(K6277:Q6277)</f>
        <v>1</v>
      </c>
      <c r="K6277" s="88">
        <v>1</v>
      </c>
      <c r="L6277" s="88"/>
      <c r="M6277" s="88"/>
      <c r="N6277" s="88"/>
      <c r="O6277" s="88"/>
      <c r="P6277" s="88"/>
      <c r="Q6277" s="88"/>
      <c r="R6277" s="78">
        <f>MAX(S6277:W6277)</f>
        <v>0</v>
      </c>
      <c r="S6277" s="88"/>
      <c r="T6277" s="88"/>
      <c r="U6277" s="88"/>
      <c r="V6277" s="88"/>
      <c r="W6277" s="88"/>
    </row>
    <row r="6278" spans="2:23" s="0" customFormat="0" ht="15">
      <c r="B6278" s="87" t="s">
        <v>1</v>
      </c>
      <c r="C6278" s="88" t="s">
        <v>5259</v>
      </c>
      <c r="D6278" s="88">
        <v>14504636</v>
      </c>
      <c r="E6278" s="88" t="s">
        <v>61</v>
      </c>
      <c r="F6278" s="88">
        <v>0</v>
      </c>
      <c r="G6278" s="78">
        <f>MAX(H6278,I6278,J6278)</f>
        <v>0</v>
      </c>
      <c r="H6278" s="88"/>
      <c r="I6278" s="88"/>
      <c r="J6278" s="78">
        <f>MAX(K6278:Q6278)</f>
        <v>0</v>
      </c>
      <c r="K6278" s="88"/>
      <c r="L6278" s="88"/>
      <c r="M6278" s="88"/>
      <c r="N6278" s="88"/>
      <c r="O6278" s="88"/>
      <c r="P6278" s="88"/>
      <c r="Q6278" s="88"/>
      <c r="R6278" s="78">
        <f>MAX(S6278:W6278)</f>
        <v>1</v>
      </c>
      <c r="S6278" s="88"/>
      <c r="T6278" s="88"/>
      <c r="U6278" s="88">
        <v>1</v>
      </c>
      <c r="V6278" s="88"/>
      <c r="W6278" s="88"/>
    </row>
    <row r="6279" spans="2:23" s="0" customFormat="0" ht="15">
      <c r="B6279" s="87" t="s">
        <v>1</v>
      </c>
      <c r="C6279" s="88" t="s">
        <v>5259</v>
      </c>
      <c r="D6279" s="88" t="s">
        <v>4791</v>
      </c>
      <c r="E6279" s="88" t="s">
        <v>61</v>
      </c>
      <c r="F6279" s="88">
        <v>0</v>
      </c>
      <c r="G6279" s="78">
        <f>MAX(H6279,I6279,J6279)</f>
        <v>0</v>
      </c>
      <c r="H6279" s="88"/>
      <c r="I6279" s="88"/>
      <c r="J6279" s="78">
        <f>MAX(K6279:Q6279)</f>
        <v>0</v>
      </c>
      <c r="K6279" s="88"/>
      <c r="L6279" s="88"/>
      <c r="M6279" s="88"/>
      <c r="N6279" s="88"/>
      <c r="O6279" s="88"/>
      <c r="P6279" s="88"/>
      <c r="Q6279" s="88"/>
      <c r="R6279" s="78">
        <f>MAX(S6279:W6279)</f>
        <v>1</v>
      </c>
      <c r="S6279" s="88"/>
      <c r="T6279" s="88"/>
      <c r="U6279" s="88">
        <v>1</v>
      </c>
      <c r="V6279" s="88"/>
      <c r="W6279" s="88"/>
    </row>
    <row r="6280" spans="2:23" s="0" customFormat="0" ht="15">
      <c r="B6280" s="87" t="s">
        <v>1</v>
      </c>
      <c r="C6280" s="88" t="s">
        <v>5259</v>
      </c>
      <c r="D6280" s="88">
        <v>21278021</v>
      </c>
      <c r="E6280" s="88" t="s">
        <v>61</v>
      </c>
      <c r="F6280" s="88">
        <v>0</v>
      </c>
      <c r="G6280" s="78">
        <f>MAX(H6280,I6280,J6280)</f>
        <v>1</v>
      </c>
      <c r="H6280" s="88"/>
      <c r="I6280" s="88"/>
      <c r="J6280" s="78">
        <f>MAX(K6280:Q6280)</f>
        <v>1</v>
      </c>
      <c r="K6280" s="88">
        <v>1</v>
      </c>
      <c r="L6280" s="88"/>
      <c r="M6280" s="88"/>
      <c r="N6280" s="88"/>
      <c r="O6280" s="88"/>
      <c r="P6280" s="88"/>
      <c r="Q6280" s="88"/>
      <c r="R6280" s="78">
        <f>MAX(S6280:W6280)</f>
        <v>0</v>
      </c>
      <c r="S6280" s="88"/>
      <c r="T6280" s="88"/>
      <c r="U6280" s="88"/>
      <c r="V6280" s="88"/>
      <c r="W6280" s="88"/>
    </row>
    <row r="6281" spans="2:23" s="0" customFormat="0" ht="15">
      <c r="B6281" s="87" t="s">
        <v>1</v>
      </c>
      <c r="C6281" s="88" t="s">
        <v>5259</v>
      </c>
      <c r="D6281" s="88">
        <v>13145185</v>
      </c>
      <c r="E6281" s="88" t="s">
        <v>61</v>
      </c>
      <c r="F6281" s="88">
        <v>0</v>
      </c>
      <c r="G6281" s="78">
        <f>MAX(H6281,I6281,J6281)</f>
        <v>1</v>
      </c>
      <c r="H6281" s="88"/>
      <c r="I6281" s="88"/>
      <c r="J6281" s="78">
        <f>MAX(K6281:Q6281)</f>
        <v>1</v>
      </c>
      <c r="K6281" s="88">
        <v>1</v>
      </c>
      <c r="L6281" s="88"/>
      <c r="M6281" s="88"/>
      <c r="N6281" s="88"/>
      <c r="O6281" s="88"/>
      <c r="P6281" s="88"/>
      <c r="Q6281" s="88"/>
      <c r="R6281" s="78">
        <f>MAX(S6281:W6281)</f>
        <v>0</v>
      </c>
      <c r="S6281" s="88"/>
      <c r="T6281" s="88"/>
      <c r="U6281" s="88"/>
      <c r="V6281" s="88"/>
      <c r="W6281" s="88"/>
    </row>
    <row r="6282" spans="2:23" s="0" customFormat="0" ht="15">
      <c r="B6282" s="87" t="s">
        <v>1</v>
      </c>
      <c r="C6282" s="88" t="s">
        <v>5259</v>
      </c>
      <c r="D6282" s="88">
        <v>11163655</v>
      </c>
      <c r="E6282" s="88" t="s">
        <v>61</v>
      </c>
      <c r="F6282" s="88">
        <v>0</v>
      </c>
      <c r="G6282" s="78">
        <f>MAX(H6282,I6282,J6282)</f>
        <v>1</v>
      </c>
      <c r="H6282" s="88"/>
      <c r="I6282" s="88"/>
      <c r="J6282" s="78">
        <f>MAX(K6282:Q6282)</f>
        <v>1</v>
      </c>
      <c r="K6282" s="88">
        <v>1</v>
      </c>
      <c r="L6282" s="88"/>
      <c r="M6282" s="88"/>
      <c r="N6282" s="88"/>
      <c r="O6282" s="88"/>
      <c r="P6282" s="88"/>
      <c r="Q6282" s="88"/>
      <c r="R6282" s="78">
        <f>MAX(S6282:W6282)</f>
        <v>0</v>
      </c>
      <c r="S6282" s="88"/>
      <c r="T6282" s="88"/>
      <c r="U6282" s="88"/>
      <c r="V6282" s="88"/>
      <c r="W6282" s="88"/>
    </row>
    <row r="6283" spans="2:23" s="0" customFormat="0" ht="15">
      <c r="B6283" s="87" t="s">
        <v>1</v>
      </c>
      <c r="C6283" s="88" t="s">
        <v>5259</v>
      </c>
      <c r="D6283" s="88" t="s">
        <v>4762</v>
      </c>
      <c r="E6283" s="88" t="s">
        <v>61</v>
      </c>
      <c r="F6283" s="88">
        <v>0</v>
      </c>
      <c r="G6283" s="78">
        <f>MAX(H6283,I6283,J6283)</f>
        <v>0</v>
      </c>
      <c r="H6283" s="88"/>
      <c r="I6283" s="88"/>
      <c r="J6283" s="78">
        <f>MAX(K6283:Q6283)</f>
        <v>0</v>
      </c>
      <c r="K6283" s="88"/>
      <c r="L6283" s="88"/>
      <c r="M6283" s="88"/>
      <c r="N6283" s="88"/>
      <c r="O6283" s="88"/>
      <c r="P6283" s="88"/>
      <c r="Q6283" s="88"/>
      <c r="R6283" s="78">
        <f>MAX(S6283:W6283)</f>
        <v>1</v>
      </c>
      <c r="S6283" s="88"/>
      <c r="T6283" s="88"/>
      <c r="U6283" s="88">
        <v>1</v>
      </c>
      <c r="V6283" s="88"/>
      <c r="W6283" s="88"/>
    </row>
    <row r="6284" spans="2:23" s="0" customFormat="0" ht="15">
      <c r="B6284" s="87" t="s">
        <v>1</v>
      </c>
      <c r="C6284" s="88" t="s">
        <v>5259</v>
      </c>
      <c r="D6284" s="88">
        <v>18681510</v>
      </c>
      <c r="E6284" s="88" t="s">
        <v>61</v>
      </c>
      <c r="F6284" s="88">
        <v>0</v>
      </c>
      <c r="G6284" s="78">
        <f>MAX(H6284,I6284,J6284)</f>
        <v>1</v>
      </c>
      <c r="H6284" s="88"/>
      <c r="I6284" s="88"/>
      <c r="J6284" s="78">
        <f>MAX(K6284:Q6284)</f>
        <v>1</v>
      </c>
      <c r="K6284" s="88">
        <v>1</v>
      </c>
      <c r="L6284" s="88"/>
      <c r="M6284" s="88"/>
      <c r="N6284" s="88"/>
      <c r="O6284" s="88"/>
      <c r="P6284" s="88"/>
      <c r="Q6284" s="88"/>
      <c r="R6284" s="78">
        <f>MAX(S6284:W6284)</f>
        <v>0</v>
      </c>
      <c r="S6284" s="88"/>
      <c r="T6284" s="88"/>
      <c r="U6284" s="88"/>
      <c r="V6284" s="88"/>
      <c r="W6284" s="88"/>
    </row>
    <row r="6285" spans="2:23" s="0" customFormat="0" ht="15">
      <c r="B6285" s="87" t="s">
        <v>1</v>
      </c>
      <c r="C6285" s="88" t="s">
        <v>5259</v>
      </c>
      <c r="D6285" s="88">
        <v>14942238</v>
      </c>
      <c r="E6285" s="88" t="s">
        <v>61</v>
      </c>
      <c r="F6285" s="88">
        <v>0</v>
      </c>
      <c r="G6285" s="78">
        <f>MAX(H6285,I6285,J6285)</f>
        <v>1</v>
      </c>
      <c r="H6285" s="88"/>
      <c r="I6285" s="88"/>
      <c r="J6285" s="78">
        <f>MAX(K6285:Q6285)</f>
        <v>1</v>
      </c>
      <c r="K6285" s="88">
        <v>1</v>
      </c>
      <c r="L6285" s="88"/>
      <c r="M6285" s="88"/>
      <c r="N6285" s="88"/>
      <c r="O6285" s="88"/>
      <c r="P6285" s="88"/>
      <c r="Q6285" s="88"/>
      <c r="R6285" s="78">
        <f>MAX(S6285:W6285)</f>
        <v>0</v>
      </c>
      <c r="S6285" s="88"/>
      <c r="T6285" s="88"/>
      <c r="U6285" s="88"/>
      <c r="V6285" s="88"/>
      <c r="W6285" s="88"/>
    </row>
    <row r="6286" spans="2:23" s="0" customFormat="0" ht="15">
      <c r="B6286" s="87" t="s">
        <v>1</v>
      </c>
      <c r="C6286" s="88" t="s">
        <v>5259</v>
      </c>
      <c r="D6286" s="88" t="s">
        <v>5206</v>
      </c>
      <c r="E6286" s="88" t="s">
        <v>61</v>
      </c>
      <c r="F6286" s="88">
        <v>0</v>
      </c>
      <c r="G6286" s="78">
        <f>MAX(H6286,I6286,J6286)</f>
        <v>0</v>
      </c>
      <c r="H6286" s="88"/>
      <c r="I6286" s="88"/>
      <c r="J6286" s="78">
        <f>MAX(K6286:Q6286)</f>
        <v>0</v>
      </c>
      <c r="K6286" s="88"/>
      <c r="L6286" s="88"/>
      <c r="M6286" s="88"/>
      <c r="N6286" s="88"/>
      <c r="O6286" s="88"/>
      <c r="P6286" s="88"/>
      <c r="Q6286" s="88"/>
      <c r="R6286" s="78">
        <f>MAX(S6286:W6286)</f>
        <v>1</v>
      </c>
      <c r="S6286" s="88"/>
      <c r="T6286" s="88"/>
      <c r="U6286" s="88">
        <v>1</v>
      </c>
      <c r="V6286" s="88"/>
      <c r="W6286" s="88"/>
    </row>
    <row r="6287" spans="2:23" s="0" customFormat="0" ht="15">
      <c r="B6287" s="87" t="s">
        <v>1</v>
      </c>
      <c r="C6287" s="88" t="s">
        <v>5259</v>
      </c>
      <c r="D6287" s="88">
        <v>24178931</v>
      </c>
      <c r="E6287" s="88" t="s">
        <v>61</v>
      </c>
      <c r="F6287" s="88">
        <v>0</v>
      </c>
      <c r="G6287" s="78">
        <f>MAX(H6287,I6287,J6287)</f>
        <v>1</v>
      </c>
      <c r="H6287" s="88"/>
      <c r="I6287" s="88"/>
      <c r="J6287" s="78">
        <f>MAX(K6287:Q6287)</f>
        <v>1</v>
      </c>
      <c r="K6287" s="88">
        <v>1</v>
      </c>
      <c r="L6287" s="88"/>
      <c r="M6287" s="88"/>
      <c r="N6287" s="88"/>
      <c r="O6287" s="88"/>
      <c r="P6287" s="88"/>
      <c r="Q6287" s="88"/>
      <c r="R6287" s="78">
        <f>MAX(S6287:W6287)</f>
        <v>0</v>
      </c>
      <c r="S6287" s="88"/>
      <c r="T6287" s="88"/>
      <c r="U6287" s="88"/>
      <c r="V6287" s="88"/>
      <c r="W6287" s="88"/>
    </row>
    <row r="6288" spans="2:23" s="0" customFormat="0" ht="15">
      <c r="B6288" s="87" t="s">
        <v>1</v>
      </c>
      <c r="C6288" s="88" t="s">
        <v>5259</v>
      </c>
      <c r="D6288" s="88">
        <v>14504601</v>
      </c>
      <c r="E6288" s="88" t="s">
        <v>61</v>
      </c>
      <c r="F6288" s="88">
        <v>0</v>
      </c>
      <c r="G6288" s="78">
        <f>MAX(H6288,I6288,J6288)</f>
        <v>0</v>
      </c>
      <c r="H6288" s="88"/>
      <c r="I6288" s="88"/>
      <c r="J6288" s="78">
        <f>MAX(K6288:Q6288)</f>
        <v>0</v>
      </c>
      <c r="K6288" s="88"/>
      <c r="L6288" s="88"/>
      <c r="M6288" s="88"/>
      <c r="N6288" s="88"/>
      <c r="O6288" s="88"/>
      <c r="P6288" s="88"/>
      <c r="Q6288" s="88"/>
      <c r="R6288" s="78">
        <f>MAX(S6288:W6288)</f>
        <v>1</v>
      </c>
      <c r="S6288" s="88"/>
      <c r="T6288" s="88"/>
      <c r="U6288" s="88"/>
      <c r="V6288" s="88">
        <v>1</v>
      </c>
      <c r="W6288" s="88"/>
    </row>
    <row r="6289" spans="2:23" s="0" customFormat="0" ht="15">
      <c r="B6289" s="87" t="s">
        <v>1</v>
      </c>
      <c r="C6289" s="88" t="s">
        <v>5259</v>
      </c>
      <c r="D6289" s="88">
        <v>19714559</v>
      </c>
      <c r="E6289" s="88" t="s">
        <v>61</v>
      </c>
      <c r="F6289" s="88">
        <v>0</v>
      </c>
      <c r="G6289" s="78">
        <f>MAX(H6289,I6289,J6289)</f>
        <v>1</v>
      </c>
      <c r="H6289" s="88"/>
      <c r="I6289" s="88"/>
      <c r="J6289" s="78">
        <f>MAX(K6289:Q6289)</f>
        <v>1</v>
      </c>
      <c r="K6289" s="88">
        <v>1</v>
      </c>
      <c r="L6289" s="88"/>
      <c r="M6289" s="88"/>
      <c r="N6289" s="88"/>
      <c r="O6289" s="88"/>
      <c r="P6289" s="88"/>
      <c r="Q6289" s="88"/>
      <c r="R6289" s="78">
        <f>MAX(S6289:W6289)</f>
        <v>0</v>
      </c>
      <c r="S6289" s="88"/>
      <c r="T6289" s="88"/>
      <c r="U6289" s="88"/>
      <c r="V6289" s="88"/>
      <c r="W6289" s="88"/>
    </row>
    <row r="6290" spans="2:23" s="0" customFormat="0" ht="15">
      <c r="B6290" s="87" t="s">
        <v>1</v>
      </c>
      <c r="C6290" s="88" t="s">
        <v>5259</v>
      </c>
      <c r="D6290" s="88">
        <v>19215090</v>
      </c>
      <c r="E6290" s="88" t="s">
        <v>61</v>
      </c>
      <c r="F6290" s="88">
        <v>0</v>
      </c>
      <c r="G6290" s="78">
        <f>MAX(H6290,I6290,J6290)</f>
        <v>1</v>
      </c>
      <c r="H6290" s="88"/>
      <c r="I6290" s="88"/>
      <c r="J6290" s="78">
        <f>MAX(K6290:Q6290)</f>
        <v>1</v>
      </c>
      <c r="K6290" s="88">
        <v>1</v>
      </c>
      <c r="L6290" s="88"/>
      <c r="M6290" s="88"/>
      <c r="N6290" s="88"/>
      <c r="O6290" s="88"/>
      <c r="P6290" s="88"/>
      <c r="Q6290" s="88"/>
      <c r="R6290" s="78">
        <f>MAX(S6290:W6290)</f>
        <v>0</v>
      </c>
      <c r="S6290" s="88"/>
      <c r="T6290" s="88"/>
      <c r="U6290" s="88"/>
      <c r="V6290" s="88"/>
      <c r="W6290" s="88"/>
    </row>
    <row r="6291" spans="2:23" s="0" customFormat="0" ht="15">
      <c r="B6291" s="87" t="s">
        <v>1</v>
      </c>
      <c r="C6291" s="88" t="s">
        <v>5259</v>
      </c>
      <c r="D6291" s="88" t="s">
        <v>2979</v>
      </c>
      <c r="E6291" s="88" t="s">
        <v>61</v>
      </c>
      <c r="F6291" s="88">
        <v>0</v>
      </c>
      <c r="G6291" s="78">
        <f>MAX(H6291,I6291,J6291)</f>
        <v>1</v>
      </c>
      <c r="H6291" s="88"/>
      <c r="I6291" s="88"/>
      <c r="J6291" s="78">
        <f>MAX(K6291:Q6291)</f>
        <v>1</v>
      </c>
      <c r="K6291" s="88">
        <v>1</v>
      </c>
      <c r="L6291" s="88"/>
      <c r="M6291" s="88"/>
      <c r="N6291" s="88"/>
      <c r="O6291" s="88"/>
      <c r="P6291" s="88"/>
      <c r="Q6291" s="88"/>
      <c r="R6291" s="78">
        <f>MAX(S6291:W6291)</f>
        <v>0</v>
      </c>
      <c r="S6291" s="88"/>
      <c r="T6291" s="88"/>
      <c r="U6291" s="88"/>
      <c r="V6291" s="88"/>
      <c r="W6291" s="88"/>
    </row>
    <row r="6292" spans="2:23" s="0" customFormat="0" ht="15">
      <c r="B6292" s="87" t="s">
        <v>1</v>
      </c>
      <c r="C6292" s="88" t="s">
        <v>5259</v>
      </c>
      <c r="D6292" s="88" t="s">
        <v>2642</v>
      </c>
      <c r="E6292" s="88" t="s">
        <v>61</v>
      </c>
      <c r="F6292" s="88">
        <v>0</v>
      </c>
      <c r="G6292" s="78">
        <f>MAX(H6292,I6292,J6292)</f>
        <v>1</v>
      </c>
      <c r="H6292" s="88"/>
      <c r="I6292" s="88"/>
      <c r="J6292" s="78">
        <f>MAX(K6292:Q6292)</f>
        <v>1</v>
      </c>
      <c r="K6292" s="88">
        <v>1</v>
      </c>
      <c r="L6292" s="88"/>
      <c r="M6292" s="88"/>
      <c r="N6292" s="88"/>
      <c r="O6292" s="88"/>
      <c r="P6292" s="88"/>
      <c r="Q6292" s="88"/>
      <c r="R6292" s="78">
        <f>MAX(S6292:W6292)</f>
        <v>0</v>
      </c>
      <c r="S6292" s="88"/>
      <c r="T6292" s="88"/>
      <c r="U6292" s="88"/>
      <c r="V6292" s="88"/>
      <c r="W6292" s="88"/>
    </row>
    <row r="6293" spans="2:23" s="0" customFormat="0" ht="15">
      <c r="B6293" s="87" t="s">
        <v>1</v>
      </c>
      <c r="C6293" s="88" t="s">
        <v>5259</v>
      </c>
      <c r="D6293" s="88">
        <v>13200186</v>
      </c>
      <c r="E6293" s="88" t="s">
        <v>61</v>
      </c>
      <c r="F6293" s="88">
        <v>0</v>
      </c>
      <c r="G6293" s="78">
        <f>MAX(H6293,I6293,J6293)</f>
        <v>1</v>
      </c>
      <c r="H6293" s="88"/>
      <c r="I6293" s="88"/>
      <c r="J6293" s="78">
        <f>MAX(K6293:Q6293)</f>
        <v>1</v>
      </c>
      <c r="K6293" s="88">
        <v>1</v>
      </c>
      <c r="L6293" s="88"/>
      <c r="M6293" s="88"/>
      <c r="N6293" s="88"/>
      <c r="O6293" s="88"/>
      <c r="P6293" s="88"/>
      <c r="Q6293" s="88"/>
      <c r="R6293" s="78">
        <f>MAX(S6293:W6293)</f>
        <v>0</v>
      </c>
      <c r="S6293" s="88"/>
      <c r="T6293" s="88"/>
      <c r="U6293" s="88"/>
      <c r="V6293" s="88"/>
      <c r="W6293" s="88"/>
    </row>
    <row r="6294" spans="2:23" s="0" customFormat="0" ht="15">
      <c r="B6294" s="87" t="s">
        <v>1</v>
      </c>
      <c r="C6294" s="88" t="s">
        <v>5259</v>
      </c>
      <c r="D6294" s="88">
        <v>18657665</v>
      </c>
      <c r="E6294" s="88" t="s">
        <v>61</v>
      </c>
      <c r="F6294" s="88">
        <v>0</v>
      </c>
      <c r="G6294" s="78">
        <f>MAX(H6294,I6294,J6294)</f>
        <v>1</v>
      </c>
      <c r="H6294" s="88"/>
      <c r="I6294" s="88"/>
      <c r="J6294" s="78">
        <f>MAX(K6294:Q6294)</f>
        <v>1</v>
      </c>
      <c r="K6294" s="88">
        <v>1</v>
      </c>
      <c r="L6294" s="88"/>
      <c r="M6294" s="88"/>
      <c r="N6294" s="88"/>
      <c r="O6294" s="88"/>
      <c r="P6294" s="88"/>
      <c r="Q6294" s="88"/>
      <c r="R6294" s="78">
        <f>MAX(S6294:W6294)</f>
        <v>0</v>
      </c>
      <c r="S6294" s="88"/>
      <c r="T6294" s="88"/>
      <c r="U6294" s="88"/>
      <c r="V6294" s="88"/>
      <c r="W6294" s="88"/>
    </row>
    <row r="6295" spans="2:23" s="0" customFormat="0" ht="15">
      <c r="B6295" s="87" t="s">
        <v>1</v>
      </c>
      <c r="C6295" s="88" t="s">
        <v>5259</v>
      </c>
      <c r="D6295" s="88" t="s">
        <v>2832</v>
      </c>
      <c r="E6295" s="88" t="s">
        <v>61</v>
      </c>
      <c r="F6295" s="88">
        <v>0</v>
      </c>
      <c r="G6295" s="78">
        <f>MAX(H6295,I6295,J6295)</f>
        <v>1</v>
      </c>
      <c r="H6295" s="88"/>
      <c r="I6295" s="88"/>
      <c r="J6295" s="78">
        <f>MAX(K6295:Q6295)</f>
        <v>1</v>
      </c>
      <c r="K6295" s="88">
        <v>1</v>
      </c>
      <c r="L6295" s="88"/>
      <c r="M6295" s="88"/>
      <c r="N6295" s="88"/>
      <c r="O6295" s="88"/>
      <c r="P6295" s="88"/>
      <c r="Q6295" s="88"/>
      <c r="R6295" s="78">
        <f>MAX(S6295:W6295)</f>
        <v>0</v>
      </c>
      <c r="S6295" s="88"/>
      <c r="T6295" s="88"/>
      <c r="U6295" s="88"/>
      <c r="V6295" s="88"/>
      <c r="W6295" s="88"/>
    </row>
    <row r="6296" spans="2:23" s="0" customFormat="0" ht="15">
      <c r="B6296" s="87" t="s">
        <v>1</v>
      </c>
      <c r="C6296" s="88" t="s">
        <v>5259</v>
      </c>
      <c r="D6296" s="88" t="s">
        <v>734</v>
      </c>
      <c r="E6296" s="88" t="s">
        <v>61</v>
      </c>
      <c r="F6296" s="88">
        <v>0</v>
      </c>
      <c r="G6296" s="78">
        <f>MAX(H6296,I6296,J6296)</f>
        <v>1</v>
      </c>
      <c r="H6296" s="88"/>
      <c r="I6296" s="88"/>
      <c r="J6296" s="78">
        <f>MAX(K6296:Q6296)</f>
        <v>1</v>
      </c>
      <c r="K6296" s="88">
        <v>1</v>
      </c>
      <c r="L6296" s="88"/>
      <c r="M6296" s="88"/>
      <c r="N6296" s="88"/>
      <c r="O6296" s="88"/>
      <c r="P6296" s="88"/>
      <c r="Q6296" s="88"/>
      <c r="R6296" s="78">
        <f>MAX(S6296:W6296)</f>
        <v>0</v>
      </c>
      <c r="S6296" s="88"/>
      <c r="T6296" s="88"/>
      <c r="U6296" s="88"/>
      <c r="V6296" s="88"/>
      <c r="W6296" s="88"/>
    </row>
    <row r="6297" spans="2:23" s="0" customFormat="0" ht="15">
      <c r="B6297" s="87" t="s">
        <v>1</v>
      </c>
      <c r="C6297" s="88" t="s">
        <v>5259</v>
      </c>
      <c r="D6297" s="88" t="s">
        <v>426</v>
      </c>
      <c r="E6297" s="88" t="s">
        <v>61</v>
      </c>
      <c r="F6297" s="88">
        <v>0</v>
      </c>
      <c r="G6297" s="78">
        <f>MAX(H6297,I6297,J6297)</f>
        <v>1</v>
      </c>
      <c r="H6297" s="88"/>
      <c r="I6297" s="88"/>
      <c r="J6297" s="78">
        <f>MAX(K6297:Q6297)</f>
        <v>1</v>
      </c>
      <c r="K6297" s="88">
        <v>1</v>
      </c>
      <c r="L6297" s="88"/>
      <c r="M6297" s="88"/>
      <c r="N6297" s="88"/>
      <c r="O6297" s="88"/>
      <c r="P6297" s="88"/>
      <c r="Q6297" s="88"/>
      <c r="R6297" s="78">
        <f>MAX(S6297:W6297)</f>
        <v>0</v>
      </c>
      <c r="S6297" s="88"/>
      <c r="T6297" s="88"/>
      <c r="U6297" s="88"/>
      <c r="V6297" s="88"/>
      <c r="W6297" s="88"/>
    </row>
    <row r="6298" spans="2:23" s="0" customFormat="0" ht="15">
      <c r="B6298" s="87" t="s">
        <v>1</v>
      </c>
      <c r="C6298" s="88" t="s">
        <v>5259</v>
      </c>
      <c r="D6298" s="88" t="s">
        <v>4316</v>
      </c>
      <c r="E6298" s="88" t="s">
        <v>61</v>
      </c>
      <c r="F6298" s="88">
        <v>0</v>
      </c>
      <c r="G6298" s="78">
        <f>MAX(H6298,I6298,J6298)</f>
        <v>0</v>
      </c>
      <c r="H6298" s="88"/>
      <c r="I6298" s="88"/>
      <c r="J6298" s="78">
        <f>MAX(K6298:Q6298)</f>
        <v>0</v>
      </c>
      <c r="K6298" s="88"/>
      <c r="L6298" s="88"/>
      <c r="M6298" s="88"/>
      <c r="N6298" s="88"/>
      <c r="O6298" s="88"/>
      <c r="P6298" s="88"/>
      <c r="Q6298" s="88"/>
      <c r="R6298" s="78">
        <f>MAX(S6298:W6298)</f>
        <v>1</v>
      </c>
      <c r="S6298" s="88"/>
      <c r="T6298" s="88"/>
      <c r="U6298" s="88">
        <v>1</v>
      </c>
      <c r="V6298" s="88"/>
      <c r="W6298" s="88"/>
    </row>
    <row r="6299" spans="2:23" s="0" customFormat="0" ht="15">
      <c r="B6299" s="87" t="s">
        <v>1</v>
      </c>
      <c r="C6299" s="88" t="s">
        <v>5259</v>
      </c>
      <c r="D6299" s="88">
        <v>22554266</v>
      </c>
      <c r="E6299" s="88" t="s">
        <v>61</v>
      </c>
      <c r="F6299" s="88">
        <v>0</v>
      </c>
      <c r="G6299" s="78">
        <f>MAX(H6299,I6299,J6299)</f>
        <v>0</v>
      </c>
      <c r="H6299" s="88"/>
      <c r="I6299" s="88"/>
      <c r="J6299" s="78">
        <f>MAX(K6299:Q6299)</f>
        <v>0</v>
      </c>
      <c r="K6299" s="88"/>
      <c r="L6299" s="88"/>
      <c r="M6299" s="88"/>
      <c r="N6299" s="88"/>
      <c r="O6299" s="88"/>
      <c r="P6299" s="88"/>
      <c r="Q6299" s="88"/>
      <c r="R6299" s="78">
        <f>MAX(S6299:W6299)</f>
        <v>1</v>
      </c>
      <c r="S6299" s="88"/>
      <c r="T6299" s="88"/>
      <c r="U6299" s="88">
        <v>1</v>
      </c>
      <c r="V6299" s="88"/>
      <c r="W6299" s="88"/>
    </row>
    <row r="6300" spans="2:23" s="0" customFormat="0" ht="15">
      <c r="B6300" s="87" t="s">
        <v>1</v>
      </c>
      <c r="C6300" s="88" t="s">
        <v>5259</v>
      </c>
      <c r="D6300" s="88">
        <v>15888940</v>
      </c>
      <c r="E6300" s="88" t="s">
        <v>61</v>
      </c>
      <c r="F6300" s="88">
        <v>0</v>
      </c>
      <c r="G6300" s="78">
        <f>MAX(H6300,I6300,J6300)</f>
        <v>1</v>
      </c>
      <c r="H6300" s="88"/>
      <c r="I6300" s="88"/>
      <c r="J6300" s="78">
        <f>MAX(K6300:Q6300)</f>
        <v>1</v>
      </c>
      <c r="K6300" s="88">
        <v>1</v>
      </c>
      <c r="L6300" s="88"/>
      <c r="M6300" s="88"/>
      <c r="N6300" s="88"/>
      <c r="O6300" s="88"/>
      <c r="P6300" s="88"/>
      <c r="Q6300" s="88"/>
      <c r="R6300" s="78">
        <f>MAX(S6300:W6300)</f>
        <v>0</v>
      </c>
      <c r="S6300" s="88"/>
      <c r="T6300" s="88"/>
      <c r="U6300" s="88"/>
      <c r="V6300" s="88"/>
      <c r="W6300" s="88"/>
    </row>
    <row r="6301" spans="2:23" s="0" customFormat="0" ht="15">
      <c r="B6301" s="87" t="s">
        <v>1</v>
      </c>
      <c r="C6301" s="88" t="s">
        <v>5259</v>
      </c>
      <c r="D6301" s="88">
        <v>22554066</v>
      </c>
      <c r="E6301" s="88" t="s">
        <v>61</v>
      </c>
      <c r="F6301" s="88">
        <v>0</v>
      </c>
      <c r="G6301" s="78">
        <f>MAX(H6301,I6301,J6301)</f>
        <v>0</v>
      </c>
      <c r="H6301" s="88"/>
      <c r="I6301" s="88"/>
      <c r="J6301" s="78">
        <f>MAX(K6301:Q6301)</f>
        <v>0</v>
      </c>
      <c r="K6301" s="88"/>
      <c r="L6301" s="88"/>
      <c r="M6301" s="88"/>
      <c r="N6301" s="88"/>
      <c r="O6301" s="88"/>
      <c r="P6301" s="88"/>
      <c r="Q6301" s="88"/>
      <c r="R6301" s="78">
        <f>MAX(S6301:W6301)</f>
        <v>1</v>
      </c>
      <c r="S6301" s="88"/>
      <c r="T6301" s="88"/>
      <c r="U6301" s="88">
        <v>1</v>
      </c>
      <c r="V6301" s="88"/>
      <c r="W6301" s="88"/>
    </row>
    <row r="6302" spans="2:23" s="0" customFormat="0" ht="15">
      <c r="B6302" s="87" t="s">
        <v>1</v>
      </c>
      <c r="C6302" s="88" t="s">
        <v>5259</v>
      </c>
      <c r="D6302" s="88" t="s">
        <v>4282</v>
      </c>
      <c r="E6302" s="88" t="s">
        <v>61</v>
      </c>
      <c r="F6302" s="88">
        <v>0</v>
      </c>
      <c r="G6302" s="78">
        <f>MAX(H6302,I6302,J6302)</f>
        <v>0</v>
      </c>
      <c r="H6302" s="88"/>
      <c r="I6302" s="88"/>
      <c r="J6302" s="78">
        <f>MAX(K6302:Q6302)</f>
        <v>0</v>
      </c>
      <c r="K6302" s="88"/>
      <c r="L6302" s="88"/>
      <c r="M6302" s="88"/>
      <c r="N6302" s="88"/>
      <c r="O6302" s="88"/>
      <c r="P6302" s="88"/>
      <c r="Q6302" s="88"/>
      <c r="R6302" s="78">
        <f>MAX(S6302:W6302)</f>
        <v>1</v>
      </c>
      <c r="S6302" s="88"/>
      <c r="T6302" s="88"/>
      <c r="U6302" s="88">
        <v>1</v>
      </c>
      <c r="V6302" s="88"/>
      <c r="W6302" s="88"/>
    </row>
    <row r="6303" spans="2:23" s="0" customFormat="0" ht="15">
      <c r="B6303" s="87" t="s">
        <v>1</v>
      </c>
      <c r="C6303" s="88" t="s">
        <v>5259</v>
      </c>
      <c r="D6303" s="88" t="s">
        <v>5198</v>
      </c>
      <c r="E6303" s="88" t="s">
        <v>61</v>
      </c>
      <c r="F6303" s="88">
        <v>0</v>
      </c>
      <c r="G6303" s="78">
        <f>MAX(H6303,I6303,J6303)</f>
        <v>0</v>
      </c>
      <c r="H6303" s="88"/>
      <c r="I6303" s="88"/>
      <c r="J6303" s="78">
        <f>MAX(K6303:Q6303)</f>
        <v>0</v>
      </c>
      <c r="K6303" s="88"/>
      <c r="L6303" s="88"/>
      <c r="M6303" s="88"/>
      <c r="N6303" s="88"/>
      <c r="O6303" s="88"/>
      <c r="P6303" s="88"/>
      <c r="Q6303" s="88"/>
      <c r="R6303" s="78">
        <f>MAX(S6303:W6303)</f>
        <v>1</v>
      </c>
      <c r="S6303" s="88"/>
      <c r="T6303" s="88"/>
      <c r="U6303" s="88">
        <v>1</v>
      </c>
      <c r="V6303" s="88"/>
      <c r="W6303" s="88"/>
    </row>
    <row r="6304" spans="2:23" s="0" customFormat="0" ht="15">
      <c r="B6304" s="87" t="s">
        <v>1</v>
      </c>
      <c r="C6304" s="88" t="s">
        <v>5259</v>
      </c>
      <c r="D6304" s="88">
        <v>11100305</v>
      </c>
      <c r="E6304" s="88" t="s">
        <v>61</v>
      </c>
      <c r="F6304" s="88">
        <v>0</v>
      </c>
      <c r="G6304" s="78">
        <f>MAX(H6304,I6304,J6304)</f>
        <v>0</v>
      </c>
      <c r="H6304" s="88"/>
      <c r="I6304" s="88"/>
      <c r="J6304" s="78">
        <f>MAX(K6304:Q6304)</f>
        <v>0</v>
      </c>
      <c r="K6304" s="88"/>
      <c r="L6304" s="88"/>
      <c r="M6304" s="88"/>
      <c r="N6304" s="88"/>
      <c r="O6304" s="88"/>
      <c r="P6304" s="88"/>
      <c r="Q6304" s="88"/>
      <c r="R6304" s="78">
        <f>MAX(S6304:W6304)</f>
        <v>1</v>
      </c>
      <c r="S6304" s="88"/>
      <c r="T6304" s="88"/>
      <c r="U6304" s="88">
        <v>1</v>
      </c>
      <c r="V6304" s="88"/>
      <c r="W6304" s="88"/>
    </row>
    <row r="6305" spans="2:23" s="0" customFormat="0" ht="15">
      <c r="B6305" s="87" t="s">
        <v>1</v>
      </c>
      <c r="C6305" s="88" t="s">
        <v>5259</v>
      </c>
      <c r="D6305" s="88" t="s">
        <v>3864</v>
      </c>
      <c r="E6305" s="88" t="s">
        <v>61</v>
      </c>
      <c r="F6305" s="88">
        <v>0</v>
      </c>
      <c r="G6305" s="78">
        <f>MAX(H6305,I6305,J6305)</f>
        <v>0</v>
      </c>
      <c r="H6305" s="88"/>
      <c r="I6305" s="88"/>
      <c r="J6305" s="78">
        <f>MAX(K6305:Q6305)</f>
        <v>0</v>
      </c>
      <c r="K6305" s="88"/>
      <c r="L6305" s="88"/>
      <c r="M6305" s="88"/>
      <c r="N6305" s="88"/>
      <c r="O6305" s="88"/>
      <c r="P6305" s="88"/>
      <c r="Q6305" s="88"/>
      <c r="R6305" s="78">
        <f>MAX(S6305:W6305)</f>
        <v>1</v>
      </c>
      <c r="S6305" s="88"/>
      <c r="T6305" s="88"/>
      <c r="U6305" s="88">
        <v>1</v>
      </c>
      <c r="V6305" s="88"/>
      <c r="W6305" s="88"/>
    </row>
    <row r="6306" spans="2:23" s="0" customFormat="0" ht="15">
      <c r="B6306" s="87" t="s">
        <v>1</v>
      </c>
      <c r="C6306" s="88" t="s">
        <v>5259</v>
      </c>
      <c r="D6306" s="88">
        <v>21322737</v>
      </c>
      <c r="E6306" s="88" t="s">
        <v>61</v>
      </c>
      <c r="F6306" s="88">
        <v>0</v>
      </c>
      <c r="G6306" s="78">
        <f>MAX(H6306,I6306,J6306)</f>
        <v>1</v>
      </c>
      <c r="H6306" s="88"/>
      <c r="I6306" s="88"/>
      <c r="J6306" s="78">
        <f>MAX(K6306:Q6306)</f>
        <v>1</v>
      </c>
      <c r="K6306" s="88">
        <v>1</v>
      </c>
      <c r="L6306" s="88"/>
      <c r="M6306" s="88"/>
      <c r="N6306" s="88"/>
      <c r="O6306" s="88"/>
      <c r="P6306" s="88"/>
      <c r="Q6306" s="88"/>
      <c r="R6306" s="78">
        <f>MAX(S6306:W6306)</f>
        <v>0</v>
      </c>
      <c r="S6306" s="88"/>
      <c r="T6306" s="88"/>
      <c r="U6306" s="88"/>
      <c r="V6306" s="88"/>
      <c r="W6306" s="88"/>
    </row>
    <row r="6307" spans="2:23" s="0" customFormat="0" ht="15">
      <c r="B6307" s="87" t="s">
        <v>1</v>
      </c>
      <c r="C6307" s="88" t="s">
        <v>5259</v>
      </c>
      <c r="D6307" s="88">
        <v>21054753</v>
      </c>
      <c r="E6307" s="88" t="s">
        <v>61</v>
      </c>
      <c r="F6307" s="88">
        <v>0</v>
      </c>
      <c r="G6307" s="78">
        <f>MAX(H6307,I6307,J6307)</f>
        <v>1</v>
      </c>
      <c r="H6307" s="88"/>
      <c r="I6307" s="88"/>
      <c r="J6307" s="78">
        <f>MAX(K6307:Q6307)</f>
        <v>1</v>
      </c>
      <c r="K6307" s="88">
        <v>1</v>
      </c>
      <c r="L6307" s="88"/>
      <c r="M6307" s="88"/>
      <c r="N6307" s="88"/>
      <c r="O6307" s="88"/>
      <c r="P6307" s="88"/>
      <c r="Q6307" s="88"/>
      <c r="R6307" s="78">
        <f>MAX(S6307:W6307)</f>
        <v>0</v>
      </c>
      <c r="S6307" s="88"/>
      <c r="T6307" s="88"/>
      <c r="U6307" s="88"/>
      <c r="V6307" s="88"/>
      <c r="W6307" s="88"/>
    </row>
    <row r="6308" spans="2:23" s="0" customFormat="0" ht="15">
      <c r="B6308" s="87" t="s">
        <v>1</v>
      </c>
      <c r="C6308" s="88" t="s">
        <v>5259</v>
      </c>
      <c r="D6308" s="88" t="s">
        <v>5155</v>
      </c>
      <c r="E6308" s="88" t="s">
        <v>61</v>
      </c>
      <c r="F6308" s="88">
        <v>0</v>
      </c>
      <c r="G6308" s="78">
        <f>MAX(H6308,I6308,J6308)</f>
        <v>0</v>
      </c>
      <c r="H6308" s="88"/>
      <c r="I6308" s="88"/>
      <c r="J6308" s="78">
        <f>MAX(K6308:Q6308)</f>
        <v>0</v>
      </c>
      <c r="K6308" s="88"/>
      <c r="L6308" s="88"/>
      <c r="M6308" s="88"/>
      <c r="N6308" s="88"/>
      <c r="O6308" s="88"/>
      <c r="P6308" s="88"/>
      <c r="Q6308" s="88"/>
      <c r="R6308" s="78">
        <f>MAX(S6308:W6308)</f>
        <v>1</v>
      </c>
      <c r="S6308" s="88"/>
      <c r="T6308" s="88"/>
      <c r="U6308" s="88">
        <v>1</v>
      </c>
      <c r="V6308" s="88"/>
      <c r="W6308" s="88"/>
    </row>
    <row r="6309" spans="2:23" s="0" customFormat="0" ht="15">
      <c r="B6309" s="87" t="s">
        <v>1</v>
      </c>
      <c r="C6309" s="88" t="s">
        <v>5259</v>
      </c>
      <c r="D6309" s="88">
        <v>16627758</v>
      </c>
      <c r="E6309" s="88" t="s">
        <v>61</v>
      </c>
      <c r="F6309" s="88">
        <v>0</v>
      </c>
      <c r="G6309" s="78">
        <f>MAX(H6309,I6309,J6309)</f>
        <v>1</v>
      </c>
      <c r="H6309" s="88"/>
      <c r="I6309" s="88"/>
      <c r="J6309" s="78">
        <f>MAX(K6309:Q6309)</f>
        <v>1</v>
      </c>
      <c r="K6309" s="88">
        <v>1</v>
      </c>
      <c r="L6309" s="88"/>
      <c r="M6309" s="88"/>
      <c r="N6309" s="88"/>
      <c r="O6309" s="88"/>
      <c r="P6309" s="88"/>
      <c r="Q6309" s="88"/>
      <c r="R6309" s="78">
        <f>MAX(S6309:W6309)</f>
        <v>0</v>
      </c>
      <c r="S6309" s="88"/>
      <c r="T6309" s="88"/>
      <c r="U6309" s="88"/>
      <c r="V6309" s="88"/>
      <c r="W6309" s="88"/>
    </row>
    <row r="6310" spans="2:23" s="0" customFormat="0" ht="15">
      <c r="B6310" s="87" t="s">
        <v>1</v>
      </c>
      <c r="C6310" s="88" t="s">
        <v>5259</v>
      </c>
      <c r="D6310" s="88">
        <v>22554389</v>
      </c>
      <c r="E6310" s="88" t="s">
        <v>61</v>
      </c>
      <c r="F6310" s="88">
        <v>0</v>
      </c>
      <c r="G6310" s="78">
        <f>MAX(H6310,I6310,J6310)</f>
        <v>0</v>
      </c>
      <c r="H6310" s="88"/>
      <c r="I6310" s="88"/>
      <c r="J6310" s="78">
        <f>MAX(K6310:Q6310)</f>
        <v>0</v>
      </c>
      <c r="K6310" s="88"/>
      <c r="L6310" s="88"/>
      <c r="M6310" s="88"/>
      <c r="N6310" s="88"/>
      <c r="O6310" s="88"/>
      <c r="P6310" s="88"/>
      <c r="Q6310" s="88"/>
      <c r="R6310" s="78">
        <f>MAX(S6310:W6310)</f>
        <v>1</v>
      </c>
      <c r="S6310" s="88"/>
      <c r="T6310" s="88"/>
      <c r="U6310" s="88">
        <v>1</v>
      </c>
      <c r="V6310" s="88"/>
      <c r="W6310" s="88"/>
    </row>
    <row r="6311" spans="2:23" s="0" customFormat="0" ht="15">
      <c r="B6311" s="87" t="s">
        <v>1</v>
      </c>
      <c r="C6311" s="88" t="s">
        <v>5259</v>
      </c>
      <c r="D6311" s="88">
        <v>7509056</v>
      </c>
      <c r="E6311" s="88" t="s">
        <v>61</v>
      </c>
      <c r="F6311" s="88">
        <v>0</v>
      </c>
      <c r="G6311" s="78">
        <f>MAX(H6311,I6311,J6311)</f>
        <v>1</v>
      </c>
      <c r="H6311" s="88"/>
      <c r="I6311" s="88"/>
      <c r="J6311" s="78">
        <f>MAX(K6311:Q6311)</f>
        <v>1</v>
      </c>
      <c r="K6311" s="88">
        <v>1</v>
      </c>
      <c r="L6311" s="88"/>
      <c r="M6311" s="88"/>
      <c r="N6311" s="88"/>
      <c r="O6311" s="88"/>
      <c r="P6311" s="88"/>
      <c r="Q6311" s="88"/>
      <c r="R6311" s="78">
        <f>MAX(S6311:W6311)</f>
        <v>0</v>
      </c>
      <c r="S6311" s="88"/>
      <c r="T6311" s="88"/>
      <c r="U6311" s="88"/>
      <c r="V6311" s="88"/>
      <c r="W6311" s="88"/>
    </row>
    <row r="6312" spans="2:23" s="0" customFormat="0" ht="15">
      <c r="B6312" s="87" t="s">
        <v>1</v>
      </c>
      <c r="C6312" s="88" t="s">
        <v>5259</v>
      </c>
      <c r="D6312" s="88" t="s">
        <v>1456</v>
      </c>
      <c r="E6312" s="88" t="s">
        <v>61</v>
      </c>
      <c r="F6312" s="88">
        <v>0</v>
      </c>
      <c r="G6312" s="78">
        <f>MAX(H6312,I6312,J6312)</f>
        <v>1</v>
      </c>
      <c r="H6312" s="88"/>
      <c r="I6312" s="88"/>
      <c r="J6312" s="78">
        <f>MAX(K6312:Q6312)</f>
        <v>1</v>
      </c>
      <c r="K6312" s="88">
        <v>1</v>
      </c>
      <c r="L6312" s="88"/>
      <c r="M6312" s="88"/>
      <c r="N6312" s="88"/>
      <c r="O6312" s="88"/>
      <c r="P6312" s="88"/>
      <c r="Q6312" s="88"/>
      <c r="R6312" s="78">
        <f>MAX(S6312:W6312)</f>
        <v>0</v>
      </c>
      <c r="S6312" s="88"/>
      <c r="T6312" s="88"/>
      <c r="U6312" s="88"/>
      <c r="V6312" s="88"/>
      <c r="W6312" s="88"/>
    </row>
    <row r="6313" spans="2:23" s="0" customFormat="0" ht="15">
      <c r="B6313" s="87" t="s">
        <v>1</v>
      </c>
      <c r="C6313" s="88" t="s">
        <v>5259</v>
      </c>
      <c r="D6313" s="88">
        <v>12570444</v>
      </c>
      <c r="E6313" s="88" t="s">
        <v>61</v>
      </c>
      <c r="F6313" s="88">
        <v>0</v>
      </c>
      <c r="G6313" s="78">
        <f>MAX(H6313,I6313,J6313)</f>
        <v>1</v>
      </c>
      <c r="H6313" s="88"/>
      <c r="I6313" s="88"/>
      <c r="J6313" s="78">
        <f>MAX(K6313:Q6313)</f>
        <v>1</v>
      </c>
      <c r="K6313" s="88">
        <v>1</v>
      </c>
      <c r="L6313" s="88"/>
      <c r="M6313" s="88"/>
      <c r="N6313" s="88"/>
      <c r="O6313" s="88"/>
      <c r="P6313" s="88"/>
      <c r="Q6313" s="88"/>
      <c r="R6313" s="78">
        <f>MAX(S6313:W6313)</f>
        <v>0</v>
      </c>
      <c r="S6313" s="88"/>
      <c r="T6313" s="88"/>
      <c r="U6313" s="88"/>
      <c r="V6313" s="88"/>
      <c r="W6313" s="88"/>
    </row>
    <row r="6314" spans="2:23" s="0" customFormat="0" ht="15">
      <c r="B6314" s="87" t="s">
        <v>1</v>
      </c>
      <c r="C6314" s="88" t="s">
        <v>5259</v>
      </c>
      <c r="D6314" s="88">
        <v>17829812</v>
      </c>
      <c r="E6314" s="88" t="s">
        <v>61</v>
      </c>
      <c r="F6314" s="88">
        <v>0</v>
      </c>
      <c r="G6314" s="78">
        <f>MAX(H6314,I6314,J6314)</f>
        <v>1</v>
      </c>
      <c r="H6314" s="88"/>
      <c r="I6314" s="88"/>
      <c r="J6314" s="78">
        <f>MAX(K6314:Q6314)</f>
        <v>1</v>
      </c>
      <c r="K6314" s="88">
        <v>1</v>
      </c>
      <c r="L6314" s="88"/>
      <c r="M6314" s="88"/>
      <c r="N6314" s="88"/>
      <c r="O6314" s="88"/>
      <c r="P6314" s="88"/>
      <c r="Q6314" s="88"/>
      <c r="R6314" s="78">
        <f>MAX(S6314:W6314)</f>
        <v>0</v>
      </c>
      <c r="S6314" s="88"/>
      <c r="T6314" s="88"/>
      <c r="U6314" s="88"/>
      <c r="V6314" s="88"/>
      <c r="W6314" s="88"/>
    </row>
    <row r="6315" spans="2:23" s="0" customFormat="0" ht="15">
      <c r="B6315" s="87" t="s">
        <v>1</v>
      </c>
      <c r="C6315" s="88" t="s">
        <v>5259</v>
      </c>
      <c r="D6315" s="88">
        <v>14685397</v>
      </c>
      <c r="E6315" s="88" t="s">
        <v>61</v>
      </c>
      <c r="F6315" s="88">
        <v>0</v>
      </c>
      <c r="G6315" s="78">
        <f>MAX(H6315,I6315,J6315)</f>
        <v>1</v>
      </c>
      <c r="H6315" s="88"/>
      <c r="I6315" s="88"/>
      <c r="J6315" s="78">
        <f>MAX(K6315:Q6315)</f>
        <v>1</v>
      </c>
      <c r="K6315" s="88">
        <v>1</v>
      </c>
      <c r="L6315" s="88"/>
      <c r="M6315" s="88"/>
      <c r="N6315" s="88"/>
      <c r="O6315" s="88"/>
      <c r="P6315" s="88"/>
      <c r="Q6315" s="88"/>
      <c r="R6315" s="78">
        <f>MAX(S6315:W6315)</f>
        <v>0</v>
      </c>
      <c r="S6315" s="88"/>
      <c r="T6315" s="88"/>
      <c r="U6315" s="88"/>
      <c r="V6315" s="88"/>
      <c r="W6315" s="88"/>
    </row>
    <row r="6316" spans="2:23" s="0" customFormat="0" ht="15">
      <c r="B6316" s="87" t="s">
        <v>1</v>
      </c>
      <c r="C6316" s="88" t="s">
        <v>5259</v>
      </c>
      <c r="D6316" s="88">
        <v>20233235</v>
      </c>
      <c r="E6316" s="88" t="s">
        <v>61</v>
      </c>
      <c r="F6316" s="88">
        <v>0</v>
      </c>
      <c r="G6316" s="78">
        <f>MAX(H6316,I6316,J6316)</f>
        <v>1</v>
      </c>
      <c r="H6316" s="88"/>
      <c r="I6316" s="88"/>
      <c r="J6316" s="78">
        <f>MAX(K6316:Q6316)</f>
        <v>1</v>
      </c>
      <c r="K6316" s="88">
        <v>1</v>
      </c>
      <c r="L6316" s="88"/>
      <c r="M6316" s="88"/>
      <c r="N6316" s="88"/>
      <c r="O6316" s="88"/>
      <c r="P6316" s="88"/>
      <c r="Q6316" s="88"/>
      <c r="R6316" s="78">
        <f>MAX(S6316:W6316)</f>
        <v>0</v>
      </c>
      <c r="S6316" s="88"/>
      <c r="T6316" s="88"/>
      <c r="U6316" s="88"/>
      <c r="V6316" s="88"/>
      <c r="W6316" s="88"/>
    </row>
    <row r="6317" spans="2:23" s="0" customFormat="0" ht="15">
      <c r="B6317" s="87" t="s">
        <v>1</v>
      </c>
      <c r="C6317" s="88" t="s">
        <v>5259</v>
      </c>
      <c r="D6317" s="88">
        <v>21676070</v>
      </c>
      <c r="E6317" s="88" t="s">
        <v>61</v>
      </c>
      <c r="F6317" s="88">
        <v>0</v>
      </c>
      <c r="G6317" s="78">
        <f>MAX(H6317,I6317,J6317)</f>
        <v>1</v>
      </c>
      <c r="H6317" s="88"/>
      <c r="I6317" s="88"/>
      <c r="J6317" s="78">
        <f>MAX(K6317:Q6317)</f>
        <v>1</v>
      </c>
      <c r="K6317" s="88">
        <v>1</v>
      </c>
      <c r="L6317" s="88"/>
      <c r="M6317" s="88"/>
      <c r="N6317" s="88"/>
      <c r="O6317" s="88"/>
      <c r="P6317" s="88"/>
      <c r="Q6317" s="88"/>
      <c r="R6317" s="78">
        <f>MAX(S6317:W6317)</f>
        <v>0</v>
      </c>
      <c r="S6317" s="88"/>
      <c r="T6317" s="88"/>
      <c r="U6317" s="88"/>
      <c r="V6317" s="88"/>
      <c r="W6317" s="88"/>
    </row>
    <row r="6318" spans="2:23" s="0" customFormat="0" ht="15">
      <c r="B6318" s="87" t="s">
        <v>1</v>
      </c>
      <c r="C6318" s="88" t="s">
        <v>5259</v>
      </c>
      <c r="D6318" s="88" t="s">
        <v>5063</v>
      </c>
      <c r="E6318" s="88" t="s">
        <v>61</v>
      </c>
      <c r="F6318" s="88">
        <v>0</v>
      </c>
      <c r="G6318" s="78">
        <f>MAX(H6318,I6318,J6318)</f>
        <v>0</v>
      </c>
      <c r="H6318" s="88"/>
      <c r="I6318" s="88"/>
      <c r="J6318" s="78">
        <f>MAX(K6318:Q6318)</f>
        <v>0</v>
      </c>
      <c r="K6318" s="88"/>
      <c r="L6318" s="88"/>
      <c r="M6318" s="88"/>
      <c r="N6318" s="88"/>
      <c r="O6318" s="88"/>
      <c r="P6318" s="88"/>
      <c r="Q6318" s="88"/>
      <c r="R6318" s="78">
        <f>MAX(S6318:W6318)</f>
        <v>1</v>
      </c>
      <c r="S6318" s="88"/>
      <c r="T6318" s="88"/>
      <c r="U6318" s="88">
        <v>1</v>
      </c>
      <c r="V6318" s="88"/>
      <c r="W6318" s="88"/>
    </row>
    <row r="6319" spans="2:23" s="0" customFormat="0" ht="15">
      <c r="B6319" s="87" t="s">
        <v>1</v>
      </c>
      <c r="C6319" s="88" t="s">
        <v>5259</v>
      </c>
      <c r="D6319" s="88" t="s">
        <v>3043</v>
      </c>
      <c r="E6319" s="88" t="s">
        <v>61</v>
      </c>
      <c r="F6319" s="88">
        <v>0</v>
      </c>
      <c r="G6319" s="78">
        <f>MAX(H6319,I6319,J6319)</f>
        <v>1</v>
      </c>
      <c r="H6319" s="88"/>
      <c r="I6319" s="88"/>
      <c r="J6319" s="78">
        <f>MAX(K6319:Q6319)</f>
        <v>1</v>
      </c>
      <c r="K6319" s="88"/>
      <c r="L6319" s="88">
        <v>1</v>
      </c>
      <c r="M6319" s="88"/>
      <c r="N6319" s="88"/>
      <c r="O6319" s="88"/>
      <c r="P6319" s="88"/>
      <c r="Q6319" s="88"/>
      <c r="R6319" s="78">
        <f>MAX(S6319:W6319)</f>
        <v>0</v>
      </c>
      <c r="S6319" s="88"/>
      <c r="T6319" s="88"/>
      <c r="U6319" s="88"/>
      <c r="V6319" s="88"/>
      <c r="W6319" s="88"/>
    </row>
    <row r="6320" spans="2:23" s="0" customFormat="0" ht="15">
      <c r="B6320" s="87" t="s">
        <v>1</v>
      </c>
      <c r="C6320" s="88" t="s">
        <v>5259</v>
      </c>
      <c r="D6320" s="88">
        <v>19863506</v>
      </c>
      <c r="E6320" s="88" t="s">
        <v>61</v>
      </c>
      <c r="F6320" s="88">
        <v>0</v>
      </c>
      <c r="G6320" s="78">
        <f>MAX(H6320,I6320,J6320)</f>
        <v>0</v>
      </c>
      <c r="H6320" s="88"/>
      <c r="I6320" s="88"/>
      <c r="J6320" s="78">
        <f>MAX(K6320:Q6320)</f>
        <v>0</v>
      </c>
      <c r="K6320" s="88"/>
      <c r="L6320" s="88"/>
      <c r="M6320" s="88"/>
      <c r="N6320" s="88"/>
      <c r="O6320" s="88"/>
      <c r="P6320" s="88"/>
      <c r="Q6320" s="88"/>
      <c r="R6320" s="78">
        <f>MAX(S6320:W6320)</f>
        <v>1</v>
      </c>
      <c r="S6320" s="88"/>
      <c r="T6320" s="88"/>
      <c r="U6320" s="88">
        <v>1</v>
      </c>
      <c r="V6320" s="88"/>
      <c r="W6320" s="88"/>
    </row>
    <row r="6321" spans="2:23" s="0" customFormat="0" ht="15">
      <c r="B6321" s="87" t="s">
        <v>1</v>
      </c>
      <c r="C6321" s="88" t="s">
        <v>5259</v>
      </c>
      <c r="D6321" s="88">
        <v>22554359</v>
      </c>
      <c r="E6321" s="88" t="s">
        <v>61</v>
      </c>
      <c r="F6321" s="88">
        <v>0</v>
      </c>
      <c r="G6321" s="78">
        <f>MAX(H6321,I6321,J6321)</f>
        <v>0</v>
      </c>
      <c r="H6321" s="88"/>
      <c r="I6321" s="88"/>
      <c r="J6321" s="78">
        <f>MAX(K6321:Q6321)</f>
        <v>0</v>
      </c>
      <c r="K6321" s="88"/>
      <c r="L6321" s="88"/>
      <c r="M6321" s="88"/>
      <c r="N6321" s="88"/>
      <c r="O6321" s="88"/>
      <c r="P6321" s="88"/>
      <c r="Q6321" s="88"/>
      <c r="R6321" s="78">
        <f>MAX(S6321:W6321)</f>
        <v>1</v>
      </c>
      <c r="S6321" s="88"/>
      <c r="T6321" s="88"/>
      <c r="U6321" s="88">
        <v>1</v>
      </c>
      <c r="V6321" s="88"/>
      <c r="W6321" s="88"/>
    </row>
    <row r="6322" spans="2:23" s="0" customFormat="0" ht="15">
      <c r="B6322" s="87" t="s">
        <v>1</v>
      </c>
      <c r="C6322" s="88" t="s">
        <v>5259</v>
      </c>
      <c r="D6322" s="88" t="s">
        <v>5209</v>
      </c>
      <c r="E6322" s="88" t="s">
        <v>61</v>
      </c>
      <c r="F6322" s="88">
        <v>0</v>
      </c>
      <c r="G6322" s="78">
        <f>MAX(H6322,I6322,J6322)</f>
        <v>0</v>
      </c>
      <c r="H6322" s="88"/>
      <c r="I6322" s="88"/>
      <c r="J6322" s="78">
        <f>MAX(K6322:Q6322)</f>
        <v>0</v>
      </c>
      <c r="K6322" s="88"/>
      <c r="L6322" s="88"/>
      <c r="M6322" s="88"/>
      <c r="N6322" s="88"/>
      <c r="O6322" s="88"/>
      <c r="P6322" s="88"/>
      <c r="Q6322" s="88"/>
      <c r="R6322" s="78">
        <f>MAX(S6322:W6322)</f>
        <v>1</v>
      </c>
      <c r="S6322" s="88"/>
      <c r="T6322" s="88"/>
      <c r="U6322" s="88">
        <v>1</v>
      </c>
      <c r="V6322" s="88"/>
      <c r="W6322" s="88"/>
    </row>
    <row r="6323" spans="2:23" s="0" customFormat="0" ht="15">
      <c r="B6323" s="87" t="s">
        <v>1</v>
      </c>
      <c r="C6323" s="88" t="s">
        <v>5259</v>
      </c>
      <c r="D6323" s="88">
        <v>22281235</v>
      </c>
      <c r="E6323" s="88" t="s">
        <v>61</v>
      </c>
      <c r="F6323" s="88">
        <v>0</v>
      </c>
      <c r="G6323" s="78">
        <f>MAX(H6323,I6323,J6323)</f>
        <v>0</v>
      </c>
      <c r="H6323" s="88"/>
      <c r="I6323" s="88"/>
      <c r="J6323" s="78">
        <f>MAX(K6323:Q6323)</f>
        <v>0</v>
      </c>
      <c r="K6323" s="88"/>
      <c r="L6323" s="88"/>
      <c r="M6323" s="88"/>
      <c r="N6323" s="88"/>
      <c r="O6323" s="88"/>
      <c r="P6323" s="88"/>
      <c r="Q6323" s="88"/>
      <c r="R6323" s="78">
        <f>MAX(S6323:W6323)</f>
        <v>1</v>
      </c>
      <c r="S6323" s="88"/>
      <c r="T6323" s="88"/>
      <c r="U6323" s="88">
        <v>1</v>
      </c>
      <c r="V6323" s="88"/>
      <c r="W6323" s="88"/>
    </row>
    <row r="6324" spans="2:23" s="0" customFormat="0" ht="15">
      <c r="B6324" s="87" t="s">
        <v>1</v>
      </c>
      <c r="C6324" s="88" t="s">
        <v>5259</v>
      </c>
      <c r="D6324" s="88">
        <v>15449869</v>
      </c>
      <c r="E6324" s="88" t="s">
        <v>61</v>
      </c>
      <c r="F6324" s="88">
        <v>0</v>
      </c>
      <c r="G6324" s="78">
        <f>MAX(H6324,I6324,J6324)</f>
        <v>1</v>
      </c>
      <c r="H6324" s="88"/>
      <c r="I6324" s="88"/>
      <c r="J6324" s="78">
        <f>MAX(K6324:Q6324)</f>
        <v>1</v>
      </c>
      <c r="K6324" s="88">
        <v>1</v>
      </c>
      <c r="L6324" s="88"/>
      <c r="M6324" s="88"/>
      <c r="N6324" s="88"/>
      <c r="O6324" s="88"/>
      <c r="P6324" s="88"/>
      <c r="Q6324" s="88"/>
      <c r="R6324" s="78">
        <f>MAX(S6324:W6324)</f>
        <v>0</v>
      </c>
      <c r="S6324" s="88"/>
      <c r="T6324" s="88"/>
      <c r="U6324" s="88"/>
      <c r="V6324" s="88"/>
      <c r="W6324" s="88"/>
    </row>
    <row r="6325" spans="2:23" s="0" customFormat="0" ht="15">
      <c r="B6325" s="87" t="s">
        <v>1</v>
      </c>
      <c r="C6325" s="88" t="s">
        <v>5259</v>
      </c>
      <c r="D6325" s="88" t="s">
        <v>4219</v>
      </c>
      <c r="E6325" s="88" t="s">
        <v>61</v>
      </c>
      <c r="F6325" s="88">
        <v>0</v>
      </c>
      <c r="G6325" s="78">
        <f>MAX(H6325,I6325,J6325)</f>
        <v>0</v>
      </c>
      <c r="H6325" s="88"/>
      <c r="I6325" s="88"/>
      <c r="J6325" s="78">
        <f>MAX(K6325:Q6325)</f>
        <v>0</v>
      </c>
      <c r="K6325" s="88"/>
      <c r="L6325" s="88"/>
      <c r="M6325" s="88"/>
      <c r="N6325" s="88"/>
      <c r="O6325" s="88"/>
      <c r="P6325" s="88"/>
      <c r="Q6325" s="88"/>
      <c r="R6325" s="78">
        <f>MAX(S6325:W6325)</f>
        <v>1</v>
      </c>
      <c r="S6325" s="88"/>
      <c r="T6325" s="88"/>
      <c r="U6325" s="88">
        <v>1</v>
      </c>
      <c r="V6325" s="88"/>
      <c r="W6325" s="88"/>
    </row>
    <row r="6326" spans="2:23" s="0" customFormat="0" ht="15">
      <c r="B6326" s="87" t="s">
        <v>1</v>
      </c>
      <c r="C6326" s="88" t="s">
        <v>5259</v>
      </c>
      <c r="D6326" s="88" t="s">
        <v>1652</v>
      </c>
      <c r="E6326" s="88" t="s">
        <v>61</v>
      </c>
      <c r="F6326" s="88">
        <v>0</v>
      </c>
      <c r="G6326" s="78">
        <f>MAX(H6326,I6326,J6326)</f>
        <v>1</v>
      </c>
      <c r="H6326" s="88"/>
      <c r="I6326" s="88"/>
      <c r="J6326" s="78">
        <f>MAX(K6326:Q6326)</f>
        <v>1</v>
      </c>
      <c r="K6326" s="88">
        <v>1</v>
      </c>
      <c r="L6326" s="88"/>
      <c r="M6326" s="88"/>
      <c r="N6326" s="88"/>
      <c r="O6326" s="88"/>
      <c r="P6326" s="88"/>
      <c r="Q6326" s="88"/>
      <c r="R6326" s="78">
        <f>MAX(S6326:W6326)</f>
        <v>0</v>
      </c>
      <c r="S6326" s="88"/>
      <c r="T6326" s="88"/>
      <c r="U6326" s="88"/>
      <c r="V6326" s="88"/>
      <c r="W6326" s="88"/>
    </row>
    <row r="6327" spans="2:23" s="0" customFormat="0" ht="15">
      <c r="B6327" s="87" t="s">
        <v>1</v>
      </c>
      <c r="C6327" s="88" t="s">
        <v>5259</v>
      </c>
      <c r="D6327" s="88" t="s">
        <v>1557</v>
      </c>
      <c r="E6327" s="88" t="s">
        <v>61</v>
      </c>
      <c r="F6327" s="88">
        <v>0</v>
      </c>
      <c r="G6327" s="78">
        <f>MAX(H6327,I6327,J6327)</f>
        <v>1</v>
      </c>
      <c r="H6327" s="88"/>
      <c r="I6327" s="88"/>
      <c r="J6327" s="78">
        <f>MAX(K6327:Q6327)</f>
        <v>1</v>
      </c>
      <c r="K6327" s="88">
        <v>1</v>
      </c>
      <c r="L6327" s="88"/>
      <c r="M6327" s="88"/>
      <c r="N6327" s="88"/>
      <c r="O6327" s="88"/>
      <c r="P6327" s="88"/>
      <c r="Q6327" s="88"/>
      <c r="R6327" s="78">
        <f>MAX(S6327:W6327)</f>
        <v>0</v>
      </c>
      <c r="S6327" s="88"/>
      <c r="T6327" s="88"/>
      <c r="U6327" s="88"/>
      <c r="V6327" s="88"/>
      <c r="W6327" s="88"/>
    </row>
    <row r="6328" spans="2:23" s="0" customFormat="0" ht="15">
      <c r="B6328" s="87" t="s">
        <v>1</v>
      </c>
      <c r="C6328" s="88" t="s">
        <v>5259</v>
      </c>
      <c r="D6328" s="88" t="s">
        <v>5164</v>
      </c>
      <c r="E6328" s="88" t="s">
        <v>61</v>
      </c>
      <c r="F6328" s="88">
        <v>0</v>
      </c>
      <c r="G6328" s="78">
        <f>MAX(H6328,I6328,J6328)</f>
        <v>0</v>
      </c>
      <c r="H6328" s="88"/>
      <c r="I6328" s="88"/>
      <c r="J6328" s="78">
        <f>MAX(K6328:Q6328)</f>
        <v>0</v>
      </c>
      <c r="K6328" s="88"/>
      <c r="L6328" s="88"/>
      <c r="M6328" s="88"/>
      <c r="N6328" s="88"/>
      <c r="O6328" s="88"/>
      <c r="P6328" s="88"/>
      <c r="Q6328" s="88"/>
      <c r="R6328" s="78">
        <f>MAX(S6328:W6328)</f>
        <v>1</v>
      </c>
      <c r="S6328" s="88"/>
      <c r="T6328" s="88"/>
      <c r="U6328" s="88">
        <v>1</v>
      </c>
      <c r="V6328" s="88"/>
      <c r="W6328" s="88"/>
    </row>
    <row r="6329" spans="2:23" s="0" customFormat="0" ht="15">
      <c r="B6329" s="87" t="s">
        <v>1</v>
      </c>
      <c r="C6329" s="88" t="s">
        <v>5259</v>
      </c>
      <c r="D6329" s="88" t="s">
        <v>5211</v>
      </c>
      <c r="E6329" s="88" t="s">
        <v>61</v>
      </c>
      <c r="F6329" s="88">
        <v>0</v>
      </c>
      <c r="G6329" s="78">
        <f>MAX(H6329,I6329,J6329)</f>
        <v>0</v>
      </c>
      <c r="H6329" s="88"/>
      <c r="I6329" s="88"/>
      <c r="J6329" s="78">
        <f>MAX(K6329:Q6329)</f>
        <v>0</v>
      </c>
      <c r="K6329" s="88"/>
      <c r="L6329" s="88"/>
      <c r="M6329" s="88"/>
      <c r="N6329" s="88"/>
      <c r="O6329" s="88"/>
      <c r="P6329" s="88"/>
      <c r="Q6329" s="88"/>
      <c r="R6329" s="78">
        <f>MAX(S6329:W6329)</f>
        <v>1</v>
      </c>
      <c r="S6329" s="88"/>
      <c r="T6329" s="88"/>
      <c r="U6329" s="88">
        <v>1</v>
      </c>
      <c r="V6329" s="88"/>
      <c r="W6329" s="88"/>
    </row>
    <row r="6330" spans="2:23" s="0" customFormat="0" ht="15">
      <c r="B6330" s="87" t="s">
        <v>1</v>
      </c>
      <c r="C6330" s="88" t="s">
        <v>5259</v>
      </c>
      <c r="D6330" s="88" t="s">
        <v>5102</v>
      </c>
      <c r="E6330" s="88" t="s">
        <v>61</v>
      </c>
      <c r="F6330" s="88">
        <v>0</v>
      </c>
      <c r="G6330" s="78">
        <f>MAX(H6330,I6330,J6330)</f>
        <v>0</v>
      </c>
      <c r="H6330" s="88"/>
      <c r="I6330" s="88"/>
      <c r="J6330" s="78">
        <f>MAX(K6330:Q6330)</f>
        <v>0</v>
      </c>
      <c r="K6330" s="88"/>
      <c r="L6330" s="88"/>
      <c r="M6330" s="88"/>
      <c r="N6330" s="88"/>
      <c r="O6330" s="88"/>
      <c r="P6330" s="88"/>
      <c r="Q6330" s="88"/>
      <c r="R6330" s="78">
        <f>MAX(S6330:W6330)</f>
        <v>1</v>
      </c>
      <c r="S6330" s="88"/>
      <c r="T6330" s="88"/>
      <c r="U6330" s="88">
        <v>1</v>
      </c>
      <c r="V6330" s="88"/>
      <c r="W6330" s="88"/>
    </row>
    <row r="6331" spans="2:23" s="0" customFormat="0" ht="15">
      <c r="B6331" s="87" t="s">
        <v>1</v>
      </c>
      <c r="C6331" s="88" t="s">
        <v>5259</v>
      </c>
      <c r="D6331" s="88">
        <v>18807689</v>
      </c>
      <c r="E6331" s="88" t="s">
        <v>61</v>
      </c>
      <c r="F6331" s="88">
        <v>0</v>
      </c>
      <c r="G6331" s="78">
        <f>MAX(H6331,I6331,J6331)</f>
        <v>1</v>
      </c>
      <c r="H6331" s="88"/>
      <c r="I6331" s="88"/>
      <c r="J6331" s="78">
        <f>MAX(K6331:Q6331)</f>
        <v>1</v>
      </c>
      <c r="K6331" s="88">
        <v>1</v>
      </c>
      <c r="L6331" s="88"/>
      <c r="M6331" s="88"/>
      <c r="N6331" s="88"/>
      <c r="O6331" s="88"/>
      <c r="P6331" s="88"/>
      <c r="Q6331" s="88"/>
      <c r="R6331" s="78">
        <f>MAX(S6331:W6331)</f>
        <v>0</v>
      </c>
      <c r="S6331" s="88"/>
      <c r="T6331" s="88"/>
      <c r="U6331" s="88"/>
      <c r="V6331" s="88"/>
      <c r="W6331" s="88"/>
    </row>
    <row r="6332" spans="2:23" s="0" customFormat="0" ht="15">
      <c r="B6332" s="87" t="s">
        <v>1</v>
      </c>
      <c r="C6332" s="88" t="s">
        <v>5259</v>
      </c>
      <c r="D6332" s="88" t="s">
        <v>1874</v>
      </c>
      <c r="E6332" s="88" t="s">
        <v>61</v>
      </c>
      <c r="F6332" s="88">
        <v>0</v>
      </c>
      <c r="G6332" s="78">
        <f>MAX(H6332,I6332,J6332)</f>
        <v>1</v>
      </c>
      <c r="H6332" s="88"/>
      <c r="I6332" s="88"/>
      <c r="J6332" s="78">
        <f>MAX(K6332:Q6332)</f>
        <v>1</v>
      </c>
      <c r="K6332" s="88">
        <v>1</v>
      </c>
      <c r="L6332" s="88"/>
      <c r="M6332" s="88"/>
      <c r="N6332" s="88"/>
      <c r="O6332" s="88"/>
      <c r="P6332" s="88"/>
      <c r="Q6332" s="88"/>
      <c r="R6332" s="78">
        <f>MAX(S6332:W6332)</f>
        <v>0</v>
      </c>
      <c r="S6332" s="88"/>
      <c r="T6332" s="88"/>
      <c r="U6332" s="88"/>
      <c r="V6332" s="88"/>
      <c r="W6332" s="88"/>
    </row>
    <row r="6333" spans="2:23" s="0" customFormat="0" ht="15">
      <c r="B6333" s="87" t="s">
        <v>1</v>
      </c>
      <c r="C6333" s="88" t="s">
        <v>5259</v>
      </c>
      <c r="D6333" s="88">
        <v>12686062</v>
      </c>
      <c r="E6333" s="88" t="s">
        <v>61</v>
      </c>
      <c r="F6333" s="88">
        <v>0</v>
      </c>
      <c r="G6333" s="78">
        <f>MAX(H6333,I6333,J6333)</f>
        <v>1</v>
      </c>
      <c r="H6333" s="88"/>
      <c r="I6333" s="88"/>
      <c r="J6333" s="78">
        <f>MAX(K6333:Q6333)</f>
        <v>1</v>
      </c>
      <c r="K6333" s="88">
        <v>1</v>
      </c>
      <c r="L6333" s="88"/>
      <c r="M6333" s="88"/>
      <c r="N6333" s="88"/>
      <c r="O6333" s="88"/>
      <c r="P6333" s="88"/>
      <c r="Q6333" s="88"/>
      <c r="R6333" s="78">
        <f>MAX(S6333:W6333)</f>
        <v>0</v>
      </c>
      <c r="S6333" s="88"/>
      <c r="T6333" s="88"/>
      <c r="U6333" s="88"/>
      <c r="V6333" s="88"/>
      <c r="W6333" s="88"/>
    </row>
    <row r="6334" spans="2:23" s="0" customFormat="0" ht="15">
      <c r="B6334" s="87" t="s">
        <v>1</v>
      </c>
      <c r="C6334" s="88" t="s">
        <v>5259</v>
      </c>
      <c r="D6334" s="88">
        <v>22106686</v>
      </c>
      <c r="E6334" s="88" t="s">
        <v>61</v>
      </c>
      <c r="F6334" s="88">
        <v>0</v>
      </c>
      <c r="G6334" s="78">
        <f>MAX(H6334,I6334,J6334)</f>
        <v>1</v>
      </c>
      <c r="H6334" s="88"/>
      <c r="I6334" s="88"/>
      <c r="J6334" s="78">
        <f>MAX(K6334:Q6334)</f>
        <v>1</v>
      </c>
      <c r="K6334" s="88">
        <v>1</v>
      </c>
      <c r="L6334" s="88"/>
      <c r="M6334" s="88"/>
      <c r="N6334" s="88"/>
      <c r="O6334" s="88"/>
      <c r="P6334" s="88"/>
      <c r="Q6334" s="88"/>
      <c r="R6334" s="78">
        <f>MAX(S6334:W6334)</f>
        <v>0</v>
      </c>
      <c r="S6334" s="88"/>
      <c r="T6334" s="88"/>
      <c r="U6334" s="88"/>
      <c r="V6334" s="88"/>
      <c r="W6334" s="88"/>
    </row>
    <row r="6335" spans="2:23" s="0" customFormat="0" ht="15">
      <c r="B6335" s="87" t="s">
        <v>1</v>
      </c>
      <c r="C6335" s="88" t="s">
        <v>5259</v>
      </c>
      <c r="D6335" s="88">
        <v>24828803</v>
      </c>
      <c r="E6335" s="88" t="s">
        <v>61</v>
      </c>
      <c r="F6335" s="88">
        <v>0</v>
      </c>
      <c r="G6335" s="78">
        <f>MAX(H6335,I6335,J6335)</f>
        <v>1</v>
      </c>
      <c r="H6335" s="88"/>
      <c r="I6335" s="88"/>
      <c r="J6335" s="78">
        <f>MAX(K6335:Q6335)</f>
        <v>1</v>
      </c>
      <c r="K6335" s="88">
        <v>1</v>
      </c>
      <c r="L6335" s="88"/>
      <c r="M6335" s="88"/>
      <c r="N6335" s="88"/>
      <c r="O6335" s="88"/>
      <c r="P6335" s="88"/>
      <c r="Q6335" s="88"/>
      <c r="R6335" s="78">
        <f>MAX(S6335:W6335)</f>
        <v>0</v>
      </c>
      <c r="S6335" s="88"/>
      <c r="T6335" s="88"/>
      <c r="U6335" s="88"/>
      <c r="V6335" s="88"/>
      <c r="W6335" s="88"/>
    </row>
    <row r="6336" spans="2:23" s="0" customFormat="0" ht="15">
      <c r="B6336" s="87" t="s">
        <v>1</v>
      </c>
      <c r="C6336" s="88" t="s">
        <v>5259</v>
      </c>
      <c r="D6336" s="88" t="s">
        <v>5171</v>
      </c>
      <c r="E6336" s="88" t="s">
        <v>61</v>
      </c>
      <c r="F6336" s="88">
        <v>0</v>
      </c>
      <c r="G6336" s="78">
        <f>MAX(H6336,I6336,J6336)</f>
        <v>0</v>
      </c>
      <c r="H6336" s="88"/>
      <c r="I6336" s="88"/>
      <c r="J6336" s="78">
        <f>MAX(K6336:Q6336)</f>
        <v>0</v>
      </c>
      <c r="K6336" s="88"/>
      <c r="L6336" s="88"/>
      <c r="M6336" s="88"/>
      <c r="N6336" s="88"/>
      <c r="O6336" s="88"/>
      <c r="P6336" s="88"/>
      <c r="Q6336" s="88"/>
      <c r="R6336" s="78">
        <f>MAX(S6336:W6336)</f>
        <v>1</v>
      </c>
      <c r="S6336" s="88"/>
      <c r="T6336" s="88"/>
      <c r="U6336" s="88">
        <v>1</v>
      </c>
      <c r="V6336" s="88"/>
      <c r="W6336" s="88"/>
    </row>
    <row r="6337" spans="2:23" s="0" customFormat="0" ht="15">
      <c r="B6337" s="87" t="s">
        <v>1</v>
      </c>
      <c r="C6337" s="88" t="s">
        <v>5259</v>
      </c>
      <c r="D6337" s="88" t="s">
        <v>1707</v>
      </c>
      <c r="E6337" s="88" t="s">
        <v>61</v>
      </c>
      <c r="F6337" s="88">
        <v>0</v>
      </c>
      <c r="G6337" s="78">
        <f>MAX(H6337,I6337,J6337)</f>
        <v>1</v>
      </c>
      <c r="H6337" s="88"/>
      <c r="I6337" s="88"/>
      <c r="J6337" s="78">
        <f>MAX(K6337:Q6337)</f>
        <v>1</v>
      </c>
      <c r="K6337" s="88">
        <v>1</v>
      </c>
      <c r="L6337" s="88"/>
      <c r="M6337" s="88"/>
      <c r="N6337" s="88"/>
      <c r="O6337" s="88"/>
      <c r="P6337" s="88"/>
      <c r="Q6337" s="88"/>
      <c r="R6337" s="78">
        <f>MAX(S6337:W6337)</f>
        <v>0</v>
      </c>
      <c r="S6337" s="88"/>
      <c r="T6337" s="88"/>
      <c r="U6337" s="88"/>
      <c r="V6337" s="88"/>
      <c r="W6337" s="88"/>
    </row>
    <row r="6338" spans="2:23" s="0" customFormat="0" ht="15">
      <c r="B6338" s="87" t="s">
        <v>1</v>
      </c>
      <c r="C6338" s="88" t="s">
        <v>5259</v>
      </c>
      <c r="D6338" s="88">
        <v>12259980</v>
      </c>
      <c r="E6338" s="88" t="s">
        <v>61</v>
      </c>
      <c r="F6338" s="88">
        <v>0</v>
      </c>
      <c r="G6338" s="78">
        <f>MAX(H6338,I6338,J6338)</f>
        <v>1</v>
      </c>
      <c r="H6338" s="88"/>
      <c r="I6338" s="88"/>
      <c r="J6338" s="78">
        <f>MAX(K6338:Q6338)</f>
        <v>1</v>
      </c>
      <c r="K6338" s="88">
        <v>1</v>
      </c>
      <c r="L6338" s="88"/>
      <c r="M6338" s="88"/>
      <c r="N6338" s="88"/>
      <c r="O6338" s="88"/>
      <c r="P6338" s="88"/>
      <c r="Q6338" s="88"/>
      <c r="R6338" s="78">
        <f>MAX(S6338:W6338)</f>
        <v>0</v>
      </c>
      <c r="S6338" s="88"/>
      <c r="T6338" s="88"/>
      <c r="U6338" s="88"/>
      <c r="V6338" s="88"/>
      <c r="W6338" s="88"/>
    </row>
    <row r="6339" spans="2:23" s="0" customFormat="0" ht="15">
      <c r="B6339" s="87" t="s">
        <v>1</v>
      </c>
      <c r="C6339" s="88" t="s">
        <v>5259</v>
      </c>
      <c r="D6339" s="88">
        <v>11388706</v>
      </c>
      <c r="E6339" s="88" t="s">
        <v>61</v>
      </c>
      <c r="F6339" s="88">
        <v>0</v>
      </c>
      <c r="G6339" s="78">
        <f>MAX(H6339,I6339,J6339)</f>
        <v>1</v>
      </c>
      <c r="H6339" s="88"/>
      <c r="I6339" s="88"/>
      <c r="J6339" s="78">
        <f>MAX(K6339:Q6339)</f>
        <v>1</v>
      </c>
      <c r="K6339" s="88">
        <v>1</v>
      </c>
      <c r="L6339" s="88"/>
      <c r="M6339" s="88"/>
      <c r="N6339" s="88"/>
      <c r="O6339" s="88"/>
      <c r="P6339" s="88"/>
      <c r="Q6339" s="88"/>
      <c r="R6339" s="78">
        <f>MAX(S6339:W6339)</f>
        <v>0</v>
      </c>
      <c r="S6339" s="88"/>
      <c r="T6339" s="88"/>
      <c r="U6339" s="88"/>
      <c r="V6339" s="88"/>
      <c r="W6339" s="88"/>
    </row>
    <row r="6340" spans="2:23" s="0" customFormat="0" ht="15">
      <c r="B6340" s="87" t="s">
        <v>1</v>
      </c>
      <c r="C6340" s="88" t="s">
        <v>5259</v>
      </c>
      <c r="D6340" s="88">
        <v>16168539</v>
      </c>
      <c r="E6340" s="88" t="s">
        <v>61</v>
      </c>
      <c r="F6340" s="88">
        <v>0</v>
      </c>
      <c r="G6340" s="78">
        <f>MAX(H6340,I6340,J6340)</f>
        <v>1</v>
      </c>
      <c r="H6340" s="88"/>
      <c r="I6340" s="88"/>
      <c r="J6340" s="78">
        <f>MAX(K6340:Q6340)</f>
        <v>1</v>
      </c>
      <c r="K6340" s="88"/>
      <c r="L6340" s="88">
        <v>1</v>
      </c>
      <c r="M6340" s="88"/>
      <c r="N6340" s="88"/>
      <c r="O6340" s="88"/>
      <c r="P6340" s="88"/>
      <c r="Q6340" s="88"/>
      <c r="R6340" s="78">
        <f>MAX(S6340:W6340)</f>
        <v>0</v>
      </c>
      <c r="S6340" s="88"/>
      <c r="T6340" s="88"/>
      <c r="U6340" s="88"/>
      <c r="V6340" s="88"/>
      <c r="W6340" s="88"/>
    </row>
    <row r="6341" spans="2:23" s="0" customFormat="0" ht="15">
      <c r="B6341" s="87" t="s">
        <v>1</v>
      </c>
      <c r="C6341" s="88" t="s">
        <v>5259</v>
      </c>
      <c r="D6341" s="88" t="s">
        <v>4287</v>
      </c>
      <c r="E6341" s="88" t="s">
        <v>61</v>
      </c>
      <c r="F6341" s="88">
        <v>0</v>
      </c>
      <c r="G6341" s="78">
        <f>MAX(H6341,I6341,J6341)</f>
        <v>0</v>
      </c>
      <c r="H6341" s="88"/>
      <c r="I6341" s="88"/>
      <c r="J6341" s="78">
        <f>MAX(K6341:Q6341)</f>
        <v>0</v>
      </c>
      <c r="K6341" s="88"/>
      <c r="L6341" s="88"/>
      <c r="M6341" s="88"/>
      <c r="N6341" s="88"/>
      <c r="O6341" s="88"/>
      <c r="P6341" s="88"/>
      <c r="Q6341" s="88"/>
      <c r="R6341" s="78">
        <f>MAX(S6341:W6341)</f>
        <v>1</v>
      </c>
      <c r="S6341" s="88"/>
      <c r="T6341" s="88"/>
      <c r="U6341" s="88">
        <v>1</v>
      </c>
      <c r="V6341" s="88"/>
      <c r="W6341" s="88"/>
    </row>
    <row r="6342" spans="2:23" s="0" customFormat="0" ht="15">
      <c r="B6342" s="87" t="s">
        <v>1</v>
      </c>
      <c r="C6342" s="88" t="s">
        <v>5259</v>
      </c>
      <c r="D6342" s="88" t="s">
        <v>2921</v>
      </c>
      <c r="E6342" s="88" t="s">
        <v>61</v>
      </c>
      <c r="F6342" s="88">
        <v>0</v>
      </c>
      <c r="G6342" s="78">
        <f>MAX(H6342,I6342,J6342)</f>
        <v>1</v>
      </c>
      <c r="H6342" s="88"/>
      <c r="I6342" s="88"/>
      <c r="J6342" s="78">
        <f>MAX(K6342:Q6342)</f>
        <v>1</v>
      </c>
      <c r="K6342" s="88">
        <v>1</v>
      </c>
      <c r="L6342" s="88"/>
      <c r="M6342" s="88"/>
      <c r="N6342" s="88"/>
      <c r="O6342" s="88"/>
      <c r="P6342" s="88"/>
      <c r="Q6342" s="88"/>
      <c r="R6342" s="78">
        <f>MAX(S6342:W6342)</f>
        <v>0</v>
      </c>
      <c r="S6342" s="88"/>
      <c r="T6342" s="88"/>
      <c r="U6342" s="88"/>
      <c r="V6342" s="88"/>
      <c r="W6342" s="88"/>
    </row>
    <row r="6343" spans="2:23" s="0" customFormat="0" ht="15">
      <c r="B6343" s="87" t="s">
        <v>1</v>
      </c>
      <c r="C6343" s="88" t="s">
        <v>5259</v>
      </c>
      <c r="D6343" s="88" t="s">
        <v>4868</v>
      </c>
      <c r="E6343" s="88" t="s">
        <v>61</v>
      </c>
      <c r="F6343" s="88">
        <v>0</v>
      </c>
      <c r="G6343" s="78">
        <f>MAX(H6343,I6343,J6343)</f>
        <v>0</v>
      </c>
      <c r="H6343" s="88"/>
      <c r="I6343" s="88"/>
      <c r="J6343" s="78">
        <f>MAX(K6343:Q6343)</f>
        <v>0</v>
      </c>
      <c r="K6343" s="88"/>
      <c r="L6343" s="88"/>
      <c r="M6343" s="88"/>
      <c r="N6343" s="88"/>
      <c r="O6343" s="88"/>
      <c r="P6343" s="88"/>
      <c r="Q6343" s="88"/>
      <c r="R6343" s="78">
        <f>MAX(S6343:W6343)</f>
        <v>1</v>
      </c>
      <c r="S6343" s="88"/>
      <c r="T6343" s="88"/>
      <c r="U6343" s="88">
        <v>1</v>
      </c>
      <c r="V6343" s="88"/>
      <c r="W6343" s="88"/>
    </row>
    <row r="6344" spans="2:23" s="0" customFormat="0" ht="15">
      <c r="B6344" s="87" t="s">
        <v>1</v>
      </c>
      <c r="C6344" s="88" t="s">
        <v>5259</v>
      </c>
      <c r="D6344" s="88">
        <v>13136867</v>
      </c>
      <c r="E6344" s="88" t="s">
        <v>61</v>
      </c>
      <c r="F6344" s="88">
        <v>0</v>
      </c>
      <c r="G6344" s="78">
        <f>MAX(H6344,I6344,J6344)</f>
        <v>1</v>
      </c>
      <c r="H6344" s="88"/>
      <c r="I6344" s="88"/>
      <c r="J6344" s="78">
        <f>MAX(K6344:Q6344)</f>
        <v>1</v>
      </c>
      <c r="K6344" s="88">
        <v>1</v>
      </c>
      <c r="L6344" s="88"/>
      <c r="M6344" s="88"/>
      <c r="N6344" s="88"/>
      <c r="O6344" s="88"/>
      <c r="P6344" s="88"/>
      <c r="Q6344" s="88"/>
      <c r="R6344" s="78">
        <f>MAX(S6344:W6344)</f>
        <v>0</v>
      </c>
      <c r="S6344" s="88"/>
      <c r="T6344" s="88"/>
      <c r="U6344" s="88"/>
      <c r="V6344" s="88"/>
      <c r="W6344" s="88"/>
    </row>
    <row r="6345" spans="2:23" s="0" customFormat="0" ht="15">
      <c r="B6345" s="87" t="s">
        <v>1</v>
      </c>
      <c r="C6345" s="88" t="s">
        <v>5259</v>
      </c>
      <c r="D6345" s="88">
        <v>22273777</v>
      </c>
      <c r="E6345" s="88" t="s">
        <v>61</v>
      </c>
      <c r="F6345" s="88">
        <v>0</v>
      </c>
      <c r="G6345" s="78">
        <f>MAX(H6345,I6345,J6345)</f>
        <v>1</v>
      </c>
      <c r="H6345" s="88"/>
      <c r="I6345" s="88"/>
      <c r="J6345" s="78">
        <f>MAX(K6345:Q6345)</f>
        <v>1</v>
      </c>
      <c r="K6345" s="88">
        <v>1</v>
      </c>
      <c r="L6345" s="88"/>
      <c r="M6345" s="88"/>
      <c r="N6345" s="88"/>
      <c r="O6345" s="88"/>
      <c r="P6345" s="88"/>
      <c r="Q6345" s="88"/>
      <c r="R6345" s="78">
        <f>MAX(S6345:W6345)</f>
        <v>0</v>
      </c>
      <c r="S6345" s="88"/>
      <c r="T6345" s="88"/>
      <c r="U6345" s="88"/>
      <c r="V6345" s="88"/>
      <c r="W6345" s="88"/>
    </row>
    <row r="6346" spans="2:23" s="0" customFormat="0" ht="15">
      <c r="B6346" s="87" t="s">
        <v>1</v>
      </c>
      <c r="C6346" s="88" t="s">
        <v>5259</v>
      </c>
      <c r="D6346" s="88" t="s">
        <v>2839</v>
      </c>
      <c r="E6346" s="88" t="s">
        <v>61</v>
      </c>
      <c r="F6346" s="88">
        <v>0</v>
      </c>
      <c r="G6346" s="78">
        <f>MAX(H6346,I6346,J6346)</f>
        <v>1</v>
      </c>
      <c r="H6346" s="88"/>
      <c r="I6346" s="88"/>
      <c r="J6346" s="78">
        <f>MAX(K6346:Q6346)</f>
        <v>1</v>
      </c>
      <c r="K6346" s="88">
        <v>1</v>
      </c>
      <c r="L6346" s="88"/>
      <c r="M6346" s="88"/>
      <c r="N6346" s="88"/>
      <c r="O6346" s="88"/>
      <c r="P6346" s="88"/>
      <c r="Q6346" s="88"/>
      <c r="R6346" s="78">
        <f>MAX(S6346:W6346)</f>
        <v>0</v>
      </c>
      <c r="S6346" s="88"/>
      <c r="T6346" s="88"/>
      <c r="U6346" s="88"/>
      <c r="V6346" s="88"/>
      <c r="W6346" s="88"/>
    </row>
    <row r="6347" spans="2:23" s="0" customFormat="0" ht="15">
      <c r="B6347" s="87" t="s">
        <v>1</v>
      </c>
      <c r="C6347" s="88" t="s">
        <v>5259</v>
      </c>
      <c r="D6347" s="88">
        <v>11842055</v>
      </c>
      <c r="E6347" s="88" t="s">
        <v>61</v>
      </c>
      <c r="F6347" s="88">
        <v>0</v>
      </c>
      <c r="G6347" s="78">
        <f>MAX(H6347,I6347,J6347)</f>
        <v>1</v>
      </c>
      <c r="H6347" s="88"/>
      <c r="I6347" s="88"/>
      <c r="J6347" s="78">
        <f>MAX(K6347:Q6347)</f>
        <v>1</v>
      </c>
      <c r="K6347" s="88">
        <v>1</v>
      </c>
      <c r="L6347" s="88"/>
      <c r="M6347" s="88"/>
      <c r="N6347" s="88"/>
      <c r="O6347" s="88"/>
      <c r="P6347" s="88"/>
      <c r="Q6347" s="88"/>
      <c r="R6347" s="78">
        <f>MAX(S6347:W6347)</f>
        <v>0</v>
      </c>
      <c r="S6347" s="88"/>
      <c r="T6347" s="88"/>
      <c r="U6347" s="88"/>
      <c r="V6347" s="88"/>
      <c r="W6347" s="88"/>
    </row>
    <row r="6348" spans="2:23" s="0" customFormat="0" ht="15">
      <c r="B6348" s="87" t="s">
        <v>1</v>
      </c>
      <c r="C6348" s="88" t="s">
        <v>5259</v>
      </c>
      <c r="D6348" s="88">
        <v>15552694</v>
      </c>
      <c r="E6348" s="88" t="s">
        <v>61</v>
      </c>
      <c r="F6348" s="88">
        <v>0</v>
      </c>
      <c r="G6348" s="78">
        <f>MAX(H6348,I6348,J6348)</f>
        <v>1</v>
      </c>
      <c r="H6348" s="88"/>
      <c r="I6348" s="88"/>
      <c r="J6348" s="78">
        <f>MAX(K6348:Q6348)</f>
        <v>1</v>
      </c>
      <c r="K6348" s="88">
        <v>1</v>
      </c>
      <c r="L6348" s="88"/>
      <c r="M6348" s="88"/>
      <c r="N6348" s="88"/>
      <c r="O6348" s="88"/>
      <c r="P6348" s="88"/>
      <c r="Q6348" s="88"/>
      <c r="R6348" s="78">
        <f>MAX(S6348:W6348)</f>
        <v>0</v>
      </c>
      <c r="S6348" s="88"/>
      <c r="T6348" s="88"/>
      <c r="U6348" s="88"/>
      <c r="V6348" s="88"/>
      <c r="W6348" s="88"/>
    </row>
    <row r="6349" spans="2:23" s="0" customFormat="0" ht="15">
      <c r="B6349" s="87" t="s">
        <v>1</v>
      </c>
      <c r="C6349" s="88" t="s">
        <v>5259</v>
      </c>
      <c r="D6349" s="88">
        <v>21045590</v>
      </c>
      <c r="E6349" s="88" t="s">
        <v>61</v>
      </c>
      <c r="F6349" s="88">
        <v>0</v>
      </c>
      <c r="G6349" s="78">
        <f>MAX(H6349,I6349,J6349)</f>
        <v>1</v>
      </c>
      <c r="H6349" s="88"/>
      <c r="I6349" s="88"/>
      <c r="J6349" s="78">
        <f>MAX(K6349:Q6349)</f>
        <v>1</v>
      </c>
      <c r="K6349" s="88">
        <v>1</v>
      </c>
      <c r="L6349" s="88"/>
      <c r="M6349" s="88"/>
      <c r="N6349" s="88"/>
      <c r="O6349" s="88"/>
      <c r="P6349" s="88"/>
      <c r="Q6349" s="88"/>
      <c r="R6349" s="78">
        <f>MAX(S6349:W6349)</f>
        <v>0</v>
      </c>
      <c r="S6349" s="88"/>
      <c r="T6349" s="88"/>
      <c r="U6349" s="88"/>
      <c r="V6349" s="88"/>
      <c r="W6349" s="88"/>
    </row>
    <row r="6350" spans="2:23" s="0" customFormat="0" ht="15">
      <c r="B6350" s="87" t="s">
        <v>1</v>
      </c>
      <c r="C6350" s="88" t="s">
        <v>5259</v>
      </c>
      <c r="D6350" s="88">
        <v>23531113</v>
      </c>
      <c r="E6350" s="88" t="s">
        <v>61</v>
      </c>
      <c r="F6350" s="88">
        <v>0</v>
      </c>
      <c r="G6350" s="78">
        <f>MAX(H6350,I6350,J6350)</f>
        <v>1</v>
      </c>
      <c r="H6350" s="88"/>
      <c r="I6350" s="88"/>
      <c r="J6350" s="78">
        <f>MAX(K6350:Q6350)</f>
        <v>1</v>
      </c>
      <c r="K6350" s="88">
        <v>1</v>
      </c>
      <c r="L6350" s="88"/>
      <c r="M6350" s="88"/>
      <c r="N6350" s="88"/>
      <c r="O6350" s="88"/>
      <c r="P6350" s="88"/>
      <c r="Q6350" s="88"/>
      <c r="R6350" s="78">
        <f>MAX(S6350:W6350)</f>
        <v>0</v>
      </c>
      <c r="S6350" s="88"/>
      <c r="T6350" s="88"/>
      <c r="U6350" s="88"/>
      <c r="V6350" s="88"/>
      <c r="W6350" s="88"/>
    </row>
    <row r="6351" spans="2:23" s="0" customFormat="0" ht="15">
      <c r="B6351" s="87" t="s">
        <v>1</v>
      </c>
      <c r="C6351" s="88" t="s">
        <v>5259</v>
      </c>
      <c r="D6351" s="88" t="s">
        <v>2961</v>
      </c>
      <c r="E6351" s="88" t="s">
        <v>61</v>
      </c>
      <c r="F6351" s="88">
        <v>0</v>
      </c>
      <c r="G6351" s="78">
        <f>MAX(H6351,I6351,J6351)</f>
        <v>1</v>
      </c>
      <c r="H6351" s="88"/>
      <c r="I6351" s="88"/>
      <c r="J6351" s="78">
        <f>MAX(K6351:Q6351)</f>
        <v>1</v>
      </c>
      <c r="K6351" s="88">
        <v>1</v>
      </c>
      <c r="L6351" s="88"/>
      <c r="M6351" s="88"/>
      <c r="N6351" s="88"/>
      <c r="O6351" s="88"/>
      <c r="P6351" s="88"/>
      <c r="Q6351" s="88"/>
      <c r="R6351" s="78">
        <f>MAX(S6351:W6351)</f>
        <v>0</v>
      </c>
      <c r="S6351" s="88"/>
      <c r="T6351" s="88"/>
      <c r="U6351" s="88"/>
      <c r="V6351" s="88"/>
      <c r="W6351" s="88"/>
    </row>
    <row r="6352" spans="2:23" s="0" customFormat="0" ht="15">
      <c r="B6352" s="87" t="s">
        <v>1</v>
      </c>
      <c r="C6352" s="88" t="s">
        <v>5259</v>
      </c>
      <c r="D6352" s="88">
        <v>21247047</v>
      </c>
      <c r="E6352" s="88" t="s">
        <v>61</v>
      </c>
      <c r="F6352" s="88">
        <v>0</v>
      </c>
      <c r="G6352" s="78">
        <f>MAX(H6352,I6352,J6352)</f>
        <v>1</v>
      </c>
      <c r="H6352" s="88"/>
      <c r="I6352" s="88"/>
      <c r="J6352" s="78">
        <f>MAX(K6352:Q6352)</f>
        <v>1</v>
      </c>
      <c r="K6352" s="88">
        <v>1</v>
      </c>
      <c r="L6352" s="88"/>
      <c r="M6352" s="88"/>
      <c r="N6352" s="88"/>
      <c r="O6352" s="88"/>
      <c r="P6352" s="88"/>
      <c r="Q6352" s="88"/>
      <c r="R6352" s="78">
        <f>MAX(S6352:W6352)</f>
        <v>0</v>
      </c>
      <c r="S6352" s="88"/>
      <c r="T6352" s="88"/>
      <c r="U6352" s="88"/>
      <c r="V6352" s="88"/>
      <c r="W6352" s="88"/>
    </row>
    <row r="6353" spans="2:23" s="0" customFormat="0" ht="15">
      <c r="B6353" s="87" t="s">
        <v>1</v>
      </c>
      <c r="C6353" s="88" t="s">
        <v>5259</v>
      </c>
      <c r="D6353" s="88" t="s">
        <v>4284</v>
      </c>
      <c r="E6353" s="88" t="s">
        <v>61</v>
      </c>
      <c r="F6353" s="88">
        <v>0</v>
      </c>
      <c r="G6353" s="78">
        <f>MAX(H6353,I6353,J6353)</f>
        <v>0</v>
      </c>
      <c r="H6353" s="88"/>
      <c r="I6353" s="88"/>
      <c r="J6353" s="78">
        <f>MAX(K6353:Q6353)</f>
        <v>0</v>
      </c>
      <c r="K6353" s="88"/>
      <c r="L6353" s="88"/>
      <c r="M6353" s="88"/>
      <c r="N6353" s="88"/>
      <c r="O6353" s="88"/>
      <c r="P6353" s="88"/>
      <c r="Q6353" s="88"/>
      <c r="R6353" s="78">
        <f>MAX(S6353:W6353)</f>
        <v>1</v>
      </c>
      <c r="S6353" s="88"/>
      <c r="T6353" s="88"/>
      <c r="U6353" s="88">
        <v>1</v>
      </c>
      <c r="V6353" s="88"/>
      <c r="W6353" s="88"/>
    </row>
    <row r="6354" spans="2:23" s="0" customFormat="0" ht="15">
      <c r="B6354" s="87" t="s">
        <v>1</v>
      </c>
      <c r="C6354" s="88" t="s">
        <v>5259</v>
      </c>
      <c r="D6354" s="88">
        <v>14532329</v>
      </c>
      <c r="E6354" s="88" t="s">
        <v>61</v>
      </c>
      <c r="F6354" s="88">
        <v>0</v>
      </c>
      <c r="G6354" s="78">
        <f>MAX(H6354,I6354,J6354)</f>
        <v>1</v>
      </c>
      <c r="H6354" s="88"/>
      <c r="I6354" s="88"/>
      <c r="J6354" s="78">
        <f>MAX(K6354:Q6354)</f>
        <v>1</v>
      </c>
      <c r="K6354" s="88">
        <v>1</v>
      </c>
      <c r="L6354" s="88"/>
      <c r="M6354" s="88"/>
      <c r="N6354" s="88"/>
      <c r="O6354" s="88"/>
      <c r="P6354" s="88"/>
      <c r="Q6354" s="88"/>
      <c r="R6354" s="78">
        <f>MAX(S6354:W6354)</f>
        <v>0</v>
      </c>
      <c r="S6354" s="88"/>
      <c r="T6354" s="88"/>
      <c r="U6354" s="88"/>
      <c r="V6354" s="88"/>
      <c r="W6354" s="88"/>
    </row>
    <row r="6355" spans="2:23" s="0" customFormat="0" ht="15">
      <c r="B6355" s="87" t="s">
        <v>1</v>
      </c>
      <c r="C6355" s="88" t="s">
        <v>5259</v>
      </c>
      <c r="D6355" s="88">
        <v>22264575</v>
      </c>
      <c r="E6355" s="88" t="s">
        <v>61</v>
      </c>
      <c r="F6355" s="88">
        <v>0</v>
      </c>
      <c r="G6355" s="78">
        <f>MAX(H6355,I6355,J6355)</f>
        <v>1</v>
      </c>
      <c r="H6355" s="88"/>
      <c r="I6355" s="88"/>
      <c r="J6355" s="78">
        <f>MAX(K6355:Q6355)</f>
        <v>1</v>
      </c>
      <c r="K6355" s="88">
        <v>1</v>
      </c>
      <c r="L6355" s="88"/>
      <c r="M6355" s="88"/>
      <c r="N6355" s="88"/>
      <c r="O6355" s="88"/>
      <c r="P6355" s="88"/>
      <c r="Q6355" s="88"/>
      <c r="R6355" s="78">
        <f>MAX(S6355:W6355)</f>
        <v>0</v>
      </c>
      <c r="S6355" s="88"/>
      <c r="T6355" s="88"/>
      <c r="U6355" s="88"/>
      <c r="V6355" s="88"/>
      <c r="W6355" s="88"/>
    </row>
    <row r="6356" spans="2:23" s="0" customFormat="0" ht="15">
      <c r="B6356" s="87" t="s">
        <v>1</v>
      </c>
      <c r="C6356" s="88" t="s">
        <v>5259</v>
      </c>
      <c r="D6356" s="88">
        <v>19567751</v>
      </c>
      <c r="E6356" s="88" t="s">
        <v>61</v>
      </c>
      <c r="F6356" s="88">
        <v>0</v>
      </c>
      <c r="G6356" s="78">
        <f>MAX(H6356,I6356,J6356)</f>
        <v>1</v>
      </c>
      <c r="H6356" s="88"/>
      <c r="I6356" s="88"/>
      <c r="J6356" s="78">
        <f>MAX(K6356:Q6356)</f>
        <v>1</v>
      </c>
      <c r="K6356" s="88">
        <v>1</v>
      </c>
      <c r="L6356" s="88"/>
      <c r="M6356" s="88"/>
      <c r="N6356" s="88"/>
      <c r="O6356" s="88"/>
      <c r="P6356" s="88"/>
      <c r="Q6356" s="88"/>
      <c r="R6356" s="78">
        <f>MAX(S6356:W6356)</f>
        <v>0</v>
      </c>
      <c r="S6356" s="88"/>
      <c r="T6356" s="88"/>
      <c r="U6356" s="88"/>
      <c r="V6356" s="88"/>
      <c r="W6356" s="88"/>
    </row>
    <row r="6357" spans="2:23" s="0" customFormat="0" ht="15">
      <c r="B6357" s="87" t="s">
        <v>1</v>
      </c>
      <c r="C6357" s="88" t="s">
        <v>5259</v>
      </c>
      <c r="D6357" s="88">
        <v>22948279</v>
      </c>
      <c r="E6357" s="88" t="s">
        <v>61</v>
      </c>
      <c r="F6357" s="88">
        <v>0</v>
      </c>
      <c r="G6357" s="78">
        <f>MAX(H6357,I6357,J6357)</f>
        <v>1</v>
      </c>
      <c r="H6357" s="88"/>
      <c r="I6357" s="88"/>
      <c r="J6357" s="78">
        <f>MAX(K6357:Q6357)</f>
        <v>1</v>
      </c>
      <c r="K6357" s="88">
        <v>1</v>
      </c>
      <c r="L6357" s="88"/>
      <c r="M6357" s="88"/>
      <c r="N6357" s="88"/>
      <c r="O6357" s="88"/>
      <c r="P6357" s="88"/>
      <c r="Q6357" s="88"/>
      <c r="R6357" s="78">
        <f>MAX(S6357:W6357)</f>
        <v>0</v>
      </c>
      <c r="S6357" s="88"/>
      <c r="T6357" s="88"/>
      <c r="U6357" s="88"/>
      <c r="V6357" s="88"/>
      <c r="W6357" s="88"/>
    </row>
    <row r="6358" spans="2:23" s="0" customFormat="0" ht="15">
      <c r="B6358" s="87" t="s">
        <v>1</v>
      </c>
      <c r="C6358" s="88" t="s">
        <v>5259</v>
      </c>
      <c r="D6358" s="88">
        <v>11258732</v>
      </c>
      <c r="E6358" s="88" t="s">
        <v>61</v>
      </c>
      <c r="F6358" s="88">
        <v>0</v>
      </c>
      <c r="G6358" s="78">
        <f>MAX(H6358,I6358,J6358)</f>
        <v>1</v>
      </c>
      <c r="H6358" s="88"/>
      <c r="I6358" s="88"/>
      <c r="J6358" s="78">
        <f>MAX(K6358:Q6358)</f>
        <v>1</v>
      </c>
      <c r="K6358" s="88">
        <v>1</v>
      </c>
      <c r="L6358" s="88"/>
      <c r="M6358" s="88"/>
      <c r="N6358" s="88"/>
      <c r="O6358" s="88"/>
      <c r="P6358" s="88"/>
      <c r="Q6358" s="88"/>
      <c r="R6358" s="78">
        <f>MAX(S6358:W6358)</f>
        <v>0</v>
      </c>
      <c r="S6358" s="88"/>
      <c r="T6358" s="88"/>
      <c r="U6358" s="88"/>
      <c r="V6358" s="88"/>
      <c r="W6358" s="88"/>
    </row>
    <row r="6359" spans="2:23" s="0" customFormat="0" ht="15">
      <c r="B6359" s="87" t="s">
        <v>1</v>
      </c>
      <c r="C6359" s="88" t="s">
        <v>5259</v>
      </c>
      <c r="D6359" s="88">
        <v>21027809</v>
      </c>
      <c r="E6359" s="88" t="s">
        <v>61</v>
      </c>
      <c r="F6359" s="88">
        <v>0</v>
      </c>
      <c r="G6359" s="78">
        <f>MAX(H6359,I6359,J6359)</f>
        <v>0</v>
      </c>
      <c r="H6359" s="88"/>
      <c r="I6359" s="88"/>
      <c r="J6359" s="78">
        <f>MAX(K6359:Q6359)</f>
        <v>0</v>
      </c>
      <c r="K6359" s="88"/>
      <c r="L6359" s="88"/>
      <c r="M6359" s="88"/>
      <c r="N6359" s="88"/>
      <c r="O6359" s="88"/>
      <c r="P6359" s="88"/>
      <c r="Q6359" s="88"/>
      <c r="R6359" s="78">
        <f>MAX(S6359:W6359)</f>
        <v>1</v>
      </c>
      <c r="S6359" s="88"/>
      <c r="T6359" s="88"/>
      <c r="U6359" s="88">
        <v>1</v>
      </c>
      <c r="V6359" s="88"/>
      <c r="W6359" s="88"/>
    </row>
    <row r="6360" spans="2:23" s="0" customFormat="0" ht="15">
      <c r="B6360" s="87" t="s">
        <v>1</v>
      </c>
      <c r="C6360" s="88" t="s">
        <v>5259</v>
      </c>
      <c r="D6360" s="88">
        <v>19240912</v>
      </c>
      <c r="E6360" s="88" t="s">
        <v>61</v>
      </c>
      <c r="F6360" s="88">
        <v>0</v>
      </c>
      <c r="G6360" s="78">
        <f>MAX(H6360,I6360,J6360)</f>
        <v>1</v>
      </c>
      <c r="H6360" s="88"/>
      <c r="I6360" s="88"/>
      <c r="J6360" s="78">
        <f>MAX(K6360:Q6360)</f>
        <v>1</v>
      </c>
      <c r="K6360" s="88">
        <v>1</v>
      </c>
      <c r="L6360" s="88"/>
      <c r="M6360" s="88"/>
      <c r="N6360" s="88"/>
      <c r="O6360" s="88"/>
      <c r="P6360" s="88"/>
      <c r="Q6360" s="88"/>
      <c r="R6360" s="78">
        <f>MAX(S6360:W6360)</f>
        <v>0</v>
      </c>
      <c r="S6360" s="88"/>
      <c r="T6360" s="88"/>
      <c r="U6360" s="88"/>
      <c r="V6360" s="88"/>
      <c r="W6360" s="88"/>
    </row>
    <row r="6361" spans="2:23" s="0" customFormat="0" ht="15">
      <c r="B6361" s="87" t="s">
        <v>1</v>
      </c>
      <c r="C6361" s="88" t="s">
        <v>5259</v>
      </c>
      <c r="D6361" s="88" t="s">
        <v>4354</v>
      </c>
      <c r="E6361" s="88" t="s">
        <v>61</v>
      </c>
      <c r="F6361" s="88">
        <v>0</v>
      </c>
      <c r="G6361" s="78">
        <f>MAX(H6361,I6361,J6361)</f>
        <v>0</v>
      </c>
      <c r="H6361" s="88"/>
      <c r="I6361" s="88"/>
      <c r="J6361" s="78">
        <f>MAX(K6361:Q6361)</f>
        <v>0</v>
      </c>
      <c r="K6361" s="88"/>
      <c r="L6361" s="88"/>
      <c r="M6361" s="88"/>
      <c r="N6361" s="88"/>
      <c r="O6361" s="88"/>
      <c r="P6361" s="88"/>
      <c r="Q6361" s="88"/>
      <c r="R6361" s="78">
        <f>MAX(S6361:W6361)</f>
        <v>1</v>
      </c>
      <c r="S6361" s="88"/>
      <c r="T6361" s="88"/>
      <c r="U6361" s="88">
        <v>1</v>
      </c>
      <c r="V6361" s="88"/>
      <c r="W6361" s="88"/>
    </row>
    <row r="6362" spans="2:23" s="0" customFormat="0" ht="15">
      <c r="B6362" s="87" t="s">
        <v>1</v>
      </c>
      <c r="C6362" s="88" t="s">
        <v>5259</v>
      </c>
      <c r="D6362" s="88">
        <v>16972044</v>
      </c>
      <c r="E6362" s="88" t="s">
        <v>61</v>
      </c>
      <c r="F6362" s="88">
        <v>0</v>
      </c>
      <c r="G6362" s="78">
        <f>MAX(H6362,I6362,J6362)</f>
        <v>1</v>
      </c>
      <c r="H6362" s="88"/>
      <c r="I6362" s="88"/>
      <c r="J6362" s="78">
        <f>MAX(K6362:Q6362)</f>
        <v>1</v>
      </c>
      <c r="K6362" s="88">
        <v>1</v>
      </c>
      <c r="L6362" s="88"/>
      <c r="M6362" s="88"/>
      <c r="N6362" s="88"/>
      <c r="O6362" s="88"/>
      <c r="P6362" s="88"/>
      <c r="Q6362" s="88"/>
      <c r="R6362" s="78">
        <f>MAX(S6362:W6362)</f>
        <v>0</v>
      </c>
      <c r="S6362" s="88"/>
      <c r="T6362" s="88"/>
      <c r="U6362" s="88"/>
      <c r="V6362" s="88"/>
      <c r="W6362" s="88"/>
    </row>
    <row r="6363" spans="2:23" s="0" customFormat="0" ht="15">
      <c r="B6363" s="87" t="s">
        <v>1</v>
      </c>
      <c r="C6363" s="88" t="s">
        <v>5259</v>
      </c>
      <c r="D6363" s="88" t="s">
        <v>650</v>
      </c>
      <c r="E6363" s="88" t="s">
        <v>61</v>
      </c>
      <c r="F6363" s="88">
        <v>0</v>
      </c>
      <c r="G6363" s="78">
        <f>MAX(H6363,I6363,J6363)</f>
        <v>1</v>
      </c>
      <c r="H6363" s="88"/>
      <c r="I6363" s="88"/>
      <c r="J6363" s="78">
        <f>MAX(K6363:Q6363)</f>
        <v>1</v>
      </c>
      <c r="K6363" s="88">
        <v>1</v>
      </c>
      <c r="L6363" s="88"/>
      <c r="M6363" s="88"/>
      <c r="N6363" s="88"/>
      <c r="O6363" s="88"/>
      <c r="P6363" s="88"/>
      <c r="Q6363" s="88"/>
      <c r="R6363" s="78">
        <f>MAX(S6363:W6363)</f>
        <v>0</v>
      </c>
      <c r="S6363" s="88"/>
      <c r="T6363" s="88"/>
      <c r="U6363" s="88"/>
      <c r="V6363" s="88"/>
      <c r="W6363" s="88"/>
    </row>
    <row r="6364" spans="2:23" s="0" customFormat="0" ht="15">
      <c r="B6364" s="87" t="s">
        <v>1</v>
      </c>
      <c r="C6364" s="88" t="s">
        <v>5259</v>
      </c>
      <c r="D6364" s="88">
        <v>1667976</v>
      </c>
      <c r="E6364" s="88" t="s">
        <v>61</v>
      </c>
      <c r="F6364" s="88">
        <v>0</v>
      </c>
      <c r="G6364" s="78">
        <f>MAX(H6364,I6364,J6364)</f>
        <v>1</v>
      </c>
      <c r="H6364" s="88"/>
      <c r="I6364" s="88"/>
      <c r="J6364" s="78">
        <f>MAX(K6364:Q6364)</f>
        <v>1</v>
      </c>
      <c r="K6364" s="88">
        <v>1</v>
      </c>
      <c r="L6364" s="88"/>
      <c r="M6364" s="88"/>
      <c r="N6364" s="88"/>
      <c r="O6364" s="88"/>
      <c r="P6364" s="88"/>
      <c r="Q6364" s="88"/>
      <c r="R6364" s="78">
        <f>MAX(S6364:W6364)</f>
        <v>0</v>
      </c>
      <c r="S6364" s="88"/>
      <c r="T6364" s="88"/>
      <c r="U6364" s="88"/>
      <c r="V6364" s="88"/>
      <c r="W6364" s="88"/>
    </row>
    <row r="6365" spans="2:23" s="0" customFormat="0" ht="15">
      <c r="B6365" s="87" t="s">
        <v>1</v>
      </c>
      <c r="C6365" s="88" t="s">
        <v>5259</v>
      </c>
      <c r="D6365" s="88">
        <v>9073220</v>
      </c>
      <c r="E6365" s="88" t="s">
        <v>61</v>
      </c>
      <c r="F6365" s="88">
        <v>0</v>
      </c>
      <c r="G6365" s="78">
        <f>MAX(H6365,I6365,J6365)</f>
        <v>1</v>
      </c>
      <c r="H6365" s="88"/>
      <c r="I6365" s="88"/>
      <c r="J6365" s="78">
        <f>MAX(K6365:Q6365)</f>
        <v>1</v>
      </c>
      <c r="K6365" s="88">
        <v>1</v>
      </c>
      <c r="L6365" s="88"/>
      <c r="M6365" s="88"/>
      <c r="N6365" s="88"/>
      <c r="O6365" s="88"/>
      <c r="P6365" s="88"/>
      <c r="Q6365" s="88"/>
      <c r="R6365" s="78">
        <f>MAX(S6365:W6365)</f>
        <v>0</v>
      </c>
      <c r="S6365" s="88"/>
      <c r="T6365" s="88"/>
      <c r="U6365" s="88"/>
      <c r="V6365" s="88"/>
      <c r="W6365" s="88"/>
    </row>
    <row r="6366" spans="2:23" s="0" customFormat="0" ht="15">
      <c r="B6366" s="87" t="s">
        <v>1</v>
      </c>
      <c r="C6366" s="88" t="s">
        <v>5259</v>
      </c>
      <c r="D6366" s="88">
        <v>4313837</v>
      </c>
      <c r="E6366" s="88" t="s">
        <v>61</v>
      </c>
      <c r="F6366" s="88">
        <v>0</v>
      </c>
      <c r="G6366" s="78">
        <f>MAX(H6366,I6366,J6366)</f>
        <v>0</v>
      </c>
      <c r="H6366" s="88"/>
      <c r="I6366" s="88"/>
      <c r="J6366" s="78">
        <f>MAX(K6366:Q6366)</f>
        <v>0</v>
      </c>
      <c r="K6366" s="88"/>
      <c r="L6366" s="88"/>
      <c r="M6366" s="88"/>
      <c r="N6366" s="88"/>
      <c r="O6366" s="88"/>
      <c r="P6366" s="88"/>
      <c r="Q6366" s="88"/>
      <c r="R6366" s="78">
        <f>MAX(S6366:W6366)</f>
        <v>1</v>
      </c>
      <c r="S6366" s="88"/>
      <c r="T6366" s="88"/>
      <c r="U6366" s="88">
        <v>1</v>
      </c>
      <c r="V6366" s="88"/>
      <c r="W6366" s="88"/>
    </row>
    <row r="6367" spans="2:23" s="0" customFormat="0" ht="15">
      <c r="B6367" s="87" t="s">
        <v>1</v>
      </c>
      <c r="C6367" s="88" t="s">
        <v>5259</v>
      </c>
      <c r="D6367" s="88" t="s">
        <v>5213</v>
      </c>
      <c r="E6367" s="88" t="s">
        <v>61</v>
      </c>
      <c r="F6367" s="88">
        <v>0</v>
      </c>
      <c r="G6367" s="78">
        <f>MAX(H6367,I6367,J6367)</f>
        <v>0</v>
      </c>
      <c r="H6367" s="88"/>
      <c r="I6367" s="88"/>
      <c r="J6367" s="78">
        <f>MAX(K6367:Q6367)</f>
        <v>0</v>
      </c>
      <c r="K6367" s="88"/>
      <c r="L6367" s="88"/>
      <c r="M6367" s="88"/>
      <c r="N6367" s="88"/>
      <c r="O6367" s="88"/>
      <c r="P6367" s="88"/>
      <c r="Q6367" s="88"/>
      <c r="R6367" s="78">
        <f>MAX(S6367:W6367)</f>
        <v>1</v>
      </c>
      <c r="S6367" s="88"/>
      <c r="T6367" s="88"/>
      <c r="U6367" s="88">
        <v>1</v>
      </c>
      <c r="V6367" s="88"/>
      <c r="W6367" s="88"/>
    </row>
    <row r="6368" spans="2:23" s="0" customFormat="0" ht="15">
      <c r="B6368" s="87" t="s">
        <v>1</v>
      </c>
      <c r="C6368" s="88" t="s">
        <v>5259</v>
      </c>
      <c r="D6368" s="88" t="s">
        <v>2888</v>
      </c>
      <c r="E6368" s="88" t="s">
        <v>61</v>
      </c>
      <c r="F6368" s="88">
        <v>0</v>
      </c>
      <c r="G6368" s="78">
        <f>MAX(H6368,I6368,J6368)</f>
        <v>1</v>
      </c>
      <c r="H6368" s="88"/>
      <c r="I6368" s="88"/>
      <c r="J6368" s="78">
        <f>MAX(K6368:Q6368)</f>
        <v>1</v>
      </c>
      <c r="K6368" s="88">
        <v>1</v>
      </c>
      <c r="L6368" s="88"/>
      <c r="M6368" s="88"/>
      <c r="N6368" s="88"/>
      <c r="O6368" s="88"/>
      <c r="P6368" s="88"/>
      <c r="Q6368" s="88"/>
      <c r="R6368" s="78">
        <f>MAX(S6368:W6368)</f>
        <v>0</v>
      </c>
      <c r="S6368" s="88"/>
      <c r="T6368" s="88"/>
      <c r="U6368" s="88"/>
      <c r="V6368" s="88"/>
      <c r="W6368" s="88"/>
    </row>
    <row r="6369" spans="2:23" s="0" customFormat="0" ht="15">
      <c r="B6369" s="87" t="s">
        <v>1</v>
      </c>
      <c r="C6369" s="88" t="s">
        <v>5259</v>
      </c>
      <c r="D6369" s="88">
        <v>2549190</v>
      </c>
      <c r="E6369" s="88" t="s">
        <v>61</v>
      </c>
      <c r="F6369" s="88">
        <v>0</v>
      </c>
      <c r="G6369" s="78">
        <f>MAX(H6369,I6369,J6369)</f>
        <v>1</v>
      </c>
      <c r="H6369" s="88"/>
      <c r="I6369" s="88"/>
      <c r="J6369" s="78">
        <f>MAX(K6369:Q6369)</f>
        <v>1</v>
      </c>
      <c r="K6369" s="88">
        <v>1</v>
      </c>
      <c r="L6369" s="88"/>
      <c r="M6369" s="88"/>
      <c r="N6369" s="88"/>
      <c r="O6369" s="88"/>
      <c r="P6369" s="88"/>
      <c r="Q6369" s="88"/>
      <c r="R6369" s="78">
        <f>MAX(S6369:W6369)</f>
        <v>0</v>
      </c>
      <c r="S6369" s="88"/>
      <c r="T6369" s="88"/>
      <c r="U6369" s="88"/>
      <c r="V6369" s="88"/>
      <c r="W6369" s="88"/>
    </row>
    <row r="6370" spans="2:23" s="0" customFormat="0" ht="15">
      <c r="B6370" s="87" t="s">
        <v>1</v>
      </c>
      <c r="C6370" s="88" t="s">
        <v>5259</v>
      </c>
      <c r="D6370" s="88">
        <v>4553018</v>
      </c>
      <c r="E6370" s="88" t="s">
        <v>61</v>
      </c>
      <c r="F6370" s="88">
        <v>0</v>
      </c>
      <c r="G6370" s="78">
        <f>MAX(H6370,I6370,J6370)</f>
        <v>1</v>
      </c>
      <c r="H6370" s="88"/>
      <c r="I6370" s="88"/>
      <c r="J6370" s="78">
        <f>MAX(K6370:Q6370)</f>
        <v>1</v>
      </c>
      <c r="K6370" s="88">
        <v>1</v>
      </c>
      <c r="L6370" s="88"/>
      <c r="M6370" s="88"/>
      <c r="N6370" s="88"/>
      <c r="O6370" s="88"/>
      <c r="P6370" s="88"/>
      <c r="Q6370" s="88"/>
      <c r="R6370" s="78">
        <f>MAX(S6370:W6370)</f>
        <v>0</v>
      </c>
      <c r="S6370" s="88"/>
      <c r="T6370" s="88"/>
      <c r="U6370" s="88"/>
      <c r="V6370" s="88"/>
      <c r="W6370" s="88"/>
    </row>
    <row r="6371" spans="2:23" s="0" customFormat="0" ht="15">
      <c r="B6371" s="87" t="s">
        <v>1</v>
      </c>
      <c r="C6371" s="88" t="s">
        <v>5259</v>
      </c>
      <c r="D6371" s="88">
        <v>14256169</v>
      </c>
      <c r="E6371" s="88" t="s">
        <v>61</v>
      </c>
      <c r="F6371" s="88">
        <v>0</v>
      </c>
      <c r="G6371" s="78">
        <f>MAX(H6371,I6371,J6371)</f>
        <v>1</v>
      </c>
      <c r="H6371" s="88"/>
      <c r="I6371" s="88"/>
      <c r="J6371" s="78">
        <f>MAX(K6371:Q6371)</f>
        <v>1</v>
      </c>
      <c r="K6371" s="88">
        <v>1</v>
      </c>
      <c r="L6371" s="88"/>
      <c r="M6371" s="88"/>
      <c r="N6371" s="88"/>
      <c r="O6371" s="88"/>
      <c r="P6371" s="88"/>
      <c r="Q6371" s="88"/>
      <c r="R6371" s="78">
        <f>MAX(S6371:W6371)</f>
        <v>0</v>
      </c>
      <c r="S6371" s="88"/>
      <c r="T6371" s="88"/>
      <c r="U6371" s="88"/>
      <c r="V6371" s="88"/>
      <c r="W6371" s="88"/>
    </row>
    <row r="6372" spans="2:23" s="0" customFormat="0" ht="15">
      <c r="B6372" s="87" t="s">
        <v>1</v>
      </c>
      <c r="C6372" s="88" t="s">
        <v>5259</v>
      </c>
      <c r="D6372" s="88">
        <v>15137351</v>
      </c>
      <c r="E6372" s="88" t="s">
        <v>61</v>
      </c>
      <c r="F6372" s="88">
        <v>0</v>
      </c>
      <c r="G6372" s="78">
        <f>MAX(H6372,I6372,J6372)</f>
        <v>1</v>
      </c>
      <c r="H6372" s="88"/>
      <c r="I6372" s="88"/>
      <c r="J6372" s="78">
        <f>MAX(K6372:Q6372)</f>
        <v>1</v>
      </c>
      <c r="K6372" s="88">
        <v>1</v>
      </c>
      <c r="L6372" s="88"/>
      <c r="M6372" s="88"/>
      <c r="N6372" s="88"/>
      <c r="O6372" s="88"/>
      <c r="P6372" s="88"/>
      <c r="Q6372" s="88"/>
      <c r="R6372" s="78">
        <f>MAX(S6372:W6372)</f>
        <v>0</v>
      </c>
      <c r="S6372" s="88"/>
      <c r="T6372" s="88"/>
      <c r="U6372" s="88"/>
      <c r="V6372" s="88"/>
      <c r="W6372" s="88"/>
    </row>
    <row r="6373" spans="2:23" s="0" customFormat="0" ht="15">
      <c r="B6373" s="87" t="s">
        <v>1</v>
      </c>
      <c r="C6373" s="88" t="s">
        <v>5259</v>
      </c>
      <c r="D6373" s="88">
        <v>21005390</v>
      </c>
      <c r="E6373" s="88" t="s">
        <v>61</v>
      </c>
      <c r="F6373" s="88">
        <v>0</v>
      </c>
      <c r="G6373" s="78">
        <f>MAX(H6373,I6373,J6373)</f>
        <v>1</v>
      </c>
      <c r="H6373" s="88"/>
      <c r="I6373" s="88"/>
      <c r="J6373" s="78">
        <f>MAX(K6373:Q6373)</f>
        <v>1</v>
      </c>
      <c r="K6373" s="88">
        <v>1</v>
      </c>
      <c r="L6373" s="88"/>
      <c r="M6373" s="88"/>
      <c r="N6373" s="88"/>
      <c r="O6373" s="88"/>
      <c r="P6373" s="88"/>
      <c r="Q6373" s="88"/>
      <c r="R6373" s="78">
        <f>MAX(S6373:W6373)</f>
        <v>0</v>
      </c>
      <c r="S6373" s="88"/>
      <c r="T6373" s="88"/>
      <c r="U6373" s="88"/>
      <c r="V6373" s="88"/>
      <c r="W6373" s="88"/>
    </row>
    <row r="6374" spans="2:23" s="0" customFormat="0" ht="15">
      <c r="B6374" s="87" t="s">
        <v>1</v>
      </c>
      <c r="C6374" s="88" t="s">
        <v>5259</v>
      </c>
      <c r="D6374" s="88">
        <v>2999108</v>
      </c>
      <c r="E6374" s="88" t="s">
        <v>61</v>
      </c>
      <c r="F6374" s="88">
        <v>0</v>
      </c>
      <c r="G6374" s="78">
        <f>MAX(H6374,I6374,J6374)</f>
        <v>1</v>
      </c>
      <c r="H6374" s="88"/>
      <c r="I6374" s="88"/>
      <c r="J6374" s="78">
        <f>MAX(K6374:Q6374)</f>
        <v>1</v>
      </c>
      <c r="K6374" s="88"/>
      <c r="L6374" s="88"/>
      <c r="M6374" s="88"/>
      <c r="N6374" s="88">
        <v>1</v>
      </c>
      <c r="O6374" s="88"/>
      <c r="P6374" s="88"/>
      <c r="Q6374" s="88"/>
      <c r="R6374" s="78">
        <f>MAX(S6374:W6374)</f>
        <v>0</v>
      </c>
      <c r="S6374" s="88"/>
      <c r="T6374" s="88"/>
      <c r="U6374" s="88"/>
      <c r="V6374" s="88"/>
      <c r="W6374" s="88"/>
    </row>
    <row r="6375" spans="2:23" s="0" customFormat="0" ht="15">
      <c r="B6375" s="87" t="s">
        <v>1</v>
      </c>
      <c r="C6375" s="88" t="s">
        <v>5259</v>
      </c>
      <c r="D6375" s="88">
        <v>20691835</v>
      </c>
      <c r="E6375" s="88" t="s">
        <v>61</v>
      </c>
      <c r="F6375" s="88">
        <v>0</v>
      </c>
      <c r="G6375" s="78">
        <f>MAX(H6375,I6375,J6375)</f>
        <v>1</v>
      </c>
      <c r="H6375" s="88"/>
      <c r="I6375" s="88"/>
      <c r="J6375" s="78">
        <f>MAX(K6375:Q6375)</f>
        <v>1</v>
      </c>
      <c r="K6375" s="88">
        <v>1</v>
      </c>
      <c r="L6375" s="88"/>
      <c r="M6375" s="88"/>
      <c r="N6375" s="88"/>
      <c r="O6375" s="88"/>
      <c r="P6375" s="88"/>
      <c r="Q6375" s="88"/>
      <c r="R6375" s="78">
        <f>MAX(S6375:W6375)</f>
        <v>0</v>
      </c>
      <c r="S6375" s="88"/>
      <c r="T6375" s="88"/>
      <c r="U6375" s="88"/>
      <c r="V6375" s="88"/>
      <c r="W6375" s="88"/>
    </row>
    <row r="6376" spans="2:23" s="0" customFormat="0" ht="15">
      <c r="B6376" s="87" t="s">
        <v>1</v>
      </c>
      <c r="C6376" s="88" t="s">
        <v>5259</v>
      </c>
      <c r="D6376" s="88" t="s">
        <v>3575</v>
      </c>
      <c r="E6376" s="88" t="s">
        <v>61</v>
      </c>
      <c r="F6376" s="88">
        <v>0</v>
      </c>
      <c r="G6376" s="78">
        <f>MAX(H6376,I6376,J6376)</f>
        <v>0</v>
      </c>
      <c r="H6376" s="88"/>
      <c r="I6376" s="88"/>
      <c r="J6376" s="78">
        <f>MAX(K6376:Q6376)</f>
        <v>0</v>
      </c>
      <c r="K6376" s="88"/>
      <c r="L6376" s="88"/>
      <c r="M6376" s="88"/>
      <c r="N6376" s="88"/>
      <c r="O6376" s="88"/>
      <c r="P6376" s="88"/>
      <c r="Q6376" s="88"/>
      <c r="R6376" s="78">
        <f>MAX(S6376:W6376)</f>
        <v>1</v>
      </c>
      <c r="S6376" s="88"/>
      <c r="T6376" s="88"/>
      <c r="U6376" s="88">
        <v>1</v>
      </c>
      <c r="V6376" s="88"/>
      <c r="W6376" s="88"/>
    </row>
    <row r="6377" spans="2:23" s="0" customFormat="0" ht="15">
      <c r="B6377" s="87" t="s">
        <v>1</v>
      </c>
      <c r="C6377" s="88" t="s">
        <v>5259</v>
      </c>
      <c r="D6377" s="88">
        <v>13658089</v>
      </c>
      <c r="E6377" s="88" t="s">
        <v>61</v>
      </c>
      <c r="F6377" s="88">
        <v>0</v>
      </c>
      <c r="G6377" s="78">
        <f>MAX(H6377,I6377,J6377)</f>
        <v>1</v>
      </c>
      <c r="H6377" s="88"/>
      <c r="I6377" s="88"/>
      <c r="J6377" s="78">
        <f>MAX(K6377:Q6377)</f>
        <v>1</v>
      </c>
      <c r="K6377" s="88">
        <v>1</v>
      </c>
      <c r="L6377" s="88"/>
      <c r="M6377" s="88"/>
      <c r="N6377" s="88"/>
      <c r="O6377" s="88"/>
      <c r="P6377" s="88"/>
      <c r="Q6377" s="88"/>
      <c r="R6377" s="78">
        <f>MAX(S6377:W6377)</f>
        <v>0</v>
      </c>
      <c r="S6377" s="88"/>
      <c r="T6377" s="88"/>
      <c r="U6377" s="88"/>
      <c r="V6377" s="88"/>
      <c r="W6377" s="88"/>
    </row>
    <row r="6378" spans="2:23" s="0" customFormat="0" ht="15">
      <c r="B6378" s="87" t="s">
        <v>1</v>
      </c>
      <c r="C6378" s="88" t="s">
        <v>5259</v>
      </c>
      <c r="D6378" s="88">
        <v>15769824</v>
      </c>
      <c r="E6378" s="88" t="s">
        <v>61</v>
      </c>
      <c r="F6378" s="88">
        <v>0</v>
      </c>
      <c r="G6378" s="78">
        <f>MAX(H6378,I6378,J6378)</f>
        <v>1</v>
      </c>
      <c r="H6378" s="88"/>
      <c r="I6378" s="88"/>
      <c r="J6378" s="78">
        <f>MAX(K6378:Q6378)</f>
        <v>1</v>
      </c>
      <c r="K6378" s="88">
        <v>1</v>
      </c>
      <c r="L6378" s="88"/>
      <c r="M6378" s="88"/>
      <c r="N6378" s="88"/>
      <c r="O6378" s="88"/>
      <c r="P6378" s="88"/>
      <c r="Q6378" s="88"/>
      <c r="R6378" s="78">
        <f>MAX(S6378:W6378)</f>
        <v>0</v>
      </c>
      <c r="S6378" s="88"/>
      <c r="T6378" s="88"/>
      <c r="U6378" s="88"/>
      <c r="V6378" s="88"/>
      <c r="W6378" s="88"/>
    </row>
    <row r="6379" spans="2:23" s="0" customFormat="0" ht="15">
      <c r="B6379" s="87" t="s">
        <v>1</v>
      </c>
      <c r="C6379" s="88" t="s">
        <v>5259</v>
      </c>
      <c r="D6379" s="88">
        <v>1551590</v>
      </c>
      <c r="E6379" s="88" t="s">
        <v>61</v>
      </c>
      <c r="F6379" s="88">
        <v>0</v>
      </c>
      <c r="G6379" s="78">
        <f>MAX(H6379,I6379,J6379)</f>
        <v>0</v>
      </c>
      <c r="H6379" s="88"/>
      <c r="I6379" s="88"/>
      <c r="J6379" s="78">
        <f>MAX(K6379:Q6379)</f>
        <v>0</v>
      </c>
      <c r="K6379" s="88"/>
      <c r="L6379" s="88"/>
      <c r="M6379" s="88"/>
      <c r="N6379" s="88"/>
      <c r="O6379" s="88"/>
      <c r="P6379" s="88"/>
      <c r="Q6379" s="88"/>
      <c r="R6379" s="78">
        <f>MAX(S6379:W6379)</f>
        <v>1</v>
      </c>
      <c r="S6379" s="88"/>
      <c r="T6379" s="88"/>
      <c r="U6379" s="88">
        <v>1</v>
      </c>
      <c r="V6379" s="88"/>
      <c r="W6379" s="88"/>
    </row>
    <row r="6380" spans="2:23" s="0" customFormat="0" ht="15">
      <c r="B6380" s="87" t="s">
        <v>1</v>
      </c>
      <c r="C6380" s="88" t="s">
        <v>5259</v>
      </c>
      <c r="D6380" s="88">
        <v>21039549</v>
      </c>
      <c r="E6380" s="88" t="s">
        <v>61</v>
      </c>
      <c r="F6380" s="88">
        <v>0</v>
      </c>
      <c r="G6380" s="78">
        <f>MAX(H6380,I6380,J6380)</f>
        <v>1</v>
      </c>
      <c r="H6380" s="88"/>
      <c r="I6380" s="88"/>
      <c r="J6380" s="78">
        <f>MAX(K6380:Q6380)</f>
        <v>1</v>
      </c>
      <c r="K6380" s="88">
        <v>1</v>
      </c>
      <c r="L6380" s="88"/>
      <c r="M6380" s="88"/>
      <c r="N6380" s="88"/>
      <c r="O6380" s="88"/>
      <c r="P6380" s="88"/>
      <c r="Q6380" s="88"/>
      <c r="R6380" s="78">
        <f>MAX(S6380:W6380)</f>
        <v>0</v>
      </c>
      <c r="S6380" s="88"/>
      <c r="T6380" s="88"/>
      <c r="U6380" s="88"/>
      <c r="V6380" s="88"/>
      <c r="W6380" s="88"/>
    </row>
    <row r="6381" spans="2:23" s="0" customFormat="0" ht="15">
      <c r="B6381" s="87" t="s">
        <v>1</v>
      </c>
      <c r="C6381" s="88" t="s">
        <v>5259</v>
      </c>
      <c r="D6381" s="88">
        <v>19743068</v>
      </c>
      <c r="E6381" s="88" t="s">
        <v>61</v>
      </c>
      <c r="F6381" s="88">
        <v>0</v>
      </c>
      <c r="G6381" s="78">
        <f>MAX(H6381,I6381,J6381)</f>
        <v>1</v>
      </c>
      <c r="H6381" s="88"/>
      <c r="I6381" s="88"/>
      <c r="J6381" s="78">
        <f>MAX(K6381:Q6381)</f>
        <v>1</v>
      </c>
      <c r="K6381" s="88">
        <v>1</v>
      </c>
      <c r="L6381" s="88"/>
      <c r="M6381" s="88"/>
      <c r="N6381" s="88"/>
      <c r="O6381" s="88"/>
      <c r="P6381" s="88"/>
      <c r="Q6381" s="88"/>
      <c r="R6381" s="78">
        <f>MAX(S6381:W6381)</f>
        <v>0</v>
      </c>
      <c r="S6381" s="88"/>
      <c r="T6381" s="88"/>
      <c r="U6381" s="88"/>
      <c r="V6381" s="88"/>
      <c r="W6381" s="88"/>
    </row>
    <row r="6382" spans="2:23" s="0" customFormat="0" ht="15">
      <c r="B6382" s="87" t="s">
        <v>1</v>
      </c>
      <c r="C6382" s="88" t="s">
        <v>5259</v>
      </c>
      <c r="D6382" s="88">
        <v>21676070</v>
      </c>
      <c r="E6382" s="88" t="s">
        <v>61</v>
      </c>
      <c r="F6382" s="88">
        <v>0</v>
      </c>
      <c r="G6382" s="78">
        <f>MAX(H6382,I6382,J6382)</f>
        <v>1</v>
      </c>
      <c r="H6382" s="88"/>
      <c r="I6382" s="88"/>
      <c r="J6382" s="78">
        <f>MAX(K6382:Q6382)</f>
        <v>1</v>
      </c>
      <c r="K6382" s="88">
        <v>1</v>
      </c>
      <c r="L6382" s="88"/>
      <c r="M6382" s="88"/>
      <c r="N6382" s="88"/>
      <c r="O6382" s="88"/>
      <c r="P6382" s="88"/>
      <c r="Q6382" s="88"/>
      <c r="R6382" s="78">
        <f>MAX(S6382:W6382)</f>
        <v>0</v>
      </c>
      <c r="S6382" s="88"/>
      <c r="T6382" s="88"/>
      <c r="U6382" s="88"/>
      <c r="V6382" s="88"/>
      <c r="W6382" s="88"/>
    </row>
    <row r="6383" spans="2:23" s="0" customFormat="0" ht="15">
      <c r="B6383" s="87" t="s">
        <v>1</v>
      </c>
      <c r="C6383" s="88" t="s">
        <v>5259</v>
      </c>
      <c r="D6383" s="88">
        <v>813975</v>
      </c>
      <c r="E6383" s="88" t="s">
        <v>61</v>
      </c>
      <c r="F6383" s="88">
        <v>0</v>
      </c>
      <c r="G6383" s="78">
        <f>MAX(H6383,I6383,J6383)</f>
        <v>1</v>
      </c>
      <c r="H6383" s="88"/>
      <c r="I6383" s="88"/>
      <c r="J6383" s="78">
        <f>MAX(K6383:Q6383)</f>
        <v>1</v>
      </c>
      <c r="K6383" s="88"/>
      <c r="L6383" s="88">
        <v>1</v>
      </c>
      <c r="M6383" s="88"/>
      <c r="N6383" s="88"/>
      <c r="O6383" s="88"/>
      <c r="P6383" s="88"/>
      <c r="Q6383" s="88"/>
      <c r="R6383" s="78">
        <f>MAX(S6383:W6383)</f>
        <v>0</v>
      </c>
      <c r="S6383" s="88"/>
      <c r="T6383" s="88"/>
      <c r="U6383" s="88"/>
      <c r="V6383" s="88"/>
      <c r="W6383" s="88"/>
    </row>
    <row r="6384" spans="2:23" s="0" customFormat="0" ht="15">
      <c r="B6384" s="87" t="s">
        <v>1</v>
      </c>
      <c r="C6384" s="88" t="s">
        <v>5259</v>
      </c>
      <c r="D6384" s="88">
        <v>19213177</v>
      </c>
      <c r="E6384" s="88" t="s">
        <v>61</v>
      </c>
      <c r="F6384" s="88">
        <v>0</v>
      </c>
      <c r="G6384" s="78">
        <f>MAX(H6384,I6384,J6384)</f>
        <v>1</v>
      </c>
      <c r="H6384" s="88"/>
      <c r="I6384" s="88"/>
      <c r="J6384" s="78">
        <f>MAX(K6384:Q6384)</f>
        <v>1</v>
      </c>
      <c r="K6384" s="88">
        <v>1</v>
      </c>
      <c r="L6384" s="88"/>
      <c r="M6384" s="88"/>
      <c r="N6384" s="88"/>
      <c r="O6384" s="88"/>
      <c r="P6384" s="88"/>
      <c r="Q6384" s="88"/>
      <c r="R6384" s="78">
        <f>MAX(S6384:W6384)</f>
        <v>0</v>
      </c>
      <c r="S6384" s="88"/>
      <c r="T6384" s="88"/>
      <c r="U6384" s="88"/>
      <c r="V6384" s="88"/>
      <c r="W6384" s="88"/>
    </row>
    <row r="6385" spans="2:23" s="0" customFormat="0" ht="15">
      <c r="B6385" s="87" t="s">
        <v>1</v>
      </c>
      <c r="C6385" s="88" t="s">
        <v>5259</v>
      </c>
      <c r="D6385" s="88" t="s">
        <v>4273</v>
      </c>
      <c r="E6385" s="88" t="s">
        <v>61</v>
      </c>
      <c r="F6385" s="88">
        <v>0</v>
      </c>
      <c r="G6385" s="78">
        <f>MAX(H6385,I6385,J6385)</f>
        <v>0</v>
      </c>
      <c r="H6385" s="88"/>
      <c r="I6385" s="88"/>
      <c r="J6385" s="78">
        <f>MAX(K6385:Q6385)</f>
        <v>0</v>
      </c>
      <c r="K6385" s="88"/>
      <c r="L6385" s="88"/>
      <c r="M6385" s="88"/>
      <c r="N6385" s="88"/>
      <c r="O6385" s="88"/>
      <c r="P6385" s="88"/>
      <c r="Q6385" s="88"/>
      <c r="R6385" s="78">
        <f>MAX(S6385:W6385)</f>
        <v>1</v>
      </c>
      <c r="S6385" s="88"/>
      <c r="T6385" s="88"/>
      <c r="U6385" s="88">
        <v>1</v>
      </c>
      <c r="V6385" s="88"/>
      <c r="W6385" s="88"/>
    </row>
    <row r="6386" spans="2:23" s="0" customFormat="0" ht="15">
      <c r="B6386" s="87" t="s">
        <v>1</v>
      </c>
      <c r="C6386" s="88" t="s">
        <v>5259</v>
      </c>
      <c r="D6386" s="88" t="s">
        <v>5142</v>
      </c>
      <c r="E6386" s="88" t="s">
        <v>61</v>
      </c>
      <c r="F6386" s="88">
        <v>0</v>
      </c>
      <c r="G6386" s="78">
        <f>MAX(H6386,I6386,J6386)</f>
        <v>0</v>
      </c>
      <c r="H6386" s="88"/>
      <c r="I6386" s="88"/>
      <c r="J6386" s="78">
        <f>MAX(K6386:Q6386)</f>
        <v>0</v>
      </c>
      <c r="K6386" s="88"/>
      <c r="L6386" s="88"/>
      <c r="M6386" s="88"/>
      <c r="N6386" s="88"/>
      <c r="O6386" s="88"/>
      <c r="P6386" s="88"/>
      <c r="Q6386" s="88"/>
      <c r="R6386" s="78">
        <f>MAX(S6386:W6386)</f>
        <v>1</v>
      </c>
      <c r="S6386" s="88"/>
      <c r="T6386" s="88"/>
      <c r="U6386" s="88">
        <v>1</v>
      </c>
      <c r="V6386" s="88"/>
      <c r="W6386" s="88"/>
    </row>
    <row r="6387" spans="2:23" s="0" customFormat="0" ht="15">
      <c r="B6387" s="87" t="s">
        <v>1</v>
      </c>
      <c r="C6387" s="88" t="s">
        <v>5259</v>
      </c>
      <c r="D6387" s="88" t="s">
        <v>3907</v>
      </c>
      <c r="E6387" s="88" t="s">
        <v>61</v>
      </c>
      <c r="F6387" s="88">
        <v>0</v>
      </c>
      <c r="G6387" s="78">
        <f>MAX(H6387,I6387,J6387)</f>
        <v>0</v>
      </c>
      <c r="H6387" s="88"/>
      <c r="I6387" s="88"/>
      <c r="J6387" s="78">
        <f>MAX(K6387:Q6387)</f>
        <v>0</v>
      </c>
      <c r="K6387" s="88"/>
      <c r="L6387" s="88"/>
      <c r="M6387" s="88"/>
      <c r="N6387" s="88"/>
      <c r="O6387" s="88"/>
      <c r="P6387" s="88"/>
      <c r="Q6387" s="88"/>
      <c r="R6387" s="78">
        <f>MAX(S6387:W6387)</f>
        <v>1</v>
      </c>
      <c r="S6387" s="88"/>
      <c r="T6387" s="88"/>
      <c r="U6387" s="88">
        <v>1</v>
      </c>
      <c r="V6387" s="88"/>
      <c r="W6387" s="88"/>
    </row>
    <row r="6388" spans="2:23" s="0" customFormat="0" ht="15">
      <c r="B6388" s="87" t="s">
        <v>1</v>
      </c>
      <c r="C6388" s="88" t="s">
        <v>5259</v>
      </c>
      <c r="D6388" s="88">
        <v>16064045</v>
      </c>
      <c r="E6388" s="88" t="s">
        <v>61</v>
      </c>
      <c r="F6388" s="88">
        <v>0</v>
      </c>
      <c r="G6388" s="78">
        <f>MAX(H6388,I6388,J6388)</f>
        <v>1</v>
      </c>
      <c r="H6388" s="88"/>
      <c r="I6388" s="88"/>
      <c r="J6388" s="78">
        <f>MAX(K6388:Q6388)</f>
        <v>1</v>
      </c>
      <c r="K6388" s="88"/>
      <c r="L6388" s="88"/>
      <c r="M6388" s="88">
        <v>1</v>
      </c>
      <c r="N6388" s="88"/>
      <c r="O6388" s="88"/>
      <c r="P6388" s="88"/>
      <c r="Q6388" s="88"/>
      <c r="R6388" s="78">
        <f>MAX(S6388:W6388)</f>
        <v>0</v>
      </c>
      <c r="S6388" s="88"/>
      <c r="T6388" s="88"/>
      <c r="U6388" s="88"/>
      <c r="V6388" s="88"/>
      <c r="W6388" s="88"/>
    </row>
    <row r="6389" spans="2:23" s="0" customFormat="0" ht="15">
      <c r="B6389" s="87" t="s">
        <v>1</v>
      </c>
      <c r="C6389" s="88" t="s">
        <v>5259</v>
      </c>
      <c r="D6389" s="88" t="s">
        <v>4612</v>
      </c>
      <c r="E6389" s="88" t="s">
        <v>61</v>
      </c>
      <c r="F6389" s="88">
        <v>0</v>
      </c>
      <c r="G6389" s="78">
        <f>MAX(H6389,I6389,J6389)</f>
        <v>0</v>
      </c>
      <c r="H6389" s="88"/>
      <c r="I6389" s="88"/>
      <c r="J6389" s="78">
        <f>MAX(K6389:Q6389)</f>
        <v>0</v>
      </c>
      <c r="K6389" s="88"/>
      <c r="L6389" s="88"/>
      <c r="M6389" s="88"/>
      <c r="N6389" s="88"/>
      <c r="O6389" s="88"/>
      <c r="P6389" s="88"/>
      <c r="Q6389" s="88"/>
      <c r="R6389" s="78">
        <f>MAX(S6389:W6389)</f>
        <v>1</v>
      </c>
      <c r="S6389" s="88"/>
      <c r="T6389" s="88"/>
      <c r="U6389" s="88">
        <v>1</v>
      </c>
      <c r="V6389" s="88"/>
      <c r="W6389" s="88"/>
    </row>
    <row r="6390" spans="2:23" s="0" customFormat="0" ht="15">
      <c r="B6390" s="87" t="s">
        <v>1</v>
      </c>
      <c r="C6390" s="88" t="s">
        <v>5259</v>
      </c>
      <c r="D6390" s="88" t="s">
        <v>4385</v>
      </c>
      <c r="E6390" s="88" t="s">
        <v>61</v>
      </c>
      <c r="F6390" s="88">
        <v>0</v>
      </c>
      <c r="G6390" s="78">
        <f>MAX(H6390,I6390,J6390)</f>
        <v>0</v>
      </c>
      <c r="H6390" s="88"/>
      <c r="I6390" s="88"/>
      <c r="J6390" s="78">
        <f>MAX(K6390:Q6390)</f>
        <v>0</v>
      </c>
      <c r="K6390" s="88"/>
      <c r="L6390" s="88"/>
      <c r="M6390" s="88"/>
      <c r="N6390" s="88"/>
      <c r="O6390" s="88"/>
      <c r="P6390" s="88"/>
      <c r="Q6390" s="88"/>
      <c r="R6390" s="78">
        <f>MAX(S6390:W6390)</f>
        <v>1</v>
      </c>
      <c r="S6390" s="88"/>
      <c r="T6390" s="88"/>
      <c r="U6390" s="88">
        <v>1</v>
      </c>
      <c r="V6390" s="88"/>
      <c r="W6390" s="88"/>
    </row>
    <row r="6391" spans="2:23" s="0" customFormat="0" ht="15">
      <c r="B6391" s="87" t="s">
        <v>1</v>
      </c>
      <c r="C6391" s="88" t="s">
        <v>5259</v>
      </c>
      <c r="D6391" s="88">
        <v>17095269</v>
      </c>
      <c r="E6391" s="88" t="s">
        <v>61</v>
      </c>
      <c r="F6391" s="88">
        <v>0</v>
      </c>
      <c r="G6391" s="78">
        <f>MAX(H6391,I6391,J6391)</f>
        <v>1</v>
      </c>
      <c r="H6391" s="88"/>
      <c r="I6391" s="88"/>
      <c r="J6391" s="78">
        <f>MAX(K6391:Q6391)</f>
        <v>1</v>
      </c>
      <c r="K6391" s="88">
        <v>1</v>
      </c>
      <c r="L6391" s="88"/>
      <c r="M6391" s="88"/>
      <c r="N6391" s="88"/>
      <c r="O6391" s="88"/>
      <c r="P6391" s="88"/>
      <c r="Q6391" s="88"/>
      <c r="R6391" s="78">
        <f>MAX(S6391:W6391)</f>
        <v>0</v>
      </c>
      <c r="S6391" s="88"/>
      <c r="T6391" s="88"/>
      <c r="U6391" s="88"/>
      <c r="V6391" s="88"/>
      <c r="W6391" s="88"/>
    </row>
    <row r="6392" spans="2:23" s="0" customFormat="0" ht="15">
      <c r="B6392" s="87" t="s">
        <v>1</v>
      </c>
      <c r="C6392" s="88" t="s">
        <v>5259</v>
      </c>
      <c r="D6392" s="88" t="s">
        <v>4184</v>
      </c>
      <c r="E6392" s="88" t="s">
        <v>61</v>
      </c>
      <c r="F6392" s="88">
        <v>0</v>
      </c>
      <c r="G6392" s="78">
        <f>MAX(H6392,I6392,J6392)</f>
        <v>0</v>
      </c>
      <c r="H6392" s="88"/>
      <c r="I6392" s="88"/>
      <c r="J6392" s="78">
        <f>MAX(K6392:Q6392)</f>
        <v>0</v>
      </c>
      <c r="K6392" s="88"/>
      <c r="L6392" s="88"/>
      <c r="M6392" s="88"/>
      <c r="N6392" s="88"/>
      <c r="O6392" s="88"/>
      <c r="P6392" s="88"/>
      <c r="Q6392" s="88"/>
      <c r="R6392" s="78">
        <f>MAX(S6392:W6392)</f>
        <v>1</v>
      </c>
      <c r="S6392" s="88"/>
      <c r="T6392" s="88"/>
      <c r="U6392" s="88">
        <v>1</v>
      </c>
      <c r="V6392" s="88"/>
      <c r="W6392" s="88"/>
    </row>
    <row r="6393" spans="2:23" s="0" customFormat="0" ht="15">
      <c r="B6393" s="87" t="s">
        <v>1</v>
      </c>
      <c r="C6393" s="88" t="s">
        <v>5259</v>
      </c>
      <c r="D6393" s="88" t="s">
        <v>2357</v>
      </c>
      <c r="E6393" s="88" t="s">
        <v>61</v>
      </c>
      <c r="F6393" s="88">
        <v>0</v>
      </c>
      <c r="G6393" s="78">
        <f>MAX(H6393,I6393,J6393)</f>
        <v>1</v>
      </c>
      <c r="H6393" s="88"/>
      <c r="I6393" s="88"/>
      <c r="J6393" s="78">
        <f>MAX(K6393:Q6393)</f>
        <v>1</v>
      </c>
      <c r="K6393" s="88">
        <v>1</v>
      </c>
      <c r="L6393" s="88"/>
      <c r="M6393" s="88"/>
      <c r="N6393" s="88"/>
      <c r="O6393" s="88"/>
      <c r="P6393" s="88"/>
      <c r="Q6393" s="88"/>
      <c r="R6393" s="78">
        <f>MAX(S6393:W6393)</f>
        <v>0</v>
      </c>
      <c r="S6393" s="88"/>
      <c r="T6393" s="88"/>
      <c r="U6393" s="88"/>
      <c r="V6393" s="88"/>
      <c r="W6393" s="88"/>
    </row>
    <row r="6394" spans="2:23" s="0" customFormat="0" ht="15">
      <c r="B6394" s="87" t="s">
        <v>1</v>
      </c>
      <c r="C6394" s="88" t="s">
        <v>5259</v>
      </c>
      <c r="D6394" s="88">
        <v>21801477</v>
      </c>
      <c r="E6394" s="88" t="s">
        <v>61</v>
      </c>
      <c r="F6394" s="88">
        <v>0</v>
      </c>
      <c r="G6394" s="78">
        <f>MAX(H6394,I6394,J6394)</f>
        <v>1</v>
      </c>
      <c r="H6394" s="88"/>
      <c r="I6394" s="88"/>
      <c r="J6394" s="78">
        <f>MAX(K6394:Q6394)</f>
        <v>1</v>
      </c>
      <c r="K6394" s="88">
        <v>1</v>
      </c>
      <c r="L6394" s="88"/>
      <c r="M6394" s="88"/>
      <c r="N6394" s="88"/>
      <c r="O6394" s="88"/>
      <c r="P6394" s="88"/>
      <c r="Q6394" s="88"/>
      <c r="R6394" s="78">
        <f>MAX(S6394:W6394)</f>
        <v>0</v>
      </c>
      <c r="S6394" s="88"/>
      <c r="T6394" s="88"/>
      <c r="U6394" s="88"/>
      <c r="V6394" s="88"/>
      <c r="W6394" s="88"/>
    </row>
    <row r="6395" spans="2:23" s="0" customFormat="0" ht="15">
      <c r="B6395" s="87" t="s">
        <v>1</v>
      </c>
      <c r="C6395" s="88" t="s">
        <v>5259</v>
      </c>
      <c r="D6395" s="88">
        <v>23306339</v>
      </c>
      <c r="E6395" s="88" t="s">
        <v>61</v>
      </c>
      <c r="F6395" s="88">
        <v>0</v>
      </c>
      <c r="G6395" s="78">
        <f>MAX(H6395,I6395,J6395)</f>
        <v>1</v>
      </c>
      <c r="H6395" s="88"/>
      <c r="I6395" s="88"/>
      <c r="J6395" s="78">
        <f>MAX(K6395:Q6395)</f>
        <v>1</v>
      </c>
      <c r="K6395" s="88"/>
      <c r="L6395" s="88"/>
      <c r="M6395" s="88">
        <v>1</v>
      </c>
      <c r="N6395" s="88"/>
      <c r="O6395" s="88"/>
      <c r="P6395" s="88"/>
      <c r="Q6395" s="88"/>
      <c r="R6395" s="78">
        <f>MAX(S6395:W6395)</f>
        <v>0</v>
      </c>
      <c r="S6395" s="88"/>
      <c r="T6395" s="88"/>
      <c r="U6395" s="88"/>
      <c r="V6395" s="88"/>
      <c r="W6395" s="88"/>
    </row>
    <row r="6396" spans="2:23" s="0" customFormat="0" ht="15">
      <c r="B6396" s="87" t="s">
        <v>1</v>
      </c>
      <c r="C6396" s="88" t="s">
        <v>5259</v>
      </c>
      <c r="D6396" s="88" t="s">
        <v>1654</v>
      </c>
      <c r="E6396" s="88" t="s">
        <v>61</v>
      </c>
      <c r="F6396" s="88">
        <v>0</v>
      </c>
      <c r="G6396" s="78">
        <f>MAX(H6396,I6396,J6396)</f>
        <v>1</v>
      </c>
      <c r="H6396" s="88"/>
      <c r="I6396" s="88"/>
      <c r="J6396" s="78">
        <f>MAX(K6396:Q6396)</f>
        <v>1</v>
      </c>
      <c r="K6396" s="88">
        <v>1</v>
      </c>
      <c r="L6396" s="88"/>
      <c r="M6396" s="88"/>
      <c r="N6396" s="88"/>
      <c r="O6396" s="88"/>
      <c r="P6396" s="88"/>
      <c r="Q6396" s="88"/>
      <c r="R6396" s="78">
        <f>MAX(S6396:W6396)</f>
        <v>0</v>
      </c>
      <c r="S6396" s="88"/>
      <c r="T6396" s="88"/>
      <c r="U6396" s="88"/>
      <c r="V6396" s="88"/>
      <c r="W6396" s="88"/>
    </row>
    <row r="6397" spans="2:23" s="0" customFormat="0" ht="15">
      <c r="B6397" s="87" t="s">
        <v>1</v>
      </c>
      <c r="C6397" s="88" t="s">
        <v>5259</v>
      </c>
      <c r="D6397" s="88" t="s">
        <v>1811</v>
      </c>
      <c r="E6397" s="88" t="s">
        <v>61</v>
      </c>
      <c r="F6397" s="88">
        <v>0</v>
      </c>
      <c r="G6397" s="78">
        <f>MAX(H6397,I6397,J6397)</f>
        <v>1</v>
      </c>
      <c r="H6397" s="88"/>
      <c r="I6397" s="88"/>
      <c r="J6397" s="78">
        <f>MAX(K6397:Q6397)</f>
        <v>1</v>
      </c>
      <c r="K6397" s="88">
        <v>1</v>
      </c>
      <c r="L6397" s="88"/>
      <c r="M6397" s="88"/>
      <c r="N6397" s="88"/>
      <c r="O6397" s="88"/>
      <c r="P6397" s="88"/>
      <c r="Q6397" s="88"/>
      <c r="R6397" s="78">
        <f>MAX(S6397:W6397)</f>
        <v>0</v>
      </c>
      <c r="S6397" s="88"/>
      <c r="T6397" s="88"/>
      <c r="U6397" s="88"/>
      <c r="V6397" s="88"/>
      <c r="W6397" s="88"/>
    </row>
    <row r="6398" spans="2:23" s="0" customFormat="0" ht="15">
      <c r="B6398" s="87" t="s">
        <v>1</v>
      </c>
      <c r="C6398" s="88" t="s">
        <v>5259</v>
      </c>
      <c r="D6398" s="88" t="s">
        <v>4618</v>
      </c>
      <c r="E6398" s="88" t="s">
        <v>61</v>
      </c>
      <c r="F6398" s="88">
        <v>0</v>
      </c>
      <c r="G6398" s="78">
        <f>MAX(H6398,I6398,J6398)</f>
        <v>0</v>
      </c>
      <c r="H6398" s="88"/>
      <c r="I6398" s="88"/>
      <c r="J6398" s="78">
        <f>MAX(K6398:Q6398)</f>
        <v>0</v>
      </c>
      <c r="K6398" s="88"/>
      <c r="L6398" s="88"/>
      <c r="M6398" s="88"/>
      <c r="N6398" s="88"/>
      <c r="O6398" s="88"/>
      <c r="P6398" s="88"/>
      <c r="Q6398" s="88"/>
      <c r="R6398" s="78">
        <f>MAX(S6398:W6398)</f>
        <v>1</v>
      </c>
      <c r="S6398" s="88"/>
      <c r="T6398" s="88"/>
      <c r="U6398" s="88">
        <v>1</v>
      </c>
      <c r="V6398" s="88"/>
      <c r="W6398" s="88"/>
    </row>
    <row r="6399" spans="2:23" s="0" customFormat="0" ht="15">
      <c r="B6399" s="87" t="s">
        <v>1</v>
      </c>
      <c r="C6399" s="88" t="s">
        <v>5259</v>
      </c>
      <c r="D6399" s="88">
        <v>18091439</v>
      </c>
      <c r="E6399" s="88" t="s">
        <v>61</v>
      </c>
      <c r="F6399" s="88">
        <v>0</v>
      </c>
      <c r="G6399" s="78">
        <f>MAX(H6399,I6399,J6399)</f>
        <v>1</v>
      </c>
      <c r="H6399" s="88"/>
      <c r="I6399" s="88"/>
      <c r="J6399" s="78">
        <f>MAX(K6399:Q6399)</f>
        <v>1</v>
      </c>
      <c r="K6399" s="88">
        <v>1</v>
      </c>
      <c r="L6399" s="88"/>
      <c r="M6399" s="88"/>
      <c r="N6399" s="88"/>
      <c r="O6399" s="88"/>
      <c r="P6399" s="88"/>
      <c r="Q6399" s="88"/>
      <c r="R6399" s="78">
        <f>MAX(S6399:W6399)</f>
        <v>0</v>
      </c>
      <c r="S6399" s="88"/>
      <c r="T6399" s="88"/>
      <c r="U6399" s="88"/>
      <c r="V6399" s="88"/>
      <c r="W6399" s="88"/>
    </row>
    <row r="6400" spans="2:23" s="0" customFormat="0" ht="15">
      <c r="B6400" s="87" t="s">
        <v>1</v>
      </c>
      <c r="C6400" s="88" t="s">
        <v>5259</v>
      </c>
      <c r="D6400" s="88" t="s">
        <v>4209</v>
      </c>
      <c r="E6400" s="88" t="s">
        <v>61</v>
      </c>
      <c r="F6400" s="88">
        <v>0</v>
      </c>
      <c r="G6400" s="78">
        <f>MAX(H6400,I6400,J6400)</f>
        <v>0</v>
      </c>
      <c r="H6400" s="88"/>
      <c r="I6400" s="88"/>
      <c r="J6400" s="78">
        <f>MAX(K6400:Q6400)</f>
        <v>0</v>
      </c>
      <c r="K6400" s="88"/>
      <c r="L6400" s="88"/>
      <c r="M6400" s="88"/>
      <c r="N6400" s="88"/>
      <c r="O6400" s="88"/>
      <c r="P6400" s="88"/>
      <c r="Q6400" s="88"/>
      <c r="R6400" s="78">
        <f>MAX(S6400:W6400)</f>
        <v>1</v>
      </c>
      <c r="S6400" s="88"/>
      <c r="T6400" s="88"/>
      <c r="U6400" s="88">
        <v>1</v>
      </c>
      <c r="V6400" s="88"/>
      <c r="W6400" s="88"/>
    </row>
    <row r="6401" spans="2:23" s="0" customFormat="0" ht="15">
      <c r="B6401" s="87" t="s">
        <v>1</v>
      </c>
      <c r="C6401" s="88" t="s">
        <v>5259</v>
      </c>
      <c r="D6401" s="88" t="s">
        <v>5087</v>
      </c>
      <c r="E6401" s="88" t="s">
        <v>61</v>
      </c>
      <c r="F6401" s="88">
        <v>0</v>
      </c>
      <c r="G6401" s="78">
        <f>MAX(H6401,I6401,J6401)</f>
        <v>0</v>
      </c>
      <c r="H6401" s="88"/>
      <c r="I6401" s="88"/>
      <c r="J6401" s="78">
        <f>MAX(K6401:Q6401)</f>
        <v>0</v>
      </c>
      <c r="K6401" s="88"/>
      <c r="L6401" s="88"/>
      <c r="M6401" s="88"/>
      <c r="N6401" s="88"/>
      <c r="O6401" s="88"/>
      <c r="P6401" s="88"/>
      <c r="Q6401" s="88"/>
      <c r="R6401" s="78">
        <f>MAX(S6401:W6401)</f>
        <v>1</v>
      </c>
      <c r="S6401" s="88"/>
      <c r="T6401" s="88"/>
      <c r="U6401" s="88">
        <v>1</v>
      </c>
      <c r="V6401" s="88"/>
      <c r="W6401" s="88"/>
    </row>
    <row r="6402" spans="2:23" s="0" customFormat="0" ht="15">
      <c r="B6402" s="87" t="s">
        <v>1</v>
      </c>
      <c r="C6402" s="88" t="s">
        <v>5259</v>
      </c>
      <c r="D6402" s="88">
        <v>7178667</v>
      </c>
      <c r="E6402" s="88" t="s">
        <v>61</v>
      </c>
      <c r="F6402" s="88">
        <v>0</v>
      </c>
      <c r="G6402" s="78">
        <f>MAX(H6402,I6402,J6402)</f>
        <v>1</v>
      </c>
      <c r="H6402" s="88"/>
      <c r="I6402" s="88"/>
      <c r="J6402" s="78">
        <f>MAX(K6402:Q6402)</f>
        <v>1</v>
      </c>
      <c r="K6402" s="88">
        <v>1</v>
      </c>
      <c r="L6402" s="88"/>
      <c r="M6402" s="88"/>
      <c r="N6402" s="88"/>
      <c r="O6402" s="88"/>
      <c r="P6402" s="88"/>
      <c r="Q6402" s="88"/>
      <c r="R6402" s="78">
        <f>MAX(S6402:W6402)</f>
        <v>0</v>
      </c>
      <c r="S6402" s="88"/>
      <c r="T6402" s="88"/>
      <c r="U6402" s="88"/>
      <c r="V6402" s="88"/>
      <c r="W6402" s="88"/>
    </row>
    <row r="6403" spans="2:23" s="0" customFormat="0" ht="15">
      <c r="B6403" s="87" t="s">
        <v>1</v>
      </c>
      <c r="C6403" s="88" t="s">
        <v>5259</v>
      </c>
      <c r="D6403" s="88" t="s">
        <v>4623</v>
      </c>
      <c r="E6403" s="88" t="s">
        <v>61</v>
      </c>
      <c r="F6403" s="88">
        <v>0</v>
      </c>
      <c r="G6403" s="78">
        <f>MAX(H6403,I6403,J6403)</f>
        <v>0</v>
      </c>
      <c r="H6403" s="88"/>
      <c r="I6403" s="88"/>
      <c r="J6403" s="78">
        <f>MAX(K6403:Q6403)</f>
        <v>0</v>
      </c>
      <c r="K6403" s="88"/>
      <c r="L6403" s="88"/>
      <c r="M6403" s="88"/>
      <c r="N6403" s="88"/>
      <c r="O6403" s="88"/>
      <c r="P6403" s="88"/>
      <c r="Q6403" s="88"/>
      <c r="R6403" s="78">
        <f>MAX(S6403:W6403)</f>
        <v>1</v>
      </c>
      <c r="S6403" s="88"/>
      <c r="T6403" s="88"/>
      <c r="U6403" s="88">
        <v>1</v>
      </c>
      <c r="V6403" s="88"/>
      <c r="W6403" s="88"/>
    </row>
    <row r="6404" spans="2:23" s="0" customFormat="0" ht="15">
      <c r="B6404" s="87" t="s">
        <v>1</v>
      </c>
      <c r="C6404" s="88" t="s">
        <v>5259</v>
      </c>
      <c r="D6404" s="88">
        <v>5168892</v>
      </c>
      <c r="E6404" s="88" t="s">
        <v>61</v>
      </c>
      <c r="F6404" s="88">
        <v>0</v>
      </c>
      <c r="G6404" s="78">
        <f>MAX(H6404,I6404,J6404)</f>
        <v>0</v>
      </c>
      <c r="H6404" s="88"/>
      <c r="I6404" s="88"/>
      <c r="J6404" s="78">
        <f>MAX(K6404:Q6404)</f>
        <v>0</v>
      </c>
      <c r="K6404" s="88"/>
      <c r="L6404" s="88"/>
      <c r="M6404" s="88"/>
      <c r="N6404" s="88"/>
      <c r="O6404" s="88"/>
      <c r="P6404" s="88"/>
      <c r="Q6404" s="88"/>
      <c r="R6404" s="78">
        <f>MAX(S6404:W6404)</f>
        <v>1</v>
      </c>
      <c r="S6404" s="88"/>
      <c r="T6404" s="88"/>
      <c r="U6404" s="88">
        <v>1</v>
      </c>
      <c r="V6404" s="88"/>
      <c r="W6404" s="88"/>
    </row>
    <row r="6405" spans="2:23" s="0" customFormat="0" ht="15">
      <c r="B6405" s="87" t="s">
        <v>1</v>
      </c>
      <c r="C6405" s="88" t="s">
        <v>5259</v>
      </c>
      <c r="D6405" s="88">
        <v>17771927</v>
      </c>
      <c r="E6405" s="88" t="s">
        <v>61</v>
      </c>
      <c r="F6405" s="88">
        <v>0</v>
      </c>
      <c r="G6405" s="78">
        <f>MAX(H6405,I6405,J6405)</f>
        <v>1</v>
      </c>
      <c r="H6405" s="88"/>
      <c r="I6405" s="88"/>
      <c r="J6405" s="78">
        <f>MAX(K6405:Q6405)</f>
        <v>1</v>
      </c>
      <c r="K6405" s="88">
        <v>1</v>
      </c>
      <c r="L6405" s="88"/>
      <c r="M6405" s="88"/>
      <c r="N6405" s="88"/>
      <c r="O6405" s="88"/>
      <c r="P6405" s="88"/>
      <c r="Q6405" s="88"/>
      <c r="R6405" s="78">
        <f>MAX(S6405:W6405)</f>
        <v>0</v>
      </c>
      <c r="S6405" s="88"/>
      <c r="T6405" s="88"/>
      <c r="U6405" s="88"/>
      <c r="V6405" s="88"/>
      <c r="W6405" s="88"/>
    </row>
    <row r="6406" spans="2:23" s="0" customFormat="0" ht="15">
      <c r="B6406" s="87" t="s">
        <v>1</v>
      </c>
      <c r="C6406" s="88" t="s">
        <v>5259</v>
      </c>
      <c r="D6406" s="88">
        <v>24738982</v>
      </c>
      <c r="E6406" s="88" t="s">
        <v>61</v>
      </c>
      <c r="F6406" s="88">
        <v>0</v>
      </c>
      <c r="G6406" s="78">
        <f>MAX(H6406,I6406,J6406)</f>
        <v>1</v>
      </c>
      <c r="H6406" s="88"/>
      <c r="I6406" s="88"/>
      <c r="J6406" s="78">
        <f>MAX(K6406:Q6406)</f>
        <v>1</v>
      </c>
      <c r="K6406" s="88">
        <v>1</v>
      </c>
      <c r="L6406" s="88"/>
      <c r="M6406" s="88"/>
      <c r="N6406" s="88"/>
      <c r="O6406" s="88"/>
      <c r="P6406" s="88"/>
      <c r="Q6406" s="88"/>
      <c r="R6406" s="78">
        <f>MAX(S6406:W6406)</f>
        <v>0</v>
      </c>
      <c r="S6406" s="88"/>
      <c r="T6406" s="88"/>
      <c r="U6406" s="88"/>
      <c r="V6406" s="88"/>
      <c r="W6406" s="88"/>
    </row>
    <row r="6407" spans="2:23" s="0" customFormat="0" ht="15">
      <c r="B6407" s="87" t="s">
        <v>1</v>
      </c>
      <c r="C6407" s="88" t="s">
        <v>5259</v>
      </c>
      <c r="D6407" s="88" t="s">
        <v>732</v>
      </c>
      <c r="E6407" s="88" t="s">
        <v>61</v>
      </c>
      <c r="F6407" s="88">
        <v>0</v>
      </c>
      <c r="G6407" s="78">
        <f>MAX(H6407,I6407,J6407)</f>
        <v>1</v>
      </c>
      <c r="H6407" s="88"/>
      <c r="I6407" s="88"/>
      <c r="J6407" s="78">
        <f>MAX(K6407:Q6407)</f>
        <v>1</v>
      </c>
      <c r="K6407" s="88">
        <v>1</v>
      </c>
      <c r="L6407" s="88"/>
      <c r="M6407" s="88"/>
      <c r="N6407" s="88"/>
      <c r="O6407" s="88"/>
      <c r="P6407" s="88"/>
      <c r="Q6407" s="88"/>
      <c r="R6407" s="78">
        <f>MAX(S6407:W6407)</f>
        <v>0</v>
      </c>
      <c r="S6407" s="88"/>
      <c r="T6407" s="88"/>
      <c r="U6407" s="88"/>
      <c r="V6407" s="88"/>
      <c r="W6407" s="88"/>
    </row>
    <row r="6408" spans="2:23" s="0" customFormat="0" ht="15">
      <c r="B6408" s="87" t="s">
        <v>1</v>
      </c>
      <c r="C6408" s="88" t="s">
        <v>5259</v>
      </c>
      <c r="D6408" s="88">
        <v>11401432</v>
      </c>
      <c r="E6408" s="88" t="s">
        <v>61</v>
      </c>
      <c r="F6408" s="88">
        <v>0</v>
      </c>
      <c r="G6408" s="78">
        <f>MAX(H6408,I6408,J6408)</f>
        <v>1</v>
      </c>
      <c r="H6408" s="88"/>
      <c r="I6408" s="88"/>
      <c r="J6408" s="78">
        <f>MAX(K6408:Q6408)</f>
        <v>1</v>
      </c>
      <c r="K6408" s="88">
        <v>1</v>
      </c>
      <c r="L6408" s="88"/>
      <c r="M6408" s="88"/>
      <c r="N6408" s="88"/>
      <c r="O6408" s="88"/>
      <c r="P6408" s="88"/>
      <c r="Q6408" s="88"/>
      <c r="R6408" s="78">
        <f>MAX(S6408:W6408)</f>
        <v>0</v>
      </c>
      <c r="S6408" s="88"/>
      <c r="T6408" s="88"/>
      <c r="U6408" s="88"/>
      <c r="V6408" s="88"/>
      <c r="W6408" s="88"/>
    </row>
    <row r="6409" spans="2:23" s="0" customFormat="0" ht="15">
      <c r="B6409" s="87" t="s">
        <v>1</v>
      </c>
      <c r="C6409" s="88" t="s">
        <v>5259</v>
      </c>
      <c r="D6409" s="88">
        <v>10177835</v>
      </c>
      <c r="E6409" s="88" t="s">
        <v>61</v>
      </c>
      <c r="F6409" s="88">
        <v>0</v>
      </c>
      <c r="G6409" s="78">
        <f>MAX(H6409,I6409,J6409)</f>
        <v>1</v>
      </c>
      <c r="H6409" s="88"/>
      <c r="I6409" s="88"/>
      <c r="J6409" s="78">
        <f>MAX(K6409:Q6409)</f>
        <v>1</v>
      </c>
      <c r="K6409" s="88">
        <v>1</v>
      </c>
      <c r="L6409" s="88"/>
      <c r="M6409" s="88"/>
      <c r="N6409" s="88"/>
      <c r="O6409" s="88"/>
      <c r="P6409" s="88"/>
      <c r="Q6409" s="88"/>
      <c r="R6409" s="78">
        <f>MAX(S6409:W6409)</f>
        <v>0</v>
      </c>
      <c r="S6409" s="88"/>
      <c r="T6409" s="88"/>
      <c r="U6409" s="88"/>
      <c r="V6409" s="88"/>
      <c r="W6409" s="88"/>
    </row>
    <row r="6410" spans="2:23" s="0" customFormat="0" ht="15">
      <c r="B6410" s="87" t="s">
        <v>1</v>
      </c>
      <c r="C6410" s="88" t="s">
        <v>5259</v>
      </c>
      <c r="D6410" s="88">
        <v>18942811</v>
      </c>
      <c r="E6410" s="88" t="s">
        <v>61</v>
      </c>
      <c r="F6410" s="88">
        <v>0</v>
      </c>
      <c r="G6410" s="78">
        <f>MAX(H6410,I6410,J6410)</f>
        <v>1</v>
      </c>
      <c r="H6410" s="88"/>
      <c r="I6410" s="88"/>
      <c r="J6410" s="78">
        <f>MAX(K6410:Q6410)</f>
        <v>1</v>
      </c>
      <c r="K6410" s="88">
        <v>1</v>
      </c>
      <c r="L6410" s="88"/>
      <c r="M6410" s="88"/>
      <c r="N6410" s="88"/>
      <c r="O6410" s="88"/>
      <c r="P6410" s="88"/>
      <c r="Q6410" s="88"/>
      <c r="R6410" s="78">
        <f>MAX(S6410:W6410)</f>
        <v>0</v>
      </c>
      <c r="S6410" s="88"/>
      <c r="T6410" s="88"/>
      <c r="U6410" s="88"/>
      <c r="V6410" s="88"/>
      <c r="W6410" s="88"/>
    </row>
    <row r="6411" spans="2:23" s="0" customFormat="0" ht="15">
      <c r="B6411" s="87" t="s">
        <v>1</v>
      </c>
      <c r="C6411" s="88" t="s">
        <v>5259</v>
      </c>
      <c r="D6411" s="88" t="s">
        <v>4076</v>
      </c>
      <c r="E6411" s="88" t="s">
        <v>61</v>
      </c>
      <c r="F6411" s="88">
        <v>0</v>
      </c>
      <c r="G6411" s="78">
        <f>MAX(H6411,I6411,J6411)</f>
        <v>0</v>
      </c>
      <c r="H6411" s="88"/>
      <c r="I6411" s="88"/>
      <c r="J6411" s="78">
        <f>MAX(K6411:Q6411)</f>
        <v>0</v>
      </c>
      <c r="K6411" s="88"/>
      <c r="L6411" s="88"/>
      <c r="M6411" s="88"/>
      <c r="N6411" s="88"/>
      <c r="O6411" s="88"/>
      <c r="P6411" s="88"/>
      <c r="Q6411" s="88"/>
      <c r="R6411" s="78">
        <f>MAX(S6411:W6411)</f>
        <v>1</v>
      </c>
      <c r="S6411" s="88"/>
      <c r="T6411" s="88"/>
      <c r="U6411" s="88">
        <v>1</v>
      </c>
      <c r="V6411" s="88"/>
      <c r="W6411" s="88"/>
    </row>
    <row r="6412" spans="2:23" s="0" customFormat="0" ht="15">
      <c r="B6412" s="87" t="s">
        <v>1</v>
      </c>
      <c r="C6412" s="88" t="s">
        <v>5259</v>
      </c>
      <c r="D6412" s="88" t="s">
        <v>4965</v>
      </c>
      <c r="E6412" s="88" t="s">
        <v>61</v>
      </c>
      <c r="F6412" s="88">
        <v>0</v>
      </c>
      <c r="G6412" s="78">
        <f>MAX(H6412,I6412,J6412)</f>
        <v>0</v>
      </c>
      <c r="H6412" s="88"/>
      <c r="I6412" s="88"/>
      <c r="J6412" s="78">
        <f>MAX(K6412:Q6412)</f>
        <v>0</v>
      </c>
      <c r="K6412" s="88"/>
      <c r="L6412" s="88"/>
      <c r="M6412" s="88"/>
      <c r="N6412" s="88"/>
      <c r="O6412" s="88"/>
      <c r="P6412" s="88"/>
      <c r="Q6412" s="88"/>
      <c r="R6412" s="78">
        <f>MAX(S6412:W6412)</f>
        <v>1</v>
      </c>
      <c r="S6412" s="88"/>
      <c r="T6412" s="88"/>
      <c r="U6412" s="88">
        <v>1</v>
      </c>
      <c r="V6412" s="88"/>
      <c r="W6412" s="88"/>
    </row>
    <row r="6413" spans="2:23" s="0" customFormat="0" ht="15">
      <c r="B6413" s="87" t="s">
        <v>1</v>
      </c>
      <c r="C6413" s="88" t="s">
        <v>5259</v>
      </c>
      <c r="D6413" s="88">
        <v>12077048</v>
      </c>
      <c r="E6413" s="88" t="s">
        <v>61</v>
      </c>
      <c r="F6413" s="88">
        <v>0</v>
      </c>
      <c r="G6413" s="78">
        <f>MAX(H6413,I6413,J6413)</f>
        <v>1</v>
      </c>
      <c r="H6413" s="88"/>
      <c r="I6413" s="88"/>
      <c r="J6413" s="78">
        <f>MAX(K6413:Q6413)</f>
        <v>1</v>
      </c>
      <c r="K6413" s="88">
        <v>1</v>
      </c>
      <c r="L6413" s="88"/>
      <c r="M6413" s="88"/>
      <c r="N6413" s="88"/>
      <c r="O6413" s="88"/>
      <c r="P6413" s="88"/>
      <c r="Q6413" s="88"/>
      <c r="R6413" s="78">
        <f>MAX(S6413:W6413)</f>
        <v>0</v>
      </c>
      <c r="S6413" s="88"/>
      <c r="T6413" s="88"/>
      <c r="U6413" s="88"/>
      <c r="V6413" s="88"/>
      <c r="W6413" s="88"/>
    </row>
    <row r="6414" spans="2:23" s="0" customFormat="0" ht="15">
      <c r="B6414" s="87" t="s">
        <v>1</v>
      </c>
      <c r="C6414" s="88" t="s">
        <v>5259</v>
      </c>
      <c r="D6414" s="88" t="s">
        <v>5215</v>
      </c>
      <c r="E6414" s="88" t="s">
        <v>61</v>
      </c>
      <c r="F6414" s="88">
        <v>0</v>
      </c>
      <c r="G6414" s="78">
        <f>MAX(H6414,I6414,J6414)</f>
        <v>0</v>
      </c>
      <c r="H6414" s="88"/>
      <c r="I6414" s="88"/>
      <c r="J6414" s="78">
        <f>MAX(K6414:Q6414)</f>
        <v>0</v>
      </c>
      <c r="K6414" s="88"/>
      <c r="L6414" s="88"/>
      <c r="M6414" s="88"/>
      <c r="N6414" s="88"/>
      <c r="O6414" s="88"/>
      <c r="P6414" s="88"/>
      <c r="Q6414" s="88"/>
      <c r="R6414" s="78">
        <f>MAX(S6414:W6414)</f>
        <v>1</v>
      </c>
      <c r="S6414" s="88"/>
      <c r="T6414" s="88"/>
      <c r="U6414" s="88">
        <v>1</v>
      </c>
      <c r="V6414" s="88"/>
      <c r="W6414" s="88"/>
    </row>
    <row r="6415" spans="2:23" s="0" customFormat="0" ht="15">
      <c r="B6415" s="87" t="s">
        <v>1</v>
      </c>
      <c r="C6415" s="88" t="s">
        <v>5259</v>
      </c>
      <c r="D6415" s="88">
        <v>20908882</v>
      </c>
      <c r="E6415" s="88" t="s">
        <v>61</v>
      </c>
      <c r="F6415" s="88">
        <v>0</v>
      </c>
      <c r="G6415" s="78">
        <f>MAX(H6415,I6415,J6415)</f>
        <v>1</v>
      </c>
      <c r="H6415" s="88"/>
      <c r="I6415" s="88"/>
      <c r="J6415" s="78">
        <f>MAX(K6415:Q6415)</f>
        <v>1</v>
      </c>
      <c r="K6415" s="88">
        <v>1</v>
      </c>
      <c r="L6415" s="88"/>
      <c r="M6415" s="88"/>
      <c r="N6415" s="88"/>
      <c r="O6415" s="88"/>
      <c r="P6415" s="88"/>
      <c r="Q6415" s="88"/>
      <c r="R6415" s="78">
        <f>MAX(S6415:W6415)</f>
        <v>0</v>
      </c>
      <c r="S6415" s="88"/>
      <c r="T6415" s="88"/>
      <c r="U6415" s="88"/>
      <c r="V6415" s="88"/>
      <c r="W6415" s="88"/>
    </row>
    <row r="6416" spans="2:23" s="0" customFormat="0" ht="15">
      <c r="B6416" s="87" t="s">
        <v>1</v>
      </c>
      <c r="C6416" s="88" t="s">
        <v>5259</v>
      </c>
      <c r="D6416" s="88">
        <v>6388757</v>
      </c>
      <c r="E6416" s="88" t="s">
        <v>61</v>
      </c>
      <c r="F6416" s="88">
        <v>0</v>
      </c>
      <c r="G6416" s="78">
        <f>MAX(H6416,I6416,J6416)</f>
        <v>0</v>
      </c>
      <c r="H6416" s="88"/>
      <c r="I6416" s="88"/>
      <c r="J6416" s="78">
        <f>MAX(K6416:Q6416)</f>
        <v>0</v>
      </c>
      <c r="K6416" s="88"/>
      <c r="L6416" s="88"/>
      <c r="M6416" s="88"/>
      <c r="N6416" s="88"/>
      <c r="O6416" s="88"/>
      <c r="P6416" s="88"/>
      <c r="Q6416" s="88"/>
      <c r="R6416" s="78">
        <f>MAX(S6416:W6416)</f>
        <v>1</v>
      </c>
      <c r="S6416" s="88"/>
      <c r="T6416" s="88"/>
      <c r="U6416" s="88">
        <v>1</v>
      </c>
      <c r="V6416" s="88"/>
      <c r="W6416" s="88"/>
    </row>
    <row r="6417" spans="2:23" s="0" customFormat="0" ht="15">
      <c r="B6417" s="87" t="s">
        <v>1</v>
      </c>
      <c r="C6417" s="88" t="s">
        <v>5259</v>
      </c>
      <c r="D6417" s="88">
        <v>606023</v>
      </c>
      <c r="E6417" s="88" t="s">
        <v>61</v>
      </c>
      <c r="F6417" s="88">
        <v>0</v>
      </c>
      <c r="G6417" s="78">
        <f>MAX(H6417,I6417,J6417)</f>
        <v>1</v>
      </c>
      <c r="H6417" s="88"/>
      <c r="I6417" s="88"/>
      <c r="J6417" s="78">
        <f>MAX(K6417:Q6417)</f>
        <v>1</v>
      </c>
      <c r="K6417" s="88">
        <v>1</v>
      </c>
      <c r="L6417" s="88"/>
      <c r="M6417" s="88"/>
      <c r="N6417" s="88"/>
      <c r="O6417" s="88"/>
      <c r="P6417" s="88"/>
      <c r="Q6417" s="88"/>
      <c r="R6417" s="78">
        <f>MAX(S6417:W6417)</f>
        <v>0</v>
      </c>
      <c r="S6417" s="88"/>
      <c r="T6417" s="88"/>
      <c r="U6417" s="88"/>
      <c r="V6417" s="88"/>
      <c r="W6417" s="88"/>
    </row>
    <row r="6418" spans="2:23" s="0" customFormat="0" ht="15">
      <c r="B6418" s="87" t="s">
        <v>1</v>
      </c>
      <c r="C6418" s="88" t="s">
        <v>5259</v>
      </c>
      <c r="D6418" s="88" t="s">
        <v>5217</v>
      </c>
      <c r="E6418" s="88" t="s">
        <v>61</v>
      </c>
      <c r="F6418" s="88">
        <v>0</v>
      </c>
      <c r="G6418" s="78">
        <f>MAX(H6418,I6418,J6418)</f>
        <v>0</v>
      </c>
      <c r="H6418" s="88"/>
      <c r="I6418" s="88"/>
      <c r="J6418" s="78">
        <f>MAX(K6418:Q6418)</f>
        <v>0</v>
      </c>
      <c r="K6418" s="88"/>
      <c r="L6418" s="88"/>
      <c r="M6418" s="88"/>
      <c r="N6418" s="88"/>
      <c r="O6418" s="88"/>
      <c r="P6418" s="88"/>
      <c r="Q6418" s="88"/>
      <c r="R6418" s="78">
        <f>MAX(S6418:W6418)</f>
        <v>1</v>
      </c>
      <c r="S6418" s="88"/>
      <c r="T6418" s="88"/>
      <c r="U6418" s="88">
        <v>1</v>
      </c>
      <c r="V6418" s="88"/>
      <c r="W6418" s="88"/>
    </row>
    <row r="6419" spans="2:23" s="0" customFormat="0" ht="15">
      <c r="B6419" s="87" t="s">
        <v>1</v>
      </c>
      <c r="C6419" s="88" t="s">
        <v>5259</v>
      </c>
      <c r="D6419" s="88">
        <v>15540828</v>
      </c>
      <c r="E6419" s="88" t="s">
        <v>61</v>
      </c>
      <c r="F6419" s="88">
        <v>0</v>
      </c>
      <c r="G6419" s="78">
        <f>MAX(H6419,I6419,J6419)</f>
        <v>1</v>
      </c>
      <c r="H6419" s="88"/>
      <c r="I6419" s="88"/>
      <c r="J6419" s="78">
        <f>MAX(K6419:Q6419)</f>
        <v>1</v>
      </c>
      <c r="K6419" s="88">
        <v>1</v>
      </c>
      <c r="L6419" s="88"/>
      <c r="M6419" s="88"/>
      <c r="N6419" s="88"/>
      <c r="O6419" s="88"/>
      <c r="P6419" s="88"/>
      <c r="Q6419" s="88"/>
      <c r="R6419" s="78">
        <f>MAX(S6419:W6419)</f>
        <v>0</v>
      </c>
      <c r="S6419" s="88"/>
      <c r="T6419" s="88"/>
      <c r="U6419" s="88"/>
      <c r="V6419" s="88"/>
      <c r="W6419" s="88"/>
    </row>
    <row r="6420" spans="2:23" s="0" customFormat="0" ht="15">
      <c r="B6420" s="87" t="s">
        <v>1</v>
      </c>
      <c r="C6420" s="88" t="s">
        <v>5259</v>
      </c>
      <c r="D6420" s="88" t="s">
        <v>4937</v>
      </c>
      <c r="E6420" s="88" t="s">
        <v>61</v>
      </c>
      <c r="F6420" s="88">
        <v>0</v>
      </c>
      <c r="G6420" s="78">
        <f>MAX(H6420,I6420,J6420)</f>
        <v>0</v>
      </c>
      <c r="H6420" s="88"/>
      <c r="I6420" s="88"/>
      <c r="J6420" s="78">
        <f>MAX(K6420:Q6420)</f>
        <v>0</v>
      </c>
      <c r="K6420" s="88"/>
      <c r="L6420" s="88"/>
      <c r="M6420" s="88"/>
      <c r="N6420" s="88"/>
      <c r="O6420" s="88"/>
      <c r="P6420" s="88"/>
      <c r="Q6420" s="88"/>
      <c r="R6420" s="78">
        <f>MAX(S6420:W6420)</f>
        <v>1</v>
      </c>
      <c r="S6420" s="88"/>
      <c r="T6420" s="88"/>
      <c r="U6420" s="88">
        <v>1</v>
      </c>
      <c r="V6420" s="88"/>
      <c r="W6420" s="88"/>
    </row>
    <row r="6421" spans="2:23" s="0" customFormat="0" ht="15">
      <c r="B6421" s="87" t="s">
        <v>1</v>
      </c>
      <c r="C6421" s="88" t="s">
        <v>5259</v>
      </c>
      <c r="D6421" s="88">
        <v>13721933</v>
      </c>
      <c r="E6421" s="88" t="s">
        <v>61</v>
      </c>
      <c r="F6421" s="88">
        <v>0</v>
      </c>
      <c r="G6421" s="78">
        <f>MAX(H6421,I6421,J6421)</f>
        <v>1</v>
      </c>
      <c r="H6421" s="88"/>
      <c r="I6421" s="88"/>
      <c r="J6421" s="78">
        <f>MAX(K6421:Q6421)</f>
        <v>1</v>
      </c>
      <c r="K6421" s="88">
        <v>1</v>
      </c>
      <c r="L6421" s="88"/>
      <c r="M6421" s="88"/>
      <c r="N6421" s="88"/>
      <c r="O6421" s="88"/>
      <c r="P6421" s="88"/>
      <c r="Q6421" s="88"/>
      <c r="R6421" s="78">
        <f>MAX(S6421:W6421)</f>
        <v>0</v>
      </c>
      <c r="S6421" s="88"/>
      <c r="T6421" s="88"/>
      <c r="U6421" s="88"/>
      <c r="V6421" s="88"/>
      <c r="W6421" s="88"/>
    </row>
    <row r="6422" spans="2:23" s="0" customFormat="0" ht="15">
      <c r="B6422" s="87" t="s">
        <v>1</v>
      </c>
      <c r="C6422" s="88" t="s">
        <v>5259</v>
      </c>
      <c r="D6422" s="88">
        <v>1929252</v>
      </c>
      <c r="E6422" s="88" t="s">
        <v>61</v>
      </c>
      <c r="F6422" s="88">
        <v>0</v>
      </c>
      <c r="G6422" s="78">
        <f>MAX(H6422,I6422,J6422)</f>
        <v>0</v>
      </c>
      <c r="H6422" s="88"/>
      <c r="I6422" s="88"/>
      <c r="J6422" s="78">
        <f>MAX(K6422:Q6422)</f>
        <v>0</v>
      </c>
      <c r="K6422" s="88"/>
      <c r="L6422" s="88"/>
      <c r="M6422" s="88"/>
      <c r="N6422" s="88"/>
      <c r="O6422" s="88"/>
      <c r="P6422" s="88"/>
      <c r="Q6422" s="88"/>
      <c r="R6422" s="78">
        <f>MAX(S6422:W6422)</f>
        <v>1</v>
      </c>
      <c r="S6422" s="88"/>
      <c r="T6422" s="88"/>
      <c r="U6422" s="88">
        <v>1</v>
      </c>
      <c r="V6422" s="88"/>
      <c r="W6422" s="88"/>
    </row>
    <row r="6423" spans="2:23" s="0" customFormat="0" ht="15">
      <c r="B6423" s="87" t="s">
        <v>1</v>
      </c>
      <c r="C6423" s="88" t="s">
        <v>5259</v>
      </c>
      <c r="D6423" s="88" t="s">
        <v>4823</v>
      </c>
      <c r="E6423" s="88" t="s">
        <v>61</v>
      </c>
      <c r="F6423" s="88">
        <v>0</v>
      </c>
      <c r="G6423" s="78">
        <f>MAX(H6423,I6423,J6423)</f>
        <v>0</v>
      </c>
      <c r="H6423" s="88"/>
      <c r="I6423" s="88"/>
      <c r="J6423" s="78">
        <f>MAX(K6423:Q6423)</f>
        <v>0</v>
      </c>
      <c r="K6423" s="88"/>
      <c r="L6423" s="88"/>
      <c r="M6423" s="88"/>
      <c r="N6423" s="88"/>
      <c r="O6423" s="88"/>
      <c r="P6423" s="88"/>
      <c r="Q6423" s="88"/>
      <c r="R6423" s="78">
        <f>MAX(S6423:W6423)</f>
        <v>1</v>
      </c>
      <c r="S6423" s="88"/>
      <c r="T6423" s="88"/>
      <c r="U6423" s="88">
        <v>1</v>
      </c>
      <c r="V6423" s="88"/>
      <c r="W6423" s="88"/>
    </row>
    <row r="6424" spans="2:23" s="0" customFormat="0" ht="15">
      <c r="B6424" s="87" t="s">
        <v>1</v>
      </c>
      <c r="C6424" s="88" t="s">
        <v>5259</v>
      </c>
      <c r="D6424" s="88">
        <v>22623675</v>
      </c>
      <c r="E6424" s="88" t="s">
        <v>61</v>
      </c>
      <c r="F6424" s="88">
        <v>0</v>
      </c>
      <c r="G6424" s="78">
        <f>MAX(H6424,I6424,J6424)</f>
        <v>0</v>
      </c>
      <c r="H6424" s="88"/>
      <c r="I6424" s="88"/>
      <c r="J6424" s="78">
        <f>MAX(K6424:Q6424)</f>
        <v>0</v>
      </c>
      <c r="K6424" s="88"/>
      <c r="L6424" s="88"/>
      <c r="M6424" s="88"/>
      <c r="N6424" s="88"/>
      <c r="O6424" s="88"/>
      <c r="P6424" s="88"/>
      <c r="Q6424" s="88"/>
      <c r="R6424" s="78">
        <f>MAX(S6424:W6424)</f>
        <v>1</v>
      </c>
      <c r="S6424" s="88"/>
      <c r="T6424" s="88"/>
      <c r="U6424" s="88">
        <v>1</v>
      </c>
      <c r="V6424" s="88"/>
      <c r="W6424" s="88"/>
    </row>
    <row r="6425" spans="2:23" s="0" customFormat="0" ht="15">
      <c r="B6425" s="87" t="s">
        <v>1</v>
      </c>
      <c r="C6425" s="88" t="s">
        <v>5259</v>
      </c>
      <c r="D6425" s="88">
        <v>22623685</v>
      </c>
      <c r="E6425" s="88" t="s">
        <v>61</v>
      </c>
      <c r="F6425" s="88">
        <v>0</v>
      </c>
      <c r="G6425" s="78">
        <f>MAX(H6425,I6425,J6425)</f>
        <v>0</v>
      </c>
      <c r="H6425" s="88"/>
      <c r="I6425" s="88"/>
      <c r="J6425" s="78">
        <f>MAX(K6425:Q6425)</f>
        <v>0</v>
      </c>
      <c r="K6425" s="88"/>
      <c r="L6425" s="88"/>
      <c r="M6425" s="88"/>
      <c r="N6425" s="88"/>
      <c r="O6425" s="88"/>
      <c r="P6425" s="88"/>
      <c r="Q6425" s="88"/>
      <c r="R6425" s="78">
        <f>MAX(S6425:W6425)</f>
        <v>1</v>
      </c>
      <c r="S6425" s="88"/>
      <c r="T6425" s="88"/>
      <c r="U6425" s="88">
        <v>1</v>
      </c>
      <c r="V6425" s="88"/>
      <c r="W6425" s="88"/>
    </row>
    <row r="6426" spans="2:23" s="0" customFormat="0" ht="15">
      <c r="B6426" s="87" t="s">
        <v>1</v>
      </c>
      <c r="C6426" s="88" t="s">
        <v>5259</v>
      </c>
      <c r="D6426" s="88">
        <v>19483991</v>
      </c>
      <c r="E6426" s="88" t="s">
        <v>61</v>
      </c>
      <c r="F6426" s="88">
        <v>0</v>
      </c>
      <c r="G6426" s="78">
        <f>MAX(H6426,I6426,J6426)</f>
        <v>1</v>
      </c>
      <c r="H6426" s="88"/>
      <c r="I6426" s="88"/>
      <c r="J6426" s="78">
        <f>MAX(K6426:Q6426)</f>
        <v>1</v>
      </c>
      <c r="K6426" s="88">
        <v>1</v>
      </c>
      <c r="L6426" s="88"/>
      <c r="M6426" s="88"/>
      <c r="N6426" s="88"/>
      <c r="O6426" s="88"/>
      <c r="P6426" s="88"/>
      <c r="Q6426" s="88"/>
      <c r="R6426" s="78">
        <f>MAX(S6426:W6426)</f>
        <v>0</v>
      </c>
      <c r="S6426" s="88"/>
      <c r="T6426" s="88"/>
      <c r="U6426" s="88"/>
      <c r="V6426" s="88"/>
      <c r="W6426" s="88"/>
    </row>
    <row r="6427" spans="2:23" s="0" customFormat="0" ht="15">
      <c r="B6427" s="87" t="s">
        <v>1</v>
      </c>
      <c r="C6427" s="88" t="s">
        <v>5259</v>
      </c>
      <c r="D6427" s="88">
        <v>22106686</v>
      </c>
      <c r="E6427" s="88" t="s">
        <v>61</v>
      </c>
      <c r="F6427" s="88">
        <v>0</v>
      </c>
      <c r="G6427" s="78">
        <f>MAX(H6427,I6427,J6427)</f>
        <v>1</v>
      </c>
      <c r="H6427" s="88"/>
      <c r="I6427" s="88"/>
      <c r="J6427" s="78">
        <f>MAX(K6427:Q6427)</f>
        <v>1</v>
      </c>
      <c r="K6427" s="88">
        <v>1</v>
      </c>
      <c r="L6427" s="88"/>
      <c r="M6427" s="88"/>
      <c r="N6427" s="88"/>
      <c r="O6427" s="88"/>
      <c r="P6427" s="88"/>
      <c r="Q6427" s="88"/>
      <c r="R6427" s="78">
        <f>MAX(S6427:W6427)</f>
        <v>0</v>
      </c>
      <c r="S6427" s="88"/>
      <c r="T6427" s="88"/>
      <c r="U6427" s="88"/>
      <c r="V6427" s="88"/>
      <c r="W6427" s="88"/>
    </row>
    <row r="6428" spans="2:23" s="0" customFormat="0" ht="15">
      <c r="B6428" s="87" t="s">
        <v>1</v>
      </c>
      <c r="C6428" s="88" t="s">
        <v>5259</v>
      </c>
      <c r="D6428" s="88">
        <v>12041225</v>
      </c>
      <c r="E6428" s="88" t="s">
        <v>61</v>
      </c>
      <c r="F6428" s="88">
        <v>0</v>
      </c>
      <c r="G6428" s="78">
        <f>MAX(H6428,I6428,J6428)</f>
        <v>1</v>
      </c>
      <c r="H6428" s="88"/>
      <c r="I6428" s="88"/>
      <c r="J6428" s="78">
        <f>MAX(K6428:Q6428)</f>
        <v>1</v>
      </c>
      <c r="K6428" s="88">
        <v>1</v>
      </c>
      <c r="L6428" s="88"/>
      <c r="M6428" s="88"/>
      <c r="N6428" s="88"/>
      <c r="O6428" s="88"/>
      <c r="P6428" s="88"/>
      <c r="Q6428" s="88"/>
      <c r="R6428" s="78">
        <f>MAX(S6428:W6428)</f>
        <v>0</v>
      </c>
      <c r="S6428" s="88"/>
      <c r="T6428" s="88"/>
      <c r="U6428" s="88"/>
      <c r="V6428" s="88"/>
      <c r="W6428" s="88"/>
    </row>
    <row r="6429" spans="2:23" s="0" customFormat="0" ht="15">
      <c r="B6429" s="87" t="s">
        <v>1</v>
      </c>
      <c r="C6429" s="88" t="s">
        <v>5259</v>
      </c>
      <c r="D6429" s="88" t="s">
        <v>878</v>
      </c>
      <c r="E6429" s="88" t="s">
        <v>61</v>
      </c>
      <c r="F6429" s="88">
        <v>0</v>
      </c>
      <c r="G6429" s="78">
        <f>MAX(H6429,I6429,J6429)</f>
        <v>1</v>
      </c>
      <c r="H6429" s="88"/>
      <c r="I6429" s="88"/>
      <c r="J6429" s="78">
        <f>MAX(K6429:Q6429)</f>
        <v>1</v>
      </c>
      <c r="K6429" s="88">
        <v>1</v>
      </c>
      <c r="L6429" s="88"/>
      <c r="M6429" s="88"/>
      <c r="N6429" s="88"/>
      <c r="O6429" s="88"/>
      <c r="P6429" s="88"/>
      <c r="Q6429" s="88"/>
      <c r="R6429" s="78">
        <f>MAX(S6429:W6429)</f>
        <v>0</v>
      </c>
      <c r="S6429" s="88"/>
      <c r="T6429" s="88"/>
      <c r="U6429" s="88"/>
      <c r="V6429" s="88"/>
      <c r="W6429" s="88"/>
    </row>
    <row r="6430" spans="2:23" s="0" customFormat="0" ht="15">
      <c r="B6430" s="87" t="s">
        <v>1</v>
      </c>
      <c r="C6430" s="88" t="s">
        <v>5259</v>
      </c>
      <c r="D6430" s="88">
        <v>19686810</v>
      </c>
      <c r="E6430" s="88" t="s">
        <v>61</v>
      </c>
      <c r="F6430" s="88">
        <v>0</v>
      </c>
      <c r="G6430" s="78">
        <f>MAX(H6430,I6430,J6430)</f>
        <v>1</v>
      </c>
      <c r="H6430" s="88"/>
      <c r="I6430" s="88"/>
      <c r="J6430" s="78">
        <f>MAX(K6430:Q6430)</f>
        <v>1</v>
      </c>
      <c r="K6430" s="88">
        <v>1</v>
      </c>
      <c r="L6430" s="88"/>
      <c r="M6430" s="88"/>
      <c r="N6430" s="88"/>
      <c r="O6430" s="88"/>
      <c r="P6430" s="88"/>
      <c r="Q6430" s="88"/>
      <c r="R6430" s="78">
        <f>MAX(S6430:W6430)</f>
        <v>0</v>
      </c>
      <c r="S6430" s="88"/>
      <c r="T6430" s="88"/>
      <c r="U6430" s="88"/>
      <c r="V6430" s="88"/>
      <c r="W6430" s="88"/>
    </row>
    <row r="6431" spans="2:23" s="0" customFormat="0" ht="15">
      <c r="B6431" s="87" t="s">
        <v>1</v>
      </c>
      <c r="C6431" s="88" t="s">
        <v>5259</v>
      </c>
      <c r="D6431" s="88">
        <v>14532329</v>
      </c>
      <c r="E6431" s="88" t="s">
        <v>61</v>
      </c>
      <c r="F6431" s="88">
        <v>0</v>
      </c>
      <c r="G6431" s="78">
        <f>MAX(H6431,I6431,J6431)</f>
        <v>1</v>
      </c>
      <c r="H6431" s="88"/>
      <c r="I6431" s="88"/>
      <c r="J6431" s="78">
        <f>MAX(K6431:Q6431)</f>
        <v>1</v>
      </c>
      <c r="K6431" s="88">
        <v>1</v>
      </c>
      <c r="L6431" s="88"/>
      <c r="M6431" s="88"/>
      <c r="N6431" s="88"/>
      <c r="O6431" s="88"/>
      <c r="P6431" s="88"/>
      <c r="Q6431" s="88"/>
      <c r="R6431" s="78">
        <f>MAX(S6431:W6431)</f>
        <v>0</v>
      </c>
      <c r="S6431" s="88"/>
      <c r="T6431" s="88"/>
      <c r="U6431" s="88"/>
      <c r="V6431" s="88"/>
      <c r="W6431" s="88"/>
    </row>
    <row r="6432" spans="2:23" s="0" customFormat="0" ht="15">
      <c r="B6432" s="87" t="s">
        <v>1</v>
      </c>
      <c r="C6432" s="88" t="s">
        <v>5259</v>
      </c>
      <c r="D6432" s="88" t="s">
        <v>2981</v>
      </c>
      <c r="E6432" s="88" t="s">
        <v>61</v>
      </c>
      <c r="F6432" s="88">
        <v>0</v>
      </c>
      <c r="G6432" s="78">
        <f>MAX(H6432,I6432,J6432)</f>
        <v>1</v>
      </c>
      <c r="H6432" s="88"/>
      <c r="I6432" s="88"/>
      <c r="J6432" s="78">
        <f>MAX(K6432:Q6432)</f>
        <v>1</v>
      </c>
      <c r="K6432" s="88">
        <v>1</v>
      </c>
      <c r="L6432" s="88"/>
      <c r="M6432" s="88"/>
      <c r="N6432" s="88"/>
      <c r="O6432" s="88"/>
      <c r="P6432" s="88"/>
      <c r="Q6432" s="88"/>
      <c r="R6432" s="78">
        <f>MAX(S6432:W6432)</f>
        <v>0</v>
      </c>
      <c r="S6432" s="88"/>
      <c r="T6432" s="88"/>
      <c r="U6432" s="88"/>
      <c r="V6432" s="88"/>
      <c r="W6432" s="88"/>
    </row>
    <row r="6433" spans="2:23" s="0" customFormat="0" ht="15">
      <c r="B6433" s="87" t="s">
        <v>1</v>
      </c>
      <c r="C6433" s="88" t="s">
        <v>5259</v>
      </c>
      <c r="D6433" s="88">
        <v>15018891</v>
      </c>
      <c r="E6433" s="88" t="s">
        <v>61</v>
      </c>
      <c r="F6433" s="88">
        <v>0</v>
      </c>
      <c r="G6433" s="78">
        <f>MAX(H6433,I6433,J6433)</f>
        <v>1</v>
      </c>
      <c r="H6433" s="88"/>
      <c r="I6433" s="88"/>
      <c r="J6433" s="78">
        <f>MAX(K6433:Q6433)</f>
        <v>1</v>
      </c>
      <c r="K6433" s="88">
        <v>1</v>
      </c>
      <c r="L6433" s="88"/>
      <c r="M6433" s="88"/>
      <c r="N6433" s="88"/>
      <c r="O6433" s="88"/>
      <c r="P6433" s="88"/>
      <c r="Q6433" s="88"/>
      <c r="R6433" s="78">
        <f>MAX(S6433:W6433)</f>
        <v>0</v>
      </c>
      <c r="S6433" s="88"/>
      <c r="T6433" s="88"/>
      <c r="U6433" s="88"/>
      <c r="V6433" s="88"/>
      <c r="W6433" s="88"/>
    </row>
    <row r="6434" spans="2:23" s="0" customFormat="0" ht="15">
      <c r="B6434" s="87" t="s">
        <v>1</v>
      </c>
      <c r="C6434" s="88" t="s">
        <v>5259</v>
      </c>
      <c r="D6434" s="88" t="s">
        <v>3280</v>
      </c>
      <c r="E6434" s="88" t="s">
        <v>61</v>
      </c>
      <c r="F6434" s="88">
        <v>0</v>
      </c>
      <c r="G6434" s="78">
        <f>MAX(H6434,I6434,J6434)</f>
        <v>0</v>
      </c>
      <c r="H6434" s="88"/>
      <c r="I6434" s="88"/>
      <c r="J6434" s="78">
        <f>MAX(K6434:Q6434)</f>
        <v>0</v>
      </c>
      <c r="K6434" s="88"/>
      <c r="L6434" s="88"/>
      <c r="M6434" s="88"/>
      <c r="N6434" s="88"/>
      <c r="O6434" s="88"/>
      <c r="P6434" s="88"/>
      <c r="Q6434" s="88"/>
      <c r="R6434" s="78">
        <f>MAX(S6434:W6434)</f>
        <v>1</v>
      </c>
      <c r="S6434" s="88"/>
      <c r="T6434" s="88"/>
      <c r="U6434" s="88"/>
      <c r="V6434" s="88">
        <v>1</v>
      </c>
      <c r="W6434" s="88"/>
    </row>
    <row r="6435" spans="2:23" s="0" customFormat="0" ht="15">
      <c r="B6435" s="87" t="s">
        <v>1</v>
      </c>
      <c r="C6435" s="88" t="s">
        <v>5259</v>
      </c>
      <c r="D6435" s="88">
        <v>224422</v>
      </c>
      <c r="E6435" s="88" t="s">
        <v>61</v>
      </c>
      <c r="F6435" s="88">
        <v>0</v>
      </c>
      <c r="G6435" s="78">
        <f>MAX(H6435,I6435,J6435)</f>
        <v>1</v>
      </c>
      <c r="H6435" s="88"/>
      <c r="I6435" s="88"/>
      <c r="J6435" s="78">
        <f>MAX(K6435:Q6435)</f>
        <v>1</v>
      </c>
      <c r="K6435" s="88">
        <v>1</v>
      </c>
      <c r="L6435" s="88"/>
      <c r="M6435" s="88"/>
      <c r="N6435" s="88"/>
      <c r="O6435" s="88"/>
      <c r="P6435" s="88"/>
      <c r="Q6435" s="88"/>
      <c r="R6435" s="78">
        <f>MAX(S6435:W6435)</f>
        <v>0</v>
      </c>
      <c r="S6435" s="88"/>
      <c r="T6435" s="88"/>
      <c r="U6435" s="88"/>
      <c r="V6435" s="88"/>
      <c r="W6435" s="88"/>
    </row>
    <row r="6436" spans="2:23" s="0" customFormat="0" ht="15">
      <c r="B6436" s="87" t="s">
        <v>1</v>
      </c>
      <c r="C6436" s="88" t="s">
        <v>5259</v>
      </c>
      <c r="D6436" s="88">
        <v>6683584</v>
      </c>
      <c r="E6436" s="88" t="s">
        <v>61</v>
      </c>
      <c r="F6436" s="88">
        <v>0</v>
      </c>
      <c r="G6436" s="78">
        <f>MAX(H6436,I6436,J6436)</f>
        <v>0</v>
      </c>
      <c r="H6436" s="88"/>
      <c r="I6436" s="88"/>
      <c r="J6436" s="78">
        <f>MAX(K6436:Q6436)</f>
        <v>0</v>
      </c>
      <c r="K6436" s="88"/>
      <c r="L6436" s="88"/>
      <c r="M6436" s="88"/>
      <c r="N6436" s="88"/>
      <c r="O6436" s="88"/>
      <c r="P6436" s="88"/>
      <c r="Q6436" s="88"/>
      <c r="R6436" s="78">
        <f>MAX(S6436:W6436)</f>
        <v>1</v>
      </c>
      <c r="S6436" s="88"/>
      <c r="T6436" s="88"/>
      <c r="U6436" s="88">
        <v>1</v>
      </c>
      <c r="V6436" s="88"/>
      <c r="W6436" s="88"/>
    </row>
    <row r="6437" spans="2:23" s="0" customFormat="0" ht="15">
      <c r="B6437" s="87" t="s">
        <v>1</v>
      </c>
      <c r="C6437" s="88" t="s">
        <v>5259</v>
      </c>
      <c r="D6437" s="88" t="s">
        <v>5110</v>
      </c>
      <c r="E6437" s="88" t="s">
        <v>61</v>
      </c>
      <c r="F6437" s="88">
        <v>0</v>
      </c>
      <c r="G6437" s="78">
        <f>MAX(H6437,I6437,J6437)</f>
        <v>0</v>
      </c>
      <c r="H6437" s="88"/>
      <c r="I6437" s="88"/>
      <c r="J6437" s="78">
        <f>MAX(K6437:Q6437)</f>
        <v>0</v>
      </c>
      <c r="K6437" s="88"/>
      <c r="L6437" s="88"/>
      <c r="M6437" s="88"/>
      <c r="N6437" s="88"/>
      <c r="O6437" s="88"/>
      <c r="P6437" s="88"/>
      <c r="Q6437" s="88"/>
      <c r="R6437" s="78">
        <f>MAX(S6437:W6437)</f>
        <v>1</v>
      </c>
      <c r="S6437" s="88"/>
      <c r="T6437" s="88"/>
      <c r="U6437" s="88">
        <v>1</v>
      </c>
      <c r="V6437" s="88"/>
      <c r="W6437" s="88"/>
    </row>
    <row r="6438" spans="2:23" s="0" customFormat="0" ht="15">
      <c r="B6438" s="87" t="s">
        <v>1</v>
      </c>
      <c r="C6438" s="88" t="s">
        <v>5259</v>
      </c>
      <c r="D6438" s="88">
        <v>14618619</v>
      </c>
      <c r="E6438" s="88" t="s">
        <v>61</v>
      </c>
      <c r="F6438" s="88">
        <v>0</v>
      </c>
      <c r="G6438" s="78">
        <f>MAX(H6438,I6438,J6438)</f>
        <v>1</v>
      </c>
      <c r="H6438" s="88"/>
      <c r="I6438" s="88"/>
      <c r="J6438" s="78">
        <f>MAX(K6438:Q6438)</f>
        <v>1</v>
      </c>
      <c r="K6438" s="88">
        <v>1</v>
      </c>
      <c r="L6438" s="88"/>
      <c r="M6438" s="88"/>
      <c r="N6438" s="88"/>
      <c r="O6438" s="88"/>
      <c r="P6438" s="88"/>
      <c r="Q6438" s="88"/>
      <c r="R6438" s="78">
        <f>MAX(S6438:W6438)</f>
        <v>0</v>
      </c>
      <c r="S6438" s="88"/>
      <c r="T6438" s="88"/>
      <c r="U6438" s="88"/>
      <c r="V6438" s="88"/>
      <c r="W6438" s="88"/>
    </row>
    <row r="6439" spans="2:23" s="0" customFormat="0" ht="15">
      <c r="B6439" s="87" t="s">
        <v>1</v>
      </c>
      <c r="C6439" s="88" t="s">
        <v>5259</v>
      </c>
      <c r="D6439" s="88">
        <v>17251929</v>
      </c>
      <c r="E6439" s="88" t="s">
        <v>61</v>
      </c>
      <c r="F6439" s="88">
        <v>0</v>
      </c>
      <c r="G6439" s="78">
        <f>MAX(H6439,I6439,J6439)</f>
        <v>1</v>
      </c>
      <c r="H6439" s="88"/>
      <c r="I6439" s="88"/>
      <c r="J6439" s="78">
        <f>MAX(K6439:Q6439)</f>
        <v>1</v>
      </c>
      <c r="K6439" s="88">
        <v>1</v>
      </c>
      <c r="L6439" s="88"/>
      <c r="M6439" s="88"/>
      <c r="N6439" s="88"/>
      <c r="O6439" s="88"/>
      <c r="P6439" s="88"/>
      <c r="Q6439" s="88"/>
      <c r="R6439" s="78">
        <f>MAX(S6439:W6439)</f>
        <v>0</v>
      </c>
      <c r="S6439" s="88"/>
      <c r="T6439" s="88"/>
      <c r="U6439" s="88"/>
      <c r="V6439" s="88"/>
      <c r="W6439" s="88"/>
    </row>
    <row r="6440" spans="2:23" s="0" customFormat="0" ht="15">
      <c r="B6440" s="87" t="s">
        <v>1</v>
      </c>
      <c r="C6440" s="88" t="s">
        <v>5259</v>
      </c>
      <c r="D6440" s="88" t="s">
        <v>5219</v>
      </c>
      <c r="E6440" s="88" t="s">
        <v>61</v>
      </c>
      <c r="F6440" s="88">
        <v>0</v>
      </c>
      <c r="G6440" s="78">
        <f>MAX(H6440,I6440,J6440)</f>
        <v>0</v>
      </c>
      <c r="H6440" s="88"/>
      <c r="I6440" s="88"/>
      <c r="J6440" s="78">
        <f>MAX(K6440:Q6440)</f>
        <v>0</v>
      </c>
      <c r="K6440" s="88"/>
      <c r="L6440" s="88"/>
      <c r="M6440" s="88"/>
      <c r="N6440" s="88"/>
      <c r="O6440" s="88"/>
      <c r="P6440" s="88"/>
      <c r="Q6440" s="88"/>
      <c r="R6440" s="78">
        <f>MAX(S6440:W6440)</f>
        <v>1</v>
      </c>
      <c r="S6440" s="88"/>
      <c r="T6440" s="88"/>
      <c r="U6440" s="88">
        <v>1</v>
      </c>
      <c r="V6440" s="88"/>
      <c r="W6440" s="88"/>
    </row>
    <row r="6441" spans="2:23" s="0" customFormat="0" ht="15">
      <c r="B6441" s="87" t="s">
        <v>1</v>
      </c>
      <c r="C6441" s="88" t="s">
        <v>5259</v>
      </c>
      <c r="D6441" s="88">
        <v>15642473</v>
      </c>
      <c r="E6441" s="88" t="s">
        <v>61</v>
      </c>
      <c r="F6441" s="88">
        <v>0</v>
      </c>
      <c r="G6441" s="78">
        <f>MAX(H6441,I6441,J6441)</f>
        <v>1</v>
      </c>
      <c r="H6441" s="88"/>
      <c r="I6441" s="88"/>
      <c r="J6441" s="78">
        <f>MAX(K6441:Q6441)</f>
        <v>1</v>
      </c>
      <c r="K6441" s="88">
        <v>1</v>
      </c>
      <c r="L6441" s="88"/>
      <c r="M6441" s="88"/>
      <c r="N6441" s="88"/>
      <c r="O6441" s="88"/>
      <c r="P6441" s="88"/>
      <c r="Q6441" s="88"/>
      <c r="R6441" s="78">
        <f>MAX(S6441:W6441)</f>
        <v>0</v>
      </c>
      <c r="S6441" s="88"/>
      <c r="T6441" s="88"/>
      <c r="U6441" s="88"/>
      <c r="V6441" s="88"/>
      <c r="W6441" s="88"/>
    </row>
    <row r="6442" spans="2:23" s="0" customFormat="0" ht="15">
      <c r="B6442" s="87" t="s">
        <v>1</v>
      </c>
      <c r="C6442" s="88" t="s">
        <v>5259</v>
      </c>
      <c r="D6442" s="88" t="s">
        <v>4425</v>
      </c>
      <c r="E6442" s="88" t="s">
        <v>61</v>
      </c>
      <c r="F6442" s="88">
        <v>0</v>
      </c>
      <c r="G6442" s="78">
        <f>MAX(H6442,I6442,J6442)</f>
        <v>0</v>
      </c>
      <c r="H6442" s="88"/>
      <c r="I6442" s="88"/>
      <c r="J6442" s="78">
        <f>MAX(K6442:Q6442)</f>
        <v>0</v>
      </c>
      <c r="K6442" s="88"/>
      <c r="L6442" s="88"/>
      <c r="M6442" s="88"/>
      <c r="N6442" s="88"/>
      <c r="O6442" s="88"/>
      <c r="P6442" s="88"/>
      <c r="Q6442" s="88"/>
      <c r="R6442" s="78">
        <f>MAX(S6442:W6442)</f>
        <v>1</v>
      </c>
      <c r="S6442" s="88"/>
      <c r="T6442" s="88"/>
      <c r="U6442" s="88">
        <v>1</v>
      </c>
      <c r="V6442" s="88"/>
      <c r="W6442" s="88"/>
    </row>
    <row r="6443" spans="2:23" s="0" customFormat="0" ht="15">
      <c r="B6443" s="87" t="s">
        <v>1</v>
      </c>
      <c r="C6443" s="88" t="s">
        <v>5259</v>
      </c>
      <c r="D6443" s="88" t="s">
        <v>5221</v>
      </c>
      <c r="E6443" s="88" t="s">
        <v>61</v>
      </c>
      <c r="F6443" s="88">
        <v>0</v>
      </c>
      <c r="G6443" s="78">
        <f>MAX(H6443,I6443,J6443)</f>
        <v>0</v>
      </c>
      <c r="H6443" s="88"/>
      <c r="I6443" s="88"/>
      <c r="J6443" s="78">
        <f>MAX(K6443:Q6443)</f>
        <v>0</v>
      </c>
      <c r="K6443" s="88"/>
      <c r="L6443" s="88"/>
      <c r="M6443" s="88"/>
      <c r="N6443" s="88"/>
      <c r="O6443" s="88"/>
      <c r="P6443" s="88"/>
      <c r="Q6443" s="88"/>
      <c r="R6443" s="78">
        <f>MAX(S6443:W6443)</f>
        <v>1</v>
      </c>
      <c r="S6443" s="88"/>
      <c r="T6443" s="88"/>
      <c r="U6443" s="88">
        <v>1</v>
      </c>
      <c r="V6443" s="88"/>
      <c r="W6443" s="88"/>
    </row>
    <row r="6444" spans="2:23" s="0" customFormat="0" ht="15">
      <c r="B6444" s="87" t="s">
        <v>1</v>
      </c>
      <c r="C6444" s="88" t="s">
        <v>5259</v>
      </c>
      <c r="D6444" s="88">
        <v>21994047</v>
      </c>
      <c r="E6444" s="88" t="s">
        <v>61</v>
      </c>
      <c r="F6444" s="88">
        <v>0</v>
      </c>
      <c r="G6444" s="78">
        <f>MAX(H6444,I6444,J6444)</f>
        <v>1</v>
      </c>
      <c r="H6444" s="88"/>
      <c r="I6444" s="88"/>
      <c r="J6444" s="78">
        <f>MAX(K6444:Q6444)</f>
        <v>1</v>
      </c>
      <c r="K6444" s="88">
        <v>1</v>
      </c>
      <c r="L6444" s="88"/>
      <c r="M6444" s="88"/>
      <c r="N6444" s="88"/>
      <c r="O6444" s="88"/>
      <c r="P6444" s="88"/>
      <c r="Q6444" s="88"/>
      <c r="R6444" s="78">
        <f>MAX(S6444:W6444)</f>
        <v>0</v>
      </c>
      <c r="S6444" s="88"/>
      <c r="T6444" s="88"/>
      <c r="U6444" s="88"/>
      <c r="V6444" s="88"/>
      <c r="W6444" s="88"/>
    </row>
    <row r="6445" spans="2:23" s="0" customFormat="0" ht="15">
      <c r="B6445" s="87" t="s">
        <v>1</v>
      </c>
      <c r="C6445" s="88" t="s">
        <v>5259</v>
      </c>
      <c r="D6445" s="88" t="s">
        <v>4767</v>
      </c>
      <c r="E6445" s="88" t="s">
        <v>61</v>
      </c>
      <c r="F6445" s="88">
        <v>0</v>
      </c>
      <c r="G6445" s="78">
        <f>MAX(H6445,I6445,J6445)</f>
        <v>0</v>
      </c>
      <c r="H6445" s="88"/>
      <c r="I6445" s="88"/>
      <c r="J6445" s="78">
        <f>MAX(K6445:Q6445)</f>
        <v>0</v>
      </c>
      <c r="K6445" s="88"/>
      <c r="L6445" s="88"/>
      <c r="M6445" s="88"/>
      <c r="N6445" s="88"/>
      <c r="O6445" s="88"/>
      <c r="P6445" s="88"/>
      <c r="Q6445" s="88"/>
      <c r="R6445" s="78">
        <f>MAX(S6445:W6445)</f>
        <v>1</v>
      </c>
      <c r="S6445" s="88"/>
      <c r="T6445" s="88"/>
      <c r="U6445" s="88">
        <v>1</v>
      </c>
      <c r="V6445" s="88"/>
      <c r="W6445" s="88"/>
    </row>
    <row r="6446" spans="2:23" s="0" customFormat="0" ht="15">
      <c r="B6446" s="87" t="s">
        <v>1</v>
      </c>
      <c r="C6446" s="88" t="s">
        <v>5259</v>
      </c>
      <c r="D6446" s="88">
        <v>15653146</v>
      </c>
      <c r="E6446" s="88" t="s">
        <v>61</v>
      </c>
      <c r="F6446" s="88">
        <v>0</v>
      </c>
      <c r="G6446" s="78">
        <f>MAX(H6446,I6446,J6446)</f>
        <v>1</v>
      </c>
      <c r="H6446" s="88"/>
      <c r="I6446" s="88"/>
      <c r="J6446" s="78">
        <f>MAX(K6446:Q6446)</f>
        <v>1</v>
      </c>
      <c r="K6446" s="88"/>
      <c r="L6446" s="88">
        <v>1</v>
      </c>
      <c r="M6446" s="88"/>
      <c r="N6446" s="88"/>
      <c r="O6446" s="88"/>
      <c r="P6446" s="88"/>
      <c r="Q6446" s="88"/>
      <c r="R6446" s="78">
        <f>MAX(S6446:W6446)</f>
        <v>0</v>
      </c>
      <c r="S6446" s="88"/>
      <c r="T6446" s="88"/>
      <c r="U6446" s="88"/>
      <c r="V6446" s="88"/>
      <c r="W6446" s="88"/>
    </row>
    <row r="6447" spans="2:23" s="0" customFormat="0" ht="15">
      <c r="B6447" s="87" t="s">
        <v>1</v>
      </c>
      <c r="C6447" s="88" t="s">
        <v>5259</v>
      </c>
      <c r="D6447" s="88">
        <v>19619422</v>
      </c>
      <c r="E6447" s="88" t="s">
        <v>61</v>
      </c>
      <c r="F6447" s="88">
        <v>0</v>
      </c>
      <c r="G6447" s="78">
        <f>MAX(H6447,I6447,J6447)</f>
        <v>1</v>
      </c>
      <c r="H6447" s="88"/>
      <c r="I6447" s="88"/>
      <c r="J6447" s="78">
        <f>MAX(K6447:Q6447)</f>
        <v>1</v>
      </c>
      <c r="K6447" s="88">
        <v>1</v>
      </c>
      <c r="L6447" s="88"/>
      <c r="M6447" s="88"/>
      <c r="N6447" s="88"/>
      <c r="O6447" s="88"/>
      <c r="P6447" s="88"/>
      <c r="Q6447" s="88"/>
      <c r="R6447" s="78">
        <f>MAX(S6447:W6447)</f>
        <v>0</v>
      </c>
      <c r="S6447" s="88"/>
      <c r="T6447" s="88"/>
      <c r="U6447" s="88"/>
      <c r="V6447" s="88"/>
      <c r="W6447" s="88"/>
    </row>
    <row r="6448" spans="2:23" s="0" customFormat="0" ht="15">
      <c r="B6448" s="87" t="s">
        <v>1</v>
      </c>
      <c r="C6448" s="88" t="s">
        <v>5259</v>
      </c>
      <c r="D6448" s="88">
        <v>5168869</v>
      </c>
      <c r="E6448" s="88" t="s">
        <v>61</v>
      </c>
      <c r="F6448" s="88">
        <v>0</v>
      </c>
      <c r="G6448" s="78">
        <f>MAX(H6448,I6448,J6448)</f>
        <v>1</v>
      </c>
      <c r="H6448" s="88"/>
      <c r="I6448" s="88"/>
      <c r="J6448" s="78">
        <f>MAX(K6448:Q6448)</f>
        <v>1</v>
      </c>
      <c r="K6448" s="88">
        <v>1</v>
      </c>
      <c r="L6448" s="88"/>
      <c r="M6448" s="88"/>
      <c r="N6448" s="88"/>
      <c r="O6448" s="88"/>
      <c r="P6448" s="88"/>
      <c r="Q6448" s="88"/>
      <c r="R6448" s="78">
        <f>MAX(S6448:W6448)</f>
        <v>0</v>
      </c>
      <c r="S6448" s="88"/>
      <c r="T6448" s="88"/>
      <c r="U6448" s="88"/>
      <c r="V6448" s="88"/>
      <c r="W6448" s="88"/>
    </row>
    <row r="6449" spans="2:23" s="0" customFormat="0" ht="15">
      <c r="B6449" s="87" t="s">
        <v>1</v>
      </c>
      <c r="C6449" s="88" t="s">
        <v>5259</v>
      </c>
      <c r="D6449" s="88" t="s">
        <v>1786</v>
      </c>
      <c r="E6449" s="88" t="s">
        <v>61</v>
      </c>
      <c r="F6449" s="88">
        <v>0</v>
      </c>
      <c r="G6449" s="78">
        <f>MAX(H6449,I6449,J6449)</f>
        <v>1</v>
      </c>
      <c r="H6449" s="88"/>
      <c r="I6449" s="88"/>
      <c r="J6449" s="78">
        <f>MAX(K6449:Q6449)</f>
        <v>1</v>
      </c>
      <c r="K6449" s="88">
        <v>1</v>
      </c>
      <c r="L6449" s="88"/>
      <c r="M6449" s="88"/>
      <c r="N6449" s="88"/>
      <c r="O6449" s="88"/>
      <c r="P6449" s="88"/>
      <c r="Q6449" s="88"/>
      <c r="R6449" s="78">
        <f>MAX(S6449:W6449)</f>
        <v>0</v>
      </c>
      <c r="S6449" s="88"/>
      <c r="T6449" s="88"/>
      <c r="U6449" s="88"/>
      <c r="V6449" s="88"/>
      <c r="W6449" s="88"/>
    </row>
    <row r="6450" spans="2:23" s="0" customFormat="0" ht="15">
      <c r="B6450" s="87" t="s">
        <v>1</v>
      </c>
      <c r="C6450" s="88" t="s">
        <v>5259</v>
      </c>
      <c r="D6450" s="88">
        <v>12187977</v>
      </c>
      <c r="E6450" s="88" t="s">
        <v>61</v>
      </c>
      <c r="F6450" s="88">
        <v>0</v>
      </c>
      <c r="G6450" s="78">
        <f>MAX(H6450,I6450,J6450)</f>
        <v>1</v>
      </c>
      <c r="H6450" s="88"/>
      <c r="I6450" s="88"/>
      <c r="J6450" s="78">
        <f>MAX(K6450:Q6450)</f>
        <v>1</v>
      </c>
      <c r="K6450" s="88">
        <v>1</v>
      </c>
      <c r="L6450" s="88"/>
      <c r="M6450" s="88"/>
      <c r="N6450" s="88"/>
      <c r="O6450" s="88"/>
      <c r="P6450" s="88"/>
      <c r="Q6450" s="88"/>
      <c r="R6450" s="78">
        <f>MAX(S6450:W6450)</f>
        <v>0</v>
      </c>
      <c r="S6450" s="88"/>
      <c r="T6450" s="88"/>
      <c r="U6450" s="88"/>
      <c r="V6450" s="88"/>
      <c r="W6450" s="88"/>
    </row>
    <row r="6451" spans="2:23" s="0" customFormat="0" ht="15">
      <c r="B6451" s="87" t="s">
        <v>1</v>
      </c>
      <c r="C6451" s="88" t="s">
        <v>5259</v>
      </c>
      <c r="D6451" s="88">
        <v>14770812</v>
      </c>
      <c r="E6451" s="88" t="s">
        <v>61</v>
      </c>
      <c r="F6451" s="88">
        <v>0</v>
      </c>
      <c r="G6451" s="78">
        <f>MAX(H6451,I6451,J6451)</f>
        <v>1</v>
      </c>
      <c r="H6451" s="88"/>
      <c r="I6451" s="88"/>
      <c r="J6451" s="78">
        <f>MAX(K6451:Q6451)</f>
        <v>1</v>
      </c>
      <c r="K6451" s="88">
        <v>1</v>
      </c>
      <c r="L6451" s="88"/>
      <c r="M6451" s="88"/>
      <c r="N6451" s="88"/>
      <c r="O6451" s="88"/>
      <c r="P6451" s="88"/>
      <c r="Q6451" s="88"/>
      <c r="R6451" s="78">
        <f>MAX(S6451:W6451)</f>
        <v>0</v>
      </c>
      <c r="S6451" s="88"/>
      <c r="T6451" s="88"/>
      <c r="U6451" s="88"/>
      <c r="V6451" s="88"/>
      <c r="W6451" s="88"/>
    </row>
    <row r="6452" spans="2:23" s="0" customFormat="0" ht="15">
      <c r="B6452" s="87" t="s">
        <v>1</v>
      </c>
      <c r="C6452" s="88" t="s">
        <v>5259</v>
      </c>
      <c r="D6452" s="88">
        <v>16192998</v>
      </c>
      <c r="E6452" s="88" t="s">
        <v>61</v>
      </c>
      <c r="F6452" s="88">
        <v>0</v>
      </c>
      <c r="G6452" s="78">
        <f>MAX(H6452,I6452,J6452)</f>
        <v>1</v>
      </c>
      <c r="H6452" s="88"/>
      <c r="I6452" s="88"/>
      <c r="J6452" s="78">
        <f>MAX(K6452:Q6452)</f>
        <v>1</v>
      </c>
      <c r="K6452" s="88">
        <v>1</v>
      </c>
      <c r="L6452" s="88"/>
      <c r="M6452" s="88"/>
      <c r="N6452" s="88"/>
      <c r="O6452" s="88"/>
      <c r="P6452" s="88"/>
      <c r="Q6452" s="88"/>
      <c r="R6452" s="78">
        <f>MAX(S6452:W6452)</f>
        <v>0</v>
      </c>
      <c r="S6452" s="88"/>
      <c r="T6452" s="88"/>
      <c r="U6452" s="88"/>
      <c r="V6452" s="88"/>
      <c r="W6452" s="88"/>
    </row>
    <row r="6453" spans="2:23" s="0" customFormat="0" ht="15">
      <c r="B6453" s="87" t="s">
        <v>1</v>
      </c>
      <c r="C6453" s="88" t="s">
        <v>5259</v>
      </c>
      <c r="D6453" s="88">
        <v>16606683</v>
      </c>
      <c r="E6453" s="88" t="s">
        <v>61</v>
      </c>
      <c r="F6453" s="88">
        <v>0</v>
      </c>
      <c r="G6453" s="78">
        <f>MAX(H6453,I6453,J6453)</f>
        <v>1</v>
      </c>
      <c r="H6453" s="88"/>
      <c r="I6453" s="88"/>
      <c r="J6453" s="78">
        <f>MAX(K6453:Q6453)</f>
        <v>1</v>
      </c>
      <c r="K6453" s="88">
        <v>1</v>
      </c>
      <c r="L6453" s="88"/>
      <c r="M6453" s="88"/>
      <c r="N6453" s="88"/>
      <c r="O6453" s="88"/>
      <c r="P6453" s="88"/>
      <c r="Q6453" s="88"/>
      <c r="R6453" s="78">
        <f>MAX(S6453:W6453)</f>
        <v>0</v>
      </c>
      <c r="S6453" s="88"/>
      <c r="T6453" s="88"/>
      <c r="U6453" s="88"/>
      <c r="V6453" s="88"/>
      <c r="W6453" s="88"/>
    </row>
    <row r="6454" spans="2:23" s="0" customFormat="0" ht="15">
      <c r="B6454" s="87" t="s">
        <v>1</v>
      </c>
      <c r="C6454" s="88" t="s">
        <v>5259</v>
      </c>
      <c r="D6454" s="88" t="s">
        <v>4934</v>
      </c>
      <c r="E6454" s="88" t="s">
        <v>61</v>
      </c>
      <c r="F6454" s="88">
        <v>0</v>
      </c>
      <c r="G6454" s="78">
        <f>MAX(H6454,I6454,J6454)</f>
        <v>0</v>
      </c>
      <c r="H6454" s="88"/>
      <c r="I6454" s="88"/>
      <c r="J6454" s="78">
        <f>MAX(K6454:Q6454)</f>
        <v>0</v>
      </c>
      <c r="K6454" s="88"/>
      <c r="L6454" s="88"/>
      <c r="M6454" s="88"/>
      <c r="N6454" s="88"/>
      <c r="O6454" s="88"/>
      <c r="P6454" s="88"/>
      <c r="Q6454" s="88"/>
      <c r="R6454" s="78">
        <f>MAX(S6454:W6454)</f>
        <v>1</v>
      </c>
      <c r="S6454" s="88"/>
      <c r="T6454" s="88"/>
      <c r="U6454" s="88">
        <v>1</v>
      </c>
      <c r="V6454" s="88"/>
      <c r="W6454" s="88"/>
    </row>
    <row r="6455" spans="2:23" s="0" customFormat="0" ht="15">
      <c r="B6455" s="87" t="s">
        <v>1</v>
      </c>
      <c r="C6455" s="88" t="s">
        <v>5259</v>
      </c>
      <c r="D6455" s="88">
        <v>19481694</v>
      </c>
      <c r="E6455" s="88" t="s">
        <v>61</v>
      </c>
      <c r="F6455" s="88">
        <v>0</v>
      </c>
      <c r="G6455" s="78">
        <f>MAX(H6455,I6455,J6455)</f>
        <v>1</v>
      </c>
      <c r="H6455" s="88"/>
      <c r="I6455" s="88"/>
      <c r="J6455" s="78">
        <f>MAX(K6455:Q6455)</f>
        <v>1</v>
      </c>
      <c r="K6455" s="88">
        <v>1</v>
      </c>
      <c r="L6455" s="88"/>
      <c r="M6455" s="88"/>
      <c r="N6455" s="88"/>
      <c r="O6455" s="88"/>
      <c r="P6455" s="88"/>
      <c r="Q6455" s="88"/>
      <c r="R6455" s="78">
        <f>MAX(S6455:W6455)</f>
        <v>0</v>
      </c>
      <c r="S6455" s="88"/>
      <c r="T6455" s="88"/>
      <c r="U6455" s="88"/>
      <c r="V6455" s="88"/>
      <c r="W6455" s="88"/>
    </row>
    <row r="6456" spans="2:23" s="0" customFormat="0" ht="15">
      <c r="B6456" s="87" t="s">
        <v>1</v>
      </c>
      <c r="C6456" s="88" t="s">
        <v>5259</v>
      </c>
      <c r="D6456" s="88" t="s">
        <v>3476</v>
      </c>
      <c r="E6456" s="88" t="s">
        <v>61</v>
      </c>
      <c r="F6456" s="88">
        <v>0</v>
      </c>
      <c r="G6456" s="78">
        <f>MAX(H6456,I6456,J6456)</f>
        <v>0</v>
      </c>
      <c r="H6456" s="88"/>
      <c r="I6456" s="88"/>
      <c r="J6456" s="78">
        <f>MAX(K6456:Q6456)</f>
        <v>0</v>
      </c>
      <c r="K6456" s="88"/>
      <c r="L6456" s="88"/>
      <c r="M6456" s="88"/>
      <c r="N6456" s="88"/>
      <c r="O6456" s="88"/>
      <c r="P6456" s="88"/>
      <c r="Q6456" s="88"/>
      <c r="R6456" s="78">
        <f>MAX(S6456:W6456)</f>
        <v>1</v>
      </c>
      <c r="S6456" s="88"/>
      <c r="T6456" s="88"/>
      <c r="U6456" s="88">
        <v>1</v>
      </c>
      <c r="V6456" s="88"/>
      <c r="W6456" s="88"/>
    </row>
    <row r="6457" spans="2:23" s="0" customFormat="0" ht="15">
      <c r="B6457" s="87" t="s">
        <v>1</v>
      </c>
      <c r="C6457" s="88" t="s">
        <v>5259</v>
      </c>
      <c r="D6457" s="88">
        <v>21704763</v>
      </c>
      <c r="E6457" s="88" t="s">
        <v>61</v>
      </c>
      <c r="F6457" s="88">
        <v>0</v>
      </c>
      <c r="G6457" s="78">
        <f>MAX(H6457,I6457,J6457)</f>
        <v>1</v>
      </c>
      <c r="H6457" s="88"/>
      <c r="I6457" s="88"/>
      <c r="J6457" s="78">
        <f>MAX(K6457:Q6457)</f>
        <v>1</v>
      </c>
      <c r="K6457" s="88">
        <v>1</v>
      </c>
      <c r="L6457" s="88"/>
      <c r="M6457" s="88"/>
      <c r="N6457" s="88"/>
      <c r="O6457" s="88"/>
      <c r="P6457" s="88"/>
      <c r="Q6457" s="88"/>
      <c r="R6457" s="78">
        <f>MAX(S6457:W6457)</f>
        <v>0</v>
      </c>
      <c r="S6457" s="88"/>
      <c r="T6457" s="88"/>
      <c r="U6457" s="88"/>
      <c r="V6457" s="88"/>
      <c r="W6457" s="88"/>
    </row>
    <row r="6458" spans="2:23" s="0" customFormat="0" ht="15">
      <c r="B6458" s="87" t="s">
        <v>1</v>
      </c>
      <c r="C6458" s="88" t="s">
        <v>5259</v>
      </c>
      <c r="D6458" s="88">
        <v>23455187</v>
      </c>
      <c r="E6458" s="88" t="s">
        <v>61</v>
      </c>
      <c r="F6458" s="88">
        <v>0</v>
      </c>
      <c r="G6458" s="78">
        <f>MAX(H6458,I6458,J6458)</f>
        <v>1</v>
      </c>
      <c r="H6458" s="88"/>
      <c r="I6458" s="88"/>
      <c r="J6458" s="78">
        <f>MAX(K6458:Q6458)</f>
        <v>1</v>
      </c>
      <c r="K6458" s="88">
        <v>1</v>
      </c>
      <c r="L6458" s="88"/>
      <c r="M6458" s="88"/>
      <c r="N6458" s="88"/>
      <c r="O6458" s="88"/>
      <c r="P6458" s="88"/>
      <c r="Q6458" s="88"/>
      <c r="R6458" s="78">
        <f>MAX(S6458:W6458)</f>
        <v>0</v>
      </c>
      <c r="S6458" s="88"/>
      <c r="T6458" s="88"/>
      <c r="U6458" s="88"/>
      <c r="V6458" s="88"/>
      <c r="W6458" s="88"/>
    </row>
    <row r="6459" spans="2:23" s="0" customFormat="0" ht="15">
      <c r="B6459" s="87" t="s">
        <v>1</v>
      </c>
      <c r="C6459" s="88" t="s">
        <v>5259</v>
      </c>
      <c r="D6459" s="88" t="s">
        <v>485</v>
      </c>
      <c r="E6459" s="88" t="s">
        <v>61</v>
      </c>
      <c r="F6459" s="88">
        <v>0</v>
      </c>
      <c r="G6459" s="78">
        <f>MAX(H6459,I6459,J6459)</f>
        <v>1</v>
      </c>
      <c r="H6459" s="88"/>
      <c r="I6459" s="88"/>
      <c r="J6459" s="78">
        <f>MAX(K6459:Q6459)</f>
        <v>1</v>
      </c>
      <c r="K6459" s="88">
        <v>1</v>
      </c>
      <c r="L6459" s="88"/>
      <c r="M6459" s="88"/>
      <c r="N6459" s="88"/>
      <c r="O6459" s="88"/>
      <c r="P6459" s="88"/>
      <c r="Q6459" s="88"/>
      <c r="R6459" s="78">
        <f>MAX(S6459:W6459)</f>
        <v>0</v>
      </c>
      <c r="S6459" s="88"/>
      <c r="T6459" s="88"/>
      <c r="U6459" s="88"/>
      <c r="V6459" s="88"/>
      <c r="W6459" s="88"/>
    </row>
    <row r="6460" spans="2:23" s="0" customFormat="0" ht="15">
      <c r="B6460" s="87" t="s">
        <v>1</v>
      </c>
      <c r="C6460" s="88" t="s">
        <v>5259</v>
      </c>
      <c r="D6460" s="88">
        <v>19863503</v>
      </c>
      <c r="E6460" s="88" t="s">
        <v>61</v>
      </c>
      <c r="F6460" s="88">
        <v>0</v>
      </c>
      <c r="G6460" s="78">
        <f>MAX(H6460,I6460,J6460)</f>
        <v>0</v>
      </c>
      <c r="H6460" s="88"/>
      <c r="I6460" s="88"/>
      <c r="J6460" s="78">
        <f>MAX(K6460:Q6460)</f>
        <v>0</v>
      </c>
      <c r="K6460" s="88"/>
      <c r="L6460" s="88"/>
      <c r="M6460" s="88"/>
      <c r="N6460" s="88"/>
      <c r="O6460" s="88"/>
      <c r="P6460" s="88"/>
      <c r="Q6460" s="88"/>
      <c r="R6460" s="78">
        <f>MAX(S6460:W6460)</f>
        <v>1</v>
      </c>
      <c r="S6460" s="88"/>
      <c r="T6460" s="88"/>
      <c r="U6460" s="88">
        <v>1</v>
      </c>
      <c r="V6460" s="88"/>
      <c r="W6460" s="88"/>
    </row>
    <row r="6461" spans="2:23" s="0" customFormat="0" ht="15">
      <c r="B6461" s="87" t="s">
        <v>1</v>
      </c>
      <c r="C6461" s="88" t="s">
        <v>5259</v>
      </c>
      <c r="D6461" s="88">
        <v>20113247</v>
      </c>
      <c r="E6461" s="88" t="s">
        <v>61</v>
      </c>
      <c r="F6461" s="88">
        <v>0</v>
      </c>
      <c r="G6461" s="78">
        <f>MAX(H6461,I6461,J6461)</f>
        <v>0</v>
      </c>
      <c r="H6461" s="88"/>
      <c r="I6461" s="88"/>
      <c r="J6461" s="78">
        <f>MAX(K6461:Q6461)</f>
        <v>0</v>
      </c>
      <c r="K6461" s="88"/>
      <c r="L6461" s="88"/>
      <c r="M6461" s="88"/>
      <c r="N6461" s="88"/>
      <c r="O6461" s="88"/>
      <c r="P6461" s="88"/>
      <c r="Q6461" s="88"/>
      <c r="R6461" s="78">
        <f>MAX(S6461:W6461)</f>
        <v>1</v>
      </c>
      <c r="S6461" s="88"/>
      <c r="T6461" s="88"/>
      <c r="U6461" s="88">
        <v>1</v>
      </c>
      <c r="V6461" s="88"/>
      <c r="W6461" s="88"/>
    </row>
    <row r="6462" spans="2:23" s="0" customFormat="0" ht="15">
      <c r="B6462" s="87" t="s">
        <v>1</v>
      </c>
      <c r="C6462" s="88" t="s">
        <v>5259</v>
      </c>
      <c r="D6462" s="88">
        <v>12287386</v>
      </c>
      <c r="E6462" s="88" t="s">
        <v>61</v>
      </c>
      <c r="F6462" s="88">
        <v>0</v>
      </c>
      <c r="G6462" s="78">
        <f>MAX(H6462,I6462,J6462)</f>
        <v>1</v>
      </c>
      <c r="H6462" s="88"/>
      <c r="I6462" s="88"/>
      <c r="J6462" s="78">
        <f>MAX(K6462:Q6462)</f>
        <v>1</v>
      </c>
      <c r="K6462" s="88">
        <v>1</v>
      </c>
      <c r="L6462" s="88"/>
      <c r="M6462" s="88"/>
      <c r="N6462" s="88"/>
      <c r="O6462" s="88"/>
      <c r="P6462" s="88"/>
      <c r="Q6462" s="88"/>
      <c r="R6462" s="78">
        <f>MAX(S6462:W6462)</f>
        <v>0</v>
      </c>
      <c r="S6462" s="88"/>
      <c r="T6462" s="88"/>
      <c r="U6462" s="88"/>
      <c r="V6462" s="88"/>
      <c r="W6462" s="88"/>
    </row>
    <row r="6463" spans="2:23" s="0" customFormat="0" ht="15">
      <c r="B6463" s="87" t="s">
        <v>1</v>
      </c>
      <c r="C6463" s="88" t="s">
        <v>5259</v>
      </c>
      <c r="D6463" s="88" t="s">
        <v>4504</v>
      </c>
      <c r="E6463" s="88" t="s">
        <v>61</v>
      </c>
      <c r="F6463" s="88">
        <v>0</v>
      </c>
      <c r="G6463" s="78">
        <f>MAX(H6463,I6463,J6463)</f>
        <v>0</v>
      </c>
      <c r="H6463" s="88"/>
      <c r="I6463" s="88"/>
      <c r="J6463" s="78">
        <f>MAX(K6463:Q6463)</f>
        <v>0</v>
      </c>
      <c r="K6463" s="88"/>
      <c r="L6463" s="88"/>
      <c r="M6463" s="88"/>
      <c r="N6463" s="88"/>
      <c r="O6463" s="88"/>
      <c r="P6463" s="88"/>
      <c r="Q6463" s="88"/>
      <c r="R6463" s="78">
        <f>MAX(S6463:W6463)</f>
        <v>1</v>
      </c>
      <c r="S6463" s="88"/>
      <c r="T6463" s="88"/>
      <c r="U6463" s="88">
        <v>1</v>
      </c>
      <c r="V6463" s="88"/>
      <c r="W6463" s="88"/>
    </row>
    <row r="6464" spans="2:23" s="0" customFormat="0" ht="15">
      <c r="B6464" s="87" t="s">
        <v>1</v>
      </c>
      <c r="C6464" s="88" t="s">
        <v>5259</v>
      </c>
      <c r="D6464" s="88">
        <v>24178485</v>
      </c>
      <c r="E6464" s="88" t="s">
        <v>61</v>
      </c>
      <c r="F6464" s="88">
        <v>0</v>
      </c>
      <c r="G6464" s="78">
        <f>MAX(H6464,I6464,J6464)</f>
        <v>1</v>
      </c>
      <c r="H6464" s="88"/>
      <c r="I6464" s="88"/>
      <c r="J6464" s="78">
        <f>MAX(K6464:Q6464)</f>
        <v>1</v>
      </c>
      <c r="K6464" s="88">
        <v>1</v>
      </c>
      <c r="L6464" s="88"/>
      <c r="M6464" s="88"/>
      <c r="N6464" s="88"/>
      <c r="O6464" s="88"/>
      <c r="P6464" s="88"/>
      <c r="Q6464" s="88"/>
      <c r="R6464" s="78">
        <f>MAX(S6464:W6464)</f>
        <v>0</v>
      </c>
      <c r="S6464" s="88"/>
      <c r="T6464" s="88"/>
      <c r="U6464" s="88"/>
      <c r="V6464" s="88"/>
      <c r="W6464" s="88"/>
    </row>
    <row r="6465" spans="2:23" s="0" customFormat="0" ht="15">
      <c r="B6465" s="87" t="s">
        <v>1</v>
      </c>
      <c r="C6465" s="88" t="s">
        <v>5259</v>
      </c>
      <c r="D6465" s="88">
        <v>15690041</v>
      </c>
      <c r="E6465" s="88" t="s">
        <v>61</v>
      </c>
      <c r="F6465" s="88">
        <v>0</v>
      </c>
      <c r="G6465" s="78">
        <f>MAX(H6465,I6465,J6465)</f>
        <v>1</v>
      </c>
      <c r="H6465" s="88"/>
      <c r="I6465" s="88"/>
      <c r="J6465" s="78">
        <f>MAX(K6465:Q6465)</f>
        <v>1</v>
      </c>
      <c r="K6465" s="88">
        <v>1</v>
      </c>
      <c r="L6465" s="88"/>
      <c r="M6465" s="88"/>
      <c r="N6465" s="88"/>
      <c r="O6465" s="88"/>
      <c r="P6465" s="88"/>
      <c r="Q6465" s="88"/>
      <c r="R6465" s="78">
        <f>MAX(S6465:W6465)</f>
        <v>0</v>
      </c>
      <c r="S6465" s="88"/>
      <c r="T6465" s="88"/>
      <c r="U6465" s="88"/>
      <c r="V6465" s="88"/>
      <c r="W6465" s="88"/>
    </row>
    <row r="6466" spans="2:23" s="0" customFormat="0" ht="15">
      <c r="B6466" s="87" t="s">
        <v>1</v>
      </c>
      <c r="C6466" s="88" t="s">
        <v>5259</v>
      </c>
      <c r="D6466" s="88" t="s">
        <v>2630</v>
      </c>
      <c r="E6466" s="88" t="s">
        <v>61</v>
      </c>
      <c r="F6466" s="88">
        <v>0</v>
      </c>
      <c r="G6466" s="78">
        <f>MAX(H6466,I6466,J6466)</f>
        <v>1</v>
      </c>
      <c r="H6466" s="88"/>
      <c r="I6466" s="88"/>
      <c r="J6466" s="78">
        <f>MAX(K6466:Q6466)</f>
        <v>1</v>
      </c>
      <c r="K6466" s="88">
        <v>1</v>
      </c>
      <c r="L6466" s="88"/>
      <c r="M6466" s="88"/>
      <c r="N6466" s="88"/>
      <c r="O6466" s="88"/>
      <c r="P6466" s="88"/>
      <c r="Q6466" s="88"/>
      <c r="R6466" s="78">
        <f>MAX(S6466:W6466)</f>
        <v>0</v>
      </c>
      <c r="S6466" s="88"/>
      <c r="T6466" s="88"/>
      <c r="U6466" s="88"/>
      <c r="V6466" s="88"/>
      <c r="W6466" s="88"/>
    </row>
    <row r="6467" spans="2:23" s="0" customFormat="0" ht="15">
      <c r="B6467" s="87" t="s">
        <v>1</v>
      </c>
      <c r="C6467" s="88" t="s">
        <v>5259</v>
      </c>
      <c r="D6467" s="88">
        <v>14504625</v>
      </c>
      <c r="E6467" s="88" t="s">
        <v>61</v>
      </c>
      <c r="F6467" s="88">
        <v>0</v>
      </c>
      <c r="G6467" s="78">
        <f>MAX(H6467,I6467,J6467)</f>
        <v>0</v>
      </c>
      <c r="H6467" s="88"/>
      <c r="I6467" s="88"/>
      <c r="J6467" s="78">
        <f>MAX(K6467:Q6467)</f>
        <v>0</v>
      </c>
      <c r="K6467" s="88"/>
      <c r="L6467" s="88"/>
      <c r="M6467" s="88"/>
      <c r="N6467" s="88"/>
      <c r="O6467" s="88"/>
      <c r="P6467" s="88"/>
      <c r="Q6467" s="88"/>
      <c r="R6467" s="78">
        <f>MAX(S6467:W6467)</f>
        <v>1</v>
      </c>
      <c r="S6467" s="88"/>
      <c r="T6467" s="88"/>
      <c r="U6467" s="88">
        <v>1</v>
      </c>
      <c r="V6467" s="88"/>
      <c r="W6467" s="88"/>
    </row>
    <row r="6468" spans="2:23" s="0" customFormat="0" ht="15">
      <c r="B6468" s="87" t="s">
        <v>1</v>
      </c>
      <c r="C6468" s="88" t="s">
        <v>5259</v>
      </c>
      <c r="D6468" s="88">
        <v>22071386</v>
      </c>
      <c r="E6468" s="88" t="s">
        <v>61</v>
      </c>
      <c r="F6468" s="88">
        <v>0</v>
      </c>
      <c r="G6468" s="78">
        <f>MAX(H6468,I6468,J6468)</f>
        <v>1</v>
      </c>
      <c r="H6468" s="88"/>
      <c r="I6468" s="88"/>
      <c r="J6468" s="78">
        <f>MAX(K6468:Q6468)</f>
        <v>1</v>
      </c>
      <c r="K6468" s="88">
        <v>1</v>
      </c>
      <c r="L6468" s="88"/>
      <c r="M6468" s="88"/>
      <c r="N6468" s="88"/>
      <c r="O6468" s="88"/>
      <c r="P6468" s="88"/>
      <c r="Q6468" s="88"/>
      <c r="R6468" s="78">
        <f>MAX(S6468:W6468)</f>
        <v>0</v>
      </c>
      <c r="S6468" s="88"/>
      <c r="T6468" s="88"/>
      <c r="U6468" s="88"/>
      <c r="V6468" s="88"/>
      <c r="W6468" s="88"/>
    </row>
    <row r="6469" spans="2:23" s="0" customFormat="0" ht="15">
      <c r="B6469" s="87" t="s">
        <v>1</v>
      </c>
      <c r="C6469" s="88" t="s">
        <v>5259</v>
      </c>
      <c r="D6469" s="88">
        <v>22554310</v>
      </c>
      <c r="E6469" s="88" t="s">
        <v>61</v>
      </c>
      <c r="F6469" s="88">
        <v>0</v>
      </c>
      <c r="G6469" s="78">
        <f>MAX(H6469,I6469,J6469)</f>
        <v>0</v>
      </c>
      <c r="H6469" s="88"/>
      <c r="I6469" s="88"/>
      <c r="J6469" s="78">
        <f>MAX(K6469:Q6469)</f>
        <v>0</v>
      </c>
      <c r="K6469" s="88"/>
      <c r="L6469" s="88"/>
      <c r="M6469" s="88"/>
      <c r="N6469" s="88"/>
      <c r="O6469" s="88"/>
      <c r="P6469" s="88"/>
      <c r="Q6469" s="88"/>
      <c r="R6469" s="78">
        <f>MAX(S6469:W6469)</f>
        <v>1</v>
      </c>
      <c r="S6469" s="88"/>
      <c r="T6469" s="88"/>
      <c r="U6469" s="88">
        <v>1</v>
      </c>
      <c r="V6469" s="88"/>
      <c r="W6469" s="88"/>
    </row>
    <row r="6470" spans="2:23" s="0" customFormat="0" ht="15">
      <c r="B6470" s="87" t="s">
        <v>1</v>
      </c>
      <c r="C6470" s="88" t="s">
        <v>5259</v>
      </c>
      <c r="D6470" s="88" t="s">
        <v>3782</v>
      </c>
      <c r="E6470" s="88" t="s">
        <v>61</v>
      </c>
      <c r="F6470" s="88">
        <v>0</v>
      </c>
      <c r="G6470" s="78">
        <f>MAX(H6470,I6470,J6470)</f>
        <v>0</v>
      </c>
      <c r="H6470" s="88"/>
      <c r="I6470" s="88"/>
      <c r="J6470" s="78">
        <f>MAX(K6470:Q6470)</f>
        <v>0</v>
      </c>
      <c r="K6470" s="88"/>
      <c r="L6470" s="88"/>
      <c r="M6470" s="88"/>
      <c r="N6470" s="88"/>
      <c r="O6470" s="88"/>
      <c r="P6470" s="88"/>
      <c r="Q6470" s="88"/>
      <c r="R6470" s="78">
        <f>MAX(S6470:W6470)</f>
        <v>1</v>
      </c>
      <c r="S6470" s="88"/>
      <c r="T6470" s="88"/>
      <c r="U6470" s="88">
        <v>1</v>
      </c>
      <c r="V6470" s="88"/>
      <c r="W6470" s="88"/>
    </row>
    <row r="6471" spans="2:23" s="0" customFormat="0" ht="15">
      <c r="B6471" s="87" t="s">
        <v>1</v>
      </c>
      <c r="C6471" s="88" t="s">
        <v>5259</v>
      </c>
      <c r="D6471" s="88">
        <v>17830015</v>
      </c>
      <c r="E6471" s="88" t="s">
        <v>61</v>
      </c>
      <c r="F6471" s="88">
        <v>0</v>
      </c>
      <c r="G6471" s="78">
        <f>MAX(H6471,I6471,J6471)</f>
        <v>1</v>
      </c>
      <c r="H6471" s="88"/>
      <c r="I6471" s="88"/>
      <c r="J6471" s="78">
        <f>MAX(K6471:Q6471)</f>
        <v>1</v>
      </c>
      <c r="K6471" s="88">
        <v>1</v>
      </c>
      <c r="L6471" s="88"/>
      <c r="M6471" s="88"/>
      <c r="N6471" s="88"/>
      <c r="O6471" s="88"/>
      <c r="P6471" s="88"/>
      <c r="Q6471" s="88"/>
      <c r="R6471" s="78">
        <f>MAX(S6471:W6471)</f>
        <v>0</v>
      </c>
      <c r="S6471" s="88"/>
      <c r="T6471" s="88"/>
      <c r="U6471" s="88"/>
      <c r="V6471" s="88"/>
      <c r="W6471" s="88"/>
    </row>
    <row r="6472" spans="2:23" s="0" customFormat="0" ht="15">
      <c r="B6472" s="87" t="s">
        <v>1</v>
      </c>
      <c r="C6472" s="88" t="s">
        <v>5259</v>
      </c>
      <c r="D6472" s="88" t="s">
        <v>4449</v>
      </c>
      <c r="E6472" s="88" t="s">
        <v>61</v>
      </c>
      <c r="F6472" s="88">
        <v>0</v>
      </c>
      <c r="G6472" s="78">
        <f>MAX(H6472,I6472,J6472)</f>
        <v>0</v>
      </c>
      <c r="H6472" s="88"/>
      <c r="I6472" s="88"/>
      <c r="J6472" s="78">
        <f>MAX(K6472:Q6472)</f>
        <v>0</v>
      </c>
      <c r="K6472" s="88"/>
      <c r="L6472" s="88"/>
      <c r="M6472" s="88"/>
      <c r="N6472" s="88"/>
      <c r="O6472" s="88"/>
      <c r="P6472" s="88"/>
      <c r="Q6472" s="88"/>
      <c r="R6472" s="78">
        <f>MAX(S6472:W6472)</f>
        <v>1</v>
      </c>
      <c r="S6472" s="88"/>
      <c r="T6472" s="88"/>
      <c r="U6472" s="88">
        <v>1</v>
      </c>
      <c r="V6472" s="88"/>
      <c r="W6472" s="88"/>
    </row>
    <row r="6473" spans="2:23" s="0" customFormat="0" ht="15">
      <c r="B6473" s="87" t="s">
        <v>1</v>
      </c>
      <c r="C6473" s="88" t="s">
        <v>5259</v>
      </c>
      <c r="D6473" s="88">
        <v>8606912</v>
      </c>
      <c r="E6473" s="88" t="s">
        <v>61</v>
      </c>
      <c r="F6473" s="88">
        <v>0</v>
      </c>
      <c r="G6473" s="78">
        <f>MAX(H6473,I6473,J6473)</f>
        <v>1</v>
      </c>
      <c r="H6473" s="88"/>
      <c r="I6473" s="88"/>
      <c r="J6473" s="78">
        <f>MAX(K6473:Q6473)</f>
        <v>1</v>
      </c>
      <c r="K6473" s="88">
        <v>1</v>
      </c>
      <c r="L6473" s="88"/>
      <c r="M6473" s="88"/>
      <c r="N6473" s="88"/>
      <c r="O6473" s="88"/>
      <c r="P6473" s="88"/>
      <c r="Q6473" s="88"/>
      <c r="R6473" s="78">
        <f>MAX(S6473:W6473)</f>
        <v>0</v>
      </c>
      <c r="S6473" s="88"/>
      <c r="T6473" s="88"/>
      <c r="U6473" s="88"/>
      <c r="V6473" s="88"/>
      <c r="W6473" s="88"/>
    </row>
    <row r="6474" spans="2:23" s="0" customFormat="0" ht="15">
      <c r="B6474" s="87" t="s">
        <v>1</v>
      </c>
      <c r="C6474" s="88" t="s">
        <v>5259</v>
      </c>
      <c r="D6474" s="88" t="s">
        <v>460</v>
      </c>
      <c r="E6474" s="88" t="s">
        <v>61</v>
      </c>
      <c r="F6474" s="88">
        <v>0</v>
      </c>
      <c r="G6474" s="78">
        <f>MAX(H6474,I6474,J6474)</f>
        <v>1</v>
      </c>
      <c r="H6474" s="88"/>
      <c r="I6474" s="88"/>
      <c r="J6474" s="78">
        <f>MAX(K6474:Q6474)</f>
        <v>1</v>
      </c>
      <c r="K6474" s="88">
        <v>1</v>
      </c>
      <c r="L6474" s="88"/>
      <c r="M6474" s="88"/>
      <c r="N6474" s="88"/>
      <c r="O6474" s="88"/>
      <c r="P6474" s="88"/>
      <c r="Q6474" s="88"/>
      <c r="R6474" s="78">
        <f>MAX(S6474:W6474)</f>
        <v>0</v>
      </c>
      <c r="S6474" s="88"/>
      <c r="T6474" s="88"/>
      <c r="U6474" s="88"/>
      <c r="V6474" s="88"/>
      <c r="W6474" s="88"/>
    </row>
    <row r="6475" spans="2:23" s="0" customFormat="0" ht="15">
      <c r="B6475" s="87" t="s">
        <v>1</v>
      </c>
      <c r="C6475" s="88" t="s">
        <v>5259</v>
      </c>
      <c r="D6475" s="88" t="s">
        <v>957</v>
      </c>
      <c r="E6475" s="88" t="s">
        <v>61</v>
      </c>
      <c r="F6475" s="88">
        <v>0</v>
      </c>
      <c r="G6475" s="78">
        <f>MAX(H6475,I6475,J6475)</f>
        <v>1</v>
      </c>
      <c r="H6475" s="88"/>
      <c r="I6475" s="88"/>
      <c r="J6475" s="78">
        <f>MAX(K6475:Q6475)</f>
        <v>1</v>
      </c>
      <c r="K6475" s="88">
        <v>1</v>
      </c>
      <c r="L6475" s="88"/>
      <c r="M6475" s="88"/>
      <c r="N6475" s="88"/>
      <c r="O6475" s="88"/>
      <c r="P6475" s="88"/>
      <c r="Q6475" s="88"/>
      <c r="R6475" s="78">
        <f>MAX(S6475:W6475)</f>
        <v>0</v>
      </c>
      <c r="S6475" s="88"/>
      <c r="T6475" s="88"/>
      <c r="U6475" s="88"/>
      <c r="V6475" s="88"/>
      <c r="W6475" s="88"/>
    </row>
    <row r="6476" spans="2:23" s="0" customFormat="0" ht="15">
      <c r="B6476" s="87" t="s">
        <v>1</v>
      </c>
      <c r="C6476" s="88" t="s">
        <v>5259</v>
      </c>
      <c r="D6476" s="88">
        <v>24359496</v>
      </c>
      <c r="E6476" s="88" t="s">
        <v>61</v>
      </c>
      <c r="F6476" s="88">
        <v>0</v>
      </c>
      <c r="G6476" s="78">
        <f>MAX(H6476,I6476,J6476)</f>
        <v>1</v>
      </c>
      <c r="H6476" s="88"/>
      <c r="I6476" s="88"/>
      <c r="J6476" s="78">
        <f>MAX(K6476:Q6476)</f>
        <v>1</v>
      </c>
      <c r="K6476" s="88"/>
      <c r="L6476" s="88"/>
      <c r="M6476" s="88">
        <v>1</v>
      </c>
      <c r="N6476" s="88"/>
      <c r="O6476" s="88"/>
      <c r="P6476" s="88"/>
      <c r="Q6476" s="88"/>
      <c r="R6476" s="78">
        <f>MAX(S6476:W6476)</f>
        <v>0</v>
      </c>
      <c r="S6476" s="88"/>
      <c r="T6476" s="88"/>
      <c r="U6476" s="88"/>
      <c r="V6476" s="88"/>
      <c r="W6476" s="88"/>
    </row>
    <row r="6477" spans="2:23" s="0" customFormat="0" ht="15">
      <c r="B6477" s="87" t="s">
        <v>1</v>
      </c>
      <c r="C6477" s="88" t="s">
        <v>5259</v>
      </c>
      <c r="D6477" s="88">
        <v>21007336</v>
      </c>
      <c r="E6477" s="88" t="s">
        <v>61</v>
      </c>
      <c r="F6477" s="88">
        <v>0</v>
      </c>
      <c r="G6477" s="78">
        <f>MAX(H6477,I6477,J6477)</f>
        <v>1</v>
      </c>
      <c r="H6477" s="88"/>
      <c r="I6477" s="88"/>
      <c r="J6477" s="78">
        <f>MAX(K6477:Q6477)</f>
        <v>1</v>
      </c>
      <c r="K6477" s="88">
        <v>1</v>
      </c>
      <c r="L6477" s="88"/>
      <c r="M6477" s="88"/>
      <c r="N6477" s="88"/>
      <c r="O6477" s="88"/>
      <c r="P6477" s="88"/>
      <c r="Q6477" s="88"/>
      <c r="R6477" s="78">
        <f>MAX(S6477:W6477)</f>
        <v>0</v>
      </c>
      <c r="S6477" s="88"/>
      <c r="T6477" s="88"/>
      <c r="U6477" s="88"/>
      <c r="V6477" s="88"/>
      <c r="W6477" s="88"/>
    </row>
    <row r="6478" spans="2:23" s="0" customFormat="0" ht="15">
      <c r="B6478" s="87" t="s">
        <v>1</v>
      </c>
      <c r="C6478" s="88" t="s">
        <v>5259</v>
      </c>
      <c r="D6478" s="88">
        <v>7013339</v>
      </c>
      <c r="E6478" s="88" t="s">
        <v>61</v>
      </c>
      <c r="F6478" s="88">
        <v>0</v>
      </c>
      <c r="G6478" s="78">
        <f>MAX(H6478,I6478,J6478)</f>
        <v>1</v>
      </c>
      <c r="H6478" s="88"/>
      <c r="I6478" s="88"/>
      <c r="J6478" s="78">
        <f>MAX(K6478:Q6478)</f>
        <v>1</v>
      </c>
      <c r="K6478" s="88">
        <v>1</v>
      </c>
      <c r="L6478" s="88"/>
      <c r="M6478" s="88"/>
      <c r="N6478" s="88"/>
      <c r="O6478" s="88"/>
      <c r="P6478" s="88"/>
      <c r="Q6478" s="88"/>
      <c r="R6478" s="78">
        <f>MAX(S6478:W6478)</f>
        <v>0</v>
      </c>
      <c r="S6478" s="88"/>
      <c r="T6478" s="88"/>
      <c r="U6478" s="88"/>
      <c r="V6478" s="88"/>
      <c r="W6478" s="88"/>
    </row>
    <row r="6479" spans="2:23" s="0" customFormat="0" ht="15">
      <c r="B6479" s="87" t="s">
        <v>1</v>
      </c>
      <c r="C6479" s="88" t="s">
        <v>5259</v>
      </c>
      <c r="D6479" s="88">
        <v>17860436</v>
      </c>
      <c r="E6479" s="88" t="s">
        <v>61</v>
      </c>
      <c r="F6479" s="88">
        <v>0</v>
      </c>
      <c r="G6479" s="78">
        <f>MAX(H6479,I6479,J6479)</f>
        <v>1</v>
      </c>
      <c r="H6479" s="88"/>
      <c r="I6479" s="88"/>
      <c r="J6479" s="78">
        <f>MAX(K6479:Q6479)</f>
        <v>1</v>
      </c>
      <c r="K6479" s="88">
        <v>1</v>
      </c>
      <c r="L6479" s="88"/>
      <c r="M6479" s="88"/>
      <c r="N6479" s="88"/>
      <c r="O6479" s="88"/>
      <c r="P6479" s="88"/>
      <c r="Q6479" s="88"/>
      <c r="R6479" s="78">
        <f>MAX(S6479:W6479)</f>
        <v>0</v>
      </c>
      <c r="S6479" s="88"/>
      <c r="T6479" s="88"/>
      <c r="U6479" s="88"/>
      <c r="V6479" s="88"/>
      <c r="W6479" s="88"/>
    </row>
    <row r="6480" spans="2:23" s="0" customFormat="0" ht="15">
      <c r="B6480" s="87" t="s">
        <v>1</v>
      </c>
      <c r="C6480" s="88" t="s">
        <v>5259</v>
      </c>
      <c r="D6480" s="88">
        <v>22554514</v>
      </c>
      <c r="E6480" s="88" t="s">
        <v>61</v>
      </c>
      <c r="F6480" s="88">
        <v>0</v>
      </c>
      <c r="G6480" s="78">
        <f>MAX(H6480,I6480,J6480)</f>
        <v>0</v>
      </c>
      <c r="H6480" s="88"/>
      <c r="I6480" s="88"/>
      <c r="J6480" s="78">
        <f>MAX(K6480:Q6480)</f>
        <v>0</v>
      </c>
      <c r="K6480" s="88"/>
      <c r="L6480" s="88"/>
      <c r="M6480" s="88"/>
      <c r="N6480" s="88"/>
      <c r="O6480" s="88"/>
      <c r="P6480" s="88"/>
      <c r="Q6480" s="88"/>
      <c r="R6480" s="78">
        <f>MAX(S6480:W6480)</f>
        <v>1</v>
      </c>
      <c r="S6480" s="88"/>
      <c r="T6480" s="88"/>
      <c r="U6480" s="88">
        <v>1</v>
      </c>
      <c r="V6480" s="88"/>
      <c r="W6480" s="88"/>
    </row>
    <row r="6481" spans="2:23" s="0" customFormat="0" ht="15">
      <c r="B6481" s="87" t="s">
        <v>1</v>
      </c>
      <c r="C6481" s="88" t="s">
        <v>5259</v>
      </c>
      <c r="D6481" s="88">
        <v>21027790</v>
      </c>
      <c r="E6481" s="88" t="s">
        <v>61</v>
      </c>
      <c r="F6481" s="88">
        <v>0</v>
      </c>
      <c r="G6481" s="78">
        <f>MAX(H6481,I6481,J6481)</f>
        <v>1</v>
      </c>
      <c r="H6481" s="88"/>
      <c r="I6481" s="88"/>
      <c r="J6481" s="78">
        <f>MAX(K6481:Q6481)</f>
        <v>1</v>
      </c>
      <c r="K6481" s="88">
        <v>1</v>
      </c>
      <c r="L6481" s="88"/>
      <c r="M6481" s="88"/>
      <c r="N6481" s="88"/>
      <c r="O6481" s="88"/>
      <c r="P6481" s="88"/>
      <c r="Q6481" s="88"/>
      <c r="R6481" s="78">
        <f>MAX(S6481:W6481)</f>
        <v>0</v>
      </c>
      <c r="S6481" s="88"/>
      <c r="T6481" s="88"/>
      <c r="U6481" s="88"/>
      <c r="V6481" s="88"/>
      <c r="W6481" s="88"/>
    </row>
    <row r="6482" spans="2:23" s="0" customFormat="0" ht="15">
      <c r="B6482" s="87" t="s">
        <v>1</v>
      </c>
      <c r="C6482" s="88" t="s">
        <v>5259</v>
      </c>
      <c r="D6482" s="88">
        <v>23482942</v>
      </c>
      <c r="E6482" s="88" t="s">
        <v>61</v>
      </c>
      <c r="F6482" s="88">
        <v>0</v>
      </c>
      <c r="G6482" s="78">
        <f>MAX(H6482,I6482,J6482)</f>
        <v>1</v>
      </c>
      <c r="H6482" s="88"/>
      <c r="I6482" s="88"/>
      <c r="J6482" s="78">
        <f>MAX(K6482:Q6482)</f>
        <v>1</v>
      </c>
      <c r="K6482" s="88">
        <v>1</v>
      </c>
      <c r="L6482" s="88"/>
      <c r="M6482" s="88"/>
      <c r="N6482" s="88"/>
      <c r="O6482" s="88"/>
      <c r="P6482" s="88"/>
      <c r="Q6482" s="88"/>
      <c r="R6482" s="78">
        <f>MAX(S6482:W6482)</f>
        <v>0</v>
      </c>
      <c r="S6482" s="88"/>
      <c r="T6482" s="88"/>
      <c r="U6482" s="88"/>
      <c r="V6482" s="88"/>
      <c r="W6482" s="88"/>
    </row>
    <row r="6483" spans="2:23" s="0" customFormat="0" ht="15">
      <c r="B6483" s="87" t="s">
        <v>1</v>
      </c>
      <c r="C6483" s="88" t="s">
        <v>5259</v>
      </c>
      <c r="D6483" s="88" t="s">
        <v>4435</v>
      </c>
      <c r="E6483" s="88" t="s">
        <v>61</v>
      </c>
      <c r="F6483" s="88">
        <v>0</v>
      </c>
      <c r="G6483" s="78">
        <f>MAX(H6483,I6483,J6483)</f>
        <v>0</v>
      </c>
      <c r="H6483" s="88"/>
      <c r="I6483" s="88"/>
      <c r="J6483" s="78">
        <f>MAX(K6483:Q6483)</f>
        <v>0</v>
      </c>
      <c r="K6483" s="88"/>
      <c r="L6483" s="88"/>
      <c r="M6483" s="88"/>
      <c r="N6483" s="88"/>
      <c r="O6483" s="88"/>
      <c r="P6483" s="88"/>
      <c r="Q6483" s="88"/>
      <c r="R6483" s="78">
        <f>MAX(S6483:W6483)</f>
        <v>1</v>
      </c>
      <c r="S6483" s="88"/>
      <c r="T6483" s="88"/>
      <c r="U6483" s="88">
        <v>1</v>
      </c>
      <c r="V6483" s="88"/>
      <c r="W6483" s="88"/>
    </row>
    <row r="6484" spans="2:23" s="0" customFormat="0" ht="15">
      <c r="B6484" s="87" t="s">
        <v>1</v>
      </c>
      <c r="C6484" s="88" t="s">
        <v>5259</v>
      </c>
      <c r="D6484" s="88">
        <v>19762437</v>
      </c>
      <c r="E6484" s="88" t="s">
        <v>61</v>
      </c>
      <c r="F6484" s="88">
        <v>0</v>
      </c>
      <c r="G6484" s="78">
        <f>MAX(H6484,I6484,J6484)</f>
        <v>0</v>
      </c>
      <c r="H6484" s="88"/>
      <c r="I6484" s="88"/>
      <c r="J6484" s="78">
        <f>MAX(K6484:Q6484)</f>
        <v>0</v>
      </c>
      <c r="K6484" s="88"/>
      <c r="L6484" s="88"/>
      <c r="M6484" s="88"/>
      <c r="N6484" s="88"/>
      <c r="O6484" s="88"/>
      <c r="P6484" s="88"/>
      <c r="Q6484" s="88"/>
      <c r="R6484" s="78">
        <f>MAX(S6484:W6484)</f>
        <v>1</v>
      </c>
      <c r="S6484" s="88"/>
      <c r="T6484" s="88"/>
      <c r="U6484" s="88">
        <v>1</v>
      </c>
      <c r="V6484" s="88"/>
      <c r="W6484" s="88"/>
    </row>
    <row r="6485" spans="2:23" s="0" customFormat="0" ht="15">
      <c r="B6485" s="87" t="s">
        <v>1</v>
      </c>
      <c r="C6485" s="88" t="s">
        <v>5259</v>
      </c>
      <c r="D6485" s="88">
        <v>20995748</v>
      </c>
      <c r="E6485" s="88" t="s">
        <v>61</v>
      </c>
      <c r="F6485" s="88">
        <v>0</v>
      </c>
      <c r="G6485" s="78">
        <f>MAX(H6485,I6485,J6485)</f>
        <v>1</v>
      </c>
      <c r="H6485" s="88"/>
      <c r="I6485" s="88"/>
      <c r="J6485" s="78">
        <f>MAX(K6485:Q6485)</f>
        <v>1</v>
      </c>
      <c r="K6485" s="88">
        <v>1</v>
      </c>
      <c r="L6485" s="88"/>
      <c r="M6485" s="88"/>
      <c r="N6485" s="88"/>
      <c r="O6485" s="88"/>
      <c r="P6485" s="88"/>
      <c r="Q6485" s="88"/>
      <c r="R6485" s="78">
        <f>MAX(S6485:W6485)</f>
        <v>0</v>
      </c>
      <c r="S6485" s="88"/>
      <c r="T6485" s="88"/>
      <c r="U6485" s="88"/>
      <c r="V6485" s="88"/>
      <c r="W6485" s="88"/>
    </row>
    <row r="6486" spans="2:23" s="0" customFormat="0" ht="15">
      <c r="B6486" s="87" t="s">
        <v>1</v>
      </c>
      <c r="C6486" s="88" t="s">
        <v>5259</v>
      </c>
      <c r="D6486" s="88">
        <v>20993774</v>
      </c>
      <c r="E6486" s="88" t="s">
        <v>61</v>
      </c>
      <c r="F6486" s="88">
        <v>0</v>
      </c>
      <c r="G6486" s="78">
        <f>MAX(H6486,I6486,J6486)</f>
        <v>1</v>
      </c>
      <c r="H6486" s="88"/>
      <c r="I6486" s="88"/>
      <c r="J6486" s="78">
        <f>MAX(K6486:Q6486)</f>
        <v>1</v>
      </c>
      <c r="K6486" s="88">
        <v>1</v>
      </c>
      <c r="L6486" s="88"/>
      <c r="M6486" s="88"/>
      <c r="N6486" s="88"/>
      <c r="O6486" s="88"/>
      <c r="P6486" s="88"/>
      <c r="Q6486" s="88"/>
      <c r="R6486" s="78">
        <f>MAX(S6486:W6486)</f>
        <v>0</v>
      </c>
      <c r="S6486" s="88"/>
      <c r="T6486" s="88"/>
      <c r="U6486" s="88"/>
      <c r="V6486" s="88"/>
      <c r="W6486" s="88"/>
    </row>
    <row r="6487" spans="2:23" s="0" customFormat="0" ht="15">
      <c r="B6487" s="87" t="s">
        <v>1</v>
      </c>
      <c r="C6487" s="88" t="s">
        <v>5259</v>
      </c>
      <c r="D6487" s="88" t="s">
        <v>5076</v>
      </c>
      <c r="E6487" s="88" t="s">
        <v>61</v>
      </c>
      <c r="F6487" s="88">
        <v>0</v>
      </c>
      <c r="G6487" s="78">
        <f>MAX(H6487,I6487,J6487)</f>
        <v>0</v>
      </c>
      <c r="H6487" s="88"/>
      <c r="I6487" s="88"/>
      <c r="J6487" s="78">
        <f>MAX(K6487:Q6487)</f>
        <v>0</v>
      </c>
      <c r="K6487" s="88"/>
      <c r="L6487" s="88"/>
      <c r="M6487" s="88"/>
      <c r="N6487" s="88"/>
      <c r="O6487" s="88"/>
      <c r="P6487" s="88"/>
      <c r="Q6487" s="88"/>
      <c r="R6487" s="78">
        <f>MAX(S6487:W6487)</f>
        <v>1</v>
      </c>
      <c r="S6487" s="88"/>
      <c r="T6487" s="88"/>
      <c r="U6487" s="88">
        <v>1</v>
      </c>
      <c r="V6487" s="88"/>
      <c r="W6487" s="88"/>
    </row>
    <row r="6488" spans="2:23" s="0" customFormat="0" ht="15">
      <c r="B6488" s="87" t="s">
        <v>1</v>
      </c>
      <c r="C6488" s="88" t="s">
        <v>5259</v>
      </c>
      <c r="D6488" s="88">
        <v>22896296</v>
      </c>
      <c r="E6488" s="88" t="s">
        <v>61</v>
      </c>
      <c r="F6488" s="88">
        <v>0</v>
      </c>
      <c r="G6488" s="78">
        <f>MAX(H6488,I6488,J6488)</f>
        <v>1</v>
      </c>
      <c r="H6488" s="88"/>
      <c r="I6488" s="88"/>
      <c r="J6488" s="78">
        <f>MAX(K6488:Q6488)</f>
        <v>1</v>
      </c>
      <c r="K6488" s="88">
        <v>1</v>
      </c>
      <c r="L6488" s="88"/>
      <c r="M6488" s="88"/>
      <c r="N6488" s="88"/>
      <c r="O6488" s="88"/>
      <c r="P6488" s="88"/>
      <c r="Q6488" s="88"/>
      <c r="R6488" s="78">
        <f>MAX(S6488:W6488)</f>
        <v>0</v>
      </c>
      <c r="S6488" s="88"/>
      <c r="T6488" s="88"/>
      <c r="U6488" s="88"/>
      <c r="V6488" s="88"/>
      <c r="W6488" s="88"/>
    </row>
    <row r="6489" spans="2:23" s="0" customFormat="0" ht="15">
      <c r="B6489" s="87" t="s">
        <v>1</v>
      </c>
      <c r="C6489" s="88" t="s">
        <v>5259</v>
      </c>
      <c r="D6489" s="88">
        <v>1551579</v>
      </c>
      <c r="E6489" s="88" t="s">
        <v>61</v>
      </c>
      <c r="F6489" s="88">
        <v>0</v>
      </c>
      <c r="G6489" s="78">
        <f>MAX(H6489,I6489,J6489)</f>
        <v>0</v>
      </c>
      <c r="H6489" s="88"/>
      <c r="I6489" s="88"/>
      <c r="J6489" s="78">
        <f>MAX(K6489:Q6489)</f>
        <v>0</v>
      </c>
      <c r="K6489" s="88"/>
      <c r="L6489" s="88"/>
      <c r="M6489" s="88"/>
      <c r="N6489" s="88"/>
      <c r="O6489" s="88"/>
      <c r="P6489" s="88"/>
      <c r="Q6489" s="88"/>
      <c r="R6489" s="78">
        <f>MAX(S6489:W6489)</f>
        <v>1</v>
      </c>
      <c r="S6489" s="88"/>
      <c r="T6489" s="88"/>
      <c r="U6489" s="88">
        <v>1</v>
      </c>
      <c r="V6489" s="88"/>
      <c r="W6489" s="88"/>
    </row>
    <row r="6490" spans="2:23" s="0" customFormat="0" ht="15">
      <c r="B6490" s="87" t="s">
        <v>1</v>
      </c>
      <c r="C6490" s="88" t="s">
        <v>5259</v>
      </c>
      <c r="D6490" s="88" t="s">
        <v>4062</v>
      </c>
      <c r="E6490" s="88" t="s">
        <v>61</v>
      </c>
      <c r="F6490" s="88">
        <v>0</v>
      </c>
      <c r="G6490" s="78">
        <f>MAX(H6490,I6490,J6490)</f>
        <v>0</v>
      </c>
      <c r="H6490" s="88"/>
      <c r="I6490" s="88"/>
      <c r="J6490" s="78">
        <f>MAX(K6490:Q6490)</f>
        <v>0</v>
      </c>
      <c r="K6490" s="88"/>
      <c r="L6490" s="88"/>
      <c r="M6490" s="88"/>
      <c r="N6490" s="88"/>
      <c r="O6490" s="88"/>
      <c r="P6490" s="88"/>
      <c r="Q6490" s="88"/>
      <c r="R6490" s="78">
        <f>MAX(S6490:W6490)</f>
        <v>1</v>
      </c>
      <c r="S6490" s="88"/>
      <c r="T6490" s="88"/>
      <c r="U6490" s="88">
        <v>1</v>
      </c>
      <c r="V6490" s="88"/>
      <c r="W6490" s="88"/>
    </row>
    <row r="6491" spans="2:23" s="0" customFormat="0" ht="15">
      <c r="B6491" s="87" t="s">
        <v>1</v>
      </c>
      <c r="C6491" s="88" t="s">
        <v>5259</v>
      </c>
      <c r="D6491" s="88">
        <v>2043053</v>
      </c>
      <c r="E6491" s="88" t="s">
        <v>61</v>
      </c>
      <c r="F6491" s="88">
        <v>0</v>
      </c>
      <c r="G6491" s="78">
        <f>MAX(H6491,I6491,J6491)</f>
        <v>1</v>
      </c>
      <c r="H6491" s="88"/>
      <c r="I6491" s="88"/>
      <c r="J6491" s="78">
        <f>MAX(K6491:Q6491)</f>
        <v>1</v>
      </c>
      <c r="K6491" s="88">
        <v>1</v>
      </c>
      <c r="L6491" s="88"/>
      <c r="M6491" s="88"/>
      <c r="N6491" s="88"/>
      <c r="O6491" s="88"/>
      <c r="P6491" s="88"/>
      <c r="Q6491" s="88"/>
      <c r="R6491" s="78">
        <f>MAX(S6491:W6491)</f>
        <v>0</v>
      </c>
      <c r="S6491" s="88"/>
      <c r="T6491" s="88"/>
      <c r="U6491" s="88"/>
      <c r="V6491" s="88"/>
      <c r="W6491" s="88"/>
    </row>
    <row r="6492" spans="2:23" s="0" customFormat="0" ht="15">
      <c r="B6492" s="87" t="s">
        <v>1</v>
      </c>
      <c r="C6492" s="88" t="s">
        <v>5259</v>
      </c>
      <c r="D6492" s="88">
        <v>20868124</v>
      </c>
      <c r="E6492" s="88" t="s">
        <v>61</v>
      </c>
      <c r="F6492" s="88">
        <v>0</v>
      </c>
      <c r="G6492" s="78">
        <f>MAX(H6492,I6492,J6492)</f>
        <v>1</v>
      </c>
      <c r="H6492" s="88"/>
      <c r="I6492" s="88"/>
      <c r="J6492" s="78">
        <f>MAX(K6492:Q6492)</f>
        <v>1</v>
      </c>
      <c r="K6492" s="88">
        <v>1</v>
      </c>
      <c r="L6492" s="88"/>
      <c r="M6492" s="88"/>
      <c r="N6492" s="88"/>
      <c r="O6492" s="88"/>
      <c r="P6492" s="88"/>
      <c r="Q6492" s="88"/>
      <c r="R6492" s="78">
        <f>MAX(S6492:W6492)</f>
        <v>0</v>
      </c>
      <c r="S6492" s="88"/>
      <c r="T6492" s="88"/>
      <c r="U6492" s="88"/>
      <c r="V6492" s="88"/>
      <c r="W6492" s="88"/>
    </row>
    <row r="6493" spans="2:23" s="0" customFormat="0" ht="15">
      <c r="B6493" s="87" t="s">
        <v>1</v>
      </c>
      <c r="C6493" s="88" t="s">
        <v>5259</v>
      </c>
      <c r="D6493" s="88">
        <v>12051925</v>
      </c>
      <c r="E6493" s="88" t="s">
        <v>61</v>
      </c>
      <c r="F6493" s="88">
        <v>0</v>
      </c>
      <c r="G6493" s="78">
        <f>MAX(H6493,I6493,J6493)</f>
        <v>1</v>
      </c>
      <c r="H6493" s="88"/>
      <c r="I6493" s="88"/>
      <c r="J6493" s="78">
        <f>MAX(K6493:Q6493)</f>
        <v>1</v>
      </c>
      <c r="K6493" s="88">
        <v>1</v>
      </c>
      <c r="L6493" s="88"/>
      <c r="M6493" s="88"/>
      <c r="N6493" s="88"/>
      <c r="O6493" s="88"/>
      <c r="P6493" s="88"/>
      <c r="Q6493" s="88"/>
      <c r="R6493" s="78">
        <f>MAX(S6493:W6493)</f>
        <v>0</v>
      </c>
      <c r="S6493" s="88"/>
      <c r="T6493" s="88"/>
      <c r="U6493" s="88"/>
      <c r="V6493" s="88"/>
      <c r="W6493" s="88"/>
    </row>
    <row r="6494" spans="2:23" s="0" customFormat="0" ht="15">
      <c r="B6494" s="87" t="s">
        <v>1</v>
      </c>
      <c r="C6494" s="88" t="s">
        <v>5259</v>
      </c>
      <c r="D6494" s="88">
        <v>4162673</v>
      </c>
      <c r="E6494" s="88" t="s">
        <v>61</v>
      </c>
      <c r="F6494" s="88">
        <v>0</v>
      </c>
      <c r="G6494" s="78">
        <f>MAX(H6494,I6494,J6494)</f>
        <v>1</v>
      </c>
      <c r="H6494" s="88"/>
      <c r="I6494" s="88"/>
      <c r="J6494" s="78">
        <f>MAX(K6494:Q6494)</f>
        <v>1</v>
      </c>
      <c r="K6494" s="88">
        <v>1</v>
      </c>
      <c r="L6494" s="88"/>
      <c r="M6494" s="88"/>
      <c r="N6494" s="88"/>
      <c r="O6494" s="88"/>
      <c r="P6494" s="88"/>
      <c r="Q6494" s="88"/>
      <c r="R6494" s="78">
        <f>MAX(S6494:W6494)</f>
        <v>0</v>
      </c>
      <c r="S6494" s="88"/>
      <c r="T6494" s="88"/>
      <c r="U6494" s="88"/>
      <c r="V6494" s="88"/>
      <c r="W6494" s="88"/>
    </row>
    <row r="6495" spans="2:23" s="0" customFormat="0" ht="15">
      <c r="B6495" s="87" t="s">
        <v>1</v>
      </c>
      <c r="C6495" s="88" t="s">
        <v>5259</v>
      </c>
      <c r="D6495" s="88" t="s">
        <v>2423</v>
      </c>
      <c r="E6495" s="88" t="s">
        <v>61</v>
      </c>
      <c r="F6495" s="88">
        <v>0</v>
      </c>
      <c r="G6495" s="78">
        <f>MAX(H6495,I6495,J6495)</f>
        <v>1</v>
      </c>
      <c r="H6495" s="88"/>
      <c r="I6495" s="88"/>
      <c r="J6495" s="78">
        <f>MAX(K6495:Q6495)</f>
        <v>1</v>
      </c>
      <c r="K6495" s="88">
        <v>1</v>
      </c>
      <c r="L6495" s="88"/>
      <c r="M6495" s="88"/>
      <c r="N6495" s="88"/>
      <c r="O6495" s="88"/>
      <c r="P6495" s="88"/>
      <c r="Q6495" s="88"/>
      <c r="R6495" s="78">
        <f>MAX(S6495:W6495)</f>
        <v>0</v>
      </c>
      <c r="S6495" s="88"/>
      <c r="T6495" s="88"/>
      <c r="U6495" s="88"/>
      <c r="V6495" s="88"/>
      <c r="W6495" s="88"/>
    </row>
    <row r="6496" spans="2:23" s="0" customFormat="0" ht="15">
      <c r="B6496" s="87" t="s">
        <v>1</v>
      </c>
      <c r="C6496" s="88" t="s">
        <v>5259</v>
      </c>
      <c r="D6496" s="88" t="s">
        <v>5223</v>
      </c>
      <c r="E6496" s="88" t="s">
        <v>61</v>
      </c>
      <c r="F6496" s="88">
        <v>0</v>
      </c>
      <c r="G6496" s="78">
        <f>MAX(H6496,I6496,J6496)</f>
        <v>0</v>
      </c>
      <c r="H6496" s="88"/>
      <c r="I6496" s="88"/>
      <c r="J6496" s="78">
        <f>MAX(K6496:Q6496)</f>
        <v>0</v>
      </c>
      <c r="K6496" s="88"/>
      <c r="L6496" s="88"/>
      <c r="M6496" s="88"/>
      <c r="N6496" s="88"/>
      <c r="O6496" s="88"/>
      <c r="P6496" s="88"/>
      <c r="Q6496" s="88"/>
      <c r="R6496" s="78">
        <f>MAX(S6496:W6496)</f>
        <v>1</v>
      </c>
      <c r="S6496" s="88"/>
      <c r="T6496" s="88"/>
      <c r="U6496" s="88">
        <v>1</v>
      </c>
      <c r="V6496" s="88"/>
      <c r="W6496" s="88"/>
    </row>
    <row r="6497" spans="2:23" s="0" customFormat="0" ht="15">
      <c r="B6497" s="87" t="s">
        <v>1</v>
      </c>
      <c r="C6497" s="88" t="s">
        <v>5259</v>
      </c>
      <c r="D6497" s="88" t="s">
        <v>305</v>
      </c>
      <c r="E6497" s="88" t="s">
        <v>61</v>
      </c>
      <c r="F6497" s="88">
        <v>0</v>
      </c>
      <c r="G6497" s="78">
        <f>MAX(H6497,I6497,J6497)</f>
        <v>1</v>
      </c>
      <c r="H6497" s="88"/>
      <c r="I6497" s="88"/>
      <c r="J6497" s="78">
        <f>MAX(K6497:Q6497)</f>
        <v>1</v>
      </c>
      <c r="K6497" s="88">
        <v>1</v>
      </c>
      <c r="L6497" s="88"/>
      <c r="M6497" s="88"/>
      <c r="N6497" s="88"/>
      <c r="O6497" s="88"/>
      <c r="P6497" s="88"/>
      <c r="Q6497" s="88"/>
      <c r="R6497" s="78">
        <f>MAX(S6497:W6497)</f>
        <v>0</v>
      </c>
      <c r="S6497" s="88"/>
      <c r="T6497" s="88"/>
      <c r="U6497" s="88"/>
      <c r="V6497" s="88"/>
      <c r="W6497" s="88"/>
    </row>
    <row r="6498" spans="2:23" s="0" customFormat="0" ht="15">
      <c r="B6498" s="87" t="s">
        <v>1</v>
      </c>
      <c r="C6498" s="88" t="s">
        <v>5259</v>
      </c>
      <c r="D6498" s="88">
        <v>18916366</v>
      </c>
      <c r="E6498" s="88" t="s">
        <v>61</v>
      </c>
      <c r="F6498" s="88">
        <v>0</v>
      </c>
      <c r="G6498" s="78">
        <f>MAX(H6498,I6498,J6498)</f>
        <v>1</v>
      </c>
      <c r="H6498" s="88"/>
      <c r="I6498" s="88"/>
      <c r="J6498" s="78">
        <f>MAX(K6498:Q6498)</f>
        <v>1</v>
      </c>
      <c r="K6498" s="88">
        <v>1</v>
      </c>
      <c r="L6498" s="88"/>
      <c r="M6498" s="88"/>
      <c r="N6498" s="88"/>
      <c r="O6498" s="88"/>
      <c r="P6498" s="88"/>
      <c r="Q6498" s="88"/>
      <c r="R6498" s="78">
        <f>MAX(S6498:W6498)</f>
        <v>0</v>
      </c>
      <c r="S6498" s="88"/>
      <c r="T6498" s="88"/>
      <c r="U6498" s="88"/>
      <c r="V6498" s="88"/>
      <c r="W6498" s="88"/>
    </row>
    <row r="6499" spans="2:23" s="0" customFormat="0" ht="15">
      <c r="B6499" s="87" t="s">
        <v>1</v>
      </c>
      <c r="C6499" s="88" t="s">
        <v>5259</v>
      </c>
      <c r="D6499" s="88" t="s">
        <v>996</v>
      </c>
      <c r="E6499" s="88" t="s">
        <v>61</v>
      </c>
      <c r="F6499" s="88">
        <v>0</v>
      </c>
      <c r="G6499" s="78">
        <f>MAX(H6499,I6499,J6499)</f>
        <v>1</v>
      </c>
      <c r="H6499" s="88"/>
      <c r="I6499" s="88"/>
      <c r="J6499" s="78">
        <f>MAX(K6499:Q6499)</f>
        <v>1</v>
      </c>
      <c r="K6499" s="88">
        <v>1</v>
      </c>
      <c r="L6499" s="88"/>
      <c r="M6499" s="88"/>
      <c r="N6499" s="88"/>
      <c r="O6499" s="88"/>
      <c r="P6499" s="88"/>
      <c r="Q6499" s="88"/>
      <c r="R6499" s="78">
        <f>MAX(S6499:W6499)</f>
        <v>0</v>
      </c>
      <c r="S6499" s="88"/>
      <c r="T6499" s="88"/>
      <c r="U6499" s="88"/>
      <c r="V6499" s="88"/>
      <c r="W6499" s="88"/>
    </row>
    <row r="6500" spans="2:23" s="0" customFormat="0" ht="15">
      <c r="B6500" s="87" t="s">
        <v>1</v>
      </c>
      <c r="C6500" s="88" t="s">
        <v>5259</v>
      </c>
      <c r="D6500" s="88">
        <v>22282639</v>
      </c>
      <c r="E6500" s="88" t="s">
        <v>61</v>
      </c>
      <c r="F6500" s="88">
        <v>0</v>
      </c>
      <c r="G6500" s="78">
        <f>MAX(H6500,I6500,J6500)</f>
        <v>1</v>
      </c>
      <c r="H6500" s="88"/>
      <c r="I6500" s="88"/>
      <c r="J6500" s="78">
        <f>MAX(K6500:Q6500)</f>
        <v>1</v>
      </c>
      <c r="K6500" s="88">
        <v>1</v>
      </c>
      <c r="L6500" s="88"/>
      <c r="M6500" s="88"/>
      <c r="N6500" s="88"/>
      <c r="O6500" s="88"/>
      <c r="P6500" s="88"/>
      <c r="Q6500" s="88"/>
      <c r="R6500" s="78">
        <f>MAX(S6500:W6500)</f>
        <v>0</v>
      </c>
      <c r="S6500" s="88"/>
      <c r="T6500" s="88"/>
      <c r="U6500" s="88"/>
      <c r="V6500" s="88"/>
      <c r="W6500" s="88"/>
    </row>
    <row r="6501" spans="2:23" s="0" customFormat="0" ht="15">
      <c r="B6501" s="87" t="s">
        <v>1</v>
      </c>
      <c r="C6501" s="88" t="s">
        <v>5259</v>
      </c>
      <c r="D6501" s="88">
        <v>18916353</v>
      </c>
      <c r="E6501" s="88" t="s">
        <v>61</v>
      </c>
      <c r="F6501" s="88">
        <v>0</v>
      </c>
      <c r="G6501" s="78">
        <f>MAX(H6501,I6501,J6501)</f>
        <v>1</v>
      </c>
      <c r="H6501" s="88"/>
      <c r="I6501" s="88"/>
      <c r="J6501" s="78">
        <f>MAX(K6501:Q6501)</f>
        <v>1</v>
      </c>
      <c r="K6501" s="88">
        <v>1</v>
      </c>
      <c r="L6501" s="88"/>
      <c r="M6501" s="88"/>
      <c r="N6501" s="88"/>
      <c r="O6501" s="88"/>
      <c r="P6501" s="88"/>
      <c r="Q6501" s="88"/>
      <c r="R6501" s="78">
        <f>MAX(S6501:W6501)</f>
        <v>0</v>
      </c>
      <c r="S6501" s="88"/>
      <c r="T6501" s="88"/>
      <c r="U6501" s="88"/>
      <c r="V6501" s="88"/>
      <c r="W6501" s="88"/>
    </row>
    <row r="6502" spans="2:23" s="0" customFormat="0" ht="15">
      <c r="B6502" s="87" t="s">
        <v>1</v>
      </c>
      <c r="C6502" s="88" t="s">
        <v>5259</v>
      </c>
      <c r="D6502" s="88" t="s">
        <v>2999</v>
      </c>
      <c r="E6502" s="88" t="s">
        <v>61</v>
      </c>
      <c r="F6502" s="88">
        <v>0</v>
      </c>
      <c r="G6502" s="78">
        <f>MAX(H6502,I6502,J6502)</f>
        <v>1</v>
      </c>
      <c r="H6502" s="88"/>
      <c r="I6502" s="88"/>
      <c r="J6502" s="78">
        <f>MAX(K6502:Q6502)</f>
        <v>1</v>
      </c>
      <c r="K6502" s="88">
        <v>1</v>
      </c>
      <c r="L6502" s="88"/>
      <c r="M6502" s="88"/>
      <c r="N6502" s="88"/>
      <c r="O6502" s="88"/>
      <c r="P6502" s="88"/>
      <c r="Q6502" s="88"/>
      <c r="R6502" s="78">
        <f>MAX(S6502:W6502)</f>
        <v>0</v>
      </c>
      <c r="S6502" s="88"/>
      <c r="T6502" s="88"/>
      <c r="U6502" s="88"/>
      <c r="V6502" s="88"/>
      <c r="W6502" s="88"/>
    </row>
    <row r="6503" spans="2:23" s="0" customFormat="0" ht="15">
      <c r="B6503" s="87" t="s">
        <v>1</v>
      </c>
      <c r="C6503" s="88" t="s">
        <v>5259</v>
      </c>
      <c r="D6503" s="88">
        <v>24139040</v>
      </c>
      <c r="E6503" s="88" t="s">
        <v>61</v>
      </c>
      <c r="F6503" s="88">
        <v>0</v>
      </c>
      <c r="G6503" s="78">
        <f>MAX(H6503,I6503,J6503)</f>
        <v>1</v>
      </c>
      <c r="H6503" s="88"/>
      <c r="I6503" s="88"/>
      <c r="J6503" s="78">
        <f>MAX(K6503:Q6503)</f>
        <v>1</v>
      </c>
      <c r="K6503" s="88"/>
      <c r="L6503" s="88"/>
      <c r="M6503" s="88">
        <v>1</v>
      </c>
      <c r="N6503" s="88"/>
      <c r="O6503" s="88"/>
      <c r="P6503" s="88"/>
      <c r="Q6503" s="88"/>
      <c r="R6503" s="78">
        <f>MAX(S6503:W6503)</f>
        <v>0</v>
      </c>
      <c r="S6503" s="88"/>
      <c r="T6503" s="88"/>
      <c r="U6503" s="88"/>
      <c r="V6503" s="88"/>
      <c r="W6503" s="88"/>
    </row>
    <row r="6504" spans="2:23" s="0" customFormat="0" ht="15">
      <c r="B6504" s="87" t="s">
        <v>1</v>
      </c>
      <c r="C6504" s="88" t="s">
        <v>5259</v>
      </c>
      <c r="D6504" s="88" t="s">
        <v>3001</v>
      </c>
      <c r="E6504" s="88" t="s">
        <v>61</v>
      </c>
      <c r="F6504" s="88">
        <v>0</v>
      </c>
      <c r="G6504" s="78">
        <f>MAX(H6504,I6504,J6504)</f>
        <v>1</v>
      </c>
      <c r="H6504" s="88"/>
      <c r="I6504" s="88"/>
      <c r="J6504" s="78">
        <f>MAX(K6504:Q6504)</f>
        <v>1</v>
      </c>
      <c r="K6504" s="88">
        <v>1</v>
      </c>
      <c r="L6504" s="88"/>
      <c r="M6504" s="88"/>
      <c r="N6504" s="88"/>
      <c r="O6504" s="88"/>
      <c r="P6504" s="88"/>
      <c r="Q6504" s="88"/>
      <c r="R6504" s="78">
        <f>MAX(S6504:W6504)</f>
        <v>0</v>
      </c>
      <c r="S6504" s="88"/>
      <c r="T6504" s="88"/>
      <c r="U6504" s="88"/>
      <c r="V6504" s="88"/>
      <c r="W6504" s="88"/>
    </row>
    <row r="6505" spans="2:23" s="0" customFormat="0" ht="15">
      <c r="B6505" s="87" t="s">
        <v>1</v>
      </c>
      <c r="C6505" s="88" t="s">
        <v>5259</v>
      </c>
      <c r="D6505" s="88">
        <v>25105239</v>
      </c>
      <c r="E6505" s="88" t="s">
        <v>61</v>
      </c>
      <c r="F6505" s="88">
        <v>0</v>
      </c>
      <c r="G6505" s="78">
        <f>MAX(H6505,I6505,J6505)</f>
        <v>1</v>
      </c>
      <c r="H6505" s="88"/>
      <c r="I6505" s="88"/>
      <c r="J6505" s="78">
        <f>MAX(K6505:Q6505)</f>
        <v>1</v>
      </c>
      <c r="K6505" s="88">
        <v>1</v>
      </c>
      <c r="L6505" s="88"/>
      <c r="M6505" s="88"/>
      <c r="N6505" s="88"/>
      <c r="O6505" s="88"/>
      <c r="P6505" s="88"/>
      <c r="Q6505" s="88"/>
      <c r="R6505" s="78">
        <f>MAX(S6505:W6505)</f>
        <v>0</v>
      </c>
      <c r="S6505" s="88"/>
      <c r="T6505" s="88"/>
      <c r="U6505" s="88"/>
      <c r="V6505" s="88"/>
      <c r="W6505" s="88"/>
    </row>
    <row r="6506" spans="2:23" s="0" customFormat="0" ht="15">
      <c r="B6506" s="87" t="s">
        <v>1</v>
      </c>
      <c r="C6506" s="88" t="s">
        <v>5259</v>
      </c>
      <c r="D6506" s="88">
        <v>13122323</v>
      </c>
      <c r="E6506" s="88" t="s">
        <v>61</v>
      </c>
      <c r="F6506" s="88">
        <v>0</v>
      </c>
      <c r="G6506" s="78">
        <f>MAX(H6506,I6506,J6506)</f>
        <v>1</v>
      </c>
      <c r="H6506" s="88"/>
      <c r="I6506" s="88"/>
      <c r="J6506" s="78">
        <f>MAX(K6506:Q6506)</f>
        <v>1</v>
      </c>
      <c r="K6506" s="88">
        <v>1</v>
      </c>
      <c r="L6506" s="88"/>
      <c r="M6506" s="88"/>
      <c r="N6506" s="88"/>
      <c r="O6506" s="88"/>
      <c r="P6506" s="88"/>
      <c r="Q6506" s="88"/>
      <c r="R6506" s="78">
        <f>MAX(S6506:W6506)</f>
        <v>0</v>
      </c>
      <c r="S6506" s="88"/>
      <c r="T6506" s="88"/>
      <c r="U6506" s="88"/>
      <c r="V6506" s="88"/>
      <c r="W6506" s="88"/>
    </row>
    <row r="6507" spans="2:23" s="0" customFormat="0" ht="15">
      <c r="B6507" s="87" t="s">
        <v>1</v>
      </c>
      <c r="C6507" s="88" t="s">
        <v>5259</v>
      </c>
      <c r="D6507" s="88">
        <v>1921758</v>
      </c>
      <c r="E6507" s="88" t="s">
        <v>61</v>
      </c>
      <c r="F6507" s="88">
        <v>0</v>
      </c>
      <c r="G6507" s="78">
        <f>MAX(H6507,I6507,J6507)</f>
        <v>0</v>
      </c>
      <c r="H6507" s="88"/>
      <c r="I6507" s="88"/>
      <c r="J6507" s="78">
        <f>MAX(K6507:Q6507)</f>
        <v>0</v>
      </c>
      <c r="K6507" s="88"/>
      <c r="L6507" s="88"/>
      <c r="M6507" s="88"/>
      <c r="N6507" s="88"/>
      <c r="O6507" s="88"/>
      <c r="P6507" s="88"/>
      <c r="Q6507" s="88"/>
      <c r="R6507" s="78">
        <f>MAX(S6507:W6507)</f>
        <v>1</v>
      </c>
      <c r="S6507" s="88"/>
      <c r="T6507" s="88"/>
      <c r="U6507" s="88">
        <v>1</v>
      </c>
      <c r="V6507" s="88"/>
      <c r="W6507" s="88"/>
    </row>
    <row r="6508" spans="2:23" s="0" customFormat="0" ht="15">
      <c r="B6508" s="87" t="s">
        <v>1</v>
      </c>
      <c r="C6508" s="88" t="s">
        <v>5259</v>
      </c>
      <c r="D6508" s="88">
        <v>11998306</v>
      </c>
      <c r="E6508" s="88" t="s">
        <v>61</v>
      </c>
      <c r="F6508" s="88">
        <v>0</v>
      </c>
      <c r="G6508" s="78">
        <f>MAX(H6508,I6508,J6508)</f>
        <v>1</v>
      </c>
      <c r="H6508" s="88"/>
      <c r="I6508" s="88"/>
      <c r="J6508" s="78">
        <f>MAX(K6508:Q6508)</f>
        <v>1</v>
      </c>
      <c r="K6508" s="88">
        <v>1</v>
      </c>
      <c r="L6508" s="88"/>
      <c r="M6508" s="88"/>
      <c r="N6508" s="88"/>
      <c r="O6508" s="88"/>
      <c r="P6508" s="88"/>
      <c r="Q6508" s="88"/>
      <c r="R6508" s="78">
        <f>MAX(S6508:W6508)</f>
        <v>0</v>
      </c>
      <c r="S6508" s="88"/>
      <c r="T6508" s="88"/>
      <c r="U6508" s="88"/>
      <c r="V6508" s="88"/>
      <c r="W6508" s="88"/>
    </row>
    <row r="6509" spans="2:23" s="0" customFormat="0" ht="15">
      <c r="B6509" s="87" t="s">
        <v>1</v>
      </c>
      <c r="C6509" s="88" t="s">
        <v>5259</v>
      </c>
      <c r="D6509" s="88" t="s">
        <v>2746</v>
      </c>
      <c r="E6509" s="88" t="s">
        <v>61</v>
      </c>
      <c r="F6509" s="88">
        <v>0</v>
      </c>
      <c r="G6509" s="78">
        <f>MAX(H6509,I6509,J6509)</f>
        <v>1</v>
      </c>
      <c r="H6509" s="88"/>
      <c r="I6509" s="88"/>
      <c r="J6509" s="78">
        <f>MAX(K6509:Q6509)</f>
        <v>1</v>
      </c>
      <c r="K6509" s="88">
        <v>1</v>
      </c>
      <c r="L6509" s="88"/>
      <c r="M6509" s="88"/>
      <c r="N6509" s="88"/>
      <c r="O6509" s="88"/>
      <c r="P6509" s="88"/>
      <c r="Q6509" s="88"/>
      <c r="R6509" s="78">
        <f>MAX(S6509:W6509)</f>
        <v>0</v>
      </c>
      <c r="S6509" s="88"/>
      <c r="T6509" s="88"/>
      <c r="U6509" s="88"/>
      <c r="V6509" s="88"/>
      <c r="W6509" s="88"/>
    </row>
    <row r="6510" spans="2:23" s="0" customFormat="0" ht="15">
      <c r="B6510" s="87" t="s">
        <v>1</v>
      </c>
      <c r="C6510" s="88" t="s">
        <v>5259</v>
      </c>
      <c r="D6510" s="88" t="s">
        <v>5225</v>
      </c>
      <c r="E6510" s="88" t="s">
        <v>61</v>
      </c>
      <c r="F6510" s="88">
        <v>0</v>
      </c>
      <c r="G6510" s="78">
        <f>MAX(H6510,I6510,J6510)</f>
        <v>0</v>
      </c>
      <c r="H6510" s="88"/>
      <c r="I6510" s="88"/>
      <c r="J6510" s="78">
        <f>MAX(K6510:Q6510)</f>
        <v>0</v>
      </c>
      <c r="K6510" s="88"/>
      <c r="L6510" s="88"/>
      <c r="M6510" s="88"/>
      <c r="N6510" s="88"/>
      <c r="O6510" s="88"/>
      <c r="P6510" s="88"/>
      <c r="Q6510" s="88"/>
      <c r="R6510" s="78">
        <f>MAX(S6510:W6510)</f>
        <v>1</v>
      </c>
      <c r="S6510" s="88"/>
      <c r="T6510" s="88"/>
      <c r="U6510" s="88">
        <v>1</v>
      </c>
      <c r="V6510" s="88"/>
      <c r="W6510" s="88"/>
    </row>
    <row r="6511" spans="2:23" s="0" customFormat="0" ht="15">
      <c r="B6511" s="87" t="s">
        <v>1</v>
      </c>
      <c r="C6511" s="88" t="s">
        <v>5259</v>
      </c>
      <c r="D6511" s="88" t="s">
        <v>690</v>
      </c>
      <c r="E6511" s="88" t="s">
        <v>61</v>
      </c>
      <c r="F6511" s="88">
        <v>0</v>
      </c>
      <c r="G6511" s="78">
        <f>MAX(H6511,I6511,J6511)</f>
        <v>1</v>
      </c>
      <c r="H6511" s="88"/>
      <c r="I6511" s="88"/>
      <c r="J6511" s="78">
        <f>MAX(K6511:Q6511)</f>
        <v>1</v>
      </c>
      <c r="K6511" s="88">
        <v>1</v>
      </c>
      <c r="L6511" s="88"/>
      <c r="M6511" s="88"/>
      <c r="N6511" s="88"/>
      <c r="O6511" s="88"/>
      <c r="P6511" s="88"/>
      <c r="Q6511" s="88"/>
      <c r="R6511" s="78">
        <f>MAX(S6511:W6511)</f>
        <v>0</v>
      </c>
      <c r="S6511" s="88"/>
      <c r="T6511" s="88"/>
      <c r="U6511" s="88"/>
      <c r="V6511" s="88"/>
      <c r="W6511" s="88"/>
    </row>
    <row r="6512" spans="2:23" s="0" customFormat="0" ht="15">
      <c r="B6512" s="87" t="s">
        <v>1</v>
      </c>
      <c r="C6512" s="88" t="s">
        <v>5259</v>
      </c>
      <c r="D6512" s="88">
        <v>22623682</v>
      </c>
      <c r="E6512" s="88" t="s">
        <v>61</v>
      </c>
      <c r="F6512" s="88">
        <v>0</v>
      </c>
      <c r="G6512" s="78">
        <f>MAX(H6512,I6512,J6512)</f>
        <v>0</v>
      </c>
      <c r="H6512" s="88"/>
      <c r="I6512" s="88"/>
      <c r="J6512" s="78">
        <f>MAX(K6512:Q6512)</f>
        <v>0</v>
      </c>
      <c r="K6512" s="88"/>
      <c r="L6512" s="88"/>
      <c r="M6512" s="88"/>
      <c r="N6512" s="88"/>
      <c r="O6512" s="88"/>
      <c r="P6512" s="88"/>
      <c r="Q6512" s="88"/>
      <c r="R6512" s="78">
        <f>MAX(S6512:W6512)</f>
        <v>1</v>
      </c>
      <c r="S6512" s="88"/>
      <c r="T6512" s="88"/>
      <c r="U6512" s="88">
        <v>1</v>
      </c>
      <c r="V6512" s="88"/>
      <c r="W6512" s="88"/>
    </row>
    <row r="6513" spans="2:23" s="0" customFormat="0" ht="15">
      <c r="B6513" s="87" t="s">
        <v>1</v>
      </c>
      <c r="C6513" s="88" t="s">
        <v>5259</v>
      </c>
      <c r="D6513" s="88">
        <v>22554434</v>
      </c>
      <c r="E6513" s="88" t="s">
        <v>61</v>
      </c>
      <c r="F6513" s="88">
        <v>0</v>
      </c>
      <c r="G6513" s="78">
        <f>MAX(H6513,I6513,J6513)</f>
        <v>0</v>
      </c>
      <c r="H6513" s="88"/>
      <c r="I6513" s="88"/>
      <c r="J6513" s="78">
        <f>MAX(K6513:Q6513)</f>
        <v>0</v>
      </c>
      <c r="K6513" s="88"/>
      <c r="L6513" s="88"/>
      <c r="M6513" s="88"/>
      <c r="N6513" s="88"/>
      <c r="O6513" s="88"/>
      <c r="P6513" s="88"/>
      <c r="Q6513" s="88"/>
      <c r="R6513" s="78">
        <f>MAX(S6513:W6513)</f>
        <v>1</v>
      </c>
      <c r="S6513" s="88"/>
      <c r="T6513" s="88"/>
      <c r="U6513" s="88">
        <v>1</v>
      </c>
      <c r="V6513" s="88"/>
      <c r="W6513" s="88"/>
    </row>
    <row r="6514" spans="2:23" s="0" customFormat="0" ht="15">
      <c r="B6514" s="87" t="s">
        <v>1</v>
      </c>
      <c r="C6514" s="88" t="s">
        <v>5259</v>
      </c>
      <c r="D6514" s="88">
        <v>21107453</v>
      </c>
      <c r="E6514" s="88" t="s">
        <v>61</v>
      </c>
      <c r="F6514" s="88">
        <v>0</v>
      </c>
      <c r="G6514" s="78">
        <f>MAX(H6514,I6514,J6514)</f>
        <v>1</v>
      </c>
      <c r="H6514" s="88"/>
      <c r="I6514" s="88"/>
      <c r="J6514" s="78">
        <f>MAX(K6514:Q6514)</f>
        <v>1</v>
      </c>
      <c r="K6514" s="88">
        <v>1</v>
      </c>
      <c r="L6514" s="88"/>
      <c r="M6514" s="88"/>
      <c r="N6514" s="88"/>
      <c r="O6514" s="88"/>
      <c r="P6514" s="88"/>
      <c r="Q6514" s="88"/>
      <c r="R6514" s="78">
        <f>MAX(S6514:W6514)</f>
        <v>0</v>
      </c>
      <c r="S6514" s="88"/>
      <c r="T6514" s="88"/>
      <c r="U6514" s="88"/>
      <c r="V6514" s="88"/>
      <c r="W6514" s="88"/>
    </row>
    <row r="6515" spans="2:23" s="0" customFormat="0" ht="15">
      <c r="B6515" s="87" t="s">
        <v>1</v>
      </c>
      <c r="C6515" s="88" t="s">
        <v>5259</v>
      </c>
      <c r="D6515" s="88" t="s">
        <v>1061</v>
      </c>
      <c r="E6515" s="88" t="s">
        <v>61</v>
      </c>
      <c r="F6515" s="88">
        <v>0</v>
      </c>
      <c r="G6515" s="78">
        <f>MAX(H6515,I6515,J6515)</f>
        <v>1</v>
      </c>
      <c r="H6515" s="88"/>
      <c r="I6515" s="88"/>
      <c r="J6515" s="78">
        <f>MAX(K6515:Q6515)</f>
        <v>1</v>
      </c>
      <c r="K6515" s="88">
        <v>1</v>
      </c>
      <c r="L6515" s="88"/>
      <c r="M6515" s="88"/>
      <c r="N6515" s="88"/>
      <c r="O6515" s="88"/>
      <c r="P6515" s="88"/>
      <c r="Q6515" s="88"/>
      <c r="R6515" s="78">
        <f>MAX(S6515:W6515)</f>
        <v>0</v>
      </c>
      <c r="S6515" s="88"/>
      <c r="T6515" s="88"/>
      <c r="U6515" s="88"/>
      <c r="V6515" s="88"/>
      <c r="W6515" s="88"/>
    </row>
    <row r="6516" spans="2:23" s="0" customFormat="0" ht="15">
      <c r="B6516" s="87" t="s">
        <v>1</v>
      </c>
      <c r="C6516" s="88" t="s">
        <v>5259</v>
      </c>
      <c r="D6516" s="88">
        <v>7065951</v>
      </c>
      <c r="E6516" s="88" t="s">
        <v>61</v>
      </c>
      <c r="F6516" s="88">
        <v>0</v>
      </c>
      <c r="G6516" s="78">
        <f>MAX(H6516,I6516,J6516)</f>
        <v>0</v>
      </c>
      <c r="H6516" s="88"/>
      <c r="I6516" s="88"/>
      <c r="J6516" s="78">
        <f>MAX(K6516:Q6516)</f>
        <v>0</v>
      </c>
      <c r="K6516" s="88"/>
      <c r="L6516" s="88"/>
      <c r="M6516" s="88"/>
      <c r="N6516" s="88"/>
      <c r="O6516" s="88"/>
      <c r="P6516" s="88"/>
      <c r="Q6516" s="88"/>
      <c r="R6516" s="78">
        <f>MAX(S6516:W6516)</f>
        <v>1</v>
      </c>
      <c r="S6516" s="88"/>
      <c r="T6516" s="88"/>
      <c r="U6516" s="88">
        <v>1</v>
      </c>
      <c r="V6516" s="88"/>
      <c r="W6516" s="88"/>
    </row>
    <row r="6517" spans="2:23" s="0" customFormat="0" ht="15">
      <c r="B6517" s="87" t="s">
        <v>1</v>
      </c>
      <c r="C6517" s="88" t="s">
        <v>5259</v>
      </c>
      <c r="D6517" s="88" t="s">
        <v>5175</v>
      </c>
      <c r="E6517" s="88" t="s">
        <v>61</v>
      </c>
      <c r="F6517" s="88">
        <v>0</v>
      </c>
      <c r="G6517" s="78">
        <f>MAX(H6517,I6517,J6517)</f>
        <v>0</v>
      </c>
      <c r="H6517" s="88"/>
      <c r="I6517" s="88"/>
      <c r="J6517" s="78">
        <f>MAX(K6517:Q6517)</f>
        <v>0</v>
      </c>
      <c r="K6517" s="88"/>
      <c r="L6517" s="88"/>
      <c r="M6517" s="88"/>
      <c r="N6517" s="88"/>
      <c r="O6517" s="88"/>
      <c r="P6517" s="88"/>
      <c r="Q6517" s="88"/>
      <c r="R6517" s="78">
        <f>MAX(S6517:W6517)</f>
        <v>1</v>
      </c>
      <c r="S6517" s="88"/>
      <c r="T6517" s="88"/>
      <c r="U6517" s="88">
        <v>1</v>
      </c>
      <c r="V6517" s="88"/>
      <c r="W6517" s="88"/>
    </row>
    <row r="6518" spans="2:23" s="0" customFormat="0" ht="15">
      <c r="B6518" s="87" t="s">
        <v>1</v>
      </c>
      <c r="C6518" s="88" t="s">
        <v>5259</v>
      </c>
      <c r="D6518" s="88">
        <v>11357846</v>
      </c>
      <c r="E6518" s="88" t="s">
        <v>61</v>
      </c>
      <c r="F6518" s="88">
        <v>0</v>
      </c>
      <c r="G6518" s="78">
        <f>MAX(H6518,I6518,J6518)</f>
        <v>1</v>
      </c>
      <c r="H6518" s="88"/>
      <c r="I6518" s="88"/>
      <c r="J6518" s="78">
        <f>MAX(K6518:Q6518)</f>
        <v>1</v>
      </c>
      <c r="K6518" s="88">
        <v>1</v>
      </c>
      <c r="L6518" s="88"/>
      <c r="M6518" s="88"/>
      <c r="N6518" s="88"/>
      <c r="O6518" s="88"/>
      <c r="P6518" s="88"/>
      <c r="Q6518" s="88"/>
      <c r="R6518" s="78">
        <f>MAX(S6518:W6518)</f>
        <v>0</v>
      </c>
      <c r="S6518" s="88"/>
      <c r="T6518" s="88"/>
      <c r="U6518" s="88"/>
      <c r="V6518" s="88"/>
      <c r="W6518" s="88"/>
    </row>
    <row r="6519" spans="2:23" s="0" customFormat="0" ht="15">
      <c r="B6519" s="87" t="s">
        <v>1</v>
      </c>
      <c r="C6519" s="88" t="s">
        <v>5259</v>
      </c>
      <c r="D6519" s="88" t="s">
        <v>4895</v>
      </c>
      <c r="E6519" s="88" t="s">
        <v>61</v>
      </c>
      <c r="F6519" s="88">
        <v>0</v>
      </c>
      <c r="G6519" s="78">
        <f>MAX(H6519,I6519,J6519)</f>
        <v>0</v>
      </c>
      <c r="H6519" s="88"/>
      <c r="I6519" s="88"/>
      <c r="J6519" s="78">
        <f>MAX(K6519:Q6519)</f>
        <v>0</v>
      </c>
      <c r="K6519" s="88"/>
      <c r="L6519" s="88"/>
      <c r="M6519" s="88"/>
      <c r="N6519" s="88"/>
      <c r="O6519" s="88"/>
      <c r="P6519" s="88"/>
      <c r="Q6519" s="88"/>
      <c r="R6519" s="78">
        <f>MAX(S6519:W6519)</f>
        <v>1</v>
      </c>
      <c r="S6519" s="88"/>
      <c r="T6519" s="88"/>
      <c r="U6519" s="88">
        <v>1</v>
      </c>
      <c r="V6519" s="88"/>
      <c r="W6519" s="88"/>
    </row>
    <row r="6520" spans="2:23" s="0" customFormat="0" ht="15">
      <c r="B6520" s="87" t="s">
        <v>1</v>
      </c>
      <c r="C6520" s="88" t="s">
        <v>5259</v>
      </c>
      <c r="D6520" s="88" t="s">
        <v>4173</v>
      </c>
      <c r="E6520" s="88" t="s">
        <v>61</v>
      </c>
      <c r="F6520" s="88">
        <v>0</v>
      </c>
      <c r="G6520" s="78">
        <f>MAX(H6520,I6520,J6520)</f>
        <v>0</v>
      </c>
      <c r="H6520" s="88"/>
      <c r="I6520" s="88"/>
      <c r="J6520" s="78">
        <f>MAX(K6520:Q6520)</f>
        <v>0</v>
      </c>
      <c r="K6520" s="88"/>
      <c r="L6520" s="88"/>
      <c r="M6520" s="88"/>
      <c r="N6520" s="88"/>
      <c r="O6520" s="88"/>
      <c r="P6520" s="88"/>
      <c r="Q6520" s="88"/>
      <c r="R6520" s="78">
        <f>MAX(S6520:W6520)</f>
        <v>1</v>
      </c>
      <c r="S6520" s="88"/>
      <c r="T6520" s="88"/>
      <c r="U6520" s="88">
        <v>1</v>
      </c>
      <c r="V6520" s="88"/>
      <c r="W6520" s="88"/>
    </row>
    <row r="6521" spans="2:23" s="0" customFormat="0" ht="15">
      <c r="B6521" s="87" t="s">
        <v>1</v>
      </c>
      <c r="C6521" s="88" t="s">
        <v>5259</v>
      </c>
      <c r="D6521" s="88">
        <v>18960228</v>
      </c>
      <c r="E6521" s="88" t="s">
        <v>61</v>
      </c>
      <c r="F6521" s="88">
        <v>0</v>
      </c>
      <c r="G6521" s="78">
        <f>MAX(H6521,I6521,J6521)</f>
        <v>1</v>
      </c>
      <c r="H6521" s="88"/>
      <c r="I6521" s="88"/>
      <c r="J6521" s="78">
        <f>MAX(K6521:Q6521)</f>
        <v>1</v>
      </c>
      <c r="K6521" s="88">
        <v>1</v>
      </c>
      <c r="L6521" s="88"/>
      <c r="M6521" s="88"/>
      <c r="N6521" s="88"/>
      <c r="O6521" s="88"/>
      <c r="P6521" s="88"/>
      <c r="Q6521" s="88"/>
      <c r="R6521" s="78">
        <f>MAX(S6521:W6521)</f>
        <v>0</v>
      </c>
      <c r="S6521" s="88"/>
      <c r="T6521" s="88"/>
      <c r="U6521" s="88"/>
      <c r="V6521" s="88"/>
      <c r="W6521" s="88"/>
    </row>
    <row r="6522" spans="2:23" s="0" customFormat="0" ht="15">
      <c r="B6522" s="87" t="s">
        <v>1</v>
      </c>
      <c r="C6522" s="88" t="s">
        <v>5259</v>
      </c>
      <c r="D6522" s="88" t="s">
        <v>5116</v>
      </c>
      <c r="E6522" s="88" t="s">
        <v>61</v>
      </c>
      <c r="F6522" s="88">
        <v>0</v>
      </c>
      <c r="G6522" s="78">
        <f>MAX(H6522,I6522,J6522)</f>
        <v>0</v>
      </c>
      <c r="H6522" s="88"/>
      <c r="I6522" s="88"/>
      <c r="J6522" s="78">
        <f>MAX(K6522:Q6522)</f>
        <v>0</v>
      </c>
      <c r="K6522" s="88"/>
      <c r="L6522" s="88"/>
      <c r="M6522" s="88"/>
      <c r="N6522" s="88"/>
      <c r="O6522" s="88"/>
      <c r="P6522" s="88"/>
      <c r="Q6522" s="88"/>
      <c r="R6522" s="78">
        <f>MAX(S6522:W6522)</f>
        <v>1</v>
      </c>
      <c r="S6522" s="88"/>
      <c r="T6522" s="88"/>
      <c r="U6522" s="88">
        <v>1</v>
      </c>
      <c r="V6522" s="88"/>
      <c r="W6522" s="88"/>
    </row>
    <row r="6523" spans="2:23" s="0" customFormat="0" ht="15">
      <c r="B6523" s="87" t="s">
        <v>1</v>
      </c>
      <c r="C6523" s="88" t="s">
        <v>5259</v>
      </c>
      <c r="D6523" s="88">
        <v>1551608</v>
      </c>
      <c r="E6523" s="88" t="s">
        <v>61</v>
      </c>
      <c r="F6523" s="88">
        <v>0</v>
      </c>
      <c r="G6523" s="78">
        <f>MAX(H6523,I6523,J6523)</f>
        <v>0</v>
      </c>
      <c r="H6523" s="88"/>
      <c r="I6523" s="88"/>
      <c r="J6523" s="78">
        <f>MAX(K6523:Q6523)</f>
        <v>0</v>
      </c>
      <c r="K6523" s="88"/>
      <c r="L6523" s="88"/>
      <c r="M6523" s="88"/>
      <c r="N6523" s="88"/>
      <c r="O6523" s="88"/>
      <c r="P6523" s="88"/>
      <c r="Q6523" s="88"/>
      <c r="R6523" s="78">
        <f>MAX(S6523:W6523)</f>
        <v>1</v>
      </c>
      <c r="S6523" s="88"/>
      <c r="T6523" s="88"/>
      <c r="U6523" s="88">
        <v>1</v>
      </c>
      <c r="V6523" s="88"/>
      <c r="W6523" s="88"/>
    </row>
    <row r="6524" spans="2:23" s="0" customFormat="0" ht="15">
      <c r="B6524" s="87" t="s">
        <v>1</v>
      </c>
      <c r="C6524" s="88" t="s">
        <v>5259</v>
      </c>
      <c r="D6524" s="88">
        <v>16974055</v>
      </c>
      <c r="E6524" s="88" t="s">
        <v>61</v>
      </c>
      <c r="F6524" s="88">
        <v>0</v>
      </c>
      <c r="G6524" s="78">
        <f>MAX(H6524,I6524,J6524)</f>
        <v>0</v>
      </c>
      <c r="H6524" s="88"/>
      <c r="I6524" s="88"/>
      <c r="J6524" s="78">
        <f>MAX(K6524:Q6524)</f>
        <v>0</v>
      </c>
      <c r="K6524" s="88"/>
      <c r="L6524" s="88"/>
      <c r="M6524" s="88"/>
      <c r="N6524" s="88"/>
      <c r="O6524" s="88"/>
      <c r="P6524" s="88"/>
      <c r="Q6524" s="88"/>
      <c r="R6524" s="78">
        <f>MAX(S6524:W6524)</f>
        <v>1</v>
      </c>
      <c r="S6524" s="88"/>
      <c r="T6524" s="88"/>
      <c r="U6524" s="88">
        <v>1</v>
      </c>
      <c r="V6524" s="88"/>
      <c r="W6524" s="88"/>
    </row>
    <row r="6525" spans="2:23" s="0" customFormat="0" ht="15">
      <c r="B6525" s="87" t="s">
        <v>1</v>
      </c>
      <c r="C6525" s="88" t="s">
        <v>5259</v>
      </c>
      <c r="D6525" s="88">
        <v>20774628</v>
      </c>
      <c r="E6525" s="88" t="s">
        <v>61</v>
      </c>
      <c r="F6525" s="88">
        <v>0</v>
      </c>
      <c r="G6525" s="78">
        <f>MAX(H6525,I6525,J6525)</f>
        <v>1</v>
      </c>
      <c r="H6525" s="88"/>
      <c r="I6525" s="88"/>
      <c r="J6525" s="78">
        <f>MAX(K6525:Q6525)</f>
        <v>1</v>
      </c>
      <c r="K6525" s="88">
        <v>1</v>
      </c>
      <c r="L6525" s="88"/>
      <c r="M6525" s="88"/>
      <c r="N6525" s="88"/>
      <c r="O6525" s="88"/>
      <c r="P6525" s="88"/>
      <c r="Q6525" s="88"/>
      <c r="R6525" s="78">
        <f>MAX(S6525:W6525)</f>
        <v>0</v>
      </c>
      <c r="S6525" s="88"/>
      <c r="T6525" s="88"/>
      <c r="U6525" s="88"/>
      <c r="V6525" s="88"/>
      <c r="W6525" s="88"/>
    </row>
    <row r="6526" spans="2:23" s="0" customFormat="0" ht="15">
      <c r="B6526" s="87" t="s">
        <v>1</v>
      </c>
      <c r="C6526" s="88" t="s">
        <v>5259</v>
      </c>
      <c r="D6526" s="88">
        <v>6590851</v>
      </c>
      <c r="E6526" s="88" t="s">
        <v>61</v>
      </c>
      <c r="F6526" s="88">
        <v>0</v>
      </c>
      <c r="G6526" s="78">
        <f>MAX(H6526,I6526,J6526)</f>
        <v>1</v>
      </c>
      <c r="H6526" s="88"/>
      <c r="I6526" s="88"/>
      <c r="J6526" s="78">
        <f>MAX(K6526:Q6526)</f>
        <v>1</v>
      </c>
      <c r="K6526" s="88">
        <v>1</v>
      </c>
      <c r="L6526" s="88"/>
      <c r="M6526" s="88"/>
      <c r="N6526" s="88"/>
      <c r="O6526" s="88"/>
      <c r="P6526" s="88"/>
      <c r="Q6526" s="88"/>
      <c r="R6526" s="78">
        <f>MAX(S6526:W6526)</f>
        <v>0</v>
      </c>
      <c r="S6526" s="88"/>
      <c r="T6526" s="88"/>
      <c r="U6526" s="88"/>
      <c r="V6526" s="88"/>
      <c r="W6526" s="88"/>
    </row>
    <row r="6527" spans="2:23" s="0" customFormat="0" ht="15">
      <c r="B6527" s="87" t="s">
        <v>1</v>
      </c>
      <c r="C6527" s="88" t="s">
        <v>5259</v>
      </c>
      <c r="D6527" s="88" t="s">
        <v>2246</v>
      </c>
      <c r="E6527" s="88" t="s">
        <v>61</v>
      </c>
      <c r="F6527" s="88">
        <v>0</v>
      </c>
      <c r="G6527" s="78">
        <f>MAX(H6527,I6527,J6527)</f>
        <v>1</v>
      </c>
      <c r="H6527" s="88"/>
      <c r="I6527" s="88"/>
      <c r="J6527" s="78">
        <f>MAX(K6527:Q6527)</f>
        <v>1</v>
      </c>
      <c r="K6527" s="88">
        <v>1</v>
      </c>
      <c r="L6527" s="88"/>
      <c r="M6527" s="88"/>
      <c r="N6527" s="88"/>
      <c r="O6527" s="88"/>
      <c r="P6527" s="88"/>
      <c r="Q6527" s="88"/>
      <c r="R6527" s="78">
        <f>MAX(S6527:W6527)</f>
        <v>0</v>
      </c>
      <c r="S6527" s="88"/>
      <c r="T6527" s="88"/>
      <c r="U6527" s="88"/>
      <c r="V6527" s="88"/>
      <c r="W6527" s="88"/>
    </row>
    <row r="6528" spans="2:23" s="0" customFormat="0" ht="15">
      <c r="B6528" s="87" t="s">
        <v>1</v>
      </c>
      <c r="C6528" s="88" t="s">
        <v>5259</v>
      </c>
      <c r="D6528" s="88">
        <v>21026165</v>
      </c>
      <c r="E6528" s="88" t="s">
        <v>61</v>
      </c>
      <c r="F6528" s="88">
        <v>0</v>
      </c>
      <c r="G6528" s="78">
        <f>MAX(H6528,I6528,J6528)</f>
        <v>1</v>
      </c>
      <c r="H6528" s="88"/>
      <c r="I6528" s="88"/>
      <c r="J6528" s="78">
        <f>MAX(K6528:Q6528)</f>
        <v>1</v>
      </c>
      <c r="K6528" s="88">
        <v>1</v>
      </c>
      <c r="L6528" s="88"/>
      <c r="M6528" s="88"/>
      <c r="N6528" s="88"/>
      <c r="O6528" s="88"/>
      <c r="P6528" s="88"/>
      <c r="Q6528" s="88"/>
      <c r="R6528" s="78">
        <f>MAX(S6528:W6528)</f>
        <v>0</v>
      </c>
      <c r="S6528" s="88"/>
      <c r="T6528" s="88"/>
      <c r="U6528" s="88"/>
      <c r="V6528" s="88"/>
      <c r="W6528" s="88"/>
    </row>
    <row r="6529" spans="2:23" s="0" customFormat="0" ht="15">
      <c r="B6529" s="87" t="s">
        <v>1</v>
      </c>
      <c r="C6529" s="88" t="s">
        <v>5259</v>
      </c>
      <c r="D6529" s="88">
        <v>13240037</v>
      </c>
      <c r="E6529" s="88" t="s">
        <v>61</v>
      </c>
      <c r="F6529" s="88">
        <v>0</v>
      </c>
      <c r="G6529" s="78">
        <f>MAX(H6529,I6529,J6529)</f>
        <v>1</v>
      </c>
      <c r="H6529" s="88"/>
      <c r="I6529" s="88"/>
      <c r="J6529" s="78">
        <f>MAX(K6529:Q6529)</f>
        <v>1</v>
      </c>
      <c r="K6529" s="88">
        <v>1</v>
      </c>
      <c r="L6529" s="88"/>
      <c r="M6529" s="88"/>
      <c r="N6529" s="88"/>
      <c r="O6529" s="88"/>
      <c r="P6529" s="88"/>
      <c r="Q6529" s="88"/>
      <c r="R6529" s="78">
        <f>MAX(S6529:W6529)</f>
        <v>0</v>
      </c>
      <c r="S6529" s="88"/>
      <c r="T6529" s="88"/>
      <c r="U6529" s="88"/>
      <c r="V6529" s="88"/>
      <c r="W6529" s="88"/>
    </row>
    <row r="6530" spans="2:23" s="0" customFormat="0" ht="15">
      <c r="B6530" s="87" t="s">
        <v>1</v>
      </c>
      <c r="C6530" s="88" t="s">
        <v>5259</v>
      </c>
      <c r="D6530" s="88">
        <v>19494656</v>
      </c>
      <c r="E6530" s="88" t="s">
        <v>61</v>
      </c>
      <c r="F6530" s="88">
        <v>0</v>
      </c>
      <c r="G6530" s="78">
        <f>MAX(H6530,I6530,J6530)</f>
        <v>1</v>
      </c>
      <c r="H6530" s="88"/>
      <c r="I6530" s="88"/>
      <c r="J6530" s="78">
        <f>MAX(K6530:Q6530)</f>
        <v>1</v>
      </c>
      <c r="K6530" s="88">
        <v>1</v>
      </c>
      <c r="L6530" s="88"/>
      <c r="M6530" s="88"/>
      <c r="N6530" s="88"/>
      <c r="O6530" s="88"/>
      <c r="P6530" s="88"/>
      <c r="Q6530" s="88"/>
      <c r="R6530" s="78">
        <f>MAX(S6530:W6530)</f>
        <v>0</v>
      </c>
      <c r="S6530" s="88"/>
      <c r="T6530" s="88"/>
      <c r="U6530" s="88"/>
      <c r="V6530" s="88"/>
      <c r="W6530" s="88"/>
    </row>
    <row r="6531" spans="2:23" s="0" customFormat="0" ht="15">
      <c r="B6531" s="87" t="s">
        <v>1</v>
      </c>
      <c r="C6531" s="88" t="s">
        <v>5259</v>
      </c>
      <c r="D6531" s="88">
        <v>10572226</v>
      </c>
      <c r="E6531" s="88" t="s">
        <v>61</v>
      </c>
      <c r="F6531" s="88">
        <v>0</v>
      </c>
      <c r="G6531" s="78">
        <f>MAX(H6531,I6531,J6531)</f>
        <v>1</v>
      </c>
      <c r="H6531" s="88"/>
      <c r="I6531" s="88"/>
      <c r="J6531" s="78">
        <f>MAX(K6531:Q6531)</f>
        <v>1</v>
      </c>
      <c r="K6531" s="88">
        <v>1</v>
      </c>
      <c r="L6531" s="88"/>
      <c r="M6531" s="88"/>
      <c r="N6531" s="88"/>
      <c r="O6531" s="88"/>
      <c r="P6531" s="88"/>
      <c r="Q6531" s="88"/>
      <c r="R6531" s="78">
        <f>MAX(S6531:W6531)</f>
        <v>0</v>
      </c>
      <c r="S6531" s="88"/>
      <c r="T6531" s="88"/>
      <c r="U6531" s="88"/>
      <c r="V6531" s="88"/>
      <c r="W6531" s="88"/>
    </row>
    <row r="6532" spans="2:23" s="0" customFormat="0" ht="15">
      <c r="B6532" s="87" t="s">
        <v>1</v>
      </c>
      <c r="C6532" s="88" t="s">
        <v>5259</v>
      </c>
      <c r="D6532" s="88" t="s">
        <v>3609</v>
      </c>
      <c r="E6532" s="88" t="s">
        <v>61</v>
      </c>
      <c r="F6532" s="88">
        <v>0</v>
      </c>
      <c r="G6532" s="78">
        <f>MAX(H6532,I6532,J6532)</f>
        <v>0</v>
      </c>
      <c r="H6532" s="88"/>
      <c r="I6532" s="88"/>
      <c r="J6532" s="78">
        <f>MAX(K6532:Q6532)</f>
        <v>0</v>
      </c>
      <c r="K6532" s="88"/>
      <c r="L6532" s="88"/>
      <c r="M6532" s="88"/>
      <c r="N6532" s="88"/>
      <c r="O6532" s="88"/>
      <c r="P6532" s="88"/>
      <c r="Q6532" s="88"/>
      <c r="R6532" s="78">
        <f>MAX(S6532:W6532)</f>
        <v>1</v>
      </c>
      <c r="S6532" s="88"/>
      <c r="T6532" s="88"/>
      <c r="U6532" s="88">
        <v>1</v>
      </c>
      <c r="V6532" s="88"/>
      <c r="W6532" s="88"/>
    </row>
    <row r="6533" spans="2:23" s="0" customFormat="0" ht="15">
      <c r="B6533" s="87" t="s">
        <v>1</v>
      </c>
      <c r="C6533" s="88" t="s">
        <v>5259</v>
      </c>
      <c r="D6533" s="88" t="s">
        <v>2560</v>
      </c>
      <c r="E6533" s="88" t="s">
        <v>61</v>
      </c>
      <c r="F6533" s="88">
        <v>0</v>
      </c>
      <c r="G6533" s="78">
        <f>MAX(H6533,I6533,J6533)</f>
        <v>1</v>
      </c>
      <c r="H6533" s="88"/>
      <c r="I6533" s="88"/>
      <c r="J6533" s="78">
        <f>MAX(K6533:Q6533)</f>
        <v>1</v>
      </c>
      <c r="K6533" s="88">
        <v>1</v>
      </c>
      <c r="L6533" s="88"/>
      <c r="M6533" s="88"/>
      <c r="N6533" s="88"/>
      <c r="O6533" s="88"/>
      <c r="P6533" s="88"/>
      <c r="Q6533" s="88"/>
      <c r="R6533" s="78">
        <f>MAX(S6533:W6533)</f>
        <v>0</v>
      </c>
      <c r="S6533" s="88"/>
      <c r="T6533" s="88"/>
      <c r="U6533" s="88"/>
      <c r="V6533" s="88"/>
      <c r="W6533" s="88"/>
    </row>
    <row r="6534" spans="2:23" s="0" customFormat="0" ht="15">
      <c r="B6534" s="87" t="s">
        <v>1</v>
      </c>
      <c r="C6534" s="88" t="s">
        <v>5259</v>
      </c>
      <c r="D6534" s="88" t="s">
        <v>4546</v>
      </c>
      <c r="E6534" s="88" t="s">
        <v>61</v>
      </c>
      <c r="F6534" s="88">
        <v>0</v>
      </c>
      <c r="G6534" s="78">
        <f>MAX(H6534,I6534,J6534)</f>
        <v>0</v>
      </c>
      <c r="H6534" s="88"/>
      <c r="I6534" s="88"/>
      <c r="J6534" s="78">
        <f>MAX(K6534:Q6534)</f>
        <v>0</v>
      </c>
      <c r="K6534" s="88"/>
      <c r="L6534" s="88"/>
      <c r="M6534" s="88"/>
      <c r="N6534" s="88"/>
      <c r="O6534" s="88"/>
      <c r="P6534" s="88"/>
      <c r="Q6534" s="88"/>
      <c r="R6534" s="78">
        <f>MAX(S6534:W6534)</f>
        <v>1</v>
      </c>
      <c r="S6534" s="88"/>
      <c r="T6534" s="88"/>
      <c r="U6534" s="88">
        <v>1</v>
      </c>
      <c r="V6534" s="88"/>
      <c r="W6534" s="88"/>
    </row>
    <row r="6535" spans="2:23" s="0" customFormat="0" ht="15">
      <c r="B6535" s="87" t="s">
        <v>1</v>
      </c>
      <c r="C6535" s="88" t="s">
        <v>5259</v>
      </c>
      <c r="D6535" s="88" t="s">
        <v>1979</v>
      </c>
      <c r="E6535" s="88" t="s">
        <v>61</v>
      </c>
      <c r="F6535" s="88">
        <v>0</v>
      </c>
      <c r="G6535" s="78">
        <f>MAX(H6535,I6535,J6535)</f>
        <v>1</v>
      </c>
      <c r="H6535" s="88"/>
      <c r="I6535" s="88"/>
      <c r="J6535" s="78">
        <f>MAX(K6535:Q6535)</f>
        <v>1</v>
      </c>
      <c r="K6535" s="88">
        <v>1</v>
      </c>
      <c r="L6535" s="88"/>
      <c r="M6535" s="88"/>
      <c r="N6535" s="88"/>
      <c r="O6535" s="88"/>
      <c r="P6535" s="88"/>
      <c r="Q6535" s="88"/>
      <c r="R6535" s="78">
        <f>MAX(S6535:W6535)</f>
        <v>0</v>
      </c>
      <c r="S6535" s="88"/>
      <c r="T6535" s="88"/>
      <c r="U6535" s="88"/>
      <c r="V6535" s="88"/>
      <c r="W6535" s="88"/>
    </row>
    <row r="6536" spans="2:23" s="0" customFormat="0" ht="15">
      <c r="B6536" s="87" t="s">
        <v>1</v>
      </c>
      <c r="C6536" s="88" t="s">
        <v>5259</v>
      </c>
      <c r="D6536" s="88" t="s">
        <v>4383</v>
      </c>
      <c r="E6536" s="88" t="s">
        <v>61</v>
      </c>
      <c r="F6536" s="88">
        <v>0</v>
      </c>
      <c r="G6536" s="78">
        <f>MAX(H6536,I6536,J6536)</f>
        <v>0</v>
      </c>
      <c r="H6536" s="88"/>
      <c r="I6536" s="88"/>
      <c r="J6536" s="78">
        <f>MAX(K6536:Q6536)</f>
        <v>0</v>
      </c>
      <c r="K6536" s="88"/>
      <c r="L6536" s="88"/>
      <c r="M6536" s="88"/>
      <c r="N6536" s="88"/>
      <c r="O6536" s="88"/>
      <c r="P6536" s="88"/>
      <c r="Q6536" s="88"/>
      <c r="R6536" s="78">
        <f>MAX(S6536:W6536)</f>
        <v>1</v>
      </c>
      <c r="S6536" s="88"/>
      <c r="T6536" s="88"/>
      <c r="U6536" s="88">
        <v>1</v>
      </c>
      <c r="V6536" s="88"/>
      <c r="W6536" s="88"/>
    </row>
    <row r="6537" spans="2:23" s="0" customFormat="0" ht="15">
      <c r="B6537" s="87" t="s">
        <v>1</v>
      </c>
      <c r="C6537" s="88" t="s">
        <v>5259</v>
      </c>
      <c r="D6537" s="88">
        <v>14845766</v>
      </c>
      <c r="E6537" s="88" t="s">
        <v>61</v>
      </c>
      <c r="F6537" s="88">
        <v>0</v>
      </c>
      <c r="G6537" s="78">
        <f>MAX(H6537,I6537,J6537)</f>
        <v>1</v>
      </c>
      <c r="H6537" s="88"/>
      <c r="I6537" s="88"/>
      <c r="J6537" s="78">
        <f>MAX(K6537:Q6537)</f>
        <v>1</v>
      </c>
      <c r="K6537" s="88">
        <v>1</v>
      </c>
      <c r="L6537" s="88"/>
      <c r="M6537" s="88"/>
      <c r="N6537" s="88"/>
      <c r="O6537" s="88"/>
      <c r="P6537" s="88"/>
      <c r="Q6537" s="88"/>
      <c r="R6537" s="78">
        <f>MAX(S6537:W6537)</f>
        <v>0</v>
      </c>
      <c r="S6537" s="88"/>
      <c r="T6537" s="88"/>
      <c r="U6537" s="88"/>
      <c r="V6537" s="88"/>
      <c r="W6537" s="88"/>
    </row>
    <row r="6538" spans="2:23" s="0" customFormat="0" ht="15">
      <c r="B6538" s="87" t="s">
        <v>1</v>
      </c>
      <c r="C6538" s="88" t="s">
        <v>5259</v>
      </c>
      <c r="D6538" s="88" t="s">
        <v>4805</v>
      </c>
      <c r="E6538" s="88" t="s">
        <v>61</v>
      </c>
      <c r="F6538" s="88">
        <v>0</v>
      </c>
      <c r="G6538" s="78">
        <f>MAX(H6538,I6538,J6538)</f>
        <v>0</v>
      </c>
      <c r="H6538" s="88"/>
      <c r="I6538" s="88"/>
      <c r="J6538" s="78">
        <f>MAX(K6538:Q6538)</f>
        <v>0</v>
      </c>
      <c r="K6538" s="88"/>
      <c r="L6538" s="88"/>
      <c r="M6538" s="88"/>
      <c r="N6538" s="88"/>
      <c r="O6538" s="88"/>
      <c r="P6538" s="88"/>
      <c r="Q6538" s="88"/>
      <c r="R6538" s="78">
        <f>MAX(S6538:W6538)</f>
        <v>1</v>
      </c>
      <c r="S6538" s="88"/>
      <c r="T6538" s="88"/>
      <c r="U6538" s="88">
        <v>1</v>
      </c>
      <c r="V6538" s="88"/>
      <c r="W6538" s="88"/>
    </row>
    <row r="6539" spans="2:23" s="0" customFormat="0" ht="15">
      <c r="B6539" s="87" t="s">
        <v>1</v>
      </c>
      <c r="C6539" s="88" t="s">
        <v>5259</v>
      </c>
      <c r="D6539" s="88">
        <v>1551421</v>
      </c>
      <c r="E6539" s="88" t="s">
        <v>61</v>
      </c>
      <c r="F6539" s="88">
        <v>0</v>
      </c>
      <c r="G6539" s="78">
        <f>MAX(H6539,I6539,J6539)</f>
        <v>0</v>
      </c>
      <c r="H6539" s="88"/>
      <c r="I6539" s="88"/>
      <c r="J6539" s="78">
        <f>MAX(K6539:Q6539)</f>
        <v>0</v>
      </c>
      <c r="K6539" s="88"/>
      <c r="L6539" s="88"/>
      <c r="M6539" s="88"/>
      <c r="N6539" s="88"/>
      <c r="O6539" s="88"/>
      <c r="P6539" s="88"/>
      <c r="Q6539" s="88"/>
      <c r="R6539" s="78">
        <f>MAX(S6539:W6539)</f>
        <v>1</v>
      </c>
      <c r="S6539" s="88"/>
      <c r="T6539" s="88"/>
      <c r="U6539" s="88">
        <v>1</v>
      </c>
      <c r="V6539" s="88"/>
      <c r="W6539" s="88"/>
    </row>
    <row r="6540" spans="2:23" s="0" customFormat="0" ht="15">
      <c r="B6540" s="87" t="s">
        <v>1</v>
      </c>
      <c r="C6540" s="88" t="s">
        <v>5259</v>
      </c>
      <c r="D6540" s="88">
        <v>12827546</v>
      </c>
      <c r="E6540" s="88" t="s">
        <v>61</v>
      </c>
      <c r="F6540" s="88">
        <v>0</v>
      </c>
      <c r="G6540" s="78">
        <f>MAX(H6540,I6540,J6540)</f>
        <v>1</v>
      </c>
      <c r="H6540" s="88"/>
      <c r="I6540" s="88"/>
      <c r="J6540" s="78">
        <f>MAX(K6540:Q6540)</f>
        <v>1</v>
      </c>
      <c r="K6540" s="88">
        <v>1</v>
      </c>
      <c r="L6540" s="88"/>
      <c r="M6540" s="88"/>
      <c r="N6540" s="88"/>
      <c r="O6540" s="88"/>
      <c r="P6540" s="88"/>
      <c r="Q6540" s="88"/>
      <c r="R6540" s="78">
        <f>MAX(S6540:W6540)</f>
        <v>0</v>
      </c>
      <c r="S6540" s="88"/>
      <c r="T6540" s="88"/>
      <c r="U6540" s="88"/>
      <c r="V6540" s="88"/>
      <c r="W6540" s="88"/>
    </row>
    <row r="6541" spans="2:23" s="0" customFormat="0" ht="15">
      <c r="B6541" s="87" t="s">
        <v>1</v>
      </c>
      <c r="C6541" s="88" t="s">
        <v>5259</v>
      </c>
      <c r="D6541" s="88">
        <v>7811728</v>
      </c>
      <c r="E6541" s="88" t="s">
        <v>61</v>
      </c>
      <c r="F6541" s="88">
        <v>0</v>
      </c>
      <c r="G6541" s="78">
        <f>MAX(H6541,I6541,J6541)</f>
        <v>1</v>
      </c>
      <c r="H6541" s="88"/>
      <c r="I6541" s="88"/>
      <c r="J6541" s="78">
        <f>MAX(K6541:Q6541)</f>
        <v>1</v>
      </c>
      <c r="K6541" s="88">
        <v>1</v>
      </c>
      <c r="L6541" s="88"/>
      <c r="M6541" s="88"/>
      <c r="N6541" s="88"/>
      <c r="O6541" s="88"/>
      <c r="P6541" s="88"/>
      <c r="Q6541" s="88"/>
      <c r="R6541" s="78">
        <f>MAX(S6541:W6541)</f>
        <v>0</v>
      </c>
      <c r="S6541" s="88"/>
      <c r="T6541" s="88"/>
      <c r="U6541" s="88"/>
      <c r="V6541" s="88"/>
      <c r="W6541" s="88"/>
    </row>
    <row r="6542" spans="2:23" s="0" customFormat="0" ht="15">
      <c r="B6542" s="87" t="s">
        <v>1</v>
      </c>
      <c r="C6542" s="88" t="s">
        <v>5259</v>
      </c>
      <c r="D6542" s="88" t="s">
        <v>428</v>
      </c>
      <c r="E6542" s="88" t="s">
        <v>61</v>
      </c>
      <c r="F6542" s="88">
        <v>0</v>
      </c>
      <c r="G6542" s="78">
        <f>MAX(H6542,I6542,J6542)</f>
        <v>1</v>
      </c>
      <c r="H6542" s="88"/>
      <c r="I6542" s="88"/>
      <c r="J6542" s="78">
        <f>MAX(K6542:Q6542)</f>
        <v>1</v>
      </c>
      <c r="K6542" s="88">
        <v>1</v>
      </c>
      <c r="L6542" s="88"/>
      <c r="M6542" s="88"/>
      <c r="N6542" s="88"/>
      <c r="O6542" s="88"/>
      <c r="P6542" s="88"/>
      <c r="Q6542" s="88"/>
      <c r="R6542" s="78">
        <f>MAX(S6542:W6542)</f>
        <v>0</v>
      </c>
      <c r="S6542" s="88"/>
      <c r="T6542" s="88"/>
      <c r="U6542" s="88"/>
      <c r="V6542" s="88"/>
      <c r="W6542" s="88"/>
    </row>
    <row r="6543" spans="2:23" s="0" customFormat="0" ht="15">
      <c r="B6543" s="87" t="s">
        <v>1</v>
      </c>
      <c r="C6543" s="88" t="s">
        <v>5259</v>
      </c>
      <c r="D6543" s="88" t="s">
        <v>5228</v>
      </c>
      <c r="E6543" s="88" t="s">
        <v>61</v>
      </c>
      <c r="F6543" s="88">
        <v>0</v>
      </c>
      <c r="G6543" s="78">
        <f>MAX(H6543,I6543,J6543)</f>
        <v>0</v>
      </c>
      <c r="H6543" s="88"/>
      <c r="I6543" s="88"/>
      <c r="J6543" s="78">
        <f>MAX(K6543:Q6543)</f>
        <v>0</v>
      </c>
      <c r="K6543" s="88"/>
      <c r="L6543" s="88"/>
      <c r="M6543" s="88"/>
      <c r="N6543" s="88"/>
      <c r="O6543" s="88"/>
      <c r="P6543" s="88"/>
      <c r="Q6543" s="88"/>
      <c r="R6543" s="78">
        <f>MAX(S6543:W6543)</f>
        <v>1</v>
      </c>
      <c r="S6543" s="88"/>
      <c r="T6543" s="88"/>
      <c r="U6543" s="88">
        <v>1</v>
      </c>
      <c r="V6543" s="88"/>
      <c r="W6543" s="88"/>
    </row>
    <row r="6544" spans="2:23" s="0" customFormat="0" ht="15">
      <c r="B6544" s="87" t="s">
        <v>1</v>
      </c>
      <c r="C6544" s="88" t="s">
        <v>5259</v>
      </c>
      <c r="D6544" s="88" t="s">
        <v>2917</v>
      </c>
      <c r="E6544" s="88" t="s">
        <v>61</v>
      </c>
      <c r="F6544" s="88">
        <v>0</v>
      </c>
      <c r="G6544" s="78">
        <f>MAX(H6544,I6544,J6544)</f>
        <v>1</v>
      </c>
      <c r="H6544" s="88"/>
      <c r="I6544" s="88"/>
      <c r="J6544" s="78">
        <f>MAX(K6544:Q6544)</f>
        <v>1</v>
      </c>
      <c r="K6544" s="88">
        <v>1</v>
      </c>
      <c r="L6544" s="88"/>
      <c r="M6544" s="88"/>
      <c r="N6544" s="88"/>
      <c r="O6544" s="88"/>
      <c r="P6544" s="88"/>
      <c r="Q6544" s="88"/>
      <c r="R6544" s="78">
        <f>MAX(S6544:W6544)</f>
        <v>0</v>
      </c>
      <c r="S6544" s="88"/>
      <c r="T6544" s="88"/>
      <c r="U6544" s="88"/>
      <c r="V6544" s="88"/>
      <c r="W6544" s="88"/>
    </row>
    <row r="6545" spans="2:23" s="0" customFormat="0" ht="15">
      <c r="B6545" s="87" t="s">
        <v>1</v>
      </c>
      <c r="C6545" s="88" t="s">
        <v>5259</v>
      </c>
      <c r="D6545" s="88" t="s">
        <v>4743</v>
      </c>
      <c r="E6545" s="88" t="s">
        <v>61</v>
      </c>
      <c r="F6545" s="88">
        <v>0</v>
      </c>
      <c r="G6545" s="78">
        <f>MAX(H6545,I6545,J6545)</f>
        <v>0</v>
      </c>
      <c r="H6545" s="88"/>
      <c r="I6545" s="88"/>
      <c r="J6545" s="78">
        <f>MAX(K6545:Q6545)</f>
        <v>0</v>
      </c>
      <c r="K6545" s="88"/>
      <c r="L6545" s="88"/>
      <c r="M6545" s="88"/>
      <c r="N6545" s="88"/>
      <c r="O6545" s="88"/>
      <c r="P6545" s="88"/>
      <c r="Q6545" s="88"/>
      <c r="R6545" s="78">
        <f>MAX(S6545:W6545)</f>
        <v>1</v>
      </c>
      <c r="S6545" s="88"/>
      <c r="T6545" s="88"/>
      <c r="U6545" s="88">
        <v>1</v>
      </c>
      <c r="V6545" s="88"/>
      <c r="W6545" s="88"/>
    </row>
    <row r="6546" spans="2:23" s="0" customFormat="0" ht="15">
      <c r="B6546" s="87" t="s">
        <v>1</v>
      </c>
      <c r="C6546" s="88" t="s">
        <v>5259</v>
      </c>
      <c r="D6546" s="88">
        <v>17596333</v>
      </c>
      <c r="E6546" s="88" t="s">
        <v>61</v>
      </c>
      <c r="F6546" s="88">
        <v>0</v>
      </c>
      <c r="G6546" s="78">
        <f>MAX(H6546,I6546,J6546)</f>
        <v>1</v>
      </c>
      <c r="H6546" s="88"/>
      <c r="I6546" s="88"/>
      <c r="J6546" s="78">
        <f>MAX(K6546:Q6546)</f>
        <v>1</v>
      </c>
      <c r="K6546" s="88">
        <v>1</v>
      </c>
      <c r="L6546" s="88"/>
      <c r="M6546" s="88"/>
      <c r="N6546" s="88"/>
      <c r="O6546" s="88"/>
      <c r="P6546" s="88"/>
      <c r="Q6546" s="88"/>
      <c r="R6546" s="78">
        <f>MAX(S6546:W6546)</f>
        <v>0</v>
      </c>
      <c r="S6546" s="88"/>
      <c r="T6546" s="88"/>
      <c r="U6546" s="88"/>
      <c r="V6546" s="88"/>
      <c r="W6546" s="88"/>
    </row>
    <row r="6547" spans="2:23" s="0" customFormat="0" ht="15">
      <c r="B6547" s="87" t="s">
        <v>1</v>
      </c>
      <c r="C6547" s="88" t="s">
        <v>5259</v>
      </c>
      <c r="D6547" s="88">
        <v>16989337</v>
      </c>
      <c r="E6547" s="88" t="s">
        <v>61</v>
      </c>
      <c r="F6547" s="88">
        <v>0</v>
      </c>
      <c r="G6547" s="78">
        <f>MAX(H6547,I6547,J6547)</f>
        <v>1</v>
      </c>
      <c r="H6547" s="88"/>
      <c r="I6547" s="88"/>
      <c r="J6547" s="78">
        <f>MAX(K6547:Q6547)</f>
        <v>1</v>
      </c>
      <c r="K6547" s="88">
        <v>1</v>
      </c>
      <c r="L6547" s="88"/>
      <c r="M6547" s="88"/>
      <c r="N6547" s="88"/>
      <c r="O6547" s="88"/>
      <c r="P6547" s="88"/>
      <c r="Q6547" s="88"/>
      <c r="R6547" s="78">
        <f>MAX(S6547:W6547)</f>
        <v>0</v>
      </c>
      <c r="S6547" s="88"/>
      <c r="T6547" s="88"/>
      <c r="U6547" s="88"/>
      <c r="V6547" s="88"/>
      <c r="W6547" s="88"/>
    </row>
    <row r="6548" spans="2:23" s="0" customFormat="0" ht="15">
      <c r="B6548" s="87" t="s">
        <v>1</v>
      </c>
      <c r="C6548" s="88" t="s">
        <v>5259</v>
      </c>
      <c r="D6548" s="88" t="s">
        <v>3660</v>
      </c>
      <c r="E6548" s="88" t="s">
        <v>61</v>
      </c>
      <c r="F6548" s="88">
        <v>0</v>
      </c>
      <c r="G6548" s="78">
        <f>MAX(H6548,I6548,J6548)</f>
        <v>0</v>
      </c>
      <c r="H6548" s="88"/>
      <c r="I6548" s="88"/>
      <c r="J6548" s="78">
        <f>MAX(K6548:Q6548)</f>
        <v>0</v>
      </c>
      <c r="K6548" s="88"/>
      <c r="L6548" s="88"/>
      <c r="M6548" s="88"/>
      <c r="N6548" s="88"/>
      <c r="O6548" s="88"/>
      <c r="P6548" s="88"/>
      <c r="Q6548" s="88"/>
      <c r="R6548" s="78">
        <f>MAX(S6548:W6548)</f>
        <v>1</v>
      </c>
      <c r="S6548" s="88"/>
      <c r="T6548" s="88"/>
      <c r="U6548" s="88">
        <v>1</v>
      </c>
      <c r="V6548" s="88"/>
      <c r="W6548" s="88"/>
    </row>
    <row r="6549" spans="2:23" s="0" customFormat="0" ht="15">
      <c r="B6549" s="87" t="s">
        <v>1</v>
      </c>
      <c r="C6549" s="88" t="s">
        <v>5259</v>
      </c>
      <c r="D6549" s="88">
        <v>11975419</v>
      </c>
      <c r="E6549" s="88" t="s">
        <v>61</v>
      </c>
      <c r="F6549" s="88">
        <v>0</v>
      </c>
      <c r="G6549" s="78">
        <f>MAX(H6549,I6549,J6549)</f>
        <v>1</v>
      </c>
      <c r="H6549" s="88"/>
      <c r="I6549" s="88"/>
      <c r="J6549" s="78">
        <f>MAX(K6549:Q6549)</f>
        <v>1</v>
      </c>
      <c r="K6549" s="88">
        <v>1</v>
      </c>
      <c r="L6549" s="88"/>
      <c r="M6549" s="88"/>
      <c r="N6549" s="88"/>
      <c r="O6549" s="88"/>
      <c r="P6549" s="88"/>
      <c r="Q6549" s="88"/>
      <c r="R6549" s="78">
        <f>MAX(S6549:W6549)</f>
        <v>0</v>
      </c>
      <c r="S6549" s="88"/>
      <c r="T6549" s="88"/>
      <c r="U6549" s="88"/>
      <c r="V6549" s="88"/>
      <c r="W6549" s="88"/>
    </row>
    <row r="6550" spans="2:23" s="0" customFormat="0" ht="15">
      <c r="B6550" s="87" t="s">
        <v>1</v>
      </c>
      <c r="C6550" s="88" t="s">
        <v>5259</v>
      </c>
      <c r="D6550" s="88">
        <v>18812113</v>
      </c>
      <c r="E6550" s="88" t="s">
        <v>61</v>
      </c>
      <c r="F6550" s="88">
        <v>0</v>
      </c>
      <c r="G6550" s="78">
        <f>MAX(H6550,I6550,J6550)</f>
        <v>1</v>
      </c>
      <c r="H6550" s="88"/>
      <c r="I6550" s="88"/>
      <c r="J6550" s="78">
        <f>MAX(K6550:Q6550)</f>
        <v>1</v>
      </c>
      <c r="K6550" s="88">
        <v>1</v>
      </c>
      <c r="L6550" s="88"/>
      <c r="M6550" s="88"/>
      <c r="N6550" s="88"/>
      <c r="O6550" s="88"/>
      <c r="P6550" s="88"/>
      <c r="Q6550" s="88"/>
      <c r="R6550" s="78">
        <f>MAX(S6550:W6550)</f>
        <v>0</v>
      </c>
      <c r="S6550" s="88"/>
      <c r="T6550" s="88"/>
      <c r="U6550" s="88"/>
      <c r="V6550" s="88"/>
      <c r="W6550" s="88"/>
    </row>
    <row r="6551" spans="2:23" s="0" customFormat="0" ht="15">
      <c r="B6551" s="87" t="s">
        <v>1</v>
      </c>
      <c r="C6551" s="88" t="s">
        <v>5259</v>
      </c>
      <c r="D6551" s="88">
        <v>22927564</v>
      </c>
      <c r="E6551" s="88" t="s">
        <v>61</v>
      </c>
      <c r="F6551" s="88">
        <v>0</v>
      </c>
      <c r="G6551" s="78">
        <f>MAX(H6551,I6551,J6551)</f>
        <v>1</v>
      </c>
      <c r="H6551" s="88"/>
      <c r="I6551" s="88"/>
      <c r="J6551" s="78">
        <f>MAX(K6551:Q6551)</f>
        <v>1</v>
      </c>
      <c r="K6551" s="88">
        <v>1</v>
      </c>
      <c r="L6551" s="88"/>
      <c r="M6551" s="88"/>
      <c r="N6551" s="88"/>
      <c r="O6551" s="88"/>
      <c r="P6551" s="88"/>
      <c r="Q6551" s="88"/>
      <c r="R6551" s="78">
        <f>MAX(S6551:W6551)</f>
        <v>0</v>
      </c>
      <c r="S6551" s="88"/>
      <c r="T6551" s="88"/>
      <c r="U6551" s="88"/>
      <c r="V6551" s="88"/>
      <c r="W6551" s="88"/>
    </row>
    <row r="6552" spans="2:23" s="0" customFormat="0" ht="15">
      <c r="B6552" s="87" t="s">
        <v>1</v>
      </c>
      <c r="C6552" s="88" t="s">
        <v>5259</v>
      </c>
      <c r="D6552" s="88">
        <v>16168537</v>
      </c>
      <c r="E6552" s="88" t="s">
        <v>61</v>
      </c>
      <c r="F6552" s="88">
        <v>0</v>
      </c>
      <c r="G6552" s="78">
        <f>MAX(H6552,I6552,J6552)</f>
        <v>1</v>
      </c>
      <c r="H6552" s="88"/>
      <c r="I6552" s="88"/>
      <c r="J6552" s="78">
        <f>MAX(K6552:Q6552)</f>
        <v>1</v>
      </c>
      <c r="K6552" s="88">
        <v>1</v>
      </c>
      <c r="L6552" s="88"/>
      <c r="M6552" s="88"/>
      <c r="N6552" s="88"/>
      <c r="O6552" s="88"/>
      <c r="P6552" s="88"/>
      <c r="Q6552" s="88"/>
      <c r="R6552" s="78">
        <f>MAX(S6552:W6552)</f>
        <v>0</v>
      </c>
      <c r="S6552" s="88"/>
      <c r="T6552" s="88"/>
      <c r="U6552" s="88"/>
      <c r="V6552" s="88"/>
      <c r="W6552" s="88"/>
    </row>
    <row r="6553" spans="2:23" s="0" customFormat="0" ht="15">
      <c r="B6553" s="87" t="s">
        <v>1</v>
      </c>
      <c r="C6553" s="88" t="s">
        <v>5259</v>
      </c>
      <c r="D6553" s="88">
        <v>18728679</v>
      </c>
      <c r="E6553" s="88" t="s">
        <v>61</v>
      </c>
      <c r="F6553" s="88">
        <v>0</v>
      </c>
      <c r="G6553" s="78">
        <f>MAX(H6553,I6553,J6553)</f>
        <v>1</v>
      </c>
      <c r="H6553" s="88"/>
      <c r="I6553" s="88"/>
      <c r="J6553" s="78">
        <f>MAX(K6553:Q6553)</f>
        <v>1</v>
      </c>
      <c r="K6553" s="88">
        <v>1</v>
      </c>
      <c r="L6553" s="88"/>
      <c r="M6553" s="88"/>
      <c r="N6553" s="88"/>
      <c r="O6553" s="88"/>
      <c r="P6553" s="88"/>
      <c r="Q6553" s="88"/>
      <c r="R6553" s="78">
        <f>MAX(S6553:W6553)</f>
        <v>0</v>
      </c>
      <c r="S6553" s="88"/>
      <c r="T6553" s="88"/>
      <c r="U6553" s="88"/>
      <c r="V6553" s="88"/>
      <c r="W6553" s="88"/>
    </row>
    <row r="6554" spans="2:23" s="0" customFormat="0" ht="15">
      <c r="B6554" s="87" t="s">
        <v>1</v>
      </c>
      <c r="C6554" s="88" t="s">
        <v>5259</v>
      </c>
      <c r="D6554" s="88">
        <v>10596345</v>
      </c>
      <c r="E6554" s="88" t="s">
        <v>61</v>
      </c>
      <c r="F6554" s="88">
        <v>0</v>
      </c>
      <c r="G6554" s="78">
        <f>MAX(H6554,I6554,J6554)</f>
        <v>1</v>
      </c>
      <c r="H6554" s="88"/>
      <c r="I6554" s="88"/>
      <c r="J6554" s="78">
        <f>MAX(K6554:Q6554)</f>
        <v>1</v>
      </c>
      <c r="K6554" s="88">
        <v>1</v>
      </c>
      <c r="L6554" s="88"/>
      <c r="M6554" s="88"/>
      <c r="N6554" s="88"/>
      <c r="O6554" s="88"/>
      <c r="P6554" s="88"/>
      <c r="Q6554" s="88"/>
      <c r="R6554" s="78">
        <f>MAX(S6554:W6554)</f>
        <v>0</v>
      </c>
      <c r="S6554" s="88"/>
      <c r="T6554" s="88"/>
      <c r="U6554" s="88"/>
      <c r="V6554" s="88"/>
      <c r="W6554" s="88"/>
    </row>
    <row r="6555" spans="2:23" s="0" customFormat="0" ht="15">
      <c r="B6555" s="87" t="s">
        <v>1</v>
      </c>
      <c r="C6555" s="88" t="s">
        <v>5259</v>
      </c>
      <c r="D6555" s="88">
        <v>22623679</v>
      </c>
      <c r="E6555" s="88" t="s">
        <v>61</v>
      </c>
      <c r="F6555" s="88">
        <v>0</v>
      </c>
      <c r="G6555" s="78">
        <f>MAX(H6555,I6555,J6555)</f>
        <v>0</v>
      </c>
      <c r="H6555" s="88"/>
      <c r="I6555" s="88"/>
      <c r="J6555" s="78">
        <f>MAX(K6555:Q6555)</f>
        <v>0</v>
      </c>
      <c r="K6555" s="88"/>
      <c r="L6555" s="88"/>
      <c r="M6555" s="88"/>
      <c r="N6555" s="88"/>
      <c r="O6555" s="88"/>
      <c r="P6555" s="88"/>
      <c r="Q6555" s="88"/>
      <c r="R6555" s="78">
        <f>MAX(S6555:W6555)</f>
        <v>1</v>
      </c>
      <c r="S6555" s="88"/>
      <c r="T6555" s="88"/>
      <c r="U6555" s="88">
        <v>1</v>
      </c>
      <c r="V6555" s="88"/>
      <c r="W6555" s="88"/>
    </row>
    <row r="6556" spans="2:23" s="0" customFormat="0" ht="15">
      <c r="B6556" s="87" t="s">
        <v>1</v>
      </c>
      <c r="C6556" s="88" t="s">
        <v>5259</v>
      </c>
      <c r="D6556" s="88">
        <v>17357776</v>
      </c>
      <c r="E6556" s="88" t="s">
        <v>61</v>
      </c>
      <c r="F6556" s="88">
        <v>0</v>
      </c>
      <c r="G6556" s="78">
        <f>MAX(H6556,I6556,J6556)</f>
        <v>1</v>
      </c>
      <c r="H6556" s="88"/>
      <c r="I6556" s="88"/>
      <c r="J6556" s="78">
        <f>MAX(K6556:Q6556)</f>
        <v>1</v>
      </c>
      <c r="K6556" s="88">
        <v>1</v>
      </c>
      <c r="L6556" s="88"/>
      <c r="M6556" s="88"/>
      <c r="N6556" s="88"/>
      <c r="O6556" s="88"/>
      <c r="P6556" s="88"/>
      <c r="Q6556" s="88"/>
      <c r="R6556" s="78">
        <f>MAX(S6556:W6556)</f>
        <v>0</v>
      </c>
      <c r="S6556" s="88"/>
      <c r="T6556" s="88"/>
      <c r="U6556" s="88"/>
      <c r="V6556" s="88"/>
      <c r="W6556" s="88"/>
    </row>
    <row r="6557" spans="2:23" s="0" customFormat="0" ht="15">
      <c r="B6557" s="87" t="s">
        <v>1</v>
      </c>
      <c r="C6557" s="88" t="s">
        <v>5259</v>
      </c>
      <c r="D6557" s="88" t="s">
        <v>2952</v>
      </c>
      <c r="E6557" s="88" t="s">
        <v>61</v>
      </c>
      <c r="F6557" s="88">
        <v>0</v>
      </c>
      <c r="G6557" s="78">
        <f>MAX(H6557,I6557,J6557)</f>
        <v>1</v>
      </c>
      <c r="H6557" s="88"/>
      <c r="I6557" s="88"/>
      <c r="J6557" s="78">
        <f>MAX(K6557:Q6557)</f>
        <v>1</v>
      </c>
      <c r="K6557" s="88">
        <v>1</v>
      </c>
      <c r="L6557" s="88"/>
      <c r="M6557" s="88"/>
      <c r="N6557" s="88"/>
      <c r="O6557" s="88"/>
      <c r="P6557" s="88"/>
      <c r="Q6557" s="88"/>
      <c r="R6557" s="78">
        <f>MAX(S6557:W6557)</f>
        <v>0</v>
      </c>
      <c r="S6557" s="88"/>
      <c r="T6557" s="88"/>
      <c r="U6557" s="88"/>
      <c r="V6557" s="88"/>
      <c r="W6557" s="88"/>
    </row>
    <row r="6558" spans="2:23" s="0" customFormat="0" ht="15">
      <c r="B6558" s="87" t="s">
        <v>1</v>
      </c>
      <c r="C6558" s="88" t="s">
        <v>5259</v>
      </c>
      <c r="D6558" s="88">
        <v>12561864</v>
      </c>
      <c r="E6558" s="88" t="s">
        <v>61</v>
      </c>
      <c r="F6558" s="88">
        <v>0</v>
      </c>
      <c r="G6558" s="78">
        <f>MAX(H6558,I6558,J6558)</f>
        <v>1</v>
      </c>
      <c r="H6558" s="88"/>
      <c r="I6558" s="88"/>
      <c r="J6558" s="78">
        <f>MAX(K6558:Q6558)</f>
        <v>1</v>
      </c>
      <c r="K6558" s="88">
        <v>1</v>
      </c>
      <c r="L6558" s="88"/>
      <c r="M6558" s="88"/>
      <c r="N6558" s="88"/>
      <c r="O6558" s="88"/>
      <c r="P6558" s="88"/>
      <c r="Q6558" s="88"/>
      <c r="R6558" s="78">
        <f>MAX(S6558:W6558)</f>
        <v>0</v>
      </c>
      <c r="S6558" s="88"/>
      <c r="T6558" s="88"/>
      <c r="U6558" s="88"/>
      <c r="V6558" s="88"/>
      <c r="W6558" s="88"/>
    </row>
    <row r="6559" spans="2:23" s="0" customFormat="0" ht="15">
      <c r="B6559" s="87" t="s">
        <v>1</v>
      </c>
      <c r="C6559" s="88" t="s">
        <v>5259</v>
      </c>
      <c r="D6559" s="88">
        <v>16209205</v>
      </c>
      <c r="E6559" s="88" t="s">
        <v>61</v>
      </c>
      <c r="F6559" s="88">
        <v>0</v>
      </c>
      <c r="G6559" s="78">
        <f>MAX(H6559,I6559,J6559)</f>
        <v>1</v>
      </c>
      <c r="H6559" s="88"/>
      <c r="I6559" s="88"/>
      <c r="J6559" s="78">
        <f>MAX(K6559:Q6559)</f>
        <v>1</v>
      </c>
      <c r="K6559" s="88">
        <v>1</v>
      </c>
      <c r="L6559" s="88"/>
      <c r="M6559" s="88"/>
      <c r="N6559" s="88"/>
      <c r="O6559" s="88"/>
      <c r="P6559" s="88"/>
      <c r="Q6559" s="88"/>
      <c r="R6559" s="78">
        <f>MAX(S6559:W6559)</f>
        <v>0</v>
      </c>
      <c r="S6559" s="88"/>
      <c r="T6559" s="88"/>
      <c r="U6559" s="88"/>
      <c r="V6559" s="88"/>
      <c r="W6559" s="88"/>
    </row>
    <row r="6560" spans="2:23" s="0" customFormat="0" ht="15">
      <c r="B6560" s="87" t="s">
        <v>1</v>
      </c>
      <c r="C6560" s="88" t="s">
        <v>5259</v>
      </c>
      <c r="D6560" s="88" t="s">
        <v>998</v>
      </c>
      <c r="E6560" s="88" t="s">
        <v>61</v>
      </c>
      <c r="F6560" s="88">
        <v>0</v>
      </c>
      <c r="G6560" s="78">
        <f>MAX(H6560,I6560,J6560)</f>
        <v>1</v>
      </c>
      <c r="H6560" s="88"/>
      <c r="I6560" s="88"/>
      <c r="J6560" s="78">
        <f>MAX(K6560:Q6560)</f>
        <v>1</v>
      </c>
      <c r="K6560" s="88">
        <v>1</v>
      </c>
      <c r="L6560" s="88"/>
      <c r="M6560" s="88"/>
      <c r="N6560" s="88"/>
      <c r="O6560" s="88"/>
      <c r="P6560" s="88"/>
      <c r="Q6560" s="88"/>
      <c r="R6560" s="78">
        <f>MAX(S6560:W6560)</f>
        <v>0</v>
      </c>
      <c r="S6560" s="88"/>
      <c r="T6560" s="88"/>
      <c r="U6560" s="88"/>
      <c r="V6560" s="88"/>
      <c r="W6560" s="88"/>
    </row>
    <row r="6561" spans="2:23" s="0" customFormat="0" ht="15">
      <c r="B6561" s="87" t="s">
        <v>1</v>
      </c>
      <c r="C6561" s="88" t="s">
        <v>5259</v>
      </c>
      <c r="D6561" s="88" t="s">
        <v>5080</v>
      </c>
      <c r="E6561" s="88" t="s">
        <v>61</v>
      </c>
      <c r="F6561" s="88">
        <v>0</v>
      </c>
      <c r="G6561" s="78">
        <f>MAX(H6561,I6561,J6561)</f>
        <v>0</v>
      </c>
      <c r="H6561" s="88"/>
      <c r="I6561" s="88"/>
      <c r="J6561" s="78">
        <f>MAX(K6561:Q6561)</f>
        <v>0</v>
      </c>
      <c r="K6561" s="88"/>
      <c r="L6561" s="88"/>
      <c r="M6561" s="88"/>
      <c r="N6561" s="88"/>
      <c r="O6561" s="88"/>
      <c r="P6561" s="88"/>
      <c r="Q6561" s="88"/>
      <c r="R6561" s="78">
        <f>MAX(S6561:W6561)</f>
        <v>1</v>
      </c>
      <c r="S6561" s="88"/>
      <c r="T6561" s="88"/>
      <c r="U6561" s="88">
        <v>1</v>
      </c>
      <c r="V6561" s="88"/>
      <c r="W6561" s="88"/>
    </row>
    <row r="6562" spans="2:23" s="0" customFormat="0" ht="15">
      <c r="B6562" s="87" t="s">
        <v>1</v>
      </c>
      <c r="C6562" s="88" t="s">
        <v>5259</v>
      </c>
      <c r="D6562" s="88" t="s">
        <v>2538</v>
      </c>
      <c r="E6562" s="88" t="s">
        <v>61</v>
      </c>
      <c r="F6562" s="88">
        <v>0</v>
      </c>
      <c r="G6562" s="78">
        <f>MAX(H6562,I6562,J6562)</f>
        <v>1</v>
      </c>
      <c r="H6562" s="88"/>
      <c r="I6562" s="88"/>
      <c r="J6562" s="78">
        <f>MAX(K6562:Q6562)</f>
        <v>1</v>
      </c>
      <c r="K6562" s="88">
        <v>1</v>
      </c>
      <c r="L6562" s="88"/>
      <c r="M6562" s="88"/>
      <c r="N6562" s="88"/>
      <c r="O6562" s="88"/>
      <c r="P6562" s="88"/>
      <c r="Q6562" s="88"/>
      <c r="R6562" s="78">
        <f>MAX(S6562:W6562)</f>
        <v>0</v>
      </c>
      <c r="S6562" s="88"/>
      <c r="T6562" s="88"/>
      <c r="U6562" s="88"/>
      <c r="V6562" s="88"/>
      <c r="W6562" s="88"/>
    </row>
    <row r="6563" spans="2:23" s="0" customFormat="0" ht="15">
      <c r="B6563" s="87" t="s">
        <v>1</v>
      </c>
      <c r="C6563" s="88" t="s">
        <v>5259</v>
      </c>
      <c r="D6563" s="88">
        <v>12573239</v>
      </c>
      <c r="E6563" s="88" t="s">
        <v>61</v>
      </c>
      <c r="F6563" s="88">
        <v>0</v>
      </c>
      <c r="G6563" s="78">
        <f>MAX(H6563,I6563,J6563)</f>
        <v>0</v>
      </c>
      <c r="H6563" s="88"/>
      <c r="I6563" s="88"/>
      <c r="J6563" s="78">
        <f>MAX(K6563:Q6563)</f>
        <v>0</v>
      </c>
      <c r="K6563" s="88"/>
      <c r="L6563" s="88"/>
      <c r="M6563" s="88"/>
      <c r="N6563" s="88"/>
      <c r="O6563" s="88"/>
      <c r="P6563" s="88"/>
      <c r="Q6563" s="88"/>
      <c r="R6563" s="78">
        <f>MAX(S6563:W6563)</f>
        <v>1</v>
      </c>
      <c r="S6563" s="88"/>
      <c r="T6563" s="88"/>
      <c r="U6563" s="88">
        <v>1</v>
      </c>
      <c r="V6563" s="88"/>
      <c r="W6563" s="88"/>
    </row>
    <row r="6564" spans="2:23" s="0" customFormat="0" ht="15">
      <c r="B6564" s="87" t="s">
        <v>1</v>
      </c>
      <c r="C6564" s="88" t="s">
        <v>5259</v>
      </c>
      <c r="D6564" s="88">
        <v>15419814</v>
      </c>
      <c r="E6564" s="88" t="s">
        <v>61</v>
      </c>
      <c r="F6564" s="88">
        <v>0</v>
      </c>
      <c r="G6564" s="78">
        <f>MAX(H6564,I6564,J6564)</f>
        <v>1</v>
      </c>
      <c r="H6564" s="88"/>
      <c r="I6564" s="88"/>
      <c r="J6564" s="78">
        <f>MAX(K6564:Q6564)</f>
        <v>1</v>
      </c>
      <c r="K6564" s="88">
        <v>1</v>
      </c>
      <c r="L6564" s="88"/>
      <c r="M6564" s="88"/>
      <c r="N6564" s="88"/>
      <c r="O6564" s="88"/>
      <c r="P6564" s="88"/>
      <c r="Q6564" s="88"/>
      <c r="R6564" s="78">
        <f>MAX(S6564:W6564)</f>
        <v>0</v>
      </c>
      <c r="S6564" s="88"/>
      <c r="T6564" s="88"/>
      <c r="U6564" s="88"/>
      <c r="V6564" s="88"/>
      <c r="W6564" s="88"/>
    </row>
    <row r="6565" spans="2:23" s="0" customFormat="0" ht="15">
      <c r="B6565" s="87" t="s">
        <v>1</v>
      </c>
      <c r="C6565" s="88" t="s">
        <v>5259</v>
      </c>
      <c r="D6565" s="88">
        <v>20649047</v>
      </c>
      <c r="E6565" s="88" t="s">
        <v>61</v>
      </c>
      <c r="F6565" s="88">
        <v>0</v>
      </c>
      <c r="G6565" s="78">
        <f>MAX(H6565,I6565,J6565)</f>
        <v>1</v>
      </c>
      <c r="H6565" s="88"/>
      <c r="I6565" s="88"/>
      <c r="J6565" s="78">
        <f>MAX(K6565:Q6565)</f>
        <v>1</v>
      </c>
      <c r="K6565" s="88">
        <v>1</v>
      </c>
      <c r="L6565" s="88"/>
      <c r="M6565" s="88"/>
      <c r="N6565" s="88"/>
      <c r="O6565" s="88"/>
      <c r="P6565" s="88"/>
      <c r="Q6565" s="88"/>
      <c r="R6565" s="78">
        <f>MAX(S6565:W6565)</f>
        <v>0</v>
      </c>
      <c r="S6565" s="88"/>
      <c r="T6565" s="88"/>
      <c r="U6565" s="88"/>
      <c r="V6565" s="88"/>
      <c r="W6565" s="88"/>
    </row>
    <row r="6566" spans="2:23" s="0" customFormat="0" ht="15">
      <c r="B6566" s="87" t="s">
        <v>1</v>
      </c>
      <c r="C6566" s="88" t="s">
        <v>5259</v>
      </c>
      <c r="D6566" s="88">
        <v>22843188</v>
      </c>
      <c r="E6566" s="88" t="s">
        <v>61</v>
      </c>
      <c r="F6566" s="88">
        <v>0</v>
      </c>
      <c r="G6566" s="78">
        <f>MAX(H6566,I6566,J6566)</f>
        <v>1</v>
      </c>
      <c r="H6566" s="88"/>
      <c r="I6566" s="88"/>
      <c r="J6566" s="78">
        <f>MAX(K6566:Q6566)</f>
        <v>1</v>
      </c>
      <c r="K6566" s="88">
        <v>1</v>
      </c>
      <c r="L6566" s="88"/>
      <c r="M6566" s="88"/>
      <c r="N6566" s="88"/>
      <c r="O6566" s="88"/>
      <c r="P6566" s="88"/>
      <c r="Q6566" s="88"/>
      <c r="R6566" s="78">
        <f>MAX(S6566:W6566)</f>
        <v>0</v>
      </c>
      <c r="S6566" s="88"/>
      <c r="T6566" s="88"/>
      <c r="U6566" s="88"/>
      <c r="V6566" s="88"/>
      <c r="W6566" s="88"/>
    </row>
    <row r="6567" spans="2:23" s="0" customFormat="0" ht="15">
      <c r="B6567" s="87" t="s">
        <v>1</v>
      </c>
      <c r="C6567" s="88" t="s">
        <v>5259</v>
      </c>
      <c r="D6567" s="88" t="s">
        <v>5067</v>
      </c>
      <c r="E6567" s="88" t="s">
        <v>61</v>
      </c>
      <c r="F6567" s="88">
        <v>0</v>
      </c>
      <c r="G6567" s="78">
        <f>MAX(H6567,I6567,J6567)</f>
        <v>0</v>
      </c>
      <c r="H6567" s="88"/>
      <c r="I6567" s="88"/>
      <c r="J6567" s="78">
        <f>MAX(K6567:Q6567)</f>
        <v>0</v>
      </c>
      <c r="K6567" s="88"/>
      <c r="L6567" s="88"/>
      <c r="M6567" s="88"/>
      <c r="N6567" s="88"/>
      <c r="O6567" s="88"/>
      <c r="P6567" s="88"/>
      <c r="Q6567" s="88"/>
      <c r="R6567" s="78">
        <f>MAX(S6567:W6567)</f>
        <v>1</v>
      </c>
      <c r="S6567" s="88"/>
      <c r="T6567" s="88"/>
      <c r="U6567" s="88">
        <v>1</v>
      </c>
      <c r="V6567" s="88"/>
      <c r="W6567" s="88"/>
    </row>
    <row r="6568" spans="2:23" s="0" customFormat="0" ht="15">
      <c r="B6568" s="87" t="s">
        <v>1</v>
      </c>
      <c r="C6568" s="88" t="s">
        <v>5259</v>
      </c>
      <c r="D6568" s="88" t="s">
        <v>3855</v>
      </c>
      <c r="E6568" s="88" t="s">
        <v>61</v>
      </c>
      <c r="F6568" s="88">
        <v>0</v>
      </c>
      <c r="G6568" s="78">
        <f>MAX(H6568,I6568,J6568)</f>
        <v>0</v>
      </c>
      <c r="H6568" s="88"/>
      <c r="I6568" s="88"/>
      <c r="J6568" s="78">
        <f>MAX(K6568:Q6568)</f>
        <v>0</v>
      </c>
      <c r="K6568" s="88"/>
      <c r="L6568" s="88"/>
      <c r="M6568" s="88"/>
      <c r="N6568" s="88"/>
      <c r="O6568" s="88"/>
      <c r="P6568" s="88"/>
      <c r="Q6568" s="88"/>
      <c r="R6568" s="78">
        <f>MAX(S6568:W6568)</f>
        <v>1</v>
      </c>
      <c r="S6568" s="88"/>
      <c r="T6568" s="88"/>
      <c r="U6568" s="88">
        <v>1</v>
      </c>
      <c r="V6568" s="88"/>
      <c r="W6568" s="88"/>
    </row>
    <row r="6569" spans="2:23" s="0" customFormat="0" ht="15">
      <c r="B6569" s="87" t="s">
        <v>1</v>
      </c>
      <c r="C6569" s="88" t="s">
        <v>5259</v>
      </c>
      <c r="D6569" s="88">
        <v>22554490</v>
      </c>
      <c r="E6569" s="88" t="s">
        <v>61</v>
      </c>
      <c r="F6569" s="88">
        <v>0</v>
      </c>
      <c r="G6569" s="78">
        <f>MAX(H6569,I6569,J6569)</f>
        <v>0</v>
      </c>
      <c r="H6569" s="88"/>
      <c r="I6569" s="88"/>
      <c r="J6569" s="78">
        <f>MAX(K6569:Q6569)</f>
        <v>0</v>
      </c>
      <c r="K6569" s="88"/>
      <c r="L6569" s="88"/>
      <c r="M6569" s="88"/>
      <c r="N6569" s="88"/>
      <c r="O6569" s="88"/>
      <c r="P6569" s="88"/>
      <c r="Q6569" s="88"/>
      <c r="R6569" s="78">
        <f>MAX(S6569:W6569)</f>
        <v>1</v>
      </c>
      <c r="S6569" s="88"/>
      <c r="T6569" s="88"/>
      <c r="U6569" s="88">
        <v>1</v>
      </c>
      <c r="V6569" s="88"/>
      <c r="W6569" s="88"/>
    </row>
    <row r="6570" spans="2:23" s="0" customFormat="0" ht="15">
      <c r="B6570" s="87" t="s">
        <v>1</v>
      </c>
      <c r="C6570" s="88" t="s">
        <v>5259</v>
      </c>
      <c r="D6570" s="88">
        <v>22289604</v>
      </c>
      <c r="E6570" s="88" t="s">
        <v>61</v>
      </c>
      <c r="F6570" s="88">
        <v>0</v>
      </c>
      <c r="G6570" s="78">
        <f>MAX(H6570,I6570,J6570)</f>
        <v>1</v>
      </c>
      <c r="H6570" s="88"/>
      <c r="I6570" s="88"/>
      <c r="J6570" s="78">
        <f>MAX(K6570:Q6570)</f>
        <v>1</v>
      </c>
      <c r="K6570" s="88">
        <v>1</v>
      </c>
      <c r="L6570" s="88"/>
      <c r="M6570" s="88"/>
      <c r="N6570" s="88"/>
      <c r="O6570" s="88"/>
      <c r="P6570" s="88"/>
      <c r="Q6570" s="88"/>
      <c r="R6570" s="78">
        <f>MAX(S6570:W6570)</f>
        <v>0</v>
      </c>
      <c r="S6570" s="88"/>
      <c r="T6570" s="88"/>
      <c r="U6570" s="88"/>
      <c r="V6570" s="88"/>
      <c r="W6570" s="88"/>
    </row>
    <row r="6571" spans="2:23" s="0" customFormat="0" ht="15">
      <c r="B6571" s="87" t="s">
        <v>1</v>
      </c>
      <c r="C6571" s="88" t="s">
        <v>5259</v>
      </c>
      <c r="D6571" s="88">
        <v>10483612</v>
      </c>
      <c r="E6571" s="88" t="s">
        <v>61</v>
      </c>
      <c r="F6571" s="88">
        <v>0</v>
      </c>
      <c r="G6571" s="78">
        <f>MAX(H6571,I6571,J6571)</f>
        <v>1</v>
      </c>
      <c r="H6571" s="88"/>
      <c r="I6571" s="88"/>
      <c r="J6571" s="78">
        <f>MAX(K6571:Q6571)</f>
        <v>1</v>
      </c>
      <c r="K6571" s="88">
        <v>1</v>
      </c>
      <c r="L6571" s="88"/>
      <c r="M6571" s="88"/>
      <c r="N6571" s="88"/>
      <c r="O6571" s="88"/>
      <c r="P6571" s="88"/>
      <c r="Q6571" s="88"/>
      <c r="R6571" s="78">
        <f>MAX(S6571:W6571)</f>
        <v>0</v>
      </c>
      <c r="S6571" s="88"/>
      <c r="T6571" s="88"/>
      <c r="U6571" s="88"/>
      <c r="V6571" s="88"/>
      <c r="W6571" s="88"/>
    </row>
    <row r="6572" spans="2:23" s="0" customFormat="0" ht="15">
      <c r="B6572" s="87" t="s">
        <v>1</v>
      </c>
      <c r="C6572" s="88" t="s">
        <v>5259</v>
      </c>
      <c r="D6572" s="88">
        <v>15148669</v>
      </c>
      <c r="E6572" s="88" t="s">
        <v>61</v>
      </c>
      <c r="F6572" s="88">
        <v>0</v>
      </c>
      <c r="G6572" s="78">
        <f>MAX(H6572,I6572,J6572)</f>
        <v>1</v>
      </c>
      <c r="H6572" s="88"/>
      <c r="I6572" s="88"/>
      <c r="J6572" s="78">
        <f>MAX(K6572:Q6572)</f>
        <v>1</v>
      </c>
      <c r="K6572" s="88">
        <v>1</v>
      </c>
      <c r="L6572" s="88"/>
      <c r="M6572" s="88"/>
      <c r="N6572" s="88"/>
      <c r="O6572" s="88"/>
      <c r="P6572" s="88"/>
      <c r="Q6572" s="88"/>
      <c r="R6572" s="78">
        <f>MAX(S6572:W6572)</f>
        <v>0</v>
      </c>
      <c r="S6572" s="88"/>
      <c r="T6572" s="88"/>
      <c r="U6572" s="88"/>
      <c r="V6572" s="88"/>
      <c r="W6572" s="88"/>
    </row>
    <row r="6573" spans="2:23" s="0" customFormat="0" ht="15">
      <c r="B6573" s="87" t="s">
        <v>1</v>
      </c>
      <c r="C6573" s="88" t="s">
        <v>5259</v>
      </c>
      <c r="D6573" s="88" t="s">
        <v>4663</v>
      </c>
      <c r="E6573" s="88" t="s">
        <v>61</v>
      </c>
      <c r="F6573" s="88">
        <v>0</v>
      </c>
      <c r="G6573" s="78">
        <f>MAX(H6573,I6573,J6573)</f>
        <v>0</v>
      </c>
      <c r="H6573" s="88"/>
      <c r="I6573" s="88"/>
      <c r="J6573" s="78">
        <f>MAX(K6573:Q6573)</f>
        <v>0</v>
      </c>
      <c r="K6573" s="88"/>
      <c r="L6573" s="88"/>
      <c r="M6573" s="88"/>
      <c r="N6573" s="88"/>
      <c r="O6573" s="88"/>
      <c r="P6573" s="88"/>
      <c r="Q6573" s="88"/>
      <c r="R6573" s="78">
        <f>MAX(S6573:W6573)</f>
        <v>1</v>
      </c>
      <c r="S6573" s="88"/>
      <c r="T6573" s="88"/>
      <c r="U6573" s="88">
        <v>1</v>
      </c>
      <c r="V6573" s="88"/>
      <c r="W6573" s="88"/>
    </row>
    <row r="6574" spans="2:23" s="0" customFormat="0" ht="15">
      <c r="B6574" s="87" t="s">
        <v>1</v>
      </c>
      <c r="C6574" s="88" t="s">
        <v>5259</v>
      </c>
      <c r="D6574" s="88">
        <v>20870454</v>
      </c>
      <c r="E6574" s="88" t="s">
        <v>61</v>
      </c>
      <c r="F6574" s="88">
        <v>0</v>
      </c>
      <c r="G6574" s="78">
        <f>MAX(H6574,I6574,J6574)</f>
        <v>1</v>
      </c>
      <c r="H6574" s="88"/>
      <c r="I6574" s="88"/>
      <c r="J6574" s="78">
        <f>MAX(K6574:Q6574)</f>
        <v>1</v>
      </c>
      <c r="K6574" s="88">
        <v>1</v>
      </c>
      <c r="L6574" s="88"/>
      <c r="M6574" s="88"/>
      <c r="N6574" s="88"/>
      <c r="O6574" s="88"/>
      <c r="P6574" s="88"/>
      <c r="Q6574" s="88"/>
      <c r="R6574" s="78">
        <f>MAX(S6574:W6574)</f>
        <v>0</v>
      </c>
      <c r="S6574" s="88"/>
      <c r="T6574" s="88"/>
      <c r="U6574" s="88"/>
      <c r="V6574" s="88"/>
      <c r="W6574" s="88"/>
    </row>
    <row r="6575" spans="2:23" s="0" customFormat="0" ht="15">
      <c r="B6575" s="87" t="s">
        <v>1</v>
      </c>
      <c r="C6575" s="88" t="s">
        <v>5259</v>
      </c>
      <c r="D6575" s="88">
        <v>9511665</v>
      </c>
      <c r="E6575" s="88" t="s">
        <v>61</v>
      </c>
      <c r="F6575" s="88">
        <v>0</v>
      </c>
      <c r="G6575" s="78">
        <f>MAX(H6575,I6575,J6575)</f>
        <v>1</v>
      </c>
      <c r="H6575" s="88"/>
      <c r="I6575" s="88"/>
      <c r="J6575" s="78">
        <f>MAX(K6575:Q6575)</f>
        <v>1</v>
      </c>
      <c r="K6575" s="88">
        <v>1</v>
      </c>
      <c r="L6575" s="88"/>
      <c r="M6575" s="88"/>
      <c r="N6575" s="88"/>
      <c r="O6575" s="88"/>
      <c r="P6575" s="88"/>
      <c r="Q6575" s="88"/>
      <c r="R6575" s="78">
        <f>MAX(S6575:W6575)</f>
        <v>0</v>
      </c>
      <c r="S6575" s="88"/>
      <c r="T6575" s="88"/>
      <c r="U6575" s="88"/>
      <c r="V6575" s="88"/>
      <c r="W6575" s="88"/>
    </row>
    <row r="6576" spans="2:23" s="0" customFormat="0" ht="15">
      <c r="B6576" s="87" t="s">
        <v>1</v>
      </c>
      <c r="C6576" s="88" t="s">
        <v>5259</v>
      </c>
      <c r="D6576" s="88" t="s">
        <v>5231</v>
      </c>
      <c r="E6576" s="88" t="s">
        <v>61</v>
      </c>
      <c r="F6576" s="88">
        <v>0</v>
      </c>
      <c r="G6576" s="78">
        <f>MAX(H6576,I6576,J6576)</f>
        <v>0</v>
      </c>
      <c r="H6576" s="88"/>
      <c r="I6576" s="88"/>
      <c r="J6576" s="78">
        <f>MAX(K6576:Q6576)</f>
        <v>0</v>
      </c>
      <c r="K6576" s="88"/>
      <c r="L6576" s="88"/>
      <c r="M6576" s="88"/>
      <c r="N6576" s="88"/>
      <c r="O6576" s="88"/>
      <c r="P6576" s="88"/>
      <c r="Q6576" s="88"/>
      <c r="R6576" s="78">
        <f>MAX(S6576:W6576)</f>
        <v>1</v>
      </c>
      <c r="S6576" s="88"/>
      <c r="T6576" s="88"/>
      <c r="U6576" s="88">
        <v>1</v>
      </c>
      <c r="V6576" s="88"/>
      <c r="W6576" s="88"/>
    </row>
    <row r="6577" spans="2:23" s="0" customFormat="0" ht="15">
      <c r="B6577" s="87" t="s">
        <v>1</v>
      </c>
      <c r="C6577" s="88" t="s">
        <v>5259</v>
      </c>
      <c r="D6577" s="88">
        <v>21755092</v>
      </c>
      <c r="E6577" s="88" t="s">
        <v>61</v>
      </c>
      <c r="F6577" s="88">
        <v>0</v>
      </c>
      <c r="G6577" s="78">
        <f>MAX(H6577,I6577,J6577)</f>
        <v>1</v>
      </c>
      <c r="H6577" s="88"/>
      <c r="I6577" s="88"/>
      <c r="J6577" s="78">
        <f>MAX(K6577:Q6577)</f>
        <v>1</v>
      </c>
      <c r="K6577" s="88"/>
      <c r="L6577" s="88"/>
      <c r="M6577" s="88">
        <v>1</v>
      </c>
      <c r="N6577" s="88"/>
      <c r="O6577" s="88"/>
      <c r="P6577" s="88"/>
      <c r="Q6577" s="88"/>
      <c r="R6577" s="78">
        <f>MAX(S6577:W6577)</f>
        <v>0</v>
      </c>
      <c r="S6577" s="88"/>
      <c r="T6577" s="88"/>
      <c r="U6577" s="88"/>
      <c r="V6577" s="88"/>
      <c r="W6577" s="88"/>
    </row>
    <row r="6578" spans="2:23" s="0" customFormat="0" ht="15">
      <c r="B6578" s="87" t="s">
        <v>1</v>
      </c>
      <c r="C6578" s="88" t="s">
        <v>5259</v>
      </c>
      <c r="D6578" s="88">
        <v>15851015</v>
      </c>
      <c r="E6578" s="88" t="s">
        <v>61</v>
      </c>
      <c r="F6578" s="88">
        <v>0</v>
      </c>
      <c r="G6578" s="78">
        <f>MAX(H6578,I6578,J6578)</f>
        <v>1</v>
      </c>
      <c r="H6578" s="88"/>
      <c r="I6578" s="88"/>
      <c r="J6578" s="78">
        <f>MAX(K6578:Q6578)</f>
        <v>1</v>
      </c>
      <c r="K6578" s="88">
        <v>1</v>
      </c>
      <c r="L6578" s="88"/>
      <c r="M6578" s="88"/>
      <c r="N6578" s="88"/>
      <c r="O6578" s="88"/>
      <c r="P6578" s="88"/>
      <c r="Q6578" s="88"/>
      <c r="R6578" s="78">
        <f>MAX(S6578:W6578)</f>
        <v>0</v>
      </c>
      <c r="S6578" s="88"/>
      <c r="T6578" s="88"/>
      <c r="U6578" s="88"/>
      <c r="V6578" s="88"/>
      <c r="W6578" s="88"/>
    </row>
    <row r="6579" spans="2:23" s="0" customFormat="0" ht="15">
      <c r="B6579" s="87" t="s">
        <v>1</v>
      </c>
      <c r="C6579" s="88" t="s">
        <v>5259</v>
      </c>
      <c r="D6579" s="88" t="s">
        <v>2359</v>
      </c>
      <c r="E6579" s="88" t="s">
        <v>61</v>
      </c>
      <c r="F6579" s="88">
        <v>0</v>
      </c>
      <c r="G6579" s="78">
        <f>MAX(H6579,I6579,J6579)</f>
        <v>1</v>
      </c>
      <c r="H6579" s="88"/>
      <c r="I6579" s="88"/>
      <c r="J6579" s="78">
        <f>MAX(K6579:Q6579)</f>
        <v>1</v>
      </c>
      <c r="K6579" s="88">
        <v>1</v>
      </c>
      <c r="L6579" s="88"/>
      <c r="M6579" s="88"/>
      <c r="N6579" s="88"/>
      <c r="O6579" s="88"/>
      <c r="P6579" s="88"/>
      <c r="Q6579" s="88"/>
      <c r="R6579" s="78">
        <f>MAX(S6579:W6579)</f>
        <v>0</v>
      </c>
      <c r="S6579" s="88"/>
      <c r="T6579" s="88"/>
      <c r="U6579" s="88"/>
      <c r="V6579" s="88"/>
      <c r="W6579" s="88"/>
    </row>
    <row r="6580" spans="2:23" s="0" customFormat="0" ht="15">
      <c r="B6580" s="87" t="s">
        <v>1</v>
      </c>
      <c r="C6580" s="88" t="s">
        <v>5259</v>
      </c>
      <c r="D6580" s="88">
        <v>19567720</v>
      </c>
      <c r="E6580" s="88" t="s">
        <v>61</v>
      </c>
      <c r="F6580" s="88">
        <v>0</v>
      </c>
      <c r="G6580" s="78">
        <f>MAX(H6580,I6580,J6580)</f>
        <v>1</v>
      </c>
      <c r="H6580" s="88"/>
      <c r="I6580" s="88"/>
      <c r="J6580" s="78">
        <f>MAX(K6580:Q6580)</f>
        <v>1</v>
      </c>
      <c r="K6580" s="88">
        <v>1</v>
      </c>
      <c r="L6580" s="88"/>
      <c r="M6580" s="88"/>
      <c r="N6580" s="88"/>
      <c r="O6580" s="88"/>
      <c r="P6580" s="88"/>
      <c r="Q6580" s="88"/>
      <c r="R6580" s="78">
        <f>MAX(S6580:W6580)</f>
        <v>0</v>
      </c>
      <c r="S6580" s="88"/>
      <c r="T6580" s="88"/>
      <c r="U6580" s="88"/>
      <c r="V6580" s="88"/>
      <c r="W6580" s="88"/>
    </row>
    <row r="6581" spans="2:23" s="0" customFormat="0" ht="15">
      <c r="B6581" s="87" t="s">
        <v>1</v>
      </c>
      <c r="C6581" s="88" t="s">
        <v>5259</v>
      </c>
      <c r="D6581" s="88" t="s">
        <v>3759</v>
      </c>
      <c r="E6581" s="88" t="s">
        <v>61</v>
      </c>
      <c r="F6581" s="88">
        <v>0</v>
      </c>
      <c r="G6581" s="78">
        <f>MAX(H6581,I6581,J6581)</f>
        <v>0</v>
      </c>
      <c r="H6581" s="88"/>
      <c r="I6581" s="88"/>
      <c r="J6581" s="78">
        <f>MAX(K6581:Q6581)</f>
        <v>0</v>
      </c>
      <c r="K6581" s="88"/>
      <c r="L6581" s="88"/>
      <c r="M6581" s="88"/>
      <c r="N6581" s="88"/>
      <c r="O6581" s="88"/>
      <c r="P6581" s="88"/>
      <c r="Q6581" s="88"/>
      <c r="R6581" s="78">
        <f>MAX(S6581:W6581)</f>
        <v>1</v>
      </c>
      <c r="S6581" s="88"/>
      <c r="T6581" s="88"/>
      <c r="U6581" s="88">
        <v>1</v>
      </c>
      <c r="V6581" s="88"/>
      <c r="W6581" s="88"/>
    </row>
    <row r="6582" spans="2:23" s="0" customFormat="0" ht="15">
      <c r="B6582" s="87" t="s">
        <v>1</v>
      </c>
      <c r="C6582" s="88" t="s">
        <v>5259</v>
      </c>
      <c r="D6582" s="88">
        <v>14905454</v>
      </c>
      <c r="E6582" s="88" t="s">
        <v>61</v>
      </c>
      <c r="F6582" s="88">
        <v>0</v>
      </c>
      <c r="G6582" s="78">
        <f>MAX(H6582,I6582,J6582)</f>
        <v>1</v>
      </c>
      <c r="H6582" s="88"/>
      <c r="I6582" s="88"/>
      <c r="J6582" s="78">
        <f>MAX(K6582:Q6582)</f>
        <v>1</v>
      </c>
      <c r="K6582" s="88">
        <v>1</v>
      </c>
      <c r="L6582" s="88"/>
      <c r="M6582" s="88"/>
      <c r="N6582" s="88"/>
      <c r="O6582" s="88"/>
      <c r="P6582" s="88"/>
      <c r="Q6582" s="88"/>
      <c r="R6582" s="78">
        <f>MAX(S6582:W6582)</f>
        <v>0</v>
      </c>
      <c r="S6582" s="88"/>
      <c r="T6582" s="88"/>
      <c r="U6582" s="88"/>
      <c r="V6582" s="88"/>
      <c r="W6582" s="88"/>
    </row>
    <row r="6583" spans="2:23" s="0" customFormat="0" ht="15">
      <c r="B6583" s="87" t="s">
        <v>1</v>
      </c>
      <c r="C6583" s="88" t="s">
        <v>5259</v>
      </c>
      <c r="D6583" s="88">
        <v>1105467</v>
      </c>
      <c r="E6583" s="88" t="s">
        <v>61</v>
      </c>
      <c r="F6583" s="88">
        <v>0</v>
      </c>
      <c r="G6583" s="78">
        <f>MAX(H6583,I6583,J6583)</f>
        <v>0</v>
      </c>
      <c r="H6583" s="88"/>
      <c r="I6583" s="88"/>
      <c r="J6583" s="78">
        <f>MAX(K6583:Q6583)</f>
        <v>0</v>
      </c>
      <c r="K6583" s="88"/>
      <c r="L6583" s="88"/>
      <c r="M6583" s="88"/>
      <c r="N6583" s="88"/>
      <c r="O6583" s="88"/>
      <c r="P6583" s="88"/>
      <c r="Q6583" s="88"/>
      <c r="R6583" s="78">
        <f>MAX(S6583:W6583)</f>
        <v>1</v>
      </c>
      <c r="S6583" s="88"/>
      <c r="T6583" s="88"/>
      <c r="U6583" s="88">
        <v>1</v>
      </c>
      <c r="V6583" s="88"/>
      <c r="W6583" s="88"/>
    </row>
    <row r="6584" spans="2:23" s="0" customFormat="0" ht="15">
      <c r="B6584" s="87" t="s">
        <v>1</v>
      </c>
      <c r="C6584" s="88" t="s">
        <v>5259</v>
      </c>
      <c r="D6584" s="88" t="s">
        <v>5007</v>
      </c>
      <c r="E6584" s="88" t="s">
        <v>61</v>
      </c>
      <c r="F6584" s="88">
        <v>0</v>
      </c>
      <c r="G6584" s="78">
        <f>MAX(H6584,I6584,J6584)</f>
        <v>0</v>
      </c>
      <c r="H6584" s="88"/>
      <c r="I6584" s="88"/>
      <c r="J6584" s="78">
        <f>MAX(K6584:Q6584)</f>
        <v>0</v>
      </c>
      <c r="K6584" s="88"/>
      <c r="L6584" s="88"/>
      <c r="M6584" s="88"/>
      <c r="N6584" s="88"/>
      <c r="O6584" s="88"/>
      <c r="P6584" s="88"/>
      <c r="Q6584" s="88"/>
      <c r="R6584" s="78">
        <f>MAX(S6584:W6584)</f>
        <v>1</v>
      </c>
      <c r="S6584" s="88"/>
      <c r="T6584" s="88"/>
      <c r="U6584" s="88">
        <v>1</v>
      </c>
      <c r="V6584" s="88"/>
      <c r="W6584" s="88"/>
    </row>
    <row r="6585" spans="2:23" s="0" customFormat="0" ht="15">
      <c r="B6585" s="87" t="s">
        <v>1</v>
      </c>
      <c r="C6585" s="88" t="s">
        <v>5259</v>
      </c>
      <c r="D6585" s="88">
        <v>1929086</v>
      </c>
      <c r="E6585" s="88" t="s">
        <v>61</v>
      </c>
      <c r="F6585" s="88">
        <v>0</v>
      </c>
      <c r="G6585" s="78">
        <f>MAX(H6585,I6585,J6585)</f>
        <v>0</v>
      </c>
      <c r="H6585" s="88"/>
      <c r="I6585" s="88"/>
      <c r="J6585" s="78">
        <f>MAX(K6585:Q6585)</f>
        <v>0</v>
      </c>
      <c r="K6585" s="88"/>
      <c r="L6585" s="88"/>
      <c r="M6585" s="88"/>
      <c r="N6585" s="88"/>
      <c r="O6585" s="88"/>
      <c r="P6585" s="88"/>
      <c r="Q6585" s="88"/>
      <c r="R6585" s="78">
        <f>MAX(S6585:W6585)</f>
        <v>1</v>
      </c>
      <c r="S6585" s="88"/>
      <c r="T6585" s="88"/>
      <c r="U6585" s="88">
        <v>1</v>
      </c>
      <c r="V6585" s="88"/>
      <c r="W6585" s="88"/>
    </row>
    <row r="6586" spans="2:23" s="0" customFormat="0" ht="15">
      <c r="B6586" s="87" t="s">
        <v>1</v>
      </c>
      <c r="C6586" s="88" t="s">
        <v>5259</v>
      </c>
      <c r="D6586" s="88">
        <v>12057776</v>
      </c>
      <c r="E6586" s="88" t="s">
        <v>61</v>
      </c>
      <c r="F6586" s="88">
        <v>0</v>
      </c>
      <c r="G6586" s="78">
        <f>MAX(H6586,I6586,J6586)</f>
        <v>1</v>
      </c>
      <c r="H6586" s="88"/>
      <c r="I6586" s="88"/>
      <c r="J6586" s="78">
        <f>MAX(K6586:Q6586)</f>
        <v>1</v>
      </c>
      <c r="K6586" s="88">
        <v>1</v>
      </c>
      <c r="L6586" s="88"/>
      <c r="M6586" s="88"/>
      <c r="N6586" s="88"/>
      <c r="O6586" s="88"/>
      <c r="P6586" s="88"/>
      <c r="Q6586" s="88"/>
      <c r="R6586" s="78">
        <f>MAX(S6586:W6586)</f>
        <v>0</v>
      </c>
      <c r="S6586" s="88"/>
      <c r="T6586" s="88"/>
      <c r="U6586" s="88"/>
      <c r="V6586" s="88"/>
      <c r="W6586" s="88"/>
    </row>
    <row r="6587" spans="2:23" s="0" customFormat="0" ht="15">
      <c r="B6587" s="87" t="s">
        <v>1</v>
      </c>
      <c r="C6587" s="88" t="s">
        <v>5259</v>
      </c>
      <c r="D6587" s="88">
        <v>3883655</v>
      </c>
      <c r="E6587" s="88" t="s">
        <v>61</v>
      </c>
      <c r="F6587" s="88">
        <v>0</v>
      </c>
      <c r="G6587" s="78">
        <f>MAX(H6587,I6587,J6587)</f>
        <v>1</v>
      </c>
      <c r="H6587" s="88"/>
      <c r="I6587" s="88"/>
      <c r="J6587" s="78">
        <f>MAX(K6587:Q6587)</f>
        <v>1</v>
      </c>
      <c r="K6587" s="88">
        <v>1</v>
      </c>
      <c r="L6587" s="88"/>
      <c r="M6587" s="88"/>
      <c r="N6587" s="88"/>
      <c r="O6587" s="88"/>
      <c r="P6587" s="88"/>
      <c r="Q6587" s="88"/>
      <c r="R6587" s="78">
        <f>MAX(S6587:W6587)</f>
        <v>0</v>
      </c>
      <c r="S6587" s="88"/>
      <c r="T6587" s="88"/>
      <c r="U6587" s="88"/>
      <c r="V6587" s="88"/>
      <c r="W6587" s="88"/>
    </row>
    <row r="6588" spans="2:23" s="0" customFormat="0" ht="15">
      <c r="B6588" s="87" t="s">
        <v>1</v>
      </c>
      <c r="C6588" s="88" t="s">
        <v>5259</v>
      </c>
      <c r="D6588" s="88" t="s">
        <v>3006</v>
      </c>
      <c r="E6588" s="88" t="s">
        <v>61</v>
      </c>
      <c r="F6588" s="88">
        <v>0</v>
      </c>
      <c r="G6588" s="78">
        <f>MAX(H6588,I6588,J6588)</f>
        <v>1</v>
      </c>
      <c r="H6588" s="88"/>
      <c r="I6588" s="88"/>
      <c r="J6588" s="78">
        <f>MAX(K6588:Q6588)</f>
        <v>1</v>
      </c>
      <c r="K6588" s="88">
        <v>1</v>
      </c>
      <c r="L6588" s="88"/>
      <c r="M6588" s="88"/>
      <c r="N6588" s="88"/>
      <c r="O6588" s="88"/>
      <c r="P6588" s="88"/>
      <c r="Q6588" s="88"/>
      <c r="R6588" s="78">
        <f>MAX(S6588:W6588)</f>
        <v>0</v>
      </c>
      <c r="S6588" s="88"/>
      <c r="T6588" s="88"/>
      <c r="U6588" s="88"/>
      <c r="V6588" s="88"/>
      <c r="W6588" s="88"/>
    </row>
    <row r="6589" spans="2:23" s="0" customFormat="0" ht="15">
      <c r="B6589" s="87" t="s">
        <v>1</v>
      </c>
      <c r="C6589" s="88" t="s">
        <v>5259</v>
      </c>
      <c r="D6589" s="88">
        <v>15341920</v>
      </c>
      <c r="E6589" s="88" t="s">
        <v>61</v>
      </c>
      <c r="F6589" s="88">
        <v>0</v>
      </c>
      <c r="G6589" s="78">
        <f>MAX(H6589,I6589,J6589)</f>
        <v>0</v>
      </c>
      <c r="H6589" s="88"/>
      <c r="I6589" s="88"/>
      <c r="J6589" s="78">
        <f>MAX(K6589:Q6589)</f>
        <v>0</v>
      </c>
      <c r="K6589" s="88"/>
      <c r="L6589" s="88"/>
      <c r="M6589" s="88"/>
      <c r="N6589" s="88"/>
      <c r="O6589" s="88"/>
      <c r="P6589" s="88"/>
      <c r="Q6589" s="88"/>
      <c r="R6589" s="78">
        <f>MAX(S6589:W6589)</f>
        <v>1</v>
      </c>
      <c r="S6589" s="88"/>
      <c r="T6589" s="88"/>
      <c r="U6589" s="88"/>
      <c r="V6589" s="88">
        <v>1</v>
      </c>
      <c r="W6589" s="88"/>
    </row>
    <row r="6590" spans="2:23" s="0" customFormat="0" ht="15">
      <c r="B6590" s="87" t="s">
        <v>1</v>
      </c>
      <c r="C6590" s="88" t="s">
        <v>5259</v>
      </c>
      <c r="D6590" s="88" t="s">
        <v>4698</v>
      </c>
      <c r="E6590" s="88" t="s">
        <v>61</v>
      </c>
      <c r="F6590" s="88">
        <v>0</v>
      </c>
      <c r="G6590" s="78">
        <f>MAX(H6590,I6590,J6590)</f>
        <v>0</v>
      </c>
      <c r="H6590" s="88"/>
      <c r="I6590" s="88"/>
      <c r="J6590" s="78">
        <f>MAX(K6590:Q6590)</f>
        <v>0</v>
      </c>
      <c r="K6590" s="88"/>
      <c r="L6590" s="88"/>
      <c r="M6590" s="88"/>
      <c r="N6590" s="88"/>
      <c r="O6590" s="88"/>
      <c r="P6590" s="88"/>
      <c r="Q6590" s="88"/>
      <c r="R6590" s="78">
        <f>MAX(S6590:W6590)</f>
        <v>1</v>
      </c>
      <c r="S6590" s="88"/>
      <c r="T6590" s="88"/>
      <c r="U6590" s="88">
        <v>1</v>
      </c>
      <c r="V6590" s="88"/>
      <c r="W6590" s="88"/>
    </row>
    <row r="6591" spans="2:23" s="0" customFormat="0" ht="15">
      <c r="B6591" s="87" t="s">
        <v>1</v>
      </c>
      <c r="C6591" s="88" t="s">
        <v>5259</v>
      </c>
      <c r="D6591" s="88">
        <v>23245610</v>
      </c>
      <c r="E6591" s="88" t="s">
        <v>61</v>
      </c>
      <c r="F6591" s="88">
        <v>0</v>
      </c>
      <c r="G6591" s="78">
        <f>MAX(H6591,I6591,J6591)</f>
        <v>1</v>
      </c>
      <c r="H6591" s="88"/>
      <c r="I6591" s="88"/>
      <c r="J6591" s="78">
        <f>MAX(K6591:Q6591)</f>
        <v>1</v>
      </c>
      <c r="K6591" s="88">
        <v>1</v>
      </c>
      <c r="L6591" s="88"/>
      <c r="M6591" s="88"/>
      <c r="N6591" s="88"/>
      <c r="O6591" s="88"/>
      <c r="P6591" s="88"/>
      <c r="Q6591" s="88"/>
      <c r="R6591" s="78">
        <f>MAX(S6591:W6591)</f>
        <v>0</v>
      </c>
      <c r="S6591" s="88"/>
      <c r="T6591" s="88"/>
      <c r="U6591" s="88"/>
      <c r="V6591" s="88"/>
      <c r="W6591" s="88"/>
    </row>
    <row r="6592" spans="2:23" s="0" customFormat="0" ht="15">
      <c r="B6592" s="87" t="s">
        <v>1</v>
      </c>
      <c r="C6592" s="88" t="s">
        <v>5259</v>
      </c>
      <c r="D6592" s="88" t="s">
        <v>2438</v>
      </c>
      <c r="E6592" s="88" t="s">
        <v>61</v>
      </c>
      <c r="F6592" s="88">
        <v>0</v>
      </c>
      <c r="G6592" s="78">
        <f>MAX(H6592,I6592,J6592)</f>
        <v>1</v>
      </c>
      <c r="H6592" s="88"/>
      <c r="I6592" s="88"/>
      <c r="J6592" s="78">
        <f>MAX(K6592:Q6592)</f>
        <v>1</v>
      </c>
      <c r="K6592" s="88">
        <v>1</v>
      </c>
      <c r="L6592" s="88"/>
      <c r="M6592" s="88"/>
      <c r="N6592" s="88"/>
      <c r="O6592" s="88"/>
      <c r="P6592" s="88"/>
      <c r="Q6592" s="88"/>
      <c r="R6592" s="78">
        <f>MAX(S6592:W6592)</f>
        <v>0</v>
      </c>
      <c r="S6592" s="88"/>
      <c r="T6592" s="88"/>
      <c r="U6592" s="88"/>
      <c r="V6592" s="88"/>
      <c r="W6592" s="88"/>
    </row>
    <row r="6593" spans="2:23" s="0" customFormat="0" ht="15">
      <c r="B6593" s="87" t="s">
        <v>1</v>
      </c>
      <c r="C6593" s="88" t="s">
        <v>5259</v>
      </c>
      <c r="D6593" s="88" t="s">
        <v>3926</v>
      </c>
      <c r="E6593" s="88" t="s">
        <v>61</v>
      </c>
      <c r="F6593" s="88">
        <v>0</v>
      </c>
      <c r="G6593" s="78">
        <f>MAX(H6593,I6593,J6593)</f>
        <v>0</v>
      </c>
      <c r="H6593" s="88"/>
      <c r="I6593" s="88"/>
      <c r="J6593" s="78">
        <f>MAX(K6593:Q6593)</f>
        <v>0</v>
      </c>
      <c r="K6593" s="88"/>
      <c r="L6593" s="88"/>
      <c r="M6593" s="88"/>
      <c r="N6593" s="88"/>
      <c r="O6593" s="88"/>
      <c r="P6593" s="88"/>
      <c r="Q6593" s="88"/>
      <c r="R6593" s="78">
        <f>MAX(S6593:W6593)</f>
        <v>1</v>
      </c>
      <c r="S6593" s="88"/>
      <c r="T6593" s="88"/>
      <c r="U6593" s="88">
        <v>1</v>
      </c>
      <c r="V6593" s="88"/>
      <c r="W6593" s="88"/>
    </row>
    <row r="6594" spans="2:23" s="0" customFormat="0" ht="15">
      <c r="B6594" s="87" t="s">
        <v>1</v>
      </c>
      <c r="C6594" s="88" t="s">
        <v>5259</v>
      </c>
      <c r="D6594" s="88">
        <v>10407144</v>
      </c>
      <c r="E6594" s="88" t="s">
        <v>61</v>
      </c>
      <c r="F6594" s="88">
        <v>0</v>
      </c>
      <c r="G6594" s="78">
        <f>MAX(H6594,I6594,J6594)</f>
        <v>1</v>
      </c>
      <c r="H6594" s="88"/>
      <c r="I6594" s="88"/>
      <c r="J6594" s="78">
        <f>MAX(K6594:Q6594)</f>
        <v>1</v>
      </c>
      <c r="K6594" s="88">
        <v>1</v>
      </c>
      <c r="L6594" s="88"/>
      <c r="M6594" s="88"/>
      <c r="N6594" s="88"/>
      <c r="O6594" s="88"/>
      <c r="P6594" s="88"/>
      <c r="Q6594" s="88"/>
      <c r="R6594" s="78">
        <f>MAX(S6594:W6594)</f>
        <v>0</v>
      </c>
      <c r="S6594" s="88"/>
      <c r="T6594" s="88"/>
      <c r="U6594" s="88"/>
      <c r="V6594" s="88"/>
      <c r="W6594" s="88"/>
    </row>
    <row r="6595" spans="2:23" s="0" customFormat="0" ht="15">
      <c r="B6595" s="87" t="s">
        <v>1</v>
      </c>
      <c r="C6595" s="88" t="s">
        <v>5259</v>
      </c>
      <c r="D6595" s="88">
        <v>12573239</v>
      </c>
      <c r="E6595" s="88" t="s">
        <v>61</v>
      </c>
      <c r="F6595" s="88">
        <v>0</v>
      </c>
      <c r="G6595" s="78">
        <f>MAX(H6595,I6595,J6595)</f>
        <v>0</v>
      </c>
      <c r="H6595" s="88"/>
      <c r="I6595" s="88"/>
      <c r="J6595" s="78">
        <f>MAX(K6595:Q6595)</f>
        <v>0</v>
      </c>
      <c r="K6595" s="88"/>
      <c r="L6595" s="88"/>
      <c r="M6595" s="88"/>
      <c r="N6595" s="88"/>
      <c r="O6595" s="88"/>
      <c r="P6595" s="88"/>
      <c r="Q6595" s="88"/>
      <c r="R6595" s="78">
        <f>MAX(S6595:W6595)</f>
        <v>1</v>
      </c>
      <c r="S6595" s="88"/>
      <c r="T6595" s="88"/>
      <c r="U6595" s="88">
        <v>1</v>
      </c>
      <c r="V6595" s="88"/>
      <c r="W6595" s="88"/>
    </row>
    <row r="6596" spans="2:23" s="0" customFormat="0" ht="15">
      <c r="B6596" s="87" t="s">
        <v>1</v>
      </c>
      <c r="C6596" s="88" t="s">
        <v>5259</v>
      </c>
      <c r="D6596" s="88" t="s">
        <v>1131</v>
      </c>
      <c r="E6596" s="88" t="s">
        <v>61</v>
      </c>
      <c r="F6596" s="88">
        <v>0</v>
      </c>
      <c r="G6596" s="78">
        <f>MAX(H6596,I6596,J6596)</f>
        <v>1</v>
      </c>
      <c r="H6596" s="88"/>
      <c r="I6596" s="88"/>
      <c r="J6596" s="78">
        <f>MAX(K6596:Q6596)</f>
        <v>1</v>
      </c>
      <c r="K6596" s="88">
        <v>1</v>
      </c>
      <c r="L6596" s="88"/>
      <c r="M6596" s="88"/>
      <c r="N6596" s="88"/>
      <c r="O6596" s="88"/>
      <c r="P6596" s="88"/>
      <c r="Q6596" s="88"/>
      <c r="R6596" s="78">
        <f>MAX(S6596:W6596)</f>
        <v>0</v>
      </c>
      <c r="S6596" s="88"/>
      <c r="T6596" s="88"/>
      <c r="U6596" s="88"/>
      <c r="V6596" s="88"/>
      <c r="W6596" s="88"/>
    </row>
    <row r="6597" spans="2:23" s="0" customFormat="0" ht="15">
      <c r="B6597" s="87" t="s">
        <v>1</v>
      </c>
      <c r="C6597" s="88" t="s">
        <v>5259</v>
      </c>
      <c r="D6597" s="88">
        <v>18991273</v>
      </c>
      <c r="E6597" s="88" t="s">
        <v>61</v>
      </c>
      <c r="F6597" s="88">
        <v>0</v>
      </c>
      <c r="G6597" s="78">
        <f>MAX(H6597,I6597,J6597)</f>
        <v>1</v>
      </c>
      <c r="H6597" s="88"/>
      <c r="I6597" s="88"/>
      <c r="J6597" s="78">
        <f>MAX(K6597:Q6597)</f>
        <v>1</v>
      </c>
      <c r="K6597" s="88">
        <v>1</v>
      </c>
      <c r="L6597" s="88"/>
      <c r="M6597" s="88"/>
      <c r="N6597" s="88"/>
      <c r="O6597" s="88"/>
      <c r="P6597" s="88"/>
      <c r="Q6597" s="88"/>
      <c r="R6597" s="78">
        <f>MAX(S6597:W6597)</f>
        <v>0</v>
      </c>
      <c r="S6597" s="88"/>
      <c r="T6597" s="88"/>
      <c r="U6597" s="88"/>
      <c r="V6597" s="88"/>
      <c r="W6597" s="88"/>
    </row>
    <row r="6598" spans="2:23" s="0" customFormat="0" ht="15">
      <c r="B6598" s="87" t="s">
        <v>1</v>
      </c>
      <c r="C6598" s="88" t="s">
        <v>5259</v>
      </c>
      <c r="D6598" s="88" t="s">
        <v>4156</v>
      </c>
      <c r="E6598" s="88" t="s">
        <v>61</v>
      </c>
      <c r="F6598" s="88">
        <v>0</v>
      </c>
      <c r="G6598" s="78">
        <f>MAX(H6598,I6598,J6598)</f>
        <v>0</v>
      </c>
      <c r="H6598" s="88"/>
      <c r="I6598" s="88"/>
      <c r="J6598" s="78">
        <f>MAX(K6598:Q6598)</f>
        <v>0</v>
      </c>
      <c r="K6598" s="88"/>
      <c r="L6598" s="88"/>
      <c r="M6598" s="88"/>
      <c r="N6598" s="88"/>
      <c r="O6598" s="88"/>
      <c r="P6598" s="88"/>
      <c r="Q6598" s="88"/>
      <c r="R6598" s="78">
        <f>MAX(S6598:W6598)</f>
        <v>1</v>
      </c>
      <c r="S6598" s="88"/>
      <c r="T6598" s="88"/>
      <c r="U6598" s="88">
        <v>1</v>
      </c>
      <c r="V6598" s="88"/>
      <c r="W6598" s="88"/>
    </row>
    <row r="6599" spans="2:23" s="0" customFormat="0" ht="15">
      <c r="B6599" s="87" t="s">
        <v>1</v>
      </c>
      <c r="C6599" s="88" t="s">
        <v>5259</v>
      </c>
      <c r="D6599" s="88" t="s">
        <v>4986</v>
      </c>
      <c r="E6599" s="88" t="s">
        <v>61</v>
      </c>
      <c r="F6599" s="88">
        <v>0</v>
      </c>
      <c r="G6599" s="78">
        <f>MAX(H6599,I6599,J6599)</f>
        <v>0</v>
      </c>
      <c r="H6599" s="88"/>
      <c r="I6599" s="88"/>
      <c r="J6599" s="78">
        <f>MAX(K6599:Q6599)</f>
        <v>0</v>
      </c>
      <c r="K6599" s="88"/>
      <c r="L6599" s="88"/>
      <c r="M6599" s="88"/>
      <c r="N6599" s="88"/>
      <c r="O6599" s="88"/>
      <c r="P6599" s="88"/>
      <c r="Q6599" s="88"/>
      <c r="R6599" s="78">
        <f>MAX(S6599:W6599)</f>
        <v>1</v>
      </c>
      <c r="S6599" s="88"/>
      <c r="T6599" s="88"/>
      <c r="U6599" s="88">
        <v>1</v>
      </c>
      <c r="V6599" s="88"/>
      <c r="W6599" s="88"/>
    </row>
    <row r="6600" spans="2:23" s="0" customFormat="0" ht="15">
      <c r="B6600" s="87" t="s">
        <v>1</v>
      </c>
      <c r="C6600" s="88" t="s">
        <v>5259</v>
      </c>
      <c r="D6600" s="88" t="s">
        <v>715</v>
      </c>
      <c r="E6600" s="88" t="s">
        <v>61</v>
      </c>
      <c r="F6600" s="88">
        <v>0</v>
      </c>
      <c r="G6600" s="78">
        <f>MAX(H6600,I6600,J6600)</f>
        <v>1</v>
      </c>
      <c r="H6600" s="88"/>
      <c r="I6600" s="88"/>
      <c r="J6600" s="78">
        <f>MAX(K6600:Q6600)</f>
        <v>1</v>
      </c>
      <c r="K6600" s="88">
        <v>1</v>
      </c>
      <c r="L6600" s="88"/>
      <c r="M6600" s="88"/>
      <c r="N6600" s="88"/>
      <c r="O6600" s="88"/>
      <c r="P6600" s="88"/>
      <c r="Q6600" s="88"/>
      <c r="R6600" s="78">
        <f>MAX(S6600:W6600)</f>
        <v>0</v>
      </c>
      <c r="S6600" s="88"/>
      <c r="T6600" s="88"/>
      <c r="U6600" s="88"/>
      <c r="V6600" s="88"/>
      <c r="W6600" s="88"/>
    </row>
    <row r="6601" spans="2:23" s="0" customFormat="0" ht="15">
      <c r="B6601" s="87" t="s">
        <v>1</v>
      </c>
      <c r="C6601" s="88" t="s">
        <v>5259</v>
      </c>
      <c r="D6601" s="88" t="s">
        <v>3436</v>
      </c>
      <c r="E6601" s="88" t="s">
        <v>61</v>
      </c>
      <c r="F6601" s="88">
        <v>0</v>
      </c>
      <c r="G6601" s="78">
        <f>MAX(H6601,I6601,J6601)</f>
        <v>0</v>
      </c>
      <c r="H6601" s="88"/>
      <c r="I6601" s="88"/>
      <c r="J6601" s="78">
        <f>MAX(K6601:Q6601)</f>
        <v>0</v>
      </c>
      <c r="K6601" s="88"/>
      <c r="L6601" s="88"/>
      <c r="M6601" s="88"/>
      <c r="N6601" s="88"/>
      <c r="O6601" s="88"/>
      <c r="P6601" s="88"/>
      <c r="Q6601" s="88"/>
      <c r="R6601" s="78">
        <f>MAX(S6601:W6601)</f>
        <v>1</v>
      </c>
      <c r="S6601" s="88"/>
      <c r="T6601" s="88"/>
      <c r="U6601" s="88">
        <v>1</v>
      </c>
      <c r="V6601" s="88"/>
      <c r="W6601" s="88"/>
    </row>
    <row r="6602" spans="2:23" s="0" customFormat="0" ht="15">
      <c r="B6602" s="87" t="s">
        <v>1</v>
      </c>
      <c r="C6602" s="88" t="s">
        <v>5259</v>
      </c>
      <c r="D6602" s="88" t="s">
        <v>223</v>
      </c>
      <c r="E6602" s="88" t="s">
        <v>61</v>
      </c>
      <c r="F6602" s="88">
        <v>0</v>
      </c>
      <c r="G6602" s="78">
        <f>MAX(H6602,I6602,J6602)</f>
        <v>1</v>
      </c>
      <c r="H6602" s="88"/>
      <c r="I6602" s="88"/>
      <c r="J6602" s="78">
        <f>MAX(K6602:Q6602)</f>
        <v>1</v>
      </c>
      <c r="K6602" s="88">
        <v>1</v>
      </c>
      <c r="L6602" s="88"/>
      <c r="M6602" s="88"/>
      <c r="N6602" s="88"/>
      <c r="O6602" s="88"/>
      <c r="P6602" s="88"/>
      <c r="Q6602" s="88"/>
      <c r="R6602" s="78">
        <f>MAX(S6602:W6602)</f>
        <v>0</v>
      </c>
      <c r="S6602" s="88"/>
      <c r="T6602" s="88"/>
      <c r="U6602" s="88"/>
      <c r="V6602" s="88"/>
      <c r="W6602" s="88"/>
    </row>
    <row r="6603" spans="2:23" s="0" customFormat="0" ht="15">
      <c r="B6603" s="87" t="s">
        <v>1</v>
      </c>
      <c r="C6603" s="88" t="s">
        <v>5259</v>
      </c>
      <c r="D6603" s="88" t="s">
        <v>5046</v>
      </c>
      <c r="E6603" s="88" t="s">
        <v>61</v>
      </c>
      <c r="F6603" s="88">
        <v>0</v>
      </c>
      <c r="G6603" s="78">
        <f>MAX(H6603,I6603,J6603)</f>
        <v>0</v>
      </c>
      <c r="H6603" s="88"/>
      <c r="I6603" s="88"/>
      <c r="J6603" s="78">
        <f>MAX(K6603:Q6603)</f>
        <v>0</v>
      </c>
      <c r="K6603" s="88"/>
      <c r="L6603" s="88"/>
      <c r="M6603" s="88"/>
      <c r="N6603" s="88"/>
      <c r="O6603" s="88"/>
      <c r="P6603" s="88"/>
      <c r="Q6603" s="88"/>
      <c r="R6603" s="78">
        <f>MAX(S6603:W6603)</f>
        <v>1</v>
      </c>
      <c r="S6603" s="88"/>
      <c r="T6603" s="88"/>
      <c r="U6603" s="88">
        <v>1</v>
      </c>
      <c r="V6603" s="88"/>
      <c r="W6603" s="88"/>
    </row>
    <row r="6604" spans="2:23" s="0" customFormat="0" ht="15">
      <c r="B6604" s="87" t="s">
        <v>1</v>
      </c>
      <c r="C6604" s="88" t="s">
        <v>5259</v>
      </c>
      <c r="D6604" s="88">
        <v>22554266</v>
      </c>
      <c r="E6604" s="88" t="s">
        <v>61</v>
      </c>
      <c r="F6604" s="88">
        <v>0</v>
      </c>
      <c r="G6604" s="78">
        <f>MAX(H6604,I6604,J6604)</f>
        <v>0</v>
      </c>
      <c r="H6604" s="88"/>
      <c r="I6604" s="88"/>
      <c r="J6604" s="78">
        <f>MAX(K6604:Q6604)</f>
        <v>0</v>
      </c>
      <c r="K6604" s="88"/>
      <c r="L6604" s="88"/>
      <c r="M6604" s="88"/>
      <c r="N6604" s="88"/>
      <c r="O6604" s="88"/>
      <c r="P6604" s="88"/>
      <c r="Q6604" s="88"/>
      <c r="R6604" s="78">
        <f>MAX(S6604:W6604)</f>
        <v>1</v>
      </c>
      <c r="S6604" s="88"/>
      <c r="T6604" s="88"/>
      <c r="U6604" s="88">
        <v>1</v>
      </c>
      <c r="V6604" s="88"/>
      <c r="W6604" s="88"/>
    </row>
    <row r="6605" spans="2:23" s="0" customFormat="0" ht="15">
      <c r="B6605" s="87" t="s">
        <v>1</v>
      </c>
      <c r="C6605" s="88" t="s">
        <v>5259</v>
      </c>
      <c r="D6605" s="88">
        <v>15468825</v>
      </c>
      <c r="E6605" s="88" t="s">
        <v>61</v>
      </c>
      <c r="F6605" s="88">
        <v>0</v>
      </c>
      <c r="G6605" s="78">
        <f>MAX(H6605,I6605,J6605)</f>
        <v>1</v>
      </c>
      <c r="H6605" s="88"/>
      <c r="I6605" s="88"/>
      <c r="J6605" s="78">
        <f>MAX(K6605:Q6605)</f>
        <v>1</v>
      </c>
      <c r="K6605" s="88">
        <v>1</v>
      </c>
      <c r="L6605" s="88"/>
      <c r="M6605" s="88"/>
      <c r="N6605" s="88"/>
      <c r="O6605" s="88"/>
      <c r="P6605" s="88"/>
      <c r="Q6605" s="88"/>
      <c r="R6605" s="78">
        <f>MAX(S6605:W6605)</f>
        <v>0</v>
      </c>
      <c r="S6605" s="88"/>
      <c r="T6605" s="88"/>
      <c r="U6605" s="88"/>
      <c r="V6605" s="88"/>
      <c r="W6605" s="88"/>
    </row>
    <row r="6606" spans="2:23" s="0" customFormat="0" ht="15">
      <c r="B6606" s="87" t="s">
        <v>1</v>
      </c>
      <c r="C6606" s="88" t="s">
        <v>5259</v>
      </c>
      <c r="D6606" s="88">
        <v>20959890</v>
      </c>
      <c r="E6606" s="88" t="s">
        <v>61</v>
      </c>
      <c r="F6606" s="88">
        <v>0</v>
      </c>
      <c r="G6606" s="78">
        <f>MAX(H6606,I6606,J6606)</f>
        <v>1</v>
      </c>
      <c r="H6606" s="88"/>
      <c r="I6606" s="88"/>
      <c r="J6606" s="78">
        <f>MAX(K6606:Q6606)</f>
        <v>1</v>
      </c>
      <c r="K6606" s="88">
        <v>1</v>
      </c>
      <c r="L6606" s="88"/>
      <c r="M6606" s="88"/>
      <c r="N6606" s="88"/>
      <c r="O6606" s="88"/>
      <c r="P6606" s="88"/>
      <c r="Q6606" s="88"/>
      <c r="R6606" s="78">
        <f>MAX(S6606:W6606)</f>
        <v>0</v>
      </c>
      <c r="S6606" s="88"/>
      <c r="T6606" s="88"/>
      <c r="U6606" s="88"/>
      <c r="V6606" s="88"/>
      <c r="W6606" s="88"/>
    </row>
    <row r="6607" spans="2:23" s="0" customFormat="0" ht="15">
      <c r="B6607" s="87" t="s">
        <v>1</v>
      </c>
      <c r="C6607" s="88" t="s">
        <v>5259</v>
      </c>
      <c r="D6607" s="88" t="s">
        <v>4160</v>
      </c>
      <c r="E6607" s="88" t="s">
        <v>61</v>
      </c>
      <c r="F6607" s="88">
        <v>0</v>
      </c>
      <c r="G6607" s="78">
        <f>MAX(H6607,I6607,J6607)</f>
        <v>0</v>
      </c>
      <c r="H6607" s="88"/>
      <c r="I6607" s="88"/>
      <c r="J6607" s="78">
        <f>MAX(K6607:Q6607)</f>
        <v>0</v>
      </c>
      <c r="K6607" s="88"/>
      <c r="L6607" s="88"/>
      <c r="M6607" s="88"/>
      <c r="N6607" s="88"/>
      <c r="O6607" s="88"/>
      <c r="P6607" s="88"/>
      <c r="Q6607" s="88"/>
      <c r="R6607" s="78">
        <f>MAX(S6607:W6607)</f>
        <v>1</v>
      </c>
      <c r="S6607" s="88"/>
      <c r="T6607" s="88"/>
      <c r="U6607" s="88">
        <v>1</v>
      </c>
      <c r="V6607" s="88"/>
      <c r="W6607" s="88"/>
    </row>
    <row r="6608" spans="2:23" s="0" customFormat="0" ht="15">
      <c r="B6608" s="87" t="s">
        <v>1</v>
      </c>
      <c r="C6608" s="88" t="s">
        <v>5259</v>
      </c>
      <c r="D6608" s="88" t="s">
        <v>5223</v>
      </c>
      <c r="E6608" s="88" t="s">
        <v>61</v>
      </c>
      <c r="F6608" s="88">
        <v>0</v>
      </c>
      <c r="G6608" s="78">
        <f>MAX(H6608,I6608,J6608)</f>
        <v>0</v>
      </c>
      <c r="H6608" s="88"/>
      <c r="I6608" s="88"/>
      <c r="J6608" s="78">
        <f>MAX(K6608:Q6608)</f>
        <v>0</v>
      </c>
      <c r="K6608" s="88"/>
      <c r="L6608" s="88"/>
      <c r="M6608" s="88"/>
      <c r="N6608" s="88"/>
      <c r="O6608" s="88"/>
      <c r="P6608" s="88"/>
      <c r="Q6608" s="88"/>
      <c r="R6608" s="78">
        <f>MAX(S6608:W6608)</f>
        <v>1</v>
      </c>
      <c r="S6608" s="88"/>
      <c r="T6608" s="88"/>
      <c r="U6608" s="88">
        <v>1</v>
      </c>
      <c r="V6608" s="88"/>
      <c r="W6608" s="88"/>
    </row>
    <row r="6609" spans="2:23" s="0" customFormat="0" ht="15">
      <c r="B6609" s="87" t="s">
        <v>1</v>
      </c>
      <c r="C6609" s="88" t="s">
        <v>5259</v>
      </c>
      <c r="D6609" s="88" t="s">
        <v>5189</v>
      </c>
      <c r="E6609" s="88" t="s">
        <v>61</v>
      </c>
      <c r="F6609" s="88">
        <v>0</v>
      </c>
      <c r="G6609" s="78">
        <f>MAX(H6609,I6609,J6609)</f>
        <v>0</v>
      </c>
      <c r="H6609" s="88"/>
      <c r="I6609" s="88"/>
      <c r="J6609" s="78">
        <f>MAX(K6609:Q6609)</f>
        <v>0</v>
      </c>
      <c r="K6609" s="88"/>
      <c r="L6609" s="88"/>
      <c r="M6609" s="88"/>
      <c r="N6609" s="88"/>
      <c r="O6609" s="88"/>
      <c r="P6609" s="88"/>
      <c r="Q6609" s="88"/>
      <c r="R6609" s="78">
        <f>MAX(S6609:W6609)</f>
        <v>1</v>
      </c>
      <c r="S6609" s="88"/>
      <c r="T6609" s="88"/>
      <c r="U6609" s="88">
        <v>1</v>
      </c>
      <c r="V6609" s="88"/>
      <c r="W6609" s="88"/>
    </row>
    <row r="6610" spans="2:23" s="0" customFormat="0" ht="15">
      <c r="B6610" s="87" t="s">
        <v>1</v>
      </c>
      <c r="C6610" s="88" t="s">
        <v>5259</v>
      </c>
      <c r="D6610" s="88" t="s">
        <v>4565</v>
      </c>
      <c r="E6610" s="88" t="s">
        <v>61</v>
      </c>
      <c r="F6610" s="88">
        <v>0</v>
      </c>
      <c r="G6610" s="78">
        <f>MAX(H6610,I6610,J6610)</f>
        <v>0</v>
      </c>
      <c r="H6610" s="88"/>
      <c r="I6610" s="88"/>
      <c r="J6610" s="78">
        <f>MAX(K6610:Q6610)</f>
        <v>0</v>
      </c>
      <c r="K6610" s="88"/>
      <c r="L6610" s="88"/>
      <c r="M6610" s="88"/>
      <c r="N6610" s="88"/>
      <c r="O6610" s="88"/>
      <c r="P6610" s="88"/>
      <c r="Q6610" s="88"/>
      <c r="R6610" s="78">
        <f>MAX(S6610:W6610)</f>
        <v>1</v>
      </c>
      <c r="S6610" s="88"/>
      <c r="T6610" s="88"/>
      <c r="U6610" s="88">
        <v>1</v>
      </c>
      <c r="V6610" s="88"/>
      <c r="W6610" s="88"/>
    </row>
    <row r="6611" spans="2:23" s="0" customFormat="0" ht="15">
      <c r="B6611" s="87" t="s">
        <v>1</v>
      </c>
      <c r="C6611" s="88" t="s">
        <v>5259</v>
      </c>
      <c r="D6611" s="88" t="s">
        <v>3803</v>
      </c>
      <c r="E6611" s="88" t="s">
        <v>61</v>
      </c>
      <c r="F6611" s="88">
        <v>0</v>
      </c>
      <c r="G6611" s="78">
        <f>MAX(H6611,I6611,J6611)</f>
        <v>0</v>
      </c>
      <c r="H6611" s="88"/>
      <c r="I6611" s="88"/>
      <c r="J6611" s="78">
        <f>MAX(K6611:Q6611)</f>
        <v>0</v>
      </c>
      <c r="K6611" s="88"/>
      <c r="L6611" s="88"/>
      <c r="M6611" s="88"/>
      <c r="N6611" s="88"/>
      <c r="O6611" s="88"/>
      <c r="P6611" s="88"/>
      <c r="Q6611" s="88"/>
      <c r="R6611" s="78">
        <f>MAX(S6611:W6611)</f>
        <v>1</v>
      </c>
      <c r="S6611" s="88"/>
      <c r="T6611" s="88"/>
      <c r="U6611" s="88">
        <v>1</v>
      </c>
      <c r="V6611" s="88"/>
      <c r="W6611" s="88"/>
    </row>
    <row r="6612" spans="2:23" s="0" customFormat="0" ht="15">
      <c r="B6612" s="87" t="s">
        <v>1</v>
      </c>
      <c r="C6612" s="88" t="s">
        <v>5259</v>
      </c>
      <c r="D6612" s="88" t="s">
        <v>5221</v>
      </c>
      <c r="E6612" s="88" t="s">
        <v>61</v>
      </c>
      <c r="F6612" s="88">
        <v>0</v>
      </c>
      <c r="G6612" s="78">
        <f>MAX(H6612,I6612,J6612)</f>
        <v>0</v>
      </c>
      <c r="H6612" s="88"/>
      <c r="I6612" s="88"/>
      <c r="J6612" s="78">
        <f>MAX(K6612:Q6612)</f>
        <v>0</v>
      </c>
      <c r="K6612" s="88"/>
      <c r="L6612" s="88"/>
      <c r="M6612" s="88"/>
      <c r="N6612" s="88"/>
      <c r="O6612" s="88"/>
      <c r="P6612" s="88"/>
      <c r="Q6612" s="88"/>
      <c r="R6612" s="78">
        <f>MAX(S6612:W6612)</f>
        <v>1</v>
      </c>
      <c r="S6612" s="88"/>
      <c r="T6612" s="88"/>
      <c r="U6612" s="88">
        <v>1</v>
      </c>
      <c r="V6612" s="88"/>
      <c r="W6612" s="88"/>
    </row>
    <row r="6613" spans="2:23" s="0" customFormat="0" ht="15">
      <c r="B6613" s="87" t="s">
        <v>1</v>
      </c>
      <c r="C6613" s="88" t="s">
        <v>5259</v>
      </c>
      <c r="D6613" s="88">
        <v>22227999</v>
      </c>
      <c r="E6613" s="88" t="s">
        <v>61</v>
      </c>
      <c r="F6613" s="88">
        <v>0</v>
      </c>
      <c r="G6613" s="78">
        <f>MAX(H6613,I6613,J6613)</f>
        <v>1</v>
      </c>
      <c r="H6613" s="88"/>
      <c r="I6613" s="88"/>
      <c r="J6613" s="78">
        <f>MAX(K6613:Q6613)</f>
        <v>1</v>
      </c>
      <c r="K6613" s="88">
        <v>1</v>
      </c>
      <c r="L6613" s="88"/>
      <c r="M6613" s="88"/>
      <c r="N6613" s="88"/>
      <c r="O6613" s="88"/>
      <c r="P6613" s="88"/>
      <c r="Q6613" s="88"/>
      <c r="R6613" s="78">
        <f>MAX(S6613:W6613)</f>
        <v>0</v>
      </c>
      <c r="S6613" s="88"/>
      <c r="T6613" s="88"/>
      <c r="U6613" s="88"/>
      <c r="V6613" s="88"/>
      <c r="W6613" s="88"/>
    </row>
    <row r="6614" spans="2:23" s="0" customFormat="0" ht="15">
      <c r="B6614" s="87" t="s">
        <v>1</v>
      </c>
      <c r="C6614" s="88" t="s">
        <v>5259</v>
      </c>
      <c r="D6614" s="88">
        <v>7821787</v>
      </c>
      <c r="E6614" s="88" t="s">
        <v>61</v>
      </c>
      <c r="F6614" s="88">
        <v>0</v>
      </c>
      <c r="G6614" s="78">
        <f>MAX(H6614,I6614,J6614)</f>
        <v>1</v>
      </c>
      <c r="H6614" s="88"/>
      <c r="I6614" s="88"/>
      <c r="J6614" s="78">
        <f>MAX(K6614:Q6614)</f>
        <v>1</v>
      </c>
      <c r="K6614" s="88">
        <v>1</v>
      </c>
      <c r="L6614" s="88"/>
      <c r="M6614" s="88"/>
      <c r="N6614" s="88"/>
      <c r="O6614" s="88"/>
      <c r="P6614" s="88"/>
      <c r="Q6614" s="88"/>
      <c r="R6614" s="78">
        <f>MAX(S6614:W6614)</f>
        <v>0</v>
      </c>
      <c r="S6614" s="88"/>
      <c r="T6614" s="88"/>
      <c r="U6614" s="88"/>
      <c r="V6614" s="88"/>
      <c r="W6614" s="88"/>
    </row>
    <row r="6615" spans="2:23" s="0" customFormat="0" ht="15">
      <c r="B6615" s="87" t="s">
        <v>1</v>
      </c>
      <c r="C6615" s="88" t="s">
        <v>5259</v>
      </c>
      <c r="D6615" s="88">
        <v>15462933</v>
      </c>
      <c r="E6615" s="88" t="s">
        <v>61</v>
      </c>
      <c r="F6615" s="88">
        <v>0</v>
      </c>
      <c r="G6615" s="78">
        <f>MAX(H6615,I6615,J6615)</f>
        <v>1</v>
      </c>
      <c r="H6615" s="88"/>
      <c r="I6615" s="88"/>
      <c r="J6615" s="78">
        <f>MAX(K6615:Q6615)</f>
        <v>1</v>
      </c>
      <c r="K6615" s="88">
        <v>1</v>
      </c>
      <c r="L6615" s="88"/>
      <c r="M6615" s="88"/>
      <c r="N6615" s="88"/>
      <c r="O6615" s="88"/>
      <c r="P6615" s="88"/>
      <c r="Q6615" s="88"/>
      <c r="R6615" s="78">
        <f>MAX(S6615:W6615)</f>
        <v>0</v>
      </c>
      <c r="S6615" s="88"/>
      <c r="T6615" s="88"/>
      <c r="U6615" s="88"/>
      <c r="V6615" s="88"/>
      <c r="W6615" s="88"/>
    </row>
    <row r="6616" spans="2:23" s="0" customFormat="0" ht="15">
      <c r="B6616" s="87" t="s">
        <v>1</v>
      </c>
      <c r="C6616" s="88" t="s">
        <v>5259</v>
      </c>
      <c r="D6616" s="88" t="s">
        <v>3954</v>
      </c>
      <c r="E6616" s="88" t="s">
        <v>61</v>
      </c>
      <c r="F6616" s="88">
        <v>0</v>
      </c>
      <c r="G6616" s="78">
        <f>MAX(H6616,I6616,J6616)</f>
        <v>0</v>
      </c>
      <c r="H6616" s="88"/>
      <c r="I6616" s="88"/>
      <c r="J6616" s="78">
        <f>MAX(K6616:Q6616)</f>
        <v>0</v>
      </c>
      <c r="K6616" s="88"/>
      <c r="L6616" s="88"/>
      <c r="M6616" s="88"/>
      <c r="N6616" s="88"/>
      <c r="O6616" s="88"/>
      <c r="P6616" s="88"/>
      <c r="Q6616" s="88"/>
      <c r="R6616" s="78">
        <f>MAX(S6616:W6616)</f>
        <v>1</v>
      </c>
      <c r="S6616" s="88"/>
      <c r="T6616" s="88"/>
      <c r="U6616" s="88">
        <v>1</v>
      </c>
      <c r="V6616" s="88"/>
      <c r="W6616" s="88"/>
    </row>
    <row r="6617" spans="2:23" s="0" customFormat="0" ht="15">
      <c r="B6617" s="87" t="s">
        <v>1</v>
      </c>
      <c r="C6617" s="88" t="s">
        <v>5259</v>
      </c>
      <c r="D6617" s="88">
        <v>260991</v>
      </c>
      <c r="E6617" s="88" t="s">
        <v>61</v>
      </c>
      <c r="F6617" s="88">
        <v>0</v>
      </c>
      <c r="G6617" s="78">
        <f>MAX(H6617,I6617,J6617)</f>
        <v>1</v>
      </c>
      <c r="H6617" s="88"/>
      <c r="I6617" s="88"/>
      <c r="J6617" s="78">
        <f>MAX(K6617:Q6617)</f>
        <v>1</v>
      </c>
      <c r="K6617" s="88">
        <v>1</v>
      </c>
      <c r="L6617" s="88"/>
      <c r="M6617" s="88"/>
      <c r="N6617" s="88"/>
      <c r="O6617" s="88"/>
      <c r="P6617" s="88"/>
      <c r="Q6617" s="88"/>
      <c r="R6617" s="78">
        <f>MAX(S6617:W6617)</f>
        <v>0</v>
      </c>
      <c r="S6617" s="88"/>
      <c r="T6617" s="88"/>
      <c r="U6617" s="88"/>
      <c r="V6617" s="88"/>
      <c r="W6617" s="88"/>
    </row>
    <row r="6618" spans="2:23" s="0" customFormat="0" ht="15">
      <c r="B6618" s="87" t="s">
        <v>1</v>
      </c>
      <c r="C6618" s="88" t="s">
        <v>5259</v>
      </c>
      <c r="D6618" s="88">
        <v>22412940</v>
      </c>
      <c r="E6618" s="88" t="s">
        <v>61</v>
      </c>
      <c r="F6618" s="88">
        <v>0</v>
      </c>
      <c r="G6618" s="78">
        <f>MAX(H6618,I6618,J6618)</f>
        <v>1</v>
      </c>
      <c r="H6618" s="88"/>
      <c r="I6618" s="88"/>
      <c r="J6618" s="78">
        <f>MAX(K6618:Q6618)</f>
        <v>1</v>
      </c>
      <c r="K6618" s="88">
        <v>1</v>
      </c>
      <c r="L6618" s="88"/>
      <c r="M6618" s="88"/>
      <c r="N6618" s="88"/>
      <c r="O6618" s="88"/>
      <c r="P6618" s="88"/>
      <c r="Q6618" s="88"/>
      <c r="R6618" s="78">
        <f>MAX(S6618:W6618)</f>
        <v>0</v>
      </c>
      <c r="S6618" s="88"/>
      <c r="T6618" s="88"/>
      <c r="U6618" s="88"/>
      <c r="V6618" s="88"/>
      <c r="W6618" s="88"/>
    </row>
    <row r="6619" spans="2:23" s="0" customFormat="0" ht="15">
      <c r="B6619" s="87" t="s">
        <v>1</v>
      </c>
      <c r="C6619" s="88" t="s">
        <v>5259</v>
      </c>
      <c r="D6619" s="88">
        <v>18960229</v>
      </c>
      <c r="E6619" s="88" t="s">
        <v>61</v>
      </c>
      <c r="F6619" s="88">
        <v>0</v>
      </c>
      <c r="G6619" s="78">
        <f>MAX(H6619,I6619,J6619)</f>
        <v>1</v>
      </c>
      <c r="H6619" s="88"/>
      <c r="I6619" s="88"/>
      <c r="J6619" s="78">
        <f>MAX(K6619:Q6619)</f>
        <v>1</v>
      </c>
      <c r="K6619" s="88">
        <v>1</v>
      </c>
      <c r="L6619" s="88"/>
      <c r="M6619" s="88"/>
      <c r="N6619" s="88"/>
      <c r="O6619" s="88"/>
      <c r="P6619" s="88"/>
      <c r="Q6619" s="88"/>
      <c r="R6619" s="78">
        <f>MAX(S6619:W6619)</f>
        <v>0</v>
      </c>
      <c r="S6619" s="88"/>
      <c r="T6619" s="88"/>
      <c r="U6619" s="88"/>
      <c r="V6619" s="88"/>
      <c r="W6619" s="88"/>
    </row>
    <row r="6620" spans="2:23" s="0" customFormat="0" ht="15">
      <c r="B6620" s="87" t="s">
        <v>1</v>
      </c>
      <c r="C6620" s="88" t="s">
        <v>5259</v>
      </c>
      <c r="D6620" s="88" t="s">
        <v>5234</v>
      </c>
      <c r="E6620" s="88" t="s">
        <v>61</v>
      </c>
      <c r="F6620" s="88">
        <v>0</v>
      </c>
      <c r="G6620" s="78">
        <f>MAX(H6620,I6620,J6620)</f>
        <v>0</v>
      </c>
      <c r="H6620" s="88"/>
      <c r="I6620" s="88"/>
      <c r="J6620" s="78">
        <f>MAX(K6620:Q6620)</f>
        <v>0</v>
      </c>
      <c r="K6620" s="88"/>
      <c r="L6620" s="88"/>
      <c r="M6620" s="88"/>
      <c r="N6620" s="88"/>
      <c r="O6620" s="88"/>
      <c r="P6620" s="88"/>
      <c r="Q6620" s="88"/>
      <c r="R6620" s="78">
        <f>MAX(S6620:W6620)</f>
        <v>1</v>
      </c>
      <c r="S6620" s="88"/>
      <c r="T6620" s="88"/>
      <c r="U6620" s="88">
        <v>1</v>
      </c>
      <c r="V6620" s="88"/>
      <c r="W6620" s="88"/>
    </row>
    <row r="6621" spans="2:23" s="0" customFormat="0" ht="15">
      <c r="B6621" s="87" t="s">
        <v>1</v>
      </c>
      <c r="C6621" s="88" t="s">
        <v>5259</v>
      </c>
      <c r="D6621" s="88">
        <v>21483226</v>
      </c>
      <c r="E6621" s="88" t="s">
        <v>61</v>
      </c>
      <c r="F6621" s="88">
        <v>0</v>
      </c>
      <c r="G6621" s="78">
        <f>MAX(H6621,I6621,J6621)</f>
        <v>1</v>
      </c>
      <c r="H6621" s="88"/>
      <c r="I6621" s="88"/>
      <c r="J6621" s="78">
        <f>MAX(K6621:Q6621)</f>
        <v>1</v>
      </c>
      <c r="K6621" s="88">
        <v>1</v>
      </c>
      <c r="L6621" s="88"/>
      <c r="M6621" s="88"/>
      <c r="N6621" s="88"/>
      <c r="O6621" s="88"/>
      <c r="P6621" s="88"/>
      <c r="Q6621" s="88"/>
      <c r="R6621" s="78">
        <f>MAX(S6621:W6621)</f>
        <v>0</v>
      </c>
      <c r="S6621" s="88"/>
      <c r="T6621" s="88"/>
      <c r="U6621" s="88"/>
      <c r="V6621" s="88"/>
      <c r="W6621" s="88"/>
    </row>
    <row r="6622" spans="2:23" s="0" customFormat="0" ht="15">
      <c r="B6622" s="87" t="s">
        <v>1</v>
      </c>
      <c r="C6622" s="88" t="s">
        <v>5259</v>
      </c>
      <c r="D6622" s="88">
        <v>14577841</v>
      </c>
      <c r="E6622" s="88" t="s">
        <v>61</v>
      </c>
      <c r="F6622" s="88">
        <v>0</v>
      </c>
      <c r="G6622" s="78">
        <f>MAX(H6622,I6622,J6622)</f>
        <v>1</v>
      </c>
      <c r="H6622" s="88"/>
      <c r="I6622" s="88"/>
      <c r="J6622" s="78">
        <f>MAX(K6622:Q6622)</f>
        <v>1</v>
      </c>
      <c r="K6622" s="88">
        <v>1</v>
      </c>
      <c r="L6622" s="88"/>
      <c r="M6622" s="88"/>
      <c r="N6622" s="88"/>
      <c r="O6622" s="88"/>
      <c r="P6622" s="88"/>
      <c r="Q6622" s="88"/>
      <c r="R6622" s="78">
        <f>MAX(S6622:W6622)</f>
        <v>0</v>
      </c>
      <c r="S6622" s="88"/>
      <c r="T6622" s="88"/>
      <c r="U6622" s="88"/>
      <c r="V6622" s="88"/>
      <c r="W6622" s="88"/>
    </row>
    <row r="6623" spans="2:23" s="0" customFormat="0" ht="15">
      <c r="B6623" s="87" t="s">
        <v>1</v>
      </c>
      <c r="C6623" s="88" t="s">
        <v>5259</v>
      </c>
      <c r="D6623" s="88">
        <v>11252201</v>
      </c>
      <c r="E6623" s="88" t="s">
        <v>61</v>
      </c>
      <c r="F6623" s="88">
        <v>0</v>
      </c>
      <c r="G6623" s="78">
        <f>MAX(H6623,I6623,J6623)</f>
        <v>1</v>
      </c>
      <c r="H6623" s="88"/>
      <c r="I6623" s="88"/>
      <c r="J6623" s="78">
        <f>MAX(K6623:Q6623)</f>
        <v>1</v>
      </c>
      <c r="K6623" s="88">
        <v>1</v>
      </c>
      <c r="L6623" s="88"/>
      <c r="M6623" s="88"/>
      <c r="N6623" s="88"/>
      <c r="O6623" s="88"/>
      <c r="P6623" s="88"/>
      <c r="Q6623" s="88"/>
      <c r="R6623" s="78">
        <f>MAX(S6623:W6623)</f>
        <v>0</v>
      </c>
      <c r="S6623" s="88"/>
      <c r="T6623" s="88"/>
      <c r="U6623" s="88"/>
      <c r="V6623" s="88"/>
      <c r="W6623" s="88"/>
    </row>
    <row r="6624" spans="2:23" s="0" customFormat="0" ht="15">
      <c r="B6624" s="87" t="s">
        <v>1</v>
      </c>
      <c r="C6624" s="88" t="s">
        <v>5259</v>
      </c>
      <c r="D6624" s="88" t="s">
        <v>2843</v>
      </c>
      <c r="E6624" s="88" t="s">
        <v>61</v>
      </c>
      <c r="F6624" s="88">
        <v>0</v>
      </c>
      <c r="G6624" s="78">
        <f>MAX(H6624,I6624,J6624)</f>
        <v>1</v>
      </c>
      <c r="H6624" s="88"/>
      <c r="I6624" s="88"/>
      <c r="J6624" s="78">
        <f>MAX(K6624:Q6624)</f>
        <v>1</v>
      </c>
      <c r="K6624" s="88">
        <v>1</v>
      </c>
      <c r="L6624" s="88"/>
      <c r="M6624" s="88"/>
      <c r="N6624" s="88"/>
      <c r="O6624" s="88"/>
      <c r="P6624" s="88"/>
      <c r="Q6624" s="88"/>
      <c r="R6624" s="78">
        <f>MAX(S6624:W6624)</f>
        <v>0</v>
      </c>
      <c r="S6624" s="88"/>
      <c r="T6624" s="88"/>
      <c r="U6624" s="88"/>
      <c r="V6624" s="88"/>
      <c r="W6624" s="88"/>
    </row>
    <row r="6625" spans="2:23" s="0" customFormat="0" ht="15">
      <c r="B6625" s="87" t="s">
        <v>1</v>
      </c>
      <c r="C6625" s="88" t="s">
        <v>5259</v>
      </c>
      <c r="D6625" s="88" t="s">
        <v>2805</v>
      </c>
      <c r="E6625" s="88" t="s">
        <v>61</v>
      </c>
      <c r="F6625" s="88">
        <v>0</v>
      </c>
      <c r="G6625" s="78">
        <f>MAX(H6625,I6625,J6625)</f>
        <v>1</v>
      </c>
      <c r="H6625" s="88"/>
      <c r="I6625" s="88"/>
      <c r="J6625" s="78">
        <f>MAX(K6625:Q6625)</f>
        <v>1</v>
      </c>
      <c r="K6625" s="88">
        <v>1</v>
      </c>
      <c r="L6625" s="88"/>
      <c r="M6625" s="88"/>
      <c r="N6625" s="88"/>
      <c r="O6625" s="88"/>
      <c r="P6625" s="88"/>
      <c r="Q6625" s="88"/>
      <c r="R6625" s="78">
        <f>MAX(S6625:W6625)</f>
        <v>0</v>
      </c>
      <c r="S6625" s="88"/>
      <c r="T6625" s="88"/>
      <c r="U6625" s="88"/>
      <c r="V6625" s="88"/>
      <c r="W6625" s="88"/>
    </row>
    <row r="6626" spans="2:23" s="0" customFormat="0" ht="15">
      <c r="B6626" s="87" t="s">
        <v>1</v>
      </c>
      <c r="C6626" s="88" t="s">
        <v>5259</v>
      </c>
      <c r="D6626" s="88">
        <v>24190431</v>
      </c>
      <c r="E6626" s="88" t="s">
        <v>61</v>
      </c>
      <c r="F6626" s="88">
        <v>0</v>
      </c>
      <c r="G6626" s="78">
        <f>MAX(H6626,I6626,J6626)</f>
        <v>1</v>
      </c>
      <c r="H6626" s="88"/>
      <c r="I6626" s="88"/>
      <c r="J6626" s="78">
        <f>MAX(K6626:Q6626)</f>
        <v>1</v>
      </c>
      <c r="K6626" s="88"/>
      <c r="L6626" s="88"/>
      <c r="M6626" s="88">
        <v>1</v>
      </c>
      <c r="N6626" s="88"/>
      <c r="O6626" s="88"/>
      <c r="P6626" s="88"/>
      <c r="Q6626" s="88"/>
      <c r="R6626" s="78">
        <f>MAX(S6626:W6626)</f>
        <v>0</v>
      </c>
      <c r="S6626" s="88"/>
      <c r="T6626" s="88"/>
      <c r="U6626" s="88"/>
      <c r="V6626" s="88"/>
      <c r="W6626" s="88"/>
    </row>
    <row r="6627" spans="2:23" s="0" customFormat="0" ht="15">
      <c r="B6627" s="87" t="s">
        <v>1</v>
      </c>
      <c r="C6627" s="88" t="s">
        <v>5259</v>
      </c>
      <c r="D6627" s="88" t="s">
        <v>2965</v>
      </c>
      <c r="E6627" s="88" t="s">
        <v>61</v>
      </c>
      <c r="F6627" s="88">
        <v>0</v>
      </c>
      <c r="G6627" s="78">
        <f>MAX(H6627,I6627,J6627)</f>
        <v>1</v>
      </c>
      <c r="H6627" s="88"/>
      <c r="I6627" s="88"/>
      <c r="J6627" s="78">
        <f>MAX(K6627:Q6627)</f>
        <v>1</v>
      </c>
      <c r="K6627" s="88">
        <v>1</v>
      </c>
      <c r="L6627" s="88"/>
      <c r="M6627" s="88"/>
      <c r="N6627" s="88"/>
      <c r="O6627" s="88"/>
      <c r="P6627" s="88"/>
      <c r="Q6627" s="88"/>
      <c r="R6627" s="78">
        <f>MAX(S6627:W6627)</f>
        <v>0</v>
      </c>
      <c r="S6627" s="88"/>
      <c r="T6627" s="88"/>
      <c r="U6627" s="88"/>
      <c r="V6627" s="88"/>
      <c r="W6627" s="88"/>
    </row>
    <row r="6628" spans="2:23" s="0" customFormat="0" ht="15">
      <c r="B6628" s="87" t="s">
        <v>1</v>
      </c>
      <c r="C6628" s="88" t="s">
        <v>5259</v>
      </c>
      <c r="D6628" s="88">
        <v>14504605</v>
      </c>
      <c r="E6628" s="88" t="s">
        <v>61</v>
      </c>
      <c r="F6628" s="88">
        <v>0</v>
      </c>
      <c r="G6628" s="78">
        <f>MAX(H6628,I6628,J6628)</f>
        <v>1</v>
      </c>
      <c r="H6628" s="88"/>
      <c r="I6628" s="88"/>
      <c r="J6628" s="78">
        <f>MAX(K6628:Q6628)</f>
        <v>1</v>
      </c>
      <c r="K6628" s="88"/>
      <c r="L6628" s="88">
        <v>1</v>
      </c>
      <c r="M6628" s="88"/>
      <c r="N6628" s="88"/>
      <c r="O6628" s="88"/>
      <c r="P6628" s="88"/>
      <c r="Q6628" s="88"/>
      <c r="R6628" s="78">
        <f>MAX(S6628:W6628)</f>
        <v>0</v>
      </c>
      <c r="S6628" s="88"/>
      <c r="T6628" s="88"/>
      <c r="U6628" s="88"/>
      <c r="V6628" s="88"/>
      <c r="W6628" s="88"/>
    </row>
    <row r="6629" spans="2:23" s="0" customFormat="0" ht="15">
      <c r="B6629" s="87" t="s">
        <v>1</v>
      </c>
      <c r="C6629" s="88" t="s">
        <v>5259</v>
      </c>
      <c r="D6629" s="88" t="s">
        <v>1584</v>
      </c>
      <c r="E6629" s="88" t="s">
        <v>61</v>
      </c>
      <c r="F6629" s="88">
        <v>0</v>
      </c>
      <c r="G6629" s="78">
        <f>MAX(H6629,I6629,J6629)</f>
        <v>1</v>
      </c>
      <c r="H6629" s="88"/>
      <c r="I6629" s="88"/>
      <c r="J6629" s="78">
        <f>MAX(K6629:Q6629)</f>
        <v>1</v>
      </c>
      <c r="K6629" s="88">
        <v>1</v>
      </c>
      <c r="L6629" s="88"/>
      <c r="M6629" s="88"/>
      <c r="N6629" s="88"/>
      <c r="O6629" s="88"/>
      <c r="P6629" s="88"/>
      <c r="Q6629" s="88"/>
      <c r="R6629" s="78">
        <f>MAX(S6629:W6629)</f>
        <v>0</v>
      </c>
      <c r="S6629" s="88"/>
      <c r="T6629" s="88"/>
      <c r="U6629" s="88"/>
      <c r="V6629" s="88"/>
      <c r="W6629" s="88"/>
    </row>
    <row r="6630" spans="2:23" s="0" customFormat="0" ht="15">
      <c r="B6630" s="87" t="s">
        <v>1</v>
      </c>
      <c r="C6630" s="88" t="s">
        <v>5259</v>
      </c>
      <c r="D6630" s="88" t="s">
        <v>2116</v>
      </c>
      <c r="E6630" s="88" t="s">
        <v>61</v>
      </c>
      <c r="F6630" s="88">
        <v>0</v>
      </c>
      <c r="G6630" s="78">
        <f>MAX(H6630,I6630,J6630)</f>
        <v>1</v>
      </c>
      <c r="H6630" s="88"/>
      <c r="I6630" s="88"/>
      <c r="J6630" s="78">
        <f>MAX(K6630:Q6630)</f>
        <v>1</v>
      </c>
      <c r="K6630" s="88">
        <v>1</v>
      </c>
      <c r="L6630" s="88"/>
      <c r="M6630" s="88"/>
      <c r="N6630" s="88"/>
      <c r="O6630" s="88"/>
      <c r="P6630" s="88"/>
      <c r="Q6630" s="88"/>
      <c r="R6630" s="78">
        <f>MAX(S6630:W6630)</f>
        <v>0</v>
      </c>
      <c r="S6630" s="88"/>
      <c r="T6630" s="88"/>
      <c r="U6630" s="88"/>
      <c r="V6630" s="88"/>
      <c r="W6630" s="88"/>
    </row>
    <row r="6631" spans="2:23" s="0" customFormat="0" ht="15">
      <c r="B6631" s="87" t="s">
        <v>1</v>
      </c>
      <c r="C6631" s="88" t="s">
        <v>5259</v>
      </c>
      <c r="D6631" s="88">
        <v>17087721</v>
      </c>
      <c r="E6631" s="88" t="s">
        <v>61</v>
      </c>
      <c r="F6631" s="88">
        <v>0</v>
      </c>
      <c r="G6631" s="78">
        <f>MAX(H6631,I6631,J6631)</f>
        <v>1</v>
      </c>
      <c r="H6631" s="88"/>
      <c r="I6631" s="88"/>
      <c r="J6631" s="78">
        <f>MAX(K6631:Q6631)</f>
        <v>1</v>
      </c>
      <c r="K6631" s="88">
        <v>1</v>
      </c>
      <c r="L6631" s="88"/>
      <c r="M6631" s="88"/>
      <c r="N6631" s="88"/>
      <c r="O6631" s="88"/>
      <c r="P6631" s="88"/>
      <c r="Q6631" s="88"/>
      <c r="R6631" s="78">
        <f>MAX(S6631:W6631)</f>
        <v>0</v>
      </c>
      <c r="S6631" s="88"/>
      <c r="T6631" s="88"/>
      <c r="U6631" s="88"/>
      <c r="V6631" s="88"/>
      <c r="W6631" s="88"/>
    </row>
    <row r="6632" spans="2:23" s="0" customFormat="0" ht="15">
      <c r="B6632" s="87" t="s">
        <v>1</v>
      </c>
      <c r="C6632" s="88" t="s">
        <v>5259</v>
      </c>
      <c r="D6632" s="88">
        <v>22623673</v>
      </c>
      <c r="E6632" s="88" t="s">
        <v>61</v>
      </c>
      <c r="F6632" s="88">
        <v>0</v>
      </c>
      <c r="G6632" s="78">
        <f>MAX(H6632,I6632,J6632)</f>
        <v>0</v>
      </c>
      <c r="H6632" s="88"/>
      <c r="I6632" s="88"/>
      <c r="J6632" s="78">
        <f>MAX(K6632:Q6632)</f>
        <v>0</v>
      </c>
      <c r="K6632" s="88"/>
      <c r="L6632" s="88"/>
      <c r="M6632" s="88"/>
      <c r="N6632" s="88"/>
      <c r="O6632" s="88"/>
      <c r="P6632" s="88"/>
      <c r="Q6632" s="88"/>
      <c r="R6632" s="78">
        <f>MAX(S6632:W6632)</f>
        <v>1</v>
      </c>
      <c r="S6632" s="88"/>
      <c r="T6632" s="88"/>
      <c r="U6632" s="88">
        <v>1</v>
      </c>
      <c r="V6632" s="88"/>
      <c r="W6632" s="88"/>
    </row>
    <row r="6633" spans="2:23" s="0" customFormat="0" ht="15">
      <c r="B6633" s="87" t="s">
        <v>1</v>
      </c>
      <c r="C6633" s="88" t="s">
        <v>5259</v>
      </c>
      <c r="D6633" s="88" t="s">
        <v>5236</v>
      </c>
      <c r="E6633" s="88" t="s">
        <v>61</v>
      </c>
      <c r="F6633" s="88">
        <v>0</v>
      </c>
      <c r="G6633" s="78">
        <f>MAX(H6633,I6633,J6633)</f>
        <v>0</v>
      </c>
      <c r="H6633" s="88"/>
      <c r="I6633" s="88"/>
      <c r="J6633" s="78">
        <f>MAX(K6633:Q6633)</f>
        <v>0</v>
      </c>
      <c r="K6633" s="88"/>
      <c r="L6633" s="88"/>
      <c r="M6633" s="88"/>
      <c r="N6633" s="88"/>
      <c r="O6633" s="88"/>
      <c r="P6633" s="88"/>
      <c r="Q6633" s="88"/>
      <c r="R6633" s="78">
        <f>MAX(S6633:W6633)</f>
        <v>1</v>
      </c>
      <c r="S6633" s="88"/>
      <c r="T6633" s="88"/>
      <c r="U6633" s="88">
        <v>1</v>
      </c>
      <c r="V6633" s="88"/>
      <c r="W6633" s="88"/>
    </row>
    <row r="6634" spans="2:23" s="0" customFormat="0" ht="15">
      <c r="B6634" s="87" t="s">
        <v>1</v>
      </c>
      <c r="C6634" s="88" t="s">
        <v>5259</v>
      </c>
      <c r="D6634" s="88">
        <v>18686747</v>
      </c>
      <c r="E6634" s="88" t="s">
        <v>61</v>
      </c>
      <c r="F6634" s="88">
        <v>0</v>
      </c>
      <c r="G6634" s="78">
        <f>MAX(H6634,I6634,J6634)</f>
        <v>1</v>
      </c>
      <c r="H6634" s="88"/>
      <c r="I6634" s="88"/>
      <c r="J6634" s="78">
        <f>MAX(K6634:Q6634)</f>
        <v>1</v>
      </c>
      <c r="K6634" s="88">
        <v>1</v>
      </c>
      <c r="L6634" s="88"/>
      <c r="M6634" s="88"/>
      <c r="N6634" s="88"/>
      <c r="O6634" s="88"/>
      <c r="P6634" s="88"/>
      <c r="Q6634" s="88"/>
      <c r="R6634" s="78">
        <f>MAX(S6634:W6634)</f>
        <v>0</v>
      </c>
      <c r="S6634" s="88"/>
      <c r="T6634" s="88"/>
      <c r="U6634" s="88"/>
      <c r="V6634" s="88"/>
      <c r="W6634" s="88"/>
    </row>
    <row r="6635" spans="2:23" s="0" customFormat="0" ht="15">
      <c r="B6635" s="87" t="s">
        <v>1</v>
      </c>
      <c r="C6635" s="88" t="s">
        <v>5259</v>
      </c>
      <c r="D6635" s="88">
        <v>22623665</v>
      </c>
      <c r="E6635" s="88" t="s">
        <v>61</v>
      </c>
      <c r="F6635" s="88">
        <v>0</v>
      </c>
      <c r="G6635" s="78">
        <f>MAX(H6635,I6635,J6635)</f>
        <v>0</v>
      </c>
      <c r="H6635" s="88"/>
      <c r="I6635" s="88"/>
      <c r="J6635" s="78">
        <f>MAX(K6635:Q6635)</f>
        <v>0</v>
      </c>
      <c r="K6635" s="88"/>
      <c r="L6635" s="88"/>
      <c r="M6635" s="88"/>
      <c r="N6635" s="88"/>
      <c r="O6635" s="88"/>
      <c r="P6635" s="88"/>
      <c r="Q6635" s="88"/>
      <c r="R6635" s="78">
        <f>MAX(S6635:W6635)</f>
        <v>1</v>
      </c>
      <c r="S6635" s="88"/>
      <c r="T6635" s="88"/>
      <c r="U6635" s="88">
        <v>1</v>
      </c>
      <c r="V6635" s="88"/>
      <c r="W6635" s="88"/>
    </row>
    <row r="6636" spans="2:23" s="0" customFormat="0" ht="15">
      <c r="B6636" s="87" t="s">
        <v>1</v>
      </c>
      <c r="C6636" s="88" t="s">
        <v>5259</v>
      </c>
      <c r="D6636" s="88">
        <v>13173833</v>
      </c>
      <c r="E6636" s="88" t="s">
        <v>61</v>
      </c>
      <c r="F6636" s="88">
        <v>0</v>
      </c>
      <c r="G6636" s="78">
        <f>MAX(H6636,I6636,J6636)</f>
        <v>1</v>
      </c>
      <c r="H6636" s="88"/>
      <c r="I6636" s="88"/>
      <c r="J6636" s="78">
        <f>MAX(K6636:Q6636)</f>
        <v>1</v>
      </c>
      <c r="K6636" s="88">
        <v>1</v>
      </c>
      <c r="L6636" s="88"/>
      <c r="M6636" s="88"/>
      <c r="N6636" s="88"/>
      <c r="O6636" s="88"/>
      <c r="P6636" s="88"/>
      <c r="Q6636" s="88"/>
      <c r="R6636" s="78">
        <f>MAX(S6636:W6636)</f>
        <v>0</v>
      </c>
      <c r="S6636" s="88"/>
      <c r="T6636" s="88"/>
      <c r="U6636" s="88"/>
      <c r="V6636" s="88"/>
      <c r="W6636" s="88"/>
    </row>
    <row r="6637" spans="2:23" s="0" customFormat="0" ht="15">
      <c r="B6637" s="87" t="s">
        <v>1</v>
      </c>
      <c r="C6637" s="88" t="s">
        <v>5259</v>
      </c>
      <c r="D6637" s="88" t="s">
        <v>3008</v>
      </c>
      <c r="E6637" s="88" t="s">
        <v>61</v>
      </c>
      <c r="F6637" s="88">
        <v>0</v>
      </c>
      <c r="G6637" s="78">
        <f>MAX(H6637,I6637,J6637)</f>
        <v>1</v>
      </c>
      <c r="H6637" s="88"/>
      <c r="I6637" s="88"/>
      <c r="J6637" s="78">
        <f>MAX(K6637:Q6637)</f>
        <v>1</v>
      </c>
      <c r="K6637" s="88">
        <v>1</v>
      </c>
      <c r="L6637" s="88"/>
      <c r="M6637" s="88"/>
      <c r="N6637" s="88"/>
      <c r="O6637" s="88"/>
      <c r="P6637" s="88"/>
      <c r="Q6637" s="88"/>
      <c r="R6637" s="78">
        <f>MAX(S6637:W6637)</f>
        <v>0</v>
      </c>
      <c r="S6637" s="88"/>
      <c r="T6637" s="88"/>
      <c r="U6637" s="88"/>
      <c r="V6637" s="88"/>
      <c r="W6637" s="88"/>
    </row>
    <row r="6638" spans="2:23" s="0" customFormat="0" ht="15">
      <c r="B6638" s="87" t="s">
        <v>1</v>
      </c>
      <c r="C6638" s="88" t="s">
        <v>5259</v>
      </c>
      <c r="D6638" s="88" t="s">
        <v>5049</v>
      </c>
      <c r="E6638" s="88" t="s">
        <v>61</v>
      </c>
      <c r="F6638" s="88">
        <v>0</v>
      </c>
      <c r="G6638" s="78">
        <f>MAX(H6638,I6638,J6638)</f>
        <v>0</v>
      </c>
      <c r="H6638" s="88"/>
      <c r="I6638" s="88"/>
      <c r="J6638" s="78">
        <f>MAX(K6638:Q6638)</f>
        <v>0</v>
      </c>
      <c r="K6638" s="88"/>
      <c r="L6638" s="88"/>
      <c r="M6638" s="88"/>
      <c r="N6638" s="88"/>
      <c r="O6638" s="88"/>
      <c r="P6638" s="88"/>
      <c r="Q6638" s="88"/>
      <c r="R6638" s="78">
        <f>MAX(S6638:W6638)</f>
        <v>1</v>
      </c>
      <c r="S6638" s="88"/>
      <c r="T6638" s="88"/>
      <c r="U6638" s="88">
        <v>1</v>
      </c>
      <c r="V6638" s="88"/>
      <c r="W6638" s="88"/>
    </row>
    <row r="6639" spans="2:23" s="0" customFormat="0" ht="15">
      <c r="B6639" s="87" t="s">
        <v>1</v>
      </c>
      <c r="C6639" s="88" t="s">
        <v>5259</v>
      </c>
      <c r="D6639" s="88" t="s">
        <v>546</v>
      </c>
      <c r="E6639" s="88" t="s">
        <v>61</v>
      </c>
      <c r="F6639" s="88">
        <v>0</v>
      </c>
      <c r="G6639" s="78">
        <f>MAX(H6639,I6639,J6639)</f>
        <v>1</v>
      </c>
      <c r="H6639" s="88"/>
      <c r="I6639" s="88"/>
      <c r="J6639" s="78">
        <f>MAX(K6639:Q6639)</f>
        <v>1</v>
      </c>
      <c r="K6639" s="88">
        <v>1</v>
      </c>
      <c r="L6639" s="88"/>
      <c r="M6639" s="88"/>
      <c r="N6639" s="88"/>
      <c r="O6639" s="88"/>
      <c r="P6639" s="88"/>
      <c r="Q6639" s="88"/>
      <c r="R6639" s="78">
        <f>MAX(S6639:W6639)</f>
        <v>0</v>
      </c>
      <c r="S6639" s="88"/>
      <c r="T6639" s="88"/>
      <c r="U6639" s="88"/>
      <c r="V6639" s="88"/>
      <c r="W6639" s="88"/>
    </row>
    <row r="6640" spans="2:23" s="0" customFormat="0" ht="15">
      <c r="B6640" s="87" t="s">
        <v>1</v>
      </c>
      <c r="C6640" s="88" t="s">
        <v>5259</v>
      </c>
      <c r="D6640" s="88">
        <v>19142221</v>
      </c>
      <c r="E6640" s="88" t="s">
        <v>61</v>
      </c>
      <c r="F6640" s="88">
        <v>0</v>
      </c>
      <c r="G6640" s="78">
        <f>MAX(H6640,I6640,J6640)</f>
        <v>1</v>
      </c>
      <c r="H6640" s="88"/>
      <c r="I6640" s="88"/>
      <c r="J6640" s="78">
        <f>MAX(K6640:Q6640)</f>
        <v>1</v>
      </c>
      <c r="K6640" s="88">
        <v>1</v>
      </c>
      <c r="L6640" s="88"/>
      <c r="M6640" s="88"/>
      <c r="N6640" s="88"/>
      <c r="O6640" s="88"/>
      <c r="P6640" s="88"/>
      <c r="Q6640" s="88"/>
      <c r="R6640" s="78">
        <f>MAX(S6640:W6640)</f>
        <v>0</v>
      </c>
      <c r="S6640" s="88"/>
      <c r="T6640" s="88"/>
      <c r="U6640" s="88"/>
      <c r="V6640" s="88"/>
      <c r="W6640" s="88"/>
    </row>
    <row r="6641" spans="2:23" s="0" customFormat="0" ht="15">
      <c r="B6641" s="87" t="s">
        <v>1</v>
      </c>
      <c r="C6641" s="88" t="s">
        <v>5259</v>
      </c>
      <c r="D6641" s="88">
        <v>2614752</v>
      </c>
      <c r="E6641" s="88" t="s">
        <v>61</v>
      </c>
      <c r="F6641" s="88">
        <v>0</v>
      </c>
      <c r="G6641" s="78">
        <f>MAX(H6641,I6641,J6641)</f>
        <v>1</v>
      </c>
      <c r="H6641" s="88"/>
      <c r="I6641" s="88"/>
      <c r="J6641" s="78">
        <f>MAX(K6641:Q6641)</f>
        <v>1</v>
      </c>
      <c r="K6641" s="88">
        <v>1</v>
      </c>
      <c r="L6641" s="88"/>
      <c r="M6641" s="88"/>
      <c r="N6641" s="88"/>
      <c r="O6641" s="88"/>
      <c r="P6641" s="88"/>
      <c r="Q6641" s="88"/>
      <c r="R6641" s="78">
        <f>MAX(S6641:W6641)</f>
        <v>0</v>
      </c>
      <c r="S6641" s="88"/>
      <c r="T6641" s="88"/>
      <c r="U6641" s="88"/>
      <c r="V6641" s="88"/>
      <c r="W6641" s="88"/>
    </row>
    <row r="6642" spans="2:23" s="0" customFormat="0" ht="15">
      <c r="B6642" s="87" t="s">
        <v>1</v>
      </c>
      <c r="C6642" s="88" t="s">
        <v>5259</v>
      </c>
      <c r="D6642" s="88">
        <v>22817241</v>
      </c>
      <c r="E6642" s="88" t="s">
        <v>61</v>
      </c>
      <c r="F6642" s="88">
        <v>0</v>
      </c>
      <c r="G6642" s="78">
        <f>MAX(H6642,I6642,J6642)</f>
        <v>1</v>
      </c>
      <c r="H6642" s="88"/>
      <c r="I6642" s="88"/>
      <c r="J6642" s="78">
        <f>MAX(K6642:Q6642)</f>
        <v>1</v>
      </c>
      <c r="K6642" s="88">
        <v>1</v>
      </c>
      <c r="L6642" s="88"/>
      <c r="M6642" s="88"/>
      <c r="N6642" s="88"/>
      <c r="O6642" s="88"/>
      <c r="P6642" s="88"/>
      <c r="Q6642" s="88"/>
      <c r="R6642" s="78">
        <f>MAX(S6642:W6642)</f>
        <v>0</v>
      </c>
      <c r="S6642" s="88"/>
      <c r="T6642" s="88"/>
      <c r="U6642" s="88"/>
      <c r="V6642" s="88"/>
      <c r="W6642" s="88"/>
    </row>
    <row r="6643" spans="2:23" s="0" customFormat="0" ht="15">
      <c r="B6643" s="87" t="s">
        <v>1</v>
      </c>
      <c r="C6643" s="88" t="s">
        <v>5259</v>
      </c>
      <c r="D6643" s="88">
        <v>23431288</v>
      </c>
      <c r="E6643" s="88" t="s">
        <v>61</v>
      </c>
      <c r="F6643" s="88">
        <v>0</v>
      </c>
      <c r="G6643" s="78">
        <f>MAX(H6643,I6643,J6643)</f>
        <v>1</v>
      </c>
      <c r="H6643" s="88"/>
      <c r="I6643" s="88"/>
      <c r="J6643" s="78">
        <f>MAX(K6643:Q6643)</f>
        <v>1</v>
      </c>
      <c r="K6643" s="88">
        <v>1</v>
      </c>
      <c r="L6643" s="88"/>
      <c r="M6643" s="88"/>
      <c r="N6643" s="88"/>
      <c r="O6643" s="88"/>
      <c r="P6643" s="88"/>
      <c r="Q6643" s="88"/>
      <c r="R6643" s="78">
        <f>MAX(S6643:W6643)</f>
        <v>0</v>
      </c>
      <c r="S6643" s="88"/>
      <c r="T6643" s="88"/>
      <c r="U6643" s="88"/>
      <c r="V6643" s="88"/>
      <c r="W6643" s="88"/>
    </row>
    <row r="6644" spans="2:23" s="0" customFormat="0" ht="15">
      <c r="B6644" s="87" t="s">
        <v>1</v>
      </c>
      <c r="C6644" s="88" t="s">
        <v>5259</v>
      </c>
      <c r="D6644" s="88">
        <v>14957286</v>
      </c>
      <c r="E6644" s="88" t="s">
        <v>61</v>
      </c>
      <c r="F6644" s="88">
        <v>0</v>
      </c>
      <c r="G6644" s="78">
        <f>MAX(H6644,I6644,J6644)</f>
        <v>1</v>
      </c>
      <c r="H6644" s="88"/>
      <c r="I6644" s="88"/>
      <c r="J6644" s="78">
        <f>MAX(K6644:Q6644)</f>
        <v>1</v>
      </c>
      <c r="K6644" s="88">
        <v>1</v>
      </c>
      <c r="L6644" s="88"/>
      <c r="M6644" s="88"/>
      <c r="N6644" s="88"/>
      <c r="O6644" s="88"/>
      <c r="P6644" s="88"/>
      <c r="Q6644" s="88"/>
      <c r="R6644" s="78">
        <f>MAX(S6644:W6644)</f>
        <v>0</v>
      </c>
      <c r="S6644" s="88"/>
      <c r="T6644" s="88"/>
      <c r="U6644" s="88"/>
      <c r="V6644" s="88"/>
      <c r="W6644" s="88"/>
    </row>
    <row r="6645" spans="2:23" s="0" customFormat="0" ht="15">
      <c r="B6645" s="87" t="s">
        <v>1</v>
      </c>
      <c r="C6645" s="88" t="s">
        <v>5259</v>
      </c>
      <c r="D6645" s="88" t="s">
        <v>5168</v>
      </c>
      <c r="E6645" s="88" t="s">
        <v>61</v>
      </c>
      <c r="F6645" s="88">
        <v>0</v>
      </c>
      <c r="G6645" s="78">
        <f>MAX(H6645,I6645,J6645)</f>
        <v>0</v>
      </c>
      <c r="H6645" s="88"/>
      <c r="I6645" s="88"/>
      <c r="J6645" s="78">
        <f>MAX(K6645:Q6645)</f>
        <v>0</v>
      </c>
      <c r="K6645" s="88"/>
      <c r="L6645" s="88"/>
      <c r="M6645" s="88"/>
      <c r="N6645" s="88"/>
      <c r="O6645" s="88"/>
      <c r="P6645" s="88"/>
      <c r="Q6645" s="88"/>
      <c r="R6645" s="78">
        <f>MAX(S6645:W6645)</f>
        <v>1</v>
      </c>
      <c r="S6645" s="88"/>
      <c r="T6645" s="88"/>
      <c r="U6645" s="88">
        <v>1</v>
      </c>
      <c r="V6645" s="88"/>
      <c r="W6645" s="88"/>
    </row>
    <row r="6646" spans="2:23" s="0" customFormat="0" ht="15">
      <c r="B6646" s="87" t="s">
        <v>1</v>
      </c>
      <c r="C6646" s="88" t="s">
        <v>5259</v>
      </c>
      <c r="D6646" s="88">
        <v>19503911</v>
      </c>
      <c r="E6646" s="88" t="s">
        <v>61</v>
      </c>
      <c r="F6646" s="88">
        <v>0</v>
      </c>
      <c r="G6646" s="78">
        <f>MAX(H6646,I6646,J6646)</f>
        <v>1</v>
      </c>
      <c r="H6646" s="88"/>
      <c r="I6646" s="88"/>
      <c r="J6646" s="78">
        <f>MAX(K6646:Q6646)</f>
        <v>1</v>
      </c>
      <c r="K6646" s="88">
        <v>1</v>
      </c>
      <c r="L6646" s="88"/>
      <c r="M6646" s="88"/>
      <c r="N6646" s="88"/>
      <c r="O6646" s="88"/>
      <c r="P6646" s="88"/>
      <c r="Q6646" s="88"/>
      <c r="R6646" s="78">
        <f>MAX(S6646:W6646)</f>
        <v>0</v>
      </c>
      <c r="S6646" s="88"/>
      <c r="T6646" s="88"/>
      <c r="U6646" s="88"/>
      <c r="V6646" s="88"/>
      <c r="W6646" s="88"/>
    </row>
    <row r="6647" spans="2:23" s="0" customFormat="0" ht="15">
      <c r="B6647" s="87" t="s">
        <v>1</v>
      </c>
      <c r="C6647" s="88" t="s">
        <v>5259</v>
      </c>
      <c r="D6647" s="88">
        <v>18085386</v>
      </c>
      <c r="E6647" s="88" t="s">
        <v>61</v>
      </c>
      <c r="F6647" s="88">
        <v>0</v>
      </c>
      <c r="G6647" s="78">
        <f>MAX(H6647,I6647,J6647)</f>
        <v>1</v>
      </c>
      <c r="H6647" s="88"/>
      <c r="I6647" s="88"/>
      <c r="J6647" s="78">
        <f>MAX(K6647:Q6647)</f>
        <v>1</v>
      </c>
      <c r="K6647" s="88">
        <v>1</v>
      </c>
      <c r="L6647" s="88"/>
      <c r="M6647" s="88"/>
      <c r="N6647" s="88"/>
      <c r="O6647" s="88"/>
      <c r="P6647" s="88"/>
      <c r="Q6647" s="88"/>
      <c r="R6647" s="78">
        <f>MAX(S6647:W6647)</f>
        <v>0</v>
      </c>
      <c r="S6647" s="88"/>
      <c r="T6647" s="88"/>
      <c r="U6647" s="88"/>
      <c r="V6647" s="88"/>
      <c r="W6647" s="88"/>
    </row>
    <row r="6648" spans="2:23" s="0" customFormat="0" ht="15">
      <c r="B6648" s="87" t="s">
        <v>1</v>
      </c>
      <c r="C6648" s="88" t="s">
        <v>5259</v>
      </c>
      <c r="D6648" s="88">
        <v>3797504</v>
      </c>
      <c r="E6648" s="88" t="s">
        <v>61</v>
      </c>
      <c r="F6648" s="88">
        <v>0</v>
      </c>
      <c r="G6648" s="78">
        <f>MAX(H6648,I6648,J6648)</f>
        <v>1</v>
      </c>
      <c r="H6648" s="88"/>
      <c r="I6648" s="88"/>
      <c r="J6648" s="78">
        <f>MAX(K6648:Q6648)</f>
        <v>1</v>
      </c>
      <c r="K6648" s="88">
        <v>1</v>
      </c>
      <c r="L6648" s="88"/>
      <c r="M6648" s="88"/>
      <c r="N6648" s="88"/>
      <c r="O6648" s="88"/>
      <c r="P6648" s="88"/>
      <c r="Q6648" s="88"/>
      <c r="R6648" s="78">
        <f>MAX(S6648:W6648)</f>
        <v>0</v>
      </c>
      <c r="S6648" s="88"/>
      <c r="T6648" s="88"/>
      <c r="U6648" s="88"/>
      <c r="V6648" s="88"/>
      <c r="W6648" s="88"/>
    </row>
    <row r="6649" spans="2:23" s="0" customFormat="0" ht="15">
      <c r="B6649" s="87" t="s">
        <v>1</v>
      </c>
      <c r="C6649" s="88" t="s">
        <v>5259</v>
      </c>
      <c r="D6649" s="88">
        <v>13244697</v>
      </c>
      <c r="E6649" s="88" t="s">
        <v>61</v>
      </c>
      <c r="F6649" s="88">
        <v>0</v>
      </c>
      <c r="G6649" s="78">
        <f>MAX(H6649,I6649,J6649)</f>
        <v>1</v>
      </c>
      <c r="H6649" s="88"/>
      <c r="I6649" s="88"/>
      <c r="J6649" s="78">
        <f>MAX(K6649:Q6649)</f>
        <v>1</v>
      </c>
      <c r="K6649" s="88">
        <v>1</v>
      </c>
      <c r="L6649" s="88"/>
      <c r="M6649" s="88"/>
      <c r="N6649" s="88"/>
      <c r="O6649" s="88"/>
      <c r="P6649" s="88"/>
      <c r="Q6649" s="88"/>
      <c r="R6649" s="78">
        <f>MAX(S6649:W6649)</f>
        <v>0</v>
      </c>
      <c r="S6649" s="88"/>
      <c r="T6649" s="88"/>
      <c r="U6649" s="88"/>
      <c r="V6649" s="88"/>
      <c r="W6649" s="88"/>
    </row>
    <row r="6650" spans="2:23" s="0" customFormat="0" ht="15">
      <c r="B6650" s="87" t="s">
        <v>1</v>
      </c>
      <c r="C6650" s="88" t="s">
        <v>5259</v>
      </c>
      <c r="D6650" s="88" t="s">
        <v>5160</v>
      </c>
      <c r="E6650" s="88" t="s">
        <v>61</v>
      </c>
      <c r="F6650" s="88">
        <v>0</v>
      </c>
      <c r="G6650" s="78">
        <f>MAX(H6650,I6650,J6650)</f>
        <v>0</v>
      </c>
      <c r="H6650" s="88"/>
      <c r="I6650" s="88"/>
      <c r="J6650" s="78">
        <f>MAX(K6650:Q6650)</f>
        <v>0</v>
      </c>
      <c r="K6650" s="88"/>
      <c r="L6650" s="88"/>
      <c r="M6650" s="88"/>
      <c r="N6650" s="88"/>
      <c r="O6650" s="88"/>
      <c r="P6650" s="88"/>
      <c r="Q6650" s="88"/>
      <c r="R6650" s="78">
        <f>MAX(S6650:W6650)</f>
        <v>1</v>
      </c>
      <c r="S6650" s="88"/>
      <c r="T6650" s="88"/>
      <c r="U6650" s="88">
        <v>1</v>
      </c>
      <c r="V6650" s="88"/>
      <c r="W6650" s="88"/>
    </row>
    <row r="6651" spans="2:23" s="0" customFormat="0" ht="15">
      <c r="B6651" s="87" t="s">
        <v>1</v>
      </c>
      <c r="C6651" s="88" t="s">
        <v>5259</v>
      </c>
      <c r="D6651" s="88">
        <v>19215363</v>
      </c>
      <c r="E6651" s="88" t="s">
        <v>61</v>
      </c>
      <c r="F6651" s="88">
        <v>0</v>
      </c>
      <c r="G6651" s="78">
        <f>MAX(H6651,I6651,J6651)</f>
        <v>1</v>
      </c>
      <c r="H6651" s="88"/>
      <c r="I6651" s="88"/>
      <c r="J6651" s="78">
        <f>MAX(K6651:Q6651)</f>
        <v>1</v>
      </c>
      <c r="K6651" s="88">
        <v>1</v>
      </c>
      <c r="L6651" s="88"/>
      <c r="M6651" s="88"/>
      <c r="N6651" s="88"/>
      <c r="O6651" s="88"/>
      <c r="P6651" s="88"/>
      <c r="Q6651" s="88"/>
      <c r="R6651" s="78">
        <f>MAX(S6651:W6651)</f>
        <v>0</v>
      </c>
      <c r="S6651" s="88"/>
      <c r="T6651" s="88"/>
      <c r="U6651" s="88"/>
      <c r="V6651" s="88"/>
      <c r="W6651" s="88"/>
    </row>
    <row r="6652" spans="2:23" s="0" customFormat="0" ht="15">
      <c r="B6652" s="87" t="s">
        <v>1</v>
      </c>
      <c r="C6652" s="88" t="s">
        <v>5259</v>
      </c>
      <c r="D6652" s="88" t="s">
        <v>2881</v>
      </c>
      <c r="E6652" s="88" t="s">
        <v>61</v>
      </c>
      <c r="F6652" s="88">
        <v>0</v>
      </c>
      <c r="G6652" s="78">
        <f>MAX(H6652,I6652,J6652)</f>
        <v>1</v>
      </c>
      <c r="H6652" s="88"/>
      <c r="I6652" s="88"/>
      <c r="J6652" s="78">
        <f>MAX(K6652:Q6652)</f>
        <v>1</v>
      </c>
      <c r="K6652" s="88">
        <v>1</v>
      </c>
      <c r="L6652" s="88"/>
      <c r="M6652" s="88"/>
      <c r="N6652" s="88"/>
      <c r="O6652" s="88"/>
      <c r="P6652" s="88"/>
      <c r="Q6652" s="88"/>
      <c r="R6652" s="78">
        <f>MAX(S6652:W6652)</f>
        <v>0</v>
      </c>
      <c r="S6652" s="88"/>
      <c r="T6652" s="88"/>
      <c r="U6652" s="88"/>
      <c r="V6652" s="88"/>
      <c r="W6652" s="88"/>
    </row>
    <row r="6653" spans="2:23" s="0" customFormat="0" ht="15">
      <c r="B6653" s="87" t="s">
        <v>1</v>
      </c>
      <c r="C6653" s="88" t="s">
        <v>5259</v>
      </c>
      <c r="D6653" s="88">
        <v>21015446</v>
      </c>
      <c r="E6653" s="88" t="s">
        <v>61</v>
      </c>
      <c r="F6653" s="88">
        <v>0</v>
      </c>
      <c r="G6653" s="78">
        <f>MAX(H6653,I6653,J6653)</f>
        <v>1</v>
      </c>
      <c r="H6653" s="88"/>
      <c r="I6653" s="88"/>
      <c r="J6653" s="78">
        <f>MAX(K6653:Q6653)</f>
        <v>1</v>
      </c>
      <c r="K6653" s="88">
        <v>1</v>
      </c>
      <c r="L6653" s="88"/>
      <c r="M6653" s="88"/>
      <c r="N6653" s="88"/>
      <c r="O6653" s="88"/>
      <c r="P6653" s="88"/>
      <c r="Q6653" s="88"/>
      <c r="R6653" s="78">
        <f>MAX(S6653:W6653)</f>
        <v>0</v>
      </c>
      <c r="S6653" s="88"/>
      <c r="T6653" s="88"/>
      <c r="U6653" s="88"/>
      <c r="V6653" s="88"/>
      <c r="W6653" s="88"/>
    </row>
    <row r="6654" spans="2:23" s="0" customFormat="0" ht="15">
      <c r="B6654" s="87" t="s">
        <v>1</v>
      </c>
      <c r="C6654" s="88" t="s">
        <v>5259</v>
      </c>
      <c r="D6654" s="88">
        <v>18964213</v>
      </c>
      <c r="E6654" s="88" t="s">
        <v>61</v>
      </c>
      <c r="F6654" s="88">
        <v>0</v>
      </c>
      <c r="G6654" s="78">
        <f>MAX(H6654,I6654,J6654)</f>
        <v>0</v>
      </c>
      <c r="H6654" s="88"/>
      <c r="I6654" s="88"/>
      <c r="J6654" s="78">
        <f>MAX(K6654:Q6654)</f>
        <v>0</v>
      </c>
      <c r="K6654" s="88"/>
      <c r="L6654" s="88"/>
      <c r="M6654" s="88"/>
      <c r="N6654" s="88"/>
      <c r="O6654" s="88"/>
      <c r="P6654" s="88"/>
      <c r="Q6654" s="88"/>
      <c r="R6654" s="78">
        <f>MAX(S6654:W6654)</f>
        <v>1</v>
      </c>
      <c r="S6654" s="88"/>
      <c r="T6654" s="88"/>
      <c r="U6654" s="88">
        <v>1</v>
      </c>
      <c r="V6654" s="88"/>
      <c r="W6654" s="88"/>
    </row>
    <row r="6655" spans="2:23" s="0" customFormat="0" ht="15">
      <c r="B6655" s="87" t="s">
        <v>1</v>
      </c>
      <c r="C6655" s="88" t="s">
        <v>5259</v>
      </c>
      <c r="D6655" s="88" t="s">
        <v>2986</v>
      </c>
      <c r="E6655" s="88" t="s">
        <v>61</v>
      </c>
      <c r="F6655" s="88">
        <v>0</v>
      </c>
      <c r="G6655" s="78">
        <f>MAX(H6655,I6655,J6655)</f>
        <v>1</v>
      </c>
      <c r="H6655" s="88"/>
      <c r="I6655" s="88"/>
      <c r="J6655" s="78">
        <f>MAX(K6655:Q6655)</f>
        <v>1</v>
      </c>
      <c r="K6655" s="88">
        <v>1</v>
      </c>
      <c r="L6655" s="88"/>
      <c r="M6655" s="88"/>
      <c r="N6655" s="88"/>
      <c r="O6655" s="88"/>
      <c r="P6655" s="88"/>
      <c r="Q6655" s="88"/>
      <c r="R6655" s="78">
        <f>MAX(S6655:W6655)</f>
        <v>0</v>
      </c>
      <c r="S6655" s="88"/>
      <c r="T6655" s="88"/>
      <c r="U6655" s="88"/>
      <c r="V6655" s="88"/>
      <c r="W6655" s="88"/>
    </row>
    <row r="6656" spans="2:23" s="0" customFormat="0" ht="15">
      <c r="B6656" s="87" t="s">
        <v>1</v>
      </c>
      <c r="C6656" s="88" t="s">
        <v>5259</v>
      </c>
      <c r="D6656" s="88">
        <v>24926976</v>
      </c>
      <c r="E6656" s="88" t="s">
        <v>61</v>
      </c>
      <c r="F6656" s="88">
        <v>0</v>
      </c>
      <c r="G6656" s="78">
        <f>MAX(H6656,I6656,J6656)</f>
        <v>1</v>
      </c>
      <c r="H6656" s="88"/>
      <c r="I6656" s="88"/>
      <c r="J6656" s="78">
        <f>MAX(K6656:Q6656)</f>
        <v>1</v>
      </c>
      <c r="K6656" s="88">
        <v>1</v>
      </c>
      <c r="L6656" s="88"/>
      <c r="M6656" s="88"/>
      <c r="N6656" s="88"/>
      <c r="O6656" s="88"/>
      <c r="P6656" s="88"/>
      <c r="Q6656" s="88"/>
      <c r="R6656" s="78">
        <f>MAX(S6656:W6656)</f>
        <v>0</v>
      </c>
      <c r="S6656" s="88"/>
      <c r="T6656" s="88"/>
      <c r="U6656" s="88"/>
      <c r="V6656" s="88"/>
      <c r="W6656" s="88"/>
    </row>
    <row r="6657" spans="2:23" s="0" customFormat="0" ht="15">
      <c r="B6657" s="87" t="s">
        <v>1</v>
      </c>
      <c r="C6657" s="88" t="s">
        <v>5259</v>
      </c>
      <c r="D6657" s="88">
        <v>22963703</v>
      </c>
      <c r="E6657" s="88" t="s">
        <v>61</v>
      </c>
      <c r="F6657" s="88">
        <v>0</v>
      </c>
      <c r="G6657" s="78">
        <f>MAX(H6657,I6657,J6657)</f>
        <v>1</v>
      </c>
      <c r="H6657" s="88"/>
      <c r="I6657" s="88"/>
      <c r="J6657" s="78">
        <f>MAX(K6657:Q6657)</f>
        <v>1</v>
      </c>
      <c r="K6657" s="88">
        <v>1</v>
      </c>
      <c r="L6657" s="88"/>
      <c r="M6657" s="88"/>
      <c r="N6657" s="88"/>
      <c r="O6657" s="88"/>
      <c r="P6657" s="88"/>
      <c r="Q6657" s="88"/>
      <c r="R6657" s="78">
        <f>MAX(S6657:W6657)</f>
        <v>0</v>
      </c>
      <c r="S6657" s="88"/>
      <c r="T6657" s="88"/>
      <c r="U6657" s="88"/>
      <c r="V6657" s="88"/>
      <c r="W6657" s="88"/>
    </row>
    <row r="6658" spans="2:23" s="0" customFormat="0" ht="15">
      <c r="B6658" s="87" t="s">
        <v>1</v>
      </c>
      <c r="C6658" s="88" t="s">
        <v>5259</v>
      </c>
      <c r="D6658" s="88">
        <v>14418867</v>
      </c>
      <c r="E6658" s="88" t="s">
        <v>61</v>
      </c>
      <c r="F6658" s="88">
        <v>0</v>
      </c>
      <c r="G6658" s="78">
        <f>MAX(H6658,I6658,J6658)</f>
        <v>1</v>
      </c>
      <c r="H6658" s="88"/>
      <c r="I6658" s="88"/>
      <c r="J6658" s="78">
        <f>MAX(K6658:Q6658)</f>
        <v>1</v>
      </c>
      <c r="K6658" s="88">
        <v>1</v>
      </c>
      <c r="L6658" s="88"/>
      <c r="M6658" s="88"/>
      <c r="N6658" s="88"/>
      <c r="O6658" s="88"/>
      <c r="P6658" s="88"/>
      <c r="Q6658" s="88"/>
      <c r="R6658" s="78">
        <f>MAX(S6658:W6658)</f>
        <v>0</v>
      </c>
      <c r="S6658" s="88"/>
      <c r="T6658" s="88"/>
      <c r="U6658" s="88"/>
      <c r="V6658" s="88"/>
      <c r="W6658" s="88"/>
    </row>
    <row r="6659" spans="2:23" s="0" customFormat="0" ht="15">
      <c r="B6659" s="87" t="s">
        <v>1</v>
      </c>
      <c r="C6659" s="88" t="s">
        <v>5259</v>
      </c>
      <c r="D6659" s="88">
        <v>8896432</v>
      </c>
      <c r="E6659" s="88" t="s">
        <v>61</v>
      </c>
      <c r="F6659" s="88">
        <v>0</v>
      </c>
      <c r="G6659" s="78">
        <f>MAX(H6659,I6659,J6659)</f>
        <v>1</v>
      </c>
      <c r="H6659" s="88"/>
      <c r="I6659" s="88"/>
      <c r="J6659" s="78">
        <f>MAX(K6659:Q6659)</f>
        <v>1</v>
      </c>
      <c r="K6659" s="88">
        <v>1</v>
      </c>
      <c r="L6659" s="88"/>
      <c r="M6659" s="88"/>
      <c r="N6659" s="88"/>
      <c r="O6659" s="88"/>
      <c r="P6659" s="88"/>
      <c r="Q6659" s="88"/>
      <c r="R6659" s="78">
        <f>MAX(S6659:W6659)</f>
        <v>0</v>
      </c>
      <c r="S6659" s="88"/>
      <c r="T6659" s="88"/>
      <c r="U6659" s="88"/>
      <c r="V6659" s="88"/>
      <c r="W6659" s="88"/>
    </row>
    <row r="6660" spans="2:23" s="0" customFormat="0" ht="15">
      <c r="B6660" s="87" t="s">
        <v>1</v>
      </c>
      <c r="C6660" s="88" t="s">
        <v>5259</v>
      </c>
      <c r="D6660" s="88" t="s">
        <v>2298</v>
      </c>
      <c r="E6660" s="88" t="s">
        <v>61</v>
      </c>
      <c r="F6660" s="88">
        <v>0</v>
      </c>
      <c r="G6660" s="78">
        <f>MAX(H6660,I6660,J6660)</f>
        <v>1</v>
      </c>
      <c r="H6660" s="88"/>
      <c r="I6660" s="88"/>
      <c r="J6660" s="78">
        <f>MAX(K6660:Q6660)</f>
        <v>1</v>
      </c>
      <c r="K6660" s="88">
        <v>1</v>
      </c>
      <c r="L6660" s="88"/>
      <c r="M6660" s="88"/>
      <c r="N6660" s="88"/>
      <c r="O6660" s="88"/>
      <c r="P6660" s="88"/>
      <c r="Q6660" s="88"/>
      <c r="R6660" s="78">
        <f>MAX(S6660:W6660)</f>
        <v>0</v>
      </c>
      <c r="S6660" s="88"/>
      <c r="T6660" s="88"/>
      <c r="U6660" s="88"/>
      <c r="V6660" s="88"/>
      <c r="W6660" s="88"/>
    </row>
    <row r="6661" spans="2:23" s="0" customFormat="0" ht="15">
      <c r="B6661" s="87" t="s">
        <v>1</v>
      </c>
      <c r="C6661" s="88" t="s">
        <v>5259</v>
      </c>
      <c r="D6661" s="88" t="s">
        <v>4903</v>
      </c>
      <c r="E6661" s="88" t="s">
        <v>61</v>
      </c>
      <c r="F6661" s="88">
        <v>0</v>
      </c>
      <c r="G6661" s="78">
        <f>MAX(H6661,I6661,J6661)</f>
        <v>0</v>
      </c>
      <c r="H6661" s="88"/>
      <c r="I6661" s="88"/>
      <c r="J6661" s="78">
        <f>MAX(K6661:Q6661)</f>
        <v>0</v>
      </c>
      <c r="K6661" s="88"/>
      <c r="L6661" s="88"/>
      <c r="M6661" s="88"/>
      <c r="N6661" s="88"/>
      <c r="O6661" s="88"/>
      <c r="P6661" s="88"/>
      <c r="Q6661" s="88"/>
      <c r="R6661" s="78">
        <f>MAX(S6661:W6661)</f>
        <v>1</v>
      </c>
      <c r="S6661" s="88"/>
      <c r="T6661" s="88"/>
      <c r="U6661" s="88">
        <v>1</v>
      </c>
      <c r="V6661" s="88"/>
      <c r="W6661" s="88"/>
    </row>
    <row r="6662" spans="2:23" s="0" customFormat="0" ht="15">
      <c r="B6662" s="87" t="s">
        <v>1</v>
      </c>
      <c r="C6662" s="88" t="s">
        <v>5259</v>
      </c>
      <c r="D6662" s="88">
        <v>870778</v>
      </c>
      <c r="E6662" s="88" t="s">
        <v>61</v>
      </c>
      <c r="F6662" s="88">
        <v>0</v>
      </c>
      <c r="G6662" s="78">
        <f>MAX(H6662,I6662,J6662)</f>
        <v>0</v>
      </c>
      <c r="H6662" s="88"/>
      <c r="I6662" s="88"/>
      <c r="J6662" s="78">
        <f>MAX(K6662:Q6662)</f>
        <v>0</v>
      </c>
      <c r="K6662" s="88"/>
      <c r="L6662" s="88"/>
      <c r="M6662" s="88"/>
      <c r="N6662" s="88"/>
      <c r="O6662" s="88"/>
      <c r="P6662" s="88"/>
      <c r="Q6662" s="88"/>
      <c r="R6662" s="78">
        <f>MAX(S6662:W6662)</f>
        <v>1</v>
      </c>
      <c r="S6662" s="88"/>
      <c r="T6662" s="88"/>
      <c r="U6662" s="88">
        <v>1</v>
      </c>
      <c r="V6662" s="88"/>
      <c r="W6662" s="88"/>
    </row>
    <row r="6663" spans="2:23" s="0" customFormat="0" ht="15">
      <c r="B6663" s="87" t="s">
        <v>1</v>
      </c>
      <c r="C6663" s="88" t="s">
        <v>5259</v>
      </c>
      <c r="D6663" s="88">
        <v>14504610</v>
      </c>
      <c r="E6663" s="88" t="s">
        <v>61</v>
      </c>
      <c r="F6663" s="88">
        <v>0</v>
      </c>
      <c r="G6663" s="78">
        <f>MAX(H6663,I6663,J6663)</f>
        <v>1</v>
      </c>
      <c r="H6663" s="88"/>
      <c r="I6663" s="88"/>
      <c r="J6663" s="78">
        <f>MAX(K6663:Q6663)</f>
        <v>1</v>
      </c>
      <c r="K6663" s="88">
        <v>1</v>
      </c>
      <c r="L6663" s="88"/>
      <c r="M6663" s="88"/>
      <c r="N6663" s="88"/>
      <c r="O6663" s="88"/>
      <c r="P6663" s="88"/>
      <c r="Q6663" s="88"/>
      <c r="R6663" s="78">
        <f>MAX(S6663:W6663)</f>
        <v>0</v>
      </c>
      <c r="S6663" s="88"/>
      <c r="T6663" s="88"/>
      <c r="U6663" s="88"/>
      <c r="V6663" s="88"/>
      <c r="W6663" s="88"/>
    </row>
    <row r="6664" spans="2:23" s="0" customFormat="0" ht="15">
      <c r="B6664" s="87" t="s">
        <v>1</v>
      </c>
      <c r="C6664" s="88" t="s">
        <v>5259</v>
      </c>
      <c r="D6664" s="88">
        <v>20986313</v>
      </c>
      <c r="E6664" s="88" t="s">
        <v>61</v>
      </c>
      <c r="F6664" s="88">
        <v>0</v>
      </c>
      <c r="G6664" s="78">
        <f>MAX(H6664,I6664,J6664)</f>
        <v>1</v>
      </c>
      <c r="H6664" s="88"/>
      <c r="I6664" s="88"/>
      <c r="J6664" s="78">
        <f>MAX(K6664:Q6664)</f>
        <v>1</v>
      </c>
      <c r="K6664" s="88">
        <v>1</v>
      </c>
      <c r="L6664" s="88"/>
      <c r="M6664" s="88"/>
      <c r="N6664" s="88"/>
      <c r="O6664" s="88"/>
      <c r="P6664" s="88"/>
      <c r="Q6664" s="88"/>
      <c r="R6664" s="78">
        <f>MAX(S6664:W6664)</f>
        <v>0</v>
      </c>
      <c r="S6664" s="88"/>
      <c r="T6664" s="88"/>
      <c r="U6664" s="88"/>
      <c r="V6664" s="88"/>
      <c r="W6664" s="88"/>
    </row>
    <row r="6665" spans="2:23" s="0" customFormat="0" ht="15">
      <c r="B6665" s="87" t="s">
        <v>1</v>
      </c>
      <c r="C6665" s="88" t="s">
        <v>5259</v>
      </c>
      <c r="D6665" s="88">
        <v>22554481</v>
      </c>
      <c r="E6665" s="88" t="s">
        <v>61</v>
      </c>
      <c r="F6665" s="88">
        <v>0</v>
      </c>
      <c r="G6665" s="78">
        <f>MAX(H6665,I6665,J6665)</f>
        <v>0</v>
      </c>
      <c r="H6665" s="88"/>
      <c r="I6665" s="88"/>
      <c r="J6665" s="78">
        <f>MAX(K6665:Q6665)</f>
        <v>0</v>
      </c>
      <c r="K6665" s="88"/>
      <c r="L6665" s="88"/>
      <c r="M6665" s="88"/>
      <c r="N6665" s="88"/>
      <c r="O6665" s="88"/>
      <c r="P6665" s="88"/>
      <c r="Q6665" s="88"/>
      <c r="R6665" s="78">
        <f>MAX(S6665:W6665)</f>
        <v>1</v>
      </c>
      <c r="S6665" s="88"/>
      <c r="T6665" s="88"/>
      <c r="U6665" s="88">
        <v>1</v>
      </c>
      <c r="V6665" s="88"/>
      <c r="W6665" s="88"/>
    </row>
    <row r="6666" spans="2:23" s="0" customFormat="0" ht="15">
      <c r="B6666" s="87" t="s">
        <v>1</v>
      </c>
      <c r="C6666" s="88" t="s">
        <v>5259</v>
      </c>
      <c r="D6666" s="88" t="s">
        <v>4900</v>
      </c>
      <c r="E6666" s="88" t="s">
        <v>61</v>
      </c>
      <c r="F6666" s="88">
        <v>0</v>
      </c>
      <c r="G6666" s="78">
        <f>MAX(H6666,I6666,J6666)</f>
        <v>0</v>
      </c>
      <c r="H6666" s="88"/>
      <c r="I6666" s="88"/>
      <c r="J6666" s="78">
        <f>MAX(K6666:Q6666)</f>
        <v>0</v>
      </c>
      <c r="K6666" s="88"/>
      <c r="L6666" s="88"/>
      <c r="M6666" s="88"/>
      <c r="N6666" s="88"/>
      <c r="O6666" s="88"/>
      <c r="P6666" s="88"/>
      <c r="Q6666" s="88"/>
      <c r="R6666" s="78">
        <f>MAX(S6666:W6666)</f>
        <v>1</v>
      </c>
      <c r="S6666" s="88"/>
      <c r="T6666" s="88"/>
      <c r="U6666" s="88">
        <v>1</v>
      </c>
      <c r="V6666" s="88"/>
      <c r="W6666" s="88"/>
    </row>
    <row r="6667" spans="2:23" s="0" customFormat="0" ht="15">
      <c r="B6667" s="87" t="s">
        <v>1</v>
      </c>
      <c r="C6667" s="88" t="s">
        <v>5259</v>
      </c>
      <c r="D6667" s="88">
        <v>14284409</v>
      </c>
      <c r="E6667" s="88" t="s">
        <v>61</v>
      </c>
      <c r="F6667" s="88">
        <v>0</v>
      </c>
      <c r="G6667" s="78">
        <f>MAX(H6667,I6667,J6667)</f>
        <v>1</v>
      </c>
      <c r="H6667" s="88"/>
      <c r="I6667" s="88"/>
      <c r="J6667" s="78">
        <f>MAX(K6667:Q6667)</f>
        <v>1</v>
      </c>
      <c r="K6667" s="88">
        <v>1</v>
      </c>
      <c r="L6667" s="88"/>
      <c r="M6667" s="88"/>
      <c r="N6667" s="88"/>
      <c r="O6667" s="88"/>
      <c r="P6667" s="88"/>
      <c r="Q6667" s="88"/>
      <c r="R6667" s="78">
        <f>MAX(S6667:W6667)</f>
        <v>0</v>
      </c>
      <c r="S6667" s="88"/>
      <c r="T6667" s="88"/>
      <c r="U6667" s="88"/>
      <c r="V6667" s="88"/>
      <c r="W6667" s="88"/>
    </row>
    <row r="6668" spans="2:23" s="0" customFormat="0" ht="15">
      <c r="B6668" s="87" t="s">
        <v>1</v>
      </c>
      <c r="C6668" s="88" t="s">
        <v>5259</v>
      </c>
      <c r="D6668" s="88" t="s">
        <v>4831</v>
      </c>
      <c r="E6668" s="88" t="s">
        <v>61</v>
      </c>
      <c r="F6668" s="88">
        <v>0</v>
      </c>
      <c r="G6668" s="78">
        <f>MAX(H6668,I6668,J6668)</f>
        <v>0</v>
      </c>
      <c r="H6668" s="88"/>
      <c r="I6668" s="88"/>
      <c r="J6668" s="78">
        <f>MAX(K6668:Q6668)</f>
        <v>0</v>
      </c>
      <c r="K6668" s="88"/>
      <c r="L6668" s="88"/>
      <c r="M6668" s="88"/>
      <c r="N6668" s="88"/>
      <c r="O6668" s="88"/>
      <c r="P6668" s="88"/>
      <c r="Q6668" s="88"/>
      <c r="R6668" s="78">
        <f>MAX(S6668:W6668)</f>
        <v>1</v>
      </c>
      <c r="S6668" s="88"/>
      <c r="T6668" s="88"/>
      <c r="U6668" s="88">
        <v>1</v>
      </c>
      <c r="V6668" s="88"/>
      <c r="W6668" s="88"/>
    </row>
    <row r="6669" spans="2:23" s="0" customFormat="0" ht="15">
      <c r="B6669" s="87" t="s">
        <v>1</v>
      </c>
      <c r="C6669" s="88" t="s">
        <v>5259</v>
      </c>
      <c r="D6669" s="88">
        <v>15887208</v>
      </c>
      <c r="E6669" s="88" t="s">
        <v>61</v>
      </c>
      <c r="F6669" s="88">
        <v>0</v>
      </c>
      <c r="G6669" s="78">
        <f>MAX(H6669,I6669,J6669)</f>
        <v>1</v>
      </c>
      <c r="H6669" s="88"/>
      <c r="I6669" s="88"/>
      <c r="J6669" s="78">
        <f>MAX(K6669:Q6669)</f>
        <v>1</v>
      </c>
      <c r="K6669" s="88">
        <v>1</v>
      </c>
      <c r="L6669" s="88"/>
      <c r="M6669" s="88"/>
      <c r="N6669" s="88"/>
      <c r="O6669" s="88"/>
      <c r="P6669" s="88"/>
      <c r="Q6669" s="88"/>
      <c r="R6669" s="78">
        <f>MAX(S6669:W6669)</f>
        <v>0</v>
      </c>
      <c r="S6669" s="88"/>
      <c r="T6669" s="88"/>
      <c r="U6669" s="88"/>
      <c r="V6669" s="88"/>
      <c r="W6669" s="88"/>
    </row>
    <row r="6670" spans="2:23" s="0" customFormat="0" ht="15">
      <c r="B6670" s="87" t="s">
        <v>1</v>
      </c>
      <c r="C6670" s="88" t="s">
        <v>5259</v>
      </c>
      <c r="D6670" s="88" t="s">
        <v>5118</v>
      </c>
      <c r="E6670" s="88" t="s">
        <v>61</v>
      </c>
      <c r="F6670" s="88">
        <v>0</v>
      </c>
      <c r="G6670" s="78">
        <f>MAX(H6670,I6670,J6670)</f>
        <v>0</v>
      </c>
      <c r="H6670" s="88"/>
      <c r="I6670" s="88"/>
      <c r="J6670" s="78">
        <f>MAX(K6670:Q6670)</f>
        <v>0</v>
      </c>
      <c r="K6670" s="88"/>
      <c r="L6670" s="88"/>
      <c r="M6670" s="88"/>
      <c r="N6670" s="88"/>
      <c r="O6670" s="88"/>
      <c r="P6670" s="88"/>
      <c r="Q6670" s="88"/>
      <c r="R6670" s="78">
        <f>MAX(S6670:W6670)</f>
        <v>1</v>
      </c>
      <c r="S6670" s="88"/>
      <c r="T6670" s="88"/>
      <c r="U6670" s="88">
        <v>1</v>
      </c>
      <c r="V6670" s="88"/>
      <c r="W6670" s="88"/>
    </row>
    <row r="6671" spans="2:23" s="0" customFormat="0" ht="15">
      <c r="B6671" s="87" t="s">
        <v>1</v>
      </c>
      <c r="C6671" s="88" t="s">
        <v>5259</v>
      </c>
      <c r="D6671" s="88" t="s">
        <v>4567</v>
      </c>
      <c r="E6671" s="88" t="s">
        <v>61</v>
      </c>
      <c r="F6671" s="88">
        <v>0</v>
      </c>
      <c r="G6671" s="78">
        <f>MAX(H6671,I6671,J6671)</f>
        <v>0</v>
      </c>
      <c r="H6671" s="88"/>
      <c r="I6671" s="88"/>
      <c r="J6671" s="78">
        <f>MAX(K6671:Q6671)</f>
        <v>0</v>
      </c>
      <c r="K6671" s="88"/>
      <c r="L6671" s="88"/>
      <c r="M6671" s="88"/>
      <c r="N6671" s="88"/>
      <c r="O6671" s="88"/>
      <c r="P6671" s="88"/>
      <c r="Q6671" s="88"/>
      <c r="R6671" s="78">
        <f>MAX(S6671:W6671)</f>
        <v>1</v>
      </c>
      <c r="S6671" s="88"/>
      <c r="T6671" s="88"/>
      <c r="U6671" s="88">
        <v>1</v>
      </c>
      <c r="V6671" s="88"/>
      <c r="W6671" s="88"/>
    </row>
    <row r="6672" spans="2:23" s="0" customFormat="0" ht="15">
      <c r="B6672" s="87" t="s">
        <v>1</v>
      </c>
      <c r="C6672" s="88" t="s">
        <v>5259</v>
      </c>
      <c r="D6672" s="88">
        <v>7852167</v>
      </c>
      <c r="E6672" s="88" t="s">
        <v>61</v>
      </c>
      <c r="F6672" s="88">
        <v>0</v>
      </c>
      <c r="G6672" s="78">
        <f>MAX(H6672,I6672,J6672)</f>
        <v>1</v>
      </c>
      <c r="H6672" s="88"/>
      <c r="I6672" s="88"/>
      <c r="J6672" s="78">
        <f>MAX(K6672:Q6672)</f>
        <v>1</v>
      </c>
      <c r="K6672" s="88">
        <v>1</v>
      </c>
      <c r="L6672" s="88"/>
      <c r="M6672" s="88"/>
      <c r="N6672" s="88"/>
      <c r="O6672" s="88"/>
      <c r="P6672" s="88"/>
      <c r="Q6672" s="88"/>
      <c r="R6672" s="78">
        <f>MAX(S6672:W6672)</f>
        <v>0</v>
      </c>
      <c r="S6672" s="88"/>
      <c r="T6672" s="88"/>
      <c r="U6672" s="88"/>
      <c r="V6672" s="88"/>
      <c r="W6672" s="88"/>
    </row>
    <row r="6673" spans="2:23" s="0" customFormat="0" ht="15">
      <c r="B6673" s="87" t="s">
        <v>1</v>
      </c>
      <c r="C6673" s="88" t="s">
        <v>5259</v>
      </c>
      <c r="D6673" s="88">
        <v>19203904</v>
      </c>
      <c r="E6673" s="88" t="s">
        <v>61</v>
      </c>
      <c r="F6673" s="88">
        <v>0</v>
      </c>
      <c r="G6673" s="78">
        <f>MAX(H6673,I6673,J6673)</f>
        <v>1</v>
      </c>
      <c r="H6673" s="88"/>
      <c r="I6673" s="88"/>
      <c r="J6673" s="78">
        <f>MAX(K6673:Q6673)</f>
        <v>1</v>
      </c>
      <c r="K6673" s="88">
        <v>1</v>
      </c>
      <c r="L6673" s="88"/>
      <c r="M6673" s="88"/>
      <c r="N6673" s="88"/>
      <c r="O6673" s="88"/>
      <c r="P6673" s="88"/>
      <c r="Q6673" s="88"/>
      <c r="R6673" s="78">
        <f>MAX(S6673:W6673)</f>
        <v>0</v>
      </c>
      <c r="S6673" s="88"/>
      <c r="T6673" s="88"/>
      <c r="U6673" s="88"/>
      <c r="V6673" s="88"/>
      <c r="W6673" s="88"/>
    </row>
    <row r="6674" spans="2:23" s="0" customFormat="0" ht="15">
      <c r="B6674" s="87" t="s">
        <v>1</v>
      </c>
      <c r="C6674" s="88" t="s">
        <v>5259</v>
      </c>
      <c r="D6674" s="88" t="s">
        <v>3442</v>
      </c>
      <c r="E6674" s="88" t="s">
        <v>61</v>
      </c>
      <c r="F6674" s="88">
        <v>0</v>
      </c>
      <c r="G6674" s="78">
        <f>MAX(H6674,I6674,J6674)</f>
        <v>0</v>
      </c>
      <c r="H6674" s="88"/>
      <c r="I6674" s="88"/>
      <c r="J6674" s="78">
        <f>MAX(K6674:Q6674)</f>
        <v>0</v>
      </c>
      <c r="K6674" s="88"/>
      <c r="L6674" s="88"/>
      <c r="M6674" s="88"/>
      <c r="N6674" s="88"/>
      <c r="O6674" s="88"/>
      <c r="P6674" s="88"/>
      <c r="Q6674" s="88"/>
      <c r="R6674" s="78">
        <f>MAX(S6674:W6674)</f>
        <v>1</v>
      </c>
      <c r="S6674" s="88"/>
      <c r="T6674" s="88"/>
      <c r="U6674" s="88">
        <v>1</v>
      </c>
      <c r="V6674" s="88"/>
      <c r="W6674" s="88"/>
    </row>
    <row r="6675" spans="2:23" s="0" customFormat="0" ht="15">
      <c r="B6675" s="87" t="s">
        <v>1</v>
      </c>
      <c r="C6675" s="88" t="s">
        <v>5259</v>
      </c>
      <c r="D6675" s="88" t="s">
        <v>4348</v>
      </c>
      <c r="E6675" s="88" t="s">
        <v>61</v>
      </c>
      <c r="F6675" s="88">
        <v>0</v>
      </c>
      <c r="G6675" s="78">
        <f>MAX(H6675,I6675,J6675)</f>
        <v>0</v>
      </c>
      <c r="H6675" s="88"/>
      <c r="I6675" s="88"/>
      <c r="J6675" s="78">
        <f>MAX(K6675:Q6675)</f>
        <v>0</v>
      </c>
      <c r="K6675" s="88"/>
      <c r="L6675" s="88"/>
      <c r="M6675" s="88"/>
      <c r="N6675" s="88"/>
      <c r="O6675" s="88"/>
      <c r="P6675" s="88"/>
      <c r="Q6675" s="88"/>
      <c r="R6675" s="78">
        <f>MAX(S6675:W6675)</f>
        <v>1</v>
      </c>
      <c r="S6675" s="88"/>
      <c r="T6675" s="88"/>
      <c r="U6675" s="88">
        <v>1</v>
      </c>
      <c r="V6675" s="88"/>
      <c r="W6675" s="88"/>
    </row>
    <row r="6676" spans="2:23" s="0" customFormat="0" ht="15">
      <c r="B6676" s="87" t="s">
        <v>1</v>
      </c>
      <c r="C6676" s="88" t="s">
        <v>5259</v>
      </c>
      <c r="D6676" s="88">
        <v>813657</v>
      </c>
      <c r="E6676" s="88" t="s">
        <v>61</v>
      </c>
      <c r="F6676" s="88">
        <v>0</v>
      </c>
      <c r="G6676" s="78">
        <f>MAX(H6676,I6676,J6676)</f>
        <v>0</v>
      </c>
      <c r="H6676" s="88"/>
      <c r="I6676" s="88"/>
      <c r="J6676" s="78">
        <f>MAX(K6676:Q6676)</f>
        <v>0</v>
      </c>
      <c r="K6676" s="88"/>
      <c r="L6676" s="88"/>
      <c r="M6676" s="88"/>
      <c r="N6676" s="88"/>
      <c r="O6676" s="88"/>
      <c r="P6676" s="88"/>
      <c r="Q6676" s="88"/>
      <c r="R6676" s="78">
        <f>MAX(S6676:W6676)</f>
        <v>1</v>
      </c>
      <c r="S6676" s="88"/>
      <c r="T6676" s="88"/>
      <c r="U6676" s="88">
        <v>1</v>
      </c>
      <c r="V6676" s="88"/>
      <c r="W6676" s="88"/>
    </row>
    <row r="6677" spans="2:23" s="0" customFormat="0" ht="15">
      <c r="B6677" s="87" t="s">
        <v>1</v>
      </c>
      <c r="C6677" s="88" t="s">
        <v>5259</v>
      </c>
      <c r="D6677" s="88">
        <v>7621870</v>
      </c>
      <c r="E6677" s="88" t="s">
        <v>61</v>
      </c>
      <c r="F6677" s="88">
        <v>0</v>
      </c>
      <c r="G6677" s="78">
        <f>MAX(H6677,I6677,J6677)</f>
        <v>1</v>
      </c>
      <c r="H6677" s="88"/>
      <c r="I6677" s="88"/>
      <c r="J6677" s="78">
        <f>MAX(K6677:Q6677)</f>
        <v>1</v>
      </c>
      <c r="K6677" s="88">
        <v>1</v>
      </c>
      <c r="L6677" s="88"/>
      <c r="M6677" s="88"/>
      <c r="N6677" s="88"/>
      <c r="O6677" s="88"/>
      <c r="P6677" s="88"/>
      <c r="Q6677" s="88"/>
      <c r="R6677" s="78">
        <f>MAX(S6677:W6677)</f>
        <v>0</v>
      </c>
      <c r="S6677" s="88"/>
      <c r="T6677" s="88"/>
      <c r="U6677" s="88"/>
      <c r="V6677" s="88"/>
      <c r="W6677" s="88"/>
    </row>
    <row r="6678" spans="2:23" s="0" customFormat="0" ht="15">
      <c r="B6678" s="87" t="s">
        <v>1</v>
      </c>
      <c r="C6678" s="88" t="s">
        <v>5259</v>
      </c>
      <c r="D6678" s="88" t="s">
        <v>4395</v>
      </c>
      <c r="E6678" s="88" t="s">
        <v>61</v>
      </c>
      <c r="F6678" s="88">
        <v>0</v>
      </c>
      <c r="G6678" s="78">
        <f>MAX(H6678,I6678,J6678)</f>
        <v>0</v>
      </c>
      <c r="H6678" s="88"/>
      <c r="I6678" s="88"/>
      <c r="J6678" s="78">
        <f>MAX(K6678:Q6678)</f>
        <v>0</v>
      </c>
      <c r="K6678" s="88"/>
      <c r="L6678" s="88"/>
      <c r="M6678" s="88"/>
      <c r="N6678" s="88"/>
      <c r="O6678" s="88"/>
      <c r="P6678" s="88"/>
      <c r="Q6678" s="88"/>
      <c r="R6678" s="78">
        <f>MAX(S6678:W6678)</f>
        <v>1</v>
      </c>
      <c r="S6678" s="88"/>
      <c r="T6678" s="88"/>
      <c r="U6678" s="88">
        <v>1</v>
      </c>
      <c r="V6678" s="88"/>
      <c r="W6678" s="88"/>
    </row>
    <row r="6679" spans="2:23" s="0" customFormat="0" ht="15">
      <c r="B6679" s="87" t="s">
        <v>1</v>
      </c>
      <c r="C6679" s="88" t="s">
        <v>5259</v>
      </c>
      <c r="D6679" s="88">
        <v>16151235</v>
      </c>
      <c r="E6679" s="88" t="s">
        <v>61</v>
      </c>
      <c r="F6679" s="88">
        <v>0</v>
      </c>
      <c r="G6679" s="78">
        <f>MAX(H6679,I6679,J6679)</f>
        <v>1</v>
      </c>
      <c r="H6679" s="88"/>
      <c r="I6679" s="88"/>
      <c r="J6679" s="78">
        <f>MAX(K6679:Q6679)</f>
        <v>1</v>
      </c>
      <c r="K6679" s="88">
        <v>1</v>
      </c>
      <c r="L6679" s="88"/>
      <c r="M6679" s="88"/>
      <c r="N6679" s="88"/>
      <c r="O6679" s="88"/>
      <c r="P6679" s="88"/>
      <c r="Q6679" s="88"/>
      <c r="R6679" s="78">
        <f>MAX(S6679:W6679)</f>
        <v>0</v>
      </c>
      <c r="S6679" s="88"/>
      <c r="T6679" s="88"/>
      <c r="U6679" s="88"/>
      <c r="V6679" s="88"/>
      <c r="W6679" s="88"/>
    </row>
    <row r="6680" spans="2:23" s="0" customFormat="0" ht="15">
      <c r="B6680" s="87" t="s">
        <v>1</v>
      </c>
      <c r="C6680" s="88" t="s">
        <v>5259</v>
      </c>
      <c r="D6680" s="88">
        <v>17069409</v>
      </c>
      <c r="E6680" s="88" t="s">
        <v>61</v>
      </c>
      <c r="F6680" s="88">
        <v>0</v>
      </c>
      <c r="G6680" s="78">
        <f>MAX(H6680,I6680,J6680)</f>
        <v>1</v>
      </c>
      <c r="H6680" s="88"/>
      <c r="I6680" s="88"/>
      <c r="J6680" s="78">
        <f>MAX(K6680:Q6680)</f>
        <v>1</v>
      </c>
      <c r="K6680" s="88">
        <v>1</v>
      </c>
      <c r="L6680" s="88"/>
      <c r="M6680" s="88"/>
      <c r="N6680" s="88"/>
      <c r="O6680" s="88"/>
      <c r="P6680" s="88"/>
      <c r="Q6680" s="88"/>
      <c r="R6680" s="78">
        <f>MAX(S6680:W6680)</f>
        <v>0</v>
      </c>
      <c r="S6680" s="88"/>
      <c r="T6680" s="88"/>
      <c r="U6680" s="88"/>
      <c r="V6680" s="88"/>
      <c r="W6680" s="88"/>
    </row>
    <row r="6681" spans="2:23" s="0" customFormat="0" ht="15">
      <c r="B6681" s="87" t="s">
        <v>1</v>
      </c>
      <c r="C6681" s="88" t="s">
        <v>5259</v>
      </c>
      <c r="D6681" s="88">
        <v>24426297</v>
      </c>
      <c r="E6681" s="88" t="s">
        <v>61</v>
      </c>
      <c r="F6681" s="88">
        <v>0</v>
      </c>
      <c r="G6681" s="78">
        <f>MAX(H6681,I6681,J6681)</f>
        <v>1</v>
      </c>
      <c r="H6681" s="88"/>
      <c r="I6681" s="88"/>
      <c r="J6681" s="78">
        <f>MAX(K6681:Q6681)</f>
        <v>1</v>
      </c>
      <c r="K6681" s="88">
        <v>1</v>
      </c>
      <c r="L6681" s="88"/>
      <c r="M6681" s="88"/>
      <c r="N6681" s="88"/>
      <c r="O6681" s="88"/>
      <c r="P6681" s="88"/>
      <c r="Q6681" s="88"/>
      <c r="R6681" s="78">
        <f>MAX(S6681:W6681)</f>
        <v>0</v>
      </c>
      <c r="S6681" s="88"/>
      <c r="T6681" s="88"/>
      <c r="U6681" s="88"/>
      <c r="V6681" s="88"/>
      <c r="W6681" s="88"/>
    </row>
    <row r="6682" spans="2:23" s="0" customFormat="0" ht="15">
      <c r="B6682" s="87" t="s">
        <v>1</v>
      </c>
      <c r="C6682" s="88" t="s">
        <v>5259</v>
      </c>
      <c r="D6682" s="88">
        <v>11372165</v>
      </c>
      <c r="E6682" s="88" t="s">
        <v>61</v>
      </c>
      <c r="F6682" s="88">
        <v>0</v>
      </c>
      <c r="G6682" s="78">
        <f>MAX(H6682,I6682,J6682)</f>
        <v>1</v>
      </c>
      <c r="H6682" s="88"/>
      <c r="I6682" s="88"/>
      <c r="J6682" s="78">
        <f>MAX(K6682:Q6682)</f>
        <v>1</v>
      </c>
      <c r="K6682" s="88">
        <v>1</v>
      </c>
      <c r="L6682" s="88"/>
      <c r="M6682" s="88"/>
      <c r="N6682" s="88"/>
      <c r="O6682" s="88"/>
      <c r="P6682" s="88"/>
      <c r="Q6682" s="88"/>
      <c r="R6682" s="78">
        <f>MAX(S6682:W6682)</f>
        <v>0</v>
      </c>
      <c r="S6682" s="88"/>
      <c r="T6682" s="88"/>
      <c r="U6682" s="88"/>
      <c r="V6682" s="88"/>
      <c r="W6682" s="88"/>
    </row>
    <row r="6683" spans="2:23" s="0" customFormat="0" ht="15">
      <c r="B6683" s="87" t="s">
        <v>1</v>
      </c>
      <c r="C6683" s="88" t="s">
        <v>5259</v>
      </c>
      <c r="D6683" s="88" t="s">
        <v>3644</v>
      </c>
      <c r="E6683" s="88" t="s">
        <v>61</v>
      </c>
      <c r="F6683" s="88">
        <v>0</v>
      </c>
      <c r="G6683" s="78">
        <f>MAX(H6683,I6683,J6683)</f>
        <v>0</v>
      </c>
      <c r="H6683" s="88"/>
      <c r="I6683" s="88"/>
      <c r="J6683" s="78">
        <f>MAX(K6683:Q6683)</f>
        <v>0</v>
      </c>
      <c r="K6683" s="88"/>
      <c r="L6683" s="88"/>
      <c r="M6683" s="88"/>
      <c r="N6683" s="88"/>
      <c r="O6683" s="88"/>
      <c r="P6683" s="88"/>
      <c r="Q6683" s="88"/>
      <c r="R6683" s="78">
        <f>MAX(S6683:W6683)</f>
        <v>1</v>
      </c>
      <c r="S6683" s="88"/>
      <c r="T6683" s="88"/>
      <c r="U6683" s="88">
        <v>1</v>
      </c>
      <c r="V6683" s="88"/>
      <c r="W6683" s="88"/>
    </row>
    <row r="6684" spans="2:23" s="0" customFormat="0" ht="15">
      <c r="B6684" s="87" t="s">
        <v>1</v>
      </c>
      <c r="C6684" s="88" t="s">
        <v>5259</v>
      </c>
      <c r="D6684" s="88">
        <v>11578696</v>
      </c>
      <c r="E6684" s="88" t="s">
        <v>61</v>
      </c>
      <c r="F6684" s="88">
        <v>0</v>
      </c>
      <c r="G6684" s="78">
        <f>MAX(H6684,I6684,J6684)</f>
        <v>1</v>
      </c>
      <c r="H6684" s="88"/>
      <c r="I6684" s="88"/>
      <c r="J6684" s="78">
        <f>MAX(K6684:Q6684)</f>
        <v>1</v>
      </c>
      <c r="K6684" s="88">
        <v>1</v>
      </c>
      <c r="L6684" s="88"/>
      <c r="M6684" s="88"/>
      <c r="N6684" s="88"/>
      <c r="O6684" s="88"/>
      <c r="P6684" s="88"/>
      <c r="Q6684" s="88"/>
      <c r="R6684" s="78">
        <f>MAX(S6684:W6684)</f>
        <v>0</v>
      </c>
      <c r="S6684" s="88"/>
      <c r="T6684" s="88"/>
      <c r="U6684" s="88"/>
      <c r="V6684" s="88"/>
      <c r="W6684" s="88"/>
    </row>
    <row r="6685" spans="2:23" s="0" customFormat="0" ht="15">
      <c r="B6685" s="87" t="s">
        <v>1</v>
      </c>
      <c r="C6685" s="88" t="s">
        <v>5259</v>
      </c>
      <c r="D6685" s="88">
        <v>22554140</v>
      </c>
      <c r="E6685" s="88" t="s">
        <v>61</v>
      </c>
      <c r="F6685" s="88">
        <v>0</v>
      </c>
      <c r="G6685" s="78">
        <f>MAX(H6685,I6685,J6685)</f>
        <v>0</v>
      </c>
      <c r="H6685" s="88"/>
      <c r="I6685" s="88"/>
      <c r="J6685" s="78">
        <f>MAX(K6685:Q6685)</f>
        <v>0</v>
      </c>
      <c r="K6685" s="88"/>
      <c r="L6685" s="88"/>
      <c r="M6685" s="88"/>
      <c r="N6685" s="88"/>
      <c r="O6685" s="88"/>
      <c r="P6685" s="88"/>
      <c r="Q6685" s="88"/>
      <c r="R6685" s="78">
        <f>MAX(S6685:W6685)</f>
        <v>1</v>
      </c>
      <c r="S6685" s="88"/>
      <c r="T6685" s="88"/>
      <c r="U6685" s="88">
        <v>1</v>
      </c>
      <c r="V6685" s="88"/>
      <c r="W6685" s="88"/>
    </row>
    <row r="6686" spans="2:23" s="0" customFormat="0" ht="15">
      <c r="B6686" s="87" t="s">
        <v>1</v>
      </c>
      <c r="C6686" s="88" t="s">
        <v>5259</v>
      </c>
      <c r="D6686" s="88" t="s">
        <v>2621</v>
      </c>
      <c r="E6686" s="88" t="s">
        <v>61</v>
      </c>
      <c r="F6686" s="88">
        <v>0</v>
      </c>
      <c r="G6686" s="78">
        <f>MAX(H6686,I6686,J6686)</f>
        <v>1</v>
      </c>
      <c r="H6686" s="88"/>
      <c r="I6686" s="88"/>
      <c r="J6686" s="78">
        <f>MAX(K6686:Q6686)</f>
        <v>1</v>
      </c>
      <c r="K6686" s="88">
        <v>1</v>
      </c>
      <c r="L6686" s="88"/>
      <c r="M6686" s="88"/>
      <c r="N6686" s="88"/>
      <c r="O6686" s="88"/>
      <c r="P6686" s="88"/>
      <c r="Q6686" s="88"/>
      <c r="R6686" s="78">
        <f>MAX(S6686:W6686)</f>
        <v>0</v>
      </c>
      <c r="S6686" s="88"/>
      <c r="T6686" s="88"/>
      <c r="U6686" s="88"/>
      <c r="V6686" s="88"/>
      <c r="W6686" s="88"/>
    </row>
    <row r="6687" spans="2:23" s="0" customFormat="0" ht="15">
      <c r="B6687" s="87" t="s">
        <v>1</v>
      </c>
      <c r="C6687" s="88" t="s">
        <v>5259</v>
      </c>
      <c r="D6687" s="88">
        <v>12828176</v>
      </c>
      <c r="E6687" s="88" t="s">
        <v>61</v>
      </c>
      <c r="F6687" s="88">
        <v>0</v>
      </c>
      <c r="G6687" s="78">
        <f>MAX(H6687,I6687,J6687)</f>
        <v>1</v>
      </c>
      <c r="H6687" s="88"/>
      <c r="I6687" s="88"/>
      <c r="J6687" s="78">
        <f>MAX(K6687:Q6687)</f>
        <v>1</v>
      </c>
      <c r="K6687" s="88">
        <v>1</v>
      </c>
      <c r="L6687" s="88"/>
      <c r="M6687" s="88"/>
      <c r="N6687" s="88"/>
      <c r="O6687" s="88"/>
      <c r="P6687" s="88"/>
      <c r="Q6687" s="88"/>
      <c r="R6687" s="78">
        <f>MAX(S6687:W6687)</f>
        <v>0</v>
      </c>
      <c r="S6687" s="88"/>
      <c r="T6687" s="88"/>
      <c r="U6687" s="88"/>
      <c r="V6687" s="88"/>
      <c r="W6687" s="88"/>
    </row>
    <row r="6688" spans="2:23" s="0" customFormat="0" ht="15">
      <c r="B6688" s="87" t="s">
        <v>1</v>
      </c>
      <c r="C6688" s="88" t="s">
        <v>5259</v>
      </c>
      <c r="D6688" s="88">
        <v>778660</v>
      </c>
      <c r="E6688" s="88" t="s">
        <v>61</v>
      </c>
      <c r="F6688" s="88">
        <v>0</v>
      </c>
      <c r="G6688" s="78">
        <f>MAX(H6688,I6688,J6688)</f>
        <v>0</v>
      </c>
      <c r="H6688" s="88"/>
      <c r="I6688" s="88"/>
      <c r="J6688" s="78">
        <f>MAX(K6688:Q6688)</f>
        <v>0</v>
      </c>
      <c r="K6688" s="88"/>
      <c r="L6688" s="88"/>
      <c r="M6688" s="88"/>
      <c r="N6688" s="88"/>
      <c r="O6688" s="88"/>
      <c r="P6688" s="88"/>
      <c r="Q6688" s="88"/>
      <c r="R6688" s="78">
        <f>MAX(S6688:W6688)</f>
        <v>1</v>
      </c>
      <c r="S6688" s="88"/>
      <c r="T6688" s="88"/>
      <c r="U6688" s="88">
        <v>1</v>
      </c>
      <c r="V6688" s="88"/>
      <c r="W6688" s="88"/>
    </row>
    <row r="6689" spans="2:23" s="0" customFormat="0" ht="15">
      <c r="B6689" s="87" t="s">
        <v>1</v>
      </c>
      <c r="C6689" s="88" t="s">
        <v>5259</v>
      </c>
      <c r="D6689" s="88">
        <v>8247517</v>
      </c>
      <c r="E6689" s="88" t="s">
        <v>61</v>
      </c>
      <c r="F6689" s="88">
        <v>0</v>
      </c>
      <c r="G6689" s="78">
        <f>MAX(H6689,I6689,J6689)</f>
        <v>1</v>
      </c>
      <c r="H6689" s="88"/>
      <c r="I6689" s="88"/>
      <c r="J6689" s="78">
        <f>MAX(K6689:Q6689)</f>
        <v>1</v>
      </c>
      <c r="K6689" s="88">
        <v>1</v>
      </c>
      <c r="L6689" s="88"/>
      <c r="M6689" s="88"/>
      <c r="N6689" s="88"/>
      <c r="O6689" s="88"/>
      <c r="P6689" s="88"/>
      <c r="Q6689" s="88"/>
      <c r="R6689" s="78">
        <f>MAX(S6689:W6689)</f>
        <v>0</v>
      </c>
      <c r="S6689" s="88"/>
      <c r="T6689" s="88"/>
      <c r="U6689" s="88"/>
      <c r="V6689" s="88"/>
      <c r="W6689" s="88"/>
    </row>
    <row r="6690" spans="2:23" s="0" customFormat="0" ht="15">
      <c r="B6690" s="87" t="s">
        <v>1</v>
      </c>
      <c r="C6690" s="88" t="s">
        <v>5259</v>
      </c>
      <c r="D6690" s="88">
        <v>18850582</v>
      </c>
      <c r="E6690" s="88" t="s">
        <v>61</v>
      </c>
      <c r="F6690" s="88">
        <v>0</v>
      </c>
      <c r="G6690" s="78">
        <f>MAX(H6690,I6690,J6690)</f>
        <v>0</v>
      </c>
      <c r="H6690" s="88"/>
      <c r="I6690" s="88"/>
      <c r="J6690" s="78">
        <f>MAX(K6690:Q6690)</f>
        <v>0</v>
      </c>
      <c r="K6690" s="88"/>
      <c r="L6690" s="88"/>
      <c r="M6690" s="88"/>
      <c r="N6690" s="88"/>
      <c r="O6690" s="88"/>
      <c r="P6690" s="88"/>
      <c r="Q6690" s="88"/>
      <c r="R6690" s="78">
        <f>MAX(S6690:W6690)</f>
        <v>1</v>
      </c>
      <c r="S6690" s="88"/>
      <c r="T6690" s="88"/>
      <c r="U6690" s="88">
        <v>1</v>
      </c>
      <c r="V6690" s="88"/>
      <c r="W6690" s="88"/>
    </row>
    <row r="6691" spans="2:23" s="0" customFormat="0" ht="15">
      <c r="B6691" s="87" t="s">
        <v>1</v>
      </c>
      <c r="C6691" s="88" t="s">
        <v>5259</v>
      </c>
      <c r="D6691" s="88">
        <v>15887204</v>
      </c>
      <c r="E6691" s="88" t="s">
        <v>61</v>
      </c>
      <c r="F6691" s="88">
        <v>0</v>
      </c>
      <c r="G6691" s="78">
        <f>MAX(H6691,I6691,J6691)</f>
        <v>1</v>
      </c>
      <c r="H6691" s="88"/>
      <c r="I6691" s="88"/>
      <c r="J6691" s="78">
        <f>MAX(K6691:Q6691)</f>
        <v>1</v>
      </c>
      <c r="K6691" s="88">
        <v>1</v>
      </c>
      <c r="L6691" s="88"/>
      <c r="M6691" s="88"/>
      <c r="N6691" s="88"/>
      <c r="O6691" s="88"/>
      <c r="P6691" s="88"/>
      <c r="Q6691" s="88"/>
      <c r="R6691" s="78">
        <f>MAX(S6691:W6691)</f>
        <v>0</v>
      </c>
      <c r="S6691" s="88"/>
      <c r="T6691" s="88"/>
      <c r="U6691" s="88"/>
      <c r="V6691" s="88"/>
      <c r="W6691" s="88"/>
    </row>
    <row r="6692" spans="2:23" s="0" customFormat="0" ht="15">
      <c r="B6692" s="87" t="s">
        <v>1</v>
      </c>
      <c r="C6692" s="88" t="s">
        <v>5259</v>
      </c>
      <c r="D6692" s="88" t="s">
        <v>4653</v>
      </c>
      <c r="E6692" s="88" t="s">
        <v>61</v>
      </c>
      <c r="F6692" s="88">
        <v>0</v>
      </c>
      <c r="G6692" s="78">
        <f>MAX(H6692,I6692,J6692)</f>
        <v>0</v>
      </c>
      <c r="H6692" s="88"/>
      <c r="I6692" s="88"/>
      <c r="J6692" s="78">
        <f>MAX(K6692:Q6692)</f>
        <v>0</v>
      </c>
      <c r="K6692" s="88"/>
      <c r="L6692" s="88"/>
      <c r="M6692" s="88"/>
      <c r="N6692" s="88"/>
      <c r="O6692" s="88"/>
      <c r="P6692" s="88"/>
      <c r="Q6692" s="88"/>
      <c r="R6692" s="78">
        <f>MAX(S6692:W6692)</f>
        <v>1</v>
      </c>
      <c r="S6692" s="88"/>
      <c r="T6692" s="88"/>
      <c r="U6692" s="88">
        <v>1</v>
      </c>
      <c r="V6692" s="88"/>
      <c r="W6692" s="88"/>
    </row>
    <row r="6693" spans="2:23" s="0" customFormat="0" ht="15">
      <c r="B6693" s="87" t="s">
        <v>1</v>
      </c>
      <c r="C6693" s="88" t="s">
        <v>5259</v>
      </c>
      <c r="D6693" s="88" t="s">
        <v>3011</v>
      </c>
      <c r="E6693" s="88" t="s">
        <v>61</v>
      </c>
      <c r="F6693" s="88">
        <v>0</v>
      </c>
      <c r="G6693" s="78">
        <f>MAX(H6693,I6693,J6693)</f>
        <v>1</v>
      </c>
      <c r="H6693" s="88"/>
      <c r="I6693" s="88"/>
      <c r="J6693" s="78">
        <f>MAX(K6693:Q6693)</f>
        <v>1</v>
      </c>
      <c r="K6693" s="88">
        <v>1</v>
      </c>
      <c r="L6693" s="88"/>
      <c r="M6693" s="88"/>
      <c r="N6693" s="88"/>
      <c r="O6693" s="88"/>
      <c r="P6693" s="88"/>
      <c r="Q6693" s="88"/>
      <c r="R6693" s="78">
        <f>MAX(S6693:W6693)</f>
        <v>0</v>
      </c>
      <c r="S6693" s="88"/>
      <c r="T6693" s="88"/>
      <c r="U6693" s="88"/>
      <c r="V6693" s="88"/>
      <c r="W6693" s="88"/>
    </row>
    <row r="6694" spans="2:23" s="0" customFormat="0" ht="15">
      <c r="B6694" s="87" t="s">
        <v>1</v>
      </c>
      <c r="C6694" s="88" t="s">
        <v>5259</v>
      </c>
      <c r="D6694" s="88" t="s">
        <v>3050</v>
      </c>
      <c r="E6694" s="88" t="s">
        <v>61</v>
      </c>
      <c r="F6694" s="88">
        <v>0</v>
      </c>
      <c r="G6694" s="78">
        <f>MAX(H6694,I6694,J6694)</f>
        <v>1</v>
      </c>
      <c r="H6694" s="88"/>
      <c r="I6694" s="88"/>
      <c r="J6694" s="78">
        <f>MAX(K6694:Q6694)</f>
        <v>1</v>
      </c>
      <c r="K6694" s="88"/>
      <c r="L6694" s="88">
        <v>1</v>
      </c>
      <c r="M6694" s="88"/>
      <c r="N6694" s="88"/>
      <c r="O6694" s="88"/>
      <c r="P6694" s="88"/>
      <c r="Q6694" s="88"/>
      <c r="R6694" s="78">
        <f>MAX(S6694:W6694)</f>
        <v>0</v>
      </c>
      <c r="S6694" s="88"/>
      <c r="T6694" s="88"/>
      <c r="U6694" s="88"/>
      <c r="V6694" s="88"/>
      <c r="W6694" s="88"/>
    </row>
    <row r="6695" spans="2:23" s="0" customFormat="0" ht="15">
      <c r="B6695" s="87" t="s">
        <v>1</v>
      </c>
      <c r="C6695" s="88" t="s">
        <v>5259</v>
      </c>
      <c r="D6695" s="88" t="s">
        <v>5191</v>
      </c>
      <c r="E6695" s="88" t="s">
        <v>61</v>
      </c>
      <c r="F6695" s="88">
        <v>0</v>
      </c>
      <c r="G6695" s="78">
        <f>MAX(H6695,I6695,J6695)</f>
        <v>0</v>
      </c>
      <c r="H6695" s="88"/>
      <c r="I6695" s="88"/>
      <c r="J6695" s="78">
        <f>MAX(K6695:Q6695)</f>
        <v>0</v>
      </c>
      <c r="K6695" s="88"/>
      <c r="L6695" s="88"/>
      <c r="M6695" s="88"/>
      <c r="N6695" s="88"/>
      <c r="O6695" s="88"/>
      <c r="P6695" s="88"/>
      <c r="Q6695" s="88"/>
      <c r="R6695" s="78">
        <f>MAX(S6695:W6695)</f>
        <v>1</v>
      </c>
      <c r="S6695" s="88"/>
      <c r="T6695" s="88"/>
      <c r="U6695" s="88">
        <v>1</v>
      </c>
      <c r="V6695" s="88"/>
      <c r="W6695" s="88"/>
    </row>
    <row r="6696" spans="2:23" s="0" customFormat="0" ht="15">
      <c r="B6696" s="87" t="s">
        <v>1</v>
      </c>
      <c r="C6696" s="88" t="s">
        <v>5259</v>
      </c>
      <c r="D6696" s="88">
        <v>12792348</v>
      </c>
      <c r="E6696" s="88" t="s">
        <v>61</v>
      </c>
      <c r="F6696" s="88">
        <v>0</v>
      </c>
      <c r="G6696" s="78">
        <f>MAX(H6696,I6696,J6696)</f>
        <v>1</v>
      </c>
      <c r="H6696" s="88"/>
      <c r="I6696" s="88"/>
      <c r="J6696" s="78">
        <f>MAX(K6696:Q6696)</f>
        <v>1</v>
      </c>
      <c r="K6696" s="88">
        <v>1</v>
      </c>
      <c r="L6696" s="88"/>
      <c r="M6696" s="88"/>
      <c r="N6696" s="88"/>
      <c r="O6696" s="88"/>
      <c r="P6696" s="88"/>
      <c r="Q6696" s="88"/>
      <c r="R6696" s="78">
        <f>MAX(S6696:W6696)</f>
        <v>0</v>
      </c>
      <c r="S6696" s="88"/>
      <c r="T6696" s="88"/>
      <c r="U6696" s="88"/>
      <c r="V6696" s="88"/>
      <c r="W6696" s="88"/>
    </row>
    <row r="6697" spans="2:23" s="0" customFormat="0" ht="15">
      <c r="B6697" s="87" t="s">
        <v>1</v>
      </c>
      <c r="C6697" s="88" t="s">
        <v>5259</v>
      </c>
      <c r="D6697" s="88" t="s">
        <v>2906</v>
      </c>
      <c r="E6697" s="88" t="s">
        <v>61</v>
      </c>
      <c r="F6697" s="88">
        <v>0</v>
      </c>
      <c r="G6697" s="78">
        <f>MAX(H6697,I6697,J6697)</f>
        <v>1</v>
      </c>
      <c r="H6697" s="88"/>
      <c r="I6697" s="88"/>
      <c r="J6697" s="78">
        <f>MAX(K6697:Q6697)</f>
        <v>1</v>
      </c>
      <c r="K6697" s="88">
        <v>1</v>
      </c>
      <c r="L6697" s="88"/>
      <c r="M6697" s="88"/>
      <c r="N6697" s="88"/>
      <c r="O6697" s="88"/>
      <c r="P6697" s="88"/>
      <c r="Q6697" s="88"/>
      <c r="R6697" s="78">
        <f>MAX(S6697:W6697)</f>
        <v>0</v>
      </c>
      <c r="S6697" s="88"/>
      <c r="T6697" s="88"/>
      <c r="U6697" s="88"/>
      <c r="V6697" s="88"/>
      <c r="W6697" s="88"/>
    </row>
    <row r="6698" spans="2:23" s="0" customFormat="0" ht="15">
      <c r="B6698" s="87" t="s">
        <v>1</v>
      </c>
      <c r="C6698" s="88" t="s">
        <v>5259</v>
      </c>
      <c r="D6698" s="88">
        <v>16971309</v>
      </c>
      <c r="E6698" s="88" t="s">
        <v>61</v>
      </c>
      <c r="F6698" s="88">
        <v>0</v>
      </c>
      <c r="G6698" s="78">
        <f>MAX(H6698,I6698,J6698)</f>
        <v>1</v>
      </c>
      <c r="H6698" s="88"/>
      <c r="I6698" s="88"/>
      <c r="J6698" s="78">
        <f>MAX(K6698:Q6698)</f>
        <v>1</v>
      </c>
      <c r="K6698" s="88">
        <v>1</v>
      </c>
      <c r="L6698" s="88"/>
      <c r="M6698" s="88"/>
      <c r="N6698" s="88"/>
      <c r="O6698" s="88"/>
      <c r="P6698" s="88"/>
      <c r="Q6698" s="88"/>
      <c r="R6698" s="78">
        <f>MAX(S6698:W6698)</f>
        <v>0</v>
      </c>
      <c r="S6698" s="88"/>
      <c r="T6698" s="88"/>
      <c r="U6698" s="88"/>
      <c r="V6698" s="88"/>
      <c r="W6698" s="88"/>
    </row>
    <row r="6699" spans="2:23" s="0" customFormat="0" ht="15">
      <c r="B6699" s="87" t="s">
        <v>1</v>
      </c>
      <c r="C6699" s="88" t="s">
        <v>5259</v>
      </c>
      <c r="D6699" s="88">
        <v>22282639</v>
      </c>
      <c r="E6699" s="88" t="s">
        <v>61</v>
      </c>
      <c r="F6699" s="88">
        <v>0</v>
      </c>
      <c r="G6699" s="78">
        <f>MAX(H6699,I6699,J6699)</f>
        <v>1</v>
      </c>
      <c r="H6699" s="88"/>
      <c r="I6699" s="88"/>
      <c r="J6699" s="78">
        <f>MAX(K6699:Q6699)</f>
        <v>1</v>
      </c>
      <c r="K6699" s="88">
        <v>1</v>
      </c>
      <c r="L6699" s="88"/>
      <c r="M6699" s="88"/>
      <c r="N6699" s="88"/>
      <c r="O6699" s="88"/>
      <c r="P6699" s="88"/>
      <c r="Q6699" s="88"/>
      <c r="R6699" s="78">
        <f>MAX(S6699:W6699)</f>
        <v>0</v>
      </c>
      <c r="S6699" s="88"/>
      <c r="T6699" s="88"/>
      <c r="U6699" s="88"/>
      <c r="V6699" s="88"/>
      <c r="W6699" s="88"/>
    </row>
    <row r="6700" spans="2:23" s="0" customFormat="0" ht="15">
      <c r="B6700" s="87" t="s">
        <v>1</v>
      </c>
      <c r="C6700" s="88" t="s">
        <v>5259</v>
      </c>
      <c r="D6700" s="88">
        <v>19215387</v>
      </c>
      <c r="E6700" s="88" t="s">
        <v>61</v>
      </c>
      <c r="F6700" s="88">
        <v>0</v>
      </c>
      <c r="G6700" s="78">
        <f>MAX(H6700,I6700,J6700)</f>
        <v>1</v>
      </c>
      <c r="H6700" s="88"/>
      <c r="I6700" s="88"/>
      <c r="J6700" s="78">
        <f>MAX(K6700:Q6700)</f>
        <v>1</v>
      </c>
      <c r="K6700" s="88">
        <v>1</v>
      </c>
      <c r="L6700" s="88"/>
      <c r="M6700" s="88"/>
      <c r="N6700" s="88"/>
      <c r="O6700" s="88"/>
      <c r="P6700" s="88"/>
      <c r="Q6700" s="88"/>
      <c r="R6700" s="78">
        <f>MAX(S6700:W6700)</f>
        <v>0</v>
      </c>
      <c r="S6700" s="88"/>
      <c r="T6700" s="88"/>
      <c r="U6700" s="88"/>
      <c r="V6700" s="88"/>
      <c r="W6700" s="88"/>
    </row>
    <row r="6701" spans="2:23" s="0" customFormat="0" ht="15">
      <c r="B6701" s="87" t="s">
        <v>1</v>
      </c>
      <c r="C6701" s="88" t="s">
        <v>5259</v>
      </c>
      <c r="D6701" s="88">
        <v>23365199</v>
      </c>
      <c r="E6701" s="88" t="s">
        <v>61</v>
      </c>
      <c r="F6701" s="88">
        <v>0</v>
      </c>
      <c r="G6701" s="78">
        <f>MAX(H6701,I6701,J6701)</f>
        <v>1</v>
      </c>
      <c r="H6701" s="88"/>
      <c r="I6701" s="88"/>
      <c r="J6701" s="78">
        <f>MAX(K6701:Q6701)</f>
        <v>1</v>
      </c>
      <c r="K6701" s="88">
        <v>1</v>
      </c>
      <c r="L6701" s="88"/>
      <c r="M6701" s="88"/>
      <c r="N6701" s="88"/>
      <c r="O6701" s="88"/>
      <c r="P6701" s="88"/>
      <c r="Q6701" s="88"/>
      <c r="R6701" s="78">
        <f>MAX(S6701:W6701)</f>
        <v>0</v>
      </c>
      <c r="S6701" s="88"/>
      <c r="T6701" s="88"/>
      <c r="U6701" s="88"/>
      <c r="V6701" s="88"/>
      <c r="W6701" s="88"/>
    </row>
    <row r="6702" spans="2:23" s="0" customFormat="0" ht="15">
      <c r="B6702" s="87" t="s">
        <v>1</v>
      </c>
      <c r="C6702" s="88" t="s">
        <v>5259</v>
      </c>
      <c r="D6702" s="88" t="s">
        <v>2300</v>
      </c>
      <c r="E6702" s="88" t="s">
        <v>61</v>
      </c>
      <c r="F6702" s="88">
        <v>0</v>
      </c>
      <c r="G6702" s="78">
        <f>MAX(H6702,I6702,J6702)</f>
        <v>1</v>
      </c>
      <c r="H6702" s="88"/>
      <c r="I6702" s="88"/>
      <c r="J6702" s="78">
        <f>MAX(K6702:Q6702)</f>
        <v>1</v>
      </c>
      <c r="K6702" s="88">
        <v>1</v>
      </c>
      <c r="L6702" s="88"/>
      <c r="M6702" s="88"/>
      <c r="N6702" s="88"/>
      <c r="O6702" s="88"/>
      <c r="P6702" s="88"/>
      <c r="Q6702" s="88"/>
      <c r="R6702" s="78">
        <f>MAX(S6702:W6702)</f>
        <v>0</v>
      </c>
      <c r="S6702" s="88"/>
      <c r="T6702" s="88"/>
      <c r="U6702" s="88"/>
      <c r="V6702" s="88"/>
      <c r="W6702" s="88"/>
    </row>
    <row r="6703" spans="2:23" s="0" customFormat="0" ht="15">
      <c r="B6703" s="87" t="s">
        <v>1</v>
      </c>
      <c r="C6703" s="88" t="s">
        <v>5259</v>
      </c>
      <c r="D6703" s="88">
        <v>16988739</v>
      </c>
      <c r="E6703" s="88" t="s">
        <v>61</v>
      </c>
      <c r="F6703" s="88">
        <v>0</v>
      </c>
      <c r="G6703" s="78">
        <f>MAX(H6703,I6703,J6703)</f>
        <v>1</v>
      </c>
      <c r="H6703" s="88"/>
      <c r="I6703" s="88"/>
      <c r="J6703" s="78">
        <f>MAX(K6703:Q6703)</f>
        <v>1</v>
      </c>
      <c r="K6703" s="88">
        <v>1</v>
      </c>
      <c r="L6703" s="88"/>
      <c r="M6703" s="88"/>
      <c r="N6703" s="88"/>
      <c r="O6703" s="88"/>
      <c r="P6703" s="88"/>
      <c r="Q6703" s="88"/>
      <c r="R6703" s="78">
        <f>MAX(S6703:W6703)</f>
        <v>0</v>
      </c>
      <c r="S6703" s="88"/>
      <c r="T6703" s="88"/>
      <c r="U6703" s="88"/>
      <c r="V6703" s="88"/>
      <c r="W6703" s="88"/>
    </row>
    <row r="6704" spans="2:23" s="0" customFormat="0" ht="15">
      <c r="B6704" s="87" t="s">
        <v>1</v>
      </c>
      <c r="C6704" s="88" t="s">
        <v>5259</v>
      </c>
      <c r="D6704" s="88">
        <v>21851167</v>
      </c>
      <c r="E6704" s="88" t="s">
        <v>61</v>
      </c>
      <c r="F6704" s="88">
        <v>0</v>
      </c>
      <c r="G6704" s="78">
        <f>MAX(H6704,I6704,J6704)</f>
        <v>1</v>
      </c>
      <c r="H6704" s="88"/>
      <c r="I6704" s="88"/>
      <c r="J6704" s="78">
        <f>MAX(K6704:Q6704)</f>
        <v>1</v>
      </c>
      <c r="K6704" s="88">
        <v>1</v>
      </c>
      <c r="L6704" s="88"/>
      <c r="M6704" s="88"/>
      <c r="N6704" s="88"/>
      <c r="O6704" s="88"/>
      <c r="P6704" s="88"/>
      <c r="Q6704" s="88"/>
      <c r="R6704" s="78">
        <f>MAX(S6704:W6704)</f>
        <v>0</v>
      </c>
      <c r="S6704" s="88"/>
      <c r="T6704" s="88"/>
      <c r="U6704" s="88"/>
      <c r="V6704" s="88"/>
      <c r="W6704" s="88"/>
    </row>
    <row r="6705" spans="2:23" s="0" customFormat="0" ht="15">
      <c r="B6705" s="87" t="s">
        <v>1</v>
      </c>
      <c r="C6705" s="88" t="s">
        <v>5259</v>
      </c>
      <c r="D6705" s="88">
        <v>10616292</v>
      </c>
      <c r="E6705" s="88" t="s">
        <v>61</v>
      </c>
      <c r="F6705" s="88">
        <v>0</v>
      </c>
      <c r="G6705" s="78">
        <f>MAX(H6705,I6705,J6705)</f>
        <v>1</v>
      </c>
      <c r="H6705" s="88"/>
      <c r="I6705" s="88"/>
      <c r="J6705" s="78">
        <f>MAX(K6705:Q6705)</f>
        <v>1</v>
      </c>
      <c r="K6705" s="88">
        <v>1</v>
      </c>
      <c r="L6705" s="88"/>
      <c r="M6705" s="88"/>
      <c r="N6705" s="88"/>
      <c r="O6705" s="88"/>
      <c r="P6705" s="88"/>
      <c r="Q6705" s="88"/>
      <c r="R6705" s="78">
        <f>MAX(S6705:W6705)</f>
        <v>0</v>
      </c>
      <c r="S6705" s="88"/>
      <c r="T6705" s="88"/>
      <c r="U6705" s="88"/>
      <c r="V6705" s="88"/>
      <c r="W6705" s="88"/>
    </row>
    <row r="6706" spans="2:23" s="0" customFormat="0" ht="15">
      <c r="B6706" s="87" t="s">
        <v>1</v>
      </c>
      <c r="C6706" s="88" t="s">
        <v>5259</v>
      </c>
      <c r="D6706" s="88">
        <v>21617036</v>
      </c>
      <c r="E6706" s="88" t="s">
        <v>61</v>
      </c>
      <c r="F6706" s="88">
        <v>0</v>
      </c>
      <c r="G6706" s="78">
        <f>MAX(H6706,I6706,J6706)</f>
        <v>1</v>
      </c>
      <c r="H6706" s="88"/>
      <c r="I6706" s="88"/>
      <c r="J6706" s="78">
        <f>MAX(K6706:Q6706)</f>
        <v>1</v>
      </c>
      <c r="K6706" s="88">
        <v>1</v>
      </c>
      <c r="L6706" s="88"/>
      <c r="M6706" s="88"/>
      <c r="N6706" s="88"/>
      <c r="O6706" s="88"/>
      <c r="P6706" s="88"/>
      <c r="Q6706" s="88"/>
      <c r="R6706" s="78">
        <f>MAX(S6706:W6706)</f>
        <v>0</v>
      </c>
      <c r="S6706" s="88"/>
      <c r="T6706" s="88"/>
      <c r="U6706" s="88"/>
      <c r="V6706" s="88"/>
      <c r="W6706" s="88"/>
    </row>
    <row r="6707" spans="2:23" s="0" customFormat="0" ht="15">
      <c r="B6707" s="87" t="s">
        <v>1</v>
      </c>
      <c r="C6707" s="88" t="s">
        <v>5259</v>
      </c>
      <c r="D6707" s="88">
        <v>17255180</v>
      </c>
      <c r="E6707" s="88" t="s">
        <v>61</v>
      </c>
      <c r="F6707" s="88">
        <v>0</v>
      </c>
      <c r="G6707" s="78">
        <f>MAX(H6707,I6707,J6707)</f>
        <v>1</v>
      </c>
      <c r="H6707" s="88"/>
      <c r="I6707" s="88"/>
      <c r="J6707" s="78">
        <f>MAX(K6707:Q6707)</f>
        <v>1</v>
      </c>
      <c r="K6707" s="88">
        <v>1</v>
      </c>
      <c r="L6707" s="88"/>
      <c r="M6707" s="88"/>
      <c r="N6707" s="88"/>
      <c r="O6707" s="88"/>
      <c r="P6707" s="88"/>
      <c r="Q6707" s="88"/>
      <c r="R6707" s="78">
        <f>MAX(S6707:W6707)</f>
        <v>0</v>
      </c>
      <c r="S6707" s="88"/>
      <c r="T6707" s="88"/>
      <c r="U6707" s="88"/>
      <c r="V6707" s="88"/>
      <c r="W6707" s="88"/>
    </row>
    <row r="6708" spans="2:23" s="0" customFormat="0" ht="15">
      <c r="B6708" s="87" t="s">
        <v>1</v>
      </c>
      <c r="C6708" s="88" t="s">
        <v>5259</v>
      </c>
      <c r="D6708" s="88">
        <v>14731422</v>
      </c>
      <c r="E6708" s="88" t="s">
        <v>61</v>
      </c>
      <c r="F6708" s="88">
        <v>0</v>
      </c>
      <c r="G6708" s="78">
        <f>MAX(H6708,I6708,J6708)</f>
        <v>1</v>
      </c>
      <c r="H6708" s="88"/>
      <c r="I6708" s="88"/>
      <c r="J6708" s="78">
        <f>MAX(K6708:Q6708)</f>
        <v>1</v>
      </c>
      <c r="K6708" s="88">
        <v>1</v>
      </c>
      <c r="L6708" s="88"/>
      <c r="M6708" s="88"/>
      <c r="N6708" s="88"/>
      <c r="O6708" s="88"/>
      <c r="P6708" s="88"/>
      <c r="Q6708" s="88"/>
      <c r="R6708" s="78">
        <f>MAX(S6708:W6708)</f>
        <v>0</v>
      </c>
      <c r="S6708" s="88"/>
      <c r="T6708" s="88"/>
      <c r="U6708" s="88"/>
      <c r="V6708" s="88"/>
      <c r="W6708" s="88"/>
    </row>
    <row r="6709" spans="2:23" s="0" customFormat="0" ht="15">
      <c r="B6709" s="87" t="s">
        <v>1</v>
      </c>
      <c r="C6709" s="88" t="s">
        <v>5259</v>
      </c>
      <c r="D6709" s="88" t="s">
        <v>3479</v>
      </c>
      <c r="E6709" s="88" t="s">
        <v>61</v>
      </c>
      <c r="F6709" s="88">
        <v>0</v>
      </c>
      <c r="G6709" s="78">
        <f>MAX(H6709,I6709,J6709)</f>
        <v>0</v>
      </c>
      <c r="H6709" s="88"/>
      <c r="I6709" s="88"/>
      <c r="J6709" s="78">
        <f>MAX(K6709:Q6709)</f>
        <v>0</v>
      </c>
      <c r="K6709" s="88"/>
      <c r="L6709" s="88"/>
      <c r="M6709" s="88"/>
      <c r="N6709" s="88"/>
      <c r="O6709" s="88"/>
      <c r="P6709" s="88"/>
      <c r="Q6709" s="88"/>
      <c r="R6709" s="78">
        <f>MAX(S6709:W6709)</f>
        <v>1</v>
      </c>
      <c r="S6709" s="88"/>
      <c r="T6709" s="88"/>
      <c r="U6709" s="88">
        <v>1</v>
      </c>
      <c r="V6709" s="88"/>
      <c r="W6709" s="88"/>
    </row>
    <row r="6710" spans="2:23" s="0" customFormat="0" ht="15">
      <c r="B6710" s="87" t="s">
        <v>1</v>
      </c>
      <c r="C6710" s="88" t="s">
        <v>5259</v>
      </c>
      <c r="D6710" s="88" t="s">
        <v>5073</v>
      </c>
      <c r="E6710" s="88" t="s">
        <v>61</v>
      </c>
      <c r="F6710" s="88">
        <v>0</v>
      </c>
      <c r="G6710" s="78">
        <f>MAX(H6710,I6710,J6710)</f>
        <v>0</v>
      </c>
      <c r="H6710" s="88"/>
      <c r="I6710" s="88"/>
      <c r="J6710" s="78">
        <f>MAX(K6710:Q6710)</f>
        <v>0</v>
      </c>
      <c r="K6710" s="88"/>
      <c r="L6710" s="88"/>
      <c r="M6710" s="88"/>
      <c r="N6710" s="88"/>
      <c r="O6710" s="88"/>
      <c r="P6710" s="88"/>
      <c r="Q6710" s="88"/>
      <c r="R6710" s="78">
        <f>MAX(S6710:W6710)</f>
        <v>1</v>
      </c>
      <c r="S6710" s="88"/>
      <c r="T6710" s="88"/>
      <c r="U6710" s="88">
        <v>1</v>
      </c>
      <c r="V6710" s="88"/>
      <c r="W6710" s="88"/>
    </row>
    <row r="6711" spans="2:23" s="0" customFormat="0" ht="15">
      <c r="B6711" s="87" t="s">
        <v>1</v>
      </c>
      <c r="C6711" s="88" t="s">
        <v>5259</v>
      </c>
      <c r="D6711" s="88">
        <v>16139752</v>
      </c>
      <c r="E6711" s="88" t="s">
        <v>61</v>
      </c>
      <c r="F6711" s="88">
        <v>0</v>
      </c>
      <c r="G6711" s="78">
        <f>MAX(H6711,I6711,J6711)</f>
        <v>1</v>
      </c>
      <c r="H6711" s="88"/>
      <c r="I6711" s="88"/>
      <c r="J6711" s="78">
        <f>MAX(K6711:Q6711)</f>
        <v>1</v>
      </c>
      <c r="K6711" s="88">
        <v>1</v>
      </c>
      <c r="L6711" s="88"/>
      <c r="M6711" s="88"/>
      <c r="N6711" s="88"/>
      <c r="O6711" s="88"/>
      <c r="P6711" s="88"/>
      <c r="Q6711" s="88"/>
      <c r="R6711" s="78">
        <f>MAX(S6711:W6711)</f>
        <v>0</v>
      </c>
      <c r="S6711" s="88"/>
      <c r="T6711" s="88"/>
      <c r="U6711" s="88"/>
      <c r="V6711" s="88"/>
      <c r="W6711" s="88"/>
    </row>
    <row r="6712" spans="2:23" s="0" customFormat="0" ht="15">
      <c r="B6712" s="87" t="s">
        <v>1</v>
      </c>
      <c r="C6712" s="88" t="s">
        <v>5259</v>
      </c>
      <c r="D6712" s="88">
        <v>15831633</v>
      </c>
      <c r="E6712" s="88" t="s">
        <v>61</v>
      </c>
      <c r="F6712" s="88">
        <v>0</v>
      </c>
      <c r="G6712" s="78">
        <f>MAX(H6712,I6712,J6712)</f>
        <v>1</v>
      </c>
      <c r="H6712" s="88"/>
      <c r="I6712" s="88"/>
      <c r="J6712" s="78">
        <f>MAX(K6712:Q6712)</f>
        <v>1</v>
      </c>
      <c r="K6712" s="88"/>
      <c r="L6712" s="88">
        <v>1</v>
      </c>
      <c r="M6712" s="88"/>
      <c r="N6712" s="88"/>
      <c r="O6712" s="88"/>
      <c r="P6712" s="88"/>
      <c r="Q6712" s="88"/>
      <c r="R6712" s="78">
        <f>MAX(S6712:W6712)</f>
        <v>0</v>
      </c>
      <c r="S6712" s="88"/>
      <c r="T6712" s="88"/>
      <c r="U6712" s="88"/>
      <c r="V6712" s="88"/>
      <c r="W6712" s="88"/>
    </row>
    <row r="6713" spans="2:23" s="0" customFormat="0" ht="15">
      <c r="B6713" s="87" t="s">
        <v>1</v>
      </c>
      <c r="C6713" s="88" t="s">
        <v>5259</v>
      </c>
      <c r="D6713" s="88">
        <v>14059598</v>
      </c>
      <c r="E6713" s="88" t="s">
        <v>61</v>
      </c>
      <c r="F6713" s="88">
        <v>0</v>
      </c>
      <c r="G6713" s="78">
        <f>MAX(H6713,I6713,J6713)</f>
        <v>1</v>
      </c>
      <c r="H6713" s="88"/>
      <c r="I6713" s="88"/>
      <c r="J6713" s="78">
        <f>MAX(K6713:Q6713)</f>
        <v>1</v>
      </c>
      <c r="K6713" s="88">
        <v>1</v>
      </c>
      <c r="L6713" s="88"/>
      <c r="M6713" s="88"/>
      <c r="N6713" s="88"/>
      <c r="O6713" s="88"/>
      <c r="P6713" s="88"/>
      <c r="Q6713" s="88"/>
      <c r="R6713" s="78">
        <f>MAX(S6713:W6713)</f>
        <v>0</v>
      </c>
      <c r="S6713" s="88"/>
      <c r="T6713" s="88"/>
      <c r="U6713" s="88"/>
      <c r="V6713" s="88"/>
      <c r="W6713" s="88"/>
    </row>
    <row r="6714" spans="2:23" s="0" customFormat="0" ht="15">
      <c r="B6714" s="87" t="s">
        <v>1</v>
      </c>
      <c r="C6714" s="88" t="s">
        <v>5259</v>
      </c>
      <c r="D6714" s="88" t="s">
        <v>2428</v>
      </c>
      <c r="E6714" s="88" t="s">
        <v>61</v>
      </c>
      <c r="F6714" s="88">
        <v>0</v>
      </c>
      <c r="G6714" s="78">
        <f>MAX(H6714,I6714,J6714)</f>
        <v>1</v>
      </c>
      <c r="H6714" s="88"/>
      <c r="I6714" s="88"/>
      <c r="J6714" s="78">
        <f>MAX(K6714:Q6714)</f>
        <v>1</v>
      </c>
      <c r="K6714" s="88">
        <v>1</v>
      </c>
      <c r="L6714" s="88"/>
      <c r="M6714" s="88"/>
      <c r="N6714" s="88"/>
      <c r="O6714" s="88"/>
      <c r="P6714" s="88"/>
      <c r="Q6714" s="88"/>
      <c r="R6714" s="78">
        <f>MAX(S6714:W6714)</f>
        <v>0</v>
      </c>
      <c r="S6714" s="88"/>
      <c r="T6714" s="88"/>
      <c r="U6714" s="88"/>
      <c r="V6714" s="88"/>
      <c r="W6714" s="88"/>
    </row>
    <row r="6715" spans="2:23" s="0" customFormat="0" ht="15">
      <c r="B6715" s="87" t="s">
        <v>1</v>
      </c>
      <c r="C6715" s="88" t="s">
        <v>5259</v>
      </c>
      <c r="D6715" s="88" t="s">
        <v>2006</v>
      </c>
      <c r="E6715" s="88" t="s">
        <v>61</v>
      </c>
      <c r="F6715" s="88">
        <v>0</v>
      </c>
      <c r="G6715" s="78">
        <f>MAX(H6715,I6715,J6715)</f>
        <v>1</v>
      </c>
      <c r="H6715" s="88"/>
      <c r="I6715" s="88"/>
      <c r="J6715" s="78">
        <f>MAX(K6715:Q6715)</f>
        <v>1</v>
      </c>
      <c r="K6715" s="88">
        <v>1</v>
      </c>
      <c r="L6715" s="88"/>
      <c r="M6715" s="88"/>
      <c r="N6715" s="88"/>
      <c r="O6715" s="88"/>
      <c r="P6715" s="88"/>
      <c r="Q6715" s="88"/>
      <c r="R6715" s="78">
        <f>MAX(S6715:W6715)</f>
        <v>0</v>
      </c>
      <c r="S6715" s="88"/>
      <c r="T6715" s="88"/>
      <c r="U6715" s="88"/>
      <c r="V6715" s="88"/>
      <c r="W6715" s="88"/>
    </row>
    <row r="6716" spans="2:23" s="0" customFormat="0" ht="15">
      <c r="B6716" s="87" t="s">
        <v>1</v>
      </c>
      <c r="C6716" s="88" t="s">
        <v>5259</v>
      </c>
      <c r="D6716" s="88">
        <v>18676480</v>
      </c>
      <c r="E6716" s="88" t="s">
        <v>61</v>
      </c>
      <c r="F6716" s="88">
        <v>0</v>
      </c>
      <c r="G6716" s="78">
        <f>MAX(H6716,I6716,J6716)</f>
        <v>1</v>
      </c>
      <c r="H6716" s="88"/>
      <c r="I6716" s="88"/>
      <c r="J6716" s="78">
        <f>MAX(K6716:Q6716)</f>
        <v>1</v>
      </c>
      <c r="K6716" s="88">
        <v>1</v>
      </c>
      <c r="L6716" s="88"/>
      <c r="M6716" s="88"/>
      <c r="N6716" s="88"/>
      <c r="O6716" s="88"/>
      <c r="P6716" s="88"/>
      <c r="Q6716" s="88"/>
      <c r="R6716" s="78">
        <f>MAX(S6716:W6716)</f>
        <v>0</v>
      </c>
      <c r="S6716" s="88"/>
      <c r="T6716" s="88"/>
      <c r="U6716" s="88"/>
      <c r="V6716" s="88"/>
      <c r="W6716" s="88"/>
    </row>
    <row r="6717" spans="2:23" s="0" customFormat="0" ht="15">
      <c r="B6717" s="87" t="s">
        <v>1</v>
      </c>
      <c r="C6717" s="88" t="s">
        <v>5259</v>
      </c>
      <c r="D6717" s="88" t="s">
        <v>1713</v>
      </c>
      <c r="E6717" s="88" t="s">
        <v>61</v>
      </c>
      <c r="F6717" s="88">
        <v>0</v>
      </c>
      <c r="G6717" s="78">
        <f>MAX(H6717,I6717,J6717)</f>
        <v>1</v>
      </c>
      <c r="H6717" s="88"/>
      <c r="I6717" s="88"/>
      <c r="J6717" s="78">
        <f>MAX(K6717:Q6717)</f>
        <v>1</v>
      </c>
      <c r="K6717" s="88">
        <v>1</v>
      </c>
      <c r="L6717" s="88"/>
      <c r="M6717" s="88"/>
      <c r="N6717" s="88"/>
      <c r="O6717" s="88"/>
      <c r="P6717" s="88"/>
      <c r="Q6717" s="88"/>
      <c r="R6717" s="78">
        <f>MAX(S6717:W6717)</f>
        <v>0</v>
      </c>
      <c r="S6717" s="88"/>
      <c r="T6717" s="88"/>
      <c r="U6717" s="88"/>
      <c r="V6717" s="88"/>
      <c r="W6717" s="88"/>
    </row>
    <row r="6718" spans="2:23" s="0" customFormat="0" ht="15">
      <c r="B6718" s="87" t="s">
        <v>1</v>
      </c>
      <c r="C6718" s="88" t="s">
        <v>5259</v>
      </c>
      <c r="D6718" s="88">
        <v>13321967</v>
      </c>
      <c r="E6718" s="88" t="s">
        <v>61</v>
      </c>
      <c r="F6718" s="88">
        <v>0</v>
      </c>
      <c r="G6718" s="78">
        <f>MAX(H6718,I6718,J6718)</f>
        <v>1</v>
      </c>
      <c r="H6718" s="88"/>
      <c r="I6718" s="88"/>
      <c r="J6718" s="78">
        <f>MAX(K6718:Q6718)</f>
        <v>1</v>
      </c>
      <c r="K6718" s="88">
        <v>1</v>
      </c>
      <c r="L6718" s="88"/>
      <c r="M6718" s="88"/>
      <c r="N6718" s="88"/>
      <c r="O6718" s="88"/>
      <c r="P6718" s="88"/>
      <c r="Q6718" s="88"/>
      <c r="R6718" s="78">
        <f>MAX(S6718:W6718)</f>
        <v>0</v>
      </c>
      <c r="S6718" s="88"/>
      <c r="T6718" s="88"/>
      <c r="U6718" s="88"/>
      <c r="V6718" s="88"/>
      <c r="W6718" s="88"/>
    </row>
    <row r="6719" spans="2:23" s="0" customFormat="0" ht="15">
      <c r="B6719" s="87" t="s">
        <v>1</v>
      </c>
      <c r="C6719" s="88" t="s">
        <v>5259</v>
      </c>
      <c r="D6719" s="88">
        <v>17849964</v>
      </c>
      <c r="E6719" s="88" t="s">
        <v>61</v>
      </c>
      <c r="F6719" s="88">
        <v>0</v>
      </c>
      <c r="G6719" s="78">
        <f>MAX(H6719,I6719,J6719)</f>
        <v>0</v>
      </c>
      <c r="H6719" s="88"/>
      <c r="I6719" s="88"/>
      <c r="J6719" s="78">
        <f>MAX(K6719:Q6719)</f>
        <v>0</v>
      </c>
      <c r="K6719" s="88"/>
      <c r="L6719" s="88"/>
      <c r="M6719" s="88"/>
      <c r="N6719" s="88"/>
      <c r="O6719" s="88"/>
      <c r="P6719" s="88"/>
      <c r="Q6719" s="88"/>
      <c r="R6719" s="78">
        <f>MAX(S6719:W6719)</f>
        <v>1</v>
      </c>
      <c r="S6719" s="88"/>
      <c r="T6719" s="88"/>
      <c r="U6719" s="88">
        <v>1</v>
      </c>
      <c r="V6719" s="88"/>
      <c r="W6719" s="88"/>
    </row>
    <row r="6720" spans="2:23" s="0" customFormat="0" ht="15">
      <c r="B6720" s="87" t="s">
        <v>1</v>
      </c>
      <c r="C6720" s="88" t="s">
        <v>5259</v>
      </c>
      <c r="D6720" s="88">
        <v>18066183</v>
      </c>
      <c r="E6720" s="88" t="s">
        <v>61</v>
      </c>
      <c r="F6720" s="88">
        <v>0</v>
      </c>
      <c r="G6720" s="78">
        <f>MAX(H6720,I6720,J6720)</f>
        <v>1</v>
      </c>
      <c r="H6720" s="88"/>
      <c r="I6720" s="88"/>
      <c r="J6720" s="78">
        <f>MAX(K6720:Q6720)</f>
        <v>1</v>
      </c>
      <c r="K6720" s="88">
        <v>1</v>
      </c>
      <c r="L6720" s="88"/>
      <c r="M6720" s="88"/>
      <c r="N6720" s="88"/>
      <c r="O6720" s="88"/>
      <c r="P6720" s="88"/>
      <c r="Q6720" s="88"/>
      <c r="R6720" s="78">
        <f>MAX(S6720:W6720)</f>
        <v>0</v>
      </c>
      <c r="S6720" s="88"/>
      <c r="T6720" s="88"/>
      <c r="U6720" s="88"/>
      <c r="V6720" s="88"/>
      <c r="W6720" s="88"/>
    </row>
    <row r="6721" spans="2:23" s="0" customFormat="0" ht="15">
      <c r="B6721" s="87" t="s">
        <v>1</v>
      </c>
      <c r="C6721" s="88" t="s">
        <v>5259</v>
      </c>
      <c r="D6721" s="88">
        <v>8749137</v>
      </c>
      <c r="E6721" s="88" t="s">
        <v>61</v>
      </c>
      <c r="F6721" s="88">
        <v>0</v>
      </c>
      <c r="G6721" s="78">
        <f>MAX(H6721,I6721,J6721)</f>
        <v>1</v>
      </c>
      <c r="H6721" s="88"/>
      <c r="I6721" s="88"/>
      <c r="J6721" s="78">
        <f>MAX(K6721:Q6721)</f>
        <v>1</v>
      </c>
      <c r="K6721" s="88">
        <v>1</v>
      </c>
      <c r="L6721" s="88"/>
      <c r="M6721" s="88"/>
      <c r="N6721" s="88"/>
      <c r="O6721" s="88"/>
      <c r="P6721" s="88"/>
      <c r="Q6721" s="88"/>
      <c r="R6721" s="78">
        <f>MAX(S6721:W6721)</f>
        <v>0</v>
      </c>
      <c r="S6721" s="88"/>
      <c r="T6721" s="88"/>
      <c r="U6721" s="88"/>
      <c r="V6721" s="88"/>
      <c r="W6721" s="88"/>
    </row>
    <row r="6722" spans="2:23" s="0" customFormat="0" ht="15">
      <c r="B6722" s="87" t="s">
        <v>1</v>
      </c>
      <c r="C6722" s="88" t="s">
        <v>5259</v>
      </c>
      <c r="D6722" s="88">
        <v>4219959</v>
      </c>
      <c r="E6722" s="88" t="s">
        <v>61</v>
      </c>
      <c r="F6722" s="88">
        <v>0</v>
      </c>
      <c r="G6722" s="78">
        <f>MAX(H6722,I6722,J6722)</f>
        <v>0</v>
      </c>
      <c r="H6722" s="88"/>
      <c r="I6722" s="88"/>
      <c r="J6722" s="78">
        <f>MAX(K6722:Q6722)</f>
        <v>0</v>
      </c>
      <c r="K6722" s="88"/>
      <c r="L6722" s="88"/>
      <c r="M6722" s="88"/>
      <c r="N6722" s="88"/>
      <c r="O6722" s="88"/>
      <c r="P6722" s="88"/>
      <c r="Q6722" s="88"/>
      <c r="R6722" s="78">
        <f>MAX(S6722:W6722)</f>
        <v>1</v>
      </c>
      <c r="S6722" s="88"/>
      <c r="T6722" s="88"/>
      <c r="U6722" s="88">
        <v>1</v>
      </c>
      <c r="V6722" s="88"/>
      <c r="W6722" s="88"/>
    </row>
    <row r="6723" spans="2:23" s="0" customFormat="0" ht="15">
      <c r="B6723" s="87" t="s">
        <v>1</v>
      </c>
      <c r="C6723" s="88" t="s">
        <v>5259</v>
      </c>
      <c r="D6723" s="88" t="s">
        <v>5120</v>
      </c>
      <c r="E6723" s="88" t="s">
        <v>61</v>
      </c>
      <c r="F6723" s="88">
        <v>0</v>
      </c>
      <c r="G6723" s="78">
        <f>MAX(H6723,I6723,J6723)</f>
        <v>0</v>
      </c>
      <c r="H6723" s="88"/>
      <c r="I6723" s="88"/>
      <c r="J6723" s="78">
        <f>MAX(K6723:Q6723)</f>
        <v>0</v>
      </c>
      <c r="K6723" s="88"/>
      <c r="L6723" s="88"/>
      <c r="M6723" s="88"/>
      <c r="N6723" s="88"/>
      <c r="O6723" s="88"/>
      <c r="P6723" s="88"/>
      <c r="Q6723" s="88"/>
      <c r="R6723" s="78">
        <f>MAX(S6723:W6723)</f>
        <v>1</v>
      </c>
      <c r="S6723" s="88"/>
      <c r="T6723" s="88"/>
      <c r="U6723" s="88">
        <v>1</v>
      </c>
      <c r="V6723" s="88"/>
      <c r="W6723" s="88"/>
    </row>
    <row r="6724" spans="2:23" s="0" customFormat="0" ht="15">
      <c r="B6724" s="87" t="s">
        <v>1</v>
      </c>
      <c r="C6724" s="88" t="s">
        <v>5259</v>
      </c>
      <c r="D6724" s="88">
        <v>12830227</v>
      </c>
      <c r="E6724" s="88" t="s">
        <v>61</v>
      </c>
      <c r="F6724" s="88">
        <v>0</v>
      </c>
      <c r="G6724" s="78">
        <f>MAX(H6724,I6724,J6724)</f>
        <v>1</v>
      </c>
      <c r="H6724" s="88"/>
      <c r="I6724" s="88"/>
      <c r="J6724" s="78">
        <f>MAX(K6724:Q6724)</f>
        <v>1</v>
      </c>
      <c r="K6724" s="88">
        <v>1</v>
      </c>
      <c r="L6724" s="88"/>
      <c r="M6724" s="88"/>
      <c r="N6724" s="88"/>
      <c r="O6724" s="88"/>
      <c r="P6724" s="88"/>
      <c r="Q6724" s="88"/>
      <c r="R6724" s="78">
        <f>MAX(S6724:W6724)</f>
        <v>0</v>
      </c>
      <c r="S6724" s="88"/>
      <c r="T6724" s="88"/>
      <c r="U6724" s="88"/>
      <c r="V6724" s="88"/>
      <c r="W6724" s="88"/>
    </row>
    <row r="6725" spans="2:23" s="0" customFormat="0" ht="15">
      <c r="B6725" s="87" t="s">
        <v>1</v>
      </c>
      <c r="C6725" s="88" t="s">
        <v>5259</v>
      </c>
      <c r="D6725" s="88">
        <v>17838079</v>
      </c>
      <c r="E6725" s="88" t="s">
        <v>61</v>
      </c>
      <c r="F6725" s="88">
        <v>0</v>
      </c>
      <c r="G6725" s="78">
        <f>MAX(H6725,I6725,J6725)</f>
        <v>1</v>
      </c>
      <c r="H6725" s="88"/>
      <c r="I6725" s="88"/>
      <c r="J6725" s="78">
        <f>MAX(K6725:Q6725)</f>
        <v>1</v>
      </c>
      <c r="K6725" s="88">
        <v>1</v>
      </c>
      <c r="L6725" s="88"/>
      <c r="M6725" s="88"/>
      <c r="N6725" s="88"/>
      <c r="O6725" s="88"/>
      <c r="P6725" s="88"/>
      <c r="Q6725" s="88"/>
      <c r="R6725" s="78">
        <f>MAX(S6725:W6725)</f>
        <v>0</v>
      </c>
      <c r="S6725" s="88"/>
      <c r="T6725" s="88"/>
      <c r="U6725" s="88"/>
      <c r="V6725" s="88"/>
      <c r="W6725" s="88"/>
    </row>
    <row r="6726" spans="2:23" s="0" customFormat="0" ht="15">
      <c r="B6726" s="87" t="s">
        <v>1</v>
      </c>
      <c r="C6726" s="88" t="s">
        <v>5259</v>
      </c>
      <c r="D6726" s="88">
        <v>19603895</v>
      </c>
      <c r="E6726" s="88" t="s">
        <v>61</v>
      </c>
      <c r="F6726" s="88">
        <v>0</v>
      </c>
      <c r="G6726" s="78">
        <f>MAX(H6726,I6726,J6726)</f>
        <v>1</v>
      </c>
      <c r="H6726" s="88"/>
      <c r="I6726" s="88"/>
      <c r="J6726" s="78">
        <f>MAX(K6726:Q6726)</f>
        <v>1</v>
      </c>
      <c r="K6726" s="88">
        <v>1</v>
      </c>
      <c r="L6726" s="88"/>
      <c r="M6726" s="88"/>
      <c r="N6726" s="88"/>
      <c r="O6726" s="88"/>
      <c r="P6726" s="88"/>
      <c r="Q6726" s="88"/>
      <c r="R6726" s="78">
        <f>MAX(S6726:W6726)</f>
        <v>0</v>
      </c>
      <c r="S6726" s="88"/>
      <c r="T6726" s="88"/>
      <c r="U6726" s="88"/>
      <c r="V6726" s="88"/>
      <c r="W6726" s="88"/>
    </row>
    <row r="6727" spans="2:23" s="0" customFormat="0" ht="15">
      <c r="B6727" s="87" t="s">
        <v>1</v>
      </c>
      <c r="C6727" s="88" t="s">
        <v>5259</v>
      </c>
      <c r="D6727" s="88">
        <v>20374630</v>
      </c>
      <c r="E6727" s="88" t="s">
        <v>61</v>
      </c>
      <c r="F6727" s="88">
        <v>0</v>
      </c>
      <c r="G6727" s="78">
        <f>MAX(H6727,I6727,J6727)</f>
        <v>1</v>
      </c>
      <c r="H6727" s="88"/>
      <c r="I6727" s="88"/>
      <c r="J6727" s="78">
        <f>MAX(K6727:Q6727)</f>
        <v>1</v>
      </c>
      <c r="K6727" s="88">
        <v>1</v>
      </c>
      <c r="L6727" s="88"/>
      <c r="M6727" s="88"/>
      <c r="N6727" s="88"/>
      <c r="O6727" s="88"/>
      <c r="P6727" s="88"/>
      <c r="Q6727" s="88"/>
      <c r="R6727" s="78">
        <f>MAX(S6727:W6727)</f>
        <v>0</v>
      </c>
      <c r="S6727" s="88"/>
      <c r="T6727" s="88"/>
      <c r="U6727" s="88"/>
      <c r="V6727" s="88"/>
      <c r="W6727" s="88"/>
    </row>
    <row r="6728" spans="2:23" s="0" customFormat="0" ht="15">
      <c r="B6728" s="87" t="s">
        <v>1</v>
      </c>
      <c r="C6728" s="88" t="s">
        <v>5259</v>
      </c>
      <c r="D6728" s="88">
        <v>13105590</v>
      </c>
      <c r="E6728" s="88" t="s">
        <v>61</v>
      </c>
      <c r="F6728" s="88">
        <v>0</v>
      </c>
      <c r="G6728" s="78">
        <f>MAX(H6728,I6728,J6728)</f>
        <v>1</v>
      </c>
      <c r="H6728" s="88"/>
      <c r="I6728" s="88"/>
      <c r="J6728" s="78">
        <f>MAX(K6728:Q6728)</f>
        <v>1</v>
      </c>
      <c r="K6728" s="88">
        <v>1</v>
      </c>
      <c r="L6728" s="88"/>
      <c r="M6728" s="88"/>
      <c r="N6728" s="88"/>
      <c r="O6728" s="88"/>
      <c r="P6728" s="88"/>
      <c r="Q6728" s="88"/>
      <c r="R6728" s="78">
        <f>MAX(S6728:W6728)</f>
        <v>0</v>
      </c>
      <c r="S6728" s="88"/>
      <c r="T6728" s="88"/>
      <c r="U6728" s="88"/>
      <c r="V6728" s="88"/>
      <c r="W6728" s="88"/>
    </row>
    <row r="6729" spans="2:23" s="0" customFormat="0" ht="15">
      <c r="B6729" s="87" t="s">
        <v>1</v>
      </c>
      <c r="C6729" s="88" t="s">
        <v>5259</v>
      </c>
      <c r="D6729" s="88" t="s">
        <v>5019</v>
      </c>
      <c r="E6729" s="88" t="s">
        <v>61</v>
      </c>
      <c r="F6729" s="88">
        <v>0</v>
      </c>
      <c r="G6729" s="78">
        <f>MAX(H6729,I6729,J6729)</f>
        <v>0</v>
      </c>
      <c r="H6729" s="88"/>
      <c r="I6729" s="88"/>
      <c r="J6729" s="78">
        <f>MAX(K6729:Q6729)</f>
        <v>0</v>
      </c>
      <c r="K6729" s="88"/>
      <c r="L6729" s="88"/>
      <c r="M6729" s="88"/>
      <c r="N6729" s="88"/>
      <c r="O6729" s="88"/>
      <c r="P6729" s="88"/>
      <c r="Q6729" s="88"/>
      <c r="R6729" s="78">
        <f>MAX(S6729:W6729)</f>
        <v>1</v>
      </c>
      <c r="S6729" s="88"/>
      <c r="T6729" s="88"/>
      <c r="U6729" s="88">
        <v>1</v>
      </c>
      <c r="V6729" s="88"/>
      <c r="W6729" s="88"/>
    </row>
    <row r="6730" spans="2:23" s="0" customFormat="0" ht="15">
      <c r="B6730" s="87" t="s">
        <v>1</v>
      </c>
      <c r="C6730" s="88" t="s">
        <v>5259</v>
      </c>
      <c r="D6730" s="88">
        <v>11773266</v>
      </c>
      <c r="E6730" s="88" t="s">
        <v>61</v>
      </c>
      <c r="F6730" s="88">
        <v>0</v>
      </c>
      <c r="G6730" s="78">
        <f>MAX(H6730,I6730,J6730)</f>
        <v>1</v>
      </c>
      <c r="H6730" s="88"/>
      <c r="I6730" s="88"/>
      <c r="J6730" s="78">
        <f>MAX(K6730:Q6730)</f>
        <v>1</v>
      </c>
      <c r="K6730" s="88">
        <v>1</v>
      </c>
      <c r="L6730" s="88"/>
      <c r="M6730" s="88"/>
      <c r="N6730" s="88"/>
      <c r="O6730" s="88"/>
      <c r="P6730" s="88"/>
      <c r="Q6730" s="88"/>
      <c r="R6730" s="78">
        <f>MAX(S6730:W6730)</f>
        <v>0</v>
      </c>
      <c r="S6730" s="88"/>
      <c r="T6730" s="88"/>
      <c r="U6730" s="88"/>
      <c r="V6730" s="88"/>
      <c r="W6730" s="88"/>
    </row>
    <row r="6731" spans="2:23" s="0" customFormat="0" ht="15">
      <c r="B6731" s="87" t="s">
        <v>1</v>
      </c>
      <c r="C6731" s="88" t="s">
        <v>5259</v>
      </c>
      <c r="D6731" s="88" t="s">
        <v>2324</v>
      </c>
      <c r="E6731" s="88" t="s">
        <v>61</v>
      </c>
      <c r="F6731" s="88">
        <v>0</v>
      </c>
      <c r="G6731" s="78">
        <f>MAX(H6731,I6731,J6731)</f>
        <v>1</v>
      </c>
      <c r="H6731" s="88"/>
      <c r="I6731" s="88"/>
      <c r="J6731" s="78">
        <f>MAX(K6731:Q6731)</f>
        <v>1</v>
      </c>
      <c r="K6731" s="88">
        <v>1</v>
      </c>
      <c r="L6731" s="88"/>
      <c r="M6731" s="88"/>
      <c r="N6731" s="88"/>
      <c r="O6731" s="88"/>
      <c r="P6731" s="88"/>
      <c r="Q6731" s="88"/>
      <c r="R6731" s="78">
        <f>MAX(S6731:W6731)</f>
        <v>0</v>
      </c>
      <c r="S6731" s="88"/>
      <c r="T6731" s="88"/>
      <c r="U6731" s="88"/>
      <c r="V6731" s="88"/>
      <c r="W6731" s="88"/>
    </row>
    <row r="6732" spans="2:23" s="0" customFormat="0" ht="15">
      <c r="B6732" s="87" t="s">
        <v>1</v>
      </c>
      <c r="C6732" s="88" t="s">
        <v>5259</v>
      </c>
      <c r="D6732" s="88">
        <v>22270574</v>
      </c>
      <c r="E6732" s="88" t="s">
        <v>61</v>
      </c>
      <c r="F6732" s="88">
        <v>0</v>
      </c>
      <c r="G6732" s="78">
        <f>MAX(H6732,I6732,J6732)</f>
        <v>1</v>
      </c>
      <c r="H6732" s="88"/>
      <c r="I6732" s="88"/>
      <c r="J6732" s="78">
        <f>MAX(K6732:Q6732)</f>
        <v>1</v>
      </c>
      <c r="K6732" s="88">
        <v>1</v>
      </c>
      <c r="L6732" s="88"/>
      <c r="M6732" s="88"/>
      <c r="N6732" s="88"/>
      <c r="O6732" s="88"/>
      <c r="P6732" s="88"/>
      <c r="Q6732" s="88"/>
      <c r="R6732" s="78">
        <f>MAX(S6732:W6732)</f>
        <v>0</v>
      </c>
      <c r="S6732" s="88"/>
      <c r="T6732" s="88"/>
      <c r="U6732" s="88"/>
      <c r="V6732" s="88"/>
      <c r="W6732" s="88"/>
    </row>
    <row r="6733" spans="2:23" s="0" customFormat="0" ht="15">
      <c r="B6733" s="87" t="s">
        <v>1</v>
      </c>
      <c r="C6733" s="88" t="s">
        <v>5259</v>
      </c>
      <c r="D6733" s="88">
        <v>15802732</v>
      </c>
      <c r="E6733" s="88" t="s">
        <v>61</v>
      </c>
      <c r="F6733" s="88">
        <v>0</v>
      </c>
      <c r="G6733" s="78">
        <f>MAX(H6733,I6733,J6733)</f>
        <v>1</v>
      </c>
      <c r="H6733" s="88"/>
      <c r="I6733" s="88"/>
      <c r="J6733" s="78">
        <f>MAX(K6733:Q6733)</f>
        <v>1</v>
      </c>
      <c r="K6733" s="88"/>
      <c r="L6733" s="88">
        <v>1</v>
      </c>
      <c r="M6733" s="88"/>
      <c r="N6733" s="88"/>
      <c r="O6733" s="88"/>
      <c r="P6733" s="88"/>
      <c r="Q6733" s="88"/>
      <c r="R6733" s="78">
        <f>MAX(S6733:W6733)</f>
        <v>0</v>
      </c>
      <c r="S6733" s="88"/>
      <c r="T6733" s="88"/>
      <c r="U6733" s="88"/>
      <c r="V6733" s="88"/>
      <c r="W6733" s="88"/>
    </row>
    <row r="6734" spans="2:23" s="0" customFormat="0" ht="15">
      <c r="B6734" s="87" t="s">
        <v>1</v>
      </c>
      <c r="C6734" s="88" t="s">
        <v>5259</v>
      </c>
      <c r="D6734" s="88">
        <v>24909349</v>
      </c>
      <c r="E6734" s="88" t="s">
        <v>61</v>
      </c>
      <c r="F6734" s="88">
        <v>0</v>
      </c>
      <c r="G6734" s="78">
        <f>MAX(H6734,I6734,J6734)</f>
        <v>1</v>
      </c>
      <c r="H6734" s="88"/>
      <c r="I6734" s="88"/>
      <c r="J6734" s="78">
        <f>MAX(K6734:Q6734)</f>
        <v>1</v>
      </c>
      <c r="K6734" s="88"/>
      <c r="L6734" s="88"/>
      <c r="M6734" s="88">
        <v>1</v>
      </c>
      <c r="N6734" s="88"/>
      <c r="O6734" s="88"/>
      <c r="P6734" s="88"/>
      <c r="Q6734" s="88"/>
      <c r="R6734" s="78">
        <f>MAX(S6734:W6734)</f>
        <v>0</v>
      </c>
      <c r="S6734" s="88"/>
      <c r="T6734" s="88"/>
      <c r="U6734" s="88"/>
      <c r="V6734" s="88"/>
      <c r="W6734" s="88"/>
    </row>
    <row r="6735" spans="2:23" s="0" customFormat="0" ht="15">
      <c r="B6735" s="87" t="s">
        <v>1</v>
      </c>
      <c r="C6735" s="88" t="s">
        <v>5259</v>
      </c>
      <c r="D6735" s="88">
        <v>16636568</v>
      </c>
      <c r="E6735" s="88" t="s">
        <v>61</v>
      </c>
      <c r="F6735" s="88">
        <v>0</v>
      </c>
      <c r="G6735" s="78">
        <f>MAX(H6735,I6735,J6735)</f>
        <v>1</v>
      </c>
      <c r="H6735" s="88"/>
      <c r="I6735" s="88"/>
      <c r="J6735" s="78">
        <f>MAX(K6735:Q6735)</f>
        <v>1</v>
      </c>
      <c r="K6735" s="88">
        <v>1</v>
      </c>
      <c r="L6735" s="88"/>
      <c r="M6735" s="88"/>
      <c r="N6735" s="88"/>
      <c r="O6735" s="88"/>
      <c r="P6735" s="88"/>
      <c r="Q6735" s="88"/>
      <c r="R6735" s="78">
        <f>MAX(S6735:W6735)</f>
        <v>0</v>
      </c>
      <c r="S6735" s="88"/>
      <c r="T6735" s="88"/>
      <c r="U6735" s="88"/>
      <c r="V6735" s="88"/>
      <c r="W6735" s="88"/>
    </row>
    <row r="6736" spans="2:23" s="0" customFormat="0" ht="15">
      <c r="B6736" s="87" t="s">
        <v>1</v>
      </c>
      <c r="C6736" s="88" t="s">
        <v>5259</v>
      </c>
      <c r="D6736" s="88">
        <v>14818854</v>
      </c>
      <c r="E6736" s="88" t="s">
        <v>61</v>
      </c>
      <c r="F6736" s="88">
        <v>0</v>
      </c>
      <c r="G6736" s="78">
        <f>MAX(H6736,I6736,J6736)</f>
        <v>1</v>
      </c>
      <c r="H6736" s="88"/>
      <c r="I6736" s="88"/>
      <c r="J6736" s="78">
        <f>MAX(K6736:Q6736)</f>
        <v>1</v>
      </c>
      <c r="K6736" s="88">
        <v>1</v>
      </c>
      <c r="L6736" s="88"/>
      <c r="M6736" s="88"/>
      <c r="N6736" s="88"/>
      <c r="O6736" s="88"/>
      <c r="P6736" s="88"/>
      <c r="Q6736" s="88"/>
      <c r="R6736" s="78">
        <f>MAX(S6736:W6736)</f>
        <v>0</v>
      </c>
      <c r="S6736" s="88"/>
      <c r="T6736" s="88"/>
      <c r="U6736" s="88"/>
      <c r="V6736" s="88"/>
      <c r="W6736" s="88"/>
    </row>
    <row r="6737" spans="2:23" s="0" customFormat="0" ht="15">
      <c r="B6737" s="87" t="s">
        <v>1</v>
      </c>
      <c r="C6737" s="88" t="s">
        <v>5259</v>
      </c>
      <c r="D6737" s="88" t="s">
        <v>5035</v>
      </c>
      <c r="E6737" s="88" t="s">
        <v>61</v>
      </c>
      <c r="F6737" s="88">
        <v>0</v>
      </c>
      <c r="G6737" s="78">
        <f>MAX(H6737,I6737,J6737)</f>
        <v>0</v>
      </c>
      <c r="H6737" s="88"/>
      <c r="I6737" s="88"/>
      <c r="J6737" s="78">
        <f>MAX(K6737:Q6737)</f>
        <v>0</v>
      </c>
      <c r="K6737" s="88"/>
      <c r="L6737" s="88"/>
      <c r="M6737" s="88"/>
      <c r="N6737" s="88"/>
      <c r="O6737" s="88"/>
      <c r="P6737" s="88"/>
      <c r="Q6737" s="88"/>
      <c r="R6737" s="78">
        <f>MAX(S6737:W6737)</f>
        <v>1</v>
      </c>
      <c r="S6737" s="88"/>
      <c r="T6737" s="88"/>
      <c r="U6737" s="88">
        <v>1</v>
      </c>
      <c r="V6737" s="88"/>
      <c r="W6737" s="88"/>
    </row>
    <row r="6738" spans="2:23" s="0" customFormat="0" ht="15">
      <c r="B6738" s="87" t="s">
        <v>1</v>
      </c>
      <c r="C6738" s="88" t="s">
        <v>5259</v>
      </c>
      <c r="D6738" s="88">
        <v>19676193</v>
      </c>
      <c r="E6738" s="88" t="s">
        <v>61</v>
      </c>
      <c r="F6738" s="88">
        <v>0</v>
      </c>
      <c r="G6738" s="78">
        <f>MAX(H6738,I6738,J6738)</f>
        <v>1</v>
      </c>
      <c r="H6738" s="88"/>
      <c r="I6738" s="88"/>
      <c r="J6738" s="78">
        <f>MAX(K6738:Q6738)</f>
        <v>1</v>
      </c>
      <c r="K6738" s="88">
        <v>1</v>
      </c>
      <c r="L6738" s="88"/>
      <c r="M6738" s="88"/>
      <c r="N6738" s="88"/>
      <c r="O6738" s="88"/>
      <c r="P6738" s="88"/>
      <c r="Q6738" s="88"/>
      <c r="R6738" s="78">
        <f>MAX(S6738:W6738)</f>
        <v>0</v>
      </c>
      <c r="S6738" s="88"/>
      <c r="T6738" s="88"/>
      <c r="U6738" s="88"/>
      <c r="V6738" s="88"/>
      <c r="W6738" s="88"/>
    </row>
    <row r="6739" spans="2:23" s="0" customFormat="0" ht="15">
      <c r="B6739" s="87" t="s">
        <v>1</v>
      </c>
      <c r="C6739" s="88" t="s">
        <v>5259</v>
      </c>
      <c r="D6739" s="88">
        <v>17296778</v>
      </c>
      <c r="E6739" s="88" t="s">
        <v>61</v>
      </c>
      <c r="F6739" s="88">
        <v>0</v>
      </c>
      <c r="G6739" s="78">
        <f>MAX(H6739,I6739,J6739)</f>
        <v>1</v>
      </c>
      <c r="H6739" s="88"/>
      <c r="I6739" s="88"/>
      <c r="J6739" s="78">
        <f>MAX(K6739:Q6739)</f>
        <v>1</v>
      </c>
      <c r="K6739" s="88">
        <v>1</v>
      </c>
      <c r="L6739" s="88"/>
      <c r="M6739" s="88"/>
      <c r="N6739" s="88"/>
      <c r="O6739" s="88"/>
      <c r="P6739" s="88"/>
      <c r="Q6739" s="88"/>
      <c r="R6739" s="78">
        <f>MAX(S6739:W6739)</f>
        <v>0</v>
      </c>
      <c r="S6739" s="88"/>
      <c r="T6739" s="88"/>
      <c r="U6739" s="88"/>
      <c r="V6739" s="88"/>
      <c r="W6739" s="88"/>
    </row>
    <row r="6740" spans="2:23" s="0" customFormat="0" ht="15">
      <c r="B6740" s="87" t="s">
        <v>1</v>
      </c>
      <c r="C6740" s="88" t="s">
        <v>5259</v>
      </c>
      <c r="D6740" s="88">
        <v>16196303</v>
      </c>
      <c r="E6740" s="88" t="s">
        <v>61</v>
      </c>
      <c r="F6740" s="88">
        <v>0</v>
      </c>
      <c r="G6740" s="78">
        <f>MAX(H6740,I6740,J6740)</f>
        <v>1</v>
      </c>
      <c r="H6740" s="88"/>
      <c r="I6740" s="88"/>
      <c r="J6740" s="78">
        <f>MAX(K6740:Q6740)</f>
        <v>1</v>
      </c>
      <c r="K6740" s="88">
        <v>1</v>
      </c>
      <c r="L6740" s="88"/>
      <c r="M6740" s="88"/>
      <c r="N6740" s="88"/>
      <c r="O6740" s="88"/>
      <c r="P6740" s="88"/>
      <c r="Q6740" s="88"/>
      <c r="R6740" s="78">
        <f>MAX(S6740:W6740)</f>
        <v>0</v>
      </c>
      <c r="S6740" s="88"/>
      <c r="T6740" s="88"/>
      <c r="U6740" s="88"/>
      <c r="V6740" s="88"/>
      <c r="W6740" s="88"/>
    </row>
    <row r="6741" spans="2:23" s="0" customFormat="0" ht="15">
      <c r="B6741" s="87" t="s">
        <v>1</v>
      </c>
      <c r="C6741" s="88" t="s">
        <v>5259</v>
      </c>
      <c r="D6741" s="88">
        <v>6842237</v>
      </c>
      <c r="E6741" s="88" t="s">
        <v>61</v>
      </c>
      <c r="F6741" s="88">
        <v>0</v>
      </c>
      <c r="G6741" s="78">
        <f>MAX(H6741,I6741,J6741)</f>
        <v>1</v>
      </c>
      <c r="H6741" s="88"/>
      <c r="I6741" s="88"/>
      <c r="J6741" s="78">
        <f>MAX(K6741:Q6741)</f>
        <v>1</v>
      </c>
      <c r="K6741" s="88">
        <v>1</v>
      </c>
      <c r="L6741" s="88"/>
      <c r="M6741" s="88"/>
      <c r="N6741" s="88"/>
      <c r="O6741" s="88"/>
      <c r="P6741" s="88"/>
      <c r="Q6741" s="88"/>
      <c r="R6741" s="78">
        <f>MAX(S6741:W6741)</f>
        <v>0</v>
      </c>
      <c r="S6741" s="88"/>
      <c r="T6741" s="88"/>
      <c r="U6741" s="88"/>
      <c r="V6741" s="88"/>
      <c r="W6741" s="88"/>
    </row>
    <row r="6742" spans="2:23" s="0" customFormat="0" ht="15">
      <c r="B6742" s="87" t="s">
        <v>1</v>
      </c>
      <c r="C6742" s="88" t="s">
        <v>5259</v>
      </c>
      <c r="D6742" s="88" t="s">
        <v>519</v>
      </c>
      <c r="E6742" s="88" t="s">
        <v>61</v>
      </c>
      <c r="F6742" s="88">
        <v>0</v>
      </c>
      <c r="G6742" s="78">
        <f>MAX(H6742,I6742,J6742)</f>
        <v>1</v>
      </c>
      <c r="H6742" s="88"/>
      <c r="I6742" s="88"/>
      <c r="J6742" s="78">
        <f>MAX(K6742:Q6742)</f>
        <v>1</v>
      </c>
      <c r="K6742" s="88">
        <v>1</v>
      </c>
      <c r="L6742" s="88"/>
      <c r="M6742" s="88"/>
      <c r="N6742" s="88"/>
      <c r="O6742" s="88"/>
      <c r="P6742" s="88"/>
      <c r="Q6742" s="88"/>
      <c r="R6742" s="78">
        <f>MAX(S6742:W6742)</f>
        <v>0</v>
      </c>
      <c r="S6742" s="88"/>
      <c r="T6742" s="88"/>
      <c r="U6742" s="88"/>
      <c r="V6742" s="88"/>
      <c r="W6742" s="88"/>
    </row>
    <row r="6743" spans="2:23" s="0" customFormat="0" ht="15">
      <c r="B6743" s="87" t="s">
        <v>1</v>
      </c>
      <c r="C6743" s="88" t="s">
        <v>5259</v>
      </c>
      <c r="D6743" s="88">
        <v>1929086</v>
      </c>
      <c r="E6743" s="88" t="s">
        <v>61</v>
      </c>
      <c r="F6743" s="88">
        <v>0</v>
      </c>
      <c r="G6743" s="78">
        <f>MAX(H6743,I6743,J6743)</f>
        <v>0</v>
      </c>
      <c r="H6743" s="88"/>
      <c r="I6743" s="88"/>
      <c r="J6743" s="78">
        <f>MAX(K6743:Q6743)</f>
        <v>0</v>
      </c>
      <c r="K6743" s="88"/>
      <c r="L6743" s="88"/>
      <c r="M6743" s="88"/>
      <c r="N6743" s="88"/>
      <c r="O6743" s="88"/>
      <c r="P6743" s="88"/>
      <c r="Q6743" s="88"/>
      <c r="R6743" s="78">
        <f>MAX(S6743:W6743)</f>
        <v>1</v>
      </c>
      <c r="S6743" s="88"/>
      <c r="T6743" s="88"/>
      <c r="U6743" s="88">
        <v>1</v>
      </c>
      <c r="V6743" s="88"/>
      <c r="W6743" s="88"/>
    </row>
    <row r="6744" spans="2:23" s="0" customFormat="0" ht="15">
      <c r="B6744" s="87" t="s">
        <v>1</v>
      </c>
      <c r="C6744" s="88" t="s">
        <v>5259</v>
      </c>
      <c r="D6744" s="88" t="s">
        <v>4519</v>
      </c>
      <c r="E6744" s="88" t="s">
        <v>61</v>
      </c>
      <c r="F6744" s="88">
        <v>0</v>
      </c>
      <c r="G6744" s="78">
        <f>MAX(H6744,I6744,J6744)</f>
        <v>0</v>
      </c>
      <c r="H6744" s="88"/>
      <c r="I6744" s="88"/>
      <c r="J6744" s="78">
        <f>MAX(K6744:Q6744)</f>
        <v>0</v>
      </c>
      <c r="K6744" s="88"/>
      <c r="L6744" s="88"/>
      <c r="M6744" s="88"/>
      <c r="N6744" s="88"/>
      <c r="O6744" s="88"/>
      <c r="P6744" s="88"/>
      <c r="Q6744" s="88"/>
      <c r="R6744" s="78">
        <f>MAX(S6744:W6744)</f>
        <v>1</v>
      </c>
      <c r="S6744" s="88"/>
      <c r="T6744" s="88"/>
      <c r="U6744" s="88">
        <v>1</v>
      </c>
      <c r="V6744" s="88"/>
      <c r="W6744" s="88"/>
    </row>
    <row r="6745" spans="2:23" s="0" customFormat="0" ht="15">
      <c r="B6745" s="87" t="s">
        <v>1</v>
      </c>
      <c r="C6745" s="88" t="s">
        <v>5259</v>
      </c>
      <c r="D6745" s="88" t="s">
        <v>2582</v>
      </c>
      <c r="E6745" s="88" t="s">
        <v>61</v>
      </c>
      <c r="F6745" s="88">
        <v>0</v>
      </c>
      <c r="G6745" s="78">
        <f>MAX(H6745,I6745,J6745)</f>
        <v>1</v>
      </c>
      <c r="H6745" s="88"/>
      <c r="I6745" s="88"/>
      <c r="J6745" s="78">
        <f>MAX(K6745:Q6745)</f>
        <v>1</v>
      </c>
      <c r="K6745" s="88">
        <v>1</v>
      </c>
      <c r="L6745" s="88"/>
      <c r="M6745" s="88"/>
      <c r="N6745" s="88"/>
      <c r="O6745" s="88"/>
      <c r="P6745" s="88"/>
      <c r="Q6745" s="88"/>
      <c r="R6745" s="78">
        <f>MAX(S6745:W6745)</f>
        <v>0</v>
      </c>
      <c r="S6745" s="88"/>
      <c r="T6745" s="88"/>
      <c r="U6745" s="88"/>
      <c r="V6745" s="88"/>
      <c r="W6745" s="88"/>
    </row>
    <row r="6746" spans="2:23" s="0" customFormat="0" ht="15">
      <c r="B6746" s="87" t="s">
        <v>1</v>
      </c>
      <c r="C6746" s="88" t="s">
        <v>5259</v>
      </c>
      <c r="D6746" s="88" t="s">
        <v>1571</v>
      </c>
      <c r="E6746" s="88" t="s">
        <v>61</v>
      </c>
      <c r="F6746" s="88">
        <v>0</v>
      </c>
      <c r="G6746" s="78">
        <f>MAX(H6746,I6746,J6746)</f>
        <v>1</v>
      </c>
      <c r="H6746" s="88"/>
      <c r="I6746" s="88"/>
      <c r="J6746" s="78">
        <f>MAX(K6746:Q6746)</f>
        <v>1</v>
      </c>
      <c r="K6746" s="88">
        <v>1</v>
      </c>
      <c r="L6746" s="88"/>
      <c r="M6746" s="88"/>
      <c r="N6746" s="88"/>
      <c r="O6746" s="88"/>
      <c r="P6746" s="88"/>
      <c r="Q6746" s="88"/>
      <c r="R6746" s="78">
        <f>MAX(S6746:W6746)</f>
        <v>0</v>
      </c>
      <c r="S6746" s="88"/>
      <c r="T6746" s="88"/>
      <c r="U6746" s="88"/>
      <c r="V6746" s="88"/>
      <c r="W6746" s="88"/>
    </row>
    <row r="6747" spans="2:23" s="0" customFormat="0" ht="15">
      <c r="B6747" s="87" t="s">
        <v>1</v>
      </c>
      <c r="C6747" s="88" t="s">
        <v>5259</v>
      </c>
      <c r="D6747" s="88" t="s">
        <v>4857</v>
      </c>
      <c r="E6747" s="88" t="s">
        <v>61</v>
      </c>
      <c r="F6747" s="88">
        <v>0</v>
      </c>
      <c r="G6747" s="78">
        <f>MAX(H6747,I6747,J6747)</f>
        <v>0</v>
      </c>
      <c r="H6747" s="88"/>
      <c r="I6747" s="88"/>
      <c r="J6747" s="78">
        <f>MAX(K6747:Q6747)</f>
        <v>0</v>
      </c>
      <c r="K6747" s="88"/>
      <c r="L6747" s="88"/>
      <c r="M6747" s="88"/>
      <c r="N6747" s="88"/>
      <c r="O6747" s="88"/>
      <c r="P6747" s="88"/>
      <c r="Q6747" s="88"/>
      <c r="R6747" s="78">
        <f>MAX(S6747:W6747)</f>
        <v>1</v>
      </c>
      <c r="S6747" s="88"/>
      <c r="T6747" s="88"/>
      <c r="U6747" s="88">
        <v>1</v>
      </c>
      <c r="V6747" s="88"/>
      <c r="W6747" s="88"/>
    </row>
    <row r="6748" spans="2:23" s="0" customFormat="0" ht="15">
      <c r="B6748" s="87" t="s">
        <v>1</v>
      </c>
      <c r="C6748" s="88" t="s">
        <v>5259</v>
      </c>
      <c r="D6748" s="88" t="s">
        <v>5239</v>
      </c>
      <c r="E6748" s="88" t="s">
        <v>61</v>
      </c>
      <c r="F6748" s="88">
        <v>0</v>
      </c>
      <c r="G6748" s="78">
        <f>MAX(H6748,I6748,J6748)</f>
        <v>0</v>
      </c>
      <c r="H6748" s="88"/>
      <c r="I6748" s="88"/>
      <c r="J6748" s="78">
        <f>MAX(K6748:Q6748)</f>
        <v>0</v>
      </c>
      <c r="K6748" s="88"/>
      <c r="L6748" s="88"/>
      <c r="M6748" s="88"/>
      <c r="N6748" s="88"/>
      <c r="O6748" s="88"/>
      <c r="P6748" s="88"/>
      <c r="Q6748" s="88"/>
      <c r="R6748" s="78">
        <f>MAX(S6748:W6748)</f>
        <v>1</v>
      </c>
      <c r="S6748" s="88"/>
      <c r="T6748" s="88"/>
      <c r="U6748" s="88">
        <v>1</v>
      </c>
      <c r="V6748" s="88"/>
      <c r="W6748" s="88"/>
    </row>
    <row r="6749" spans="2:23" s="0" customFormat="0" ht="15">
      <c r="B6749" s="87" t="s">
        <v>1</v>
      </c>
      <c r="C6749" s="88" t="s">
        <v>5259</v>
      </c>
      <c r="D6749" s="88" t="s">
        <v>3952</v>
      </c>
      <c r="E6749" s="88" t="s">
        <v>61</v>
      </c>
      <c r="F6749" s="88">
        <v>0</v>
      </c>
      <c r="G6749" s="78">
        <f>MAX(H6749,I6749,J6749)</f>
        <v>0</v>
      </c>
      <c r="H6749" s="88"/>
      <c r="I6749" s="88"/>
      <c r="J6749" s="78">
        <f>MAX(K6749:Q6749)</f>
        <v>0</v>
      </c>
      <c r="K6749" s="88"/>
      <c r="L6749" s="88"/>
      <c r="M6749" s="88"/>
      <c r="N6749" s="88"/>
      <c r="O6749" s="88"/>
      <c r="P6749" s="88"/>
      <c r="Q6749" s="88"/>
      <c r="R6749" s="78">
        <f>MAX(S6749:W6749)</f>
        <v>1</v>
      </c>
      <c r="S6749" s="88"/>
      <c r="T6749" s="88"/>
      <c r="U6749" s="88">
        <v>1</v>
      </c>
      <c r="V6749" s="88"/>
      <c r="W6749" s="88"/>
    </row>
    <row r="6750" spans="2:23" s="0" customFormat="0" ht="15">
      <c r="B6750" s="87" t="s">
        <v>1</v>
      </c>
      <c r="C6750" s="88" t="s">
        <v>5259</v>
      </c>
      <c r="D6750" s="88" t="s">
        <v>5114</v>
      </c>
      <c r="E6750" s="88" t="s">
        <v>61</v>
      </c>
      <c r="F6750" s="88">
        <v>0</v>
      </c>
      <c r="G6750" s="78">
        <f>MAX(H6750,I6750,J6750)</f>
        <v>0</v>
      </c>
      <c r="H6750" s="88"/>
      <c r="I6750" s="88"/>
      <c r="J6750" s="78">
        <f>MAX(K6750:Q6750)</f>
        <v>0</v>
      </c>
      <c r="K6750" s="88"/>
      <c r="L6750" s="88"/>
      <c r="M6750" s="88"/>
      <c r="N6750" s="88"/>
      <c r="O6750" s="88"/>
      <c r="P6750" s="88"/>
      <c r="Q6750" s="88"/>
      <c r="R6750" s="78">
        <f>MAX(S6750:W6750)</f>
        <v>1</v>
      </c>
      <c r="S6750" s="88"/>
      <c r="T6750" s="88"/>
      <c r="U6750" s="88">
        <v>1</v>
      </c>
      <c r="V6750" s="88"/>
      <c r="W6750" s="88"/>
    </row>
    <row r="6751" spans="2:23" s="0" customFormat="0" ht="15">
      <c r="B6751" s="87" t="s">
        <v>1</v>
      </c>
      <c r="C6751" s="88" t="s">
        <v>5259</v>
      </c>
      <c r="D6751" s="88" t="s">
        <v>4236</v>
      </c>
      <c r="E6751" s="88" t="s">
        <v>61</v>
      </c>
      <c r="F6751" s="88">
        <v>0</v>
      </c>
      <c r="G6751" s="78">
        <f>MAX(H6751,I6751,J6751)</f>
        <v>0</v>
      </c>
      <c r="H6751" s="88"/>
      <c r="I6751" s="88"/>
      <c r="J6751" s="78">
        <f>MAX(K6751:Q6751)</f>
        <v>0</v>
      </c>
      <c r="K6751" s="88"/>
      <c r="L6751" s="88"/>
      <c r="M6751" s="88"/>
      <c r="N6751" s="88"/>
      <c r="O6751" s="88"/>
      <c r="P6751" s="88"/>
      <c r="Q6751" s="88"/>
      <c r="R6751" s="78">
        <f>MAX(S6751:W6751)</f>
        <v>1</v>
      </c>
      <c r="S6751" s="88"/>
      <c r="T6751" s="88"/>
      <c r="U6751" s="88">
        <v>1</v>
      </c>
      <c r="V6751" s="88"/>
      <c r="W6751" s="88"/>
    </row>
    <row r="6752" spans="2:23" s="0" customFormat="0" ht="15">
      <c r="B6752" s="87" t="s">
        <v>1</v>
      </c>
      <c r="C6752" s="88" t="s">
        <v>5259</v>
      </c>
      <c r="D6752" s="88" t="s">
        <v>505</v>
      </c>
      <c r="E6752" s="88" t="s">
        <v>61</v>
      </c>
      <c r="F6752" s="88">
        <v>0</v>
      </c>
      <c r="G6752" s="78">
        <f>MAX(H6752,I6752,J6752)</f>
        <v>1</v>
      </c>
      <c r="H6752" s="88"/>
      <c r="I6752" s="88"/>
      <c r="J6752" s="78">
        <f>MAX(K6752:Q6752)</f>
        <v>1</v>
      </c>
      <c r="K6752" s="88">
        <v>1</v>
      </c>
      <c r="L6752" s="88"/>
      <c r="M6752" s="88"/>
      <c r="N6752" s="88"/>
      <c r="O6752" s="88"/>
      <c r="P6752" s="88"/>
      <c r="Q6752" s="88"/>
      <c r="R6752" s="78">
        <f>MAX(S6752:W6752)</f>
        <v>0</v>
      </c>
      <c r="S6752" s="88"/>
      <c r="T6752" s="88"/>
      <c r="U6752" s="88"/>
      <c r="V6752" s="88"/>
      <c r="W6752" s="88"/>
    </row>
    <row r="6753" spans="2:23" s="0" customFormat="0" ht="15">
      <c r="B6753" s="87" t="s">
        <v>1</v>
      </c>
      <c r="C6753" s="88" t="s">
        <v>5259</v>
      </c>
      <c r="D6753" s="88" t="s">
        <v>3336</v>
      </c>
      <c r="E6753" s="88" t="s">
        <v>61</v>
      </c>
      <c r="F6753" s="88">
        <v>0</v>
      </c>
      <c r="G6753" s="78">
        <f>MAX(H6753,I6753,J6753)</f>
        <v>0</v>
      </c>
      <c r="H6753" s="88"/>
      <c r="I6753" s="88"/>
      <c r="J6753" s="78">
        <f>MAX(K6753:Q6753)</f>
        <v>0</v>
      </c>
      <c r="K6753" s="88"/>
      <c r="L6753" s="88"/>
      <c r="M6753" s="88"/>
      <c r="N6753" s="88"/>
      <c r="O6753" s="88"/>
      <c r="P6753" s="88"/>
      <c r="Q6753" s="88"/>
      <c r="R6753" s="78">
        <f>MAX(S6753:W6753)</f>
        <v>1</v>
      </c>
      <c r="S6753" s="88"/>
      <c r="T6753" s="88"/>
      <c r="U6753" s="88">
        <v>1</v>
      </c>
      <c r="V6753" s="88"/>
      <c r="W6753" s="88"/>
    </row>
    <row r="6754" spans="2:23" s="0" customFormat="0" ht="15">
      <c r="B6754" s="87" t="s">
        <v>1</v>
      </c>
      <c r="C6754" s="88" t="s">
        <v>5259</v>
      </c>
      <c r="D6754" s="88" t="s">
        <v>1741</v>
      </c>
      <c r="E6754" s="88" t="s">
        <v>61</v>
      </c>
      <c r="F6754" s="88">
        <v>0</v>
      </c>
      <c r="G6754" s="78">
        <f>MAX(H6754,I6754,J6754)</f>
        <v>1</v>
      </c>
      <c r="H6754" s="88"/>
      <c r="I6754" s="88"/>
      <c r="J6754" s="78">
        <f>MAX(K6754:Q6754)</f>
        <v>1</v>
      </c>
      <c r="K6754" s="88">
        <v>1</v>
      </c>
      <c r="L6754" s="88"/>
      <c r="M6754" s="88"/>
      <c r="N6754" s="88"/>
      <c r="O6754" s="88"/>
      <c r="P6754" s="88"/>
      <c r="Q6754" s="88"/>
      <c r="R6754" s="78">
        <f>MAX(S6754:W6754)</f>
        <v>0</v>
      </c>
      <c r="S6754" s="88"/>
      <c r="T6754" s="88"/>
      <c r="U6754" s="88"/>
      <c r="V6754" s="88"/>
      <c r="W6754" s="88"/>
    </row>
    <row r="6755" spans="2:23" s="0" customFormat="0" ht="15">
      <c r="B6755" s="87" t="s">
        <v>1</v>
      </c>
      <c r="C6755" s="88" t="s">
        <v>5259</v>
      </c>
      <c r="D6755" s="88">
        <v>15473454</v>
      </c>
      <c r="E6755" s="88" t="s">
        <v>61</v>
      </c>
      <c r="F6755" s="88">
        <v>0</v>
      </c>
      <c r="G6755" s="78">
        <f>MAX(H6755,I6755,J6755)</f>
        <v>1</v>
      </c>
      <c r="H6755" s="88"/>
      <c r="I6755" s="88"/>
      <c r="J6755" s="78">
        <f>MAX(K6755:Q6755)</f>
        <v>1</v>
      </c>
      <c r="K6755" s="88">
        <v>1</v>
      </c>
      <c r="L6755" s="88"/>
      <c r="M6755" s="88"/>
      <c r="N6755" s="88"/>
      <c r="O6755" s="88"/>
      <c r="P6755" s="88"/>
      <c r="Q6755" s="88"/>
      <c r="R6755" s="78">
        <f>MAX(S6755:W6755)</f>
        <v>0</v>
      </c>
      <c r="S6755" s="88"/>
      <c r="T6755" s="88"/>
      <c r="U6755" s="88"/>
      <c r="V6755" s="88"/>
      <c r="W6755" s="88"/>
    </row>
    <row r="6756" spans="2:23" s="0" customFormat="0" ht="15">
      <c r="B6756" s="87" t="s">
        <v>1</v>
      </c>
      <c r="C6756" s="88" t="s">
        <v>5259</v>
      </c>
      <c r="D6756" s="88" t="s">
        <v>1931</v>
      </c>
      <c r="E6756" s="88" t="s">
        <v>61</v>
      </c>
      <c r="F6756" s="88">
        <v>0</v>
      </c>
      <c r="G6756" s="78">
        <f>MAX(H6756,I6756,J6756)</f>
        <v>1</v>
      </c>
      <c r="H6756" s="88"/>
      <c r="I6756" s="88"/>
      <c r="J6756" s="78">
        <f>MAX(K6756:Q6756)</f>
        <v>1</v>
      </c>
      <c r="K6756" s="88">
        <v>1</v>
      </c>
      <c r="L6756" s="88"/>
      <c r="M6756" s="88"/>
      <c r="N6756" s="88"/>
      <c r="O6756" s="88"/>
      <c r="P6756" s="88"/>
      <c r="Q6756" s="88"/>
      <c r="R6756" s="78">
        <f>MAX(S6756:W6756)</f>
        <v>0</v>
      </c>
      <c r="S6756" s="88"/>
      <c r="T6756" s="88"/>
      <c r="U6756" s="88"/>
      <c r="V6756" s="88"/>
      <c r="W6756" s="88"/>
    </row>
    <row r="6757" spans="2:23" s="0" customFormat="0" ht="15">
      <c r="B6757" s="87" t="s">
        <v>1</v>
      </c>
      <c r="C6757" s="88" t="s">
        <v>5259</v>
      </c>
      <c r="D6757" s="88" t="s">
        <v>4793</v>
      </c>
      <c r="E6757" s="88" t="s">
        <v>61</v>
      </c>
      <c r="F6757" s="88">
        <v>0</v>
      </c>
      <c r="G6757" s="78">
        <f>MAX(H6757,I6757,J6757)</f>
        <v>0</v>
      </c>
      <c r="H6757" s="88"/>
      <c r="I6757" s="88"/>
      <c r="J6757" s="78">
        <f>MAX(K6757:Q6757)</f>
        <v>0</v>
      </c>
      <c r="K6757" s="88"/>
      <c r="L6757" s="88"/>
      <c r="M6757" s="88"/>
      <c r="N6757" s="88"/>
      <c r="O6757" s="88"/>
      <c r="P6757" s="88"/>
      <c r="Q6757" s="88"/>
      <c r="R6757" s="78">
        <f>MAX(S6757:W6757)</f>
        <v>1</v>
      </c>
      <c r="S6757" s="88"/>
      <c r="T6757" s="88"/>
      <c r="U6757" s="88">
        <v>1</v>
      </c>
      <c r="V6757" s="88"/>
      <c r="W6757" s="88"/>
    </row>
    <row r="6758" spans="2:23" s="0" customFormat="0" ht="15">
      <c r="B6758" s="87" t="s">
        <v>1</v>
      </c>
      <c r="C6758" s="88" t="s">
        <v>5259</v>
      </c>
      <c r="D6758" s="88">
        <v>19771038</v>
      </c>
      <c r="E6758" s="88" t="s">
        <v>61</v>
      </c>
      <c r="F6758" s="88">
        <v>0</v>
      </c>
      <c r="G6758" s="78">
        <f>MAX(H6758,I6758,J6758)</f>
        <v>1</v>
      </c>
      <c r="H6758" s="88"/>
      <c r="I6758" s="88"/>
      <c r="J6758" s="78">
        <f>MAX(K6758:Q6758)</f>
        <v>1</v>
      </c>
      <c r="K6758" s="88">
        <v>1</v>
      </c>
      <c r="L6758" s="88"/>
      <c r="M6758" s="88"/>
      <c r="N6758" s="88"/>
      <c r="O6758" s="88"/>
      <c r="P6758" s="88"/>
      <c r="Q6758" s="88"/>
      <c r="R6758" s="78">
        <f>MAX(S6758:W6758)</f>
        <v>0</v>
      </c>
      <c r="S6758" s="88"/>
      <c r="T6758" s="88"/>
      <c r="U6758" s="88"/>
      <c r="V6758" s="88"/>
      <c r="W6758" s="88"/>
    </row>
    <row r="6759" spans="2:23" s="0" customFormat="0" ht="15">
      <c r="B6759" s="87" t="s">
        <v>1</v>
      </c>
      <c r="C6759" s="88" t="s">
        <v>5259</v>
      </c>
      <c r="D6759" s="88" t="s">
        <v>4030</v>
      </c>
      <c r="E6759" s="88" t="s">
        <v>61</v>
      </c>
      <c r="F6759" s="88">
        <v>0</v>
      </c>
      <c r="G6759" s="78">
        <f>MAX(H6759,I6759,J6759)</f>
        <v>0</v>
      </c>
      <c r="H6759" s="88"/>
      <c r="I6759" s="88"/>
      <c r="J6759" s="78">
        <f>MAX(K6759:Q6759)</f>
        <v>0</v>
      </c>
      <c r="K6759" s="88"/>
      <c r="L6759" s="88"/>
      <c r="M6759" s="88"/>
      <c r="N6759" s="88"/>
      <c r="O6759" s="88"/>
      <c r="P6759" s="88"/>
      <c r="Q6759" s="88"/>
      <c r="R6759" s="78">
        <f>MAX(S6759:W6759)</f>
        <v>1</v>
      </c>
      <c r="S6759" s="88"/>
      <c r="T6759" s="88"/>
      <c r="U6759" s="88">
        <v>1</v>
      </c>
      <c r="V6759" s="88"/>
      <c r="W6759" s="88"/>
    </row>
    <row r="6760" spans="2:23" s="0" customFormat="0" ht="15">
      <c r="B6760" s="87" t="s">
        <v>1</v>
      </c>
      <c r="C6760" s="88" t="s">
        <v>5259</v>
      </c>
      <c r="D6760" s="88" t="s">
        <v>531</v>
      </c>
      <c r="E6760" s="88" t="s">
        <v>61</v>
      </c>
      <c r="F6760" s="88">
        <v>0</v>
      </c>
      <c r="G6760" s="78">
        <f>MAX(H6760,I6760,J6760)</f>
        <v>1</v>
      </c>
      <c r="H6760" s="88"/>
      <c r="I6760" s="88"/>
      <c r="J6760" s="78">
        <f>MAX(K6760:Q6760)</f>
        <v>1</v>
      </c>
      <c r="K6760" s="88">
        <v>1</v>
      </c>
      <c r="L6760" s="88"/>
      <c r="M6760" s="88"/>
      <c r="N6760" s="88"/>
      <c r="O6760" s="88"/>
      <c r="P6760" s="88"/>
      <c r="Q6760" s="88"/>
      <c r="R6760" s="78">
        <f>MAX(S6760:W6760)</f>
        <v>0</v>
      </c>
      <c r="S6760" s="88"/>
      <c r="T6760" s="88"/>
      <c r="U6760" s="88"/>
      <c r="V6760" s="88"/>
      <c r="W6760" s="88"/>
    </row>
    <row r="6761" spans="2:23" s="0" customFormat="0" ht="15">
      <c r="B6761" s="87" t="s">
        <v>1</v>
      </c>
      <c r="C6761" s="88" t="s">
        <v>5259</v>
      </c>
      <c r="D6761" s="88">
        <v>781753</v>
      </c>
      <c r="E6761" s="88" t="s">
        <v>61</v>
      </c>
      <c r="F6761" s="88">
        <v>0</v>
      </c>
      <c r="G6761" s="78">
        <f>MAX(H6761,I6761,J6761)</f>
        <v>0</v>
      </c>
      <c r="H6761" s="88"/>
      <c r="I6761" s="88"/>
      <c r="J6761" s="78">
        <f>MAX(K6761:Q6761)</f>
        <v>0</v>
      </c>
      <c r="K6761" s="88"/>
      <c r="L6761" s="88"/>
      <c r="M6761" s="88"/>
      <c r="N6761" s="88"/>
      <c r="O6761" s="88"/>
      <c r="P6761" s="88"/>
      <c r="Q6761" s="88"/>
      <c r="R6761" s="78">
        <f>MAX(S6761:W6761)</f>
        <v>1</v>
      </c>
      <c r="S6761" s="88"/>
      <c r="T6761" s="88"/>
      <c r="U6761" s="88">
        <v>1</v>
      </c>
      <c r="V6761" s="88"/>
      <c r="W6761" s="88"/>
    </row>
    <row r="6762" spans="2:23" s="0" customFormat="0" ht="15">
      <c r="B6762" s="87" t="s">
        <v>1</v>
      </c>
      <c r="C6762" s="88" t="s">
        <v>5259</v>
      </c>
      <c r="D6762" s="88">
        <v>24190230</v>
      </c>
      <c r="E6762" s="88" t="s">
        <v>61</v>
      </c>
      <c r="F6762" s="88">
        <v>0</v>
      </c>
      <c r="G6762" s="78">
        <f>MAX(H6762,I6762,J6762)</f>
        <v>1</v>
      </c>
      <c r="H6762" s="88"/>
      <c r="I6762" s="88"/>
      <c r="J6762" s="78">
        <f>MAX(K6762:Q6762)</f>
        <v>1</v>
      </c>
      <c r="K6762" s="88">
        <v>1</v>
      </c>
      <c r="L6762" s="88"/>
      <c r="M6762" s="88"/>
      <c r="N6762" s="88"/>
      <c r="O6762" s="88"/>
      <c r="P6762" s="88"/>
      <c r="Q6762" s="88"/>
      <c r="R6762" s="78">
        <f>MAX(S6762:W6762)</f>
        <v>0</v>
      </c>
      <c r="S6762" s="88"/>
      <c r="T6762" s="88"/>
      <c r="U6762" s="88"/>
      <c r="V6762" s="88"/>
      <c r="W6762" s="88"/>
    </row>
    <row r="6763" spans="2:23" s="0" customFormat="0" ht="15">
      <c r="B6763" s="87" t="s">
        <v>1</v>
      </c>
      <c r="C6763" s="88" t="s">
        <v>5259</v>
      </c>
      <c r="D6763" s="88" t="s">
        <v>582</v>
      </c>
      <c r="E6763" s="88" t="s">
        <v>61</v>
      </c>
      <c r="F6763" s="88">
        <v>0</v>
      </c>
      <c r="G6763" s="78">
        <f>MAX(H6763,I6763,J6763)</f>
        <v>1</v>
      </c>
      <c r="H6763" s="88"/>
      <c r="I6763" s="88"/>
      <c r="J6763" s="78">
        <f>MAX(K6763:Q6763)</f>
        <v>1</v>
      </c>
      <c r="K6763" s="88">
        <v>1</v>
      </c>
      <c r="L6763" s="88"/>
      <c r="M6763" s="88"/>
      <c r="N6763" s="88"/>
      <c r="O6763" s="88"/>
      <c r="P6763" s="88"/>
      <c r="Q6763" s="88"/>
      <c r="R6763" s="78">
        <f>MAX(S6763:W6763)</f>
        <v>0</v>
      </c>
      <c r="S6763" s="88"/>
      <c r="T6763" s="88"/>
      <c r="U6763" s="88"/>
      <c r="V6763" s="88"/>
      <c r="W6763" s="88"/>
    </row>
    <row r="6764" spans="2:23" s="0" customFormat="0" ht="15">
      <c r="B6764" s="87" t="s">
        <v>1</v>
      </c>
      <c r="C6764" s="88" t="s">
        <v>5259</v>
      </c>
      <c r="D6764" s="88">
        <v>22554252</v>
      </c>
      <c r="E6764" s="88" t="s">
        <v>61</v>
      </c>
      <c r="F6764" s="88">
        <v>0</v>
      </c>
      <c r="G6764" s="78">
        <f>MAX(H6764,I6764,J6764)</f>
        <v>0</v>
      </c>
      <c r="H6764" s="88"/>
      <c r="I6764" s="88"/>
      <c r="J6764" s="78">
        <f>MAX(K6764:Q6764)</f>
        <v>0</v>
      </c>
      <c r="K6764" s="88"/>
      <c r="L6764" s="88"/>
      <c r="M6764" s="88"/>
      <c r="N6764" s="88"/>
      <c r="O6764" s="88"/>
      <c r="P6764" s="88"/>
      <c r="Q6764" s="88"/>
      <c r="R6764" s="78">
        <f>MAX(S6764:W6764)</f>
        <v>1</v>
      </c>
      <c r="S6764" s="88"/>
      <c r="T6764" s="88"/>
      <c r="U6764" s="88">
        <v>1</v>
      </c>
      <c r="V6764" s="88"/>
      <c r="W6764" s="88"/>
    </row>
    <row r="6765" spans="2:23" s="0" customFormat="0" ht="15">
      <c r="B6765" s="87" t="s">
        <v>1</v>
      </c>
      <c r="C6765" s="88" t="s">
        <v>5259</v>
      </c>
      <c r="D6765" s="88">
        <v>22281224</v>
      </c>
      <c r="E6765" s="88" t="s">
        <v>61</v>
      </c>
      <c r="F6765" s="88">
        <v>0</v>
      </c>
      <c r="G6765" s="78">
        <f>MAX(H6765,I6765,J6765)</f>
        <v>1</v>
      </c>
      <c r="H6765" s="88"/>
      <c r="I6765" s="88"/>
      <c r="J6765" s="78">
        <f>MAX(K6765:Q6765)</f>
        <v>1</v>
      </c>
      <c r="K6765" s="88">
        <v>1</v>
      </c>
      <c r="L6765" s="88"/>
      <c r="M6765" s="88"/>
      <c r="N6765" s="88"/>
      <c r="O6765" s="88"/>
      <c r="P6765" s="88"/>
      <c r="Q6765" s="88"/>
      <c r="R6765" s="78">
        <f>MAX(S6765:W6765)</f>
        <v>0</v>
      </c>
      <c r="S6765" s="88"/>
      <c r="T6765" s="88"/>
      <c r="U6765" s="88"/>
      <c r="V6765" s="88"/>
      <c r="W6765" s="88"/>
    </row>
    <row r="6766" spans="2:23" s="0" customFormat="0" ht="15">
      <c r="B6766" s="87" t="s">
        <v>1</v>
      </c>
      <c r="C6766" s="88" t="s">
        <v>5259</v>
      </c>
      <c r="D6766" s="88" t="s">
        <v>2845</v>
      </c>
      <c r="E6766" s="88" t="s">
        <v>61</v>
      </c>
      <c r="F6766" s="88">
        <v>0</v>
      </c>
      <c r="G6766" s="78">
        <f>MAX(H6766,I6766,J6766)</f>
        <v>1</v>
      </c>
      <c r="H6766" s="88"/>
      <c r="I6766" s="88"/>
      <c r="J6766" s="78">
        <f>MAX(K6766:Q6766)</f>
        <v>1</v>
      </c>
      <c r="K6766" s="88">
        <v>1</v>
      </c>
      <c r="L6766" s="88"/>
      <c r="M6766" s="88"/>
      <c r="N6766" s="88"/>
      <c r="O6766" s="88"/>
      <c r="P6766" s="88"/>
      <c r="Q6766" s="88"/>
      <c r="R6766" s="78">
        <f>MAX(S6766:W6766)</f>
        <v>0</v>
      </c>
      <c r="S6766" s="88"/>
      <c r="T6766" s="88"/>
      <c r="U6766" s="88"/>
      <c r="V6766" s="88"/>
      <c r="W6766" s="88"/>
    </row>
    <row r="6767" spans="2:23" s="0" customFormat="0" ht="15">
      <c r="B6767" s="87" t="s">
        <v>1</v>
      </c>
      <c r="C6767" s="88" t="s">
        <v>5259</v>
      </c>
      <c r="D6767" s="88" t="s">
        <v>2562</v>
      </c>
      <c r="E6767" s="88" t="s">
        <v>61</v>
      </c>
      <c r="F6767" s="88">
        <v>0</v>
      </c>
      <c r="G6767" s="78">
        <f>MAX(H6767,I6767,J6767)</f>
        <v>1</v>
      </c>
      <c r="H6767" s="88"/>
      <c r="I6767" s="88"/>
      <c r="J6767" s="78">
        <f>MAX(K6767:Q6767)</f>
        <v>1</v>
      </c>
      <c r="K6767" s="88">
        <v>1</v>
      </c>
      <c r="L6767" s="88"/>
      <c r="M6767" s="88"/>
      <c r="N6767" s="88"/>
      <c r="O6767" s="88"/>
      <c r="P6767" s="88"/>
      <c r="Q6767" s="88"/>
      <c r="R6767" s="78">
        <f>MAX(S6767:W6767)</f>
        <v>0</v>
      </c>
      <c r="S6767" s="88"/>
      <c r="T6767" s="88"/>
      <c r="U6767" s="88"/>
      <c r="V6767" s="88"/>
      <c r="W6767" s="88"/>
    </row>
    <row r="6768" spans="2:23" s="0" customFormat="0" ht="15">
      <c r="B6768" s="87" t="s">
        <v>1</v>
      </c>
      <c r="C6768" s="88" t="s">
        <v>5259</v>
      </c>
      <c r="D6768" s="88" t="s">
        <v>4500</v>
      </c>
      <c r="E6768" s="88" t="s">
        <v>61</v>
      </c>
      <c r="F6768" s="88">
        <v>0</v>
      </c>
      <c r="G6768" s="78">
        <f>MAX(H6768,I6768,J6768)</f>
        <v>0</v>
      </c>
      <c r="H6768" s="88"/>
      <c r="I6768" s="88"/>
      <c r="J6768" s="78">
        <f>MAX(K6768:Q6768)</f>
        <v>0</v>
      </c>
      <c r="K6768" s="88"/>
      <c r="L6768" s="88"/>
      <c r="M6768" s="88"/>
      <c r="N6768" s="88"/>
      <c r="O6768" s="88"/>
      <c r="P6768" s="88"/>
      <c r="Q6768" s="88"/>
      <c r="R6768" s="78">
        <f>MAX(S6768:W6768)</f>
        <v>1</v>
      </c>
      <c r="S6768" s="88"/>
      <c r="T6768" s="88"/>
      <c r="U6768" s="88">
        <v>1</v>
      </c>
      <c r="V6768" s="88"/>
      <c r="W6768" s="88"/>
    </row>
    <row r="6769" spans="2:23" s="0" customFormat="0" ht="15">
      <c r="B6769" s="87" t="s">
        <v>1</v>
      </c>
      <c r="C6769" s="88" t="s">
        <v>5259</v>
      </c>
      <c r="D6769" s="88" t="s">
        <v>537</v>
      </c>
      <c r="E6769" s="88" t="s">
        <v>61</v>
      </c>
      <c r="F6769" s="88">
        <v>0</v>
      </c>
      <c r="G6769" s="78">
        <f>MAX(H6769,I6769,J6769)</f>
        <v>1</v>
      </c>
      <c r="H6769" s="88"/>
      <c r="I6769" s="88"/>
      <c r="J6769" s="78">
        <f>MAX(K6769:Q6769)</f>
        <v>1</v>
      </c>
      <c r="K6769" s="88">
        <v>1</v>
      </c>
      <c r="L6769" s="88"/>
      <c r="M6769" s="88"/>
      <c r="N6769" s="88"/>
      <c r="O6769" s="88"/>
      <c r="P6769" s="88"/>
      <c r="Q6769" s="88"/>
      <c r="R6769" s="78">
        <f>MAX(S6769:W6769)</f>
        <v>0</v>
      </c>
      <c r="S6769" s="88"/>
      <c r="T6769" s="88"/>
      <c r="U6769" s="88"/>
      <c r="V6769" s="88"/>
      <c r="W6769" s="88"/>
    </row>
    <row r="6770" spans="2:23" s="0" customFormat="0" ht="15">
      <c r="B6770" s="87" t="s">
        <v>1</v>
      </c>
      <c r="C6770" s="88" t="s">
        <v>5259</v>
      </c>
      <c r="D6770" s="88">
        <v>17356653</v>
      </c>
      <c r="E6770" s="88" t="s">
        <v>61</v>
      </c>
      <c r="F6770" s="88">
        <v>0</v>
      </c>
      <c r="G6770" s="78">
        <f>MAX(H6770,I6770,J6770)</f>
        <v>1</v>
      </c>
      <c r="H6770" s="88"/>
      <c r="I6770" s="88"/>
      <c r="J6770" s="78">
        <f>MAX(K6770:Q6770)</f>
        <v>1</v>
      </c>
      <c r="K6770" s="88">
        <v>1</v>
      </c>
      <c r="L6770" s="88"/>
      <c r="M6770" s="88"/>
      <c r="N6770" s="88"/>
      <c r="O6770" s="88"/>
      <c r="P6770" s="88"/>
      <c r="Q6770" s="88"/>
      <c r="R6770" s="78">
        <f>MAX(S6770:W6770)</f>
        <v>0</v>
      </c>
      <c r="S6770" s="88"/>
      <c r="T6770" s="88"/>
      <c r="U6770" s="88"/>
      <c r="V6770" s="88"/>
      <c r="W6770" s="88"/>
    </row>
    <row r="6771" spans="2:23" s="0" customFormat="0" ht="15">
      <c r="B6771" s="87" t="s">
        <v>1</v>
      </c>
      <c r="C6771" s="88" t="s">
        <v>5259</v>
      </c>
      <c r="D6771" s="88">
        <v>13128752</v>
      </c>
      <c r="E6771" s="88" t="s">
        <v>61</v>
      </c>
      <c r="F6771" s="88">
        <v>0</v>
      </c>
      <c r="G6771" s="78">
        <f>MAX(H6771,I6771,J6771)</f>
        <v>1</v>
      </c>
      <c r="H6771" s="88"/>
      <c r="I6771" s="88"/>
      <c r="J6771" s="78">
        <f>MAX(K6771:Q6771)</f>
        <v>1</v>
      </c>
      <c r="K6771" s="88">
        <v>1</v>
      </c>
      <c r="L6771" s="88"/>
      <c r="M6771" s="88"/>
      <c r="N6771" s="88"/>
      <c r="O6771" s="88"/>
      <c r="P6771" s="88"/>
      <c r="Q6771" s="88"/>
      <c r="R6771" s="78">
        <f>MAX(S6771:W6771)</f>
        <v>0</v>
      </c>
      <c r="S6771" s="88"/>
      <c r="T6771" s="88"/>
      <c r="U6771" s="88"/>
      <c r="V6771" s="88"/>
      <c r="W6771" s="88"/>
    </row>
    <row r="6772" spans="2:23" s="0" customFormat="0" ht="15">
      <c r="B6772" s="87" t="s">
        <v>1</v>
      </c>
      <c r="C6772" s="88" t="s">
        <v>5259</v>
      </c>
      <c r="D6772" s="88">
        <v>11393825</v>
      </c>
      <c r="E6772" s="88" t="s">
        <v>61</v>
      </c>
      <c r="F6772" s="88">
        <v>0</v>
      </c>
      <c r="G6772" s="78">
        <f>MAX(H6772,I6772,J6772)</f>
        <v>1</v>
      </c>
      <c r="H6772" s="88"/>
      <c r="I6772" s="88"/>
      <c r="J6772" s="78">
        <f>MAX(K6772:Q6772)</f>
        <v>1</v>
      </c>
      <c r="K6772" s="88">
        <v>1</v>
      </c>
      <c r="L6772" s="88"/>
      <c r="M6772" s="88"/>
      <c r="N6772" s="88"/>
      <c r="O6772" s="88"/>
      <c r="P6772" s="88"/>
      <c r="Q6772" s="88"/>
      <c r="R6772" s="78">
        <f>MAX(S6772:W6772)</f>
        <v>0</v>
      </c>
      <c r="S6772" s="88"/>
      <c r="T6772" s="88"/>
      <c r="U6772" s="88"/>
      <c r="V6772" s="88"/>
      <c r="W6772" s="88"/>
    </row>
    <row r="6773" spans="2:23" s="0" customFormat="0" ht="15">
      <c r="B6773" s="87" t="s">
        <v>1</v>
      </c>
      <c r="C6773" s="88" t="s">
        <v>5259</v>
      </c>
      <c r="D6773" s="88">
        <v>24449320</v>
      </c>
      <c r="E6773" s="88" t="s">
        <v>61</v>
      </c>
      <c r="F6773" s="88">
        <v>0</v>
      </c>
      <c r="G6773" s="78">
        <f>MAX(H6773,I6773,J6773)</f>
        <v>1</v>
      </c>
      <c r="H6773" s="88"/>
      <c r="I6773" s="88"/>
      <c r="J6773" s="78">
        <f>MAX(K6773:Q6773)</f>
        <v>1</v>
      </c>
      <c r="K6773" s="88">
        <v>1</v>
      </c>
      <c r="L6773" s="88"/>
      <c r="M6773" s="88"/>
      <c r="N6773" s="88"/>
      <c r="O6773" s="88"/>
      <c r="P6773" s="88"/>
      <c r="Q6773" s="88"/>
      <c r="R6773" s="78">
        <f>MAX(S6773:W6773)</f>
        <v>0</v>
      </c>
      <c r="S6773" s="88"/>
      <c r="T6773" s="88"/>
      <c r="U6773" s="88"/>
      <c r="V6773" s="88"/>
      <c r="W6773" s="88"/>
    </row>
    <row r="6774" spans="2:23" s="0" customFormat="0" ht="15">
      <c r="B6774" s="87" t="s">
        <v>1</v>
      </c>
      <c r="C6774" s="88" t="s">
        <v>5259</v>
      </c>
      <c r="D6774" s="88" t="s">
        <v>3754</v>
      </c>
      <c r="E6774" s="88" t="s">
        <v>61</v>
      </c>
      <c r="F6774" s="88">
        <v>0</v>
      </c>
      <c r="G6774" s="78">
        <f>MAX(H6774,I6774,J6774)</f>
        <v>0</v>
      </c>
      <c r="H6774" s="88"/>
      <c r="I6774" s="88"/>
      <c r="J6774" s="78">
        <f>MAX(K6774:Q6774)</f>
        <v>0</v>
      </c>
      <c r="K6774" s="88"/>
      <c r="L6774" s="88"/>
      <c r="M6774" s="88"/>
      <c r="N6774" s="88"/>
      <c r="O6774" s="88"/>
      <c r="P6774" s="88"/>
      <c r="Q6774" s="88"/>
      <c r="R6774" s="78">
        <f>MAX(S6774:W6774)</f>
        <v>1</v>
      </c>
      <c r="S6774" s="88"/>
      <c r="T6774" s="88"/>
      <c r="U6774" s="88">
        <v>1</v>
      </c>
      <c r="V6774" s="88"/>
      <c r="W6774" s="88"/>
    </row>
    <row r="6775" spans="2:23" s="0" customFormat="0" ht="15">
      <c r="B6775" s="87" t="s">
        <v>1</v>
      </c>
      <c r="C6775" s="88" t="s">
        <v>5259</v>
      </c>
      <c r="D6775" s="88" t="s">
        <v>1630</v>
      </c>
      <c r="E6775" s="88" t="s">
        <v>61</v>
      </c>
      <c r="F6775" s="88">
        <v>0</v>
      </c>
      <c r="G6775" s="78">
        <f>MAX(H6775,I6775,J6775)</f>
        <v>1</v>
      </c>
      <c r="H6775" s="88"/>
      <c r="I6775" s="88"/>
      <c r="J6775" s="78">
        <f>MAX(K6775:Q6775)</f>
        <v>1</v>
      </c>
      <c r="K6775" s="88">
        <v>1</v>
      </c>
      <c r="L6775" s="88"/>
      <c r="M6775" s="88"/>
      <c r="N6775" s="88"/>
      <c r="O6775" s="88"/>
      <c r="P6775" s="88"/>
      <c r="Q6775" s="88"/>
      <c r="R6775" s="78">
        <f>MAX(S6775:W6775)</f>
        <v>0</v>
      </c>
      <c r="S6775" s="88"/>
      <c r="T6775" s="88"/>
      <c r="U6775" s="88"/>
      <c r="V6775" s="88"/>
      <c r="W6775" s="88"/>
    </row>
    <row r="6776" spans="2:23" s="0" customFormat="0" ht="15">
      <c r="B6776" s="87" t="s">
        <v>1</v>
      </c>
      <c r="C6776" s="88" t="s">
        <v>5259</v>
      </c>
      <c r="D6776" s="88" t="s">
        <v>3006</v>
      </c>
      <c r="E6776" s="88" t="s">
        <v>61</v>
      </c>
      <c r="F6776" s="88">
        <v>0</v>
      </c>
      <c r="G6776" s="78">
        <f>MAX(H6776,I6776,J6776)</f>
        <v>1</v>
      </c>
      <c r="H6776" s="88"/>
      <c r="I6776" s="88"/>
      <c r="J6776" s="78">
        <f>MAX(K6776:Q6776)</f>
        <v>1</v>
      </c>
      <c r="K6776" s="88">
        <v>1</v>
      </c>
      <c r="L6776" s="88"/>
      <c r="M6776" s="88"/>
      <c r="N6776" s="88"/>
      <c r="O6776" s="88"/>
      <c r="P6776" s="88"/>
      <c r="Q6776" s="88"/>
      <c r="R6776" s="78">
        <f>MAX(S6776:W6776)</f>
        <v>0</v>
      </c>
      <c r="S6776" s="88"/>
      <c r="T6776" s="88"/>
      <c r="U6776" s="88"/>
      <c r="V6776" s="88"/>
      <c r="W6776" s="88"/>
    </row>
    <row r="6777" spans="2:23" s="0" customFormat="0" ht="15">
      <c r="B6777" s="87" t="s">
        <v>1</v>
      </c>
      <c r="C6777" s="88" t="s">
        <v>5259</v>
      </c>
      <c r="D6777" s="88">
        <v>17860440</v>
      </c>
      <c r="E6777" s="88" t="s">
        <v>61</v>
      </c>
      <c r="F6777" s="88">
        <v>0</v>
      </c>
      <c r="G6777" s="78">
        <f>MAX(H6777,I6777,J6777)</f>
        <v>1</v>
      </c>
      <c r="H6777" s="88"/>
      <c r="I6777" s="88"/>
      <c r="J6777" s="78">
        <f>MAX(K6777:Q6777)</f>
        <v>1</v>
      </c>
      <c r="K6777" s="88">
        <v>1</v>
      </c>
      <c r="L6777" s="88"/>
      <c r="M6777" s="88"/>
      <c r="N6777" s="88"/>
      <c r="O6777" s="88"/>
      <c r="P6777" s="88"/>
      <c r="Q6777" s="88"/>
      <c r="R6777" s="78">
        <f>MAX(S6777:W6777)</f>
        <v>0</v>
      </c>
      <c r="S6777" s="88"/>
      <c r="T6777" s="88"/>
      <c r="U6777" s="88"/>
      <c r="V6777" s="88"/>
      <c r="W6777" s="88"/>
    </row>
    <row r="6778" spans="2:23" s="0" customFormat="0" ht="15">
      <c r="B6778" s="87" t="s">
        <v>1</v>
      </c>
      <c r="C6778" s="88" t="s">
        <v>5259</v>
      </c>
      <c r="D6778" s="88">
        <v>18762284</v>
      </c>
      <c r="E6778" s="88" t="s">
        <v>61</v>
      </c>
      <c r="F6778" s="88">
        <v>0</v>
      </c>
      <c r="G6778" s="78">
        <f>MAX(H6778,I6778,J6778)</f>
        <v>1</v>
      </c>
      <c r="H6778" s="88"/>
      <c r="I6778" s="88"/>
      <c r="J6778" s="78">
        <f>MAX(K6778:Q6778)</f>
        <v>1</v>
      </c>
      <c r="K6778" s="88">
        <v>1</v>
      </c>
      <c r="L6778" s="88"/>
      <c r="M6778" s="88"/>
      <c r="N6778" s="88"/>
      <c r="O6778" s="88"/>
      <c r="P6778" s="88"/>
      <c r="Q6778" s="88"/>
      <c r="R6778" s="78">
        <f>MAX(S6778:W6778)</f>
        <v>0</v>
      </c>
      <c r="S6778" s="88"/>
      <c r="T6778" s="88"/>
      <c r="U6778" s="88"/>
      <c r="V6778" s="88"/>
      <c r="W6778" s="88"/>
    </row>
    <row r="6779" spans="2:23" s="0" customFormat="0" ht="15">
      <c r="B6779" s="87" t="s">
        <v>1</v>
      </c>
      <c r="C6779" s="88" t="s">
        <v>5259</v>
      </c>
      <c r="D6779" s="88">
        <v>14559425</v>
      </c>
      <c r="E6779" s="88" t="s">
        <v>61</v>
      </c>
      <c r="F6779" s="88">
        <v>0</v>
      </c>
      <c r="G6779" s="78">
        <f>MAX(H6779,I6779,J6779)</f>
        <v>1</v>
      </c>
      <c r="H6779" s="88"/>
      <c r="I6779" s="88"/>
      <c r="J6779" s="78">
        <f>MAX(K6779:Q6779)</f>
        <v>1</v>
      </c>
      <c r="K6779" s="88">
        <v>1</v>
      </c>
      <c r="L6779" s="88"/>
      <c r="M6779" s="88"/>
      <c r="N6779" s="88"/>
      <c r="O6779" s="88"/>
      <c r="P6779" s="88"/>
      <c r="Q6779" s="88"/>
      <c r="R6779" s="78">
        <f>MAX(S6779:W6779)</f>
        <v>0</v>
      </c>
      <c r="S6779" s="88"/>
      <c r="T6779" s="88"/>
      <c r="U6779" s="88"/>
      <c r="V6779" s="88"/>
      <c r="W6779" s="88"/>
    </row>
    <row r="6780" spans="2:23" s="0" customFormat="0" ht="15">
      <c r="B6780" s="87" t="s">
        <v>1</v>
      </c>
      <c r="C6780" s="88" t="s">
        <v>5259</v>
      </c>
      <c r="D6780" s="88">
        <v>18903817</v>
      </c>
      <c r="E6780" s="88" t="s">
        <v>61</v>
      </c>
      <c r="F6780" s="88">
        <v>0</v>
      </c>
      <c r="G6780" s="78">
        <f>MAX(H6780,I6780,J6780)</f>
        <v>1</v>
      </c>
      <c r="H6780" s="88"/>
      <c r="I6780" s="88"/>
      <c r="J6780" s="78">
        <f>MAX(K6780:Q6780)</f>
        <v>1</v>
      </c>
      <c r="K6780" s="88">
        <v>1</v>
      </c>
      <c r="L6780" s="88"/>
      <c r="M6780" s="88"/>
      <c r="N6780" s="88"/>
      <c r="O6780" s="88"/>
      <c r="P6780" s="88"/>
      <c r="Q6780" s="88"/>
      <c r="R6780" s="78">
        <f>MAX(S6780:W6780)</f>
        <v>0</v>
      </c>
      <c r="S6780" s="88"/>
      <c r="T6780" s="88"/>
      <c r="U6780" s="88"/>
      <c r="V6780" s="88"/>
      <c r="W6780" s="88"/>
    </row>
    <row r="6781" spans="2:23" s="0" customFormat="0" ht="15">
      <c r="B6781" s="87" t="s">
        <v>1</v>
      </c>
      <c r="C6781" s="88" t="s">
        <v>5259</v>
      </c>
      <c r="D6781" s="88">
        <v>20982109</v>
      </c>
      <c r="E6781" s="88" t="s">
        <v>61</v>
      </c>
      <c r="F6781" s="88">
        <v>0</v>
      </c>
      <c r="G6781" s="78">
        <f>MAX(H6781,I6781,J6781)</f>
        <v>1</v>
      </c>
      <c r="H6781" s="88"/>
      <c r="I6781" s="88"/>
      <c r="J6781" s="78">
        <f>MAX(K6781:Q6781)</f>
        <v>1</v>
      </c>
      <c r="K6781" s="88">
        <v>1</v>
      </c>
      <c r="L6781" s="88"/>
      <c r="M6781" s="88"/>
      <c r="N6781" s="88"/>
      <c r="O6781" s="88"/>
      <c r="P6781" s="88"/>
      <c r="Q6781" s="88"/>
      <c r="R6781" s="78">
        <f>MAX(S6781:W6781)</f>
        <v>0</v>
      </c>
      <c r="S6781" s="88"/>
      <c r="T6781" s="88"/>
      <c r="U6781" s="88"/>
      <c r="V6781" s="88"/>
      <c r="W6781" s="88"/>
    </row>
    <row r="6782" spans="2:23" s="0" customFormat="0" ht="15">
      <c r="B6782" s="87" t="s">
        <v>1</v>
      </c>
      <c r="C6782" s="88" t="s">
        <v>5259</v>
      </c>
      <c r="D6782" s="88">
        <v>15839016</v>
      </c>
      <c r="E6782" s="88" t="s">
        <v>61</v>
      </c>
      <c r="F6782" s="88">
        <v>0</v>
      </c>
      <c r="G6782" s="78">
        <f>MAX(H6782,I6782,J6782)</f>
        <v>1</v>
      </c>
      <c r="H6782" s="88"/>
      <c r="I6782" s="88"/>
      <c r="J6782" s="78">
        <f>MAX(K6782:Q6782)</f>
        <v>1</v>
      </c>
      <c r="K6782" s="88">
        <v>1</v>
      </c>
      <c r="L6782" s="88"/>
      <c r="M6782" s="88"/>
      <c r="N6782" s="88"/>
      <c r="O6782" s="88"/>
      <c r="P6782" s="88"/>
      <c r="Q6782" s="88"/>
      <c r="R6782" s="78">
        <f>MAX(S6782:W6782)</f>
        <v>0</v>
      </c>
      <c r="S6782" s="88"/>
      <c r="T6782" s="88"/>
      <c r="U6782" s="88"/>
      <c r="V6782" s="88"/>
      <c r="W6782" s="88"/>
    </row>
    <row r="6783" spans="2:23" s="0" customFormat="0" ht="15">
      <c r="B6783" s="87" t="s">
        <v>1</v>
      </c>
      <c r="C6783" s="88" t="s">
        <v>5259</v>
      </c>
      <c r="D6783" s="88" t="s">
        <v>1851</v>
      </c>
      <c r="E6783" s="88" t="s">
        <v>61</v>
      </c>
      <c r="F6783" s="88">
        <v>0</v>
      </c>
      <c r="G6783" s="78">
        <f>MAX(H6783,I6783,J6783)</f>
        <v>1</v>
      </c>
      <c r="H6783" s="88"/>
      <c r="I6783" s="88"/>
      <c r="J6783" s="78">
        <f>MAX(K6783:Q6783)</f>
        <v>1</v>
      </c>
      <c r="K6783" s="88">
        <v>1</v>
      </c>
      <c r="L6783" s="88"/>
      <c r="M6783" s="88"/>
      <c r="N6783" s="88"/>
      <c r="O6783" s="88"/>
      <c r="P6783" s="88"/>
      <c r="Q6783" s="88"/>
      <c r="R6783" s="78">
        <f>MAX(S6783:W6783)</f>
        <v>0</v>
      </c>
      <c r="S6783" s="88"/>
      <c r="T6783" s="88"/>
      <c r="U6783" s="88"/>
      <c r="V6783" s="88"/>
      <c r="W6783" s="88"/>
    </row>
    <row r="6784" spans="2:23" s="0" customFormat="0" ht="15">
      <c r="B6784" s="87" t="s">
        <v>1</v>
      </c>
      <c r="C6784" s="88" t="s">
        <v>5259</v>
      </c>
      <c r="D6784" s="88" t="s">
        <v>1537</v>
      </c>
      <c r="E6784" s="88" t="s">
        <v>61</v>
      </c>
      <c r="F6784" s="88">
        <v>0</v>
      </c>
      <c r="G6784" s="78">
        <f>MAX(H6784,I6784,J6784)</f>
        <v>1</v>
      </c>
      <c r="H6784" s="88"/>
      <c r="I6784" s="88"/>
      <c r="J6784" s="78">
        <f>MAX(K6784:Q6784)</f>
        <v>1</v>
      </c>
      <c r="K6784" s="88">
        <v>1</v>
      </c>
      <c r="L6784" s="88"/>
      <c r="M6784" s="88"/>
      <c r="N6784" s="88"/>
      <c r="O6784" s="88"/>
      <c r="P6784" s="88"/>
      <c r="Q6784" s="88"/>
      <c r="R6784" s="78">
        <f>MAX(S6784:W6784)</f>
        <v>0</v>
      </c>
      <c r="S6784" s="88"/>
      <c r="T6784" s="88"/>
      <c r="U6784" s="88"/>
      <c r="V6784" s="88"/>
      <c r="W6784" s="88"/>
    </row>
    <row r="6785" spans="2:23" s="0" customFormat="0" ht="15">
      <c r="B6785" s="87" t="s">
        <v>1</v>
      </c>
      <c r="C6785" s="88" t="s">
        <v>5259</v>
      </c>
      <c r="D6785" s="88">
        <v>21883382</v>
      </c>
      <c r="E6785" s="88" t="s">
        <v>61</v>
      </c>
      <c r="F6785" s="88">
        <v>0</v>
      </c>
      <c r="G6785" s="78">
        <f>MAX(H6785,I6785,J6785)</f>
        <v>1</v>
      </c>
      <c r="H6785" s="88"/>
      <c r="I6785" s="88"/>
      <c r="J6785" s="78">
        <f>MAX(K6785:Q6785)</f>
        <v>1</v>
      </c>
      <c r="K6785" s="88">
        <v>1</v>
      </c>
      <c r="L6785" s="88"/>
      <c r="M6785" s="88"/>
      <c r="N6785" s="88"/>
      <c r="O6785" s="88"/>
      <c r="P6785" s="88"/>
      <c r="Q6785" s="88"/>
      <c r="R6785" s="78">
        <f>MAX(S6785:W6785)</f>
        <v>0</v>
      </c>
      <c r="S6785" s="88"/>
      <c r="T6785" s="88"/>
      <c r="U6785" s="88"/>
      <c r="V6785" s="88"/>
      <c r="W6785" s="88"/>
    </row>
    <row r="6786" spans="2:23" s="0" customFormat="0" ht="15">
      <c r="B6786" s="87" t="s">
        <v>1</v>
      </c>
      <c r="C6786" s="88" t="s">
        <v>5259</v>
      </c>
      <c r="D6786" s="88">
        <v>24601963</v>
      </c>
      <c r="E6786" s="88" t="s">
        <v>61</v>
      </c>
      <c r="F6786" s="88">
        <v>0</v>
      </c>
      <c r="G6786" s="78">
        <f>MAX(H6786,I6786,J6786)</f>
        <v>1</v>
      </c>
      <c r="H6786" s="88"/>
      <c r="I6786" s="88"/>
      <c r="J6786" s="78">
        <f>MAX(K6786:Q6786)</f>
        <v>1</v>
      </c>
      <c r="K6786" s="88">
        <v>1</v>
      </c>
      <c r="L6786" s="88"/>
      <c r="M6786" s="88"/>
      <c r="N6786" s="88"/>
      <c r="O6786" s="88"/>
      <c r="P6786" s="88"/>
      <c r="Q6786" s="88"/>
      <c r="R6786" s="78">
        <f>MAX(S6786:W6786)</f>
        <v>0</v>
      </c>
      <c r="S6786" s="88"/>
      <c r="T6786" s="88"/>
      <c r="U6786" s="88"/>
      <c r="V6786" s="88"/>
      <c r="W6786" s="88"/>
    </row>
    <row r="6787" spans="2:23" s="0" customFormat="0" ht="15">
      <c r="B6787" s="87" t="s">
        <v>1</v>
      </c>
      <c r="C6787" s="88" t="s">
        <v>5259</v>
      </c>
      <c r="D6787" s="88">
        <v>21917556</v>
      </c>
      <c r="E6787" s="88" t="s">
        <v>61</v>
      </c>
      <c r="F6787" s="88">
        <v>0</v>
      </c>
      <c r="G6787" s="78">
        <f>MAX(H6787,I6787,J6787)</f>
        <v>1</v>
      </c>
      <c r="H6787" s="88"/>
      <c r="I6787" s="88"/>
      <c r="J6787" s="78">
        <f>MAX(K6787:Q6787)</f>
        <v>1</v>
      </c>
      <c r="K6787" s="88">
        <v>1</v>
      </c>
      <c r="L6787" s="88"/>
      <c r="M6787" s="88"/>
      <c r="N6787" s="88"/>
      <c r="O6787" s="88"/>
      <c r="P6787" s="88"/>
      <c r="Q6787" s="88"/>
      <c r="R6787" s="78">
        <f>MAX(S6787:W6787)</f>
        <v>0</v>
      </c>
      <c r="S6787" s="88"/>
      <c r="T6787" s="88"/>
      <c r="U6787" s="88"/>
      <c r="V6787" s="88"/>
      <c r="W6787" s="88"/>
    </row>
    <row r="6788" spans="2:23" s="0" customFormat="0" ht="15">
      <c r="B6788" s="87" t="s">
        <v>1</v>
      </c>
      <c r="C6788" s="88" t="s">
        <v>5259</v>
      </c>
      <c r="D6788" s="88" t="s">
        <v>4682</v>
      </c>
      <c r="E6788" s="88" t="s">
        <v>61</v>
      </c>
      <c r="F6788" s="88">
        <v>0</v>
      </c>
      <c r="G6788" s="78">
        <f>MAX(H6788,I6788,J6788)</f>
        <v>0</v>
      </c>
      <c r="H6788" s="88"/>
      <c r="I6788" s="88"/>
      <c r="J6788" s="78">
        <f>MAX(K6788:Q6788)</f>
        <v>0</v>
      </c>
      <c r="K6788" s="88"/>
      <c r="L6788" s="88"/>
      <c r="M6788" s="88"/>
      <c r="N6788" s="88"/>
      <c r="O6788" s="88"/>
      <c r="P6788" s="88"/>
      <c r="Q6788" s="88"/>
      <c r="R6788" s="78">
        <f>MAX(S6788:W6788)</f>
        <v>1</v>
      </c>
      <c r="S6788" s="88"/>
      <c r="T6788" s="88"/>
      <c r="U6788" s="88">
        <v>1</v>
      </c>
      <c r="V6788" s="88"/>
      <c r="W6788" s="88"/>
    </row>
    <row r="6789" spans="2:23" s="0" customFormat="0" ht="15">
      <c r="B6789" s="87" t="s">
        <v>1</v>
      </c>
      <c r="C6789" s="88" t="s">
        <v>5259</v>
      </c>
      <c r="D6789" s="88" t="s">
        <v>3014</v>
      </c>
      <c r="E6789" s="88" t="s">
        <v>61</v>
      </c>
      <c r="F6789" s="88">
        <v>0</v>
      </c>
      <c r="G6789" s="78">
        <f>MAX(H6789,I6789,J6789)</f>
        <v>1</v>
      </c>
      <c r="H6789" s="88"/>
      <c r="I6789" s="88"/>
      <c r="J6789" s="78">
        <f>MAX(K6789:Q6789)</f>
        <v>1</v>
      </c>
      <c r="K6789" s="88">
        <v>1</v>
      </c>
      <c r="L6789" s="88"/>
      <c r="M6789" s="88"/>
      <c r="N6789" s="88"/>
      <c r="O6789" s="88"/>
      <c r="P6789" s="88"/>
      <c r="Q6789" s="88"/>
      <c r="R6789" s="78">
        <f>MAX(S6789:W6789)</f>
        <v>0</v>
      </c>
      <c r="S6789" s="88"/>
      <c r="T6789" s="88"/>
      <c r="U6789" s="88"/>
      <c r="V6789" s="88"/>
      <c r="W6789" s="88"/>
    </row>
    <row r="6790" spans="2:23" s="0" customFormat="0" ht="15">
      <c r="B6790" s="87" t="s">
        <v>1</v>
      </c>
      <c r="C6790" s="88" t="s">
        <v>5259</v>
      </c>
      <c r="D6790" s="88" t="s">
        <v>2710</v>
      </c>
      <c r="E6790" s="88" t="s">
        <v>61</v>
      </c>
      <c r="F6790" s="88">
        <v>0</v>
      </c>
      <c r="G6790" s="78">
        <f>MAX(H6790,I6790,J6790)</f>
        <v>1</v>
      </c>
      <c r="H6790" s="88"/>
      <c r="I6790" s="88"/>
      <c r="J6790" s="78">
        <f>MAX(K6790:Q6790)</f>
        <v>1</v>
      </c>
      <c r="K6790" s="88">
        <v>1</v>
      </c>
      <c r="L6790" s="88"/>
      <c r="M6790" s="88"/>
      <c r="N6790" s="88"/>
      <c r="O6790" s="88"/>
      <c r="P6790" s="88"/>
      <c r="Q6790" s="88"/>
      <c r="R6790" s="78">
        <f>MAX(S6790:W6790)</f>
        <v>0</v>
      </c>
      <c r="S6790" s="88"/>
      <c r="T6790" s="88"/>
      <c r="U6790" s="88"/>
      <c r="V6790" s="88"/>
      <c r="W6790" s="88"/>
    </row>
    <row r="6791" spans="2:23" s="0" customFormat="0" ht="15">
      <c r="B6791" s="87" t="s">
        <v>1</v>
      </c>
      <c r="C6791" s="88" t="s">
        <v>5259</v>
      </c>
      <c r="D6791" s="88" t="s">
        <v>4889</v>
      </c>
      <c r="E6791" s="88" t="s">
        <v>61</v>
      </c>
      <c r="F6791" s="88">
        <v>0</v>
      </c>
      <c r="G6791" s="78">
        <f>MAX(H6791,I6791,J6791)</f>
        <v>0</v>
      </c>
      <c r="H6791" s="88"/>
      <c r="I6791" s="88"/>
      <c r="J6791" s="78">
        <f>MAX(K6791:Q6791)</f>
        <v>0</v>
      </c>
      <c r="K6791" s="88"/>
      <c r="L6791" s="88"/>
      <c r="M6791" s="88"/>
      <c r="N6791" s="88"/>
      <c r="O6791" s="88"/>
      <c r="P6791" s="88"/>
      <c r="Q6791" s="88"/>
      <c r="R6791" s="78">
        <f>MAX(S6791:W6791)</f>
        <v>1</v>
      </c>
      <c r="S6791" s="88"/>
      <c r="T6791" s="88"/>
      <c r="U6791" s="88">
        <v>1</v>
      </c>
      <c r="V6791" s="88"/>
      <c r="W6791" s="88"/>
    </row>
    <row r="6792" spans="2:23" s="0" customFormat="0" ht="15">
      <c r="B6792" s="87" t="s">
        <v>1</v>
      </c>
      <c r="C6792" s="88" t="s">
        <v>5259</v>
      </c>
      <c r="D6792" s="88">
        <v>22623661</v>
      </c>
      <c r="E6792" s="88" t="s">
        <v>61</v>
      </c>
      <c r="F6792" s="88">
        <v>0</v>
      </c>
      <c r="G6792" s="78">
        <f>MAX(H6792,I6792,J6792)</f>
        <v>0</v>
      </c>
      <c r="H6792" s="88"/>
      <c r="I6792" s="88"/>
      <c r="J6792" s="78">
        <f>MAX(K6792:Q6792)</f>
        <v>0</v>
      </c>
      <c r="K6792" s="88"/>
      <c r="L6792" s="88"/>
      <c r="M6792" s="88"/>
      <c r="N6792" s="88"/>
      <c r="O6792" s="88"/>
      <c r="P6792" s="88"/>
      <c r="Q6792" s="88"/>
      <c r="R6792" s="78">
        <f>MAX(S6792:W6792)</f>
        <v>1</v>
      </c>
      <c r="S6792" s="88"/>
      <c r="T6792" s="88"/>
      <c r="U6792" s="88">
        <v>1</v>
      </c>
      <c r="V6792" s="88"/>
      <c r="W6792" s="88"/>
    </row>
    <row r="6793" spans="2:23" s="0" customFormat="0" ht="15">
      <c r="B6793" s="87" t="s">
        <v>1</v>
      </c>
      <c r="C6793" s="88" t="s">
        <v>5259</v>
      </c>
      <c r="D6793" s="88" t="s">
        <v>1838</v>
      </c>
      <c r="E6793" s="88" t="s">
        <v>61</v>
      </c>
      <c r="F6793" s="88">
        <v>0</v>
      </c>
      <c r="G6793" s="78">
        <f>MAX(H6793,I6793,J6793)</f>
        <v>1</v>
      </c>
      <c r="H6793" s="88"/>
      <c r="I6793" s="88"/>
      <c r="J6793" s="78">
        <f>MAX(K6793:Q6793)</f>
        <v>1</v>
      </c>
      <c r="K6793" s="88">
        <v>1</v>
      </c>
      <c r="L6793" s="88"/>
      <c r="M6793" s="88"/>
      <c r="N6793" s="88"/>
      <c r="O6793" s="88"/>
      <c r="P6793" s="88"/>
      <c r="Q6793" s="88"/>
      <c r="R6793" s="78">
        <f>MAX(S6793:W6793)</f>
        <v>0</v>
      </c>
      <c r="S6793" s="88"/>
      <c r="T6793" s="88"/>
      <c r="U6793" s="88"/>
      <c r="V6793" s="88"/>
      <c r="W6793" s="88"/>
    </row>
    <row r="6794" spans="2:23" s="0" customFormat="0" ht="15">
      <c r="B6794" s="87" t="s">
        <v>1</v>
      </c>
      <c r="C6794" s="88" t="s">
        <v>5259</v>
      </c>
      <c r="D6794" s="88" t="s">
        <v>2795</v>
      </c>
      <c r="E6794" s="88" t="s">
        <v>61</v>
      </c>
      <c r="F6794" s="88">
        <v>0</v>
      </c>
      <c r="G6794" s="78">
        <f>MAX(H6794,I6794,J6794)</f>
        <v>1</v>
      </c>
      <c r="H6794" s="88"/>
      <c r="I6794" s="88"/>
      <c r="J6794" s="78">
        <f>MAX(K6794:Q6794)</f>
        <v>1</v>
      </c>
      <c r="K6794" s="88">
        <v>1</v>
      </c>
      <c r="L6794" s="88"/>
      <c r="M6794" s="88"/>
      <c r="N6794" s="88"/>
      <c r="O6794" s="88"/>
      <c r="P6794" s="88"/>
      <c r="Q6794" s="88"/>
      <c r="R6794" s="78">
        <f>MAX(S6794:W6794)</f>
        <v>0</v>
      </c>
      <c r="S6794" s="88"/>
      <c r="T6794" s="88"/>
      <c r="U6794" s="88"/>
      <c r="V6794" s="88"/>
      <c r="W6794" s="88"/>
    </row>
    <row r="6795" spans="2:23" s="0" customFormat="0" ht="15">
      <c r="B6795" s="87" t="s">
        <v>1</v>
      </c>
      <c r="C6795" s="88" t="s">
        <v>5259</v>
      </c>
      <c r="D6795" s="88">
        <v>24359496</v>
      </c>
      <c r="E6795" s="88" t="s">
        <v>61</v>
      </c>
      <c r="F6795" s="88">
        <v>0</v>
      </c>
      <c r="G6795" s="78">
        <f>MAX(H6795,I6795,J6795)</f>
        <v>1</v>
      </c>
      <c r="H6795" s="88"/>
      <c r="I6795" s="88"/>
      <c r="J6795" s="78">
        <f>MAX(K6795:Q6795)</f>
        <v>1</v>
      </c>
      <c r="K6795" s="88"/>
      <c r="L6795" s="88"/>
      <c r="M6795" s="88">
        <v>1</v>
      </c>
      <c r="N6795" s="88"/>
      <c r="O6795" s="88"/>
      <c r="P6795" s="88"/>
      <c r="Q6795" s="88"/>
      <c r="R6795" s="78">
        <f>MAX(S6795:W6795)</f>
        <v>0</v>
      </c>
      <c r="S6795" s="88"/>
      <c r="T6795" s="88"/>
      <c r="U6795" s="88"/>
      <c r="V6795" s="88"/>
      <c r="W6795" s="88"/>
    </row>
    <row r="6796" spans="2:23" s="0" customFormat="0" ht="15">
      <c r="B6796" s="87" t="s">
        <v>1</v>
      </c>
      <c r="C6796" s="88" t="s">
        <v>5259</v>
      </c>
      <c r="D6796" s="88">
        <v>7529282</v>
      </c>
      <c r="E6796" s="88" t="s">
        <v>61</v>
      </c>
      <c r="F6796" s="88">
        <v>0</v>
      </c>
      <c r="G6796" s="78">
        <f>MAX(H6796,I6796,J6796)</f>
        <v>1</v>
      </c>
      <c r="H6796" s="88"/>
      <c r="I6796" s="88"/>
      <c r="J6796" s="78">
        <f>MAX(K6796:Q6796)</f>
        <v>1</v>
      </c>
      <c r="K6796" s="88">
        <v>1</v>
      </c>
      <c r="L6796" s="88"/>
      <c r="M6796" s="88"/>
      <c r="N6796" s="88"/>
      <c r="O6796" s="88"/>
      <c r="P6796" s="88"/>
      <c r="Q6796" s="88"/>
      <c r="R6796" s="78">
        <f>MAX(S6796:W6796)</f>
        <v>0</v>
      </c>
      <c r="S6796" s="88"/>
      <c r="T6796" s="88"/>
      <c r="U6796" s="88"/>
      <c r="V6796" s="88"/>
      <c r="W6796" s="88"/>
    </row>
    <row r="6797" spans="2:23" s="0" customFormat="0" ht="15">
      <c r="B6797" s="87" t="s">
        <v>1</v>
      </c>
      <c r="C6797" s="88" t="s">
        <v>5259</v>
      </c>
      <c r="D6797" s="88" t="s">
        <v>1819</v>
      </c>
      <c r="E6797" s="88" t="s">
        <v>61</v>
      </c>
      <c r="F6797" s="88">
        <v>0</v>
      </c>
      <c r="G6797" s="78">
        <f>MAX(H6797,I6797,J6797)</f>
        <v>1</v>
      </c>
      <c r="H6797" s="88"/>
      <c r="I6797" s="88"/>
      <c r="J6797" s="78">
        <f>MAX(K6797:Q6797)</f>
        <v>1</v>
      </c>
      <c r="K6797" s="88">
        <v>1</v>
      </c>
      <c r="L6797" s="88"/>
      <c r="M6797" s="88"/>
      <c r="N6797" s="88"/>
      <c r="O6797" s="88"/>
      <c r="P6797" s="88"/>
      <c r="Q6797" s="88"/>
      <c r="R6797" s="78">
        <f>MAX(S6797:W6797)</f>
        <v>0</v>
      </c>
      <c r="S6797" s="88"/>
      <c r="T6797" s="88"/>
      <c r="U6797" s="88"/>
      <c r="V6797" s="88"/>
      <c r="W6797" s="88"/>
    </row>
    <row r="6798" spans="2:23" s="0" customFormat="0" ht="15">
      <c r="B6798" s="87" t="s">
        <v>1</v>
      </c>
      <c r="C6798" s="88" t="s">
        <v>5259</v>
      </c>
      <c r="D6798" s="88">
        <v>15419814</v>
      </c>
      <c r="E6798" s="88" t="s">
        <v>61</v>
      </c>
      <c r="F6798" s="88">
        <v>0</v>
      </c>
      <c r="G6798" s="78">
        <f>MAX(H6798,I6798,J6798)</f>
        <v>1</v>
      </c>
      <c r="H6798" s="88"/>
      <c r="I6798" s="88"/>
      <c r="J6798" s="78">
        <f>MAX(K6798:Q6798)</f>
        <v>1</v>
      </c>
      <c r="K6798" s="88">
        <v>1</v>
      </c>
      <c r="L6798" s="88"/>
      <c r="M6798" s="88"/>
      <c r="N6798" s="88"/>
      <c r="O6798" s="88"/>
      <c r="P6798" s="88"/>
      <c r="Q6798" s="88"/>
      <c r="R6798" s="78">
        <f>MAX(S6798:W6798)</f>
        <v>0</v>
      </c>
      <c r="S6798" s="88"/>
      <c r="T6798" s="88"/>
      <c r="U6798" s="88"/>
      <c r="V6798" s="88"/>
      <c r="W6798" s="88"/>
    </row>
    <row r="6799" spans="2:23" s="0" customFormat="0" ht="15">
      <c r="B6799" s="87" t="s">
        <v>1</v>
      </c>
      <c r="C6799" s="88" t="s">
        <v>5259</v>
      </c>
      <c r="D6799" s="88">
        <v>22623662</v>
      </c>
      <c r="E6799" s="88" t="s">
        <v>61</v>
      </c>
      <c r="F6799" s="88">
        <v>0</v>
      </c>
      <c r="G6799" s="78">
        <f>MAX(H6799,I6799,J6799)</f>
        <v>0</v>
      </c>
      <c r="H6799" s="88"/>
      <c r="I6799" s="88"/>
      <c r="J6799" s="78">
        <f>MAX(K6799:Q6799)</f>
        <v>0</v>
      </c>
      <c r="K6799" s="88"/>
      <c r="L6799" s="88"/>
      <c r="M6799" s="88"/>
      <c r="N6799" s="88"/>
      <c r="O6799" s="88"/>
      <c r="P6799" s="88"/>
      <c r="Q6799" s="88"/>
      <c r="R6799" s="78">
        <f>MAX(S6799:W6799)</f>
        <v>1</v>
      </c>
      <c r="S6799" s="88"/>
      <c r="T6799" s="88"/>
      <c r="U6799" s="88">
        <v>1</v>
      </c>
      <c r="V6799" s="88"/>
      <c r="W6799" s="88"/>
    </row>
    <row r="6800" spans="2:23" s="0" customFormat="0" ht="15">
      <c r="B6800" s="87" t="s">
        <v>1</v>
      </c>
      <c r="C6800" s="88" t="s">
        <v>5259</v>
      </c>
      <c r="D6800" s="88">
        <v>7065942</v>
      </c>
      <c r="E6800" s="88" t="s">
        <v>61</v>
      </c>
      <c r="F6800" s="88">
        <v>0</v>
      </c>
      <c r="G6800" s="78">
        <f>MAX(H6800,I6800,J6800)</f>
        <v>0</v>
      </c>
      <c r="H6800" s="88"/>
      <c r="I6800" s="88"/>
      <c r="J6800" s="78">
        <f>MAX(K6800:Q6800)</f>
        <v>0</v>
      </c>
      <c r="K6800" s="88"/>
      <c r="L6800" s="88"/>
      <c r="M6800" s="88"/>
      <c r="N6800" s="88"/>
      <c r="O6800" s="88"/>
      <c r="P6800" s="88"/>
      <c r="Q6800" s="88"/>
      <c r="R6800" s="78">
        <f>MAX(S6800:W6800)</f>
        <v>1</v>
      </c>
      <c r="S6800" s="88"/>
      <c r="T6800" s="88"/>
      <c r="U6800" s="88">
        <v>1</v>
      </c>
      <c r="V6800" s="88"/>
      <c r="W6800" s="88"/>
    </row>
    <row r="6801" spans="2:23" s="0" customFormat="0" ht="15">
      <c r="B6801" s="87" t="s">
        <v>1</v>
      </c>
      <c r="C6801" s="88" t="s">
        <v>5259</v>
      </c>
      <c r="D6801" s="88">
        <v>12942097</v>
      </c>
      <c r="E6801" s="88" t="s">
        <v>61</v>
      </c>
      <c r="F6801" s="88">
        <v>0</v>
      </c>
      <c r="G6801" s="78">
        <f>MAX(H6801,I6801,J6801)</f>
        <v>1</v>
      </c>
      <c r="H6801" s="88"/>
      <c r="I6801" s="88"/>
      <c r="J6801" s="78">
        <f>MAX(K6801:Q6801)</f>
        <v>1</v>
      </c>
      <c r="K6801" s="88">
        <v>1</v>
      </c>
      <c r="L6801" s="88"/>
      <c r="M6801" s="88"/>
      <c r="N6801" s="88"/>
      <c r="O6801" s="88"/>
      <c r="P6801" s="88"/>
      <c r="Q6801" s="88"/>
      <c r="R6801" s="78">
        <f>MAX(S6801:W6801)</f>
        <v>0</v>
      </c>
      <c r="S6801" s="88"/>
      <c r="T6801" s="88"/>
      <c r="U6801" s="88"/>
      <c r="V6801" s="88"/>
      <c r="W6801" s="88"/>
    </row>
    <row r="6802" spans="2:23" s="0" customFormat="0" ht="15">
      <c r="B6802" s="87" t="s">
        <v>1</v>
      </c>
      <c r="C6802" s="88" t="s">
        <v>5259</v>
      </c>
      <c r="D6802" s="88">
        <v>22896289</v>
      </c>
      <c r="E6802" s="88" t="s">
        <v>61</v>
      </c>
      <c r="F6802" s="88">
        <v>0</v>
      </c>
      <c r="G6802" s="78">
        <f>MAX(H6802,I6802,J6802)</f>
        <v>1</v>
      </c>
      <c r="H6802" s="88"/>
      <c r="I6802" s="88"/>
      <c r="J6802" s="78">
        <f>MAX(K6802:Q6802)</f>
        <v>1</v>
      </c>
      <c r="K6802" s="88">
        <v>1</v>
      </c>
      <c r="L6802" s="88"/>
      <c r="M6802" s="88"/>
      <c r="N6802" s="88"/>
      <c r="O6802" s="88"/>
      <c r="P6802" s="88"/>
      <c r="Q6802" s="88"/>
      <c r="R6802" s="78">
        <f>MAX(S6802:W6802)</f>
        <v>0</v>
      </c>
      <c r="S6802" s="88"/>
      <c r="T6802" s="88"/>
      <c r="U6802" s="88"/>
      <c r="V6802" s="88"/>
      <c r="W6802" s="88"/>
    </row>
    <row r="6803" spans="2:23" s="0" customFormat="0" ht="15">
      <c r="B6803" s="87" t="s">
        <v>1</v>
      </c>
      <c r="C6803" s="88" t="s">
        <v>5259</v>
      </c>
      <c r="D6803" s="88" t="s">
        <v>2972</v>
      </c>
      <c r="E6803" s="88" t="s">
        <v>61</v>
      </c>
      <c r="F6803" s="88">
        <v>0</v>
      </c>
      <c r="G6803" s="78">
        <f>MAX(H6803,I6803,J6803)</f>
        <v>1</v>
      </c>
      <c r="H6803" s="88"/>
      <c r="I6803" s="88"/>
      <c r="J6803" s="78">
        <f>MAX(K6803:Q6803)</f>
        <v>1</v>
      </c>
      <c r="K6803" s="88">
        <v>1</v>
      </c>
      <c r="L6803" s="88"/>
      <c r="M6803" s="88"/>
      <c r="N6803" s="88"/>
      <c r="O6803" s="88"/>
      <c r="P6803" s="88"/>
      <c r="Q6803" s="88"/>
      <c r="R6803" s="78">
        <f>MAX(S6803:W6803)</f>
        <v>0</v>
      </c>
      <c r="S6803" s="88"/>
      <c r="T6803" s="88"/>
      <c r="U6803" s="88"/>
      <c r="V6803" s="88"/>
      <c r="W6803" s="88"/>
    </row>
    <row r="6804" spans="2:23" s="0" customFormat="0" ht="15">
      <c r="B6804" s="87" t="s">
        <v>1</v>
      </c>
      <c r="C6804" s="88" t="s">
        <v>5259</v>
      </c>
      <c r="D6804" s="88" t="s">
        <v>5209</v>
      </c>
      <c r="E6804" s="88" t="s">
        <v>61</v>
      </c>
      <c r="F6804" s="88">
        <v>0</v>
      </c>
      <c r="G6804" s="78">
        <f>MAX(H6804,I6804,J6804)</f>
        <v>0</v>
      </c>
      <c r="H6804" s="88"/>
      <c r="I6804" s="88"/>
      <c r="J6804" s="78">
        <f>MAX(K6804:Q6804)</f>
        <v>0</v>
      </c>
      <c r="K6804" s="88"/>
      <c r="L6804" s="88"/>
      <c r="M6804" s="88"/>
      <c r="N6804" s="88"/>
      <c r="O6804" s="88"/>
      <c r="P6804" s="88"/>
      <c r="Q6804" s="88"/>
      <c r="R6804" s="78">
        <f>MAX(S6804:W6804)</f>
        <v>1</v>
      </c>
      <c r="S6804" s="88"/>
      <c r="T6804" s="88"/>
      <c r="U6804" s="88">
        <v>1</v>
      </c>
      <c r="V6804" s="88"/>
      <c r="W6804" s="88"/>
    </row>
    <row r="6805" spans="2:23" s="0" customFormat="0" ht="15">
      <c r="B6805" s="87" t="s">
        <v>1</v>
      </c>
      <c r="C6805" s="88" t="s">
        <v>5259</v>
      </c>
      <c r="D6805" s="88" t="s">
        <v>3235</v>
      </c>
      <c r="E6805" s="88" t="s">
        <v>61</v>
      </c>
      <c r="F6805" s="88">
        <v>0</v>
      </c>
      <c r="G6805" s="78">
        <f>MAX(H6805,I6805,J6805)</f>
        <v>0</v>
      </c>
      <c r="H6805" s="88"/>
      <c r="I6805" s="88"/>
      <c r="J6805" s="78">
        <f>MAX(K6805:Q6805)</f>
        <v>0</v>
      </c>
      <c r="K6805" s="88"/>
      <c r="L6805" s="88"/>
      <c r="M6805" s="88"/>
      <c r="N6805" s="88"/>
      <c r="O6805" s="88"/>
      <c r="P6805" s="88"/>
      <c r="Q6805" s="88"/>
      <c r="R6805" s="78">
        <f>MAX(S6805:W6805)</f>
        <v>1</v>
      </c>
      <c r="S6805" s="88"/>
      <c r="T6805" s="88"/>
      <c r="U6805" s="88"/>
      <c r="V6805" s="88">
        <v>1</v>
      </c>
      <c r="W6805" s="88"/>
    </row>
    <row r="6806" spans="2:23" s="0" customFormat="0" ht="15">
      <c r="B6806" s="87" t="s">
        <v>1</v>
      </c>
      <c r="C6806" s="88" t="s">
        <v>5259</v>
      </c>
      <c r="D6806" s="88" t="s">
        <v>2614</v>
      </c>
      <c r="E6806" s="88" t="s">
        <v>61</v>
      </c>
      <c r="F6806" s="88">
        <v>0</v>
      </c>
      <c r="G6806" s="78">
        <f>MAX(H6806,I6806,J6806)</f>
        <v>1</v>
      </c>
      <c r="H6806" s="88"/>
      <c r="I6806" s="88"/>
      <c r="J6806" s="78">
        <f>MAX(K6806:Q6806)</f>
        <v>1</v>
      </c>
      <c r="K6806" s="88">
        <v>1</v>
      </c>
      <c r="L6806" s="88"/>
      <c r="M6806" s="88"/>
      <c r="N6806" s="88"/>
      <c r="O6806" s="88"/>
      <c r="P6806" s="88"/>
      <c r="Q6806" s="88"/>
      <c r="R6806" s="78">
        <f>MAX(S6806:W6806)</f>
        <v>0</v>
      </c>
      <c r="S6806" s="88"/>
      <c r="T6806" s="88"/>
      <c r="U6806" s="88"/>
      <c r="V6806" s="88"/>
      <c r="W6806" s="88"/>
    </row>
    <row r="6807" spans="2:23" s="0" customFormat="0" ht="15">
      <c r="B6807" s="87" t="s">
        <v>1</v>
      </c>
      <c r="C6807" s="88" t="s">
        <v>5259</v>
      </c>
      <c r="D6807" s="88" t="s">
        <v>1462</v>
      </c>
      <c r="E6807" s="88" t="s">
        <v>61</v>
      </c>
      <c r="F6807" s="88">
        <v>0</v>
      </c>
      <c r="G6807" s="78">
        <f>MAX(H6807,I6807,J6807)</f>
        <v>1</v>
      </c>
      <c r="H6807" s="88"/>
      <c r="I6807" s="88"/>
      <c r="J6807" s="78">
        <f>MAX(K6807:Q6807)</f>
        <v>1</v>
      </c>
      <c r="K6807" s="88">
        <v>1</v>
      </c>
      <c r="L6807" s="88"/>
      <c r="M6807" s="88"/>
      <c r="N6807" s="88"/>
      <c r="O6807" s="88"/>
      <c r="P6807" s="88"/>
      <c r="Q6807" s="88"/>
      <c r="R6807" s="78">
        <f>MAX(S6807:W6807)</f>
        <v>0</v>
      </c>
      <c r="S6807" s="88"/>
      <c r="T6807" s="88"/>
      <c r="U6807" s="88"/>
      <c r="V6807" s="88"/>
      <c r="W6807" s="88"/>
    </row>
    <row r="6808" spans="2:23" s="0" customFormat="0" ht="15">
      <c r="B6808" s="87" t="s">
        <v>1</v>
      </c>
      <c r="C6808" s="88" t="s">
        <v>5259</v>
      </c>
      <c r="D6808" s="88" t="s">
        <v>3311</v>
      </c>
      <c r="E6808" s="88" t="s">
        <v>61</v>
      </c>
      <c r="F6808" s="88">
        <v>0</v>
      </c>
      <c r="G6808" s="78">
        <f>MAX(H6808,I6808,J6808)</f>
        <v>0</v>
      </c>
      <c r="H6808" s="88"/>
      <c r="I6808" s="88"/>
      <c r="J6808" s="78">
        <f>MAX(K6808:Q6808)</f>
        <v>0</v>
      </c>
      <c r="K6808" s="88"/>
      <c r="L6808" s="88"/>
      <c r="M6808" s="88"/>
      <c r="N6808" s="88"/>
      <c r="O6808" s="88"/>
      <c r="P6808" s="88"/>
      <c r="Q6808" s="88"/>
      <c r="R6808" s="78">
        <f>MAX(S6808:W6808)</f>
        <v>1</v>
      </c>
      <c r="S6808" s="88"/>
      <c r="T6808" s="88"/>
      <c r="U6808" s="88">
        <v>1</v>
      </c>
      <c r="V6808" s="88"/>
      <c r="W6808" s="88"/>
    </row>
    <row r="6809" spans="2:23" s="0" customFormat="0" ht="15">
      <c r="B6809" s="87" t="s">
        <v>1</v>
      </c>
      <c r="C6809" s="88" t="s">
        <v>5259</v>
      </c>
      <c r="D6809" s="88">
        <v>19215090</v>
      </c>
      <c r="E6809" s="88" t="s">
        <v>61</v>
      </c>
      <c r="F6809" s="88">
        <v>0</v>
      </c>
      <c r="G6809" s="78">
        <f>MAX(H6809,I6809,J6809)</f>
        <v>1</v>
      </c>
      <c r="H6809" s="88"/>
      <c r="I6809" s="88"/>
      <c r="J6809" s="78">
        <f>MAX(K6809:Q6809)</f>
        <v>1</v>
      </c>
      <c r="K6809" s="88">
        <v>1</v>
      </c>
      <c r="L6809" s="88"/>
      <c r="M6809" s="88"/>
      <c r="N6809" s="88"/>
      <c r="O6809" s="88"/>
      <c r="P6809" s="88"/>
      <c r="Q6809" s="88"/>
      <c r="R6809" s="78">
        <f>MAX(S6809:W6809)</f>
        <v>0</v>
      </c>
      <c r="S6809" s="88"/>
      <c r="T6809" s="88"/>
      <c r="U6809" s="88"/>
      <c r="V6809" s="88"/>
      <c r="W6809" s="88"/>
    </row>
    <row r="6810" spans="2:23" s="0" customFormat="0" ht="15">
      <c r="B6810" s="87" t="s">
        <v>1</v>
      </c>
      <c r="C6810" s="88" t="s">
        <v>5259</v>
      </c>
      <c r="D6810" s="88">
        <v>5149490</v>
      </c>
      <c r="E6810" s="88" t="s">
        <v>61</v>
      </c>
      <c r="F6810" s="88">
        <v>0</v>
      </c>
      <c r="G6810" s="78">
        <f>MAX(H6810,I6810,J6810)</f>
        <v>1</v>
      </c>
      <c r="H6810" s="88"/>
      <c r="I6810" s="88"/>
      <c r="J6810" s="78">
        <f>MAX(K6810:Q6810)</f>
        <v>1</v>
      </c>
      <c r="K6810" s="88">
        <v>1</v>
      </c>
      <c r="L6810" s="88"/>
      <c r="M6810" s="88"/>
      <c r="N6810" s="88"/>
      <c r="O6810" s="88"/>
      <c r="P6810" s="88"/>
      <c r="Q6810" s="88"/>
      <c r="R6810" s="78">
        <f>MAX(S6810:W6810)</f>
        <v>0</v>
      </c>
      <c r="S6810" s="88"/>
      <c r="T6810" s="88"/>
      <c r="U6810" s="88"/>
      <c r="V6810" s="88"/>
      <c r="W6810" s="88"/>
    </row>
    <row r="6811" spans="2:23" s="0" customFormat="0" ht="15">
      <c r="B6811" s="87" t="s">
        <v>1</v>
      </c>
      <c r="C6811" s="88" t="s">
        <v>5259</v>
      </c>
      <c r="D6811" s="88" t="s">
        <v>5183</v>
      </c>
      <c r="E6811" s="88" t="s">
        <v>61</v>
      </c>
      <c r="F6811" s="88">
        <v>0</v>
      </c>
      <c r="G6811" s="78">
        <f>MAX(H6811,I6811,J6811)</f>
        <v>0</v>
      </c>
      <c r="H6811" s="88"/>
      <c r="I6811" s="88"/>
      <c r="J6811" s="78">
        <f>MAX(K6811:Q6811)</f>
        <v>0</v>
      </c>
      <c r="K6811" s="88"/>
      <c r="L6811" s="88"/>
      <c r="M6811" s="88"/>
      <c r="N6811" s="88"/>
      <c r="O6811" s="88"/>
      <c r="P6811" s="88"/>
      <c r="Q6811" s="88"/>
      <c r="R6811" s="78">
        <f>MAX(S6811:W6811)</f>
        <v>1</v>
      </c>
      <c r="S6811" s="88"/>
      <c r="T6811" s="88"/>
      <c r="U6811" s="88">
        <v>1</v>
      </c>
      <c r="V6811" s="88"/>
      <c r="W6811" s="88"/>
    </row>
    <row r="6812" spans="2:23" s="0" customFormat="0" ht="15">
      <c r="B6812" s="87" t="s">
        <v>1</v>
      </c>
      <c r="C6812" s="88" t="s">
        <v>5259</v>
      </c>
      <c r="D6812" s="88">
        <v>22857475</v>
      </c>
      <c r="E6812" s="88" t="s">
        <v>61</v>
      </c>
      <c r="F6812" s="88">
        <v>0</v>
      </c>
      <c r="G6812" s="78">
        <f>MAX(H6812,I6812,J6812)</f>
        <v>1</v>
      </c>
      <c r="H6812" s="88"/>
      <c r="I6812" s="88"/>
      <c r="J6812" s="78">
        <f>MAX(K6812:Q6812)</f>
        <v>1</v>
      </c>
      <c r="K6812" s="88"/>
      <c r="L6812" s="88"/>
      <c r="M6812" s="88"/>
      <c r="N6812" s="88"/>
      <c r="O6812" s="88">
        <v>1</v>
      </c>
      <c r="P6812" s="88"/>
      <c r="Q6812" s="88"/>
      <c r="R6812" s="78">
        <f>MAX(S6812:W6812)</f>
        <v>0</v>
      </c>
      <c r="S6812" s="88"/>
      <c r="T6812" s="88"/>
      <c r="U6812" s="88"/>
      <c r="V6812" s="88"/>
      <c r="W6812" s="88"/>
    </row>
    <row r="6813" spans="2:23" s="0" customFormat="0" ht="15">
      <c r="B6813" s="87" t="s">
        <v>1</v>
      </c>
      <c r="C6813" s="88" t="s">
        <v>5259</v>
      </c>
      <c r="D6813" s="88">
        <v>22554249</v>
      </c>
      <c r="E6813" s="88" t="s">
        <v>61</v>
      </c>
      <c r="F6813" s="88">
        <v>0</v>
      </c>
      <c r="G6813" s="78">
        <f>MAX(H6813,I6813,J6813)</f>
        <v>0</v>
      </c>
      <c r="H6813" s="88"/>
      <c r="I6813" s="88"/>
      <c r="J6813" s="78">
        <f>MAX(K6813:Q6813)</f>
        <v>0</v>
      </c>
      <c r="K6813" s="88"/>
      <c r="L6813" s="88"/>
      <c r="M6813" s="88"/>
      <c r="N6813" s="88"/>
      <c r="O6813" s="88"/>
      <c r="P6813" s="88"/>
      <c r="Q6813" s="88"/>
      <c r="R6813" s="78">
        <f>MAX(S6813:W6813)</f>
        <v>1</v>
      </c>
      <c r="S6813" s="88"/>
      <c r="T6813" s="88"/>
      <c r="U6813" s="88">
        <v>1</v>
      </c>
      <c r="V6813" s="88"/>
      <c r="W6813" s="88"/>
    </row>
    <row r="6814" spans="2:23" s="0" customFormat="0" ht="15">
      <c r="B6814" s="87" t="s">
        <v>1</v>
      </c>
      <c r="C6814" s="88" t="s">
        <v>5259</v>
      </c>
      <c r="D6814" s="88" t="s">
        <v>4946</v>
      </c>
      <c r="E6814" s="88" t="s">
        <v>61</v>
      </c>
      <c r="F6814" s="88">
        <v>0</v>
      </c>
      <c r="G6814" s="78">
        <f>MAX(H6814,I6814,J6814)</f>
        <v>0</v>
      </c>
      <c r="H6814" s="88"/>
      <c r="I6814" s="88"/>
      <c r="J6814" s="78">
        <f>MAX(K6814:Q6814)</f>
        <v>0</v>
      </c>
      <c r="K6814" s="88"/>
      <c r="L6814" s="88"/>
      <c r="M6814" s="88"/>
      <c r="N6814" s="88"/>
      <c r="O6814" s="88"/>
      <c r="P6814" s="88"/>
      <c r="Q6814" s="88"/>
      <c r="R6814" s="78">
        <f>MAX(S6814:W6814)</f>
        <v>1</v>
      </c>
      <c r="S6814" s="88"/>
      <c r="T6814" s="88"/>
      <c r="U6814" s="88">
        <v>1</v>
      </c>
      <c r="V6814" s="88"/>
      <c r="W6814" s="88"/>
    </row>
    <row r="6815" spans="2:23" s="0" customFormat="0" ht="15">
      <c r="B6815" s="87" t="s">
        <v>1</v>
      </c>
      <c r="C6815" s="88" t="s">
        <v>5259</v>
      </c>
      <c r="D6815" s="88" t="s">
        <v>4658</v>
      </c>
      <c r="E6815" s="88" t="s">
        <v>61</v>
      </c>
      <c r="F6815" s="88">
        <v>0</v>
      </c>
      <c r="G6815" s="78">
        <f>MAX(H6815,I6815,J6815)</f>
        <v>0</v>
      </c>
      <c r="H6815" s="88"/>
      <c r="I6815" s="88"/>
      <c r="J6815" s="78">
        <f>MAX(K6815:Q6815)</f>
        <v>0</v>
      </c>
      <c r="K6815" s="88"/>
      <c r="L6815" s="88"/>
      <c r="M6815" s="88"/>
      <c r="N6815" s="88"/>
      <c r="O6815" s="88"/>
      <c r="P6815" s="88"/>
      <c r="Q6815" s="88"/>
      <c r="R6815" s="78">
        <f>MAX(S6815:W6815)</f>
        <v>1</v>
      </c>
      <c r="S6815" s="88"/>
      <c r="T6815" s="88"/>
      <c r="U6815" s="88">
        <v>1</v>
      </c>
      <c r="V6815" s="88"/>
      <c r="W6815" s="88"/>
    </row>
    <row r="6816" spans="2:23" s="0" customFormat="0" ht="15">
      <c r="B6816" s="87" t="s">
        <v>1</v>
      </c>
      <c r="C6816" s="88" t="s">
        <v>5259</v>
      </c>
      <c r="D6816" s="88">
        <v>24674941</v>
      </c>
      <c r="E6816" s="88" t="s">
        <v>61</v>
      </c>
      <c r="F6816" s="88">
        <v>0</v>
      </c>
      <c r="G6816" s="78">
        <f>MAX(H6816,I6816,J6816)</f>
        <v>1</v>
      </c>
      <c r="H6816" s="88"/>
      <c r="I6816" s="88"/>
      <c r="J6816" s="78">
        <f>MAX(K6816:Q6816)</f>
        <v>1</v>
      </c>
      <c r="K6816" s="88"/>
      <c r="L6816" s="88"/>
      <c r="M6816" s="88">
        <v>1</v>
      </c>
      <c r="N6816" s="88"/>
      <c r="O6816" s="88"/>
      <c r="P6816" s="88"/>
      <c r="Q6816" s="88"/>
      <c r="R6816" s="78">
        <f>MAX(S6816:W6816)</f>
        <v>0</v>
      </c>
      <c r="S6816" s="88"/>
      <c r="T6816" s="88"/>
      <c r="U6816" s="88"/>
      <c r="V6816" s="88"/>
      <c r="W6816" s="88"/>
    </row>
    <row r="6817" spans="2:23" s="0" customFormat="0" ht="15">
      <c r="B6817" s="87" t="s">
        <v>1</v>
      </c>
      <c r="C6817" s="88" t="s">
        <v>5259</v>
      </c>
      <c r="D6817" s="88">
        <v>15861122</v>
      </c>
      <c r="E6817" s="88" t="s">
        <v>61</v>
      </c>
      <c r="F6817" s="88">
        <v>0</v>
      </c>
      <c r="G6817" s="78">
        <f>MAX(H6817,I6817,J6817)</f>
        <v>1</v>
      </c>
      <c r="H6817" s="88"/>
      <c r="I6817" s="88"/>
      <c r="J6817" s="78">
        <f>MAX(K6817:Q6817)</f>
        <v>1</v>
      </c>
      <c r="K6817" s="88">
        <v>1</v>
      </c>
      <c r="L6817" s="88"/>
      <c r="M6817" s="88"/>
      <c r="N6817" s="88"/>
      <c r="O6817" s="88"/>
      <c r="P6817" s="88"/>
      <c r="Q6817" s="88"/>
      <c r="R6817" s="78">
        <f>MAX(S6817:W6817)</f>
        <v>0</v>
      </c>
      <c r="S6817" s="88"/>
      <c r="T6817" s="88"/>
      <c r="U6817" s="88"/>
      <c r="V6817" s="88"/>
      <c r="W6817" s="88"/>
    </row>
    <row r="6818" spans="2:23" s="0" customFormat="0" ht="15">
      <c r="B6818" s="87" t="s">
        <v>1</v>
      </c>
      <c r="C6818" s="88" t="s">
        <v>5259</v>
      </c>
      <c r="D6818" s="88">
        <v>14844837</v>
      </c>
      <c r="E6818" s="88" t="s">
        <v>61</v>
      </c>
      <c r="F6818" s="88">
        <v>0</v>
      </c>
      <c r="G6818" s="78">
        <f>MAX(H6818,I6818,J6818)</f>
        <v>1</v>
      </c>
      <c r="H6818" s="88"/>
      <c r="I6818" s="88"/>
      <c r="J6818" s="78">
        <f>MAX(K6818:Q6818)</f>
        <v>1</v>
      </c>
      <c r="K6818" s="88">
        <v>1</v>
      </c>
      <c r="L6818" s="88"/>
      <c r="M6818" s="88"/>
      <c r="N6818" s="88"/>
      <c r="O6818" s="88"/>
      <c r="P6818" s="88"/>
      <c r="Q6818" s="88"/>
      <c r="R6818" s="78">
        <f>MAX(S6818:W6818)</f>
        <v>0</v>
      </c>
      <c r="S6818" s="88"/>
      <c r="T6818" s="88"/>
      <c r="U6818" s="88"/>
      <c r="V6818" s="88"/>
      <c r="W6818" s="88"/>
    </row>
    <row r="6819" spans="2:23" s="0" customFormat="0" ht="15">
      <c r="B6819" s="87" t="s">
        <v>1</v>
      </c>
      <c r="C6819" s="88" t="s">
        <v>5259</v>
      </c>
      <c r="D6819" s="88">
        <v>16974601</v>
      </c>
      <c r="E6819" s="88" t="s">
        <v>61</v>
      </c>
      <c r="F6819" s="88">
        <v>0</v>
      </c>
      <c r="G6819" s="78">
        <f>MAX(H6819,I6819,J6819)</f>
        <v>0</v>
      </c>
      <c r="H6819" s="88"/>
      <c r="I6819" s="88"/>
      <c r="J6819" s="78">
        <f>MAX(K6819:Q6819)</f>
        <v>0</v>
      </c>
      <c r="K6819" s="88"/>
      <c r="L6819" s="88"/>
      <c r="M6819" s="88"/>
      <c r="N6819" s="88"/>
      <c r="O6819" s="88"/>
      <c r="P6819" s="88"/>
      <c r="Q6819" s="88"/>
      <c r="R6819" s="78">
        <f>MAX(S6819:W6819)</f>
        <v>1</v>
      </c>
      <c r="S6819" s="88"/>
      <c r="T6819" s="88"/>
      <c r="U6819" s="88">
        <v>1</v>
      </c>
      <c r="V6819" s="88"/>
      <c r="W6819" s="88"/>
    </row>
    <row r="6820" spans="2:23" s="0" customFormat="0" ht="15">
      <c r="B6820" s="87" t="s">
        <v>1</v>
      </c>
      <c r="C6820" s="88" t="s">
        <v>5259</v>
      </c>
      <c r="D6820" s="88" t="s">
        <v>4257</v>
      </c>
      <c r="E6820" s="88" t="s">
        <v>61</v>
      </c>
      <c r="F6820" s="88">
        <v>0</v>
      </c>
      <c r="G6820" s="78">
        <f>MAX(H6820,I6820,J6820)</f>
        <v>0</v>
      </c>
      <c r="H6820" s="88"/>
      <c r="I6820" s="88"/>
      <c r="J6820" s="78">
        <f>MAX(K6820:Q6820)</f>
        <v>0</v>
      </c>
      <c r="K6820" s="88"/>
      <c r="L6820" s="88"/>
      <c r="M6820" s="88"/>
      <c r="N6820" s="88"/>
      <c r="O6820" s="88"/>
      <c r="P6820" s="88"/>
      <c r="Q6820" s="88"/>
      <c r="R6820" s="78">
        <f>MAX(S6820:W6820)</f>
        <v>1</v>
      </c>
      <c r="S6820" s="88"/>
      <c r="T6820" s="88"/>
      <c r="U6820" s="88">
        <v>1</v>
      </c>
      <c r="V6820" s="88"/>
      <c r="W6820" s="88"/>
    </row>
    <row r="6821" spans="2:23" s="0" customFormat="0" ht="15">
      <c r="B6821" s="87" t="s">
        <v>1</v>
      </c>
      <c r="C6821" s="88" t="s">
        <v>5259</v>
      </c>
      <c r="D6821" s="88" t="s">
        <v>1381</v>
      </c>
      <c r="E6821" s="88" t="s">
        <v>61</v>
      </c>
      <c r="F6821" s="88">
        <v>0</v>
      </c>
      <c r="G6821" s="78">
        <f>MAX(H6821,I6821,J6821)</f>
        <v>1</v>
      </c>
      <c r="H6821" s="88"/>
      <c r="I6821" s="88"/>
      <c r="J6821" s="78">
        <f>MAX(K6821:Q6821)</f>
        <v>1</v>
      </c>
      <c r="K6821" s="88">
        <v>1</v>
      </c>
      <c r="L6821" s="88"/>
      <c r="M6821" s="88"/>
      <c r="N6821" s="88"/>
      <c r="O6821" s="88"/>
      <c r="P6821" s="88"/>
      <c r="Q6821" s="88"/>
      <c r="R6821" s="78">
        <f>MAX(S6821:W6821)</f>
        <v>0</v>
      </c>
      <c r="S6821" s="88"/>
      <c r="T6821" s="88"/>
      <c r="U6821" s="88"/>
      <c r="V6821" s="88"/>
      <c r="W6821" s="88"/>
    </row>
    <row r="6822" spans="2:23" s="0" customFormat="0" ht="15">
      <c r="B6822" s="87" t="s">
        <v>1</v>
      </c>
      <c r="C6822" s="88" t="s">
        <v>5259</v>
      </c>
      <c r="D6822" s="88" t="s">
        <v>4512</v>
      </c>
      <c r="E6822" s="88" t="s">
        <v>61</v>
      </c>
      <c r="F6822" s="88">
        <v>0</v>
      </c>
      <c r="G6822" s="78">
        <f>MAX(H6822,I6822,J6822)</f>
        <v>0</v>
      </c>
      <c r="H6822" s="88"/>
      <c r="I6822" s="88"/>
      <c r="J6822" s="78">
        <f>MAX(K6822:Q6822)</f>
        <v>0</v>
      </c>
      <c r="K6822" s="88"/>
      <c r="L6822" s="88"/>
      <c r="M6822" s="88"/>
      <c r="N6822" s="88"/>
      <c r="O6822" s="88"/>
      <c r="P6822" s="88"/>
      <c r="Q6822" s="88"/>
      <c r="R6822" s="78">
        <f>MAX(S6822:W6822)</f>
        <v>1</v>
      </c>
      <c r="S6822" s="88"/>
      <c r="T6822" s="88"/>
      <c r="U6822" s="88">
        <v>1</v>
      </c>
      <c r="V6822" s="88"/>
      <c r="W6822" s="88"/>
    </row>
    <row r="6823" spans="2:23" s="0" customFormat="0" ht="15">
      <c r="B6823" s="87" t="s">
        <v>1</v>
      </c>
      <c r="C6823" s="88" t="s">
        <v>5259</v>
      </c>
      <c r="D6823" s="88">
        <v>23127282</v>
      </c>
      <c r="E6823" s="88" t="s">
        <v>61</v>
      </c>
      <c r="F6823" s="88">
        <v>0</v>
      </c>
      <c r="G6823" s="78">
        <f>MAX(H6823,I6823,J6823)</f>
        <v>1</v>
      </c>
      <c r="H6823" s="88"/>
      <c r="I6823" s="88"/>
      <c r="J6823" s="78">
        <f>MAX(K6823:Q6823)</f>
        <v>1</v>
      </c>
      <c r="K6823" s="88">
        <v>1</v>
      </c>
      <c r="L6823" s="88"/>
      <c r="M6823" s="88"/>
      <c r="N6823" s="88"/>
      <c r="O6823" s="88"/>
      <c r="P6823" s="88"/>
      <c r="Q6823" s="88"/>
      <c r="R6823" s="78">
        <f>MAX(S6823:W6823)</f>
        <v>0</v>
      </c>
      <c r="S6823" s="88"/>
      <c r="T6823" s="88"/>
      <c r="U6823" s="88"/>
      <c r="V6823" s="88"/>
      <c r="W6823" s="88"/>
    </row>
    <row r="6824" spans="2:23" s="0" customFormat="0" ht="15">
      <c r="B6824" s="87" t="s">
        <v>1</v>
      </c>
      <c r="C6824" s="88" t="s">
        <v>5259</v>
      </c>
      <c r="D6824" s="88">
        <v>8939457</v>
      </c>
      <c r="E6824" s="88" t="s">
        <v>61</v>
      </c>
      <c r="F6824" s="88">
        <v>0</v>
      </c>
      <c r="G6824" s="78">
        <f>MAX(H6824,I6824,J6824)</f>
        <v>1</v>
      </c>
      <c r="H6824" s="88"/>
      <c r="I6824" s="88"/>
      <c r="J6824" s="78">
        <f>MAX(K6824:Q6824)</f>
        <v>1</v>
      </c>
      <c r="K6824" s="88">
        <v>1</v>
      </c>
      <c r="L6824" s="88"/>
      <c r="M6824" s="88"/>
      <c r="N6824" s="88"/>
      <c r="O6824" s="88"/>
      <c r="P6824" s="88"/>
      <c r="Q6824" s="88"/>
      <c r="R6824" s="78">
        <f>MAX(S6824:W6824)</f>
        <v>0</v>
      </c>
      <c r="S6824" s="88"/>
      <c r="T6824" s="88"/>
      <c r="U6824" s="88"/>
      <c r="V6824" s="88"/>
      <c r="W6824" s="88"/>
    </row>
    <row r="6825" spans="2:23" s="0" customFormat="0" ht="15">
      <c r="B6825" s="87" t="s">
        <v>1</v>
      </c>
      <c r="C6825" s="88" t="s">
        <v>5259</v>
      </c>
      <c r="D6825" s="88" t="s">
        <v>4074</v>
      </c>
      <c r="E6825" s="88" t="s">
        <v>61</v>
      </c>
      <c r="F6825" s="88">
        <v>0</v>
      </c>
      <c r="G6825" s="78">
        <f>MAX(H6825,I6825,J6825)</f>
        <v>0</v>
      </c>
      <c r="H6825" s="88"/>
      <c r="I6825" s="88"/>
      <c r="J6825" s="78">
        <f>MAX(K6825:Q6825)</f>
        <v>0</v>
      </c>
      <c r="K6825" s="88"/>
      <c r="L6825" s="88"/>
      <c r="M6825" s="88"/>
      <c r="N6825" s="88"/>
      <c r="O6825" s="88"/>
      <c r="P6825" s="88"/>
      <c r="Q6825" s="88"/>
      <c r="R6825" s="78">
        <f>MAX(S6825:W6825)</f>
        <v>1</v>
      </c>
      <c r="S6825" s="88"/>
      <c r="T6825" s="88"/>
      <c r="U6825" s="88">
        <v>1</v>
      </c>
      <c r="V6825" s="88"/>
      <c r="W6825" s="88"/>
    </row>
    <row r="6826" spans="2:23" s="0" customFormat="0" ht="15">
      <c r="B6826" s="87" t="s">
        <v>1</v>
      </c>
      <c r="C6826" s="88" t="s">
        <v>5259</v>
      </c>
      <c r="D6826" s="88">
        <v>8234466</v>
      </c>
      <c r="E6826" s="88" t="s">
        <v>61</v>
      </c>
      <c r="F6826" s="88">
        <v>0</v>
      </c>
      <c r="G6826" s="78">
        <f>MAX(H6826,I6826,J6826)</f>
        <v>1</v>
      </c>
      <c r="H6826" s="88"/>
      <c r="I6826" s="88"/>
      <c r="J6826" s="78">
        <f>MAX(K6826:Q6826)</f>
        <v>1</v>
      </c>
      <c r="K6826" s="88">
        <v>1</v>
      </c>
      <c r="L6826" s="88"/>
      <c r="M6826" s="88"/>
      <c r="N6826" s="88"/>
      <c r="O6826" s="88"/>
      <c r="P6826" s="88"/>
      <c r="Q6826" s="88"/>
      <c r="R6826" s="78">
        <f>MAX(S6826:W6826)</f>
        <v>0</v>
      </c>
      <c r="S6826" s="88"/>
      <c r="T6826" s="88"/>
      <c r="U6826" s="88"/>
      <c r="V6826" s="88"/>
      <c r="W6826" s="88"/>
    </row>
    <row r="6827" spans="2:23" s="0" customFormat="0" ht="15">
      <c r="B6827" s="87" t="s">
        <v>1</v>
      </c>
      <c r="C6827" s="88" t="s">
        <v>5259</v>
      </c>
      <c r="D6827" s="88" t="s">
        <v>3016</v>
      </c>
      <c r="E6827" s="88" t="s">
        <v>61</v>
      </c>
      <c r="F6827" s="88">
        <v>0</v>
      </c>
      <c r="G6827" s="78">
        <f>MAX(H6827,I6827,J6827)</f>
        <v>1</v>
      </c>
      <c r="H6827" s="88"/>
      <c r="I6827" s="88"/>
      <c r="J6827" s="78">
        <f>MAX(K6827:Q6827)</f>
        <v>1</v>
      </c>
      <c r="K6827" s="88">
        <v>1</v>
      </c>
      <c r="L6827" s="88"/>
      <c r="M6827" s="88"/>
      <c r="N6827" s="88"/>
      <c r="O6827" s="88"/>
      <c r="P6827" s="88"/>
      <c r="Q6827" s="88"/>
      <c r="R6827" s="78">
        <f>MAX(S6827:W6827)</f>
        <v>0</v>
      </c>
      <c r="S6827" s="88"/>
      <c r="T6827" s="88"/>
      <c r="U6827" s="88"/>
      <c r="V6827" s="88"/>
      <c r="W6827" s="88"/>
    </row>
    <row r="6828" spans="2:23" s="0" customFormat="0" ht="15">
      <c r="B6828" s="87" t="s">
        <v>1</v>
      </c>
      <c r="C6828" s="88" t="s">
        <v>5259</v>
      </c>
      <c r="D6828" s="88">
        <v>24501432</v>
      </c>
      <c r="E6828" s="88" t="s">
        <v>61</v>
      </c>
      <c r="F6828" s="88">
        <v>0</v>
      </c>
      <c r="G6828" s="78">
        <f>MAX(H6828,I6828,J6828)</f>
        <v>1</v>
      </c>
      <c r="H6828" s="88"/>
      <c r="I6828" s="88"/>
      <c r="J6828" s="78">
        <f>MAX(K6828:Q6828)</f>
        <v>1</v>
      </c>
      <c r="K6828" s="88"/>
      <c r="L6828" s="88"/>
      <c r="M6828" s="88"/>
      <c r="N6828" s="88"/>
      <c r="O6828" s="88">
        <v>1</v>
      </c>
      <c r="P6828" s="88"/>
      <c r="Q6828" s="88"/>
      <c r="R6828" s="78">
        <f>MAX(S6828:W6828)</f>
        <v>0</v>
      </c>
      <c r="S6828" s="88"/>
      <c r="T6828" s="88"/>
      <c r="U6828" s="88"/>
      <c r="V6828" s="88"/>
      <c r="W6828" s="88"/>
    </row>
    <row r="6829" spans="2:23" s="0" customFormat="0" ht="15">
      <c r="B6829" s="87" t="s">
        <v>1</v>
      </c>
      <c r="C6829" s="88" t="s">
        <v>5259</v>
      </c>
      <c r="D6829" s="88">
        <v>13326754</v>
      </c>
      <c r="E6829" s="88" t="s">
        <v>61</v>
      </c>
      <c r="F6829" s="88">
        <v>0</v>
      </c>
      <c r="G6829" s="78">
        <f>MAX(H6829,I6829,J6829)</f>
        <v>1</v>
      </c>
      <c r="H6829" s="88"/>
      <c r="I6829" s="88"/>
      <c r="J6829" s="78">
        <f>MAX(K6829:Q6829)</f>
        <v>1</v>
      </c>
      <c r="K6829" s="88">
        <v>1</v>
      </c>
      <c r="L6829" s="88"/>
      <c r="M6829" s="88"/>
      <c r="N6829" s="88"/>
      <c r="O6829" s="88"/>
      <c r="P6829" s="88"/>
      <c r="Q6829" s="88"/>
      <c r="R6829" s="78">
        <f>MAX(S6829:W6829)</f>
        <v>0</v>
      </c>
      <c r="S6829" s="88"/>
      <c r="T6829" s="88"/>
      <c r="U6829" s="88"/>
      <c r="V6829" s="88"/>
      <c r="W6829" s="88"/>
    </row>
    <row r="6830" spans="2:23" s="0" customFormat="0" ht="15">
      <c r="B6830" s="87" t="s">
        <v>1</v>
      </c>
      <c r="C6830" s="88" t="s">
        <v>5259</v>
      </c>
      <c r="D6830" s="88" t="s">
        <v>4224</v>
      </c>
      <c r="E6830" s="88" t="s">
        <v>61</v>
      </c>
      <c r="F6830" s="88">
        <v>0</v>
      </c>
      <c r="G6830" s="78">
        <f>MAX(H6830,I6830,J6830)</f>
        <v>0</v>
      </c>
      <c r="H6830" s="88"/>
      <c r="I6830" s="88"/>
      <c r="J6830" s="78">
        <f>MAX(K6830:Q6830)</f>
        <v>0</v>
      </c>
      <c r="K6830" s="88"/>
      <c r="L6830" s="88"/>
      <c r="M6830" s="88"/>
      <c r="N6830" s="88"/>
      <c r="O6830" s="88"/>
      <c r="P6830" s="88"/>
      <c r="Q6830" s="88"/>
      <c r="R6830" s="78">
        <f>MAX(S6830:W6830)</f>
        <v>1</v>
      </c>
      <c r="S6830" s="88"/>
      <c r="T6830" s="88"/>
      <c r="U6830" s="88">
        <v>1</v>
      </c>
      <c r="V6830" s="88"/>
      <c r="W6830" s="88"/>
    </row>
    <row r="6831" spans="2:23" s="0" customFormat="0" ht="15">
      <c r="B6831" s="87" t="s">
        <v>1</v>
      </c>
      <c r="C6831" s="88" t="s">
        <v>5259</v>
      </c>
      <c r="D6831" s="88">
        <v>20631186</v>
      </c>
      <c r="E6831" s="88" t="s">
        <v>61</v>
      </c>
      <c r="F6831" s="88">
        <v>0</v>
      </c>
      <c r="G6831" s="78">
        <f>MAX(H6831,I6831,J6831)</f>
        <v>1</v>
      </c>
      <c r="H6831" s="88"/>
      <c r="I6831" s="88"/>
      <c r="J6831" s="78">
        <f>MAX(K6831:Q6831)</f>
        <v>1</v>
      </c>
      <c r="K6831" s="88">
        <v>1</v>
      </c>
      <c r="L6831" s="88"/>
      <c r="M6831" s="88"/>
      <c r="N6831" s="88"/>
      <c r="O6831" s="88"/>
      <c r="P6831" s="88"/>
      <c r="Q6831" s="88"/>
      <c r="R6831" s="78">
        <f>MAX(S6831:W6831)</f>
        <v>0</v>
      </c>
      <c r="S6831" s="88"/>
      <c r="T6831" s="88"/>
      <c r="U6831" s="88"/>
      <c r="V6831" s="88"/>
      <c r="W6831" s="88"/>
    </row>
    <row r="6832" spans="2:23" s="0" customFormat="0" ht="15">
      <c r="B6832" s="87" t="s">
        <v>1</v>
      </c>
      <c r="C6832" s="88" t="s">
        <v>5259</v>
      </c>
      <c r="D6832" s="88">
        <v>12156146</v>
      </c>
      <c r="E6832" s="88" t="s">
        <v>61</v>
      </c>
      <c r="F6832" s="88">
        <v>0</v>
      </c>
      <c r="G6832" s="78">
        <f>MAX(H6832,I6832,J6832)</f>
        <v>1</v>
      </c>
      <c r="H6832" s="88"/>
      <c r="I6832" s="88"/>
      <c r="J6832" s="78">
        <f>MAX(K6832:Q6832)</f>
        <v>1</v>
      </c>
      <c r="K6832" s="88">
        <v>1</v>
      </c>
      <c r="L6832" s="88"/>
      <c r="M6832" s="88"/>
      <c r="N6832" s="88"/>
      <c r="O6832" s="88"/>
      <c r="P6832" s="88"/>
      <c r="Q6832" s="88"/>
      <c r="R6832" s="78">
        <f>MAX(S6832:W6832)</f>
        <v>0</v>
      </c>
      <c r="S6832" s="88"/>
      <c r="T6832" s="88"/>
      <c r="U6832" s="88"/>
      <c r="V6832" s="88"/>
      <c r="W6832" s="88"/>
    </row>
    <row r="6833" spans="2:23" s="0" customFormat="0" ht="15">
      <c r="B6833" s="87" t="s">
        <v>1</v>
      </c>
      <c r="C6833" s="88" t="s">
        <v>5259</v>
      </c>
      <c r="D6833" s="88" t="s">
        <v>2716</v>
      </c>
      <c r="E6833" s="88" t="s">
        <v>61</v>
      </c>
      <c r="F6833" s="88">
        <v>0</v>
      </c>
      <c r="G6833" s="78">
        <f>MAX(H6833,I6833,J6833)</f>
        <v>1</v>
      </c>
      <c r="H6833" s="88"/>
      <c r="I6833" s="88"/>
      <c r="J6833" s="78">
        <f>MAX(K6833:Q6833)</f>
        <v>1</v>
      </c>
      <c r="K6833" s="88">
        <v>1</v>
      </c>
      <c r="L6833" s="88"/>
      <c r="M6833" s="88"/>
      <c r="N6833" s="88"/>
      <c r="O6833" s="88"/>
      <c r="P6833" s="88"/>
      <c r="Q6833" s="88"/>
      <c r="R6833" s="78">
        <f>MAX(S6833:W6833)</f>
        <v>0</v>
      </c>
      <c r="S6833" s="88"/>
      <c r="T6833" s="88"/>
      <c r="U6833" s="88"/>
      <c r="V6833" s="88"/>
      <c r="W6833" s="88"/>
    </row>
    <row r="6834" spans="2:23" s="0" customFormat="0" ht="15">
      <c r="B6834" s="87" t="s">
        <v>1</v>
      </c>
      <c r="C6834" s="88" t="s">
        <v>5259</v>
      </c>
      <c r="D6834" s="88">
        <v>14276622</v>
      </c>
      <c r="E6834" s="88" t="s">
        <v>61</v>
      </c>
      <c r="F6834" s="88">
        <v>0</v>
      </c>
      <c r="G6834" s="78">
        <f>MAX(H6834,I6834,J6834)</f>
        <v>1</v>
      </c>
      <c r="H6834" s="88"/>
      <c r="I6834" s="88"/>
      <c r="J6834" s="78">
        <f>MAX(K6834:Q6834)</f>
        <v>1</v>
      </c>
      <c r="K6834" s="88">
        <v>1</v>
      </c>
      <c r="L6834" s="88"/>
      <c r="M6834" s="88"/>
      <c r="N6834" s="88"/>
      <c r="O6834" s="88"/>
      <c r="P6834" s="88"/>
      <c r="Q6834" s="88"/>
      <c r="R6834" s="78">
        <f>MAX(S6834:W6834)</f>
        <v>0</v>
      </c>
      <c r="S6834" s="88"/>
      <c r="T6834" s="88"/>
      <c r="U6834" s="88"/>
      <c r="V6834" s="88"/>
      <c r="W6834" s="88"/>
    </row>
    <row r="6835" spans="2:23" s="0" customFormat="0" ht="15">
      <c r="B6835" s="87" t="s">
        <v>1</v>
      </c>
      <c r="C6835" s="88" t="s">
        <v>5259</v>
      </c>
      <c r="D6835" s="88">
        <v>14271823</v>
      </c>
      <c r="E6835" s="88" t="s">
        <v>61</v>
      </c>
      <c r="F6835" s="88">
        <v>0</v>
      </c>
      <c r="G6835" s="78">
        <f>MAX(H6835,I6835,J6835)</f>
        <v>1</v>
      </c>
      <c r="H6835" s="88"/>
      <c r="I6835" s="88"/>
      <c r="J6835" s="78">
        <f>MAX(K6835:Q6835)</f>
        <v>1</v>
      </c>
      <c r="K6835" s="88">
        <v>1</v>
      </c>
      <c r="L6835" s="88"/>
      <c r="M6835" s="88"/>
      <c r="N6835" s="88"/>
      <c r="O6835" s="88"/>
      <c r="P6835" s="88"/>
      <c r="Q6835" s="88"/>
      <c r="R6835" s="78">
        <f>MAX(S6835:W6835)</f>
        <v>0</v>
      </c>
      <c r="S6835" s="88"/>
      <c r="T6835" s="88"/>
      <c r="U6835" s="88"/>
      <c r="V6835" s="88"/>
      <c r="W6835" s="88"/>
    </row>
    <row r="6836" spans="2:23" s="0" customFormat="0" ht="15">
      <c r="B6836" s="87" t="s">
        <v>1</v>
      </c>
      <c r="C6836" s="88" t="s">
        <v>5259</v>
      </c>
      <c r="D6836" s="88">
        <v>10572489</v>
      </c>
      <c r="E6836" s="88" t="s">
        <v>61</v>
      </c>
      <c r="F6836" s="88">
        <v>0</v>
      </c>
      <c r="G6836" s="78">
        <f>MAX(H6836,I6836,J6836)</f>
        <v>1</v>
      </c>
      <c r="H6836" s="88"/>
      <c r="I6836" s="88"/>
      <c r="J6836" s="78">
        <f>MAX(K6836:Q6836)</f>
        <v>1</v>
      </c>
      <c r="K6836" s="88">
        <v>1</v>
      </c>
      <c r="L6836" s="88"/>
      <c r="M6836" s="88"/>
      <c r="N6836" s="88"/>
      <c r="O6836" s="88"/>
      <c r="P6836" s="88"/>
      <c r="Q6836" s="88"/>
      <c r="R6836" s="78">
        <f>MAX(S6836:W6836)</f>
        <v>0</v>
      </c>
      <c r="S6836" s="88"/>
      <c r="T6836" s="88"/>
      <c r="U6836" s="88"/>
      <c r="V6836" s="88"/>
      <c r="W6836" s="88"/>
    </row>
    <row r="6837" spans="2:23" s="0" customFormat="0" ht="15">
      <c r="B6837" s="87" t="s">
        <v>1</v>
      </c>
      <c r="C6837" s="88" t="s">
        <v>5259</v>
      </c>
      <c r="D6837" s="88" t="s">
        <v>2974</v>
      </c>
      <c r="E6837" s="88" t="s">
        <v>61</v>
      </c>
      <c r="F6837" s="88">
        <v>0</v>
      </c>
      <c r="G6837" s="78">
        <f>MAX(H6837,I6837,J6837)</f>
        <v>1</v>
      </c>
      <c r="H6837" s="88"/>
      <c r="I6837" s="88"/>
      <c r="J6837" s="78">
        <f>MAX(K6837:Q6837)</f>
        <v>1</v>
      </c>
      <c r="K6837" s="88">
        <v>1</v>
      </c>
      <c r="L6837" s="88"/>
      <c r="M6837" s="88"/>
      <c r="N6837" s="88"/>
      <c r="O6837" s="88"/>
      <c r="P6837" s="88"/>
      <c r="Q6837" s="88"/>
      <c r="R6837" s="78">
        <f>MAX(S6837:W6837)</f>
        <v>0</v>
      </c>
      <c r="S6837" s="88"/>
      <c r="T6837" s="88"/>
      <c r="U6837" s="88"/>
      <c r="V6837" s="88"/>
      <c r="W6837" s="88"/>
    </row>
    <row r="6838" spans="2:23" s="0" customFormat="0" ht="15">
      <c r="B6838" s="87" t="s">
        <v>1</v>
      </c>
      <c r="C6838" s="88" t="s">
        <v>5259</v>
      </c>
      <c r="D6838" s="88" t="s">
        <v>4695</v>
      </c>
      <c r="E6838" s="88" t="s">
        <v>61</v>
      </c>
      <c r="F6838" s="88">
        <v>0</v>
      </c>
      <c r="G6838" s="78">
        <f>MAX(H6838,I6838,J6838)</f>
        <v>0</v>
      </c>
      <c r="H6838" s="88"/>
      <c r="I6838" s="88"/>
      <c r="J6838" s="78">
        <f>MAX(K6838:Q6838)</f>
        <v>0</v>
      </c>
      <c r="K6838" s="88"/>
      <c r="L6838" s="88"/>
      <c r="M6838" s="88"/>
      <c r="N6838" s="88"/>
      <c r="O6838" s="88"/>
      <c r="P6838" s="88"/>
      <c r="Q6838" s="88"/>
      <c r="R6838" s="78">
        <f>MAX(S6838:W6838)</f>
        <v>1</v>
      </c>
      <c r="S6838" s="88"/>
      <c r="T6838" s="88"/>
      <c r="U6838" s="88">
        <v>1</v>
      </c>
      <c r="V6838" s="88"/>
      <c r="W6838" s="88"/>
    </row>
    <row r="6839" spans="2:23" s="0" customFormat="0" ht="15">
      <c r="B6839" s="87" t="s">
        <v>1</v>
      </c>
      <c r="C6839" s="88" t="s">
        <v>5259</v>
      </c>
      <c r="D6839" s="88" t="s">
        <v>4229</v>
      </c>
      <c r="E6839" s="88" t="s">
        <v>61</v>
      </c>
      <c r="F6839" s="88">
        <v>0</v>
      </c>
      <c r="G6839" s="78">
        <f>MAX(H6839,I6839,J6839)</f>
        <v>0</v>
      </c>
      <c r="H6839" s="88"/>
      <c r="I6839" s="88"/>
      <c r="J6839" s="78">
        <f>MAX(K6839:Q6839)</f>
        <v>0</v>
      </c>
      <c r="K6839" s="88"/>
      <c r="L6839" s="88"/>
      <c r="M6839" s="88"/>
      <c r="N6839" s="88"/>
      <c r="O6839" s="88"/>
      <c r="P6839" s="88"/>
      <c r="Q6839" s="88"/>
      <c r="R6839" s="78">
        <f>MAX(S6839:W6839)</f>
        <v>1</v>
      </c>
      <c r="S6839" s="88"/>
      <c r="T6839" s="88"/>
      <c r="U6839" s="88">
        <v>1</v>
      </c>
      <c r="V6839" s="88"/>
      <c r="W6839" s="88"/>
    </row>
    <row r="6840" spans="2:23" s="0" customFormat="0" ht="15">
      <c r="B6840" s="87" t="s">
        <v>1</v>
      </c>
      <c r="C6840" s="88" t="s">
        <v>5259</v>
      </c>
      <c r="D6840" s="88" t="s">
        <v>5060</v>
      </c>
      <c r="E6840" s="88" t="s">
        <v>61</v>
      </c>
      <c r="F6840" s="88">
        <v>0</v>
      </c>
      <c r="G6840" s="78">
        <f>MAX(H6840,I6840,J6840)</f>
        <v>0</v>
      </c>
      <c r="H6840" s="88"/>
      <c r="I6840" s="88"/>
      <c r="J6840" s="78">
        <f>MAX(K6840:Q6840)</f>
        <v>0</v>
      </c>
      <c r="K6840" s="88"/>
      <c r="L6840" s="88"/>
      <c r="M6840" s="88"/>
      <c r="N6840" s="88"/>
      <c r="O6840" s="88"/>
      <c r="P6840" s="88"/>
      <c r="Q6840" s="88"/>
      <c r="R6840" s="78">
        <f>MAX(S6840:W6840)</f>
        <v>1</v>
      </c>
      <c r="S6840" s="88"/>
      <c r="T6840" s="88"/>
      <c r="U6840" s="88">
        <v>1</v>
      </c>
      <c r="V6840" s="88"/>
      <c r="W6840" s="88"/>
    </row>
    <row r="6841" spans="2:23" s="0" customFormat="0" ht="15">
      <c r="B6841" s="87" t="s">
        <v>1</v>
      </c>
      <c r="C6841" s="88" t="s">
        <v>5259</v>
      </c>
      <c r="D6841" s="88">
        <v>2549190</v>
      </c>
      <c r="E6841" s="88" t="s">
        <v>61</v>
      </c>
      <c r="F6841" s="88">
        <v>0</v>
      </c>
      <c r="G6841" s="78">
        <f>MAX(H6841,I6841,J6841)</f>
        <v>1</v>
      </c>
      <c r="H6841" s="88"/>
      <c r="I6841" s="88"/>
      <c r="J6841" s="78">
        <f>MAX(K6841:Q6841)</f>
        <v>1</v>
      </c>
      <c r="K6841" s="88">
        <v>1</v>
      </c>
      <c r="L6841" s="88"/>
      <c r="M6841" s="88"/>
      <c r="N6841" s="88"/>
      <c r="O6841" s="88"/>
      <c r="P6841" s="88"/>
      <c r="Q6841" s="88"/>
      <c r="R6841" s="78">
        <f>MAX(S6841:W6841)</f>
        <v>0</v>
      </c>
      <c r="S6841" s="88"/>
      <c r="T6841" s="88"/>
      <c r="U6841" s="88"/>
      <c r="V6841" s="88"/>
      <c r="W6841" s="88"/>
    </row>
    <row r="6842" spans="2:23" s="0" customFormat="0" ht="15">
      <c r="B6842" s="87" t="s">
        <v>1</v>
      </c>
      <c r="C6842" s="88" t="s">
        <v>5259</v>
      </c>
      <c r="D6842" s="88">
        <v>20658179</v>
      </c>
      <c r="E6842" s="88" t="s">
        <v>61</v>
      </c>
      <c r="F6842" s="88">
        <v>0</v>
      </c>
      <c r="G6842" s="78">
        <f>MAX(H6842,I6842,J6842)</f>
        <v>1</v>
      </c>
      <c r="H6842" s="88"/>
      <c r="I6842" s="88"/>
      <c r="J6842" s="78">
        <f>MAX(K6842:Q6842)</f>
        <v>1</v>
      </c>
      <c r="K6842" s="88">
        <v>1</v>
      </c>
      <c r="L6842" s="88"/>
      <c r="M6842" s="88"/>
      <c r="N6842" s="88"/>
      <c r="O6842" s="88"/>
      <c r="P6842" s="88"/>
      <c r="Q6842" s="88"/>
      <c r="R6842" s="78">
        <f>MAX(S6842:W6842)</f>
        <v>0</v>
      </c>
      <c r="S6842" s="88"/>
      <c r="T6842" s="88"/>
      <c r="U6842" s="88"/>
      <c r="V6842" s="88"/>
      <c r="W6842" s="88"/>
    </row>
    <row r="6843" spans="2:23" s="0" customFormat="0" ht="15">
      <c r="B6843" s="87" t="s">
        <v>1</v>
      </c>
      <c r="C6843" s="88" t="s">
        <v>5259</v>
      </c>
      <c r="D6843" s="88" t="s">
        <v>4953</v>
      </c>
      <c r="E6843" s="88" t="s">
        <v>61</v>
      </c>
      <c r="F6843" s="88">
        <v>0</v>
      </c>
      <c r="G6843" s="78">
        <f>MAX(H6843,I6843,J6843)</f>
        <v>0</v>
      </c>
      <c r="H6843" s="88"/>
      <c r="I6843" s="88"/>
      <c r="J6843" s="78">
        <f>MAX(K6843:Q6843)</f>
        <v>0</v>
      </c>
      <c r="K6843" s="88"/>
      <c r="L6843" s="88"/>
      <c r="M6843" s="88"/>
      <c r="N6843" s="88"/>
      <c r="O6843" s="88"/>
      <c r="P6843" s="88"/>
      <c r="Q6843" s="88"/>
      <c r="R6843" s="78">
        <f>MAX(S6843:W6843)</f>
        <v>1</v>
      </c>
      <c r="S6843" s="88"/>
      <c r="T6843" s="88"/>
      <c r="U6843" s="88">
        <v>1</v>
      </c>
      <c r="V6843" s="88"/>
      <c r="W6843" s="88"/>
    </row>
    <row r="6844" spans="2:23" s="0" customFormat="0" ht="15">
      <c r="B6844" s="87" t="s">
        <v>1</v>
      </c>
      <c r="C6844" s="88" t="s">
        <v>5259</v>
      </c>
      <c r="D6844" s="88" t="s">
        <v>2781</v>
      </c>
      <c r="E6844" s="88" t="s">
        <v>61</v>
      </c>
      <c r="F6844" s="88">
        <v>0</v>
      </c>
      <c r="G6844" s="78">
        <f>MAX(H6844,I6844,J6844)</f>
        <v>1</v>
      </c>
      <c r="H6844" s="88"/>
      <c r="I6844" s="88"/>
      <c r="J6844" s="78">
        <f>MAX(K6844:Q6844)</f>
        <v>1</v>
      </c>
      <c r="K6844" s="88">
        <v>1</v>
      </c>
      <c r="L6844" s="88"/>
      <c r="M6844" s="88"/>
      <c r="N6844" s="88"/>
      <c r="O6844" s="88"/>
      <c r="P6844" s="88"/>
      <c r="Q6844" s="88"/>
      <c r="R6844" s="78">
        <f>MAX(S6844:W6844)</f>
        <v>0</v>
      </c>
      <c r="S6844" s="88"/>
      <c r="T6844" s="88"/>
      <c r="U6844" s="88"/>
      <c r="V6844" s="88"/>
      <c r="W6844" s="88"/>
    </row>
    <row r="6845" spans="2:23" s="0" customFormat="0" ht="15">
      <c r="B6845" s="87" t="s">
        <v>1</v>
      </c>
      <c r="C6845" s="88" t="s">
        <v>5259</v>
      </c>
      <c r="D6845" s="88">
        <v>4938090</v>
      </c>
      <c r="E6845" s="88" t="s">
        <v>61</v>
      </c>
      <c r="F6845" s="88">
        <v>0</v>
      </c>
      <c r="G6845" s="78">
        <f>MAX(H6845,I6845,J6845)</f>
        <v>1</v>
      </c>
      <c r="H6845" s="88"/>
      <c r="I6845" s="88"/>
      <c r="J6845" s="78">
        <f>MAX(K6845:Q6845)</f>
        <v>1</v>
      </c>
      <c r="K6845" s="88">
        <v>1</v>
      </c>
      <c r="L6845" s="88"/>
      <c r="M6845" s="88"/>
      <c r="N6845" s="88"/>
      <c r="O6845" s="88"/>
      <c r="P6845" s="88"/>
      <c r="Q6845" s="88"/>
      <c r="R6845" s="78">
        <f>MAX(S6845:W6845)</f>
        <v>0</v>
      </c>
      <c r="S6845" s="88"/>
      <c r="T6845" s="88"/>
      <c r="U6845" s="88"/>
      <c r="V6845" s="88"/>
      <c r="W6845" s="88"/>
    </row>
    <row r="6846" spans="2:23" s="0" customFormat="0" ht="15">
      <c r="B6846" s="87" t="s">
        <v>1</v>
      </c>
      <c r="C6846" s="88" t="s">
        <v>5259</v>
      </c>
      <c r="D6846" s="88" t="s">
        <v>5093</v>
      </c>
      <c r="E6846" s="88" t="s">
        <v>61</v>
      </c>
      <c r="F6846" s="88">
        <v>0</v>
      </c>
      <c r="G6846" s="78">
        <f>MAX(H6846,I6846,J6846)</f>
        <v>0</v>
      </c>
      <c r="H6846" s="88"/>
      <c r="I6846" s="88"/>
      <c r="J6846" s="78">
        <f>MAX(K6846:Q6846)</f>
        <v>0</v>
      </c>
      <c r="K6846" s="88"/>
      <c r="L6846" s="88"/>
      <c r="M6846" s="88"/>
      <c r="N6846" s="88"/>
      <c r="O6846" s="88"/>
      <c r="P6846" s="88"/>
      <c r="Q6846" s="88"/>
      <c r="R6846" s="78">
        <f>MAX(S6846:W6846)</f>
        <v>1</v>
      </c>
      <c r="S6846" s="88"/>
      <c r="T6846" s="88"/>
      <c r="U6846" s="88">
        <v>1</v>
      </c>
      <c r="V6846" s="88"/>
      <c r="W6846" s="88"/>
    </row>
    <row r="6847" spans="2:23" s="0" customFormat="0" ht="15">
      <c r="B6847" s="87" t="s">
        <v>1</v>
      </c>
      <c r="C6847" s="88" t="s">
        <v>5259</v>
      </c>
      <c r="D6847" s="88" t="s">
        <v>5241</v>
      </c>
      <c r="E6847" s="88" t="s">
        <v>61</v>
      </c>
      <c r="F6847" s="88">
        <v>0</v>
      </c>
      <c r="G6847" s="78">
        <f>MAX(H6847,I6847,J6847)</f>
        <v>0</v>
      </c>
      <c r="H6847" s="88"/>
      <c r="I6847" s="88"/>
      <c r="J6847" s="78">
        <f>MAX(K6847:Q6847)</f>
        <v>0</v>
      </c>
      <c r="K6847" s="88"/>
      <c r="L6847" s="88"/>
      <c r="M6847" s="88"/>
      <c r="N6847" s="88"/>
      <c r="O6847" s="88"/>
      <c r="P6847" s="88"/>
      <c r="Q6847" s="88"/>
      <c r="R6847" s="78">
        <f>MAX(S6847:W6847)</f>
        <v>1</v>
      </c>
      <c r="S6847" s="88"/>
      <c r="T6847" s="88"/>
      <c r="U6847" s="88">
        <v>1</v>
      </c>
      <c r="V6847" s="88"/>
      <c r="W6847" s="88"/>
    </row>
    <row r="6848" spans="2:23" s="0" customFormat="0" ht="15">
      <c r="B6848" s="87" t="s">
        <v>1</v>
      </c>
      <c r="C6848" s="88" t="s">
        <v>5259</v>
      </c>
      <c r="D6848" s="88">
        <v>20113243</v>
      </c>
      <c r="E6848" s="88" t="s">
        <v>61</v>
      </c>
      <c r="F6848" s="88">
        <v>0</v>
      </c>
      <c r="G6848" s="78">
        <f>MAX(H6848,I6848,J6848)</f>
        <v>0</v>
      </c>
      <c r="H6848" s="88"/>
      <c r="I6848" s="88"/>
      <c r="J6848" s="78">
        <f>MAX(K6848:Q6848)</f>
        <v>0</v>
      </c>
      <c r="K6848" s="88"/>
      <c r="L6848" s="88"/>
      <c r="M6848" s="88"/>
      <c r="N6848" s="88"/>
      <c r="O6848" s="88"/>
      <c r="P6848" s="88"/>
      <c r="Q6848" s="88"/>
      <c r="R6848" s="78">
        <f>MAX(S6848:W6848)</f>
        <v>1</v>
      </c>
      <c r="S6848" s="88"/>
      <c r="T6848" s="88"/>
      <c r="U6848" s="88">
        <v>1</v>
      </c>
      <c r="V6848" s="88"/>
      <c r="W6848" s="88"/>
    </row>
    <row r="6849" spans="2:23" s="0" customFormat="0" ht="15">
      <c r="B6849" s="87" t="s">
        <v>1</v>
      </c>
      <c r="C6849" s="88" t="s">
        <v>5259</v>
      </c>
      <c r="D6849" s="88">
        <v>8675037</v>
      </c>
      <c r="E6849" s="88" t="s">
        <v>61</v>
      </c>
      <c r="F6849" s="88">
        <v>0</v>
      </c>
      <c r="G6849" s="78">
        <f>MAX(H6849,I6849,J6849)</f>
        <v>1</v>
      </c>
      <c r="H6849" s="88"/>
      <c r="I6849" s="88"/>
      <c r="J6849" s="78">
        <f>MAX(K6849:Q6849)</f>
        <v>1</v>
      </c>
      <c r="K6849" s="88">
        <v>1</v>
      </c>
      <c r="L6849" s="88"/>
      <c r="M6849" s="88"/>
      <c r="N6849" s="88"/>
      <c r="O6849" s="88"/>
      <c r="P6849" s="88"/>
      <c r="Q6849" s="88"/>
      <c r="R6849" s="78">
        <f>MAX(S6849:W6849)</f>
        <v>0</v>
      </c>
      <c r="S6849" s="88"/>
      <c r="T6849" s="88"/>
      <c r="U6849" s="88"/>
      <c r="V6849" s="88"/>
      <c r="W6849" s="88"/>
    </row>
    <row r="6850" spans="2:23" s="0" customFormat="0" ht="15">
      <c r="B6850" s="87" t="s">
        <v>1</v>
      </c>
      <c r="C6850" s="88" t="s">
        <v>5259</v>
      </c>
      <c r="D6850" s="88" t="s">
        <v>1573</v>
      </c>
      <c r="E6850" s="88" t="s">
        <v>61</v>
      </c>
      <c r="F6850" s="88">
        <v>0</v>
      </c>
      <c r="G6850" s="78">
        <f>MAX(H6850,I6850,J6850)</f>
        <v>1</v>
      </c>
      <c r="H6850" s="88"/>
      <c r="I6850" s="88"/>
      <c r="J6850" s="78">
        <f>MAX(K6850:Q6850)</f>
        <v>1</v>
      </c>
      <c r="K6850" s="88">
        <v>1</v>
      </c>
      <c r="L6850" s="88"/>
      <c r="M6850" s="88"/>
      <c r="N6850" s="88"/>
      <c r="O6850" s="88"/>
      <c r="P6850" s="88"/>
      <c r="Q6850" s="88"/>
      <c r="R6850" s="78">
        <f>MAX(S6850:W6850)</f>
        <v>0</v>
      </c>
      <c r="S6850" s="88"/>
      <c r="T6850" s="88"/>
      <c r="U6850" s="88"/>
      <c r="V6850" s="88"/>
      <c r="W6850" s="88"/>
    </row>
    <row r="6851" spans="2:23" s="0" customFormat="0" ht="15">
      <c r="B6851" s="87" t="s">
        <v>1</v>
      </c>
      <c r="C6851" s="88" t="s">
        <v>5259</v>
      </c>
      <c r="D6851" s="88">
        <v>14962706</v>
      </c>
      <c r="E6851" s="88" t="s">
        <v>61</v>
      </c>
      <c r="F6851" s="88">
        <v>0</v>
      </c>
      <c r="G6851" s="78">
        <f>MAX(H6851,I6851,J6851)</f>
        <v>1</v>
      </c>
      <c r="H6851" s="88"/>
      <c r="I6851" s="88"/>
      <c r="J6851" s="78">
        <f>MAX(K6851:Q6851)</f>
        <v>1</v>
      </c>
      <c r="K6851" s="88">
        <v>1</v>
      </c>
      <c r="L6851" s="88"/>
      <c r="M6851" s="88"/>
      <c r="N6851" s="88"/>
      <c r="O6851" s="88"/>
      <c r="P6851" s="88"/>
      <c r="Q6851" s="88"/>
      <c r="R6851" s="78">
        <f>MAX(S6851:W6851)</f>
        <v>0</v>
      </c>
      <c r="S6851" s="88"/>
      <c r="T6851" s="88"/>
      <c r="U6851" s="88"/>
      <c r="V6851" s="88"/>
      <c r="W6851" s="88"/>
    </row>
    <row r="6852" spans="2:23" s="0" customFormat="0" ht="15">
      <c r="B6852" s="87" t="s">
        <v>1</v>
      </c>
      <c r="C6852" s="88" t="s">
        <v>5259</v>
      </c>
      <c r="D6852" s="88" t="s">
        <v>4802</v>
      </c>
      <c r="E6852" s="88" t="s">
        <v>61</v>
      </c>
      <c r="F6852" s="88">
        <v>0</v>
      </c>
      <c r="G6852" s="78">
        <f>MAX(H6852,I6852,J6852)</f>
        <v>0</v>
      </c>
      <c r="H6852" s="88"/>
      <c r="I6852" s="88"/>
      <c r="J6852" s="78">
        <f>MAX(K6852:Q6852)</f>
        <v>0</v>
      </c>
      <c r="K6852" s="88"/>
      <c r="L6852" s="88"/>
      <c r="M6852" s="88"/>
      <c r="N6852" s="88"/>
      <c r="O6852" s="88"/>
      <c r="P6852" s="88"/>
      <c r="Q6852" s="88"/>
      <c r="R6852" s="78">
        <f>MAX(S6852:W6852)</f>
        <v>1</v>
      </c>
      <c r="S6852" s="88"/>
      <c r="T6852" s="88"/>
      <c r="U6852" s="88">
        <v>1</v>
      </c>
      <c r="V6852" s="88"/>
      <c r="W6852" s="88"/>
    </row>
    <row r="6853" spans="2:23" s="0" customFormat="0" ht="15">
      <c r="B6853" s="87" t="s">
        <v>1</v>
      </c>
      <c r="C6853" s="88" t="s">
        <v>5259</v>
      </c>
      <c r="D6853" s="88">
        <v>23595944</v>
      </c>
      <c r="E6853" s="88" t="s">
        <v>61</v>
      </c>
      <c r="F6853" s="88">
        <v>0</v>
      </c>
      <c r="G6853" s="78">
        <f>MAX(H6853,I6853,J6853)</f>
        <v>1</v>
      </c>
      <c r="H6853" s="88"/>
      <c r="I6853" s="88"/>
      <c r="J6853" s="78">
        <f>MAX(K6853:Q6853)</f>
        <v>1</v>
      </c>
      <c r="K6853" s="88">
        <v>1</v>
      </c>
      <c r="L6853" s="88"/>
      <c r="M6853" s="88"/>
      <c r="N6853" s="88"/>
      <c r="O6853" s="88"/>
      <c r="P6853" s="88"/>
      <c r="Q6853" s="88"/>
      <c r="R6853" s="78">
        <f>MAX(S6853:W6853)</f>
        <v>0</v>
      </c>
      <c r="S6853" s="88"/>
      <c r="T6853" s="88"/>
      <c r="U6853" s="88"/>
      <c r="V6853" s="88"/>
      <c r="W6853" s="88"/>
    </row>
    <row r="6854" spans="2:23" s="0" customFormat="0" ht="15">
      <c r="B6854" s="87" t="s">
        <v>1</v>
      </c>
      <c r="C6854" s="88" t="s">
        <v>5259</v>
      </c>
      <c r="D6854" s="88">
        <v>13477624</v>
      </c>
      <c r="E6854" s="88" t="s">
        <v>61</v>
      </c>
      <c r="F6854" s="88">
        <v>0</v>
      </c>
      <c r="G6854" s="78">
        <f>MAX(H6854,I6854,J6854)</f>
        <v>1</v>
      </c>
      <c r="H6854" s="88"/>
      <c r="I6854" s="88"/>
      <c r="J6854" s="78">
        <f>MAX(K6854:Q6854)</f>
        <v>1</v>
      </c>
      <c r="K6854" s="88">
        <v>1</v>
      </c>
      <c r="L6854" s="88"/>
      <c r="M6854" s="88"/>
      <c r="N6854" s="88"/>
      <c r="O6854" s="88"/>
      <c r="P6854" s="88"/>
      <c r="Q6854" s="88"/>
      <c r="R6854" s="78">
        <f>MAX(S6854:W6854)</f>
        <v>0</v>
      </c>
      <c r="S6854" s="88"/>
      <c r="T6854" s="88"/>
      <c r="U6854" s="88"/>
      <c r="V6854" s="88"/>
      <c r="W6854" s="88"/>
    </row>
    <row r="6855" spans="2:23" s="0" customFormat="0" ht="15">
      <c r="B6855" s="87" t="s">
        <v>1</v>
      </c>
      <c r="C6855" s="88" t="s">
        <v>5259</v>
      </c>
      <c r="D6855" s="88" t="s">
        <v>4672</v>
      </c>
      <c r="E6855" s="88" t="s">
        <v>61</v>
      </c>
      <c r="F6855" s="88">
        <v>0</v>
      </c>
      <c r="G6855" s="78">
        <f>MAX(H6855,I6855,J6855)</f>
        <v>0</v>
      </c>
      <c r="H6855" s="88"/>
      <c r="I6855" s="88"/>
      <c r="J6855" s="78">
        <f>MAX(K6855:Q6855)</f>
        <v>0</v>
      </c>
      <c r="K6855" s="88"/>
      <c r="L6855" s="88"/>
      <c r="M6855" s="88"/>
      <c r="N6855" s="88"/>
      <c r="O6855" s="88"/>
      <c r="P6855" s="88"/>
      <c r="Q6855" s="88"/>
      <c r="R6855" s="78">
        <f>MAX(S6855:W6855)</f>
        <v>1</v>
      </c>
      <c r="S6855" s="88"/>
      <c r="T6855" s="88"/>
      <c r="U6855" s="88">
        <v>1</v>
      </c>
      <c r="V6855" s="88"/>
      <c r="W6855" s="88"/>
    </row>
    <row r="6856" spans="2:23" s="0" customFormat="0" ht="15">
      <c r="B6856" s="87" t="s">
        <v>1</v>
      </c>
      <c r="C6856" s="88" t="s">
        <v>5259</v>
      </c>
      <c r="D6856" s="88" t="s">
        <v>5204</v>
      </c>
      <c r="E6856" s="88" t="s">
        <v>61</v>
      </c>
      <c r="F6856" s="88">
        <v>0</v>
      </c>
      <c r="G6856" s="78">
        <f>MAX(H6856,I6856,J6856)</f>
        <v>0</v>
      </c>
      <c r="H6856" s="88"/>
      <c r="I6856" s="88"/>
      <c r="J6856" s="78">
        <f>MAX(K6856:Q6856)</f>
        <v>0</v>
      </c>
      <c r="K6856" s="88"/>
      <c r="L6856" s="88"/>
      <c r="M6856" s="88"/>
      <c r="N6856" s="88"/>
      <c r="O6856" s="88"/>
      <c r="P6856" s="88"/>
      <c r="Q6856" s="88"/>
      <c r="R6856" s="78">
        <f>MAX(S6856:W6856)</f>
        <v>1</v>
      </c>
      <c r="S6856" s="88"/>
      <c r="T6856" s="88"/>
      <c r="U6856" s="88">
        <v>1</v>
      </c>
      <c r="V6856" s="88"/>
      <c r="W6856" s="88"/>
    </row>
    <row r="6857" spans="2:23" s="0" customFormat="0" ht="15">
      <c r="B6857" s="87" t="s">
        <v>1</v>
      </c>
      <c r="C6857" s="88" t="s">
        <v>5259</v>
      </c>
      <c r="D6857" s="88" t="s">
        <v>4992</v>
      </c>
      <c r="E6857" s="88" t="s">
        <v>61</v>
      </c>
      <c r="F6857" s="88">
        <v>0</v>
      </c>
      <c r="G6857" s="78">
        <f>MAX(H6857,I6857,J6857)</f>
        <v>0</v>
      </c>
      <c r="H6857" s="88"/>
      <c r="I6857" s="88"/>
      <c r="J6857" s="78">
        <f>MAX(K6857:Q6857)</f>
        <v>0</v>
      </c>
      <c r="K6857" s="88"/>
      <c r="L6857" s="88"/>
      <c r="M6857" s="88"/>
      <c r="N6857" s="88"/>
      <c r="O6857" s="88"/>
      <c r="P6857" s="88"/>
      <c r="Q6857" s="88"/>
      <c r="R6857" s="78">
        <f>MAX(S6857:W6857)</f>
        <v>1</v>
      </c>
      <c r="S6857" s="88"/>
      <c r="T6857" s="88"/>
      <c r="U6857" s="88">
        <v>1</v>
      </c>
      <c r="V6857" s="88"/>
      <c r="W6857" s="88"/>
    </row>
    <row r="6858" spans="2:23" s="0" customFormat="0" ht="15">
      <c r="B6858" s="87" t="s">
        <v>1</v>
      </c>
      <c r="C6858" s="88" t="s">
        <v>5259</v>
      </c>
      <c r="D6858" s="88" t="s">
        <v>3018</v>
      </c>
      <c r="E6858" s="88" t="s">
        <v>61</v>
      </c>
      <c r="F6858" s="88">
        <v>0</v>
      </c>
      <c r="G6858" s="78">
        <f>MAX(H6858,I6858,J6858)</f>
        <v>1</v>
      </c>
      <c r="H6858" s="88"/>
      <c r="I6858" s="88"/>
      <c r="J6858" s="78">
        <f>MAX(K6858:Q6858)</f>
        <v>1</v>
      </c>
      <c r="K6858" s="88">
        <v>1</v>
      </c>
      <c r="L6858" s="88"/>
      <c r="M6858" s="88"/>
      <c r="N6858" s="88"/>
      <c r="O6858" s="88"/>
      <c r="P6858" s="88"/>
      <c r="Q6858" s="88"/>
      <c r="R6858" s="78">
        <f>MAX(S6858:W6858)</f>
        <v>0</v>
      </c>
      <c r="S6858" s="88"/>
      <c r="T6858" s="88"/>
      <c r="U6858" s="88"/>
      <c r="V6858" s="88"/>
      <c r="W6858" s="88"/>
    </row>
    <row r="6859" spans="2:23" s="0" customFormat="0" ht="15">
      <c r="B6859" s="87" t="s">
        <v>1</v>
      </c>
      <c r="C6859" s="88" t="s">
        <v>5259</v>
      </c>
      <c r="D6859" s="88">
        <v>17101589</v>
      </c>
      <c r="E6859" s="88" t="s">
        <v>61</v>
      </c>
      <c r="F6859" s="88">
        <v>0</v>
      </c>
      <c r="G6859" s="78">
        <f>MAX(H6859,I6859,J6859)</f>
        <v>1</v>
      </c>
      <c r="H6859" s="88"/>
      <c r="I6859" s="88"/>
      <c r="J6859" s="78">
        <f>MAX(K6859:Q6859)</f>
        <v>1</v>
      </c>
      <c r="K6859" s="88">
        <v>1</v>
      </c>
      <c r="L6859" s="88"/>
      <c r="M6859" s="88"/>
      <c r="N6859" s="88"/>
      <c r="O6859" s="88"/>
      <c r="P6859" s="88"/>
      <c r="Q6859" s="88"/>
      <c r="R6859" s="78">
        <f>MAX(S6859:W6859)</f>
        <v>0</v>
      </c>
      <c r="S6859" s="88"/>
      <c r="T6859" s="88"/>
      <c r="U6859" s="88"/>
      <c r="V6859" s="88"/>
      <c r="W6859" s="88"/>
    </row>
    <row r="6860" spans="2:23" s="0" customFormat="0" ht="15">
      <c r="B6860" s="87" t="s">
        <v>1</v>
      </c>
      <c r="C6860" s="88" t="s">
        <v>5259</v>
      </c>
      <c r="D6860" s="88">
        <v>21520715</v>
      </c>
      <c r="E6860" s="88" t="s">
        <v>61</v>
      </c>
      <c r="F6860" s="88">
        <v>0</v>
      </c>
      <c r="G6860" s="78">
        <f>MAX(H6860,I6860,J6860)</f>
        <v>1</v>
      </c>
      <c r="H6860" s="88"/>
      <c r="I6860" s="88"/>
      <c r="J6860" s="78">
        <f>MAX(K6860:Q6860)</f>
        <v>1</v>
      </c>
      <c r="K6860" s="88">
        <v>1</v>
      </c>
      <c r="L6860" s="88"/>
      <c r="M6860" s="88"/>
      <c r="N6860" s="88"/>
      <c r="O6860" s="88"/>
      <c r="P6860" s="88"/>
      <c r="Q6860" s="88"/>
      <c r="R6860" s="78">
        <f>MAX(S6860:W6860)</f>
        <v>0</v>
      </c>
      <c r="S6860" s="88"/>
      <c r="T6860" s="88"/>
      <c r="U6860" s="88"/>
      <c r="V6860" s="88"/>
      <c r="W6860" s="88"/>
    </row>
    <row r="6861" spans="2:23" s="0" customFormat="0" ht="15">
      <c r="B6861" s="87" t="s">
        <v>1</v>
      </c>
      <c r="C6861" s="88" t="s">
        <v>5259</v>
      </c>
      <c r="D6861" s="88" t="s">
        <v>3020</v>
      </c>
      <c r="E6861" s="88" t="s">
        <v>61</v>
      </c>
      <c r="F6861" s="88">
        <v>0</v>
      </c>
      <c r="G6861" s="78">
        <f>MAX(H6861,I6861,J6861)</f>
        <v>1</v>
      </c>
      <c r="H6861" s="88"/>
      <c r="I6861" s="88"/>
      <c r="J6861" s="78">
        <f>MAX(K6861:Q6861)</f>
        <v>1</v>
      </c>
      <c r="K6861" s="88">
        <v>1</v>
      </c>
      <c r="L6861" s="88"/>
      <c r="M6861" s="88"/>
      <c r="N6861" s="88"/>
      <c r="O6861" s="88"/>
      <c r="P6861" s="88"/>
      <c r="Q6861" s="88"/>
      <c r="R6861" s="78">
        <f>MAX(S6861:W6861)</f>
        <v>0</v>
      </c>
      <c r="S6861" s="88"/>
      <c r="T6861" s="88"/>
      <c r="U6861" s="88"/>
      <c r="V6861" s="88"/>
      <c r="W6861" s="88"/>
    </row>
    <row r="6862" spans="2:23" s="0" customFormat="0" ht="15">
      <c r="B6862" s="87" t="s">
        <v>1</v>
      </c>
      <c r="C6862" s="88" t="s">
        <v>5259</v>
      </c>
      <c r="D6862" s="88">
        <v>18657604</v>
      </c>
      <c r="E6862" s="88" t="s">
        <v>61</v>
      </c>
      <c r="F6862" s="88">
        <v>0</v>
      </c>
      <c r="G6862" s="78">
        <f>MAX(H6862,I6862,J6862)</f>
        <v>1</v>
      </c>
      <c r="H6862" s="88"/>
      <c r="I6862" s="88"/>
      <c r="J6862" s="78">
        <f>MAX(K6862:Q6862)</f>
        <v>1</v>
      </c>
      <c r="K6862" s="88">
        <v>1</v>
      </c>
      <c r="L6862" s="88"/>
      <c r="M6862" s="88"/>
      <c r="N6862" s="88"/>
      <c r="O6862" s="88"/>
      <c r="P6862" s="88"/>
      <c r="Q6862" s="88"/>
      <c r="R6862" s="78">
        <f>MAX(S6862:W6862)</f>
        <v>0</v>
      </c>
      <c r="S6862" s="88"/>
      <c r="T6862" s="88"/>
      <c r="U6862" s="88"/>
      <c r="V6862" s="88"/>
      <c r="W6862" s="88"/>
    </row>
    <row r="6863" spans="2:23" s="0" customFormat="0" ht="15">
      <c r="B6863" s="87" t="s">
        <v>1</v>
      </c>
      <c r="C6863" s="88" t="s">
        <v>5259</v>
      </c>
      <c r="D6863" s="88">
        <v>13036774</v>
      </c>
      <c r="E6863" s="88" t="s">
        <v>61</v>
      </c>
      <c r="F6863" s="88">
        <v>0</v>
      </c>
      <c r="G6863" s="78">
        <f>MAX(H6863,I6863,J6863)</f>
        <v>1</v>
      </c>
      <c r="H6863" s="88"/>
      <c r="I6863" s="88"/>
      <c r="J6863" s="78">
        <f>MAX(K6863:Q6863)</f>
        <v>1</v>
      </c>
      <c r="K6863" s="88">
        <v>1</v>
      </c>
      <c r="L6863" s="88"/>
      <c r="M6863" s="88"/>
      <c r="N6863" s="88"/>
      <c r="O6863" s="88"/>
      <c r="P6863" s="88"/>
      <c r="Q6863" s="88"/>
      <c r="R6863" s="78">
        <f>MAX(S6863:W6863)</f>
        <v>0</v>
      </c>
      <c r="S6863" s="88"/>
      <c r="T6863" s="88"/>
      <c r="U6863" s="88"/>
      <c r="V6863" s="88"/>
      <c r="W6863" s="88"/>
    </row>
    <row r="6864" spans="2:23" s="0" customFormat="0" ht="15">
      <c r="B6864" s="87" t="s">
        <v>1</v>
      </c>
      <c r="C6864" s="88" t="s">
        <v>5259</v>
      </c>
      <c r="D6864" s="88">
        <v>8903954</v>
      </c>
      <c r="E6864" s="88" t="s">
        <v>61</v>
      </c>
      <c r="F6864" s="88">
        <v>0</v>
      </c>
      <c r="G6864" s="78">
        <f>MAX(H6864,I6864,J6864)</f>
        <v>1</v>
      </c>
      <c r="H6864" s="88"/>
      <c r="I6864" s="88"/>
      <c r="J6864" s="78">
        <f>MAX(K6864:Q6864)</f>
        <v>1</v>
      </c>
      <c r="K6864" s="88">
        <v>1</v>
      </c>
      <c r="L6864" s="88"/>
      <c r="M6864" s="88"/>
      <c r="N6864" s="88"/>
      <c r="O6864" s="88"/>
      <c r="P6864" s="88"/>
      <c r="Q6864" s="88"/>
      <c r="R6864" s="78">
        <f>MAX(S6864:W6864)</f>
        <v>0</v>
      </c>
      <c r="S6864" s="88"/>
      <c r="T6864" s="88"/>
      <c r="U6864" s="88"/>
      <c r="V6864" s="88"/>
      <c r="W6864" s="88"/>
    </row>
    <row r="6865" spans="2:23" s="0" customFormat="0" ht="15">
      <c r="B6865" s="87" t="s">
        <v>1</v>
      </c>
      <c r="C6865" s="88" t="s">
        <v>5259</v>
      </c>
      <c r="D6865" s="88">
        <v>7062459</v>
      </c>
      <c r="E6865" s="88" t="s">
        <v>61</v>
      </c>
      <c r="F6865" s="88">
        <v>0</v>
      </c>
      <c r="G6865" s="78">
        <f>MAX(H6865,I6865,J6865)</f>
        <v>1</v>
      </c>
      <c r="H6865" s="88"/>
      <c r="I6865" s="88"/>
      <c r="J6865" s="78">
        <f>MAX(K6865:Q6865)</f>
        <v>1</v>
      </c>
      <c r="K6865" s="88">
        <v>1</v>
      </c>
      <c r="L6865" s="88"/>
      <c r="M6865" s="88"/>
      <c r="N6865" s="88"/>
      <c r="O6865" s="88"/>
      <c r="P6865" s="88"/>
      <c r="Q6865" s="88"/>
      <c r="R6865" s="78">
        <f>MAX(S6865:W6865)</f>
        <v>0</v>
      </c>
      <c r="S6865" s="88"/>
      <c r="T6865" s="88"/>
      <c r="U6865" s="88"/>
      <c r="V6865" s="88"/>
      <c r="W6865" s="88"/>
    </row>
    <row r="6866" spans="2:23" s="0" customFormat="0" ht="15">
      <c r="B6866" s="87" t="s">
        <v>1</v>
      </c>
      <c r="C6866" s="88" t="s">
        <v>5259</v>
      </c>
      <c r="D6866" s="88" t="s">
        <v>3545</v>
      </c>
      <c r="E6866" s="88" t="s">
        <v>61</v>
      </c>
      <c r="F6866" s="88">
        <v>0</v>
      </c>
      <c r="G6866" s="78">
        <f>MAX(H6866,I6866,J6866)</f>
        <v>0</v>
      </c>
      <c r="H6866" s="88"/>
      <c r="I6866" s="88"/>
      <c r="J6866" s="78">
        <f>MAX(K6866:Q6866)</f>
        <v>0</v>
      </c>
      <c r="K6866" s="88"/>
      <c r="L6866" s="88"/>
      <c r="M6866" s="88"/>
      <c r="N6866" s="88"/>
      <c r="O6866" s="88"/>
      <c r="P6866" s="88"/>
      <c r="Q6866" s="88"/>
      <c r="R6866" s="78">
        <f>MAX(S6866:W6866)</f>
        <v>1</v>
      </c>
      <c r="S6866" s="88"/>
      <c r="T6866" s="88"/>
      <c r="U6866" s="88">
        <v>1</v>
      </c>
      <c r="V6866" s="88"/>
      <c r="W6866" s="88"/>
    </row>
    <row r="6867" spans="2:23" s="0" customFormat="0" ht="15">
      <c r="B6867" s="87" t="s">
        <v>1</v>
      </c>
      <c r="C6867" s="88" t="s">
        <v>5259</v>
      </c>
      <c r="D6867" s="88">
        <v>22554140</v>
      </c>
      <c r="E6867" s="88" t="s">
        <v>61</v>
      </c>
      <c r="F6867" s="88">
        <v>0</v>
      </c>
      <c r="G6867" s="78">
        <f>MAX(H6867,I6867,J6867)</f>
        <v>0</v>
      </c>
      <c r="H6867" s="88"/>
      <c r="I6867" s="88"/>
      <c r="J6867" s="78">
        <f>MAX(K6867:Q6867)</f>
        <v>0</v>
      </c>
      <c r="K6867" s="88"/>
      <c r="L6867" s="88"/>
      <c r="M6867" s="88"/>
      <c r="N6867" s="88"/>
      <c r="O6867" s="88"/>
      <c r="P6867" s="88"/>
      <c r="Q6867" s="88"/>
      <c r="R6867" s="78">
        <f>MAX(S6867:W6867)</f>
        <v>1</v>
      </c>
      <c r="S6867" s="88"/>
      <c r="T6867" s="88"/>
      <c r="U6867" s="88">
        <v>1</v>
      </c>
      <c r="V6867" s="88"/>
      <c r="W6867" s="88"/>
    </row>
    <row r="6868" spans="2:23" s="0" customFormat="0" ht="15">
      <c r="B6868" s="87" t="s">
        <v>1</v>
      </c>
      <c r="C6868" s="88" t="s">
        <v>5259</v>
      </c>
      <c r="D6868" s="88" t="s">
        <v>2909</v>
      </c>
      <c r="E6868" s="88" t="s">
        <v>61</v>
      </c>
      <c r="F6868" s="88">
        <v>0</v>
      </c>
      <c r="G6868" s="78">
        <f>MAX(H6868,I6868,J6868)</f>
        <v>1</v>
      </c>
      <c r="H6868" s="88"/>
      <c r="I6868" s="88"/>
      <c r="J6868" s="78">
        <f>MAX(K6868:Q6868)</f>
        <v>1</v>
      </c>
      <c r="K6868" s="88">
        <v>1</v>
      </c>
      <c r="L6868" s="88"/>
      <c r="M6868" s="88"/>
      <c r="N6868" s="88"/>
      <c r="O6868" s="88"/>
      <c r="P6868" s="88"/>
      <c r="Q6868" s="88"/>
      <c r="R6868" s="78">
        <f>MAX(S6868:W6868)</f>
        <v>0</v>
      </c>
      <c r="S6868" s="88"/>
      <c r="T6868" s="88"/>
      <c r="U6868" s="88"/>
      <c r="V6868" s="88"/>
      <c r="W6868" s="88"/>
    </row>
    <row r="6869" spans="2:23" s="0" customFormat="0" ht="15">
      <c r="B6869" s="87" t="s">
        <v>1</v>
      </c>
      <c r="C6869" s="88" t="s">
        <v>5259</v>
      </c>
      <c r="D6869" s="88" t="s">
        <v>5244</v>
      </c>
      <c r="E6869" s="88" t="s">
        <v>61</v>
      </c>
      <c r="F6869" s="88">
        <v>0</v>
      </c>
      <c r="G6869" s="78">
        <f>MAX(H6869,I6869,J6869)</f>
        <v>0</v>
      </c>
      <c r="H6869" s="88"/>
      <c r="I6869" s="88"/>
      <c r="J6869" s="78">
        <f>MAX(K6869:Q6869)</f>
        <v>0</v>
      </c>
      <c r="K6869" s="88"/>
      <c r="L6869" s="88"/>
      <c r="M6869" s="88"/>
      <c r="N6869" s="88"/>
      <c r="O6869" s="88"/>
      <c r="P6869" s="88"/>
      <c r="Q6869" s="88"/>
      <c r="R6869" s="78">
        <f>MAX(S6869:W6869)</f>
        <v>1</v>
      </c>
      <c r="S6869" s="88"/>
      <c r="T6869" s="88"/>
      <c r="U6869" s="88">
        <v>1</v>
      </c>
      <c r="V6869" s="88"/>
      <c r="W6869" s="88"/>
    </row>
    <row r="6870" spans="2:23" s="0" customFormat="0" ht="15">
      <c r="B6870" s="87" t="s">
        <v>1</v>
      </c>
      <c r="C6870" s="88" t="s">
        <v>5259</v>
      </c>
      <c r="D6870" s="88">
        <v>22071386</v>
      </c>
      <c r="E6870" s="88" t="s">
        <v>61</v>
      </c>
      <c r="F6870" s="88">
        <v>0</v>
      </c>
      <c r="G6870" s="78">
        <f>MAX(H6870,I6870,J6870)</f>
        <v>1</v>
      </c>
      <c r="H6870" s="88"/>
      <c r="I6870" s="88"/>
      <c r="J6870" s="78">
        <f>MAX(K6870:Q6870)</f>
        <v>1</v>
      </c>
      <c r="K6870" s="88">
        <v>1</v>
      </c>
      <c r="L6870" s="88"/>
      <c r="M6870" s="88"/>
      <c r="N6870" s="88"/>
      <c r="O6870" s="88"/>
      <c r="P6870" s="88"/>
      <c r="Q6870" s="88"/>
      <c r="R6870" s="78">
        <f>MAX(S6870:W6870)</f>
        <v>0</v>
      </c>
      <c r="S6870" s="88"/>
      <c r="T6870" s="88"/>
      <c r="U6870" s="88"/>
      <c r="V6870" s="88"/>
      <c r="W6870" s="88"/>
    </row>
    <row r="6871" spans="2:23" s="0" customFormat="0" ht="15">
      <c r="B6871" s="87" t="s">
        <v>1</v>
      </c>
      <c r="C6871" s="88" t="s">
        <v>5259</v>
      </c>
      <c r="D6871" s="88" t="s">
        <v>3629</v>
      </c>
      <c r="E6871" s="88" t="s">
        <v>61</v>
      </c>
      <c r="F6871" s="88">
        <v>0</v>
      </c>
      <c r="G6871" s="78">
        <f>MAX(H6871,I6871,J6871)</f>
        <v>0</v>
      </c>
      <c r="H6871" s="88"/>
      <c r="I6871" s="88"/>
      <c r="J6871" s="78">
        <f>MAX(K6871:Q6871)</f>
        <v>0</v>
      </c>
      <c r="K6871" s="88"/>
      <c r="L6871" s="88"/>
      <c r="M6871" s="88"/>
      <c r="N6871" s="88"/>
      <c r="O6871" s="88"/>
      <c r="P6871" s="88"/>
      <c r="Q6871" s="88"/>
      <c r="R6871" s="78">
        <f>MAX(S6871:W6871)</f>
        <v>1</v>
      </c>
      <c r="S6871" s="88"/>
      <c r="T6871" s="88"/>
      <c r="U6871" s="88">
        <v>1</v>
      </c>
      <c r="V6871" s="88"/>
      <c r="W6871" s="88"/>
    </row>
    <row r="6872" spans="2:23" s="0" customFormat="0" ht="15">
      <c r="B6872" s="87" t="s">
        <v>1</v>
      </c>
      <c r="C6872" s="88" t="s">
        <v>5259</v>
      </c>
      <c r="D6872" s="88" t="s">
        <v>2113</v>
      </c>
      <c r="E6872" s="88" t="s">
        <v>61</v>
      </c>
      <c r="F6872" s="88">
        <v>0</v>
      </c>
      <c r="G6872" s="78">
        <f>MAX(H6872,I6872,J6872)</f>
        <v>1</v>
      </c>
      <c r="H6872" s="88"/>
      <c r="I6872" s="88"/>
      <c r="J6872" s="78">
        <f>MAX(K6872:Q6872)</f>
        <v>1</v>
      </c>
      <c r="K6872" s="88">
        <v>1</v>
      </c>
      <c r="L6872" s="88"/>
      <c r="M6872" s="88"/>
      <c r="N6872" s="88"/>
      <c r="O6872" s="88"/>
      <c r="P6872" s="88"/>
      <c r="Q6872" s="88"/>
      <c r="R6872" s="78">
        <f>MAX(S6872:W6872)</f>
        <v>0</v>
      </c>
      <c r="S6872" s="88"/>
      <c r="T6872" s="88"/>
      <c r="U6872" s="88"/>
      <c r="V6872" s="88"/>
      <c r="W6872" s="88"/>
    </row>
    <row r="6873" spans="2:23" s="0" customFormat="0" ht="15">
      <c r="B6873" s="87" t="s">
        <v>1</v>
      </c>
      <c r="C6873" s="88" t="s">
        <v>5259</v>
      </c>
      <c r="D6873" s="88">
        <v>12488134</v>
      </c>
      <c r="E6873" s="88" t="s">
        <v>61</v>
      </c>
      <c r="F6873" s="88">
        <v>0</v>
      </c>
      <c r="G6873" s="78">
        <f>MAX(H6873,I6873,J6873)</f>
        <v>0</v>
      </c>
      <c r="H6873" s="88"/>
      <c r="I6873" s="88"/>
      <c r="J6873" s="78">
        <f>MAX(K6873:Q6873)</f>
        <v>0</v>
      </c>
      <c r="K6873" s="88"/>
      <c r="L6873" s="88"/>
      <c r="M6873" s="88"/>
      <c r="N6873" s="88"/>
      <c r="O6873" s="88"/>
      <c r="P6873" s="88"/>
      <c r="Q6873" s="88"/>
      <c r="R6873" s="78">
        <f>MAX(S6873:W6873)</f>
        <v>1</v>
      </c>
      <c r="S6873" s="88"/>
      <c r="T6873" s="88"/>
      <c r="U6873" s="88"/>
      <c r="V6873" s="88">
        <v>1</v>
      </c>
      <c r="W6873" s="88"/>
    </row>
    <row r="6874" spans="2:23" s="0" customFormat="0" ht="15">
      <c r="B6874" s="87" t="s">
        <v>1</v>
      </c>
      <c r="C6874" s="88" t="s">
        <v>5259</v>
      </c>
      <c r="D6874" s="88">
        <v>16131459</v>
      </c>
      <c r="E6874" s="88" t="s">
        <v>61</v>
      </c>
      <c r="F6874" s="88">
        <v>0</v>
      </c>
      <c r="G6874" s="78">
        <f>MAX(H6874,I6874,J6874)</f>
        <v>1</v>
      </c>
      <c r="H6874" s="88"/>
      <c r="I6874" s="88"/>
      <c r="J6874" s="78">
        <f>MAX(K6874:Q6874)</f>
        <v>1</v>
      </c>
      <c r="K6874" s="88">
        <v>1</v>
      </c>
      <c r="L6874" s="88"/>
      <c r="M6874" s="88"/>
      <c r="N6874" s="88"/>
      <c r="O6874" s="88"/>
      <c r="P6874" s="88"/>
      <c r="Q6874" s="88"/>
      <c r="R6874" s="78">
        <f>MAX(S6874:W6874)</f>
        <v>0</v>
      </c>
      <c r="S6874" s="88"/>
      <c r="T6874" s="88"/>
      <c r="U6874" s="88"/>
      <c r="V6874" s="88"/>
      <c r="W6874" s="88"/>
    </row>
    <row r="6875" spans="2:23" s="0" customFormat="0" ht="15">
      <c r="B6875" s="87" t="s">
        <v>1</v>
      </c>
      <c r="C6875" s="88" t="s">
        <v>5259</v>
      </c>
      <c r="D6875" s="88">
        <v>23118781</v>
      </c>
      <c r="E6875" s="88" t="s">
        <v>61</v>
      </c>
      <c r="F6875" s="88">
        <v>0</v>
      </c>
      <c r="G6875" s="78">
        <f>MAX(H6875,I6875,J6875)</f>
        <v>1</v>
      </c>
      <c r="H6875" s="88"/>
      <c r="I6875" s="88"/>
      <c r="J6875" s="78">
        <f>MAX(K6875:Q6875)</f>
        <v>1</v>
      </c>
      <c r="K6875" s="88">
        <v>1</v>
      </c>
      <c r="L6875" s="88"/>
      <c r="M6875" s="88"/>
      <c r="N6875" s="88"/>
      <c r="O6875" s="88"/>
      <c r="P6875" s="88"/>
      <c r="Q6875" s="88"/>
      <c r="R6875" s="78">
        <f>MAX(S6875:W6875)</f>
        <v>0</v>
      </c>
      <c r="S6875" s="88"/>
      <c r="T6875" s="88"/>
      <c r="U6875" s="88"/>
      <c r="V6875" s="88"/>
      <c r="W6875" s="88"/>
    </row>
    <row r="6876" spans="2:23" s="0" customFormat="0" ht="15">
      <c r="B6876" s="87" t="s">
        <v>1</v>
      </c>
      <c r="C6876" s="88" t="s">
        <v>5259</v>
      </c>
      <c r="D6876" s="88" t="s">
        <v>604</v>
      </c>
      <c r="E6876" s="88" t="s">
        <v>61</v>
      </c>
      <c r="F6876" s="88">
        <v>0</v>
      </c>
      <c r="G6876" s="78">
        <f>MAX(H6876,I6876,J6876)</f>
        <v>1</v>
      </c>
      <c r="H6876" s="88"/>
      <c r="I6876" s="88"/>
      <c r="J6876" s="78">
        <f>MAX(K6876:Q6876)</f>
        <v>1</v>
      </c>
      <c r="K6876" s="88">
        <v>1</v>
      </c>
      <c r="L6876" s="88"/>
      <c r="M6876" s="88"/>
      <c r="N6876" s="88"/>
      <c r="O6876" s="88"/>
      <c r="P6876" s="88"/>
      <c r="Q6876" s="88"/>
      <c r="R6876" s="78">
        <f>MAX(S6876:W6876)</f>
        <v>0</v>
      </c>
      <c r="S6876" s="88"/>
      <c r="T6876" s="88"/>
      <c r="U6876" s="88"/>
      <c r="V6876" s="88"/>
      <c r="W6876" s="88"/>
    </row>
    <row r="6877" spans="2:23" s="0" customFormat="0" ht="15">
      <c r="B6877" s="87" t="s">
        <v>1</v>
      </c>
      <c r="C6877" s="88" t="s">
        <v>5259</v>
      </c>
      <c r="D6877" s="88" t="s">
        <v>5246</v>
      </c>
      <c r="E6877" s="88" t="s">
        <v>61</v>
      </c>
      <c r="F6877" s="88">
        <v>0</v>
      </c>
      <c r="G6877" s="78">
        <f>MAX(H6877,I6877,J6877)</f>
        <v>0</v>
      </c>
      <c r="H6877" s="88"/>
      <c r="I6877" s="88"/>
      <c r="J6877" s="78">
        <f>MAX(K6877:Q6877)</f>
        <v>0</v>
      </c>
      <c r="K6877" s="88"/>
      <c r="L6877" s="88"/>
      <c r="M6877" s="88"/>
      <c r="N6877" s="88"/>
      <c r="O6877" s="88"/>
      <c r="P6877" s="88"/>
      <c r="Q6877" s="88"/>
      <c r="R6877" s="78">
        <f>MAX(S6877:W6877)</f>
        <v>1</v>
      </c>
      <c r="S6877" s="88"/>
      <c r="T6877" s="88"/>
      <c r="U6877" s="88">
        <v>1</v>
      </c>
      <c r="V6877" s="88"/>
      <c r="W6877" s="88"/>
    </row>
    <row r="6878" spans="2:23" s="0" customFormat="0" ht="15">
      <c r="B6878" s="87" t="s">
        <v>1</v>
      </c>
      <c r="C6878" s="88" t="s">
        <v>5259</v>
      </c>
      <c r="D6878" s="88" t="s">
        <v>2864</v>
      </c>
      <c r="E6878" s="88" t="s">
        <v>61</v>
      </c>
      <c r="F6878" s="88">
        <v>0</v>
      </c>
      <c r="G6878" s="78">
        <f>MAX(H6878,I6878,J6878)</f>
        <v>1</v>
      </c>
      <c r="H6878" s="88"/>
      <c r="I6878" s="88"/>
      <c r="J6878" s="78">
        <f>MAX(K6878:Q6878)</f>
        <v>1</v>
      </c>
      <c r="K6878" s="88">
        <v>1</v>
      </c>
      <c r="L6878" s="88"/>
      <c r="M6878" s="88"/>
      <c r="N6878" s="88"/>
      <c r="O6878" s="88"/>
      <c r="P6878" s="88"/>
      <c r="Q6878" s="88"/>
      <c r="R6878" s="78">
        <f>MAX(S6878:W6878)</f>
        <v>0</v>
      </c>
      <c r="S6878" s="88"/>
      <c r="T6878" s="88"/>
      <c r="U6878" s="88"/>
      <c r="V6878" s="88"/>
      <c r="W6878" s="88"/>
    </row>
    <row r="6879" spans="2:23" s="0" customFormat="0" ht="15">
      <c r="B6879" s="87" t="s">
        <v>1</v>
      </c>
      <c r="C6879" s="88" t="s">
        <v>5259</v>
      </c>
      <c r="D6879" s="88">
        <v>17251929</v>
      </c>
      <c r="E6879" s="88" t="s">
        <v>61</v>
      </c>
      <c r="F6879" s="88">
        <v>0</v>
      </c>
      <c r="G6879" s="78">
        <f>MAX(H6879,I6879,J6879)</f>
        <v>1</v>
      </c>
      <c r="H6879" s="88"/>
      <c r="I6879" s="88"/>
      <c r="J6879" s="78">
        <f>MAX(K6879:Q6879)</f>
        <v>1</v>
      </c>
      <c r="K6879" s="88">
        <v>1</v>
      </c>
      <c r="L6879" s="88"/>
      <c r="M6879" s="88"/>
      <c r="N6879" s="88"/>
      <c r="O6879" s="88"/>
      <c r="P6879" s="88"/>
      <c r="Q6879" s="88"/>
      <c r="R6879" s="78">
        <f>MAX(S6879:W6879)</f>
        <v>0</v>
      </c>
      <c r="S6879" s="88"/>
      <c r="T6879" s="88"/>
      <c r="U6879" s="88"/>
      <c r="V6879" s="88"/>
      <c r="W6879" s="88"/>
    </row>
    <row r="6880" spans="2:23" s="0" customFormat="0" ht="15">
      <c r="B6880" s="87" t="s">
        <v>1</v>
      </c>
      <c r="C6880" s="88" t="s">
        <v>5259</v>
      </c>
      <c r="D6880" s="88">
        <v>14542340</v>
      </c>
      <c r="E6880" s="88" t="s">
        <v>61</v>
      </c>
      <c r="F6880" s="88">
        <v>0</v>
      </c>
      <c r="G6880" s="78">
        <f>MAX(H6880,I6880,J6880)</f>
        <v>1</v>
      </c>
      <c r="H6880" s="88"/>
      <c r="I6880" s="88"/>
      <c r="J6880" s="78">
        <f>MAX(K6880:Q6880)</f>
        <v>1</v>
      </c>
      <c r="K6880" s="88">
        <v>1</v>
      </c>
      <c r="L6880" s="88"/>
      <c r="M6880" s="88"/>
      <c r="N6880" s="88"/>
      <c r="O6880" s="88"/>
      <c r="P6880" s="88"/>
      <c r="Q6880" s="88"/>
      <c r="R6880" s="78">
        <f>MAX(S6880:W6880)</f>
        <v>0</v>
      </c>
      <c r="S6880" s="88"/>
      <c r="T6880" s="88"/>
      <c r="U6880" s="88"/>
      <c r="V6880" s="88"/>
      <c r="W6880" s="88"/>
    </row>
    <row r="6881" spans="2:23" s="0" customFormat="0" ht="15">
      <c r="B6881" s="87" t="s">
        <v>1</v>
      </c>
      <c r="C6881" s="88" t="s">
        <v>5259</v>
      </c>
      <c r="D6881" s="88">
        <v>17240179</v>
      </c>
      <c r="E6881" s="88" t="s">
        <v>61</v>
      </c>
      <c r="F6881" s="88">
        <v>0</v>
      </c>
      <c r="G6881" s="78">
        <f>MAX(H6881,I6881,J6881)</f>
        <v>1</v>
      </c>
      <c r="H6881" s="88"/>
      <c r="I6881" s="88"/>
      <c r="J6881" s="78">
        <f>MAX(K6881:Q6881)</f>
        <v>1</v>
      </c>
      <c r="K6881" s="88">
        <v>1</v>
      </c>
      <c r="L6881" s="88"/>
      <c r="M6881" s="88"/>
      <c r="N6881" s="88"/>
      <c r="O6881" s="88"/>
      <c r="P6881" s="88"/>
      <c r="Q6881" s="88"/>
      <c r="R6881" s="78">
        <f>MAX(S6881:W6881)</f>
        <v>0</v>
      </c>
      <c r="S6881" s="88"/>
      <c r="T6881" s="88"/>
      <c r="U6881" s="88"/>
      <c r="V6881" s="88"/>
      <c r="W6881" s="88"/>
    </row>
    <row r="6882" spans="2:23" s="0" customFormat="0" ht="15">
      <c r="B6882" s="87" t="s">
        <v>1</v>
      </c>
      <c r="C6882" s="88" t="s">
        <v>5259</v>
      </c>
      <c r="D6882" s="88">
        <v>13551324</v>
      </c>
      <c r="E6882" s="88" t="s">
        <v>61</v>
      </c>
      <c r="F6882" s="88">
        <v>0</v>
      </c>
      <c r="G6882" s="78">
        <f>MAX(H6882,I6882,J6882)</f>
        <v>1</v>
      </c>
      <c r="H6882" s="88"/>
      <c r="I6882" s="88"/>
      <c r="J6882" s="78">
        <f>MAX(K6882:Q6882)</f>
        <v>1</v>
      </c>
      <c r="K6882" s="88">
        <v>1</v>
      </c>
      <c r="L6882" s="88"/>
      <c r="M6882" s="88"/>
      <c r="N6882" s="88"/>
      <c r="O6882" s="88"/>
      <c r="P6882" s="88"/>
      <c r="Q6882" s="88"/>
      <c r="R6882" s="78">
        <f>MAX(S6882:W6882)</f>
        <v>0</v>
      </c>
      <c r="S6882" s="88"/>
      <c r="T6882" s="88"/>
      <c r="U6882" s="88"/>
      <c r="V6882" s="88"/>
      <c r="W6882" s="88"/>
    </row>
    <row r="6883" spans="2:23" s="0" customFormat="0" ht="15">
      <c r="B6883" s="87" t="s">
        <v>1</v>
      </c>
      <c r="C6883" s="88" t="s">
        <v>5259</v>
      </c>
      <c r="D6883" s="88">
        <v>20996854</v>
      </c>
      <c r="E6883" s="88" t="s">
        <v>61</v>
      </c>
      <c r="F6883" s="88">
        <v>0</v>
      </c>
      <c r="G6883" s="78">
        <f>MAX(H6883,I6883,J6883)</f>
        <v>1</v>
      </c>
      <c r="H6883" s="88"/>
      <c r="I6883" s="88"/>
      <c r="J6883" s="78">
        <f>MAX(K6883:Q6883)</f>
        <v>1</v>
      </c>
      <c r="K6883" s="88">
        <v>1</v>
      </c>
      <c r="L6883" s="88"/>
      <c r="M6883" s="88"/>
      <c r="N6883" s="88"/>
      <c r="O6883" s="88"/>
      <c r="P6883" s="88"/>
      <c r="Q6883" s="88"/>
      <c r="R6883" s="78">
        <f>MAX(S6883:W6883)</f>
        <v>0</v>
      </c>
      <c r="S6883" s="88"/>
      <c r="T6883" s="88"/>
      <c r="U6883" s="88"/>
      <c r="V6883" s="88"/>
      <c r="W6883" s="88"/>
    </row>
    <row r="6884" spans="2:23" s="0" customFormat="0" ht="15">
      <c r="B6884" s="87" t="s">
        <v>1</v>
      </c>
      <c r="C6884" s="88" t="s">
        <v>5259</v>
      </c>
      <c r="D6884" s="88" t="s">
        <v>4330</v>
      </c>
      <c r="E6884" s="88" t="s">
        <v>61</v>
      </c>
      <c r="F6884" s="88">
        <v>0</v>
      </c>
      <c r="G6884" s="78">
        <f>MAX(H6884,I6884,J6884)</f>
        <v>0</v>
      </c>
      <c r="H6884" s="88"/>
      <c r="I6884" s="88"/>
      <c r="J6884" s="78">
        <f>MAX(K6884:Q6884)</f>
        <v>0</v>
      </c>
      <c r="K6884" s="88"/>
      <c r="L6884" s="88"/>
      <c r="M6884" s="88"/>
      <c r="N6884" s="88"/>
      <c r="O6884" s="88"/>
      <c r="P6884" s="88"/>
      <c r="Q6884" s="88"/>
      <c r="R6884" s="78">
        <f>MAX(S6884:W6884)</f>
        <v>1</v>
      </c>
      <c r="S6884" s="88"/>
      <c r="T6884" s="88"/>
      <c r="U6884" s="88">
        <v>1</v>
      </c>
      <c r="V6884" s="88"/>
      <c r="W6884" s="88"/>
    </row>
    <row r="6885" spans="2:23" s="0" customFormat="0" ht="15">
      <c r="B6885" s="87" t="s">
        <v>1</v>
      </c>
      <c r="C6885" s="88" t="s">
        <v>5259</v>
      </c>
      <c r="D6885" s="88">
        <v>13555241</v>
      </c>
      <c r="E6885" s="88" t="s">
        <v>61</v>
      </c>
      <c r="F6885" s="88">
        <v>0</v>
      </c>
      <c r="G6885" s="78">
        <f>MAX(H6885,I6885,J6885)</f>
        <v>1</v>
      </c>
      <c r="H6885" s="88"/>
      <c r="I6885" s="88"/>
      <c r="J6885" s="78">
        <f>MAX(K6885:Q6885)</f>
        <v>1</v>
      </c>
      <c r="K6885" s="88">
        <v>1</v>
      </c>
      <c r="L6885" s="88"/>
      <c r="M6885" s="88"/>
      <c r="N6885" s="88"/>
      <c r="O6885" s="88"/>
      <c r="P6885" s="88"/>
      <c r="Q6885" s="88"/>
      <c r="R6885" s="78">
        <f>MAX(S6885:W6885)</f>
        <v>0</v>
      </c>
      <c r="S6885" s="88"/>
      <c r="T6885" s="88"/>
      <c r="U6885" s="88"/>
      <c r="V6885" s="88"/>
      <c r="W6885" s="88"/>
    </row>
    <row r="6886" spans="2:23" s="0" customFormat="0" ht="15">
      <c r="B6886" s="87" t="s">
        <v>1</v>
      </c>
      <c r="C6886" s="88" t="s">
        <v>5259</v>
      </c>
      <c r="D6886" s="88">
        <v>3001303</v>
      </c>
      <c r="E6886" s="88" t="s">
        <v>61</v>
      </c>
      <c r="F6886" s="88">
        <v>0</v>
      </c>
      <c r="G6886" s="78">
        <f>MAX(H6886,I6886,J6886)</f>
        <v>1</v>
      </c>
      <c r="H6886" s="88"/>
      <c r="I6886" s="88"/>
      <c r="J6886" s="78">
        <f>MAX(K6886:Q6886)</f>
        <v>1</v>
      </c>
      <c r="K6886" s="88">
        <v>1</v>
      </c>
      <c r="L6886" s="88"/>
      <c r="M6886" s="88"/>
      <c r="N6886" s="88"/>
      <c r="O6886" s="88"/>
      <c r="P6886" s="88"/>
      <c r="Q6886" s="88"/>
      <c r="R6886" s="78">
        <f>MAX(S6886:W6886)</f>
        <v>0</v>
      </c>
      <c r="S6886" s="88"/>
      <c r="T6886" s="88"/>
      <c r="U6886" s="88"/>
      <c r="V6886" s="88"/>
      <c r="W6886" s="88"/>
    </row>
    <row r="6887" spans="2:23" s="0" customFormat="0" ht="15">
      <c r="B6887" s="87" t="s">
        <v>1</v>
      </c>
      <c r="C6887" s="88" t="s">
        <v>5259</v>
      </c>
      <c r="D6887" s="88" t="s">
        <v>5244</v>
      </c>
      <c r="E6887" s="88" t="s">
        <v>61</v>
      </c>
      <c r="F6887" s="88">
        <v>0</v>
      </c>
      <c r="G6887" s="78">
        <f>MAX(H6887,I6887,J6887)</f>
        <v>0</v>
      </c>
      <c r="H6887" s="88"/>
      <c r="I6887" s="88"/>
      <c r="J6887" s="78">
        <f>MAX(K6887:Q6887)</f>
        <v>0</v>
      </c>
      <c r="K6887" s="88"/>
      <c r="L6887" s="88"/>
      <c r="M6887" s="88"/>
      <c r="N6887" s="88"/>
      <c r="O6887" s="88"/>
      <c r="P6887" s="88"/>
      <c r="Q6887" s="88"/>
      <c r="R6887" s="78">
        <f>MAX(S6887:W6887)</f>
        <v>1</v>
      </c>
      <c r="S6887" s="88"/>
      <c r="T6887" s="88"/>
      <c r="U6887" s="88">
        <v>1</v>
      </c>
      <c r="V6887" s="88"/>
      <c r="W6887" s="88"/>
    </row>
    <row r="6888" spans="2:23" s="0" customFormat="0" ht="15">
      <c r="B6888" s="87" t="s">
        <v>1</v>
      </c>
      <c r="C6888" s="88" t="s">
        <v>5259</v>
      </c>
      <c r="D6888" s="88">
        <v>4337950</v>
      </c>
      <c r="E6888" s="88" t="s">
        <v>61</v>
      </c>
      <c r="F6888" s="88">
        <v>0</v>
      </c>
      <c r="G6888" s="78">
        <f>MAX(H6888,I6888,J6888)</f>
        <v>1</v>
      </c>
      <c r="H6888" s="88"/>
      <c r="I6888" s="88"/>
      <c r="J6888" s="78">
        <f>MAX(K6888:Q6888)</f>
        <v>1</v>
      </c>
      <c r="K6888" s="88">
        <v>1</v>
      </c>
      <c r="L6888" s="88"/>
      <c r="M6888" s="88"/>
      <c r="N6888" s="88"/>
      <c r="O6888" s="88"/>
      <c r="P6888" s="88"/>
      <c r="Q6888" s="88"/>
      <c r="R6888" s="78">
        <f>MAX(S6888:W6888)</f>
        <v>0</v>
      </c>
      <c r="S6888" s="88"/>
      <c r="T6888" s="88"/>
      <c r="U6888" s="88"/>
      <c r="V6888" s="88"/>
      <c r="W6888" s="88"/>
    </row>
    <row r="6889" spans="2:23" s="0" customFormat="0" ht="15">
      <c r="B6889" s="87" t="s">
        <v>1</v>
      </c>
      <c r="C6889" s="88" t="s">
        <v>5259</v>
      </c>
      <c r="D6889" s="88">
        <v>13384013</v>
      </c>
      <c r="E6889" s="88" t="s">
        <v>61</v>
      </c>
      <c r="F6889" s="88">
        <v>0</v>
      </c>
      <c r="G6889" s="78">
        <f>MAX(H6889,I6889,J6889)</f>
        <v>1</v>
      </c>
      <c r="H6889" s="88"/>
      <c r="I6889" s="88"/>
      <c r="J6889" s="78">
        <f>MAX(K6889:Q6889)</f>
        <v>1</v>
      </c>
      <c r="K6889" s="88">
        <v>1</v>
      </c>
      <c r="L6889" s="88"/>
      <c r="M6889" s="88"/>
      <c r="N6889" s="88"/>
      <c r="O6889" s="88"/>
      <c r="P6889" s="88"/>
      <c r="Q6889" s="88"/>
      <c r="R6889" s="78">
        <f>MAX(S6889:W6889)</f>
        <v>0</v>
      </c>
      <c r="S6889" s="88"/>
      <c r="T6889" s="88"/>
      <c r="U6889" s="88"/>
      <c r="V6889" s="88"/>
      <c r="W6889" s="88"/>
    </row>
    <row r="6890" spans="2:23" s="0" customFormat="0" ht="15">
      <c r="B6890" s="87" t="s">
        <v>1</v>
      </c>
      <c r="C6890" s="88" t="s">
        <v>5259</v>
      </c>
      <c r="D6890" s="88" t="s">
        <v>2351</v>
      </c>
      <c r="E6890" s="88" t="s">
        <v>61</v>
      </c>
      <c r="F6890" s="88">
        <v>0</v>
      </c>
      <c r="G6890" s="78">
        <f>MAX(H6890,I6890,J6890)</f>
        <v>1</v>
      </c>
      <c r="H6890" s="88"/>
      <c r="I6890" s="88"/>
      <c r="J6890" s="78">
        <f>MAX(K6890:Q6890)</f>
        <v>1</v>
      </c>
      <c r="K6890" s="88">
        <v>1</v>
      </c>
      <c r="L6890" s="88"/>
      <c r="M6890" s="88"/>
      <c r="N6890" s="88"/>
      <c r="O6890" s="88"/>
      <c r="P6890" s="88"/>
      <c r="Q6890" s="88"/>
      <c r="R6890" s="78">
        <f>MAX(S6890:W6890)</f>
        <v>0</v>
      </c>
      <c r="S6890" s="88"/>
      <c r="T6890" s="88"/>
      <c r="U6890" s="88"/>
      <c r="V6890" s="88"/>
      <c r="W6890" s="88"/>
    </row>
    <row r="6891" spans="2:23" s="0" customFormat="0" ht="15">
      <c r="B6891" s="87" t="s">
        <v>1</v>
      </c>
      <c r="C6891" s="88" t="s">
        <v>5259</v>
      </c>
      <c r="D6891" s="88" t="s">
        <v>3278</v>
      </c>
      <c r="E6891" s="88" t="s">
        <v>61</v>
      </c>
      <c r="F6891" s="88">
        <v>0</v>
      </c>
      <c r="G6891" s="78">
        <f>MAX(H6891,I6891,J6891)</f>
        <v>0</v>
      </c>
      <c r="H6891" s="88"/>
      <c r="I6891" s="88"/>
      <c r="J6891" s="78">
        <f>MAX(K6891:Q6891)</f>
        <v>0</v>
      </c>
      <c r="K6891" s="88"/>
      <c r="L6891" s="88"/>
      <c r="M6891" s="88"/>
      <c r="N6891" s="88"/>
      <c r="O6891" s="88"/>
      <c r="P6891" s="88"/>
      <c r="Q6891" s="88"/>
      <c r="R6891" s="78">
        <f>MAX(S6891:W6891)</f>
        <v>1</v>
      </c>
      <c r="S6891" s="88"/>
      <c r="T6891" s="88"/>
      <c r="U6891" s="88"/>
      <c r="V6891" s="88">
        <v>1</v>
      </c>
      <c r="W6891" s="88"/>
    </row>
    <row r="6892" spans="2:23" s="0" customFormat="0" ht="15">
      <c r="B6892" s="87" t="s">
        <v>1</v>
      </c>
      <c r="C6892" s="88" t="s">
        <v>5259</v>
      </c>
      <c r="D6892" s="88" t="s">
        <v>5231</v>
      </c>
      <c r="E6892" s="88" t="s">
        <v>61</v>
      </c>
      <c r="F6892" s="88">
        <v>0</v>
      </c>
      <c r="G6892" s="78">
        <f>MAX(H6892,I6892,J6892)</f>
        <v>0</v>
      </c>
      <c r="H6892" s="88"/>
      <c r="I6892" s="88"/>
      <c r="J6892" s="78">
        <f>MAX(K6892:Q6892)</f>
        <v>0</v>
      </c>
      <c r="K6892" s="88"/>
      <c r="L6892" s="88"/>
      <c r="M6892" s="88"/>
      <c r="N6892" s="88"/>
      <c r="O6892" s="88"/>
      <c r="P6892" s="88"/>
      <c r="Q6892" s="88"/>
      <c r="R6892" s="78">
        <f>MAX(S6892:W6892)</f>
        <v>1</v>
      </c>
      <c r="S6892" s="88"/>
      <c r="T6892" s="88"/>
      <c r="U6892" s="88">
        <v>1</v>
      </c>
      <c r="V6892" s="88"/>
      <c r="W6892" s="88"/>
    </row>
    <row r="6893" spans="2:23" s="0" customFormat="0" ht="15">
      <c r="B6893" s="87" t="s">
        <v>1</v>
      </c>
      <c r="C6893" s="88" t="s">
        <v>5259</v>
      </c>
      <c r="D6893" s="88" t="s">
        <v>2008</v>
      </c>
      <c r="E6893" s="88" t="s">
        <v>61</v>
      </c>
      <c r="F6893" s="88">
        <v>0</v>
      </c>
      <c r="G6893" s="78">
        <f>MAX(H6893,I6893,J6893)</f>
        <v>1</v>
      </c>
      <c r="H6893" s="88"/>
      <c r="I6893" s="88"/>
      <c r="J6893" s="78">
        <f>MAX(K6893:Q6893)</f>
        <v>1</v>
      </c>
      <c r="K6893" s="88">
        <v>1</v>
      </c>
      <c r="L6893" s="88"/>
      <c r="M6893" s="88"/>
      <c r="N6893" s="88"/>
      <c r="O6893" s="88"/>
      <c r="P6893" s="88"/>
      <c r="Q6893" s="88"/>
      <c r="R6893" s="78">
        <f>MAX(S6893:W6893)</f>
        <v>0</v>
      </c>
      <c r="S6893" s="88"/>
      <c r="T6893" s="88"/>
      <c r="U6893" s="88"/>
      <c r="V6893" s="88"/>
      <c r="W6893" s="88"/>
    </row>
    <row r="6894" spans="2:23" s="0" customFormat="0" ht="15">
      <c r="B6894" s="87" t="s">
        <v>1</v>
      </c>
      <c r="C6894" s="88" t="s">
        <v>5259</v>
      </c>
      <c r="D6894" s="88">
        <v>14767410</v>
      </c>
      <c r="E6894" s="88" t="s">
        <v>61</v>
      </c>
      <c r="F6894" s="88">
        <v>0</v>
      </c>
      <c r="G6894" s="78">
        <f>MAX(H6894,I6894,J6894)</f>
        <v>1</v>
      </c>
      <c r="H6894" s="88"/>
      <c r="I6894" s="88"/>
      <c r="J6894" s="78">
        <f>MAX(K6894:Q6894)</f>
        <v>1</v>
      </c>
      <c r="K6894" s="88">
        <v>1</v>
      </c>
      <c r="L6894" s="88"/>
      <c r="M6894" s="88"/>
      <c r="N6894" s="88"/>
      <c r="O6894" s="88"/>
      <c r="P6894" s="88"/>
      <c r="Q6894" s="88"/>
      <c r="R6894" s="78">
        <f>MAX(S6894:W6894)</f>
        <v>0</v>
      </c>
      <c r="S6894" s="88"/>
      <c r="T6894" s="88"/>
      <c r="U6894" s="88"/>
      <c r="V6894" s="88"/>
      <c r="W6894" s="88"/>
    </row>
    <row r="6895" spans="2:23" s="0" customFormat="0" ht="15">
      <c r="B6895" s="87" t="s">
        <v>1</v>
      </c>
      <c r="C6895" s="88" t="s">
        <v>5259</v>
      </c>
      <c r="D6895" s="88" t="s">
        <v>1665</v>
      </c>
      <c r="E6895" s="88" t="s">
        <v>61</v>
      </c>
      <c r="F6895" s="88">
        <v>0</v>
      </c>
      <c r="G6895" s="78">
        <f>MAX(H6895,I6895,J6895)</f>
        <v>1</v>
      </c>
      <c r="H6895" s="88"/>
      <c r="I6895" s="88"/>
      <c r="J6895" s="78">
        <f>MAX(K6895:Q6895)</f>
        <v>1</v>
      </c>
      <c r="K6895" s="88">
        <v>1</v>
      </c>
      <c r="L6895" s="88"/>
      <c r="M6895" s="88"/>
      <c r="N6895" s="88"/>
      <c r="O6895" s="88"/>
      <c r="P6895" s="88"/>
      <c r="Q6895" s="88"/>
      <c r="R6895" s="78">
        <f>MAX(S6895:W6895)</f>
        <v>0</v>
      </c>
      <c r="S6895" s="88"/>
      <c r="T6895" s="88"/>
      <c r="U6895" s="88"/>
      <c r="V6895" s="88"/>
      <c r="W6895" s="88"/>
    </row>
    <row r="6896" spans="2:23" s="0" customFormat="0" ht="15">
      <c r="B6896" s="87" t="s">
        <v>1</v>
      </c>
      <c r="C6896" s="88" t="s">
        <v>5259</v>
      </c>
      <c r="D6896" s="88" t="s">
        <v>4796</v>
      </c>
      <c r="E6896" s="88" t="s">
        <v>61</v>
      </c>
      <c r="F6896" s="88">
        <v>0</v>
      </c>
      <c r="G6896" s="78">
        <f>MAX(H6896,I6896,J6896)</f>
        <v>0</v>
      </c>
      <c r="H6896" s="88"/>
      <c r="I6896" s="88"/>
      <c r="J6896" s="78">
        <f>MAX(K6896:Q6896)</f>
        <v>0</v>
      </c>
      <c r="K6896" s="88"/>
      <c r="L6896" s="88"/>
      <c r="M6896" s="88"/>
      <c r="N6896" s="88"/>
      <c r="O6896" s="88"/>
      <c r="P6896" s="88"/>
      <c r="Q6896" s="88"/>
      <c r="R6896" s="78">
        <f>MAX(S6896:W6896)</f>
        <v>1</v>
      </c>
      <c r="S6896" s="88"/>
      <c r="T6896" s="88"/>
      <c r="U6896" s="88">
        <v>1</v>
      </c>
      <c r="V6896" s="88"/>
      <c r="W6896" s="88"/>
    </row>
    <row r="6897" spans="2:23" s="0" customFormat="0" ht="15">
      <c r="B6897" s="87" t="s">
        <v>1</v>
      </c>
      <c r="C6897" s="88" t="s">
        <v>5259</v>
      </c>
      <c r="D6897" s="88" t="s">
        <v>3011</v>
      </c>
      <c r="E6897" s="88" t="s">
        <v>61</v>
      </c>
      <c r="F6897" s="88">
        <v>0</v>
      </c>
      <c r="G6897" s="78">
        <f>MAX(H6897,I6897,J6897)</f>
        <v>1</v>
      </c>
      <c r="H6897" s="88"/>
      <c r="I6897" s="88"/>
      <c r="J6897" s="78">
        <f>MAX(K6897:Q6897)</f>
        <v>1</v>
      </c>
      <c r="K6897" s="88">
        <v>1</v>
      </c>
      <c r="L6897" s="88"/>
      <c r="M6897" s="88"/>
      <c r="N6897" s="88"/>
      <c r="O6897" s="88"/>
      <c r="P6897" s="88"/>
      <c r="Q6897" s="88"/>
      <c r="R6897" s="78">
        <f>MAX(S6897:W6897)</f>
        <v>0</v>
      </c>
      <c r="S6897" s="88"/>
      <c r="T6897" s="88"/>
      <c r="U6897" s="88"/>
      <c r="V6897" s="88"/>
      <c r="W6897" s="88"/>
    </row>
    <row r="6898" spans="2:23" s="0" customFormat="0" ht="15">
      <c r="B6898" s="87" t="s">
        <v>1</v>
      </c>
      <c r="C6898" s="88" t="s">
        <v>5259</v>
      </c>
      <c r="D6898" s="88" t="s">
        <v>4082</v>
      </c>
      <c r="E6898" s="88" t="s">
        <v>61</v>
      </c>
      <c r="F6898" s="88">
        <v>0</v>
      </c>
      <c r="G6898" s="78">
        <f>MAX(H6898,I6898,J6898)</f>
        <v>0</v>
      </c>
      <c r="H6898" s="88"/>
      <c r="I6898" s="88"/>
      <c r="J6898" s="78">
        <f>MAX(K6898:Q6898)</f>
        <v>0</v>
      </c>
      <c r="K6898" s="88"/>
      <c r="L6898" s="88"/>
      <c r="M6898" s="88"/>
      <c r="N6898" s="88"/>
      <c r="O6898" s="88"/>
      <c r="P6898" s="88"/>
      <c r="Q6898" s="88"/>
      <c r="R6898" s="78">
        <f>MAX(S6898:W6898)</f>
        <v>1</v>
      </c>
      <c r="S6898" s="88"/>
      <c r="T6898" s="88"/>
      <c r="U6898" s="88">
        <v>1</v>
      </c>
      <c r="V6898" s="88"/>
      <c r="W6898" s="88"/>
    </row>
    <row r="6899" spans="2:23" s="0" customFormat="0" ht="15">
      <c r="B6899" s="87" t="s">
        <v>1</v>
      </c>
      <c r="C6899" s="88" t="s">
        <v>5259</v>
      </c>
      <c r="D6899" s="88">
        <v>12657547</v>
      </c>
      <c r="E6899" s="88" t="s">
        <v>61</v>
      </c>
      <c r="F6899" s="88">
        <v>0</v>
      </c>
      <c r="G6899" s="78">
        <f>MAX(H6899,I6899,J6899)</f>
        <v>1</v>
      </c>
      <c r="H6899" s="88"/>
      <c r="I6899" s="88"/>
      <c r="J6899" s="78">
        <f>MAX(K6899:Q6899)</f>
        <v>1</v>
      </c>
      <c r="K6899" s="88">
        <v>1</v>
      </c>
      <c r="L6899" s="88"/>
      <c r="M6899" s="88"/>
      <c r="N6899" s="88"/>
      <c r="O6899" s="88"/>
      <c r="P6899" s="88"/>
      <c r="Q6899" s="88"/>
      <c r="R6899" s="78">
        <f>MAX(S6899:W6899)</f>
        <v>0</v>
      </c>
      <c r="S6899" s="88"/>
      <c r="T6899" s="88"/>
      <c r="U6899" s="88"/>
      <c r="V6899" s="88"/>
      <c r="W6899" s="88"/>
    </row>
    <row r="6900" spans="2:23" s="0" customFormat="0" ht="15">
      <c r="B6900" s="87" t="s">
        <v>1</v>
      </c>
      <c r="C6900" s="88" t="s">
        <v>5259</v>
      </c>
      <c r="D6900" s="88">
        <v>16209303</v>
      </c>
      <c r="E6900" s="88" t="s">
        <v>61</v>
      </c>
      <c r="F6900" s="88">
        <v>0</v>
      </c>
      <c r="G6900" s="78">
        <f>MAX(H6900,I6900,J6900)</f>
        <v>1</v>
      </c>
      <c r="H6900" s="88"/>
      <c r="I6900" s="88"/>
      <c r="J6900" s="78">
        <f>MAX(K6900:Q6900)</f>
        <v>1</v>
      </c>
      <c r="K6900" s="88">
        <v>1</v>
      </c>
      <c r="L6900" s="88"/>
      <c r="M6900" s="88"/>
      <c r="N6900" s="88"/>
      <c r="O6900" s="88"/>
      <c r="P6900" s="88"/>
      <c r="Q6900" s="88"/>
      <c r="R6900" s="78">
        <f>MAX(S6900:W6900)</f>
        <v>0</v>
      </c>
      <c r="S6900" s="88"/>
      <c r="T6900" s="88"/>
      <c r="U6900" s="88"/>
      <c r="V6900" s="88"/>
      <c r="W6900" s="88"/>
    </row>
    <row r="6901" spans="2:23" s="0" customFormat="0" ht="15">
      <c r="B6901" s="87" t="s">
        <v>1</v>
      </c>
      <c r="C6901" s="88" t="s">
        <v>5259</v>
      </c>
      <c r="D6901" s="88" t="s">
        <v>4948</v>
      </c>
      <c r="E6901" s="88" t="s">
        <v>61</v>
      </c>
      <c r="F6901" s="88">
        <v>0</v>
      </c>
      <c r="G6901" s="78">
        <f>MAX(H6901,I6901,J6901)</f>
        <v>0</v>
      </c>
      <c r="H6901" s="88"/>
      <c r="I6901" s="88"/>
      <c r="J6901" s="78">
        <f>MAX(K6901:Q6901)</f>
        <v>0</v>
      </c>
      <c r="K6901" s="88"/>
      <c r="L6901" s="88"/>
      <c r="M6901" s="88"/>
      <c r="N6901" s="88"/>
      <c r="O6901" s="88"/>
      <c r="P6901" s="88"/>
      <c r="Q6901" s="88"/>
      <c r="R6901" s="78">
        <f>MAX(S6901:W6901)</f>
        <v>1</v>
      </c>
      <c r="S6901" s="88"/>
      <c r="T6901" s="88"/>
      <c r="U6901" s="88">
        <v>1</v>
      </c>
      <c r="V6901" s="88"/>
      <c r="W6901" s="88"/>
    </row>
    <row r="6902" spans="2:23" s="0" customFormat="0" ht="15">
      <c r="B6902" s="87" t="s">
        <v>1</v>
      </c>
      <c r="C6902" s="88" t="s">
        <v>5259</v>
      </c>
      <c r="D6902" s="88" t="s">
        <v>2248</v>
      </c>
      <c r="E6902" s="88" t="s">
        <v>61</v>
      </c>
      <c r="F6902" s="88">
        <v>0</v>
      </c>
      <c r="G6902" s="78">
        <f>MAX(H6902,I6902,J6902)</f>
        <v>1</v>
      </c>
      <c r="H6902" s="88"/>
      <c r="I6902" s="88"/>
      <c r="J6902" s="78">
        <f>MAX(K6902:Q6902)</f>
        <v>1</v>
      </c>
      <c r="K6902" s="88">
        <v>1</v>
      </c>
      <c r="L6902" s="88"/>
      <c r="M6902" s="88"/>
      <c r="N6902" s="88"/>
      <c r="O6902" s="88"/>
      <c r="P6902" s="88"/>
      <c r="Q6902" s="88"/>
      <c r="R6902" s="78">
        <f>MAX(S6902:W6902)</f>
        <v>0</v>
      </c>
      <c r="S6902" s="88"/>
      <c r="T6902" s="88"/>
      <c r="U6902" s="88"/>
      <c r="V6902" s="88"/>
      <c r="W6902" s="88"/>
    </row>
    <row r="6903" spans="2:23" s="0" customFormat="0" ht="15">
      <c r="B6903" s="87" t="s">
        <v>1</v>
      </c>
      <c r="C6903" s="88" t="s">
        <v>5259</v>
      </c>
      <c r="D6903" s="88" t="s">
        <v>4588</v>
      </c>
      <c r="E6903" s="88" t="s">
        <v>61</v>
      </c>
      <c r="F6903" s="88">
        <v>0</v>
      </c>
      <c r="G6903" s="78">
        <f>MAX(H6903,I6903,J6903)</f>
        <v>0</v>
      </c>
      <c r="H6903" s="88"/>
      <c r="I6903" s="88"/>
      <c r="J6903" s="78">
        <f>MAX(K6903:Q6903)</f>
        <v>0</v>
      </c>
      <c r="K6903" s="88"/>
      <c r="L6903" s="88"/>
      <c r="M6903" s="88"/>
      <c r="N6903" s="88"/>
      <c r="O6903" s="88"/>
      <c r="P6903" s="88"/>
      <c r="Q6903" s="88"/>
      <c r="R6903" s="78">
        <f>MAX(S6903:W6903)</f>
        <v>1</v>
      </c>
      <c r="S6903" s="88"/>
      <c r="T6903" s="88"/>
      <c r="U6903" s="88">
        <v>1</v>
      </c>
      <c r="V6903" s="88"/>
      <c r="W6903" s="88"/>
    </row>
    <row r="6904" spans="2:23" s="0" customFormat="0" ht="15">
      <c r="B6904" s="87" t="s">
        <v>1</v>
      </c>
      <c r="C6904" s="88" t="s">
        <v>5259</v>
      </c>
      <c r="D6904" s="88" t="s">
        <v>3018</v>
      </c>
      <c r="E6904" s="88" t="s">
        <v>61</v>
      </c>
      <c r="F6904" s="88">
        <v>0</v>
      </c>
      <c r="G6904" s="78">
        <f>MAX(H6904,I6904,J6904)</f>
        <v>1</v>
      </c>
      <c r="H6904" s="88"/>
      <c r="I6904" s="88"/>
      <c r="J6904" s="78">
        <f>MAX(K6904:Q6904)</f>
        <v>1</v>
      </c>
      <c r="K6904" s="88">
        <v>1</v>
      </c>
      <c r="L6904" s="88"/>
      <c r="M6904" s="88"/>
      <c r="N6904" s="88"/>
      <c r="O6904" s="88"/>
      <c r="P6904" s="88"/>
      <c r="Q6904" s="88"/>
      <c r="R6904" s="78">
        <f>MAX(S6904:W6904)</f>
        <v>0</v>
      </c>
      <c r="S6904" s="88"/>
      <c r="T6904" s="88"/>
      <c r="U6904" s="88"/>
      <c r="V6904" s="88"/>
      <c r="W6904" s="88"/>
    </row>
    <row r="6905" spans="2:23" s="0" customFormat="0" ht="15">
      <c r="B6905" s="87" t="s">
        <v>1</v>
      </c>
      <c r="C6905" s="88" t="s">
        <v>5259</v>
      </c>
      <c r="D6905" s="88">
        <v>24621131</v>
      </c>
      <c r="E6905" s="88" t="s">
        <v>61</v>
      </c>
      <c r="F6905" s="88">
        <v>0</v>
      </c>
      <c r="G6905" s="78">
        <f>MAX(H6905,I6905,J6905)</f>
        <v>1</v>
      </c>
      <c r="H6905" s="88"/>
      <c r="I6905" s="88"/>
      <c r="J6905" s="78">
        <f>MAX(K6905:Q6905)</f>
        <v>1</v>
      </c>
      <c r="K6905" s="88"/>
      <c r="L6905" s="88"/>
      <c r="M6905" s="88">
        <v>1</v>
      </c>
      <c r="N6905" s="88"/>
      <c r="O6905" s="88"/>
      <c r="P6905" s="88"/>
      <c r="Q6905" s="88"/>
      <c r="R6905" s="78">
        <f>MAX(S6905:W6905)</f>
        <v>0</v>
      </c>
      <c r="S6905" s="88"/>
      <c r="T6905" s="88"/>
      <c r="U6905" s="88"/>
      <c r="V6905" s="88"/>
      <c r="W6905" s="88"/>
    </row>
    <row r="6906" spans="2:23" s="0" customFormat="0" ht="15">
      <c r="B6906" s="87" t="s">
        <v>1</v>
      </c>
      <c r="C6906" s="88" t="s">
        <v>5259</v>
      </c>
      <c r="D6906" s="88">
        <v>14395981</v>
      </c>
      <c r="E6906" s="88" t="s">
        <v>61</v>
      </c>
      <c r="F6906" s="88">
        <v>0</v>
      </c>
      <c r="G6906" s="78">
        <f>MAX(H6906,I6906,J6906)</f>
        <v>1</v>
      </c>
      <c r="H6906" s="88"/>
      <c r="I6906" s="88"/>
      <c r="J6906" s="78">
        <f>MAX(K6906:Q6906)</f>
        <v>1</v>
      </c>
      <c r="K6906" s="88">
        <v>1</v>
      </c>
      <c r="L6906" s="88"/>
      <c r="M6906" s="88"/>
      <c r="N6906" s="88"/>
      <c r="O6906" s="88"/>
      <c r="P6906" s="88"/>
      <c r="Q6906" s="88"/>
      <c r="R6906" s="78">
        <f>MAX(S6906:W6906)</f>
        <v>0</v>
      </c>
      <c r="S6906" s="88"/>
      <c r="T6906" s="88"/>
      <c r="U6906" s="88"/>
      <c r="V6906" s="88"/>
      <c r="W6906" s="88"/>
    </row>
    <row r="6907" spans="2:23" s="0" customFormat="0" ht="15">
      <c r="B6907" s="87" t="s">
        <v>1</v>
      </c>
      <c r="C6907" s="88" t="s">
        <v>5259</v>
      </c>
      <c r="D6907" s="88">
        <v>16974793</v>
      </c>
      <c r="E6907" s="88" t="s">
        <v>61</v>
      </c>
      <c r="F6907" s="88">
        <v>0</v>
      </c>
      <c r="G6907" s="78">
        <f>MAX(H6907,I6907,J6907)</f>
        <v>0</v>
      </c>
      <c r="H6907" s="88"/>
      <c r="I6907" s="88"/>
      <c r="J6907" s="78">
        <f>MAX(K6907:Q6907)</f>
        <v>0</v>
      </c>
      <c r="K6907" s="88"/>
      <c r="L6907" s="88"/>
      <c r="M6907" s="88"/>
      <c r="N6907" s="88"/>
      <c r="O6907" s="88"/>
      <c r="P6907" s="88"/>
      <c r="Q6907" s="88"/>
      <c r="R6907" s="78">
        <f>MAX(S6907:W6907)</f>
        <v>1</v>
      </c>
      <c r="S6907" s="88"/>
      <c r="T6907" s="88"/>
      <c r="U6907" s="88">
        <v>1</v>
      </c>
      <c r="V6907" s="88"/>
      <c r="W6907" s="88"/>
    </row>
    <row r="6908" spans="2:23" s="0" customFormat="0" ht="15">
      <c r="B6908" s="87" t="s">
        <v>1</v>
      </c>
      <c r="C6908" s="88" t="s">
        <v>5259</v>
      </c>
      <c r="D6908" s="88">
        <v>15638340</v>
      </c>
      <c r="E6908" s="88" t="s">
        <v>61</v>
      </c>
      <c r="F6908" s="88">
        <v>0</v>
      </c>
      <c r="G6908" s="78">
        <f>MAX(H6908,I6908,J6908)</f>
        <v>1</v>
      </c>
      <c r="H6908" s="88"/>
      <c r="I6908" s="88"/>
      <c r="J6908" s="78">
        <f>MAX(K6908:Q6908)</f>
        <v>1</v>
      </c>
      <c r="K6908" s="88"/>
      <c r="L6908" s="88">
        <v>1</v>
      </c>
      <c r="M6908" s="88"/>
      <c r="N6908" s="88"/>
      <c r="O6908" s="88"/>
      <c r="P6908" s="88"/>
      <c r="Q6908" s="88"/>
      <c r="R6908" s="78">
        <f>MAX(S6908:W6908)</f>
        <v>0</v>
      </c>
      <c r="S6908" s="88"/>
      <c r="T6908" s="88"/>
      <c r="U6908" s="88"/>
      <c r="V6908" s="88"/>
      <c r="W6908" s="88"/>
    </row>
    <row r="6909" spans="2:23" s="0" customFormat="0" ht="15">
      <c r="B6909" s="87" t="s">
        <v>1</v>
      </c>
      <c r="C6909" s="88" t="s">
        <v>5259</v>
      </c>
      <c r="D6909" s="88" t="s">
        <v>5039</v>
      </c>
      <c r="E6909" s="88" t="s">
        <v>61</v>
      </c>
      <c r="F6909" s="88">
        <v>0</v>
      </c>
      <c r="G6909" s="78">
        <f>MAX(H6909,I6909,J6909)</f>
        <v>0</v>
      </c>
      <c r="H6909" s="88"/>
      <c r="I6909" s="88"/>
      <c r="J6909" s="78">
        <f>MAX(K6909:Q6909)</f>
        <v>0</v>
      </c>
      <c r="K6909" s="88"/>
      <c r="L6909" s="88"/>
      <c r="M6909" s="88"/>
      <c r="N6909" s="88"/>
      <c r="O6909" s="88"/>
      <c r="P6909" s="88"/>
      <c r="Q6909" s="88"/>
      <c r="R6909" s="78">
        <f>MAX(S6909:W6909)</f>
        <v>1</v>
      </c>
      <c r="S6909" s="88"/>
      <c r="T6909" s="88"/>
      <c r="U6909" s="88">
        <v>1</v>
      </c>
      <c r="V6909" s="88"/>
      <c r="W6909" s="88"/>
    </row>
    <row r="6910" spans="2:23" s="0" customFormat="0" ht="15">
      <c r="B6910" s="87" t="s">
        <v>1</v>
      </c>
      <c r="C6910" s="88" t="s">
        <v>5259</v>
      </c>
      <c r="D6910" s="88">
        <v>23824584</v>
      </c>
      <c r="E6910" s="88" t="s">
        <v>61</v>
      </c>
      <c r="F6910" s="88">
        <v>0</v>
      </c>
      <c r="G6910" s="78">
        <f>MAX(H6910,I6910,J6910)</f>
        <v>1</v>
      </c>
      <c r="H6910" s="88"/>
      <c r="I6910" s="88"/>
      <c r="J6910" s="78">
        <f>MAX(K6910:Q6910)</f>
        <v>1</v>
      </c>
      <c r="K6910" s="88">
        <v>1</v>
      </c>
      <c r="L6910" s="88"/>
      <c r="M6910" s="88"/>
      <c r="N6910" s="88"/>
      <c r="O6910" s="88"/>
      <c r="P6910" s="88"/>
      <c r="Q6910" s="88"/>
      <c r="R6910" s="78">
        <f>MAX(S6910:W6910)</f>
        <v>0</v>
      </c>
      <c r="S6910" s="88"/>
      <c r="T6910" s="88"/>
      <c r="U6910" s="88"/>
      <c r="V6910" s="88"/>
      <c r="W6910" s="88"/>
    </row>
    <row r="6911" spans="2:23" s="0" customFormat="0" ht="15">
      <c r="B6911" s="87" t="s">
        <v>1</v>
      </c>
      <c r="C6911" s="88" t="s">
        <v>5259</v>
      </c>
      <c r="D6911" s="88" t="s">
        <v>697</v>
      </c>
      <c r="E6911" s="88" t="s">
        <v>61</v>
      </c>
      <c r="F6911" s="88">
        <v>0</v>
      </c>
      <c r="G6911" s="78">
        <f>MAX(H6911,I6911,J6911)</f>
        <v>1</v>
      </c>
      <c r="H6911" s="88"/>
      <c r="I6911" s="88"/>
      <c r="J6911" s="78">
        <f>MAX(K6911:Q6911)</f>
        <v>1</v>
      </c>
      <c r="K6911" s="88">
        <v>1</v>
      </c>
      <c r="L6911" s="88"/>
      <c r="M6911" s="88"/>
      <c r="N6911" s="88"/>
      <c r="O6911" s="88"/>
      <c r="P6911" s="88"/>
      <c r="Q6911" s="88"/>
      <c r="R6911" s="78">
        <f>MAX(S6911:W6911)</f>
        <v>0</v>
      </c>
      <c r="S6911" s="88"/>
      <c r="T6911" s="88"/>
      <c r="U6911" s="88"/>
      <c r="V6911" s="88"/>
      <c r="W6911" s="88"/>
    </row>
    <row r="6912" spans="2:23" s="0" customFormat="0" ht="15">
      <c r="B6912" s="87" t="s">
        <v>1</v>
      </c>
      <c r="C6912" s="88" t="s">
        <v>5259</v>
      </c>
      <c r="D6912" s="88">
        <v>20113243</v>
      </c>
      <c r="E6912" s="88" t="s">
        <v>61</v>
      </c>
      <c r="F6912" s="88">
        <v>0</v>
      </c>
      <c r="G6912" s="78">
        <f>MAX(H6912,I6912,J6912)</f>
        <v>0</v>
      </c>
      <c r="H6912" s="88"/>
      <c r="I6912" s="88"/>
      <c r="J6912" s="78">
        <f>MAX(K6912:Q6912)</f>
        <v>0</v>
      </c>
      <c r="K6912" s="88"/>
      <c r="L6912" s="88"/>
      <c r="M6912" s="88"/>
      <c r="N6912" s="88"/>
      <c r="O6912" s="88"/>
      <c r="P6912" s="88"/>
      <c r="Q6912" s="88"/>
      <c r="R6912" s="78">
        <f>MAX(S6912:W6912)</f>
        <v>1</v>
      </c>
      <c r="S6912" s="88"/>
      <c r="T6912" s="88"/>
      <c r="U6912" s="88">
        <v>1</v>
      </c>
      <c r="V6912" s="88"/>
      <c r="W6912" s="88"/>
    </row>
    <row r="6913" spans="2:23" s="0" customFormat="0" ht="15">
      <c r="B6913" s="87" t="s">
        <v>1</v>
      </c>
      <c r="C6913" s="88" t="s">
        <v>5259</v>
      </c>
      <c r="D6913" s="88">
        <v>19216275</v>
      </c>
      <c r="E6913" s="88" t="s">
        <v>61</v>
      </c>
      <c r="F6913" s="88">
        <v>0</v>
      </c>
      <c r="G6913" s="78">
        <f>MAX(H6913,I6913,J6913)</f>
        <v>1</v>
      </c>
      <c r="H6913" s="88"/>
      <c r="I6913" s="88"/>
      <c r="J6913" s="78">
        <f>MAX(K6913:Q6913)</f>
        <v>1</v>
      </c>
      <c r="K6913" s="88">
        <v>1</v>
      </c>
      <c r="L6913" s="88"/>
      <c r="M6913" s="88"/>
      <c r="N6913" s="88"/>
      <c r="O6913" s="88"/>
      <c r="P6913" s="88"/>
      <c r="Q6913" s="88"/>
      <c r="R6913" s="78">
        <f>MAX(S6913:W6913)</f>
        <v>0</v>
      </c>
      <c r="S6913" s="88"/>
      <c r="T6913" s="88"/>
      <c r="U6913" s="88"/>
      <c r="V6913" s="88"/>
      <c r="W6913" s="88"/>
    </row>
    <row r="6914" spans="2:23" s="0" customFormat="0" ht="15">
      <c r="B6914" s="87" t="s">
        <v>1</v>
      </c>
      <c r="C6914" s="88" t="s">
        <v>5259</v>
      </c>
      <c r="D6914" s="88">
        <v>22857471</v>
      </c>
      <c r="E6914" s="88" t="s">
        <v>61</v>
      </c>
      <c r="F6914" s="88">
        <v>0</v>
      </c>
      <c r="G6914" s="78">
        <f>MAX(H6914,I6914,J6914)</f>
        <v>1</v>
      </c>
      <c r="H6914" s="88"/>
      <c r="I6914" s="88"/>
      <c r="J6914" s="78">
        <f>MAX(K6914:Q6914)</f>
        <v>1</v>
      </c>
      <c r="K6914" s="88">
        <v>1</v>
      </c>
      <c r="L6914" s="88"/>
      <c r="M6914" s="88"/>
      <c r="N6914" s="88"/>
      <c r="O6914" s="88"/>
      <c r="P6914" s="88"/>
      <c r="Q6914" s="88"/>
      <c r="R6914" s="78">
        <f>MAX(S6914:W6914)</f>
        <v>0</v>
      </c>
      <c r="S6914" s="88"/>
      <c r="T6914" s="88"/>
      <c r="U6914" s="88"/>
      <c r="V6914" s="88"/>
      <c r="W6914" s="88"/>
    </row>
    <row r="6915" spans="2:23" s="0" customFormat="0" ht="15">
      <c r="B6915" s="87" t="s">
        <v>1</v>
      </c>
      <c r="C6915" s="88" t="s">
        <v>5259</v>
      </c>
      <c r="D6915" s="88" t="s">
        <v>5138</v>
      </c>
      <c r="E6915" s="88" t="s">
        <v>61</v>
      </c>
      <c r="F6915" s="88">
        <v>0</v>
      </c>
      <c r="G6915" s="78">
        <f>MAX(H6915,I6915,J6915)</f>
        <v>0</v>
      </c>
      <c r="H6915" s="88"/>
      <c r="I6915" s="88"/>
      <c r="J6915" s="78">
        <f>MAX(K6915:Q6915)</f>
        <v>0</v>
      </c>
      <c r="K6915" s="88"/>
      <c r="L6915" s="88"/>
      <c r="M6915" s="88"/>
      <c r="N6915" s="88"/>
      <c r="O6915" s="88"/>
      <c r="P6915" s="88"/>
      <c r="Q6915" s="88"/>
      <c r="R6915" s="78">
        <f>MAX(S6915:W6915)</f>
        <v>1</v>
      </c>
      <c r="S6915" s="88"/>
      <c r="T6915" s="88"/>
      <c r="U6915" s="88">
        <v>1</v>
      </c>
      <c r="V6915" s="88"/>
      <c r="W6915" s="88"/>
    </row>
    <row r="6916" spans="2:23" s="0" customFormat="0" ht="15">
      <c r="B6916" s="87" t="s">
        <v>1</v>
      </c>
      <c r="C6916" s="88" t="s">
        <v>5259</v>
      </c>
      <c r="D6916" s="88" t="s">
        <v>2885</v>
      </c>
      <c r="E6916" s="88" t="s">
        <v>61</v>
      </c>
      <c r="F6916" s="88">
        <v>0</v>
      </c>
      <c r="G6916" s="78">
        <f>MAX(H6916,I6916,J6916)</f>
        <v>1</v>
      </c>
      <c r="H6916" s="88"/>
      <c r="I6916" s="88"/>
      <c r="J6916" s="78">
        <f>MAX(K6916:Q6916)</f>
        <v>1</v>
      </c>
      <c r="K6916" s="88">
        <v>1</v>
      </c>
      <c r="L6916" s="88"/>
      <c r="M6916" s="88"/>
      <c r="N6916" s="88"/>
      <c r="O6916" s="88"/>
      <c r="P6916" s="88"/>
      <c r="Q6916" s="88"/>
      <c r="R6916" s="78">
        <f>MAX(S6916:W6916)</f>
        <v>0</v>
      </c>
      <c r="S6916" s="88"/>
      <c r="T6916" s="88"/>
      <c r="U6916" s="88"/>
      <c r="V6916" s="88"/>
      <c r="W6916" s="88"/>
    </row>
    <row r="6917" spans="2:23" s="0" customFormat="0" ht="15">
      <c r="B6917" s="87" t="s">
        <v>1</v>
      </c>
      <c r="C6917" s="88" t="s">
        <v>5259</v>
      </c>
      <c r="D6917" s="88">
        <v>16974604</v>
      </c>
      <c r="E6917" s="88" t="s">
        <v>61</v>
      </c>
      <c r="F6917" s="88">
        <v>0</v>
      </c>
      <c r="G6917" s="78">
        <f>MAX(H6917,I6917,J6917)</f>
        <v>0</v>
      </c>
      <c r="H6917" s="88"/>
      <c r="I6917" s="88"/>
      <c r="J6917" s="78">
        <f>MAX(K6917:Q6917)</f>
        <v>0</v>
      </c>
      <c r="K6917" s="88"/>
      <c r="L6917" s="88"/>
      <c r="M6917" s="88"/>
      <c r="N6917" s="88"/>
      <c r="O6917" s="88"/>
      <c r="P6917" s="88"/>
      <c r="Q6917" s="88"/>
      <c r="R6917" s="78">
        <f>MAX(S6917:W6917)</f>
        <v>1</v>
      </c>
      <c r="S6917" s="88"/>
      <c r="T6917" s="88"/>
      <c r="U6917" s="88">
        <v>1</v>
      </c>
      <c r="V6917" s="88"/>
      <c r="W6917" s="88"/>
    </row>
    <row r="6918" spans="2:23" s="0" customFormat="0" ht="15">
      <c r="B6918" s="87" t="s">
        <v>1</v>
      </c>
      <c r="C6918" s="88" t="s">
        <v>5259</v>
      </c>
      <c r="D6918" s="88">
        <v>19295240</v>
      </c>
      <c r="E6918" s="88" t="s">
        <v>61</v>
      </c>
      <c r="F6918" s="88">
        <v>0</v>
      </c>
      <c r="G6918" s="78">
        <f>MAX(H6918,I6918,J6918)</f>
        <v>1</v>
      </c>
      <c r="H6918" s="88"/>
      <c r="I6918" s="88"/>
      <c r="J6918" s="78">
        <f>MAX(K6918:Q6918)</f>
        <v>1</v>
      </c>
      <c r="K6918" s="88">
        <v>1</v>
      </c>
      <c r="L6918" s="88"/>
      <c r="M6918" s="88"/>
      <c r="N6918" s="88"/>
      <c r="O6918" s="88"/>
      <c r="P6918" s="88"/>
      <c r="Q6918" s="88"/>
      <c r="R6918" s="78">
        <f>MAX(S6918:W6918)</f>
        <v>0</v>
      </c>
      <c r="S6918" s="88"/>
      <c r="T6918" s="88"/>
      <c r="U6918" s="88"/>
      <c r="V6918" s="88"/>
      <c r="W6918" s="88"/>
    </row>
    <row r="6919" spans="2:23" s="0" customFormat="0" ht="15">
      <c r="B6919" s="87" t="s">
        <v>1</v>
      </c>
      <c r="C6919" s="88" t="s">
        <v>5259</v>
      </c>
      <c r="D6919" s="88">
        <v>17346000</v>
      </c>
      <c r="E6919" s="88" t="s">
        <v>61</v>
      </c>
      <c r="F6919" s="88">
        <v>0</v>
      </c>
      <c r="G6919" s="78">
        <f>MAX(H6919,I6919,J6919)</f>
        <v>1</v>
      </c>
      <c r="H6919" s="88"/>
      <c r="I6919" s="88"/>
      <c r="J6919" s="78">
        <f>MAX(K6919:Q6919)</f>
        <v>1</v>
      </c>
      <c r="K6919" s="88">
        <v>1</v>
      </c>
      <c r="L6919" s="88"/>
      <c r="M6919" s="88"/>
      <c r="N6919" s="88"/>
      <c r="O6919" s="88"/>
      <c r="P6919" s="88"/>
      <c r="Q6919" s="88"/>
      <c r="R6919" s="78">
        <f>MAX(S6919:W6919)</f>
        <v>0</v>
      </c>
      <c r="S6919" s="88"/>
      <c r="T6919" s="88"/>
      <c r="U6919" s="88"/>
      <c r="V6919" s="88"/>
      <c r="W6919" s="88"/>
    </row>
    <row r="6920" spans="2:23" s="0" customFormat="0" ht="15">
      <c r="B6920" s="87" t="s">
        <v>1</v>
      </c>
      <c r="C6920" s="88" t="s">
        <v>5259</v>
      </c>
      <c r="D6920" s="88" t="s">
        <v>3023</v>
      </c>
      <c r="E6920" s="88" t="s">
        <v>61</v>
      </c>
      <c r="F6920" s="88">
        <v>0</v>
      </c>
      <c r="G6920" s="78">
        <f>MAX(H6920,I6920,J6920)</f>
        <v>1</v>
      </c>
      <c r="H6920" s="88"/>
      <c r="I6920" s="88"/>
      <c r="J6920" s="78">
        <f>MAX(K6920:Q6920)</f>
        <v>1</v>
      </c>
      <c r="K6920" s="88">
        <v>1</v>
      </c>
      <c r="L6920" s="88"/>
      <c r="M6920" s="88"/>
      <c r="N6920" s="88"/>
      <c r="O6920" s="88"/>
      <c r="P6920" s="88"/>
      <c r="Q6920" s="88"/>
      <c r="R6920" s="78">
        <f>MAX(S6920:W6920)</f>
        <v>0</v>
      </c>
      <c r="S6920" s="88"/>
      <c r="T6920" s="88"/>
      <c r="U6920" s="88"/>
      <c r="V6920" s="88"/>
      <c r="W6920" s="88"/>
    </row>
    <row r="6921" spans="2:23" s="0" customFormat="0" ht="15">
      <c r="B6921" s="87" t="s">
        <v>1</v>
      </c>
      <c r="C6921" s="88" t="s">
        <v>5259</v>
      </c>
      <c r="D6921" s="88">
        <v>12828176</v>
      </c>
      <c r="E6921" s="88" t="s">
        <v>61</v>
      </c>
      <c r="F6921" s="88">
        <v>0</v>
      </c>
      <c r="G6921" s="78">
        <f>MAX(H6921,I6921,J6921)</f>
        <v>1</v>
      </c>
      <c r="H6921" s="88"/>
      <c r="I6921" s="88"/>
      <c r="J6921" s="78">
        <f>MAX(K6921:Q6921)</f>
        <v>1</v>
      </c>
      <c r="K6921" s="88">
        <v>1</v>
      </c>
      <c r="L6921" s="88"/>
      <c r="M6921" s="88"/>
      <c r="N6921" s="88"/>
      <c r="O6921" s="88"/>
      <c r="P6921" s="88"/>
      <c r="Q6921" s="88"/>
      <c r="R6921" s="78">
        <f>MAX(S6921:W6921)</f>
        <v>0</v>
      </c>
      <c r="S6921" s="88"/>
      <c r="T6921" s="88"/>
      <c r="U6921" s="88"/>
      <c r="V6921" s="88"/>
      <c r="W6921" s="88"/>
    </row>
    <row r="6922" spans="2:23" s="0" customFormat="0" ht="15">
      <c r="B6922" s="87" t="s">
        <v>1</v>
      </c>
      <c r="C6922" s="88" t="s">
        <v>5259</v>
      </c>
      <c r="D6922" s="88" t="s">
        <v>2217</v>
      </c>
      <c r="E6922" s="88" t="s">
        <v>61</v>
      </c>
      <c r="F6922" s="88">
        <v>0</v>
      </c>
      <c r="G6922" s="78">
        <f>MAX(H6922,I6922,J6922)</f>
        <v>1</v>
      </c>
      <c r="H6922" s="88"/>
      <c r="I6922" s="88"/>
      <c r="J6922" s="78">
        <f>MAX(K6922:Q6922)</f>
        <v>1</v>
      </c>
      <c r="K6922" s="88">
        <v>1</v>
      </c>
      <c r="L6922" s="88"/>
      <c r="M6922" s="88"/>
      <c r="N6922" s="88"/>
      <c r="O6922" s="88"/>
      <c r="P6922" s="88"/>
      <c r="Q6922" s="88"/>
      <c r="R6922" s="78">
        <f>MAX(S6922:W6922)</f>
        <v>0</v>
      </c>
      <c r="S6922" s="88"/>
      <c r="T6922" s="88"/>
      <c r="U6922" s="88"/>
      <c r="V6922" s="88"/>
      <c r="W6922" s="88"/>
    </row>
    <row r="6923" spans="2:23" s="0" customFormat="0" ht="15">
      <c r="B6923" s="87" t="s">
        <v>1</v>
      </c>
      <c r="C6923" s="88" t="s">
        <v>5259</v>
      </c>
      <c r="D6923" s="88">
        <v>15242247</v>
      </c>
      <c r="E6923" s="88" t="s">
        <v>61</v>
      </c>
      <c r="F6923" s="88">
        <v>0</v>
      </c>
      <c r="G6923" s="78">
        <f>MAX(H6923,I6923,J6923)</f>
        <v>1</v>
      </c>
      <c r="H6923" s="88"/>
      <c r="I6923" s="88"/>
      <c r="J6923" s="78">
        <f>MAX(K6923:Q6923)</f>
        <v>1</v>
      </c>
      <c r="K6923" s="88">
        <v>1</v>
      </c>
      <c r="L6923" s="88"/>
      <c r="M6923" s="88"/>
      <c r="N6923" s="88"/>
      <c r="O6923" s="88"/>
      <c r="P6923" s="88"/>
      <c r="Q6923" s="88"/>
      <c r="R6923" s="78">
        <f>MAX(S6923:W6923)</f>
        <v>0</v>
      </c>
      <c r="S6923" s="88"/>
      <c r="T6923" s="88"/>
      <c r="U6923" s="88"/>
      <c r="V6923" s="88"/>
      <c r="W6923" s="88"/>
    </row>
    <row r="6924" spans="2:23" s="0" customFormat="0" ht="15">
      <c r="B6924" s="87" t="s">
        <v>1</v>
      </c>
      <c r="C6924" s="88" t="s">
        <v>5259</v>
      </c>
      <c r="D6924" s="88">
        <v>14230544</v>
      </c>
      <c r="E6924" s="88" t="s">
        <v>61</v>
      </c>
      <c r="F6924" s="88">
        <v>0</v>
      </c>
      <c r="G6924" s="78">
        <f>MAX(H6924,I6924,J6924)</f>
        <v>1</v>
      </c>
      <c r="H6924" s="88"/>
      <c r="I6924" s="88"/>
      <c r="J6924" s="78">
        <f>MAX(K6924:Q6924)</f>
        <v>1</v>
      </c>
      <c r="K6924" s="88">
        <v>1</v>
      </c>
      <c r="L6924" s="88"/>
      <c r="M6924" s="88"/>
      <c r="N6924" s="88"/>
      <c r="O6924" s="88"/>
      <c r="P6924" s="88"/>
      <c r="Q6924" s="88"/>
      <c r="R6924" s="78">
        <f>MAX(S6924:W6924)</f>
        <v>0</v>
      </c>
      <c r="S6924" s="88"/>
      <c r="T6924" s="88"/>
      <c r="U6924" s="88"/>
      <c r="V6924" s="88"/>
      <c r="W6924" s="88"/>
    </row>
    <row r="6925" spans="2:23" s="0" customFormat="0" ht="15">
      <c r="B6925" s="87" t="s">
        <v>1</v>
      </c>
      <c r="C6925" s="88" t="s">
        <v>5259</v>
      </c>
      <c r="D6925" s="88" t="s">
        <v>5206</v>
      </c>
      <c r="E6925" s="88" t="s">
        <v>61</v>
      </c>
      <c r="F6925" s="88">
        <v>0</v>
      </c>
      <c r="G6925" s="78">
        <f>MAX(H6925,I6925,J6925)</f>
        <v>0</v>
      </c>
      <c r="H6925" s="88"/>
      <c r="I6925" s="88"/>
      <c r="J6925" s="78">
        <f>MAX(K6925:Q6925)</f>
        <v>0</v>
      </c>
      <c r="K6925" s="88"/>
      <c r="L6925" s="88"/>
      <c r="M6925" s="88"/>
      <c r="N6925" s="88"/>
      <c r="O6925" s="88"/>
      <c r="P6925" s="88"/>
      <c r="Q6925" s="88"/>
      <c r="R6925" s="78">
        <f>MAX(S6925:W6925)</f>
        <v>1</v>
      </c>
      <c r="S6925" s="88"/>
      <c r="T6925" s="88"/>
      <c r="U6925" s="88">
        <v>1</v>
      </c>
      <c r="V6925" s="88"/>
      <c r="W6925" s="88"/>
    </row>
    <row r="6926" spans="2:23" s="0" customFormat="0" ht="15">
      <c r="B6926" s="87" t="s">
        <v>1</v>
      </c>
      <c r="C6926" s="88" t="s">
        <v>5259</v>
      </c>
      <c r="D6926" s="88">
        <v>20525960</v>
      </c>
      <c r="E6926" s="88" t="s">
        <v>61</v>
      </c>
      <c r="F6926" s="88">
        <v>0</v>
      </c>
      <c r="G6926" s="78">
        <f>MAX(H6926,I6926,J6926)</f>
        <v>1</v>
      </c>
      <c r="H6926" s="88"/>
      <c r="I6926" s="88"/>
      <c r="J6926" s="78">
        <f>MAX(K6926:Q6926)</f>
        <v>1</v>
      </c>
      <c r="K6926" s="88">
        <v>1</v>
      </c>
      <c r="L6926" s="88"/>
      <c r="M6926" s="88"/>
      <c r="N6926" s="88"/>
      <c r="O6926" s="88"/>
      <c r="P6926" s="88"/>
      <c r="Q6926" s="88"/>
      <c r="R6926" s="78">
        <f>MAX(S6926:W6926)</f>
        <v>0</v>
      </c>
      <c r="S6926" s="88"/>
      <c r="T6926" s="88"/>
      <c r="U6926" s="88"/>
      <c r="V6926" s="88"/>
      <c r="W6926" s="88"/>
    </row>
    <row r="6927" spans="2:23" s="0" customFormat="0" ht="15">
      <c r="B6927" s="87" t="s">
        <v>1</v>
      </c>
      <c r="C6927" s="88" t="s">
        <v>5259</v>
      </c>
      <c r="D6927" s="88">
        <v>22301292</v>
      </c>
      <c r="E6927" s="88" t="s">
        <v>61</v>
      </c>
      <c r="F6927" s="88">
        <v>0</v>
      </c>
      <c r="G6927" s="78">
        <f>MAX(H6927,I6927,J6927)</f>
        <v>1</v>
      </c>
      <c r="H6927" s="88"/>
      <c r="I6927" s="88"/>
      <c r="J6927" s="78">
        <f>MAX(K6927:Q6927)</f>
        <v>1</v>
      </c>
      <c r="K6927" s="88">
        <v>1</v>
      </c>
      <c r="L6927" s="88"/>
      <c r="M6927" s="88"/>
      <c r="N6927" s="88"/>
      <c r="O6927" s="88"/>
      <c r="P6927" s="88"/>
      <c r="Q6927" s="88"/>
      <c r="R6927" s="78">
        <f>MAX(S6927:W6927)</f>
        <v>0</v>
      </c>
      <c r="S6927" s="88"/>
      <c r="T6927" s="88"/>
      <c r="U6927" s="88"/>
      <c r="V6927" s="88"/>
      <c r="W6927" s="88"/>
    </row>
    <row r="6928" spans="2:23" s="0" customFormat="0" ht="15">
      <c r="B6928" s="87" t="s">
        <v>1</v>
      </c>
      <c r="C6928" s="88" t="s">
        <v>5259</v>
      </c>
      <c r="D6928" s="88">
        <v>13513713</v>
      </c>
      <c r="E6928" s="88" t="s">
        <v>61</v>
      </c>
      <c r="F6928" s="88">
        <v>0</v>
      </c>
      <c r="G6928" s="78">
        <f>MAX(H6928,I6928,J6928)</f>
        <v>1</v>
      </c>
      <c r="H6928" s="88"/>
      <c r="I6928" s="88"/>
      <c r="J6928" s="78">
        <f>MAX(K6928:Q6928)</f>
        <v>1</v>
      </c>
      <c r="K6928" s="88"/>
      <c r="L6928" s="88">
        <v>1</v>
      </c>
      <c r="M6928" s="88"/>
      <c r="N6928" s="88"/>
      <c r="O6928" s="88"/>
      <c r="P6928" s="88"/>
      <c r="Q6928" s="88"/>
      <c r="R6928" s="78">
        <f>MAX(S6928:W6928)</f>
        <v>0</v>
      </c>
      <c r="S6928" s="88"/>
      <c r="T6928" s="88"/>
      <c r="U6928" s="88"/>
      <c r="V6928" s="88"/>
      <c r="W6928" s="88"/>
    </row>
    <row r="6929" spans="2:23" s="0" customFormat="0" ht="15">
      <c r="B6929" s="87" t="s">
        <v>1</v>
      </c>
      <c r="C6929" s="88" t="s">
        <v>5259</v>
      </c>
      <c r="D6929" s="88" t="s">
        <v>3272</v>
      </c>
      <c r="E6929" s="88" t="s">
        <v>61</v>
      </c>
      <c r="F6929" s="88">
        <v>0</v>
      </c>
      <c r="G6929" s="78">
        <f>MAX(H6929,I6929,J6929)</f>
        <v>0</v>
      </c>
      <c r="H6929" s="88"/>
      <c r="I6929" s="88"/>
      <c r="J6929" s="78">
        <f>MAX(K6929:Q6929)</f>
        <v>0</v>
      </c>
      <c r="K6929" s="88"/>
      <c r="L6929" s="88"/>
      <c r="M6929" s="88"/>
      <c r="N6929" s="88"/>
      <c r="O6929" s="88"/>
      <c r="P6929" s="88"/>
      <c r="Q6929" s="88"/>
      <c r="R6929" s="78">
        <f>MAX(S6929:W6929)</f>
        <v>1</v>
      </c>
      <c r="S6929" s="88"/>
      <c r="T6929" s="88"/>
      <c r="U6929" s="88"/>
      <c r="V6929" s="88">
        <v>1</v>
      </c>
      <c r="W6929" s="88"/>
    </row>
    <row r="6930" spans="2:23" s="0" customFormat="0" ht="15">
      <c r="B6930" s="87" t="s">
        <v>1</v>
      </c>
      <c r="C6930" s="88" t="s">
        <v>5259</v>
      </c>
      <c r="D6930" s="88">
        <v>17252299</v>
      </c>
      <c r="E6930" s="88" t="s">
        <v>61</v>
      </c>
      <c r="F6930" s="88">
        <v>0</v>
      </c>
      <c r="G6930" s="78">
        <f>MAX(H6930,I6930,J6930)</f>
        <v>1</v>
      </c>
      <c r="H6930" s="88"/>
      <c r="I6930" s="88"/>
      <c r="J6930" s="78">
        <f>MAX(K6930:Q6930)</f>
        <v>1</v>
      </c>
      <c r="K6930" s="88">
        <v>1</v>
      </c>
      <c r="L6930" s="88"/>
      <c r="M6930" s="88"/>
      <c r="N6930" s="88"/>
      <c r="O6930" s="88"/>
      <c r="P6930" s="88"/>
      <c r="Q6930" s="88"/>
      <c r="R6930" s="78">
        <f>MAX(S6930:W6930)</f>
        <v>0</v>
      </c>
      <c r="S6930" s="88"/>
      <c r="T6930" s="88"/>
      <c r="U6930" s="88"/>
      <c r="V6930" s="88"/>
      <c r="W6930" s="88"/>
    </row>
    <row r="6931" spans="2:23" s="0" customFormat="0" ht="15">
      <c r="B6931" s="87" t="s">
        <v>1</v>
      </c>
      <c r="C6931" s="88" t="s">
        <v>5259</v>
      </c>
      <c r="D6931" s="88" t="s">
        <v>2447</v>
      </c>
      <c r="E6931" s="88" t="s">
        <v>61</v>
      </c>
      <c r="F6931" s="88">
        <v>0</v>
      </c>
      <c r="G6931" s="78">
        <f>MAX(H6931,I6931,J6931)</f>
        <v>1</v>
      </c>
      <c r="H6931" s="88"/>
      <c r="I6931" s="88"/>
      <c r="J6931" s="78">
        <f>MAX(K6931:Q6931)</f>
        <v>1</v>
      </c>
      <c r="K6931" s="88">
        <v>1</v>
      </c>
      <c r="L6931" s="88"/>
      <c r="M6931" s="88"/>
      <c r="N6931" s="88"/>
      <c r="O6931" s="88"/>
      <c r="P6931" s="88"/>
      <c r="Q6931" s="88"/>
      <c r="R6931" s="78">
        <f>MAX(S6931:W6931)</f>
        <v>0</v>
      </c>
      <c r="S6931" s="88"/>
      <c r="T6931" s="88"/>
      <c r="U6931" s="88"/>
      <c r="V6931" s="88"/>
      <c r="W6931" s="88"/>
    </row>
    <row r="6932" spans="2:23" s="0" customFormat="0" ht="15">
      <c r="B6932" s="87" t="s">
        <v>1</v>
      </c>
      <c r="C6932" s="88" t="s">
        <v>5259</v>
      </c>
      <c r="D6932" s="88">
        <v>17849852</v>
      </c>
      <c r="E6932" s="88" t="s">
        <v>61</v>
      </c>
      <c r="F6932" s="88">
        <v>0</v>
      </c>
      <c r="G6932" s="78">
        <f>MAX(H6932,I6932,J6932)</f>
        <v>0</v>
      </c>
      <c r="H6932" s="88"/>
      <c r="I6932" s="88"/>
      <c r="J6932" s="78">
        <f>MAX(K6932:Q6932)</f>
        <v>0</v>
      </c>
      <c r="K6932" s="88"/>
      <c r="L6932" s="88"/>
      <c r="M6932" s="88"/>
      <c r="N6932" s="88"/>
      <c r="O6932" s="88"/>
      <c r="P6932" s="88"/>
      <c r="Q6932" s="88"/>
      <c r="R6932" s="78">
        <f>MAX(S6932:W6932)</f>
        <v>1</v>
      </c>
      <c r="S6932" s="88"/>
      <c r="T6932" s="88"/>
      <c r="U6932" s="88">
        <v>1</v>
      </c>
      <c r="V6932" s="88"/>
      <c r="W6932" s="88"/>
    </row>
    <row r="6933" spans="2:23" s="0" customFormat="0" ht="15">
      <c r="B6933" s="87" t="s">
        <v>1</v>
      </c>
      <c r="C6933" s="88" t="s">
        <v>5259</v>
      </c>
      <c r="D6933" s="88" t="s">
        <v>3523</v>
      </c>
      <c r="E6933" s="88" t="s">
        <v>61</v>
      </c>
      <c r="F6933" s="88">
        <v>0</v>
      </c>
      <c r="G6933" s="78">
        <f>MAX(H6933,I6933,J6933)</f>
        <v>0</v>
      </c>
      <c r="H6933" s="88"/>
      <c r="I6933" s="88"/>
      <c r="J6933" s="78">
        <f>MAX(K6933:Q6933)</f>
        <v>0</v>
      </c>
      <c r="K6933" s="88"/>
      <c r="L6933" s="88"/>
      <c r="M6933" s="88"/>
      <c r="N6933" s="88"/>
      <c r="O6933" s="88"/>
      <c r="P6933" s="88"/>
      <c r="Q6933" s="88"/>
      <c r="R6933" s="78">
        <f>MAX(S6933:W6933)</f>
        <v>1</v>
      </c>
      <c r="S6933" s="88"/>
      <c r="T6933" s="88"/>
      <c r="U6933" s="88">
        <v>1</v>
      </c>
      <c r="V6933" s="88"/>
      <c r="W6933" s="88"/>
    </row>
    <row r="6934" spans="2:23" s="0" customFormat="0" ht="15">
      <c r="B6934" s="87" t="s">
        <v>1</v>
      </c>
      <c r="C6934" s="88" t="s">
        <v>5259</v>
      </c>
      <c r="D6934" s="88">
        <v>18085385</v>
      </c>
      <c r="E6934" s="88" t="s">
        <v>61</v>
      </c>
      <c r="F6934" s="88">
        <v>0</v>
      </c>
      <c r="G6934" s="78">
        <f>MAX(H6934,I6934,J6934)</f>
        <v>1</v>
      </c>
      <c r="H6934" s="88"/>
      <c r="I6934" s="88"/>
      <c r="J6934" s="78">
        <f>MAX(K6934:Q6934)</f>
        <v>1</v>
      </c>
      <c r="K6934" s="88">
        <v>1</v>
      </c>
      <c r="L6934" s="88"/>
      <c r="M6934" s="88"/>
      <c r="N6934" s="88"/>
      <c r="O6934" s="88"/>
      <c r="P6934" s="88"/>
      <c r="Q6934" s="88"/>
      <c r="R6934" s="78">
        <f>MAX(S6934:W6934)</f>
        <v>0</v>
      </c>
      <c r="S6934" s="88"/>
      <c r="T6934" s="88"/>
      <c r="U6934" s="88"/>
      <c r="V6934" s="88"/>
      <c r="W6934" s="88"/>
    </row>
    <row r="6935" spans="2:23" s="0" customFormat="0" ht="15">
      <c r="B6935" s="87" t="s">
        <v>1</v>
      </c>
      <c r="C6935" s="88" t="s">
        <v>5259</v>
      </c>
      <c r="D6935" s="88">
        <v>23353978</v>
      </c>
      <c r="E6935" s="88" t="s">
        <v>61</v>
      </c>
      <c r="F6935" s="88">
        <v>0</v>
      </c>
      <c r="G6935" s="78">
        <f>MAX(H6935,I6935,J6935)</f>
        <v>1</v>
      </c>
      <c r="H6935" s="88"/>
      <c r="I6935" s="88"/>
      <c r="J6935" s="78">
        <f>MAX(K6935:Q6935)</f>
        <v>1</v>
      </c>
      <c r="K6935" s="88">
        <v>1</v>
      </c>
      <c r="L6935" s="88"/>
      <c r="M6935" s="88"/>
      <c r="N6935" s="88"/>
      <c r="O6935" s="88"/>
      <c r="P6935" s="88"/>
      <c r="Q6935" s="88"/>
      <c r="R6935" s="78">
        <f>MAX(S6935:W6935)</f>
        <v>0</v>
      </c>
      <c r="S6935" s="88"/>
      <c r="T6935" s="88"/>
      <c r="U6935" s="88"/>
      <c r="V6935" s="88"/>
      <c r="W6935" s="88"/>
    </row>
    <row r="6936" spans="2:23" s="0" customFormat="0" ht="15">
      <c r="B6936" s="87" t="s">
        <v>1</v>
      </c>
      <c r="C6936" s="88" t="s">
        <v>5259</v>
      </c>
      <c r="D6936" s="88">
        <v>13658441</v>
      </c>
      <c r="E6936" s="88" t="s">
        <v>61</v>
      </c>
      <c r="F6936" s="88">
        <v>0</v>
      </c>
      <c r="G6936" s="78">
        <f>MAX(H6936,I6936,J6936)</f>
        <v>1</v>
      </c>
      <c r="H6936" s="88"/>
      <c r="I6936" s="88"/>
      <c r="J6936" s="78">
        <f>MAX(K6936:Q6936)</f>
        <v>1</v>
      </c>
      <c r="K6936" s="88">
        <v>1</v>
      </c>
      <c r="L6936" s="88"/>
      <c r="M6936" s="88"/>
      <c r="N6936" s="88"/>
      <c r="O6936" s="88"/>
      <c r="P6936" s="88"/>
      <c r="Q6936" s="88"/>
      <c r="R6936" s="78">
        <f>MAX(S6936:W6936)</f>
        <v>0</v>
      </c>
      <c r="S6936" s="88"/>
      <c r="T6936" s="88"/>
      <c r="U6936" s="88"/>
      <c r="V6936" s="88"/>
      <c r="W6936" s="88"/>
    </row>
    <row r="6937" spans="2:23" s="0" customFormat="0" ht="15">
      <c r="B6937" s="87" t="s">
        <v>1</v>
      </c>
      <c r="C6937" s="88" t="s">
        <v>5259</v>
      </c>
      <c r="D6937" s="88" t="s">
        <v>4106</v>
      </c>
      <c r="E6937" s="88" t="s">
        <v>61</v>
      </c>
      <c r="F6937" s="88">
        <v>0</v>
      </c>
      <c r="G6937" s="78">
        <f>MAX(H6937,I6937,J6937)</f>
        <v>0</v>
      </c>
      <c r="H6937" s="88"/>
      <c r="I6937" s="88"/>
      <c r="J6937" s="78">
        <f>MAX(K6937:Q6937)</f>
        <v>0</v>
      </c>
      <c r="K6937" s="88"/>
      <c r="L6937" s="88"/>
      <c r="M6937" s="88"/>
      <c r="N6937" s="88"/>
      <c r="O6937" s="88"/>
      <c r="P6937" s="88"/>
      <c r="Q6937" s="88"/>
      <c r="R6937" s="78">
        <f>MAX(S6937:W6937)</f>
        <v>1</v>
      </c>
      <c r="S6937" s="88"/>
      <c r="T6937" s="88"/>
      <c r="U6937" s="88">
        <v>1</v>
      </c>
      <c r="V6937" s="88"/>
      <c r="W6937" s="88"/>
    </row>
    <row r="6938" spans="2:23" s="0" customFormat="0" ht="15">
      <c r="B6938" s="87" t="s">
        <v>1</v>
      </c>
      <c r="C6938" s="88" t="s">
        <v>5259</v>
      </c>
      <c r="D6938" s="88">
        <v>22251687</v>
      </c>
      <c r="E6938" s="88" t="s">
        <v>61</v>
      </c>
      <c r="F6938" s="88">
        <v>0</v>
      </c>
      <c r="G6938" s="78">
        <f>MAX(H6938,I6938,J6938)</f>
        <v>1</v>
      </c>
      <c r="H6938" s="88"/>
      <c r="I6938" s="88"/>
      <c r="J6938" s="78">
        <f>MAX(K6938:Q6938)</f>
        <v>1</v>
      </c>
      <c r="K6938" s="88">
        <v>1</v>
      </c>
      <c r="L6938" s="88"/>
      <c r="M6938" s="88"/>
      <c r="N6938" s="88"/>
      <c r="O6938" s="88"/>
      <c r="P6938" s="88"/>
      <c r="Q6938" s="88"/>
      <c r="R6938" s="78">
        <f>MAX(S6938:W6938)</f>
        <v>0</v>
      </c>
      <c r="S6938" s="88"/>
      <c r="T6938" s="88"/>
      <c r="U6938" s="88"/>
      <c r="V6938" s="88"/>
      <c r="W6938" s="88"/>
    </row>
    <row r="6939" spans="2:23" s="0" customFormat="0" ht="15">
      <c r="B6939" s="87" t="s">
        <v>1</v>
      </c>
      <c r="C6939" s="88" t="s">
        <v>5259</v>
      </c>
      <c r="D6939" s="88" t="s">
        <v>2315</v>
      </c>
      <c r="E6939" s="88" t="s">
        <v>61</v>
      </c>
      <c r="F6939" s="88">
        <v>0</v>
      </c>
      <c r="G6939" s="78">
        <f>MAX(H6939,I6939,J6939)</f>
        <v>1</v>
      </c>
      <c r="H6939" s="88"/>
      <c r="I6939" s="88"/>
      <c r="J6939" s="78">
        <f>MAX(K6939:Q6939)</f>
        <v>1</v>
      </c>
      <c r="K6939" s="88">
        <v>1</v>
      </c>
      <c r="L6939" s="88"/>
      <c r="M6939" s="88"/>
      <c r="N6939" s="88"/>
      <c r="O6939" s="88"/>
      <c r="P6939" s="88"/>
      <c r="Q6939" s="88"/>
      <c r="R6939" s="78">
        <f>MAX(S6939:W6939)</f>
        <v>0</v>
      </c>
      <c r="S6939" s="88"/>
      <c r="T6939" s="88"/>
      <c r="U6939" s="88"/>
      <c r="V6939" s="88"/>
      <c r="W6939" s="88"/>
    </row>
    <row r="6940" spans="2:23" s="0" customFormat="0" ht="15">
      <c r="B6940" s="87" t="s">
        <v>1</v>
      </c>
      <c r="C6940" s="88" t="s">
        <v>5259</v>
      </c>
      <c r="D6940" s="88" t="s">
        <v>4461</v>
      </c>
      <c r="E6940" s="88" t="s">
        <v>61</v>
      </c>
      <c r="F6940" s="88">
        <v>0</v>
      </c>
      <c r="G6940" s="78">
        <f>MAX(H6940,I6940,J6940)</f>
        <v>0</v>
      </c>
      <c r="H6940" s="88"/>
      <c r="I6940" s="88"/>
      <c r="J6940" s="78">
        <f>MAX(K6940:Q6940)</f>
        <v>0</v>
      </c>
      <c r="K6940" s="88"/>
      <c r="L6940" s="88"/>
      <c r="M6940" s="88"/>
      <c r="N6940" s="88"/>
      <c r="O6940" s="88"/>
      <c r="P6940" s="88"/>
      <c r="Q6940" s="88"/>
      <c r="R6940" s="78">
        <f>MAX(S6940:W6940)</f>
        <v>1</v>
      </c>
      <c r="S6940" s="88"/>
      <c r="T6940" s="88"/>
      <c r="U6940" s="88">
        <v>1</v>
      </c>
      <c r="V6940" s="88"/>
      <c r="W6940" s="88"/>
    </row>
    <row r="6941" spans="2:23" s="0" customFormat="0" ht="15">
      <c r="B6941" s="87" t="s">
        <v>1</v>
      </c>
      <c r="C6941" s="88" t="s">
        <v>5259</v>
      </c>
      <c r="D6941" s="88" t="s">
        <v>5228</v>
      </c>
      <c r="E6941" s="88" t="s">
        <v>61</v>
      </c>
      <c r="F6941" s="88">
        <v>0</v>
      </c>
      <c r="G6941" s="78">
        <f>MAX(H6941,I6941,J6941)</f>
        <v>0</v>
      </c>
      <c r="H6941" s="88"/>
      <c r="I6941" s="88"/>
      <c r="J6941" s="78">
        <f>MAX(K6941:Q6941)</f>
        <v>0</v>
      </c>
      <c r="K6941" s="88"/>
      <c r="L6941" s="88"/>
      <c r="M6941" s="88"/>
      <c r="N6941" s="88"/>
      <c r="O6941" s="88"/>
      <c r="P6941" s="88"/>
      <c r="Q6941" s="88"/>
      <c r="R6941" s="78">
        <f>MAX(S6941:W6941)</f>
        <v>1</v>
      </c>
      <c r="S6941" s="88"/>
      <c r="T6941" s="88"/>
      <c r="U6941" s="88">
        <v>1</v>
      </c>
      <c r="V6941" s="88"/>
      <c r="W6941" s="88"/>
    </row>
    <row r="6942" spans="2:23" s="0" customFormat="0" ht="15">
      <c r="B6942" s="87" t="s">
        <v>1</v>
      </c>
      <c r="C6942" s="88" t="s">
        <v>5259</v>
      </c>
      <c r="D6942" s="88">
        <v>4310929</v>
      </c>
      <c r="E6942" s="88" t="s">
        <v>61</v>
      </c>
      <c r="F6942" s="88">
        <v>0</v>
      </c>
      <c r="G6942" s="78">
        <f>MAX(H6942,I6942,J6942)</f>
        <v>1</v>
      </c>
      <c r="H6942" s="88"/>
      <c r="I6942" s="88"/>
      <c r="J6942" s="78">
        <f>MAX(K6942:Q6942)</f>
        <v>1</v>
      </c>
      <c r="K6942" s="88">
        <v>1</v>
      </c>
      <c r="L6942" s="88"/>
      <c r="M6942" s="88"/>
      <c r="N6942" s="88"/>
      <c r="O6942" s="88"/>
      <c r="P6942" s="88"/>
      <c r="Q6942" s="88"/>
      <c r="R6942" s="78">
        <f>MAX(S6942:W6942)</f>
        <v>0</v>
      </c>
      <c r="S6942" s="88"/>
      <c r="T6942" s="88"/>
      <c r="U6942" s="88"/>
      <c r="V6942" s="88"/>
      <c r="W6942" s="88"/>
    </row>
    <row r="6943" spans="2:23" s="0" customFormat="0" ht="15">
      <c r="B6943" s="87" t="s">
        <v>1</v>
      </c>
      <c r="C6943" s="88" t="s">
        <v>5259</v>
      </c>
      <c r="D6943" s="88" t="s">
        <v>2976</v>
      </c>
      <c r="E6943" s="88" t="s">
        <v>61</v>
      </c>
      <c r="F6943" s="88">
        <v>0</v>
      </c>
      <c r="G6943" s="78">
        <f>MAX(H6943,I6943,J6943)</f>
        <v>1</v>
      </c>
      <c r="H6943" s="88"/>
      <c r="I6943" s="88"/>
      <c r="J6943" s="78">
        <f>MAX(K6943:Q6943)</f>
        <v>1</v>
      </c>
      <c r="K6943" s="88">
        <v>1</v>
      </c>
      <c r="L6943" s="88"/>
      <c r="M6943" s="88"/>
      <c r="N6943" s="88"/>
      <c r="O6943" s="88"/>
      <c r="P6943" s="88"/>
      <c r="Q6943" s="88"/>
      <c r="R6943" s="78">
        <f>MAX(S6943:W6943)</f>
        <v>0</v>
      </c>
      <c r="S6943" s="88"/>
      <c r="T6943" s="88"/>
      <c r="U6943" s="88"/>
      <c r="V6943" s="88"/>
      <c r="W6943" s="88"/>
    </row>
    <row r="6944" spans="2:23" s="0" customFormat="0" ht="15">
      <c r="B6944" s="87" t="s">
        <v>1</v>
      </c>
      <c r="C6944" s="88" t="s">
        <v>5259</v>
      </c>
      <c r="D6944" s="88">
        <v>15086004</v>
      </c>
      <c r="E6944" s="88" t="s">
        <v>61</v>
      </c>
      <c r="F6944" s="88">
        <v>0</v>
      </c>
      <c r="G6944" s="78">
        <f>MAX(H6944,I6944,J6944)</f>
        <v>0</v>
      </c>
      <c r="H6944" s="88"/>
      <c r="I6944" s="88"/>
      <c r="J6944" s="78">
        <f>MAX(K6944:Q6944)</f>
        <v>0</v>
      </c>
      <c r="K6944" s="88"/>
      <c r="L6944" s="88"/>
      <c r="M6944" s="88"/>
      <c r="N6944" s="88"/>
      <c r="O6944" s="88"/>
      <c r="P6944" s="88"/>
      <c r="Q6944" s="88"/>
      <c r="R6944" s="78">
        <f>MAX(S6944:W6944)</f>
        <v>1</v>
      </c>
      <c r="S6944" s="88"/>
      <c r="T6944" s="88"/>
      <c r="U6944" s="88">
        <v>1</v>
      </c>
      <c r="V6944" s="88"/>
      <c r="W6944" s="88"/>
    </row>
    <row r="6945" spans="2:23" s="0" customFormat="0" ht="15">
      <c r="B6945" s="87" t="s">
        <v>1</v>
      </c>
      <c r="C6945" s="88" t="s">
        <v>5259</v>
      </c>
      <c r="D6945" s="88" t="s">
        <v>3750</v>
      </c>
      <c r="E6945" s="88" t="s">
        <v>61</v>
      </c>
      <c r="F6945" s="88">
        <v>0</v>
      </c>
      <c r="G6945" s="78">
        <f>MAX(H6945,I6945,J6945)</f>
        <v>0</v>
      </c>
      <c r="H6945" s="88"/>
      <c r="I6945" s="88"/>
      <c r="J6945" s="78">
        <f>MAX(K6945:Q6945)</f>
        <v>0</v>
      </c>
      <c r="K6945" s="88"/>
      <c r="L6945" s="88"/>
      <c r="M6945" s="88"/>
      <c r="N6945" s="88"/>
      <c r="O6945" s="88"/>
      <c r="P6945" s="88"/>
      <c r="Q6945" s="88"/>
      <c r="R6945" s="78">
        <f>MAX(S6945:W6945)</f>
        <v>1</v>
      </c>
      <c r="S6945" s="88"/>
      <c r="T6945" s="88"/>
      <c r="U6945" s="88">
        <v>1</v>
      </c>
      <c r="V6945" s="88"/>
      <c r="W6945" s="88"/>
    </row>
    <row r="6946" spans="2:23" s="0" customFormat="0" ht="15">
      <c r="B6946" s="87" t="s">
        <v>1</v>
      </c>
      <c r="C6946" s="88" t="s">
        <v>5259</v>
      </c>
      <c r="D6946" s="88">
        <v>12138004</v>
      </c>
      <c r="E6946" s="88" t="s">
        <v>61</v>
      </c>
      <c r="F6946" s="88">
        <v>0</v>
      </c>
      <c r="G6946" s="78">
        <f>MAX(H6946,I6946,J6946)</f>
        <v>1</v>
      </c>
      <c r="H6946" s="88"/>
      <c r="I6946" s="88"/>
      <c r="J6946" s="78">
        <f>MAX(K6946:Q6946)</f>
        <v>1</v>
      </c>
      <c r="K6946" s="88">
        <v>1</v>
      </c>
      <c r="L6946" s="88"/>
      <c r="M6946" s="88"/>
      <c r="N6946" s="88"/>
      <c r="O6946" s="88"/>
      <c r="P6946" s="88"/>
      <c r="Q6946" s="88"/>
      <c r="R6946" s="78">
        <f>MAX(S6946:W6946)</f>
        <v>0</v>
      </c>
      <c r="S6946" s="88"/>
      <c r="T6946" s="88"/>
      <c r="U6946" s="88"/>
      <c r="V6946" s="88"/>
      <c r="W6946" s="88"/>
    </row>
    <row r="6947" spans="2:23" s="0" customFormat="0" ht="15">
      <c r="B6947" s="87" t="s">
        <v>1</v>
      </c>
      <c r="C6947" s="88" t="s">
        <v>5259</v>
      </c>
      <c r="D6947" s="88">
        <v>14497935</v>
      </c>
      <c r="E6947" s="88" t="s">
        <v>61</v>
      </c>
      <c r="F6947" s="88">
        <v>0</v>
      </c>
      <c r="G6947" s="78">
        <f>MAX(H6947,I6947,J6947)</f>
        <v>1</v>
      </c>
      <c r="H6947" s="88"/>
      <c r="I6947" s="88"/>
      <c r="J6947" s="78">
        <f>MAX(K6947:Q6947)</f>
        <v>1</v>
      </c>
      <c r="K6947" s="88">
        <v>1</v>
      </c>
      <c r="L6947" s="88"/>
      <c r="M6947" s="88"/>
      <c r="N6947" s="88"/>
      <c r="O6947" s="88"/>
      <c r="P6947" s="88"/>
      <c r="Q6947" s="88"/>
      <c r="R6947" s="78">
        <f>MAX(S6947:W6947)</f>
        <v>0</v>
      </c>
      <c r="S6947" s="88"/>
      <c r="T6947" s="88"/>
      <c r="U6947" s="88"/>
      <c r="V6947" s="88"/>
      <c r="W6947" s="88"/>
    </row>
    <row r="6948" spans="2:23" s="0" customFormat="0" ht="15">
      <c r="B6948" s="87" t="s">
        <v>1</v>
      </c>
      <c r="C6948" s="88" t="s">
        <v>5259</v>
      </c>
      <c r="D6948" s="88" t="s">
        <v>5219</v>
      </c>
      <c r="E6948" s="88" t="s">
        <v>61</v>
      </c>
      <c r="F6948" s="88">
        <v>0</v>
      </c>
      <c r="G6948" s="78">
        <f>MAX(H6948,I6948,J6948)</f>
        <v>0</v>
      </c>
      <c r="H6948" s="88"/>
      <c r="I6948" s="88"/>
      <c r="J6948" s="78">
        <f>MAX(K6948:Q6948)</f>
        <v>0</v>
      </c>
      <c r="K6948" s="88"/>
      <c r="L6948" s="88"/>
      <c r="M6948" s="88"/>
      <c r="N6948" s="88"/>
      <c r="O6948" s="88"/>
      <c r="P6948" s="88"/>
      <c r="Q6948" s="88"/>
      <c r="R6948" s="78">
        <f>MAX(S6948:W6948)</f>
        <v>1</v>
      </c>
      <c r="S6948" s="88"/>
      <c r="T6948" s="88"/>
      <c r="U6948" s="88">
        <v>1</v>
      </c>
      <c r="V6948" s="88"/>
      <c r="W6948" s="88"/>
    </row>
    <row r="6949" spans="2:23" s="0" customFormat="0" ht="15">
      <c r="B6949" s="87" t="s">
        <v>1</v>
      </c>
      <c r="C6949" s="88" t="s">
        <v>5259</v>
      </c>
      <c r="D6949" s="88">
        <v>16974061</v>
      </c>
      <c r="E6949" s="88" t="s">
        <v>61</v>
      </c>
      <c r="F6949" s="88">
        <v>0</v>
      </c>
      <c r="G6949" s="78">
        <f>MAX(H6949,I6949,J6949)</f>
        <v>0</v>
      </c>
      <c r="H6949" s="88"/>
      <c r="I6949" s="88"/>
      <c r="J6949" s="78">
        <f>MAX(K6949:Q6949)</f>
        <v>0</v>
      </c>
      <c r="K6949" s="88"/>
      <c r="L6949" s="88"/>
      <c r="M6949" s="88"/>
      <c r="N6949" s="88"/>
      <c r="O6949" s="88"/>
      <c r="P6949" s="88"/>
      <c r="Q6949" s="88"/>
      <c r="R6949" s="78">
        <f>MAX(S6949:W6949)</f>
        <v>1</v>
      </c>
      <c r="S6949" s="88"/>
      <c r="T6949" s="88"/>
      <c r="U6949" s="88">
        <v>1</v>
      </c>
      <c r="V6949" s="88"/>
      <c r="W6949" s="88"/>
    </row>
    <row r="6950" spans="2:23" s="0" customFormat="0" ht="15">
      <c r="B6950" s="87" t="s">
        <v>1</v>
      </c>
      <c r="C6950" s="88" t="s">
        <v>5259</v>
      </c>
      <c r="D6950" s="88">
        <v>17087265</v>
      </c>
      <c r="E6950" s="88" t="s">
        <v>61</v>
      </c>
      <c r="F6950" s="88">
        <v>0</v>
      </c>
      <c r="G6950" s="78">
        <f>MAX(H6950,I6950,J6950)</f>
        <v>1</v>
      </c>
      <c r="H6950" s="88"/>
      <c r="I6950" s="88"/>
      <c r="J6950" s="78">
        <f>MAX(K6950:Q6950)</f>
        <v>1</v>
      </c>
      <c r="K6950" s="88">
        <v>1</v>
      </c>
      <c r="L6950" s="88"/>
      <c r="M6950" s="88"/>
      <c r="N6950" s="88"/>
      <c r="O6950" s="88"/>
      <c r="P6950" s="88"/>
      <c r="Q6950" s="88"/>
      <c r="R6950" s="78">
        <f>MAX(S6950:W6950)</f>
        <v>0</v>
      </c>
      <c r="S6950" s="88"/>
      <c r="T6950" s="88"/>
      <c r="U6950" s="88"/>
      <c r="V6950" s="88"/>
      <c r="W6950" s="88"/>
    </row>
    <row r="6951" spans="2:23" s="0" customFormat="0" ht="15">
      <c r="B6951" s="87" t="s">
        <v>1</v>
      </c>
      <c r="C6951" s="88" t="s">
        <v>5259</v>
      </c>
      <c r="D6951" s="88">
        <v>20870454</v>
      </c>
      <c r="E6951" s="88" t="s">
        <v>61</v>
      </c>
      <c r="F6951" s="88">
        <v>0</v>
      </c>
      <c r="G6951" s="78">
        <f>MAX(H6951,I6951,J6951)</f>
        <v>1</v>
      </c>
      <c r="H6951" s="88"/>
      <c r="I6951" s="88"/>
      <c r="J6951" s="78">
        <f>MAX(K6951:Q6951)</f>
        <v>1</v>
      </c>
      <c r="K6951" s="88">
        <v>1</v>
      </c>
      <c r="L6951" s="88"/>
      <c r="M6951" s="88"/>
      <c r="N6951" s="88"/>
      <c r="O6951" s="88"/>
      <c r="P6951" s="88"/>
      <c r="Q6951" s="88"/>
      <c r="R6951" s="78">
        <f>MAX(S6951:W6951)</f>
        <v>0</v>
      </c>
      <c r="S6951" s="88"/>
      <c r="T6951" s="88"/>
      <c r="U6951" s="88"/>
      <c r="V6951" s="88"/>
      <c r="W6951" s="88"/>
    </row>
    <row r="6952" spans="2:23" s="0" customFormat="0" ht="15">
      <c r="B6952" s="87" t="s">
        <v>1</v>
      </c>
      <c r="C6952" s="88" t="s">
        <v>5259</v>
      </c>
      <c r="D6952" s="88" t="s">
        <v>3982</v>
      </c>
      <c r="E6952" s="88" t="s">
        <v>61</v>
      </c>
      <c r="F6952" s="88">
        <v>0</v>
      </c>
      <c r="G6952" s="78">
        <f>MAX(H6952,I6952,J6952)</f>
        <v>0</v>
      </c>
      <c r="H6952" s="88"/>
      <c r="I6952" s="88"/>
      <c r="J6952" s="78">
        <f>MAX(K6952:Q6952)</f>
        <v>0</v>
      </c>
      <c r="K6952" s="88"/>
      <c r="L6952" s="88"/>
      <c r="M6952" s="88"/>
      <c r="N6952" s="88"/>
      <c r="O6952" s="88"/>
      <c r="P6952" s="88"/>
      <c r="Q6952" s="88"/>
      <c r="R6952" s="78">
        <f>MAX(S6952:W6952)</f>
        <v>1</v>
      </c>
      <c r="S6952" s="88"/>
      <c r="T6952" s="88"/>
      <c r="U6952" s="88">
        <v>1</v>
      </c>
      <c r="V6952" s="88"/>
      <c r="W6952" s="88"/>
    </row>
    <row r="6953" spans="2:23" s="0" customFormat="0" ht="15">
      <c r="B6953" s="87" t="s">
        <v>1</v>
      </c>
      <c r="C6953" s="88" t="s">
        <v>5259</v>
      </c>
      <c r="D6953" s="88" t="s">
        <v>5241</v>
      </c>
      <c r="E6953" s="88" t="s">
        <v>61</v>
      </c>
      <c r="F6953" s="88">
        <v>0</v>
      </c>
      <c r="G6953" s="78">
        <f>MAX(H6953,I6953,J6953)</f>
        <v>0</v>
      </c>
      <c r="H6953" s="88"/>
      <c r="I6953" s="88"/>
      <c r="J6953" s="78">
        <f>MAX(K6953:Q6953)</f>
        <v>0</v>
      </c>
      <c r="K6953" s="88"/>
      <c r="L6953" s="88"/>
      <c r="M6953" s="88"/>
      <c r="N6953" s="88"/>
      <c r="O6953" s="88"/>
      <c r="P6953" s="88"/>
      <c r="Q6953" s="88"/>
      <c r="R6953" s="78">
        <f>MAX(S6953:W6953)</f>
        <v>1</v>
      </c>
      <c r="S6953" s="88"/>
      <c r="T6953" s="88"/>
      <c r="U6953" s="88">
        <v>1</v>
      </c>
      <c r="V6953" s="88"/>
      <c r="W6953" s="88"/>
    </row>
    <row r="6954" spans="2:23" s="0" customFormat="0" ht="15">
      <c r="B6954" s="87" t="s">
        <v>1</v>
      </c>
      <c r="C6954" s="88" t="s">
        <v>5259</v>
      </c>
      <c r="D6954" s="88" t="s">
        <v>3023</v>
      </c>
      <c r="E6954" s="88" t="s">
        <v>61</v>
      </c>
      <c r="F6954" s="88">
        <v>0</v>
      </c>
      <c r="G6954" s="78">
        <f>MAX(H6954,I6954,J6954)</f>
        <v>1</v>
      </c>
      <c r="H6954" s="88"/>
      <c r="I6954" s="88"/>
      <c r="J6954" s="78">
        <f>MAX(K6954:Q6954)</f>
        <v>1</v>
      </c>
      <c r="K6954" s="88">
        <v>1</v>
      </c>
      <c r="L6954" s="88"/>
      <c r="M6954" s="88"/>
      <c r="N6954" s="88"/>
      <c r="O6954" s="88"/>
      <c r="P6954" s="88"/>
      <c r="Q6954" s="88"/>
      <c r="R6954" s="78">
        <f>MAX(S6954:W6954)</f>
        <v>0</v>
      </c>
      <c r="S6954" s="88"/>
      <c r="T6954" s="88"/>
      <c r="U6954" s="88"/>
      <c r="V6954" s="88"/>
      <c r="W6954" s="88"/>
    </row>
    <row r="6955" spans="2:23" s="0" customFormat="0" ht="15">
      <c r="B6955" s="87" t="s">
        <v>1</v>
      </c>
      <c r="C6955" s="88" t="s">
        <v>5259</v>
      </c>
      <c r="D6955" s="88" t="s">
        <v>5215</v>
      </c>
      <c r="E6955" s="88" t="s">
        <v>61</v>
      </c>
      <c r="F6955" s="88">
        <v>0</v>
      </c>
      <c r="G6955" s="78">
        <f>MAX(H6955,I6955,J6955)</f>
        <v>0</v>
      </c>
      <c r="H6955" s="88"/>
      <c r="I6955" s="88"/>
      <c r="J6955" s="78">
        <f>MAX(K6955:Q6955)</f>
        <v>0</v>
      </c>
      <c r="K6955" s="88"/>
      <c r="L6955" s="88"/>
      <c r="M6955" s="88"/>
      <c r="N6955" s="88"/>
      <c r="O6955" s="88"/>
      <c r="P6955" s="88"/>
      <c r="Q6955" s="88"/>
      <c r="R6955" s="78">
        <f>MAX(S6955:W6955)</f>
        <v>1</v>
      </c>
      <c r="S6955" s="88"/>
      <c r="T6955" s="88"/>
      <c r="U6955" s="88">
        <v>1</v>
      </c>
      <c r="V6955" s="88"/>
      <c r="W6955" s="88"/>
    </row>
    <row r="6956" spans="2:23" s="0" customFormat="0" ht="15">
      <c r="B6956" s="87" t="s">
        <v>1</v>
      </c>
      <c r="C6956" s="88" t="s">
        <v>5259</v>
      </c>
      <c r="D6956" s="88">
        <v>12847675</v>
      </c>
      <c r="E6956" s="88" t="s">
        <v>61</v>
      </c>
      <c r="F6956" s="88">
        <v>0</v>
      </c>
      <c r="G6956" s="78">
        <f>MAX(H6956,I6956,J6956)</f>
        <v>1</v>
      </c>
      <c r="H6956" s="88"/>
      <c r="I6956" s="88"/>
      <c r="J6956" s="78">
        <f>MAX(K6956:Q6956)</f>
        <v>1</v>
      </c>
      <c r="K6956" s="88">
        <v>1</v>
      </c>
      <c r="L6956" s="88"/>
      <c r="M6956" s="88"/>
      <c r="N6956" s="88"/>
      <c r="O6956" s="88"/>
      <c r="P6956" s="88"/>
      <c r="Q6956" s="88"/>
      <c r="R6956" s="78">
        <f>MAX(S6956:W6956)</f>
        <v>0</v>
      </c>
      <c r="S6956" s="88"/>
      <c r="T6956" s="88"/>
      <c r="U6956" s="88"/>
      <c r="V6956" s="88"/>
      <c r="W6956" s="88"/>
    </row>
    <row r="6957" spans="2:23" s="0" customFormat="0" ht="15">
      <c r="B6957" s="87" t="s">
        <v>1</v>
      </c>
      <c r="C6957" s="88" t="s">
        <v>5259</v>
      </c>
      <c r="D6957" s="88">
        <v>3515501</v>
      </c>
      <c r="E6957" s="88" t="s">
        <v>61</v>
      </c>
      <c r="F6957" s="88">
        <v>0</v>
      </c>
      <c r="G6957" s="78">
        <f>MAX(H6957,I6957,J6957)</f>
        <v>1</v>
      </c>
      <c r="H6957" s="88"/>
      <c r="I6957" s="88"/>
      <c r="J6957" s="78">
        <f>MAX(K6957:Q6957)</f>
        <v>1</v>
      </c>
      <c r="K6957" s="88">
        <v>1</v>
      </c>
      <c r="L6957" s="88"/>
      <c r="M6957" s="88"/>
      <c r="N6957" s="88"/>
      <c r="O6957" s="88"/>
      <c r="P6957" s="88"/>
      <c r="Q6957" s="88"/>
      <c r="R6957" s="78">
        <f>MAX(S6957:W6957)</f>
        <v>0</v>
      </c>
      <c r="S6957" s="88"/>
      <c r="T6957" s="88"/>
      <c r="U6957" s="88"/>
      <c r="V6957" s="88"/>
      <c r="W6957" s="88"/>
    </row>
    <row r="6958" spans="2:23" s="0" customFormat="0" ht="15">
      <c r="B6958" s="87" t="s">
        <v>1</v>
      </c>
      <c r="C6958" s="88" t="s">
        <v>5259</v>
      </c>
      <c r="D6958" s="88">
        <v>4797555</v>
      </c>
      <c r="E6958" s="88" t="s">
        <v>61</v>
      </c>
      <c r="F6958" s="88">
        <v>0</v>
      </c>
      <c r="G6958" s="78">
        <f>MAX(H6958,I6958,J6958)</f>
        <v>0</v>
      </c>
      <c r="H6958" s="88"/>
      <c r="I6958" s="88"/>
      <c r="J6958" s="78">
        <f>MAX(K6958:Q6958)</f>
        <v>0</v>
      </c>
      <c r="K6958" s="88"/>
      <c r="L6958" s="88"/>
      <c r="M6958" s="88"/>
      <c r="N6958" s="88"/>
      <c r="O6958" s="88"/>
      <c r="P6958" s="88"/>
      <c r="Q6958" s="88"/>
      <c r="R6958" s="78">
        <f>MAX(S6958:W6958)</f>
        <v>1</v>
      </c>
      <c r="S6958" s="88"/>
      <c r="T6958" s="88"/>
      <c r="U6958" s="88">
        <v>1</v>
      </c>
      <c r="V6958" s="88"/>
      <c r="W6958" s="88"/>
    </row>
    <row r="6959" spans="2:23" s="0" customFormat="0" ht="15">
      <c r="B6959" s="87" t="s">
        <v>1</v>
      </c>
      <c r="C6959" s="88" t="s">
        <v>5259</v>
      </c>
      <c r="D6959" s="88">
        <v>3467211</v>
      </c>
      <c r="E6959" s="88" t="s">
        <v>61</v>
      </c>
      <c r="F6959" s="88">
        <v>0</v>
      </c>
      <c r="G6959" s="78">
        <f>MAX(H6959,I6959,J6959)</f>
        <v>1</v>
      </c>
      <c r="H6959" s="88"/>
      <c r="I6959" s="88"/>
      <c r="J6959" s="78">
        <f>MAX(K6959:Q6959)</f>
        <v>1</v>
      </c>
      <c r="K6959" s="88">
        <v>1</v>
      </c>
      <c r="L6959" s="88"/>
      <c r="M6959" s="88"/>
      <c r="N6959" s="88"/>
      <c r="O6959" s="88"/>
      <c r="P6959" s="88"/>
      <c r="Q6959" s="88"/>
      <c r="R6959" s="78">
        <f>MAX(S6959:W6959)</f>
        <v>0</v>
      </c>
      <c r="S6959" s="88"/>
      <c r="T6959" s="88"/>
      <c r="U6959" s="88"/>
      <c r="V6959" s="88"/>
      <c r="W6959" s="88"/>
    </row>
    <row r="6960" spans="2:23" s="0" customFormat="0" ht="15">
      <c r="B6960" s="87" t="s">
        <v>1</v>
      </c>
      <c r="C6960" s="88" t="s">
        <v>5259</v>
      </c>
      <c r="D6960" s="88" t="s">
        <v>5225</v>
      </c>
      <c r="E6960" s="88" t="s">
        <v>61</v>
      </c>
      <c r="F6960" s="88">
        <v>0</v>
      </c>
      <c r="G6960" s="78">
        <f>MAX(H6960,I6960,J6960)</f>
        <v>0</v>
      </c>
      <c r="H6960" s="88"/>
      <c r="I6960" s="88"/>
      <c r="J6960" s="78">
        <f>MAX(K6960:Q6960)</f>
        <v>0</v>
      </c>
      <c r="K6960" s="88"/>
      <c r="L6960" s="88"/>
      <c r="M6960" s="88"/>
      <c r="N6960" s="88"/>
      <c r="O6960" s="88"/>
      <c r="P6960" s="88"/>
      <c r="Q6960" s="88"/>
      <c r="R6960" s="78">
        <f>MAX(S6960:W6960)</f>
        <v>1</v>
      </c>
      <c r="S6960" s="88"/>
      <c r="T6960" s="88"/>
      <c r="U6960" s="88">
        <v>1</v>
      </c>
      <c r="V6960" s="88"/>
      <c r="W6960" s="88"/>
    </row>
    <row r="6961" spans="2:23" s="0" customFormat="0" ht="15">
      <c r="B6961" s="87" t="s">
        <v>1</v>
      </c>
      <c r="C6961" s="88" t="s">
        <v>5259</v>
      </c>
      <c r="D6961" s="88" t="s">
        <v>2946</v>
      </c>
      <c r="E6961" s="88" t="s">
        <v>61</v>
      </c>
      <c r="F6961" s="88">
        <v>0</v>
      </c>
      <c r="G6961" s="78">
        <f>MAX(H6961,I6961,J6961)</f>
        <v>1</v>
      </c>
      <c r="H6961" s="88"/>
      <c r="I6961" s="88"/>
      <c r="J6961" s="78">
        <f>MAX(K6961:Q6961)</f>
        <v>1</v>
      </c>
      <c r="K6961" s="88">
        <v>1</v>
      </c>
      <c r="L6961" s="88"/>
      <c r="M6961" s="88"/>
      <c r="N6961" s="88"/>
      <c r="O6961" s="88"/>
      <c r="P6961" s="88"/>
      <c r="Q6961" s="88"/>
      <c r="R6961" s="78">
        <f>MAX(S6961:W6961)</f>
        <v>0</v>
      </c>
      <c r="S6961" s="88"/>
      <c r="T6961" s="88"/>
      <c r="U6961" s="88"/>
      <c r="V6961" s="88"/>
      <c r="W6961" s="88"/>
    </row>
    <row r="6962" spans="2:23" s="0" customFormat="0" ht="15">
      <c r="B6962" s="87" t="s">
        <v>1</v>
      </c>
      <c r="C6962" s="88" t="s">
        <v>5259</v>
      </c>
      <c r="D6962" s="88" t="s">
        <v>2229</v>
      </c>
      <c r="E6962" s="88" t="s">
        <v>61</v>
      </c>
      <c r="F6962" s="88">
        <v>0</v>
      </c>
      <c r="G6962" s="78">
        <f>MAX(H6962,I6962,J6962)</f>
        <v>1</v>
      </c>
      <c r="H6962" s="88"/>
      <c r="I6962" s="88"/>
      <c r="J6962" s="78">
        <f>MAX(K6962:Q6962)</f>
        <v>1</v>
      </c>
      <c r="K6962" s="88">
        <v>1</v>
      </c>
      <c r="L6962" s="88"/>
      <c r="M6962" s="88"/>
      <c r="N6962" s="88"/>
      <c r="O6962" s="88"/>
      <c r="P6962" s="88"/>
      <c r="Q6962" s="88"/>
      <c r="R6962" s="78">
        <f>MAX(S6962:W6962)</f>
        <v>0</v>
      </c>
      <c r="S6962" s="88"/>
      <c r="T6962" s="88"/>
      <c r="U6962" s="88"/>
      <c r="V6962" s="88"/>
      <c r="W6962" s="88"/>
    </row>
    <row r="6963" spans="2:23" s="0" customFormat="0" ht="15">
      <c r="B6963" s="87" t="s">
        <v>1</v>
      </c>
      <c r="C6963" s="88" t="s">
        <v>5259</v>
      </c>
      <c r="D6963" s="88">
        <v>12774289</v>
      </c>
      <c r="E6963" s="88" t="s">
        <v>61</v>
      </c>
      <c r="F6963" s="88">
        <v>0</v>
      </c>
      <c r="G6963" s="78">
        <f>MAX(H6963,I6963,J6963)</f>
        <v>1</v>
      </c>
      <c r="H6963" s="88"/>
      <c r="I6963" s="88"/>
      <c r="J6963" s="78">
        <f>MAX(K6963:Q6963)</f>
        <v>1</v>
      </c>
      <c r="K6963" s="88">
        <v>1</v>
      </c>
      <c r="L6963" s="88"/>
      <c r="M6963" s="88"/>
      <c r="N6963" s="88"/>
      <c r="O6963" s="88"/>
      <c r="P6963" s="88"/>
      <c r="Q6963" s="88"/>
      <c r="R6963" s="78">
        <f>MAX(S6963:W6963)</f>
        <v>0</v>
      </c>
      <c r="S6963" s="88"/>
      <c r="T6963" s="88"/>
      <c r="U6963" s="88"/>
      <c r="V6963" s="88"/>
      <c r="W6963" s="88"/>
    </row>
    <row r="6964" spans="2:23" s="0" customFormat="0" ht="15">
      <c r="B6964" s="87" t="s">
        <v>1</v>
      </c>
      <c r="C6964" s="88" t="s">
        <v>5259</v>
      </c>
      <c r="D6964" s="88">
        <v>1669787</v>
      </c>
      <c r="E6964" s="88" t="s">
        <v>61</v>
      </c>
      <c r="F6964" s="88">
        <v>0</v>
      </c>
      <c r="G6964" s="78">
        <f>MAX(H6964,I6964,J6964)</f>
        <v>1</v>
      </c>
      <c r="H6964" s="88"/>
      <c r="I6964" s="88"/>
      <c r="J6964" s="78">
        <f>MAX(K6964:Q6964)</f>
        <v>1</v>
      </c>
      <c r="K6964" s="88">
        <v>1</v>
      </c>
      <c r="L6964" s="88"/>
      <c r="M6964" s="88"/>
      <c r="N6964" s="88"/>
      <c r="O6964" s="88"/>
      <c r="P6964" s="88"/>
      <c r="Q6964" s="88"/>
      <c r="R6964" s="78">
        <f>MAX(S6964:W6964)</f>
        <v>0</v>
      </c>
      <c r="S6964" s="88"/>
      <c r="T6964" s="88"/>
      <c r="U6964" s="88"/>
      <c r="V6964" s="88"/>
      <c r="W6964" s="88"/>
    </row>
    <row r="6965" spans="2:23" s="0" customFormat="0" ht="15">
      <c r="B6965" s="87" t="s">
        <v>1</v>
      </c>
      <c r="C6965" s="88" t="s">
        <v>5259</v>
      </c>
      <c r="D6965" s="88">
        <v>16974005</v>
      </c>
      <c r="E6965" s="88" t="s">
        <v>61</v>
      </c>
      <c r="F6965" s="88">
        <v>0</v>
      </c>
      <c r="G6965" s="78">
        <f>MAX(H6965,I6965,J6965)</f>
        <v>1</v>
      </c>
      <c r="H6965" s="88"/>
      <c r="I6965" s="88"/>
      <c r="J6965" s="78">
        <f>MAX(K6965:Q6965)</f>
        <v>1</v>
      </c>
      <c r="K6965" s="88">
        <v>1</v>
      </c>
      <c r="L6965" s="88"/>
      <c r="M6965" s="88"/>
      <c r="N6965" s="88"/>
      <c r="O6965" s="88"/>
      <c r="P6965" s="88"/>
      <c r="Q6965" s="88"/>
      <c r="R6965" s="78">
        <f>MAX(S6965:W6965)</f>
        <v>0</v>
      </c>
      <c r="S6965" s="88"/>
      <c r="T6965" s="88"/>
      <c r="U6965" s="88"/>
      <c r="V6965" s="88"/>
      <c r="W6965" s="88"/>
    </row>
    <row r="6966" spans="2:23" s="0" customFormat="0" ht="15">
      <c r="B6966" s="87" t="s">
        <v>1</v>
      </c>
      <c r="C6966" s="88" t="s">
        <v>5259</v>
      </c>
      <c r="D6966" s="88">
        <v>16131459</v>
      </c>
      <c r="E6966" s="88" t="s">
        <v>61</v>
      </c>
      <c r="F6966" s="88">
        <v>0</v>
      </c>
      <c r="G6966" s="78">
        <f>MAX(H6966,I6966,J6966)</f>
        <v>1</v>
      </c>
      <c r="H6966" s="88"/>
      <c r="I6966" s="88"/>
      <c r="J6966" s="78">
        <f>MAX(K6966:Q6966)</f>
        <v>1</v>
      </c>
      <c r="K6966" s="88">
        <v>1</v>
      </c>
      <c r="L6966" s="88"/>
      <c r="M6966" s="88"/>
      <c r="N6966" s="88"/>
      <c r="O6966" s="88"/>
      <c r="P6966" s="88"/>
      <c r="Q6966" s="88"/>
      <c r="R6966" s="78">
        <f>MAX(S6966:W6966)</f>
        <v>0</v>
      </c>
      <c r="S6966" s="88"/>
      <c r="T6966" s="88"/>
      <c r="U6966" s="88"/>
      <c r="V6966" s="88"/>
      <c r="W6966" s="88"/>
    </row>
    <row r="6967" spans="2:23" s="0" customFormat="0" ht="15">
      <c r="B6967" s="87" t="s">
        <v>1</v>
      </c>
      <c r="C6967" s="88" t="s">
        <v>5259</v>
      </c>
      <c r="D6967" s="88" t="s">
        <v>5234</v>
      </c>
      <c r="E6967" s="88" t="s">
        <v>61</v>
      </c>
      <c r="F6967" s="88">
        <v>0</v>
      </c>
      <c r="G6967" s="78">
        <f>MAX(H6967,I6967,J6967)</f>
        <v>0</v>
      </c>
      <c r="H6967" s="88"/>
      <c r="I6967" s="88"/>
      <c r="J6967" s="78">
        <f>MAX(K6967:Q6967)</f>
        <v>0</v>
      </c>
      <c r="K6967" s="88"/>
      <c r="L6967" s="88"/>
      <c r="M6967" s="88"/>
      <c r="N6967" s="88"/>
      <c r="O6967" s="88"/>
      <c r="P6967" s="88"/>
      <c r="Q6967" s="88"/>
      <c r="R6967" s="78">
        <f>MAX(S6967:W6967)</f>
        <v>1</v>
      </c>
      <c r="S6967" s="88"/>
      <c r="T6967" s="88"/>
      <c r="U6967" s="88">
        <v>1</v>
      </c>
      <c r="V6967" s="88"/>
      <c r="W6967" s="88"/>
    </row>
    <row r="6968" spans="2:23" s="0" customFormat="0" ht="15">
      <c r="B6968" s="87" t="s">
        <v>1</v>
      </c>
      <c r="C6968" s="88" t="s">
        <v>5259</v>
      </c>
      <c r="D6968" s="88" t="s">
        <v>4961</v>
      </c>
      <c r="E6968" s="88" t="s">
        <v>61</v>
      </c>
      <c r="F6968" s="88">
        <v>0</v>
      </c>
      <c r="G6968" s="78">
        <f>MAX(H6968,I6968,J6968)</f>
        <v>0</v>
      </c>
      <c r="H6968" s="88"/>
      <c r="I6968" s="88"/>
      <c r="J6968" s="78">
        <f>MAX(K6968:Q6968)</f>
        <v>0</v>
      </c>
      <c r="K6968" s="88"/>
      <c r="L6968" s="88"/>
      <c r="M6968" s="88"/>
      <c r="N6968" s="88"/>
      <c r="O6968" s="88"/>
      <c r="P6968" s="88"/>
      <c r="Q6968" s="88"/>
      <c r="R6968" s="78">
        <f>MAX(S6968:W6968)</f>
        <v>1</v>
      </c>
      <c r="S6968" s="88"/>
      <c r="T6968" s="88"/>
      <c r="U6968" s="88">
        <v>1</v>
      </c>
      <c r="V6968" s="88"/>
      <c r="W6968" s="88"/>
    </row>
    <row r="6969" spans="2:23" s="0" customFormat="0" ht="15">
      <c r="B6969" s="87" t="s">
        <v>1</v>
      </c>
      <c r="C6969" s="88" t="s">
        <v>5259</v>
      </c>
      <c r="D6969" s="88">
        <v>17290604</v>
      </c>
      <c r="E6969" s="88" t="s">
        <v>61</v>
      </c>
      <c r="F6969" s="88">
        <v>0</v>
      </c>
      <c r="G6969" s="78">
        <f>MAX(H6969,I6969,J6969)</f>
        <v>1</v>
      </c>
      <c r="H6969" s="88"/>
      <c r="I6969" s="88"/>
      <c r="J6969" s="78">
        <f>MAX(K6969:Q6969)</f>
        <v>1</v>
      </c>
      <c r="K6969" s="88">
        <v>1</v>
      </c>
      <c r="L6969" s="88"/>
      <c r="M6969" s="88"/>
      <c r="N6969" s="88"/>
      <c r="O6969" s="88"/>
      <c r="P6969" s="88"/>
      <c r="Q6969" s="88"/>
      <c r="R6969" s="78">
        <f>MAX(S6969:W6969)</f>
        <v>0</v>
      </c>
      <c r="S6969" s="88"/>
      <c r="T6969" s="88"/>
      <c r="U6969" s="88"/>
      <c r="V6969" s="88"/>
      <c r="W6969" s="88"/>
    </row>
    <row r="6970" spans="2:23" s="0" customFormat="0" ht="15">
      <c r="B6970" s="87" t="s">
        <v>1</v>
      </c>
      <c r="C6970" s="88" t="s">
        <v>5259</v>
      </c>
      <c r="D6970" s="88" t="s">
        <v>5052</v>
      </c>
      <c r="E6970" s="88" t="s">
        <v>61</v>
      </c>
      <c r="F6970" s="88">
        <v>0</v>
      </c>
      <c r="G6970" s="78">
        <f>MAX(H6970,I6970,J6970)</f>
        <v>0</v>
      </c>
      <c r="H6970" s="88"/>
      <c r="I6970" s="88"/>
      <c r="J6970" s="78">
        <f>MAX(K6970:Q6970)</f>
        <v>0</v>
      </c>
      <c r="K6970" s="88"/>
      <c r="L6970" s="88"/>
      <c r="M6970" s="88"/>
      <c r="N6970" s="88"/>
      <c r="O6970" s="88"/>
      <c r="P6970" s="88"/>
      <c r="Q6970" s="88"/>
      <c r="R6970" s="78">
        <f>MAX(S6970:W6970)</f>
        <v>1</v>
      </c>
      <c r="S6970" s="88"/>
      <c r="T6970" s="88"/>
      <c r="U6970" s="88">
        <v>1</v>
      </c>
      <c r="V6970" s="88"/>
      <c r="W6970" s="88"/>
    </row>
    <row r="6971" spans="2:23" s="0" customFormat="0" ht="15">
      <c r="B6971" s="87" t="s">
        <v>1</v>
      </c>
      <c r="C6971" s="88" t="s">
        <v>5259</v>
      </c>
      <c r="D6971" s="88" t="s">
        <v>3646</v>
      </c>
      <c r="E6971" s="88" t="s">
        <v>61</v>
      </c>
      <c r="F6971" s="88">
        <v>0</v>
      </c>
      <c r="G6971" s="78">
        <f>MAX(H6971,I6971,J6971)</f>
        <v>0</v>
      </c>
      <c r="H6971" s="88"/>
      <c r="I6971" s="88"/>
      <c r="J6971" s="78">
        <f>MAX(K6971:Q6971)</f>
        <v>0</v>
      </c>
      <c r="K6971" s="88"/>
      <c r="L6971" s="88"/>
      <c r="M6971" s="88"/>
      <c r="N6971" s="88"/>
      <c r="O6971" s="88"/>
      <c r="P6971" s="88"/>
      <c r="Q6971" s="88"/>
      <c r="R6971" s="78">
        <f>MAX(S6971:W6971)</f>
        <v>1</v>
      </c>
      <c r="S6971" s="88"/>
      <c r="T6971" s="88"/>
      <c r="U6971" s="88">
        <v>1</v>
      </c>
      <c r="V6971" s="88"/>
      <c r="W6971" s="88"/>
    </row>
    <row r="6972" spans="2:23" s="0" customFormat="0" ht="15">
      <c r="B6972" s="87" t="s">
        <v>1</v>
      </c>
      <c r="C6972" s="88" t="s">
        <v>5259</v>
      </c>
      <c r="D6972" s="88">
        <v>4172303</v>
      </c>
      <c r="E6972" s="88" t="s">
        <v>61</v>
      </c>
      <c r="F6972" s="88">
        <v>0</v>
      </c>
      <c r="G6972" s="78">
        <f>MAX(H6972,I6972,J6972)</f>
        <v>0</v>
      </c>
      <c r="H6972" s="88"/>
      <c r="I6972" s="88"/>
      <c r="J6972" s="78">
        <f>MAX(K6972:Q6972)</f>
        <v>0</v>
      </c>
      <c r="K6972" s="88"/>
      <c r="L6972" s="88"/>
      <c r="M6972" s="88"/>
      <c r="N6972" s="88"/>
      <c r="O6972" s="88"/>
      <c r="P6972" s="88"/>
      <c r="Q6972" s="88"/>
      <c r="R6972" s="78">
        <f>MAX(S6972:W6972)</f>
        <v>1</v>
      </c>
      <c r="S6972" s="88"/>
      <c r="T6972" s="88"/>
      <c r="U6972" s="88"/>
      <c r="V6972" s="88">
        <v>1</v>
      </c>
      <c r="W6972" s="88"/>
    </row>
    <row r="6973" spans="2:23" s="0" customFormat="0" ht="15">
      <c r="B6973" s="87" t="s">
        <v>1</v>
      </c>
      <c r="C6973" s="88" t="s">
        <v>5259</v>
      </c>
      <c r="D6973" s="88" t="s">
        <v>5098</v>
      </c>
      <c r="E6973" s="88" t="s">
        <v>61</v>
      </c>
      <c r="F6973" s="88">
        <v>0</v>
      </c>
      <c r="G6973" s="78">
        <f>MAX(H6973,I6973,J6973)</f>
        <v>0</v>
      </c>
      <c r="H6973" s="88"/>
      <c r="I6973" s="88"/>
      <c r="J6973" s="78">
        <f>MAX(K6973:Q6973)</f>
        <v>0</v>
      </c>
      <c r="K6973" s="88"/>
      <c r="L6973" s="88"/>
      <c r="M6973" s="88"/>
      <c r="N6973" s="88"/>
      <c r="O6973" s="88"/>
      <c r="P6973" s="88"/>
      <c r="Q6973" s="88"/>
      <c r="R6973" s="78">
        <f>MAX(S6973:W6973)</f>
        <v>1</v>
      </c>
      <c r="S6973" s="88"/>
      <c r="T6973" s="88"/>
      <c r="U6973" s="88">
        <v>1</v>
      </c>
      <c r="V6973" s="88"/>
      <c r="W6973" s="88"/>
    </row>
    <row r="6974" spans="2:23" s="0" customFormat="0" ht="15">
      <c r="B6974" s="87" t="s">
        <v>1</v>
      </c>
      <c r="C6974" s="88" t="s">
        <v>5259</v>
      </c>
      <c r="D6974" s="88" t="s">
        <v>3149</v>
      </c>
      <c r="E6974" s="88" t="s">
        <v>61</v>
      </c>
      <c r="F6974" s="88">
        <v>0</v>
      </c>
      <c r="G6974" s="78">
        <f>MAX(H6974,I6974,J6974)</f>
        <v>1</v>
      </c>
      <c r="H6974" s="88"/>
      <c r="I6974" s="88"/>
      <c r="J6974" s="78">
        <f>MAX(K6974:Q6974)</f>
        <v>1</v>
      </c>
      <c r="K6974" s="88"/>
      <c r="L6974" s="88"/>
      <c r="M6974" s="88"/>
      <c r="N6974" s="88">
        <v>1</v>
      </c>
      <c r="O6974" s="88"/>
      <c r="P6974" s="88"/>
      <c r="Q6974" s="88"/>
      <c r="R6974" s="78">
        <f>MAX(S6974:W6974)</f>
        <v>0</v>
      </c>
      <c r="S6974" s="88"/>
      <c r="T6974" s="88"/>
      <c r="U6974" s="88"/>
      <c r="V6974" s="88"/>
      <c r="W6974" s="88"/>
    </row>
    <row r="6975" spans="2:23" s="0" customFormat="0" ht="15">
      <c r="B6975" s="87" t="s">
        <v>1</v>
      </c>
      <c r="C6975" s="88" t="s">
        <v>5259</v>
      </c>
      <c r="D6975" s="88" t="s">
        <v>3642</v>
      </c>
      <c r="E6975" s="88" t="s">
        <v>61</v>
      </c>
      <c r="F6975" s="88">
        <v>0</v>
      </c>
      <c r="G6975" s="78">
        <f>MAX(H6975,I6975,J6975)</f>
        <v>0</v>
      </c>
      <c r="H6975" s="88"/>
      <c r="I6975" s="88"/>
      <c r="J6975" s="78">
        <f>MAX(K6975:Q6975)</f>
        <v>0</v>
      </c>
      <c r="K6975" s="88"/>
      <c r="L6975" s="88"/>
      <c r="M6975" s="88"/>
      <c r="N6975" s="88"/>
      <c r="O6975" s="88"/>
      <c r="P6975" s="88"/>
      <c r="Q6975" s="88"/>
      <c r="R6975" s="78">
        <f>MAX(S6975:W6975)</f>
        <v>1</v>
      </c>
      <c r="S6975" s="88"/>
      <c r="T6975" s="88"/>
      <c r="U6975" s="88">
        <v>1</v>
      </c>
      <c r="V6975" s="88"/>
      <c r="W6975" s="88"/>
    </row>
    <row r="6976" spans="2:23" s="0" customFormat="0" ht="15">
      <c r="B6976" s="87" t="s">
        <v>1</v>
      </c>
      <c r="C6976" s="88" t="s">
        <v>5259</v>
      </c>
      <c r="D6976" s="88" t="s">
        <v>4909</v>
      </c>
      <c r="E6976" s="88" t="s">
        <v>61</v>
      </c>
      <c r="F6976" s="88">
        <v>0</v>
      </c>
      <c r="G6976" s="78">
        <f>MAX(H6976,I6976,J6976)</f>
        <v>0</v>
      </c>
      <c r="H6976" s="88"/>
      <c r="I6976" s="88"/>
      <c r="J6976" s="78">
        <f>MAX(K6976:Q6976)</f>
        <v>0</v>
      </c>
      <c r="K6976" s="88"/>
      <c r="L6976" s="88"/>
      <c r="M6976" s="88"/>
      <c r="N6976" s="88"/>
      <c r="O6976" s="88"/>
      <c r="P6976" s="88"/>
      <c r="Q6976" s="88"/>
      <c r="R6976" s="78">
        <f>MAX(S6976:W6976)</f>
        <v>1</v>
      </c>
      <c r="S6976" s="88"/>
      <c r="T6976" s="88"/>
      <c r="U6976" s="88">
        <v>1</v>
      </c>
      <c r="V6976" s="88"/>
      <c r="W6976" s="88"/>
    </row>
    <row r="6977" spans="2:23" s="0" customFormat="0" ht="15">
      <c r="B6977" s="87" t="s">
        <v>1</v>
      </c>
      <c r="C6977" s="88" t="s">
        <v>5259</v>
      </c>
      <c r="D6977" s="88" t="s">
        <v>4238</v>
      </c>
      <c r="E6977" s="88" t="s">
        <v>61</v>
      </c>
      <c r="F6977" s="88">
        <v>0</v>
      </c>
      <c r="G6977" s="78">
        <f>MAX(H6977,I6977,J6977)</f>
        <v>0</v>
      </c>
      <c r="H6977" s="88"/>
      <c r="I6977" s="88"/>
      <c r="J6977" s="78">
        <f>MAX(K6977:Q6977)</f>
        <v>0</v>
      </c>
      <c r="K6977" s="88"/>
      <c r="L6977" s="88"/>
      <c r="M6977" s="88"/>
      <c r="N6977" s="88"/>
      <c r="O6977" s="88"/>
      <c r="P6977" s="88"/>
      <c r="Q6977" s="88"/>
      <c r="R6977" s="78">
        <f>MAX(S6977:W6977)</f>
        <v>1</v>
      </c>
      <c r="S6977" s="88"/>
      <c r="T6977" s="88"/>
      <c r="U6977" s="88">
        <v>1</v>
      </c>
      <c r="V6977" s="88"/>
      <c r="W6977" s="88"/>
    </row>
    <row r="6978" spans="2:23" s="0" customFormat="0" ht="15">
      <c r="B6978" s="87" t="s">
        <v>1</v>
      </c>
      <c r="C6978" s="88" t="s">
        <v>5259</v>
      </c>
      <c r="D6978" s="88">
        <v>12182640</v>
      </c>
      <c r="E6978" s="88" t="s">
        <v>61</v>
      </c>
      <c r="F6978" s="88">
        <v>0</v>
      </c>
      <c r="G6978" s="78">
        <f>MAX(H6978,I6978,J6978)</f>
        <v>1</v>
      </c>
      <c r="H6978" s="88"/>
      <c r="I6978" s="88"/>
      <c r="J6978" s="78">
        <f>MAX(K6978:Q6978)</f>
        <v>1</v>
      </c>
      <c r="K6978" s="88">
        <v>1</v>
      </c>
      <c r="L6978" s="88"/>
      <c r="M6978" s="88"/>
      <c r="N6978" s="88"/>
      <c r="O6978" s="88"/>
      <c r="P6978" s="88"/>
      <c r="Q6978" s="88"/>
      <c r="R6978" s="78">
        <f>MAX(S6978:W6978)</f>
        <v>0</v>
      </c>
      <c r="S6978" s="88"/>
      <c r="T6978" s="88"/>
      <c r="U6978" s="88"/>
      <c r="V6978" s="88"/>
      <c r="W6978" s="88"/>
    </row>
    <row r="6979" spans="2:23" s="0" customFormat="0" ht="15">
      <c r="B6979" s="87" t="s">
        <v>1</v>
      </c>
      <c r="C6979" s="88" t="s">
        <v>5259</v>
      </c>
      <c r="D6979" s="88">
        <v>19005970</v>
      </c>
      <c r="E6979" s="88" t="s">
        <v>61</v>
      </c>
      <c r="F6979" s="88">
        <v>0</v>
      </c>
      <c r="G6979" s="78">
        <f>MAX(H6979,I6979,J6979)</f>
        <v>1</v>
      </c>
      <c r="H6979" s="88"/>
      <c r="I6979" s="88"/>
      <c r="J6979" s="78">
        <f>MAX(K6979:Q6979)</f>
        <v>1</v>
      </c>
      <c r="K6979" s="88">
        <v>1</v>
      </c>
      <c r="L6979" s="88"/>
      <c r="M6979" s="88"/>
      <c r="N6979" s="88"/>
      <c r="O6979" s="88"/>
      <c r="P6979" s="88"/>
      <c r="Q6979" s="88"/>
      <c r="R6979" s="78">
        <f>MAX(S6979:W6979)</f>
        <v>0</v>
      </c>
      <c r="S6979" s="88"/>
      <c r="T6979" s="88"/>
      <c r="U6979" s="88"/>
      <c r="V6979" s="88"/>
      <c r="W6979" s="88"/>
    </row>
    <row r="6980" spans="2:23" s="0" customFormat="0" ht="15">
      <c r="B6980" s="87" t="s">
        <v>1</v>
      </c>
      <c r="C6980" s="88" t="s">
        <v>5259</v>
      </c>
      <c r="D6980" s="88" t="s">
        <v>3664</v>
      </c>
      <c r="E6980" s="88" t="s">
        <v>61</v>
      </c>
      <c r="F6980" s="88">
        <v>0</v>
      </c>
      <c r="G6980" s="78">
        <f>MAX(H6980,I6980,J6980)</f>
        <v>0</v>
      </c>
      <c r="H6980" s="88"/>
      <c r="I6980" s="88"/>
      <c r="J6980" s="78">
        <f>MAX(K6980:Q6980)</f>
        <v>0</v>
      </c>
      <c r="K6980" s="88"/>
      <c r="L6980" s="88"/>
      <c r="M6980" s="88"/>
      <c r="N6980" s="88"/>
      <c r="O6980" s="88"/>
      <c r="P6980" s="88"/>
      <c r="Q6980" s="88"/>
      <c r="R6980" s="78">
        <f>MAX(S6980:W6980)</f>
        <v>1</v>
      </c>
      <c r="S6980" s="88"/>
      <c r="T6980" s="88"/>
      <c r="U6980" s="88">
        <v>1</v>
      </c>
      <c r="V6980" s="88"/>
      <c r="W6980" s="88"/>
    </row>
    <row r="6981" spans="2:23" s="0" customFormat="0" ht="15">
      <c r="B6981" s="87" t="s">
        <v>1</v>
      </c>
      <c r="C6981" s="88" t="s">
        <v>5259</v>
      </c>
      <c r="D6981" s="88">
        <v>16974676</v>
      </c>
      <c r="E6981" s="88" t="s">
        <v>61</v>
      </c>
      <c r="F6981" s="88">
        <v>0</v>
      </c>
      <c r="G6981" s="78">
        <f>MAX(H6981,I6981,J6981)</f>
        <v>0</v>
      </c>
      <c r="H6981" s="88"/>
      <c r="I6981" s="88"/>
      <c r="J6981" s="78">
        <f>MAX(K6981:Q6981)</f>
        <v>0</v>
      </c>
      <c r="K6981" s="88"/>
      <c r="L6981" s="88"/>
      <c r="M6981" s="88"/>
      <c r="N6981" s="88"/>
      <c r="O6981" s="88"/>
      <c r="P6981" s="88"/>
      <c r="Q6981" s="88"/>
      <c r="R6981" s="78">
        <f>MAX(S6981:W6981)</f>
        <v>1</v>
      </c>
      <c r="S6981" s="88"/>
      <c r="T6981" s="88"/>
      <c r="U6981" s="88">
        <v>1</v>
      </c>
      <c r="V6981" s="88"/>
      <c r="W6981" s="88"/>
    </row>
    <row r="6982" spans="2:23" s="0" customFormat="0" ht="15">
      <c r="B6982" s="87" t="s">
        <v>1</v>
      </c>
      <c r="C6982" s="88" t="s">
        <v>5259</v>
      </c>
      <c r="D6982" s="88">
        <v>20525960</v>
      </c>
      <c r="E6982" s="88" t="s">
        <v>61</v>
      </c>
      <c r="F6982" s="88">
        <v>0</v>
      </c>
      <c r="G6982" s="78">
        <f>MAX(H6982,I6982,J6982)</f>
        <v>1</v>
      </c>
      <c r="H6982" s="88"/>
      <c r="I6982" s="88"/>
      <c r="J6982" s="78">
        <f>MAX(K6982:Q6982)</f>
        <v>1</v>
      </c>
      <c r="K6982" s="88">
        <v>1</v>
      </c>
      <c r="L6982" s="88"/>
      <c r="M6982" s="88"/>
      <c r="N6982" s="88"/>
      <c r="O6982" s="88"/>
      <c r="P6982" s="88"/>
      <c r="Q6982" s="88"/>
      <c r="R6982" s="78">
        <f>MAX(S6982:W6982)</f>
        <v>0</v>
      </c>
      <c r="S6982" s="88"/>
      <c r="T6982" s="88"/>
      <c r="U6982" s="88"/>
      <c r="V6982" s="88"/>
      <c r="W6982" s="88"/>
    </row>
    <row r="6983" spans="2:23" s="0" customFormat="0" ht="15">
      <c r="B6983" s="87" t="s">
        <v>1</v>
      </c>
      <c r="C6983" s="88" t="s">
        <v>5259</v>
      </c>
      <c r="D6983" s="88" t="s">
        <v>4629</v>
      </c>
      <c r="E6983" s="88" t="s">
        <v>61</v>
      </c>
      <c r="F6983" s="88">
        <v>0</v>
      </c>
      <c r="G6983" s="78">
        <f>MAX(H6983,I6983,J6983)</f>
        <v>0</v>
      </c>
      <c r="H6983" s="88"/>
      <c r="I6983" s="88"/>
      <c r="J6983" s="78">
        <f>MAX(K6983:Q6983)</f>
        <v>0</v>
      </c>
      <c r="K6983" s="88"/>
      <c r="L6983" s="88"/>
      <c r="M6983" s="88"/>
      <c r="N6983" s="88"/>
      <c r="O6983" s="88"/>
      <c r="P6983" s="88"/>
      <c r="Q6983" s="88"/>
      <c r="R6983" s="78">
        <f>MAX(S6983:W6983)</f>
        <v>1</v>
      </c>
      <c r="S6983" s="88"/>
      <c r="T6983" s="88"/>
      <c r="U6983" s="88">
        <v>1</v>
      </c>
      <c r="V6983" s="88"/>
      <c r="W6983" s="88"/>
    </row>
    <row r="6984" spans="2:23" s="0" customFormat="0" ht="15">
      <c r="B6984" s="87" t="s">
        <v>1</v>
      </c>
      <c r="C6984" s="88" t="s">
        <v>5259</v>
      </c>
      <c r="D6984" s="88" t="s">
        <v>2856</v>
      </c>
      <c r="E6984" s="88" t="s">
        <v>61</v>
      </c>
      <c r="F6984" s="88">
        <v>0</v>
      </c>
      <c r="G6984" s="78">
        <f>MAX(H6984,I6984,J6984)</f>
        <v>1</v>
      </c>
      <c r="H6984" s="88"/>
      <c r="I6984" s="88"/>
      <c r="J6984" s="78">
        <f>MAX(K6984:Q6984)</f>
        <v>1</v>
      </c>
      <c r="K6984" s="88">
        <v>1</v>
      </c>
      <c r="L6984" s="88"/>
      <c r="M6984" s="88"/>
      <c r="N6984" s="88"/>
      <c r="O6984" s="88"/>
      <c r="P6984" s="88"/>
      <c r="Q6984" s="88"/>
      <c r="R6984" s="78">
        <f>MAX(S6984:W6984)</f>
        <v>0</v>
      </c>
      <c r="S6984" s="88"/>
      <c r="T6984" s="88"/>
      <c r="U6984" s="88"/>
      <c r="V6984" s="88"/>
      <c r="W6984" s="88"/>
    </row>
    <row r="6985" spans="2:23" s="0" customFormat="0" ht="15">
      <c r="B6985" s="87" t="s">
        <v>1</v>
      </c>
      <c r="C6985" s="88" t="s">
        <v>5259</v>
      </c>
      <c r="D6985" s="88">
        <v>9338568</v>
      </c>
      <c r="E6985" s="88" t="s">
        <v>61</v>
      </c>
      <c r="F6985" s="88">
        <v>0</v>
      </c>
      <c r="G6985" s="78">
        <f>MAX(H6985,I6985,J6985)</f>
        <v>1</v>
      </c>
      <c r="H6985" s="88"/>
      <c r="I6985" s="88"/>
      <c r="J6985" s="78">
        <f>MAX(K6985:Q6985)</f>
        <v>1</v>
      </c>
      <c r="K6985" s="88">
        <v>1</v>
      </c>
      <c r="L6985" s="88"/>
      <c r="M6985" s="88"/>
      <c r="N6985" s="88"/>
      <c r="O6985" s="88"/>
      <c r="P6985" s="88"/>
      <c r="Q6985" s="88"/>
      <c r="R6985" s="78">
        <f>MAX(S6985:W6985)</f>
        <v>0</v>
      </c>
      <c r="S6985" s="88"/>
      <c r="T6985" s="88"/>
      <c r="U6985" s="88"/>
      <c r="V6985" s="88"/>
      <c r="W6985" s="88"/>
    </row>
    <row r="6986" spans="2:23" s="0" customFormat="0" ht="15">
      <c r="B6986" s="87" t="s">
        <v>1</v>
      </c>
      <c r="C6986" s="88" t="s">
        <v>5259</v>
      </c>
      <c r="D6986" s="88" t="s">
        <v>2283</v>
      </c>
      <c r="E6986" s="88" t="s">
        <v>61</v>
      </c>
      <c r="F6986" s="88">
        <v>0</v>
      </c>
      <c r="G6986" s="78">
        <f>MAX(H6986,I6986,J6986)</f>
        <v>1</v>
      </c>
      <c r="H6986" s="88"/>
      <c r="I6986" s="88"/>
      <c r="J6986" s="78">
        <f>MAX(K6986:Q6986)</f>
        <v>1</v>
      </c>
      <c r="K6986" s="88">
        <v>1</v>
      </c>
      <c r="L6986" s="88"/>
      <c r="M6986" s="88"/>
      <c r="N6986" s="88"/>
      <c r="O6986" s="88"/>
      <c r="P6986" s="88"/>
      <c r="Q6986" s="88"/>
      <c r="R6986" s="78">
        <f>MAX(S6986:W6986)</f>
        <v>0</v>
      </c>
      <c r="S6986" s="88"/>
      <c r="T6986" s="88"/>
      <c r="U6986" s="88"/>
      <c r="V6986" s="88"/>
      <c r="W6986" s="88"/>
    </row>
    <row r="6987" spans="2:23" s="0" customFormat="0" ht="15">
      <c r="B6987" s="87" t="s">
        <v>1</v>
      </c>
      <c r="C6987" s="88" t="s">
        <v>5259</v>
      </c>
      <c r="D6987" s="88" t="s">
        <v>3778</v>
      </c>
      <c r="E6987" s="88" t="s">
        <v>61</v>
      </c>
      <c r="F6987" s="88">
        <v>0</v>
      </c>
      <c r="G6987" s="78">
        <f>MAX(H6987,I6987,J6987)</f>
        <v>0</v>
      </c>
      <c r="H6987" s="88"/>
      <c r="I6987" s="88"/>
      <c r="J6987" s="78">
        <f>MAX(K6987:Q6987)</f>
        <v>0</v>
      </c>
      <c r="K6987" s="88"/>
      <c r="L6987" s="88"/>
      <c r="M6987" s="88"/>
      <c r="N6987" s="88"/>
      <c r="O6987" s="88"/>
      <c r="P6987" s="88"/>
      <c r="Q6987" s="88"/>
      <c r="R6987" s="78">
        <f>MAX(S6987:W6987)</f>
        <v>1</v>
      </c>
      <c r="S6987" s="88"/>
      <c r="T6987" s="88"/>
      <c r="U6987" s="88">
        <v>1</v>
      </c>
      <c r="V6987" s="88"/>
      <c r="W6987" s="88"/>
    </row>
    <row r="6988" spans="2:23" s="0" customFormat="0" ht="15">
      <c r="B6988" s="87" t="s">
        <v>1</v>
      </c>
      <c r="C6988" s="88" t="s">
        <v>5259</v>
      </c>
      <c r="D6988" s="88" t="s">
        <v>2425</v>
      </c>
      <c r="E6988" s="88" t="s">
        <v>61</v>
      </c>
      <c r="F6988" s="88">
        <v>0</v>
      </c>
      <c r="G6988" s="78">
        <f>MAX(H6988,I6988,J6988)</f>
        <v>1</v>
      </c>
      <c r="H6988" s="88"/>
      <c r="I6988" s="88"/>
      <c r="J6988" s="78">
        <f>MAX(K6988:Q6988)</f>
        <v>1</v>
      </c>
      <c r="K6988" s="88">
        <v>1</v>
      </c>
      <c r="L6988" s="88"/>
      <c r="M6988" s="88"/>
      <c r="N6988" s="88"/>
      <c r="O6988" s="88"/>
      <c r="P6988" s="88"/>
      <c r="Q6988" s="88"/>
      <c r="R6988" s="78">
        <f>MAX(S6988:W6988)</f>
        <v>0</v>
      </c>
      <c r="S6988" s="88"/>
      <c r="T6988" s="88"/>
      <c r="U6988" s="88"/>
      <c r="V6988" s="88"/>
      <c r="W6988" s="88"/>
    </row>
    <row r="6989" spans="2:23" s="0" customFormat="0" ht="15">
      <c r="B6989" s="87" t="s">
        <v>1</v>
      </c>
      <c r="C6989" s="88" t="s">
        <v>5259</v>
      </c>
      <c r="D6989" s="88">
        <v>20928443</v>
      </c>
      <c r="E6989" s="88" t="s">
        <v>61</v>
      </c>
      <c r="F6989" s="88">
        <v>0</v>
      </c>
      <c r="G6989" s="78">
        <f>MAX(H6989,I6989,J6989)</f>
        <v>1</v>
      </c>
      <c r="H6989" s="88"/>
      <c r="I6989" s="88"/>
      <c r="J6989" s="78">
        <f>MAX(K6989:Q6989)</f>
        <v>1</v>
      </c>
      <c r="K6989" s="88">
        <v>1</v>
      </c>
      <c r="L6989" s="88"/>
      <c r="M6989" s="88"/>
      <c r="N6989" s="88"/>
      <c r="O6989" s="88"/>
      <c r="P6989" s="88"/>
      <c r="Q6989" s="88"/>
      <c r="R6989" s="78">
        <f>MAX(S6989:W6989)</f>
        <v>0</v>
      </c>
      <c r="S6989" s="88"/>
      <c r="T6989" s="88"/>
      <c r="U6989" s="88"/>
      <c r="V6989" s="88"/>
      <c r="W6989" s="88"/>
    </row>
    <row r="6990" spans="2:23" s="0" customFormat="0" ht="15">
      <c r="B6990" s="87" t="s">
        <v>1</v>
      </c>
      <c r="C6990" s="88" t="s">
        <v>5259</v>
      </c>
      <c r="D6990" s="88">
        <v>16974061</v>
      </c>
      <c r="E6990" s="88" t="s">
        <v>61</v>
      </c>
      <c r="F6990" s="88">
        <v>0</v>
      </c>
      <c r="G6990" s="78">
        <f>MAX(H6990,I6990,J6990)</f>
        <v>0</v>
      </c>
      <c r="H6990" s="88"/>
      <c r="I6990" s="88"/>
      <c r="J6990" s="78">
        <f>MAX(K6990:Q6990)</f>
        <v>0</v>
      </c>
      <c r="K6990" s="88"/>
      <c r="L6990" s="88"/>
      <c r="M6990" s="88"/>
      <c r="N6990" s="88"/>
      <c r="O6990" s="88"/>
      <c r="P6990" s="88"/>
      <c r="Q6990" s="88"/>
      <c r="R6990" s="78">
        <f>MAX(S6990:W6990)</f>
        <v>1</v>
      </c>
      <c r="S6990" s="88"/>
      <c r="T6990" s="88"/>
      <c r="U6990" s="88">
        <v>1</v>
      </c>
      <c r="V6990" s="88"/>
      <c r="W6990" s="88"/>
    </row>
    <row r="6991" spans="2:23" s="0" customFormat="0" ht="15">
      <c r="B6991" s="87" t="s">
        <v>1</v>
      </c>
      <c r="C6991" s="88" t="s">
        <v>5259</v>
      </c>
      <c r="D6991" s="88">
        <v>22817934</v>
      </c>
      <c r="E6991" s="88" t="s">
        <v>61</v>
      </c>
      <c r="F6991" s="88">
        <v>0</v>
      </c>
      <c r="G6991" s="78">
        <f>MAX(H6991,I6991,J6991)</f>
        <v>1</v>
      </c>
      <c r="H6991" s="88"/>
      <c r="I6991" s="88"/>
      <c r="J6991" s="78">
        <f>MAX(K6991:Q6991)</f>
        <v>1</v>
      </c>
      <c r="K6991" s="88">
        <v>1</v>
      </c>
      <c r="L6991" s="88"/>
      <c r="M6991" s="88"/>
      <c r="N6991" s="88"/>
      <c r="O6991" s="88"/>
      <c r="P6991" s="88"/>
      <c r="Q6991" s="88"/>
      <c r="R6991" s="78">
        <f>MAX(S6991:W6991)</f>
        <v>0</v>
      </c>
      <c r="S6991" s="88"/>
      <c r="T6991" s="88"/>
      <c r="U6991" s="88"/>
      <c r="V6991" s="88"/>
      <c r="W6991" s="88"/>
    </row>
    <row r="6992" spans="2:23" s="0" customFormat="0" ht="15">
      <c r="B6992" s="87" t="s">
        <v>1</v>
      </c>
      <c r="C6992" s="88" t="s">
        <v>5259</v>
      </c>
      <c r="D6992" s="88">
        <v>13442904</v>
      </c>
      <c r="E6992" s="88" t="s">
        <v>61</v>
      </c>
      <c r="F6992" s="88">
        <v>0</v>
      </c>
      <c r="G6992" s="78">
        <f>MAX(H6992,I6992,J6992)</f>
        <v>1</v>
      </c>
      <c r="H6992" s="88"/>
      <c r="I6992" s="88"/>
      <c r="J6992" s="78">
        <f>MAX(K6992:Q6992)</f>
        <v>1</v>
      </c>
      <c r="K6992" s="88">
        <v>1</v>
      </c>
      <c r="L6992" s="88"/>
      <c r="M6992" s="88"/>
      <c r="N6992" s="88"/>
      <c r="O6992" s="88"/>
      <c r="P6992" s="88"/>
      <c r="Q6992" s="88"/>
      <c r="R6992" s="78">
        <f>MAX(S6992:W6992)</f>
        <v>0</v>
      </c>
      <c r="S6992" s="88"/>
      <c r="T6992" s="88"/>
      <c r="U6992" s="88"/>
      <c r="V6992" s="88"/>
      <c r="W6992" s="88"/>
    </row>
    <row r="6993" spans="2:23" s="0" customFormat="0" ht="15">
      <c r="B6993" s="87" t="s">
        <v>1</v>
      </c>
      <c r="C6993" s="88" t="s">
        <v>5259</v>
      </c>
      <c r="D6993" s="88">
        <v>12777384</v>
      </c>
      <c r="E6993" s="88" t="s">
        <v>61</v>
      </c>
      <c r="F6993" s="88">
        <v>0</v>
      </c>
      <c r="G6993" s="78">
        <f>MAX(H6993,I6993,J6993)</f>
        <v>1</v>
      </c>
      <c r="H6993" s="88"/>
      <c r="I6993" s="88"/>
      <c r="J6993" s="78">
        <f>MAX(K6993:Q6993)</f>
        <v>1</v>
      </c>
      <c r="K6993" s="88">
        <v>1</v>
      </c>
      <c r="L6993" s="88"/>
      <c r="M6993" s="88"/>
      <c r="N6993" s="88"/>
      <c r="O6993" s="88"/>
      <c r="P6993" s="88"/>
      <c r="Q6993" s="88"/>
      <c r="R6993" s="78">
        <f>MAX(S6993:W6993)</f>
        <v>0</v>
      </c>
      <c r="S6993" s="88"/>
      <c r="T6993" s="88"/>
      <c r="U6993" s="88"/>
      <c r="V6993" s="88"/>
      <c r="W6993" s="88"/>
    </row>
    <row r="6994" spans="2:23" s="0" customFormat="0" ht="15">
      <c r="B6994" s="87" t="s">
        <v>1</v>
      </c>
      <c r="C6994" s="88" t="s">
        <v>5259</v>
      </c>
      <c r="D6994" s="88" t="s">
        <v>4182</v>
      </c>
      <c r="E6994" s="88" t="s">
        <v>61</v>
      </c>
      <c r="F6994" s="88">
        <v>0</v>
      </c>
      <c r="G6994" s="78">
        <f>MAX(H6994,I6994,J6994)</f>
        <v>0</v>
      </c>
      <c r="H6994" s="88"/>
      <c r="I6994" s="88"/>
      <c r="J6994" s="78">
        <f>MAX(K6994:Q6994)</f>
        <v>0</v>
      </c>
      <c r="K6994" s="88"/>
      <c r="L6994" s="88"/>
      <c r="M6994" s="88"/>
      <c r="N6994" s="88"/>
      <c r="O6994" s="88"/>
      <c r="P6994" s="88"/>
      <c r="Q6994" s="88"/>
      <c r="R6994" s="78">
        <f>MAX(S6994:W6994)</f>
        <v>1</v>
      </c>
      <c r="S6994" s="88"/>
      <c r="T6994" s="88"/>
      <c r="U6994" s="88">
        <v>1</v>
      </c>
      <c r="V6994" s="88"/>
      <c r="W6994" s="88"/>
    </row>
    <row r="6995" spans="2:23" s="0" customFormat="0" ht="15">
      <c r="B6995" s="87" t="s">
        <v>1</v>
      </c>
      <c r="C6995" s="88" t="s">
        <v>5259</v>
      </c>
      <c r="D6995" s="88">
        <v>24432467</v>
      </c>
      <c r="E6995" s="88" t="s">
        <v>61</v>
      </c>
      <c r="F6995" s="88">
        <v>0</v>
      </c>
      <c r="G6995" s="78">
        <f>MAX(H6995,I6995,J6995)</f>
        <v>1</v>
      </c>
      <c r="H6995" s="88"/>
      <c r="I6995" s="88"/>
      <c r="J6995" s="78">
        <f>MAX(K6995:Q6995)</f>
        <v>1</v>
      </c>
      <c r="K6995" s="88">
        <v>1</v>
      </c>
      <c r="L6995" s="88"/>
      <c r="M6995" s="88"/>
      <c r="N6995" s="88"/>
      <c r="O6995" s="88"/>
      <c r="P6995" s="88"/>
      <c r="Q6995" s="88"/>
      <c r="R6995" s="78">
        <f>MAX(S6995:W6995)</f>
        <v>0</v>
      </c>
      <c r="S6995" s="88"/>
      <c r="T6995" s="88"/>
      <c r="U6995" s="88"/>
      <c r="V6995" s="88"/>
      <c r="W6995" s="88"/>
    </row>
    <row r="6996" spans="2:23" s="0" customFormat="0" ht="15">
      <c r="B6996" s="87" t="s">
        <v>1</v>
      </c>
      <c r="C6996" s="88" t="s">
        <v>5259</v>
      </c>
      <c r="D6996" s="88">
        <v>22301296</v>
      </c>
      <c r="E6996" s="88" t="s">
        <v>61</v>
      </c>
      <c r="F6996" s="88">
        <v>0</v>
      </c>
      <c r="G6996" s="78">
        <f>MAX(H6996,I6996,J6996)</f>
        <v>1</v>
      </c>
      <c r="H6996" s="88"/>
      <c r="I6996" s="88"/>
      <c r="J6996" s="78">
        <f>MAX(K6996:Q6996)</f>
        <v>1</v>
      </c>
      <c r="K6996" s="88">
        <v>1</v>
      </c>
      <c r="L6996" s="88"/>
      <c r="M6996" s="88"/>
      <c r="N6996" s="88"/>
      <c r="O6996" s="88"/>
      <c r="P6996" s="88"/>
      <c r="Q6996" s="88"/>
      <c r="R6996" s="78">
        <f>MAX(S6996:W6996)</f>
        <v>0</v>
      </c>
      <c r="S6996" s="88"/>
      <c r="T6996" s="88"/>
      <c r="U6996" s="88"/>
      <c r="V6996" s="88"/>
      <c r="W6996" s="88"/>
    </row>
    <row r="6997" spans="2:23" s="0" customFormat="0" ht="15">
      <c r="B6997" s="87" t="s">
        <v>1</v>
      </c>
      <c r="C6997" s="88" t="s">
        <v>5259</v>
      </c>
      <c r="D6997" s="88">
        <v>21282457</v>
      </c>
      <c r="E6997" s="88" t="s">
        <v>61</v>
      </c>
      <c r="F6997" s="88">
        <v>0</v>
      </c>
      <c r="G6997" s="78">
        <f>MAX(H6997,I6997,J6997)</f>
        <v>1</v>
      </c>
      <c r="H6997" s="88"/>
      <c r="I6997" s="88"/>
      <c r="J6997" s="78">
        <f>MAX(K6997:Q6997)</f>
        <v>1</v>
      </c>
      <c r="K6997" s="88">
        <v>1</v>
      </c>
      <c r="L6997" s="88"/>
      <c r="M6997" s="88"/>
      <c r="N6997" s="88"/>
      <c r="O6997" s="88"/>
      <c r="P6997" s="88"/>
      <c r="Q6997" s="88"/>
      <c r="R6997" s="78">
        <f>MAX(S6997:W6997)</f>
        <v>0</v>
      </c>
      <c r="S6997" s="88"/>
      <c r="T6997" s="88"/>
      <c r="U6997" s="88"/>
      <c r="V6997" s="88"/>
      <c r="W6997" s="88"/>
    </row>
    <row r="6998" spans="2:23" s="0" customFormat="0" ht="15">
      <c r="B6998" s="87" t="s">
        <v>1</v>
      </c>
      <c r="C6998" s="88" t="s">
        <v>5259</v>
      </c>
      <c r="D6998" s="88">
        <v>11866824</v>
      </c>
      <c r="E6998" s="88" t="s">
        <v>61</v>
      </c>
      <c r="F6998" s="88">
        <v>0</v>
      </c>
      <c r="G6998" s="78">
        <f>MAX(H6998,I6998,J6998)</f>
        <v>1</v>
      </c>
      <c r="H6998" s="88"/>
      <c r="I6998" s="88"/>
      <c r="J6998" s="78">
        <f>MAX(K6998:Q6998)</f>
        <v>1</v>
      </c>
      <c r="K6998" s="88">
        <v>1</v>
      </c>
      <c r="L6998" s="88"/>
      <c r="M6998" s="88"/>
      <c r="N6998" s="88"/>
      <c r="O6998" s="88"/>
      <c r="P6998" s="88"/>
      <c r="Q6998" s="88"/>
      <c r="R6998" s="78">
        <f>MAX(S6998:W6998)</f>
        <v>0</v>
      </c>
      <c r="S6998" s="88"/>
      <c r="T6998" s="88"/>
      <c r="U6998" s="88"/>
      <c r="V6998" s="88"/>
      <c r="W6998" s="88"/>
    </row>
    <row r="6999" spans="2:23" s="0" customFormat="0" ht="15">
      <c r="B6999" s="87" t="s">
        <v>1</v>
      </c>
      <c r="C6999" s="88" t="s">
        <v>5259</v>
      </c>
      <c r="D6999" s="88">
        <v>18913657</v>
      </c>
      <c r="E6999" s="88" t="s">
        <v>61</v>
      </c>
      <c r="F6999" s="88">
        <v>0</v>
      </c>
      <c r="G6999" s="78">
        <f>MAX(H6999,I6999,J6999)</f>
        <v>0</v>
      </c>
      <c r="H6999" s="88"/>
      <c r="I6999" s="88"/>
      <c r="J6999" s="78">
        <f>MAX(K6999:Q6999)</f>
        <v>0</v>
      </c>
      <c r="K6999" s="88"/>
      <c r="L6999" s="88"/>
      <c r="M6999" s="88"/>
      <c r="N6999" s="88"/>
      <c r="O6999" s="88"/>
      <c r="P6999" s="88"/>
      <c r="Q6999" s="88"/>
      <c r="R6999" s="78">
        <f>MAX(S6999:W6999)</f>
        <v>1</v>
      </c>
      <c r="S6999" s="88"/>
      <c r="T6999" s="88"/>
      <c r="U6999" s="88">
        <v>1</v>
      </c>
      <c r="V6999" s="88"/>
      <c r="W6999" s="88"/>
    </row>
    <row r="7000" spans="2:23" s="0" customFormat="0" ht="15">
      <c r="B7000" s="87" t="s">
        <v>1</v>
      </c>
      <c r="C7000" s="88" t="s">
        <v>5259</v>
      </c>
      <c r="D7000" s="88" t="s">
        <v>5085</v>
      </c>
      <c r="E7000" s="88" t="s">
        <v>61</v>
      </c>
      <c r="F7000" s="88">
        <v>0</v>
      </c>
      <c r="G7000" s="78">
        <f>MAX(H7000,I7000,J7000)</f>
        <v>0</v>
      </c>
      <c r="H7000" s="88"/>
      <c r="I7000" s="88"/>
      <c r="J7000" s="78">
        <f>MAX(K7000:Q7000)</f>
        <v>0</v>
      </c>
      <c r="K7000" s="88"/>
      <c r="L7000" s="88"/>
      <c r="M7000" s="88"/>
      <c r="N7000" s="88"/>
      <c r="O7000" s="88"/>
      <c r="P7000" s="88"/>
      <c r="Q7000" s="88"/>
      <c r="R7000" s="78">
        <f>MAX(S7000:W7000)</f>
        <v>1</v>
      </c>
      <c r="S7000" s="88"/>
      <c r="T7000" s="88"/>
      <c r="U7000" s="88">
        <v>1</v>
      </c>
      <c r="V7000" s="88"/>
      <c r="W7000" s="88"/>
    </row>
    <row r="7001" spans="2:23" s="0" customFormat="0" ht="15">
      <c r="B7001" s="87" t="s">
        <v>1</v>
      </c>
      <c r="C7001" s="88" t="s">
        <v>5259</v>
      </c>
      <c r="D7001" s="88" t="s">
        <v>3072</v>
      </c>
      <c r="E7001" s="88" t="s">
        <v>61</v>
      </c>
      <c r="F7001" s="88">
        <v>0</v>
      </c>
      <c r="G7001" s="78">
        <f>MAX(H7001,I7001,J7001)</f>
        <v>1</v>
      </c>
      <c r="H7001" s="88"/>
      <c r="I7001" s="88"/>
      <c r="J7001" s="78">
        <f>MAX(K7001:Q7001)</f>
        <v>1</v>
      </c>
      <c r="K7001" s="88"/>
      <c r="L7001" s="88"/>
      <c r="M7001" s="88">
        <v>1</v>
      </c>
      <c r="N7001" s="88"/>
      <c r="O7001" s="88"/>
      <c r="P7001" s="88"/>
      <c r="Q7001" s="88"/>
      <c r="R7001" s="78">
        <f>MAX(S7001:W7001)</f>
        <v>0</v>
      </c>
      <c r="S7001" s="88"/>
      <c r="T7001" s="88"/>
      <c r="U7001" s="88"/>
      <c r="V7001" s="88"/>
      <c r="W7001" s="88"/>
    </row>
    <row r="7002" spans="2:23" s="0" customFormat="0" ht="15">
      <c r="B7002" s="87" t="s">
        <v>1</v>
      </c>
      <c r="C7002" s="88" t="s">
        <v>5259</v>
      </c>
      <c r="D7002" s="88">
        <v>15345826</v>
      </c>
      <c r="E7002" s="88" t="s">
        <v>61</v>
      </c>
      <c r="F7002" s="88">
        <v>0</v>
      </c>
      <c r="G7002" s="78">
        <f>MAX(H7002,I7002,J7002)</f>
        <v>1</v>
      </c>
      <c r="H7002" s="88"/>
      <c r="I7002" s="88"/>
      <c r="J7002" s="78">
        <f>MAX(K7002:Q7002)</f>
        <v>1</v>
      </c>
      <c r="K7002" s="88">
        <v>1</v>
      </c>
      <c r="L7002" s="88"/>
      <c r="M7002" s="88"/>
      <c r="N7002" s="88"/>
      <c r="O7002" s="88"/>
      <c r="P7002" s="88"/>
      <c r="Q7002" s="88"/>
      <c r="R7002" s="78">
        <f>MAX(S7002:W7002)</f>
        <v>0</v>
      </c>
      <c r="S7002" s="88"/>
      <c r="T7002" s="88"/>
      <c r="U7002" s="88"/>
      <c r="V7002" s="88"/>
      <c r="W7002" s="88"/>
    </row>
    <row r="7003" spans="2:23" s="0" customFormat="0" ht="15">
      <c r="B7003" s="87" t="s">
        <v>1</v>
      </c>
      <c r="C7003" s="88" t="s">
        <v>5259</v>
      </c>
      <c r="D7003" s="88">
        <v>12635400</v>
      </c>
      <c r="E7003" s="88" t="s">
        <v>61</v>
      </c>
      <c r="F7003" s="88">
        <v>0</v>
      </c>
      <c r="G7003" s="78">
        <f>MAX(H7003,I7003,J7003)</f>
        <v>1</v>
      </c>
      <c r="H7003" s="88"/>
      <c r="I7003" s="88"/>
      <c r="J7003" s="78">
        <f>MAX(K7003:Q7003)</f>
        <v>1</v>
      </c>
      <c r="K7003" s="88">
        <v>1</v>
      </c>
      <c r="L7003" s="88"/>
      <c r="M7003" s="88"/>
      <c r="N7003" s="88"/>
      <c r="O7003" s="88"/>
      <c r="P7003" s="88"/>
      <c r="Q7003" s="88"/>
      <c r="R7003" s="78">
        <f>MAX(S7003:W7003)</f>
        <v>0</v>
      </c>
      <c r="S7003" s="88"/>
      <c r="T7003" s="88"/>
      <c r="U7003" s="88"/>
      <c r="V7003" s="88"/>
      <c r="W7003" s="88"/>
    </row>
    <row r="7004" spans="2:23" s="0" customFormat="0" ht="15">
      <c r="B7004" s="87" t="s">
        <v>1</v>
      </c>
      <c r="C7004" s="88" t="s">
        <v>5259</v>
      </c>
      <c r="D7004" s="88">
        <v>22676179</v>
      </c>
      <c r="E7004" s="88" t="s">
        <v>61</v>
      </c>
      <c r="F7004" s="88">
        <v>0</v>
      </c>
      <c r="G7004" s="78">
        <f>MAX(H7004,I7004,J7004)</f>
        <v>1</v>
      </c>
      <c r="H7004" s="88"/>
      <c r="I7004" s="88"/>
      <c r="J7004" s="78">
        <f>MAX(K7004:Q7004)</f>
        <v>1</v>
      </c>
      <c r="K7004" s="88">
        <v>1</v>
      </c>
      <c r="L7004" s="88"/>
      <c r="M7004" s="88"/>
      <c r="N7004" s="88"/>
      <c r="O7004" s="88"/>
      <c r="P7004" s="88"/>
      <c r="Q7004" s="88"/>
      <c r="R7004" s="78">
        <f>MAX(S7004:W7004)</f>
        <v>0</v>
      </c>
      <c r="S7004" s="88"/>
      <c r="T7004" s="88"/>
      <c r="U7004" s="88"/>
      <c r="V7004" s="88"/>
      <c r="W7004" s="88"/>
    </row>
    <row r="7005" spans="2:23" s="0" customFormat="0" ht="15">
      <c r="B7005" s="87" t="s">
        <v>1</v>
      </c>
      <c r="C7005" s="88" t="s">
        <v>5259</v>
      </c>
      <c r="D7005" s="88" t="s">
        <v>5201</v>
      </c>
      <c r="E7005" s="88" t="s">
        <v>61</v>
      </c>
      <c r="F7005" s="88">
        <v>0</v>
      </c>
      <c r="G7005" s="78">
        <f>MAX(H7005,I7005,J7005)</f>
        <v>0</v>
      </c>
      <c r="H7005" s="88"/>
      <c r="I7005" s="88"/>
      <c r="J7005" s="78">
        <f>MAX(K7005:Q7005)</f>
        <v>0</v>
      </c>
      <c r="K7005" s="88"/>
      <c r="L7005" s="88"/>
      <c r="M7005" s="88"/>
      <c r="N7005" s="88"/>
      <c r="O7005" s="88"/>
      <c r="P7005" s="88"/>
      <c r="Q7005" s="88"/>
      <c r="R7005" s="78">
        <f>MAX(S7005:W7005)</f>
        <v>1</v>
      </c>
      <c r="S7005" s="88"/>
      <c r="T7005" s="88"/>
      <c r="U7005" s="88">
        <v>1</v>
      </c>
      <c r="V7005" s="88"/>
      <c r="W7005" s="88"/>
    </row>
    <row r="7006" spans="2:23" s="0" customFormat="0" ht="15">
      <c r="B7006" s="87" t="s">
        <v>1</v>
      </c>
      <c r="C7006" s="88" t="s">
        <v>5259</v>
      </c>
      <c r="D7006" s="88" t="s">
        <v>4680</v>
      </c>
      <c r="E7006" s="88" t="s">
        <v>61</v>
      </c>
      <c r="F7006" s="88">
        <v>0</v>
      </c>
      <c r="G7006" s="78">
        <f>MAX(H7006,I7006,J7006)</f>
        <v>0</v>
      </c>
      <c r="H7006" s="88"/>
      <c r="I7006" s="88"/>
      <c r="J7006" s="78">
        <f>MAX(K7006:Q7006)</f>
        <v>0</v>
      </c>
      <c r="K7006" s="88"/>
      <c r="L7006" s="88"/>
      <c r="M7006" s="88"/>
      <c r="N7006" s="88"/>
      <c r="O7006" s="88"/>
      <c r="P7006" s="88"/>
      <c r="Q7006" s="88"/>
      <c r="R7006" s="78">
        <f>MAX(S7006:W7006)</f>
        <v>1</v>
      </c>
      <c r="S7006" s="88"/>
      <c r="T7006" s="88"/>
      <c r="U7006" s="88">
        <v>1</v>
      </c>
      <c r="V7006" s="88"/>
      <c r="W7006" s="88"/>
    </row>
    <row r="7007" spans="2:23" s="0" customFormat="0" ht="15">
      <c r="B7007" s="87" t="s">
        <v>1</v>
      </c>
      <c r="C7007" s="88" t="s">
        <v>5259</v>
      </c>
      <c r="D7007" s="88" t="s">
        <v>2411</v>
      </c>
      <c r="E7007" s="88" t="s">
        <v>61</v>
      </c>
      <c r="F7007" s="88">
        <v>0</v>
      </c>
      <c r="G7007" s="78">
        <f>MAX(H7007,I7007,J7007)</f>
        <v>1</v>
      </c>
      <c r="H7007" s="88"/>
      <c r="I7007" s="88"/>
      <c r="J7007" s="78">
        <f>MAX(K7007:Q7007)</f>
        <v>1</v>
      </c>
      <c r="K7007" s="88">
        <v>1</v>
      </c>
      <c r="L7007" s="88"/>
      <c r="M7007" s="88"/>
      <c r="N7007" s="88"/>
      <c r="O7007" s="88"/>
      <c r="P7007" s="88"/>
      <c r="Q7007" s="88"/>
      <c r="R7007" s="78">
        <f>MAX(S7007:W7007)</f>
        <v>0</v>
      </c>
      <c r="S7007" s="88"/>
      <c r="T7007" s="88"/>
      <c r="U7007" s="88"/>
      <c r="V7007" s="88"/>
      <c r="W7007" s="88"/>
    </row>
    <row r="7008" spans="2:23" s="0" customFormat="0" ht="15">
      <c r="B7008" s="87" t="s">
        <v>1</v>
      </c>
      <c r="C7008" s="88" t="s">
        <v>5259</v>
      </c>
      <c r="D7008" s="88">
        <v>387894</v>
      </c>
      <c r="E7008" s="88" t="s">
        <v>61</v>
      </c>
      <c r="F7008" s="88">
        <v>0</v>
      </c>
      <c r="G7008" s="78">
        <f>MAX(H7008,I7008,J7008)</f>
        <v>1</v>
      </c>
      <c r="H7008" s="88"/>
      <c r="I7008" s="88"/>
      <c r="J7008" s="78">
        <f>MAX(K7008:Q7008)</f>
        <v>1</v>
      </c>
      <c r="K7008" s="88">
        <v>1</v>
      </c>
      <c r="L7008" s="88"/>
      <c r="M7008" s="88"/>
      <c r="N7008" s="88"/>
      <c r="O7008" s="88"/>
      <c r="P7008" s="88"/>
      <c r="Q7008" s="88"/>
      <c r="R7008" s="78">
        <f>MAX(S7008:W7008)</f>
        <v>0</v>
      </c>
      <c r="S7008" s="88"/>
      <c r="T7008" s="88"/>
      <c r="U7008" s="88"/>
      <c r="V7008" s="88"/>
      <c r="W7008" s="88"/>
    </row>
    <row r="7009" spans="2:23" s="0" customFormat="0" ht="15">
      <c r="B7009" s="87" t="s">
        <v>1</v>
      </c>
      <c r="C7009" s="88" t="s">
        <v>5259</v>
      </c>
      <c r="D7009" s="88">
        <v>14519212</v>
      </c>
      <c r="E7009" s="88" t="s">
        <v>61</v>
      </c>
      <c r="F7009" s="88">
        <v>0</v>
      </c>
      <c r="G7009" s="78">
        <f>MAX(H7009,I7009,J7009)</f>
        <v>1</v>
      </c>
      <c r="H7009" s="88"/>
      <c r="I7009" s="88"/>
      <c r="J7009" s="78">
        <f>MAX(K7009:Q7009)</f>
        <v>1</v>
      </c>
      <c r="K7009" s="88">
        <v>1</v>
      </c>
      <c r="L7009" s="88"/>
      <c r="M7009" s="88"/>
      <c r="N7009" s="88"/>
      <c r="O7009" s="88"/>
      <c r="P7009" s="88"/>
      <c r="Q7009" s="88"/>
      <c r="R7009" s="78">
        <f>MAX(S7009:W7009)</f>
        <v>0</v>
      </c>
      <c r="S7009" s="88"/>
      <c r="T7009" s="88"/>
      <c r="U7009" s="88"/>
      <c r="V7009" s="88"/>
      <c r="W7009" s="88"/>
    </row>
    <row r="7010" spans="2:23" s="0" customFormat="0" ht="15">
      <c r="B7010" s="87" t="s">
        <v>1</v>
      </c>
      <c r="C7010" s="88" t="s">
        <v>5259</v>
      </c>
      <c r="D7010" s="88">
        <v>11899219</v>
      </c>
      <c r="E7010" s="88" t="s">
        <v>61</v>
      </c>
      <c r="F7010" s="88">
        <v>0</v>
      </c>
      <c r="G7010" s="78">
        <f>MAX(H7010,I7010,J7010)</f>
        <v>1</v>
      </c>
      <c r="H7010" s="88"/>
      <c r="I7010" s="88"/>
      <c r="J7010" s="78">
        <f>MAX(K7010:Q7010)</f>
        <v>1</v>
      </c>
      <c r="K7010" s="88">
        <v>1</v>
      </c>
      <c r="L7010" s="88"/>
      <c r="M7010" s="88"/>
      <c r="N7010" s="88"/>
      <c r="O7010" s="88"/>
      <c r="P7010" s="88"/>
      <c r="Q7010" s="88"/>
      <c r="R7010" s="78">
        <f>MAX(S7010:W7010)</f>
        <v>0</v>
      </c>
      <c r="S7010" s="88"/>
      <c r="T7010" s="88"/>
      <c r="U7010" s="88"/>
      <c r="V7010" s="88"/>
      <c r="W7010" s="88"/>
    </row>
    <row r="7011" spans="2:23" s="0" customFormat="0" ht="15">
      <c r="B7011" s="87" t="s">
        <v>1</v>
      </c>
      <c r="C7011" s="88" t="s">
        <v>5259</v>
      </c>
      <c r="D7011" s="88">
        <v>14504643</v>
      </c>
      <c r="E7011" s="88" t="s">
        <v>61</v>
      </c>
      <c r="F7011" s="88">
        <v>0</v>
      </c>
      <c r="G7011" s="78">
        <f>MAX(H7011,I7011,J7011)</f>
        <v>0</v>
      </c>
      <c r="H7011" s="88"/>
      <c r="I7011" s="88"/>
      <c r="J7011" s="78">
        <f>MAX(K7011:Q7011)</f>
        <v>0</v>
      </c>
      <c r="K7011" s="88"/>
      <c r="L7011" s="88"/>
      <c r="M7011" s="88"/>
      <c r="N7011" s="88"/>
      <c r="O7011" s="88"/>
      <c r="P7011" s="88"/>
      <c r="Q7011" s="88"/>
      <c r="R7011" s="78">
        <f>MAX(S7011:W7011)</f>
        <v>1</v>
      </c>
      <c r="S7011" s="88"/>
      <c r="T7011" s="88"/>
      <c r="U7011" s="88">
        <v>1</v>
      </c>
      <c r="V7011" s="88"/>
      <c r="W7011" s="88"/>
    </row>
    <row r="7012" spans="2:23" s="0" customFormat="0" ht="15">
      <c r="B7012" s="87" t="s">
        <v>1</v>
      </c>
      <c r="C7012" s="88" t="s">
        <v>5259</v>
      </c>
      <c r="D7012" s="88" t="s">
        <v>5029</v>
      </c>
      <c r="E7012" s="88" t="s">
        <v>61</v>
      </c>
      <c r="F7012" s="88">
        <v>0</v>
      </c>
      <c r="G7012" s="78">
        <f>MAX(H7012,I7012,J7012)</f>
        <v>0</v>
      </c>
      <c r="H7012" s="88"/>
      <c r="I7012" s="88"/>
      <c r="J7012" s="78">
        <f>MAX(K7012:Q7012)</f>
        <v>0</v>
      </c>
      <c r="K7012" s="88"/>
      <c r="L7012" s="88"/>
      <c r="M7012" s="88"/>
      <c r="N7012" s="88"/>
      <c r="O7012" s="88"/>
      <c r="P7012" s="88"/>
      <c r="Q7012" s="88"/>
      <c r="R7012" s="78">
        <f>MAX(S7012:W7012)</f>
        <v>1</v>
      </c>
      <c r="S7012" s="88"/>
      <c r="T7012" s="88"/>
      <c r="U7012" s="88">
        <v>1</v>
      </c>
      <c r="V7012" s="88"/>
      <c r="W7012" s="88"/>
    </row>
    <row r="7013" spans="2:23" s="0" customFormat="0" ht="15">
      <c r="B7013" s="87" t="s">
        <v>1</v>
      </c>
      <c r="C7013" s="88" t="s">
        <v>5259</v>
      </c>
      <c r="D7013" s="88">
        <v>22623670</v>
      </c>
      <c r="E7013" s="88" t="s">
        <v>61</v>
      </c>
      <c r="F7013" s="88">
        <v>0</v>
      </c>
      <c r="G7013" s="78">
        <f>MAX(H7013,I7013,J7013)</f>
        <v>0</v>
      </c>
      <c r="H7013" s="88"/>
      <c r="I7013" s="88"/>
      <c r="J7013" s="78">
        <f>MAX(K7013:Q7013)</f>
        <v>0</v>
      </c>
      <c r="K7013" s="88"/>
      <c r="L7013" s="88"/>
      <c r="M7013" s="88"/>
      <c r="N7013" s="88"/>
      <c r="O7013" s="88"/>
      <c r="P7013" s="88"/>
      <c r="Q7013" s="88"/>
      <c r="R7013" s="78">
        <f>MAX(S7013:W7013)</f>
        <v>1</v>
      </c>
      <c r="S7013" s="88"/>
      <c r="T7013" s="88"/>
      <c r="U7013" s="88">
        <v>1</v>
      </c>
      <c r="V7013" s="88"/>
      <c r="W7013" s="88"/>
    </row>
    <row r="7014" spans="2:23" s="0" customFormat="0" ht="15">
      <c r="B7014" s="87" t="s">
        <v>1</v>
      </c>
      <c r="C7014" s="88" t="s">
        <v>5259</v>
      </c>
      <c r="D7014" s="88">
        <v>19481667</v>
      </c>
      <c r="E7014" s="88" t="s">
        <v>61</v>
      </c>
      <c r="F7014" s="88">
        <v>0</v>
      </c>
      <c r="G7014" s="78">
        <f>MAX(H7014,I7014,J7014)</f>
        <v>1</v>
      </c>
      <c r="H7014" s="88"/>
      <c r="I7014" s="88"/>
      <c r="J7014" s="78">
        <f>MAX(K7014:Q7014)</f>
        <v>1</v>
      </c>
      <c r="K7014" s="88">
        <v>1</v>
      </c>
      <c r="L7014" s="88"/>
      <c r="M7014" s="88"/>
      <c r="N7014" s="88"/>
      <c r="O7014" s="88"/>
      <c r="P7014" s="88"/>
      <c r="Q7014" s="88"/>
      <c r="R7014" s="78">
        <f>MAX(S7014:W7014)</f>
        <v>0</v>
      </c>
      <c r="S7014" s="88"/>
      <c r="T7014" s="88"/>
      <c r="U7014" s="88"/>
      <c r="V7014" s="88"/>
      <c r="W7014" s="88"/>
    </row>
    <row r="7015" spans="2:23" s="0" customFormat="0" ht="15">
      <c r="B7015" s="87" t="s">
        <v>1</v>
      </c>
      <c r="C7015" s="88" t="s">
        <v>5259</v>
      </c>
      <c r="D7015" s="88">
        <v>21007288</v>
      </c>
      <c r="E7015" s="88" t="s">
        <v>61</v>
      </c>
      <c r="F7015" s="88">
        <v>0</v>
      </c>
      <c r="G7015" s="78">
        <f>MAX(H7015,I7015,J7015)</f>
        <v>1</v>
      </c>
      <c r="H7015" s="88"/>
      <c r="I7015" s="88"/>
      <c r="J7015" s="78">
        <f>MAX(K7015:Q7015)</f>
        <v>1</v>
      </c>
      <c r="K7015" s="88">
        <v>1</v>
      </c>
      <c r="L7015" s="88"/>
      <c r="M7015" s="88"/>
      <c r="N7015" s="88"/>
      <c r="O7015" s="88"/>
      <c r="P7015" s="88"/>
      <c r="Q7015" s="88"/>
      <c r="R7015" s="78">
        <f>MAX(S7015:W7015)</f>
        <v>0</v>
      </c>
      <c r="S7015" s="88"/>
      <c r="T7015" s="88"/>
      <c r="U7015" s="88"/>
      <c r="V7015" s="88"/>
      <c r="W7015" s="88"/>
    </row>
    <row r="7016" spans="2:23" s="0" customFormat="0" ht="15">
      <c r="B7016" s="87" t="s">
        <v>1</v>
      </c>
      <c r="C7016" s="88" t="s">
        <v>5259</v>
      </c>
      <c r="D7016" s="88">
        <v>7728521</v>
      </c>
      <c r="E7016" s="88" t="s">
        <v>61</v>
      </c>
      <c r="F7016" s="88">
        <v>0</v>
      </c>
      <c r="G7016" s="78">
        <f>MAX(H7016,I7016,J7016)</f>
        <v>1</v>
      </c>
      <c r="H7016" s="88"/>
      <c r="I7016" s="88"/>
      <c r="J7016" s="78">
        <f>MAX(K7016:Q7016)</f>
        <v>1</v>
      </c>
      <c r="K7016" s="88">
        <v>1</v>
      </c>
      <c r="L7016" s="88"/>
      <c r="M7016" s="88"/>
      <c r="N7016" s="88"/>
      <c r="O7016" s="88"/>
      <c r="P7016" s="88"/>
      <c r="Q7016" s="88"/>
      <c r="R7016" s="78">
        <f>MAX(S7016:W7016)</f>
        <v>0</v>
      </c>
      <c r="S7016" s="88"/>
      <c r="T7016" s="88"/>
      <c r="U7016" s="88"/>
      <c r="V7016" s="88"/>
      <c r="W7016" s="88"/>
    </row>
    <row r="7017" spans="2:23" s="0" customFormat="0" ht="15">
      <c r="B7017" s="87" t="s">
        <v>1</v>
      </c>
      <c r="C7017" s="88" t="s">
        <v>5259</v>
      </c>
      <c r="D7017" s="88">
        <v>12686062</v>
      </c>
      <c r="E7017" s="88" t="s">
        <v>61</v>
      </c>
      <c r="F7017" s="88">
        <v>0</v>
      </c>
      <c r="G7017" s="78">
        <f>MAX(H7017,I7017,J7017)</f>
        <v>1</v>
      </c>
      <c r="H7017" s="88"/>
      <c r="I7017" s="88"/>
      <c r="J7017" s="78">
        <f>MAX(K7017:Q7017)</f>
        <v>1</v>
      </c>
      <c r="K7017" s="88">
        <v>1</v>
      </c>
      <c r="L7017" s="88"/>
      <c r="M7017" s="88"/>
      <c r="N7017" s="88"/>
      <c r="O7017" s="88"/>
      <c r="P7017" s="88"/>
      <c r="Q7017" s="88"/>
      <c r="R7017" s="78">
        <f>MAX(S7017:W7017)</f>
        <v>0</v>
      </c>
      <c r="S7017" s="88"/>
      <c r="T7017" s="88"/>
      <c r="U7017" s="88"/>
      <c r="V7017" s="88"/>
      <c r="W7017" s="88"/>
    </row>
    <row r="7018" spans="2:23" s="0" customFormat="0" ht="15">
      <c r="B7018" s="87" t="s">
        <v>1</v>
      </c>
      <c r="C7018" s="88" t="s">
        <v>5259</v>
      </c>
      <c r="D7018" s="88">
        <v>24263604</v>
      </c>
      <c r="E7018" s="88" t="s">
        <v>61</v>
      </c>
      <c r="F7018" s="88">
        <v>0</v>
      </c>
      <c r="G7018" s="78">
        <f>MAX(H7018,I7018,J7018)</f>
        <v>1</v>
      </c>
      <c r="H7018" s="88"/>
      <c r="I7018" s="88"/>
      <c r="J7018" s="78">
        <f>MAX(K7018:Q7018)</f>
        <v>1</v>
      </c>
      <c r="K7018" s="88">
        <v>1</v>
      </c>
      <c r="L7018" s="88"/>
      <c r="M7018" s="88"/>
      <c r="N7018" s="88"/>
      <c r="O7018" s="88"/>
      <c r="P7018" s="88"/>
      <c r="Q7018" s="88"/>
      <c r="R7018" s="78">
        <f>MAX(S7018:W7018)</f>
        <v>0</v>
      </c>
      <c r="S7018" s="88"/>
      <c r="T7018" s="88"/>
      <c r="U7018" s="88"/>
      <c r="V7018" s="88"/>
      <c r="W7018" s="88"/>
    </row>
    <row r="7019" spans="2:23" s="0" customFormat="0" ht="15">
      <c r="B7019" s="87" t="s">
        <v>1</v>
      </c>
      <c r="C7019" s="88" t="s">
        <v>5259</v>
      </c>
      <c r="D7019" s="88">
        <v>14370170</v>
      </c>
      <c r="E7019" s="88" t="s">
        <v>61</v>
      </c>
      <c r="F7019" s="88">
        <v>0</v>
      </c>
      <c r="G7019" s="78">
        <f>MAX(H7019,I7019,J7019)</f>
        <v>1</v>
      </c>
      <c r="H7019" s="88"/>
      <c r="I7019" s="88"/>
      <c r="J7019" s="78">
        <f>MAX(K7019:Q7019)</f>
        <v>1</v>
      </c>
      <c r="K7019" s="88">
        <v>1</v>
      </c>
      <c r="L7019" s="88"/>
      <c r="M7019" s="88"/>
      <c r="N7019" s="88"/>
      <c r="O7019" s="88"/>
      <c r="P7019" s="88"/>
      <c r="Q7019" s="88"/>
      <c r="R7019" s="78">
        <f>MAX(S7019:W7019)</f>
        <v>0</v>
      </c>
      <c r="S7019" s="88"/>
      <c r="T7019" s="88"/>
      <c r="U7019" s="88"/>
      <c r="V7019" s="88"/>
      <c r="W7019" s="88"/>
    </row>
    <row r="7020" spans="2:23" s="0" customFormat="0" ht="15">
      <c r="B7020" s="87" t="s">
        <v>1</v>
      </c>
      <c r="C7020" s="88" t="s">
        <v>5259</v>
      </c>
      <c r="D7020" s="88">
        <v>20649047</v>
      </c>
      <c r="E7020" s="88" t="s">
        <v>61</v>
      </c>
      <c r="F7020" s="88">
        <v>0</v>
      </c>
      <c r="G7020" s="78">
        <f>MAX(H7020,I7020,J7020)</f>
        <v>1</v>
      </c>
      <c r="H7020" s="88"/>
      <c r="I7020" s="88"/>
      <c r="J7020" s="78">
        <f>MAX(K7020:Q7020)</f>
        <v>1</v>
      </c>
      <c r="K7020" s="88">
        <v>1</v>
      </c>
      <c r="L7020" s="88"/>
      <c r="M7020" s="88"/>
      <c r="N7020" s="88"/>
      <c r="O7020" s="88"/>
      <c r="P7020" s="88"/>
      <c r="Q7020" s="88"/>
      <c r="R7020" s="78">
        <f>MAX(S7020:W7020)</f>
        <v>0</v>
      </c>
      <c r="S7020" s="88"/>
      <c r="T7020" s="88"/>
      <c r="U7020" s="88"/>
      <c r="V7020" s="88"/>
      <c r="W7020" s="88"/>
    </row>
    <row r="7021" spans="2:23" s="0" customFormat="0" ht="15">
      <c r="B7021" s="87" t="s">
        <v>1</v>
      </c>
      <c r="C7021" s="88" t="s">
        <v>5259</v>
      </c>
      <c r="D7021" s="88" t="s">
        <v>3775</v>
      </c>
      <c r="E7021" s="88" t="s">
        <v>61</v>
      </c>
      <c r="F7021" s="88">
        <v>0</v>
      </c>
      <c r="G7021" s="78">
        <f>MAX(H7021,I7021,J7021)</f>
        <v>0</v>
      </c>
      <c r="H7021" s="88"/>
      <c r="I7021" s="88"/>
      <c r="J7021" s="78">
        <f>MAX(K7021:Q7021)</f>
        <v>0</v>
      </c>
      <c r="K7021" s="88"/>
      <c r="L7021" s="88"/>
      <c r="M7021" s="88"/>
      <c r="N7021" s="88"/>
      <c r="O7021" s="88"/>
      <c r="P7021" s="88"/>
      <c r="Q7021" s="88"/>
      <c r="R7021" s="78">
        <f>MAX(S7021:W7021)</f>
        <v>1</v>
      </c>
      <c r="S7021" s="88"/>
      <c r="T7021" s="88"/>
      <c r="U7021" s="88">
        <v>1</v>
      </c>
      <c r="V7021" s="88"/>
      <c r="W7021" s="88"/>
    </row>
    <row r="7022" spans="2:23" s="0" customFormat="0" ht="15">
      <c r="B7022" s="87" t="s">
        <v>1</v>
      </c>
      <c r="C7022" s="88" t="s">
        <v>5259</v>
      </c>
      <c r="D7022" s="88">
        <v>4467280</v>
      </c>
      <c r="E7022" s="88" t="s">
        <v>61</v>
      </c>
      <c r="F7022" s="88">
        <v>0</v>
      </c>
      <c r="G7022" s="78">
        <f>MAX(H7022,I7022,J7022)</f>
        <v>0</v>
      </c>
      <c r="H7022" s="88"/>
      <c r="I7022" s="88"/>
      <c r="J7022" s="78">
        <f>MAX(K7022:Q7022)</f>
        <v>0</v>
      </c>
      <c r="K7022" s="88"/>
      <c r="L7022" s="88"/>
      <c r="M7022" s="88"/>
      <c r="N7022" s="88"/>
      <c r="O7022" s="88"/>
      <c r="P7022" s="88"/>
      <c r="Q7022" s="88"/>
      <c r="R7022" s="78">
        <f>MAX(S7022:W7022)</f>
        <v>1</v>
      </c>
      <c r="S7022" s="88"/>
      <c r="T7022" s="88"/>
      <c r="U7022" s="88">
        <v>1</v>
      </c>
      <c r="V7022" s="88"/>
      <c r="W7022" s="88"/>
    </row>
    <row r="7023" spans="2:23" s="0" customFormat="0" ht="15">
      <c r="B7023" s="87" t="s">
        <v>1</v>
      </c>
      <c r="C7023" s="88" t="s">
        <v>5259</v>
      </c>
      <c r="D7023" s="88">
        <v>22857474</v>
      </c>
      <c r="E7023" s="88" t="s">
        <v>61</v>
      </c>
      <c r="F7023" s="88">
        <v>0</v>
      </c>
      <c r="G7023" s="78">
        <f>MAX(H7023,I7023,J7023)</f>
        <v>1</v>
      </c>
      <c r="H7023" s="88"/>
      <c r="I7023" s="88"/>
      <c r="J7023" s="78">
        <f>MAX(K7023:Q7023)</f>
        <v>1</v>
      </c>
      <c r="K7023" s="88">
        <v>1</v>
      </c>
      <c r="L7023" s="88"/>
      <c r="M7023" s="88"/>
      <c r="N7023" s="88"/>
      <c r="O7023" s="88"/>
      <c r="P7023" s="88"/>
      <c r="Q7023" s="88"/>
      <c r="R7023" s="78">
        <f>MAX(S7023:W7023)</f>
        <v>0</v>
      </c>
      <c r="S7023" s="88"/>
      <c r="T7023" s="88"/>
      <c r="U7023" s="88"/>
      <c r="V7023" s="88"/>
      <c r="W7023" s="88"/>
    </row>
    <row r="7024" spans="2:23" s="0" customFormat="0" ht="15">
      <c r="B7024" s="87" t="s">
        <v>1</v>
      </c>
      <c r="C7024" s="88" t="s">
        <v>5259</v>
      </c>
      <c r="D7024" s="88" t="s">
        <v>5246</v>
      </c>
      <c r="E7024" s="88" t="s">
        <v>61</v>
      </c>
      <c r="F7024" s="88">
        <v>0</v>
      </c>
      <c r="G7024" s="78">
        <f>MAX(H7024,I7024,J7024)</f>
        <v>0</v>
      </c>
      <c r="H7024" s="88"/>
      <c r="I7024" s="88"/>
      <c r="J7024" s="78">
        <f>MAX(K7024:Q7024)</f>
        <v>0</v>
      </c>
      <c r="K7024" s="88"/>
      <c r="L7024" s="88"/>
      <c r="M7024" s="88"/>
      <c r="N7024" s="88"/>
      <c r="O7024" s="88"/>
      <c r="P7024" s="88"/>
      <c r="Q7024" s="88"/>
      <c r="R7024" s="78">
        <f>MAX(S7024:W7024)</f>
        <v>1</v>
      </c>
      <c r="S7024" s="88"/>
      <c r="T7024" s="88"/>
      <c r="U7024" s="88">
        <v>1</v>
      </c>
      <c r="V7024" s="88"/>
      <c r="W7024" s="88"/>
    </row>
    <row r="7025" spans="2:23" s="0" customFormat="0" ht="15">
      <c r="B7025" s="87" t="s">
        <v>1</v>
      </c>
      <c r="C7025" s="88" t="s">
        <v>5259</v>
      </c>
      <c r="D7025" s="88" t="s">
        <v>4917</v>
      </c>
      <c r="E7025" s="88" t="s">
        <v>61</v>
      </c>
      <c r="F7025" s="88">
        <v>0</v>
      </c>
      <c r="G7025" s="78">
        <f>MAX(H7025,I7025,J7025)</f>
        <v>0</v>
      </c>
      <c r="H7025" s="88"/>
      <c r="I7025" s="88"/>
      <c r="J7025" s="78">
        <f>MAX(K7025:Q7025)</f>
        <v>0</v>
      </c>
      <c r="K7025" s="88"/>
      <c r="L7025" s="88"/>
      <c r="M7025" s="88"/>
      <c r="N7025" s="88"/>
      <c r="O7025" s="88"/>
      <c r="P7025" s="88"/>
      <c r="Q7025" s="88"/>
      <c r="R7025" s="78">
        <f>MAX(S7025:W7025)</f>
        <v>1</v>
      </c>
      <c r="S7025" s="88"/>
      <c r="T7025" s="88"/>
      <c r="U7025" s="88">
        <v>1</v>
      </c>
      <c r="V7025" s="88"/>
      <c r="W7025" s="88"/>
    </row>
    <row r="7026" spans="2:23" s="0" customFormat="0" ht="15">
      <c r="B7026" s="87" t="s">
        <v>1</v>
      </c>
      <c r="C7026" s="88" t="s">
        <v>5259</v>
      </c>
      <c r="D7026" s="88" t="s">
        <v>4267</v>
      </c>
      <c r="E7026" s="88" t="s">
        <v>61</v>
      </c>
      <c r="F7026" s="88">
        <v>0</v>
      </c>
      <c r="G7026" s="78">
        <f>MAX(H7026,I7026,J7026)</f>
        <v>0</v>
      </c>
      <c r="H7026" s="88"/>
      <c r="I7026" s="88"/>
      <c r="J7026" s="78">
        <f>MAX(K7026:Q7026)</f>
        <v>0</v>
      </c>
      <c r="K7026" s="88"/>
      <c r="L7026" s="88"/>
      <c r="M7026" s="88"/>
      <c r="N7026" s="88"/>
      <c r="O7026" s="88"/>
      <c r="P7026" s="88"/>
      <c r="Q7026" s="88"/>
      <c r="R7026" s="78">
        <f>MAX(S7026:W7026)</f>
        <v>1</v>
      </c>
      <c r="S7026" s="88"/>
      <c r="T7026" s="88"/>
      <c r="U7026" s="88">
        <v>1</v>
      </c>
      <c r="V7026" s="88"/>
      <c r="W7026" s="88"/>
    </row>
    <row r="7027" spans="2:23" s="0" customFormat="0" ht="15">
      <c r="B7027" s="87" t="s">
        <v>1</v>
      </c>
      <c r="C7027" s="88" t="s">
        <v>5259</v>
      </c>
      <c r="D7027" s="88" t="s">
        <v>5236</v>
      </c>
      <c r="E7027" s="88" t="s">
        <v>61</v>
      </c>
      <c r="F7027" s="88">
        <v>0</v>
      </c>
      <c r="G7027" s="78">
        <f>MAX(H7027,I7027,J7027)</f>
        <v>0</v>
      </c>
      <c r="H7027" s="88"/>
      <c r="I7027" s="88"/>
      <c r="J7027" s="78">
        <f>MAX(K7027:Q7027)</f>
        <v>0</v>
      </c>
      <c r="K7027" s="88"/>
      <c r="L7027" s="88"/>
      <c r="M7027" s="88"/>
      <c r="N7027" s="88"/>
      <c r="O7027" s="88"/>
      <c r="P7027" s="88"/>
      <c r="Q7027" s="88"/>
      <c r="R7027" s="78">
        <f>MAX(S7027:W7027)</f>
        <v>1</v>
      </c>
      <c r="S7027" s="88"/>
      <c r="T7027" s="88"/>
      <c r="U7027" s="88">
        <v>1</v>
      </c>
      <c r="V7027" s="88"/>
      <c r="W7027" s="88"/>
    </row>
    <row r="7028" spans="2:23" s="0" customFormat="0" ht="15">
      <c r="B7028" s="87" t="s">
        <v>1</v>
      </c>
      <c r="C7028" s="88" t="s">
        <v>5259</v>
      </c>
      <c r="D7028" s="88">
        <v>6087964</v>
      </c>
      <c r="E7028" s="88" t="s">
        <v>61</v>
      </c>
      <c r="F7028" s="88">
        <v>0</v>
      </c>
      <c r="G7028" s="78">
        <f>MAX(H7028,I7028,J7028)</f>
        <v>1</v>
      </c>
      <c r="H7028" s="88"/>
      <c r="I7028" s="88"/>
      <c r="J7028" s="78">
        <f>MAX(K7028:Q7028)</f>
        <v>1</v>
      </c>
      <c r="K7028" s="88">
        <v>1</v>
      </c>
      <c r="L7028" s="88"/>
      <c r="M7028" s="88"/>
      <c r="N7028" s="88"/>
      <c r="O7028" s="88"/>
      <c r="P7028" s="88"/>
      <c r="Q7028" s="88"/>
      <c r="R7028" s="78">
        <f>MAX(S7028:W7028)</f>
        <v>0</v>
      </c>
      <c r="S7028" s="88"/>
      <c r="T7028" s="88"/>
      <c r="U7028" s="88"/>
      <c r="V7028" s="88"/>
      <c r="W7028" s="88"/>
    </row>
    <row r="7029" spans="2:23" s="0" customFormat="0" ht="15">
      <c r="B7029" s="87" t="s">
        <v>1</v>
      </c>
      <c r="C7029" s="88" t="s">
        <v>5259</v>
      </c>
      <c r="D7029" s="88" t="s">
        <v>3075</v>
      </c>
      <c r="E7029" s="88" t="s">
        <v>61</v>
      </c>
      <c r="F7029" s="88">
        <v>0</v>
      </c>
      <c r="G7029" s="78">
        <f>MAX(H7029,I7029,J7029)</f>
        <v>1</v>
      </c>
      <c r="H7029" s="88"/>
      <c r="I7029" s="88"/>
      <c r="J7029" s="78">
        <f>MAX(K7029:Q7029)</f>
        <v>1</v>
      </c>
      <c r="K7029" s="88"/>
      <c r="L7029" s="88"/>
      <c r="M7029" s="88">
        <v>1</v>
      </c>
      <c r="N7029" s="88"/>
      <c r="O7029" s="88"/>
      <c r="P7029" s="88"/>
      <c r="Q7029" s="88"/>
      <c r="R7029" s="78">
        <f>MAX(S7029:W7029)</f>
        <v>0</v>
      </c>
      <c r="S7029" s="88"/>
      <c r="T7029" s="88"/>
      <c r="U7029" s="88"/>
      <c r="V7029" s="88"/>
      <c r="W7029" s="88"/>
    </row>
    <row r="7030" spans="2:23" s="0" customFormat="0" ht="15">
      <c r="B7030" s="87" t="s">
        <v>1</v>
      </c>
      <c r="C7030" s="88" t="s">
        <v>5259</v>
      </c>
      <c r="D7030" s="88">
        <v>21834589</v>
      </c>
      <c r="E7030" s="88" t="s">
        <v>61</v>
      </c>
      <c r="F7030" s="88">
        <v>0</v>
      </c>
      <c r="G7030" s="78">
        <f>MAX(H7030,I7030,J7030)</f>
        <v>1</v>
      </c>
      <c r="H7030" s="88"/>
      <c r="I7030" s="88"/>
      <c r="J7030" s="78">
        <f>MAX(K7030:Q7030)</f>
        <v>1</v>
      </c>
      <c r="K7030" s="88"/>
      <c r="L7030" s="88">
        <v>1</v>
      </c>
      <c r="M7030" s="88"/>
      <c r="N7030" s="88"/>
      <c r="O7030" s="88"/>
      <c r="P7030" s="88"/>
      <c r="Q7030" s="88"/>
      <c r="R7030" s="78">
        <f>MAX(S7030:W7030)</f>
        <v>0</v>
      </c>
      <c r="S7030" s="88"/>
      <c r="T7030" s="88"/>
      <c r="U7030" s="88"/>
      <c r="V7030" s="88"/>
      <c r="W7030" s="88"/>
    </row>
    <row r="7031" spans="2:23" s="0" customFormat="0" ht="15">
      <c r="B7031" s="87" t="s">
        <v>1</v>
      </c>
      <c r="C7031" s="88" t="s">
        <v>5259</v>
      </c>
      <c r="D7031" s="88" t="s">
        <v>4731</v>
      </c>
      <c r="E7031" s="88" t="s">
        <v>61</v>
      </c>
      <c r="F7031" s="88">
        <v>0</v>
      </c>
      <c r="G7031" s="78">
        <f>MAX(H7031,I7031,J7031)</f>
        <v>0</v>
      </c>
      <c r="H7031" s="88"/>
      <c r="I7031" s="88"/>
      <c r="J7031" s="78">
        <f>MAX(K7031:Q7031)</f>
        <v>0</v>
      </c>
      <c r="K7031" s="88"/>
      <c r="L7031" s="88"/>
      <c r="M7031" s="88"/>
      <c r="N7031" s="88"/>
      <c r="O7031" s="88"/>
      <c r="P7031" s="88"/>
      <c r="Q7031" s="88"/>
      <c r="R7031" s="78">
        <f>MAX(S7031:W7031)</f>
        <v>1</v>
      </c>
      <c r="S7031" s="88"/>
      <c r="T7031" s="88"/>
      <c r="U7031" s="88">
        <v>1</v>
      </c>
      <c r="V7031" s="88"/>
      <c r="W7031" s="88"/>
    </row>
    <row r="7032" spans="2:23" s="0" customFormat="0" ht="15">
      <c r="B7032" s="87" t="s">
        <v>1</v>
      </c>
      <c r="C7032" s="88" t="s">
        <v>5259</v>
      </c>
      <c r="D7032" s="88" t="s">
        <v>3397</v>
      </c>
      <c r="E7032" s="88" t="s">
        <v>61</v>
      </c>
      <c r="F7032" s="88">
        <v>0</v>
      </c>
      <c r="G7032" s="78">
        <f>MAX(H7032,I7032,J7032)</f>
        <v>0</v>
      </c>
      <c r="H7032" s="88"/>
      <c r="I7032" s="88"/>
      <c r="J7032" s="78">
        <f>MAX(K7032:Q7032)</f>
        <v>0</v>
      </c>
      <c r="K7032" s="88"/>
      <c r="L7032" s="88"/>
      <c r="M7032" s="88"/>
      <c r="N7032" s="88"/>
      <c r="O7032" s="88"/>
      <c r="P7032" s="88"/>
      <c r="Q7032" s="88"/>
      <c r="R7032" s="78">
        <f>MAX(S7032:W7032)</f>
        <v>1</v>
      </c>
      <c r="S7032" s="88"/>
      <c r="T7032" s="88"/>
      <c r="U7032" s="88">
        <v>1</v>
      </c>
      <c r="V7032" s="88"/>
      <c r="W7032" s="88"/>
    </row>
    <row r="7033" spans="2:23" s="0" customFormat="0" ht="15">
      <c r="B7033" s="87" t="s">
        <v>1</v>
      </c>
      <c r="C7033" s="88" t="s">
        <v>5259</v>
      </c>
      <c r="D7033" s="88">
        <v>20622079</v>
      </c>
      <c r="E7033" s="88" t="s">
        <v>61</v>
      </c>
      <c r="F7033" s="88">
        <v>0</v>
      </c>
      <c r="G7033" s="78">
        <f>MAX(H7033,I7033,J7033)</f>
        <v>1</v>
      </c>
      <c r="H7033" s="88"/>
      <c r="I7033" s="88"/>
      <c r="J7033" s="78">
        <f>MAX(K7033:Q7033)</f>
        <v>1</v>
      </c>
      <c r="K7033" s="88">
        <v>1</v>
      </c>
      <c r="L7033" s="88"/>
      <c r="M7033" s="88"/>
      <c r="N7033" s="88"/>
      <c r="O7033" s="88"/>
      <c r="P7033" s="88"/>
      <c r="Q7033" s="88"/>
      <c r="R7033" s="78">
        <f>MAX(S7033:W7033)</f>
        <v>0</v>
      </c>
      <c r="S7033" s="88"/>
      <c r="T7033" s="88"/>
      <c r="U7033" s="88"/>
      <c r="V7033" s="88"/>
      <c r="W7033" s="88"/>
    </row>
    <row r="7034" spans="2:23" s="0" customFormat="0" ht="15">
      <c r="B7034" s="87" t="s">
        <v>1</v>
      </c>
      <c r="C7034" s="88" t="s">
        <v>5259</v>
      </c>
      <c r="D7034" s="88" t="s">
        <v>3020</v>
      </c>
      <c r="E7034" s="88" t="s">
        <v>61</v>
      </c>
      <c r="F7034" s="88">
        <v>0</v>
      </c>
      <c r="G7034" s="78">
        <f>MAX(H7034,I7034,J7034)</f>
        <v>1</v>
      </c>
      <c r="H7034" s="88"/>
      <c r="I7034" s="88"/>
      <c r="J7034" s="78">
        <f>MAX(K7034:Q7034)</f>
        <v>1</v>
      </c>
      <c r="K7034" s="88">
        <v>1</v>
      </c>
      <c r="L7034" s="88"/>
      <c r="M7034" s="88"/>
      <c r="N7034" s="88"/>
      <c r="O7034" s="88"/>
      <c r="P7034" s="88"/>
      <c r="Q7034" s="88"/>
      <c r="R7034" s="78">
        <f>MAX(S7034:W7034)</f>
        <v>0</v>
      </c>
      <c r="S7034" s="88"/>
      <c r="T7034" s="88"/>
      <c r="U7034" s="88"/>
      <c r="V7034" s="88"/>
      <c r="W7034" s="88"/>
    </row>
    <row r="7035" spans="2:23" s="0" customFormat="0" ht="15">
      <c r="B7035" s="87" t="s">
        <v>1</v>
      </c>
      <c r="C7035" s="88" t="s">
        <v>5259</v>
      </c>
      <c r="D7035" s="88" t="s">
        <v>3309</v>
      </c>
      <c r="E7035" s="88" t="s">
        <v>61</v>
      </c>
      <c r="F7035" s="88">
        <v>0</v>
      </c>
      <c r="G7035" s="78">
        <f>MAX(H7035,I7035,J7035)</f>
        <v>0</v>
      </c>
      <c r="H7035" s="88"/>
      <c r="I7035" s="88"/>
      <c r="J7035" s="78">
        <f>MAX(K7035:Q7035)</f>
        <v>0</v>
      </c>
      <c r="K7035" s="88"/>
      <c r="L7035" s="88"/>
      <c r="M7035" s="88"/>
      <c r="N7035" s="88"/>
      <c r="O7035" s="88"/>
      <c r="P7035" s="88"/>
      <c r="Q7035" s="88"/>
      <c r="R7035" s="78">
        <f>MAX(S7035:W7035)</f>
        <v>1</v>
      </c>
      <c r="S7035" s="88"/>
      <c r="T7035" s="88"/>
      <c r="U7035" s="88">
        <v>1</v>
      </c>
      <c r="V7035" s="88"/>
      <c r="W7035" s="88"/>
    </row>
    <row r="7036" spans="2:23" s="0" customFormat="0" ht="15">
      <c r="B7036" s="87" t="s">
        <v>1</v>
      </c>
      <c r="C7036" s="88" t="s">
        <v>5259</v>
      </c>
      <c r="D7036" s="88" t="s">
        <v>3264</v>
      </c>
      <c r="E7036" s="88" t="s">
        <v>61</v>
      </c>
      <c r="F7036" s="88">
        <v>0</v>
      </c>
      <c r="G7036" s="78">
        <f>MAX(H7036,I7036,J7036)</f>
        <v>0</v>
      </c>
      <c r="H7036" s="88"/>
      <c r="I7036" s="88"/>
      <c r="J7036" s="78">
        <f>MAX(K7036:Q7036)</f>
        <v>0</v>
      </c>
      <c r="K7036" s="88"/>
      <c r="L7036" s="88"/>
      <c r="M7036" s="88"/>
      <c r="N7036" s="88"/>
      <c r="O7036" s="88"/>
      <c r="P7036" s="88"/>
      <c r="Q7036" s="88"/>
      <c r="R7036" s="78">
        <f>MAX(S7036:W7036)</f>
        <v>1</v>
      </c>
      <c r="S7036" s="88"/>
      <c r="T7036" s="88"/>
      <c r="U7036" s="88"/>
      <c r="V7036" s="88">
        <v>1</v>
      </c>
      <c r="W7036" s="88"/>
    </row>
    <row r="7037" spans="2:23" s="0" customFormat="0" ht="15">
      <c r="B7037" s="87" t="s">
        <v>1</v>
      </c>
      <c r="C7037" s="88" t="s">
        <v>5259</v>
      </c>
      <c r="D7037" s="88">
        <v>19567725</v>
      </c>
      <c r="E7037" s="88" t="s">
        <v>61</v>
      </c>
      <c r="F7037" s="88">
        <v>0</v>
      </c>
      <c r="G7037" s="78">
        <f>MAX(H7037,I7037,J7037)</f>
        <v>0</v>
      </c>
      <c r="H7037" s="88"/>
      <c r="I7037" s="88"/>
      <c r="J7037" s="78">
        <f>MAX(K7037:Q7037)</f>
        <v>0</v>
      </c>
      <c r="K7037" s="88"/>
      <c r="L7037" s="88"/>
      <c r="M7037" s="88"/>
      <c r="N7037" s="88"/>
      <c r="O7037" s="88"/>
      <c r="P7037" s="88"/>
      <c r="Q7037" s="88"/>
      <c r="R7037" s="78">
        <f>MAX(S7037:W7037)</f>
        <v>1</v>
      </c>
      <c r="S7037" s="88"/>
      <c r="T7037" s="88"/>
      <c r="U7037" s="88">
        <v>1</v>
      </c>
      <c r="V7037" s="88"/>
      <c r="W7037" s="88"/>
    </row>
    <row r="7038" spans="2:23" s="0" customFormat="0" ht="15">
      <c r="B7038" s="87" t="s">
        <v>1</v>
      </c>
      <c r="C7038" s="88" t="s">
        <v>5259</v>
      </c>
      <c r="D7038" s="88">
        <v>16627755</v>
      </c>
      <c r="E7038" s="88" t="s">
        <v>61</v>
      </c>
      <c r="F7038" s="88">
        <v>0</v>
      </c>
      <c r="G7038" s="78">
        <f>MAX(H7038,I7038,J7038)</f>
        <v>1</v>
      </c>
      <c r="H7038" s="88"/>
      <c r="I7038" s="88"/>
      <c r="J7038" s="78">
        <f>MAX(K7038:Q7038)</f>
        <v>1</v>
      </c>
      <c r="K7038" s="88"/>
      <c r="L7038" s="88"/>
      <c r="M7038" s="88">
        <v>1</v>
      </c>
      <c r="N7038" s="88"/>
      <c r="O7038" s="88"/>
      <c r="P7038" s="88"/>
      <c r="Q7038" s="88"/>
      <c r="R7038" s="78">
        <f>MAX(S7038:W7038)</f>
        <v>0</v>
      </c>
      <c r="S7038" s="88"/>
      <c r="T7038" s="88"/>
      <c r="U7038" s="88"/>
      <c r="V7038" s="88"/>
      <c r="W7038" s="88"/>
    </row>
    <row r="7039" spans="2:23" s="0" customFormat="0" ht="15">
      <c r="B7039" s="87" t="s">
        <v>1</v>
      </c>
      <c r="C7039" s="88" t="s">
        <v>5259</v>
      </c>
      <c r="D7039" s="88">
        <v>21908432</v>
      </c>
      <c r="E7039" s="88" t="s">
        <v>61</v>
      </c>
      <c r="F7039" s="88">
        <v>0</v>
      </c>
      <c r="G7039" s="78">
        <f>MAX(H7039,I7039,J7039)</f>
        <v>1</v>
      </c>
      <c r="H7039" s="88"/>
      <c r="I7039" s="88"/>
      <c r="J7039" s="78">
        <f>MAX(K7039:Q7039)</f>
        <v>1</v>
      </c>
      <c r="K7039" s="88">
        <v>1</v>
      </c>
      <c r="L7039" s="88"/>
      <c r="M7039" s="88"/>
      <c r="N7039" s="88"/>
      <c r="O7039" s="88"/>
      <c r="P7039" s="88"/>
      <c r="Q7039" s="88"/>
      <c r="R7039" s="78">
        <f>MAX(S7039:W7039)</f>
        <v>0</v>
      </c>
      <c r="S7039" s="88"/>
      <c r="T7039" s="88"/>
      <c r="U7039" s="88"/>
      <c r="V7039" s="88"/>
      <c r="W7039" s="88"/>
    </row>
    <row r="7040" spans="2:23" s="0" customFormat="0" ht="15">
      <c r="B7040" s="87" t="s">
        <v>1</v>
      </c>
      <c r="C7040" s="88" t="s">
        <v>5259</v>
      </c>
      <c r="D7040" s="88">
        <v>12081610</v>
      </c>
      <c r="E7040" s="88" t="s">
        <v>61</v>
      </c>
      <c r="F7040" s="88">
        <v>0</v>
      </c>
      <c r="G7040" s="78">
        <f>MAX(H7040,I7040,J7040)</f>
        <v>1</v>
      </c>
      <c r="H7040" s="88"/>
      <c r="I7040" s="88"/>
      <c r="J7040" s="78">
        <f>MAX(K7040:Q7040)</f>
        <v>1</v>
      </c>
      <c r="K7040" s="88">
        <v>1</v>
      </c>
      <c r="L7040" s="88"/>
      <c r="M7040" s="88"/>
      <c r="N7040" s="88"/>
      <c r="O7040" s="88"/>
      <c r="P7040" s="88"/>
      <c r="Q7040" s="88"/>
      <c r="R7040" s="78">
        <f>MAX(S7040:W7040)</f>
        <v>0</v>
      </c>
      <c r="S7040" s="88"/>
      <c r="T7040" s="88"/>
      <c r="U7040" s="88"/>
      <c r="V7040" s="88"/>
      <c r="W7040" s="88"/>
    </row>
    <row r="7041" spans="2:23" s="0" customFormat="0" ht="15">
      <c r="B7041" s="87" t="s">
        <v>1</v>
      </c>
      <c r="C7041" s="88" t="s">
        <v>5259</v>
      </c>
      <c r="D7041" s="88">
        <v>19639661</v>
      </c>
      <c r="E7041" s="88" t="s">
        <v>61</v>
      </c>
      <c r="F7041" s="88">
        <v>0</v>
      </c>
      <c r="G7041" s="78">
        <f>MAX(H7041,I7041,J7041)</f>
        <v>1</v>
      </c>
      <c r="H7041" s="88"/>
      <c r="I7041" s="88"/>
      <c r="J7041" s="78">
        <f>MAX(K7041:Q7041)</f>
        <v>1</v>
      </c>
      <c r="K7041" s="88">
        <v>1</v>
      </c>
      <c r="L7041" s="88"/>
      <c r="M7041" s="88"/>
      <c r="N7041" s="88"/>
      <c r="O7041" s="88"/>
      <c r="P7041" s="88"/>
      <c r="Q7041" s="88"/>
      <c r="R7041" s="78">
        <f>MAX(S7041:W7041)</f>
        <v>0</v>
      </c>
      <c r="S7041" s="88"/>
      <c r="T7041" s="88"/>
      <c r="U7041" s="88"/>
      <c r="V7041" s="88"/>
      <c r="W7041" s="88"/>
    </row>
    <row r="7042" spans="2:23" s="0" customFormat="0" ht="15">
      <c r="B7042" s="87" t="s">
        <v>1</v>
      </c>
      <c r="C7042" s="88" t="s">
        <v>5259</v>
      </c>
      <c r="D7042" s="88" t="s">
        <v>4779</v>
      </c>
      <c r="E7042" s="88" t="s">
        <v>61</v>
      </c>
      <c r="F7042" s="88">
        <v>0</v>
      </c>
      <c r="G7042" s="78">
        <f>MAX(H7042,I7042,J7042)</f>
        <v>0</v>
      </c>
      <c r="H7042" s="88"/>
      <c r="I7042" s="88"/>
      <c r="J7042" s="78">
        <f>MAX(K7042:Q7042)</f>
        <v>0</v>
      </c>
      <c r="K7042" s="88"/>
      <c r="L7042" s="88"/>
      <c r="M7042" s="88"/>
      <c r="N7042" s="88"/>
      <c r="O7042" s="88"/>
      <c r="P7042" s="88"/>
      <c r="Q7042" s="88"/>
      <c r="R7042" s="78">
        <f>MAX(S7042:W7042)</f>
        <v>1</v>
      </c>
      <c r="S7042" s="88"/>
      <c r="T7042" s="88"/>
      <c r="U7042" s="88">
        <v>1</v>
      </c>
      <c r="V7042" s="88"/>
      <c r="W7042" s="88"/>
    </row>
    <row r="7043" spans="2:23" s="0" customFormat="0" ht="15">
      <c r="B7043" s="87" t="s">
        <v>1</v>
      </c>
      <c r="C7043" s="88" t="s">
        <v>5259</v>
      </c>
      <c r="D7043" s="88">
        <v>10331465</v>
      </c>
      <c r="E7043" s="88" t="s">
        <v>61</v>
      </c>
      <c r="F7043" s="88">
        <v>0</v>
      </c>
      <c r="G7043" s="78">
        <f>MAX(H7043,I7043,J7043)</f>
        <v>1</v>
      </c>
      <c r="H7043" s="88"/>
      <c r="I7043" s="88"/>
      <c r="J7043" s="78">
        <f>MAX(K7043:Q7043)</f>
        <v>1</v>
      </c>
      <c r="K7043" s="88">
        <v>1</v>
      </c>
      <c r="L7043" s="88"/>
      <c r="M7043" s="88"/>
      <c r="N7043" s="88"/>
      <c r="O7043" s="88"/>
      <c r="P7043" s="88"/>
      <c r="Q7043" s="88"/>
      <c r="R7043" s="78">
        <f>MAX(S7043:W7043)</f>
        <v>0</v>
      </c>
      <c r="S7043" s="88"/>
      <c r="T7043" s="88"/>
      <c r="U7043" s="88"/>
      <c r="V7043" s="88"/>
      <c r="W7043" s="88"/>
    </row>
    <row r="7044" spans="2:23" s="0" customFormat="0" ht="15">
      <c r="B7044" s="87" t="s">
        <v>1</v>
      </c>
      <c r="C7044" s="88" t="s">
        <v>5259</v>
      </c>
      <c r="D7044" s="88" t="s">
        <v>5151</v>
      </c>
      <c r="E7044" s="88" t="s">
        <v>61</v>
      </c>
      <c r="F7044" s="88">
        <v>0</v>
      </c>
      <c r="G7044" s="78">
        <f>MAX(H7044,I7044,J7044)</f>
        <v>0</v>
      </c>
      <c r="H7044" s="88"/>
      <c r="I7044" s="88"/>
      <c r="J7044" s="78">
        <f>MAX(K7044:Q7044)</f>
        <v>0</v>
      </c>
      <c r="K7044" s="88"/>
      <c r="L7044" s="88"/>
      <c r="M7044" s="88"/>
      <c r="N7044" s="88"/>
      <c r="O7044" s="88"/>
      <c r="P7044" s="88"/>
      <c r="Q7044" s="88"/>
      <c r="R7044" s="78">
        <f>MAX(S7044:W7044)</f>
        <v>1</v>
      </c>
      <c r="S7044" s="88"/>
      <c r="T7044" s="88"/>
      <c r="U7044" s="88">
        <v>1</v>
      </c>
      <c r="V7044" s="88"/>
      <c r="W7044" s="88"/>
    </row>
    <row r="7045" spans="2:23" s="0" customFormat="0" ht="15">
      <c r="B7045" s="87" t="s">
        <v>1</v>
      </c>
      <c r="C7045" s="88" t="s">
        <v>5259</v>
      </c>
      <c r="D7045" s="88" t="s">
        <v>5250</v>
      </c>
      <c r="E7045" s="88" t="s">
        <v>61</v>
      </c>
      <c r="F7045" s="88">
        <v>0</v>
      </c>
      <c r="G7045" s="78">
        <f>MAX(H7045,I7045,J7045)</f>
        <v>0</v>
      </c>
      <c r="H7045" s="88"/>
      <c r="I7045" s="88"/>
      <c r="J7045" s="78">
        <f>MAX(K7045:Q7045)</f>
        <v>0</v>
      </c>
      <c r="K7045" s="88"/>
      <c r="L7045" s="88"/>
      <c r="M7045" s="88"/>
      <c r="N7045" s="88"/>
      <c r="O7045" s="88"/>
      <c r="P7045" s="88"/>
      <c r="Q7045" s="88"/>
      <c r="R7045" s="78">
        <f>MAX(S7045:W7045)</f>
        <v>1</v>
      </c>
      <c r="S7045" s="88"/>
      <c r="T7045" s="88"/>
      <c r="U7045" s="88">
        <v>1</v>
      </c>
      <c r="V7045" s="88"/>
      <c r="W7045" s="88"/>
    </row>
    <row r="7046" spans="2:23" s="0" customFormat="0" ht="15">
      <c r="B7046" s="87" t="s">
        <v>1</v>
      </c>
      <c r="C7046" s="88" t="s">
        <v>5259</v>
      </c>
      <c r="D7046" s="88">
        <v>14851179</v>
      </c>
      <c r="E7046" s="88" t="s">
        <v>61</v>
      </c>
      <c r="F7046" s="88">
        <v>0</v>
      </c>
      <c r="G7046" s="78">
        <f>MAX(H7046,I7046,J7046)</f>
        <v>1</v>
      </c>
      <c r="H7046" s="88"/>
      <c r="I7046" s="88"/>
      <c r="J7046" s="78">
        <f>MAX(K7046:Q7046)</f>
        <v>1</v>
      </c>
      <c r="K7046" s="88">
        <v>1</v>
      </c>
      <c r="L7046" s="88"/>
      <c r="M7046" s="88"/>
      <c r="N7046" s="88"/>
      <c r="O7046" s="88"/>
      <c r="P7046" s="88"/>
      <c r="Q7046" s="88"/>
      <c r="R7046" s="78">
        <f>MAX(S7046:W7046)</f>
        <v>0</v>
      </c>
      <c r="S7046" s="88"/>
      <c r="T7046" s="88"/>
      <c r="U7046" s="88"/>
      <c r="V7046" s="88"/>
      <c r="W7046" s="88"/>
    </row>
    <row r="7047" spans="2:23" s="0" customFormat="0" ht="15">
      <c r="B7047" s="87" t="s">
        <v>1</v>
      </c>
      <c r="C7047" s="88" t="s">
        <v>5259</v>
      </c>
      <c r="D7047" s="88">
        <v>1928588</v>
      </c>
      <c r="E7047" s="88" t="s">
        <v>61</v>
      </c>
      <c r="F7047" s="88">
        <v>0</v>
      </c>
      <c r="G7047" s="78">
        <f>MAX(H7047,I7047,J7047)</f>
        <v>0</v>
      </c>
      <c r="H7047" s="88"/>
      <c r="I7047" s="88"/>
      <c r="J7047" s="78">
        <f>MAX(K7047:Q7047)</f>
        <v>0</v>
      </c>
      <c r="K7047" s="88"/>
      <c r="L7047" s="88"/>
      <c r="M7047" s="88"/>
      <c r="N7047" s="88"/>
      <c r="O7047" s="88"/>
      <c r="P7047" s="88"/>
      <c r="Q7047" s="88"/>
      <c r="R7047" s="78">
        <f>MAX(S7047:W7047)</f>
        <v>1</v>
      </c>
      <c r="S7047" s="88"/>
      <c r="T7047" s="88"/>
      <c r="U7047" s="88">
        <v>1</v>
      </c>
      <c r="V7047" s="88"/>
      <c r="W7047" s="88"/>
    </row>
    <row r="7048" spans="2:23" s="0" customFormat="0" ht="15">
      <c r="B7048" s="87" t="s">
        <v>1</v>
      </c>
      <c r="C7048" s="88" t="s">
        <v>5259</v>
      </c>
      <c r="D7048" s="88">
        <v>20113245</v>
      </c>
      <c r="E7048" s="88" t="s">
        <v>61</v>
      </c>
      <c r="F7048" s="88">
        <v>0</v>
      </c>
      <c r="G7048" s="78">
        <f>MAX(H7048,I7048,J7048)</f>
        <v>0</v>
      </c>
      <c r="H7048" s="88"/>
      <c r="I7048" s="88"/>
      <c r="J7048" s="78">
        <f>MAX(K7048:Q7048)</f>
        <v>0</v>
      </c>
      <c r="K7048" s="88"/>
      <c r="L7048" s="88"/>
      <c r="M7048" s="88"/>
      <c r="N7048" s="88"/>
      <c r="O7048" s="88"/>
      <c r="P7048" s="88"/>
      <c r="Q7048" s="88"/>
      <c r="R7048" s="78">
        <f>MAX(S7048:W7048)</f>
        <v>1</v>
      </c>
      <c r="S7048" s="88"/>
      <c r="T7048" s="88"/>
      <c r="U7048" s="88">
        <v>1</v>
      </c>
      <c r="V7048" s="88"/>
      <c r="W7048" s="88"/>
    </row>
    <row r="7049" spans="2:23" s="0" customFormat="0" ht="15">
      <c r="B7049" s="87" t="s">
        <v>1</v>
      </c>
      <c r="C7049" s="88" t="s">
        <v>5259</v>
      </c>
      <c r="D7049" s="88">
        <v>17901012</v>
      </c>
      <c r="E7049" s="88" t="s">
        <v>61</v>
      </c>
      <c r="F7049" s="88">
        <v>0</v>
      </c>
      <c r="G7049" s="78">
        <f>MAX(H7049,I7049,J7049)</f>
        <v>1</v>
      </c>
      <c r="H7049" s="88"/>
      <c r="I7049" s="88"/>
      <c r="J7049" s="78">
        <f>MAX(K7049:Q7049)</f>
        <v>1</v>
      </c>
      <c r="K7049" s="88"/>
      <c r="L7049" s="88"/>
      <c r="M7049" s="88"/>
      <c r="N7049" s="88"/>
      <c r="O7049" s="88">
        <v>1</v>
      </c>
      <c r="P7049" s="88"/>
      <c r="Q7049" s="88"/>
      <c r="R7049" s="78">
        <f>MAX(S7049:W7049)</f>
        <v>0</v>
      </c>
      <c r="S7049" s="88"/>
      <c r="T7049" s="88"/>
      <c r="U7049" s="88"/>
      <c r="V7049" s="88"/>
      <c r="W7049" s="88"/>
    </row>
    <row r="7050" spans="2:23" s="0" customFormat="0" ht="15">
      <c r="B7050" s="87" t="s">
        <v>1</v>
      </c>
      <c r="C7050" s="88" t="s">
        <v>5259</v>
      </c>
      <c r="D7050" s="88" t="s">
        <v>4111</v>
      </c>
      <c r="E7050" s="88" t="s">
        <v>61</v>
      </c>
      <c r="F7050" s="88">
        <v>0</v>
      </c>
      <c r="G7050" s="78">
        <f>MAX(H7050,I7050,J7050)</f>
        <v>0</v>
      </c>
      <c r="H7050" s="88"/>
      <c r="I7050" s="88"/>
      <c r="J7050" s="78">
        <f>MAX(K7050:Q7050)</f>
        <v>0</v>
      </c>
      <c r="K7050" s="88"/>
      <c r="L7050" s="88"/>
      <c r="M7050" s="88"/>
      <c r="N7050" s="88"/>
      <c r="O7050" s="88"/>
      <c r="P7050" s="88"/>
      <c r="Q7050" s="88"/>
      <c r="R7050" s="78">
        <f>MAX(S7050:W7050)</f>
        <v>1</v>
      </c>
      <c r="S7050" s="88"/>
      <c r="T7050" s="88"/>
      <c r="U7050" s="88">
        <v>1</v>
      </c>
      <c r="V7050" s="88"/>
      <c r="W7050" s="88"/>
    </row>
    <row r="7051" spans="2:23" s="0" customFormat="0" ht="15">
      <c r="B7051" s="87" t="s">
        <v>1</v>
      </c>
      <c r="C7051" s="88" t="s">
        <v>5259</v>
      </c>
      <c r="D7051" s="88" t="s">
        <v>5211</v>
      </c>
      <c r="E7051" s="88" t="s">
        <v>61</v>
      </c>
      <c r="F7051" s="88">
        <v>0</v>
      </c>
      <c r="G7051" s="78">
        <f>MAX(H7051,I7051,J7051)</f>
        <v>0</v>
      </c>
      <c r="H7051" s="88"/>
      <c r="I7051" s="88"/>
      <c r="J7051" s="78">
        <f>MAX(K7051:Q7051)</f>
        <v>0</v>
      </c>
      <c r="K7051" s="88"/>
      <c r="L7051" s="88"/>
      <c r="M7051" s="88"/>
      <c r="N7051" s="88"/>
      <c r="O7051" s="88"/>
      <c r="P7051" s="88"/>
      <c r="Q7051" s="88"/>
      <c r="R7051" s="78">
        <f>MAX(S7051:W7051)</f>
        <v>1</v>
      </c>
      <c r="S7051" s="88"/>
      <c r="T7051" s="88"/>
      <c r="U7051" s="88">
        <v>1</v>
      </c>
      <c r="V7051" s="88"/>
      <c r="W7051" s="88"/>
    </row>
    <row r="7052" spans="2:23" s="0" customFormat="0" ht="15">
      <c r="B7052" s="87" t="s">
        <v>1</v>
      </c>
      <c r="C7052" s="88" t="s">
        <v>5259</v>
      </c>
      <c r="D7052" s="88">
        <v>17126672</v>
      </c>
      <c r="E7052" s="88" t="s">
        <v>61</v>
      </c>
      <c r="F7052" s="88">
        <v>0</v>
      </c>
      <c r="G7052" s="78">
        <f>MAX(H7052,I7052,J7052)</f>
        <v>1</v>
      </c>
      <c r="H7052" s="88"/>
      <c r="I7052" s="88"/>
      <c r="J7052" s="78">
        <f>MAX(K7052:Q7052)</f>
        <v>1</v>
      </c>
      <c r="K7052" s="88">
        <v>1</v>
      </c>
      <c r="L7052" s="88"/>
      <c r="M7052" s="88"/>
      <c r="N7052" s="88"/>
      <c r="O7052" s="88"/>
      <c r="P7052" s="88"/>
      <c r="Q7052" s="88"/>
      <c r="R7052" s="78">
        <f>MAX(S7052:W7052)</f>
        <v>0</v>
      </c>
      <c r="S7052" s="88"/>
      <c r="T7052" s="88"/>
      <c r="U7052" s="88"/>
      <c r="V7052" s="88"/>
      <c r="W7052" s="88"/>
    </row>
    <row r="7053" spans="2:23" s="0" customFormat="0" ht="15">
      <c r="B7053" s="87" t="s">
        <v>1</v>
      </c>
      <c r="C7053" s="88" t="s">
        <v>5259</v>
      </c>
      <c r="D7053" s="88">
        <v>14832156</v>
      </c>
      <c r="E7053" s="88" t="s">
        <v>61</v>
      </c>
      <c r="F7053" s="88">
        <v>0</v>
      </c>
      <c r="G7053" s="78">
        <f>MAX(H7053,I7053,J7053)</f>
        <v>1</v>
      </c>
      <c r="H7053" s="88"/>
      <c r="I7053" s="88"/>
      <c r="J7053" s="78">
        <f>MAX(K7053:Q7053)</f>
        <v>1</v>
      </c>
      <c r="K7053" s="88">
        <v>1</v>
      </c>
      <c r="L7053" s="88"/>
      <c r="M7053" s="88"/>
      <c r="N7053" s="88"/>
      <c r="O7053" s="88"/>
      <c r="P7053" s="88"/>
      <c r="Q7053" s="88"/>
      <c r="R7053" s="78">
        <f>MAX(S7053:W7053)</f>
        <v>0</v>
      </c>
      <c r="S7053" s="88"/>
      <c r="T7053" s="88"/>
      <c r="U7053" s="88"/>
      <c r="V7053" s="88"/>
      <c r="W7053" s="88"/>
    </row>
    <row r="7054" spans="2:23" s="0" customFormat="0" ht="15">
      <c r="B7054" s="87" t="s">
        <v>1</v>
      </c>
      <c r="C7054" s="88" t="s">
        <v>5259</v>
      </c>
      <c r="D7054" s="88" t="s">
        <v>4251</v>
      </c>
      <c r="E7054" s="88" t="s">
        <v>61</v>
      </c>
      <c r="F7054" s="88">
        <v>0</v>
      </c>
      <c r="G7054" s="78">
        <f>MAX(H7054,I7054,J7054)</f>
        <v>0</v>
      </c>
      <c r="H7054" s="88"/>
      <c r="I7054" s="88"/>
      <c r="J7054" s="78">
        <f>MAX(K7054:Q7054)</f>
        <v>0</v>
      </c>
      <c r="K7054" s="88"/>
      <c r="L7054" s="88"/>
      <c r="M7054" s="88"/>
      <c r="N7054" s="88"/>
      <c r="O7054" s="88"/>
      <c r="P7054" s="88"/>
      <c r="Q7054" s="88"/>
      <c r="R7054" s="78">
        <f>MAX(S7054:W7054)</f>
        <v>1</v>
      </c>
      <c r="S7054" s="88"/>
      <c r="T7054" s="88"/>
      <c r="U7054" s="88">
        <v>1</v>
      </c>
      <c r="V7054" s="88"/>
      <c r="W7054" s="88"/>
    </row>
    <row r="7055" spans="2:23" s="0" customFormat="0" ht="15">
      <c r="B7055" s="87" t="s">
        <v>1</v>
      </c>
      <c r="C7055" s="88" t="s">
        <v>5259</v>
      </c>
      <c r="D7055" s="88" t="s">
        <v>2999</v>
      </c>
      <c r="E7055" s="88" t="s">
        <v>61</v>
      </c>
      <c r="F7055" s="88">
        <v>0</v>
      </c>
      <c r="G7055" s="78">
        <f>MAX(H7055,I7055,J7055)</f>
        <v>1</v>
      </c>
      <c r="H7055" s="88"/>
      <c r="I7055" s="88"/>
      <c r="J7055" s="78">
        <f>MAX(K7055:Q7055)</f>
        <v>1</v>
      </c>
      <c r="K7055" s="88">
        <v>1</v>
      </c>
      <c r="L7055" s="88"/>
      <c r="M7055" s="88"/>
      <c r="N7055" s="88"/>
      <c r="O7055" s="88"/>
      <c r="P7055" s="88"/>
      <c r="Q7055" s="88"/>
      <c r="R7055" s="78">
        <f>MAX(S7055:W7055)</f>
        <v>0</v>
      </c>
      <c r="S7055" s="88"/>
      <c r="T7055" s="88"/>
      <c r="U7055" s="88"/>
      <c r="V7055" s="88"/>
      <c r="W7055" s="88"/>
    </row>
    <row r="7056" spans="2:23" s="0" customFormat="0" ht="15">
      <c r="B7056" s="87" t="s">
        <v>1</v>
      </c>
      <c r="C7056" s="88" t="s">
        <v>5259</v>
      </c>
      <c r="D7056" s="88">
        <v>19863554</v>
      </c>
      <c r="E7056" s="88" t="s">
        <v>61</v>
      </c>
      <c r="F7056" s="88">
        <v>0</v>
      </c>
      <c r="G7056" s="78">
        <f>MAX(H7056,I7056,J7056)</f>
        <v>1</v>
      </c>
      <c r="H7056" s="88"/>
      <c r="I7056" s="88"/>
      <c r="J7056" s="78">
        <f>MAX(K7056:Q7056)</f>
        <v>1</v>
      </c>
      <c r="K7056" s="88">
        <v>1</v>
      </c>
      <c r="L7056" s="88"/>
      <c r="M7056" s="88"/>
      <c r="N7056" s="88"/>
      <c r="O7056" s="88"/>
      <c r="P7056" s="88"/>
      <c r="Q7056" s="88"/>
      <c r="R7056" s="78">
        <f>MAX(S7056:W7056)</f>
        <v>0</v>
      </c>
      <c r="S7056" s="88"/>
      <c r="T7056" s="88"/>
      <c r="U7056" s="88"/>
      <c r="V7056" s="88"/>
      <c r="W7056" s="88"/>
    </row>
    <row r="7057" spans="2:23" s="0" customFormat="0" ht="15">
      <c r="B7057" s="87" t="s">
        <v>1</v>
      </c>
      <c r="C7057" s="88" t="s">
        <v>5259</v>
      </c>
      <c r="D7057" s="88">
        <v>22681324</v>
      </c>
      <c r="E7057" s="88" t="s">
        <v>61</v>
      </c>
      <c r="F7057" s="88">
        <v>0</v>
      </c>
      <c r="G7057" s="78">
        <f>MAX(H7057,I7057,J7057)</f>
        <v>1</v>
      </c>
      <c r="H7057" s="88"/>
      <c r="I7057" s="88"/>
      <c r="J7057" s="78">
        <f>MAX(K7057:Q7057)</f>
        <v>1</v>
      </c>
      <c r="K7057" s="88">
        <v>1</v>
      </c>
      <c r="L7057" s="88"/>
      <c r="M7057" s="88"/>
      <c r="N7057" s="88"/>
      <c r="O7057" s="88"/>
      <c r="P7057" s="88"/>
      <c r="Q7057" s="88"/>
      <c r="R7057" s="78">
        <f>MAX(S7057:W7057)</f>
        <v>0</v>
      </c>
      <c r="S7057" s="88"/>
      <c r="T7057" s="88"/>
      <c r="U7057" s="88"/>
      <c r="V7057" s="88"/>
      <c r="W7057" s="88"/>
    </row>
    <row r="7058" spans="2:23" s="0" customFormat="0" ht="15">
      <c r="B7058" s="87" t="s">
        <v>1</v>
      </c>
      <c r="C7058" s="88" t="s">
        <v>5259</v>
      </c>
      <c r="D7058" s="88">
        <v>14122091</v>
      </c>
      <c r="E7058" s="88" t="s">
        <v>61</v>
      </c>
      <c r="F7058" s="88">
        <v>0</v>
      </c>
      <c r="G7058" s="78">
        <f>MAX(H7058,I7058,J7058)</f>
        <v>1</v>
      </c>
      <c r="H7058" s="88"/>
      <c r="I7058" s="88"/>
      <c r="J7058" s="78">
        <f>MAX(K7058:Q7058)</f>
        <v>1</v>
      </c>
      <c r="K7058" s="88">
        <v>1</v>
      </c>
      <c r="L7058" s="88"/>
      <c r="M7058" s="88"/>
      <c r="N7058" s="88"/>
      <c r="O7058" s="88"/>
      <c r="P7058" s="88"/>
      <c r="Q7058" s="88"/>
      <c r="R7058" s="78">
        <f>MAX(S7058:W7058)</f>
        <v>0</v>
      </c>
      <c r="S7058" s="88"/>
      <c r="T7058" s="88"/>
      <c r="U7058" s="88"/>
      <c r="V7058" s="88"/>
      <c r="W7058" s="88"/>
    </row>
    <row r="7059" spans="2:23" s="0" customFormat="0" ht="15">
      <c r="B7059" s="87" t="s">
        <v>1</v>
      </c>
      <c r="C7059" s="88" t="s">
        <v>5259</v>
      </c>
      <c r="D7059" s="88" t="s">
        <v>5153</v>
      </c>
      <c r="E7059" s="88" t="s">
        <v>61</v>
      </c>
      <c r="F7059" s="88">
        <v>0</v>
      </c>
      <c r="G7059" s="78">
        <f>MAX(H7059,I7059,J7059)</f>
        <v>0</v>
      </c>
      <c r="H7059" s="88"/>
      <c r="I7059" s="88"/>
      <c r="J7059" s="78">
        <f>MAX(K7059:Q7059)</f>
        <v>0</v>
      </c>
      <c r="K7059" s="88"/>
      <c r="L7059" s="88"/>
      <c r="M7059" s="88"/>
      <c r="N7059" s="88"/>
      <c r="O7059" s="88"/>
      <c r="P7059" s="88"/>
      <c r="Q7059" s="88"/>
      <c r="R7059" s="78">
        <f>MAX(S7059:W7059)</f>
        <v>1</v>
      </c>
      <c r="S7059" s="88"/>
      <c r="T7059" s="88"/>
      <c r="U7059" s="88">
        <v>1</v>
      </c>
      <c r="V7059" s="88"/>
      <c r="W7059" s="88"/>
    </row>
    <row r="7060" spans="2:23" s="0" customFormat="0" ht="15">
      <c r="B7060" s="87" t="s">
        <v>1</v>
      </c>
      <c r="C7060" s="88" t="s">
        <v>5259</v>
      </c>
      <c r="D7060" s="88" t="s">
        <v>3346</v>
      </c>
      <c r="E7060" s="88" t="s">
        <v>61</v>
      </c>
      <c r="F7060" s="88">
        <v>0</v>
      </c>
      <c r="G7060" s="78">
        <f>MAX(H7060,I7060,J7060)</f>
        <v>0</v>
      </c>
      <c r="H7060" s="88"/>
      <c r="I7060" s="88"/>
      <c r="J7060" s="78">
        <f>MAX(K7060:Q7060)</f>
        <v>0</v>
      </c>
      <c r="K7060" s="88"/>
      <c r="L7060" s="88"/>
      <c r="M7060" s="88"/>
      <c r="N7060" s="88"/>
      <c r="O7060" s="88"/>
      <c r="P7060" s="88"/>
      <c r="Q7060" s="88"/>
      <c r="R7060" s="78">
        <f>MAX(S7060:W7060)</f>
        <v>1</v>
      </c>
      <c r="S7060" s="88"/>
      <c r="T7060" s="88"/>
      <c r="U7060" s="88">
        <v>1</v>
      </c>
      <c r="V7060" s="88"/>
      <c r="W7060" s="88"/>
    </row>
    <row r="7061" spans="2:23" s="0" customFormat="0" ht="15">
      <c r="B7061" s="87" t="s">
        <v>1</v>
      </c>
      <c r="C7061" s="88" t="s">
        <v>5259</v>
      </c>
      <c r="D7061" s="88">
        <v>8590153</v>
      </c>
      <c r="E7061" s="88" t="s">
        <v>61</v>
      </c>
      <c r="F7061" s="88">
        <v>0</v>
      </c>
      <c r="G7061" s="78">
        <f>MAX(H7061,I7061,J7061)</f>
        <v>1</v>
      </c>
      <c r="H7061" s="88"/>
      <c r="I7061" s="88"/>
      <c r="J7061" s="78">
        <f>MAX(K7061:Q7061)</f>
        <v>1</v>
      </c>
      <c r="K7061" s="88">
        <v>1</v>
      </c>
      <c r="L7061" s="88"/>
      <c r="M7061" s="88"/>
      <c r="N7061" s="88"/>
      <c r="O7061" s="88"/>
      <c r="P7061" s="88"/>
      <c r="Q7061" s="88"/>
      <c r="R7061" s="78">
        <f>MAX(S7061:W7061)</f>
        <v>0</v>
      </c>
      <c r="S7061" s="88"/>
      <c r="T7061" s="88"/>
      <c r="U7061" s="88"/>
      <c r="V7061" s="88"/>
      <c r="W7061" s="88"/>
    </row>
    <row r="7062" spans="2:23" s="0" customFormat="0" ht="15">
      <c r="B7062" s="87" t="s">
        <v>1</v>
      </c>
      <c r="C7062" s="88" t="s">
        <v>5259</v>
      </c>
      <c r="D7062" s="88">
        <v>18026294</v>
      </c>
      <c r="E7062" s="88" t="s">
        <v>61</v>
      </c>
      <c r="F7062" s="88">
        <v>0</v>
      </c>
      <c r="G7062" s="78">
        <f>MAX(H7062,I7062,J7062)</f>
        <v>1</v>
      </c>
      <c r="H7062" s="88"/>
      <c r="I7062" s="88"/>
      <c r="J7062" s="78">
        <f>MAX(K7062:Q7062)</f>
        <v>1</v>
      </c>
      <c r="K7062" s="88">
        <v>1</v>
      </c>
      <c r="L7062" s="88"/>
      <c r="M7062" s="88"/>
      <c r="N7062" s="88"/>
      <c r="O7062" s="88"/>
      <c r="P7062" s="88"/>
      <c r="Q7062" s="88"/>
      <c r="R7062" s="78">
        <f>MAX(S7062:W7062)</f>
        <v>0</v>
      </c>
      <c r="S7062" s="88"/>
      <c r="T7062" s="88"/>
      <c r="U7062" s="88"/>
      <c r="V7062" s="88"/>
      <c r="W7062" s="88"/>
    </row>
    <row r="7063" spans="2:23" s="0" customFormat="0" ht="15">
      <c r="B7063" s="87" t="s">
        <v>1</v>
      </c>
      <c r="C7063" s="88" t="s">
        <v>5259</v>
      </c>
      <c r="D7063" s="88">
        <v>16995939</v>
      </c>
      <c r="E7063" s="88" t="s">
        <v>61</v>
      </c>
      <c r="F7063" s="88">
        <v>0</v>
      </c>
      <c r="G7063" s="78">
        <f>MAX(H7063,I7063,J7063)</f>
        <v>1</v>
      </c>
      <c r="H7063" s="88"/>
      <c r="I7063" s="88"/>
      <c r="J7063" s="78">
        <f>MAX(K7063:Q7063)</f>
        <v>1</v>
      </c>
      <c r="K7063" s="88">
        <v>1</v>
      </c>
      <c r="L7063" s="88"/>
      <c r="M7063" s="88"/>
      <c r="N7063" s="88"/>
      <c r="O7063" s="88"/>
      <c r="P7063" s="88"/>
      <c r="Q7063" s="88"/>
      <c r="R7063" s="78">
        <f>MAX(S7063:W7063)</f>
        <v>0</v>
      </c>
      <c r="S7063" s="88"/>
      <c r="T7063" s="88"/>
      <c r="U7063" s="88"/>
      <c r="V7063" s="88"/>
      <c r="W7063" s="88"/>
    </row>
    <row r="7064" spans="2:23" s="0" customFormat="0" ht="15">
      <c r="B7064" s="87" t="s">
        <v>1</v>
      </c>
      <c r="C7064" s="88" t="s">
        <v>5259</v>
      </c>
      <c r="D7064" s="88">
        <v>16974793</v>
      </c>
      <c r="E7064" s="88" t="s">
        <v>61</v>
      </c>
      <c r="F7064" s="88">
        <v>0</v>
      </c>
      <c r="G7064" s="78">
        <f>MAX(H7064,I7064,J7064)</f>
        <v>0</v>
      </c>
      <c r="H7064" s="88"/>
      <c r="I7064" s="88"/>
      <c r="J7064" s="78">
        <f>MAX(K7064:Q7064)</f>
        <v>0</v>
      </c>
      <c r="K7064" s="88"/>
      <c r="L7064" s="88"/>
      <c r="M7064" s="88"/>
      <c r="N7064" s="88"/>
      <c r="O7064" s="88"/>
      <c r="P7064" s="88"/>
      <c r="Q7064" s="88"/>
      <c r="R7064" s="78">
        <f>MAX(S7064:W7064)</f>
        <v>1</v>
      </c>
      <c r="S7064" s="88"/>
      <c r="T7064" s="88"/>
      <c r="U7064" s="88">
        <v>1</v>
      </c>
      <c r="V7064" s="88"/>
      <c r="W7064" s="88"/>
    </row>
    <row r="7065" spans="2:23" s="0" customFormat="0" ht="15">
      <c r="B7065" s="87" t="s">
        <v>1</v>
      </c>
      <c r="C7065" s="88" t="s">
        <v>5259</v>
      </c>
      <c r="D7065" s="88">
        <v>22554568</v>
      </c>
      <c r="E7065" s="88" t="s">
        <v>61</v>
      </c>
      <c r="F7065" s="88">
        <v>0</v>
      </c>
      <c r="G7065" s="78">
        <f>MAX(H7065,I7065,J7065)</f>
        <v>0</v>
      </c>
      <c r="H7065" s="88"/>
      <c r="I7065" s="88"/>
      <c r="J7065" s="78">
        <f>MAX(K7065:Q7065)</f>
        <v>0</v>
      </c>
      <c r="K7065" s="88"/>
      <c r="L7065" s="88"/>
      <c r="M7065" s="88"/>
      <c r="N7065" s="88"/>
      <c r="O7065" s="88"/>
      <c r="P7065" s="88"/>
      <c r="Q7065" s="88"/>
      <c r="R7065" s="78">
        <f>MAX(S7065:W7065)</f>
        <v>1</v>
      </c>
      <c r="S7065" s="88"/>
      <c r="T7065" s="88"/>
      <c r="U7065" s="88"/>
      <c r="V7065" s="88">
        <v>1</v>
      </c>
      <c r="W7065" s="88"/>
    </row>
    <row r="7066" spans="2:23" s="0" customFormat="0" ht="15">
      <c r="B7066" s="87" t="s">
        <v>1</v>
      </c>
      <c r="C7066" s="88" t="s">
        <v>5259</v>
      </c>
      <c r="D7066" s="88" t="s">
        <v>2153</v>
      </c>
      <c r="E7066" s="88" t="s">
        <v>61</v>
      </c>
      <c r="F7066" s="88">
        <v>0</v>
      </c>
      <c r="G7066" s="78">
        <f>MAX(H7066,I7066,J7066)</f>
        <v>1</v>
      </c>
      <c r="H7066" s="88"/>
      <c r="I7066" s="88"/>
      <c r="J7066" s="78">
        <f>MAX(K7066:Q7066)</f>
        <v>1</v>
      </c>
      <c r="K7066" s="88">
        <v>1</v>
      </c>
      <c r="L7066" s="88"/>
      <c r="M7066" s="88"/>
      <c r="N7066" s="88"/>
      <c r="O7066" s="88"/>
      <c r="P7066" s="88"/>
      <c r="Q7066" s="88"/>
      <c r="R7066" s="78">
        <f>MAX(S7066:W7066)</f>
        <v>0</v>
      </c>
      <c r="S7066" s="88"/>
      <c r="T7066" s="88"/>
      <c r="U7066" s="88"/>
      <c r="V7066" s="88"/>
      <c r="W7066" s="88"/>
    </row>
    <row r="7067" spans="2:23" s="0" customFormat="0" ht="15">
      <c r="B7067" s="87" t="s">
        <v>1</v>
      </c>
      <c r="C7067" s="88" t="s">
        <v>5259</v>
      </c>
      <c r="D7067" s="88">
        <v>21507543</v>
      </c>
      <c r="E7067" s="88" t="s">
        <v>61</v>
      </c>
      <c r="F7067" s="88">
        <v>0</v>
      </c>
      <c r="G7067" s="78">
        <f>MAX(H7067,I7067,J7067)</f>
        <v>1</v>
      </c>
      <c r="H7067" s="88"/>
      <c r="I7067" s="88"/>
      <c r="J7067" s="78">
        <f>MAX(K7067:Q7067)</f>
        <v>1</v>
      </c>
      <c r="K7067" s="88">
        <v>1</v>
      </c>
      <c r="L7067" s="88"/>
      <c r="M7067" s="88"/>
      <c r="N7067" s="88"/>
      <c r="O7067" s="88"/>
      <c r="P7067" s="88"/>
      <c r="Q7067" s="88"/>
      <c r="R7067" s="78">
        <f>MAX(S7067:W7067)</f>
        <v>0</v>
      </c>
      <c r="S7067" s="88"/>
      <c r="T7067" s="88"/>
      <c r="U7067" s="88"/>
      <c r="V7067" s="88"/>
      <c r="W7067" s="88"/>
    </row>
    <row r="7068" spans="2:23" s="0" customFormat="0" ht="15">
      <c r="B7068" s="87" t="s">
        <v>1</v>
      </c>
      <c r="C7068" s="88" t="s">
        <v>5259</v>
      </c>
      <c r="D7068" s="88">
        <v>10567183</v>
      </c>
      <c r="E7068" s="88" t="s">
        <v>61</v>
      </c>
      <c r="F7068" s="88">
        <v>0</v>
      </c>
      <c r="G7068" s="78">
        <f>MAX(H7068,I7068,J7068)</f>
        <v>1</v>
      </c>
      <c r="H7068" s="88"/>
      <c r="I7068" s="88"/>
      <c r="J7068" s="78">
        <f>MAX(K7068:Q7068)</f>
        <v>1</v>
      </c>
      <c r="K7068" s="88">
        <v>1</v>
      </c>
      <c r="L7068" s="88"/>
      <c r="M7068" s="88"/>
      <c r="N7068" s="88"/>
      <c r="O7068" s="88"/>
      <c r="P7068" s="88"/>
      <c r="Q7068" s="88"/>
      <c r="R7068" s="78">
        <f>MAX(S7068:W7068)</f>
        <v>0</v>
      </c>
      <c r="S7068" s="88"/>
      <c r="T7068" s="88"/>
      <c r="U7068" s="88"/>
      <c r="V7068" s="88"/>
      <c r="W7068" s="88"/>
    </row>
    <row r="7069" spans="2:23" s="0" customFormat="0" ht="15">
      <c r="B7069" s="87" t="s">
        <v>1</v>
      </c>
      <c r="C7069" s="88" t="s">
        <v>5259</v>
      </c>
      <c r="D7069" s="88" t="s">
        <v>571</v>
      </c>
      <c r="E7069" s="88" t="s">
        <v>61</v>
      </c>
      <c r="F7069" s="88">
        <v>0</v>
      </c>
      <c r="G7069" s="78">
        <f>MAX(H7069,I7069,J7069)</f>
        <v>1</v>
      </c>
      <c r="H7069" s="88"/>
      <c r="I7069" s="88"/>
      <c r="J7069" s="78">
        <f>MAX(K7069:Q7069)</f>
        <v>1</v>
      </c>
      <c r="K7069" s="88">
        <v>1</v>
      </c>
      <c r="L7069" s="88"/>
      <c r="M7069" s="88"/>
      <c r="N7069" s="88"/>
      <c r="O7069" s="88"/>
      <c r="P7069" s="88"/>
      <c r="Q7069" s="88"/>
      <c r="R7069" s="78">
        <f>MAX(S7069:W7069)</f>
        <v>0</v>
      </c>
      <c r="S7069" s="88"/>
      <c r="T7069" s="88"/>
      <c r="U7069" s="88"/>
      <c r="V7069" s="88"/>
      <c r="W7069" s="88"/>
    </row>
    <row r="7070" spans="2:23" s="0" customFormat="0" ht="15">
      <c r="B7070" s="87" t="s">
        <v>1</v>
      </c>
      <c r="C7070" s="88" t="s">
        <v>5259</v>
      </c>
      <c r="D7070" s="88" t="s">
        <v>5217</v>
      </c>
      <c r="E7070" s="88" t="s">
        <v>61</v>
      </c>
      <c r="F7070" s="88">
        <v>0</v>
      </c>
      <c r="G7070" s="78">
        <f>MAX(H7070,I7070,J7070)</f>
        <v>0</v>
      </c>
      <c r="H7070" s="88"/>
      <c r="I7070" s="88"/>
      <c r="J7070" s="78">
        <f>MAX(K7070:Q7070)</f>
        <v>0</v>
      </c>
      <c r="K7070" s="88"/>
      <c r="L7070" s="88"/>
      <c r="M7070" s="88"/>
      <c r="N7070" s="88"/>
      <c r="O7070" s="88"/>
      <c r="P7070" s="88"/>
      <c r="Q7070" s="88"/>
      <c r="R7070" s="78">
        <f>MAX(S7070:W7070)</f>
        <v>1</v>
      </c>
      <c r="S7070" s="88"/>
      <c r="T7070" s="88"/>
      <c r="U7070" s="88">
        <v>1</v>
      </c>
      <c r="V7070" s="88"/>
      <c r="W7070" s="88"/>
    </row>
    <row r="7071" spans="2:23" s="0" customFormat="0" ht="15">
      <c r="B7071" s="87" t="s">
        <v>1</v>
      </c>
      <c r="C7071" s="88" t="s">
        <v>5259</v>
      </c>
      <c r="D7071" s="88" t="s">
        <v>3001</v>
      </c>
      <c r="E7071" s="88" t="s">
        <v>61</v>
      </c>
      <c r="F7071" s="88">
        <v>0</v>
      </c>
      <c r="G7071" s="78">
        <f>MAX(H7071,I7071,J7071)</f>
        <v>1</v>
      </c>
      <c r="H7071" s="88"/>
      <c r="I7071" s="88"/>
      <c r="J7071" s="78">
        <f>MAX(K7071:Q7071)</f>
        <v>1</v>
      </c>
      <c r="K7071" s="88">
        <v>1</v>
      </c>
      <c r="L7071" s="88"/>
      <c r="M7071" s="88"/>
      <c r="N7071" s="88"/>
      <c r="O7071" s="88"/>
      <c r="P7071" s="88"/>
      <c r="Q7071" s="88"/>
      <c r="R7071" s="78">
        <f>MAX(S7071:W7071)</f>
        <v>0</v>
      </c>
      <c r="S7071" s="88"/>
      <c r="T7071" s="88"/>
      <c r="U7071" s="88"/>
      <c r="V7071" s="88"/>
      <c r="W7071" s="88"/>
    </row>
    <row r="7072" spans="2:23" s="0" customFormat="0" ht="15">
      <c r="B7072" s="87" t="s">
        <v>1</v>
      </c>
      <c r="C7072" s="88" t="s">
        <v>5259</v>
      </c>
      <c r="D7072" s="88" t="s">
        <v>4471</v>
      </c>
      <c r="E7072" s="88" t="s">
        <v>61</v>
      </c>
      <c r="F7072" s="88">
        <v>0</v>
      </c>
      <c r="G7072" s="78">
        <f>MAX(H7072,I7072,J7072)</f>
        <v>0</v>
      </c>
      <c r="H7072" s="88"/>
      <c r="I7072" s="88"/>
      <c r="J7072" s="78">
        <f>MAX(K7072:Q7072)</f>
        <v>0</v>
      </c>
      <c r="K7072" s="88"/>
      <c r="L7072" s="88"/>
      <c r="M7072" s="88"/>
      <c r="N7072" s="88"/>
      <c r="O7072" s="88"/>
      <c r="P7072" s="88"/>
      <c r="Q7072" s="88"/>
      <c r="R7072" s="78">
        <f>MAX(S7072:W7072)</f>
        <v>1</v>
      </c>
      <c r="S7072" s="88"/>
      <c r="T7072" s="88"/>
      <c r="U7072" s="88">
        <v>1</v>
      </c>
      <c r="V7072" s="88"/>
      <c r="W7072" s="88"/>
    </row>
    <row r="7073" spans="2:23" s="0" customFormat="0" ht="15">
      <c r="B7073" s="87" t="s">
        <v>1</v>
      </c>
      <c r="C7073" s="88" t="s">
        <v>5259</v>
      </c>
      <c r="D7073" s="88">
        <v>11864945</v>
      </c>
      <c r="E7073" s="88" t="s">
        <v>61</v>
      </c>
      <c r="F7073" s="88">
        <v>0</v>
      </c>
      <c r="G7073" s="78">
        <f>MAX(H7073,I7073,J7073)</f>
        <v>1</v>
      </c>
      <c r="H7073" s="88"/>
      <c r="I7073" s="88"/>
      <c r="J7073" s="78">
        <f>MAX(K7073:Q7073)</f>
        <v>1</v>
      </c>
      <c r="K7073" s="88">
        <v>1</v>
      </c>
      <c r="L7073" s="88"/>
      <c r="M7073" s="88"/>
      <c r="N7073" s="88"/>
      <c r="O7073" s="88"/>
      <c r="P7073" s="88"/>
      <c r="Q7073" s="88"/>
      <c r="R7073" s="78">
        <f>MAX(S7073:W7073)</f>
        <v>0</v>
      </c>
      <c r="S7073" s="88"/>
      <c r="T7073" s="88"/>
      <c r="U7073" s="88"/>
      <c r="V7073" s="88"/>
      <c r="W7073" s="88"/>
    </row>
    <row r="7074" spans="2:23" s="0" customFormat="0" ht="15">
      <c r="B7074" s="87" t="s">
        <v>1</v>
      </c>
      <c r="C7074" s="88" t="s">
        <v>5259</v>
      </c>
      <c r="D7074" s="88">
        <v>22554434</v>
      </c>
      <c r="E7074" s="88" t="s">
        <v>61</v>
      </c>
      <c r="F7074" s="88">
        <v>0</v>
      </c>
      <c r="G7074" s="78">
        <f>MAX(H7074,I7074,J7074)</f>
        <v>0</v>
      </c>
      <c r="H7074" s="88"/>
      <c r="I7074" s="88"/>
      <c r="J7074" s="78">
        <f>MAX(K7074:Q7074)</f>
        <v>0</v>
      </c>
      <c r="K7074" s="88"/>
      <c r="L7074" s="88"/>
      <c r="M7074" s="88"/>
      <c r="N7074" s="88"/>
      <c r="O7074" s="88"/>
      <c r="P7074" s="88"/>
      <c r="Q7074" s="88"/>
      <c r="R7074" s="78">
        <f>MAX(S7074:W7074)</f>
        <v>1</v>
      </c>
      <c r="S7074" s="88"/>
      <c r="T7074" s="88"/>
      <c r="U7074" s="88">
        <v>1</v>
      </c>
      <c r="V7074" s="88"/>
      <c r="W7074" s="88"/>
    </row>
    <row r="7075" spans="2:23" s="0" customFormat="0" ht="15">
      <c r="B7075" s="87" t="s">
        <v>1</v>
      </c>
      <c r="C7075" s="88" t="s">
        <v>5259</v>
      </c>
      <c r="D7075" s="88" t="s">
        <v>5213</v>
      </c>
      <c r="E7075" s="88" t="s">
        <v>61</v>
      </c>
      <c r="F7075" s="88">
        <v>0</v>
      </c>
      <c r="G7075" s="78">
        <f>MAX(H7075,I7075,J7075)</f>
        <v>0</v>
      </c>
      <c r="H7075" s="88"/>
      <c r="I7075" s="88"/>
      <c r="J7075" s="78">
        <f>MAX(K7075:Q7075)</f>
        <v>0</v>
      </c>
      <c r="K7075" s="88"/>
      <c r="L7075" s="88"/>
      <c r="M7075" s="88"/>
      <c r="N7075" s="88"/>
      <c r="O7075" s="88"/>
      <c r="P7075" s="88"/>
      <c r="Q7075" s="88"/>
      <c r="R7075" s="78">
        <f>MAX(S7075:W7075)</f>
        <v>1</v>
      </c>
      <c r="S7075" s="88"/>
      <c r="T7075" s="88"/>
      <c r="U7075" s="88">
        <v>1</v>
      </c>
      <c r="V7075" s="88"/>
      <c r="W7075" s="88"/>
    </row>
    <row r="7076" spans="2:23" s="0" customFormat="0" ht="15">
      <c r="B7076" s="87" t="s">
        <v>1</v>
      </c>
      <c r="C7076" s="88" t="s">
        <v>5259</v>
      </c>
      <c r="D7076" s="88" t="s">
        <v>5239</v>
      </c>
      <c r="E7076" s="88" t="s">
        <v>61</v>
      </c>
      <c r="F7076" s="88">
        <v>0</v>
      </c>
      <c r="G7076" s="78">
        <f>MAX(H7076,I7076,J7076)</f>
        <v>0</v>
      </c>
      <c r="H7076" s="88"/>
      <c r="I7076" s="88"/>
      <c r="J7076" s="78">
        <f>MAX(K7076:Q7076)</f>
        <v>0</v>
      </c>
      <c r="K7076" s="88"/>
      <c r="L7076" s="88"/>
      <c r="M7076" s="88"/>
      <c r="N7076" s="88"/>
      <c r="O7076" s="88"/>
      <c r="P7076" s="88"/>
      <c r="Q7076" s="88"/>
      <c r="R7076" s="78">
        <f>MAX(S7076:W7076)</f>
        <v>1</v>
      </c>
      <c r="S7076" s="88"/>
      <c r="T7076" s="88"/>
      <c r="U7076" s="88">
        <v>1</v>
      </c>
      <c r="V7076" s="88"/>
      <c r="W7076" s="88"/>
    </row>
    <row r="7077" spans="2:23" s="0" customFormat="0" ht="15">
      <c r="B7077" s="87" t="s">
        <v>1</v>
      </c>
      <c r="C7077" s="88" t="s">
        <v>5259</v>
      </c>
      <c r="D7077" s="88">
        <v>10177835</v>
      </c>
      <c r="E7077" s="88" t="s">
        <v>61</v>
      </c>
      <c r="F7077" s="88">
        <v>0</v>
      </c>
      <c r="G7077" s="78">
        <f>MAX(H7077,I7077,J7077)</f>
        <v>1</v>
      </c>
      <c r="H7077" s="88"/>
      <c r="I7077" s="88"/>
      <c r="J7077" s="78">
        <f>MAX(K7077:Q7077)</f>
        <v>1</v>
      </c>
      <c r="K7077" s="88">
        <v>1</v>
      </c>
      <c r="L7077" s="88"/>
      <c r="M7077" s="88"/>
      <c r="N7077" s="88"/>
      <c r="O7077" s="88"/>
      <c r="P7077" s="88"/>
      <c r="Q7077" s="88"/>
      <c r="R7077" s="78">
        <f>MAX(S7077:W7077)</f>
        <v>0</v>
      </c>
      <c r="S7077" s="88"/>
      <c r="T7077" s="88"/>
      <c r="U7077" s="88"/>
      <c r="V7077" s="88"/>
      <c r="W7077" s="88"/>
    </row>
    <row r="7078" spans="2:23" s="0" customFormat="0" ht="15">
      <c r="B7078" s="87" t="s">
        <v>1</v>
      </c>
      <c r="C7078" s="88" t="s">
        <v>5259</v>
      </c>
      <c r="D7078" s="88">
        <v>17121464</v>
      </c>
      <c r="E7078" s="88" t="s">
        <v>61</v>
      </c>
      <c r="F7078" s="88">
        <v>0</v>
      </c>
      <c r="G7078" s="78">
        <f>MAX(H7078,I7078,J7078)</f>
        <v>1</v>
      </c>
      <c r="H7078" s="88"/>
      <c r="I7078" s="88"/>
      <c r="J7078" s="78">
        <f>MAX(K7078:Q7078)</f>
        <v>1</v>
      </c>
      <c r="K7078" s="88">
        <v>1</v>
      </c>
      <c r="L7078" s="88"/>
      <c r="M7078" s="88"/>
      <c r="N7078" s="88"/>
      <c r="O7078" s="88"/>
      <c r="P7078" s="88"/>
      <c r="Q7078" s="88"/>
      <c r="R7078" s="78">
        <f>MAX(S7078:W7078)</f>
        <v>0</v>
      </c>
      <c r="S7078" s="88"/>
      <c r="T7078" s="88"/>
      <c r="U7078" s="88"/>
      <c r="V7078" s="88"/>
      <c r="W7078" s="88"/>
    </row>
    <row r="7079" spans="2:23" s="0" customFormat="0" ht="15">
      <c r="B7079" s="87" t="s">
        <v>1</v>
      </c>
      <c r="C7079" s="88" t="s">
        <v>5259</v>
      </c>
      <c r="D7079" s="88" t="s">
        <v>4685</v>
      </c>
      <c r="E7079" s="88" t="s">
        <v>61</v>
      </c>
      <c r="F7079" s="88">
        <v>0</v>
      </c>
      <c r="G7079" s="78">
        <f>MAX(H7079,I7079,J7079)</f>
        <v>0</v>
      </c>
      <c r="H7079" s="88"/>
      <c r="I7079" s="88"/>
      <c r="J7079" s="78">
        <f>MAX(K7079:Q7079)</f>
        <v>0</v>
      </c>
      <c r="K7079" s="88"/>
      <c r="L7079" s="88"/>
      <c r="M7079" s="88"/>
      <c r="N7079" s="88"/>
      <c r="O7079" s="88"/>
      <c r="P7079" s="88"/>
      <c r="Q7079" s="88"/>
      <c r="R7079" s="78">
        <f>MAX(S7079:W7079)</f>
        <v>1</v>
      </c>
      <c r="S7079" s="88"/>
      <c r="T7079" s="88"/>
      <c r="U7079" s="88">
        <v>1</v>
      </c>
      <c r="V7079" s="88"/>
      <c r="W7079" s="88"/>
    </row>
    <row r="7080" spans="2:23" s="0" customFormat="0" ht="15">
      <c r="B7080" s="87" t="s">
        <v>1</v>
      </c>
      <c r="C7080" s="88" t="s">
        <v>5259</v>
      </c>
      <c r="D7080" s="88" t="s">
        <v>2420</v>
      </c>
      <c r="E7080" s="88" t="s">
        <v>61</v>
      </c>
      <c r="F7080" s="88">
        <v>0</v>
      </c>
      <c r="G7080" s="78">
        <f>MAX(H7080,I7080,J7080)</f>
        <v>1</v>
      </c>
      <c r="H7080" s="88"/>
      <c r="I7080" s="88"/>
      <c r="J7080" s="78">
        <f>MAX(K7080:Q7080)</f>
        <v>1</v>
      </c>
      <c r="K7080" s="88">
        <v>1</v>
      </c>
      <c r="L7080" s="88"/>
      <c r="M7080" s="88"/>
      <c r="N7080" s="88"/>
      <c r="O7080" s="88"/>
      <c r="P7080" s="88"/>
      <c r="Q7080" s="88"/>
      <c r="R7080" s="78">
        <f>MAX(S7080:W7080)</f>
        <v>0</v>
      </c>
      <c r="S7080" s="88"/>
      <c r="T7080" s="88"/>
      <c r="U7080" s="88"/>
      <c r="V7080" s="88"/>
      <c r="W7080" s="88"/>
    </row>
    <row r="7081" spans="2:23" s="0" customFormat="0" ht="15">
      <c r="B7081" s="87" t="s">
        <v>1</v>
      </c>
      <c r="C7081" s="88" t="s">
        <v>5259</v>
      </c>
      <c r="D7081" s="88" t="s">
        <v>1504</v>
      </c>
      <c r="E7081" s="88" t="s">
        <v>61</v>
      </c>
      <c r="F7081" s="88">
        <v>0</v>
      </c>
      <c r="G7081" s="78">
        <f>MAX(H7081,I7081,J7081)</f>
        <v>1</v>
      </c>
      <c r="H7081" s="88"/>
      <c r="I7081" s="88"/>
      <c r="J7081" s="78">
        <f>MAX(K7081:Q7081)</f>
        <v>1</v>
      </c>
      <c r="K7081" s="88">
        <v>1</v>
      </c>
      <c r="L7081" s="88"/>
      <c r="M7081" s="88"/>
      <c r="N7081" s="88"/>
      <c r="O7081" s="88"/>
      <c r="P7081" s="88"/>
      <c r="Q7081" s="88"/>
      <c r="R7081" s="78">
        <f>MAX(S7081:W7081)</f>
        <v>0</v>
      </c>
      <c r="S7081" s="88"/>
      <c r="T7081" s="88"/>
      <c r="U7081" s="88"/>
      <c r="V7081" s="88"/>
      <c r="W7081" s="88"/>
    </row>
    <row r="7082" spans="2:23" s="0" customFormat="0" ht="15">
      <c r="B7082" s="87" t="s">
        <v>1</v>
      </c>
      <c r="C7082" s="88" t="s">
        <v>5259</v>
      </c>
      <c r="D7082" s="88">
        <v>24892936</v>
      </c>
      <c r="E7082" s="88" t="s">
        <v>61</v>
      </c>
      <c r="F7082" s="88">
        <v>0</v>
      </c>
      <c r="G7082" s="78">
        <f>MAX(H7082,I7082,J7082)</f>
        <v>1</v>
      </c>
      <c r="H7082" s="88"/>
      <c r="I7082" s="88"/>
      <c r="J7082" s="78">
        <f>MAX(K7082:Q7082)</f>
        <v>1</v>
      </c>
      <c r="K7082" s="88">
        <v>1</v>
      </c>
      <c r="L7082" s="88"/>
      <c r="M7082" s="88"/>
      <c r="N7082" s="88"/>
      <c r="O7082" s="88"/>
      <c r="P7082" s="88"/>
      <c r="Q7082" s="88"/>
      <c r="R7082" s="78">
        <f>MAX(S7082:W7082)</f>
        <v>0</v>
      </c>
      <c r="S7082" s="88"/>
      <c r="T7082" s="88"/>
      <c r="U7082" s="88"/>
      <c r="V7082" s="88"/>
      <c r="W7082" s="88"/>
    </row>
    <row r="7083" spans="2:23" s="0" customFormat="0" ht="15">
      <c r="B7083" s="87" t="s">
        <v>1</v>
      </c>
      <c r="C7083" s="88" t="s">
        <v>5259</v>
      </c>
      <c r="D7083" s="88">
        <v>17357779</v>
      </c>
      <c r="E7083" s="88" t="s">
        <v>61</v>
      </c>
      <c r="F7083" s="88">
        <v>0</v>
      </c>
      <c r="G7083" s="78">
        <f>MAX(H7083,I7083,J7083)</f>
        <v>1</v>
      </c>
      <c r="H7083" s="88"/>
      <c r="I7083" s="88"/>
      <c r="J7083" s="78">
        <f>MAX(K7083:Q7083)</f>
        <v>1</v>
      </c>
      <c r="K7083" s="88">
        <v>1</v>
      </c>
      <c r="L7083" s="88"/>
      <c r="M7083" s="88"/>
      <c r="N7083" s="88"/>
      <c r="O7083" s="88"/>
      <c r="P7083" s="88"/>
      <c r="Q7083" s="88"/>
      <c r="R7083" s="78">
        <f>MAX(S7083:W7083)</f>
        <v>0</v>
      </c>
      <c r="S7083" s="88"/>
      <c r="T7083" s="88"/>
      <c r="U7083" s="88"/>
      <c r="V7083" s="88"/>
      <c r="W7083" s="88"/>
    </row>
    <row r="7084" spans="2:23" s="0" customFormat="0" ht="15">
      <c r="B7084" s="87" t="s">
        <v>1</v>
      </c>
      <c r="C7084" s="88" t="s">
        <v>5259</v>
      </c>
      <c r="D7084" s="88" t="s">
        <v>2514</v>
      </c>
      <c r="E7084" s="88" t="s">
        <v>61</v>
      </c>
      <c r="F7084" s="88">
        <v>0</v>
      </c>
      <c r="G7084" s="78">
        <f>MAX(H7084,I7084,J7084)</f>
        <v>1</v>
      </c>
      <c r="H7084" s="88"/>
      <c r="I7084" s="88"/>
      <c r="J7084" s="78">
        <f>MAX(K7084:Q7084)</f>
        <v>1</v>
      </c>
      <c r="K7084" s="88">
        <v>1</v>
      </c>
      <c r="L7084" s="88"/>
      <c r="M7084" s="88"/>
      <c r="N7084" s="88"/>
      <c r="O7084" s="88"/>
      <c r="P7084" s="88"/>
      <c r="Q7084" s="88"/>
      <c r="R7084" s="78">
        <f>MAX(S7084:W7084)</f>
        <v>0</v>
      </c>
      <c r="S7084" s="88"/>
      <c r="T7084" s="88"/>
      <c r="U7084" s="88"/>
      <c r="V7084" s="88"/>
      <c r="W7084" s="88"/>
    </row>
    <row r="7085" spans="2:23" s="0" customFormat="0" ht="15">
      <c r="B7085" s="87" t="s">
        <v>1</v>
      </c>
      <c r="C7085" s="88" t="s">
        <v>5259</v>
      </c>
      <c r="D7085" s="88" t="s">
        <v>4186</v>
      </c>
      <c r="E7085" s="88" t="s">
        <v>61</v>
      </c>
      <c r="F7085" s="88">
        <v>0</v>
      </c>
      <c r="G7085" s="78">
        <f>MAX(H7085,I7085,J7085)</f>
        <v>0</v>
      </c>
      <c r="H7085" s="88"/>
      <c r="I7085" s="88"/>
      <c r="J7085" s="78">
        <f>MAX(K7085:Q7085)</f>
        <v>0</v>
      </c>
      <c r="K7085" s="88"/>
      <c r="L7085" s="88"/>
      <c r="M7085" s="88"/>
      <c r="N7085" s="88"/>
      <c r="O7085" s="88"/>
      <c r="P7085" s="88"/>
      <c r="Q7085" s="88"/>
      <c r="R7085" s="78">
        <f>MAX(S7085:W7085)</f>
        <v>1</v>
      </c>
      <c r="S7085" s="88"/>
      <c r="T7085" s="88"/>
      <c r="U7085" s="88">
        <v>1</v>
      </c>
      <c r="V7085" s="88"/>
      <c r="W7085" s="88"/>
    </row>
    <row r="7086" spans="2:23" s="0" customFormat="0" ht="15">
      <c r="B7086" s="87" t="s">
        <v>1</v>
      </c>
      <c r="C7086" s="88" t="s">
        <v>5259</v>
      </c>
      <c r="D7086" s="88">
        <v>24738794</v>
      </c>
      <c r="E7086" s="88" t="s">
        <v>61</v>
      </c>
      <c r="F7086" s="88">
        <v>0</v>
      </c>
      <c r="G7086" s="78">
        <f>MAX(H7086,I7086,J7086)</f>
        <v>1</v>
      </c>
      <c r="H7086" s="88"/>
      <c r="I7086" s="88"/>
      <c r="J7086" s="78">
        <f>MAX(K7086:Q7086)</f>
        <v>1</v>
      </c>
      <c r="K7086" s="88"/>
      <c r="L7086" s="88"/>
      <c r="M7086" s="88">
        <v>1</v>
      </c>
      <c r="N7086" s="88"/>
      <c r="O7086" s="88"/>
      <c r="P7086" s="88"/>
      <c r="Q7086" s="88"/>
      <c r="R7086" s="78">
        <f>MAX(S7086:W7086)</f>
        <v>0</v>
      </c>
      <c r="S7086" s="88"/>
      <c r="T7086" s="88"/>
      <c r="U7086" s="88"/>
      <c r="V7086" s="88"/>
      <c r="W7086" s="88"/>
    </row>
    <row r="7087" spans="2:23" s="0" customFormat="0" ht="15">
      <c r="B7087" s="87" t="s">
        <v>1</v>
      </c>
      <c r="C7087" s="88" t="s">
        <v>5259</v>
      </c>
      <c r="D7087" s="88" t="s">
        <v>4200</v>
      </c>
      <c r="E7087" s="88" t="s">
        <v>61</v>
      </c>
      <c r="F7087" s="88">
        <v>0</v>
      </c>
      <c r="G7087" s="78">
        <f>MAX(H7087,I7087,J7087)</f>
        <v>0</v>
      </c>
      <c r="H7087" s="88"/>
      <c r="I7087" s="88"/>
      <c r="J7087" s="78">
        <f>MAX(K7087:Q7087)</f>
        <v>0</v>
      </c>
      <c r="K7087" s="88"/>
      <c r="L7087" s="88"/>
      <c r="M7087" s="88"/>
      <c r="N7087" s="88"/>
      <c r="O7087" s="88"/>
      <c r="P7087" s="88"/>
      <c r="Q7087" s="88"/>
      <c r="R7087" s="78">
        <f>MAX(S7087:W7087)</f>
        <v>1</v>
      </c>
      <c r="S7087" s="88"/>
      <c r="T7087" s="88"/>
      <c r="U7087" s="88">
        <v>1</v>
      </c>
      <c r="V7087" s="88"/>
      <c r="W7087" s="88"/>
    </row>
    <row r="7088" spans="2:23" s="0" customFormat="0" ht="15">
      <c r="B7088" s="87" t="s">
        <v>1</v>
      </c>
      <c r="C7088" s="88" t="s">
        <v>5259</v>
      </c>
      <c r="D7088" s="88" t="s">
        <v>1125</v>
      </c>
      <c r="E7088" s="88" t="s">
        <v>61</v>
      </c>
      <c r="F7088" s="88">
        <v>0</v>
      </c>
      <c r="G7088" s="78">
        <f>MAX(H7088,I7088,J7088)</f>
        <v>1</v>
      </c>
      <c r="H7088" s="88"/>
      <c r="I7088" s="88"/>
      <c r="J7088" s="78">
        <f>MAX(K7088:Q7088)</f>
        <v>1</v>
      </c>
      <c r="K7088" s="88">
        <v>1</v>
      </c>
      <c r="L7088" s="88"/>
      <c r="M7088" s="88"/>
      <c r="N7088" s="88"/>
      <c r="O7088" s="88"/>
      <c r="P7088" s="88"/>
      <c r="Q7088" s="88"/>
      <c r="R7088" s="78">
        <f>MAX(S7088:W7088)</f>
        <v>0</v>
      </c>
      <c r="S7088" s="88"/>
      <c r="T7088" s="88"/>
      <c r="U7088" s="88"/>
      <c r="V7088" s="88"/>
      <c r="W7088" s="88"/>
    </row>
    <row r="7089" spans="2:23" s="0" customFormat="0" ht="15">
      <c r="B7089" s="87" t="s">
        <v>1</v>
      </c>
      <c r="C7089" s="88" t="s">
        <v>5259</v>
      </c>
      <c r="D7089" s="88">
        <v>8959372</v>
      </c>
      <c r="E7089" s="88" t="s">
        <v>61</v>
      </c>
      <c r="F7089" s="88">
        <v>0</v>
      </c>
      <c r="G7089" s="78">
        <f>MAX(H7089,I7089,J7089)</f>
        <v>1</v>
      </c>
      <c r="H7089" s="88"/>
      <c r="I7089" s="88"/>
      <c r="J7089" s="78">
        <f>MAX(K7089:Q7089)</f>
        <v>1</v>
      </c>
      <c r="K7089" s="88">
        <v>1</v>
      </c>
      <c r="L7089" s="88"/>
      <c r="M7089" s="88"/>
      <c r="N7089" s="88"/>
      <c r="O7089" s="88"/>
      <c r="P7089" s="88"/>
      <c r="Q7089" s="88"/>
      <c r="R7089" s="78">
        <f>MAX(S7089:W7089)</f>
        <v>0</v>
      </c>
      <c r="S7089" s="88"/>
      <c r="T7089" s="88"/>
      <c r="U7089" s="88"/>
      <c r="V7089" s="88"/>
      <c r="W7089" s="88"/>
    </row>
    <row r="7090" spans="2:23" s="0" customFormat="0" ht="15">
      <c r="B7090" s="87" t="s">
        <v>1</v>
      </c>
      <c r="C7090" s="88" t="s">
        <v>5259</v>
      </c>
      <c r="D7090" s="88">
        <v>14851927</v>
      </c>
      <c r="E7090" s="88" t="s">
        <v>61</v>
      </c>
      <c r="F7090" s="88">
        <v>0</v>
      </c>
      <c r="G7090" s="78">
        <f>MAX(H7090,I7090,J7090)</f>
        <v>1</v>
      </c>
      <c r="H7090" s="88"/>
      <c r="I7090" s="88"/>
      <c r="J7090" s="78">
        <f>MAX(K7090:Q7090)</f>
        <v>1</v>
      </c>
      <c r="K7090" s="88">
        <v>1</v>
      </c>
      <c r="L7090" s="88"/>
      <c r="M7090" s="88"/>
      <c r="N7090" s="88"/>
      <c r="O7090" s="88"/>
      <c r="P7090" s="88"/>
      <c r="Q7090" s="88"/>
      <c r="R7090" s="78">
        <f>MAX(S7090:W7090)</f>
        <v>0</v>
      </c>
      <c r="S7090" s="88"/>
      <c r="T7090" s="88"/>
      <c r="U7090" s="88"/>
      <c r="V7090" s="88"/>
      <c r="W7090" s="88"/>
    </row>
    <row r="7091" spans="2:23" s="0" customFormat="0" ht="15">
      <c r="B7091" s="87" t="s">
        <v>1</v>
      </c>
      <c r="C7091" s="88" t="s">
        <v>5259</v>
      </c>
      <c r="D7091" s="88" t="s">
        <v>2914</v>
      </c>
      <c r="E7091" s="88" t="s">
        <v>61</v>
      </c>
      <c r="F7091" s="88">
        <v>0</v>
      </c>
      <c r="G7091" s="78">
        <f>MAX(H7091,I7091,J7091)</f>
        <v>1</v>
      </c>
      <c r="H7091" s="88"/>
      <c r="I7091" s="88"/>
      <c r="J7091" s="78">
        <f>MAX(K7091:Q7091)</f>
        <v>1</v>
      </c>
      <c r="K7091" s="88">
        <v>1</v>
      </c>
      <c r="L7091" s="88"/>
      <c r="M7091" s="88"/>
      <c r="N7091" s="88"/>
      <c r="O7091" s="88"/>
      <c r="P7091" s="88"/>
      <c r="Q7091" s="88"/>
      <c r="R7091" s="78">
        <f>MAX(S7091:W7091)</f>
        <v>0</v>
      </c>
      <c r="S7091" s="88"/>
      <c r="T7091" s="88"/>
      <c r="U7091" s="88"/>
      <c r="V7091" s="88"/>
      <c r="W7091" s="88"/>
    </row>
    <row r="7092" spans="2:23" s="0" customFormat="0" ht="15">
      <c r="B7092" s="87" t="s">
        <v>1</v>
      </c>
      <c r="C7092" s="88" t="s">
        <v>5259</v>
      </c>
      <c r="D7092" s="88">
        <v>12299582</v>
      </c>
      <c r="E7092" s="88" t="s">
        <v>61</v>
      </c>
      <c r="F7092" s="88">
        <v>0</v>
      </c>
      <c r="G7092" s="78">
        <f>MAX(H7092,I7092,J7092)</f>
        <v>1</v>
      </c>
      <c r="H7092" s="88"/>
      <c r="I7092" s="88"/>
      <c r="J7092" s="78">
        <f>MAX(K7092:Q7092)</f>
        <v>1</v>
      </c>
      <c r="K7092" s="88">
        <v>1</v>
      </c>
      <c r="L7092" s="88"/>
      <c r="M7092" s="88"/>
      <c r="N7092" s="88"/>
      <c r="O7092" s="88"/>
      <c r="P7092" s="88"/>
      <c r="Q7092" s="88"/>
      <c r="R7092" s="78">
        <f>MAX(S7092:W7092)</f>
        <v>0</v>
      </c>
      <c r="S7092" s="88"/>
      <c r="T7092" s="88"/>
      <c r="U7092" s="88"/>
      <c r="V7092" s="88"/>
      <c r="W7092" s="88"/>
    </row>
    <row r="7093" spans="2:23" s="0" customFormat="0" ht="15">
      <c r="B7093" s="87" t="s">
        <v>1</v>
      </c>
      <c r="C7093" s="88" t="s">
        <v>5259</v>
      </c>
      <c r="D7093" s="88">
        <v>22214088</v>
      </c>
      <c r="E7093" s="88" t="s">
        <v>61</v>
      </c>
      <c r="F7093" s="88">
        <v>0</v>
      </c>
      <c r="G7093" s="78">
        <f>MAX(H7093,I7093,J7093)</f>
        <v>1</v>
      </c>
      <c r="H7093" s="88"/>
      <c r="I7093" s="88"/>
      <c r="J7093" s="78">
        <f>MAX(K7093:Q7093)</f>
        <v>1</v>
      </c>
      <c r="K7093" s="88">
        <v>1</v>
      </c>
      <c r="L7093" s="88"/>
      <c r="M7093" s="88"/>
      <c r="N7093" s="88"/>
      <c r="O7093" s="88"/>
      <c r="P7093" s="88"/>
      <c r="Q7093" s="88"/>
      <c r="R7093" s="78">
        <f>MAX(S7093:W7093)</f>
        <v>0</v>
      </c>
      <c r="S7093" s="88"/>
      <c r="T7093" s="88"/>
      <c r="U7093" s="88"/>
      <c r="V7093" s="88"/>
      <c r="W7093" s="88"/>
    </row>
    <row r="7094" spans="2:23" s="0" customFormat="0" ht="15">
      <c r="B7094" s="87" t="s">
        <v>1</v>
      </c>
      <c r="C7094" s="88" t="s">
        <v>5259</v>
      </c>
      <c r="D7094" s="88">
        <v>1551603</v>
      </c>
      <c r="E7094" s="88" t="s">
        <v>61</v>
      </c>
      <c r="F7094" s="88">
        <v>0</v>
      </c>
      <c r="G7094" s="78">
        <f>MAX(H7094,I7094,J7094)</f>
        <v>0</v>
      </c>
      <c r="H7094" s="88"/>
      <c r="I7094" s="88"/>
      <c r="J7094" s="78">
        <f>MAX(K7094:Q7094)</f>
        <v>0</v>
      </c>
      <c r="K7094" s="88"/>
      <c r="L7094" s="88"/>
      <c r="M7094" s="88"/>
      <c r="N7094" s="88"/>
      <c r="O7094" s="88"/>
      <c r="P7094" s="88"/>
      <c r="Q7094" s="88"/>
      <c r="R7094" s="78">
        <f>MAX(S7094:W7094)</f>
        <v>1</v>
      </c>
      <c r="S7094" s="88"/>
      <c r="T7094" s="88"/>
      <c r="U7094" s="88">
        <v>1</v>
      </c>
      <c r="V7094" s="88"/>
      <c r="W7094" s="88"/>
    </row>
    <row r="7095" spans="2:23" s="0" customFormat="0" ht="15">
      <c r="B7095" s="87" t="s">
        <v>1</v>
      </c>
      <c r="C7095" s="88" t="s">
        <v>5259</v>
      </c>
      <c r="D7095" s="88">
        <v>9189714</v>
      </c>
      <c r="E7095" s="88" t="s">
        <v>61</v>
      </c>
      <c r="F7095" s="88">
        <v>0</v>
      </c>
      <c r="G7095" s="78">
        <f>MAX(H7095,I7095,J7095)</f>
        <v>1</v>
      </c>
      <c r="H7095" s="88"/>
      <c r="I7095" s="88"/>
      <c r="J7095" s="78">
        <f>MAX(K7095:Q7095)</f>
        <v>1</v>
      </c>
      <c r="K7095" s="88">
        <v>1</v>
      </c>
      <c r="L7095" s="88"/>
      <c r="M7095" s="88"/>
      <c r="N7095" s="88"/>
      <c r="O7095" s="88"/>
      <c r="P7095" s="88"/>
      <c r="Q7095" s="88"/>
      <c r="R7095" s="78">
        <f>MAX(S7095:W7095)</f>
        <v>0</v>
      </c>
      <c r="S7095" s="88"/>
      <c r="T7095" s="88"/>
      <c r="U7095" s="88"/>
      <c r="V7095" s="88"/>
      <c r="W7095" s="88"/>
    </row>
    <row r="7096" spans="2:23" s="0" customFormat="0" ht="15">
      <c r="B7096" s="87" t="s">
        <v>1</v>
      </c>
      <c r="C7096" s="88" t="s">
        <v>5259</v>
      </c>
      <c r="D7096" s="88">
        <v>20801543</v>
      </c>
      <c r="E7096" s="88" t="s">
        <v>61</v>
      </c>
      <c r="F7096" s="88">
        <v>0</v>
      </c>
      <c r="G7096" s="78">
        <f>MAX(H7096,I7096,J7096)</f>
        <v>1</v>
      </c>
      <c r="H7096" s="88"/>
      <c r="I7096" s="88"/>
      <c r="J7096" s="78">
        <f>MAX(K7096:Q7096)</f>
        <v>1</v>
      </c>
      <c r="K7096" s="88">
        <v>1</v>
      </c>
      <c r="L7096" s="88"/>
      <c r="M7096" s="88"/>
      <c r="N7096" s="88"/>
      <c r="O7096" s="88"/>
      <c r="P7096" s="88"/>
      <c r="Q7096" s="88"/>
      <c r="R7096" s="78">
        <f>MAX(S7096:W7096)</f>
        <v>0</v>
      </c>
      <c r="S7096" s="88"/>
      <c r="T7096" s="88"/>
      <c r="U7096" s="88"/>
      <c r="V7096" s="88"/>
      <c r="W7096" s="88"/>
    </row>
    <row r="7097" spans="2:23" s="0" customFormat="0" ht="15">
      <c r="B7097" s="87" t="s">
        <v>1</v>
      </c>
      <c r="C7097" s="88" t="s">
        <v>5259</v>
      </c>
      <c r="D7097" s="88">
        <v>24964663</v>
      </c>
      <c r="E7097" s="88" t="s">
        <v>61</v>
      </c>
      <c r="F7097" s="88">
        <v>0</v>
      </c>
      <c r="G7097" s="78">
        <f>MAX(H7097,I7097,J7097)</f>
        <v>1</v>
      </c>
      <c r="H7097" s="88"/>
      <c r="I7097" s="88"/>
      <c r="J7097" s="78">
        <f>MAX(K7097:Q7097)</f>
        <v>1</v>
      </c>
      <c r="K7097" s="88">
        <v>1</v>
      </c>
      <c r="L7097" s="88"/>
      <c r="M7097" s="88"/>
      <c r="N7097" s="88"/>
      <c r="O7097" s="88"/>
      <c r="P7097" s="88"/>
      <c r="Q7097" s="88"/>
      <c r="R7097" s="78">
        <f>MAX(S7097:W7097)</f>
        <v>0</v>
      </c>
      <c r="S7097" s="88"/>
      <c r="T7097" s="88"/>
      <c r="U7097" s="88"/>
      <c r="V7097" s="88"/>
      <c r="W7097" s="88"/>
    </row>
    <row r="7098" spans="2:23" s="0" customFormat="0" ht="15">
      <c r="B7098" s="87" t="s">
        <v>1</v>
      </c>
      <c r="C7098" s="88" t="s">
        <v>5259</v>
      </c>
      <c r="D7098" s="88" t="s">
        <v>952</v>
      </c>
      <c r="E7098" s="88" t="s">
        <v>61</v>
      </c>
      <c r="F7098" s="88">
        <v>0</v>
      </c>
      <c r="G7098" s="78">
        <f>MAX(H7098,I7098,J7098)</f>
        <v>1</v>
      </c>
      <c r="H7098" s="88"/>
      <c r="I7098" s="88"/>
      <c r="J7098" s="78">
        <f>MAX(K7098:Q7098)</f>
        <v>1</v>
      </c>
      <c r="K7098" s="88">
        <v>1</v>
      </c>
      <c r="L7098" s="88"/>
      <c r="M7098" s="88"/>
      <c r="N7098" s="88"/>
      <c r="O7098" s="88"/>
      <c r="P7098" s="88"/>
      <c r="Q7098" s="88"/>
      <c r="R7098" s="78">
        <f>MAX(S7098:W7098)</f>
        <v>0</v>
      </c>
      <c r="S7098" s="88"/>
      <c r="T7098" s="88"/>
      <c r="U7098" s="88"/>
      <c r="V7098" s="88"/>
      <c r="W7098" s="88"/>
    </row>
    <row r="7099" spans="2:23" s="0" customFormat="0" ht="15">
      <c r="B7099" s="87" t="s">
        <v>1</v>
      </c>
      <c r="C7099" s="88" t="s">
        <v>5259</v>
      </c>
      <c r="D7099" s="88">
        <v>22554491</v>
      </c>
      <c r="E7099" s="88" t="s">
        <v>61</v>
      </c>
      <c r="F7099" s="88">
        <v>0</v>
      </c>
      <c r="G7099" s="78">
        <f>MAX(H7099,I7099,J7099)</f>
        <v>0</v>
      </c>
      <c r="H7099" s="88"/>
      <c r="I7099" s="88"/>
      <c r="J7099" s="78">
        <f>MAX(K7099:Q7099)</f>
        <v>0</v>
      </c>
      <c r="K7099" s="88"/>
      <c r="L7099" s="88"/>
      <c r="M7099" s="88"/>
      <c r="N7099" s="88"/>
      <c r="O7099" s="88"/>
      <c r="P7099" s="88"/>
      <c r="Q7099" s="88"/>
      <c r="R7099" s="78">
        <f>MAX(S7099:W7099)</f>
        <v>1</v>
      </c>
      <c r="S7099" s="88"/>
      <c r="T7099" s="88"/>
      <c r="U7099" s="88">
        <v>1</v>
      </c>
      <c r="V7099" s="88"/>
      <c r="W7099" s="88"/>
    </row>
    <row r="7100" spans="2:23" s="0" customFormat="0" ht="15">
      <c r="B7100" s="87" t="s">
        <v>1</v>
      </c>
      <c r="C7100" s="88" t="s">
        <v>5259</v>
      </c>
      <c r="D7100" s="88">
        <v>22943429</v>
      </c>
      <c r="E7100" s="88" t="s">
        <v>61</v>
      </c>
      <c r="F7100" s="88">
        <v>0</v>
      </c>
      <c r="G7100" s="78">
        <f>MAX(H7100,I7100,J7100)</f>
        <v>1</v>
      </c>
      <c r="H7100" s="88"/>
      <c r="I7100" s="88"/>
      <c r="J7100" s="78">
        <f>MAX(K7100:Q7100)</f>
        <v>1</v>
      </c>
      <c r="K7100" s="88">
        <v>1</v>
      </c>
      <c r="L7100" s="88"/>
      <c r="M7100" s="88"/>
      <c r="N7100" s="88"/>
      <c r="O7100" s="88"/>
      <c r="P7100" s="88"/>
      <c r="Q7100" s="88"/>
      <c r="R7100" s="78">
        <f>MAX(S7100:W7100)</f>
        <v>0</v>
      </c>
      <c r="S7100" s="88"/>
      <c r="T7100" s="88"/>
      <c r="U7100" s="88"/>
      <c r="V7100" s="88"/>
      <c r="W7100" s="88"/>
    </row>
    <row r="7101" spans="2:23" s="0" customFormat="0" ht="15">
      <c r="B7101" s="87" t="s">
        <v>1</v>
      </c>
      <c r="C7101" s="88" t="s">
        <v>5259</v>
      </c>
      <c r="D7101" s="88">
        <v>16974692</v>
      </c>
      <c r="E7101" s="88" t="s">
        <v>61</v>
      </c>
      <c r="F7101" s="88">
        <v>0</v>
      </c>
      <c r="G7101" s="78">
        <f>MAX(H7101,I7101,J7101)</f>
        <v>0</v>
      </c>
      <c r="H7101" s="88"/>
      <c r="I7101" s="88"/>
      <c r="J7101" s="78">
        <f>MAX(K7101:Q7101)</f>
        <v>0</v>
      </c>
      <c r="K7101" s="88"/>
      <c r="L7101" s="88"/>
      <c r="M7101" s="88"/>
      <c r="N7101" s="88"/>
      <c r="O7101" s="88"/>
      <c r="P7101" s="88"/>
      <c r="Q7101" s="88"/>
      <c r="R7101" s="78">
        <f>MAX(S7101:W7101)</f>
        <v>1</v>
      </c>
      <c r="S7101" s="88"/>
      <c r="T7101" s="88"/>
      <c r="U7101" s="88">
        <v>1</v>
      </c>
      <c r="V7101" s="88"/>
      <c r="W7101" s="88"/>
    </row>
    <row r="7102" spans="2:23" s="0" customFormat="0" ht="15">
      <c r="B7102" s="87" t="s">
        <v>1</v>
      </c>
      <c r="C7102" s="88" t="s">
        <v>5259</v>
      </c>
      <c r="D7102" s="88">
        <v>19012867</v>
      </c>
      <c r="E7102" s="88" t="s">
        <v>61</v>
      </c>
      <c r="F7102" s="88">
        <v>0</v>
      </c>
      <c r="G7102" s="78">
        <f>MAX(H7102,I7102,J7102)</f>
        <v>1</v>
      </c>
      <c r="H7102" s="88"/>
      <c r="I7102" s="88"/>
      <c r="J7102" s="78">
        <f>MAX(K7102:Q7102)</f>
        <v>1</v>
      </c>
      <c r="K7102" s="88">
        <v>1</v>
      </c>
      <c r="L7102" s="88"/>
      <c r="M7102" s="88"/>
      <c r="N7102" s="88"/>
      <c r="O7102" s="88"/>
      <c r="P7102" s="88"/>
      <c r="Q7102" s="88"/>
      <c r="R7102" s="78">
        <f>MAX(S7102:W7102)</f>
        <v>0</v>
      </c>
      <c r="S7102" s="88"/>
      <c r="T7102" s="88"/>
      <c r="U7102" s="88"/>
      <c r="V7102" s="88"/>
      <c r="W7102" s="88"/>
    </row>
    <row r="7103" spans="2:23" s="0" customFormat="0" ht="15">
      <c r="B7103" s="87" t="s">
        <v>1</v>
      </c>
      <c r="C7103" s="88" t="s">
        <v>5259</v>
      </c>
      <c r="D7103" s="88" t="s">
        <v>3495</v>
      </c>
      <c r="E7103" s="88" t="s">
        <v>61</v>
      </c>
      <c r="F7103" s="88">
        <v>0</v>
      </c>
      <c r="G7103" s="78">
        <f>MAX(H7103,I7103,J7103)</f>
        <v>0</v>
      </c>
      <c r="H7103" s="88"/>
      <c r="I7103" s="88"/>
      <c r="J7103" s="78">
        <f>MAX(K7103:Q7103)</f>
        <v>0</v>
      </c>
      <c r="K7103" s="88"/>
      <c r="L7103" s="88"/>
      <c r="M7103" s="88"/>
      <c r="N7103" s="88"/>
      <c r="O7103" s="88"/>
      <c r="P7103" s="88"/>
      <c r="Q7103" s="88"/>
      <c r="R7103" s="78">
        <f>MAX(S7103:W7103)</f>
        <v>1</v>
      </c>
      <c r="S7103" s="88"/>
      <c r="T7103" s="88"/>
      <c r="U7103" s="88">
        <v>1</v>
      </c>
      <c r="V7103" s="88"/>
      <c r="W7103" s="88"/>
    </row>
    <row r="7104" spans="2:23" s="0" customFormat="0" ht="15">
      <c r="B7104" s="87" t="s">
        <v>1</v>
      </c>
      <c r="C7104" s="88" t="s">
        <v>5259</v>
      </c>
      <c r="D7104" s="88">
        <v>23848887</v>
      </c>
      <c r="E7104" s="88" t="s">
        <v>61</v>
      </c>
      <c r="F7104" s="88">
        <v>0</v>
      </c>
      <c r="G7104" s="78">
        <f>MAX(H7104,I7104,J7104)</f>
        <v>1</v>
      </c>
      <c r="H7104" s="88"/>
      <c r="I7104" s="88"/>
      <c r="J7104" s="78">
        <f>MAX(K7104:Q7104)</f>
        <v>1</v>
      </c>
      <c r="K7104" s="88"/>
      <c r="L7104" s="88"/>
      <c r="M7104" s="88">
        <v>1</v>
      </c>
      <c r="N7104" s="88"/>
      <c r="O7104" s="88"/>
      <c r="P7104" s="88"/>
      <c r="Q7104" s="88"/>
      <c r="R7104" s="78">
        <f>MAX(S7104:W7104)</f>
        <v>0</v>
      </c>
      <c r="S7104" s="88"/>
      <c r="T7104" s="88"/>
      <c r="U7104" s="88"/>
      <c r="V7104" s="88"/>
      <c r="W7104" s="88"/>
    </row>
    <row r="7105" spans="2:23" s="0" customFormat="0" ht="15">
      <c r="B7105" s="87" t="s">
        <v>1</v>
      </c>
      <c r="C7105" s="88" t="s">
        <v>5259</v>
      </c>
      <c r="D7105" s="88">
        <v>18946108</v>
      </c>
      <c r="E7105" s="88" t="s">
        <v>61</v>
      </c>
      <c r="F7105" s="88">
        <v>0</v>
      </c>
      <c r="G7105" s="78">
        <f>MAX(H7105,I7105,J7105)</f>
        <v>1</v>
      </c>
      <c r="H7105" s="88"/>
      <c r="I7105" s="88"/>
      <c r="J7105" s="78">
        <f>MAX(K7105:Q7105)</f>
        <v>1</v>
      </c>
      <c r="K7105" s="88"/>
      <c r="L7105" s="88">
        <v>1</v>
      </c>
      <c r="M7105" s="88"/>
      <c r="N7105" s="88"/>
      <c r="O7105" s="88"/>
      <c r="P7105" s="88"/>
      <c r="Q7105" s="88"/>
      <c r="R7105" s="78">
        <f>MAX(S7105:W7105)</f>
        <v>0</v>
      </c>
      <c r="S7105" s="88"/>
      <c r="T7105" s="88"/>
      <c r="U7105" s="88"/>
      <c r="V7105" s="88"/>
      <c r="W7105" s="88"/>
    </row>
    <row r="7106" spans="2:23" s="0" customFormat="0" ht="15">
      <c r="B7106" s="87" t="s">
        <v>1</v>
      </c>
      <c r="C7106" s="88" t="s">
        <v>5259</v>
      </c>
      <c r="D7106" s="88">
        <v>19671746</v>
      </c>
      <c r="E7106" s="88" t="s">
        <v>61</v>
      </c>
      <c r="F7106" s="88">
        <v>0</v>
      </c>
      <c r="G7106" s="78">
        <f>MAX(H7106,I7106,J7106)</f>
        <v>1</v>
      </c>
      <c r="H7106" s="88"/>
      <c r="I7106" s="88"/>
      <c r="J7106" s="78">
        <f>MAX(K7106:Q7106)</f>
        <v>1</v>
      </c>
      <c r="K7106" s="88"/>
      <c r="L7106" s="88">
        <v>1</v>
      </c>
      <c r="M7106" s="88"/>
      <c r="N7106" s="88"/>
      <c r="O7106" s="88"/>
      <c r="P7106" s="88"/>
      <c r="Q7106" s="88"/>
      <c r="R7106" s="78">
        <f>MAX(S7106:W7106)</f>
        <v>0</v>
      </c>
      <c r="S7106" s="88"/>
      <c r="T7106" s="88"/>
      <c r="U7106" s="88"/>
      <c r="V7106" s="88"/>
      <c r="W7106" s="88"/>
    </row>
    <row r="7107" spans="2:23" s="0" customFormat="0" ht="15">
      <c r="B7107" s="87" t="s">
        <v>1</v>
      </c>
      <c r="C7107" s="88" t="s">
        <v>5259</v>
      </c>
      <c r="D7107" s="88">
        <v>19641203</v>
      </c>
      <c r="E7107" s="88" t="s">
        <v>61</v>
      </c>
      <c r="F7107" s="88">
        <v>0</v>
      </c>
      <c r="G7107" s="78">
        <f>MAX(H7107,I7107,J7107)</f>
        <v>1</v>
      </c>
      <c r="H7107" s="88"/>
      <c r="I7107" s="88"/>
      <c r="J7107" s="78">
        <f>MAX(K7107:Q7107)</f>
        <v>1</v>
      </c>
      <c r="K7107" s="88">
        <v>1</v>
      </c>
      <c r="L7107" s="88"/>
      <c r="M7107" s="88"/>
      <c r="N7107" s="88"/>
      <c r="O7107" s="88"/>
      <c r="P7107" s="88"/>
      <c r="Q7107" s="88"/>
      <c r="R7107" s="78">
        <f>MAX(S7107:W7107)</f>
        <v>0</v>
      </c>
      <c r="S7107" s="88"/>
      <c r="T7107" s="88"/>
      <c r="U7107" s="88"/>
      <c r="V7107" s="88"/>
      <c r="W7107" s="88"/>
    </row>
    <row r="7108" spans="2:23" s="0" customFormat="0" ht="15">
      <c r="B7108" s="87" t="s">
        <v>1</v>
      </c>
      <c r="C7108" s="88" t="s">
        <v>5259</v>
      </c>
      <c r="D7108" s="88">
        <v>21694766</v>
      </c>
      <c r="E7108" s="88" t="s">
        <v>61</v>
      </c>
      <c r="F7108" s="88">
        <v>0</v>
      </c>
      <c r="G7108" s="78">
        <f>MAX(H7108,I7108,J7108)</f>
        <v>1</v>
      </c>
      <c r="H7108" s="88"/>
      <c r="I7108" s="88"/>
      <c r="J7108" s="78">
        <f>MAX(K7108:Q7108)</f>
        <v>1</v>
      </c>
      <c r="K7108" s="88">
        <v>1</v>
      </c>
      <c r="L7108" s="88"/>
      <c r="M7108" s="88"/>
      <c r="N7108" s="88"/>
      <c r="O7108" s="88"/>
      <c r="P7108" s="88"/>
      <c r="Q7108" s="88"/>
      <c r="R7108" s="78">
        <f>MAX(S7108:W7108)</f>
        <v>0</v>
      </c>
      <c r="S7108" s="88"/>
      <c r="T7108" s="88"/>
      <c r="U7108" s="88"/>
      <c r="V7108" s="88"/>
      <c r="W7108" s="88"/>
    </row>
    <row r="7109" spans="2:23" s="0" customFormat="0" ht="15">
      <c r="B7109" s="87" t="s">
        <v>1</v>
      </c>
      <c r="C7109" s="88" t="s">
        <v>5259</v>
      </c>
      <c r="D7109" s="88" t="s">
        <v>5009</v>
      </c>
      <c r="E7109" s="88" t="s">
        <v>61</v>
      </c>
      <c r="F7109" s="88">
        <v>0</v>
      </c>
      <c r="G7109" s="78">
        <f>MAX(H7109,I7109,J7109)</f>
        <v>0</v>
      </c>
      <c r="H7109" s="88"/>
      <c r="I7109" s="88"/>
      <c r="J7109" s="78">
        <f>MAX(K7109:Q7109)</f>
        <v>0</v>
      </c>
      <c r="K7109" s="88"/>
      <c r="L7109" s="88"/>
      <c r="M7109" s="88"/>
      <c r="N7109" s="88"/>
      <c r="O7109" s="88"/>
      <c r="P7109" s="88"/>
      <c r="Q7109" s="88"/>
      <c r="R7109" s="78">
        <f>MAX(S7109:W7109)</f>
        <v>1</v>
      </c>
      <c r="S7109" s="88"/>
      <c r="T7109" s="88"/>
      <c r="U7109" s="88">
        <v>1</v>
      </c>
      <c r="V7109" s="88"/>
      <c r="W7109" s="88"/>
    </row>
    <row r="7110" spans="2:23" s="0" customFormat="0" ht="15">
      <c r="B7110" s="87" t="s">
        <v>1</v>
      </c>
      <c r="C7110" s="88" t="s">
        <v>5259</v>
      </c>
      <c r="D7110" s="88">
        <v>1928739</v>
      </c>
      <c r="E7110" s="88" t="s">
        <v>61</v>
      </c>
      <c r="F7110" s="88">
        <v>0</v>
      </c>
      <c r="G7110" s="78">
        <f>MAX(H7110,I7110,J7110)</f>
        <v>0</v>
      </c>
      <c r="H7110" s="88"/>
      <c r="I7110" s="88"/>
      <c r="J7110" s="78">
        <f>MAX(K7110:Q7110)</f>
        <v>0</v>
      </c>
      <c r="K7110" s="88"/>
      <c r="L7110" s="88"/>
      <c r="M7110" s="88"/>
      <c r="N7110" s="88"/>
      <c r="O7110" s="88"/>
      <c r="P7110" s="88"/>
      <c r="Q7110" s="88"/>
      <c r="R7110" s="78">
        <f>MAX(S7110:W7110)</f>
        <v>1</v>
      </c>
      <c r="S7110" s="88"/>
      <c r="T7110" s="88"/>
      <c r="U7110" s="88">
        <v>1</v>
      </c>
      <c r="V7110" s="88"/>
      <c r="W7110" s="88"/>
    </row>
    <row r="7111" spans="2:23" s="0" customFormat="0" ht="15">
      <c r="B7111" s="87" t="s">
        <v>1</v>
      </c>
      <c r="C7111" s="88" t="s">
        <v>5259</v>
      </c>
      <c r="D7111" s="88" t="s">
        <v>2932</v>
      </c>
      <c r="E7111" s="88" t="s">
        <v>61</v>
      </c>
      <c r="F7111" s="88">
        <v>0</v>
      </c>
      <c r="G7111" s="78">
        <f>MAX(H7111,I7111,J7111)</f>
        <v>1</v>
      </c>
      <c r="H7111" s="88"/>
      <c r="I7111" s="88"/>
      <c r="J7111" s="78">
        <f>MAX(K7111:Q7111)</f>
        <v>1</v>
      </c>
      <c r="K7111" s="88">
        <v>1</v>
      </c>
      <c r="L7111" s="88"/>
      <c r="M7111" s="88"/>
      <c r="N7111" s="88"/>
      <c r="O7111" s="88"/>
      <c r="P7111" s="88"/>
      <c r="Q7111" s="88"/>
      <c r="R7111" s="78">
        <f>MAX(S7111:W7111)</f>
        <v>0</v>
      </c>
      <c r="S7111" s="88"/>
      <c r="T7111" s="88"/>
      <c r="U7111" s="88"/>
      <c r="V7111" s="88"/>
      <c r="W7111" s="88"/>
    </row>
    <row r="7112" spans="2:23" s="0" customFormat="0" ht="15">
      <c r="B7112" s="87" t="s">
        <v>1</v>
      </c>
      <c r="C7112" s="88" t="s">
        <v>5259</v>
      </c>
      <c r="D7112" s="88" t="s">
        <v>3267</v>
      </c>
      <c r="E7112" s="88" t="s">
        <v>61</v>
      </c>
      <c r="F7112" s="88">
        <v>0</v>
      </c>
      <c r="G7112" s="78">
        <f>MAX(H7112,I7112,J7112)</f>
        <v>0</v>
      </c>
      <c r="H7112" s="88"/>
      <c r="I7112" s="88"/>
      <c r="J7112" s="78">
        <f>MAX(K7112:Q7112)</f>
        <v>0</v>
      </c>
      <c r="K7112" s="88"/>
      <c r="L7112" s="88"/>
      <c r="M7112" s="88"/>
      <c r="N7112" s="88"/>
      <c r="O7112" s="88"/>
      <c r="P7112" s="88"/>
      <c r="Q7112" s="88"/>
      <c r="R7112" s="78">
        <f>MAX(S7112:W7112)</f>
        <v>1</v>
      </c>
      <c r="S7112" s="88"/>
      <c r="T7112" s="88"/>
      <c r="U7112" s="88"/>
      <c r="V7112" s="88">
        <v>1</v>
      </c>
      <c r="W7112" s="88"/>
    </row>
    <row r="7113" spans="2:23" s="0" customFormat="0" ht="15">
      <c r="B7113" s="87" t="s">
        <v>1</v>
      </c>
      <c r="C7113" s="88" t="s">
        <v>5259</v>
      </c>
      <c r="D7113" s="88" t="s">
        <v>4809</v>
      </c>
      <c r="E7113" s="88" t="s">
        <v>61</v>
      </c>
      <c r="F7113" s="88">
        <v>0</v>
      </c>
      <c r="G7113" s="78">
        <f>MAX(H7113,I7113,J7113)</f>
        <v>0</v>
      </c>
      <c r="H7113" s="88"/>
      <c r="I7113" s="88"/>
      <c r="J7113" s="78">
        <f>MAX(K7113:Q7113)</f>
        <v>0</v>
      </c>
      <c r="K7113" s="88"/>
      <c r="L7113" s="88"/>
      <c r="M7113" s="88"/>
      <c r="N7113" s="88"/>
      <c r="O7113" s="88"/>
      <c r="P7113" s="88"/>
      <c r="Q7113" s="88"/>
      <c r="R7113" s="78">
        <f>MAX(S7113:W7113)</f>
        <v>1</v>
      </c>
      <c r="S7113" s="88"/>
      <c r="T7113" s="88"/>
      <c r="U7113" s="88">
        <v>1</v>
      </c>
      <c r="V7113" s="88"/>
      <c r="W7113" s="88"/>
    </row>
    <row r="7114" spans="2:23" s="0" customFormat="0" ht="15">
      <c r="B7114" s="87" t="s">
        <v>1</v>
      </c>
      <c r="C7114" s="88" t="s">
        <v>5259</v>
      </c>
      <c r="D7114" s="88" t="s">
        <v>5078</v>
      </c>
      <c r="E7114" s="88" t="s">
        <v>61</v>
      </c>
      <c r="F7114" s="88">
        <v>0</v>
      </c>
      <c r="G7114" s="78">
        <f>MAX(H7114,I7114,J7114)</f>
        <v>0</v>
      </c>
      <c r="H7114" s="88"/>
      <c r="I7114" s="88"/>
      <c r="J7114" s="78">
        <f>MAX(K7114:Q7114)</f>
        <v>0</v>
      </c>
      <c r="K7114" s="88"/>
      <c r="L7114" s="88"/>
      <c r="M7114" s="88"/>
      <c r="N7114" s="88"/>
      <c r="O7114" s="88"/>
      <c r="P7114" s="88"/>
      <c r="Q7114" s="88"/>
      <c r="R7114" s="78">
        <f>MAX(S7114:W7114)</f>
        <v>1</v>
      </c>
      <c r="S7114" s="88"/>
      <c r="T7114" s="88"/>
      <c r="U7114" s="88">
        <v>1</v>
      </c>
      <c r="V7114" s="88"/>
      <c r="W7114" s="88"/>
    </row>
    <row r="7115" spans="2:23" s="0" customFormat="0" ht="15">
      <c r="B7115" s="87" t="s">
        <v>1</v>
      </c>
      <c r="C7115" s="88" t="s">
        <v>5259</v>
      </c>
      <c r="D7115" s="88">
        <v>14383860</v>
      </c>
      <c r="E7115" s="88" t="s">
        <v>61</v>
      </c>
      <c r="F7115" s="88">
        <v>0</v>
      </c>
      <c r="G7115" s="78">
        <f>MAX(H7115,I7115,J7115)</f>
        <v>1</v>
      </c>
      <c r="H7115" s="88"/>
      <c r="I7115" s="88"/>
      <c r="J7115" s="78">
        <f>MAX(K7115:Q7115)</f>
        <v>1</v>
      </c>
      <c r="K7115" s="88">
        <v>1</v>
      </c>
      <c r="L7115" s="88"/>
      <c r="M7115" s="88"/>
      <c r="N7115" s="88"/>
      <c r="O7115" s="88"/>
      <c r="P7115" s="88"/>
      <c r="Q7115" s="88"/>
      <c r="R7115" s="78">
        <f>MAX(S7115:W7115)</f>
        <v>0</v>
      </c>
      <c r="S7115" s="88"/>
      <c r="T7115" s="88"/>
      <c r="U7115" s="88"/>
      <c r="V7115" s="88"/>
      <c r="W7115" s="88"/>
    </row>
    <row r="7116" spans="2:23" s="0" customFormat="0" ht="15">
      <c r="B7116" s="87" t="s">
        <v>1</v>
      </c>
      <c r="C7116" s="88" t="s">
        <v>5259</v>
      </c>
      <c r="D7116" s="88" t="s">
        <v>5104</v>
      </c>
      <c r="E7116" s="88" t="s">
        <v>61</v>
      </c>
      <c r="F7116" s="88">
        <v>0</v>
      </c>
      <c r="G7116" s="78">
        <f>MAX(H7116,I7116,J7116)</f>
        <v>0</v>
      </c>
      <c r="H7116" s="88"/>
      <c r="I7116" s="88"/>
      <c r="J7116" s="78">
        <f>MAX(K7116:Q7116)</f>
        <v>0</v>
      </c>
      <c r="K7116" s="88"/>
      <c r="L7116" s="88"/>
      <c r="M7116" s="88"/>
      <c r="N7116" s="88"/>
      <c r="O7116" s="88"/>
      <c r="P7116" s="88"/>
      <c r="Q7116" s="88"/>
      <c r="R7116" s="78">
        <f>MAX(S7116:W7116)</f>
        <v>1</v>
      </c>
      <c r="S7116" s="88"/>
      <c r="T7116" s="88"/>
      <c r="U7116" s="88">
        <v>1</v>
      </c>
      <c r="V7116" s="88"/>
      <c r="W7116" s="88"/>
    </row>
    <row r="7117" spans="2:23" s="0" customFormat="0" ht="15">
      <c r="B7117" s="87" t="s">
        <v>1</v>
      </c>
      <c r="C7117" s="88" t="s">
        <v>5259</v>
      </c>
      <c r="D7117" s="88">
        <v>18568285</v>
      </c>
      <c r="E7117" s="88" t="s">
        <v>61</v>
      </c>
      <c r="F7117" s="88">
        <v>0</v>
      </c>
      <c r="G7117" s="78">
        <f>MAX(H7117,I7117,J7117)</f>
        <v>1</v>
      </c>
      <c r="H7117" s="88"/>
      <c r="I7117" s="88"/>
      <c r="J7117" s="78">
        <f>MAX(K7117:Q7117)</f>
        <v>1</v>
      </c>
      <c r="K7117" s="88">
        <v>1</v>
      </c>
      <c r="L7117" s="88"/>
      <c r="M7117" s="88"/>
      <c r="N7117" s="88"/>
      <c r="O7117" s="88"/>
      <c r="P7117" s="88"/>
      <c r="Q7117" s="88"/>
      <c r="R7117" s="78">
        <f>MAX(S7117:W7117)</f>
        <v>0</v>
      </c>
      <c r="S7117" s="88"/>
      <c r="T7117" s="88"/>
      <c r="U7117" s="88"/>
      <c r="V7117" s="88"/>
      <c r="W7117" s="88"/>
    </row>
    <row r="7118" spans="2:23" s="0" customFormat="0" ht="15">
      <c r="B7118" s="87" t="s">
        <v>1</v>
      </c>
      <c r="C7118" s="88" t="s">
        <v>5259</v>
      </c>
      <c r="D7118" s="88" t="s">
        <v>3016</v>
      </c>
      <c r="E7118" s="88" t="s">
        <v>61</v>
      </c>
      <c r="F7118" s="88">
        <v>0</v>
      </c>
      <c r="G7118" s="78">
        <f>MAX(H7118,I7118,J7118)</f>
        <v>1</v>
      </c>
      <c r="H7118" s="88"/>
      <c r="I7118" s="88"/>
      <c r="J7118" s="78">
        <f>MAX(K7118:Q7118)</f>
        <v>1</v>
      </c>
      <c r="K7118" s="88">
        <v>1</v>
      </c>
      <c r="L7118" s="88"/>
      <c r="M7118" s="88"/>
      <c r="N7118" s="88"/>
      <c r="O7118" s="88"/>
      <c r="P7118" s="88"/>
      <c r="Q7118" s="88"/>
      <c r="R7118" s="78">
        <f>MAX(S7118:W7118)</f>
        <v>0</v>
      </c>
      <c r="S7118" s="88"/>
      <c r="T7118" s="88"/>
      <c r="U7118" s="88"/>
      <c r="V7118" s="88"/>
      <c r="W7118" s="88"/>
    </row>
    <row r="7119" spans="2:23" s="0" customFormat="0" ht="15">
      <c r="B7119" s="87" t="s">
        <v>1</v>
      </c>
      <c r="C7119" s="88" t="s">
        <v>5259</v>
      </c>
      <c r="D7119" s="88">
        <v>22554576</v>
      </c>
      <c r="E7119" s="88" t="s">
        <v>61</v>
      </c>
      <c r="F7119" s="88">
        <v>0</v>
      </c>
      <c r="G7119" s="78">
        <f>MAX(H7119,I7119,J7119)</f>
        <v>0</v>
      </c>
      <c r="H7119" s="88"/>
      <c r="I7119" s="88"/>
      <c r="J7119" s="78">
        <f>MAX(K7119:Q7119)</f>
        <v>0</v>
      </c>
      <c r="K7119" s="88"/>
      <c r="L7119" s="88"/>
      <c r="M7119" s="88"/>
      <c r="N7119" s="88"/>
      <c r="O7119" s="88"/>
      <c r="P7119" s="88"/>
      <c r="Q7119" s="88"/>
      <c r="R7119" s="78">
        <f>MAX(S7119:W7119)</f>
        <v>1</v>
      </c>
      <c r="S7119" s="88"/>
      <c r="T7119" s="88"/>
      <c r="U7119" s="88">
        <v>1</v>
      </c>
      <c r="V7119" s="88"/>
      <c r="W7119" s="88"/>
    </row>
    <row r="7120" spans="2:23" s="0" customFormat="0" ht="15">
      <c r="B7120" s="87" t="s">
        <v>1</v>
      </c>
      <c r="C7120" s="88" t="s">
        <v>5259</v>
      </c>
      <c r="D7120" s="88">
        <v>23120391</v>
      </c>
      <c r="E7120" s="88" t="s">
        <v>61</v>
      </c>
      <c r="F7120" s="88">
        <v>0</v>
      </c>
      <c r="G7120" s="78">
        <f>MAX(H7120,I7120,J7120)</f>
        <v>1</v>
      </c>
      <c r="H7120" s="88"/>
      <c r="I7120" s="88"/>
      <c r="J7120" s="78">
        <f>MAX(K7120:Q7120)</f>
        <v>1</v>
      </c>
      <c r="K7120" s="88">
        <v>1</v>
      </c>
      <c r="L7120" s="88"/>
      <c r="M7120" s="88"/>
      <c r="N7120" s="88"/>
      <c r="O7120" s="88"/>
      <c r="P7120" s="88"/>
      <c r="Q7120" s="88"/>
      <c r="R7120" s="78">
        <f>MAX(S7120:W7120)</f>
        <v>0</v>
      </c>
      <c r="S7120" s="88"/>
      <c r="T7120" s="88"/>
      <c r="U7120" s="88"/>
      <c r="V7120" s="88"/>
      <c r="W7120" s="88"/>
    </row>
    <row r="7121" spans="2:23" s="0" customFormat="0" ht="15">
      <c r="B7121" s="87" t="s">
        <v>1</v>
      </c>
      <c r="C7121" s="88" t="s">
        <v>5259</v>
      </c>
      <c r="D7121" s="88">
        <v>24824154</v>
      </c>
      <c r="E7121" s="88" t="s">
        <v>61</v>
      </c>
      <c r="F7121" s="88">
        <v>0</v>
      </c>
      <c r="G7121" s="78">
        <f>MAX(H7121,I7121,J7121)</f>
        <v>1</v>
      </c>
      <c r="H7121" s="88"/>
      <c r="I7121" s="88"/>
      <c r="J7121" s="78">
        <f>MAX(K7121:Q7121)</f>
        <v>1</v>
      </c>
      <c r="K7121" s="88">
        <v>1</v>
      </c>
      <c r="L7121" s="88"/>
      <c r="M7121" s="88"/>
      <c r="N7121" s="88"/>
      <c r="O7121" s="88"/>
      <c r="P7121" s="88"/>
      <c r="Q7121" s="88"/>
      <c r="R7121" s="78">
        <f>MAX(S7121:W7121)</f>
        <v>0</v>
      </c>
      <c r="S7121" s="88"/>
      <c r="T7121" s="88"/>
      <c r="U7121" s="88"/>
      <c r="V7121" s="88"/>
      <c r="W7121" s="88"/>
    </row>
    <row r="7122" spans="2:23" s="0" customFormat="0" ht="15">
      <c r="B7122" s="87" t="s">
        <v>1</v>
      </c>
      <c r="C7122" s="88" t="s">
        <v>5259</v>
      </c>
      <c r="D7122" s="88" t="s">
        <v>3497</v>
      </c>
      <c r="E7122" s="88" t="s">
        <v>61</v>
      </c>
      <c r="F7122" s="88">
        <v>0</v>
      </c>
      <c r="G7122" s="78">
        <f>MAX(H7122,I7122,J7122)</f>
        <v>0</v>
      </c>
      <c r="H7122" s="88"/>
      <c r="I7122" s="88"/>
      <c r="J7122" s="78">
        <f>MAX(K7122:Q7122)</f>
        <v>0</v>
      </c>
      <c r="K7122" s="88"/>
      <c r="L7122" s="88"/>
      <c r="M7122" s="88"/>
      <c r="N7122" s="88"/>
      <c r="O7122" s="88"/>
      <c r="P7122" s="88"/>
      <c r="Q7122" s="88"/>
      <c r="R7122" s="78">
        <f>MAX(S7122:W7122)</f>
        <v>1</v>
      </c>
      <c r="S7122" s="88"/>
      <c r="T7122" s="88"/>
      <c r="U7122" s="88">
        <v>1</v>
      </c>
      <c r="V7122" s="88"/>
      <c r="W7122" s="88"/>
    </row>
    <row r="7123" spans="2:23" s="0" customFormat="0" ht="15">
      <c r="B7123" s="87" t="s">
        <v>1</v>
      </c>
      <c r="C7123" s="88" t="s">
        <v>5259</v>
      </c>
      <c r="D7123" s="88" t="s">
        <v>2663</v>
      </c>
      <c r="E7123" s="88" t="s">
        <v>61</v>
      </c>
      <c r="F7123" s="88">
        <v>0</v>
      </c>
      <c r="G7123" s="78">
        <f>MAX(H7123,I7123,J7123)</f>
        <v>1</v>
      </c>
      <c r="H7123" s="88"/>
      <c r="I7123" s="88"/>
      <c r="J7123" s="78">
        <f>MAX(K7123:Q7123)</f>
        <v>1</v>
      </c>
      <c r="K7123" s="88">
        <v>1</v>
      </c>
      <c r="L7123" s="88"/>
      <c r="M7123" s="88"/>
      <c r="N7123" s="88"/>
      <c r="O7123" s="88"/>
      <c r="P7123" s="88"/>
      <c r="Q7123" s="88"/>
      <c r="R7123" s="78">
        <f>MAX(S7123:W7123)</f>
        <v>0</v>
      </c>
      <c r="S7123" s="88"/>
      <c r="T7123" s="88"/>
      <c r="U7123" s="88"/>
      <c r="V7123" s="88"/>
      <c r="W7123" s="88"/>
    </row>
    <row r="7124" spans="2:23" s="0" customFormat="0" ht="15">
      <c r="B7124" s="87" t="s">
        <v>1</v>
      </c>
      <c r="C7124" s="88" t="s">
        <v>5259</v>
      </c>
      <c r="D7124" s="88" t="s">
        <v>1717</v>
      </c>
      <c r="E7124" s="88" t="s">
        <v>61</v>
      </c>
      <c r="F7124" s="88">
        <v>0</v>
      </c>
      <c r="G7124" s="78">
        <f>MAX(H7124,I7124,J7124)</f>
        <v>1</v>
      </c>
      <c r="H7124" s="88"/>
      <c r="I7124" s="88"/>
      <c r="J7124" s="78">
        <f>MAX(K7124:Q7124)</f>
        <v>1</v>
      </c>
      <c r="K7124" s="88">
        <v>1</v>
      </c>
      <c r="L7124" s="88"/>
      <c r="M7124" s="88"/>
      <c r="N7124" s="88"/>
      <c r="O7124" s="88"/>
      <c r="P7124" s="88"/>
      <c r="Q7124" s="88"/>
      <c r="R7124" s="78">
        <f>MAX(S7124:W7124)</f>
        <v>0</v>
      </c>
      <c r="S7124" s="88"/>
      <c r="T7124" s="88"/>
      <c r="U7124" s="88"/>
      <c r="V7124" s="88"/>
      <c r="W7124" s="88"/>
    </row>
    <row r="7125" spans="2:23" s="0" customFormat="0" ht="15">
      <c r="B7125" s="87" t="s">
        <v>1</v>
      </c>
      <c r="C7125" s="88" t="s">
        <v>5259</v>
      </c>
      <c r="D7125" s="88" t="s">
        <v>2296</v>
      </c>
      <c r="E7125" s="88" t="s">
        <v>61</v>
      </c>
      <c r="F7125" s="88">
        <v>0</v>
      </c>
      <c r="G7125" s="78">
        <f>MAX(H7125,I7125,J7125)</f>
        <v>1</v>
      </c>
      <c r="H7125" s="88"/>
      <c r="I7125" s="88"/>
      <c r="J7125" s="78">
        <f>MAX(K7125:Q7125)</f>
        <v>1</v>
      </c>
      <c r="K7125" s="88">
        <v>1</v>
      </c>
      <c r="L7125" s="88"/>
      <c r="M7125" s="88"/>
      <c r="N7125" s="88"/>
      <c r="O7125" s="88"/>
      <c r="P7125" s="88"/>
      <c r="Q7125" s="88"/>
      <c r="R7125" s="78">
        <f>MAX(S7125:W7125)</f>
        <v>0</v>
      </c>
      <c r="S7125" s="88"/>
      <c r="T7125" s="88"/>
      <c r="U7125" s="88"/>
      <c r="V7125" s="88"/>
      <c r="W7125" s="88"/>
    </row>
    <row r="7126" spans="2:23" s="0" customFormat="0" ht="15">
      <c r="B7126" s="87" t="s">
        <v>1</v>
      </c>
      <c r="C7126" s="88" t="s">
        <v>5259</v>
      </c>
      <c r="D7126" s="88">
        <v>12365026</v>
      </c>
      <c r="E7126" s="88" t="s">
        <v>61</v>
      </c>
      <c r="F7126" s="88">
        <v>0</v>
      </c>
      <c r="G7126" s="78">
        <f>MAX(H7126,I7126,J7126)</f>
        <v>1</v>
      </c>
      <c r="H7126" s="88"/>
      <c r="I7126" s="88"/>
      <c r="J7126" s="78">
        <f>MAX(K7126:Q7126)</f>
        <v>1</v>
      </c>
      <c r="K7126" s="88">
        <v>1</v>
      </c>
      <c r="L7126" s="88"/>
      <c r="M7126" s="88"/>
      <c r="N7126" s="88"/>
      <c r="O7126" s="88"/>
      <c r="P7126" s="88"/>
      <c r="Q7126" s="88"/>
      <c r="R7126" s="78">
        <f>MAX(S7126:W7126)</f>
        <v>0</v>
      </c>
      <c r="S7126" s="88"/>
      <c r="T7126" s="88"/>
      <c r="U7126" s="88"/>
      <c r="V7126" s="88"/>
      <c r="W7126" s="88"/>
    </row>
    <row r="7127" spans="2:23" s="0" customFormat="0" ht="15">
      <c r="B7127" s="87" t="s">
        <v>1</v>
      </c>
      <c r="C7127" s="88" t="s">
        <v>5259</v>
      </c>
      <c r="D7127" s="88" t="s">
        <v>3014</v>
      </c>
      <c r="E7127" s="88" t="s">
        <v>61</v>
      </c>
      <c r="F7127" s="88">
        <v>0</v>
      </c>
      <c r="G7127" s="78">
        <f>MAX(H7127,I7127,J7127)</f>
        <v>1</v>
      </c>
      <c r="H7127" s="88"/>
      <c r="I7127" s="88"/>
      <c r="J7127" s="78">
        <f>MAX(K7127:Q7127)</f>
        <v>1</v>
      </c>
      <c r="K7127" s="88">
        <v>1</v>
      </c>
      <c r="L7127" s="88"/>
      <c r="M7127" s="88"/>
      <c r="N7127" s="88"/>
      <c r="O7127" s="88"/>
      <c r="P7127" s="88"/>
      <c r="Q7127" s="88"/>
      <c r="R7127" s="78">
        <f>MAX(S7127:W7127)</f>
        <v>0</v>
      </c>
      <c r="S7127" s="88"/>
      <c r="T7127" s="88"/>
      <c r="U7127" s="88"/>
      <c r="V7127" s="88"/>
      <c r="W7127" s="88"/>
    </row>
    <row r="7128" spans="2:23" s="0" customFormat="0" ht="15">
      <c r="B7128" s="87" t="s">
        <v>1</v>
      </c>
      <c r="C7128" s="88" t="s">
        <v>5259</v>
      </c>
      <c r="D7128" s="88" t="s">
        <v>5250</v>
      </c>
      <c r="E7128" s="88" t="s">
        <v>61</v>
      </c>
      <c r="F7128" s="88">
        <v>0</v>
      </c>
      <c r="G7128" s="78">
        <f>MAX(H7128,I7128,J7128)</f>
        <v>0</v>
      </c>
      <c r="H7128" s="88"/>
      <c r="I7128" s="88"/>
      <c r="J7128" s="78">
        <f>MAX(K7128:Q7128)</f>
        <v>0</v>
      </c>
      <c r="K7128" s="88"/>
      <c r="L7128" s="88"/>
      <c r="M7128" s="88"/>
      <c r="N7128" s="88"/>
      <c r="O7128" s="88"/>
      <c r="P7128" s="88"/>
      <c r="Q7128" s="88"/>
      <c r="R7128" s="78">
        <f>MAX(S7128:W7128)</f>
        <v>1</v>
      </c>
      <c r="S7128" s="88"/>
      <c r="T7128" s="88"/>
      <c r="U7128" s="88">
        <v>1</v>
      </c>
      <c r="V7128" s="88"/>
      <c r="W7128" s="88"/>
    </row>
    <row r="7129" spans="2:23" s="0" customFormat="0" ht="15">
      <c r="B7129" s="87" t="s">
        <v>1</v>
      </c>
      <c r="C7129" s="88" t="s">
        <v>5259</v>
      </c>
      <c r="D7129" s="88" t="s">
        <v>4911</v>
      </c>
      <c r="E7129" s="88" t="s">
        <v>61</v>
      </c>
      <c r="F7129" s="88">
        <v>0</v>
      </c>
      <c r="G7129" s="78">
        <f>MAX(H7129,I7129,J7129)</f>
        <v>0</v>
      </c>
      <c r="H7129" s="88"/>
      <c r="I7129" s="88"/>
      <c r="J7129" s="78">
        <f>MAX(K7129:Q7129)</f>
        <v>0</v>
      </c>
      <c r="K7129" s="88"/>
      <c r="L7129" s="88"/>
      <c r="M7129" s="88"/>
      <c r="N7129" s="88"/>
      <c r="O7129" s="88"/>
      <c r="P7129" s="88"/>
      <c r="Q7129" s="88"/>
      <c r="R7129" s="78">
        <f>MAX(S7129:W7129)</f>
        <v>1</v>
      </c>
      <c r="S7129" s="88"/>
      <c r="T7129" s="88"/>
      <c r="U7129" s="88">
        <v>1</v>
      </c>
      <c r="V7129" s="88"/>
      <c r="W7129" s="88"/>
    </row>
    <row r="7130" spans="2:23" s="0" customFormat="0" ht="15">
      <c r="B7130" s="87" t="s">
        <v>1</v>
      </c>
      <c r="C7130" s="88" t="s">
        <v>5259</v>
      </c>
      <c r="D7130" s="88">
        <v>13315410</v>
      </c>
      <c r="E7130" s="88" t="s">
        <v>61</v>
      </c>
      <c r="F7130" s="88">
        <v>0</v>
      </c>
      <c r="G7130" s="78">
        <f>MAX(H7130,I7130,J7130)</f>
        <v>1</v>
      </c>
      <c r="H7130" s="88"/>
      <c r="I7130" s="88"/>
      <c r="J7130" s="78">
        <f>MAX(K7130:Q7130)</f>
        <v>1</v>
      </c>
      <c r="K7130" s="88">
        <v>1</v>
      </c>
      <c r="L7130" s="88"/>
      <c r="M7130" s="88"/>
      <c r="N7130" s="88"/>
      <c r="O7130" s="88"/>
      <c r="P7130" s="88"/>
      <c r="Q7130" s="88"/>
      <c r="R7130" s="78">
        <f>MAX(S7130:W7130)</f>
        <v>0</v>
      </c>
      <c r="S7130" s="88"/>
      <c r="T7130" s="88"/>
      <c r="U7130" s="88"/>
      <c r="V7130" s="88"/>
      <c r="W7130" s="88"/>
    </row>
    <row r="7131" spans="2:23" s="0" customFormat="0" ht="15">
      <c r="B7131" s="87" t="s">
        <v>1</v>
      </c>
      <c r="C7131" s="88" t="s">
        <v>5259</v>
      </c>
      <c r="D7131" s="88">
        <v>19579227</v>
      </c>
      <c r="E7131" s="88" t="s">
        <v>61</v>
      </c>
      <c r="F7131" s="88">
        <v>0</v>
      </c>
      <c r="G7131" s="78">
        <f>MAX(H7131,I7131,J7131)</f>
        <v>1</v>
      </c>
      <c r="H7131" s="88"/>
      <c r="I7131" s="88"/>
      <c r="J7131" s="78">
        <f>MAX(K7131:Q7131)</f>
        <v>1</v>
      </c>
      <c r="K7131" s="88">
        <v>1</v>
      </c>
      <c r="L7131" s="88"/>
      <c r="M7131" s="88"/>
      <c r="N7131" s="88"/>
      <c r="O7131" s="88"/>
      <c r="P7131" s="88"/>
      <c r="Q7131" s="88"/>
      <c r="R7131" s="78">
        <f>MAX(S7131:W7131)</f>
        <v>0</v>
      </c>
      <c r="S7131" s="88"/>
      <c r="T7131" s="88"/>
      <c r="U7131" s="88"/>
      <c r="V7131" s="88"/>
      <c r="W7131" s="88"/>
    </row>
    <row r="7132" spans="2:23" s="0" customFormat="0" ht="15">
      <c r="B7132" s="87" t="s">
        <v>1</v>
      </c>
      <c r="C7132" s="88" t="s">
        <v>5259</v>
      </c>
      <c r="D7132" s="88">
        <v>23545374</v>
      </c>
      <c r="E7132" s="88" t="s">
        <v>61</v>
      </c>
      <c r="F7132" s="88">
        <v>0</v>
      </c>
      <c r="G7132" s="78">
        <f>MAX(H7132,I7132,J7132)</f>
        <v>1</v>
      </c>
      <c r="H7132" s="88"/>
      <c r="I7132" s="88"/>
      <c r="J7132" s="78">
        <f>MAX(K7132:Q7132)</f>
        <v>1</v>
      </c>
      <c r="K7132" s="88">
        <v>1</v>
      </c>
      <c r="L7132" s="88"/>
      <c r="M7132" s="88"/>
      <c r="N7132" s="88"/>
      <c r="O7132" s="88"/>
      <c r="P7132" s="88"/>
      <c r="Q7132" s="88"/>
      <c r="R7132" s="78">
        <f>MAX(S7132:W7132)</f>
        <v>0</v>
      </c>
      <c r="S7132" s="88"/>
      <c r="T7132" s="88"/>
      <c r="U7132" s="88"/>
      <c r="V7132" s="88"/>
      <c r="W7132" s="88"/>
    </row>
    <row r="7133" spans="2:23" s="0" customFormat="0" ht="15">
      <c r="B7133" s="87" t="s">
        <v>1</v>
      </c>
      <c r="C7133" s="88" t="s">
        <v>5259</v>
      </c>
      <c r="D7133" s="88" t="s">
        <v>4718</v>
      </c>
      <c r="E7133" s="88" t="s">
        <v>61</v>
      </c>
      <c r="F7133" s="88">
        <v>0</v>
      </c>
      <c r="G7133" s="78">
        <f>MAX(H7133,I7133,J7133)</f>
        <v>0</v>
      </c>
      <c r="H7133" s="88"/>
      <c r="I7133" s="88"/>
      <c r="J7133" s="78">
        <f>MAX(K7133:Q7133)</f>
        <v>0</v>
      </c>
      <c r="K7133" s="88"/>
      <c r="L7133" s="88"/>
      <c r="M7133" s="88"/>
      <c r="N7133" s="88"/>
      <c r="O7133" s="88"/>
      <c r="P7133" s="88"/>
      <c r="Q7133" s="88"/>
      <c r="R7133" s="78">
        <f>MAX(S7133:W7133)</f>
        <v>1</v>
      </c>
      <c r="S7133" s="88"/>
      <c r="T7133" s="88"/>
      <c r="U7133" s="88">
        <v>1</v>
      </c>
      <c r="V7133" s="88"/>
      <c r="W7133" s="88"/>
    </row>
    <row r="7134" spans="2:23" s="0" customFormat="0" ht="15">
      <c r="B7134" s="87" t="s">
        <v>1</v>
      </c>
      <c r="C7134" s="88" t="s">
        <v>5259</v>
      </c>
      <c r="D7134" s="88" t="s">
        <v>3008</v>
      </c>
      <c r="E7134" s="88" t="s">
        <v>61</v>
      </c>
      <c r="F7134" s="88">
        <v>0</v>
      </c>
      <c r="G7134" s="78">
        <f>MAX(H7134,I7134,J7134)</f>
        <v>1</v>
      </c>
      <c r="H7134" s="88"/>
      <c r="I7134" s="88"/>
      <c r="J7134" s="78">
        <f>MAX(K7134:Q7134)</f>
        <v>1</v>
      </c>
      <c r="K7134" s="88">
        <v>1</v>
      </c>
      <c r="L7134" s="88"/>
      <c r="M7134" s="88"/>
      <c r="N7134" s="88"/>
      <c r="O7134" s="88"/>
      <c r="P7134" s="88"/>
      <c r="Q7134" s="88"/>
      <c r="R7134" s="78">
        <f>MAX(S7134:W7134)</f>
        <v>0</v>
      </c>
      <c r="S7134" s="88"/>
      <c r="T7134" s="88"/>
      <c r="U7134" s="88"/>
      <c r="V7134" s="88"/>
      <c r="W7134" s="88"/>
    </row>
    <row r="7135" spans="2:23" s="0" customFormat="0" ht="15">
      <c r="B7135" s="87" t="s">
        <v>1</v>
      </c>
      <c r="C7135" s="88" t="s">
        <v>5259</v>
      </c>
      <c r="D7135" s="88">
        <v>16606683</v>
      </c>
      <c r="E7135" s="88" t="s">
        <v>61</v>
      </c>
      <c r="F7135" s="88">
        <v>0</v>
      </c>
      <c r="G7135" s="78">
        <f>MAX(H7135,I7135,J7135)</f>
        <v>1</v>
      </c>
      <c r="H7135" s="88"/>
      <c r="I7135" s="88"/>
      <c r="J7135" s="78">
        <f>MAX(K7135:Q7135)</f>
        <v>1</v>
      </c>
      <c r="K7135" s="88">
        <v>1</v>
      </c>
      <c r="L7135" s="88"/>
      <c r="M7135" s="88"/>
      <c r="N7135" s="88"/>
      <c r="O7135" s="88"/>
      <c r="P7135" s="88"/>
      <c r="Q7135" s="88"/>
      <c r="R7135" s="78">
        <f>MAX(S7135:W7135)</f>
        <v>0</v>
      </c>
      <c r="S7135" s="88"/>
      <c r="T7135" s="88"/>
      <c r="U7135" s="88"/>
      <c r="V7135" s="88"/>
      <c r="W7135" s="88"/>
    </row>
    <row r="7136" spans="2:23" s="0" customFormat="0" ht="15">
      <c r="B7136" s="87" t="s">
        <v>1</v>
      </c>
      <c r="C7136" s="88" t="s">
        <v>5259</v>
      </c>
      <c r="D7136" s="88" t="s">
        <v>228</v>
      </c>
      <c r="E7136" s="88" t="s">
        <v>61</v>
      </c>
      <c r="F7136" s="88">
        <v>0</v>
      </c>
      <c r="G7136" s="78">
        <f>MAX(H7136,I7136,J7136)</f>
        <v>1</v>
      </c>
      <c r="H7136" s="88"/>
      <c r="I7136" s="88"/>
      <c r="J7136" s="78">
        <f>MAX(K7136:Q7136)</f>
        <v>1</v>
      </c>
      <c r="K7136" s="88">
        <v>1</v>
      </c>
      <c r="L7136" s="88"/>
      <c r="M7136" s="88"/>
      <c r="N7136" s="88"/>
      <c r="O7136" s="88"/>
      <c r="P7136" s="88"/>
      <c r="Q7136" s="88"/>
      <c r="R7136" s="78">
        <f>MAX(S7136:W7136)</f>
        <v>0</v>
      </c>
      <c r="S7136" s="88"/>
      <c r="T7136" s="88"/>
      <c r="U7136" s="88"/>
      <c r="V7136" s="88"/>
      <c r="W7136" s="88"/>
    </row>
    <row r="7137" spans="2:23" s="0" customFormat="0" ht="15">
      <c r="B7137" s="87" t="s">
        <v>1</v>
      </c>
      <c r="C7137" s="88" t="s">
        <v>5259</v>
      </c>
      <c r="D7137" s="88">
        <v>14579747</v>
      </c>
      <c r="E7137" s="88" t="s">
        <v>61</v>
      </c>
      <c r="F7137" s="88">
        <v>0</v>
      </c>
      <c r="G7137" s="78">
        <f>MAX(H7137,I7137,J7137)</f>
        <v>1</v>
      </c>
      <c r="H7137" s="88"/>
      <c r="I7137" s="88"/>
      <c r="J7137" s="78">
        <f>MAX(K7137:Q7137)</f>
        <v>1</v>
      </c>
      <c r="K7137" s="88">
        <v>1</v>
      </c>
      <c r="L7137" s="88"/>
      <c r="M7137" s="88"/>
      <c r="N7137" s="88"/>
      <c r="O7137" s="88"/>
      <c r="P7137" s="88"/>
      <c r="Q7137" s="88"/>
      <c r="R7137" s="78">
        <f>MAX(S7137:W7137)</f>
        <v>0</v>
      </c>
      <c r="S7137" s="88"/>
      <c r="T7137" s="88"/>
      <c r="U7137" s="88"/>
      <c r="V7137" s="88"/>
      <c r="W7137" s="88"/>
    </row>
    <row r="7138" spans="2:23" s="0" customFormat="0" ht="15">
      <c r="B7138" s="87" t="s">
        <v>1</v>
      </c>
      <c r="C7138" s="88" t="s">
        <v>5259</v>
      </c>
      <c r="D7138" s="88">
        <v>3767589</v>
      </c>
      <c r="E7138" s="88" t="s">
        <v>61</v>
      </c>
      <c r="F7138" s="88">
        <v>0</v>
      </c>
      <c r="G7138" s="78">
        <f>MAX(H7138,I7138,J7138)</f>
        <v>1</v>
      </c>
      <c r="H7138" s="88"/>
      <c r="I7138" s="88"/>
      <c r="J7138" s="78">
        <f>MAX(K7138:Q7138)</f>
        <v>1</v>
      </c>
      <c r="K7138" s="88">
        <v>1</v>
      </c>
      <c r="L7138" s="88"/>
      <c r="M7138" s="88"/>
      <c r="N7138" s="88"/>
      <c r="O7138" s="88"/>
      <c r="P7138" s="88"/>
      <c r="Q7138" s="88"/>
      <c r="R7138" s="78">
        <f>MAX(S7138:W7138)</f>
        <v>0</v>
      </c>
      <c r="S7138" s="88"/>
      <c r="T7138" s="88"/>
      <c r="U7138" s="88"/>
      <c r="V7138" s="88"/>
      <c r="W7138" s="88"/>
    </row>
    <row r="7139" spans="2:23" s="0" customFormat="0" ht="15">
      <c r="B7139" s="87" t="s">
        <v>1</v>
      </c>
      <c r="C7139" s="88" t="s">
        <v>5259</v>
      </c>
      <c r="D7139" s="88">
        <v>18423593</v>
      </c>
      <c r="E7139" s="88" t="s">
        <v>61</v>
      </c>
      <c r="F7139" s="88">
        <v>0</v>
      </c>
      <c r="G7139" s="78">
        <f>MAX(H7139,I7139,J7139)</f>
        <v>0</v>
      </c>
      <c r="H7139" s="88"/>
      <c r="I7139" s="88"/>
      <c r="J7139" s="78">
        <f>MAX(K7139:Q7139)</f>
        <v>0</v>
      </c>
      <c r="K7139" s="88"/>
      <c r="L7139" s="88"/>
      <c r="M7139" s="88"/>
      <c r="N7139" s="88"/>
      <c r="O7139" s="88"/>
      <c r="P7139" s="88"/>
      <c r="Q7139" s="88"/>
      <c r="R7139" s="78">
        <f>MAX(S7139:W7139)</f>
        <v>1</v>
      </c>
      <c r="S7139" s="88"/>
      <c r="T7139" s="88"/>
      <c r="U7139" s="88">
        <v>1</v>
      </c>
      <c r="V7139" s="88"/>
      <c r="W7139" s="88"/>
    </row>
    <row r="7140" spans="2:23" s="0" customFormat="0" ht="15">
      <c r="B7140" s="87" t="s">
        <v>1</v>
      </c>
      <c r="C7140" s="88" t="s">
        <v>5259</v>
      </c>
      <c r="D7140" s="88">
        <v>10660661</v>
      </c>
      <c r="E7140" s="88" t="s">
        <v>61</v>
      </c>
      <c r="F7140" s="88">
        <v>0</v>
      </c>
      <c r="G7140" s="78">
        <f>MAX(H7140,I7140,J7140)</f>
        <v>1</v>
      </c>
      <c r="H7140" s="88"/>
      <c r="I7140" s="88"/>
      <c r="J7140" s="78">
        <f>MAX(K7140:Q7140)</f>
        <v>1</v>
      </c>
      <c r="K7140" s="88">
        <v>1</v>
      </c>
      <c r="L7140" s="88"/>
      <c r="M7140" s="88"/>
      <c r="N7140" s="88"/>
      <c r="O7140" s="88"/>
      <c r="P7140" s="88"/>
      <c r="Q7140" s="88"/>
      <c r="R7140" s="78">
        <f>MAX(S7140:W7140)</f>
        <v>0</v>
      </c>
      <c r="S7140" s="88"/>
      <c r="T7140" s="88"/>
      <c r="U7140" s="88"/>
      <c r="V7140" s="88"/>
      <c r="W7140" s="88"/>
    </row>
    <row r="7141" spans="2:23" s="0" customFormat="0" ht="15">
      <c r="B7141" s="87" t="s">
        <v>1</v>
      </c>
      <c r="C7141" s="88" t="s">
        <v>5259</v>
      </c>
      <c r="D7141" s="88" t="s">
        <v>5027</v>
      </c>
      <c r="E7141" s="88" t="s">
        <v>61</v>
      </c>
      <c r="F7141" s="88">
        <v>0</v>
      </c>
      <c r="G7141" s="78">
        <f>MAX(H7141,I7141,J7141)</f>
        <v>0</v>
      </c>
      <c r="H7141" s="88"/>
      <c r="I7141" s="88"/>
      <c r="J7141" s="78">
        <f>MAX(K7141:Q7141)</f>
        <v>0</v>
      </c>
      <c r="K7141" s="88"/>
      <c r="L7141" s="88"/>
      <c r="M7141" s="88"/>
      <c r="N7141" s="88"/>
      <c r="O7141" s="88"/>
      <c r="P7141" s="88"/>
      <c r="Q7141" s="88"/>
      <c r="R7141" s="78">
        <f>MAX(S7141:W7141)</f>
        <v>1</v>
      </c>
      <c r="S7141" s="88"/>
      <c r="T7141" s="88"/>
      <c r="U7141" s="88">
        <v>1</v>
      </c>
      <c r="V7141" s="88"/>
      <c r="W7141" s="88"/>
    </row>
    <row r="7142" spans="2:23" s="0" customFormat="0" ht="15">
      <c r="B7142" s="87" t="s">
        <v>1</v>
      </c>
      <c r="C7142" s="88" t="s">
        <v>5259</v>
      </c>
      <c r="D7142" s="88">
        <v>14087341</v>
      </c>
      <c r="E7142" s="88" t="s">
        <v>61</v>
      </c>
      <c r="F7142" s="88">
        <v>0</v>
      </c>
      <c r="G7142" s="78">
        <f>MAX(H7142,I7142,J7142)</f>
        <v>1</v>
      </c>
      <c r="H7142" s="88"/>
      <c r="I7142" s="88"/>
      <c r="J7142" s="78">
        <f>MAX(K7142:Q7142)</f>
        <v>1</v>
      </c>
      <c r="K7142" s="88">
        <v>1</v>
      </c>
      <c r="L7142" s="88"/>
      <c r="M7142" s="88"/>
      <c r="N7142" s="88"/>
      <c r="O7142" s="88"/>
      <c r="P7142" s="88"/>
      <c r="Q7142" s="88"/>
      <c r="R7142" s="78">
        <f>MAX(S7142:W7142)</f>
        <v>0</v>
      </c>
      <c r="S7142" s="88"/>
      <c r="T7142" s="88"/>
      <c r="U7142" s="88"/>
      <c r="V7142" s="88"/>
      <c r="W7142" s="88"/>
    </row>
    <row r="7143" spans="2:23" s="0" customFormat="0" ht="15">
      <c r="B7143" s="87" t="s">
        <v>1</v>
      </c>
      <c r="C7143" s="88" t="s">
        <v>5259</v>
      </c>
      <c r="D7143" s="88">
        <v>19812482</v>
      </c>
      <c r="E7143" s="88" t="s">
        <v>61</v>
      </c>
      <c r="F7143" s="88">
        <v>0</v>
      </c>
      <c r="G7143" s="78">
        <f>MAX(H7143,I7143,J7143)</f>
        <v>1</v>
      </c>
      <c r="H7143" s="88"/>
      <c r="I7143" s="88"/>
      <c r="J7143" s="78">
        <f>MAX(K7143:Q7143)</f>
        <v>1</v>
      </c>
      <c r="K7143" s="88">
        <v>1</v>
      </c>
      <c r="L7143" s="88"/>
      <c r="M7143" s="88"/>
      <c r="N7143" s="88"/>
      <c r="O7143" s="88"/>
      <c r="P7143" s="88"/>
      <c r="Q7143" s="88"/>
      <c r="R7143" s="78">
        <f>MAX(S7143:W7143)</f>
        <v>0</v>
      </c>
      <c r="S7143" s="88"/>
      <c r="T7143" s="88"/>
      <c r="U7143" s="88"/>
      <c r="V7143" s="88"/>
      <c r="W7143" s="88"/>
    </row>
    <row r="7144" spans="2:23" s="0" customFormat="0" ht="15">
      <c r="B7144" s="87" t="s">
        <v>1</v>
      </c>
      <c r="C7144" s="88" t="s">
        <v>5259</v>
      </c>
      <c r="D7144" s="88">
        <v>21736822</v>
      </c>
      <c r="E7144" s="88" t="s">
        <v>61</v>
      </c>
      <c r="F7144" s="88">
        <v>0</v>
      </c>
      <c r="G7144" s="78">
        <f>MAX(H7144,I7144,J7144)</f>
        <v>1</v>
      </c>
      <c r="H7144" s="88"/>
      <c r="I7144" s="88"/>
      <c r="J7144" s="78">
        <f>MAX(K7144:Q7144)</f>
        <v>1</v>
      </c>
      <c r="K7144" s="88">
        <v>1</v>
      </c>
      <c r="L7144" s="88"/>
      <c r="M7144" s="88"/>
      <c r="N7144" s="88"/>
      <c r="O7144" s="88"/>
      <c r="P7144" s="88"/>
      <c r="Q7144" s="88"/>
      <c r="R7144" s="78">
        <f>MAX(S7144:W7144)</f>
        <v>0</v>
      </c>
      <c r="S7144" s="88"/>
      <c r="T7144" s="88"/>
      <c r="U7144" s="88"/>
      <c r="V7144" s="88"/>
      <c r="W7144" s="88"/>
    </row>
    <row r="7145" spans="2:23" s="0" customFormat="0" ht="15">
      <c r="B7145" s="87" t="s">
        <v>1</v>
      </c>
      <c r="C7145" s="88" t="s">
        <v>5259</v>
      </c>
      <c r="D7145" s="88">
        <v>17600993</v>
      </c>
      <c r="E7145" s="88" t="s">
        <v>61</v>
      </c>
      <c r="F7145" s="88">
        <v>0</v>
      </c>
      <c r="G7145" s="78">
        <f>MAX(H7145,I7145,J7145)</f>
        <v>1</v>
      </c>
      <c r="H7145" s="88"/>
      <c r="I7145" s="88"/>
      <c r="J7145" s="78">
        <f>MAX(K7145:Q7145)</f>
        <v>1</v>
      </c>
      <c r="K7145" s="88">
        <v>1</v>
      </c>
      <c r="L7145" s="88"/>
      <c r="M7145" s="88"/>
      <c r="N7145" s="88"/>
      <c r="O7145" s="88"/>
      <c r="P7145" s="88"/>
      <c r="Q7145" s="88"/>
      <c r="R7145" s="78">
        <f>MAX(S7145:W7145)</f>
        <v>0</v>
      </c>
      <c r="S7145" s="88"/>
      <c r="T7145" s="88"/>
      <c r="U7145" s="88"/>
      <c r="V7145" s="88"/>
      <c r="W7145" s="88"/>
    </row>
    <row r="7146" spans="2:23" s="0" customFormat="0" ht="15">
      <c r="B7146" s="87" t="s">
        <v>1</v>
      </c>
      <c r="C7146" s="88" t="s">
        <v>5259</v>
      </c>
      <c r="D7146" s="88">
        <v>18647860</v>
      </c>
      <c r="E7146" s="88" t="s">
        <v>61</v>
      </c>
      <c r="F7146" s="88">
        <v>0</v>
      </c>
      <c r="G7146" s="78">
        <f>MAX(H7146,I7146,J7146)</f>
        <v>1</v>
      </c>
      <c r="H7146" s="88"/>
      <c r="I7146" s="88"/>
      <c r="J7146" s="78">
        <f>MAX(K7146:Q7146)</f>
        <v>1</v>
      </c>
      <c r="K7146" s="88">
        <v>1</v>
      </c>
      <c r="L7146" s="88"/>
      <c r="M7146" s="88"/>
      <c r="N7146" s="88"/>
      <c r="O7146" s="88"/>
      <c r="P7146" s="88"/>
      <c r="Q7146" s="88"/>
      <c r="R7146" s="78">
        <f>MAX(S7146:W7146)</f>
        <v>0</v>
      </c>
      <c r="S7146" s="88"/>
      <c r="T7146" s="88"/>
      <c r="U7146" s="88"/>
      <c r="V7146" s="88"/>
      <c r="W7146" s="88"/>
    </row>
    <row r="7147" spans="2:23" s="0" customFormat="0" ht="15">
      <c r="B7147" s="87" t="s">
        <v>1</v>
      </c>
      <c r="C7147" s="88" t="s">
        <v>5259</v>
      </c>
      <c r="D7147" s="88">
        <v>10849654</v>
      </c>
      <c r="E7147" s="88" t="s">
        <v>61</v>
      </c>
      <c r="F7147" s="88">
        <v>0</v>
      </c>
      <c r="G7147" s="78">
        <f>MAX(H7147,I7147,J7147)</f>
        <v>1</v>
      </c>
      <c r="H7147" s="88"/>
      <c r="I7147" s="88"/>
      <c r="J7147" s="78">
        <f>MAX(K7147:Q7147)</f>
        <v>1</v>
      </c>
      <c r="K7147" s="88">
        <v>1</v>
      </c>
      <c r="L7147" s="88"/>
      <c r="M7147" s="88"/>
      <c r="N7147" s="88"/>
      <c r="O7147" s="88"/>
      <c r="P7147" s="88"/>
      <c r="Q7147" s="88"/>
      <c r="R7147" s="78">
        <f>MAX(S7147:W7147)</f>
        <v>0</v>
      </c>
      <c r="S7147" s="88"/>
      <c r="T7147" s="88"/>
      <c r="U7147" s="88"/>
      <c r="V7147" s="88"/>
      <c r="W7147" s="88"/>
    </row>
    <row r="7148" spans="2:23" s="0" customFormat="0" ht="15">
      <c r="B7148" s="87" t="s">
        <v>1</v>
      </c>
      <c r="C7148" s="88" t="s">
        <v>5259</v>
      </c>
      <c r="D7148" s="88">
        <v>21329473</v>
      </c>
      <c r="E7148" s="88" t="s">
        <v>61</v>
      </c>
      <c r="F7148" s="88">
        <v>0</v>
      </c>
      <c r="G7148" s="78">
        <f>MAX(H7148,I7148,J7148)</f>
        <v>1</v>
      </c>
      <c r="H7148" s="88"/>
      <c r="I7148" s="88"/>
      <c r="J7148" s="78">
        <f>MAX(K7148:Q7148)</f>
        <v>1</v>
      </c>
      <c r="K7148" s="88">
        <v>1</v>
      </c>
      <c r="L7148" s="88"/>
      <c r="M7148" s="88"/>
      <c r="N7148" s="88"/>
      <c r="O7148" s="88"/>
      <c r="P7148" s="88"/>
      <c r="Q7148" s="88"/>
      <c r="R7148" s="78">
        <f>MAX(S7148:W7148)</f>
        <v>0</v>
      </c>
      <c r="S7148" s="88"/>
      <c r="T7148" s="88"/>
      <c r="U7148" s="88"/>
      <c r="V7148" s="88"/>
      <c r="W7148" s="88"/>
    </row>
    <row r="7149" spans="2:23" s="0" customFormat="0" ht="15">
      <c r="B7149" s="87" t="s">
        <v>1</v>
      </c>
      <c r="C7149" s="88" t="s">
        <v>5259</v>
      </c>
      <c r="D7149" s="88" t="s">
        <v>2927</v>
      </c>
      <c r="E7149" s="88" t="s">
        <v>61</v>
      </c>
      <c r="F7149" s="88">
        <v>0</v>
      </c>
      <c r="G7149" s="78">
        <f>MAX(H7149,I7149,J7149)</f>
        <v>1</v>
      </c>
      <c r="H7149" s="88"/>
      <c r="I7149" s="88"/>
      <c r="J7149" s="78">
        <f>MAX(K7149:Q7149)</f>
        <v>1</v>
      </c>
      <c r="K7149" s="88">
        <v>1</v>
      </c>
      <c r="L7149" s="88"/>
      <c r="M7149" s="88"/>
      <c r="N7149" s="88"/>
      <c r="O7149" s="88"/>
      <c r="P7149" s="88"/>
      <c r="Q7149" s="88"/>
      <c r="R7149" s="78">
        <f>MAX(S7149:W7149)</f>
        <v>0</v>
      </c>
      <c r="S7149" s="88"/>
      <c r="T7149" s="88"/>
      <c r="U7149" s="88"/>
      <c r="V7149" s="88"/>
      <c r="W7149" s="88"/>
    </row>
    <row r="7150" spans="2:23" s="0" customFormat="0" ht="15">
      <c r="B7150" s="87" t="s">
        <v>1</v>
      </c>
      <c r="C7150" s="88" t="s">
        <v>5259</v>
      </c>
      <c r="D7150" s="88" t="s">
        <v>4537</v>
      </c>
      <c r="E7150" s="88" t="s">
        <v>61</v>
      </c>
      <c r="F7150" s="88">
        <v>0</v>
      </c>
      <c r="G7150" s="78">
        <f>MAX(H7150,I7150,J7150)</f>
        <v>0</v>
      </c>
      <c r="H7150" s="88"/>
      <c r="I7150" s="88"/>
      <c r="J7150" s="78">
        <f>MAX(K7150:Q7150)</f>
        <v>0</v>
      </c>
      <c r="K7150" s="88"/>
      <c r="L7150" s="88"/>
      <c r="M7150" s="88"/>
      <c r="N7150" s="88"/>
      <c r="O7150" s="88"/>
      <c r="P7150" s="88"/>
      <c r="Q7150" s="88"/>
      <c r="R7150" s="78">
        <f>MAX(S7150:W7150)</f>
        <v>1</v>
      </c>
      <c r="S7150" s="88"/>
      <c r="T7150" s="88"/>
      <c r="U7150" s="88">
        <v>1</v>
      </c>
      <c r="V7150" s="88"/>
      <c r="W7150" s="88"/>
    </row>
    <row r="7151" spans="2:23" s="0" customFormat="0" ht="15">
      <c r="B7151" s="87" t="s">
        <v>1</v>
      </c>
      <c r="C7151" s="88" t="s">
        <v>5259</v>
      </c>
      <c r="D7151" s="88">
        <v>10740749</v>
      </c>
      <c r="E7151" s="88" t="s">
        <v>61</v>
      </c>
      <c r="F7151" s="88">
        <v>0</v>
      </c>
      <c r="G7151" s="78">
        <f>MAX(H7151,I7151,J7151)</f>
        <v>1</v>
      </c>
      <c r="H7151" s="88"/>
      <c r="I7151" s="88"/>
      <c r="J7151" s="78">
        <f>MAX(K7151:Q7151)</f>
        <v>1</v>
      </c>
      <c r="K7151" s="88"/>
      <c r="L7151" s="88"/>
      <c r="M7151" s="88">
        <v>1</v>
      </c>
      <c r="N7151" s="88"/>
      <c r="O7151" s="88"/>
      <c r="P7151" s="88"/>
      <c r="Q7151" s="88"/>
      <c r="R7151" s="78">
        <f>MAX(S7151:W7151)</f>
        <v>0</v>
      </c>
      <c r="S7151" s="88"/>
      <c r="T7151" s="88"/>
      <c r="U7151" s="88"/>
      <c r="V7151" s="88"/>
      <c r="W7151" s="88"/>
    </row>
    <row r="7152" spans="2:23" s="0" customFormat="0" ht="15">
      <c r="B7152" s="87" t="s">
        <v>1</v>
      </c>
      <c r="C7152" s="88" t="s">
        <v>5259</v>
      </c>
      <c r="D7152" s="88">
        <v>15217220</v>
      </c>
      <c r="E7152" s="88" t="s">
        <v>61</v>
      </c>
      <c r="F7152" s="88">
        <v>0</v>
      </c>
      <c r="G7152" s="78">
        <f>MAX(H7152,I7152,J7152)</f>
        <v>1</v>
      </c>
      <c r="H7152" s="88"/>
      <c r="I7152" s="88"/>
      <c r="J7152" s="78">
        <f>MAX(K7152:Q7152)</f>
        <v>1</v>
      </c>
      <c r="K7152" s="88">
        <v>1</v>
      </c>
      <c r="L7152" s="88"/>
      <c r="M7152" s="88"/>
      <c r="N7152" s="88"/>
      <c r="O7152" s="88"/>
      <c r="P7152" s="88"/>
      <c r="Q7152" s="88"/>
      <c r="R7152" s="78">
        <f>MAX(S7152:W7152)</f>
        <v>0</v>
      </c>
      <c r="S7152" s="88"/>
      <c r="T7152" s="88"/>
      <c r="U7152" s="88"/>
      <c r="V7152" s="88"/>
      <c r="W7152" s="88"/>
    </row>
    <row r="7153" spans="2:23" s="0" customFormat="0" ht="15">
      <c r="B7153" s="87" t="s">
        <v>1</v>
      </c>
      <c r="C7153" s="88" t="s">
        <v>5259</v>
      </c>
      <c r="D7153" s="88">
        <v>14553905</v>
      </c>
      <c r="E7153" s="88" t="s">
        <v>61</v>
      </c>
      <c r="F7153" s="88">
        <v>0</v>
      </c>
      <c r="G7153" s="78">
        <f>MAX(H7153,I7153,J7153)</f>
        <v>1</v>
      </c>
      <c r="H7153" s="88"/>
      <c r="I7153" s="88"/>
      <c r="J7153" s="78">
        <f>MAX(K7153:Q7153)</f>
        <v>1</v>
      </c>
      <c r="K7153" s="88">
        <v>1</v>
      </c>
      <c r="L7153" s="88"/>
      <c r="M7153" s="88"/>
      <c r="N7153" s="88"/>
      <c r="O7153" s="88"/>
      <c r="P7153" s="88"/>
      <c r="Q7153" s="88"/>
      <c r="R7153" s="78">
        <f>MAX(S7153:W7153)</f>
        <v>0</v>
      </c>
      <c r="S7153" s="88"/>
      <c r="T7153" s="88"/>
      <c r="U7153" s="88"/>
      <c r="V7153" s="88"/>
      <c r="W7153" s="88"/>
    </row>
    <row r="7154" spans="2:23" s="0" customFormat="0" ht="15">
      <c r="B7154" s="87" t="s">
        <v>1</v>
      </c>
      <c r="C7154" s="88" t="s">
        <v>5259</v>
      </c>
      <c r="D7154" s="88">
        <v>14041518</v>
      </c>
      <c r="E7154" s="88" t="s">
        <v>61</v>
      </c>
      <c r="F7154" s="88">
        <v>0</v>
      </c>
      <c r="G7154" s="78">
        <f>MAX(H7154,I7154,J7154)</f>
        <v>1</v>
      </c>
      <c r="H7154" s="88"/>
      <c r="I7154" s="88"/>
      <c r="J7154" s="78">
        <f>MAX(K7154:Q7154)</f>
        <v>1</v>
      </c>
      <c r="K7154" s="88">
        <v>1</v>
      </c>
      <c r="L7154" s="88"/>
      <c r="M7154" s="88"/>
      <c r="N7154" s="88"/>
      <c r="O7154" s="88"/>
      <c r="P7154" s="88"/>
      <c r="Q7154" s="88"/>
      <c r="R7154" s="78">
        <f>MAX(S7154:W7154)</f>
        <v>0</v>
      </c>
      <c r="S7154" s="88"/>
      <c r="T7154" s="88"/>
      <c r="U7154" s="88"/>
      <c r="V7154" s="88"/>
      <c r="W7154" s="88"/>
    </row>
    <row r="7155" spans="2:23" s="0" customFormat="0" ht="15">
      <c r="B7155" s="87" t="s">
        <v>1</v>
      </c>
      <c r="C7155" s="88" t="s">
        <v>5259</v>
      </c>
      <c r="D7155" s="88" t="s">
        <v>3378</v>
      </c>
      <c r="E7155" s="88" t="s">
        <v>61</v>
      </c>
      <c r="F7155" s="88">
        <v>0</v>
      </c>
      <c r="G7155" s="78">
        <f>MAX(H7155,I7155,J7155)</f>
        <v>0</v>
      </c>
      <c r="H7155" s="88"/>
      <c r="I7155" s="88"/>
      <c r="J7155" s="78">
        <f>MAX(K7155:Q7155)</f>
        <v>0</v>
      </c>
      <c r="K7155" s="88"/>
      <c r="L7155" s="88"/>
      <c r="M7155" s="88"/>
      <c r="N7155" s="88"/>
      <c r="O7155" s="88"/>
      <c r="P7155" s="88"/>
      <c r="Q7155" s="88"/>
      <c r="R7155" s="78">
        <f>MAX(S7155:W7155)</f>
        <v>1</v>
      </c>
      <c r="S7155" s="88"/>
      <c r="T7155" s="88"/>
      <c r="U7155" s="88">
        <v>1</v>
      </c>
      <c r="V7155" s="88"/>
      <c r="W7155" s="88"/>
    </row>
    <row r="7156" spans="2:23" s="0" customFormat="0" ht="15">
      <c r="B7156" s="87" t="s">
        <v>1</v>
      </c>
      <c r="C7156" s="88" t="s">
        <v>5259</v>
      </c>
      <c r="D7156" s="88">
        <v>14542520</v>
      </c>
      <c r="E7156" s="88" t="s">
        <v>61</v>
      </c>
      <c r="F7156" s="88">
        <v>0</v>
      </c>
      <c r="G7156" s="78">
        <f>MAX(H7156,I7156,J7156)</f>
        <v>1</v>
      </c>
      <c r="H7156" s="88"/>
      <c r="I7156" s="88"/>
      <c r="J7156" s="78">
        <f>MAX(K7156:Q7156)</f>
        <v>1</v>
      </c>
      <c r="K7156" s="88">
        <v>1</v>
      </c>
      <c r="L7156" s="88"/>
      <c r="M7156" s="88"/>
      <c r="N7156" s="88"/>
      <c r="O7156" s="88"/>
      <c r="P7156" s="88"/>
      <c r="Q7156" s="88"/>
      <c r="R7156" s="78">
        <f>MAX(S7156:W7156)</f>
        <v>0</v>
      </c>
      <c r="S7156" s="88"/>
      <c r="T7156" s="88"/>
      <c r="U7156" s="88"/>
      <c r="V7156" s="88"/>
      <c r="W7156" s="88"/>
    </row>
    <row r="7157" spans="2:23" s="0" customFormat="0" ht="15">
      <c r="B7157" s="87" t="s">
        <v>1</v>
      </c>
      <c r="C7157" s="88" t="s">
        <v>5259</v>
      </c>
      <c r="D7157" s="88">
        <v>25212139</v>
      </c>
      <c r="E7157" s="88" t="s">
        <v>61</v>
      </c>
      <c r="F7157" s="88">
        <v>0</v>
      </c>
      <c r="G7157" s="78">
        <f>MAX(H7157,I7157,J7157)</f>
        <v>1</v>
      </c>
      <c r="H7157" s="88"/>
      <c r="I7157" s="88"/>
      <c r="J7157" s="78">
        <f>MAX(K7157:Q7157)</f>
        <v>1</v>
      </c>
      <c r="K7157" s="88">
        <v>1</v>
      </c>
      <c r="L7157" s="88"/>
      <c r="M7157" s="88"/>
      <c r="N7157" s="88"/>
      <c r="O7157" s="88"/>
      <c r="P7157" s="88"/>
      <c r="Q7157" s="88"/>
      <c r="R7157" s="78">
        <f>MAX(S7157:W7157)</f>
        <v>0</v>
      </c>
      <c r="S7157" s="88"/>
      <c r="T7157" s="88"/>
      <c r="U7157" s="88"/>
      <c r="V7157" s="88"/>
      <c r="W7157" s="88"/>
    </row>
    <row r="7158" spans="2:23" s="0" customFormat="0" ht="15">
      <c r="B7158" s="87" t="s">
        <v>1</v>
      </c>
      <c r="C7158" s="88" t="s">
        <v>5259</v>
      </c>
      <c r="D7158" s="88">
        <v>14559425</v>
      </c>
      <c r="E7158" s="88" t="s">
        <v>61</v>
      </c>
      <c r="F7158" s="88">
        <v>0</v>
      </c>
      <c r="G7158" s="78">
        <f>MAX(H7158,I7158,J7158)</f>
        <v>1</v>
      </c>
      <c r="H7158" s="88"/>
      <c r="I7158" s="88"/>
      <c r="J7158" s="78">
        <f>MAX(K7158:Q7158)</f>
        <v>1</v>
      </c>
      <c r="K7158" s="88">
        <v>1</v>
      </c>
      <c r="L7158" s="88"/>
      <c r="M7158" s="88"/>
      <c r="N7158" s="88"/>
      <c r="O7158" s="88"/>
      <c r="P7158" s="88"/>
      <c r="Q7158" s="88"/>
      <c r="R7158" s="78">
        <f>MAX(S7158:W7158)</f>
        <v>0</v>
      </c>
      <c r="S7158" s="88"/>
      <c r="T7158" s="88"/>
      <c r="U7158" s="88"/>
      <c r="V7158" s="88"/>
      <c r="W7158" s="88"/>
    </row>
    <row r="7159" spans="2:23" s="0" customFormat="0" ht="15">
      <c r="B7159" s="87" t="s">
        <v>1</v>
      </c>
      <c r="C7159" s="88" t="s">
        <v>5259</v>
      </c>
      <c r="D7159" s="88">
        <v>13627396</v>
      </c>
      <c r="E7159" s="88" t="s">
        <v>61</v>
      </c>
      <c r="F7159" s="88">
        <v>0</v>
      </c>
      <c r="G7159" s="78">
        <f>MAX(H7159,I7159,J7159)</f>
        <v>1</v>
      </c>
      <c r="H7159" s="88"/>
      <c r="I7159" s="88"/>
      <c r="J7159" s="78">
        <f>MAX(K7159:Q7159)</f>
        <v>1</v>
      </c>
      <c r="K7159" s="88">
        <v>1</v>
      </c>
      <c r="L7159" s="88"/>
      <c r="M7159" s="88"/>
      <c r="N7159" s="88"/>
      <c r="O7159" s="88"/>
      <c r="P7159" s="88"/>
      <c r="Q7159" s="88"/>
      <c r="R7159" s="78">
        <f>MAX(S7159:W7159)</f>
        <v>0</v>
      </c>
      <c r="S7159" s="88"/>
      <c r="T7159" s="88"/>
      <c r="U7159" s="88"/>
      <c r="V7159" s="88"/>
      <c r="W7159" s="88"/>
    </row>
    <row r="7160" spans="2:23" s="0" customFormat="0" ht="15">
      <c r="B7160" s="87" t="s">
        <v>1</v>
      </c>
      <c r="C7160" s="88" t="s">
        <v>5259</v>
      </c>
      <c r="D7160" s="88">
        <v>13563455</v>
      </c>
      <c r="E7160" s="88" t="s">
        <v>61</v>
      </c>
      <c r="F7160" s="88">
        <v>0</v>
      </c>
      <c r="G7160" s="78">
        <f>MAX(H7160,I7160,J7160)</f>
        <v>1</v>
      </c>
      <c r="H7160" s="88"/>
      <c r="I7160" s="88"/>
      <c r="J7160" s="78">
        <f>MAX(K7160:Q7160)</f>
        <v>1</v>
      </c>
      <c r="K7160" s="88">
        <v>1</v>
      </c>
      <c r="L7160" s="88"/>
      <c r="M7160" s="88"/>
      <c r="N7160" s="88"/>
      <c r="O7160" s="88"/>
      <c r="P7160" s="88"/>
      <c r="Q7160" s="88"/>
      <c r="R7160" s="78">
        <f>MAX(S7160:W7160)</f>
        <v>0</v>
      </c>
      <c r="S7160" s="88"/>
      <c r="T7160" s="88"/>
      <c r="U7160" s="88"/>
      <c r="V7160" s="88"/>
      <c r="W7160" s="88"/>
    </row>
    <row r="7161" spans="2:23" s="0" customFormat="0" ht="15">
      <c r="B7161" s="87" t="s">
        <v>1</v>
      </c>
      <c r="C7161" s="88" t="s">
        <v>5259</v>
      </c>
      <c r="D7161" s="88" t="s">
        <v>2718</v>
      </c>
      <c r="E7161" s="88" t="s">
        <v>61</v>
      </c>
      <c r="F7161" s="88">
        <v>0</v>
      </c>
      <c r="G7161" s="78">
        <f>MAX(H7161,I7161,J7161)</f>
        <v>1</v>
      </c>
      <c r="H7161" s="88"/>
      <c r="I7161" s="88"/>
      <c r="J7161" s="78">
        <f>MAX(K7161:Q7161)</f>
        <v>1</v>
      </c>
      <c r="K7161" s="88">
        <v>1</v>
      </c>
      <c r="L7161" s="88"/>
      <c r="M7161" s="88"/>
      <c r="N7161" s="88"/>
      <c r="O7161" s="88"/>
      <c r="P7161" s="88"/>
      <c r="Q7161" s="88"/>
      <c r="R7161" s="78">
        <f>MAX(S7161:W7161)</f>
        <v>0</v>
      </c>
      <c r="S7161" s="88"/>
      <c r="T7161" s="88"/>
      <c r="U7161" s="88"/>
      <c r="V7161" s="88"/>
      <c r="W7161" s="88"/>
    </row>
    <row r="7162" spans="2:23" s="0" customFormat="0" ht="15">
      <c r="B7162" s="87" t="s">
        <v>1</v>
      </c>
      <c r="C7162" s="88" t="s">
        <v>5259</v>
      </c>
      <c r="D7162" s="88" t="s">
        <v>827</v>
      </c>
      <c r="E7162" s="88" t="s">
        <v>61</v>
      </c>
      <c r="F7162" s="88">
        <v>0</v>
      </c>
      <c r="G7162" s="78">
        <f>MAX(H7162,I7162,J7162)</f>
        <v>1</v>
      </c>
      <c r="H7162" s="88"/>
      <c r="I7162" s="88"/>
      <c r="J7162" s="78">
        <f>MAX(K7162:Q7162)</f>
        <v>1</v>
      </c>
      <c r="K7162" s="88">
        <v>1</v>
      </c>
      <c r="L7162" s="88"/>
      <c r="M7162" s="88"/>
      <c r="N7162" s="88"/>
      <c r="O7162" s="88"/>
      <c r="P7162" s="88"/>
      <c r="Q7162" s="88"/>
      <c r="R7162" s="78">
        <f>MAX(S7162:W7162)</f>
        <v>0</v>
      </c>
      <c r="S7162" s="88"/>
      <c r="T7162" s="88"/>
      <c r="U7162" s="88"/>
      <c r="V7162" s="88"/>
      <c r="W7162" s="88"/>
    </row>
  </sheetData>
  <pageMargins left="0.75" right="0.75" top="1" bottom="1" header="0.5" footer="0.5"/>
  <headerFooter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3"/>
  <dimension ref="A1:J17"/>
  <sheetViews>
    <sheetView showGridLines="0" workbookViewId="0"/>
  </sheetViews>
  <sheetFormatPr defaultColWidth="9.1484375" defaultRowHeight="12.75" customHeight="0"/>
  <cols>
    <col min="2" max="2" width="26.7109375" hidden="1" style="1" customWidth="1"/>
    <col min="3" max="3" width="26.28515625" style="1" customWidth="1"/>
    <col min="4" max="4" width="44.85546875" style="1" customWidth="1"/>
    <col min="5" max="5" width="24.7109375" style="1" customWidth="1"/>
    <col min="10" max="10" width="53.85546875" style="1" customWidth="1"/>
  </cols>
  <sheetData>
    <row r="1" spans="2:5" s="0" customFormat="0" ht="15">
      <c r="B1" s="1"/>
      <c r="C1" s="1"/>
      <c r="D1" s="1"/>
      <c r="E1" s="1"/>
    </row>
    <row r="2" spans="1:10" s="0" customFormat="0" ht="15">
      <c r="A2" s="5"/>
      <c r="B2" s="5" t="s">
        <v>5261</v>
      </c>
      <c r="C2" s="31"/>
      <c r="D2" s="32"/>
      <c r="E2" s="33"/>
      <c r="F2" s="5"/>
      <c r="I2" s="19" t="s">
        <v>2</v>
      </c>
      <c r="J2" s="5"/>
    </row>
    <row r="3" spans="1:10" s="0" customFormat="0" ht="15">
      <c r="A3" s="5"/>
      <c r="B3" s="29" t="s">
        <v>5262</v>
      </c>
      <c r="C3" s="119" t="s">
        <v>10</v>
      </c>
      <c r="D3" s="120" t="s">
        <v>49</v>
      </c>
      <c r="E3" s="121" t="s">
        <v>173</v>
      </c>
      <c r="F3" s="5"/>
      <c r="I3" s="59"/>
      <c r="J3" s="24" t="s">
        <v>5</v>
      </c>
    </row>
    <row r="4" spans="1:10" s="0" customFormat="0" ht="15">
      <c r="A4" s="5"/>
      <c r="B4" s="30" t="str">
        <f>C4&amp;D4</f>
        <v>RC630LU0003_ANN</v>
      </c>
      <c r="C4" s="69" t="s">
        <v>1</v>
      </c>
      <c r="D4" s="70" t="s">
        <v>52</v>
      </c>
      <c r="E4" s="72">
        <f>IF(VLOOKUP(C4&amp;"_"&amp;D4,CSRF_ManAdj,5,0)="",VLOOKUP(C4&amp;"_"&amp;D4,CSRF_ManAdj,6,0),VLOOKUP(C4&amp;"_"&amp;D4,CSRF_ManAdj,5,0))</f>
        <v>0</v>
      </c>
      <c r="F4" s="5"/>
      <c r="I4" s="60"/>
      <c r="J4" s="24" t="s">
        <v>8</v>
      </c>
    </row>
    <row r="5" spans="1:10" s="0" customFormat="0" ht="15">
      <c r="A5" s="5"/>
      <c r="B5" s="30" t="str">
        <f>C5&amp;D5</f>
        <v>RC630LU0003_Fund_dummy</v>
      </c>
      <c r="C5" s="69" t="s">
        <v>1</v>
      </c>
      <c r="D5" s="70" t="s">
        <v>53</v>
      </c>
      <c r="E5" s="72">
        <f>IF(VLOOKUP(C5&amp;"_"&amp;D5,CSRF_ManAdj,5,0)="",VLOOKUP(C5&amp;"_"&amp;D5,CSRF_ManAdj,6,0),VLOOKUP(C5&amp;"_"&amp;D5,CSRF_ManAdj,5,0))</f>
        <v>0</v>
      </c>
      <c r="F5" s="5"/>
      <c r="I5" s="61"/>
      <c r="J5" s="24" t="s">
        <v>11</v>
      </c>
    </row>
    <row r="6" spans="1:10" s="0" customFormat="0" ht="15">
      <c r="A6" s="5"/>
      <c r="B6" s="30" t="str">
        <f>C6&amp;D6</f>
        <v>RC630LU0003_CDFIN</v>
      </c>
      <c r="C6" s="69" t="s">
        <v>1</v>
      </c>
      <c r="D6" s="70" t="s">
        <v>54</v>
      </c>
      <c r="E6" s="72">
        <f>IF(VLOOKUP(C6&amp;"_"&amp;D6,CSRF_ManAdj,5,0)="",VLOOKUP(C6&amp;"_"&amp;D6,CSRF_ManAdj,6,0),VLOOKUP(C6&amp;"_"&amp;D6,CSRF_ManAdj,5,0))</f>
        <v>0</v>
      </c>
      <c r="F6" s="5"/>
      <c r="I6" s="62"/>
      <c r="J6" s="24" t="s">
        <v>14</v>
      </c>
    </row>
    <row r="7" spans="1:10" s="0" customFormat="0" ht="15">
      <c r="A7" s="5"/>
      <c r="B7" s="30" t="str">
        <f>C7&amp;D7</f>
        <v>RC630LU0003_LXCLA</v>
      </c>
      <c r="C7" s="69" t="s">
        <v>1</v>
      </c>
      <c r="D7" s="70" t="s">
        <v>55</v>
      </c>
      <c r="E7" s="72">
        <f>IF(VLOOKUP(C7&amp;"_"&amp;D7,CSRF_ManAdj,5,0)="",VLOOKUP(C7&amp;"_"&amp;D7,CSRF_ManAdj,6,0),VLOOKUP(C7&amp;"_"&amp;D7,CSRF_ManAdj,5,0))</f>
        <v>0.14144277112511686</v>
      </c>
      <c r="F7" s="5"/>
      <c r="J7" s="1"/>
    </row>
    <row r="8" spans="2:5" s="0" customFormat="0" ht="15">
      <c r="B8" s="30" t="str">
        <f>C8&amp;D8</f>
        <v>RC630LU0003_AZFR</v>
      </c>
      <c r="C8" s="69" t="s">
        <v>1</v>
      </c>
      <c r="D8" s="70" t="s">
        <v>56</v>
      </c>
      <c r="E8" s="72">
        <f>IF(VLOOKUP(C8&amp;"_"&amp;D8,CSRF_ManAdj,5,0)="",VLOOKUP(C8&amp;"_"&amp;D8,CSRF_ManAdj,6,0),VLOOKUP(C8&amp;"_"&amp;D8,CSRF_ManAdj,5,0))</f>
        <v>0</v>
      </c>
    </row>
    <row r="9" spans="2:5" s="0" customFormat="0" ht="15">
      <c r="B9" s="30" t="str">
        <f>C9&amp;D9</f>
        <v>RC630LU0003_UL</v>
      </c>
      <c r="C9" s="69" t="s">
        <v>1</v>
      </c>
      <c r="D9" s="70" t="s">
        <v>57</v>
      </c>
      <c r="E9" s="72">
        <f>IF(VLOOKUP(C9&amp;"_"&amp;D9,CSRF_ManAdj,5,0)="",VLOOKUP(C9&amp;"_"&amp;D9,CSRF_ManAdj,6,0),VLOOKUP(C9&amp;"_"&amp;D9,CSRF_ManAdj,5,0))</f>
        <v>0</v>
      </c>
    </row>
    <row r="10" spans="2:5" s="0" customFormat="0" ht="15">
      <c r="B10" s="30" t="str">
        <f>C10&amp;D10</f>
        <v>RC630LU0003_LXFP</v>
      </c>
      <c r="C10" s="69" t="s">
        <v>1</v>
      </c>
      <c r="D10" s="70" t="s">
        <v>58</v>
      </c>
      <c r="E10" s="72">
        <f>IF(VLOOKUP(C10&amp;"_"&amp;D10,CSRF_ManAdj,5,0)="",VLOOKUP(C10&amp;"_"&amp;D10,CSRF_ManAdj,6,0),VLOOKUP(C10&amp;"_"&amp;D10,CSRF_ManAdj,5,0))</f>
        <v>0</v>
      </c>
    </row>
    <row r="11" spans="2:5" s="0" customFormat="0" ht="15">
      <c r="B11" s="30" t="str">
        <f>C11&amp;D11</f>
        <v>RC630LU0003_LXCLAWOPB</v>
      </c>
      <c r="C11" s="69" t="s">
        <v>1</v>
      </c>
      <c r="D11" s="70" t="s">
        <v>59</v>
      </c>
      <c r="E11" s="72">
        <f>IF(VLOOKUP(C11&amp;"_"&amp;D11,CSRF_ManAdj,5,0)="",VLOOKUP(C11&amp;"_"&amp;D11,CSRF_ManAdj,6,0),VLOOKUP(C11&amp;"_"&amp;D11,CSRF_ManAdj,5,0))</f>
        <v>0</v>
      </c>
    </row>
    <row r="12" spans="2:5" s="0" customFormat="0" ht="15">
      <c r="B12" s="30" t="str">
        <f>C12&amp;D12</f>
        <v>RC630LU0003_exNemian</v>
      </c>
      <c r="C12" s="69" t="s">
        <v>1</v>
      </c>
      <c r="D12" s="70" t="s">
        <v>60</v>
      </c>
      <c r="E12" s="72">
        <f>IF(VLOOKUP(C12&amp;"_"&amp;D12,CSRF_ManAdj,5,0)="",VLOOKUP(C12&amp;"_"&amp;D12,CSRF_ManAdj,6,0),VLOOKUP(C12&amp;"_"&amp;D12,CSRF_ManAdj,5,0))</f>
        <v>0</v>
      </c>
    </row>
    <row r="13" spans="2:5" s="0" customFormat="0" ht="15">
      <c r="B13" s="30" t="str">
        <f>C13&amp;D13</f>
        <v>RC630LU0003_LXEUR</v>
      </c>
      <c r="C13" s="69" t="s">
        <v>1</v>
      </c>
      <c r="D13" s="70" t="s">
        <v>61</v>
      </c>
      <c r="E13" s="72">
        <f>IF(VLOOKUP(C13&amp;"_"&amp;D13,CSRF_ManAdj,5,0)="",VLOOKUP(C13&amp;"_"&amp;D13,CSRF_ManAdj,6,0),VLOOKUP(C13&amp;"_"&amp;D13,CSRF_ManAdj,5,0))</f>
        <v>0.054776304963434752</v>
      </c>
    </row>
    <row r="14" spans="2:5" s="0" customFormat="0" ht="15">
      <c r="B14" s="5"/>
      <c r="C14" s="5"/>
      <c r="D14" s="5"/>
      <c r="E14" s="5"/>
    </row>
    <row r="15" spans="2:5" s="0" customFormat="0" ht="15">
      <c r="B15" s="5"/>
      <c r="C15" s="5"/>
      <c r="D15" s="5"/>
      <c r="E15" s="5"/>
    </row>
    <row r="16" spans="2:5" s="0" customFormat="0" ht="15">
      <c r="B16" s="5"/>
      <c r="C16" s="5"/>
      <c r="D16" s="5"/>
      <c r="E16" s="5"/>
    </row>
    <row r="17" spans="2:5" s="0" customFormat="0" ht="15">
      <c r="B17" s="1"/>
      <c r="C17" s="1"/>
      <c r="D17" s="1"/>
      <c r="E17" s="1"/>
    </row>
  </sheetData>
  <pageMargins left="0.75" right="0.75" top="1" bottom="1" header="0.5" footer="0.5"/>
  <headerFooter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6"/>
  <dimension ref="B2:J51"/>
  <sheetViews>
    <sheetView showGridLines="0" workbookViewId="0"/>
  </sheetViews>
  <sheetFormatPr defaultColWidth="9.14453125" defaultRowHeight="12.75" customHeight="0"/>
  <cols>
    <col min="2" max="2" width="7.99609375" style="1" customWidth="1"/>
    <col min="3" max="3" width="27.28515625" style="1" customWidth="1"/>
    <col min="4" max="4" width="31.85546875" style="1" customWidth="1"/>
    <col min="5" max="5" width="9.28125" style="1" customWidth="1"/>
    <col min="10" max="10" width="53.85546875" style="1" customWidth="1"/>
  </cols>
  <sheetData>
    <row r="1" s="0" customFormat="0" ht="15"/>
    <row r="2" spans="2:10" s="0" customFormat="0" ht="15">
      <c r="B2" s="212" t="s">
        <v>5263</v>
      </c>
      <c r="C2" s="212"/>
      <c r="D2" s="212"/>
      <c r="E2" s="212"/>
      <c r="I2" s="19" t="s">
        <v>2</v>
      </c>
      <c r="J2" s="5"/>
    </row>
    <row r="3" spans="2:10" s="0" customFormat="0" ht="39">
      <c r="B3" s="115" t="s">
        <v>166</v>
      </c>
      <c r="C3" s="115" t="s">
        <v>5264</v>
      </c>
      <c r="D3" s="115" t="s">
        <v>5265</v>
      </c>
      <c r="E3" s="115" t="s">
        <v>5266</v>
      </c>
      <c r="I3" s="59"/>
      <c r="J3" s="24" t="s">
        <v>5</v>
      </c>
    </row>
    <row r="4" spans="2:10" s="0" customFormat="0" ht="15">
      <c r="B4" s="9">
        <v>5</v>
      </c>
      <c r="C4" s="10">
        <v>21</v>
      </c>
      <c r="D4" s="10">
        <v>100000</v>
      </c>
      <c r="E4" s="10">
        <v>20</v>
      </c>
      <c r="I4" s="60"/>
      <c r="J4" s="24" t="s">
        <v>8</v>
      </c>
    </row>
    <row r="5" spans="2:10" s="0" customFormat="0" ht="15">
      <c r="B5" s="9">
        <v>4</v>
      </c>
      <c r="C5" s="10">
        <v>16</v>
      </c>
      <c r="D5" s="10">
        <v>20</v>
      </c>
      <c r="E5" s="10">
        <v>15</v>
      </c>
      <c r="I5" s="61"/>
      <c r="J5" s="24" t="s">
        <v>11</v>
      </c>
    </row>
    <row r="6" spans="2:10" s="0" customFormat="0" ht="15">
      <c r="B6" s="9">
        <v>3</v>
      </c>
      <c r="C6" s="10">
        <v>11</v>
      </c>
      <c r="D6" s="10">
        <v>15</v>
      </c>
      <c r="E6" s="10">
        <v>10</v>
      </c>
      <c r="I6" s="62"/>
      <c r="J6" s="24" t="s">
        <v>14</v>
      </c>
    </row>
    <row r="7" spans="2:10" s="0" customFormat="0" ht="15">
      <c r="B7" s="9">
        <v>2</v>
      </c>
      <c r="C7" s="10">
        <v>6</v>
      </c>
      <c r="D7" s="10">
        <v>10</v>
      </c>
      <c r="E7" s="10">
        <v>5</v>
      </c>
      <c r="J7" s="1"/>
    </row>
    <row r="8" spans="2:5" s="0" customFormat="0" ht="15">
      <c r="B8" s="9">
        <v>1</v>
      </c>
      <c r="C8" s="10">
        <v>0</v>
      </c>
      <c r="D8" s="10">
        <v>5</v>
      </c>
      <c r="E8" s="10">
        <v>0</v>
      </c>
    </row>
    <row r="9" s="0" customFormat="0" ht="15"/>
    <row r="10" spans="2:4" s="0" customFormat="0" ht="15">
      <c r="B10" s="8"/>
      <c r="C10" s="8"/>
      <c r="D10" s="8"/>
    </row>
    <row r="11" spans="2:4" s="0" customFormat="0" ht="15">
      <c r="B11" s="213" t="s">
        <v>5267</v>
      </c>
      <c r="C11" s="213"/>
      <c r="D11" s="8"/>
    </row>
    <row r="12" spans="2:4" s="0" customFormat="0" ht="15">
      <c r="B12" s="9"/>
      <c r="C12" s="10" t="s">
        <v>5256</v>
      </c>
      <c r="D12" s="8"/>
    </row>
    <row r="13" spans="2:4" s="0" customFormat="0" ht="15">
      <c r="B13" s="9"/>
      <c r="C13" s="10" t="s">
        <v>5257</v>
      </c>
      <c r="D13" s="8"/>
    </row>
    <row r="14" spans="2:4" s="0" customFormat="0" ht="15">
      <c r="B14" s="9"/>
      <c r="C14" s="10" t="s">
        <v>3288</v>
      </c>
      <c r="D14" s="8"/>
    </row>
    <row r="15" spans="2:4" s="0" customFormat="0" ht="15">
      <c r="B15" s="9"/>
      <c r="C15" s="10" t="s">
        <v>3191</v>
      </c>
      <c r="D15" s="8"/>
    </row>
    <row r="16" spans="2:4" s="0" customFormat="0" ht="15">
      <c r="B16" s="9"/>
      <c r="C16" s="10" t="s">
        <v>5258</v>
      </c>
      <c r="D16" s="8"/>
    </row>
    <row r="17" spans="2:4" s="0" customFormat="0" ht="15">
      <c r="B17" s="8"/>
      <c r="C17" s="8"/>
      <c r="D17" s="8"/>
    </row>
    <row r="18" spans="2:4" s="0" customFormat="0" ht="15">
      <c r="B18" s="116" t="s">
        <v>161</v>
      </c>
      <c r="C18" s="116" t="s">
        <v>5268</v>
      </c>
      <c r="D18" s="8"/>
    </row>
    <row r="19" spans="2:4" s="0" customFormat="0" ht="15">
      <c r="B19" s="9" t="s">
        <v>216</v>
      </c>
      <c r="C19" s="10">
        <v>0</v>
      </c>
      <c r="D19" s="8"/>
    </row>
    <row r="20" spans="2:4" s="0" customFormat="0" ht="15">
      <c r="B20" s="9" t="s">
        <v>220</v>
      </c>
      <c r="C20" s="10">
        <v>1</v>
      </c>
      <c r="D20" s="8"/>
    </row>
    <row r="21" spans="2:4" s="0" customFormat="0" ht="15">
      <c r="B21" s="9" t="s">
        <v>188</v>
      </c>
      <c r="C21" s="10">
        <v>2</v>
      </c>
      <c r="D21" s="8"/>
    </row>
    <row r="22" spans="2:4" s="0" customFormat="0" ht="15">
      <c r="B22" s="9" t="s">
        <v>181</v>
      </c>
      <c r="C22" s="10">
        <v>3</v>
      </c>
      <c r="D22" s="8"/>
    </row>
    <row r="23" spans="2:4" s="0" customFormat="0" ht="15">
      <c r="B23" s="9" t="s">
        <v>179</v>
      </c>
      <c r="C23" s="10">
        <v>4</v>
      </c>
      <c r="D23" s="8"/>
    </row>
    <row r="24" spans="2:4" s="0" customFormat="0" ht="15">
      <c r="B24" s="9" t="s">
        <v>184</v>
      </c>
      <c r="C24" s="10">
        <v>5</v>
      </c>
      <c r="D24" s="8"/>
    </row>
    <row r="25" spans="2:4" s="0" customFormat="0" ht="15">
      <c r="B25" s="9" t="s">
        <v>204</v>
      </c>
      <c r="C25" s="10">
        <v>6</v>
      </c>
      <c r="D25" s="8"/>
    </row>
    <row r="26" spans="2:4" s="0" customFormat="0" ht="15">
      <c r="B26" s="9" t="s">
        <v>3298</v>
      </c>
      <c r="C26" s="10">
        <v>6</v>
      </c>
      <c r="D26" s="8"/>
    </row>
    <row r="27" spans="2:4" s="0" customFormat="0" ht="15">
      <c r="B27" s="9" t="s">
        <v>513</v>
      </c>
      <c r="C27" s="10">
        <v>6</v>
      </c>
      <c r="D27" s="8"/>
    </row>
    <row r="28" spans="2:4" s="0" customFormat="0" ht="15">
      <c r="B28" s="9" t="s">
        <v>5269</v>
      </c>
      <c r="C28" s="10">
        <v>6</v>
      </c>
      <c r="D28" s="8"/>
    </row>
    <row r="29" spans="2:4" s="0" customFormat="0" ht="15">
      <c r="B29" s="9" t="s">
        <v>5270</v>
      </c>
      <c r="C29" s="10">
        <v>6</v>
      </c>
      <c r="D29" s="8"/>
    </row>
    <row r="30" spans="2:4" s="0" customFormat="0" ht="15">
      <c r="B30" s="9" t="s">
        <v>3291</v>
      </c>
      <c r="C30" s="10">
        <v>6</v>
      </c>
      <c r="D30" s="8"/>
    </row>
    <row r="31" spans="2:4" s="0" customFormat="0" ht="15">
      <c r="B31" s="9" t="s">
        <v>198</v>
      </c>
      <c r="C31" s="10" t="s">
        <v>146</v>
      </c>
      <c r="D31" s="8"/>
    </row>
    <row r="32" spans="2:4" s="0" customFormat="0" ht="15">
      <c r="B32" s="8"/>
      <c r="C32" s="8"/>
      <c r="D32" s="8"/>
    </row>
    <row r="33" spans="2:4" s="0" customFormat="0" ht="15">
      <c r="B33" s="117" t="s">
        <v>64</v>
      </c>
      <c r="C33" s="118" t="s">
        <v>5271</v>
      </c>
      <c r="D33" s="116" t="s">
        <v>3</v>
      </c>
    </row>
    <row r="34" spans="2:4" s="0" customFormat="0" ht="15">
      <c r="B34" s="51" t="s">
        <v>5272</v>
      </c>
      <c r="C34" s="50" t="s">
        <v>5273</v>
      </c>
      <c r="D34" s="50" t="s">
        <v>5274</v>
      </c>
    </row>
    <row r="35" spans="2:4" s="0" customFormat="0" ht="15">
      <c r="B35" s="51" t="s">
        <v>5272</v>
      </c>
      <c r="C35" s="50" t="s">
        <v>5275</v>
      </c>
      <c r="D35" s="50" t="s">
        <v>5276</v>
      </c>
    </row>
    <row r="36" spans="2:3" s="0" customFormat="0" ht="15">
      <c r="B36" s="1"/>
      <c r="C36" s="1"/>
    </row>
    <row r="37" spans="2:3" s="0" customFormat="0" ht="15">
      <c r="B37" s="213" t="s">
        <v>3181</v>
      </c>
      <c r="C37" s="213"/>
    </row>
    <row r="38" spans="2:3" s="0" customFormat="0" ht="15">
      <c r="B38" s="116" t="s">
        <v>161</v>
      </c>
      <c r="C38" s="116" t="s">
        <v>5277</v>
      </c>
    </row>
    <row r="39" spans="2:3" s="0" customFormat="0" ht="15">
      <c r="B39" s="9" t="s">
        <v>216</v>
      </c>
      <c r="C39" s="10">
        <v>2</v>
      </c>
    </row>
    <row r="40" spans="2:3" s="0" customFormat="0" ht="15">
      <c r="B40" s="9" t="s">
        <v>220</v>
      </c>
      <c r="C40" s="10">
        <v>2</v>
      </c>
    </row>
    <row r="41" spans="2:3" s="0" customFormat="0" ht="15">
      <c r="B41" s="9" t="s">
        <v>188</v>
      </c>
      <c r="C41" s="10">
        <v>2</v>
      </c>
    </row>
    <row r="42" spans="2:3" s="0" customFormat="0" ht="15">
      <c r="B42" s="9" t="s">
        <v>181</v>
      </c>
      <c r="C42" s="10">
        <v>2</v>
      </c>
    </row>
    <row r="43" spans="2:3" s="0" customFormat="0" ht="15">
      <c r="B43" s="9" t="s">
        <v>179</v>
      </c>
      <c r="C43" s="10">
        <v>2</v>
      </c>
    </row>
    <row r="44" spans="2:3" s="0" customFormat="0" ht="15">
      <c r="B44" s="9" t="s">
        <v>184</v>
      </c>
      <c r="C44" s="10">
        <v>2</v>
      </c>
    </row>
    <row r="45" spans="2:3" s="0" customFormat="0" ht="15">
      <c r="B45" s="9" t="s">
        <v>204</v>
      </c>
      <c r="C45" s="10">
        <v>2</v>
      </c>
    </row>
    <row r="46" spans="2:3" s="0" customFormat="0" ht="15">
      <c r="B46" s="9" t="s">
        <v>3298</v>
      </c>
      <c r="C46" s="10">
        <v>2</v>
      </c>
    </row>
    <row r="47" spans="2:3" s="0" customFormat="0" ht="15">
      <c r="B47" s="9" t="s">
        <v>513</v>
      </c>
      <c r="C47" s="10">
        <v>2</v>
      </c>
    </row>
    <row r="48" spans="2:3" s="0" customFormat="0" ht="15">
      <c r="B48" s="9" t="s">
        <v>5269</v>
      </c>
      <c r="C48" s="10">
        <v>2</v>
      </c>
    </row>
    <row r="49" spans="2:3" s="0" customFormat="0" ht="15">
      <c r="B49" s="9" t="s">
        <v>5270</v>
      </c>
      <c r="C49" s="10">
        <v>2</v>
      </c>
    </row>
    <row r="50" spans="2:3" s="0" customFormat="0" ht="15">
      <c r="B50" s="9" t="s">
        <v>3291</v>
      </c>
      <c r="C50" s="10">
        <v>2</v>
      </c>
    </row>
    <row r="51" spans="2:3" s="0" customFormat="0" ht="15">
      <c r="B51" s="9" t="s">
        <v>198</v>
      </c>
      <c r="C51" s="10">
        <v>2</v>
      </c>
    </row>
  </sheetData>
  <mergeCells count="3">
    <mergeCell ref="B2:E2"/>
    <mergeCell ref="B11:C11"/>
    <mergeCell ref="B37:C37"/>
  </mergeCells>
  <pageMargins left="0.75" right="0.75" top="1" bottom="1" header="0.5" footer="0.5"/>
  <headerFooter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7"/>
  <dimension ref="B2:V177"/>
  <sheetViews>
    <sheetView showGridLines="0" workbookViewId="0"/>
  </sheetViews>
  <sheetFormatPr defaultColWidth="9.14453125" defaultRowHeight="12.75" customHeight="0"/>
  <cols>
    <col min="2" max="2" width="8.7109375" style="1" customWidth="1"/>
    <col min="3" max="3" width="14.71484375" style="1" customWidth="1"/>
    <col min="4" max="4" width="10.5703125" style="1" customWidth="1"/>
    <col min="5" max="12" width="8.7109375" style="1" customWidth="1"/>
    <col min="13" max="13" width="17.28515625" style="1" customWidth="1"/>
    <col min="14" max="14" width="21.4296875" style="1" customWidth="1"/>
    <col min="15" max="15" width="8.7109375" style="1" customWidth="1"/>
    <col min="16" max="16" width="15.5703125" style="1" customWidth="1"/>
    <col min="17" max="17" width="16.28515625" style="1" customWidth="1"/>
  </cols>
  <sheetData>
    <row r="1" s="0" customFormat="0" ht="15"/>
    <row r="2" spans="2:22" s="0" customFormat="0" ht="15">
      <c r="B2" s="214" t="s">
        <v>5278</v>
      </c>
      <c r="C2" s="215"/>
      <c r="D2" s="215"/>
      <c r="E2" s="215"/>
      <c r="F2" s="215"/>
      <c r="G2" s="215"/>
      <c r="H2" s="215"/>
      <c r="I2" s="215"/>
      <c r="J2" s="215"/>
      <c r="K2" s="215"/>
      <c r="L2" s="214"/>
      <c r="M2" s="215"/>
      <c r="N2" s="215"/>
      <c r="O2" s="215"/>
      <c r="P2" s="215"/>
      <c r="Q2" s="215"/>
      <c r="R2" s="17"/>
      <c r="U2" s="19" t="s">
        <v>2</v>
      </c>
      <c r="V2" s="16"/>
    </row>
    <row r="3" spans="21:22" s="0" customFormat="0" ht="15">
      <c r="U3" s="34"/>
      <c r="V3" s="18" t="s">
        <v>5</v>
      </c>
    </row>
    <row r="4" spans="2:22" s="0" customFormat="0" ht="15">
      <c r="B4" s="214" t="s">
        <v>5279</v>
      </c>
      <c r="C4" s="215"/>
      <c r="D4" s="215"/>
      <c r="E4" s="215"/>
      <c r="F4" s="215"/>
      <c r="G4" s="215"/>
      <c r="H4" s="215"/>
      <c r="I4" s="215"/>
      <c r="J4" s="215"/>
      <c r="K4" s="215"/>
      <c r="M4" s="216" t="s">
        <v>5280</v>
      </c>
      <c r="N4" s="216"/>
      <c r="O4" s="216"/>
      <c r="P4" s="216"/>
      <c r="Q4" s="216"/>
      <c r="U4" s="35"/>
      <c r="V4" s="18" t="s">
        <v>8</v>
      </c>
    </row>
    <row r="5" spans="2:22" s="0" customFormat="0" ht="15">
      <c r="B5" s="100" t="s">
        <v>5281</v>
      </c>
      <c r="C5" s="100" t="s">
        <v>5282</v>
      </c>
      <c r="D5" s="100">
        <v>0</v>
      </c>
      <c r="E5" s="100">
        <v>1</v>
      </c>
      <c r="F5" s="100">
        <v>2</v>
      </c>
      <c r="G5" s="100">
        <v>3</v>
      </c>
      <c r="H5" s="100">
        <v>4</v>
      </c>
      <c r="I5" s="100">
        <v>5</v>
      </c>
      <c r="J5" s="100">
        <v>6</v>
      </c>
      <c r="K5" s="100" t="s">
        <v>146</v>
      </c>
      <c r="M5" s="213" t="s">
        <v>3288</v>
      </c>
      <c r="N5" s="213"/>
      <c r="O5" s="107"/>
      <c r="P5" s="213" t="s">
        <v>5258</v>
      </c>
      <c r="Q5" s="213"/>
      <c r="U5" s="36"/>
      <c r="V5" s="18" t="s">
        <v>11</v>
      </c>
    </row>
    <row r="6" spans="2:22" s="0" customFormat="0" ht="15">
      <c r="B6" s="3">
        <v>1</v>
      </c>
      <c r="C6" s="55" t="s">
        <v>5283</v>
      </c>
      <c r="D6" s="56">
        <v>0.0090000000000000016</v>
      </c>
      <c r="E6" s="56">
        <v>0.011000000000000002</v>
      </c>
      <c r="F6" s="56">
        <v>0.013999999999999998</v>
      </c>
      <c r="G6" s="56">
        <v>0.025</v>
      </c>
      <c r="H6" s="56">
        <v>0.045</v>
      </c>
      <c r="I6" s="56">
        <v>0.075</v>
      </c>
      <c r="J6" s="56">
        <v>0.075</v>
      </c>
      <c r="K6" s="56">
        <v>0.03</v>
      </c>
      <c r="M6" s="213" t="s">
        <v>5284</v>
      </c>
      <c r="N6" s="213"/>
      <c r="O6" s="107"/>
      <c r="P6" s="213" t="s">
        <v>5285</v>
      </c>
      <c r="Q6" s="213"/>
      <c r="U6" s="37"/>
      <c r="V6" s="18" t="s">
        <v>14</v>
      </c>
    </row>
    <row r="7" spans="2:17" s="0" customFormat="0" ht="15">
      <c r="B7" s="3">
        <v>2</v>
      </c>
      <c r="C7" s="55" t="s">
        <v>5286</v>
      </c>
      <c r="D7" s="56">
        <v>0.005</v>
      </c>
      <c r="E7" s="56">
        <v>0.006</v>
      </c>
      <c r="F7" s="56">
        <v>0.0069999999999999992</v>
      </c>
      <c r="G7" s="56">
        <v>0.015</v>
      </c>
      <c r="H7" s="56">
        <v>0.025</v>
      </c>
      <c r="I7" s="56">
        <v>0.042</v>
      </c>
      <c r="J7" s="56">
        <v>0.042</v>
      </c>
      <c r="K7" s="56">
        <v>0.017000000000000002</v>
      </c>
      <c r="M7" s="106" t="s">
        <v>5287</v>
      </c>
      <c r="N7" s="106" t="s">
        <v>5288</v>
      </c>
      <c r="O7" s="108"/>
      <c r="P7" s="106" t="s">
        <v>5287</v>
      </c>
      <c r="Q7" s="106" t="s">
        <v>5288</v>
      </c>
    </row>
    <row r="8" spans="2:17" s="0" customFormat="0" ht="15">
      <c r="B8" s="3">
        <v>3</v>
      </c>
      <c r="C8" s="55" t="s">
        <v>5289</v>
      </c>
      <c r="D8" s="56">
        <v>0.005</v>
      </c>
      <c r="E8" s="56">
        <v>0.005</v>
      </c>
      <c r="F8" s="56">
        <v>0.005</v>
      </c>
      <c r="G8" s="56">
        <v>0.01</v>
      </c>
      <c r="H8" s="56">
        <v>0.018000000000000002</v>
      </c>
      <c r="I8" s="56">
        <v>0.005</v>
      </c>
      <c r="J8" s="56">
        <v>0.005</v>
      </c>
      <c r="K8" s="56">
        <v>0.012</v>
      </c>
      <c r="M8" s="11">
        <v>0</v>
      </c>
      <c r="N8" s="13">
        <v>0.125</v>
      </c>
      <c r="O8" s="12"/>
      <c r="P8" s="11">
        <v>0</v>
      </c>
      <c r="Q8" s="13">
        <v>0.33</v>
      </c>
    </row>
    <row r="9" spans="2:17" s="0" customFormat="0" ht="15">
      <c r="B9" s="3">
        <v>4</v>
      </c>
      <c r="C9" s="55" t="s">
        <v>5290</v>
      </c>
      <c r="D9" s="56">
        <v>0.005</v>
      </c>
      <c r="E9" s="56">
        <v>0.005</v>
      </c>
      <c r="F9" s="56">
        <v>0.005</v>
      </c>
      <c r="G9" s="56">
        <v>0.01</v>
      </c>
      <c r="H9" s="56">
        <v>0.005</v>
      </c>
      <c r="I9" s="56">
        <v>0.005</v>
      </c>
      <c r="J9" s="56">
        <v>0.005</v>
      </c>
      <c r="K9" s="56">
        <v>0.012</v>
      </c>
      <c r="M9" s="11">
        <v>1</v>
      </c>
      <c r="N9" s="13">
        <v>0.134</v>
      </c>
      <c r="O9" s="12"/>
      <c r="P9" s="11">
        <v>1</v>
      </c>
      <c r="Q9" s="13">
        <v>0.4</v>
      </c>
    </row>
    <row r="10" spans="2:17" s="0" customFormat="0" ht="15">
      <c r="B10" s="3">
        <v>5</v>
      </c>
      <c r="C10" s="55" t="s">
        <v>5291</v>
      </c>
      <c r="D10" s="56">
        <v>0.005</v>
      </c>
      <c r="E10" s="56">
        <v>0.005</v>
      </c>
      <c r="F10" s="56">
        <v>0.005</v>
      </c>
      <c r="G10" s="56">
        <v>0.005</v>
      </c>
      <c r="H10" s="56">
        <v>0.005</v>
      </c>
      <c r="I10" s="56">
        <v>0.005</v>
      </c>
      <c r="J10" s="56">
        <v>0.005</v>
      </c>
      <c r="K10" s="56">
        <v>0.005</v>
      </c>
      <c r="M10" s="11">
        <v>2</v>
      </c>
      <c r="N10" s="13">
        <v>0.166</v>
      </c>
      <c r="O10" s="12"/>
      <c r="P10" s="11">
        <v>2</v>
      </c>
      <c r="Q10" s="13">
        <v>0.51</v>
      </c>
    </row>
    <row r="11" spans="2:17" s="0" customFormat="0" ht="15">
      <c r="B11" s="4"/>
      <c r="C11" s="5"/>
      <c r="D11" s="5"/>
      <c r="E11" s="5"/>
      <c r="F11" s="5"/>
      <c r="G11" s="5"/>
      <c r="H11" s="5"/>
      <c r="I11" s="5"/>
      <c r="J11" s="5"/>
      <c r="K11" s="6"/>
      <c r="M11" s="11">
        <v>3</v>
      </c>
      <c r="N11" s="13">
        <v>0.197</v>
      </c>
      <c r="O11" s="12"/>
      <c r="P11" s="11">
        <v>3</v>
      </c>
      <c r="Q11" s="13">
        <v>0.91</v>
      </c>
    </row>
    <row r="12" spans="2:17" s="0" customFormat="0" ht="15">
      <c r="B12" s="101" t="s">
        <v>5281</v>
      </c>
      <c r="C12" s="102" t="s">
        <v>5292</v>
      </c>
      <c r="D12" s="103">
        <v>0</v>
      </c>
      <c r="E12" s="103">
        <v>1</v>
      </c>
      <c r="F12" s="103">
        <v>2</v>
      </c>
      <c r="G12" s="103">
        <v>3</v>
      </c>
      <c r="H12" s="103">
        <v>4</v>
      </c>
      <c r="I12" s="103">
        <v>5</v>
      </c>
      <c r="J12" s="103">
        <v>6</v>
      </c>
      <c r="K12" s="103" t="s">
        <v>146</v>
      </c>
      <c r="M12" s="11">
        <v>4</v>
      </c>
      <c r="N12" s="13">
        <v>0.82</v>
      </c>
      <c r="O12" s="12"/>
      <c r="P12" s="11">
        <v>4</v>
      </c>
      <c r="Q12" s="13">
        <v>1</v>
      </c>
    </row>
    <row r="13" spans="2:17" s="0" customFormat="0" ht="15">
      <c r="B13" s="3">
        <v>1</v>
      </c>
      <c r="C13" s="55" t="s">
        <v>5283</v>
      </c>
      <c r="D13" s="56">
        <v>0</v>
      </c>
      <c r="E13" s="56">
        <v>0</v>
      </c>
      <c r="F13" s="56">
        <v>0</v>
      </c>
      <c r="G13" s="56">
        <v>0</v>
      </c>
      <c r="H13" s="56">
        <v>0</v>
      </c>
      <c r="I13" s="56">
        <v>0</v>
      </c>
      <c r="J13" s="56">
        <v>0</v>
      </c>
      <c r="K13" s="56">
        <v>0</v>
      </c>
      <c r="M13" s="11">
        <v>5</v>
      </c>
      <c r="N13" s="13">
        <v>1</v>
      </c>
      <c r="O13" s="12"/>
      <c r="P13" s="11">
        <v>5</v>
      </c>
      <c r="Q13" s="13">
        <v>1</v>
      </c>
    </row>
    <row r="14" spans="2:17" s="0" customFormat="0" ht="15">
      <c r="B14" s="3">
        <v>2</v>
      </c>
      <c r="C14" s="55" t="s">
        <v>5286</v>
      </c>
      <c r="D14" s="56">
        <v>0.045</v>
      </c>
      <c r="E14" s="56">
        <v>0.055</v>
      </c>
      <c r="F14" s="56">
        <v>0.070000000000000008</v>
      </c>
      <c r="G14" s="56">
        <v>0.125</v>
      </c>
      <c r="H14" s="56">
        <v>0.225</v>
      </c>
      <c r="I14" s="56">
        <v>0.375</v>
      </c>
      <c r="J14" s="56">
        <v>0.375</v>
      </c>
      <c r="K14" s="56">
        <v>0.15</v>
      </c>
      <c r="M14" s="11">
        <v>6</v>
      </c>
      <c r="N14" s="13">
        <v>1</v>
      </c>
      <c r="O14" s="12"/>
      <c r="P14" s="11">
        <v>6</v>
      </c>
      <c r="Q14" s="13">
        <v>1</v>
      </c>
    </row>
    <row r="15" spans="2:17" s="0" customFormat="0" ht="15">
      <c r="B15" s="3">
        <v>3</v>
      </c>
      <c r="C15" s="55" t="s">
        <v>5289</v>
      </c>
      <c r="D15" s="56">
        <v>0.070000000000000008</v>
      </c>
      <c r="E15" s="56">
        <v>0.085</v>
      </c>
      <c r="F15" s="56">
        <v>0.105</v>
      </c>
      <c r="G15" s="56">
        <v>0.2</v>
      </c>
      <c r="H15" s="56">
        <v>0.34999999999999996</v>
      </c>
      <c r="I15" s="56">
        <v>0.585</v>
      </c>
      <c r="J15" s="56">
        <v>0.585</v>
      </c>
      <c r="K15" s="56">
        <v>0.235</v>
      </c>
      <c r="M15" s="11" t="s">
        <v>146</v>
      </c>
      <c r="N15" s="13">
        <v>1</v>
      </c>
      <c r="O15" s="14"/>
      <c r="P15" s="11" t="s">
        <v>146</v>
      </c>
      <c r="Q15" s="13">
        <v>1</v>
      </c>
    </row>
    <row r="16" spans="2:11" s="0" customFormat="0" ht="15">
      <c r="B16" s="3">
        <v>4</v>
      </c>
      <c r="C16" s="55" t="s">
        <v>5290</v>
      </c>
      <c r="D16" s="56">
        <v>0.095</v>
      </c>
      <c r="E16" s="56">
        <v>0.11</v>
      </c>
      <c r="F16" s="56">
        <v>0.13</v>
      </c>
      <c r="G16" s="56">
        <v>0.25</v>
      </c>
      <c r="H16" s="56">
        <v>0.44</v>
      </c>
      <c r="I16" s="56">
        <v>0.61</v>
      </c>
      <c r="J16" s="56">
        <v>0.61</v>
      </c>
      <c r="K16" s="56">
        <v>0.295</v>
      </c>
    </row>
    <row r="17" spans="2:11" s="0" customFormat="0" ht="15">
      <c r="B17" s="3">
        <v>5</v>
      </c>
      <c r="C17" s="55" t="s">
        <v>5291</v>
      </c>
      <c r="D17" s="56">
        <v>0.12</v>
      </c>
      <c r="E17" s="56">
        <v>0.135</v>
      </c>
      <c r="F17" s="56">
        <v>0.155</v>
      </c>
      <c r="G17" s="56">
        <v>0.3</v>
      </c>
      <c r="H17" s="56">
        <v>0.466</v>
      </c>
      <c r="I17" s="56">
        <v>0.635</v>
      </c>
      <c r="J17" s="56">
        <v>0.635</v>
      </c>
      <c r="K17" s="56">
        <v>0.355</v>
      </c>
    </row>
    <row r="18" s="0" customFormat="0" ht="15"/>
    <row r="19" spans="13:14" s="0" customFormat="0" ht="15">
      <c r="M19" s="1"/>
      <c r="N19" s="1"/>
    </row>
    <row r="20" spans="2:14" s="0" customFormat="0" ht="15">
      <c r="B20" s="214" t="s">
        <v>5293</v>
      </c>
      <c r="C20" s="215"/>
      <c r="D20" s="215"/>
      <c r="E20" s="215"/>
      <c r="F20" s="215"/>
      <c r="G20" s="215"/>
      <c r="H20" s="215"/>
      <c r="I20" s="215"/>
      <c r="J20" s="215"/>
      <c r="K20" s="215"/>
      <c r="M20" s="131" t="s">
        <v>5294</v>
      </c>
      <c r="N20" s="132"/>
    </row>
    <row r="21" spans="2:14" s="0" customFormat="0" ht="15">
      <c r="B21" s="104" t="s">
        <v>5281</v>
      </c>
      <c r="C21" s="105" t="s">
        <v>5282</v>
      </c>
      <c r="D21" s="100">
        <v>0</v>
      </c>
      <c r="E21" s="100">
        <v>1</v>
      </c>
      <c r="F21" s="100">
        <v>2</v>
      </c>
      <c r="G21" s="100">
        <v>3</v>
      </c>
      <c r="H21" s="100">
        <v>4</v>
      </c>
      <c r="I21" s="100">
        <v>5</v>
      </c>
      <c r="J21" s="100">
        <v>6</v>
      </c>
      <c r="K21" s="100" t="s">
        <v>146</v>
      </c>
      <c r="M21" s="100" t="s">
        <v>5295</v>
      </c>
      <c r="N21" s="56">
        <v>2</v>
      </c>
    </row>
    <row r="22" spans="2:13" s="0" customFormat="0" ht="15">
      <c r="B22" s="3">
        <v>1</v>
      </c>
      <c r="C22" s="55" t="s">
        <v>5283</v>
      </c>
      <c r="D22" s="56">
        <v>0.0069999999999999992</v>
      </c>
      <c r="E22" s="56">
        <v>0.0090000000000000016</v>
      </c>
      <c r="F22" s="56">
        <v>0.013999999999999998</v>
      </c>
      <c r="G22" s="56">
        <v>0.025</v>
      </c>
      <c r="H22" s="56">
        <v>0.045</v>
      </c>
      <c r="I22" s="56">
        <v>0.075</v>
      </c>
      <c r="J22" s="56">
        <v>0.075</v>
      </c>
      <c r="K22" s="56">
        <v>0.03</v>
      </c>
      <c r="M22" s="1"/>
    </row>
    <row r="23" spans="2:11" s="0" customFormat="0" ht="15">
      <c r="B23" s="3">
        <v>2</v>
      </c>
      <c r="C23" s="55" t="s">
        <v>5286</v>
      </c>
      <c r="D23" s="56">
        <v>0.005</v>
      </c>
      <c r="E23" s="56">
        <v>0.005</v>
      </c>
      <c r="F23" s="56">
        <v>0.0069999999999999992</v>
      </c>
      <c r="G23" s="56">
        <v>0.015</v>
      </c>
      <c r="H23" s="56">
        <v>0.025</v>
      </c>
      <c r="I23" s="56">
        <v>0.042</v>
      </c>
      <c r="J23" s="56">
        <v>0.042</v>
      </c>
      <c r="K23" s="56">
        <v>0.017000000000000002</v>
      </c>
    </row>
    <row r="24" spans="2:11" s="0" customFormat="0" ht="15">
      <c r="B24" s="3">
        <v>3</v>
      </c>
      <c r="C24" s="55" t="s">
        <v>5289</v>
      </c>
      <c r="D24" s="56">
        <v>0.005</v>
      </c>
      <c r="E24" s="56">
        <v>0.005</v>
      </c>
      <c r="F24" s="56">
        <v>0.005</v>
      </c>
      <c r="G24" s="56">
        <v>0.01</v>
      </c>
      <c r="H24" s="56">
        <v>0.018000000000000002</v>
      </c>
      <c r="I24" s="56">
        <v>0.005</v>
      </c>
      <c r="J24" s="56">
        <v>0.005</v>
      </c>
      <c r="K24" s="56">
        <v>0.012</v>
      </c>
    </row>
    <row r="25" spans="2:11" s="0" customFormat="0" ht="15">
      <c r="B25" s="3">
        <v>4</v>
      </c>
      <c r="C25" s="55" t="s">
        <v>5290</v>
      </c>
      <c r="D25" s="56">
        <v>0.005</v>
      </c>
      <c r="E25" s="56">
        <v>0.005</v>
      </c>
      <c r="F25" s="56">
        <v>0.005</v>
      </c>
      <c r="G25" s="56">
        <v>0.01</v>
      </c>
      <c r="H25" s="56">
        <v>0.005</v>
      </c>
      <c r="I25" s="56">
        <v>0.005</v>
      </c>
      <c r="J25" s="56">
        <v>0.005</v>
      </c>
      <c r="K25" s="56">
        <v>0.012</v>
      </c>
    </row>
    <row r="26" spans="2:11" s="0" customFormat="0" ht="15">
      <c r="B26" s="3">
        <v>5</v>
      </c>
      <c r="C26" s="55" t="s">
        <v>5291</v>
      </c>
      <c r="D26" s="56">
        <v>0.005</v>
      </c>
      <c r="E26" s="56">
        <v>0.005</v>
      </c>
      <c r="F26" s="56">
        <v>0.005</v>
      </c>
      <c r="G26" s="56">
        <v>0.005</v>
      </c>
      <c r="H26" s="56">
        <v>0.005</v>
      </c>
      <c r="I26" s="56">
        <v>0.005</v>
      </c>
      <c r="J26" s="56">
        <v>0.005</v>
      </c>
      <c r="K26" s="56">
        <v>0.005</v>
      </c>
    </row>
    <row r="27" spans="2:11" s="0" customFormat="0" ht="15">
      <c r="B27" s="4"/>
      <c r="C27" s="5"/>
      <c r="D27" s="5"/>
      <c r="E27" s="5"/>
      <c r="F27" s="5"/>
      <c r="G27" s="5"/>
      <c r="H27" s="5"/>
      <c r="I27" s="5"/>
      <c r="J27" s="5"/>
      <c r="K27" s="6"/>
    </row>
    <row r="28" spans="2:11" s="0" customFormat="0" ht="15">
      <c r="B28" s="109" t="s">
        <v>5281</v>
      </c>
      <c r="C28" s="110" t="s">
        <v>5292</v>
      </c>
      <c r="D28" s="111">
        <v>0</v>
      </c>
      <c r="E28" s="111">
        <v>1</v>
      </c>
      <c r="F28" s="111">
        <v>2</v>
      </c>
      <c r="G28" s="111">
        <v>3</v>
      </c>
      <c r="H28" s="111">
        <v>4</v>
      </c>
      <c r="I28" s="111">
        <v>5</v>
      </c>
      <c r="J28" s="111">
        <v>6</v>
      </c>
      <c r="K28" s="111" t="s">
        <v>146</v>
      </c>
    </row>
    <row r="29" spans="2:11" s="0" customFormat="0" ht="15">
      <c r="B29" s="3">
        <v>1</v>
      </c>
      <c r="C29" s="55" t="s">
        <v>5283</v>
      </c>
      <c r="D29" s="56">
        <v>0</v>
      </c>
      <c r="E29" s="56">
        <v>0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</row>
    <row r="30" spans="2:11" s="0" customFormat="0" ht="15">
      <c r="B30" s="3">
        <v>2</v>
      </c>
      <c r="C30" s="55" t="s">
        <v>5286</v>
      </c>
      <c r="D30" s="56">
        <v>0.035000000000000004</v>
      </c>
      <c r="E30" s="56">
        <v>0.045</v>
      </c>
      <c r="F30" s="56">
        <v>0.070000000000000008</v>
      </c>
      <c r="G30" s="56">
        <v>0.125</v>
      </c>
      <c r="H30" s="56">
        <v>0.225</v>
      </c>
      <c r="I30" s="56">
        <v>0.375</v>
      </c>
      <c r="J30" s="56">
        <v>0.375</v>
      </c>
      <c r="K30" s="56">
        <v>0.15</v>
      </c>
    </row>
    <row r="31" spans="2:11" s="0" customFormat="0" ht="15">
      <c r="B31" s="3">
        <v>3</v>
      </c>
      <c r="C31" s="55" t="s">
        <v>5289</v>
      </c>
      <c r="D31" s="56">
        <v>0.06</v>
      </c>
      <c r="E31" s="56">
        <v>0.070000000000000008</v>
      </c>
      <c r="F31" s="56">
        <v>0.105</v>
      </c>
      <c r="G31" s="56">
        <v>0.2</v>
      </c>
      <c r="H31" s="56">
        <v>0.34999999999999996</v>
      </c>
      <c r="I31" s="56">
        <v>0.585</v>
      </c>
      <c r="J31" s="56">
        <v>0.585</v>
      </c>
      <c r="K31" s="56">
        <v>0.235</v>
      </c>
    </row>
    <row r="32" spans="2:11" s="0" customFormat="0" ht="15">
      <c r="B32" s="3">
        <v>4</v>
      </c>
      <c r="C32" s="55" t="s">
        <v>5290</v>
      </c>
      <c r="D32" s="56">
        <v>0.085</v>
      </c>
      <c r="E32" s="56">
        <v>0.095</v>
      </c>
      <c r="F32" s="56">
        <v>0.13</v>
      </c>
      <c r="G32" s="56">
        <v>0.25</v>
      </c>
      <c r="H32" s="56">
        <v>0.44</v>
      </c>
      <c r="I32" s="56">
        <v>0.61</v>
      </c>
      <c r="J32" s="56">
        <v>0.61</v>
      </c>
      <c r="K32" s="56">
        <v>0.295</v>
      </c>
    </row>
    <row r="33" spans="2:11" s="0" customFormat="0" ht="15">
      <c r="B33" s="3">
        <v>5</v>
      </c>
      <c r="C33" s="55" t="s">
        <v>5291</v>
      </c>
      <c r="D33" s="56">
        <v>0.11</v>
      </c>
      <c r="E33" s="56">
        <v>0.12</v>
      </c>
      <c r="F33" s="56">
        <v>0.155</v>
      </c>
      <c r="G33" s="56">
        <v>0.3</v>
      </c>
      <c r="H33" s="56">
        <v>0.466</v>
      </c>
      <c r="I33" s="56">
        <v>0.635</v>
      </c>
      <c r="J33" s="56">
        <v>0.635</v>
      </c>
      <c r="K33" s="56">
        <v>0.355</v>
      </c>
    </row>
    <row r="34" s="0" customFormat="0" ht="15"/>
    <row r="35" s="0" customFormat="0" ht="15"/>
    <row r="36" spans="2:11" s="0" customFormat="0" ht="15">
      <c r="B36" s="214" t="s">
        <v>5296</v>
      </c>
      <c r="C36" s="215"/>
      <c r="D36" s="215"/>
      <c r="E36" s="215"/>
      <c r="F36" s="215"/>
      <c r="G36" s="215"/>
      <c r="H36" s="215"/>
      <c r="I36" s="215"/>
      <c r="J36" s="215"/>
      <c r="K36" s="215"/>
    </row>
    <row r="37" spans="2:11" s="0" customFormat="0" ht="15">
      <c r="B37" s="104" t="s">
        <v>5281</v>
      </c>
      <c r="C37" s="105" t="s">
        <v>5282</v>
      </c>
      <c r="D37" s="100">
        <v>0</v>
      </c>
      <c r="E37" s="100">
        <v>1</v>
      </c>
      <c r="F37" s="100">
        <v>2</v>
      </c>
      <c r="G37" s="100">
        <v>3</v>
      </c>
      <c r="H37" s="100">
        <v>4</v>
      </c>
      <c r="I37" s="100">
        <v>5</v>
      </c>
      <c r="J37" s="100">
        <v>6</v>
      </c>
      <c r="K37" s="100" t="s">
        <v>146</v>
      </c>
    </row>
    <row r="38" spans="2:11" s="0" customFormat="0" ht="15">
      <c r="B38" s="3">
        <v>1</v>
      </c>
      <c r="C38" s="55" t="s">
        <v>5283</v>
      </c>
      <c r="D38" s="56">
        <v>0</v>
      </c>
      <c r="E38" s="56">
        <v>0</v>
      </c>
      <c r="F38" s="56">
        <v>0.011000000000000002</v>
      </c>
      <c r="G38" s="56">
        <v>0.013999999999999998</v>
      </c>
      <c r="H38" s="56">
        <v>0.025</v>
      </c>
      <c r="I38" s="56">
        <v>0.045</v>
      </c>
      <c r="J38" s="56">
        <v>0.045</v>
      </c>
      <c r="K38" s="56">
        <v>0.03</v>
      </c>
    </row>
    <row r="39" spans="2:11" s="0" customFormat="0" ht="15">
      <c r="B39" s="3">
        <v>2</v>
      </c>
      <c r="C39" s="55" t="s">
        <v>5286</v>
      </c>
      <c r="D39" s="56">
        <v>0</v>
      </c>
      <c r="E39" s="56">
        <v>0</v>
      </c>
      <c r="F39" s="56">
        <v>0.006</v>
      </c>
      <c r="G39" s="56">
        <v>0.0069999999999999992</v>
      </c>
      <c r="H39" s="56">
        <v>0.015</v>
      </c>
      <c r="I39" s="56">
        <v>0.025</v>
      </c>
      <c r="J39" s="56">
        <v>0.025</v>
      </c>
      <c r="K39" s="56">
        <v>0.017000000000000002</v>
      </c>
    </row>
    <row r="40" spans="2:11" s="0" customFormat="0" ht="15">
      <c r="B40" s="3">
        <v>3</v>
      </c>
      <c r="C40" s="55" t="s">
        <v>5289</v>
      </c>
      <c r="D40" s="56">
        <v>0</v>
      </c>
      <c r="E40" s="56">
        <v>0</v>
      </c>
      <c r="F40" s="56">
        <v>0.005</v>
      </c>
      <c r="G40" s="56">
        <v>0.005</v>
      </c>
      <c r="H40" s="56">
        <v>0.01</v>
      </c>
      <c r="I40" s="56">
        <v>0.018000000000000002</v>
      </c>
      <c r="J40" s="56">
        <v>0.018000000000000002</v>
      </c>
      <c r="K40" s="56">
        <v>0.012</v>
      </c>
    </row>
    <row r="41" spans="2:11" s="0" customFormat="0" ht="15">
      <c r="B41" s="3">
        <v>4</v>
      </c>
      <c r="C41" s="55" t="s">
        <v>5290</v>
      </c>
      <c r="D41" s="56">
        <v>0</v>
      </c>
      <c r="E41" s="56">
        <v>0</v>
      </c>
      <c r="F41" s="56">
        <v>0.005</v>
      </c>
      <c r="G41" s="56">
        <v>0.005</v>
      </c>
      <c r="H41" s="56">
        <v>0.01</v>
      </c>
      <c r="I41" s="56">
        <v>0.005</v>
      </c>
      <c r="J41" s="56">
        <v>0.005</v>
      </c>
      <c r="K41" s="56">
        <v>0.012</v>
      </c>
    </row>
    <row r="42" spans="2:11" s="0" customFormat="0" ht="15">
      <c r="B42" s="3">
        <v>5</v>
      </c>
      <c r="C42" s="55" t="s">
        <v>5291</v>
      </c>
      <c r="D42" s="56">
        <v>0</v>
      </c>
      <c r="E42" s="56">
        <v>0</v>
      </c>
      <c r="F42" s="56">
        <v>0.005</v>
      </c>
      <c r="G42" s="56">
        <v>0.005</v>
      </c>
      <c r="H42" s="56">
        <v>0.005</v>
      </c>
      <c r="I42" s="56">
        <v>0.005</v>
      </c>
      <c r="J42" s="56">
        <v>0.005</v>
      </c>
      <c r="K42" s="56">
        <v>0.005</v>
      </c>
    </row>
    <row r="43" spans="2:11" s="0" customFormat="0" ht="15">
      <c r="B43" s="4"/>
      <c r="C43" s="5"/>
      <c r="D43" s="5"/>
      <c r="E43" s="5"/>
      <c r="F43" s="5"/>
      <c r="G43" s="5"/>
      <c r="H43" s="5"/>
      <c r="I43" s="5"/>
      <c r="J43" s="5"/>
      <c r="K43" s="6"/>
    </row>
    <row r="44" spans="2:11" s="0" customFormat="0" ht="15">
      <c r="B44" s="112" t="s">
        <v>5281</v>
      </c>
      <c r="C44" s="113" t="s">
        <v>5292</v>
      </c>
      <c r="D44" s="114">
        <v>0</v>
      </c>
      <c r="E44" s="114">
        <v>1</v>
      </c>
      <c r="F44" s="114">
        <v>2</v>
      </c>
      <c r="G44" s="114">
        <v>3</v>
      </c>
      <c r="H44" s="114">
        <v>4</v>
      </c>
      <c r="I44" s="114">
        <v>5</v>
      </c>
      <c r="J44" s="114">
        <v>6</v>
      </c>
      <c r="K44" s="114" t="s">
        <v>146</v>
      </c>
    </row>
    <row r="45" spans="2:11" s="0" customFormat="0" ht="15">
      <c r="B45" s="3">
        <v>1</v>
      </c>
      <c r="C45" s="55" t="s">
        <v>5283</v>
      </c>
      <c r="D45" s="56">
        <v>0</v>
      </c>
      <c r="E45" s="56">
        <v>0</v>
      </c>
      <c r="F45" s="56">
        <v>0</v>
      </c>
      <c r="G45" s="56">
        <v>0</v>
      </c>
      <c r="H45" s="56">
        <v>0</v>
      </c>
      <c r="I45" s="56">
        <v>0</v>
      </c>
      <c r="J45" s="56">
        <v>0</v>
      </c>
      <c r="K45" s="56">
        <v>0</v>
      </c>
    </row>
    <row r="46" spans="2:11" s="0" customFormat="0" ht="15">
      <c r="B46" s="3">
        <v>2</v>
      </c>
      <c r="C46" s="55" t="s">
        <v>5286</v>
      </c>
      <c r="D46" s="56">
        <v>0</v>
      </c>
      <c r="E46" s="56">
        <v>0</v>
      </c>
      <c r="F46" s="56">
        <v>0.055</v>
      </c>
      <c r="G46" s="56">
        <v>0.070000000000000008</v>
      </c>
      <c r="H46" s="56">
        <v>0.125</v>
      </c>
      <c r="I46" s="56">
        <v>0.225</v>
      </c>
      <c r="J46" s="56">
        <v>0.225</v>
      </c>
      <c r="K46" s="56">
        <v>0.15</v>
      </c>
    </row>
    <row r="47" spans="2:11" s="0" customFormat="0" ht="15">
      <c r="B47" s="3">
        <v>3</v>
      </c>
      <c r="C47" s="55" t="s">
        <v>5289</v>
      </c>
      <c r="D47" s="56">
        <v>0</v>
      </c>
      <c r="E47" s="56">
        <v>0</v>
      </c>
      <c r="F47" s="56">
        <v>0.084</v>
      </c>
      <c r="G47" s="56">
        <v>0.105</v>
      </c>
      <c r="H47" s="56">
        <v>0.2</v>
      </c>
      <c r="I47" s="56">
        <v>0.34999999999999996</v>
      </c>
      <c r="J47" s="56">
        <v>0.34999999999999996</v>
      </c>
      <c r="K47" s="56">
        <v>0.235</v>
      </c>
    </row>
    <row r="48" spans="2:11" s="0" customFormat="0" ht="15">
      <c r="B48" s="3">
        <v>4</v>
      </c>
      <c r="C48" s="55" t="s">
        <v>5290</v>
      </c>
      <c r="D48" s="56">
        <v>0</v>
      </c>
      <c r="E48" s="56">
        <v>0</v>
      </c>
      <c r="F48" s="56">
        <v>0.109</v>
      </c>
      <c r="G48" s="56">
        <v>0.13</v>
      </c>
      <c r="H48" s="56">
        <v>0.25</v>
      </c>
      <c r="I48" s="56">
        <v>0.44</v>
      </c>
      <c r="J48" s="56">
        <v>0.44</v>
      </c>
      <c r="K48" s="56">
        <v>0.295</v>
      </c>
    </row>
    <row r="49" spans="2:11" s="0" customFormat="0" ht="15">
      <c r="B49" s="3">
        <v>5</v>
      </c>
      <c r="C49" s="55" t="s">
        <v>5291</v>
      </c>
      <c r="D49" s="56">
        <v>0</v>
      </c>
      <c r="E49" s="56">
        <v>0</v>
      </c>
      <c r="F49" s="56">
        <v>0.134</v>
      </c>
      <c r="G49" s="56">
        <v>0.155</v>
      </c>
      <c r="H49" s="56">
        <v>0.3</v>
      </c>
      <c r="I49" s="56">
        <v>0.466</v>
      </c>
      <c r="J49" s="56">
        <v>0.466</v>
      </c>
      <c r="K49" s="56">
        <v>0.355</v>
      </c>
    </row>
    <row r="50" s="0" customFormat="0" ht="15"/>
    <row r="51" s="0" customFormat="0" ht="15"/>
    <row r="52" spans="2:11" s="0" customFormat="0" ht="15">
      <c r="B52" s="214" t="s">
        <v>5297</v>
      </c>
      <c r="C52" s="215"/>
      <c r="D52" s="215"/>
      <c r="E52" s="215"/>
      <c r="F52" s="215"/>
      <c r="G52" s="215"/>
      <c r="H52" s="215"/>
      <c r="I52" s="215"/>
      <c r="J52" s="215"/>
      <c r="K52" s="215"/>
    </row>
    <row r="53" spans="2:11" s="0" customFormat="0" ht="15">
      <c r="B53" s="104" t="s">
        <v>5281</v>
      </c>
      <c r="C53" s="105" t="s">
        <v>5282</v>
      </c>
      <c r="D53" s="114">
        <v>0</v>
      </c>
      <c r="E53" s="111">
        <v>1</v>
      </c>
      <c r="F53" s="111">
        <v>2</v>
      </c>
      <c r="G53" s="111">
        <v>3</v>
      </c>
      <c r="H53" s="111">
        <v>4</v>
      </c>
      <c r="I53" s="111">
        <v>5</v>
      </c>
      <c r="J53" s="111">
        <v>6</v>
      </c>
      <c r="K53" s="111" t="s">
        <v>146</v>
      </c>
    </row>
    <row r="54" spans="2:11" s="0" customFormat="0" ht="15">
      <c r="B54" s="3">
        <v>1</v>
      </c>
      <c r="C54" s="55" t="s">
        <v>5283</v>
      </c>
      <c r="D54" s="56">
        <v>0.0064</v>
      </c>
      <c r="E54" s="56">
        <v>0.0078</v>
      </c>
      <c r="F54" s="56">
        <v>0.01</v>
      </c>
      <c r="G54" s="56">
        <v>0.0167</v>
      </c>
      <c r="H54" s="56">
        <v>0.045</v>
      </c>
      <c r="I54" s="56">
        <v>0.075</v>
      </c>
      <c r="J54" s="56">
        <v>0.075</v>
      </c>
      <c r="K54" s="56">
        <v>0.0167</v>
      </c>
    </row>
    <row r="55" spans="2:11" s="0" customFormat="0" ht="15">
      <c r="B55" s="3">
        <v>2</v>
      </c>
      <c r="C55" s="55" t="s">
        <v>5286</v>
      </c>
      <c r="D55" s="56">
        <v>0.0036</v>
      </c>
      <c r="E55" s="56">
        <v>0.0043</v>
      </c>
      <c r="F55" s="56">
        <v>0.005</v>
      </c>
      <c r="G55" s="56">
        <v>0.01</v>
      </c>
      <c r="H55" s="56">
        <v>0.025</v>
      </c>
      <c r="I55" s="56">
        <v>0.042</v>
      </c>
      <c r="J55" s="56">
        <v>0.042</v>
      </c>
      <c r="K55" s="56">
        <v>0.01</v>
      </c>
    </row>
    <row r="56" spans="2:11" s="0" customFormat="0" ht="15">
      <c r="B56" s="3">
        <v>3</v>
      </c>
      <c r="C56" s="55" t="s">
        <v>5289</v>
      </c>
      <c r="D56" s="56">
        <v>0.0036</v>
      </c>
      <c r="E56" s="56">
        <v>0.0036</v>
      </c>
      <c r="F56" s="56">
        <v>0.0036</v>
      </c>
      <c r="G56" s="56">
        <v>0.0067</v>
      </c>
      <c r="H56" s="56">
        <v>0.018000000000000002</v>
      </c>
      <c r="I56" s="56">
        <v>0.005</v>
      </c>
      <c r="J56" s="56">
        <v>0.005</v>
      </c>
      <c r="K56" s="56">
        <v>0.0067</v>
      </c>
    </row>
    <row r="57" spans="2:11" s="0" customFormat="0" ht="15">
      <c r="B57" s="3">
        <v>4</v>
      </c>
      <c r="C57" s="55" t="s">
        <v>5290</v>
      </c>
      <c r="D57" s="56">
        <v>0.0036</v>
      </c>
      <c r="E57" s="56">
        <v>0.0036</v>
      </c>
      <c r="F57" s="56">
        <v>0.0036</v>
      </c>
      <c r="G57" s="56">
        <v>0.0067</v>
      </c>
      <c r="H57" s="56">
        <v>0.005</v>
      </c>
      <c r="I57" s="56">
        <v>0.005</v>
      </c>
      <c r="J57" s="56">
        <v>0.005</v>
      </c>
      <c r="K57" s="56">
        <v>0.0067</v>
      </c>
    </row>
    <row r="58" spans="2:11" s="0" customFormat="0" ht="15">
      <c r="B58" s="3">
        <v>5</v>
      </c>
      <c r="C58" s="55" t="s">
        <v>5291</v>
      </c>
      <c r="D58" s="56">
        <v>0.0036</v>
      </c>
      <c r="E58" s="56">
        <v>0.0036</v>
      </c>
      <c r="F58" s="56">
        <v>0.0036</v>
      </c>
      <c r="G58" s="56">
        <v>0.0036</v>
      </c>
      <c r="H58" s="56">
        <v>0.005</v>
      </c>
      <c r="I58" s="56">
        <v>0.005</v>
      </c>
      <c r="J58" s="56">
        <v>0.005</v>
      </c>
      <c r="K58" s="56">
        <v>0.0036</v>
      </c>
    </row>
    <row r="59" spans="2:11" s="0" customFormat="0" ht="15">
      <c r="B59" s="4"/>
      <c r="C59" s="5"/>
      <c r="D59" s="5"/>
      <c r="E59" s="5"/>
      <c r="F59" s="5"/>
      <c r="G59" s="5"/>
      <c r="H59" s="5"/>
      <c r="I59" s="5"/>
      <c r="J59" s="5"/>
      <c r="K59" s="6"/>
    </row>
    <row r="60" spans="2:11" s="0" customFormat="0" ht="15">
      <c r="B60" s="104" t="s">
        <v>5281</v>
      </c>
      <c r="C60" s="105" t="s">
        <v>5292</v>
      </c>
      <c r="D60" s="100">
        <v>0</v>
      </c>
      <c r="E60" s="100">
        <v>1</v>
      </c>
      <c r="F60" s="100">
        <v>2</v>
      </c>
      <c r="G60" s="100">
        <v>3</v>
      </c>
      <c r="H60" s="100">
        <v>4</v>
      </c>
      <c r="I60" s="100">
        <v>5</v>
      </c>
      <c r="J60" s="100">
        <v>6</v>
      </c>
      <c r="K60" s="100" t="s">
        <v>146</v>
      </c>
    </row>
    <row r="61" spans="2:11" s="0" customFormat="0" ht="15">
      <c r="B61" s="3">
        <v>1</v>
      </c>
      <c r="C61" s="55" t="s">
        <v>5283</v>
      </c>
      <c r="D61" s="56">
        <v>0</v>
      </c>
      <c r="E61" s="56">
        <v>0</v>
      </c>
      <c r="F61" s="56">
        <v>0</v>
      </c>
      <c r="G61" s="56">
        <v>0</v>
      </c>
      <c r="H61" s="56">
        <v>0</v>
      </c>
      <c r="I61" s="56">
        <v>0</v>
      </c>
      <c r="J61" s="56">
        <v>0</v>
      </c>
      <c r="K61" s="56">
        <v>0</v>
      </c>
    </row>
    <row r="62" spans="2:11" s="0" customFormat="0" ht="15">
      <c r="B62" s="3">
        <v>2</v>
      </c>
      <c r="C62" s="55" t="s">
        <v>5286</v>
      </c>
      <c r="D62" s="56">
        <v>0.032</v>
      </c>
      <c r="E62" s="56">
        <v>0.039</v>
      </c>
      <c r="F62" s="56">
        <v>0.05</v>
      </c>
      <c r="G62" s="56">
        <v>0.083499999999999984</v>
      </c>
      <c r="H62" s="56">
        <v>0.225</v>
      </c>
      <c r="I62" s="56">
        <v>0.375</v>
      </c>
      <c r="J62" s="56">
        <v>0.375</v>
      </c>
      <c r="K62" s="56">
        <v>0.083499999999999984</v>
      </c>
    </row>
    <row r="63" spans="2:11" s="0" customFormat="0" ht="15">
      <c r="B63" s="3">
        <v>3</v>
      </c>
      <c r="C63" s="55" t="s">
        <v>5289</v>
      </c>
      <c r="D63" s="56">
        <v>0.05</v>
      </c>
      <c r="E63" s="56">
        <v>0.0605</v>
      </c>
      <c r="F63" s="56">
        <v>0.075</v>
      </c>
      <c r="G63" s="56">
        <v>0.1335</v>
      </c>
      <c r="H63" s="56">
        <v>0.34999999999999996</v>
      </c>
      <c r="I63" s="56">
        <v>0.585</v>
      </c>
      <c r="J63" s="56">
        <v>0.585</v>
      </c>
      <c r="K63" s="56">
        <v>0.1335</v>
      </c>
    </row>
    <row r="64" spans="2:11" s="0" customFormat="0" ht="15">
      <c r="B64" s="3">
        <v>4</v>
      </c>
      <c r="C64" s="55" t="s">
        <v>5290</v>
      </c>
      <c r="D64" s="56">
        <v>0.068000000000000008</v>
      </c>
      <c r="E64" s="56">
        <v>0.0785</v>
      </c>
      <c r="F64" s="56">
        <v>0.093000000000000016</v>
      </c>
      <c r="G64" s="56">
        <v>0.16699999999999998</v>
      </c>
      <c r="H64" s="56">
        <v>0.44</v>
      </c>
      <c r="I64" s="56">
        <v>0.61</v>
      </c>
      <c r="J64" s="56">
        <v>0.61</v>
      </c>
      <c r="K64" s="56">
        <v>0.16699999999999998</v>
      </c>
    </row>
    <row r="65" spans="2:11" s="0" customFormat="0" ht="15">
      <c r="B65" s="3">
        <v>5</v>
      </c>
      <c r="C65" s="55" t="s">
        <v>5291</v>
      </c>
      <c r="D65" s="56">
        <v>0.086</v>
      </c>
      <c r="E65" s="56">
        <v>0.0965</v>
      </c>
      <c r="F65" s="56">
        <v>0.111</v>
      </c>
      <c r="G65" s="56">
        <v>0.2005</v>
      </c>
      <c r="H65" s="56">
        <v>0.466</v>
      </c>
      <c r="I65" s="56">
        <v>0.635</v>
      </c>
      <c r="J65" s="56">
        <v>0.635</v>
      </c>
      <c r="K65" s="56">
        <v>0.2005</v>
      </c>
    </row>
    <row r="66" s="0" customFormat="0" ht="15"/>
    <row r="67" s="0" customFormat="0" ht="15"/>
    <row r="68" spans="2:11" s="0" customFormat="0" ht="15">
      <c r="B68" s="214" t="s">
        <v>5298</v>
      </c>
      <c r="C68" s="215"/>
      <c r="D68" s="215"/>
      <c r="E68" s="215"/>
      <c r="F68" s="215"/>
      <c r="G68" s="215"/>
      <c r="H68" s="215"/>
      <c r="I68" s="215"/>
      <c r="J68" s="215"/>
      <c r="K68" s="215"/>
    </row>
    <row r="69" spans="2:11" s="0" customFormat="0" ht="15">
      <c r="B69" s="104" t="s">
        <v>5281</v>
      </c>
      <c r="C69" s="105" t="s">
        <v>5282</v>
      </c>
      <c r="D69" s="100">
        <v>0</v>
      </c>
      <c r="E69" s="100">
        <v>1</v>
      </c>
      <c r="F69" s="100">
        <v>2</v>
      </c>
      <c r="G69" s="100">
        <v>3</v>
      </c>
      <c r="H69" s="100">
        <v>4</v>
      </c>
      <c r="I69" s="100">
        <v>5</v>
      </c>
      <c r="J69" s="100">
        <v>6</v>
      </c>
      <c r="K69" s="100" t="s">
        <v>146</v>
      </c>
    </row>
    <row r="70" spans="2:11" s="0" customFormat="0" ht="15">
      <c r="B70" s="3">
        <v>1</v>
      </c>
      <c r="C70" s="55" t="s">
        <v>5283</v>
      </c>
      <c r="D70" s="56">
        <v>0</v>
      </c>
      <c r="E70" s="56">
        <v>0</v>
      </c>
      <c r="F70" s="56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</row>
    <row r="71" spans="2:11" s="0" customFormat="0" ht="15">
      <c r="B71" s="3">
        <v>2</v>
      </c>
      <c r="C71" s="55" t="s">
        <v>5286</v>
      </c>
      <c r="D71" s="56">
        <v>0</v>
      </c>
      <c r="E71" s="56">
        <v>0</v>
      </c>
      <c r="F71" s="56">
        <v>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</row>
    <row r="72" spans="2:11" s="0" customFormat="0" ht="15">
      <c r="B72" s="3">
        <v>3</v>
      </c>
      <c r="C72" s="55" t="s">
        <v>5289</v>
      </c>
      <c r="D72" s="56">
        <v>0</v>
      </c>
      <c r="E72" s="56">
        <v>0</v>
      </c>
      <c r="F72" s="56">
        <v>0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</row>
    <row r="73" spans="2:11" s="0" customFormat="0" ht="15">
      <c r="B73" s="3">
        <v>4</v>
      </c>
      <c r="C73" s="55" t="s">
        <v>5290</v>
      </c>
      <c r="D73" s="56">
        <v>0</v>
      </c>
      <c r="E73" s="56">
        <v>0</v>
      </c>
      <c r="F73" s="56">
        <v>0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</row>
    <row r="74" spans="2:11" s="0" customFormat="0" ht="15">
      <c r="B74" s="3">
        <v>5</v>
      </c>
      <c r="C74" s="55" t="s">
        <v>5291</v>
      </c>
      <c r="D74" s="56">
        <v>0</v>
      </c>
      <c r="E74" s="56">
        <v>0</v>
      </c>
      <c r="F74" s="56">
        <v>0</v>
      </c>
      <c r="G74" s="56">
        <v>0</v>
      </c>
      <c r="H74" s="56">
        <v>0</v>
      </c>
      <c r="I74" s="56">
        <v>0</v>
      </c>
      <c r="J74" s="56">
        <v>0</v>
      </c>
      <c r="K74" s="56">
        <v>0</v>
      </c>
    </row>
    <row r="75" spans="2:11" s="0" customFormat="0" ht="15">
      <c r="B75" s="4"/>
      <c r="C75" s="5"/>
      <c r="D75" s="5"/>
      <c r="E75" s="5"/>
      <c r="F75" s="5"/>
      <c r="G75" s="5"/>
      <c r="H75" s="5"/>
      <c r="I75" s="5"/>
      <c r="J75" s="5"/>
      <c r="K75" s="6"/>
    </row>
    <row r="76" spans="2:11" s="0" customFormat="0" ht="15">
      <c r="B76" s="112" t="s">
        <v>5281</v>
      </c>
      <c r="C76" s="113" t="s">
        <v>5292</v>
      </c>
      <c r="D76" s="114">
        <v>0</v>
      </c>
      <c r="E76" s="114">
        <v>1</v>
      </c>
      <c r="F76" s="114">
        <v>2</v>
      </c>
      <c r="G76" s="114">
        <v>3</v>
      </c>
      <c r="H76" s="114">
        <v>4</v>
      </c>
      <c r="I76" s="114">
        <v>5</v>
      </c>
      <c r="J76" s="114">
        <v>6</v>
      </c>
      <c r="K76" s="114" t="s">
        <v>146</v>
      </c>
    </row>
    <row r="77" spans="2:11" s="0" customFormat="0" ht="15">
      <c r="B77" s="3">
        <v>1</v>
      </c>
      <c r="C77" s="55" t="s">
        <v>5283</v>
      </c>
      <c r="D77" s="56">
        <v>0</v>
      </c>
      <c r="E77" s="56">
        <v>0</v>
      </c>
      <c r="F77" s="56">
        <v>0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</row>
    <row r="78" spans="2:11" s="0" customFormat="0" ht="15">
      <c r="B78" s="3">
        <v>2</v>
      </c>
      <c r="C78" s="55" t="s">
        <v>5286</v>
      </c>
      <c r="D78" s="56">
        <v>0</v>
      </c>
      <c r="E78" s="56">
        <v>0</v>
      </c>
      <c r="F78" s="56">
        <v>0</v>
      </c>
      <c r="G78" s="56">
        <v>0</v>
      </c>
      <c r="H78" s="56">
        <v>0</v>
      </c>
      <c r="I78" s="56">
        <v>0</v>
      </c>
      <c r="J78" s="56">
        <v>0</v>
      </c>
      <c r="K78" s="56">
        <v>0</v>
      </c>
    </row>
    <row r="79" spans="2:11" s="0" customFormat="0" ht="15">
      <c r="B79" s="3">
        <v>3</v>
      </c>
      <c r="C79" s="55" t="s">
        <v>5289</v>
      </c>
      <c r="D79" s="56">
        <v>0</v>
      </c>
      <c r="E79" s="56">
        <v>0</v>
      </c>
      <c r="F79" s="56">
        <v>0</v>
      </c>
      <c r="G79" s="56">
        <v>0</v>
      </c>
      <c r="H79" s="56">
        <v>0</v>
      </c>
      <c r="I79" s="56">
        <v>0</v>
      </c>
      <c r="J79" s="56">
        <v>0</v>
      </c>
      <c r="K79" s="56">
        <v>0</v>
      </c>
    </row>
    <row r="80" spans="2:11" s="0" customFormat="0" ht="15">
      <c r="B80" s="3">
        <v>4</v>
      </c>
      <c r="C80" s="55" t="s">
        <v>5290</v>
      </c>
      <c r="D80" s="56">
        <v>0</v>
      </c>
      <c r="E80" s="56">
        <v>0</v>
      </c>
      <c r="F80" s="56">
        <v>0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</row>
    <row r="81" spans="2:11" s="0" customFormat="0" ht="15">
      <c r="B81" s="3">
        <v>5</v>
      </c>
      <c r="C81" s="55" t="s">
        <v>5291</v>
      </c>
      <c r="D81" s="56">
        <v>0</v>
      </c>
      <c r="E81" s="56">
        <v>0</v>
      </c>
      <c r="F81" s="56">
        <v>0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</row>
    <row r="82" s="0" customFormat="0" ht="15"/>
    <row r="83" s="0" customFormat="0" ht="15"/>
    <row r="84" spans="2:11" s="0" customFormat="0" ht="15">
      <c r="B84" s="214" t="s">
        <v>5299</v>
      </c>
      <c r="C84" s="215"/>
      <c r="D84" s="215"/>
      <c r="E84" s="215"/>
      <c r="F84" s="215"/>
      <c r="G84" s="215"/>
      <c r="H84" s="215"/>
      <c r="I84" s="215"/>
      <c r="J84" s="215"/>
      <c r="K84" s="215"/>
    </row>
    <row r="85" spans="2:11" s="0" customFormat="0" ht="15">
      <c r="B85" s="104" t="s">
        <v>5281</v>
      </c>
      <c r="C85" s="105" t="s">
        <v>5282</v>
      </c>
      <c r="D85" s="100">
        <v>0</v>
      </c>
      <c r="E85" s="100">
        <v>1</v>
      </c>
      <c r="F85" s="100">
        <v>2</v>
      </c>
      <c r="G85" s="100">
        <v>3</v>
      </c>
      <c r="H85" s="100">
        <v>4</v>
      </c>
      <c r="I85" s="100">
        <v>5</v>
      </c>
      <c r="J85" s="100">
        <v>6</v>
      </c>
      <c r="K85" s="100" t="s">
        <v>146</v>
      </c>
    </row>
    <row r="86" spans="2:11" s="0" customFormat="0" ht="15">
      <c r="B86" s="3">
        <v>1</v>
      </c>
      <c r="C86" s="55" t="s">
        <v>5283</v>
      </c>
      <c r="D86" s="56">
        <v>0</v>
      </c>
      <c r="E86" s="56">
        <v>0</v>
      </c>
      <c r="F86" s="56">
        <v>0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</row>
    <row r="87" spans="2:11" s="0" customFormat="0" ht="15">
      <c r="B87" s="3">
        <v>2</v>
      </c>
      <c r="C87" s="55" t="s">
        <v>5286</v>
      </c>
      <c r="D87" s="56">
        <v>0</v>
      </c>
      <c r="E87" s="56">
        <v>0</v>
      </c>
      <c r="F87" s="56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</row>
    <row r="88" spans="2:11" s="0" customFormat="0" ht="15">
      <c r="B88" s="3">
        <v>3</v>
      </c>
      <c r="C88" s="55" t="s">
        <v>5289</v>
      </c>
      <c r="D88" s="56">
        <v>0</v>
      </c>
      <c r="E88" s="56">
        <v>0</v>
      </c>
      <c r="F88" s="56">
        <v>0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</row>
    <row r="89" spans="2:11" s="0" customFormat="0" ht="15">
      <c r="B89" s="3">
        <v>4</v>
      </c>
      <c r="C89" s="55" t="s">
        <v>5290</v>
      </c>
      <c r="D89" s="56">
        <v>0</v>
      </c>
      <c r="E89" s="56">
        <v>0</v>
      </c>
      <c r="F89" s="56">
        <v>0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</row>
    <row r="90" spans="2:11" s="0" customFormat="0" ht="15">
      <c r="B90" s="3">
        <v>5</v>
      </c>
      <c r="C90" s="55" t="s">
        <v>5291</v>
      </c>
      <c r="D90" s="56">
        <v>0</v>
      </c>
      <c r="E90" s="56">
        <v>0</v>
      </c>
      <c r="F90" s="56">
        <v>0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</row>
    <row r="91" spans="2:11" s="0" customFormat="0" ht="15">
      <c r="B91" s="4"/>
      <c r="C91" s="5"/>
      <c r="D91" s="5"/>
      <c r="E91" s="5"/>
      <c r="F91" s="5"/>
      <c r="G91" s="5"/>
      <c r="H91" s="5"/>
      <c r="I91" s="5"/>
      <c r="J91" s="5"/>
      <c r="K91" s="6"/>
    </row>
    <row r="92" spans="2:11" s="0" customFormat="0" ht="15">
      <c r="B92" s="112" t="s">
        <v>5281</v>
      </c>
      <c r="C92" s="113" t="s">
        <v>5292</v>
      </c>
      <c r="D92" s="114">
        <v>0</v>
      </c>
      <c r="E92" s="114">
        <v>1</v>
      </c>
      <c r="F92" s="114">
        <v>2</v>
      </c>
      <c r="G92" s="114">
        <v>3</v>
      </c>
      <c r="H92" s="114">
        <v>4</v>
      </c>
      <c r="I92" s="114">
        <v>5</v>
      </c>
      <c r="J92" s="114">
        <v>6</v>
      </c>
      <c r="K92" s="114" t="s">
        <v>146</v>
      </c>
    </row>
    <row r="93" spans="2:11" s="0" customFormat="0" ht="15">
      <c r="B93" s="3">
        <v>1</v>
      </c>
      <c r="C93" s="55" t="s">
        <v>5283</v>
      </c>
      <c r="D93" s="56">
        <v>0</v>
      </c>
      <c r="E93" s="56">
        <v>0</v>
      </c>
      <c r="F93" s="56">
        <v>0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</row>
    <row r="94" spans="2:11" s="0" customFormat="0" ht="15">
      <c r="B94" s="3">
        <v>2</v>
      </c>
      <c r="C94" s="55" t="s">
        <v>5286</v>
      </c>
      <c r="D94" s="56">
        <v>0</v>
      </c>
      <c r="E94" s="56">
        <v>0</v>
      </c>
      <c r="F94" s="56">
        <v>0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</row>
    <row r="95" spans="2:11" s="0" customFormat="0" ht="15">
      <c r="B95" s="3">
        <v>3</v>
      </c>
      <c r="C95" s="55" t="s">
        <v>5289</v>
      </c>
      <c r="D95" s="56">
        <v>0</v>
      </c>
      <c r="E95" s="56">
        <v>0</v>
      </c>
      <c r="F95" s="56">
        <v>0</v>
      </c>
      <c r="G95" s="56">
        <v>0</v>
      </c>
      <c r="H95" s="56">
        <v>0</v>
      </c>
      <c r="I95" s="56">
        <v>0</v>
      </c>
      <c r="J95" s="56">
        <v>0</v>
      </c>
      <c r="K95" s="56">
        <v>0</v>
      </c>
    </row>
    <row r="96" spans="2:11" s="0" customFormat="0" ht="15">
      <c r="B96" s="3">
        <v>4</v>
      </c>
      <c r="C96" s="55" t="s">
        <v>5290</v>
      </c>
      <c r="D96" s="56">
        <v>0</v>
      </c>
      <c r="E96" s="56">
        <v>0</v>
      </c>
      <c r="F96" s="56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</row>
    <row r="97" spans="2:11" s="0" customFormat="0" ht="15">
      <c r="B97" s="3">
        <v>5</v>
      </c>
      <c r="C97" s="55" t="s">
        <v>5291</v>
      </c>
      <c r="D97" s="56">
        <v>0</v>
      </c>
      <c r="E97" s="56">
        <v>0</v>
      </c>
      <c r="F97" s="56">
        <v>0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</row>
    <row r="98" s="0" customFormat="0" ht="15"/>
    <row r="99" s="0" customFormat="0" ht="15"/>
    <row r="100" spans="2:11" s="0" customFormat="0" ht="15">
      <c r="B100" s="214" t="s">
        <v>5300</v>
      </c>
      <c r="C100" s="215"/>
      <c r="D100" s="215"/>
      <c r="E100" s="215"/>
      <c r="F100" s="215"/>
      <c r="G100" s="215"/>
      <c r="H100" s="215"/>
      <c r="I100" s="215"/>
      <c r="J100" s="215"/>
      <c r="K100" s="215"/>
    </row>
    <row r="101" spans="2:11" s="0" customFormat="0" ht="15">
      <c r="B101" s="104" t="s">
        <v>5281</v>
      </c>
      <c r="C101" s="105" t="s">
        <v>5282</v>
      </c>
      <c r="D101" s="100">
        <v>0</v>
      </c>
      <c r="E101" s="100">
        <v>1</v>
      </c>
      <c r="F101" s="100">
        <v>2</v>
      </c>
      <c r="G101" s="100">
        <v>3</v>
      </c>
      <c r="H101" s="100">
        <v>4</v>
      </c>
      <c r="I101" s="100">
        <v>5</v>
      </c>
      <c r="J101" s="100">
        <v>6</v>
      </c>
      <c r="K101" s="100" t="s">
        <v>146</v>
      </c>
    </row>
    <row r="102" spans="2:11" s="0" customFormat="0" ht="15">
      <c r="B102" s="3">
        <v>1</v>
      </c>
      <c r="C102" s="55" t="s">
        <v>5283</v>
      </c>
      <c r="D102" s="56">
        <v>0</v>
      </c>
      <c r="E102" s="56">
        <v>0</v>
      </c>
      <c r="F102" s="56">
        <v>0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</row>
    <row r="103" spans="2:11" s="0" customFormat="0" ht="15">
      <c r="B103" s="3">
        <v>2</v>
      </c>
      <c r="C103" s="55" t="s">
        <v>5286</v>
      </c>
      <c r="D103" s="56">
        <v>0</v>
      </c>
      <c r="E103" s="56">
        <v>0</v>
      </c>
      <c r="F103" s="56">
        <v>0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</row>
    <row r="104" spans="2:11" s="0" customFormat="0" ht="15">
      <c r="B104" s="3">
        <v>3</v>
      </c>
      <c r="C104" s="55" t="s">
        <v>5289</v>
      </c>
      <c r="D104" s="56">
        <v>0</v>
      </c>
      <c r="E104" s="56">
        <v>0</v>
      </c>
      <c r="F104" s="56">
        <v>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</row>
    <row r="105" spans="2:11" s="0" customFormat="0" ht="15">
      <c r="B105" s="3">
        <v>4</v>
      </c>
      <c r="C105" s="55" t="s">
        <v>5290</v>
      </c>
      <c r="D105" s="56">
        <v>0</v>
      </c>
      <c r="E105" s="56">
        <v>0</v>
      </c>
      <c r="F105" s="56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</row>
    <row r="106" spans="2:11" s="0" customFormat="0" ht="15">
      <c r="B106" s="3">
        <v>5</v>
      </c>
      <c r="C106" s="55" t="s">
        <v>5291</v>
      </c>
      <c r="D106" s="56">
        <v>0</v>
      </c>
      <c r="E106" s="56">
        <v>0</v>
      </c>
      <c r="F106" s="56">
        <v>0</v>
      </c>
      <c r="G106" s="56">
        <v>0</v>
      </c>
      <c r="H106" s="56">
        <v>0</v>
      </c>
      <c r="I106" s="56">
        <v>0</v>
      </c>
      <c r="J106" s="56">
        <v>0</v>
      </c>
      <c r="K106" s="56">
        <v>0</v>
      </c>
    </row>
    <row r="107" spans="2:11" s="0" customFormat="0" ht="15">
      <c r="B107" s="4"/>
      <c r="C107" s="5"/>
      <c r="D107" s="5"/>
      <c r="E107" s="5"/>
      <c r="F107" s="5"/>
      <c r="G107" s="5"/>
      <c r="H107" s="5"/>
      <c r="I107" s="5"/>
      <c r="J107" s="5"/>
      <c r="K107" s="6"/>
    </row>
    <row r="108" spans="2:11" s="0" customFormat="0" ht="15">
      <c r="B108" s="112" t="s">
        <v>5281</v>
      </c>
      <c r="C108" s="113" t="s">
        <v>5292</v>
      </c>
      <c r="D108" s="114">
        <v>0</v>
      </c>
      <c r="E108" s="114">
        <v>1</v>
      </c>
      <c r="F108" s="114">
        <v>2</v>
      </c>
      <c r="G108" s="114">
        <v>3</v>
      </c>
      <c r="H108" s="114">
        <v>4</v>
      </c>
      <c r="I108" s="114">
        <v>5</v>
      </c>
      <c r="J108" s="114">
        <v>6</v>
      </c>
      <c r="K108" s="114" t="s">
        <v>146</v>
      </c>
    </row>
    <row r="109" spans="2:11" s="0" customFormat="0" ht="15">
      <c r="B109" s="3">
        <v>1</v>
      </c>
      <c r="C109" s="55" t="s">
        <v>5283</v>
      </c>
      <c r="D109" s="56">
        <v>0</v>
      </c>
      <c r="E109" s="56">
        <v>0</v>
      </c>
      <c r="F109" s="56">
        <v>0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</row>
    <row r="110" spans="2:11" s="0" customFormat="0" ht="15">
      <c r="B110" s="3">
        <v>2</v>
      </c>
      <c r="C110" s="55" t="s">
        <v>5286</v>
      </c>
      <c r="D110" s="56">
        <v>0</v>
      </c>
      <c r="E110" s="56">
        <v>0</v>
      </c>
      <c r="F110" s="56">
        <v>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</row>
    <row r="111" spans="2:11" s="0" customFormat="0" ht="15">
      <c r="B111" s="3">
        <v>3</v>
      </c>
      <c r="C111" s="55" t="s">
        <v>5289</v>
      </c>
      <c r="D111" s="56">
        <v>0</v>
      </c>
      <c r="E111" s="56">
        <v>0</v>
      </c>
      <c r="F111" s="56">
        <v>0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</row>
    <row r="112" spans="2:11" s="0" customFormat="0" ht="15">
      <c r="B112" s="3">
        <v>4</v>
      </c>
      <c r="C112" s="55" t="s">
        <v>5290</v>
      </c>
      <c r="D112" s="56">
        <v>0</v>
      </c>
      <c r="E112" s="56">
        <v>0</v>
      </c>
      <c r="F112" s="56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</row>
    <row r="113" spans="2:11" s="0" customFormat="0" ht="15">
      <c r="B113" s="3">
        <v>5</v>
      </c>
      <c r="C113" s="55" t="s">
        <v>5291</v>
      </c>
      <c r="D113" s="56">
        <v>0</v>
      </c>
      <c r="E113" s="56">
        <v>0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</row>
    <row r="114" s="0" customFormat="0" ht="15"/>
    <row r="115" s="0" customFormat="0" ht="15"/>
    <row r="116" spans="2:11" s="0" customFormat="0" ht="15">
      <c r="B116" s="214" t="s">
        <v>5301</v>
      </c>
      <c r="C116" s="215"/>
      <c r="D116" s="215"/>
      <c r="E116" s="215"/>
      <c r="F116" s="215"/>
      <c r="G116" s="215"/>
      <c r="H116" s="215"/>
      <c r="I116" s="215"/>
      <c r="J116" s="215"/>
      <c r="K116" s="215"/>
    </row>
    <row r="117" spans="2:11" s="0" customFormat="0" ht="15">
      <c r="B117" s="104" t="s">
        <v>5281</v>
      </c>
      <c r="C117" s="105" t="s">
        <v>5282</v>
      </c>
      <c r="D117" s="100">
        <v>0</v>
      </c>
      <c r="E117" s="100">
        <v>1</v>
      </c>
      <c r="F117" s="100">
        <v>2</v>
      </c>
      <c r="G117" s="100">
        <v>3</v>
      </c>
      <c r="H117" s="100">
        <v>4</v>
      </c>
      <c r="I117" s="100">
        <v>5</v>
      </c>
      <c r="J117" s="100">
        <v>6</v>
      </c>
      <c r="K117" s="100" t="s">
        <v>146</v>
      </c>
    </row>
    <row r="118" spans="2:11" s="0" customFormat="0" ht="15">
      <c r="B118" s="3">
        <v>1</v>
      </c>
      <c r="C118" s="55" t="s">
        <v>5283</v>
      </c>
      <c r="D118" s="56">
        <v>0.0068000000000000008</v>
      </c>
      <c r="E118" s="56">
        <v>0.0083</v>
      </c>
      <c r="F118" s="56">
        <v>0.0105</v>
      </c>
      <c r="G118" s="56">
        <v>0.018799999999999996</v>
      </c>
      <c r="H118" s="56">
        <v>0.045</v>
      </c>
      <c r="I118" s="56">
        <v>0.075</v>
      </c>
      <c r="J118" s="56">
        <v>0.075</v>
      </c>
      <c r="K118" s="56">
        <v>0.018799999999999996</v>
      </c>
    </row>
    <row r="119" spans="2:11" s="0" customFormat="0" ht="15">
      <c r="B119" s="3">
        <v>2</v>
      </c>
      <c r="C119" s="55" t="s">
        <v>5286</v>
      </c>
      <c r="D119" s="56">
        <v>0.0038</v>
      </c>
      <c r="E119" s="56">
        <v>0.0045000000000000008</v>
      </c>
      <c r="F119" s="56">
        <v>0.0053</v>
      </c>
      <c r="G119" s="56">
        <v>0.0113</v>
      </c>
      <c r="H119" s="56">
        <v>0.025</v>
      </c>
      <c r="I119" s="56">
        <v>0.042</v>
      </c>
      <c r="J119" s="56">
        <v>0.042</v>
      </c>
      <c r="K119" s="56">
        <v>0.0113</v>
      </c>
    </row>
    <row r="120" spans="2:11" s="0" customFormat="0" ht="15">
      <c r="B120" s="3">
        <v>3</v>
      </c>
      <c r="C120" s="55" t="s">
        <v>5289</v>
      </c>
      <c r="D120" s="56">
        <v>0.0038</v>
      </c>
      <c r="E120" s="56">
        <v>0.0038</v>
      </c>
      <c r="F120" s="56">
        <v>0.0038</v>
      </c>
      <c r="G120" s="56">
        <v>0.0075</v>
      </c>
      <c r="H120" s="56">
        <v>0.018000000000000002</v>
      </c>
      <c r="I120" s="56">
        <v>0.005</v>
      </c>
      <c r="J120" s="56">
        <v>0.005</v>
      </c>
      <c r="K120" s="56">
        <v>0.0075</v>
      </c>
    </row>
    <row r="121" spans="2:11" s="0" customFormat="0" ht="15">
      <c r="B121" s="3">
        <v>4</v>
      </c>
      <c r="C121" s="55" t="s">
        <v>5290</v>
      </c>
      <c r="D121" s="56">
        <v>0.0038</v>
      </c>
      <c r="E121" s="56">
        <v>0.0038</v>
      </c>
      <c r="F121" s="56">
        <v>0.0038</v>
      </c>
      <c r="G121" s="56">
        <v>0.0075</v>
      </c>
      <c r="H121" s="56">
        <v>0.005</v>
      </c>
      <c r="I121" s="56">
        <v>0.005</v>
      </c>
      <c r="J121" s="56">
        <v>0.005</v>
      </c>
      <c r="K121" s="56">
        <v>0.0075</v>
      </c>
    </row>
    <row r="122" spans="2:11" s="0" customFormat="0" ht="15">
      <c r="B122" s="3">
        <v>5</v>
      </c>
      <c r="C122" s="55" t="s">
        <v>5291</v>
      </c>
      <c r="D122" s="56">
        <v>0.0038</v>
      </c>
      <c r="E122" s="56">
        <v>0.0038</v>
      </c>
      <c r="F122" s="56">
        <v>0.0038</v>
      </c>
      <c r="G122" s="56">
        <v>0.0038</v>
      </c>
      <c r="H122" s="56">
        <v>0.005</v>
      </c>
      <c r="I122" s="56">
        <v>0.005</v>
      </c>
      <c r="J122" s="56">
        <v>0.005</v>
      </c>
      <c r="K122" s="56">
        <v>0.0038</v>
      </c>
    </row>
    <row r="123" spans="2:11" s="0" customFormat="0" ht="15">
      <c r="B123" s="4"/>
      <c r="C123" s="5"/>
      <c r="D123" s="5"/>
      <c r="E123" s="5"/>
      <c r="F123" s="5"/>
      <c r="G123" s="5"/>
      <c r="H123" s="5"/>
      <c r="I123" s="5"/>
      <c r="J123" s="5"/>
      <c r="K123" s="6"/>
    </row>
    <row r="124" spans="2:11" s="0" customFormat="0" ht="15">
      <c r="B124" s="112" t="s">
        <v>5281</v>
      </c>
      <c r="C124" s="113" t="s">
        <v>5292</v>
      </c>
      <c r="D124" s="114">
        <v>0</v>
      </c>
      <c r="E124" s="114">
        <v>1</v>
      </c>
      <c r="F124" s="114">
        <v>2</v>
      </c>
      <c r="G124" s="114">
        <v>3</v>
      </c>
      <c r="H124" s="114">
        <v>4</v>
      </c>
      <c r="I124" s="114">
        <v>5</v>
      </c>
      <c r="J124" s="114">
        <v>6</v>
      </c>
      <c r="K124" s="114" t="s">
        <v>146</v>
      </c>
    </row>
    <row r="125" spans="2:11" s="0" customFormat="0" ht="15">
      <c r="B125" s="3">
        <v>1</v>
      </c>
      <c r="C125" s="55" t="s">
        <v>5283</v>
      </c>
      <c r="D125" s="56">
        <v>0</v>
      </c>
      <c r="E125" s="56">
        <v>0</v>
      </c>
      <c r="F125" s="56">
        <v>0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</row>
    <row r="126" spans="2:11" s="0" customFormat="0" ht="15">
      <c r="B126" s="3">
        <v>2</v>
      </c>
      <c r="C126" s="55" t="s">
        <v>5286</v>
      </c>
      <c r="D126" s="56">
        <v>0.033799999999999996</v>
      </c>
      <c r="E126" s="56">
        <v>0.0413</v>
      </c>
      <c r="F126" s="56">
        <v>0.0525</v>
      </c>
      <c r="G126" s="56">
        <v>0.093800000000000016</v>
      </c>
      <c r="H126" s="56">
        <v>0.225</v>
      </c>
      <c r="I126" s="56">
        <v>0.375</v>
      </c>
      <c r="J126" s="56">
        <v>0.375</v>
      </c>
      <c r="K126" s="56">
        <v>0.093800000000000016</v>
      </c>
    </row>
    <row r="127" spans="2:11" s="0" customFormat="0" ht="15">
      <c r="B127" s="3">
        <v>3</v>
      </c>
      <c r="C127" s="55" t="s">
        <v>5289</v>
      </c>
      <c r="D127" s="56">
        <v>0.0525</v>
      </c>
      <c r="E127" s="56">
        <v>0.063799999999999992</v>
      </c>
      <c r="F127" s="56">
        <v>0.0788</v>
      </c>
      <c r="G127" s="56">
        <v>0.15</v>
      </c>
      <c r="H127" s="56">
        <v>0.34999999999999996</v>
      </c>
      <c r="I127" s="56">
        <v>0.585</v>
      </c>
      <c r="J127" s="56">
        <v>0.585</v>
      </c>
      <c r="K127" s="56">
        <v>0.15</v>
      </c>
    </row>
    <row r="128" spans="2:11" s="0" customFormat="0" ht="15">
      <c r="B128" s="3">
        <v>4</v>
      </c>
      <c r="C128" s="55" t="s">
        <v>5290</v>
      </c>
      <c r="D128" s="56">
        <v>0.0713</v>
      </c>
      <c r="E128" s="56">
        <v>0.0825</v>
      </c>
      <c r="F128" s="56">
        <v>0.0975</v>
      </c>
      <c r="G128" s="56">
        <v>0.1875</v>
      </c>
      <c r="H128" s="56">
        <v>0.44</v>
      </c>
      <c r="I128" s="56">
        <v>0.61</v>
      </c>
      <c r="J128" s="56">
        <v>0.61</v>
      </c>
      <c r="K128" s="56">
        <v>0.1875</v>
      </c>
    </row>
    <row r="129" spans="2:11" s="0" customFormat="0" ht="15">
      <c r="B129" s="3">
        <v>5</v>
      </c>
      <c r="C129" s="55" t="s">
        <v>5291</v>
      </c>
      <c r="D129" s="56">
        <v>0.09</v>
      </c>
      <c r="E129" s="56">
        <v>0.1013</v>
      </c>
      <c r="F129" s="56">
        <v>0.11630000000000002</v>
      </c>
      <c r="G129" s="56">
        <v>0.225</v>
      </c>
      <c r="H129" s="56">
        <v>0.466</v>
      </c>
      <c r="I129" s="56">
        <v>0.635</v>
      </c>
      <c r="J129" s="56">
        <v>0.635</v>
      </c>
      <c r="K129" s="56">
        <v>0.225</v>
      </c>
    </row>
    <row r="130" s="0" customFormat="0" ht="15"/>
    <row r="131" s="0" customFormat="0" ht="15"/>
    <row r="132" spans="2:11" s="0" customFormat="0" ht="15">
      <c r="B132" s="214" t="s">
        <v>5302</v>
      </c>
      <c r="C132" s="215"/>
      <c r="D132" s="215"/>
      <c r="E132" s="215"/>
      <c r="F132" s="215"/>
      <c r="G132" s="215"/>
      <c r="H132" s="215"/>
      <c r="I132" s="215"/>
      <c r="J132" s="215"/>
      <c r="K132" s="215"/>
    </row>
    <row r="133" spans="2:11" s="0" customFormat="0" ht="15">
      <c r="B133" s="104" t="s">
        <v>5281</v>
      </c>
      <c r="C133" s="105" t="s">
        <v>5282</v>
      </c>
      <c r="D133" s="100">
        <v>0</v>
      </c>
      <c r="E133" s="100">
        <v>1</v>
      </c>
      <c r="F133" s="100">
        <v>2</v>
      </c>
      <c r="G133" s="100">
        <v>3</v>
      </c>
      <c r="H133" s="100">
        <v>4</v>
      </c>
      <c r="I133" s="100">
        <v>5</v>
      </c>
      <c r="J133" s="100">
        <v>6</v>
      </c>
      <c r="K133" s="100" t="s">
        <v>146</v>
      </c>
    </row>
    <row r="134" spans="2:11" s="0" customFormat="0" ht="15">
      <c r="B134" s="3">
        <v>1</v>
      </c>
      <c r="C134" s="55" t="s">
        <v>5283</v>
      </c>
      <c r="D134" s="56">
        <v>0.01</v>
      </c>
      <c r="E134" s="56">
        <v>0.012</v>
      </c>
      <c r="F134" s="56">
        <v>0.016</v>
      </c>
      <c r="G134" s="56">
        <v>0.028</v>
      </c>
      <c r="H134" s="56">
        <v>0.056</v>
      </c>
      <c r="I134" s="56">
        <v>0.094</v>
      </c>
      <c r="J134" s="56">
        <v>0.094</v>
      </c>
      <c r="K134" s="56">
        <v>0.046</v>
      </c>
    </row>
    <row r="135" spans="2:11" s="0" customFormat="0" ht="15">
      <c r="B135" s="3">
        <v>2</v>
      </c>
      <c r="C135" s="55" t="s">
        <v>5286</v>
      </c>
      <c r="D135" s="56">
        <v>0.006</v>
      </c>
      <c r="E135" s="56">
        <v>0.007</v>
      </c>
      <c r="F135" s="56">
        <v>0.008</v>
      </c>
      <c r="G135" s="56">
        <v>0.017000000000000002</v>
      </c>
      <c r="H135" s="56">
        <v>0.031</v>
      </c>
      <c r="I135" s="56">
        <v>0.053</v>
      </c>
      <c r="J135" s="56">
        <v>0.053</v>
      </c>
      <c r="K135" s="56">
        <v>0.025</v>
      </c>
    </row>
    <row r="136" spans="2:11" s="0" customFormat="0" ht="15">
      <c r="B136" s="3">
        <v>3</v>
      </c>
      <c r="C136" s="55" t="s">
        <v>5289</v>
      </c>
      <c r="D136" s="56">
        <v>0.006</v>
      </c>
      <c r="E136" s="56">
        <v>0.005</v>
      </c>
      <c r="F136" s="56">
        <v>0.006</v>
      </c>
      <c r="G136" s="56">
        <v>0.011</v>
      </c>
      <c r="H136" s="56">
        <v>0.022</v>
      </c>
      <c r="I136" s="56">
        <v>0.006</v>
      </c>
      <c r="J136" s="56">
        <v>0.006</v>
      </c>
      <c r="K136" s="56">
        <v>0.017999999999999998</v>
      </c>
    </row>
    <row r="137" spans="2:11" s="0" customFormat="0" ht="15">
      <c r="B137" s="3">
        <v>4</v>
      </c>
      <c r="C137" s="55" t="s">
        <v>5290</v>
      </c>
      <c r="D137" s="56">
        <v>0.006</v>
      </c>
      <c r="E137" s="56">
        <v>0.005</v>
      </c>
      <c r="F137" s="56">
        <v>0.006</v>
      </c>
      <c r="G137" s="56">
        <v>0.011</v>
      </c>
      <c r="H137" s="56">
        <v>0.006</v>
      </c>
      <c r="I137" s="56">
        <v>0.006</v>
      </c>
      <c r="J137" s="56">
        <v>0.006</v>
      </c>
      <c r="K137" s="56">
        <v>0.005</v>
      </c>
    </row>
    <row r="138" spans="2:11" s="0" customFormat="0" ht="15">
      <c r="B138" s="3">
        <v>5</v>
      </c>
      <c r="C138" s="55" t="s">
        <v>5291</v>
      </c>
      <c r="D138" s="56">
        <v>0.006</v>
      </c>
      <c r="E138" s="56">
        <v>0.005</v>
      </c>
      <c r="F138" s="56">
        <v>0.006</v>
      </c>
      <c r="G138" s="56">
        <v>0.006</v>
      </c>
      <c r="H138" s="56">
        <v>0.006</v>
      </c>
      <c r="I138" s="56">
        <v>0.006</v>
      </c>
      <c r="J138" s="56">
        <v>0.006</v>
      </c>
      <c r="K138" s="56">
        <v>0.005</v>
      </c>
    </row>
    <row r="139" spans="2:11" s="0" customFormat="0" ht="15">
      <c r="B139" s="4"/>
      <c r="C139" s="5"/>
      <c r="D139" s="5"/>
      <c r="E139" s="5"/>
      <c r="F139" s="5"/>
      <c r="G139" s="5"/>
      <c r="H139" s="5"/>
      <c r="I139" s="5"/>
      <c r="J139" s="5"/>
      <c r="K139" s="6"/>
    </row>
    <row r="140" spans="2:11" s="0" customFormat="0" ht="15">
      <c r="B140" s="112" t="s">
        <v>5281</v>
      </c>
      <c r="C140" s="113" t="s">
        <v>5292</v>
      </c>
      <c r="D140" s="114">
        <v>0</v>
      </c>
      <c r="E140" s="114">
        <v>1</v>
      </c>
      <c r="F140" s="114">
        <v>2</v>
      </c>
      <c r="G140" s="114">
        <v>3</v>
      </c>
      <c r="H140" s="114">
        <v>4</v>
      </c>
      <c r="I140" s="114">
        <v>5</v>
      </c>
      <c r="J140" s="114">
        <v>6</v>
      </c>
      <c r="K140" s="114" t="s">
        <v>146</v>
      </c>
    </row>
    <row r="141" spans="2:11" s="0" customFormat="0" ht="15">
      <c r="B141" s="3">
        <v>1</v>
      </c>
      <c r="C141" s="55" t="s">
        <v>5283</v>
      </c>
      <c r="D141" s="56">
        <v>0</v>
      </c>
      <c r="E141" s="56">
        <v>0</v>
      </c>
      <c r="F141" s="56">
        <v>0</v>
      </c>
      <c r="G141" s="56">
        <v>0</v>
      </c>
      <c r="H141" s="56">
        <v>0</v>
      </c>
      <c r="I141" s="56">
        <v>0</v>
      </c>
      <c r="J141" s="56">
        <v>0</v>
      </c>
      <c r="K141" s="56">
        <v>0</v>
      </c>
    </row>
    <row r="142" spans="2:11" s="0" customFormat="0" ht="15">
      <c r="B142" s="3">
        <v>2</v>
      </c>
      <c r="C142" s="55" t="s">
        <v>5286</v>
      </c>
      <c r="D142" s="56">
        <v>0.05</v>
      </c>
      <c r="E142" s="56">
        <v>0.06</v>
      </c>
      <c r="F142" s="56">
        <v>0.08</v>
      </c>
      <c r="G142" s="56">
        <v>0.14000000000000002</v>
      </c>
      <c r="H142" s="56">
        <v>0.28000000000000004</v>
      </c>
      <c r="I142" s="56">
        <v>0.47</v>
      </c>
      <c r="J142" s="56">
        <v>0.47</v>
      </c>
      <c r="K142" s="56">
        <v>0.23</v>
      </c>
    </row>
    <row r="143" spans="2:11" s="0" customFormat="0" ht="15">
      <c r="B143" s="3">
        <v>3</v>
      </c>
      <c r="C143" s="55" t="s">
        <v>5289</v>
      </c>
      <c r="D143" s="56">
        <v>0.08</v>
      </c>
      <c r="E143" s="56">
        <v>0.095</v>
      </c>
      <c r="F143" s="56">
        <v>0.12</v>
      </c>
      <c r="G143" s="56">
        <v>0.225</v>
      </c>
      <c r="H143" s="56">
        <v>0.435</v>
      </c>
      <c r="I143" s="56">
        <v>0.735</v>
      </c>
      <c r="J143" s="56">
        <v>0.735</v>
      </c>
      <c r="K143" s="56">
        <v>0.355</v>
      </c>
    </row>
    <row r="144" spans="2:11" s="0" customFormat="0" ht="15">
      <c r="B144" s="3">
        <v>4</v>
      </c>
      <c r="C144" s="55" t="s">
        <v>5290</v>
      </c>
      <c r="D144" s="56">
        <v>0.11</v>
      </c>
      <c r="E144" s="56">
        <v>0.12</v>
      </c>
      <c r="F144" s="56">
        <v>0.15</v>
      </c>
      <c r="G144" s="56">
        <v>0.28000000000000004</v>
      </c>
      <c r="H144" s="56">
        <v>0.545</v>
      </c>
      <c r="I144" s="56">
        <v>0.765</v>
      </c>
      <c r="J144" s="56">
        <v>0.765</v>
      </c>
      <c r="K144" s="56">
        <v>0.445</v>
      </c>
    </row>
    <row r="145" spans="2:11" s="0" customFormat="0" ht="15">
      <c r="B145" s="3">
        <v>5</v>
      </c>
      <c r="C145" s="55" t="s">
        <v>5291</v>
      </c>
      <c r="D145" s="56">
        <v>0.14000000000000002</v>
      </c>
      <c r="E145" s="56">
        <v>0.145</v>
      </c>
      <c r="F145" s="56">
        <v>0.18</v>
      </c>
      <c r="G145" s="56">
        <v>0.335</v>
      </c>
      <c r="H145" s="56">
        <v>0.57499999999999992</v>
      </c>
      <c r="I145" s="56">
        <v>0.795</v>
      </c>
      <c r="J145" s="56">
        <v>0.795</v>
      </c>
      <c r="K145" s="56">
        <v>0.47</v>
      </c>
    </row>
    <row r="146" s="0" customFormat="0" ht="15"/>
    <row r="147" s="0" customFormat="0" ht="15"/>
    <row r="148" spans="2:11" s="0" customFormat="0" ht="15">
      <c r="B148" s="214" t="s">
        <v>5303</v>
      </c>
      <c r="C148" s="215"/>
      <c r="D148" s="215"/>
      <c r="E148" s="215"/>
      <c r="F148" s="215"/>
      <c r="G148" s="215"/>
      <c r="H148" s="215"/>
      <c r="I148" s="215"/>
      <c r="J148" s="215"/>
      <c r="K148" s="215"/>
    </row>
    <row r="149" spans="2:11" s="0" customFormat="0" ht="15">
      <c r="B149" s="104" t="s">
        <v>5281</v>
      </c>
      <c r="C149" s="105" t="s">
        <v>5282</v>
      </c>
      <c r="D149" s="100">
        <v>0</v>
      </c>
      <c r="E149" s="100">
        <v>1</v>
      </c>
      <c r="F149" s="100">
        <v>2</v>
      </c>
      <c r="G149" s="100">
        <v>3</v>
      </c>
      <c r="H149" s="100">
        <v>4</v>
      </c>
      <c r="I149" s="100">
        <v>5</v>
      </c>
      <c r="J149" s="100">
        <v>6</v>
      </c>
      <c r="K149" s="100" t="s">
        <v>146</v>
      </c>
    </row>
    <row r="150" spans="2:11" s="0" customFormat="0" ht="15">
      <c r="B150" s="3">
        <v>1</v>
      </c>
      <c r="C150" s="55" t="s">
        <v>5283</v>
      </c>
      <c r="D150" s="56">
        <v>0.028</v>
      </c>
      <c r="E150" s="56">
        <v>0.034000000000000004</v>
      </c>
      <c r="F150" s="56">
        <v>0.046</v>
      </c>
      <c r="G150" s="56">
        <v>0.079</v>
      </c>
      <c r="H150" s="56">
        <v>0.158</v>
      </c>
      <c r="I150" s="56">
        <v>0.267</v>
      </c>
      <c r="J150" s="56">
        <v>0.267</v>
      </c>
      <c r="K150" s="56">
        <v>0.094</v>
      </c>
    </row>
    <row r="151" spans="2:11" s="0" customFormat="0" ht="15">
      <c r="B151" s="3">
        <v>2</v>
      </c>
      <c r="C151" s="55" t="s">
        <v>5286</v>
      </c>
      <c r="D151" s="56">
        <v>0.016</v>
      </c>
      <c r="E151" s="56">
        <v>0.019</v>
      </c>
      <c r="F151" s="56">
        <v>0.023</v>
      </c>
      <c r="G151" s="56">
        <v>0.047</v>
      </c>
      <c r="H151" s="56">
        <v>0.088</v>
      </c>
      <c r="I151" s="56">
        <v>0</v>
      </c>
      <c r="J151" s="56">
        <v>0</v>
      </c>
      <c r="K151" s="56">
        <v>0.053</v>
      </c>
    </row>
    <row r="152" spans="2:11" s="0" customFormat="0" ht="15">
      <c r="B152" s="3">
        <v>3</v>
      </c>
      <c r="C152" s="55" t="s">
        <v>5289</v>
      </c>
      <c r="D152" s="56">
        <v>0.016</v>
      </c>
      <c r="E152" s="56">
        <v>0.015</v>
      </c>
      <c r="F152" s="56">
        <v>0.016</v>
      </c>
      <c r="G152" s="56">
        <v>0.032</v>
      </c>
      <c r="H152" s="56">
        <v>0</v>
      </c>
      <c r="I152" s="56">
        <v>0</v>
      </c>
      <c r="J152" s="56">
        <v>0</v>
      </c>
      <c r="K152" s="56">
        <v>0.006</v>
      </c>
    </row>
    <row r="153" spans="2:11" s="0" customFormat="0" ht="15">
      <c r="B153" s="3">
        <v>4</v>
      </c>
      <c r="C153" s="55" t="s">
        <v>5290</v>
      </c>
      <c r="D153" s="56">
        <v>0.016</v>
      </c>
      <c r="E153" s="56">
        <v>0.015</v>
      </c>
      <c r="F153" s="56">
        <v>0.016</v>
      </c>
      <c r="G153" s="56">
        <v>0.032</v>
      </c>
      <c r="H153" s="56">
        <v>0</v>
      </c>
      <c r="I153" s="56">
        <v>0</v>
      </c>
      <c r="J153" s="56">
        <v>0</v>
      </c>
      <c r="K153" s="56">
        <v>0.006</v>
      </c>
    </row>
    <row r="154" spans="2:11" s="0" customFormat="0" ht="15">
      <c r="B154" s="3">
        <v>5</v>
      </c>
      <c r="C154" s="55" t="s">
        <v>5291</v>
      </c>
      <c r="D154" s="56">
        <v>0.016</v>
      </c>
      <c r="E154" s="56">
        <v>0.015</v>
      </c>
      <c r="F154" s="56">
        <v>0.016</v>
      </c>
      <c r="G154" s="56">
        <v>0.016</v>
      </c>
      <c r="H154" s="56">
        <v>0</v>
      </c>
      <c r="I154" s="56">
        <v>0</v>
      </c>
      <c r="J154" s="56">
        <v>0</v>
      </c>
      <c r="K154" s="56">
        <v>0.006</v>
      </c>
    </row>
    <row r="155" spans="2:11" s="0" customFormat="0" ht="15">
      <c r="B155" s="4"/>
      <c r="C155" s="5"/>
      <c r="D155" s="5"/>
      <c r="E155" s="5"/>
      <c r="F155" s="5"/>
      <c r="G155" s="5"/>
      <c r="H155" s="5"/>
      <c r="I155" s="5"/>
      <c r="J155" s="5"/>
      <c r="K155" s="6"/>
    </row>
    <row r="156" spans="2:11" s="0" customFormat="0" ht="15">
      <c r="B156" s="112" t="s">
        <v>5281</v>
      </c>
      <c r="C156" s="113" t="s">
        <v>5292</v>
      </c>
      <c r="D156" s="114">
        <v>0</v>
      </c>
      <c r="E156" s="114">
        <v>1</v>
      </c>
      <c r="F156" s="114">
        <v>2</v>
      </c>
      <c r="G156" s="114">
        <v>3</v>
      </c>
      <c r="H156" s="114">
        <v>4</v>
      </c>
      <c r="I156" s="114">
        <v>5</v>
      </c>
      <c r="J156" s="114">
        <v>6</v>
      </c>
      <c r="K156" s="114" t="s">
        <v>146</v>
      </c>
    </row>
    <row r="157" spans="2:11" s="0" customFormat="0" ht="15">
      <c r="B157" s="3">
        <v>1</v>
      </c>
      <c r="C157" s="55" t="s">
        <v>5283</v>
      </c>
      <c r="D157" s="56">
        <v>0</v>
      </c>
      <c r="E157" s="56">
        <v>0</v>
      </c>
      <c r="F157" s="56">
        <v>0</v>
      </c>
      <c r="G157" s="56">
        <v>0</v>
      </c>
      <c r="H157" s="56">
        <v>0</v>
      </c>
      <c r="I157" s="56">
        <v>0</v>
      </c>
      <c r="J157" s="56">
        <v>0</v>
      </c>
      <c r="K157" s="56">
        <v>0</v>
      </c>
    </row>
    <row r="158" spans="2:11" s="0" customFormat="0" ht="15">
      <c r="B158" s="3">
        <v>2</v>
      </c>
      <c r="C158" s="55" t="s">
        <v>5286</v>
      </c>
      <c r="D158" s="56">
        <v>0.14000000000000002</v>
      </c>
      <c r="E158" s="56">
        <v>0.17000000000000002</v>
      </c>
      <c r="F158" s="56">
        <v>0.23</v>
      </c>
      <c r="G158" s="56">
        <v>0.395</v>
      </c>
      <c r="H158" s="56">
        <v>0.79</v>
      </c>
      <c r="I158" s="56">
        <v>1</v>
      </c>
      <c r="J158" s="56">
        <v>1</v>
      </c>
      <c r="K158" s="56">
        <v>0.47</v>
      </c>
    </row>
    <row r="159" spans="2:11" s="0" customFormat="0" ht="15">
      <c r="B159" s="3">
        <v>3</v>
      </c>
      <c r="C159" s="55" t="s">
        <v>5289</v>
      </c>
      <c r="D159" s="56">
        <v>0.22</v>
      </c>
      <c r="E159" s="56">
        <v>0.265</v>
      </c>
      <c r="F159" s="56">
        <v>0.34499999999999996</v>
      </c>
      <c r="G159" s="56">
        <v>0.63</v>
      </c>
      <c r="H159" s="56">
        <v>1</v>
      </c>
      <c r="I159" s="56">
        <v>1</v>
      </c>
      <c r="J159" s="56">
        <v>1</v>
      </c>
      <c r="K159" s="56">
        <v>0.735</v>
      </c>
    </row>
    <row r="160" spans="2:11" s="0" customFormat="0" ht="15">
      <c r="B160" s="3">
        <v>4</v>
      </c>
      <c r="C160" s="55" t="s">
        <v>5290</v>
      </c>
      <c r="D160" s="56">
        <v>0.3</v>
      </c>
      <c r="E160" s="56">
        <v>0.34000000000000004</v>
      </c>
      <c r="F160" s="56">
        <v>0.425</v>
      </c>
      <c r="G160" s="56">
        <v>0.79</v>
      </c>
      <c r="H160" s="56">
        <v>1</v>
      </c>
      <c r="I160" s="56">
        <v>1</v>
      </c>
      <c r="J160" s="56">
        <v>1</v>
      </c>
      <c r="K160" s="56">
        <v>0.765</v>
      </c>
    </row>
    <row r="161" spans="2:11" s="0" customFormat="0" ht="15">
      <c r="B161" s="3">
        <v>5</v>
      </c>
      <c r="C161" s="55" t="s">
        <v>5291</v>
      </c>
      <c r="D161" s="56">
        <v>0.38</v>
      </c>
      <c r="E161" s="56">
        <v>0.415</v>
      </c>
      <c r="F161" s="56">
        <v>0.505</v>
      </c>
      <c r="G161" s="56">
        <v>0.95</v>
      </c>
      <c r="H161" s="56">
        <v>1</v>
      </c>
      <c r="I161" s="56">
        <v>1</v>
      </c>
      <c r="J161" s="56">
        <v>1</v>
      </c>
      <c r="K161" s="56">
        <v>0.795</v>
      </c>
    </row>
    <row r="162" s="0" customFormat="0" ht="15"/>
    <row r="163" s="0" customFormat="0" ht="15"/>
    <row r="164" spans="2:11" s="0" customFormat="0" ht="15">
      <c r="B164" s="214" t="s">
        <v>5304</v>
      </c>
      <c r="C164" s="215"/>
      <c r="D164" s="215"/>
      <c r="E164" s="215"/>
      <c r="F164" s="215"/>
      <c r="G164" s="215"/>
      <c r="H164" s="215"/>
      <c r="I164" s="215"/>
      <c r="J164" s="215"/>
      <c r="K164" s="215"/>
    </row>
    <row r="165" spans="2:11" s="0" customFormat="0" ht="15">
      <c r="B165" s="104" t="s">
        <v>5281</v>
      </c>
      <c r="C165" s="105" t="s">
        <v>5282</v>
      </c>
      <c r="D165" s="100">
        <v>0</v>
      </c>
      <c r="E165" s="100">
        <v>1</v>
      </c>
      <c r="F165" s="100">
        <v>2</v>
      </c>
      <c r="G165" s="100">
        <v>3</v>
      </c>
      <c r="H165" s="100">
        <v>4</v>
      </c>
      <c r="I165" s="100">
        <v>5</v>
      </c>
      <c r="J165" s="100">
        <v>6</v>
      </c>
      <c r="K165" s="100" t="s">
        <v>146</v>
      </c>
    </row>
    <row r="166" spans="2:11" s="0" customFormat="0" ht="15">
      <c r="B166" s="3">
        <v>1</v>
      </c>
      <c r="C166" s="55" t="s">
        <v>5283</v>
      </c>
      <c r="D166" s="56">
        <v>0</v>
      </c>
      <c r="E166" s="56">
        <v>0</v>
      </c>
      <c r="F166" s="56">
        <v>0.011000000000000002</v>
      </c>
      <c r="G166" s="56">
        <v>0.013999999999999998</v>
      </c>
      <c r="H166" s="56">
        <v>0.025</v>
      </c>
      <c r="I166" s="56">
        <v>0.045</v>
      </c>
      <c r="J166" s="56">
        <v>0.045</v>
      </c>
      <c r="K166" s="56">
        <v>0.03</v>
      </c>
    </row>
    <row r="167" spans="2:11" s="0" customFormat="0" ht="15">
      <c r="B167" s="3">
        <v>2</v>
      </c>
      <c r="C167" s="55" t="s">
        <v>5286</v>
      </c>
      <c r="D167" s="56">
        <v>0</v>
      </c>
      <c r="E167" s="56">
        <v>0</v>
      </c>
      <c r="F167" s="56">
        <v>0.006</v>
      </c>
      <c r="G167" s="56">
        <v>0.0069999999999999992</v>
      </c>
      <c r="H167" s="56">
        <v>0.015</v>
      </c>
      <c r="I167" s="56">
        <v>0.025</v>
      </c>
      <c r="J167" s="56">
        <v>0.025</v>
      </c>
      <c r="K167" s="56">
        <v>0.017000000000000002</v>
      </c>
    </row>
    <row r="168" spans="2:11" s="0" customFormat="0" ht="15">
      <c r="B168" s="3">
        <v>3</v>
      </c>
      <c r="C168" s="55" t="s">
        <v>5289</v>
      </c>
      <c r="D168" s="56">
        <v>0</v>
      </c>
      <c r="E168" s="56">
        <v>0</v>
      </c>
      <c r="F168" s="56">
        <v>0.005</v>
      </c>
      <c r="G168" s="56">
        <v>0.005</v>
      </c>
      <c r="H168" s="56">
        <v>0.01</v>
      </c>
      <c r="I168" s="56">
        <v>0.018000000000000002</v>
      </c>
      <c r="J168" s="56">
        <v>0.018000000000000002</v>
      </c>
      <c r="K168" s="56">
        <v>0.012</v>
      </c>
    </row>
    <row r="169" spans="2:11" s="0" customFormat="0" ht="15">
      <c r="B169" s="3">
        <v>4</v>
      </c>
      <c r="C169" s="55" t="s">
        <v>5290</v>
      </c>
      <c r="D169" s="56">
        <v>0</v>
      </c>
      <c r="E169" s="56">
        <v>0</v>
      </c>
      <c r="F169" s="56">
        <v>0.005</v>
      </c>
      <c r="G169" s="56">
        <v>0.005</v>
      </c>
      <c r="H169" s="56">
        <v>0.01</v>
      </c>
      <c r="I169" s="56">
        <v>0.005</v>
      </c>
      <c r="J169" s="56">
        <v>0.005</v>
      </c>
      <c r="K169" s="56">
        <v>0.012</v>
      </c>
    </row>
    <row r="170" spans="2:11" s="0" customFormat="0" ht="15">
      <c r="B170" s="3">
        <v>5</v>
      </c>
      <c r="C170" s="55" t="s">
        <v>5291</v>
      </c>
      <c r="D170" s="56">
        <v>0</v>
      </c>
      <c r="E170" s="56">
        <v>0</v>
      </c>
      <c r="F170" s="56">
        <v>0.005</v>
      </c>
      <c r="G170" s="56">
        <v>0.005</v>
      </c>
      <c r="H170" s="56">
        <v>0.005</v>
      </c>
      <c r="I170" s="56">
        <v>0.005</v>
      </c>
      <c r="J170" s="56">
        <v>0.005</v>
      </c>
      <c r="K170" s="56">
        <v>0.005</v>
      </c>
    </row>
    <row r="171" s="0" customFormat="0" ht="15"/>
    <row r="172" spans="2:11" s="0" customFormat="0" ht="15">
      <c r="B172" s="112" t="s">
        <v>5281</v>
      </c>
      <c r="C172" s="113" t="s">
        <v>5292</v>
      </c>
      <c r="D172" s="114">
        <v>0</v>
      </c>
      <c r="E172" s="114">
        <v>1</v>
      </c>
      <c r="F172" s="114">
        <v>2</v>
      </c>
      <c r="G172" s="114">
        <v>3</v>
      </c>
      <c r="H172" s="114">
        <v>4</v>
      </c>
      <c r="I172" s="114">
        <v>5</v>
      </c>
      <c r="J172" s="114">
        <v>6</v>
      </c>
      <c r="K172" s="114" t="s">
        <v>146</v>
      </c>
    </row>
    <row r="173" spans="2:11" s="0" customFormat="0" ht="15">
      <c r="B173" s="3">
        <v>1</v>
      </c>
      <c r="C173" s="55" t="s">
        <v>5283</v>
      </c>
      <c r="D173" s="56">
        <v>0</v>
      </c>
      <c r="E173" s="56">
        <v>0</v>
      </c>
      <c r="F173" s="56">
        <v>0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</row>
    <row r="174" spans="2:11" s="0" customFormat="0" ht="15">
      <c r="B174" s="3">
        <v>2</v>
      </c>
      <c r="C174" s="55" t="s">
        <v>5286</v>
      </c>
      <c r="D174" s="56">
        <v>0</v>
      </c>
      <c r="E174" s="56">
        <v>0</v>
      </c>
      <c r="F174" s="56">
        <v>0.055</v>
      </c>
      <c r="G174" s="56">
        <v>0.070000000000000008</v>
      </c>
      <c r="H174" s="56">
        <v>0.125</v>
      </c>
      <c r="I174" s="56">
        <v>0.225</v>
      </c>
      <c r="J174" s="56">
        <v>0.225</v>
      </c>
      <c r="K174" s="56">
        <v>0.15</v>
      </c>
    </row>
    <row r="175" spans="2:11" s="0" customFormat="0" ht="15">
      <c r="B175" s="3">
        <v>3</v>
      </c>
      <c r="C175" s="55" t="s">
        <v>5289</v>
      </c>
      <c r="D175" s="56">
        <v>0</v>
      </c>
      <c r="E175" s="56">
        <v>0</v>
      </c>
      <c r="F175" s="56">
        <v>0.084</v>
      </c>
      <c r="G175" s="56">
        <v>0.105</v>
      </c>
      <c r="H175" s="56">
        <v>0.2</v>
      </c>
      <c r="I175" s="56">
        <v>0.34999999999999996</v>
      </c>
      <c r="J175" s="56">
        <v>0.34999999999999996</v>
      </c>
      <c r="K175" s="56">
        <v>0.235</v>
      </c>
    </row>
    <row r="176" spans="2:11" s="0" customFormat="0" ht="15">
      <c r="B176" s="3">
        <v>4</v>
      </c>
      <c r="C176" s="55" t="s">
        <v>5290</v>
      </c>
      <c r="D176" s="56">
        <v>0</v>
      </c>
      <c r="E176" s="56">
        <v>0</v>
      </c>
      <c r="F176" s="56">
        <v>0.109</v>
      </c>
      <c r="G176" s="56">
        <v>0.13</v>
      </c>
      <c r="H176" s="56">
        <v>0.25</v>
      </c>
      <c r="I176" s="56">
        <v>0.44</v>
      </c>
      <c r="J176" s="56">
        <v>0.44</v>
      </c>
      <c r="K176" s="56">
        <v>0.295</v>
      </c>
    </row>
    <row r="177" spans="2:11" s="0" customFormat="0" ht="15">
      <c r="B177" s="3">
        <v>5</v>
      </c>
      <c r="C177" s="55" t="s">
        <v>5291</v>
      </c>
      <c r="D177" s="56">
        <v>0</v>
      </c>
      <c r="E177" s="56">
        <v>0</v>
      </c>
      <c r="F177" s="56">
        <v>0.134</v>
      </c>
      <c r="G177" s="56">
        <v>0.155</v>
      </c>
      <c r="H177" s="56">
        <v>0.3</v>
      </c>
      <c r="I177" s="56">
        <v>0.466</v>
      </c>
      <c r="J177" s="56">
        <v>0.466</v>
      </c>
      <c r="K177" s="56">
        <v>0.355</v>
      </c>
    </row>
  </sheetData>
  <mergeCells count="17">
    <mergeCell ref="B148:K148"/>
    <mergeCell ref="B132:K132"/>
    <mergeCell ref="B116:K116"/>
    <mergeCell ref="B100:K100"/>
    <mergeCell ref="B84:K84"/>
    <mergeCell ref="B68:K68"/>
    <mergeCell ref="B52:K52"/>
    <mergeCell ref="B36:K36"/>
    <mergeCell ref="P5:Q5"/>
    <mergeCell ref="P6:Q6"/>
    <mergeCell ref="M5:N5"/>
    <mergeCell ref="M6:N6"/>
    <mergeCell ref="B4:K4"/>
    <mergeCell ref="B20:K20"/>
    <mergeCell ref="B2:Q2"/>
    <mergeCell ref="M4:Q4"/>
    <mergeCell ref="B164:K164"/>
  </mergeCells>
  <pageMargins left="0.75" right="0.75" top="1" bottom="1" header="0.5" footer="0.5"/>
  <headerFooter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6"/>
  <dimension ref="B1:O53"/>
  <sheetViews>
    <sheetView workbookViewId="0"/>
  </sheetViews>
  <sheetFormatPr defaultColWidth="20.4296875" defaultRowHeight="12.75" customHeight="0"/>
  <cols>
    <col min="2" max="2" width="55.4296875" style="1" customWidth="1"/>
    <col min="4" max="4" width="60.14453125" style="1" customWidth="1"/>
    <col min="5" max="5" width="27.4296875" style="1" customWidth="1"/>
    <col min="11" max="15" width="20.4296875" hidden="1" style="1"/>
  </cols>
  <sheetData>
    <row r="1" spans="2:9" s="0" customFormat="0" ht="15">
      <c r="B1" s="79"/>
      <c r="C1" s="79"/>
      <c r="D1" s="79"/>
      <c r="E1" s="79"/>
      <c r="F1" s="79"/>
      <c r="G1" s="79"/>
      <c r="H1" s="79"/>
      <c r="I1" s="79"/>
    </row>
    <row r="2" spans="2:15" s="0" customFormat="0" ht="15">
      <c r="B2" s="92" t="s">
        <v>20</v>
      </c>
      <c r="C2" s="81" t="s">
        <v>21</v>
      </c>
      <c r="D2" s="81" t="s">
        <v>22</v>
      </c>
      <c r="E2" s="81" t="s">
        <v>23</v>
      </c>
      <c r="F2" s="81" t="s">
        <v>24</v>
      </c>
      <c r="G2" s="82" t="s">
        <v>25</v>
      </c>
      <c r="H2" s="82" t="s">
        <v>26</v>
      </c>
      <c r="I2" s="82" t="s">
        <v>5305</v>
      </c>
      <c r="K2" s="172" t="s">
        <v>5306</v>
      </c>
      <c r="L2" s="173" t="s">
        <v>5307</v>
      </c>
      <c r="M2" s="173" t="s">
        <v>5308</v>
      </c>
      <c r="N2" s="173" t="s">
        <v>5309</v>
      </c>
      <c r="O2" s="173" t="s">
        <v>5310</v>
      </c>
    </row>
    <row r="3" spans="2:15" s="0" customFormat="0" ht="15">
      <c r="B3" s="93" t="s">
        <v>1</v>
      </c>
      <c r="C3" s="83" t="s">
        <v>5311</v>
      </c>
      <c r="D3" s="83" t="s">
        <v>5312</v>
      </c>
      <c r="E3" s="83" t="s">
        <v>67</v>
      </c>
      <c r="F3" s="83" t="s">
        <v>1</v>
      </c>
      <c r="G3" s="83"/>
      <c r="H3" s="83">
        <f>INDIRECT(I3)</f>
        <v>246297857.55273576</v>
      </c>
      <c r="I3" s="83" t="str">
        <f>ADDRESS(MATCH(E3,'Spread Risk'!$B:$B,0),MATCH(F3,'Spread Risk'!$2:$2,0),,,"Spread Risk")</f>
        <v>'Spread Risk'!$H$7</v>
      </c>
      <c r="J3" s="1"/>
      <c r="K3" s="174">
        <f t="array" ref="K3">COUNT(IF(ISERROR($G$3:$H$53),1,""))</f>
        <v>0</v>
      </c>
      <c r="L3" s="175" t="str">
        <f>IF(K3&gt;=1,"Check","Ok")</f>
        <v>Ok</v>
      </c>
      <c r="M3" s="175" t="str">
        <f>C3</f>
        <v>Spread Risk</v>
      </c>
      <c r="N3" s="176" t="s">
        <v>5313</v>
      </c>
      <c r="O3" s="175" t="str">
        <f>'Entity Information'!$C$2</f>
        <v>RC630</v>
      </c>
    </row>
    <row r="4" spans="2:10" s="0" customFormat="0" ht="15">
      <c r="B4" s="93" t="s">
        <v>1</v>
      </c>
      <c r="C4" s="83" t="s">
        <v>5311</v>
      </c>
      <c r="D4" s="83" t="s">
        <v>5312</v>
      </c>
      <c r="E4" s="83" t="s">
        <v>71</v>
      </c>
      <c r="F4" s="83" t="s">
        <v>1</v>
      </c>
      <c r="G4" s="83"/>
      <c r="H4" s="83">
        <f>INDIRECT(I4)</f>
        <v>0</v>
      </c>
      <c r="I4" s="83" t="str">
        <f>ADDRESS(MATCH(E4,'Spread Risk'!$B:$B,0),MATCH(F4,'Spread Risk'!$2:$2,0),,,"Spread Risk")</f>
        <v>'Spread Risk'!$H$8</v>
      </c>
      <c r="J4" s="1"/>
    </row>
    <row r="5" spans="2:10" s="0" customFormat="0" ht="15">
      <c r="B5" s="93" t="s">
        <v>1</v>
      </c>
      <c r="C5" s="83" t="s">
        <v>5311</v>
      </c>
      <c r="D5" s="83" t="s">
        <v>5312</v>
      </c>
      <c r="E5" s="83" t="s">
        <v>73</v>
      </c>
      <c r="F5" s="83" t="s">
        <v>1</v>
      </c>
      <c r="G5" s="83"/>
      <c r="H5" s="83">
        <f>INDIRECT(I5)</f>
        <v>-12881443.72413583</v>
      </c>
      <c r="I5" s="83" t="str">
        <f>ADDRESS(MATCH(E5,'Spread Risk'!$B:$B,0),MATCH(F5,'Spread Risk'!$2:$2,0),,,"Spread Risk")</f>
        <v>'Spread Risk'!$H$9</v>
      </c>
      <c r="J5" s="1"/>
    </row>
    <row r="6" spans="2:10" s="0" customFormat="0" ht="15">
      <c r="B6" s="93" t="s">
        <v>1</v>
      </c>
      <c r="C6" s="83" t="s">
        <v>5311</v>
      </c>
      <c r="D6" s="83" t="s">
        <v>5312</v>
      </c>
      <c r="E6" s="83" t="s">
        <v>75</v>
      </c>
      <c r="F6" s="83" t="s">
        <v>1</v>
      </c>
      <c r="G6" s="83"/>
      <c r="H6" s="83">
        <f>INDIRECT(I6)</f>
        <v>0</v>
      </c>
      <c r="I6" s="83" t="str">
        <f>ADDRESS(MATCH(E6,'Spread Risk'!$B:$B,0),MATCH(F6,'Spread Risk'!$2:$2,0),,,"Spread Risk")</f>
        <v>'Spread Risk'!$H$10</v>
      </c>
      <c r="J6" s="1"/>
    </row>
    <row r="7" spans="2:10" s="0" customFormat="0" ht="15">
      <c r="B7" s="93" t="s">
        <v>1</v>
      </c>
      <c r="C7" s="83" t="s">
        <v>5311</v>
      </c>
      <c r="D7" s="83" t="s">
        <v>5312</v>
      </c>
      <c r="E7" s="83" t="s">
        <v>76</v>
      </c>
      <c r="F7" s="83" t="s">
        <v>1</v>
      </c>
      <c r="G7" s="83"/>
      <c r="H7" s="83">
        <f>INDIRECT(I7)</f>
        <v>-671473.97880483616</v>
      </c>
      <c r="I7" s="83" t="str">
        <f>ADDRESS(MATCH(E7,'Spread Risk'!$B:$B,0),MATCH(F7,'Spread Risk'!$2:$2,0),,,"Spread Risk")</f>
        <v>'Spread Risk'!$H$11</v>
      </c>
      <c r="J7" s="1"/>
    </row>
    <row r="8" spans="2:10" s="0" customFormat="0" ht="15">
      <c r="B8" s="93" t="s">
        <v>1</v>
      </c>
      <c r="C8" s="83" t="s">
        <v>5311</v>
      </c>
      <c r="D8" s="83" t="s">
        <v>5314</v>
      </c>
      <c r="E8" s="83" t="s">
        <v>83</v>
      </c>
      <c r="F8" s="83" t="s">
        <v>1</v>
      </c>
      <c r="G8" s="83"/>
      <c r="H8" s="83">
        <f>INDIRECT(I8)</f>
        <v>0</v>
      </c>
      <c r="I8" s="83" t="str">
        <f>ADDRESS(MATCH(E8,'Spread Risk'!$B:$B,0),MATCH(F8,'Spread Risk'!$2:$2,0),,,"Spread Risk")</f>
        <v>'Spread Risk'!$H$17</v>
      </c>
      <c r="J8" s="1"/>
    </row>
    <row r="9" spans="2:10" s="0" customFormat="0" ht="15">
      <c r="B9" s="93" t="s">
        <v>1</v>
      </c>
      <c r="C9" s="83" t="s">
        <v>5311</v>
      </c>
      <c r="D9" s="83" t="s">
        <v>5314</v>
      </c>
      <c r="E9" s="83" t="s">
        <v>84</v>
      </c>
      <c r="F9" s="83" t="s">
        <v>1</v>
      </c>
      <c r="G9" s="83"/>
      <c r="H9" s="83">
        <f>INDIRECT(I9)</f>
        <v>0</v>
      </c>
      <c r="I9" s="83" t="str">
        <f>ADDRESS(MATCH(E9,'Spread Risk'!$B:$B,0),MATCH(F9,'Spread Risk'!$2:$2,0),,,"Spread Risk")</f>
        <v>'Spread Risk'!$H$18</v>
      </c>
      <c r="J9" s="1"/>
    </row>
    <row r="10" spans="2:10" s="0" customFormat="0" ht="15">
      <c r="B10" s="93" t="s">
        <v>1</v>
      </c>
      <c r="C10" s="83" t="s">
        <v>5311</v>
      </c>
      <c r="D10" s="83" t="s">
        <v>5314</v>
      </c>
      <c r="E10" s="83" t="s">
        <v>86</v>
      </c>
      <c r="F10" s="83" t="s">
        <v>1</v>
      </c>
      <c r="G10" s="83"/>
      <c r="H10" s="83">
        <f>INDIRECT(I10)</f>
        <v>0</v>
      </c>
      <c r="I10" s="83" t="str">
        <f>ADDRESS(MATCH(E10,'Spread Risk'!$B:$B,0),MATCH(F10,'Spread Risk'!$2:$2,0),,,"Spread Risk")</f>
        <v>'Spread Risk'!$H$19</v>
      </c>
      <c r="J10" s="1"/>
    </row>
    <row r="11" spans="2:10" s="0" customFormat="0" ht="15">
      <c r="B11" s="93" t="s">
        <v>1</v>
      </c>
      <c r="C11" s="83" t="s">
        <v>5311</v>
      </c>
      <c r="D11" s="83" t="s">
        <v>5314</v>
      </c>
      <c r="E11" s="83" t="s">
        <v>87</v>
      </c>
      <c r="F11" s="83" t="s">
        <v>1</v>
      </c>
      <c r="G11" s="83"/>
      <c r="H11" s="83">
        <f>INDIRECT(I11)</f>
        <v>0</v>
      </c>
      <c r="I11" s="83" t="str">
        <f>ADDRESS(MATCH(E11,'Spread Risk'!$B:$B,0),MATCH(F11,'Spread Risk'!$2:$2,0),,,"Spread Risk")</f>
        <v>'Spread Risk'!$H$20</v>
      </c>
      <c r="J11" s="1"/>
    </row>
    <row r="12" spans="2:10" s="0" customFormat="0" ht="15">
      <c r="B12" s="93" t="s">
        <v>1</v>
      </c>
      <c r="C12" s="83" t="s">
        <v>5311</v>
      </c>
      <c r="D12" s="83" t="s">
        <v>5314</v>
      </c>
      <c r="E12" s="83" t="s">
        <v>88</v>
      </c>
      <c r="F12" s="83" t="s">
        <v>1</v>
      </c>
      <c r="G12" s="83"/>
      <c r="H12" s="83">
        <f>INDIRECT(I12)</f>
        <v>0</v>
      </c>
      <c r="I12" s="83" t="str">
        <f>ADDRESS(MATCH(E12,'Spread Risk'!$B:$B,0),MATCH(F12,'Spread Risk'!$2:$2,0),,,"Spread Risk")</f>
        <v>'Spread Risk'!$H$21</v>
      </c>
      <c r="J12" s="1"/>
    </row>
    <row r="13" spans="2:10" s="0" customFormat="0" ht="15">
      <c r="B13" s="93" t="s">
        <v>1</v>
      </c>
      <c r="C13" s="83" t="s">
        <v>5311</v>
      </c>
      <c r="D13" s="83" t="s">
        <v>5315</v>
      </c>
      <c r="E13" s="83" t="s">
        <v>89</v>
      </c>
      <c r="F13" s="83" t="s">
        <v>1</v>
      </c>
      <c r="G13" s="83"/>
      <c r="H13" s="83">
        <f>INDIRECT(I13)</f>
        <v>246297857.55273576</v>
      </c>
      <c r="I13" s="83" t="str">
        <f>ADDRESS(MATCH(E13,'Spread Risk'!$B:$B,0),MATCH(F13,'Spread Risk'!$2:$2,0),,,"Spread Risk")</f>
        <v>'Spread Risk'!$H$22</v>
      </c>
      <c r="J13" s="1"/>
    </row>
    <row r="14" spans="2:10" s="0" customFormat="0" ht="15">
      <c r="B14" s="93" t="s">
        <v>1</v>
      </c>
      <c r="C14" s="83" t="s">
        <v>5311</v>
      </c>
      <c r="D14" s="83" t="s">
        <v>5315</v>
      </c>
      <c r="E14" s="83" t="s">
        <v>90</v>
      </c>
      <c r="F14" s="83" t="s">
        <v>1</v>
      </c>
      <c r="G14" s="83"/>
      <c r="H14" s="83">
        <f>INDIRECT(I14)</f>
        <v>0</v>
      </c>
      <c r="I14" s="83" t="str">
        <f>ADDRESS(MATCH(E14,'Spread Risk'!$B:$B,0),MATCH(F14,'Spread Risk'!$2:$2,0),,,"Spread Risk")</f>
        <v>'Spread Risk'!$H$23</v>
      </c>
      <c r="J14" s="1"/>
    </row>
    <row r="15" spans="2:10" s="0" customFormat="0" ht="15">
      <c r="B15" s="93" t="s">
        <v>1</v>
      </c>
      <c r="C15" s="83" t="s">
        <v>5311</v>
      </c>
      <c r="D15" s="83" t="s">
        <v>5315</v>
      </c>
      <c r="E15" s="83" t="s">
        <v>92</v>
      </c>
      <c r="F15" s="83" t="s">
        <v>1</v>
      </c>
      <c r="G15" s="83"/>
      <c r="H15" s="83">
        <f>INDIRECT(I15)</f>
        <v>-12881443.72413583</v>
      </c>
      <c r="I15" s="83" t="str">
        <f>ADDRESS(MATCH(E15,'Spread Risk'!$B:$B,0),MATCH(F15,'Spread Risk'!$2:$2,0),,,"Spread Risk")</f>
        <v>'Spread Risk'!$H$24</v>
      </c>
      <c r="J15" s="1"/>
    </row>
    <row r="16" spans="2:10" s="0" customFormat="0" ht="15">
      <c r="B16" s="93" t="s">
        <v>1</v>
      </c>
      <c r="C16" s="83" t="s">
        <v>5311</v>
      </c>
      <c r="D16" s="83" t="s">
        <v>5315</v>
      </c>
      <c r="E16" s="83" t="s">
        <v>93</v>
      </c>
      <c r="F16" s="83" t="s">
        <v>1</v>
      </c>
      <c r="G16" s="83"/>
      <c r="H16" s="83">
        <f>INDIRECT(I16)</f>
        <v>0</v>
      </c>
      <c r="I16" s="83" t="str">
        <f>ADDRESS(MATCH(E16,'Spread Risk'!$B:$B,0),MATCH(F16,'Spread Risk'!$2:$2,0),,,"Spread Risk")</f>
        <v>'Spread Risk'!$H$25</v>
      </c>
      <c r="J16" s="1"/>
    </row>
    <row r="17" spans="2:10" s="0" customFormat="0" ht="15">
      <c r="B17" s="93" t="s">
        <v>1</v>
      </c>
      <c r="C17" s="83" t="s">
        <v>5311</v>
      </c>
      <c r="D17" s="83" t="s">
        <v>5315</v>
      </c>
      <c r="E17" s="83" t="s">
        <v>94</v>
      </c>
      <c r="F17" s="83" t="s">
        <v>1</v>
      </c>
      <c r="G17" s="83"/>
      <c r="H17" s="83">
        <f>INDIRECT(I17)</f>
        <v>-671473.97880483616</v>
      </c>
      <c r="I17" s="83" t="str">
        <f>ADDRESS(MATCH(E17,'Spread Risk'!$B:$B,0),MATCH(F17,'Spread Risk'!$2:$2,0),,,"Spread Risk")</f>
        <v>'Spread Risk'!$H$26</v>
      </c>
      <c r="J17" s="1"/>
    </row>
    <row r="18" spans="2:10" s="0" customFormat="0" ht="15">
      <c r="B18" s="93" t="s">
        <v>1</v>
      </c>
      <c r="C18" s="83" t="s">
        <v>5311</v>
      </c>
      <c r="D18" s="83" t="s">
        <v>5316</v>
      </c>
      <c r="E18" s="83" t="s">
        <v>95</v>
      </c>
      <c r="F18" s="83" t="s">
        <v>1</v>
      </c>
      <c r="G18" s="83"/>
      <c r="H18" s="83">
        <f>INDIRECT(I18)</f>
        <v>3348855.6539814424</v>
      </c>
      <c r="I18" s="83" t="str">
        <f>ADDRESS(MATCH(E18,'Spread Risk'!$B:$B,0),MATCH(F18,'Spread Risk'!$2:$2,0),,,"Spread Risk")</f>
        <v>'Spread Risk'!$H$27</v>
      </c>
      <c r="J18" s="1"/>
    </row>
    <row r="19" spans="2:10" s="0" customFormat="0" ht="15">
      <c r="B19" s="93" t="s">
        <v>1</v>
      </c>
      <c r="C19" s="83" t="s">
        <v>5311</v>
      </c>
      <c r="D19" s="83" t="s">
        <v>5316</v>
      </c>
      <c r="E19" s="83" t="s">
        <v>97</v>
      </c>
      <c r="F19" s="83" t="s">
        <v>1</v>
      </c>
      <c r="G19" s="83"/>
      <c r="H19" s="83">
        <f>INDIRECT(I19)</f>
        <v>0</v>
      </c>
      <c r="I19" s="83" t="str">
        <f>ADDRESS(MATCH(E19,'Spread Risk'!$B:$B,0),MATCH(F19,'Spread Risk'!$2:$2,0),,,"Spread Risk")</f>
        <v>'Spread Risk'!$H$28</v>
      </c>
      <c r="J19" s="1"/>
    </row>
    <row r="20" spans="2:10" s="0" customFormat="0" ht="15">
      <c r="B20" s="93" t="s">
        <v>1</v>
      </c>
      <c r="C20" s="83" t="s">
        <v>5311</v>
      </c>
      <c r="D20" s="83" t="s">
        <v>5316</v>
      </c>
      <c r="E20" s="83" t="s">
        <v>98</v>
      </c>
      <c r="F20" s="83" t="s">
        <v>1</v>
      </c>
      <c r="G20" s="83"/>
      <c r="H20" s="83">
        <f>INDIRECT(I20)</f>
        <v>-2882469.6841400708</v>
      </c>
      <c r="I20" s="83" t="str">
        <f>ADDRESS(MATCH(E20,'Spread Risk'!$B:$B,0),MATCH(F20,'Spread Risk'!$2:$2,0),,,"Spread Risk")</f>
        <v>'Spread Risk'!$H$29</v>
      </c>
      <c r="J20" s="1"/>
    </row>
    <row r="21" spans="2:10" s="0" customFormat="0" ht="15">
      <c r="B21" s="93" t="s">
        <v>1</v>
      </c>
      <c r="C21" s="83" t="s">
        <v>5311</v>
      </c>
      <c r="D21" s="83" t="s">
        <v>5316</v>
      </c>
      <c r="E21" s="83" t="s">
        <v>99</v>
      </c>
      <c r="F21" s="83" t="s">
        <v>1</v>
      </c>
      <c r="G21" s="83"/>
      <c r="H21" s="83">
        <f>INDIRECT(I21)</f>
        <v>0</v>
      </c>
      <c r="I21" s="83" t="str">
        <f>ADDRESS(MATCH(E21,'Spread Risk'!$B:$B,0),MATCH(F21,'Spread Risk'!$2:$2,0),,,"Spread Risk")</f>
        <v>'Spread Risk'!$H$30</v>
      </c>
      <c r="J21" s="1"/>
    </row>
    <row r="22" spans="2:10" s="0" customFormat="0" ht="15">
      <c r="B22" s="93" t="s">
        <v>1</v>
      </c>
      <c r="C22" s="83" t="s">
        <v>5311</v>
      </c>
      <c r="D22" s="83" t="s">
        <v>5316</v>
      </c>
      <c r="E22" s="83" t="s">
        <v>100</v>
      </c>
      <c r="F22" s="83" t="s">
        <v>1</v>
      </c>
      <c r="G22" s="83"/>
      <c r="H22" s="83">
        <f>INDIRECT(I22)</f>
        <v>-157891.03846631268</v>
      </c>
      <c r="I22" s="83" t="str">
        <f>ADDRESS(MATCH(E22,'Spread Risk'!$B:$B,0),MATCH(F22,'Spread Risk'!$2:$2,0),,,"Spread Risk")</f>
        <v>'Spread Risk'!$H$31</v>
      </c>
      <c r="J22" s="1"/>
    </row>
    <row r="23" spans="2:10" s="0" customFormat="0" ht="15">
      <c r="B23" s="93" t="s">
        <v>1</v>
      </c>
      <c r="C23" s="83" t="s">
        <v>5311</v>
      </c>
      <c r="D23" s="83" t="s">
        <v>5317</v>
      </c>
      <c r="E23" s="83" t="s">
        <v>125</v>
      </c>
      <c r="F23" s="83" t="s">
        <v>1</v>
      </c>
      <c r="G23" s="83"/>
      <c r="H23" s="83">
        <f>INDIRECT(I23)</f>
        <v>39863.797216835352</v>
      </c>
      <c r="I23" s="83" t="str">
        <f>ADDRESS(MATCH(E23,'Spread Risk'!$B:$B,0),MATCH(F23,'Spread Risk'!$2:$2,0),,,"Spread Risk")</f>
        <v>'Spread Risk'!$H$52</v>
      </c>
      <c r="J23" s="1"/>
    </row>
    <row r="24" spans="2:10" s="0" customFormat="0" ht="15">
      <c r="B24" s="93" t="s">
        <v>1</v>
      </c>
      <c r="C24" s="83" t="s">
        <v>5311</v>
      </c>
      <c r="D24" s="83" t="s">
        <v>5317</v>
      </c>
      <c r="E24" s="83" t="s">
        <v>127</v>
      </c>
      <c r="F24" s="83" t="s">
        <v>1</v>
      </c>
      <c r="G24" s="83"/>
      <c r="H24" s="83">
        <f>INDIRECT(I24)</f>
        <v>0</v>
      </c>
      <c r="I24" s="83" t="str">
        <f>ADDRESS(MATCH(E24,'Spread Risk'!$B:$B,0),MATCH(F24,'Spread Risk'!$2:$2,0),,,"Spread Risk")</f>
        <v>'Spread Risk'!$H$53</v>
      </c>
      <c r="J24" s="1"/>
    </row>
    <row r="25" spans="2:10" s="0" customFormat="0" ht="15">
      <c r="B25" s="93" t="s">
        <v>1</v>
      </c>
      <c r="C25" s="83" t="s">
        <v>5311</v>
      </c>
      <c r="D25" s="83" t="s">
        <v>5317</v>
      </c>
      <c r="E25" s="83" t="s">
        <v>128</v>
      </c>
      <c r="F25" s="83" t="s">
        <v>1</v>
      </c>
      <c r="G25" s="83"/>
      <c r="H25" s="83">
        <f>INDIRECT(I25)</f>
        <v>-922.17966573148992</v>
      </c>
      <c r="I25" s="83" t="str">
        <f>ADDRESS(MATCH(E25,'Spread Risk'!$B:$B,0),MATCH(F25,'Spread Risk'!$2:$2,0),,,"Spread Risk")</f>
        <v>'Spread Risk'!$H$54</v>
      </c>
      <c r="J25" s="1"/>
    </row>
    <row r="26" spans="2:10" s="0" customFormat="0" ht="15">
      <c r="B26" s="93" t="s">
        <v>1</v>
      </c>
      <c r="C26" s="83" t="s">
        <v>5311</v>
      </c>
      <c r="D26" s="83" t="s">
        <v>5317</v>
      </c>
      <c r="E26" s="83" t="s">
        <v>129</v>
      </c>
      <c r="F26" s="83" t="s">
        <v>1</v>
      </c>
      <c r="G26" s="83"/>
      <c r="H26" s="83">
        <f>INDIRECT(I26)</f>
        <v>0</v>
      </c>
      <c r="I26" s="83" t="str">
        <f>ADDRESS(MATCH(E26,'Spread Risk'!$B:$B,0),MATCH(F26,'Spread Risk'!$2:$2,0),,,"Spread Risk")</f>
        <v>'Spread Risk'!$H$55</v>
      </c>
      <c r="J26" s="1"/>
    </row>
    <row r="27" spans="2:10" s="0" customFormat="0" ht="15">
      <c r="B27" s="93" t="s">
        <v>1</v>
      </c>
      <c r="C27" s="83" t="s">
        <v>5311</v>
      </c>
      <c r="D27" s="83" t="s">
        <v>5317</v>
      </c>
      <c r="E27" s="83" t="s">
        <v>130</v>
      </c>
      <c r="F27" s="83" t="s">
        <v>1</v>
      </c>
      <c r="G27" s="83"/>
      <c r="H27" s="83">
        <f>INDIRECT(I27)</f>
        <v>-50.513594601186448</v>
      </c>
      <c r="I27" s="83" t="str">
        <f>ADDRESS(MATCH(E27,'Spread Risk'!$B:$B,0),MATCH(F27,'Spread Risk'!$2:$2,0),,,"Spread Risk")</f>
        <v>'Spread Risk'!$H$56</v>
      </c>
      <c r="J27" s="1"/>
    </row>
    <row r="28" spans="2:10" s="0" customFormat="0" ht="15">
      <c r="B28" s="93" t="s">
        <v>1</v>
      </c>
      <c r="C28" s="83" t="s">
        <v>5311</v>
      </c>
      <c r="D28" s="83" t="s">
        <v>5318</v>
      </c>
      <c r="E28" s="83" t="s">
        <v>101</v>
      </c>
      <c r="F28" s="83" t="s">
        <v>1</v>
      </c>
      <c r="G28" s="83"/>
      <c r="H28" s="83">
        <f>INDIRECT(I28)</f>
        <v>0</v>
      </c>
      <c r="I28" s="83" t="str">
        <f>ADDRESS(MATCH(E28,'Spread Risk'!$B:$B,0),MATCH(F28,'Spread Risk'!$2:$2,0),,,"Spread Risk")</f>
        <v>'Spread Risk'!$H$32</v>
      </c>
      <c r="J28" s="1"/>
    </row>
    <row r="29" spans="2:10" s="0" customFormat="0" ht="15">
      <c r="B29" s="93" t="s">
        <v>1</v>
      </c>
      <c r="C29" s="83" t="s">
        <v>5311</v>
      </c>
      <c r="D29" s="83" t="s">
        <v>5318</v>
      </c>
      <c r="E29" s="83" t="s">
        <v>103</v>
      </c>
      <c r="F29" s="83" t="s">
        <v>1</v>
      </c>
      <c r="G29" s="83"/>
      <c r="H29" s="83">
        <f>INDIRECT(I29)</f>
        <v>0</v>
      </c>
      <c r="I29" s="83" t="str">
        <f>ADDRESS(MATCH(E29,'Spread Risk'!$B:$B,0),MATCH(F29,'Spread Risk'!$2:$2,0),,,"Spread Risk")</f>
        <v>'Spread Risk'!$H$33</v>
      </c>
      <c r="J29" s="1"/>
    </row>
    <row r="30" spans="2:10" s="0" customFormat="0" ht="15">
      <c r="B30" s="93" t="s">
        <v>1</v>
      </c>
      <c r="C30" s="83" t="s">
        <v>5311</v>
      </c>
      <c r="D30" s="83" t="s">
        <v>5318</v>
      </c>
      <c r="E30" s="83" t="s">
        <v>104</v>
      </c>
      <c r="F30" s="83" t="s">
        <v>1</v>
      </c>
      <c r="G30" s="83"/>
      <c r="H30" s="83">
        <f>INDIRECT(I30)</f>
        <v>0</v>
      </c>
      <c r="I30" s="83" t="str">
        <f>ADDRESS(MATCH(E30,'Spread Risk'!$B:$B,0),MATCH(F30,'Spread Risk'!$2:$2,0),,,"Spread Risk")</f>
        <v>'Spread Risk'!$H$34</v>
      </c>
      <c r="J30" s="1"/>
    </row>
    <row r="31" spans="2:10" s="0" customFormat="0" ht="15">
      <c r="B31" s="93" t="s">
        <v>1</v>
      </c>
      <c r="C31" s="83" t="s">
        <v>5311</v>
      </c>
      <c r="D31" s="83" t="s">
        <v>5318</v>
      </c>
      <c r="E31" s="83" t="s">
        <v>105</v>
      </c>
      <c r="F31" s="83" t="s">
        <v>1</v>
      </c>
      <c r="G31" s="83"/>
      <c r="H31" s="83">
        <f>INDIRECT(I31)</f>
        <v>0</v>
      </c>
      <c r="I31" s="83" t="str">
        <f>ADDRESS(MATCH(E31,'Spread Risk'!$B:$B,0),MATCH(F31,'Spread Risk'!$2:$2,0),,,"Spread Risk")</f>
        <v>'Spread Risk'!$H$35</v>
      </c>
      <c r="J31" s="1"/>
    </row>
    <row r="32" spans="2:10" s="0" customFormat="0" ht="15">
      <c r="B32" s="93" t="s">
        <v>1</v>
      </c>
      <c r="C32" s="83" t="s">
        <v>5311</v>
      </c>
      <c r="D32" s="83" t="s">
        <v>5318</v>
      </c>
      <c r="E32" s="83" t="s">
        <v>106</v>
      </c>
      <c r="F32" s="83" t="s">
        <v>1</v>
      </c>
      <c r="G32" s="83"/>
      <c r="H32" s="83">
        <f>INDIRECT(I32)</f>
        <v>0</v>
      </c>
      <c r="I32" s="83" t="str">
        <f>ADDRESS(MATCH(E32,'Spread Risk'!$B:$B,0),MATCH(F32,'Spread Risk'!$2:$2,0),,,"Spread Risk")</f>
        <v>'Spread Risk'!$H$36</v>
      </c>
      <c r="J32" s="1"/>
    </row>
    <row r="33" spans="2:10" s="0" customFormat="0" ht="15">
      <c r="B33" s="93" t="s">
        <v>1</v>
      </c>
      <c r="C33" s="83" t="s">
        <v>5311</v>
      </c>
      <c r="D33" s="83" t="s">
        <v>5319</v>
      </c>
      <c r="E33" s="83" t="s">
        <v>107</v>
      </c>
      <c r="F33" s="83" t="s">
        <v>1</v>
      </c>
      <c r="G33" s="83"/>
      <c r="H33" s="83">
        <f>INDIRECT(I33)</f>
        <v>0</v>
      </c>
      <c r="I33" s="83" t="str">
        <f>ADDRESS(MATCH(E33,'Spread Risk'!$B:$B,0),MATCH(F33,'Spread Risk'!$2:$2,0),,,"Spread Risk")</f>
        <v>'Spread Risk'!$H$37</v>
      </c>
      <c r="J33" s="1"/>
    </row>
    <row r="34" spans="2:10" s="0" customFormat="0" ht="15">
      <c r="B34" s="93" t="s">
        <v>1</v>
      </c>
      <c r="C34" s="83" t="s">
        <v>5311</v>
      </c>
      <c r="D34" s="83" t="s">
        <v>5319</v>
      </c>
      <c r="E34" s="83" t="s">
        <v>109</v>
      </c>
      <c r="F34" s="83" t="s">
        <v>1</v>
      </c>
      <c r="G34" s="83"/>
      <c r="H34" s="83">
        <f>INDIRECT(I34)</f>
        <v>0</v>
      </c>
      <c r="I34" s="83" t="str">
        <f>ADDRESS(MATCH(E34,'Spread Risk'!$B:$B,0),MATCH(F34,'Spread Risk'!$2:$2,0),,,"Spread Risk")</f>
        <v>'Spread Risk'!$H$38</v>
      </c>
      <c r="J34" s="1"/>
    </row>
    <row r="35" spans="2:10" s="0" customFormat="0" ht="15">
      <c r="B35" s="93" t="s">
        <v>1</v>
      </c>
      <c r="C35" s="83" t="s">
        <v>5311</v>
      </c>
      <c r="D35" s="83" t="s">
        <v>5319</v>
      </c>
      <c r="E35" s="83" t="s">
        <v>110</v>
      </c>
      <c r="F35" s="83" t="s">
        <v>1</v>
      </c>
      <c r="G35" s="83"/>
      <c r="H35" s="83">
        <f>INDIRECT(I35)</f>
        <v>0</v>
      </c>
      <c r="I35" s="83" t="str">
        <f>ADDRESS(MATCH(E35,'Spread Risk'!$B:$B,0),MATCH(F35,'Spread Risk'!$2:$2,0),,,"Spread Risk")</f>
        <v>'Spread Risk'!$H$39</v>
      </c>
      <c r="J35" s="1"/>
    </row>
    <row r="36" spans="2:10" s="0" customFormat="0" ht="15">
      <c r="B36" s="93" t="s">
        <v>1</v>
      </c>
      <c r="C36" s="83" t="s">
        <v>5311</v>
      </c>
      <c r="D36" s="83" t="s">
        <v>5319</v>
      </c>
      <c r="E36" s="83" t="s">
        <v>111</v>
      </c>
      <c r="F36" s="83" t="s">
        <v>1</v>
      </c>
      <c r="G36" s="83"/>
      <c r="H36" s="83">
        <f>INDIRECT(I36)</f>
        <v>0</v>
      </c>
      <c r="I36" s="83" t="str">
        <f>ADDRESS(MATCH(E36,'Spread Risk'!$B:$B,0),MATCH(F36,'Spread Risk'!$2:$2,0),,,"Spread Risk")</f>
        <v>'Spread Risk'!$H$40</v>
      </c>
      <c r="J36" s="1"/>
    </row>
    <row r="37" spans="2:10" s="0" customFormat="0" ht="15">
      <c r="B37" s="93" t="s">
        <v>1</v>
      </c>
      <c r="C37" s="83" t="s">
        <v>5311</v>
      </c>
      <c r="D37" s="83" t="s">
        <v>5319</v>
      </c>
      <c r="E37" s="83" t="s">
        <v>112</v>
      </c>
      <c r="F37" s="83" t="s">
        <v>1</v>
      </c>
      <c r="G37" s="83"/>
      <c r="H37" s="83">
        <f>INDIRECT(I37)</f>
        <v>0</v>
      </c>
      <c r="I37" s="83" t="str">
        <f>ADDRESS(MATCH(E37,'Spread Risk'!$B:$B,0),MATCH(F37,'Spread Risk'!$2:$2,0),,,"Spread Risk")</f>
        <v>'Spread Risk'!$H$41</v>
      </c>
      <c r="J37" s="1"/>
    </row>
    <row r="38" spans="2:10" s="0" customFormat="0" ht="15">
      <c r="B38" s="93" t="s">
        <v>1</v>
      </c>
      <c r="C38" s="83" t="s">
        <v>5311</v>
      </c>
      <c r="D38" s="83" t="s">
        <v>5320</v>
      </c>
      <c r="E38" s="83" t="s">
        <v>113</v>
      </c>
      <c r="F38" s="83" t="s">
        <v>1</v>
      </c>
      <c r="G38" s="83"/>
      <c r="H38" s="83">
        <f>INDIRECT(I38)</f>
        <v>3308991.8567646072</v>
      </c>
      <c r="I38" s="83" t="str">
        <f>ADDRESS(MATCH(E38,'Spread Risk'!$B:$B,0),MATCH(F38,'Spread Risk'!$2:$2,0),,,"Spread Risk")</f>
        <v>'Spread Risk'!$H$42</v>
      </c>
      <c r="J38" s="1"/>
    </row>
    <row r="39" spans="2:10" s="0" customFormat="0" ht="15">
      <c r="B39" s="93" t="s">
        <v>1</v>
      </c>
      <c r="C39" s="83" t="s">
        <v>5311</v>
      </c>
      <c r="D39" s="83" t="s">
        <v>5320</v>
      </c>
      <c r="E39" s="83" t="s">
        <v>115</v>
      </c>
      <c r="F39" s="83" t="s">
        <v>1</v>
      </c>
      <c r="G39" s="83"/>
      <c r="H39" s="83">
        <f>INDIRECT(I39)</f>
        <v>0</v>
      </c>
      <c r="I39" s="83" t="str">
        <f>ADDRESS(MATCH(E39,'Spread Risk'!$B:$B,0),MATCH(F39,'Spread Risk'!$2:$2,0),,,"Spread Risk")</f>
        <v>'Spread Risk'!$H$43</v>
      </c>
      <c r="J39" s="1"/>
    </row>
    <row r="40" spans="2:10" s="0" customFormat="0" ht="15">
      <c r="B40" s="93" t="s">
        <v>1</v>
      </c>
      <c r="C40" s="83" t="s">
        <v>5311</v>
      </c>
      <c r="D40" s="83" t="s">
        <v>5320</v>
      </c>
      <c r="E40" s="83" t="s">
        <v>116</v>
      </c>
      <c r="F40" s="83" t="s">
        <v>1</v>
      </c>
      <c r="G40" s="83"/>
      <c r="H40" s="83">
        <f>INDIRECT(I40)</f>
        <v>-2881547.5044743396</v>
      </c>
      <c r="I40" s="83" t="str">
        <f>ADDRESS(MATCH(E40,'Spread Risk'!$B:$B,0),MATCH(F40,'Spread Risk'!$2:$2,0),,,"Spread Risk")</f>
        <v>'Spread Risk'!$H$44</v>
      </c>
      <c r="J40" s="1"/>
    </row>
    <row r="41" spans="2:10" s="0" customFormat="0" ht="15">
      <c r="B41" s="93" t="s">
        <v>1</v>
      </c>
      <c r="C41" s="83" t="s">
        <v>5311</v>
      </c>
      <c r="D41" s="83" t="s">
        <v>5320</v>
      </c>
      <c r="E41" s="83" t="s">
        <v>117</v>
      </c>
      <c r="F41" s="83" t="s">
        <v>1</v>
      </c>
      <c r="G41" s="83"/>
      <c r="H41" s="83">
        <f>INDIRECT(I41)</f>
        <v>0</v>
      </c>
      <c r="I41" s="83" t="str">
        <f>ADDRESS(MATCH(E41,'Spread Risk'!$B:$B,0),MATCH(F41,'Spread Risk'!$2:$2,0),,,"Spread Risk")</f>
        <v>'Spread Risk'!$H$45</v>
      </c>
      <c r="J41" s="1"/>
    </row>
    <row r="42" spans="2:10" s="0" customFormat="0" ht="15">
      <c r="B42" s="93" t="s">
        <v>1</v>
      </c>
      <c r="C42" s="83" t="s">
        <v>5311</v>
      </c>
      <c r="D42" s="83" t="s">
        <v>5320</v>
      </c>
      <c r="E42" s="83" t="s">
        <v>118</v>
      </c>
      <c r="F42" s="83" t="s">
        <v>1</v>
      </c>
      <c r="G42" s="83"/>
      <c r="H42" s="83">
        <f>INDIRECT(I42)</f>
        <v>-157840.5248717115</v>
      </c>
      <c r="I42" s="83" t="str">
        <f>ADDRESS(MATCH(E42,'Spread Risk'!$B:$B,0),MATCH(F42,'Spread Risk'!$2:$2,0),,,"Spread Risk")</f>
        <v>'Spread Risk'!$H$46</v>
      </c>
      <c r="J42" s="1"/>
    </row>
    <row r="43" spans="2:10" s="0" customFormat="0" ht="15">
      <c r="B43" s="93" t="s">
        <v>1</v>
      </c>
      <c r="C43" s="83" t="s">
        <v>5311</v>
      </c>
      <c r="D43" s="83" t="s">
        <v>5321</v>
      </c>
      <c r="E43" s="83" t="s">
        <v>119</v>
      </c>
      <c r="F43" s="83" t="s">
        <v>1</v>
      </c>
      <c r="G43" s="83"/>
      <c r="H43" s="83">
        <f>INDIRECT(I43)</f>
        <v>0</v>
      </c>
      <c r="I43" s="83" t="str">
        <f>ADDRESS(MATCH(E43,'Spread Risk'!$B:$B,0),MATCH(F43,'Spread Risk'!$2:$2,0),,,"Spread Risk")</f>
        <v>'Spread Risk'!$H$47</v>
      </c>
      <c r="J43" s="1"/>
    </row>
    <row r="44" spans="2:10" s="0" customFormat="0" ht="15">
      <c r="B44" s="93" t="s">
        <v>1</v>
      </c>
      <c r="C44" s="83" t="s">
        <v>5311</v>
      </c>
      <c r="D44" s="83" t="s">
        <v>5321</v>
      </c>
      <c r="E44" s="83" t="s">
        <v>121</v>
      </c>
      <c r="F44" s="83" t="s">
        <v>1</v>
      </c>
      <c r="G44" s="83"/>
      <c r="H44" s="83">
        <f>INDIRECT(I44)</f>
        <v>0</v>
      </c>
      <c r="I44" s="83" t="str">
        <f>ADDRESS(MATCH(E44,'Spread Risk'!$B:$B,0),MATCH(F44,'Spread Risk'!$2:$2,0),,,"Spread Risk")</f>
        <v>'Spread Risk'!$H$48</v>
      </c>
      <c r="J44" s="1"/>
    </row>
    <row r="45" spans="2:10" s="0" customFormat="0" ht="15">
      <c r="B45" s="93" t="s">
        <v>1</v>
      </c>
      <c r="C45" s="83" t="s">
        <v>5311</v>
      </c>
      <c r="D45" s="83" t="s">
        <v>5321</v>
      </c>
      <c r="E45" s="83" t="s">
        <v>122</v>
      </c>
      <c r="F45" s="83" t="s">
        <v>1</v>
      </c>
      <c r="G45" s="83"/>
      <c r="H45" s="83">
        <f>INDIRECT(I45)</f>
        <v>0</v>
      </c>
      <c r="I45" s="83" t="str">
        <f>ADDRESS(MATCH(E45,'Spread Risk'!$B:$B,0),MATCH(F45,'Spread Risk'!$2:$2,0),,,"Spread Risk")</f>
        <v>'Spread Risk'!$H$49</v>
      </c>
      <c r="J45" s="1"/>
    </row>
    <row r="46" spans="2:10" s="0" customFormat="0" ht="15">
      <c r="B46" s="93" t="s">
        <v>1</v>
      </c>
      <c r="C46" s="83" t="s">
        <v>5311</v>
      </c>
      <c r="D46" s="83" t="s">
        <v>5321</v>
      </c>
      <c r="E46" s="83" t="s">
        <v>123</v>
      </c>
      <c r="F46" s="83" t="s">
        <v>1</v>
      </c>
      <c r="G46" s="83"/>
      <c r="H46" s="83">
        <f>INDIRECT(I46)</f>
        <v>0</v>
      </c>
      <c r="I46" s="83" t="str">
        <f>ADDRESS(MATCH(E46,'Spread Risk'!$B:$B,0),MATCH(F46,'Spread Risk'!$2:$2,0),,,"Spread Risk")</f>
        <v>'Spread Risk'!$H$50</v>
      </c>
      <c r="J46" s="1"/>
    </row>
    <row r="47" spans="2:10" s="0" customFormat="0" ht="15">
      <c r="B47" s="93" t="s">
        <v>1</v>
      </c>
      <c r="C47" s="83" t="s">
        <v>5311</v>
      </c>
      <c r="D47" s="83" t="s">
        <v>5321</v>
      </c>
      <c r="E47" s="83" t="s">
        <v>124</v>
      </c>
      <c r="F47" s="83" t="s">
        <v>1</v>
      </c>
      <c r="G47" s="83"/>
      <c r="H47" s="83">
        <f>INDIRECT(I47)</f>
        <v>0</v>
      </c>
      <c r="I47" s="83" t="str">
        <f>ADDRESS(MATCH(E47,'Spread Risk'!$B:$B,0),MATCH(F47,'Spread Risk'!$2:$2,0),,,"Spread Risk")</f>
        <v>'Spread Risk'!$H$51</v>
      </c>
      <c r="J47" s="1"/>
    </row>
    <row r="48" spans="2:10" s="0" customFormat="0" ht="15">
      <c r="B48" s="93" t="s">
        <v>1</v>
      </c>
      <c r="C48" s="83" t="s">
        <v>5311</v>
      </c>
      <c r="D48" s="83" t="s">
        <v>5322</v>
      </c>
      <c r="E48" s="83" t="s">
        <v>77</v>
      </c>
      <c r="F48" s="83" t="s">
        <v>1</v>
      </c>
      <c r="G48" s="83"/>
      <c r="H48" s="83">
        <f>INDIRECT(I48)</f>
        <v>0</v>
      </c>
      <c r="I48" s="83" t="str">
        <f>ADDRESS(MATCH(E48,'Spread Risk'!$B:$B,0),MATCH(F48,'Spread Risk'!$2:$2,0),,,"Spread Risk")</f>
        <v>'Spread Risk'!$H$12</v>
      </c>
      <c r="J48" s="1"/>
    </row>
    <row r="49" spans="2:10" s="0" customFormat="0" ht="15">
      <c r="B49" s="93" t="s">
        <v>1</v>
      </c>
      <c r="C49" s="83" t="s">
        <v>5311</v>
      </c>
      <c r="D49" s="83" t="s">
        <v>5322</v>
      </c>
      <c r="E49" s="83" t="s">
        <v>78</v>
      </c>
      <c r="F49" s="83" t="s">
        <v>1</v>
      </c>
      <c r="G49" s="83"/>
      <c r="H49" s="83">
        <f>INDIRECT(I49)</f>
        <v>0</v>
      </c>
      <c r="I49" s="83" t="str">
        <f>ADDRESS(MATCH(E49,'Spread Risk'!$B:$B,0),MATCH(F49,'Spread Risk'!$2:$2,0),,,"Spread Risk")</f>
        <v>'Spread Risk'!$H$13</v>
      </c>
      <c r="J49" s="1"/>
    </row>
    <row r="50" spans="2:10" s="0" customFormat="0" ht="15">
      <c r="B50" s="93" t="s">
        <v>1</v>
      </c>
      <c r="C50" s="83" t="s">
        <v>5311</v>
      </c>
      <c r="D50" s="83" t="s">
        <v>5322</v>
      </c>
      <c r="E50" s="83" t="s">
        <v>80</v>
      </c>
      <c r="F50" s="83" t="s">
        <v>1</v>
      </c>
      <c r="G50" s="83"/>
      <c r="H50" s="83">
        <f>INDIRECT(I50)</f>
        <v>0</v>
      </c>
      <c r="I50" s="83" t="str">
        <f>ADDRESS(MATCH(E50,'Spread Risk'!$B:$B,0),MATCH(F50,'Spread Risk'!$2:$2,0),,,"Spread Risk")</f>
        <v>'Spread Risk'!$H$14</v>
      </c>
      <c r="J50" s="1"/>
    </row>
    <row r="51" spans="2:10" s="0" customFormat="0" ht="15">
      <c r="B51" s="93" t="s">
        <v>1</v>
      </c>
      <c r="C51" s="83" t="s">
        <v>5311</v>
      </c>
      <c r="D51" s="83" t="s">
        <v>5322</v>
      </c>
      <c r="E51" s="83" t="s">
        <v>81</v>
      </c>
      <c r="F51" s="83" t="s">
        <v>1</v>
      </c>
      <c r="G51" s="83"/>
      <c r="H51" s="83">
        <f>INDIRECT(I51)</f>
        <v>0</v>
      </c>
      <c r="I51" s="83" t="str">
        <f>ADDRESS(MATCH(E51,'Spread Risk'!$B:$B,0),MATCH(F51,'Spread Risk'!$2:$2,0),,,"Spread Risk")</f>
        <v>'Spread Risk'!$H$15</v>
      </c>
      <c r="J51" s="1"/>
    </row>
    <row r="52" spans="2:10" s="0" customFormat="0" ht="15">
      <c r="B52" s="93" t="s">
        <v>1</v>
      </c>
      <c r="C52" s="83" t="s">
        <v>5311</v>
      </c>
      <c r="D52" s="83" t="s">
        <v>5322</v>
      </c>
      <c r="E52" s="83" t="s">
        <v>82</v>
      </c>
      <c r="F52" s="83" t="s">
        <v>1</v>
      </c>
      <c r="G52" s="83"/>
      <c r="H52" s="83">
        <f>INDIRECT(I52)</f>
        <v>0</v>
      </c>
      <c r="I52" s="83" t="str">
        <f>ADDRESS(MATCH(E52,'Spread Risk'!$B:$B,0),MATCH(F52,'Spread Risk'!$2:$2,0),,,"Spread Risk")</f>
        <v>'Spread Risk'!$H$16</v>
      </c>
      <c r="J52" s="1"/>
    </row>
    <row r="53" spans="2:2" s="0" customFormat="0" ht="15">
      <c r="B53" s="1"/>
    </row>
  </sheetData>
  <pageMargins left="0.75" right="0.75" top="1" bottom="1" header="0.5" footer="0.5"/>
  <headerFooter>
    <oddHeader>&amp;A</oddHeader>
    <oddFooter>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8"/>
  <dimension ref="B2:K49"/>
  <sheetViews>
    <sheetView workbookViewId="0"/>
  </sheetViews>
  <sheetFormatPr defaultColWidth="9.1484375" defaultRowHeight="12.75" customHeight="0"/>
  <cols>
    <col min="2" max="2" width="11.37890625" style="1" customWidth="1"/>
    <col min="3" max="3" width="10.6015625" style="1" customWidth="1"/>
    <col min="4" max="4" width="80.48828125" style="1" customWidth="1"/>
    <col min="8" max="8" width="9.1484375" hidden="1" style="1"/>
    <col min="9" max="9" width="9.1484375" style="1"/>
    <col min="10" max="10" width="18.14453125" style="1" customWidth="1"/>
    <col min="11" max="11" width="17.85546875" style="1" customWidth="1"/>
  </cols>
  <sheetData>
    <row r="1" s="0" customFormat="0" ht="15"/>
    <row r="2" spans="2:11" s="0" customFormat="0" ht="15">
      <c r="B2" s="98" t="s">
        <v>5323</v>
      </c>
      <c r="C2" s="99" t="s">
        <v>5324</v>
      </c>
      <c r="D2" s="99" t="s">
        <v>3</v>
      </c>
      <c r="J2" s="130" t="s">
        <v>5325</v>
      </c>
      <c r="K2" s="129" t="str">
        <f>$B$3</f>
        <v>v.4.02.00</v>
      </c>
    </row>
    <row r="3" spans="2:4" s="0" customFormat="0" ht="33" customHeight="1">
      <c r="B3" s="96" t="s">
        <v>5326</v>
      </c>
      <c r="C3" s="97">
        <v>44383</v>
      </c>
      <c r="D3" s="133" t="s">
        <v>5327</v>
      </c>
    </row>
    <row r="4" spans="2:4" s="0" customFormat="0" ht="15">
      <c r="B4" s="166" t="s">
        <v>5328</v>
      </c>
      <c r="C4" s="167">
        <v>44382</v>
      </c>
      <c r="D4" s="168" t="s">
        <v>5329</v>
      </c>
    </row>
    <row r="5" spans="2:4" s="0" customFormat="0" ht="15">
      <c r="B5" s="166" t="s">
        <v>5330</v>
      </c>
      <c r="C5" s="167" t="s">
        <v>5331</v>
      </c>
      <c r="D5" s="168" t="s">
        <v>5332</v>
      </c>
    </row>
    <row r="6" spans="2:4" s="0" customFormat="0" ht="15">
      <c r="B6" s="166" t="s">
        <v>5333</v>
      </c>
      <c r="C6" s="167">
        <v>44083</v>
      </c>
      <c r="D6" s="168" t="s">
        <v>5329</v>
      </c>
    </row>
    <row r="7" spans="2:4" s="0" customFormat="0" ht="15">
      <c r="B7" s="169" t="s">
        <v>5334</v>
      </c>
      <c r="C7" s="170">
        <v>43143</v>
      </c>
      <c r="D7" s="171" t="s">
        <v>5335</v>
      </c>
    </row>
    <row r="8" spans="2:4" s="0" customFormat="0" ht="15">
      <c r="B8" s="96" t="s">
        <v>5336</v>
      </c>
      <c r="C8" s="97">
        <v>43434</v>
      </c>
      <c r="D8" s="133" t="s">
        <v>5337</v>
      </c>
    </row>
    <row r="9" spans="2:4" s="0" customFormat="0" ht="29.25">
      <c r="B9" s="96" t="s">
        <v>5338</v>
      </c>
      <c r="C9" s="97">
        <v>43430</v>
      </c>
      <c r="D9" s="133" t="s">
        <v>5339</v>
      </c>
    </row>
    <row r="10" spans="2:4" s="0" customFormat="0" ht="29.25">
      <c r="B10" s="96" t="s">
        <v>5340</v>
      </c>
      <c r="C10" s="97">
        <v>43426</v>
      </c>
      <c r="D10" s="133" t="s">
        <v>5341</v>
      </c>
    </row>
    <row r="11" spans="2:4" s="0" customFormat="0" ht="15">
      <c r="B11" s="96" t="s">
        <v>5342</v>
      </c>
      <c r="C11" s="97">
        <v>43418</v>
      </c>
      <c r="D11" s="133" t="s">
        <v>5343</v>
      </c>
    </row>
    <row r="12" spans="2:4" s="0" customFormat="0" ht="15">
      <c r="B12" s="96" t="s">
        <v>5344</v>
      </c>
      <c r="C12" s="97">
        <v>43353</v>
      </c>
      <c r="D12" s="133" t="s">
        <v>5345</v>
      </c>
    </row>
    <row r="13" spans="2:4" s="0" customFormat="0" ht="15">
      <c r="B13" s="96" t="s">
        <v>5346</v>
      </c>
      <c r="C13" s="97">
        <v>43353</v>
      </c>
      <c r="D13" s="133" t="s">
        <v>5347</v>
      </c>
    </row>
    <row r="14" spans="2:4" s="0" customFormat="0" ht="15">
      <c r="B14" s="96" t="s">
        <v>5348</v>
      </c>
      <c r="C14" s="97">
        <v>43348</v>
      </c>
      <c r="D14" s="133" t="s">
        <v>5349</v>
      </c>
    </row>
    <row r="15" spans="2:4" s="0" customFormat="0" ht="15">
      <c r="B15" s="96" t="s">
        <v>5350</v>
      </c>
      <c r="C15" s="97">
        <v>43343</v>
      </c>
      <c r="D15" s="133" t="s">
        <v>5351</v>
      </c>
    </row>
    <row r="16" spans="2:4" s="0" customFormat="0" ht="15">
      <c r="B16" s="96" t="s">
        <v>5352</v>
      </c>
      <c r="C16" s="97">
        <v>43341</v>
      </c>
      <c r="D16" s="133" t="s">
        <v>5353</v>
      </c>
    </row>
    <row r="17" spans="2:4" s="0" customFormat="0" ht="15">
      <c r="B17" s="96" t="s">
        <v>5354</v>
      </c>
      <c r="C17" s="97">
        <v>43339</v>
      </c>
      <c r="D17" s="133" t="s">
        <v>5355</v>
      </c>
    </row>
    <row r="18" spans="2:4" s="0" customFormat="0" ht="15">
      <c r="B18" s="96" t="s">
        <v>5356</v>
      </c>
      <c r="C18" s="97">
        <v>43332</v>
      </c>
      <c r="D18" s="133" t="s">
        <v>5357</v>
      </c>
    </row>
    <row r="19" spans="2:4" s="0" customFormat="0" ht="43.5">
      <c r="B19" s="96" t="s">
        <v>5358</v>
      </c>
      <c r="C19" s="97">
        <v>43339</v>
      </c>
      <c r="D19" s="133" t="s">
        <v>5359</v>
      </c>
    </row>
    <row r="20" spans="2:4" s="0" customFormat="0" ht="15">
      <c r="B20" s="96" t="s">
        <v>5360</v>
      </c>
      <c r="C20" s="97">
        <v>43335</v>
      </c>
      <c r="D20" s="133" t="s">
        <v>5361</v>
      </c>
    </row>
    <row r="21" spans="2:4" s="0" customFormat="0" ht="15">
      <c r="B21" s="96" t="s">
        <v>5362</v>
      </c>
      <c r="C21" s="97">
        <v>43334</v>
      </c>
      <c r="D21" s="133" t="s">
        <v>5363</v>
      </c>
    </row>
    <row r="22" spans="2:4" s="0" customFormat="0" ht="15">
      <c r="B22" s="96" t="s">
        <v>5364</v>
      </c>
      <c r="C22" s="97">
        <v>43294</v>
      </c>
      <c r="D22" s="133" t="s">
        <v>5365</v>
      </c>
    </row>
    <row r="23" spans="2:4" s="0" customFormat="0" ht="15">
      <c r="B23" s="96" t="s">
        <v>5366</v>
      </c>
      <c r="C23" s="97">
        <v>43292</v>
      </c>
      <c r="D23" s="133" t="s">
        <v>5367</v>
      </c>
    </row>
    <row r="24" spans="2:4" s="0" customFormat="0" ht="72">
      <c r="B24" s="96" t="s">
        <v>5368</v>
      </c>
      <c r="C24" s="97">
        <v>43290</v>
      </c>
      <c r="D24" s="133" t="s">
        <v>5369</v>
      </c>
    </row>
    <row r="25" spans="2:4" s="0" customFormat="0" ht="15">
      <c r="B25" s="96" t="s">
        <v>5370</v>
      </c>
      <c r="C25" s="97">
        <v>43265</v>
      </c>
      <c r="D25" s="133" t="s">
        <v>5371</v>
      </c>
    </row>
    <row r="26" spans="2:4" s="0" customFormat="0" ht="15">
      <c r="B26" s="96" t="s">
        <v>5372</v>
      </c>
      <c r="C26" s="97">
        <v>43264</v>
      </c>
      <c r="D26" s="133" t="s">
        <v>5373</v>
      </c>
    </row>
    <row r="27" spans="2:4" s="0" customFormat="0" ht="15">
      <c r="B27" s="96" t="s">
        <v>5374</v>
      </c>
      <c r="C27" s="97">
        <v>43252</v>
      </c>
      <c r="D27" s="133" t="s">
        <v>5375</v>
      </c>
    </row>
    <row r="28" spans="2:4" s="0" customFormat="0" ht="15">
      <c r="B28" s="96" t="s">
        <v>5376</v>
      </c>
      <c r="C28" s="97">
        <v>43251</v>
      </c>
      <c r="D28" s="133" t="s">
        <v>5377</v>
      </c>
    </row>
    <row r="29" spans="2:4" s="0" customFormat="0" ht="72">
      <c r="B29" s="96" t="s">
        <v>5378</v>
      </c>
      <c r="C29" s="97">
        <v>43202</v>
      </c>
      <c r="D29" s="133" t="s">
        <v>5379</v>
      </c>
    </row>
    <row r="30" spans="2:4" s="0" customFormat="0" ht="29.25">
      <c r="B30" s="96" t="s">
        <v>5380</v>
      </c>
      <c r="C30" s="97">
        <v>43192</v>
      </c>
      <c r="D30" s="133" t="s">
        <v>5381</v>
      </c>
    </row>
    <row r="31" spans="2:4" s="0" customFormat="0" ht="29.25">
      <c r="B31" s="96" t="s">
        <v>5382</v>
      </c>
      <c r="C31" s="97">
        <v>43167</v>
      </c>
      <c r="D31" s="133" t="s">
        <v>5383</v>
      </c>
    </row>
    <row r="32" spans="2:4" s="0" customFormat="0" ht="15">
      <c r="B32" s="96" t="s">
        <v>5384</v>
      </c>
      <c r="C32" s="97">
        <v>43153</v>
      </c>
      <c r="D32" s="133" t="s">
        <v>5385</v>
      </c>
    </row>
    <row r="33" spans="2:4" s="0" customFormat="0" ht="43.5">
      <c r="B33" s="96" t="s">
        <v>5386</v>
      </c>
      <c r="C33" s="97">
        <v>43152</v>
      </c>
      <c r="D33" s="133" t="s">
        <v>5387</v>
      </c>
    </row>
    <row r="34" spans="2:4" s="0" customFormat="0" ht="29.25">
      <c r="B34" s="96" t="s">
        <v>5388</v>
      </c>
      <c r="C34" s="97">
        <v>43122</v>
      </c>
      <c r="D34" s="133" t="s">
        <v>5389</v>
      </c>
    </row>
    <row r="35" spans="2:4" s="0" customFormat="0" ht="15">
      <c r="B35" s="96" t="s">
        <v>5390</v>
      </c>
      <c r="C35" s="97">
        <v>43115</v>
      </c>
      <c r="D35" s="133" t="s">
        <v>5391</v>
      </c>
    </row>
    <row r="36" spans="2:4" s="0" customFormat="0" ht="29.25">
      <c r="B36" s="96" t="s">
        <v>5392</v>
      </c>
      <c r="C36" s="97">
        <v>43111</v>
      </c>
      <c r="D36" s="133" t="s">
        <v>5393</v>
      </c>
    </row>
    <row r="37" spans="2:4" s="0" customFormat="0" ht="15">
      <c r="B37" s="96" t="s">
        <v>5394</v>
      </c>
      <c r="C37" s="97">
        <v>43108</v>
      </c>
      <c r="D37" s="133" t="s">
        <v>5395</v>
      </c>
    </row>
    <row r="38" spans="2:4" s="0" customFormat="0" ht="15">
      <c r="B38" s="96" t="s">
        <v>5396</v>
      </c>
      <c r="C38" s="97">
        <v>43104</v>
      </c>
      <c r="D38" s="133" t="s">
        <v>5397</v>
      </c>
    </row>
    <row r="39" spans="2:4" s="0" customFormat="0" ht="29.25">
      <c r="B39" s="96" t="s">
        <v>5398</v>
      </c>
      <c r="C39" s="97">
        <v>43070</v>
      </c>
      <c r="D39" s="133" t="s">
        <v>5399</v>
      </c>
    </row>
    <row r="40" spans="2:4" s="0" customFormat="0" ht="15">
      <c r="B40" s="96" t="s">
        <v>5400</v>
      </c>
      <c r="C40" s="97">
        <v>43019</v>
      </c>
      <c r="D40" s="133" t="s">
        <v>5401</v>
      </c>
    </row>
    <row r="41" spans="2:4" s="0" customFormat="0" ht="15">
      <c r="B41" s="96" t="s">
        <v>5402</v>
      </c>
      <c r="C41" s="97">
        <v>42944</v>
      </c>
      <c r="D41" s="128" t="s">
        <v>5403</v>
      </c>
    </row>
    <row r="42" spans="2:4" s="0" customFormat="0" ht="15">
      <c r="B42" s="96" t="s">
        <v>5404</v>
      </c>
      <c r="C42" s="97">
        <v>42944</v>
      </c>
      <c r="D42" s="128" t="s">
        <v>5405</v>
      </c>
    </row>
    <row r="43" spans="2:4" s="0" customFormat="0" ht="15">
      <c r="B43" s="96" t="s">
        <v>5406</v>
      </c>
      <c r="C43" s="97">
        <v>42941</v>
      </c>
      <c r="D43" s="128" t="s">
        <v>5407</v>
      </c>
    </row>
    <row r="44" spans="2:4" s="0" customFormat="0" ht="15">
      <c r="B44" s="96" t="s">
        <v>5408</v>
      </c>
      <c r="C44" s="97">
        <v>42937</v>
      </c>
      <c r="D44" s="128" t="s">
        <v>5409</v>
      </c>
    </row>
    <row r="45" spans="2:4" s="0" customFormat="0" ht="15">
      <c r="B45" s="96" t="s">
        <v>5410</v>
      </c>
      <c r="C45" s="97">
        <v>42933</v>
      </c>
      <c r="D45" s="128" t="s">
        <v>5411</v>
      </c>
    </row>
    <row r="46" spans="2:4" s="0" customFormat="0" ht="15">
      <c r="B46" s="96" t="s">
        <v>5412</v>
      </c>
      <c r="C46" s="97">
        <v>42922</v>
      </c>
      <c r="D46" s="128" t="s">
        <v>5413</v>
      </c>
    </row>
    <row r="47" spans="2:4" s="0" customFormat="0" ht="15">
      <c r="B47" s="96" t="s">
        <v>5414</v>
      </c>
      <c r="C47" s="97">
        <v>42908</v>
      </c>
      <c r="D47" s="128" t="s">
        <v>5415</v>
      </c>
    </row>
    <row r="48" spans="2:4" s="0" customFormat="0" ht="15">
      <c r="B48" s="96" t="s">
        <v>5416</v>
      </c>
      <c r="C48" s="97">
        <v>42908</v>
      </c>
      <c r="D48" s="128" t="s">
        <v>5417</v>
      </c>
    </row>
    <row r="49" spans="2:4" s="0" customFormat="0" ht="15">
      <c r="B49" s="3" t="s">
        <v>5418</v>
      </c>
      <c r="C49" s="55">
        <v>42907</v>
      </c>
      <c r="D49" s="55" t="s">
        <v>5419</v>
      </c>
    </row>
  </sheetData>
  <pageMargins left="0.75" right="0.75" top="1" bottom="1" header="0.5" footer="0.5"/>
  <headerFooter>
    <oddHeader>&amp;A</oddHeader>
    <oddFooter>Page &amp;P</oddFooter>
  </headerFooter>
</worksheet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2021-11-03T13:12:36Z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b06008c6-a3cd-438c-ab9f-ceacb91c3f3c</vt:lpwstr>
  </property>
  <property fmtid="{D5CDD505-2E9C-101B-9397-08002B2CF9AE}" pid="8" name="MSIP_Label_863bc15e-e7bf-41c1-bdb3-03882d8a2e2c_ContentBits">
    <vt:lpwstr>0</vt:lpwstr>
  </property>
  <property fmtid="{D5CDD505-2E9C-101B-9397-08002B2CF9AE}" pid="9" name="_AdHocReviewCycleID">
    <vt:i4>-769718276</vt:i4>
  </property>
  <property fmtid="{D5CDD505-2E9C-101B-9397-08002B2CF9AE}" pid="10" name="_NewReviewCycle">
    <vt:lpwstr/>
  </property>
  <property fmtid="{D5CDD505-2E9C-101B-9397-08002B2CF9AE}" pid="11" name="_EmailSubject">
    <vt:lpwstr>SHT Control</vt:lpwstr>
  </property>
  <property fmtid="{D5CDD505-2E9C-101B-9397-08002B2CF9AE}" pid="12" name="_AuthorEmail">
    <vt:lpwstr>akmez.buxis@allianz.com</vt:lpwstr>
  </property>
  <property fmtid="{D5CDD505-2E9C-101B-9397-08002B2CF9AE}" pid="13" name="_AuthorEmailDisplayName">
    <vt:lpwstr>BUXIS, Mr AKMEZ SIDDICKY (Allianz Services Mauritius)</vt:lpwstr>
  </property>
</Properties>
</file>